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D:\1 Learning Proses\Learn Data Science\My Project\Air Quality\"/>
    </mc:Choice>
  </mc:AlternateContent>
  <xr:revisionPtr revIDLastSave="0" documentId="13_ncr:1_{1070B39C-DEF7-4ADD-8A6B-BBE55DE7976A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8-9(10)" sheetId="1" r:id="rId1"/>
    <sheet name="9-10(10)" sheetId="2" r:id="rId2"/>
    <sheet name="10-11(10)" sheetId="3" r:id="rId3"/>
    <sheet name="11-12(10)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2" i="1"/>
  <c r="J2" i="2"/>
  <c r="J2221" i="4" l="1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14716" i="3"/>
  <c r="J14715" i="3"/>
  <c r="J14714" i="3"/>
  <c r="J14713" i="3"/>
  <c r="J14712" i="3"/>
  <c r="J14711" i="3"/>
  <c r="J14710" i="3"/>
  <c r="J14709" i="3"/>
  <c r="J14708" i="3"/>
  <c r="J14707" i="3"/>
  <c r="J14706" i="3"/>
  <c r="J14705" i="3"/>
  <c r="J14704" i="3"/>
  <c r="J14703" i="3"/>
  <c r="J14702" i="3"/>
  <c r="J14701" i="3"/>
  <c r="J14700" i="3"/>
  <c r="J14699" i="3"/>
  <c r="J14698" i="3"/>
  <c r="J14697" i="3"/>
  <c r="J14696" i="3"/>
  <c r="J14695" i="3"/>
  <c r="J14694" i="3"/>
  <c r="J14693" i="3"/>
  <c r="J14692" i="3"/>
  <c r="J14691" i="3"/>
  <c r="J14690" i="3"/>
  <c r="J14689" i="3"/>
  <c r="J14688" i="3"/>
  <c r="J14687" i="3"/>
  <c r="J14686" i="3"/>
  <c r="J14685" i="3"/>
  <c r="J14684" i="3"/>
  <c r="J14683" i="3"/>
  <c r="J14682" i="3"/>
  <c r="J14681" i="3"/>
  <c r="J14680" i="3"/>
  <c r="J14679" i="3"/>
  <c r="J14678" i="3"/>
  <c r="J14677" i="3"/>
  <c r="J14676" i="3"/>
  <c r="J14675" i="3"/>
  <c r="J14674" i="3"/>
  <c r="J14673" i="3"/>
  <c r="J14672" i="3"/>
  <c r="J14671" i="3"/>
  <c r="J14670" i="3"/>
  <c r="J14669" i="3"/>
  <c r="J14668" i="3"/>
  <c r="J14667" i="3"/>
  <c r="J14666" i="3"/>
  <c r="J14665" i="3"/>
  <c r="J14664" i="3"/>
  <c r="J14663" i="3"/>
  <c r="J14662" i="3"/>
  <c r="J14661" i="3"/>
  <c r="J14660" i="3"/>
  <c r="J14659" i="3"/>
  <c r="J14658" i="3"/>
  <c r="J14657" i="3"/>
  <c r="J14656" i="3"/>
  <c r="J14655" i="3"/>
  <c r="J14654" i="3"/>
  <c r="J14653" i="3"/>
  <c r="J14652" i="3"/>
  <c r="J14651" i="3"/>
  <c r="J14650" i="3"/>
  <c r="J14649" i="3"/>
  <c r="J14648" i="3"/>
  <c r="J14647" i="3"/>
  <c r="J14646" i="3"/>
  <c r="J14645" i="3"/>
  <c r="J14644" i="3"/>
  <c r="J14643" i="3"/>
  <c r="J14642" i="3"/>
  <c r="J14641" i="3"/>
  <c r="J14640" i="3"/>
  <c r="J14639" i="3"/>
  <c r="J14638" i="3"/>
  <c r="J14637" i="3"/>
  <c r="J14636" i="3"/>
  <c r="J14635" i="3"/>
  <c r="J14634" i="3"/>
  <c r="J14633" i="3"/>
  <c r="J14632" i="3"/>
  <c r="J14631" i="3"/>
  <c r="J14630" i="3"/>
  <c r="J14629" i="3"/>
  <c r="J14628" i="3"/>
  <c r="J14627" i="3"/>
  <c r="J14626" i="3"/>
  <c r="J14625" i="3"/>
  <c r="J14624" i="3"/>
  <c r="J14623" i="3"/>
  <c r="J14622" i="3"/>
  <c r="J14621" i="3"/>
  <c r="J14620" i="3"/>
  <c r="J14619" i="3"/>
  <c r="J14618" i="3"/>
  <c r="J14617" i="3"/>
  <c r="J14616" i="3"/>
  <c r="J14615" i="3"/>
  <c r="J14614" i="3"/>
  <c r="J14613" i="3"/>
  <c r="J14612" i="3"/>
  <c r="J14611" i="3"/>
  <c r="J14610" i="3"/>
  <c r="J14609" i="3"/>
  <c r="J14608" i="3"/>
  <c r="J14607" i="3"/>
  <c r="J14606" i="3"/>
  <c r="J14605" i="3"/>
  <c r="J14604" i="3"/>
  <c r="J14603" i="3"/>
  <c r="J14602" i="3"/>
  <c r="J14601" i="3"/>
  <c r="J14600" i="3"/>
  <c r="J14599" i="3"/>
  <c r="J14598" i="3"/>
  <c r="J14597" i="3"/>
  <c r="J14596" i="3"/>
  <c r="J14595" i="3"/>
  <c r="J14594" i="3"/>
  <c r="J14593" i="3"/>
  <c r="J14592" i="3"/>
  <c r="J14591" i="3"/>
  <c r="J14590" i="3"/>
  <c r="J14589" i="3"/>
  <c r="J14588" i="3"/>
  <c r="J14587" i="3"/>
  <c r="J14586" i="3"/>
  <c r="J14585" i="3"/>
  <c r="J14584" i="3"/>
  <c r="J14583" i="3"/>
  <c r="J14582" i="3"/>
  <c r="J14581" i="3"/>
  <c r="J14580" i="3"/>
  <c r="J14579" i="3"/>
  <c r="J14578" i="3"/>
  <c r="J14577" i="3"/>
  <c r="J14576" i="3"/>
  <c r="J14575" i="3"/>
  <c r="J14574" i="3"/>
  <c r="J14573" i="3"/>
  <c r="J14572" i="3"/>
  <c r="J14571" i="3"/>
  <c r="J14570" i="3"/>
  <c r="J14569" i="3"/>
  <c r="J14568" i="3"/>
  <c r="J14567" i="3"/>
  <c r="J14566" i="3"/>
  <c r="J14565" i="3"/>
  <c r="J14564" i="3"/>
  <c r="J14563" i="3"/>
  <c r="J14562" i="3"/>
  <c r="J14561" i="3"/>
  <c r="J14560" i="3"/>
  <c r="J14559" i="3"/>
  <c r="J14558" i="3"/>
  <c r="J14557" i="3"/>
  <c r="J14556" i="3"/>
  <c r="J14555" i="3"/>
  <c r="J14554" i="3"/>
  <c r="J14553" i="3"/>
  <c r="J14552" i="3"/>
  <c r="J14551" i="3"/>
  <c r="J14550" i="3"/>
  <c r="J14549" i="3"/>
  <c r="J14548" i="3"/>
  <c r="J14547" i="3"/>
  <c r="J14546" i="3"/>
  <c r="J14545" i="3"/>
  <c r="J14544" i="3"/>
  <c r="J14543" i="3"/>
  <c r="J14542" i="3"/>
  <c r="J14541" i="3"/>
  <c r="J14540" i="3"/>
  <c r="J14539" i="3"/>
  <c r="J14538" i="3"/>
  <c r="J14537" i="3"/>
  <c r="J14536" i="3"/>
  <c r="J14535" i="3"/>
  <c r="J14534" i="3"/>
  <c r="J14533" i="3"/>
  <c r="J14532" i="3"/>
  <c r="J14531" i="3"/>
  <c r="J14530" i="3"/>
  <c r="J14529" i="3"/>
  <c r="J14528" i="3"/>
  <c r="J14527" i="3"/>
  <c r="J14526" i="3"/>
  <c r="J14525" i="3"/>
  <c r="J14524" i="3"/>
  <c r="J14523" i="3"/>
  <c r="J14522" i="3"/>
  <c r="J14521" i="3"/>
  <c r="J14520" i="3"/>
  <c r="J14519" i="3"/>
  <c r="J14518" i="3"/>
  <c r="J14517" i="3"/>
  <c r="J14516" i="3"/>
  <c r="J14515" i="3"/>
  <c r="J14514" i="3"/>
  <c r="J14513" i="3"/>
  <c r="J14512" i="3"/>
  <c r="J14511" i="3"/>
  <c r="J14510" i="3"/>
  <c r="J14509" i="3"/>
  <c r="J14508" i="3"/>
  <c r="J14507" i="3"/>
  <c r="J14506" i="3"/>
  <c r="J14505" i="3"/>
  <c r="J14504" i="3"/>
  <c r="J14503" i="3"/>
  <c r="J14502" i="3"/>
  <c r="J14501" i="3"/>
  <c r="J14500" i="3"/>
  <c r="J14499" i="3"/>
  <c r="J14498" i="3"/>
  <c r="J14497" i="3"/>
  <c r="J14496" i="3"/>
  <c r="J14495" i="3"/>
  <c r="J14494" i="3"/>
  <c r="J14493" i="3"/>
  <c r="J14492" i="3"/>
  <c r="J14491" i="3"/>
  <c r="J14490" i="3"/>
  <c r="J14489" i="3"/>
  <c r="J14488" i="3"/>
  <c r="J14487" i="3"/>
  <c r="J14486" i="3"/>
  <c r="J14485" i="3"/>
  <c r="J14484" i="3"/>
  <c r="J14483" i="3"/>
  <c r="J14482" i="3"/>
  <c r="J14481" i="3"/>
  <c r="J14480" i="3"/>
  <c r="J14479" i="3"/>
  <c r="J14478" i="3"/>
  <c r="J14477" i="3"/>
  <c r="J14476" i="3"/>
  <c r="J14475" i="3"/>
  <c r="J14474" i="3"/>
  <c r="J14473" i="3"/>
  <c r="J14472" i="3"/>
  <c r="J14471" i="3"/>
  <c r="J14470" i="3"/>
  <c r="J14469" i="3"/>
  <c r="J14468" i="3"/>
  <c r="J14467" i="3"/>
  <c r="J14466" i="3"/>
  <c r="J14465" i="3"/>
  <c r="J14464" i="3"/>
  <c r="J14463" i="3"/>
  <c r="J14462" i="3"/>
  <c r="J14461" i="3"/>
  <c r="J14460" i="3"/>
  <c r="J14459" i="3"/>
  <c r="J14458" i="3"/>
  <c r="J14457" i="3"/>
  <c r="J14456" i="3"/>
  <c r="J14455" i="3"/>
  <c r="J14454" i="3"/>
  <c r="J14453" i="3"/>
  <c r="J14452" i="3"/>
  <c r="J14451" i="3"/>
  <c r="J14450" i="3"/>
  <c r="J14449" i="3"/>
  <c r="J14448" i="3"/>
  <c r="J14447" i="3"/>
  <c r="J14446" i="3"/>
  <c r="J14445" i="3"/>
  <c r="J14444" i="3"/>
  <c r="J14443" i="3"/>
  <c r="J14442" i="3"/>
  <c r="J14441" i="3"/>
  <c r="J14440" i="3"/>
  <c r="J14439" i="3"/>
  <c r="J14438" i="3"/>
  <c r="J14437" i="3"/>
  <c r="J14436" i="3"/>
  <c r="J14435" i="3"/>
  <c r="J14434" i="3"/>
  <c r="J14433" i="3"/>
  <c r="J14432" i="3"/>
  <c r="J14431" i="3"/>
  <c r="J14430" i="3"/>
  <c r="J14429" i="3"/>
  <c r="J14428" i="3"/>
  <c r="J14427" i="3"/>
  <c r="J14426" i="3"/>
  <c r="J14425" i="3"/>
  <c r="J14424" i="3"/>
  <c r="J14423" i="3"/>
  <c r="J14422" i="3"/>
  <c r="J14421" i="3"/>
  <c r="J14420" i="3"/>
  <c r="J14419" i="3"/>
  <c r="J14418" i="3"/>
  <c r="J14417" i="3"/>
  <c r="J14416" i="3"/>
  <c r="J14415" i="3"/>
  <c r="J14414" i="3"/>
  <c r="J14413" i="3"/>
  <c r="J14412" i="3"/>
  <c r="J14411" i="3"/>
  <c r="J14410" i="3"/>
  <c r="J14409" i="3"/>
  <c r="J14408" i="3"/>
  <c r="J14407" i="3"/>
  <c r="J14406" i="3"/>
  <c r="J14405" i="3"/>
  <c r="J14404" i="3"/>
  <c r="J14403" i="3"/>
  <c r="J14402" i="3"/>
  <c r="J14401" i="3"/>
  <c r="J14400" i="3"/>
  <c r="J14399" i="3"/>
  <c r="J14398" i="3"/>
  <c r="J14397" i="3"/>
  <c r="J14396" i="3"/>
  <c r="J14395" i="3"/>
  <c r="J14394" i="3"/>
  <c r="J14393" i="3"/>
  <c r="J14392" i="3"/>
  <c r="J14391" i="3"/>
  <c r="J14390" i="3"/>
  <c r="J14389" i="3"/>
  <c r="J14388" i="3"/>
  <c r="J14387" i="3"/>
  <c r="J14386" i="3"/>
  <c r="J14385" i="3"/>
  <c r="J14384" i="3"/>
  <c r="J14383" i="3"/>
  <c r="J14382" i="3"/>
  <c r="J14381" i="3"/>
  <c r="J14380" i="3"/>
  <c r="J14379" i="3"/>
  <c r="J14378" i="3"/>
  <c r="J14377" i="3"/>
  <c r="J14376" i="3"/>
  <c r="J14375" i="3"/>
  <c r="J14374" i="3"/>
  <c r="J14373" i="3"/>
  <c r="J14372" i="3"/>
  <c r="J14371" i="3"/>
  <c r="J14370" i="3"/>
  <c r="J14369" i="3"/>
  <c r="J14368" i="3"/>
  <c r="J14367" i="3"/>
  <c r="J14366" i="3"/>
  <c r="J14365" i="3"/>
  <c r="J14364" i="3"/>
  <c r="J14363" i="3"/>
  <c r="J14362" i="3"/>
  <c r="J14361" i="3"/>
  <c r="J14360" i="3"/>
  <c r="J14359" i="3"/>
  <c r="J14358" i="3"/>
  <c r="J14357" i="3"/>
  <c r="J14356" i="3"/>
  <c r="J14355" i="3"/>
  <c r="J14354" i="3"/>
  <c r="J14353" i="3"/>
  <c r="J14352" i="3"/>
  <c r="J14351" i="3"/>
  <c r="J14350" i="3"/>
  <c r="J14349" i="3"/>
  <c r="J14348" i="3"/>
  <c r="J14347" i="3"/>
  <c r="J14346" i="3"/>
  <c r="J14345" i="3"/>
  <c r="J14344" i="3"/>
  <c r="J14343" i="3"/>
  <c r="J14342" i="3"/>
  <c r="J14341" i="3"/>
  <c r="J14340" i="3"/>
  <c r="J14339" i="3"/>
  <c r="J14338" i="3"/>
  <c r="J14337" i="3"/>
  <c r="J14336" i="3"/>
  <c r="J14335" i="3"/>
  <c r="J14334" i="3"/>
  <c r="J14333" i="3"/>
  <c r="J14332" i="3"/>
  <c r="J14331" i="3"/>
  <c r="J14330" i="3"/>
  <c r="J14329" i="3"/>
  <c r="J14328" i="3"/>
  <c r="J14327" i="3"/>
  <c r="J14326" i="3"/>
  <c r="J14325" i="3"/>
  <c r="J14324" i="3"/>
  <c r="J14323" i="3"/>
  <c r="J14322" i="3"/>
  <c r="J14321" i="3"/>
  <c r="J14320" i="3"/>
  <c r="J14319" i="3"/>
  <c r="J14318" i="3"/>
  <c r="J14317" i="3"/>
  <c r="J14316" i="3"/>
  <c r="J14315" i="3"/>
  <c r="J14314" i="3"/>
  <c r="J14313" i="3"/>
  <c r="J14312" i="3"/>
  <c r="J14311" i="3"/>
  <c r="J14310" i="3"/>
  <c r="J14309" i="3"/>
  <c r="J14308" i="3"/>
  <c r="J14307" i="3"/>
  <c r="J14306" i="3"/>
  <c r="J14305" i="3"/>
  <c r="J14304" i="3"/>
  <c r="J14303" i="3"/>
  <c r="J14302" i="3"/>
  <c r="J14301" i="3"/>
  <c r="J14300" i="3"/>
  <c r="J14299" i="3"/>
  <c r="J14298" i="3"/>
  <c r="J14297" i="3"/>
  <c r="J14296" i="3"/>
  <c r="J14295" i="3"/>
  <c r="J14294" i="3"/>
  <c r="J14293" i="3"/>
  <c r="J14292" i="3"/>
  <c r="J14291" i="3"/>
  <c r="J14290" i="3"/>
  <c r="J14289" i="3"/>
  <c r="J14288" i="3"/>
  <c r="J14287" i="3"/>
  <c r="J14286" i="3"/>
  <c r="J14285" i="3"/>
  <c r="J14284" i="3"/>
  <c r="J14283" i="3"/>
  <c r="J14282" i="3"/>
  <c r="J14281" i="3"/>
  <c r="J14280" i="3"/>
  <c r="J14279" i="3"/>
  <c r="J14278" i="3"/>
  <c r="J14277" i="3"/>
  <c r="J14276" i="3"/>
  <c r="J14275" i="3"/>
  <c r="J14274" i="3"/>
  <c r="J14273" i="3"/>
  <c r="J14272" i="3"/>
  <c r="J14271" i="3"/>
  <c r="J14270" i="3"/>
  <c r="J14269" i="3"/>
  <c r="J14268" i="3"/>
  <c r="J14267" i="3"/>
  <c r="J14266" i="3"/>
  <c r="J14265" i="3"/>
  <c r="J14264" i="3"/>
  <c r="J14263" i="3"/>
  <c r="J14262" i="3"/>
  <c r="J14261" i="3"/>
  <c r="J14260" i="3"/>
  <c r="J14259" i="3"/>
  <c r="J14258" i="3"/>
  <c r="J14257" i="3"/>
  <c r="J14256" i="3"/>
  <c r="J14255" i="3"/>
  <c r="J14254" i="3"/>
  <c r="J14253" i="3"/>
  <c r="J14252" i="3"/>
  <c r="J14251" i="3"/>
  <c r="J14250" i="3"/>
  <c r="J14249" i="3"/>
  <c r="J14248" i="3"/>
  <c r="J14247" i="3"/>
  <c r="J14246" i="3"/>
  <c r="J14245" i="3"/>
  <c r="J14244" i="3"/>
  <c r="J14243" i="3"/>
  <c r="J14242" i="3"/>
  <c r="J14241" i="3"/>
  <c r="J14240" i="3"/>
  <c r="J14239" i="3"/>
  <c r="J14238" i="3"/>
  <c r="J14237" i="3"/>
  <c r="J14236" i="3"/>
  <c r="J14235" i="3"/>
  <c r="J14234" i="3"/>
  <c r="J14233" i="3"/>
  <c r="J14232" i="3"/>
  <c r="J14231" i="3"/>
  <c r="J14230" i="3"/>
  <c r="J14229" i="3"/>
  <c r="J14228" i="3"/>
  <c r="J14227" i="3"/>
  <c r="J14226" i="3"/>
  <c r="J14225" i="3"/>
  <c r="J14224" i="3"/>
  <c r="J14223" i="3"/>
  <c r="J14222" i="3"/>
  <c r="J14221" i="3"/>
  <c r="J14220" i="3"/>
  <c r="J14219" i="3"/>
  <c r="J14218" i="3"/>
  <c r="J14217" i="3"/>
  <c r="J14216" i="3"/>
  <c r="J14215" i="3"/>
  <c r="J14214" i="3"/>
  <c r="J14213" i="3"/>
  <c r="J14212" i="3"/>
  <c r="J14211" i="3"/>
  <c r="J14210" i="3"/>
  <c r="J14209" i="3"/>
  <c r="J14208" i="3"/>
  <c r="J14207" i="3"/>
  <c r="J14206" i="3"/>
  <c r="J14205" i="3"/>
  <c r="J14204" i="3"/>
  <c r="J14203" i="3"/>
  <c r="J14202" i="3"/>
  <c r="J14201" i="3"/>
  <c r="J14200" i="3"/>
  <c r="J14199" i="3"/>
  <c r="J14198" i="3"/>
  <c r="J14197" i="3"/>
  <c r="J14196" i="3"/>
  <c r="J14195" i="3"/>
  <c r="J14194" i="3"/>
  <c r="J14193" i="3"/>
  <c r="J14192" i="3"/>
  <c r="J14191" i="3"/>
  <c r="J14190" i="3"/>
  <c r="J14189" i="3"/>
  <c r="J14188" i="3"/>
  <c r="J14187" i="3"/>
  <c r="J14186" i="3"/>
  <c r="J14185" i="3"/>
  <c r="J14184" i="3"/>
  <c r="J14183" i="3"/>
  <c r="J14182" i="3"/>
  <c r="J14181" i="3"/>
  <c r="J14180" i="3"/>
  <c r="J14179" i="3"/>
  <c r="J14178" i="3"/>
  <c r="J14177" i="3"/>
  <c r="J14176" i="3"/>
  <c r="J14175" i="3"/>
  <c r="J14174" i="3"/>
  <c r="J14173" i="3"/>
  <c r="J14172" i="3"/>
  <c r="J14171" i="3"/>
  <c r="J14170" i="3"/>
  <c r="J14169" i="3"/>
  <c r="J14168" i="3"/>
  <c r="J14167" i="3"/>
  <c r="J14166" i="3"/>
  <c r="J14165" i="3"/>
  <c r="J14164" i="3"/>
  <c r="J14163" i="3"/>
  <c r="J14162" i="3"/>
  <c r="J14161" i="3"/>
  <c r="J14160" i="3"/>
  <c r="J14159" i="3"/>
  <c r="J14158" i="3"/>
  <c r="J14157" i="3"/>
  <c r="J14156" i="3"/>
  <c r="J14155" i="3"/>
  <c r="J14154" i="3"/>
  <c r="J14153" i="3"/>
  <c r="J14152" i="3"/>
  <c r="J14151" i="3"/>
  <c r="J14150" i="3"/>
  <c r="J14149" i="3"/>
  <c r="J14148" i="3"/>
  <c r="J14147" i="3"/>
  <c r="J14146" i="3"/>
  <c r="J14145" i="3"/>
  <c r="J14144" i="3"/>
  <c r="J14143" i="3"/>
  <c r="J14142" i="3"/>
  <c r="J14141" i="3"/>
  <c r="J14140" i="3"/>
  <c r="J14139" i="3"/>
  <c r="J14138" i="3"/>
  <c r="J14137" i="3"/>
  <c r="J14136" i="3"/>
  <c r="J14135" i="3"/>
  <c r="J14134" i="3"/>
  <c r="J14133" i="3"/>
  <c r="J14132" i="3"/>
  <c r="J14131" i="3"/>
  <c r="J14130" i="3"/>
  <c r="J14129" i="3"/>
  <c r="J14128" i="3"/>
  <c r="J14127" i="3"/>
  <c r="J14126" i="3"/>
  <c r="J14125" i="3"/>
  <c r="J14124" i="3"/>
  <c r="J14123" i="3"/>
  <c r="J14122" i="3"/>
  <c r="J14121" i="3"/>
  <c r="J14120" i="3"/>
  <c r="J14119" i="3"/>
  <c r="J14118" i="3"/>
  <c r="J14117" i="3"/>
  <c r="J14116" i="3"/>
  <c r="J14115" i="3"/>
  <c r="J14114" i="3"/>
  <c r="J14113" i="3"/>
  <c r="J14112" i="3"/>
  <c r="J14111" i="3"/>
  <c r="J14110" i="3"/>
  <c r="J14109" i="3"/>
  <c r="J14108" i="3"/>
  <c r="J14107" i="3"/>
  <c r="J14106" i="3"/>
  <c r="J14105" i="3"/>
  <c r="J14104" i="3"/>
  <c r="J14103" i="3"/>
  <c r="J14102" i="3"/>
  <c r="J14101" i="3"/>
  <c r="J14100" i="3"/>
  <c r="J14099" i="3"/>
  <c r="J14098" i="3"/>
  <c r="J14097" i="3"/>
  <c r="J14096" i="3"/>
  <c r="J14095" i="3"/>
  <c r="J14094" i="3"/>
  <c r="J14093" i="3"/>
  <c r="J14092" i="3"/>
  <c r="J14091" i="3"/>
  <c r="J14090" i="3"/>
  <c r="J14089" i="3"/>
  <c r="J14088" i="3"/>
  <c r="J14087" i="3"/>
  <c r="J14086" i="3"/>
  <c r="J14085" i="3"/>
  <c r="J14084" i="3"/>
  <c r="J14083" i="3"/>
  <c r="J14082" i="3"/>
  <c r="J14081" i="3"/>
  <c r="J14080" i="3"/>
  <c r="J14079" i="3"/>
  <c r="J14078" i="3"/>
  <c r="J14077" i="3"/>
  <c r="J14076" i="3"/>
  <c r="J14075" i="3"/>
  <c r="J14074" i="3"/>
  <c r="J14073" i="3"/>
  <c r="J14072" i="3"/>
  <c r="J14071" i="3"/>
  <c r="J14070" i="3"/>
  <c r="J14069" i="3"/>
  <c r="J14068" i="3"/>
  <c r="J14067" i="3"/>
  <c r="J14066" i="3"/>
  <c r="J14065" i="3"/>
  <c r="J14064" i="3"/>
  <c r="J14063" i="3"/>
  <c r="J14062" i="3"/>
  <c r="J14061" i="3"/>
  <c r="J14060" i="3"/>
  <c r="J14059" i="3"/>
  <c r="J14058" i="3"/>
  <c r="J14057" i="3"/>
  <c r="J14056" i="3"/>
  <c r="J14055" i="3"/>
  <c r="J14054" i="3"/>
  <c r="J14053" i="3"/>
  <c r="J14052" i="3"/>
  <c r="J14051" i="3"/>
  <c r="J14050" i="3"/>
  <c r="J14049" i="3"/>
  <c r="J14048" i="3"/>
  <c r="J14047" i="3"/>
  <c r="J14046" i="3"/>
  <c r="J14045" i="3"/>
  <c r="J14044" i="3"/>
  <c r="J14043" i="3"/>
  <c r="J14042" i="3"/>
  <c r="J14041" i="3"/>
  <c r="J14040" i="3"/>
  <c r="J14039" i="3"/>
  <c r="J14038" i="3"/>
  <c r="J14037" i="3"/>
  <c r="J14036" i="3"/>
  <c r="J14035" i="3"/>
  <c r="J14034" i="3"/>
  <c r="J14033" i="3"/>
  <c r="J14032" i="3"/>
  <c r="J14031" i="3"/>
  <c r="J14030" i="3"/>
  <c r="J14029" i="3"/>
  <c r="J14028" i="3"/>
  <c r="J14027" i="3"/>
  <c r="J14026" i="3"/>
  <c r="J14025" i="3"/>
  <c r="J14024" i="3"/>
  <c r="J14023" i="3"/>
  <c r="J14022" i="3"/>
  <c r="J14021" i="3"/>
  <c r="J14020" i="3"/>
  <c r="J14019" i="3"/>
  <c r="J14018" i="3"/>
  <c r="J14017" i="3"/>
  <c r="J14016" i="3"/>
  <c r="J14015" i="3"/>
  <c r="J14014" i="3"/>
  <c r="J14013" i="3"/>
  <c r="J14012" i="3"/>
  <c r="J14011" i="3"/>
  <c r="J14010" i="3"/>
  <c r="J14009" i="3"/>
  <c r="J14008" i="3"/>
  <c r="J14007" i="3"/>
  <c r="J14006" i="3"/>
  <c r="J14005" i="3"/>
  <c r="J14004" i="3"/>
  <c r="J14003" i="3"/>
  <c r="J14002" i="3"/>
  <c r="J14001" i="3"/>
  <c r="J14000" i="3"/>
  <c r="J13999" i="3"/>
  <c r="J13998" i="3"/>
  <c r="J13997" i="3"/>
  <c r="J13996" i="3"/>
  <c r="J13995" i="3"/>
  <c r="J13994" i="3"/>
  <c r="J13993" i="3"/>
  <c r="J13992" i="3"/>
  <c r="J13991" i="3"/>
  <c r="J13990" i="3"/>
  <c r="J13989" i="3"/>
  <c r="J13988" i="3"/>
  <c r="J13987" i="3"/>
  <c r="J13986" i="3"/>
  <c r="J13985" i="3"/>
  <c r="J13984" i="3"/>
  <c r="J13983" i="3"/>
  <c r="J13982" i="3"/>
  <c r="J13981" i="3"/>
  <c r="J13980" i="3"/>
  <c r="J13979" i="3"/>
  <c r="J13978" i="3"/>
  <c r="J13977" i="3"/>
  <c r="J13976" i="3"/>
  <c r="J13975" i="3"/>
  <c r="J13974" i="3"/>
  <c r="J13973" i="3"/>
  <c r="J13972" i="3"/>
  <c r="J13971" i="3"/>
  <c r="J13970" i="3"/>
  <c r="J13969" i="3"/>
  <c r="J13968" i="3"/>
  <c r="J13967" i="3"/>
  <c r="J13966" i="3"/>
  <c r="J13965" i="3"/>
  <c r="J13964" i="3"/>
  <c r="J13963" i="3"/>
  <c r="J13962" i="3"/>
  <c r="J13961" i="3"/>
  <c r="J13960" i="3"/>
  <c r="J13959" i="3"/>
  <c r="J13958" i="3"/>
  <c r="J13957" i="3"/>
  <c r="J13956" i="3"/>
  <c r="J13955" i="3"/>
  <c r="J13954" i="3"/>
  <c r="J13953" i="3"/>
  <c r="J13952" i="3"/>
  <c r="J13951" i="3"/>
  <c r="J13950" i="3"/>
  <c r="J13949" i="3"/>
  <c r="J13948" i="3"/>
  <c r="J13947" i="3"/>
  <c r="J13946" i="3"/>
  <c r="J13945" i="3"/>
  <c r="J13944" i="3"/>
  <c r="J13943" i="3"/>
  <c r="J13942" i="3"/>
  <c r="J13941" i="3"/>
  <c r="J13940" i="3"/>
  <c r="J13939" i="3"/>
  <c r="J13938" i="3"/>
  <c r="J13937" i="3"/>
  <c r="J13936" i="3"/>
  <c r="J13935" i="3"/>
  <c r="J13934" i="3"/>
  <c r="J13933" i="3"/>
  <c r="J13932" i="3"/>
  <c r="J13931" i="3"/>
  <c r="J13930" i="3"/>
  <c r="J13929" i="3"/>
  <c r="J13928" i="3"/>
  <c r="J13927" i="3"/>
  <c r="J13926" i="3"/>
  <c r="J13925" i="3"/>
  <c r="J13924" i="3"/>
  <c r="J13923" i="3"/>
  <c r="J13922" i="3"/>
  <c r="J13921" i="3"/>
  <c r="J13920" i="3"/>
  <c r="J13919" i="3"/>
  <c r="J13918" i="3"/>
  <c r="J13917" i="3"/>
  <c r="J13916" i="3"/>
  <c r="J13915" i="3"/>
  <c r="J13914" i="3"/>
  <c r="J13913" i="3"/>
  <c r="J13912" i="3"/>
  <c r="J13911" i="3"/>
  <c r="J13910" i="3"/>
  <c r="J13909" i="3"/>
  <c r="J13908" i="3"/>
  <c r="J13907" i="3"/>
  <c r="J13906" i="3"/>
  <c r="J13905" i="3"/>
  <c r="J13904" i="3"/>
  <c r="J13903" i="3"/>
  <c r="J13902" i="3"/>
  <c r="J13901" i="3"/>
  <c r="J13900" i="3"/>
  <c r="J13899" i="3"/>
  <c r="J13898" i="3"/>
  <c r="J13897" i="3"/>
  <c r="J13896" i="3"/>
  <c r="J13895" i="3"/>
  <c r="J13894" i="3"/>
  <c r="J13893" i="3"/>
  <c r="J13892" i="3"/>
  <c r="J13891" i="3"/>
  <c r="J13890" i="3"/>
  <c r="J13889" i="3"/>
  <c r="J13888" i="3"/>
  <c r="J13887" i="3"/>
  <c r="J13886" i="3"/>
  <c r="J13885" i="3"/>
  <c r="J13884" i="3"/>
  <c r="J13883" i="3"/>
  <c r="J13882" i="3"/>
  <c r="J13881" i="3"/>
  <c r="J13880" i="3"/>
  <c r="J13879" i="3"/>
  <c r="J13878" i="3"/>
  <c r="J13877" i="3"/>
  <c r="J13876" i="3"/>
  <c r="J13875" i="3"/>
  <c r="J13874" i="3"/>
  <c r="J13873" i="3"/>
  <c r="J13872" i="3"/>
  <c r="J13871" i="3"/>
  <c r="J13870" i="3"/>
  <c r="J13869" i="3"/>
  <c r="J13868" i="3"/>
  <c r="J13867" i="3"/>
  <c r="J13866" i="3"/>
  <c r="J13865" i="3"/>
  <c r="J13864" i="3"/>
  <c r="J13863" i="3"/>
  <c r="J13862" i="3"/>
  <c r="J13861" i="3"/>
  <c r="J13860" i="3"/>
  <c r="J13859" i="3"/>
  <c r="J13858" i="3"/>
  <c r="J13857" i="3"/>
  <c r="J13856" i="3"/>
  <c r="J13855" i="3"/>
  <c r="J13854" i="3"/>
  <c r="J13853" i="3"/>
  <c r="J13852" i="3"/>
  <c r="J13851" i="3"/>
  <c r="J13850" i="3"/>
  <c r="J13849" i="3"/>
  <c r="J13848" i="3"/>
  <c r="J13847" i="3"/>
  <c r="J13846" i="3"/>
  <c r="J13845" i="3"/>
  <c r="J13844" i="3"/>
  <c r="J13843" i="3"/>
  <c r="J13842" i="3"/>
  <c r="J13841" i="3"/>
  <c r="J13840" i="3"/>
  <c r="J13839" i="3"/>
  <c r="J13838" i="3"/>
  <c r="J13837" i="3"/>
  <c r="J13836" i="3"/>
  <c r="J13835" i="3"/>
  <c r="J13834" i="3"/>
  <c r="J13833" i="3"/>
  <c r="J13832" i="3"/>
  <c r="J13831" i="3"/>
  <c r="J13830" i="3"/>
  <c r="J13829" i="3"/>
  <c r="J13828" i="3"/>
  <c r="J13827" i="3"/>
  <c r="J13826" i="3"/>
  <c r="J13825" i="3"/>
  <c r="J13824" i="3"/>
  <c r="J13823" i="3"/>
  <c r="J13822" i="3"/>
  <c r="J13821" i="3"/>
  <c r="J13820" i="3"/>
  <c r="J13819" i="3"/>
  <c r="J13818" i="3"/>
  <c r="J13817" i="3"/>
  <c r="J13816" i="3"/>
  <c r="J13815" i="3"/>
  <c r="J13814" i="3"/>
  <c r="J13813" i="3"/>
  <c r="J13812" i="3"/>
  <c r="J13811" i="3"/>
  <c r="J13810" i="3"/>
  <c r="J13809" i="3"/>
  <c r="J13808" i="3"/>
  <c r="J13807" i="3"/>
  <c r="J13806" i="3"/>
  <c r="J13805" i="3"/>
  <c r="J13804" i="3"/>
  <c r="J13803" i="3"/>
  <c r="J13802" i="3"/>
  <c r="J13801" i="3"/>
  <c r="J13800" i="3"/>
  <c r="J13799" i="3"/>
  <c r="J13798" i="3"/>
  <c r="J13797" i="3"/>
  <c r="J13796" i="3"/>
  <c r="J13795" i="3"/>
  <c r="J13794" i="3"/>
  <c r="J13793" i="3"/>
  <c r="J13792" i="3"/>
  <c r="J13791" i="3"/>
  <c r="J13790" i="3"/>
  <c r="J13789" i="3"/>
  <c r="J13788" i="3"/>
  <c r="J13787" i="3"/>
  <c r="J13786" i="3"/>
  <c r="J13785" i="3"/>
  <c r="J13784" i="3"/>
  <c r="J13783" i="3"/>
  <c r="J13782" i="3"/>
  <c r="J13781" i="3"/>
  <c r="J13780" i="3"/>
  <c r="J13779" i="3"/>
  <c r="J13778" i="3"/>
  <c r="J13777" i="3"/>
  <c r="J13776" i="3"/>
  <c r="J13775" i="3"/>
  <c r="J13774" i="3"/>
  <c r="J13773" i="3"/>
  <c r="J13772" i="3"/>
  <c r="J13771" i="3"/>
  <c r="J13770" i="3"/>
  <c r="J13769" i="3"/>
  <c r="J13768" i="3"/>
  <c r="J13767" i="3"/>
  <c r="J13766" i="3"/>
  <c r="J13765" i="3"/>
  <c r="J13764" i="3"/>
  <c r="J13763" i="3"/>
  <c r="J13762" i="3"/>
  <c r="J13761" i="3"/>
  <c r="J13760" i="3"/>
  <c r="J13759" i="3"/>
  <c r="J13758" i="3"/>
  <c r="J13757" i="3"/>
  <c r="J13756" i="3"/>
  <c r="J13755" i="3"/>
  <c r="J13754" i="3"/>
  <c r="J13753" i="3"/>
  <c r="J13752" i="3"/>
  <c r="J13751" i="3"/>
  <c r="J13750" i="3"/>
  <c r="J13749" i="3"/>
  <c r="J13748" i="3"/>
  <c r="J13747" i="3"/>
  <c r="J13746" i="3"/>
  <c r="J13745" i="3"/>
  <c r="J13744" i="3"/>
  <c r="J13743" i="3"/>
  <c r="J13742" i="3"/>
  <c r="J13741" i="3"/>
  <c r="J13740" i="3"/>
  <c r="J13739" i="3"/>
  <c r="J13738" i="3"/>
  <c r="J13737" i="3"/>
  <c r="J13736" i="3"/>
  <c r="J13735" i="3"/>
  <c r="J13734" i="3"/>
  <c r="J13733" i="3"/>
  <c r="J13732" i="3"/>
  <c r="J13731" i="3"/>
  <c r="J13730" i="3"/>
  <c r="J13729" i="3"/>
  <c r="J13728" i="3"/>
  <c r="J13727" i="3"/>
  <c r="J13726" i="3"/>
  <c r="J13725" i="3"/>
  <c r="J13724" i="3"/>
  <c r="J13723" i="3"/>
  <c r="J13722" i="3"/>
  <c r="J13721" i="3"/>
  <c r="J13720" i="3"/>
  <c r="J13719" i="3"/>
  <c r="J13718" i="3"/>
  <c r="J13717" i="3"/>
  <c r="J13716" i="3"/>
  <c r="J13715" i="3"/>
  <c r="J13714" i="3"/>
  <c r="J13713" i="3"/>
  <c r="J13712" i="3"/>
  <c r="J13711" i="3"/>
  <c r="J13710" i="3"/>
  <c r="J13709" i="3"/>
  <c r="J13708" i="3"/>
  <c r="J13707" i="3"/>
  <c r="J13706" i="3"/>
  <c r="J13705" i="3"/>
  <c r="J13704" i="3"/>
  <c r="J13703" i="3"/>
  <c r="J13702" i="3"/>
  <c r="J13701" i="3"/>
  <c r="J13700" i="3"/>
  <c r="J13699" i="3"/>
  <c r="J13698" i="3"/>
  <c r="J13697" i="3"/>
  <c r="J13696" i="3"/>
  <c r="J13695" i="3"/>
  <c r="J13694" i="3"/>
  <c r="J13693" i="3"/>
  <c r="J13692" i="3"/>
  <c r="J13691" i="3"/>
  <c r="J13690" i="3"/>
  <c r="J13689" i="3"/>
  <c r="J13688" i="3"/>
  <c r="J13687" i="3"/>
  <c r="J13686" i="3"/>
  <c r="J13685" i="3"/>
  <c r="J13684" i="3"/>
  <c r="J13683" i="3"/>
  <c r="J13682" i="3"/>
  <c r="J13681" i="3"/>
  <c r="J13680" i="3"/>
  <c r="J13679" i="3"/>
  <c r="J13678" i="3"/>
  <c r="J13677" i="3"/>
  <c r="J13676" i="3"/>
  <c r="J13675" i="3"/>
  <c r="J13674" i="3"/>
  <c r="J13673" i="3"/>
  <c r="J13672" i="3"/>
  <c r="J13671" i="3"/>
  <c r="J13670" i="3"/>
  <c r="J13669" i="3"/>
  <c r="J13668" i="3"/>
  <c r="J13667" i="3"/>
  <c r="J13666" i="3"/>
  <c r="J13665" i="3"/>
  <c r="J13664" i="3"/>
  <c r="J13663" i="3"/>
  <c r="J13662" i="3"/>
  <c r="J13661" i="3"/>
  <c r="J13660" i="3"/>
  <c r="J13659" i="3"/>
  <c r="J13658" i="3"/>
  <c r="J13657" i="3"/>
  <c r="J13656" i="3"/>
  <c r="J13655" i="3"/>
  <c r="J13654" i="3"/>
  <c r="J13653" i="3"/>
  <c r="J13652" i="3"/>
  <c r="J13651" i="3"/>
  <c r="J13650" i="3"/>
  <c r="J13649" i="3"/>
  <c r="J13648" i="3"/>
  <c r="J13647" i="3"/>
  <c r="J13646" i="3"/>
  <c r="J13645" i="3"/>
  <c r="J13644" i="3"/>
  <c r="J13643" i="3"/>
  <c r="J13642" i="3"/>
  <c r="J13641" i="3"/>
  <c r="J13640" i="3"/>
  <c r="J13639" i="3"/>
  <c r="J13638" i="3"/>
  <c r="J13637" i="3"/>
  <c r="J13636" i="3"/>
  <c r="J13635" i="3"/>
  <c r="J13634" i="3"/>
  <c r="J13633" i="3"/>
  <c r="J13632" i="3"/>
  <c r="J13631" i="3"/>
  <c r="J13630" i="3"/>
  <c r="J13629" i="3"/>
  <c r="J13628" i="3"/>
  <c r="J13627" i="3"/>
  <c r="J13626" i="3"/>
  <c r="J13625" i="3"/>
  <c r="J13624" i="3"/>
  <c r="J13623" i="3"/>
  <c r="J13622" i="3"/>
  <c r="J13621" i="3"/>
  <c r="J13620" i="3"/>
  <c r="J13619" i="3"/>
  <c r="J13618" i="3"/>
  <c r="J13617" i="3"/>
  <c r="J13616" i="3"/>
  <c r="J13615" i="3"/>
  <c r="J13614" i="3"/>
  <c r="J13613" i="3"/>
  <c r="J13612" i="3"/>
  <c r="J13611" i="3"/>
  <c r="J13610" i="3"/>
  <c r="J13609" i="3"/>
  <c r="J13608" i="3"/>
  <c r="J13607" i="3"/>
  <c r="J13606" i="3"/>
  <c r="J13605" i="3"/>
  <c r="J13604" i="3"/>
  <c r="J13603" i="3"/>
  <c r="J13602" i="3"/>
  <c r="J13601" i="3"/>
  <c r="J13600" i="3"/>
  <c r="J13599" i="3"/>
  <c r="J13598" i="3"/>
  <c r="J13597" i="3"/>
  <c r="J13596" i="3"/>
  <c r="J13595" i="3"/>
  <c r="J13594" i="3"/>
  <c r="J13593" i="3"/>
  <c r="J13592" i="3"/>
  <c r="J13591" i="3"/>
  <c r="J13590" i="3"/>
  <c r="J13589" i="3"/>
  <c r="J13588" i="3"/>
  <c r="J13587" i="3"/>
  <c r="J13586" i="3"/>
  <c r="J13585" i="3"/>
  <c r="J13584" i="3"/>
  <c r="J13583" i="3"/>
  <c r="J13582" i="3"/>
  <c r="J13581" i="3"/>
  <c r="J13580" i="3"/>
  <c r="J13579" i="3"/>
  <c r="J13578" i="3"/>
  <c r="J13577" i="3"/>
  <c r="J13576" i="3"/>
  <c r="J13575" i="3"/>
  <c r="J13574" i="3"/>
  <c r="J13573" i="3"/>
  <c r="J13572" i="3"/>
  <c r="J13571" i="3"/>
  <c r="J13570" i="3"/>
  <c r="J13569" i="3"/>
  <c r="J13568" i="3"/>
  <c r="J13567" i="3"/>
  <c r="J13566" i="3"/>
  <c r="J13565" i="3"/>
  <c r="J13564" i="3"/>
  <c r="J13563" i="3"/>
  <c r="J13562" i="3"/>
  <c r="J13561" i="3"/>
  <c r="J13560" i="3"/>
  <c r="J13559" i="3"/>
  <c r="J13558" i="3"/>
  <c r="J13557" i="3"/>
  <c r="J13556" i="3"/>
  <c r="J13555" i="3"/>
  <c r="J13554" i="3"/>
  <c r="J13553" i="3"/>
  <c r="J13552" i="3"/>
  <c r="J13551" i="3"/>
  <c r="J13550" i="3"/>
  <c r="J13549" i="3"/>
  <c r="J13548" i="3"/>
  <c r="J13547" i="3"/>
  <c r="J13546" i="3"/>
  <c r="J13545" i="3"/>
  <c r="J13544" i="3"/>
  <c r="J13543" i="3"/>
  <c r="J13542" i="3"/>
  <c r="J13541" i="3"/>
  <c r="J13540" i="3"/>
  <c r="J13539" i="3"/>
  <c r="J13538" i="3"/>
  <c r="J13537" i="3"/>
  <c r="J13536" i="3"/>
  <c r="J13535" i="3"/>
  <c r="J13534" i="3"/>
  <c r="J13533" i="3"/>
  <c r="J13532" i="3"/>
  <c r="J13531" i="3"/>
  <c r="J13530" i="3"/>
  <c r="J13529" i="3"/>
  <c r="J13528" i="3"/>
  <c r="J13527" i="3"/>
  <c r="J13526" i="3"/>
  <c r="J13525" i="3"/>
  <c r="J13524" i="3"/>
  <c r="J13523" i="3"/>
  <c r="J13522" i="3"/>
  <c r="J13521" i="3"/>
  <c r="J13520" i="3"/>
  <c r="J13519" i="3"/>
  <c r="J13518" i="3"/>
  <c r="J13517" i="3"/>
  <c r="J13516" i="3"/>
  <c r="J13515" i="3"/>
  <c r="J13514" i="3"/>
  <c r="J13513" i="3"/>
  <c r="J13512" i="3"/>
  <c r="J13511" i="3"/>
  <c r="J13510" i="3"/>
  <c r="J13509" i="3"/>
  <c r="J13508" i="3"/>
  <c r="J13507" i="3"/>
  <c r="J13506" i="3"/>
  <c r="J13505" i="3"/>
  <c r="J13504" i="3"/>
  <c r="J13503" i="3"/>
  <c r="J13502" i="3"/>
  <c r="J13501" i="3"/>
  <c r="J13500" i="3"/>
  <c r="J13499" i="3"/>
  <c r="J13498" i="3"/>
  <c r="J13497" i="3"/>
  <c r="J13496" i="3"/>
  <c r="J13495" i="3"/>
  <c r="J13494" i="3"/>
  <c r="J13493" i="3"/>
  <c r="J13492" i="3"/>
  <c r="J13491" i="3"/>
  <c r="J13490" i="3"/>
  <c r="J13489" i="3"/>
  <c r="J13488" i="3"/>
  <c r="J13487" i="3"/>
  <c r="J13486" i="3"/>
  <c r="J13485" i="3"/>
  <c r="J13484" i="3"/>
  <c r="J13483" i="3"/>
  <c r="J13482" i="3"/>
  <c r="J13481" i="3"/>
  <c r="J13480" i="3"/>
  <c r="J13479" i="3"/>
  <c r="J13478" i="3"/>
  <c r="J13477" i="3"/>
  <c r="J13476" i="3"/>
  <c r="J13475" i="3"/>
  <c r="J13474" i="3"/>
  <c r="J13473" i="3"/>
  <c r="J13472" i="3"/>
  <c r="J13471" i="3"/>
  <c r="J13470" i="3"/>
  <c r="J13469" i="3"/>
  <c r="J13468" i="3"/>
  <c r="J13467" i="3"/>
  <c r="J13466" i="3"/>
  <c r="J13465" i="3"/>
  <c r="J13464" i="3"/>
  <c r="J13463" i="3"/>
  <c r="J13462" i="3"/>
  <c r="J13461" i="3"/>
  <c r="J13460" i="3"/>
  <c r="J13459" i="3"/>
  <c r="J13458" i="3"/>
  <c r="J13457" i="3"/>
  <c r="J13456" i="3"/>
  <c r="J13455" i="3"/>
  <c r="J13454" i="3"/>
  <c r="J13453" i="3"/>
  <c r="J13452" i="3"/>
  <c r="J13451" i="3"/>
  <c r="J13450" i="3"/>
  <c r="J13449" i="3"/>
  <c r="J13448" i="3"/>
  <c r="J13447" i="3"/>
  <c r="J13446" i="3"/>
  <c r="J13445" i="3"/>
  <c r="J13444" i="3"/>
  <c r="J13443" i="3"/>
  <c r="J13442" i="3"/>
  <c r="J13441" i="3"/>
  <c r="J13440" i="3"/>
  <c r="J13439" i="3"/>
  <c r="J13438" i="3"/>
  <c r="J13437" i="3"/>
  <c r="J13436" i="3"/>
  <c r="J13435" i="3"/>
  <c r="J13434" i="3"/>
  <c r="J13433" i="3"/>
  <c r="J13432" i="3"/>
  <c r="J13431" i="3"/>
  <c r="J13430" i="3"/>
  <c r="J13429" i="3"/>
  <c r="J13428" i="3"/>
  <c r="J13427" i="3"/>
  <c r="J13426" i="3"/>
  <c r="J13425" i="3"/>
  <c r="J13424" i="3"/>
  <c r="J13423" i="3"/>
  <c r="J13422" i="3"/>
  <c r="J13421" i="3"/>
  <c r="J13420" i="3"/>
  <c r="J13419" i="3"/>
  <c r="J13418" i="3"/>
  <c r="J13417" i="3"/>
  <c r="J13416" i="3"/>
  <c r="J13415" i="3"/>
  <c r="J13414" i="3"/>
  <c r="J13413" i="3"/>
  <c r="J13412" i="3"/>
  <c r="J13411" i="3"/>
  <c r="J13410" i="3"/>
  <c r="J13409" i="3"/>
  <c r="J13408" i="3"/>
  <c r="J13407" i="3"/>
  <c r="J13406" i="3"/>
  <c r="J13405" i="3"/>
  <c r="J13404" i="3"/>
  <c r="J13403" i="3"/>
  <c r="J13402" i="3"/>
  <c r="J13401" i="3"/>
  <c r="J13400" i="3"/>
  <c r="J13399" i="3"/>
  <c r="J13398" i="3"/>
  <c r="J13397" i="3"/>
  <c r="J13396" i="3"/>
  <c r="J13395" i="3"/>
  <c r="J13394" i="3"/>
  <c r="J13393" i="3"/>
  <c r="J13392" i="3"/>
  <c r="J13391" i="3"/>
  <c r="J13390" i="3"/>
  <c r="J13389" i="3"/>
  <c r="J13388" i="3"/>
  <c r="J13387" i="3"/>
  <c r="J13386" i="3"/>
  <c r="J13385" i="3"/>
  <c r="J13384" i="3"/>
  <c r="J13383" i="3"/>
  <c r="J13382" i="3"/>
  <c r="J13381" i="3"/>
  <c r="J13380" i="3"/>
  <c r="J13379" i="3"/>
  <c r="J13378" i="3"/>
  <c r="J13377" i="3"/>
  <c r="J13376" i="3"/>
  <c r="J13375" i="3"/>
  <c r="J13374" i="3"/>
  <c r="J13373" i="3"/>
  <c r="J13372" i="3"/>
  <c r="J13371" i="3"/>
  <c r="J13370" i="3"/>
  <c r="J13369" i="3"/>
  <c r="J13368" i="3"/>
  <c r="J13367" i="3"/>
  <c r="J13366" i="3"/>
  <c r="J13365" i="3"/>
  <c r="J13364" i="3"/>
  <c r="J13363" i="3"/>
  <c r="J13362" i="3"/>
  <c r="J13361" i="3"/>
  <c r="J13360" i="3"/>
  <c r="J13359" i="3"/>
  <c r="J13358" i="3"/>
  <c r="J13357" i="3"/>
  <c r="J13356" i="3"/>
  <c r="J13355" i="3"/>
  <c r="J13354" i="3"/>
  <c r="J13353" i="3"/>
  <c r="J13352" i="3"/>
  <c r="J13351" i="3"/>
  <c r="J13350" i="3"/>
  <c r="J13349" i="3"/>
  <c r="J13348" i="3"/>
  <c r="J13347" i="3"/>
  <c r="J13346" i="3"/>
  <c r="J13345" i="3"/>
  <c r="J13344" i="3"/>
  <c r="J13343" i="3"/>
  <c r="J13342" i="3"/>
  <c r="J13341" i="3"/>
  <c r="J13340" i="3"/>
  <c r="J13339" i="3"/>
  <c r="J13338" i="3"/>
  <c r="J13337" i="3"/>
  <c r="J13336" i="3"/>
  <c r="J13335" i="3"/>
  <c r="J13334" i="3"/>
  <c r="J13333" i="3"/>
  <c r="J13332" i="3"/>
  <c r="J13331" i="3"/>
  <c r="J13330" i="3"/>
  <c r="J13329" i="3"/>
  <c r="J13328" i="3"/>
  <c r="J13327" i="3"/>
  <c r="J13326" i="3"/>
  <c r="J13325" i="3"/>
  <c r="J13324" i="3"/>
  <c r="J13323" i="3"/>
  <c r="J13322" i="3"/>
  <c r="J13321" i="3"/>
  <c r="J13320" i="3"/>
  <c r="J13319" i="3"/>
  <c r="J13318" i="3"/>
  <c r="J13317" i="3"/>
  <c r="J13316" i="3"/>
  <c r="J13315" i="3"/>
  <c r="J13314" i="3"/>
  <c r="J13313" i="3"/>
  <c r="J13312" i="3"/>
  <c r="J13311" i="3"/>
  <c r="J13310" i="3"/>
  <c r="J13309" i="3"/>
  <c r="J13308" i="3"/>
  <c r="J13307" i="3"/>
  <c r="J13306" i="3"/>
  <c r="J13305" i="3"/>
  <c r="J13304" i="3"/>
  <c r="J13303" i="3"/>
  <c r="J13302" i="3"/>
  <c r="J13301" i="3"/>
  <c r="J13300" i="3"/>
  <c r="J13299" i="3"/>
  <c r="J13298" i="3"/>
  <c r="J13297" i="3"/>
  <c r="J13296" i="3"/>
  <c r="J13295" i="3"/>
  <c r="J13294" i="3"/>
  <c r="J13293" i="3"/>
  <c r="J13292" i="3"/>
  <c r="J13291" i="3"/>
  <c r="J13290" i="3"/>
  <c r="J13289" i="3"/>
  <c r="J13288" i="3"/>
  <c r="J13287" i="3"/>
  <c r="J13286" i="3"/>
  <c r="J13285" i="3"/>
  <c r="J13284" i="3"/>
  <c r="J13283" i="3"/>
  <c r="J13282" i="3"/>
  <c r="J13281" i="3"/>
  <c r="J13280" i="3"/>
  <c r="J13279" i="3"/>
  <c r="J13278" i="3"/>
  <c r="J13277" i="3"/>
  <c r="J13276" i="3"/>
  <c r="J13275" i="3"/>
  <c r="J13274" i="3"/>
  <c r="J13273" i="3"/>
  <c r="J13272" i="3"/>
  <c r="J13271" i="3"/>
  <c r="J13270" i="3"/>
  <c r="J13269" i="3"/>
  <c r="J13268" i="3"/>
  <c r="J13267" i="3"/>
  <c r="J13266" i="3"/>
  <c r="J13265" i="3"/>
  <c r="J13264" i="3"/>
  <c r="J13263" i="3"/>
  <c r="J13262" i="3"/>
  <c r="J13261" i="3"/>
  <c r="J13260" i="3"/>
  <c r="J13259" i="3"/>
  <c r="J13258" i="3"/>
  <c r="J13257" i="3"/>
  <c r="J13256" i="3"/>
  <c r="J13255" i="3"/>
  <c r="J13254" i="3"/>
  <c r="J13253" i="3"/>
  <c r="J13252" i="3"/>
  <c r="J13251" i="3"/>
  <c r="J13250" i="3"/>
  <c r="J13249" i="3"/>
  <c r="J13248" i="3"/>
  <c r="J13247" i="3"/>
  <c r="J13246" i="3"/>
  <c r="J13245" i="3"/>
  <c r="J13244" i="3"/>
  <c r="J13243" i="3"/>
  <c r="J13242" i="3"/>
  <c r="J13241" i="3"/>
  <c r="J13240" i="3"/>
  <c r="J13239" i="3"/>
  <c r="J13238" i="3"/>
  <c r="J13237" i="3"/>
  <c r="J13236" i="3"/>
  <c r="J13235" i="3"/>
  <c r="J13234" i="3"/>
  <c r="J13233" i="3"/>
  <c r="J13232" i="3"/>
  <c r="J13231" i="3"/>
  <c r="J13230" i="3"/>
  <c r="J13229" i="3"/>
  <c r="J13228" i="3"/>
  <c r="J13227" i="3"/>
  <c r="J13226" i="3"/>
  <c r="J13225" i="3"/>
  <c r="J13224" i="3"/>
  <c r="J13223" i="3"/>
  <c r="J13222" i="3"/>
  <c r="J13221" i="3"/>
  <c r="J13220" i="3"/>
  <c r="J13219" i="3"/>
  <c r="J13218" i="3"/>
  <c r="J13217" i="3"/>
  <c r="J13216" i="3"/>
  <c r="J13215" i="3"/>
  <c r="J13214" i="3"/>
  <c r="J13213" i="3"/>
  <c r="J13212" i="3"/>
  <c r="J13211" i="3"/>
  <c r="J13210" i="3"/>
  <c r="J13209" i="3"/>
  <c r="J13208" i="3"/>
  <c r="J13207" i="3"/>
  <c r="J13206" i="3"/>
  <c r="J13205" i="3"/>
  <c r="J13204" i="3"/>
  <c r="J13203" i="3"/>
  <c r="J13202" i="3"/>
  <c r="J13201" i="3"/>
  <c r="J13200" i="3"/>
  <c r="J13199" i="3"/>
  <c r="J13198" i="3"/>
  <c r="J13197" i="3"/>
  <c r="J13196" i="3"/>
  <c r="J13195" i="3"/>
  <c r="J13194" i="3"/>
  <c r="J13193" i="3"/>
  <c r="J13192" i="3"/>
  <c r="J13191" i="3"/>
  <c r="J13190" i="3"/>
  <c r="J13189" i="3"/>
  <c r="J13188" i="3"/>
  <c r="J13187" i="3"/>
  <c r="J13186" i="3"/>
  <c r="J13185" i="3"/>
  <c r="J13184" i="3"/>
  <c r="J13183" i="3"/>
  <c r="J13182" i="3"/>
  <c r="J13181" i="3"/>
  <c r="J13180" i="3"/>
  <c r="J13179" i="3"/>
  <c r="J13178" i="3"/>
  <c r="J13177" i="3"/>
  <c r="J13176" i="3"/>
  <c r="J13175" i="3"/>
  <c r="J13174" i="3"/>
  <c r="J13173" i="3"/>
  <c r="J13172" i="3"/>
  <c r="J13171" i="3"/>
  <c r="J13170" i="3"/>
  <c r="J13169" i="3"/>
  <c r="J13168" i="3"/>
  <c r="J13167" i="3"/>
  <c r="J13166" i="3"/>
  <c r="J13165" i="3"/>
  <c r="J13164" i="3"/>
  <c r="J13163" i="3"/>
  <c r="J13162" i="3"/>
  <c r="J13161" i="3"/>
  <c r="J13160" i="3"/>
  <c r="J13159" i="3"/>
  <c r="J13158" i="3"/>
  <c r="J13157" i="3"/>
  <c r="J13156" i="3"/>
  <c r="J13155" i="3"/>
  <c r="J13154" i="3"/>
  <c r="J13153" i="3"/>
  <c r="J13152" i="3"/>
  <c r="J13151" i="3"/>
  <c r="J13150" i="3"/>
  <c r="J13149" i="3"/>
  <c r="J13148" i="3"/>
  <c r="J13147" i="3"/>
  <c r="J13146" i="3"/>
  <c r="J13145" i="3"/>
  <c r="J13144" i="3"/>
  <c r="J13143" i="3"/>
  <c r="J13142" i="3"/>
  <c r="J13141" i="3"/>
  <c r="J13140" i="3"/>
  <c r="J13139" i="3"/>
  <c r="J13138" i="3"/>
  <c r="J13137" i="3"/>
  <c r="J13136" i="3"/>
  <c r="J13135" i="3"/>
  <c r="J13134" i="3"/>
  <c r="J13133" i="3"/>
  <c r="J13132" i="3"/>
  <c r="J13131" i="3"/>
  <c r="J13130" i="3"/>
  <c r="J13129" i="3"/>
  <c r="J13128" i="3"/>
  <c r="J13127" i="3"/>
  <c r="J13126" i="3"/>
  <c r="J13125" i="3"/>
  <c r="J13124" i="3"/>
  <c r="J13123" i="3"/>
  <c r="J13122" i="3"/>
  <c r="J13121" i="3"/>
  <c r="J13120" i="3"/>
  <c r="J13119" i="3"/>
  <c r="J13118" i="3"/>
  <c r="J13117" i="3"/>
  <c r="J13116" i="3"/>
  <c r="J13115" i="3"/>
  <c r="J13114" i="3"/>
  <c r="J13113" i="3"/>
  <c r="J13112" i="3"/>
  <c r="J13111" i="3"/>
  <c r="J13110" i="3"/>
  <c r="J13109" i="3"/>
  <c r="J13108" i="3"/>
  <c r="J13107" i="3"/>
  <c r="J13106" i="3"/>
  <c r="J13105" i="3"/>
  <c r="J13104" i="3"/>
  <c r="J13103" i="3"/>
  <c r="J13102" i="3"/>
  <c r="J13101" i="3"/>
  <c r="J13100" i="3"/>
  <c r="J13099" i="3"/>
  <c r="J13098" i="3"/>
  <c r="J13097" i="3"/>
  <c r="J13096" i="3"/>
  <c r="J13095" i="3"/>
  <c r="J13094" i="3"/>
  <c r="J13093" i="3"/>
  <c r="J13092" i="3"/>
  <c r="J13091" i="3"/>
  <c r="J13090" i="3"/>
  <c r="J13089" i="3"/>
  <c r="J13088" i="3"/>
  <c r="J13087" i="3"/>
  <c r="J13086" i="3"/>
  <c r="J13085" i="3"/>
  <c r="J13084" i="3"/>
  <c r="J13083" i="3"/>
  <c r="J13082" i="3"/>
  <c r="J13081" i="3"/>
  <c r="J13080" i="3"/>
  <c r="J13079" i="3"/>
  <c r="J13078" i="3"/>
  <c r="J13077" i="3"/>
  <c r="J13076" i="3"/>
  <c r="J13075" i="3"/>
  <c r="J13074" i="3"/>
  <c r="J13073" i="3"/>
  <c r="J13072" i="3"/>
  <c r="J13071" i="3"/>
  <c r="J13070" i="3"/>
  <c r="J13069" i="3"/>
  <c r="J13068" i="3"/>
  <c r="J13067" i="3"/>
  <c r="J13066" i="3"/>
  <c r="J13065" i="3"/>
  <c r="J13064" i="3"/>
  <c r="J13063" i="3"/>
  <c r="J13062" i="3"/>
  <c r="J13061" i="3"/>
  <c r="J13060" i="3"/>
  <c r="J13059" i="3"/>
  <c r="J13058" i="3"/>
  <c r="J13057" i="3"/>
  <c r="J13056" i="3"/>
  <c r="J13055" i="3"/>
  <c r="J13054" i="3"/>
  <c r="J13053" i="3"/>
  <c r="J13052" i="3"/>
  <c r="J13051" i="3"/>
  <c r="J13050" i="3"/>
  <c r="J13049" i="3"/>
  <c r="J13048" i="3"/>
  <c r="J13047" i="3"/>
  <c r="J13046" i="3"/>
  <c r="J13045" i="3"/>
  <c r="J13044" i="3"/>
  <c r="J13043" i="3"/>
  <c r="J13042" i="3"/>
  <c r="J13041" i="3"/>
  <c r="J13040" i="3"/>
  <c r="J13039" i="3"/>
  <c r="J13038" i="3"/>
  <c r="J13037" i="3"/>
  <c r="J13036" i="3"/>
  <c r="J13035" i="3"/>
  <c r="J13034" i="3"/>
  <c r="J13033" i="3"/>
  <c r="J13032" i="3"/>
  <c r="J13031" i="3"/>
  <c r="J13030" i="3"/>
  <c r="J13029" i="3"/>
  <c r="J13028" i="3"/>
  <c r="J13027" i="3"/>
  <c r="J13026" i="3"/>
  <c r="J13025" i="3"/>
  <c r="J13024" i="3"/>
  <c r="J13023" i="3"/>
  <c r="J13022" i="3"/>
  <c r="J13021" i="3"/>
  <c r="J13020" i="3"/>
  <c r="J13019" i="3"/>
  <c r="J13018" i="3"/>
  <c r="J13017" i="3"/>
  <c r="J13016" i="3"/>
  <c r="J13015" i="3"/>
  <c r="J13014" i="3"/>
  <c r="J13013" i="3"/>
  <c r="J13012" i="3"/>
  <c r="J13011" i="3"/>
  <c r="J13010" i="3"/>
  <c r="J13009" i="3"/>
  <c r="J13008" i="3"/>
  <c r="J13007" i="3"/>
  <c r="J13006" i="3"/>
  <c r="J13005" i="3"/>
  <c r="J13004" i="3"/>
  <c r="J13003" i="3"/>
  <c r="J13002" i="3"/>
  <c r="J13001" i="3"/>
  <c r="J13000" i="3"/>
  <c r="J12999" i="3"/>
  <c r="J12998" i="3"/>
  <c r="J12997" i="3"/>
  <c r="J12996" i="3"/>
  <c r="J12995" i="3"/>
  <c r="J12994" i="3"/>
  <c r="J12993" i="3"/>
  <c r="J12992" i="3"/>
  <c r="J12991" i="3"/>
  <c r="J12990" i="3"/>
  <c r="J12989" i="3"/>
  <c r="J12988" i="3"/>
  <c r="J12987" i="3"/>
  <c r="J12986" i="3"/>
  <c r="J12985" i="3"/>
  <c r="J12984" i="3"/>
  <c r="J12983" i="3"/>
  <c r="J12982" i="3"/>
  <c r="J12981" i="3"/>
  <c r="J12980" i="3"/>
  <c r="J12979" i="3"/>
  <c r="J12978" i="3"/>
  <c r="J12977" i="3"/>
  <c r="J12976" i="3"/>
  <c r="J12975" i="3"/>
  <c r="J12974" i="3"/>
  <c r="J12973" i="3"/>
  <c r="J12972" i="3"/>
  <c r="J12971" i="3"/>
  <c r="J12970" i="3"/>
  <c r="J12969" i="3"/>
  <c r="J12968" i="3"/>
  <c r="J12967" i="3"/>
  <c r="J12966" i="3"/>
  <c r="J12965" i="3"/>
  <c r="J12964" i="3"/>
  <c r="J12963" i="3"/>
  <c r="J12962" i="3"/>
  <c r="J12961" i="3"/>
  <c r="J12960" i="3"/>
  <c r="J12959" i="3"/>
  <c r="J12958" i="3"/>
  <c r="J12957" i="3"/>
  <c r="J12956" i="3"/>
  <c r="J12955" i="3"/>
  <c r="J12954" i="3"/>
  <c r="J12953" i="3"/>
  <c r="J12952" i="3"/>
  <c r="J12951" i="3"/>
  <c r="J12950" i="3"/>
  <c r="J12949" i="3"/>
  <c r="J12948" i="3"/>
  <c r="J12947" i="3"/>
  <c r="J12946" i="3"/>
  <c r="J12945" i="3"/>
  <c r="J12944" i="3"/>
  <c r="J12943" i="3"/>
  <c r="J12942" i="3"/>
  <c r="J12941" i="3"/>
  <c r="J12940" i="3"/>
  <c r="J12939" i="3"/>
  <c r="J12938" i="3"/>
  <c r="J12937" i="3"/>
  <c r="J12936" i="3"/>
  <c r="J12935" i="3"/>
  <c r="J12934" i="3"/>
  <c r="J12933" i="3"/>
  <c r="J12932" i="3"/>
  <c r="J12931" i="3"/>
  <c r="J12930" i="3"/>
  <c r="J12929" i="3"/>
  <c r="J12928" i="3"/>
  <c r="J12927" i="3"/>
  <c r="J12926" i="3"/>
  <c r="J12925" i="3"/>
  <c r="J12924" i="3"/>
  <c r="J12923" i="3"/>
  <c r="J12922" i="3"/>
  <c r="J12921" i="3"/>
  <c r="J12920" i="3"/>
  <c r="J12919" i="3"/>
  <c r="J12918" i="3"/>
  <c r="J12917" i="3"/>
  <c r="J12916" i="3"/>
  <c r="J12915" i="3"/>
  <c r="J12914" i="3"/>
  <c r="J12913" i="3"/>
  <c r="J12912" i="3"/>
  <c r="J12911" i="3"/>
  <c r="J12910" i="3"/>
  <c r="J12909" i="3"/>
  <c r="J12908" i="3"/>
  <c r="J12907" i="3"/>
  <c r="J12906" i="3"/>
  <c r="J12905" i="3"/>
  <c r="J12904" i="3"/>
  <c r="J12903" i="3"/>
  <c r="J12902" i="3"/>
  <c r="J12901" i="3"/>
  <c r="J12900" i="3"/>
  <c r="J12899" i="3"/>
  <c r="J12898" i="3"/>
  <c r="J12897" i="3"/>
  <c r="J12896" i="3"/>
  <c r="J12895" i="3"/>
  <c r="J12894" i="3"/>
  <c r="J12893" i="3"/>
  <c r="J12892" i="3"/>
  <c r="J12891" i="3"/>
  <c r="J12890" i="3"/>
  <c r="J12889" i="3"/>
  <c r="J12888" i="3"/>
  <c r="J12887" i="3"/>
  <c r="J12886" i="3"/>
  <c r="J12885" i="3"/>
  <c r="J12884" i="3"/>
  <c r="J12883" i="3"/>
  <c r="J12882" i="3"/>
  <c r="J12881" i="3"/>
  <c r="J12880" i="3"/>
  <c r="J12879" i="3"/>
  <c r="J12878" i="3"/>
  <c r="J12877" i="3"/>
  <c r="J12876" i="3"/>
  <c r="J12875" i="3"/>
  <c r="J12874" i="3"/>
  <c r="J12873" i="3"/>
  <c r="J12872" i="3"/>
  <c r="J12871" i="3"/>
  <c r="J12870" i="3"/>
  <c r="J12869" i="3"/>
  <c r="J12868" i="3"/>
  <c r="J12867" i="3"/>
  <c r="J12866" i="3"/>
  <c r="J12865" i="3"/>
  <c r="J12864" i="3"/>
  <c r="J12863" i="3"/>
  <c r="J12862" i="3"/>
  <c r="J12861" i="3"/>
  <c r="J12860" i="3"/>
  <c r="J12859" i="3"/>
  <c r="J12858" i="3"/>
  <c r="J12857" i="3"/>
  <c r="J12856" i="3"/>
  <c r="J12855" i="3"/>
  <c r="J12854" i="3"/>
  <c r="J12853" i="3"/>
  <c r="J12852" i="3"/>
  <c r="J12851" i="3"/>
  <c r="J12850" i="3"/>
  <c r="J12849" i="3"/>
  <c r="J12848" i="3"/>
  <c r="J12847" i="3"/>
  <c r="J12846" i="3"/>
  <c r="J12845" i="3"/>
  <c r="J12844" i="3"/>
  <c r="J12843" i="3"/>
  <c r="J12842" i="3"/>
  <c r="J12841" i="3"/>
  <c r="J12840" i="3"/>
  <c r="J12839" i="3"/>
  <c r="J12838" i="3"/>
  <c r="J12837" i="3"/>
  <c r="J12836" i="3"/>
  <c r="J12835" i="3"/>
  <c r="J12834" i="3"/>
  <c r="J12833" i="3"/>
  <c r="J12832" i="3"/>
  <c r="J12831" i="3"/>
  <c r="J12830" i="3"/>
  <c r="J12829" i="3"/>
  <c r="J12828" i="3"/>
  <c r="J12827" i="3"/>
  <c r="J12826" i="3"/>
  <c r="J12825" i="3"/>
  <c r="J12824" i="3"/>
  <c r="J12823" i="3"/>
  <c r="J12822" i="3"/>
  <c r="J12821" i="3"/>
  <c r="J12820" i="3"/>
  <c r="J12819" i="3"/>
  <c r="J12818" i="3"/>
  <c r="J12817" i="3"/>
  <c r="J12816" i="3"/>
  <c r="J12815" i="3"/>
  <c r="J12814" i="3"/>
  <c r="J12813" i="3"/>
  <c r="J12812" i="3"/>
  <c r="J12811" i="3"/>
  <c r="J12810" i="3"/>
  <c r="J12809" i="3"/>
  <c r="J12808" i="3"/>
  <c r="J12807" i="3"/>
  <c r="J12806" i="3"/>
  <c r="J12805" i="3"/>
  <c r="J12804" i="3"/>
  <c r="J12803" i="3"/>
  <c r="J12802" i="3"/>
  <c r="J12801" i="3"/>
  <c r="J12800" i="3"/>
  <c r="J12799" i="3"/>
  <c r="J12798" i="3"/>
  <c r="J12797" i="3"/>
  <c r="J12796" i="3"/>
  <c r="J12795" i="3"/>
  <c r="J12794" i="3"/>
  <c r="J12793" i="3"/>
  <c r="J12792" i="3"/>
  <c r="J12791" i="3"/>
  <c r="J12790" i="3"/>
  <c r="J12789" i="3"/>
  <c r="J12788" i="3"/>
  <c r="J12787" i="3"/>
  <c r="J12786" i="3"/>
  <c r="J12785" i="3"/>
  <c r="J12784" i="3"/>
  <c r="J12783" i="3"/>
  <c r="J12782" i="3"/>
  <c r="J12781" i="3"/>
  <c r="J12780" i="3"/>
  <c r="J12779" i="3"/>
  <c r="J12778" i="3"/>
  <c r="J12777" i="3"/>
  <c r="J12776" i="3"/>
  <c r="J12775" i="3"/>
  <c r="J12774" i="3"/>
  <c r="J12773" i="3"/>
  <c r="J12772" i="3"/>
  <c r="J12771" i="3"/>
  <c r="J12770" i="3"/>
  <c r="J12769" i="3"/>
  <c r="J12768" i="3"/>
  <c r="J12767" i="3"/>
  <c r="J12766" i="3"/>
  <c r="J12765" i="3"/>
  <c r="J12764" i="3"/>
  <c r="J12763" i="3"/>
  <c r="J12762" i="3"/>
  <c r="J12761" i="3"/>
  <c r="J12760" i="3"/>
  <c r="J12759" i="3"/>
  <c r="J12758" i="3"/>
  <c r="J12757" i="3"/>
  <c r="J12756" i="3"/>
  <c r="J12755" i="3"/>
  <c r="J12754" i="3"/>
  <c r="J12753" i="3"/>
  <c r="J12752" i="3"/>
  <c r="J12751" i="3"/>
  <c r="J12750" i="3"/>
  <c r="J12749" i="3"/>
  <c r="J12748" i="3"/>
  <c r="J12747" i="3"/>
  <c r="J12746" i="3"/>
  <c r="J12745" i="3"/>
  <c r="J12744" i="3"/>
  <c r="J12743" i="3"/>
  <c r="J12742" i="3"/>
  <c r="J12741" i="3"/>
  <c r="J12740" i="3"/>
  <c r="J12739" i="3"/>
  <c r="J12738" i="3"/>
  <c r="J12737" i="3"/>
  <c r="J12736" i="3"/>
  <c r="J12735" i="3"/>
  <c r="J12734" i="3"/>
  <c r="J12733" i="3"/>
  <c r="J12732" i="3"/>
  <c r="J12731" i="3"/>
  <c r="J12730" i="3"/>
  <c r="J12729" i="3"/>
  <c r="J12728" i="3"/>
  <c r="J12727" i="3"/>
  <c r="J12726" i="3"/>
  <c r="J12725" i="3"/>
  <c r="J12724" i="3"/>
  <c r="J12723" i="3"/>
  <c r="J12722" i="3"/>
  <c r="J12721" i="3"/>
  <c r="J12720" i="3"/>
  <c r="J12719" i="3"/>
  <c r="J12718" i="3"/>
  <c r="J12717" i="3"/>
  <c r="J12716" i="3"/>
  <c r="J12715" i="3"/>
  <c r="J12714" i="3"/>
  <c r="J12713" i="3"/>
  <c r="J12712" i="3"/>
  <c r="J12711" i="3"/>
  <c r="J12710" i="3"/>
  <c r="J12709" i="3"/>
  <c r="J12708" i="3"/>
  <c r="J12707" i="3"/>
  <c r="J12706" i="3"/>
  <c r="J12705" i="3"/>
  <c r="J12704" i="3"/>
  <c r="J12703" i="3"/>
  <c r="J12702" i="3"/>
  <c r="J12701" i="3"/>
  <c r="J12700" i="3"/>
  <c r="J12699" i="3"/>
  <c r="J12698" i="3"/>
  <c r="J12697" i="3"/>
  <c r="J12696" i="3"/>
  <c r="J12695" i="3"/>
  <c r="J12694" i="3"/>
  <c r="J12693" i="3"/>
  <c r="J12692" i="3"/>
  <c r="J12691" i="3"/>
  <c r="J12690" i="3"/>
  <c r="J12689" i="3"/>
  <c r="J12688" i="3"/>
  <c r="J12687" i="3"/>
  <c r="J12686" i="3"/>
  <c r="J12685" i="3"/>
  <c r="J12684" i="3"/>
  <c r="J12683" i="3"/>
  <c r="J12682" i="3"/>
  <c r="J12681" i="3"/>
  <c r="J12680" i="3"/>
  <c r="J12679" i="3"/>
  <c r="J12678" i="3"/>
  <c r="J12677" i="3"/>
  <c r="J12676" i="3"/>
  <c r="J12675" i="3"/>
  <c r="J12674" i="3"/>
  <c r="J12673" i="3"/>
  <c r="J12672" i="3"/>
  <c r="J12671" i="3"/>
  <c r="J12670" i="3"/>
  <c r="J12669" i="3"/>
  <c r="J12668" i="3"/>
  <c r="J12667" i="3"/>
  <c r="J12666" i="3"/>
  <c r="J12665" i="3"/>
  <c r="J12664" i="3"/>
  <c r="J12663" i="3"/>
  <c r="J12662" i="3"/>
  <c r="J12661" i="3"/>
  <c r="J12660" i="3"/>
  <c r="J12659" i="3"/>
  <c r="J12658" i="3"/>
  <c r="J12657" i="3"/>
  <c r="J12656" i="3"/>
  <c r="J12655" i="3"/>
  <c r="J12654" i="3"/>
  <c r="J12653" i="3"/>
  <c r="J12652" i="3"/>
  <c r="J12651" i="3"/>
  <c r="J12650" i="3"/>
  <c r="J12649" i="3"/>
  <c r="J12648" i="3"/>
  <c r="J12647" i="3"/>
  <c r="J12646" i="3"/>
  <c r="J12645" i="3"/>
  <c r="J12644" i="3"/>
  <c r="J12643" i="3"/>
  <c r="J12642" i="3"/>
  <c r="J12641" i="3"/>
  <c r="J12640" i="3"/>
  <c r="J12639" i="3"/>
  <c r="J12638" i="3"/>
  <c r="J12637" i="3"/>
  <c r="J12636" i="3"/>
  <c r="J12635" i="3"/>
  <c r="J12634" i="3"/>
  <c r="J12633" i="3"/>
  <c r="J12632" i="3"/>
  <c r="J12631" i="3"/>
  <c r="J12630" i="3"/>
  <c r="J12629" i="3"/>
  <c r="J12628" i="3"/>
  <c r="J12627" i="3"/>
  <c r="J12626" i="3"/>
  <c r="J12625" i="3"/>
  <c r="J12624" i="3"/>
  <c r="J12623" i="3"/>
  <c r="J12622" i="3"/>
  <c r="J12621" i="3"/>
  <c r="J12620" i="3"/>
  <c r="J12619" i="3"/>
  <c r="J12618" i="3"/>
  <c r="J12617" i="3"/>
  <c r="J12616" i="3"/>
  <c r="J12615" i="3"/>
  <c r="J12614" i="3"/>
  <c r="J12613" i="3"/>
  <c r="J12612" i="3"/>
  <c r="J12611" i="3"/>
  <c r="J12610" i="3"/>
  <c r="J12609" i="3"/>
  <c r="J12608" i="3"/>
  <c r="J12607" i="3"/>
  <c r="J12606" i="3"/>
  <c r="J12605" i="3"/>
  <c r="J12604" i="3"/>
  <c r="J12603" i="3"/>
  <c r="J12602" i="3"/>
  <c r="J12601" i="3"/>
  <c r="J12600" i="3"/>
  <c r="J12599" i="3"/>
  <c r="J12598" i="3"/>
  <c r="J12597" i="3"/>
  <c r="J12596" i="3"/>
  <c r="J12595" i="3"/>
  <c r="J12594" i="3"/>
  <c r="J12593" i="3"/>
  <c r="J12592" i="3"/>
  <c r="J12591" i="3"/>
  <c r="J12590" i="3"/>
  <c r="J12589" i="3"/>
  <c r="J12588" i="3"/>
  <c r="J12587" i="3"/>
  <c r="J12586" i="3"/>
  <c r="J12585" i="3"/>
  <c r="J12584" i="3"/>
  <c r="J12583" i="3"/>
  <c r="J12582" i="3"/>
  <c r="J12581" i="3"/>
  <c r="J12580" i="3"/>
  <c r="J12579" i="3"/>
  <c r="J12578" i="3"/>
  <c r="J12577" i="3"/>
  <c r="J12576" i="3"/>
  <c r="J12575" i="3"/>
  <c r="J12574" i="3"/>
  <c r="J12573" i="3"/>
  <c r="J12572" i="3"/>
  <c r="J12571" i="3"/>
  <c r="J12570" i="3"/>
  <c r="J12569" i="3"/>
  <c r="J12568" i="3"/>
  <c r="J12567" i="3"/>
  <c r="J12566" i="3"/>
  <c r="J12565" i="3"/>
  <c r="J12564" i="3"/>
  <c r="J12563" i="3"/>
  <c r="J12562" i="3"/>
  <c r="J12561" i="3"/>
  <c r="J12560" i="3"/>
  <c r="J12559" i="3"/>
  <c r="J12558" i="3"/>
  <c r="J12557" i="3"/>
  <c r="J12556" i="3"/>
  <c r="J12555" i="3"/>
  <c r="J12554" i="3"/>
  <c r="J12553" i="3"/>
  <c r="J12552" i="3"/>
  <c r="J12551" i="3"/>
  <c r="J12550" i="3"/>
  <c r="J12549" i="3"/>
  <c r="J12548" i="3"/>
  <c r="J12547" i="3"/>
  <c r="J12546" i="3"/>
  <c r="J12545" i="3"/>
  <c r="J12544" i="3"/>
  <c r="J12543" i="3"/>
  <c r="J12542" i="3"/>
  <c r="J12541" i="3"/>
  <c r="J12540" i="3"/>
  <c r="J12539" i="3"/>
  <c r="J12538" i="3"/>
  <c r="J12537" i="3"/>
  <c r="J12536" i="3"/>
  <c r="J12535" i="3"/>
  <c r="J12534" i="3"/>
  <c r="J12533" i="3"/>
  <c r="J12532" i="3"/>
  <c r="J12531" i="3"/>
  <c r="J12530" i="3"/>
  <c r="J12529" i="3"/>
  <c r="J12528" i="3"/>
  <c r="J12527" i="3"/>
  <c r="J12526" i="3"/>
  <c r="J12525" i="3"/>
  <c r="J12524" i="3"/>
  <c r="J12523" i="3"/>
  <c r="J12522" i="3"/>
  <c r="J12521" i="3"/>
  <c r="J12520" i="3"/>
  <c r="J12519" i="3"/>
  <c r="J12518" i="3"/>
  <c r="J12517" i="3"/>
  <c r="J12516" i="3"/>
  <c r="J12515" i="3"/>
  <c r="J12514" i="3"/>
  <c r="J12513" i="3"/>
  <c r="J12512" i="3"/>
  <c r="J12511" i="3"/>
  <c r="J12510" i="3"/>
  <c r="J12509" i="3"/>
  <c r="J12508" i="3"/>
  <c r="J12507" i="3"/>
  <c r="J12506" i="3"/>
  <c r="J12505" i="3"/>
  <c r="J12504" i="3"/>
  <c r="J12503" i="3"/>
  <c r="J12502" i="3"/>
  <c r="J12501" i="3"/>
  <c r="J12500" i="3"/>
  <c r="J12499" i="3"/>
  <c r="J12498" i="3"/>
  <c r="J12497" i="3"/>
  <c r="J12496" i="3"/>
  <c r="J12495" i="3"/>
  <c r="J12494" i="3"/>
  <c r="J12493" i="3"/>
  <c r="J12492" i="3"/>
  <c r="J12491" i="3"/>
  <c r="J12490" i="3"/>
  <c r="J12489" i="3"/>
  <c r="J12488" i="3"/>
  <c r="J12487" i="3"/>
  <c r="J12486" i="3"/>
  <c r="J12485" i="3"/>
  <c r="J12484" i="3"/>
  <c r="J12483" i="3"/>
  <c r="J12482" i="3"/>
  <c r="J12481" i="3"/>
  <c r="J12480" i="3"/>
  <c r="J12479" i="3"/>
  <c r="J12478" i="3"/>
  <c r="J12477" i="3"/>
  <c r="J12476" i="3"/>
  <c r="J12475" i="3"/>
  <c r="J12474" i="3"/>
  <c r="J12473" i="3"/>
  <c r="J12472" i="3"/>
  <c r="J12471" i="3"/>
  <c r="J12470" i="3"/>
  <c r="J12469" i="3"/>
  <c r="J12468" i="3"/>
  <c r="J12467" i="3"/>
  <c r="J12466" i="3"/>
  <c r="J12465" i="3"/>
  <c r="J12464" i="3"/>
  <c r="J12463" i="3"/>
  <c r="J12462" i="3"/>
  <c r="J12461" i="3"/>
  <c r="J12460" i="3"/>
  <c r="J12459" i="3"/>
  <c r="J12458" i="3"/>
  <c r="J12457" i="3"/>
  <c r="J12456" i="3"/>
  <c r="J12455" i="3"/>
  <c r="J12454" i="3"/>
  <c r="J12453" i="3"/>
  <c r="J12452" i="3"/>
  <c r="J12451" i="3"/>
  <c r="J12450" i="3"/>
  <c r="J12449" i="3"/>
  <c r="J12448" i="3"/>
  <c r="J12447" i="3"/>
  <c r="J12446" i="3"/>
  <c r="J12445" i="3"/>
  <c r="J12444" i="3"/>
  <c r="J12443" i="3"/>
  <c r="J12442" i="3"/>
  <c r="J12441" i="3"/>
  <c r="J12440" i="3"/>
  <c r="J12439" i="3"/>
  <c r="J12438" i="3"/>
  <c r="J12437" i="3"/>
  <c r="J12436" i="3"/>
  <c r="J12435" i="3"/>
  <c r="J12434" i="3"/>
  <c r="J12433" i="3"/>
  <c r="J12432" i="3"/>
  <c r="J12431" i="3"/>
  <c r="J12430" i="3"/>
  <c r="J12429" i="3"/>
  <c r="J12428" i="3"/>
  <c r="J12427" i="3"/>
  <c r="J12426" i="3"/>
  <c r="J12425" i="3"/>
  <c r="J12424" i="3"/>
  <c r="J12423" i="3"/>
  <c r="J12422" i="3"/>
  <c r="J12421" i="3"/>
  <c r="J12420" i="3"/>
  <c r="J12419" i="3"/>
  <c r="J12418" i="3"/>
  <c r="J12417" i="3"/>
  <c r="J12416" i="3"/>
  <c r="J12415" i="3"/>
  <c r="J12414" i="3"/>
  <c r="J12413" i="3"/>
  <c r="J12412" i="3"/>
  <c r="J12411" i="3"/>
  <c r="J12410" i="3"/>
  <c r="J12409" i="3"/>
  <c r="J12408" i="3"/>
  <c r="J12407" i="3"/>
  <c r="J12406" i="3"/>
  <c r="J12405" i="3"/>
  <c r="J12404" i="3"/>
  <c r="J12403" i="3"/>
  <c r="J12402" i="3"/>
  <c r="J12401" i="3"/>
  <c r="J12400" i="3"/>
  <c r="J12399" i="3"/>
  <c r="J12398" i="3"/>
  <c r="J12397" i="3"/>
  <c r="J12396" i="3"/>
  <c r="J12395" i="3"/>
  <c r="J12394" i="3"/>
  <c r="J12393" i="3"/>
  <c r="J12392" i="3"/>
  <c r="J12391" i="3"/>
  <c r="J12390" i="3"/>
  <c r="J12389" i="3"/>
  <c r="J12388" i="3"/>
  <c r="J12387" i="3"/>
  <c r="J12386" i="3"/>
  <c r="J12385" i="3"/>
  <c r="J12384" i="3"/>
  <c r="J12383" i="3"/>
  <c r="J12382" i="3"/>
  <c r="J12381" i="3"/>
  <c r="J12380" i="3"/>
  <c r="J12379" i="3"/>
  <c r="J12378" i="3"/>
  <c r="J12377" i="3"/>
  <c r="J12376" i="3"/>
  <c r="J12375" i="3"/>
  <c r="J12374" i="3"/>
  <c r="J12373" i="3"/>
  <c r="J12372" i="3"/>
  <c r="J12371" i="3"/>
  <c r="J12370" i="3"/>
  <c r="J12369" i="3"/>
  <c r="J12368" i="3"/>
  <c r="J12367" i="3"/>
  <c r="J12366" i="3"/>
  <c r="J12365" i="3"/>
  <c r="J12364" i="3"/>
  <c r="J12363" i="3"/>
  <c r="J12362" i="3"/>
  <c r="J12361" i="3"/>
  <c r="J12360" i="3"/>
  <c r="J12359" i="3"/>
  <c r="J12358" i="3"/>
  <c r="J12357" i="3"/>
  <c r="J12356" i="3"/>
  <c r="J12355" i="3"/>
  <c r="J12354" i="3"/>
  <c r="J12353" i="3"/>
  <c r="J12352" i="3"/>
  <c r="J12351" i="3"/>
  <c r="J12350" i="3"/>
  <c r="J12349" i="3"/>
  <c r="J12348" i="3"/>
  <c r="J12347" i="3"/>
  <c r="J12346" i="3"/>
  <c r="J12345" i="3"/>
  <c r="J12344" i="3"/>
  <c r="J12343" i="3"/>
  <c r="J12342" i="3"/>
  <c r="J12341" i="3"/>
  <c r="J12340" i="3"/>
  <c r="J12339" i="3"/>
  <c r="J12338" i="3"/>
  <c r="J12337" i="3"/>
  <c r="J12336" i="3"/>
  <c r="J12335" i="3"/>
  <c r="J12334" i="3"/>
  <c r="J12333" i="3"/>
  <c r="J12332" i="3"/>
  <c r="J12331" i="3"/>
  <c r="J12330" i="3"/>
  <c r="J12329" i="3"/>
  <c r="J12328" i="3"/>
  <c r="J12327" i="3"/>
  <c r="J12326" i="3"/>
  <c r="J12325" i="3"/>
  <c r="J12324" i="3"/>
  <c r="J12323" i="3"/>
  <c r="J12322" i="3"/>
  <c r="J12321" i="3"/>
  <c r="J12320" i="3"/>
  <c r="J12319" i="3"/>
  <c r="J12318" i="3"/>
  <c r="J12317" i="3"/>
  <c r="J12316" i="3"/>
  <c r="J12315" i="3"/>
  <c r="J12314" i="3"/>
  <c r="J12313" i="3"/>
  <c r="J12312" i="3"/>
  <c r="J12311" i="3"/>
  <c r="J12310" i="3"/>
  <c r="J12309" i="3"/>
  <c r="J12308" i="3"/>
  <c r="J12307" i="3"/>
  <c r="J12306" i="3"/>
  <c r="J12305" i="3"/>
  <c r="J12304" i="3"/>
  <c r="J12303" i="3"/>
  <c r="J12302" i="3"/>
  <c r="J12301" i="3"/>
  <c r="J12300" i="3"/>
  <c r="J12299" i="3"/>
  <c r="J12298" i="3"/>
  <c r="J12297" i="3"/>
  <c r="J12296" i="3"/>
  <c r="J12295" i="3"/>
  <c r="J12294" i="3"/>
  <c r="J12293" i="3"/>
  <c r="J12292" i="3"/>
  <c r="J12291" i="3"/>
  <c r="J12290" i="3"/>
  <c r="J12289" i="3"/>
  <c r="J12288" i="3"/>
  <c r="J12287" i="3"/>
  <c r="J12286" i="3"/>
  <c r="J12285" i="3"/>
  <c r="J12284" i="3"/>
  <c r="J12283" i="3"/>
  <c r="J12282" i="3"/>
  <c r="J12281" i="3"/>
  <c r="J12280" i="3"/>
  <c r="J12279" i="3"/>
  <c r="J12278" i="3"/>
  <c r="J12277" i="3"/>
  <c r="J12276" i="3"/>
  <c r="J12275" i="3"/>
  <c r="J12274" i="3"/>
  <c r="J12273" i="3"/>
  <c r="J12272" i="3"/>
  <c r="J12271" i="3"/>
  <c r="J12270" i="3"/>
  <c r="J12269" i="3"/>
  <c r="J12268" i="3"/>
  <c r="J12267" i="3"/>
  <c r="J12266" i="3"/>
  <c r="J12265" i="3"/>
  <c r="J12264" i="3"/>
  <c r="J12263" i="3"/>
  <c r="J12262" i="3"/>
  <c r="J12261" i="3"/>
  <c r="J12260" i="3"/>
  <c r="J12259" i="3"/>
  <c r="J12258" i="3"/>
  <c r="J12257" i="3"/>
  <c r="J12256" i="3"/>
  <c r="J12255" i="3"/>
  <c r="J12254" i="3"/>
  <c r="J12253" i="3"/>
  <c r="J12252" i="3"/>
  <c r="J12251" i="3"/>
  <c r="J12250" i="3"/>
  <c r="J12249" i="3"/>
  <c r="J12248" i="3"/>
  <c r="J12247" i="3"/>
  <c r="J12246" i="3"/>
  <c r="J12245" i="3"/>
  <c r="J12244" i="3"/>
  <c r="J12243" i="3"/>
  <c r="J12242" i="3"/>
  <c r="J12241" i="3"/>
  <c r="J12240" i="3"/>
  <c r="J12239" i="3"/>
  <c r="J12238" i="3"/>
  <c r="J12237" i="3"/>
  <c r="J12236" i="3"/>
  <c r="J12235" i="3"/>
  <c r="J12234" i="3"/>
  <c r="J12233" i="3"/>
  <c r="J12232" i="3"/>
  <c r="J12231" i="3"/>
  <c r="J12230" i="3"/>
  <c r="J12229" i="3"/>
  <c r="J12228" i="3"/>
  <c r="J12227" i="3"/>
  <c r="J12226" i="3"/>
  <c r="J12225" i="3"/>
  <c r="J12224" i="3"/>
  <c r="J12223" i="3"/>
  <c r="J12222" i="3"/>
  <c r="J12221" i="3"/>
  <c r="J12220" i="3"/>
  <c r="J12219" i="3"/>
  <c r="J12218" i="3"/>
  <c r="J12217" i="3"/>
  <c r="J12216" i="3"/>
  <c r="J12215" i="3"/>
  <c r="J12214" i="3"/>
  <c r="J12213" i="3"/>
  <c r="J12212" i="3"/>
  <c r="J12211" i="3"/>
  <c r="J12210" i="3"/>
  <c r="J12209" i="3"/>
  <c r="J12208" i="3"/>
  <c r="J12207" i="3"/>
  <c r="J12206" i="3"/>
  <c r="J12205" i="3"/>
  <c r="J12204" i="3"/>
  <c r="J12203" i="3"/>
  <c r="J12202" i="3"/>
  <c r="J12201" i="3"/>
  <c r="J12200" i="3"/>
  <c r="J12199" i="3"/>
  <c r="J12198" i="3"/>
  <c r="J12197" i="3"/>
  <c r="J12196" i="3"/>
  <c r="J12195" i="3"/>
  <c r="J12194" i="3"/>
  <c r="J12193" i="3"/>
  <c r="J12192" i="3"/>
  <c r="J12191" i="3"/>
  <c r="J12190" i="3"/>
  <c r="J12189" i="3"/>
  <c r="J12188" i="3"/>
  <c r="J12187" i="3"/>
  <c r="J12186" i="3"/>
  <c r="J12185" i="3"/>
  <c r="J12184" i="3"/>
  <c r="J12183" i="3"/>
  <c r="J12182" i="3"/>
  <c r="J12181" i="3"/>
  <c r="J12180" i="3"/>
  <c r="J12179" i="3"/>
  <c r="J12178" i="3"/>
  <c r="J12177" i="3"/>
  <c r="J12176" i="3"/>
  <c r="J12175" i="3"/>
  <c r="J12174" i="3"/>
  <c r="J12173" i="3"/>
  <c r="J12172" i="3"/>
  <c r="J12171" i="3"/>
  <c r="J12170" i="3"/>
  <c r="J12169" i="3"/>
  <c r="J12168" i="3"/>
  <c r="J12167" i="3"/>
  <c r="J12166" i="3"/>
  <c r="J12165" i="3"/>
  <c r="J12164" i="3"/>
  <c r="J12163" i="3"/>
  <c r="J12162" i="3"/>
  <c r="J12161" i="3"/>
  <c r="J12160" i="3"/>
  <c r="J12159" i="3"/>
  <c r="J12158" i="3"/>
  <c r="J12157" i="3"/>
  <c r="J12156" i="3"/>
  <c r="J12155" i="3"/>
  <c r="J12154" i="3"/>
  <c r="J12153" i="3"/>
  <c r="J12152" i="3"/>
  <c r="J12151" i="3"/>
  <c r="J12150" i="3"/>
  <c r="J12149" i="3"/>
  <c r="J12148" i="3"/>
  <c r="J12147" i="3"/>
  <c r="J12146" i="3"/>
  <c r="J12145" i="3"/>
  <c r="J12144" i="3"/>
  <c r="J12143" i="3"/>
  <c r="J12142" i="3"/>
  <c r="J12141" i="3"/>
  <c r="J12140" i="3"/>
  <c r="J12139" i="3"/>
  <c r="J12138" i="3"/>
  <c r="J12137" i="3"/>
  <c r="J12136" i="3"/>
  <c r="J12135" i="3"/>
  <c r="J12134" i="3"/>
  <c r="J12133" i="3"/>
  <c r="J12132" i="3"/>
  <c r="J12131" i="3"/>
  <c r="J12130" i="3"/>
  <c r="J12129" i="3"/>
  <c r="J12128" i="3"/>
  <c r="J12127" i="3"/>
  <c r="J12126" i="3"/>
  <c r="J12125" i="3"/>
  <c r="J12124" i="3"/>
  <c r="J12123" i="3"/>
  <c r="J12122" i="3"/>
  <c r="J12121" i="3"/>
  <c r="J12120" i="3"/>
  <c r="J12119" i="3"/>
  <c r="J12118" i="3"/>
  <c r="J12117" i="3"/>
  <c r="J12116" i="3"/>
  <c r="J12115" i="3"/>
  <c r="J12114" i="3"/>
  <c r="J12113" i="3"/>
  <c r="J12112" i="3"/>
  <c r="J12111" i="3"/>
  <c r="J12110" i="3"/>
  <c r="J12109" i="3"/>
  <c r="J12108" i="3"/>
  <c r="J12107" i="3"/>
  <c r="J12106" i="3"/>
  <c r="J12105" i="3"/>
  <c r="J12104" i="3"/>
  <c r="J12103" i="3"/>
  <c r="J12102" i="3"/>
  <c r="J12101" i="3"/>
  <c r="J12100" i="3"/>
  <c r="J12099" i="3"/>
  <c r="J12098" i="3"/>
  <c r="J12097" i="3"/>
  <c r="J12096" i="3"/>
  <c r="J12095" i="3"/>
  <c r="J12094" i="3"/>
  <c r="J12093" i="3"/>
  <c r="J12092" i="3"/>
  <c r="J12091" i="3"/>
  <c r="J12090" i="3"/>
  <c r="J12089" i="3"/>
  <c r="J12088" i="3"/>
  <c r="J12087" i="3"/>
  <c r="J12086" i="3"/>
  <c r="J12085" i="3"/>
  <c r="J12084" i="3"/>
  <c r="J12083" i="3"/>
  <c r="J12082" i="3"/>
  <c r="J12081" i="3"/>
  <c r="J12080" i="3"/>
  <c r="J12079" i="3"/>
  <c r="J12078" i="3"/>
  <c r="J12077" i="3"/>
  <c r="J12076" i="3"/>
  <c r="J12075" i="3"/>
  <c r="J12074" i="3"/>
  <c r="J12073" i="3"/>
  <c r="J12072" i="3"/>
  <c r="J12071" i="3"/>
  <c r="J12070" i="3"/>
  <c r="J12069" i="3"/>
  <c r="J12068" i="3"/>
  <c r="J12067" i="3"/>
  <c r="J12066" i="3"/>
  <c r="J12065" i="3"/>
  <c r="J12064" i="3"/>
  <c r="J12063" i="3"/>
  <c r="J12062" i="3"/>
  <c r="J12061" i="3"/>
  <c r="J12060" i="3"/>
  <c r="J12059" i="3"/>
  <c r="J12058" i="3"/>
  <c r="J12057" i="3"/>
  <c r="J12056" i="3"/>
  <c r="J12055" i="3"/>
  <c r="J12054" i="3"/>
  <c r="J12053" i="3"/>
  <c r="J12052" i="3"/>
  <c r="J12051" i="3"/>
  <c r="J12050" i="3"/>
  <c r="J12049" i="3"/>
  <c r="J12048" i="3"/>
  <c r="J12047" i="3"/>
  <c r="J12046" i="3"/>
  <c r="J12045" i="3"/>
  <c r="J12044" i="3"/>
  <c r="J12043" i="3"/>
  <c r="J12042" i="3"/>
  <c r="J12041" i="3"/>
  <c r="J12040" i="3"/>
  <c r="J12039" i="3"/>
  <c r="J12038" i="3"/>
  <c r="J12037" i="3"/>
  <c r="J12036" i="3"/>
  <c r="J12035" i="3"/>
  <c r="J12034" i="3"/>
  <c r="J12033" i="3"/>
  <c r="J12032" i="3"/>
  <c r="J12031" i="3"/>
  <c r="J12030" i="3"/>
  <c r="J12029" i="3"/>
  <c r="J12028" i="3"/>
  <c r="J12027" i="3"/>
  <c r="J12026" i="3"/>
  <c r="J12025" i="3"/>
  <c r="J12024" i="3"/>
  <c r="J12023" i="3"/>
  <c r="J12022" i="3"/>
  <c r="J12021" i="3"/>
  <c r="J12020" i="3"/>
  <c r="J12019" i="3"/>
  <c r="J12018" i="3"/>
  <c r="J12017" i="3"/>
  <c r="J12016" i="3"/>
  <c r="J12015" i="3"/>
  <c r="J12014" i="3"/>
  <c r="J12013" i="3"/>
  <c r="J12012" i="3"/>
  <c r="J12011" i="3"/>
  <c r="J12010" i="3"/>
  <c r="J12009" i="3"/>
  <c r="J12008" i="3"/>
  <c r="J12007" i="3"/>
  <c r="J12006" i="3"/>
  <c r="J12005" i="3"/>
  <c r="J12004" i="3"/>
  <c r="J12003" i="3"/>
  <c r="J12002" i="3"/>
  <c r="J12001" i="3"/>
  <c r="J12000" i="3"/>
  <c r="J11999" i="3"/>
  <c r="J11998" i="3"/>
  <c r="J11997" i="3"/>
  <c r="J11996" i="3"/>
  <c r="J11995" i="3"/>
  <c r="J11994" i="3"/>
  <c r="J11993" i="3"/>
  <c r="J11992" i="3"/>
  <c r="J11991" i="3"/>
  <c r="J11990" i="3"/>
  <c r="J11989" i="3"/>
  <c r="J11988" i="3"/>
  <c r="J11987" i="3"/>
  <c r="J11986" i="3"/>
  <c r="J11985" i="3"/>
  <c r="J11984" i="3"/>
  <c r="J11983" i="3"/>
  <c r="J11982" i="3"/>
  <c r="J11981" i="3"/>
  <c r="J11980" i="3"/>
  <c r="J11979" i="3"/>
  <c r="J11978" i="3"/>
  <c r="J11977" i="3"/>
  <c r="J11976" i="3"/>
  <c r="J11975" i="3"/>
  <c r="J11974" i="3"/>
  <c r="J11973" i="3"/>
  <c r="J11972" i="3"/>
  <c r="J11971" i="3"/>
  <c r="J11970" i="3"/>
  <c r="J11969" i="3"/>
  <c r="J11968" i="3"/>
  <c r="J11967" i="3"/>
  <c r="J11966" i="3"/>
  <c r="J11965" i="3"/>
  <c r="J11964" i="3"/>
  <c r="J11963" i="3"/>
  <c r="J11962" i="3"/>
  <c r="J11961" i="3"/>
  <c r="J11960" i="3"/>
  <c r="J11959" i="3"/>
  <c r="J11958" i="3"/>
  <c r="J11957" i="3"/>
  <c r="J11956" i="3"/>
  <c r="J11955" i="3"/>
  <c r="J11954" i="3"/>
  <c r="J11953" i="3"/>
  <c r="J11952" i="3"/>
  <c r="J11951" i="3"/>
  <c r="J11950" i="3"/>
  <c r="J11949" i="3"/>
  <c r="J11948" i="3"/>
  <c r="J11947" i="3"/>
  <c r="J11946" i="3"/>
  <c r="J11945" i="3"/>
  <c r="J11944" i="3"/>
  <c r="J11943" i="3"/>
  <c r="J11942" i="3"/>
  <c r="J11941" i="3"/>
  <c r="J11940" i="3"/>
  <c r="J11939" i="3"/>
  <c r="J11938" i="3"/>
  <c r="J11937" i="3"/>
  <c r="J11936" i="3"/>
  <c r="J11935" i="3"/>
  <c r="J11934" i="3"/>
  <c r="J11933" i="3"/>
  <c r="J11932" i="3"/>
  <c r="J11931" i="3"/>
  <c r="J11930" i="3"/>
  <c r="J11929" i="3"/>
  <c r="J11928" i="3"/>
  <c r="J11927" i="3"/>
  <c r="J11926" i="3"/>
  <c r="J11925" i="3"/>
  <c r="J11924" i="3"/>
  <c r="J11923" i="3"/>
  <c r="J11922" i="3"/>
  <c r="J11921" i="3"/>
  <c r="J11920" i="3"/>
  <c r="J11919" i="3"/>
  <c r="J11918" i="3"/>
  <c r="J11917" i="3"/>
  <c r="J11916" i="3"/>
  <c r="J11915" i="3"/>
  <c r="J11914" i="3"/>
  <c r="J11913" i="3"/>
  <c r="J11912" i="3"/>
  <c r="J11911" i="3"/>
  <c r="J11910" i="3"/>
  <c r="J11909" i="3"/>
  <c r="J11908" i="3"/>
  <c r="J11907" i="3"/>
  <c r="J11906" i="3"/>
  <c r="J11905" i="3"/>
  <c r="J11904" i="3"/>
  <c r="J11903" i="3"/>
  <c r="J11902" i="3"/>
  <c r="J11901" i="3"/>
  <c r="J11900" i="3"/>
  <c r="J11899" i="3"/>
  <c r="J11898" i="3"/>
  <c r="J11897" i="3"/>
  <c r="J11896" i="3"/>
  <c r="J11895" i="3"/>
  <c r="J11894" i="3"/>
  <c r="J11893" i="3"/>
  <c r="J11892" i="3"/>
  <c r="J11891" i="3"/>
  <c r="J11890" i="3"/>
  <c r="J11889" i="3"/>
  <c r="J11888" i="3"/>
  <c r="J11887" i="3"/>
  <c r="J11886" i="3"/>
  <c r="J11885" i="3"/>
  <c r="J11884" i="3"/>
  <c r="J11883" i="3"/>
  <c r="J11882" i="3"/>
  <c r="J11881" i="3"/>
  <c r="J11880" i="3"/>
  <c r="J11879" i="3"/>
  <c r="J11878" i="3"/>
  <c r="J11877" i="3"/>
  <c r="J11876" i="3"/>
  <c r="J11875" i="3"/>
  <c r="J11874" i="3"/>
  <c r="J11873" i="3"/>
  <c r="J11872" i="3"/>
  <c r="J11871" i="3"/>
  <c r="J11870" i="3"/>
  <c r="J11869" i="3"/>
  <c r="J11868" i="3"/>
  <c r="J11867" i="3"/>
  <c r="J11866" i="3"/>
  <c r="J11865" i="3"/>
  <c r="J11864" i="3"/>
  <c r="J11863" i="3"/>
  <c r="J11862" i="3"/>
  <c r="J11861" i="3"/>
  <c r="J11860" i="3"/>
  <c r="J11859" i="3"/>
  <c r="J11858" i="3"/>
  <c r="J11857" i="3"/>
  <c r="J11856" i="3"/>
  <c r="J11855" i="3"/>
  <c r="J11854" i="3"/>
  <c r="J11853" i="3"/>
  <c r="J11852" i="3"/>
  <c r="J11851" i="3"/>
  <c r="J11850" i="3"/>
  <c r="J11849" i="3"/>
  <c r="J11848" i="3"/>
  <c r="J11847" i="3"/>
  <c r="J11846" i="3"/>
  <c r="J11845" i="3"/>
  <c r="J11844" i="3"/>
  <c r="J11843" i="3"/>
  <c r="J11842" i="3"/>
  <c r="J11841" i="3"/>
  <c r="J11840" i="3"/>
  <c r="J11839" i="3"/>
  <c r="J11838" i="3"/>
  <c r="J11837" i="3"/>
  <c r="J11836" i="3"/>
  <c r="J11835" i="3"/>
  <c r="J11834" i="3"/>
  <c r="J11833" i="3"/>
  <c r="J11832" i="3"/>
  <c r="J11831" i="3"/>
  <c r="J11830" i="3"/>
  <c r="J11829" i="3"/>
  <c r="J11828" i="3"/>
  <c r="J11827" i="3"/>
  <c r="J11826" i="3"/>
  <c r="J11825" i="3"/>
  <c r="J11824" i="3"/>
  <c r="J11823" i="3"/>
  <c r="J11822" i="3"/>
  <c r="J11821" i="3"/>
  <c r="J11820" i="3"/>
  <c r="J11819" i="3"/>
  <c r="J11818" i="3"/>
  <c r="J11817" i="3"/>
  <c r="J11816" i="3"/>
  <c r="J11815" i="3"/>
  <c r="J11814" i="3"/>
  <c r="J11813" i="3"/>
  <c r="J11812" i="3"/>
  <c r="J11811" i="3"/>
  <c r="J11810" i="3"/>
  <c r="J11809" i="3"/>
  <c r="J11808" i="3"/>
  <c r="J11807" i="3"/>
  <c r="J11806" i="3"/>
  <c r="J11805" i="3"/>
  <c r="J11804" i="3"/>
  <c r="J11803" i="3"/>
  <c r="J11802" i="3"/>
  <c r="J11801" i="3"/>
  <c r="J11800" i="3"/>
  <c r="J11799" i="3"/>
  <c r="J11798" i="3"/>
  <c r="J11797" i="3"/>
  <c r="J11796" i="3"/>
  <c r="J11795" i="3"/>
  <c r="J11794" i="3"/>
  <c r="J11793" i="3"/>
  <c r="J11792" i="3"/>
  <c r="J11791" i="3"/>
  <c r="J11790" i="3"/>
  <c r="J11789" i="3"/>
  <c r="J11788" i="3"/>
  <c r="J11787" i="3"/>
  <c r="J11786" i="3"/>
  <c r="J11785" i="3"/>
  <c r="J11784" i="3"/>
  <c r="J11783" i="3"/>
  <c r="J11782" i="3"/>
  <c r="J11781" i="3"/>
  <c r="J11780" i="3"/>
  <c r="J11779" i="3"/>
  <c r="J11778" i="3"/>
  <c r="J11777" i="3"/>
  <c r="J11776" i="3"/>
  <c r="J11775" i="3"/>
  <c r="J11774" i="3"/>
  <c r="J11773" i="3"/>
  <c r="J11772" i="3"/>
  <c r="J11771" i="3"/>
  <c r="J11770" i="3"/>
  <c r="J11769" i="3"/>
  <c r="J11768" i="3"/>
  <c r="J11767" i="3"/>
  <c r="J11766" i="3"/>
  <c r="J11765" i="3"/>
  <c r="J11764" i="3"/>
  <c r="J11763" i="3"/>
  <c r="J11762" i="3"/>
  <c r="J11761" i="3"/>
  <c r="J11760" i="3"/>
  <c r="J11759" i="3"/>
  <c r="J11758" i="3"/>
  <c r="J11757" i="3"/>
  <c r="J11756" i="3"/>
  <c r="J11755" i="3"/>
  <c r="J11754" i="3"/>
  <c r="J11753" i="3"/>
  <c r="J11752" i="3"/>
  <c r="J11751" i="3"/>
  <c r="J11750" i="3"/>
  <c r="J11749" i="3"/>
  <c r="J11748" i="3"/>
  <c r="J11747" i="3"/>
  <c r="J11746" i="3"/>
  <c r="J11745" i="3"/>
  <c r="J11744" i="3"/>
  <c r="J11743" i="3"/>
  <c r="J11742" i="3"/>
  <c r="J11741" i="3"/>
  <c r="J11740" i="3"/>
  <c r="J11739" i="3"/>
  <c r="J11738" i="3"/>
  <c r="J11737" i="3"/>
  <c r="J11736" i="3"/>
  <c r="J11735" i="3"/>
  <c r="J11734" i="3"/>
  <c r="J11733" i="3"/>
  <c r="J11732" i="3"/>
  <c r="J11731" i="3"/>
  <c r="J11730" i="3"/>
  <c r="J11729" i="3"/>
  <c r="J11728" i="3"/>
  <c r="J11727" i="3"/>
  <c r="J11726" i="3"/>
  <c r="J11725" i="3"/>
  <c r="J11724" i="3"/>
  <c r="J11723" i="3"/>
  <c r="J11722" i="3"/>
  <c r="J11721" i="3"/>
  <c r="J11720" i="3"/>
  <c r="J11719" i="3"/>
  <c r="J11718" i="3"/>
  <c r="J11717" i="3"/>
  <c r="J11716" i="3"/>
  <c r="J11715" i="3"/>
  <c r="J11714" i="3"/>
  <c r="J11713" i="3"/>
  <c r="J11712" i="3"/>
  <c r="J11711" i="3"/>
  <c r="J11710" i="3"/>
  <c r="J11709" i="3"/>
  <c r="J11708" i="3"/>
  <c r="J11707" i="3"/>
  <c r="J11706" i="3"/>
  <c r="J11705" i="3"/>
  <c r="J11704" i="3"/>
  <c r="J11703" i="3"/>
  <c r="J11702" i="3"/>
  <c r="J11701" i="3"/>
  <c r="J11700" i="3"/>
  <c r="J11699" i="3"/>
  <c r="J11698" i="3"/>
  <c r="J11697" i="3"/>
  <c r="J11696" i="3"/>
  <c r="J11695" i="3"/>
  <c r="J11694" i="3"/>
  <c r="J11693" i="3"/>
  <c r="J11692" i="3"/>
  <c r="J11691" i="3"/>
  <c r="J11690" i="3"/>
  <c r="J11689" i="3"/>
  <c r="J11688" i="3"/>
  <c r="J11687" i="3"/>
  <c r="J11686" i="3"/>
  <c r="J11685" i="3"/>
  <c r="J11684" i="3"/>
  <c r="J11683" i="3"/>
  <c r="J11682" i="3"/>
  <c r="J11681" i="3"/>
  <c r="J11680" i="3"/>
  <c r="J11679" i="3"/>
  <c r="J11678" i="3"/>
  <c r="J11677" i="3"/>
  <c r="J11676" i="3"/>
  <c r="J11675" i="3"/>
  <c r="J11674" i="3"/>
  <c r="J11673" i="3"/>
  <c r="J11672" i="3"/>
  <c r="J11671" i="3"/>
  <c r="J11670" i="3"/>
  <c r="J11669" i="3"/>
  <c r="J11668" i="3"/>
  <c r="J11667" i="3"/>
  <c r="J11666" i="3"/>
  <c r="J11665" i="3"/>
  <c r="J11664" i="3"/>
  <c r="J11663" i="3"/>
  <c r="J11662" i="3"/>
  <c r="J11661" i="3"/>
  <c r="J11660" i="3"/>
  <c r="J11659" i="3"/>
  <c r="J11658" i="3"/>
  <c r="J11657" i="3"/>
  <c r="J11656" i="3"/>
  <c r="J11655" i="3"/>
  <c r="J11654" i="3"/>
  <c r="J11653" i="3"/>
  <c r="J11652" i="3"/>
  <c r="J11651" i="3"/>
  <c r="J11650" i="3"/>
  <c r="J11649" i="3"/>
  <c r="J11648" i="3"/>
  <c r="J11647" i="3"/>
  <c r="J11646" i="3"/>
  <c r="J11645" i="3"/>
  <c r="J11644" i="3"/>
  <c r="J11643" i="3"/>
  <c r="J11642" i="3"/>
  <c r="J11641" i="3"/>
  <c r="J11640" i="3"/>
  <c r="J11639" i="3"/>
  <c r="J11638" i="3"/>
  <c r="J11637" i="3"/>
  <c r="J11636" i="3"/>
  <c r="J11635" i="3"/>
  <c r="J11634" i="3"/>
  <c r="J11633" i="3"/>
  <c r="J11632" i="3"/>
  <c r="J11631" i="3"/>
  <c r="J11630" i="3"/>
  <c r="J11629" i="3"/>
  <c r="J11628" i="3"/>
  <c r="J11627" i="3"/>
  <c r="J11626" i="3"/>
  <c r="J11625" i="3"/>
  <c r="J11624" i="3"/>
  <c r="J11623" i="3"/>
  <c r="J11622" i="3"/>
  <c r="J11621" i="3"/>
  <c r="J11620" i="3"/>
  <c r="J11619" i="3"/>
  <c r="J11618" i="3"/>
  <c r="J11617" i="3"/>
  <c r="J11616" i="3"/>
  <c r="J11615" i="3"/>
  <c r="J11614" i="3"/>
  <c r="J11613" i="3"/>
  <c r="J11612" i="3"/>
  <c r="J11611" i="3"/>
  <c r="J11610" i="3"/>
  <c r="J11609" i="3"/>
  <c r="J11608" i="3"/>
  <c r="J11607" i="3"/>
  <c r="J11606" i="3"/>
  <c r="J11605" i="3"/>
  <c r="J11604" i="3"/>
  <c r="J11603" i="3"/>
  <c r="J11602" i="3"/>
  <c r="J11601" i="3"/>
  <c r="J11600" i="3"/>
  <c r="J11599" i="3"/>
  <c r="J11598" i="3"/>
  <c r="J11597" i="3"/>
  <c r="J11596" i="3"/>
  <c r="J11595" i="3"/>
  <c r="J11594" i="3"/>
  <c r="J11593" i="3"/>
  <c r="J11592" i="3"/>
  <c r="J11591" i="3"/>
  <c r="J11590" i="3"/>
  <c r="J11589" i="3"/>
  <c r="J11588" i="3"/>
  <c r="J11587" i="3"/>
  <c r="J11586" i="3"/>
  <c r="J11585" i="3"/>
  <c r="J11584" i="3"/>
  <c r="J11583" i="3"/>
  <c r="J11582" i="3"/>
  <c r="J11581" i="3"/>
  <c r="J11580" i="3"/>
  <c r="J11579" i="3"/>
  <c r="J11578" i="3"/>
  <c r="J11577" i="3"/>
  <c r="J11576" i="3"/>
  <c r="J11575" i="3"/>
  <c r="J11574" i="3"/>
  <c r="J11573" i="3"/>
  <c r="J11572" i="3"/>
  <c r="J11571" i="3"/>
  <c r="J11570" i="3"/>
  <c r="J11569" i="3"/>
  <c r="J11568" i="3"/>
  <c r="J11567" i="3"/>
  <c r="J11566" i="3"/>
  <c r="J11565" i="3"/>
  <c r="J11564" i="3"/>
  <c r="J11563" i="3"/>
  <c r="J11562" i="3"/>
  <c r="J11561" i="3"/>
  <c r="J11560" i="3"/>
  <c r="J11559" i="3"/>
  <c r="J11558" i="3"/>
  <c r="J11557" i="3"/>
  <c r="J11556" i="3"/>
  <c r="J11555" i="3"/>
  <c r="J11554" i="3"/>
  <c r="J11553" i="3"/>
  <c r="J11552" i="3"/>
  <c r="J11551" i="3"/>
  <c r="J11550" i="3"/>
  <c r="J11549" i="3"/>
  <c r="J11548" i="3"/>
  <c r="J11547" i="3"/>
  <c r="J11546" i="3"/>
  <c r="J11545" i="3"/>
  <c r="J11544" i="3"/>
  <c r="J11543" i="3"/>
  <c r="J11542" i="3"/>
  <c r="J11541" i="3"/>
  <c r="J11540" i="3"/>
  <c r="J11539" i="3"/>
  <c r="J11538" i="3"/>
  <c r="J11537" i="3"/>
  <c r="J11536" i="3"/>
  <c r="J11535" i="3"/>
  <c r="J11534" i="3"/>
  <c r="J11533" i="3"/>
  <c r="J11532" i="3"/>
  <c r="J11531" i="3"/>
  <c r="J11530" i="3"/>
  <c r="J11529" i="3"/>
  <c r="J11528" i="3"/>
  <c r="J11527" i="3"/>
  <c r="J11526" i="3"/>
  <c r="J11525" i="3"/>
  <c r="J11524" i="3"/>
  <c r="J11523" i="3"/>
  <c r="J11522" i="3"/>
  <c r="J11521" i="3"/>
  <c r="J11520" i="3"/>
  <c r="J11519" i="3"/>
  <c r="J11518" i="3"/>
  <c r="J11517" i="3"/>
  <c r="J11516" i="3"/>
  <c r="J11515" i="3"/>
  <c r="J11514" i="3"/>
  <c r="J11513" i="3"/>
  <c r="J11512" i="3"/>
  <c r="J11511" i="3"/>
  <c r="J11510" i="3"/>
  <c r="J11509" i="3"/>
  <c r="J11508" i="3"/>
  <c r="J11507" i="3"/>
  <c r="J11506" i="3"/>
  <c r="J11505" i="3"/>
  <c r="J11504" i="3"/>
  <c r="J11503" i="3"/>
  <c r="J11502" i="3"/>
  <c r="J11501" i="3"/>
  <c r="J11500" i="3"/>
  <c r="J11499" i="3"/>
  <c r="J11498" i="3"/>
  <c r="J11497" i="3"/>
  <c r="J11496" i="3"/>
  <c r="J11495" i="3"/>
  <c r="J11494" i="3"/>
  <c r="J11493" i="3"/>
  <c r="J11492" i="3"/>
  <c r="J11491" i="3"/>
  <c r="J11490" i="3"/>
  <c r="J11489" i="3"/>
  <c r="J11488" i="3"/>
  <c r="J11487" i="3"/>
  <c r="J11486" i="3"/>
  <c r="J11485" i="3"/>
  <c r="J11484" i="3"/>
  <c r="J11483" i="3"/>
  <c r="J11482" i="3"/>
  <c r="J11481" i="3"/>
  <c r="J11480" i="3"/>
  <c r="J11479" i="3"/>
  <c r="J11478" i="3"/>
  <c r="J11477" i="3"/>
  <c r="J11476" i="3"/>
  <c r="J11475" i="3"/>
  <c r="J11474" i="3"/>
  <c r="J11473" i="3"/>
  <c r="J11472" i="3"/>
  <c r="J11471" i="3"/>
  <c r="J11470" i="3"/>
  <c r="J11469" i="3"/>
  <c r="J11468" i="3"/>
  <c r="J11467" i="3"/>
  <c r="J11466" i="3"/>
  <c r="J11465" i="3"/>
  <c r="J11464" i="3"/>
  <c r="J11463" i="3"/>
  <c r="J11462" i="3"/>
  <c r="J11461" i="3"/>
  <c r="J11460" i="3"/>
  <c r="J11459" i="3"/>
  <c r="J11458" i="3"/>
  <c r="J11457" i="3"/>
  <c r="J11456" i="3"/>
  <c r="J11455" i="3"/>
  <c r="J11454" i="3"/>
  <c r="J11453" i="3"/>
  <c r="J11452" i="3"/>
  <c r="J11451" i="3"/>
  <c r="J11450" i="3"/>
  <c r="J11449" i="3"/>
  <c r="J11448" i="3"/>
  <c r="J11447" i="3"/>
  <c r="J11446" i="3"/>
  <c r="J11445" i="3"/>
  <c r="J11444" i="3"/>
  <c r="J11443" i="3"/>
  <c r="J11442" i="3"/>
  <c r="J11441" i="3"/>
  <c r="J11440" i="3"/>
  <c r="J11439" i="3"/>
  <c r="J11438" i="3"/>
  <c r="J11437" i="3"/>
  <c r="J11436" i="3"/>
  <c r="J11435" i="3"/>
  <c r="J11434" i="3"/>
  <c r="J11433" i="3"/>
  <c r="J11432" i="3"/>
  <c r="J11431" i="3"/>
  <c r="J11430" i="3"/>
  <c r="J11429" i="3"/>
  <c r="J11428" i="3"/>
  <c r="J11427" i="3"/>
  <c r="J11426" i="3"/>
  <c r="J11425" i="3"/>
  <c r="J11424" i="3"/>
  <c r="J11423" i="3"/>
  <c r="J11422" i="3"/>
  <c r="J11421" i="3"/>
  <c r="J11420" i="3"/>
  <c r="J11419" i="3"/>
  <c r="J11418" i="3"/>
  <c r="J11417" i="3"/>
  <c r="J11416" i="3"/>
  <c r="J11415" i="3"/>
  <c r="J11414" i="3"/>
  <c r="J11413" i="3"/>
  <c r="J11412" i="3"/>
  <c r="J11411" i="3"/>
  <c r="J11410" i="3"/>
  <c r="J11409" i="3"/>
  <c r="J11408" i="3"/>
  <c r="J11407" i="3"/>
  <c r="J11406" i="3"/>
  <c r="J11405" i="3"/>
  <c r="J11404" i="3"/>
  <c r="J11403" i="3"/>
  <c r="J11402" i="3"/>
  <c r="J11401" i="3"/>
  <c r="J11400" i="3"/>
  <c r="J11399" i="3"/>
  <c r="J11398" i="3"/>
  <c r="J11397" i="3"/>
  <c r="J11396" i="3"/>
  <c r="J11395" i="3"/>
  <c r="J11394" i="3"/>
  <c r="J11393" i="3"/>
  <c r="J11392" i="3"/>
  <c r="J11391" i="3"/>
  <c r="J11390" i="3"/>
  <c r="J11389" i="3"/>
  <c r="J11388" i="3"/>
  <c r="J11387" i="3"/>
  <c r="J11386" i="3"/>
  <c r="J11385" i="3"/>
  <c r="J11384" i="3"/>
  <c r="J11383" i="3"/>
  <c r="J11382" i="3"/>
  <c r="J11381" i="3"/>
  <c r="J11380" i="3"/>
  <c r="J11379" i="3"/>
  <c r="J11378" i="3"/>
  <c r="J11377" i="3"/>
  <c r="J11376" i="3"/>
  <c r="J11375" i="3"/>
  <c r="J11374" i="3"/>
  <c r="J11373" i="3"/>
  <c r="J11372" i="3"/>
  <c r="J11371" i="3"/>
  <c r="J11370" i="3"/>
  <c r="J11369" i="3"/>
  <c r="J11368" i="3"/>
  <c r="J11367" i="3"/>
  <c r="J11366" i="3"/>
  <c r="J11365" i="3"/>
  <c r="J11364" i="3"/>
  <c r="J11363" i="3"/>
  <c r="J11362" i="3"/>
  <c r="J11361" i="3"/>
  <c r="J11360" i="3"/>
  <c r="J11359" i="3"/>
  <c r="J11358" i="3"/>
  <c r="J11357" i="3"/>
  <c r="J11356" i="3"/>
  <c r="J11355" i="3"/>
  <c r="J11354" i="3"/>
  <c r="J11353" i="3"/>
  <c r="J11352" i="3"/>
  <c r="J11351" i="3"/>
  <c r="J11350" i="3"/>
  <c r="J11349" i="3"/>
  <c r="J11348" i="3"/>
  <c r="J11347" i="3"/>
  <c r="J11346" i="3"/>
  <c r="J11345" i="3"/>
  <c r="J11344" i="3"/>
  <c r="J11343" i="3"/>
  <c r="J11342" i="3"/>
  <c r="J11341" i="3"/>
  <c r="J11340" i="3"/>
  <c r="J11339" i="3"/>
  <c r="J11338" i="3"/>
  <c r="J11337" i="3"/>
  <c r="J11336" i="3"/>
  <c r="J11335" i="3"/>
  <c r="J11334" i="3"/>
  <c r="J11333" i="3"/>
  <c r="J11332" i="3"/>
  <c r="J11331" i="3"/>
  <c r="J11330" i="3"/>
  <c r="J11329" i="3"/>
  <c r="J11328" i="3"/>
  <c r="J11327" i="3"/>
  <c r="J11326" i="3"/>
  <c r="J11325" i="3"/>
  <c r="J11324" i="3"/>
  <c r="J11323" i="3"/>
  <c r="J11322" i="3"/>
  <c r="J11321" i="3"/>
  <c r="J11320" i="3"/>
  <c r="J11319" i="3"/>
  <c r="J11318" i="3"/>
  <c r="J11317" i="3"/>
  <c r="J11316" i="3"/>
  <c r="J11315" i="3"/>
  <c r="J11314" i="3"/>
  <c r="J11313" i="3"/>
  <c r="J11312" i="3"/>
  <c r="J11311" i="3"/>
  <c r="J11310" i="3"/>
  <c r="J11309" i="3"/>
  <c r="J11308" i="3"/>
  <c r="J11307" i="3"/>
  <c r="J11306" i="3"/>
  <c r="J11305" i="3"/>
  <c r="J11304" i="3"/>
  <c r="J11303" i="3"/>
  <c r="J11302" i="3"/>
  <c r="J11301" i="3"/>
  <c r="J11300" i="3"/>
  <c r="J11299" i="3"/>
  <c r="J11298" i="3"/>
  <c r="J11297" i="3"/>
  <c r="J11296" i="3"/>
  <c r="J11295" i="3"/>
  <c r="J11294" i="3"/>
  <c r="J11293" i="3"/>
  <c r="J11292" i="3"/>
  <c r="J11291" i="3"/>
  <c r="J11290" i="3"/>
  <c r="J11289" i="3"/>
  <c r="J11288" i="3"/>
  <c r="J11287" i="3"/>
  <c r="J11286" i="3"/>
  <c r="J11285" i="3"/>
  <c r="J11284" i="3"/>
  <c r="J11283" i="3"/>
  <c r="J11282" i="3"/>
  <c r="J11281" i="3"/>
  <c r="J11280" i="3"/>
  <c r="J11279" i="3"/>
  <c r="J11278" i="3"/>
  <c r="J11277" i="3"/>
  <c r="J11276" i="3"/>
  <c r="J11275" i="3"/>
  <c r="J11274" i="3"/>
  <c r="J11273" i="3"/>
  <c r="J11272" i="3"/>
  <c r="J11271" i="3"/>
  <c r="J11270" i="3"/>
  <c r="J11269" i="3"/>
  <c r="J11268" i="3"/>
  <c r="J11267" i="3"/>
  <c r="J11266" i="3"/>
  <c r="J11265" i="3"/>
  <c r="J11264" i="3"/>
  <c r="J11263" i="3"/>
  <c r="J11262" i="3"/>
  <c r="J11261" i="3"/>
  <c r="J11260" i="3"/>
  <c r="J11259" i="3"/>
  <c r="J11258" i="3"/>
  <c r="J11257" i="3"/>
  <c r="J11256" i="3"/>
  <c r="J11255" i="3"/>
  <c r="J11254" i="3"/>
  <c r="J11253" i="3"/>
  <c r="J11252" i="3"/>
  <c r="J11251" i="3"/>
  <c r="J11250" i="3"/>
  <c r="J11249" i="3"/>
  <c r="J11248" i="3"/>
  <c r="J11247" i="3"/>
  <c r="J11246" i="3"/>
  <c r="J11245" i="3"/>
  <c r="J11244" i="3"/>
  <c r="J11243" i="3"/>
  <c r="J11242" i="3"/>
  <c r="J11241" i="3"/>
  <c r="J11240" i="3"/>
  <c r="J11239" i="3"/>
  <c r="J11238" i="3"/>
  <c r="J11237" i="3"/>
  <c r="J11236" i="3"/>
  <c r="J11235" i="3"/>
  <c r="J11234" i="3"/>
  <c r="J11233" i="3"/>
  <c r="J11232" i="3"/>
  <c r="J11231" i="3"/>
  <c r="J11230" i="3"/>
  <c r="J11229" i="3"/>
  <c r="J11228" i="3"/>
  <c r="J11227" i="3"/>
  <c r="J11226" i="3"/>
  <c r="J11225" i="3"/>
  <c r="J11224" i="3"/>
  <c r="J11223" i="3"/>
  <c r="J11222" i="3"/>
  <c r="J11221" i="3"/>
  <c r="J11220" i="3"/>
  <c r="J11219" i="3"/>
  <c r="J11218" i="3"/>
  <c r="J11217" i="3"/>
  <c r="J11216" i="3"/>
  <c r="J11215" i="3"/>
  <c r="J11214" i="3"/>
  <c r="J11213" i="3"/>
  <c r="J11212" i="3"/>
  <c r="J11211" i="3"/>
  <c r="J11210" i="3"/>
  <c r="J11209" i="3"/>
  <c r="J11208" i="3"/>
  <c r="J11207" i="3"/>
  <c r="J11206" i="3"/>
  <c r="J11205" i="3"/>
  <c r="J11204" i="3"/>
  <c r="J11203" i="3"/>
  <c r="J11202" i="3"/>
  <c r="J11201" i="3"/>
  <c r="J11200" i="3"/>
  <c r="J11199" i="3"/>
  <c r="J11198" i="3"/>
  <c r="J11197" i="3"/>
  <c r="J11196" i="3"/>
  <c r="J11195" i="3"/>
  <c r="J11194" i="3"/>
  <c r="J11193" i="3"/>
  <c r="J11192" i="3"/>
  <c r="J11191" i="3"/>
  <c r="J11190" i="3"/>
  <c r="J11189" i="3"/>
  <c r="J11188" i="3"/>
  <c r="J11187" i="3"/>
  <c r="J11186" i="3"/>
  <c r="J11185" i="3"/>
  <c r="J11184" i="3"/>
  <c r="J11183" i="3"/>
  <c r="J11182" i="3"/>
  <c r="J11181" i="3"/>
  <c r="J11180" i="3"/>
  <c r="J11179" i="3"/>
  <c r="J11178" i="3"/>
  <c r="J11177" i="3"/>
  <c r="J11176" i="3"/>
  <c r="J11175" i="3"/>
  <c r="J11174" i="3"/>
  <c r="J11173" i="3"/>
  <c r="J11172" i="3"/>
  <c r="J11171" i="3"/>
  <c r="J11170" i="3"/>
  <c r="J11169" i="3"/>
  <c r="J11168" i="3"/>
  <c r="J11167" i="3"/>
  <c r="J11166" i="3"/>
  <c r="J11165" i="3"/>
  <c r="J11164" i="3"/>
  <c r="J11163" i="3"/>
  <c r="J11162" i="3"/>
  <c r="J11161" i="3"/>
  <c r="J11160" i="3"/>
  <c r="J11159" i="3"/>
  <c r="J11158" i="3"/>
  <c r="J11157" i="3"/>
  <c r="J11156" i="3"/>
  <c r="J11155" i="3"/>
  <c r="J11154" i="3"/>
  <c r="J11153" i="3"/>
  <c r="J11152" i="3"/>
  <c r="J11151" i="3"/>
  <c r="J11150" i="3"/>
  <c r="J11149" i="3"/>
  <c r="J11148" i="3"/>
  <c r="J11147" i="3"/>
  <c r="J11146" i="3"/>
  <c r="J11145" i="3"/>
  <c r="J11144" i="3"/>
  <c r="J11143" i="3"/>
  <c r="J11142" i="3"/>
  <c r="J11141" i="3"/>
  <c r="J11140" i="3"/>
  <c r="J11139" i="3"/>
  <c r="J11138" i="3"/>
  <c r="J11137" i="3"/>
  <c r="J11136" i="3"/>
  <c r="J11135" i="3"/>
  <c r="J11134" i="3"/>
  <c r="J11133" i="3"/>
  <c r="J11132" i="3"/>
  <c r="J11131" i="3"/>
  <c r="J11130" i="3"/>
  <c r="J11129" i="3"/>
  <c r="J11128" i="3"/>
  <c r="J11127" i="3"/>
  <c r="J11126" i="3"/>
  <c r="J11125" i="3"/>
  <c r="J11124" i="3"/>
  <c r="J11123" i="3"/>
  <c r="J11122" i="3"/>
  <c r="J11121" i="3"/>
  <c r="J11120" i="3"/>
  <c r="J11119" i="3"/>
  <c r="J11118" i="3"/>
  <c r="J11117" i="3"/>
  <c r="J11116" i="3"/>
  <c r="J11115" i="3"/>
  <c r="J11114" i="3"/>
  <c r="J11113" i="3"/>
  <c r="J11112" i="3"/>
  <c r="J11111" i="3"/>
  <c r="J11110" i="3"/>
  <c r="J11109" i="3"/>
  <c r="J11108" i="3"/>
  <c r="J11107" i="3"/>
  <c r="J11106" i="3"/>
  <c r="J11105" i="3"/>
  <c r="J11104" i="3"/>
  <c r="J11103" i="3"/>
  <c r="J11102" i="3"/>
  <c r="J11101" i="3"/>
  <c r="J11100" i="3"/>
  <c r="J11099" i="3"/>
  <c r="J11098" i="3"/>
  <c r="J11097" i="3"/>
  <c r="J11096" i="3"/>
  <c r="J11095" i="3"/>
  <c r="J11094" i="3"/>
  <c r="J11093" i="3"/>
  <c r="J11092" i="3"/>
  <c r="J11091" i="3"/>
  <c r="J11090" i="3"/>
  <c r="J11089" i="3"/>
  <c r="J11088" i="3"/>
  <c r="J11087" i="3"/>
  <c r="J11086" i="3"/>
  <c r="J11085" i="3"/>
  <c r="J11084" i="3"/>
  <c r="J11083" i="3"/>
  <c r="J11082" i="3"/>
  <c r="J11081" i="3"/>
  <c r="J11080" i="3"/>
  <c r="J11079" i="3"/>
  <c r="J11078" i="3"/>
  <c r="J11077" i="3"/>
  <c r="J11076" i="3"/>
  <c r="J11075" i="3"/>
  <c r="J11074" i="3"/>
  <c r="J11073" i="3"/>
  <c r="J11072" i="3"/>
  <c r="J11071" i="3"/>
  <c r="J11070" i="3"/>
  <c r="J11069" i="3"/>
  <c r="J11068" i="3"/>
  <c r="J11067" i="3"/>
  <c r="J11066" i="3"/>
  <c r="J11065" i="3"/>
  <c r="J11064" i="3"/>
  <c r="J11063" i="3"/>
  <c r="J11062" i="3"/>
  <c r="J11061" i="3"/>
  <c r="J11060" i="3"/>
  <c r="J11059" i="3"/>
  <c r="J11058" i="3"/>
  <c r="J11057" i="3"/>
  <c r="J11056" i="3"/>
  <c r="J11055" i="3"/>
  <c r="J11054" i="3"/>
  <c r="J11053" i="3"/>
  <c r="J11052" i="3"/>
  <c r="J11051" i="3"/>
  <c r="J11050" i="3"/>
  <c r="J11049" i="3"/>
  <c r="J11048" i="3"/>
  <c r="J11047" i="3"/>
  <c r="J11046" i="3"/>
  <c r="J11045" i="3"/>
  <c r="J11044" i="3"/>
  <c r="J11043" i="3"/>
  <c r="J11042" i="3"/>
  <c r="J11041" i="3"/>
  <c r="J11040" i="3"/>
  <c r="J11039" i="3"/>
  <c r="J11038" i="3"/>
  <c r="J11037" i="3"/>
  <c r="J11036" i="3"/>
  <c r="J11035" i="3"/>
  <c r="J11034" i="3"/>
  <c r="J11033" i="3"/>
  <c r="J11032" i="3"/>
  <c r="J11031" i="3"/>
  <c r="J11030" i="3"/>
  <c r="J11029" i="3"/>
  <c r="J11028" i="3"/>
  <c r="J11027" i="3"/>
  <c r="J11026" i="3"/>
  <c r="J11025" i="3"/>
  <c r="J11024" i="3"/>
  <c r="J11023" i="3"/>
  <c r="J11022" i="3"/>
  <c r="J11021" i="3"/>
  <c r="J11020" i="3"/>
  <c r="J11019" i="3"/>
  <c r="J11018" i="3"/>
  <c r="J11017" i="3"/>
  <c r="J11016" i="3"/>
  <c r="J11015" i="3"/>
  <c r="J11014" i="3"/>
  <c r="J11013" i="3"/>
  <c r="J11012" i="3"/>
  <c r="J11011" i="3"/>
  <c r="J11010" i="3"/>
  <c r="J11009" i="3"/>
  <c r="J11008" i="3"/>
  <c r="J11007" i="3"/>
  <c r="J11006" i="3"/>
  <c r="J11005" i="3"/>
  <c r="J11004" i="3"/>
  <c r="J11003" i="3"/>
  <c r="J11002" i="3"/>
  <c r="J11001" i="3"/>
  <c r="J11000" i="3"/>
  <c r="J10999" i="3"/>
  <c r="J10998" i="3"/>
  <c r="J10997" i="3"/>
  <c r="J10996" i="3"/>
  <c r="J10995" i="3"/>
  <c r="J10994" i="3"/>
  <c r="J10993" i="3"/>
  <c r="J10992" i="3"/>
  <c r="J10991" i="3"/>
  <c r="J10990" i="3"/>
  <c r="J10989" i="3"/>
  <c r="J10988" i="3"/>
  <c r="J10987" i="3"/>
  <c r="J10986" i="3"/>
  <c r="J10985" i="3"/>
  <c r="J10984" i="3"/>
  <c r="J10983" i="3"/>
  <c r="J10982" i="3"/>
  <c r="J10981" i="3"/>
  <c r="J10980" i="3"/>
  <c r="J10979" i="3"/>
  <c r="J10978" i="3"/>
  <c r="J10977" i="3"/>
  <c r="J10976" i="3"/>
  <c r="J10975" i="3"/>
  <c r="J10974" i="3"/>
  <c r="J10973" i="3"/>
  <c r="J10972" i="3"/>
  <c r="J10971" i="3"/>
  <c r="J10970" i="3"/>
  <c r="J10969" i="3"/>
  <c r="J10968" i="3"/>
  <c r="J10967" i="3"/>
  <c r="J10966" i="3"/>
  <c r="J10965" i="3"/>
  <c r="J10964" i="3"/>
  <c r="J10963" i="3"/>
  <c r="J10962" i="3"/>
  <c r="J10961" i="3"/>
  <c r="J10960" i="3"/>
  <c r="J10959" i="3"/>
  <c r="J10958" i="3"/>
  <c r="J10957" i="3"/>
  <c r="J10956" i="3"/>
  <c r="J10955" i="3"/>
  <c r="J10954" i="3"/>
  <c r="J10953" i="3"/>
  <c r="J10952" i="3"/>
  <c r="J10951" i="3"/>
  <c r="J10950" i="3"/>
  <c r="J10949" i="3"/>
  <c r="J10948" i="3"/>
  <c r="J10947" i="3"/>
  <c r="J10946" i="3"/>
  <c r="J10945" i="3"/>
  <c r="J10944" i="3"/>
  <c r="J10943" i="3"/>
  <c r="J10942" i="3"/>
  <c r="J10941" i="3"/>
  <c r="J10940" i="3"/>
  <c r="J10939" i="3"/>
  <c r="J10938" i="3"/>
  <c r="J10937" i="3"/>
  <c r="J10936" i="3"/>
  <c r="J10935" i="3"/>
  <c r="J10934" i="3"/>
  <c r="J10933" i="3"/>
  <c r="J10932" i="3"/>
  <c r="J10931" i="3"/>
  <c r="J10930" i="3"/>
  <c r="J10929" i="3"/>
  <c r="J10928" i="3"/>
  <c r="J10927" i="3"/>
  <c r="J10926" i="3"/>
  <c r="J10925" i="3"/>
  <c r="J10924" i="3"/>
  <c r="J10923" i="3"/>
  <c r="J10922" i="3"/>
  <c r="J10921" i="3"/>
  <c r="J10920" i="3"/>
  <c r="J10919" i="3"/>
  <c r="J10918" i="3"/>
  <c r="J10917" i="3"/>
  <c r="J10916" i="3"/>
  <c r="J10915" i="3"/>
  <c r="J10914" i="3"/>
  <c r="J10913" i="3"/>
  <c r="J10912" i="3"/>
  <c r="J10911" i="3"/>
  <c r="J10910" i="3"/>
  <c r="J10909" i="3"/>
  <c r="J10908" i="3"/>
  <c r="J10907" i="3"/>
  <c r="J10906" i="3"/>
  <c r="J10905" i="3"/>
  <c r="J10904" i="3"/>
  <c r="J10903" i="3"/>
  <c r="J10902" i="3"/>
  <c r="J10901" i="3"/>
  <c r="J10900" i="3"/>
  <c r="J10899" i="3"/>
  <c r="J10898" i="3"/>
  <c r="J10897" i="3"/>
  <c r="J10896" i="3"/>
  <c r="J10895" i="3"/>
  <c r="J10894" i="3"/>
  <c r="J10893" i="3"/>
  <c r="J10892" i="3"/>
  <c r="J10891" i="3"/>
  <c r="J10890" i="3"/>
  <c r="J10889" i="3"/>
  <c r="J10888" i="3"/>
  <c r="J10887" i="3"/>
  <c r="J10886" i="3"/>
  <c r="J10885" i="3"/>
  <c r="J10884" i="3"/>
  <c r="J10883" i="3"/>
  <c r="J10882" i="3"/>
  <c r="J10881" i="3"/>
  <c r="J10880" i="3"/>
  <c r="J10879" i="3"/>
  <c r="J10878" i="3"/>
  <c r="J10877" i="3"/>
  <c r="J10876" i="3"/>
  <c r="J10875" i="3"/>
  <c r="J10874" i="3"/>
  <c r="J10873" i="3"/>
  <c r="J10872" i="3"/>
  <c r="J10871" i="3"/>
  <c r="J10870" i="3"/>
  <c r="J10869" i="3"/>
  <c r="J10868" i="3"/>
  <c r="J10867" i="3"/>
  <c r="J10866" i="3"/>
  <c r="J10865" i="3"/>
  <c r="J10864" i="3"/>
  <c r="J10863" i="3"/>
  <c r="J10862" i="3"/>
  <c r="J10861" i="3"/>
  <c r="J10860" i="3"/>
  <c r="J10859" i="3"/>
  <c r="J10858" i="3"/>
  <c r="J10857" i="3"/>
  <c r="J10856" i="3"/>
  <c r="J10855" i="3"/>
  <c r="J10854" i="3"/>
  <c r="J10853" i="3"/>
  <c r="J10852" i="3"/>
  <c r="J10851" i="3"/>
  <c r="J10850" i="3"/>
  <c r="J10849" i="3"/>
  <c r="J10848" i="3"/>
  <c r="J10847" i="3"/>
  <c r="J10846" i="3"/>
  <c r="J10845" i="3"/>
  <c r="J10844" i="3"/>
  <c r="J10843" i="3"/>
  <c r="J10842" i="3"/>
  <c r="J10841" i="3"/>
  <c r="J10840" i="3"/>
  <c r="J10839" i="3"/>
  <c r="J10838" i="3"/>
  <c r="J10837" i="3"/>
  <c r="J10836" i="3"/>
  <c r="J10835" i="3"/>
  <c r="J10834" i="3"/>
  <c r="J10833" i="3"/>
  <c r="J10832" i="3"/>
  <c r="J10831" i="3"/>
  <c r="J10830" i="3"/>
  <c r="J10829" i="3"/>
  <c r="J10828" i="3"/>
  <c r="J10827" i="3"/>
  <c r="J10826" i="3"/>
  <c r="J10825" i="3"/>
  <c r="J10824" i="3"/>
  <c r="J10823" i="3"/>
  <c r="J10822" i="3"/>
  <c r="J10821" i="3"/>
  <c r="J10820" i="3"/>
  <c r="J10819" i="3"/>
  <c r="J10818" i="3"/>
  <c r="J10817" i="3"/>
  <c r="J10816" i="3"/>
  <c r="J10815" i="3"/>
  <c r="J10814" i="3"/>
  <c r="J10813" i="3"/>
  <c r="J10812" i="3"/>
  <c r="J10811" i="3"/>
  <c r="J10810" i="3"/>
  <c r="J10809" i="3"/>
  <c r="J10808" i="3"/>
  <c r="J10807" i="3"/>
  <c r="J10806" i="3"/>
  <c r="J10805" i="3"/>
  <c r="J10804" i="3"/>
  <c r="J10803" i="3"/>
  <c r="J10802" i="3"/>
  <c r="J10801" i="3"/>
  <c r="J10800" i="3"/>
  <c r="J10799" i="3"/>
  <c r="J10798" i="3"/>
  <c r="J10797" i="3"/>
  <c r="J10796" i="3"/>
  <c r="J10795" i="3"/>
  <c r="J10794" i="3"/>
  <c r="J10793" i="3"/>
  <c r="J10792" i="3"/>
  <c r="J10791" i="3"/>
  <c r="J10790" i="3"/>
  <c r="J10789" i="3"/>
  <c r="J10788" i="3"/>
  <c r="J10787" i="3"/>
  <c r="J10786" i="3"/>
  <c r="J10785" i="3"/>
  <c r="J10784" i="3"/>
  <c r="J10783" i="3"/>
  <c r="J10782" i="3"/>
  <c r="J10781" i="3"/>
  <c r="J10780" i="3"/>
  <c r="J10779" i="3"/>
  <c r="J10778" i="3"/>
  <c r="J10777" i="3"/>
  <c r="J10776" i="3"/>
  <c r="J10775" i="3"/>
  <c r="J10774" i="3"/>
  <c r="J10773" i="3"/>
  <c r="J10772" i="3"/>
  <c r="J10771" i="3"/>
  <c r="J10770" i="3"/>
  <c r="J10769" i="3"/>
  <c r="J10768" i="3"/>
  <c r="J10767" i="3"/>
  <c r="J10766" i="3"/>
  <c r="J10765" i="3"/>
  <c r="J10764" i="3"/>
  <c r="J10763" i="3"/>
  <c r="J10762" i="3"/>
  <c r="J10761" i="3"/>
  <c r="J10760" i="3"/>
  <c r="J10759" i="3"/>
  <c r="J10758" i="3"/>
  <c r="J10757" i="3"/>
  <c r="J10756" i="3"/>
  <c r="J10755" i="3"/>
  <c r="J10754" i="3"/>
  <c r="J10753" i="3"/>
  <c r="J10752" i="3"/>
  <c r="J10751" i="3"/>
  <c r="J10750" i="3"/>
  <c r="J10749" i="3"/>
  <c r="J10748" i="3"/>
  <c r="J10747" i="3"/>
  <c r="J10746" i="3"/>
  <c r="J10745" i="3"/>
  <c r="J10744" i="3"/>
  <c r="J10743" i="3"/>
  <c r="J10742" i="3"/>
  <c r="J10741" i="3"/>
  <c r="J10740" i="3"/>
  <c r="J10739" i="3"/>
  <c r="J10738" i="3"/>
  <c r="J10737" i="3"/>
  <c r="J10736" i="3"/>
  <c r="J10735" i="3"/>
  <c r="J10734" i="3"/>
  <c r="J10733" i="3"/>
  <c r="J10732" i="3"/>
  <c r="J10731" i="3"/>
  <c r="J10730" i="3"/>
  <c r="J10729" i="3"/>
  <c r="J10728" i="3"/>
  <c r="J10727" i="3"/>
  <c r="J10726" i="3"/>
  <c r="J10725" i="3"/>
  <c r="J10724" i="3"/>
  <c r="J10723" i="3"/>
  <c r="J10722" i="3"/>
  <c r="J10721" i="3"/>
  <c r="J10720" i="3"/>
  <c r="J10719" i="3"/>
  <c r="J10718" i="3"/>
  <c r="J10717" i="3"/>
  <c r="J10716" i="3"/>
  <c r="J10715" i="3"/>
  <c r="J10714" i="3"/>
  <c r="J10713" i="3"/>
  <c r="J10712" i="3"/>
  <c r="J10711" i="3"/>
  <c r="J10710" i="3"/>
  <c r="J10709" i="3"/>
  <c r="J10708" i="3"/>
  <c r="J10707" i="3"/>
  <c r="J10706" i="3"/>
  <c r="J10705" i="3"/>
  <c r="J10704" i="3"/>
  <c r="J10703" i="3"/>
  <c r="J10702" i="3"/>
  <c r="J10701" i="3"/>
  <c r="J10700" i="3"/>
  <c r="J10699" i="3"/>
  <c r="J10698" i="3"/>
  <c r="J10697" i="3"/>
  <c r="J10696" i="3"/>
  <c r="J10695" i="3"/>
  <c r="J10694" i="3"/>
  <c r="J10693" i="3"/>
  <c r="J10692" i="3"/>
  <c r="J10691" i="3"/>
  <c r="J10690" i="3"/>
  <c r="J10689" i="3"/>
  <c r="J10688" i="3"/>
  <c r="J10687" i="3"/>
  <c r="J10686" i="3"/>
  <c r="J10685" i="3"/>
  <c r="J10684" i="3"/>
  <c r="J10683" i="3"/>
  <c r="J10682" i="3"/>
  <c r="J10681" i="3"/>
  <c r="J10680" i="3"/>
  <c r="J10679" i="3"/>
  <c r="J10678" i="3"/>
  <c r="J10677" i="3"/>
  <c r="J10676" i="3"/>
  <c r="J10675" i="3"/>
  <c r="J10674" i="3"/>
  <c r="J10673" i="3"/>
  <c r="J10672" i="3"/>
  <c r="J10671" i="3"/>
  <c r="J10670" i="3"/>
  <c r="J10669" i="3"/>
  <c r="J10668" i="3"/>
  <c r="J10667" i="3"/>
  <c r="J10666" i="3"/>
  <c r="J10665" i="3"/>
  <c r="J10664" i="3"/>
  <c r="J10663" i="3"/>
  <c r="J10662" i="3"/>
  <c r="J10661" i="3"/>
  <c r="J10660" i="3"/>
  <c r="J10659" i="3"/>
  <c r="J10658" i="3"/>
  <c r="J10657" i="3"/>
  <c r="J10656" i="3"/>
  <c r="J10655" i="3"/>
  <c r="J10654" i="3"/>
  <c r="J10653" i="3"/>
  <c r="J10652" i="3"/>
  <c r="J10651" i="3"/>
  <c r="J10650" i="3"/>
  <c r="J10649" i="3"/>
  <c r="J10648" i="3"/>
  <c r="J10647" i="3"/>
  <c r="J10646" i="3"/>
  <c r="J10645" i="3"/>
  <c r="J10644" i="3"/>
  <c r="J10643" i="3"/>
  <c r="J10642" i="3"/>
  <c r="J10641" i="3"/>
  <c r="J10640" i="3"/>
  <c r="J10639" i="3"/>
  <c r="J10638" i="3"/>
  <c r="J10637" i="3"/>
  <c r="J10636" i="3"/>
  <c r="J10635" i="3"/>
  <c r="J10634" i="3"/>
  <c r="J10633" i="3"/>
  <c r="J10632" i="3"/>
  <c r="J10631" i="3"/>
  <c r="J10630" i="3"/>
  <c r="J10629" i="3"/>
  <c r="J10628" i="3"/>
  <c r="J10627" i="3"/>
  <c r="J10626" i="3"/>
  <c r="J10625" i="3"/>
  <c r="J10624" i="3"/>
  <c r="J10623" i="3"/>
  <c r="J10622" i="3"/>
  <c r="J10621" i="3"/>
  <c r="J10620" i="3"/>
  <c r="J10619" i="3"/>
  <c r="J10618" i="3"/>
  <c r="J10617" i="3"/>
  <c r="J10616" i="3"/>
  <c r="J10615" i="3"/>
  <c r="J10614" i="3"/>
  <c r="J10613" i="3"/>
  <c r="J10612" i="3"/>
  <c r="J10611" i="3"/>
  <c r="J10610" i="3"/>
  <c r="J10609" i="3"/>
  <c r="J10608" i="3"/>
  <c r="J10607" i="3"/>
  <c r="J10606" i="3"/>
  <c r="J10605" i="3"/>
  <c r="J10604" i="3"/>
  <c r="J10603" i="3"/>
  <c r="J10602" i="3"/>
  <c r="J10601" i="3"/>
  <c r="J10600" i="3"/>
  <c r="J10599" i="3"/>
  <c r="J10598" i="3"/>
  <c r="J10597" i="3"/>
  <c r="J10596" i="3"/>
  <c r="J10595" i="3"/>
  <c r="J10594" i="3"/>
  <c r="J10593" i="3"/>
  <c r="J10592" i="3"/>
  <c r="J10591" i="3"/>
  <c r="J10590" i="3"/>
  <c r="J10589" i="3"/>
  <c r="J10588" i="3"/>
  <c r="J10587" i="3"/>
  <c r="J10586" i="3"/>
  <c r="J10585" i="3"/>
  <c r="J10584" i="3"/>
  <c r="J10583" i="3"/>
  <c r="J10582" i="3"/>
  <c r="J10581" i="3"/>
  <c r="J10580" i="3"/>
  <c r="J10579" i="3"/>
  <c r="J10578" i="3"/>
  <c r="J10577" i="3"/>
  <c r="J10576" i="3"/>
  <c r="J10575" i="3"/>
  <c r="J10574" i="3"/>
  <c r="J10573" i="3"/>
  <c r="J10572" i="3"/>
  <c r="J10571" i="3"/>
  <c r="J10570" i="3"/>
  <c r="J10569" i="3"/>
  <c r="J10568" i="3"/>
  <c r="J10567" i="3"/>
  <c r="J10566" i="3"/>
  <c r="J10565" i="3"/>
  <c r="J10564" i="3"/>
  <c r="J10563" i="3"/>
  <c r="J10562" i="3"/>
  <c r="J10561" i="3"/>
  <c r="J10560" i="3"/>
  <c r="J10559" i="3"/>
  <c r="J10558" i="3"/>
  <c r="J10557" i="3"/>
  <c r="J10556" i="3"/>
  <c r="J10555" i="3"/>
  <c r="J10554" i="3"/>
  <c r="J10553" i="3"/>
  <c r="J10552" i="3"/>
  <c r="J10551" i="3"/>
  <c r="J10550" i="3"/>
  <c r="J10549" i="3"/>
  <c r="J10548" i="3"/>
  <c r="J10547" i="3"/>
  <c r="J10546" i="3"/>
  <c r="J10545" i="3"/>
  <c r="J10544" i="3"/>
  <c r="J10543" i="3"/>
  <c r="J10542" i="3"/>
  <c r="J10541" i="3"/>
  <c r="J10540" i="3"/>
  <c r="J10539" i="3"/>
  <c r="J10538" i="3"/>
  <c r="J10537" i="3"/>
  <c r="J10536" i="3"/>
  <c r="J10535" i="3"/>
  <c r="J10534" i="3"/>
  <c r="J10533" i="3"/>
  <c r="J10532" i="3"/>
  <c r="J10531" i="3"/>
  <c r="J10530" i="3"/>
  <c r="J10529" i="3"/>
  <c r="J10528" i="3"/>
  <c r="J10527" i="3"/>
  <c r="J10526" i="3"/>
  <c r="J10525" i="3"/>
  <c r="J10524" i="3"/>
  <c r="J10523" i="3"/>
  <c r="J10522" i="3"/>
  <c r="J10521" i="3"/>
  <c r="J10520" i="3"/>
  <c r="J10519" i="3"/>
  <c r="J10518" i="3"/>
  <c r="J10517" i="3"/>
  <c r="J10516" i="3"/>
  <c r="J10515" i="3"/>
  <c r="J10514" i="3"/>
  <c r="J10513" i="3"/>
  <c r="J10512" i="3"/>
  <c r="J10511" i="3"/>
  <c r="J10510" i="3"/>
  <c r="J10509" i="3"/>
  <c r="J10508" i="3"/>
  <c r="J10507" i="3"/>
  <c r="J10506" i="3"/>
  <c r="J10505" i="3"/>
  <c r="J10504" i="3"/>
  <c r="J10503" i="3"/>
  <c r="J10502" i="3"/>
  <c r="J10501" i="3"/>
  <c r="J10500" i="3"/>
  <c r="J10499" i="3"/>
  <c r="J10498" i="3"/>
  <c r="J10497" i="3"/>
  <c r="J10496" i="3"/>
  <c r="J10495" i="3"/>
  <c r="J10494" i="3"/>
  <c r="J10493" i="3"/>
  <c r="J10492" i="3"/>
  <c r="J10491" i="3"/>
  <c r="J10490" i="3"/>
  <c r="J10489" i="3"/>
  <c r="J10488" i="3"/>
  <c r="J10487" i="3"/>
  <c r="J10486" i="3"/>
  <c r="J10485" i="3"/>
  <c r="J10484" i="3"/>
  <c r="J10483" i="3"/>
  <c r="J10482" i="3"/>
  <c r="J10481" i="3"/>
  <c r="J10480" i="3"/>
  <c r="J10479" i="3"/>
  <c r="J10478" i="3"/>
  <c r="J10477" i="3"/>
  <c r="J10476" i="3"/>
  <c r="J10475" i="3"/>
  <c r="J10474" i="3"/>
  <c r="J10473" i="3"/>
  <c r="J10472" i="3"/>
  <c r="J10471" i="3"/>
  <c r="J10470" i="3"/>
  <c r="J10469" i="3"/>
  <c r="J10468" i="3"/>
  <c r="J10467" i="3"/>
  <c r="J10466" i="3"/>
  <c r="J10465" i="3"/>
  <c r="J10464" i="3"/>
  <c r="J10463" i="3"/>
  <c r="J10462" i="3"/>
  <c r="J10461" i="3"/>
  <c r="J10460" i="3"/>
  <c r="J10459" i="3"/>
  <c r="J10458" i="3"/>
  <c r="J10457" i="3"/>
  <c r="J10456" i="3"/>
  <c r="J10455" i="3"/>
  <c r="J10454" i="3"/>
  <c r="J10453" i="3"/>
  <c r="J10452" i="3"/>
  <c r="J10451" i="3"/>
  <c r="J10450" i="3"/>
  <c r="J10449" i="3"/>
  <c r="J10448" i="3"/>
  <c r="J10447" i="3"/>
  <c r="J10446" i="3"/>
  <c r="J10445" i="3"/>
  <c r="J10444" i="3"/>
  <c r="J10443" i="3"/>
  <c r="J10442" i="3"/>
  <c r="J10441" i="3"/>
  <c r="J10440" i="3"/>
  <c r="J10439" i="3"/>
  <c r="J10438" i="3"/>
  <c r="J10437" i="3"/>
  <c r="J10436" i="3"/>
  <c r="J10435" i="3"/>
  <c r="J10434" i="3"/>
  <c r="J10433" i="3"/>
  <c r="J10432" i="3"/>
  <c r="J10431" i="3"/>
  <c r="J10430" i="3"/>
  <c r="J10429" i="3"/>
  <c r="J10428" i="3"/>
  <c r="J10427" i="3"/>
  <c r="J10426" i="3"/>
  <c r="J10425" i="3"/>
  <c r="J10424" i="3"/>
  <c r="J10423" i="3"/>
  <c r="J10422" i="3"/>
  <c r="J10421" i="3"/>
  <c r="J10420" i="3"/>
  <c r="J10419" i="3"/>
  <c r="J10418" i="3"/>
  <c r="J10417" i="3"/>
  <c r="J10416" i="3"/>
  <c r="J10415" i="3"/>
  <c r="J10414" i="3"/>
  <c r="J10413" i="3"/>
  <c r="J10412" i="3"/>
  <c r="J10411" i="3"/>
  <c r="J10410" i="3"/>
  <c r="J10409" i="3"/>
  <c r="J10408" i="3"/>
  <c r="J10407" i="3"/>
  <c r="J10406" i="3"/>
  <c r="J10405" i="3"/>
  <c r="J10404" i="3"/>
  <c r="J10403" i="3"/>
  <c r="J10402" i="3"/>
  <c r="J10401" i="3"/>
  <c r="J10400" i="3"/>
  <c r="J10399" i="3"/>
  <c r="J10398" i="3"/>
  <c r="J10397" i="3"/>
  <c r="J10396" i="3"/>
  <c r="J10395" i="3"/>
  <c r="J10394" i="3"/>
  <c r="J10393" i="3"/>
  <c r="J10392" i="3"/>
  <c r="J10391" i="3"/>
  <c r="J10390" i="3"/>
  <c r="J10389" i="3"/>
  <c r="J10388" i="3"/>
  <c r="J10387" i="3"/>
  <c r="J10386" i="3"/>
  <c r="J10385" i="3"/>
  <c r="J10384" i="3"/>
  <c r="J10383" i="3"/>
  <c r="J10382" i="3"/>
  <c r="J10381" i="3"/>
  <c r="J10380" i="3"/>
  <c r="J10379" i="3"/>
  <c r="J10378" i="3"/>
  <c r="J10377" i="3"/>
  <c r="J10376" i="3"/>
  <c r="J10375" i="3"/>
  <c r="J10374" i="3"/>
  <c r="J10373" i="3"/>
  <c r="J10372" i="3"/>
  <c r="J10371" i="3"/>
  <c r="J10370" i="3"/>
  <c r="J10369" i="3"/>
  <c r="J10368" i="3"/>
  <c r="J10367" i="3"/>
  <c r="J10366" i="3"/>
  <c r="J10365" i="3"/>
  <c r="J10364" i="3"/>
  <c r="J10363" i="3"/>
  <c r="J10362" i="3"/>
  <c r="J10361" i="3"/>
  <c r="J10360" i="3"/>
  <c r="J10359" i="3"/>
  <c r="J10358" i="3"/>
  <c r="J10357" i="3"/>
  <c r="J10356" i="3"/>
  <c r="J10355" i="3"/>
  <c r="J10354" i="3"/>
  <c r="J10353" i="3"/>
  <c r="J10352" i="3"/>
  <c r="J10351" i="3"/>
  <c r="J10350" i="3"/>
  <c r="J10349" i="3"/>
  <c r="J10348" i="3"/>
  <c r="J10347" i="3"/>
  <c r="J10346" i="3"/>
  <c r="J10345" i="3"/>
  <c r="J10344" i="3"/>
  <c r="J10343" i="3"/>
  <c r="J10342" i="3"/>
  <c r="J10341" i="3"/>
  <c r="J10340" i="3"/>
  <c r="J10339" i="3"/>
  <c r="J10338" i="3"/>
  <c r="J10337" i="3"/>
  <c r="J10336" i="3"/>
  <c r="J10335" i="3"/>
  <c r="J10334" i="3"/>
  <c r="J10333" i="3"/>
  <c r="J10332" i="3"/>
  <c r="J10331" i="3"/>
  <c r="J10330" i="3"/>
  <c r="J10329" i="3"/>
  <c r="J10328" i="3"/>
  <c r="J10327" i="3"/>
  <c r="J10326" i="3"/>
  <c r="J10325" i="3"/>
  <c r="J10324" i="3"/>
  <c r="J10323" i="3"/>
  <c r="J10322" i="3"/>
  <c r="J10321" i="3"/>
  <c r="J10320" i="3"/>
  <c r="J10319" i="3"/>
  <c r="J10318" i="3"/>
  <c r="J10317" i="3"/>
  <c r="J10316" i="3"/>
  <c r="J10315" i="3"/>
  <c r="J10314" i="3"/>
  <c r="J10313" i="3"/>
  <c r="J10312" i="3"/>
  <c r="J10311" i="3"/>
  <c r="J10310" i="3"/>
  <c r="J10309" i="3"/>
  <c r="J10308" i="3"/>
  <c r="J10307" i="3"/>
  <c r="J10306" i="3"/>
  <c r="J10305" i="3"/>
  <c r="J10304" i="3"/>
  <c r="J10303" i="3"/>
  <c r="J10302" i="3"/>
  <c r="J10301" i="3"/>
  <c r="J10300" i="3"/>
  <c r="J10299" i="3"/>
  <c r="J10298" i="3"/>
  <c r="J10297" i="3"/>
  <c r="J10296" i="3"/>
  <c r="J10295" i="3"/>
  <c r="J10294" i="3"/>
  <c r="J10293" i="3"/>
  <c r="J10292" i="3"/>
  <c r="J10291" i="3"/>
  <c r="J10290" i="3"/>
  <c r="J10289" i="3"/>
  <c r="J10288" i="3"/>
  <c r="J10287" i="3"/>
  <c r="J10286" i="3"/>
  <c r="J10285" i="3"/>
  <c r="J10284" i="3"/>
  <c r="J10283" i="3"/>
  <c r="J10282" i="3"/>
  <c r="J10281" i="3"/>
  <c r="J10280" i="3"/>
  <c r="J10279" i="3"/>
  <c r="J10278" i="3"/>
  <c r="J10277" i="3"/>
  <c r="J10276" i="3"/>
  <c r="J10275" i="3"/>
  <c r="J10274" i="3"/>
  <c r="J10273" i="3"/>
  <c r="J10272" i="3"/>
  <c r="J10271" i="3"/>
  <c r="J10270" i="3"/>
  <c r="J10269" i="3"/>
  <c r="J10268" i="3"/>
  <c r="J10267" i="3"/>
  <c r="J10266" i="3"/>
  <c r="J10265" i="3"/>
  <c r="J10264" i="3"/>
  <c r="J10263" i="3"/>
  <c r="J10262" i="3"/>
  <c r="J10261" i="3"/>
  <c r="J10260" i="3"/>
  <c r="J10259" i="3"/>
  <c r="J10258" i="3"/>
  <c r="J10257" i="3"/>
  <c r="J10256" i="3"/>
  <c r="J10255" i="3"/>
  <c r="J10254" i="3"/>
  <c r="J10253" i="3"/>
  <c r="J10252" i="3"/>
  <c r="J10251" i="3"/>
  <c r="J10250" i="3"/>
  <c r="J10249" i="3"/>
  <c r="J10248" i="3"/>
  <c r="J10247" i="3"/>
  <c r="J10246" i="3"/>
  <c r="J10245" i="3"/>
  <c r="J10244" i="3"/>
  <c r="J10243" i="3"/>
  <c r="J10242" i="3"/>
  <c r="J10241" i="3"/>
  <c r="J10240" i="3"/>
  <c r="J10239" i="3"/>
  <c r="J10238" i="3"/>
  <c r="J10237" i="3"/>
  <c r="J10236" i="3"/>
  <c r="J10235" i="3"/>
  <c r="J10234" i="3"/>
  <c r="J10233" i="3"/>
  <c r="J10232" i="3"/>
  <c r="J10231" i="3"/>
  <c r="J10230" i="3"/>
  <c r="J10229" i="3"/>
  <c r="J10228" i="3"/>
  <c r="J10227" i="3"/>
  <c r="J10226" i="3"/>
  <c r="J10225" i="3"/>
  <c r="J10224" i="3"/>
  <c r="J10223" i="3"/>
  <c r="J10222" i="3"/>
  <c r="J10221" i="3"/>
  <c r="J10220" i="3"/>
  <c r="J10219" i="3"/>
  <c r="J10218" i="3"/>
  <c r="J10217" i="3"/>
  <c r="J10216" i="3"/>
  <c r="J10215" i="3"/>
  <c r="J10214" i="3"/>
  <c r="J10213" i="3"/>
  <c r="J10212" i="3"/>
  <c r="J10211" i="3"/>
  <c r="J10210" i="3"/>
  <c r="J10209" i="3"/>
  <c r="J10208" i="3"/>
  <c r="J10207" i="3"/>
  <c r="J10206" i="3"/>
  <c r="J10205" i="3"/>
  <c r="J10204" i="3"/>
  <c r="J10203" i="3"/>
  <c r="J10202" i="3"/>
  <c r="J10201" i="3"/>
  <c r="J10200" i="3"/>
  <c r="J10199" i="3"/>
  <c r="J10198" i="3"/>
  <c r="J10197" i="3"/>
  <c r="J10196" i="3"/>
  <c r="J10195" i="3"/>
  <c r="J10194" i="3"/>
  <c r="J10193" i="3"/>
  <c r="J10192" i="3"/>
  <c r="J10191" i="3"/>
  <c r="J10190" i="3"/>
  <c r="J10189" i="3"/>
  <c r="J10188" i="3"/>
  <c r="J10187" i="3"/>
  <c r="J10186" i="3"/>
  <c r="J10185" i="3"/>
  <c r="J10184" i="3"/>
  <c r="J10183" i="3"/>
  <c r="J10182" i="3"/>
  <c r="J10181" i="3"/>
  <c r="J10180" i="3"/>
  <c r="J10179" i="3"/>
  <c r="J10178" i="3"/>
  <c r="J10177" i="3"/>
  <c r="J10176" i="3"/>
  <c r="J10175" i="3"/>
  <c r="J10174" i="3"/>
  <c r="J10173" i="3"/>
  <c r="J10172" i="3"/>
  <c r="J10171" i="3"/>
  <c r="J10170" i="3"/>
  <c r="J10169" i="3"/>
  <c r="J10168" i="3"/>
  <c r="J10167" i="3"/>
  <c r="J10166" i="3"/>
  <c r="J10165" i="3"/>
  <c r="J10164" i="3"/>
  <c r="J10163" i="3"/>
  <c r="J10162" i="3"/>
  <c r="J10161" i="3"/>
  <c r="J10160" i="3"/>
  <c r="J10159" i="3"/>
  <c r="J10158" i="3"/>
  <c r="J10157" i="3"/>
  <c r="J10156" i="3"/>
  <c r="J10155" i="3"/>
  <c r="J10154" i="3"/>
  <c r="J10153" i="3"/>
  <c r="J10152" i="3"/>
  <c r="J10151" i="3"/>
  <c r="J10150" i="3"/>
  <c r="J10149" i="3"/>
  <c r="J10148" i="3"/>
  <c r="J10147" i="3"/>
  <c r="J10146" i="3"/>
  <c r="J10145" i="3"/>
  <c r="J10144" i="3"/>
  <c r="J10143" i="3"/>
  <c r="J10142" i="3"/>
  <c r="J10141" i="3"/>
  <c r="J10140" i="3"/>
  <c r="J10139" i="3"/>
  <c r="J10138" i="3"/>
  <c r="J10137" i="3"/>
  <c r="J10136" i="3"/>
  <c r="J10135" i="3"/>
  <c r="J10134" i="3"/>
  <c r="J10133" i="3"/>
  <c r="J10132" i="3"/>
  <c r="J10131" i="3"/>
  <c r="J10130" i="3"/>
  <c r="J10129" i="3"/>
  <c r="J10128" i="3"/>
  <c r="J10127" i="3"/>
  <c r="J10126" i="3"/>
  <c r="J10125" i="3"/>
  <c r="J10124" i="3"/>
  <c r="J10123" i="3"/>
  <c r="J10122" i="3"/>
  <c r="J10121" i="3"/>
  <c r="J10120" i="3"/>
  <c r="J10119" i="3"/>
  <c r="J10118" i="3"/>
  <c r="J10117" i="3"/>
  <c r="J10116" i="3"/>
  <c r="J10115" i="3"/>
  <c r="J10114" i="3"/>
  <c r="J10113" i="3"/>
  <c r="J10112" i="3"/>
  <c r="J10111" i="3"/>
  <c r="J10110" i="3"/>
  <c r="J10109" i="3"/>
  <c r="J10108" i="3"/>
  <c r="J10107" i="3"/>
  <c r="J10106" i="3"/>
  <c r="J10105" i="3"/>
  <c r="J10104" i="3"/>
  <c r="J10103" i="3"/>
  <c r="J10102" i="3"/>
  <c r="J10101" i="3"/>
  <c r="J10100" i="3"/>
  <c r="J10099" i="3"/>
  <c r="J10098" i="3"/>
  <c r="J10097" i="3"/>
  <c r="J10096" i="3"/>
  <c r="J10095" i="3"/>
  <c r="J10094" i="3"/>
  <c r="J10093" i="3"/>
  <c r="J10092" i="3"/>
  <c r="J10091" i="3"/>
  <c r="J10090" i="3"/>
  <c r="J10089" i="3"/>
  <c r="J10088" i="3"/>
  <c r="J10087" i="3"/>
  <c r="J10086" i="3"/>
  <c r="J10085" i="3"/>
  <c r="J10084" i="3"/>
  <c r="J10083" i="3"/>
  <c r="J10082" i="3"/>
  <c r="J10081" i="3"/>
  <c r="J10080" i="3"/>
  <c r="J10079" i="3"/>
  <c r="J10078" i="3"/>
  <c r="J10077" i="3"/>
  <c r="J10076" i="3"/>
  <c r="J10075" i="3"/>
  <c r="J10074" i="3"/>
  <c r="J10073" i="3"/>
  <c r="J10072" i="3"/>
  <c r="J10071" i="3"/>
  <c r="J10070" i="3"/>
  <c r="J10069" i="3"/>
  <c r="J10068" i="3"/>
  <c r="J10067" i="3"/>
  <c r="J10066" i="3"/>
  <c r="J10065" i="3"/>
  <c r="J10064" i="3"/>
  <c r="J10063" i="3"/>
  <c r="J10062" i="3"/>
  <c r="J10061" i="3"/>
  <c r="J10060" i="3"/>
  <c r="J10059" i="3"/>
  <c r="J10058" i="3"/>
  <c r="J10057" i="3"/>
  <c r="J10056" i="3"/>
  <c r="J10055" i="3"/>
  <c r="J10054" i="3"/>
  <c r="J10053" i="3"/>
  <c r="J10052" i="3"/>
  <c r="J10051" i="3"/>
  <c r="J10050" i="3"/>
  <c r="J10049" i="3"/>
  <c r="J10048" i="3"/>
  <c r="J10047" i="3"/>
  <c r="J10046" i="3"/>
  <c r="J10045" i="3"/>
  <c r="J10044" i="3"/>
  <c r="J10043" i="3"/>
  <c r="J10042" i="3"/>
  <c r="J10041" i="3"/>
  <c r="J10040" i="3"/>
  <c r="J10039" i="3"/>
  <c r="J10038" i="3"/>
  <c r="J10037" i="3"/>
  <c r="J10036" i="3"/>
  <c r="J10035" i="3"/>
  <c r="J10034" i="3"/>
  <c r="J10033" i="3"/>
  <c r="J10032" i="3"/>
  <c r="J10031" i="3"/>
  <c r="J10030" i="3"/>
  <c r="J10029" i="3"/>
  <c r="J10028" i="3"/>
  <c r="J10027" i="3"/>
  <c r="J10026" i="3"/>
  <c r="J10025" i="3"/>
  <c r="J10024" i="3"/>
  <c r="J10023" i="3"/>
  <c r="J10022" i="3"/>
  <c r="J10021" i="3"/>
  <c r="J10020" i="3"/>
  <c r="J10019" i="3"/>
  <c r="J10018" i="3"/>
  <c r="J10017" i="3"/>
  <c r="J10016" i="3"/>
  <c r="J10015" i="3"/>
  <c r="J10014" i="3"/>
  <c r="J10013" i="3"/>
  <c r="J10012" i="3"/>
  <c r="J10011" i="3"/>
  <c r="J10010" i="3"/>
  <c r="J10009" i="3"/>
  <c r="J10008" i="3"/>
  <c r="J10007" i="3"/>
  <c r="J10006" i="3"/>
  <c r="J10005" i="3"/>
  <c r="J10004" i="3"/>
  <c r="J10003" i="3"/>
  <c r="J10002" i="3"/>
  <c r="J10001" i="3"/>
  <c r="J10000" i="3"/>
  <c r="J9999" i="3"/>
  <c r="J9998" i="3"/>
  <c r="J9997" i="3"/>
  <c r="J9996" i="3"/>
  <c r="J9995" i="3"/>
  <c r="J9994" i="3"/>
  <c r="J9993" i="3"/>
  <c r="J9992" i="3"/>
  <c r="J9991" i="3"/>
  <c r="J9990" i="3"/>
  <c r="J9989" i="3"/>
  <c r="J9988" i="3"/>
  <c r="J9987" i="3"/>
  <c r="J9986" i="3"/>
  <c r="J9985" i="3"/>
  <c r="J9984" i="3"/>
  <c r="J9983" i="3"/>
  <c r="J9982" i="3"/>
  <c r="J9981" i="3"/>
  <c r="J9980" i="3"/>
  <c r="J9979" i="3"/>
  <c r="J9978" i="3"/>
  <c r="J9977" i="3"/>
  <c r="J9976" i="3"/>
  <c r="J9975" i="3"/>
  <c r="J9974" i="3"/>
  <c r="J9973" i="3"/>
  <c r="J9972" i="3"/>
  <c r="J9971" i="3"/>
  <c r="J9970" i="3"/>
  <c r="J9969" i="3"/>
  <c r="J9968" i="3"/>
  <c r="J9967" i="3"/>
  <c r="J9966" i="3"/>
  <c r="J9965" i="3"/>
  <c r="J9964" i="3"/>
  <c r="J9963" i="3"/>
  <c r="J9962" i="3"/>
  <c r="J9961" i="3"/>
  <c r="J9960" i="3"/>
  <c r="J9959" i="3"/>
  <c r="J9958" i="3"/>
  <c r="J9957" i="3"/>
  <c r="J9956" i="3"/>
  <c r="J9955" i="3"/>
  <c r="J9954" i="3"/>
  <c r="J9953" i="3"/>
  <c r="J9952" i="3"/>
  <c r="J9951" i="3"/>
  <c r="J9950" i="3"/>
  <c r="J9949" i="3"/>
  <c r="J9948" i="3"/>
  <c r="J9947" i="3"/>
  <c r="J9946" i="3"/>
  <c r="J9945" i="3"/>
  <c r="J9944" i="3"/>
  <c r="J9943" i="3"/>
  <c r="J9942" i="3"/>
  <c r="J9941" i="3"/>
  <c r="J9940" i="3"/>
  <c r="J9939" i="3"/>
  <c r="J9938" i="3"/>
  <c r="J9937" i="3"/>
  <c r="J9936" i="3"/>
  <c r="J9935" i="3"/>
  <c r="J9934" i="3"/>
  <c r="J9933" i="3"/>
  <c r="J9932" i="3"/>
  <c r="J9931" i="3"/>
  <c r="J9930" i="3"/>
  <c r="J9929" i="3"/>
  <c r="J9928" i="3"/>
  <c r="J9927" i="3"/>
  <c r="J9926" i="3"/>
  <c r="J9925" i="3"/>
  <c r="J9924" i="3"/>
  <c r="J9923" i="3"/>
  <c r="J9922" i="3"/>
  <c r="J9921" i="3"/>
  <c r="J9920" i="3"/>
  <c r="J9919" i="3"/>
  <c r="J9918" i="3"/>
  <c r="J9917" i="3"/>
  <c r="J9916" i="3"/>
  <c r="J9915" i="3"/>
  <c r="J9914" i="3"/>
  <c r="J9913" i="3"/>
  <c r="J9912" i="3"/>
  <c r="J9911" i="3"/>
  <c r="J9910" i="3"/>
  <c r="J9909" i="3"/>
  <c r="J9908" i="3"/>
  <c r="J9907" i="3"/>
  <c r="J9906" i="3"/>
  <c r="J9905" i="3"/>
  <c r="J9904" i="3"/>
  <c r="J9903" i="3"/>
  <c r="J9902" i="3"/>
  <c r="J9901" i="3"/>
  <c r="J9900" i="3"/>
  <c r="J9899" i="3"/>
  <c r="J9898" i="3"/>
  <c r="J9897" i="3"/>
  <c r="J9896" i="3"/>
  <c r="J9895" i="3"/>
  <c r="J9894" i="3"/>
  <c r="J9893" i="3"/>
  <c r="J9892" i="3"/>
  <c r="J9891" i="3"/>
  <c r="J9890" i="3"/>
  <c r="J9889" i="3"/>
  <c r="J9888" i="3"/>
  <c r="J9887" i="3"/>
  <c r="J9886" i="3"/>
  <c r="J9885" i="3"/>
  <c r="J9884" i="3"/>
  <c r="J9883" i="3"/>
  <c r="J9882" i="3"/>
  <c r="J9881" i="3"/>
  <c r="J9880" i="3"/>
  <c r="J9879" i="3"/>
  <c r="J9878" i="3"/>
  <c r="J9877" i="3"/>
  <c r="J9876" i="3"/>
  <c r="J9875" i="3"/>
  <c r="J9874" i="3"/>
  <c r="J9873" i="3"/>
  <c r="J9872" i="3"/>
  <c r="J9871" i="3"/>
  <c r="J9870" i="3"/>
  <c r="J9869" i="3"/>
  <c r="J9868" i="3"/>
  <c r="J9867" i="3"/>
  <c r="J9866" i="3"/>
  <c r="J9865" i="3"/>
  <c r="J9864" i="3"/>
  <c r="J9863" i="3"/>
  <c r="J9862" i="3"/>
  <c r="J9861" i="3"/>
  <c r="J9860" i="3"/>
  <c r="J9859" i="3"/>
  <c r="J9858" i="3"/>
  <c r="J9857" i="3"/>
  <c r="J9856" i="3"/>
  <c r="J9855" i="3"/>
  <c r="J9854" i="3"/>
  <c r="J9853" i="3"/>
  <c r="J9852" i="3"/>
  <c r="J9851" i="3"/>
  <c r="J9850" i="3"/>
  <c r="J9849" i="3"/>
  <c r="J9848" i="3"/>
  <c r="J9847" i="3"/>
  <c r="J9846" i="3"/>
  <c r="J9845" i="3"/>
  <c r="J9844" i="3"/>
  <c r="J9843" i="3"/>
  <c r="J9842" i="3"/>
  <c r="J9841" i="3"/>
  <c r="J9840" i="3"/>
  <c r="J9839" i="3"/>
  <c r="J9838" i="3"/>
  <c r="J9837" i="3"/>
  <c r="J9836" i="3"/>
  <c r="J9835" i="3"/>
  <c r="J9834" i="3"/>
  <c r="J9833" i="3"/>
  <c r="J9832" i="3"/>
  <c r="J9831" i="3"/>
  <c r="J9830" i="3"/>
  <c r="J9829" i="3"/>
  <c r="J9828" i="3"/>
  <c r="J9827" i="3"/>
  <c r="J9826" i="3"/>
  <c r="J9825" i="3"/>
  <c r="J9824" i="3"/>
  <c r="J9823" i="3"/>
  <c r="J9822" i="3"/>
  <c r="J9821" i="3"/>
  <c r="J9820" i="3"/>
  <c r="J9819" i="3"/>
  <c r="J9818" i="3"/>
  <c r="J9817" i="3"/>
  <c r="J9816" i="3"/>
  <c r="J9815" i="3"/>
  <c r="J9814" i="3"/>
  <c r="J9813" i="3"/>
  <c r="J9812" i="3"/>
  <c r="J9811" i="3"/>
  <c r="J9810" i="3"/>
  <c r="J9809" i="3"/>
  <c r="J9808" i="3"/>
  <c r="J9807" i="3"/>
  <c r="J9806" i="3"/>
  <c r="J9805" i="3"/>
  <c r="J9804" i="3"/>
  <c r="J9803" i="3"/>
  <c r="J9802" i="3"/>
  <c r="J9801" i="3"/>
  <c r="J9800" i="3"/>
  <c r="J9799" i="3"/>
  <c r="J9798" i="3"/>
  <c r="J9797" i="3"/>
  <c r="J9796" i="3"/>
  <c r="J9795" i="3"/>
  <c r="J9794" i="3"/>
  <c r="J9793" i="3"/>
  <c r="J9792" i="3"/>
  <c r="J9791" i="3"/>
  <c r="J9790" i="3"/>
  <c r="J9789" i="3"/>
  <c r="J9788" i="3"/>
  <c r="J9787" i="3"/>
  <c r="J9786" i="3"/>
  <c r="J9785" i="3"/>
  <c r="J9784" i="3"/>
  <c r="J9783" i="3"/>
  <c r="J9782" i="3"/>
  <c r="J9781" i="3"/>
  <c r="J9780" i="3"/>
  <c r="J9779" i="3"/>
  <c r="J9778" i="3"/>
  <c r="J9777" i="3"/>
  <c r="J9776" i="3"/>
  <c r="J9775" i="3"/>
  <c r="J9774" i="3"/>
  <c r="J9773" i="3"/>
  <c r="J9772" i="3"/>
  <c r="J9771" i="3"/>
  <c r="J9770" i="3"/>
  <c r="J9769" i="3"/>
  <c r="J9768" i="3"/>
  <c r="J9767" i="3"/>
  <c r="J9766" i="3"/>
  <c r="J9765" i="3"/>
  <c r="J9764" i="3"/>
  <c r="J9763" i="3"/>
  <c r="J9762" i="3"/>
  <c r="J9761" i="3"/>
  <c r="J9760" i="3"/>
  <c r="J9759" i="3"/>
  <c r="J9758" i="3"/>
  <c r="J9757" i="3"/>
  <c r="J9756" i="3"/>
  <c r="J9755" i="3"/>
  <c r="J9754" i="3"/>
  <c r="J9753" i="3"/>
  <c r="J9752" i="3"/>
  <c r="J9751" i="3"/>
  <c r="J9750" i="3"/>
  <c r="J9749" i="3"/>
  <c r="J9748" i="3"/>
  <c r="J9747" i="3"/>
  <c r="J9746" i="3"/>
  <c r="J9745" i="3"/>
  <c r="J9744" i="3"/>
  <c r="J9743" i="3"/>
  <c r="J9742" i="3"/>
  <c r="J9741" i="3"/>
  <c r="J9740" i="3"/>
  <c r="J9739" i="3"/>
  <c r="J9738" i="3"/>
  <c r="J9737" i="3"/>
  <c r="J9736" i="3"/>
  <c r="J9735" i="3"/>
  <c r="J9734" i="3"/>
  <c r="J9733" i="3"/>
  <c r="J9732" i="3"/>
  <c r="J9731" i="3"/>
  <c r="J9730" i="3"/>
  <c r="J9729" i="3"/>
  <c r="J9728" i="3"/>
  <c r="J9727" i="3"/>
  <c r="J9726" i="3"/>
  <c r="J9725" i="3"/>
  <c r="J9724" i="3"/>
  <c r="J9723" i="3"/>
  <c r="J9722" i="3"/>
  <c r="J9721" i="3"/>
  <c r="J9720" i="3"/>
  <c r="J9719" i="3"/>
  <c r="J9718" i="3"/>
  <c r="J9717" i="3"/>
  <c r="J9716" i="3"/>
  <c r="J9715" i="3"/>
  <c r="J9714" i="3"/>
  <c r="J9713" i="3"/>
  <c r="J9712" i="3"/>
  <c r="J9711" i="3"/>
  <c r="J9710" i="3"/>
  <c r="J9709" i="3"/>
  <c r="J9708" i="3"/>
  <c r="J9707" i="3"/>
  <c r="J9706" i="3"/>
  <c r="J9705" i="3"/>
  <c r="J9704" i="3"/>
  <c r="J9703" i="3"/>
  <c r="J9702" i="3"/>
  <c r="J9701" i="3"/>
  <c r="J9700" i="3"/>
  <c r="J9699" i="3"/>
  <c r="J9698" i="3"/>
  <c r="J9697" i="3"/>
  <c r="J9696" i="3"/>
  <c r="J9695" i="3"/>
  <c r="J9694" i="3"/>
  <c r="J9693" i="3"/>
  <c r="J9692" i="3"/>
  <c r="J9691" i="3"/>
  <c r="J9690" i="3"/>
  <c r="J9689" i="3"/>
  <c r="J9688" i="3"/>
  <c r="J9687" i="3"/>
  <c r="J9686" i="3"/>
  <c r="J9685" i="3"/>
  <c r="J9684" i="3"/>
  <c r="J9683" i="3"/>
  <c r="J9682" i="3"/>
  <c r="J9681" i="3"/>
  <c r="J9680" i="3"/>
  <c r="J9679" i="3"/>
  <c r="J9678" i="3"/>
  <c r="J9677" i="3"/>
  <c r="J9676" i="3"/>
  <c r="J9675" i="3"/>
  <c r="J9674" i="3"/>
  <c r="J9673" i="3"/>
  <c r="J9672" i="3"/>
  <c r="J9671" i="3"/>
  <c r="J9670" i="3"/>
  <c r="J9669" i="3"/>
  <c r="J9668" i="3"/>
  <c r="J9667" i="3"/>
  <c r="J9666" i="3"/>
  <c r="J9665" i="3"/>
  <c r="J9664" i="3"/>
  <c r="J9663" i="3"/>
  <c r="J9662" i="3"/>
  <c r="J9661" i="3"/>
  <c r="J9660" i="3"/>
  <c r="J9659" i="3"/>
  <c r="J9658" i="3"/>
  <c r="J9657" i="3"/>
  <c r="J9656" i="3"/>
  <c r="J9655" i="3"/>
  <c r="J9654" i="3"/>
  <c r="J9653" i="3"/>
  <c r="J9652" i="3"/>
  <c r="J9651" i="3"/>
  <c r="J9650" i="3"/>
  <c r="J9649" i="3"/>
  <c r="J9648" i="3"/>
  <c r="J9647" i="3"/>
  <c r="J9646" i="3"/>
  <c r="J9645" i="3"/>
  <c r="J9644" i="3"/>
  <c r="J9643" i="3"/>
  <c r="J9642" i="3"/>
  <c r="J9641" i="3"/>
  <c r="J9640" i="3"/>
  <c r="J9639" i="3"/>
  <c r="J9638" i="3"/>
  <c r="J9637" i="3"/>
  <c r="J9636" i="3"/>
  <c r="J9635" i="3"/>
  <c r="J9634" i="3"/>
  <c r="J9633" i="3"/>
  <c r="J9632" i="3"/>
  <c r="J9631" i="3"/>
  <c r="J9630" i="3"/>
  <c r="J9629" i="3"/>
  <c r="J9628" i="3"/>
  <c r="J9627" i="3"/>
  <c r="J9626" i="3"/>
  <c r="J9625" i="3"/>
  <c r="J9624" i="3"/>
  <c r="J9623" i="3"/>
  <c r="J9622" i="3"/>
  <c r="J9621" i="3"/>
  <c r="J9620" i="3"/>
  <c r="J9619" i="3"/>
  <c r="J9618" i="3"/>
  <c r="J9617" i="3"/>
  <c r="J9616" i="3"/>
  <c r="J9615" i="3"/>
  <c r="J9614" i="3"/>
  <c r="J9613" i="3"/>
  <c r="J9612" i="3"/>
  <c r="J9611" i="3"/>
  <c r="J9610" i="3"/>
  <c r="J9609" i="3"/>
  <c r="J9608" i="3"/>
  <c r="J9607" i="3"/>
  <c r="J9606" i="3"/>
  <c r="J9605" i="3"/>
  <c r="J9604" i="3"/>
  <c r="J9603" i="3"/>
  <c r="J9602" i="3"/>
  <c r="J9601" i="3"/>
  <c r="J9600" i="3"/>
  <c r="J9599" i="3"/>
  <c r="J9598" i="3"/>
  <c r="J9597" i="3"/>
  <c r="J9596" i="3"/>
  <c r="J9595" i="3"/>
  <c r="J9594" i="3"/>
  <c r="J9593" i="3"/>
  <c r="J9592" i="3"/>
  <c r="J9591" i="3"/>
  <c r="J9590" i="3"/>
  <c r="J9589" i="3"/>
  <c r="J9588" i="3"/>
  <c r="J9587" i="3"/>
  <c r="J9586" i="3"/>
  <c r="J9585" i="3"/>
  <c r="J9584" i="3"/>
  <c r="J9583" i="3"/>
  <c r="J9582" i="3"/>
  <c r="J9581" i="3"/>
  <c r="J9580" i="3"/>
  <c r="J9579" i="3"/>
  <c r="J9578" i="3"/>
  <c r="J9577" i="3"/>
  <c r="J9576" i="3"/>
  <c r="J9575" i="3"/>
  <c r="J9574" i="3"/>
  <c r="J9573" i="3"/>
  <c r="J9572" i="3"/>
  <c r="J9571" i="3"/>
  <c r="J9570" i="3"/>
  <c r="J9569" i="3"/>
  <c r="J9568" i="3"/>
  <c r="J9567" i="3"/>
  <c r="J9566" i="3"/>
  <c r="J9565" i="3"/>
  <c r="J9564" i="3"/>
  <c r="J9563" i="3"/>
  <c r="J9562" i="3"/>
  <c r="J9561" i="3"/>
  <c r="J9560" i="3"/>
  <c r="J9559" i="3"/>
  <c r="J9558" i="3"/>
  <c r="J9557" i="3"/>
  <c r="J9556" i="3"/>
  <c r="J9555" i="3"/>
  <c r="J9554" i="3"/>
  <c r="J9553" i="3"/>
  <c r="J9552" i="3"/>
  <c r="J9551" i="3"/>
  <c r="J9550" i="3"/>
  <c r="J9549" i="3"/>
  <c r="J9548" i="3"/>
  <c r="J9547" i="3"/>
  <c r="J9546" i="3"/>
  <c r="J9545" i="3"/>
  <c r="J9544" i="3"/>
  <c r="J9543" i="3"/>
  <c r="J9542" i="3"/>
  <c r="J9541" i="3"/>
  <c r="J9540" i="3"/>
  <c r="J9539" i="3"/>
  <c r="J9538" i="3"/>
  <c r="J9537" i="3"/>
  <c r="J9536" i="3"/>
  <c r="J9535" i="3"/>
  <c r="J9534" i="3"/>
  <c r="J9533" i="3"/>
  <c r="J9532" i="3"/>
  <c r="J9531" i="3"/>
  <c r="J9530" i="3"/>
  <c r="J9529" i="3"/>
  <c r="J9528" i="3"/>
  <c r="J9527" i="3"/>
  <c r="J9526" i="3"/>
  <c r="J9525" i="3"/>
  <c r="J9524" i="3"/>
  <c r="J9523" i="3"/>
  <c r="J9522" i="3"/>
  <c r="J9521" i="3"/>
  <c r="J9520" i="3"/>
  <c r="J9519" i="3"/>
  <c r="J9518" i="3"/>
  <c r="J9517" i="3"/>
  <c r="J9516" i="3"/>
  <c r="J9515" i="3"/>
  <c r="J9514" i="3"/>
  <c r="J9513" i="3"/>
  <c r="J9512" i="3"/>
  <c r="J9511" i="3"/>
  <c r="J9510" i="3"/>
  <c r="J9509" i="3"/>
  <c r="J9508" i="3"/>
  <c r="J9507" i="3"/>
  <c r="J9506" i="3"/>
  <c r="J9505" i="3"/>
  <c r="J9504" i="3"/>
  <c r="J9503" i="3"/>
  <c r="J9502" i="3"/>
  <c r="J9501" i="3"/>
  <c r="J9500" i="3"/>
  <c r="J9499" i="3"/>
  <c r="J9498" i="3"/>
  <c r="J9497" i="3"/>
  <c r="J9496" i="3"/>
  <c r="J9495" i="3"/>
  <c r="J9494" i="3"/>
  <c r="J9493" i="3"/>
  <c r="J9492" i="3"/>
  <c r="J9491" i="3"/>
  <c r="J9490" i="3"/>
  <c r="J9489" i="3"/>
  <c r="J9488" i="3"/>
  <c r="J9487" i="3"/>
  <c r="J9486" i="3"/>
  <c r="J9485" i="3"/>
  <c r="J9484" i="3"/>
  <c r="J9483" i="3"/>
  <c r="J9482" i="3"/>
  <c r="J9481" i="3"/>
  <c r="J9480" i="3"/>
  <c r="J9479" i="3"/>
  <c r="J9478" i="3"/>
  <c r="J9477" i="3"/>
  <c r="J9476" i="3"/>
  <c r="J9475" i="3"/>
  <c r="J9474" i="3"/>
  <c r="J9473" i="3"/>
  <c r="J9472" i="3"/>
  <c r="J9471" i="3"/>
  <c r="J9470" i="3"/>
  <c r="J9469" i="3"/>
  <c r="J9468" i="3"/>
  <c r="J9467" i="3"/>
  <c r="J9466" i="3"/>
  <c r="J9465" i="3"/>
  <c r="J9464" i="3"/>
  <c r="J9463" i="3"/>
  <c r="J9462" i="3"/>
  <c r="J9461" i="3"/>
  <c r="J9460" i="3"/>
  <c r="J9459" i="3"/>
  <c r="J9458" i="3"/>
  <c r="J9457" i="3"/>
  <c r="J9456" i="3"/>
  <c r="J9455" i="3"/>
  <c r="J9454" i="3"/>
  <c r="J9453" i="3"/>
  <c r="J9452" i="3"/>
  <c r="J9451" i="3"/>
  <c r="J9450" i="3"/>
  <c r="J9449" i="3"/>
  <c r="J9448" i="3"/>
  <c r="J9447" i="3"/>
  <c r="J9446" i="3"/>
  <c r="J9445" i="3"/>
  <c r="J9444" i="3"/>
  <c r="J9443" i="3"/>
  <c r="J9442" i="3"/>
  <c r="J9441" i="3"/>
  <c r="J9440" i="3"/>
  <c r="J9439" i="3"/>
  <c r="J9438" i="3"/>
  <c r="J9437" i="3"/>
  <c r="J9436" i="3"/>
  <c r="J9435" i="3"/>
  <c r="J9434" i="3"/>
  <c r="J9433" i="3"/>
  <c r="J9432" i="3"/>
  <c r="J9431" i="3"/>
  <c r="J9430" i="3"/>
  <c r="J9429" i="3"/>
  <c r="J9428" i="3"/>
  <c r="J9427" i="3"/>
  <c r="J9426" i="3"/>
  <c r="J9425" i="3"/>
  <c r="J9424" i="3"/>
  <c r="J9423" i="3"/>
  <c r="J9422" i="3"/>
  <c r="J9421" i="3"/>
  <c r="J9420" i="3"/>
  <c r="J9419" i="3"/>
  <c r="J9418" i="3"/>
  <c r="J9417" i="3"/>
  <c r="J9416" i="3"/>
  <c r="J9415" i="3"/>
  <c r="J9414" i="3"/>
  <c r="J9413" i="3"/>
  <c r="J9412" i="3"/>
  <c r="J9411" i="3"/>
  <c r="J9410" i="3"/>
  <c r="J9409" i="3"/>
  <c r="J9408" i="3"/>
  <c r="J9407" i="3"/>
  <c r="J9406" i="3"/>
  <c r="J9405" i="3"/>
  <c r="J9404" i="3"/>
  <c r="J9403" i="3"/>
  <c r="J9402" i="3"/>
  <c r="J9401" i="3"/>
  <c r="J9400" i="3"/>
  <c r="J9399" i="3"/>
  <c r="J9398" i="3"/>
  <c r="J9397" i="3"/>
  <c r="J9396" i="3"/>
  <c r="J9395" i="3"/>
  <c r="J9394" i="3"/>
  <c r="J9393" i="3"/>
  <c r="J9392" i="3"/>
  <c r="J9391" i="3"/>
  <c r="J9390" i="3"/>
  <c r="J9389" i="3"/>
  <c r="J9388" i="3"/>
  <c r="J9387" i="3"/>
  <c r="J9386" i="3"/>
  <c r="J9385" i="3"/>
  <c r="J9384" i="3"/>
  <c r="J9383" i="3"/>
  <c r="J9382" i="3"/>
  <c r="J9381" i="3"/>
  <c r="J9380" i="3"/>
  <c r="J9379" i="3"/>
  <c r="J9378" i="3"/>
  <c r="J9377" i="3"/>
  <c r="J9376" i="3"/>
  <c r="J9375" i="3"/>
  <c r="J9374" i="3"/>
  <c r="J9373" i="3"/>
  <c r="J9372" i="3"/>
  <c r="J9371" i="3"/>
  <c r="J9370" i="3"/>
  <c r="J9369" i="3"/>
  <c r="J9368" i="3"/>
  <c r="J9367" i="3"/>
  <c r="J9366" i="3"/>
  <c r="J9365" i="3"/>
  <c r="J9364" i="3"/>
  <c r="J9363" i="3"/>
  <c r="J9362" i="3"/>
  <c r="J9361" i="3"/>
  <c r="J9360" i="3"/>
  <c r="J9359" i="3"/>
  <c r="J9358" i="3"/>
  <c r="J9357" i="3"/>
  <c r="J9356" i="3"/>
  <c r="J9355" i="3"/>
  <c r="J9354" i="3"/>
  <c r="J9353" i="3"/>
  <c r="J9352" i="3"/>
  <c r="J9351" i="3"/>
  <c r="J9350" i="3"/>
  <c r="J9349" i="3"/>
  <c r="J9348" i="3"/>
  <c r="J9347" i="3"/>
  <c r="J9346" i="3"/>
  <c r="J9345" i="3"/>
  <c r="J9344" i="3"/>
  <c r="J9343" i="3"/>
  <c r="J9342" i="3"/>
  <c r="J9341" i="3"/>
  <c r="J9340" i="3"/>
  <c r="J9339" i="3"/>
  <c r="J9338" i="3"/>
  <c r="J9337" i="3"/>
  <c r="J9336" i="3"/>
  <c r="J9335" i="3"/>
  <c r="J9334" i="3"/>
  <c r="J9333" i="3"/>
  <c r="J9332" i="3"/>
  <c r="J9331" i="3"/>
  <c r="J9330" i="3"/>
  <c r="J9329" i="3"/>
  <c r="J9328" i="3"/>
  <c r="J9327" i="3"/>
  <c r="J9326" i="3"/>
  <c r="J9325" i="3"/>
  <c r="J9324" i="3"/>
  <c r="J9323" i="3"/>
  <c r="J9322" i="3"/>
  <c r="J9321" i="3"/>
  <c r="J9320" i="3"/>
  <c r="J9319" i="3"/>
  <c r="J9318" i="3"/>
  <c r="J9317" i="3"/>
  <c r="J9316" i="3"/>
  <c r="J9315" i="3"/>
  <c r="J9314" i="3"/>
  <c r="J9313" i="3"/>
  <c r="J9312" i="3"/>
  <c r="J9311" i="3"/>
  <c r="J9310" i="3"/>
  <c r="J9309" i="3"/>
  <c r="J9308" i="3"/>
  <c r="J9307" i="3"/>
  <c r="J9306" i="3"/>
  <c r="J9305" i="3"/>
  <c r="J9304" i="3"/>
  <c r="J9303" i="3"/>
  <c r="J9302" i="3"/>
  <c r="J9301" i="3"/>
  <c r="J9300" i="3"/>
  <c r="J9299" i="3"/>
  <c r="J9298" i="3"/>
  <c r="J9297" i="3"/>
  <c r="J9296" i="3"/>
  <c r="J9295" i="3"/>
  <c r="J9294" i="3"/>
  <c r="J9293" i="3"/>
  <c r="J9292" i="3"/>
  <c r="J9291" i="3"/>
  <c r="J9290" i="3"/>
  <c r="J9289" i="3"/>
  <c r="J9288" i="3"/>
  <c r="J9287" i="3"/>
  <c r="J9286" i="3"/>
  <c r="J9285" i="3"/>
  <c r="J9284" i="3"/>
  <c r="J9283" i="3"/>
  <c r="J9282" i="3"/>
  <c r="J9281" i="3"/>
  <c r="J9280" i="3"/>
  <c r="J9279" i="3"/>
  <c r="J9278" i="3"/>
  <c r="J9277" i="3"/>
  <c r="J9276" i="3"/>
  <c r="J9275" i="3"/>
  <c r="J9274" i="3"/>
  <c r="J9273" i="3"/>
  <c r="J9272" i="3"/>
  <c r="J9271" i="3"/>
  <c r="J9270" i="3"/>
  <c r="J9269" i="3"/>
  <c r="J9268" i="3"/>
  <c r="J9267" i="3"/>
  <c r="J9266" i="3"/>
  <c r="J9265" i="3"/>
  <c r="J9264" i="3"/>
  <c r="J9263" i="3"/>
  <c r="J9262" i="3"/>
  <c r="J9261" i="3"/>
  <c r="J9260" i="3"/>
  <c r="J9259" i="3"/>
  <c r="J9258" i="3"/>
  <c r="J9257" i="3"/>
  <c r="J9256" i="3"/>
  <c r="J9255" i="3"/>
  <c r="J9254" i="3"/>
  <c r="J9253" i="3"/>
  <c r="J9252" i="3"/>
  <c r="J9251" i="3"/>
  <c r="J9250" i="3"/>
  <c r="J9249" i="3"/>
  <c r="J9248" i="3"/>
  <c r="J9247" i="3"/>
  <c r="J9246" i="3"/>
  <c r="J9245" i="3"/>
  <c r="J9244" i="3"/>
  <c r="J9243" i="3"/>
  <c r="J9242" i="3"/>
  <c r="J9241" i="3"/>
  <c r="J9240" i="3"/>
  <c r="J9239" i="3"/>
  <c r="J9238" i="3"/>
  <c r="J9237" i="3"/>
  <c r="J9236" i="3"/>
  <c r="J9235" i="3"/>
  <c r="J9234" i="3"/>
  <c r="J9233" i="3"/>
  <c r="J9232" i="3"/>
  <c r="J9231" i="3"/>
  <c r="J9230" i="3"/>
  <c r="J9229" i="3"/>
  <c r="J9228" i="3"/>
  <c r="J9227" i="3"/>
  <c r="J9226" i="3"/>
  <c r="J9225" i="3"/>
  <c r="J9224" i="3"/>
  <c r="J9223" i="3"/>
  <c r="J9222" i="3"/>
  <c r="J9221" i="3"/>
  <c r="J9220" i="3"/>
  <c r="J9219" i="3"/>
  <c r="J9218" i="3"/>
  <c r="J9217" i="3"/>
  <c r="J9216" i="3"/>
  <c r="J9215" i="3"/>
  <c r="J9214" i="3"/>
  <c r="J9213" i="3"/>
  <c r="J9212" i="3"/>
  <c r="J9211" i="3"/>
  <c r="J9210" i="3"/>
  <c r="J9209" i="3"/>
  <c r="J9208" i="3"/>
  <c r="J9207" i="3"/>
  <c r="J9206" i="3"/>
  <c r="J9205" i="3"/>
  <c r="J9204" i="3"/>
  <c r="J9203" i="3"/>
  <c r="J9202" i="3"/>
  <c r="J9201" i="3"/>
  <c r="J9200" i="3"/>
  <c r="J9199" i="3"/>
  <c r="J9198" i="3"/>
  <c r="J9197" i="3"/>
  <c r="J9196" i="3"/>
  <c r="J9195" i="3"/>
  <c r="J9194" i="3"/>
  <c r="J9193" i="3"/>
  <c r="J9192" i="3"/>
  <c r="J9191" i="3"/>
  <c r="J9190" i="3"/>
  <c r="J9189" i="3"/>
  <c r="J9188" i="3"/>
  <c r="J9187" i="3"/>
  <c r="J9186" i="3"/>
  <c r="J9185" i="3"/>
  <c r="J9184" i="3"/>
  <c r="J9183" i="3"/>
  <c r="J9182" i="3"/>
  <c r="J9181" i="3"/>
  <c r="J9180" i="3"/>
  <c r="J9179" i="3"/>
  <c r="J9178" i="3"/>
  <c r="J9177" i="3"/>
  <c r="J9176" i="3"/>
  <c r="J9175" i="3"/>
  <c r="J9174" i="3"/>
  <c r="J9173" i="3"/>
  <c r="J9172" i="3"/>
  <c r="J9171" i="3"/>
  <c r="J9170" i="3"/>
  <c r="J9169" i="3"/>
  <c r="J9168" i="3"/>
  <c r="J9167" i="3"/>
  <c r="J9166" i="3"/>
  <c r="J9165" i="3"/>
  <c r="J9164" i="3"/>
  <c r="J9163" i="3"/>
  <c r="J9162" i="3"/>
  <c r="J9161" i="3"/>
  <c r="J9160" i="3"/>
  <c r="J9159" i="3"/>
  <c r="J9158" i="3"/>
  <c r="J9157" i="3"/>
  <c r="J9156" i="3"/>
  <c r="J9155" i="3"/>
  <c r="J9154" i="3"/>
  <c r="J9153" i="3"/>
  <c r="J9152" i="3"/>
  <c r="J9151" i="3"/>
  <c r="J9150" i="3"/>
  <c r="J9149" i="3"/>
  <c r="J9148" i="3"/>
  <c r="J9147" i="3"/>
  <c r="J9146" i="3"/>
  <c r="J9145" i="3"/>
  <c r="J9144" i="3"/>
  <c r="J9143" i="3"/>
  <c r="J9142" i="3"/>
  <c r="J9141" i="3"/>
  <c r="J9140" i="3"/>
  <c r="J9139" i="3"/>
  <c r="J9138" i="3"/>
  <c r="J9137" i="3"/>
  <c r="J9136" i="3"/>
  <c r="J9135" i="3"/>
  <c r="J9134" i="3"/>
  <c r="J9133" i="3"/>
  <c r="J9132" i="3"/>
  <c r="J9131" i="3"/>
  <c r="J9130" i="3"/>
  <c r="J9129" i="3"/>
  <c r="J9128" i="3"/>
  <c r="J9127" i="3"/>
  <c r="J9126" i="3"/>
  <c r="J9125" i="3"/>
  <c r="J9124" i="3"/>
  <c r="J9123" i="3"/>
  <c r="J9122" i="3"/>
  <c r="J9121" i="3"/>
  <c r="J9120" i="3"/>
  <c r="J9119" i="3"/>
  <c r="J9118" i="3"/>
  <c r="J9117" i="3"/>
  <c r="J9116" i="3"/>
  <c r="J9115" i="3"/>
  <c r="J9114" i="3"/>
  <c r="J9113" i="3"/>
  <c r="J9112" i="3"/>
  <c r="J9111" i="3"/>
  <c r="J9110" i="3"/>
  <c r="J9109" i="3"/>
  <c r="J9108" i="3"/>
  <c r="J9107" i="3"/>
  <c r="J9106" i="3"/>
  <c r="J9105" i="3"/>
  <c r="J9104" i="3"/>
  <c r="J9103" i="3"/>
  <c r="J9102" i="3"/>
  <c r="J9101" i="3"/>
  <c r="J9100" i="3"/>
  <c r="J9099" i="3"/>
  <c r="J9098" i="3"/>
  <c r="J9097" i="3"/>
  <c r="J9096" i="3"/>
  <c r="J9095" i="3"/>
  <c r="J9094" i="3"/>
  <c r="J9093" i="3"/>
  <c r="J9092" i="3"/>
  <c r="J9091" i="3"/>
  <c r="J9090" i="3"/>
  <c r="J9089" i="3"/>
  <c r="J9088" i="3"/>
  <c r="J9087" i="3"/>
  <c r="J9086" i="3"/>
  <c r="J9085" i="3"/>
  <c r="J9084" i="3"/>
  <c r="J9083" i="3"/>
  <c r="J9082" i="3"/>
  <c r="J9081" i="3"/>
  <c r="J9080" i="3"/>
  <c r="J9079" i="3"/>
  <c r="J9078" i="3"/>
  <c r="J9077" i="3"/>
  <c r="J9076" i="3"/>
  <c r="J9075" i="3"/>
  <c r="J9074" i="3"/>
  <c r="J9073" i="3"/>
  <c r="J9072" i="3"/>
  <c r="J9071" i="3"/>
  <c r="J9070" i="3"/>
  <c r="J9069" i="3"/>
  <c r="J9068" i="3"/>
  <c r="J9067" i="3"/>
  <c r="J9066" i="3"/>
  <c r="J9065" i="3"/>
  <c r="J9064" i="3"/>
  <c r="J9063" i="3"/>
  <c r="J9062" i="3"/>
  <c r="J9061" i="3"/>
  <c r="J9060" i="3"/>
  <c r="J9059" i="3"/>
  <c r="J9058" i="3"/>
  <c r="J9057" i="3"/>
  <c r="J9056" i="3"/>
  <c r="J9055" i="3"/>
  <c r="J9054" i="3"/>
  <c r="J9053" i="3"/>
  <c r="J9052" i="3"/>
  <c r="J9051" i="3"/>
  <c r="J9050" i="3"/>
  <c r="J9049" i="3"/>
  <c r="J9048" i="3"/>
  <c r="J9047" i="3"/>
  <c r="J9046" i="3"/>
  <c r="J9045" i="3"/>
  <c r="J9044" i="3"/>
  <c r="J9043" i="3"/>
  <c r="J9042" i="3"/>
  <c r="J9041" i="3"/>
  <c r="J9040" i="3"/>
  <c r="J9039" i="3"/>
  <c r="J9038" i="3"/>
  <c r="J9037" i="3"/>
  <c r="J9036" i="3"/>
  <c r="J9035" i="3"/>
  <c r="J9034" i="3"/>
  <c r="J9033" i="3"/>
  <c r="J9032" i="3"/>
  <c r="J9031" i="3"/>
  <c r="J9030" i="3"/>
  <c r="J9029" i="3"/>
  <c r="J9028" i="3"/>
  <c r="J9027" i="3"/>
  <c r="J9026" i="3"/>
  <c r="J9025" i="3"/>
  <c r="J9024" i="3"/>
  <c r="J9023" i="3"/>
  <c r="J9022" i="3"/>
  <c r="J9021" i="3"/>
  <c r="J9020" i="3"/>
  <c r="J9019" i="3"/>
  <c r="J9018" i="3"/>
  <c r="J9017" i="3"/>
  <c r="J9016" i="3"/>
  <c r="J9015" i="3"/>
  <c r="J9014" i="3"/>
  <c r="J9013" i="3"/>
  <c r="J9012" i="3"/>
  <c r="J9011" i="3"/>
  <c r="J9010" i="3"/>
  <c r="J9009" i="3"/>
  <c r="J9008" i="3"/>
  <c r="J9007" i="3"/>
  <c r="J9006" i="3"/>
  <c r="J9005" i="3"/>
  <c r="J9004" i="3"/>
  <c r="J9003" i="3"/>
  <c r="J9002" i="3"/>
  <c r="J9001" i="3"/>
  <c r="J9000" i="3"/>
  <c r="J8999" i="3"/>
  <c r="J8998" i="3"/>
  <c r="J8997" i="3"/>
  <c r="J8996" i="3"/>
  <c r="J8995" i="3"/>
  <c r="J8994" i="3"/>
  <c r="J8993" i="3"/>
  <c r="J8992" i="3"/>
  <c r="J8991" i="3"/>
  <c r="J8990" i="3"/>
  <c r="J8989" i="3"/>
  <c r="J8988" i="3"/>
  <c r="J8987" i="3"/>
  <c r="J8986" i="3"/>
  <c r="J8985" i="3"/>
  <c r="J8984" i="3"/>
  <c r="J8983" i="3"/>
  <c r="J8982" i="3"/>
  <c r="J8981" i="3"/>
  <c r="J8980" i="3"/>
  <c r="J8979" i="3"/>
  <c r="J8978" i="3"/>
  <c r="J8977" i="3"/>
  <c r="J8976" i="3"/>
  <c r="J8975" i="3"/>
  <c r="J8974" i="3"/>
  <c r="J8973" i="3"/>
  <c r="J8972" i="3"/>
  <c r="J8971" i="3"/>
  <c r="J8970" i="3"/>
  <c r="J8969" i="3"/>
  <c r="J8968" i="3"/>
  <c r="J8967" i="3"/>
  <c r="J8966" i="3"/>
  <c r="J8965" i="3"/>
  <c r="J8964" i="3"/>
  <c r="J8963" i="3"/>
  <c r="J8962" i="3"/>
  <c r="J8961" i="3"/>
  <c r="J8960" i="3"/>
  <c r="J8959" i="3"/>
  <c r="J8958" i="3"/>
  <c r="J8957" i="3"/>
  <c r="J8956" i="3"/>
  <c r="J8955" i="3"/>
  <c r="J8954" i="3"/>
  <c r="J8953" i="3"/>
  <c r="J8952" i="3"/>
  <c r="J8951" i="3"/>
  <c r="J8950" i="3"/>
  <c r="J8949" i="3"/>
  <c r="J8948" i="3"/>
  <c r="J8947" i="3"/>
  <c r="J8946" i="3"/>
  <c r="J8945" i="3"/>
  <c r="J8944" i="3"/>
  <c r="J8943" i="3"/>
  <c r="J8942" i="3"/>
  <c r="J8941" i="3"/>
  <c r="J8940" i="3"/>
  <c r="J8939" i="3"/>
  <c r="J8938" i="3"/>
  <c r="J8937" i="3"/>
  <c r="J8936" i="3"/>
  <c r="J8935" i="3"/>
  <c r="J8934" i="3"/>
  <c r="J8933" i="3"/>
  <c r="J8932" i="3"/>
  <c r="J8931" i="3"/>
  <c r="J8930" i="3"/>
  <c r="J8929" i="3"/>
  <c r="J8928" i="3"/>
  <c r="J8927" i="3"/>
  <c r="J8926" i="3"/>
  <c r="J8925" i="3"/>
  <c r="J8924" i="3"/>
  <c r="J8923" i="3"/>
  <c r="J8922" i="3"/>
  <c r="J8921" i="3"/>
  <c r="J8920" i="3"/>
  <c r="J8919" i="3"/>
  <c r="J8918" i="3"/>
  <c r="J8917" i="3"/>
  <c r="J8916" i="3"/>
  <c r="J8915" i="3"/>
  <c r="J8914" i="3"/>
  <c r="J8913" i="3"/>
  <c r="J8912" i="3"/>
  <c r="J8911" i="3"/>
  <c r="J8910" i="3"/>
  <c r="J8909" i="3"/>
  <c r="J8908" i="3"/>
  <c r="J8907" i="3"/>
  <c r="J8906" i="3"/>
  <c r="J8905" i="3"/>
  <c r="J8904" i="3"/>
  <c r="J8903" i="3"/>
  <c r="J8902" i="3"/>
  <c r="J8901" i="3"/>
  <c r="J8900" i="3"/>
  <c r="J8899" i="3"/>
  <c r="J8898" i="3"/>
  <c r="J8897" i="3"/>
  <c r="J8896" i="3"/>
  <c r="J8895" i="3"/>
  <c r="J8894" i="3"/>
  <c r="J8893" i="3"/>
  <c r="J8892" i="3"/>
  <c r="J8891" i="3"/>
  <c r="J8890" i="3"/>
  <c r="J8889" i="3"/>
  <c r="J8888" i="3"/>
  <c r="J8887" i="3"/>
  <c r="J8886" i="3"/>
  <c r="J8885" i="3"/>
  <c r="J8884" i="3"/>
  <c r="J8883" i="3"/>
  <c r="J8882" i="3"/>
  <c r="J8881" i="3"/>
  <c r="J8880" i="3"/>
  <c r="J8879" i="3"/>
  <c r="J8878" i="3"/>
  <c r="J8877" i="3"/>
  <c r="J8876" i="3"/>
  <c r="J8875" i="3"/>
  <c r="J8874" i="3"/>
  <c r="J8873" i="3"/>
  <c r="J8872" i="3"/>
  <c r="J8871" i="3"/>
  <c r="J8870" i="3"/>
  <c r="J8869" i="3"/>
  <c r="J8868" i="3"/>
  <c r="J8867" i="3"/>
  <c r="J8866" i="3"/>
  <c r="J8865" i="3"/>
  <c r="J8864" i="3"/>
  <c r="J8863" i="3"/>
  <c r="J8862" i="3"/>
  <c r="J8861" i="3"/>
  <c r="J8860" i="3"/>
  <c r="J8859" i="3"/>
  <c r="J8858" i="3"/>
  <c r="J8857" i="3"/>
  <c r="J8856" i="3"/>
  <c r="J8855" i="3"/>
  <c r="J8854" i="3"/>
  <c r="J8853" i="3"/>
  <c r="J8852" i="3"/>
  <c r="J8851" i="3"/>
  <c r="J8850" i="3"/>
  <c r="J8849" i="3"/>
  <c r="J8848" i="3"/>
  <c r="J8847" i="3"/>
  <c r="J8846" i="3"/>
  <c r="J8845" i="3"/>
  <c r="J8844" i="3"/>
  <c r="J8843" i="3"/>
  <c r="J8842" i="3"/>
  <c r="J8841" i="3"/>
  <c r="J8840" i="3"/>
  <c r="J8839" i="3"/>
  <c r="J8838" i="3"/>
  <c r="J8837" i="3"/>
  <c r="J8836" i="3"/>
  <c r="J8835" i="3"/>
  <c r="J8834" i="3"/>
  <c r="J8833" i="3"/>
  <c r="J8832" i="3"/>
  <c r="J8831" i="3"/>
  <c r="J8830" i="3"/>
  <c r="J8829" i="3"/>
  <c r="J8828" i="3"/>
  <c r="J8827" i="3"/>
  <c r="J8826" i="3"/>
  <c r="J8825" i="3"/>
  <c r="J8824" i="3"/>
  <c r="J8823" i="3"/>
  <c r="J8822" i="3"/>
  <c r="J8821" i="3"/>
  <c r="J8820" i="3"/>
  <c r="J8819" i="3"/>
  <c r="J8818" i="3"/>
  <c r="J8817" i="3"/>
  <c r="J8816" i="3"/>
  <c r="J8815" i="3"/>
  <c r="J8814" i="3"/>
  <c r="J8813" i="3"/>
  <c r="J8812" i="3"/>
  <c r="J8811" i="3"/>
  <c r="J8810" i="3"/>
  <c r="J8809" i="3"/>
  <c r="J8808" i="3"/>
  <c r="J8807" i="3"/>
  <c r="J8806" i="3"/>
  <c r="J8805" i="3"/>
  <c r="J8804" i="3"/>
  <c r="J8803" i="3"/>
  <c r="J8802" i="3"/>
  <c r="J8801" i="3"/>
  <c r="J8800" i="3"/>
  <c r="J8799" i="3"/>
  <c r="J8798" i="3"/>
  <c r="J8797" i="3"/>
  <c r="J8796" i="3"/>
  <c r="J8795" i="3"/>
  <c r="J8794" i="3"/>
  <c r="J8793" i="3"/>
  <c r="J8792" i="3"/>
  <c r="J8791" i="3"/>
  <c r="J8790" i="3"/>
  <c r="J8789" i="3"/>
  <c r="J8788" i="3"/>
  <c r="J8787" i="3"/>
  <c r="J8786" i="3"/>
  <c r="J8785" i="3"/>
  <c r="J8784" i="3"/>
  <c r="J8783" i="3"/>
  <c r="J8782" i="3"/>
  <c r="J8781" i="3"/>
  <c r="J8780" i="3"/>
  <c r="J8779" i="3"/>
  <c r="J8778" i="3"/>
  <c r="J8777" i="3"/>
  <c r="J8776" i="3"/>
  <c r="J8775" i="3"/>
  <c r="J8774" i="3"/>
  <c r="J8773" i="3"/>
  <c r="J8772" i="3"/>
  <c r="J8771" i="3"/>
  <c r="J8770" i="3"/>
  <c r="J8769" i="3"/>
  <c r="J8768" i="3"/>
  <c r="J8767" i="3"/>
  <c r="J8766" i="3"/>
  <c r="J8765" i="3"/>
  <c r="J8764" i="3"/>
  <c r="J8763" i="3"/>
  <c r="J8762" i="3"/>
  <c r="J8761" i="3"/>
  <c r="J8760" i="3"/>
  <c r="J8759" i="3"/>
  <c r="J8758" i="3"/>
  <c r="J8757" i="3"/>
  <c r="J8756" i="3"/>
  <c r="J8755" i="3"/>
  <c r="J8754" i="3"/>
  <c r="J8753" i="3"/>
  <c r="J8752" i="3"/>
  <c r="J8751" i="3"/>
  <c r="J8750" i="3"/>
  <c r="J8749" i="3"/>
  <c r="J8748" i="3"/>
  <c r="J8747" i="3"/>
  <c r="J8746" i="3"/>
  <c r="J8745" i="3"/>
  <c r="J8744" i="3"/>
  <c r="J8743" i="3"/>
  <c r="J8742" i="3"/>
  <c r="J8741" i="3"/>
  <c r="J8740" i="3"/>
  <c r="J8739" i="3"/>
  <c r="J8738" i="3"/>
  <c r="J8737" i="3"/>
  <c r="J8736" i="3"/>
  <c r="J8735" i="3"/>
  <c r="J8734" i="3"/>
  <c r="J8733" i="3"/>
  <c r="J8732" i="3"/>
  <c r="J8731" i="3"/>
  <c r="J8730" i="3"/>
  <c r="J8729" i="3"/>
  <c r="J8728" i="3"/>
  <c r="J8727" i="3"/>
  <c r="J8726" i="3"/>
  <c r="J8725" i="3"/>
  <c r="J8724" i="3"/>
  <c r="J8723" i="3"/>
  <c r="J8722" i="3"/>
  <c r="J8721" i="3"/>
  <c r="J8720" i="3"/>
  <c r="J8719" i="3"/>
  <c r="J8718" i="3"/>
  <c r="J8717" i="3"/>
  <c r="J8716" i="3"/>
  <c r="J8715" i="3"/>
  <c r="J8714" i="3"/>
  <c r="J8713" i="3"/>
  <c r="J8712" i="3"/>
  <c r="J8711" i="3"/>
  <c r="J8710" i="3"/>
  <c r="J8709" i="3"/>
  <c r="J8708" i="3"/>
  <c r="J8707" i="3"/>
  <c r="J8706" i="3"/>
  <c r="J8705" i="3"/>
  <c r="J8704" i="3"/>
  <c r="J8703" i="3"/>
  <c r="J8702" i="3"/>
  <c r="J8701" i="3"/>
  <c r="J8700" i="3"/>
  <c r="J8699" i="3"/>
  <c r="J8698" i="3"/>
  <c r="J8697" i="3"/>
  <c r="J8696" i="3"/>
  <c r="J8695" i="3"/>
  <c r="J8694" i="3"/>
  <c r="J8693" i="3"/>
  <c r="J8692" i="3"/>
  <c r="J8691" i="3"/>
  <c r="J8690" i="3"/>
  <c r="J8689" i="3"/>
  <c r="J8688" i="3"/>
  <c r="J8687" i="3"/>
  <c r="J8686" i="3"/>
  <c r="J8685" i="3"/>
  <c r="J8684" i="3"/>
  <c r="J8683" i="3"/>
  <c r="J8682" i="3"/>
  <c r="J8681" i="3"/>
  <c r="J8680" i="3"/>
  <c r="J8679" i="3"/>
  <c r="J8678" i="3"/>
  <c r="J8677" i="3"/>
  <c r="J8676" i="3"/>
  <c r="J8675" i="3"/>
  <c r="J8674" i="3"/>
  <c r="J8673" i="3"/>
  <c r="J8672" i="3"/>
  <c r="J8671" i="3"/>
  <c r="J8670" i="3"/>
  <c r="J8669" i="3"/>
  <c r="J8668" i="3"/>
  <c r="J8667" i="3"/>
  <c r="J8666" i="3"/>
  <c r="J8665" i="3"/>
  <c r="J8664" i="3"/>
  <c r="J8663" i="3"/>
  <c r="J8662" i="3"/>
  <c r="J8661" i="3"/>
  <c r="J8660" i="3"/>
  <c r="J8659" i="3"/>
  <c r="J8658" i="3"/>
  <c r="J8657" i="3"/>
  <c r="J8656" i="3"/>
  <c r="J8655" i="3"/>
  <c r="J8654" i="3"/>
  <c r="J8653" i="3"/>
  <c r="J8652" i="3"/>
  <c r="J8651" i="3"/>
  <c r="J8650" i="3"/>
  <c r="J8649" i="3"/>
  <c r="J8648" i="3"/>
  <c r="J8647" i="3"/>
  <c r="J8646" i="3"/>
  <c r="J8645" i="3"/>
  <c r="J8644" i="3"/>
  <c r="J8643" i="3"/>
  <c r="J8642" i="3"/>
  <c r="J8641" i="3"/>
  <c r="J8640" i="3"/>
  <c r="J8639" i="3"/>
  <c r="J8638" i="3"/>
  <c r="J8637" i="3"/>
  <c r="J8636" i="3"/>
  <c r="J8635" i="3"/>
  <c r="J8634" i="3"/>
  <c r="J8633" i="3"/>
  <c r="J8632" i="3"/>
  <c r="J8631" i="3"/>
  <c r="J8630" i="3"/>
  <c r="J8629" i="3"/>
  <c r="J8628" i="3"/>
  <c r="J8627" i="3"/>
  <c r="J8626" i="3"/>
  <c r="J8625" i="3"/>
  <c r="J8624" i="3"/>
  <c r="J8623" i="3"/>
  <c r="J8622" i="3"/>
  <c r="J8621" i="3"/>
  <c r="J8620" i="3"/>
  <c r="J8619" i="3"/>
  <c r="J8618" i="3"/>
  <c r="J8617" i="3"/>
  <c r="J8616" i="3"/>
  <c r="J8615" i="3"/>
  <c r="J8614" i="3"/>
  <c r="J8613" i="3"/>
  <c r="J8612" i="3"/>
  <c r="J8611" i="3"/>
  <c r="J8610" i="3"/>
  <c r="J8609" i="3"/>
  <c r="J8608" i="3"/>
  <c r="J8607" i="3"/>
  <c r="J8606" i="3"/>
  <c r="J8605" i="3"/>
  <c r="J8604" i="3"/>
  <c r="J8603" i="3"/>
  <c r="J8602" i="3"/>
  <c r="J8601" i="3"/>
  <c r="J8600" i="3"/>
  <c r="J8599" i="3"/>
  <c r="J8598" i="3"/>
  <c r="J8597" i="3"/>
  <c r="J8596" i="3"/>
  <c r="J8595" i="3"/>
  <c r="J8594" i="3"/>
  <c r="J8593" i="3"/>
  <c r="J8592" i="3"/>
  <c r="J8591" i="3"/>
  <c r="J8590" i="3"/>
  <c r="J8589" i="3"/>
  <c r="J8588" i="3"/>
  <c r="J8587" i="3"/>
  <c r="J8586" i="3"/>
  <c r="J8585" i="3"/>
  <c r="J8584" i="3"/>
  <c r="J8583" i="3"/>
  <c r="J8582" i="3"/>
  <c r="J8581" i="3"/>
  <c r="J8580" i="3"/>
  <c r="J8579" i="3"/>
  <c r="J8578" i="3"/>
  <c r="J8577" i="3"/>
  <c r="J8576" i="3"/>
  <c r="J8575" i="3"/>
  <c r="J8574" i="3"/>
  <c r="J8573" i="3"/>
  <c r="J8572" i="3"/>
  <c r="J8571" i="3"/>
  <c r="J8570" i="3"/>
  <c r="J8569" i="3"/>
  <c r="J8568" i="3"/>
  <c r="J8567" i="3"/>
  <c r="J8566" i="3"/>
  <c r="J8565" i="3"/>
  <c r="J8564" i="3"/>
  <c r="J8563" i="3"/>
  <c r="J8562" i="3"/>
  <c r="J8561" i="3"/>
  <c r="J8560" i="3"/>
  <c r="J8559" i="3"/>
  <c r="J8558" i="3"/>
  <c r="J8557" i="3"/>
  <c r="J8556" i="3"/>
  <c r="J8555" i="3"/>
  <c r="J8554" i="3"/>
  <c r="J8553" i="3"/>
  <c r="J8552" i="3"/>
  <c r="J8551" i="3"/>
  <c r="J8550" i="3"/>
  <c r="J8549" i="3"/>
  <c r="J8548" i="3"/>
  <c r="J8547" i="3"/>
  <c r="J8546" i="3"/>
  <c r="J8545" i="3"/>
  <c r="J8544" i="3"/>
  <c r="J8543" i="3"/>
  <c r="J8542" i="3"/>
  <c r="J8541" i="3"/>
  <c r="J8540" i="3"/>
  <c r="J8539" i="3"/>
  <c r="J8538" i="3"/>
  <c r="J8537" i="3"/>
  <c r="J8536" i="3"/>
  <c r="J8535" i="3"/>
  <c r="J8534" i="3"/>
  <c r="J8533" i="3"/>
  <c r="J8532" i="3"/>
  <c r="J8531" i="3"/>
  <c r="J8530" i="3"/>
  <c r="J8529" i="3"/>
  <c r="J8528" i="3"/>
  <c r="J8527" i="3"/>
  <c r="J8526" i="3"/>
  <c r="J8525" i="3"/>
  <c r="J8524" i="3"/>
  <c r="J8523" i="3"/>
  <c r="J8522" i="3"/>
  <c r="J8521" i="3"/>
  <c r="J8520" i="3"/>
  <c r="J8519" i="3"/>
  <c r="J8518" i="3"/>
  <c r="J8517" i="3"/>
  <c r="J8516" i="3"/>
  <c r="J8515" i="3"/>
  <c r="J8514" i="3"/>
  <c r="J8513" i="3"/>
  <c r="J8512" i="3"/>
  <c r="J8511" i="3"/>
  <c r="J8510" i="3"/>
  <c r="J8509" i="3"/>
  <c r="J8508" i="3"/>
  <c r="J8507" i="3"/>
  <c r="J8506" i="3"/>
  <c r="J8505" i="3"/>
  <c r="J8504" i="3"/>
  <c r="J8503" i="3"/>
  <c r="J8502" i="3"/>
  <c r="J8501" i="3"/>
  <c r="J8500" i="3"/>
  <c r="J8499" i="3"/>
  <c r="J8498" i="3"/>
  <c r="J8497" i="3"/>
  <c r="J8496" i="3"/>
  <c r="J8495" i="3"/>
  <c r="J8494" i="3"/>
  <c r="J8493" i="3"/>
  <c r="J8492" i="3"/>
  <c r="J8491" i="3"/>
  <c r="J8490" i="3"/>
  <c r="J8489" i="3"/>
  <c r="J8488" i="3"/>
  <c r="J8487" i="3"/>
  <c r="J8486" i="3"/>
  <c r="J8485" i="3"/>
  <c r="J8484" i="3"/>
  <c r="J8483" i="3"/>
  <c r="J8482" i="3"/>
  <c r="J8481" i="3"/>
  <c r="J8480" i="3"/>
  <c r="J8479" i="3"/>
  <c r="J8478" i="3"/>
  <c r="J8477" i="3"/>
  <c r="J8476" i="3"/>
  <c r="J8475" i="3"/>
  <c r="J8474" i="3"/>
  <c r="J8473" i="3"/>
  <c r="J8472" i="3"/>
  <c r="J8471" i="3"/>
  <c r="J8470" i="3"/>
  <c r="J8469" i="3"/>
  <c r="J8468" i="3"/>
  <c r="J8467" i="3"/>
  <c r="J8466" i="3"/>
  <c r="J8465" i="3"/>
  <c r="J8464" i="3"/>
  <c r="J8463" i="3"/>
  <c r="J8462" i="3"/>
  <c r="J8461" i="3"/>
  <c r="J8460" i="3"/>
  <c r="J8459" i="3"/>
  <c r="J8458" i="3"/>
  <c r="J8457" i="3"/>
  <c r="J8456" i="3"/>
  <c r="J8455" i="3"/>
  <c r="J8454" i="3"/>
  <c r="J8453" i="3"/>
  <c r="J8452" i="3"/>
  <c r="J8451" i="3"/>
  <c r="J8450" i="3"/>
  <c r="J8449" i="3"/>
  <c r="J8448" i="3"/>
  <c r="J8447" i="3"/>
  <c r="J8446" i="3"/>
  <c r="J8445" i="3"/>
  <c r="J8444" i="3"/>
  <c r="J8443" i="3"/>
  <c r="J8442" i="3"/>
  <c r="J8441" i="3"/>
  <c r="J8440" i="3"/>
  <c r="J8439" i="3"/>
  <c r="J8438" i="3"/>
  <c r="J8437" i="3"/>
  <c r="J8436" i="3"/>
  <c r="J8435" i="3"/>
  <c r="J8434" i="3"/>
  <c r="J8433" i="3"/>
  <c r="J8432" i="3"/>
  <c r="J8431" i="3"/>
  <c r="J8430" i="3"/>
  <c r="J8429" i="3"/>
  <c r="J8428" i="3"/>
  <c r="J8427" i="3"/>
  <c r="J8426" i="3"/>
  <c r="J8425" i="3"/>
  <c r="J8424" i="3"/>
  <c r="J8423" i="3"/>
  <c r="J8422" i="3"/>
  <c r="J8421" i="3"/>
  <c r="J8420" i="3"/>
  <c r="J8419" i="3"/>
  <c r="J8418" i="3"/>
  <c r="J8417" i="3"/>
  <c r="J8416" i="3"/>
  <c r="J8415" i="3"/>
  <c r="J8414" i="3"/>
  <c r="J8413" i="3"/>
  <c r="J8412" i="3"/>
  <c r="J8411" i="3"/>
  <c r="J8410" i="3"/>
  <c r="J8409" i="3"/>
  <c r="J8408" i="3"/>
  <c r="J8407" i="3"/>
  <c r="J8406" i="3"/>
  <c r="J8405" i="3"/>
  <c r="J8404" i="3"/>
  <c r="J8403" i="3"/>
  <c r="J8402" i="3"/>
  <c r="J8401" i="3"/>
  <c r="J8400" i="3"/>
  <c r="J8399" i="3"/>
  <c r="J8398" i="3"/>
  <c r="J8397" i="3"/>
  <c r="J8396" i="3"/>
  <c r="J8395" i="3"/>
  <c r="J8394" i="3"/>
  <c r="J8393" i="3"/>
  <c r="J8392" i="3"/>
  <c r="J8391" i="3"/>
  <c r="J8390" i="3"/>
  <c r="J8389" i="3"/>
  <c r="J8388" i="3"/>
  <c r="J8387" i="3"/>
  <c r="J8386" i="3"/>
  <c r="J8385" i="3"/>
  <c r="J8384" i="3"/>
  <c r="J8383" i="3"/>
  <c r="J8382" i="3"/>
  <c r="J8381" i="3"/>
  <c r="J8380" i="3"/>
  <c r="J8379" i="3"/>
  <c r="J8378" i="3"/>
  <c r="J8377" i="3"/>
  <c r="J8376" i="3"/>
  <c r="J8375" i="3"/>
  <c r="J8374" i="3"/>
  <c r="J8373" i="3"/>
  <c r="J8372" i="3"/>
  <c r="J8371" i="3"/>
  <c r="J8370" i="3"/>
  <c r="J8369" i="3"/>
  <c r="J8368" i="3"/>
  <c r="J8367" i="3"/>
  <c r="J8366" i="3"/>
  <c r="J8365" i="3"/>
  <c r="J8364" i="3"/>
  <c r="J8363" i="3"/>
  <c r="J8362" i="3"/>
  <c r="J8361" i="3"/>
  <c r="J8360" i="3"/>
  <c r="J8359" i="3"/>
  <c r="J8358" i="3"/>
  <c r="J8357" i="3"/>
  <c r="J8356" i="3"/>
  <c r="J8355" i="3"/>
  <c r="J8354" i="3"/>
  <c r="J8353" i="3"/>
  <c r="J8352" i="3"/>
  <c r="J8351" i="3"/>
  <c r="J8350" i="3"/>
  <c r="J8349" i="3"/>
  <c r="J8348" i="3"/>
  <c r="J8347" i="3"/>
  <c r="J8346" i="3"/>
  <c r="J8345" i="3"/>
  <c r="J8344" i="3"/>
  <c r="J8343" i="3"/>
  <c r="J8342" i="3"/>
  <c r="J8341" i="3"/>
  <c r="J8340" i="3"/>
  <c r="J8339" i="3"/>
  <c r="J8338" i="3"/>
  <c r="J8337" i="3"/>
  <c r="J8336" i="3"/>
  <c r="J8335" i="3"/>
  <c r="J8334" i="3"/>
  <c r="J8333" i="3"/>
  <c r="J8332" i="3"/>
  <c r="J8331" i="3"/>
  <c r="J8330" i="3"/>
  <c r="J8329" i="3"/>
  <c r="J8328" i="3"/>
  <c r="J8327" i="3"/>
  <c r="J8326" i="3"/>
  <c r="J8325" i="3"/>
  <c r="J8324" i="3"/>
  <c r="J8323" i="3"/>
  <c r="J8322" i="3"/>
  <c r="J8321" i="3"/>
  <c r="J8320" i="3"/>
  <c r="J8319" i="3"/>
  <c r="J8318" i="3"/>
  <c r="J8317" i="3"/>
  <c r="J8316" i="3"/>
  <c r="J8315" i="3"/>
  <c r="J8314" i="3"/>
  <c r="J8313" i="3"/>
  <c r="J8312" i="3"/>
  <c r="J8311" i="3"/>
  <c r="J8310" i="3"/>
  <c r="J8309" i="3"/>
  <c r="J8308" i="3"/>
  <c r="J8307" i="3"/>
  <c r="J8306" i="3"/>
  <c r="J8305" i="3"/>
  <c r="J8304" i="3"/>
  <c r="J8303" i="3"/>
  <c r="J8302" i="3"/>
  <c r="J8301" i="3"/>
  <c r="J8300" i="3"/>
  <c r="J8299" i="3"/>
  <c r="J8298" i="3"/>
  <c r="J8297" i="3"/>
  <c r="J8296" i="3"/>
  <c r="J8295" i="3"/>
  <c r="J8294" i="3"/>
  <c r="J8293" i="3"/>
  <c r="J8292" i="3"/>
  <c r="J8291" i="3"/>
  <c r="J8290" i="3"/>
  <c r="J8289" i="3"/>
  <c r="J8288" i="3"/>
  <c r="J8287" i="3"/>
  <c r="J8286" i="3"/>
  <c r="J8285" i="3"/>
  <c r="J8284" i="3"/>
  <c r="J8283" i="3"/>
  <c r="J8282" i="3"/>
  <c r="J8281" i="3"/>
  <c r="J8280" i="3"/>
  <c r="J8279" i="3"/>
  <c r="J8278" i="3"/>
  <c r="J8277" i="3"/>
  <c r="J8276" i="3"/>
  <c r="J8275" i="3"/>
  <c r="J8274" i="3"/>
  <c r="J8273" i="3"/>
  <c r="J8272" i="3"/>
  <c r="J8271" i="3"/>
  <c r="J8270" i="3"/>
  <c r="J8269" i="3"/>
  <c r="J8268" i="3"/>
  <c r="J8267" i="3"/>
  <c r="J8266" i="3"/>
  <c r="J8265" i="3"/>
  <c r="J8264" i="3"/>
  <c r="J8263" i="3"/>
  <c r="J8262" i="3"/>
  <c r="J8261" i="3"/>
  <c r="J8260" i="3"/>
  <c r="J8259" i="3"/>
  <c r="J8258" i="3"/>
  <c r="J8257" i="3"/>
  <c r="J8256" i="3"/>
  <c r="J8255" i="3"/>
  <c r="J8254" i="3"/>
  <c r="J8253" i="3"/>
  <c r="J8252" i="3"/>
  <c r="J8251" i="3"/>
  <c r="J8250" i="3"/>
  <c r="J8249" i="3"/>
  <c r="J8248" i="3"/>
  <c r="J8247" i="3"/>
  <c r="J8246" i="3"/>
  <c r="J8245" i="3"/>
  <c r="J8244" i="3"/>
  <c r="J8243" i="3"/>
  <c r="J8242" i="3"/>
  <c r="J8241" i="3"/>
  <c r="J8240" i="3"/>
  <c r="J8239" i="3"/>
  <c r="J8238" i="3"/>
  <c r="J8237" i="3"/>
  <c r="J8236" i="3"/>
  <c r="J8235" i="3"/>
  <c r="J8234" i="3"/>
  <c r="J8233" i="3"/>
  <c r="J8232" i="3"/>
  <c r="J8231" i="3"/>
  <c r="J8230" i="3"/>
  <c r="J8229" i="3"/>
  <c r="J8228" i="3"/>
  <c r="J8227" i="3"/>
  <c r="J8226" i="3"/>
  <c r="J8225" i="3"/>
  <c r="J8224" i="3"/>
  <c r="J8223" i="3"/>
  <c r="J8222" i="3"/>
  <c r="J8221" i="3"/>
  <c r="J8220" i="3"/>
  <c r="J8219" i="3"/>
  <c r="J8218" i="3"/>
  <c r="J8217" i="3"/>
  <c r="J8216" i="3"/>
  <c r="J8215" i="3"/>
  <c r="J8214" i="3"/>
  <c r="J8213" i="3"/>
  <c r="J8212" i="3"/>
  <c r="J8211" i="3"/>
  <c r="J8210" i="3"/>
  <c r="J8209" i="3"/>
  <c r="J8208" i="3"/>
  <c r="J8207" i="3"/>
  <c r="J8206" i="3"/>
  <c r="J8205" i="3"/>
  <c r="J8204" i="3"/>
  <c r="J8203" i="3"/>
  <c r="J8202" i="3"/>
  <c r="J8201" i="3"/>
  <c r="J8200" i="3"/>
  <c r="J8199" i="3"/>
  <c r="J8198" i="3"/>
  <c r="J8197" i="3"/>
  <c r="J8196" i="3"/>
  <c r="J8195" i="3"/>
  <c r="J8194" i="3"/>
  <c r="J8193" i="3"/>
  <c r="J8192" i="3"/>
  <c r="J8191" i="3"/>
  <c r="J8190" i="3"/>
  <c r="J8189" i="3"/>
  <c r="J8188" i="3"/>
  <c r="J8187" i="3"/>
  <c r="J8186" i="3"/>
  <c r="J8185" i="3"/>
  <c r="J8184" i="3"/>
  <c r="J8183" i="3"/>
  <c r="J8182" i="3"/>
  <c r="J8181" i="3"/>
  <c r="J8180" i="3"/>
  <c r="J8179" i="3"/>
  <c r="J8178" i="3"/>
  <c r="J8177" i="3"/>
  <c r="J8176" i="3"/>
  <c r="J8175" i="3"/>
  <c r="J8174" i="3"/>
  <c r="J8173" i="3"/>
  <c r="J8172" i="3"/>
  <c r="J8171" i="3"/>
  <c r="J8170" i="3"/>
  <c r="J8169" i="3"/>
  <c r="J8168" i="3"/>
  <c r="J8167" i="3"/>
  <c r="J8166" i="3"/>
  <c r="J8165" i="3"/>
  <c r="J8164" i="3"/>
  <c r="J8163" i="3"/>
  <c r="J8162" i="3"/>
  <c r="J8161" i="3"/>
  <c r="J8160" i="3"/>
  <c r="J8159" i="3"/>
  <c r="J8158" i="3"/>
  <c r="J8157" i="3"/>
  <c r="J8156" i="3"/>
  <c r="J8155" i="3"/>
  <c r="J8154" i="3"/>
  <c r="J8153" i="3"/>
  <c r="J8152" i="3"/>
  <c r="J8151" i="3"/>
  <c r="J8150" i="3"/>
  <c r="J8149" i="3"/>
  <c r="J8148" i="3"/>
  <c r="J8147" i="3"/>
  <c r="J8146" i="3"/>
  <c r="J8145" i="3"/>
  <c r="J8144" i="3"/>
  <c r="J8143" i="3"/>
  <c r="J8142" i="3"/>
  <c r="J8141" i="3"/>
  <c r="J8140" i="3"/>
  <c r="J8139" i="3"/>
  <c r="J8138" i="3"/>
  <c r="J8137" i="3"/>
  <c r="J8136" i="3"/>
  <c r="J8135" i="3"/>
  <c r="J8134" i="3"/>
  <c r="J8133" i="3"/>
  <c r="J8132" i="3"/>
  <c r="J8131" i="3"/>
  <c r="J8130" i="3"/>
  <c r="J8129" i="3"/>
  <c r="J8128" i="3"/>
  <c r="J8127" i="3"/>
  <c r="J8126" i="3"/>
  <c r="J8125" i="3"/>
  <c r="J8124" i="3"/>
  <c r="J8123" i="3"/>
  <c r="J8122" i="3"/>
  <c r="J8121" i="3"/>
  <c r="J8120" i="3"/>
  <c r="J8119" i="3"/>
  <c r="J8118" i="3"/>
  <c r="J8117" i="3"/>
  <c r="J8116" i="3"/>
  <c r="J8115" i="3"/>
  <c r="J8114" i="3"/>
  <c r="J8113" i="3"/>
  <c r="J8112" i="3"/>
  <c r="J8111" i="3"/>
  <c r="J8110" i="3"/>
  <c r="J8109" i="3"/>
  <c r="J8108" i="3"/>
  <c r="J8107" i="3"/>
  <c r="J8106" i="3"/>
  <c r="J8105" i="3"/>
  <c r="J8104" i="3"/>
  <c r="J8103" i="3"/>
  <c r="J8102" i="3"/>
  <c r="J8101" i="3"/>
  <c r="J8100" i="3"/>
  <c r="J8099" i="3"/>
  <c r="J8098" i="3"/>
  <c r="J8097" i="3"/>
  <c r="J8096" i="3"/>
  <c r="J8095" i="3"/>
  <c r="J8094" i="3"/>
  <c r="J8093" i="3"/>
  <c r="J8092" i="3"/>
  <c r="J8091" i="3"/>
  <c r="J8090" i="3"/>
  <c r="J8089" i="3"/>
  <c r="J8088" i="3"/>
  <c r="J8087" i="3"/>
  <c r="J8086" i="3"/>
  <c r="J8085" i="3"/>
  <c r="J8084" i="3"/>
  <c r="J8083" i="3"/>
  <c r="J8082" i="3"/>
  <c r="J8081" i="3"/>
  <c r="J8080" i="3"/>
  <c r="J8079" i="3"/>
  <c r="J8078" i="3"/>
  <c r="J8077" i="3"/>
  <c r="J8076" i="3"/>
  <c r="J8075" i="3"/>
  <c r="J8074" i="3"/>
  <c r="J8073" i="3"/>
  <c r="J8072" i="3"/>
  <c r="J8071" i="3"/>
  <c r="J8070" i="3"/>
  <c r="J8069" i="3"/>
  <c r="J8068" i="3"/>
  <c r="J8067" i="3"/>
  <c r="J8066" i="3"/>
  <c r="J8065" i="3"/>
  <c r="J8064" i="3"/>
  <c r="J8063" i="3"/>
  <c r="J8062" i="3"/>
  <c r="J8061" i="3"/>
  <c r="J8060" i="3"/>
  <c r="J8059" i="3"/>
  <c r="J8058" i="3"/>
  <c r="J8057" i="3"/>
  <c r="J8056" i="3"/>
  <c r="J8055" i="3"/>
  <c r="J8054" i="3"/>
  <c r="J8053" i="3"/>
  <c r="J8052" i="3"/>
  <c r="J8051" i="3"/>
  <c r="J8050" i="3"/>
  <c r="J8049" i="3"/>
  <c r="J8048" i="3"/>
  <c r="J8047" i="3"/>
  <c r="J8046" i="3"/>
  <c r="J8045" i="3"/>
  <c r="J8044" i="3"/>
  <c r="J8043" i="3"/>
  <c r="J8042" i="3"/>
  <c r="J8041" i="3"/>
  <c r="J8040" i="3"/>
  <c r="J8039" i="3"/>
  <c r="J8038" i="3"/>
  <c r="J8037" i="3"/>
  <c r="J8036" i="3"/>
  <c r="J8035" i="3"/>
  <c r="J8034" i="3"/>
  <c r="J8033" i="3"/>
  <c r="J8032" i="3"/>
  <c r="J8031" i="3"/>
  <c r="J8030" i="3"/>
  <c r="J8029" i="3"/>
  <c r="J8028" i="3"/>
  <c r="J8027" i="3"/>
  <c r="J8026" i="3"/>
  <c r="J8025" i="3"/>
  <c r="J8024" i="3"/>
  <c r="J8023" i="3"/>
  <c r="J8022" i="3"/>
  <c r="J8021" i="3"/>
  <c r="J8020" i="3"/>
  <c r="J8019" i="3"/>
  <c r="J8018" i="3"/>
  <c r="J8017" i="3"/>
  <c r="J8016" i="3"/>
  <c r="J8015" i="3"/>
  <c r="J8014" i="3"/>
  <c r="J8013" i="3"/>
  <c r="J8012" i="3"/>
  <c r="J8011" i="3"/>
  <c r="J8010" i="3"/>
  <c r="J8009" i="3"/>
  <c r="J8008" i="3"/>
  <c r="J8007" i="3"/>
  <c r="J8006" i="3"/>
  <c r="J8005" i="3"/>
  <c r="J8004" i="3"/>
  <c r="J8003" i="3"/>
  <c r="J8002" i="3"/>
  <c r="J8001" i="3"/>
  <c r="J8000" i="3"/>
  <c r="J7999" i="3"/>
  <c r="J7998" i="3"/>
  <c r="J7997" i="3"/>
  <c r="J7996" i="3"/>
  <c r="J7995" i="3"/>
  <c r="J7994" i="3"/>
  <c r="J7993" i="3"/>
  <c r="J7992" i="3"/>
  <c r="J7991" i="3"/>
  <c r="J7990" i="3"/>
  <c r="J7989" i="3"/>
  <c r="J7988" i="3"/>
  <c r="J7987" i="3"/>
  <c r="J7986" i="3"/>
  <c r="J7985" i="3"/>
  <c r="J7984" i="3"/>
  <c r="J7983" i="3"/>
  <c r="J7982" i="3"/>
  <c r="J7981" i="3"/>
  <c r="J7980" i="3"/>
  <c r="J7979" i="3"/>
  <c r="J7978" i="3"/>
  <c r="J7977" i="3"/>
  <c r="J7976" i="3"/>
  <c r="J7975" i="3"/>
  <c r="J7974" i="3"/>
  <c r="J7973" i="3"/>
  <c r="J7972" i="3"/>
  <c r="J7971" i="3"/>
  <c r="J7970" i="3"/>
  <c r="J7969" i="3"/>
  <c r="J7968" i="3"/>
  <c r="J7967" i="3"/>
  <c r="J7966" i="3"/>
  <c r="J7965" i="3"/>
  <c r="J7964" i="3"/>
  <c r="J7963" i="3"/>
  <c r="J7962" i="3"/>
  <c r="J7961" i="3"/>
  <c r="J7960" i="3"/>
  <c r="J7959" i="3"/>
  <c r="J7958" i="3"/>
  <c r="J7957" i="3"/>
  <c r="J7956" i="3"/>
  <c r="J7955" i="3"/>
  <c r="J7954" i="3"/>
  <c r="J7953" i="3"/>
  <c r="J7952" i="3"/>
  <c r="J7951" i="3"/>
  <c r="J7950" i="3"/>
  <c r="J7949" i="3"/>
  <c r="J7948" i="3"/>
  <c r="J7947" i="3"/>
  <c r="J7946" i="3"/>
  <c r="J7945" i="3"/>
  <c r="J7944" i="3"/>
  <c r="J7943" i="3"/>
  <c r="J7942" i="3"/>
  <c r="J7941" i="3"/>
  <c r="J7940" i="3"/>
  <c r="J7939" i="3"/>
  <c r="J7938" i="3"/>
  <c r="J7937" i="3"/>
  <c r="J7936" i="3"/>
  <c r="J7935" i="3"/>
  <c r="J7934" i="3"/>
  <c r="J7933" i="3"/>
  <c r="J7932" i="3"/>
  <c r="J7931" i="3"/>
  <c r="J7930" i="3"/>
  <c r="J7929" i="3"/>
  <c r="J7928" i="3"/>
  <c r="J7927" i="3"/>
  <c r="J7926" i="3"/>
  <c r="J7925" i="3"/>
  <c r="J7924" i="3"/>
  <c r="J7923" i="3"/>
  <c r="J7922" i="3"/>
  <c r="J7921" i="3"/>
  <c r="J7920" i="3"/>
  <c r="J7919" i="3"/>
  <c r="J7918" i="3"/>
  <c r="J7917" i="3"/>
  <c r="J7916" i="3"/>
  <c r="J7915" i="3"/>
  <c r="J7914" i="3"/>
  <c r="J7913" i="3"/>
  <c r="J7912" i="3"/>
  <c r="J7911" i="3"/>
  <c r="J7910" i="3"/>
  <c r="J7909" i="3"/>
  <c r="J7908" i="3"/>
  <c r="J7907" i="3"/>
  <c r="J7906" i="3"/>
  <c r="J7905" i="3"/>
  <c r="J7904" i="3"/>
  <c r="J7903" i="3"/>
  <c r="J7902" i="3"/>
  <c r="J7901" i="3"/>
  <c r="J7900" i="3"/>
  <c r="J7899" i="3"/>
  <c r="J7898" i="3"/>
  <c r="J7897" i="3"/>
  <c r="J7896" i="3"/>
  <c r="J7895" i="3"/>
  <c r="J7894" i="3"/>
  <c r="J7893" i="3"/>
  <c r="J7892" i="3"/>
  <c r="J7891" i="3"/>
  <c r="J7890" i="3"/>
  <c r="J7889" i="3"/>
  <c r="J7888" i="3"/>
  <c r="J7887" i="3"/>
  <c r="J7886" i="3"/>
  <c r="J7885" i="3"/>
  <c r="J7884" i="3"/>
  <c r="J7883" i="3"/>
  <c r="J7882" i="3"/>
  <c r="J7881" i="3"/>
  <c r="J7880" i="3"/>
  <c r="J7879" i="3"/>
  <c r="J7878" i="3"/>
  <c r="J7877" i="3"/>
  <c r="J7876" i="3"/>
  <c r="J7875" i="3"/>
  <c r="J7874" i="3"/>
  <c r="J7873" i="3"/>
  <c r="J7872" i="3"/>
  <c r="J7871" i="3"/>
  <c r="J7870" i="3"/>
  <c r="J7869" i="3"/>
  <c r="J7868" i="3"/>
  <c r="J7867" i="3"/>
  <c r="J7866" i="3"/>
  <c r="J7865" i="3"/>
  <c r="J7864" i="3"/>
  <c r="J7863" i="3"/>
  <c r="J7862" i="3"/>
  <c r="J7861" i="3"/>
  <c r="J7860" i="3"/>
  <c r="J7859" i="3"/>
  <c r="J7858" i="3"/>
  <c r="J7857" i="3"/>
  <c r="J7856" i="3"/>
  <c r="J7855" i="3"/>
  <c r="J7854" i="3"/>
  <c r="J7853" i="3"/>
  <c r="J7852" i="3"/>
  <c r="J7851" i="3"/>
  <c r="J7850" i="3"/>
  <c r="J7849" i="3"/>
  <c r="J7848" i="3"/>
  <c r="J7847" i="3"/>
  <c r="J7846" i="3"/>
  <c r="J7845" i="3"/>
  <c r="J7844" i="3"/>
  <c r="J7843" i="3"/>
  <c r="J7842" i="3"/>
  <c r="J7841" i="3"/>
  <c r="J7840" i="3"/>
  <c r="J7839" i="3"/>
  <c r="J7838" i="3"/>
  <c r="J7837" i="3"/>
  <c r="J7836" i="3"/>
  <c r="J7835" i="3"/>
  <c r="J7834" i="3"/>
  <c r="J7833" i="3"/>
  <c r="J7832" i="3"/>
  <c r="J7831" i="3"/>
  <c r="J7830" i="3"/>
  <c r="J7829" i="3"/>
  <c r="J7828" i="3"/>
  <c r="J7827" i="3"/>
  <c r="J7826" i="3"/>
  <c r="J7825" i="3"/>
  <c r="J7824" i="3"/>
  <c r="J7823" i="3"/>
  <c r="J7822" i="3"/>
  <c r="J7821" i="3"/>
  <c r="J7820" i="3"/>
  <c r="J7819" i="3"/>
  <c r="J7818" i="3"/>
  <c r="J7817" i="3"/>
  <c r="J7816" i="3"/>
  <c r="J7815" i="3"/>
  <c r="J7814" i="3"/>
  <c r="J7813" i="3"/>
  <c r="J7812" i="3"/>
  <c r="J7811" i="3"/>
  <c r="J7810" i="3"/>
  <c r="J7809" i="3"/>
  <c r="J7808" i="3"/>
  <c r="J7807" i="3"/>
  <c r="J7806" i="3"/>
  <c r="J7805" i="3"/>
  <c r="J7804" i="3"/>
  <c r="J7803" i="3"/>
  <c r="J7802" i="3"/>
  <c r="J7801" i="3"/>
  <c r="J7800" i="3"/>
  <c r="J7799" i="3"/>
  <c r="J7798" i="3"/>
  <c r="J7797" i="3"/>
  <c r="J7796" i="3"/>
  <c r="J7795" i="3"/>
  <c r="J7794" i="3"/>
  <c r="J7793" i="3"/>
  <c r="J7792" i="3"/>
  <c r="J7791" i="3"/>
  <c r="J7790" i="3"/>
  <c r="J7789" i="3"/>
  <c r="J7788" i="3"/>
  <c r="J7787" i="3"/>
  <c r="J7786" i="3"/>
  <c r="J7785" i="3"/>
  <c r="J7784" i="3"/>
  <c r="J7783" i="3"/>
  <c r="J7782" i="3"/>
  <c r="J7781" i="3"/>
  <c r="J7780" i="3"/>
  <c r="J7779" i="3"/>
  <c r="J7778" i="3"/>
  <c r="J7777" i="3"/>
  <c r="J7776" i="3"/>
  <c r="J7775" i="3"/>
  <c r="J7774" i="3"/>
  <c r="J7773" i="3"/>
  <c r="J7772" i="3"/>
  <c r="J7771" i="3"/>
  <c r="J7770" i="3"/>
  <c r="J7769" i="3"/>
  <c r="J7768" i="3"/>
  <c r="J7767" i="3"/>
  <c r="J7766" i="3"/>
  <c r="J7765" i="3"/>
  <c r="J7764" i="3"/>
  <c r="J7763" i="3"/>
  <c r="J7762" i="3"/>
  <c r="J7761" i="3"/>
  <c r="J7760" i="3"/>
  <c r="J7759" i="3"/>
  <c r="J7758" i="3"/>
  <c r="J7757" i="3"/>
  <c r="J7756" i="3"/>
  <c r="J7755" i="3"/>
  <c r="J7754" i="3"/>
  <c r="J7753" i="3"/>
  <c r="J7752" i="3"/>
  <c r="J7751" i="3"/>
  <c r="J7750" i="3"/>
  <c r="J7749" i="3"/>
  <c r="J7748" i="3"/>
  <c r="J7747" i="3"/>
  <c r="J7746" i="3"/>
  <c r="J7745" i="3"/>
  <c r="J7744" i="3"/>
  <c r="J7743" i="3"/>
  <c r="J7742" i="3"/>
  <c r="J7741" i="3"/>
  <c r="J7740" i="3"/>
  <c r="J7739" i="3"/>
  <c r="J7738" i="3"/>
  <c r="J7737" i="3"/>
  <c r="J7736" i="3"/>
  <c r="J7735" i="3"/>
  <c r="J7734" i="3"/>
  <c r="J7733" i="3"/>
  <c r="J7732" i="3"/>
  <c r="J7731" i="3"/>
  <c r="J7730" i="3"/>
  <c r="J7729" i="3"/>
  <c r="J7728" i="3"/>
  <c r="J7727" i="3"/>
  <c r="J7726" i="3"/>
  <c r="J7725" i="3"/>
  <c r="J7724" i="3"/>
  <c r="J7723" i="3"/>
  <c r="J7722" i="3"/>
  <c r="J7721" i="3"/>
  <c r="J7720" i="3"/>
  <c r="J7719" i="3"/>
  <c r="J7718" i="3"/>
  <c r="J7717" i="3"/>
  <c r="J7716" i="3"/>
  <c r="J7715" i="3"/>
  <c r="J7714" i="3"/>
  <c r="J7713" i="3"/>
  <c r="J7712" i="3"/>
  <c r="J7711" i="3"/>
  <c r="J7710" i="3"/>
  <c r="J7709" i="3"/>
  <c r="J7708" i="3"/>
  <c r="J7707" i="3"/>
  <c r="J7706" i="3"/>
  <c r="J7705" i="3"/>
  <c r="J7704" i="3"/>
  <c r="J7703" i="3"/>
  <c r="J7702" i="3"/>
  <c r="J7701" i="3"/>
  <c r="J7700" i="3"/>
  <c r="J7699" i="3"/>
  <c r="J7698" i="3"/>
  <c r="J7697" i="3"/>
  <c r="J7696" i="3"/>
  <c r="J7695" i="3"/>
  <c r="J7694" i="3"/>
  <c r="J7693" i="3"/>
  <c r="J7692" i="3"/>
  <c r="J7691" i="3"/>
  <c r="J7690" i="3"/>
  <c r="J7689" i="3"/>
  <c r="J7688" i="3"/>
  <c r="J7687" i="3"/>
  <c r="J7686" i="3"/>
  <c r="J7685" i="3"/>
  <c r="J7684" i="3"/>
  <c r="J7683" i="3"/>
  <c r="J7682" i="3"/>
  <c r="J7681" i="3"/>
  <c r="J7680" i="3"/>
  <c r="J7679" i="3"/>
  <c r="J7678" i="3"/>
  <c r="J7677" i="3"/>
  <c r="J7676" i="3"/>
  <c r="J7675" i="3"/>
  <c r="J7674" i="3"/>
  <c r="J7673" i="3"/>
  <c r="J7672" i="3"/>
  <c r="J7671" i="3"/>
  <c r="J7670" i="3"/>
  <c r="J7669" i="3"/>
  <c r="J7668" i="3"/>
  <c r="J7667" i="3"/>
  <c r="J7666" i="3"/>
  <c r="J7665" i="3"/>
  <c r="J7664" i="3"/>
  <c r="J7663" i="3"/>
  <c r="J7662" i="3"/>
  <c r="J7661" i="3"/>
  <c r="J7660" i="3"/>
  <c r="J7659" i="3"/>
  <c r="J7658" i="3"/>
  <c r="J7657" i="3"/>
  <c r="J7656" i="3"/>
  <c r="J7655" i="3"/>
  <c r="J7654" i="3"/>
  <c r="J7653" i="3"/>
  <c r="J7652" i="3"/>
  <c r="J7651" i="3"/>
  <c r="J7650" i="3"/>
  <c r="J7649" i="3"/>
  <c r="J7648" i="3"/>
  <c r="J7647" i="3"/>
  <c r="J7646" i="3"/>
  <c r="J7645" i="3"/>
  <c r="J7644" i="3"/>
  <c r="J7643" i="3"/>
  <c r="J7642" i="3"/>
  <c r="J7641" i="3"/>
  <c r="J7640" i="3"/>
  <c r="J7639" i="3"/>
  <c r="J7638" i="3"/>
  <c r="J7637" i="3"/>
  <c r="J7636" i="3"/>
  <c r="J7635" i="3"/>
  <c r="J7634" i="3"/>
  <c r="J7633" i="3"/>
  <c r="J7632" i="3"/>
  <c r="J7631" i="3"/>
  <c r="J7630" i="3"/>
  <c r="J7629" i="3"/>
  <c r="J7628" i="3"/>
  <c r="J7627" i="3"/>
  <c r="J7626" i="3"/>
  <c r="J7625" i="3"/>
  <c r="J7624" i="3"/>
  <c r="J7623" i="3"/>
  <c r="J7622" i="3"/>
  <c r="J7621" i="3"/>
  <c r="J7620" i="3"/>
  <c r="J7619" i="3"/>
  <c r="J7618" i="3"/>
  <c r="J7617" i="3"/>
  <c r="J7616" i="3"/>
  <c r="J7615" i="3"/>
  <c r="J7614" i="3"/>
  <c r="J7613" i="3"/>
  <c r="J7612" i="3"/>
  <c r="J7611" i="3"/>
  <c r="J7610" i="3"/>
  <c r="J7609" i="3"/>
  <c r="J7608" i="3"/>
  <c r="J7607" i="3"/>
  <c r="J7606" i="3"/>
  <c r="J7605" i="3"/>
  <c r="J7604" i="3"/>
  <c r="J7603" i="3"/>
  <c r="J7602" i="3"/>
  <c r="J7601" i="3"/>
  <c r="J7600" i="3"/>
  <c r="J7599" i="3"/>
  <c r="J7598" i="3"/>
  <c r="J7597" i="3"/>
  <c r="J7596" i="3"/>
  <c r="J7595" i="3"/>
  <c r="J7594" i="3"/>
  <c r="J7593" i="3"/>
  <c r="J7592" i="3"/>
  <c r="J7591" i="3"/>
  <c r="J7590" i="3"/>
  <c r="J7589" i="3"/>
  <c r="J7588" i="3"/>
  <c r="J7587" i="3"/>
  <c r="J7586" i="3"/>
  <c r="J7585" i="3"/>
  <c r="J7584" i="3"/>
  <c r="J7583" i="3"/>
  <c r="J7582" i="3"/>
  <c r="J7581" i="3"/>
  <c r="J7580" i="3"/>
  <c r="J7579" i="3"/>
  <c r="J7578" i="3"/>
  <c r="J7577" i="3"/>
  <c r="J7576" i="3"/>
  <c r="J7575" i="3"/>
  <c r="J7574" i="3"/>
  <c r="J7573" i="3"/>
  <c r="J7572" i="3"/>
  <c r="J7571" i="3"/>
  <c r="J7570" i="3"/>
  <c r="J7569" i="3"/>
  <c r="J7568" i="3"/>
  <c r="J7567" i="3"/>
  <c r="J7566" i="3"/>
  <c r="J7565" i="3"/>
  <c r="J7564" i="3"/>
  <c r="J7563" i="3"/>
  <c r="J7562" i="3"/>
  <c r="J7561" i="3"/>
  <c r="J7560" i="3"/>
  <c r="J7559" i="3"/>
  <c r="J7558" i="3"/>
  <c r="J7557" i="3"/>
  <c r="J7556" i="3"/>
  <c r="J7555" i="3"/>
  <c r="J7554" i="3"/>
  <c r="J7553" i="3"/>
  <c r="J7552" i="3"/>
  <c r="J7551" i="3"/>
  <c r="J7550" i="3"/>
  <c r="J7549" i="3"/>
  <c r="J7548" i="3"/>
  <c r="J7547" i="3"/>
  <c r="J7546" i="3"/>
  <c r="J7545" i="3"/>
  <c r="J7544" i="3"/>
  <c r="J7543" i="3"/>
  <c r="J7542" i="3"/>
  <c r="J7541" i="3"/>
  <c r="J7540" i="3"/>
  <c r="J7539" i="3"/>
  <c r="J7538" i="3"/>
  <c r="J7537" i="3"/>
  <c r="J7536" i="3"/>
  <c r="J7535" i="3"/>
  <c r="J7534" i="3"/>
  <c r="J7533" i="3"/>
  <c r="J7532" i="3"/>
  <c r="J7531" i="3"/>
  <c r="J7530" i="3"/>
  <c r="J7529" i="3"/>
  <c r="J7528" i="3"/>
  <c r="J7527" i="3"/>
  <c r="J7526" i="3"/>
  <c r="J7525" i="3"/>
  <c r="J7524" i="3"/>
  <c r="J7523" i="3"/>
  <c r="J7522" i="3"/>
  <c r="J7521" i="3"/>
  <c r="J7520" i="3"/>
  <c r="J7519" i="3"/>
  <c r="J7518" i="3"/>
  <c r="J7517" i="3"/>
  <c r="J7516" i="3"/>
  <c r="J7515" i="3"/>
  <c r="J7514" i="3"/>
  <c r="J7513" i="3"/>
  <c r="J7512" i="3"/>
  <c r="J7511" i="3"/>
  <c r="J7510" i="3"/>
  <c r="J7509" i="3"/>
  <c r="J7508" i="3"/>
  <c r="J7507" i="3"/>
  <c r="J7506" i="3"/>
  <c r="J7505" i="3"/>
  <c r="J7504" i="3"/>
  <c r="J7503" i="3"/>
  <c r="J7502" i="3"/>
  <c r="J7501" i="3"/>
  <c r="J7500" i="3"/>
  <c r="J7499" i="3"/>
  <c r="J7498" i="3"/>
  <c r="J7497" i="3"/>
  <c r="J7496" i="3"/>
  <c r="J7495" i="3"/>
  <c r="J7494" i="3"/>
  <c r="J7493" i="3"/>
  <c r="J7492" i="3"/>
  <c r="J7491" i="3"/>
  <c r="J7490" i="3"/>
  <c r="J7489" i="3"/>
  <c r="J7488" i="3"/>
  <c r="J7487" i="3"/>
  <c r="J7486" i="3"/>
  <c r="J7485" i="3"/>
  <c r="J7484" i="3"/>
  <c r="J7483" i="3"/>
  <c r="J7482" i="3"/>
  <c r="J7481" i="3"/>
  <c r="J7480" i="3"/>
  <c r="J7479" i="3"/>
  <c r="J7478" i="3"/>
  <c r="J7477" i="3"/>
  <c r="J7476" i="3"/>
  <c r="J7475" i="3"/>
  <c r="J7474" i="3"/>
  <c r="J7473" i="3"/>
  <c r="J7472" i="3"/>
  <c r="J7471" i="3"/>
  <c r="J7470" i="3"/>
  <c r="J7469" i="3"/>
  <c r="J7468" i="3"/>
  <c r="J7467" i="3"/>
  <c r="J7466" i="3"/>
  <c r="J7465" i="3"/>
  <c r="J7464" i="3"/>
  <c r="J7463" i="3"/>
  <c r="J7462" i="3"/>
  <c r="J7461" i="3"/>
  <c r="J7460" i="3"/>
  <c r="J7459" i="3"/>
  <c r="J7458" i="3"/>
  <c r="J7457" i="3"/>
  <c r="J7456" i="3"/>
  <c r="J7455" i="3"/>
  <c r="J7454" i="3"/>
  <c r="J7453" i="3"/>
  <c r="J7452" i="3"/>
  <c r="J7451" i="3"/>
  <c r="J7450" i="3"/>
  <c r="J7449" i="3"/>
  <c r="J7448" i="3"/>
  <c r="J7447" i="3"/>
  <c r="J7446" i="3"/>
  <c r="J7445" i="3"/>
  <c r="J7444" i="3"/>
  <c r="J7443" i="3"/>
  <c r="J7442" i="3"/>
  <c r="J7441" i="3"/>
  <c r="J7440" i="3"/>
  <c r="J7439" i="3"/>
  <c r="J7438" i="3"/>
  <c r="J7437" i="3"/>
  <c r="J7436" i="3"/>
  <c r="J7435" i="3"/>
  <c r="J7434" i="3"/>
  <c r="J7433" i="3"/>
  <c r="J7432" i="3"/>
  <c r="J7431" i="3"/>
  <c r="J7430" i="3"/>
  <c r="J7429" i="3"/>
  <c r="J7428" i="3"/>
  <c r="J7427" i="3"/>
  <c r="J7426" i="3"/>
  <c r="J7425" i="3"/>
  <c r="J7424" i="3"/>
  <c r="J7423" i="3"/>
  <c r="J7422" i="3"/>
  <c r="J7421" i="3"/>
  <c r="J7420" i="3"/>
  <c r="J7419" i="3"/>
  <c r="J7418" i="3"/>
  <c r="J7417" i="3"/>
  <c r="J7416" i="3"/>
  <c r="J7415" i="3"/>
  <c r="J7414" i="3"/>
  <c r="J7413" i="3"/>
  <c r="J7412" i="3"/>
  <c r="J7411" i="3"/>
  <c r="J7410" i="3"/>
  <c r="J7409" i="3"/>
  <c r="J7408" i="3"/>
  <c r="J7407" i="3"/>
  <c r="J7406" i="3"/>
  <c r="J7405" i="3"/>
  <c r="J7404" i="3"/>
  <c r="J7403" i="3"/>
  <c r="J7402" i="3"/>
  <c r="J7401" i="3"/>
  <c r="J7400" i="3"/>
  <c r="J7399" i="3"/>
  <c r="J7398" i="3"/>
  <c r="J7397" i="3"/>
  <c r="J7396" i="3"/>
  <c r="J7395" i="3"/>
  <c r="J7394" i="3"/>
  <c r="J7393" i="3"/>
  <c r="J7392" i="3"/>
  <c r="J7391" i="3"/>
  <c r="J7390" i="3"/>
  <c r="J7389" i="3"/>
  <c r="J7388" i="3"/>
  <c r="J7387" i="3"/>
  <c r="J7386" i="3"/>
  <c r="J7385" i="3"/>
  <c r="J7384" i="3"/>
  <c r="J7383" i="3"/>
  <c r="J7382" i="3"/>
  <c r="J7381" i="3"/>
  <c r="J7380" i="3"/>
  <c r="J7379" i="3"/>
  <c r="J7378" i="3"/>
  <c r="J7377" i="3"/>
  <c r="J7376" i="3"/>
  <c r="J7375" i="3"/>
  <c r="J7374" i="3"/>
  <c r="J7373" i="3"/>
  <c r="J7372" i="3"/>
  <c r="J7371" i="3"/>
  <c r="J7370" i="3"/>
  <c r="J7369" i="3"/>
  <c r="J7368" i="3"/>
  <c r="J7367" i="3"/>
  <c r="J7366" i="3"/>
  <c r="J7365" i="3"/>
  <c r="J7364" i="3"/>
  <c r="J7363" i="3"/>
  <c r="J7362" i="3"/>
  <c r="J7361" i="3"/>
  <c r="J7360" i="3"/>
  <c r="J7359" i="3"/>
  <c r="J7358" i="3"/>
  <c r="J7357" i="3"/>
  <c r="J7356" i="3"/>
  <c r="J7355" i="3"/>
  <c r="J7354" i="3"/>
  <c r="J7353" i="3"/>
  <c r="J7352" i="3"/>
  <c r="J7351" i="3"/>
  <c r="J7350" i="3"/>
  <c r="J7349" i="3"/>
  <c r="J7348" i="3"/>
  <c r="J7347" i="3"/>
  <c r="J7346" i="3"/>
  <c r="J7345" i="3"/>
  <c r="J7344" i="3"/>
  <c r="J7343" i="3"/>
  <c r="J7342" i="3"/>
  <c r="J7341" i="3"/>
  <c r="J7340" i="3"/>
  <c r="J7339" i="3"/>
  <c r="J7338" i="3"/>
  <c r="J7337" i="3"/>
  <c r="J7336" i="3"/>
  <c r="J7335" i="3"/>
  <c r="J7334" i="3"/>
  <c r="J7333" i="3"/>
  <c r="J7332" i="3"/>
  <c r="J7331" i="3"/>
  <c r="J7330" i="3"/>
  <c r="J7329" i="3"/>
  <c r="J7328" i="3"/>
  <c r="J7327" i="3"/>
  <c r="J7326" i="3"/>
  <c r="J7325" i="3"/>
  <c r="J7324" i="3"/>
  <c r="J7323" i="3"/>
  <c r="J7322" i="3"/>
  <c r="J7321" i="3"/>
  <c r="J7320" i="3"/>
  <c r="J7319" i="3"/>
  <c r="J7318" i="3"/>
  <c r="J7317" i="3"/>
  <c r="J7316" i="3"/>
  <c r="J7315" i="3"/>
  <c r="J7314" i="3"/>
  <c r="J7313" i="3"/>
  <c r="J7312" i="3"/>
  <c r="J7311" i="3"/>
  <c r="J7310" i="3"/>
  <c r="J7309" i="3"/>
  <c r="J7308" i="3"/>
  <c r="J7307" i="3"/>
  <c r="J7306" i="3"/>
  <c r="J7305" i="3"/>
  <c r="J7304" i="3"/>
  <c r="J7303" i="3"/>
  <c r="J7302" i="3"/>
  <c r="J7301" i="3"/>
  <c r="J7300" i="3"/>
  <c r="J7299" i="3"/>
  <c r="J7298" i="3"/>
  <c r="J7297" i="3"/>
  <c r="J7296" i="3"/>
  <c r="J7295" i="3"/>
  <c r="J7294" i="3"/>
  <c r="J7293" i="3"/>
  <c r="J7292" i="3"/>
  <c r="J7291" i="3"/>
  <c r="J7290" i="3"/>
  <c r="J7289" i="3"/>
  <c r="J7288" i="3"/>
  <c r="J7287" i="3"/>
  <c r="J7286" i="3"/>
  <c r="J7285" i="3"/>
  <c r="J7284" i="3"/>
  <c r="J7283" i="3"/>
  <c r="J7282" i="3"/>
  <c r="J7281" i="3"/>
  <c r="J7280" i="3"/>
  <c r="J7279" i="3"/>
  <c r="J7278" i="3"/>
  <c r="J7277" i="3"/>
  <c r="J7276" i="3"/>
  <c r="J7275" i="3"/>
  <c r="J7274" i="3"/>
  <c r="J7273" i="3"/>
  <c r="J7272" i="3"/>
  <c r="J7271" i="3"/>
  <c r="J7270" i="3"/>
  <c r="J7269" i="3"/>
  <c r="J7268" i="3"/>
  <c r="J7267" i="3"/>
  <c r="J7266" i="3"/>
  <c r="J7265" i="3"/>
  <c r="J7264" i="3"/>
  <c r="J7263" i="3"/>
  <c r="J7262" i="3"/>
  <c r="J7261" i="3"/>
  <c r="J7260" i="3"/>
  <c r="J7259" i="3"/>
  <c r="J7258" i="3"/>
  <c r="J7257" i="3"/>
  <c r="J7256" i="3"/>
  <c r="J7255" i="3"/>
  <c r="J7254" i="3"/>
  <c r="J7253" i="3"/>
  <c r="J7252" i="3"/>
  <c r="J7251" i="3"/>
  <c r="J7250" i="3"/>
  <c r="J7249" i="3"/>
  <c r="J7248" i="3"/>
  <c r="J7247" i="3"/>
  <c r="J7246" i="3"/>
  <c r="J7245" i="3"/>
  <c r="J7244" i="3"/>
  <c r="J7243" i="3"/>
  <c r="J7242" i="3"/>
  <c r="J7241" i="3"/>
  <c r="J7240" i="3"/>
  <c r="J7239" i="3"/>
  <c r="J7238" i="3"/>
  <c r="J7237" i="3"/>
  <c r="J7236" i="3"/>
  <c r="J7235" i="3"/>
  <c r="J7234" i="3"/>
  <c r="J7233" i="3"/>
  <c r="J7232" i="3"/>
  <c r="J7231" i="3"/>
  <c r="J7230" i="3"/>
  <c r="J7229" i="3"/>
  <c r="J7228" i="3"/>
  <c r="J7227" i="3"/>
  <c r="J7226" i="3"/>
  <c r="J7225" i="3"/>
  <c r="J7224" i="3"/>
  <c r="J7223" i="3"/>
  <c r="J7222" i="3"/>
  <c r="J7221" i="3"/>
  <c r="J7220" i="3"/>
  <c r="J7219" i="3"/>
  <c r="J7218" i="3"/>
  <c r="J7217" i="3"/>
  <c r="J7216" i="3"/>
  <c r="J7215" i="3"/>
  <c r="J7214" i="3"/>
  <c r="J7213" i="3"/>
  <c r="J7212" i="3"/>
  <c r="J7211" i="3"/>
  <c r="J7210" i="3"/>
  <c r="J7209" i="3"/>
  <c r="J7208" i="3"/>
  <c r="J7207" i="3"/>
  <c r="J7206" i="3"/>
  <c r="J7205" i="3"/>
  <c r="J7204" i="3"/>
  <c r="J7203" i="3"/>
  <c r="J7202" i="3"/>
  <c r="J7201" i="3"/>
  <c r="J7200" i="3"/>
  <c r="J7199" i="3"/>
  <c r="J7198" i="3"/>
  <c r="J7197" i="3"/>
  <c r="J7196" i="3"/>
  <c r="J7195" i="3"/>
  <c r="J7194" i="3"/>
  <c r="J7193" i="3"/>
  <c r="J7192" i="3"/>
  <c r="J7191" i="3"/>
  <c r="J7190" i="3"/>
  <c r="J7189" i="3"/>
  <c r="J7188" i="3"/>
  <c r="J7187" i="3"/>
  <c r="J7186" i="3"/>
  <c r="J7185" i="3"/>
  <c r="J7184" i="3"/>
  <c r="J7183" i="3"/>
  <c r="J7182" i="3"/>
  <c r="J7181" i="3"/>
  <c r="J7180" i="3"/>
  <c r="J7179" i="3"/>
  <c r="J7178" i="3"/>
  <c r="J7177" i="3"/>
  <c r="J7176" i="3"/>
  <c r="J7175" i="3"/>
  <c r="J7174" i="3"/>
  <c r="J7173" i="3"/>
  <c r="J7172" i="3"/>
  <c r="J7171" i="3"/>
  <c r="J7170" i="3"/>
  <c r="J7169" i="3"/>
  <c r="J7168" i="3"/>
  <c r="J7167" i="3"/>
  <c r="J7166" i="3"/>
  <c r="J7165" i="3"/>
  <c r="J7164" i="3"/>
  <c r="J7163" i="3"/>
  <c r="J7162" i="3"/>
  <c r="J7161" i="3"/>
  <c r="J7160" i="3"/>
  <c r="J7159" i="3"/>
  <c r="J7158" i="3"/>
  <c r="J7157" i="3"/>
  <c r="J7156" i="3"/>
  <c r="J7155" i="3"/>
  <c r="J7154" i="3"/>
  <c r="J7153" i="3"/>
  <c r="J7152" i="3"/>
  <c r="J7151" i="3"/>
  <c r="J7150" i="3"/>
  <c r="J7149" i="3"/>
  <c r="J7148" i="3"/>
  <c r="J7147" i="3"/>
  <c r="J7146" i="3"/>
  <c r="J7145" i="3"/>
  <c r="J7144" i="3"/>
  <c r="J7143" i="3"/>
  <c r="J7142" i="3"/>
  <c r="J7141" i="3"/>
  <c r="J7140" i="3"/>
  <c r="J7139" i="3"/>
  <c r="J7138" i="3"/>
  <c r="J7137" i="3"/>
  <c r="J7136" i="3"/>
  <c r="J7135" i="3"/>
  <c r="J7134" i="3"/>
  <c r="J7133" i="3"/>
  <c r="J7132" i="3"/>
  <c r="J7131" i="3"/>
  <c r="J7130" i="3"/>
  <c r="J7129" i="3"/>
  <c r="J7128" i="3"/>
  <c r="J7127" i="3"/>
  <c r="J7126" i="3"/>
  <c r="J7125" i="3"/>
  <c r="J7124" i="3"/>
  <c r="J7123" i="3"/>
  <c r="J7122" i="3"/>
  <c r="J7121" i="3"/>
  <c r="J7120" i="3"/>
  <c r="J7119" i="3"/>
  <c r="J7118" i="3"/>
  <c r="J7117" i="3"/>
  <c r="J7116" i="3"/>
  <c r="J7115" i="3"/>
  <c r="J7114" i="3"/>
  <c r="J7113" i="3"/>
  <c r="J7112" i="3"/>
  <c r="J7111" i="3"/>
  <c r="J7110" i="3"/>
  <c r="J7109" i="3"/>
  <c r="J7108" i="3"/>
  <c r="J7107" i="3"/>
  <c r="J7106" i="3"/>
  <c r="J7105" i="3"/>
  <c r="J7104" i="3"/>
  <c r="J7103" i="3"/>
  <c r="J7102" i="3"/>
  <c r="J7101" i="3"/>
  <c r="J7100" i="3"/>
  <c r="J7099" i="3"/>
  <c r="J7098" i="3"/>
  <c r="J7097" i="3"/>
  <c r="J7096" i="3"/>
  <c r="J7095" i="3"/>
  <c r="J7094" i="3"/>
  <c r="J7093" i="3"/>
  <c r="J7092" i="3"/>
  <c r="J7091" i="3"/>
  <c r="J7090" i="3"/>
  <c r="J7089" i="3"/>
  <c r="J7088" i="3"/>
  <c r="J7087" i="3"/>
  <c r="J7086" i="3"/>
  <c r="J7085" i="3"/>
  <c r="J7084" i="3"/>
  <c r="J7083" i="3"/>
  <c r="J7082" i="3"/>
  <c r="J7081" i="3"/>
  <c r="J7080" i="3"/>
  <c r="J7079" i="3"/>
  <c r="J7078" i="3"/>
  <c r="J7077" i="3"/>
  <c r="J7076" i="3"/>
  <c r="J7075" i="3"/>
  <c r="J7074" i="3"/>
  <c r="J7073" i="3"/>
  <c r="J7072" i="3"/>
  <c r="J7071" i="3"/>
  <c r="J7070" i="3"/>
  <c r="J7069" i="3"/>
  <c r="J7068" i="3"/>
  <c r="J7067" i="3"/>
  <c r="J7066" i="3"/>
  <c r="J7065" i="3"/>
  <c r="J7064" i="3"/>
  <c r="J7063" i="3"/>
  <c r="J7062" i="3"/>
  <c r="J7061" i="3"/>
  <c r="J7060" i="3"/>
  <c r="J7059" i="3"/>
  <c r="J7058" i="3"/>
  <c r="J7057" i="3"/>
  <c r="J7056" i="3"/>
  <c r="J7055" i="3"/>
  <c r="J7054" i="3"/>
  <c r="J7053" i="3"/>
  <c r="J7052" i="3"/>
  <c r="J7051" i="3"/>
  <c r="J7050" i="3"/>
  <c r="J7049" i="3"/>
  <c r="J7048" i="3"/>
  <c r="J7047" i="3"/>
  <c r="J7046" i="3"/>
  <c r="J7045" i="3"/>
  <c r="J7044" i="3"/>
  <c r="J7043" i="3"/>
  <c r="J7042" i="3"/>
  <c r="J7041" i="3"/>
  <c r="J7040" i="3"/>
  <c r="J7039" i="3"/>
  <c r="J7038" i="3"/>
  <c r="J7037" i="3"/>
  <c r="J7036" i="3"/>
  <c r="J7035" i="3"/>
  <c r="J7034" i="3"/>
  <c r="J7033" i="3"/>
  <c r="J7032" i="3"/>
  <c r="J7031" i="3"/>
  <c r="J7030" i="3"/>
  <c r="J7029" i="3"/>
  <c r="J7028" i="3"/>
  <c r="J7027" i="3"/>
  <c r="J7026" i="3"/>
  <c r="J7025" i="3"/>
  <c r="J7024" i="3"/>
  <c r="J7023" i="3"/>
  <c r="J7022" i="3"/>
  <c r="J7021" i="3"/>
  <c r="J7020" i="3"/>
  <c r="J7019" i="3"/>
  <c r="J7018" i="3"/>
  <c r="J7017" i="3"/>
  <c r="J7016" i="3"/>
  <c r="J7015" i="3"/>
  <c r="J7014" i="3"/>
  <c r="J7013" i="3"/>
  <c r="J7012" i="3"/>
  <c r="J7011" i="3"/>
  <c r="J7010" i="3"/>
  <c r="J7009" i="3"/>
  <c r="J7008" i="3"/>
  <c r="J7007" i="3"/>
  <c r="J7006" i="3"/>
  <c r="J7005" i="3"/>
  <c r="J7004" i="3"/>
  <c r="J7003" i="3"/>
  <c r="J7002" i="3"/>
  <c r="J7001" i="3"/>
  <c r="J7000" i="3"/>
  <c r="J6999" i="3"/>
  <c r="J6998" i="3"/>
  <c r="J6997" i="3"/>
  <c r="J6996" i="3"/>
  <c r="J6995" i="3"/>
  <c r="J6994" i="3"/>
  <c r="J6993" i="3"/>
  <c r="J6992" i="3"/>
  <c r="J6991" i="3"/>
  <c r="J6990" i="3"/>
  <c r="J6989" i="3"/>
  <c r="J6988" i="3"/>
  <c r="J6987" i="3"/>
  <c r="J6986" i="3"/>
  <c r="J6985" i="3"/>
  <c r="J6984" i="3"/>
  <c r="J6983" i="3"/>
  <c r="J6982" i="3"/>
  <c r="J6981" i="3"/>
  <c r="J6980" i="3"/>
  <c r="J6979" i="3"/>
  <c r="J6978" i="3"/>
  <c r="J6977" i="3"/>
  <c r="J6976" i="3"/>
  <c r="J6975" i="3"/>
  <c r="J6974" i="3"/>
  <c r="J6973" i="3"/>
  <c r="J6972" i="3"/>
  <c r="J6971" i="3"/>
  <c r="J6970" i="3"/>
  <c r="J6969" i="3"/>
  <c r="J6968" i="3"/>
  <c r="J6967" i="3"/>
  <c r="J6966" i="3"/>
  <c r="J6965" i="3"/>
  <c r="J6964" i="3"/>
  <c r="J6963" i="3"/>
  <c r="J6962" i="3"/>
  <c r="J6961" i="3"/>
  <c r="J6960" i="3"/>
  <c r="J6959" i="3"/>
  <c r="J6958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J6575" i="3"/>
  <c r="J6574" i="3"/>
  <c r="J6573" i="3"/>
  <c r="J6572" i="3"/>
  <c r="J6571" i="3"/>
  <c r="J6570" i="3"/>
  <c r="J6569" i="3"/>
  <c r="J6568" i="3"/>
  <c r="J6567" i="3"/>
  <c r="J6566" i="3"/>
  <c r="J6565" i="3"/>
  <c r="J6564" i="3"/>
  <c r="J6563" i="3"/>
  <c r="J6562" i="3"/>
  <c r="J6561" i="3"/>
  <c r="J6560" i="3"/>
  <c r="J6559" i="3"/>
  <c r="J6558" i="3"/>
  <c r="J6557" i="3"/>
  <c r="J6556" i="3"/>
  <c r="J6555" i="3"/>
  <c r="J6554" i="3"/>
  <c r="J6553" i="3"/>
  <c r="J6552" i="3"/>
  <c r="J6551" i="3"/>
  <c r="J6550" i="3"/>
  <c r="J6549" i="3"/>
  <c r="J6548" i="3"/>
  <c r="J6547" i="3"/>
  <c r="J6546" i="3"/>
  <c r="J6545" i="3"/>
  <c r="J6544" i="3"/>
  <c r="J6543" i="3"/>
  <c r="J6542" i="3"/>
  <c r="J6541" i="3"/>
  <c r="J6540" i="3"/>
  <c r="J6539" i="3"/>
  <c r="J6538" i="3"/>
  <c r="J6537" i="3"/>
  <c r="J6536" i="3"/>
  <c r="J6535" i="3"/>
  <c r="J6534" i="3"/>
  <c r="J6533" i="3"/>
  <c r="J6532" i="3"/>
  <c r="J6531" i="3"/>
  <c r="J6530" i="3"/>
  <c r="J6529" i="3"/>
  <c r="J6528" i="3"/>
  <c r="J6527" i="3"/>
  <c r="J6526" i="3"/>
  <c r="J6525" i="3"/>
  <c r="J6524" i="3"/>
  <c r="J6523" i="3"/>
  <c r="J6522" i="3"/>
  <c r="J6521" i="3"/>
  <c r="J6520" i="3"/>
  <c r="J6519" i="3"/>
  <c r="J6518" i="3"/>
  <c r="J6517" i="3"/>
  <c r="J6516" i="3"/>
  <c r="J6515" i="3"/>
  <c r="J6514" i="3"/>
  <c r="J6513" i="3"/>
  <c r="J6512" i="3"/>
  <c r="J6511" i="3"/>
  <c r="J6510" i="3"/>
  <c r="J6509" i="3"/>
  <c r="J6508" i="3"/>
  <c r="J6507" i="3"/>
  <c r="J6506" i="3"/>
  <c r="J6505" i="3"/>
  <c r="J6504" i="3"/>
  <c r="J6503" i="3"/>
  <c r="J6502" i="3"/>
  <c r="J6501" i="3"/>
  <c r="J6500" i="3"/>
  <c r="J6499" i="3"/>
  <c r="J6498" i="3"/>
  <c r="J6497" i="3"/>
  <c r="J6496" i="3"/>
  <c r="J6495" i="3"/>
  <c r="J6494" i="3"/>
  <c r="J6493" i="3"/>
  <c r="J6492" i="3"/>
  <c r="J6491" i="3"/>
  <c r="J6490" i="3"/>
  <c r="J6489" i="3"/>
  <c r="J6488" i="3"/>
  <c r="J6487" i="3"/>
  <c r="J6486" i="3"/>
  <c r="J6485" i="3"/>
  <c r="J6484" i="3"/>
  <c r="J6483" i="3"/>
  <c r="J6482" i="3"/>
  <c r="J6481" i="3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408" i="3"/>
  <c r="J6407" i="3"/>
  <c r="J6406" i="3"/>
  <c r="J6405" i="3"/>
  <c r="J6404" i="3"/>
  <c r="J6403" i="3"/>
  <c r="J6402" i="3"/>
  <c r="J6401" i="3"/>
  <c r="J6400" i="3"/>
  <c r="J6399" i="3"/>
  <c r="J6398" i="3"/>
  <c r="J6397" i="3"/>
  <c r="J6396" i="3"/>
  <c r="J6395" i="3"/>
  <c r="J6394" i="3"/>
  <c r="J6393" i="3"/>
  <c r="J6392" i="3"/>
  <c r="J6391" i="3"/>
  <c r="J6390" i="3"/>
  <c r="J6389" i="3"/>
  <c r="J6388" i="3"/>
  <c r="J6387" i="3"/>
  <c r="J6386" i="3"/>
  <c r="J6385" i="3"/>
  <c r="J6384" i="3"/>
  <c r="J6383" i="3"/>
  <c r="J6382" i="3"/>
  <c r="J6381" i="3"/>
  <c r="J6380" i="3"/>
  <c r="J6379" i="3"/>
  <c r="J6378" i="3"/>
  <c r="J6377" i="3"/>
  <c r="J6376" i="3"/>
  <c r="J6375" i="3"/>
  <c r="J6374" i="3"/>
  <c r="J6373" i="3"/>
  <c r="J6372" i="3"/>
  <c r="J6371" i="3"/>
  <c r="J6370" i="3"/>
  <c r="J6369" i="3"/>
  <c r="J6368" i="3"/>
  <c r="J6367" i="3"/>
  <c r="J6366" i="3"/>
  <c r="J6365" i="3"/>
  <c r="J6364" i="3"/>
  <c r="J6363" i="3"/>
  <c r="J6362" i="3"/>
  <c r="J6361" i="3"/>
  <c r="J6360" i="3"/>
  <c r="J6359" i="3"/>
  <c r="J6358" i="3"/>
  <c r="J6357" i="3"/>
  <c r="J6356" i="3"/>
  <c r="J6355" i="3"/>
  <c r="J6354" i="3"/>
  <c r="J6353" i="3"/>
  <c r="J6352" i="3"/>
  <c r="J6351" i="3"/>
  <c r="J6350" i="3"/>
  <c r="J6349" i="3"/>
  <c r="J6348" i="3"/>
  <c r="J6347" i="3"/>
  <c r="J6346" i="3"/>
  <c r="J6345" i="3"/>
  <c r="J6344" i="3"/>
  <c r="J6343" i="3"/>
  <c r="J6342" i="3"/>
  <c r="J6341" i="3"/>
  <c r="J6340" i="3"/>
  <c r="J6339" i="3"/>
  <c r="J6338" i="3"/>
  <c r="J6337" i="3"/>
  <c r="J6336" i="3"/>
  <c r="J6335" i="3"/>
  <c r="J6334" i="3"/>
  <c r="J6333" i="3"/>
  <c r="J6332" i="3"/>
  <c r="J6331" i="3"/>
  <c r="J6330" i="3"/>
  <c r="J6329" i="3"/>
  <c r="J6328" i="3"/>
  <c r="J6327" i="3"/>
  <c r="J6326" i="3"/>
  <c r="J6325" i="3"/>
  <c r="J6324" i="3"/>
  <c r="J6323" i="3"/>
  <c r="J6322" i="3"/>
  <c r="J6321" i="3"/>
  <c r="J6320" i="3"/>
  <c r="J6319" i="3"/>
  <c r="J6318" i="3"/>
  <c r="J6317" i="3"/>
  <c r="J6316" i="3"/>
  <c r="J6315" i="3"/>
  <c r="J6314" i="3"/>
  <c r="J6313" i="3"/>
  <c r="J6312" i="3"/>
  <c r="J6311" i="3"/>
  <c r="J6310" i="3"/>
  <c r="J6309" i="3"/>
  <c r="J6308" i="3"/>
  <c r="J6307" i="3"/>
  <c r="J6306" i="3"/>
  <c r="J6305" i="3"/>
  <c r="J6304" i="3"/>
  <c r="J6303" i="3"/>
  <c r="J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28" i="3"/>
  <c r="J6227" i="3"/>
  <c r="J6226" i="3"/>
  <c r="J6225" i="3"/>
  <c r="J6224" i="3"/>
  <c r="J6223" i="3"/>
  <c r="J6222" i="3"/>
  <c r="J6221" i="3"/>
  <c r="J6220" i="3"/>
  <c r="J6219" i="3"/>
  <c r="J6218" i="3"/>
  <c r="J6217" i="3"/>
  <c r="J6216" i="3"/>
  <c r="J6215" i="3"/>
  <c r="J6214" i="3"/>
  <c r="J6213" i="3"/>
  <c r="J6212" i="3"/>
  <c r="J6211" i="3"/>
  <c r="J6210" i="3"/>
  <c r="J6209" i="3"/>
  <c r="J6208" i="3"/>
  <c r="J6207" i="3"/>
  <c r="J6206" i="3"/>
  <c r="J6205" i="3"/>
  <c r="J6204" i="3"/>
  <c r="J6203" i="3"/>
  <c r="J6202" i="3"/>
  <c r="J6201" i="3"/>
  <c r="J6200" i="3"/>
  <c r="J6199" i="3"/>
  <c r="J6198" i="3"/>
  <c r="J6197" i="3"/>
  <c r="J6196" i="3"/>
  <c r="J6195" i="3"/>
  <c r="J6194" i="3"/>
  <c r="J6193" i="3"/>
  <c r="J6192" i="3"/>
  <c r="J6191" i="3"/>
  <c r="J6190" i="3"/>
  <c r="J6189" i="3"/>
  <c r="J6188" i="3"/>
  <c r="J6187" i="3"/>
  <c r="J6186" i="3"/>
  <c r="J6185" i="3"/>
  <c r="J6184" i="3"/>
  <c r="J6183" i="3"/>
  <c r="J6182" i="3"/>
  <c r="J6181" i="3"/>
  <c r="J6180" i="3"/>
  <c r="J6179" i="3"/>
  <c r="J6178" i="3"/>
  <c r="J6177" i="3"/>
  <c r="J6176" i="3"/>
  <c r="J6175" i="3"/>
  <c r="J6174" i="3"/>
  <c r="J6173" i="3"/>
  <c r="J6172" i="3"/>
  <c r="J6171" i="3"/>
  <c r="J6170" i="3"/>
  <c r="J6169" i="3"/>
  <c r="J6168" i="3"/>
  <c r="J6167" i="3"/>
  <c r="J6166" i="3"/>
  <c r="J6165" i="3"/>
  <c r="J6164" i="3"/>
  <c r="J6163" i="3"/>
  <c r="J6162" i="3"/>
  <c r="J6161" i="3"/>
  <c r="J6160" i="3"/>
  <c r="J6159" i="3"/>
  <c r="J6158" i="3"/>
  <c r="J6157" i="3"/>
  <c r="J6156" i="3"/>
  <c r="J6155" i="3"/>
  <c r="J6154" i="3"/>
  <c r="J6153" i="3"/>
  <c r="J6152" i="3"/>
  <c r="J6151" i="3"/>
  <c r="J6150" i="3"/>
  <c r="J6149" i="3"/>
  <c r="J6148" i="3"/>
  <c r="J6147" i="3"/>
  <c r="J6146" i="3"/>
  <c r="J6145" i="3"/>
  <c r="J6144" i="3"/>
  <c r="J6143" i="3"/>
  <c r="J6142" i="3"/>
  <c r="J6141" i="3"/>
  <c r="J6140" i="3"/>
  <c r="J6139" i="3"/>
  <c r="J6138" i="3"/>
  <c r="J6137" i="3"/>
  <c r="J6136" i="3"/>
  <c r="J6135" i="3"/>
  <c r="J6134" i="3"/>
  <c r="J6133" i="3"/>
  <c r="J6132" i="3"/>
  <c r="J6131" i="3"/>
  <c r="J6130" i="3"/>
  <c r="J6129" i="3"/>
  <c r="J6128" i="3"/>
  <c r="J6127" i="3"/>
  <c r="J6126" i="3"/>
  <c r="J6125" i="3"/>
  <c r="J6124" i="3"/>
  <c r="J6123" i="3"/>
  <c r="J6122" i="3"/>
  <c r="J6121" i="3"/>
  <c r="J6120" i="3"/>
  <c r="J6119" i="3"/>
  <c r="J6118" i="3"/>
  <c r="J6117" i="3"/>
  <c r="J6116" i="3"/>
  <c r="J6115" i="3"/>
  <c r="J6114" i="3"/>
  <c r="J6113" i="3"/>
  <c r="J6112" i="3"/>
  <c r="J6111" i="3"/>
  <c r="J6110" i="3"/>
  <c r="J6109" i="3"/>
  <c r="J6108" i="3"/>
  <c r="J6107" i="3"/>
  <c r="J6106" i="3"/>
  <c r="J6105" i="3"/>
  <c r="J6104" i="3"/>
  <c r="J6103" i="3"/>
  <c r="J6102" i="3"/>
  <c r="J6101" i="3"/>
  <c r="J6100" i="3"/>
  <c r="J6099" i="3"/>
  <c r="J6098" i="3"/>
  <c r="J6097" i="3"/>
  <c r="J6096" i="3"/>
  <c r="J6095" i="3"/>
  <c r="J6094" i="3"/>
  <c r="J6093" i="3"/>
  <c r="J6092" i="3"/>
  <c r="J6091" i="3"/>
  <c r="J6090" i="3"/>
  <c r="J6089" i="3"/>
  <c r="J6088" i="3"/>
  <c r="J6087" i="3"/>
  <c r="J6086" i="3"/>
  <c r="J6085" i="3"/>
  <c r="J6084" i="3"/>
  <c r="J6083" i="3"/>
  <c r="J6082" i="3"/>
  <c r="J6081" i="3"/>
  <c r="J6080" i="3"/>
  <c r="J6079" i="3"/>
  <c r="J6078" i="3"/>
  <c r="J6077" i="3"/>
  <c r="J6076" i="3"/>
  <c r="J6075" i="3"/>
  <c r="J6074" i="3"/>
  <c r="J6073" i="3"/>
  <c r="J6072" i="3"/>
  <c r="J6071" i="3"/>
  <c r="J6070" i="3"/>
  <c r="J6069" i="3"/>
  <c r="J6068" i="3"/>
  <c r="J6067" i="3"/>
  <c r="J6066" i="3"/>
  <c r="J6065" i="3"/>
  <c r="J6064" i="3"/>
  <c r="J6063" i="3"/>
  <c r="J6062" i="3"/>
  <c r="J6061" i="3"/>
  <c r="J6060" i="3"/>
  <c r="J6059" i="3"/>
  <c r="J6058" i="3"/>
  <c r="J6057" i="3"/>
  <c r="J6056" i="3"/>
  <c r="J6055" i="3"/>
  <c r="J6054" i="3"/>
  <c r="J6053" i="3"/>
  <c r="J6052" i="3"/>
  <c r="J6051" i="3"/>
  <c r="J6050" i="3"/>
  <c r="J6049" i="3"/>
  <c r="J6048" i="3"/>
  <c r="J6047" i="3"/>
  <c r="J6046" i="3"/>
  <c r="J6045" i="3"/>
  <c r="J6044" i="3"/>
  <c r="J6043" i="3"/>
  <c r="J6042" i="3"/>
  <c r="J6041" i="3"/>
  <c r="J6040" i="3"/>
  <c r="J6039" i="3"/>
  <c r="J6038" i="3"/>
  <c r="J6037" i="3"/>
  <c r="J6036" i="3"/>
  <c r="J6035" i="3"/>
  <c r="J6034" i="3"/>
  <c r="J6033" i="3"/>
  <c r="J6032" i="3"/>
  <c r="J6031" i="3"/>
  <c r="J6030" i="3"/>
  <c r="J6029" i="3"/>
  <c r="J6028" i="3"/>
  <c r="J6027" i="3"/>
  <c r="J6026" i="3"/>
  <c r="J6025" i="3"/>
  <c r="J6024" i="3"/>
  <c r="J6023" i="3"/>
  <c r="J6022" i="3"/>
  <c r="J6021" i="3"/>
  <c r="J6020" i="3"/>
  <c r="J6019" i="3"/>
  <c r="J6018" i="3"/>
  <c r="J6017" i="3"/>
  <c r="J6016" i="3"/>
  <c r="J6015" i="3"/>
  <c r="J6014" i="3"/>
  <c r="J6013" i="3"/>
  <c r="J6012" i="3"/>
  <c r="J6011" i="3"/>
  <c r="J6010" i="3"/>
  <c r="J6009" i="3"/>
  <c r="J6008" i="3"/>
  <c r="J6007" i="3"/>
  <c r="J6006" i="3"/>
  <c r="J6005" i="3"/>
  <c r="J6004" i="3"/>
  <c r="J6003" i="3"/>
  <c r="J6002" i="3"/>
  <c r="J6001" i="3"/>
  <c r="J6000" i="3"/>
  <c r="J5999" i="3"/>
  <c r="J5998" i="3"/>
  <c r="J5997" i="3"/>
  <c r="J5996" i="3"/>
  <c r="J5995" i="3"/>
  <c r="J5994" i="3"/>
  <c r="J5993" i="3"/>
  <c r="J5992" i="3"/>
  <c r="J5991" i="3"/>
  <c r="J5990" i="3"/>
  <c r="J5989" i="3"/>
  <c r="J5988" i="3"/>
  <c r="J5987" i="3"/>
  <c r="J5986" i="3"/>
  <c r="J5985" i="3"/>
  <c r="J5984" i="3"/>
  <c r="J5983" i="3"/>
  <c r="J5982" i="3"/>
  <c r="J5981" i="3"/>
  <c r="J5980" i="3"/>
  <c r="J5979" i="3"/>
  <c r="J5978" i="3"/>
  <c r="J5977" i="3"/>
  <c r="J5976" i="3"/>
  <c r="J5975" i="3"/>
  <c r="J5974" i="3"/>
  <c r="J5973" i="3"/>
  <c r="J5972" i="3"/>
  <c r="J5971" i="3"/>
  <c r="J5970" i="3"/>
  <c r="J5969" i="3"/>
  <c r="J5968" i="3"/>
  <c r="J5967" i="3"/>
  <c r="J5966" i="3"/>
  <c r="J5965" i="3"/>
  <c r="J5964" i="3"/>
  <c r="J5963" i="3"/>
  <c r="J5962" i="3"/>
  <c r="J5961" i="3"/>
  <c r="J5960" i="3"/>
  <c r="J5959" i="3"/>
  <c r="J5958" i="3"/>
  <c r="J5957" i="3"/>
  <c r="J5956" i="3"/>
  <c r="J5955" i="3"/>
  <c r="J5954" i="3"/>
  <c r="J5953" i="3"/>
  <c r="J5952" i="3"/>
  <c r="J5951" i="3"/>
  <c r="J5950" i="3"/>
  <c r="J5949" i="3"/>
  <c r="J5948" i="3"/>
  <c r="J5947" i="3"/>
  <c r="J5946" i="3"/>
  <c r="J5945" i="3"/>
  <c r="J5944" i="3"/>
  <c r="J5943" i="3"/>
  <c r="J5942" i="3"/>
  <c r="J5941" i="3"/>
  <c r="J5940" i="3"/>
  <c r="J5939" i="3"/>
  <c r="J5938" i="3"/>
  <c r="J5937" i="3"/>
  <c r="J5936" i="3"/>
  <c r="J5935" i="3"/>
  <c r="J5934" i="3"/>
  <c r="J5933" i="3"/>
  <c r="J5932" i="3"/>
  <c r="J5931" i="3"/>
  <c r="J5930" i="3"/>
  <c r="J5929" i="3"/>
  <c r="J5928" i="3"/>
  <c r="J5927" i="3"/>
  <c r="J5926" i="3"/>
  <c r="J5925" i="3"/>
  <c r="J5924" i="3"/>
  <c r="J5923" i="3"/>
  <c r="J5922" i="3"/>
  <c r="J5921" i="3"/>
  <c r="J5920" i="3"/>
  <c r="J5919" i="3"/>
  <c r="J5918" i="3"/>
  <c r="J5917" i="3"/>
  <c r="J5916" i="3"/>
  <c r="J5915" i="3"/>
  <c r="J5914" i="3"/>
  <c r="J5913" i="3"/>
  <c r="J5912" i="3"/>
  <c r="J5911" i="3"/>
  <c r="J5910" i="3"/>
  <c r="J5909" i="3"/>
  <c r="J5908" i="3"/>
  <c r="J5907" i="3"/>
  <c r="J5906" i="3"/>
  <c r="J5905" i="3"/>
  <c r="J5904" i="3"/>
  <c r="J5903" i="3"/>
  <c r="J5902" i="3"/>
  <c r="J5901" i="3"/>
  <c r="J5900" i="3"/>
  <c r="J5899" i="3"/>
  <c r="J5898" i="3"/>
  <c r="J5897" i="3"/>
  <c r="J5896" i="3"/>
  <c r="J5895" i="3"/>
  <c r="J5894" i="3"/>
  <c r="J5893" i="3"/>
  <c r="J5892" i="3"/>
  <c r="J5891" i="3"/>
  <c r="J5890" i="3"/>
  <c r="J5889" i="3"/>
  <c r="J5888" i="3"/>
  <c r="J5887" i="3"/>
  <c r="J5886" i="3"/>
  <c r="J5885" i="3"/>
  <c r="J5884" i="3"/>
  <c r="J5883" i="3"/>
  <c r="J5882" i="3"/>
  <c r="J5881" i="3"/>
  <c r="J5880" i="3"/>
  <c r="J5879" i="3"/>
  <c r="J5878" i="3"/>
  <c r="J5877" i="3"/>
  <c r="J5876" i="3"/>
  <c r="J5875" i="3"/>
  <c r="J5874" i="3"/>
  <c r="J5873" i="3"/>
  <c r="J5872" i="3"/>
  <c r="J5871" i="3"/>
  <c r="J5870" i="3"/>
  <c r="J5869" i="3"/>
  <c r="J5868" i="3"/>
  <c r="J5867" i="3"/>
  <c r="J5866" i="3"/>
  <c r="J5865" i="3"/>
  <c r="J5864" i="3"/>
  <c r="J5863" i="3"/>
  <c r="J5862" i="3"/>
  <c r="J5861" i="3"/>
  <c r="J5860" i="3"/>
  <c r="J5859" i="3"/>
  <c r="J5858" i="3"/>
  <c r="J5857" i="3"/>
  <c r="J5856" i="3"/>
  <c r="J5855" i="3"/>
  <c r="J5854" i="3"/>
  <c r="J5853" i="3"/>
  <c r="J5852" i="3"/>
  <c r="J5851" i="3"/>
  <c r="J5850" i="3"/>
  <c r="J5849" i="3"/>
  <c r="J5848" i="3"/>
  <c r="J5847" i="3"/>
  <c r="J5846" i="3"/>
  <c r="J5845" i="3"/>
  <c r="J5844" i="3"/>
  <c r="J5843" i="3"/>
  <c r="J5842" i="3"/>
  <c r="J5841" i="3"/>
  <c r="J5840" i="3"/>
  <c r="J5839" i="3"/>
  <c r="J5838" i="3"/>
  <c r="J5837" i="3"/>
  <c r="J5836" i="3"/>
  <c r="J5835" i="3"/>
  <c r="J5834" i="3"/>
  <c r="J5833" i="3"/>
  <c r="J5832" i="3"/>
  <c r="J5831" i="3"/>
  <c r="J5830" i="3"/>
  <c r="J5829" i="3"/>
  <c r="J5828" i="3"/>
  <c r="J5827" i="3"/>
  <c r="J5826" i="3"/>
  <c r="J5825" i="3"/>
  <c r="J5824" i="3"/>
  <c r="J5823" i="3"/>
  <c r="J5822" i="3"/>
  <c r="J5821" i="3"/>
  <c r="J5820" i="3"/>
  <c r="J5819" i="3"/>
  <c r="J5818" i="3"/>
  <c r="J5817" i="3"/>
  <c r="J5816" i="3"/>
  <c r="J5815" i="3"/>
  <c r="J5814" i="3"/>
  <c r="J5813" i="3"/>
  <c r="J5812" i="3"/>
  <c r="J5811" i="3"/>
  <c r="J5810" i="3"/>
  <c r="J5809" i="3"/>
  <c r="J5808" i="3"/>
  <c r="J5807" i="3"/>
  <c r="J5806" i="3"/>
  <c r="J5805" i="3"/>
  <c r="J5804" i="3"/>
  <c r="J5803" i="3"/>
  <c r="J5802" i="3"/>
  <c r="J5801" i="3"/>
  <c r="J5800" i="3"/>
  <c r="J5799" i="3"/>
  <c r="J5798" i="3"/>
  <c r="J5797" i="3"/>
  <c r="J5796" i="3"/>
  <c r="J5795" i="3"/>
  <c r="J5794" i="3"/>
  <c r="J5793" i="3"/>
  <c r="J5792" i="3"/>
  <c r="J5791" i="3"/>
  <c r="J5790" i="3"/>
  <c r="J5789" i="3"/>
  <c r="J5788" i="3"/>
  <c r="J5787" i="3"/>
  <c r="J5786" i="3"/>
  <c r="J5785" i="3"/>
  <c r="J5784" i="3"/>
  <c r="J5783" i="3"/>
  <c r="J5782" i="3"/>
  <c r="J5781" i="3"/>
  <c r="J5780" i="3"/>
  <c r="J5779" i="3"/>
  <c r="J5778" i="3"/>
  <c r="J5777" i="3"/>
  <c r="J5776" i="3"/>
  <c r="J5775" i="3"/>
  <c r="J5774" i="3"/>
  <c r="J5773" i="3"/>
  <c r="J5772" i="3"/>
  <c r="J5771" i="3"/>
  <c r="J5770" i="3"/>
  <c r="J5769" i="3"/>
  <c r="J5768" i="3"/>
  <c r="J5767" i="3"/>
  <c r="J5766" i="3"/>
  <c r="J5765" i="3"/>
  <c r="J5764" i="3"/>
  <c r="J5763" i="3"/>
  <c r="J5762" i="3"/>
  <c r="J5761" i="3"/>
  <c r="J5760" i="3"/>
  <c r="J5759" i="3"/>
  <c r="J5758" i="3"/>
  <c r="J5757" i="3"/>
  <c r="J5756" i="3"/>
  <c r="J5755" i="3"/>
  <c r="J5754" i="3"/>
  <c r="J5753" i="3"/>
  <c r="J5752" i="3"/>
  <c r="J5751" i="3"/>
  <c r="J5750" i="3"/>
  <c r="J5749" i="3"/>
  <c r="J5748" i="3"/>
  <c r="J5747" i="3"/>
  <c r="J5746" i="3"/>
  <c r="J5745" i="3"/>
  <c r="J5744" i="3"/>
  <c r="J5743" i="3"/>
  <c r="J5742" i="3"/>
  <c r="J5741" i="3"/>
  <c r="J5740" i="3"/>
  <c r="J5739" i="3"/>
  <c r="J5738" i="3"/>
  <c r="J5737" i="3"/>
  <c r="J5736" i="3"/>
  <c r="J5735" i="3"/>
  <c r="J5734" i="3"/>
  <c r="J5733" i="3"/>
  <c r="J5732" i="3"/>
  <c r="J5731" i="3"/>
  <c r="J5730" i="3"/>
  <c r="J5729" i="3"/>
  <c r="J5728" i="3"/>
  <c r="J5727" i="3"/>
  <c r="J5726" i="3"/>
  <c r="J5725" i="3"/>
  <c r="J5724" i="3"/>
  <c r="J5723" i="3"/>
  <c r="J5722" i="3"/>
  <c r="J5721" i="3"/>
  <c r="J5720" i="3"/>
  <c r="J5719" i="3"/>
  <c r="J5718" i="3"/>
  <c r="J5717" i="3"/>
  <c r="J5716" i="3"/>
  <c r="J5715" i="3"/>
  <c r="J5714" i="3"/>
  <c r="J5713" i="3"/>
  <c r="J5712" i="3"/>
  <c r="J5711" i="3"/>
  <c r="J5710" i="3"/>
  <c r="J5709" i="3"/>
  <c r="J5708" i="3"/>
  <c r="J5707" i="3"/>
  <c r="J5706" i="3"/>
  <c r="J5705" i="3"/>
  <c r="J5704" i="3"/>
  <c r="J5703" i="3"/>
  <c r="J5702" i="3"/>
  <c r="J5701" i="3"/>
  <c r="J5700" i="3"/>
  <c r="J5699" i="3"/>
  <c r="J5698" i="3"/>
  <c r="J5697" i="3"/>
  <c r="J5696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31" i="3"/>
  <c r="J5530" i="3"/>
  <c r="J5529" i="3"/>
  <c r="J5528" i="3"/>
  <c r="J5527" i="3"/>
  <c r="J5526" i="3"/>
  <c r="J5525" i="3"/>
  <c r="J5524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J12663" i="2"/>
  <c r="J12662" i="2"/>
  <c r="J12661" i="2"/>
  <c r="J12660" i="2"/>
  <c r="J12659" i="2"/>
  <c r="J12658" i="2"/>
  <c r="J12657" i="2"/>
  <c r="J12656" i="2"/>
  <c r="J12655" i="2"/>
  <c r="J12654" i="2"/>
  <c r="J12653" i="2"/>
  <c r="J12652" i="2"/>
  <c r="J12651" i="2"/>
  <c r="J12650" i="2"/>
  <c r="J12649" i="2"/>
  <c r="J12648" i="2"/>
  <c r="J12647" i="2"/>
  <c r="J12646" i="2"/>
  <c r="J12645" i="2"/>
  <c r="J12644" i="2"/>
  <c r="J12643" i="2"/>
  <c r="J12642" i="2"/>
  <c r="J12641" i="2"/>
  <c r="J12640" i="2"/>
  <c r="J12639" i="2"/>
  <c r="J12638" i="2"/>
  <c r="J12637" i="2"/>
  <c r="J12636" i="2"/>
  <c r="J12635" i="2"/>
  <c r="J12634" i="2"/>
  <c r="J12633" i="2"/>
  <c r="J12632" i="2"/>
  <c r="J12631" i="2"/>
  <c r="J12630" i="2"/>
  <c r="J12629" i="2"/>
  <c r="J12628" i="2"/>
  <c r="J12627" i="2"/>
  <c r="J12626" i="2"/>
  <c r="J12625" i="2"/>
  <c r="J12624" i="2"/>
  <c r="J12623" i="2"/>
  <c r="J12622" i="2"/>
  <c r="J12621" i="2"/>
  <c r="J12620" i="2"/>
  <c r="J12619" i="2"/>
  <c r="J12618" i="2"/>
  <c r="J12617" i="2"/>
  <c r="J12616" i="2"/>
  <c r="J12615" i="2"/>
  <c r="J12614" i="2"/>
  <c r="J12613" i="2"/>
  <c r="J12612" i="2"/>
  <c r="J12611" i="2"/>
  <c r="J12610" i="2"/>
  <c r="J12609" i="2"/>
  <c r="J12608" i="2"/>
  <c r="J12607" i="2"/>
  <c r="J12606" i="2"/>
  <c r="J12605" i="2"/>
  <c r="J12604" i="2"/>
  <c r="J12603" i="2"/>
  <c r="J12602" i="2"/>
  <c r="J12601" i="2"/>
  <c r="J12600" i="2"/>
  <c r="J12599" i="2"/>
  <c r="J12598" i="2"/>
  <c r="J12597" i="2"/>
  <c r="J12596" i="2"/>
  <c r="J12595" i="2"/>
  <c r="J12594" i="2"/>
  <c r="J12593" i="2"/>
  <c r="J12592" i="2"/>
  <c r="J12591" i="2"/>
  <c r="J12590" i="2"/>
  <c r="J12589" i="2"/>
  <c r="J12588" i="2"/>
  <c r="J12587" i="2"/>
  <c r="J12586" i="2"/>
  <c r="J12585" i="2"/>
  <c r="J12584" i="2"/>
  <c r="J12583" i="2"/>
  <c r="J12582" i="2"/>
  <c r="J12581" i="2"/>
  <c r="J12580" i="2"/>
  <c r="J12579" i="2"/>
  <c r="J12578" i="2"/>
  <c r="J12577" i="2"/>
  <c r="J12576" i="2"/>
  <c r="J12575" i="2"/>
  <c r="J12574" i="2"/>
  <c r="J12573" i="2"/>
  <c r="J12572" i="2"/>
  <c r="J12571" i="2"/>
  <c r="J12570" i="2"/>
  <c r="J12569" i="2"/>
  <c r="J12568" i="2"/>
  <c r="J12567" i="2"/>
  <c r="J12566" i="2"/>
  <c r="J12565" i="2"/>
  <c r="J12564" i="2"/>
  <c r="J12563" i="2"/>
  <c r="J12562" i="2"/>
  <c r="J12561" i="2"/>
  <c r="J12560" i="2"/>
  <c r="J12559" i="2"/>
  <c r="J12558" i="2"/>
  <c r="J12557" i="2"/>
  <c r="J12556" i="2"/>
  <c r="J12555" i="2"/>
  <c r="J12554" i="2"/>
  <c r="J12553" i="2"/>
  <c r="J12552" i="2"/>
  <c r="J12551" i="2"/>
  <c r="J12550" i="2"/>
  <c r="J12549" i="2"/>
  <c r="J12548" i="2"/>
  <c r="J12547" i="2"/>
  <c r="J12546" i="2"/>
  <c r="J12545" i="2"/>
  <c r="J12544" i="2"/>
  <c r="J12543" i="2"/>
  <c r="J12542" i="2"/>
  <c r="J12541" i="2"/>
  <c r="J12540" i="2"/>
  <c r="J12539" i="2"/>
  <c r="J12538" i="2"/>
  <c r="J12537" i="2"/>
  <c r="J12536" i="2"/>
  <c r="J12535" i="2"/>
  <c r="J12534" i="2"/>
  <c r="J12533" i="2"/>
  <c r="J12532" i="2"/>
  <c r="J12531" i="2"/>
  <c r="J12530" i="2"/>
  <c r="J12529" i="2"/>
  <c r="J12528" i="2"/>
  <c r="J12527" i="2"/>
  <c r="J12526" i="2"/>
  <c r="J12525" i="2"/>
  <c r="J12524" i="2"/>
  <c r="J12523" i="2"/>
  <c r="J12522" i="2"/>
  <c r="J12521" i="2"/>
  <c r="J12520" i="2"/>
  <c r="J12519" i="2"/>
  <c r="J12518" i="2"/>
  <c r="J12517" i="2"/>
  <c r="J12516" i="2"/>
  <c r="J12515" i="2"/>
  <c r="J12514" i="2"/>
  <c r="J12513" i="2"/>
  <c r="J12512" i="2"/>
  <c r="J12511" i="2"/>
  <c r="J12510" i="2"/>
  <c r="J12509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J12497" i="2"/>
  <c r="J12496" i="2"/>
  <c r="J12495" i="2"/>
  <c r="J12494" i="2"/>
  <c r="J12493" i="2"/>
  <c r="J12492" i="2"/>
  <c r="J12491" i="2"/>
  <c r="J12490" i="2"/>
  <c r="J12489" i="2"/>
  <c r="J12488" i="2"/>
  <c r="J12487" i="2"/>
  <c r="J12486" i="2"/>
  <c r="J12485" i="2"/>
  <c r="J12484" i="2"/>
  <c r="J12483" i="2"/>
  <c r="J12482" i="2"/>
  <c r="J12481" i="2"/>
  <c r="J12480" i="2"/>
  <c r="J12479" i="2"/>
  <c r="J12478" i="2"/>
  <c r="J12477" i="2"/>
  <c r="J12476" i="2"/>
  <c r="J12475" i="2"/>
  <c r="J12474" i="2"/>
  <c r="J12473" i="2"/>
  <c r="J12472" i="2"/>
  <c r="J12471" i="2"/>
  <c r="J12470" i="2"/>
  <c r="J12469" i="2"/>
  <c r="J12468" i="2"/>
  <c r="J12467" i="2"/>
  <c r="J12466" i="2"/>
  <c r="J12465" i="2"/>
  <c r="J12464" i="2"/>
  <c r="J12463" i="2"/>
  <c r="J12462" i="2"/>
  <c r="J12461" i="2"/>
  <c r="J12460" i="2"/>
  <c r="J12459" i="2"/>
  <c r="J12458" i="2"/>
  <c r="J12457" i="2"/>
  <c r="J12456" i="2"/>
  <c r="J12455" i="2"/>
  <c r="J12454" i="2"/>
  <c r="J12453" i="2"/>
  <c r="J12452" i="2"/>
  <c r="J12451" i="2"/>
  <c r="J12450" i="2"/>
  <c r="J12449" i="2"/>
  <c r="J12448" i="2"/>
  <c r="J12447" i="2"/>
  <c r="J12446" i="2"/>
  <c r="J12445" i="2"/>
  <c r="J12444" i="2"/>
  <c r="J12443" i="2"/>
  <c r="J12442" i="2"/>
  <c r="J12441" i="2"/>
  <c r="J12440" i="2"/>
  <c r="J12439" i="2"/>
  <c r="J12438" i="2"/>
  <c r="J12437" i="2"/>
  <c r="J12436" i="2"/>
  <c r="J12435" i="2"/>
  <c r="J12434" i="2"/>
  <c r="J12433" i="2"/>
  <c r="J12432" i="2"/>
  <c r="J12431" i="2"/>
  <c r="J12430" i="2"/>
  <c r="J12429" i="2"/>
  <c r="J12428" i="2"/>
  <c r="J12427" i="2"/>
  <c r="J12426" i="2"/>
  <c r="J12425" i="2"/>
  <c r="J12424" i="2"/>
  <c r="J12423" i="2"/>
  <c r="J12422" i="2"/>
  <c r="J12421" i="2"/>
  <c r="J12420" i="2"/>
  <c r="J12419" i="2"/>
  <c r="J12418" i="2"/>
  <c r="J12417" i="2"/>
  <c r="J12416" i="2"/>
  <c r="J12415" i="2"/>
  <c r="J12414" i="2"/>
  <c r="J12413" i="2"/>
  <c r="J12412" i="2"/>
  <c r="J12411" i="2"/>
  <c r="J12410" i="2"/>
  <c r="J12409" i="2"/>
  <c r="J12408" i="2"/>
  <c r="J12407" i="2"/>
  <c r="J12406" i="2"/>
  <c r="J12405" i="2"/>
  <c r="J12404" i="2"/>
  <c r="J12403" i="2"/>
  <c r="J12402" i="2"/>
  <c r="J12401" i="2"/>
  <c r="J12400" i="2"/>
  <c r="J12399" i="2"/>
  <c r="J12398" i="2"/>
  <c r="J12397" i="2"/>
  <c r="J12396" i="2"/>
  <c r="J12395" i="2"/>
  <c r="J12394" i="2"/>
  <c r="J12393" i="2"/>
  <c r="J12392" i="2"/>
  <c r="J12391" i="2"/>
  <c r="J12390" i="2"/>
  <c r="J12389" i="2"/>
  <c r="J12388" i="2"/>
  <c r="J12387" i="2"/>
  <c r="J12386" i="2"/>
  <c r="J12385" i="2"/>
  <c r="J12384" i="2"/>
  <c r="J12383" i="2"/>
  <c r="J12382" i="2"/>
  <c r="J12381" i="2"/>
  <c r="J12380" i="2"/>
  <c r="J12379" i="2"/>
  <c r="J12378" i="2"/>
  <c r="J12377" i="2"/>
  <c r="J12376" i="2"/>
  <c r="J12375" i="2"/>
  <c r="J12374" i="2"/>
  <c r="J12373" i="2"/>
  <c r="J12372" i="2"/>
  <c r="J12371" i="2"/>
  <c r="J12370" i="2"/>
  <c r="J12369" i="2"/>
  <c r="J12368" i="2"/>
  <c r="J12367" i="2"/>
  <c r="J12366" i="2"/>
  <c r="J12365" i="2"/>
  <c r="J12364" i="2"/>
  <c r="J12363" i="2"/>
  <c r="J12362" i="2"/>
  <c r="J12361" i="2"/>
  <c r="J12360" i="2"/>
  <c r="J12359" i="2"/>
  <c r="J12358" i="2"/>
  <c r="J12357" i="2"/>
  <c r="J12356" i="2"/>
  <c r="J12355" i="2"/>
  <c r="J12354" i="2"/>
  <c r="J12353" i="2"/>
  <c r="J12352" i="2"/>
  <c r="J12351" i="2"/>
  <c r="J12350" i="2"/>
  <c r="J12349" i="2"/>
  <c r="J12348" i="2"/>
  <c r="J12347" i="2"/>
  <c r="J12346" i="2"/>
  <c r="J12345" i="2"/>
  <c r="J12344" i="2"/>
  <c r="J12343" i="2"/>
  <c r="J12342" i="2"/>
  <c r="J12341" i="2"/>
  <c r="J12340" i="2"/>
  <c r="J12339" i="2"/>
  <c r="J12338" i="2"/>
  <c r="J12337" i="2"/>
  <c r="J12336" i="2"/>
  <c r="J12335" i="2"/>
  <c r="J12334" i="2"/>
  <c r="J12333" i="2"/>
  <c r="J12332" i="2"/>
  <c r="J12331" i="2"/>
  <c r="J12330" i="2"/>
  <c r="J12329" i="2"/>
  <c r="J12328" i="2"/>
  <c r="J12327" i="2"/>
  <c r="J12326" i="2"/>
  <c r="J12325" i="2"/>
  <c r="J12324" i="2"/>
  <c r="J12323" i="2"/>
  <c r="J12322" i="2"/>
  <c r="J12321" i="2"/>
  <c r="J12320" i="2"/>
  <c r="J12319" i="2"/>
  <c r="J12318" i="2"/>
  <c r="J12317" i="2"/>
  <c r="J12316" i="2"/>
  <c r="J12315" i="2"/>
  <c r="J12314" i="2"/>
  <c r="J12313" i="2"/>
  <c r="J12312" i="2"/>
  <c r="J12311" i="2"/>
  <c r="J12310" i="2"/>
  <c r="J12309" i="2"/>
  <c r="J12308" i="2"/>
  <c r="J12307" i="2"/>
  <c r="J12306" i="2"/>
  <c r="J12305" i="2"/>
  <c r="J12304" i="2"/>
  <c r="J12303" i="2"/>
  <c r="J12302" i="2"/>
  <c r="J12301" i="2"/>
  <c r="J12300" i="2"/>
  <c r="J12299" i="2"/>
  <c r="J12298" i="2"/>
  <c r="J12297" i="2"/>
  <c r="J12296" i="2"/>
  <c r="J12295" i="2"/>
  <c r="J12294" i="2"/>
  <c r="J12293" i="2"/>
  <c r="J12292" i="2"/>
  <c r="J12291" i="2"/>
  <c r="J12290" i="2"/>
  <c r="J12289" i="2"/>
  <c r="J12288" i="2"/>
  <c r="J12287" i="2"/>
  <c r="J12286" i="2"/>
  <c r="J12285" i="2"/>
  <c r="J12284" i="2"/>
  <c r="J12283" i="2"/>
  <c r="J12282" i="2"/>
  <c r="J12281" i="2"/>
  <c r="J12280" i="2"/>
  <c r="J12279" i="2"/>
  <c r="J12278" i="2"/>
  <c r="J12277" i="2"/>
  <c r="J12276" i="2"/>
  <c r="J12275" i="2"/>
  <c r="J12274" i="2"/>
  <c r="J12273" i="2"/>
  <c r="J12272" i="2"/>
  <c r="J12271" i="2"/>
  <c r="J12270" i="2"/>
  <c r="J12269" i="2"/>
  <c r="J12268" i="2"/>
  <c r="J12267" i="2"/>
  <c r="J12266" i="2"/>
  <c r="J12265" i="2"/>
  <c r="J12264" i="2"/>
  <c r="J12263" i="2"/>
  <c r="J12262" i="2"/>
  <c r="J12261" i="2"/>
  <c r="J12260" i="2"/>
  <c r="J12259" i="2"/>
  <c r="J12258" i="2"/>
  <c r="J12257" i="2"/>
  <c r="J12256" i="2"/>
  <c r="J12255" i="2"/>
  <c r="J12254" i="2"/>
  <c r="J12253" i="2"/>
  <c r="J12252" i="2"/>
  <c r="J12251" i="2"/>
  <c r="J12250" i="2"/>
  <c r="J12249" i="2"/>
  <c r="J12248" i="2"/>
  <c r="J12247" i="2"/>
  <c r="J12246" i="2"/>
  <c r="J12245" i="2"/>
  <c r="J12244" i="2"/>
  <c r="J12243" i="2"/>
  <c r="J12242" i="2"/>
  <c r="J12241" i="2"/>
  <c r="J12240" i="2"/>
  <c r="J12239" i="2"/>
  <c r="J12238" i="2"/>
  <c r="J12237" i="2"/>
  <c r="J12236" i="2"/>
  <c r="J12235" i="2"/>
  <c r="J12234" i="2"/>
  <c r="J12233" i="2"/>
  <c r="J12232" i="2"/>
  <c r="J12231" i="2"/>
  <c r="J12230" i="2"/>
  <c r="J12229" i="2"/>
  <c r="J12228" i="2"/>
  <c r="J12227" i="2"/>
  <c r="J12226" i="2"/>
  <c r="J12225" i="2"/>
  <c r="J12224" i="2"/>
  <c r="J12223" i="2"/>
  <c r="J12222" i="2"/>
  <c r="J12221" i="2"/>
  <c r="J12220" i="2"/>
  <c r="J12219" i="2"/>
  <c r="J12218" i="2"/>
  <c r="J12217" i="2"/>
  <c r="J12216" i="2"/>
  <c r="J12215" i="2"/>
  <c r="J12214" i="2"/>
  <c r="J12213" i="2"/>
  <c r="J12212" i="2"/>
  <c r="J12211" i="2"/>
  <c r="J12210" i="2"/>
  <c r="J12209" i="2"/>
  <c r="J12208" i="2"/>
  <c r="J12207" i="2"/>
  <c r="J12206" i="2"/>
  <c r="J12205" i="2"/>
  <c r="J12204" i="2"/>
  <c r="J12203" i="2"/>
  <c r="J12202" i="2"/>
  <c r="J12201" i="2"/>
  <c r="J12200" i="2"/>
  <c r="J12199" i="2"/>
  <c r="J12198" i="2"/>
  <c r="J12197" i="2"/>
  <c r="J12196" i="2"/>
  <c r="J12195" i="2"/>
  <c r="J12194" i="2"/>
  <c r="J12193" i="2"/>
  <c r="J12192" i="2"/>
  <c r="J12191" i="2"/>
  <c r="J12190" i="2"/>
  <c r="J12189" i="2"/>
  <c r="J12188" i="2"/>
  <c r="J12187" i="2"/>
  <c r="J12186" i="2"/>
  <c r="J12185" i="2"/>
  <c r="J12184" i="2"/>
  <c r="J12183" i="2"/>
  <c r="J12182" i="2"/>
  <c r="J12181" i="2"/>
  <c r="J12180" i="2"/>
  <c r="J12179" i="2"/>
  <c r="J12178" i="2"/>
  <c r="J12177" i="2"/>
  <c r="J12176" i="2"/>
  <c r="J12175" i="2"/>
  <c r="J12174" i="2"/>
  <c r="J12173" i="2"/>
  <c r="J12172" i="2"/>
  <c r="J12171" i="2"/>
  <c r="J12170" i="2"/>
  <c r="J12169" i="2"/>
  <c r="J12168" i="2"/>
  <c r="J12167" i="2"/>
  <c r="J12166" i="2"/>
  <c r="J12165" i="2"/>
  <c r="J12164" i="2"/>
  <c r="J12163" i="2"/>
  <c r="J12162" i="2"/>
  <c r="J12161" i="2"/>
  <c r="J12160" i="2"/>
  <c r="J12159" i="2"/>
  <c r="J12158" i="2"/>
  <c r="J12157" i="2"/>
  <c r="J12156" i="2"/>
  <c r="J12155" i="2"/>
  <c r="J12154" i="2"/>
  <c r="J12153" i="2"/>
  <c r="J12152" i="2"/>
  <c r="J12151" i="2"/>
  <c r="J12150" i="2"/>
  <c r="J12149" i="2"/>
  <c r="J12148" i="2"/>
  <c r="J12147" i="2"/>
  <c r="J12146" i="2"/>
  <c r="J12145" i="2"/>
  <c r="J12144" i="2"/>
  <c r="J12143" i="2"/>
  <c r="J12142" i="2"/>
  <c r="J12141" i="2"/>
  <c r="J12140" i="2"/>
  <c r="J12139" i="2"/>
  <c r="J12138" i="2"/>
  <c r="J12137" i="2"/>
  <c r="J12136" i="2"/>
  <c r="J12135" i="2"/>
  <c r="J12134" i="2"/>
  <c r="J12133" i="2"/>
  <c r="J12132" i="2"/>
  <c r="J12131" i="2"/>
  <c r="J12130" i="2"/>
  <c r="J12129" i="2"/>
  <c r="J12128" i="2"/>
  <c r="J12127" i="2"/>
  <c r="J12126" i="2"/>
  <c r="J12125" i="2"/>
  <c r="J12124" i="2"/>
  <c r="J12123" i="2"/>
  <c r="J12122" i="2"/>
  <c r="J12121" i="2"/>
  <c r="J12120" i="2"/>
  <c r="J12119" i="2"/>
  <c r="J12118" i="2"/>
  <c r="J12117" i="2"/>
  <c r="J12116" i="2"/>
  <c r="J12115" i="2"/>
  <c r="J12114" i="2"/>
  <c r="J12113" i="2"/>
  <c r="J12112" i="2"/>
  <c r="J12111" i="2"/>
  <c r="J12110" i="2"/>
  <c r="J12109" i="2"/>
  <c r="J12108" i="2"/>
  <c r="J12107" i="2"/>
  <c r="J12106" i="2"/>
  <c r="J12105" i="2"/>
  <c r="J12104" i="2"/>
  <c r="J12103" i="2"/>
  <c r="J12102" i="2"/>
  <c r="J12101" i="2"/>
  <c r="J12100" i="2"/>
  <c r="J12099" i="2"/>
  <c r="J12098" i="2"/>
  <c r="J12097" i="2"/>
  <c r="J12096" i="2"/>
  <c r="J12095" i="2"/>
  <c r="J12094" i="2"/>
  <c r="J12093" i="2"/>
  <c r="J12092" i="2"/>
  <c r="J12091" i="2"/>
  <c r="J12090" i="2"/>
  <c r="J12089" i="2"/>
  <c r="J12088" i="2"/>
  <c r="J12087" i="2"/>
  <c r="J12086" i="2"/>
  <c r="J12085" i="2"/>
  <c r="J12084" i="2"/>
  <c r="J12083" i="2"/>
  <c r="J12082" i="2"/>
  <c r="J12081" i="2"/>
  <c r="J12080" i="2"/>
  <c r="J12079" i="2"/>
  <c r="J12078" i="2"/>
  <c r="J12077" i="2"/>
  <c r="J12076" i="2"/>
  <c r="J12075" i="2"/>
  <c r="J12074" i="2"/>
  <c r="J12073" i="2"/>
  <c r="J12072" i="2"/>
  <c r="J12071" i="2"/>
  <c r="J12070" i="2"/>
  <c r="J12069" i="2"/>
  <c r="J12068" i="2"/>
  <c r="J12067" i="2"/>
  <c r="J12066" i="2"/>
  <c r="J12065" i="2"/>
  <c r="J12064" i="2"/>
  <c r="J12063" i="2"/>
  <c r="J12062" i="2"/>
  <c r="J12061" i="2"/>
  <c r="J12060" i="2"/>
  <c r="J12059" i="2"/>
  <c r="J12058" i="2"/>
  <c r="J12057" i="2"/>
  <c r="J12056" i="2"/>
  <c r="J12055" i="2"/>
  <c r="J12054" i="2"/>
  <c r="J12053" i="2"/>
  <c r="J12052" i="2"/>
  <c r="J12051" i="2"/>
  <c r="J12050" i="2"/>
  <c r="J12049" i="2"/>
  <c r="J12048" i="2"/>
  <c r="J12047" i="2"/>
  <c r="J12046" i="2"/>
  <c r="J12045" i="2"/>
  <c r="J12044" i="2"/>
  <c r="J12043" i="2"/>
  <c r="J12042" i="2"/>
  <c r="J12041" i="2"/>
  <c r="J12040" i="2"/>
  <c r="J12039" i="2"/>
  <c r="J12038" i="2"/>
  <c r="J12037" i="2"/>
  <c r="J12036" i="2"/>
  <c r="J12035" i="2"/>
  <c r="J12034" i="2"/>
  <c r="J12033" i="2"/>
  <c r="J12032" i="2"/>
  <c r="J12031" i="2"/>
  <c r="J12030" i="2"/>
  <c r="J12029" i="2"/>
  <c r="J12028" i="2"/>
  <c r="J12027" i="2"/>
  <c r="J12026" i="2"/>
  <c r="J12025" i="2"/>
  <c r="J12024" i="2"/>
  <c r="J12023" i="2"/>
  <c r="J12022" i="2"/>
  <c r="J12021" i="2"/>
  <c r="J12020" i="2"/>
  <c r="J12019" i="2"/>
  <c r="J12018" i="2"/>
  <c r="J12017" i="2"/>
  <c r="J12016" i="2"/>
  <c r="J12015" i="2"/>
  <c r="J12014" i="2"/>
  <c r="J12013" i="2"/>
  <c r="J12012" i="2"/>
  <c r="J12011" i="2"/>
  <c r="J12010" i="2"/>
  <c r="J12009" i="2"/>
  <c r="J12008" i="2"/>
  <c r="J12007" i="2"/>
  <c r="J12006" i="2"/>
  <c r="J12005" i="2"/>
  <c r="J12004" i="2"/>
  <c r="J12003" i="2"/>
  <c r="J12002" i="2"/>
  <c r="J12001" i="2"/>
  <c r="J12000" i="2"/>
  <c r="J11999" i="2"/>
  <c r="J11998" i="2"/>
  <c r="J11997" i="2"/>
  <c r="J11996" i="2"/>
  <c r="J11995" i="2"/>
  <c r="J11994" i="2"/>
  <c r="J11993" i="2"/>
  <c r="J11992" i="2"/>
  <c r="J11991" i="2"/>
  <c r="J11990" i="2"/>
  <c r="J11989" i="2"/>
  <c r="J11988" i="2"/>
  <c r="J11987" i="2"/>
  <c r="J11986" i="2"/>
  <c r="J11985" i="2"/>
  <c r="J11984" i="2"/>
  <c r="J11983" i="2"/>
  <c r="J11982" i="2"/>
  <c r="J11981" i="2"/>
  <c r="J11980" i="2"/>
  <c r="J11979" i="2"/>
  <c r="J11978" i="2"/>
  <c r="J11977" i="2"/>
  <c r="J11976" i="2"/>
  <c r="J11975" i="2"/>
  <c r="J11974" i="2"/>
  <c r="J11973" i="2"/>
  <c r="J11972" i="2"/>
  <c r="J11971" i="2"/>
  <c r="J11970" i="2"/>
  <c r="J11969" i="2"/>
  <c r="J11968" i="2"/>
  <c r="J11967" i="2"/>
  <c r="J11966" i="2"/>
  <c r="J11965" i="2"/>
  <c r="J11964" i="2"/>
  <c r="J11963" i="2"/>
  <c r="J11962" i="2"/>
  <c r="J11961" i="2"/>
  <c r="J11960" i="2"/>
  <c r="J11959" i="2"/>
  <c r="J11958" i="2"/>
  <c r="J11957" i="2"/>
  <c r="J11956" i="2"/>
  <c r="J11955" i="2"/>
  <c r="J11954" i="2"/>
  <c r="J11953" i="2"/>
  <c r="J11952" i="2"/>
  <c r="J11951" i="2"/>
  <c r="J11950" i="2"/>
  <c r="J11949" i="2"/>
  <c r="J11948" i="2"/>
  <c r="J11947" i="2"/>
  <c r="J11946" i="2"/>
  <c r="J11945" i="2"/>
  <c r="J11944" i="2"/>
  <c r="J11943" i="2"/>
  <c r="J11942" i="2"/>
  <c r="J11941" i="2"/>
  <c r="J11940" i="2"/>
  <c r="J11939" i="2"/>
  <c r="J11938" i="2"/>
  <c r="J11937" i="2"/>
  <c r="J11936" i="2"/>
  <c r="J11935" i="2"/>
  <c r="J11934" i="2"/>
  <c r="J11933" i="2"/>
  <c r="J11932" i="2"/>
  <c r="J11931" i="2"/>
  <c r="J11930" i="2"/>
  <c r="J11929" i="2"/>
  <c r="J11928" i="2"/>
  <c r="J11927" i="2"/>
  <c r="J11926" i="2"/>
  <c r="J11925" i="2"/>
  <c r="J11924" i="2"/>
  <c r="J11923" i="2"/>
  <c r="J11922" i="2"/>
  <c r="J11921" i="2"/>
  <c r="J11920" i="2"/>
  <c r="J11919" i="2"/>
  <c r="J11918" i="2"/>
  <c r="J11917" i="2"/>
  <c r="J11916" i="2"/>
  <c r="J11915" i="2"/>
  <c r="J11914" i="2"/>
  <c r="J11913" i="2"/>
  <c r="J11912" i="2"/>
  <c r="J11911" i="2"/>
  <c r="J11910" i="2"/>
  <c r="J11909" i="2"/>
  <c r="J11908" i="2"/>
  <c r="J11907" i="2"/>
  <c r="J11906" i="2"/>
  <c r="J11905" i="2"/>
  <c r="J11904" i="2"/>
  <c r="J11903" i="2"/>
  <c r="J11902" i="2"/>
  <c r="J11901" i="2"/>
  <c r="J11900" i="2"/>
  <c r="J11899" i="2"/>
  <c r="J11898" i="2"/>
  <c r="J11897" i="2"/>
  <c r="J11896" i="2"/>
  <c r="J11895" i="2"/>
  <c r="J11894" i="2"/>
  <c r="J11893" i="2"/>
  <c r="J11892" i="2"/>
  <c r="J11891" i="2"/>
  <c r="J11890" i="2"/>
  <c r="J11889" i="2"/>
  <c r="J11888" i="2"/>
  <c r="J11887" i="2"/>
  <c r="J11886" i="2"/>
  <c r="J11885" i="2"/>
  <c r="J11884" i="2"/>
  <c r="J11883" i="2"/>
  <c r="J11882" i="2"/>
  <c r="J11881" i="2"/>
  <c r="J11880" i="2"/>
  <c r="J11879" i="2"/>
  <c r="J11878" i="2"/>
  <c r="J11877" i="2"/>
  <c r="J11876" i="2"/>
  <c r="J11875" i="2"/>
  <c r="J11874" i="2"/>
  <c r="J11873" i="2"/>
  <c r="J11872" i="2"/>
  <c r="J11871" i="2"/>
  <c r="J11870" i="2"/>
  <c r="J11869" i="2"/>
  <c r="J11868" i="2"/>
  <c r="J11867" i="2"/>
  <c r="J11866" i="2"/>
  <c r="J11865" i="2"/>
  <c r="J11864" i="2"/>
  <c r="J11863" i="2"/>
  <c r="J11862" i="2"/>
  <c r="J11861" i="2"/>
  <c r="J11860" i="2"/>
  <c r="J11859" i="2"/>
  <c r="J11858" i="2"/>
  <c r="J11857" i="2"/>
  <c r="J11856" i="2"/>
  <c r="J11855" i="2"/>
  <c r="J11854" i="2"/>
  <c r="J11853" i="2"/>
  <c r="J11852" i="2"/>
  <c r="J11851" i="2"/>
  <c r="J11850" i="2"/>
  <c r="J11849" i="2"/>
  <c r="J11848" i="2"/>
  <c r="J11847" i="2"/>
  <c r="J11846" i="2"/>
  <c r="J11845" i="2"/>
  <c r="J11844" i="2"/>
  <c r="J11843" i="2"/>
  <c r="J11842" i="2"/>
  <c r="J11841" i="2"/>
  <c r="J11840" i="2"/>
  <c r="J11839" i="2"/>
  <c r="J11838" i="2"/>
  <c r="J11837" i="2"/>
  <c r="J11836" i="2"/>
  <c r="J11835" i="2"/>
  <c r="J11834" i="2"/>
  <c r="J11833" i="2"/>
  <c r="J11832" i="2"/>
  <c r="J11831" i="2"/>
  <c r="J11830" i="2"/>
  <c r="J11829" i="2"/>
  <c r="J11828" i="2"/>
  <c r="J11827" i="2"/>
  <c r="J11826" i="2"/>
  <c r="J11825" i="2"/>
  <c r="J11824" i="2"/>
  <c r="J11823" i="2"/>
  <c r="J11822" i="2"/>
  <c r="J11821" i="2"/>
  <c r="J11820" i="2"/>
  <c r="J11819" i="2"/>
  <c r="J11818" i="2"/>
  <c r="J11817" i="2"/>
  <c r="J11816" i="2"/>
  <c r="J11815" i="2"/>
  <c r="J11814" i="2"/>
  <c r="J11813" i="2"/>
  <c r="J11812" i="2"/>
  <c r="J11811" i="2"/>
  <c r="J11810" i="2"/>
  <c r="J11809" i="2"/>
  <c r="J11808" i="2"/>
  <c r="J11807" i="2"/>
  <c r="J11806" i="2"/>
  <c r="J11805" i="2"/>
  <c r="J11804" i="2"/>
  <c r="J11803" i="2"/>
  <c r="J11802" i="2"/>
  <c r="J11801" i="2"/>
  <c r="J11800" i="2"/>
  <c r="J11799" i="2"/>
  <c r="J11798" i="2"/>
  <c r="J11797" i="2"/>
  <c r="J11796" i="2"/>
  <c r="J11795" i="2"/>
  <c r="J11794" i="2"/>
  <c r="J11793" i="2"/>
  <c r="J11792" i="2"/>
  <c r="J11791" i="2"/>
  <c r="J11790" i="2"/>
  <c r="J11789" i="2"/>
  <c r="J11788" i="2"/>
  <c r="J11787" i="2"/>
  <c r="J11786" i="2"/>
  <c r="J11785" i="2"/>
  <c r="J11784" i="2"/>
  <c r="J11783" i="2"/>
  <c r="J11782" i="2"/>
  <c r="J11781" i="2"/>
  <c r="J11780" i="2"/>
  <c r="J11779" i="2"/>
  <c r="J11778" i="2"/>
  <c r="J11777" i="2"/>
  <c r="J11776" i="2"/>
  <c r="J11775" i="2"/>
  <c r="J11774" i="2"/>
  <c r="J11773" i="2"/>
  <c r="J11772" i="2"/>
  <c r="J11771" i="2"/>
  <c r="J11770" i="2"/>
  <c r="J11769" i="2"/>
  <c r="J11768" i="2"/>
  <c r="J11767" i="2"/>
  <c r="J11766" i="2"/>
  <c r="J11765" i="2"/>
  <c r="J11764" i="2"/>
  <c r="J11763" i="2"/>
  <c r="J11762" i="2"/>
  <c r="J11761" i="2"/>
  <c r="J11760" i="2"/>
  <c r="J11759" i="2"/>
  <c r="J11758" i="2"/>
  <c r="J11757" i="2"/>
  <c r="J11756" i="2"/>
  <c r="J11755" i="2"/>
  <c r="J11754" i="2"/>
  <c r="J11753" i="2"/>
  <c r="J11752" i="2"/>
  <c r="J11751" i="2"/>
  <c r="J11750" i="2"/>
  <c r="J11749" i="2"/>
  <c r="J11748" i="2"/>
  <c r="J11747" i="2"/>
  <c r="J11746" i="2"/>
  <c r="J11745" i="2"/>
  <c r="J11744" i="2"/>
  <c r="J11743" i="2"/>
  <c r="J11742" i="2"/>
  <c r="J11741" i="2"/>
  <c r="J11740" i="2"/>
  <c r="J11739" i="2"/>
  <c r="J11738" i="2"/>
  <c r="J11737" i="2"/>
  <c r="J11736" i="2"/>
  <c r="J11735" i="2"/>
  <c r="J11734" i="2"/>
  <c r="J11733" i="2"/>
  <c r="J11732" i="2"/>
  <c r="J11731" i="2"/>
  <c r="J11730" i="2"/>
  <c r="J11729" i="2"/>
  <c r="J11728" i="2"/>
  <c r="J11727" i="2"/>
  <c r="J11726" i="2"/>
  <c r="J11725" i="2"/>
  <c r="J11724" i="2"/>
  <c r="J11723" i="2"/>
  <c r="J11722" i="2"/>
  <c r="J11721" i="2"/>
  <c r="J11720" i="2"/>
  <c r="J11719" i="2"/>
  <c r="J11718" i="2"/>
  <c r="J11717" i="2"/>
  <c r="J11716" i="2"/>
  <c r="J11715" i="2"/>
  <c r="J11714" i="2"/>
  <c r="J11713" i="2"/>
  <c r="J11712" i="2"/>
  <c r="J11711" i="2"/>
  <c r="J11710" i="2"/>
  <c r="J11709" i="2"/>
  <c r="J11708" i="2"/>
  <c r="J11707" i="2"/>
  <c r="J11706" i="2"/>
  <c r="J11705" i="2"/>
  <c r="J11704" i="2"/>
  <c r="J11703" i="2"/>
  <c r="J11702" i="2"/>
  <c r="J11701" i="2"/>
  <c r="J11700" i="2"/>
  <c r="J11699" i="2"/>
  <c r="J11698" i="2"/>
  <c r="J11697" i="2"/>
  <c r="J11696" i="2"/>
  <c r="J11695" i="2"/>
  <c r="J11694" i="2"/>
  <c r="J11693" i="2"/>
  <c r="J11692" i="2"/>
  <c r="J11691" i="2"/>
  <c r="J11690" i="2"/>
  <c r="J11689" i="2"/>
  <c r="J11688" i="2"/>
  <c r="J11687" i="2"/>
  <c r="J11686" i="2"/>
  <c r="J11685" i="2"/>
  <c r="J11684" i="2"/>
  <c r="J11683" i="2"/>
  <c r="J11682" i="2"/>
  <c r="J11681" i="2"/>
  <c r="J11680" i="2"/>
  <c r="J11679" i="2"/>
  <c r="J11678" i="2"/>
  <c r="J11677" i="2"/>
  <c r="J11676" i="2"/>
  <c r="J11675" i="2"/>
  <c r="J11674" i="2"/>
  <c r="J11673" i="2"/>
  <c r="J11672" i="2"/>
  <c r="J11671" i="2"/>
  <c r="J11670" i="2"/>
  <c r="J11669" i="2"/>
  <c r="J11668" i="2"/>
  <c r="J11667" i="2"/>
  <c r="J11666" i="2"/>
  <c r="J11665" i="2"/>
  <c r="J11664" i="2"/>
  <c r="J11663" i="2"/>
  <c r="J11662" i="2"/>
  <c r="J11661" i="2"/>
  <c r="J11660" i="2"/>
  <c r="J11659" i="2"/>
  <c r="J11658" i="2"/>
  <c r="J11657" i="2"/>
  <c r="J11656" i="2"/>
  <c r="J11655" i="2"/>
  <c r="J11654" i="2"/>
  <c r="J11653" i="2"/>
  <c r="J11652" i="2"/>
  <c r="J11651" i="2"/>
  <c r="J11650" i="2"/>
  <c r="J11649" i="2"/>
  <c r="J11648" i="2"/>
  <c r="J11647" i="2"/>
  <c r="J11646" i="2"/>
  <c r="J11645" i="2"/>
  <c r="J11644" i="2"/>
  <c r="J11643" i="2"/>
  <c r="J11642" i="2"/>
  <c r="J11641" i="2"/>
  <c r="J11640" i="2"/>
  <c r="J11639" i="2"/>
  <c r="J11638" i="2"/>
  <c r="J11637" i="2"/>
  <c r="J11636" i="2"/>
  <c r="J11635" i="2"/>
  <c r="J11634" i="2"/>
  <c r="J11633" i="2"/>
  <c r="J11632" i="2"/>
  <c r="J11631" i="2"/>
  <c r="J11630" i="2"/>
  <c r="J11629" i="2"/>
  <c r="J11628" i="2"/>
  <c r="J11627" i="2"/>
  <c r="J11626" i="2"/>
  <c r="J11625" i="2"/>
  <c r="J11624" i="2"/>
  <c r="J11623" i="2"/>
  <c r="J11622" i="2"/>
  <c r="J11621" i="2"/>
  <c r="J11620" i="2"/>
  <c r="J11619" i="2"/>
  <c r="J11618" i="2"/>
  <c r="J11617" i="2"/>
  <c r="J11616" i="2"/>
  <c r="J11615" i="2"/>
  <c r="J11614" i="2"/>
  <c r="J11613" i="2"/>
  <c r="J11612" i="2"/>
  <c r="J11611" i="2"/>
  <c r="J11610" i="2"/>
  <c r="J11609" i="2"/>
  <c r="J11608" i="2"/>
  <c r="J11607" i="2"/>
  <c r="J11606" i="2"/>
  <c r="J11605" i="2"/>
  <c r="J11604" i="2"/>
  <c r="J11603" i="2"/>
  <c r="J11602" i="2"/>
  <c r="J11601" i="2"/>
  <c r="J11600" i="2"/>
  <c r="J11599" i="2"/>
  <c r="J11598" i="2"/>
  <c r="J11597" i="2"/>
  <c r="J11596" i="2"/>
  <c r="J11595" i="2"/>
  <c r="J11594" i="2"/>
  <c r="J11593" i="2"/>
  <c r="J11592" i="2"/>
  <c r="J11591" i="2"/>
  <c r="J11590" i="2"/>
  <c r="J11589" i="2"/>
  <c r="J11588" i="2"/>
  <c r="J11587" i="2"/>
  <c r="J11586" i="2"/>
  <c r="J11585" i="2"/>
  <c r="J11584" i="2"/>
  <c r="J11583" i="2"/>
  <c r="J11582" i="2"/>
  <c r="J11581" i="2"/>
  <c r="J11580" i="2"/>
  <c r="J11579" i="2"/>
  <c r="J11578" i="2"/>
  <c r="J11577" i="2"/>
  <c r="J11576" i="2"/>
  <c r="J11575" i="2"/>
  <c r="J11574" i="2"/>
  <c r="J11573" i="2"/>
  <c r="J11572" i="2"/>
  <c r="J11571" i="2"/>
  <c r="J11570" i="2"/>
  <c r="J11569" i="2"/>
  <c r="J11568" i="2"/>
  <c r="J11567" i="2"/>
  <c r="J11566" i="2"/>
  <c r="J11565" i="2"/>
  <c r="J11564" i="2"/>
  <c r="J11563" i="2"/>
  <c r="J11562" i="2"/>
  <c r="J11561" i="2"/>
  <c r="J11560" i="2"/>
  <c r="J11559" i="2"/>
  <c r="J11558" i="2"/>
  <c r="J11557" i="2"/>
  <c r="J11556" i="2"/>
  <c r="J11555" i="2"/>
  <c r="J11554" i="2"/>
  <c r="J11553" i="2"/>
  <c r="J11552" i="2"/>
  <c r="J11551" i="2"/>
  <c r="J11550" i="2"/>
  <c r="J11549" i="2"/>
  <c r="J11548" i="2"/>
  <c r="J11547" i="2"/>
  <c r="J11546" i="2"/>
  <c r="J11545" i="2"/>
  <c r="J11544" i="2"/>
  <c r="J11543" i="2"/>
  <c r="J11542" i="2"/>
  <c r="J11541" i="2"/>
  <c r="J11540" i="2"/>
  <c r="J11539" i="2"/>
  <c r="J11538" i="2"/>
  <c r="J11537" i="2"/>
  <c r="J11536" i="2"/>
  <c r="J11535" i="2"/>
  <c r="J11534" i="2"/>
  <c r="J11533" i="2"/>
  <c r="J11532" i="2"/>
  <c r="J11531" i="2"/>
  <c r="J11530" i="2"/>
  <c r="J11529" i="2"/>
  <c r="J11528" i="2"/>
  <c r="J11527" i="2"/>
  <c r="J11526" i="2"/>
  <c r="J11525" i="2"/>
  <c r="J11524" i="2"/>
  <c r="J11523" i="2"/>
  <c r="J11522" i="2"/>
  <c r="J11521" i="2"/>
  <c r="J11520" i="2"/>
  <c r="J11519" i="2"/>
  <c r="J11518" i="2"/>
  <c r="J11517" i="2"/>
  <c r="J11516" i="2"/>
  <c r="J11515" i="2"/>
  <c r="J11514" i="2"/>
  <c r="J11513" i="2"/>
  <c r="J11512" i="2"/>
  <c r="J11511" i="2"/>
  <c r="J11510" i="2"/>
  <c r="J11509" i="2"/>
  <c r="J11508" i="2"/>
  <c r="J11507" i="2"/>
  <c r="J11506" i="2"/>
  <c r="J11505" i="2"/>
  <c r="J11504" i="2"/>
  <c r="J11503" i="2"/>
  <c r="J11502" i="2"/>
  <c r="J11501" i="2"/>
  <c r="J11500" i="2"/>
  <c r="J11499" i="2"/>
  <c r="J11498" i="2"/>
  <c r="J11497" i="2"/>
  <c r="J11496" i="2"/>
  <c r="J11495" i="2"/>
  <c r="J11494" i="2"/>
  <c r="J11493" i="2"/>
  <c r="J11492" i="2"/>
  <c r="J11491" i="2"/>
  <c r="J11490" i="2"/>
  <c r="J11489" i="2"/>
  <c r="J11488" i="2"/>
  <c r="J11487" i="2"/>
  <c r="J11486" i="2"/>
  <c r="J11485" i="2"/>
  <c r="J11484" i="2"/>
  <c r="J11483" i="2"/>
  <c r="J11482" i="2"/>
  <c r="J11481" i="2"/>
  <c r="J11480" i="2"/>
  <c r="J11479" i="2"/>
  <c r="J11478" i="2"/>
  <c r="J11477" i="2"/>
  <c r="J11476" i="2"/>
  <c r="J11475" i="2"/>
  <c r="J11474" i="2"/>
  <c r="J11473" i="2"/>
  <c r="J11472" i="2"/>
  <c r="J11471" i="2"/>
  <c r="J11470" i="2"/>
  <c r="J11469" i="2"/>
  <c r="J11468" i="2"/>
  <c r="J11467" i="2"/>
  <c r="J11466" i="2"/>
  <c r="J11465" i="2"/>
  <c r="J11464" i="2"/>
  <c r="J11463" i="2"/>
  <c r="J11462" i="2"/>
  <c r="J11461" i="2"/>
  <c r="J11460" i="2"/>
  <c r="J11459" i="2"/>
  <c r="J11458" i="2"/>
  <c r="J11457" i="2"/>
  <c r="J11456" i="2"/>
  <c r="J11455" i="2"/>
  <c r="J11454" i="2"/>
  <c r="J11453" i="2"/>
  <c r="J11452" i="2"/>
  <c r="J11451" i="2"/>
  <c r="J11450" i="2"/>
  <c r="J11449" i="2"/>
  <c r="J11448" i="2"/>
  <c r="J11447" i="2"/>
  <c r="J11446" i="2"/>
  <c r="J11445" i="2"/>
  <c r="J11444" i="2"/>
  <c r="J11443" i="2"/>
  <c r="J11442" i="2"/>
  <c r="J11441" i="2"/>
  <c r="J11440" i="2"/>
  <c r="J11439" i="2"/>
  <c r="J11438" i="2"/>
  <c r="J11437" i="2"/>
  <c r="J11436" i="2"/>
  <c r="J11435" i="2"/>
  <c r="J11434" i="2"/>
  <c r="J11433" i="2"/>
  <c r="J11432" i="2"/>
  <c r="J11431" i="2"/>
  <c r="J11430" i="2"/>
  <c r="J11429" i="2"/>
  <c r="J11428" i="2"/>
  <c r="J11427" i="2"/>
  <c r="J11426" i="2"/>
  <c r="J11425" i="2"/>
  <c r="J11424" i="2"/>
  <c r="J11423" i="2"/>
  <c r="J11422" i="2"/>
  <c r="J11421" i="2"/>
  <c r="J11420" i="2"/>
  <c r="J11419" i="2"/>
  <c r="J11418" i="2"/>
  <c r="J11417" i="2"/>
  <c r="J11416" i="2"/>
  <c r="J11415" i="2"/>
  <c r="J11414" i="2"/>
  <c r="J11413" i="2"/>
  <c r="J11412" i="2"/>
  <c r="J11411" i="2"/>
  <c r="J11410" i="2"/>
  <c r="J11409" i="2"/>
  <c r="J11408" i="2"/>
  <c r="J11407" i="2"/>
  <c r="J11406" i="2"/>
  <c r="J11405" i="2"/>
  <c r="J11404" i="2"/>
  <c r="J11403" i="2"/>
  <c r="J11402" i="2"/>
  <c r="J11401" i="2"/>
  <c r="J11400" i="2"/>
  <c r="J11399" i="2"/>
  <c r="J11398" i="2"/>
  <c r="J11397" i="2"/>
  <c r="J11396" i="2"/>
  <c r="J11395" i="2"/>
  <c r="J11394" i="2"/>
  <c r="J11393" i="2"/>
  <c r="J11392" i="2"/>
  <c r="J11391" i="2"/>
  <c r="J11390" i="2"/>
  <c r="J11389" i="2"/>
  <c r="J11388" i="2"/>
  <c r="J11387" i="2"/>
  <c r="J11386" i="2"/>
  <c r="J11385" i="2"/>
  <c r="J11384" i="2"/>
  <c r="J11383" i="2"/>
  <c r="J11382" i="2"/>
  <c r="J11381" i="2"/>
  <c r="J11380" i="2"/>
  <c r="J11379" i="2"/>
  <c r="J11378" i="2"/>
  <c r="J11377" i="2"/>
  <c r="J11376" i="2"/>
  <c r="J11375" i="2"/>
  <c r="J11374" i="2"/>
  <c r="J11373" i="2"/>
  <c r="J11372" i="2"/>
  <c r="J11371" i="2"/>
  <c r="J11370" i="2"/>
  <c r="J11369" i="2"/>
  <c r="J11368" i="2"/>
  <c r="J11367" i="2"/>
  <c r="J11366" i="2"/>
  <c r="J11365" i="2"/>
  <c r="J11364" i="2"/>
  <c r="J11363" i="2"/>
  <c r="J11362" i="2"/>
  <c r="J11361" i="2"/>
  <c r="J11360" i="2"/>
  <c r="J11359" i="2"/>
  <c r="J11358" i="2"/>
  <c r="J11357" i="2"/>
  <c r="J11356" i="2"/>
  <c r="J11355" i="2"/>
  <c r="J11354" i="2"/>
  <c r="J11353" i="2"/>
  <c r="J11352" i="2"/>
  <c r="J11351" i="2"/>
  <c r="J11350" i="2"/>
  <c r="J11349" i="2"/>
  <c r="J11348" i="2"/>
  <c r="J11347" i="2"/>
  <c r="J11346" i="2"/>
  <c r="J11345" i="2"/>
  <c r="J11344" i="2"/>
  <c r="J11343" i="2"/>
  <c r="J11342" i="2"/>
  <c r="J11341" i="2"/>
  <c r="J11340" i="2"/>
  <c r="J11339" i="2"/>
  <c r="J11338" i="2"/>
  <c r="J11337" i="2"/>
  <c r="J11336" i="2"/>
  <c r="J11335" i="2"/>
  <c r="J11334" i="2"/>
  <c r="J11333" i="2"/>
  <c r="J11332" i="2"/>
  <c r="J11331" i="2"/>
  <c r="J11330" i="2"/>
  <c r="J11329" i="2"/>
  <c r="J11328" i="2"/>
  <c r="J11327" i="2"/>
  <c r="J11326" i="2"/>
  <c r="J11325" i="2"/>
  <c r="J11324" i="2"/>
  <c r="J11323" i="2"/>
  <c r="J11322" i="2"/>
  <c r="J11321" i="2"/>
  <c r="J11320" i="2"/>
  <c r="J11319" i="2"/>
  <c r="J11318" i="2"/>
  <c r="J11317" i="2"/>
  <c r="J11316" i="2"/>
  <c r="J11315" i="2"/>
  <c r="J11314" i="2"/>
  <c r="J11313" i="2"/>
  <c r="J11312" i="2"/>
  <c r="J11311" i="2"/>
  <c r="J11310" i="2"/>
  <c r="J11309" i="2"/>
  <c r="J11308" i="2"/>
  <c r="J11307" i="2"/>
  <c r="J11306" i="2"/>
  <c r="J11305" i="2"/>
  <c r="J11304" i="2"/>
  <c r="J11303" i="2"/>
  <c r="J11302" i="2"/>
  <c r="J11301" i="2"/>
  <c r="J11300" i="2"/>
  <c r="J11299" i="2"/>
  <c r="J11298" i="2"/>
  <c r="J11297" i="2"/>
  <c r="J11296" i="2"/>
  <c r="J11295" i="2"/>
  <c r="J11294" i="2"/>
  <c r="J11293" i="2"/>
  <c r="J11292" i="2"/>
  <c r="J11291" i="2"/>
  <c r="J11290" i="2"/>
  <c r="J11289" i="2"/>
  <c r="J11288" i="2"/>
  <c r="J11287" i="2"/>
  <c r="J11286" i="2"/>
  <c r="J11285" i="2"/>
  <c r="J11284" i="2"/>
  <c r="J11283" i="2"/>
  <c r="J11282" i="2"/>
  <c r="J11281" i="2"/>
  <c r="J11280" i="2"/>
  <c r="J11279" i="2"/>
  <c r="J11278" i="2"/>
  <c r="J11277" i="2"/>
  <c r="J11276" i="2"/>
  <c r="J11275" i="2"/>
  <c r="J11274" i="2"/>
  <c r="J11273" i="2"/>
  <c r="J11272" i="2"/>
  <c r="J11271" i="2"/>
  <c r="J11270" i="2"/>
  <c r="J11269" i="2"/>
  <c r="J11268" i="2"/>
  <c r="J11267" i="2"/>
  <c r="J11266" i="2"/>
  <c r="J11265" i="2"/>
  <c r="J11264" i="2"/>
  <c r="J11263" i="2"/>
  <c r="J11262" i="2"/>
  <c r="J11261" i="2"/>
  <c r="J11260" i="2"/>
  <c r="J11259" i="2"/>
  <c r="J11258" i="2"/>
  <c r="J11257" i="2"/>
  <c r="J11256" i="2"/>
  <c r="J11255" i="2"/>
  <c r="J11254" i="2"/>
  <c r="J11253" i="2"/>
  <c r="J11252" i="2"/>
  <c r="J11251" i="2"/>
  <c r="J11250" i="2"/>
  <c r="J11249" i="2"/>
  <c r="J11248" i="2"/>
  <c r="J11247" i="2"/>
  <c r="J11246" i="2"/>
  <c r="J11245" i="2"/>
  <c r="J11244" i="2"/>
  <c r="J11243" i="2"/>
  <c r="J11242" i="2"/>
  <c r="J11241" i="2"/>
  <c r="J11240" i="2"/>
  <c r="J11239" i="2"/>
  <c r="J11238" i="2"/>
  <c r="J11237" i="2"/>
  <c r="J11236" i="2"/>
  <c r="J11235" i="2"/>
  <c r="J11234" i="2"/>
  <c r="J11233" i="2"/>
  <c r="J11232" i="2"/>
  <c r="J11231" i="2"/>
  <c r="J11230" i="2"/>
  <c r="J11229" i="2"/>
  <c r="J11228" i="2"/>
  <c r="J11227" i="2"/>
  <c r="J11226" i="2"/>
  <c r="J11225" i="2"/>
  <c r="J11224" i="2"/>
  <c r="J11223" i="2"/>
  <c r="J11222" i="2"/>
  <c r="J11221" i="2"/>
  <c r="J11220" i="2"/>
  <c r="J11219" i="2"/>
  <c r="J11218" i="2"/>
  <c r="J11217" i="2"/>
  <c r="J11216" i="2"/>
  <c r="J11215" i="2"/>
  <c r="J11214" i="2"/>
  <c r="J11213" i="2"/>
  <c r="J11212" i="2"/>
  <c r="J11211" i="2"/>
  <c r="J11210" i="2"/>
  <c r="J11209" i="2"/>
  <c r="J11208" i="2"/>
  <c r="J11207" i="2"/>
  <c r="J11206" i="2"/>
  <c r="J11205" i="2"/>
  <c r="J11204" i="2"/>
  <c r="J11203" i="2"/>
  <c r="J11202" i="2"/>
  <c r="J11201" i="2"/>
  <c r="J11200" i="2"/>
  <c r="J11199" i="2"/>
  <c r="J11198" i="2"/>
  <c r="J11197" i="2"/>
  <c r="J11196" i="2"/>
  <c r="J11195" i="2"/>
  <c r="J11194" i="2"/>
  <c r="J11193" i="2"/>
  <c r="J11192" i="2"/>
  <c r="J11191" i="2"/>
  <c r="J11190" i="2"/>
  <c r="J11189" i="2"/>
  <c r="J11188" i="2"/>
  <c r="J11187" i="2"/>
  <c r="J11186" i="2"/>
  <c r="J11185" i="2"/>
  <c r="J11184" i="2"/>
  <c r="J11183" i="2"/>
  <c r="J11182" i="2"/>
  <c r="J11181" i="2"/>
  <c r="J11180" i="2"/>
  <c r="J11179" i="2"/>
  <c r="J11178" i="2"/>
  <c r="J11177" i="2"/>
  <c r="J11176" i="2"/>
  <c r="J11175" i="2"/>
  <c r="J11174" i="2"/>
  <c r="J11173" i="2"/>
  <c r="J11172" i="2"/>
  <c r="J11171" i="2"/>
  <c r="J11170" i="2"/>
  <c r="J11169" i="2"/>
  <c r="J11168" i="2"/>
  <c r="J11167" i="2"/>
  <c r="J11166" i="2"/>
  <c r="J11165" i="2"/>
  <c r="J11164" i="2"/>
  <c r="J11163" i="2"/>
  <c r="J11162" i="2"/>
  <c r="J11161" i="2"/>
  <c r="J11160" i="2"/>
  <c r="J11159" i="2"/>
  <c r="J11158" i="2"/>
  <c r="J11157" i="2"/>
  <c r="J11156" i="2"/>
  <c r="J11155" i="2"/>
  <c r="J11154" i="2"/>
  <c r="J11153" i="2"/>
  <c r="J11152" i="2"/>
  <c r="J11151" i="2"/>
  <c r="J11150" i="2"/>
  <c r="J11149" i="2"/>
  <c r="J11148" i="2"/>
  <c r="J11147" i="2"/>
  <c r="J11146" i="2"/>
  <c r="J11145" i="2"/>
  <c r="J11144" i="2"/>
  <c r="J11143" i="2"/>
  <c r="J11142" i="2"/>
  <c r="J11141" i="2"/>
  <c r="J11140" i="2"/>
  <c r="J11139" i="2"/>
  <c r="J11138" i="2"/>
  <c r="J11137" i="2"/>
  <c r="J11136" i="2"/>
  <c r="J11135" i="2"/>
  <c r="J11134" i="2"/>
  <c r="J11133" i="2"/>
  <c r="J11132" i="2"/>
  <c r="J11131" i="2"/>
  <c r="J11130" i="2"/>
  <c r="J11129" i="2"/>
  <c r="J11128" i="2"/>
  <c r="J11127" i="2"/>
  <c r="J11126" i="2"/>
  <c r="J11125" i="2"/>
  <c r="J11124" i="2"/>
  <c r="J11123" i="2"/>
  <c r="J11122" i="2"/>
  <c r="J11121" i="2"/>
  <c r="J11120" i="2"/>
  <c r="J11119" i="2"/>
  <c r="J11118" i="2"/>
  <c r="J11117" i="2"/>
  <c r="J11116" i="2"/>
  <c r="J11115" i="2"/>
  <c r="J11114" i="2"/>
  <c r="J11113" i="2"/>
  <c r="J11112" i="2"/>
  <c r="J11111" i="2"/>
  <c r="J11110" i="2"/>
  <c r="J11109" i="2"/>
  <c r="J11108" i="2"/>
  <c r="J11107" i="2"/>
  <c r="J11106" i="2"/>
  <c r="J11105" i="2"/>
  <c r="J11104" i="2"/>
  <c r="J11103" i="2"/>
  <c r="J11102" i="2"/>
  <c r="J11101" i="2"/>
  <c r="J11100" i="2"/>
  <c r="J11099" i="2"/>
  <c r="J11098" i="2"/>
  <c r="J11097" i="2"/>
  <c r="J11096" i="2"/>
  <c r="J11095" i="2"/>
  <c r="J11094" i="2"/>
  <c r="J11093" i="2"/>
  <c r="J11092" i="2"/>
  <c r="J11091" i="2"/>
  <c r="J11090" i="2"/>
  <c r="J11089" i="2"/>
  <c r="J11088" i="2"/>
  <c r="J11087" i="2"/>
  <c r="J11086" i="2"/>
  <c r="J11085" i="2"/>
  <c r="J11084" i="2"/>
  <c r="J11083" i="2"/>
  <c r="J11082" i="2"/>
  <c r="J11081" i="2"/>
  <c r="J11080" i="2"/>
  <c r="J11079" i="2"/>
  <c r="J11078" i="2"/>
  <c r="J11077" i="2"/>
  <c r="J11076" i="2"/>
  <c r="J11075" i="2"/>
  <c r="J11074" i="2"/>
  <c r="J11073" i="2"/>
  <c r="J11072" i="2"/>
  <c r="J11071" i="2"/>
  <c r="J11070" i="2"/>
  <c r="J11069" i="2"/>
  <c r="J11068" i="2"/>
  <c r="J11067" i="2"/>
  <c r="J11066" i="2"/>
  <c r="J11065" i="2"/>
  <c r="J11064" i="2"/>
  <c r="J11063" i="2"/>
  <c r="J11062" i="2"/>
  <c r="J11061" i="2"/>
  <c r="J11060" i="2"/>
  <c r="J11059" i="2"/>
  <c r="J11058" i="2"/>
  <c r="J11057" i="2"/>
  <c r="J11056" i="2"/>
  <c r="J11055" i="2"/>
  <c r="J11054" i="2"/>
  <c r="J11053" i="2"/>
  <c r="J11052" i="2"/>
  <c r="J11051" i="2"/>
  <c r="J11050" i="2"/>
  <c r="J11049" i="2"/>
  <c r="J11048" i="2"/>
  <c r="J11047" i="2"/>
  <c r="J11046" i="2"/>
  <c r="J11045" i="2"/>
  <c r="J11044" i="2"/>
  <c r="J11043" i="2"/>
  <c r="J11042" i="2"/>
  <c r="J11041" i="2"/>
  <c r="J11040" i="2"/>
  <c r="J11039" i="2"/>
  <c r="J11038" i="2"/>
  <c r="J11037" i="2"/>
  <c r="J11036" i="2"/>
  <c r="J11035" i="2"/>
  <c r="J11034" i="2"/>
  <c r="J11033" i="2"/>
  <c r="J11032" i="2"/>
  <c r="J11031" i="2"/>
  <c r="J11030" i="2"/>
  <c r="J11029" i="2"/>
  <c r="J11028" i="2"/>
  <c r="J11027" i="2"/>
  <c r="J11026" i="2"/>
  <c r="J11025" i="2"/>
  <c r="J11024" i="2"/>
  <c r="J11023" i="2"/>
  <c r="J11022" i="2"/>
  <c r="J11021" i="2"/>
  <c r="J11020" i="2"/>
  <c r="J11019" i="2"/>
  <c r="J11018" i="2"/>
  <c r="J11017" i="2"/>
  <c r="J11016" i="2"/>
  <c r="J11015" i="2"/>
  <c r="J11014" i="2"/>
  <c r="J11013" i="2"/>
  <c r="J11012" i="2"/>
  <c r="J11011" i="2"/>
  <c r="J11010" i="2"/>
  <c r="J11009" i="2"/>
  <c r="J11008" i="2"/>
  <c r="J11007" i="2"/>
  <c r="J11006" i="2"/>
  <c r="J11005" i="2"/>
  <c r="J11004" i="2"/>
  <c r="J11003" i="2"/>
  <c r="J11002" i="2"/>
  <c r="J11001" i="2"/>
  <c r="J11000" i="2"/>
  <c r="J10999" i="2"/>
  <c r="J10998" i="2"/>
  <c r="J10997" i="2"/>
  <c r="J10996" i="2"/>
  <c r="J10995" i="2"/>
  <c r="J10994" i="2"/>
  <c r="J10993" i="2"/>
  <c r="J10992" i="2"/>
  <c r="J10991" i="2"/>
  <c r="J10990" i="2"/>
  <c r="J10989" i="2"/>
  <c r="J10988" i="2"/>
  <c r="J10987" i="2"/>
  <c r="J10986" i="2"/>
  <c r="J10985" i="2"/>
  <c r="J10984" i="2"/>
  <c r="J10983" i="2"/>
  <c r="J10982" i="2"/>
  <c r="J10981" i="2"/>
  <c r="J10980" i="2"/>
  <c r="J10979" i="2"/>
  <c r="J10978" i="2"/>
  <c r="J10977" i="2"/>
  <c r="J10976" i="2"/>
  <c r="J10975" i="2"/>
  <c r="J10974" i="2"/>
  <c r="J10973" i="2"/>
  <c r="J10972" i="2"/>
  <c r="J10971" i="2"/>
  <c r="J10970" i="2"/>
  <c r="J10969" i="2"/>
  <c r="J10968" i="2"/>
  <c r="J10967" i="2"/>
  <c r="J10966" i="2"/>
  <c r="J10965" i="2"/>
  <c r="J10964" i="2"/>
  <c r="J10963" i="2"/>
  <c r="J10962" i="2"/>
  <c r="J10961" i="2"/>
  <c r="J10960" i="2"/>
  <c r="J10959" i="2"/>
  <c r="J10958" i="2"/>
  <c r="J10957" i="2"/>
  <c r="J10956" i="2"/>
  <c r="J10955" i="2"/>
  <c r="J10954" i="2"/>
  <c r="J10953" i="2"/>
  <c r="J10952" i="2"/>
  <c r="J10951" i="2"/>
  <c r="J10950" i="2"/>
  <c r="J10949" i="2"/>
  <c r="J10948" i="2"/>
  <c r="J10947" i="2"/>
  <c r="J10946" i="2"/>
  <c r="J10945" i="2"/>
  <c r="J10944" i="2"/>
  <c r="J10943" i="2"/>
  <c r="J10942" i="2"/>
  <c r="J10941" i="2"/>
  <c r="J10940" i="2"/>
  <c r="J10939" i="2"/>
  <c r="J10938" i="2"/>
  <c r="J10937" i="2"/>
  <c r="J10936" i="2"/>
  <c r="J10935" i="2"/>
  <c r="J10934" i="2"/>
  <c r="J10933" i="2"/>
  <c r="J10932" i="2"/>
  <c r="J10931" i="2"/>
  <c r="J10930" i="2"/>
  <c r="J10929" i="2"/>
  <c r="J10928" i="2"/>
  <c r="J10927" i="2"/>
  <c r="J10926" i="2"/>
  <c r="J10925" i="2"/>
  <c r="J10924" i="2"/>
  <c r="J10923" i="2"/>
  <c r="J10922" i="2"/>
  <c r="J10921" i="2"/>
  <c r="J10920" i="2"/>
  <c r="J10919" i="2"/>
  <c r="J10918" i="2"/>
  <c r="J10917" i="2"/>
  <c r="J10916" i="2"/>
  <c r="J10915" i="2"/>
  <c r="J10914" i="2"/>
  <c r="J10913" i="2"/>
  <c r="J10912" i="2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J10890" i="2"/>
  <c r="J10889" i="2"/>
  <c r="J10888" i="2"/>
  <c r="J10887" i="2"/>
  <c r="J10886" i="2"/>
  <c r="J10885" i="2"/>
  <c r="J10884" i="2"/>
  <c r="J10883" i="2"/>
  <c r="J10882" i="2"/>
  <c r="J10881" i="2"/>
  <c r="J10880" i="2"/>
  <c r="J10879" i="2"/>
  <c r="J10878" i="2"/>
  <c r="J10877" i="2"/>
  <c r="J10876" i="2"/>
  <c r="J10875" i="2"/>
  <c r="J10874" i="2"/>
  <c r="J10873" i="2"/>
  <c r="J10872" i="2"/>
  <c r="J10871" i="2"/>
  <c r="J10870" i="2"/>
  <c r="J10869" i="2"/>
  <c r="J10868" i="2"/>
  <c r="J10867" i="2"/>
  <c r="J10866" i="2"/>
  <c r="J10865" i="2"/>
  <c r="J10864" i="2"/>
  <c r="J10863" i="2"/>
  <c r="J10862" i="2"/>
  <c r="J10861" i="2"/>
  <c r="J10860" i="2"/>
  <c r="J10859" i="2"/>
  <c r="J10858" i="2"/>
  <c r="J10857" i="2"/>
  <c r="J10856" i="2"/>
  <c r="J10855" i="2"/>
  <c r="J10854" i="2"/>
  <c r="J10853" i="2"/>
  <c r="J10852" i="2"/>
  <c r="J10851" i="2"/>
  <c r="J10850" i="2"/>
  <c r="J10849" i="2"/>
  <c r="J10848" i="2"/>
  <c r="J10847" i="2"/>
  <c r="J10846" i="2"/>
  <c r="J10845" i="2"/>
  <c r="J10844" i="2"/>
  <c r="J10843" i="2"/>
  <c r="J10842" i="2"/>
  <c r="J10841" i="2"/>
  <c r="J10840" i="2"/>
  <c r="J10839" i="2"/>
  <c r="J10838" i="2"/>
  <c r="J10837" i="2"/>
  <c r="J10836" i="2"/>
  <c r="J10835" i="2"/>
  <c r="J10834" i="2"/>
  <c r="J10833" i="2"/>
  <c r="J10832" i="2"/>
  <c r="J10831" i="2"/>
  <c r="J10830" i="2"/>
  <c r="J10829" i="2"/>
  <c r="J10828" i="2"/>
  <c r="J10827" i="2"/>
  <c r="J10826" i="2"/>
  <c r="J10825" i="2"/>
  <c r="J10824" i="2"/>
  <c r="J10823" i="2"/>
  <c r="J10822" i="2"/>
  <c r="J10821" i="2"/>
  <c r="J10820" i="2"/>
  <c r="J10819" i="2"/>
  <c r="J10818" i="2"/>
  <c r="J10817" i="2"/>
  <c r="J10816" i="2"/>
  <c r="J10815" i="2"/>
  <c r="J10814" i="2"/>
  <c r="J10813" i="2"/>
  <c r="J10812" i="2"/>
  <c r="J10811" i="2"/>
  <c r="J10810" i="2"/>
  <c r="J10809" i="2"/>
  <c r="J10808" i="2"/>
  <c r="J10807" i="2"/>
  <c r="J10806" i="2"/>
  <c r="J10805" i="2"/>
  <c r="J10804" i="2"/>
  <c r="J10803" i="2"/>
  <c r="J10802" i="2"/>
  <c r="J10801" i="2"/>
  <c r="J10800" i="2"/>
  <c r="J10799" i="2"/>
  <c r="J10798" i="2"/>
  <c r="J10797" i="2"/>
  <c r="J10796" i="2"/>
  <c r="J10795" i="2"/>
  <c r="J10794" i="2"/>
  <c r="J10793" i="2"/>
  <c r="J10792" i="2"/>
  <c r="J10791" i="2"/>
  <c r="J10790" i="2"/>
  <c r="J10789" i="2"/>
  <c r="J10788" i="2"/>
  <c r="J10787" i="2"/>
  <c r="J10786" i="2"/>
  <c r="J10785" i="2"/>
  <c r="J10784" i="2"/>
  <c r="J10783" i="2"/>
  <c r="J10782" i="2"/>
  <c r="J10781" i="2"/>
  <c r="J10780" i="2"/>
  <c r="J10779" i="2"/>
  <c r="J10778" i="2"/>
  <c r="J10777" i="2"/>
  <c r="J10776" i="2"/>
  <c r="J10775" i="2"/>
  <c r="J10774" i="2"/>
  <c r="J10773" i="2"/>
  <c r="J10772" i="2"/>
  <c r="J10771" i="2"/>
  <c r="J10770" i="2"/>
  <c r="J10769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J10757" i="2"/>
  <c r="J10756" i="2"/>
  <c r="J10755" i="2"/>
  <c r="J10754" i="2"/>
  <c r="J10753" i="2"/>
  <c r="J10752" i="2"/>
  <c r="J10751" i="2"/>
  <c r="J10750" i="2"/>
  <c r="J10749" i="2"/>
  <c r="J10748" i="2"/>
  <c r="J10747" i="2"/>
  <c r="J10746" i="2"/>
  <c r="J10745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J10732" i="2"/>
  <c r="J10731" i="2"/>
  <c r="J10730" i="2"/>
  <c r="J10729" i="2"/>
  <c r="J10728" i="2"/>
  <c r="J10727" i="2"/>
  <c r="J10726" i="2"/>
  <c r="J10725" i="2"/>
  <c r="J10724" i="2"/>
  <c r="J10723" i="2"/>
  <c r="J10722" i="2"/>
  <c r="J10721" i="2"/>
  <c r="J10720" i="2"/>
  <c r="J10719" i="2"/>
  <c r="J10718" i="2"/>
  <c r="J10717" i="2"/>
  <c r="J10716" i="2"/>
  <c r="J10715" i="2"/>
  <c r="J10714" i="2"/>
  <c r="J10713" i="2"/>
  <c r="J10712" i="2"/>
  <c r="J10711" i="2"/>
  <c r="J10710" i="2"/>
  <c r="J10709" i="2"/>
  <c r="J10708" i="2"/>
  <c r="J10707" i="2"/>
  <c r="J10706" i="2"/>
  <c r="J10705" i="2"/>
  <c r="J10704" i="2"/>
  <c r="J10703" i="2"/>
  <c r="J10702" i="2"/>
  <c r="J10701" i="2"/>
  <c r="J10700" i="2"/>
  <c r="J10699" i="2"/>
  <c r="J10698" i="2"/>
  <c r="J10697" i="2"/>
  <c r="J10696" i="2"/>
  <c r="J10695" i="2"/>
  <c r="J10694" i="2"/>
  <c r="J10693" i="2"/>
  <c r="J10692" i="2"/>
  <c r="J10691" i="2"/>
  <c r="J10690" i="2"/>
  <c r="J10689" i="2"/>
  <c r="J10688" i="2"/>
  <c r="J10687" i="2"/>
  <c r="J10686" i="2"/>
  <c r="J10685" i="2"/>
  <c r="J10684" i="2"/>
  <c r="J10683" i="2"/>
  <c r="J10682" i="2"/>
  <c r="J10681" i="2"/>
  <c r="J10680" i="2"/>
  <c r="J10679" i="2"/>
  <c r="J10678" i="2"/>
  <c r="J10677" i="2"/>
  <c r="J10676" i="2"/>
  <c r="J10675" i="2"/>
  <c r="J10674" i="2"/>
  <c r="J10673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J10661" i="2"/>
  <c r="J10660" i="2"/>
  <c r="J10659" i="2"/>
  <c r="J10658" i="2"/>
  <c r="J10657" i="2"/>
  <c r="J10656" i="2"/>
  <c r="J10655" i="2"/>
  <c r="J10654" i="2"/>
  <c r="J10653" i="2"/>
  <c r="J10652" i="2"/>
  <c r="J10651" i="2"/>
  <c r="J10650" i="2"/>
  <c r="J10649" i="2"/>
  <c r="J10648" i="2"/>
  <c r="J10647" i="2"/>
  <c r="J10646" i="2"/>
  <c r="J10645" i="2"/>
  <c r="J10644" i="2"/>
  <c r="J10643" i="2"/>
  <c r="J10642" i="2"/>
  <c r="J10641" i="2"/>
  <c r="J10640" i="2"/>
  <c r="J10639" i="2"/>
  <c r="J10638" i="2"/>
  <c r="J10637" i="2"/>
  <c r="J10636" i="2"/>
  <c r="J10635" i="2"/>
  <c r="J10634" i="2"/>
  <c r="J10633" i="2"/>
  <c r="J10632" i="2"/>
  <c r="J10631" i="2"/>
  <c r="J10630" i="2"/>
  <c r="J10629" i="2"/>
  <c r="J10628" i="2"/>
  <c r="J10627" i="2"/>
  <c r="J10626" i="2"/>
  <c r="J10625" i="2"/>
  <c r="J10624" i="2"/>
  <c r="J10623" i="2"/>
  <c r="J10622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10" i="2"/>
  <c r="J10609" i="2"/>
  <c r="J10608" i="2"/>
  <c r="J10607" i="2"/>
  <c r="J10606" i="2"/>
  <c r="J10605" i="2"/>
  <c r="J10604" i="2"/>
  <c r="J10603" i="2"/>
  <c r="J10602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8" i="2"/>
  <c r="J10587" i="2"/>
  <c r="J10586" i="2"/>
  <c r="J10585" i="2"/>
  <c r="J10584" i="2"/>
  <c r="J10583" i="2"/>
  <c r="J10582" i="2"/>
  <c r="J10581" i="2"/>
  <c r="J10580" i="2"/>
  <c r="J10579" i="2"/>
  <c r="J10578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J10553" i="2"/>
  <c r="J10552" i="2"/>
  <c r="J10551" i="2"/>
  <c r="J10550" i="2"/>
  <c r="J10549" i="2"/>
  <c r="J10548" i="2"/>
  <c r="J10547" i="2"/>
  <c r="J10546" i="2"/>
  <c r="J10545" i="2"/>
  <c r="J10544" i="2"/>
  <c r="J10543" i="2"/>
  <c r="J10542" i="2"/>
  <c r="J10541" i="2"/>
  <c r="J10540" i="2"/>
  <c r="J10539" i="2"/>
  <c r="J10538" i="2"/>
  <c r="J10537" i="2"/>
  <c r="J10536" i="2"/>
  <c r="J10535" i="2"/>
  <c r="J10534" i="2"/>
  <c r="J10533" i="2"/>
  <c r="J10532" i="2"/>
  <c r="J10531" i="2"/>
  <c r="J10530" i="2"/>
  <c r="J10529" i="2"/>
  <c r="J10528" i="2"/>
  <c r="J10527" i="2"/>
  <c r="J10526" i="2"/>
  <c r="J10525" i="2"/>
  <c r="J10524" i="2"/>
  <c r="J10523" i="2"/>
  <c r="J10522" i="2"/>
  <c r="J10521" i="2"/>
  <c r="J10520" i="2"/>
  <c r="J10519" i="2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J10506" i="2"/>
  <c r="J10505" i="2"/>
  <c r="J10504" i="2"/>
  <c r="J10503" i="2"/>
  <c r="J10502" i="2"/>
  <c r="J10501" i="2"/>
  <c r="J10500" i="2"/>
  <c r="J10499" i="2"/>
  <c r="J10498" i="2"/>
  <c r="J10497" i="2"/>
  <c r="J10496" i="2"/>
  <c r="J10495" i="2"/>
  <c r="J10494" i="2"/>
  <c r="J10493" i="2"/>
  <c r="J10492" i="2"/>
  <c r="J10491" i="2"/>
  <c r="J10490" i="2"/>
  <c r="J10489" i="2"/>
  <c r="J10488" i="2"/>
  <c r="J10487" i="2"/>
  <c r="J10486" i="2"/>
  <c r="J10485" i="2"/>
  <c r="J10484" i="2"/>
  <c r="J10483" i="2"/>
  <c r="J10482" i="2"/>
  <c r="J10481" i="2"/>
  <c r="J10480" i="2"/>
  <c r="J10479" i="2"/>
  <c r="J10478" i="2"/>
  <c r="J10477" i="2"/>
  <c r="J10476" i="2"/>
  <c r="J10475" i="2"/>
  <c r="J10474" i="2"/>
  <c r="J10473" i="2"/>
  <c r="J10472" i="2"/>
  <c r="J10471" i="2"/>
  <c r="J10470" i="2"/>
  <c r="J10469" i="2"/>
  <c r="J10468" i="2"/>
  <c r="J10467" i="2"/>
  <c r="J10466" i="2"/>
  <c r="J10465" i="2"/>
  <c r="J10464" i="2"/>
  <c r="J10463" i="2"/>
  <c r="J10462" i="2"/>
  <c r="J10461" i="2"/>
  <c r="J10460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J10448" i="2"/>
  <c r="J10447" i="2"/>
  <c r="J10446" i="2"/>
  <c r="J10445" i="2"/>
  <c r="J10444" i="2"/>
  <c r="J10443" i="2"/>
  <c r="J10442" i="2"/>
  <c r="J10441" i="2"/>
  <c r="J10440" i="2"/>
  <c r="J10439" i="2"/>
  <c r="J10438" i="2"/>
  <c r="J10437" i="2"/>
  <c r="J10436" i="2"/>
  <c r="J10435" i="2"/>
  <c r="J10434" i="2"/>
  <c r="J10433" i="2"/>
  <c r="J10432" i="2"/>
  <c r="J10431" i="2"/>
  <c r="J10430" i="2"/>
  <c r="J10429" i="2"/>
  <c r="J10428" i="2"/>
  <c r="J10427" i="2"/>
  <c r="J10426" i="2"/>
  <c r="J10425" i="2"/>
  <c r="J10424" i="2"/>
  <c r="J10423" i="2"/>
  <c r="J10422" i="2"/>
  <c r="J10421" i="2"/>
  <c r="J10420" i="2"/>
  <c r="J10419" i="2"/>
  <c r="J10418" i="2"/>
  <c r="J10417" i="2"/>
  <c r="J10416" i="2"/>
  <c r="J10415" i="2"/>
  <c r="J10414" i="2"/>
  <c r="J10413" i="2"/>
  <c r="J10412" i="2"/>
  <c r="J10411" i="2"/>
  <c r="J10410" i="2"/>
  <c r="J10409" i="2"/>
  <c r="J10408" i="2"/>
  <c r="J10407" i="2"/>
  <c r="J10406" i="2"/>
  <c r="J10405" i="2"/>
  <c r="J10404" i="2"/>
  <c r="J10403" i="2"/>
  <c r="J10402" i="2"/>
  <c r="J10401" i="2"/>
  <c r="J10400" i="2"/>
  <c r="J10399" i="2"/>
  <c r="J10398" i="2"/>
  <c r="J10397" i="2"/>
  <c r="J10396" i="2"/>
  <c r="J10395" i="2"/>
  <c r="J10394" i="2"/>
  <c r="J10393" i="2"/>
  <c r="J10392" i="2"/>
  <c r="J10391" i="2"/>
  <c r="J10390" i="2"/>
  <c r="J10389" i="2"/>
  <c r="J10388" i="2"/>
  <c r="J10387" i="2"/>
  <c r="J10386" i="2"/>
  <c r="J10385" i="2"/>
  <c r="J10384" i="2"/>
  <c r="J10383" i="2"/>
  <c r="J10382" i="2"/>
  <c r="J10381" i="2"/>
  <c r="J10380" i="2"/>
  <c r="J10379" i="2"/>
  <c r="J10378" i="2"/>
  <c r="J10377" i="2"/>
  <c r="J10376" i="2"/>
  <c r="J10375" i="2"/>
  <c r="J10374" i="2"/>
  <c r="J10373" i="2"/>
  <c r="J10372" i="2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J10338" i="2"/>
  <c r="J10337" i="2"/>
  <c r="J10336" i="2"/>
  <c r="J10335" i="2"/>
  <c r="J10334" i="2"/>
  <c r="J10333" i="2"/>
  <c r="J10332" i="2"/>
  <c r="J10331" i="2"/>
  <c r="J10330" i="2"/>
  <c r="J10329" i="2"/>
  <c r="J10328" i="2"/>
  <c r="J10327" i="2"/>
  <c r="J10326" i="2"/>
  <c r="J10325" i="2"/>
  <c r="J10324" i="2"/>
  <c r="J10323" i="2"/>
  <c r="J10322" i="2"/>
  <c r="J10321" i="2"/>
  <c r="J10320" i="2"/>
  <c r="J10319" i="2"/>
  <c r="J10318" i="2"/>
  <c r="J10317" i="2"/>
  <c r="J10316" i="2"/>
  <c r="J10315" i="2"/>
  <c r="J10314" i="2"/>
  <c r="J10313" i="2"/>
  <c r="J10312" i="2"/>
  <c r="J10311" i="2"/>
  <c r="J10310" i="2"/>
  <c r="J10309" i="2"/>
  <c r="J10308" i="2"/>
  <c r="J10307" i="2"/>
  <c r="J10306" i="2"/>
  <c r="J10305" i="2"/>
  <c r="J10304" i="2"/>
  <c r="J10303" i="2"/>
  <c r="J10302" i="2"/>
  <c r="J10301" i="2"/>
  <c r="J10300" i="2"/>
  <c r="J10299" i="2"/>
  <c r="J10298" i="2"/>
  <c r="J10297" i="2"/>
  <c r="J10296" i="2"/>
  <c r="J10295" i="2"/>
  <c r="J10294" i="2"/>
  <c r="J10293" i="2"/>
  <c r="J10292" i="2"/>
  <c r="J10291" i="2"/>
  <c r="J10290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J10277" i="2"/>
  <c r="J10276" i="2"/>
  <c r="J10275" i="2"/>
  <c r="J10274" i="2"/>
  <c r="J10273" i="2"/>
  <c r="J10272" i="2"/>
  <c r="J10271" i="2"/>
  <c r="J10270" i="2"/>
  <c r="J10269" i="2"/>
  <c r="J10268" i="2"/>
  <c r="J10267" i="2"/>
  <c r="J10266" i="2"/>
  <c r="J10265" i="2"/>
  <c r="J10264" i="2"/>
  <c r="J10263" i="2"/>
  <c r="J10262" i="2"/>
  <c r="J10261" i="2"/>
  <c r="J10260" i="2"/>
  <c r="J10259" i="2"/>
  <c r="J10258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10237" i="2"/>
  <c r="J10236" i="2"/>
  <c r="J10235" i="2"/>
  <c r="J10234" i="2"/>
  <c r="J10233" i="2"/>
  <c r="J10232" i="2"/>
  <c r="J10231" i="2"/>
  <c r="J10230" i="2"/>
  <c r="J10229" i="2"/>
  <c r="J10228" i="2"/>
  <c r="J10227" i="2"/>
  <c r="J10226" i="2"/>
  <c r="J10225" i="2"/>
  <c r="J10224" i="2"/>
  <c r="J10223" i="2"/>
  <c r="J10222" i="2"/>
  <c r="J10221" i="2"/>
  <c r="J10220" i="2"/>
  <c r="J10219" i="2"/>
  <c r="J10218" i="2"/>
  <c r="J10217" i="2"/>
  <c r="J10216" i="2"/>
  <c r="J10215" i="2"/>
  <c r="J10214" i="2"/>
  <c r="J10213" i="2"/>
  <c r="J10212" i="2"/>
  <c r="J10211" i="2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J10193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167" i="2"/>
  <c r="J10166" i="2"/>
  <c r="J10165" i="2"/>
  <c r="J10164" i="2"/>
  <c r="J10163" i="2"/>
  <c r="J10162" i="2"/>
  <c r="J10161" i="2"/>
  <c r="J10160" i="2"/>
  <c r="J10159" i="2"/>
  <c r="J10158" i="2"/>
  <c r="J10157" i="2"/>
  <c r="J10156" i="2"/>
  <c r="J10155" i="2"/>
  <c r="J10154" i="2"/>
  <c r="J10153" i="2"/>
  <c r="J10152" i="2"/>
  <c r="J10151" i="2"/>
  <c r="J10150" i="2"/>
  <c r="J10149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8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A6159" i="1" l="1"/>
  <c r="A6158" i="1"/>
  <c r="A6157" i="1"/>
  <c r="A6156" i="1"/>
  <c r="A6155" i="1"/>
  <c r="A6154" i="1"/>
  <c r="A6153" i="1"/>
  <c r="A6152" i="1"/>
  <c r="A6151" i="1"/>
  <c r="A6150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4" i="1"/>
  <c r="A6023" i="1"/>
  <c r="A6022" i="1"/>
  <c r="A6021" i="1"/>
  <c r="A6020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6" i="1"/>
  <c r="A5975" i="1"/>
  <c r="A5974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29" i="1"/>
  <c r="A5928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8" i="1"/>
  <c r="A5866" i="1"/>
  <c r="A5865" i="1"/>
  <c r="A5864" i="1"/>
  <c r="A5863" i="1"/>
  <c r="A5861" i="1"/>
  <c r="A5860" i="1"/>
  <c r="A5859" i="1"/>
  <c r="A5858" i="1"/>
  <c r="A5857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0" i="1"/>
  <c r="A5769" i="1"/>
  <c r="A5768" i="1"/>
  <c r="A5767" i="1"/>
  <c r="A5766" i="1"/>
  <c r="A5765" i="1"/>
  <c r="A5764" i="1"/>
  <c r="A5763" i="1"/>
  <c r="A5762" i="1"/>
  <c r="A5761" i="1"/>
  <c r="A5760" i="1"/>
  <c r="A5758" i="1"/>
  <c r="A5757" i="1"/>
  <c r="A5756" i="1"/>
  <c r="A5755" i="1"/>
  <c r="A5754" i="1"/>
  <c r="A5753" i="1"/>
  <c r="A5752" i="1"/>
  <c r="A5751" i="1"/>
  <c r="A5750" i="1"/>
  <c r="A5749" i="1"/>
  <c r="A5747" i="1"/>
  <c r="A5746" i="1"/>
  <c r="A5745" i="1"/>
  <c r="A5744" i="1"/>
  <c r="A5743" i="1"/>
  <c r="A5742" i="1"/>
  <c r="A5740" i="1"/>
  <c r="A5739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5" i="1"/>
  <c r="A5314" i="1"/>
  <c r="A5313" i="1"/>
  <c r="A5312" i="1"/>
  <c r="A5311" i="1"/>
  <c r="A5309" i="1"/>
  <c r="A5308" i="1"/>
  <c r="A5307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79" i="1"/>
  <c r="A5278" i="1"/>
  <c r="A5277" i="1"/>
  <c r="A5276" i="1"/>
  <c r="A5275" i="1"/>
  <c r="A5274" i="1"/>
  <c r="A5273" i="1"/>
  <c r="A5272" i="1"/>
  <c r="A5271" i="1"/>
  <c r="A5270" i="1"/>
  <c r="A5269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5" i="1"/>
  <c r="A5214" i="1"/>
  <c r="A5213" i="1"/>
  <c r="A5212" i="1"/>
  <c r="A5211" i="1"/>
  <c r="A5210" i="1"/>
  <c r="A5209" i="1"/>
  <c r="A5208" i="1"/>
  <c r="A5207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5" i="1"/>
  <c r="A5014" i="1"/>
  <c r="A5013" i="1"/>
  <c r="A5012" i="1"/>
  <c r="A5011" i="1"/>
  <c r="A5010" i="1"/>
  <c r="A5009" i="1"/>
  <c r="A5008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7" i="1"/>
  <c r="A4936" i="1"/>
  <c r="A4935" i="1"/>
  <c r="A4934" i="1"/>
  <c r="A4933" i="1"/>
  <c r="A4931" i="1"/>
  <c r="A4930" i="1"/>
  <c r="A4929" i="1"/>
  <c r="A4928" i="1"/>
  <c r="A4927" i="1"/>
  <c r="A4926" i="1"/>
  <c r="A4925" i="1"/>
  <c r="A4924" i="1"/>
  <c r="A4922" i="1"/>
  <c r="A4921" i="1"/>
  <c r="A4920" i="1"/>
  <c r="A4919" i="1"/>
  <c r="A4918" i="1"/>
  <c r="A4917" i="1"/>
  <c r="A4916" i="1"/>
  <c r="A4915" i="1"/>
  <c r="A4914" i="1"/>
  <c r="A4913" i="1"/>
  <c r="A4911" i="1"/>
  <c r="A4910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5" i="1"/>
  <c r="A4804" i="1"/>
  <c r="A4802" i="1"/>
  <c r="A4801" i="1"/>
  <c r="A4800" i="1"/>
  <c r="A4799" i="1"/>
  <c r="A4798" i="1"/>
  <c r="A4797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2" i="1"/>
  <c r="A4731" i="1"/>
  <c r="A4730" i="1"/>
  <c r="A4729" i="1"/>
  <c r="A4728" i="1"/>
  <c r="A4726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1" i="1"/>
  <c r="A4699" i="1"/>
  <c r="A4698" i="1"/>
  <c r="A4697" i="1"/>
  <c r="A4696" i="1"/>
  <c r="A4695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3" i="1"/>
  <c r="A4572" i="1"/>
  <c r="A4571" i="1"/>
  <c r="A4570" i="1"/>
  <c r="A4569" i="1"/>
  <c r="A4568" i="1"/>
  <c r="A4567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3" i="1"/>
  <c r="A4481" i="1"/>
  <c r="A4480" i="1"/>
  <c r="A4479" i="1"/>
  <c r="A4478" i="1"/>
  <c r="A4476" i="1"/>
  <c r="A4475" i="1"/>
  <c r="A4474" i="1"/>
  <c r="A4473" i="1"/>
  <c r="A4472" i="1"/>
  <c r="A4471" i="1"/>
  <c r="A4470" i="1"/>
  <c r="A4469" i="1"/>
  <c r="A4468" i="1"/>
  <c r="A4467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7" i="1"/>
  <c r="A4446" i="1"/>
  <c r="A4445" i="1"/>
  <c r="A4444" i="1"/>
  <c r="A4443" i="1"/>
  <c r="A4442" i="1"/>
  <c r="A4441" i="1"/>
  <c r="A4440" i="1"/>
  <c r="A4439" i="1"/>
  <c r="A4438" i="1"/>
  <c r="A4437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0" i="1"/>
  <c r="A4419" i="1"/>
  <c r="A4418" i="1"/>
  <c r="A4417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0" i="1"/>
  <c r="A4389" i="1"/>
  <c r="A4387" i="1"/>
  <c r="A4386" i="1"/>
  <c r="A4385" i="1"/>
  <c r="A4384" i="1"/>
  <c r="A4382" i="1"/>
  <c r="A4381" i="1"/>
  <c r="A4379" i="1"/>
  <c r="A4378" i="1"/>
  <c r="A4377" i="1"/>
  <c r="A4376" i="1"/>
  <c r="A4375" i="1"/>
  <c r="A4374" i="1"/>
  <c r="A4373" i="1"/>
  <c r="A4372" i="1"/>
  <c r="A4371" i="1"/>
  <c r="A4370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29" i="1"/>
  <c r="A4328" i="1"/>
  <c r="A4327" i="1"/>
  <c r="A4326" i="1"/>
  <c r="A4325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8" i="1"/>
  <c r="A4297" i="1"/>
  <c r="A4296" i="1"/>
  <c r="A4295" i="1"/>
  <c r="A4294" i="1"/>
  <c r="A4293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7" i="1"/>
  <c r="A4276" i="1"/>
  <c r="A4275" i="1"/>
  <c r="A4274" i="1"/>
  <c r="A4272" i="1"/>
  <c r="A4271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6" i="1"/>
  <c r="A4175" i="1"/>
  <c r="A4174" i="1"/>
  <c r="A4173" i="1"/>
  <c r="A4172" i="1"/>
  <c r="A4171" i="1"/>
  <c r="A4170" i="1"/>
  <c r="A4169" i="1"/>
  <c r="A4168" i="1"/>
  <c r="A4167" i="1"/>
  <c r="A4166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1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8" i="1"/>
  <c r="A4077" i="1"/>
  <c r="A4076" i="1"/>
  <c r="A4074" i="1"/>
  <c r="A4073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29" i="1"/>
  <c r="A4028" i="1"/>
  <c r="A4027" i="1"/>
  <c r="A4026" i="1"/>
  <c r="A4025" i="1"/>
  <c r="A4024" i="1"/>
  <c r="A4023" i="1"/>
  <c r="A4022" i="1"/>
  <c r="A4021" i="1"/>
  <c r="A4020" i="1"/>
  <c r="A4018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4" i="1"/>
  <c r="A3983" i="1"/>
  <c r="A3982" i="1"/>
  <c r="A3981" i="1"/>
  <c r="A3980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8" i="1"/>
  <c r="A3767" i="1"/>
  <c r="A3766" i="1"/>
  <c r="A3765" i="1"/>
  <c r="A3764" i="1"/>
  <c r="A3763" i="1"/>
  <c r="A3762" i="1"/>
  <c r="A3760" i="1"/>
  <c r="A3759" i="1"/>
  <c r="A3758" i="1"/>
  <c r="A3757" i="1"/>
  <c r="A3756" i="1"/>
  <c r="A3755" i="1"/>
  <c r="A3754" i="1"/>
  <c r="A3753" i="1"/>
  <c r="A3752" i="1"/>
  <c r="A3751" i="1"/>
  <c r="A3750" i="1"/>
  <c r="A3748" i="1"/>
  <c r="A3747" i="1"/>
  <c r="A3746" i="1"/>
  <c r="A3745" i="1"/>
  <c r="A3744" i="1"/>
  <c r="A3743" i="1"/>
  <c r="A3742" i="1"/>
  <c r="A3741" i="1"/>
  <c r="A3740" i="1"/>
  <c r="A3738" i="1"/>
  <c r="A3737" i="1"/>
  <c r="A3736" i="1"/>
  <c r="A3735" i="1"/>
  <c r="A3734" i="1"/>
  <c r="A3732" i="1"/>
  <c r="A3731" i="1"/>
  <c r="A3730" i="1"/>
  <c r="A3729" i="1"/>
  <c r="A3728" i="1"/>
  <c r="A3727" i="1"/>
  <c r="A3726" i="1"/>
  <c r="A3725" i="1"/>
  <c r="A3723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2" i="1"/>
  <c r="A3671" i="1"/>
  <c r="A3670" i="1"/>
  <c r="A3669" i="1"/>
  <c r="A3668" i="1"/>
  <c r="A3667" i="1"/>
  <c r="A3666" i="1"/>
  <c r="A3665" i="1"/>
  <c r="A3664" i="1"/>
  <c r="A3663" i="1"/>
  <c r="A3661" i="1"/>
  <c r="A3660" i="1"/>
  <c r="A3659" i="1"/>
  <c r="A3658" i="1"/>
  <c r="A3657" i="1"/>
  <c r="A3656" i="1"/>
  <c r="A3655" i="1"/>
  <c r="A3654" i="1"/>
  <c r="A3653" i="1"/>
  <c r="A3652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3" i="1"/>
  <c r="A3632" i="1"/>
  <c r="A3631" i="1"/>
  <c r="A3628" i="1"/>
  <c r="A3626" i="1"/>
  <c r="A3625" i="1"/>
  <c r="A3624" i="1"/>
  <c r="A3623" i="1"/>
  <c r="A3621" i="1"/>
  <c r="A3619" i="1"/>
  <c r="A3618" i="1"/>
  <c r="A3617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7" i="1"/>
  <c r="A3516" i="1"/>
  <c r="A3515" i="1"/>
  <c r="A3514" i="1"/>
  <c r="A3513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2" i="1"/>
  <c r="A3481" i="1"/>
  <c r="A3480" i="1"/>
  <c r="A3478" i="1"/>
  <c r="A3477" i="1"/>
  <c r="A3476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09" i="1"/>
  <c r="A3408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0" i="1"/>
  <c r="A3139" i="1"/>
  <c r="A3138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1" i="1"/>
  <c r="A3110" i="1"/>
  <c r="A3109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2" i="1"/>
  <c r="A3071" i="1"/>
  <c r="A3070" i="1"/>
  <c r="A3069" i="1"/>
  <c r="A3068" i="1"/>
  <c r="A3067" i="1"/>
  <c r="A3066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8" i="1"/>
  <c r="A2997" i="1"/>
  <c r="A2996" i="1"/>
  <c r="A2995" i="1"/>
  <c r="A2994" i="1"/>
  <c r="A2993" i="1"/>
  <c r="A2992" i="1"/>
  <c r="A2991" i="1"/>
  <c r="A2990" i="1"/>
  <c r="A2989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8" i="1"/>
  <c r="A2967" i="1"/>
  <c r="A2966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0" i="1"/>
  <c r="A2909" i="1"/>
  <c r="A2908" i="1"/>
  <c r="A2907" i="1"/>
  <c r="A2906" i="1"/>
  <c r="A2905" i="1"/>
  <c r="A2904" i="1"/>
  <c r="A2903" i="1"/>
  <c r="A2902" i="1"/>
  <c r="A2901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3" i="1"/>
  <c r="A2822" i="1"/>
  <c r="A2821" i="1"/>
  <c r="A2820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5" i="1"/>
  <c r="A2464" i="1"/>
  <c r="A2462" i="1"/>
  <c r="A2461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7" i="1"/>
  <c r="A2436" i="1"/>
  <c r="A2435" i="1"/>
  <c r="A2434" i="1"/>
  <c r="A2433" i="1"/>
  <c r="A2432" i="1"/>
  <c r="A2431" i="1"/>
  <c r="A2430" i="1"/>
  <c r="A2429" i="1"/>
  <c r="A2427" i="1"/>
  <c r="A2426" i="1"/>
  <c r="A2425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4" i="1"/>
  <c r="A2393" i="1"/>
  <c r="A2392" i="1"/>
  <c r="A2391" i="1"/>
  <c r="A2390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7" i="1"/>
  <c r="A2306" i="1"/>
  <c r="A2305" i="1"/>
  <c r="A2304" i="1"/>
  <c r="A2303" i="1"/>
  <c r="A2302" i="1"/>
  <c r="A2301" i="1"/>
  <c r="A2300" i="1"/>
  <c r="A2299" i="1"/>
  <c r="A2298" i="1"/>
  <c r="A2297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6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49" i="1"/>
  <c r="A2148" i="1"/>
  <c r="A2147" i="1"/>
  <c r="A2146" i="1"/>
  <c r="A2145" i="1"/>
  <c r="A2144" i="1"/>
  <c r="A2142" i="1"/>
  <c r="A2140" i="1"/>
  <c r="A2139" i="1"/>
  <c r="A2138" i="1"/>
  <c r="A2137" i="1"/>
  <c r="A2136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8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8" i="1"/>
  <c r="A2007" i="1"/>
  <c r="A2006" i="1"/>
  <c r="A2005" i="1"/>
  <c r="A2004" i="1"/>
  <c r="A2002" i="1"/>
  <c r="A2001" i="1"/>
  <c r="A2000" i="1"/>
  <c r="A1999" i="1"/>
  <c r="A1998" i="1"/>
  <c r="A1997" i="1"/>
  <c r="A1996" i="1"/>
  <c r="A1995" i="1"/>
  <c r="A1994" i="1"/>
  <c r="A1993" i="1"/>
  <c r="A1992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39" i="1"/>
  <c r="A1838" i="1"/>
  <c r="A1837" i="1"/>
  <c r="A1836" i="1"/>
  <c r="A1835" i="1"/>
  <c r="A1834" i="1"/>
  <c r="A1833" i="1"/>
  <c r="A1832" i="1"/>
  <c r="A1831" i="1"/>
  <c r="A1830" i="1"/>
  <c r="A1829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2" i="1"/>
  <c r="A1811" i="1"/>
  <c r="A1810" i="1"/>
  <c r="A1809" i="1"/>
  <c r="A1808" i="1"/>
  <c r="A1807" i="1"/>
  <c r="A1806" i="1"/>
  <c r="A1805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0" i="1"/>
  <c r="A1689" i="1"/>
  <c r="A1688" i="1"/>
  <c r="A1687" i="1"/>
  <c r="A1686" i="1"/>
  <c r="A1685" i="1"/>
  <c r="A1684" i="1"/>
  <c r="A1683" i="1"/>
  <c r="A1682" i="1"/>
  <c r="A1681" i="1"/>
  <c r="A1680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2" i="1"/>
  <c r="A1531" i="1"/>
  <c r="A1530" i="1"/>
  <c r="A1529" i="1"/>
  <c r="A1528" i="1"/>
  <c r="A1527" i="1"/>
  <c r="A1526" i="1"/>
  <c r="A1525" i="1"/>
  <c r="A1524" i="1"/>
  <c r="A1523" i="1"/>
  <c r="A1520" i="1"/>
  <c r="A1519" i="1"/>
  <c r="A1518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2" i="1"/>
  <c r="A1501" i="1"/>
  <c r="A1500" i="1"/>
  <c r="A1499" i="1"/>
  <c r="A1498" i="1"/>
  <c r="A1497" i="1"/>
  <c r="A1496" i="1"/>
  <c r="A1495" i="1"/>
  <c r="A1494" i="1"/>
  <c r="A1493" i="1"/>
  <c r="A1491" i="1"/>
  <c r="A1490" i="1"/>
  <c r="A1489" i="1"/>
  <c r="A1488" i="1"/>
  <c r="A1487" i="1"/>
  <c r="A1486" i="1"/>
  <c r="A1485" i="1"/>
  <c r="A1484" i="1"/>
  <c r="A1483" i="1"/>
  <c r="A1482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0" i="1"/>
  <c r="A1429" i="1"/>
  <c r="A1428" i="1"/>
  <c r="A1427" i="1"/>
  <c r="A1426" i="1"/>
  <c r="A1425" i="1"/>
  <c r="A1424" i="1"/>
  <c r="A1423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5" i="1"/>
  <c r="A1404" i="1"/>
  <c r="A1403" i="1"/>
  <c r="A1402" i="1"/>
  <c r="A1401" i="1"/>
  <c r="A1400" i="1"/>
  <c r="A1399" i="1"/>
  <c r="A1398" i="1"/>
  <c r="A1397" i="1"/>
  <c r="A1396" i="1"/>
  <c r="A1395" i="1"/>
  <c r="A1393" i="1"/>
  <c r="A1392" i="1"/>
  <c r="A1391" i="1"/>
  <c r="A1390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3" i="1"/>
  <c r="A1362" i="1"/>
  <c r="A1361" i="1"/>
  <c r="A1360" i="1"/>
  <c r="A1359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2" i="1"/>
  <c r="A1341" i="1"/>
  <c r="A1340" i="1"/>
  <c r="A1339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8" i="1"/>
  <c r="A1217" i="1"/>
  <c r="A1216" i="1"/>
  <c r="A1215" i="1"/>
  <c r="A1214" i="1"/>
  <c r="A1213" i="1"/>
  <c r="A1212" i="1"/>
  <c r="A1210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8" i="1"/>
  <c r="A1167" i="1"/>
  <c r="A1166" i="1"/>
  <c r="A1165" i="1"/>
  <c r="A1164" i="1"/>
  <c r="A1163" i="1"/>
  <c r="A1162" i="1"/>
  <c r="A1161" i="1"/>
  <c r="A1160" i="1"/>
  <c r="A1159" i="1"/>
  <c r="A1157" i="1"/>
  <c r="A1156" i="1"/>
  <c r="A1155" i="1"/>
  <c r="A1154" i="1"/>
  <c r="A1153" i="1"/>
  <c r="A1152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8" i="1"/>
  <c r="A887" i="1"/>
  <c r="A885" i="1"/>
  <c r="A884" i="1"/>
  <c r="A883" i="1"/>
  <c r="A882" i="1"/>
  <c r="A881" i="1"/>
  <c r="A880" i="1"/>
  <c r="A879" i="1"/>
  <c r="A878" i="1"/>
  <c r="A877" i="1"/>
  <c r="A875" i="1"/>
  <c r="A874" i="1"/>
  <c r="A873" i="1"/>
  <c r="A872" i="1"/>
  <c r="A870" i="1"/>
  <c r="A869" i="1"/>
  <c r="A868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89" i="1"/>
  <c r="A788" i="1"/>
  <c r="A787" i="1"/>
  <c r="A786" i="1"/>
  <c r="A785" i="1"/>
  <c r="A784" i="1"/>
  <c r="A783" i="1"/>
  <c r="A782" i="1"/>
  <c r="A781" i="1"/>
  <c r="A780" i="1"/>
  <c r="A779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4" i="1"/>
  <c r="A743" i="1"/>
  <c r="A742" i="1"/>
  <c r="A740" i="1"/>
  <c r="A739" i="1"/>
  <c r="A738" i="1"/>
  <c r="A737" i="1"/>
  <c r="A736" i="1"/>
  <c r="A735" i="1"/>
  <c r="A734" i="1"/>
  <c r="A733" i="1"/>
  <c r="A732" i="1"/>
  <c r="A731" i="1"/>
  <c r="A729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0" i="1"/>
  <c r="A699" i="1"/>
  <c r="A698" i="1"/>
  <c r="A697" i="1"/>
  <c r="A696" i="1"/>
  <c r="A695" i="1"/>
  <c r="A694" i="1"/>
  <c r="A693" i="1"/>
  <c r="A692" i="1"/>
  <c r="A691" i="1"/>
  <c r="A690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29" i="1"/>
  <c r="A628" i="1"/>
  <c r="A627" i="1"/>
  <c r="A626" i="1"/>
  <c r="A625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7" i="1"/>
  <c r="A496" i="1"/>
  <c r="A495" i="1"/>
  <c r="A494" i="1"/>
  <c r="A493" i="1"/>
  <c r="A492" i="1"/>
  <c r="A491" i="1"/>
  <c r="A490" i="1"/>
  <c r="A489" i="1"/>
  <c r="A488" i="1"/>
  <c r="A486" i="1"/>
  <c r="A485" i="1"/>
  <c r="A484" i="1"/>
  <c r="A483" i="1"/>
  <c r="A482" i="1"/>
  <c r="A481" i="1"/>
  <c r="A480" i="1"/>
  <c r="A479" i="1"/>
  <c r="A478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0" i="1"/>
  <c r="A429" i="1"/>
  <c r="A427" i="1"/>
  <c r="A426" i="1"/>
  <c r="A425" i="1"/>
  <c r="A424" i="1"/>
  <c r="A423" i="1"/>
  <c r="A421" i="1"/>
  <c r="A420" i="1"/>
  <c r="A419" i="1"/>
  <c r="A418" i="1"/>
  <c r="A417" i="1"/>
  <c r="A416" i="1"/>
  <c r="A415" i="1"/>
  <c r="A414" i="1"/>
  <c r="A413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1" i="1"/>
  <c r="A280" i="1"/>
  <c r="A279" i="1"/>
  <c r="A278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4" i="1"/>
  <c r="A243" i="1"/>
  <c r="A242" i="1"/>
  <c r="A241" i="1"/>
  <c r="A240" i="1"/>
  <c r="A239" i="1"/>
  <c r="A238" i="1"/>
  <c r="A237" i="1"/>
  <c r="A236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1" i="1"/>
  <c r="A220" i="1"/>
  <c r="A219" i="1"/>
  <c r="A218" i="1"/>
  <c r="A217" i="1"/>
  <c r="A216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3" i="1"/>
  <c r="A42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<sst xmlns="http://schemas.openxmlformats.org/spreadsheetml/2006/main" count="59549" uniqueCount="55072">
  <si>
    <t>Name</t>
  </si>
  <si>
    <t>Value.CO2</t>
  </si>
  <si>
    <t>Value.O2</t>
  </si>
  <si>
    <t>Value.PM</t>
  </si>
  <si>
    <t>Value.RH</t>
  </si>
  <si>
    <t>Value.T</t>
  </si>
  <si>
    <t>Value.TVOC</t>
  </si>
  <si>
    <t>Value.Timestamp</t>
  </si>
  <si>
    <t>Value.mVoltageCO2</t>
  </si>
  <si>
    <t>-Lqe5-3IBp0u-olBTNxl</t>
  </si>
  <si>
    <t>-Lqe5Z-94IyeeCGtCxtL</t>
  </si>
  <si>
    <t>-Lqe5dJMnG1E7K7vhQf-</t>
  </si>
  <si>
    <t>-Lqe6Qc78jahlvBrbrd-</t>
  </si>
  <si>
    <t>-Lqe7R-6ncWR8fn-Qaaf</t>
  </si>
  <si>
    <t>-Lqe8Cb5ZFfrKqcSigp-</t>
  </si>
  <si>
    <t>-Lqe8bT8YqE8WHl-9I7m</t>
  </si>
  <si>
    <t>-Lqe9HC7YinNVEZ7NDd-</t>
  </si>
  <si>
    <t>-Lqe9eV5mVyU83EsCKY-</t>
  </si>
  <si>
    <t>-LqeAD6v_7z-0sEtbKje</t>
  </si>
  <si>
    <t>-LqeAP-5DWQVNBMIbtMD</t>
  </si>
  <si>
    <t>-LqeAjbuUOD-6fRPxZ0k</t>
  </si>
  <si>
    <t>-LqeB-C9SIUdVK5lIkjz</t>
  </si>
  <si>
    <t>-LqeBqKw03k2E-6dJFhq</t>
  </si>
  <si>
    <t>-LqeBs34yVaQ8n3Cpyc-</t>
  </si>
  <si>
    <t>-LqeC-eGIQH1k4ANx7Z-</t>
  </si>
  <si>
    <t>-LqeD--37ImT21JnWCVk</t>
  </si>
  <si>
    <t>-LqeDhleb-3Xcphb1Dv3</t>
  </si>
  <si>
    <t>-LqeEmEAjw0ubr19DkI-</t>
  </si>
  <si>
    <t>-LqeEo14FSVCkXzUAH7-</t>
  </si>
  <si>
    <t>-LqeFSFs1Mf8E-70EJ6d</t>
  </si>
  <si>
    <t>-LqeFiMuzK7-51qnTA1q</t>
  </si>
  <si>
    <t>-LqeFsgWXyYQ-wkREAR-</t>
  </si>
  <si>
    <t>-LqeFxh5Fc1vVPRp00s-</t>
  </si>
  <si>
    <t>-LqeHBQn3l5FeEGrRxS-</t>
  </si>
  <si>
    <t>-LqeHRcBZmhBWUBRx7t-</t>
  </si>
  <si>
    <t>-LqeHi8aRpvMGn-87eRQ</t>
  </si>
  <si>
    <t>-LqeIDcz2WQ-Qc_K-zX-</t>
  </si>
  <si>
    <t>-LqeIq8-C1m2p8ssMrfl</t>
  </si>
  <si>
    <t>-LqeJoSEx5s-C6EahZuY</t>
  </si>
  <si>
    <t>-LqeKoeYlLQ8HbR6Mzz-</t>
  </si>
  <si>
    <t>-LqeKz-5sIpqZCSRgXOS</t>
  </si>
  <si>
    <t>-LqeLI4h-u6-7TRSXWoH</t>
  </si>
  <si>
    <t>-LqeLw5mvCNRiKiJNAX-</t>
  </si>
  <si>
    <t>-LqeMUM-FETgGs5-3N7E</t>
  </si>
  <si>
    <t>-LqeMnFq3hhYwkZqJ8x-</t>
  </si>
  <si>
    <t>-LqeNWVb-8TBdxiPbCvk</t>
  </si>
  <si>
    <t>-LqeNZmjM0FJGR22jci-</t>
  </si>
  <si>
    <t>-LqeNqujBskyTn-7iQNe</t>
  </si>
  <si>
    <t>-LqeNxhlxNCENz-4nd4t</t>
  </si>
  <si>
    <t>-LqeOxImXq_SlEwevAw-</t>
  </si>
  <si>
    <t>-LqePGP2e-c5aCY8VfR0</t>
  </si>
  <si>
    <t>-LqeR-4mQWyeZ6e9-4yh</t>
  </si>
  <si>
    <t>-LqeRM-1pxD56YTuoryU</t>
  </si>
  <si>
    <t>-LqeRSmrGQ2uKv-gEwn-</t>
  </si>
  <si>
    <t>-LqeRaMyuB1M-9vSH0vh</t>
  </si>
  <si>
    <t>-LqeRrV4y-5ihweH8FY0</t>
  </si>
  <si>
    <t>-LqeRwi8AWZGzMvk62N-</t>
  </si>
  <si>
    <t>-LqeSt_zK8--c7s30AZr</t>
  </si>
  <si>
    <t>-LqeUeK6Pj-1tq1zMVTB</t>
  </si>
  <si>
    <t>-LqeWAjxsEaYO9vvw-7O</t>
  </si>
  <si>
    <t>-LqeWgcn7u6y-1tMLbHw</t>
  </si>
  <si>
    <t>-LqeXb-1ivPBrw2hRTJF</t>
  </si>
  <si>
    <t>-LqeYJkvMO-09zdoMZwG</t>
  </si>
  <si>
    <t>-LqeZ2szl2A-2xwtWVge</t>
  </si>
  <si>
    <t>-LqeZEppoSOlVPgSM1w-</t>
  </si>
  <si>
    <t>-LqeZYQjK5u-UoRyZ9Z-</t>
  </si>
  <si>
    <t>-Lqe_dNAceXZy5-7k4gK</t>
  </si>
  <si>
    <t>-Lqe_go-1aSWx9XojBbw</t>
  </si>
  <si>
    <t>-Lqe_un0r8ADgh_WZtW-</t>
  </si>
  <si>
    <t>-LqeabmzftHx8Y50mW1-</t>
  </si>
  <si>
    <t>-LqeckM-52uul6Qb0mVM</t>
  </si>
  <si>
    <t>-Lqed9je-3pqnYgPgdub</t>
  </si>
  <si>
    <t>-LqedIaCpZL-0JFSmt4z</t>
  </si>
  <si>
    <t>-Lqedgxy-5Xzd8bibm0w</t>
  </si>
  <si>
    <t>-Lqedrv068fLNVfE41-c</t>
  </si>
  <si>
    <t>-LqeeXZsuAAqr813Z-9q</t>
  </si>
  <si>
    <t>-LqeefbkAPPVOU0e-6--</t>
  </si>
  <si>
    <t>-Lqef-90SM74hLSgX5fG</t>
  </si>
  <si>
    <t>-LqefOB-0kY3D9lHgEQ0</t>
  </si>
  <si>
    <t>-LqefPsuIUO34iK1fa2-</t>
  </si>
  <si>
    <t>-LqefeGkFz4qP7S-0d69</t>
  </si>
  <si>
    <t>-LqegN4-9oDoo5kZE5qa</t>
  </si>
  <si>
    <t>-Lqeh-2lKEs82wbpwJfm</t>
  </si>
  <si>
    <t>-LqehI6nwNoqjHYUXyx-</t>
  </si>
  <si>
    <t>-Lqeh_o-Q0ICV9rj-4_B</t>
  </si>
  <si>
    <t>-LqehxvuiFd7-9PaRreL</t>
  </si>
  <si>
    <t>-Lqei3xwCmgtLJ_CtVG-</t>
  </si>
  <si>
    <t>-Lqei5h01gLJjSnuZLm-</t>
  </si>
  <si>
    <t>-LqeiOq2IoBlNjGCja5-</t>
  </si>
  <si>
    <t>-LqejbVzT6fCVwD21uc-</t>
  </si>
  <si>
    <t>-Lqek0BjWu3o7ySq6OW-</t>
  </si>
  <si>
    <t>-LqekPtjMnyiP-1bhwko</t>
  </si>
  <si>
    <t>-LqemNusKKM-1DhAnFDa</t>
  </si>
  <si>
    <t>-LqemhWc-5lr8j3RLjc6</t>
  </si>
  <si>
    <t>-Lqen4ulfgProI-9bpdg</t>
  </si>
  <si>
    <t>-LqeotAP4nsD-8EcNNhL</t>
  </si>
  <si>
    <t>-LqepiCF5CuLGc6JxwT-</t>
  </si>
  <si>
    <t>-LqepxpPUbLbTc8OWYu-</t>
  </si>
  <si>
    <t>-LqeqN-NlXC5SlkUMIF-</t>
  </si>
  <si>
    <t>-Lqeqg5UZTg5gLuN1AM-</t>
  </si>
  <si>
    <t>-LqerDNEHNrItNixEJf-</t>
  </si>
  <si>
    <t>-LqesK-2WwCgEfK-nn-E</t>
  </si>
  <si>
    <t>-Lqet6Y63Cqx9C6PbWE-</t>
  </si>
  <si>
    <t>-LqetgWVN1szX-6Mv0jG</t>
  </si>
  <si>
    <t>-LqeuevCkgJUlkI-45HI</t>
  </si>
  <si>
    <t>-Lqev-0L_TenaGsUzek0</t>
  </si>
  <si>
    <t>-Lqev9Y4tqQdfdmhyxA-</t>
  </si>
  <si>
    <t>-LqevnLQM-9gtoVBnQ6q</t>
  </si>
  <si>
    <t>-LqewXSFpJjYs-5tY01s</t>
  </si>
  <si>
    <t>-Lqewt8lEvA-1FI379C2</t>
  </si>
  <si>
    <t>-LqexLAGDaE1zgbiFWK-</t>
  </si>
  <si>
    <t>-LqexiOFrbWdWlLGoLo-</t>
  </si>
  <si>
    <t>-Lqey3AvWULZYdfBMMJ-</t>
  </si>
  <si>
    <t>-Lqey6EE6Sfl6G-5jCzU</t>
  </si>
  <si>
    <t>-LqeyYCFX_NDp1i3DV8-</t>
  </si>
  <si>
    <t>-LqeyhaFG-4A8qPNFZi_</t>
  </si>
  <si>
    <t>-Lqeyl1HRpclfNavgU4-</t>
  </si>
  <si>
    <t>-Lqeyx3Gw8F4KtHi-3v0</t>
  </si>
  <si>
    <t>-LqezTGLBs-5n5pxRRWs</t>
  </si>
  <si>
    <t>-Lqf-1NJtrzgMw-LxNns</t>
  </si>
  <si>
    <t>-Lqf-2xZ-caiBCjrfTqY</t>
  </si>
  <si>
    <t>-Lqf-4n2YEfLODm9L146</t>
  </si>
  <si>
    <t>-Lqf-7GH1JMTIihE6ukZ</t>
  </si>
  <si>
    <t>-Lqf-901p6C9rTcRk30N</t>
  </si>
  <si>
    <t>-Lqf-C39WxnKGvC5iWD4</t>
  </si>
  <si>
    <t>-Lqf0E-2f1611BS-n210</t>
  </si>
  <si>
    <t>-Lqf0dsCBslFuuMOwF_-</t>
  </si>
  <si>
    <t>-Lqf10-89PQ6koJqnO-7</t>
  </si>
  <si>
    <t>-Lqf1hFsuuLb7woqDDG-</t>
  </si>
  <si>
    <t>-Lqf2-fDlh-7yg5yVbLC</t>
  </si>
  <si>
    <t>-Lqf42SCQn7LpjzK3Vt-</t>
  </si>
  <si>
    <t>-Lqf44-7xPOGpZOA5hxB</t>
  </si>
  <si>
    <t>-Lqf4DljHApI6-0sY3kD</t>
  </si>
  <si>
    <t>-Lqf4xXpCzj3twd9XVh-</t>
  </si>
  <si>
    <t>-Lqf53b-1k8NyCs5J0RF</t>
  </si>
  <si>
    <t>-Lqf5IvKt_N-3Y2Qaks0</t>
  </si>
  <si>
    <t>-Lqf5r-GD3Rx-8-63B3d</t>
  </si>
  <si>
    <t>-Lqf5w-5xi7vH-bXPvfe</t>
  </si>
  <si>
    <t>-Lqf60-5OJAS5_LMfg5H</t>
  </si>
  <si>
    <t>-Lqf6LsF7-8uD0DxKruu</t>
  </si>
  <si>
    <t>-Lqf72PQtT-10jw2Kbnv</t>
  </si>
  <si>
    <t>-Lqf7asCi8TLFZMGYvu-</t>
  </si>
  <si>
    <t>-Lqf8NACzeRQOF-6Xhfk</t>
  </si>
  <si>
    <t>-Lqf9-UC8z8p6va649i-</t>
  </si>
  <si>
    <t>-Lqf91SL9O5nryUsDT5-</t>
  </si>
  <si>
    <t>-Lqf9fQy7mszWEZS-8m4</t>
  </si>
  <si>
    <t>-LqfAO-4aXErTMv2KSIE</t>
  </si>
  <si>
    <t>-LqfBj-5GvgPEeDzvMI7</t>
  </si>
  <si>
    <t>-LqfCohOvZ9OgxmwmnF-</t>
  </si>
  <si>
    <t>-LqfE8sRPiHc15kI-4mp</t>
  </si>
  <si>
    <t>-LqfEoWE7ynrhh-6XggK</t>
  </si>
  <si>
    <t>-LqfFDSH3Bu0fdsqpwG-</t>
  </si>
  <si>
    <t>-LqfFMH6oaxWJ6v-7Des</t>
  </si>
  <si>
    <t>-LqfFkuCW9hOEFjU7Z-C</t>
  </si>
  <si>
    <t>-LqfGXk1Q3i47tww-0_O</t>
  </si>
  <si>
    <t>-LqfGvM9S-61KgStZEC5</t>
  </si>
  <si>
    <t>-LqfHJpMgVKlW-0B40Lt</t>
  </si>
  <si>
    <t>-LqfHbB560MD-uKsQWs-</t>
  </si>
  <si>
    <t>-LqfJ3EQLQfiNqAm5N7-</t>
  </si>
  <si>
    <t>-LqfJA1GymBZbXV-0JEx</t>
  </si>
  <si>
    <t>-LqfJfqD6WguJBv199N-</t>
  </si>
  <si>
    <t>-LqfJxpSx-61Y6QEPdsa</t>
  </si>
  <si>
    <t>-LqfLJKeB97p-4BRjSNa</t>
  </si>
  <si>
    <t>-LqfLkuPBKwWzE6Lu16-</t>
  </si>
  <si>
    <t>-LqfLy-3oMnWFi7nZ1ht</t>
  </si>
  <si>
    <t>-LqfMV-5a7Sa4_Bs_2I4</t>
  </si>
  <si>
    <t>-LqfMtOCvK_Bnf4iISV-</t>
  </si>
  <si>
    <t>-LqfN-BDldeuOmvt-xS-</t>
  </si>
  <si>
    <t>-LqfNjIB5J-5kTeT8ph2</t>
  </si>
  <si>
    <t>-LqfNprBOfXsOGXT-2J7</t>
  </si>
  <si>
    <t>-LqfPsA6eQBbFpSb-4ic</t>
  </si>
  <si>
    <t>-LqfQ_QrPaWuN8BM_rz-</t>
  </si>
  <si>
    <t>-LqfRfsD5QpP5p-51C4z</t>
  </si>
  <si>
    <t>-LqfS2JHIsOourdIlqo-</t>
  </si>
  <si>
    <t>-LqfT4iD28vA-7YQWZ2J</t>
  </si>
  <si>
    <t>-LqfTwZAbz51fPwUaFx-</t>
  </si>
  <si>
    <t>-LqfTy7Awi7Msx2PUO7-</t>
  </si>
  <si>
    <t>-LqfU-7okxKDCyFHbZ8X</t>
  </si>
  <si>
    <t>-LqfUyGEvNAa7Qt-R3TN</t>
  </si>
  <si>
    <t>-LqfV21DBndgyop0NiF-</t>
  </si>
  <si>
    <t>-LqfWloxVOb-48I-gpfG</t>
  </si>
  <si>
    <t>-LqfWtJFZftmKncNiM-c</t>
  </si>
  <si>
    <t>-LqfX-6Y5M1wpDGuEcXl</t>
  </si>
  <si>
    <t>-LqfXPl-8S_x1bVlfkaY</t>
  </si>
  <si>
    <t>-LqfXnS5F-0dzBmGCtoY</t>
  </si>
  <si>
    <t>-LqfXy-7fdoR4BMgiSaF</t>
  </si>
  <si>
    <t>-LqfYWNzzj5AzgOiHuR-</t>
  </si>
  <si>
    <t>-LqfZTEGkdKkwfJZ6ZR-</t>
  </si>
  <si>
    <t>-Lqf_cDANuaj9JwWjFJ-</t>
  </si>
  <si>
    <t>-Lqf_j-C7LgE-bFndCCG</t>
  </si>
  <si>
    <t>-Lqf_mfyBZdiQpBuqmq-</t>
  </si>
  <si>
    <t>-Lqf_v2FNn--3HL7uc0j</t>
  </si>
  <si>
    <t>-Lqf_yKG5dEd93tMLvS-</t>
  </si>
  <si>
    <t>-Lqfa-7ZUNXL0VcHmcaC</t>
  </si>
  <si>
    <t>-Lqfa5bFQ-2vpYzBPzr0</t>
  </si>
  <si>
    <t>-LqfaY_n8SbhY1vAsl2-</t>
  </si>
  <si>
    <t>-LqfaqeA5WWn_DW-82xf</t>
  </si>
  <si>
    <t>-Lqfb7-BP6EO-_xjhuQ-</t>
  </si>
  <si>
    <t>-Lqfc-c2OofxmU_qQrOS</t>
  </si>
  <si>
    <t>-LqfcN-8aIYporEfmQoX</t>
  </si>
  <si>
    <t>-LqfcOY3-9nksV6RwJSi</t>
  </si>
  <si>
    <t>-LqfcS49-YdM-MZgouX-</t>
  </si>
  <si>
    <t>-Lqfcg9DfkvHU-C72D9h</t>
  </si>
  <si>
    <t>-Lqfcq-21aRcoLz0LutB</t>
  </si>
  <si>
    <t>-Lqfd6625JTgjwXks-1B</t>
  </si>
  <si>
    <t>-LqfdQBEPdZAqgj_nTa-</t>
  </si>
  <si>
    <t>-LqfdckxImmrx-7Ti60Z</t>
  </si>
  <si>
    <t>-LqfdyP-6qZBA6E299de</t>
  </si>
  <si>
    <t>-LqfeO2pG1sMGuP9TI-R</t>
  </si>
  <si>
    <t>-LqffA6aMQuwDHcJQN-r</t>
  </si>
  <si>
    <t>-Lqff_2saSR-1lV4oRVF</t>
  </si>
  <si>
    <t>-LqfgNAAiKmsp-8KU85E</t>
  </si>
  <si>
    <t>-Lqfi-2z1gt-E4OEN5re</t>
  </si>
  <si>
    <t>-Lqfj0-6G1hnMJAx4cb6</t>
  </si>
  <si>
    <t>-LqfjA-5nPyQJGhklVSV</t>
  </si>
  <si>
    <t>-Lqfk0N6Cwv8Aey-8A7C</t>
  </si>
  <si>
    <t>-Lqfk3Q8CnkpugWSnGg-</t>
  </si>
  <si>
    <t>-LqfkLm8-64WiANy7AGA</t>
  </si>
  <si>
    <t>-Lqfky-7Y_dDrI-M5JH5</t>
  </si>
  <si>
    <t>-LqflRRzkwRNXKeu3Vz-</t>
  </si>
  <si>
    <t>-LqflW-33b69zWu0dMgl</t>
  </si>
  <si>
    <t>-Lqflb-5yST5UGpbXxVb</t>
  </si>
  <si>
    <t>-Lqfm8-6donlgGrJmirX</t>
  </si>
  <si>
    <t>-LqfmB28vgaGv-c-zbag</t>
  </si>
  <si>
    <t>-LqfnnA3IE2Lvfz1cMJ-</t>
  </si>
  <si>
    <t>-Lqfo5YsDNB-4Y_CL6VN</t>
  </si>
  <si>
    <t>-Lqfo_U6Ifl47_-58AXS</t>
  </si>
  <si>
    <t>-Lqfou1GWKzk8yrP-8Ku</t>
  </si>
  <si>
    <t>-LqfpL-7v3IsbRbb4yGu</t>
  </si>
  <si>
    <t>-Lqfpt-2CISvPuUPILvk</t>
  </si>
  <si>
    <t>-LqfqRSy5-04h4OQbUkq</t>
  </si>
  <si>
    <t>-LqfqW-7s9OSCJ_ThSYL</t>
  </si>
  <si>
    <t>-Lqfqd2G-4DAkr8fhk6_</t>
  </si>
  <si>
    <t>-Lqfr-053rIVIDqVKmjF</t>
  </si>
  <si>
    <t>-LqfrAo58mWKiKqs3AX-</t>
  </si>
  <si>
    <t>-LqfrpaTZaDAqJkA6FK-</t>
  </si>
  <si>
    <t>-Lqfrzq7Y-1dSYRJFlWO</t>
  </si>
  <si>
    <t>-Lqft-21sD5mB5dshsIq</t>
  </si>
  <si>
    <t>-LqftH69sw66c5i4mrj-</t>
  </si>
  <si>
    <t>-LqftLxEpQXAUGpMfXm-</t>
  </si>
  <si>
    <t>-LqftU-8TvhlnSjTEZM6</t>
  </si>
  <si>
    <t>-LqftZ-7EmacPOfmrb8w</t>
  </si>
  <si>
    <t>-LqfuAz--4mjPb8RfgPR</t>
  </si>
  <si>
    <t>-LqfuJG-9EmRjE_au8xp</t>
  </si>
  <si>
    <t>-LqfugB46akGNc5-3bWN</t>
  </si>
  <si>
    <t>-LqfuzK4hqmqqf_NOk--</t>
  </si>
  <si>
    <t>-LqfvRYY-C6d6vk0SUQt</t>
  </si>
  <si>
    <t>-LqfviKxv-1NbA2P1tHL</t>
  </si>
  <si>
    <t>-Lqfvqi4o_a_k-54ZJnE</t>
  </si>
  <si>
    <t>-Lqfvu-3GaSLAkP6xY7N</t>
  </si>
  <si>
    <t>-Lqfwf39sXIFdc7-20Nm</t>
  </si>
  <si>
    <t>-Lqfy-1wFMJBMywexeuw</t>
  </si>
  <si>
    <t>-LqfyCGD1L-94bjJ5w0n</t>
  </si>
  <si>
    <t>-Lqg-0tcsIUJ6Z1Ces15</t>
  </si>
  <si>
    <t>-Lqg-2KHfQ1fXu_9PbsE</t>
  </si>
  <si>
    <t>-Lqg-49z7EefQ39CAOIh</t>
  </si>
  <si>
    <t>-Lqg-5swAexVA_v-ThDt</t>
  </si>
  <si>
    <t>-Lqg-7O3TN73QUHQis4m</t>
  </si>
  <si>
    <t>-Lqg-8x1xPSjh9UJQWOf</t>
  </si>
  <si>
    <t>-Lqg0Es7ffeUHawWhaR-</t>
  </si>
  <si>
    <t>-Lqg0OdCS7XDRlv9HEB-</t>
  </si>
  <si>
    <t>-Lqg0S-9uBAbQPlfIw0n</t>
  </si>
  <si>
    <t>-Lqg10vwU6PJD-292T9b</t>
  </si>
  <si>
    <t>-Lqg14-465EIJhUK-meH</t>
  </si>
  <si>
    <t>-Lqg1E-BFhXLWaLX0vS-</t>
  </si>
  <si>
    <t>-Lqg1FZCk72jSp-1HN66</t>
  </si>
  <si>
    <t>-Lqg2MV2cuj8Dn_l0Cx-</t>
  </si>
  <si>
    <t>-Lqg2mPqpj-52jtULaPM</t>
  </si>
  <si>
    <t>-Lqg2oA83uRKAg9AtFo-</t>
  </si>
  <si>
    <t>-Lqg3-756hNSOOdokPwZ</t>
  </si>
  <si>
    <t>-Lqg33o4-7oadzwQyLqH</t>
  </si>
  <si>
    <t>-Lqg3qIigYNKW_dW7J6-</t>
  </si>
  <si>
    <t>-Lqg4cQ2mbfDMv3wcxJ-</t>
  </si>
  <si>
    <t>-Lqg50L2---4pZ4DVIXY</t>
  </si>
  <si>
    <t>-Lqg5gkwNLXD1-40_MKL</t>
  </si>
  <si>
    <t>-Lqg5lMvveILv7t3IvL-</t>
  </si>
  <si>
    <t>-Lqg62HAas6veqnI3o5-</t>
  </si>
  <si>
    <t>-Lqg6GsuD1d7Tga4mQ5-</t>
  </si>
  <si>
    <t>-Lqg6QB5UEItdX0rOhg-</t>
  </si>
  <si>
    <t>-Lqg87cCDNgSEiuu9ag-</t>
  </si>
  <si>
    <t>-Lqg8MA2sMV9UEc-1oxr</t>
  </si>
  <si>
    <t>-Lqg9B36Wna0Po-7NpYv</t>
  </si>
  <si>
    <t>-Lqg9Yj3ohKdjiO1G3l-</t>
  </si>
  <si>
    <t>-LqgAEDxaMkEIq6tSCH-</t>
  </si>
  <si>
    <t>-LqgAqFKS-42wLcCuh61</t>
  </si>
  <si>
    <t>-LqgCn-2XA_-yiEDhnop</t>
  </si>
  <si>
    <t>-LqgD97ceh-u3-4uWteP</t>
  </si>
  <si>
    <t>-LqgDPjxIL_6wzLybgx-</t>
  </si>
  <si>
    <t>-LqgEiW2na17fT6nHGW-</t>
  </si>
  <si>
    <t>-LqgF0QLR-9dDNPdDgOu</t>
  </si>
  <si>
    <t>-LqgFerW-1QCsZKQSRY5</t>
  </si>
  <si>
    <t>-LqgFl-0AY3EWPRH-JXp</t>
  </si>
  <si>
    <t>-LqgFv-3EtHgci9WHTOA</t>
  </si>
  <si>
    <t>-LqgGm-73eb07GmoAutv</t>
  </si>
  <si>
    <t>-LqgHJS5PFOz-5Q4KEKO</t>
  </si>
  <si>
    <t>-LqgHxT6VthQMIrb-87H</t>
  </si>
  <si>
    <t>-LqgHzA1ktL7cYK2K9M-</t>
  </si>
  <si>
    <t>-LqgJNF6aYF8Zi-z-0La</t>
  </si>
  <si>
    <t>-LqgKirzZgX4P8B-0Pj8</t>
  </si>
  <si>
    <t>-LqgLNb1WGT1-6bwt3Dd</t>
  </si>
  <si>
    <t>-LqgLwJ3VE3uWjtWH48-</t>
  </si>
  <si>
    <t>-LqgMgsznJ-1xYabM_Sg</t>
  </si>
  <si>
    <t>-LqgN_-3RPe2vrnMMDgn</t>
  </si>
  <si>
    <t>-LqgOUu5TJFlu1-7vjVV</t>
  </si>
  <si>
    <t>-LqgOyAily14C7_F76i-</t>
  </si>
  <si>
    <t>-LqgPuW-9Fp55k7B5usJ</t>
  </si>
  <si>
    <t>-LqgQv8YuZuvz1VTB--c</t>
  </si>
  <si>
    <t>-LqgR-Bz7_8q4gDX-2ue</t>
  </si>
  <si>
    <t>-LqgRA-46tZ_IjZmlSZL</t>
  </si>
  <si>
    <t>-LqgRSM5jcwWQPRLI-0V</t>
  </si>
  <si>
    <t>-LqgRkwJjjdDl-93LzVI</t>
  </si>
  <si>
    <t>-LqgT-16RlVbbRa0gRyD</t>
  </si>
  <si>
    <t>-LqgTsYgT66suhvw2yE-</t>
  </si>
  <si>
    <t>-LqgU1Q-8tD0DJXirc8o</t>
  </si>
  <si>
    <t>-LqgU9vzlhyPub5hhsd-</t>
  </si>
  <si>
    <t>-LqgUD-6EfbftmIEbkRC</t>
  </si>
  <si>
    <t>-LqgVi4-8Xwjz_G_Tk6w</t>
  </si>
  <si>
    <t>-LqgVmoilKSwIHA3HXD-</t>
  </si>
  <si>
    <t>-LqgWs454u-C7YSSkdE-</t>
  </si>
  <si>
    <t>-LqgWys5gNA6uKcrhCd-</t>
  </si>
  <si>
    <t>-LqgXMi7tZ0DDnrlLhT-</t>
  </si>
  <si>
    <t>-LqgY1jz-777a1Zona-6</t>
  </si>
  <si>
    <t>-LqgYBbChfv57oXme-3H</t>
  </si>
  <si>
    <t>-LqgYr_FU6kY-2JuSbL1</t>
  </si>
  <si>
    <t>-LqgaLs1RMqJeT-745Fe</t>
  </si>
  <si>
    <t>-LqiO7KOaIpuoBREpn0s</t>
  </si>
  <si>
    <t>1570588885237</t>
  </si>
  <si>
    <t>-LqiO91_JodozuFNBj3P</t>
  </si>
  <si>
    <t>1570588892226</t>
  </si>
  <si>
    <t>-LqiOAX_7wix_6MMIDb5</t>
  </si>
  <si>
    <t>1570588898301</t>
  </si>
  <si>
    <t>-LqiOCJaiIRzRdNMmfA6</t>
  </si>
  <si>
    <t>1570588905523</t>
  </si>
  <si>
    <t>-LqiOE2tEc1GZw8qrOb8</t>
  </si>
  <si>
    <t>1570588912692</t>
  </si>
  <si>
    <t>-LqiOFabZHrDj4yLVHnE</t>
  </si>
  <si>
    <t>1570588918896</t>
  </si>
  <si>
    <t>-LqiOHJfoLfH2DFnXyl4</t>
  </si>
  <si>
    <t>1570588926132</t>
  </si>
  <si>
    <t>-LqiOJ6bNlDJua55pDCE</t>
  </si>
  <si>
    <t>1570588933334</t>
  </si>
  <si>
    <t>-LqiOKpcMg-X-tzDxxPF</t>
  </si>
  <si>
    <t>1570588940543</t>
  </si>
  <si>
    <t>-LqiOMclaz2hSbV6DEK2</t>
  </si>
  <si>
    <t>1570588947752</t>
  </si>
  <si>
    <t>-LqiOOKDdZekX8EEdf6n</t>
  </si>
  <si>
    <t>1570588954933</t>
  </si>
  <si>
    <t>-LqiOPudn2CKF7TmCXYA</t>
  </si>
  <si>
    <t>1570588961143</t>
  </si>
  <si>
    <t>-LqiORccxn2lfKVmx4AJ</t>
  </si>
  <si>
    <t>1570588968352</t>
  </si>
  <si>
    <t>-LqiOTQdu9LGD5uj_Npz</t>
  </si>
  <si>
    <t>1570588975564</t>
  </si>
  <si>
    <t>-LqiOV8mPHJRAg_EvtkK</t>
  </si>
  <si>
    <t>1570588982773</t>
  </si>
  <si>
    <t>-LqiOWwmvojuXpXvnrNq</t>
  </si>
  <si>
    <t>1570588989983</t>
  </si>
  <si>
    <t>-LqiOYekv4EZosan0jQr</t>
  </si>
  <si>
    <t>1570588997173</t>
  </si>
  <si>
    <t>-LqiO_DVOGImGICCmB5R</t>
  </si>
  <si>
    <t>1570589003373</t>
  </si>
  <si>
    <t>-LqiOai3onqvvS4Wt4rl</t>
  </si>
  <si>
    <t>1570589009544</t>
  </si>
  <si>
    <t>-LqiOcQd2nIC0AKgbXMz</t>
  </si>
  <si>
    <t>1570589016764</t>
  </si>
  <si>
    <t>-LqiOeDeWlF-_xVvA8zb</t>
  </si>
  <si>
    <t>1570589023980</t>
  </si>
  <si>
    <t>-LqiOg2VP0jIk2AwcJiL</t>
  </si>
  <si>
    <t>1570589031204</t>
  </si>
  <si>
    <t>-LqiOhjVYNKhr-pkMTlg</t>
  </si>
  <si>
    <t>1570589038403</t>
  </si>
  <si>
    <t>-LqiOjYtYwwwGfGVrL6s</t>
  </si>
  <si>
    <t>1570589045614</t>
  </si>
  <si>
    <t>-LqiOlGs1czOKeDAtrXD</t>
  </si>
  <si>
    <t>1570589052822</t>
  </si>
  <si>
    <t>-LqiOn3tIpHdRxSBavh-</t>
  </si>
  <si>
    <t>1570589060054</t>
  </si>
  <si>
    <t>-LqiOoldsGPxdThQkoV2</t>
  </si>
  <si>
    <t>1570589067254</t>
  </si>
  <si>
    <t>-LqiOqZV0mDvBI0dQuuC</t>
  </si>
  <si>
    <t>1570589074453</t>
  </si>
  <si>
    <t>-LqiOs2e4iN5YADglqDl</t>
  </si>
  <si>
    <t>1570589080634</t>
  </si>
  <si>
    <t>-LqiOtqcBd-0HD3IhzNi</t>
  </si>
  <si>
    <t>1570589087842</t>
  </si>
  <si>
    <t>-LqiOvZe2rKYVnkkrz54</t>
  </si>
  <si>
    <t>1570589095053</t>
  </si>
  <si>
    <t>-LqiOxNi-aokGnZw63Vc</t>
  </si>
  <si>
    <t>1570589102262</t>
  </si>
  <si>
    <t>-LqiOz55vcd4aiik3wTW</t>
  </si>
  <si>
    <t>1570589109492</t>
  </si>
  <si>
    <t>-LqiP0Cbt6YJ6dQppjWT</t>
  </si>
  <si>
    <t>1570589116682</t>
  </si>
  <si>
    <t>-LqiP1peCbNOnALrGlOd</t>
  </si>
  <si>
    <t>1570589124923</t>
  </si>
  <si>
    <t>-LqiP3Oeusgz3Z-bkEe0</t>
  </si>
  <si>
    <t>1570589131082</t>
  </si>
  <si>
    <t>-LqiP55P6BQleCGgq1uM</t>
  </si>
  <si>
    <t>1570589138293</t>
  </si>
  <si>
    <t>-LqiP6fdsXETBfLZ7TOT</t>
  </si>
  <si>
    <t>1570589144494</t>
  </si>
  <si>
    <t>-LqiP8PjRUPNNmukndlI</t>
  </si>
  <si>
    <t>1570589151714</t>
  </si>
  <si>
    <t>-LqiPABcKNuvyOt6xos6</t>
  </si>
  <si>
    <t>1570589158924</t>
  </si>
  <si>
    <t>-LqiPBugsVpevCHpP11A</t>
  </si>
  <si>
    <t>1570589166137</t>
  </si>
  <si>
    <t>-LqiPDhedZcN9358WOIa</t>
  </si>
  <si>
    <t>1570589173344</t>
  </si>
  <si>
    <t>-LqiPFQePhFNCZmVA9VD</t>
  </si>
  <si>
    <t>1570589180534</t>
  </si>
  <si>
    <t>-LqiPH-hZYHguQ12gMoG</t>
  </si>
  <si>
    <t>1570589186722</t>
  </si>
  <si>
    <t>-LqiPIij_5ZtEOVo5dMe</t>
  </si>
  <si>
    <t>1570589193973</t>
  </si>
  <si>
    <t>-LqiPKWipBZkLy3ys58p</t>
  </si>
  <si>
    <t>1570589201153</t>
  </si>
  <si>
    <t>-LqiPMEtt-Uc4JBYCG0Y</t>
  </si>
  <si>
    <t>1570589208374</t>
  </si>
  <si>
    <t>-LqiPO0c6ZBZaaugVECX</t>
  </si>
  <si>
    <t>1570589215575</t>
  </si>
  <si>
    <t>-LqiPPjdjN-Z5P8A3q82</t>
  </si>
  <si>
    <t>1570589222775</t>
  </si>
  <si>
    <t>-LqiPRYvK2POuoJsX0ZY</t>
  </si>
  <si>
    <t>1570589229996</t>
  </si>
  <si>
    <t>-LqiPTGj2H7aaInnknes</t>
  </si>
  <si>
    <t>1570589237185</t>
  </si>
  <si>
    <t>-LqiPUoekOJZGC7sgIhS</t>
  </si>
  <si>
    <t>1570589243364</t>
  </si>
  <si>
    <t>-LqiPWXgGDjoEuCCFYuR</t>
  </si>
  <si>
    <t>1570589250614</t>
  </si>
  <si>
    <t>-LqiPYGhDxiy9Oy8Blh0</t>
  </si>
  <si>
    <t>1570589257814</t>
  </si>
  <si>
    <t>-LqiPZpuUbsPaTPpoZ41</t>
  </si>
  <si>
    <t>1570589263993</t>
  </si>
  <si>
    <t>-LqiPaYuauoIicNyneXi</t>
  </si>
  <si>
    <t>1570589271203</t>
  </si>
  <si>
    <t>-LqiPc5eUhWtrx7efIIx</t>
  </si>
  <si>
    <t>1570589277383</t>
  </si>
  <si>
    <t>-LqiPdpPMQDnc0A2Yj-l</t>
  </si>
  <si>
    <t>1570589284575</t>
  </si>
  <si>
    <t>-LqiPfPxuRtp4-pq6b-3</t>
  </si>
  <si>
    <t>1570589290784</t>
  </si>
  <si>
    <t>-LqiPh5dnrQkwyaxfsy0</t>
  </si>
  <si>
    <t>1570589297974</t>
  </si>
  <si>
    <t>-LqiPitJEywxW9DWfzE6</t>
  </si>
  <si>
    <t>1570589305194</t>
  </si>
  <si>
    <t>-LqiPkNfFFf1VmIJ4wBT</t>
  </si>
  <si>
    <t>1570589311373</t>
  </si>
  <si>
    <t>-LqiPmVufWSju25nxNzE</t>
  </si>
  <si>
    <t>1570589318583</t>
  </si>
  <si>
    <t>-LqiPo7frEnqRRegZ90L</t>
  </si>
  <si>
    <t>1570589326814</t>
  </si>
  <si>
    <t>-LqiPphqGcPqYWno94_7</t>
  </si>
  <si>
    <t>1570589333013</t>
  </si>
  <si>
    <t>-LqiPrPmjoAfIw6SfqjR</t>
  </si>
  <si>
    <t>1570589340214</t>
  </si>
  <si>
    <t>-LqiPtSZtteeJxT-zXXJ</t>
  </si>
  <si>
    <t>1570589347446</t>
  </si>
  <si>
    <t>-LqiPvEeagQCU2Sy4oTg</t>
  </si>
  <si>
    <t>1570589355674</t>
  </si>
  <si>
    <t>-LqiPwxeRBLNBik4nT84</t>
  </si>
  <si>
    <t>1570589362884</t>
  </si>
  <si>
    <t>-LqiPykl89igzAtZ8NGS</t>
  </si>
  <si>
    <t>1570589370094</t>
  </si>
  <si>
    <t>-LqiQ-TcvJwVOE-Pjgbl</t>
  </si>
  <si>
    <t>1570589377303</t>
  </si>
  <si>
    <t>-LqiQ1HHE5c4IvSUtq1e</t>
  </si>
  <si>
    <t>1570589384520</t>
  </si>
  <si>
    <t>-LqiQ2zlqAy5fTjy9fmN</t>
  </si>
  <si>
    <t>1570589391734</t>
  </si>
  <si>
    <t>-LqiQ4owG7qKYokJyRGG</t>
  </si>
  <si>
    <t>1570589398942</t>
  </si>
  <si>
    <t>-LqiQ6Vc-SNDT6Fg5zhP</t>
  </si>
  <si>
    <t>1570589406132</t>
  </si>
  <si>
    <t>-LqiQ8hiffDRo-5rz-9h</t>
  </si>
  <si>
    <t>1570589413352</t>
  </si>
  <si>
    <t>-LqiQAKeZ5lafvNxHL1F</t>
  </si>
  <si>
    <t>1570589421594</t>
  </si>
  <si>
    <t>-LqiQC2fvq7RxXVlEyce</t>
  </si>
  <si>
    <t>1570589428813</t>
  </si>
  <si>
    <t>-LqiQDqckqrNEo6agbOS</t>
  </si>
  <si>
    <t>1570589436023</t>
  </si>
  <si>
    <t>-LqiQF_iN5Pd98WqsOGh</t>
  </si>
  <si>
    <t>1570589443233</t>
  </si>
  <si>
    <t>-LqiQHNiCBU6VuS4AdRX</t>
  </si>
  <si>
    <t>1570589450443</t>
  </si>
  <si>
    <t>-LqiQJ4fZd1ctI_mhZaZ</t>
  </si>
  <si>
    <t>1570589457653</t>
  </si>
  <si>
    <t>-LqiQKthpahTwquXlT2S</t>
  </si>
  <si>
    <t>1570589464864</t>
  </si>
  <si>
    <t>-LqiQMbsRmJ1YAxvS9RG</t>
  </si>
  <si>
    <t>1570589472054</t>
  </si>
  <si>
    <t>-LqiQOBxOQbOe2vnhpF5</t>
  </si>
  <si>
    <t>1570589478254</t>
  </si>
  <si>
    <t>-LqiQPsebTc3zo9VHKbb</t>
  </si>
  <si>
    <t>1570589485464</t>
  </si>
  <si>
    <t>-LqiQRfd8YmtNgELEdua</t>
  </si>
  <si>
    <t>1570589492684</t>
  </si>
  <si>
    <t>-LqiQTOdynhTfs8TxEp_</t>
  </si>
  <si>
    <t>1570589499893</t>
  </si>
  <si>
    <t>-LqiQVBeDnFLKe12iG5B</t>
  </si>
  <si>
    <t>1570589507094</t>
  </si>
  <si>
    <t>-LqiQWudSzFqs0mafdn9</t>
  </si>
  <si>
    <t>1570589514294</t>
  </si>
  <si>
    <t>-LqiQYhdzogpf96VpkiI</t>
  </si>
  <si>
    <t>1570589521522</t>
  </si>
  <si>
    <t>-LqiQ_QdqBK0KMCYUlDY</t>
  </si>
  <si>
    <t>1570589528702</t>
  </si>
  <si>
    <t>-LqiQazeWV_enwHRW34M</t>
  </si>
  <si>
    <t>1570589534894</t>
  </si>
  <si>
    <t>-LqiQcgWn8iKcx2QERpA</t>
  </si>
  <si>
    <t>1570589542135</t>
  </si>
  <si>
    <t>-LqiQeVdMzXLlpWbiHkc</t>
  </si>
  <si>
    <t>1570589549344</t>
  </si>
  <si>
    <t>-LqiQfzc3L6qgSvRse-c</t>
  </si>
  <si>
    <t>1570589555524</t>
  </si>
  <si>
    <t>-LqiQhmevrwdTEPT68Lg</t>
  </si>
  <si>
    <t>1570589562733</t>
  </si>
  <si>
    <t>-LqiQjHpkthLC54tB3GL</t>
  </si>
  <si>
    <t>1570589568903</t>
  </si>
  <si>
    <t>-LqiQlIeESSYBsPIKKIo</t>
  </si>
  <si>
    <t>1570589577174</t>
  </si>
  <si>
    <t>-LqiQn1i75DPTQpNwuqa</t>
  </si>
  <si>
    <t>1570589584373</t>
  </si>
  <si>
    <t>-LqiQp7SXFLZQRmIkUp-</t>
  </si>
  <si>
    <t>1570589593001</t>
  </si>
  <si>
    <t>-LqiQqlTq3bVSJBBr8Br</t>
  </si>
  <si>
    <t>1570589599813</t>
  </si>
  <si>
    <t>-LqiQsKlI0EbktN6fJPX</t>
  </si>
  <si>
    <t>1570589605993</t>
  </si>
  <si>
    <t>-LqiQuNhTiaukXTRg7DJ</t>
  </si>
  <si>
    <t>1570589613175</t>
  </si>
  <si>
    <t>-LqiQw4klzdqUxsrx5Vq</t>
  </si>
  <si>
    <t>1570589621453</t>
  </si>
  <si>
    <t>-LqiQxsdU-F7CIa1llcO</t>
  </si>
  <si>
    <t>1570589628653</t>
  </si>
  <si>
    <t>-LqiQzacFK4PPFMcMLQm</t>
  </si>
  <si>
    <t>1570589635875</t>
  </si>
  <si>
    <t>-LqiR0Pg4hvTq5F-Cs3p</t>
  </si>
  <si>
    <t>1570589643083</t>
  </si>
  <si>
    <t>-LqiR26dPpGeuyCj73gt</t>
  </si>
  <si>
    <t>1570589650292</t>
  </si>
  <si>
    <t>-LqiR3ueMJuCWJUzEGud</t>
  </si>
  <si>
    <t>1570589657502</t>
  </si>
  <si>
    <t>-LqiR5ccSgvp6khMSamD</t>
  </si>
  <si>
    <t>1570589664693</t>
  </si>
  <si>
    <t>-LqiR7Bc2XSAUfNEsHmO</t>
  </si>
  <si>
    <t>1570589670893</t>
  </si>
  <si>
    <t>-LqiR8ucNpQf91M-AIlS</t>
  </si>
  <si>
    <t>1570589678103</t>
  </si>
  <si>
    <t>-LqiRAhmNjbe-Cd9md5X</t>
  </si>
  <si>
    <t>1570589685314</t>
  </si>
  <si>
    <t>-LqiRCQdDEKjMQplgCcJ</t>
  </si>
  <si>
    <t>1570589692534</t>
  </si>
  <si>
    <t>-LqiREDe6mAyTDtrBl22</t>
  </si>
  <si>
    <t>1570589699744</t>
  </si>
  <si>
    <t>-LqiRFwldIAehZbBtVw_</t>
  </si>
  <si>
    <t>1570589706934</t>
  </si>
  <si>
    <t>-LqiRHkiCR2QwlQ5400z</t>
  </si>
  <si>
    <t>1570589714164</t>
  </si>
  <si>
    <t>-LqiRJScm11nm-XD0RcW</t>
  </si>
  <si>
    <t>1570589721343</t>
  </si>
  <si>
    <t>-LqiRL1sVzyZD9G98x__</t>
  </si>
  <si>
    <t>1570589727533</t>
  </si>
  <si>
    <t>-LqiRMjd6H8Q99n1sso4</t>
  </si>
  <si>
    <t>1570589734774</t>
  </si>
  <si>
    <t>-LqiROXdnKSk_BSb4qjY</t>
  </si>
  <si>
    <t>1570589741983</t>
  </si>
  <si>
    <t>-LqiRQFm1Vk743ajXzKe</t>
  </si>
  <si>
    <t>1570589749174</t>
  </si>
  <si>
    <t>-LqiRRzZsjQx833Avcmi</t>
  </si>
  <si>
    <t>1570589756364</t>
  </si>
  <si>
    <t>-LqiRTmpatRDbcKGVwJe</t>
  </si>
  <si>
    <t>1570589763458</t>
  </si>
  <si>
    <t>-LqiRVKdQfjC_JiqbHyX</t>
  </si>
  <si>
    <t>1570589769774</t>
  </si>
  <si>
    <t>-LqiRX2oyWusYEoKmveC</t>
  </si>
  <si>
    <t>1570589777012</t>
  </si>
  <si>
    <t>-LqiRZ-d6er7upzx7d-r</t>
  </si>
  <si>
    <t>1570589784837</t>
  </si>
  <si>
    <t>-LqiR_ZdYZhLyPSGwk5F</t>
  </si>
  <si>
    <t>1570589791443</t>
  </si>
  <si>
    <t>-LqiRbM9ghpPIwzsd7EU</t>
  </si>
  <si>
    <t>1570589798634</t>
  </si>
  <si>
    <t>-LqiRd5t6t766hm6nvqu</t>
  </si>
  <si>
    <t>1570589805824</t>
  </si>
  <si>
    <t>-LqiRedcfJFj0KUIENrf</t>
  </si>
  <si>
    <t>1570589812012</t>
  </si>
  <si>
    <t>-LqiRgMd5BHEdUXB7U7m</t>
  </si>
  <si>
    <t>1570589819233</t>
  </si>
  <si>
    <t>-LqiRiSNT6IopBg6vgpR</t>
  </si>
  <si>
    <t>1570589826453</t>
  </si>
  <si>
    <t>-LqiRk6flwm5IhHbKEIu</t>
  </si>
  <si>
    <t>1570589834692</t>
  </si>
  <si>
    <t>-LqiRlfhb7cq6YvAOmmA</t>
  </si>
  <si>
    <t>1570589840872</t>
  </si>
  <si>
    <t>-LqiRnPlDmK579m3n7cJ</t>
  </si>
  <si>
    <t>1570589848064</t>
  </si>
  <si>
    <t>-LqiRoxSNiz7d5ySEp-v</t>
  </si>
  <si>
    <t>1570589854263</t>
  </si>
  <si>
    <t>-LqiRqfloPyw29SKUXbR</t>
  </si>
  <si>
    <t>1570589861493</t>
  </si>
  <si>
    <t>-LqiRsUhZwMN1a3N9Ep3</t>
  </si>
  <si>
    <t>1570589868692</t>
  </si>
  <si>
    <t>-LqiRuBmCESaRgpxuJY6</t>
  </si>
  <si>
    <t>1570589875893</t>
  </si>
  <si>
    <t>-LqiRvzgDMca-cZRkvv-</t>
  </si>
  <si>
    <t>1570589883082</t>
  </si>
  <si>
    <t>-LqiRxhe0koYTWfyFCqD</t>
  </si>
  <si>
    <t>1570589890294</t>
  </si>
  <si>
    <t>-LqiRzI9_AFVCFpeJooy</t>
  </si>
  <si>
    <t>1570589896495</t>
  </si>
  <si>
    <t>-LqiS0IcqmMwAFzdmbdV</t>
  </si>
  <si>
    <t>1570589904914</t>
  </si>
  <si>
    <t>-LqiS20d-QFkW6MLQbtc</t>
  </si>
  <si>
    <t>1570589911962</t>
  </si>
  <si>
    <t>-LqiS3kiBFRccHzolIV6</t>
  </si>
  <si>
    <t>1570589919173</t>
  </si>
  <si>
    <t>-LqiS5YhUaie27AIGAED</t>
  </si>
  <si>
    <t>1570589926241</t>
  </si>
  <si>
    <t>-LqiS7KwRgP7-mqJtvnu</t>
  </si>
  <si>
    <t>1570589933593</t>
  </si>
  <si>
    <t>-LqiS93wKzxGtu-yXnZA</t>
  </si>
  <si>
    <t>1570589940803</t>
  </si>
  <si>
    <t>-LqiSAruJVXKzHHM3uS2</t>
  </si>
  <si>
    <t>1570589948022</t>
  </si>
  <si>
    <t>-LqiSC__NayHOdkp7Ll5</t>
  </si>
  <si>
    <t>1570589955232</t>
  </si>
  <si>
    <t>-LqiSE2T-AeWTMd_BCiA</t>
  </si>
  <si>
    <t>1570589961414</t>
  </si>
  <si>
    <t>-LqiSFciUJts7yHoc7tl</t>
  </si>
  <si>
    <t>1570589967594</t>
  </si>
  <si>
    <t>-LqiSHLhV7b4kYEXR20v</t>
  </si>
  <si>
    <t>1570589974774</t>
  </si>
  <si>
    <t>-LqiSIukQo4q7O7eaTTJ</t>
  </si>
  <si>
    <t>1570589980973</t>
  </si>
  <si>
    <t>-LqiSKbdEbeFGT-JlCbH</t>
  </si>
  <si>
    <t>1570589988195</t>
  </si>
  <si>
    <t>-LqiSMPc_THpDvqF3aN0</t>
  </si>
  <si>
    <t>1570589995412</t>
  </si>
  <si>
    <t>-LqiSO7lUj4S32kH-PSy</t>
  </si>
  <si>
    <t>1570590002619</t>
  </si>
  <si>
    <t>-LqiSPwsNOkKDCGT3q_Y</t>
  </si>
  <si>
    <t>1570590009863</t>
  </si>
  <si>
    <t>-LqiSRdczoIsHzlsveAX</t>
  </si>
  <si>
    <t>1570590017012</t>
  </si>
  <si>
    <t>-LqiST79GIs76yKOGenw</t>
  </si>
  <si>
    <t>1570590023184</t>
  </si>
  <si>
    <t>-LqiSUgmt11mRgoXr61R</t>
  </si>
  <si>
    <t>1570590029402</t>
  </si>
  <si>
    <t>-LqiSWPespHKFokEGESi</t>
  </si>
  <si>
    <t>1570590036622</t>
  </si>
  <si>
    <t>-LqiSXyc4Mrbk9u2iRMD</t>
  </si>
  <si>
    <t>1570590042803</t>
  </si>
  <si>
    <t>-LqiSZhuLmwXW8zA35qJ</t>
  </si>
  <si>
    <t>1570590049982</t>
  </si>
  <si>
    <t>-LqiSaVOO3lloQVMcgqL</t>
  </si>
  <si>
    <t>1570590056173</t>
  </si>
  <si>
    <t>-LqiScDhLUkaGJYnOr0z</t>
  </si>
  <si>
    <t>1570590064443</t>
  </si>
  <si>
    <t>-LqiSdmh7kO_pKtzPPSr</t>
  </si>
  <si>
    <t>1570590070613</t>
  </si>
  <si>
    <t>-LqiSfUdU7Ybfdn1dBRE</t>
  </si>
  <si>
    <t>1570590077812</t>
  </si>
  <si>
    <t>-LqiShHgrsmhpgPA3aN9</t>
  </si>
  <si>
    <t>1570590085032</t>
  </si>
  <si>
    <t>-LqiSildFtH8n6KJaq59</t>
  </si>
  <si>
    <t>1570590091213</t>
  </si>
  <si>
    <t>-LqiSkZdl4R4TlqQ_-t3</t>
  </si>
  <si>
    <t>1570590098433</t>
  </si>
  <si>
    <t>-LqiSmIiL001vjitpvXg</t>
  </si>
  <si>
    <t>1570590105652</t>
  </si>
  <si>
    <t>-LqiSo4c3ubD-rcNuRsQ</t>
  </si>
  <si>
    <t>1570590112854</t>
  </si>
  <si>
    <t>-LqiSpotDCSsA0xOnWSc</t>
  </si>
  <si>
    <t>1570590120053</t>
  </si>
  <si>
    <t>-LqiSranmT-ZNh-g3o8k</t>
  </si>
  <si>
    <t>1570590127272</t>
  </si>
  <si>
    <t>-LqiStIOrsWvqHHY5pFZ</t>
  </si>
  <si>
    <t>1570590134452</t>
  </si>
  <si>
    <t>-LqiSunkvt0Cqto7L-dx</t>
  </si>
  <si>
    <t>1570590140623</t>
  </si>
  <si>
    <t>-LqiSwO06xSaq4QK2haR</t>
  </si>
  <si>
    <t>1570590146853</t>
  </si>
  <si>
    <t>-LqiSy4VTtiXCBLkR6A1</t>
  </si>
  <si>
    <t>1570590154052</t>
  </si>
  <si>
    <t>-LqiSzdfaOFk24vWVUIV</t>
  </si>
  <si>
    <t>1570590160241</t>
  </si>
  <si>
    <t>-LqiT08dUuE6AswbG_Ks</t>
  </si>
  <si>
    <t>1570590166423</t>
  </si>
  <si>
    <t>-LqiT1vewxo2Br5hVlVW</t>
  </si>
  <si>
    <t>1570590173632</t>
  </si>
  <si>
    <t>-LqiT3dcWPCFiLBOc-FM</t>
  </si>
  <si>
    <t>1570590180853</t>
  </si>
  <si>
    <t>-LqiT5Rd5qO24tc310co</t>
  </si>
  <si>
    <t>1570590188052</t>
  </si>
  <si>
    <t>-LqiT79brJD9k1daJtkv</t>
  </si>
  <si>
    <t>1570590195251</t>
  </si>
  <si>
    <t>-LqiT8ytsRkp7XY6NLih</t>
  </si>
  <si>
    <t>1570590202472</t>
  </si>
  <si>
    <t>-LqiTAfVRsdopkhn-Ysn</t>
  </si>
  <si>
    <t>1570590209652</t>
  </si>
  <si>
    <t>-LqiTCEec-uTy4eq-lXm</t>
  </si>
  <si>
    <t>1570590215853</t>
  </si>
  <si>
    <t>-LqiTDxef2D9AZaDakOn</t>
  </si>
  <si>
    <t>1570590223093</t>
  </si>
  <si>
    <t>-LqiTFkj5YjXzBV2IN-l</t>
  </si>
  <si>
    <t>1570590230292</t>
  </si>
  <si>
    <t>-LqiTHSWFVNSJu4I8V1q</t>
  </si>
  <si>
    <t>1570590237491</t>
  </si>
  <si>
    <t>-LqiTJGkw2MO3nZoXdpR</t>
  </si>
  <si>
    <t>1570590244712</t>
  </si>
  <si>
    <t>-LqiTKzblDZEk7WpkROR</t>
  </si>
  <si>
    <t>1570590251902</t>
  </si>
  <si>
    <t>-LqiTMZ6D1IVk82dgJ3G</t>
  </si>
  <si>
    <t>1570590258093</t>
  </si>
  <si>
    <t>-LqiTOGdePt5tMpgCo30</t>
  </si>
  <si>
    <t>1570590265332</t>
  </si>
  <si>
    <t>-LqiTQ8dU0l4NiL4cB3s</t>
  </si>
  <si>
    <t>1570590272907</t>
  </si>
  <si>
    <t>-LqiTRmd12-RwbymVWpR</t>
  </si>
  <si>
    <t>1570590279734</t>
  </si>
  <si>
    <t>-LqiTT_cGSBgWWqfaC_X</t>
  </si>
  <si>
    <t>1570590286952</t>
  </si>
  <si>
    <t>-LqiTVcntcysPWvyuB7z</t>
  </si>
  <si>
    <t>1570590295352</t>
  </si>
  <si>
    <t>-LqiTXLkR4vVcff_eQ7y</t>
  </si>
  <si>
    <t>1570590302417</t>
  </si>
  <si>
    <t>-LqiTZ7gnXlkpN0AQgUI</t>
  </si>
  <si>
    <t>1570590309625</t>
  </si>
  <si>
    <t>-LqiT_rk-j_VS5Fq8H9t</t>
  </si>
  <si>
    <t>1570590316826</t>
  </si>
  <si>
    <t>-LqiTbN01Pg5zL1n3jZb</t>
  </si>
  <si>
    <t>1570590323017</t>
  </si>
  <si>
    <t>-LqiTctgWpZ9N2JpcCpB</t>
  </si>
  <si>
    <t>1570590329198</t>
  </si>
  <si>
    <t>-LqiTebhGhANbJLtx5Iy</t>
  </si>
  <si>
    <t>1570590336386</t>
  </si>
  <si>
    <t>-LqiTg_2ixjym63hKTXH</t>
  </si>
  <si>
    <t>1570590342565</t>
  </si>
  <si>
    <t>-LqiTi8lce5MxyHD0jep</t>
  </si>
  <si>
    <t>1570590350815</t>
  </si>
  <si>
    <t>-LqiTjghb8B9FzhsXG9N</t>
  </si>
  <si>
    <t>1570590357015</t>
  </si>
  <si>
    <t>-LqiTlQkgR8mNlVoS6Eh</t>
  </si>
  <si>
    <t>1570590364215</t>
  </si>
  <si>
    <t>-LqiTnCjOgHAj8RbZEJ5</t>
  </si>
  <si>
    <t>1570590371438</t>
  </si>
  <si>
    <t>-LqiTovgLpmi-8-8OWL1</t>
  </si>
  <si>
    <t>1570590378617</t>
  </si>
  <si>
    <t>-LqiTqUgL4EP1m7mdpXK</t>
  </si>
  <si>
    <t>1570590384817</t>
  </si>
  <si>
    <t>-LqiTsCiEj9VfrO21_gj</t>
  </si>
  <si>
    <t>1570590392060</t>
  </si>
  <si>
    <t>-LqiTu4f4KT1WnQ_8nRo</t>
  </si>
  <si>
    <t>1570590399759</t>
  </si>
  <si>
    <t>-LqiTvih39pfprXTMBUU</t>
  </si>
  <si>
    <t>1570590406455</t>
  </si>
  <si>
    <t>-LqiTxWp4-I_MFO4ARxh</t>
  </si>
  <si>
    <t>1570590413677</t>
  </si>
  <si>
    <t>-LqiTzDR8BemRtZe5yQJ</t>
  </si>
  <si>
    <t>1570590420856</t>
  </si>
  <si>
    <t>-LqiU01htq5NWqFscz-y</t>
  </si>
  <si>
    <t>1570590428097</t>
  </si>
  <si>
    <t>-LqiU1kpNcQ8yW9cFm6U</t>
  </si>
  <si>
    <t>1570590435296</t>
  </si>
  <si>
    <t>-LqiU3JgDST93aL8R2b2</t>
  </si>
  <si>
    <t>1570590441487</t>
  </si>
  <si>
    <t>-LqiU4ngJYTK7zkm6vqJ</t>
  </si>
  <si>
    <t>1570590447676</t>
  </si>
  <si>
    <t>-LqiU6ap4y9g1YGIif9T</t>
  </si>
  <si>
    <t>1570590454886</t>
  </si>
  <si>
    <t>-LqiU8JgMW-IfTImeab7</t>
  </si>
  <si>
    <t>1570590462095</t>
  </si>
  <si>
    <t>-LqiUA7mkqcHhRAuRG_i</t>
  </si>
  <si>
    <t>1570590469315</t>
  </si>
  <si>
    <t>-LqiUBpghiExXba0ZyOG</t>
  </si>
  <si>
    <t>1570590476535</t>
  </si>
  <si>
    <t>-LqiUDcic4f8tvk1dbiW</t>
  </si>
  <si>
    <t>1570590483735</t>
  </si>
  <si>
    <t>-LqiUFMwe1KA_v-z2Z-f</t>
  </si>
  <si>
    <t>1570590490936</t>
  </si>
  <si>
    <t>-LqiUHAzn9FqDw8Vg9tQ</t>
  </si>
  <si>
    <t>1570590498175</t>
  </si>
  <si>
    <t>-LqiUIrDKjV2fR5sbi27</t>
  </si>
  <si>
    <t>1570590505347</t>
  </si>
  <si>
    <t>-LqiUKNo4XYGU7t51KVP</t>
  </si>
  <si>
    <t>1570590511531</t>
  </si>
  <si>
    <t>-LqiULuN_pX_vtX9CqRi</t>
  </si>
  <si>
    <t>1570590517736</t>
  </si>
  <si>
    <t>-LqiUNirCjBTbS6TVaA-</t>
  </si>
  <si>
    <t>1570590523920</t>
  </si>
  <si>
    <t>-LqiUPQoL-TnJUtBPQ_7</t>
  </si>
  <si>
    <t>1570590532164</t>
  </si>
  <si>
    <t>-LqiUQyx_ZoTzGjLOQwL</t>
  </si>
  <si>
    <t>1570590538335</t>
  </si>
  <si>
    <t>-LqiUShBWdel5bnxnIvt</t>
  </si>
  <si>
    <t>1570590545564</t>
  </si>
  <si>
    <t>-LqiUUGHevHhRNJD8BtH</t>
  </si>
  <si>
    <t>1570590551724</t>
  </si>
  <si>
    <t>-LqiUWNDYt4csFoQS6DX</t>
  </si>
  <si>
    <t>1570590560670</t>
  </si>
  <si>
    <t>-LqiUXyh10Nrur38N_jW</t>
  </si>
  <si>
    <t>1570590567176</t>
  </si>
  <si>
    <t>-LqiUZozSMGQSuI4lEke</t>
  </si>
  <si>
    <t>1570590573371</t>
  </si>
  <si>
    <t>-LqiUaUibubAoffIwi-g</t>
  </si>
  <si>
    <t>1570590581596</t>
  </si>
  <si>
    <t>-LqiUbzmJtOE8RBNp2Uj</t>
  </si>
  <si>
    <t>1570590587815</t>
  </si>
  <si>
    <t>-LqiUdYsj65iXYD7Dnki</t>
  </si>
  <si>
    <t>1570590593965</t>
  </si>
  <si>
    <t>-LqiUfH0GheqNjxJLF5E</t>
  </si>
  <si>
    <t>1570590601176</t>
  </si>
  <si>
    <t>-LqiUgmBJ9BUEWgXMeWa</t>
  </si>
  <si>
    <t>1570590607366</t>
  </si>
  <si>
    <t>-LqiUiLLTPJdGdHcCrVw</t>
  </si>
  <si>
    <t>1570590613574</t>
  </si>
  <si>
    <t>-LqiUk20fjtXMbkEWubf</t>
  </si>
  <si>
    <t>1570590620769</t>
  </si>
  <si>
    <t>-LqiUlZwZcPkU4D_f8iI</t>
  </si>
  <si>
    <t>1570590626951</t>
  </si>
  <si>
    <t>-LqiUn2rh7wRAANceQY0</t>
  </si>
  <si>
    <t>1570590633110</t>
  </si>
  <si>
    <t>-LqiUo_2s6waB2XyEuei</t>
  </si>
  <si>
    <t>1570590639351</t>
  </si>
  <si>
    <t>-LqiUq5RvkXLFm-tGzP8</t>
  </si>
  <si>
    <t>1570590645487</t>
  </si>
  <si>
    <t>-LqiUrail4dQinCD-g6x</t>
  </si>
  <si>
    <t>1570590651646</t>
  </si>
  <si>
    <t>-LqiUt4qw4wgmXrc3RWw</t>
  </si>
  <si>
    <t>1570590657835</t>
  </si>
  <si>
    <t>-LqiUuc4Yo89r1c_0oA2</t>
  </si>
  <si>
    <t>1570590664030</t>
  </si>
  <si>
    <t>-LqiUw6uMgh6JEhxEFlr</t>
  </si>
  <si>
    <t>1570590670223</t>
  </si>
  <si>
    <t>-LqiUxfvXjRqa6sSOVbA</t>
  </si>
  <si>
    <t>1570590676393</t>
  </si>
  <si>
    <t>-LqiUzOvouigciueD11H</t>
  </si>
  <si>
    <t>1570590683584</t>
  </si>
  <si>
    <t>-Lqic7cecSz-3J5A-5F6</t>
  </si>
  <si>
    <t>-Lqic9LYcsxUCrTljxm9</t>
  </si>
  <si>
    <t>1570592825729</t>
  </si>
  <si>
    <t>-LqicAukc08yChK4bNd_</t>
  </si>
  <si>
    <t>1570592831900</t>
  </si>
  <si>
    <t>-LqicCchMSvSKf8-rA3-</t>
  </si>
  <si>
    <t>1570592839103</t>
  </si>
  <si>
    <t>-LqicERs7m7K89IGNyPE</t>
  </si>
  <si>
    <t>1570592846331</t>
  </si>
  <si>
    <t>-LqicGEsZzhlGMz59bG9</t>
  </si>
  <si>
    <t>1570592853821</t>
  </si>
  <si>
    <t>-LqicHyGkt2UuVr0P62S</t>
  </si>
  <si>
    <t>1570592860753</t>
  </si>
  <si>
    <t>-LqicJemhZpGaExqFMBV</t>
  </si>
  <si>
    <t>1570592867973</t>
  </si>
  <si>
    <t>-LqicLF1aFJRSS1ONJf_</t>
  </si>
  <si>
    <t>1570592874143</t>
  </si>
  <si>
    <t>-LqicMxrRx91LXzZXjyE</t>
  </si>
  <si>
    <t>1570592881342</t>
  </si>
  <si>
    <t>-LqicOWssUXl-VXXJRwM</t>
  </si>
  <si>
    <t>1570592887532</t>
  </si>
  <si>
    <t>-LqicQEt2uXECpVHJomm</t>
  </si>
  <si>
    <t>1570592894752</t>
  </si>
  <si>
    <t>-LqicS21z_Yv9lGtJlVD</t>
  </si>
  <si>
    <t>1570592900933</t>
  </si>
  <si>
    <t>-LqicTktQ-vw_PI9npOU</t>
  </si>
  <si>
    <t>1570592909184</t>
  </si>
  <si>
    <t>-LqicVYtXnXxny1n_xQb</t>
  </si>
  <si>
    <t>1570592916393</t>
  </si>
  <si>
    <t>-LqicXGrwyh_rTyVhyMa</t>
  </si>
  <si>
    <t>1570592923583</t>
  </si>
  <si>
    <t>-LqicYpP14bWVRoFfj66</t>
  </si>
  <si>
    <t>1570592929773</t>
  </si>
  <si>
    <t>-Lqic_YqeCs8-u1OFKfT</t>
  </si>
  <si>
    <t>1570592937003</t>
  </si>
  <si>
    <t>-LqicbLs5RZa2Cwr1tsb</t>
  </si>
  <si>
    <t>1570592944214</t>
  </si>
  <si>
    <t>-LqicdNtnbHaxOnMWL6d</t>
  </si>
  <si>
    <t>1570592952512</t>
  </si>
  <si>
    <t>-Lqicf7672LpNeblKlza</t>
  </si>
  <si>
    <t>1570592959675</t>
  </si>
  <si>
    <t>-Lqicgu1m77Gz4pSDzXx</t>
  </si>
  <si>
    <t>1570592966884</t>
  </si>
  <si>
    <t>-LqicibtPbftTHDS-KSK</t>
  </si>
  <si>
    <t>1570592974093</t>
  </si>
  <si>
    <t>-LqickPr5rujQdsydPR0</t>
  </si>
  <si>
    <t>1570592981303</t>
  </si>
  <si>
    <t>-Lqicm7sHr1t7y160tCO</t>
  </si>
  <si>
    <t>1570592988512</t>
  </si>
  <si>
    <t>-LqicnvtzlIYyUbMhBbL</t>
  </si>
  <si>
    <t>1570592995733</t>
  </si>
  <si>
    <t>-LqicpdsWATM98YXU-pb</t>
  </si>
  <si>
    <t>1570593002942</t>
  </si>
  <si>
    <t>-LqicrRszeFuzbO6B49Q</t>
  </si>
  <si>
    <t>1570593010152</t>
  </si>
  <si>
    <t>-Lqict7N5439tJcftXff</t>
  </si>
  <si>
    <t>1570593017342</t>
  </si>
  <si>
    <t>-LqicuhlSMIszqvqP_TZ</t>
  </si>
  <si>
    <t>1570593023543</t>
  </si>
  <si>
    <t>-LqicwRsvrPKw7BF-iZX</t>
  </si>
  <si>
    <t>1570593030762</t>
  </si>
  <si>
    <t>-LqicyY1VWBA2B4YrPpt</t>
  </si>
  <si>
    <t>1570593037971</t>
  </si>
  <si>
    <t>-Lqid-VaMpw28kIsbTRX</t>
  </si>
  <si>
    <t>1570593046212</t>
  </si>
  <si>
    <t>-Lqid1DtB4oLUlGCu4en</t>
  </si>
  <si>
    <t>1570593054463</t>
  </si>
  <si>
    <t>-Lqid2htWkLW1sqRn2Js</t>
  </si>
  <si>
    <t>1570593060633</t>
  </si>
  <si>
    <t>-Lqid4H0D2l91VxG-X65</t>
  </si>
  <si>
    <t>1570593066822</t>
  </si>
  <si>
    <t>-Lqid5zt4T1umG7zTZ0b</t>
  </si>
  <si>
    <t>1570593074044</t>
  </si>
  <si>
    <t>-Lqid7o7BBQa24p6KnQJ</t>
  </si>
  <si>
    <t>1570593081261</t>
  </si>
  <si>
    <t>-Lqid9VrECK8MOlsDdzb</t>
  </si>
  <si>
    <t>1570593088463</t>
  </si>
  <si>
    <t>-LqidBHximQJY5tMVxSc</t>
  </si>
  <si>
    <t>1570593095675</t>
  </si>
  <si>
    <t>-LqidD5sk7y6C9gDUGMI</t>
  </si>
  <si>
    <t>1570593102882</t>
  </si>
  <si>
    <t>-LqidEp3aTaHRy3MrLc6</t>
  </si>
  <si>
    <t>1570593110102</t>
  </si>
  <si>
    <t>-LqidGbizS1alUJXgUA0</t>
  </si>
  <si>
    <t>1570593117314</t>
  </si>
  <si>
    <t>-LqidIKrw6dVBrTJ83Ta</t>
  </si>
  <si>
    <t>1570593124524</t>
  </si>
  <si>
    <t>-LqidK7sAiPGX_3re3ve</t>
  </si>
  <si>
    <t>1570593131732</t>
  </si>
  <si>
    <t>-LqidLqtZ3oD8aRmygPw</t>
  </si>
  <si>
    <t>1570593138944</t>
  </si>
  <si>
    <t>-LqidNdrqfgnqfncV8l2</t>
  </si>
  <si>
    <t>1570593146155</t>
  </si>
  <si>
    <t>-LqidPMrmIjQnboqDOKn</t>
  </si>
  <si>
    <t>1570593153345</t>
  </si>
  <si>
    <t>-LqidQvr14kL5ivKtolF</t>
  </si>
  <si>
    <t>1570593159572</t>
  </si>
  <si>
    <t>-LqidSdrNa7Bm-SE4nxR</t>
  </si>
  <si>
    <t>1570593166784</t>
  </si>
  <si>
    <t>-LqidUSBOnpVgFlCAddz</t>
  </si>
  <si>
    <t>1570593173984</t>
  </si>
  <si>
    <t>-LqidW9rp1aCdfrUfvbK</t>
  </si>
  <si>
    <t>1570593181184</t>
  </si>
  <si>
    <t>-LqidYBs4BvkbVSLRfBj</t>
  </si>
  <si>
    <t>1570593188405</t>
  </si>
  <si>
    <t>-LqidZurEa8trbgA04p8</t>
  </si>
  <si>
    <t>1570593196614</t>
  </si>
  <si>
    <t>-LqidaTsufdoo_PnGBcq</t>
  </si>
  <si>
    <t>1570593202834</t>
  </si>
  <si>
    <t>-LqidcBqKV3fdVQeDPuM</t>
  </si>
  <si>
    <t>1570593210060</t>
  </si>
  <si>
    <t>-LqiddkqdegT3qjuikTJ</t>
  </si>
  <si>
    <t>1570593216221</t>
  </si>
  <si>
    <t>-LqidfTp0yVMIkzR52L2</t>
  </si>
  <si>
    <t>1570593223430</t>
  </si>
  <si>
    <t>-Lqidh2-4_3W6r1blPEB</t>
  </si>
  <si>
    <t>1570593229635</t>
  </si>
  <si>
    <t>-LqidikqI1e4i4r6NPz1</t>
  </si>
  <si>
    <t>1570593236829</t>
  </si>
  <si>
    <t>-LqidkYoZkDFFtXjiS_c</t>
  </si>
  <si>
    <t>1570593244040</t>
  </si>
  <si>
    <t>-LqidmGqbImu28xypsQ5</t>
  </si>
  <si>
    <t>1570593251260</t>
  </si>
  <si>
    <t>-Lqido3q5_03SIyP6iyu</t>
  </si>
  <si>
    <t>1570593258470</t>
  </si>
  <si>
    <t>-LqidpmofAEVmdHbBjfc</t>
  </si>
  <si>
    <t>1570593265663</t>
  </si>
  <si>
    <t>-LqidrM7PppC_aUqF1GH</t>
  </si>
  <si>
    <t>1570593272102</t>
  </si>
  <si>
    <t>-Lqidt4-0ZEJ4rqEdMVD</t>
  </si>
  <si>
    <t>1570593279079</t>
  </si>
  <si>
    <t>-Lqidv5qVB3dTb8XmjGW</t>
  </si>
  <si>
    <t>1570593287450</t>
  </si>
  <si>
    <t>-LqidwnjP-uZvtHNkFnE</t>
  </si>
  <si>
    <t>1570593294530</t>
  </si>
  <si>
    <t>-LqidyNp3Oeiu8cioubZ</t>
  </si>
  <si>
    <t>1570593300712</t>
  </si>
  <si>
    <t>-Lqie-4knXeCbUpdxlqB</t>
  </si>
  <si>
    <t>1570593307901</t>
  </si>
  <si>
    <t>-Lqie0sj_zceiwssuHBk</t>
  </si>
  <si>
    <t>1570593315140</t>
  </si>
  <si>
    <t>-Lqie2bzLBwpyjL4W3LY</t>
  </si>
  <si>
    <t>1570593322374</t>
  </si>
  <si>
    <t>-Lqie49l2LnN6l_d3LXO</t>
  </si>
  <si>
    <t>1570593328532</t>
  </si>
  <si>
    <t>-Lqie5smrnTjGhiztxmA</t>
  </si>
  <si>
    <t>1570593335770</t>
  </si>
  <si>
    <t>-Lqie7h0wP8yDgOqVyRj</t>
  </si>
  <si>
    <t>1570593342962</t>
  </si>
  <si>
    <t>-Lqie9OuXgbVCt3pssAo</t>
  </si>
  <si>
    <t>1570593350150</t>
  </si>
  <si>
    <t>-LqieAxkekO90dbX5uS5</t>
  </si>
  <si>
    <t>1570593356331</t>
  </si>
  <si>
    <t>-LqieCvnQnQbd5cCamI1</t>
  </si>
  <si>
    <t>1570593363581</t>
  </si>
  <si>
    <t>-LqieETv9sl92ifCIPWf</t>
  </si>
  <si>
    <t>1570593370782</t>
  </si>
  <si>
    <t>-LqieGBmRZry_kiFbDNB</t>
  </si>
  <si>
    <t>1570593377982</t>
  </si>
  <si>
    <t>-LqieHkrxzW6jl_cRd5u</t>
  </si>
  <si>
    <t>1570593384172</t>
  </si>
  <si>
    <t>-LqieJTkzRDJl50K6fpJ</t>
  </si>
  <si>
    <t>1570593391380</t>
  </si>
  <si>
    <t>-LqieLGksWJM2JDxsi5K</t>
  </si>
  <si>
    <t>1570593398600</t>
  </si>
  <si>
    <t>-LqieMzkT9YVUNeogxkP</t>
  </si>
  <si>
    <t>1570593405820</t>
  </si>
  <si>
    <t>-LqieOmlTtePFtX9Nz0W</t>
  </si>
  <si>
    <t>1570593413020</t>
  </si>
  <si>
    <t>-LqieQjkbKrmfbQGb7si</t>
  </si>
  <si>
    <t>1570593421137</t>
  </si>
  <si>
    <t>-LqieSIk4PuUkLQEWj6d</t>
  </si>
  <si>
    <t>1570593427452</t>
  </si>
  <si>
    <t>-LqieU-vXpuTwq-XmkrI</t>
  </si>
  <si>
    <t>1570593434631</t>
  </si>
  <si>
    <t>-LqieVapIhrdnPDdL-WJ</t>
  </si>
  <si>
    <t>1570593440811</t>
  </si>
  <si>
    <t>-LqieXqrH4yKD903HI8Y</t>
  </si>
  <si>
    <t>1570593450300</t>
  </si>
  <si>
    <t>-LqieZZka96Vn9F9AYkV</t>
  </si>
  <si>
    <t>1570593457343</t>
  </si>
  <si>
    <t>-LqieaMsokr0HD4mHXjG</t>
  </si>
  <si>
    <t>1570593464541</t>
  </si>
  <si>
    <t>-Lqiec4TX0BkFRhL-PqK</t>
  </si>
  <si>
    <t>1570593471741</t>
  </si>
  <si>
    <t>-LqiedsjBHRHaCthBt8z</t>
  </si>
  <si>
    <t>1570593478972</t>
  </si>
  <si>
    <t>-LqiefalZHRPAJjRtyEl</t>
  </si>
  <si>
    <t>1570593486155</t>
  </si>
  <si>
    <t>-Lqieh9lgvJ2wmOVTfuJ</t>
  </si>
  <si>
    <t>1570593492330</t>
  </si>
  <si>
    <t>-LqieisjUnN96i4Yzfo8</t>
  </si>
  <si>
    <t>1570593499582</t>
  </si>
  <si>
    <t>-LqiekgxsqJb2OjqOv9o</t>
  </si>
  <si>
    <t>1570593506781</t>
  </si>
  <si>
    <t>-LqiemOkazRcus51MIJr</t>
  </si>
  <si>
    <t>1570593513981</t>
  </si>
  <si>
    <t>-LqieoVTrkQHrsFxmtLw</t>
  </si>
  <si>
    <t>1570593521201</t>
  </si>
  <si>
    <t>-LqieqEoIBupmW5Sid3b</t>
  </si>
  <si>
    <t>1570593529441</t>
  </si>
  <si>
    <t>-LqierxzOpQr7CaEOGoH</t>
  </si>
  <si>
    <t>1570593536669</t>
  </si>
  <si>
    <t>-LqietjQJH9pNM0-9kfB</t>
  </si>
  <si>
    <t>1570593543869</t>
  </si>
  <si>
    <t>-LqievTh1MzZykr4UUXi</t>
  </si>
  <si>
    <t>1570593551100</t>
  </si>
  <si>
    <t>-LqiexGpWaYsJdzyI2n1</t>
  </si>
  <si>
    <t>1570593558292</t>
  </si>
  <si>
    <t>-LqieyzoyJHT4RljKX0Q</t>
  </si>
  <si>
    <t>1570593565501</t>
  </si>
  <si>
    <t>-Lqif-moOYKlo_KxchXA</t>
  </si>
  <si>
    <t>1570593572720</t>
  </si>
  <si>
    <t>-Lqif1VqF5QiHeOs86ll</t>
  </si>
  <si>
    <t>1570593579910</t>
  </si>
  <si>
    <t>-Lqif33pJMCwEXw4VwTG</t>
  </si>
  <si>
    <t>1570593586114</t>
  </si>
  <si>
    <t>-Lqif4mqL3DoPa3Eofz3</t>
  </si>
  <si>
    <t>1570593593341</t>
  </si>
  <si>
    <t>-Lqif6_pRBF0sVnORL8k</t>
  </si>
  <si>
    <t>1570593600541</t>
  </si>
  <si>
    <t>-Lqif8IoEWRdvQYBVlag</t>
  </si>
  <si>
    <t>1570593607740</t>
  </si>
  <si>
    <t>-LqifA5ro345FMgJyNXQ</t>
  </si>
  <si>
    <t>1570593614962</t>
  </si>
  <si>
    <t>-LqifBopAW6h8r2edI_8</t>
  </si>
  <si>
    <t>1570593622150</t>
  </si>
  <si>
    <t>-LqifDNpL709-IVOvNeZ</t>
  </si>
  <si>
    <t>1570593628336</t>
  </si>
  <si>
    <t>-LqifFVRvOor3B_I-tS7</t>
  </si>
  <si>
    <t>1570593635581</t>
  </si>
  <si>
    <t>-LqifH7pCq8CoItggk2I</t>
  </si>
  <si>
    <t>1570593643810</t>
  </si>
  <si>
    <t>-LqifIqovkxurynFe9H2</t>
  </si>
  <si>
    <t>1570593651021</t>
  </si>
  <si>
    <t>-LqifKPpQ2XWSeNgqO71</t>
  </si>
  <si>
    <t>1570593657200</t>
  </si>
  <si>
    <t>-LqifM7qAEjr6oAXgZnG</t>
  </si>
  <si>
    <t>1570593664390</t>
  </si>
  <si>
    <t>-LqifNbpGS3u0QRGKIf5</t>
  </si>
  <si>
    <t>1570593670550</t>
  </si>
  <si>
    <t>-LqifPApxWbRgQTPdU2A</t>
  </si>
  <si>
    <t>1570593676770</t>
  </si>
  <si>
    <t>-LqifQz7BUYfcNRrSgwb</t>
  </si>
  <si>
    <t>1570593684001</t>
  </si>
  <si>
    <t>-LqifSgy5K1ImScwpNON</t>
  </si>
  <si>
    <t>1570593691201</t>
  </si>
  <si>
    <t>-LqifUUk0lSEEy8GOhhZ</t>
  </si>
  <si>
    <t>1570593698409</t>
  </si>
  <si>
    <t>-LqifWCo48Bz4gbi3zvF</t>
  </si>
  <si>
    <t>1570593705631</t>
  </si>
  <si>
    <t>-LqifXvxwWPNDmFN9EmV</t>
  </si>
  <si>
    <t>1570593712829</t>
  </si>
  <si>
    <t>-LqifZUy_ZvP5rT6wfTo</t>
  </si>
  <si>
    <t>1570593719019</t>
  </si>
  <si>
    <t>-LqifaCoOVJH-Iw_sgJ8</t>
  </si>
  <si>
    <t>1570593726232</t>
  </si>
  <si>
    <t>-Lqifblqq6cqUHMxgp6L</t>
  </si>
  <si>
    <t>1570593732410</t>
  </si>
  <si>
    <t>-LqifdUoK4bLVnmoWEjA</t>
  </si>
  <si>
    <t>1570593739639</t>
  </si>
  <si>
    <t>-LqiffE6nUrNhYK7QW_j</t>
  </si>
  <si>
    <t>1570593745810</t>
  </si>
  <si>
    <t>-Lqifh4Z_9p9TwA4hoVa</t>
  </si>
  <si>
    <t>1570593753019</t>
  </si>
  <si>
    <t>-Lqifinw2sQsDFFgatMy</t>
  </si>
  <si>
    <t>1570593761275</t>
  </si>
  <si>
    <t>-LqifkWvVZDHH5zdNuOn</t>
  </si>
  <si>
    <t>1570593768476</t>
  </si>
  <si>
    <t>-Lqifm4vDw2eNGgYiReg</t>
  </si>
  <si>
    <t>1570593774672</t>
  </si>
  <si>
    <t>-Lqifnn8p9hLwwkhAlMT</t>
  </si>
  <si>
    <t>1570593781855</t>
  </si>
  <si>
    <t>-LqifpMsV8I-WIJdlL7a</t>
  </si>
  <si>
    <t>1570593788064</t>
  </si>
  <si>
    <t>-Lqifr3dm0-4ou2x_JoR</t>
  </si>
  <si>
    <t>1570593795265</t>
  </si>
  <si>
    <t>-Lqifsds10RfOG2Vdf2e</t>
  </si>
  <si>
    <t>1570593801478</t>
  </si>
  <si>
    <t>-LqifuNC28GQyHNi6v-f</t>
  </si>
  <si>
    <t>1570593808666</t>
  </si>
  <si>
    <t>-Lqifw9sOAdWTqu45L0U</t>
  </si>
  <si>
    <t>1570593815875</t>
  </si>
  <si>
    <t>-Lqifxsu9V5r3DpCRHUZ</t>
  </si>
  <si>
    <t>1570593823113</t>
  </si>
  <si>
    <t>-LqifzfoUTu6blglO2R5</t>
  </si>
  <si>
    <t>1570593830314</t>
  </si>
  <si>
    <t>-Lqig0OvSoHH2XCEkWij</t>
  </si>
  <si>
    <t>1570593837504</t>
  </si>
  <si>
    <t>-Lqig1y3z5nclKCSJtyO</t>
  </si>
  <si>
    <t>1570593843744</t>
  </si>
  <si>
    <t>-Lqig3eVp290w52YRH4I</t>
  </si>
  <si>
    <t>1570593850914</t>
  </si>
  <si>
    <t>-Lqig59wFBMOtLXSawDA</t>
  </si>
  <si>
    <t>1570593857093</t>
  </si>
  <si>
    <t>-Lqig6iuyCin3aDKvUFW</t>
  </si>
  <si>
    <t>1570593863265</t>
  </si>
  <si>
    <t>-Lqig8S1V9M6uUiTV3Vt</t>
  </si>
  <si>
    <t>1570593870464</t>
  </si>
  <si>
    <t>-LqigA-lnnRNY9y-mG7i</t>
  </si>
  <si>
    <t>1570593876654</t>
  </si>
  <si>
    <t>-LqigBkYOGyAzfwhOGlR</t>
  </si>
  <si>
    <t>1570593883883</t>
  </si>
  <si>
    <t>-LqigDpuxipqxvI8K3Fl</t>
  </si>
  <si>
    <t>1570593892344</t>
  </si>
  <si>
    <t>-LqigFUMb8mW0ztPrruw</t>
  </si>
  <si>
    <t>1570593899335</t>
  </si>
  <si>
    <t>-LqigH1usVPh3EJ6AoWL</t>
  </si>
  <si>
    <t>1570593905514</t>
  </si>
  <si>
    <t>-LqigIku3y-6qiXEhWjJ</t>
  </si>
  <si>
    <t>1570593912704</t>
  </si>
  <si>
    <t>-LqigKJsFRNjHTJhQzcM</t>
  </si>
  <si>
    <t>1570593918904</t>
  </si>
  <si>
    <t>-LqigM245dYbGz_kHo5E</t>
  </si>
  <si>
    <t>1570593926144</t>
  </si>
  <si>
    <t>-LqigNpkhl20J7CrSSUo</t>
  </si>
  <si>
    <t>1570593933335</t>
  </si>
  <si>
    <t>-LqigPoJteZ_ErpIVUBA</t>
  </si>
  <si>
    <t>1570593941295</t>
  </si>
  <si>
    <t>-LqigRKUtX-cTRd9pKAT</t>
  </si>
  <si>
    <t>1570593947763</t>
  </si>
  <si>
    <t>-LqigT3uIhTZrvBwtSNa</t>
  </si>
  <si>
    <t>1570593954945</t>
  </si>
  <si>
    <t>-LqigUct8rfKDMjyTJl7</t>
  </si>
  <si>
    <t>1570593961135</t>
  </si>
  <si>
    <t>-LqigWLtlQNb7KKdXNhR</t>
  </si>
  <si>
    <t>1570593968383</t>
  </si>
  <si>
    <t>-LqigY8sb97cq-DIzym7</t>
  </si>
  <si>
    <t>1570593975585</t>
  </si>
  <si>
    <t>-LqigZrtQvWlHEf2YzA_</t>
  </si>
  <si>
    <t>1570593982784</t>
  </si>
  <si>
    <t>-LqigfKmotZjiofTK2FN</t>
  </si>
  <si>
    <t>1570594009330</t>
  </si>
  <si>
    <t>-Lqigh3qbka3M-lrTgpE</t>
  </si>
  <si>
    <t>1570594016193</t>
  </si>
  <si>
    <t>-LqigimrS5BMd5oQv53q</t>
  </si>
  <si>
    <t>1570594023403</t>
  </si>
  <si>
    <t>-LqigkHVZrRgNfS40IZh</t>
  </si>
  <si>
    <t>1570594029681</t>
  </si>
  <si>
    <t>-LqiglocvNbonkIOHMBW</t>
  </si>
  <si>
    <t>1570594035773</t>
  </si>
  <si>
    <t>-LqignYtItck077_KvGU</t>
  </si>
  <si>
    <t>1570594043013</t>
  </si>
  <si>
    <t>-Lqigp1sIXlSWhRb2zTy</t>
  </si>
  <si>
    <t>1570594049154</t>
  </si>
  <si>
    <t>-Lqigq_lhJ64Lmc6NPvg</t>
  </si>
  <si>
    <t>1570594055392</t>
  </si>
  <si>
    <t>-LqigsP3yZr6WEYPli00</t>
  </si>
  <si>
    <t>1570594062591</t>
  </si>
  <si>
    <t>-Lqigu5mXPRts84otMRJ</t>
  </si>
  <si>
    <t>1570594069825</t>
  </si>
  <si>
    <t>-LqigvuFo6iDmSQL7sD1</t>
  </si>
  <si>
    <t>1570594077012</t>
  </si>
  <si>
    <t>-LqigxcrqgluOtGEvEqK</t>
  </si>
  <si>
    <t>1570594084223</t>
  </si>
  <si>
    <t>-LqigzQQrqqRyO5-XBP5</t>
  </si>
  <si>
    <t>1570594091442</t>
  </si>
  <si>
    <t>-Lqih08tY4lahMygsZZb</t>
  </si>
  <si>
    <t>1570594098623</t>
  </si>
  <si>
    <t>-Lqih1htsVRzYmiFQnRq</t>
  </si>
  <si>
    <t>1570594104833</t>
  </si>
  <si>
    <t>-Lqih3QtYnoWGyB2ONI3</t>
  </si>
  <si>
    <t>1570594112093</t>
  </si>
  <si>
    <t>-Lqih5CqPWB4sD6w5Ac4</t>
  </si>
  <si>
    <t>1570594119262</t>
  </si>
  <si>
    <t>-Lqih6x0fV6MQ5Cbd0iL</t>
  </si>
  <si>
    <t>1570594126462</t>
  </si>
  <si>
    <t>-Lqih8ejlzdTDrcuQj8_</t>
  </si>
  <si>
    <t>1570594133652</t>
  </si>
  <si>
    <t>-LqihAE0INkMnHa2tuDQ</t>
  </si>
  <si>
    <t>1570594139882</t>
  </si>
  <si>
    <t>-LqihC0w3KPow7zabCX3</t>
  </si>
  <si>
    <t>1570594147073</t>
  </si>
  <si>
    <t>-LqihDk2-yet0ilf5YSp</t>
  </si>
  <si>
    <t>1570594154302</t>
  </si>
  <si>
    <t>-LqihFZ85KduvsPB2tOX</t>
  </si>
  <si>
    <t>1570594161502</t>
  </si>
  <si>
    <t>-LqihHFvBnptS5CT1QrF</t>
  </si>
  <si>
    <t>1570594168704</t>
  </si>
  <si>
    <t>-LqihInd2asRa9Iy48Gt</t>
  </si>
  <si>
    <t>1570594174893</t>
  </si>
  <si>
    <t>-LqihKIt93cEnqUe87aM</t>
  </si>
  <si>
    <t>1570594181073</t>
  </si>
  <si>
    <t>-LqihM0q_k2z_wzEvsWH</t>
  </si>
  <si>
    <t>1570594188313</t>
  </si>
  <si>
    <t>-LqihN_x4h_P9nRpWJ7S</t>
  </si>
  <si>
    <t>1570594194475</t>
  </si>
  <si>
    <t>-LqihPHTkn870I-tDD-c</t>
  </si>
  <si>
    <t>1570594201665</t>
  </si>
  <si>
    <t>-LqihQmuv5SiF8n0_7Ld</t>
  </si>
  <si>
    <t>1570594207832</t>
  </si>
  <si>
    <t>-LqihSM0pCmnxSOPZSPA</t>
  </si>
  <si>
    <t>1570594214053</t>
  </si>
  <si>
    <t>-LqihU7SCTPeFEuhz12p</t>
  </si>
  <si>
    <t>1570594221272</t>
  </si>
  <si>
    <t>-LqihWBOqFBcSxHFmNbS</t>
  </si>
  <si>
    <t>1570594228472</t>
  </si>
  <si>
    <t>-LqihYCk9jlxls1vL3k1</t>
  </si>
  <si>
    <t>1570594236712</t>
  </si>
  <si>
    <t>-LqihZw3EZVsD3ewl87i</t>
  </si>
  <si>
    <t>1570594244964</t>
  </si>
  <si>
    <t>-LqihaczGwhZgoc4uZLh</t>
  </si>
  <si>
    <t>1570594252200</t>
  </si>
  <si>
    <t>-LqihcS2XoFLr4h6bH5B</t>
  </si>
  <si>
    <t>1570594259385</t>
  </si>
  <si>
    <t>-LqiheEvZncZGbklG8Xc</t>
  </si>
  <si>
    <t>1570594266625</t>
  </si>
  <si>
    <t>-LqihfzJS1XBjAPbCzHy</t>
  </si>
  <si>
    <t>1570594273814</t>
  </si>
  <si>
    <t>-LqihhfxN_B6Kk79MK_F</t>
  </si>
  <si>
    <t>1570594281025</t>
  </si>
  <si>
    <t>-LqihjVAYwW-lPMNgHYC</t>
  </si>
  <si>
    <t>1570594288245</t>
  </si>
  <si>
    <t>-LqihlCBv_3uo5U7XeLE</t>
  </si>
  <si>
    <t>1570594295441</t>
  </si>
  <si>
    <t>-Lqihmkv5jpEc0ljXEhE</t>
  </si>
  <si>
    <t>1570594301625</t>
  </si>
  <si>
    <t>-LqihoUNOZmQRdMz1YeF</t>
  </si>
  <si>
    <t>1570594308845</t>
  </si>
  <si>
    <t>-LqihqGws2xMzJ98lMcC</t>
  </si>
  <si>
    <t>1570594316063</t>
  </si>
  <si>
    <t>-LqihrzueEjGoqoUCRA4</t>
  </si>
  <si>
    <t>1570594323275</t>
  </si>
  <si>
    <t>-Lqihu63eW7t3HQmkmqk</t>
  </si>
  <si>
    <t>1570594330491</t>
  </si>
  <si>
    <t>-Lqihvp12AFsyWzdVpvT</t>
  </si>
  <si>
    <t>1570594338735</t>
  </si>
  <si>
    <t>-LqihxY2KYmFDyq4WVU9</t>
  </si>
  <si>
    <t>1570594345925</t>
  </si>
  <si>
    <t>-LqihzKxbtfXVuqFSTVY</t>
  </si>
  <si>
    <t>1570594353144</t>
  </si>
  <si>
    <t>-Lqii02Sg2ZFqUxKayRa</t>
  </si>
  <si>
    <t>1570594360354</t>
  </si>
  <si>
    <t>-Lqii1qxycaIir4Bdjhg</t>
  </si>
  <si>
    <t>1570594367574</t>
  </si>
  <si>
    <t>-Lqii3ZuzPaBJD2qZJX8</t>
  </si>
  <si>
    <t>1570594374786</t>
  </si>
  <si>
    <t>-Lqii5MPW7XdcXtC8Yhm</t>
  </si>
  <si>
    <t>1570594382004</t>
  </si>
  <si>
    <t>-Lqii6r20MxcF59iQ5EX</t>
  </si>
  <si>
    <t>1570594388153</t>
  </si>
  <si>
    <t>-Lqii8ZvvyUr_JkShB1l</t>
  </si>
  <si>
    <t>1570594395355</t>
  </si>
  <si>
    <t>-LqiiA7vvl4P-Ro77ADj</t>
  </si>
  <si>
    <t>1570594401565</t>
  </si>
  <si>
    <t>-LqiiBqw2xP-XIMyK8Cs</t>
  </si>
  <si>
    <t>1570594408784</t>
  </si>
  <si>
    <t>-LqiiDQ2F3zFX8Gng2VP</t>
  </si>
  <si>
    <t>1570594414965</t>
  </si>
  <si>
    <t>-LqiiF7wdJdAmc7XJ10Q</t>
  </si>
  <si>
    <t>1570594422145</t>
  </si>
  <si>
    <t>-LqiiGguxepsdqNeiTYq</t>
  </si>
  <si>
    <t>1570594428359</t>
  </si>
  <si>
    <t>-LqiiIPtflLQtEht4IA8</t>
  </si>
  <si>
    <t>1570594435564</t>
  </si>
  <si>
    <t>-LqiiKWtPGx48K6VavU8</t>
  </si>
  <si>
    <t>1570594442784</t>
  </si>
  <si>
    <t>-LqiiM9tpOjKmCfs0l3l</t>
  </si>
  <si>
    <t>1570594451024</t>
  </si>
  <si>
    <t>-LqiiNiv2QXL2R2WL17M</t>
  </si>
  <si>
    <t>1570594457204</t>
  </si>
  <si>
    <t>-LqiiPRtWPWUJnStFmlN</t>
  </si>
  <si>
    <t>1570594464395</t>
  </si>
  <si>
    <t>-LqiiRJaR8AyIdIabNbd</t>
  </si>
  <si>
    <t>1570594470575</t>
  </si>
  <si>
    <t>-LqiiSxuIU2Sd2ECMtMQ</t>
  </si>
  <si>
    <t>1570594478823</t>
  </si>
  <si>
    <t>-LqiiUYCbR5NmaeQGr9t</t>
  </si>
  <si>
    <t>1570594485025</t>
  </si>
  <si>
    <t>-LqiiWF18dvV-TRh52Gr</t>
  </si>
  <si>
    <t>1570594492225</t>
  </si>
  <si>
    <t>-LqiiXnupLg6e_391Z9d</t>
  </si>
  <si>
    <t>1570594498415</t>
  </si>
  <si>
    <t>-LqiiZU4xaeDFhgcmWZv</t>
  </si>
  <si>
    <t>1570594505635</t>
  </si>
  <si>
    <t>-Lqiia-uFWo5J2ZoERSA</t>
  </si>
  <si>
    <t>1570594511814</t>
  </si>
  <si>
    <t>-Lqiib_3XrlzH_rPa7dy</t>
  </si>
  <si>
    <t>1570594517995</t>
  </si>
  <si>
    <t>-LqiidHteg3yb3E6-N61</t>
  </si>
  <si>
    <t>1570594525185</t>
  </si>
  <si>
    <t>-Lqiies8fzfzMthNGKDq</t>
  </si>
  <si>
    <t>1570594531384</t>
  </si>
  <si>
    <t>-LqiigZuT3sK9u2h3QWM</t>
  </si>
  <si>
    <t>1570594538605</t>
  </si>
  <si>
    <t>-LqiiiRuYVrXPuv0mFOM</t>
  </si>
  <si>
    <t>1570594546082</t>
  </si>
  <si>
    <t>-Lqiik4uhLA0XVdYIZFH</t>
  </si>
  <si>
    <t>1570594553025</t>
  </si>
  <si>
    <t>-LqiilduwKzCWh4Pr9xD</t>
  </si>
  <si>
    <t>1570594559204</t>
  </si>
  <si>
    <t>-LqiinN3k3iEduzyewkw</t>
  </si>
  <si>
    <t>1570594566424</t>
  </si>
  <si>
    <t>-Lqiip9vPoVj5E9szZAJ</t>
  </si>
  <si>
    <t>1570594573635</t>
  </si>
  <si>
    <t>-Lqiiqsvz4YeDMZBpGxz</t>
  </si>
  <si>
    <t>1570594580844</t>
  </si>
  <si>
    <t>-LqiisfwzFOzGTsnWZVq</t>
  </si>
  <si>
    <t>1570594588064</t>
  </si>
  <si>
    <t>-LqiiuOw0VLG-TMfByco</t>
  </si>
  <si>
    <t>1570594595265</t>
  </si>
  <si>
    <t>-LqiiwBw6mxVSDSfR9sn</t>
  </si>
  <si>
    <t>1570594602547</t>
  </si>
  <si>
    <t>-Lqiixutc9X76j24D_nM</t>
  </si>
  <si>
    <t>1570594609665</t>
  </si>
  <si>
    <t>-LqiizTwwdGhPIZbCMQ4</t>
  </si>
  <si>
    <t>1570594615864</t>
  </si>
  <si>
    <t>-Lqij0B-XOErRGs1VEzF</t>
  </si>
  <si>
    <t>1570594623073</t>
  </si>
  <si>
    <t>-Lqij1zv8iatcmCioeKN</t>
  </si>
  <si>
    <t>1570594630285</t>
  </si>
  <si>
    <t>-Lqij3hvtbD2PGHbMk8a</t>
  </si>
  <si>
    <t>1570594637505</t>
  </si>
  <si>
    <t>-Lqij5Umh2ivYQxVmmHL</t>
  </si>
  <si>
    <t>1570594644715</t>
  </si>
  <si>
    <t>-Lqij7Dwjs7Ju-LYL_h4</t>
  </si>
  <si>
    <t>1570594651906</t>
  </si>
  <si>
    <t>-Lqij8i59wSrPO-zI4SJ</t>
  </si>
  <si>
    <t>1570594658117</t>
  </si>
  <si>
    <t>-LqijAGvGz6i-6Xwkwwz</t>
  </si>
  <si>
    <t>1570594664293</t>
  </si>
  <si>
    <t>-LqijC-3KuP6tDUaEooT</t>
  </si>
  <si>
    <t>1570594671505</t>
  </si>
  <si>
    <t>-LqijDYuL0zpdO4KZXLS</t>
  </si>
  <si>
    <t>1570594677696</t>
  </si>
  <si>
    <t>-LqijFGuJ6TSGLXmtnXf</t>
  </si>
  <si>
    <t>1570594684874</t>
  </si>
  <si>
    <t>-LqijGpvqiDwW9fJ7V0y</t>
  </si>
  <si>
    <t>1570594691055</t>
  </si>
  <si>
    <t>-LqijIYwyoj0wv3J1yDg</t>
  </si>
  <si>
    <t>1570594698304</t>
  </si>
  <si>
    <t>-LqijK_v3JivU6e4dyGh</t>
  </si>
  <si>
    <t>1570594706536</t>
  </si>
  <si>
    <t>-LqijMIJwCUVFTMQm_Wd</t>
  </si>
  <si>
    <t>1570594713744</t>
  </si>
  <si>
    <t>-LqijNrkyLy7t4NIrwkx</t>
  </si>
  <si>
    <t>1570594719924</t>
  </si>
  <si>
    <t>-LqijP_wdy9agngDvO5j</t>
  </si>
  <si>
    <t>1570594727104</t>
  </si>
  <si>
    <t>-LqijR66WRvpwfAqDzEe</t>
  </si>
  <si>
    <t>1570594733294</t>
  </si>
  <si>
    <t>-LqijScv3bsbUxsKVOtZ</t>
  </si>
  <si>
    <t>1570594739494</t>
  </si>
  <si>
    <t>-LqijUXPrr_QytUIw57c</t>
  </si>
  <si>
    <t>1570594746705</t>
  </si>
  <si>
    <t>-LqijW92Zas1SHLTkk8A</t>
  </si>
  <si>
    <t>1570594753914</t>
  </si>
  <si>
    <t>-LqijXxBSRmS-xPMRpN-</t>
  </si>
  <si>
    <t>1570594761125</t>
  </si>
  <si>
    <t>-LqijZev_TtGx7L0uM4_</t>
  </si>
  <si>
    <t>1570594768334</t>
  </si>
  <si>
    <t>-LqijaT3KCNwtWRZTI68</t>
  </si>
  <si>
    <t>1570594775546</t>
  </si>
  <si>
    <t>-LqijcAvjRqzwHdxVysj</t>
  </si>
  <si>
    <t>1570594782755</t>
  </si>
  <si>
    <t>-Lqijdtl7xbfdpKqio0b</t>
  </si>
  <si>
    <t>1570594789965</t>
  </si>
  <si>
    <t>-LqijfT3yctNpJVXYxiY</t>
  </si>
  <si>
    <t>1570594796155</t>
  </si>
  <si>
    <t>-LqijhZwTmg4XYA7W7TG</t>
  </si>
  <si>
    <t>1570594804477</t>
  </si>
  <si>
    <t>-LqijjCv0XRBlS9fHnpw</t>
  </si>
  <si>
    <t>1570594811586</t>
  </si>
  <si>
    <t>-Lqijklv2huliwBCLYQV</t>
  </si>
  <si>
    <t>1570594817794</t>
  </si>
  <si>
    <t>-LqijmTnkcYtxvGyfyvx</t>
  </si>
  <si>
    <t>1570594824996</t>
  </si>
  <si>
    <t>-LqijoHvlQAYS-Dlp-0D</t>
  </si>
  <si>
    <t>1570594832204</t>
  </si>
  <si>
    <t>-Lqijq-x_ElTk_-I0hKA</t>
  </si>
  <si>
    <t>1570594839446</t>
  </si>
  <si>
    <t>-Lqijrnworg43jF5VJZk</t>
  </si>
  <si>
    <t>1570594846635</t>
  </si>
  <si>
    <t>-LqijtWtQaCunIMjcQle</t>
  </si>
  <si>
    <t>1570594853826</t>
  </si>
  <si>
    <t>-Lqijv-xHl4WBzvQ3qx1</t>
  </si>
  <si>
    <t>1570594859985</t>
  </si>
  <si>
    <t>-LqijwZxvHWWiUinAHYr</t>
  </si>
  <si>
    <t>1570594866206</t>
  </si>
  <si>
    <t>-LqijyHw4fhrV8X8YIqB</t>
  </si>
  <si>
    <t>1570594873416</t>
  </si>
  <si>
    <t>-LqijzqmjVxk1sFdhHLT</t>
  </si>
  <si>
    <t>1570594879604</t>
  </si>
  <si>
    <t>-Lqik0ZxOuo6iOk7mSn3</t>
  </si>
  <si>
    <t>1570594886784</t>
  </si>
  <si>
    <t>-Lqik27v44XjKvQcX7h4</t>
  </si>
  <si>
    <t>1570594892976</t>
  </si>
  <si>
    <t>-Lqik3qvnwo70v8vHfdc</t>
  </si>
  <si>
    <t>1570594900225</t>
  </si>
  <si>
    <t>-Lqik5dx9qazLbjC6kd2</t>
  </si>
  <si>
    <t>1570594907414</t>
  </si>
  <si>
    <t>-Lqik7aNhjTh6iK1x0Wh</t>
  </si>
  <si>
    <t>1570594914625</t>
  </si>
  <si>
    <t>-Lqik9MZVxHzSoi3xFvh</t>
  </si>
  <si>
    <t>1570594922876</t>
  </si>
  <si>
    <t>-LqikB6kETKZPtnsCiTP</t>
  </si>
  <si>
    <t>1570594930074</t>
  </si>
  <si>
    <t>-LqikCzhKkXV6iJ_zj8l</t>
  </si>
  <si>
    <t>1570594936266</t>
  </si>
  <si>
    <t>-LqikEj7FB05Lgx7Pgbq</t>
  </si>
  <si>
    <t>1570594944501</t>
  </si>
  <si>
    <t>-LqikGQs-pe2vSF40DyI</t>
  </si>
  <si>
    <t>1570594951720</t>
  </si>
  <si>
    <t>-LqikIDr9fxvMS1xU--V</t>
  </si>
  <si>
    <t>1570594958922</t>
  </si>
  <si>
    <t>-LqikJuV-qEVvgVUYRMM</t>
  </si>
  <si>
    <t>1570594966141</t>
  </si>
  <si>
    <t>-LqikM2hJwsHkpkDsjjY</t>
  </si>
  <si>
    <t>1570594973350</t>
  </si>
  <si>
    <t>-LqikNgrhe2H39J8S3Db</t>
  </si>
  <si>
    <t>1570594981592</t>
  </si>
  <si>
    <t>-LqikPFrB6wf_VZexMmW</t>
  </si>
  <si>
    <t>1570594987772</t>
  </si>
  <si>
    <t>-LqikQyzZITEJPZAqwTp</t>
  </si>
  <si>
    <t>1570594994951</t>
  </si>
  <si>
    <t>-LqikSXsDiq6wrs4cUSf</t>
  </si>
  <si>
    <t>1570595001132</t>
  </si>
  <si>
    <t>-LqikUFrruZrO0J6LUTW</t>
  </si>
  <si>
    <t>1570595008380</t>
  </si>
  <si>
    <t>-LqikW2YJMmGImTeVtdS</t>
  </si>
  <si>
    <t>1570595015590</t>
  </si>
  <si>
    <t>-LqikXlsKyEPXShW5CT4</t>
  </si>
  <si>
    <t>1570595022780</t>
  </si>
  <si>
    <t>-LqikZJihvEyPzB3Wpj0</t>
  </si>
  <si>
    <t>1570595028984</t>
  </si>
  <si>
    <t>-Lqika2r_8KHHeQH2P1z</t>
  </si>
  <si>
    <t>1570595036191</t>
  </si>
  <si>
    <t>-LqikbqsoNjOwgD_VgHm</t>
  </si>
  <si>
    <t>1570595043401</t>
  </si>
  <si>
    <t>-Lqikd_-cnBT4Ko6L31_</t>
  </si>
  <si>
    <t>1570595050621</t>
  </si>
  <si>
    <t>-LqikfMqbLnlIHIJON47</t>
  </si>
  <si>
    <t>1570595057830</t>
  </si>
  <si>
    <t>-Lqikh4qBr59noampcf9</t>
  </si>
  <si>
    <t>1570595065021</t>
  </si>
  <si>
    <t>-LqikidsVmav92Ebul-T</t>
  </si>
  <si>
    <t>1570595071210</t>
  </si>
  <si>
    <t>-LqikkMqjjuTXnJqyche</t>
  </si>
  <si>
    <t>1570595078431</t>
  </si>
  <si>
    <t>-Lqikm9ssVVrMhPIILHI</t>
  </si>
  <si>
    <t>1570595085640</t>
  </si>
  <si>
    <t>-Lqiknxqvz0LrL-FmClH</t>
  </si>
  <si>
    <t>1570595093038</t>
  </si>
  <si>
    <t>-Lqikpfhml6j16mEQa2h</t>
  </si>
  <si>
    <t>1570595100070</t>
  </si>
  <si>
    <t>-LqikrOr5gAsix00cW5J</t>
  </si>
  <si>
    <t>1570595107261</t>
  </si>
  <si>
    <t>-LqiksxqNqCD2MC4f0M9</t>
  </si>
  <si>
    <t>1570595113481</t>
  </si>
  <si>
    <t>-Lqikufsrxu1ykKmGanP</t>
  </si>
  <si>
    <t>1570595120682</t>
  </si>
  <si>
    <t>-LqikwOrwzfvKnMaXDMN</t>
  </si>
  <si>
    <t>1570595127880</t>
  </si>
  <si>
    <t>-LqikxxrEXB6u23Bjv25</t>
  </si>
  <si>
    <t>1570595134070</t>
  </si>
  <si>
    <t>-LqikzpxIW7B4jE8c6dE</t>
  </si>
  <si>
    <t>1570595141280</t>
  </si>
  <si>
    <t>-Lqil0Yw3afJYqQov4IX</t>
  </si>
  <si>
    <t>1570595148511</t>
  </si>
  <si>
    <t>-Lqil2GoFCyhqQkT_7s9</t>
  </si>
  <si>
    <t>1570595155700</t>
  </si>
  <si>
    <t>-Lqil3zzo3Bmjy78bSJf</t>
  </si>
  <si>
    <t>1570595162920</t>
  </si>
  <si>
    <t>-Lqil66MpIjl8i6yrIOu</t>
  </si>
  <si>
    <t>1570595170130</t>
  </si>
  <si>
    <t>-Lqil7im8iKw9WVpaS7d</t>
  </si>
  <si>
    <t>1570595178372</t>
  </si>
  <si>
    <t>-Lqil9Hl1HdK9R33fKTB</t>
  </si>
  <si>
    <t>1570595184551</t>
  </si>
  <si>
    <t>-LqilAlwXgrW4w-HPa-k</t>
  </si>
  <si>
    <t>1570595190754</t>
  </si>
  <si>
    <t>-LqilC_jX5Rk46CEWiHW</t>
  </si>
  <si>
    <t>1570595197941</t>
  </si>
  <si>
    <t>-LqilEHnukhDalvZTyzQ</t>
  </si>
  <si>
    <t>1570595205162</t>
  </si>
  <si>
    <t>-LqilG4nzeSv6LnKtNyF</t>
  </si>
  <si>
    <t>1570595212362</t>
  </si>
  <si>
    <t>-LqilHoqyjj8qjLQM1rZ</t>
  </si>
  <si>
    <t>1570595219580</t>
  </si>
  <si>
    <t>-LqilJanxzgn7HlKd0AO</t>
  </si>
  <si>
    <t>1570595226791</t>
  </si>
  <si>
    <t>-LqilLKqux5haVGd9UA-</t>
  </si>
  <si>
    <t>1570595233982</t>
  </si>
  <si>
    <t>-LqilMsnEUEkEVfNymdW</t>
  </si>
  <si>
    <t>1570595240171</t>
  </si>
  <si>
    <t>-LqilObpjbsMypQMwNun</t>
  </si>
  <si>
    <t>1570595247402</t>
  </si>
  <si>
    <t>-LqilQQBwlveS4nUla6_</t>
  </si>
  <si>
    <t>1570595254614</t>
  </si>
  <si>
    <t>-LqilS6lv2FxmTAF-3JC</t>
  </si>
  <si>
    <t>1570595261822</t>
  </si>
  <si>
    <t>-LqilTflK-LBkMAfByRb</t>
  </si>
  <si>
    <t>1570595268000</t>
  </si>
  <si>
    <t>-LqilVPOhBMtulj27JJa</t>
  </si>
  <si>
    <t>1570595275213</t>
  </si>
  <si>
    <t>-LqilWsl42qedjzdAyJM</t>
  </si>
  <si>
    <t>1570595281372</t>
  </si>
  <si>
    <t>-LqilYSycieBYQD2587x</t>
  </si>
  <si>
    <t>1570595287581</t>
  </si>
  <si>
    <t>-Lqil_RAJBczIhoOGIfJ</t>
  </si>
  <si>
    <t>1570595294782</t>
  </si>
  <si>
    <t>-LqilaxwwNW6su8-qRCW</t>
  </si>
  <si>
    <t>1570595302002</t>
  </si>
  <si>
    <t>-Lqilcfl264wmcnVvUvj</t>
  </si>
  <si>
    <t>1570595309183</t>
  </si>
  <si>
    <t>-LqileEmV3mNrN22wbiH</t>
  </si>
  <si>
    <t>1570595315371</t>
  </si>
  <si>
    <t>-LqilfxnVK_Yo_e2lB-z</t>
  </si>
  <si>
    <t>1570595322602</t>
  </si>
  <si>
    <t>-LqilhkaZZKpoPOg4prP</t>
  </si>
  <si>
    <t>1570595329812</t>
  </si>
  <si>
    <t>-LqiljU0ANa8qfKjiwCK</t>
  </si>
  <si>
    <t>1570595337022</t>
  </si>
  <si>
    <t>-LqillGmcmtROfFVUsuR</t>
  </si>
  <si>
    <t>1570595344240</t>
  </si>
  <si>
    <t>-Lqiln-yzMXXHEvIaJA2</t>
  </si>
  <si>
    <t>1570595351421</t>
  </si>
  <si>
    <t>-Lqiloo2tXtaWzEB5pLC</t>
  </si>
  <si>
    <t>1570595358661</t>
  </si>
  <si>
    <t>-LqilqWpZ_xghk6D_4Fk</t>
  </si>
  <si>
    <t>1570595365851</t>
  </si>
  <si>
    <t>-Lqils8wagS1qzfFaKY8</t>
  </si>
  <si>
    <t>1570595372052</t>
  </si>
  <si>
    <t>-LqiltnvQM8J555ESjN7</t>
  </si>
  <si>
    <t>1570595379262</t>
  </si>
  <si>
    <t>-LqilvapAtoH3Fcg7E1Z</t>
  </si>
  <si>
    <t>1570595386481</t>
  </si>
  <si>
    <t>-LqilxInK4nohWL6t9J8</t>
  </si>
  <si>
    <t>1570595393661</t>
  </si>
  <si>
    <t>-Lqilyt2zucpmyTmOCqo</t>
  </si>
  <si>
    <t>1570595399863</t>
  </si>
  <si>
    <t>-Lqim03gXnnlH307Wj2N</t>
  </si>
  <si>
    <t>1570595408298</t>
  </si>
  <si>
    <t>-Lqim1cqi1HPyjmtUWFE</t>
  </si>
  <si>
    <t>1570595415322</t>
  </si>
  <si>
    <t>-Lqim3RK85y3ul9WUXAf</t>
  </si>
  <si>
    <t>1570595422542</t>
  </si>
  <si>
    <t>-Lqim5PsE5-hsixhIeaV</t>
  </si>
  <si>
    <t>1570595429742</t>
  </si>
  <si>
    <t>-Lqim7Aq6dlYSublSPQ0</t>
  </si>
  <si>
    <t>1570595437990</t>
  </si>
  <si>
    <t>-Lqim8tqHZSE0DcDqMgJ</t>
  </si>
  <si>
    <t>1570595445183</t>
  </si>
  <si>
    <t>-LqimASqlMOh4Py_I2Ew</t>
  </si>
  <si>
    <t>1570595451380</t>
  </si>
  <si>
    <t>-LqimCVPSZkipbQuGmtE</t>
  </si>
  <si>
    <t>1570595458590</t>
  </si>
  <si>
    <t>-LqimECrO8qR31nGejy0</t>
  </si>
  <si>
    <t>1570595466832</t>
  </si>
  <si>
    <t>-LqimFvr9I5yZjfTkDXq</t>
  </si>
  <si>
    <t>1570595474040</t>
  </si>
  <si>
    <t>-LqimHUpFcwvTsWc_y47</t>
  </si>
  <si>
    <t>1570595480220</t>
  </si>
  <si>
    <t>-LqimJE6snkfmoubbtcJ</t>
  </si>
  <si>
    <t>1570595487421</t>
  </si>
  <si>
    <t>-LqimKlpIT_tp0rweAey</t>
  </si>
  <si>
    <t>1570595493611</t>
  </si>
  <si>
    <t>-LqimMUpYHAypFQXnjWz</t>
  </si>
  <si>
    <t>1570595500821</t>
  </si>
  <si>
    <t>-LqimOHr7UpDTx10owzu</t>
  </si>
  <si>
    <t>1570595508041</t>
  </si>
  <si>
    <t>-LqimQ-pMKw_kjSg-njd</t>
  </si>
  <si>
    <t>1570595515261</t>
  </si>
  <si>
    <t>-LqimRnrqHMD5aTcURfx</t>
  </si>
  <si>
    <t>1570595522461</t>
  </si>
  <si>
    <t>-LqimTWsV2htWZStDCrV</t>
  </si>
  <si>
    <t>1570595529662</t>
  </si>
  <si>
    <t>-LqimVK1mtCJoG6cDTY-</t>
  </si>
  <si>
    <t>1570595536881</t>
  </si>
  <si>
    <t>-LqimX0UdvXzn4nWSMYx</t>
  </si>
  <si>
    <t>1570595544071</t>
  </si>
  <si>
    <t>-LqimYagtC1sBAvO2U_-</t>
  </si>
  <si>
    <t>1570595550253</t>
  </si>
  <si>
    <t>-Lqim_Jqza1HMcw7og2P</t>
  </si>
  <si>
    <t>1570595557502</t>
  </si>
  <si>
    <t>-Lqimb6ss5K1X1X7tK0t</t>
  </si>
  <si>
    <t>1570595564690</t>
  </si>
  <si>
    <t>-LqimcoS1b_kLh9sjlig</t>
  </si>
  <si>
    <t>1570595571900</t>
  </si>
  <si>
    <t>-LqimeYqUSabYsp1wKMX</t>
  </si>
  <si>
    <t>1570595578965</t>
  </si>
  <si>
    <t>-Lqimg6qTs9Xb_C-fCRs</t>
  </si>
  <si>
    <t>1570595585303</t>
  </si>
  <si>
    <t>-Lqimhup0z2qHE0T3fxL</t>
  </si>
  <si>
    <t>1570595592513</t>
  </si>
  <si>
    <t>-Lqimjd0zWJ2uQ9r4ESX</t>
  </si>
  <si>
    <t>1570595599721</t>
  </si>
  <si>
    <t>-LqimlS6Tp6qsjZl5PMD</t>
  </si>
  <si>
    <t>1570595606931</t>
  </si>
  <si>
    <t>-Lqimn8r1npUem-tGTQu</t>
  </si>
  <si>
    <t>1570595614142</t>
  </si>
  <si>
    <t>-Lqimoxej72t6UwThO3A</t>
  </si>
  <si>
    <t>1570595621352</t>
  </si>
  <si>
    <t>-LqimqezCM9b5vUOi2xL</t>
  </si>
  <si>
    <t>1570595628540</t>
  </si>
  <si>
    <t>-LqimsDrg9CEO8c9unAG</t>
  </si>
  <si>
    <t>1570595634742</t>
  </si>
  <si>
    <t>-LqimuFyzXItspmVL5kE</t>
  </si>
  <si>
    <t>1570595641961</t>
  </si>
  <si>
    <t>-Lqimvyp6vte10S0Cmh1</t>
  </si>
  <si>
    <t>1570595650212</t>
  </si>
  <si>
    <t>-LqimxSrNweSLlWEHpR3</t>
  </si>
  <si>
    <t>1570595656381</t>
  </si>
  <si>
    <t>-LqimzFrHKHzQsC-JRqp</t>
  </si>
  <si>
    <t>1570595663590</t>
  </si>
  <si>
    <t>-Lqin-ypIVHobzhK9GTL</t>
  </si>
  <si>
    <t>1570595670781</t>
  </si>
  <si>
    <t>-Lqin1SzQrMNI70IQLzJ</t>
  </si>
  <si>
    <t>1570595676982</t>
  </si>
  <si>
    <t>-Lqin30pnBy8lTTYlTz0</t>
  </si>
  <si>
    <t>1570595683171</t>
  </si>
  <si>
    <t>-Lqin4jhRdoa1I8_nLmc</t>
  </si>
  <si>
    <t>1570595690382</t>
  </si>
  <si>
    <t>-Lqin6oOoaigU9-E5eyT</t>
  </si>
  <si>
    <t>1570595697620</t>
  </si>
  <si>
    <t>-Lqin8Zp8BMC3PNm7iiO</t>
  </si>
  <si>
    <t>1570595705830</t>
  </si>
  <si>
    <t>-LqinAHqjj1_iufwYHp5</t>
  </si>
  <si>
    <t>1570595713022</t>
  </si>
  <si>
    <t>-LqinBqqQGjBMyFNnMw1</t>
  </si>
  <si>
    <t>1570595719212</t>
  </si>
  <si>
    <t>-LqinDZpfue0SQXmBSLy</t>
  </si>
  <si>
    <t>1570595726430</t>
  </si>
  <si>
    <t>-LqinFLTL_RMFaBvVnDy</t>
  </si>
  <si>
    <t>1570595733642</t>
  </si>
  <si>
    <t>-LqinH50uklDbVQ4Bf-9</t>
  </si>
  <si>
    <t>1570595740862</t>
  </si>
  <si>
    <t>-LqinIsp9wyMfiWjEZmT</t>
  </si>
  <si>
    <t>1570595748070</t>
  </si>
  <si>
    <t>-LqinKapERRjzmGfXY_E</t>
  </si>
  <si>
    <t>1570595755263</t>
  </si>
  <si>
    <t>-LqinMOsyWKVfdHvRHXD</t>
  </si>
  <si>
    <t>1570595762490</t>
  </si>
  <si>
    <t>-LqinO6qfmPm1IO5BSwG</t>
  </si>
  <si>
    <t>1570595769676</t>
  </si>
  <si>
    <t>-LqinPkquk9nskHKpiL0</t>
  </si>
  <si>
    <t>1570595775851</t>
  </si>
  <si>
    <t>-LqinROpKzFIIQIsxyO_</t>
  </si>
  <si>
    <t>1570595783102</t>
  </si>
  <si>
    <t>-LqinTC1uD4OJZFieSjF</t>
  </si>
  <si>
    <t>1570595790300</t>
  </si>
  <si>
    <t>-LqinUuq4dGHn_ZSeR8a</t>
  </si>
  <si>
    <t>1570595797501</t>
  </si>
  <si>
    <t>-LqinWSaRdiBa5m7rCQx</t>
  </si>
  <si>
    <t>1570595803710</t>
  </si>
  <si>
    <t>-LqinYC0OCrh7GMZncmO</t>
  </si>
  <si>
    <t>1570595810910</t>
  </si>
  <si>
    <t>-LqinZg1hlTs7yvcNatp</t>
  </si>
  <si>
    <t>1570595817071</t>
  </si>
  <si>
    <t>-LqinaEqs_FYsko6VPb7</t>
  </si>
  <si>
    <t>1570595823271</t>
  </si>
  <si>
    <t>-Lqinby1BXCNEjW7Cctf</t>
  </si>
  <si>
    <t>1570595830468</t>
  </si>
  <si>
    <t>-Lqindm6Lqsty64TvW2Y</t>
  </si>
  <si>
    <t>1570595837702</t>
  </si>
  <si>
    <t>-LqinfU1A0AryvY1WQMY</t>
  </si>
  <si>
    <t>1570595844920</t>
  </si>
  <si>
    <t>-LqinhMfqD8FN9TJMcwF</t>
  </si>
  <si>
    <t>1570595851090</t>
  </si>
  <si>
    <t>-Lqinj-1P1pBRJ8x-azr</t>
  </si>
  <si>
    <t>1570595859345</t>
  </si>
  <si>
    <t>-LqinkXl_yysexc0S7De</t>
  </si>
  <si>
    <t>1570595865511</t>
  </si>
  <si>
    <t>-Lqinm_Z48ZeiD6nh2tP</t>
  </si>
  <si>
    <t>1570595872703</t>
  </si>
  <si>
    <t>-LqinoHlSTVrtDIV9t7w</t>
  </si>
  <si>
    <t>1570595880961</t>
  </si>
  <si>
    <t>-Lqinq4u_ufd0sYYa8sj</t>
  </si>
  <si>
    <t>1570595888171</t>
  </si>
  <si>
    <t>-LqinrmnwJQnynaX4ZpV</t>
  </si>
  <si>
    <t>1570595895391</t>
  </si>
  <si>
    <t>-Lqintbpbsl2QveYfsBS</t>
  </si>
  <si>
    <t>1570595902604</t>
  </si>
  <si>
    <t>-LqinvL1UWGLnZ8pN7Xo</t>
  </si>
  <si>
    <t>1570595909853</t>
  </si>
  <si>
    <t>-Lqinx6p7jyyfXKBrwgp</t>
  </si>
  <si>
    <t>1570595917023</t>
  </si>
  <si>
    <t>-LqinyqRIs4hznf46uUR</t>
  </si>
  <si>
    <t>1570595924222</t>
  </si>
  <si>
    <t>-Lqio-diM3Al5zFp8zW6</t>
  </si>
  <si>
    <t>1570595931441</t>
  </si>
  <si>
    <t>-Lqio1LHV4eZC7KDsdf9</t>
  </si>
  <si>
    <t>1570595938632</t>
  </si>
  <si>
    <t>-Lqio2w0xi9e2B-LHxPX</t>
  </si>
  <si>
    <t>1570595944821</t>
  </si>
  <si>
    <t>-Lqio4clwFb-NCI89wdj</t>
  </si>
  <si>
    <t>1570595952061</t>
  </si>
  <si>
    <t>-Lqio6krq-SqikINKG94</t>
  </si>
  <si>
    <t>1570595959658</t>
  </si>
  <si>
    <t>-Lqio8Sn1jwXXa3JUWbo</t>
  </si>
  <si>
    <t>1570595967521</t>
  </si>
  <si>
    <t>-LqioABrLNrylf4pvP4v</t>
  </si>
  <si>
    <t>1570595974711</t>
  </si>
  <si>
    <t>-LqioBzrRDgZ9IYE0WPC</t>
  </si>
  <si>
    <t>1570595981922</t>
  </si>
  <si>
    <t>-LqioDgtw-R3Cv3VcbXm</t>
  </si>
  <si>
    <t>1570595989132</t>
  </si>
  <si>
    <t>-LqioFUmoDCgWuEutzcx</t>
  </si>
  <si>
    <t>1570595996360</t>
  </si>
  <si>
    <t>-LqioHCoATDVSn_DnYyL</t>
  </si>
  <si>
    <t>1570596003561</t>
  </si>
  <si>
    <t>-LqioJ100wKbkNSdZ1_K</t>
  </si>
  <si>
    <t>1570596010763</t>
  </si>
  <si>
    <t>-LqioKjqRS4sGkLMG6lp</t>
  </si>
  <si>
    <t>1570596017982</t>
  </si>
  <si>
    <t>-LqioMTTDz2UYfS6c6sK</t>
  </si>
  <si>
    <t>1570596025220</t>
  </si>
  <si>
    <t>-LqioO-mQC1bl2qY5-v-</t>
  </si>
  <si>
    <t>1570596031370</t>
  </si>
  <si>
    <t>-LqioPoqsq6ps8uHPVFE</t>
  </si>
  <si>
    <t>1570596038581</t>
  </si>
  <si>
    <t>-LqioRvrP21l45amqT-k</t>
  </si>
  <si>
    <t>1570596047437</t>
  </si>
  <si>
    <t>-LqioT_0tKQxPCurN7BV</t>
  </si>
  <si>
    <t>1570596054058</t>
  </si>
  <si>
    <t>-LqioVGn07Z7BWW6ZOGM</t>
  </si>
  <si>
    <t>1570596061251</t>
  </si>
  <si>
    <t>-LqioWqt-ZSA7zARfg0f</t>
  </si>
  <si>
    <t>1570596067431</t>
  </si>
  <si>
    <t>-LqioYYl11W8dvxrijWA</t>
  </si>
  <si>
    <t>1570596074622</t>
  </si>
  <si>
    <t>-Lqio_7sDDQDvFeC34e-</t>
  </si>
  <si>
    <t>1570596080812</t>
  </si>
  <si>
    <t>-LqioapxMaizfa-084gH</t>
  </si>
  <si>
    <t>1570596088046</t>
  </si>
  <si>
    <t>-LqiocdtyxNJlYcoJl4r</t>
  </si>
  <si>
    <t>1570596095242</t>
  </si>
  <si>
    <t>-LqioeLkkkeOJ98F2HZ5</t>
  </si>
  <si>
    <t>1570596102462</t>
  </si>
  <si>
    <t>-Lqiog8la_lCrx27c1n8</t>
  </si>
  <si>
    <t>1570596109671</t>
  </si>
  <si>
    <t>-LqioiATCUYrmfA7kHev</t>
  </si>
  <si>
    <t>1570596118053</t>
  </si>
  <si>
    <t>-LqiojtlEXwgKFq3Zucd</t>
  </si>
  <si>
    <t>1570596125084</t>
  </si>
  <si>
    <t>-Lqiolhim6pi6pK_Z0FD</t>
  </si>
  <si>
    <t>1570596132342</t>
  </si>
  <si>
    <t>-Lqion_fKST_Ypy7v12C</t>
  </si>
  <si>
    <t>1570596139542</t>
  </si>
  <si>
    <t>-LqiopCnx97H_FxmGa1E</t>
  </si>
  <si>
    <t>1570596146760</t>
  </si>
  <si>
    <t>-LqioqgkoSwPt4hO5ei4</t>
  </si>
  <si>
    <t>1570596152922</t>
  </si>
  <si>
    <t>-LqiosQsFb0jOMNV-Wee</t>
  </si>
  <si>
    <t>1570596160153</t>
  </si>
  <si>
    <t>-Lqiou095ojRK0vgtEpx</t>
  </si>
  <si>
    <t>1570596166333</t>
  </si>
  <si>
    <t>-LqiovgkkbApJFhKTGTm</t>
  </si>
  <si>
    <t>1570596173512</t>
  </si>
  <si>
    <t>-LqioxGsDBqL52RzWgTf</t>
  </si>
  <si>
    <t>1570596179701</t>
  </si>
  <si>
    <t>-LqioyylMbpPxSJvvEU_</t>
  </si>
  <si>
    <t>1570596186943</t>
  </si>
  <si>
    <t>-Lqip-msx-7cD9fp55tw</t>
  </si>
  <si>
    <t>1570596194143</t>
  </si>
  <si>
    <t>-Lqip1Vu9fqWFo7KNSJh</t>
  </si>
  <si>
    <t>1570596201343</t>
  </si>
  <si>
    <t>-Lqip3IsM0i1RTMHfjaU</t>
  </si>
  <si>
    <t>1570596208563</t>
  </si>
  <si>
    <t>-Lqip52DMUxnj3Gy3te2</t>
  </si>
  <si>
    <t>1570596215963</t>
  </si>
  <si>
    <t>-Lqip6VzFbKrAswXLdVh</t>
  </si>
  <si>
    <t>1570596221919</t>
  </si>
  <si>
    <t>-Lqip80OKh22_yoAgmy0</t>
  </si>
  <si>
    <t>1570596228127</t>
  </si>
  <si>
    <t>-Lqip9bV0MmvbXc6aujS</t>
  </si>
  <si>
    <t>1570596234323</t>
  </si>
  <si>
    <t>-LqipBJrSPKhrpkFeqP0</t>
  </si>
  <si>
    <t>1570596241553</t>
  </si>
  <si>
    <t>-LqipCn90LGk3EyqryJ_</t>
  </si>
  <si>
    <t>1570596247703</t>
  </si>
  <si>
    <t>-LqipELuzr41oW9zTHW5</t>
  </si>
  <si>
    <t>1570596253873</t>
  </si>
  <si>
    <t>-LqipFr_4oukCC7cQDH0</t>
  </si>
  <si>
    <t>1570596260067</t>
  </si>
  <si>
    <t>-LqipHJOMH4yM8F6d7EK</t>
  </si>
  <si>
    <t>1570596266237</t>
  </si>
  <si>
    <t>-LqipIs87StdnihShmMX</t>
  </si>
  <si>
    <t>1570596272468</t>
  </si>
  <si>
    <t>-LqipKLbWsJO5Eta4DK-</t>
  </si>
  <si>
    <t>1570596278608</t>
  </si>
  <si>
    <t>-LqipLvfDheIM5tG9ehE</t>
  </si>
  <si>
    <t>1570596284779</t>
  </si>
  <si>
    <t>-LqipNc3RzTlazQruHWa</t>
  </si>
  <si>
    <t>1570596291992</t>
  </si>
  <si>
    <t>-LqipPC7jxQNJkkqKf6D</t>
  </si>
  <si>
    <t>1570596298462</t>
  </si>
  <si>
    <t>-LqipQtavvD-1XgSqaZX</t>
  </si>
  <si>
    <t>1570596305397</t>
  </si>
  <si>
    <t>-LqipSQPwJXUrQ_t9vbc</t>
  </si>
  <si>
    <t>1570596311603</t>
  </si>
  <si>
    <t>-LqipTvdeaLXf868_Ikt</t>
  </si>
  <si>
    <t>1570596317768</t>
  </si>
  <si>
    <t>-LqipVRlHcXRQsFyDsej</t>
  </si>
  <si>
    <t>1570596323954</t>
  </si>
  <si>
    <t>-LqipWxAMlPf5zs7sJaC</t>
  </si>
  <si>
    <t>1570596330133</t>
  </si>
  <si>
    <t>-LqipYsBFBM26v5PYKoP</t>
  </si>
  <si>
    <t>1570596336348</t>
  </si>
  <si>
    <t>-Lqip_RP30B1Qq-tvLe4</t>
  </si>
  <si>
    <t>1570596344526</t>
  </si>
  <si>
    <t>-Lqipaz5cYET5e1VQ2gM</t>
  </si>
  <si>
    <t>1570596350731</t>
  </si>
  <si>
    <t>-LqipcUBt7lsyd7JKvlD</t>
  </si>
  <si>
    <t>1570596356907</t>
  </si>
  <si>
    <t>-Lqipe-J3e7vIT2Cs7vS</t>
  </si>
  <si>
    <t>1570596363111</t>
  </si>
  <si>
    <t>-LqipfXQJq9e7oTSGFfi</t>
  </si>
  <si>
    <t>1570596369306</t>
  </si>
  <si>
    <t>-LqiphE9x3LshoSIuuJo</t>
  </si>
  <si>
    <t>1570596376463</t>
  </si>
  <si>
    <t>-LqipilvjBksAGskE96-</t>
  </si>
  <si>
    <t>1570596382693</t>
  </si>
  <si>
    <t>-LqipkHJ8RtPIhejliwb</t>
  </si>
  <si>
    <t>1570596388831</t>
  </si>
  <si>
    <t>-LqiplmVzFGWDm2AuYTK</t>
  </si>
  <si>
    <t>1570596395006</t>
  </si>
  <si>
    <t>-LqipnLVdNvyFeFIrFMu</t>
  </si>
  <si>
    <t>1570596401463</t>
  </si>
  <si>
    <t>-Lqipp2ihUC7c1rVCrMC</t>
  </si>
  <si>
    <t>1570596408442</t>
  </si>
  <si>
    <t>-Lqipq_CfM7gYWpztu1E</t>
  </si>
  <si>
    <t>1570596414621</t>
  </si>
  <si>
    <t>-Lqips4TfjjHyTLbO0m1</t>
  </si>
  <si>
    <t>1570596420791</t>
  </si>
  <si>
    <t>-Lqipt_4AyfWh0tMzfBT</t>
  </si>
  <si>
    <t>1570596426941</t>
  </si>
  <si>
    <t>-Lqipv4FtVn-oCrojMby</t>
  </si>
  <si>
    <t>1570596433137</t>
  </si>
  <si>
    <t>-LqipwZFJC6hDwgbzRdE</t>
  </si>
  <si>
    <t>1570596439302</t>
  </si>
  <si>
    <t>-Lqipy5xZ4lZUs6HJxKK</t>
  </si>
  <si>
    <t>1570596445542</t>
  </si>
  <si>
    <t>-LqipzbQroM3yeXUZZLm</t>
  </si>
  <si>
    <t>1570596451703</t>
  </si>
  <si>
    <t>-Lqiq0OTSnW2BZ2QtDqK</t>
  </si>
  <si>
    <t>1570596458926</t>
  </si>
  <si>
    <t>-Lqiq1r5tDdAZ8FFy8Ns</t>
  </si>
  <si>
    <t>1570596465066</t>
  </si>
  <si>
    <t>-Lqiq3ObVrG0xA2vpCv8</t>
  </si>
  <si>
    <t>1570596471253</t>
  </si>
  <si>
    <t>-Lqiq4seC_pfTmb77RzJ</t>
  </si>
  <si>
    <t>1570596477431</t>
  </si>
  <si>
    <t>-Lqiq6V6WzAI6SrWrFCQ</t>
  </si>
  <si>
    <t>1570596483594</t>
  </si>
  <si>
    <t>-Lqiq8BrX8Vwnv9vnuXK</t>
  </si>
  <si>
    <t>1570596490826</t>
  </si>
  <si>
    <t>-Lqiq9vm8aNBVMS5r6CE</t>
  </si>
  <si>
    <t>1570596498046</t>
  </si>
  <si>
    <t>-LqiqBj4RwUp7ytaf9r5</t>
  </si>
  <si>
    <t>1570596505257</t>
  </si>
  <si>
    <t>-LqiqDQsQNUhAEkSUPWr</t>
  </si>
  <si>
    <t>1570596512460</t>
  </si>
  <si>
    <t>-LqiqEzz2zcy4cvKb7tr</t>
  </si>
  <si>
    <t>1570596518626</t>
  </si>
  <si>
    <t>-LqiqGhqN018KNTCm3kd</t>
  </si>
  <si>
    <t>1570596525827</t>
  </si>
  <si>
    <t>-LqiqII6PhQklkZ-QIyj</t>
  </si>
  <si>
    <t>1570596532017</t>
  </si>
  <si>
    <t>-LqiqJzpYbZIV8hKuK4T</t>
  </si>
  <si>
    <t>1570596539267</t>
  </si>
  <si>
    <t>-LqiqLo5_e1CdOWCgWZ4</t>
  </si>
  <si>
    <t>1570596546457</t>
  </si>
  <si>
    <t>-LqiqNl4lFM_4a_fpVOL</t>
  </si>
  <si>
    <t>1570596553666</t>
  </si>
  <si>
    <t>-LqiqPV8bj2a5bjlRGXM</t>
  </si>
  <si>
    <t>1570596561916</t>
  </si>
  <si>
    <t>-LqiqR0okEFlJ34w1y50</t>
  </si>
  <si>
    <t>1570596568077</t>
  </si>
  <si>
    <t>-LqiqSorOS9fDsrGDIHD</t>
  </si>
  <si>
    <t>1570596575296</t>
  </si>
  <si>
    <t>-LqiqUXs4pv2wAz-t7S3</t>
  </si>
  <si>
    <t>1570596582525</t>
  </si>
  <si>
    <t>-LqiqW5pC_XHwQz9eBfM</t>
  </si>
  <si>
    <t>1570596588697</t>
  </si>
  <si>
    <t>-LqiqXoqfP-biZf_NBrg</t>
  </si>
  <si>
    <t>1570596595912</t>
  </si>
  <si>
    <t>-LqiqZbpZDrUftG_a7Ei</t>
  </si>
  <si>
    <t>1570596603116</t>
  </si>
  <si>
    <t>-LqiqaM3QWaVmdHmX8OB</t>
  </si>
  <si>
    <t>1570596610306</t>
  </si>
  <si>
    <t>-Lqiqc7wMy4NFNhvNIh8</t>
  </si>
  <si>
    <t>1570596617547</t>
  </si>
  <si>
    <t>-LqiqdqpMe1TeVD0hcrG</t>
  </si>
  <si>
    <t>1570596624767</t>
  </si>
  <si>
    <t>-LqiqfPp0QTKdXSTxMQC</t>
  </si>
  <si>
    <t>1570596630935</t>
  </si>
  <si>
    <t>-Lqiqh6Zx3bG45AcxFoz</t>
  </si>
  <si>
    <t>1570596638148</t>
  </si>
  <si>
    <t>-LqiqiviON3sq7nNdccc</t>
  </si>
  <si>
    <t>1570596645357</t>
  </si>
  <si>
    <t>-LqiqkdyZDmAqF91_o5z</t>
  </si>
  <si>
    <t>1570596652548</t>
  </si>
  <si>
    <t>-LqiqmE3yj42sJUm87Oa</t>
  </si>
  <si>
    <t>1570596658746</t>
  </si>
  <si>
    <t>-Lqiqnwux3vEyuluTGf1</t>
  </si>
  <si>
    <t>1570596665956</t>
  </si>
  <si>
    <t>-Lqiqpio66NzZCidinn-</t>
  </si>
  <si>
    <t>1570596673177</t>
  </si>
  <si>
    <t>-LqiqrpqsdCBzSSIRvNS</t>
  </si>
  <si>
    <t>1570596681847</t>
  </si>
  <si>
    <t>-LqiqtUxJweilDDD--8N</t>
  </si>
  <si>
    <t>1570596688626</t>
  </si>
  <si>
    <t>-LqiqvC30zwxnf6MKcsF</t>
  </si>
  <si>
    <t>1570596695836</t>
  </si>
  <si>
    <t>-LqiqwknAFyeLCsnUfQ7</t>
  </si>
  <si>
    <t>1570596702016</t>
  </si>
  <si>
    <t>-LqiqyUwV3nTgr5TT-EG</t>
  </si>
  <si>
    <t>1570596709247</t>
  </si>
  <si>
    <t>-Lqir-1p-Mj0ETSKMA2l</t>
  </si>
  <si>
    <t>1570596715375</t>
  </si>
  <si>
    <t>-Lqir0lv2CxsEP2jFJKJ</t>
  </si>
  <si>
    <t>1570596722626</t>
  </si>
  <si>
    <t>-Lqir2YeG1DKeTIe9XPz</t>
  </si>
  <si>
    <t>1570596729837</t>
  </si>
  <si>
    <t>-Lqir4GpEuggh82rVMUm</t>
  </si>
  <si>
    <t>1570596737027</t>
  </si>
  <si>
    <t>-Lqir5poPEypjryEpEqo</t>
  </si>
  <si>
    <t>1570596743216</t>
  </si>
  <si>
    <t>-Lqir7svNz7onGuCMxvy</t>
  </si>
  <si>
    <t>1570596751595</t>
  </si>
  <si>
    <t>-Lqir9_rHimq2eV5gYlR</t>
  </si>
  <si>
    <t>1570596758675</t>
  </si>
  <si>
    <t>-LqirBIqmnYv6WNEKoNc</t>
  </si>
  <si>
    <t>1570596765886</t>
  </si>
  <si>
    <t>-LqirCrvWpOzjj3_13Gu</t>
  </si>
  <si>
    <t>1570596772065</t>
  </si>
  <si>
    <t>-LqirE_pvM3ytfb81YwT</t>
  </si>
  <si>
    <t>1570596779265</t>
  </si>
  <si>
    <t>-LqirGOuGGrbbHuDTi9g</t>
  </si>
  <si>
    <t>1570596786517</t>
  </si>
  <si>
    <t>-LqirIPukd4pdli9d7EQ</t>
  </si>
  <si>
    <t>1570596794979</t>
  </si>
  <si>
    <t>-LqirK8r5M-vrAPlV5mQ</t>
  </si>
  <si>
    <t>1570596801940</t>
  </si>
  <si>
    <t>-LqirLx9o5yAsbhmLDv9</t>
  </si>
  <si>
    <t>1570596809161</t>
  </si>
  <si>
    <t>-LqirNf9sVdW3Ut696mg</t>
  </si>
  <si>
    <t>1570596816371</t>
  </si>
  <si>
    <t>-LqirPT-jSgCnMtJeP6z</t>
  </si>
  <si>
    <t>1570596823583</t>
  </si>
  <si>
    <t>-LqirRB8J8Ol-UjTNfqF</t>
  </si>
  <si>
    <t>1570596830791</t>
  </si>
  <si>
    <t>-LqirSz9M-hfSflSpazl</t>
  </si>
  <si>
    <t>1570596838032</t>
  </si>
  <si>
    <t>-LqirUh-3SFfWJ-ViF0p</t>
  </si>
  <si>
    <t>1570596845191</t>
  </si>
  <si>
    <t>-LqirWZzSZoUd2QVn29P</t>
  </si>
  <si>
    <t>1570596851382</t>
  </si>
  <si>
    <t>-LqirYD1303nM7ZAocyG</t>
  </si>
  <si>
    <t>1570596859602</t>
  </si>
  <si>
    <t>-Lqir_-yCWynECnfWxxC</t>
  </si>
  <si>
    <t>1570596866840</t>
  </si>
  <si>
    <t>-LqirahtXyooee0V3rab</t>
  </si>
  <si>
    <t>1570596874052</t>
  </si>
  <si>
    <t>-LqircJFQbCxOtYAQTgy</t>
  </si>
  <si>
    <t>1570596880232</t>
  </si>
  <si>
    <t>-Lqire00d7She7nQCjrn</t>
  </si>
  <si>
    <t>1570596887431</t>
  </si>
  <si>
    <t>-LqirfnzCyPXRcuwETVR</t>
  </si>
  <si>
    <t>1570596894662</t>
  </si>
  <si>
    <t>-LqirhWzbQcctttpk9Uh</t>
  </si>
  <si>
    <t>1570596901843</t>
  </si>
  <si>
    <t>-Lqirj5-l_W9L30kOhPm</t>
  </si>
  <si>
    <t>1570596908021</t>
  </si>
  <si>
    <t>-Lqirknzs2rUTH_iGI5o</t>
  </si>
  <si>
    <t>1570596915271</t>
  </si>
  <si>
    <t>-LqirmaDzRm_Zm3zlOBV</t>
  </si>
  <si>
    <t>1570596922473</t>
  </si>
  <si>
    <t>-LqiroK7HTVFQgRhKlTJ</t>
  </si>
  <si>
    <t>1570596929672</t>
  </si>
  <si>
    <t>-Lqirq63KASmTDavrHxu</t>
  </si>
  <si>
    <t>1570596936881</t>
  </si>
  <si>
    <t>-LqirrpzdZ-ac5GFw9GN</t>
  </si>
  <si>
    <t>1570596944072</t>
  </si>
  <si>
    <t>-LqirtP0a3Xkk4R5v_Pj</t>
  </si>
  <si>
    <t>1570596950261</t>
  </si>
  <si>
    <t>-Lqirv6z9Lj7-uC8n76V</t>
  </si>
  <si>
    <t>1570596957512</t>
  </si>
  <si>
    <t>-LqirwuyXMW1UbVhNEf7</t>
  </si>
  <si>
    <t>1570596964709</t>
  </si>
  <si>
    <t>-Lqiryd-oDgA-51pcbWp</t>
  </si>
  <si>
    <t>1570596971912</t>
  </si>
  <si>
    <t>-Lqis-R8rLvZgh-6K_A6</t>
  </si>
  <si>
    <t>1570596979121</t>
  </si>
  <si>
    <t>-Lqis18ytbC7j-CSEufH</t>
  </si>
  <si>
    <t>1570596986319</t>
  </si>
  <si>
    <t>-Lqis2hzbK-TTNh-mO7H</t>
  </si>
  <si>
    <t>1570596992512</t>
  </si>
  <si>
    <t>-Lqis4Qzd1wWakO5NOD_</t>
  </si>
  <si>
    <t>1570596999733</t>
  </si>
  <si>
    <t>-Lqis6E-61J-AxU-ttDf</t>
  </si>
  <si>
    <t>1570597006943</t>
  </si>
  <si>
    <t>-Lqis7x905Q-eU1TsSrI</t>
  </si>
  <si>
    <t>1570597014159</t>
  </si>
  <si>
    <t>-Lqis9jzHyNI5Yim13Hn</t>
  </si>
  <si>
    <t>1570597021362</t>
  </si>
  <si>
    <t>-LqisBll0NDOXsT5aXqC</t>
  </si>
  <si>
    <t>1570597028552</t>
  </si>
  <si>
    <t>-LqisDUuuzVmWzcq_eiq</t>
  </si>
  <si>
    <t>1570597036816</t>
  </si>
  <si>
    <t>-LqisFc4l2riZMdpDdb-</t>
  </si>
  <si>
    <t>1570597044016</t>
  </si>
  <si>
    <t>-LqisHEuIbrQFr9uquJw</t>
  </si>
  <si>
    <t>1570597052237</t>
  </si>
  <si>
    <t>-LqisInus3oQY4A-Js04</t>
  </si>
  <si>
    <t>1570597058418</t>
  </si>
  <si>
    <t>-LqisKWyBhJlX0r4dh9P</t>
  </si>
  <si>
    <t>1570597065668</t>
  </si>
  <si>
    <t>-LqisMIXE6q-6ret6zwa</t>
  </si>
  <si>
    <t>1570597072866</t>
  </si>
  <si>
    <t>-LqisNmpc1FCmu9-eyXZ</t>
  </si>
  <si>
    <t>1570597079045</t>
  </si>
  <si>
    <t>-LqisPalaPzDGDRQLYH_</t>
  </si>
  <si>
    <t>1570597086265</t>
  </si>
  <si>
    <t>-LqisRK4wdN86iPtx_2k</t>
  </si>
  <si>
    <t>1570597093477</t>
  </si>
  <si>
    <t>-LqisT6t8I1dnUyQMtVU</t>
  </si>
  <si>
    <t>1570597100675</t>
  </si>
  <si>
    <t>-LqisUoYQb7cZ0vtDqDW</t>
  </si>
  <si>
    <t>1570597107907</t>
  </si>
  <si>
    <t>-LqisWctfbeudqD5M3ux</t>
  </si>
  <si>
    <t>1570597115106</t>
  </si>
  <si>
    <t>-LqisYJRdVQNDC0wYP53</t>
  </si>
  <si>
    <t>1570597122306</t>
  </si>
  <si>
    <t>-Lqis_8uxVTFumNxUedZ</t>
  </si>
  <si>
    <t>1570597129516</t>
  </si>
  <si>
    <t>-LqisaruyUpc9BFJCdIy</t>
  </si>
  <si>
    <t>1570597136706</t>
  </si>
  <si>
    <t>-LqiscR2ho7ieLZcd5Od</t>
  </si>
  <si>
    <t>1570597142907</t>
  </si>
  <si>
    <t>-Lqise8uSTOiEOm1GiiB</t>
  </si>
  <si>
    <t>1570597150127</t>
  </si>
  <si>
    <t>-Lqisfvo24AbOU-yGitb</t>
  </si>
  <si>
    <t>1570597157337</t>
  </si>
  <si>
    <t>-Lqishg8EvKm8Vrp8BQ4</t>
  </si>
  <si>
    <t>1570597164546</t>
  </si>
  <si>
    <t>-LqisjSuyLJzE6AfTDMG</t>
  </si>
  <si>
    <t>1570597171757</t>
  </si>
  <si>
    <t>-LqislCULYAKBOEZvNfB</t>
  </si>
  <si>
    <t>1570597178963</t>
  </si>
  <si>
    <t>-Lqismytbs2ixuw2_Gok</t>
  </si>
  <si>
    <t>1570597186176</t>
  </si>
  <si>
    <t>-LqisoearHJNJIrO5nc7</t>
  </si>
  <si>
    <t>1570597193355</t>
  </si>
  <si>
    <t>-LqisqFuKyQyfQVZJz9J</t>
  </si>
  <si>
    <t>1570597199536</t>
  </si>
  <si>
    <t>-LqisrxnkAhi3q5HHp8y</t>
  </si>
  <si>
    <t>1570597206785</t>
  </si>
  <si>
    <t>-Lqistm5aQbgQULlO2V2</t>
  </si>
  <si>
    <t>1570597213986</t>
  </si>
  <si>
    <t>-LqisvTpQTB6mF9imitb</t>
  </si>
  <si>
    <t>1570597221185</t>
  </si>
  <si>
    <t>-LqisxHtdZ0Q9t7jpAaP</t>
  </si>
  <si>
    <t>1570597228416</t>
  </si>
  <si>
    <t>-Lqisz03CTxhRPmelXaf</t>
  </si>
  <si>
    <t>1570597235598</t>
  </si>
  <si>
    <t>-Lqit-Zu18YZ_Y0CqwVF</t>
  </si>
  <si>
    <t>1570597241786</t>
  </si>
  <si>
    <t>-Lqit1I5lG-gwUQ57gxp</t>
  </si>
  <si>
    <t>1570597249025</t>
  </si>
  <si>
    <t>-Lqit352hn6XwwBOn27D</t>
  </si>
  <si>
    <t>1570597256230</t>
  </si>
  <si>
    <t>-Lqit56SfMcki7bMpqM6</t>
  </si>
  <si>
    <t>1570597263426</t>
  </si>
  <si>
    <t>-Lqit6pw4MYhny3VGPqC</t>
  </si>
  <si>
    <t>1570597271680</t>
  </si>
  <si>
    <t>-Lqit8cwyCirHdK3zkuF</t>
  </si>
  <si>
    <t>1570597278889</t>
  </si>
  <si>
    <t>-LqitALx_no425UCCbI7</t>
  </si>
  <si>
    <t>1570597286099</t>
  </si>
  <si>
    <t>-LqitC8w5SVUNhBiWJCs</t>
  </si>
  <si>
    <t>1570597293307</t>
  </si>
  <si>
    <t>-LqitDqr8vxSL3RBwKu0</t>
  </si>
  <si>
    <t>1570597300519</t>
  </si>
  <si>
    <t>-LqitFewneozlWDv5s2V</t>
  </si>
  <si>
    <t>1570597307728</t>
  </si>
  <si>
    <t>-LqitHO5XcDjCQAKo6OA</t>
  </si>
  <si>
    <t>1570597314949</t>
  </si>
  <si>
    <t>-LqitJ9qI1YrVTuSgOeP</t>
  </si>
  <si>
    <t>1570597322160</t>
  </si>
  <si>
    <t>-LqitKuLz01qyMEC3nxC</t>
  </si>
  <si>
    <t>1570597329360</t>
  </si>
  <si>
    <t>-LqitMSwExy3xhdEZN5J</t>
  </si>
  <si>
    <t>1570597335548</t>
  </si>
  <si>
    <t>-LqitOAxVdPZEPD9RLOv</t>
  </si>
  <si>
    <t>1570597342758</t>
  </si>
  <si>
    <t>-LqitPywVNghtdGIad05</t>
  </si>
  <si>
    <t>1570597349969</t>
  </si>
  <si>
    <t>-LqitRf_naeZfhJkFRBo</t>
  </si>
  <si>
    <t>1570597357189</t>
  </si>
  <si>
    <t>-LqitTdyGtU63nIY8Iy8</t>
  </si>
  <si>
    <t>1570597365106</t>
  </si>
  <si>
    <t>-LqitVCx87YVLb7ktrXD</t>
  </si>
  <si>
    <t>1570597371589</t>
  </si>
  <si>
    <t>-LqitX04m9GGWHs3h_ie</t>
  </si>
  <si>
    <t>1570597378810</t>
  </si>
  <si>
    <t>-LqitYiwRZCVfzmOqtVp</t>
  </si>
  <si>
    <t>1570597386000</t>
  </si>
  <si>
    <t>-Lqit_GqaNdVor6KsWkz</t>
  </si>
  <si>
    <t>1570597392179</t>
  </si>
  <si>
    <t>-Lqitb-vnzeaP6un4gkm</t>
  </si>
  <si>
    <t>1570597399431</t>
  </si>
  <si>
    <t>-Lqitcj884il1nizb2sP</t>
  </si>
  <si>
    <t>1570597406620</t>
  </si>
  <si>
    <t>-LqiteHxEj4HapnJPSdl</t>
  </si>
  <si>
    <t>1570597412810</t>
  </si>
  <si>
    <t>-Lqitg4yUR_c_GTH-02g</t>
  </si>
  <si>
    <t>1570597420019</t>
  </si>
  <si>
    <t>-LqithmqWtkGIUwBPBP-</t>
  </si>
  <si>
    <t>1570597427238</t>
  </si>
  <si>
    <t>-Lqitjb5zC5TE28UDoL_</t>
  </si>
  <si>
    <t>1570597434438</t>
  </si>
  <si>
    <t>-LqitlIg-45000m4OlmD</t>
  </si>
  <si>
    <t>1570597441678</t>
  </si>
  <si>
    <t>-Lqitn5raTGuX0fza-O0</t>
  </si>
  <si>
    <t>1570597448859</t>
  </si>
  <si>
    <t>-Lqitoorn6pYqRer0LAQ</t>
  </si>
  <si>
    <t>1570597456078</t>
  </si>
  <si>
    <t>-LqitqmyYdSp34UtY_0_</t>
  </si>
  <si>
    <t>1570597464052</t>
  </si>
  <si>
    <t>-LqitsLypntU-EfqGLu8</t>
  </si>
  <si>
    <t>1570597470469</t>
  </si>
  <si>
    <t>-Lqittv2mMVfeGQ08mjH</t>
  </si>
  <si>
    <t>1570597476668</t>
  </si>
  <si>
    <t>-Lqitvcw4gVBB4M8k8j2</t>
  </si>
  <si>
    <t>1570597483888</t>
  </si>
  <si>
    <t>-LqitxQxg0m_s0Lj2ge7</t>
  </si>
  <si>
    <t>1570597491097</t>
  </si>
  <si>
    <t>-Lqitz82e1cQCCenLP2P</t>
  </si>
  <si>
    <t>1570597498309</t>
  </si>
  <si>
    <t>-Lqiu0A2is5u804WyvNE</t>
  </si>
  <si>
    <t>1570597506599</t>
  </si>
  <si>
    <t>-Lqiu1veAnOsMFcsVBBu</t>
  </si>
  <si>
    <t>1570597513758</t>
  </si>
  <si>
    <t>-Lqiu3SomEN0YIf_9KJ4</t>
  </si>
  <si>
    <t>1570597519939</t>
  </si>
  <si>
    <t>-Lqiu59rC3CpMAkD5G4l</t>
  </si>
  <si>
    <t>1570597527169</t>
  </si>
  <si>
    <t>-Lqiu6jw9Zums3QJY0d9</t>
  </si>
  <si>
    <t>1570597533311</t>
  </si>
  <si>
    <t>-Lqiu8Sz1VI8hHd1drza</t>
  </si>
  <si>
    <t>1570597540549</t>
  </si>
  <si>
    <t>-LqiuAErGA3SpU7reLxb</t>
  </si>
  <si>
    <t>1570597547788</t>
  </si>
  <si>
    <t>-LqiuBywx9r-G7ygffr7</t>
  </si>
  <si>
    <t>1570597554948</t>
  </si>
  <si>
    <t>-LqiuDzoaIXOB_b5smKd</t>
  </si>
  <si>
    <t>1570597562179</t>
  </si>
  <si>
    <t>-LqiuFmt27itkL__4LKN</t>
  </si>
  <si>
    <t>1570597570418</t>
  </si>
  <si>
    <t>-LqiuHVqbsQ_lcQiiaBQ</t>
  </si>
  <si>
    <t>1570597577628</t>
  </si>
  <si>
    <t>-LqiuIzrVkrP5w7jPVAf</t>
  </si>
  <si>
    <t>1570597583829</t>
  </si>
  <si>
    <t>-LqiuKZwI3J07RJpLvI0</t>
  </si>
  <si>
    <t>1570597589988</t>
  </si>
  <si>
    <t>-LqiuMH-BNZLJgp2Hlvh</t>
  </si>
  <si>
    <t>1570597597189</t>
  </si>
  <si>
    <t>-LqiuO3qCw51Ej18CDzj</t>
  </si>
  <si>
    <t>1570597604410</t>
  </si>
  <si>
    <t>-LqiuPzzlp7XXX2SniSu</t>
  </si>
  <si>
    <t>1570597611600</t>
  </si>
  <si>
    <t>-LqiuR_q0JdfCKge1uuq</t>
  </si>
  <si>
    <t>1570597618846</t>
  </si>
  <si>
    <t>-LqiuTJyHwExWlhMokZD</t>
  </si>
  <si>
    <t>1570597626069</t>
  </si>
  <si>
    <t>-LqiuUrrOFbh8aNaOy7r</t>
  </si>
  <si>
    <t>1570597632228</t>
  </si>
  <si>
    <t>-LqiuWaxCT3E9QwZgx2j</t>
  </si>
  <si>
    <t>1570597639430</t>
  </si>
  <si>
    <t>-LqiuYNrFIBWKtgo8w3q</t>
  </si>
  <si>
    <t>1570597646648</t>
  </si>
  <si>
    <t>-Lqiu_6xWR8ZwzgueumM</t>
  </si>
  <si>
    <t>1570597653889</t>
  </si>
  <si>
    <t>-LqiuahDE3d2RJuuWbK-</t>
  </si>
  <si>
    <t>1570597660019</t>
  </si>
  <si>
    <t>-LqiuchxrKMA6HsVdCYT</t>
  </si>
  <si>
    <t>1570597667270</t>
  </si>
  <si>
    <t>-LqiueVykxiuAigLfUav</t>
  </si>
  <si>
    <t>1570597675490</t>
  </si>
  <si>
    <t>-Lqiug8d157Xlg15D6xe</t>
  </si>
  <si>
    <t>1570597682757</t>
  </si>
  <si>
    <t>-LqiuhjHgtN4jzseYfHl</t>
  </si>
  <si>
    <t>1570597688888</t>
  </si>
  <si>
    <t>-LqiujQxeYcak0JeIy4d</t>
  </si>
  <si>
    <t>1570597696069</t>
  </si>
  <si>
    <t>-LqiukyiH6jpWQuZ-VPd</t>
  </si>
  <si>
    <t>1570597702259</t>
  </si>
  <si>
    <t>-LqiumhxWvnJP7Y1vqh0</t>
  </si>
  <si>
    <t>1570597709488</t>
  </si>
  <si>
    <t>-LqiuoU_z0tMK6GKpiKA</t>
  </si>
  <si>
    <t>1570597716699</t>
  </si>
  <si>
    <t>-LqiuqXzFB5TGJOCsUv9</t>
  </si>
  <si>
    <t>1570597723909</t>
  </si>
  <si>
    <t>-LqiusFwziYwphqNlVyp</t>
  </si>
  <si>
    <t>1570597732158</t>
  </si>
  <si>
    <t>-LqiuuMoGH_i0Qmz08UI</t>
  </si>
  <si>
    <t>1570597739371</t>
  </si>
  <si>
    <t>-Lqiuw06Z5gPpo9abtBn</t>
  </si>
  <si>
    <t>1570597747568</t>
  </si>
  <si>
    <t>-LqiuxZvFr4vo2c_HVGt</t>
  </si>
  <si>
    <t>1570597753789</t>
  </si>
  <si>
    <t>-LqiuzHyyD5ve45gdVR5</t>
  </si>
  <si>
    <t>1570597760997</t>
  </si>
  <si>
    <t>-Lqiv03rm_-dvk4FzKix</t>
  </si>
  <si>
    <t>1570597768210</t>
  </si>
  <si>
    <t>-Lqiv1mZiiBMZ0UBgPWJ</t>
  </si>
  <si>
    <t>1570597775409</t>
  </si>
  <si>
    <t>-Lqiv3b6YNKwf7H5EzST</t>
  </si>
  <si>
    <t>1570597782629</t>
  </si>
  <si>
    <t>-Lqiv5K8Aa4fw57iDkAv</t>
  </si>
  <si>
    <t>1570597789829</t>
  </si>
  <si>
    <t>-Lqiv7IBIUyhZvqSYxkE</t>
  </si>
  <si>
    <t>1570597797650</t>
  </si>
  <si>
    <t>-Lqiv8orgNXobpnaaVGs</t>
  </si>
  <si>
    <t>1570597804237</t>
  </si>
  <si>
    <t>-LqivAd7-XQ7rsGbN0UZ</t>
  </si>
  <si>
    <t>1570597811498</t>
  </si>
  <si>
    <t>-LqivCLxU5Dmyhk1HXBR</t>
  </si>
  <si>
    <t>1570597818698</t>
  </si>
  <si>
    <t>-LqivDu0e-x6UUPHf6Vo</t>
  </si>
  <si>
    <t>1570597824940</t>
  </si>
  <si>
    <t>-LqivFcyDhezZHyhsX5i</t>
  </si>
  <si>
    <t>1570597832069</t>
  </si>
  <si>
    <t>-LqivHQw7N5LMKvsgtZP</t>
  </si>
  <si>
    <t>1570597839289</t>
  </si>
  <si>
    <t>-LqivJ8z-cBs1nr3T1jb</t>
  </si>
  <si>
    <t>1570597846469</t>
  </si>
  <si>
    <t>-LqivKwzesEg8q5UCMG_</t>
  </si>
  <si>
    <t>1570597853709</t>
  </si>
  <si>
    <t>-LqivMe1bERqPfVUBAns</t>
  </si>
  <si>
    <t>1570597860939</t>
  </si>
  <si>
    <t>-LqivODwI171l3WNMXo7</t>
  </si>
  <si>
    <t>1570597867098</t>
  </si>
  <si>
    <t>-LqivPvrjpE9qdWKZbU-</t>
  </si>
  <si>
    <t>1570597874309</t>
  </si>
  <si>
    <t>-LqivRiiMhaY27Emk-Ci</t>
  </si>
  <si>
    <t>1570597881593</t>
  </si>
  <si>
    <t>-LqivTS64uzbsWDw6kDp</t>
  </si>
  <si>
    <t>1570597888708</t>
  </si>
  <si>
    <t>-LqivV0wRClKfcFUUGc-</t>
  </si>
  <si>
    <t>1570597894908</t>
  </si>
  <si>
    <t>-LqivWjwzFyWgGE-xe7V</t>
  </si>
  <si>
    <t>1570597902128</t>
  </si>
  <si>
    <t>-LqivYXx--8070mJEJId</t>
  </si>
  <si>
    <t>1570597909347</t>
  </si>
  <si>
    <t>-Lqiv_FynD5vlaTM-WRb</t>
  </si>
  <si>
    <t>1570597916549</t>
  </si>
  <si>
    <t>-Lqivb2zvVxSwgDcBmIh</t>
  </si>
  <si>
    <t>1570597923758</t>
  </si>
  <si>
    <t>-LqivclzcD79S1zfq5Yq</t>
  </si>
  <si>
    <t>1570597930948</t>
  </si>
  <si>
    <t>-LqiveJqAT0MdnVbXvZn</t>
  </si>
  <si>
    <t>1570597937148</t>
  </si>
  <si>
    <t>-Lqivg7ygCpPDWaZryPk</t>
  </si>
  <si>
    <t>1570597944359</t>
  </si>
  <si>
    <t>-LqivhprFcqJpT9mEqIG</t>
  </si>
  <si>
    <t>1570597951579</t>
  </si>
  <si>
    <t>-LqivjZyblGshKTbc0Z2</t>
  </si>
  <si>
    <t>1570597958789</t>
  </si>
  <si>
    <t>-LqivlLqjvPnSK0cHz-E</t>
  </si>
  <si>
    <t>1570597965998</t>
  </si>
  <si>
    <t>-LqivnJjDeSNga7YwReG</t>
  </si>
  <si>
    <t>1570597973190</t>
  </si>
  <si>
    <t>-Lqivosuqx2OuoeZ8f54</t>
  </si>
  <si>
    <t>1570597980417</t>
  </si>
  <si>
    <t>-LqivqoqIqlIGWW5MdlU</t>
  </si>
  <si>
    <t>1570597988377</t>
  </si>
  <si>
    <t>-LqivsNtxJ_cegSvCjd3</t>
  </si>
  <si>
    <t>1570597994838</t>
  </si>
  <si>
    <t>-Lqivu5qcxpSsmWLqPFC</t>
  </si>
  <si>
    <t>1570598002058</t>
  </si>
  <si>
    <t>-LqivvfxvNVvMliefeQQ</t>
  </si>
  <si>
    <t>1570598008228</t>
  </si>
  <si>
    <t>-LqivxOvcGpMXC2nXoXn</t>
  </si>
  <si>
    <t>1570598015422</t>
  </si>
  <si>
    <t>-LqivywywZ-yA4lwnKC3</t>
  </si>
  <si>
    <t>1570598021628</t>
  </si>
  <si>
    <t>-Lqiw-f9-zTZHIFx9sQe</t>
  </si>
  <si>
    <t>1570598028839</t>
  </si>
  <si>
    <t>-Lqiw1d7LViBI5fQQF4G</t>
  </si>
  <si>
    <t>1570598036047</t>
  </si>
  <si>
    <t>-Lqiw3Aon9SHlfEDkYPa</t>
  </si>
  <si>
    <t>1570598043267</t>
  </si>
  <si>
    <t>-Lqiw4ypF8lwCa8OZdGF</t>
  </si>
  <si>
    <t>1570598050468</t>
  </si>
  <si>
    <t>-Lqiw6fcKu8qpbuHq6cp</t>
  </si>
  <si>
    <t>1570598057667</t>
  </si>
  <si>
    <t>-Lqiw8VUJWhHCSe-2Ihm</t>
  </si>
  <si>
    <t>1570598064886</t>
  </si>
  <si>
    <t>-LqiwACqdk0itHfdFDAT</t>
  </si>
  <si>
    <t>1570598072077</t>
  </si>
  <si>
    <t>-LqiwBlpo6A1XT6e45y1</t>
  </si>
  <si>
    <t>1570598078258</t>
  </si>
  <si>
    <t>-LqiwDH4FFC4DI7HYpEb</t>
  </si>
  <si>
    <t>1570598084437</t>
  </si>
  <si>
    <t>-LqiwEzu9RrIbb_4nzds</t>
  </si>
  <si>
    <t>1570598091676</t>
  </si>
  <si>
    <t>-LqiwGZDDiqukQAga-_m</t>
  </si>
  <si>
    <t>1570598097856</t>
  </si>
  <si>
    <t>-LqiwIFqr_VfiONThnry</t>
  </si>
  <si>
    <t>1570598105036</t>
  </si>
  <si>
    <t>-LqiwJjsvR5QkDjeOJ6y</t>
  </si>
  <si>
    <t>1570598111196</t>
  </si>
  <si>
    <t>-LqiwLIqAPmgF1VSAOK5</t>
  </si>
  <si>
    <t>1570598117437</t>
  </si>
  <si>
    <t>-LqiwN6w8Oy4PsElYYg6</t>
  </si>
  <si>
    <t>1570598124646</t>
  </si>
  <si>
    <t>-LqiwOozHf8tGuEDB0hD</t>
  </si>
  <si>
    <t>1570598131858</t>
  </si>
  <si>
    <t>-LqiwQd6eh2o8f0LFO3e</t>
  </si>
  <si>
    <t>1570598139066</t>
  </si>
  <si>
    <t>-LqiwSKoQ5dGYZuw0ip7</t>
  </si>
  <si>
    <t>1570598146278</t>
  </si>
  <si>
    <t>-LqiwU8ujXh05VgPTIxM</t>
  </si>
  <si>
    <t>1570598153496</t>
  </si>
  <si>
    <t>-LqiwVqeLYjIjZj9Mi7k</t>
  </si>
  <si>
    <t>1570598160708</t>
  </si>
  <si>
    <t>-LqiwX_oRz5-3IoQx4Ix</t>
  </si>
  <si>
    <t>1570598167908</t>
  </si>
  <si>
    <t>-LqiwZ7qXRv_uqxGQoUF</t>
  </si>
  <si>
    <t>1570598174098</t>
  </si>
  <si>
    <t>-Lqiw_rnABL1mWzI_QSQ</t>
  </si>
  <si>
    <t>1570598181308</t>
  </si>
  <si>
    <t>-LqiwbQud765EV8czSqL</t>
  </si>
  <si>
    <t>1570598187487</t>
  </si>
  <si>
    <t>-Lqiwd7oVz3AQtFfATVW</t>
  </si>
  <si>
    <t>1570598194708</t>
  </si>
  <si>
    <t>-LqiwegpQzWfv25BeVSE</t>
  </si>
  <si>
    <t>1570598200848</t>
  </si>
  <si>
    <t>-Lqiwgt-5W7PjtJdXqQ_</t>
  </si>
  <si>
    <t>1570598209274</t>
  </si>
  <si>
    <t>-LqiwiRpkVwbPWXIWwwT</t>
  </si>
  <si>
    <t>1570598216326</t>
  </si>
  <si>
    <t>-LqiwkG6t2GSxG_P-e7_</t>
  </si>
  <si>
    <t>1570598223555</t>
  </si>
  <si>
    <t>-LqiwlzDPmPgBq0vdQFr</t>
  </si>
  <si>
    <t>1570598230758</t>
  </si>
  <si>
    <t>-Lqiwnl8P9jZsrA_JcqQ</t>
  </si>
  <si>
    <t>1570598237970</t>
  </si>
  <si>
    <t>-LqiwpUx4wEfzanjVJwO</t>
  </si>
  <si>
    <t>1570598245187</t>
  </si>
  <si>
    <t>-LqiwrGY7LMrijBCCbIq</t>
  </si>
  <si>
    <t>1570598252392</t>
  </si>
  <si>
    <t>-Lqiwt-vuypm_5GGbYXs</t>
  </si>
  <si>
    <t>1570598259589</t>
  </si>
  <si>
    <t>-Lqiwu_J6gjjGA3-1nJ9</t>
  </si>
  <si>
    <t>1570598265776</t>
  </si>
  <si>
    <t>-LqiwwHyb8tLvRv0cNS9</t>
  </si>
  <si>
    <t>1570598272998</t>
  </si>
  <si>
    <t>-Lqiwy4yTxB137-gTL8_</t>
  </si>
  <si>
    <t>1570598280207</t>
  </si>
  <si>
    <t>-LqiwznwDeCUSigryPbz</t>
  </si>
  <si>
    <t>1570598287428</t>
  </si>
  <si>
    <t>-Lqix0c9ar44bnkHXWdc</t>
  </si>
  <si>
    <t>1570598294630</t>
  </si>
  <si>
    <t>-Lqix2JwFe1LSl2c_NxK</t>
  </si>
  <si>
    <t>1570598301826</t>
  </si>
  <si>
    <t>-Lqix48JIuXVAEYVjgGh</t>
  </si>
  <si>
    <t>1570598309068</t>
  </si>
  <si>
    <t>-Lqix5oorTLchcDQSuoe</t>
  </si>
  <si>
    <t>1570598316237</t>
  </si>
  <si>
    <t>-Lqix7K3FsMtjpqu6G1S</t>
  </si>
  <si>
    <t>1570598322397</t>
  </si>
  <si>
    <t>-Lqix8suuaaKiXm6d-4r</t>
  </si>
  <si>
    <t>1570598328626</t>
  </si>
  <si>
    <t>-LqixAaoxkYKOwegPvT5</t>
  </si>
  <si>
    <t>1570598335837</t>
  </si>
  <si>
    <t>-LqixCAXMgsB-mCYIuV8</t>
  </si>
  <si>
    <t>1570598342017</t>
  </si>
  <si>
    <t>-LqixDsmWtDZZyBoTpwI</t>
  </si>
  <si>
    <t>1570598349197</t>
  </si>
  <si>
    <t>-LqixFbYfYqiqIWzHnnz</t>
  </si>
  <si>
    <t>1570598355398</t>
  </si>
  <si>
    <t>-LqixHA3OhUOiEA25F1L</t>
  </si>
  <si>
    <t>1570598362628</t>
  </si>
  <si>
    <t>-LqixIxxKuyRB9tK3deD</t>
  </si>
  <si>
    <t>1570598369828</t>
  </si>
  <si>
    <t>-LqixKfv7F7TToyY3N0Q</t>
  </si>
  <si>
    <t>1570598377028</t>
  </si>
  <si>
    <t>-LqixMTweoMOwZFjxx10</t>
  </si>
  <si>
    <t>1570598384258</t>
  </si>
  <si>
    <t>-LqixOC39cJIt99IU7gq</t>
  </si>
  <si>
    <t>1570598391441</t>
  </si>
  <si>
    <t>-LqixPzwwNt9MU5Pxcfp</t>
  </si>
  <si>
    <t>1570598398678</t>
  </si>
  <si>
    <t>-LqixRhvz01hTuOEeVl2</t>
  </si>
  <si>
    <t>1570598405858</t>
  </si>
  <si>
    <t>-LqixTGuwExbMNTEZJKe</t>
  </si>
  <si>
    <t>1570598412068</t>
  </si>
  <si>
    <t>-LqixV-5GpXHfX0bPlPi</t>
  </si>
  <si>
    <t>1570598419274</t>
  </si>
  <si>
    <t>-LqixWYuhjmiwUW70NWQ</t>
  </si>
  <si>
    <t>1570598425468</t>
  </si>
  <si>
    <t>-LqixYGun_G6PTef1_-g</t>
  </si>
  <si>
    <t>1570598432698</t>
  </si>
  <si>
    <t>-Lqix_Nmc74Gcn9tNLTG</t>
  </si>
  <si>
    <t>1570598439887</t>
  </si>
  <si>
    <t>-Lqixb0tuWKgC6MG_Lzk</t>
  </si>
  <si>
    <t>1570598448095</t>
  </si>
  <si>
    <t>-Lqixcr1rt5NWCJXGT27</t>
  </si>
  <si>
    <t>1570598454315</t>
  </si>
  <si>
    <t>-LqixeXuMMvbri77G4-8</t>
  </si>
  <si>
    <t>1570598462546</t>
  </si>
  <si>
    <t>-Lqixg62vbhnajldql6k</t>
  </si>
  <si>
    <t>1570598468726</t>
  </si>
  <si>
    <t>-Lqixhp4ywUcz5Ta312r</t>
  </si>
  <si>
    <t>1570598475916</t>
  </si>
  <si>
    <t>-LqixjMqdz8npu28hjXT</t>
  </si>
  <si>
    <t>1570598482105</t>
  </si>
  <si>
    <t>-Lqixl4rPdYyfecFuiWA</t>
  </si>
  <si>
    <t>1570598489346</t>
  </si>
  <si>
    <t>-LqixmsqL0X_nlwGBKdI</t>
  </si>
  <si>
    <t>1570598496534</t>
  </si>
  <si>
    <t>-Lqixoaq7EWi6BrKwrKe</t>
  </si>
  <si>
    <t>1570598503745</t>
  </si>
  <si>
    <t>-LqixqAsuqUR_nBEAYYl</t>
  </si>
  <si>
    <t>1570598509936</t>
  </si>
  <si>
    <t>-LqixrtuLjkl4J-es1RJ</t>
  </si>
  <si>
    <t>1570598517145</t>
  </si>
  <si>
    <t>-LqixtfpvLldpyeUBuo7</t>
  </si>
  <si>
    <t>1570598524364</t>
  </si>
  <si>
    <t>-LqixvOwlJyo0NTavKzT</t>
  </si>
  <si>
    <t>1570598531587</t>
  </si>
  <si>
    <t>-LqixxCuGV2pjakkR-uK</t>
  </si>
  <si>
    <t>1570598538784</t>
  </si>
  <si>
    <t>-Lqixyuo6YxHX2ipBBQX</t>
  </si>
  <si>
    <t>1570598545986</t>
  </si>
  <si>
    <t>-Lqiy-jQoDsO6HGwAekl</t>
  </si>
  <si>
    <t>1570598553234</t>
  </si>
  <si>
    <t>-Lqiy1Qp4h7XxgW54Ems</t>
  </si>
  <si>
    <t>1570598560385</t>
  </si>
  <si>
    <t>-Lqiy2zqVy_q4bYgVdje</t>
  </si>
  <si>
    <t>1570598566585</t>
  </si>
  <si>
    <t>-Lqiy4hqLCk3TU2gpPLf</t>
  </si>
  <si>
    <t>1570598573824</t>
  </si>
  <si>
    <t>-Lqiy6Vx6Dz-gxVPS4Yu</t>
  </si>
  <si>
    <t>1570598581026</t>
  </si>
  <si>
    <t>-Lqiy8CORBr8x57jlpqc</t>
  </si>
  <si>
    <t>1570598588227</t>
  </si>
  <si>
    <t>-Lqiy9mxRiW20Z7Kfsti</t>
  </si>
  <si>
    <t>1570598594414</t>
  </si>
  <si>
    <t>-LqiyBVqIeTw2oPdQqN6</t>
  </si>
  <si>
    <t>1570598601624</t>
  </si>
  <si>
    <t>-LqiyDJt3J5lQZnR6op7</t>
  </si>
  <si>
    <t>1570598608834</t>
  </si>
  <si>
    <t>-LqiyF0qrhRohA--0pHY</t>
  </si>
  <si>
    <t>1570598616065</t>
  </si>
  <si>
    <t>-LqiyGlCmVWnYDHtPB30</t>
  </si>
  <si>
    <t>1570598623265</t>
  </si>
  <si>
    <t>-LqiyIK5V7Uyx0UCk6qA</t>
  </si>
  <si>
    <t>1570598629445</t>
  </si>
  <si>
    <t>-LqiyKJJZHQNv1StndEF</t>
  </si>
  <si>
    <t>1570598636675</t>
  </si>
  <si>
    <t>-LqiyM3FPV38VFkvdqvh</t>
  </si>
  <si>
    <t>1570598644866</t>
  </si>
  <si>
    <t>-LqiyNboCQy76qivalPT</t>
  </si>
  <si>
    <t>1570598651075</t>
  </si>
  <si>
    <t>-LqiyPKpPDDLz13Iu1jo</t>
  </si>
  <si>
    <t>1570598658313</t>
  </si>
  <si>
    <t>-LqiyQp_HXJWYNrmC9iB</t>
  </si>
  <si>
    <t>1570598664475</t>
  </si>
  <si>
    <t>-LqiyShlim0d3JJ0iRLB</t>
  </si>
  <si>
    <t>1570598670656</t>
  </si>
  <si>
    <t>-LqiyURW_Lhz8lAx7zXK</t>
  </si>
  <si>
    <t>1570598678896</t>
  </si>
  <si>
    <t>-LqiyWNuLFzmjdUTQH0C</t>
  </si>
  <si>
    <t>1570598686105</t>
  </si>
  <si>
    <t>-LqiyXx-rKqbq74-l13I</t>
  </si>
  <si>
    <t>1570598693306</t>
  </si>
  <si>
    <t>-LqiyZeuhX5GLYb8kruh</t>
  </si>
  <si>
    <t>1570598700546</t>
  </si>
  <si>
    <t>-LqiyaRoCCmd4LwNZ469</t>
  </si>
  <si>
    <t>1570598707745</t>
  </si>
  <si>
    <t>-LqiycAu998QCPKBPs6N</t>
  </si>
  <si>
    <t>1570598714945</t>
  </si>
  <si>
    <t>-Lqiydywd9lg8K9mbX7P</t>
  </si>
  <si>
    <t>1570598722165</t>
  </si>
  <si>
    <t>-Lqiyfh3Y21bS4OvwLGW</t>
  </si>
  <si>
    <t>1570598729345</t>
  </si>
  <si>
    <t>-LqiyhIhgNJEjEwLPpEL</t>
  </si>
  <si>
    <t>1570598735516</t>
  </si>
  <si>
    <t>-Lqiyiyu_jcEdkSG9J_y</t>
  </si>
  <si>
    <t>1570598742785</t>
  </si>
  <si>
    <t>-LqiyklwEydWS3Iin0gQ</t>
  </si>
  <si>
    <t>1570598749989</t>
  </si>
  <si>
    <t>-LqiymUwD5jQnR57BIrA</t>
  </si>
  <si>
    <t>1570598757185</t>
  </si>
  <si>
    <t>-LqiyoGoUYva6m-S9hYX</t>
  </si>
  <si>
    <t>1570598764406</t>
  </si>
  <si>
    <t>-Lqiyq-v0iL2nOKSaK1v</t>
  </si>
  <si>
    <t>1570598771585</t>
  </si>
  <si>
    <t>-LqiyrYpsRXf6iz8uGi-</t>
  </si>
  <si>
    <t>1570598777787</t>
  </si>
  <si>
    <t>-LqiytHwncnA_0KYzvNT</t>
  </si>
  <si>
    <t>1570598785005</t>
  </si>
  <si>
    <t>-Lqiyv4w5iIW1aoTCYUa</t>
  </si>
  <si>
    <t>1570598792216</t>
  </si>
  <si>
    <t>-Lqiywmp3XkxkIDStGDi</t>
  </si>
  <si>
    <t>1570598799442</t>
  </si>
  <si>
    <t>-Lqiyy_xuRt6oNvmPZSc</t>
  </si>
  <si>
    <t>1570598806637</t>
  </si>
  <si>
    <t>-Lqiz-JvwaCgQ9Smgr9g</t>
  </si>
  <si>
    <t>1570598813826</t>
  </si>
  <si>
    <t>-Lqiz0rq42Q2Nj5KT0dG</t>
  </si>
  <si>
    <t>1570598820027</t>
  </si>
  <si>
    <t>-Lqiz2_oqxK6YINNB5Uk</t>
  </si>
  <si>
    <t>1570598827236</t>
  </si>
  <si>
    <t>-Lqiz44ubXK_9ud17a6e</t>
  </si>
  <si>
    <t>1570598833435</t>
  </si>
  <si>
    <t>-Lqiz5e4oTZt2EIM8AGz</t>
  </si>
  <si>
    <t>1570598839607</t>
  </si>
  <si>
    <t>-Lqiz7MuihuhUCTVYf39</t>
  </si>
  <si>
    <t>1570598846790</t>
  </si>
  <si>
    <t>-Lqiz8pLTL9gwypHRY5C</t>
  </si>
  <si>
    <t>1570598852945</t>
  </si>
  <si>
    <t>-LqizAPt5ZCqmGoyHdVn</t>
  </si>
  <si>
    <t>1570598859185</t>
  </si>
  <si>
    <t>-LqizC6pj3fmfOgehegf</t>
  </si>
  <si>
    <t>1570598866388</t>
  </si>
  <si>
    <t>-LqizDx9P5VENL7qW1si</t>
  </si>
  <si>
    <t>1570598873605</t>
  </si>
  <si>
    <t>-LqizFiuHgNfbrCM6yOk</t>
  </si>
  <si>
    <t>1570598880815</t>
  </si>
  <si>
    <t>-LqizHS2T4n6S872vyBD</t>
  </si>
  <si>
    <t>1570598888026</t>
  </si>
  <si>
    <t>-LqizJ9mOb9U-064j_TH</t>
  </si>
  <si>
    <t>1570598895236</t>
  </si>
  <si>
    <t>-LqizKhr3E-jfJTCFZTO</t>
  </si>
  <si>
    <t>1570598901415</t>
  </si>
  <si>
    <t>-LqizMk9F13Bch7No9gv</t>
  </si>
  <si>
    <t>1570598909736</t>
  </si>
  <si>
    <t>-LqizOTvMSvqtUxfyP24</t>
  </si>
  <si>
    <t>1570598916877</t>
  </si>
  <si>
    <t>-LqizQFtecNAwbvN82su</t>
  </si>
  <si>
    <t>1570598924088</t>
  </si>
  <si>
    <t>-LqizRyqbwYZLm1FPG2x</t>
  </si>
  <si>
    <t>1570598931276</t>
  </si>
  <si>
    <t>-LqizTXygggHV__tjHB9</t>
  </si>
  <si>
    <t>1570598937457</t>
  </si>
  <si>
    <t>-LqizVFqpxbre0RDcBnI</t>
  </si>
  <si>
    <t>1570598944688</t>
  </si>
  <si>
    <t>-LqizX2qCDapasDpUpAQ</t>
  </si>
  <si>
    <t>1570598951897</t>
  </si>
  <si>
    <t>-LqizYn5bWWzvRurNbjJ</t>
  </si>
  <si>
    <t>1570598959107</t>
  </si>
  <si>
    <t>-Lqiz_ZqYuaDtjMKTG4b</t>
  </si>
  <si>
    <t>1570598966327</t>
  </si>
  <si>
    <t>-LqizbHq1nfKw1lyD1Nv</t>
  </si>
  <si>
    <t>1570598973507</t>
  </si>
  <si>
    <t>-Lqizcqss9WBdsF7bHNv</t>
  </si>
  <si>
    <t>1570598979728</t>
  </si>
  <si>
    <t>-LqizeZobpLHFIb1Tam6</t>
  </si>
  <si>
    <t>1570598986938</t>
  </si>
  <si>
    <t>-LqizgHKnDEC-Hhzhf7b</t>
  </si>
  <si>
    <t>1570598993107</t>
  </si>
  <si>
    <t>-Lqizhqh6GQFz-LmucFN</t>
  </si>
  <si>
    <t>1570599000318</t>
  </si>
  <si>
    <t>-LqizjfopHOYbOveeV_-</t>
  </si>
  <si>
    <t>1570599007527</t>
  </si>
  <si>
    <t>-LqizlMif9MiY0fbmRJg</t>
  </si>
  <si>
    <t>1570599014746</t>
  </si>
  <si>
    <t>-Lqizn9ouwiTl_6yiPsA</t>
  </si>
  <si>
    <t>1570599021956</t>
  </si>
  <si>
    <t>-Lqizp2nfpIibfWj_JbH</t>
  </si>
  <si>
    <t>1570599029168</t>
  </si>
  <si>
    <t>-LqizqiDfj6g5s03aisO</t>
  </si>
  <si>
    <t>1570599036377</t>
  </si>
  <si>
    <t>-LqizsOq2toXRVwkBSOF</t>
  </si>
  <si>
    <t>1570599043587</t>
  </si>
  <si>
    <t>-LqizuBoZlNyVQ2N-Mtx</t>
  </si>
  <si>
    <t>1570599050809</t>
  </si>
  <si>
    <t>-LqizvupZ22MyL47zVG8</t>
  </si>
  <si>
    <t>1570599057987</t>
  </si>
  <si>
    <t>-LqizxZxbBp3n2U2bvuR</t>
  </si>
  <si>
    <t>1570599064178</t>
  </si>
  <si>
    <t>-LqizzBx12hvhDzdEPWU</t>
  </si>
  <si>
    <t>1570599071407</t>
  </si>
  <si>
    <t>-Lqj--zqXFs7CRCqF3hC</t>
  </si>
  <si>
    <t>1570599078617</t>
  </si>
  <si>
    <t>-Lqj-1iySN5NWTxE7P4A</t>
  </si>
  <si>
    <t>1570599085828</t>
  </si>
  <si>
    <t>-Lqj-3Wwta3YtwKtAUhK</t>
  </si>
  <si>
    <t>1570599093050</t>
  </si>
  <si>
    <t>-Lqj-5DgAHYqDcwJXUJb</t>
  </si>
  <si>
    <t>1570599100229</t>
  </si>
  <si>
    <t>-Lqj-6oFwHQSicmEXHn8</t>
  </si>
  <si>
    <t>1570599106436</t>
  </si>
  <si>
    <t>-Lqj-8W6ccKWzj5zf1CS</t>
  </si>
  <si>
    <t>1570599113648</t>
  </si>
  <si>
    <t>-Lqj-AIqN0TC3djUu8-W</t>
  </si>
  <si>
    <t>1570599120958</t>
  </si>
  <si>
    <t>-Lqj-C3Dk7hc1lJp6VcT</t>
  </si>
  <si>
    <t>1570599128067</t>
  </si>
  <si>
    <t>-Lqj-Dpxg41zoUZbcn3v</t>
  </si>
  <si>
    <t>1570599135287</t>
  </si>
  <si>
    <t>-Lqj-FrrxswrOIrwaSNE</t>
  </si>
  <si>
    <t>1570599142468</t>
  </si>
  <si>
    <t>-Lqj-H_rM0lZK7eOR0Dy</t>
  </si>
  <si>
    <t>1570599150741</t>
  </si>
  <si>
    <t>-Lqj-JT-y_-Ls0gsMsoA</t>
  </si>
  <si>
    <t>1570599157952</t>
  </si>
  <si>
    <t>-Lqj-LAyvcNUvOFkwVaT</t>
  </si>
  <si>
    <t>1570599165521</t>
  </si>
  <si>
    <t>-Lqj-Mu0RP2lsLaUHkET</t>
  </si>
  <si>
    <t>1570599172372</t>
  </si>
  <si>
    <t>-Lqj-OatLOl99_wKYyMl</t>
  </si>
  <si>
    <t>1570599179636</t>
  </si>
  <si>
    <t>-Lqj-QQ7ew72wbtuieWi</t>
  </si>
  <si>
    <t>1570599186801</t>
  </si>
  <si>
    <t>-Lqj-S80nT0NK6nfNCG0</t>
  </si>
  <si>
    <t>1570599193990</t>
  </si>
  <si>
    <t>-Lqj-Th-gHKfBm5Go3FL</t>
  </si>
  <si>
    <t>1570599200179</t>
  </si>
  <si>
    <t>-Lqj-VQ89YaEBaCseLmq</t>
  </si>
  <si>
    <t>1570599207400</t>
  </si>
  <si>
    <t>-Lqj-XL7OfRDk7H9-Brb</t>
  </si>
  <si>
    <t>1570599214611</t>
  </si>
  <si>
    <t>-Lqj-YvywbgjM7WAnAFT</t>
  </si>
  <si>
    <t>1570599221831</t>
  </si>
  <si>
    <t>-Lqj-_iymNhapD7UGI7E</t>
  </si>
  <si>
    <t>1570599229040</t>
  </si>
  <si>
    <t>-Lqj-bRqjRyMMmrhBsXJ</t>
  </si>
  <si>
    <t>1570599236231</t>
  </si>
  <si>
    <t>-Lqj-d-zpxgAluOCd2ho</t>
  </si>
  <si>
    <t>1570599242431</t>
  </si>
  <si>
    <t>-Lqj-eiyzhk6sqHWLzUn</t>
  </si>
  <si>
    <t>1570599249641</t>
  </si>
  <si>
    <t>-Lqj-gWzoQbSKXRWtUMi</t>
  </si>
  <si>
    <t>1570599256852</t>
  </si>
  <si>
    <t>-Lqj-iPANMokbVCvFmAI</t>
  </si>
  <si>
    <t>1570599264601</t>
  </si>
  <si>
    <t>-Lqj-k2-J7mTAnZcbXIQ</t>
  </si>
  <si>
    <t>1570599271271</t>
  </si>
  <si>
    <t>-Lqj-lkyARxNpOqxuclj</t>
  </si>
  <si>
    <t>1570599278471</t>
  </si>
  <si>
    <t>-Lqj-nK5P4ZndE2aYrsB</t>
  </si>
  <si>
    <t>1570599284659</t>
  </si>
  <si>
    <t>-Lqj-p2Jo7o8xhaaV1FB</t>
  </si>
  <si>
    <t>1570599291880</t>
  </si>
  <si>
    <t>-Lqj-qqPOUxiGhpEcFMD</t>
  </si>
  <si>
    <t>1570599299091</t>
  </si>
  <si>
    <t>-Lqj-sYzCkKMl_g3AH4q</t>
  </si>
  <si>
    <t>1570599306311</t>
  </si>
  <si>
    <t>-Lqj-uLyB-8oER1-ZZpb</t>
  </si>
  <si>
    <t>1570599313511</t>
  </si>
  <si>
    <t>-Lqj-w8xvRSarJN7HhVx</t>
  </si>
  <si>
    <t>1570599320711</t>
  </si>
  <si>
    <t>-Lqj-yB-zmGd1S_ktz25</t>
  </si>
  <si>
    <t>1570599327931</t>
  </si>
  <si>
    <t>-Lqj-zyzwXeVKjWqPAs-</t>
  </si>
  <si>
    <t>1570599336180</t>
  </si>
  <si>
    <t>-Lqj00bzvXPZb1MAotP5</t>
  </si>
  <si>
    <t>1570599343391</t>
  </si>
  <si>
    <t>-Lqj02QA4VN9D_TfwQSW</t>
  </si>
  <si>
    <t>1570599350601</t>
  </si>
  <si>
    <t>-Lqj047zuWihvF9arixG</t>
  </si>
  <si>
    <t>1570599357812</t>
  </si>
  <si>
    <t>-Lqj05vzZDi-M95ApJvs</t>
  </si>
  <si>
    <t>1570599365000</t>
  </si>
  <si>
    <t>-Lqj07eIsF4vlIOOfe3t</t>
  </si>
  <si>
    <t>1570599372232</t>
  </si>
  <si>
    <t>-Lqj09lJHBjVOGqG880l</t>
  </si>
  <si>
    <t>1570599379450</t>
  </si>
  <si>
    <t>-Lqj0BOyEjk_90P7Uway</t>
  </si>
  <si>
    <t>1570599387680</t>
  </si>
  <si>
    <t>-Lqj0Cy-zA6dq45QpvZ_</t>
  </si>
  <si>
    <t>1570599393861</t>
  </si>
  <si>
    <t>-Lqj0Efy8jce8U96llg7</t>
  </si>
  <si>
    <t>1570599401041</t>
  </si>
  <si>
    <t>-Lqj0GEzFxnVqlSPuotJ</t>
  </si>
  <si>
    <t>1570599407242</t>
  </si>
  <si>
    <t>-Lqj0HwcSj5VoSNgY9XX</t>
  </si>
  <si>
    <t>1570599414471</t>
  </si>
  <si>
    <t>-Lqj0JjmQSrM67BnvuPs</t>
  </si>
  <si>
    <t>1570599421673</t>
  </si>
  <si>
    <t>-Lqj0LU0RcRpaGHN_B6X</t>
  </si>
  <si>
    <t>1570599428872</t>
  </si>
  <si>
    <t>-Lqj0N21_bTqu2eEt_6b</t>
  </si>
  <si>
    <t>1570599435062</t>
  </si>
  <si>
    <t>-Lqj0Ol0cNy7YKQELCzn</t>
  </si>
  <si>
    <t>1570599442281</t>
  </si>
  <si>
    <t>-Lqj0QY5TJUKGDpHuRip</t>
  </si>
  <si>
    <t>1570599449491</t>
  </si>
  <si>
    <t>-Lqj0SH-gGQh6FdfDAnQ</t>
  </si>
  <si>
    <t>1570599456710</t>
  </si>
  <si>
    <t>-Lqj0U4-KL53pJQ-xtTy</t>
  </si>
  <si>
    <t>1570599463910</t>
  </si>
  <si>
    <t>-Lqj0Vn0iKiblazW0ItZ</t>
  </si>
  <si>
    <t>1570599471113</t>
  </si>
  <si>
    <t>-Lqj0XLyym-33rm4qeFI</t>
  </si>
  <si>
    <t>1570599477300</t>
  </si>
  <si>
    <t>-Lqj0Z3zqiGt2Cj7svKa</t>
  </si>
  <si>
    <t>1570599484521</t>
  </si>
  <si>
    <t>-Lqj0_rznUspsM4gVlOB</t>
  </si>
  <si>
    <t>1570599491731</t>
  </si>
  <si>
    <t>-Lqj0ba1ehe5M6yzxirB</t>
  </si>
  <si>
    <t>1570599498950</t>
  </si>
  <si>
    <t>-Lqj0dO1e_-6H4ES_f_D</t>
  </si>
  <si>
    <t>1570599506151</t>
  </si>
  <si>
    <t>-Lqj0f60TdskO1dDYeaB</t>
  </si>
  <si>
    <t>1570599513411</t>
  </si>
  <si>
    <t>-Lqj0gu1FsRyLhpJYzAD</t>
  </si>
  <si>
    <t>1570599520572</t>
  </si>
  <si>
    <t>-Lqj0iweK4ZQ-bfRwaFL</t>
  </si>
  <si>
    <t>1570599527761</t>
  </si>
  <si>
    <t>-Lqj0kdrGm6pulvb0p1h</t>
  </si>
  <si>
    <t>1570599536030</t>
  </si>
  <si>
    <t>-Lqj0mS07ggPUVAU_6--</t>
  </si>
  <si>
    <t>1570599543232</t>
  </si>
  <si>
    <t>-Lqj0oA-kbXLQPyw1vDi</t>
  </si>
  <si>
    <t>1570599550450</t>
  </si>
  <si>
    <t>-Lqj0py7cqq6exOPViDe</t>
  </si>
  <si>
    <t>1570599557660</t>
  </si>
  <si>
    <t>-Lqj0rg1GTZE5i1AQ2VL</t>
  </si>
  <si>
    <t>1570599564882</t>
  </si>
  <si>
    <t>-Lqj0tU-MZYaU9j2y_V7</t>
  </si>
  <si>
    <t>1570599572080</t>
  </si>
  <si>
    <t>-Lqj0vCHhO0PmgdawqeZ</t>
  </si>
  <si>
    <t>1570599579271</t>
  </si>
  <si>
    <t>-Lqj0wl-mhhrZbmbycn4</t>
  </si>
  <si>
    <t>1570599585491</t>
  </si>
  <si>
    <t>-Lqj0ySnDPthy3GdFlis</t>
  </si>
  <si>
    <t>1570599592691</t>
  </si>
  <si>
    <t>-Lqj1-H-lJom1Y_RzX7r</t>
  </si>
  <si>
    <t>1570599599900</t>
  </si>
  <si>
    <t>-Lqj110D6TTPZgvPzDNo</t>
  </si>
  <si>
    <t>1570599607110</t>
  </si>
  <si>
    <t>-Lqj132ERzNNi9xAJpcB</t>
  </si>
  <si>
    <t>1570599615005</t>
  </si>
  <si>
    <t>-Lqj152uSPQAbckjFl8L</t>
  </si>
  <si>
    <t>1570599623783</t>
  </si>
  <si>
    <t>-Lqj16lvGv60kwst2xut</t>
  </si>
  <si>
    <t>1570599630785</t>
  </si>
  <si>
    <t>-Lqj18_DUXZAdIyI-7sk</t>
  </si>
  <si>
    <t>1570599638007</t>
  </si>
  <si>
    <t>-Lqj1AI4hiQUs0tAiv9_</t>
  </si>
  <si>
    <t>1570599645195</t>
  </si>
  <si>
    <t>-Lqj1BlvJYJQMLhCjieo</t>
  </si>
  <si>
    <t>1570599651354</t>
  </si>
  <si>
    <t>-Lqj1DKnZRz-qhzORzfj</t>
  </si>
  <si>
    <t>1570599657587</t>
  </si>
  <si>
    <t>-Lqj1F2u3Lte3UzzPF1R</t>
  </si>
  <si>
    <t>1570599664797</t>
  </si>
  <si>
    <t>-Lqj1GayMcVTBfHJm2C1</t>
  </si>
  <si>
    <t>1570599670977</t>
  </si>
  <si>
    <t>-Lqj1IKuzwqV64LypTU5</t>
  </si>
  <si>
    <t>1570599678156</t>
  </si>
  <si>
    <t>-Lqj1Ju6pXxc_gZuwEgi</t>
  </si>
  <si>
    <t>1570599684367</t>
  </si>
  <si>
    <t>-Lqj1LbvHvxYzanvqACR</t>
  </si>
  <si>
    <t>1570599691585</t>
  </si>
  <si>
    <t>-Lqj1NPvDLbCBmyyhaQ8</t>
  </si>
  <si>
    <t>1570599698786</t>
  </si>
  <si>
    <t>-Lqj1P7yCQzME_lyAEm-</t>
  </si>
  <si>
    <t>1570599705987</t>
  </si>
  <si>
    <t>-Lqj1QguTVMUt0mwnsGo</t>
  </si>
  <si>
    <t>1570599712176</t>
  </si>
  <si>
    <t>-Lqj1SQ6qiRTKdByfM6m</t>
  </si>
  <si>
    <t>1570599719397</t>
  </si>
  <si>
    <t>-Lqj1UCv0MPwdQbiB5Ty</t>
  </si>
  <si>
    <t>1570599726607</t>
  </si>
  <si>
    <t>-Lqj1VuXlxpdFXJhRqYc</t>
  </si>
  <si>
    <t>1570599733827</t>
  </si>
  <si>
    <t>-Lqj1Xj57fYhgxSgQlNh</t>
  </si>
  <si>
    <t>1570599741027</t>
  </si>
  <si>
    <t>-Lqj1ZcAkeodZo7h5HWv</t>
  </si>
  <si>
    <t>1570599748915</t>
  </si>
  <si>
    <t>-Lqj1aEwoqE94Nnmpusx</t>
  </si>
  <si>
    <t>1570599755445</t>
  </si>
  <si>
    <t>-Lqj1bxuZ1yB-fOXH7g9</t>
  </si>
  <si>
    <t>1570599762636</t>
  </si>
  <si>
    <t>-Lqj1dWu93aUfnqA0VPP</t>
  </si>
  <si>
    <t>1570599768815</t>
  </si>
  <si>
    <t>-Lqj1fEvbSfwr_V9F9qE</t>
  </si>
  <si>
    <t>1570599776067</t>
  </si>
  <si>
    <t>-Lqj1h0edry499AX-tX6</t>
  </si>
  <si>
    <t>1570599783267</t>
  </si>
  <si>
    <t>-Lqj1j3tltrnw4pm1OPc</t>
  </si>
  <si>
    <t>1570599791633</t>
  </si>
  <si>
    <t>-Lqj1kmGpw2jHUcceh6M</t>
  </si>
  <si>
    <t>1570599798718</t>
  </si>
  <si>
    <t>-Lqj1ma5Dq2UeahMMj9f</t>
  </si>
  <si>
    <t>1570599805925</t>
  </si>
  <si>
    <t>-Lqj1oIu-zepYuKv080-</t>
  </si>
  <si>
    <t>1570599813136</t>
  </si>
  <si>
    <t>-Lqj1q5viurrAarcfT8f</t>
  </si>
  <si>
    <t>1570599820347</t>
  </si>
  <si>
    <t>-Lqj1rovHM7Nya4IRyTq</t>
  </si>
  <si>
    <t>1570599827567</t>
  </si>
  <si>
    <t>-Lqj1tbvSMra_w1Gt88T</t>
  </si>
  <si>
    <t>1570599834777</t>
  </si>
  <si>
    <t>-Lqj1vKu6NmvAnxeJZuQ</t>
  </si>
  <si>
    <t>1570599841995</t>
  </si>
  <si>
    <t>-Lqj1x3DyQinuxALd6lN</t>
  </si>
  <si>
    <t>1570599849186</t>
  </si>
  <si>
    <t>-Lqj1yw067mxvpgS6eB1</t>
  </si>
  <si>
    <t>1570599855377</t>
  </si>
  <si>
    <t>-Lqj2-eQ9cFnh661gGfo</t>
  </si>
  <si>
    <t>1570599863619</t>
  </si>
  <si>
    <t>-Lqj21MwzM9kf3dSExNh</t>
  </si>
  <si>
    <t>1570599870798</t>
  </si>
  <si>
    <t>-Lqj23A9rr9ztDfyOqaO</t>
  </si>
  <si>
    <t>1570599878038</t>
  </si>
  <si>
    <t>-Lqj24sxvhbTQ2Vm50oM</t>
  </si>
  <si>
    <t>1570599885259</t>
  </si>
  <si>
    <t>-Lqj26Rx4iUwdY9_wIAR</t>
  </si>
  <si>
    <t>1570599891439</t>
  </si>
  <si>
    <t>-Lqj28QDUigV0-pfr_rs</t>
  </si>
  <si>
    <t>1570599898627</t>
  </si>
  <si>
    <t>-Lqj29xzT5U87rGJ1EIc</t>
  </si>
  <si>
    <t>1570599905829</t>
  </si>
  <si>
    <t>-Lqj2BfzbZRviGw4RmYN</t>
  </si>
  <si>
    <t>1570599913038</t>
  </si>
  <si>
    <t>-Lqj2DEz1TwWiVzPacBz</t>
  </si>
  <si>
    <t>1570599919218</t>
  </si>
  <si>
    <t>-Lqj2Ey6WvCsXsZCw3jh</t>
  </si>
  <si>
    <t>1570599926471</t>
  </si>
  <si>
    <t>-Lqj2GjtD2yUNlLIpwBm</t>
  </si>
  <si>
    <t>1570599933667</t>
  </si>
  <si>
    <t>-Lqj2ITyuvChdqk-SssJ</t>
  </si>
  <si>
    <t>1570599940868</t>
  </si>
  <si>
    <t>-Lqj2KMIZ7fnIlN6LTPY</t>
  </si>
  <si>
    <t>1570599947079</t>
  </si>
  <si>
    <t>-Lqj2Lzxunuo0xCeuf6x</t>
  </si>
  <si>
    <t>1570599955280</t>
  </si>
  <si>
    <t>-Lqj2NYy502oqcGw_amL</t>
  </si>
  <si>
    <t>1570599961468</t>
  </si>
  <si>
    <t>-Lqj2PGx-qF-MUSFPgJr</t>
  </si>
  <si>
    <t>1570599968709</t>
  </si>
  <si>
    <t>-Lqj2QkyboOs_AkP5OJd</t>
  </si>
  <si>
    <t>1570599974879</t>
  </si>
  <si>
    <t>-Lqj2SJzzScolAfEJaNf</t>
  </si>
  <si>
    <t>1570599981059</t>
  </si>
  <si>
    <t>-Lqj2U26HijJ-NjGw5hX</t>
  </si>
  <si>
    <t>1570599988239</t>
  </si>
  <si>
    <t>-Lqj2Vaxy7WB3xtWei4Z</t>
  </si>
  <si>
    <t>1570599994428</t>
  </si>
  <si>
    <t>-Lqj2XIhJkBMPBNTs5uv</t>
  </si>
  <si>
    <t>1570600001669</t>
  </si>
  <si>
    <t>-Lqj2Z6z12b2hHSHrx8X</t>
  </si>
  <si>
    <t>1570600008868</t>
  </si>
  <si>
    <t>-Lqj2_pzQ-iaeN-5O55f</t>
  </si>
  <si>
    <t>1570600016068</t>
  </si>
  <si>
    <t>-Lqj2bP6ImEiZzomLvjA</t>
  </si>
  <si>
    <t>1570600022258</t>
  </si>
  <si>
    <t>-Lqj2d6zvXQkEecvkmWC</t>
  </si>
  <si>
    <t>1570600029487</t>
  </si>
  <si>
    <t>-Lqj2euzPfp5ZtjNLzyD</t>
  </si>
  <si>
    <t>1570600036688</t>
  </si>
  <si>
    <t>-Lqj2gdKECBODUHnSHkG</t>
  </si>
  <si>
    <t>1570600043909</t>
  </si>
  <si>
    <t>-Lqj2iR58zMicdA91UxH</t>
  </si>
  <si>
    <t>1570600051108</t>
  </si>
  <si>
    <t>-Lqj2k8x2igZWNJNVKKo</t>
  </si>
  <si>
    <t>1570600058309</t>
  </si>
  <si>
    <t>-Lqj2lwxmgnSR6WGttD-</t>
  </si>
  <si>
    <t>1570600065528</t>
  </si>
  <si>
    <t>-Lqj2nex278mkgX104Y4</t>
  </si>
  <si>
    <t>1570600072709</t>
  </si>
  <si>
    <t>-Lqj2pUCljuROjEx5DKo</t>
  </si>
  <si>
    <t>1570600079918</t>
  </si>
  <si>
    <t>-Lqj2wAye87RZ1pOChJW</t>
  </si>
  <si>
    <t>1570600107613</t>
  </si>
  <si>
    <t>-Lqj2xrzwD9gfkxWzAhy</t>
  </si>
  <si>
    <t>1570600114591</t>
  </si>
  <si>
    <t>-Lqj2zgzAg4lTGSGilje</t>
  </si>
  <si>
    <t>1570600121811</t>
  </si>
  <si>
    <t>-Lqj30PzUNU7NcoHYKat</t>
  </si>
  <si>
    <t>1570600129031</t>
  </si>
  <si>
    <t>-Lqj32CyGFF8qqI5x2Ow</t>
  </si>
  <si>
    <t>1570600136280</t>
  </si>
  <si>
    <t>-Lqj33vyBIAAXECwsD8d</t>
  </si>
  <si>
    <t>1570600143431</t>
  </si>
  <si>
    <t>-Lqj35Uz_Xhe_qvSVW0F</t>
  </si>
  <si>
    <t>1570600149631</t>
  </si>
  <si>
    <t>-Lqj37RxTuWmmFleuZfM</t>
  </si>
  <si>
    <t>1570600156830</t>
  </si>
  <si>
    <t>-Lqj38vrOXjy66td8XTl</t>
  </si>
  <si>
    <t>1570600164050</t>
  </si>
  <si>
    <t>-Lqj3AWXESVhrUNwTZO9</t>
  </si>
  <si>
    <t>1570600170231</t>
  </si>
  <si>
    <t>-Lqj3CCW1nFbkEKTH_ny</t>
  </si>
  <si>
    <t>1570600177431</t>
  </si>
  <si>
    <t>-Lqj3Dw2a_yc2Qms0NBl</t>
  </si>
  <si>
    <t>1570600183619</t>
  </si>
  <si>
    <t>-Lqj3FV0rwkzQIPhsGcx</t>
  </si>
  <si>
    <t>1570600190851</t>
  </si>
  <si>
    <t>-Lqj3HI-FrhrlUcJar_9</t>
  </si>
  <si>
    <t>1570600198040</t>
  </si>
  <si>
    <t>-Lqj3J00B5LeANE9eByp</t>
  </si>
  <si>
    <t>1570600205261</t>
  </si>
  <si>
    <t>-Lqj3KZ41TUj3T3F22NV</t>
  </si>
  <si>
    <t>1570600211448</t>
  </si>
  <si>
    <t>-Lqj3MFWOAEVTr0dSmYO</t>
  </si>
  <si>
    <t>1570600218631</t>
  </si>
  <si>
    <t>-Lqj3Nr-jvQRhACSpS2B</t>
  </si>
  <si>
    <t>1570600224840</t>
  </si>
  <si>
    <t>-Lqj3P_0oxE3reMjaRFV</t>
  </si>
  <si>
    <t>1570600232049</t>
  </si>
  <si>
    <t>-Lqj3RN0Ye0ctgDoRwYZ</t>
  </si>
  <si>
    <t>1570600239250</t>
  </si>
  <si>
    <t>-Lqj3T43tiwc6XEJ_LV8</t>
  </si>
  <si>
    <t>1570600246470</t>
  </si>
  <si>
    <t>-Lqj3UszdHYWzP3Ba7r6</t>
  </si>
  <si>
    <t>1570600253671</t>
  </si>
  <si>
    <t>-Lqj3WbKjtUU0GJN-SM5</t>
  </si>
  <si>
    <t>1570600260872</t>
  </si>
  <si>
    <t>-Lqj3YOz2fmKEeNecVXi</t>
  </si>
  <si>
    <t>1570600268099</t>
  </si>
  <si>
    <t>-Lqj3_7-7kUNwSP5WB0i</t>
  </si>
  <si>
    <t>1570600275279</t>
  </si>
  <si>
    <t>-Lqj3av0-yV19PxIYzBL</t>
  </si>
  <si>
    <t>1570600282520</t>
  </si>
  <si>
    <t>-Lqj3ccz9oBhDyyzk9pZ</t>
  </si>
  <si>
    <t>1570600289741</t>
  </si>
  <si>
    <t>-Lqj3eC0EBwXHJj5fg_s</t>
  </si>
  <si>
    <t>1570600295912</t>
  </si>
  <si>
    <t>-Lqj3fv0aEohoJK9tipq</t>
  </si>
  <si>
    <t>1570600303111</t>
  </si>
  <si>
    <t>-Lqj3hi0uvB-2usg2TRz</t>
  </si>
  <si>
    <t>1570600310331</t>
  </si>
  <si>
    <t>-Lqj3jR0zlf-66PnxPMm</t>
  </si>
  <si>
    <t>1570600317521</t>
  </si>
  <si>
    <t>-Lqj3l-87vN31eGHCQoQ</t>
  </si>
  <si>
    <t>1570600323710</t>
  </si>
  <si>
    <t>-Lqj3mgtMGpS0pLvaMLH</t>
  </si>
  <si>
    <t>1570600330954</t>
  </si>
  <si>
    <t>-Lqj3op-l-IpiY-jB30E</t>
  </si>
  <si>
    <t>1570600338151</t>
  </si>
  <si>
    <t>-Lqj3qm1fkkqDLllGIl1</t>
  </si>
  <si>
    <t>1570600347626</t>
  </si>
  <si>
    <t>-Lqj3sV1TYLg9Va-6JMY</t>
  </si>
  <si>
    <t>1570600354632</t>
  </si>
  <si>
    <t>-Lqj3uI5_xMbuFLvpJKm</t>
  </si>
  <si>
    <t>1570600361852</t>
  </si>
  <si>
    <t>-Lqj3w7BoMLAAfDbS0AF</t>
  </si>
  <si>
    <t>1570600369048</t>
  </si>
  <si>
    <t>-Lqj3xocSatBurLxuuDv</t>
  </si>
  <si>
    <t>1570600376270</t>
  </si>
  <si>
    <t>-Lqj3zUpewoM2oFncQIh</t>
  </si>
  <si>
    <t>1570600383461</t>
  </si>
  <si>
    <t>-Lqj4051-lDxGfPXm1K6</t>
  </si>
  <si>
    <t>1570600389660</t>
  </si>
  <si>
    <t>-Lqj41pFk29lLyIMO8t-</t>
  </si>
  <si>
    <t>1570600396872</t>
  </si>
  <si>
    <t>-Lqj43b-KSFpBljCJl7M</t>
  </si>
  <si>
    <t>1570600404091</t>
  </si>
  <si>
    <t>-Lqj45K-lLDcg2PmNzwM</t>
  </si>
  <si>
    <t>1570600411271</t>
  </si>
  <si>
    <t>-Lqj47CYHtGcAT_3KJol</t>
  </si>
  <si>
    <t>1570600417471</t>
  </si>
  <si>
    <t>-Lqj48ppEraHpRPskcuB</t>
  </si>
  <si>
    <t>1570600425709</t>
  </si>
  <si>
    <t>-Lqj4AP-ZZHwAHPbM9i3</t>
  </si>
  <si>
    <t>1570600431882</t>
  </si>
  <si>
    <t>-Lqj4C7-Hz5orjGn2QAW</t>
  </si>
  <si>
    <t>1570600439111</t>
  </si>
  <si>
    <t>-Lqj4EESXoZAUKACh1he</t>
  </si>
  <si>
    <t>1570600447701</t>
  </si>
  <si>
    <t>-Lqj4Fx-mAQk_eauyMpP</t>
  </si>
  <si>
    <t>1570600454572</t>
  </si>
  <si>
    <t>-Lqj4I-NCbMiG6tXPWM1</t>
  </si>
  <si>
    <t>1570600461798</t>
  </si>
  <si>
    <t>-Lqj4Jh7MFmg_SbqY5A9</t>
  </si>
  <si>
    <t>1570600470020</t>
  </si>
  <si>
    <t>-Lqj4LQ7SEF05zmwrbvQ</t>
  </si>
  <si>
    <t>1570600477250</t>
  </si>
  <si>
    <t>-Lqj4Mz-3raV04Em3NHx</t>
  </si>
  <si>
    <t>1570600483422</t>
  </si>
  <si>
    <t>-Lqj4Oh8idSQo1AKJUYz</t>
  </si>
  <si>
    <t>1570600490634</t>
  </si>
  <si>
    <t>-Lqj4QVFl4z7hktueN-y</t>
  </si>
  <si>
    <t>1570600497842</t>
  </si>
  <si>
    <t>-Lqj4SD0c9N4hVsUYhvl</t>
  </si>
  <si>
    <t>1570600505032</t>
  </si>
  <si>
    <t>-Lqj4Tm9CGfVTbKpc1r7</t>
  </si>
  <si>
    <t>1570600511221</t>
  </si>
  <si>
    <t>-Lqj4VUzdi4phOHXolnQ</t>
  </si>
  <si>
    <t>1570600518450</t>
  </si>
  <si>
    <t>-Lqj4XHqpV7e50iya-mn</t>
  </si>
  <si>
    <t>1570600525662</t>
  </si>
  <si>
    <t>-Lqj4Z0-ovA_vtuQIthH</t>
  </si>
  <si>
    <t>1570600532871</t>
  </si>
  <si>
    <t>-Lqj4_o9upnJsFnZjg4z</t>
  </si>
  <si>
    <t>1570600540081</t>
  </si>
  <si>
    <t>-Lqj4bUVtLD3UePHyKza</t>
  </si>
  <si>
    <t>1570600547261</t>
  </si>
  <si>
    <t>-Lqj4d5-C3MCGzFl6fUu</t>
  </si>
  <si>
    <t>1570600553461</t>
  </si>
  <si>
    <t>-Lqj4enzkXS2U_ZwyP5E</t>
  </si>
  <si>
    <t>1570600560691</t>
  </si>
  <si>
    <t>-Lqj4ga2zW0GwfH8Q3QV</t>
  </si>
  <si>
    <t>1570600567900</t>
  </si>
  <si>
    <t>-Lqj4icoSM8Q7-OSEuPT</t>
  </si>
  <si>
    <t>1570600575112</t>
  </si>
  <si>
    <t>-Lqj4kLxCgoe8lYlHjTY</t>
  </si>
  <si>
    <t>1570600583351</t>
  </si>
  <si>
    <t>-Lqj4m9BWNmwXMZ1RKeB</t>
  </si>
  <si>
    <t>1570600590572</t>
  </si>
  <si>
    <t>-Lqj4ns0fMLN06wIru8X</t>
  </si>
  <si>
    <t>1570600597770</t>
  </si>
  <si>
    <t>-Lqj4pdjkebp-P2HY4Db</t>
  </si>
  <si>
    <t>1570600604997</t>
  </si>
  <si>
    <t>-Lqj4rLwgFyz58JtDvNp</t>
  </si>
  <si>
    <t>1570600612201</t>
  </si>
  <si>
    <t>-Lqj4tV7jJiiixC93ItT</t>
  </si>
  <si>
    <t>1570600619411</t>
  </si>
  <si>
    <t>-Lqj4v8-AvKd1Mqf2FTz</t>
  </si>
  <si>
    <t>1570600627649</t>
  </si>
  <si>
    <t>-Lqj4wh-CWCMVExjCqQB</t>
  </si>
  <si>
    <t>1570600633829</t>
  </si>
  <si>
    <t>-Lqj4yPz65AS8oQFkkNr</t>
  </si>
  <si>
    <t>1570600641030</t>
  </si>
  <si>
    <t>-Lqj4zxkA7QflGa3Ohbw</t>
  </si>
  <si>
    <t>1570600647230</t>
  </si>
  <si>
    <t>-Lqj50gzFY8nrlx8dOvy</t>
  </si>
  <si>
    <t>1570600654439</t>
  </si>
  <si>
    <t>-Lqj52UyNLowMVL82xRJ</t>
  </si>
  <si>
    <t>1570600661675</t>
  </si>
  <si>
    <t>-Lqj54D6gFV42gK7ji1s</t>
  </si>
  <si>
    <t>1570600668873</t>
  </si>
  <si>
    <t>-Lqj56-y4VAnqwaKgEEP</t>
  </si>
  <si>
    <t>1570600676070</t>
  </si>
  <si>
    <t>-Lqj57oFsx0U9O1O0tCm</t>
  </si>
  <si>
    <t>1570600683270</t>
  </si>
  <si>
    <t>-Lqj59X8_qgLvXCsWFqh</t>
  </si>
  <si>
    <t>1570600690499</t>
  </si>
  <si>
    <t>-Lqj5BF6xMMNB26_S0rJ</t>
  </si>
  <si>
    <t>1570600697681</t>
  </si>
  <si>
    <t>-Lqj5CiyXMUR8gqI0QI4</t>
  </si>
  <si>
    <t>1570600703870</t>
  </si>
  <si>
    <t>-Lqj5EgYBxA6CmNnnGnL</t>
  </si>
  <si>
    <t>1570600710080</t>
  </si>
  <si>
    <t>-Lqj5GKIGofxRNN-RY9n</t>
  </si>
  <si>
    <t>1570600718300</t>
  </si>
  <si>
    <t>-Lqj5I22QOYUsMGHP7Bn</t>
  </si>
  <si>
    <t>1570600725509</t>
  </si>
  <si>
    <t>-Lqj5JaziP9xc4n3Pxdm</t>
  </si>
  <si>
    <t>1570600731711</t>
  </si>
  <si>
    <t>-Lqj5LK7aAN3UBeW4dhy</t>
  </si>
  <si>
    <t>1570600738931</t>
  </si>
  <si>
    <t>-Lqj5N2-skzo7Uvk0FAX</t>
  </si>
  <si>
    <t>1570600746109</t>
  </si>
  <si>
    <t>-Lqj5ObE5_0XZximOKDS</t>
  </si>
  <si>
    <t>1570600752318</t>
  </si>
  <si>
    <t>-Lqj5QP50P3UZc9bqT5m</t>
  </si>
  <si>
    <t>1570600759530</t>
  </si>
  <si>
    <t>-Lqj5S786WLZgX4JkAUo</t>
  </si>
  <si>
    <t>1570600766751</t>
  </si>
  <si>
    <t>-Lqj5TuzBooFoCjsNp47</t>
  </si>
  <si>
    <t>1570600773950</t>
  </si>
  <si>
    <t>-Lqj5VczsR_ZtwEC1tbU</t>
  </si>
  <si>
    <t>1570600781170</t>
  </si>
  <si>
    <t>-Lqj5XQzluDLGmXw36Fg</t>
  </si>
  <si>
    <t>1570600788379</t>
  </si>
  <si>
    <t>-Lqj5Z8xFSsWrDwxaB0j</t>
  </si>
  <si>
    <t>1570600795589</t>
  </si>
  <si>
    <t>-Lqj5_w0a8jr8vHuPQJN</t>
  </si>
  <si>
    <t>1570600802799</t>
  </si>
  <si>
    <t>-Lqj5bf9HXOqGO_rcUdX</t>
  </si>
  <si>
    <t>1570600809989</t>
  </si>
  <si>
    <t>-Lqj5dSvpuYXwU6euis0</t>
  </si>
  <si>
    <t>1570600817288</t>
  </si>
  <si>
    <t>-Lqj5fAxC3vVZv4sARVR</t>
  </si>
  <si>
    <t>1570600824448</t>
  </si>
  <si>
    <t>-Lqj5gjyOmNDV_YSy3ea</t>
  </si>
  <si>
    <t>1570600830589</t>
  </si>
  <si>
    <t>-Lqj5iSwqLFCqSBoDS41</t>
  </si>
  <si>
    <t>1570600837828</t>
  </si>
  <si>
    <t>-Lqj5kG6N4WEYvJTGqlr</t>
  </si>
  <si>
    <t>1570600845040</t>
  </si>
  <si>
    <t>-Lqj5lyxFLGleC2gl705</t>
  </si>
  <si>
    <t>1570600852236</t>
  </si>
  <si>
    <t>-Lqj5nXwZftXev6YZoiy</t>
  </si>
  <si>
    <t>1570600858427</t>
  </si>
  <si>
    <t>-Lqj5pUpHoRXxs7KnC2Y</t>
  </si>
  <si>
    <t>1570600865656</t>
  </si>
  <si>
    <t>-Lqj5r1i0oF-3dhFXpbo</t>
  </si>
  <si>
    <t>1570600872828</t>
  </si>
  <si>
    <t>-Lqj5sm7h7EeHy8Lcqrb</t>
  </si>
  <si>
    <t>1570600880071</t>
  </si>
  <si>
    <t>-Lqj5uZwYZL1hSlIW68j</t>
  </si>
  <si>
    <t>1570600887288</t>
  </si>
  <si>
    <t>-Lqj5wI6QJtmtG4_6n_V</t>
  </si>
  <si>
    <t>1570600894469</t>
  </si>
  <si>
    <t>-Lqj5xqxqauGA89gi46x</t>
  </si>
  <si>
    <t>1570600900659</t>
  </si>
  <si>
    <t>-Lqj5z_7af8LMwDWenyc</t>
  </si>
  <si>
    <t>1570600907909</t>
  </si>
  <si>
    <t>-Lqj60MwJRP4BqhmmnvT</t>
  </si>
  <si>
    <t>1570600915108</t>
  </si>
  <si>
    <t>-Lqj624w71NXqUaxcfqM</t>
  </si>
  <si>
    <t>1570600922311</t>
  </si>
  <si>
    <t>-Lqj63sx-76pM6pbeZTM</t>
  </si>
  <si>
    <t>1570600929529</t>
  </si>
  <si>
    <t>-Lqj65lH3zghmyRCDZPM</t>
  </si>
  <si>
    <t>1570600936710</t>
  </si>
  <si>
    <t>-Lqj67OxEnQT_CJ5F_fc</t>
  </si>
  <si>
    <t>1570600943949</t>
  </si>
  <si>
    <t>-Lqj696ztXbK6F_MiMhj</t>
  </si>
  <si>
    <t>1570600951179</t>
  </si>
  <si>
    <t>-Lqj6AuwhktH3KTQa3W8</t>
  </si>
  <si>
    <t>1570600958379</t>
  </si>
  <si>
    <t>-Lqj6CcxW1gjap2ls6Ev</t>
  </si>
  <si>
    <t>1570600965589</t>
  </si>
  <si>
    <t>-Lqj6EM95AiN_0A0fKp6</t>
  </si>
  <si>
    <t>1570600972475</t>
  </si>
  <si>
    <t>-Lqj6Fv7b8nTF4Zr7W9H</t>
  </si>
  <si>
    <t>1570600978948</t>
  </si>
  <si>
    <t>-Lqj6HSZuFfQzdQIDGen</t>
  </si>
  <si>
    <t>1570600985149</t>
  </si>
  <si>
    <t>-Lqj6JBwUh0MHEkYli9R</t>
  </si>
  <si>
    <t>1570600992388</t>
  </si>
  <si>
    <t>-Lqj6LDxUPqABux-b4Ce</t>
  </si>
  <si>
    <t>1570601000477</t>
  </si>
  <si>
    <t>-Lqj6NKv-NTKpwHz49W6</t>
  </si>
  <si>
    <t>1570601009150</t>
  </si>
  <si>
    <t>-Lqj6Oyxde-zJUimBzOy</t>
  </si>
  <si>
    <t>1570601016069</t>
  </si>
  <si>
    <t>-Lqj6Qlx8_UEJLryoNkY</t>
  </si>
  <si>
    <t>1570601023280</t>
  </si>
  <si>
    <t>-Lqj6SUw6MNQeXJ_1S66</t>
  </si>
  <si>
    <t>1570601030468</t>
  </si>
  <si>
    <t>-Lqj6U2zbItojmPKFpcz</t>
  </si>
  <si>
    <t>1570601036671</t>
  </si>
  <si>
    <t>-Lqj6VlweFfTAkpCxasW</t>
  </si>
  <si>
    <t>1570601043888</t>
  </si>
  <si>
    <t>-Lqj6XsnmCks72FE3Us5</t>
  </si>
  <si>
    <t>1570601051100</t>
  </si>
  <si>
    <t>-Lqj6ZW1aKMVU-vP2iWm</t>
  </si>
  <si>
    <t>1570601059349</t>
  </si>
  <si>
    <t>-Lqj6a4wKzBRbuEP3yj-</t>
  </si>
  <si>
    <t>1570601065517</t>
  </si>
  <si>
    <t>-Lqj6bnvDUyI7YggmdwW</t>
  </si>
  <si>
    <t>1570601072713</t>
  </si>
  <si>
    <t>-Lqj6dMx2OV58yGQueVf</t>
  </si>
  <si>
    <t>1570601078907</t>
  </si>
  <si>
    <t>-Lqj6f51btQrfGoWUwn4</t>
  </si>
  <si>
    <t>1570601086127</t>
  </si>
  <si>
    <t>-Lqj6gsvp35f7CnQ4nUF</t>
  </si>
  <si>
    <t>1570601093339</t>
  </si>
  <si>
    <t>-Lqj6i_s6vxmjN7yUtz9</t>
  </si>
  <si>
    <t>1570601100548</t>
  </si>
  <si>
    <t>-Lqj6kAFytWnAYtmqAVo</t>
  </si>
  <si>
    <t>1570601106727</t>
  </si>
  <si>
    <t>-Lqj6luAgLaYeEIWHvnO</t>
  </si>
  <si>
    <t>1570601113957</t>
  </si>
  <si>
    <t>-Lqj6ng8d6I_bgafdHEq</t>
  </si>
  <si>
    <t>1570601121148</t>
  </si>
  <si>
    <t>-Lqj6pP88d_pLU1VXhqI</t>
  </si>
  <si>
    <t>1570601128369</t>
  </si>
  <si>
    <t>-Lqj6rBvkaQyy8847H0w</t>
  </si>
  <si>
    <t>1570601135578</t>
  </si>
  <si>
    <t>-Lqj6swB4XOng7Cfu5ez</t>
  </si>
  <si>
    <t>1570601142787</t>
  </si>
  <si>
    <t>-Lqj6uil6Zq9YsSrO-D0</t>
  </si>
  <si>
    <t>1570601149997</t>
  </si>
  <si>
    <t>-Lqj6wQvMKIZPn7NGWa1</t>
  </si>
  <si>
    <t>1570601157187</t>
  </si>
  <si>
    <t>-Lqj6y-6w-W8fQIUK4O8</t>
  </si>
  <si>
    <t>1570601163377</t>
  </si>
  <si>
    <t>-Lqj6zh-Wx0XRfqNJaOP</t>
  </si>
  <si>
    <t>1570601170608</t>
  </si>
  <si>
    <t>-Lqj70Vw2VSZaKinJvOV</t>
  </si>
  <si>
    <t>1570601177818</t>
  </si>
  <si>
    <t>-Lqj72E7aGgpIR3obH6V</t>
  </si>
  <si>
    <t>1570601185028</t>
  </si>
  <si>
    <t>-Lqj7417cB1Zonb7zZSa</t>
  </si>
  <si>
    <t>1570601192248</t>
  </si>
  <si>
    <t>-Lqj75jofeNym14qiHMn</t>
  </si>
  <si>
    <t>1570601199430</t>
  </si>
  <si>
    <t>-Lqj77J4mob8hJ1gkaiH</t>
  </si>
  <si>
    <t>1570601205638</t>
  </si>
  <si>
    <t>-Lqj791FywY1uP6Q-e-n</t>
  </si>
  <si>
    <t>1570601212868</t>
  </si>
  <si>
    <t>-Lqj7AowV_G5v1yFmP2x</t>
  </si>
  <si>
    <t>1570601220068</t>
  </si>
  <si>
    <t>-Lqj7CXw1sU3Pbj9oahw</t>
  </si>
  <si>
    <t>1570601227267</t>
  </si>
  <si>
    <t>-Lqj7EKuLUB7QplYZyU1</t>
  </si>
  <si>
    <t>1570601234488</t>
  </si>
  <si>
    <t>-Lqj7G2w0AfFyfIIEhDH</t>
  </si>
  <si>
    <t>1570601241668</t>
  </si>
  <si>
    <t>-Lqj7Hc69fpjBlP1q3ka</t>
  </si>
  <si>
    <t>1570601247857</t>
  </si>
  <si>
    <t>-Lqj7JJtvQ31FN2Art5y</t>
  </si>
  <si>
    <t>1570601255108</t>
  </si>
  <si>
    <t>-Lqj7L9Aei1_AG6lVe-b</t>
  </si>
  <si>
    <t>1570601262309</t>
  </si>
  <si>
    <t>-Lqj7Mr65KUtk3WKJQH8</t>
  </si>
  <si>
    <t>1570601269508</t>
  </si>
  <si>
    <t>-Lqj7ORBmAGWYCm9pdhK</t>
  </si>
  <si>
    <t>1570601275697</t>
  </si>
  <si>
    <t>-Lqj7QsmIdy56cW5YBaD</t>
  </si>
  <si>
    <t>1570601282907</t>
  </si>
  <si>
    <t>-Lqj7ScxwbR1AJTcW73k</t>
  </si>
  <si>
    <t>1570601293191</t>
  </si>
  <si>
    <t>-Lqj7UHFJ0eIhc7C_srL</t>
  </si>
  <si>
    <t>1570601299379</t>
  </si>
  <si>
    <t>-Lqj7Vuy6R27RL18_wcZ</t>
  </si>
  <si>
    <t>1570601306629</t>
  </si>
  <si>
    <t>-Lqj7Xhx6-Va_nmtwgfb</t>
  </si>
  <si>
    <t>1570601313821</t>
  </si>
  <si>
    <t>-Lqj7ZQyXFtAdxczZyX9</t>
  </si>
  <si>
    <t>1570601321029</t>
  </si>
  <si>
    <t>-Lqj7aE4XpOuI9J2toXm</t>
  </si>
  <si>
    <t>1570601328250</t>
  </si>
  <si>
    <t>-Lqj7bwzRR1WncUNECWQ</t>
  </si>
  <si>
    <t>1570601335490</t>
  </si>
  <si>
    <t>-Lqj7dVyMIkwug2IWBUa</t>
  </si>
  <si>
    <t>1570601341629</t>
  </si>
  <si>
    <t>-Lqj7fE-YSo_nscOWkxj</t>
  </si>
  <si>
    <t>1570601348831</t>
  </si>
  <si>
    <t>-Lqj7h0yWm1B8ADrx48G</t>
  </si>
  <si>
    <t>1570601356059</t>
  </si>
  <si>
    <t>-Lqj7ijyaYePSi2Z7NIn</t>
  </si>
  <si>
    <t>1570601363270</t>
  </si>
  <si>
    <t>-Lqj7kXygtJsYegSI5Jh</t>
  </si>
  <si>
    <t>1570601370489</t>
  </si>
  <si>
    <t>-Lqj7mFyeoH7AiPwGLZE</t>
  </si>
  <si>
    <t>1570601377669</t>
  </si>
  <si>
    <t>-Lqj7noyBslVxlvmMoYD</t>
  </si>
  <si>
    <t>1570601383860</t>
  </si>
  <si>
    <t>-Lqj7pXxzdh8kwrONXTg</t>
  </si>
  <si>
    <t>1570601391110</t>
  </si>
  <si>
    <t>-Lqj7rL6JcuEd2NRg_Fb</t>
  </si>
  <si>
    <t>1570601398301</t>
  </si>
  <si>
    <t>-Lqj7t2zApkGQhBNhTRX</t>
  </si>
  <si>
    <t>1570601405509</t>
  </si>
  <si>
    <t>-Lqj7ur-hexb69uqc9HM</t>
  </si>
  <si>
    <t>1570601412719</t>
  </si>
  <si>
    <t>-Lqj7w_-tFB-bVvK1VtX</t>
  </si>
  <si>
    <t>1570601419911</t>
  </si>
  <si>
    <t>-Lqj7y2q0vDvsln0EGVW</t>
  </si>
  <si>
    <t>1570601426110</t>
  </si>
  <si>
    <t>-Lqj7zc7w8m2ofYcarie</t>
  </si>
  <si>
    <t>1570601432301</t>
  </si>
  <si>
    <t>-Lqj80L76rVfVkoRRAjz</t>
  </si>
  <si>
    <t>1570601439520</t>
  </si>
  <si>
    <t>-Lqj81uLmClSiuhB0O07</t>
  </si>
  <si>
    <t>1570601445691</t>
  </si>
  <si>
    <t>-Lqj83bz4ciwP6z3IzDM</t>
  </si>
  <si>
    <t>1570601452881</t>
  </si>
  <si>
    <t>-Lqj85Q70_2y3kHrgBWb</t>
  </si>
  <si>
    <t>1570601459071</t>
  </si>
  <si>
    <t>-Lqj877znNbKbhIAvoM7</t>
  </si>
  <si>
    <t>1570601467339</t>
  </si>
  <si>
    <t>-Lqj88h6RTRgYTu2K6if</t>
  </si>
  <si>
    <t>1570601473511</t>
  </si>
  <si>
    <t>-Lqj8AQRBvlnjx7trVDn</t>
  </si>
  <si>
    <t>1570601480710</t>
  </si>
  <si>
    <t>-Lqj8CD7aM1dNb6Gg6Q5</t>
  </si>
  <si>
    <t>1570601487929</t>
  </si>
  <si>
    <t>-Lqj8Dw-AS9G_tLzJqBa</t>
  </si>
  <si>
    <t>1570601495120</t>
  </si>
  <si>
    <t>-Lqj8FV-P5wcXaF5bpyW</t>
  </si>
  <si>
    <t>1570601501300</t>
  </si>
  <si>
    <t>-Lqj8HD-qgoj8HxPThBf</t>
  </si>
  <si>
    <t>1570601508559</t>
  </si>
  <si>
    <t>-Lqj8Im8Gq9GxQPC0vyy</t>
  </si>
  <si>
    <t>1570601514720</t>
  </si>
  <si>
    <t>-Lqj8Ko-aEkYKXjI9cR7</t>
  </si>
  <si>
    <t>1570601523186</t>
  </si>
  <si>
    <t>-Lqj8MX-mSrwDnvl2dPX</t>
  </si>
  <si>
    <t>1570601530169</t>
  </si>
  <si>
    <t>-Lqj8OEwRmdzmKoZ_tCM</t>
  </si>
  <si>
    <t>1570601537349</t>
  </si>
  <si>
    <t>-Lqj8Pt0bHuUSIfQwKiR</t>
  </si>
  <si>
    <t>1570601543548</t>
  </si>
  <si>
    <t>-Lqj8RX-sMewvIqjwFmf</t>
  </si>
  <si>
    <t>1570601550790</t>
  </si>
  <si>
    <t>-Lqj8TK6qwZKd3cUBq-O</t>
  </si>
  <si>
    <t>1570601557990</t>
  </si>
  <si>
    <t>-Lqj8V26vvykFD2mMOIp</t>
  </si>
  <si>
    <t>1570601565191</t>
  </si>
  <si>
    <t>-Lqj8WpyPJ8iFvY5S4mT</t>
  </si>
  <si>
    <t>1570601572408</t>
  </si>
  <si>
    <t>-Lqj8YYzWxAGeBNQheDY</t>
  </si>
  <si>
    <t>1570601579590</t>
  </si>
  <si>
    <t>-Lqj8_6yqf2vm7FBMZ1n</t>
  </si>
  <si>
    <t>1570601585779</t>
  </si>
  <si>
    <t>-Lqj8apyMe5NYZKCVQMg</t>
  </si>
  <si>
    <t>1570601593030</t>
  </si>
  <si>
    <t>-Lqj8ccyAGnx87ivVlnq</t>
  </si>
  <si>
    <t>1570601600229</t>
  </si>
  <si>
    <t>-Lqj8eNEbQM57L4DFctP</t>
  </si>
  <si>
    <t>1570601607429</t>
  </si>
  <si>
    <t>-Lqj8gE77tz1zrib1c4v</t>
  </si>
  <si>
    <t>1570601615089</t>
  </si>
  <si>
    <t>-Lqj8hrzsbNbgbC1Ho8M</t>
  </si>
  <si>
    <t>1570601621830</t>
  </si>
  <si>
    <t>-Lqj8jLyNoOfAW3w5H-g</t>
  </si>
  <si>
    <t>1570601627991</t>
  </si>
  <si>
    <t>-Lqj8kuwf1PxQdnKfFBy</t>
  </si>
  <si>
    <t>1570601634229</t>
  </si>
  <si>
    <t>-Lqj8mcx-zGV2f3pU9vH</t>
  </si>
  <si>
    <t>1570601641432</t>
  </si>
  <si>
    <t>-Lqj8oBwkq8-_RovRbMz</t>
  </si>
  <si>
    <t>1570601647618</t>
  </si>
  <si>
    <t>-Lqj8puyeQChX8s9V0wG</t>
  </si>
  <si>
    <t>1570601654799</t>
  </si>
  <si>
    <t>-Lqj8rTx37fV3ndZfSu-</t>
  </si>
  <si>
    <t>1570601661022</t>
  </si>
  <si>
    <t>-Lqj8tBy1ZTNqG4VEd5A</t>
  </si>
  <si>
    <t>1570601668239</t>
  </si>
  <si>
    <t>-Lqj8uuoH7ZXyuRQ82QP</t>
  </si>
  <si>
    <t>1570601675431</t>
  </si>
  <si>
    <t>-Lqj8wTy_AH0zY8aiZ1x</t>
  </si>
  <si>
    <t>1570601681578</t>
  </si>
  <si>
    <t>-Lqj8yGyb6gIcgDiGAdo</t>
  </si>
  <si>
    <t>1570601688821</t>
  </si>
  <si>
    <t>-Lqj8zzyplqIfwKMniHM</t>
  </si>
  <si>
    <t>1570601696077</t>
  </si>
  <si>
    <t>-Lqj90my0BuIJH-gpiUZ</t>
  </si>
  <si>
    <t>1570601703250</t>
  </si>
  <si>
    <t>-Lqj92VxDuRXo923VcbR</t>
  </si>
  <si>
    <t>1570601710470</t>
  </si>
  <si>
    <t>-Lqj94IxUY3-_ncfFt5Z</t>
  </si>
  <si>
    <t>1570601717668</t>
  </si>
  <si>
    <t>-Lqj9617abvBQEy5gVYU</t>
  </si>
  <si>
    <t>1570601724869</t>
  </si>
  <si>
    <t>-Lqj97ozG70dSJ3vbQY_</t>
  </si>
  <si>
    <t>1570601732089</t>
  </si>
  <si>
    <t>-Lqj99XwqcoZK2JPQXbo</t>
  </si>
  <si>
    <t>1570601739280</t>
  </si>
  <si>
    <t>-Lqj9B68TqcCBi9LFzLV</t>
  </si>
  <si>
    <t>1570601745468</t>
  </si>
  <si>
    <t>-Lqj9D5Sg_Scmrx5nbHZ</t>
  </si>
  <si>
    <t>1570601752709</t>
  </si>
  <si>
    <t>-Lqj9Er5vkm4KDBq7r3B</t>
  </si>
  <si>
    <t>1570601760941</t>
  </si>
  <si>
    <t>-Lqj9GZwu50A90rsn7sA</t>
  </si>
  <si>
    <t>1570601768156</t>
  </si>
  <si>
    <t>-Lqj9I7nrD-QD3CxW2Ab</t>
  </si>
  <si>
    <t>1570601774337</t>
  </si>
  <si>
    <t>-Lqj9Jr75YKIb7E61VL6</t>
  </si>
  <si>
    <t>1570601781516</t>
  </si>
  <si>
    <t>-Lqj9LV7AEXz1cYD7JnJ</t>
  </si>
  <si>
    <t>1570601787697</t>
  </si>
  <si>
    <t>-Lqj9N7vISEghc5tauWl</t>
  </si>
  <si>
    <t>1570601794956</t>
  </si>
  <si>
    <t>-Lqj9OvvZ-GWQBkHxcnK</t>
  </si>
  <si>
    <t>1570601802148</t>
  </si>
  <si>
    <t>-Lqj9Qf9O8mPOWtVx975</t>
  </si>
  <si>
    <t>1570601809364</t>
  </si>
  <si>
    <t>-Lqj9SD7QHLBlChvrmiE</t>
  </si>
  <si>
    <t>1570601815537</t>
  </si>
  <si>
    <t>-Lqj9TvwtWCMbMffFdAV</t>
  </si>
  <si>
    <t>1570601822758</t>
  </si>
  <si>
    <t>-Lqj9Viwzc9_feBmcrkQ</t>
  </si>
  <si>
    <t>1570601829966</t>
  </si>
  <si>
    <t>-Lqj9XRnzAKuh56niHy6</t>
  </si>
  <si>
    <t>1570601837189</t>
  </si>
  <si>
    <t>-Lqj9ZEmvzTAIPGbsAk3</t>
  </si>
  <si>
    <t>1570601844398</t>
  </si>
  <si>
    <t>-Lqj9_xutysZ0xtaiqOt</t>
  </si>
  <si>
    <t>1570601851589</t>
  </si>
  <si>
    <t>-Lqj9bl7RgASIB7P2GLn</t>
  </si>
  <si>
    <t>1570601858817</t>
  </si>
  <si>
    <t>-Lqj9dTvK0SwVSSklk9l</t>
  </si>
  <si>
    <t>1570601865996</t>
  </si>
  <si>
    <t>-Lqj9f0Zw0NUNWdkjLsu</t>
  </si>
  <si>
    <t>1570601872187</t>
  </si>
  <si>
    <t>-Lqj9gl18QAxwigxVsuY</t>
  </si>
  <si>
    <t>1570601879429</t>
  </si>
  <si>
    <t>-Lqj9iYvRm46wdTL-MI-</t>
  </si>
  <si>
    <t>1570601886628</t>
  </si>
  <si>
    <t>-Lqj9kGv8A03f4kKq7--</t>
  </si>
  <si>
    <t>1570601893826</t>
  </si>
  <si>
    <t>-Lqj9lq7PnuagEYH1NWU</t>
  </si>
  <si>
    <t>1570601900027</t>
  </si>
  <si>
    <t>-Lqj9n_90S1d4g_E25_F</t>
  </si>
  <si>
    <t>1570601907236</t>
  </si>
  <si>
    <t>-Lqj9pLuMNipzOnF9QL8</t>
  </si>
  <si>
    <t>1570601914458</t>
  </si>
  <si>
    <t>-Lqj9r3uc8PTyrRKymQ6</t>
  </si>
  <si>
    <t>1570601921668</t>
  </si>
  <si>
    <t>-Lqj9sqsL5_rivjiqkVg</t>
  </si>
  <si>
    <t>1570601928876</t>
  </si>
  <si>
    <t>-Lqj9ua1CwxWGHpkoaOE</t>
  </si>
  <si>
    <t>1570601936067</t>
  </si>
  <si>
    <t>-Lqj9w8v3hqtlB5C6U0R</t>
  </si>
  <si>
    <t>1570601942266</t>
  </si>
  <si>
    <t>-Lqj9xrBQbQh_imU9JHD</t>
  </si>
  <si>
    <t>1570601949487</t>
  </si>
  <si>
    <t>-Lqj9zecS7TiYP2NTjYs</t>
  </si>
  <si>
    <t>1570601956696</t>
  </si>
  <si>
    <t>-LqjA0gulnufn3Pw8XMn</t>
  </si>
  <si>
    <t>1570601965111</t>
  </si>
  <si>
    <t>-LqjA2Q1HiUR_sMXkUzS</t>
  </si>
  <si>
    <t>1570601972149</t>
  </si>
  <si>
    <t>-LqjA47wz7M5zZkHKRIJ</t>
  </si>
  <si>
    <t>1570601979359</t>
  </si>
  <si>
    <t>-LqjA67i9wvafFIJ1RAB</t>
  </si>
  <si>
    <t>1570601985516</t>
  </si>
  <si>
    <t>-LqjA7i8x77YxZvxfgO_</t>
  </si>
  <si>
    <t>1570601993797</t>
  </si>
  <si>
    <t>-LqjA9RvxKVfvpLWLS95</t>
  </si>
  <si>
    <t>1570602000997</t>
  </si>
  <si>
    <t>-LqjABF5rk-ryfGE1lW9</t>
  </si>
  <si>
    <t>1570602008216</t>
  </si>
  <si>
    <t>-LqjACwqustBuloU9I56</t>
  </si>
  <si>
    <t>1570602015428</t>
  </si>
  <si>
    <t>-LqjAEgHaUWVezllz8UW</t>
  </si>
  <si>
    <t>1570602022633</t>
  </si>
  <si>
    <t>-LqjAGDs9S_05fNM1YJO</t>
  </si>
  <si>
    <t>1570602028817</t>
  </si>
  <si>
    <t>-LqjAI0rMzP9Zb_dp8_B</t>
  </si>
  <si>
    <t>1570602036027</t>
  </si>
  <si>
    <t>-LqjAJkw-Tl7XASsJx8e</t>
  </si>
  <si>
    <t>1570602043238</t>
  </si>
  <si>
    <t>-LqjALXgstSKm3oRcRVY</t>
  </si>
  <si>
    <t>1570602050449</t>
  </si>
  <si>
    <t>-LqjANFq0lJ3pcuUsdyF</t>
  </si>
  <si>
    <t>1570602057668</t>
  </si>
  <si>
    <t>-LqjAP3wJIPNvCo-fuX6</t>
  </si>
  <si>
    <t>1570602064893</t>
  </si>
  <si>
    <t>-LqjAQvplCsjwuAFLFkl</t>
  </si>
  <si>
    <t>1570602072718</t>
  </si>
  <si>
    <t>-LqjASZsaclhqyQBf67c</t>
  </si>
  <si>
    <t>1570602079269</t>
  </si>
  <si>
    <t>-LqjAUHrmf3DHotZsUsZ</t>
  </si>
  <si>
    <t>1570602086477</t>
  </si>
  <si>
    <t>-LqjAVrvzaARmd8wy0Cu</t>
  </si>
  <si>
    <t>1570602092667</t>
  </si>
  <si>
    <t>-LqjAX_wHhM96AFfrI0J</t>
  </si>
  <si>
    <t>1570602099907</t>
  </si>
  <si>
    <t>-LqjAZNvgxOlkzBYkfmJ</t>
  </si>
  <si>
    <t>1570602107116</t>
  </si>
  <si>
    <t>-LqjAa5JbRIEc8RByyhA</t>
  </si>
  <si>
    <t>1570602114306</t>
  </si>
  <si>
    <t>-LqjAbtuTc38bBtcKu6b</t>
  </si>
  <si>
    <t>1570602121528</t>
  </si>
  <si>
    <t>-LqjAdLklzVsWVlluLcM</t>
  </si>
  <si>
    <t>1570602127708</t>
  </si>
  <si>
    <t>-LqjAf9rSlkWj_fZv_WL</t>
  </si>
  <si>
    <t>1570602134916</t>
  </si>
  <si>
    <t>-LqjAgssF-YqwRWW_Iev</t>
  </si>
  <si>
    <t>1570602142147</t>
  </si>
  <si>
    <t>-LqjAigvoFDoWFtdG8u0</t>
  </si>
  <si>
    <t>1570602149349</t>
  </si>
  <si>
    <t>-LqjAkNa9W0jYWosXhZ4</t>
  </si>
  <si>
    <t>1570602156547</t>
  </si>
  <si>
    <t>-LqjAmBqYQRF3seh5uPq</t>
  </si>
  <si>
    <t>1570602163768</t>
  </si>
  <si>
    <t>-LqjAnv17cjJ3QGjJUX7</t>
  </si>
  <si>
    <t>1570602170948</t>
  </si>
  <si>
    <t>-LqjApPyTlaf7F4h5uZI</t>
  </si>
  <si>
    <t>1570602177149</t>
  </si>
  <si>
    <t>-LqjAqz5TfPPEZKLArZB</t>
  </si>
  <si>
    <t>1570602183338</t>
  </si>
  <si>
    <t>-LqjAsgyNP08STG_U2I5</t>
  </si>
  <si>
    <t>1570602190547</t>
  </si>
  <si>
    <t>-LqjAuHVHQNBKWAvS-x9</t>
  </si>
  <si>
    <t>1570602196728</t>
  </si>
  <si>
    <t>-LqjAvxu9MtYUw4BzObZ</t>
  </si>
  <si>
    <t>1570602203917</t>
  </si>
  <si>
    <t>-LqjAxWqcUKhilN1VCe7</t>
  </si>
  <si>
    <t>1570602210128</t>
  </si>
  <si>
    <t>-LqjAzEqq6LIdDlK0OJR</t>
  </si>
  <si>
    <t>1570602217348</t>
  </si>
  <si>
    <t>-LqjB0IKK8KtQcC1a1vQ</t>
  </si>
  <si>
    <t>1570602225581</t>
  </si>
  <si>
    <t>-LqjB1zrhsC5Sm1C4QOc</t>
  </si>
  <si>
    <t>1570602232791</t>
  </si>
  <si>
    <t>-LqjB3Zq1a7TK0eyVc7M</t>
  </si>
  <si>
    <t>1570602238970</t>
  </si>
  <si>
    <t>-LqjB5233izD_zuSdA8d</t>
  </si>
  <si>
    <t>1570602245128</t>
  </si>
  <si>
    <t>-LqjB6r-rsprOHRTDlSN</t>
  </si>
  <si>
    <t>1570602252369</t>
  </si>
  <si>
    <t>-LqjB8_-_AidPZ-2yOEA</t>
  </si>
  <si>
    <t>1570602259591</t>
  </si>
  <si>
    <t>-LqjBAN-9c1iKVY6r_rm</t>
  </si>
  <si>
    <t>1570602266790</t>
  </si>
  <si>
    <t>-LqjBC5-2iN3ujWCwz4i</t>
  </si>
  <si>
    <t>1570602273991</t>
  </si>
  <si>
    <t>-LqjBDtwymBD-NDx7KG0</t>
  </si>
  <si>
    <t>1570602281209</t>
  </si>
  <si>
    <t>-LqjBFa3_aX_gJDlxs1Z</t>
  </si>
  <si>
    <t>1570602288400</t>
  </si>
  <si>
    <t>-LqjBH8rduYMU-s_Eqj_</t>
  </si>
  <si>
    <t>1570602294580</t>
  </si>
  <si>
    <t>-LqjBIrsocWQ2HSGtnc2</t>
  </si>
  <si>
    <t>1570602301839</t>
  </si>
  <si>
    <t>-LqjBKg6TLoUDrM906K5</t>
  </si>
  <si>
    <t>1570602309031</t>
  </si>
  <si>
    <t>-LqjBMO2fwQwGyIkErlo</t>
  </si>
  <si>
    <t>1570602316229</t>
  </si>
  <si>
    <t>-LqjBOC115XHy7n3iLbZ</t>
  </si>
  <si>
    <t>1570602323449</t>
  </si>
  <si>
    <t>-LqjBPts5hvp_wydY5aB</t>
  </si>
  <si>
    <t>1570602330639</t>
  </si>
  <si>
    <t>-LqjBRTTBnYPbPE2KqRU</t>
  </si>
  <si>
    <t>1570602336820</t>
  </si>
  <si>
    <t>-LqjBTC-C8QA45mdBgnw</t>
  </si>
  <si>
    <t>1570602344080</t>
  </si>
  <si>
    <t>-LqjBUzM2NMVDRPWUiML</t>
  </si>
  <si>
    <t>1570602351270</t>
  </si>
  <si>
    <t>-LqjBWhp9AunCNLSulIf</t>
  </si>
  <si>
    <t>1570602358469</t>
  </si>
  <si>
    <t>-LqjBYUwdKe5XC8b-HYs</t>
  </si>
  <si>
    <t>1570602365691</t>
  </si>
  <si>
    <t>-LqjB_E00YoG-AvyvO6o</t>
  </si>
  <si>
    <t>1570602372880</t>
  </si>
  <si>
    <t>-LqjBaltsgGIaeEzDpl3</t>
  </si>
  <si>
    <t>1570602379059</t>
  </si>
  <si>
    <t>-LqjBcW-BhNMsmk51SZZ</t>
  </si>
  <si>
    <t>1570602386311</t>
  </si>
  <si>
    <t>-LqjBeDqxSjrDrjC5Zb7</t>
  </si>
  <si>
    <t>1570602393509</t>
  </si>
  <si>
    <t>-LqjBfn03a8nKd70ELmj</t>
  </si>
  <si>
    <t>1570602399701</t>
  </si>
  <si>
    <t>-LqjBha-AL0S69tA31fu</t>
  </si>
  <si>
    <t>1570602406899</t>
  </si>
  <si>
    <t>-LqjBjJ-PNxXsbhsMWn4</t>
  </si>
  <si>
    <t>1570602414119</t>
  </si>
  <si>
    <t>-LqjBl6-AX58NeSz47Xn</t>
  </si>
  <si>
    <t>1570602421330</t>
  </si>
  <si>
    <t>-LqjBmp5ul5zrb6Oamiy</t>
  </si>
  <si>
    <t>1570602428551</t>
  </si>
  <si>
    <t>-LqjBobzEG5XDk-ZuSDX</t>
  </si>
  <si>
    <t>1570602435750</t>
  </si>
  <si>
    <t>-LqjBqL7izNGY-t6nHFc</t>
  </si>
  <si>
    <t>1570602442950</t>
  </si>
  <si>
    <t>-LqjBrtz0wC6vMyn7oi3</t>
  </si>
  <si>
    <t>1570602449167</t>
  </si>
  <si>
    <t>-LqjBtvrSSin6sJoXzsR</t>
  </si>
  <si>
    <t>1570602456359</t>
  </si>
  <si>
    <t>-LqjBve-xz--mH4dIZmL</t>
  </si>
  <si>
    <t>1570602464610</t>
  </si>
  <si>
    <t>-LqjBxN8lRULoLuYAiOW</t>
  </si>
  <si>
    <t>1570602471821</t>
  </si>
  <si>
    <t>-LqjByw0NDtSHJxfZk-d</t>
  </si>
  <si>
    <t>1570602477999</t>
  </si>
  <si>
    <t>-LqjC-e-wzqbslx4IeDm</t>
  </si>
  <si>
    <t>1570602485190</t>
  </si>
  <si>
    <t>-LqjC1D1Jd6ZKSvuhsVP</t>
  </si>
  <si>
    <t>1570602491391</t>
  </si>
  <si>
    <t>-LqjC2w-2aNJmBRhKxbs</t>
  </si>
  <si>
    <t>1570602498630</t>
  </si>
  <si>
    <t>-LqjC4iz00JHmJd9yMq8</t>
  </si>
  <si>
    <t>1570602505831</t>
  </si>
  <si>
    <t>-LqjC6RzgCZrdLL1tKdF</t>
  </si>
  <si>
    <t>1570602513033</t>
  </si>
  <si>
    <t>-LqjC8D_xKSLMGyPnmEd</t>
  </si>
  <si>
    <t>1570602520260</t>
  </si>
  <si>
    <t>-LqjC9y0Qt2UY1lMPhQ_</t>
  </si>
  <si>
    <t>1570602527431</t>
  </si>
  <si>
    <t>-LqjCBX6VIHbk0NlwYzm</t>
  </si>
  <si>
    <t>1570602533631</t>
  </si>
  <si>
    <t>-LqjCDF0wa4JboURA7lC</t>
  </si>
  <si>
    <t>1570602540869</t>
  </si>
  <si>
    <t>-LqjCF26Exyl4lmBF1Gr</t>
  </si>
  <si>
    <t>1570602548071</t>
  </si>
  <si>
    <t>-LqjCGl01sAlI4e9HJ9J</t>
  </si>
  <si>
    <t>1570602555270</t>
  </si>
  <si>
    <t>-LqjCIZ1cYYZGkmt0OWl</t>
  </si>
  <si>
    <t>1570602562469</t>
  </si>
  <si>
    <t>-LqjCKH-H1X0VFStPJOb</t>
  </si>
  <si>
    <t>1570602569681</t>
  </si>
  <si>
    <t>-LqjCLpzN5MklSMu8bPT</t>
  </si>
  <si>
    <t>1570602575860</t>
  </si>
  <si>
    <t>-LqjCNq4ZOUv9mPhsLP5</t>
  </si>
  <si>
    <t>1570602583112</t>
  </si>
  <si>
    <t>-LqjCPa8J_h9bNf-Y53R</t>
  </si>
  <si>
    <t>1570602591340</t>
  </si>
  <si>
    <t>-LqjCRI3ClkuUV9r8_6I</t>
  </si>
  <si>
    <t>1570602598553</t>
  </si>
  <si>
    <t>-LqjCSs07XqzOjY0aekr</t>
  </si>
  <si>
    <t>1570602604741</t>
  </si>
  <si>
    <t>-LqjCUa0mXFQYd8M76a5</t>
  </si>
  <si>
    <t>1570602611921</t>
  </si>
  <si>
    <t>-LqjCW9-E0p0Xi9IA64H</t>
  </si>
  <si>
    <t>1570602618099</t>
  </si>
  <si>
    <t>-LqjCXs7lCHgb-JvxanB</t>
  </si>
  <si>
    <t>1570602625351</t>
  </si>
  <si>
    <t>-LqjCZf67Oebt9ciaiG6</t>
  </si>
  <si>
    <t>1570602632552</t>
  </si>
  <si>
    <t>-LqjCaNzsOj3Jv95SYC6</t>
  </si>
  <si>
    <t>1570602639750</t>
  </si>
  <si>
    <t>-LqjCcBRnRywnKgUx9p8</t>
  </si>
  <si>
    <t>1570602646981</t>
  </si>
  <si>
    <t>-LqjCdu-Q6ClOCxkFdXU</t>
  </si>
  <si>
    <t>1570602654160</t>
  </si>
  <si>
    <t>-LqjCfT6bySBBU7oMZpF</t>
  </si>
  <si>
    <t>1570602660341</t>
  </si>
  <si>
    <t>-LqjChAz5zSHCEF1VNMk</t>
  </si>
  <si>
    <t>1570602667591</t>
  </si>
  <si>
    <t>-LqjCiz0f4cEb-DSMkrb</t>
  </si>
  <si>
    <t>1570602674791</t>
  </si>
  <si>
    <t>-LqjCkhFCcerrXb1xhdb</t>
  </si>
  <si>
    <t>1570602681991</t>
  </si>
  <si>
    <t>-LqjCmaY0egni-WoPuMX</t>
  </si>
  <si>
    <t>1570602688179</t>
  </si>
  <si>
    <t>-LqjCoD-XqPz94xEsD7x</t>
  </si>
  <si>
    <t>1570602696399</t>
  </si>
  <si>
    <t>-LqjCpm-WeEt499qFJ_t</t>
  </si>
  <si>
    <t>1570602702597</t>
  </si>
  <si>
    <t>-LqjCro6oJHxC-aQQZpi</t>
  </si>
  <si>
    <t>1570602711128</t>
  </si>
  <si>
    <t>-LqjCtWzgnVoqDtsOvbu</t>
  </si>
  <si>
    <t>1570602718069</t>
  </si>
  <si>
    <t>-LqjCvF--NKjJNqVY_55</t>
  </si>
  <si>
    <t>1570602725280</t>
  </si>
  <si>
    <t>-LqjCwo0MaWFw-Pb4fz9</t>
  </si>
  <si>
    <t>1570602731459</t>
  </si>
  <si>
    <t>-LqjCyX-Ri49SfhxizCb</t>
  </si>
  <si>
    <t>1570602738660</t>
  </si>
  <si>
    <t>-LqjD-5CsyvoX42eLe-J</t>
  </si>
  <si>
    <t>1570602744850</t>
  </si>
  <si>
    <t>-LqjD0o-XWShkgb5I1F2</t>
  </si>
  <si>
    <t>1570602752071</t>
  </si>
  <si>
    <t>-LqjD2X-X7Si00MPIp_F</t>
  </si>
  <si>
    <t>1570602759183</t>
  </si>
  <si>
    <t>-LqjD458jOqhlYRYPIbv</t>
  </si>
  <si>
    <t>1570602765462</t>
  </si>
  <si>
    <t>-LqjD5t-i7OEsTCbxeK5</t>
  </si>
  <si>
    <t>1570602772672</t>
  </si>
  <si>
    <t>-LqjD7b7aOzqow8bUrQB</t>
  </si>
  <si>
    <t>1570602779889</t>
  </si>
  <si>
    <t>-LqjD9K0pC2WGflY8mXH</t>
  </si>
  <si>
    <t>1570602787100</t>
  </si>
  <si>
    <t>-LqjDAszq9TZaNcCGjB2</t>
  </si>
  <si>
    <t>1570602793281</t>
  </si>
  <si>
    <t>-LqjDCfzEiZqmflc5-GZ</t>
  </si>
  <si>
    <t>1570602800499</t>
  </si>
  <si>
    <t>-LqjDEP65XCMiXriC3uP</t>
  </si>
  <si>
    <t>1570602807711</t>
  </si>
  <si>
    <t>-LqjDGC0-9eEMuXLSker</t>
  </si>
  <si>
    <t>1570602814927</t>
  </si>
  <si>
    <t>-LqjDHv-l0UfAZ-AYvm5</t>
  </si>
  <si>
    <t>1570602822168</t>
  </si>
  <si>
    <t>-LqjDJi--XIdLrqAG6Vj</t>
  </si>
  <si>
    <t>1570602829349</t>
  </si>
  <si>
    <t>-LqjDLR05cESxu8njDGt</t>
  </si>
  <si>
    <t>1570602836550</t>
  </si>
  <si>
    <t>-LqjDNFFUZYuKYGEBolW</t>
  </si>
  <si>
    <t>1570602843771</t>
  </si>
  <si>
    <t>-LqjDOxRYo_5bror3ESJ</t>
  </si>
  <si>
    <t>1570602850950</t>
  </si>
  <si>
    <t>-LqjDQW7lTTewjnv4CSC</t>
  </si>
  <si>
    <t>1570602857140</t>
  </si>
  <si>
    <t>-LqjDSDV3aJk6BPFQLqf</t>
  </si>
  <si>
    <t>1570602864389</t>
  </si>
  <si>
    <t>-LqjDUG6KKLql6rJbGVA</t>
  </si>
  <si>
    <t>1570602871589</t>
  </si>
  <si>
    <t>-LqjDWN0Usc6PopqVxu1</t>
  </si>
  <si>
    <t>1570602881142</t>
  </si>
  <si>
    <t>-LqjDY-zSOt_Nn6n9iJn</t>
  </si>
  <si>
    <t>1570602888069</t>
  </si>
  <si>
    <t>-LqjDZo6cdy-tYcAPWHL</t>
  </si>
  <si>
    <t>1570602895296</t>
  </si>
  <si>
    <t>-LqjDaWzBhJpCC-YyN5Q</t>
  </si>
  <si>
    <t>1570602902470</t>
  </si>
  <si>
    <t>-LqjDc4zOpHLLwzzhury</t>
  </si>
  <si>
    <t>1570602908659</t>
  </si>
  <si>
    <t>-LqjDe8FrBD2sehPoOEq</t>
  </si>
  <si>
    <t>1570602915911</t>
  </si>
  <si>
    <t>-LqjDfp2zKL7MODrrB2X</t>
  </si>
  <si>
    <t>1570602924148</t>
  </si>
  <si>
    <t>-LqjDhs0h2AuNgvjXIhr</t>
  </si>
  <si>
    <t>1570602932570</t>
  </si>
  <si>
    <t>-LqjDja3mXuQg51Vn5fg</t>
  </si>
  <si>
    <t>1570602939590</t>
  </si>
  <si>
    <t>-LqjDlNCO376Pq39HBuS</t>
  </si>
  <si>
    <t>1570602946820</t>
  </si>
  <si>
    <t>-LqjDn61modyxsuGFBXi</t>
  </si>
  <si>
    <t>1570602954002</t>
  </si>
  <si>
    <t>-LqjDof9C2LfiIg8pUK3</t>
  </si>
  <si>
    <t>1570602960180</t>
  </si>
  <si>
    <t>-LqjDqO16d1DqVW0WLDF</t>
  </si>
  <si>
    <t>1570602967430</t>
  </si>
  <si>
    <t>-LqjDsB09ZsU2j-sXRdY</t>
  </si>
  <si>
    <t>1570602974621</t>
  </si>
  <si>
    <t>-LqjDttzYJd9wFJjdcgG</t>
  </si>
  <si>
    <t>1570602981833</t>
  </si>
  <si>
    <t>-LqjDvh0JnKUzJZyFGuy</t>
  </si>
  <si>
    <t>1570602989091</t>
  </si>
  <si>
    <t>-LqjDxOu5vp2w_cVbQTH</t>
  </si>
  <si>
    <t>1570602996232</t>
  </si>
  <si>
    <t>-LqjDyz0m0Ui_e76z7iM</t>
  </si>
  <si>
    <t>1570603002422</t>
  </si>
  <si>
    <t>-LqjE-x160CzfecDoN0H</t>
  </si>
  <si>
    <t>1570603009672</t>
  </si>
  <si>
    <t>-LqjE1V-CHcMbTLD0mx3</t>
  </si>
  <si>
    <t>1570603016872</t>
  </si>
  <si>
    <t>-LqjE3D1GyJyI7FSsD4d</t>
  </si>
  <si>
    <t>1570603024080</t>
  </si>
  <si>
    <t>-LqjE500hQByYfO5NDyB</t>
  </si>
  <si>
    <t>1570603031309</t>
  </si>
  <si>
    <t>-LqjE6j87NCrKj6MPhBw</t>
  </si>
  <si>
    <t>1570603038481</t>
  </si>
  <si>
    <t>-LqjE8HtqpW5TPZrJZec</t>
  </si>
  <si>
    <t>1570603044670</t>
  </si>
  <si>
    <t>-LqjEA0-NfaBOnlfja4g</t>
  </si>
  <si>
    <t>1570603051912</t>
  </si>
  <si>
    <t>-LqjEBo8I-itMzJGX8Sq</t>
  </si>
  <si>
    <t>1570603059121</t>
  </si>
  <si>
    <t>-LqjEDYHVGo0QPaXolh7</t>
  </si>
  <si>
    <t>1570603066311</t>
  </si>
  <si>
    <t>-LqjEF5-V5uLo7jf6k3B</t>
  </si>
  <si>
    <t>1570603072511</t>
  </si>
  <si>
    <t>-LqjEGo-GCHl7qEA879U</t>
  </si>
  <si>
    <t>1570603079720</t>
  </si>
  <si>
    <t>-LqjEIX0Dkzm4xkAbeNW</t>
  </si>
  <si>
    <t>1570603086932</t>
  </si>
  <si>
    <t>-LqjEK57lLdU2qWZQ164</t>
  </si>
  <si>
    <t>1570603093122</t>
  </si>
  <si>
    <t>-LqjELo7iYOkiK-ejLWV</t>
  </si>
  <si>
    <t>1570603100333</t>
  </si>
  <si>
    <t>-LqjENN906dDdGAe6ANY</t>
  </si>
  <si>
    <t>1570603106509</t>
  </si>
  <si>
    <t>-LqjEP51wx7Pn08eb2z0</t>
  </si>
  <si>
    <t>1570603113702</t>
  </si>
  <si>
    <t>-LqjEQe-YKEdTYbm-lpR</t>
  </si>
  <si>
    <t>1570603119900</t>
  </si>
  <si>
    <t>-LqjESN2MXjj_pu_tNzU</t>
  </si>
  <si>
    <t>1570603127112</t>
  </si>
  <si>
    <t>-LqjEUTNdtSVFUsrzNKa</t>
  </si>
  <si>
    <t>1570603134334</t>
  </si>
  <si>
    <t>-LqjEWC0pGiiJ7Vvi-hr</t>
  </si>
  <si>
    <t>1570603142572</t>
  </si>
  <si>
    <t>-LqjEXv-TApQzETfHo1D</t>
  </si>
  <si>
    <t>1570603149782</t>
  </si>
  <si>
    <t>-LqjEZi0mq5VFgDr7Y7T</t>
  </si>
  <si>
    <t>1570603157000</t>
  </si>
  <si>
    <t>-LqjEajpUYGLZAz1CJHC</t>
  </si>
  <si>
    <t>1570603164211</t>
  </si>
  <si>
    <t>-LqjEcSzbqyDMYgABH4R</t>
  </si>
  <si>
    <t>1570603172448</t>
  </si>
  <si>
    <t>-LqjEeA2eJ50h1VCxR6v</t>
  </si>
  <si>
    <t>1570603179658</t>
  </si>
  <si>
    <t>-LqjEfyoSMQiuTSTTaqy</t>
  </si>
  <si>
    <t>1570603186879</t>
  </si>
  <si>
    <t>-LqjEhm7mPApjocckzZo</t>
  </si>
  <si>
    <t>1570603194089</t>
  </si>
  <si>
    <t>-LqjEjUyhEsnCojhrTZv</t>
  </si>
  <si>
    <t>1570603201298</t>
  </si>
  <si>
    <t>-LqjElI8fieg9LEv9OVd</t>
  </si>
  <si>
    <t>1570603208509</t>
  </si>
  <si>
    <t>-LqjEn-ymlklgYNC3wQ5</t>
  </si>
  <si>
    <t>1570603215719</t>
  </si>
  <si>
    <t>-LqjEp24WtpXXrKH9MtU</t>
  </si>
  <si>
    <t>1570603222937</t>
  </si>
  <si>
    <t>-LqjEqjrVzirIoxx-jdO</t>
  </si>
  <si>
    <t>1570603231179</t>
  </si>
  <si>
    <t>-LqjEsYwWGZNGu2w0v48</t>
  </si>
  <si>
    <t>1570603238388</t>
  </si>
  <si>
    <t>-LqjEuFthL2mqVYGfHjy</t>
  </si>
  <si>
    <t>1570603245598</t>
  </si>
  <si>
    <t>-LqjEw05sMhWyJYs_f33</t>
  </si>
  <si>
    <t>1570603252806</t>
  </si>
  <si>
    <t>-LqjExWAQ4z9c74_1w1t</t>
  </si>
  <si>
    <t>1570603258959</t>
  </si>
  <si>
    <t>-LqjEz1h8TX60DUuCKjb</t>
  </si>
  <si>
    <t>1570603265149</t>
  </si>
  <si>
    <t>-LqjF-_fY06q0nM4nxKb</t>
  </si>
  <si>
    <t>1570603271369</t>
  </si>
  <si>
    <t>-LqjF1P8v7T6nXvCzwHs</t>
  </si>
  <si>
    <t>1570603278568</t>
  </si>
  <si>
    <t>-LqjF36xWPtC33q61au8</t>
  </si>
  <si>
    <t>1570603285782</t>
  </si>
  <si>
    <t>-LqjF4ttCo75khnuQcn5</t>
  </si>
  <si>
    <t>1570603292989</t>
  </si>
  <si>
    <t>-LqjF6NzEbJwyK2XIKtc</t>
  </si>
  <si>
    <t>1570603299159</t>
  </si>
  <si>
    <t>-LqjF86voas743h16Z6j</t>
  </si>
  <si>
    <t>1570603306387</t>
  </si>
  <si>
    <t>-LqjF9ux9FA-00eKxcB6</t>
  </si>
  <si>
    <t>1570603313598</t>
  </si>
  <si>
    <t>-LqjFBliyHtXGNhHkq9b</t>
  </si>
  <si>
    <t>1570603321220</t>
  </si>
  <si>
    <t>-LqjFDR-6c0YHB3VNd5s</t>
  </si>
  <si>
    <t>1570603328027</t>
  </si>
  <si>
    <t>-LqjFF8xXfKrw-32PEW4</t>
  </si>
  <si>
    <t>1570603335198</t>
  </si>
  <si>
    <t>-LqjFGeC1iTcaZr-b9mm</t>
  </si>
  <si>
    <t>1570603341417</t>
  </si>
  <si>
    <t>-LqjFIBwSQ48KM8Vd64j</t>
  </si>
  <si>
    <t>1570603347589</t>
  </si>
  <si>
    <t>-LqjFJkvJz1qCLbXpgcD</t>
  </si>
  <si>
    <t>1570603353789</t>
  </si>
  <si>
    <t>-LqjFLU5u05Ep2yOTxnJ</t>
  </si>
  <si>
    <t>1570603360997</t>
  </si>
  <si>
    <t>-LqjFNGpgLY_BGKfYbNW</t>
  </si>
  <si>
    <t>1570603368199</t>
  </si>
  <si>
    <t>-LqjFP-CUt23nA5DFId3</t>
  </si>
  <si>
    <t>1570603375427</t>
  </si>
  <si>
    <t>-LqjFQmyRWCFPU90JKdc</t>
  </si>
  <si>
    <t>1570603382618</t>
  </si>
  <si>
    <t>-LqjFSVx0NFu8sqie93v</t>
  </si>
  <si>
    <t>1570603389829</t>
  </si>
  <si>
    <t>-LqjFUrtmo82HR57g8Qd</t>
  </si>
  <si>
    <t>1570603397047</t>
  </si>
  <si>
    <t>-LqjFW_4hTfmz6loE8HG</t>
  </si>
  <si>
    <t>1570603406318</t>
  </si>
  <si>
    <t>-LqjFYHyi-IOskTnrvlk</t>
  </si>
  <si>
    <t>1570603413510</t>
  </si>
  <si>
    <t>-LqjFZqzf4olpJNqiWCa</t>
  </si>
  <si>
    <t>1570603419710</t>
  </si>
  <si>
    <t>-LqjFaYtytZlbh0O8enY</t>
  </si>
  <si>
    <t>1570603426928</t>
  </si>
  <si>
    <t>-LqjFcMwocAHK3qZHTxB</t>
  </si>
  <si>
    <t>1570603434139</t>
  </si>
  <si>
    <t>-LqjFe53OPfIb2p6maUV</t>
  </si>
  <si>
    <t>1570603441349</t>
  </si>
  <si>
    <t>-LqjFft5G8sY7Z9q4vVY</t>
  </si>
  <si>
    <t>1570603448558</t>
  </si>
  <si>
    <t>-LqjFhazUGIdsciHiRCx</t>
  </si>
  <si>
    <t>1570603455747</t>
  </si>
  <si>
    <t>-LqjFjA5GT47ASaKJntA</t>
  </si>
  <si>
    <t>1570603461950</t>
  </si>
  <si>
    <t>-LqjFkriHUEZKHDcTXOU</t>
  </si>
  <si>
    <t>1570603469169</t>
  </si>
  <si>
    <t>-LqjFmese5ozfsPxtjm4</t>
  </si>
  <si>
    <t>1570603476351</t>
  </si>
  <si>
    <t>-LqjFoNYER5yP1h6vKZ_</t>
  </si>
  <si>
    <t>1570603483590</t>
  </si>
  <si>
    <t>-LqjFpxzHSXE_dj_KbXm</t>
  </si>
  <si>
    <t>1570603489778</t>
  </si>
  <si>
    <t>-LqjFrfzp0ZiiTlXiJ07</t>
  </si>
  <si>
    <t>1570603496987</t>
  </si>
  <si>
    <t>-LqjFtSpvKKq_kwx_WT2</t>
  </si>
  <si>
    <t>1570603504187</t>
  </si>
  <si>
    <t>-LqjFvAY9F30vDUpf8jj</t>
  </si>
  <si>
    <t>1570603511427</t>
  </si>
  <si>
    <t>-LqjFwyzf4xXVcaih-9Y</t>
  </si>
  <si>
    <t>1570603518617</t>
  </si>
  <si>
    <t>-LqjFyyELJJrF_NpK9_z</t>
  </si>
  <si>
    <t>1570603525827</t>
  </si>
  <si>
    <t>-LqjG-UrtSsDOOB1y5Iv</t>
  </si>
  <si>
    <t>1570603533048</t>
  </si>
  <si>
    <t>-LqjG1CrJRmOH8uX-Hmb</t>
  </si>
  <si>
    <t>1570603540237</t>
  </si>
  <si>
    <t>-LqjG2ltyeAEtaEnSuae</t>
  </si>
  <si>
    <t>1570603546429</t>
  </si>
  <si>
    <t>-LqjG4Fs9lF3UNyA98BQ</t>
  </si>
  <si>
    <t>1570603552611</t>
  </si>
  <si>
    <t>-LqjG5yspfiISVPEJSbx</t>
  </si>
  <si>
    <t>1570603559830</t>
  </si>
  <si>
    <t>-LqjG7Xq1GBvNZfKZ5kw</t>
  </si>
  <si>
    <t>1570603566024</t>
  </si>
  <si>
    <t>-LqjG923ZjmZwOQG56KW</t>
  </si>
  <si>
    <t>1570603572178</t>
  </si>
  <si>
    <t>-LqjGAzpgaJQ1M8LW-kt</t>
  </si>
  <si>
    <t>1570603579408</t>
  </si>
  <si>
    <t>-LqjGCXsEbgWBSPecyhY</t>
  </si>
  <si>
    <t>1570603586627</t>
  </si>
  <si>
    <t>-LqjGELxw0EG6cscftz3</t>
  </si>
  <si>
    <t>1570603593839</t>
  </si>
  <si>
    <t>-LqjGG46Nf9UjPdMkBbO</t>
  </si>
  <si>
    <t>1570603601030</t>
  </si>
  <si>
    <t>-LqjGHboBbnGlAL35Lzg</t>
  </si>
  <si>
    <t>1570603607219</t>
  </si>
  <si>
    <t>-LqjGJKs6fnl0aqfZ2lc</t>
  </si>
  <si>
    <t>1570603614449</t>
  </si>
  <si>
    <t>-LqjGL8jlz2k_tojBKwh</t>
  </si>
  <si>
    <t>1570603621659</t>
  </si>
  <si>
    <t>-LqjGMqr13sw5k40USj0</t>
  </si>
  <si>
    <t>1570603628869</t>
  </si>
  <si>
    <t>-LqjGOq9s26c4SxiG5MZ</t>
  </si>
  <si>
    <t>1570603637086</t>
  </si>
  <si>
    <t>-LqjGQNt2_SkXbEVIRSm</t>
  </si>
  <si>
    <t>1570603643267</t>
  </si>
  <si>
    <t>-LqjGRvz_wBl8yKyBewK</t>
  </si>
  <si>
    <t>1570603649466</t>
  </si>
  <si>
    <t>-LqjGTetNBrZ7ivqJfOL</t>
  </si>
  <si>
    <t>1570603656685</t>
  </si>
  <si>
    <t>-LqjGVS-ex7c2pL2BrhP</t>
  </si>
  <si>
    <t>1570603663896</t>
  </si>
  <si>
    <t>-LqjGXUqOB46zq1W7xxl</t>
  </si>
  <si>
    <t>1570603671105</t>
  </si>
  <si>
    <t>-LqjGZKEEQutOx2PPr-4</t>
  </si>
  <si>
    <t>1570603679356</t>
  </si>
  <si>
    <t>-LqjGa-vZkEAmZhzwnwL</t>
  </si>
  <si>
    <t>1570603686566</t>
  </si>
  <si>
    <t>-LqjGbivaZwOy1C2Q22U</t>
  </si>
  <si>
    <t>1570603693787</t>
  </si>
  <si>
    <t>-LqjGdS4zwxewiQhKo3B</t>
  </si>
  <si>
    <t>1570603700996</t>
  </si>
  <si>
    <t>-LqjGf-wiHN6oVmNaDbh</t>
  </si>
  <si>
    <t>1570603707177</t>
  </si>
  <si>
    <t>-LqjGgivNd1yZXlztNlX</t>
  </si>
  <si>
    <t>1570603714396</t>
  </si>
  <si>
    <t>-LqjGiGhSyjrFOuQMPOz</t>
  </si>
  <si>
    <t>1570603720547</t>
  </si>
  <si>
    <t>-LqjGkHWf6RKG3BTBPhX</t>
  </si>
  <si>
    <t>1570603727757</t>
  </si>
  <si>
    <t>-LqjGm1ujZ4Sf2rl6KLr</t>
  </si>
  <si>
    <t>1570603736027</t>
  </si>
  <si>
    <t>-LqjGnopKPIQ-9qG4mnA</t>
  </si>
  <si>
    <t>1570603743237</t>
  </si>
  <si>
    <t>-LqjGpXpFJ-UdJ0LiKTD</t>
  </si>
  <si>
    <t>1570603750465</t>
  </si>
  <si>
    <t>-LqjGrLtCxFGFf4O1c-8</t>
  </si>
  <si>
    <t>1570603757665</t>
  </si>
  <si>
    <t>-LqjGt2rDQQEsrE4x9zQ</t>
  </si>
  <si>
    <t>1570603764867</t>
  </si>
  <si>
    <t>-LqjGut9BDPgflfOMANL</t>
  </si>
  <si>
    <t>1570603772087</t>
  </si>
  <si>
    <t>-LqjGwljzWBHhmOmjcUC</t>
  </si>
  <si>
    <t>1570603779275</t>
  </si>
  <si>
    <t>-LqjGygslgXxJD6lQngV</t>
  </si>
  <si>
    <t>1570603786515</t>
  </si>
  <si>
    <t>-LqjH-OrdWsoN0Zd0bzs</t>
  </si>
  <si>
    <t>1570603794757</t>
  </si>
  <si>
    <t>-LqjH17tSQBRwH94Svpi</t>
  </si>
  <si>
    <t>1570603801987</t>
  </si>
  <si>
    <t>-LqjH2frv0LME2if9GfF</t>
  </si>
  <si>
    <t>1570603808157</t>
  </si>
  <si>
    <t>-LqjH4QCPlCAXCA_Rpdg</t>
  </si>
  <si>
    <t>1570603815365</t>
  </si>
  <si>
    <t>-LqjH6Bro2w-sNuwk2Xp</t>
  </si>
  <si>
    <t>1570603822576</t>
  </si>
  <si>
    <t>-LqjH8KEEQp1Tqe3GerO</t>
  </si>
  <si>
    <t>1570603829842</t>
  </si>
  <si>
    <t>-LqjH9xtQna7m8VnUV_9</t>
  </si>
  <si>
    <t>1570603838035</t>
  </si>
  <si>
    <t>-LqjHBfw3lwnQ67sZORf</t>
  </si>
  <si>
    <t>1570603845255</t>
  </si>
  <si>
    <t>-LqjHDEvYCvLiZMLwzj6</t>
  </si>
  <si>
    <t>1570603851427</t>
  </si>
  <si>
    <t>-LqjHEy0P-QcdRX-vh72</t>
  </si>
  <si>
    <t>1570603858627</t>
  </si>
  <si>
    <t>-LqjHGktZKS1COZuA2uZ</t>
  </si>
  <si>
    <t>1570603865855</t>
  </si>
  <si>
    <t>-LqjHIo2DG_CjAhCCqxL</t>
  </si>
  <si>
    <t>1570603873035</t>
  </si>
  <si>
    <t>-LqjHKj-ur-3gSHFeMSN</t>
  </si>
  <si>
    <t>1570603881316</t>
  </si>
  <si>
    <t>-LqjHMIxws2IWJGDNbfT</t>
  </si>
  <si>
    <t>1570603888499</t>
  </si>
  <si>
    <t>-LqjHOKzZ2OVkaPOTxEn</t>
  </si>
  <si>
    <t>1570603895759</t>
  </si>
  <si>
    <t>-LqjHQ2yZnlvKhBLmfdG</t>
  </si>
  <si>
    <t>1570603903980</t>
  </si>
  <si>
    <t>-LqjHRlw1kwfYyKivTHj</t>
  </si>
  <si>
    <t>1570603911200</t>
  </si>
  <si>
    <t>-LqjHTKx0AqxSad1oErA</t>
  </si>
  <si>
    <t>1570603917369</t>
  </si>
  <si>
    <t>-LqjHV1soj8tpvDyi2u3</t>
  </si>
  <si>
    <t>1570603924550</t>
  </si>
  <si>
    <t>-LqjHWcCVVDolvuzIdkM</t>
  </si>
  <si>
    <t>1570603930770</t>
  </si>
  <si>
    <t>-LqjHYQ8igH07FULlnwO</t>
  </si>
  <si>
    <t>1570603938439</t>
  </si>
  <si>
    <t>-LqjH_7yl7al8WZ5Fvr5</t>
  </si>
  <si>
    <t>1570603945189</t>
  </si>
  <si>
    <t>-LqjHar7Hdw4yonKMw2R</t>
  </si>
  <si>
    <t>1570603952389</t>
  </si>
  <si>
    <t>-LqjHcPBk-hQFD7cAsA7</t>
  </si>
  <si>
    <t>1570603958579</t>
  </si>
  <si>
    <t>-LqjHe7wADNY8BSMYqe1</t>
  </si>
  <si>
    <t>1570603965799</t>
  </si>
  <si>
    <t>-LqjHfvwpDY7Na4tfVBh</t>
  </si>
  <si>
    <t>1570603973008</t>
  </si>
  <si>
    <t>-LqjHhd38lK2X8M2q_d5</t>
  </si>
  <si>
    <t>1570603980230</t>
  </si>
  <si>
    <t>-LqjHjQn4QTA65BUmoAj</t>
  </si>
  <si>
    <t>1570603986399</t>
  </si>
  <si>
    <t>-LqjHl9xoHekZAExQcAL</t>
  </si>
  <si>
    <t>1570603994630</t>
  </si>
  <si>
    <t>-LqjHmj7k-nUOgTbOTQc</t>
  </si>
  <si>
    <t>1570604000819</t>
  </si>
  <si>
    <t>-LqjHoSjFic7JHFx8xXH</t>
  </si>
  <si>
    <t>1570604008039</t>
  </si>
  <si>
    <t>-LqjHqEwMH3eVXDNuhvk</t>
  </si>
  <si>
    <t>1570604015249</t>
  </si>
  <si>
    <t>-LqjHrvL9M-sj69HjgaB</t>
  </si>
  <si>
    <t>1570604022469</t>
  </si>
  <si>
    <t>-LqjHtS7rHd1bxOfJkS5</t>
  </si>
  <si>
    <t>1570604028639</t>
  </si>
  <si>
    <t>-LqjHv47vSbmAms_O-fC</t>
  </si>
  <si>
    <t>1570604034828</t>
  </si>
  <si>
    <t>-LqjHwkCzZhckeQvzo3k</t>
  </si>
  <si>
    <t>1570604042048</t>
  </si>
  <si>
    <t>-LqjHyGhi-3myaR3sdwn</t>
  </si>
  <si>
    <t>1570604048189</t>
  </si>
  <si>
    <t>-LqjHzzi9OG3kMwCGtfO</t>
  </si>
  <si>
    <t>1570604055430</t>
  </si>
  <si>
    <t>-LqjI0YuDBeUtGJPf1x-</t>
  </si>
  <si>
    <t>1570604061618</t>
  </si>
  <si>
    <t>-LqjI2Hwkd-p9HD400-y</t>
  </si>
  <si>
    <t>1570604068819</t>
  </si>
  <si>
    <t>-LqjI44wGFGFJG4u8zIq</t>
  </si>
  <si>
    <t>1570604076039</t>
  </si>
  <si>
    <t>-LqjI5nxWBZPJJooFWO3</t>
  </si>
  <si>
    <t>1570604083268</t>
  </si>
  <si>
    <t>-LqjI7awpMLGgg3cXGq8</t>
  </si>
  <si>
    <t>1570604090467</t>
  </si>
  <si>
    <t>-LqjI9JycV-xG5zxmiSP</t>
  </si>
  <si>
    <t>1570604097668</t>
  </si>
  <si>
    <t>-LqjIBRvpwYW4OwVAVEh</t>
  </si>
  <si>
    <t>1570604104888</t>
  </si>
  <si>
    <t>-LqjID48WhHht4-cYD_w</t>
  </si>
  <si>
    <t>1570604113101</t>
  </si>
  <si>
    <t>-LqjIEmjgb3Q7N30N17E</t>
  </si>
  <si>
    <t>1570604119310</t>
  </si>
  <si>
    <t>-LqjIGLOdTF2OwTl1Sbk</t>
  </si>
  <si>
    <t>1570604126540</t>
  </si>
  <si>
    <t>-LqjIIEvjbjTtb3wwqqS</t>
  </si>
  <si>
    <t>1570604132711</t>
  </si>
  <si>
    <t>-LqjIJrz3YGb3cPDptUT</t>
  </si>
  <si>
    <t>1570604140950</t>
  </si>
  <si>
    <t>-LqjILR1swrN3a0yzYxj</t>
  </si>
  <si>
    <t>1570604147132</t>
  </si>
  <si>
    <t>-LqjIN9-flKfrZwMWpLQ</t>
  </si>
  <si>
    <t>1570604154310</t>
  </si>
  <si>
    <t>-LqjIOi-rNQGLRAvgqSb</t>
  </si>
  <si>
    <t>1570604160513</t>
  </si>
  <si>
    <t>-LqjIQjz0GxkroBOHoxR</t>
  </si>
  <si>
    <t>1570604167751</t>
  </si>
  <si>
    <t>-LqjISRbCzcCnQgrPTw1</t>
  </si>
  <si>
    <t>1570604175981</t>
  </si>
  <si>
    <t>-LqjITx1ahMQ19CSNyyj</t>
  </si>
  <si>
    <t>1570604182151</t>
  </si>
  <si>
    <t>-LqjIVjzX26N2z2HAJoc</t>
  </si>
  <si>
    <t>1570604189380</t>
  </si>
  <si>
    <t>-LqjIXT-iBkC4-GWtlt0</t>
  </si>
  <si>
    <t>1570604196561</t>
  </si>
  <si>
    <t>-LqjIZ18huY5D-UEvNxR</t>
  </si>
  <si>
    <t>1570604202771</t>
  </si>
  <si>
    <t>-LqjI_lGQZto2fdJ4gma</t>
  </si>
  <si>
    <t>1570604209991</t>
  </si>
  <si>
    <t>-LqjIbY-zcrgdA7hZhur</t>
  </si>
  <si>
    <t>1570604217191</t>
  </si>
  <si>
    <t>-LqjId_-lwkPQ2euFbO7</t>
  </si>
  <si>
    <t>1570604225570</t>
  </si>
  <si>
    <t>-LqjIfdK4Bg_2AUXj710</t>
  </si>
  <si>
    <t>1570604232640</t>
  </si>
  <si>
    <t>-LqjIhJzaJa4hXTHrkv5</t>
  </si>
  <si>
    <t>1570604240890</t>
  </si>
  <si>
    <t>-LqjIj20Nna8R7Qbb0JE</t>
  </si>
  <si>
    <t>1570604248071</t>
  </si>
  <si>
    <t>-LqjIkWqNAM-MjgTVJxM</t>
  </si>
  <si>
    <t>1570604254241</t>
  </si>
  <si>
    <t>-LqjIm4zJ3NkawePaqa8</t>
  </si>
  <si>
    <t>1570604260460</t>
  </si>
  <si>
    <t>-LqjIno7wGw9Uj6OFR2t</t>
  </si>
  <si>
    <t>1570604267677</t>
  </si>
  <si>
    <t>-LqjIpLJ83Sx91vE32Nj</t>
  </si>
  <si>
    <t>1570604273861</t>
  </si>
  <si>
    <t>-LqjIqr7rZhqoLCBhpXP</t>
  </si>
  <si>
    <t>1570604280048</t>
  </si>
  <si>
    <t>-LqjIse220dYTWXWHYCP</t>
  </si>
  <si>
    <t>1570604287251</t>
  </si>
  <si>
    <t>-LqjIuN0DZhXzOPT1LkI</t>
  </si>
  <si>
    <t>1570604294470</t>
  </si>
  <si>
    <t>-LqjIwA0J3Jby07hYNxS</t>
  </si>
  <si>
    <t>1570604301670</t>
  </si>
  <si>
    <t>-LqjIxt0sA4hu-rnTSQF</t>
  </si>
  <si>
    <t>1570604308880</t>
  </si>
  <si>
    <t>-LqjIzS-CFRw5zro2oVX</t>
  </si>
  <si>
    <t>1570604315090</t>
  </si>
  <si>
    <t>-LqjJ0A0Dq0dWR95rtkt</t>
  </si>
  <si>
    <t>1570604322281</t>
  </si>
  <si>
    <t>-LqjJ1y0zasFMmB_ZAiH</t>
  </si>
  <si>
    <t>1570604329499</t>
  </si>
  <si>
    <t>-LqjJ3v-vHIGq6pt8SqU</t>
  </si>
  <si>
    <t>1570604337577</t>
  </si>
  <si>
    <t>-LqjJ5n1CCRUWP5HUs_c</t>
  </si>
  <si>
    <t>1570604345310</t>
  </si>
  <si>
    <t>-LqjJ7R1m8odNDQjZXQv</t>
  </si>
  <si>
    <t>1570604352151</t>
  </si>
  <si>
    <t>-LqjJ9-0nVwJMi5r3ZkF</t>
  </si>
  <si>
    <t>1570604358334</t>
  </si>
  <si>
    <t>-LqjJAi13y6orTJRyTv3</t>
  </si>
  <si>
    <t>1570604365523</t>
  </si>
  <si>
    <t>-LqjJCWAI1PBvVtMTGu5</t>
  </si>
  <si>
    <t>1570604372762</t>
  </si>
  <si>
    <t>-LqjJEE9bMXaXXhGCbNA</t>
  </si>
  <si>
    <t>1570604379983</t>
  </si>
  <si>
    <t>-LqjJG11BHXEq3q1eifw</t>
  </si>
  <si>
    <t>1570604387182</t>
  </si>
  <si>
    <t>-LqjJHpkUi0AZgUxsaW4</t>
  </si>
  <si>
    <t>1570604394402</t>
  </si>
  <si>
    <t>-LqjJJY1VBZYg0KIpAP7</t>
  </si>
  <si>
    <t>1570604401602</t>
  </si>
  <si>
    <t>-LqjJLL0SRb5WDtmlJrP</t>
  </si>
  <si>
    <t>1570604408822</t>
  </si>
  <si>
    <t>-LqjJN4JF1BxjUosgV2R</t>
  </si>
  <si>
    <t>1570604416032</t>
  </si>
  <si>
    <t>-LqjJP-DdXT-T64L_sp_</t>
  </si>
  <si>
    <t>1570604424004</t>
  </si>
  <si>
    <t>-LqjJQ_1GoKFGPdw9sDV</t>
  </si>
  <si>
    <t>1570604430472</t>
  </si>
  <si>
    <t>-LqjJSN01AF7mJLbjt-6</t>
  </si>
  <si>
    <t>1570604437671</t>
  </si>
  <si>
    <t>-LqjJUUSiXixsLFpi-mW</t>
  </si>
  <si>
    <t>1570604444872</t>
  </si>
  <si>
    <t>-LqjJW71ev5SWzmohPm3</t>
  </si>
  <si>
    <t>1570604453121</t>
  </si>
  <si>
    <t>-LqjJXcG5TkoGN8-8DLZ</t>
  </si>
  <si>
    <t>1570604459272</t>
  </si>
  <si>
    <t>-LqjJZA0o2jGjSKmKdW2</t>
  </si>
  <si>
    <t>1570604465462</t>
  </si>
  <si>
    <t>-LqjJ_t2FSCDFhWv-8KO</t>
  </si>
  <si>
    <t>1570604472714</t>
  </si>
  <si>
    <t>-LqjJbg2wJHkbU-StVh6</t>
  </si>
  <si>
    <t>1570604479912</t>
  </si>
  <si>
    <t>-LqjJdZ134TTUSG2a5Tw</t>
  </si>
  <si>
    <t>1570604487111</t>
  </si>
  <si>
    <t>-LqjJfC8eNhp5WAKqRfM</t>
  </si>
  <si>
    <t>1570604494342</t>
  </si>
  <si>
    <t>-LqjJgvAumO-S4pENf8n</t>
  </si>
  <si>
    <t>1570604501523</t>
  </si>
  <si>
    <t>-LqjJiOWjHiFUoMk1F2M</t>
  </si>
  <si>
    <t>1570604507703</t>
  </si>
  <si>
    <t>-LqjJjy2mf1gWcJuVo0L</t>
  </si>
  <si>
    <t>1570604513912</t>
  </si>
  <si>
    <t>-LqjJllGT_ElsAXOtAFk</t>
  </si>
  <si>
    <t>1570604521121</t>
  </si>
  <si>
    <t>-LqjJnb-_tJo2N61jgaj</t>
  </si>
  <si>
    <t>1570604528342</t>
  </si>
  <si>
    <t>-LqjJpH0EsU06Jdku3am</t>
  </si>
  <si>
    <t>1570604535542</t>
  </si>
  <si>
    <t>-LqjJqzCu8xxIx7boJL5</t>
  </si>
  <si>
    <t>1570604542761</t>
  </si>
  <si>
    <t>-LqjJsm5vOum8C4bELGt</t>
  </si>
  <si>
    <t>1570604549972</t>
  </si>
  <si>
    <t>-LqjJuxy0-D6OuLtL1FH</t>
  </si>
  <si>
    <t>1570604557192</t>
  </si>
  <si>
    <t>-LqjJwY9AFxtubCcfJdH</t>
  </si>
  <si>
    <t>1570604565432</t>
  </si>
  <si>
    <t>-LqjJyLBdykgBbly3IvI</t>
  </si>
  <si>
    <t>1570604572643</t>
  </si>
  <si>
    <t>-LqjK-Xqj1uQPgS1F1ml</t>
  </si>
  <si>
    <t>1570604579852</t>
  </si>
  <si>
    <t>-LqjK14q5lf_Z4NKUdrq</t>
  </si>
  <si>
    <t>1570604588089</t>
  </si>
  <si>
    <t>-LqjK2o-gYXwyhAJQ8cs</t>
  </si>
  <si>
    <t>1570604595269</t>
  </si>
  <si>
    <t>-LqjK4OFTLrrXkYqpU1i</t>
  </si>
  <si>
    <t>1570604601470</t>
  </si>
  <si>
    <t>-LqjK63sdVVT2ulQLuLE</t>
  </si>
  <si>
    <t>1570604608709</t>
  </si>
  <si>
    <t>-LqjK7szDqhs11pK1eso</t>
  </si>
  <si>
    <t>1570604615908</t>
  </si>
  <si>
    <t>-LqjK9azklRVyUneD_KX</t>
  </si>
  <si>
    <t>1570604623109</t>
  </si>
  <si>
    <t>-LqjKBOytxyvyQXIJnoe</t>
  </si>
  <si>
    <t>1570604630330</t>
  </si>
  <si>
    <t>-LqjKD5qBrI7bS42lw_M</t>
  </si>
  <si>
    <t>1570604637557</t>
  </si>
  <si>
    <t>-LqjKEt_RPeCWwZMDxC7</t>
  </si>
  <si>
    <t>1570604644758</t>
  </si>
  <si>
    <t>-LqjKGd-LUK4Fsof8q1O</t>
  </si>
  <si>
    <t>1570604651980</t>
  </si>
  <si>
    <t>-LqjKIBzmJYt6pg1lqPo</t>
  </si>
  <si>
    <t>1570604658150</t>
  </si>
  <si>
    <t>-LqjKJv-l0INw2DjoQiS</t>
  </si>
  <si>
    <t>1570604665350</t>
  </si>
  <si>
    <t>-LqjKLhgVTnJkFddBDjH</t>
  </si>
  <si>
    <t>1570604672570</t>
  </si>
  <si>
    <t>-LqjKNR5B55LK2ESb4IZ</t>
  </si>
  <si>
    <t>1570604679752</t>
  </si>
  <si>
    <t>-LqjKP-7u9LQVALR_6VS</t>
  </si>
  <si>
    <t>1570604685939</t>
  </si>
  <si>
    <t>-LqjKQpyJD--_wKQ9E_7</t>
  </si>
  <si>
    <t>1570604693189</t>
  </si>
  <si>
    <t>-LqjKSW62OcM7aXnUmEP</t>
  </si>
  <si>
    <t>1570604700397</t>
  </si>
  <si>
    <t>-LqjKUE-Qb2somCzzPRa</t>
  </si>
  <si>
    <t>1570604707590</t>
  </si>
  <si>
    <t>-LqjKW15HAm_LJfvrMIh</t>
  </si>
  <si>
    <t>1570604714819</t>
  </si>
  <si>
    <t>-LqjKXk-kuZZFoY6ZF7Z</t>
  </si>
  <si>
    <t>1570604721990</t>
  </si>
  <si>
    <t>-LqjKZJ03RzXoVxrr2i1</t>
  </si>
  <si>
    <t>1570604728197</t>
  </si>
  <si>
    <t>-LqjKa0zq6jgeVfFRHAv</t>
  </si>
  <si>
    <t>1570604735430</t>
  </si>
  <si>
    <t>-LqjKbu7iDTcX-yAWLcO</t>
  </si>
  <si>
    <t>1570604743127</t>
  </si>
  <si>
    <t>-LqjKdXyVeI-KYt4mHlz</t>
  </si>
  <si>
    <t>1570604749830</t>
  </si>
  <si>
    <t>-LqjKfKyucw4ctTYNPYT</t>
  </si>
  <si>
    <t>1570604757049</t>
  </si>
  <si>
    <t>-LqjKh1qgX5d_SDk-vIy</t>
  </si>
  <si>
    <t>1570604764230</t>
  </si>
  <si>
    <t>-LqjKia_oBEMZgQZC-up</t>
  </si>
  <si>
    <t>1570604770419</t>
  </si>
  <si>
    <t>-LqjKkJrWX66_1Los5FA</t>
  </si>
  <si>
    <t>1570604777672</t>
  </si>
  <si>
    <t>-LqjKm80kPgMZPNbUmpm</t>
  </si>
  <si>
    <t>1570604784879</t>
  </si>
  <si>
    <t>-LqjKnqzcZav-S0KVnIx</t>
  </si>
  <si>
    <t>1570604792068</t>
  </si>
  <si>
    <t>-LqjKpe6Q12St7rEmEYD</t>
  </si>
  <si>
    <t>1570604799301</t>
  </si>
  <si>
    <t>-LqjKrN-eJMK0tiJMULY</t>
  </si>
  <si>
    <t>1570604806484</t>
  </si>
  <si>
    <t>-LqjKtEqiz-cSDK8Emh6</t>
  </si>
  <si>
    <t>1570604812679</t>
  </si>
  <si>
    <t>-LqjKutAob9RzY1eqO27</t>
  </si>
  <si>
    <t>1570604820932</t>
  </si>
  <si>
    <t>-LqjKwS7QXlHE1ftjoRW</t>
  </si>
  <si>
    <t>1570604827112</t>
  </si>
  <si>
    <t>-LqjKyA9k_S6UrlwIJ5t</t>
  </si>
  <si>
    <t>1570604834312</t>
  </si>
  <si>
    <t>-LqjKzyGHBIRop9i3G84</t>
  </si>
  <si>
    <t>1570604841542</t>
  </si>
  <si>
    <t>-LqjL0g8zTT0m65fkHI9</t>
  </si>
  <si>
    <t>1570604848722</t>
  </si>
  <si>
    <t>-LqjL2GFzzpJIChBa3cJ</t>
  </si>
  <si>
    <t>1570604854901</t>
  </si>
  <si>
    <t>-LqjL3y-uTTqqOjjVPEW</t>
  </si>
  <si>
    <t>1570604862152</t>
  </si>
  <si>
    <t>-LqjL5ksX3B98ylaYzN1</t>
  </si>
  <si>
    <t>1570604869352</t>
  </si>
  <si>
    <t>-LqjL7U07lPXFTdz1XCU</t>
  </si>
  <si>
    <t>1570604876553</t>
  </si>
  <si>
    <t>-LqjL920xNPQ0-XHNBvi</t>
  </si>
  <si>
    <t>1570604882742</t>
  </si>
  <si>
    <t>-LqjLAl1JfAXAo-JP6ko</t>
  </si>
  <si>
    <t>1570604889962</t>
  </si>
  <si>
    <t>-LqjLCd-_-Bgi2wgcMVT</t>
  </si>
  <si>
    <t>1570604897471</t>
  </si>
  <si>
    <t>-LqjLEH9ApvMLzSd2sGk</t>
  </si>
  <si>
    <t>1570604904391</t>
  </si>
  <si>
    <t>-LqjLG4-eN8PRY4cCXFT</t>
  </si>
  <si>
    <t>1570604911592</t>
  </si>
  <si>
    <t>-LqjLHn-qgzYl3_vlT9e</t>
  </si>
  <si>
    <t>1570604918792</t>
  </si>
  <si>
    <t>-LqjLJa0AwSLrNCx6eg9</t>
  </si>
  <si>
    <t>1570604926022</t>
  </si>
  <si>
    <t>-LqjLLJ9rXApaGPEWFHJ</t>
  </si>
  <si>
    <t>1570604933201</t>
  </si>
  <si>
    <t>-LqjLMs9NpW5dGand2_2</t>
  </si>
  <si>
    <t>1570604939380</t>
  </si>
  <si>
    <t>-LqjLOa9sg_F29GDpT_4</t>
  </si>
  <si>
    <t>1570604946632</t>
  </si>
  <si>
    <t>-LqjLQY9dOoYsOBzL55Z</t>
  </si>
  <si>
    <t>1570604954427</t>
  </si>
  <si>
    <t>-LqjLS61xOGn7aX0FgFs</t>
  </si>
  <si>
    <t>1570604961032</t>
  </si>
  <si>
    <t>-LqjLTf1Qe5oL0ljUBW1</t>
  </si>
  <si>
    <t>1570604967222</t>
  </si>
  <si>
    <t>-LqjLVO-awyfcq_rfbWQ</t>
  </si>
  <si>
    <t>1570604974442</t>
  </si>
  <si>
    <t>-LqjLXAZN58gbQ54fqrx</t>
  </si>
  <si>
    <t>1570604981662</t>
  </si>
  <si>
    <t>-LqjLYsv_LxgtyISEhKJ</t>
  </si>
  <si>
    <t>1570604988872</t>
  </si>
  <si>
    <t>-LqjL_h1QiuPHPJaXIyf</t>
  </si>
  <si>
    <t>1570604996082</t>
  </si>
  <si>
    <t>-LqjLbQ8zxjU5GMiafte</t>
  </si>
  <si>
    <t>1570605003271</t>
  </si>
  <si>
    <t>-LqjLcz-u3vqi0xSrHM_</t>
  </si>
  <si>
    <t>1570605009462</t>
  </si>
  <si>
    <t>-LqjLeh8G54cZ7sajbVC</t>
  </si>
  <si>
    <t>1570605016682</t>
  </si>
  <si>
    <t>-LqjLgV09Var8ycP0NJt</t>
  </si>
  <si>
    <t>1570605023900</t>
  </si>
  <si>
    <t>-LqjLiD0aw3AzCxwN9EQ</t>
  </si>
  <si>
    <t>1570605031111</t>
  </si>
  <si>
    <t>-LqjLk00hQz_yzr0c8es</t>
  </si>
  <si>
    <t>1570605038322</t>
  </si>
  <si>
    <t>-LqjLlj1CtoYL5Ix5CPK</t>
  </si>
  <si>
    <t>1570605045511</t>
  </si>
  <si>
    <t>-LqjLnX6WTDluYPM3erJ</t>
  </si>
  <si>
    <t>1570605052789</t>
  </si>
  <si>
    <t>-LqjLpF-s7U4pNj9i5Mp</t>
  </si>
  <si>
    <t>1570605059969</t>
  </si>
  <si>
    <t>-LqjLqo7wW_WI5Ix4HAM</t>
  </si>
  <si>
    <t>1570605066148</t>
  </si>
  <si>
    <t>-LqjLsX9xTntilOpMr8V</t>
  </si>
  <si>
    <t>1570605073351</t>
  </si>
  <si>
    <t>-LqjLuK7y-WQYb_0Ivs_</t>
  </si>
  <si>
    <t>1570605080560</t>
  </si>
  <si>
    <t>-LqjLw20H3SmM4Utaf-7</t>
  </si>
  <si>
    <t>1570605087761</t>
  </si>
  <si>
    <t>-LqjLxb0I8fyzIic4LFv</t>
  </si>
  <si>
    <t>1570605093951</t>
  </si>
  <si>
    <t>-LqjLzK0fOx8u1nBRRMG</t>
  </si>
  <si>
    <t>1570605101211</t>
  </si>
  <si>
    <t>-LqjM06pK2sgmmLXlpBG</t>
  </si>
  <si>
    <t>1570605108381</t>
  </si>
  <si>
    <t>-LqjM1q04ipBz9mioNkn</t>
  </si>
  <si>
    <t>1570605115590</t>
  </si>
  <si>
    <t>-LqjM3jFVLhY_TrUxkXt</t>
  </si>
  <si>
    <t>1570605122810</t>
  </si>
  <si>
    <t>-LqjM5M83Lch8pJFBuK4</t>
  </si>
  <si>
    <t>1570605129991</t>
  </si>
  <si>
    <t>-LqjM6q9IH_wATpxDqdN</t>
  </si>
  <si>
    <t>1570605136181</t>
  </si>
  <si>
    <t>-LqjM8d0uDLRd4OR0h6a</t>
  </si>
  <si>
    <t>1570605143512</t>
  </si>
  <si>
    <t>-LqjMAR-_eI8ytl29jOu</t>
  </si>
  <si>
    <t>1570605150629</t>
  </si>
  <si>
    <t>-LqjMCNydkcNYlkMV7MJ</t>
  </si>
  <si>
    <t>1570605158871</t>
  </si>
  <si>
    <t>-LqjMDwzQ19TiojV7YyY</t>
  </si>
  <si>
    <t>1570605165050</t>
  </si>
  <si>
    <t>-LqjMFfIp3soD-UWSiIM</t>
  </si>
  <si>
    <t>1570605172231</t>
  </si>
  <si>
    <t>-LqjMH8zHCpFr3wJ622t</t>
  </si>
  <si>
    <t>1570605178391</t>
  </si>
  <si>
    <t>-LqjMIi8sVYvdmzHgM7T</t>
  </si>
  <si>
    <t>1570605184630</t>
  </si>
  <si>
    <t>-LqjMKCAMzizN68b9EFx</t>
  </si>
  <si>
    <t>1570605190790</t>
  </si>
  <si>
    <t>-LqjMLlAn1qGY6Gj0AA0</t>
  </si>
  <si>
    <t>1570605196981</t>
  </si>
  <si>
    <t>-LqjMNTxjN4_-KYIux91</t>
  </si>
  <si>
    <t>1570605204201</t>
  </si>
  <si>
    <t>-LqjMPGxdFPl1xMso23L</t>
  </si>
  <si>
    <t>1570605211421</t>
  </si>
  <si>
    <t>-LqjMRH3Y03eA29GyYsp</t>
  </si>
  <si>
    <t>1570605218631</t>
  </si>
  <si>
    <t>-LqjMT0zlsoVmWFqhXev</t>
  </si>
  <si>
    <t>1570605226872</t>
  </si>
  <si>
    <t>-LqjMUorMon4cDKPKCqT</t>
  </si>
  <si>
    <t>1570605234082</t>
  </si>
  <si>
    <t>-LqjMWXzjftCQmHBilZ6</t>
  </si>
  <si>
    <t>1570605241299</t>
  </si>
  <si>
    <t>-LqjMYKyNBFB0SgpTHWN</t>
  </si>
  <si>
    <t>1570605248501</t>
  </si>
  <si>
    <t>-LqjM_Hzvkdmhjtxe6FS</t>
  </si>
  <si>
    <t>1570605256587</t>
  </si>
  <si>
    <t>-LqjMarAz0EddattLgdp</t>
  </si>
  <si>
    <t>1570605262901</t>
  </si>
  <si>
    <t>-LqjMcZyQF8C0pn-3k25</t>
  </si>
  <si>
    <t>1570605270149</t>
  </si>
  <si>
    <t>-LqjMeMyAT4FFmQL3kEa</t>
  </si>
  <si>
    <t>1570605277350</t>
  </si>
  <si>
    <t>-LqjMgOy4ph97CWA15Y2</t>
  </si>
  <si>
    <t>1570605284550</t>
  </si>
  <si>
    <t>-LqjMi6xD3Av8I4Ubz87</t>
  </si>
  <si>
    <t>1570605292809</t>
  </si>
  <si>
    <t>-LqjMjuyncoXKK1nvZDL</t>
  </si>
  <si>
    <t>1570605300018</t>
  </si>
  <si>
    <t>-LqjMls6n2xgk8_FDP7s</t>
  </si>
  <si>
    <t>1570605307249</t>
  </si>
  <si>
    <t>-LqjMnQwflgtq1CSRZPT</t>
  </si>
  <si>
    <t>1570605314437</t>
  </si>
  <si>
    <t>-LqjMp8xgkcUcKNAE3YJ</t>
  </si>
  <si>
    <t>1570605321670</t>
  </si>
  <si>
    <t>-LqjMqx8nToTDVFmfXls</t>
  </si>
  <si>
    <t>1570605328868</t>
  </si>
  <si>
    <t>-LqjMseycQq9G-SoEaML</t>
  </si>
  <si>
    <t>1570605336068</t>
  </si>
  <si>
    <t>-LqjMuj6DP2-5s0-kCqj</t>
  </si>
  <si>
    <t>1570605343298</t>
  </si>
  <si>
    <t>-LqjMwUpNOjoQeSbrjbF</t>
  </si>
  <si>
    <t>1570605351540</t>
  </si>
  <si>
    <t>-LqjMyCwmAKqK1PaT4P7</t>
  </si>
  <si>
    <t>1570605358748</t>
  </si>
  <si>
    <t>-LqjN--oiAg1JmnSvQ3v</t>
  </si>
  <si>
    <t>1570605365960</t>
  </si>
  <si>
    <t>-LqjN0iyZ1K3erluLNQW</t>
  </si>
  <si>
    <t>1570605373188</t>
  </si>
  <si>
    <t>-LqjN2X9c69D2kTjS4yF</t>
  </si>
  <si>
    <t>1570605380380</t>
  </si>
  <si>
    <t>-LqjN4GBqjUdt6sfCI3l</t>
  </si>
  <si>
    <t>1570605387589</t>
  </si>
  <si>
    <t>-LqjN61w5FiIo-8bNJfU</t>
  </si>
  <si>
    <t>1570605394808</t>
  </si>
  <si>
    <t>-LqjN82aSTKnwzGpvE9S</t>
  </si>
  <si>
    <t>1570605401988</t>
  </si>
  <si>
    <t>-LqjN9n1Rmy428R-Q0Xy</t>
  </si>
  <si>
    <t>1570605410258</t>
  </si>
  <si>
    <t>-LqjNB_y_NjMsdlxfCK9</t>
  </si>
  <si>
    <t>1570605417478</t>
  </si>
  <si>
    <t>-LqjNDJ3a_7KYovVUVpQ</t>
  </si>
  <si>
    <t>1570605424689</t>
  </si>
  <si>
    <t>-LqjNF69XRTBO1fb4RZl</t>
  </si>
  <si>
    <t>1570605431898</t>
  </si>
  <si>
    <t>-LqjNGpDam3Ji808Zpty</t>
  </si>
  <si>
    <t>1570605439110</t>
  </si>
  <si>
    <t>-LqjNIbyABOaAMmr9PMG</t>
  </si>
  <si>
    <t>1570605446330</t>
  </si>
  <si>
    <t>-LqjNKKxRaqRT0KBDNIh</t>
  </si>
  <si>
    <t>1570605453510</t>
  </si>
  <si>
    <t>-LqjNLz91daVswUfFf1O</t>
  </si>
  <si>
    <t>1570605459699</t>
  </si>
  <si>
    <t>-LqjNNbwbT_ROUOp-vq0</t>
  </si>
  <si>
    <t>1570605466958</t>
  </si>
  <si>
    <t>-LqjNPPyNNbRcAXcQXi-</t>
  </si>
  <si>
    <t>1570605474150</t>
  </si>
  <si>
    <t>-LqjNR7wFPHLojzwWLjf</t>
  </si>
  <si>
    <t>1570605481351</t>
  </si>
  <si>
    <t>-LqjNSvpAxhNk9XBolK0</t>
  </si>
  <si>
    <t>1570605488570</t>
  </si>
  <si>
    <t>-LqjNUdxBHVQ3XL_WK-7</t>
  </si>
  <si>
    <t>1570605495749</t>
  </si>
  <si>
    <t>-LqjNWCynpR52RJ0_xRa</t>
  </si>
  <si>
    <t>1570605501938</t>
  </si>
  <si>
    <t>-LqjNXvpd2bd878XerDE</t>
  </si>
  <si>
    <t>1570605509168</t>
  </si>
  <si>
    <t>-LqjNZV7BtWgoZQjSp2q</t>
  </si>
  <si>
    <t>1570605515360</t>
  </si>
  <si>
    <t>-LqjNaXhm-1bP-T4fp3J</t>
  </si>
  <si>
    <t>1570605522569</t>
  </si>
  <si>
    <t>-LqjNcEuZ9BrKNk-uwFy</t>
  </si>
  <si>
    <t>1570605530806</t>
  </si>
  <si>
    <t>-LqjNdxujD1YrIzxX8Jl</t>
  </si>
  <si>
    <t>1570605537995</t>
  </si>
  <si>
    <t>-LqjNfWy3Ij-lpavrSag</t>
  </si>
  <si>
    <t>1570605544175</t>
  </si>
  <si>
    <t>-LqjNhDqIZsKR6MDo2dk</t>
  </si>
  <si>
    <t>1570605551425</t>
  </si>
  <si>
    <t>-LqjNj1uGxqRovuGczp-</t>
  </si>
  <si>
    <t>1570605558635</t>
  </si>
  <si>
    <t>-LqjNkztefDEr7dN6Szx</t>
  </si>
  <si>
    <t>1570605566813</t>
  </si>
  <si>
    <t>-LqjNmXqkOhvYFxiob57</t>
  </si>
  <si>
    <t>1570605573055</t>
  </si>
  <si>
    <t>-LqjNo1tnOzKk5pHAt2f</t>
  </si>
  <si>
    <t>1570605579235</t>
  </si>
  <si>
    <t>-LqjNppvCDcjckLIrP40</t>
  </si>
  <si>
    <t>1570605586466</t>
  </si>
  <si>
    <t>-LqjNrZ2cmoAxBSl3Qdv</t>
  </si>
  <si>
    <t>1570605593667</t>
  </si>
  <si>
    <t>-LqjNtKXNuW7t88nJ-Lc</t>
  </si>
  <si>
    <t>1570605600865</t>
  </si>
  <si>
    <t>-LqjNv3twlZQVqAnqE_b</t>
  </si>
  <si>
    <t>1570605608067</t>
  </si>
  <si>
    <t>-LqjNwctXoUHAgRD0-kE</t>
  </si>
  <si>
    <t>1570605614266</t>
  </si>
  <si>
    <t>-LqjNyM4zqDtlZskTPxZ</t>
  </si>
  <si>
    <t>1570605621477</t>
  </si>
  <si>
    <t>-LqjNzowaPZYNh4e-6QI</t>
  </si>
  <si>
    <t>1570605627666</t>
  </si>
  <si>
    <t>-LqjO0Nqc5PyahENAbBu</t>
  </si>
  <si>
    <t>1570605633835</t>
  </si>
  <si>
    <t>-LqjO26uLJdCRnlMHiyo</t>
  </si>
  <si>
    <t>1570605641097</t>
  </si>
  <si>
    <t>-LqjO3fv0XnyPLz1JVfp</t>
  </si>
  <si>
    <t>1570605647226</t>
  </si>
  <si>
    <t>-LqjO5OCAKEbK6T5lkVF</t>
  </si>
  <si>
    <t>1570605654465</t>
  </si>
  <si>
    <t>-LqjO7BuS_8tkJyaO7rG</t>
  </si>
  <si>
    <t>1570605661656</t>
  </si>
  <si>
    <t>-LqjO8tyHQouGF9d6Wq2</t>
  </si>
  <si>
    <t>1570605668865</t>
  </si>
  <si>
    <t>-LqjOAhsAkkFikN_ldt9</t>
  </si>
  <si>
    <t>1570605676085</t>
  </si>
  <si>
    <t>-LqjOCPf5tCTIIGJT6xK</t>
  </si>
  <si>
    <t>1570605683266</t>
  </si>
  <si>
    <t>-LqjODzvGW7SiKQqzTSK</t>
  </si>
  <si>
    <t>1570605689455</t>
  </si>
  <si>
    <t>-LqjOFgqWD-XrcB0sqXb</t>
  </si>
  <si>
    <t>1570605696707</t>
  </si>
  <si>
    <t>-LqjOHW09-9dCJaxm7iQ</t>
  </si>
  <si>
    <t>1570605703895</t>
  </si>
  <si>
    <t>-LqjOJE5dEDUK6MMCGFR</t>
  </si>
  <si>
    <t>1570605711114</t>
  </si>
  <si>
    <t>-LqjOLJ_NobNgq4k-ybu</t>
  </si>
  <si>
    <t>1570605718326</t>
  </si>
  <si>
    <t>-LqjON30hOrqMa__xDbX</t>
  </si>
  <si>
    <t>1570605726565</t>
  </si>
  <si>
    <t>-LqjOOltx9mcKTt5a_Rb</t>
  </si>
  <si>
    <t>1570605733776</t>
  </si>
  <si>
    <t>-LqjOQFtuwJxhckfkFfx</t>
  </si>
  <si>
    <t>1570605739976</t>
  </si>
  <si>
    <t>-LqjORmalf0p6aL54EcI</t>
  </si>
  <si>
    <t>1570605746146</t>
  </si>
  <si>
    <t>-LqjOTr-hg1STGYakTJN</t>
  </si>
  <si>
    <t>1570605754506</t>
  </si>
  <si>
    <t>-LqjOVsxdA1H6wGqCmtB</t>
  </si>
  <si>
    <t>1570605762876</t>
  </si>
  <si>
    <t>-LqjOXcCJiJg4TJCscVk</t>
  </si>
  <si>
    <t>1570605769838</t>
  </si>
  <si>
    <t>-LqjOZJwTNBvY3Wf319q</t>
  </si>
  <si>
    <t>1570605777031</t>
  </si>
  <si>
    <t>-LqjOa6xG_hgU9mr0NQZ</t>
  </si>
  <si>
    <t>1570605784268</t>
  </si>
  <si>
    <t>-LqjObqB28NN7pCukVCL</t>
  </si>
  <si>
    <t>1570605791459</t>
  </si>
  <si>
    <t>-LqjOdOx6563-4rOzoRW</t>
  </si>
  <si>
    <t>1570605797659</t>
  </si>
  <si>
    <t>-LqjOf8C_GD45yBw31MR</t>
  </si>
  <si>
    <t>1570605804870</t>
  </si>
  <si>
    <t>-LqjOgv3pMjSGbhNPjnW</t>
  </si>
  <si>
    <t>1570605812080</t>
  </si>
  <si>
    <t>-LqjOid87Q7VuQ6V4nVj</t>
  </si>
  <si>
    <t>1570605819270</t>
  </si>
  <si>
    <t>-LqjOkBxy4b3VNr7PDES</t>
  </si>
  <si>
    <t>1570605825461</t>
  </si>
  <si>
    <t>-LqjOluxBXkXtZrgh4eB</t>
  </si>
  <si>
    <t>1570605832717</t>
  </si>
  <si>
    <t>-LqjOniF8x25iYHTcfbN</t>
  </si>
  <si>
    <t>1570605839899</t>
  </si>
  <si>
    <t>-LqjOpQxKkU-2KBKVM2A</t>
  </si>
  <si>
    <t>1570605847110</t>
  </si>
  <si>
    <t>-LqjOrE7wD_30KAG190v</t>
  </si>
  <si>
    <t>1570605854318</t>
  </si>
  <si>
    <t>-LqjOt678qC8Zah9pcVR</t>
  </si>
  <si>
    <t>1570605862094</t>
  </si>
  <si>
    <t>-LqjOujyYzFtojfPo_0K</t>
  </si>
  <si>
    <t>1570605868748</t>
  </si>
  <si>
    <t>-LqjOwTM2EEupNHd64Jc</t>
  </si>
  <si>
    <t>1570605875938</t>
  </si>
  <si>
    <t>-LqjOy0xxSIpXFOfuNJp</t>
  </si>
  <si>
    <t>1570605882138</t>
  </si>
  <si>
    <t>-LqjOzjzlulvWug_9YDL</t>
  </si>
  <si>
    <t>1570605889349</t>
  </si>
  <si>
    <t>-LqjP0Y-EIkxzGbQrkLM</t>
  </si>
  <si>
    <t>1570605896570</t>
  </si>
  <si>
    <t>-LqjP2G5pN-_GvzypH_C</t>
  </si>
  <si>
    <t>1570605903748</t>
  </si>
  <si>
    <t>-LqjP48VNY1u_GNxxdoO</t>
  </si>
  <si>
    <t>1570605909940</t>
  </si>
  <si>
    <t>-LqjP5lzG6mYmkyAaO5j</t>
  </si>
  <si>
    <t>1570605918180</t>
  </si>
  <si>
    <t>-LqjP7LfLMBK9v94cPGo</t>
  </si>
  <si>
    <t>1570605924378</t>
  </si>
  <si>
    <t>-LqjP92zrqJON-Gt83ul</t>
  </si>
  <si>
    <t>1570605931591</t>
  </si>
  <si>
    <t>-LqjPAr5HM5gJkR5uDJA</t>
  </si>
  <si>
    <t>1570605938808</t>
  </si>
  <si>
    <t>-LqjPCZzHB7udCIBglkK</t>
  </si>
  <si>
    <t>1570605945988</t>
  </si>
  <si>
    <t>-LqjPE86s7UgL98BiQ6g</t>
  </si>
  <si>
    <t>1570605952178</t>
  </si>
  <si>
    <t>-LqjPFvIkxxfceAyLMix</t>
  </si>
  <si>
    <t>1570605959585</t>
  </si>
  <si>
    <t>-LqjPHdyGWw26593fb76</t>
  </si>
  <si>
    <t>1570605966620</t>
  </si>
  <si>
    <t>-LqjPJMyTD8CtnpdaiFo</t>
  </si>
  <si>
    <t>1570605973830</t>
  </si>
  <si>
    <t>-LqjPL8rOKoDA2G92C-Y</t>
  </si>
  <si>
    <t>1570605981049</t>
  </si>
  <si>
    <t>-LqjPMszzGBaK0PuzTD6</t>
  </si>
  <si>
    <t>1570605988228</t>
  </si>
  <si>
    <t>-LqjPOkzHbZrv-RK_fja</t>
  </si>
  <si>
    <t>1570605994418</t>
  </si>
  <si>
    <t>-LqjPQP-kx5Q9tHl_dt1</t>
  </si>
  <si>
    <t>1570606002659</t>
  </si>
  <si>
    <t>-LqjPRxpVB8IGUMz6Ni1</t>
  </si>
  <si>
    <t>1570606008868</t>
  </si>
  <si>
    <t>-LqjPTfzlY5JDIMTz8f9</t>
  </si>
  <si>
    <t>1570606016069</t>
  </si>
  <si>
    <t>-LqjPVTzm-Lx9J6xIDEM</t>
  </si>
  <si>
    <t>1570606023289</t>
  </si>
  <si>
    <t>-LqjPXC-YQMAUoHtuTTJ</t>
  </si>
  <si>
    <t>1570606030471</t>
  </si>
  <si>
    <t>-LqjPYkzcXkHC0EIS_Wu</t>
  </si>
  <si>
    <t>1570606036661</t>
  </si>
  <si>
    <t>-LqjP_U-gZkFnfBna7eG</t>
  </si>
  <si>
    <t>1570606043911</t>
  </si>
  <si>
    <t>-LqjPbH6-JeEfRt8tzIv</t>
  </si>
  <si>
    <t>1570606051121</t>
  </si>
  <si>
    <t>-LqjPd-6yYRy9vTi8hMZ</t>
  </si>
  <si>
    <t>1570606058309</t>
  </si>
  <si>
    <t>-LqjPen-rjE8t9ApBPjZ</t>
  </si>
  <si>
    <t>1570606065529</t>
  </si>
  <si>
    <t>-LqjPgVrJqqt0U_OrJey</t>
  </si>
  <si>
    <t>1570606072710</t>
  </si>
  <si>
    <t>-LqjPi46s1kSy022JGsM</t>
  </si>
  <si>
    <t>1570606078919</t>
  </si>
  <si>
    <t>-LqjPjmzomRTSFOF3Uex</t>
  </si>
  <si>
    <t>1570606086151</t>
  </si>
  <si>
    <t>-LqjPlaITQnixKbE1l6N</t>
  </si>
  <si>
    <t>1570606093350</t>
  </si>
  <si>
    <t>-LqjPnJ-IWKtVckaDwbI</t>
  </si>
  <si>
    <t>1570606100551</t>
  </si>
  <si>
    <t>-LqjPp6RPcyRv14WW1J_</t>
  </si>
  <si>
    <t>1570606107769</t>
  </si>
  <si>
    <t>-LqjPqp-9syHheTDP7L6</t>
  </si>
  <si>
    <t>1570606114951</t>
  </si>
  <si>
    <t>-LqjPsNzFQpQ1vQoO8RC</t>
  </si>
  <si>
    <t>1570606121141</t>
  </si>
  <si>
    <t>-LqjPu60UQLTw44CiqEg</t>
  </si>
  <si>
    <t>1570606128391</t>
  </si>
  <si>
    <t>-LqjPvu-XHgQa3psYf0b</t>
  </si>
  <si>
    <t>1570606135600</t>
  </si>
  <si>
    <t>-LqjPxc0Zrxlcth4-MeQ</t>
  </si>
  <si>
    <t>1570606142791</t>
  </si>
  <si>
    <t>-LqjPzPzjPuDHNMJKenO</t>
  </si>
  <si>
    <t>1570606150010</t>
  </si>
  <si>
    <t>-LqjQ07z6rk7b72S1UG-</t>
  </si>
  <si>
    <t>1570606157192</t>
  </si>
  <si>
    <t>-LqjQ1h-xF-pXyYlOioR</t>
  </si>
  <si>
    <t>1570606163392</t>
  </si>
  <si>
    <t>-LqjQ3Q81hwCa2L4Cji4</t>
  </si>
  <si>
    <t>1570606170611</t>
  </si>
  <si>
    <t>-LqjQ5CzwXNmaAwAr264</t>
  </si>
  <si>
    <t>1570606177841</t>
  </si>
  <si>
    <t>-LqjQ6vr_8k1LWgXTKr-</t>
  </si>
  <si>
    <t>1570606185030</t>
  </si>
  <si>
    <t>-LqjQ8t7eg8ELC1maMd3</t>
  </si>
  <si>
    <t>1570606192938</t>
  </si>
  <si>
    <t>-LqjQAS0rri6ZUZevx7L</t>
  </si>
  <si>
    <t>1570606199429</t>
  </si>
  <si>
    <t>-LqjQBxFXg9kzmh3aZ1r</t>
  </si>
  <si>
    <t>1570606205589</t>
  </si>
  <si>
    <t>-LqjQDU-ggYkauSB_Uks</t>
  </si>
  <si>
    <t>1570606211831</t>
  </si>
  <si>
    <t>-LqjQFD-eP-iOIqA9m-5</t>
  </si>
  <si>
    <t>1570606219039</t>
  </si>
  <si>
    <t>-LqjQH1ci-Le5jBoB_GU</t>
  </si>
  <si>
    <t>1570606225209</t>
  </si>
  <si>
    <t>-LqjQIiwhEkkNpZEw393</t>
  </si>
  <si>
    <t>1570606233435</t>
  </si>
  <si>
    <t>-LqjQKIK7kXi1CtvIH9x</t>
  </si>
  <si>
    <t>1570606239636</t>
  </si>
  <si>
    <t>-LqjQLzo5aDGnynlk88S</t>
  </si>
  <si>
    <t>1570606246856</t>
  </si>
  <si>
    <t>-LqjQNWCtd4hlElEFt_u</t>
  </si>
  <si>
    <t>1570606253042</t>
  </si>
  <si>
    <t>-LqjQP1oqzRU8DPyLl92</t>
  </si>
  <si>
    <t>1570606259216</t>
  </si>
  <si>
    <t>-LqjQQpmtcJetGUBcZex</t>
  </si>
  <si>
    <t>1570606266426</t>
  </si>
  <si>
    <t>-LqjQSZwZ8Tjn6k1XvAX</t>
  </si>
  <si>
    <t>1570606273636</t>
  </si>
  <si>
    <t>-LqjQULgz1gpJB1-xRVF</t>
  </si>
  <si>
    <t>1570606280858</t>
  </si>
  <si>
    <t>-LqjQW52Ne2FwG8uzoxu</t>
  </si>
  <si>
    <t>1570606288066</t>
  </si>
  <si>
    <t>-LqjQXs-D46XAi3avgmI</t>
  </si>
  <si>
    <t>1570606295276</t>
  </si>
  <si>
    <t>-LqjQZ_niw-PfE-_04js</t>
  </si>
  <si>
    <t>1570606302526</t>
  </si>
  <si>
    <t>-LqjQa3gcTWJXFizhF0Z</t>
  </si>
  <si>
    <t>1570606308659</t>
  </si>
  <si>
    <t>-LqjQbcmqdSNRVFHFOF2</t>
  </si>
  <si>
    <t>1570606314856</t>
  </si>
  <si>
    <t>-LqjQdN5K_TCPpEbn0c8</t>
  </si>
  <si>
    <t>1570606322069</t>
  </si>
  <si>
    <t>-LqjQeunHQhpgT5qOorn</t>
  </si>
  <si>
    <t>1570606328255</t>
  </si>
  <si>
    <t>-LqjQgcMiyLLKZztVvUr</t>
  </si>
  <si>
    <t>1570606335437</t>
  </si>
  <si>
    <t>-LqjQid_6NGRiwwTY6Wv</t>
  </si>
  <si>
    <t>1570606341615</t>
  </si>
  <si>
    <t>-LqjQkYwxiS6ak0I0b7Y</t>
  </si>
  <si>
    <t>1570606350915</t>
  </si>
  <si>
    <t>-LqjQmBv0LoK1VV2FPa_</t>
  </si>
  <si>
    <t>1570606358145</t>
  </si>
  <si>
    <t>-LqjQnuvrG6q_EHXUzCC</t>
  </si>
  <si>
    <t>1570606365347</t>
  </si>
  <si>
    <t>-LqjQpSoBKx0JtiwK4bI</t>
  </si>
  <si>
    <t>1570606371526</t>
  </si>
  <si>
    <t>-LqjQrFmtgvfFwZ7UXnD</t>
  </si>
  <si>
    <t>1570606378735</t>
  </si>
  <si>
    <t>-LqjQt-3xae96JZmfQYb</t>
  </si>
  <si>
    <t>1570606385955</t>
  </si>
  <si>
    <t>-LqjQuy1P9lM6inndG-0</t>
  </si>
  <si>
    <t>1570606393166</t>
  </si>
  <si>
    <t>-LqjQwUmErk4TncD2l6R</t>
  </si>
  <si>
    <t>1570606400385</t>
  </si>
  <si>
    <t>-LqjQyHokXJnrtYC3FK7</t>
  </si>
  <si>
    <t>1570606407585</t>
  </si>
  <si>
    <t>-LqjR-RB7vNEaW0Q7g9e</t>
  </si>
  <si>
    <t>1570606415975</t>
  </si>
  <si>
    <t>-LqjR132nPozl9nJxhdo</t>
  </si>
  <si>
    <t>1570606423050</t>
  </si>
  <si>
    <t>-LqjR2r56WPWn1pq6J-i</t>
  </si>
  <si>
    <t>1570606430261</t>
  </si>
  <si>
    <t>-LqjR4pNzQNLooAhcXBc</t>
  </si>
  <si>
    <t>1570606437475</t>
  </si>
  <si>
    <t>-LqjR6Hwa5WfY0G9iPVm</t>
  </si>
  <si>
    <t>1570606444638</t>
  </si>
  <si>
    <t>-LqjR7nBPKK7ch5j78xp</t>
  </si>
  <si>
    <t>1570606450867</t>
  </si>
  <si>
    <t>-LqjR9KwNh2PZDwwjStA</t>
  </si>
  <si>
    <t>1570606457025</t>
  </si>
  <si>
    <t>-LqjRB874zRjj1Qn8H8w</t>
  </si>
  <si>
    <t>1570606464421</t>
  </si>
  <si>
    <t>-LqjRCr9dw9flwv2cCU3</t>
  </si>
  <si>
    <t>1570606471490</t>
  </si>
  <si>
    <t>-LqjREQ-U_75KaNLc8nU</t>
  </si>
  <si>
    <t>1570606477661</t>
  </si>
  <si>
    <t>-LqjRG8-ZA-sjlLVizRC</t>
  </si>
  <si>
    <t>1570606484869</t>
  </si>
  <si>
    <t>-LqjRHw-LMmUKBfhBCDL</t>
  </si>
  <si>
    <t>1570606492080</t>
  </si>
  <si>
    <t>-LqjRJe0P8pjN8HU4bT7</t>
  </si>
  <si>
    <t>1570606499270</t>
  </si>
  <si>
    <t>-LqjRLD0edKNC2IdNnxg</t>
  </si>
  <si>
    <t>1570606505471</t>
  </si>
  <si>
    <t>-LqjRMw1aJgjU982CBhw</t>
  </si>
  <si>
    <t>1570606512712</t>
  </si>
  <si>
    <t>-LqjROj75tXyeF60bk6G</t>
  </si>
  <si>
    <t>1570606519908</t>
  </si>
  <si>
    <t>-LqjRQtjJKx_t8st-RgA</t>
  </si>
  <si>
    <t>1570606528950</t>
  </si>
  <si>
    <t>-LqjRSU02GiSxI8EX5Kg</t>
  </si>
  <si>
    <t>1570606535360</t>
  </si>
  <si>
    <t>-LqjRUC-i_YnwOM1iNEZ</t>
  </si>
  <si>
    <t>1570606542570</t>
  </si>
  <si>
    <t>-LqjRVkzB7CnALwFm8v2</t>
  </si>
  <si>
    <t>1570606548749</t>
  </si>
  <si>
    <t>-LqjRXU6H89OKaCrKrGP</t>
  </si>
  <si>
    <t>1570606555940</t>
  </si>
  <si>
    <t>-LqjRZ2-kPhzjguy72yZ</t>
  </si>
  <si>
    <t>1570606562147</t>
  </si>
  <si>
    <t>-LqjR_kzJ4qQfao4QGhm</t>
  </si>
  <si>
    <t>1570606569350</t>
  </si>
  <si>
    <t>-LqjRbYgor9EFSSY1pl9</t>
  </si>
  <si>
    <t>1570606576570</t>
  </si>
  <si>
    <t>-LqjRdH5fxbRkCTt7Odu</t>
  </si>
  <si>
    <t>1570606583762</t>
  </si>
  <si>
    <t>-LqjReq0vGwMkrrrLARa</t>
  </si>
  <si>
    <t>1570606589960</t>
  </si>
  <si>
    <t>-LqjRgdMHC4sMcZrYo9U</t>
  </si>
  <si>
    <t>1570606597387</t>
  </si>
  <si>
    <t>-LqjRiGp3rFWOG6Ar8Co</t>
  </si>
  <si>
    <t>1570606604389</t>
  </si>
  <si>
    <t>-LqjRjq1HKOMuPXAd2QW</t>
  </si>
  <si>
    <t>1570606610569</t>
  </si>
  <si>
    <t>-LqjRlYp19X666nuxDvU</t>
  </si>
  <si>
    <t>1570606617780</t>
  </si>
  <si>
    <t>-LqjRn8Es4llHCf1TCEn</t>
  </si>
  <si>
    <t>1570606623969</t>
  </si>
  <si>
    <t>-LqjRpADvquqZPQ03uc-</t>
  </si>
  <si>
    <t>1570606632063</t>
  </si>
  <si>
    <t>-LqjRqrz879M0ZgKVbAw</t>
  </si>
  <si>
    <t>1570606639430</t>
  </si>
  <si>
    <t>-LqjRsesFo69Qb_Jbb6R</t>
  </si>
  <si>
    <t>1570606646640</t>
  </si>
  <si>
    <t>-LqjRug3JFP4IMLqmq8s</t>
  </si>
  <si>
    <t>1570606653830</t>
  </si>
  <si>
    <t>-LqjRwQ67WqnmVavCTC9</t>
  </si>
  <si>
    <t>1570606662090</t>
  </si>
  <si>
    <t>-LqjRxtzUOCwdTn05h7T</t>
  </si>
  <si>
    <t>1570606668239</t>
  </si>
  <si>
    <t>-LqjRzgzSPO5XrBFX_wc</t>
  </si>
  <si>
    <t>1570606675480</t>
  </si>
  <si>
    <t>-LqjS0Q7CusX0VlSAO7Y</t>
  </si>
  <si>
    <t>1570606682689</t>
  </si>
  <si>
    <t>-LqjS1z8edmieFvSuQH2</t>
  </si>
  <si>
    <t>1570606688887</t>
  </si>
  <si>
    <t>-LqjS4-sX-2gIggAf6f3</t>
  </si>
  <si>
    <t>1570606696070</t>
  </si>
  <si>
    <t>-LqjS5j9VgxLStXsuAmJ</t>
  </si>
  <si>
    <t>1570606704333</t>
  </si>
  <si>
    <t>-LqjS7XA4ZQZqTGLXrIa</t>
  </si>
  <si>
    <t>1570606711551</t>
  </si>
  <si>
    <t>-LqjS9USf_wmRP2q0Vgp</t>
  </si>
  <si>
    <t>1570606718753</t>
  </si>
  <si>
    <t>-LqjSB296DPsWVybMozR</t>
  </si>
  <si>
    <t>1570606725950</t>
  </si>
  <si>
    <t>-LqjSCl1qXhc_uqN7hu2</t>
  </si>
  <si>
    <t>1570606733194</t>
  </si>
  <si>
    <t>-LqjSEXu7XuYCbwuDtsd</t>
  </si>
  <si>
    <t>1570606740393</t>
  </si>
  <si>
    <t>-LqjSGIGcl3vOJVs8EHY</t>
  </si>
  <si>
    <t>1570606747594</t>
  </si>
  <si>
    <t>-LqjSI424Iqwizc1Z2_D</t>
  </si>
  <si>
    <t>1570606754812</t>
  </si>
  <si>
    <t>-LqjSJnYN6W9opKb6UVG</t>
  </si>
  <si>
    <t>1570606762002</t>
  </si>
  <si>
    <t>-LqjSLM1TtADklU6_HCM</t>
  </si>
  <si>
    <t>1570606768199</t>
  </si>
  <si>
    <t>-LqjSN40cmsj78D_CG-P</t>
  </si>
  <si>
    <t>1570606775433</t>
  </si>
  <si>
    <t>-LqjSOx79xdaPzsstHlB</t>
  </si>
  <si>
    <t>1570606782639</t>
  </si>
  <si>
    <t>-LqjSQa-4Qg0HK447X0O</t>
  </si>
  <si>
    <t>1570606789830</t>
  </si>
  <si>
    <t>-LqjSS96syygdC_OG13y</t>
  </si>
  <si>
    <t>1570606796020</t>
  </si>
  <si>
    <t>-LqjSTrfHn6CwJRGUljj</t>
  </si>
  <si>
    <t>1570606803239</t>
  </si>
  <si>
    <t>-LqjSVdsbhHWbDxRV2go</t>
  </si>
  <si>
    <t>1570606810460</t>
  </si>
  <si>
    <t>-LqjSXMka3RJru0k3ZGg</t>
  </si>
  <si>
    <t>1570606817677</t>
  </si>
  <si>
    <t>-LqjSZBFbvInCBgfhOI5</t>
  </si>
  <si>
    <t>1570606824880</t>
  </si>
  <si>
    <t>-LqjS_u-6UI_2TJ12YcO</t>
  </si>
  <si>
    <t>1570606832073</t>
  </si>
  <si>
    <t>-LqjSbTItWMjl-cZFmAA</t>
  </si>
  <si>
    <t>1570606838270</t>
  </si>
  <si>
    <t>-LqjSd9rYMKNbvlUI9vZ</t>
  </si>
  <si>
    <t>1570606845490</t>
  </si>
  <si>
    <t>-LqjSez04pNyXvDBVfsh</t>
  </si>
  <si>
    <t>1570606852701</t>
  </si>
  <si>
    <t>-LqjSghFzNEd_sezlEKA</t>
  </si>
  <si>
    <t>1570606859909</t>
  </si>
  <si>
    <t>-LqjSikwc3u-TRsScwL3</t>
  </si>
  <si>
    <t>1570606867130</t>
  </si>
  <si>
    <t>-LqjSkW4EbEeO6HQED8q</t>
  </si>
  <si>
    <t>1570606875370</t>
  </si>
  <si>
    <t>-LqjSmEzDnfKFlXai9Sh</t>
  </si>
  <si>
    <t>1570606882580</t>
  </si>
  <si>
    <t>-LqjSo2jMcg002Ei3TzX</t>
  </si>
  <si>
    <t>1570606889807</t>
  </si>
  <si>
    <t>-LqjSpl-rxnjbymcQnvX</t>
  </si>
  <si>
    <t>1570606897012</t>
  </si>
  <si>
    <t>-LqjSrZ-2jKBCoqtCDhp</t>
  </si>
  <si>
    <t>1570606904220</t>
  </si>
  <si>
    <t>-LqjStH--_a-kb10qkhZ</t>
  </si>
  <si>
    <t>1570606911429</t>
  </si>
  <si>
    <t>-LqjSv2vnblDf4SwRjgQ</t>
  </si>
  <si>
    <t>1570606918642</t>
  </si>
  <si>
    <t>-LqjSwn8QrWtqcmd2a-k</t>
  </si>
  <si>
    <t>1570606925829</t>
  </si>
  <si>
    <t>-LqjSyaHoG3C11j1Hts4</t>
  </si>
  <si>
    <t>1570606932019</t>
  </si>
  <si>
    <t>-LqjT-IygfYOgA8jdpMF</t>
  </si>
  <si>
    <t>1570606940298</t>
  </si>
  <si>
    <t>-LqjT0qr65ajxpG8zKFt</t>
  </si>
  <si>
    <t>1570606946437</t>
  </si>
  <si>
    <t>-LqjT2_xvl9LfBqdtK4w</t>
  </si>
  <si>
    <t>1570606953680</t>
  </si>
  <si>
    <t>-LqjT4NwjnTa6Tlbw9es</t>
  </si>
  <si>
    <t>1570606960888</t>
  </si>
  <si>
    <t>-LqjT65y2-CPMOc_OXa1</t>
  </si>
  <si>
    <t>1570606968068</t>
  </si>
  <si>
    <t>-LqjT7f3fdOJi2sWnDad</t>
  </si>
  <si>
    <t>1570606974257</t>
  </si>
  <si>
    <t>-LqjT9O5HpeF4_G-XI0h</t>
  </si>
  <si>
    <t>1570606981508</t>
  </si>
  <si>
    <t>-LqjTBAyU9DYNskn5ILz</t>
  </si>
  <si>
    <t>1570606988710</t>
  </si>
  <si>
    <t>-LqjTCtyfl-HAsZZRKK0</t>
  </si>
  <si>
    <t>1570606995908</t>
  </si>
  <si>
    <t>-LqjTEg1jGMnPi4WdJUW</t>
  </si>
  <si>
    <t>1570607003129</t>
  </si>
  <si>
    <t>-LqjTGPw8BV7JZuDCC8Q</t>
  </si>
  <si>
    <t>1570607010307</t>
  </si>
  <si>
    <t>-LqjTHyxfS4SsLgatbvy</t>
  </si>
  <si>
    <t>1570607016508</t>
  </si>
  <si>
    <t>-LqjTJgydAbssdOZXnCV</t>
  </si>
  <si>
    <t>1570607023768</t>
  </si>
  <si>
    <t>-LqjTLV3nmREH62lz3kO</t>
  </si>
  <si>
    <t>1570607030959</t>
  </si>
  <si>
    <t>-LqjTNDFBMEH8GTnQhtc</t>
  </si>
  <si>
    <t>1570607038148</t>
  </si>
  <si>
    <t>-LqjTP-wO4oaTqlf0B8w</t>
  </si>
  <si>
    <t>1570607045377</t>
  </si>
  <si>
    <t>-LqjTQiy2s2VnQAanoJn</t>
  </si>
  <si>
    <t>1570607052557</t>
  </si>
  <si>
    <t>-LqjTSI3FUz-qkYwzh9o</t>
  </si>
  <si>
    <t>1570607058739</t>
  </si>
  <si>
    <t>-LqjTU-pL7etv7w0Rp3i</t>
  </si>
  <si>
    <t>1570607066003</t>
  </si>
  <si>
    <t>-LqjTVnzHzAPvX05kAim</t>
  </si>
  <si>
    <t>1570607073188</t>
  </si>
  <si>
    <t>-LqjTXmUzLuCHP6df12b</t>
  </si>
  <si>
    <t>1570607080386</t>
  </si>
  <si>
    <t>-LqjTZJ1R2mHfSy0W3Et</t>
  </si>
  <si>
    <t>1570607087617</t>
  </si>
  <si>
    <t>-LqjTa1w4-aQhkuuq6l6</t>
  </si>
  <si>
    <t>1570607094798</t>
  </si>
  <si>
    <t>-LqjTbazMw1IkF1upulu</t>
  </si>
  <si>
    <t>1570607100986</t>
  </si>
  <si>
    <t>-LqjTdJyi-7GrFrZZUWS</t>
  </si>
  <si>
    <t>1570607108227</t>
  </si>
  <si>
    <t>-LqjTf5sxySRWn8q7X-v</t>
  </si>
  <si>
    <t>1570607115407</t>
  </si>
  <si>
    <t>-LqjTgay9KeuytGrvIWo</t>
  </si>
  <si>
    <t>1570607121618</t>
  </si>
  <si>
    <t>-LqjTiP4bO6_ydyMgvpE</t>
  </si>
  <si>
    <t>1570607128830</t>
  </si>
  <si>
    <t>-LqjTk6ydIfuEJycWYgU</t>
  </si>
  <si>
    <t>1570607136038</t>
  </si>
  <si>
    <t>-LqjTlw2C9ME4fuUQ4eg</t>
  </si>
  <si>
    <t>1570607143257</t>
  </si>
  <si>
    <t>-LqjTndHNDvRoEegP3zm</t>
  </si>
  <si>
    <t>1570607150470</t>
  </si>
  <si>
    <t>-LqjTpQx0KOavsHNaupi</t>
  </si>
  <si>
    <t>1570607157676</t>
  </si>
  <si>
    <t>-LqjTr8ygLHunUlD674h</t>
  </si>
  <si>
    <t>1570607164859</t>
  </si>
  <si>
    <t>-LqjTsx4XfRtPfBZM0bh</t>
  </si>
  <si>
    <t>1570607172176</t>
  </si>
  <si>
    <t>-LqjTuqpwGdBg-72iU_P</t>
  </si>
  <si>
    <t>1570607179326</t>
  </si>
  <si>
    <t>-LqjTwRhKaOS4sueToPl</t>
  </si>
  <si>
    <t>1570607186529</t>
  </si>
  <si>
    <t>-LqjTyB28h-1t8wGUBWg</t>
  </si>
  <si>
    <t>1570607193743</t>
  </si>
  <si>
    <t>-LqjTzqLkz9XCdjEbJZH</t>
  </si>
  <si>
    <t>1570607199922</t>
  </si>
  <si>
    <t>-LqjU0T20YicRowcjrLQ</t>
  </si>
  <si>
    <t>1570607207113</t>
  </si>
  <si>
    <t>-LqjU211i_ZErECRofCT</t>
  </si>
  <si>
    <t>1570607213315</t>
  </si>
  <si>
    <t>-LqjU3ipqYUfLVPD4p2N</t>
  </si>
  <si>
    <t>1570607220528</t>
  </si>
  <si>
    <t>-LqjU5Cp56NcMDNRjw4x</t>
  </si>
  <si>
    <t>1570607226709</t>
  </si>
  <si>
    <t>-LqjU6myICvB5vz61yad</t>
  </si>
  <si>
    <t>1570607232886</t>
  </si>
  <si>
    <t>-LqjU8Uwx4EcuYVoEV7R</t>
  </si>
  <si>
    <t>1570607240066</t>
  </si>
  <si>
    <t>-LqjUA3xPinBjrT8XuTe</t>
  </si>
  <si>
    <t>1570607246429</t>
  </si>
  <si>
    <t>-LqjUBmwXMmS5J_hSAGx</t>
  </si>
  <si>
    <t>1570607253509</t>
  </si>
  <si>
    <t>-LqjUDZjEbXRUtpavc1Y</t>
  </si>
  <si>
    <t>1570607260882</t>
  </si>
  <si>
    <t>-LqjUFHn6_hyQ7vhJh1v</t>
  </si>
  <si>
    <t>1570607267907</t>
  </si>
  <si>
    <t>-LqjUHL33znIf9FWmxjg</t>
  </si>
  <si>
    <t>1570607276208</t>
  </si>
  <si>
    <t>-LqjUJLJFRYSe4uatdMA</t>
  </si>
  <si>
    <t>1570607283378</t>
  </si>
  <si>
    <t>-LqjUL4xHHXwlFb6_gWQ</t>
  </si>
  <si>
    <t>1570607291587</t>
  </si>
  <si>
    <t>-LqjUMdxkt0s9f_bmzu4</t>
  </si>
  <si>
    <t>1570607297817</t>
  </si>
  <si>
    <t>-LqjUOLp5INtzERmakDw</t>
  </si>
  <si>
    <t>1570607305029</t>
  </si>
  <si>
    <t>-LqjUQ8y1S4N7rAZrFy3</t>
  </si>
  <si>
    <t>1570607312237</t>
  </si>
  <si>
    <t>-LqjURrrnN3uG4q5tJr5</t>
  </si>
  <si>
    <t>1570607319428</t>
  </si>
  <si>
    <t>-LqjUTexVgpSVXWAwO5h</t>
  </si>
  <si>
    <t>1570607326648</t>
  </si>
  <si>
    <t>-LqjUVNYgg-o4TorSUrf</t>
  </si>
  <si>
    <t>1570607333837</t>
  </si>
  <si>
    <t>-LqjUWwoovi5E_Ik0E0p</t>
  </si>
  <si>
    <t>1570607340017</t>
  </si>
  <si>
    <t>-LqjUYfw2FsnWR9U42vq</t>
  </si>
  <si>
    <t>1570607347275</t>
  </si>
  <si>
    <t>-LqjU_T1rjCRzcm2bALr</t>
  </si>
  <si>
    <t>1570607354467</t>
  </si>
  <si>
    <t>-LqjUbB0okPO6IJreffY</t>
  </si>
  <si>
    <t>1570607361667</t>
  </si>
  <si>
    <t>-LqjUcyof9xMZL945eyp</t>
  </si>
  <si>
    <t>1570607368868</t>
  </si>
  <si>
    <t>-LqjUegoxWDZj9DlKZw7</t>
  </si>
  <si>
    <t>1570607376076</t>
  </si>
  <si>
    <t>-LqjUgG0cTpTpcfXmpXE</t>
  </si>
  <si>
    <t>1570607382298</t>
  </si>
  <si>
    <t>-LqjUi0IBhkspinrSPfX</t>
  </si>
  <si>
    <t>1570607389513</t>
  </si>
  <si>
    <t>-LqjUjmv_LAT2T44xvM3</t>
  </si>
  <si>
    <t>1570607396804</t>
  </si>
  <si>
    <t>-LqjUlp0S4eJdLrVKom6</t>
  </si>
  <si>
    <t>1570607403908</t>
  </si>
  <si>
    <t>-LqjUnX4B_wm9rfOia2o</t>
  </si>
  <si>
    <t>1570607412171</t>
  </si>
  <si>
    <t>-LqjUpG06K1x2glEMnAl</t>
  </si>
  <si>
    <t>1570607419381</t>
  </si>
  <si>
    <t>-LqjUqp0KmMcZrEmQXZT</t>
  </si>
  <si>
    <t>1570607425562</t>
  </si>
  <si>
    <t>-LqjUsJ3c5W475v10Cio</t>
  </si>
  <si>
    <t>1570607431748</t>
  </si>
  <si>
    <t>-LqjUuGm3qV8Uid0Lb3_</t>
  </si>
  <si>
    <t>1570607438961</t>
  </si>
  <si>
    <t>-LqjUvp0YdIpB_ZUMStT</t>
  </si>
  <si>
    <t>1570607446152</t>
  </si>
  <si>
    <t>-LqjUxc-DBPJIxftY6KE</t>
  </si>
  <si>
    <t>1570607453381</t>
  </si>
  <si>
    <t>-LqjUzL8VJblaFA44D3h</t>
  </si>
  <si>
    <t>1570607460581</t>
  </si>
  <si>
    <t>-LqjV-u5wtpUKeAZa-Qt</t>
  </si>
  <si>
    <t>1570607466779</t>
  </si>
  <si>
    <t>-LqjV1c-i5Fj8fm9K3Qz</t>
  </si>
  <si>
    <t>1570607473991</t>
  </si>
  <si>
    <t>-LqjV3RG1mvg7IWuq1d0</t>
  </si>
  <si>
    <t>1570607481200</t>
  </si>
  <si>
    <t>-LqjV5800zzXFmQZuGKy</t>
  </si>
  <si>
    <t>1570607488391</t>
  </si>
  <si>
    <t>-LqjV6h0S7twSt8r3MGv</t>
  </si>
  <si>
    <t>1570607494590</t>
  </si>
  <si>
    <t>-LqjV8Q-nv7JY5ns94Rd</t>
  </si>
  <si>
    <t>1570607501811</t>
  </si>
  <si>
    <t>-LqjVAD700aZneJb_NBE</t>
  </si>
  <si>
    <t>1570607509021</t>
  </si>
  <si>
    <t>-LqjVBw0B45e7Za6tp95</t>
  </si>
  <si>
    <t>1570607516232</t>
  </si>
  <si>
    <t>-LqjVDj-8aXwZTAZRHWc</t>
  </si>
  <si>
    <t>1570607523441</t>
  </si>
  <si>
    <t>-LqjVFg7vA0bGADj9sHw</t>
  </si>
  <si>
    <t>1570607530630</t>
  </si>
  <si>
    <t>-LqjVHErT1h7cGO8g4CA</t>
  </si>
  <si>
    <t>1570607537877</t>
  </si>
  <si>
    <t>-LqjVIy-FjusAC6MnX2L</t>
  </si>
  <si>
    <t>1570607545063</t>
  </si>
  <si>
    <t>-LqjVKX7uqa3ZhLxcEEe</t>
  </si>
  <si>
    <t>1570607551270</t>
  </si>
  <si>
    <t>-LqjVMF0MrGSUREM4aLE</t>
  </si>
  <si>
    <t>1570607558470</t>
  </si>
  <si>
    <t>-LqjVO2126WDjpzHpaGe</t>
  </si>
  <si>
    <t>1570607565690</t>
  </si>
  <si>
    <t>-LqjVPkN1MT-vDbGfHkj</t>
  </si>
  <si>
    <t>1570607572880</t>
  </si>
  <si>
    <t>-LqjVRZ-uoDJ_XYICRA7</t>
  </si>
  <si>
    <t>1570607580123</t>
  </si>
  <si>
    <t>-LqjVTHJuZfbZj59cu9F</t>
  </si>
  <si>
    <t>1570607587301</t>
  </si>
  <si>
    <t>-LqjVUq-YNiY_SYhDVZw</t>
  </si>
  <si>
    <t>1570607593521</t>
  </si>
  <si>
    <t>-LqjVWZ-_rhTUgcxbNxK</t>
  </si>
  <si>
    <t>1570607600711</t>
  </si>
  <si>
    <t>-LqjVY5thI2hQkVHXH4z</t>
  </si>
  <si>
    <t>1570607606902</t>
  </si>
  <si>
    <t>-LqjVZq1Sp33T39eBilV</t>
  </si>
  <si>
    <t>1570607614120</t>
  </si>
  <si>
    <t>-LqjVad0ubFUEZtbqjRT</t>
  </si>
  <si>
    <t>1570607621330</t>
  </si>
  <si>
    <t>-LqjVcM-6GQYtpc5nvXM</t>
  </si>
  <si>
    <t>1570607628551</t>
  </si>
  <si>
    <t>-LqjVeSz4pzaJkSTx4Q_</t>
  </si>
  <si>
    <t>1570607635762</t>
  </si>
  <si>
    <t>-LqjVgBJ2DmZA54Y4xmj</t>
  </si>
  <si>
    <t>1570607644007</t>
  </si>
  <si>
    <t>-LqjVhu0goP8gjA2lJcp</t>
  </si>
  <si>
    <t>1570607651220</t>
  </si>
  <si>
    <t>-LqjVjh-Gzdn3Y6wrL3x</t>
  </si>
  <si>
    <t>1570607658428</t>
  </si>
  <si>
    <t>-LqjVlPxX51PwndesORW</t>
  </si>
  <si>
    <t>1570607665639</t>
  </si>
  <si>
    <t>-LqjVnMya_-PjmpZLFIO</t>
  </si>
  <si>
    <t>1570607673461</t>
  </si>
  <si>
    <t>-LqjVow308GdV26sJ33I</t>
  </si>
  <si>
    <t>1570607680071</t>
  </si>
  <si>
    <t>-LqjVqizeFuUUzZbyOeK</t>
  </si>
  <si>
    <t>1570607687280</t>
  </si>
  <si>
    <t>-LqjVsS5Rt39OoJOzbXT</t>
  </si>
  <si>
    <t>1570607694471</t>
  </si>
  <si>
    <t>-LqjVu4zkjnm7BFdjLz8</t>
  </si>
  <si>
    <t>1570607700671</t>
  </si>
  <si>
    <t>-LqjVvj-y53hbgV12lX7</t>
  </si>
  <si>
    <t>1570607707888</t>
  </si>
  <si>
    <t>-LqjVxWzUjjKkBACwjCE</t>
  </si>
  <si>
    <t>1570607715098</t>
  </si>
  <si>
    <t>-LqjVzEzmqA1hwAg1e4u</t>
  </si>
  <si>
    <t>1570607722310</t>
  </si>
  <si>
    <t>-LqjW01z9pQQgjQQQ7CR</t>
  </si>
  <si>
    <t>1570607729519</t>
  </si>
  <si>
    <t>-LqjW1kyih3SVmU0EaXg</t>
  </si>
  <si>
    <t>1570607736710</t>
  </si>
  <si>
    <t>-LqjW3_ExOIAER51aZEx</t>
  </si>
  <si>
    <t>1570607743979</t>
  </si>
  <si>
    <t>-LqjW5INohwe2SfNlnKL</t>
  </si>
  <si>
    <t>1570607751140</t>
  </si>
  <si>
    <t>-LqjW6pyLAwHyF84q6f3</t>
  </si>
  <si>
    <t>1570607757348</t>
  </si>
  <si>
    <t>-LqjW8o-V827qrpn32gf</t>
  </si>
  <si>
    <t>1570607764548</t>
  </si>
  <si>
    <t>-LqjWAUdear4mikb9Spd</t>
  </si>
  <si>
    <t>1570607771768</t>
  </si>
  <si>
    <t>-LqjWC2r_XgpbW91KW-6</t>
  </si>
  <si>
    <t>1570607778948</t>
  </si>
  <si>
    <t>-LqjWDcwYPINI3wOztrJ</t>
  </si>
  <si>
    <t>1570607785139</t>
  </si>
  <si>
    <t>-LqjWFLyGZEasM4toBdr</t>
  </si>
  <si>
    <t>1570607792389</t>
  </si>
  <si>
    <t>-LqjWH9-ZewURIQWnfGE</t>
  </si>
  <si>
    <t>1570607799580</t>
  </si>
  <si>
    <t>-LqjWIrywXogsy8jYQoz</t>
  </si>
  <si>
    <t>1570607806788</t>
  </si>
  <si>
    <t>-LqjWKezvlLOvlsbmSn8</t>
  </si>
  <si>
    <t>1570607814009</t>
  </si>
  <si>
    <t>-LqjWMO-qsdrzPr15sho</t>
  </si>
  <si>
    <t>1570607821190</t>
  </si>
  <si>
    <t>-LqjWNw3_kqLSXspmpKS</t>
  </si>
  <si>
    <t>1570607827379</t>
  </si>
  <si>
    <t>-LqjWPf6k8sKlTSAgo-w</t>
  </si>
  <si>
    <t>1570607834629</t>
  </si>
  <si>
    <t>-LqjWRT505UP2iZ0AUyT</t>
  </si>
  <si>
    <t>1570607841829</t>
  </si>
  <si>
    <t>-LqjWT8TFeJ6Sth2E6k5</t>
  </si>
  <si>
    <t>1570607849028</t>
  </si>
  <si>
    <t>-LqjWVI0FkldDNc8j8Hm</t>
  </si>
  <si>
    <t>1570607857610</t>
  </si>
  <si>
    <t>-LqjWX56DyfFaabsYzlu</t>
  </si>
  <si>
    <t>1570607864489</t>
  </si>
  <si>
    <t>-LqjWYi1KktX0V9aFmMQ</t>
  </si>
  <si>
    <t>1570607871700</t>
  </si>
  <si>
    <t>-LqjW_kwM2DM8xkPpdRc</t>
  </si>
  <si>
    <t>1570607879985</t>
  </si>
  <si>
    <t>-LqjWbTxxjDI1IPMAjlS</t>
  </si>
  <si>
    <t>1570607887166</t>
  </si>
  <si>
    <t>-LqjWd1xpVNLwB0T005P</t>
  </si>
  <si>
    <t>1570607893335</t>
  </si>
  <si>
    <t>-LqjWekukSkSKx26Pr77</t>
  </si>
  <si>
    <t>1570607900546</t>
  </si>
  <si>
    <t>-LqjWgYwpcwygU_g3rLi</t>
  </si>
  <si>
    <t>1570607907767</t>
  </si>
  <si>
    <t>-LqjWiGu_sIGltg9HZ3z</t>
  </si>
  <si>
    <t>1570607914946</t>
  </si>
  <si>
    <t>-LqjWjq4-vaX0k4yk0dM</t>
  </si>
  <si>
    <t>1570607921135</t>
  </si>
  <si>
    <t>-LqjWlYt4XlxlOMWNvUm</t>
  </si>
  <si>
    <t>1570607928370</t>
  </si>
  <si>
    <t>-LqjWnZrml4UDisO8n0G</t>
  </si>
  <si>
    <t>1570607936578</t>
  </si>
  <si>
    <t>-LqjWpJ62CrkTaHP0L6h</t>
  </si>
  <si>
    <t>1570607943816</t>
  </si>
  <si>
    <t>-LqjWqruLszrL3c9Dt3E</t>
  </si>
  <si>
    <t>1570607950007</t>
  </si>
  <si>
    <t>-LqjWs_yT-_YcOwS72bY</t>
  </si>
  <si>
    <t>1570607957197</t>
  </si>
  <si>
    <t>-LqjWu8vlLPVkIPpqJMW</t>
  </si>
  <si>
    <t>1570607963377</t>
  </si>
  <si>
    <t>-LqjWvru74VRjFo_2oQ4</t>
  </si>
  <si>
    <t>1570607970630</t>
  </si>
  <si>
    <t>-LqjWxg2yEE3vaX-WieK</t>
  </si>
  <si>
    <t>1570607976796</t>
  </si>
  <si>
    <t>-LqjWzMp-WXbJ9ktwCOj</t>
  </si>
  <si>
    <t>1570607985027</t>
  </si>
  <si>
    <t>-LqjX0Xi9LcFKj5UqZ43</t>
  </si>
  <si>
    <t>1570607992246</t>
  </si>
  <si>
    <t>-LqjX2CubtmACJtv-Cep</t>
  </si>
  <si>
    <t>1570608000487</t>
  </si>
  <si>
    <t>-LqjX3uq-Klr9YFe51px</t>
  </si>
  <si>
    <t>1570608007698</t>
  </si>
  <si>
    <t>-LqjX5Oqns1FDVMq4JW_</t>
  </si>
  <si>
    <t>1570608013896</t>
  </si>
  <si>
    <t>-LqjX6yvHi493P5M7yXM</t>
  </si>
  <si>
    <t>1570608020066</t>
  </si>
  <si>
    <t>-LqjX8h2zaQ0N0DSJGJC</t>
  </si>
  <si>
    <t>1570608027266</t>
  </si>
  <si>
    <t>-LqjXAV9Q8qsCA7oqTFn</t>
  </si>
  <si>
    <t>1570608034488</t>
  </si>
  <si>
    <t>-LqjXCBsXzhgCYz_DPY3</t>
  </si>
  <si>
    <t>1570608041677</t>
  </si>
  <si>
    <t>-LqjXDm6QRVJwihWH8LN</t>
  </si>
  <si>
    <t>1570608047857</t>
  </si>
  <si>
    <t>-LqjXFV50UGZeXE1Pm2V</t>
  </si>
  <si>
    <t>1570608055107</t>
  </si>
  <si>
    <t>-LqjXHHvNVhFU_F0-GGn</t>
  </si>
  <si>
    <t>1570608062314</t>
  </si>
  <si>
    <t>-LqjXJ-vmi8Jt9IQU--Y</t>
  </si>
  <si>
    <t>1570608069506</t>
  </si>
  <si>
    <t>-LqjXKnv9-zd7ksq5Dyf</t>
  </si>
  <si>
    <t>1570608076735</t>
  </si>
  <si>
    <t>-LqjXMWyWLr5GYLs7SUk</t>
  </si>
  <si>
    <t>1570608083917</t>
  </si>
  <si>
    <t>-LqjXO9vJ1wA0ZGntMzB</t>
  </si>
  <si>
    <t>1570608090412</t>
  </si>
  <si>
    <t>-LqjXPntdqIHpT3B0NCl</t>
  </si>
  <si>
    <t>1570608097347</t>
  </si>
  <si>
    <t>-LqjXRb5-u1trmU8qPmv</t>
  </si>
  <si>
    <t>1570608104557</t>
  </si>
  <si>
    <t>-LqjXTcqEjrrrwzChJDL</t>
  </si>
  <si>
    <t>1570608111754</t>
  </si>
  <si>
    <t>-LqjXVQzIxzSpB4P9dB5</t>
  </si>
  <si>
    <t>1570608120441</t>
  </si>
  <si>
    <t>-LqjXX90-7WSS2vlXb9m</t>
  </si>
  <si>
    <t>1570608127224</t>
  </si>
  <si>
    <t>-LqjXYs-EkLZ2BFhtKkD</t>
  </si>
  <si>
    <t>1570608134441</t>
  </si>
  <si>
    <t>-LqjX_fAoBJMEbh_BPCE</t>
  </si>
  <si>
    <t>1570608141651</t>
  </si>
  <si>
    <t>-LqjXbOJ-bAv_R6hDCXv</t>
  </si>
  <si>
    <t>1570608148850</t>
  </si>
  <si>
    <t>-LqjXdB0s9FUBn-ciae1</t>
  </si>
  <si>
    <t>1570608156070</t>
  </si>
  <si>
    <t>-LqjXeu-YNCGKkJGKMAa</t>
  </si>
  <si>
    <t>1570608163272</t>
  </si>
  <si>
    <t>-LqjXgh7qpVt1ApmU6Z0</t>
  </si>
  <si>
    <t>1570608170492</t>
  </si>
  <si>
    <t>-LqjXiQ-CN8x6l5nE8Qk</t>
  </si>
  <si>
    <t>1570608177682</t>
  </si>
  <si>
    <t>-LqjXjz7UW5nTShJHivV</t>
  </si>
  <si>
    <t>1570608183908</t>
  </si>
  <si>
    <t>-LqjXlh7C0JSpsJmYf6d</t>
  </si>
  <si>
    <t>1570608191110</t>
  </si>
  <si>
    <t>-LqjXnV1VZr4F5Qu2Egf</t>
  </si>
  <si>
    <t>1570608198319</t>
  </si>
  <si>
    <t>-LqjXpEF1P947gvvXpSO</t>
  </si>
  <si>
    <t>1570608205510</t>
  </si>
  <si>
    <t>-LqjXqm-32kLSmTtzQxm</t>
  </si>
  <si>
    <t>1570608211710</t>
  </si>
  <si>
    <t>-LqjXsUz9MRD06ywSKFx</t>
  </si>
  <si>
    <t>1570608218931</t>
  </si>
  <si>
    <t>-LqjXuetdziFw7MtAdwN</t>
  </si>
  <si>
    <t>1570608226130</t>
  </si>
  <si>
    <t>-LqjXwFKpKmsFuvfX2On</t>
  </si>
  <si>
    <t>1570608234371</t>
  </si>
  <si>
    <t>-LqjXxo-jZqn6cbdJn7o</t>
  </si>
  <si>
    <t>1570608240552</t>
  </si>
  <si>
    <t>-LqjXzX0CzP7uFvYQ6vr</t>
  </si>
  <si>
    <t>1570608247752</t>
  </si>
  <si>
    <t>-LqjY0K8P3fLyJ-L4LKO</t>
  </si>
  <si>
    <t>1570608254982</t>
  </si>
  <si>
    <t>-LqjY23H61ta8nGlk8sv</t>
  </si>
  <si>
    <t>1570608262160</t>
  </si>
  <si>
    <t>-LqjY3X0y88n4QUPkHyg</t>
  </si>
  <si>
    <t>1570608268340</t>
  </si>
  <si>
    <t>-LqjY5Lg8mpqIwouesh5</t>
  </si>
  <si>
    <t>1570608274562</t>
  </si>
  <si>
    <t>-LqjY770Mh88BrLc2eER</t>
  </si>
  <si>
    <t>1570608282800</t>
  </si>
  <si>
    <t>-LqjY8qBb_kVitaToLOn</t>
  </si>
  <si>
    <t>1570608289990</t>
  </si>
  <si>
    <t>-LqjYAPOQYK_8G8qqrwH</t>
  </si>
  <si>
    <t>1570608296220</t>
  </si>
  <si>
    <t>-LqjYC7KsaOg4xSfOnwq</t>
  </si>
  <si>
    <t>1570608303412</t>
  </si>
  <si>
    <t>-LqjYDv-DAcVBfzZVhNS</t>
  </si>
  <si>
    <t>1570608310620</t>
  </si>
  <si>
    <t>-LqjYFd0ykuwpQvgocYj</t>
  </si>
  <si>
    <t>1570608317831</t>
  </si>
  <si>
    <t>-LqjYHR0sN_mUCOrffxw</t>
  </si>
  <si>
    <t>1570608325051</t>
  </si>
  <si>
    <t>-LqjYJ8zszvdnN6IqzPi</t>
  </si>
  <si>
    <t>1570608332230</t>
  </si>
  <si>
    <t>-LqjYL2Ps4qjJO9NNlFb</t>
  </si>
  <si>
    <t>1570608338420</t>
  </si>
  <si>
    <t>-LqjYMyewM0Zr7rFNwgm</t>
  </si>
  <si>
    <t>1570608346702</t>
  </si>
  <si>
    <t>-LqjYOm0bYa_8W8YJHvk</t>
  </si>
  <si>
    <t>1570608354930</t>
  </si>
  <si>
    <t>-LqjYQUyS-o9rMWLJn2t</t>
  </si>
  <si>
    <t>1570608362141</t>
  </si>
  <si>
    <t>-LqjYSCxSDF78cta4C0w</t>
  </si>
  <si>
    <t>1570608369350</t>
  </si>
  <si>
    <t>-LqjYU-xMtsClLExlNJy</t>
  </si>
  <si>
    <t>1570608376560</t>
  </si>
  <si>
    <t>-LqjYVj8toiMuIJlT61r</t>
  </si>
  <si>
    <t>1570608383752</t>
  </si>
  <si>
    <t>-LqjYXHy0ylsgnjP6ign</t>
  </si>
  <si>
    <t>1570608389960</t>
  </si>
  <si>
    <t>-LqjYZ-zBpTjoa4C-hQH</t>
  </si>
  <si>
    <t>1570608397170</t>
  </si>
  <si>
    <t>-LqjYa1yORDdXx1Be2OA</t>
  </si>
  <si>
    <t>1570608405335</t>
  </si>
  <si>
    <t>-LqjYbkxt-4RvlPoFand</t>
  </si>
  <si>
    <t>1570608412631</t>
  </si>
  <si>
    <t>-LqjYdOxd3qDE9bATTsP</t>
  </si>
  <si>
    <t>1570608418812</t>
  </si>
  <si>
    <t>-LqjYf3Cwl-vxcud00hI</t>
  </si>
  <si>
    <t>1570608425990</t>
  </si>
  <si>
    <t>-LqjYgb828CIrHsfnX_z</t>
  </si>
  <si>
    <t>1570608432180</t>
  </si>
  <si>
    <t>-LqjYiK9d5uEHsWG1QZh</t>
  </si>
  <si>
    <t>1570608439430</t>
  </si>
  <si>
    <t>-LqjYkGXm2EO0Ff8ln1L</t>
  </si>
  <si>
    <t>1570608446629</t>
  </si>
  <si>
    <t>-LqjYlpxIu4EUZrCD-Sm</t>
  </si>
  <si>
    <t>1570608453831</t>
  </si>
  <si>
    <t>-LqjYncqAdcsjd7_5kDa</t>
  </si>
  <si>
    <t>1570608461050</t>
  </si>
  <si>
    <t>-LqjYpLx5cRfeaSBZo2J</t>
  </si>
  <si>
    <t>1570608468239</t>
  </si>
  <si>
    <t>-LqjYqufHWELe2PLq7qd</t>
  </si>
  <si>
    <t>1570608474421</t>
  </si>
  <si>
    <t>-LqjYsczjzigTLxTqJgz</t>
  </si>
  <si>
    <t>1570608481670</t>
  </si>
  <si>
    <t>-LqjYuQqvihWNQbyTBlG</t>
  </si>
  <si>
    <t>1570608488869</t>
  </si>
  <si>
    <t>-LqjYwE9zOyR5OQc14VI</t>
  </si>
  <si>
    <t>1570608496280</t>
  </si>
  <si>
    <t>-LqjYxwzOLkQbYSR-1RM</t>
  </si>
  <si>
    <t>1570608503302</t>
  </si>
  <si>
    <t>-LqjYzeyerTU6nlxNKbL</t>
  </si>
  <si>
    <t>1570608510479</t>
  </si>
  <si>
    <t>-LqjZ0KGTQsoqinylmxV</t>
  </si>
  <si>
    <t>1570608516670</t>
  </si>
  <si>
    <t>-LqjZ1wykTxkYtujwBvo</t>
  </si>
  <si>
    <t>1570608523910</t>
  </si>
  <si>
    <t>-LqjZ3kAWAZ03759UfAY</t>
  </si>
  <si>
    <t>1570608531120</t>
  </si>
  <si>
    <t>-LqjZ5rNbLrXIB89dauz</t>
  </si>
  <si>
    <t>1570608538309</t>
  </si>
  <si>
    <t>-LqjZ7Th1t06bSElubxp</t>
  </si>
  <si>
    <t>1570608546578</t>
  </si>
  <si>
    <t>-LqjZ9ZftHMNdxp2Xm6i</t>
  </si>
  <si>
    <t>1570608553788</t>
  </si>
  <si>
    <t>-LqjZBEu00Nzai7xMSIL</t>
  </si>
  <si>
    <t>1570608561996</t>
  </si>
  <si>
    <t>-LqjZCo5Ol0lJIyU9B4A</t>
  </si>
  <si>
    <t>1570608568177</t>
  </si>
  <si>
    <t>-LqjZEVqurMQtnO43FAQ</t>
  </si>
  <si>
    <t>1570608575428</t>
  </si>
  <si>
    <t>-LqjZGJu6jw7-eJ0sV8c</t>
  </si>
  <si>
    <t>1570608582637</t>
  </si>
  <si>
    <t>-LqjZINDsHSANm3Ibf7O</t>
  </si>
  <si>
    <t>1570608591053</t>
  </si>
  <si>
    <t>-LqjZK4JiBNWMb5GIkWb</t>
  </si>
  <si>
    <t>1570608598091</t>
  </si>
  <si>
    <t>-LqjZLrzSQMs9r_QcPO4</t>
  </si>
  <si>
    <t>1570608605311</t>
  </si>
  <si>
    <t>-LqjZN_y7OyqJZEdFweA</t>
  </si>
  <si>
    <t>1570608612530</t>
  </si>
  <si>
    <t>-LqjZPNyExW8Uj1kBNkC</t>
  </si>
  <si>
    <t>1570608619732</t>
  </si>
  <si>
    <t>-LqjZR7F_rypfZECxdpB</t>
  </si>
  <si>
    <t>1570608626962</t>
  </si>
  <si>
    <t>-LqjZStzVd_CRrDbQXSl</t>
  </si>
  <si>
    <t>1570608634162</t>
  </si>
  <si>
    <t>-LqjZU_Ut0PaiUOKHcpz</t>
  </si>
  <si>
    <t>1570608641332</t>
  </si>
  <si>
    <t>-LqjZWPzi6F2pKY8dgjh</t>
  </si>
  <si>
    <t>1570608648767</t>
  </si>
  <si>
    <t>-LqjZY8-DlMnKHGuxZ13</t>
  </si>
  <si>
    <t>1570608655761</t>
  </si>
  <si>
    <t>-LqjZZiMCFAGPOrTIMsy</t>
  </si>
  <si>
    <t>1570608661970</t>
  </si>
  <si>
    <t>-LqjZaPyhHv7bs6NbUAt</t>
  </si>
  <si>
    <t>1570608669191</t>
  </si>
  <si>
    <t>-LqjZcCzQw0jaGYoX4r5</t>
  </si>
  <si>
    <t>1570608676411</t>
  </si>
  <si>
    <t>-LqjZdw6y1grsmiUQICg</t>
  </si>
  <si>
    <t>1570608683600</t>
  </si>
  <si>
    <t>-LqjZfVACwj6vbS_lsOA</t>
  </si>
  <si>
    <t>1570608689791</t>
  </si>
  <si>
    <t>-LqjZhODExXHJX44tkki</t>
  </si>
  <si>
    <t>1570608697260</t>
  </si>
  <si>
    <t>-LqjZj-zDwxZRcPn9ZLZ</t>
  </si>
  <si>
    <t>1570608704211</t>
  </si>
  <si>
    <t>-LqjZkiz-qsCEs86pefv</t>
  </si>
  <si>
    <t>1570608711432</t>
  </si>
  <si>
    <t>-LqjZmXAi6mzihUKm3U6</t>
  </si>
  <si>
    <t>1570608718641</t>
  </si>
  <si>
    <t>-LqjZoEypamo8ETtuZrH</t>
  </si>
  <si>
    <t>1570608725831</t>
  </si>
  <si>
    <t>-LqjZpo-WXSWWby7u3Ia</t>
  </si>
  <si>
    <t>1570608732035</t>
  </si>
  <si>
    <t>-LqjZrWyFSvymfcNxT2S</t>
  </si>
  <si>
    <t>1570608739271</t>
  </si>
  <si>
    <t>-LqjZtOyyGEz_2lQnxYu</t>
  </si>
  <si>
    <t>1570608746756</t>
  </si>
  <si>
    <t>-LqjZvGnbUGF5ovkwr6R</t>
  </si>
  <si>
    <t>1570608753673</t>
  </si>
  <si>
    <t>-LqjZwq9cf9xABPyoIq2</t>
  </si>
  <si>
    <t>1570608760880</t>
  </si>
  <si>
    <t>-LqjZyYye1qrnrA9-ORX</t>
  </si>
  <si>
    <t>1570608768070</t>
  </si>
  <si>
    <t>-Lqj_-6ygpPOn7PtbGAF</t>
  </si>
  <si>
    <t>1570608774270</t>
  </si>
  <si>
    <t>-Lqj_0py8DxeqhZvFfWG</t>
  </si>
  <si>
    <t>1570608781492</t>
  </si>
  <si>
    <t>-Lqj_2czQ1HpWeCthl9F</t>
  </si>
  <si>
    <t>1570608788703</t>
  </si>
  <si>
    <t>-Lqj_4f9u_pn7xl0kR9I</t>
  </si>
  <si>
    <t>1570608797186</t>
  </si>
  <si>
    <t>-Lqj_6MsMTHQb_Wpma4v</t>
  </si>
  <si>
    <t>1570608804152</t>
  </si>
  <si>
    <t>-Lqj_84tAeGVY-Svs_Mq</t>
  </si>
  <si>
    <t>1570608811331</t>
  </si>
  <si>
    <t>-Lqj_9dkfjauaBbXiRvV</t>
  </si>
  <si>
    <t>1570608817552</t>
  </si>
  <si>
    <t>-Lqj_BglDeCAcs9TrrVv</t>
  </si>
  <si>
    <t>1570608824772</t>
  </si>
  <si>
    <t>-Lqj_DPtpiAwvRtD73Rn</t>
  </si>
  <si>
    <t>1570608832997</t>
  </si>
  <si>
    <t>-Lqj_FCzbG-q_wiFK-_-</t>
  </si>
  <si>
    <t>1570608840216</t>
  </si>
  <si>
    <t>-Lqj_Gw6Tq6qADRcc-85</t>
  </si>
  <si>
    <t>1570608847426</t>
  </si>
  <si>
    <t>-Lqj_IhzbzGIGg8MlDOz</t>
  </si>
  <si>
    <t>1570608854607</t>
  </si>
  <si>
    <t>-Lqj_KRtRfMIXJsGUS_V</t>
  </si>
  <si>
    <t>1570608861827</t>
  </si>
  <si>
    <t>-Lqj_Lvv0agddM7h1ABj</t>
  </si>
  <si>
    <t>1570608867986</t>
  </si>
  <si>
    <t>-Lqj_NZnyIZR4hdiollQ</t>
  </si>
  <si>
    <t>1570608874215</t>
  </si>
  <si>
    <t>-Lqj_PD231stWFajFlDR</t>
  </si>
  <si>
    <t>1570608881426</t>
  </si>
  <si>
    <t>-Lqj_QnD8CwCYkdFg--i</t>
  </si>
  <si>
    <t>1570608887597</t>
  </si>
  <si>
    <t>-Lqj_SVMlB-lno_BHZ2K</t>
  </si>
  <si>
    <t>1570608894786</t>
  </si>
  <si>
    <t>-Lqj_U4O8L2sCLkNLgNc</t>
  </si>
  <si>
    <t>1570608900996</t>
  </si>
  <si>
    <t>-Lqj_VltCU0FjW1t8FAT</t>
  </si>
  <si>
    <t>1570608908206</t>
  </si>
  <si>
    <t>-Lqj_XsvL6LO3upYZiI0</t>
  </si>
  <si>
    <t>1570608916831</t>
  </si>
  <si>
    <t>-Lqj_ZWyEVjuyIFl6BZI</t>
  </si>
  <si>
    <t>1570608923676</t>
  </si>
  <si>
    <t>-Lqj_aJuBKrU8Olzv2g_</t>
  </si>
  <si>
    <t>1570608930876</t>
  </si>
  <si>
    <t>-Lqj_c6tZ546dUpkoDAJ</t>
  </si>
  <si>
    <t>1570608938087</t>
  </si>
  <si>
    <t>-Lqj_dq3bBg83331wU2G</t>
  </si>
  <si>
    <t>1570608945296</t>
  </si>
  <si>
    <t>-Lqj_fcvxzoOi_A_eowg</t>
  </si>
  <si>
    <t>1570608952517</t>
  </si>
  <si>
    <t>-Lqj_hRC9q6Y8_swus9a</t>
  </si>
  <si>
    <t>1570608960134</t>
  </si>
  <si>
    <t>-Lqj_j96uNPCTAZ7Rcjs</t>
  </si>
  <si>
    <t>1570608966936</t>
  </si>
  <si>
    <t>-Lqj_krncCcvcIrOihql</t>
  </si>
  <si>
    <t>1570608974156</t>
  </si>
  <si>
    <t>-Lqj_metFnDE7Z_jX6My</t>
  </si>
  <si>
    <t>1570608981367</t>
  </si>
  <si>
    <t>-Lqj_oP2qu8c7XnRPgDI</t>
  </si>
  <si>
    <t>1570608988547</t>
  </si>
  <si>
    <t>-Lqj_pwv0Q1pB05VxaQc</t>
  </si>
  <si>
    <t>1570608994737</t>
  </si>
  <si>
    <t>-Lqj_remq10y1Iies6Tu</t>
  </si>
  <si>
    <t>1570609001985</t>
  </si>
  <si>
    <t>-Lqj_tcDgIcGU9GvpBao</t>
  </si>
  <si>
    <t>1570609010002</t>
  </si>
  <si>
    <t>-Lqj_vAu523SKlo0U1kq</t>
  </si>
  <si>
    <t>1570609016385</t>
  </si>
  <si>
    <t>-Lqj_ww30YOWiIwCONur</t>
  </si>
  <si>
    <t>1570609023663</t>
  </si>
  <si>
    <t>-Lqj_yTFonUvswjMPvZ5</t>
  </si>
  <si>
    <t>1570609029802</t>
  </si>
  <si>
    <t>-Lqj_zxBMZHV_y98b763</t>
  </si>
  <si>
    <t>1570609035972</t>
  </si>
  <si>
    <t>-Lqja0TgiHoz5n6n-J4j</t>
  </si>
  <si>
    <t>1570609042171</t>
  </si>
  <si>
    <t>-Lqja1yZJMPt2fFIpfvy</t>
  </si>
  <si>
    <t>1570609048347</t>
  </si>
  <si>
    <t>-Lqja3mq8s7eJaS0vFxf</t>
  </si>
  <si>
    <t>1570609054537</t>
  </si>
  <si>
    <t>-Lqja5W0jM5kxaDBwVDT</t>
  </si>
  <si>
    <t>1570609062783</t>
  </si>
  <si>
    <t>-Lqja6zpXZLZ0cWN6kRD</t>
  </si>
  <si>
    <t>1570609068949</t>
  </si>
  <si>
    <t>-Lqja8_5NM_jthR6ztIG</t>
  </si>
  <si>
    <t>1570609075102</t>
  </si>
  <si>
    <t>-LqjaALhtcmsVtGu3IvW</t>
  </si>
  <si>
    <t>1570609082494</t>
  </si>
  <si>
    <t>-LqjaC3q4tJ3j7Hxa7m5</t>
  </si>
  <si>
    <t>1570609089551</t>
  </si>
  <si>
    <t>-LqjaDxErtz3tQRN1rwK</t>
  </si>
  <si>
    <t>1570609096770</t>
  </si>
  <si>
    <t>-LqjaFZlgexM_pr-1lBe</t>
  </si>
  <si>
    <t>1570609103970</t>
  </si>
  <si>
    <t>-LqjaHNooc-o3_bb8c0U</t>
  </si>
  <si>
    <t>1570609111191</t>
  </si>
  <si>
    <t>-LqjaJ5rQ3LU2nFdw_I-</t>
  </si>
  <si>
    <t>1570609118402</t>
  </si>
  <si>
    <t>-LqjaKtoRXUVOrU1TOVd</t>
  </si>
  <si>
    <t>1570609125611</t>
  </si>
  <si>
    <t>-LqjaMbsQairfZdVUOBz</t>
  </si>
  <si>
    <t>1570609132820</t>
  </si>
  <si>
    <t>-LqjaOQ-GjcN6nnEZ_eL</t>
  </si>
  <si>
    <t>1570609140040</t>
  </si>
  <si>
    <t>-LqjaQHK3oVMtoFjb45B</t>
  </si>
  <si>
    <t>1570609147263</t>
  </si>
  <si>
    <t>-LqjaRw-XEO1EidAPvbX</t>
  </si>
  <si>
    <t>1570609154462</t>
  </si>
  <si>
    <t>-LqjaTdpOEpcjs6uVL4D</t>
  </si>
  <si>
    <t>1570609161661</t>
  </si>
  <si>
    <t>-LqjaVI7avdQesart3we</t>
  </si>
  <si>
    <t>1570609167850</t>
  </si>
  <si>
    <t>-LqjaWvqMwQfnwsZbFpJ</t>
  </si>
  <si>
    <t>1570609175069</t>
  </si>
  <si>
    <t>-LqjaYitbBDA9RXAg5n5</t>
  </si>
  <si>
    <t>1570609182302</t>
  </si>
  <si>
    <t>-Lqja_RqidOVCse_UFfq</t>
  </si>
  <si>
    <t>1570609189502</t>
  </si>
  <si>
    <t>-LqjabErXRY1FpwoaUEk</t>
  </si>
  <si>
    <t>1570609196712</t>
  </si>
  <si>
    <t>-LqjacwrLSJvHptZIxiP</t>
  </si>
  <si>
    <t>1570609203943</t>
  </si>
  <si>
    <t>-LqjaeXSV2RoFSqXUMpL</t>
  </si>
  <si>
    <t>1570609210099</t>
  </si>
  <si>
    <t>-LqjagEqo35-eFVqRaQe</t>
  </si>
  <si>
    <t>1570609217311</t>
  </si>
  <si>
    <t>-Lqjai1rQkwe9SdI9tkf</t>
  </si>
  <si>
    <t>1570609224530</t>
  </si>
  <si>
    <t>-LqjajkxuAOQEfgxgoDD</t>
  </si>
  <si>
    <t>1570609231746</t>
  </si>
  <si>
    <t>-LqjallaLFmxUV3OV-oQ</t>
  </si>
  <si>
    <t>1570609238951</t>
  </si>
  <si>
    <t>-LqjanWLFaSZ2dqkYWuu</t>
  </si>
  <si>
    <t>1570609247160</t>
  </si>
  <si>
    <t>-Lqjap3xb9fS7MnREJzK</t>
  </si>
  <si>
    <t>1570609253391</t>
  </si>
  <si>
    <t>-LqjaqlmQMTnPCVBuy8y</t>
  </si>
  <si>
    <t>1570609260600</t>
  </si>
  <si>
    <t>-LqjasLoDeD8Ffb4P_lt</t>
  </si>
  <si>
    <t>1570609266770</t>
  </si>
  <si>
    <t>-Lqjau3svDUlBIGtOsky</t>
  </si>
  <si>
    <t>1570609273979</t>
  </si>
  <si>
    <t>-Lqjavt6wU6btZiDKl1m</t>
  </si>
  <si>
    <t>1570609281292</t>
  </si>
  <si>
    <t>-Lqjax_oDYU9PVV1uMSQ</t>
  </si>
  <si>
    <t>1570609288380</t>
  </si>
  <si>
    <t>-Lqjb-4psc-vWgD5_W-v</t>
  </si>
  <si>
    <t>1570609298676</t>
  </si>
  <si>
    <t>-Lqjb0dp0kNdCBsf9dFs</t>
  </si>
  <si>
    <t>1570609304889</t>
  </si>
  <si>
    <t>-Lqjb2N03R9hzpLDZnIU</t>
  </si>
  <si>
    <t>1570609312119</t>
  </si>
  <si>
    <t>-Lqjb3w0AzvXU7WW7JY6</t>
  </si>
  <si>
    <t>1570609318290</t>
  </si>
  <si>
    <t>-Lqjb5dodvQuoX7HXNx1</t>
  </si>
  <si>
    <t>1570609325499</t>
  </si>
  <si>
    <t>-Lqjb7RqatI58WvLz0f-</t>
  </si>
  <si>
    <t>1570609332710</t>
  </si>
  <si>
    <t>-Lqjb9A-OL8mgNMpdX03</t>
  </si>
  <si>
    <t>1570609339899</t>
  </si>
  <si>
    <t>-LqjbAiot02CHTKruP17</t>
  </si>
  <si>
    <t>1570609346091</t>
  </si>
  <si>
    <t>-LqjbCRj6APFeuuQ1KiV</t>
  </si>
  <si>
    <t>1570609353341</t>
  </si>
  <si>
    <t>-LqjbDwLZEFGMfpEzUhn</t>
  </si>
  <si>
    <t>1570609359510</t>
  </si>
  <si>
    <t>-LqjbFaMPYzGp7TSMh9c</t>
  </si>
  <si>
    <t>1570609365692</t>
  </si>
  <si>
    <t>-LqjbHCqakE0EMSiErlJ</t>
  </si>
  <si>
    <t>1570609372869</t>
  </si>
  <si>
    <t>-LqjbIlphCXEnEp2b6i-</t>
  </si>
  <si>
    <t>1570609379051</t>
  </si>
  <si>
    <t>-LqjbKUwaNXui-7QtaVa</t>
  </si>
  <si>
    <t>1570609386299</t>
  </si>
  <si>
    <t>-LqjbMHqoWp3Kim_68kp</t>
  </si>
  <si>
    <t>1570609393510</t>
  </si>
  <si>
    <t>-LqjbO-y5e8Epyzs_r_f</t>
  </si>
  <si>
    <t>1570609400699</t>
  </si>
  <si>
    <t>-LqjbPsrvQwvgpKT5Yp4</t>
  </si>
  <si>
    <t>1570609408461</t>
  </si>
  <si>
    <t>-LqjbRWoaVDQ_EqYXZex</t>
  </si>
  <si>
    <t>1570609415131</t>
  </si>
  <si>
    <t>-LqjbTK7nJqTKVfa01Ay</t>
  </si>
  <si>
    <t>1570609422403</t>
  </si>
  <si>
    <t>-LqjbV1oG7zs9mSeU1N6</t>
  </si>
  <si>
    <t>1570609429572</t>
  </si>
  <si>
    <t>-LqjbWqwoEwogzaCBxLF</t>
  </si>
  <si>
    <t>1570609436790</t>
  </si>
  <si>
    <t>-LqjbYd-MGlXLDuwG9iL</t>
  </si>
  <si>
    <t>1570609444001</t>
  </si>
  <si>
    <t>-LqjbaMqjIcZ0Ie61SHA</t>
  </si>
  <si>
    <t>1570609451210</t>
  </si>
  <si>
    <t>-Lqjbc9xN-u2kh7eg68w</t>
  </si>
  <si>
    <t>1570609462559</t>
  </si>
  <si>
    <t>-Lqjbdu4JsQG0vn4nrnN</t>
  </si>
  <si>
    <t>1570609469759</t>
  </si>
  <si>
    <t>-LqjbffovPRL7pWpJ-Cw</t>
  </si>
  <si>
    <t>1570609477008</t>
  </si>
  <si>
    <t>-LqjbhPJ6-M5blYnKAXU</t>
  </si>
  <si>
    <t>1570609484180</t>
  </si>
  <si>
    <t>-LqjbjBo_8GK5MDY23c1</t>
  </si>
  <si>
    <t>1570609491391</t>
  </si>
  <si>
    <t>-LqjbkuVDyO7GgZehRUx</t>
  </si>
  <si>
    <t>1570609498621</t>
  </si>
  <si>
    <t>-LqjbmgRIJbnR8gCx2CG</t>
  </si>
  <si>
    <t>1570609505822</t>
  </si>
  <si>
    <t>-LqjboBquPUG2nTIwJbT</t>
  </si>
  <si>
    <t>1570609511999</t>
  </si>
  <si>
    <t>-LqjbqYKTZEmiNEBYfa1</t>
  </si>
  <si>
    <t>1570609520630</t>
  </si>
  <si>
    <t>-LqjbsFqKieBwC9TMELc</t>
  </si>
  <si>
    <t>1570609528489</t>
  </si>
  <si>
    <t>-LqjbuFKplgMW6sDRsOZ</t>
  </si>
  <si>
    <t>1570609535701</t>
  </si>
  <si>
    <t>-LqjbvztdUcpm2_-B7Gd</t>
  </si>
  <si>
    <t>1570609543949</t>
  </si>
  <si>
    <t>-LqjbxhZQhhI6Eov33Zw</t>
  </si>
  <si>
    <t>1570609551178</t>
  </si>
  <si>
    <t>-LqjbzHoAnrRtVffIlU1</t>
  </si>
  <si>
    <t>1570609557338</t>
  </si>
  <si>
    <t>-Lqjc0-zCJCOnvSh9_NZ</t>
  </si>
  <si>
    <t>1570609564539</t>
  </si>
  <si>
    <t>-Lqjc1ZnrbACoLmly04y</t>
  </si>
  <si>
    <t>1570609570729</t>
  </si>
  <si>
    <t>-Lqjc3HoNx3sJGUWhHLJ</t>
  </si>
  <si>
    <t>1570609577950</t>
  </si>
  <si>
    <t>-Lqjc53tm6N-ylgZQ9QJ</t>
  </si>
  <si>
    <t>1570609585158</t>
  </si>
  <si>
    <t>-Lqjc6npdjyhuhe4hUJ6</t>
  </si>
  <si>
    <t>1570609592381</t>
  </si>
  <si>
    <t>-Lqjc8b-1wFmweJVCUlW</t>
  </si>
  <si>
    <t>1570609599598</t>
  </si>
  <si>
    <t>-LqjcAJo5UkpDVPwnaH_</t>
  </si>
  <si>
    <t>1570609606780</t>
  </si>
  <si>
    <t>-LqjcBu24Q3Be4-2YKqd</t>
  </si>
  <si>
    <t>1570609612979</t>
  </si>
  <si>
    <t>-LqjcDcH5XIbV_tlaJ5Q</t>
  </si>
  <si>
    <t>1570609620190</t>
  </si>
  <si>
    <t>-LqjcFcpaK9dHEgS2Ax5</t>
  </si>
  <si>
    <t>1570609627400</t>
  </si>
  <si>
    <t>-LqjcHLnJVo2QKZxiGRq</t>
  </si>
  <si>
    <t>1570609635659</t>
  </si>
  <si>
    <t>-LqjcIuoOhnFnPm2DVVQ</t>
  </si>
  <si>
    <t>1570609641830</t>
  </si>
  <si>
    <t>-LqjcKcfbyQB75O2TyeV</t>
  </si>
  <si>
    <t>1570609649021</t>
  </si>
  <si>
    <t>-LqjcMBpKyByTXm6097i</t>
  </si>
  <si>
    <t>1570609655219</t>
  </si>
  <si>
    <t>-LqjcNupM5Uvsbm7br6X</t>
  </si>
  <si>
    <t>1570609662459</t>
  </si>
  <si>
    <t>-LqjcPhvkolsleeccXpI</t>
  </si>
  <si>
    <t>1570609669650</t>
  </si>
  <si>
    <t>-LqjcRPj6mMcEjEOCWlT</t>
  </si>
  <si>
    <t>1570609676860</t>
  </si>
  <si>
    <t>-LqjcTDiQUfM_lCb0LnA</t>
  </si>
  <si>
    <t>1570609684078</t>
  </si>
  <si>
    <t>-LqjcUwod589UelMEhNj</t>
  </si>
  <si>
    <t>1570609691260</t>
  </si>
  <si>
    <t>-LqjcWUjEINd-VeHjTNX</t>
  </si>
  <si>
    <t>1570609697459</t>
  </si>
  <si>
    <t>-LqjcYDvNaJQ1wWcECmc</t>
  </si>
  <si>
    <t>1570609704699</t>
  </si>
  <si>
    <t>-Lqjc_0viQucdoI4iXag</t>
  </si>
  <si>
    <t>1570609711888</t>
  </si>
  <si>
    <t>-Lqjcais_LWPUxiGgSst</t>
  </si>
  <si>
    <t>1570609719099</t>
  </si>
  <si>
    <t>-LqjccXnI6bokXk1S7Ea</t>
  </si>
  <si>
    <t>1570609726320</t>
  </si>
  <si>
    <t>-LqjceFom8uBxQ3q_AjY</t>
  </si>
  <si>
    <t>1570609733499</t>
  </si>
  <si>
    <t>-LqjcfooKUe0VjA7jQRe</t>
  </si>
  <si>
    <t>1570609739690</t>
  </si>
  <si>
    <t>-LqjchVjODpOdF3JVnIF</t>
  </si>
  <si>
    <t>1570609746939</t>
  </si>
  <si>
    <t>-Lqjcj5gn0TO_7o6Qx0V</t>
  </si>
  <si>
    <t>1570609753118</t>
  </si>
  <si>
    <t>-Lqjckp4hTRoGJCi3EW5</t>
  </si>
  <si>
    <t>1570609760319</t>
  </si>
  <si>
    <t>-Lqjcs-qlS2DTDhPp1FI</t>
  </si>
  <si>
    <t>1570609789802</t>
  </si>
  <si>
    <t>-Lqjctj0grdEbk-kgybn</t>
  </si>
  <si>
    <t>1570609796940</t>
  </si>
  <si>
    <t>-LqjcvWqN49MQ1KBu5Hm</t>
  </si>
  <si>
    <t>1570609804220</t>
  </si>
  <si>
    <t>-LqjcxK0xmSXdBhKHKV_</t>
  </si>
  <si>
    <t>1570609811361</t>
  </si>
  <si>
    <t>-Lqjcz1qUcy2CWAwQA6T</t>
  </si>
  <si>
    <t>1570609818570</t>
  </si>
  <si>
    <t>-Lqjd-pq7-BslkzeltAq</t>
  </si>
  <si>
    <t>1570609825782</t>
  </si>
  <si>
    <t>-Lqjd1Z4xrPs_ak5hX7i</t>
  </si>
  <si>
    <t>1570609833002</t>
  </si>
  <si>
    <t>-Lqjd3Lp1P10LgOTpVWU</t>
  </si>
  <si>
    <t>1570609840211</t>
  </si>
  <si>
    <t>-Lqjd53rIQ4c3JxSO1eZ</t>
  </si>
  <si>
    <t>1570609847421</t>
  </si>
  <si>
    <t>-Lqjd6rpn_C1tc7JMH1_</t>
  </si>
  <si>
    <t>1570609854631</t>
  </si>
  <si>
    <t>-Lqjd8_pJFje03e25pvU</t>
  </si>
  <si>
    <t>1570609861821</t>
  </si>
  <si>
    <t>-LqjdADx8aWl-ZJ9Ql-6</t>
  </si>
  <si>
    <t>1570609868021</t>
  </si>
  <si>
    <t>-LqjdBt5nKnU10fd3GmH</t>
  </si>
  <si>
    <t>1570609875232</t>
  </si>
  <si>
    <t>-LqjdDdkGfr94axm8pcM</t>
  </si>
  <si>
    <t>1570609882460</t>
  </si>
  <si>
    <t>-LqjdFNxK4i7tyQXZ-NN</t>
  </si>
  <si>
    <t>1570609889660</t>
  </si>
  <si>
    <t>-LqjdHAqGRECQndnz97t</t>
  </si>
  <si>
    <t>1570609896871</t>
  </si>
  <si>
    <t>-LqjdItroZM4YeVsAiwQ</t>
  </si>
  <si>
    <t>1570609904060</t>
  </si>
  <si>
    <t>-LqjdKXo4pyrcnyyc-xe</t>
  </si>
  <si>
    <t>1570609910261</t>
  </si>
  <si>
    <t>-LqjdMApNBrRG_BTkVi_</t>
  </si>
  <si>
    <t>1570609917509</t>
  </si>
  <si>
    <t>-LqjdNzEbm89Q3FiXi1i</t>
  </si>
  <si>
    <t>1570609924690</t>
  </si>
  <si>
    <t>-LqjdPgpBNgZjxGLkDLA</t>
  </si>
  <si>
    <t>1570609931908</t>
  </si>
  <si>
    <t>-LqjdRUpGuuk5e5dHy7c</t>
  </si>
  <si>
    <t>1570609939123</t>
  </si>
  <si>
    <t>-LqjdTCkOifkH7kcBJUG</t>
  </si>
  <si>
    <t>1570609946301</t>
  </si>
  <si>
    <t>-LqjdUlqxE0xtGj4sno6</t>
  </si>
  <si>
    <t>1570609952510</t>
  </si>
  <si>
    <t>-LqjdWTnFi322pHRKA06</t>
  </si>
  <si>
    <t>1570609959740</t>
  </si>
  <si>
    <t>-LqjdYMqpiIeDzEgFeMa</t>
  </si>
  <si>
    <t>1570609966931</t>
  </si>
  <si>
    <t>-Lqjd_-hbE1Gm3U0SESp</t>
  </si>
  <si>
    <t>1570609974141</t>
  </si>
  <si>
    <t>-LqjdanhMAT417SFzniF</t>
  </si>
  <si>
    <t>1570609981350</t>
  </si>
  <si>
    <t>-LqjdcWoPf7g00pj03CD</t>
  </si>
  <si>
    <t>1570609988539</t>
  </si>
  <si>
    <t>-LqjdeTqPuQNReUah3Es</t>
  </si>
  <si>
    <t>1570609994740</t>
  </si>
  <si>
    <t>-Lqjdg1qDY-GJ7UNQ0N4</t>
  </si>
  <si>
    <t>1570610003009</t>
  </si>
  <si>
    <t>-LqjdhfryrpJuXGNktKk</t>
  </si>
  <si>
    <t>1570610009173</t>
  </si>
  <si>
    <t>-LqjdjJq1KBCzKqcM-20</t>
  </si>
  <si>
    <t>1570610016380</t>
  </si>
  <si>
    <t>-LqjdlO8Ugf4c5j-M6-_</t>
  </si>
  <si>
    <t>1570610023599</t>
  </si>
  <si>
    <t>-Lqjdn7ZFb1UnE0yeLG1</t>
  </si>
  <si>
    <t>1570610031837</t>
  </si>
  <si>
    <t>-Lqjdp70AfdS1tfG2GTX</t>
  </si>
  <si>
    <t>1570610039048</t>
  </si>
  <si>
    <t>-LqjdqefZh4_BhZ5V611</t>
  </si>
  <si>
    <t>1570610046258</t>
  </si>
  <si>
    <t>-LqjdsMhNKEuMBeP6HVC</t>
  </si>
  <si>
    <t>1570610053469</t>
  </si>
  <si>
    <t>-Lqjdu9YdSKx59JBgjTI</t>
  </si>
  <si>
    <t>1570610060687</t>
  </si>
  <si>
    <t>-LqjdvsZCtNh47ux7xgi</t>
  </si>
  <si>
    <t>1570610067898</t>
  </si>
  <si>
    <t>-LqjdxgmS59VXRZsXXI8</t>
  </si>
  <si>
    <t>1570610075107</t>
  </si>
  <si>
    <t>-LqjdzOjcCneupLZKF8c</t>
  </si>
  <si>
    <t>1570610082298</t>
  </si>
  <si>
    <t>-Lqje0ClTRT6RuciHPjF</t>
  </si>
  <si>
    <t>1570610089528</t>
  </si>
  <si>
    <t>-Lqje1eTOnWC6xA4DCHS</t>
  </si>
  <si>
    <t>1570610095698</t>
  </si>
  <si>
    <t>-Lqje3dmzMujH_G30vFh</t>
  </si>
  <si>
    <t>1570610103665</t>
  </si>
  <si>
    <t>-Lqje5BiFqGKojsf3FFA</t>
  </si>
  <si>
    <t>1570610110139</t>
  </si>
  <si>
    <t>-Lqje6zrkbLp7ZWIUG6q</t>
  </si>
  <si>
    <t>1570610117347</t>
  </si>
  <si>
    <t>-Lqje8hpCIiEHfhNM0_0</t>
  </si>
  <si>
    <t>1570610124537</t>
  </si>
  <si>
    <t>-LqjeAGh3ihJ0KXHpYvG</t>
  </si>
  <si>
    <t>1570610130777</t>
  </si>
  <si>
    <t>-LqjeBzqSEpSQb7lbCNR</t>
  </si>
  <si>
    <t>1570610137956</t>
  </si>
  <si>
    <t>-LqjeDnzdl6aGBfAqA4H</t>
  </si>
  <si>
    <t>1570610145168</t>
  </si>
  <si>
    <t>-LqjeFkmuHTdmUJTA51T</t>
  </si>
  <si>
    <t>1570610153359</t>
  </si>
  <si>
    <t>-LqjeHIjkRnmM8YlgkGq</t>
  </si>
  <si>
    <t>1570610159596</t>
  </si>
  <si>
    <t>-LqjeJ0pd-lwvH1yLxD0</t>
  </si>
  <si>
    <t>1570610166777</t>
  </si>
  <si>
    <t>-LqjeKamMDWG5O35HKKt</t>
  </si>
  <si>
    <t>1570610172977</t>
  </si>
  <si>
    <t>-LqjeMIiRhIx_cXhaxjb</t>
  </si>
  <si>
    <t>1570610180217</t>
  </si>
  <si>
    <t>-LqjeNnln44hczDaAqBu</t>
  </si>
  <si>
    <t>1570610186386</t>
  </si>
  <si>
    <t>-LqjePfnq1ZwOxaZfBCX</t>
  </si>
  <si>
    <t>1570610192538</t>
  </si>
  <si>
    <t>-LqjeRNhP4SJS49RmK9f</t>
  </si>
  <si>
    <t>1570610200807</t>
  </si>
  <si>
    <t>-LqjeT77lneFPBbF7Hgy</t>
  </si>
  <si>
    <t>1570610208026</t>
  </si>
  <si>
    <t>-LqjeU_j1uE4mL4s9Ur_</t>
  </si>
  <si>
    <t>1570610214198</t>
  </si>
  <si>
    <t>-LqjeWAH_y_46Y1rGHeu</t>
  </si>
  <si>
    <t>1570610220388</t>
  </si>
  <si>
    <t>-LqjeXrP7l37GXT4gRNY</t>
  </si>
  <si>
    <t>1570610227578</t>
  </si>
  <si>
    <t>-LqjeZRykBBqcIpKJS3P</t>
  </si>
  <si>
    <t>1570610233778</t>
  </si>
  <si>
    <t>-Lqjea8ihCqiaxZmXl1_</t>
  </si>
  <si>
    <t>1570610240998</t>
  </si>
  <si>
    <t>-LqjebwhD26JLJ8trvW6</t>
  </si>
  <si>
    <t>1570610248219</t>
  </si>
  <si>
    <t>-Lqjedv6zqZfvfI2HzhA</t>
  </si>
  <si>
    <t>1570610255419</t>
  </si>
  <si>
    <t>-LqjefgkXaLOOOcy5EA8</t>
  </si>
  <si>
    <t>1570610263670</t>
  </si>
  <si>
    <t>-LqjehVoAOMI6iH08cdH</t>
  </si>
  <si>
    <t>1570610270882</t>
  </si>
  <si>
    <t>-LqjejDpj2n_8lpWr7pc</t>
  </si>
  <si>
    <t>1570610278091</t>
  </si>
  <si>
    <t>-Lqjel5oldSX8TuQcj2O</t>
  </si>
  <si>
    <t>1570610285749</t>
  </si>
  <si>
    <t>-LqjemjnK1gfsxdkC-GL</t>
  </si>
  <si>
    <t>1570610292539</t>
  </si>
  <si>
    <t>-LqjeoXpoXIpWzIc0sAY</t>
  </si>
  <si>
    <t>1570610299730</t>
  </si>
  <si>
    <t>-LqjeqFnEZ_rg8WTAOw2</t>
  </si>
  <si>
    <t>1570610306940</t>
  </si>
  <si>
    <t>-Lqjeroqzznq4pTfAwKO</t>
  </si>
  <si>
    <t>1570610313154</t>
  </si>
  <si>
    <t>-LqjetYSnjzTXE-SmOOL</t>
  </si>
  <si>
    <t>1570610320342</t>
  </si>
  <si>
    <t>-LqjevKoGeP7NBN14Ehx</t>
  </si>
  <si>
    <t>1570610327550</t>
  </si>
  <si>
    <t>-Lqjex2p8Z4OC2gbbHls</t>
  </si>
  <si>
    <t>1570610334779</t>
  </si>
  <si>
    <t>-Lqjez-Ww486UdPtuwEW</t>
  </si>
  <si>
    <t>1570610342622</t>
  </si>
  <si>
    <t>-Lqjf-Zr1q5gcAeSeH-1</t>
  </si>
  <si>
    <t>1570610349180</t>
  </si>
  <si>
    <t>-Lqjf1N0gBBF6HyYwsyH</t>
  </si>
  <si>
    <t>1570610356409</t>
  </si>
  <si>
    <t>-Lqjf35-S5z3HI-1Gn8u</t>
  </si>
  <si>
    <t>1570610363589</t>
  </si>
  <si>
    <t>-Lqjf4dndcTRF-Sh0h4U</t>
  </si>
  <si>
    <t>1570610369770</t>
  </si>
  <si>
    <t>-Lqjf6O4_M68ph0RNzEA</t>
  </si>
  <si>
    <t>1570610377019</t>
  </si>
  <si>
    <t>-Lqjf89gcsfze_wODnon</t>
  </si>
  <si>
    <t>1570610384133</t>
  </si>
  <si>
    <t>-Lqjf9spc8TAc7fj0cR8</t>
  </si>
  <si>
    <t>1570610391418</t>
  </si>
  <si>
    <t>-LqjfBRzrnmWSYObxR9S</t>
  </si>
  <si>
    <t>1570610397611</t>
  </si>
  <si>
    <t>-LqjfD9p_8HOSSesu6YN</t>
  </si>
  <si>
    <t>1570610404839</t>
  </si>
  <si>
    <t>-LqjfExnUeLrGiUexv7h</t>
  </si>
  <si>
    <t>1570610412048</t>
  </si>
  <si>
    <t>-LqjfGfokmi-DE4Osb3R</t>
  </si>
  <si>
    <t>1570610419259</t>
  </si>
  <si>
    <t>-LqjfIExt5JWpkEJ9ORd</t>
  </si>
  <si>
    <t>1570610425439</t>
  </si>
  <si>
    <t>-LqjfJyIwBXksAeM82ZM</t>
  </si>
  <si>
    <t>1570610432659</t>
  </si>
  <si>
    <t>-LqjfLl8wt5F00NhlPmz</t>
  </si>
  <si>
    <t>1570610439870</t>
  </si>
  <si>
    <t>-LqjfNRjkf0x4N9Wc5eN</t>
  </si>
  <si>
    <t>1570610447098</t>
  </si>
  <si>
    <t>-LqjfP33mkT9dR3-J1xp</t>
  </si>
  <si>
    <t>1570610453278</t>
  </si>
  <si>
    <t>-LqjfQjYNgsyBWHshkiz</t>
  </si>
  <si>
    <t>1570610460479</t>
  </si>
  <si>
    <t>-LqjfSYnZioJlOl_T5GH</t>
  </si>
  <si>
    <t>1570610467741</t>
  </si>
  <si>
    <t>-LqjfUGoX3btH6zWdwT6</t>
  </si>
  <si>
    <t>1570610474935</t>
  </si>
  <si>
    <t>-LqjfW3o8lchPLLr8Aej</t>
  </si>
  <si>
    <t>1570610482119</t>
  </si>
  <si>
    <t>-LqjfXmxyVGAFKJMHb_b</t>
  </si>
  <si>
    <t>1570610489338</t>
  </si>
  <si>
    <t>-LqjfZu2qhQyu-wPeh6X</t>
  </si>
  <si>
    <t>1570610498010</t>
  </si>
  <si>
    <t>-LqjfaZ7Kmom4hHKC0Zv</t>
  </si>
  <si>
    <t>1570610504761</t>
  </si>
  <si>
    <t>-Lqjfc625-GdudHZLBbt</t>
  </si>
  <si>
    <t>1570610510972</t>
  </si>
  <si>
    <t>-Lqjfdosbg9ZwCaTk8jD</t>
  </si>
  <si>
    <t>1570610518152</t>
  </si>
  <si>
    <t>-LqjffP5RHKkuPqTmRmX</t>
  </si>
  <si>
    <t>1570610524351</t>
  </si>
  <si>
    <t>-LqjfhBrnIufDEwEgQZn</t>
  </si>
  <si>
    <t>1570610531582</t>
  </si>
  <si>
    <t>-LqjfisbHg074vF1L5Rk</t>
  </si>
  <si>
    <t>1570610538791</t>
  </si>
  <si>
    <t>-LqjfkabAvTvyUhoOA1K</t>
  </si>
  <si>
    <t>1570610545983</t>
  </si>
  <si>
    <t>-LqjfmAqP2PyJ7otC_Yu</t>
  </si>
  <si>
    <t>1570610552172</t>
  </si>
  <si>
    <t>-LqjfntzGGsLQoRiYCeG</t>
  </si>
  <si>
    <t>1570610559402</t>
  </si>
  <si>
    <t>-Lqjfpgi5-4OmH_vsNxb</t>
  </si>
  <si>
    <t>1570610566611</t>
  </si>
  <si>
    <t>-LqjfrPqXGs1WuESWIj5</t>
  </si>
  <si>
    <t>1570610573822</t>
  </si>
  <si>
    <t>-LqjftCqUI4kPQ6J7WeQ</t>
  </si>
  <si>
    <t>1570610581042</t>
  </si>
  <si>
    <t>-Lqjfuvt5qfUgqnKjkMl</t>
  </si>
  <si>
    <t>1570610588224</t>
  </si>
  <si>
    <t>-LqjfwUqyEG3LtZnC8Ya</t>
  </si>
  <si>
    <t>1570610594411</t>
  </si>
  <si>
    <t>-LqjfyCtogPFYaLMbY6L</t>
  </si>
  <si>
    <t>1570610601661</t>
  </si>
  <si>
    <t>-Lqjg--sZol4GUk_8hQk</t>
  </si>
  <si>
    <t>1570610608851</t>
  </si>
  <si>
    <t>-Lqjg0iq_PdB8_gOaktw</t>
  </si>
  <si>
    <t>1570610616069</t>
  </si>
  <si>
    <t>-Lqjg2Wqqm6ejuMT1kxf</t>
  </si>
  <si>
    <t>1570610623290</t>
  </si>
  <si>
    <t>-Lqjg4ErkDK8DbtutV8t</t>
  </si>
  <si>
    <t>1570610630461</t>
  </si>
  <si>
    <t>-Lqjg61qCDSRsOAEX-GS</t>
  </si>
  <si>
    <t>1570610637703</t>
  </si>
  <si>
    <t>-Lqjg7lMuzLJLW3uriEc</t>
  </si>
  <si>
    <t>1570610644931</t>
  </si>
  <si>
    <t>-Lqjg9JsAjzLPvBEQBH8</t>
  </si>
  <si>
    <t>1570610651091</t>
  </si>
  <si>
    <t>-LqjgB1qNFjkx0fOft3Q</t>
  </si>
  <si>
    <t>1570610658301</t>
  </si>
  <si>
    <t>-LqjgCaqxmu7Wpi0Ofqu</t>
  </si>
  <si>
    <t>1570610664492</t>
  </si>
  <si>
    <t>-LqjgEJs8tovAJ7IhD-i</t>
  </si>
  <si>
    <t>1570610671702</t>
  </si>
  <si>
    <t>-LqjgG6sTFa4W1-x72l9</t>
  </si>
  <si>
    <t>1570610678924</t>
  </si>
  <si>
    <t>-LqjgHq1PORlgOZkMOcn</t>
  </si>
  <si>
    <t>1570610686142</t>
  </si>
  <si>
    <t>-LqjgJxQrCaLSRpZQop_</t>
  </si>
  <si>
    <t>1570610693352</t>
  </si>
  <si>
    <t>-LqjgLey9kNR-GTv8oAj</t>
  </si>
  <si>
    <t>1570610701605</t>
  </si>
  <si>
    <t>-LqjgNNq9JS-OIkPbTfV</t>
  </si>
  <si>
    <t>1570610708802</t>
  </si>
  <si>
    <t>-LqjgPB2HHCLfQSdLvZo</t>
  </si>
  <si>
    <t>1570610716011</t>
  </si>
  <si>
    <t>-LqjgQtrxW6-wyD5qRLD</t>
  </si>
  <si>
    <t>1570610723233</t>
  </si>
  <si>
    <t>-LqjgT-jKXiI1bAYv4N7</t>
  </si>
  <si>
    <t>1570610730442</t>
  </si>
  <si>
    <t>-LqjgUj1uYdnfcx7z66U</t>
  </si>
  <si>
    <t>1570610738914</t>
  </si>
  <si>
    <t>-LqjgWRqXnPVMQ2Q0LdC</t>
  </si>
  <si>
    <t>1570610745891</t>
  </si>
  <si>
    <t>-LqjgY9q35pef9XAuMMZ</t>
  </si>
  <si>
    <t>1570610753101</t>
  </si>
  <si>
    <t>-LqjgZiqrAWMdPrd84i6</t>
  </si>
  <si>
    <t>1570610759289</t>
  </si>
  <si>
    <t>-LqjgaR4dqMgIIDmo12N</t>
  </si>
  <si>
    <t>1570610766471</t>
  </si>
  <si>
    <t>-Lqjgc51NLuBmPkRspr_</t>
  </si>
  <si>
    <t>1570610772661</t>
  </si>
  <si>
    <t>-Lqjgdio2GFNesRDXxOP</t>
  </si>
  <si>
    <t>1570610779901</t>
  </si>
  <si>
    <t>-LqjgfWqJ96OzTi9DCys</t>
  </si>
  <si>
    <t>1570610787111</t>
  </si>
  <si>
    <t>-LqjghEpTcpubVgt3F9H</t>
  </si>
  <si>
    <t>1570610794300</t>
  </si>
  <si>
    <t>-LqjgjLpEChMnqfAgL-2</t>
  </si>
  <si>
    <t>1570610802806</t>
  </si>
  <si>
    <t>-Lqjgl3pxOOJ6Nv8rzgT</t>
  </si>
  <si>
    <t>1570610809770</t>
  </si>
  <si>
    <t>-LqjgmmpS2DQ4c2kOXNz</t>
  </si>
  <si>
    <t>1570610816991</t>
  </si>
  <si>
    <t>-Lqjgoa-jrCGNxMOKCig</t>
  </si>
  <si>
    <t>1570610824199</t>
  </si>
  <si>
    <t>-LqjgqHj79D3La1nx6VL</t>
  </si>
  <si>
    <t>1570610831421</t>
  </si>
  <si>
    <t>-Lqjgs5ojE1PYyYAYCRA</t>
  </si>
  <si>
    <t>1570610838631</t>
  </si>
  <si>
    <t>-LqjgtoqQx8uZNvRLpdy</t>
  </si>
  <si>
    <t>1570610845822</t>
  </si>
  <si>
    <t>-LqjgvNhbv8vZCjWy_B5</t>
  </si>
  <si>
    <t>1570610852021</t>
  </si>
  <si>
    <t>-Lqjgx34f5GGFhUbD24m</t>
  </si>
  <si>
    <t>1570610859229</t>
  </si>
  <si>
    <t>-Lqjgyep5kU2MeLuk1oA</t>
  </si>
  <si>
    <t>1570610865430</t>
  </si>
  <si>
    <t>-Lqjh-Nq5IuAvQV01MxD</t>
  </si>
  <si>
    <t>1570610872631</t>
  </si>
  <si>
    <t>-Lqjh1AobhRAbJ2bzF0t</t>
  </si>
  <si>
    <t>1570610879852</t>
  </si>
  <si>
    <t>-Lqjh2trYBneu9PL-WR8</t>
  </si>
  <si>
    <t>1570610887051</t>
  </si>
  <si>
    <t>-Lqjh4hHT2FMsO_JWIJa</t>
  </si>
  <si>
    <t>1570610894527</t>
  </si>
  <si>
    <t>-Lqjh6Ps1Rv9mCGwJtbY</t>
  </si>
  <si>
    <t>1570610901481</t>
  </si>
  <si>
    <t>-Lqjh8CpelE-26wp5l9P</t>
  </si>
  <si>
    <t>1570610908690</t>
  </si>
  <si>
    <t>-Lqjh9vqPLxZrYJeGlur</t>
  </si>
  <si>
    <t>1570610915900</t>
  </si>
  <si>
    <t>-LqjhBirKAEFUODaHTsf</t>
  </si>
  <si>
    <t>1570610923101</t>
  </si>
  <si>
    <t>-LqjhDRqimpIw-I3LOck</t>
  </si>
  <si>
    <t>1570610930301</t>
  </si>
  <si>
    <t>-LqjhF-ixs-8McWNKAUa</t>
  </si>
  <si>
    <t>1570610936490</t>
  </si>
  <si>
    <t>-LqjhGip65gdkogrzb2x</t>
  </si>
  <si>
    <t>1570610943741</t>
  </si>
  <si>
    <t>-LqjhIWqgv9ugT8yG816</t>
  </si>
  <si>
    <t>1570610950946</t>
  </si>
  <si>
    <t>-LqjhKErzmgcs9IW-Pc2</t>
  </si>
  <si>
    <t>1570610958141</t>
  </si>
  <si>
    <t>-LqjhMLgTKBel83R4ZWm</t>
  </si>
  <si>
    <t>1570610965374</t>
  </si>
  <si>
    <t>-LqjhNzrzEMXX9ic8vJH</t>
  </si>
  <si>
    <t>1570610973573</t>
  </si>
  <si>
    <t>-LqjhPYrNN6JjhBw_Ftn</t>
  </si>
  <si>
    <t>1570610979760</t>
  </si>
  <si>
    <t>-LqjhRGsss5VVa5zDCXD</t>
  </si>
  <si>
    <t>1570610986981</t>
  </si>
  <si>
    <t>-LqjhSq-8ggGdrwuL7q3</t>
  </si>
  <si>
    <t>1570610993180</t>
  </si>
  <si>
    <t>-LqjhUmty_QbWtqmce0X</t>
  </si>
  <si>
    <t>1570611000382</t>
  </si>
  <si>
    <t>-LqjhWaprdKPqoWZMFgE</t>
  </si>
  <si>
    <t>1570611007613</t>
  </si>
  <si>
    <t>-LqjhYNrGTxRKnN0GJ-Y</t>
  </si>
  <si>
    <t>1570611015851</t>
  </si>
  <si>
    <t>-Lqjh_PtYG5pVNEo_Uoj</t>
  </si>
  <si>
    <t>1570611024219</t>
  </si>
  <si>
    <t>-LqjhbPgSzwpCbOSBaxw</t>
  </si>
  <si>
    <t>1570611031303</t>
  </si>
  <si>
    <t>-Lqjhd4spP4FU9HF7T1n</t>
  </si>
  <si>
    <t>1570611039542</t>
  </si>
  <si>
    <t>-LqjhesrQQgpQ7sA-mms</t>
  </si>
  <si>
    <t>1570611046767</t>
  </si>
  <si>
    <t>-LqjhgfjsE8r-JaepZt3</t>
  </si>
  <si>
    <t>1570611053971</t>
  </si>
  <si>
    <t>-LqjhiOroB3LCCQLK0EQ</t>
  </si>
  <si>
    <t>1570611061181</t>
  </si>
  <si>
    <t>-LqjhkBpxLAadmy7f-iq</t>
  </si>
  <si>
    <t>1570611068391</t>
  </si>
  <si>
    <t>-LqjhlupoTXRBoFArx_O</t>
  </si>
  <si>
    <t>1570611075582</t>
  </si>
  <si>
    <t>-LqjhnTqPxllZkWs6KMd</t>
  </si>
  <si>
    <t>1570611081771</t>
  </si>
  <si>
    <t>-LqjhpBqgzNhHt_mwuWZ</t>
  </si>
  <si>
    <t>1570611089021</t>
  </si>
  <si>
    <t>-LqjhqfsbSLd_lo-pPfp</t>
  </si>
  <si>
    <t>1570611095200</t>
  </si>
  <si>
    <t>-LqjhsM9CwJS2QGKys9K</t>
  </si>
  <si>
    <t>1570611101341</t>
  </si>
  <si>
    <t>-Lqjhtxqx8Q-flHVcF6A</t>
  </si>
  <si>
    <t>1570611108550</t>
  </si>
  <si>
    <t>-LqjhvWzNe1VwoT2CAmY</t>
  </si>
  <si>
    <t>1570611114740</t>
  </si>
  <si>
    <t>-LqjhxEpoKx4WuoNkCnb</t>
  </si>
  <si>
    <t>1570611121980</t>
  </si>
  <si>
    <t>-Lqjhz1q-oTFLp9QGiUh</t>
  </si>
  <si>
    <t>1570611129192</t>
  </si>
  <si>
    <t>-Lqji-l-XBcTFAvBnPgH</t>
  </si>
  <si>
    <t>1570611136382</t>
  </si>
  <si>
    <t>-Lqji1Jqd5RjhNMuSIGh</t>
  </si>
  <si>
    <t>1570611142580</t>
  </si>
  <si>
    <t>-Lqji3ET8k9BxEzybmd_</t>
  </si>
  <si>
    <t>1570611149801</t>
  </si>
  <si>
    <t>-Lqji4omb8PfR2iLKsDf</t>
  </si>
  <si>
    <t>1570611157012</t>
  </si>
  <si>
    <t>-Lqji6Yr01zSNO1lyy4c</t>
  </si>
  <si>
    <t>1570611164229</t>
  </si>
  <si>
    <t>-Lqji8Lq-33lpnSKymAX</t>
  </si>
  <si>
    <t>1570611171441</t>
  </si>
  <si>
    <t>-LqjiA3oj9JYFSSvkGIL</t>
  </si>
  <si>
    <t>1570611178622</t>
  </si>
  <si>
    <t>-LqjiBcpNexL5F6ehqn7</t>
  </si>
  <si>
    <t>1570611184810</t>
  </si>
  <si>
    <t>-LqjiDLphqwT5L3PzIA0</t>
  </si>
  <si>
    <t>1570611192041</t>
  </si>
  <si>
    <t>-LqjiF8r8QdTH-1YqckA</t>
  </si>
  <si>
    <t>1570611199252</t>
  </si>
  <si>
    <t>-LqjiHAi3uKh-bdERFLq</t>
  </si>
  <si>
    <t>1570611207700</t>
  </si>
  <si>
    <t>-LqjiIssznag3TrbomQT</t>
  </si>
  <si>
    <t>1570611214712</t>
  </si>
  <si>
    <t>-LqjiKO389Y3pZ2gvff-</t>
  </si>
  <si>
    <t>1570611220870</t>
  </si>
  <si>
    <t>-LqjiLwsSYuhm3xp27vF</t>
  </si>
  <si>
    <t>1570611227033</t>
  </si>
  <si>
    <t>-LqjiNeuHo383pb220H0</t>
  </si>
  <si>
    <t>1570611234302</t>
  </si>
  <si>
    <t>-LqjiPSujlz0yK7wRn2I</t>
  </si>
  <si>
    <t>1570611241502</t>
  </si>
  <si>
    <t>-LqjiRAt4wj3X2lg21ye</t>
  </si>
  <si>
    <t>1570611248704</t>
  </si>
  <si>
    <t>-LqjiSyv9cof11l5_Q1q</t>
  </si>
  <si>
    <t>1570611255922</t>
  </si>
  <si>
    <t>-LqjiUguOs7793ExDetb</t>
  </si>
  <si>
    <t>1570611263103</t>
  </si>
  <si>
    <t>-LqjiWFt9pbYulIyadiW</t>
  </si>
  <si>
    <t>1570611269318</t>
  </si>
  <si>
    <t>-LqjiXyi0lt4OafuKL7L</t>
  </si>
  <si>
    <t>1570611276542</t>
  </si>
  <si>
    <t>-LqjiZlw0mceBYnLevfJ</t>
  </si>
  <si>
    <t>1570611283745</t>
  </si>
  <si>
    <t>-LqjiaUwECI1zeFjV0IR</t>
  </si>
  <si>
    <t>1570611290945</t>
  </si>
  <si>
    <t>-LqjicHwHbOLVuj9fRP5</t>
  </si>
  <si>
    <t>1570611298165</t>
  </si>
  <si>
    <t>-Lqjie-uk8tg0MV7DTez</t>
  </si>
  <si>
    <t>1570611305357</t>
  </si>
  <si>
    <t>-Lqjifnv4L5tAolRzuoF</t>
  </si>
  <si>
    <t>1570611312596</t>
  </si>
  <si>
    <t>-LqjihX4XSng74cI7wCR</t>
  </si>
  <si>
    <t>1570611319786</t>
  </si>
  <si>
    <t>-Lqjij69i850Axt0cnSq</t>
  </si>
  <si>
    <t>1570611325987</t>
  </si>
  <si>
    <t>-Lqjiko4qZfjhvyctpLp</t>
  </si>
  <si>
    <t>1570611333185</t>
  </si>
  <si>
    <t>-LqjimHl13JHXj3UrKhA</t>
  </si>
  <si>
    <t>1570611339376</t>
  </si>
  <si>
    <t>-Lqjinqvr2pfK9dg6q6W</t>
  </si>
  <si>
    <t>1570611345566</t>
  </si>
  <si>
    <t>-LqjipZv-ypOeIdGmU7e</t>
  </si>
  <si>
    <t>1570611352776</t>
  </si>
  <si>
    <t>-Lqjir7wVJo7GJxF9BOm</t>
  </si>
  <si>
    <t>1570611358956</t>
  </si>
  <si>
    <t>-LqjisquuGKKKygWBXrv</t>
  </si>
  <si>
    <t>1570611366147</t>
  </si>
  <si>
    <t>-LqjiuPvsUp6XVqNTavD</t>
  </si>
  <si>
    <t>1570611372337</t>
  </si>
  <si>
    <t>-Lqjiw7vhlOnniG3RLgK</t>
  </si>
  <si>
    <t>1570611379555</t>
  </si>
  <si>
    <t>-Lqjixw5CLlyxmw6f4eZ</t>
  </si>
  <si>
    <t>1570611386776</t>
  </si>
  <si>
    <t>-Lqjizdvd5tEPGpGRA1P</t>
  </si>
  <si>
    <t>1570611393985</t>
  </si>
  <si>
    <t>-Lqjj0RvcpQv0wJurhS6</t>
  </si>
  <si>
    <t>1570611401197</t>
  </si>
  <si>
    <t>-Lqjj2A4R7P9Rl3nNfwW</t>
  </si>
  <si>
    <t>1570611408386</t>
  </si>
  <si>
    <t>-Lqjj3ivb_zoIlRB9u2P</t>
  </si>
  <si>
    <t>1570611414577</t>
  </si>
  <si>
    <t>-Lqjj5Rr4Z4Xi_CwuWPW</t>
  </si>
  <si>
    <t>1570611421802</t>
  </si>
  <si>
    <t>-Lqjj7G8Gw1KBi-DlS3P</t>
  </si>
  <si>
    <t>1570611429013</t>
  </si>
  <si>
    <t>-LqjjDTTqGH57w8TaZlm</t>
  </si>
  <si>
    <t>1570611454741</t>
  </si>
  <si>
    <t>-LqjjFY7qg8joWvD3rFS</t>
  </si>
  <si>
    <t>1570611461732</t>
  </si>
  <si>
    <t>-LqjjHF15WGc6Omq-pZV</t>
  </si>
  <si>
    <t>1570611469974</t>
  </si>
  <si>
    <t>-LqjjIy1i1tcSDgFjaer</t>
  </si>
  <si>
    <t>1570611477193</t>
  </si>
  <si>
    <t>-LqjjKjeFBzdsdDdKlNB</t>
  </si>
  <si>
    <t>1570611484392</t>
  </si>
  <si>
    <t>-LqjjMSk-lCIpe9qLumv</t>
  </si>
  <si>
    <t>1570611491583</t>
  </si>
  <si>
    <t>-LqjjOFkHf4_4ctwYWL8</t>
  </si>
  <si>
    <t>1570611498812</t>
  </si>
  <si>
    <t>-LqjjQ-JlKUIiiSTV8w_</t>
  </si>
  <si>
    <t>1570611506053</t>
  </si>
  <si>
    <t>-LqjjRZ09a2WR6M__EVd</t>
  </si>
  <si>
    <t>1570611512212</t>
  </si>
  <si>
    <t>-LqjjTFkG48g9e0a4ewq</t>
  </si>
  <si>
    <t>1570611519433</t>
  </si>
  <si>
    <t>-LqjjV4-HyMHR2ocVXv8</t>
  </si>
  <si>
    <t>1570611526643</t>
  </si>
  <si>
    <t>-LqjjWlyVCVmHjOI3KBo</t>
  </si>
  <si>
    <t>1570611533833</t>
  </si>
  <si>
    <t>-LqjjYKframliQFZRhkW</t>
  </si>
  <si>
    <t>1570611540034</t>
  </si>
  <si>
    <t>-LqjjZolHXjrMeUlUwLS</t>
  </si>
  <si>
    <t>1570611546194</t>
  </si>
  <si>
    <t>-LqjjaZ0eAt9hkznxxqT</t>
  </si>
  <si>
    <t>1570611553434</t>
  </si>
  <si>
    <t>-Lqjjc6sa-V3Olu4fYl7</t>
  </si>
  <si>
    <t>1570611559614</t>
  </si>
  <si>
    <t>-Lqjjdq0Ca-4XMGb4why</t>
  </si>
  <si>
    <t>1570611566802</t>
  </si>
  <si>
    <t>-Lqjjfd0dqPYHNRpaZDF</t>
  </si>
  <si>
    <t>1570611574044</t>
  </si>
  <si>
    <t>-LqjjhLs7mt6mcjAGUAV</t>
  </si>
  <si>
    <t>1570611581252</t>
  </si>
  <si>
    <t>-Lqjjiv9WIMyClwcF0NO</t>
  </si>
  <si>
    <t>1570611587432</t>
  </si>
  <si>
    <t>-LqjjkbdoLnZWdz8Hjz7</t>
  </si>
  <si>
    <t>1570611594624</t>
  </si>
  <si>
    <t>-LqjjmC14haBEQkH4uCA</t>
  </si>
  <si>
    <t>1570611600833</t>
  </si>
  <si>
    <t>-LqjjnusFKQw6oyrh97s</t>
  </si>
  <si>
    <t>1570611608033</t>
  </si>
  <si>
    <t>-LqjjpgdoPZU8z_a3yfF</t>
  </si>
  <si>
    <t>1570611615255</t>
  </si>
  <si>
    <t>-LqjjrPodCkVONmBPB1m</t>
  </si>
  <si>
    <t>1570611622474</t>
  </si>
  <si>
    <t>-LqjjtCk8jfwBlPEz1Wh</t>
  </si>
  <si>
    <t>1570611629684</t>
  </si>
  <si>
    <t>-Lqjjux0r3YfB0L1zgHQ</t>
  </si>
  <si>
    <t>1570611636863</t>
  </si>
  <si>
    <t>-LqjjwWK9SEAlBy5Ns-i</t>
  </si>
  <si>
    <t>1570611643064</t>
  </si>
  <si>
    <t>-LqjjyE-fN0S58daEGWL</t>
  </si>
  <si>
    <t>1570611650283</t>
  </si>
  <si>
    <t>-Lqjk-19yMprszb9BuaX</t>
  </si>
  <si>
    <t>1570611657493</t>
  </si>
  <si>
    <t>-Lqjk0jsVFWHN0r9s6LZ</t>
  </si>
  <si>
    <t>1570611664702</t>
  </si>
  <si>
    <t>-Lqjk2Y164OTSH_U2Ha4</t>
  </si>
  <si>
    <t>1570611671924</t>
  </si>
  <si>
    <t>-Lqjk4Emg994p6HXs7r-</t>
  </si>
  <si>
    <t>1570611679104</t>
  </si>
  <si>
    <t>-Lqjk67uYueR2t9ycplA</t>
  </si>
  <si>
    <t>1570611685320</t>
  </si>
  <si>
    <t>-Lqjk7lugD-7AvX79g_X</t>
  </si>
  <si>
    <t>1570611693544</t>
  </si>
  <si>
    <t>-Lqjk9Ks_Ua61qHHAgO0</t>
  </si>
  <si>
    <t>1570611699734</t>
  </si>
  <si>
    <t>-LqjkB1eH2LzdkVrDPVk</t>
  </si>
  <si>
    <t>1570611706954</t>
  </si>
  <si>
    <t>-LqjkCr20VFNVq0RZ9I2</t>
  </si>
  <si>
    <t>1570611714166</t>
  </si>
  <si>
    <t>-LqjkE_2bfLFZ8ca6kDn</t>
  </si>
  <si>
    <t>1570611721355</t>
  </si>
  <si>
    <t>-LqjkGNB0V9aCxbNHAzE</t>
  </si>
  <si>
    <t>1570611728583</t>
  </si>
  <si>
    <t>-LqjkI3dWlfvC1NI_Gtz</t>
  </si>
  <si>
    <t>1570611735784</t>
  </si>
  <si>
    <t>-LqjkJe3J5QFOor2QAjR</t>
  </si>
  <si>
    <t>1570611741983</t>
  </si>
  <si>
    <t>-LqjkLN2Zz7BoPfzAQFi</t>
  </si>
  <si>
    <t>1570611749183</t>
  </si>
  <si>
    <t>-LqjkNA3jw8snD1QSVE2</t>
  </si>
  <si>
    <t>1570611756403</t>
  </si>
  <si>
    <t>-LqjkPDIzfnEliscs1r1</t>
  </si>
  <si>
    <t>1570611764799</t>
  </si>
  <si>
    <t>-LqjkRCSwhoWxMXgIopw</t>
  </si>
  <si>
    <t>1570611773043</t>
  </si>
  <si>
    <t>-LqjkSvcvOUBpTHWGukj</t>
  </si>
  <si>
    <t>1570611780101</t>
  </si>
  <si>
    <t>-LqjkUdl5UoPrRmX6EkU</t>
  </si>
  <si>
    <t>1570611787332</t>
  </si>
  <si>
    <t>-LqjkWT2s2GzzgqMNdbZ</t>
  </si>
  <si>
    <t>1570611794534</t>
  </si>
  <si>
    <t>-LqjkYB3OamjxoTKfqhw</t>
  </si>
  <si>
    <t>1570611801743</t>
  </si>
  <si>
    <t>-LqjkZjsMgDSWGgK_Xm9</t>
  </si>
  <si>
    <t>1570611807924</t>
  </si>
  <si>
    <t>-Lqjkam6BNII7JfAxVx2</t>
  </si>
  <si>
    <t>1570611815114</t>
  </si>
  <si>
    <t>-LqjkcTogdTRIF8wfJyA</t>
  </si>
  <si>
    <t>1570611823383</t>
  </si>
  <si>
    <t>-LqjkeI0nMMTp3usVZtf</t>
  </si>
  <si>
    <t>1570611830594</t>
  </si>
  <si>
    <t>-Lqjkg01egbpvN8-W255</t>
  </si>
  <si>
    <t>1570611837803</t>
  </si>
  <si>
    <t>-Lqjkho9opuc81DBMkWC</t>
  </si>
  <si>
    <t>1570611845015</t>
  </si>
  <si>
    <t>-LqjkjX1GBGoLI_5MVta</t>
  </si>
  <si>
    <t>1570611852224</t>
  </si>
  <si>
    <t>-LqjklKD7PvoaF5FF-sn</t>
  </si>
  <si>
    <t>1570611859434</t>
  </si>
  <si>
    <t>-Lqjkn21c7a2AFHG0vhh</t>
  </si>
  <si>
    <t>1570611866624</t>
  </si>
  <si>
    <t>-LqjkoX23ad8n8RDfafx</t>
  </si>
  <si>
    <t>1570611872823</t>
  </si>
  <si>
    <t>-Lqjkq51WAEVd5wKH1HD</t>
  </si>
  <si>
    <t>1570611879014</t>
  </si>
  <si>
    <t>-Lqjkro023UBDIVWnkIW</t>
  </si>
  <si>
    <t>1570611886225</t>
  </si>
  <si>
    <t>-LqjktLVcuuhJljRg15g</t>
  </si>
  <si>
    <t>1570611892413</t>
  </si>
  <si>
    <t>-Lqjkv4vioLFrHDiiFem</t>
  </si>
  <si>
    <t>1570611899593</t>
  </si>
  <si>
    <t>-Lqjkwe0l2Ik4wiLW9lH</t>
  </si>
  <si>
    <t>1570611905783</t>
  </si>
  <si>
    <t>-LqjkyLyg1bYxiV4X9We</t>
  </si>
  <si>
    <t>1570611913023</t>
  </si>
  <si>
    <t>-Lqjl-VZxGI9JUYPpC5m</t>
  </si>
  <si>
    <t>1570611920233</t>
  </si>
  <si>
    <t>-Lqjl16yDQKu50wfNkxu</t>
  </si>
  <si>
    <t>1570611928471</t>
  </si>
  <si>
    <t>-Lqjl2eaBaUHDyqfOujQ</t>
  </si>
  <si>
    <t>1570611934651</t>
  </si>
  <si>
    <t>-Lqjl4Nh8VhZXNe1IaK7</t>
  </si>
  <si>
    <t>1570611941831</t>
  </si>
  <si>
    <t>-Lqjl6AbytHtXmkRrDNd</t>
  </si>
  <si>
    <t>1570611949071</t>
  </si>
  <si>
    <t>-Lqjl7uznvanClcpbzdr</t>
  </si>
  <si>
    <t>1570611956307</t>
  </si>
  <si>
    <t>-Lqjl9TzlnZgbj6DgC4e</t>
  </si>
  <si>
    <t>1570611962470</t>
  </si>
  <si>
    <t>-LqjlBAjG6XvDXfAfy8V</t>
  </si>
  <si>
    <t>1570611969671</t>
  </si>
  <si>
    <t>-LqjlCyaFPy--WwEcJYi</t>
  </si>
  <si>
    <t>1570611976892</t>
  </si>
  <si>
    <t>-LqjlEi8YkBKI8AdE6sn</t>
  </si>
  <si>
    <t>1570611984071</t>
  </si>
  <si>
    <t>-LqjlGZjrWoiKW2W5flQ</t>
  </si>
  <si>
    <t>1570611991669</t>
  </si>
  <si>
    <t>-LqjlICjA1dmOnwLE9sR</t>
  </si>
  <si>
    <t>1570611998542</t>
  </si>
  <si>
    <t>-LqjlJmy0IZvQNkWnfOK</t>
  </si>
  <si>
    <t>1570612004711</t>
  </si>
  <si>
    <t>-LqjlLVzQkVpX-xK8zmG</t>
  </si>
  <si>
    <t>1570612011900</t>
  </si>
  <si>
    <t>-LqjlN3xxRn7UrUdqYNy</t>
  </si>
  <si>
    <t>1570612018101</t>
  </si>
  <si>
    <t>-LqjlOmyvbMYRXv3fXDw</t>
  </si>
  <si>
    <t>1570612025311</t>
  </si>
  <si>
    <t>-LqjlQ_zGYQWjjNI4hMj</t>
  </si>
  <si>
    <t>1570612032530</t>
  </si>
  <si>
    <t>-LqjlSJ8yyWcRyJ6frDz</t>
  </si>
  <si>
    <t>1570612039741</t>
  </si>
  <si>
    <t>-LqjlU6-aEf-TPdD_UaK</t>
  </si>
  <si>
    <t>1570612046951</t>
  </si>
  <si>
    <t>-LqjlVp3tvQfXuFx92NC</t>
  </si>
  <si>
    <t>1570612054141</t>
  </si>
  <si>
    <t>-LqjlXrwXKOQqkiJeHJh</t>
  </si>
  <si>
    <t>1570612062626</t>
  </si>
  <si>
    <t>-LqjlZcki7USQOaArqVA</t>
  </si>
  <si>
    <t>1570612069621</t>
  </si>
  <si>
    <t>-LqjlaLbwKHsvtIpEnV2</t>
  </si>
  <si>
    <t>1570612076841</t>
  </si>
  <si>
    <t>-Lqjlc9zNBIW5LXkenxR</t>
  </si>
  <si>
    <t>1570612084040</t>
  </si>
  <si>
    <t>-Lqjldrj1BbH67_P89MG</t>
  </si>
  <si>
    <t>1570612091261</t>
  </si>
  <si>
    <t>-Lqjlfg-O4xmoUngrHEn</t>
  </si>
  <si>
    <t>1570612098470</t>
  </si>
  <si>
    <t>-Lqjlhh3e-yHbRvfE_qC</t>
  </si>
  <si>
    <t>1570612106750</t>
  </si>
  <si>
    <t>-LqjljSF0jECL7lpKEFn</t>
  </si>
  <si>
    <t>1570612113921</t>
  </si>
  <si>
    <t>-LqjllClZZ_5kd16sIOx</t>
  </si>
  <si>
    <t>1570612121130</t>
  </si>
  <si>
    <t>-LqjlmvlaiSzHbeTVVG-</t>
  </si>
  <si>
    <t>1570612128350</t>
  </si>
  <si>
    <t>-LqjlojzO_Lo7rF_UIfM</t>
  </si>
  <si>
    <t>1570612135560</t>
  </si>
  <si>
    <t>-LqjlqUFtsxklmWcvjsV</t>
  </si>
  <si>
    <t>1570612142780</t>
  </si>
  <si>
    <t>-LqjlsEb5WMKsbvIK0lZ</t>
  </si>
  <si>
    <t>1570612149980</t>
  </si>
  <si>
    <t>-Lqjltxj3K7YKV7-KwkI</t>
  </si>
  <si>
    <t>1570612157191</t>
  </si>
  <si>
    <t>-LqjlvzaxvCf2VLOBXzS</t>
  </si>
  <si>
    <t>1570612165475</t>
  </si>
  <si>
    <t>-LqjlxiytYGXDEEGM6og</t>
  </si>
  <si>
    <t>1570612172639</t>
  </si>
  <si>
    <t>-LqjlzHzwsurBUHejMlN</t>
  </si>
  <si>
    <t>1570612178831</t>
  </si>
  <si>
    <t>-Lqjm00-eYCIOrBqJTvO</t>
  </si>
  <si>
    <t>1570612186049</t>
  </si>
  <si>
    <t>-Lqjm1_Je7gv8q9olrkO</t>
  </si>
  <si>
    <t>1570612192219</t>
  </si>
  <si>
    <t>-Lqjm3FboTvJhKbK0Ce2</t>
  </si>
  <si>
    <t>1570612199430</t>
  </si>
  <si>
    <t>-Lqjm55-_cNCud6kTpaI</t>
  </si>
  <si>
    <t>1570612206641</t>
  </si>
  <si>
    <t>-Lqjm6mloDFY5QTuS7gd</t>
  </si>
  <si>
    <t>1570612213840</t>
  </si>
  <si>
    <t>-Lqjm8N1k9cN8K0E-dx9</t>
  </si>
  <si>
    <t>1570612220033</t>
  </si>
  <si>
    <t>-LqjmA3miMJFHuHe1rCo</t>
  </si>
  <si>
    <t>1570612227274</t>
  </si>
  <si>
    <t>-LqjmBrbCj0aR-BmhZ2y</t>
  </si>
  <si>
    <t>1570612234463</t>
  </si>
  <si>
    <t>-LqjmDazBOfvqVi9xtRY</t>
  </si>
  <si>
    <t>1570612241674</t>
  </si>
  <si>
    <t>-LqjmFOztfSuKp6zPtFH</t>
  </si>
  <si>
    <t>1570612248882</t>
  </si>
  <si>
    <t>-LqjmH86Ha73vorlnrxO</t>
  </si>
  <si>
    <t>1570612256071</t>
  </si>
  <si>
    <t>-LqjmIedR5b8RyPUGzxp</t>
  </si>
  <si>
    <t>1570612262262</t>
  </si>
  <si>
    <t>-LqjmKNlpVplpHp34s6A</t>
  </si>
  <si>
    <t>1570612269512</t>
  </si>
  <si>
    <t>-LqjmMBtXMQsipcgx55G</t>
  </si>
  <si>
    <t>1570612276701</t>
  </si>
  <si>
    <t>-LqjmNtkyX1u0u2p2PeB</t>
  </si>
  <si>
    <t>1570612283914</t>
  </si>
  <si>
    <t>-LqjmPhrC2H4mrbUfQyc</t>
  </si>
  <si>
    <t>1570612291122</t>
  </si>
  <si>
    <t>-LqjmRQzF-PFtIhSN9PH</t>
  </si>
  <si>
    <t>1570612298313</t>
  </si>
  <si>
    <t>-LqjmSym-6QpmuoCo0_a</t>
  </si>
  <si>
    <t>1570612304502</t>
  </si>
  <si>
    <t>-LqjmUyyC6JZSDwvCJ0u</t>
  </si>
  <si>
    <t>1570612311752</t>
  </si>
  <si>
    <t>-LqjmWVtrZtOf0BhZ8vn</t>
  </si>
  <si>
    <t>1570612318942</t>
  </si>
  <si>
    <t>-LqjmYCk5HiPXQHhgIOI</t>
  </si>
  <si>
    <t>1570612326153</t>
  </si>
  <si>
    <t>-Lqjm_0zDOJ_GV56CXrR</t>
  </si>
  <si>
    <t>1570612333362</t>
  </si>
  <si>
    <t>-Lqjmaibavb7-tYAJbBh</t>
  </si>
  <si>
    <t>1570612340552</t>
  </si>
  <si>
    <t>-LqjmcJ-05reilS7jLAH</t>
  </si>
  <si>
    <t>1570612346763</t>
  </si>
  <si>
    <t>-Lqjme-lb_9AAkWseA8y</t>
  </si>
  <si>
    <t>1570612353963</t>
  </si>
  <si>
    <t>-Lqjmfp8U347hO9rzurl</t>
  </si>
  <si>
    <t>1570612361182</t>
  </si>
  <si>
    <t>-LqjmhWlvxxl6J4erFyX</t>
  </si>
  <si>
    <t>1570612368383</t>
  </si>
  <si>
    <t>-LqjmjFzJ3PWr7QUdrCQ</t>
  </si>
  <si>
    <t>1570612375600</t>
  </si>
  <si>
    <t>-LqjmknlV_JUquTyl7Rx</t>
  </si>
  <si>
    <t>1570612381801</t>
  </si>
  <si>
    <t>-Lqjmmad0Y7QYXDhs_vX</t>
  </si>
  <si>
    <t>1570612388993</t>
  </si>
  <si>
    <t>-LqjmoisB6kmbCV4KliP</t>
  </si>
  <si>
    <t>1570612396231</t>
  </si>
  <si>
    <t>-LqjmqNIfSpcmdI6X_e9</t>
  </si>
  <si>
    <t>1570612404451</t>
  </si>
  <si>
    <t>-Lqjms4yKTyUOMYwr3dw</t>
  </si>
  <si>
    <t>1570612411671</t>
  </si>
  <si>
    <t>-Lqjmte0JuqzyEcWqqJr</t>
  </si>
  <si>
    <t>1570612417851</t>
  </si>
  <si>
    <t>-LqjmvMyHnqCY1fYcw5Q</t>
  </si>
  <si>
    <t>1570612425031</t>
  </si>
  <si>
    <t>-Lqjmx8acoZMZPGG0gQz</t>
  </si>
  <si>
    <t>1570612432271</t>
  </si>
  <si>
    <t>-Lqjmyt-IG_JedORl5Yb</t>
  </si>
  <si>
    <t>1570612439481</t>
  </si>
  <si>
    <t>-Lqjn-RzUyjsWPWzkuD1</t>
  </si>
  <si>
    <t>1570612445663</t>
  </si>
  <si>
    <t>-Lqjn19zy_YloYpr3bft</t>
  </si>
  <si>
    <t>1570612452862</t>
  </si>
  <si>
    <t>-Lqjn2y8inICSKmhSL2r</t>
  </si>
  <si>
    <t>1570612460089</t>
  </si>
  <si>
    <t>-Lqjn4gIUpI13C25HOw3</t>
  </si>
  <si>
    <t>1570612467270</t>
  </si>
  <si>
    <t>-Lqjn6Da0yMHb0bda-Om</t>
  </si>
  <si>
    <t>1570612473461</t>
  </si>
  <si>
    <t>-Lqjn7wil6yA4bfkK5a8</t>
  </si>
  <si>
    <t>1570612480701</t>
  </si>
  <si>
    <t>-Lqjn9jGvL1vtxsGbPDr</t>
  </si>
  <si>
    <t>1570612487901</t>
  </si>
  <si>
    <t>-LqjnBRdfUPzLuBa2tox</t>
  </si>
  <si>
    <t>1570612495089</t>
  </si>
  <si>
    <t>-LqjnDFsn5a9XoA-c1rY</t>
  </si>
  <si>
    <t>1570612502331</t>
  </si>
  <si>
    <t>-LqjnEyrm6wF-nl30tOh</t>
  </si>
  <si>
    <t>1570612509510</t>
  </si>
  <si>
    <t>-LqjnGYrzYdOUhMbZNaE</t>
  </si>
  <si>
    <t>1570612515701</t>
  </si>
  <si>
    <t>-LqjnIGyARYoOKpRwRBN</t>
  </si>
  <si>
    <t>1570612522941</t>
  </si>
  <si>
    <t>-LqjnJky4l52rrLmjCIm</t>
  </si>
  <si>
    <t>1570612529111</t>
  </si>
  <si>
    <t>-LqjnLK0SEZCInfgns8n</t>
  </si>
  <si>
    <t>1570612535291</t>
  </si>
  <si>
    <t>-LqjnN0ubpJelOYbXXD9</t>
  </si>
  <si>
    <t>1570612542550</t>
  </si>
  <si>
    <t>-LqjnO_jQjJSkLccNjxh</t>
  </si>
  <si>
    <t>1570612548661</t>
  </si>
  <si>
    <t>-LqjnQJzUGdlsFbytapw</t>
  </si>
  <si>
    <t>1570612555912</t>
  </si>
  <si>
    <t>-LqjnS5uDTChfFkP1vNp</t>
  </si>
  <si>
    <t>1570612563121</t>
  </si>
  <si>
    <t>-LqjnTq-T8lzxN65aDL-</t>
  </si>
  <si>
    <t>1570612570300</t>
  </si>
  <si>
    <t>-LqjnVhX47tW0yprCLL4</t>
  </si>
  <si>
    <t>1570612576500</t>
  </si>
  <si>
    <t>-LqjnXKSiKmB13CxE_8x</t>
  </si>
  <si>
    <t>1570612584720</t>
  </si>
  <si>
    <t>-LqjnYuxTOb0olhUZ8vR</t>
  </si>
  <si>
    <t>1570612590901</t>
  </si>
  <si>
    <t>-Lqjn_b_DCnZ1MOonv_6</t>
  </si>
  <si>
    <t>1570612598158</t>
  </si>
  <si>
    <t>-LqjnbR6KI5uz9Gbk1E-</t>
  </si>
  <si>
    <t>1570612605351</t>
  </si>
  <si>
    <t>-Lqjnd7ki2wHgnmRwLQw</t>
  </si>
  <si>
    <t>1570612612540</t>
  </si>
  <si>
    <t>-Lqjnegjm35CyQZXVttU</t>
  </si>
  <si>
    <t>1570612618751</t>
  </si>
  <si>
    <t>-LqjngkQGoqVcQF4uPyW</t>
  </si>
  <si>
    <t>1570612625960</t>
  </si>
  <si>
    <t>-LqjniT-jvCQK24HCRa_</t>
  </si>
  <si>
    <t>1570612634200</t>
  </si>
  <si>
    <t>-LqjnkB5N56iz3uB581h</t>
  </si>
  <si>
    <t>1570612641411</t>
  </si>
  <si>
    <t>-LqjnlifPNcXrmwczVJj</t>
  </si>
  <si>
    <t>1570612647589</t>
  </si>
  <si>
    <t>-Lqjnnlxlg8T9qg03jDa</t>
  </si>
  <si>
    <t>1570612656072</t>
  </si>
  <si>
    <t>-LqjnpYiKGPumeKEE3ZI</t>
  </si>
  <si>
    <t>1570612663464</t>
  </si>
  <si>
    <t>-LqjnrI0Gf-YzuiB7ZhV</t>
  </si>
  <si>
    <t>1570612670262</t>
  </si>
  <si>
    <t>-Lqjnt-5kdwhgP5q8Pe3</t>
  </si>
  <si>
    <t>1570612677474</t>
  </si>
  <si>
    <t>-LqjnuTexX2P8cf6a_YE</t>
  </si>
  <si>
    <t>1570612683655</t>
  </si>
  <si>
    <t>-Lqjnw32omHnki1WiWVY</t>
  </si>
  <si>
    <t>1570612689841</t>
  </si>
  <si>
    <t>-LqjnxkX6zkZusxaTQV2</t>
  </si>
  <si>
    <t>1570612697026</t>
  </si>
  <si>
    <t>-LqjnzKxm6Oq0_fHz1wz</t>
  </si>
  <si>
    <t>1570612703233</t>
  </si>
  <si>
    <t>-Lqjo034za3sco_Z4ZDx</t>
  </si>
  <si>
    <t>1570612710456</t>
  </si>
  <si>
    <t>-Lqjo1pyNNWZDpDlxOPa</t>
  </si>
  <si>
    <t>1570612717657</t>
  </si>
  <si>
    <t>-Lqjo3_2rW94a_y-EjN1</t>
  </si>
  <si>
    <t>1570612724877</t>
  </si>
  <si>
    <t>-Lqjo5N2dPdhpb9w16ks</t>
  </si>
  <si>
    <t>1570612732087</t>
  </si>
  <si>
    <t>-Lqjo73g5gRHP0LKTp49</t>
  </si>
  <si>
    <t>1570612739274</t>
  </si>
  <si>
    <t>-Lqjo8t2waONU9dAmGg0</t>
  </si>
  <si>
    <t>1570612746515</t>
  </si>
  <si>
    <t>-LqjoAb2wNJcygfrnbG2</t>
  </si>
  <si>
    <t>1570612753746</t>
  </si>
  <si>
    <t>-LqjoCAB4ELsWWteTY-y</t>
  </si>
  <si>
    <t>1570612759906</t>
  </si>
  <si>
    <t>-LqjoDsvAkahNetlNEsG</t>
  </si>
  <si>
    <t>1570612767107</t>
  </si>
  <si>
    <t>-LqjoFg1Jzwbdh650tKE</t>
  </si>
  <si>
    <t>1570612774335</t>
  </si>
  <si>
    <t>-LqjoHOuxuzcmYRDxqAo</t>
  </si>
  <si>
    <t>1570612781515</t>
  </si>
  <si>
    <t>-LqjoIy1EjW7uoREd_yK</t>
  </si>
  <si>
    <t>1570612787706</t>
  </si>
  <si>
    <t>-LqjoKg16SzMUH3YNLyD</t>
  </si>
  <si>
    <t>1570612794956</t>
  </si>
  <si>
    <t>-LqjoMU1Oz7sqWk-e7JN</t>
  </si>
  <si>
    <t>1570612802145</t>
  </si>
  <si>
    <t>-LqjoOC44dklquqoBSWQ</t>
  </si>
  <si>
    <t>1570612809346</t>
  </si>
  <si>
    <t>-LqjoQ-3RkYPJOoe4ZLA</t>
  </si>
  <si>
    <t>1570612816576</t>
  </si>
  <si>
    <t>-LqjoRi1IpgQ933ojn5l</t>
  </si>
  <si>
    <t>1570612823754</t>
  </si>
  <si>
    <t>-LqjoTIJWavvRIeDOL99</t>
  </si>
  <si>
    <t>1570612829945</t>
  </si>
  <si>
    <t>-LqjoUztszaaEk7DYL0E</t>
  </si>
  <si>
    <t>1570612837195</t>
  </si>
  <si>
    <t>-LqjoWmwAOpaTjjsrJYS</t>
  </si>
  <si>
    <t>1570612844397</t>
  </si>
  <si>
    <t>-LqjoYX-NOPvBa-zyA-Z</t>
  </si>
  <si>
    <t>1570612851588</t>
  </si>
  <si>
    <t>-Lqjo_44WC6we2ZCCj2C</t>
  </si>
  <si>
    <t>1570612857785</t>
  </si>
  <si>
    <t>-Lqjob4gLtfAuVUoA2ZP</t>
  </si>
  <si>
    <t>1570612866274</t>
  </si>
  <si>
    <t>-Lqjod82cvTWK5XWfdSP</t>
  </si>
  <si>
    <t>1570612874658</t>
  </si>
  <si>
    <t>-LqjoepghSEod8gQFWgA</t>
  </si>
  <si>
    <t>1570612881477</t>
  </si>
  <si>
    <t>-LqjogYoy4QPa3FTSH5E</t>
  </si>
  <si>
    <t>1570612888716</t>
  </si>
  <si>
    <t>-LqjoiN2iaQXXFXh5VEh</t>
  </si>
  <si>
    <t>1570612895906</t>
  </si>
  <si>
    <t>-Lqjok52bRoDGVDvV9RM</t>
  </si>
  <si>
    <t>1570612903114</t>
  </si>
  <si>
    <t>-Lqjom72XjMHHPnfhg8S</t>
  </si>
  <si>
    <t>1570612911262</t>
  </si>
  <si>
    <t>-Lqjonv4cNJaBG9TM_KH</t>
  </si>
  <si>
    <t>1570612918577</t>
  </si>
  <si>
    <t>-Lqjopi4TYa7XvwGYlpx</t>
  </si>
  <si>
    <t>1570612925785</t>
  </si>
  <si>
    <t>-LqjorPy5leJtbnZmyg7</t>
  </si>
  <si>
    <t>1570612932995</t>
  </si>
  <si>
    <t>-Lqjot93OMKxRztdtgsK</t>
  </si>
  <si>
    <t>1570612940295</t>
  </si>
  <si>
    <t>-LqjouvqJGYGKiCtXZ2E</t>
  </si>
  <si>
    <t>1570612947426</t>
  </si>
  <si>
    <t>-Lqjowf36gtZrJlkLZ5A</t>
  </si>
  <si>
    <t>1570612954635</t>
  </si>
  <si>
    <t>-LqjoyRx1dBBmhtJWxZw</t>
  </si>
  <si>
    <t>1570612961865</t>
  </si>
  <si>
    <t>-Lqjp-AviNFNFJ82eFJk</t>
  </si>
  <si>
    <t>1570612969043</t>
  </si>
  <si>
    <t>-Lqjp0ioodHyqbC6pozG</t>
  </si>
  <si>
    <t>1570612975227</t>
  </si>
  <si>
    <t>-Lqjp2RprOdsthtfyt90</t>
  </si>
  <si>
    <t>1570612982467</t>
  </si>
  <si>
    <t>-Lqjp4G31xG1zwJHz4Or</t>
  </si>
  <si>
    <t>1570612989666</t>
  </si>
  <si>
    <t>-Lqjp5ywpopPV7RLnHQO</t>
  </si>
  <si>
    <t>1570612996875</t>
  </si>
  <si>
    <t>-Lqjp7n9dsYaW2mNknL4</t>
  </si>
  <si>
    <t>1570613004085</t>
  </si>
  <si>
    <t>-Lqjp9V56uGCoYBwv01m</t>
  </si>
  <si>
    <t>1570613011283</t>
  </si>
  <si>
    <t>-LqjpB1yPHvS-w_xktSu</t>
  </si>
  <si>
    <t>1570613017465</t>
  </si>
  <si>
    <t>-LqjpCm3ZvdEhW15uyDf</t>
  </si>
  <si>
    <t>1570613024705</t>
  </si>
  <si>
    <t>-LqjpEZ6MYkGnxFjAZ8N</t>
  </si>
  <si>
    <t>1570613031905</t>
  </si>
  <si>
    <t>-LqjpGI3aV6PuUwG2GTU</t>
  </si>
  <si>
    <t>1570613039108</t>
  </si>
  <si>
    <t>-LqjpIL9buPEX8-JqU8l</t>
  </si>
  <si>
    <t>1570613047284</t>
  </si>
  <si>
    <t>-LqjpK73awxKgiN7m-xU</t>
  </si>
  <si>
    <t>1570613054565</t>
  </si>
  <si>
    <t>-LqjpLq2ZuQlgrBbZeZ7</t>
  </si>
  <si>
    <t>1570613061776</t>
  </si>
  <si>
    <t>-LqjpNZ3YeMdB5PKUp7l</t>
  </si>
  <si>
    <t>1570613068956</t>
  </si>
  <si>
    <t>-LqjpP731HnQQsKpyZnD</t>
  </si>
  <si>
    <t>1570613075183</t>
  </si>
  <si>
    <t>-LqjpQq39jDSJGSosQcg</t>
  </si>
  <si>
    <t>1570613082395</t>
  </si>
  <si>
    <t>-LqjpSNzdy0mUMB0VatC</t>
  </si>
  <si>
    <t>1570613088536</t>
  </si>
  <si>
    <t>-LqjpU5N6S4MtALygtvb</t>
  </si>
  <si>
    <t>1570613095746</t>
  </si>
  <si>
    <t>-LqjpW-88XiBBidYFqvR</t>
  </si>
  <si>
    <t>1570613101945</t>
  </si>
  <si>
    <t>-LqjpXczfWdMugNFTUIA</t>
  </si>
  <si>
    <t>1570613110217</t>
  </si>
  <si>
    <t>-LqjpZByjhY3Y0X2hFL8</t>
  </si>
  <si>
    <t>1570613116369</t>
  </si>
  <si>
    <t>-Lqjp_uxBJ_9uaqjTQZV</t>
  </si>
  <si>
    <t>1570613123581</t>
  </si>
  <si>
    <t>-Lqjpbhx8bhBnaqdpJGm</t>
  </si>
  <si>
    <t>1570613130799</t>
  </si>
  <si>
    <t>-Lqjpdeo4Etlzd29mM2l</t>
  </si>
  <si>
    <t>1570613137989</t>
  </si>
  <si>
    <t>-LqjpfE-8CimQ6fWtHou</t>
  </si>
  <si>
    <t>1570613145221</t>
  </si>
  <si>
    <t>-Lqjpgx6d6BQs7hlyW2L</t>
  </si>
  <si>
    <t>1570613152441</t>
  </si>
  <si>
    <t>-LqjpiQyZEkt4kkjYUUH</t>
  </si>
  <si>
    <t>1570613158619</t>
  </si>
  <si>
    <t>-Lqjpk-0RkrzvtzP3kN1</t>
  </si>
  <si>
    <t>1570613164812</t>
  </si>
  <si>
    <t>-LqjplltYfUU1ovpGpx8</t>
  </si>
  <si>
    <t>1570613172011</t>
  </si>
  <si>
    <t>-LqjpnUaGVK3hqz9fHTL</t>
  </si>
  <si>
    <t>1570613179219</t>
  </si>
  <si>
    <t>-LqjppHjuzbkwlK2MZiH</t>
  </si>
  <si>
    <t>1570613186431</t>
  </si>
  <si>
    <t>-Lqjpr-bSV7fSKNH7BuH</t>
  </si>
  <si>
    <t>1570613193651</t>
  </si>
  <si>
    <t>-Lqjpsnj6j7OyRKWXZ3W</t>
  </si>
  <si>
    <t>1570613200859</t>
  </si>
  <si>
    <t>-LqjpuZLUNNX7Dmfbzie</t>
  </si>
  <si>
    <t>1570613208060</t>
  </si>
  <si>
    <t>-LqjpwL6NMNK9OKZK3HP</t>
  </si>
  <si>
    <t>1570613215279</t>
  </si>
  <si>
    <t>-Lqjpy37fABhQdvo_6Gf</t>
  </si>
  <si>
    <t>1570613222469</t>
  </si>
  <si>
    <t>-Lqjpzuh9KCjHgVQBlbh</t>
  </si>
  <si>
    <t>1570613230041</t>
  </si>
  <si>
    <t>-Lqjq0ZzyBrpnlr_1xu7</t>
  </si>
  <si>
    <t>1570613236929</t>
  </si>
  <si>
    <t>-Lqjq26bpAMP6e7Y-2Y9</t>
  </si>
  <si>
    <t>1570613243101</t>
  </si>
  <si>
    <t>-Lqjq3pbfKY8mJMi7sZs</t>
  </si>
  <si>
    <t>1570613250301</t>
  </si>
  <si>
    <t>-Lqjq5PKRvasGXQAvck0</t>
  </si>
  <si>
    <t>1570613256491</t>
  </si>
  <si>
    <t>-Lqjq76aktqtBheHiOuu</t>
  </si>
  <si>
    <t>1570613263709</t>
  </si>
  <si>
    <t>-Lqjq8uiApCD73jwEDLB</t>
  </si>
  <si>
    <t>1570613270920</t>
  </si>
  <si>
    <t>-LqjqAtC56hXHqi8q_4i</t>
  </si>
  <si>
    <t>1570613278141</t>
  </si>
  <si>
    <t>-LqjqCehdBFEY2a4lQ6R</t>
  </si>
  <si>
    <t>1570613286376</t>
  </si>
  <si>
    <t>-LqjqEOz44CWjjDdH77M</t>
  </si>
  <si>
    <t>1570613293591</t>
  </si>
  <si>
    <t>-LqjqFwqX2QxA6FOFULs</t>
  </si>
  <si>
    <t>1570613299769</t>
  </si>
  <si>
    <t>-LqjqHg4JY29_g8TsXb4</t>
  </si>
  <si>
    <t>1570613306950</t>
  </si>
  <si>
    <t>-LqjqJDaIzobQYVl_FgQ</t>
  </si>
  <si>
    <t>1570613313190</t>
  </si>
  <si>
    <t>-LqjqKwb6Of6dg6BDHDE</t>
  </si>
  <si>
    <t>1570613320380</t>
  </si>
  <si>
    <t>-LqjqMuxvp0ir9xz0wco</t>
  </si>
  <si>
    <t>1570613328183</t>
  </si>
  <si>
    <t>-LqjqOnQFAjHw1s_xCj6</t>
  </si>
  <si>
    <t>1570613334791</t>
  </si>
  <si>
    <t>-LqjqQVwaPVRqkyz-r-d</t>
  </si>
  <si>
    <t>1570613343029</t>
  </si>
  <si>
    <t>-LqjqSJvmeYL1DWtKYSO</t>
  </si>
  <si>
    <t>1570613350249</t>
  </si>
  <si>
    <t>-LqjqU0x8ij1O_p-EQU3</t>
  </si>
  <si>
    <t>1570613357460</t>
  </si>
  <si>
    <t>-LqjqVVvekjYqpEm50Uh</t>
  </si>
  <si>
    <t>1570613363659</t>
  </si>
  <si>
    <t>-LqjqXCsDd-G8r3GgtlH</t>
  </si>
  <si>
    <t>1570613370543</t>
  </si>
  <si>
    <t>-LqjqYmxxl2npQpNpWuT</t>
  </si>
  <si>
    <t>1570613377019</t>
  </si>
  <si>
    <t>-Lqjq__vCK3jpv-tFB31</t>
  </si>
  <si>
    <t>1570613384248</t>
  </si>
  <si>
    <t>-LqjqbHgZnxZUejpXzLc</t>
  </si>
  <si>
    <t>1570613391427</t>
  </si>
  <si>
    <t>-LqjqcrvSPwQ-Kz8_baV</t>
  </si>
  <si>
    <t>1570613397626</t>
  </si>
  <si>
    <t>-Lqjqe_xX8XsGu_IrVPo</t>
  </si>
  <si>
    <t>1570613404859</t>
  </si>
  <si>
    <t>-LqjqggvkZAbzOxPHOAF</t>
  </si>
  <si>
    <t>1570613413307</t>
  </si>
  <si>
    <t>-LqjqiOhe5oGtPEUS6vW</t>
  </si>
  <si>
    <t>1570613420328</t>
  </si>
  <si>
    <t>-Lqjqk6ZnSfDLeYVAn-7</t>
  </si>
  <si>
    <t>1570613427518</t>
  </si>
  <si>
    <t>-Lqjqlbwddf7oBM6SdGV</t>
  </si>
  <si>
    <t>1570613433668</t>
  </si>
  <si>
    <t>-Lqjqn9hzcN4VjsjVcby</t>
  </si>
  <si>
    <t>1570613439859</t>
  </si>
  <si>
    <t>-LqjqotvVNm6WfynUoln</t>
  </si>
  <si>
    <t>1570613447100</t>
  </si>
  <si>
    <t>-Lqjqqgwf7YY-AKfqkFl</t>
  </si>
  <si>
    <t>1570613454298</t>
  </si>
  <si>
    <t>-LqjqsPvLmdfcIRIBFzg</t>
  </si>
  <si>
    <t>1570613461498</t>
  </si>
  <si>
    <t>-LqjquCxvsl8w8rfr0Az</t>
  </si>
  <si>
    <t>1570613468728</t>
  </si>
  <si>
    <t>-LqjqvvyE1P8p-Nax-UO</t>
  </si>
  <si>
    <t>1570613475916</t>
  </si>
  <si>
    <t>-LqjqxPwiNUPOupx2YwP</t>
  </si>
  <si>
    <t>1570613482105</t>
  </si>
  <si>
    <t>-LqjqyywNAuSp7jGo9tW</t>
  </si>
  <si>
    <t>1570613488308</t>
  </si>
  <si>
    <t>-Lqjr-fzrozwbBj8V0fk</t>
  </si>
  <si>
    <t>1570613495488</t>
  </si>
  <si>
    <t>-Lqjr1G3NusMTL5PCxvm</t>
  </si>
  <si>
    <t>1570613501699</t>
  </si>
  <si>
    <t>-Lqjr3DL34qe8zs_QRbb</t>
  </si>
  <si>
    <t>1570613508878</t>
  </si>
  <si>
    <t>-Lqjr4lexK4zC-uLVaRI</t>
  </si>
  <si>
    <t>1570613516120</t>
  </si>
  <si>
    <t>-Lqjr6TgFkEB8MdnOkvc</t>
  </si>
  <si>
    <t>1570613523328</t>
  </si>
  <si>
    <t>-Lqjr8GfrZzIwtnPZp8e</t>
  </si>
  <si>
    <t>1570613530545</t>
  </si>
  <si>
    <t>-LqjrA0-nGn1hkiLxGmL</t>
  </si>
  <si>
    <t>1570613537758</t>
  </si>
  <si>
    <t>-LqjrBZxO6bIuqzF7m6Y</t>
  </si>
  <si>
    <t>1570613543939</t>
  </si>
  <si>
    <t>-LqjrDHviptwj2Z9yDze</t>
  </si>
  <si>
    <t>1570613551168</t>
  </si>
  <si>
    <t>-LqjrEqvuKNCMWM13U_m</t>
  </si>
  <si>
    <t>1570613557338</t>
  </si>
  <si>
    <t>-LqjrG_4MPm-hZsRGHia</t>
  </si>
  <si>
    <t>1570613564539</t>
  </si>
  <si>
    <t>-LqjrIazXl4aAkGmyG8c</t>
  </si>
  <si>
    <t>1570613572781</t>
  </si>
  <si>
    <t>-LqjrK51-dXCQgqthceO</t>
  </si>
  <si>
    <t>1570613578951</t>
  </si>
  <si>
    <t>-LqjrLdzQOSUTIp8ncKk</t>
  </si>
  <si>
    <t>1570613585143</t>
  </si>
  <si>
    <t>-LqjrNLq44zR9LqZBD2X</t>
  </si>
  <si>
    <t>1570613592391</t>
  </si>
  <si>
    <t>-LqjrPA0i5WTIOzTG8Bl</t>
  </si>
  <si>
    <t>1570613599581</t>
  </si>
  <si>
    <t>-LqjrQwm438uAlQYhCOE</t>
  </si>
  <si>
    <t>1570613607004</t>
  </si>
  <si>
    <t>-LqjrSejoNKRHQlJ8eUb</t>
  </si>
  <si>
    <t>1570613614002</t>
  </si>
  <si>
    <t>-LqjrUNriry_hZjD6FSw</t>
  </si>
  <si>
    <t>1570613621191</t>
  </si>
  <si>
    <t>-LqjrVyZTm0GTrbafCB_</t>
  </si>
  <si>
    <t>1570613627390</t>
  </si>
  <si>
    <t>-LqjrXetnGvyYJkrl43f</t>
  </si>
  <si>
    <t>1570613634621</t>
  </si>
  <si>
    <t>-LqjrZTyB3u7cONNL9Ck</t>
  </si>
  <si>
    <t>1570613641831</t>
  </si>
  <si>
    <t>-LqjraBzjR9lEUFL3931</t>
  </si>
  <si>
    <t>1570613649042</t>
  </si>
  <si>
    <t>-LqjrbydXuxKbwShL5rC</t>
  </si>
  <si>
    <t>1570613656242</t>
  </si>
  <si>
    <t>-LqjrdTy5JCGty-SrXVN</t>
  </si>
  <si>
    <t>1570613662434</t>
  </si>
  <si>
    <t>-LqjrfFthb-CSVjluSqW</t>
  </si>
  <si>
    <t>1570613669631</t>
  </si>
  <si>
    <t>-Lqjrgyk8R-VQmQmmrwD</t>
  </si>
  <si>
    <t>1570613676872</t>
  </si>
  <si>
    <t>-LqjrilclHkHtfHewuJ3</t>
  </si>
  <si>
    <t>1570613684062</t>
  </si>
  <si>
    <t>-LqjrkGD9uAc5tkgk9Rq</t>
  </si>
  <si>
    <t>1570613690250</t>
  </si>
  <si>
    <t>-Lqjrm3yc0RP_BPsVA8v</t>
  </si>
  <si>
    <t>1570613697452</t>
  </si>
  <si>
    <t>-Lqjrnn-NPWcSsF0WRaH</t>
  </si>
  <si>
    <t>1570613704662</t>
  </si>
  <si>
    <t>-LqjrpbFae5oiaBhBNhZ</t>
  </si>
  <si>
    <t>1570613711872</t>
  </si>
  <si>
    <t>-LqjrrHQeFCbA7aP8kSA</t>
  </si>
  <si>
    <t>1570613719112</t>
  </si>
  <si>
    <t>-Lqjrt6-FaVW0gD7y0Hp</t>
  </si>
  <si>
    <t>1570613726302</t>
  </si>
  <si>
    <t>-Lqjrv7zNxr2JYY0xryG</t>
  </si>
  <si>
    <t>1570613733512</t>
  </si>
  <si>
    <t>-LqjrwpJDYyAbEGBA04S</t>
  </si>
  <si>
    <t>1570613741751</t>
  </si>
  <si>
    <t>-LqjrydBo74PYXvEYe3p</t>
  </si>
  <si>
    <t>1570613748972</t>
  </si>
  <si>
    <t>-Lqjs-fyOe-YJ3_xmx2z</t>
  </si>
  <si>
    <t>1570613757321</t>
  </si>
  <si>
    <t>-Lqjs1OyvQyBwbOzx8Qz</t>
  </si>
  <si>
    <t>1570613764420</t>
  </si>
  <si>
    <t>-Lqjs370FAwJH4nNZTu0</t>
  </si>
  <si>
    <t>1570613771651</t>
  </si>
  <si>
    <t>-Lqjs4fyIOyLhiFnRaYg</t>
  </si>
  <si>
    <t>1570613777811</t>
  </si>
  <si>
    <t>-Lqjs6i1cDsoNuVmXubl</t>
  </si>
  <si>
    <t>1570613785033</t>
  </si>
  <si>
    <t>-Lqjs8Y0Cg4OcbhfRb2w</t>
  </si>
  <si>
    <t>1570613793271</t>
  </si>
  <si>
    <t>-LqjsADzdS_vvSa7fiX7</t>
  </si>
  <si>
    <t>1570613800483</t>
  </si>
  <si>
    <t>-LqjsCFpAZfGxk0OvSTi</t>
  </si>
  <si>
    <t>1570613807692</t>
  </si>
  <si>
    <t>-LqjsDyznXeIftk3xNch</t>
  </si>
  <si>
    <t>1570613815928</t>
  </si>
  <si>
    <t>-LqjsFfhT1xvBpL6l-pB</t>
  </si>
  <si>
    <t>1570613823119</t>
  </si>
  <si>
    <t>-LqjsHUoxtTwnm6uGQ8G</t>
  </si>
  <si>
    <t>1570613829300</t>
  </si>
  <si>
    <t>-LqjsJD5JI1_wmjdi9Qz</t>
  </si>
  <si>
    <t>1570613837539</t>
  </si>
  <si>
    <t>-LqjsKly_nYMe-S4IwrK</t>
  </si>
  <si>
    <t>1570613843748</t>
  </si>
  <si>
    <t>-LqjsMThh4wQgcXPg7nd</t>
  </si>
  <si>
    <t>1570613850938</t>
  </si>
  <si>
    <t>-LqjsNxZMf_j7C__irSg</t>
  </si>
  <si>
    <t>1570613857109</t>
  </si>
  <si>
    <t>-LqjsPXx4I_O6xODpsKm</t>
  </si>
  <si>
    <t>1570613863328</t>
  </si>
  <si>
    <t>-LqjsRFxj5c5qxu-BayU</t>
  </si>
  <si>
    <t>1570613870548</t>
  </si>
  <si>
    <t>-LqjsT-Bhn_mkeNjWlpW</t>
  </si>
  <si>
    <t>1570613876727</t>
  </si>
  <si>
    <t>-LqjsUXwr8srPXxW8Gjj</t>
  </si>
  <si>
    <t>1570613883910</t>
  </si>
  <si>
    <t>-LqjsW5wKrDs98AYym0d</t>
  </si>
  <si>
    <t>1570613890108</t>
  </si>
  <si>
    <t>-LqjsXow8d4vU_Wb9GXN</t>
  </si>
  <si>
    <t>1570613897339</t>
  </si>
  <si>
    <t>-LqjsZbwsxnfDgOnY9hi</t>
  </si>
  <si>
    <t>1570613904538</t>
  </si>
  <si>
    <t>-LqjsaL6LoPxOw8L16bS</t>
  </si>
  <si>
    <t>1570613911739</t>
  </si>
  <si>
    <t>-Lqjsc7yVUqmP3LFXSJr</t>
  </si>
  <si>
    <t>1570613918973</t>
  </si>
  <si>
    <t>-Lqjse5DA78R4cSIC0bJ</t>
  </si>
  <si>
    <t>1570613926148</t>
  </si>
  <si>
    <t>-LqjsfchlRUYjc82Dh_b</t>
  </si>
  <si>
    <t>1570613933388</t>
  </si>
  <si>
    <t>-LqjshMx7mpjWOcUxvXH</t>
  </si>
  <si>
    <t>1570613940619</t>
  </si>
  <si>
    <t>-Lqjsiuia1lu04SXKoa9</t>
  </si>
  <si>
    <t>1570613946789</t>
  </si>
  <si>
    <t>-LqjskbSVqL46WQ3UU9V</t>
  </si>
  <si>
    <t>1570613953982</t>
  </si>
  <si>
    <t>-LqjsmQgYS7Q8dFn9KVJ</t>
  </si>
  <si>
    <t>1570613961208</t>
  </si>
  <si>
    <t>-Lqjso9xbYXT6vXsm87I</t>
  </si>
  <si>
    <t>1570613968416</t>
  </si>
  <si>
    <t>-LqjsqFgjLws5iKo0P6T</t>
  </si>
  <si>
    <t>1570613977010</t>
  </si>
  <si>
    <t>-LqjsryhUEYbkPzd1gGd</t>
  </si>
  <si>
    <t>1570613983880</t>
  </si>
  <si>
    <t>-LqjstgglzMXlOj-rV-9</t>
  </si>
  <si>
    <t>1570613991098</t>
  </si>
  <si>
    <t>-LqjsvVxR0byktDSyK1E</t>
  </si>
  <si>
    <t>1570613998298</t>
  </si>
  <si>
    <t>-LqjsxCiYJQaw7Zsyunl</t>
  </si>
  <si>
    <t>1570614005498</t>
  </si>
  <si>
    <t>-Lqjsz0w24C6CKuse1M-</t>
  </si>
  <si>
    <t>1570614012728</t>
  </si>
  <si>
    <t>-Lqjt-k5jvsOX6tvxk_p</t>
  </si>
  <si>
    <t>1570614019908</t>
  </si>
  <si>
    <t>-Lqjt1Iwq8dx26VKvt1i</t>
  </si>
  <si>
    <t>1570614026100</t>
  </si>
  <si>
    <t>-Lqjt3-iY-7jst_012GX</t>
  </si>
  <si>
    <t>1570614033339</t>
  </si>
  <si>
    <t>-Lqjt5VH1kEYTgpA0zJW</t>
  </si>
  <si>
    <t>1570614040549</t>
  </si>
  <si>
    <t>-Lqjt750lQyENQL1v-XD</t>
  </si>
  <si>
    <t>1570614049824</t>
  </si>
  <si>
    <t>-Lqjt8nzYhJIh6FLE-oU</t>
  </si>
  <si>
    <t>1570614057022</t>
  </si>
  <si>
    <t>-LqjtAbTrRvST3n1gzmV</t>
  </si>
  <si>
    <t>1570614064244</t>
  </si>
  <si>
    <t>-LqjtCK-eVQVHxaBLlOq</t>
  </si>
  <si>
    <t>1570614071432</t>
  </si>
  <si>
    <t>-LqjtDt0q4Uwbob8AoPE</t>
  </si>
  <si>
    <t>1570614077632</t>
  </si>
  <si>
    <t>-LqjtFb9ldvY3PQ0RFLX</t>
  </si>
  <si>
    <t>1570614084873</t>
  </si>
  <si>
    <t>-LqjtHOzV2K9Dti136Ej</t>
  </si>
  <si>
    <t>1570614092063</t>
  </si>
  <si>
    <t>-LqjtJ715O32ulqkPmyr</t>
  </si>
  <si>
    <t>1570614099272</t>
  </si>
  <si>
    <t>-LqjtLE1eOnBlT95S-mu</t>
  </si>
  <si>
    <t>1570614107748</t>
  </si>
  <si>
    <t>-LqjtN1-yGkLuZ6CJ0Da</t>
  </si>
  <si>
    <t>1570614114732</t>
  </si>
  <si>
    <t>-LqjtOeuS2E-snlc9uSi</t>
  </si>
  <si>
    <t>1570614121942</t>
  </si>
  <si>
    <t>-LqjtQT1qA79m2WaY42L</t>
  </si>
  <si>
    <t>1570614129153</t>
  </si>
  <si>
    <t>-LqjtSB-1mYvzFhV7Jd_</t>
  </si>
  <si>
    <t>1570614136363</t>
  </si>
  <si>
    <t>-LqjtTyzD9EOxMxGhOzR</t>
  </si>
  <si>
    <t>1570614143573</t>
  </si>
  <si>
    <t>-LqjtVh-8x-T09Pe45GS</t>
  </si>
  <si>
    <t>1570614150784</t>
  </si>
  <si>
    <t>-LqjtXV-d8tNVIvYuKD1</t>
  </si>
  <si>
    <t>1570614157993</t>
  </si>
  <si>
    <t>-LqjtZCzpUOKFzXv9-XA</t>
  </si>
  <si>
    <t>1570614165201</t>
  </si>
  <si>
    <t>-Lqjt_m-zqje_Lsy1_tu</t>
  </si>
  <si>
    <t>1570614171383</t>
  </si>
  <si>
    <t>-LqjtbV-gCsKDmZmu_fz</t>
  </si>
  <si>
    <t>1570614178603</t>
  </si>
  <si>
    <t>-LqjtdHsTtZyrafByXLs</t>
  </si>
  <si>
    <t>1570614185811</t>
  </si>
  <si>
    <t>-Lqjtf06DN9-0t7ssm4_</t>
  </si>
  <si>
    <t>1570614193034</t>
  </si>
  <si>
    <t>-Lqjtgnrj_r9Gsd3sh7U</t>
  </si>
  <si>
    <t>1570614200252</t>
  </si>
  <si>
    <t>-LqjtiWzsU29fxznDIHB</t>
  </si>
  <si>
    <t>1570614207433</t>
  </si>
  <si>
    <t>-Lqjtk4zumAcUFAbdza1</t>
  </si>
  <si>
    <t>1570614213643</t>
  </si>
  <si>
    <t>-Lqjtlnzj-4gWhxM8od7</t>
  </si>
  <si>
    <t>1570614220853</t>
  </si>
  <si>
    <t>-Lqjtn_cBc0Hox8tEXLL</t>
  </si>
  <si>
    <t>1570614228063</t>
  </si>
  <si>
    <t>-LqjtpJzlwuaf8k9XAk2</t>
  </si>
  <si>
    <t>1570614235274</t>
  </si>
  <si>
    <t>-LqjtrOEeUXoKmi1b48O</t>
  </si>
  <si>
    <t>1570614242483</t>
  </si>
  <si>
    <t>-Lqjtt8zVkjyBqkNTJI1</t>
  </si>
  <si>
    <t>1570614250733</t>
  </si>
  <si>
    <t>-Lqjtus0X4BiJwIPf_BL</t>
  </si>
  <si>
    <t>1570614257943</t>
  </si>
  <si>
    <t>-LqjtwMSFgvgDF549q9v</t>
  </si>
  <si>
    <t>1570614264132</t>
  </si>
  <si>
    <t>-LqjtxuriM7nvZzp6eN-</t>
  </si>
  <si>
    <t>1570614270301</t>
  </si>
  <si>
    <t>-Lqjtzd-VLGoeqhg-Sgc</t>
  </si>
  <si>
    <t>1570614277503</t>
  </si>
  <si>
    <t>-Lqju0hWAjVG8qmt5pEC</t>
  </si>
  <si>
    <t>1570614286101</t>
  </si>
  <si>
    <t>-Lqju2T2TkddcWdIk5-P</t>
  </si>
  <si>
    <t>1570614292974</t>
  </si>
  <si>
    <t>-Lqju4AusCz_1U7C7Pv2</t>
  </si>
  <si>
    <t>1570614300183</t>
  </si>
  <si>
    <t>-Lqju5dlIO3_0od7iiHT</t>
  </si>
  <si>
    <t>1570614306313</t>
  </si>
  <si>
    <t>-Lqju7E1SziE2lLiJM37</t>
  </si>
  <si>
    <t>1570614312543</t>
  </si>
  <si>
    <t>-Lqju8vmF-rXZ7O4efen</t>
  </si>
  <si>
    <t>1570614319743</t>
  </si>
  <si>
    <t>-LqjuAk2LlTi9LMIHpPq</t>
  </si>
  <si>
    <t>1570614326974</t>
  </si>
  <si>
    <t>-LqjuCT8jmGHzB7cu-mY</t>
  </si>
  <si>
    <t>1570614334155</t>
  </si>
  <si>
    <t>-LqjuE1-L0l2dyiOpoUV</t>
  </si>
  <si>
    <t>1570614340345</t>
  </si>
  <si>
    <t>-LqjuFimpX5wB3aDKscn</t>
  </si>
  <si>
    <t>1570614347585</t>
  </si>
  <si>
    <t>-LqjuHY0999TUbhDZZp0</t>
  </si>
  <si>
    <t>1570614354793</t>
  </si>
  <si>
    <t>-LqjuJGFzHFL2HgyhTye</t>
  </si>
  <si>
    <t>1570614361983</t>
  </si>
  <si>
    <t>-LqjuL34FgypKlVM1X0Y</t>
  </si>
  <si>
    <t>1570614369218</t>
  </si>
  <si>
    <t>-LqjuMkuLk0el6tx04pB</t>
  </si>
  <si>
    <t>1570614376405</t>
  </si>
  <si>
    <t>-LqjuOMO8X-JwKO5J2mu</t>
  </si>
  <si>
    <t>1570614382584</t>
  </si>
  <si>
    <t>-LqjuQ1xWSLU0sS4Y6Uj</t>
  </si>
  <si>
    <t>1570614389833</t>
  </si>
  <si>
    <t>-LqjuRr3UiSd34DzFyx_</t>
  </si>
  <si>
    <t>1570614397034</t>
  </si>
  <si>
    <t>-LqjuT_297OuSlt89kz4</t>
  </si>
  <si>
    <t>1570614404226</t>
  </si>
  <si>
    <t>-LqjuVN8XArKEUKt90T-</t>
  </si>
  <si>
    <t>1570614411456</t>
  </si>
  <si>
    <t>-LqjuXNm5GV8p-KidmTF</t>
  </si>
  <si>
    <t>1570614419709</t>
  </si>
  <si>
    <t>-LqjuZ5d8UQGu4HnDU1u</t>
  </si>
  <si>
    <t>1570614426914</t>
  </si>
  <si>
    <t>-Lqju_tlNwB2IDacWYN5</t>
  </si>
  <si>
    <t>1570614434123</t>
  </si>
  <si>
    <t>-Lqjubd2qbY8vP-E-Dwu</t>
  </si>
  <si>
    <t>1570614441344</t>
  </si>
  <si>
    <t>-LqjudPwE7-wqpIjUwut</t>
  </si>
  <si>
    <t>1570614448554</t>
  </si>
  <si>
    <t>-Lqjuf914yeZUc_5mjDB</t>
  </si>
  <si>
    <t>1570614455752</t>
  </si>
  <si>
    <t>-Lqjuggoc0UR3ZDd1eqD</t>
  </si>
  <si>
    <t>1570614461943</t>
  </si>
  <si>
    <t>-LqjuiPw824YQ0UtE9w3</t>
  </si>
  <si>
    <t>1570614469155</t>
  </si>
  <si>
    <t>-LqjukDt7tue-GB9d_gv</t>
  </si>
  <si>
    <t>1570614476374</t>
  </si>
  <si>
    <t>-Lqjulvn3HBp8QPeyVKp</t>
  </si>
  <si>
    <t>1570614483595</t>
  </si>
  <si>
    <t>-LqjunitkYUH_S0OlFqk</t>
  </si>
  <si>
    <t>1570614490794</t>
  </si>
  <si>
    <t>-LqjupTBmjo8DJg99Km5</t>
  </si>
  <si>
    <t>1570614497983</t>
  </si>
  <si>
    <t>-LqjurEm4qTBghjqFTge</t>
  </si>
  <si>
    <t>1570614505225</t>
  </si>
  <si>
    <t>-Lqjusz1JRAJ5QxRnpqY</t>
  </si>
  <si>
    <t>1570614512453</t>
  </si>
  <si>
    <t>-Lqjuupo1RDIU35CAK6w</t>
  </si>
  <si>
    <t>1570614518614</t>
  </si>
  <si>
    <t>-LqjuwV1P6XAT1bQ6IpM</t>
  </si>
  <si>
    <t>1570614526863</t>
  </si>
  <si>
    <t>-Lqjuy1vruYRp22xgwdH</t>
  </si>
  <si>
    <t>1570614533054</t>
  </si>
  <si>
    <t>-Lqjuzkl6BIcPpDVMwmf</t>
  </si>
  <si>
    <t>1570614540233</t>
  </si>
  <si>
    <t>-Lqjv0Jk4bPHUQprgvcT</t>
  </si>
  <si>
    <t>1570614546423</t>
  </si>
  <si>
    <t>-Lqjv230xiAYWi_K-NRy</t>
  </si>
  <si>
    <t>1570614553674</t>
  </si>
  <si>
    <t>-Lqjv3pwCy2b7lhumUOU</t>
  </si>
  <si>
    <t>1570614560863</t>
  </si>
  <si>
    <t>-Lqjv5_-MFHstysN5HP5</t>
  </si>
  <si>
    <t>1570614568064</t>
  </si>
  <si>
    <t>-Lqjv7N0DP-JI75v8qGF</t>
  </si>
  <si>
    <t>1570614575285</t>
  </si>
  <si>
    <t>-Lqjv951M659qkJ5DMQi</t>
  </si>
  <si>
    <t>1570614582474</t>
  </si>
  <si>
    <t>-LqjvAe-evlFGp9aEGXZ</t>
  </si>
  <si>
    <t>1570614588664</t>
  </si>
  <si>
    <t>-LqjvCN15M1cFNhuBKJC</t>
  </si>
  <si>
    <t>1570614595904</t>
  </si>
  <si>
    <t>-LqjvEA-V0iHhbLyaGmr</t>
  </si>
  <si>
    <t>1570614603102</t>
  </si>
  <si>
    <t>-LqjvFrn2jusYT1AOxoZ</t>
  </si>
  <si>
    <t>1570614610303</t>
  </si>
  <si>
    <t>-LqjvHg1zzH1w5buXjVU</t>
  </si>
  <si>
    <t>1570614617533</t>
  </si>
  <si>
    <t>-LqjvJP1aQln_UeLkEBS</t>
  </si>
  <si>
    <t>1570614624720</t>
  </si>
  <si>
    <t>-LqjvKy-w2BEBeqNW2Zh</t>
  </si>
  <si>
    <t>1570614630903</t>
  </si>
  <si>
    <t>-LqjvMhFIy79WSr2iudS</t>
  </si>
  <si>
    <t>1570614638154</t>
  </si>
  <si>
    <t>-LqjvOSmV6wPte2LIo7-</t>
  </si>
  <si>
    <t>1570614645352</t>
  </si>
  <si>
    <t>-LqjvQH3RlIzLXv5yolA</t>
  </si>
  <si>
    <t>1570614652543</t>
  </si>
  <si>
    <t>-LqjvS-1zGysqN3e3LrE</t>
  </si>
  <si>
    <t>1570614659773</t>
  </si>
  <si>
    <t>-LqjvTgmURDe76OcEaKD</t>
  </si>
  <si>
    <t>1570614666964</t>
  </si>
  <si>
    <t>-LqjvVFlOBKFV8L2pMKD</t>
  </si>
  <si>
    <t>1570614673144</t>
  </si>
  <si>
    <t>-LqjvX--9o40Y3C6wqAp</t>
  </si>
  <si>
    <t>1570614680394</t>
  </si>
  <si>
    <t>-LqjvYn-QnugBKJzTZ7h</t>
  </si>
  <si>
    <t>1570614687594</t>
  </si>
  <si>
    <t>-Lqjv_XJhkkY0xM551bA</t>
  </si>
  <si>
    <t>1570614694784</t>
  </si>
  <si>
    <t>-Lqjvb41PCu8EF7AwP6e</t>
  </si>
  <si>
    <t>1570614700984</t>
  </si>
  <si>
    <t>-Lqjvcn1pXcnWxoTnf8K</t>
  </si>
  <si>
    <t>1570614708203</t>
  </si>
  <si>
    <t>-Lqjve_wlJJWGGOH-WxI</t>
  </si>
  <si>
    <t>1570614715416</t>
  </si>
  <si>
    <t>-LqjvgJ06yrcmymAg35B</t>
  </si>
  <si>
    <t>1570614722643</t>
  </si>
  <si>
    <t>-Lqjvi6BOc41YfCQq6R-</t>
  </si>
  <si>
    <t>1570614729844</t>
  </si>
  <si>
    <t>-Lqjvjp0ACZxIs4lzA6w</t>
  </si>
  <si>
    <t>1570614737033</t>
  </si>
  <si>
    <t>-LqjvlO0jip6fJavMrze</t>
  </si>
  <si>
    <t>1570614743223</t>
  </si>
  <si>
    <t>-LqjvnRgpk4S-9EXGG3f</t>
  </si>
  <si>
    <t>1570614750443</t>
  </si>
  <si>
    <t>-Lqjvp6zH1DWOtTx6A3O</t>
  </si>
  <si>
    <t>1570614758696</t>
  </si>
  <si>
    <t>-Lqjvqr3uCUJkq84ZVJ6</t>
  </si>
  <si>
    <t>1570614765906</t>
  </si>
  <si>
    <t>-LqjvsQCCMWxayCaAeXW</t>
  </si>
  <si>
    <t>1570614772097</t>
  </si>
  <si>
    <t>-Lqjvu6r68ZkERiZbn3f</t>
  </si>
  <si>
    <t>1570614779279</t>
  </si>
  <si>
    <t>-LqjvvzxsJ29g82WpSMX</t>
  </si>
  <si>
    <t>1570614786695</t>
  </si>
  <si>
    <t>-Lqjvxcqq-BCRY-qkPLb</t>
  </si>
  <si>
    <t>1570614793713</t>
  </si>
  <si>
    <t>-LqjvzD3lJkNK9Q22bSd</t>
  </si>
  <si>
    <t>1570614799915</t>
  </si>
  <si>
    <t>-Lqjw-w2A9LXXwG0uyiG</t>
  </si>
  <si>
    <t>1570614807106</t>
  </si>
  <si>
    <t>-Lqjw1hx9KnSS4LYm3Ne</t>
  </si>
  <si>
    <t>1570614814345</t>
  </si>
  <si>
    <t>-Lqjw3S3uwKSffXfth5v</t>
  </si>
  <si>
    <t>1570614821516</t>
  </si>
  <si>
    <t>-Lqjw503aVCdhZImGUda</t>
  </si>
  <si>
    <t>1570614827705</t>
  </si>
  <si>
    <t>-Lqjw6hps1LV25W7VZAN</t>
  </si>
  <si>
    <t>1570614834955</t>
  </si>
  <si>
    <t>-Lqjw8l3-pTBh6V65BON</t>
  </si>
  <si>
    <t>1570614843302</t>
  </si>
  <si>
    <t>-LqjwAT79XE_Ruuiobdn</t>
  </si>
  <si>
    <t>1570614850399</t>
  </si>
  <si>
    <t>-LqjwC0nKOQ00EB7hiiY</t>
  </si>
  <si>
    <t>1570614856576</t>
  </si>
  <si>
    <t>-LqjwE7qfRz35lZYQxW5</t>
  </si>
  <si>
    <t>1570614865189</t>
  </si>
  <si>
    <t>-LqjwFn2rMiheAftcFf2</t>
  </si>
  <si>
    <t>1570614872025</t>
  </si>
  <si>
    <t>-LqjwHZyTigewZxRSLqo</t>
  </si>
  <si>
    <t>1570614879245</t>
  </si>
  <si>
    <t>-LqjwJOV09U0mFwKzz_4</t>
  </si>
  <si>
    <t>1570614886465</t>
  </si>
  <si>
    <t>-LqjwLNi2hHichisduP0</t>
  </si>
  <si>
    <t>1570614893666</t>
  </si>
  <si>
    <t>-LqjwN33Ns1CD5VQRm-e</t>
  </si>
  <si>
    <t>1570614901908</t>
  </si>
  <si>
    <t>-LqjwOc37vcQjsfN9fWo</t>
  </si>
  <si>
    <t>1570614908096</t>
  </si>
  <si>
    <t>-LqjwQL3K1X9iWQ2q4kz</t>
  </si>
  <si>
    <t>1570614915276</t>
  </si>
  <si>
    <t>-LqjwRt7eHlqUbhoVFof</t>
  </si>
  <si>
    <t>1570614921465</t>
  </si>
  <si>
    <t>-LqjwTc39RilF75jkfR9</t>
  </si>
  <si>
    <t>1570614928705</t>
  </si>
  <si>
    <t>-LqjwVQ38B_icqdMUxYP</t>
  </si>
  <si>
    <t>1570614935907</t>
  </si>
  <si>
    <t>-LqjwX83Sr87XgLLG0XK</t>
  </si>
  <si>
    <t>1570614943108</t>
  </si>
  <si>
    <t>-LqjwYwXou21hnPoo8Tj</t>
  </si>
  <si>
    <t>1570614950335</t>
  </si>
  <si>
    <t>-Lqjw_czHonjH6zdaYxj</t>
  </si>
  <si>
    <t>1570614957517</t>
  </si>
  <si>
    <t>-LqjwbCwM1hePej9y-lk</t>
  </si>
  <si>
    <t>1570614963706</t>
  </si>
  <si>
    <t>-Lqjwcw4NSr4tvx1uivR</t>
  </si>
  <si>
    <t>1570614970946</t>
  </si>
  <si>
    <t>-Lqjwej2w3RRUb9p1C-4</t>
  </si>
  <si>
    <t>1570614978146</t>
  </si>
  <si>
    <t>-LqjwgQn31B-K6f2oFxV</t>
  </si>
  <si>
    <t>1570614985347</t>
  </si>
  <si>
    <t>-LqjwiU-6YfiKa-u0PZi</t>
  </si>
  <si>
    <t>1570614993561</t>
  </si>
  <si>
    <t>-LqjwjzDqn4f6tSsrugJ</t>
  </si>
  <si>
    <t>1570614999761</t>
  </si>
  <si>
    <t>-LqjwlX1FtdWuRRgkMBX</t>
  </si>
  <si>
    <t>1570615005944</t>
  </si>
  <si>
    <t>-LqjwnF-Hrs1wksb7saC</t>
  </si>
  <si>
    <t>1570615013183</t>
  </si>
  <si>
    <t>-LqjwoxtMOtzgqpUj2Gx</t>
  </si>
  <si>
    <t>1570615020392</t>
  </si>
  <si>
    <t>-LqjwqVkmbr1HM32FFoZ</t>
  </si>
  <si>
    <t>1570615026575</t>
  </si>
  <si>
    <t>-LqjwsIbC5aX0oqOa5hk</t>
  </si>
  <si>
    <t>1570615033782</t>
  </si>
  <si>
    <t>-Lqjwu1Et0aGh8i1POJu</t>
  </si>
  <si>
    <t>1570615040993</t>
  </si>
  <si>
    <t>-LqjwvolZo6yokkhzOHs</t>
  </si>
  <si>
    <t>1570615048203</t>
  </si>
  <si>
    <t>-LqjwxZ-X6EDBn3ZHgeZ</t>
  </si>
  <si>
    <t>1570615055438</t>
  </si>
  <si>
    <t>-LqjwzKmS4_3bRCtGrRk</t>
  </si>
  <si>
    <t>1570615062622</t>
  </si>
  <si>
    <t>-Lqjx02l8fzAg07SwhvI</t>
  </si>
  <si>
    <t>1570615069823</t>
  </si>
  <si>
    <t>-Lqjx1s1jAZt7xmFGq31</t>
  </si>
  <si>
    <t>1570615077052</t>
  </si>
  <si>
    <t>-Lqjx3a1R6h9h8BrZB8l</t>
  </si>
  <si>
    <t>1570615084234</t>
  </si>
  <si>
    <t>-Lqjx57kJX0_b2yNbZ6R</t>
  </si>
  <si>
    <t>1570615090433</t>
  </si>
  <si>
    <t>-Lqjx6s0YCxw5nBkdULu</t>
  </si>
  <si>
    <t>1570615097664</t>
  </si>
  <si>
    <t>-Lqjx8esafVU48qUWBQL</t>
  </si>
  <si>
    <t>1570615104872</t>
  </si>
  <si>
    <t>-LqjxAMnsA_2uhzTtmq2</t>
  </si>
  <si>
    <t>1570615112062</t>
  </si>
  <si>
    <t>-LqjxCC7Rw973iQbXWsM</t>
  </si>
  <si>
    <t>1570615119293</t>
  </si>
  <si>
    <t>-LqjxDskOLi2kjvt1Kim</t>
  </si>
  <si>
    <t>1570615126476</t>
  </si>
  <si>
    <t>-LqjxFRlXvOU-sLoHHbr</t>
  </si>
  <si>
    <t>1570615132664</t>
  </si>
  <si>
    <t>-LqjxHDCTA30vEO7hL0S</t>
  </si>
  <si>
    <t>1570615139905</t>
  </si>
  <si>
    <t>-LqjxIt_GVHsM9WkKGxs</t>
  </si>
  <si>
    <t>1570615147114</t>
  </si>
  <si>
    <t>-LqjxKSFIlkWK9l71DgX</t>
  </si>
  <si>
    <t>1570615153294</t>
  </si>
  <si>
    <t>-LqjxMEn8CqbrbXXXxCZ</t>
  </si>
  <si>
    <t>1570615160504</t>
  </si>
  <si>
    <t>-LqjxNxnxEalgea_N7kl</t>
  </si>
  <si>
    <t>1570615167721</t>
  </si>
  <si>
    <t>-LqjxPkkw8yqYWkG1564</t>
  </si>
  <si>
    <t>1570615174925</t>
  </si>
  <si>
    <t>-LqjxRG0IOApCzqx-yKf</t>
  </si>
  <si>
    <t>1570615181112</t>
  </si>
  <si>
    <t>-LqjxT1losZh2OQqbf0d</t>
  </si>
  <si>
    <t>1570615188324</t>
  </si>
  <si>
    <t>-LqjxUkvr_-mQoOPefKs</t>
  </si>
  <si>
    <t>1570615195535</t>
  </si>
  <si>
    <t>-LqjxW_1S8JnmBVtb-dX</t>
  </si>
  <si>
    <t>1570615202743</t>
  </si>
  <si>
    <t>-LqjxYGm2w6FIZ-fC3yl</t>
  </si>
  <si>
    <t>1570615209964</t>
  </si>
  <si>
    <t>-Lqjx_3lk1qfW3zbQ10s</t>
  </si>
  <si>
    <t>1570615217173</t>
  </si>
  <si>
    <t>-Lqjxb6u3ZUysJ2BFXoI</t>
  </si>
  <si>
    <t>1570615224388</t>
  </si>
  <si>
    <t>-LqjxcomLopcMLVIctVI</t>
  </si>
  <si>
    <t>1570615232635</t>
  </si>
  <si>
    <t>-Lqjxed2WmplurLfDr8K</t>
  </si>
  <si>
    <t>1570615239844</t>
  </si>
  <si>
    <t>-LqjxgM2Fu_WY1wz12q4</t>
  </si>
  <si>
    <t>1570615247017</t>
  </si>
  <si>
    <t>-Lqjxi91i4RgJsJ9_DKE</t>
  </si>
  <si>
    <t>1570615254264</t>
  </si>
  <si>
    <t>-LqjxjqoLPiALkHYMhxY</t>
  </si>
  <si>
    <t>1570615261484</t>
  </si>
  <si>
    <t>-LqjxllM284GCktOri9D</t>
  </si>
  <si>
    <t>1570615267679</t>
  </si>
  <si>
    <t>-LqjxnO2MzseJEVuiDo2</t>
  </si>
  <si>
    <t>1570615275913</t>
  </si>
  <si>
    <t>-LqjxpBCcIa3En0LrEYV</t>
  </si>
  <si>
    <t>1570615283115</t>
  </si>
  <si>
    <t>-Lqjxr45mnW4kL1zKjEt</t>
  </si>
  <si>
    <t>1570615290304</t>
  </si>
  <si>
    <t>-Lqjxsh37XjRbzEgHYRR</t>
  </si>
  <si>
    <t>1570615297545</t>
  </si>
  <si>
    <t>-LqjxuOfz707b5g_qR6F</t>
  </si>
  <si>
    <t>1570615304775</t>
  </si>
  <si>
    <t>-LqjxwIVGj70trFsN8gb</t>
  </si>
  <si>
    <t>1570615310905</t>
  </si>
  <si>
    <t>-Lqjxxw0oNfdnmZBb-o1</t>
  </si>
  <si>
    <t>1570615319174</t>
  </si>
  <si>
    <t>-LqjxzV0WrOZyFS7IaQm</t>
  </si>
  <si>
    <t>1570615325354</t>
  </si>
  <si>
    <t>-Lqjy0DIb2g3RudKtTt8</t>
  </si>
  <si>
    <t>1570615332544</t>
  </si>
  <si>
    <t>-Lqjy200hOFqMpC21o2E</t>
  </si>
  <si>
    <t>1570615339787</t>
  </si>
  <si>
    <t>-Lqjy3ozcCoQAg9AQicP</t>
  </si>
  <si>
    <t>1570615346965</t>
  </si>
  <si>
    <t>-Lqjy5X0omJcGFRutVRQ</t>
  </si>
  <si>
    <t>1570615354205</t>
  </si>
  <si>
    <t>-Lqjy7EvFgi4X-tvvuc3</t>
  </si>
  <si>
    <t>1570615361417</t>
  </si>
  <si>
    <t>-Lqjy8oBu7yUegSXq10y</t>
  </si>
  <si>
    <t>1570615367577</t>
  </si>
  <si>
    <t>-LqjyAXVuTGkazyft2oN</t>
  </si>
  <si>
    <t>1570615374793</t>
  </si>
  <si>
    <t>-LqjyC4-_tzCELBHjAai</t>
  </si>
  <si>
    <t>1570615380984</t>
  </si>
  <si>
    <t>-LqjyDnvxSOg2OuTj5qI</t>
  </si>
  <si>
    <t>1570615388205</t>
  </si>
  <si>
    <t>-LqjyF_lfqDZcWfcBWuB</t>
  </si>
  <si>
    <t>1570615395414</t>
  </si>
  <si>
    <t>-LqjyHIdcGrIY-IsO2y4</t>
  </si>
  <si>
    <t>1570615402642</t>
  </si>
  <si>
    <t>-LqjyIrxFZM2FH5iqRDV</t>
  </si>
  <si>
    <t>1570615408805</t>
  </si>
  <si>
    <t>-LqjyKb0yBZdXQioRpdE</t>
  </si>
  <si>
    <t>1570615416064</t>
  </si>
  <si>
    <t>-LqjyMP3Xm_ZEgnTrRcV</t>
  </si>
  <si>
    <t>1570615423234</t>
  </si>
  <si>
    <t>-LqjyO72mXIOI9k0K4df</t>
  </si>
  <si>
    <t>1570615430443</t>
  </si>
  <si>
    <t>-LqjyPprLyme_KkMHksh</t>
  </si>
  <si>
    <t>1570615437653</t>
  </si>
  <si>
    <t>-LqjyRMW7iuVN-tkpARd</t>
  </si>
  <si>
    <t>1570615443833</t>
  </si>
  <si>
    <t>-LqjyTC2yKc0JglkXs_F</t>
  </si>
  <si>
    <t>1570615451054</t>
  </si>
  <si>
    <t>-LqjyVFfhu1R4lu5UbhW</t>
  </si>
  <si>
    <t>1570615458267</t>
  </si>
  <si>
    <t>-LqjyWvkb4sVCSEQBxcF</t>
  </si>
  <si>
    <t>1570615466500</t>
  </si>
  <si>
    <t>-LqjyYdktumrruRy68im</t>
  </si>
  <si>
    <t>1570615473731</t>
  </si>
  <si>
    <t>-Lqjy_Ck-LM7Eg7FxDra</t>
  </si>
  <si>
    <t>1570615479892</t>
  </si>
  <si>
    <t>-LqjyaxT9lnwnlkSloMP</t>
  </si>
  <si>
    <t>1570615487111</t>
  </si>
  <si>
    <t>-LqjycjOYp-xANdrb6D_</t>
  </si>
  <si>
    <t>1570615494321</t>
  </si>
  <si>
    <t>-LqjyeDypLsgCXAPyaix</t>
  </si>
  <si>
    <t>1570615500490</t>
  </si>
  <si>
    <t>-Lqjyfw4x5KimddDfUtO</t>
  </si>
  <si>
    <t>1570615507690</t>
  </si>
  <si>
    <t>-LqjyhS5Scc3LQpBwJgv</t>
  </si>
  <si>
    <t>1570615513908</t>
  </si>
  <si>
    <t>-LqjyixT2sU1lia0Km_O</t>
  </si>
  <si>
    <t>1570615520061</t>
  </si>
  <si>
    <t>-LqjykXbp9khFnQzfZhG</t>
  </si>
  <si>
    <t>1570615526288</t>
  </si>
  <si>
    <t>-Lqjym2-upJgwT1S8a2P</t>
  </si>
  <si>
    <t>1570615532423</t>
  </si>
  <si>
    <t>-Lqjynkz57UBj9Y0Voy9</t>
  </si>
  <si>
    <t>1570615539669</t>
  </si>
  <si>
    <t>-LqjypJyjtUsSGGwtSC9</t>
  </si>
  <si>
    <t>1570615545842</t>
  </si>
  <si>
    <t>-Lqjyr0bLf2FOKWeNXlc</t>
  </si>
  <si>
    <t>1570615553032</t>
  </si>
  <si>
    <t>-LqjysokUufqRWfgRjGI</t>
  </si>
  <si>
    <t>1570615560358</t>
  </si>
  <si>
    <t>-LqjyuYyPzc50ny6enM9</t>
  </si>
  <si>
    <t>1570615567491</t>
  </si>
  <si>
    <t>-Lqjyw7-NpmVTweA74M3</t>
  </si>
  <si>
    <t>1570615573660</t>
  </si>
  <si>
    <t>-LqjyxpzypK_Bh9caWMP</t>
  </si>
  <si>
    <t>1570615580861</t>
  </si>
  <si>
    <t>-Lqjyzbj_Yih-UAnmar6</t>
  </si>
  <si>
    <t>1570615588092</t>
  </si>
  <si>
    <t>-Lqjz0KlsvfOFKhV-fHi</t>
  </si>
  <si>
    <t>1570615595271</t>
  </si>
  <si>
    <t>-Lqjz1tkiRvR3UtPW4sF</t>
  </si>
  <si>
    <t>1570615601463</t>
  </si>
  <si>
    <t>-Lqjz3ry_yDl6SsqAV3j</t>
  </si>
  <si>
    <t>1570615608710</t>
  </si>
  <si>
    <t>-Lqjz5R-12T8JM0YkPwg</t>
  </si>
  <si>
    <t>1570615615911</t>
  </si>
  <si>
    <t>-Lqjz77bj0FGSWws2dCm</t>
  </si>
  <si>
    <t>1570615623102</t>
  </si>
  <si>
    <t>-Lqjz8hyRC9zdMjxdj6M</t>
  </si>
  <si>
    <t>1570615629301</t>
  </si>
  <si>
    <t>-LqjzAPkkDkUnY88LLKs</t>
  </si>
  <si>
    <t>1570615636513</t>
  </si>
  <si>
    <t>-LqjzCClDLWqrBLSIHL0</t>
  </si>
  <si>
    <t>1570615643721</t>
  </si>
  <si>
    <t>-LqjzDwyM39PqwMg7aDW</t>
  </si>
  <si>
    <t>1570615650941</t>
  </si>
  <si>
    <t>-LqjzFiiovZivsu5z1FH</t>
  </si>
  <si>
    <t>1570615658141</t>
  </si>
  <si>
    <t>-LqjzHSzQ9O5Fx8C7uTC</t>
  </si>
  <si>
    <t>1570615665341</t>
  </si>
  <si>
    <t>-LqjzJEkOGBDNddXcx8o</t>
  </si>
  <si>
    <t>1570615672579</t>
  </si>
  <si>
    <t>-LqjzKwMkCWIzA_rBaSe</t>
  </si>
  <si>
    <t>1570615679751</t>
  </si>
  <si>
    <t>-LqjzMWkkNmEJH6CPm8g</t>
  </si>
  <si>
    <t>1570615685962</t>
  </si>
  <si>
    <t>-LqjzOZz28uEFaLylQX8</t>
  </si>
  <si>
    <t>1570615694370</t>
  </si>
  <si>
    <t>-LqjzQGlSgLxqWU6jXHp</t>
  </si>
  <si>
    <t>1570615701421</t>
  </si>
  <si>
    <t>-LqjzS00mXODKfoVoTmk</t>
  </si>
  <si>
    <t>1570615708631</t>
  </si>
  <si>
    <t>-LqjzT_01tYbTDZ4UONl</t>
  </si>
  <si>
    <t>1570615714811</t>
  </si>
  <si>
    <t>-LqjzVI0zXWF1696lmb0</t>
  </si>
  <si>
    <t>1570615721992</t>
  </si>
  <si>
    <t>-LqjzWpkO4SahtDQCA6d</t>
  </si>
  <si>
    <t>1570615728193</t>
  </si>
  <si>
    <t>-LqjzYZ_TF_kzf61eVL0</t>
  </si>
  <si>
    <t>1570615735422</t>
  </si>
  <si>
    <t>-Lqjz_JrWdvgZstH5HD3</t>
  </si>
  <si>
    <t>1570615741601</t>
  </si>
  <si>
    <t>-LqjzaqzQFD2-tnc-G5j</t>
  </si>
  <si>
    <t>1570615748813</t>
  </si>
  <si>
    <t>-LqjzcdzOu-k-dzsQA-d</t>
  </si>
  <si>
    <t>1570615756021</t>
  </si>
  <si>
    <t>-LqjzeLu0CYbeRxFtS_v</t>
  </si>
  <si>
    <t>1570615763243</t>
  </si>
  <si>
    <t>-LqjzgA0fH0Tk-SVsho4</t>
  </si>
  <si>
    <t>1570615770442</t>
  </si>
  <si>
    <t>-Lqjzhrc2euLx6m4dK86</t>
  </si>
  <si>
    <t>1570615777671</t>
  </si>
  <si>
    <t>-Lqjzjg-xIEcM57Cw0Hc</t>
  </si>
  <si>
    <t>1570615784872</t>
  </si>
  <si>
    <t>-Lqjzlj8OhppKDmyBH5R</t>
  </si>
  <si>
    <t>1570615792062</t>
  </si>
  <si>
    <t>-LqjznPnKgk33jzFQj28</t>
  </si>
  <si>
    <t>1570615800349</t>
  </si>
  <si>
    <t>-LqjzpCbB4DbbHoN-_dc</t>
  </si>
  <si>
    <t>1570615807543</t>
  </si>
  <si>
    <t>-Lqjzqx-buQvNg6KSYAj</t>
  </si>
  <si>
    <t>1570615814751</t>
  </si>
  <si>
    <t>-Lqjzsk-QhTL8uquYx3s</t>
  </si>
  <si>
    <t>1570615821961</t>
  </si>
  <si>
    <t>-LqjzuRjDTGIDPR68JEi</t>
  </si>
  <si>
    <t>1570615829183</t>
  </si>
  <si>
    <t>-LqjzwR9jjC25Rb8nurJ</t>
  </si>
  <si>
    <t>1570615836382</t>
  </si>
  <si>
    <t>-LqjzxxjzKbAu-SGOixt</t>
  </si>
  <si>
    <t>1570615843582</t>
  </si>
  <si>
    <t>-Lqjzzlz67FpwPdd2ENo</t>
  </si>
  <si>
    <t>1570615850814</t>
  </si>
  <si>
    <t>-Lqk-0V-JQ3m_ucoysJ2</t>
  </si>
  <si>
    <t>1570615858001</t>
  </si>
  <si>
    <t>-Lqk-21cFs9Wj7UUCpLU</t>
  </si>
  <si>
    <t>1570615864182</t>
  </si>
  <si>
    <t>-Lqk-3m-A6CshyImBdtI</t>
  </si>
  <si>
    <t>1570615871434</t>
  </si>
  <si>
    <t>-Lqk-5vZVnY__ejZ7pIJ</t>
  </si>
  <si>
    <t>1570615878632</t>
  </si>
  <si>
    <t>-Lqk-7X-hciCHCunqTVS</t>
  </si>
  <si>
    <t>1570615886873</t>
  </si>
  <si>
    <t>-Lqk-950gT4VN3qLecPa</t>
  </si>
  <si>
    <t>1570615893061</t>
  </si>
  <si>
    <t>-Lqk-Ao-PsZNTE6qPs9Y</t>
  </si>
  <si>
    <t>1570615900243</t>
  </si>
  <si>
    <t>-Lqk-CN0eTEShcqjjpP2</t>
  </si>
  <si>
    <t>1570615906423</t>
  </si>
  <si>
    <t>-Lqk-EEHSc1fbwas5PW6</t>
  </si>
  <si>
    <t>1570615913673</t>
  </si>
  <si>
    <t>-Lqk-Frb8LjyHXUMWDWE</t>
  </si>
  <si>
    <t>1570615920882</t>
  </si>
  <si>
    <t>-Lqk-Hvy52Am0GXuwBVG</t>
  </si>
  <si>
    <t>1570615928061</t>
  </si>
  <si>
    <t>-Lqk-JbcKT94xSjr1cC3</t>
  </si>
  <si>
    <t>1570615936321</t>
  </si>
  <si>
    <t>-Lqk-LPks_NdYum6ohxT</t>
  </si>
  <si>
    <t>1570615943542</t>
  </si>
  <si>
    <t>-Lqk-N7byWpm7N8RjRrg</t>
  </si>
  <si>
    <t>1570615950751</t>
  </si>
  <si>
    <t>-Lqk-Od2ZFOkcFR3Tx5G</t>
  </si>
  <si>
    <t>1570615956931</t>
  </si>
  <si>
    <t>-Lqk-QFdPY5pf__77KDH</t>
  </si>
  <si>
    <t>1570615963479</t>
  </si>
  <si>
    <t>-Lqk-Rv0UaBR2j6XVgol</t>
  </si>
  <si>
    <t>1570615970302</t>
  </si>
  <si>
    <t>-Lqk-TSlI9Dzkzuka-ZJ</t>
  </si>
  <si>
    <t>1570615976491</t>
  </si>
  <si>
    <t>-Lqk-VAuCoJgUDyGXwvf</t>
  </si>
  <si>
    <t>1570615983721</t>
  </si>
  <si>
    <t>-Lqk-WycMA-ZUP9sWQir</t>
  </si>
  <si>
    <t>1570615990934</t>
  </si>
  <si>
    <t>-Lqk-YgkKCg4KpGJzDw6</t>
  </si>
  <si>
    <t>1570615998153</t>
  </si>
  <si>
    <t>-Lqk-_fRYr_XkYZ8wyk_</t>
  </si>
  <si>
    <t>1570616005351</t>
  </si>
  <si>
    <t>-Lqk-bDzMbXBCZ_lkQIE</t>
  </si>
  <si>
    <t>1570616012541</t>
  </si>
  <si>
    <t>-Lqk-cldKIyqKg3LMJ22</t>
  </si>
  <si>
    <t>1570616018741</t>
  </si>
  <si>
    <t>-Lqk-eUcMFbQORmHdQHS</t>
  </si>
  <si>
    <t>1570616025962</t>
  </si>
  <si>
    <t>-Lqk-g-0T3TKmCHH-jdc</t>
  </si>
  <si>
    <t>1570616032153</t>
  </si>
  <si>
    <t>-Lqk-hczlojhb8oAAG_U</t>
  </si>
  <si>
    <t>1570616038324</t>
  </si>
  <si>
    <t>-Lqk-jGr3n-VC4c0vPpy</t>
  </si>
  <si>
    <t>1570616045513</t>
  </si>
  <si>
    <t>-Lqk-l5BQIiTd1pwNEQI</t>
  </si>
  <si>
    <t>1570616051702</t>
  </si>
  <si>
    <t>-Lqk-mlc8TOGItO3hW2u</t>
  </si>
  <si>
    <t>1570616059972</t>
  </si>
  <si>
    <t>-Lqk-oKkoYYOsOVKqKVz</t>
  </si>
  <si>
    <t>1570616066142</t>
  </si>
  <si>
    <t>-Lqk-q474Nre0UzmmeT3</t>
  </si>
  <si>
    <t>1570616073352</t>
  </si>
  <si>
    <t>-Lqk-rqk5uarLPhzgqwV</t>
  </si>
  <si>
    <t>1570616080562</t>
  </si>
  <si>
    <t>-Lqk-t_zV-JE2p2DtHxi</t>
  </si>
  <si>
    <t>1570616087752</t>
  </si>
  <si>
    <t>-Lqk-v7k6I5r5vsoW-Lw</t>
  </si>
  <si>
    <t>1570616093941</t>
  </si>
  <si>
    <t>-Lqk-x1CjyNERSU4GIWx</t>
  </si>
  <si>
    <t>1570616101192</t>
  </si>
  <si>
    <t>-Lqk-ydjeibcqTi3Dk4C</t>
  </si>
  <si>
    <t>1570616108382</t>
  </si>
  <si>
    <t>-Lqk0-O-OLXgeQxWzpJx</t>
  </si>
  <si>
    <t>1570616115592</t>
  </si>
  <si>
    <t>-Lqk019j8a1wFyBAtfdJ</t>
  </si>
  <si>
    <t>1570616122803</t>
  </si>
  <si>
    <t>-Lqk02suSL4PbTukn-oP</t>
  </si>
  <si>
    <t>1570616129991</t>
  </si>
  <si>
    <t>-Lqk04SzPUoqIGgsCZac</t>
  </si>
  <si>
    <t>1570616136193</t>
  </si>
  <si>
    <t>-Lqk06AzPacJvLoAFe_F</t>
  </si>
  <si>
    <t>1570616143426</t>
  </si>
  <si>
    <t>-Lqk07xtKm-FPnzT-9jc</t>
  </si>
  <si>
    <t>1570616150624</t>
  </si>
  <si>
    <t>-Lqk0A0tEYeyE16WdoWU</t>
  </si>
  <si>
    <t>1570616157831</t>
  </si>
  <si>
    <t>-Lqk0BizzVEiLaOi4Eai</t>
  </si>
  <si>
    <t>1570616166081</t>
  </si>
  <si>
    <t>-Lqk0DXRC5fMTZTMikZE</t>
  </si>
  <si>
    <t>1570616173290</t>
  </si>
  <si>
    <t>-Lqk0FEx0O0v1MbprCL1</t>
  </si>
  <si>
    <t>1570616180498</t>
  </si>
  <si>
    <t>-Lqk0H23Q99hyfE4Ph0_</t>
  </si>
  <si>
    <t>1570616187710</t>
  </si>
  <si>
    <t>-Lqk0Ijq1A-0YKQqZCq0</t>
  </si>
  <si>
    <t>1570616194920</t>
  </si>
  <si>
    <t>-Lqk0KYxfVF4mRprlk6o</t>
  </si>
  <si>
    <t>1570616202130</t>
  </si>
  <si>
    <t>-Lqk0MFqR1wXrDbZPfO6</t>
  </si>
  <si>
    <t>1570616209338</t>
  </si>
  <si>
    <t>-Lqk0O2r9rCNl-hdKKsy</t>
  </si>
  <si>
    <t>1570616216556</t>
  </si>
  <si>
    <t>-Lqk0PmwouLk9L3D4vgr</t>
  </si>
  <si>
    <t>1570616223740</t>
  </si>
  <si>
    <t>-Lqk0R_y6DQLkXnLVCuD</t>
  </si>
  <si>
    <t>1570616230979</t>
  </si>
  <si>
    <t>-Lqk0THiRyWcJ4pQW3fB</t>
  </si>
  <si>
    <t>1570616238213</t>
  </si>
  <si>
    <t>-Lqk0Us7LnF21kXRUZkQ</t>
  </si>
  <si>
    <t>1570616244379</t>
  </si>
  <si>
    <t>-Lqk0W_R4AJNiK5oVKb7</t>
  </si>
  <si>
    <t>1570616251581</t>
  </si>
  <si>
    <t>-Lqk0YNxEtF3yJF-xDxY</t>
  </si>
  <si>
    <t>1570616258800</t>
  </si>
  <si>
    <t>-Lqk0_5yBj4thbakw4_K</t>
  </si>
  <si>
    <t>1570616265987</t>
  </si>
  <si>
    <t>-Lqk0avKvDiIlp6vzLjG</t>
  </si>
  <si>
    <t>1570616273312</t>
  </si>
  <si>
    <t>-Lqk0caqizDxbZOSClS4</t>
  </si>
  <si>
    <t>1570616280448</t>
  </si>
  <si>
    <t>-Lqk0e9Z4T1wRd3UTD8u</t>
  </si>
  <si>
    <t>1570616286618</t>
  </si>
  <si>
    <t>-Lqk0ftwLp5aofVlSXJG</t>
  </si>
  <si>
    <t>1570616293822</t>
  </si>
  <si>
    <t>-Lqk0hf_nrEvpWI4QToT</t>
  </si>
  <si>
    <t>1570616301038</t>
  </si>
  <si>
    <t>-Lqk0jOhfZSZZYyPrGXX</t>
  </si>
  <si>
    <t>1570616308220</t>
  </si>
  <si>
    <t>-Lqk0lD5VFEJndYOveuq</t>
  </si>
  <si>
    <t>1570616315448</t>
  </si>
  <si>
    <t>-Lqk0n-y7rme10__WIBF</t>
  </si>
  <si>
    <t>1570616323013</t>
  </si>
  <si>
    <t>-Lqk0oip5JEHC7CL98SD</t>
  </si>
  <si>
    <t>1570616329890</t>
  </si>
  <si>
    <t>-Lqk0qQilvy9njLagS09</t>
  </si>
  <si>
    <t>1570616337100</t>
  </si>
  <si>
    <t>-Lqk0rzbl4rQesraLc76</t>
  </si>
  <si>
    <t>1570616343279</t>
  </si>
  <si>
    <t>-Lqk0tbctk-k6Gj40En9</t>
  </si>
  <si>
    <t>1570616349458</t>
  </si>
  <si>
    <t>-Lqk0vGi2rS8S-qr7vAP</t>
  </si>
  <si>
    <t>1570616356669</t>
  </si>
  <si>
    <t>-Lqk0x-y7xrX38xIuTdP</t>
  </si>
  <si>
    <t>1570616363910</t>
  </si>
  <si>
    <t>-Lqk0yp2nd-LSdRcZKdz</t>
  </si>
  <si>
    <t>1570616371099</t>
  </si>
  <si>
    <t>-Lqk1-h1zepPPwf4aTxT</t>
  </si>
  <si>
    <t>1570616379180</t>
  </si>
  <si>
    <t>-Lqk11KYx5QLjBCcgoE8</t>
  </si>
  <si>
    <t>1570616385518</t>
  </si>
  <si>
    <t>-Lqk131yNBVQjOPLRmXu</t>
  </si>
  <si>
    <t>1570616392699</t>
  </si>
  <si>
    <t>-Lqk14m2k5Qc37OuUXgA</t>
  </si>
  <si>
    <t>1570616399985</t>
  </si>
  <si>
    <t>-Lqk16K20lYYw76fI47_</t>
  </si>
  <si>
    <t>1570616406126</t>
  </si>
  <si>
    <t>-Lqk18Lx_BVjFMUU2xYA</t>
  </si>
  <si>
    <t>1570616413999</t>
  </si>
  <si>
    <t>-Lqk1A2ymVoyVqz8D8ye</t>
  </si>
  <si>
    <t>1570616421587</t>
  </si>
  <si>
    <t>-Lqk1BbquugxX6Gjj8cr</t>
  </si>
  <si>
    <t>1570616427767</t>
  </si>
  <si>
    <t>-Lqk1DKxg09gb50ZvMpY</t>
  </si>
  <si>
    <t>1570616434945</t>
  </si>
  <si>
    <t>-Lqk1Ev3MezQvrCWbGkE</t>
  </si>
  <si>
    <t>1570616441146</t>
  </si>
  <si>
    <t>-Lqk1GcvdYfFGROLNZ28</t>
  </si>
  <si>
    <t>1570616448366</t>
  </si>
  <si>
    <t>-Lqk1IR3iu4sp6o3EY4X</t>
  </si>
  <si>
    <t>1570616455589</t>
  </si>
  <si>
    <t>-Lqk1K93OCByZpM8O0r-</t>
  </si>
  <si>
    <t>1570616462785</t>
  </si>
  <si>
    <t>-Lqk1Lvga6eOdExayKVp</t>
  </si>
  <si>
    <t>1570616470006</t>
  </si>
  <si>
    <t>-Lqk1Nf3Eo8gSciUx6xR</t>
  </si>
  <si>
    <t>1570616477197</t>
  </si>
  <si>
    <t>-Lqk1PT34AuPxbUWyLeu</t>
  </si>
  <si>
    <t>1570616484425</t>
  </si>
  <si>
    <t>-Lqk1RB3rpEVbJH7MeEm</t>
  </si>
  <si>
    <t>1570616491657</t>
  </si>
  <si>
    <t>-Lqk1SkXhQsaqJySHE00</t>
  </si>
  <si>
    <t>1570616497826</t>
  </si>
  <si>
    <t>-Lqk1URycBQwlfS0Zjjd</t>
  </si>
  <si>
    <t>1570616505036</t>
  </si>
  <si>
    <t>-Lqk1WG4EFYJK_QrV5cc</t>
  </si>
  <si>
    <t>1570616512246</t>
  </si>
  <si>
    <t>-Lqk1XxzmwP-ycF_citG</t>
  </si>
  <si>
    <t>1570616519437</t>
  </si>
  <si>
    <t>-Lqk1ZXx0C988Av7vv2C</t>
  </si>
  <si>
    <t>1570616525636</t>
  </si>
  <si>
    <t>-Lqk1aEo7zgULgvZnZkY</t>
  </si>
  <si>
    <t>1570616532877</t>
  </si>
  <si>
    <t>-Lqk1cPjxx8NBcL6cuaa</t>
  </si>
  <si>
    <t>1570616540065</t>
  </si>
  <si>
    <t>-Lqk1e04D7v1eYMpJMnP</t>
  </si>
  <si>
    <t>1570616548307</t>
  </si>
  <si>
    <t>-Lqk1f_5DEaBVU-ztC1o</t>
  </si>
  <si>
    <t>1570616554495</t>
  </si>
  <si>
    <t>-Lqk1hGyEB1daOr83qDr</t>
  </si>
  <si>
    <t>1570616561683</t>
  </si>
  <si>
    <t>-Lqk1iqb2_KETjd70XhR</t>
  </si>
  <si>
    <t>1570616567867</t>
  </si>
  <si>
    <t>-Lqk1kXZaeVZoLbUkp16</t>
  </si>
  <si>
    <t>1570616575107</t>
  </si>
  <si>
    <t>-Lqk1mHvbNzUxPFE040a</t>
  </si>
  <si>
    <t>1570616582305</t>
  </si>
  <si>
    <t>-Lqk1o8xBZeJRrMbF_H2</t>
  </si>
  <si>
    <t>1570616589907</t>
  </si>
  <si>
    <t>-Lqk1pt2GPaHz8Ns4QCM</t>
  </si>
  <si>
    <t>1570616596735</t>
  </si>
  <si>
    <t>-Lqk1rb2whJnzrqWuHj2</t>
  </si>
  <si>
    <t>1570616603915</t>
  </si>
  <si>
    <t>-Lqk1tAYJhrSyTGer0OM</t>
  </si>
  <si>
    <t>1570616610115</t>
  </si>
  <si>
    <t>-Lqk1uroNgI1XZ_ecpMP</t>
  </si>
  <si>
    <t>1570616617338</t>
  </si>
  <si>
    <t>-Lqk1wg4XA39Uk05aMZ0</t>
  </si>
  <si>
    <t>1570616624547</t>
  </si>
  <si>
    <t>-Lqk1yhuo6-VIK_yWJaF</t>
  </si>
  <si>
    <t>1570616631755</t>
  </si>
  <si>
    <t>-Lqk2-R-9G52GvB06ijR</t>
  </si>
  <si>
    <t>1570616640002</t>
  </si>
  <si>
    <t>-Lqk21Dw3ohM6mLAcvu7</t>
  </si>
  <si>
    <t>1570616647225</t>
  </si>
  <si>
    <t>-Lqk22x9JD9kEv8AAI9e</t>
  </si>
  <si>
    <t>1570616654426</t>
  </si>
  <si>
    <t>-Lqk24k2HW5e3F6IyT75</t>
  </si>
  <si>
    <t>1570616661637</t>
  </si>
  <si>
    <t>-Lqk26Sl3Bc5hSPZyVIj</t>
  </si>
  <si>
    <t>1570616668846</t>
  </si>
  <si>
    <t>-Lqk28G1hiOoMtiv2O9A</t>
  </si>
  <si>
    <t>1570616676064</t>
  </si>
  <si>
    <t>-Lqk2A3d8B2O9ymI0QGv</t>
  </si>
  <si>
    <t>1570616683276</t>
  </si>
  <si>
    <t>-Lqk2Bm1r1niUIXSxXit</t>
  </si>
  <si>
    <t>1570616690486</t>
  </si>
  <si>
    <t>-Lqk2DVXHRXW9epA3OYg</t>
  </si>
  <si>
    <t>1570616697675</t>
  </si>
  <si>
    <t>-Lqk2F32cyq_Fronix9F</t>
  </si>
  <si>
    <t>1570616703877</t>
  </si>
  <si>
    <t>-Lqk2Gm4TvTfPGrGc2cx</t>
  </si>
  <si>
    <t>1570616711123</t>
  </si>
  <si>
    <t>-Lqk2I_1i65egHydD_sd</t>
  </si>
  <si>
    <t>1570616718304</t>
  </si>
  <si>
    <t>-Lqk2KI1dxlVuLUyQzHx</t>
  </si>
  <si>
    <t>1570616725506</t>
  </si>
  <si>
    <t>-Lqk2MADz_XHptIw3uG4</t>
  </si>
  <si>
    <t>1570616732734</t>
  </si>
  <si>
    <t>-Lqk2NoC9kHVPyCiQcK9</t>
  </si>
  <si>
    <t>1570616739914</t>
  </si>
  <si>
    <t>-Lqk2Pb3HXPCBWMTWvgy</t>
  </si>
  <si>
    <t>1570616747156</t>
  </si>
  <si>
    <t>-Lqk2RKCt2poJMK2Jygj</t>
  </si>
  <si>
    <t>1570616754395</t>
  </si>
  <si>
    <t>-Lqk2St1tGuUey1HZ346</t>
  </si>
  <si>
    <t>1570616760546</t>
  </si>
  <si>
    <t>-Lqk2Ub1z2RtXwtrUwzE</t>
  </si>
  <si>
    <t>1570616767746</t>
  </si>
  <si>
    <t>-Lqk2WZ11UCjNoJ0FGd5</t>
  </si>
  <si>
    <t>1570616775610</t>
  </si>
  <si>
    <t>-Lqk2Y73N11L_lN_z2vo</t>
  </si>
  <si>
    <t>1570616782156</t>
  </si>
  <si>
    <t>-Lqk2Zg3ZmifEx_epF8l</t>
  </si>
  <si>
    <t>1570616788346</t>
  </si>
  <si>
    <t>-Lqk2aP2GMS3EJEDz8Gx</t>
  </si>
  <si>
    <t>1570616795591</t>
  </si>
  <si>
    <t>-Lqk2c7OhUtmJtwziLOf</t>
  </si>
  <si>
    <t>1570616802784</t>
  </si>
  <si>
    <t>-Lqk2dg1p5p7zQ5ysD_d</t>
  </si>
  <si>
    <t>1570616808966</t>
  </si>
  <si>
    <t>-Lqk2fV7BKsy1WGxlgj7</t>
  </si>
  <si>
    <t>1570616816186</t>
  </si>
  <si>
    <t>-Lqk2hPa4Es8pXoPpvmr</t>
  </si>
  <si>
    <t>1570616823394</t>
  </si>
  <si>
    <t>-Lqk2j-1wf0fSM1sbgaU</t>
  </si>
  <si>
    <t>1570616830585</t>
  </si>
  <si>
    <t>-Lqk2khvks4insxneko7</t>
  </si>
  <si>
    <t>1570616837825</t>
  </si>
  <si>
    <t>-Lqk2mW1o2iCvf6TAkW7</t>
  </si>
  <si>
    <t>1570616845025</t>
  </si>
  <si>
    <t>-Lqk2oE21EBjhUQ9hIb-</t>
  </si>
  <si>
    <t>1570616852225</t>
  </si>
  <si>
    <t>-Lqk2q134GJ-C3xuvOPK</t>
  </si>
  <si>
    <t>1570616859454</t>
  </si>
  <si>
    <t>-Lqk2sDTkFrOZ5QsxY3F</t>
  </si>
  <si>
    <t>1570616866635</t>
  </si>
  <si>
    <t>-Lqk2tmD7_7jmKjn2z91</t>
  </si>
  <si>
    <t>1570616874982</t>
  </si>
  <si>
    <t>-Lqk2v_6YHXn5DWTrCmm</t>
  </si>
  <si>
    <t>1570616882140</t>
  </si>
  <si>
    <t>-Lqk2xI33oOXpUtiByzv</t>
  </si>
  <si>
    <t>1570616889326</t>
  </si>
  <si>
    <t>-Lqk2z4weDB-2Ui98ZyP</t>
  </si>
  <si>
    <t>1570616896549</t>
  </si>
  <si>
    <t>-Lqk3-o2uGJhObjAdNa0</t>
  </si>
  <si>
    <t>1570616903745</t>
  </si>
  <si>
    <t>-Lqk31auF3h2oa68tC1m</t>
  </si>
  <si>
    <t>1570616910965</t>
  </si>
  <si>
    <t>-Lqk33K3mKRwj9SVZBhN</t>
  </si>
  <si>
    <t>1570616918155</t>
  </si>
  <si>
    <t>-Lqk34svZrlqH2GmSMfp</t>
  </si>
  <si>
    <t>1570616924326</t>
  </si>
  <si>
    <t>-Lqk36v2CVbUS2OCUOEg</t>
  </si>
  <si>
    <t>1570616931566</t>
  </si>
  <si>
    <t>-Lqk38d22OzP7hl1lU4g</t>
  </si>
  <si>
    <t>1570616939815</t>
  </si>
  <si>
    <t>-Lqk3AM2tmwYkL9u_90t</t>
  </si>
  <si>
    <t>1570616947025</t>
  </si>
  <si>
    <t>-Lqk3Bv2pw8dIHnEgUrk</t>
  </si>
  <si>
    <t>1570616953204</t>
  </si>
  <si>
    <t>-Lqk3Dd2shav-4NeK6NW</t>
  </si>
  <si>
    <t>1570616960474</t>
  </si>
  <si>
    <t>-Lqk3FC3izjowJlHdFMe</t>
  </si>
  <si>
    <t>1570616966584</t>
  </si>
  <si>
    <t>-Lqk3Gv1CePx8lQa2JD0</t>
  </si>
  <si>
    <t>1570616973806</t>
  </si>
  <si>
    <t>-Lqk3In2wej0FYSkxvfU</t>
  </si>
  <si>
    <t>1570616981026</t>
  </si>
  <si>
    <t>-Lqk3KR2g4NAHWZ4vJnp</t>
  </si>
  <si>
    <t>1570616988228</t>
  </si>
  <si>
    <t>-Lqk3MDtIIBOz0rtM2Pw</t>
  </si>
  <si>
    <t>1570616995462</t>
  </si>
  <si>
    <t>-Lqk3Nx2eZhEsdIYaJ76</t>
  </si>
  <si>
    <t>1570617002643</t>
  </si>
  <si>
    <t>-Lqk3PhNwLIFw6clTxEv</t>
  </si>
  <si>
    <t>1570617008824</t>
  </si>
  <si>
    <t>-Lqk3RT1powuGad58K90</t>
  </si>
  <si>
    <t>1570617017067</t>
  </si>
  <si>
    <t>-Lqk3T1ExDQ3E9phBQWF</t>
  </si>
  <si>
    <t>1570617023264</t>
  </si>
  <si>
    <t>-Lqk3Uk1J1J_f1fknCb1</t>
  </si>
  <si>
    <t>1570617030465</t>
  </si>
  <si>
    <t>-Lqk3WXl24ru6PliJcka</t>
  </si>
  <si>
    <t>1570617037684</t>
  </si>
  <si>
    <t>-Lqk3Y-z-KoYLziB9Fr5</t>
  </si>
  <si>
    <t>1570617043865</t>
  </si>
  <si>
    <t>-Lqk3Zp1itQASD7iErVr</t>
  </si>
  <si>
    <t>1570617051076</t>
  </si>
  <si>
    <t>-Lqk3aYCRmW-_HY0THJP</t>
  </si>
  <si>
    <t>1570617058314</t>
  </si>
  <si>
    <t>-Lqk3c5ucWTVtcYNWvUX</t>
  </si>
  <si>
    <t>1570617064494</t>
  </si>
  <si>
    <t>-Lqk3dpCikubS06VixRb</t>
  </si>
  <si>
    <t>1570617071684</t>
  </si>
  <si>
    <t>-Lqk3fc0pJ4ETdgy8OZM</t>
  </si>
  <si>
    <t>1570617078894</t>
  </si>
  <si>
    <t>-Lqk3hL1mPwDQFvhipOd</t>
  </si>
  <si>
    <t>1570617086105</t>
  </si>
  <si>
    <t>-Lqk3j81hngeFb6hslnL</t>
  </si>
  <si>
    <t>1570617093325</t>
  </si>
  <si>
    <t>-Lqk3krCUC3-sHuvUlMF</t>
  </si>
  <si>
    <t>1570617100544</t>
  </si>
  <si>
    <t>-Lqk3mwcEZuMnRsO4_5a</t>
  </si>
  <si>
    <t>1570617109169</t>
  </si>
  <si>
    <t>-Lqk3oagt6D5u6R8r4S1</t>
  </si>
  <si>
    <t>1570617115981</t>
  </si>
  <si>
    <t>-Lqk3qA1EO272DiVdKll</t>
  </si>
  <si>
    <t>1570617122161</t>
  </si>
  <si>
    <t>-Lqk3rsz71weKMnIafjP</t>
  </si>
  <si>
    <t>1570617129350</t>
  </si>
  <si>
    <t>-Lqk3tQaQS9mNHeRbvIU</t>
  </si>
  <si>
    <t>1570617135541</t>
  </si>
  <si>
    <t>-Lqk3uujhrGMU4lxoTff</t>
  </si>
  <si>
    <t>1570617141711</t>
  </si>
  <si>
    <t>-Lqk3wizIfVaJH2i_x1p</t>
  </si>
  <si>
    <t>1570617148960</t>
  </si>
  <si>
    <t>-Lqk3yQi6ZbuQHOvIIVe</t>
  </si>
  <si>
    <t>1570617156171</t>
  </si>
  <si>
    <t>-Lqk4-EzkvCmWkpwJR4K</t>
  </si>
  <si>
    <t>1570617163370</t>
  </si>
  <si>
    <t>-Lqk40xz_W1atBcp6GG2</t>
  </si>
  <si>
    <t>1570617170581</t>
  </si>
  <si>
    <t>-Lqk42kxYOg6R2oBJhP8</t>
  </si>
  <si>
    <t>1570617177782</t>
  </si>
  <si>
    <t>-Lqk44TzzdXBxEV9maIv</t>
  </si>
  <si>
    <t>1570617185000</t>
  </si>
  <si>
    <t>-Lqk46FjCe6MIEVakgZf</t>
  </si>
  <si>
    <t>1570617192209</t>
  </si>
  <si>
    <t>-Lqk47yh1dtGiCbPUIrl</t>
  </si>
  <si>
    <t>1570617199431</t>
  </si>
  <si>
    <t>-Lqk49mxyuAmD8B7vtCu</t>
  </si>
  <si>
    <t>1570617206640</t>
  </si>
  <si>
    <t>-Lqk4BTUU4U6zDtptuYW</t>
  </si>
  <si>
    <t>1570617213820</t>
  </si>
  <si>
    <t>-Lqk4D2aeoITsqpgx8KV</t>
  </si>
  <si>
    <t>1570617220020</t>
  </si>
  <si>
    <t>-Lqk4EXjRsbfj38WNKoh</t>
  </si>
  <si>
    <t>1570617226181</t>
  </si>
  <si>
    <t>-Lqk4GLnyy7UO4s7T4Xy</t>
  </si>
  <si>
    <t>1570617233448</t>
  </si>
  <si>
    <t>-Lqk4I2hHBxxdJvyxxxu</t>
  </si>
  <si>
    <t>1570617240630</t>
  </si>
  <si>
    <t>-Lqk4Jry4Yrf1fpZ_7nI</t>
  </si>
  <si>
    <t>1570617247842</t>
  </si>
  <si>
    <t>-Lqk4La0J1CLhNCYIBts</t>
  </si>
  <si>
    <t>1570617255060</t>
  </si>
  <si>
    <t>-Lqk4NNynq4dYjAQPXxq</t>
  </si>
  <si>
    <t>1570617262259</t>
  </si>
  <si>
    <t>-Lqk4P5yh6U4ZkVrTnBy</t>
  </si>
  <si>
    <t>1570617269487</t>
  </si>
  <si>
    <t>-Lqk4QslPIm7tT-IWo0l</t>
  </si>
  <si>
    <t>1570617276691</t>
  </si>
  <si>
    <t>-Lqk4SbyMZ2pyYhhwZDq</t>
  </si>
  <si>
    <t>1570617283901</t>
  </si>
  <si>
    <t>-Lqk4UPzyXtdgwQiwVDr</t>
  </si>
  <si>
    <t>1570617291117</t>
  </si>
  <si>
    <t>-Lqk4W6i6YLANtsrhNiL</t>
  </si>
  <si>
    <t>1570617298301</t>
  </si>
  <si>
    <t>-Lqk4XgzcNFI9l_dgWya</t>
  </si>
  <si>
    <t>1570617304500</t>
  </si>
  <si>
    <t>-Lqk4ZOkpOel9XhBCoaM</t>
  </si>
  <si>
    <t>1570617311721</t>
  </si>
  <si>
    <t>-Lqk4aBaG7YbnSEO_GPp</t>
  </si>
  <si>
    <t>1570617318921</t>
  </si>
  <si>
    <t>-Lqk4bw8klm-2eBDzNt7</t>
  </si>
  <si>
    <t>1570617326150</t>
  </si>
  <si>
    <t>-Lqk4ddrYupLH-q2uZoF</t>
  </si>
  <si>
    <t>1570617333351</t>
  </si>
  <si>
    <t>-Lqk4fZN4NOBR9W8reL0</t>
  </si>
  <si>
    <t>1570617339752</t>
  </si>
  <si>
    <t>-Lqk4hEzl5RqVjQ4kCJX</t>
  </si>
  <si>
    <t>1570617347771</t>
  </si>
  <si>
    <t>-Lqk4iy1HPvChJ9-bh5g</t>
  </si>
  <si>
    <t>1570617354961</t>
  </si>
  <si>
    <t>-Lqk4kkzxjlRlnm7kvEK</t>
  </si>
  <si>
    <t>1570617362205</t>
  </si>
  <si>
    <t>-Lqk4mSu5wv1Zkq1BMQt</t>
  </si>
  <si>
    <t>1570617369423</t>
  </si>
  <si>
    <t>-Lqk4o1uft8qVWS04py-</t>
  </si>
  <si>
    <t>1570617375592</t>
  </si>
  <si>
    <t>-Lqk4pl-5iGcukJLfGys</t>
  </si>
  <si>
    <t>1570617382789</t>
  </si>
  <si>
    <t>-Lqk4rYjeQuu90YfmMFj</t>
  </si>
  <si>
    <t>1570617390012</t>
  </si>
  <si>
    <t>-Lqk4t0jEmrIynSweYht</t>
  </si>
  <si>
    <t>1570617396182</t>
  </si>
  <si>
    <t>-Lqk4uprcx5yV2ZbXYT6</t>
  </si>
  <si>
    <t>1570617403403</t>
  </si>
  <si>
    <t>-Lqk4ws0nyzBcOJRByr0</t>
  </si>
  <si>
    <t>1570617410622</t>
  </si>
  <si>
    <t>-Lqk4ya0s2tUxrevzpWw</t>
  </si>
  <si>
    <t>1570617418859</t>
  </si>
  <si>
    <t>-Lqk5-IzbRBJrUQusHho</t>
  </si>
  <si>
    <t>1570617426062</t>
  </si>
  <si>
    <t>-Lqk5168vEcSByrIem3S</t>
  </si>
  <si>
    <t>1570617433281</t>
  </si>
  <si>
    <t>-Lqk52stLhSwrt87uB7x</t>
  </si>
  <si>
    <t>1570617440499</t>
  </si>
  <si>
    <t>-Lqk54c-YOAnWIvm4Zzo</t>
  </si>
  <si>
    <t>1570617447711</t>
  </si>
  <si>
    <t>-Lqk56Om3orLPFTdE0Bq</t>
  </si>
  <si>
    <t>1570617454912</t>
  </si>
  <si>
    <t>-Lqk587zccCWjZiyWQSM</t>
  </si>
  <si>
    <t>1570617462121</t>
  </si>
  <si>
    <t>-Lqk5A3wSoAXmq_V9btA</t>
  </si>
  <si>
    <t>1570617469331</t>
  </si>
  <si>
    <t>-Lqk5BdsmashP5Tjll-R</t>
  </si>
  <si>
    <t>1570617476542</t>
  </si>
  <si>
    <t>-Lqk5DMs2seW5RKXaqKr</t>
  </si>
  <si>
    <t>1570617483593</t>
  </si>
  <si>
    <t>-Lqk5Evz8iV1MXBcMpEF</t>
  </si>
  <si>
    <t>1570617489931</t>
  </si>
  <si>
    <t>-Lqk5Gj-fBn3W1s1l-Fq</t>
  </si>
  <si>
    <t>1570617497151</t>
  </si>
  <si>
    <t>-Lqk5Imc9segtdh9YWIQ</t>
  </si>
  <si>
    <t>1570617504362</t>
  </si>
  <si>
    <t>-Lqk5KU2bYaMDFXRrrK2</t>
  </si>
  <si>
    <t>1570617512611</t>
  </si>
  <si>
    <t>-Lqk5MBrnQNiz_K7dm1P</t>
  </si>
  <si>
    <t>1570617519814</t>
  </si>
  <si>
    <t>-Lqk5NfzNq_14z64S-v2</t>
  </si>
  <si>
    <t>1570617525991</t>
  </si>
  <si>
    <t>-Lqk5PB60JfGlazkLlqc</t>
  </si>
  <si>
    <t>1570617532143</t>
  </si>
  <si>
    <t>-Lqk5QitIOaRWXclo1Dg</t>
  </si>
  <si>
    <t>1570617538373</t>
  </si>
  <si>
    <t>-Lqk5SHsaW3_ybZdpOF8</t>
  </si>
  <si>
    <t>1570617544543</t>
  </si>
  <si>
    <t>-Lqk5TyOzqh-8Kc__Wrw</t>
  </si>
  <si>
    <t>1570617551743</t>
  </si>
  <si>
    <t>-Lqk5V_16V30LDWHgLYD</t>
  </si>
  <si>
    <t>1570617557933</t>
  </si>
  <si>
    <t>-Lqk5XI4DIXMgM7pciZy</t>
  </si>
  <si>
    <t>1570617565141</t>
  </si>
  <si>
    <t>-Lqk5ZJV08OfZqEdbpGK</t>
  </si>
  <si>
    <t>1570617572352</t>
  </si>
  <si>
    <t>-Lqk5a2-Uz_rYwSiETgA</t>
  </si>
  <si>
    <t>1570617580571</t>
  </si>
  <si>
    <t>-Lqk5bWfwK0M-FY6bGIB</t>
  </si>
  <si>
    <t>1570617586779</t>
  </si>
  <si>
    <t>-Lqk5d4zfzPV7pGD73CP</t>
  </si>
  <si>
    <t>1570617592960</t>
  </si>
  <si>
    <t>-Lqk5esz9_ZfTSl0Eu8f</t>
  </si>
  <si>
    <t>1570617600180</t>
  </si>
  <si>
    <t>-Lqk5gb0tnTXSirXmsYC</t>
  </si>
  <si>
    <t>1570617607381</t>
  </si>
  <si>
    <t>-Lqk5iOroxGXeN8mnXhh</t>
  </si>
  <si>
    <t>1570617614601</t>
  </si>
  <si>
    <t>-Lqk5k5tBYmDFQlKEqPa</t>
  </si>
  <si>
    <t>1570617621808</t>
  </si>
  <si>
    <t>-Lqk5ltiGD9BJ_muci1P</t>
  </si>
  <si>
    <t>1570617629020</t>
  </si>
  <si>
    <t>-Lqk5nOhTaDPqZ0E5Rqo</t>
  </si>
  <si>
    <t>1570617635211</t>
  </si>
  <si>
    <t>-Lqk5oqNt86mxMYe1KRj</t>
  </si>
  <si>
    <t>1570617641350</t>
  </si>
  <si>
    <t>-Lqk5qU2AJ-1OeqHfISU</t>
  </si>
  <si>
    <t>1570617647591</t>
  </si>
  <si>
    <t>-Lqk5s9pjX7YQHoFFprJ</t>
  </si>
  <si>
    <t>1570617654780</t>
  </si>
  <si>
    <t>-Lqk5tckHRD_hEHQEHeX</t>
  </si>
  <si>
    <t>1570617660950</t>
  </si>
  <si>
    <t>-Lqk5vCs18FKZVsiZsoG</t>
  </si>
  <si>
    <t>1570617667141</t>
  </si>
  <si>
    <t>-Lqk5wfas3KJXxm7h3Od</t>
  </si>
  <si>
    <t>1570617673310</t>
  </si>
  <si>
    <t>-Lqk5y9bJqww69bBIGYb</t>
  </si>
  <si>
    <t>1570617679500</t>
  </si>
  <si>
    <t>-Lqk5zlEWUusU4Xaea-4</t>
  </si>
  <si>
    <t>1570617685681</t>
  </si>
  <si>
    <t>-Lqk60Q1jPDCwg_6SS0g</t>
  </si>
  <si>
    <t>1570617692870</t>
  </si>
  <si>
    <t>-Lqk62ACy8Cbexsyx5F0</t>
  </si>
  <si>
    <t>1570617699081</t>
  </si>
  <si>
    <t>-Lqk63jzm9SYLPel_M-p</t>
  </si>
  <si>
    <t>1570617706292</t>
  </si>
  <si>
    <t>-Lqk65Y9gs80eDiACty6</t>
  </si>
  <si>
    <t>1570617713500</t>
  </si>
  <si>
    <t>-Lqk67Fy3S2T_shdTMuJ</t>
  </si>
  <si>
    <t>1570617720711</t>
  </si>
  <si>
    <t>-Lqk694RblHImJcY7jjJ</t>
  </si>
  <si>
    <t>1570617727919</t>
  </si>
  <si>
    <t>-Lqk6AloNKk3qcibVZa0</t>
  </si>
  <si>
    <t>1570617735110</t>
  </si>
  <si>
    <t>-Lqk6CL-V3U6WOisqm6x</t>
  </si>
  <si>
    <t>1570617741321</t>
  </si>
  <si>
    <t>-Lqk6E9PWGGAuORcBdwg</t>
  </si>
  <si>
    <t>1570617748540</t>
  </si>
  <si>
    <t>-Lqk6Fqzzx6YRiUC2Oj4</t>
  </si>
  <si>
    <t>1570617755751</t>
  </si>
  <si>
    <t>-Lqk6HXNu7FVNmGLdwgQ</t>
  </si>
  <si>
    <t>1570617762940</t>
  </si>
  <si>
    <t>-Lqk6J6knn3hInPhQH0i</t>
  </si>
  <si>
    <t>1570617769139</t>
  </si>
  <si>
    <t>-Lqk6Kr-gGliAm3vc4vA</t>
  </si>
  <si>
    <t>1570617776341</t>
  </si>
  <si>
    <t>-Lqk6MdzdFjXvcg1nZB1</t>
  </si>
  <si>
    <t>1570617783560</t>
  </si>
  <si>
    <t>-Lqk6OLs0VKfA1i-_k1l</t>
  </si>
  <si>
    <t>1570617790761</t>
  </si>
  <si>
    <t>-Lqk6Q9rVxxRem56Djyk</t>
  </si>
  <si>
    <t>1570617797980</t>
  </si>
  <si>
    <t>-Lqk6SBznwCxH2LPHhjD</t>
  </si>
  <si>
    <t>1570617806488</t>
  </si>
  <si>
    <t>-Lqk6TusHku1x7OuLmEz</t>
  </si>
  <si>
    <t>1570617813440</t>
  </si>
  <si>
    <t>-Lqk6VMWDeEt846NpZF2</t>
  </si>
  <si>
    <t>1570617819591</t>
  </si>
  <si>
    <t>-Lqk6Wz8_QXVbS42KD75</t>
  </si>
  <si>
    <t>1570617825792</t>
  </si>
  <si>
    <t>-Lqk6YelJNdPJtXosxXu</t>
  </si>
  <si>
    <t>1570617833002</t>
  </si>
  <si>
    <t>-Lqk6_P9EUSF20KyDHgw</t>
  </si>
  <si>
    <t>1570617840221</t>
  </si>
  <si>
    <t>-Lqk6ayAX3HSx3GwLvUC</t>
  </si>
  <si>
    <t>1570617846400</t>
  </si>
  <si>
    <t>-Lqk6cl0QBBjxB9dxeZ2</t>
  </si>
  <si>
    <t>1570617853612</t>
  </si>
  <si>
    <t>-Lqk6eU-2hukXenVhcx1</t>
  </si>
  <si>
    <t>1570617860830</t>
  </si>
  <si>
    <t>-Lqk6gFiUEi03lllF69r</t>
  </si>
  <si>
    <t>1570617868042</t>
  </si>
  <si>
    <t>-Lqk6hyGnrcmX2AafxK7</t>
  </si>
  <si>
    <t>1570617875250</t>
  </si>
  <si>
    <t>-Lqk6jpdOrHO2eWIAjyp</t>
  </si>
  <si>
    <t>1570617882461</t>
  </si>
  <si>
    <t>-Lqk6lTqIKk-QwLPj99p</t>
  </si>
  <si>
    <t>1570617889660</t>
  </si>
  <si>
    <t>-Lqk6n4jJmZBYDA6CMDX</t>
  </si>
  <si>
    <t>1570617895851</t>
  </si>
  <si>
    <t>-Lqk6on-Btq3wlwiOb4B</t>
  </si>
  <si>
    <t>1570617903061</t>
  </si>
  <si>
    <t>-Lqk6qGuR971CduVs7uO</t>
  </si>
  <si>
    <t>1570617909200</t>
  </si>
  <si>
    <t>-Lqk6rq-GB6J1BwT0wOD</t>
  </si>
  <si>
    <t>1570617915421</t>
  </si>
  <si>
    <t>-Lqk6tZ0dlSXC3pmqLBw</t>
  </si>
  <si>
    <t>1570617922622</t>
  </si>
  <si>
    <t>-Lqk6vKlx9y9_YvRIylq</t>
  </si>
  <si>
    <t>1570617929842</t>
  </si>
  <si>
    <t>-Lqk6x42_JViyuc0Iw4C</t>
  </si>
  <si>
    <t>1570617937034</t>
  </si>
  <si>
    <t>-Lqk6yd-1yT1JIsjhCPi</t>
  </si>
  <si>
    <t>1570617943289</t>
  </si>
  <si>
    <t>-Lqk7-JdjiiurR6DyS1-</t>
  </si>
  <si>
    <t>1570617950461</t>
  </si>
  <si>
    <t>-Lqk7140wgG-cHCYAOf9</t>
  </si>
  <si>
    <t>1570617957662</t>
  </si>
  <si>
    <t>-Lqk72e5Cbjuu9mt1ZlA</t>
  </si>
  <si>
    <t>1570617963849</t>
  </si>
  <si>
    <t>-Lqk74R-4pvCj7X--EWl</t>
  </si>
  <si>
    <t>1570617971051</t>
  </si>
  <si>
    <t>-Lqk7680Q2etwbfF1t8K</t>
  </si>
  <si>
    <t>1570617978269</t>
  </si>
  <si>
    <t>-Lqk77x-H3ivb5990vqK</t>
  </si>
  <si>
    <t>1570617985480</t>
  </si>
  <si>
    <t>-Lqk79cu2aqCwD7Sljcn</t>
  </si>
  <si>
    <t>1570617992681</t>
  </si>
  <si>
    <t>-Lqk7BRiZ0RDc172Erh6</t>
  </si>
  <si>
    <t>1570617999892</t>
  </si>
  <si>
    <t>-Lqk7D8WmVh622xwhmFJ</t>
  </si>
  <si>
    <t>1570618007110</t>
  </si>
  <si>
    <t>-Lqk7EjqpLHmMaR4xAfk</t>
  </si>
  <si>
    <t>1570618013282</t>
  </si>
  <si>
    <t>-Lqk7GTVdmG4Tg4ANW3-</t>
  </si>
  <si>
    <t>1570618020501</t>
  </si>
  <si>
    <t>-Lqk7IFzWN5BBw7mBHlS</t>
  </si>
  <si>
    <t>1570618027711</t>
  </si>
  <si>
    <t>-Lqk7KIz-vs5hsJQGSrm</t>
  </si>
  <si>
    <t>1570618034922</t>
  </si>
  <si>
    <t>-Lqk7M047kRSa9D5LX-8</t>
  </si>
  <si>
    <t>1570618043163</t>
  </si>
  <si>
    <t>-Lqk7Nu6f2nTdUSCdy7L</t>
  </si>
  <si>
    <t>1570618050790</t>
  </si>
  <si>
    <t>-Lqk7PWtbb7mLVuNvwBd</t>
  </si>
  <si>
    <t>1570618057582</t>
  </si>
  <si>
    <t>-Lqk7RK1-A8mlVHPwgqY</t>
  </si>
  <si>
    <t>1570618064804</t>
  </si>
  <si>
    <t>-Lqk7T2-IkBPAobMkyVZ</t>
  </si>
  <si>
    <t>1570618072002</t>
  </si>
  <si>
    <t>-Lqk7UptQ5W5EcONr1p3</t>
  </si>
  <si>
    <t>1570618079222</t>
  </si>
  <si>
    <t>-Lqk7WYi8Dln01jAJoHi</t>
  </si>
  <si>
    <t>1570618086432</t>
  </si>
  <si>
    <t>-Lqk7Y1ulcVkeOLNFXDr</t>
  </si>
  <si>
    <t>1570618092619</t>
  </si>
  <si>
    <t>-Lqk7Zb0RcEOp9POUyey</t>
  </si>
  <si>
    <t>1570618098795</t>
  </si>
  <si>
    <t>-Lqk7aK062G6NsHI370Y</t>
  </si>
  <si>
    <t>1570618105984</t>
  </si>
  <si>
    <t>-Lqk7bu7wbCU27Ii8DwK</t>
  </si>
  <si>
    <t>1570618112184</t>
  </si>
  <si>
    <t>-Lqk7db-OYDdJOYUINS-</t>
  </si>
  <si>
    <t>1570618119403</t>
  </si>
  <si>
    <t>-Lqk7fOs5TBTzGSdJDoj</t>
  </si>
  <si>
    <t>1570618126614</t>
  </si>
  <si>
    <t>-Lqk7h505ZwrDXfA7ZP0</t>
  </si>
  <si>
    <t>1570618133833</t>
  </si>
  <si>
    <t>-Lqk7jE02OunD380We72</t>
  </si>
  <si>
    <t>1570618141061</t>
  </si>
  <si>
    <t>-Lqk7kxzd3t12-p_-C-c</t>
  </si>
  <si>
    <t>1570618149281</t>
  </si>
  <si>
    <t>-Lqk7mf0Np7oiZG3uLUI</t>
  </si>
  <si>
    <t>1570618156484</t>
  </si>
  <si>
    <t>-Lqk7oSsn0w75Ava_2Wi</t>
  </si>
  <si>
    <t>1570618163692</t>
  </si>
  <si>
    <t>-Lqk7qB0Gdd5wA8WexVd</t>
  </si>
  <si>
    <t>1570618170902</t>
  </si>
  <si>
    <t>-Lqk7rzBmtaz6mgtJH8d</t>
  </si>
  <si>
    <t>1570618178123</t>
  </si>
  <si>
    <t>-Lqk7th13_Lma9ucU6FK</t>
  </si>
  <si>
    <t>1570618185353</t>
  </si>
  <si>
    <t>-Lqk7vV1C1zEGNlUWNfB</t>
  </si>
  <si>
    <t>1570618192542</t>
  </si>
  <si>
    <t>-Lqk7xD18gRNs5Pcopsq</t>
  </si>
  <si>
    <t>1570618199743</t>
  </si>
  <si>
    <t>-Lqk7z00o-NmD029XmG_</t>
  </si>
  <si>
    <t>1570618206980</t>
  </si>
  <si>
    <t>-Lqk8-j0KbD4axDPu143</t>
  </si>
  <si>
    <t>1570618214154</t>
  </si>
  <si>
    <t>-Lqk81IAuUEv5imPTPT8</t>
  </si>
  <si>
    <t>1570618220344</t>
  </si>
  <si>
    <t>-Lqk83018gV6b_zDMrPP</t>
  </si>
  <si>
    <t>1570618227583</t>
  </si>
  <si>
    <t>-Lqk84o04Ag3K7ufQhyI</t>
  </si>
  <si>
    <t>1570618234783</t>
  </si>
  <si>
    <t>-Lqk86WsSgjxR2J9eop-</t>
  </si>
  <si>
    <t>1570618241995</t>
  </si>
  <si>
    <t>-Lqk88LFoxTbt0_Ktyd2</t>
  </si>
  <si>
    <t>1570618249203</t>
  </si>
  <si>
    <t>-Lqk8A20T2-SQPJAFwca</t>
  </si>
  <si>
    <t>1570618256393</t>
  </si>
  <si>
    <t>-Lqk8Basjc9dgc8VZVJw</t>
  </si>
  <si>
    <t>1570618262582</t>
  </si>
  <si>
    <t>-Lqk8DecbG3JPWNEZvec</t>
  </si>
  <si>
    <t>1570618269802</t>
  </si>
  <si>
    <t>-Lqk8FMBwsNYR2AWIEfW</t>
  </si>
  <si>
    <t>1570618278055</t>
  </si>
  <si>
    <t>-Lqk8H3voPKmeuD0FlgE</t>
  </si>
  <si>
    <t>1570618285273</t>
  </si>
  <si>
    <t>-Lqk8Id2Uvt5SBvImU0q</t>
  </si>
  <si>
    <t>1570618291445</t>
  </si>
  <si>
    <t>-Lqk8KLlE4OWIROUoLMD</t>
  </si>
  <si>
    <t>1570618298642</t>
  </si>
  <si>
    <t>-Lqk8Lv2c2OZKpdCc2TQ</t>
  </si>
  <si>
    <t>1570618304834</t>
  </si>
  <si>
    <t>-Lqk8Nd6SUk9LHf7uYv9</t>
  </si>
  <si>
    <t>1570618312044</t>
  </si>
  <si>
    <t>-Lqk8PMCiSNOYFblUJhk</t>
  </si>
  <si>
    <t>1570618319265</t>
  </si>
  <si>
    <t>-Lqk8QusGOahNPwfZ3Wx</t>
  </si>
  <si>
    <t>1570618325453</t>
  </si>
  <si>
    <t>-Lqk8Sj8WbcVhliAA3ly</t>
  </si>
  <si>
    <t>1570618332662</t>
  </si>
  <si>
    <t>-Lqk8URAEJd9vGnO2M-M</t>
  </si>
  <si>
    <t>1570618339864</t>
  </si>
  <si>
    <t>-Lqk8WE3Hg-u-DrL88gv</t>
  </si>
  <si>
    <t>1570618347083</t>
  </si>
  <si>
    <t>-Lqk8Xx2FvEhgoGKqr91</t>
  </si>
  <si>
    <t>1570618354283</t>
  </si>
  <si>
    <t>-Lqk8Zk1MhsFNPlwMldj</t>
  </si>
  <si>
    <t>1570618361495</t>
  </si>
  <si>
    <t>-Lqk8aT1lUZEmoJmdjcA</t>
  </si>
  <si>
    <t>1570618368704</t>
  </si>
  <si>
    <t>-Lqk8cFFJv59BlGIPM8i</t>
  </si>
  <si>
    <t>1570618375925</t>
  </si>
  <si>
    <t>-Lqk8dwjtg_qpose2aHW</t>
  </si>
  <si>
    <t>1570618383103</t>
  </si>
  <si>
    <t>-Lqk8fYAf-6DcH-eJKxa</t>
  </si>
  <si>
    <t>1570618389305</t>
  </si>
  <si>
    <t>-Lqk8hFtpSS1e2z6Ho1u</t>
  </si>
  <si>
    <t>1570618396524</t>
  </si>
  <si>
    <t>-Lqk8j3CzWkIpqoKMrsW</t>
  </si>
  <si>
    <t>1570618403735</t>
  </si>
  <si>
    <t>-Lqk8kkxptFjtUfp8vOv</t>
  </si>
  <si>
    <t>1570618410945</t>
  </si>
  <si>
    <t>-Lqk8mibOJi9i6xkIVnB</t>
  </si>
  <si>
    <t>1570618418164</t>
  </si>
  <si>
    <t>-Lqk8oHsceQTnrQF67-D</t>
  </si>
  <si>
    <t>1570618425345</t>
  </si>
  <si>
    <t>-Lqk8pqtY9x2vfifstiZ</t>
  </si>
  <si>
    <t>1570618431554</t>
  </si>
  <si>
    <t>-Lqk8rZvpT5tPE4HpthV</t>
  </si>
  <si>
    <t>1570618438763</t>
  </si>
  <si>
    <t>-Lqk8tMw2RQc0m70TcZ_</t>
  </si>
  <si>
    <t>1570618445974</t>
  </si>
  <si>
    <t>-Lqk8v50BirHjqFXv5iO</t>
  </si>
  <si>
    <t>1570618453201</t>
  </si>
  <si>
    <t>-Lqk8wt0uqq7tF7ZrgZc</t>
  </si>
  <si>
    <t>1570618460395</t>
  </si>
  <si>
    <t>-Lqk8yajErhE-LTmHwhL</t>
  </si>
  <si>
    <t>1570618467585</t>
  </si>
  <si>
    <t>-Lqk9-A1c-OYfoZnnVuO</t>
  </si>
  <si>
    <t>1570618473784</t>
  </si>
  <si>
    <t>-Lqk90t2H-sqoy7I-Uom</t>
  </si>
  <si>
    <t>1570618481005</t>
  </si>
  <si>
    <t>-Lqk92g2QrVInXVfRQp3</t>
  </si>
  <si>
    <t>1570618488215</t>
  </si>
  <si>
    <t>-Lqk94OvCw7R3MypGbjZ</t>
  </si>
  <si>
    <t>1570618495423</t>
  </si>
  <si>
    <t>-Lqk9673-s96Tkhh6At6</t>
  </si>
  <si>
    <t>1570618502634</t>
  </si>
  <si>
    <t>-Lqk988ztm8JrRpile25</t>
  </si>
  <si>
    <t>1570618510603</t>
  </si>
  <si>
    <t>-Lqk99glMCVQnzz7XY82</t>
  </si>
  <si>
    <t>1570618517061</t>
  </si>
  <si>
    <t>-Lqk9BAbRsjCDTMOdHqK</t>
  </si>
  <si>
    <t>1570618523220</t>
  </si>
  <si>
    <t>-Lqk9CelPeQKK66FBtbb</t>
  </si>
  <si>
    <t>1570618529420</t>
  </si>
  <si>
    <t>-Lqk9EUoY22je8QhyTnP</t>
  </si>
  <si>
    <t>1570618536631</t>
  </si>
  <si>
    <t>-Lqk9GBrphJE1OGtOSS0</t>
  </si>
  <si>
    <t>1570618543840</t>
  </si>
  <si>
    <t>-Lqk9HkqMu4gZZuE3DFi</t>
  </si>
  <si>
    <t>1570618550030</t>
  </si>
  <si>
    <t>-Lqk9Jgks7qfiY2AKWza</t>
  </si>
  <si>
    <t>1570618558132</t>
  </si>
  <si>
    <t>-Lqk9LFK8jGJ02JFMHQa</t>
  </si>
  <si>
    <t>1570618564441</t>
  </si>
  <si>
    <t>-Lqk9Mzy3PgKYF9sReYf</t>
  </si>
  <si>
    <t>1570618571660</t>
  </si>
  <si>
    <t>-Lqk9OXmCdLodXOq3ofg</t>
  </si>
  <si>
    <t>1570618577841</t>
  </si>
  <si>
    <t>-Lqk9Q0bl6Uoe_kj6O9o</t>
  </si>
  <si>
    <t>1570618584022</t>
  </si>
  <si>
    <t>-Lqk9RWr12nyLWTSPG2u</t>
  </si>
  <si>
    <t>1570618590171</t>
  </si>
  <si>
    <t>-Lqk9T00Bi0FepLCzsUx</t>
  </si>
  <si>
    <t>1570618596380</t>
  </si>
  <si>
    <t>-Lqk9UYb_4VD8T1jVWge</t>
  </si>
  <si>
    <t>1570618602561</t>
  </si>
  <si>
    <t>-Lqk9W2y4biSQpp-t9Ia</t>
  </si>
  <si>
    <t>1570618608720</t>
  </si>
  <si>
    <t>-Lqk9Xab0tRBLiNxt15c</t>
  </si>
  <si>
    <t>1570618614910</t>
  </si>
  <si>
    <t>-Lqk9Z25h6WPFSxpLJBU</t>
  </si>
  <si>
    <t>1570618621112</t>
  </si>
  <si>
    <t>-Lqk9__rB4IyxcvIbDuY</t>
  </si>
  <si>
    <t>1570618627260</t>
  </si>
  <si>
    <t>-Lqk9b3y1hrqPB7Visrr</t>
  </si>
  <si>
    <t>1570618633471</t>
  </si>
  <si>
    <t>-Lqk9cdG15rpnX8GxDzC</t>
  </si>
  <si>
    <t>1570618639652</t>
  </si>
  <si>
    <t>-Lqk9eKj3jZ-ZRcQy2J4</t>
  </si>
  <si>
    <t>1570618646867</t>
  </si>
  <si>
    <t>-Lqk9ftbH8UxFxQPuhou</t>
  </si>
  <si>
    <t>1570618653051</t>
  </si>
  <si>
    <t>-Lqk9hNkPoWIYfvjaywW</t>
  </si>
  <si>
    <t>1570618659221</t>
  </si>
  <si>
    <t>-Lqk9irswA1PBo3fwRqS</t>
  </si>
  <si>
    <t>1570618665421</t>
  </si>
  <si>
    <t>-Lqk9kRsD9Bx8aktdRI_</t>
  </si>
  <si>
    <t>1570618671592</t>
  </si>
  <si>
    <t>-Lqk9m9yv4UNizIJdLEn</t>
  </si>
  <si>
    <t>1570618678780</t>
  </si>
  <si>
    <t>-Lqk9nj-q2gGEoCWRnNs</t>
  </si>
  <si>
    <t>1570618684980</t>
  </si>
  <si>
    <t>-Lqk9pQbQMNWx4jNHGlc</t>
  </si>
  <si>
    <t>1570618692202</t>
  </si>
  <si>
    <t>-Lqk9qus_n85NFG8a8yV</t>
  </si>
  <si>
    <t>1570618698371</t>
  </si>
  <si>
    <t>-Lqk9sUqS6RuEUeObPeN</t>
  </si>
  <si>
    <t>1570618704561</t>
  </si>
  <si>
    <t>-Lqk9uDz810TaOJcBsLB</t>
  </si>
  <si>
    <t>1570618711742</t>
  </si>
  <si>
    <t>-Lqk9vkkzjNDNHrOD1-x</t>
  </si>
  <si>
    <t>1570618717952</t>
  </si>
  <si>
    <t>-LqkA0zRL0w6oiJom8jq</t>
  </si>
  <si>
    <t>1570618743614</t>
  </si>
  <si>
    <t>-LqkA2dg01V6vMdy8spZ</t>
  </si>
  <si>
    <t>1570618750531</t>
  </si>
  <si>
    <t>-LqkA4EqUP_d9ptdhxGi</t>
  </si>
  <si>
    <t>1570618756747</t>
  </si>
  <si>
    <t>-LqkA61Eb1lUT5OAgsk3</t>
  </si>
  <si>
    <t>1570618763947</t>
  </si>
  <si>
    <t>-LqkA7gsnIXnO2LN71yn</t>
  </si>
  <si>
    <t>1570618771115</t>
  </si>
  <si>
    <t>-LqkA9FomQA_ZeRS5JMx</t>
  </si>
  <si>
    <t>1570618777315</t>
  </si>
  <si>
    <t>-LqkAAyoiuNb73n9iusg</t>
  </si>
  <si>
    <t>1570618784516</t>
  </si>
  <si>
    <t>-LqkACVH-Va4HTV9D5fP</t>
  </si>
  <si>
    <t>1570618790684</t>
  </si>
  <si>
    <t>-LqkAEKdv_8SE31THgW7</t>
  </si>
  <si>
    <t>1570618796910</t>
  </si>
  <si>
    <t>-LqkAG-3qwCLPBKd7qdw</t>
  </si>
  <si>
    <t>1570618805145</t>
  </si>
  <si>
    <t>-LqkAHWbOs7k51MmBZFe</t>
  </si>
  <si>
    <t>1570618811310</t>
  </si>
  <si>
    <t>-LqkAJ0OjOQq8v2m6uZV</t>
  </si>
  <si>
    <t>1570618817474</t>
  </si>
  <si>
    <t>-LqkAKXWhj1IqTI3Kh-8</t>
  </si>
  <si>
    <t>1570618823678</t>
  </si>
  <si>
    <t>-LqkAM1l2nDmoBlhdCBe</t>
  </si>
  <si>
    <t>1570618829834</t>
  </si>
  <si>
    <t>-LqkANYAZRZN-Bo8YUYY</t>
  </si>
  <si>
    <t>1570618836035</t>
  </si>
  <si>
    <t>-LqkAP75hxZVMf--AD-R</t>
  </si>
  <si>
    <t>1570618842236</t>
  </si>
  <si>
    <t>-LqkAQorRx_Gkq_mVzb9</t>
  </si>
  <si>
    <t>1570618849435</t>
  </si>
  <si>
    <t>-LqkASKPF3eiyBPh3-rW</t>
  </si>
  <si>
    <t>1570618855599</t>
  </si>
  <si>
    <t>-LqkATqvHUjv1yp7llTY</t>
  </si>
  <si>
    <t>1570618861825</t>
  </si>
  <si>
    <t>-LqkAVKWdmhFk6YUZuVP</t>
  </si>
  <si>
    <t>1570618867961</t>
  </si>
  <si>
    <t>-LqkAWrd6_xIgD2s7Yid</t>
  </si>
  <si>
    <t>1570618874149</t>
  </si>
  <si>
    <t>-LqkAYMomCgX1pBNN1sD</t>
  </si>
  <si>
    <t>1570618880314</t>
  </si>
  <si>
    <t>-LqkAZrusp4mNPbemHen</t>
  </si>
  <si>
    <t>1570618886546</t>
  </si>
  <si>
    <t>-LqkAac5U3ku024h4nf1</t>
  </si>
  <si>
    <t>1570618893504</t>
  </si>
  <si>
    <t>-LqkAc8S2t4s1ylqoy1-</t>
  </si>
  <si>
    <t>1570618899914</t>
  </si>
  <si>
    <t>-LqkAdfHDM9UrCzd27xB</t>
  </si>
  <si>
    <t>1570618906095</t>
  </si>
  <si>
    <t>-LqkAf9P8yLKhocB6ESv</t>
  </si>
  <si>
    <t>1570618912236</t>
  </si>
  <si>
    <t>-LqkAgeWrrxCeV85Q33B</t>
  </si>
  <si>
    <t>1570618918464</t>
  </si>
  <si>
    <t>-LqkAiBCJKvl5BHkqkZq</t>
  </si>
  <si>
    <t>1570618924636</t>
  </si>
  <si>
    <t>-LqkAjhiynAXMn8KjDZD</t>
  </si>
  <si>
    <t>1570618930802</t>
  </si>
  <si>
    <t>-LqkAlUFE0UmEzBMcXPt</t>
  </si>
  <si>
    <t>1570618936955</t>
  </si>
  <si>
    <t>-LqkAnCRr9qpMJ85BgF6</t>
  </si>
  <si>
    <t>1570618945276</t>
  </si>
  <si>
    <t>-LqkAoiu4BANglqWfroe</t>
  </si>
  <si>
    <t>1570618951439</t>
  </si>
  <si>
    <t>-LqkAqX4aZcD5extSoJm</t>
  </si>
  <si>
    <t>1570618957599</t>
  </si>
  <si>
    <t>-LqkAsEwtJtoGgLGIy1B</t>
  </si>
  <si>
    <t>1570618965840</t>
  </si>
  <si>
    <t>-LqkAtkWzauwCRGFY0aP</t>
  </si>
  <si>
    <t>1570618972055</t>
  </si>
  <si>
    <t>-LqkAvGclok6kL0ZYB2z</t>
  </si>
  <si>
    <t>1570618978226</t>
  </si>
  <si>
    <t>-LqkAwmN6QZtjPLJXQxm</t>
  </si>
  <si>
    <t>1570618984395</t>
  </si>
  <si>
    <t>-LqkAyXR2pfYz-TLo1EG</t>
  </si>
  <si>
    <t>1570618991596</t>
  </si>
  <si>
    <t>-LqkB-13jWMck-Cv1xdh</t>
  </si>
  <si>
    <t>1570618997841</t>
  </si>
  <si>
    <t>-LqkB0WReqlHfuuBlkrt</t>
  </si>
  <si>
    <t>1570619003939</t>
  </si>
  <si>
    <t>-LqkB22sCI1RSMM2F2gt</t>
  </si>
  <si>
    <t>1570619010122</t>
  </si>
  <si>
    <t>-LqkB3Z8o__LYWuubtQg</t>
  </si>
  <si>
    <t>1570619016311</t>
  </si>
  <si>
    <t>-LqkB54ceOe096F9SwWJ</t>
  </si>
  <si>
    <t>1570619022516</t>
  </si>
  <si>
    <t>-LqkB6a7NgV0QlrE5DFI</t>
  </si>
  <si>
    <t>1570619028685</t>
  </si>
  <si>
    <t>-LqkB857CjswumqOHT93</t>
  </si>
  <si>
    <t>1570619034840</t>
  </si>
  <si>
    <t>-LqkB9bgw9ZZoqr7osVe</t>
  </si>
  <si>
    <t>1570619041086</t>
  </si>
  <si>
    <t>-LqkBB81cckFv8ClGWGU</t>
  </si>
  <si>
    <t>1570619047246</t>
  </si>
  <si>
    <t>-LqkBCsY0hq8hY8mpjsd</t>
  </si>
  <si>
    <t>1570619054441</t>
  </si>
  <si>
    <t>-LqkBENdI3zmbWU239mG</t>
  </si>
  <si>
    <t>1570619060660</t>
  </si>
  <si>
    <t>-LqkBFu77mldFLJ2UlWS</t>
  </si>
  <si>
    <t>1570619066842</t>
  </si>
  <si>
    <t>-LqkBHPViQ2yEFWgBN4N</t>
  </si>
  <si>
    <t>1570619072995</t>
  </si>
  <si>
    <t>-LqkBIuv60UssR6baeoK</t>
  </si>
  <si>
    <t>1570619079155</t>
  </si>
  <si>
    <t>-LqkBKQDauosRxcYmd9-</t>
  </si>
  <si>
    <t>1570619085381</t>
  </si>
  <si>
    <t>-LqkBLwN5DsgVtOGVXvF</t>
  </si>
  <si>
    <t>1570619091551</t>
  </si>
  <si>
    <t>-LqkBNRULjW4a6nCbv4K</t>
  </si>
  <si>
    <t>1570619097780</t>
  </si>
  <si>
    <t>-LqkBOxzpcyt2iBJFifL</t>
  </si>
  <si>
    <t>1570619103950</t>
  </si>
  <si>
    <t>-LqkBQQwamuYcLyOM7zA</t>
  </si>
  <si>
    <t>1570619110050</t>
  </si>
  <si>
    <t>-LqkBRygt6BTCMKw2Hfo</t>
  </si>
  <si>
    <t>1570619116270</t>
  </si>
  <si>
    <t>-LqkBTTtsw2Xf2hQstlM</t>
  </si>
  <si>
    <t>1570619122440</t>
  </si>
  <si>
    <t>-LqkBUxjLrTaAoLNo4Ud</t>
  </si>
  <si>
    <t>1570619128600</t>
  </si>
  <si>
    <t>-LqkBWVUAezNSCU4xGer</t>
  </si>
  <si>
    <t>1570619134830</t>
  </si>
  <si>
    <t>-LqkBY-tMFKjLNpH7huV</t>
  </si>
  <si>
    <t>1570619140990</t>
  </si>
  <si>
    <t>-LqkBZW994GPNaKZGoMq</t>
  </si>
  <si>
    <t>1570619147160</t>
  </si>
  <si>
    <t>-LqkBa1JSrL5mx_l5OyG</t>
  </si>
  <si>
    <t>1570619153390</t>
  </si>
  <si>
    <t>-LqkBb_6911_BGyORLW7</t>
  </si>
  <si>
    <t>1570619159562</t>
  </si>
  <si>
    <t>-LqkBd_3-Z9fit0I3jUs</t>
  </si>
  <si>
    <t>1570619166752</t>
  </si>
  <si>
    <t>-LqkBfJ42Zm0vKkDPxif</t>
  </si>
  <si>
    <t>1570619174987</t>
  </si>
  <si>
    <t>-LqkBgn7zK2JqguGuGT6</t>
  </si>
  <si>
    <t>1570619181159</t>
  </si>
  <si>
    <t>-LqkBiJ_LqvMxIs5qlri</t>
  </si>
  <si>
    <t>1570619187378</t>
  </si>
  <si>
    <t>-LqkBjq6BEAKykeHfMEQ</t>
  </si>
  <si>
    <t>1570619193559</t>
  </si>
  <si>
    <t>-LqkBlMbz054bvLHNJQu</t>
  </si>
  <si>
    <t>1570619199707</t>
  </si>
  <si>
    <t>-LqkBn5g5Oj4BxS0eo3f</t>
  </si>
  <si>
    <t>1570619206919</t>
  </si>
  <si>
    <t>-LqkBob5h5205YUCNCJn</t>
  </si>
  <si>
    <t>1570619213098</t>
  </si>
  <si>
    <t>-LqkBq7Q3v_ANHM54VD-</t>
  </si>
  <si>
    <t>1570619219321</t>
  </si>
  <si>
    <t>-LqkBrcrxIphOYPedTKv</t>
  </si>
  <si>
    <t>1570619225469</t>
  </si>
  <si>
    <t>-LqkBt7vxvQX3Z1caPN6</t>
  </si>
  <si>
    <t>1570619231639</t>
  </si>
  <si>
    <t>-LqkBudK8UQOwAxdeaIc</t>
  </si>
  <si>
    <t>1570619237804</t>
  </si>
  <si>
    <t>-LqkBw8_FtaK57wOEfAE</t>
  </si>
  <si>
    <t>1570619244034</t>
  </si>
  <si>
    <t>-LqkBxf6-liPCdG6hW6A</t>
  </si>
  <si>
    <t>1570619250189</t>
  </si>
  <si>
    <t>-LqkBzAQYiii_i2qC2zG</t>
  </si>
  <si>
    <t>1570619256358</t>
  </si>
  <si>
    <t>-LqkC-h0YKIWlFEggnO6</t>
  </si>
  <si>
    <t>1570619262574</t>
  </si>
  <si>
    <t>-LqkC1R7Vg6ZMPh7Ivwi</t>
  </si>
  <si>
    <t>1570619268679</t>
  </si>
  <si>
    <t>-LqkC2xgPSZDlsh-42My</t>
  </si>
  <si>
    <t>1570619275957</t>
  </si>
  <si>
    <t>-LqkC4Sr-9nFoWc23AKm</t>
  </si>
  <si>
    <t>1570619282119</t>
  </si>
  <si>
    <t>-LqkC60jZ3GjenkUD7rJ</t>
  </si>
  <si>
    <t>1570619288288</t>
  </si>
  <si>
    <t>-LqkC7jh0-38PlPrAd14</t>
  </si>
  <si>
    <t>1570619295577</t>
  </si>
  <si>
    <t>-LqkC9DqAnxDSmfIdT1O</t>
  </si>
  <si>
    <t>1570619301639</t>
  </si>
  <si>
    <t>-LqkCAkK1GgX1R90KtC4</t>
  </si>
  <si>
    <t>1570619307878</t>
  </si>
  <si>
    <t>-LqkCCFbcpacKFwHbPc2</t>
  </si>
  <si>
    <t>1570619314039</t>
  </si>
  <si>
    <t>-LqkCDm9qlTibH4rWzIl</t>
  </si>
  <si>
    <t>1570619320277</t>
  </si>
  <si>
    <t>-LqkCFHAWpus0L-HzRQk</t>
  </si>
  <si>
    <t>1570619326434</t>
  </si>
  <si>
    <t>-LqkCGmfoEpliDD_-WXF</t>
  </si>
  <si>
    <t>1570619332592</t>
  </si>
  <si>
    <t>-LqkCIHrS0KFAIwo0sWO</t>
  </si>
  <si>
    <t>1570619338758</t>
  </si>
  <si>
    <t>-LqkCJoC5R_-wHfeJiSf</t>
  </si>
  <si>
    <t>1570619345039</t>
  </si>
  <si>
    <t>-LqkCLJa2M2d_WdDEIsF</t>
  </si>
  <si>
    <t>1570619351148</t>
  </si>
  <si>
    <t>-LqkCMorlVSaKKjvBuvy</t>
  </si>
  <si>
    <t>1570619357319</t>
  </si>
  <si>
    <t>-LqkCOK5NSMd_J7QVfyV</t>
  </si>
  <si>
    <t>1570619363480</t>
  </si>
  <si>
    <t>-LqkCPqW_b8D8IilKOPJ</t>
  </si>
  <si>
    <t>1570619369709</t>
  </si>
  <si>
    <t>-LqkCROP5FESqWxdsBmI</t>
  </si>
  <si>
    <t>1570619375874</t>
  </si>
  <si>
    <t>-LqkCTPIzFJFXqFWU57c</t>
  </si>
  <si>
    <t>1570619384298</t>
  </si>
  <si>
    <t>-LqkCV6vw2-NpRe_Uruh</t>
  </si>
  <si>
    <t>1570619391319</t>
  </si>
  <si>
    <t>-LqkCWcKv1gCoe-9x2fV</t>
  </si>
  <si>
    <t>1570619397479</t>
  </si>
  <si>
    <t>-LqkCY91VM-5W3BeRpWt</t>
  </si>
  <si>
    <t>1570619403718</t>
  </si>
  <si>
    <t>-LqkCZe6xG3pzgCjcN9U</t>
  </si>
  <si>
    <t>1570619409867</t>
  </si>
  <si>
    <t>-LqkCaDJuMcty276PZUN</t>
  </si>
  <si>
    <t>1570619416297</t>
  </si>
  <si>
    <t>-LqkCbumpAFzzIvZYPIG</t>
  </si>
  <si>
    <t>1570619423244</t>
  </si>
  <si>
    <t>-LqkCdQ4EZZdEX_V3GzJ</t>
  </si>
  <si>
    <t>1570619429457</t>
  </si>
  <si>
    <t>-LqkCewbpsu_CArnpVbt</t>
  </si>
  <si>
    <t>1570619435629</t>
  </si>
  <si>
    <t>-LqkCgRpVFvSJ3nIhNRO</t>
  </si>
  <si>
    <t>1570619441799</t>
  </si>
  <si>
    <t>-LqkChxiL2hgriQH7lUz</t>
  </si>
  <si>
    <t>1570619447959</t>
  </si>
  <si>
    <t>-LqkCjTaHVm2a4dJdfUN</t>
  </si>
  <si>
    <t>1570619454194</t>
  </si>
  <si>
    <t>-LqkCkxWB3vBKoGltskL</t>
  </si>
  <si>
    <t>1570619460323</t>
  </si>
  <si>
    <t>-LqkCmikrqq2a429oZVX</t>
  </si>
  <si>
    <t>1570619467573</t>
  </si>
  <si>
    <t>-LqkCoFFwWEzvo31lhzV</t>
  </si>
  <si>
    <t>1570619473768</t>
  </si>
  <si>
    <t>-LqkCpkdYeZrF1t1khUd</t>
  </si>
  <si>
    <t>1570619479920</t>
  </si>
  <si>
    <t>-LqkCrGCIXH2j6gwZQD9</t>
  </si>
  <si>
    <t>1570619486089</t>
  </si>
  <si>
    <t>-LqkCskkII__Eh7061PN</t>
  </si>
  <si>
    <t>1570619492248</t>
  </si>
  <si>
    <t>-LqkCuGkDF3niP3OuHfk</t>
  </si>
  <si>
    <t>1570619498434</t>
  </si>
  <si>
    <t>-LqkCvnHOq7rVmTwdlBC</t>
  </si>
  <si>
    <t>1570619504672</t>
  </si>
  <si>
    <t>-LqkCxHVhLqMeaApSZdK</t>
  </si>
  <si>
    <t>1570619510807</t>
  </si>
  <si>
    <t>-LqkCyoZZUfPhfZLWI9l</t>
  </si>
  <si>
    <t>1570619517024</t>
  </si>
  <si>
    <t>-LqkD-JdU6K-q-OzzS1K</t>
  </si>
  <si>
    <t>1570619523188</t>
  </si>
  <si>
    <t>-LqkD0oePYQ_qvV-YLyz</t>
  </si>
  <si>
    <t>1570619529342</t>
  </si>
  <si>
    <t>-LqkD2KvaDvQ72hMVgbW</t>
  </si>
  <si>
    <t>1570619535522</t>
  </si>
  <si>
    <t>-LqkD3qBGe1bpm3MNq7M</t>
  </si>
  <si>
    <t>1570619541747</t>
  </si>
  <si>
    <t>-LqkD5LtY7TfxJq3Zq1h</t>
  </si>
  <si>
    <t>1570619547903</t>
  </si>
  <si>
    <t>-LqkD6rl2QJn-go6C010</t>
  </si>
  <si>
    <t>1570619554062</t>
  </si>
  <si>
    <t>-LqkD8MIse9SWN-lBUYM</t>
  </si>
  <si>
    <t>1570619560262</t>
  </si>
  <si>
    <t>-LqkD9rKoQYIktHaPaF_</t>
  </si>
  <si>
    <t>1570619566447</t>
  </si>
  <si>
    <t>-LqkDBNgm1k4TECgAj6w</t>
  </si>
  <si>
    <t>1570619572602</t>
  </si>
  <si>
    <t>-LqkDCwX47UcgJEIh3Hc</t>
  </si>
  <si>
    <t>1570619578804</t>
  </si>
  <si>
    <t>-LqkDEdRAyruKYwuPGEN</t>
  </si>
  <si>
    <t>1570619586003</t>
  </si>
  <si>
    <t>-LqkDGVHK8j9pSflXKUF</t>
  </si>
  <si>
    <t>1570619592233</t>
  </si>
  <si>
    <t>-LqkDIB-GjednLMciSyy</t>
  </si>
  <si>
    <t>1570619600474</t>
  </si>
  <si>
    <t>-LqkDJf3qE3zlBzP6xpd</t>
  </si>
  <si>
    <t>1570619606611</t>
  </si>
  <si>
    <t>-LqkDLBebQtEwk58PDAM</t>
  </si>
  <si>
    <t>1570619612785</t>
  </si>
  <si>
    <t>-LqkDMhCmiGwBmcnMcJw</t>
  </si>
  <si>
    <t>1570619618990</t>
  </si>
  <si>
    <t>-LqkDOCd15CA2XjsopOM</t>
  </si>
  <si>
    <t>1570619625145</t>
  </si>
  <si>
    <t>-LqkDPj8KQZZ5O1nSSw8</t>
  </si>
  <si>
    <t>1570619631373</t>
  </si>
  <si>
    <t>-LqkDRCy-4_W4b6oeImW</t>
  </si>
  <si>
    <t>1570619637535</t>
  </si>
  <si>
    <t>-LqkDSjb-XIQZM9rdH7Q</t>
  </si>
  <si>
    <t>1570619643720</t>
  </si>
  <si>
    <t>-LqkDUEr_mqb24AwUKt9</t>
  </si>
  <si>
    <t>1570619649943</t>
  </si>
  <si>
    <t>-LqkDVk6WqLQBHF35ws7</t>
  </si>
  <si>
    <t>1570619656094</t>
  </si>
  <si>
    <t>-LqkDXHs1qifMiBM0qHD</t>
  </si>
  <si>
    <t>1570619662254</t>
  </si>
  <si>
    <t>-LqkDZ18LOAE7N5Drjtr</t>
  </si>
  <si>
    <t>1570619669463</t>
  </si>
  <si>
    <t>-LqkD_XMjTymI_MeNp4w</t>
  </si>
  <si>
    <t>1570619675624</t>
  </si>
  <si>
    <t>-LqkDb1lZtyTyCLsgLHH</t>
  </si>
  <si>
    <t>1570619681854</t>
  </si>
  <si>
    <t>-LqkDcXuDNVSRsdyO8sA</t>
  </si>
  <si>
    <t>1570619688015</t>
  </si>
  <si>
    <t>-LqkDe3PJaXqGEUZPl1L</t>
  </si>
  <si>
    <t>1570619694183</t>
  </si>
  <si>
    <t>-LqkDf_1dvEFFbhxd7K7</t>
  </si>
  <si>
    <t>1570619700403</t>
  </si>
  <si>
    <t>-LqkDh58dQ2bHmG4i0T5</t>
  </si>
  <si>
    <t>1570619706585</t>
  </si>
  <si>
    <t>-LqkDiaT8rQnxijqDJmn</t>
  </si>
  <si>
    <t>1570619712745</t>
  </si>
  <si>
    <t>-LqkDk5cyd0xZSqicnk0</t>
  </si>
  <si>
    <t>1570619718903</t>
  </si>
  <si>
    <t>-LqkDlc73Ds6jGMdGgyw</t>
  </si>
  <si>
    <t>1570619725141</t>
  </si>
  <si>
    <t>-LqkDn6G_AkRt_qrP3A-</t>
  </si>
  <si>
    <t>1570619731236</t>
  </si>
  <si>
    <t>-LqkDoceZjacZ3wcpn4N</t>
  </si>
  <si>
    <t>1570619737464</t>
  </si>
  <si>
    <t>-LqkDqMtCrRpluEJmt9E</t>
  </si>
  <si>
    <t>1570619744680</t>
  </si>
  <si>
    <t>-LqkDrtEKlcMfqwiCoOS</t>
  </si>
  <si>
    <t>1570619750885</t>
  </si>
  <si>
    <t>-LqkDtrb7ZebH7nTs6mG</t>
  </si>
  <si>
    <t>1570619757064</t>
  </si>
  <si>
    <t>-LqkDvQk_1PvyBwyr4oJ</t>
  </si>
  <si>
    <t>1570619765305</t>
  </si>
  <si>
    <t>-LqkDwvrjV6Lr31bKSIY</t>
  </si>
  <si>
    <t>1570619771465</t>
  </si>
  <si>
    <t>-LqkDyR7ujfsSBV62gwG</t>
  </si>
  <si>
    <t>1570619777623</t>
  </si>
  <si>
    <t>-LqkDzwMjPv0MD806rbL</t>
  </si>
  <si>
    <t>1570619783855</t>
  </si>
  <si>
    <t>-LqkE0UD3GGRhh8kU2Bp</t>
  </si>
  <si>
    <t>1570619790024</t>
  </si>
  <si>
    <t>-LqkE2FrX54Rgtq2GM_u</t>
  </si>
  <si>
    <t>1570619797220</t>
  </si>
  <si>
    <t>-LqkE4H1r3IkTACMgLhk</t>
  </si>
  <si>
    <t>1570619804424</t>
  </si>
  <si>
    <t>-LqkE5zcBm15HaMU7H_i</t>
  </si>
  <si>
    <t>1570619812660</t>
  </si>
  <si>
    <t>-LqkE7VWUPf8pmtEccey</t>
  </si>
  <si>
    <t>1570619818830</t>
  </si>
  <si>
    <t>-LqkE9LgNZ7YeNnGVIZb</t>
  </si>
  <si>
    <t>1570619826463</t>
  </si>
  <si>
    <t>-LqkEB1Bc7h0uwoIOpdN</t>
  </si>
  <si>
    <t>1570619833310</t>
  </si>
  <si>
    <t>-LqkECXHyhdbrBV_KbLU</t>
  </si>
  <si>
    <t>1570619839463</t>
  </si>
  <si>
    <t>-LqkEE1bXC4Jcqsq_4sA</t>
  </si>
  <si>
    <t>1570619845624</t>
  </si>
  <si>
    <t>-LqkEFoMv1KjPChWcqaQ</t>
  </si>
  <si>
    <t>1570619852823</t>
  </si>
  <si>
    <t>-LqkEHIgTQY5U2Nh30F1</t>
  </si>
  <si>
    <t>1570619859049</t>
  </si>
  <si>
    <t>-LqkEIrNlyH5B2UbCaqS</t>
  </si>
  <si>
    <t>1570619865445</t>
  </si>
  <si>
    <t>-LqkEKdCsdTRMBB4DZ9V</t>
  </si>
  <si>
    <t>1570619872425</t>
  </si>
  <si>
    <t>-LqkEMKi1CjyP3mDm2SJ</t>
  </si>
  <si>
    <t>1570619879643</t>
  </si>
  <si>
    <t>-LqkEOCul3bU5UwZxRi4</t>
  </si>
  <si>
    <t>1570619885844</t>
  </si>
  <si>
    <t>-LqkEPs7trl05Jj-Mo0O</t>
  </si>
  <si>
    <t>1570619894099</t>
  </si>
  <si>
    <t>-LqkES1SnOgOVqA4Gd6n</t>
  </si>
  <si>
    <t>1570619900183</t>
  </si>
  <si>
    <t>-LqkETftZk8t1L5QcUGm</t>
  </si>
  <si>
    <t>1570619909768</t>
  </si>
  <si>
    <t>-LqkEVOsthKffPItqEh9</t>
  </si>
  <si>
    <t>1570619916733</t>
  </si>
  <si>
    <t>-LqkEWvSET6wUT2DA3-6</t>
  </si>
  <si>
    <t>1570619922903</t>
  </si>
  <si>
    <t>-LqkEYecVpIFDGvBKT2G</t>
  </si>
  <si>
    <t>1570619930104</t>
  </si>
  <si>
    <t>-LqkE_CDqPkwhtFQBvWU</t>
  </si>
  <si>
    <t>1570619936328</t>
  </si>
  <si>
    <t>-LqkEb0bO70-agr-zQ4B</t>
  </si>
  <si>
    <t>1570619943903</t>
  </si>
  <si>
    <t>-LqkEcgyFC6Pl18_sIBq</t>
  </si>
  <si>
    <t>1570619950734</t>
  </si>
  <si>
    <t>-LqkEeCaqllFu4KIrYBf</t>
  </si>
  <si>
    <t>1570619956913</t>
  </si>
  <si>
    <t>-LqkEfhc-EaivkRvN-LE</t>
  </si>
  <si>
    <t>1570619963069</t>
  </si>
  <si>
    <t>-LqkEhE7buJ3oVhvwC6I</t>
  </si>
  <si>
    <t>1570619969294</t>
  </si>
  <si>
    <t>-LqkEijD29otFC3M6b1F</t>
  </si>
  <si>
    <t>1570619975470</t>
  </si>
  <si>
    <t>-LqkEkTdiV_B2hc_k_Gt</t>
  </si>
  <si>
    <t>1570619982663</t>
  </si>
  <si>
    <t>-LqkEm-8hPN7BA4URIZQ</t>
  </si>
  <si>
    <t>1570619988834</t>
  </si>
  <si>
    <t>-LqkEnWb7ZFEC1uhCRIO</t>
  </si>
  <si>
    <t>1570619995055</t>
  </si>
  <si>
    <t>-LqkEp-LLOu7RzYZgmmZ</t>
  </si>
  <si>
    <t>1570620001213</t>
  </si>
  <si>
    <t>-LqkEqXBrzx3vucPl7E6</t>
  </si>
  <si>
    <t>1570620007384</t>
  </si>
  <si>
    <t>-LqkEs17uWaIdkkccsuD</t>
  </si>
  <si>
    <t>1570620013555</t>
  </si>
  <si>
    <t>-LqkEtYr2yzSo1YcEyHU</t>
  </si>
  <si>
    <t>1570620019787</t>
  </si>
  <si>
    <t>-LqkEv3ITPUEgupal8V4</t>
  </si>
  <si>
    <t>1570620025945</t>
  </si>
  <si>
    <t>-LqkEx3sxHPkaNXWZSvQ</t>
  </si>
  <si>
    <t>1570620033244</t>
  </si>
  <si>
    <t>-LqkEy_S9ffMZoIEuerb</t>
  </si>
  <si>
    <t>1570620040345</t>
  </si>
  <si>
    <t>-LqkF-4NbOjGYPbw7vA0</t>
  </si>
  <si>
    <t>1570620046505</t>
  </si>
  <si>
    <t>-LqkF0_d3DBgGWR-L7pt</t>
  </si>
  <si>
    <t>1570620052735</t>
  </si>
  <si>
    <t>-LqkF24UN_h6Uiq-2V9r</t>
  </si>
  <si>
    <t>1570620058875</t>
  </si>
  <si>
    <t>-LqkF3bM59qGl2LWLUCu</t>
  </si>
  <si>
    <t>1570620065064</t>
  </si>
  <si>
    <t>-LqkF57dzPM--JfWP9aC</t>
  </si>
  <si>
    <t>1570620071304</t>
  </si>
  <si>
    <t>-LqkF6cwsYbwkggKiJj1</t>
  </si>
  <si>
    <t>1570620077449</t>
  </si>
  <si>
    <t>-LqkF8D8MvGQwi4E3WVk</t>
  </si>
  <si>
    <t>1570620083932</t>
  </si>
  <si>
    <t>-LqkF9u_-stiB4jrSW7m</t>
  </si>
  <si>
    <t>1570620090809</t>
  </si>
  <si>
    <t>-LqkFBQ9S5L5LPaZVwkE</t>
  </si>
  <si>
    <t>1570620097049</t>
  </si>
  <si>
    <t>-LqkFD1xhJUotEEQlpi8</t>
  </si>
  <si>
    <t>1570620103684</t>
  </si>
  <si>
    <t>-LqkFEiPrIGI4HwBqzLA</t>
  </si>
  <si>
    <t>1570620110409</t>
  </si>
  <si>
    <t>-LqkFGQ7qocaOfTPbcZo</t>
  </si>
  <si>
    <t>1570620117609</t>
  </si>
  <si>
    <t>-LqkFI5e6anoGx2eJMPD</t>
  </si>
  <si>
    <t>1570620123770</t>
  </si>
  <si>
    <t>-LqkFJh9ya0IxCTPvHlL</t>
  </si>
  <si>
    <t>1570620131029</t>
  </si>
  <si>
    <t>-LqkFLDc3NKDhcL2jn4G</t>
  </si>
  <si>
    <t>1570620137211</t>
  </si>
  <si>
    <t>-LqkFMitqW0W_yHpvAbP</t>
  </si>
  <si>
    <t>1570620143370</t>
  </si>
  <si>
    <t>-LqkFOEGW6YMJGPbCmPY</t>
  </si>
  <si>
    <t>1570620149535</t>
  </si>
  <si>
    <t>-LqkFPkoVJ7PrCqAaDif</t>
  </si>
  <si>
    <t>1570620155774</t>
  </si>
  <si>
    <t>-LqkFRG-73vS7zxfJ2ZL</t>
  </si>
  <si>
    <t>1570620161929</t>
  </si>
  <si>
    <t>-LqkFSl9pg1Q0J0SuTTo</t>
  </si>
  <si>
    <t>1570620168089</t>
  </si>
  <si>
    <t>-LqkFUGSpTnTy1eRm6ZZ</t>
  </si>
  <si>
    <t>1570620174249</t>
  </si>
  <si>
    <t>-LqkFVmuwhcrKwOSpxOn</t>
  </si>
  <si>
    <t>1570620180489</t>
  </si>
  <si>
    <t>-LqkFXI9JsMABsdm4erM</t>
  </si>
  <si>
    <t>1570620186650</t>
  </si>
  <si>
    <t>-LqkFYpvIf00shN0d9qf</t>
  </si>
  <si>
    <t>1570620192808</t>
  </si>
  <si>
    <t>-LqkF_bmB9H5Qz_I-2lH</t>
  </si>
  <si>
    <t>1570620200014</t>
  </si>
  <si>
    <t>-LqkFbJT5u8Uv-2z5IvN</t>
  </si>
  <si>
    <t>1570620207270</t>
  </si>
  <si>
    <t>-LqkFcpzUorc03tmrfou</t>
  </si>
  <si>
    <t>1570620213450</t>
  </si>
  <si>
    <t>-LqkFeL9wiJlnLpYxFBK</t>
  </si>
  <si>
    <t>1570620219610</t>
  </si>
  <si>
    <t>-LqkFftk0ER_MADAdr_K</t>
  </si>
  <si>
    <t>1570620225769</t>
  </si>
  <si>
    <t>-LqkFhau2KQEdd9Y1mOM</t>
  </si>
  <si>
    <t>1570620232976</t>
  </si>
  <si>
    <t>-LqkFj7wCUwQan6gL-Uo</t>
  </si>
  <si>
    <t>1570620239208</t>
  </si>
  <si>
    <t>-LqkFkyHyH9hNyR2zB4Y</t>
  </si>
  <si>
    <t>1570620245371</t>
  </si>
  <si>
    <t>-LqkFmcIwIljq1eLkxDn</t>
  </si>
  <si>
    <t>1570620253572</t>
  </si>
  <si>
    <t>-LqkFo8efLUIDrgtTY2-</t>
  </si>
  <si>
    <t>1570620259770</t>
  </si>
  <si>
    <t>-LqkFpv6HE74yhadHoWS</t>
  </si>
  <si>
    <t>1570620266969</t>
  </si>
  <si>
    <t>-LqkFrPPX4d1gfUNWZsT</t>
  </si>
  <si>
    <t>1570620273135</t>
  </si>
  <si>
    <t>-LqkFsvt-wnqIm15QF83</t>
  </si>
  <si>
    <t>1570620279384</t>
  </si>
  <si>
    <t>-LqkFuR8tXssR513G4Yt</t>
  </si>
  <si>
    <t>1570620285535</t>
  </si>
  <si>
    <t>-LqkFvwUi_do_Nh59vw3</t>
  </si>
  <si>
    <t>1570620291703</t>
  </si>
  <si>
    <t>-LqkFxSsxib8HdEx4Azi</t>
  </si>
  <si>
    <t>1570620297929</t>
  </si>
  <si>
    <t>-LqkFzFbYG_z5OJmCAFr</t>
  </si>
  <si>
    <t>1570620304134</t>
  </si>
  <si>
    <t>-LqkG-ywO3OyxxpxQ3xj</t>
  </si>
  <si>
    <t>1570620312329</t>
  </si>
  <si>
    <t>-LqkG1U80OZDEdh3vyqC</t>
  </si>
  <si>
    <t>1570620318489</t>
  </si>
  <si>
    <t>-LqkG3-cLWnzx8Rw1EEW</t>
  </si>
  <si>
    <t>1570620324748</t>
  </si>
  <si>
    <t>-LqkG4VvC72koOUPPzbI</t>
  </si>
  <si>
    <t>1570620330889</t>
  </si>
  <si>
    <t>-LqkG61PHuOfrDMr77sm</t>
  </si>
  <si>
    <t>1570620337050</t>
  </si>
  <si>
    <t>-LqkG7ldWC1bBlBMHBmS</t>
  </si>
  <si>
    <t>1570620344249</t>
  </si>
  <si>
    <t>-LqkG9GugNZjqqqGMDtU</t>
  </si>
  <si>
    <t>1570620350469</t>
  </si>
  <si>
    <t>-LqkGAm8y_7qvRn95JFX</t>
  </si>
  <si>
    <t>1570620356609</t>
  </si>
  <si>
    <t>-LqkGCIcPQXTZok3eF7U</t>
  </si>
  <si>
    <t>1570620362809</t>
  </si>
  <si>
    <t>-LqkGDnt8Ueixxj_NB8c</t>
  </si>
  <si>
    <t>1570620368968</t>
  </si>
  <si>
    <t>-LqkGFKOGBkf7Qz_T09l</t>
  </si>
  <si>
    <t>1570620375209</t>
  </si>
  <si>
    <t>-LqkGGoPT9RIl0KeM7Gg</t>
  </si>
  <si>
    <t>1570620381350</t>
  </si>
  <si>
    <t>-LqkGIKsuNWmxmeU6wcP</t>
  </si>
  <si>
    <t>1570620387532</t>
  </si>
  <si>
    <t>-LqkGJqEhLH0R_XhQTbv</t>
  </si>
  <si>
    <t>1570620393690</t>
  </si>
  <si>
    <t>-LqkGLLPydcXeodxtOGD</t>
  </si>
  <si>
    <t>1570620399929</t>
  </si>
  <si>
    <t>-LqkGN2E4pedLE8_Nz_n</t>
  </si>
  <si>
    <t>1570620406105</t>
  </si>
  <si>
    <t>-LqkGOcU3cuAi-DkfM0K</t>
  </si>
  <si>
    <t>1570620413294</t>
  </si>
  <si>
    <t>-LqkGQ65zXyuC-54c5hu</t>
  </si>
  <si>
    <t>1570620419452</t>
  </si>
  <si>
    <t>-LqkGRcuo9FEugngXWxS</t>
  </si>
  <si>
    <t>1570620425669</t>
  </si>
  <si>
    <t>-LqkGT9VbAjIVJPBcE12</t>
  </si>
  <si>
    <t>1570620431855</t>
  </si>
  <si>
    <t>-LqkGUeik0wy28fMnKwG</t>
  </si>
  <si>
    <t>1570620438014</t>
  </si>
  <si>
    <t>-LqkGWAbd0ZWuR1W3pyy</t>
  </si>
  <si>
    <t>1570620444225</t>
  </si>
  <si>
    <t>-LqkGXf7zHfU_omtlddf</t>
  </si>
  <si>
    <t>1570620450430</t>
  </si>
  <si>
    <t>-LqkGZeRYCVJ0SNELHko</t>
  </si>
  <si>
    <t>1570620456540</t>
  </si>
  <si>
    <t>-LqkGaBQL_S9z6TXQVQv</t>
  </si>
  <si>
    <t>1570620464816</t>
  </si>
  <si>
    <t>-LqkGbgtxDuFB8O_aVqd</t>
  </si>
  <si>
    <t>1570620470976</t>
  </si>
  <si>
    <t>-LqkGdDBjT5aeGFYLrBN</t>
  </si>
  <si>
    <t>1570620477147</t>
  </si>
  <si>
    <t>-LqkGeiPuyDoyRYx5sGF</t>
  </si>
  <si>
    <t>1570620483368</t>
  </si>
  <si>
    <t>-LqkGgDexzYZvA_01s6r</t>
  </si>
  <si>
    <t>1570620489536</t>
  </si>
  <si>
    <t>-LqkGhk9JbDfKL_3iwIb</t>
  </si>
  <si>
    <t>1570620495708</t>
  </si>
  <si>
    <t>-LqkGjFP_HFllAc_NC6l</t>
  </si>
  <si>
    <t>1570620501868</t>
  </si>
  <si>
    <t>-LqkGknCociD2WBQjNbB</t>
  </si>
  <si>
    <t>1570620508099</t>
  </si>
  <si>
    <t>-LqkGmWEPygRx1CMhdZZ</t>
  </si>
  <si>
    <t>1570620515298</t>
  </si>
  <si>
    <t>-LqkGo11o4PyJsbK6RqQ</t>
  </si>
  <si>
    <t>1570620521457</t>
  </si>
  <si>
    <t>-LqkGpZJArk9vGr4E2pQ</t>
  </si>
  <si>
    <t>1570620527626</t>
  </si>
  <si>
    <t>-LqkGr2AJyArC4iQffhC</t>
  </si>
  <si>
    <t>1570620533808</t>
  </si>
  <si>
    <t>-LqkGsZ1XnCvHuVSjGWN</t>
  </si>
  <si>
    <t>1570620540017</t>
  </si>
  <si>
    <t>-LqkGu3m66wP4DOFcOom</t>
  </si>
  <si>
    <t>1570620546186</t>
  </si>
  <si>
    <t>-LqkGvs3cEU8x6FoV5jg</t>
  </si>
  <si>
    <t>1570620552343</t>
  </si>
  <si>
    <t>-LqkGx_wPdijOjEk4hae</t>
  </si>
  <si>
    <t>1570620560597</t>
  </si>
  <si>
    <t>-LqkGz7gkn7PT65Iav3c</t>
  </si>
  <si>
    <t>1570620566821</t>
  </si>
  <si>
    <t>-LqkH-ru1gumcenOg-7C</t>
  </si>
  <si>
    <t>1570620574023</t>
  </si>
  <si>
    <t>-LqkH1NFZVQ7qcxrDhi7</t>
  </si>
  <si>
    <t>1570620580202</t>
  </si>
  <si>
    <t>-LqkH2sWEGN5smiHG9QU</t>
  </si>
  <si>
    <t>1570620586346</t>
  </si>
  <si>
    <t>-LqkH4OuQC-DRxF5sgWP</t>
  </si>
  <si>
    <t>1570620592587</t>
  </si>
  <si>
    <t>-LqkH5suoIma-yjkvVKv</t>
  </si>
  <si>
    <t>1570620598737</t>
  </si>
  <si>
    <t>-LqkH7P068D4GhxQlEPE</t>
  </si>
  <si>
    <t>1570620604908</t>
  </si>
  <si>
    <t>-LqkH9BB-nK0q8UTWmI5</t>
  </si>
  <si>
    <t>1570620611068</t>
  </si>
  <si>
    <t>-LqkHAeqJbBhffoTrA5v</t>
  </si>
  <si>
    <t>1570620618331</t>
  </si>
  <si>
    <t>-LqkHCBeomgbFoT3KmsS</t>
  </si>
  <si>
    <t>1570620624507</t>
  </si>
  <si>
    <t>-LqkHDgkFoOLtE88MvD4</t>
  </si>
  <si>
    <t>1570620630669</t>
  </si>
  <si>
    <t>-LqkHFCAnyZtee5QmoRJ</t>
  </si>
  <si>
    <t>1570620636826</t>
  </si>
  <si>
    <t>-LqkHGhSM7KuzD4zEimz</t>
  </si>
  <si>
    <t>1570620643059</t>
  </si>
  <si>
    <t>-LqkHICf7-SZTXMMbVO4</t>
  </si>
  <si>
    <t>1570620649218</t>
  </si>
  <si>
    <t>-LqkHJk6xU5Mpdyy9ODV</t>
  </si>
  <si>
    <t>1570620655406</t>
  </si>
  <si>
    <t>-LqkHLEHfLGRLL4KpA5G</t>
  </si>
  <si>
    <t>1570620661548</t>
  </si>
  <si>
    <t>-LqkHMi1m0RMpssGJpxn</t>
  </si>
  <si>
    <t>1570620667747</t>
  </si>
  <si>
    <t>-LqkHSzsfjcLOcbmVhEp</t>
  </si>
  <si>
    <t>1570620693173</t>
  </si>
  <si>
    <t>-LqkHUb5vaD3dcDbHKSn</t>
  </si>
  <si>
    <t>1570620700016</t>
  </si>
  <si>
    <t>-LqkHW8pHRQ7WHqaF3e4</t>
  </si>
  <si>
    <t>1570620706250</t>
  </si>
  <si>
    <t>-LqkHXe5mhTFLDMs4S_D</t>
  </si>
  <si>
    <t>1570620712401</t>
  </si>
  <si>
    <t>-LqkHZAaVanhPYLyCBD5</t>
  </si>
  <si>
    <t>1570620718565</t>
  </si>
  <si>
    <t>-LqkH_upX3K5Qer76UxL</t>
  </si>
  <si>
    <t>1570620725765</t>
  </si>
  <si>
    <t>-LqkHbQ4ONCF-YSW-0qh</t>
  </si>
  <si>
    <t>1570620731936</t>
  </si>
  <si>
    <t>-LqkHcwaw9JF36PyIeln</t>
  </si>
  <si>
    <t>1570620738165</t>
  </si>
  <si>
    <t>-LqkHeSrOt3Iw_FhW5ff</t>
  </si>
  <si>
    <t>1570620744326</t>
  </si>
  <si>
    <t>-LqkHgCPuWnDERJHs6Kk</t>
  </si>
  <si>
    <t>1570620751526</t>
  </si>
  <si>
    <t>-LqkHhiXsKEhJXxq1O4f</t>
  </si>
  <si>
    <t>1570620757745</t>
  </si>
  <si>
    <t>-LqkHjE4YrqXuBDYGHxY</t>
  </si>
  <si>
    <t>1570620763935</t>
  </si>
  <si>
    <t>-LqkHkjKdb_PRzFMmc2h</t>
  </si>
  <si>
    <t>1570620770086</t>
  </si>
  <si>
    <t>-LqkHmETbouAGuXH8pdg</t>
  </si>
  <si>
    <t>1570620776246</t>
  </si>
  <si>
    <t>-LqkHoHpgyt-vhjbdrwG</t>
  </si>
  <si>
    <t>1570620784646</t>
  </si>
  <si>
    <t>-LqkHq-pjvhqUAoByFhY</t>
  </si>
  <si>
    <t>1570620791687</t>
  </si>
  <si>
    <t>-LqkHrWFnCEo9TQRTI9_</t>
  </si>
  <si>
    <t>1570620797916</t>
  </si>
  <si>
    <t>-LqkHt0Kv8h6YU6NEZjc</t>
  </si>
  <si>
    <t>1570620804076</t>
  </si>
  <si>
    <t>-LqkHuYK_MDIa7aP7cpN</t>
  </si>
  <si>
    <t>1570620810251</t>
  </si>
  <si>
    <t>-LqkHw3GKdyW9bv2mmXk</t>
  </si>
  <si>
    <t>1570620816470</t>
  </si>
  <si>
    <t>-LqkHxYAqYgLHllHZ1IJ</t>
  </si>
  <si>
    <t>1570620822571</t>
  </si>
  <si>
    <t>-LqkHz3kbA-PoE2se_et</t>
  </si>
  <si>
    <t>1570620828811</t>
  </si>
  <si>
    <t>-LqkI-rHgvG4OPJZMUcW</t>
  </si>
  <si>
    <t>1570620836138</t>
  </si>
  <si>
    <t>-LqkI1_p1kkRrvu6ZqXu</t>
  </si>
  <si>
    <t>1570620843205</t>
  </si>
  <si>
    <t>-LqkI355O3x_tio6YTtk</t>
  </si>
  <si>
    <t>1570620849385</t>
  </si>
  <si>
    <t>-LqkI4aWilrn-vWY5m-L</t>
  </si>
  <si>
    <t>1570620855595</t>
  </si>
  <si>
    <t>-LqkI66XP5DttUNYK5fq</t>
  </si>
  <si>
    <t>1570620861765</t>
  </si>
  <si>
    <t>-LqkI7bvkvLY3vHDUOii</t>
  </si>
  <si>
    <t>1570620867926</t>
  </si>
  <si>
    <t>-LqkI98GFk1FZg23VV-h</t>
  </si>
  <si>
    <t>1570620874166</t>
  </si>
  <si>
    <t>-LqkIAdrt7x5M6OYOpco</t>
  </si>
  <si>
    <t>1570620880322</t>
  </si>
  <si>
    <t>-LqkIC94DLj673n6yQ1g</t>
  </si>
  <si>
    <t>1570620886485</t>
  </si>
  <si>
    <t>-LqkIDeKVouxL8NVYTbW</t>
  </si>
  <si>
    <t>1570620892647</t>
  </si>
  <si>
    <t>-LqkIFPfiz-KxbXlaQ88</t>
  </si>
  <si>
    <t>1570620899916</t>
  </si>
  <si>
    <t>-LqkIHCfZRSw0PQExSvz</t>
  </si>
  <si>
    <t>1570620906075</t>
  </si>
  <si>
    <t>-LqkIIvwQfoUMIR1Lzc0</t>
  </si>
  <si>
    <t>1570620914316</t>
  </si>
  <si>
    <t>-LqkIKSQzzFnIpVdWg57</t>
  </si>
  <si>
    <t>1570620920486</t>
  </si>
  <si>
    <t>-LqkILxdzh0ipHiHl-H-</t>
  </si>
  <si>
    <t>1570620926644</t>
  </si>
  <si>
    <t>-LqkINU4RBcbfSukCQy5</t>
  </si>
  <si>
    <t>1570620932878</t>
  </si>
  <si>
    <t>-LqkIOy9YhLl2CIBcIit</t>
  </si>
  <si>
    <t>1570620939035</t>
  </si>
  <si>
    <t>-LqkIQUf8wHVbs-GtV5e</t>
  </si>
  <si>
    <t>1570620945211</t>
  </si>
  <si>
    <t>-LqkIS051Pxw2c9YI--W</t>
  </si>
  <si>
    <t>1570620951376</t>
  </si>
  <si>
    <t>-LqkITVA8vV3ImUi2qVT</t>
  </si>
  <si>
    <t>1570620957541</t>
  </si>
  <si>
    <t>-LqkIUzxHqRpWVSiOd5w</t>
  </si>
  <si>
    <t>1570620963756</t>
  </si>
  <si>
    <t>-LqkIWVRdOtVussoiBeE</t>
  </si>
  <si>
    <t>1570620969896</t>
  </si>
  <si>
    <t>-LqkIY1KHOJpWi75-voQ</t>
  </si>
  <si>
    <t>1570620976086</t>
  </si>
  <si>
    <t>-LqkIZZDiOiixfgqHuf1</t>
  </si>
  <si>
    <t>1570620982358</t>
  </si>
  <si>
    <t>-LqkIa33TdVdlz8m598z</t>
  </si>
  <si>
    <t>1570620988501</t>
  </si>
  <si>
    <t>-LqkIb_YzXJpuvLNhScs</t>
  </si>
  <si>
    <t>1570620994666</t>
  </si>
  <si>
    <t>-LqkIdMcHVuIIGCz5g7h</t>
  </si>
  <si>
    <t>1570621002085</t>
  </si>
  <si>
    <t>-LqkIf4RnkfFVDXgUPMe</t>
  </si>
  <si>
    <t>1570621009066</t>
  </si>
  <si>
    <t>-LqkIgdUH5MzOsWUucJ8</t>
  </si>
  <si>
    <t>1570621015324</t>
  </si>
  <si>
    <t>-LqkIiieRCyEjXZd9IEt</t>
  </si>
  <si>
    <t>1570621022850</t>
  </si>
  <si>
    <t>-LqkIkOKlOURQXEKo40o</t>
  </si>
  <si>
    <t>1570621030886</t>
  </si>
  <si>
    <t>-LqkIm7_tG7gC7HFjeHE</t>
  </si>
  <si>
    <t>1570621037939</t>
  </si>
  <si>
    <t>-LqkIncuKR2oLB8jT7Kd</t>
  </si>
  <si>
    <t>1570621044100</t>
  </si>
  <si>
    <t>-LqkIp7uj5rfKYWTxzK8</t>
  </si>
  <si>
    <t>1570621050336</t>
  </si>
  <si>
    <t>-LqkIqfs-4EOnU1FMKyZ</t>
  </si>
  <si>
    <t>1570621056499</t>
  </si>
  <si>
    <t>-LqkIsPuU6AKo1iSSwGd</t>
  </si>
  <si>
    <t>1570621063716</t>
  </si>
  <si>
    <t>-LqkItvKIkaJUKASWBHk</t>
  </si>
  <si>
    <t>1570621069861</t>
  </si>
  <si>
    <t>-LqkIvRzfp20JQW5OBqr</t>
  </si>
  <si>
    <t>1570621076027</t>
  </si>
  <si>
    <t>-LqkIwvk2Xbw8oBXEb4E</t>
  </si>
  <si>
    <t>1570621082245</t>
  </si>
  <si>
    <t>-LqkIySJ86NB_Ogq1jtW</t>
  </si>
  <si>
    <t>1570621088420</t>
  </si>
  <si>
    <t>-LqkIzxZwvSMJEcS4qtJ</t>
  </si>
  <si>
    <t>1570621094584</t>
  </si>
  <si>
    <t>-LqkJ0Sp_Pk9a4M8-RtI</t>
  </si>
  <si>
    <t>1570621100741</t>
  </si>
  <si>
    <t>-LqkJ2-KK3XKUhXYCr7z</t>
  </si>
  <si>
    <t>1570621106987</t>
  </si>
  <si>
    <t>-LqkJ3U_QcXxCcz8nMWL</t>
  </si>
  <si>
    <t>1570621113161</t>
  </si>
  <si>
    <t>-LqkJ5HwwoNRAAy7W0TL</t>
  </si>
  <si>
    <t>1570621119300</t>
  </si>
  <si>
    <t>-LqkJ7-dHk8WzgPpf83e</t>
  </si>
  <si>
    <t>1570621127551</t>
  </si>
  <si>
    <t>-LqkJ8l87N-gjo81RrJs</t>
  </si>
  <si>
    <t>1570621134810</t>
  </si>
  <si>
    <t>-LqkJAHdDXxFqMfqOKqr</t>
  </si>
  <si>
    <t>1570621140984</t>
  </si>
  <si>
    <t>-LqkJBrsifoE8gt09MPS</t>
  </si>
  <si>
    <t>1570621147169</t>
  </si>
  <si>
    <t>-LqkJDYX2S7Onzh6I-li</t>
  </si>
  <si>
    <t>1570621154350</t>
  </si>
  <si>
    <t>-LqkJF2orkc3HKa2vAHH</t>
  </si>
  <si>
    <t>1570621160514</t>
  </si>
  <si>
    <t>-LqkJG_KSniSXWPaUBVO</t>
  </si>
  <si>
    <t>1570621166744</t>
  </si>
  <si>
    <t>-LqkJI9X1zJOHbtvUrMY</t>
  </si>
  <si>
    <t>1570621172919</t>
  </si>
  <si>
    <t>-LqkJJq1UP3BUaLg14tZ</t>
  </si>
  <si>
    <t>1570621180110</t>
  </si>
  <si>
    <t>-LqkJLa9cCleVTLybts-</t>
  </si>
  <si>
    <t>1570621187314</t>
  </si>
  <si>
    <t>-LqkJN6t27Y-r205Ii_o</t>
  </si>
  <si>
    <t>1570621193545</t>
  </si>
  <si>
    <t>-LqkJOcCrXMa_WjuPtnN</t>
  </si>
  <si>
    <t>1570621199714</t>
  </si>
  <si>
    <t>-LqkJQAthGn8LSEb290q</t>
  </si>
  <si>
    <t>1570621205874</t>
  </si>
  <si>
    <t>-LqkJRsyieX7eSm9pI4o</t>
  </si>
  <si>
    <t>1570621213074</t>
  </si>
  <si>
    <t>-LqkJTPScnpmKElV9pS4</t>
  </si>
  <si>
    <t>1570621219309</t>
  </si>
  <si>
    <t>-LqkJUtTZ8P2Z50QC91k</t>
  </si>
  <si>
    <t>1570621225394</t>
  </si>
  <si>
    <t>-LqkJWf6PG-sKELoKCAb</t>
  </si>
  <si>
    <t>1570621231625</t>
  </si>
  <si>
    <t>-LqkJY9DIDMEKYvmdyDc</t>
  </si>
  <si>
    <t>1570621238824</t>
  </si>
  <si>
    <t>-LqkJZfYMSa8GJ8UV1rk</t>
  </si>
  <si>
    <t>1570621245044</t>
  </si>
  <si>
    <t>-LqkJaC7pWKkKFId0EM0</t>
  </si>
  <si>
    <t>1570621251224</t>
  </si>
  <si>
    <t>-LqkJbhNHvivHCn6Vu8L</t>
  </si>
  <si>
    <t>1570621257384</t>
  </si>
  <si>
    <t>-LqkJdDpvT06Cs-ur21p</t>
  </si>
  <si>
    <t>1570621263553</t>
  </si>
  <si>
    <t>-LqkJehtBDYIwSOnmxCF</t>
  </si>
  <si>
    <t>1570621269764</t>
  </si>
  <si>
    <t>-LqkJgEOu7oxiSHRsk9y</t>
  </si>
  <si>
    <t>1570621275939</t>
  </si>
  <si>
    <t>-LqkJhw7aBuI1msRs8oN</t>
  </si>
  <si>
    <t>1570621282104</t>
  </si>
  <si>
    <t>-LqkJjXcLJEsCl_aIpUH</t>
  </si>
  <si>
    <t>1570621289306</t>
  </si>
  <si>
    <t>-LqkJlET9Zh5udaE7i6X</t>
  </si>
  <si>
    <t>1570621296515</t>
  </si>
  <si>
    <t>-LqkJmokS6jk7-M8pcmM</t>
  </si>
  <si>
    <t>1570621302744</t>
  </si>
  <si>
    <t>-LqkJoXhLU8S3agV6IDY</t>
  </si>
  <si>
    <t>1570621309954</t>
  </si>
  <si>
    <t>-LqkJqJ9YZdRDnqyf077</t>
  </si>
  <si>
    <t>1570621317146</t>
  </si>
  <si>
    <t>-LqkJs2iOqxiVRRGKSxo</t>
  </si>
  <si>
    <t>1570621324350</t>
  </si>
  <si>
    <t>-LqkJtYyLs8qchhgR91X</t>
  </si>
  <si>
    <t>1570621330524</t>
  </si>
  <si>
    <t>-LqkJvEK81DSucUIuGOv</t>
  </si>
  <si>
    <t>1570621336742</t>
  </si>
  <si>
    <t>-LqkJx55Mh5MQJj-ja2O</t>
  </si>
  <si>
    <t>1570621345078</t>
  </si>
  <si>
    <t>-LqkJycrVl0-mPwn7KRR</t>
  </si>
  <si>
    <t>1570621351288</t>
  </si>
  <si>
    <t>-LqkK-LpYj9ybrh3St-e</t>
  </si>
  <si>
    <t>1570621358341</t>
  </si>
  <si>
    <t>-LqkK0r56etPm75P0J4S</t>
  </si>
  <si>
    <t>1570621364567</t>
  </si>
  <si>
    <t>-LqkK2NloNswfpb-Siwq</t>
  </si>
  <si>
    <t>1570621370744</t>
  </si>
  <si>
    <t>-LqkK3srxnP3o9JSqxEq</t>
  </si>
  <si>
    <t>1570621376902</t>
  </si>
  <si>
    <t>-LqkK5OBa48TJImoFPL5</t>
  </si>
  <si>
    <t>1570621383063</t>
  </si>
  <si>
    <t>-LqkK6uWY603Cz3p3JCn</t>
  </si>
  <si>
    <t>1570621389231</t>
  </si>
  <si>
    <t>-LqkK8TLxFRw60YDWlih</t>
  </si>
  <si>
    <t>1570621395467</t>
  </si>
  <si>
    <t>-LqkKAALbViaQe90-DGn</t>
  </si>
  <si>
    <t>1570621402662</t>
  </si>
  <si>
    <t>-LqkKBfVNqKV2nT9TOlj</t>
  </si>
  <si>
    <t>1570621408823</t>
  </si>
  <si>
    <t>-LqkKDQvJqeIlLBF26WL</t>
  </si>
  <si>
    <t>1570621416023</t>
  </si>
  <si>
    <t>-LqkKExWN3BGuuR8gjdy</t>
  </si>
  <si>
    <t>1570621422263</t>
  </si>
  <si>
    <t>-LqkKGSpn502UT0k8So5</t>
  </si>
  <si>
    <t>1570621428418</t>
  </si>
  <si>
    <t>-LqkKHy5gqlRos99B4Ce</t>
  </si>
  <si>
    <t>1570621434582</t>
  </si>
  <si>
    <t>-LqkKJrRhPMYktdH7v7-</t>
  </si>
  <si>
    <t>1570621442246</t>
  </si>
  <si>
    <t>-LqkKLWeYSgDBCoZAKxp</t>
  </si>
  <si>
    <t>1570621448986</t>
  </si>
  <si>
    <t>-LqkKNEkoIS50lXnE4hA</t>
  </si>
  <si>
    <t>1570621456196</t>
  </si>
  <si>
    <t>-LqkKOlrhTf63HQNJkAp</t>
  </si>
  <si>
    <t>1570621462438</t>
  </si>
  <si>
    <t>-LqkKQF4q53SubhbCN4L</t>
  </si>
  <si>
    <t>1570621468586</t>
  </si>
  <si>
    <t>-LqkKS2ATJ31XbmSjkDz</t>
  </si>
  <si>
    <t>1570621474742</t>
  </si>
  <si>
    <t>-LqkKTX4c2Y1abip0gM4</t>
  </si>
  <si>
    <t>1570621481958</t>
  </si>
  <si>
    <t>-LqkKV3-w7KKgEdS3sy0</t>
  </si>
  <si>
    <t>1570621488191</t>
  </si>
  <si>
    <t>-LqkKWYpoHyslGoMwjPQ</t>
  </si>
  <si>
    <t>1570621494346</t>
  </si>
  <si>
    <t>-LqkKY34lvyN_KXOfKTw</t>
  </si>
  <si>
    <t>1570621500504</t>
  </si>
  <si>
    <t>-LqkKZZLJWRMcedy0E16</t>
  </si>
  <si>
    <t>1570621506736</t>
  </si>
  <si>
    <t>-LqkKa5DpkOY-qbO_hgq</t>
  </si>
  <si>
    <t>1570621512902</t>
  </si>
  <si>
    <t>-LqkKbspSMnTETQAuKPd</t>
  </si>
  <si>
    <t>1570621520288</t>
  </si>
  <si>
    <t>-LqkKdacmo-iQcVcE__G</t>
  </si>
  <si>
    <t>1570621527298</t>
  </si>
  <si>
    <t>-LqkKf66UUMjDjwN3Ht-</t>
  </si>
  <si>
    <t>1570621533461</t>
  </si>
  <si>
    <t>-LqkKgcGOuIKuLgAuSdI</t>
  </si>
  <si>
    <t>1570621539702</t>
  </si>
  <si>
    <t>-LqkKi7q8clIKw7kw-gD</t>
  </si>
  <si>
    <t>1570621545863</t>
  </si>
  <si>
    <t>-LqkKjdA98ZjfjxpHND0</t>
  </si>
  <si>
    <t>1570621552032</t>
  </si>
  <si>
    <t>-LqkKlPuEVDuM_cWsR7l</t>
  </si>
  <si>
    <t>1570621558193</t>
  </si>
  <si>
    <t>-LqkKmwS2TfaOQJkVDsC</t>
  </si>
  <si>
    <t>1570621565389</t>
  </si>
  <si>
    <t>-LqkKojMxdZ5CATyEA7n</t>
  </si>
  <si>
    <t>1570621572664</t>
  </si>
  <si>
    <t>-LqkKqR3zeXA7zKNRxvs</t>
  </si>
  <si>
    <t>1570621579864</t>
  </si>
  <si>
    <t>-LqkKrxgzHVwqtme8NEH</t>
  </si>
  <si>
    <t>1570621586029</t>
  </si>
  <si>
    <t>-LqkKtjTFdQ8RcSaqpcP</t>
  </si>
  <si>
    <t>1570621593230</t>
  </si>
  <si>
    <t>-LqkKvUeL5llP9ikzGXR</t>
  </si>
  <si>
    <t>1570621600490</t>
  </si>
  <si>
    <t>-LqkKxI0ml0-V79oqyFw</t>
  </si>
  <si>
    <t>1570621607709</t>
  </si>
  <si>
    <t>-LqkKz-x3zZBHRPNmDRm</t>
  </si>
  <si>
    <t>1570621614899</t>
  </si>
  <si>
    <t>-LqkL-ir-RNjhEgmwN9T</t>
  </si>
  <si>
    <t>1570621622070</t>
  </si>
  <si>
    <t>-LqkL1FN18BvkyhqhU4B</t>
  </si>
  <si>
    <t>1570621628265</t>
  </si>
  <si>
    <t>-LqkL2kXkTJEM_ZRjFC2</t>
  </si>
  <si>
    <t>1570621634489</t>
  </si>
  <si>
    <t>-LqkL4ICKNZM4C1pl5dk</t>
  </si>
  <si>
    <t>1570621640729</t>
  </si>
  <si>
    <t>-LqkL61i4gWumqd9BInf</t>
  </si>
  <si>
    <t>1570621647879</t>
  </si>
  <si>
    <t>-LqkL7Y5SDO0irypIfBe</t>
  </si>
  <si>
    <t>1570621654039</t>
  </si>
  <si>
    <t>-LqkL92BtNd8C2VEYMUt</t>
  </si>
  <si>
    <t>1570621660195</t>
  </si>
  <si>
    <t>-LqkLAb12uO-Z0Co4IWn</t>
  </si>
  <si>
    <t>1570621666424</t>
  </si>
  <si>
    <t>-LqkLCMizwSqqXYNG_fw</t>
  </si>
  <si>
    <t>1570621673625</t>
  </si>
  <si>
    <t>-LqkLE4lweTuhfkFa92q</t>
  </si>
  <si>
    <t>1570621680825</t>
  </si>
  <si>
    <t>-LqkLFcSbM_Jj-p3t7Gz</t>
  </si>
  <si>
    <t>1570621686988</t>
  </si>
  <si>
    <t>-LqkLHKeDwI-HPEu6_zN</t>
  </si>
  <si>
    <t>1570621694193</t>
  </si>
  <si>
    <t>-LqkLIqYGoivnucz9Q-i</t>
  </si>
  <si>
    <t>1570621700430</t>
  </si>
  <si>
    <t>-LqkLKM2wKV0oojwTV3k</t>
  </si>
  <si>
    <t>1570621706583</t>
  </si>
  <si>
    <t>-LqkLLyccvnYwlGErB4v</t>
  </si>
  <si>
    <t>1570621713114</t>
  </si>
  <si>
    <t>-LqkLNcrztrosDDrQJ2d</t>
  </si>
  <si>
    <t>1570621719964</t>
  </si>
  <si>
    <t>-LqkLPGrk4cCQHWGhezQ</t>
  </si>
  <si>
    <t>1570621726194</t>
  </si>
  <si>
    <t>-LqkLQw6ckvPPGsR1PEP</t>
  </si>
  <si>
    <t>1570621733458</t>
  </si>
  <si>
    <t>-LqkLShrHlxkrNl1-PYJ</t>
  </si>
  <si>
    <t>1570621740578</t>
  </si>
  <si>
    <t>-LqkLUQxPIr_9N8R3auH</t>
  </si>
  <si>
    <t>1570621747790</t>
  </si>
  <si>
    <t>-LqkLVw81_iNVD-iXi5a</t>
  </si>
  <si>
    <t>1570621753949</t>
  </si>
  <si>
    <t>-LqkLXSdUKeOhVxuDEc6</t>
  </si>
  <si>
    <t>1570621760180</t>
  </si>
  <si>
    <t>-LqkLYxvN73dbhcA8hPH</t>
  </si>
  <si>
    <t>1570621766345</t>
  </si>
  <si>
    <t>-LqkL_TB1VnvXK9k3lrm</t>
  </si>
  <si>
    <t>1570621772507</t>
  </si>
  <si>
    <t>-LqkLbtJisSbOCY7UCH4</t>
  </si>
  <si>
    <t>1570621778670</t>
  </si>
  <si>
    <t>-LqkLdVp8SAKy66ZxjPf</t>
  </si>
  <si>
    <t>1570621788980</t>
  </si>
  <si>
    <t>-LqkLfFPHkUpT_COykeq</t>
  </si>
  <si>
    <t>1570621796180</t>
  </si>
  <si>
    <t>-LqkLgmtAcNAMgkA-Ucq</t>
  </si>
  <si>
    <t>1570621802406</t>
  </si>
  <si>
    <t>-LqkLiX4irHV3sDOA7VC</t>
  </si>
  <si>
    <t>1570621809615</t>
  </si>
  <si>
    <t>-LqkLk1Arwzbu5MlPoKg</t>
  </si>
  <si>
    <t>1570621815781</t>
  </si>
  <si>
    <t>-LqkLlX_ZwxySxc1BC_B</t>
  </si>
  <si>
    <t>1570621821935</t>
  </si>
  <si>
    <t>-LqkLn1p934bRoj6LlMd</t>
  </si>
  <si>
    <t>1570621828162</t>
  </si>
  <si>
    <t>-LqkLoY38xjCPV9EIqlf</t>
  </si>
  <si>
    <t>1570621834340</t>
  </si>
  <si>
    <t>-LqkLq5lVbvr5iY_BG7u</t>
  </si>
  <si>
    <t>1570621840501</t>
  </si>
  <si>
    <t>-LqkLrp3s1Mi7PKFTU6W</t>
  </si>
  <si>
    <t>1570621847706</t>
  </si>
  <si>
    <t>-LqkLtKJlnlV96bkTXGL</t>
  </si>
  <si>
    <t>1570621853866</t>
  </si>
  <si>
    <t>-LqkLuqnpHtwfnode1xG</t>
  </si>
  <si>
    <t>1570621860100</t>
  </si>
  <si>
    <t>-LqkLwMD4jrN7LliXAHH</t>
  </si>
  <si>
    <t>1570621866278</t>
  </si>
  <si>
    <t>-LqkLxrH23mu3WdnWfAj</t>
  </si>
  <si>
    <t>1570621872420</t>
  </si>
  <si>
    <t>-LqkLzMZwg6WN4dTpTjF</t>
  </si>
  <si>
    <t>1570621878641</t>
  </si>
  <si>
    <t>-LqkM-t8CFsnpF_ezz2R</t>
  </si>
  <si>
    <t>1570621884827</t>
  </si>
  <si>
    <t>-LqkM1N2h9_amkqjaaMh</t>
  </si>
  <si>
    <t>1570621890985</t>
  </si>
  <si>
    <t>-LqkM2tljPeZxKmQpMBO</t>
  </si>
  <si>
    <t>1570621897144</t>
  </si>
  <si>
    <t>-LqkM4Q8lxPQlYKgJpry</t>
  </si>
  <si>
    <t>1570621903380</t>
  </si>
  <si>
    <t>-LqkM6AeOtAmIAsdKBRE</t>
  </si>
  <si>
    <t>1570621910585</t>
  </si>
  <si>
    <t>-LqkM7fozMAnvTajwO7o</t>
  </si>
  <si>
    <t>1570621916740</t>
  </si>
  <si>
    <t>-LqkM9B9bIkaR3kAaWAg</t>
  </si>
  <si>
    <t>1570621922966</t>
  </si>
  <si>
    <t>-LqkMAgrxMSLM7XXZV59</t>
  </si>
  <si>
    <t>1570621929091</t>
  </si>
  <si>
    <t>-LqkMCEs4hhQyPC-xCdv</t>
  </si>
  <si>
    <t>1570621935291</t>
  </si>
  <si>
    <t>-LqkMDw-7Iob5lCJV5Mz</t>
  </si>
  <si>
    <t>1570621942462</t>
  </si>
  <si>
    <t>-LqkMFftSS8eedDTuRfz</t>
  </si>
  <si>
    <t>1570621949514</t>
  </si>
  <si>
    <t>-LqkMHF0XLxAYkjdheQA</t>
  </si>
  <si>
    <t>1570621955882</t>
  </si>
  <si>
    <t>-LqkMJ1zmymuylV-GRhM</t>
  </si>
  <si>
    <t>1570621963093</t>
  </si>
  <si>
    <t>-LqkMKl0IsFlXmyXEA-R</t>
  </si>
  <si>
    <t>1570621970301</t>
  </si>
  <si>
    <t>-LqkMMV5L-E1Hl8eyIZv</t>
  </si>
  <si>
    <t>1570621977521</t>
  </si>
  <si>
    <t>-LqkMO20pnj7h1IAKsK4</t>
  </si>
  <si>
    <t>1570621983690</t>
  </si>
  <si>
    <t>-LqkMPq-XyHMD3dnPYK9</t>
  </si>
  <si>
    <t>1570621990919</t>
  </si>
  <si>
    <t>-LqkMRd-PRvc9lZYl9Xb</t>
  </si>
  <si>
    <t>1570621998122</t>
  </si>
  <si>
    <t>-LqkMT_rL-d-Jgdqrm3d</t>
  </si>
  <si>
    <t>1570622006416</t>
  </si>
  <si>
    <t>-LqkMVJAbiQ1oVEBpJo9</t>
  </si>
  <si>
    <t>1570622013572</t>
  </si>
  <si>
    <t>-LqkMWs0ajnj-a_2pC-y</t>
  </si>
  <si>
    <t>1570622019751</t>
  </si>
  <si>
    <t>-LqkMY_zIbbnElQkUYzT</t>
  </si>
  <si>
    <t>1570622026942</t>
  </si>
  <si>
    <t>-LqkM_9w5rRk2elEhAgK</t>
  </si>
  <si>
    <t>1570622033141</t>
  </si>
  <si>
    <t>-LqkMaqt-s4-WV-mWCOi</t>
  </si>
  <si>
    <t>1570622040361</t>
  </si>
  <si>
    <t>-LqkMcfwnen0rat7u-VK</t>
  </si>
  <si>
    <t>1570622047581</t>
  </si>
  <si>
    <t>-LqkMeLeSEegGRSMewWS</t>
  </si>
  <si>
    <t>1570622054781</t>
  </si>
  <si>
    <t>-LqkMgB0zBWXgfQ90Q5l</t>
  </si>
  <si>
    <t>1570622062003</t>
  </si>
  <si>
    <t>-LqkMhu0IHU-L9-D6J_S</t>
  </si>
  <si>
    <t>1570622069190</t>
  </si>
  <si>
    <t>-LqkMjSzj86ofBkPpnUv</t>
  </si>
  <si>
    <t>1570622075382</t>
  </si>
  <si>
    <t>-LqkMlElID-i0KtSiwoX</t>
  </si>
  <si>
    <t>1570622082712</t>
  </si>
  <si>
    <t>-LqkMmxc1Ce5gI8UhyAB</t>
  </si>
  <si>
    <t>1570622089812</t>
  </si>
  <si>
    <t>-LqkMoedMRfqNIpbodPQ</t>
  </si>
  <si>
    <t>1570622097022</t>
  </si>
  <si>
    <t>-LqkMqV23gcbQgrOIJ71</t>
  </si>
  <si>
    <t>1570622104240</t>
  </si>
  <si>
    <t>-LqkMsAUMeW4dlRFl5t4</t>
  </si>
  <si>
    <t>1570622111420</t>
  </si>
  <si>
    <t>-LqkMtm0iNl7-k2KoJ_P</t>
  </si>
  <si>
    <t>1570622117630</t>
  </si>
  <si>
    <t>-LqkMvTwt7wJjtdOa-TD</t>
  </si>
  <si>
    <t>1570622124840</t>
  </si>
  <si>
    <t>-LqkMxCzCCx1-hMjm5ww</t>
  </si>
  <si>
    <t>1570622132051</t>
  </si>
  <si>
    <t>-LqkMym-aWWzgif3l131</t>
  </si>
  <si>
    <t>1570622138230</t>
  </si>
  <si>
    <t>-LqkN-ZqrVuBxQOL8ZDC</t>
  </si>
  <si>
    <t>1570622145451</t>
  </si>
  <si>
    <t>-LqkN1GkGTdVM-mIQDrx</t>
  </si>
  <si>
    <t>1570622152660</t>
  </si>
  <si>
    <t>-LqkN33kh5s9tRIgYPcZ</t>
  </si>
  <si>
    <t>1570622159872</t>
  </si>
  <si>
    <t>-LqkN4nW_4LpYypye_IJ</t>
  </si>
  <si>
    <t>1570622167082</t>
  </si>
  <si>
    <t>-LqkN6_gWz9ZHzUT33EU</t>
  </si>
  <si>
    <t>1570622174290</t>
  </si>
  <si>
    <t>-LqkN8K2Lx5vmHxDMHKn</t>
  </si>
  <si>
    <t>1570622181505</t>
  </si>
  <si>
    <t>-LqkNA7nymyYXzZINIR1</t>
  </si>
  <si>
    <t>1570622188720</t>
  </si>
  <si>
    <t>-LqkNBnVOy0mKun2Qmoj</t>
  </si>
  <si>
    <t>1570622195900</t>
  </si>
  <si>
    <t>-LqkNDOhDEs7C5iZ6Zyw</t>
  </si>
  <si>
    <t>1570622202110</t>
  </si>
  <si>
    <t>-LqkNF7-qlptkoLanukF</t>
  </si>
  <si>
    <t>1570622209350</t>
  </si>
  <si>
    <t>-LqkNGuzEkoKIWuU9_9J</t>
  </si>
  <si>
    <t>1570622216530</t>
  </si>
  <si>
    <t>-LqkNId2Nvfc6BHmoj_g</t>
  </si>
  <si>
    <t>1570622223744</t>
  </si>
  <si>
    <t>-LqkNKQzQfMPVnaHwXSh</t>
  </si>
  <si>
    <t>1570622230960</t>
  </si>
  <si>
    <t>-LqkNMSqDDcuq66qtay6</t>
  </si>
  <si>
    <t>1570622238141</t>
  </si>
  <si>
    <t>-LqkNO9kNn3Qo1ljKaPv</t>
  </si>
  <si>
    <t>1570622246411</t>
  </si>
  <si>
    <t>-LqkNPxv7Sco2_asMmM0</t>
  </si>
  <si>
    <t>1570622253620</t>
  </si>
  <si>
    <t>-LqkNRgzlIuenYNtzuzP</t>
  </si>
  <si>
    <t>1570622260830</t>
  </si>
  <si>
    <t>-LqkNTTuHlUZ4A6oPNtx</t>
  </si>
  <si>
    <t>1570622268050</t>
  </si>
  <si>
    <t>-LqkNVCyXD_8t5FKIZOX</t>
  </si>
  <si>
    <t>1570622275271</t>
  </si>
  <si>
    <t>-LqkNX0-ViBCPnMIh6dj</t>
  </si>
  <si>
    <t>1570622282471</t>
  </si>
  <si>
    <t>-LqkNYgWvt0R8vVMRqoi</t>
  </si>
  <si>
    <t>1570622289669</t>
  </si>
  <si>
    <t>-LqkN_I7HEjGvo4Gl0R6</t>
  </si>
  <si>
    <t>1570622295862</t>
  </si>
  <si>
    <t>-LqkNb-pMFPJ5JfbMim4</t>
  </si>
  <si>
    <t>1570622303072</t>
  </si>
  <si>
    <t>-LqkNcj2UwPT_kCXHUob</t>
  </si>
  <si>
    <t>1570622309262</t>
  </si>
  <si>
    <t>-LqkNeGb4M0CW_ynvIqu</t>
  </si>
  <si>
    <t>1570622316480</t>
  </si>
  <si>
    <t>-LqkNg3j7M-mvd_U9m-b</t>
  </si>
  <si>
    <t>1570622323682</t>
  </si>
  <si>
    <t>-LqkNhmkpLUbzhbOHXTd</t>
  </si>
  <si>
    <t>1570622330900</t>
  </si>
  <si>
    <t>-LqkNjglUfGwU4NPh-bV</t>
  </si>
  <si>
    <t>1570622338100</t>
  </si>
  <si>
    <t>-LqkNlK-X53agb6rBCRT</t>
  </si>
  <si>
    <t>1570622345311</t>
  </si>
  <si>
    <t>-LqkNn21gV96VUxgaC3K</t>
  </si>
  <si>
    <t>1570622352531</t>
  </si>
  <si>
    <t>-LqkNoazU3NAzVt_HHtX</t>
  </si>
  <si>
    <t>1570622358712</t>
  </si>
  <si>
    <t>-LqkNqNsndAR0Qu1y-gB</t>
  </si>
  <si>
    <t>1570622365920</t>
  </si>
  <si>
    <t>-LqkNs6pkh8GwkDNgYy0</t>
  </si>
  <si>
    <t>1570622373131</t>
  </si>
  <si>
    <t>-LqkNtazIY3iHfTArWbK</t>
  </si>
  <si>
    <t>1570622379331</t>
  </si>
  <si>
    <t>-LqkNvA-AtzXLKM7RoJh</t>
  </si>
  <si>
    <t>1570622385492</t>
  </si>
  <si>
    <t>-LqkNwqhB_bXa8EMizLK</t>
  </si>
  <si>
    <t>1570622392700</t>
  </si>
  <si>
    <t>-LqkNyeu9xa-CPZImRrP</t>
  </si>
  <si>
    <t>1570622399920</t>
  </si>
  <si>
    <t>-LqkO-P-kNuU12ij6AGv</t>
  </si>
  <si>
    <t>1570622407110</t>
  </si>
  <si>
    <t>-LqkO0ybz-OoR14OjGpi</t>
  </si>
  <si>
    <t>1570622413301</t>
  </si>
  <si>
    <t>-LqkO2ebMqTWD_SujrJ1</t>
  </si>
  <si>
    <t>1570622420521</t>
  </si>
  <si>
    <t>-LqkO4DtFnCNrJ3MKObb</t>
  </si>
  <si>
    <t>1570622426732</t>
  </si>
  <si>
    <t>-LqkO5y04x97DjM8o5u9</t>
  </si>
  <si>
    <t>1570622433912</t>
  </si>
  <si>
    <t>-LqkO7kgs6KSF61KD4jj</t>
  </si>
  <si>
    <t>1570622441130</t>
  </si>
  <si>
    <t>-LqkO9SkBpVtL4tYPb8n</t>
  </si>
  <si>
    <t>1570622448342</t>
  </si>
  <si>
    <t>-LqkOBPtZChfHTXl1LHY</t>
  </si>
  <si>
    <t>1570622456307</t>
  </si>
  <si>
    <t>-LqkOCyuY9f2_c2I0LCi</t>
  </si>
  <si>
    <t>1570622462763</t>
  </si>
  <si>
    <t>-LqkOF7h7SXCqEfLBDwS</t>
  </si>
  <si>
    <t>1570622469971</t>
  </si>
  <si>
    <t>-LqkOGjyGvPVN8RNi-D4</t>
  </si>
  <si>
    <t>1570622478212</t>
  </si>
  <si>
    <t>-LqkOIIzQtBqtRbOFpkp</t>
  </si>
  <si>
    <t>1570622484390</t>
  </si>
  <si>
    <t>-LqkOKB0YstDNrYI8eoP</t>
  </si>
  <si>
    <t>1570622492001</t>
  </si>
  <si>
    <t>-LqkOM0erzyk18FfOy93</t>
  </si>
  <si>
    <t>1570622498789</t>
  </si>
  <si>
    <t>-LqkONr-LW9dwo5X01wB</t>
  </si>
  <si>
    <t>1570622507067</t>
  </si>
  <si>
    <t>-LqkOP_8Futx5nmPvrTj</t>
  </si>
  <si>
    <t>1570622514272</t>
  </si>
  <si>
    <t>-LqkORMyJ9W4xPvm3f5x</t>
  </si>
  <si>
    <t>1570622521498</t>
  </si>
  <si>
    <t>-LqkOT5YA5htCuuw-kj3</t>
  </si>
  <si>
    <t>1570622528712</t>
  </si>
  <si>
    <t>-LqkOUsydQ8n_OJ-FUq2</t>
  </si>
  <si>
    <t>1570622535929</t>
  </si>
  <si>
    <t>-LqkOWarDEbWAMI7CMNz</t>
  </si>
  <si>
    <t>1570622543107</t>
  </si>
  <si>
    <t>-LqkOY9zHCO37Z8m6T36</t>
  </si>
  <si>
    <t>1570622549302</t>
  </si>
  <si>
    <t>-LqkOZszY4BqqC-Iw-T9</t>
  </si>
  <si>
    <t>1570622556520</t>
  </si>
  <si>
    <t>-LqkOab8yClfc-Z3ieqB</t>
  </si>
  <si>
    <t>1570622563741</t>
  </si>
  <si>
    <t>-LqkOc7eOIADFiErl7B3</t>
  </si>
  <si>
    <t>1570622569910</t>
  </si>
  <si>
    <t>-LqkOdszLpoB-1SyQDsJ</t>
  </si>
  <si>
    <t>1570622577130</t>
  </si>
  <si>
    <t>-LqkOflnFIZBAlCfOLm5</t>
  </si>
  <si>
    <t>1570622583308</t>
  </si>
  <si>
    <t>-LqkOhStc1ybiREYnRqV</t>
  </si>
  <si>
    <t>1570622591540</t>
  </si>
  <si>
    <t>-LqkOjBz9_xbnye97tla</t>
  </si>
  <si>
    <t>1570622598750</t>
  </si>
  <si>
    <t>-LqkOkzyLxlfXd3vHC6r</t>
  </si>
  <si>
    <t>1570622605978</t>
  </si>
  <si>
    <t>-LqkOmilY0-mIGzqmyPt</t>
  </si>
  <si>
    <t>1570622613189</t>
  </si>
  <si>
    <t>-LqkOoW8ALuGrwtV9lbV</t>
  </si>
  <si>
    <t>1570622620390</t>
  </si>
  <si>
    <t>-LqkOqBdFd8BzT1yeSzR</t>
  </si>
  <si>
    <t>1570622627583</t>
  </si>
  <si>
    <t>-LqkOrmpMjCicXY-60nZ</t>
  </si>
  <si>
    <t>1570622633779</t>
  </si>
  <si>
    <t>-LqkOtUi-LW3Oaq6OoOJ</t>
  </si>
  <si>
    <t>1570622640990</t>
  </si>
  <si>
    <t>-LqkOvHjzNcRAQP8TfLP</t>
  </si>
  <si>
    <t>1570622648238</t>
  </si>
  <si>
    <t>-LqkOwzUhlEjps-m8kXy</t>
  </si>
  <si>
    <t>1570622655420</t>
  </si>
  <si>
    <t>-LqkOyozOvNYAoU9-Q5_</t>
  </si>
  <si>
    <t>1570622662629</t>
  </si>
  <si>
    <t>-LqkP-VU4uszjXKs-OAx</t>
  </si>
  <si>
    <t>1570622669819</t>
  </si>
  <si>
    <t>-LqkP15-UwUKvYgYODuY</t>
  </si>
  <si>
    <t>1570622676010</t>
  </si>
  <si>
    <t>-LqkP2nh5nbcyvJxExzw</t>
  </si>
  <si>
    <t>1570622683228</t>
  </si>
  <si>
    <t>-LqkP4ft1T8MTY2HTXuj</t>
  </si>
  <si>
    <t>1570622690811</t>
  </si>
  <si>
    <t>-LqkP6IniRwJGq1FL1x7</t>
  </si>
  <si>
    <t>1570622697670</t>
  </si>
  <si>
    <t>-LqkP87yc_FRiZBYHChO</t>
  </si>
  <si>
    <t>1570622704890</t>
  </si>
  <si>
    <t>-LqkPA9zGMiq25Dd0jBL</t>
  </si>
  <si>
    <t>1570622713300</t>
  </si>
  <si>
    <t>-LqkPBsymFt3EErkrDcm</t>
  </si>
  <si>
    <t>1570622720329</t>
  </si>
  <si>
    <t>-LqkPDebfAvRNo5V7l8d</t>
  </si>
  <si>
    <t>1570622727530</t>
  </si>
  <si>
    <t>-LqkPFNkK3XRgnwRY-80</t>
  </si>
  <si>
    <t>1570622734756</t>
  </si>
  <si>
    <t>-LqkPHAin9W3jv-ttIFS</t>
  </si>
  <si>
    <t>1570622741960</t>
  </si>
  <si>
    <t>-LqkPItjT_HxRKfBFnn5</t>
  </si>
  <si>
    <t>1570622749180</t>
  </si>
  <si>
    <t>-LqkPKi5zQfnBNjmDmVW</t>
  </si>
  <si>
    <t>1570622756391</t>
  </si>
  <si>
    <t>-LqkPMOdVexdrgHHY4pt</t>
  </si>
  <si>
    <t>1570622763579</t>
  </si>
  <si>
    <t>-LqkPODeRiP66xATFHId</t>
  </si>
  <si>
    <t>1570622770812</t>
  </si>
  <si>
    <t>-LqkPPgiZAtlXsLMKM2G</t>
  </si>
  <si>
    <t>1570622776981</t>
  </si>
  <si>
    <t>-LqkPRVpVJBcM6uvf5b7</t>
  </si>
  <si>
    <t>1570622784200</t>
  </si>
  <si>
    <t>-LqkPTCbZE9n6WHOSRtB</t>
  </si>
  <si>
    <t>1570622791421</t>
  </si>
  <si>
    <t>-LqkPUmyyt0g5cXw_ZkG</t>
  </si>
  <si>
    <t>1570622797601</t>
  </si>
  <si>
    <t>-LqkPWW1jTUk8TQh09ys</t>
  </si>
  <si>
    <t>1570622804812</t>
  </si>
  <si>
    <t>-LqkPXxUQMG9cKNgH7U5</t>
  </si>
  <si>
    <t>1570622810951</t>
  </si>
  <si>
    <t>-LqkPZsVT8LD7SHYSguR</t>
  </si>
  <si>
    <t>1570622817171</t>
  </si>
  <si>
    <t>-LqkPaX1PgHgjfkLZPUV</t>
  </si>
  <si>
    <t>1570622825412</t>
  </si>
  <si>
    <t>-LqkPc4646x2_h_vCKce</t>
  </si>
  <si>
    <t>1570622831591</t>
  </si>
  <si>
    <t>-LqkPdkVj8001XM4SjEe</t>
  </si>
  <si>
    <t>1570622838782</t>
  </si>
  <si>
    <t>-LqkPfKj52wBmptcg68n</t>
  </si>
  <si>
    <t>1570622844984</t>
  </si>
  <si>
    <t>-LqkPh4-yYKgd2U0hd55</t>
  </si>
  <si>
    <t>1570622852209</t>
  </si>
  <si>
    <t>-LqkPiqki29OPTkrDSts</t>
  </si>
  <si>
    <t>1570622859410</t>
  </si>
  <si>
    <t>-LqkPk_zJwfJ05bfmiDy</t>
  </si>
  <si>
    <t>1570622866620</t>
  </si>
  <si>
    <t>-LqkPmNywwcpwy8bEk66</t>
  </si>
  <si>
    <t>1570622873830</t>
  </si>
  <si>
    <t>-LqkPo5zZEBXbL52M6Lo</t>
  </si>
  <si>
    <t>1570622881022</t>
  </si>
  <si>
    <t>-LqkPpdit105Zxydepig</t>
  </si>
  <si>
    <t>1570622887220</t>
  </si>
  <si>
    <t>-LqkPrO-YAuHFSCFfCYY</t>
  </si>
  <si>
    <t>1570622894441</t>
  </si>
  <si>
    <t>-LqkPt67Q5L8xyRQ_smS</t>
  </si>
  <si>
    <t>1570622901658</t>
  </si>
  <si>
    <t>-LqkPuezNYu6A9YVvmzX</t>
  </si>
  <si>
    <t>1570622907838</t>
  </si>
  <si>
    <t>-LqkPwXppHlf595Ttwsr</t>
  </si>
  <si>
    <t>1570622915048</t>
  </si>
  <si>
    <t>-LqkPyAr_5Mo05ZzXMix</t>
  </si>
  <si>
    <t>1570622922249</t>
  </si>
  <si>
    <t>-LqkPzf-lEnemYZdCQvR</t>
  </si>
  <si>
    <t>1570622928451</t>
  </si>
  <si>
    <t>-LqkQ0CiToEsvrEcR0CV</t>
  </si>
  <si>
    <t>1570622934613</t>
  </si>
  <si>
    <t>-LqkQ2FzPwcHPxpzqsBN</t>
  </si>
  <si>
    <t>1570622941822</t>
  </si>
  <si>
    <t>-LqkQ3znuBFaUdccvZ_A</t>
  </si>
  <si>
    <t>1570622950079</t>
  </si>
  <si>
    <t>-LqkQ5lzwfEaIijyLgWM</t>
  </si>
  <si>
    <t>1570622957282</t>
  </si>
  <si>
    <t>-LqkQ7UpekknB6bd5QnK</t>
  </si>
  <si>
    <t>1570622964491</t>
  </si>
  <si>
    <t>-LqkQ8yzJrWAhhqGeDyP</t>
  </si>
  <si>
    <t>1570622970692</t>
  </si>
  <si>
    <t>-LqkQAY-y5hYlMbGRItK</t>
  </si>
  <si>
    <t>1570622976841</t>
  </si>
  <si>
    <t>-LqkQCG-o2XnRakHIyan</t>
  </si>
  <si>
    <t>1570622984067</t>
  </si>
  <si>
    <t>-LqkQE2z5oURZCmpisfw</t>
  </si>
  <si>
    <t>1570622991282</t>
  </si>
  <si>
    <t>-LqkQFlzuom85PZmL74o</t>
  </si>
  <si>
    <t>1570622998470</t>
  </si>
  <si>
    <t>-LqkQHJl9Olinf_Sfw-b</t>
  </si>
  <si>
    <t>1570623004661</t>
  </si>
  <si>
    <t>-LqkQJ0eO24FxfCeDjNq</t>
  </si>
  <si>
    <t>1570623011911</t>
  </si>
  <si>
    <t>-LqkQKm-UxBaT8h_aRxf</t>
  </si>
  <si>
    <t>1570623019100</t>
  </si>
  <si>
    <t>-LqkQML-Q_PFoBto6AsO</t>
  </si>
  <si>
    <t>1570623025271</t>
  </si>
  <si>
    <t>-LqkQO6uN6qCsspqspP4</t>
  </si>
  <si>
    <t>1570623032491</t>
  </si>
  <si>
    <t>-LqkQPqy099ksj9d8ceR</t>
  </si>
  <si>
    <t>1570623039711</t>
  </si>
  <si>
    <t>-LqkQRcavCXRP7Jt39l9</t>
  </si>
  <si>
    <t>1570623046910</t>
  </si>
  <si>
    <t>-LqkQT7saoXOPCpAcEK7</t>
  </si>
  <si>
    <t>1570623053071</t>
  </si>
  <si>
    <t>-LqkQUqrWwRQKFLY4A5y</t>
  </si>
  <si>
    <t>1570623060313</t>
  </si>
  <si>
    <t>-LqkQWPzBB-4WHEkgjYk</t>
  </si>
  <si>
    <t>1570623066491</t>
  </si>
  <si>
    <t>-LqkQY85EdX-bzjnUofC</t>
  </si>
  <si>
    <t>1570623073681</t>
  </si>
  <si>
    <t>-LqkQZh-dhn2bTTfAw3M</t>
  </si>
  <si>
    <t>1570623079861</t>
  </si>
  <si>
    <t>-LqkQaNnKBuknU9PN-85</t>
  </si>
  <si>
    <t>1570623087110</t>
  </si>
  <si>
    <t>-LqkQcD6vN3d77cfK-Fz</t>
  </si>
  <si>
    <t>1570623094310</t>
  </si>
  <si>
    <t>-LqkQdvpoTcRQMKXHK_e</t>
  </si>
  <si>
    <t>1570623101501</t>
  </si>
  <si>
    <t>-LqkQfTo1aOzY5k5PeP2</t>
  </si>
  <si>
    <t>1570623107700</t>
  </si>
  <si>
    <t>-LqkQhD1iU14od82qpda</t>
  </si>
  <si>
    <t>1570623114913</t>
  </si>
  <si>
    <t>-LqkQj00g5EaWYRT752t</t>
  </si>
  <si>
    <t>1570623122123</t>
  </si>
  <si>
    <t>-LqkQkj0cOKVRtgUGf8D</t>
  </si>
  <si>
    <t>1570623129351</t>
  </si>
  <si>
    <t>-LqkQmHqAKgFNegIZS0d</t>
  </si>
  <si>
    <t>1570623135521</t>
  </si>
  <si>
    <t>-LqkQo01ae8-GojDejZy</t>
  </si>
  <si>
    <t>1570623142735</t>
  </si>
  <si>
    <t>-LqkQpoNiA8axD60i97S</t>
  </si>
  <si>
    <t>1570623149940</t>
  </si>
  <si>
    <t>-LqkQrVkBx__uDSWvnWk</t>
  </si>
  <si>
    <t>1570623157159</t>
  </si>
  <si>
    <t>-LqkQtIt8krbt6kcXH41</t>
  </si>
  <si>
    <t>1570623164370</t>
  </si>
  <si>
    <t>-LqkQvMbNk2KrwRXAvZV</t>
  </si>
  <si>
    <t>1570623171590</t>
  </si>
  <si>
    <t>-LqkQx41AgLNwrcee2oU</t>
  </si>
  <si>
    <t>1570623179830</t>
  </si>
  <si>
    <t>-LqkQyZ-FS7StxMYLJOV</t>
  </si>
  <si>
    <t>1570623185988</t>
  </si>
  <si>
    <t>-LqkR-6z3ZLiafkILg-r</t>
  </si>
  <si>
    <t>1570623192183</t>
  </si>
  <si>
    <t>-LqkR0q5Rn6AUzskHFhS</t>
  </si>
  <si>
    <t>1570623199400</t>
  </si>
  <si>
    <t>-LqkR2cz_vXG4ehUtJ5T</t>
  </si>
  <si>
    <t>1570623206610</t>
  </si>
  <si>
    <t>-LqkR4Lei05Pi5lLiA7a</t>
  </si>
  <si>
    <t>1570623213839</t>
  </si>
  <si>
    <t>-LqkR5v4352NRuyP5Zja</t>
  </si>
  <si>
    <t>1570623220001</t>
  </si>
  <si>
    <t>-LqkR7cy34XXhV8-Pwje</t>
  </si>
  <si>
    <t>1570623227192</t>
  </si>
  <si>
    <t>-LqkR9QzfFW3z6QUo_zU</t>
  </si>
  <si>
    <t>1570623234430</t>
  </si>
  <si>
    <t>-LqkRB8yiyLnqsiYYr_9</t>
  </si>
  <si>
    <t>1570623241640</t>
  </si>
  <si>
    <t>-LqkRCvihBNZuwdmvUcE</t>
  </si>
  <si>
    <t>1570623248849</t>
  </si>
  <si>
    <t>-LqkREccTox-BeYlzEZY</t>
  </si>
  <si>
    <t>1570623256060</t>
  </si>
  <si>
    <t>-LqkRGSrYEDwuUgDbv6Z</t>
  </si>
  <si>
    <t>1570623263271</t>
  </si>
  <si>
    <t>-LqkRI8TYtYMEFMzEKJ-</t>
  </si>
  <si>
    <t>1570623270462</t>
  </si>
  <si>
    <t>-LqkRJjyt2ocu18ePYXX</t>
  </si>
  <si>
    <t>1570623276661</t>
  </si>
  <si>
    <t>-LqkRLUDnqs4gmQlUsk7</t>
  </si>
  <si>
    <t>1570623283879</t>
  </si>
  <si>
    <t>-LqkRNG-hmN2wwxua5TA</t>
  </si>
  <si>
    <t>1570623291101</t>
  </si>
  <si>
    <t>-LqkROygbRdhypotE1Jo</t>
  </si>
  <si>
    <t>1570623298299</t>
  </si>
  <si>
    <t>-LqkRQWkTbxf2boFu1Zp</t>
  </si>
  <si>
    <t>1570623304481</t>
  </si>
  <si>
    <t>-LqkRSG-yXegGpyMm5Ja</t>
  </si>
  <si>
    <t>1570623311691</t>
  </si>
  <si>
    <t>-LqkRU1kzazk8j6xROni</t>
  </si>
  <si>
    <t>1570623318911</t>
  </si>
  <si>
    <t>-LqkRVkiRSYRm3-dWMbB</t>
  </si>
  <si>
    <t>1570623326120</t>
  </si>
  <si>
    <t>-LqkRXZw7uaiekEGTmi0</t>
  </si>
  <si>
    <t>1570623333331</t>
  </si>
  <si>
    <t>-LqkRZGZGX_BHZzJko8n</t>
  </si>
  <si>
    <t>1570623340540</t>
  </si>
  <si>
    <t>-LqkR_pjq56FKNFqUG9q</t>
  </si>
  <si>
    <t>1570623346730</t>
  </si>
  <si>
    <t>-LqkRbZgmzyOmWpqpR1x</t>
  </si>
  <si>
    <t>1570623353939</t>
  </si>
  <si>
    <t>-LqkRd1t1YQ3q70oPTyF</t>
  </si>
  <si>
    <t>1570623360141</t>
  </si>
  <si>
    <t>-LqkRebzuQIuvU-b1pxn</t>
  </si>
  <si>
    <t>1570623366300</t>
  </si>
  <si>
    <t>-LqkRgITKpVhiITUUup9</t>
  </si>
  <si>
    <t>1570623373501</t>
  </si>
  <si>
    <t>-LqkRi7zhK5hGQ_NpFql</t>
  </si>
  <si>
    <t>1570623380729</t>
  </si>
  <si>
    <t>-LqkRjptLT1-1NmFrKzL</t>
  </si>
  <si>
    <t>1570623387919</t>
  </si>
  <si>
    <t>-LqkRle-OGJBT5vBwaDp</t>
  </si>
  <si>
    <t>1570623394100</t>
  </si>
  <si>
    <t>-LqkRnMzMH0Fz8GzaCVN</t>
  </si>
  <si>
    <t>1570623402371</t>
  </si>
  <si>
    <t>-LqkRp58FTfxoceWHvoW</t>
  </si>
  <si>
    <t>1570623409416</t>
  </si>
  <si>
    <t>-LqkRqbR2lJhBAhW03ZI</t>
  </si>
  <si>
    <t>1570623415737</t>
  </si>
  <si>
    <t>-LqkRsQhNItxb5vxmXK3</t>
  </si>
  <si>
    <t>1570623422971</t>
  </si>
  <si>
    <t>-LqkRu8i-rA0SU0n9YU-</t>
  </si>
  <si>
    <t>1570623430198</t>
  </si>
  <si>
    <t>-LqkRvxzCB0hWFZvyw-n</t>
  </si>
  <si>
    <t>1570623437447</t>
  </si>
  <si>
    <t>-LqkRxfwufUfLwmzTLYi</t>
  </si>
  <si>
    <t>1570623444610</t>
  </si>
  <si>
    <t>-LqkRz9psJ1rUqp0EgnL</t>
  </si>
  <si>
    <t>1570623450789</t>
  </si>
  <si>
    <t>-LqkS-iy-gOhcPZ7PpF-</t>
  </si>
  <si>
    <t>1570623456969</t>
  </si>
  <si>
    <t>-LqkS1WyPanS7Pq47iVF</t>
  </si>
  <si>
    <t>1570623464187</t>
  </si>
  <si>
    <t>-LqkS3SW5KRgHDDxsCZr</t>
  </si>
  <si>
    <t>1570623471405</t>
  </si>
  <si>
    <t>-LqkS51ykGF-9kpgBore</t>
  </si>
  <si>
    <t>1570623478579</t>
  </si>
  <si>
    <t>-LqkS6kwpFIZO3MPB4pe</t>
  </si>
  <si>
    <t>1570623485828</t>
  </si>
  <si>
    <t>-LqkS8TwrL9mISxmCvh9</t>
  </si>
  <si>
    <t>1570623493027</t>
  </si>
  <si>
    <t>-LqkSAKsIlw5g3arJITC</t>
  </si>
  <si>
    <t>1570623500366</t>
  </si>
  <si>
    <t>-LqkSC3wpx2mRHDkL8YS</t>
  </si>
  <si>
    <t>1570623507449</t>
  </si>
  <si>
    <t>-LqkSDmmC6uc4v9X2R5X</t>
  </si>
  <si>
    <t>1570623514689</t>
  </si>
  <si>
    <t>-LqkSFKnC0jtQqgltNgO</t>
  </si>
  <si>
    <t>1570623520850</t>
  </si>
  <si>
    <t>-LqkSHNe19ULQD23z8lz</t>
  </si>
  <si>
    <t>1570623528057</t>
  </si>
  <si>
    <t>-LqkSJ72FMwNMamrmh-z</t>
  </si>
  <si>
    <t>1570623536309</t>
  </si>
  <si>
    <t>-LqkSKoyEsysS7wEdiAR</t>
  </si>
  <si>
    <t>1570623543517</t>
  </si>
  <si>
    <t>-LqkSMMiDHOm8fp63wKx</t>
  </si>
  <si>
    <t>1570623549698</t>
  </si>
  <si>
    <t>-LqkSOEkRQEXrZa5XCIR</t>
  </si>
  <si>
    <t>1570623557291</t>
  </si>
  <si>
    <t>-LqkSPsiPJawI82zXWYU</t>
  </si>
  <si>
    <t>1570623564118</t>
  </si>
  <si>
    <t>-LqkSRbwr41kfv7O1Qya</t>
  </si>
  <si>
    <t>1570623571329</t>
  </si>
  <si>
    <t>-LqkSTAxBYgyAZZb-HCy</t>
  </si>
  <si>
    <t>1570623577518</t>
  </si>
  <si>
    <t>-LqkSUu38cDKaPSnIcGy</t>
  </si>
  <si>
    <t>1570623584709</t>
  </si>
  <si>
    <t>-LqkSWRoXKA3npwdhhQK</t>
  </si>
  <si>
    <t>1570623590906</t>
  </si>
  <si>
    <t>-LqkSYAwxxLxoyL040zR</t>
  </si>
  <si>
    <t>1570623598149</t>
  </si>
  <si>
    <t>-LqkSZyxaAlxH2FehnaZ</t>
  </si>
  <si>
    <t>1570623605329</t>
  </si>
  <si>
    <t>-LqkSai1yp-wocWwqJiE</t>
  </si>
  <si>
    <t>1570623612548</t>
  </si>
  <si>
    <t>-LqkScEqbjeAqIOYWZMs</t>
  </si>
  <si>
    <t>1570623618728</t>
  </si>
  <si>
    <t>-LqkSdxi6DVwghj3Z-QG</t>
  </si>
  <si>
    <t>1570623625938</t>
  </si>
  <si>
    <t>-LqkSfmCWrrI617qhhxF</t>
  </si>
  <si>
    <t>1570623633149</t>
  </si>
  <si>
    <t>-LqkShnrv92ObkjBZsCR</t>
  </si>
  <si>
    <t>1570623640379</t>
  </si>
  <si>
    <t>-LqkSjVrf9eo8VzsnVQr</t>
  </si>
  <si>
    <t>1570623648611</t>
  </si>
  <si>
    <t>-LqkSlDk3b2i61W_1sIA</t>
  </si>
  <si>
    <t>1570623655821</t>
  </si>
  <si>
    <t>-LqkSmo-lnIYdyHVnrqe</t>
  </si>
  <si>
    <t>1570623661999</t>
  </si>
  <si>
    <t>-LqkSoVk73Bw5dZEduTv</t>
  </si>
  <si>
    <t>1570623669190</t>
  </si>
  <si>
    <t>-LqkSq3iJmyNMDo9iPQm</t>
  </si>
  <si>
    <t>1570623675389</t>
  </si>
  <si>
    <t>-LqkSsCH3oFt3Q4JfPnM</t>
  </si>
  <si>
    <t>1570623682629</t>
  </si>
  <si>
    <t>-LqkStq-gqhaCurYSiLF</t>
  </si>
  <si>
    <t>1570623690851</t>
  </si>
  <si>
    <t>-LqkSvYz4rj7fNbtKjjP</t>
  </si>
  <si>
    <t>1570623698060</t>
  </si>
  <si>
    <t>-LqkSx6zFYBjuMTKGuLe</t>
  </si>
  <si>
    <t>1570623704230</t>
  </si>
  <si>
    <t>-LqkSyqmAtP1PMYLvHqN</t>
  </si>
  <si>
    <t>1570623711432</t>
  </si>
  <si>
    <t>-LqkT-Nk05_vxSoho0PF</t>
  </si>
  <si>
    <t>1570623717619</t>
  </si>
  <si>
    <t>-LqkT14T0PAjDBDEQvLH</t>
  </si>
  <si>
    <t>1570623724860</t>
  </si>
  <si>
    <t>-LqkT2ps61E2UKKCNmJe</t>
  </si>
  <si>
    <t>1570623732071</t>
  </si>
  <si>
    <t>-LqkT4P0YW9-4ebarghK</t>
  </si>
  <si>
    <t>1570623738242</t>
  </si>
  <si>
    <t>-LqkT6Bz7g0hbCLViMQb</t>
  </si>
  <si>
    <t>1570623745459</t>
  </si>
  <si>
    <t>-LqkT7sbmNA1tAAhxtJV</t>
  </si>
  <si>
    <t>1570623752709</t>
  </si>
  <si>
    <t>-LqkT9OWPLQD14ZJJuW0</t>
  </si>
  <si>
    <t>1570623758821</t>
  </si>
  <si>
    <t>-LqkTAxpxWyoKQPWFTGJ</t>
  </si>
  <si>
    <t>1570623765049</t>
  </si>
  <si>
    <t>-LqkTCyjRE3r5FAkeqcV</t>
  </si>
  <si>
    <t>1570623773504</t>
  </si>
  <si>
    <t>-LqkTEi1-cK0WOyPyzcf</t>
  </si>
  <si>
    <t>1570623780489</t>
  </si>
  <si>
    <t>-LqkTGW-r9jcl7xVlbtr</t>
  </si>
  <si>
    <t>1570623787716</t>
  </si>
  <si>
    <t>-LqkTICsFmNQZ1frAJsf</t>
  </si>
  <si>
    <t>1570623794910</t>
  </si>
  <si>
    <t>-LqkTK-kmE9alCmYaHO9</t>
  </si>
  <si>
    <t>1570623802159</t>
  </si>
  <si>
    <t>-LqkTLhVkaV0oLb_y0LE</t>
  </si>
  <si>
    <t>1570623809340</t>
  </si>
  <si>
    <t>-LqkTNY-FT-zpB0clZu6</t>
  </si>
  <si>
    <t>1570623816549</t>
  </si>
  <si>
    <t>-LqkTPDTaiiygGOmKb6X</t>
  </si>
  <si>
    <t>1570623823740</t>
  </si>
  <si>
    <t>-LqkTQni8vYiMLYYDwFx</t>
  </si>
  <si>
    <t>1570623829947</t>
  </si>
  <si>
    <t>-LqkTSWjSW46gbH4sJA4</t>
  </si>
  <si>
    <t>1570623837151</t>
  </si>
  <si>
    <t>-LqkTUL-kDMNIzyG6XWI</t>
  </si>
  <si>
    <t>1570623844371</t>
  </si>
  <si>
    <t>-LqkTW501LDa9MQ8xKOf</t>
  </si>
  <si>
    <t>1570623851539</t>
  </si>
  <si>
    <t>-LqkTXqyGLs_R_t-Rdhy</t>
  </si>
  <si>
    <t>1570623858801</t>
  </si>
  <si>
    <t>-LqkTZXTUbdGQTcpbCc_</t>
  </si>
  <si>
    <t>1570623865981</t>
  </si>
  <si>
    <t>-LqkTaSR7AmXK55R2l3i</t>
  </si>
  <si>
    <t>1570623872169</t>
  </si>
  <si>
    <t>-LqkTc3ifGxp47Ae6znn</t>
  </si>
  <si>
    <t>1570623880402</t>
  </si>
  <si>
    <t>-LqkTde4o4GPgEoJgQZ4</t>
  </si>
  <si>
    <t>1570623886580</t>
  </si>
  <si>
    <t>-LqkTfMygdjewa7_dLKg</t>
  </si>
  <si>
    <t>1570623893828</t>
  </si>
  <si>
    <t>-LqkThTqJ6h4x3tYQJDY</t>
  </si>
  <si>
    <t>1570623902366</t>
  </si>
  <si>
    <t>-LqkTj6y88ujfY8CFBqm</t>
  </si>
  <si>
    <t>1570623909269</t>
  </si>
  <si>
    <t>-LqkTkeZVpHXXnbi_-XV</t>
  </si>
  <si>
    <t>1570623915460</t>
  </si>
  <si>
    <t>-LqkTmNs3SPChdQeOOB3</t>
  </si>
  <si>
    <t>1570623922640</t>
  </si>
  <si>
    <t>-LqkToBoDLqk2NCC28gc</t>
  </si>
  <si>
    <t>1570623929887</t>
  </si>
  <si>
    <t>-LqkTpwue_7azx1-y5-7</t>
  </si>
  <si>
    <t>1570623936070</t>
  </si>
  <si>
    <t>-LqkTrTxu2WhLKSW-NH7</t>
  </si>
  <si>
    <t>1570623943268</t>
  </si>
  <si>
    <t>-LqkTtBzQVPf8ZpzCwp9</t>
  </si>
  <si>
    <t>1570623950460</t>
  </si>
  <si>
    <t>-LqkTukysr8kkFIEFhMn</t>
  </si>
  <si>
    <t>1570623956660</t>
  </si>
  <si>
    <t>-LqkTwSzErq1ZKZb7YwC</t>
  </si>
  <si>
    <t>1570623963888</t>
  </si>
  <si>
    <t>-LqkTyGnxFs5CtgB7TwT</t>
  </si>
  <si>
    <t>1570623971129</t>
  </si>
  <si>
    <t>-LqkTzzxMf5G-o0TL-Cz</t>
  </si>
  <si>
    <t>1570623978309</t>
  </si>
  <si>
    <t>-LqkU0wpwlMBJzL6DD_-</t>
  </si>
  <si>
    <t>1570623986074</t>
  </si>
  <si>
    <t>-LqkU2TUvaGP2Br5Lnxd</t>
  </si>
  <si>
    <t>1570623992698</t>
  </si>
  <si>
    <t>-LqkU42h-hmV9gT0sO0c</t>
  </si>
  <si>
    <t>1570623998899</t>
  </si>
  <si>
    <t>-LqkU5liq_JodkPlfwy6</t>
  </si>
  <si>
    <t>1570624006120</t>
  </si>
  <si>
    <t>-LqkU7_yWs40KL3cC-u7</t>
  </si>
  <si>
    <t>1570624013330</t>
  </si>
  <si>
    <t>-LqkU9GSw25sNxehIPCR</t>
  </si>
  <si>
    <t>1570624020540</t>
  </si>
  <si>
    <t>-LqkUB5xVIa3weFTRrkB</t>
  </si>
  <si>
    <t>1570624027749</t>
  </si>
  <si>
    <t>-LqkUCmTYAlAw89qZSms</t>
  </si>
  <si>
    <t>1570624034940</t>
  </si>
  <si>
    <t>-LqkUEc-HZ_xa96JOKyF</t>
  </si>
  <si>
    <t>1570624042181</t>
  </si>
  <si>
    <t>-LqkUGKyVIb3GZnG3nbX</t>
  </si>
  <si>
    <t>1570624049362</t>
  </si>
  <si>
    <t>-LqkUHtykvegAPjteriA</t>
  </si>
  <si>
    <t>1570624055550</t>
  </si>
  <si>
    <t>-LqkUJbzBBcfTiWGJnEx</t>
  </si>
  <si>
    <t>1570624062780</t>
  </si>
  <si>
    <t>-LqkULPzhmneQA1noE98</t>
  </si>
  <si>
    <t>1570624069990</t>
  </si>
  <si>
    <t>-LqkUNPMlWUO7ULhQN0t</t>
  </si>
  <si>
    <t>1570624077179</t>
  </si>
  <si>
    <t>-LqkUP9zaM7qRO2rWO70</t>
  </si>
  <si>
    <t>1570624085440</t>
  </si>
  <si>
    <t>-LqkUQwi5t9YrOUgqFAP</t>
  </si>
  <si>
    <t>1570624092649</t>
  </si>
  <si>
    <t>-LqkUSea2-mIGIg8mGiZ</t>
  </si>
  <si>
    <t>1570624099869</t>
  </si>
  <si>
    <t>-LqkUUTx_-HTzk6xFwa8</t>
  </si>
  <si>
    <t>1570624107078</t>
  </si>
  <si>
    <t>-LqkUWuO_be_FILPn0y0</t>
  </si>
  <si>
    <t>1570624115798</t>
  </si>
  <si>
    <t>-LqkUYSfXokIHp17mNFx</t>
  </si>
  <si>
    <t>1570624123590</t>
  </si>
  <si>
    <t>-LqkU_H4FU2IKk3X3qHe</t>
  </si>
  <si>
    <t>1570624130779</t>
  </si>
  <si>
    <t>-LqkUbFtof5_b4bL-6NR</t>
  </si>
  <si>
    <t>1570624137989</t>
  </si>
  <si>
    <t>-LqkUd-dROwPjJ55SRDZ</t>
  </si>
  <si>
    <t>1570624146229</t>
  </si>
  <si>
    <t>-LqkUemh1ExLRwbqdXhm</t>
  </si>
  <si>
    <t>1570624153439</t>
  </si>
  <si>
    <t>-LqkUgVavN_JriSdjcgn</t>
  </si>
  <si>
    <t>1570624160651</t>
  </si>
  <si>
    <t>-LqkUiIiypLGOaCbAUnj</t>
  </si>
  <si>
    <t>1570624167860</t>
  </si>
  <si>
    <t>-LqkUk0_8QdGlsuObBn4</t>
  </si>
  <si>
    <t>1570624175080</t>
  </si>
  <si>
    <t>-LqkUlX8wA8hr6TGsc4W</t>
  </si>
  <si>
    <t>1570624181273</t>
  </si>
  <si>
    <t>-LqkUnYqpBizhOsopWF8</t>
  </si>
  <si>
    <t>1570624187438</t>
  </si>
  <si>
    <t>-LqkUpH8OR3h7dUCzplF</t>
  </si>
  <si>
    <t>1570624196708</t>
  </si>
  <si>
    <t>-LqkUqojqUp95Hi73a_G</t>
  </si>
  <si>
    <t>1570624202890</t>
  </si>
  <si>
    <t>-LqkUsYxvlqGpXACp4YE</t>
  </si>
  <si>
    <t>1570624210108</t>
  </si>
  <si>
    <t>-LqkUuXCvRAn-nPMQHj8</t>
  </si>
  <si>
    <t>1570624217320</t>
  </si>
  <si>
    <t>-LqkUwIqVNcDx5KaxAhp</t>
  </si>
  <si>
    <t>1570624225179</t>
  </si>
  <si>
    <t>-LqkUxr2Je05yd8cqPZn</t>
  </si>
  <si>
    <t>1570624231749</t>
  </si>
  <si>
    <t>-LqkUzlC9vctfCCFUuJj</t>
  </si>
  <si>
    <t>1570624238948</t>
  </si>
  <si>
    <t>-LqkV0MjB9b4C4hlKnE7</t>
  </si>
  <si>
    <t>1570624246140</t>
  </si>
  <si>
    <t>-LqkV1wxjll0RCisQrOC</t>
  </si>
  <si>
    <t>1570624252395</t>
  </si>
  <si>
    <t>-LqkV3ex5MZpAU25Wb6P</t>
  </si>
  <si>
    <t>1570624259559</t>
  </si>
  <si>
    <t>-LqkV5iNXL4nv2xR6YbP</t>
  </si>
  <si>
    <t>1570624266768</t>
  </si>
  <si>
    <t>-LqkV7UxXTDM-v0Ssdry</t>
  </si>
  <si>
    <t>1570624275009</t>
  </si>
  <si>
    <t>-LqkV9BiKmX9mNk1AC5f</t>
  </si>
  <si>
    <t>1570624282220</t>
  </si>
  <si>
    <t>-LqkVAvyNqpOSxz_2tqi</t>
  </si>
  <si>
    <t>1570624289428</t>
  </si>
  <si>
    <t>-LqkVCV7h1_2W9eRN7qo</t>
  </si>
  <si>
    <t>1570624295608</t>
  </si>
  <si>
    <t>-LqkVEBhAuUBRgDzxLPT</t>
  </si>
  <si>
    <t>1570624302807</t>
  </si>
  <si>
    <t>-LqkVFm-uQFgtNIGqD_a</t>
  </si>
  <si>
    <t>1570624308980</t>
  </si>
  <si>
    <t>-LqkVHV8N7cYcAWcrfzz</t>
  </si>
  <si>
    <t>1570624316279</t>
  </si>
  <si>
    <t>-LqkVJI9dQBpg-l4JEu4</t>
  </si>
  <si>
    <t>1570624323430</t>
  </si>
  <si>
    <t>-LqkVKzijnP9trVqkvVE</t>
  </si>
  <si>
    <t>1570624330628</t>
  </si>
  <si>
    <t>-LqkVMmiChX32jDvX8xk</t>
  </si>
  <si>
    <t>1570624337850</t>
  </si>
  <si>
    <t>-LqkVOWxkV19F6znigWL</t>
  </si>
  <si>
    <t>1570624345028</t>
  </si>
  <si>
    <t>-LqkVQOpX-kLLKWDxpvz</t>
  </si>
  <si>
    <t>1570624351238</t>
  </si>
  <si>
    <t>-LqkVS0a-U_-zDuLoeTl</t>
  </si>
  <si>
    <t>1570624359488</t>
  </si>
  <si>
    <t>-LqkVTb6t2UOuOwB_Sd7</t>
  </si>
  <si>
    <t>1570624365668</t>
  </si>
  <si>
    <t>-LqkVVIizI0yN5--M4Ux</t>
  </si>
  <si>
    <t>1570624372877</t>
  </si>
  <si>
    <t>-LqkVWri62DmaYLTMGVz</t>
  </si>
  <si>
    <t>1570624379060</t>
  </si>
  <si>
    <t>-LqkVY_hmlED7WdUEGsz</t>
  </si>
  <si>
    <t>1570624386269</t>
  </si>
  <si>
    <t>-LqkV_NjtCclCQ13bonw</t>
  </si>
  <si>
    <t>1570624393489</t>
  </si>
  <si>
    <t>-LqkVb5h69c8nVbj4lNz</t>
  </si>
  <si>
    <t>1570624400708</t>
  </si>
  <si>
    <t>-LqkVcw4B2B7DVrKauUU</t>
  </si>
  <si>
    <t>1570624407918</t>
  </si>
  <si>
    <t>-LqkVecpAkXLuz0mhx4X</t>
  </si>
  <si>
    <t>1570624415098</t>
  </si>
  <si>
    <t>-LqkVgPrU-QGI09CGA87</t>
  </si>
  <si>
    <t>1570624422330</t>
  </si>
  <si>
    <t>-LqkVi7ha59V8jRScJd_</t>
  </si>
  <si>
    <t>1570624429518</t>
  </si>
  <si>
    <t>-LqkVjiGr-q28WR6Bp6m</t>
  </si>
  <si>
    <t>1570624435689</t>
  </si>
  <si>
    <t>-LqkVlQyNoTPlM8SGovr</t>
  </si>
  <si>
    <t>1570624442938</t>
  </si>
  <si>
    <t>-LqkVnDwIPD4WhDP4SQc</t>
  </si>
  <si>
    <t>1570624450149</t>
  </si>
  <si>
    <t>-LqkVp169edq2LbsUcU1</t>
  </si>
  <si>
    <t>1570624457613</t>
  </si>
  <si>
    <t>-LqkVqisngJYrnDp_RPY</t>
  </si>
  <si>
    <t>1570624464569</t>
  </si>
  <si>
    <t>-LqkVsSypBGO9FJuZmQE</t>
  </si>
  <si>
    <t>1570624471748</t>
  </si>
  <si>
    <t>-LqkVuG72cZy6QS6IBZI</t>
  </si>
  <si>
    <t>1570624478988</t>
  </si>
  <si>
    <t>-LqkVvxsuNgi1geundRE</t>
  </si>
  <si>
    <t>1570624486218</t>
  </si>
  <si>
    <t>-LqkVxYCtt_zsQLWjXwQ</t>
  </si>
  <si>
    <t>1570624492399</t>
  </si>
  <si>
    <t>-LqkVzDL4N5UKkE0xhfD</t>
  </si>
  <si>
    <t>1570624499580</t>
  </si>
  <si>
    <t>-LqkW-niEmzcaCJSWlk3</t>
  </si>
  <si>
    <t>1570624505778</t>
  </si>
  <si>
    <t>-LqkW1Wi1OmqEs33apNL</t>
  </si>
  <si>
    <t>1570624512997</t>
  </si>
  <si>
    <t>-LqkW3MEFrZ1cHaWMgxD</t>
  </si>
  <si>
    <t>1570624520248</t>
  </si>
  <si>
    <t>-LqkW543lS5JNa9MgPZe</t>
  </si>
  <si>
    <t>1570624527430</t>
  </si>
  <si>
    <t>-LqkW6qxAxeans_BfBn9</t>
  </si>
  <si>
    <t>1570624534630</t>
  </si>
  <si>
    <t>-LqkW8Zx0sc7qPoO-EQB</t>
  </si>
  <si>
    <t>1570624541818</t>
  </si>
  <si>
    <t>-LqkWAN6L3rmHrLEEywN</t>
  </si>
  <si>
    <t>1570624549049</t>
  </si>
  <si>
    <t>-LqkWC21MYOAaI6JE9r-</t>
  </si>
  <si>
    <t>1570624556229</t>
  </si>
  <si>
    <t>-LqkWDdp6ngm62jQm62G</t>
  </si>
  <si>
    <t>1570624562449</t>
  </si>
  <si>
    <t>-LqkWFMxzTfLqHvyVcNl</t>
  </si>
  <si>
    <t>1570624569664</t>
  </si>
  <si>
    <t>-LqkWH9zdzSEX2h9xvmy</t>
  </si>
  <si>
    <t>1570624576869</t>
  </si>
  <si>
    <t>-LqkWJEeLNv5MZ0_nP9s</t>
  </si>
  <si>
    <t>1570624584058</t>
  </si>
  <si>
    <t>-LqkWKv0M1pC6HUq5zwn</t>
  </si>
  <si>
    <t>1570624592320</t>
  </si>
  <si>
    <t>-LqkWMm4BqQdqLygXkrw</t>
  </si>
  <si>
    <t>1570624600097</t>
  </si>
  <si>
    <t>-LqkWOR-IzpGxXO9zgeE</t>
  </si>
  <si>
    <t>1570624606782</t>
  </si>
  <si>
    <t>-LqkWQD1wmBtxrLykPzO</t>
  </si>
  <si>
    <t>1570624613961</t>
  </si>
  <si>
    <t>-LqkWRxA_GLCK0gN9v_K</t>
  </si>
  <si>
    <t>1570624621200</t>
  </si>
  <si>
    <t>-LqkWTiR4TWztrNpVH2e</t>
  </si>
  <si>
    <t>1570624628360</t>
  </si>
  <si>
    <t>-LqkWVE-VyeTHU6huAkk</t>
  </si>
  <si>
    <t>1570624634562</t>
  </si>
  <si>
    <t>-LqkWX0EXX7QaEptP86_</t>
  </si>
  <si>
    <t>1570624641772</t>
  </si>
  <si>
    <t>-LqkWYk-BfJoS8T83cfW</t>
  </si>
  <si>
    <t>1570624648993</t>
  </si>
  <si>
    <t>-LqkW_YBjiMZUD_q8aaK</t>
  </si>
  <si>
    <t>1570624656200</t>
  </si>
  <si>
    <t>-LqkWbEwkzvrlr9JWEoL</t>
  </si>
  <si>
    <t>1570624663411</t>
  </si>
  <si>
    <t>-LqkWd3-tsPM6FUfeXWQ</t>
  </si>
  <si>
    <t>1570624670621</t>
  </si>
  <si>
    <t>-LqkWem9zFVeZOtO6E4x</t>
  </si>
  <si>
    <t>1570624677831</t>
  </si>
  <si>
    <t>-LqkWgL1v9fL8oy9SUPa</t>
  </si>
  <si>
    <t>1570624684011</t>
  </si>
  <si>
    <t>-LqkWi31mKeW37J_gDV8</t>
  </si>
  <si>
    <t>1570624691221</t>
  </si>
  <si>
    <t>-LqkWjqz3hX-c9LbJzBx</t>
  </si>
  <si>
    <t>1570624698441</t>
  </si>
  <si>
    <t>-LqkWlZzzYPYWUg1fZn5</t>
  </si>
  <si>
    <t>1570624705671</t>
  </si>
  <si>
    <t>-LqkWnOG_Xenqm4rwUuv</t>
  </si>
  <si>
    <t>1570624712870</t>
  </si>
  <si>
    <t>-LqkWp51uTFNU11maS-w</t>
  </si>
  <si>
    <t>1570624720071</t>
  </si>
  <si>
    <t>-LqkWqrtVKJ2yuyewkWX</t>
  </si>
  <si>
    <t>1570624727282</t>
  </si>
  <si>
    <t>-LqkWsm6CVFgftZ3ox_H</t>
  </si>
  <si>
    <t>1570624734953</t>
  </si>
  <si>
    <t>-LqkWuOuWLIZ4WkcSxHn</t>
  </si>
  <si>
    <t>1570624741774</t>
  </si>
  <si>
    <t>-LqkWw70q68b4rbdE4HG</t>
  </si>
  <si>
    <t>1570624748931</t>
  </si>
  <si>
    <t>-LqkWxg0uZFhb_gBUeVL</t>
  </si>
  <si>
    <t>1570624755101</t>
  </si>
  <si>
    <t>-LqkWzOzp9kRsQu91pFs</t>
  </si>
  <si>
    <t>1570624762302</t>
  </si>
  <si>
    <t>-LqkX0BOVsJmHBcDUeHD</t>
  </si>
  <si>
    <t>1570624769532</t>
  </si>
  <si>
    <t>-LqkX1v0nR0YnxABABHO</t>
  </si>
  <si>
    <t>1570624776711</t>
  </si>
  <si>
    <t>-LqkX3U0Z6aWuv00qDOz</t>
  </si>
  <si>
    <t>1570624782912</t>
  </si>
  <si>
    <t>-LqkX5AlVX2XdnzSAr5x</t>
  </si>
  <si>
    <t>1570624790142</t>
  </si>
  <si>
    <t>-LqkX6zz0e_XX6tyionm</t>
  </si>
  <si>
    <t>1570624797340</t>
  </si>
  <si>
    <t>-LqkX8i-0MbUzDTNN4CA</t>
  </si>
  <si>
    <t>1570624804541</t>
  </si>
  <si>
    <t>-LqkXASFff_v7GQk8Fk3</t>
  </si>
  <si>
    <t>1570624811771</t>
  </si>
  <si>
    <t>-LqkXC-1p7YZRuL98UMh</t>
  </si>
  <si>
    <t>1570624817952</t>
  </si>
  <si>
    <t>-LqkXE5umnyXbf3JC2qZ</t>
  </si>
  <si>
    <t>1570624826413</t>
  </si>
  <si>
    <t>-LqkXFkCdFjvu871_uET</t>
  </si>
  <si>
    <t>1570624833414</t>
  </si>
  <si>
    <t>-LqkXHJ11YzaHuUjAazT</t>
  </si>
  <si>
    <t>1570624839590</t>
  </si>
  <si>
    <t>-LqkXJ6ixRwEIZa7Fciv</t>
  </si>
  <si>
    <t>1570624846783</t>
  </si>
  <si>
    <t>-LqkXKp2c7N5s6NVMdqq</t>
  </si>
  <si>
    <t>1570624854014</t>
  </si>
  <si>
    <t>-LqkXMZW_n4fUS5Is-hb</t>
  </si>
  <si>
    <t>1570624861194</t>
  </si>
  <si>
    <t>-LqkXO60D96v5wUl_hXm</t>
  </si>
  <si>
    <t>1570624867382</t>
  </si>
  <si>
    <t>-LqkXPotUxl0AbvpKEZa</t>
  </si>
  <si>
    <t>1570624874631</t>
  </si>
  <si>
    <t>-LqkXRYyz6BJsYfSsiZU</t>
  </si>
  <si>
    <t>1570624881822</t>
  </si>
  <si>
    <t>-LqkXT61m5eaNcM2UGlO</t>
  </si>
  <si>
    <t>1570624888012</t>
  </si>
  <si>
    <t>-LqkXUu04vXmmeGPodnm</t>
  </si>
  <si>
    <t>1570624895222</t>
  </si>
  <si>
    <t>-LqkXX02ntBXTQvZBeRO</t>
  </si>
  <si>
    <t>1570624903918</t>
  </si>
  <si>
    <t>-LqkXYe23gtq3qZ5mP5K</t>
  </si>
  <si>
    <t>1570624910674</t>
  </si>
  <si>
    <t>-LqkX_N0lBMs2qe3i6o9</t>
  </si>
  <si>
    <t>1570624917893</t>
  </si>
  <si>
    <t>-LqkXaw9SCabVSN6VAvh</t>
  </si>
  <si>
    <t>1570624924074</t>
  </si>
  <si>
    <t>-LqkXce5hI5f90ybhXLi</t>
  </si>
  <si>
    <t>1570624931262</t>
  </si>
  <si>
    <t>-LqkXeN2yK3sGtp7AWmS</t>
  </si>
  <si>
    <t>1570624937863</t>
  </si>
  <si>
    <t>-LqkXfw01b5sVCxVYY_v</t>
  </si>
  <si>
    <t>1570624944674</t>
  </si>
  <si>
    <t>-LqkXhj0ApBBNuOcoBxK</t>
  </si>
  <si>
    <t>1570624951893</t>
  </si>
  <si>
    <t>-LqkXjS2lvsALHujTUkj</t>
  </si>
  <si>
    <t>1570624959112</t>
  </si>
  <si>
    <t>-LqkXl9tn7TCBzuivJT5</t>
  </si>
  <si>
    <t>1570624966314</t>
  </si>
  <si>
    <t>-LqkXmj1Rzs8IMbyfVt0</t>
  </si>
  <si>
    <t>1570624972501</t>
  </si>
  <si>
    <t>-LqkXoX1OvQdcQcOn9U_</t>
  </si>
  <si>
    <t>1570624979703</t>
  </si>
  <si>
    <t>-LqkXqF1CR9Px7yZjwBk</t>
  </si>
  <si>
    <t>1570624986913</t>
  </si>
  <si>
    <t>-LqkXs220K3BttNMPRTv</t>
  </si>
  <si>
    <t>1570624994124</t>
  </si>
  <si>
    <t>-LqkXtl0xCqB8xLTX7JF</t>
  </si>
  <si>
    <t>1570625001353</t>
  </si>
  <si>
    <t>-LqkXvZ1MzGN6jmlG55R</t>
  </si>
  <si>
    <t>1570625008554</t>
  </si>
  <si>
    <t>-LqkXxGtVbJOKVF1E3Fk</t>
  </si>
  <si>
    <t>1570625015744</t>
  </si>
  <si>
    <t>-LqkXypuE1TJ-uJvOkNd</t>
  </si>
  <si>
    <t>1570625021943</t>
  </si>
  <si>
    <t>-LqkY-x1-VJLu_mS4_vF</t>
  </si>
  <si>
    <t>1570625030665</t>
  </si>
  <si>
    <t>-LqkY1_ssmZ6rMIGKAsW</t>
  </si>
  <si>
    <t>1570625037392</t>
  </si>
  <si>
    <t>-LqkY3J0_FsNdETEnNlt</t>
  </si>
  <si>
    <t>1570625044624</t>
  </si>
  <si>
    <t>-LqkY4o8_xb6LyPv87Zo</t>
  </si>
  <si>
    <t>1570625050794</t>
  </si>
  <si>
    <t>-LqkY6cW9oqP740krxU8</t>
  </si>
  <si>
    <t>1570625056972</t>
  </si>
  <si>
    <t>-LqkY8Nze6_yBmNKn0MP</t>
  </si>
  <si>
    <t>1570625065210</t>
  </si>
  <si>
    <t>-LqkYAL0Zfc4w9HRYaED</t>
  </si>
  <si>
    <t>1570625073400</t>
  </si>
  <si>
    <t>-LqkYBt2cXLsm6bJjeBt</t>
  </si>
  <si>
    <t>1570625079630</t>
  </si>
  <si>
    <t>-LqkYDajG5V3fg1FbnZ0</t>
  </si>
  <si>
    <t>1570625086860</t>
  </si>
  <si>
    <t>-LqkYFB-CHisNrBM4ioR</t>
  </si>
  <si>
    <t>1570625093030</t>
  </si>
  <si>
    <t>-LqkYGsk-n0lgNTEsnN5</t>
  </si>
  <si>
    <t>1570625100221</t>
  </si>
  <si>
    <t>-LqkYISpSIfMNa1f4pS4</t>
  </si>
  <si>
    <t>1570625106420</t>
  </si>
  <si>
    <t>-LqkYKAz1WHMOrsdgBsn</t>
  </si>
  <si>
    <t>1570625113630</t>
  </si>
  <si>
    <t>-LqkYLz0DqT_bsUrABQC</t>
  </si>
  <si>
    <t>1570625120840</t>
  </si>
  <si>
    <t>-LqkYNfG0qr503gZGjfc</t>
  </si>
  <si>
    <t>1570625128061</t>
  </si>
  <si>
    <t>-LqkYPTkjCwXUVhkJLXp</t>
  </si>
  <si>
    <t>1570625135271</t>
  </si>
  <si>
    <t>-LqkYRAUplaI-URJ73ET</t>
  </si>
  <si>
    <t>1570625142461</t>
  </si>
  <si>
    <t>-LqkYSzerAriI39MW4C-</t>
  </si>
  <si>
    <t>1570625148661</t>
  </si>
  <si>
    <t>-LqkYUgWWYRUL6MaMPrM</t>
  </si>
  <si>
    <t>1570625156870</t>
  </si>
  <si>
    <t>-LqkYWHrnX7xi5_SIZzl</t>
  </si>
  <si>
    <t>1570625163080</t>
  </si>
  <si>
    <t>-LqkYY0-tAvLOikxsSSZ</t>
  </si>
  <si>
    <t>1570625170312</t>
  </si>
  <si>
    <t>-LqkYZnr3Ub6LCBq8KTs</t>
  </si>
  <si>
    <t>1570625177511</t>
  </si>
  <si>
    <t>-LqkYaUd45AC8m6p82mu</t>
  </si>
  <si>
    <t>1570625184700</t>
  </si>
  <si>
    <t>-LqkYcOzmKxrX9NVORkh</t>
  </si>
  <si>
    <t>1570625192323</t>
  </si>
  <si>
    <t>-LqkYe0j3mFn90q5ioQh</t>
  </si>
  <si>
    <t>1570625199119</t>
  </si>
  <si>
    <t>-LqkYfWr90Gj2ewhzH3s</t>
  </si>
  <si>
    <t>1570625205272</t>
  </si>
  <si>
    <t>-LqkYhJptGA9h4yXazZf</t>
  </si>
  <si>
    <t>-LqkYimi02uRIINtxeRq</t>
  </si>
  <si>
    <t>1570625218692</t>
  </si>
  <si>
    <t>-LqkYkLjYYNLw0LYpdb2</t>
  </si>
  <si>
    <t>1570625224900</t>
  </si>
  <si>
    <t>-LqkYm3vBkZd4Naslb0C</t>
  </si>
  <si>
    <t>1570625232110</t>
  </si>
  <si>
    <t>-LqkYndyNiK5gmhziQCK</t>
  </si>
  <si>
    <t>1570625238301</t>
  </si>
  <si>
    <t>-LqkYpKMWqXYJLjynp_Z</t>
  </si>
  <si>
    <t>1570625245510</t>
  </si>
  <si>
    <t>-LqkYquipXtSAI3zxikE</t>
  </si>
  <si>
    <t>1570625251691</t>
  </si>
  <si>
    <t>-LqkYscl0ebg07sNudli</t>
  </si>
  <si>
    <t>1570625258901</t>
  </si>
  <si>
    <t>-LqkYuS17VXYPGbw9xGp</t>
  </si>
  <si>
    <t>1570625266112</t>
  </si>
  <si>
    <t>-LqkYw9pA9FdYhNyzZ21</t>
  </si>
  <si>
    <t>1570625273367</t>
  </si>
  <si>
    <t>-LqkYxk3xJBNevjrY9wT</t>
  </si>
  <si>
    <t>1570625279531</t>
  </si>
  <si>
    <t>-LqkYzQkX02d7yiCagoB</t>
  </si>
  <si>
    <t>1570625286720</t>
  </si>
  <si>
    <t>-LqkZ0F1ivkiDNRX0Rbj</t>
  </si>
  <si>
    <t>1570625293943</t>
  </si>
  <si>
    <t>-LqkZ1vLiOwFa9RJjcsN</t>
  </si>
  <si>
    <t>1570625301169</t>
  </si>
  <si>
    <t>-LqkZ3S-cTscTgRorDi3</t>
  </si>
  <si>
    <t>1570625307331</t>
  </si>
  <si>
    <t>-LqkZ4vpcBxG0orZIPXR</t>
  </si>
  <si>
    <t>1570625313502</t>
  </si>
  <si>
    <t>-LqkZ6Tih5ajuseEFqNS</t>
  </si>
  <si>
    <t>1570625319691</t>
  </si>
  <si>
    <t>-LqkZ8I9ehxpzHw6-ZY5</t>
  </si>
  <si>
    <t>1570625326908</t>
  </si>
  <si>
    <t>-LqkZAJzKq89z5U9asm4</t>
  </si>
  <si>
    <t>1570625335391</t>
  </si>
  <si>
    <t>-LqkZC1qyZcaew9R0jdU</t>
  </si>
  <si>
    <t>1570625342365</t>
  </si>
  <si>
    <t>-LqkZDUt5sIEqtq4kSSe</t>
  </si>
  <si>
    <t>1570625348550</t>
  </si>
  <si>
    <t>-LqkZFErAIwY11XaquWL</t>
  </si>
  <si>
    <t>1570625355751</t>
  </si>
  <si>
    <t>-LqkZGnXS_0PIaDYj6NI</t>
  </si>
  <si>
    <t>1570625361942</t>
  </si>
  <si>
    <t>-LqkZI_j1DPDr22_KHop</t>
  </si>
  <si>
    <t>1570625369150</t>
  </si>
  <si>
    <t>-LqkZKblZpqod2yhMiX4</t>
  </si>
  <si>
    <t>1570625377695</t>
  </si>
  <si>
    <t>-LqkZMKk-bc9qUNqa3sX</t>
  </si>
  <si>
    <t>1570625384600</t>
  </si>
  <si>
    <t>-LqkZO2jHbWxKY5KNYWI</t>
  </si>
  <si>
    <t>1570625391820</t>
  </si>
  <si>
    <t>-LqkZPd0Dw4efPY0pr37</t>
  </si>
  <si>
    <t>1570625398014</t>
  </si>
  <si>
    <t>-LqkZRM-dkAXHsQqo4gz</t>
  </si>
  <si>
    <t>1570625405181</t>
  </si>
  <si>
    <t>-LqkZT7v9zsSirZlYKsk</t>
  </si>
  <si>
    <t>1570625412421</t>
  </si>
  <si>
    <t>-LqkZUrt1KqP9_X2BFUd</t>
  </si>
  <si>
    <t>1570625419658</t>
  </si>
  <si>
    <t>-LqkZWR-k3_2K6o3m0XV</t>
  </si>
  <si>
    <t>1570625425811</t>
  </si>
  <si>
    <t>-LqkZY6UbFNO5UxFsGQb</t>
  </si>
  <si>
    <t>1570625433020</t>
  </si>
  <si>
    <t>-LqkZ_CobXG8CeIH5jnQ</t>
  </si>
  <si>
    <t>1570625440241</t>
  </si>
  <si>
    <t>-LqkZaxkwFLdtj1Nd5gT</t>
  </si>
  <si>
    <t>1570625448490</t>
  </si>
  <si>
    <t>-LqkZcftrq5MlT8SBaN_</t>
  </si>
  <si>
    <t>1570625455690</t>
  </si>
  <si>
    <t>-LqkZeV-16WtVYU1cYta</t>
  </si>
  <si>
    <t>1570625462919</t>
  </si>
  <si>
    <t>-LqkZgBdHO-oXtjaliYJ</t>
  </si>
  <si>
    <t>1570625470112</t>
  </si>
  <si>
    <t>-LqkZhgs0C5jl19wb4Y8</t>
  </si>
  <si>
    <t>1570625476291</t>
  </si>
  <si>
    <t>-LqkZjVAUW6K2GbLLvD6</t>
  </si>
  <si>
    <t>1570625483530</t>
  </si>
  <si>
    <t>-LqkZlI0Szpu0hUMf3w3</t>
  </si>
  <si>
    <t>1570625490722</t>
  </si>
  <si>
    <t>-LqkZmzvAaihLZk7dtiW</t>
  </si>
  <si>
    <t>1570625497940</t>
  </si>
  <si>
    <t>-LqkZoTvW_sMqzFPiGlx</t>
  </si>
  <si>
    <t>1570625504121</t>
  </si>
  <si>
    <t>-LqkZq3A0Z7-5JgAnZTz</t>
  </si>
  <si>
    <t>1570625510302</t>
  </si>
  <si>
    <t>-LqkZrqrkAqf0EgC05dI</t>
  </si>
  <si>
    <t>1570625517511</t>
  </si>
  <si>
    <t>-LqkZtYv_0uLYv7XNhrA</t>
  </si>
  <si>
    <t>1570625524723</t>
  </si>
  <si>
    <t>-LqkZv2rJXvT04flcvTp</t>
  </si>
  <si>
    <t>1570625530902</t>
  </si>
  <si>
    <t>-LqkZwqCoTc2E6LOBdx-</t>
  </si>
  <si>
    <t>1570625538122</t>
  </si>
  <si>
    <t>-LqkZy_0M1dSLtz9PjFp</t>
  </si>
  <si>
    <t>1570625545350</t>
  </si>
  <si>
    <t>-Lqk_-I-DvAyRCxKZByW</t>
  </si>
  <si>
    <t>1570625552542</t>
  </si>
  <si>
    <t>-Lqk_0r-CbJ50660zBlR</t>
  </si>
  <si>
    <t>1570625558731</t>
  </si>
  <si>
    <t>-Lqk_2e0XP7y2QVDgu3e</t>
  </si>
  <si>
    <t>1570625565932</t>
  </si>
  <si>
    <t>-Lqk_4N01O5sAE7Tdr6a</t>
  </si>
  <si>
    <t>1570625573141</t>
  </si>
  <si>
    <t>-Lqk_6A1syeWUpQyvydC</t>
  </si>
  <si>
    <t>1570625580362</t>
  </si>
  <si>
    <t>-Lqk_7u5who1whYTeedr</t>
  </si>
  <si>
    <t>1570625587562</t>
  </si>
  <si>
    <t>-Lqk_9c66RXBLdaQpBG1</t>
  </si>
  <si>
    <t>1570625594791</t>
  </si>
  <si>
    <t>-Lqk_BA1Ati8yaifa54o</t>
  </si>
  <si>
    <t>1570625600961</t>
  </si>
  <si>
    <t>-Lqk_CymMlAnZ_ARruyy</t>
  </si>
  <si>
    <t>1570625608171</t>
  </si>
  <si>
    <t>-Lqk_Eg0klTXO5jLtKUk</t>
  </si>
  <si>
    <t>1570625615381</t>
  </si>
  <si>
    <t>-Lqk_GU8jASuKPkUFG_X</t>
  </si>
  <si>
    <t>1570625622644</t>
  </si>
  <si>
    <t>-Lqk_IC0bj9cngaqCUnb</t>
  </si>
  <si>
    <t>1570625629832</t>
  </si>
  <si>
    <t>-Lqk_K--P1mp5glJgINf</t>
  </si>
  <si>
    <t>1570625637020</t>
  </si>
  <si>
    <t>-Lqk_Li0892HyfwWmYp9</t>
  </si>
  <si>
    <t>1570625644232</t>
  </si>
  <si>
    <t>-Lqk_NW9expq_UaMwttV</t>
  </si>
  <si>
    <t>1570625651440</t>
  </si>
  <si>
    <t>-Lqk_PWnhcKtiBBlIuBc</t>
  </si>
  <si>
    <t>1570625658630</t>
  </si>
  <si>
    <t>-Lqk_RG0e7Hzy93y5FIL</t>
  </si>
  <si>
    <t>1570625666892</t>
  </si>
  <si>
    <t>-Lqk_T3-6I5dYEvw5dRD</t>
  </si>
  <si>
    <t>1570625674101</t>
  </si>
  <si>
    <t>-Lqk_V4zZ6U7Wwt-PQlM</t>
  </si>
  <si>
    <t>1570625682529</t>
  </si>
  <si>
    <t>-Lqk_Wmjr8N3ILWYrEoH</t>
  </si>
  <si>
    <t>1570625689560</t>
  </si>
  <si>
    <t>-Lqk_YViDcwexcwLob4K</t>
  </si>
  <si>
    <t>1570625696738</t>
  </si>
  <si>
    <t>-Lqk__4z4ZbtezanCo06</t>
  </si>
  <si>
    <t>1570625703027</t>
  </si>
  <si>
    <t>-Lqk_alSSMeVepfKrDaV</t>
  </si>
  <si>
    <t>1570625710139</t>
  </si>
  <si>
    <t>-Lqk_cI5GxH0BJ7foA1R</t>
  </si>
  <si>
    <t>1570625716338</t>
  </si>
  <si>
    <t>-Lqk_e4zc0u1sM_mzPew</t>
  </si>
  <si>
    <t>1570625723562</t>
  </si>
  <si>
    <t>-Lqk_fu4xwZhOTl0W0J0</t>
  </si>
  <si>
    <t>1570625730798</t>
  </si>
  <si>
    <t>-Lqk_hapI2yOL0tZ2vea</t>
  </si>
  <si>
    <t>1570625737988</t>
  </si>
  <si>
    <t>-Lqk_j9oSQCPNQi5t0Xq</t>
  </si>
  <si>
    <t>1570625744158</t>
  </si>
  <si>
    <t>-Lqk_krrwCVeVJrFp2Ja</t>
  </si>
  <si>
    <t>1570625751368</t>
  </si>
  <si>
    <t>-Lqk_mazTvfwsGhfU0Rq</t>
  </si>
  <si>
    <t>1570625758578</t>
  </si>
  <si>
    <t>-Lqk_o9ypAiwv4mt8fTg</t>
  </si>
  <si>
    <t>1570625764758</t>
  </si>
  <si>
    <t>-Lqk_prjRkAOO4ZLchEz</t>
  </si>
  <si>
    <t>1570625771985</t>
  </si>
  <si>
    <t>-Lqk_rRxhg_cpKguDLp-</t>
  </si>
  <si>
    <t>1570625778161</t>
  </si>
  <si>
    <t>-Lqk_tU-8AdoY4z9-zIi</t>
  </si>
  <si>
    <t>1570625785338</t>
  </si>
  <si>
    <t>-Lqk_vD4BXYdalGexHWv</t>
  </si>
  <si>
    <t>1570625793608</t>
  </si>
  <si>
    <t>-Lqk_weiARzDFz0DV1dA</t>
  </si>
  <si>
    <t>1570625799800</t>
  </si>
  <si>
    <t>-Lqk_yEyJZ8i2J8Ne0lh</t>
  </si>
  <si>
    <t>1570625805986</t>
  </si>
  <si>
    <t>-Lqk_zwjrvs5kbsbvfhy</t>
  </si>
  <si>
    <t>1570625813179</t>
  </si>
  <si>
    <t>-Lqka0lbZWTuC_wCmiBs</t>
  </si>
  <si>
    <t>1570625820401</t>
  </si>
  <si>
    <t>-Lqka2r07Lmhyts2yldH</t>
  </si>
  <si>
    <t>1570625829144</t>
  </si>
  <si>
    <t>-Lqka4UbdvyeeskxpRs2</t>
  </si>
  <si>
    <t>1570625835849</t>
  </si>
  <si>
    <t>-Lqka6J-FvyhiRefMmqm</t>
  </si>
  <si>
    <t>1570625843062</t>
  </si>
  <si>
    <t>-Lqka8-h8Mn5-q8_mwQA</t>
  </si>
  <si>
    <t>1570625850270</t>
  </si>
  <si>
    <t>-Lqka9oy_91tD7pdU6gX</t>
  </si>
  <si>
    <t>1570625857490</t>
  </si>
  <si>
    <t>-LqkaBVm_cUCNEKNdGmy</t>
  </si>
  <si>
    <t>1570625864709</t>
  </si>
  <si>
    <t>-LqkaDZqOs7DJ_O5TpV8</t>
  </si>
  <si>
    <t>1570625871910</t>
  </si>
  <si>
    <t>-LqkaFGhFMD5PuJ0TH27</t>
  </si>
  <si>
    <t>1570625880117</t>
  </si>
  <si>
    <t>-LqkaGr-clWooqRuJte-</t>
  </si>
  <si>
    <t>1570625886330</t>
  </si>
  <si>
    <t>-LqkaIXU47mn3IrK7CL-</t>
  </si>
  <si>
    <t>1570625893508</t>
  </si>
  <si>
    <t>-LqkaK88BqWMzsGmFHYB</t>
  </si>
  <si>
    <t>1570625899700</t>
  </si>
  <si>
    <t>-LqkaLqyWacrXbHALm7f</t>
  </si>
  <si>
    <t>1570625906952</t>
  </si>
  <si>
    <t>-LqkaNsq8vxpzsIciTI_</t>
  </si>
  <si>
    <t>1570625914151</t>
  </si>
  <si>
    <t>-LqkaPfnPzkkK3XP67xN</t>
  </si>
  <si>
    <t>1570625922397</t>
  </si>
  <si>
    <t>-LqkaROxkgOfcZUlBJ9-</t>
  </si>
  <si>
    <t>1570625929599</t>
  </si>
  <si>
    <t>-LqkaTBmwBpq-UR6PPYX</t>
  </si>
  <si>
    <t>1570625936809</t>
  </si>
  <si>
    <t>-LqkaUtil7E9jiFSY-lh</t>
  </si>
  <si>
    <t>1570625944019</t>
  </si>
  <si>
    <t>-LqkaWhw0DCdtlC3ovEL</t>
  </si>
  <si>
    <t>1570625951239</t>
  </si>
  <si>
    <t>-LqkaYS6YPLD2mcTtbz9</t>
  </si>
  <si>
    <t>1570625958469</t>
  </si>
  <si>
    <t>-Lqka_NxfD3iHjAV3xDz</t>
  </si>
  <si>
    <t>1570625966522</t>
  </si>
  <si>
    <t>-LqkaauTkfGVH9eho2sC</t>
  </si>
  <si>
    <t>1570625972859</t>
  </si>
  <si>
    <t>-Lqkacjw8ujDV7lYibp6</t>
  </si>
  <si>
    <t>1570625980088</t>
  </si>
  <si>
    <t>-LqkaeXpr6jAGzehUwjP</t>
  </si>
  <si>
    <t>1570625987268</t>
  </si>
  <si>
    <t>-LqkagBusC9WySFbMZYD</t>
  </si>
  <si>
    <t>1570625994507</t>
  </si>
  <si>
    <t>-LqkahhvvJDc_rBZf1Kc</t>
  </si>
  <si>
    <t>1570626000699</t>
  </si>
  <si>
    <t>-LqkajXnllHc6yL42EZo</t>
  </si>
  <si>
    <t>1570626008112</t>
  </si>
  <si>
    <t>-LqkalH4Ts1FGpsPe_Mk</t>
  </si>
  <si>
    <t>1570626015097</t>
  </si>
  <si>
    <t>-Lqkan2yYHb4Kz61iCeD</t>
  </si>
  <si>
    <t>1570626022327</t>
  </si>
  <si>
    <t>-Lqkaolx-Nt__AQ6ZLAj</t>
  </si>
  <si>
    <t>1570626029509</t>
  </si>
  <si>
    <t>-LqkaqL5KgQQIXvpzmzv</t>
  </si>
  <si>
    <t>1570626035697</t>
  </si>
  <si>
    <t>-LqkasOC-B8ZUnd_mLr3</t>
  </si>
  <si>
    <t>1570626044082</t>
  </si>
  <si>
    <t>-Lqkau3kmKOpwKTpq2BC</t>
  </si>
  <si>
    <t>1570626051177</t>
  </si>
  <si>
    <t>-LqkavsnY7AuFUZcFxVy</t>
  </si>
  <si>
    <t>1570626058412</t>
  </si>
  <si>
    <t>-LqkaxamrtKIFdhtluvN</t>
  </si>
  <si>
    <t>1570626065600</t>
  </si>
  <si>
    <t>-Lqkaz3qXdJXoVKdjFad</t>
  </si>
  <si>
    <t>1570626071749</t>
  </si>
  <si>
    <t>-Lqkb-ouM6Qqijvp_tyi</t>
  </si>
  <si>
    <t>1570626078998</t>
  </si>
  <si>
    <t>-Lqkb1X5dLoV53fx3yY7</t>
  </si>
  <si>
    <t>1570626085714</t>
  </si>
  <si>
    <t>-Lqkb3A850YfrdLYNFOQ</t>
  </si>
  <si>
    <t>1570626092397</t>
  </si>
  <si>
    <t>-Lqkb4t6W9jeiElv4U6q</t>
  </si>
  <si>
    <t>1570626099580</t>
  </si>
  <si>
    <t>-Lqkb6c1HqjnSoWPuXTH</t>
  </si>
  <si>
    <t>1570626106818</t>
  </si>
  <si>
    <t>-Lqkb88pvwf4eOqE-mQG</t>
  </si>
  <si>
    <t>1570626112998</t>
  </si>
  <si>
    <t>-Lqkb9xyPe9D0HF-qFD4</t>
  </si>
  <si>
    <t>1570626120179</t>
  </si>
  <si>
    <t>-LqkbBdbK75i-dT3uSPF</t>
  </si>
  <si>
    <t>1570626127419</t>
  </si>
  <si>
    <t>-LqkbDUEx0_ErczjlxKz</t>
  </si>
  <si>
    <t>1570626134628</t>
  </si>
  <si>
    <t>-LqkbF9kAsuCAE-NijcF</t>
  </si>
  <si>
    <t>1570626141817</t>
  </si>
  <si>
    <t>-LqkbH4VWVjjg3dn5JxW</t>
  </si>
  <si>
    <t>1570626148017</t>
  </si>
  <si>
    <t>-LqkbIi1BVpJqT4UMEj3</t>
  </si>
  <si>
    <t>1570626156241</t>
  </si>
  <si>
    <t>-LqkbKaQQAhoXe8oNKl2</t>
  </si>
  <si>
    <t>1570626162452</t>
  </si>
  <si>
    <t>-LqkbMJ0WBtoa_HVYw5W</t>
  </si>
  <si>
    <t>1570626170739</t>
  </si>
  <si>
    <t>-LqkbO11YtfRvSafknIW</t>
  </si>
  <si>
    <t>1570626177902</t>
  </si>
  <si>
    <t>-LqkbPoswzNZnWGqB64y</t>
  </si>
  <si>
    <t>1570626185121</t>
  </si>
  <si>
    <t>-LqkbRY-9g8hWro33KVT</t>
  </si>
  <si>
    <t>1570626192332</t>
  </si>
  <si>
    <t>-LqkbTL9YS4QvwiLcVbK</t>
  </si>
  <si>
    <t>1570626199551</t>
  </si>
  <si>
    <t>-LqkbVN-B2oa54YZCu_T</t>
  </si>
  <si>
    <t>1570626207929</t>
  </si>
  <si>
    <t>-LqkbX1GDhWBfb39sFt8</t>
  </si>
  <si>
    <t>1570626214992</t>
  </si>
  <si>
    <t>-LqkbYYbdUvJGBkYkVn-</t>
  </si>
  <si>
    <t>1570626221182</t>
  </si>
  <si>
    <t>-Lqkb_N-e-m7fCPu-aUI</t>
  </si>
  <si>
    <t>1570626228394</t>
  </si>
  <si>
    <t>-Lqkbb50Qxc5gkv4n_xf</t>
  </si>
  <si>
    <t>1570626235583</t>
  </si>
  <si>
    <t>-Lqkbce0TMjwZYzn3acP</t>
  </si>
  <si>
    <t>1570626241781</t>
  </si>
  <si>
    <t>-LqkbeiATcHfIeRuP-q1</t>
  </si>
  <si>
    <t>1570626248991</t>
  </si>
  <si>
    <t>-LqkbgPoStRqXFFf8rTH</t>
  </si>
  <si>
    <t>1570626257231</t>
  </si>
  <si>
    <t>-Lqkbi6s5qscNnyqWrzG</t>
  </si>
  <si>
    <t>1570626264462</t>
  </si>
  <si>
    <t>-Lqkbjg0fFNe0nFqbaWE</t>
  </si>
  <si>
    <t>1570626270621</t>
  </si>
  <si>
    <t>-LqkblOYO3q-0bxB_648</t>
  </si>
  <si>
    <t>1570626277821</t>
  </si>
  <si>
    <t>-LqkbnC86uwpDMSwG5P0</t>
  </si>
  <si>
    <t>1570626285051</t>
  </si>
  <si>
    <t>-LqkboxXuG__4hhN9SHa</t>
  </si>
  <si>
    <t>1570626292232</t>
  </si>
  <si>
    <t>-Lqkbqo6DIuoW1sTx8TM</t>
  </si>
  <si>
    <t>1570626299494</t>
  </si>
  <si>
    <t>-LqkbsQqXKYHPt5H16kv</t>
  </si>
  <si>
    <t>1570626306702</t>
  </si>
  <si>
    <t>-Lqkbu05RpP3zR9Oeg1H</t>
  </si>
  <si>
    <t>1570626312873</t>
  </si>
  <si>
    <t>-Lqkbvm2AKxSWzNc7Hwz</t>
  </si>
  <si>
    <t>1570626320062</t>
  </si>
  <si>
    <t>-LqkbxW1cYZ46Tvg4QMd</t>
  </si>
  <si>
    <t>1570626327292</t>
  </si>
  <si>
    <t>-LqkbzE-InWjgL9GT_gh</t>
  </si>
  <si>
    <t>1570626334473</t>
  </si>
  <si>
    <t>-Lqkc-n1qysNBJnZYsfz</t>
  </si>
  <si>
    <t>1570626340671</t>
  </si>
  <si>
    <t>-Lqkc1VXK4F93-WhX61r</t>
  </si>
  <si>
    <t>1570626347921</t>
  </si>
  <si>
    <t>-Lqkc3J-ZSDzGrIWMSXN</t>
  </si>
  <si>
    <t>1570626355112</t>
  </si>
  <si>
    <t>-Lqkc51-pCxNBukWdViG</t>
  </si>
  <si>
    <t>1570626362301</t>
  </si>
  <si>
    <t>-Lqkc6pnpWWJ2Xbdesmi</t>
  </si>
  <si>
    <t>1570626369532</t>
  </si>
  <si>
    <t>-Lqkc8XsprOAj0VIbugW</t>
  </si>
  <si>
    <t>1570626376711</t>
  </si>
  <si>
    <t>-LqkcA1zAxX7W8y1X6HZ</t>
  </si>
  <si>
    <t>1570626382902</t>
  </si>
  <si>
    <t>-LqkcBsi37nS7IJ_QS2k</t>
  </si>
  <si>
    <t>1570626390411</t>
  </si>
  <si>
    <t>-LqkcDby7sgdRFNDOsCv</t>
  </si>
  <si>
    <t>1570626397351</t>
  </si>
  <si>
    <t>-LqkcFITf3x2xuqVFNx4</t>
  </si>
  <si>
    <t>1570626404540</t>
  </si>
  <si>
    <t>-LqkcGu-4UArKJEf6qSc</t>
  </si>
  <si>
    <t>1570626410739</t>
  </si>
  <si>
    <t>-LqkcIc0gBVulplxzFHl</t>
  </si>
  <si>
    <t>1570626417961</t>
  </si>
  <si>
    <t>-LqkcKQ9m4Cl88LOwdlx</t>
  </si>
  <si>
    <t>1570626425171</t>
  </si>
  <si>
    <t>-LqkcM7ra3vDHLhsFXHt</t>
  </si>
  <si>
    <t>1570626432390</t>
  </si>
  <si>
    <t>-LqkcNvyncHNZGqNmfRh</t>
  </si>
  <si>
    <t>1570626439598</t>
  </si>
  <si>
    <t>-LqkcPdz0TZqsdgQZ6u4</t>
  </si>
  <si>
    <t>1570626446780</t>
  </si>
  <si>
    <t>-LqkcRS-GjknIMJvGM8T</t>
  </si>
  <si>
    <t>1570626454011</t>
  </si>
  <si>
    <t>-LqkcT9piAJvzlaNCpgx</t>
  </si>
  <si>
    <t>1570626461191</t>
  </si>
  <si>
    <t>-LqkcUiyErVCjnausBv_</t>
  </si>
  <si>
    <t>1570626467557</t>
  </si>
  <si>
    <t>-LqkcWRpkoJD8cf0MH-e</t>
  </si>
  <si>
    <t>1570626474630</t>
  </si>
  <si>
    <t>-LqkcY-qcIfENf5v5TFG</t>
  </si>
  <si>
    <t>1570626480807</t>
  </si>
  <si>
    <t>-LqkcZj6ie0erMI2vTjr</t>
  </si>
  <si>
    <t>1570626488019</t>
  </si>
  <si>
    <t>-LqkcaVuP8g5IrK-oNg0</t>
  </si>
  <si>
    <t>1570626495221</t>
  </si>
  <si>
    <t>-LqkccEzRRGP6fn3w5wd</t>
  </si>
  <si>
    <t>1570626502441</t>
  </si>
  <si>
    <t>-LqkceLzxQBLe4Fvq2Xr</t>
  </si>
  <si>
    <t>1570626509640</t>
  </si>
  <si>
    <t>-Lqkcg--SaNZQxvUzRV2</t>
  </si>
  <si>
    <t>1570626517890</t>
  </si>
  <si>
    <t>-LqkchZCBSx-sWK4kMDy</t>
  </si>
  <si>
    <t>1570626524070</t>
  </si>
  <si>
    <t>-LqkcjIHqVT_yH8kxzg8</t>
  </si>
  <si>
    <t>1570626531259</t>
  </si>
  <si>
    <t>-LqkclCs5rxcA1gf750R</t>
  </si>
  <si>
    <t>1570626539036</t>
  </si>
  <si>
    <t>-LqkcmmqqV-gWkQI4JLy</t>
  </si>
  <si>
    <t>1570626545671</t>
  </si>
  <si>
    <t>-LqkcoM-awrHPF6RBX70</t>
  </si>
  <si>
    <t>1570626551891</t>
  </si>
  <si>
    <t>-Lqkcq3fVEOW2FTXomMp</t>
  </si>
  <si>
    <t>1570626559109</t>
  </si>
  <si>
    <t>-Lqkcrx-OavarudNi9n7</t>
  </si>
  <si>
    <t>1570626565281</t>
  </si>
  <si>
    <t>-Lqkct_zlljf-V_-zJJh</t>
  </si>
  <si>
    <t>1570626573501</t>
  </si>
  <si>
    <t>-LqkcvOK3dqcF-DDfHXL</t>
  </si>
  <si>
    <t>1570626580729</t>
  </si>
  <si>
    <t>-Lqkcx4iXIkES5_P9fND</t>
  </si>
  <si>
    <t>1570626587909</t>
  </si>
  <si>
    <t>-Lqkcydli5PTqMAWAix9</t>
  </si>
  <si>
    <t>1570626594101</t>
  </si>
  <si>
    <t>-Lqkd-O-90GJ4_LM5TO4</t>
  </si>
  <si>
    <t>1570626601339</t>
  </si>
  <si>
    <t>-Lqkd19wa5KtcjA2QtPt</t>
  </si>
  <si>
    <t>1570626608551</t>
  </si>
  <si>
    <t>-Lqkd2uvVJGWhsLBlc5K</t>
  </si>
  <si>
    <t>1570626615740</t>
  </si>
  <si>
    <t>-Lqkd4ndzHxZtoTNYOjl</t>
  </si>
  <si>
    <t>1570626621941</t>
  </si>
  <si>
    <t>-Lqkd6Q1QKBLZNmOlNlW</t>
  </si>
  <si>
    <t>1570626630153</t>
  </si>
  <si>
    <t>-Lqkd7xudihyExAyuK87</t>
  </si>
  <si>
    <t>1570626636343</t>
  </si>
  <si>
    <t>-Lqkd9h-NE08nZZ53xAF</t>
  </si>
  <si>
    <t>1570626643592</t>
  </si>
  <si>
    <t>-LqkdBVHoPmOs6k__zXt</t>
  </si>
  <si>
    <t>1570626650791</t>
  </si>
  <si>
    <t>-LqkdDE7D-ULrpQ-mH6m</t>
  </si>
  <si>
    <t>1570626657982</t>
  </si>
  <si>
    <t>-LqkdExG6MWtC7k8Ze6u</t>
  </si>
  <si>
    <t>1570626665212</t>
  </si>
  <si>
    <t>-LqkdGV0_BNpQZsDDDxZ</t>
  </si>
  <si>
    <t>1570626671402</t>
  </si>
  <si>
    <t>-LqkdIGlah81V0l4XA17</t>
  </si>
  <si>
    <t>1570626678619</t>
  </si>
  <si>
    <t>-LqkdJzvT2gcRzweZiYh</t>
  </si>
  <si>
    <t>1570626685824</t>
  </si>
  <si>
    <t>-LqkdLnrKpsfuBIqWjJW</t>
  </si>
  <si>
    <t>1570626693032</t>
  </si>
  <si>
    <t>-LqkdNXBxH-RyaTwyOzm</t>
  </si>
  <si>
    <t>1570626700223</t>
  </si>
  <si>
    <t>-LqkdP5mksRsxeFr2ZYB</t>
  </si>
  <si>
    <t>1570626706422</t>
  </si>
  <si>
    <t>-LqkdQshlCWLl4EyE_n5</t>
  </si>
  <si>
    <t>1570626713643</t>
  </si>
  <si>
    <t>-LqkdS_uoITR1Nia6zHJ</t>
  </si>
  <si>
    <t>1570626720853</t>
  </si>
  <si>
    <t>-LqkdUIyZHCakK2qyXQT</t>
  </si>
  <si>
    <t>1570626728107</t>
  </si>
  <si>
    <t>-LqkdW8HSmyCLsaeSFKt</t>
  </si>
  <si>
    <t>1570626735282</t>
  </si>
  <si>
    <t>-LqkdXq9d87Gn3luPAdP</t>
  </si>
  <si>
    <t>1570626742472</t>
  </si>
  <si>
    <t>-LqkdZPLAWuCY9JMqsC7</t>
  </si>
  <si>
    <t>1570626748669</t>
  </si>
  <si>
    <t>-Lqkda7Bi7GN4lkBWX_G</t>
  </si>
  <si>
    <t>1570626755891</t>
  </si>
  <si>
    <t>-LqkdbuqkqG1S4WGDXg6</t>
  </si>
  <si>
    <t>1570626763101</t>
  </si>
  <si>
    <t>-LqkddcsvrRa-GqciE29</t>
  </si>
  <si>
    <t>1570626770302</t>
  </si>
  <si>
    <t>-LqkdfI9t1iv58vzTYol</t>
  </si>
  <si>
    <t>1570626776495</t>
  </si>
  <si>
    <t>-LqkdguswWIMnYV7SDrX</t>
  </si>
  <si>
    <t>1570626783703</t>
  </si>
  <si>
    <t>-LqkdiiBeOADqFaD7SQg</t>
  </si>
  <si>
    <t>1570626790913</t>
  </si>
  <si>
    <t>-LqkdkQqCzPZnR9ciYAU</t>
  </si>
  <si>
    <t>1570626798121</t>
  </si>
  <si>
    <t>-LqkdmEH8FFLxVgEwTEh</t>
  </si>
  <si>
    <t>1570626805341</t>
  </si>
  <si>
    <t>-Lqkdo83Sv7iOxs20ZSG</t>
  </si>
  <si>
    <t>1570626812551</t>
  </si>
  <si>
    <t>-Lqkdpfx22G058Qpum_x</t>
  </si>
  <si>
    <t>1570626819762</t>
  </si>
  <si>
    <t>-LqkdrDqU6CwJfjaqc7v</t>
  </si>
  <si>
    <t>1570626825942</t>
  </si>
  <si>
    <t>-LqkdsnAjDmtknOCsZbf</t>
  </si>
  <si>
    <t>1570626832183</t>
  </si>
  <si>
    <t>-LqkduW-A5YMjr-2ap2J</t>
  </si>
  <si>
    <t>1570626839343</t>
  </si>
  <si>
    <t>-Lqkdw-16Evh0qXbqf1z</t>
  </si>
  <si>
    <t>1570626845502</t>
  </si>
  <si>
    <t>-LqkdyLSHMiCallsEMak</t>
  </si>
  <si>
    <t>1570626854086</t>
  </si>
  <si>
    <t>-Lqke-23QnCJ4d7GX5PS</t>
  </si>
  <si>
    <t>1570626862000</t>
  </si>
  <si>
    <t>-Lqke0n4HFPyjBk6O2vg</t>
  </si>
  <si>
    <t>1570626869183</t>
  </si>
  <si>
    <t>-Lqke2G9dydu5SEk05IJ</t>
  </si>
  <si>
    <t>1570626875391</t>
  </si>
  <si>
    <t>-Lqke3p-A2N7bPXEIWF5</t>
  </si>
  <si>
    <t>1570626881581</t>
  </si>
  <si>
    <t>-Lqke5cByLQ009woPZbB</t>
  </si>
  <si>
    <t>1570626888792</t>
  </si>
  <si>
    <t>-Lqke7LAKgmuaNQsaGvc</t>
  </si>
  <si>
    <t>1570626896001</t>
  </si>
  <si>
    <t>-Lqke973q_eOtef_A0G_</t>
  </si>
  <si>
    <t>1570626903229</t>
  </si>
  <si>
    <t>-LqkeAqqpfHNMuWZDDY3</t>
  </si>
  <si>
    <t>1570626910441</t>
  </si>
  <si>
    <t>-LqkeCL0ZVu-5fUG-gHl</t>
  </si>
  <si>
    <t>1570626916561</t>
  </si>
  <si>
    <t>-LqkeEI2PGYW1rTVxPFf</t>
  </si>
  <si>
    <t>1570626922793</t>
  </si>
  <si>
    <t>-LqkeFwd6yVn7tkJ7oWv</t>
  </si>
  <si>
    <t>1570626931042</t>
  </si>
  <si>
    <t>-LqkeHdp4QEuI3hW2YUy</t>
  </si>
  <si>
    <t>1570626938250</t>
  </si>
  <si>
    <t>-LqkeJO5tVU8xAi_q6SO</t>
  </si>
  <si>
    <t>1570626945462</t>
  </si>
  <si>
    <t>-LqkeKw-xA-27S-AAfLV</t>
  </si>
  <si>
    <t>1570626951640</t>
  </si>
  <si>
    <t>-LqkeMe-bU-SQpmpCbim</t>
  </si>
  <si>
    <t>1570626958832</t>
  </si>
  <si>
    <t>-LqkeOD0K7atCm4ymOkv</t>
  </si>
  <si>
    <t>1570626965046</t>
  </si>
  <si>
    <t>-LqkePv37Sv6pEn2kZg1</t>
  </si>
  <si>
    <t>1570626972230</t>
  </si>
  <si>
    <t>-LqkeRWr75Yum8YlTL9l</t>
  </si>
  <si>
    <t>1570626978422</t>
  </si>
  <si>
    <t>-LqkeTD0M6mNmQt90i8g</t>
  </si>
  <si>
    <t>1570626985642</t>
  </si>
  <si>
    <t>-LqkeV-z1bi1n3zmZHQ7</t>
  </si>
  <si>
    <t>1570626992860</t>
  </si>
  <si>
    <t>-LqkeWj-CUUHZ-zcTDXa</t>
  </si>
  <si>
    <t>1570627000073</t>
  </si>
  <si>
    <t>-LqkeYaXONLmT3JPaM2b</t>
  </si>
  <si>
    <t>1570627007649</t>
  </si>
  <si>
    <t>-Lqke_F2wgdQBxypeKbC</t>
  </si>
  <si>
    <t>1570627014471</t>
  </si>
  <si>
    <t>-LqkeanqFGI5fuGLLKBK</t>
  </si>
  <si>
    <t>1570627020661</t>
  </si>
  <si>
    <t>-LqkecX1DPuDUwgfo_aL</t>
  </si>
  <si>
    <t>1570627027891</t>
  </si>
  <si>
    <t>-LqkeeJzMtHZvkD6_Rrv</t>
  </si>
  <si>
    <t>1570627035102</t>
  </si>
  <si>
    <t>-Lqkeg1pelrXQCTr8jPT</t>
  </si>
  <si>
    <t>1570627042310</t>
  </si>
  <si>
    <t>-Lqkehw5jcbVUrDsZN9x</t>
  </si>
  <si>
    <t>1570627049523</t>
  </si>
  <si>
    <t>-LqkejZ-bcUNLg1UQWqC</t>
  </si>
  <si>
    <t>1570627056719</t>
  </si>
  <si>
    <t>-Lqkel6sym0F75otx7aD</t>
  </si>
  <si>
    <t>1570627062901</t>
  </si>
  <si>
    <t>-Lqkemq8g6fPkKK416uZ</t>
  </si>
  <si>
    <t>1570627070152</t>
  </si>
  <si>
    <t>-LqkeoOtRXMUuqNjmhx0</t>
  </si>
  <si>
    <t>1570627076312</t>
  </si>
  <si>
    <t>-Lqkeq70Bq1wcIasHtiA</t>
  </si>
  <si>
    <t>1570627083531</t>
  </si>
  <si>
    <t>-LqkesAiR-xz4jOq09QP</t>
  </si>
  <si>
    <t>1570627091822</t>
  </si>
  <si>
    <t>-Lqkets1fTSe0ENeQd4u</t>
  </si>
  <si>
    <t>1570627098953</t>
  </si>
  <si>
    <t>-LqkevPwTOyxcHo7IrrP</t>
  </si>
  <si>
    <t>1570627105142</t>
  </si>
  <si>
    <t>-Lqkex91mIJUFvMvSd0A</t>
  </si>
  <si>
    <t>1570627112392</t>
  </si>
  <si>
    <t>-Lqkeyy51g9fl_rYvNkU</t>
  </si>
  <si>
    <t>1570627119583</t>
  </si>
  <si>
    <t>-Lqkf-cY6ef-y--FZpYt</t>
  </si>
  <si>
    <t>1570627126782</t>
  </si>
  <si>
    <t>-Lqkf1P7_92HWUknin8H</t>
  </si>
  <si>
    <t>1570627134004</t>
  </si>
  <si>
    <t>-Lqkf2uWHMeUk9-NGTH2</t>
  </si>
  <si>
    <t>1570627140185</t>
  </si>
  <si>
    <t>-Lqkf4kU3VwtpYQuUHUt</t>
  </si>
  <si>
    <t>1570627147403</t>
  </si>
  <si>
    <t>-Lqkf6TC8lBbtSumnsS6</t>
  </si>
  <si>
    <t>1570627154622</t>
  </si>
  <si>
    <t>-Lqkf8G0hqKKTlVFDckE</t>
  </si>
  <si>
    <t>1570627161824</t>
  </si>
  <si>
    <t>-Lqkf9ytwhNSFPmNXRSr</t>
  </si>
  <si>
    <t>1570627169023</t>
  </si>
  <si>
    <t>-LqkfBY064mDjUj2s4AU</t>
  </si>
  <si>
    <t>1570627175223</t>
  </si>
  <si>
    <t>-LqkfDG0BDBnRLCndQiP</t>
  </si>
  <si>
    <t>1570627182433</t>
  </si>
  <si>
    <t>-LqkfF23_hbER5SDd6Jg</t>
  </si>
  <si>
    <t>1570627189644</t>
  </si>
  <si>
    <t>-LqkfGnk8fYn-7lSJJHj</t>
  </si>
  <si>
    <t>1570627196863</t>
  </si>
  <si>
    <t>-LqkfI_0TeJg2sko2vk1</t>
  </si>
  <si>
    <t>1570627204072</t>
  </si>
  <si>
    <t>-LqkfKI-x56MuUtVFvZi</t>
  </si>
  <si>
    <t>1570627211264</t>
  </si>
  <si>
    <t>-LqkfLr11aXceG8HCzGq</t>
  </si>
  <si>
    <t>1570627217464</t>
  </si>
  <si>
    <t>-LqkfN_BnrUlJ5-q8UhT</t>
  </si>
  <si>
    <t>1570627224675</t>
  </si>
  <si>
    <t>-LqkfPNCrAU0nf6GUWUP</t>
  </si>
  <si>
    <t>1570627231883</t>
  </si>
  <si>
    <t>-LqkfR6GY-l38fzD43q3</t>
  </si>
  <si>
    <t>1570627239101</t>
  </si>
  <si>
    <t>-LqkfSt0bZaFx5oVsk9p</t>
  </si>
  <si>
    <t>1570627246312</t>
  </si>
  <si>
    <t>-LqkfUb-j5gYhCp0nCI0</t>
  </si>
  <si>
    <t>1570627253509</t>
  </si>
  <si>
    <t>-LqkfW8w3BWalQAgVdcu</t>
  </si>
  <si>
    <t>1570627259701</t>
  </si>
  <si>
    <t>-LqkfXt09Snj8xFZ9PoT</t>
  </si>
  <si>
    <t>1570627266911</t>
  </si>
  <si>
    <t>-LqkfZeubgx7NrVeYmgn</t>
  </si>
  <si>
    <t>1570627274123</t>
  </si>
  <si>
    <t>-LqkfaOsERm7ynWKUQ8Y</t>
  </si>
  <si>
    <t>1570627281344</t>
  </si>
  <si>
    <t>-LqkfcC0-KTMEO9WdTsa</t>
  </si>
  <si>
    <t>1570627288552</t>
  </si>
  <si>
    <t>-Lqkfdv1cmYTAiwpzsaY</t>
  </si>
  <si>
    <t>1570627295741</t>
  </si>
  <si>
    <t>-LqkffPBWnaYxYTJ6lQ7</t>
  </si>
  <si>
    <t>1570627301944</t>
  </si>
  <si>
    <t>-LqkfgwwHYU4dT9Q-V2e</t>
  </si>
  <si>
    <t>1570627308132</t>
  </si>
  <si>
    <t>-Lqkfig0iB6xPxPgzX62</t>
  </si>
  <si>
    <t>1570627315344</t>
  </si>
  <si>
    <t>-Lqkfks2hAsI8-xKZqXU</t>
  </si>
  <si>
    <t>1570627322835</t>
  </si>
  <si>
    <t>-LqkfmSHS4wpjG7uiqq6</t>
  </si>
  <si>
    <t>1570627330804</t>
  </si>
  <si>
    <t>-Lqkfo-BfRzwk49ZAmSg</t>
  </si>
  <si>
    <t>1570627336984</t>
  </si>
  <si>
    <t>-Lqkfpi3cKrgvh-PtaDV</t>
  </si>
  <si>
    <t>1570627344205</t>
  </si>
  <si>
    <t>-LqkfrH1IG25qD734b1H</t>
  </si>
  <si>
    <t>1570627350373</t>
  </si>
  <si>
    <t>-LqkfszrX7FNk6Q0yWSF</t>
  </si>
  <si>
    <t>1570627357583</t>
  </si>
  <si>
    <t>-LqkfuV6oQI3E6j5J7UP</t>
  </si>
  <si>
    <t>1570627363763</t>
  </si>
  <si>
    <t>-Lqkfw-pmemV8GA9XJaJ</t>
  </si>
  <si>
    <t>1570627369947</t>
  </si>
  <si>
    <t>-Lqkfxol_qNWPmqPcynB</t>
  </si>
  <si>
    <t>1570627377162</t>
  </si>
  <si>
    <t>-Lqkg-1IbksfIrp2_KJP</t>
  </si>
  <si>
    <t>1570627386172</t>
  </si>
  <si>
    <t>-Lqkg0aCWfn4dmu3fE8p</t>
  </si>
  <si>
    <t>1570627392613</t>
  </si>
  <si>
    <t>-Lqkg2J27F4FnNKZuuxM</t>
  </si>
  <si>
    <t>1570627399823</t>
  </si>
  <si>
    <t>-Lqkg3tCsqs_WhxPIWLu</t>
  </si>
  <si>
    <t>1570627406012</t>
  </si>
  <si>
    <t>-Lqkg5a21n-Z4kHUSRk0</t>
  </si>
  <si>
    <t>1570627413193</t>
  </si>
  <si>
    <t>-Lqkg7O2bqJVW7okJ4J_</t>
  </si>
  <si>
    <t>1570627420516</t>
  </si>
  <si>
    <t>-Lqkg94qrLc27HarhQ8i</t>
  </si>
  <si>
    <t>1570627427663</t>
  </si>
  <si>
    <t>-LqkgAt3_sN3O_zOcL1f</t>
  </si>
  <si>
    <t>1570627434863</t>
  </si>
  <si>
    <t>-LqkgCan1GOcgd9-0KwS</t>
  </si>
  <si>
    <t>1570627442064</t>
  </si>
  <si>
    <t>-LqkgEB0zjP7_sWK565R</t>
  </si>
  <si>
    <t>1570627448259</t>
  </si>
  <si>
    <t>-LqkgFv7fz46TNhHSeMk</t>
  </si>
  <si>
    <t>1570627455434</t>
  </si>
  <si>
    <t>-LqkgHT1hgxxM95VP7ua</t>
  </si>
  <si>
    <t>1570627461644</t>
  </si>
  <si>
    <t>-LqkgJBA7PM8_6tLKN1b</t>
  </si>
  <si>
    <t>1570627468866</t>
  </si>
  <si>
    <t>-LqkgKz0xHdQ01BlLfG3</t>
  </si>
  <si>
    <t>1570627476063</t>
  </si>
  <si>
    <t>-LqkgMh1Z80tuYTH_Udy</t>
  </si>
  <si>
    <t>1570627483265</t>
  </si>
  <si>
    <t>-LqkgOV1cgavXpTNXK29</t>
  </si>
  <si>
    <t>1570627490492</t>
  </si>
  <si>
    <t>-LqkgQCuUQogp9axofNR</t>
  </si>
  <si>
    <t>1570627497673</t>
  </si>
  <si>
    <t>-LqkgRlt83c6-J0Jypai</t>
  </si>
  <si>
    <t>1570627503864</t>
  </si>
  <si>
    <t>-LqkgTUGMFuWbBT547Oe</t>
  </si>
  <si>
    <t>1570627511113</t>
  </si>
  <si>
    <t>-LqkgVI32N2KO8C7OGcR</t>
  </si>
  <si>
    <t>1570627518304</t>
  </si>
  <si>
    <t>-LqkgX0KbRa1u0ifrJJ1</t>
  </si>
  <si>
    <t>1570627525503</t>
  </si>
  <si>
    <t>-LqkgYo0AAgfHIygOSAR</t>
  </si>
  <si>
    <t>1570627532723</t>
  </si>
  <si>
    <t>-Lqkg_X2dCMMHLWoeeK2</t>
  </si>
  <si>
    <t>1570627539913</t>
  </si>
  <si>
    <t>-Lqkgb51gpZxNhaiDy45</t>
  </si>
  <si>
    <t>1570627546102</t>
  </si>
  <si>
    <t>-LqkgdDjtPuZcea_W0Qa</t>
  </si>
  <si>
    <t>1570627553354</t>
  </si>
  <si>
    <t>-Lqkgeq9k0q719ZPc2Fe</t>
  </si>
  <si>
    <t>1570627561544</t>
  </si>
  <si>
    <t>-LqkggZ9k6ckr1DBq9pw</t>
  </si>
  <si>
    <t>1570627568781</t>
  </si>
  <si>
    <t>-Lqkgi78RaUsZgcghxqe</t>
  </si>
  <si>
    <t>1570627574960</t>
  </si>
  <si>
    <t>-LqkgjpsnJ3iFdaGTKXh</t>
  </si>
  <si>
    <t>1570627582152</t>
  </si>
  <si>
    <t>-LqkglOqsxD7D_f53Rtz</t>
  </si>
  <si>
    <t>1570627588361</t>
  </si>
  <si>
    <t>-LqkgnD4-aY4xq8CBmOA</t>
  </si>
  <si>
    <t>1570627595581</t>
  </si>
  <si>
    <t>-Lqkgov0MgnKR9U8wdQ2</t>
  </si>
  <si>
    <t>1570627602810</t>
  </si>
  <si>
    <t>-LqkgqczYUe4s8Q900_5</t>
  </si>
  <si>
    <t>1570627609981</t>
  </si>
  <si>
    <t>-LqkgsPz9VnFLXm4eCbY</t>
  </si>
  <si>
    <t>1570627617210</t>
  </si>
  <si>
    <t>-Lqkgu90p0NYzWuVWeQy</t>
  </si>
  <si>
    <t>1570627624390</t>
  </si>
  <si>
    <t>-LqkgvhrU2XV0ZauxK-F</t>
  </si>
  <si>
    <t>1570627630581</t>
  </si>
  <si>
    <t>-LqkgxR2zbHnDvTeE-QR</t>
  </si>
  <si>
    <t>1570627637820</t>
  </si>
  <si>
    <t>-LqkgzE8_4xABai3aGyt</t>
  </si>
  <si>
    <t>1570627645022</t>
  </si>
  <si>
    <t>-Lqkh-xH79UXAs-5O9HO</t>
  </si>
  <si>
    <t>1570627652229</t>
  </si>
  <si>
    <t>-Lqkh1jzOQmWwyFXI_RY</t>
  </si>
  <si>
    <t>1570627659451</t>
  </si>
  <si>
    <t>-Lqkh3Syi9wTLzhhaFaq</t>
  </si>
  <si>
    <t>1570627666630</t>
  </si>
  <si>
    <t>-Lqkh5-toWxqOHNMtdrU</t>
  </si>
  <si>
    <t>1570627672821</t>
  </si>
  <si>
    <t>-Lqkh6klPWU560H7PFYN</t>
  </si>
  <si>
    <t>1570627680060</t>
  </si>
  <si>
    <t>-Lqkh8Xy_ToNx19JUxlM</t>
  </si>
  <si>
    <t>1570627687270</t>
  </si>
  <si>
    <t>-LqkhAG09zJ7LmjJk5TC</t>
  </si>
  <si>
    <t>1570627694460</t>
  </si>
  <si>
    <t>-LqkhC3-mtTMHb9_g5D2</t>
  </si>
  <si>
    <t>1570627701690</t>
  </si>
  <si>
    <t>-LqkhDm-fNB5tEE3D8Wj</t>
  </si>
  <si>
    <t>1570627708880</t>
  </si>
  <si>
    <t>-LqkhFdsML9kf07YUmF1</t>
  </si>
  <si>
    <t>1570627716121</t>
  </si>
  <si>
    <t>-LqkhHazZQDzlj6CVpVd</t>
  </si>
  <si>
    <t>1570627724371</t>
  </si>
  <si>
    <t>-LqkhJK8ukjpOBPDPoUI</t>
  </si>
  <si>
    <t>1570627731580</t>
  </si>
  <si>
    <t>-LqkhL7-IGFlppGiYPH0</t>
  </si>
  <si>
    <t>1570627738781</t>
  </si>
  <si>
    <t>-LqkhN6V98o9lnK9jEGu</t>
  </si>
  <si>
    <t>1570627745982</t>
  </si>
  <si>
    <t>-LqkhOs8VYm6-5nMm4je</t>
  </si>
  <si>
    <t>1570627754251</t>
  </si>
  <si>
    <t>-LqkhR09ziIzxCi-57p9</t>
  </si>
  <si>
    <t>1570627761460</t>
  </si>
  <si>
    <t>-LqkhSbqI7G-cUbGXzD-</t>
  </si>
  <si>
    <t>1570627769670</t>
  </si>
  <si>
    <t>-LqkhUApZUtPXmYELfsM</t>
  </si>
  <si>
    <t>1570627775850</t>
  </si>
  <si>
    <t>-LqkhVu38H99Ni-mwLBJ</t>
  </si>
  <si>
    <t>1570627783101</t>
  </si>
  <si>
    <t>-LqkhXdFuMoh8C9vf4AA</t>
  </si>
  <si>
    <t>1570627790301</t>
  </si>
  <si>
    <t>-LqkhZUySv756JGAakWe</t>
  </si>
  <si>
    <t>1570627797868</t>
  </si>
  <si>
    <t>-LqkhaVUGZnEta2-c6T0</t>
  </si>
  <si>
    <t>1570627804727</t>
  </si>
  <si>
    <t>-LqkhcExol4xWWXQ9ZxT</t>
  </si>
  <si>
    <t>1570627812968</t>
  </si>
  <si>
    <t>-Lqkhdy-61PrMUJVjsra</t>
  </si>
  <si>
    <t>1570627820179</t>
  </si>
  <si>
    <t>-Lqkhg-kdSxt7QXtdsLB</t>
  </si>
  <si>
    <t>1570627828710</t>
  </si>
  <si>
    <t>-LqkhhiGj6GhJvqfLtPx</t>
  </si>
  <si>
    <t>1570627835618</t>
  </si>
  <si>
    <t>-LqkhjByaIwkowKRGOfy</t>
  </si>
  <si>
    <t>1570627841818</t>
  </si>
  <si>
    <t>-LqkhkuxBWbfiJj4Ztqq</t>
  </si>
  <si>
    <t>1570627848581</t>
  </si>
  <si>
    <t>-LqkhmYy-zSM2DT7IuQ9</t>
  </si>
  <si>
    <t>1570627855208</t>
  </si>
  <si>
    <t>-LqkhoHE2wCD4GVHKTT2</t>
  </si>
  <si>
    <t>1570627862429</t>
  </si>
  <si>
    <t>-Lqkhq3p5M_BU7ooZGNi</t>
  </si>
  <si>
    <t>1570627869638</t>
  </si>
  <si>
    <t>-LqkhrlYEtEq1HzFktgl</t>
  </si>
  <si>
    <t>1570627876860</t>
  </si>
  <si>
    <t>-LqkhtGxBgYab3SiNnD3</t>
  </si>
  <si>
    <t>1570627883028</t>
  </si>
  <si>
    <t>-Lqkhur2IBtbK2SLFB-A</t>
  </si>
  <si>
    <t>1570627889218</t>
  </si>
  <si>
    <t>-LqkhwYzgJQYMwWQC9YH</t>
  </si>
  <si>
    <t>1570627896398</t>
  </si>
  <si>
    <t>-Lqkhy6fXXavSl5dbndv</t>
  </si>
  <si>
    <t>1570627902579</t>
  </si>
  <si>
    <t>-LqkhznTs9v6Uib5Rdx9</t>
  </si>
  <si>
    <t>1570627909818</t>
  </si>
  <si>
    <t>-Lqki0duYgQyfIp0z718</t>
  </si>
  <si>
    <t>1570627917028</t>
  </si>
  <si>
    <t>-Lqki2gmVwYZ6z1c9pV-</t>
  </si>
  <si>
    <t>1570627924218</t>
  </si>
  <si>
    <t>-Lqki4NximC1uDz5MW0E</t>
  </si>
  <si>
    <t>1570627932479</t>
  </si>
  <si>
    <t>-Lqki66GdmABGSVvMzwx</t>
  </si>
  <si>
    <t>1570627939701</t>
  </si>
  <si>
    <t>-Lqki7ex910t5s5CdZw2</t>
  </si>
  <si>
    <t>1570627945879</t>
  </si>
  <si>
    <t>-Lqki9MlDi7OJU6w-20C</t>
  </si>
  <si>
    <t>1570627953089</t>
  </si>
  <si>
    <t>-LqkiAx68DwgghmQc47i</t>
  </si>
  <si>
    <t>1570627959270</t>
  </si>
  <si>
    <t>-LqkiCf55PUmP_8mHJZj</t>
  </si>
  <si>
    <t>1570627966458</t>
  </si>
  <si>
    <t>-LqkiEE6KJ2nuqAP3xjd</t>
  </si>
  <si>
    <t>1570627972660</t>
  </si>
  <si>
    <t>-LqkiFwy-2d6PCxQkkZo</t>
  </si>
  <si>
    <t>1570627979878</t>
  </si>
  <si>
    <t>-LqkiHjyayVqo-IHRxNU</t>
  </si>
  <si>
    <t>1570627987078</t>
  </si>
  <si>
    <t>-LqkiJRh-S8uveavrLR7</t>
  </si>
  <si>
    <t>1570627994300</t>
  </si>
  <si>
    <t>-LqkiLEizzmQVfoAAnJN</t>
  </si>
  <si>
    <t>1570628001509</t>
  </si>
  <si>
    <t>-LqkiMz6W8YoN1xb4x_H</t>
  </si>
  <si>
    <t>1570628008697</t>
  </si>
  <si>
    <t>-LqkiOly5c3w_dvcdjZJ</t>
  </si>
  <si>
    <t>1570628015938</t>
  </si>
  <si>
    <t>-LqkiQa10TlgwrnaAt8W</t>
  </si>
  <si>
    <t>1570628023160</t>
  </si>
  <si>
    <t>-LqkiSaqX-_DOiLPQAyK</t>
  </si>
  <si>
    <t>1570628030359</t>
  </si>
  <si>
    <t>-LqkiUKB4TkK_KaZsc65</t>
  </si>
  <si>
    <t>1570628038599</t>
  </si>
  <si>
    <t>-LqkiW2-ku3ht7463Lzt</t>
  </si>
  <si>
    <t>1570628045831</t>
  </si>
  <si>
    <t>-LqkiXq-TB5z6r0EYiQ4</t>
  </si>
  <si>
    <t>1570628053031</t>
  </si>
  <si>
    <t>-LqkiZZHuwDKC8SzYXYA</t>
  </si>
  <si>
    <t>1570628060230</t>
  </si>
  <si>
    <t>-LqkiaKlMf0Wx7mS2j95</t>
  </si>
  <si>
    <t>1570628067460</t>
  </si>
  <si>
    <t>-Lqkic3zv1bKZcp4BO0H</t>
  </si>
  <si>
    <t>1570628074642</t>
  </si>
  <si>
    <t>-Lqkidd6NagfH361H0Qi</t>
  </si>
  <si>
    <t>1570628080821</t>
  </si>
  <si>
    <t>-LqkifMSWntxX0d0TXU_</t>
  </si>
  <si>
    <t>1570628088059</t>
  </si>
  <si>
    <t>-Lqkigpz58ae6aEnFAhr</t>
  </si>
  <si>
    <t>1570628094248</t>
  </si>
  <si>
    <t>-LqkiiP7QZSPod-9iVkH</t>
  </si>
  <si>
    <t>1570628100421</t>
  </si>
  <si>
    <t>-Lqkik6z0lPjQ0wKr2cP</t>
  </si>
  <si>
    <t>1570628107658</t>
  </si>
  <si>
    <t>-Lqkilg5z6LUVfRpksPN</t>
  </si>
  <si>
    <t>1570628113819</t>
  </si>
  <si>
    <t>-LqkinNZSqWiii8XBoIl</t>
  </si>
  <si>
    <t>1570628121031</t>
  </si>
  <si>
    <t>-LqkipBo5mEX4QPvZXXV</t>
  </si>
  <si>
    <t>1570628128239</t>
  </si>
  <si>
    <t>-Lqkiquz38NrliR5yz4E</t>
  </si>
  <si>
    <t>1570628135430</t>
  </si>
  <si>
    <t>-LqkisTopTuVOxbPXooK</t>
  </si>
  <si>
    <t>1570628141621</t>
  </si>
  <si>
    <t>-LqkiuCaBzyUzUQLBTgc</t>
  </si>
  <si>
    <t>1570628148840</t>
  </si>
  <si>
    <t>-Lqkiw-7AT_GmmDiyjJn</t>
  </si>
  <si>
    <t>1570628156060</t>
  </si>
  <si>
    <t>-Lqkixhz_STF5GvwWHJ4</t>
  </si>
  <si>
    <t>1570628163273</t>
  </si>
  <si>
    <t>-LqkizUkBMt7F-2wMkXp</t>
  </si>
  <si>
    <t>1570628170479</t>
  </si>
  <si>
    <t>-Lqkj0Ckmbk1zC0RzIOz</t>
  </si>
  <si>
    <t>1570628177670</t>
  </si>
  <si>
    <t>-Lqkj218PXgzdIVJi01V</t>
  </si>
  <si>
    <t>1570628184919</t>
  </si>
  <si>
    <t>-Lqkj3jp6p0GlAdpIevv</t>
  </si>
  <si>
    <t>1570628192139</t>
  </si>
  <si>
    <t>-Lqkj5J6mTJGwnZk0Crk</t>
  </si>
  <si>
    <t>1570628198301</t>
  </si>
  <si>
    <t>-Lqkj7188QTSPlP6OqUI</t>
  </si>
  <si>
    <t>1570628205501</t>
  </si>
  <si>
    <t>-Lqkj8n_alzFYjSi6O9Z</t>
  </si>
  <si>
    <t>1570628212721</t>
  </si>
  <si>
    <t>-LqkjAXzczhMbKkLQvHv</t>
  </si>
  <si>
    <t>1570628219909</t>
  </si>
  <si>
    <t>-LqkjC67PxasLva1J9Hx</t>
  </si>
  <si>
    <t>1570628226112</t>
  </si>
  <si>
    <t>-LqkjDozoBMMsbCs27wr</t>
  </si>
  <si>
    <t>1570628233350</t>
  </si>
  <si>
    <t>-LqkjFc9KJM70ywA5BcU</t>
  </si>
  <si>
    <t>1570628240663</t>
  </si>
  <si>
    <t>-LqkjHL8nOE_js9gHvJf</t>
  </si>
  <si>
    <t>1570628247741</t>
  </si>
  <si>
    <t>-LqkjIuTiuXjSE48ckKI</t>
  </si>
  <si>
    <t>1570628253930</t>
  </si>
  <si>
    <t>-LqkjKwVlgE_4y3mRah8</t>
  </si>
  <si>
    <t>1570628261150</t>
  </si>
  <si>
    <t>-LqkjMe1Q6cDF6fTkndY</t>
  </si>
  <si>
    <t>1570628269400</t>
  </si>
  <si>
    <t>-LqkjOO5Toci8_Q988lB</t>
  </si>
  <si>
    <t>1570628276621</t>
  </si>
  <si>
    <t>-LqkjPw-SDD7b7ACG-iP</t>
  </si>
  <si>
    <t>1570628282782</t>
  </si>
  <si>
    <t>-LqkjRe-VKU_DROcAT2n</t>
  </si>
  <si>
    <t>1570628289981</t>
  </si>
  <si>
    <t>-LqkjTQmg3bJUFq07zQJ</t>
  </si>
  <si>
    <t>1570628297212</t>
  </si>
  <si>
    <t>-LqkjVB5ND_QfF0RFivf</t>
  </si>
  <si>
    <t>1570628304394</t>
  </si>
  <si>
    <t>-LqkjWe-fZsgAs4TgWkl</t>
  </si>
  <si>
    <t>1570628310581</t>
  </si>
  <si>
    <t>-LqkjYHtcwcndK9_yXy1</t>
  </si>
  <si>
    <t>1570628316959</t>
  </si>
  <si>
    <t>-Lqkj_0-BZxX1JgURAMF</t>
  </si>
  <si>
    <t>1570628324003</t>
  </si>
  <si>
    <t>-LqkjaiqqEse2hToyRM_</t>
  </si>
  <si>
    <t>1570628331191</t>
  </si>
  <si>
    <t>-LqkjcD2X-eKnqKSXYdg</t>
  </si>
  <si>
    <t>1570628337371</t>
  </si>
  <si>
    <t>-Lqkjdn5PWqrvAApcwHG</t>
  </si>
  <si>
    <t>1570628343541</t>
  </si>
  <si>
    <t>-LqkjfV4NOe0EvOM1-Pf</t>
  </si>
  <si>
    <t>1570628350781</t>
  </si>
  <si>
    <t>-LqkjhHXexrLdL6I0193</t>
  </si>
  <si>
    <t>1570628358002</t>
  </si>
  <si>
    <t>-Lqkjj0-J68j-q_yS0Zk</t>
  </si>
  <si>
    <t>1570628365192</t>
  </si>
  <si>
    <t>-LqkjkYu71ITvIEk9K95</t>
  </si>
  <si>
    <t>1570628371383</t>
  </si>
  <si>
    <t>-LqkjmI-hxwXyCYDqHIZ</t>
  </si>
  <si>
    <t>1570628378603</t>
  </si>
  <si>
    <t>-Lqkjo4qzKin2One20tX</t>
  </si>
  <si>
    <t>1570628385833</t>
  </si>
  <si>
    <t>-LqkjptJktUvtFSqbNzW</t>
  </si>
  <si>
    <t>1570628393030</t>
  </si>
  <si>
    <t>-LqkjraqzDsmWTWRhPaI</t>
  </si>
  <si>
    <t>1570628400244</t>
  </si>
  <si>
    <t>-LqkjtK-hOjcxxGgvS0o</t>
  </si>
  <si>
    <t>1570628407432</t>
  </si>
  <si>
    <t>-LqkjvC1OzS-CO5T3NlI</t>
  </si>
  <si>
    <t>1570628414662</t>
  </si>
  <si>
    <t>-Lqkjwolh4ZlVqeLYT0F</t>
  </si>
  <si>
    <t>1570628421852</t>
  </si>
  <si>
    <t>-LqkjyL5z-HiPrISR0QX</t>
  </si>
  <si>
    <t>1570628428023</t>
  </si>
  <si>
    <t>-Lqkjzt-4D7WDIXy9L0Y</t>
  </si>
  <si>
    <t>1570628434243</t>
  </si>
  <si>
    <t>-Lqkk0frG4AqhlomplnC</t>
  </si>
  <si>
    <t>1570628441451</t>
  </si>
  <si>
    <t>-Lqkk2Nmf5VG8nVDnzDi</t>
  </si>
  <si>
    <t>1570628448661</t>
  </si>
  <si>
    <t>-Lqkk485TGnu6uLEBgme</t>
  </si>
  <si>
    <t>1570628455873</t>
  </si>
  <si>
    <t>-Lqkk5c57zsxNOykGu3E</t>
  </si>
  <si>
    <t>1570628462061</t>
  </si>
  <si>
    <t>-Lqkk7F0qUN2VxVAOVyj</t>
  </si>
  <si>
    <t>1570628468223</t>
  </si>
  <si>
    <t>-Lqkk8yBMlmNDM8fapSG</t>
  </si>
  <si>
    <t>1570628475453</t>
  </si>
  <si>
    <t>-LqkkAg1_Wc3wXTjs8Os</t>
  </si>
  <si>
    <t>1570628482632</t>
  </si>
  <si>
    <t>-LqkkCMCfWmlyWNy_1Oy</t>
  </si>
  <si>
    <t>1570628488823</t>
  </si>
  <si>
    <t>-LqkkEFkF9_PC8AZpMbD</t>
  </si>
  <si>
    <t>1570628497241</t>
  </si>
  <si>
    <t>-LqkkFw3xI6KvRXGKxKs</t>
  </si>
  <si>
    <t>1570628504299</t>
  </si>
  <si>
    <t>-LqkkHU-xrXogteNZ1GZ</t>
  </si>
  <si>
    <t>1570628510461</t>
  </si>
  <si>
    <t>-LqkkJGzyhTMi3N3QhFa</t>
  </si>
  <si>
    <t>1570628517691</t>
  </si>
  <si>
    <t>-LqkkKzo1_Pfsheu6hIV</t>
  </si>
  <si>
    <t>1570628524871</t>
  </si>
  <si>
    <t>-LqkkMs8ePQeTNHF6bUQ</t>
  </si>
  <si>
    <t>1570628531079</t>
  </si>
  <si>
    <t>-LqkkOX36DAEsFknZGCG</t>
  </si>
  <si>
    <t>1570628539339</t>
  </si>
  <si>
    <t>-LqkkQ3yn_fRlgHATI02</t>
  </si>
  <si>
    <t>1570628545511</t>
  </si>
  <si>
    <t>-LqkkRkcKnaMhDVxT2fz</t>
  </si>
  <si>
    <t>1570628552700</t>
  </si>
  <si>
    <t>-LqkkTLyheEiaGlM6saD</t>
  </si>
  <si>
    <t>1570628558900</t>
  </si>
  <si>
    <t>-LqkkV3pKoOMFR4QOmc5</t>
  </si>
  <si>
    <t>1570628566119</t>
  </si>
  <si>
    <t>-LqkkWqscgN0Of4pNdKL</t>
  </si>
  <si>
    <t>1570628573331</t>
  </si>
  <si>
    <t>-LqkkY_sKwTZbCu8MdL4</t>
  </si>
  <si>
    <t>1570628580541</t>
  </si>
  <si>
    <t>-Lqkk_K4bT60HYt8KzDq</t>
  </si>
  <si>
    <t>1570628587755</t>
  </si>
  <si>
    <t>-LqkkaryZBnsbIUZu60o</t>
  </si>
  <si>
    <t>1570628593939</t>
  </si>
  <si>
    <t>-Lqkkcf-d1W4HNETHCB6</t>
  </si>
  <si>
    <t>1570628601149</t>
  </si>
  <si>
    <t>-LqkkeP7DmkoE8G3jy1S</t>
  </si>
  <si>
    <t>1570628608360</t>
  </si>
  <si>
    <t>-Lqkkg73ViFEP7ynjKX_</t>
  </si>
  <si>
    <t>1570628615580</t>
  </si>
  <si>
    <t>-LqkkhfA7VyoOnb6PU7n</t>
  </si>
  <si>
    <t>1570628621762</t>
  </si>
  <si>
    <t>-LqkkjSzMSbiEmJI2i4u</t>
  </si>
  <si>
    <t>1570628628971</t>
  </si>
  <si>
    <t>-LqkklYpK_tjJH-YG0Uz</t>
  </si>
  <si>
    <t>1570628636181</t>
  </si>
  <si>
    <t>-LqkknD7wWm-b04E5RMo</t>
  </si>
  <si>
    <t>1570628644421</t>
  </si>
  <si>
    <t>-LqkkouxD0376gN-HeSn</t>
  </si>
  <si>
    <t>1570628651654</t>
  </si>
  <si>
    <t>-LqkkqR54wovCPblZhYM</t>
  </si>
  <si>
    <t>1570628657819</t>
  </si>
  <si>
    <t>-Lqkkrz9thPkHc8duxrH</t>
  </si>
  <si>
    <t>1570628664001</t>
  </si>
  <si>
    <t>-Lqkktn50lNueQo8njbZ</t>
  </si>
  <si>
    <t>1570628671209</t>
  </si>
  <si>
    <t>-LqkkvTi0x_YY0cneGUC</t>
  </si>
  <si>
    <t>1570628678429</t>
  </si>
  <si>
    <t>-LqkkxHyf--O6F_-cT4x</t>
  </si>
  <si>
    <t>1570628685640</t>
  </si>
  <si>
    <t>-Lqkkz-tphZL9d97OtA1</t>
  </si>
  <si>
    <t>1570628692870</t>
  </si>
  <si>
    <t>-Lqkl-o3uWiWXQKeqtI5</t>
  </si>
  <si>
    <t>1570628700060</t>
  </si>
  <si>
    <t>-Lqkl1fzmabAiA_0sFla</t>
  </si>
  <si>
    <t>1570628707780</t>
  </si>
  <si>
    <t>-Lqkl3JtqE0RtKR9nTlw</t>
  </si>
  <si>
    <t>1570628714490</t>
  </si>
  <si>
    <t>-Lqkl56pbjPCelnFdQD9</t>
  </si>
  <si>
    <t>1570628721670</t>
  </si>
  <si>
    <t>-Lqkl73i7F5mr0xWSsLg</t>
  </si>
  <si>
    <t>1570628728911</t>
  </si>
  <si>
    <t>-Lqkl8mmi_NBptYFt4Y1</t>
  </si>
  <si>
    <t>1570628736102</t>
  </si>
  <si>
    <t>-LqklAbx5lXV5O22zIG8</t>
  </si>
  <si>
    <t>1570628743343</t>
  </si>
  <si>
    <t>-LqklChArtWe-rxdeM-9</t>
  </si>
  <si>
    <t>1570628751581</t>
  </si>
  <si>
    <t>-LqklEZhXYkAg29354cX</t>
  </si>
  <si>
    <t>1570628760628</t>
  </si>
  <si>
    <t>-LqklG7rnUcXwx_ZsbBs</t>
  </si>
  <si>
    <t>1570628767032</t>
  </si>
  <si>
    <t>-LqklHw4gUDGoAe_kRzA</t>
  </si>
  <si>
    <t>1570628774242</t>
  </si>
  <si>
    <t>-LqklJeAXtZCz7L7fCDq</t>
  </si>
  <si>
    <t>1570628781463</t>
  </si>
  <si>
    <t>-LqklLS2SHWyS6tM3cRz</t>
  </si>
  <si>
    <t>1570628788672</t>
  </si>
  <si>
    <t>-LqklNABXpZHs5E8d_Ks</t>
  </si>
  <si>
    <t>1570628795882</t>
  </si>
  <si>
    <t>-LqklOzGTXs3hnTcxGo5</t>
  </si>
  <si>
    <t>1570628803092</t>
  </si>
  <si>
    <t>-LqklQg2Y5vrczBGDCb1</t>
  </si>
  <si>
    <t>1570628810303</t>
  </si>
  <si>
    <t>-LqklSU0R-aLxr1js4BQ</t>
  </si>
  <si>
    <t>1570628817512</t>
  </si>
  <si>
    <t>-LqklUBrQpB16yG71ELU</t>
  </si>
  <si>
    <t>1570628824702</t>
  </si>
  <si>
    <t>-LqklW-2vsJlfaa-V2pP</t>
  </si>
  <si>
    <t>1570628831944</t>
  </si>
  <si>
    <t>-LqklXhvTaoc5NwQLBTq</t>
  </si>
  <si>
    <t>1570628839132</t>
  </si>
  <si>
    <t>-LqklZGzwMeOnqWDIBZ5</t>
  </si>
  <si>
    <t>1570628845300</t>
  </si>
  <si>
    <t>-Lqkl_zyrD8cI29Om0VP</t>
  </si>
  <si>
    <t>1570628852541</t>
  </si>
  <si>
    <t>-LqklbjD-tnx0qG5Qwek</t>
  </si>
  <si>
    <t>1570628859750</t>
  </si>
  <si>
    <t>-Lqklda74JdOuwCsN3CG</t>
  </si>
  <si>
    <t>1570628865949</t>
  </si>
  <si>
    <t>-LqklfIqHtIgupRUZ4m9</t>
  </si>
  <si>
    <t>1570628874180</t>
  </si>
  <si>
    <t>-LqklglkpH8KAEYS1JuM</t>
  </si>
  <si>
    <t>1570628880349</t>
  </si>
  <si>
    <t>-LqkliH7yvk05J2W9o7P</t>
  </si>
  <si>
    <t>1570628886549</t>
  </si>
  <si>
    <t>-Lqkljq7Raiki1gJGb3d</t>
  </si>
  <si>
    <t>1570628892719</t>
  </si>
  <si>
    <t>-LqklleEU0lgMXMZqMpQ</t>
  </si>
  <si>
    <t>1570628899910</t>
  </si>
  <si>
    <t>-LqklnKkn9jD0-3CAGRU</t>
  </si>
  <si>
    <t>1570628907150</t>
  </si>
  <si>
    <t>-Lqklp2us0fZ22FjdKO1</t>
  </si>
  <si>
    <t>1570628914381</t>
  </si>
  <si>
    <t>-Lqklqho5u6aAJFNABYH</t>
  </si>
  <si>
    <t>1570628920539</t>
  </si>
  <si>
    <t>-LqklsKjQ4D8u7J4xjVI</t>
  </si>
  <si>
    <t>1570628927738</t>
  </si>
  <si>
    <t>-Lqklu9--F0mBrCaKYCy</t>
  </si>
  <si>
    <t>1570628934970</t>
  </si>
  <si>
    <t>-LqklvrxXPIWXzYmH8s1</t>
  </si>
  <si>
    <t>1570628942150</t>
  </si>
  <si>
    <t>-LqklxPj6lCkluxim9Ve</t>
  </si>
  <si>
    <t>1570628948340</t>
  </si>
  <si>
    <t>-Lqklz8pmoF8sRcHKXhO</t>
  </si>
  <si>
    <t>1570628955579</t>
  </si>
  <si>
    <t>-Lqkm0AdX3hk3VwrrJ7J</t>
  </si>
  <si>
    <t>1570628962779</t>
  </si>
  <si>
    <t>-Lqkm1ewyBKsGPhjk02Z</t>
  </si>
  <si>
    <t>1570628969978</t>
  </si>
  <si>
    <t>-Lqkm3SwCo2blJ2MrDJH</t>
  </si>
  <si>
    <t>1570628977200</t>
  </si>
  <si>
    <t>-Lqkm59gEZUVih2wtlxu</t>
  </si>
  <si>
    <t>1570628984387</t>
  </si>
  <si>
    <t>-Lqkm6jv_R62rcEEAkto</t>
  </si>
  <si>
    <t>1570628990578</t>
  </si>
  <si>
    <t>-Lqkm8Swsh8-7zJkeREm</t>
  </si>
  <si>
    <t>1570628997821</t>
  </si>
  <si>
    <t>-LqkmACDDRT_-vFJAySC</t>
  </si>
  <si>
    <t>1570629005038</t>
  </si>
  <si>
    <t>-LqkmBkBf65M4lpsTjOI</t>
  </si>
  <si>
    <t>1570629011238</t>
  </si>
  <si>
    <t>-LqkmDEZZacOocTVvJp7</t>
  </si>
  <si>
    <t>1570629017396</t>
  </si>
  <si>
    <t>-LqkmEjahJFLbDn6z-KB</t>
  </si>
  <si>
    <t>1570629023557</t>
  </si>
  <si>
    <t>-LqkmGF4x65CSjTRsoiZ</t>
  </si>
  <si>
    <t>1570629029776</t>
  </si>
  <si>
    <t>-LqkmHsvZ5W_ZTjA3nB0</t>
  </si>
  <si>
    <t>1570629036549</t>
  </si>
  <si>
    <t>-LqkmJY9TdKHIYhX5gBE</t>
  </si>
  <si>
    <t>1570629043152</t>
  </si>
  <si>
    <t>-LqkmLGEgbqpcsQSZ5Hw</t>
  </si>
  <si>
    <t>1570629050356</t>
  </si>
  <si>
    <t>-LqkmMmeoGNfaARW_9CI</t>
  </si>
  <si>
    <t>1570629056516</t>
  </si>
  <si>
    <t>-LqkmOI4DjUo2qlajKFD</t>
  </si>
  <si>
    <t>1570629062716</t>
  </si>
  <si>
    <t>-LqkmPo5r1Lux02iTmKx</t>
  </si>
  <si>
    <t>1570629068911</t>
  </si>
  <si>
    <t>-LqkmRJl15W6roCFIgmI</t>
  </si>
  <si>
    <t>1570629075071</t>
  </si>
  <si>
    <t>-LqkmSow2yxxpwg4vEQ2</t>
  </si>
  <si>
    <t>1570629081297</t>
  </si>
  <si>
    <t>-LqkmUKMh7VIb_COITlS</t>
  </si>
  <si>
    <t>1570629087468</t>
  </si>
  <si>
    <t>-LqkmVqkefle38dkRIzx</t>
  </si>
  <si>
    <t>1570629093633</t>
  </si>
  <si>
    <t>-LqkmXLzZFzgmv5j7mLB</t>
  </si>
  <si>
    <t>1570629099792</t>
  </si>
  <si>
    <t>-LqkmZ1WjDxfwEFa0ENs</t>
  </si>
  <si>
    <t>1570629106032</t>
  </si>
  <si>
    <t>-Lqkm_bRR7mrEABh4WKz</t>
  </si>
  <si>
    <t>1570629113237</t>
  </si>
  <si>
    <t>-Lqkmb8d3wOa9-aq2egC</t>
  </si>
  <si>
    <t>1570629119397</t>
  </si>
  <si>
    <t>-LqkmcdVcPfsOJgytlnf</t>
  </si>
  <si>
    <t>1570629125553</t>
  </si>
  <si>
    <t>-Lqkme8kEhXDpTQX_TgX</t>
  </si>
  <si>
    <t>1570629131776</t>
  </si>
  <si>
    <t>-LqkmfgQGahMXFVv88Dy</t>
  </si>
  <si>
    <t>1570629137954</t>
  </si>
  <si>
    <t>-LqkmhPUopYe6CdYQ14-</t>
  </si>
  <si>
    <t>1570629145148</t>
  </si>
  <si>
    <t>-Lqkmiw-JcGJEC4OBesO</t>
  </si>
  <si>
    <t>1570629151313</t>
  </si>
  <si>
    <t>-LqkmkREo36u58xiZU7S</t>
  </si>
  <si>
    <t>1570629157546</t>
  </si>
  <si>
    <t>-LqkmlwTNsH7_TRKW8w1</t>
  </si>
  <si>
    <t>1570629163710</t>
  </si>
  <si>
    <t>-LqkmnT-yl6g8EVIpKot</t>
  </si>
  <si>
    <t>1570629169872</t>
  </si>
  <si>
    <t>-Lqkmox-Ut30coVSEdjw</t>
  </si>
  <si>
    <t>1570629176026</t>
  </si>
  <si>
    <t>-LqkmqrUIKZoCiXWbVtH</t>
  </si>
  <si>
    <t>1570629183804</t>
  </si>
  <si>
    <t>-LqkmsVeo2xzJrAth9LS</t>
  </si>
  <si>
    <t>1570629190507</t>
  </si>
  <si>
    <t>-Lqkmu-izNLvvItGLbS6</t>
  </si>
  <si>
    <t>1570629196671</t>
  </si>
  <si>
    <t>-LqkmvVyVDuxEi9cBuH2</t>
  </si>
  <si>
    <t>1570629202832</t>
  </si>
  <si>
    <t>-Lqkmx0AY0Qp9dl-_AZY</t>
  </si>
  <si>
    <t>1570629208995</t>
  </si>
  <si>
    <t>-LqkmyXiikQ0bhKbBI8f</t>
  </si>
  <si>
    <t>1570629215237</t>
  </si>
  <si>
    <t>-Lqkn-3JKAlGifEz-_hW</t>
  </si>
  <si>
    <t>1570629221391</t>
  </si>
  <si>
    <t>-Lqkn0nVegHPoIFzijgz</t>
  </si>
  <si>
    <t>1570629228590</t>
  </si>
  <si>
    <t>-Lqkn2Ia8NjaCJ2acpVj</t>
  </si>
  <si>
    <t>1570629234751</t>
  </si>
  <si>
    <t>-Lqkn3pFDzQqWHZvNvVL</t>
  </si>
  <si>
    <t>1570629240988</t>
  </si>
  <si>
    <t>-Lqkn5_kHJnqrovVWUOt</t>
  </si>
  <si>
    <t>1570629248187</t>
  </si>
  <si>
    <t>-Lqkn74ueYk4OrfFyDXQ</t>
  </si>
  <si>
    <t>1570629254352</t>
  </si>
  <si>
    <t>-Lqkn8potUv7hqp7R-99</t>
  </si>
  <si>
    <t>1570629261547</t>
  </si>
  <si>
    <t>-LqknAMXadCPGWPoEyxe</t>
  </si>
  <si>
    <t>1570629267773</t>
  </si>
  <si>
    <t>-LqknBru6yThbI3ZgAny</t>
  </si>
  <si>
    <t>1570629273931</t>
  </si>
  <si>
    <t>-LqknDNAkMzsHZj-Xz8W</t>
  </si>
  <si>
    <t>1570629280091</t>
  </si>
  <si>
    <t>-LqknEtlXIFkjMHbJkhw</t>
  </si>
  <si>
    <t>1570629286332</t>
  </si>
  <si>
    <t>-LqknG_FC4F8f5Hj89YB</t>
  </si>
  <si>
    <t>1570629293238</t>
  </si>
  <si>
    <t>-LqknI9WgFSya1BKZj2_</t>
  </si>
  <si>
    <t>1570629299702</t>
  </si>
  <si>
    <t>-LqknJefdADw-AiTm5i_</t>
  </si>
  <si>
    <t>1570629305853</t>
  </si>
  <si>
    <t>-LqknL9vj3sEBRS_q-to</t>
  </si>
  <si>
    <t>1570629312019</t>
  </si>
  <si>
    <t>-LqknMgQPaRkHRkGGOiL</t>
  </si>
  <si>
    <t>1570629318241</t>
  </si>
  <si>
    <t>-LqknOB_I9a9_ZLzsp05</t>
  </si>
  <si>
    <t>1570629324411</t>
  </si>
  <si>
    <t>-LqknPi0FdWNF-9GbVHL</t>
  </si>
  <si>
    <t>1570629330635</t>
  </si>
  <si>
    <t>-LqknRCF_v0k597bljiK</t>
  </si>
  <si>
    <t>1570629336741</t>
  </si>
  <si>
    <t>-LqknSi3fNo9TQ26taWq</t>
  </si>
  <si>
    <t>1570629343002</t>
  </si>
  <si>
    <t>-LqknUE0HdMj51w5XUBQ</t>
  </si>
  <si>
    <t>1570629349137</t>
  </si>
  <si>
    <t>-LqknVkQIHQ640BjGhl7</t>
  </si>
  <si>
    <t>1570629355364</t>
  </si>
  <si>
    <t>-LqknXXEGuPAB1WeEaMm</t>
  </si>
  <si>
    <t>1570629362707</t>
  </si>
  <si>
    <t>-LqknZGWkXGky6_FJT10</t>
  </si>
  <si>
    <t>1570629369775</t>
  </si>
  <si>
    <t>-Lqkn_lq-vy2X5L7UC1C</t>
  </si>
  <si>
    <t>1570629375935</t>
  </si>
  <si>
    <t>-LqknbGmDmxtC6ud8LDO</t>
  </si>
  <si>
    <t>1570629382157</t>
  </si>
  <si>
    <t>-LqknclrYLyduwbdQYLS</t>
  </si>
  <si>
    <t>1570629388291</t>
  </si>
  <si>
    <t>-LqkneaQAfvo0obahpYJ</t>
  </si>
  <si>
    <t>1570629394522</t>
  </si>
  <si>
    <t>-LqkngJZ8UK9WFksb0Gd</t>
  </si>
  <si>
    <t>1570629402728</t>
  </si>
  <si>
    <t>-LqknhoY25Kr6tYvKkYU</t>
  </si>
  <si>
    <t>1570629408894</t>
  </si>
  <si>
    <t>-LqknjNh8FjgT7LbzKlc</t>
  </si>
  <si>
    <t>1570629415133</t>
  </si>
  <si>
    <t>-Lqknl4RoJ4IQ16MG-jT</t>
  </si>
  <si>
    <t>1570629422323</t>
  </si>
  <si>
    <t>-Lqknmb1gixZe1qQ4HDL</t>
  </si>
  <si>
    <t>1570629428498</t>
  </si>
  <si>
    <t>-Lqkno6Hh43t6eTOPNgw</t>
  </si>
  <si>
    <t>1570629434657</t>
  </si>
  <si>
    <t>-LqknpccBntdbAQz7fr_</t>
  </si>
  <si>
    <t>1570629440887</t>
  </si>
  <si>
    <t>-Lqknr7zX1jY3USzo_Ec</t>
  </si>
  <si>
    <t>1570629447053</t>
  </si>
  <si>
    <t>-LqknsdBL0A0rAYx3G3f</t>
  </si>
  <si>
    <t>1570629453213</t>
  </si>
  <si>
    <t>-Lqknu9XB8TjsPAoiU8s</t>
  </si>
  <si>
    <t>1570629459514</t>
  </si>
  <si>
    <t>-Lqknvdm6fH3yPhZLCyD</t>
  </si>
  <si>
    <t>1570629465535</t>
  </si>
  <si>
    <t>-LqknxCgTQ6e37agq4qB</t>
  </si>
  <si>
    <t>1570629471993</t>
  </si>
  <si>
    <t>-Lqknyvh8Y4RKiDj4bqJ</t>
  </si>
  <si>
    <t>1570629478974</t>
  </si>
  <si>
    <t>-Lqko-QrlWG7c0FrxNmM</t>
  </si>
  <si>
    <t>1570629485148</t>
  </si>
  <si>
    <t>-Lqko0xW1MdbiohkDQVE</t>
  </si>
  <si>
    <t>1570629491368</t>
  </si>
  <si>
    <t>-Lqko2SmHt-EWIFbAe3h</t>
  </si>
  <si>
    <t>1570629497537</t>
  </si>
  <si>
    <t>-Lqko4C3EoUDmLLXZ0yy</t>
  </si>
  <si>
    <t>1570629504737</t>
  </si>
  <si>
    <t>-Lqko5iXvGao4JUCSHFJ</t>
  </si>
  <si>
    <t>1570629510957</t>
  </si>
  <si>
    <t>-Lqko7F1-k9CqsxEEM-j</t>
  </si>
  <si>
    <t>1570629517128</t>
  </si>
  <si>
    <t>-Lqko8lTkftN2_vs1nS_</t>
  </si>
  <si>
    <t>1570629523293</t>
  </si>
  <si>
    <t>-LqkoAVlT7xhFdAolJPV</t>
  </si>
  <si>
    <t>1570629530505</t>
  </si>
  <si>
    <t>-LqkoC-v41EmOMA46kuQ</t>
  </si>
  <si>
    <t>1570629536714</t>
  </si>
  <si>
    <t>-LqkoDXWLrRzzU8WcJIa</t>
  </si>
  <si>
    <t>1570629542889</t>
  </si>
  <si>
    <t>-LqkoF2-hNCG4OvXnp6T</t>
  </si>
  <si>
    <t>1570629549042</t>
  </si>
  <si>
    <t>-LqkoGZ29gXUItrsZ32w</t>
  </si>
  <si>
    <t>1570629555213</t>
  </si>
  <si>
    <t>-LqkoI277gNsku1uHlEo</t>
  </si>
  <si>
    <t>1570629561377</t>
  </si>
  <si>
    <t>-LqkoJbG-SdZIalGjMw_</t>
  </si>
  <si>
    <t>1570629567742</t>
  </si>
  <si>
    <t>-LqkoLK8TqTerOXestgX</t>
  </si>
  <si>
    <t>1570629574807</t>
  </si>
  <si>
    <t>-LqkoMoeCB9iVqc9758Q</t>
  </si>
  <si>
    <t>1570629580978</t>
  </si>
  <si>
    <t>-LqkoOVqwsNLNhG_nW8E</t>
  </si>
  <si>
    <t>1570629587861</t>
  </si>
  <si>
    <t>-LqkoQ51LInyy5gL0Jrm</t>
  </si>
  <si>
    <t>1570629594392</t>
  </si>
  <si>
    <t>-LqkoRcVXHBGxtx4yZaM</t>
  </si>
  <si>
    <t>1570629600580</t>
  </si>
  <si>
    <t>-LqkoTRzDY5nbNGwl_nG</t>
  </si>
  <si>
    <t>1570629606744</t>
  </si>
  <si>
    <t>-LqkoV82kxAhi4n7EJ_w</t>
  </si>
  <si>
    <t>1570629614993</t>
  </si>
  <si>
    <t>-LqkoWdIUGgw2JINfeGD</t>
  </si>
  <si>
    <t>1570629621154</t>
  </si>
  <si>
    <t>-LqkoY8TjVNmGAkl8iXQ</t>
  </si>
  <si>
    <t>1570629627357</t>
  </si>
  <si>
    <t>-LqkoZf2BaBlV5tBbynY</t>
  </si>
  <si>
    <t>1570629633549</t>
  </si>
  <si>
    <t>-LqkoaACllBAQfabGRcH</t>
  </si>
  <si>
    <t>1570629639716</t>
  </si>
  <si>
    <t>-Lqkobgg5jcvAh-6JFgJ</t>
  </si>
  <si>
    <t>1570629645949</t>
  </si>
  <si>
    <t>-LqkodPhLTNQ9gLjSJdh</t>
  </si>
  <si>
    <t>1570629652979</t>
  </si>
  <si>
    <t>-LqkoexTXhsbxWPyrZ8O</t>
  </si>
  <si>
    <t>1570629659310</t>
  </si>
  <si>
    <t>-LqkogSi807kGvV68wc2</t>
  </si>
  <si>
    <t>1570629665468</t>
  </si>
  <si>
    <t>-LqkohxyZo-isp3530gD</t>
  </si>
  <si>
    <t>1570629671690</t>
  </si>
  <si>
    <t>-LqkojZkb8NFWHZg13z-</t>
  </si>
  <si>
    <t>1570629677829</t>
  </si>
  <si>
    <t>-LqkolHTPZ2_bG7V8qC5</t>
  </si>
  <si>
    <t>1570629685255</t>
  </si>
  <si>
    <t>-Lqkon-SL9w0q7skkKbe</t>
  </si>
  <si>
    <t>1570629692279</t>
  </si>
  <si>
    <t>-Lqkoo_kMMD_Bp8ruyVE</t>
  </si>
  <si>
    <t>1570629698733</t>
  </si>
  <si>
    <t>-LqkoqHXlVdh8wd06WQj</t>
  </si>
  <si>
    <t>1570629705713</t>
  </si>
  <si>
    <t>-LqkorjiXFRz_dpCXwIW</t>
  </si>
  <si>
    <t>1570629711803</t>
  </si>
  <si>
    <t>-LqkotJj1usHPEoE_XTB</t>
  </si>
  <si>
    <t>1570629718016</t>
  </si>
  <si>
    <t>-Lqkov1x6EFLdgue4MWv</t>
  </si>
  <si>
    <t>1570629725234</t>
  </si>
  <si>
    <t>-LqkowZ4SA2IlgFg9Cgy</t>
  </si>
  <si>
    <t>1570629731424</t>
  </si>
  <si>
    <t>-Lqkoy3a0GtMN0s83rx1</t>
  </si>
  <si>
    <t>1570629737603</t>
  </si>
  <si>
    <t>-Lqkoza8jImQFji4BetF</t>
  </si>
  <si>
    <t>1570629743833</t>
  </si>
  <si>
    <t>-Lqkp0487uErgZqFuYDu</t>
  </si>
  <si>
    <t>1570629749914</t>
  </si>
  <si>
    <t>-Lqkp1ad3HvnmeyOGXF8</t>
  </si>
  <si>
    <t>1570629756214</t>
  </si>
  <si>
    <t>-Lqkp360SB3kcZ1FHF9H</t>
  </si>
  <si>
    <t>1570629762329</t>
  </si>
  <si>
    <t>-Lqkp4rTny5gWpdnicM5</t>
  </si>
  <si>
    <t>1570629769523</t>
  </si>
  <si>
    <t>-Lqkp6MkmMgBL2fCK3wv</t>
  </si>
  <si>
    <t>1570629775708</t>
  </si>
  <si>
    <t>-Lqkp7tNxw2KUeP3kmJC</t>
  </si>
  <si>
    <t>1570629781920</t>
  </si>
  <si>
    <t>-Lqkp9kY62A_mPKtod1-</t>
  </si>
  <si>
    <t>1570629788095</t>
  </si>
  <si>
    <t>-LqkpBQ56yN7PAljYH89</t>
  </si>
  <si>
    <t>1570629796368</t>
  </si>
  <si>
    <t>-LqkpCwU5QB0hKEI7_0R</t>
  </si>
  <si>
    <t>1570629802588</t>
  </si>
  <si>
    <t>-LqkpEfbQRpLeg8mwafs</t>
  </si>
  <si>
    <t>1570629809718</t>
  </si>
  <si>
    <t>-LqkpGCDLA31ZRxVuxdp</t>
  </si>
  <si>
    <t>1570629815885</t>
  </si>
  <si>
    <t>-LqkpHhVAaBKERxYeStR</t>
  </si>
  <si>
    <t>1570629822125</t>
  </si>
  <si>
    <t>-LqkpJr0z5KBzZJcnVjM</t>
  </si>
  <si>
    <t>1570629829514</t>
  </si>
  <si>
    <t>-LqkpLSZgVgZSEheW__7</t>
  </si>
  <si>
    <t>1570629837553</t>
  </si>
  <si>
    <t>-LqkpMz0_Y1wtO5rtJyC</t>
  </si>
  <si>
    <t>1570629843733</t>
  </si>
  <si>
    <t>-LqkpOUB2w4JlVskpwuA</t>
  </si>
  <si>
    <t>1570629849889</t>
  </si>
  <si>
    <t>-LqkpQ-bPB4MnWHR4dWM</t>
  </si>
  <si>
    <t>1570629856118</t>
  </si>
  <si>
    <t>-LqkpRUWMT2NY0npq587</t>
  </si>
  <si>
    <t>1570629862278</t>
  </si>
  <si>
    <t>-LqkpTPBFFbtXTpgNTHw</t>
  </si>
  <si>
    <t>1570629868509</t>
  </si>
  <si>
    <t>-LqkpV4QAz0H7LKil4vI</t>
  </si>
  <si>
    <t>1570629876687</t>
  </si>
  <si>
    <t>-LqkpWnfzUnFyU9nuiDL</t>
  </si>
  <si>
    <t>1570629884029</t>
  </si>
  <si>
    <t>-LqkpYHa4bSIKdoafCLy</t>
  </si>
  <si>
    <t>1570629890083</t>
  </si>
  <si>
    <t>-LqkpZoARs9aiOQzybRh</t>
  </si>
  <si>
    <t>1570629896287</t>
  </si>
  <si>
    <t>-LqkpaJCJaQTtKrxf1fB</t>
  </si>
  <si>
    <t>1570629902458</t>
  </si>
  <si>
    <t>-Lqkpc4mETpm7tZwsTF5</t>
  </si>
  <si>
    <t>1570629908683</t>
  </si>
  <si>
    <t>-Lqkpd_AmLWxv8ld8nQI</t>
  </si>
  <si>
    <t>1570629915832</t>
  </si>
  <si>
    <t>-Lqkpf4_BhbIuUMKjThb</t>
  </si>
  <si>
    <t>1570629922030</t>
  </si>
  <si>
    <t>-LqkpgavwuUQiwfQxgfm</t>
  </si>
  <si>
    <t>1570629928223</t>
  </si>
  <si>
    <t>-Lqkpi7NOVJ70jbOrbZl</t>
  </si>
  <si>
    <t>1570629934448</t>
  </si>
  <si>
    <t>-LqkpjdwkyhF0EjDMaH-</t>
  </si>
  <si>
    <t>1570629940597</t>
  </si>
  <si>
    <t>-LqkplMgmAUckh-Bbth1</t>
  </si>
  <si>
    <t>1570629947804</t>
  </si>
  <si>
    <t>-LqkpmtQAenT8lxKFZOu</t>
  </si>
  <si>
    <t>1570629953991</t>
  </si>
  <si>
    <t>-LqkpoOfLwarJeg0uz8g</t>
  </si>
  <si>
    <t>1570629960202</t>
  </si>
  <si>
    <t>-LqkppvAZyv3SqJ4B031</t>
  </si>
  <si>
    <t>1570629966365</t>
  </si>
  <si>
    <t>-LqkprQLp1boG2Pt93_q</t>
  </si>
  <si>
    <t>1570629972523</t>
  </si>
  <si>
    <t>-Lqkpswwmu8Vjq2RAFsH</t>
  </si>
  <si>
    <t>1570629978764</t>
  </si>
  <si>
    <t>-LqkpuSBdBQCaiOHjhl4</t>
  </si>
  <si>
    <t>1570629984923</t>
  </si>
  <si>
    <t>-LqkpvxM2SJpQKUnm8R5</t>
  </si>
  <si>
    <t>1570629991083</t>
  </si>
  <si>
    <t>-LqkpxRQdDcLJrB6m2oa</t>
  </si>
  <si>
    <t>1570629997319</t>
  </si>
  <si>
    <t>-LqkpyzADMJJHvqoObjK</t>
  </si>
  <si>
    <t>1570630003485</t>
  </si>
  <si>
    <t>-Lqkq-UPLxsUhh-B09ok</t>
  </si>
  <si>
    <t>1570630009646</t>
  </si>
  <si>
    <t>-Lqkq14Y8QSEqTV96Fbo</t>
  </si>
  <si>
    <t>1570630016259</t>
  </si>
  <si>
    <t>-Lqkq2ktCHKHXAGyO4Ax</t>
  </si>
  <si>
    <t>1570630023119</t>
  </si>
  <si>
    <t>-Lqkq4G8i2y0prN8xmMp</t>
  </si>
  <si>
    <t>1570630029222</t>
  </si>
  <si>
    <t>-Lqkq5lEadbBbbxPtXUk</t>
  </si>
  <si>
    <t>1570630035383</t>
  </si>
  <si>
    <t>-Lqkq7ZRWTCa9u8FoK3L</t>
  </si>
  <si>
    <t>1570630041614</t>
  </si>
  <si>
    <t>-Lqkq9Nb9-O0TTbk2Q8i</t>
  </si>
  <si>
    <t>1570630050149</t>
  </si>
  <si>
    <t>-LqkqB3A-UHFmNo-9lDP</t>
  </si>
  <si>
    <t>1570630057051</t>
  </si>
  <si>
    <t>-LqkqCokdlym066DnFk0</t>
  </si>
  <si>
    <t>1570630064254</t>
  </si>
  <si>
    <t>-LqkqEIlzWcR2arM7Ffw</t>
  </si>
  <si>
    <t>1570630070406</t>
  </si>
  <si>
    <t>-LqkqFqRNxf50ZQN82L5</t>
  </si>
  <si>
    <t>1570630076667</t>
  </si>
  <si>
    <t>-LqkqHLcyRr2bFrZ3TG-</t>
  </si>
  <si>
    <t>1570630082852</t>
  </si>
  <si>
    <t>-LqkqJ4gkLHA2oeGe5dg</t>
  </si>
  <si>
    <t>1570630089930</t>
  </si>
  <si>
    <t>-LqkqKbWU8omzj1xcgwQ</t>
  </si>
  <si>
    <t>1570630096177</t>
  </si>
  <si>
    <t>-LqkqM6fg3AWa-IT8-pE</t>
  </si>
  <si>
    <t>1570630102361</t>
  </si>
  <si>
    <t>-LqkqNdAwpwa1QSGwNOe</t>
  </si>
  <si>
    <t>1570630108576</t>
  </si>
  <si>
    <t>-LqkqP7KMiNsbit0hr1Y</t>
  </si>
  <si>
    <t>1570630114732</t>
  </si>
  <si>
    <t>-LqkqQewnHE3q7adOetS</t>
  </si>
  <si>
    <t>1570630120973</t>
  </si>
  <si>
    <t>-LqkqSBQzQNAhXMPWbNS</t>
  </si>
  <si>
    <t>1570630127131</t>
  </si>
  <si>
    <t>-LqkqUEcQQLTHy90_UBr</t>
  </si>
  <si>
    <t>1570630135656</t>
  </si>
  <si>
    <t>-LqkqVwLwYL_B5Dm0344</t>
  </si>
  <si>
    <t>1570630142567</t>
  </si>
  <si>
    <t>-LqkqXQRGk1n_JThB-AF</t>
  </si>
  <si>
    <t>1570630148733</t>
  </si>
  <si>
    <t>-LqkqZG0T9v-HENpPKCx</t>
  </si>
  <si>
    <t>1570630156229</t>
  </si>
  <si>
    <t>-Lqkq_yxA_oTlVIMnHKp</t>
  </si>
  <si>
    <t>1570630163211</t>
  </si>
  <si>
    <t>-LqkqbjQTi5un3x3dWA9</t>
  </si>
  <si>
    <t>1570630169381</t>
  </si>
  <si>
    <t>-LqkqdEgt85xHOjzA_mf</t>
  </si>
  <si>
    <t>1570630176597</t>
  </si>
  <si>
    <t>-LqkqekE0HSos5aRcTT2</t>
  </si>
  <si>
    <t>1570630182750</t>
  </si>
  <si>
    <t>-LqkqgGed_Qq3JqtAuZg</t>
  </si>
  <si>
    <t>1570630188982</t>
  </si>
  <si>
    <t>-Lqkqhn9FbHz-qJoVaWF</t>
  </si>
  <si>
    <t>1570630195147</t>
  </si>
  <si>
    <t>-LqkqjWYnAq_w3CbKG5z</t>
  </si>
  <si>
    <t>1570630202302</t>
  </si>
  <si>
    <t>-Lqkql2C7uZ88gcHfMvN</t>
  </si>
  <si>
    <t>1570630208541</t>
  </si>
  <si>
    <t>-LqkqmYFBF84XUlTTwpx</t>
  </si>
  <si>
    <t>1570630214688</t>
  </si>
  <si>
    <t>-Lqkqo3xGNHaFoH7-k9K</t>
  </si>
  <si>
    <t>1570630220931</t>
  </si>
  <si>
    <t>-LqkqpZoQlybJmKde0nF</t>
  </si>
  <si>
    <t>1570630227086</t>
  </si>
  <si>
    <t>-Lqkqr5cY36aqpTQ_oXP</t>
  </si>
  <si>
    <t>1570630233256</t>
  </si>
  <si>
    <t>-Lqkqspn-YuZi6XpxzzZ</t>
  </si>
  <si>
    <t>1570630240457</t>
  </si>
  <si>
    <t>-Lqkqua3-sEk4XUVGM-a</t>
  </si>
  <si>
    <t>1570630247559</t>
  </si>
  <si>
    <t>-Lqkqw6PEtw5LuUtxmO0</t>
  </si>
  <si>
    <t>1570630253886</t>
  </si>
  <si>
    <t>-LqkqxtpySVnI5lDwfk7</t>
  </si>
  <si>
    <t>1570630260056</t>
  </si>
  <si>
    <t>-LqkqzcSU7s9_-25B1mc</t>
  </si>
  <si>
    <t>1570630268273</t>
  </si>
  <si>
    <t>-Lqkr07cLAU1RE0_u9aU</t>
  </si>
  <si>
    <t>1570630274456</t>
  </si>
  <si>
    <t>-Lqkr1eDg1Dtqz7ztADM</t>
  </si>
  <si>
    <t>1570630280675</t>
  </si>
  <si>
    <t>-Lqkr39AOGPBnvYA_FBZ</t>
  </si>
  <si>
    <t>1570630286826</t>
  </si>
  <si>
    <t>-Lqkr4slU6XWt5BBQXHf</t>
  </si>
  <si>
    <t>1570630294029</t>
  </si>
  <si>
    <t>-Lqkr6RELh4UKPmOJcmI</t>
  </si>
  <si>
    <t>1570630300249</t>
  </si>
  <si>
    <t>-Lqkr7u3DPDdQlH6_ugP</t>
  </si>
  <si>
    <t>1570630306398</t>
  </si>
  <si>
    <t>-Lqkr9ReKqVeLOsRgdjJ</t>
  </si>
  <si>
    <t>1570630312586</t>
  </si>
  <si>
    <t>-LqkrAwzZEjnBwKR_OMp</t>
  </si>
  <si>
    <t>1570630318764</t>
  </si>
  <si>
    <t>-LqkrCSmkV2djASqXYqb</t>
  </si>
  <si>
    <t>1570630324960</t>
  </si>
  <si>
    <t>-LqkrDxwXBTKBsGLBJAp</t>
  </si>
  <si>
    <t>1570630331160</t>
  </si>
  <si>
    <t>-LqkrFUSPYB_l957ZBTu</t>
  </si>
  <si>
    <t>1570630337325</t>
  </si>
  <si>
    <t>-LqkrH-nwJ40xVpGpdES</t>
  </si>
  <si>
    <t>1570630343566</t>
  </si>
  <si>
    <t>-LqkrIWEAv0DvJPGW3Zn</t>
  </si>
  <si>
    <t>1570630349726</t>
  </si>
  <si>
    <t>-LqkrK0zXgerOi2QPMyo</t>
  </si>
  <si>
    <t>1570630355885</t>
  </si>
  <si>
    <t>-LqkrLpm-DAJinyExkr-</t>
  </si>
  <si>
    <t>1570630363322</t>
  </si>
  <si>
    <t>-LqkrNXRA73vMi6gzJ5R</t>
  </si>
  <si>
    <t>1570630370291</t>
  </si>
  <si>
    <t>-LqkrP2ddpGSplx73wcZ</t>
  </si>
  <si>
    <t>1570630376519</t>
  </si>
  <si>
    <t>-LqkrQphqWZ4DJUEptf7</t>
  </si>
  <si>
    <t>1570630383730</t>
  </si>
  <si>
    <t>-LqkrSbCa6lri8x6i_c4</t>
  </si>
  <si>
    <t>1570630390921</t>
  </si>
  <si>
    <t>-LqkrUPCQAJXEy7pU_AY</t>
  </si>
  <si>
    <t>1570630398130</t>
  </si>
  <si>
    <t>-LqkrW5B7Vm5Arht8nAv</t>
  </si>
  <si>
    <t>1570630405325</t>
  </si>
  <si>
    <t>-LqkrXaCSd1OJOWLdD9Y</t>
  </si>
  <si>
    <t>1570630411509</t>
  </si>
  <si>
    <t>-LqkrZ5WXJ0DkKWRNQx0</t>
  </si>
  <si>
    <t>1570630417709</t>
  </si>
  <si>
    <t>-Lqkr_eRWQE5QjYSbaFP</t>
  </si>
  <si>
    <t>1570630423884</t>
  </si>
  <si>
    <t>-LqkrbNSkJKRYXFnCOvN</t>
  </si>
  <si>
    <t>1570630431089</t>
  </si>
  <si>
    <t>-LqkrctwLjvLCkvCd8Cp</t>
  </si>
  <si>
    <t>1570630437334</t>
  </si>
  <si>
    <t>-LqkreeTJmJ3Wr8s3d7L</t>
  </si>
  <si>
    <t>1570630444550</t>
  </si>
  <si>
    <t>-LqkrgAcBVANX9biA70-</t>
  </si>
  <si>
    <t>1570630450680</t>
  </si>
  <si>
    <t>-LqkrheyKogWpq0NC1XL</t>
  </si>
  <si>
    <t>1570630456846</t>
  </si>
  <si>
    <t>-LqkrjABpPHybro2wLkz</t>
  </si>
  <si>
    <t>1570630463009</t>
  </si>
  <si>
    <t>-Lqkrkhrrev_9nmY1Dub</t>
  </si>
  <si>
    <t>1570630469390</t>
  </si>
  <si>
    <t>-LqkrmQc8gDIn2X9TSVw</t>
  </si>
  <si>
    <t>1570630476445</t>
  </si>
  <si>
    <t>-LqkroE2AL6evugFVkZq</t>
  </si>
  <si>
    <t>1570630483744</t>
  </si>
  <si>
    <t>-LqkrphzAEJBlgK-Fq1H</t>
  </si>
  <si>
    <t>1570630489813</t>
  </si>
  <si>
    <t>-LqkrrEBQA68SFw7lvlQ</t>
  </si>
  <si>
    <t>1570630496047</t>
  </si>
  <si>
    <t>-Lqkrsjg4AqyGX2S1DN_</t>
  </si>
  <si>
    <t>1570630502213</t>
  </si>
  <si>
    <t>-LqkruGKPkNy-F4XFwzp</t>
  </si>
  <si>
    <t>1570630508448</t>
  </si>
  <si>
    <t>-LqkrvpAQGOlAMVzMFJj</t>
  </si>
  <si>
    <t>1570630514603</t>
  </si>
  <si>
    <t>-LqkrxlQDvpYZIFWUhcF</t>
  </si>
  <si>
    <t>1570630521809</t>
  </si>
  <si>
    <t>-LqkrzHU6kEvQvfpXSd9</t>
  </si>
  <si>
    <t>1570630529007</t>
  </si>
  <si>
    <t>-Lqks-mvRleY3vXqAfG1</t>
  </si>
  <si>
    <t>1570630535175</t>
  </si>
  <si>
    <t>-Lqks1JExGReEpM8wjHa</t>
  </si>
  <si>
    <t>1570630541409</t>
  </si>
  <si>
    <t>-Lqks2oVMhVqz8b9mMnk</t>
  </si>
  <si>
    <t>1570630547570</t>
  </si>
  <si>
    <t>-Lqks4JjHF0w116feZEC</t>
  </si>
  <si>
    <t>1570630553727</t>
  </si>
  <si>
    <t>-Lqks5qGF-01jj9qQc94</t>
  </si>
  <si>
    <t>1570630559967</t>
  </si>
  <si>
    <t>-Lqks7LVbgNJgE5CojcW</t>
  </si>
  <si>
    <t>1570630566134</t>
  </si>
  <si>
    <t>-Lqks8qfn5A0at1EZWGv</t>
  </si>
  <si>
    <t>1570630572314</t>
  </si>
  <si>
    <t>-LqksALztJizLBZeYz3e</t>
  </si>
  <si>
    <t>1570630578455</t>
  </si>
  <si>
    <t>-LqksBsWEkYZBq01XZ3s</t>
  </si>
  <si>
    <t>1570630584687</t>
  </si>
  <si>
    <t>-LqksDNk_XV8yKv_gj-_</t>
  </si>
  <si>
    <t>1570630590849</t>
  </si>
  <si>
    <t>-LqksF6fIoVpXVfn3aB1</t>
  </si>
  <si>
    <t>1570630597986</t>
  </si>
  <si>
    <t>-LqksGddiH5SjVlgj4R1</t>
  </si>
  <si>
    <t>1570630604247</t>
  </si>
  <si>
    <t>-LqksIAFbeYYR3FQ9gX-</t>
  </si>
  <si>
    <t>1570630610458</t>
  </si>
  <si>
    <t>-LqksJfPMKX6vpCNwcRM</t>
  </si>
  <si>
    <t>1570630616619</t>
  </si>
  <si>
    <t>-LqksLAdkjFISlYl1URY</t>
  </si>
  <si>
    <t>1570630622779</t>
  </si>
  <si>
    <t>-LqksN8-QYlN90o01weQ</t>
  </si>
  <si>
    <t>1570630629018</t>
  </si>
  <si>
    <t>-LqksOhvx6NCeKSfpj20</t>
  </si>
  <si>
    <t>1570630637259</t>
  </si>
  <si>
    <t>-LqksQD9BTmgBhncIWtr</t>
  </si>
  <si>
    <t>1570630643414</t>
  </si>
  <si>
    <t>-LqksRiO2vSGkucsqL3U</t>
  </si>
  <si>
    <t>1570630649579</t>
  </si>
  <si>
    <t>-LqksTFWJ3pqitcK74gY</t>
  </si>
  <si>
    <t>1570630655803</t>
  </si>
  <si>
    <t>-LqksUjfjPDMoBcEDMrU</t>
  </si>
  <si>
    <t>1570630661981</t>
  </si>
  <si>
    <t>-LqksWPV2i_6phn-h3OV</t>
  </si>
  <si>
    <t>1570630668601</t>
  </si>
  <si>
    <t>-LqksY-zVRsiJspm1H42</t>
  </si>
  <si>
    <t>1570630675342</t>
  </si>
  <si>
    <t>-LqksZXVViLkzEE6Feel</t>
  </si>
  <si>
    <t>1570630681572</t>
  </si>
  <si>
    <t>-Lqksa2r0T8jWpjTchMt</t>
  </si>
  <si>
    <t>1570630687742</t>
  </si>
  <si>
    <t>-Lqksc4z2iwQs6VQ0CxO</t>
  </si>
  <si>
    <t>1570630694944</t>
  </si>
  <si>
    <t>-Lqkse9VpAoL7sehJJ1E</t>
  </si>
  <si>
    <t>1570630704685</t>
  </si>
  <si>
    <t>-LqksfnTQdG_a4xEDaWr</t>
  </si>
  <si>
    <t>1570630711423</t>
  </si>
  <si>
    <t>-LqkshJypx-tjv3mv2Qt</t>
  </si>
  <si>
    <t>1570630717581</t>
  </si>
  <si>
    <t>-LqksiqOHYvFi9B6QXvP</t>
  </si>
  <si>
    <t>1570630723821</t>
  </si>
  <si>
    <t>-LqkskLU_B3-sZWnviSS</t>
  </si>
  <si>
    <t>1570630729992</t>
  </si>
  <si>
    <t>-LqkslqxpvJmU3MirRPU</t>
  </si>
  <si>
    <t>1570630736136</t>
  </si>
  <si>
    <t>-LqksnMHx6FVrM7UwCye</t>
  </si>
  <si>
    <t>1570630742368</t>
  </si>
  <si>
    <t>-LqksorioU0ZIvg2E6yf</t>
  </si>
  <si>
    <t>1570630748546</t>
  </si>
  <si>
    <t>-LqksqNz7Q6pcsW2NMou</t>
  </si>
  <si>
    <t>1570630754701</t>
  </si>
  <si>
    <t>-LqksrtHeJHgWyLcxL9C</t>
  </si>
  <si>
    <t>1570630760863</t>
  </si>
  <si>
    <t>-LqkstPOTR1X4Z8qGqzp</t>
  </si>
  <si>
    <t>1570630767103</t>
  </si>
  <si>
    <t>-LqksuthmZLrqNHGW_Hn</t>
  </si>
  <si>
    <t>1570630773226</t>
  </si>
  <si>
    <t>-LqkswhzZdGDiMLlz3qC</t>
  </si>
  <si>
    <t>1570630779421</t>
  </si>
  <si>
    <t>-LqksyQyqRwSG_i3Dx0N</t>
  </si>
  <si>
    <t>1570630787662</t>
  </si>
  <si>
    <t>-LqkszykqAwwsLohrAVk</t>
  </si>
  <si>
    <t>1570630793832</t>
  </si>
  <si>
    <t>-Lqkt0hyz_VawP3S8OhG</t>
  </si>
  <si>
    <t>1570630801103</t>
  </si>
  <si>
    <t>-Lqkt2Fi-sRUtgOljsRs</t>
  </si>
  <si>
    <t>1570630807261</t>
  </si>
  <si>
    <t>-Lqkt3yhPRg8xaOJadvZ</t>
  </si>
  <si>
    <t>1570630814461</t>
  </si>
  <si>
    <t>-Lqkt5TzeAK1y06Dx8zE</t>
  </si>
  <si>
    <t>1570630820632</t>
  </si>
  <si>
    <t>-Lqkt7-9gB8AdBOuWQc_</t>
  </si>
  <si>
    <t>1570630826861</t>
  </si>
  <si>
    <t>-Lqkt8VTW0CnXMcQWpjk</t>
  </si>
  <si>
    <t>1570630833006</t>
  </si>
  <si>
    <t>-LqktA3TGr1fes9ndp87</t>
  </si>
  <si>
    <t>1570630839246</t>
  </si>
  <si>
    <t>-LqktBmUsGMrqnJTvpaz</t>
  </si>
  <si>
    <t>1570630846446</t>
  </si>
  <si>
    <t>-LqktDGUUl28vucpNem8</t>
  </si>
  <si>
    <t>1570630852582</t>
  </si>
  <si>
    <t>-LqktEn3SyJ5RqRpCZrr</t>
  </si>
  <si>
    <t>1570630858767</t>
  </si>
  <si>
    <t>-LqktGJUfxdl6pY8DHKm</t>
  </si>
  <si>
    <t>1570630865001</t>
  </si>
  <si>
    <t>-LqktHrFx2Y1hE6ucgvd</t>
  </si>
  <si>
    <t>1570630871172</t>
  </si>
  <si>
    <t>-LqktJ_D4rjKwjynS0JH</t>
  </si>
  <si>
    <t>1570630878361</t>
  </si>
  <si>
    <t>-LqktL3GM5OvHD-5rPV9</t>
  </si>
  <si>
    <t>1570630884526</t>
  </si>
  <si>
    <t>-LqktMsPmC0u5H20Xow7</t>
  </si>
  <si>
    <t>1570630890766</t>
  </si>
  <si>
    <t>-LqktOaPyjmC_nwumJs6</t>
  </si>
  <si>
    <t>1570630899012</t>
  </si>
  <si>
    <t>-LqktQ85rZlQlqWFxTS9</t>
  </si>
  <si>
    <t>1570630905171</t>
  </si>
  <si>
    <t>-LqktS8TltrdyZvYHU8p</t>
  </si>
  <si>
    <t>1570630912368</t>
  </si>
  <si>
    <t>-LqktTd0m0-5ejoRpdmU</t>
  </si>
  <si>
    <t>1570630919568</t>
  </si>
  <si>
    <t>-LqktVNi_WjbsrqEF94N</t>
  </si>
  <si>
    <t>1570630925815</t>
  </si>
  <si>
    <t>-LqktWv1LsUPrt9RMsq4</t>
  </si>
  <si>
    <t>1570630933008</t>
  </si>
  <si>
    <t>-LqktYOT834oI7ac7L51</t>
  </si>
  <si>
    <t>1570630939135</t>
  </si>
  <si>
    <t>-LqktZvW9Uixj7T1X9c0</t>
  </si>
  <si>
    <t>1570630945329</t>
  </si>
  <si>
    <t>-LqktaS1O129nfykszb7</t>
  </si>
  <si>
    <t>1570630951566</t>
  </si>
  <si>
    <t>-LqktbxNRWbb3axXdqxo</t>
  </si>
  <si>
    <t>1570630957730</t>
  </si>
  <si>
    <t>-Lqktde0W-Fk4zcAjnn7</t>
  </si>
  <si>
    <t>1570630964673</t>
  </si>
  <si>
    <t>-LqktfD4Zj-cdFDRgoYg</t>
  </si>
  <si>
    <t>1570630971089</t>
  </si>
  <si>
    <t>-LqktgjZnCJORNr9Px4d</t>
  </si>
  <si>
    <t>1570630977326</t>
  </si>
  <si>
    <t>-LqktiEkdh07zNpLB-Rs</t>
  </si>
  <si>
    <t>1570630983486</t>
  </si>
  <si>
    <t>-LqktjjhpVUqzywOjYa8</t>
  </si>
  <si>
    <t>1570630989648</t>
  </si>
  <si>
    <t>-LqktlGW8s_5CXDbpRZl</t>
  </si>
  <si>
    <t>1570630995819</t>
  </si>
  <si>
    <t>-LqktmlmoHr6qnJf_qa6</t>
  </si>
  <si>
    <t>1570631002051</t>
  </si>
  <si>
    <t>-LqktoFgmSxBLWIAiO5P</t>
  </si>
  <si>
    <t>1570631008210</t>
  </si>
  <si>
    <t>-Lqktpq-Ox5bPdYl4WWp</t>
  </si>
  <si>
    <t>1570631014368</t>
  </si>
  <si>
    <t>-Lqktr_FaOQcqSYAtUog</t>
  </si>
  <si>
    <t>1570631021647</t>
  </si>
  <si>
    <t>-LqkttJWJpK0XRCjJhBe</t>
  </si>
  <si>
    <t>1570631028852</t>
  </si>
  <si>
    <t>-LqktuognLMqm0B4jiNZ</t>
  </si>
  <si>
    <t>1570631035015</t>
  </si>
  <si>
    <t>-LqktwK08J-17Ob9KEA0</t>
  </si>
  <si>
    <t>1570631041171</t>
  </si>
  <si>
    <t>-Lqktxq_caEggly6ZTAT</t>
  </si>
  <si>
    <t>1570631047409</t>
  </si>
  <si>
    <t>-LqktzKYbD6ks0o8zvaa</t>
  </si>
  <si>
    <t>1570631053550</t>
  </si>
  <si>
    <t>-Lqku0e0Vj0jKPuX62Vw</t>
  </si>
  <si>
    <t>1570631061663</t>
  </si>
  <si>
    <t>-Lqku2in7-4dBfYOISVN</t>
  </si>
  <si>
    <t>1570631070049</t>
  </si>
  <si>
    <t>-Lqku4Z1eNHAusBnwdmQ</t>
  </si>
  <si>
    <t>1570631079027</t>
  </si>
  <si>
    <t>-Lqku6NXsw8yey2t4N19</t>
  </si>
  <si>
    <t>1570631086442</t>
  </si>
  <si>
    <t>-Lqku883G-J063njj-7v</t>
  </si>
  <si>
    <t>1570631093687</t>
  </si>
  <si>
    <t>-Lqku9eV4bTDOHfacb12</t>
  </si>
  <si>
    <t>1570631099898</t>
  </si>
  <si>
    <t>-LqkuBCbbiAS7yhyBmKC</t>
  </si>
  <si>
    <t>1570631106128</t>
  </si>
  <si>
    <t>-LqkuCwfXXutzwugNG9P</t>
  </si>
  <si>
    <t>1570631113331</t>
  </si>
  <si>
    <t>-LqkuERmJs4iyrQ1bBRQ</t>
  </si>
  <si>
    <t>1570631119492</t>
  </si>
  <si>
    <t>-LqkuFx0Yp2Lkzk9eiHu</t>
  </si>
  <si>
    <t>1570631125708</t>
  </si>
  <si>
    <t>-LqkuHT_H-8oZ7AJYHXi</t>
  </si>
  <si>
    <t>1570631131893</t>
  </si>
  <si>
    <t>-LqkuJP-xgIinyQM1plP</t>
  </si>
  <si>
    <t>1570631139184</t>
  </si>
  <si>
    <t>-LqkuKzUzveGercDaUoe</t>
  </si>
  <si>
    <t>1570631146289</t>
  </si>
  <si>
    <t>-LqkuMUedaVjP1Faf880</t>
  </si>
  <si>
    <t>1570631152454</t>
  </si>
  <si>
    <t>-LqkuO0FifYlAlC4K6xt</t>
  </si>
  <si>
    <t>1570631158687</t>
  </si>
  <si>
    <t>-LqkuPWWChCJ5NPqEa67</t>
  </si>
  <si>
    <t>1570631164855</t>
  </si>
  <si>
    <t>-LqkuR0j3r45ISIAV2Pz</t>
  </si>
  <si>
    <t>1570631171008</t>
  </si>
  <si>
    <t>-LqkuSY9Ax-f_8BqNEdO</t>
  </si>
  <si>
    <t>1570631177248</t>
  </si>
  <si>
    <t>-LqkuUNloqg2PMiQuT50</t>
  </si>
  <si>
    <t>1570631183407</t>
  </si>
  <si>
    <t>-LqkuW3FQRJF9b6otv2K</t>
  </si>
  <si>
    <t>1570631191647</t>
  </si>
  <si>
    <t>-LqkuXZUAFcTPEF8N_hm</t>
  </si>
  <si>
    <t>1570631197807</t>
  </si>
  <si>
    <t>-LqkuZ3mTeJXJ4F7lFdt</t>
  </si>
  <si>
    <t>1570631203980</t>
  </si>
  <si>
    <t>-Lqku_bVTGJfWlcLpxI3</t>
  </si>
  <si>
    <t>1570631210283</t>
  </si>
  <si>
    <t>-LqkubKW3V2t89kvlwff</t>
  </si>
  <si>
    <t>1570631217387</t>
  </si>
  <si>
    <t>-Lqkucr0erupXB2zQYBR</t>
  </si>
  <si>
    <t>1570631223562</t>
  </si>
  <si>
    <t>-LqkuebC10Rp9t8AfIQ1</t>
  </si>
  <si>
    <t>1570631230768</t>
  </si>
  <si>
    <t>-Lqkug9ABtV6eKc__vP0</t>
  </si>
  <si>
    <t>1570631237002</t>
  </si>
  <si>
    <t>-LqkuhdFHrECk--fUJ5m</t>
  </si>
  <si>
    <t>1570631243167</t>
  </si>
  <si>
    <t>-Lqkuj8WPa4BQhPOayR1</t>
  </si>
  <si>
    <t>1570631249329</t>
  </si>
  <si>
    <t>-LqkukdjxzD0eLG9JcoO</t>
  </si>
  <si>
    <t>1570631255498</t>
  </si>
  <si>
    <t>-LqkumHeMfhC-Mse5J-8</t>
  </si>
  <si>
    <t>1570631262231</t>
  </si>
  <si>
    <t>-LqkunvlCpHhLn82KB_M</t>
  </si>
  <si>
    <t>1570631268922</t>
  </si>
  <si>
    <t>-LqkupQ4GixVAyVOlvMr</t>
  </si>
  <si>
    <t>1570631275087</t>
  </si>
  <si>
    <t>-Lqkuqx_zduoBb8zMVtQ</t>
  </si>
  <si>
    <t>1570631281323</t>
  </si>
  <si>
    <t>-LqkusRFk1KiV-Gn1eoQ</t>
  </si>
  <si>
    <t>1570631287420</t>
  </si>
  <si>
    <t>-LqkutzLs_sTzvPyMVdH</t>
  </si>
  <si>
    <t>1570631293644</t>
  </si>
  <si>
    <t>-LqkuviJGaggnbv53iZF</t>
  </si>
  <si>
    <t>1570631300839</t>
  </si>
  <si>
    <t>-LqkuxDfSwgYig5l_Mgu</t>
  </si>
  <si>
    <t>1570631307014</t>
  </si>
  <si>
    <t>-LqkuypLFZbjyuKAs8NK</t>
  </si>
  <si>
    <t>1570631313570</t>
  </si>
  <si>
    <t>-Lqkv-UmQShSQhdbFGUL</t>
  </si>
  <si>
    <t>1570631320449</t>
  </si>
  <si>
    <t>-Lqkv10-DYVVVFeQMLOB</t>
  </si>
  <si>
    <t>1570631326609</t>
  </si>
  <si>
    <t>-Lqkv2WL7gwYTAWzrnL2</t>
  </si>
  <si>
    <t>1570631332769</t>
  </si>
  <si>
    <t>-Lqkv4BTZ0A51vA9p_hu</t>
  </si>
  <si>
    <t>1570631338993</t>
  </si>
  <si>
    <t>-Lqkv5lvYPgYjb8yOcvh</t>
  </si>
  <si>
    <t>1570631346163</t>
  </si>
  <si>
    <t>-Lqkv7_-JKZxoY-ueWTn</t>
  </si>
  <si>
    <t>1570631352367</t>
  </si>
  <si>
    <t>-Lqkv9JFs1L-5BVfVWpj</t>
  </si>
  <si>
    <t>1570631360647</t>
  </si>
  <si>
    <t>-LqkvAobCNe_x3XDKw1n</t>
  </si>
  <si>
    <t>1570631366770</t>
  </si>
  <si>
    <t>-LqkvCL0VzGvNvNPirLo</t>
  </si>
  <si>
    <t>1570631373008</t>
  </si>
  <si>
    <t>-LqkvE5VITUS6ZAN9A_3</t>
  </si>
  <si>
    <t>1570631380215</t>
  </si>
  <si>
    <t>-LqkvFisMj7mu3YR5LxA</t>
  </si>
  <si>
    <t>1570631386349</t>
  </si>
  <si>
    <t>-LqkvHqWy8N80f-33hWU</t>
  </si>
  <si>
    <t>1570631395488</t>
  </si>
  <si>
    <t>-LqkvJMTbozXuF45gTAn</t>
  </si>
  <si>
    <t>1570631401808</t>
  </si>
  <si>
    <t>-LqkvLCVYvhhXhGdXJK8</t>
  </si>
  <si>
    <t>1570631409362</t>
  </si>
  <si>
    <t>-LqkvMuF-UsrTU6uMdy3</t>
  </si>
  <si>
    <t>1570631416290</t>
  </si>
  <si>
    <t>-LqkvOPWtffuGple9C28</t>
  </si>
  <si>
    <t>1570631422448</t>
  </si>
  <si>
    <t>-LqkvPuh1NHUDrdDas1b</t>
  </si>
  <si>
    <t>1570631428608</t>
  </si>
  <si>
    <t>-LqkvRkFKEW3LyM_2lp7</t>
  </si>
  <si>
    <t>1570631436177</t>
  </si>
  <si>
    <t>-LqkvTS0DLOkItEnJ9X-</t>
  </si>
  <si>
    <t>1570631443080</t>
  </si>
  <si>
    <t>-LqkvUvgen3svZC3EwUi</t>
  </si>
  <si>
    <t>1570631449233</t>
  </si>
  <si>
    <t>-LqkvWSl74csTtQ0LX8v</t>
  </si>
  <si>
    <t>1570631455403</t>
  </si>
  <si>
    <t>-LqkvXz-P4VrSYba6OdN</t>
  </si>
  <si>
    <t>1570631461568</t>
  </si>
  <si>
    <t>-LqkvZT-v9EIIpWrYJm8</t>
  </si>
  <si>
    <t>1570631467788</t>
  </si>
  <si>
    <t>-LqkvaBch3rI7LhlBW6i</t>
  </si>
  <si>
    <t>1570631473964</t>
  </si>
  <si>
    <t>-LqkvbjghrlcRGudgNNA</t>
  </si>
  <si>
    <t>1570631481163</t>
  </si>
  <si>
    <t>-LqkvdFGkTIzV-8-BovL</t>
  </si>
  <si>
    <t>1570631487328</t>
  </si>
  <si>
    <t>-Lqkvelf1xNEtvnxPeQB</t>
  </si>
  <si>
    <t>1570631493568</t>
  </si>
  <si>
    <t>-LqkvgGx0Flc83cfXim_</t>
  </si>
  <si>
    <t>1570631499730</t>
  </si>
  <si>
    <t>-Lqkvi1eCjCeiImfljzF</t>
  </si>
  <si>
    <t>1570631506930</t>
  </si>
  <si>
    <t>-LqkvjXpqq91HIedIGGa</t>
  </si>
  <si>
    <t>1570631513086</t>
  </si>
  <si>
    <t>-Lqkvl24ot83nQ35ytkv</t>
  </si>
  <si>
    <t>1570631519313</t>
  </si>
  <si>
    <t>-LqkvmZS578kWldk-wXl</t>
  </si>
  <si>
    <t>1570631525488</t>
  </si>
  <si>
    <t>-Lqkvo56juTFWIEMZsT-</t>
  </si>
  <si>
    <t>1570631531653</t>
  </si>
  <si>
    <t>-LqkvppAK8yjjrOTfitL</t>
  </si>
  <si>
    <t>1570631538848</t>
  </si>
  <si>
    <t>-LqkvrKWODxukAboIDm2</t>
  </si>
  <si>
    <t>1570631545034</t>
  </si>
  <si>
    <t>-LqkvtDfO3ob1mWI0lvb</t>
  </si>
  <si>
    <t>1570631551249</t>
  </si>
  <si>
    <t>-LqkvurkLsyABj-WfEFV</t>
  </si>
  <si>
    <t>1570631559488</t>
  </si>
  <si>
    <t>-LqkvwLp7D0wBHJmEqrR</t>
  </si>
  <si>
    <t>1570631565653</t>
  </si>
  <si>
    <t>-LqkvyAK6pjzsGOuMqdf</t>
  </si>
  <si>
    <t>1570631571808</t>
  </si>
  <si>
    <t>-Lqkvzt0sSvR9ILzXmgd</t>
  </si>
  <si>
    <t>1570631580062</t>
  </si>
  <si>
    <t>-Lqkw0PW1fBfnpv_tNeM</t>
  </si>
  <si>
    <t>1570631586290</t>
  </si>
  <si>
    <t>-Lqkw1tVod-VmmSG8i6q</t>
  </si>
  <si>
    <t>1570631592428</t>
  </si>
  <si>
    <t>-Lqkw3Sg9dt1NkLrj8BZ</t>
  </si>
  <si>
    <t>1570631598607</t>
  </si>
  <si>
    <t>-Lqkw5Ajbm8ZGUKy7mIx</t>
  </si>
  <si>
    <t>1570631605823</t>
  </si>
  <si>
    <t>-Lqkw6iVHQKqLblpxkK6</t>
  </si>
  <si>
    <t>1570631612128</t>
  </si>
  <si>
    <t>-Lqkw8V-KsphH8ORKSQi</t>
  </si>
  <si>
    <t>1570631619264</t>
  </si>
  <si>
    <t>-LqkwAJVnjArgQbNwrZS</t>
  </si>
  <si>
    <t>1570631626834</t>
  </si>
  <si>
    <t>-LqkwByi-ay4G0mdDu2g</t>
  </si>
  <si>
    <t>1570631633663</t>
  </si>
  <si>
    <t>-LqkwDV-CsxHiDjgkyq5</t>
  </si>
  <si>
    <t>1570631639822</t>
  </si>
  <si>
    <t>-LqkwEzE4GUS7Ei3iQ1Q</t>
  </si>
  <si>
    <t>1570631645988</t>
  </si>
  <si>
    <t>-LqkwGVjVi5IqZWp7Hxz</t>
  </si>
  <si>
    <t>1570631652230</t>
  </si>
  <si>
    <t>-LqkwI0-CNCDYya7w_zB</t>
  </si>
  <si>
    <t>1570631658385</t>
  </si>
  <si>
    <t>-LqkwJV8S7lAtDHUapeR</t>
  </si>
  <si>
    <t>1570631664543</t>
  </si>
  <si>
    <t>-LqkwL1fPpztxiEZy44G</t>
  </si>
  <si>
    <t>1570631670784</t>
  </si>
  <si>
    <t>-LqkwMWlKkFIW77onGnh</t>
  </si>
  <si>
    <t>1570631676911</t>
  </si>
  <si>
    <t>-LqkwO3L6FjTi0e7PnIN</t>
  </si>
  <si>
    <t>1570631683109</t>
  </si>
  <si>
    <t>-LqkwPYV1ADbHvzHhwse</t>
  </si>
  <si>
    <t>1570631689265</t>
  </si>
  <si>
    <t>-LqkwR3ufX67HhOgAV6I</t>
  </si>
  <si>
    <t>1570631695508</t>
  </si>
  <si>
    <t>-LqkwS_G5-agVRil_9ag</t>
  </si>
  <si>
    <t>1570631701663</t>
  </si>
  <si>
    <t>-LqkwU6vaj3FWYFHcBHe</t>
  </si>
  <si>
    <t>1570631707827</t>
  </si>
  <si>
    <t>-LqkwVpzpkwYNFn4O0wq</t>
  </si>
  <si>
    <t>1570631715028</t>
  </si>
  <si>
    <t>-LqkwXMWOUSyZAuSgPzi</t>
  </si>
  <si>
    <t>1570631721264</t>
  </si>
  <si>
    <t>-LqkwZQzQOP2UrH5TqZA</t>
  </si>
  <si>
    <t>1570631729743</t>
  </si>
  <si>
    <t>-Lqkwa7kUhYkwse8tLxl</t>
  </si>
  <si>
    <t>1570631736703</t>
  </si>
  <si>
    <t>-LqkwbfQfW2wtm0d-Ud8</t>
  </si>
  <si>
    <t>1570631742865</t>
  </si>
  <si>
    <t>-LqkwdO_xCJjmU5fnzjn</t>
  </si>
  <si>
    <t>1570631750064</t>
  </si>
  <si>
    <t>-LqkwetjuVMtUjmGIK21</t>
  </si>
  <si>
    <t>1570631756259</t>
  </si>
  <si>
    <t>-LqkwgQFfWH3alvt6xzr</t>
  </si>
  <si>
    <t>1570631762463</t>
  </si>
  <si>
    <t>-LqkwiFUshlrHwtKOozQ</t>
  </si>
  <si>
    <t>1570631768629</t>
  </si>
  <si>
    <t>-LqkwjxT8VZTx84Gn4hP</t>
  </si>
  <si>
    <t>1570631776864</t>
  </si>
  <si>
    <t>-LqkwlRUpExBCWEulKh2</t>
  </si>
  <si>
    <t>1570631783028</t>
  </si>
  <si>
    <t>-Lqkwmwj_3tn3ri_F4zn</t>
  </si>
  <si>
    <t>1570631789226</t>
  </si>
  <si>
    <t>-LqkwolmcnrX9j5dIDBq</t>
  </si>
  <si>
    <t>1570631796684</t>
  </si>
  <si>
    <t>-LqkwqUg6UDYfPUXFfd-</t>
  </si>
  <si>
    <t>1570631803711</t>
  </si>
  <si>
    <t>-Lqkwrzw69pBJK4lARHw</t>
  </si>
  <si>
    <t>1570631809866</t>
  </si>
  <si>
    <t>-LqkwtV9juiTfgv77nJB</t>
  </si>
  <si>
    <t>1570631816030</t>
  </si>
  <si>
    <t>-Lqkwv1xus5tP33_8ZiF</t>
  </si>
  <si>
    <t>1570631822208</t>
  </si>
  <si>
    <t>-LqkwwmC2WOoUSUhTMnr</t>
  </si>
  <si>
    <t>1570631829470</t>
  </si>
  <si>
    <t>-LqkwyHOKeAlgwBJZfr1</t>
  </si>
  <si>
    <t>1570631835630</t>
  </si>
  <si>
    <t>-LqkwzoCGyhc75gsOSAP</t>
  </si>
  <si>
    <t>1570631841790</t>
  </si>
  <si>
    <t>-Lqkx0WsXW96CZVzNkMX</t>
  </si>
  <si>
    <t>1570631848989</t>
  </si>
  <si>
    <t>-Lqkx23TyrFHqXFiYfPt</t>
  </si>
  <si>
    <t>1570631855230</t>
  </si>
  <si>
    <t>-Lqkx3ZyT8tHJxjdRQVr</t>
  </si>
  <si>
    <t>1570631861390</t>
  </si>
  <si>
    <t>-Lqkx548OaQHbaTOSuWO</t>
  </si>
  <si>
    <t>1570631867549</t>
  </si>
  <si>
    <t>-Lqkx6pdyEQQfyVSEV2a</t>
  </si>
  <si>
    <t>1570631874755</t>
  </si>
  <si>
    <t>-Lqkx8M9DybsRDer7b9k</t>
  </si>
  <si>
    <t>1570631880974</t>
  </si>
  <si>
    <t>-Lqkx9qCwPghJK2vMaX-</t>
  </si>
  <si>
    <t>1570631887109</t>
  </si>
  <si>
    <t>-LqkxBMiVuqfOIb3N6j7</t>
  </si>
  <si>
    <t>1570631893309</t>
  </si>
  <si>
    <t>-LqkxCrduNUKSxnV5WOa</t>
  </si>
  <si>
    <t>1570631899471</t>
  </si>
  <si>
    <t>-LqkxEOTGkYsHvCMXnrW</t>
  </si>
  <si>
    <t>1570631905705</t>
  </si>
  <si>
    <t>-LqkxGHjZ6ECxsVahNBh</t>
  </si>
  <si>
    <t>1570631913497</t>
  </si>
  <si>
    <t>-LqkxHuS8E-aQUrhiRoG</t>
  </si>
  <si>
    <t>1570631920104</t>
  </si>
  <si>
    <t>-LqkxJPhNZ6FwlrZswId</t>
  </si>
  <si>
    <t>1570631926270</t>
  </si>
  <si>
    <t>-LqkxKuyHP1FBCzGwQdH</t>
  </si>
  <si>
    <t>1570631932489</t>
  </si>
  <si>
    <t>-LqkxMRWf2q0h35aFDMA</t>
  </si>
  <si>
    <t>1570631938670</t>
  </si>
  <si>
    <t>-LqkxNwhp6UiufIdYDqj</t>
  </si>
  <si>
    <t>1570631944831</t>
  </si>
  <si>
    <t>-LqkxPmCAa70W0Or5KXK</t>
  </si>
  <si>
    <t>1570631952382</t>
  </si>
  <si>
    <t>-LqkxRSifQTMpTWsgLZL</t>
  </si>
  <si>
    <t>1570631959229</t>
  </si>
  <si>
    <t>-LqkxSxyQ4owE8yk741R</t>
  </si>
  <si>
    <t>1570631965410</t>
  </si>
  <si>
    <t>-LqkxUTHm_zLhArOpeQY</t>
  </si>
  <si>
    <t>1570631971629</t>
  </si>
  <si>
    <t>-LqkxVzi5k6nzPgihUR-</t>
  </si>
  <si>
    <t>1570631977789</t>
  </si>
  <si>
    <t>-LqkxXV-CcPV5dPavT2i</t>
  </si>
  <si>
    <t>1570631983954</t>
  </si>
  <si>
    <t>-LqkxZ0Tlb-QY83EL9Hm</t>
  </si>
  <si>
    <t>1570631990196</t>
  </si>
  <si>
    <t>-Lqkx_ZFzkxoujSkgEa1</t>
  </si>
  <si>
    <t>1570631996351</t>
  </si>
  <si>
    <t>-LqkxbHHcfKZAIUeXNbJ</t>
  </si>
  <si>
    <t>1570632003549</t>
  </si>
  <si>
    <t>-LqkxdAbsq1nz8ofDGL4</t>
  </si>
  <si>
    <t>1570632009714</t>
  </si>
  <si>
    <t>-LqkxepiiZBBNW7pEaWq</t>
  </si>
  <si>
    <t>1570632017953</t>
  </si>
  <si>
    <t>-Lqkxg_1rbVIch2r7GDo</t>
  </si>
  <si>
    <t>1570632025228</t>
  </si>
  <si>
    <t>-Lqkxi6gGcJdcgALLPXO</t>
  </si>
  <si>
    <t>1570632031592</t>
  </si>
  <si>
    <t>-LqkxjpciyiLaqpNwSZC</t>
  </si>
  <si>
    <t>1570632038653</t>
  </si>
  <si>
    <t>-LqkxlKs6gdAKy9krnd3</t>
  </si>
  <si>
    <t>1570632044748</t>
  </si>
  <si>
    <t>-LqkxmrRIM_9zflUoT40</t>
  </si>
  <si>
    <t>1570632050974</t>
  </si>
  <si>
    <t>-LqkxoLML-Ewk_zJ9rzM</t>
  </si>
  <si>
    <t>1570632057069</t>
  </si>
  <si>
    <t>-LqkxpryEVFh8uFpnQTP</t>
  </si>
  <si>
    <t>1570632063308</t>
  </si>
  <si>
    <t>-LqkxrXFXC49q1NopJUZ</t>
  </si>
  <si>
    <t>1570632070113</t>
  </si>
  <si>
    <t>-Lqkxt7gUI8BlLPbr2Lo</t>
  </si>
  <si>
    <t>1570632076675</t>
  </si>
  <si>
    <t>-LqkxucxJihzoFyLbhEG</t>
  </si>
  <si>
    <t>1570632082850</t>
  </si>
  <si>
    <t>-Lqkxw9RBQPOi_9bVA9A</t>
  </si>
  <si>
    <t>1570632089063</t>
  </si>
  <si>
    <t>-Lqkxxeg9KfJGZ41UVED</t>
  </si>
  <si>
    <t>1570632095243</t>
  </si>
  <si>
    <t>-Lqkxzcxm7cQBQF7wGg2</t>
  </si>
  <si>
    <t>1570632103298</t>
  </si>
  <si>
    <t>-Lqky0Bt9G04uZTw14rL</t>
  </si>
  <si>
    <t>1570632109708</t>
  </si>
  <si>
    <t>-Lqky1hG0DBzjQBAMb4p</t>
  </si>
  <si>
    <t>1570632115863</t>
  </si>
  <si>
    <t>-Lqky3SnJOYnueBRrqIJ</t>
  </si>
  <si>
    <t>1570632123070</t>
  </si>
  <si>
    <t>-Lqky4y5MBaSVWmRkbrk</t>
  </si>
  <si>
    <t>1570632129228</t>
  </si>
  <si>
    <t>-Lqky6VNM-a6hCutNyFq</t>
  </si>
  <si>
    <t>1570632135460</t>
  </si>
  <si>
    <t>-Lqky8EwA-ErmUNkAhMj</t>
  </si>
  <si>
    <t>1570632142675</t>
  </si>
  <si>
    <t>-Lqky9lSIER9ibVHIOrE</t>
  </si>
  <si>
    <t>1570632148828</t>
  </si>
  <si>
    <t>-LqkyBVhJrGWbGg5Ppvu</t>
  </si>
  <si>
    <t>1570632156034</t>
  </si>
  <si>
    <t>-LqkyD02ktxMsp81lYns</t>
  </si>
  <si>
    <t>1570632162190</t>
  </si>
  <si>
    <t>-LqkyEpCyvsgSvUWSRs-</t>
  </si>
  <si>
    <t>1570632168428</t>
  </si>
  <si>
    <t>-LqkyGY6FcUzFah5Pq1-</t>
  </si>
  <si>
    <t>1570632176670</t>
  </si>
  <si>
    <t>-LqkyIIdQhbK8xEUNhH-</t>
  </si>
  <si>
    <t>1570632183884</t>
  </si>
  <si>
    <t>-LqkyJnedkMbGVJoyawl</t>
  </si>
  <si>
    <t>1570632190028</t>
  </si>
  <si>
    <t>-LqkyLJMrslOEnstJj_o</t>
  </si>
  <si>
    <t>1570632196190</t>
  </si>
  <si>
    <t>-LqkyMpi5V11fSSSnSKR</t>
  </si>
  <si>
    <t>1570632202428</t>
  </si>
  <si>
    <t>-LqkyOMC9to6vzY6TKhB</t>
  </si>
  <si>
    <t>1570632208590</t>
  </si>
  <si>
    <t>-LqkyQ49BTqoka9rgctC</t>
  </si>
  <si>
    <t>1570632215763</t>
  </si>
  <si>
    <t>-LqkyRah3i36Gom7LGWh</t>
  </si>
  <si>
    <t>1570632221950</t>
  </si>
  <si>
    <t>-LqkyTRQPG3Su3hXRtEF</t>
  </si>
  <si>
    <t>1570632228190</t>
  </si>
  <si>
    <t>-LqkyV7wXKBxVUnTwJRR</t>
  </si>
  <si>
    <t>1570632236428</t>
  </si>
  <si>
    <t>-LqkyWd7sKBUJmIA7iNK</t>
  </si>
  <si>
    <t>1570632242582</t>
  </si>
  <si>
    <t>-LqkyYS73YBSARYJQl0d</t>
  </si>
  <si>
    <t>1570632248744</t>
  </si>
  <si>
    <t>-Lqky_ASk6BqXYUSPhDU</t>
  </si>
  <si>
    <t>1570632256988</t>
  </si>
  <si>
    <t>-LqkyaeTqimLYfzdo_TI</t>
  </si>
  <si>
    <t>1570632263160</t>
  </si>
  <si>
    <t>-Lqkyc9NYkYFvOWi5-9i</t>
  </si>
  <si>
    <t>1570632269338</t>
  </si>
  <si>
    <t>-LqkydgBh6Shw2RpOZKy</t>
  </si>
  <si>
    <t>1570632275548</t>
  </si>
  <si>
    <t>-LqkyfBRwwEdxi-PDU-l</t>
  </si>
  <si>
    <t>1570632281710</t>
  </si>
  <si>
    <t>-Lqkygi4_PByvJVkyoCj</t>
  </si>
  <si>
    <t>1570632287954</t>
  </si>
  <si>
    <t>-LqkyiDCs3uOD0E_OmFl</t>
  </si>
  <si>
    <t>1570632294093</t>
  </si>
  <si>
    <t>-LqkyjiRlzOGmFQNyO-d</t>
  </si>
  <si>
    <t>1570632300269</t>
  </si>
  <si>
    <t>-LqkylDhlGKMi4E0Dma0</t>
  </si>
  <si>
    <t>1570632306434</t>
  </si>
  <si>
    <t>-LqkymkMRzZdh4JeHg4K</t>
  </si>
  <si>
    <t>1570632312669</t>
  </si>
  <si>
    <t>-LqkyoFT1rqJubm45Mk9</t>
  </si>
  <si>
    <t>1570632318833</t>
  </si>
  <si>
    <t>-Lqkypka_ddPi1RF6xlx</t>
  </si>
  <si>
    <t>1570632324988</t>
  </si>
  <si>
    <t>-LqkyrIXqFA3Yg_Av3b1</t>
  </si>
  <si>
    <t>1570632331229</t>
  </si>
  <si>
    <t>-Lqkyt1lm_Sp8QZNpen1</t>
  </si>
  <si>
    <t>1570632338433</t>
  </si>
  <si>
    <t>-LqkyuXxtM0rTktVTE00</t>
  </si>
  <si>
    <t>1570632344588</t>
  </si>
  <si>
    <t>-Lqkyw39RWiVNNlOtxXy</t>
  </si>
  <si>
    <t>1570632350753</t>
  </si>
  <si>
    <t>-Lqkyx_w-0klrzugAxKZ</t>
  </si>
  <si>
    <t>1570632356909</t>
  </si>
  <si>
    <t>-LqkyzJxbvn8b2hYqZyB</t>
  </si>
  <si>
    <t>1570632364188</t>
  </si>
  <si>
    <t>-Lqkz-pbEWkUexb1nS4c</t>
  </si>
  <si>
    <t>1570632370349</t>
  </si>
  <si>
    <t>-Lqkz1Kc-d0Nh68NBQFv</t>
  </si>
  <si>
    <t>1570632376508</t>
  </si>
  <si>
    <t>-Lqkz35B7AG_8o2M0DtP</t>
  </si>
  <si>
    <t>1570632383713</t>
  </si>
  <si>
    <t>-Lqkz4bi1suvIlIDQq51</t>
  </si>
  <si>
    <t>1570632389949</t>
  </si>
  <si>
    <t>-Lqkz66wo1rorwl7F_63</t>
  </si>
  <si>
    <t>1570632396104</t>
  </si>
  <si>
    <t>-Lqkz7by1rekc5Bv94vp</t>
  </si>
  <si>
    <t>1570632402269</t>
  </si>
  <si>
    <t>-Lqkz98gHdRepOL6ENm1</t>
  </si>
  <si>
    <t>1570632408493</t>
  </si>
  <si>
    <t>-LqkzAszEG9miD_iPCBJ</t>
  </si>
  <si>
    <t>1570632414583</t>
  </si>
  <si>
    <t>-LqkzCQi2whjJyTBaAgX</t>
  </si>
  <si>
    <t>1570632421874</t>
  </si>
  <si>
    <t>-LqkzEA4XSBGFesWAjEE</t>
  </si>
  <si>
    <t>1570632429063</t>
  </si>
  <si>
    <t>-LqkzFfDXKOaDCMghG5N</t>
  </si>
  <si>
    <t>1570632435228</t>
  </si>
  <si>
    <t>-LqkzHCwoihWHFCV1_zw</t>
  </si>
  <si>
    <t>1570632441468</t>
  </si>
  <si>
    <t>-LqkzJDhWOb8mYJXt_Rm</t>
  </si>
  <si>
    <t>1570632449814</t>
  </si>
  <si>
    <t>-LqkzKxz5vkWmFLh6zWF</t>
  </si>
  <si>
    <t>1570632456909</t>
  </si>
  <si>
    <t>-LqkzMSwGwRMLHoBCWi9</t>
  </si>
  <si>
    <t>1570632463071</t>
  </si>
  <si>
    <t>-LqkzODODMJSf5Wo5Bc3</t>
  </si>
  <si>
    <t>1570632470271</t>
  </si>
  <si>
    <t>-LqkzPlS57OS8mbJKTX6</t>
  </si>
  <si>
    <t>1570632476491</t>
  </si>
  <si>
    <t>-LqkzRViMptk7TPnZzZQ</t>
  </si>
  <si>
    <t>1570632483716</t>
  </si>
  <si>
    <t>-LqkzT-lE4tf_g4nS3Rc</t>
  </si>
  <si>
    <t>1570632489866</t>
  </si>
  <si>
    <t>-LqkzUVy_vkw9Tu-Utxn</t>
  </si>
  <si>
    <t>1570632496035</t>
  </si>
  <si>
    <t>-LqkzW0SZXeJIMGwa_9z</t>
  </si>
  <si>
    <t>1570632502191</t>
  </si>
  <si>
    <t>-LqkzXXzvAaEu_YRS_Ud</t>
  </si>
  <si>
    <t>1570632508431</t>
  </si>
  <si>
    <t>-LqkzZIUEK8dmAjT4lAl</t>
  </si>
  <si>
    <t>1570632515631</t>
  </si>
  <si>
    <t>-LqkzaHjHH4G9La6Ox43</t>
  </si>
  <si>
    <t>1570632522831</t>
  </si>
  <si>
    <t>-LqkzboTJYlbIgPejkp2</t>
  </si>
  <si>
    <t>1570632530029</t>
  </si>
  <si>
    <t>-LqkzdKz_uC9kXvzUKQR</t>
  </si>
  <si>
    <t>1570632536255</t>
  </si>
  <si>
    <t>-LqkzeqENjF8_bspNqFk</t>
  </si>
  <si>
    <t>1570632542424</t>
  </si>
  <si>
    <t>-LqkzgLPYa7Iu7QfST64</t>
  </si>
  <si>
    <t>1570632548595</t>
  </si>
  <si>
    <t>-LqkzhveLgKxUKtcwbdQ</t>
  </si>
  <si>
    <t>1570632554749</t>
  </si>
  <si>
    <t>-LqkzjcUTff0luVRiI8Q</t>
  </si>
  <si>
    <t>1570632562011</t>
  </si>
  <si>
    <t>-LqkzlNsSZ8QvvIG-VZw</t>
  </si>
  <si>
    <t>1570632569230</t>
  </si>
  <si>
    <t>-LqkzmuDjg5jOI1ty89a</t>
  </si>
  <si>
    <t>1570632575386</t>
  </si>
  <si>
    <t>-Lqkzodj3lLdSems6oi-</t>
  </si>
  <si>
    <t>1570632582591</t>
  </si>
  <si>
    <t>-LqkzqBS9XXSMEAKjW_A</t>
  </si>
  <si>
    <t>1570632588756</t>
  </si>
  <si>
    <t>-LqkzrvcTY3DrOWeJyuh</t>
  </si>
  <si>
    <t>1570632596021</t>
  </si>
  <si>
    <t>-LqkztPcEDClXBgUjGG2</t>
  </si>
  <si>
    <t>1570632602116</t>
  </si>
  <si>
    <t>-LqkzuwCOz56KEHx_NCG</t>
  </si>
  <si>
    <t>1570632608344</t>
  </si>
  <si>
    <t>-LqkzwkZEN95yQsHfwip</t>
  </si>
  <si>
    <t>1570632614509</t>
  </si>
  <si>
    <t>-LqkzySGem5CdjfFK_3L</t>
  </si>
  <si>
    <t>1570632622750</t>
  </si>
  <si>
    <t>-Lql--1gVmq6ZS9Pu7VT</t>
  </si>
  <si>
    <t>1570632628990</t>
  </si>
  <si>
    <t>-Lql-0jE7tYjugXQ87da</t>
  </si>
  <si>
    <t>1570632636189</t>
  </si>
  <si>
    <t>-Lql-2EEAF0TDKAhTzF2</t>
  </si>
  <si>
    <t>1570632642350</t>
  </si>
  <si>
    <t>-Lql-3jjgGMfeAiLEA5g</t>
  </si>
  <si>
    <t>1570632648514</t>
  </si>
  <si>
    <t>-Lql-5GCGzlXMp60z3Z7</t>
  </si>
  <si>
    <t>1570632654744</t>
  </si>
  <si>
    <t>-Lql-70ifOW8MaTyJIz3</t>
  </si>
  <si>
    <t>1570632661947</t>
  </si>
  <si>
    <t>-Lql-8mAQo1h7Y3W5lod</t>
  </si>
  <si>
    <t>1570632668110</t>
  </si>
  <si>
    <t>-Lql-AHSPnUN1fRZ_Slq</t>
  </si>
  <si>
    <t>1570632675309</t>
  </si>
  <si>
    <t>-Lql-Bnho08HIrUpizrQ</t>
  </si>
  <si>
    <t>1570632681533</t>
  </si>
  <si>
    <t>-Lql-DKQ-8gPwu8Bjf18</t>
  </si>
  <si>
    <t>1570632687716</t>
  </si>
  <si>
    <t>-Lql-F3f1Vx6AgO2LXHa</t>
  </si>
  <si>
    <t>1570632694908</t>
  </si>
  <si>
    <t>-Lql-GbRBIzqJXWm9d9S</t>
  </si>
  <si>
    <t>1570632701068</t>
  </si>
  <si>
    <t>-Lql-IKPG3uVV9dZ4yiA</t>
  </si>
  <si>
    <t>1570632708271</t>
  </si>
  <si>
    <t>-Lql-JqwdQf4BvpXNUCp</t>
  </si>
  <si>
    <t>1570632714503</t>
  </si>
  <si>
    <t>-Lql-LlPpGT52Cpaupv9</t>
  </si>
  <si>
    <t>1570632722217</t>
  </si>
  <si>
    <t>-Lql-NMz9Hlsn-YDbtpO</t>
  </si>
  <si>
    <t>1570632728916</t>
  </si>
  <si>
    <t>-Lql-OsNORWlW0i4O-Xd</t>
  </si>
  <si>
    <t>1570632735066</t>
  </si>
  <si>
    <t>-Lql-QObg4JmCSEoaivJ</t>
  </si>
  <si>
    <t>1570632741293</t>
  </si>
  <si>
    <t>-Lql-RseYaWaufQUE24H</t>
  </si>
  <si>
    <t>1570632747461</t>
  </si>
  <si>
    <t>-Lql-TcWnyCaXMSrZny1</t>
  </si>
  <si>
    <t>1570632753627</t>
  </si>
  <si>
    <t>-Lql-VPyTqB_6_z9zdmO</t>
  </si>
  <si>
    <t>1570632761866</t>
  </si>
  <si>
    <t>-Lql-WvCLQ489-rdDvpP</t>
  </si>
  <si>
    <t>1570632768028</t>
  </si>
  <si>
    <t>-Lql-YRgh9RYPm1HJJMf</t>
  </si>
  <si>
    <t>1570632774266</t>
  </si>
  <si>
    <t>-Lql-ZwwnqO-OJxg73Rk</t>
  </si>
  <si>
    <t>1570632780427</t>
  </si>
  <si>
    <t>-Lql-aSEm2zxb3TT0zWO</t>
  </si>
  <si>
    <t>1570632786587</t>
  </si>
  <si>
    <t>-Lql-byNK1EoqT58Ud8i</t>
  </si>
  <si>
    <t>1570632792813</t>
  </si>
  <si>
    <t>-Lql-dTyeMEYTDz3cLRn</t>
  </si>
  <si>
    <t>1570632798983</t>
  </si>
  <si>
    <t>-Lql-ez4tfxnUpeAiQQg</t>
  </si>
  <si>
    <t>1570632805136</t>
  </si>
  <si>
    <t>-Lql-gTLy4LNi5lUeTZN</t>
  </si>
  <si>
    <t>1570632811308</t>
  </si>
  <si>
    <t>-Lql-i-p5Ix362dOeCeX</t>
  </si>
  <si>
    <t>1570632817548</t>
  </si>
  <si>
    <t>-Lql-jqR1hl4BF32G9TP</t>
  </si>
  <si>
    <t>1570632823706</t>
  </si>
  <si>
    <t>-Lql-lVqdeIMNmOtFYVC</t>
  </si>
  <si>
    <t>1570632832011</t>
  </si>
  <si>
    <t>-Lql-n2CQPw0KfN8Ib77</t>
  </si>
  <si>
    <t>1570632838106</t>
  </si>
  <si>
    <t>-Lql-oW610Po2FeFnbdE</t>
  </si>
  <si>
    <t>1570632844267</t>
  </si>
  <si>
    <t>-Lql-q2uAm03CcdxvKQ2</t>
  </si>
  <si>
    <t>1570632850506</t>
  </si>
  <si>
    <t>-Lql-rXvH_4GxgyGQK9s</t>
  </si>
  <si>
    <t>1570632856652</t>
  </si>
  <si>
    <t>-Lql-t3P9KEjYpZhSlHU</t>
  </si>
  <si>
    <t>1570632862828</t>
  </si>
  <si>
    <t>-Lql-ubBYAgplb4rgopk</t>
  </si>
  <si>
    <t>1570632869063</t>
  </si>
  <si>
    <t>-Lql-wLQabOQb2YmXA9j</t>
  </si>
  <si>
    <t>1570632876274</t>
  </si>
  <si>
    <t>-Lql-yBDUt4gJOK9kFV1</t>
  </si>
  <si>
    <t>1570632882491</t>
  </si>
  <si>
    <t>-Lql-zrUFV18ef0nHecR</t>
  </si>
  <si>
    <t>1570632890670</t>
  </si>
  <si>
    <t>-Lql00MQyenpXAyET0g_</t>
  </si>
  <si>
    <t>1570632896837</t>
  </si>
  <si>
    <t>-Lql01tDGJYoQ14Og2yA</t>
  </si>
  <si>
    <t>1570632903070</t>
  </si>
  <si>
    <t>-Lql03R4vlD6GFj3NlY-</t>
  </si>
  <si>
    <t>1570632909376</t>
  </si>
  <si>
    <t>-Lql058yRI1XqKixUuna</t>
  </si>
  <si>
    <t>1570632916430</t>
  </si>
  <si>
    <t>-Lql06eExNMQc8PuXxKA</t>
  </si>
  <si>
    <t>1570632922592</t>
  </si>
  <si>
    <t>-Lql089TN4dNiLBLOjeD</t>
  </si>
  <si>
    <t>1570632928777</t>
  </si>
  <si>
    <t>-Lql09ftRWjsPzVJMbuM</t>
  </si>
  <si>
    <t>1570632934997</t>
  </si>
  <si>
    <t>-Lql0BBDDX-r4mJfmidc</t>
  </si>
  <si>
    <t>1570632941155</t>
  </si>
  <si>
    <t>-Lql0D0k7bL1AICqzoaH</t>
  </si>
  <si>
    <t>1570632948672</t>
  </si>
  <si>
    <t>-Lql0F3z2qEITc4IRDsm</t>
  </si>
  <si>
    <t>1570632957099</t>
  </si>
  <si>
    <t>-Lql0Gj9LHxxgNkKfzKr</t>
  </si>
  <si>
    <t>1570632963865</t>
  </si>
  <si>
    <t>-Lql0IETygiKZ2aVfJMy</t>
  </si>
  <si>
    <t>1570632970036</t>
  </si>
  <si>
    <t>-Lql0JjjFalON6RBAmeL</t>
  </si>
  <si>
    <t>1570632976190</t>
  </si>
  <si>
    <t>-Lql0LGqICpmaiuILO3F</t>
  </si>
  <si>
    <t>1570632982352</t>
  </si>
  <si>
    <t>-Lql0N0oEowPNZ-cXQ7J</t>
  </si>
  <si>
    <t>1570632988511</t>
  </si>
  <si>
    <t>-Lql0OWz7AX_dVh91869</t>
  </si>
  <si>
    <t>1570632995790</t>
  </si>
  <si>
    <t>-Lql0Q0vQULpe-PKcowT</t>
  </si>
  <si>
    <t>1570633001953</t>
  </si>
  <si>
    <t>-Lql0RXYLKxmGXmbYEKb</t>
  </si>
  <si>
    <t>1570633008116</t>
  </si>
  <si>
    <t>-Lql0T32zniBeisVL878</t>
  </si>
  <si>
    <t>1570633014365</t>
  </si>
  <si>
    <t>-Lql0UYv65X8N-__cSLP</t>
  </si>
  <si>
    <t>1570633020513</t>
  </si>
  <si>
    <t>-Lql0W2DTJAXTwBX_xL0</t>
  </si>
  <si>
    <t>1570633026665</t>
  </si>
  <si>
    <t>-Lql0X_zfCwlqz6KU3s5</t>
  </si>
  <si>
    <t>1570633032901</t>
  </si>
  <si>
    <t>-Lql0Z5D_fk-eB09w_tX</t>
  </si>
  <si>
    <t>1570633039065</t>
  </si>
  <si>
    <t>-Lql0_aJopjllwIcyhLg</t>
  </si>
  <si>
    <t>1570633045235</t>
  </si>
  <si>
    <t>-Lql0b5eRE6po3-kPtUP</t>
  </si>
  <si>
    <t>1570633051394</t>
  </si>
  <si>
    <t>-Lql0ccE0TYKWbCiCbH2</t>
  </si>
  <si>
    <t>1570633057630</t>
  </si>
  <si>
    <t>-Lql0e7TkfKFnVl-e-Dg</t>
  </si>
  <si>
    <t>1570633063791</t>
  </si>
  <si>
    <t>-Lql0fcistyXs0gGZuZ3</t>
  </si>
  <si>
    <t>1570633069954</t>
  </si>
  <si>
    <t>-Lql0h9D5k3ca1Iq5nj4</t>
  </si>
  <si>
    <t>1570633076176</t>
  </si>
  <si>
    <t>-Lql0idEySpqa_mbGNnb</t>
  </si>
  <si>
    <t>1570633082277</t>
  </si>
  <si>
    <t>-Lql0kAyhNHsAaNCAXrV</t>
  </si>
  <si>
    <t>1570633088512</t>
  </si>
  <si>
    <t>-Lql0mKGGi6BTGQ7F8b_</t>
  </si>
  <si>
    <t>1570633097015</t>
  </si>
  <si>
    <t>-Lql0oCXXENS-nde3hu4</t>
  </si>
  <si>
    <t>1570633105084</t>
  </si>
  <si>
    <t>-Lql0pxymOuvhBlOKZ_2</t>
  </si>
  <si>
    <t>1570633112184</t>
  </si>
  <si>
    <t>-Lql0rRidGwm6-zKqz4u</t>
  </si>
  <si>
    <t>1570633118354</t>
  </si>
  <si>
    <t>-Lql0syCOH6IEs6nsv9J</t>
  </si>
  <si>
    <t>1570633124590</t>
  </si>
  <si>
    <t>-Lql0ulTSX4dFslrbi3A</t>
  </si>
  <si>
    <t>1570633132037</t>
  </si>
  <si>
    <t>-Lql0wX1IAGAXV9cSueZ</t>
  </si>
  <si>
    <t>1570633138989</t>
  </si>
  <si>
    <t>-Lql0yEz_ekM-kpn6DGy</t>
  </si>
  <si>
    <t>1570633146190</t>
  </si>
  <si>
    <t>-Lql0zl9KA7KcN1y2JFd</t>
  </si>
  <si>
    <t>1570633152425</t>
  </si>
  <si>
    <t>-Lql10GqfqIDsPl3fGWS</t>
  </si>
  <si>
    <t>1570633158590</t>
  </si>
  <si>
    <t>-Lql11ly2WBeKQSgeZdx</t>
  </si>
  <si>
    <t>1570633164749</t>
  </si>
  <si>
    <t>-Lql13HDwP87Ifj2Tfek</t>
  </si>
  <si>
    <t>1570633170928</t>
  </si>
  <si>
    <t>-Lql14mXb2P1S1Cldwez</t>
  </si>
  <si>
    <t>1570633177149</t>
  </si>
  <si>
    <t>-Lql16IwX0EnTUf1jBHI</t>
  </si>
  <si>
    <t>1570633183310</t>
  </si>
  <si>
    <t>-Lql17oBHk0O7lB5M2VP</t>
  </si>
  <si>
    <t>1570633189458</t>
  </si>
  <si>
    <t>-Lql19JChv9OPearJBSG</t>
  </si>
  <si>
    <t>1570633195694</t>
  </si>
  <si>
    <t>-Lql1ApxLkPldQQUSrRE</t>
  </si>
  <si>
    <t>1570633201870</t>
  </si>
  <si>
    <t>-Lql1CL62kdzky_R6SlV</t>
  </si>
  <si>
    <t>1570633208029</t>
  </si>
  <si>
    <t>-Lql1DqScUbaQbyh9jFk</t>
  </si>
  <si>
    <t>1570633214194</t>
  </si>
  <si>
    <t>-Lql1FN0r1DWmleRSPkt</t>
  </si>
  <si>
    <t>1570633220429</t>
  </si>
  <si>
    <t>-Lql1GsD4hXWFdKhBp2U</t>
  </si>
  <si>
    <t>1570633226591</t>
  </si>
  <si>
    <t>-Lql1IYuK-P4iK0sArNJ</t>
  </si>
  <si>
    <t>1570633232749</t>
  </si>
  <si>
    <t>-Lql1K9CL_QBEJ6txiUR</t>
  </si>
  <si>
    <t>1570633240094</t>
  </si>
  <si>
    <t>-Lql1Ld_YVqXbz6RtYOL</t>
  </si>
  <si>
    <t>1570633246119</t>
  </si>
  <si>
    <t>-Lql1N9jTdWp4sVjLOAe</t>
  </si>
  <si>
    <t>1570633252349</t>
  </si>
  <si>
    <t>-Lql1OgDJd1BuKlhgYJ3</t>
  </si>
  <si>
    <t>1570633258509</t>
  </si>
  <si>
    <t>-Lql1QADQo6Qnd_ACTPi</t>
  </si>
  <si>
    <t>1570633264674</t>
  </si>
  <si>
    <t>-Lql1Rhz5UiyF6DwhyBa</t>
  </si>
  <si>
    <t>1570633270905</t>
  </si>
  <si>
    <t>-Lql1UsKugr1xwDMQAlm</t>
  </si>
  <si>
    <t>1570633284024</t>
  </si>
  <si>
    <t>-Lql1WSLSYdNp0zjAPev</t>
  </si>
  <si>
    <t>1570633290432</t>
  </si>
  <si>
    <t>-Lql1XxfRlLp1sczSI3q</t>
  </si>
  <si>
    <t>1570633296609</t>
  </si>
  <si>
    <t>-Lql1ZUOoDwuz3L6XB55</t>
  </si>
  <si>
    <t>1570633302822</t>
  </si>
  <si>
    <t>-Lql1aWP_5VgsLsY_B2e</t>
  </si>
  <si>
    <t>1570633310945</t>
  </si>
  <si>
    <t>-Lql1cFdPlGUyz6YzXkR</t>
  </si>
  <si>
    <t>1570633318265</t>
  </si>
  <si>
    <t>-Lql1e0AWfUV0BjtC6lt</t>
  </si>
  <si>
    <t>1570633325474</t>
  </si>
  <si>
    <t>-Lql1fYKxfDQbzJu1Nhf</t>
  </si>
  <si>
    <t>1570633331627</t>
  </si>
  <si>
    <t>-Lql1h0d3YqMPWff3Hdk</t>
  </si>
  <si>
    <t>1570633337864</t>
  </si>
  <si>
    <t>-Lql1iY8uZfmtJIyxg4A</t>
  </si>
  <si>
    <t>1570633344028</t>
  </si>
  <si>
    <t>-Lql1k2P8cl2cuoq_dOa</t>
  </si>
  <si>
    <t>1570633350191</t>
  </si>
  <si>
    <t>-Lql1lYcxRinBkPlyI_e</t>
  </si>
  <si>
    <t>1570633356424</t>
  </si>
  <si>
    <t>-Lql1n2t9Z3qXYaaVDEG</t>
  </si>
  <si>
    <t>1570633362586</t>
  </si>
  <si>
    <t>-Lql1o_OkZB3_e3lguz-</t>
  </si>
  <si>
    <t>1570633368746</t>
  </si>
  <si>
    <t>-Lql1q4cP7f6GxAMu2Cd</t>
  </si>
  <si>
    <t>1570633374969</t>
  </si>
  <si>
    <t>-Lql1rb7XpAu3K4uPQOp</t>
  </si>
  <si>
    <t>1570633381141</t>
  </si>
  <si>
    <t>-Lql1t6PpDiB6jc40cQ5</t>
  </si>
  <si>
    <t>1570633387304</t>
  </si>
  <si>
    <t>-Lql1uaKpL8W_psOBG4i</t>
  </si>
  <si>
    <t>1570633393465</t>
  </si>
  <si>
    <t>-Lql1wLtuzN6QB9rPs20</t>
  </si>
  <si>
    <t>1570633399704</t>
  </si>
  <si>
    <t>-Lql1xtdJiTgZHiBDQqd</t>
  </si>
  <si>
    <t>1570633406908</t>
  </si>
  <si>
    <t>-Lql1zOv1aEYYH9aZInz</t>
  </si>
  <si>
    <t>1570633413065</t>
  </si>
  <si>
    <t>-Lql2-u9pnCk1TEpbiNW</t>
  </si>
  <si>
    <t>1570633419221</t>
  </si>
  <si>
    <t>-Lql21Q_gt6Pfkc1H3CC</t>
  </si>
  <si>
    <t>1570633425466</t>
  </si>
  <si>
    <t>-Lql22ucYQkNe7ytzufe</t>
  </si>
  <si>
    <t>1570633431611</t>
  </si>
  <si>
    <t>-Lql24SNM3w6vKOW5meT</t>
  </si>
  <si>
    <t>1570633437793</t>
  </si>
  <si>
    <t>-Lql26BdJROKFjj1jak8</t>
  </si>
  <si>
    <t>1570633444986</t>
  </si>
  <si>
    <t>-Lql27gsWzj8xH58YVQw</t>
  </si>
  <si>
    <t>1570633451211</t>
  </si>
  <si>
    <t>-Lql29CBokKitbpYvqkW</t>
  </si>
  <si>
    <t>1570633457341</t>
  </si>
  <si>
    <t>-Lql2Aidni_O5_fH8Dy6</t>
  </si>
  <si>
    <t>1570633463547</t>
  </si>
  <si>
    <t>-Lql2CGPHEz4gpejikVK</t>
  </si>
  <si>
    <t>1570633469706</t>
  </si>
  <si>
    <t>-Lql2E-eA8Ir3FHVfmeB</t>
  </si>
  <si>
    <t>1570633476980</t>
  </si>
  <si>
    <t>-Lql2FVu9E3B4-LWglyn</t>
  </si>
  <si>
    <t>1570633483146</t>
  </si>
  <si>
    <t>-Lql2H04CKf719L4pHLT</t>
  </si>
  <si>
    <t>1570633489306</t>
  </si>
  <si>
    <t>-Lql2InErRPO9HsTWlR3</t>
  </si>
  <si>
    <t>1570633495460</t>
  </si>
  <si>
    <t>-Lql2KYRoALFM_9tbHte</t>
  </si>
  <si>
    <t>1570633503708</t>
  </si>
  <si>
    <t>-Lql2M1QkIJonOz9A7-F</t>
  </si>
  <si>
    <t>1570633509868</t>
  </si>
  <si>
    <t>-Lql2N_CJUYlrfGDm5qT</t>
  </si>
  <si>
    <t>1570633516109</t>
  </si>
  <si>
    <t>-Lql2PJBYrtd7ibWY-wq</t>
  </si>
  <si>
    <t>1570633523307</t>
  </si>
  <si>
    <t>-Lql2R4wfHh2GYuZRV1z</t>
  </si>
  <si>
    <t>1570633529468</t>
  </si>
  <si>
    <t>-Lql2S_9EkvVZCMiLvOL</t>
  </si>
  <si>
    <t>1570633536675</t>
  </si>
  <si>
    <t>-Lql2U4Q6-lD4B7SfIPq</t>
  </si>
  <si>
    <t>1570633542857</t>
  </si>
  <si>
    <t>-Lql2Vah5VlmcwB1oOh6</t>
  </si>
  <si>
    <t>1570633549054</t>
  </si>
  <si>
    <t>-Lql2X8g53lYdSRqg1C6</t>
  </si>
  <si>
    <t>1570633555232</t>
  </si>
  <si>
    <t>-Lql2Z2ajPe-CN5OhuRP</t>
  </si>
  <si>
    <t>1570633562480</t>
  </si>
  <si>
    <t>-Lql2_dQIK9nCJALaJwm</t>
  </si>
  <si>
    <t>1570633569707</t>
  </si>
  <si>
    <t>-Lql2b9v-A8kWKpZi6Rw</t>
  </si>
  <si>
    <t>1570633575868</t>
  </si>
  <si>
    <t>-Lql2cuCfL1XLFe68CPZ</t>
  </si>
  <si>
    <t>1570633583066</t>
  </si>
  <si>
    <t>-Lql2eQSxYX5agQ06vjx</t>
  </si>
  <si>
    <t>1570633589222</t>
  </si>
  <si>
    <t>-Lql2gDeUmaJ7YXaPV9V</t>
  </si>
  <si>
    <t>1570633595463</t>
  </si>
  <si>
    <t>-Lql2hvKhsi9NtzT6QxV</t>
  </si>
  <si>
    <t>1570633603646</t>
  </si>
  <si>
    <t>-Lql2jS0joOSI-0nuOgL</t>
  </si>
  <si>
    <t>1570633609863</t>
  </si>
  <si>
    <t>-Lql2kx9guEV0QSbMeIg</t>
  </si>
  <si>
    <t>1570633616028</t>
  </si>
  <si>
    <t>-Lql2mSADGkxT2IY1R-W</t>
  </si>
  <si>
    <t>1570633622191</t>
  </si>
  <si>
    <t>-Lql2nywU2Kt5md8-S8w</t>
  </si>
  <si>
    <t>1570633628431</t>
  </si>
  <si>
    <t>-Lql2pSv3wy3umN8xuvq</t>
  </si>
  <si>
    <t>1570633634573</t>
  </si>
  <si>
    <t>-Lql2qz1vRtp7LMGqFU9</t>
  </si>
  <si>
    <t>1570633640747</t>
  </si>
  <si>
    <t>-Lql2sVvbJjEozOkPzFY</t>
  </si>
  <si>
    <t>1570633646973</t>
  </si>
  <si>
    <t>-Lql2u1BMWPHhJRjuptU</t>
  </si>
  <si>
    <t>1570633653087</t>
  </si>
  <si>
    <t>-Lql2vlfXYsxRNgBtvqd</t>
  </si>
  <si>
    <t>1570633660347</t>
  </si>
  <si>
    <t>-Lql2xPe0rdvHL3h8ACe</t>
  </si>
  <si>
    <t>1570633667112</t>
  </si>
  <si>
    <t>-Lql2z1R462Lv34tNe4x</t>
  </si>
  <si>
    <t>1570633673707</t>
  </si>
  <si>
    <t>-Lql3-YwcwT7icLLqHAw</t>
  </si>
  <si>
    <t>1570633679947</t>
  </si>
  <si>
    <t>-Lql314QCZ7CxYcaxbeP</t>
  </si>
  <si>
    <t>1570633686107</t>
  </si>
  <si>
    <t>-Lql32nR6NYvA5q5CtNu</t>
  </si>
  <si>
    <t>1570633693305</t>
  </si>
  <si>
    <t>-Lql34Jw8vQdcvLrH3xr</t>
  </si>
  <si>
    <t>1570633699468</t>
  </si>
  <si>
    <t>-Lql35zBdxRHwXXOLACQ</t>
  </si>
  <si>
    <t>1570633706285</t>
  </si>
  <si>
    <t>-Lql37ayAFWqqLL4-zOj</t>
  </si>
  <si>
    <t>1570633712908</t>
  </si>
  <si>
    <t>-Lql39OzaBmB2mZ1LBu_</t>
  </si>
  <si>
    <t>1570633720286</t>
  </si>
  <si>
    <t>-Lql3B9SjOTn2fnK-HFC</t>
  </si>
  <si>
    <t>1570633727311</t>
  </si>
  <si>
    <t>-Lql3CsTiiOJ_tx4Jw5X</t>
  </si>
  <si>
    <t>1570633734506</t>
  </si>
  <si>
    <t>-Lql3ENjDD7pAaKfNKTv</t>
  </si>
  <si>
    <t>1570633740686</t>
  </si>
  <si>
    <t>-Lql3FuDKFQjtuZfcPWI</t>
  </si>
  <si>
    <t>1570633746909</t>
  </si>
  <si>
    <t>-Lql3HPTGVmxX3kbJfPT</t>
  </si>
  <si>
    <t>1570633753070</t>
  </si>
  <si>
    <t>-Lql3IxJu1IbO8lOQH5U</t>
  </si>
  <si>
    <t>1570633759231</t>
  </si>
  <si>
    <t>-Lql3KgUrusOnGRH72mZ</t>
  </si>
  <si>
    <t>1570633766509</t>
  </si>
  <si>
    <t>-Lql3MBjFFAzMl9P2Ftc</t>
  </si>
  <si>
    <t>1570633772670</t>
  </si>
  <si>
    <t>-Lql3NgyVcOtM6nFw3yF</t>
  </si>
  <si>
    <t>1570633778831</t>
  </si>
  <si>
    <t>-Lql3PCDvjK25XHEYZKm</t>
  </si>
  <si>
    <t>1570633784996</t>
  </si>
  <si>
    <t>-Lql3Qihn8-_pY6sO5N-</t>
  </si>
  <si>
    <t>1570633791231</t>
  </si>
  <si>
    <t>-Lql3SChj212oZ2B1P0S</t>
  </si>
  <si>
    <t>1570633797394</t>
  </si>
  <si>
    <t>-Lql3ThxrLUjm1COw2W_</t>
  </si>
  <si>
    <t>1570633803549</t>
  </si>
  <si>
    <t>-Lql3VFc5Fs20hHuWzoI</t>
  </si>
  <si>
    <t>1570633809775</t>
  </si>
  <si>
    <t>-Lql3X3mG6mAuSfSrTTx</t>
  </si>
  <si>
    <t>1570633815946</t>
  </si>
  <si>
    <t>-Lql3YlhNcVFZtX8dw5k</t>
  </si>
  <si>
    <t>1570633824189</t>
  </si>
  <si>
    <t>-Lql3_GxyjJV7adNFhJ3</t>
  </si>
  <si>
    <t>1570633830351</t>
  </si>
  <si>
    <t>-Lql3amCujc0ApFxVtHb</t>
  </si>
  <si>
    <t>1570633836510</t>
  </si>
  <si>
    <t>-Lql3cIht0UiA68ef7EQ</t>
  </si>
  <si>
    <t>1570633842750</t>
  </si>
  <si>
    <t>-Lql3dpDLnGgpJmUS_C4</t>
  </si>
  <si>
    <t>1570633848911</t>
  </si>
  <si>
    <t>-Lql3fZVmUFVGfvdKtcT</t>
  </si>
  <si>
    <t>1570633856111</t>
  </si>
  <si>
    <t>-Lql3hIojrTW3V4QxYWC</t>
  </si>
  <si>
    <t>1570633863311</t>
  </si>
  <si>
    <t>-Lql3ipE0qDvyg_7eFhh</t>
  </si>
  <si>
    <t>1570633869477</t>
  </si>
  <si>
    <t>-Lql3kLrFkjWnVB2VycY</t>
  </si>
  <si>
    <t>1570633875710</t>
  </si>
  <si>
    <t>-Lql3lqyYo7ESHcKbBST</t>
  </si>
  <si>
    <t>1570633881869</t>
  </si>
  <si>
    <t>-Lql3nMEJ3aqcfb2OaWt</t>
  </si>
  <si>
    <t>1570633888032</t>
  </si>
  <si>
    <t>-Lql3otiL7gvinS7X4iQ</t>
  </si>
  <si>
    <t>1570633894254</t>
  </si>
  <si>
    <t>-Lql3qeTBAH-K_v7JGS0</t>
  </si>
  <si>
    <t>1570633901464</t>
  </si>
  <si>
    <t>-Lql3sOiHyvALHe02wuJ</t>
  </si>
  <si>
    <t>1570633908665</t>
  </si>
  <si>
    <t>-Lql3u9D0PxJQQqcpbS0</t>
  </si>
  <si>
    <t>1570633915864</t>
  </si>
  <si>
    <t>-Lql3vuhHGN72HcMz4dD</t>
  </si>
  <si>
    <t>1570633923069</t>
  </si>
  <si>
    <t>-Lql3xPxArjG4ch0v3kx</t>
  </si>
  <si>
    <t>1570633929235</t>
  </si>
  <si>
    <t>-Lql42wTt2CBMBohB92m</t>
  </si>
  <si>
    <t>1570633956031</t>
  </si>
  <si>
    <t>-Lql44aYHFOS2A_J1jWm</t>
  </si>
  <si>
    <t>1570633962753</t>
  </si>
  <si>
    <t>-Lql465sT6aKWrPM7wE_</t>
  </si>
  <si>
    <t>1570633968944</t>
  </si>
  <si>
    <t>-Lql47cLR4SXHjnEQTbs</t>
  </si>
  <si>
    <t>1570633975144</t>
  </si>
  <si>
    <t>-Lql497eAchuLkLE8ps0</t>
  </si>
  <si>
    <t>1570633981302</t>
  </si>
  <si>
    <t>-Lql4Ae5j0EnHMaTJCNC</t>
  </si>
  <si>
    <t>1570633987544</t>
  </si>
  <si>
    <t>-Lql4C9LcBYeMf7mhzFL</t>
  </si>
  <si>
    <t>1570633993705</t>
  </si>
  <si>
    <t>-Lql4DeaB7z85w2vTegU</t>
  </si>
  <si>
    <t>1570633999859</t>
  </si>
  <si>
    <t>-Lql4FB5T_nD3GNZwbCe</t>
  </si>
  <si>
    <t>1570634006088</t>
  </si>
  <si>
    <t>-Lql4Gf7uC3UpZTn7kq6</t>
  </si>
  <si>
    <t>1570634012184</t>
  </si>
  <si>
    <t>-Lql4IBaW3I_c-ASFOAY</t>
  </si>
  <si>
    <t>1570634018423</t>
  </si>
  <si>
    <t>-Lql4Jgsfia7SPuVUzsu</t>
  </si>
  <si>
    <t>1570634024582</t>
  </si>
  <si>
    <t>-Lql4LC6bq2-YEZPS7XO</t>
  </si>
  <si>
    <t>1570634030803</t>
  </si>
  <si>
    <t>-Lql4MibqTz-Hi7dgrDe</t>
  </si>
  <si>
    <t>1570634036984</t>
  </si>
  <si>
    <t>-Lql4OC7tdshwL9vT9W2</t>
  </si>
  <si>
    <t>1570634043147</t>
  </si>
  <si>
    <t>-Lql4Pj6-zIjiRw_zWTI</t>
  </si>
  <si>
    <t>1570634049302</t>
  </si>
  <si>
    <t>-Lql4RFczEaOqSFo0jS0</t>
  </si>
  <si>
    <t>1570634055542</t>
  </si>
  <si>
    <t>-Lql4SjbUV3PcaUepTvz</t>
  </si>
  <si>
    <t>1570634061703</t>
  </si>
  <si>
    <t>-Lql4UG9Gnl6jvQW6aET</t>
  </si>
  <si>
    <t>1570634067863</t>
  </si>
  <si>
    <t>-Lql4VlNkC5DdliOaKFc</t>
  </si>
  <si>
    <t>1570634074036</t>
  </si>
  <si>
    <t>-Lql4XHb2gtf3FJTnrZo</t>
  </si>
  <si>
    <t>1570634080293</t>
  </si>
  <si>
    <t>-Lql4Yn5bEchPkn7cJgE</t>
  </si>
  <si>
    <t>1570634086423</t>
  </si>
  <si>
    <t>-Lql4_IPaH9TGvLr4Ywm</t>
  </si>
  <si>
    <t>1570634092582</t>
  </si>
  <si>
    <t>-Lql4aorhBCQImi2AjSI</t>
  </si>
  <si>
    <t>1570634098825</t>
  </si>
  <si>
    <t>-Lql4cLMTs6XJGyM0OlB</t>
  </si>
  <si>
    <t>1570634104986</t>
  </si>
  <si>
    <t>-Lql4e3Sy37zpNYk8tdc</t>
  </si>
  <si>
    <t>1570634112179</t>
  </si>
  <si>
    <t>-Lql4f_r2F-LQYuexBfk</t>
  </si>
  <si>
    <t>1570634118343</t>
  </si>
  <si>
    <t>-Lql4h6LDa4-kpvRErhp</t>
  </si>
  <si>
    <t>1570634124582</t>
  </si>
  <si>
    <t>-Lql4ibakUi9OcP8azXT</t>
  </si>
  <si>
    <t>1570634130744</t>
  </si>
  <si>
    <t>-Lql4kEQowxKnVEEfjaQ</t>
  </si>
  <si>
    <t>1570634137375</t>
  </si>
  <si>
    <t>-Lql4lsL4mF72WzeJ07A</t>
  </si>
  <si>
    <t>1570634144120</t>
  </si>
  <si>
    <t>-Lql4nOsg3kSC0Bo260n</t>
  </si>
  <si>
    <t>1570634150344</t>
  </si>
  <si>
    <t>-Lql4ouBeBHWaPp-jXyU</t>
  </si>
  <si>
    <t>1570634156507</t>
  </si>
  <si>
    <t>-Lql4qfu8oh-4K5xULFr</t>
  </si>
  <si>
    <t>1570634162665</t>
  </si>
  <si>
    <t>-Lql4sQ8e7cSLqfTw0xZ</t>
  </si>
  <si>
    <t>1570634170904</t>
  </si>
  <si>
    <t>-Lql4tvNmmP6Eu106-0W</t>
  </si>
  <si>
    <t>1570634177068</t>
  </si>
  <si>
    <t>-Lql4vRs1xZIaSmTyzNs</t>
  </si>
  <si>
    <t>1570634183303</t>
  </si>
  <si>
    <t>-Lql4wx8-9NlNVS_mQiX</t>
  </si>
  <si>
    <t>1570634189463</t>
  </si>
  <si>
    <t>-Lql4ySMmxdAnlEXUj9s</t>
  </si>
  <si>
    <t>1570634195624</t>
  </si>
  <si>
    <t>-Lql4zysq2p-MyiC8edo</t>
  </si>
  <si>
    <t>1570634201860</t>
  </si>
  <si>
    <t>-Lql50U6sB-TVrl7EXnu</t>
  </si>
  <si>
    <t>1570634208028</t>
  </si>
  <si>
    <t>-Lql51zNmuoYlbRQcaHO</t>
  </si>
  <si>
    <t>1570634214183</t>
  </si>
  <si>
    <t>-Lql53VsJLPSwPqNs5Dz</t>
  </si>
  <si>
    <t>1570634220408</t>
  </si>
  <si>
    <t>-Lql55GLPBc420wAOOtC</t>
  </si>
  <si>
    <t>1570634227619</t>
  </si>
  <si>
    <t>-Lql56lcUw1Tb-o4hC8i</t>
  </si>
  <si>
    <t>1570634233779</t>
  </si>
  <si>
    <t>-Lql58idRR1vPlijYTC0</t>
  </si>
  <si>
    <t>1570634239942</t>
  </si>
  <si>
    <t>-Lql5AHYOx3c_WJZJ3aH</t>
  </si>
  <si>
    <t>1570634248183</t>
  </si>
  <si>
    <t>-Lql5Bms6jFWssiX_i2M</t>
  </si>
  <si>
    <t>1570634254347</t>
  </si>
  <si>
    <t>-Lql5DJNmATs9kXP1dre</t>
  </si>
  <si>
    <t>1570634260584</t>
  </si>
  <si>
    <t>-Lql5Ep-Dx0gn051hs9M</t>
  </si>
  <si>
    <t>1570634266739</t>
  </si>
  <si>
    <t>-Lql5GJbldhcq3K1K7uS</t>
  </si>
  <si>
    <t>1570634272901</t>
  </si>
  <si>
    <t>-Lql5HqBqJTWhYM4FKc1</t>
  </si>
  <si>
    <t>1570634279134</t>
  </si>
  <si>
    <t>-Lql5JKHmKRWpKZL-eMz</t>
  </si>
  <si>
    <t>1570634285288</t>
  </si>
  <si>
    <t>-Lql5KqgOzLQh838Kvri</t>
  </si>
  <si>
    <t>1570634291456</t>
  </si>
  <si>
    <t>-Lql5MLrY_us6if-KoOU</t>
  </si>
  <si>
    <t>1570634297672</t>
  </si>
  <si>
    <t>-Lql5O7cz8FSsb5vmjDs</t>
  </si>
  <si>
    <t>1570634304893</t>
  </si>
  <si>
    <t>-Lql5PbcO-V53fJs5FAS</t>
  </si>
  <si>
    <t>1570634311023</t>
  </si>
  <si>
    <t>-Lql5R71DnV5hCQ-nR_c</t>
  </si>
  <si>
    <t>1570634317213</t>
  </si>
  <si>
    <t>-Lql5SdSIfjHvvoBrSJo</t>
  </si>
  <si>
    <t>1570634323383</t>
  </si>
  <si>
    <t>-Lql5U9tEVCSeI1Ar748</t>
  </si>
  <si>
    <t>1570634329614</t>
  </si>
  <si>
    <t>-Lql5VfDEHYc0bKQ5Rem</t>
  </si>
  <si>
    <t>1570634335778</t>
  </si>
  <si>
    <t>-Lql5XYm1XX53cYI8Oyq</t>
  </si>
  <si>
    <t>1570634341928</t>
  </si>
  <si>
    <t>-Lql5ZBCErJ_Rpp9AlEE</t>
  </si>
  <si>
    <t>1570634350175</t>
  </si>
  <si>
    <t>-Lql5_hjFwmxYBVdKWl4</t>
  </si>
  <si>
    <t>1570634356409</t>
  </si>
  <si>
    <t>-Lql5bTCo8WANLpYbwYN</t>
  </si>
  <si>
    <t>1570634363613</t>
  </si>
  <si>
    <t>-Lql5cyTY49gWIo1qkuG</t>
  </si>
  <si>
    <t>1570634369792</t>
  </si>
  <si>
    <t>-Lql5ejByvC8S6-UM5BN</t>
  </si>
  <si>
    <t>1570634375934</t>
  </si>
  <si>
    <t>-Lql5gVMMo0XJbYOB9Tz</t>
  </si>
  <si>
    <t>1570634383214</t>
  </si>
  <si>
    <t>-Lql5i-kmDbCMrne-iA-</t>
  </si>
  <si>
    <t>1570634390413</t>
  </si>
  <si>
    <t>-Lql5jXN_Tu87F0JE69o</t>
  </si>
  <si>
    <t>1570634396573</t>
  </si>
  <si>
    <t>-Lql5lJHOnFzMplmHlMZ</t>
  </si>
  <si>
    <t>1570634403768</t>
  </si>
  <si>
    <t>-Lql5n-x7KHB28oNjvhP</t>
  </si>
  <si>
    <t>1570634410973</t>
  </si>
  <si>
    <t>-Lql5onz-1H-RhdBbYYI</t>
  </si>
  <si>
    <t>1570634418292</t>
  </si>
  <si>
    <t>-Lql5qHzYz1_k1JwJr6m</t>
  </si>
  <si>
    <t>1570634424333</t>
  </si>
  <si>
    <t>-Lql5roSoHiOldYo0Bl3</t>
  </si>
  <si>
    <t>1570634430575</t>
  </si>
  <si>
    <t>-Lql5tJiua4FRT944N28</t>
  </si>
  <si>
    <t>1570634436735</t>
  </si>
  <si>
    <t>-Lql5uqE8u0nGgo4vBkn</t>
  </si>
  <si>
    <t>1570634442974</t>
  </si>
  <si>
    <t>-Lql5wPDwKNL4frHZwir</t>
  </si>
  <si>
    <t>1570634449129</t>
  </si>
  <si>
    <t>-Lql5yR7hhlLjTGzYpmG</t>
  </si>
  <si>
    <t>1570634457697</t>
  </si>
  <si>
    <t>-Lql6-9DKimBZb55_uB0</t>
  </si>
  <si>
    <t>1570634464574</t>
  </si>
  <si>
    <t>-Lql60r0jclK0QjP8bT-</t>
  </si>
  <si>
    <t>1570634471777</t>
  </si>
  <si>
    <t>-Lql62SSMaQswzYxuP3J</t>
  </si>
  <si>
    <t>1570634477998</t>
  </si>
  <si>
    <t>-Lql64AUMTHwYBgf1_QJ</t>
  </si>
  <si>
    <t>1570634485214</t>
  </si>
  <si>
    <t>-Lql65rWtVzbpOB8Hh7J</t>
  </si>
  <si>
    <t>1570634491373</t>
  </si>
  <si>
    <t>-Lql67Q0goePiIJlZYji</t>
  </si>
  <si>
    <t>1570634498573</t>
  </si>
  <si>
    <t>-Lql68vC00qDbM9XL_kI</t>
  </si>
  <si>
    <t>1570634504734</t>
  </si>
  <si>
    <t>-Lql6AUDbXqmTRI9YeLK</t>
  </si>
  <si>
    <t>1570634510984</t>
  </si>
  <si>
    <t>-Lql6CCDTwQjYUfGPB9o</t>
  </si>
  <si>
    <t>1570634518174</t>
  </si>
  <si>
    <t>-Lql6DgCtH6ImlTu0wFL</t>
  </si>
  <si>
    <t>1570634524293</t>
  </si>
  <si>
    <t>-Lql6FChXJo4aazyvEBw</t>
  </si>
  <si>
    <t>1570634530493</t>
  </si>
  <si>
    <t>-Lql6Gj7SlxrCo-usnHE</t>
  </si>
  <si>
    <t>1570634536733</t>
  </si>
  <si>
    <t>-Lql6IEUW6ArIpL6jWTg</t>
  </si>
  <si>
    <t>1570634542889</t>
  </si>
  <si>
    <t>-Lql6JjiRnY3rkTtX-I9</t>
  </si>
  <si>
    <t>1570634549055</t>
  </si>
  <si>
    <t>-Lql6LG7tpWfUwbcf32J</t>
  </si>
  <si>
    <t>1570634555218</t>
  </si>
  <si>
    <t>-Lql6MkCr-tC4Pc1vXqP</t>
  </si>
  <si>
    <t>1570634561380</t>
  </si>
  <si>
    <t>-Lql6OWxGuof5hJ_wEFf</t>
  </si>
  <si>
    <t>1570634568654</t>
  </si>
  <si>
    <t>-Lql6QHUnLIaV910FLRu</t>
  </si>
  <si>
    <t>1570634575855</t>
  </si>
  <si>
    <t>-Lql6RnjgNKp_hoUxeTo</t>
  </si>
  <si>
    <t>1570634582013</t>
  </si>
  <si>
    <t>-Lql6TYCaSq32Pk8eWad</t>
  </si>
  <si>
    <t>1570634589219</t>
  </si>
  <si>
    <t>-Lql6VOx3lXbFLbBvI1c</t>
  </si>
  <si>
    <t>1570634595455</t>
  </si>
  <si>
    <t>-Lql6XLL4Acn7lGER2O6</t>
  </si>
  <si>
    <t>1570634604750</t>
  </si>
  <si>
    <t>-Lql6YrGPOzoMkpCIbkv</t>
  </si>
  <si>
    <t>1570634610894</t>
  </si>
  <si>
    <t>-Lql6_aTz8sdIVoV9HVA</t>
  </si>
  <si>
    <t>1570634618094</t>
  </si>
  <si>
    <t>-Lql6b5hz_dKU8P3G9S3</t>
  </si>
  <si>
    <t>1570634624268</t>
  </si>
  <si>
    <t>-Lql6ccDacSy5cI9W-Mw</t>
  </si>
  <si>
    <t>1570634630480</t>
  </si>
  <si>
    <t>-Lql6e6Eeg8K8lkoZGnB</t>
  </si>
  <si>
    <t>1570634636574</t>
  </si>
  <si>
    <t>-Lql6fceZ2KKGjviRrfX</t>
  </si>
  <si>
    <t>1570634642816</t>
  </si>
  <si>
    <t>-Lql6h7zt_e_pUarqreP</t>
  </si>
  <si>
    <t>1570634648975</t>
  </si>
  <si>
    <t>-Lql6icw0dof5ueF2xRM</t>
  </si>
  <si>
    <t>1570634655214</t>
  </si>
  <si>
    <t>-Lql6kAxitP6gVU9tAqK</t>
  </si>
  <si>
    <t>1570634661375</t>
  </si>
  <si>
    <t>-Lql6lvEawo0Tz81k9Uw</t>
  </si>
  <si>
    <t>1570634668574</t>
  </si>
  <si>
    <t>-Lql6nRKRHW_b5rcI7hi</t>
  </si>
  <si>
    <t>1570634674729</t>
  </si>
  <si>
    <t>-Lql6pB9dQKvYbt1PN1h</t>
  </si>
  <si>
    <t>1570634681941</t>
  </si>
  <si>
    <t>-Lql6qhU3SxhTkopqV24</t>
  </si>
  <si>
    <t>1570634688175</t>
  </si>
  <si>
    <t>-Lql6sHhBpbrmc7cbySs</t>
  </si>
  <si>
    <t>1570634694334</t>
  </si>
  <si>
    <t>-Lql6tzWcT4XX5gUnPcC</t>
  </si>
  <si>
    <t>1570634701534</t>
  </si>
  <si>
    <t>-Lql6viiDTpHKJiM2kx1</t>
  </si>
  <si>
    <t>1570634708735</t>
  </si>
  <si>
    <t>-Lql6xFDuBtZRUBE_-nr</t>
  </si>
  <si>
    <t>1570634714958</t>
  </si>
  <si>
    <t>-Lql6ykQe_Z8Kuc1wlPn</t>
  </si>
  <si>
    <t>1570634721134</t>
  </si>
  <si>
    <t>-Lql7-Vz9d7Fv-_ZQbO6</t>
  </si>
  <si>
    <t>1570634728329</t>
  </si>
  <si>
    <t>-Lql7107KHG-4AnmPnMb</t>
  </si>
  <si>
    <t>1570634734497</t>
  </si>
  <si>
    <t>-Lql72pU13uBeMBD3EDw</t>
  </si>
  <si>
    <t>1570634741688</t>
  </si>
  <si>
    <t>-Lql74XGGo7vQR3Zb0c7</t>
  </si>
  <si>
    <t>1570634748911</t>
  </si>
  <si>
    <t>-Lql762jd0pa9LL-OmXP</t>
  </si>
  <si>
    <t>1570634755136</t>
  </si>
  <si>
    <t>-Lql77Z03qiYm3HIxpHb</t>
  </si>
  <si>
    <t>1570634761301</t>
  </si>
  <si>
    <t>-Lql794UczPGKdiHyOm2</t>
  </si>
  <si>
    <t>1570634767449</t>
  </si>
  <si>
    <t>-Lql7AZQ7ujgA2v-ha-c</t>
  </si>
  <si>
    <t>1570634773684</t>
  </si>
  <si>
    <t>-Lql7C50Vw7t006ULSGy</t>
  </si>
  <si>
    <t>1570634779854</t>
  </si>
  <si>
    <t>-Lql7DaBawKpTZoL9SC6</t>
  </si>
  <si>
    <t>1570634786029</t>
  </si>
  <si>
    <t>-Lql7F4Co8kgTAd7iMB7</t>
  </si>
  <si>
    <t>1570634792179</t>
  </si>
  <si>
    <t>-Lql7GbkM3BTz31Dl6JW</t>
  </si>
  <si>
    <t>1570634798420</t>
  </si>
  <si>
    <t>-Lql7I78VpjCwJi10B4X</t>
  </si>
  <si>
    <t>1570634804574</t>
  </si>
  <si>
    <t>-Lql7JmyQbpjBuGwi1g3</t>
  </si>
  <si>
    <t>1570634810739</t>
  </si>
  <si>
    <t>-Lql7LnDExSd7EfzMXZp</t>
  </si>
  <si>
    <t>1570634817942</t>
  </si>
  <si>
    <t>-Lql7NObwtak78aiPRcA</t>
  </si>
  <si>
    <t>1570634826177</t>
  </si>
  <si>
    <t>-Lql7OvBFBtY18DhZJpW</t>
  </si>
  <si>
    <t>1570634832412</t>
  </si>
  <si>
    <t>-Lql7QQOvNJh9VNU0oGG</t>
  </si>
  <si>
    <t>1570634838568</t>
  </si>
  <si>
    <t>-Lql7Rvg4lRtkL-ICF12</t>
  </si>
  <si>
    <t>1570634844729</t>
  </si>
  <si>
    <t>-Lql7TQtnQMDJ9s8iGc5</t>
  </si>
  <si>
    <t>1570634850897</t>
  </si>
  <si>
    <t>-Lql7UxRJAZmNcYzoE2d</t>
  </si>
  <si>
    <t>1570634857132</t>
  </si>
  <si>
    <t>-Lql7WTzWlPEjn_WzBjF</t>
  </si>
  <si>
    <t>1570634863295</t>
  </si>
  <si>
    <t>-Lql7YDCb-4uHtx-DPMy</t>
  </si>
  <si>
    <t>1570634870488</t>
  </si>
  <si>
    <t>-Lql7ZiO931_Insq55xL</t>
  </si>
  <si>
    <t>1570634876712</t>
  </si>
  <si>
    <t>-Lql7aEwDWZgkqb2sSAf</t>
  </si>
  <si>
    <t>1570634882893</t>
  </si>
  <si>
    <t>-Lql7bkDnecz1tOFwNK7</t>
  </si>
  <si>
    <t>1570634889047</t>
  </si>
  <si>
    <t>-Lql7dGlOlkac-Rw0xhy</t>
  </si>
  <si>
    <t>1570634895214</t>
  </si>
  <si>
    <t>-Lql7ekbmCq8miqwHNpv</t>
  </si>
  <si>
    <t>1570634901372</t>
  </si>
  <si>
    <t>-Lql7gTg_lEgEGOWvo9A</t>
  </si>
  <si>
    <t>1570634908426</t>
  </si>
  <si>
    <t>-Lql7i1imRmOOB9LF7RP</t>
  </si>
  <si>
    <t>1570634914807</t>
  </si>
  <si>
    <t>-Lql7jXrZQseMgBOTf0e</t>
  </si>
  <si>
    <t>1570634920973</t>
  </si>
  <si>
    <t>-Lql7l3Mh2qPoc5-OBjU</t>
  </si>
  <si>
    <t>1570634927214</t>
  </si>
  <si>
    <t>-Lql7m_w_YhF7m6lRzIa</t>
  </si>
  <si>
    <t>1570634933376</t>
  </si>
  <si>
    <t>-Lql7oLTwtSU-VBB8UKZ</t>
  </si>
  <si>
    <t>1570634940572</t>
  </si>
  <si>
    <t>-Lql7q4gWXR7BiCLuVEA</t>
  </si>
  <si>
    <t>1570634947769</t>
  </si>
  <si>
    <t>-Lql7r_wyeiXeLgH9ujg</t>
  </si>
  <si>
    <t>1570634953937</t>
  </si>
  <si>
    <t>-Lql7t5BHAnqI7Cs2MkC</t>
  </si>
  <si>
    <t>1570634960132</t>
  </si>
  <si>
    <t>-Lql7ucxdE3fL7JybQSw</t>
  </si>
  <si>
    <t>1570634966334</t>
  </si>
  <si>
    <t>-Lql7wNCFjJ8QjlIMWvz</t>
  </si>
  <si>
    <t>1570634973534</t>
  </si>
  <si>
    <t>-Lql7xsabwM9B_uUYBAm</t>
  </si>
  <si>
    <t>1570634979693</t>
  </si>
  <si>
    <t>-Lql7zOhk1m_n4-tWu1G</t>
  </si>
  <si>
    <t>1570634985934</t>
  </si>
  <si>
    <t>-Lql8-u8PIR3y6xAeSwG</t>
  </si>
  <si>
    <t>1570634992094</t>
  </si>
  <si>
    <t>-Lql81PRmB0LMkQNk0dw</t>
  </si>
  <si>
    <t>1570634998253</t>
  </si>
  <si>
    <t>-Lql82tT26TX66S2rqOe</t>
  </si>
  <si>
    <t>1570635004413</t>
  </si>
  <si>
    <t>-Lql84RC3ThufqtbkLWe</t>
  </si>
  <si>
    <t>1570635010648</t>
  </si>
  <si>
    <t>-Lql85wTz7NzeCSNYir8</t>
  </si>
  <si>
    <t>1570635016814</t>
  </si>
  <si>
    <t>-Lql87RhDyaZgNW5csr6</t>
  </si>
  <si>
    <t>1570635022974</t>
  </si>
  <si>
    <t>-Lql89Gba3dWQouy1w4S</t>
  </si>
  <si>
    <t>1570635029212</t>
  </si>
  <si>
    <t>-Lql8AyySP7-sMUvppTj</t>
  </si>
  <si>
    <t>1570635037454</t>
  </si>
  <si>
    <t>-Lql8Cm7nd1ZtiFwyC3o</t>
  </si>
  <si>
    <t>1570635043613</t>
  </si>
  <si>
    <t>-Lql8EUzQceX9coAnW_e</t>
  </si>
  <si>
    <t>1570635051855</t>
  </si>
  <si>
    <t>-Lql8G-DcWt9GE6awWAV</t>
  </si>
  <si>
    <t>1570635058009</t>
  </si>
  <si>
    <t>-Lql8HsDKfthLitpdat-</t>
  </si>
  <si>
    <t>1570635065711</t>
  </si>
  <si>
    <t>-Lql8JWFiFIejS8aMoeX</t>
  </si>
  <si>
    <t>1570635072424</t>
  </si>
  <si>
    <t>-Lql8L1jMuzAmIpDNhmO</t>
  </si>
  <si>
    <t>1570635078654</t>
  </si>
  <si>
    <t>-Lql8M_XJo2IwAMk8YE3</t>
  </si>
  <si>
    <t>1570635084819</t>
  </si>
  <si>
    <t>-Lql8OITM-FmjsIJwUid</t>
  </si>
  <si>
    <t>1570635092010</t>
  </si>
  <si>
    <t>-Lql8PneM9iWl_XtAAh9</t>
  </si>
  <si>
    <t>1570635098185</t>
  </si>
  <si>
    <t>-Lql8RKDBuX00pKRjwwX</t>
  </si>
  <si>
    <t>1570635104440</t>
  </si>
  <si>
    <t>-Lql8SpUzu3DvTJFEUTk</t>
  </si>
  <si>
    <t>1570635110575</t>
  </si>
  <si>
    <t>-Lql8UNHyh-ieAIUisUl</t>
  </si>
  <si>
    <t>1570635116924</t>
  </si>
  <si>
    <t>-Lql8W5ELaweo7zIF06c</t>
  </si>
  <si>
    <t>1570635123952</t>
  </si>
  <si>
    <t>-Lql8XbdNTTGlF-b34FP</t>
  </si>
  <si>
    <t>1570635130171</t>
  </si>
  <si>
    <t>-Lql8Z6zUUQU4R3Q1WhJ</t>
  </si>
  <si>
    <t>1570635136335</t>
  </si>
  <si>
    <t>-Lql8_cD6oqOTU2W-rDn</t>
  </si>
  <si>
    <t>1570635142498</t>
  </si>
  <si>
    <t>-Lql8b9z5coUSi4erh_i</t>
  </si>
  <si>
    <t>1570635148724</t>
  </si>
  <si>
    <t>-Lql8dKj2zCx9FD-JwXZ</t>
  </si>
  <si>
    <t>1570635155933</t>
  </si>
  <si>
    <t>-Lql8exPeTHcVDi7hyOh</t>
  </si>
  <si>
    <t>1570635164311</t>
  </si>
  <si>
    <t>-Lql8gfbgAidZG-2yDcU</t>
  </si>
  <si>
    <t>1570635171375</t>
  </si>
  <si>
    <t>-Lql8iQsP2k5LxqILn_v</t>
  </si>
  <si>
    <t>1570635178565</t>
  </si>
  <si>
    <t>-Lql8jwDHoFcogeZ8gWT</t>
  </si>
  <si>
    <t>1570635184734</t>
  </si>
  <si>
    <t>-Lql8lRNn8ssVnD5i4Od</t>
  </si>
  <si>
    <t>1570635190899</t>
  </si>
  <si>
    <t>-Lql8mxiJy7Hcrmcvh6Q</t>
  </si>
  <si>
    <t>1570635197135</t>
  </si>
  <si>
    <t>-Lql8oTDuYngnJr34ejM</t>
  </si>
  <si>
    <t>1570635203295</t>
  </si>
  <si>
    <t>-Lql8pyYVA1NaXKXOf5q</t>
  </si>
  <si>
    <t>1570635209465</t>
  </si>
  <si>
    <t>-Lql8rUzaltOs8qkxnDE</t>
  </si>
  <si>
    <t>1570635215693</t>
  </si>
  <si>
    <t>-Lql8t-D3KzLs4B7JBA3</t>
  </si>
  <si>
    <t>1570635221855</t>
  </si>
  <si>
    <t>-Lql8uVRnHiQXpkMb_Zb</t>
  </si>
  <si>
    <t>1570635228014</t>
  </si>
  <si>
    <t>-Lql8w0zZ2uONWiJaij4</t>
  </si>
  <si>
    <t>1570635234254</t>
  </si>
  <si>
    <t>-Lql8xcOLi7OLrum3ihI</t>
  </si>
  <si>
    <t>1570635240812</t>
  </si>
  <si>
    <t>-Lql8zHkKH9hcxKDBd5h</t>
  </si>
  <si>
    <t>1570635247618</t>
  </si>
  <si>
    <t>-Lql94NjLk0u4E0UkuRR</t>
  </si>
  <si>
    <t>1570635272582</t>
  </si>
  <si>
    <t>-Lql96-VI2NZ7Y8kZ0DF</t>
  </si>
  <si>
    <t>1570635279208</t>
  </si>
  <si>
    <t>-Lql97kxHztAiHNNrN90</t>
  </si>
  <si>
    <t>1570635286401</t>
  </si>
  <si>
    <t>-Lql99VD1bd0v5MWCxvW</t>
  </si>
  <si>
    <t>1570635293587</t>
  </si>
  <si>
    <t>-Lql9BN7xwOEdvX0ho83</t>
  </si>
  <si>
    <t>1570635301215</t>
  </si>
  <si>
    <t>-Lql9D2ep6JvR_wWNjIq</t>
  </si>
  <si>
    <t>1570635308097</t>
  </si>
  <si>
    <t>-Lql9EaUcJkgSszWkHm9</t>
  </si>
  <si>
    <t>1570635314253</t>
  </si>
  <si>
    <t>-Lql9GKzExERTn99dJ1d</t>
  </si>
  <si>
    <t>1570635321473</t>
  </si>
  <si>
    <t>-Lql9I4BsI5guvM7I3Jp</t>
  </si>
  <si>
    <t>1570635328672</t>
  </si>
  <si>
    <t>-Lql9J_YLvdDLXKvuqna</t>
  </si>
  <si>
    <t>1570635334844</t>
  </si>
  <si>
    <t>-Lql9L61pfOlWc0_bqYh</t>
  </si>
  <si>
    <t>1570635341070</t>
  </si>
  <si>
    <t>-Lql9MbGbBsEADTo7LdP</t>
  </si>
  <si>
    <t>1570635347228</t>
  </si>
  <si>
    <t>-Lql9O6SvZ45QdTYyj1o</t>
  </si>
  <si>
    <t>1570635353400</t>
  </si>
  <si>
    <t>-Lql9Pcx6WBPFPZhG8Nj</t>
  </si>
  <si>
    <t>1570635359633</t>
  </si>
  <si>
    <t>-Lql9R8MJgEwFgg76oKD</t>
  </si>
  <si>
    <t>1570635365792</t>
  </si>
  <si>
    <t>-Lql9SepSyUYk3FvUWKH</t>
  </si>
  <si>
    <t>1570635371954</t>
  </si>
  <si>
    <t>-Lql9UNl-M9OdsRrd2AS</t>
  </si>
  <si>
    <t>1570635379156</t>
  </si>
  <si>
    <t>-Lql9VuL0YU3WSr7ck8b</t>
  </si>
  <si>
    <t>1570635385375</t>
  </si>
  <si>
    <t>-Lql9XQlU09CzFDCVfRw</t>
  </si>
  <si>
    <t>1570635391558</t>
  </si>
  <si>
    <t>-Lql9YwBzbkj4jR70F1F</t>
  </si>
  <si>
    <t>1570635397713</t>
  </si>
  <si>
    <t>-Lql9_RGtz7jrcyQ20Vi</t>
  </si>
  <si>
    <t>1570635403880</t>
  </si>
  <si>
    <t>-Lql9axmSjSu-gC9kTnB</t>
  </si>
  <si>
    <t>1570635410116</t>
  </si>
  <si>
    <t>-Lql9cT13esEr_C4Lnrf</t>
  </si>
  <si>
    <t>1570635416274</t>
  </si>
  <si>
    <t>-Lql9dyGU_4-e4jUpmsz</t>
  </si>
  <si>
    <t>1570635422444</t>
  </si>
  <si>
    <t>-Lql9fUlsImA90pufBRq</t>
  </si>
  <si>
    <t>1570635428662</t>
  </si>
  <si>
    <t>-Lql9gzKeiEnIQ32ZcL5</t>
  </si>
  <si>
    <t>1570635434758</t>
  </si>
  <si>
    <t>-Lql9iVGpGzkeWFllfZJ</t>
  </si>
  <si>
    <t>1570635440996</t>
  </si>
  <si>
    <t>-Lql9k-Z1T4C1b4XxgiZ</t>
  </si>
  <si>
    <t>1570635447154</t>
  </si>
  <si>
    <t>-Lql9lX1dY9h4JXkXbWk</t>
  </si>
  <si>
    <t>1570635453394</t>
  </si>
  <si>
    <t>-Lql9n1H6Oh1BPFKSWuU</t>
  </si>
  <si>
    <t>1570635459559</t>
  </si>
  <si>
    <t>-Lql9oXXZ7AaNU4-49VV</t>
  </si>
  <si>
    <t>1570635465718</t>
  </si>
  <si>
    <t>-Lql9q1oTBXCfpIIxFAQ</t>
  </si>
  <si>
    <t>1570635471878</t>
  </si>
  <si>
    <t>-Lql9rYs1mjjPlcCqeDN</t>
  </si>
  <si>
    <t>1570635478108</t>
  </si>
  <si>
    <t>-Lql9tV-ZBEmoTWS8u1n</t>
  </si>
  <si>
    <t>1570635484302</t>
  </si>
  <si>
    <t>-Lql9v4GIlJmEWdQclL1</t>
  </si>
  <si>
    <t>1570635492514</t>
  </si>
  <si>
    <t>-Lql9wkcDAIfd9l-cel_</t>
  </si>
  <si>
    <t>1570635498678</t>
  </si>
  <si>
    <t>-Lql9yL-VZZgRUC8iAu9</t>
  </si>
  <si>
    <t>1570635505884</t>
  </si>
  <si>
    <t>-Lql9zqHJ8JzMtQFu1C-</t>
  </si>
  <si>
    <t>1570635512113</t>
  </si>
  <si>
    <t>-LqlA0Mmt1jnLeL41E2K</t>
  </si>
  <si>
    <t>1570635518295</t>
  </si>
  <si>
    <t>-LqlA1rliXenBkEz2KfO</t>
  </si>
  <si>
    <t>1570635524433</t>
  </si>
  <si>
    <t>-LqlA3NLLq79SW592aUw</t>
  </si>
  <si>
    <t>1570635530653</t>
  </si>
  <si>
    <t>-LqlA5AG3BatRIAX-Qge</t>
  </si>
  <si>
    <t>1570635537974</t>
  </si>
  <si>
    <t>-LqlA6ub9b_e_amNGZ-O</t>
  </si>
  <si>
    <t>1570635545073</t>
  </si>
  <si>
    <t>-LqlA8QA4P2RmAUkyUHB</t>
  </si>
  <si>
    <t>1570635551234</t>
  </si>
  <si>
    <t>-LqlA9uxf1LgpfmtgA-l</t>
  </si>
  <si>
    <t>1570635557392</t>
  </si>
  <si>
    <t>-LqlABRY43O8BUwVOw3n</t>
  </si>
  <si>
    <t>1570635563633</t>
  </si>
  <si>
    <t>-LqlACwk8nPokjJ130NZ</t>
  </si>
  <si>
    <t>1570635569793</t>
  </si>
  <si>
    <t>-LqlAEiXWuEkzCpveGOu</t>
  </si>
  <si>
    <t>1570635575953</t>
  </si>
  <si>
    <t>-LqlAGSlUrLErH4hlxp5</t>
  </si>
  <si>
    <t>1570635584193</t>
  </si>
  <si>
    <t>-LqlAHy2rrGubMqiD9nE</t>
  </si>
  <si>
    <t>1570635590414</t>
  </si>
  <si>
    <t>-LqlAJTskTurxwYnwVFA</t>
  </si>
  <si>
    <t>1570635596551</t>
  </si>
  <si>
    <t>-LqlAKyyO_2jHz2KWvWc</t>
  </si>
  <si>
    <t>1570635602738</t>
  </si>
  <si>
    <t>-LqlAMVUF-kHzV3vDxIr</t>
  </si>
  <si>
    <t>1570635608957</t>
  </si>
  <si>
    <t>-LqlANzcsBwNm3nWg_TX</t>
  </si>
  <si>
    <t>1570635615102</t>
  </si>
  <si>
    <t>-LqlAPWAVeC160YYgmaO</t>
  </si>
  <si>
    <t>1570635621273</t>
  </si>
  <si>
    <t>-LqlAR10kp8U-UK56erA</t>
  </si>
  <si>
    <t>1570635627478</t>
  </si>
  <si>
    <t>-LqlASmecO70l-NgQaek</t>
  </si>
  <si>
    <t>1570635634682</t>
  </si>
  <si>
    <t>-LqlAUHvkktONVu19WAG</t>
  </si>
  <si>
    <t>1570635640899</t>
  </si>
  <si>
    <t>-LqlAW60fMY07FrqjrYw</t>
  </si>
  <si>
    <t>1570635648334</t>
  </si>
  <si>
    <t>-LqlAXp5SAd4u7j79isO</t>
  </si>
  <si>
    <t>1570635655318</t>
  </si>
  <si>
    <t>-LqlAZKK6YhzbCTAMcM2</t>
  </si>
  <si>
    <t>1570635661477</t>
  </si>
  <si>
    <t>-LqlA_p_cS4m43GmEwCy</t>
  </si>
  <si>
    <t>1570635667653</t>
  </si>
  <si>
    <t>-LqlAbM4iCHsbEMQGjvD</t>
  </si>
  <si>
    <t>1570635673890</t>
  </si>
  <si>
    <t>-LqlAcrUUdu9kxkXSyOb</t>
  </si>
  <si>
    <t>1570635680038</t>
  </si>
  <si>
    <t>-LqlAeMadr6Taz2wQJML</t>
  </si>
  <si>
    <t>1570635686197</t>
  </si>
  <si>
    <t>-LqlAfrkxULFJiQyttKf</t>
  </si>
  <si>
    <t>1570635692367</t>
  </si>
  <si>
    <t>-LqlAhdqRy9TH7Ov9iXe</t>
  </si>
  <si>
    <t>1570635698598</t>
  </si>
  <si>
    <t>-LqlAj8qAiyMfkH0kkA1</t>
  </si>
  <si>
    <t>1570635705800</t>
  </si>
  <si>
    <t>-LqlAke5RLouS-8_KFGG</t>
  </si>
  <si>
    <t>1570635711958</t>
  </si>
  <si>
    <t>-LqlAm9MQpAgi3C0vkdU</t>
  </si>
  <si>
    <t>1570635718183</t>
  </si>
  <si>
    <t>-LqlAnflkQu832bzQEcm</t>
  </si>
  <si>
    <t>1570635724359</t>
  </si>
  <si>
    <t>-LqlApCOcTkZMJ5Pi30E</t>
  </si>
  <si>
    <t>1570635730519</t>
  </si>
  <si>
    <t>-LqlAqwOSaV5plKibkm2</t>
  </si>
  <si>
    <t>1570635737720</t>
  </si>
  <si>
    <t>-LqlAsRsQlF4cud9HCUu</t>
  </si>
  <si>
    <t>1570635743885</t>
  </si>
  <si>
    <t>-LqlAtyMI6ktaY5B-Bf6</t>
  </si>
  <si>
    <t>1570635750120</t>
  </si>
  <si>
    <t>-LqlAvTcm_kJOJA_Z0Hw</t>
  </si>
  <si>
    <t>1570635756275</t>
  </si>
  <si>
    <t>-LqlAwyr1CZZfHlTnB_8</t>
  </si>
  <si>
    <t>1570635762440</t>
  </si>
  <si>
    <t>-LqlAyVGil__PZYppvJZ</t>
  </si>
  <si>
    <t>1570635768679</t>
  </si>
  <si>
    <t>-LqlB--aaCQBJmjyBSKr</t>
  </si>
  <si>
    <t>1570635774840</t>
  </si>
  <si>
    <t>-LqlB0VpyXC86hZP7BSG</t>
  </si>
  <si>
    <t>1570635780998</t>
  </si>
  <si>
    <t>-LqlB201Cw3QZmqRXrim</t>
  </si>
  <si>
    <t>1570635787164</t>
  </si>
  <si>
    <t>-LqlB3WNPFyZ45PyYskG</t>
  </si>
  <si>
    <t>1570635793360</t>
  </si>
  <si>
    <t>-LqlB51qKE0iQZQVI4b_</t>
  </si>
  <si>
    <t>1570635799558</t>
  </si>
  <si>
    <t>-LqlB6Y6ACjcPfJLOiB9</t>
  </si>
  <si>
    <t>1570635805720</t>
  </si>
  <si>
    <t>-LqlB83lm3NiX_OfdjKZ</t>
  </si>
  <si>
    <t>1570635811944</t>
  </si>
  <si>
    <t>-LqlB9Zmr9xzICod2LEz</t>
  </si>
  <si>
    <t>1570635818119</t>
  </si>
  <si>
    <t>-LqlBBOhKNsjecBkH9pt</t>
  </si>
  <si>
    <t>1570635824278</t>
  </si>
  <si>
    <t>-LqlBD4qiKpjfJVLkky8</t>
  </si>
  <si>
    <t>1570635832516</t>
  </si>
  <si>
    <t>-LqlBEa522Ax-It5Vrj7</t>
  </si>
  <si>
    <t>1570635838685</t>
  </si>
  <si>
    <t>-LqlBG6YnXWhTj6V-M0Z</t>
  </si>
  <si>
    <t>1570635844915</t>
  </si>
  <si>
    <t>-LqlBHd5awHw2M6dwCeu</t>
  </si>
  <si>
    <t>1570635851143</t>
  </si>
  <si>
    <t>-LqlBJNN81PjeLWXzpBy</t>
  </si>
  <si>
    <t>1570635858279</t>
  </si>
  <si>
    <t>-LqlBKwQv8IcnG7av094</t>
  </si>
  <si>
    <t>1570635864682</t>
  </si>
  <si>
    <t>-LqlBMeLYBsSvZI3cUlb</t>
  </si>
  <si>
    <t>1570635871705</t>
  </si>
  <si>
    <t>-LqlBO9YhbofmURyGcb0</t>
  </si>
  <si>
    <t>1570635877868</t>
  </si>
  <si>
    <t>-LqlBPerRU-cP0xByGQ8</t>
  </si>
  <si>
    <t>1570635884039</t>
  </si>
  <si>
    <t>-LqlBRA5uIT9nodiOeeI</t>
  </si>
  <si>
    <t>1570635890200</t>
  </si>
  <si>
    <t>-LqlBSgWHLDLLrjijrp2</t>
  </si>
  <si>
    <t>1570635896435</t>
  </si>
  <si>
    <t>-LqlBUX0lTh1H6uWln_3</t>
  </si>
  <si>
    <t>1570635902603</t>
  </si>
  <si>
    <t>-LqlBWCa8LgmDEU7wWHd</t>
  </si>
  <si>
    <t>1570635910841</t>
  </si>
  <si>
    <t>-LqlBY-WoG0slquBWZg4</t>
  </si>
  <si>
    <t>1570635918218</t>
  </si>
  <si>
    <t>-LqlBZiaJ3rptPxgs2dY</t>
  </si>
  <si>
    <t>1570635925249</t>
  </si>
  <si>
    <t>-LqlBaF4o0Wu5n6OOrWU</t>
  </si>
  <si>
    <t>1570635931472</t>
  </si>
  <si>
    <t>-LqlBbjEYHI-2DOCbTIA</t>
  </si>
  <si>
    <t>1570635937638</t>
  </si>
  <si>
    <t>-LqlBdFZnvSjvgfruUhL</t>
  </si>
  <si>
    <t>1570635943799</t>
  </si>
  <si>
    <t>-LqlBekqoKzYVxEeKYfc</t>
  </si>
  <si>
    <t>1570635949963</t>
  </si>
  <si>
    <t>-LqlBgHLavqcwYYsMVWL</t>
  </si>
  <si>
    <t>1570635956192</t>
  </si>
  <si>
    <t>-LqlBhm_4Sjf4EDQsbhA</t>
  </si>
  <si>
    <t>1570635962351</t>
  </si>
  <si>
    <t>-LqlBjcxNvvcAENDB4li</t>
  </si>
  <si>
    <t>1570635968517</t>
  </si>
  <si>
    <t>-LqlBlHLmhmLTsWtFrWu</t>
  </si>
  <si>
    <t>1570635976752</t>
  </si>
  <si>
    <t>-LqlBmnkXBwiLRL4Dx_m</t>
  </si>
  <si>
    <t>1570635982982</t>
  </si>
  <si>
    <t>-LqlBoKJm58vVa_WkHzb</t>
  </si>
  <si>
    <t>1570635989153</t>
  </si>
  <si>
    <t>-LqlBpqqnTSYv19WS9WR</t>
  </si>
  <si>
    <t>1570635995317</t>
  </si>
  <si>
    <t>-LqlBra4KoOsQdJY5tGX</t>
  </si>
  <si>
    <t>1570636002520</t>
  </si>
  <si>
    <t>-LqlBttaoCiMVqmY48pj</t>
  </si>
  <si>
    <t>1570636008742</t>
  </si>
  <si>
    <t>-LqlBvaJg-QpjBZXms0q</t>
  </si>
  <si>
    <t>1570636018983</t>
  </si>
  <si>
    <t>-LqlBx847fxTCo0CF6ui</t>
  </si>
  <si>
    <t>1570636025238</t>
  </si>
  <si>
    <t>-LqlBytGy6hs4TDdYmTJ</t>
  </si>
  <si>
    <t>1570636032388</t>
  </si>
  <si>
    <t>-LqlC-Na6ta05g0eRDUH</t>
  </si>
  <si>
    <t>1570636038566</t>
  </si>
  <si>
    <t>-LqlC1GF7RaBMb6uAWXF</t>
  </si>
  <si>
    <t>1570636044758</t>
  </si>
  <si>
    <t>-LqlC2uluHTJ4LL7nWbc</t>
  </si>
  <si>
    <t>1570636052998</t>
  </si>
  <si>
    <t>-LqlC4RK1DtxU1nm3TXM</t>
  </si>
  <si>
    <t>1570636059231</t>
  </si>
  <si>
    <t>-LqlC5vRbmdNdArPJg-r</t>
  </si>
  <si>
    <t>1570636065417</t>
  </si>
  <si>
    <t>-LqlC7RvT_6ag6xgjumI</t>
  </si>
  <si>
    <t>1570636071557</t>
  </si>
  <si>
    <t>-LqlC8x3nQJ2koMyYqbf</t>
  </si>
  <si>
    <t>1570636077718</t>
  </si>
  <si>
    <t>-LqlCAW32DN-Gjiku_Rk</t>
  </si>
  <si>
    <t>1570636084144</t>
  </si>
  <si>
    <t>-LqlCCE7IPqvMOjnPTxZ</t>
  </si>
  <si>
    <t>1570636091156</t>
  </si>
  <si>
    <t>-LqlCDlrklchuZEIVq-W</t>
  </si>
  <si>
    <t>1570636097317</t>
  </si>
  <si>
    <t>-LqlCFUm5-BNnFmAXSKU</t>
  </si>
  <si>
    <t>1570636104518</t>
  </si>
  <si>
    <t>-LqlCH0KnCrGDJO201__</t>
  </si>
  <si>
    <t>1570636110756</t>
  </si>
  <si>
    <t>-LqlCIWacQ03T_6kvwpL</t>
  </si>
  <si>
    <t>1570636116913</t>
  </si>
  <si>
    <t>-LqlCKGqKfgOs3WGcoVz</t>
  </si>
  <si>
    <t>1570636124175</t>
  </si>
  <si>
    <t>-LqlCLltaNWItYFSSNDz</t>
  </si>
  <si>
    <t>1570636130277</t>
  </si>
  <si>
    <t>-LqlCN_MJM1-z-3RZGmg</t>
  </si>
  <si>
    <t>1570636136448</t>
  </si>
  <si>
    <t>-LqlCPJb8Qi19A6qgb-5</t>
  </si>
  <si>
    <t>1570636144755</t>
  </si>
  <si>
    <t>-LqlCQprsA86A48AdcAL</t>
  </si>
  <si>
    <t>1570636150918</t>
  </si>
  <si>
    <t>-LqlCSZ7B7VFxT1ohiHX</t>
  </si>
  <si>
    <t>1570636158118</t>
  </si>
  <si>
    <t>-LqlCU4aVFTnaNJmcZGe</t>
  </si>
  <si>
    <t>1570636164280</t>
  </si>
  <si>
    <t>-LqlCVb1kSQZqY5Oo7g1</t>
  </si>
  <si>
    <t>1570636170505</t>
  </si>
  <si>
    <t>-LqlCX6GF9Mr7fykoFIA</t>
  </si>
  <si>
    <t>1570636176666</t>
  </si>
  <si>
    <t>-LqlCYbbHRONiywbS-F_</t>
  </si>
  <si>
    <t>1570636182838</t>
  </si>
  <si>
    <t>-LqlC_PYoDyamAiVVcYc</t>
  </si>
  <si>
    <t>1570636190195</t>
  </si>
  <si>
    <t>-LqlCb7a70nISQt_Rie5</t>
  </si>
  <si>
    <t>1570636197240</t>
  </si>
  <si>
    <t>-LqlCcpLJJNdJyxCOL6w</t>
  </si>
  <si>
    <t>1570636204220</t>
  </si>
  <si>
    <t>-LqlCePasUanz6GsBvrQ</t>
  </si>
  <si>
    <t>1570636210668</t>
  </si>
  <si>
    <t>-LqlCfuwIyfUHGvH4CKq</t>
  </si>
  <si>
    <t>1570636216838</t>
  </si>
  <si>
    <t>-LqlChSa9YkMXe8ZytGD</t>
  </si>
  <si>
    <t>1570636223003</t>
  </si>
  <si>
    <t>-LqlCjAaxzL8alrQzTb4</t>
  </si>
  <si>
    <t>1570636230209</t>
  </si>
  <si>
    <t>-LqlCkh6IPOdS0OIcYrP</t>
  </si>
  <si>
    <t>1570636236439</t>
  </si>
  <si>
    <t>-LqlCmMM7S03YuHdIQ5_</t>
  </si>
  <si>
    <t>1570636243271</t>
  </si>
  <si>
    <t>-LqlCnxqn-lmh9rag5v2</t>
  </si>
  <si>
    <t>1570636249799</t>
  </si>
  <si>
    <t>-LqlCpT5LV-vhXoQiUzV</t>
  </si>
  <si>
    <t>1570636255963</t>
  </si>
  <si>
    <t>-LqlCqzb5BP5cyGBnSR1</t>
  </si>
  <si>
    <t>1570636262198</t>
  </si>
  <si>
    <t>-LqlCsUijdLjgOT0qETV</t>
  </si>
  <si>
    <t>1570636268359</t>
  </si>
  <si>
    <t>-LqlCuLbX7Du4GXiJrn0</t>
  </si>
  <si>
    <t>1570636274518</t>
  </si>
  <si>
    <t>-LqlCw-rGep03tq9Y_yt</t>
  </si>
  <si>
    <t>1570636282758</t>
  </si>
  <si>
    <t>-LqlCxZqljQUWOLCFOVF</t>
  </si>
  <si>
    <t>1570636288999</t>
  </si>
  <si>
    <t>-LqlCzJ6fzX-Uef2I1q0</t>
  </si>
  <si>
    <t>1570636296198</t>
  </si>
  <si>
    <t>-LqlD015CfcJeb2gttFP</t>
  </si>
  <si>
    <t>1570636303363</t>
  </si>
  <si>
    <t>-LqlD1XL-67i4t0tYdw7</t>
  </si>
  <si>
    <t>1570636309559</t>
  </si>
  <si>
    <t>-LqlD32cEp-nfKZ2mZ3Z</t>
  </si>
  <si>
    <t>1570636315725</t>
  </si>
  <si>
    <t>-LqlD4_Ms9fLmtHNDgPR</t>
  </si>
  <si>
    <t>1570636321958</t>
  </si>
  <si>
    <t>-LqlD65t2NgcZqB8jzhW</t>
  </si>
  <si>
    <t>1570636328118</t>
  </si>
  <si>
    <t>-LqlD7q7ZxORYwp20Ao3</t>
  </si>
  <si>
    <t>1570636335320</t>
  </si>
  <si>
    <t>-LqlD9LN4y4nPTexPW16</t>
  </si>
  <si>
    <t>1570636341483</t>
  </si>
  <si>
    <t>-LqlDArgqierbrv4nGC-</t>
  </si>
  <si>
    <t>1570636347719</t>
  </si>
  <si>
    <t>-LqlDCf1cC5wUtWTiPIO</t>
  </si>
  <si>
    <t>1570636353873</t>
  </si>
  <si>
    <t>-LqlDEQG82a4WshcHjnh</t>
  </si>
  <si>
    <t>1570636362100</t>
  </si>
  <si>
    <t>-LqlDG9W_0u3ea92LLlC</t>
  </si>
  <si>
    <t>1570636369316</t>
  </si>
  <si>
    <t>-LqlDHdWR-kL70lLatz_</t>
  </si>
  <si>
    <t>1570636375480</t>
  </si>
  <si>
    <t>-LqlDJMSu5uroRLe6FKn</t>
  </si>
  <si>
    <t>1570636382401</t>
  </si>
  <si>
    <t>-LqlDKvWIKUc5fQOKFI3</t>
  </si>
  <si>
    <t>1570636388908</t>
  </si>
  <si>
    <t>-LqlDMPXzXV1dx5P7N0e</t>
  </si>
  <si>
    <t>1570636395049</t>
  </si>
  <si>
    <t>-LqlDNvnkfh49rhUKBIk</t>
  </si>
  <si>
    <t>1570636401250</t>
  </si>
  <si>
    <t>-LqlDPSYApfGvbpLC-IB</t>
  </si>
  <si>
    <t>1570636407473</t>
  </si>
  <si>
    <t>-LqlDRD1Lfv8M-lHuHDw</t>
  </si>
  <si>
    <t>1570636414675</t>
  </si>
  <si>
    <t>-LqlDSiIl_EBY2QrxBp8</t>
  </si>
  <si>
    <t>1570636420834</t>
  </si>
  <si>
    <t>-LqlDUDWzFnwfZjwgbLY</t>
  </si>
  <si>
    <t>1570636426995</t>
  </si>
  <si>
    <t>-LqlDVk2PSyNmZA3xsb0</t>
  </si>
  <si>
    <t>1570636433299</t>
  </si>
  <si>
    <t>-LqlDXFG0tbSdYZXoGD4</t>
  </si>
  <si>
    <t>1570636439394</t>
  </si>
  <si>
    <t>-LqlDYkYTQNj_K2aH_uA</t>
  </si>
  <si>
    <t>1570636445618</t>
  </si>
  <si>
    <t>-LqlD_H2ETYnPFI4s4b8</t>
  </si>
  <si>
    <t>1570636451794</t>
  </si>
  <si>
    <t>-LqlDal0u_SzCRdJsCkY</t>
  </si>
  <si>
    <t>1570636457874</t>
  </si>
  <si>
    <t>-LqlDcHYCe4cdIoY-yb5</t>
  </si>
  <si>
    <t>1570636464113</t>
  </si>
  <si>
    <t>-LqlDdml4qEbl-f_-bLA</t>
  </si>
  <si>
    <t>1570636470273</t>
  </si>
  <si>
    <t>-LqlDfJHjIYQcj_jC7Ue</t>
  </si>
  <si>
    <t>1570636476509</t>
  </si>
  <si>
    <t>-LqlDgnykj4n3Emv6ZVj</t>
  </si>
  <si>
    <t>1570636482673</t>
  </si>
  <si>
    <t>-LqlDiXTrJIjs4_UQWo0</t>
  </si>
  <si>
    <t>1570636488834</t>
  </si>
  <si>
    <t>-LqlDk4I6cxcB4pnnGqb</t>
  </si>
  <si>
    <t>1570636496036</t>
  </si>
  <si>
    <t>-LqlDl_YDSjZfD3_xai2</t>
  </si>
  <si>
    <t>1570636502258</t>
  </si>
  <si>
    <t>-LqlDn7D4FmxHYfKlIZ7</t>
  </si>
  <si>
    <t>1570636508429</t>
  </si>
  <si>
    <t>-LqlDorYbviny-6wFG46</t>
  </si>
  <si>
    <t>1570636515633</t>
  </si>
  <si>
    <t>-LqlDqdId_dBEL5bAD5z</t>
  </si>
  <si>
    <t>1570636522948</t>
  </si>
  <si>
    <t>-LqlDsNYD4F8J5WvNG0s</t>
  </si>
  <si>
    <t>1570636530035</t>
  </si>
  <si>
    <t>-LqlDtu2HE4qHgi7Z_nL</t>
  </si>
  <si>
    <t>1570636536275</t>
  </si>
  <si>
    <t>-LqlDvPIH5SPQOkzlyGu</t>
  </si>
  <si>
    <t>1570636542430</t>
  </si>
  <si>
    <t>-LqlDwuXG44nl5Btvk7Y</t>
  </si>
  <si>
    <t>1570636548595</t>
  </si>
  <si>
    <t>-LqlDyPmxINOTem9YYbW</t>
  </si>
  <si>
    <t>1570636554755</t>
  </si>
  <si>
    <t>-LqlDzw31BYCgsyM4cWM</t>
  </si>
  <si>
    <t>1570636560995</t>
  </si>
  <si>
    <t>-LqlE0QIxZ59g-TCIIOc</t>
  </si>
  <si>
    <t>1570636567121</t>
  </si>
  <si>
    <t>-LqlE2DGGSdSPUfjKIKE</t>
  </si>
  <si>
    <t>1570636574448</t>
  </si>
  <si>
    <t>-LqlE3xSPBaphH1tcad_</t>
  </si>
  <si>
    <t>1570636581553</t>
  </si>
  <si>
    <t>-LqlE5TwGHEqt1Pq1p3y</t>
  </si>
  <si>
    <t>1570636587778</t>
  </si>
  <si>
    <t>-LqlE7-XbvWamgyytIlE</t>
  </si>
  <si>
    <t>1570636593954</t>
  </si>
  <si>
    <t>-LqlE8jsV0TXHS-mY9Vf</t>
  </si>
  <si>
    <t>1570636601133</t>
  </si>
  <si>
    <t>-LqlEAF28y5b_1CNNNiJ</t>
  </si>
  <si>
    <t>1570636607323</t>
  </si>
  <si>
    <t>-LqlEBkGL3PUqXMllCQp</t>
  </si>
  <si>
    <t>1570636613533</t>
  </si>
  <si>
    <t>-LqlEDGnHNHoKmg1QX0L</t>
  </si>
  <si>
    <t>1570636619715</t>
  </si>
  <si>
    <t>-LqlEEm2y8U-4MGJVwEc</t>
  </si>
  <si>
    <t>1570636625875</t>
  </si>
  <si>
    <t>-LqlEGgWBq1qthUGyE4Y</t>
  </si>
  <si>
    <t>1570636633590</t>
  </si>
  <si>
    <t>-LqlEII1kNRN_Lt1KASz</t>
  </si>
  <si>
    <t>1570636640278</t>
  </si>
  <si>
    <t>-LqlEJnIFeNssKEP_GiB</t>
  </si>
  <si>
    <t>1570636646515</t>
  </si>
  <si>
    <t>-LqlELJEw3TdoeF2WE8U</t>
  </si>
  <si>
    <t>1570636652668</t>
  </si>
  <si>
    <t>-LqlEMp0eoTyoe8HBnNb</t>
  </si>
  <si>
    <t>1570636658835</t>
  </si>
  <si>
    <t>-LqlEOLX01q_IQiphB0v</t>
  </si>
  <si>
    <t>1570636665059</t>
  </si>
  <si>
    <t>-LqlEQ61jXU0n-fdzamQ</t>
  </si>
  <si>
    <t>1570636672273</t>
  </si>
  <si>
    <t>-LqlERa2WWz8I0dFaa82</t>
  </si>
  <si>
    <t>1570636678429</t>
  </si>
  <si>
    <t>-LqlET6JyKcIP1muCq2d</t>
  </si>
  <si>
    <t>1570636684593</t>
  </si>
  <si>
    <t>-LqlEUgmRl91ivESFx4C</t>
  </si>
  <si>
    <t>1570636691082</t>
  </si>
  <si>
    <t>-LqlEWR1Id6X_iwjP5IY</t>
  </si>
  <si>
    <t>1570636698035</t>
  </si>
  <si>
    <t>-LqlEY90MQyK8y_UTait</t>
  </si>
  <si>
    <t>1570636705234</t>
  </si>
  <si>
    <t>-LqlEZeNXzG23F58N--o</t>
  </si>
  <si>
    <t>1570636711396</t>
  </si>
  <si>
    <t>-LqlEa9XdDpRbtHStoNE</t>
  </si>
  <si>
    <t>1570636717555</t>
  </si>
  <si>
    <t>-LqlEbiWUdqi_rMSbA0m</t>
  </si>
  <si>
    <t>1570636723799</t>
  </si>
  <si>
    <t>-LqlEdbnJgkEL0ffSui-</t>
  </si>
  <si>
    <t>1570636731670</t>
  </si>
  <si>
    <t>-LqlEfC0fjsPbieMhc9v</t>
  </si>
  <si>
    <t>1570636738195</t>
  </si>
  <si>
    <t>-LqlEghHZRap2DUKy9qg</t>
  </si>
  <si>
    <t>1570636744354</t>
  </si>
  <si>
    <t>-LqlEiDrmXJcnY5sH40i</t>
  </si>
  <si>
    <t>1570636750528</t>
  </si>
  <si>
    <t>-LqlEjhmYBUL__q-w-c6</t>
  </si>
  <si>
    <t>1570636756673</t>
  </si>
  <si>
    <t>-LqlElFW63ovUVAfzyKW</t>
  </si>
  <si>
    <t>1570636762914</t>
  </si>
  <si>
    <t>-LqlEmzr0lXGI6erFT0y</t>
  </si>
  <si>
    <t>1570636770114</t>
  </si>
  <si>
    <t>-LqlEoV2dHUxDlFdA0i_</t>
  </si>
  <si>
    <t>1570636776273</t>
  </si>
  <si>
    <t>-LqlEq0XF59hnhZoTj__</t>
  </si>
  <si>
    <t>1570636782508</t>
  </si>
  <si>
    <t>-LqlErpfTM5mFMLu99Ec</t>
  </si>
  <si>
    <t>1570636788674</t>
  </si>
  <si>
    <t>-LqlEtXWAI3wtHrfePUg</t>
  </si>
  <si>
    <t>1570636796914</t>
  </si>
  <si>
    <t>-LqlEvN1DFzJG-nDMSiH</t>
  </si>
  <si>
    <t>1570636804435</t>
  </si>
  <si>
    <t>-LqlEx2H4RpuAfXpAgSV</t>
  </si>
  <si>
    <t>1570636811314</t>
  </si>
  <si>
    <t>-LqlEy_-W2GDBrU0UhXz</t>
  </si>
  <si>
    <t>1570636817539</t>
  </si>
  <si>
    <t>-LqlF-KVEht9cJB70CsG</t>
  </si>
  <si>
    <t>1570636824752</t>
  </si>
  <si>
    <t>-LqlF1CUfeRHmRNWIK2G</t>
  </si>
  <si>
    <t>1570636832450</t>
  </si>
  <si>
    <t>-LqlF2rlDIDi4qAHu9tf</t>
  </si>
  <si>
    <t>1570636839148</t>
  </si>
  <si>
    <t>-LqlF4b-3lNpGYmkLOTU</t>
  </si>
  <si>
    <t>1570636846355</t>
  </si>
  <si>
    <t>-LqlF66FfCqFCx0Ymoin</t>
  </si>
  <si>
    <t>1570636852514</t>
  </si>
  <si>
    <t>-LqlF7ckX0ZNDJ84R8eo</t>
  </si>
  <si>
    <t>1570636858752</t>
  </si>
  <si>
    <t>-LqlF9Y781ckR8923g_x</t>
  </si>
  <si>
    <t>1570636866493</t>
  </si>
  <si>
    <t>-LqlFB8RUdwG0lzZtaWw</t>
  </si>
  <si>
    <t>1570636873143</t>
  </si>
  <si>
    <t>-LqlFCk7wgFnIrsANYEK</t>
  </si>
  <si>
    <t>1570636879303</t>
  </si>
  <si>
    <t>-LqlFEPN0Y856-XQ_mcp</t>
  </si>
  <si>
    <t>1570636886507</t>
  </si>
  <si>
    <t>-LqlFFvqTOXARRmC86tl</t>
  </si>
  <si>
    <t>1570636892744</t>
  </si>
  <si>
    <t>-LqlFHp4cYf6TU2mzEon</t>
  </si>
  <si>
    <t>1570636900556</t>
  </si>
  <si>
    <t>-LqlFJ_2wvQV-6G220fT</t>
  </si>
  <si>
    <t>1570636907714</t>
  </si>
  <si>
    <t>-LqlFLCVuShvuYWAWtN7</t>
  </si>
  <si>
    <t>1570636914352</t>
  </si>
  <si>
    <t>-LqlFMhcrWwUAx4e7xY2</t>
  </si>
  <si>
    <t>1570636920507</t>
  </si>
  <si>
    <t>-LqlFOE61y80eziED6KM</t>
  </si>
  <si>
    <t>1570636926743</t>
  </si>
  <si>
    <t>-LqlFPjM_xWhgP4jWzXz</t>
  </si>
  <si>
    <t>1570636932903</t>
  </si>
  <si>
    <t>-LqlFRElBKMhZihQZk04</t>
  </si>
  <si>
    <t>1570636939057</t>
  </si>
  <si>
    <t>-LqlFSlFC5VJt6BQY858</t>
  </si>
  <si>
    <t>1570636945287</t>
  </si>
  <si>
    <t>-LqlFUGGOmzqzmK7Ca8M</t>
  </si>
  <si>
    <t>1570636951459</t>
  </si>
  <si>
    <t>-LqlFVlciPYbORNXH01l</t>
  </si>
  <si>
    <t>1570636957625</t>
  </si>
  <si>
    <t>-LqlFXGqr766YSyvyO2C</t>
  </si>
  <si>
    <t>1570636963783</t>
  </si>
  <si>
    <t>-LqlFYnG4STiBPN0fHPS</t>
  </si>
  <si>
    <t>1570636970032</t>
  </si>
  <si>
    <t>-LqlF_MMTxxwA1boNCfk</t>
  </si>
  <si>
    <t>1570636976182</t>
  </si>
  <si>
    <t>-LqlFb3GN6yhUzCoo1lj</t>
  </si>
  <si>
    <t>1570636983384</t>
  </si>
  <si>
    <t>-LqlFcZL2p4Cl-HhyeDK</t>
  </si>
  <si>
    <t>1570636989543</t>
  </si>
  <si>
    <t>-LqlFe3by8-35bPFLND1</t>
  </si>
  <si>
    <t>1570636995703</t>
  </si>
  <si>
    <t>-LqlFf_0PaMVuKSC5yd7</t>
  </si>
  <si>
    <t>1570637001945</t>
  </si>
  <si>
    <t>-LqlFhcLDRnOnJKBS8Za</t>
  </si>
  <si>
    <t>1570637009172</t>
  </si>
  <si>
    <t>-LqlFjL5Y3EuiJR2kBTh</t>
  </si>
  <si>
    <t>1570637017382</t>
  </si>
  <si>
    <t>-LqlFkr_nN5R86-Z4ZSS</t>
  </si>
  <si>
    <t>1570637023548</t>
  </si>
  <si>
    <t>-LqlFmQSzGzbWLzhxtT5</t>
  </si>
  <si>
    <t>1570637029783</t>
  </si>
  <si>
    <t>-LqlFo9zmM0sQUMtCN6H</t>
  </si>
  <si>
    <t>1570637036982</t>
  </si>
  <si>
    <t>-LqlFpuF2PWZZBIMFlfn</t>
  </si>
  <si>
    <t>1570637044176</t>
  </si>
  <si>
    <t>-LqlFrPKLEQ5UEne1oSI</t>
  </si>
  <si>
    <t>1570637050343</t>
  </si>
  <si>
    <t>-LqlFsubdprNeCpEW8er</t>
  </si>
  <si>
    <t>1570637056508</t>
  </si>
  <si>
    <t>-LqlFuTV-cnTKhvLlKY5</t>
  </si>
  <si>
    <t>1570637062746</t>
  </si>
  <si>
    <t>-LqlFwBevUcgfC8vwn3v</t>
  </si>
  <si>
    <t>1570637069941</t>
  </si>
  <si>
    <t>-LqlFxgpklttgIKsedzF</t>
  </si>
  <si>
    <t>1570637076102</t>
  </si>
  <si>
    <t>-LqlFzC4lD8en_Y2vjO4</t>
  </si>
  <si>
    <t>1570637082328</t>
  </si>
  <si>
    <t>-LqlG-wKNsPfK-a3oFur</t>
  </si>
  <si>
    <t>1570637089440</t>
  </si>
  <si>
    <t>-LqlG1U5ZVC5XCsVUq-0</t>
  </si>
  <si>
    <t>1570637095697</t>
  </si>
  <si>
    <t>-LqlG2z2zkefiDftIr1l</t>
  </si>
  <si>
    <t>1570637101866</t>
  </si>
  <si>
    <t>-LqlG4UbyDmOrmN9SvRN</t>
  </si>
  <si>
    <t>1570637108031</t>
  </si>
  <si>
    <t>-LqlG6057U1JmGipvvMX</t>
  </si>
  <si>
    <t>1570637114256</t>
  </si>
  <si>
    <t>-LqlG7WL6iVx2gFdwJJI</t>
  </si>
  <si>
    <t>1570637120486</t>
  </si>
  <si>
    <t>-LqlG9-KqCT67pHVFZN9</t>
  </si>
  <si>
    <t>1570637126581</t>
  </si>
  <si>
    <t>-LqlGAZLb--I4UMFJuJR</t>
  </si>
  <si>
    <t>1570637132817</t>
  </si>
  <si>
    <t>-LqlGCI_paPI3aNzpZdc</t>
  </si>
  <si>
    <t>1570637140018</t>
  </si>
  <si>
    <t>-LqlGDp4vwvOVUcYxGbt</t>
  </si>
  <si>
    <t>1570637146182</t>
  </si>
  <si>
    <t>-LqlGFZKHL1dEqyynAM8</t>
  </si>
  <si>
    <t>1570637153383</t>
  </si>
  <si>
    <t>-LqlGH3cCTUx-IV_jkmi</t>
  </si>
  <si>
    <t>1570637159546</t>
  </si>
  <si>
    <t>-LqlGIa4OvslX-24hlqx</t>
  </si>
  <si>
    <t>1570637165781</t>
  </si>
  <si>
    <t>-LqlGK44YVI8LbvqnqaD</t>
  </si>
  <si>
    <t>1570637171906</t>
  </si>
  <si>
    <t>-LqlGLacWfR70VIwaJR0</t>
  </si>
  <si>
    <t>1570637178098</t>
  </si>
  <si>
    <t>-LqlGN74HwMN_UTxKUTE</t>
  </si>
  <si>
    <t>1570637184327</t>
  </si>
  <si>
    <t>-LqlGOb6lBDGNvavVwnK</t>
  </si>
  <si>
    <t>1570637190428</t>
  </si>
  <si>
    <t>-LqlGQ7ah5wk8kYV5E4i</t>
  </si>
  <si>
    <t>1570637196661</t>
  </si>
  <si>
    <t>-LqlGRcq4ssyzPqCgzfC</t>
  </si>
  <si>
    <t>1570637202822</t>
  </si>
  <si>
    <t>-LqlGTC0fPuC3VzERE0H</t>
  </si>
  <si>
    <t>1570637209062</t>
  </si>
  <si>
    <t>-LqlGUv9nr4890gnP8sI</t>
  </si>
  <si>
    <t>1570637216256</t>
  </si>
  <si>
    <t>-LqlGWcW2hDCHo9YcT0_</t>
  </si>
  <si>
    <t>1570637223296</t>
  </si>
  <si>
    <t>-LqlGYS7CfuwZjoazFQR</t>
  </si>
  <si>
    <t>1570637230759</t>
  </si>
  <si>
    <t>-LqlG_BNKedbt1WTEueQ</t>
  </si>
  <si>
    <t>1570637237864</t>
  </si>
  <si>
    <t>-LqlGagb4Icm2uC8Lgnu</t>
  </si>
  <si>
    <t>1570637244030</t>
  </si>
  <si>
    <t>-LqlGcD9UiAJWd-72eiM</t>
  </si>
  <si>
    <t>1570637250264</t>
  </si>
  <si>
    <t>-LqlGe2v5Ptt70gGyATL</t>
  </si>
  <si>
    <t>1570637257771</t>
  </si>
  <si>
    <t>-LqlGfj7vojxxe5l0Lvy</t>
  </si>
  <si>
    <t>1570637264664</t>
  </si>
  <si>
    <t>-LqlGhEM_K6hghP5t9gq</t>
  </si>
  <si>
    <t>1570637270818</t>
  </si>
  <si>
    <t>-LqlGikrKkcbzi_n-kab</t>
  </si>
  <si>
    <t>1570637277058</t>
  </si>
  <si>
    <t>-LqlGkGG8PQaYJ0r_ebH</t>
  </si>
  <si>
    <t>1570637283225</t>
  </si>
  <si>
    <t>-LqlGllM4HXoWdLHbErD</t>
  </si>
  <si>
    <t>1570637289384</t>
  </si>
  <si>
    <t>-LqlGnWt3BVsZo9rBTAx</t>
  </si>
  <si>
    <t>1570637296588</t>
  </si>
  <si>
    <t>-LqlGp2MBK-oFOXXdYSp</t>
  </si>
  <si>
    <t>1570637302820</t>
  </si>
  <si>
    <t>-LqlGqYbT2sgxgz8-7JY</t>
  </si>
  <si>
    <t>1570637308979</t>
  </si>
  <si>
    <t>-LqlGs2uESD4lQqM4KJo</t>
  </si>
  <si>
    <t>1570637315144</t>
  </si>
  <si>
    <t>-LqlGtXs5RQ2G_axddug</t>
  </si>
  <si>
    <t>1570637321303</t>
  </si>
  <si>
    <t>-LqlGv4dQl6Kcu73oTkL</t>
  </si>
  <si>
    <t>1570637327544</t>
  </si>
  <si>
    <t>-LqlGwsbkzfejtum6es2</t>
  </si>
  <si>
    <t>1570637334693</t>
  </si>
  <si>
    <t>-LqlGyacp4ksmg53BTYg</t>
  </si>
  <si>
    <t>1570637341943</t>
  </si>
  <si>
    <t>-LqlH-5t_F_vyMxQFKbj</t>
  </si>
  <si>
    <t>1570637348104</t>
  </si>
  <si>
    <t>-LqlH0b84LQ-qa85Oer4</t>
  </si>
  <si>
    <t>1570637354265</t>
  </si>
  <si>
    <t>-LqlH27d3I2ySf0cr6ev</t>
  </si>
  <si>
    <t>1570637360505</t>
  </si>
  <si>
    <t>-LqlH3fM90DWVDxU7I-r</t>
  </si>
  <si>
    <t>1570637366688</t>
  </si>
  <si>
    <t>-LqlH5R5vyxwP1iol-p9</t>
  </si>
  <si>
    <t>1570637373864</t>
  </si>
  <si>
    <t>-LqlH793TOiwqszoQYRO</t>
  </si>
  <si>
    <t>1570637381063</t>
  </si>
  <si>
    <t>-LqlH8fOwZIw1iFfuRh8</t>
  </si>
  <si>
    <t>1570637387305</t>
  </si>
  <si>
    <t>-LqlHAAbRuSc_WVkcHmG</t>
  </si>
  <si>
    <t>1570637393471</t>
  </si>
  <si>
    <t>-LqlHBiXh3de2AVIbHB8</t>
  </si>
  <si>
    <t>1570637399640</t>
  </si>
  <si>
    <t>-LqlHDSIVcTyvXUItGn-</t>
  </si>
  <si>
    <t>1570637406823</t>
  </si>
  <si>
    <t>-LqlHFBLvnkZjlMVcU1f</t>
  </si>
  <si>
    <t>1570637412995</t>
  </si>
  <si>
    <t>-LqlHGiM5VuQzZFVAg10</t>
  </si>
  <si>
    <t>1570637420273</t>
  </si>
  <si>
    <t>-LqlHIDdbbKMW16jBSqh</t>
  </si>
  <si>
    <t>1570637426434</t>
  </si>
  <si>
    <t>-LqlHJiuNrnfjkk3Ol3q</t>
  </si>
  <si>
    <t>1570637432597</t>
  </si>
  <si>
    <t>-LqlHLEGgb2zzSnzSBl3</t>
  </si>
  <si>
    <t>1570637438753</t>
  </si>
  <si>
    <t>-LqlHN-u1RMC9_sqcy-t</t>
  </si>
  <si>
    <t>1570637444984</t>
  </si>
  <si>
    <t>-LqlHOW8frabjUufkh3G</t>
  </si>
  <si>
    <t>1570637452179</t>
  </si>
  <si>
    <t>-LqlHQ0AVYY4sIuuMhlT</t>
  </si>
  <si>
    <t>1570637458345</t>
  </si>
  <si>
    <t>-LqlHRXx5z4jsxwzWOKR</t>
  </si>
  <si>
    <t>1570637464517</t>
  </si>
  <si>
    <t>-LqlHT3OK6IEr1Ij-HWa</t>
  </si>
  <si>
    <t>1570637470669</t>
  </si>
  <si>
    <t>-LqlHUnmKDIEB2Y3qwwF</t>
  </si>
  <si>
    <t>1570637477944</t>
  </si>
  <si>
    <t>-LqlHWHovkpMUacPdv0U</t>
  </si>
  <si>
    <t>1570637484117</t>
  </si>
  <si>
    <t>-LqlHXmsa9flJ9HDaSsm</t>
  </si>
  <si>
    <t>1570637490264</t>
  </si>
  <si>
    <t>-LqlHZb79NQ6FhMeSay7</t>
  </si>
  <si>
    <t>1570637497658</t>
  </si>
  <si>
    <t>-LqlHaK8yZJWKIhQNHYJ</t>
  </si>
  <si>
    <t>1570637504745</t>
  </si>
  <si>
    <t>-LqlHbqOg1eKZz81alak</t>
  </si>
  <si>
    <t>1570637510905</t>
  </si>
  <si>
    <t>-LqlHdLtCKZLQvqbj92Q</t>
  </si>
  <si>
    <t>1570637517064</t>
  </si>
  <si>
    <t>-LqlHesOyG5OnEr0JVfG</t>
  </si>
  <si>
    <t>1570637523290</t>
  </si>
  <si>
    <t>-LqlHgMP-EZbr48TLOOz</t>
  </si>
  <si>
    <t>1570637529401</t>
  </si>
  <si>
    <t>-LqlHht1sRvDh7yI5olS</t>
  </si>
  <si>
    <t>1570637535624</t>
  </si>
  <si>
    <t>-LqlHjRqR4TkBLJVd8wn</t>
  </si>
  <si>
    <t>1570637541787</t>
  </si>
  <si>
    <t>-LqlHl8flrz9ANxqVh_H</t>
  </si>
  <si>
    <t>1570637548996</t>
  </si>
  <si>
    <t>-LqlHmf80gdAtPXNzXMI</t>
  </si>
  <si>
    <t>1570637555227</t>
  </si>
  <si>
    <t>-LqlHoANqLmqS9AQ3Em_</t>
  </si>
  <si>
    <t>1570637561384</t>
  </si>
  <si>
    <t>-LqlHpfZLzXWw4fVxAIJ</t>
  </si>
  <si>
    <t>1570637567554</t>
  </si>
  <si>
    <t>-LqlHrC9jJH_bQjpxg01</t>
  </si>
  <si>
    <t>1570637573784</t>
  </si>
  <si>
    <t>-LqlHshNfwwDVe8rwDbc</t>
  </si>
  <si>
    <t>1570637579947</t>
  </si>
  <si>
    <t>-LqlHuKMXFZ7Wm18MLWn</t>
  </si>
  <si>
    <t>1570637586106</t>
  </si>
  <si>
    <t>-LqlHvyJPu-nAE_txSs3</t>
  </si>
  <si>
    <t>1570637593308</t>
  </si>
  <si>
    <t>-LqlHxTDF1HG2IaE9x3n</t>
  </si>
  <si>
    <t>1570637599524</t>
  </si>
  <si>
    <t>-LqlHzHX-fU1E0i0ZHsE</t>
  </si>
  <si>
    <t>1570637605704</t>
  </si>
  <si>
    <t>-LqlI0-cgQBHy7spOtQM</t>
  </si>
  <si>
    <t>1570637613956</t>
  </si>
  <si>
    <t>-LqlI1VtwVomk0-VF_k1</t>
  </si>
  <si>
    <t>1570637620116</t>
  </si>
  <si>
    <t>-LqlI307F2mvglfVc5bo</t>
  </si>
  <si>
    <t>1570637626266</t>
  </si>
  <si>
    <t>-LqlI4XePSXs0MgtXUqH</t>
  </si>
  <si>
    <t>1570637632505</t>
  </si>
  <si>
    <t>-LqlI61so2RzuwF0bdb0</t>
  </si>
  <si>
    <t>1570637638662</t>
  </si>
  <si>
    <t>-LqlI7s_1hqA4VMNIbXc</t>
  </si>
  <si>
    <t>1570637644833</t>
  </si>
  <si>
    <t>-LqlI9YfllW2E7ynmgJx</t>
  </si>
  <si>
    <t>1570637653129</t>
  </si>
  <si>
    <t>-LqlIBN6VbUtYVdHjALb</t>
  </si>
  <si>
    <t>1570637659301</t>
  </si>
  <si>
    <t>-LqlID5-m9CSe2BCxznu</t>
  </si>
  <si>
    <t>1570637667531</t>
  </si>
  <si>
    <t>-LqlIE_Hd6ay2aoEiPSN</t>
  </si>
  <si>
    <t>1570637673627</t>
  </si>
  <si>
    <t>-LqlIG5bvbVtVtGTpQW1</t>
  </si>
  <si>
    <t>1570637679863</t>
  </si>
  <si>
    <t>-LqlIHaqQVRr6YL4qr_m</t>
  </si>
  <si>
    <t>1570637686022</t>
  </si>
  <si>
    <t>-LqlIJ7NiI13aKBQC72c</t>
  </si>
  <si>
    <t>1570637692263</t>
  </si>
  <si>
    <t>-LqlIKe-mL_GIXiSJcei</t>
  </si>
  <si>
    <t>1570637698422</t>
  </si>
  <si>
    <t>-LqlIMO56ECGgWVFN29k</t>
  </si>
  <si>
    <t>1570637705618</t>
  </si>
  <si>
    <t>-LqlINtLNGtZ4xmT5u4m</t>
  </si>
  <si>
    <t>1570637711784</t>
  </si>
  <si>
    <t>-LqlIPObCQCpn2CeGF8C</t>
  </si>
  <si>
    <t>1570637718007</t>
  </si>
  <si>
    <t>-LqlIR4tFyDeSgw61wvF</t>
  </si>
  <si>
    <t>1570637724183</t>
  </si>
  <si>
    <t>-LqlISgq5CTSNwl1K9Bq</t>
  </si>
  <si>
    <t>1570637731392</t>
  </si>
  <si>
    <t>-LqlIUR5uMOUkqa8DM_e</t>
  </si>
  <si>
    <t>1570637738606</t>
  </si>
  <si>
    <t>-LqlIVwLQo0Qh4V516XH</t>
  </si>
  <si>
    <t>1570637744747</t>
  </si>
  <si>
    <t>-LqlIXSqxvBM50tLT-DT</t>
  </si>
  <si>
    <t>1570637750983</t>
  </si>
  <si>
    <t>-LqlIYy7XDFdOAn1ZyLR</t>
  </si>
  <si>
    <t>1570637757137</t>
  </si>
  <si>
    <t>-LqlI_TLGKr2OZ4gDdGq</t>
  </si>
  <si>
    <t>1570637763315</t>
  </si>
  <si>
    <t>-LqlIazsb_-yecO5UjGr</t>
  </si>
  <si>
    <t>1570637769537</t>
  </si>
  <si>
    <t>-LqlIcTpZuOlhcS9Ekf7</t>
  </si>
  <si>
    <t>1570637775661</t>
  </si>
  <si>
    <t>-LqlIe-QimMQCD4fH_K1</t>
  </si>
  <si>
    <t>1570637781863</t>
  </si>
  <si>
    <t>-LqlIfUOocMZ8lf4Lu2J</t>
  </si>
  <si>
    <t>1570637788027</t>
  </si>
  <si>
    <t>-LqlIhQ4R3sG2rAWQSYI</t>
  </si>
  <si>
    <t>1570637795912</t>
  </si>
  <si>
    <t>-LqlIj1lez4OV7UwbhhK</t>
  </si>
  <si>
    <t>1570637802497</t>
  </si>
  <si>
    <t>-LqlIknLg4NlbVEBELVQ</t>
  </si>
  <si>
    <t>1570637809702</t>
  </si>
  <si>
    <t>-LqlImI___Xd7ucHmn7R</t>
  </si>
  <si>
    <t>1570637815862</t>
  </si>
  <si>
    <t>-LqlInnrjdZ_PJx9E6so</t>
  </si>
  <si>
    <t>1570637822028</t>
  </si>
  <si>
    <t>-LqlIpKLAcpxvg_Ot_VR</t>
  </si>
  <si>
    <t>1570637828262</t>
  </si>
  <si>
    <t>-LqlIqp_S9hgXwwU_-yX</t>
  </si>
  <si>
    <t>1570637834423</t>
  </si>
  <si>
    <t>-LqlIsKrShPhoFjlhFht</t>
  </si>
  <si>
    <t>1570637840583</t>
  </si>
  <si>
    <t>-LqlItq6eb9dWNtgboW7</t>
  </si>
  <si>
    <t>1570637846810</t>
  </si>
  <si>
    <t>-LqlIvLMvh0VOf6U58n6</t>
  </si>
  <si>
    <t>1570637852931</t>
  </si>
  <si>
    <t>-LqlIwrqNGdCvx3C6y3s</t>
  </si>
  <si>
    <t>1570637859141</t>
  </si>
  <si>
    <t>-LqlIyM0c14LYxbDK0nS</t>
  </si>
  <si>
    <t>1570637865303</t>
  </si>
  <si>
    <t>-LqlIztbLPwLW6J-wZUK</t>
  </si>
  <si>
    <t>1570637871544</t>
  </si>
  <si>
    <t>-LqlJ0e7xaMzbKcVMLwB</t>
  </si>
  <si>
    <t>1570637878759</t>
  </si>
  <si>
    <t>-LqlJ29NSTr_qgK7JU1y</t>
  </si>
  <si>
    <t>1570637884905</t>
  </si>
  <si>
    <t>-LqlJ3eYbJdD1-pz1Lhd</t>
  </si>
  <si>
    <t>1570637891063</t>
  </si>
  <si>
    <t>-LqlJ5B7mjfzcrQJP9vd</t>
  </si>
  <si>
    <t>1570637897304</t>
  </si>
  <si>
    <t>-LqlJ6gMH98ODYF-gdoy</t>
  </si>
  <si>
    <t>1570637903464</t>
  </si>
  <si>
    <t>-LqlJ8BdYHKwVqtheoJY</t>
  </si>
  <si>
    <t>1570637909634</t>
  </si>
  <si>
    <t>-LqlJ9gYVvqi0Bs3WWqT</t>
  </si>
  <si>
    <t>1570637915788</t>
  </si>
  <si>
    <t>-LqlJBDOj8-KgqjdDtX_</t>
  </si>
  <si>
    <t>1570637922023</t>
  </si>
  <si>
    <t>-LqlJCiXZP2rV_urPFUH</t>
  </si>
  <si>
    <t>1570637928179</t>
  </si>
  <si>
    <t>-LqlJEXTdNDwK6ccqgva</t>
  </si>
  <si>
    <t>1570637934353</t>
  </si>
  <si>
    <t>-LqlJGH7tt_KJVIbe6Z0</t>
  </si>
  <si>
    <t>1570637942584</t>
  </si>
  <si>
    <t>-LqlJI-8tQXT0gA4PbmB</t>
  </si>
  <si>
    <t>1570637949844</t>
  </si>
  <si>
    <t>-LqlJJWY-AwaSIVfLdEn</t>
  </si>
  <si>
    <t>1570637956023</t>
  </si>
  <si>
    <t>-LqlJL0t2oYsRAKi4c7e</t>
  </si>
  <si>
    <t>1570637962183</t>
  </si>
  <si>
    <t>-LqlJMX1H0oPKAXCeCn5</t>
  </si>
  <si>
    <t>1570637968345</t>
  </si>
  <si>
    <t>-LqlJO2egbW9qQbjF4cD</t>
  </si>
  <si>
    <t>1570637974583</t>
  </si>
  <si>
    <t>-LqlJPZ2U1vHKiT2jZbD</t>
  </si>
  <si>
    <t>1570637980744</t>
  </si>
  <si>
    <t>-LqlJR37TJ-_2px_HQa-</t>
  </si>
  <si>
    <t>1570637986904</t>
  </si>
  <si>
    <t>-LqlJSZRBAkISP5T94tS</t>
  </si>
  <si>
    <t>1570637993069</t>
  </si>
  <si>
    <t>-LqlJU4rHhEdrSBeoEGe</t>
  </si>
  <si>
    <t>1570637999303</t>
  </si>
  <si>
    <t>-LqlJVaH0MLmIUSu2fj6</t>
  </si>
  <si>
    <t>1570638005458</t>
  </si>
  <si>
    <t>-LqlJX5N8DvLw8aL_3WW</t>
  </si>
  <si>
    <t>1570638011627</t>
  </si>
  <si>
    <t>-LqlJYfb27rssz_pZ3Kj</t>
  </si>
  <si>
    <t>1570638018145</t>
  </si>
  <si>
    <t>-LqlJ_NLO7PoMnW-5-Xz</t>
  </si>
  <si>
    <t>1570638025058</t>
  </si>
  <si>
    <t>-LqlJasY3YrQsOJqdHB5</t>
  </si>
  <si>
    <t>1570638031223</t>
  </si>
  <si>
    <t>-LqlJcNrVpSpEuqL2jLz</t>
  </si>
  <si>
    <t>1570638037383</t>
  </si>
  <si>
    <t>-LqlJe8MqePBrIDiTyY0</t>
  </si>
  <si>
    <t>1570638044611</t>
  </si>
  <si>
    <t>-LqlJfertukZoj7viZ5Z</t>
  </si>
  <si>
    <t>1570638050824</t>
  </si>
  <si>
    <t>-LqlJhBMhzV22U7Cfcl0</t>
  </si>
  <si>
    <t>1570638056984</t>
  </si>
  <si>
    <t>-LqlJiuM7QtRifJUjDg3</t>
  </si>
  <si>
    <t>1570638064184</t>
  </si>
  <si>
    <t>-LqlJkQrZyZo24msCtkp</t>
  </si>
  <si>
    <t>1570638070348</t>
  </si>
  <si>
    <t>-LqlJlxJJDvueABATEFz</t>
  </si>
  <si>
    <t>1570638076591</t>
  </si>
  <si>
    <t>-LqlJnSckv3vQZ_akjBj</t>
  </si>
  <si>
    <t>1570638082743</t>
  </si>
  <si>
    <t>-LqlJpEMFbevVdf9-M40</t>
  </si>
  <si>
    <t>1570638088913</t>
  </si>
  <si>
    <t>-LqlJqiNe4Z9Hy41vIFN</t>
  </si>
  <si>
    <t>1570638096100</t>
  </si>
  <si>
    <t>-LqlJsErINNRaS3JvCNM</t>
  </si>
  <si>
    <t>1570638102344</t>
  </si>
  <si>
    <t>-LqlJtk8WqyYfgHwA-Uk</t>
  </si>
  <si>
    <t>1570638108503</t>
  </si>
  <si>
    <t>-LqlJvN1o7Jktm0xbTBB</t>
  </si>
  <si>
    <t>1570638115185</t>
  </si>
  <si>
    <t>-LqlJx-rGjRd2JBo4ay-</t>
  </si>
  <si>
    <t>1570638121869</t>
  </si>
  <si>
    <t>-LqlJyXMC_O3Gp1Qt822</t>
  </si>
  <si>
    <t>1570638128103</t>
  </si>
  <si>
    <t>-LqlK-2tQTidC_vY0iwO</t>
  </si>
  <si>
    <t>1570638134264</t>
  </si>
  <si>
    <t>-LqlK0oHOqvk8XMyWmyd</t>
  </si>
  <si>
    <t>1570638141465</t>
  </si>
  <si>
    <t>-LqlK2HBDFA2kLsDFfHy</t>
  </si>
  <si>
    <t>1570638147635</t>
  </si>
  <si>
    <t>-LqlK3rMTT08R4BRv2x7</t>
  </si>
  <si>
    <t>1570638153858</t>
  </si>
  <si>
    <t>-LqlK5_T08cCYAqkoxdB</t>
  </si>
  <si>
    <t>1570638161058</t>
  </si>
  <si>
    <t>-LqlK74bYV8wdwkpL9ex</t>
  </si>
  <si>
    <t>1570638167223</t>
  </si>
  <si>
    <t>-LqlK8_moSTvTPf2jjWt</t>
  </si>
  <si>
    <t>1570638173393</t>
  </si>
  <si>
    <t>-LqlKA57b6mcRdli691-</t>
  </si>
  <si>
    <t>1570638179634</t>
  </si>
  <si>
    <t>-LqlKBp4O0lzmRGLFJZW</t>
  </si>
  <si>
    <t>1570638185784</t>
  </si>
  <si>
    <t>-LqlKDOHIrWmSpaECK5C</t>
  </si>
  <si>
    <t>1570638192979</t>
  </si>
  <si>
    <t>-LqlKEsN0xjXbeje5_-2</t>
  </si>
  <si>
    <t>1570638199148</t>
  </si>
  <si>
    <t>-LqlKGOrITCedrF9ckqP</t>
  </si>
  <si>
    <t>1570638205383</t>
  </si>
  <si>
    <t>-LqlKHu2gjijFEP1zwyx</t>
  </si>
  <si>
    <t>1570638211544</t>
  </si>
  <si>
    <t>-LqlKJPNZugjDRKEa779</t>
  </si>
  <si>
    <t>1570638217703</t>
  </si>
  <si>
    <t>-LqlKKvr-bfDFOdLCfEC</t>
  </si>
  <si>
    <t>1570638223943</t>
  </si>
  <si>
    <t>-LqlKMR7n8YQPfuqheec</t>
  </si>
  <si>
    <t>1570638230103</t>
  </si>
  <si>
    <t>-LqlKNwRqy-bhEEK-nWN</t>
  </si>
  <si>
    <t>1570638236264</t>
  </si>
  <si>
    <t>-LqlKPRbH1un8ShsFABM</t>
  </si>
  <si>
    <t>1570638242434</t>
  </si>
  <si>
    <t>-LqlKQy7SmeBpe_g8czs</t>
  </si>
  <si>
    <t>1570638248668</t>
  </si>
  <si>
    <t>-LqlKT1dk-hPGNFbq21u</t>
  </si>
  <si>
    <t>1570638254823</t>
  </si>
  <si>
    <t>-LqlKUjd3jb00yukFLcN</t>
  </si>
  <si>
    <t>1570638264103</t>
  </si>
  <si>
    <t>-LqlKWEbqwWjd9umc7p5</t>
  </si>
  <si>
    <t>1570638270263</t>
  </si>
  <si>
    <t>-LqlKXjl1ioIA92UnjKc</t>
  </si>
  <si>
    <t>1570638276429</t>
  </si>
  <si>
    <t>-LqlKZF7qcwReAyEXNKp</t>
  </si>
  <si>
    <t>1570638282663</t>
  </si>
  <si>
    <t>-LqlK_mrFDGKUwI3J1GU</t>
  </si>
  <si>
    <t>1570638288828</t>
  </si>
  <si>
    <t>-LqlKbX5LNzBIKH4LIhP</t>
  </si>
  <si>
    <t>1570638296018</t>
  </si>
  <si>
    <t>-LqlKdJ4lNcWYsTtSVs0</t>
  </si>
  <si>
    <t>1570638302189</t>
  </si>
  <si>
    <t>-LqlKemsfM37323AHSKM</t>
  </si>
  <si>
    <t>1570638309392</t>
  </si>
  <si>
    <t>-LqlKgJL7-O8HXDTQ5zv</t>
  </si>
  <si>
    <t>1570638315617</t>
  </si>
  <si>
    <t>-LqlKhom_69AUrZU-onJ</t>
  </si>
  <si>
    <t>1570638321782</t>
  </si>
  <si>
    <t>-LqlKjK0uTRuHtA7lO-H</t>
  </si>
  <si>
    <t>1570638327958</t>
  </si>
  <si>
    <t>-LqlKkqPD37lYqm2Y-xS</t>
  </si>
  <si>
    <t>1570638334182</t>
  </si>
  <si>
    <t>-LqlKmLaR-prEU61QFRP</t>
  </si>
  <si>
    <t>1570638340342</t>
  </si>
  <si>
    <t>-LqlKns2qvp1-37WXkUI</t>
  </si>
  <si>
    <t>1570638346504</t>
  </si>
  <si>
    <t>-LqlKpM7LS0fxTs3N_2g</t>
  </si>
  <si>
    <t>1570638352667</t>
  </si>
  <si>
    <t>-LqlKqu1w63-2EWRm9Wt</t>
  </si>
  <si>
    <t>1570638358912</t>
  </si>
  <si>
    <t>-LqlKsNKiZmrRCyNWfUT</t>
  </si>
  <si>
    <t>1570638365058</t>
  </si>
  <si>
    <t>-LqlKtt6S95KcPYMbM0z</t>
  </si>
  <si>
    <t>1570638371224</t>
  </si>
  <si>
    <t>-LqlKvPa_ddQ4nrZUQGg</t>
  </si>
  <si>
    <t>1570638377461</t>
  </si>
  <si>
    <t>-LqlKwurOBbe_jKqjzkK</t>
  </si>
  <si>
    <t>1570638383623</t>
  </si>
  <si>
    <t>-LqlKyPrQPxotxuqzjDX</t>
  </si>
  <si>
    <t>1570638389789</t>
  </si>
  <si>
    <t>-LqlKzvQlIA-JQgJZpn6</t>
  </si>
  <si>
    <t>1570638395942</t>
  </si>
  <si>
    <t>-LqlL0RsGnT6FNdVxQNf</t>
  </si>
  <si>
    <t>1570638402180</t>
  </si>
  <si>
    <t>-LqlL1x5cVGZRrp6onMB</t>
  </si>
  <si>
    <t>1570638408345</t>
  </si>
  <si>
    <t>-LqlL3SL_X3ArhbqWtM2</t>
  </si>
  <si>
    <t>1570638414502</t>
  </si>
  <si>
    <t>-LqlL50b1ZD3liuFQbJN</t>
  </si>
  <si>
    <t>1570638420949</t>
  </si>
  <si>
    <t>-LqlL6jL04l_OD2WTL5A</t>
  </si>
  <si>
    <t>1570638427937</t>
  </si>
  <si>
    <t>-LqlL8E4JrXcHNS36HbX</t>
  </si>
  <si>
    <t>1570638434104</t>
  </si>
  <si>
    <t>-LqlL9jrgpb0ShQuUzVu</t>
  </si>
  <si>
    <t>1570638440264</t>
  </si>
  <si>
    <t>-LqlLBF55orkwQZKOMXJ</t>
  </si>
  <si>
    <t>1570638446432</t>
  </si>
  <si>
    <t>-LqlLClWtTPcHUyJDjPf</t>
  </si>
  <si>
    <t>1570638452662</t>
  </si>
  <si>
    <t>-LqlLEVrWJRI_XegyN1g</t>
  </si>
  <si>
    <t>1570638459788</t>
  </si>
  <si>
    <t>-LqlLG1LFzgK3dTfKSZf</t>
  </si>
  <si>
    <t>1570638466022</t>
  </si>
  <si>
    <t>-LqlLHYqBoEFyRE9qF6k</t>
  </si>
  <si>
    <t>1570638472193</t>
  </si>
  <si>
    <t>-LqlLJ2188_pC8SBPYbW</t>
  </si>
  <si>
    <t>1570638478403</t>
  </si>
  <si>
    <t>-LqlLKZGuSPAnAfhr9JX</t>
  </si>
  <si>
    <t>1570638484577</t>
  </si>
  <si>
    <t>-LqlLM3bm826pnmCWvlC</t>
  </si>
  <si>
    <t>1570638490742</t>
  </si>
  <si>
    <t>-LqlLNjlwvmHadrr92fi</t>
  </si>
  <si>
    <t>1570638496983</t>
  </si>
  <si>
    <t>-LqlLPLeQwSYsui5hWvT</t>
  </si>
  <si>
    <t>1570638504183</t>
  </si>
  <si>
    <t>-LqlLQpN7qDPcbGjRRZk</t>
  </si>
  <si>
    <t>1570638510344</t>
  </si>
  <si>
    <t>-LqlLSdnBex89QmQLzlZ</t>
  </si>
  <si>
    <t>1570638517720</t>
  </si>
  <si>
    <t>-LqlLUMrEzVNVR8Cx-W3</t>
  </si>
  <si>
    <t>1570638524748</t>
  </si>
  <si>
    <t>-LqlLVtMbBZhgpIepWxI</t>
  </si>
  <si>
    <t>1570638530982</t>
  </si>
  <si>
    <t>-LqlLXhm2Pl_qMaG9azk</t>
  </si>
  <si>
    <t>1570638538415</t>
  </si>
  <si>
    <t>-LqlLZPLTRM6JccpnXQ_</t>
  </si>
  <si>
    <t>1570638545382</t>
  </si>
  <si>
    <t>-LqlL_x7P5zJKBIZZIg_</t>
  </si>
  <si>
    <t>1570638551542</t>
  </si>
  <si>
    <t>-LqlLbfC0XGzkrG6Bmx6</t>
  </si>
  <si>
    <t>1570638558754</t>
  </si>
  <si>
    <t>-LqlLdBpvwIawJFTXW_M</t>
  </si>
  <si>
    <t>1570638564993</t>
  </si>
  <si>
    <t>-LqlLegsEXW8J4Z5y4Lc</t>
  </si>
  <si>
    <t>1570638571142</t>
  </si>
  <si>
    <t>-LqlLgC6V74kRHx1Y_FN</t>
  </si>
  <si>
    <t>1570638577302</t>
  </si>
  <si>
    <t>-LqlLhiaCoiZztNr-l3L</t>
  </si>
  <si>
    <t>1570638583537</t>
  </si>
  <si>
    <t>-LqlLjDrrMCbSvU0qNnc</t>
  </si>
  <si>
    <t>1570638589702</t>
  </si>
  <si>
    <t>-LqlLkzIME4eQAUNaVYH</t>
  </si>
  <si>
    <t>1570638596903</t>
  </si>
  <si>
    <t>-LqlLmUcCsXsom_uYrOw</t>
  </si>
  <si>
    <t>1570638603072</t>
  </si>
  <si>
    <t>-LqlLo0HCC106CS97Oo7</t>
  </si>
  <si>
    <t>1570638609299</t>
  </si>
  <si>
    <t>-LqlLpWM9WlikhxbtiL9</t>
  </si>
  <si>
    <t>1570638615463</t>
  </si>
  <si>
    <t>-LqlLr9T5JpqxxVMp7-F</t>
  </si>
  <si>
    <t>1570638622183</t>
  </si>
  <si>
    <t>-LqlLsly1wEUUw8h04Nj</t>
  </si>
  <si>
    <t>1570638628829</t>
  </si>
  <si>
    <t>-LqlLuIbzkrC4Vt2iz3K</t>
  </si>
  <si>
    <t>1570638635048</t>
  </si>
  <si>
    <t>-LqlLvv9AxvK7lAI8dFE</t>
  </si>
  <si>
    <t>1570638641222</t>
  </si>
  <si>
    <t>-LqlLxZLTjVIRG3F_xBF</t>
  </si>
  <si>
    <t>1570638648424</t>
  </si>
  <si>
    <t>-LqlLz3cJpHEs9VP_izC</t>
  </si>
  <si>
    <t>1570638654584</t>
  </si>
  <si>
    <t>-LqlM-aBBUSPELjW6zWw</t>
  </si>
  <si>
    <t>1570638660825</t>
  </si>
  <si>
    <t>-LqlM15E5hnm0cdDq-Io</t>
  </si>
  <si>
    <t>1570638666985</t>
  </si>
  <si>
    <t>-LqlM2bqmT84UgRv7LMe</t>
  </si>
  <si>
    <t>1570638673145</t>
  </si>
  <si>
    <t>-LqlM4MpnN-RyddWMjAn</t>
  </si>
  <si>
    <t>1570638680344</t>
  </si>
  <si>
    <t>-LqlM5tr1W8pP9LgRpal</t>
  </si>
  <si>
    <t>1570638686584</t>
  </si>
  <si>
    <t>-LqlM7eN_IfKB2bzt-9c</t>
  </si>
  <si>
    <t>1570638693784</t>
  </si>
  <si>
    <t>-LqlM9ON4p_FIAEgY5Zb</t>
  </si>
  <si>
    <t>1570638700983</t>
  </si>
  <si>
    <t>-LqlMAtsMAP26Cgzk3Vn</t>
  </si>
  <si>
    <t>1570638707143</t>
  </si>
  <si>
    <t>-LqlMCPD55XXGKBET89a</t>
  </si>
  <si>
    <t>1570638713317</t>
  </si>
  <si>
    <t>-LqlMDuLjU-eHDSuOYlo</t>
  </si>
  <si>
    <t>1570638719473</t>
  </si>
  <si>
    <t>-LqlMFQq3EnrtCo2YhGj</t>
  </si>
  <si>
    <t>1570638725704</t>
  </si>
  <si>
    <t>-LqlMHCaocCj-B-vGqPf</t>
  </si>
  <si>
    <t>1570638731863</t>
  </si>
  <si>
    <t>-LqlMIgkEKhR48Yo_9Q7</t>
  </si>
  <si>
    <t>1570638739056</t>
  </si>
  <si>
    <t>-LqlMKBjO8ALSoerJP1V</t>
  </si>
  <si>
    <t>1570638745316</t>
  </si>
  <si>
    <t>-LqlMLiQndk9NkJGnVbD</t>
  </si>
  <si>
    <t>1570638751461</t>
  </si>
  <si>
    <t>-LqlMND_5L_b9vvPYKlw</t>
  </si>
  <si>
    <t>1570638757621</t>
  </si>
  <si>
    <t>-LqlMOyaHNpDjTSgCZo-</t>
  </si>
  <si>
    <t>1570638763862</t>
  </si>
  <si>
    <t>-LqlMQVdcu2gUh19OMqm</t>
  </si>
  <si>
    <t>1570638771062</t>
  </si>
  <si>
    <t>-LqlMS-oasQxev7t2VBu</t>
  </si>
  <si>
    <t>1570638777222</t>
  </si>
  <si>
    <t>-LqlMTXG5hA5thYASNbR</t>
  </si>
  <si>
    <t>1570638783383</t>
  </si>
  <si>
    <t>-LqlMV0MkLV4qGYoyx9E</t>
  </si>
  <si>
    <t>1570638789542</t>
  </si>
  <si>
    <t>-LqlMWXqRSk4VjFBFo7F</t>
  </si>
  <si>
    <t>1570638795782</t>
  </si>
  <si>
    <t>-LqlMY20Q9xYPrhtF0SJ</t>
  </si>
  <si>
    <t>1570638801943</t>
  </si>
  <si>
    <t>-LqlMZYLEFMhIDnqfGmh</t>
  </si>
  <si>
    <t>1570638808107</t>
  </si>
  <si>
    <t>-LqlMa3oo_9id6AqFtq3</t>
  </si>
  <si>
    <t>1570638814341</t>
  </si>
  <si>
    <t>-LqlMbpKo9irvtlG0-PE</t>
  </si>
  <si>
    <t>1570638821541</t>
  </si>
  <si>
    <t>-LqlMdK_HyAXJhE1dRv8</t>
  </si>
  <si>
    <t>1570638827697</t>
  </si>
  <si>
    <t>-LqlMeppgsgPSReXVGty</t>
  </si>
  <si>
    <t>1570638833872</t>
  </si>
  <si>
    <t>-LqlMgLOtnH_mBwFCprl</t>
  </si>
  <si>
    <t>1570638840052</t>
  </si>
  <si>
    <t>-LqlMhrfpXVdHk-AimsP</t>
  </si>
  <si>
    <t>1570638846261</t>
  </si>
  <si>
    <t>-LqlMjc5C6pzyTqC_jLE</t>
  </si>
  <si>
    <t>1570638852463</t>
  </si>
  <si>
    <t>-LqlMlJdGcQDzWI-BbYQ</t>
  </si>
  <si>
    <t>1570638859685</t>
  </si>
  <si>
    <t>-LqlMmu46DnO8sb9toH1</t>
  </si>
  <si>
    <t>1570638866901</t>
  </si>
  <si>
    <t>-LqlMoPGNkZ8LMtGsaB2</t>
  </si>
  <si>
    <t>1570638873063</t>
  </si>
  <si>
    <t>-LqlMpu_-ZgeEwyy1BvJ</t>
  </si>
  <si>
    <t>1570638879217</t>
  </si>
  <si>
    <t>-LqlMrfISYH64QC5J9FS</t>
  </si>
  <si>
    <t>1570638886481</t>
  </si>
  <si>
    <t>-LqlMtB_LWQ0nYOHjYM5</t>
  </si>
  <si>
    <t>1570638892671</t>
  </si>
  <si>
    <t>-LqlMux0PVnyt43q6ZZ8</t>
  </si>
  <si>
    <t>1570638899863</t>
  </si>
  <si>
    <t>-LqlMwT_NMA5X_D80Rsx</t>
  </si>
  <si>
    <t>1570638906030</t>
  </si>
  <si>
    <t>-LqlMyCqlVC4ileJmsOJ</t>
  </si>
  <si>
    <t>1570638913222</t>
  </si>
  <si>
    <t>-LqlMzi0nqFwVdoHSDiy</t>
  </si>
  <si>
    <t>1570638919392</t>
  </si>
  <si>
    <t>-LqlN0EZ_RdYkoFcUemu</t>
  </si>
  <si>
    <t>1570638925622</t>
  </si>
  <si>
    <t>-LqlN1jrv1dKtBpfPwWi</t>
  </si>
  <si>
    <t>1570638931782</t>
  </si>
  <si>
    <t>-LqlN3E-J3autsCpNjHz</t>
  </si>
  <si>
    <t>1570638937941</t>
  </si>
  <si>
    <t>-LqlN564_f1J-hpul55v</t>
  </si>
  <si>
    <t>1570638944182</t>
  </si>
  <si>
    <t>-LqlN6mFOFpV5NmXOpjT</t>
  </si>
  <si>
    <t>1570638952432</t>
  </si>
  <si>
    <t>-LqlN8Hmjf30VadMuZlI</t>
  </si>
  <si>
    <t>1570638958583</t>
  </si>
  <si>
    <t>-LqlN9n-CqbPKB6UpvpS</t>
  </si>
  <si>
    <t>1570638964740</t>
  </si>
  <si>
    <t>-LqlNBI3Og_mzv-avUJC</t>
  </si>
  <si>
    <t>1570638970965</t>
  </si>
  <si>
    <t>-LqlNCoU-icUOgXn00fK</t>
  </si>
  <si>
    <t>1570638977141</t>
  </si>
  <si>
    <t>-LqlNEaq7MNFpypdliib</t>
  </si>
  <si>
    <t>1570638983318</t>
  </si>
  <si>
    <t>-LqlNGKb5IADPaGhb_rz</t>
  </si>
  <si>
    <t>1570638991542</t>
  </si>
  <si>
    <t>-LqlNHr5RsbjmHzcFDh-</t>
  </si>
  <si>
    <t>1570638997707</t>
  </si>
  <si>
    <t>-LqlNJL5tSyELe9TeMTx</t>
  </si>
  <si>
    <t>1570639003867</t>
  </si>
  <si>
    <t>-LqlNKrC595hz3fcO1jn</t>
  </si>
  <si>
    <t>1570639010098</t>
  </si>
  <si>
    <t>-LqlNMMsWwXaTYFKjHEu</t>
  </si>
  <si>
    <t>1570639016262</t>
  </si>
  <si>
    <t>-LqlNNs5QwsUwVpIMwNY</t>
  </si>
  <si>
    <t>1570639022487</t>
  </si>
  <si>
    <t>-LqlNPgM2UFCx7LGpwwQ</t>
  </si>
  <si>
    <t>1570639029872</t>
  </si>
  <si>
    <t>-LqlNRPKMXJHX088LTOz</t>
  </si>
  <si>
    <t>1570639036904</t>
  </si>
  <si>
    <t>-LqlNSua3_MPlqMXAo3r</t>
  </si>
  <si>
    <t>1570639043062</t>
  </si>
  <si>
    <t>-LqlNUSNmlCxYeiDHVl5</t>
  </si>
  <si>
    <t>1570639049232</t>
  </si>
  <si>
    <t>-LqlNWE21CyLI5dYFS9m</t>
  </si>
  <si>
    <t>1570639056502</t>
  </si>
  <si>
    <t>-LqlNXx6P-PC54bnDWT8</t>
  </si>
  <si>
    <t>1570639063698</t>
  </si>
  <si>
    <t>-LqlNZSXFPuy0dOz92Cy</t>
  </si>
  <si>
    <t>1570639069862</t>
  </si>
  <si>
    <t>-LqlN_xWMYYH6tiSmvhc</t>
  </si>
  <si>
    <t>1570639076023</t>
  </si>
  <si>
    <t>-LqlNbVIKK4UOweNWWyZ</t>
  </si>
  <si>
    <t>1570639082365</t>
  </si>
  <si>
    <t>-LqlNdEazSOuoC1cs4xf</t>
  </si>
  <si>
    <t>1570639089457</t>
  </si>
  <si>
    <t>-LqlNejq06iproteRtBE</t>
  </si>
  <si>
    <t>1570639095625</t>
  </si>
  <si>
    <t>-LqlNgF589_2m8BLQmue</t>
  </si>
  <si>
    <t>1570639101785</t>
  </si>
  <si>
    <t>-LqlNhrsCFs3Lr5bsXzi</t>
  </si>
  <si>
    <t>1570639108208</t>
  </si>
  <si>
    <t>-LqlNjrLi9UjiExT2Qea</t>
  </si>
  <si>
    <t>1570639115222</t>
  </si>
  <si>
    <t>-LqlNlXqLsaK09z4oN6d</t>
  </si>
  <si>
    <t>1570639123457</t>
  </si>
  <si>
    <t>-LqlNn215ZUrkGF2Far1</t>
  </si>
  <si>
    <t>1570639129625</t>
  </si>
  <si>
    <t>-LqlNoX6Xje5ilWZQjL6</t>
  </si>
  <si>
    <t>1570639135787</t>
  </si>
  <si>
    <t>-LqlNq2atjoczeWtUtM_</t>
  </si>
  <si>
    <t>1570639141967</t>
  </si>
  <si>
    <t>-LqlNr_5kGsPLV3V6qfr</t>
  </si>
  <si>
    <t>1570639148177</t>
  </si>
  <si>
    <t>-LqlNt4NVb7rMZEleBBn</t>
  </si>
  <si>
    <t>1570639154342</t>
  </si>
  <si>
    <t>-LqlNu_loXHhDYdJmMaB</t>
  </si>
  <si>
    <t>1570639160512</t>
  </si>
  <si>
    <t>-LqlNwMNPD6AD4gJKbjI</t>
  </si>
  <si>
    <t>1570639167797</t>
  </si>
  <si>
    <t>-LqlNxqLE49i8_Xo_4JS</t>
  </si>
  <si>
    <t>1570639173944</t>
  </si>
  <si>
    <t>-LqlNzMqJpEZf08yBdQj</t>
  </si>
  <si>
    <t>1570639180103</t>
  </si>
  <si>
    <t>-LqlO-s5R8-XHSfEsLiD</t>
  </si>
  <si>
    <t>1570639186327</t>
  </si>
  <si>
    <t>-LqlO1Oaoyk-eWScUdl8</t>
  </si>
  <si>
    <t>1570639192503</t>
  </si>
  <si>
    <t>-LqlO2slQwwxcO4VHA12</t>
  </si>
  <si>
    <t>1570639198648</t>
  </si>
  <si>
    <t>-LqlO4hpzXZVfGl301zm</t>
  </si>
  <si>
    <t>1570639204832</t>
  </si>
  <si>
    <t>-LqlO6PlX1Pcq6efX6oe</t>
  </si>
  <si>
    <t>1570639213068</t>
  </si>
  <si>
    <t>-LqlO7wLHeSK1-7eciu2</t>
  </si>
  <si>
    <t>1570639219302</t>
  </si>
  <si>
    <t>-LqlO9RaqhzIcbrqb4tT</t>
  </si>
  <si>
    <t>1570639225462</t>
  </si>
  <si>
    <t>-LqlOAy08LhwAuX0yGPO</t>
  </si>
  <si>
    <t>1570639231622</t>
  </si>
  <si>
    <t>-LqlOCS5hUaQdZ6vohGm</t>
  </si>
  <si>
    <t>1570639237787</t>
  </si>
  <si>
    <t>-LqlODyc8FbAVI_80JEz</t>
  </si>
  <si>
    <t>1570639244018</t>
  </si>
  <si>
    <t>-LqlOFTqoJiaakZuw_Rs</t>
  </si>
  <si>
    <t>1570639250182</t>
  </si>
  <si>
    <t>-LqlOHBmzTsZe6uwY4cU</t>
  </si>
  <si>
    <t>1570639257283</t>
  </si>
  <si>
    <t>-LqlOIjexTVOtIq-uDJE</t>
  </si>
  <si>
    <t>1570639263609</t>
  </si>
  <si>
    <t>-LqlOKGG4DjUpGAhuHBk</t>
  </si>
  <si>
    <t>1570639269778</t>
  </si>
  <si>
    <t>-LqlOLlG9SGTnDNNH0UD</t>
  </si>
  <si>
    <t>1570639275942</t>
  </si>
  <si>
    <t>-LqlONRqyDkE6HoyOmey</t>
  </si>
  <si>
    <t>1570639282786</t>
  </si>
  <si>
    <t>-LqlOP2NW4Iy9YeJavrs</t>
  </si>
  <si>
    <t>1570639289385</t>
  </si>
  <si>
    <t>-LqlOQYW783SOaiKviJ6</t>
  </si>
  <si>
    <t>1570639295543</t>
  </si>
  <si>
    <t>-LqlOS2wjSZPEhEGa1JA</t>
  </si>
  <si>
    <t>1570639301703</t>
  </si>
  <si>
    <t>-LqlOTZCdFgkv-5Nmurz</t>
  </si>
  <si>
    <t>1570639307864</t>
  </si>
  <si>
    <t>-LqlOVINRVo-yns7D9i1</t>
  </si>
  <si>
    <t>1570639314106</t>
  </si>
  <si>
    <t>-LqlOWq55__HvS-ad21Y</t>
  </si>
  <si>
    <t>1570639321302</t>
  </si>
  <si>
    <t>-LqlOYLXmF3kvGRrDb0y</t>
  </si>
  <si>
    <t>1570639327447</t>
  </si>
  <si>
    <t>-LqlOZqb3mVuHDK94Ysf</t>
  </si>
  <si>
    <t>1570639333629</t>
  </si>
  <si>
    <t>-LqlOaNDj169tOjDl9wt</t>
  </si>
  <si>
    <t>1570639339862</t>
  </si>
  <si>
    <t>-LqlObyWgA_mpGljJWVI</t>
  </si>
  <si>
    <t>1570639346452</t>
  </si>
  <si>
    <t>-LqlOdcrdxuv6WJfTHam</t>
  </si>
  <si>
    <t>1570639353222</t>
  </si>
  <si>
    <t>-LqlOf87uQNmXFhpcoq9</t>
  </si>
  <si>
    <t>1570639359387</t>
  </si>
  <si>
    <t>-LqlOgeccZlizOCB1zRG</t>
  </si>
  <si>
    <t>1570639365617</t>
  </si>
  <si>
    <t>-LqlOiB5Jnsv3hKKA-6Z</t>
  </si>
  <si>
    <t>1570639371777</t>
  </si>
  <si>
    <t>-LqlOjxt9dAV0MxOy0Jn</t>
  </si>
  <si>
    <t>1570639377942</t>
  </si>
  <si>
    <t>-LqlOlfrBjWWkcwxK8Nc</t>
  </si>
  <si>
    <t>1570639386185</t>
  </si>
  <si>
    <t>-LqlOnDlBnOpY2Z_GIvk</t>
  </si>
  <si>
    <t>1570639392424</t>
  </si>
  <si>
    <t>-LqlOoxtfNybhG8eDWMs</t>
  </si>
  <si>
    <t>1570639399618</t>
  </si>
  <si>
    <t>-LqlOqT8PiMetP4PAXkT</t>
  </si>
  <si>
    <t>1570639405793</t>
  </si>
  <si>
    <t>-LqlOryO7LjaOibMlzWx</t>
  </si>
  <si>
    <t>1570639411950</t>
  </si>
  <si>
    <t>-LqlOtUrteYjsAQosj_O</t>
  </si>
  <si>
    <t>1570639418183</t>
  </si>
  <si>
    <t>-LqlOv-63yCy_hnYaPjp</t>
  </si>
  <si>
    <t>1570639424345</t>
  </si>
  <si>
    <t>-LqlOwVOCbV_WCNDF2mq</t>
  </si>
  <si>
    <t>1570639430504</t>
  </si>
  <si>
    <t>-LqlOyFo8lxcFolXWYAg</t>
  </si>
  <si>
    <t>1570639437714</t>
  </si>
  <si>
    <t>-LqlOzmPMivDsIeyrrks</t>
  </si>
  <si>
    <t>1570639443944</t>
  </si>
  <si>
    <t>-LqlP0HcVE50glPjyVO9</t>
  </si>
  <si>
    <t>1570639450103</t>
  </si>
  <si>
    <t>-LqlP1mrUCQxWQdkj64X</t>
  </si>
  <si>
    <t>1570639456263</t>
  </si>
  <si>
    <t>-LqlP3J7frqZCw5ZX981</t>
  </si>
  <si>
    <t>1570639462505</t>
  </si>
  <si>
    <t>-LqlP4nUeLgj66Zk3OF3</t>
  </si>
  <si>
    <t>1570639468664</t>
  </si>
  <si>
    <t>-LqlP6JrrJPh-CPjUffH</t>
  </si>
  <si>
    <t>1570639474825</t>
  </si>
  <si>
    <t>-LqlP7p6R7tO2PHAYE-y</t>
  </si>
  <si>
    <t>1570639480995</t>
  </si>
  <si>
    <t>-LqlP9Lbyi3XCQpYtwyL</t>
  </si>
  <si>
    <t>1570639487219</t>
  </si>
  <si>
    <t>-LqlPBSlUwbY_1jv_sXP</t>
  </si>
  <si>
    <t>1570639494932</t>
  </si>
  <si>
    <t>-LqlPD6r8HsM95DArlx9</t>
  </si>
  <si>
    <t>1570639502659</t>
  </si>
  <si>
    <t>-LqlPEc8KWWETQpKrD4M</t>
  </si>
  <si>
    <t>1570639508836</t>
  </si>
  <si>
    <t>-LqlPGHOUSekjrf0EYUf</t>
  </si>
  <si>
    <t>1570639515617</t>
  </si>
  <si>
    <t>-LqlPHss1psw2pkhA-8h</t>
  </si>
  <si>
    <t>1570639522208</t>
  </si>
  <si>
    <t>-LqlPJPal9X4lWlBZi_H</t>
  </si>
  <si>
    <t>1570639528425</t>
  </si>
  <si>
    <t>-LqlPLDgBH2UkaeuGHnJ</t>
  </si>
  <si>
    <t>1570639534585</t>
  </si>
  <si>
    <t>-LqlPMu7B34jhZzxcHSJ</t>
  </si>
  <si>
    <t>1570639542824</t>
  </si>
  <si>
    <t>-LqlPOQdzjLIkL6203ab</t>
  </si>
  <si>
    <t>1570639549048</t>
  </si>
  <si>
    <t>-LqlPQV5R8y4BJUfQt_m</t>
  </si>
  <si>
    <t>1570639555223</t>
  </si>
  <si>
    <t>-LqlPSLP5USSopOmSamn</t>
  </si>
  <si>
    <t>1570639565112</t>
  </si>
  <si>
    <t>-LqlPTybnhhHMhZk22dx</t>
  </si>
  <si>
    <t>1570639571705</t>
  </si>
  <si>
    <t>-LqlPVTsaetH0xgwZoM1</t>
  </si>
  <si>
    <t>1570639577864</t>
  </si>
  <si>
    <t>-LqlPWz8USlF2-DsF-87</t>
  </si>
  <si>
    <t>1570639584029</t>
  </si>
  <si>
    <t>-LqlPYVX_4e8zGjlORmr</t>
  </si>
  <si>
    <t>1570639590258</t>
  </si>
  <si>
    <t>-LqlP_GNvfMFQMEm1DBS</t>
  </si>
  <si>
    <t>1570639596437</t>
  </si>
  <si>
    <t>-LqlPaxLFdUf4vpmom_i</t>
  </si>
  <si>
    <t>1570639603623</t>
  </si>
  <si>
    <t>-LqlPcWrF0BKCT8KR4lK</t>
  </si>
  <si>
    <t>1570639610823</t>
  </si>
  <si>
    <t>-LqlPe1AjdDEst8CSAQ7</t>
  </si>
  <si>
    <t>1570639617048</t>
  </si>
  <si>
    <t>-LqlPfYYQMS5iIGZKclY</t>
  </si>
  <si>
    <t>1570639623218</t>
  </si>
  <si>
    <t>-LqlPh2sq3Uege3M-VnA</t>
  </si>
  <si>
    <t>1570639629383</t>
  </si>
  <si>
    <t>-LqlPiZ0m6HswPEp5xhq</t>
  </si>
  <si>
    <t>1570639635543</t>
  </si>
  <si>
    <t>-LqlPk5u-3_40hiThHlx</t>
  </si>
  <si>
    <t>1570639641783</t>
  </si>
  <si>
    <t>-LqlPlq6J4rS_7x2PEoi</t>
  </si>
  <si>
    <t>1570639648993</t>
  </si>
  <si>
    <t>-LqlPnLIRVoqLqzvoi_V</t>
  </si>
  <si>
    <t>1570639655143</t>
  </si>
  <si>
    <t>-LqlPoqcgUq9aI4ri3OA</t>
  </si>
  <si>
    <t>1570639661298</t>
  </si>
  <si>
    <t>-LqlPqNCDmRl3jJYu-I0</t>
  </si>
  <si>
    <t>1570639667538</t>
  </si>
  <si>
    <t>-LqlPrum8ognSjW-HtOu</t>
  </si>
  <si>
    <t>1570639673703</t>
  </si>
  <si>
    <t>-LqlPtcmNve9FT5Q692c</t>
  </si>
  <si>
    <t>1570639680914</t>
  </si>
  <si>
    <t>-LqlPv87RQS0Cz9I6CLO</t>
  </si>
  <si>
    <t>1570639687063</t>
  </si>
  <si>
    <t>-LqlPweheGni7DCIWJyx</t>
  </si>
  <si>
    <t>1570639693299</t>
  </si>
  <si>
    <t>-LqlPy8bLvvgtPaYaVFM</t>
  </si>
  <si>
    <t>1570639699449</t>
  </si>
  <si>
    <t>-LqlPzirsMvlvj2oFD3G</t>
  </si>
  <si>
    <t>1570639705623</t>
  </si>
  <si>
    <t>-LqlQ0RsGgQ6DeMw0vTb</t>
  </si>
  <si>
    <t>1570639712823</t>
  </si>
  <si>
    <t>-LqlQ1x25yHfGKPM_uA8</t>
  </si>
  <si>
    <t>1570639719048</t>
  </si>
  <si>
    <t>-LqlQ3SRG5QMTEw1sE2G</t>
  </si>
  <si>
    <t>1570639725210</t>
  </si>
  <si>
    <t>-LqlQ5-8bEb8qyKa_u-U</t>
  </si>
  <si>
    <t>1570639731385</t>
  </si>
  <si>
    <t>-LqlQ6hsBUoAYbYS2kkv</t>
  </si>
  <si>
    <t>1570639738584</t>
  </si>
  <si>
    <t>-LqlQ8Ehc-keaLJxU4pY</t>
  </si>
  <si>
    <t>1570639744835</t>
  </si>
  <si>
    <t>-LqlQ9orXoGOdilcyjqH</t>
  </si>
  <si>
    <t>1570639750983</t>
  </si>
  <si>
    <t>-LqlQBVOX8hBV_XPrS5_</t>
  </si>
  <si>
    <t>1570639758184</t>
  </si>
  <si>
    <t>-LqlQD-aNeccnm97Q-TP</t>
  </si>
  <si>
    <t>1570639764338</t>
  </si>
  <si>
    <t>-LqlQEVq1nn691S6-DC1</t>
  </si>
  <si>
    <t>1570639770514</t>
  </si>
  <si>
    <t>-LqlQG3cOwMMjkVS7Ud4</t>
  </si>
  <si>
    <t>1570639776743</t>
  </si>
  <si>
    <t>-LqlQHmq6SoHZF-Rh28S</t>
  </si>
  <si>
    <t>1570639783944</t>
  </si>
  <si>
    <t>-LqlQJI7aQJW-5WGEs4Q</t>
  </si>
  <si>
    <t>1570639790106</t>
  </si>
  <si>
    <t>-LqlQKoXDbHFgOwTJTHQ</t>
  </si>
  <si>
    <t>1570639796330</t>
  </si>
  <si>
    <t>-LqlQMIccFBa0uZeCKhj</t>
  </si>
  <si>
    <t>1570639802429</t>
  </si>
  <si>
    <t>-LqlQO3Ii_Z0W-w9CurQ</t>
  </si>
  <si>
    <t>1570639808665</t>
  </si>
  <si>
    <t>-LqlQPsM47O702grMb8o</t>
  </si>
  <si>
    <t>1570639817083</t>
  </si>
  <si>
    <t>-LqlQRaNdHIz-7h2Bx9P</t>
  </si>
  <si>
    <t>1570639824104</t>
  </si>
  <si>
    <t>-LqlQT6soosYfpA0QKGH</t>
  </si>
  <si>
    <t>1570639830328</t>
  </si>
  <si>
    <t>-LqlQUsMeeOe0p_m9_-N</t>
  </si>
  <si>
    <t>1570639837540</t>
  </si>
  <si>
    <t>-LqlQWNdKKuXGfHctOri</t>
  </si>
  <si>
    <t>1570639843703</t>
  </si>
  <si>
    <t>-LqlQXstVbLERVzlOb-g</t>
  </si>
  <si>
    <t>1570639849864</t>
  </si>
  <si>
    <t>-LqlQZQcuBre0gS7IHvM</t>
  </si>
  <si>
    <t>1570639856040</t>
  </si>
  <si>
    <t>-LqlQaRMiRl-IIxgECmW</t>
  </si>
  <si>
    <t>1570639864441</t>
  </si>
  <si>
    <t>-LqlQcAdEcicYtJ6SXBA</t>
  </si>
  <si>
    <t>1570639871544</t>
  </si>
  <si>
    <t>-LqlQdfsrwmO1FDs15PC</t>
  </si>
  <si>
    <t>1570639877703</t>
  </si>
  <si>
    <t>-LqlQfB7vaxvEuFJPVe9</t>
  </si>
  <si>
    <t>1570639883863</t>
  </si>
  <si>
    <t>-LqlQghl3cRLhKDiLhMx</t>
  </si>
  <si>
    <t>1570639890028</t>
  </si>
  <si>
    <t>-LqlQiBj3g89_5BA5HSB</t>
  </si>
  <si>
    <t>1570639896193</t>
  </si>
  <si>
    <t>-LqlQjhtUGPiGXct016T</t>
  </si>
  <si>
    <t>1570639902427</t>
  </si>
  <si>
    <t>-LqlQlDJBdTtIwWK2yGu</t>
  </si>
  <si>
    <t>1570639908586</t>
  </si>
  <si>
    <t>-LqlQmjoModsxy0Kp-Wv</t>
  </si>
  <si>
    <t>1570639914834</t>
  </si>
  <si>
    <t>-LqlQoDsYZ5aZGP1VEV-</t>
  </si>
  <si>
    <t>1570639920914</t>
  </si>
  <si>
    <t>-LqlQpkWjghRRdUZqads</t>
  </si>
  <si>
    <t>1570639927143</t>
  </si>
  <si>
    <t>-LqlQrFbkRCj_L-hWuj4</t>
  </si>
  <si>
    <t>1570639933308</t>
  </si>
  <si>
    <t>-LqlQsocCRVKsytIH8aM</t>
  </si>
  <si>
    <t>1570639939703</t>
  </si>
  <si>
    <t>-LqlQuXcW9lr3tNnHBwf</t>
  </si>
  <si>
    <t>1570639946745</t>
  </si>
  <si>
    <t>-LqlQw1t6dqEVQumI5F-</t>
  </si>
  <si>
    <t>1570639952905</t>
  </si>
  <si>
    <t>-LqlQxY7YzWCvBXY5bhr</t>
  </si>
  <si>
    <t>1570639959065</t>
  </si>
  <si>
    <t>-LqlQz3bs3tKpBPFK_KD</t>
  </si>
  <si>
    <t>1570639965303</t>
  </si>
  <si>
    <t>-LqlR-ZrUCpvR_wDzC3V</t>
  </si>
  <si>
    <t>1570639971465</t>
  </si>
  <si>
    <t>-LqlR14H3TD2pa90yYaI</t>
  </si>
  <si>
    <t>1570639977679</t>
  </si>
  <si>
    <t>-LqlR2ammuyMhCYyUtX5</t>
  </si>
  <si>
    <t>1570639983786</t>
  </si>
  <si>
    <t>-LqlR44cUMBcfeb6mr7W</t>
  </si>
  <si>
    <t>1570639989943</t>
  </si>
  <si>
    <t>-LqlR5bBY2U9MVe0s2cy</t>
  </si>
  <si>
    <t>1570639996184</t>
  </si>
  <si>
    <t>-LqlR76NTWRfIRIP6db6</t>
  </si>
  <si>
    <t>1570640002344</t>
  </si>
  <si>
    <t>-LqlR8d0aTdRpK4YRkQJ</t>
  </si>
  <si>
    <t>1570640008583</t>
  </si>
  <si>
    <t>-LqlRA87w0XrJtltHpFV</t>
  </si>
  <si>
    <t>1570640014743</t>
  </si>
  <si>
    <t>-LqlRBdOt3kvSB0kHg51</t>
  </si>
  <si>
    <t>1570640020903</t>
  </si>
  <si>
    <t>-LqlRDQOsqgALtjNX2GQ</t>
  </si>
  <si>
    <t>1570640027063</t>
  </si>
  <si>
    <t>-LqlREu5VaEGyyQTiA5T</t>
  </si>
  <si>
    <t>1570640034273</t>
  </si>
  <si>
    <t>-LqlRGQcRkRyi29xGdrn</t>
  </si>
  <si>
    <t>1570640040502</t>
  </si>
  <si>
    <t>-LqlRHvmtJeMv_q_begn</t>
  </si>
  <si>
    <t>1570640046674</t>
  </si>
  <si>
    <t>-LqlRJR7v-bCEf5-dQ6r</t>
  </si>
  <si>
    <t>1570640052823</t>
  </si>
  <si>
    <t>-LqlRKxbEIgQia9xKB2m</t>
  </si>
  <si>
    <t>1570640059049</t>
  </si>
  <si>
    <t>-LqlRMRbZz1kX8FGuyVZ</t>
  </si>
  <si>
    <t>1570640065148</t>
  </si>
  <si>
    <t>-LqlRNzL-kTMlt-q7Lkt</t>
  </si>
  <si>
    <t>1570640071378</t>
  </si>
  <si>
    <t>-LqlRPiXdXqB1Th2wNS_</t>
  </si>
  <si>
    <t>1570640078595</t>
  </si>
  <si>
    <t>-LqlRRF6dkW0WbzvkS5-</t>
  </si>
  <si>
    <t>1570640084814</t>
  </si>
  <si>
    <t>-LqlRSj6FlX2nSqpl1uz</t>
  </si>
  <si>
    <t>1570640090908</t>
  </si>
  <si>
    <t>-LqlRUFZAwGbH3isDwmv</t>
  </si>
  <si>
    <t>1570640097143</t>
  </si>
  <si>
    <t>-LqlRVks6PV-t0Y70VSP</t>
  </si>
  <si>
    <t>1570640103303</t>
  </si>
  <si>
    <t>-LqlRXHIgIqnm_JEOPzO</t>
  </si>
  <si>
    <t>1570640109558</t>
  </si>
  <si>
    <t>-LqlRYmb_GPuvXYUp130</t>
  </si>
  <si>
    <t>1570640115704</t>
  </si>
  <si>
    <t>-LqlR_HreedWj2FqCapa</t>
  </si>
  <si>
    <t>1570640121853</t>
  </si>
  <si>
    <t>-LqlRaoNG-WfnrXHgFqZ</t>
  </si>
  <si>
    <t>1570640128029</t>
  </si>
  <si>
    <t>-LqlRcIMAL9iw--1J6he</t>
  </si>
  <si>
    <t>1570640134183</t>
  </si>
  <si>
    <t>-LqlRdp1VJf6rh1DNiQl</t>
  </si>
  <si>
    <t>1570640140423</t>
  </si>
  <si>
    <t>-LqlRfK7DF07QWbAz2Vt</t>
  </si>
  <si>
    <t>1570640146594</t>
  </si>
  <si>
    <t>-LqlRgqb7pUm6BwlBR_Q</t>
  </si>
  <si>
    <t>1570640152754</t>
  </si>
  <si>
    <t>-LqlRiKXdCb07pauwki_</t>
  </si>
  <si>
    <t>1570640158909</t>
  </si>
  <si>
    <t>-LqlRjr8N5FWwkQqQoZt</t>
  </si>
  <si>
    <t>1570640165143</t>
  </si>
  <si>
    <t>-LqlRlMOajsXfo80s1Cl</t>
  </si>
  <si>
    <t>1570640171303</t>
  </si>
  <si>
    <t>-LqlRmsrB650BBWG_pgz</t>
  </si>
  <si>
    <t>1570640177544</t>
  </si>
  <si>
    <t>-LqlRoO7rzym_-P8w8Qh</t>
  </si>
  <si>
    <t>1570640183700</t>
  </si>
  <si>
    <t>-LqlRptMMsX_9l0136mW</t>
  </si>
  <si>
    <t>1570640189854</t>
  </si>
  <si>
    <t>-LqlRrObi7GW4A8tHvII</t>
  </si>
  <si>
    <t>1570640196024</t>
  </si>
  <si>
    <t>-LqlRsxZgHhOfcDwRn6T</t>
  </si>
  <si>
    <t>1570640202264</t>
  </si>
  <si>
    <t>-LqlRufq3UdZ3khFwtvJ</t>
  </si>
  <si>
    <t>1570640209463</t>
  </si>
  <si>
    <t>-LqlRwAuI8wxoEHJM4IG</t>
  </si>
  <si>
    <t>1570640215623</t>
  </si>
  <si>
    <t>-LqlRxgBYyW-bcqMBA9Z</t>
  </si>
  <si>
    <t>1570640221787</t>
  </si>
  <si>
    <t>-LqlRzCbXcEX173mLpMm</t>
  </si>
  <si>
    <t>1570640228033</t>
  </si>
  <si>
    <t>-LqlS-x8yvUoXy2Yt8wx</t>
  </si>
  <si>
    <t>1570640234183</t>
  </si>
  <si>
    <t>-LqlS1S7mu9mDWEBcNoG</t>
  </si>
  <si>
    <t>1570640241356</t>
  </si>
  <si>
    <t>-LqlS307nFyDGWDKIPew</t>
  </si>
  <si>
    <t>1570640247545</t>
  </si>
  <si>
    <t>-LqlS4j7_P3cbUYOh6Rz</t>
  </si>
  <si>
    <t>1570640254759</t>
  </si>
  <si>
    <t>-LqlS6FdnLN8sSMKPye7</t>
  </si>
  <si>
    <t>1570640260986</t>
  </si>
  <si>
    <t>-LqlS7kwBMcvEouYU702</t>
  </si>
  <si>
    <t>1570640267144</t>
  </si>
  <si>
    <t>-LqlS9GEnhil-2lsyebg</t>
  </si>
  <si>
    <t>1570640273310</t>
  </si>
  <si>
    <t>-LqlSAp9uU-nec3hZ1vR</t>
  </si>
  <si>
    <t>1570640279697</t>
  </si>
  <si>
    <t>-LqlSCY7YWFIIFOV7Ega</t>
  </si>
  <si>
    <t>1570640286744</t>
  </si>
  <si>
    <t>-LqlSEInlsi2WrUtSpp8</t>
  </si>
  <si>
    <t>1570640293954</t>
  </si>
  <si>
    <t>-LqlSFnsbNeN2inkp-Z6</t>
  </si>
  <si>
    <t>1570640300106</t>
  </si>
  <si>
    <t>-LqlSHJCZivmYuW5xdjO</t>
  </si>
  <si>
    <t>1570640306266</t>
  </si>
  <si>
    <t>-LqlSIpqQNmfIMYeusYM</t>
  </si>
  <si>
    <t>1570640312501</t>
  </si>
  <si>
    <t>-LqlSKJZN2OsoOT-CPNN</t>
  </si>
  <si>
    <t>1570640318679</t>
  </si>
  <si>
    <t>-LqlSLrIZmPgAxZBpHN6</t>
  </si>
  <si>
    <t>1570640324824</t>
  </si>
  <si>
    <t>-LqlSNZf1EZboDby0d29</t>
  </si>
  <si>
    <t>1570640330991</t>
  </si>
  <si>
    <t>-LqlSPUxQnOsFlXpBVjM</t>
  </si>
  <si>
    <t>1570640338264</t>
  </si>
  <si>
    <t>-LqlSR7uh_mc3IT1neYc</t>
  </si>
  <si>
    <t>1570640346519</t>
  </si>
  <si>
    <t>-LqlSSd9f2i080ap6giy</t>
  </si>
  <si>
    <t>1570640352671</t>
  </si>
  <si>
    <t>-LqlSUNZ737gyG2cQQjm</t>
  </si>
  <si>
    <t>1570640359815</t>
  </si>
  <si>
    <t>-LqlSVtsaqgYwjebBHoE</t>
  </si>
  <si>
    <t>1570640366024</t>
  </si>
  <si>
    <t>-LqlSXQNjV9IgjWfAJM4</t>
  </si>
  <si>
    <t>1570640372267</t>
  </si>
  <si>
    <t>-LqlSYvdHMNi9bvimSii</t>
  </si>
  <si>
    <t>1570640378436</t>
  </si>
  <si>
    <t>-LqlS_gA5D_DzYvsMXsW</t>
  </si>
  <si>
    <t>1570640385625</t>
  </si>
  <si>
    <t>-LqlSbBOTbm8cVo7hQrU</t>
  </si>
  <si>
    <t>1570640391784</t>
  </si>
  <si>
    <t>-LqlSchuT5bpeTOz2in-</t>
  </si>
  <si>
    <t>1570640398021</t>
  </si>
  <si>
    <t>-LqlSeDAgEDqB0FJ7mIH</t>
  </si>
  <si>
    <t>1570640404184</t>
  </si>
  <si>
    <t>-LqlSfiQ5LzOHPMW6Xvz</t>
  </si>
  <si>
    <t>1570640410345</t>
  </si>
  <si>
    <t>-LqlShDemGO30yUE-2h0</t>
  </si>
  <si>
    <t>1570640416508</t>
  </si>
  <si>
    <t>-LqlSik3kJJdRstJbbzi</t>
  </si>
  <si>
    <t>1570640422744</t>
  </si>
  <si>
    <t>-LqlSkFOjYwGv9XwgeD_</t>
  </si>
  <si>
    <t>1570640428907</t>
  </si>
  <si>
    <t>-LqlSlkYDq6WFuKmndhL</t>
  </si>
  <si>
    <t>1570640435064</t>
  </si>
  <si>
    <t>-LqlSnW8wpL8nMDjSUKh</t>
  </si>
  <si>
    <t>1570640441234</t>
  </si>
  <si>
    <t>-LqlSp1ctMwbhSMY4vYL</t>
  </si>
  <si>
    <t>1570640448510</t>
  </si>
  <si>
    <t>-LqlSqoQ4mR4_ezgbaLv</t>
  </si>
  <si>
    <t>1570640455798</t>
  </si>
  <si>
    <t>-LqlSsINVfQnrs1LGYDh</t>
  </si>
  <si>
    <t>1570640461863</t>
  </si>
  <si>
    <t>-LqlStnbtwzlOTkRRC19</t>
  </si>
  <si>
    <t>1570640468018</t>
  </si>
  <si>
    <t>-LqlSvJ1IX8Sef9DRv1E</t>
  </si>
  <si>
    <t>1570640474245</t>
  </si>
  <si>
    <t>-LqlSwpOQeEiFdZ4PcC4</t>
  </si>
  <si>
    <t>1570640480426</t>
  </si>
  <si>
    <t>-LqlSyKoe42wq0juVuOv</t>
  </si>
  <si>
    <t>1570640486599</t>
  </si>
  <si>
    <t>-LqlSzvtMuOzyYH5P9CO</t>
  </si>
  <si>
    <t>1570640492750</t>
  </si>
  <si>
    <t>-LqlT0aOUkMbyEpbeRJk</t>
  </si>
  <si>
    <t>1570640499967</t>
  </si>
  <si>
    <t>-LqlT26mgNuOpOj2YqNp</t>
  </si>
  <si>
    <t>1570640506178</t>
  </si>
  <si>
    <t>-LqlT3cGbdCVQ_t2YEMa</t>
  </si>
  <si>
    <t>1570640512345</t>
  </si>
  <si>
    <t>-LqlT57IoCJicXF7W4zT</t>
  </si>
  <si>
    <t>1570640518503</t>
  </si>
  <si>
    <t>-LqlT6e0mHO3aC_0C4qO</t>
  </si>
  <si>
    <t>1570640524743</t>
  </si>
  <si>
    <t>-LqlT8ARMzajCfK0wFBv</t>
  </si>
  <si>
    <t>1570640530904</t>
  </si>
  <si>
    <t>-LqlT9uconLiLHYmiYAl</t>
  </si>
  <si>
    <t>1570640538104</t>
  </si>
  <si>
    <t>-LqlTBPn0ZFhVCEwRgOR</t>
  </si>
  <si>
    <t>1570640544265</t>
  </si>
  <si>
    <t>-LqlTCwNJEfNI3V07acY</t>
  </si>
  <si>
    <t>1570640550505</t>
  </si>
  <si>
    <t>-LqlTEgsBvViUv4gD1u6</t>
  </si>
  <si>
    <t>1570640556675</t>
  </si>
  <si>
    <t>-LqlTGC8y7AyIfBeloUw</t>
  </si>
  <si>
    <t>1570640563868</t>
  </si>
  <si>
    <t>-LqlTI0Nc9JNXMJxKCyI</t>
  </si>
  <si>
    <t>1570640570023</t>
  </si>
  <si>
    <t>-LqlTJi1OtllXEMXAQNR</t>
  </si>
  <si>
    <t>1570640578265</t>
  </si>
  <si>
    <t>-LqlTLEnFi9krtDIRJH2</t>
  </si>
  <si>
    <t>1570640584503</t>
  </si>
  <si>
    <t>-LqlTMl68G40jN_xig1u</t>
  </si>
  <si>
    <t>1570640590664</t>
  </si>
  <si>
    <t>-LqlTOWd6q03Jrqr8ai0</t>
  </si>
  <si>
    <t>1570640597866</t>
  </si>
  <si>
    <t>-LqlTQFtCSuGIqHUa9Vq</t>
  </si>
  <si>
    <t>1570640605066</t>
  </si>
  <si>
    <t>-LqlTRl7EhnpldhUFP8q</t>
  </si>
  <si>
    <t>1570640611235</t>
  </si>
  <si>
    <t>-LqlTTIrUepH_-iL-MxA</t>
  </si>
  <si>
    <t>1570640617461</t>
  </si>
  <si>
    <t>-LqlTV27tsx1zkQyIvXq</t>
  </si>
  <si>
    <t>1570640624665</t>
  </si>
  <si>
    <t>-LqlTWYMGns2McHO-vc1</t>
  </si>
  <si>
    <t>1570640630826</t>
  </si>
  <si>
    <t>-LqlTY2cf7C6M3cPBPvZ</t>
  </si>
  <si>
    <t>1570640637044</t>
  </si>
  <si>
    <t>-LqlTZhwDE88nKjA62XA</t>
  </si>
  <si>
    <t>1570640643779</t>
  </si>
  <si>
    <t>-LqlTaJOUKyIGO2NLRxt</t>
  </si>
  <si>
    <t>1570640650378</t>
  </si>
  <si>
    <t>-LqlTbr88kx2u9o6Zz7T</t>
  </si>
  <si>
    <t>1570640656583</t>
  </si>
  <si>
    <t>-LqlTdNlXxGIjHVh7Ria</t>
  </si>
  <si>
    <t>1570640662748</t>
  </si>
  <si>
    <t>-LqlTfQcKh-kwoN_vEoq</t>
  </si>
  <si>
    <t>1570640670033</t>
  </si>
  <si>
    <t>-LqlTh7c1Yjw1XmiraaR</t>
  </si>
  <si>
    <t>1570640678266</t>
  </si>
  <si>
    <t>-LqlTivlweWRMFR_I_LZ</t>
  </si>
  <si>
    <t>1570640684424</t>
  </si>
  <si>
    <t>-LqlTkdbOXTPlQeSDl-g</t>
  </si>
  <si>
    <t>1570640692663</t>
  </si>
  <si>
    <t>-LqlTm8rj1T1BHoLHNj7</t>
  </si>
  <si>
    <t>1570640698825</t>
  </si>
  <si>
    <t>-LqlTne5Hf04L4NPfu23</t>
  </si>
  <si>
    <t>1570640704993</t>
  </si>
  <si>
    <t>-LqlTpAYbJd6npoj_aUR</t>
  </si>
  <si>
    <t>1570640711223</t>
  </si>
  <si>
    <t>-LqlTqfrGY1BIGvbT0tg</t>
  </si>
  <si>
    <t>1570640717383</t>
  </si>
  <si>
    <t>-LqlTsBDWLX942zmYotv</t>
  </si>
  <si>
    <t>1570640723539</t>
  </si>
  <si>
    <t>-LqlTthctEHoxmoHNKMJ</t>
  </si>
  <si>
    <t>1570640729784</t>
  </si>
  <si>
    <t>-LqlTvCrUgmKGJyKVfl-</t>
  </si>
  <si>
    <t>1570640735954</t>
  </si>
  <si>
    <t>-LqlTwjLR8QYlg1tgDRn</t>
  </si>
  <si>
    <t>1570640742103</t>
  </si>
  <si>
    <t>-LqlTyTc_tDhXn0NYupm</t>
  </si>
  <si>
    <t>1570640749299</t>
  </si>
  <si>
    <t>-LqlU-0Cj7PMKOg3rzaV</t>
  </si>
  <si>
    <t>1570640755664</t>
  </si>
  <si>
    <t>-LqlU0kcSSDFgz7grPe-</t>
  </si>
  <si>
    <t>1570640762743</t>
  </si>
  <si>
    <t>-LqlU2H6-UK26mZaQxxL</t>
  </si>
  <si>
    <t>1570640768903</t>
  </si>
  <si>
    <t>-LqlU4-6_Rexe4rmIRFD</t>
  </si>
  <si>
    <t>1570640776093</t>
  </si>
  <si>
    <t>-LqlU5WmD2ZyPLdZOCVu</t>
  </si>
  <si>
    <t>1570640782269</t>
  </si>
  <si>
    <t>-LqlU727Ka6gGS06N2F2</t>
  </si>
  <si>
    <t>1570640788503</t>
  </si>
  <si>
    <t>-LqlU8YNSMc-awbwmpRt</t>
  </si>
  <si>
    <t>1570640794659</t>
  </si>
  <si>
    <t>-LqlUA2bc_aNsn5SPiWK</t>
  </si>
  <si>
    <t>1570640800824</t>
  </si>
  <si>
    <t>-LqlUBYsMNglBe8po1I4</t>
  </si>
  <si>
    <t>1570640806993</t>
  </si>
  <si>
    <t>-LqlUD4MzysInGf4n4a_</t>
  </si>
  <si>
    <t>1570640813225</t>
  </si>
  <si>
    <t>-LqlUEatkvrwwx5Y5-qQ</t>
  </si>
  <si>
    <t>1570640819383</t>
  </si>
  <si>
    <t>-LqlUGL6BGAlpFFH-XH8</t>
  </si>
  <si>
    <t>1570640826583</t>
  </si>
  <si>
    <t>-LqlUHrIJfpZf3_HE8jo</t>
  </si>
  <si>
    <t>1570640832810</t>
  </si>
  <si>
    <t>-LqlUJLlkwollZ76YKo8</t>
  </si>
  <si>
    <t>1570640838978</t>
  </si>
  <si>
    <t>-LqlUKs6o7VDRL2i15xI</t>
  </si>
  <si>
    <t>1570640845143</t>
  </si>
  <si>
    <t>-LqlUMNMhjhu67ojbpS0</t>
  </si>
  <si>
    <t>1570640851304</t>
  </si>
  <si>
    <t>-LqlUNtsBY_3tx6wfHqF</t>
  </si>
  <si>
    <t>1570640857544</t>
  </si>
  <si>
    <t>-LqlUPVMZEA83XQdHdUp</t>
  </si>
  <si>
    <t>1570640864090</t>
  </si>
  <si>
    <t>-LqlUR8HdElVAiT2r13E</t>
  </si>
  <si>
    <t>1570640870888</t>
  </si>
  <si>
    <t>-LqlUSerP4kHJpjtI2Jp</t>
  </si>
  <si>
    <t>1570640877064</t>
  </si>
  <si>
    <t>-LqlUUT56RY7Jx2p8coS</t>
  </si>
  <si>
    <t>1570640883304</t>
  </si>
  <si>
    <t>-LqlUWBtHAqWRRtww33z</t>
  </si>
  <si>
    <t>1570640891553</t>
  </si>
  <si>
    <t>-LqlUXr_24Kio27gRLoS</t>
  </si>
  <si>
    <t>1570640897703</t>
  </si>
  <si>
    <t>-LqlUZStsp983XlZuT0g</t>
  </si>
  <si>
    <t>1570640904904</t>
  </si>
  <si>
    <t>-LqlU_y6kJza49EVqJVJ</t>
  </si>
  <si>
    <t>1570640911065</t>
  </si>
  <si>
    <t>-LqlUbUPXT0qvJYIBYZ3</t>
  </si>
  <si>
    <t>1570640917305</t>
  </si>
  <si>
    <t>-LqlUczsydPCjqiP5UVg</t>
  </si>
  <si>
    <t>1570640923475</t>
  </si>
  <si>
    <t>-LqlUeUsOudJ6uyoLtv1</t>
  </si>
  <si>
    <t>1570640929625</t>
  </si>
  <si>
    <t>-LqlUg-Me6UVCTbHQkH6</t>
  </si>
  <si>
    <t>1570640935790</t>
  </si>
  <si>
    <t>-LqlUhWsjwx5ZFxiVGSG</t>
  </si>
  <si>
    <t>1570640942024</t>
  </si>
  <si>
    <t>-LqlUj16IKBEsI00cLjd</t>
  </si>
  <si>
    <t>1570640948183</t>
  </si>
  <si>
    <t>-LqlUkW782maHJbnVJ0_</t>
  </si>
  <si>
    <t>1570640954344</t>
  </si>
  <si>
    <t>-LqlUm2mhrQekLR_QiSw</t>
  </si>
  <si>
    <t>1570640960570</t>
  </si>
  <si>
    <t>-LqlUnXrG2ASJysDigML</t>
  </si>
  <si>
    <t>1570640966668</t>
  </si>
  <si>
    <t>-LqlUp3MPvyvcEtXINWh</t>
  </si>
  <si>
    <t>1570640972909</t>
  </si>
  <si>
    <t>-LqlUqZd8-eiEa-4atf_</t>
  </si>
  <si>
    <t>1570640979063</t>
  </si>
  <si>
    <t>-LqlUs6MYENoiz792bG0</t>
  </si>
  <si>
    <t>1570640985304</t>
  </si>
  <si>
    <t>-LqlUtqcEnvNj9saZ2Gd</t>
  </si>
  <si>
    <t>1570640992503</t>
  </si>
  <si>
    <t>-LqlUvLs2aVBOFSCbAvK</t>
  </si>
  <si>
    <t>1570640998658</t>
  </si>
  <si>
    <t>-LqlUwwGh7JwAOkv3D8y</t>
  </si>
  <si>
    <t>1570641004820</t>
  </si>
  <si>
    <t>-LqlUybckCrXFpnnG8NS</t>
  </si>
  <si>
    <t>1570641012034</t>
  </si>
  <si>
    <t>-LqlV-86QLdV3MS_zuat</t>
  </si>
  <si>
    <t>1570641018264</t>
  </si>
  <si>
    <t>-LqlV0dPeRMDGhdqk-PY</t>
  </si>
  <si>
    <t>1570641024425</t>
  </si>
  <si>
    <t>-LqlV28e1ohHvFxYLKpE</t>
  </si>
  <si>
    <t>1570641030586</t>
  </si>
  <si>
    <t>-LqlV3ds1j-dGoxxUIPJ</t>
  </si>
  <si>
    <t>1570641036824</t>
  </si>
  <si>
    <t>-LqlV5CtMKuj-zgWqP0T</t>
  </si>
  <si>
    <t>1570641042994</t>
  </si>
  <si>
    <t>-LqlV6vtux85YMDM1GV1</t>
  </si>
  <si>
    <t>1570641050185</t>
  </si>
  <si>
    <t>-LqlV8R6FMoStwhK38XF</t>
  </si>
  <si>
    <t>1570641056345</t>
  </si>
  <si>
    <t>-LqlV9xc231BbIOWX5CO</t>
  </si>
  <si>
    <t>1570641062568</t>
  </si>
  <si>
    <t>-LqlVBU8Qj7NeyCaRk5Z</t>
  </si>
  <si>
    <t>1570641068673</t>
  </si>
  <si>
    <t>-LqlVDDPmVKdGt7GiM1d</t>
  </si>
  <si>
    <t>1570641075944</t>
  </si>
  <si>
    <t>-LqlVEl6D1ry0MdgHMd1</t>
  </si>
  <si>
    <t>1570641082103</t>
  </si>
  <si>
    <t>-LqlVGU6MoQVWpumgMg2</t>
  </si>
  <si>
    <t>1570641089309</t>
  </si>
  <si>
    <t>-LqlVI-cpQ3o8765z6tD</t>
  </si>
  <si>
    <t>1570641095543</t>
  </si>
  <si>
    <t>-LqlVJniml39wnlsC4zj</t>
  </si>
  <si>
    <t>1570641102919</t>
  </si>
  <si>
    <t>-LqlVLW_BkcDAuajHf9J</t>
  </si>
  <si>
    <t>1570641109939</t>
  </si>
  <si>
    <t>-LqlVN0tX8lIv8-3_YcJ</t>
  </si>
  <si>
    <t>1570641116100</t>
  </si>
  <si>
    <t>-LqlVOYN7mVbPBFHS4i5</t>
  </si>
  <si>
    <t>1570641122331</t>
  </si>
  <si>
    <t>-LqlVQ2cER9zgi8sAiOF</t>
  </si>
  <si>
    <t>1570641128504</t>
  </si>
  <si>
    <t>-LqlVRYud8vWBXDTYdjq</t>
  </si>
  <si>
    <t>1570641134676</t>
  </si>
  <si>
    <t>-LqlVT5dnLMdYCXRdMVc</t>
  </si>
  <si>
    <t>1570641140836</t>
  </si>
  <si>
    <t>-LqlVUocHQCJHTszSV7X</t>
  </si>
  <si>
    <t>1570641148034</t>
  </si>
  <si>
    <t>-LqlVWLAFXNKhlXXzRkV</t>
  </si>
  <si>
    <t>1570641154270</t>
  </si>
  <si>
    <t>-LqlVXqOJ4uNezwdSO9d</t>
  </si>
  <si>
    <t>1570641160425</t>
  </si>
  <si>
    <t>-LqlVZLobkvRW07iNBDy</t>
  </si>
  <si>
    <t>1570641166586</t>
  </si>
  <si>
    <t>-LqlV_s8CDTTcEgCF2-w</t>
  </si>
  <si>
    <t>1570641172827</t>
  </si>
  <si>
    <t>-LqlVbNTNwlByWnVBnN7</t>
  </si>
  <si>
    <t>1570641178985</t>
  </si>
  <si>
    <t>-LqlVcscJzku2AdfuWhy</t>
  </si>
  <si>
    <t>1570641185146</t>
  </si>
  <si>
    <t>-LqlVechZk03y-9LMhSm</t>
  </si>
  <si>
    <t>1570641191304</t>
  </si>
  <si>
    <t>-LqlVg9Z7sxevsQ4L8NY</t>
  </si>
  <si>
    <t>1570641198577</t>
  </si>
  <si>
    <t>-LqlVhddxnb0Q16NWLau</t>
  </si>
  <si>
    <t>1570641204670</t>
  </si>
  <si>
    <t>-LqlVjA9AnF_2TOqjTbd</t>
  </si>
  <si>
    <t>1570641210906</t>
  </si>
  <si>
    <t>-LqlVkfPHKh21HrrMx9B</t>
  </si>
  <si>
    <t>1570641217066</t>
  </si>
  <si>
    <t>-LqlVmBtdGVOK6ed1l0a</t>
  </si>
  <si>
    <t>1570641223316</t>
  </si>
  <si>
    <t>-LqlVniPqBZv9dHE5OZM</t>
  </si>
  <si>
    <t>1570641229465</t>
  </si>
  <si>
    <t>-LqlVpbeDxAxbNt_vOBx</t>
  </si>
  <si>
    <t>1570641237294</t>
  </si>
  <si>
    <t>-LqlVrBuiFBuhPa171vZ</t>
  </si>
  <si>
    <t>1570641243867</t>
  </si>
  <si>
    <t>-LqlVsiOEcKJczRmi-i1</t>
  </si>
  <si>
    <t>1570641250029</t>
  </si>
  <si>
    <t>-LqlVuEuBVY21_dO892T</t>
  </si>
  <si>
    <t>1570641256266</t>
  </si>
  <si>
    <t>-LqlVvk72cagZenGPBn7</t>
  </si>
  <si>
    <t>1570641262432</t>
  </si>
  <si>
    <t>-LqlVxFQtFG0KOOHKBs7</t>
  </si>
  <si>
    <t>1570641268588</t>
  </si>
  <si>
    <t>-LqlVz2QsFlphL6ipph9</t>
  </si>
  <si>
    <t>1570641276003</t>
  </si>
  <si>
    <t>-LqlW-ntHLQeNbYRqYaN</t>
  </si>
  <si>
    <t>1570641283066</t>
  </si>
  <si>
    <t>-LqlW1rBK4FAM8YMmT4w</t>
  </si>
  <si>
    <t>1570641291476</t>
  </si>
  <si>
    <t>-LqlW3YxvgMXd8dzopix</t>
  </si>
  <si>
    <t>1570641298505</t>
  </si>
  <si>
    <t>-LqlW532qtQRslv00Bjq</t>
  </si>
  <si>
    <t>1570641304660</t>
  </si>
  <si>
    <t>-LqlW6oduOUbDJnaIhrd</t>
  </si>
  <si>
    <t>1570641311867</t>
  </si>
  <si>
    <t>-LqlW8_6dvsupHwe7eNp</t>
  </si>
  <si>
    <t>1570641318030</t>
  </si>
  <si>
    <t>-LqlWA5_5a7zCjjBBhoV</t>
  </si>
  <si>
    <t>1570641325312</t>
  </si>
  <si>
    <t>-LqlWBaq3v6RqCIY_7E2</t>
  </si>
  <si>
    <t>1570641331456</t>
  </si>
  <si>
    <t>-LqlWD64rOW0iN7S8D0c</t>
  </si>
  <si>
    <t>1570641337623</t>
  </si>
  <si>
    <t>-LqlWEbMxt3j-n1m5Beg</t>
  </si>
  <si>
    <t>1570641343788</t>
  </si>
  <si>
    <t>-LqlWG7r4GbWHoMhH0a4</t>
  </si>
  <si>
    <t>1570641350022</t>
  </si>
  <si>
    <t>-LqlWHdBMzXKx545A4tl</t>
  </si>
  <si>
    <t>1570641356187</t>
  </si>
  <si>
    <t>-LqlWJO_wSEduZP0MMiQ</t>
  </si>
  <si>
    <t>1570641363382</t>
  </si>
  <si>
    <t>-LqlWKtrGZv-iE_We0vo</t>
  </si>
  <si>
    <t>1570641369546</t>
  </si>
  <si>
    <t>-LqlWMRaJn5O9EWuU0Dn</t>
  </si>
  <si>
    <t>1570641375776</t>
  </si>
  <si>
    <t>-LqlWOApa3a1hqBjIIka</t>
  </si>
  <si>
    <t>1570641382983</t>
  </si>
  <si>
    <t>-LqlWPg4aRMnWES7DmGn</t>
  </si>
  <si>
    <t>1570641389142</t>
  </si>
  <si>
    <t>-LqlWRBKQFagBPbycD7C</t>
  </si>
  <si>
    <t>1570641395308</t>
  </si>
  <si>
    <t>-LqlWShp_rCxQfm1NjFq</t>
  </si>
  <si>
    <t>1570641401543</t>
  </si>
  <si>
    <t>-LqlWUD5zVpnLP4_yPLu</t>
  </si>
  <si>
    <t>1570641407702</t>
  </si>
  <si>
    <t>-LqlWViKrtunR6cq53XV</t>
  </si>
  <si>
    <t>1570641413861</t>
  </si>
  <si>
    <t>-LqlWXTr3B_IXr4iCt9N</t>
  </si>
  <si>
    <t>1570641421067</t>
  </si>
  <si>
    <t>-LqlWZ-MNB5Z88d_2DMe</t>
  </si>
  <si>
    <t>1570641427298</t>
  </si>
  <si>
    <t>-LqlW_UUfDb6cLlRufIc</t>
  </si>
  <si>
    <t>1570641433428</t>
  </si>
  <si>
    <t>-LqlWbJp6yg8nXakw_8m</t>
  </si>
  <si>
    <t>1570641439623</t>
  </si>
  <si>
    <t>-LqlWd0_2wA929mYfQio</t>
  </si>
  <si>
    <t>1570641447863</t>
  </si>
  <si>
    <t>-LqlWeWp7f2BefZvdQoY</t>
  </si>
  <si>
    <t>1570641454088</t>
  </si>
  <si>
    <t>-LqlWg2PJjWOZzOejcX0</t>
  </si>
  <si>
    <t>1570641460262</t>
  </si>
  <si>
    <t>-LqlWhYdj5p_S7K_DnTP</t>
  </si>
  <si>
    <t>1570641466422</t>
  </si>
  <si>
    <t>-LqlWj2pBperDr_mc2-W</t>
  </si>
  <si>
    <t>1570641472583</t>
  </si>
  <si>
    <t>-LqlWk_6R12_xzN_GPfq</t>
  </si>
  <si>
    <t>1570641478817</t>
  </si>
  <si>
    <t>-LqlWm4aWBLwVjrSa_yV</t>
  </si>
  <si>
    <t>1570641484982</t>
  </si>
  <si>
    <t>-LqlWn_pgpura2q81Z4p</t>
  </si>
  <si>
    <t>1570641491154</t>
  </si>
  <si>
    <t>-LqlWpLM8au_9LFrVq5h</t>
  </si>
  <si>
    <t>1570641498346</t>
  </si>
  <si>
    <t>-LqlWqrqEJIweyHu1GDP</t>
  </si>
  <si>
    <t>1570641504577</t>
  </si>
  <si>
    <t>-LqlWsOFM_Xaj0BrzGzA</t>
  </si>
  <si>
    <t>1570641510738</t>
  </si>
  <si>
    <t>-LqlWu7_OA2hgwqF6XmE</t>
  </si>
  <si>
    <t>1570641517938</t>
  </si>
  <si>
    <t>-LqlWvcqGZkzxvG1LjIX</t>
  </si>
  <si>
    <t>1570641524101</t>
  </si>
  <si>
    <t>-LqlWxRAivygwY7ugXPv</t>
  </si>
  <si>
    <t>1570641530327</t>
  </si>
  <si>
    <t>-LqlWzA1DX7RXc3E6PG5</t>
  </si>
  <si>
    <t>1570641538578</t>
  </si>
  <si>
    <t>-LqlX-eCrxcjm1iTybV_</t>
  </si>
  <si>
    <t>1570641544703</t>
  </si>
  <si>
    <t>-LqlX1Ab0590Zswu7bt_</t>
  </si>
  <si>
    <t>1570641550914</t>
  </si>
  <si>
    <t>-LqlX2frCMXApWxt7iUY</t>
  </si>
  <si>
    <t>1570641557065</t>
  </si>
  <si>
    <t>-LqlX4CW79OjWt40oW-a</t>
  </si>
  <si>
    <t>1570641563300</t>
  </si>
  <si>
    <t>-LqlX5isHu6WJs84xosb</t>
  </si>
  <si>
    <t>1570641569463</t>
  </si>
  <si>
    <t>-LqlX7T7Kv7MLLNQm8lu</t>
  </si>
  <si>
    <t>1570641576664</t>
  </si>
  <si>
    <t>-LqlX8yHZRK3pLC4KDXa</t>
  </si>
  <si>
    <t>1570641582823</t>
  </si>
  <si>
    <t>-LqlXAUrs-NmAtOSM4QP</t>
  </si>
  <si>
    <t>1570641589074</t>
  </si>
  <si>
    <t>-LqlXC-7srDIKpElVBdf</t>
  </si>
  <si>
    <t>1570641595226</t>
  </si>
  <si>
    <t>-LqlXDUA043-qvUmBF8w</t>
  </si>
  <si>
    <t>1570641601385</t>
  </si>
  <si>
    <t>-LqlXFDWpa1jt4NRPlQp</t>
  </si>
  <si>
    <t>1570641608487</t>
  </si>
  <si>
    <t>-LqlXGmNZfDHxp8WgPm4</t>
  </si>
  <si>
    <t>1570641614823</t>
  </si>
  <si>
    <t>-LqlXIHcZh7WjH7vXU9o</t>
  </si>
  <si>
    <t>1570641620993</t>
  </si>
  <si>
    <t>-LqlXJmrmjVNS3kbCyTZ</t>
  </si>
  <si>
    <t>1570641627143</t>
  </si>
  <si>
    <t>-LqlXLH0_thD_AhPH1gX</t>
  </si>
  <si>
    <t>1570641633309</t>
  </si>
  <si>
    <t>-LqlXMpcCgDVbHHKT4Zw</t>
  </si>
  <si>
    <t>1570641639545</t>
  </si>
  <si>
    <t>-LqlXO_7cvEMgjGvHUwV</t>
  </si>
  <si>
    <t>1570641646743</t>
  </si>
  <si>
    <t>-LqlXQ4Ivsdm6DzuC7mf</t>
  </si>
  <si>
    <t>1570641652903</t>
  </si>
  <si>
    <t>-LqlXR_lUfrNG1w1_4PS</t>
  </si>
  <si>
    <t>1570641659063</t>
  </si>
  <si>
    <t>-LqlXT6Ha4H7FKWT1vLc</t>
  </si>
  <si>
    <t>1570641665368</t>
  </si>
  <si>
    <t>-LqlXUbOphgG5XDLPccf</t>
  </si>
  <si>
    <t>1570641671466</t>
  </si>
  <si>
    <t>-LqlXW6bkvigLI6VqPvo</t>
  </si>
  <si>
    <t>1570641677624</t>
  </si>
  <si>
    <t>-LqlXXbtJ45GiC0u9AAG</t>
  </si>
  <si>
    <t>1570641683788</t>
  </si>
  <si>
    <t>-LqlXZ8NkREKa3Ufk692</t>
  </si>
  <si>
    <t>1570641690024</t>
  </si>
  <si>
    <t>-LqlX_dbKRWhrC9HVff3</t>
  </si>
  <si>
    <t>1570641696193</t>
  </si>
  <si>
    <t>-LqlXb8ZtUuJLr1QDYjU</t>
  </si>
  <si>
    <t>1570641702348</t>
  </si>
  <si>
    <t>-LqlXcfXZ5OxZQs39P7i</t>
  </si>
  <si>
    <t>1570641708515</t>
  </si>
  <si>
    <t>-LqlXe9NxAYaPgcYrtTS</t>
  </si>
  <si>
    <t>1570641714669</t>
  </si>
  <si>
    <t>-LqlXffrZjUDhP_Cjma_</t>
  </si>
  <si>
    <t>1570641720914</t>
  </si>
  <si>
    <t>-LqlXhB6y2ic4Kff7P5v</t>
  </si>
  <si>
    <t>1570641727064</t>
  </si>
  <si>
    <t>-LqlXj-NQ9ZTZr1jKeXn</t>
  </si>
  <si>
    <t>1570641733224</t>
  </si>
  <si>
    <t>-LqlXkiMFSJ47Ft_mVRS</t>
  </si>
  <si>
    <t>1570641741539</t>
  </si>
  <si>
    <t>-LqlXmldzunbFwQa7XVd</t>
  </si>
  <si>
    <t>1570641749934</t>
  </si>
  <si>
    <t>-LqlXoUdEQcSq0co25mT</t>
  </si>
  <si>
    <t>1570641756994</t>
  </si>
  <si>
    <t>-LqlXpzpYvV7fVHH2H-B</t>
  </si>
  <si>
    <t>1570641763139</t>
  </si>
  <si>
    <t>-LqlXrV7UngIY1Tt3aAD</t>
  </si>
  <si>
    <t>1570641769309</t>
  </si>
  <si>
    <t>-LqlXtF3waDMW3Zy5QGM</t>
  </si>
  <si>
    <t>1570641775527</t>
  </si>
  <si>
    <t>-LqlXum8uxkBxoTFh_sZ</t>
  </si>
  <si>
    <t>1570641782745</t>
  </si>
  <si>
    <t>-LqlXwHOPxID5nIeTlkD</t>
  </si>
  <si>
    <t>1570641788906</t>
  </si>
  <si>
    <t>-LqlXxmdcPSuwHyqkiVL</t>
  </si>
  <si>
    <t>1570641795075</t>
  </si>
  <si>
    <t>-LqlXzHt86azneAGhHxv</t>
  </si>
  <si>
    <t>1570641801234</t>
  </si>
  <si>
    <t>-LqlY-oOQWB9Nbonf5GW</t>
  </si>
  <si>
    <t>1570641807464</t>
  </si>
  <si>
    <t>-LqlY1Jc-uQtCbhfa6ge</t>
  </si>
  <si>
    <t>1570641813624</t>
  </si>
  <si>
    <t>-LqlY2os4u8DDpHaVWmF</t>
  </si>
  <si>
    <t>1570641819784</t>
  </si>
  <si>
    <t>-LqlY4LQNn4eOTorhnp2</t>
  </si>
  <si>
    <t>1570641826026</t>
  </si>
  <si>
    <t>-LqlY5qQfZz1GcurOQeE</t>
  </si>
  <si>
    <t>1570641832180</t>
  </si>
  <si>
    <t>-LqlY7LpFI48diFotZdx</t>
  </si>
  <si>
    <t>1570641838343</t>
  </si>
  <si>
    <t>-LqlY96IgKkuaJpy42Em</t>
  </si>
  <si>
    <t>1570641845544</t>
  </si>
  <si>
    <t>-LqlYAcoThfHJD1yHcjS</t>
  </si>
  <si>
    <t>1570641851784</t>
  </si>
  <si>
    <t>-LqlYC6nWzwkFKDbZXdo</t>
  </si>
  <si>
    <t>1570641857869</t>
  </si>
  <si>
    <t>-LqlYDdInplGOXFviQkU</t>
  </si>
  <si>
    <t>1570641864107</t>
  </si>
  <si>
    <t>-LqlYF8cF8N9htZjj72h</t>
  </si>
  <si>
    <t>1570641870265</t>
  </si>
  <si>
    <t>-LqlYGnMoU5uqzObC3-J</t>
  </si>
  <si>
    <t>1570641876500</t>
  </si>
  <si>
    <t>-LqlYIQdfu4_hs51RyOW</t>
  </si>
  <si>
    <t>1570641883701</t>
  </si>
  <si>
    <t>-LqlYJvt6I1Jvqnw_0NS</t>
  </si>
  <si>
    <t>1570641889870</t>
  </si>
  <si>
    <t>-LqlYLQuWQDaIpeeTCRN</t>
  </si>
  <si>
    <t>1570641896037</t>
  </si>
  <si>
    <t>-LqlYN08uXaELU3mW3B9</t>
  </si>
  <si>
    <t>1570641902510</t>
  </si>
  <si>
    <t>-LqlYOiHeUkN0LlVS4H7</t>
  </si>
  <si>
    <t>1570641909466</t>
  </si>
  <si>
    <t>-LqlYQD9ob-GIFYMdCOv</t>
  </si>
  <si>
    <t>1570641915625</t>
  </si>
  <si>
    <t>-LqlYRiPVmndlK-Z-gGO</t>
  </si>
  <si>
    <t>1570641921796</t>
  </si>
  <si>
    <t>-LqlYTQOV4FKDjyQcKRv</t>
  </si>
  <si>
    <t>1570641928752</t>
  </si>
  <si>
    <t>-LqlYV-O69P6Yx01Cr-o</t>
  </si>
  <si>
    <t>1570641935225</t>
  </si>
  <si>
    <t>-LqlYWW1ZW4drUSV49oh</t>
  </si>
  <si>
    <t>1570641941386</t>
  </si>
  <si>
    <t>-LqlYY09C8eubvuS-N73</t>
  </si>
  <si>
    <t>1570641947547</t>
  </si>
  <si>
    <t>-LqlYZWOHjPH05WQOWb1</t>
  </si>
  <si>
    <t>1570641953715</t>
  </si>
  <si>
    <t>-LqlYaLslDlbeKRqZtYv</t>
  </si>
  <si>
    <t>1570641959944</t>
  </si>
  <si>
    <t>-LqlYc2bWEp2ENckZoxO</t>
  </si>
  <si>
    <t>1570641968182</t>
  </si>
  <si>
    <t>-LqlYdXY3T4bYvF2VVUy</t>
  </si>
  <si>
    <t>1570641974343</t>
  </si>
  <si>
    <t>-LqlYf32YrlGCd6l3ITw</t>
  </si>
  <si>
    <t>1570641980502</t>
  </si>
  <si>
    <t>-LqlYg_bft8srHfhE4_y</t>
  </si>
  <si>
    <t>1570641986739</t>
  </si>
  <si>
    <t>-LqlYi4mctvrVNOE1eGB</t>
  </si>
  <si>
    <t>1570641992904</t>
  </si>
  <si>
    <t>-LqlYja6Ft7oDhDmGW3u</t>
  </si>
  <si>
    <t>1570641999064</t>
  </si>
  <si>
    <t>-LqlYl5IqVoLDu6bRGzR</t>
  </si>
  <si>
    <t>1570642005222</t>
  </si>
  <si>
    <t>-LqlYmbqWzZZf-aw6xap</t>
  </si>
  <si>
    <t>1570642011464</t>
  </si>
  <si>
    <t>-LqlYo72XQoEUAdTR3XO</t>
  </si>
  <si>
    <t>1570642017622</t>
  </si>
  <si>
    <t>-LqlYpdb_b_ahbrCtihP</t>
  </si>
  <si>
    <t>1570642023783</t>
  </si>
  <si>
    <t>-LqlYr7ZxbFySVHGBjZt</t>
  </si>
  <si>
    <t>1570642029948</t>
  </si>
  <si>
    <t>-LqlYscrajIKVgyES82l</t>
  </si>
  <si>
    <t>1570642036132</t>
  </si>
  <si>
    <t>-LqlYuAbI4JHxTNVN9RB</t>
  </si>
  <si>
    <t>1570642042338</t>
  </si>
  <si>
    <t>-LqlYvuqAR4dGWGzK70G</t>
  </si>
  <si>
    <t>1570642049543</t>
  </si>
  <si>
    <t>-LqlYxQ15nyrO8GupqfS</t>
  </si>
  <si>
    <t>1570642055703</t>
  </si>
  <si>
    <t>-LqlYywXz6Jdn-IkKmSh</t>
  </si>
  <si>
    <t>1570642061943</t>
  </si>
  <si>
    <t>-LqlZ-ZLEZeT6a3_Moku</t>
  </si>
  <si>
    <t>1570642068620</t>
  </si>
  <si>
    <t>-LqlZ1B7KlFET0nau0ZI</t>
  </si>
  <si>
    <t>1570642075303</t>
  </si>
  <si>
    <t>-LqlZ2hZgmn8UrpBU2rF</t>
  </si>
  <si>
    <t>1570642081462</t>
  </si>
  <si>
    <t>-LqlZ4E8oV9C2zr97PCk</t>
  </si>
  <si>
    <t>1570642087705</t>
  </si>
  <si>
    <t>-LqlZ5kXyEa9bjeq9OZK</t>
  </si>
  <si>
    <t>1570642093864</t>
  </si>
  <si>
    <t>-LqlZ7_G8OtArbu8qztR</t>
  </si>
  <si>
    <t>1570642100017</t>
  </si>
  <si>
    <t>-LqlZ9FWfmtOChdiSTKH</t>
  </si>
  <si>
    <t>1570642108264</t>
  </si>
  <si>
    <t>-LqlZAkWF3Uov-bW-9ED</t>
  </si>
  <si>
    <t>1570642114427</t>
  </si>
  <si>
    <t>-LqlZCH7IciwIi0XQO8z</t>
  </si>
  <si>
    <t>1570642120664</t>
  </si>
  <si>
    <t>-LqlZDmMG4YlNlwxQSNt</t>
  </si>
  <si>
    <t>1570642126826</t>
  </si>
  <si>
    <t>-LqlZFHcadd5MD31pC5M</t>
  </si>
  <si>
    <t>1570642132984</t>
  </si>
  <si>
    <t>-LqlZGo5z3vbADOEPeLd</t>
  </si>
  <si>
    <t>1570642139219</t>
  </si>
  <si>
    <t>-LqlZII5D5rFIHWIJiZn</t>
  </si>
  <si>
    <t>1570642145384</t>
  </si>
  <si>
    <t>-LqlZJobLOJsJyrGR4ss</t>
  </si>
  <si>
    <t>1570642151544</t>
  </si>
  <si>
    <t>-LqlZLJqAIgCPRTMqSi9</t>
  </si>
  <si>
    <t>1570642157707</t>
  </si>
  <si>
    <t>-LqlZMsr5T06J0UefGkj</t>
  </si>
  <si>
    <t>1570642163948</t>
  </si>
  <si>
    <t>-LqlZOsgd6BTLDgEMZ4D</t>
  </si>
  <si>
    <t>1570642171144</t>
  </si>
  <si>
    <t>-LqlZQbN5icQkMXYmFGN</t>
  </si>
  <si>
    <t>1570642179382</t>
  </si>
  <si>
    <t>-LqlZS6coEtn6oWASh12</t>
  </si>
  <si>
    <t>1570642185543</t>
  </si>
  <si>
    <t>-LqlZTc5klHe8RrCqSU8</t>
  </si>
  <si>
    <t>1570642191704</t>
  </si>
  <si>
    <t>-LqlZV8ZDEvNNNnzhZ9k</t>
  </si>
  <si>
    <t>1570642197944</t>
  </si>
  <si>
    <t>-LqlZWe01Gp0Pa-SeYiW</t>
  </si>
  <si>
    <t>1570642204104</t>
  </si>
  <si>
    <t>-LqlZYalC-31sNq1LwcI</t>
  </si>
  <si>
    <t>1570642210272</t>
  </si>
  <si>
    <t>-LqlZ_9seqSZhx6S2unF</t>
  </si>
  <si>
    <t>1570642218502</t>
  </si>
  <si>
    <t>-LqlZaf5Nf9FADB06Y0K</t>
  </si>
  <si>
    <t>1570642224668</t>
  </si>
  <si>
    <t>-LqlZcBaCCo00U8FZOD8</t>
  </si>
  <si>
    <t>1570642230904</t>
  </si>
  <si>
    <t>-LqlZdgqmZkqFDt95VbT</t>
  </si>
  <si>
    <t>1570642237059</t>
  </si>
  <si>
    <t>-LqlZfC0HeqWjZkyyeCI</t>
  </si>
  <si>
    <t>1570642243223</t>
  </si>
  <si>
    <t>-LqlZgikFtzUiYhOZ406</t>
  </si>
  <si>
    <t>1570642249449</t>
  </si>
  <si>
    <t>-LqlZiCWfSWveQydcN0n</t>
  </si>
  <si>
    <t>1570642255557</t>
  </si>
  <si>
    <t>-LqlZjj0g3AyUDYlVVwv</t>
  </si>
  <si>
    <t>1570642261782</t>
  </si>
  <si>
    <t>-LqlZlE8jrfws_RRr3fu</t>
  </si>
  <si>
    <t>1570642267934</t>
  </si>
  <si>
    <t>-LqlZmkm2-CD1-jSY_0D</t>
  </si>
  <si>
    <t>1570642274169</t>
  </si>
  <si>
    <t>-LqlZoElpcsg9ISAnpdX</t>
  </si>
  <si>
    <t>1570642280277</t>
  </si>
  <si>
    <t>-LqlZplI-Rkl3qu3sUSb</t>
  </si>
  <si>
    <t>1570642286502</t>
  </si>
  <si>
    <t>-LqlZrGbmClFRcbpepHX</t>
  </si>
  <si>
    <t>1570642292664</t>
  </si>
  <si>
    <t>-LqlZsn5veAxyPrzBXtR</t>
  </si>
  <si>
    <t>1570642298912</t>
  </si>
  <si>
    <t>-LqlZuILjnMtJDqVDM2g</t>
  </si>
  <si>
    <t>1570642305059</t>
  </si>
  <si>
    <t>-LqlZvncQ3BWB0yrTL5H</t>
  </si>
  <si>
    <t>1570642311223</t>
  </si>
  <si>
    <t>-LqlZxIsiaOKl0OJeWSi</t>
  </si>
  <si>
    <t>1570642317384</t>
  </si>
  <si>
    <t>-LqlZypNWcIvBQzObDr0</t>
  </si>
  <si>
    <t>1570642323619</t>
  </si>
  <si>
    <t>-Lql_-Ka5A4g9pNBWtYJ</t>
  </si>
  <si>
    <t>1570642329797</t>
  </si>
  <si>
    <t>-Lql_0plr1hu0u802-pz</t>
  </si>
  <si>
    <t>1570642335943</t>
  </si>
  <si>
    <t>-Lql_2LH5Lzx7ho26FH_</t>
  </si>
  <si>
    <t>1570642342163</t>
  </si>
  <si>
    <t>-Lql_3rYuPOMZVjJSZD7</t>
  </si>
  <si>
    <t>1570642348345</t>
  </si>
  <si>
    <t>-Lql_5O7Ado87SBC_6_U</t>
  </si>
  <si>
    <t>1570642354504</t>
  </si>
  <si>
    <t>-Lql_765v-uxd1TBntaT</t>
  </si>
  <si>
    <t>1570642361704</t>
  </si>
  <si>
    <t>-Lql_8ccsV7R0y6_W8Qz</t>
  </si>
  <si>
    <t>1570642367869</t>
  </si>
  <si>
    <t>-Lql_A8mqwYCIBR3B3tF</t>
  </si>
  <si>
    <t>1570642374106</t>
  </si>
  <si>
    <t>-Lql_BeW7bInOdo0KxQ5</t>
  </si>
  <si>
    <t>1570642380272</t>
  </si>
  <si>
    <t>-Lql_DSMX-UBh12WIGUg</t>
  </si>
  <si>
    <t>1570642387648</t>
  </si>
  <si>
    <t>-Lql_FQG76QCv4hHy9Fq</t>
  </si>
  <si>
    <t>1570642394661</t>
  </si>
  <si>
    <t>-Lql_GvpznO4WTCvNcuG</t>
  </si>
  <si>
    <t>1570642401866</t>
  </si>
  <si>
    <t>-Lql_ISKlh5HAm3k5JjS</t>
  </si>
  <si>
    <t>1570642408103</t>
  </si>
  <si>
    <t>-Lql_JwWVR1nJ4NBdyXT</t>
  </si>
  <si>
    <t>1570642414263</t>
  </si>
  <si>
    <t>-Lql_LSpVRCIRDL8h5Cu</t>
  </si>
  <si>
    <t>1570642420423</t>
  </si>
  <si>
    <t>-Lql_My4NCd65D6FyIoI</t>
  </si>
  <si>
    <t>1570642426598</t>
  </si>
  <si>
    <t>-Lql_OTKIKKU_YVPwWLb</t>
  </si>
  <si>
    <t>1570642432822</t>
  </si>
  <si>
    <t>-Lql_PzvMC1bXrK-n4q_</t>
  </si>
  <si>
    <t>1570642438983</t>
  </si>
  <si>
    <t>-Lql_RVGETpXnFzAhJTt</t>
  </si>
  <si>
    <t>1570642445152</t>
  </si>
  <si>
    <t>-Lql_TBEZaQGNki_3v5k</t>
  </si>
  <si>
    <t>1570642451383</t>
  </si>
  <si>
    <t>-Lql_Um4YSDEHjaA0WSY</t>
  </si>
  <si>
    <t>1570642458581</t>
  </si>
  <si>
    <t>-Lql_WHGQgEMDUk0B5iI</t>
  </si>
  <si>
    <t>1570642464741</t>
  </si>
  <si>
    <t>-Lql_XmWGVPc6vdRLf2i</t>
  </si>
  <si>
    <t>1570642470903</t>
  </si>
  <si>
    <t>-Lql_ZJ4bjn5cOPqqlSS</t>
  </si>
  <si>
    <t>1570642477141</t>
  </si>
  <si>
    <t>-Lql__oK1e5OgV8rZgVL</t>
  </si>
  <si>
    <t>1570642483315</t>
  </si>
  <si>
    <t>-Lql_bJVKU3tricF_l9T</t>
  </si>
  <si>
    <t>1570642489463</t>
  </si>
  <si>
    <t>-Lql_couNiPwXXSEpJXo</t>
  </si>
  <si>
    <t>1570642495631</t>
  </si>
  <si>
    <t>-Lql_eM_sg7xAXdeAVe1</t>
  </si>
  <si>
    <t>1570642501862</t>
  </si>
  <si>
    <t>-Lql_g5kdbSNnUGx2dhO</t>
  </si>
  <si>
    <t>1570642509062</t>
  </si>
  <si>
    <t>-Lql_hbBYNSw58AF03jA</t>
  </si>
  <si>
    <t>1570642515222</t>
  </si>
  <si>
    <t>-Lql_j66SPlLPOq5vazY</t>
  </si>
  <si>
    <t>1570642521382</t>
  </si>
  <si>
    <t>-Lql_kcp0uY5TLSeWU02</t>
  </si>
  <si>
    <t>1570642527623</t>
  </si>
  <si>
    <t>-Lql_m6pLBhHZ4978YQ0</t>
  </si>
  <si>
    <t>1570642533738</t>
  </si>
  <si>
    <t>-Lql_ndLFq1Eh54S8bsr</t>
  </si>
  <si>
    <t>1570642539943</t>
  </si>
  <si>
    <t>-Lql_p8a-4KLBDyeaXuA</t>
  </si>
  <si>
    <t>1570642546108</t>
  </si>
  <si>
    <t>-Lql_qfEXUAqVHTyrycs</t>
  </si>
  <si>
    <t>1570642552342</t>
  </si>
  <si>
    <t>-Lql_sFyj1Y2HK8hrQ-T</t>
  </si>
  <si>
    <t>1570642558468</t>
  </si>
  <si>
    <t>-Lql_tvrw9WOvqLtHQD2</t>
  </si>
  <si>
    <t>1570642565703</t>
  </si>
  <si>
    <t>-Lql_vR6Eq7zvHLxAfM4</t>
  </si>
  <si>
    <t>1570642571861</t>
  </si>
  <si>
    <t>-Lql_wxb7XLa6Y4xhABz</t>
  </si>
  <si>
    <t>1570642578103</t>
  </si>
  <si>
    <t>-Lql_yib8QpiI5GE_MXH</t>
  </si>
  <si>
    <t>1570642584273</t>
  </si>
  <si>
    <t>-Lqla-D77TTm_5k8HMqm</t>
  </si>
  <si>
    <t>1570642591461</t>
  </si>
  <si>
    <t>-Lqla10IvnVX0B1ztzEY</t>
  </si>
  <si>
    <t>1570642597623</t>
  </si>
  <si>
    <t>-Lqla2jN_TxAbNgalkIv</t>
  </si>
  <si>
    <t>1570642605868</t>
  </si>
  <si>
    <t>-Lqla4HMYSqmR1SgYIs8</t>
  </si>
  <si>
    <t>1570642612195</t>
  </si>
  <si>
    <t>-Lqla60O1ELdoZGH-wjw</t>
  </si>
  <si>
    <t>1570642619298</t>
  </si>
  <si>
    <t>-Lqla7WbKlHCasMC6M4E</t>
  </si>
  <si>
    <t>1570642625455</t>
  </si>
  <si>
    <t>-Lqla90rTmeIoVYr0WQn</t>
  </si>
  <si>
    <t>1570642631625</t>
  </si>
  <si>
    <t>-LqlaAYNLjHieWdc25cJ</t>
  </si>
  <si>
    <t>1570642637863</t>
  </si>
  <si>
    <t>-LqlaC2b0aFURRJSW88p</t>
  </si>
  <si>
    <t>1570642644023</t>
  </si>
  <si>
    <t>-LqlaDt7Y0tgciZE1D2q</t>
  </si>
  <si>
    <t>1570642650183</t>
  </si>
  <si>
    <t>-LqlaFZdsLGVUui59dRi</t>
  </si>
  <si>
    <t>1570642658422</t>
  </si>
  <si>
    <t>-LqlaH45lBvugP0ndILd</t>
  </si>
  <si>
    <t>1570642664648</t>
  </si>
  <si>
    <t>-LqlaIaN1-SZExPW0Op5</t>
  </si>
  <si>
    <t>1570642670823</t>
  </si>
  <si>
    <t>-LqlaK5cj_8BP8pO_Oqu</t>
  </si>
  <si>
    <t>1570642676980</t>
  </si>
  <si>
    <t>-LqlaLar_dXuPvNGJJMS</t>
  </si>
  <si>
    <t>1570642683154</t>
  </si>
  <si>
    <t>-LqlaNJtkmQ7-PD_0ysK</t>
  </si>
  <si>
    <t>1570642690305</t>
  </si>
  <si>
    <t>-LqlaOsmJMJ-EQyfmB3w</t>
  </si>
  <si>
    <t>1570642696593</t>
  </si>
  <si>
    <t>-LqlaQO9ZgIdkG1wR7aK</t>
  </si>
  <si>
    <t>1570642702743</t>
  </si>
  <si>
    <t>-LqlaRtPiNBJIrQ78Mao</t>
  </si>
  <si>
    <t>1570642708904</t>
  </si>
  <si>
    <t>-LqlaTPrYk9Vz4bHy-kA</t>
  </si>
  <si>
    <t>1570642715139</t>
  </si>
  <si>
    <t>-LqlaUusnlcoDj_kKY0O</t>
  </si>
  <si>
    <t>1570642721299</t>
  </si>
  <si>
    <t>-LqlaWQMvnXqMXRV2egI</t>
  </si>
  <si>
    <t>1570642727465</t>
  </si>
  <si>
    <t>-LqlaXvbJBpSL6GQ7rfl</t>
  </si>
  <si>
    <t>1570642733633</t>
  </si>
  <si>
    <t>-LqlaZTNKlqo7EF9F0wh</t>
  </si>
  <si>
    <t>1570642739863</t>
  </si>
  <si>
    <t>-LqlaaSs4wpCytdim76K</t>
  </si>
  <si>
    <t>1570642748157</t>
  </si>
  <si>
    <t>-Lqlaby6aFoRfj4NUM-T</t>
  </si>
  <si>
    <t>1570642754258</t>
  </si>
  <si>
    <t>-LqladTH7oOfFR5_CFKu</t>
  </si>
  <si>
    <t>1570642760419</t>
  </si>
  <si>
    <t>-Lqlaezrb5pPyibvYUqk</t>
  </si>
  <si>
    <t>1570642766644</t>
  </si>
  <si>
    <t>-LqlagTiBQDjIAf-7JMU</t>
  </si>
  <si>
    <t>1570642772743</t>
  </si>
  <si>
    <t>-Lqlai0c8AaISYRXqSCd</t>
  </si>
  <si>
    <t>1570642778984</t>
  </si>
  <si>
    <t>-LqlajkuyrD9DEYzNUo2</t>
  </si>
  <si>
    <t>1570642786185</t>
  </si>
  <si>
    <t>-LqlalGLDgAEuD8-Z0cw</t>
  </si>
  <si>
    <t>1570642792349</t>
  </si>
  <si>
    <t>-LqlammgxdKUr5I5zgvQ</t>
  </si>
  <si>
    <t>1570642798578</t>
  </si>
  <si>
    <t>-LqlaoHrEVEbf2VbRxP1</t>
  </si>
  <si>
    <t>1570642804744</t>
  </si>
  <si>
    <t>-LqlaqLLCMFr8EjDjZB8</t>
  </si>
  <si>
    <t>1570642811944</t>
  </si>
  <si>
    <t>-Lqlas37rr-sZA-LiTRe</t>
  </si>
  <si>
    <t>1570642820186</t>
  </si>
  <si>
    <t>-LqlatZP_hEuf5abbKTa</t>
  </si>
  <si>
    <t>1570642826350</t>
  </si>
  <si>
    <t>-Lqlav56bELlPpuSt2hL</t>
  </si>
  <si>
    <t>1570642832610</t>
  </si>
  <si>
    <t>-Lqlawa8V2DaWyhZ8dyk</t>
  </si>
  <si>
    <t>1570642838744</t>
  </si>
  <si>
    <t>-Lqlay5WDnDhb9UL7P0_</t>
  </si>
  <si>
    <t>1570642844913</t>
  </si>
  <si>
    <t>-LqlazcuVHTomSorFuhU</t>
  </si>
  <si>
    <t>1570642851131</t>
  </si>
  <si>
    <t>-Lqlb0WVTYSz7JchYDhD</t>
  </si>
  <si>
    <t>1570642858345</t>
  </si>
  <si>
    <t>-Lqlb27uIFLXcnpbeuEo</t>
  </si>
  <si>
    <t>1570642865544</t>
  </si>
  <si>
    <t>-Lqlb3tMjW1W3li8x4pk</t>
  </si>
  <si>
    <t>1570642872740</t>
  </si>
  <si>
    <t>-Lqlb5ObxrdRP6p95XW1</t>
  </si>
  <si>
    <t>1570642878907</t>
  </si>
  <si>
    <t>-Lqlb6tsScKVdXEtssFe</t>
  </si>
  <si>
    <t>1570642885074</t>
  </si>
  <si>
    <t>-Lqlb8QMTPCpGRoeU270</t>
  </si>
  <si>
    <t>1570642891300</t>
  </si>
  <si>
    <t>-Lqlb9uNBYIb0QLxrbNZ</t>
  </si>
  <si>
    <t>1570642897463</t>
  </si>
  <si>
    <t>-LqlbBQmqVEEgBrXVLBu</t>
  </si>
  <si>
    <t>1570642903625</t>
  </si>
  <si>
    <t>-LqlbCxPLhHWfYka3jKC</t>
  </si>
  <si>
    <t>1570642909858</t>
  </si>
  <si>
    <t>-LqlbERM2mwbGjr61rWC</t>
  </si>
  <si>
    <t>1570642915953</t>
  </si>
  <si>
    <t>-LqlbFxsUnkB1pzqPwk0</t>
  </si>
  <si>
    <t>1570642922183</t>
  </si>
  <si>
    <t>-LqlbHT1SBosH8sItnmI</t>
  </si>
  <si>
    <t>1570642928344</t>
  </si>
  <si>
    <t>-LqlbJ-tUyxdWkJogFlt</t>
  </si>
  <si>
    <t>1570642934728</t>
  </si>
  <si>
    <t>-LqlbKk8sZ4IzMoauxVq</t>
  </si>
  <si>
    <t>1570642941786</t>
  </si>
  <si>
    <t>-LqlbMFXq5qdiuaildv0</t>
  </si>
  <si>
    <t>1570642947960</t>
  </si>
  <si>
    <t>-LqlbNkc2qYjjh3ziUeu</t>
  </si>
  <si>
    <t>1570642954103</t>
  </si>
  <si>
    <t>-LqlbPH2UkqrscREn9-K</t>
  </si>
  <si>
    <t>1570642960340</t>
  </si>
  <si>
    <t>-LqlbQl7LQy-PeambnBz</t>
  </si>
  <si>
    <t>1570642966458</t>
  </si>
  <si>
    <t>-LqlbSZ8oZcai_phH4us</t>
  </si>
  <si>
    <t>1570642973803</t>
  </si>
  <si>
    <t>-LqlbUccX-ks7xtwnpRC</t>
  </si>
  <si>
    <t>1570642980905</t>
  </si>
  <si>
    <t>-LqlbWJ6wyg7mZCuOhL1</t>
  </si>
  <si>
    <t>1570642989144</t>
  </si>
  <si>
    <t>-LqlbY36BwfnyEV-iaXK</t>
  </si>
  <si>
    <t>1570642995310</t>
  </si>
  <si>
    <t>-LqlbZa7KXAOvMYLK0Xn</t>
  </si>
  <si>
    <t>1570643002593</t>
  </si>
  <si>
    <t>-Lqlba5OXzfYT9TWgOML</t>
  </si>
  <si>
    <t>1570643008744</t>
  </si>
  <si>
    <t>-Lqlbbbr6k-3uXjGnRg6</t>
  </si>
  <si>
    <t>1570643014905</t>
  </si>
  <si>
    <t>-Lqlbd8Pdg5fHWw8Bjbo</t>
  </si>
  <si>
    <t>1570643021070</t>
  </si>
  <si>
    <t>-LqlbescOweioylLn8hR</t>
  </si>
  <si>
    <t>1570643028344</t>
  </si>
  <si>
    <t>-LqlbgtOIfGtQJ3pLlxI</t>
  </si>
  <si>
    <t>1570643036599</t>
  </si>
  <si>
    <t>-LqlbiOe0JLoJjljvGWA</t>
  </si>
  <si>
    <t>1570643042743</t>
  </si>
  <si>
    <t>-Lqlbjtsp62hO-3S_ovo</t>
  </si>
  <si>
    <t>1570643048915</t>
  </si>
  <si>
    <t>-LqlblP85cVybmRH9gmL</t>
  </si>
  <si>
    <t>1570643055079</t>
  </si>
  <si>
    <t>-Lqlbmvc8LvtBeLmsmWN</t>
  </si>
  <si>
    <t>1570643061305</t>
  </si>
  <si>
    <t>-LqlboQuXr9LWVp-CCXx</t>
  </si>
  <si>
    <t>1570643067463</t>
  </si>
  <si>
    <t>-LqlbpxNgRbBWY_2vGIr</t>
  </si>
  <si>
    <t>1570643073624</t>
  </si>
  <si>
    <t>-LqlbrRXOA4yb3_qHubs</t>
  </si>
  <si>
    <t>1570643079788</t>
  </si>
  <si>
    <t>-LqlbswdDm5XbQgcp-5V</t>
  </si>
  <si>
    <t>1570643085979</t>
  </si>
  <si>
    <t>-LqlbuT7DmS3UI3oU9Qy</t>
  </si>
  <si>
    <t>1570643092189</t>
  </si>
  <si>
    <t>-LqlbvyX7h87_yZ8Hvcj</t>
  </si>
  <si>
    <t>1570643098343</t>
  </si>
  <si>
    <t>-LqlbxUsZSAj1WxmTBVu</t>
  </si>
  <si>
    <t>1570643104583</t>
  </si>
  <si>
    <t>-Lqlbz-6iXtokqvO2R4K</t>
  </si>
  <si>
    <t>1570643110744</t>
  </si>
  <si>
    <t>-Lqlc-VWF3bZr0Y4mjOr</t>
  </si>
  <si>
    <t>1570643116903</t>
  </si>
  <si>
    <t>-Lqlc1IX5nDFkAxFH48I</t>
  </si>
  <si>
    <t>1570643124313</t>
  </si>
  <si>
    <t>-Lqlc31TAmHwjyUpWkYx</t>
  </si>
  <si>
    <t>1570643131369</t>
  </si>
  <si>
    <t>-Lqlc4n7AuyrK1Clwhbl</t>
  </si>
  <si>
    <t>1570643138579</t>
  </si>
  <si>
    <t>-Lqlc6IMwQ6AmLN9xqUX</t>
  </si>
  <si>
    <t>1570643144739</t>
  </si>
  <si>
    <t>-Lqlc7orHy05xSqK0sLC</t>
  </si>
  <si>
    <t>1570643150913</t>
  </si>
  <si>
    <t>-Lqlc9K6qknx0p-D6fDV</t>
  </si>
  <si>
    <t>1570643157130</t>
  </si>
  <si>
    <t>-LqlcAo6kuSuN0na1r55</t>
  </si>
  <si>
    <t>1570643163235</t>
  </si>
  <si>
    <t>-LqlcCKdEJhij56ouhcg</t>
  </si>
  <si>
    <t>1570643169463</t>
  </si>
  <si>
    <t>-LqlcDptZJCucRffh7uD</t>
  </si>
  <si>
    <t>1570643175623</t>
  </si>
  <si>
    <t>-LqlcFL8deJjTxTYxfRi</t>
  </si>
  <si>
    <t>1570643181859</t>
  </si>
  <si>
    <t>-LqlcGrc-Whf0MEsfN3V</t>
  </si>
  <si>
    <t>1570643188038</t>
  </si>
  <si>
    <t>-LqlcIMtpi-3slt0qOQU</t>
  </si>
  <si>
    <t>1570643194184</t>
  </si>
  <si>
    <t>-LqlcJs8itv-3ldKuoNL</t>
  </si>
  <si>
    <t>1570643200353</t>
  </si>
  <si>
    <t>-LqlcLOdQo-Bw1voUdxf</t>
  </si>
  <si>
    <t>1570643206595</t>
  </si>
  <si>
    <t>-LqlcMts875HPordYEfU</t>
  </si>
  <si>
    <t>1570643212744</t>
  </si>
  <si>
    <t>-LqlcONoqBGXYcFXptuc</t>
  </si>
  <si>
    <t>1570643218904</t>
  </si>
  <si>
    <t>-LqlcPuRfg_awWcBZjJZ</t>
  </si>
  <si>
    <t>1570643225073</t>
  </si>
  <si>
    <t>-LqlcRQo7Czpf8QLq_Kg</t>
  </si>
  <si>
    <t>1570643231304</t>
  </si>
  <si>
    <t>-LqlcSwHcGqIrXgmEQOB</t>
  </si>
  <si>
    <t>1570643237464</t>
  </si>
  <si>
    <t>-LqlcUmrQBKshsOTk9r8</t>
  </si>
  <si>
    <t>1570643243623</t>
  </si>
  <si>
    <t>-LqlcWS6_zoVXQ4OBnjv</t>
  </si>
  <si>
    <t>1570643251865</t>
  </si>
  <si>
    <t>-LqlcXycxicdxEpuX1cS</t>
  </si>
  <si>
    <t>1570643258104</t>
  </si>
  <si>
    <t>-LqlcZTraUSJ943fcP29</t>
  </si>
  <si>
    <t>1570643264265</t>
  </si>
  <si>
    <t>-Lqlc_ysuMcenMFWON0R</t>
  </si>
  <si>
    <t>1570643270420</t>
  </si>
  <si>
    <t>-LqlcbWs1LaCqCQFjV-L</t>
  </si>
  <si>
    <t>1570643276721</t>
  </si>
  <si>
    <t>-LqlcdG9hwWdfm_YMoBV</t>
  </si>
  <si>
    <t>1570643283866</t>
  </si>
  <si>
    <t>-LqlcelWgfsZMQvkY08r</t>
  </si>
  <si>
    <t>1570643290025</t>
  </si>
  <si>
    <t>-LqlcgGdqFPlW3RXeryf</t>
  </si>
  <si>
    <t>1570643296194</t>
  </si>
  <si>
    <t>-LqlchluVucw-f-_pNYS</t>
  </si>
  <si>
    <t>1570643302348</t>
  </si>
  <si>
    <t>-LqlcjINqxZxWyMgoBqA</t>
  </si>
  <si>
    <t>1570643308585</t>
  </si>
  <si>
    <t>-Lqlcl-6gK_vKlCmZrHa</t>
  </si>
  <si>
    <t>1570643315432</t>
  </si>
  <si>
    <t>-Lqlcm_9FpZojxDUZAFt</t>
  </si>
  <si>
    <t>1570643321944</t>
  </si>
  <si>
    <t>-LqlcoJbM3MMUw6JxOeJ</t>
  </si>
  <si>
    <t>1570643329146</t>
  </si>
  <si>
    <t>-LqlcporWdp7jc-MLSYu</t>
  </si>
  <si>
    <t>1570643335315</t>
  </si>
  <si>
    <t>-LqlcrLNNCqWGFi21QjV</t>
  </si>
  <si>
    <t>1570643341544</t>
  </si>
  <si>
    <t>-LqlcsqbWeZms9ZY1ERp</t>
  </si>
  <si>
    <t>1570643347703</t>
  </si>
  <si>
    <t>-LqlcuM25mnLVlhp0P8F</t>
  </si>
  <si>
    <t>1570643353868</t>
  </si>
  <si>
    <t>-LqlcvsY9ogKe_SQl15V</t>
  </si>
  <si>
    <t>1570643360106</t>
  </si>
  <si>
    <t>-LqlcxNnH7O4r5FxHM35</t>
  </si>
  <si>
    <t>1570643366263</t>
  </si>
  <si>
    <t>-Lqlcysu5FjWYlsAbyiM</t>
  </si>
  <si>
    <t>1570643372424</t>
  </si>
  <si>
    <t>-Lqld-O6Gv3UC0aXDuB5</t>
  </si>
  <si>
    <t>1570643378590</t>
  </si>
  <si>
    <t>-Lqld0ucDP1BQnw5OCQt</t>
  </si>
  <si>
    <t>1570643384824</t>
  </si>
  <si>
    <t>-Lqld2PdHlUCm9iFz6vc</t>
  </si>
  <si>
    <t>1570643390984</t>
  </si>
  <si>
    <t>-Lqld3v8vlmoODh9M2iU</t>
  </si>
  <si>
    <t>1570643397153</t>
  </si>
  <si>
    <t>-Lqld5VKmZoauDVvlv91</t>
  </si>
  <si>
    <t>1570643403366</t>
  </si>
  <si>
    <t>-Lqld7B1FxGY1Pj3pR9e</t>
  </si>
  <si>
    <t>1570643410526</t>
  </si>
  <si>
    <t>-Lqld8hMEh47MCpq-tay</t>
  </si>
  <si>
    <t>1570643416743</t>
  </si>
  <si>
    <t>-LqldAIrz0RIEqv4WhWx</t>
  </si>
  <si>
    <t>1570643423271</t>
  </si>
  <si>
    <t>-LqldBy8cZB6h6K0BMvn</t>
  </si>
  <si>
    <t>1570643430103</t>
  </si>
  <si>
    <t>-LqldDUczVWEM_oZ5m0c</t>
  </si>
  <si>
    <t>1570643436339</t>
  </si>
  <si>
    <t>-LqldEzrF-IdKk7uYBlg</t>
  </si>
  <si>
    <t>1570643442503</t>
  </si>
  <si>
    <t>-LqldGV8zRQfzHTJUKAd</t>
  </si>
  <si>
    <t>1570643448664</t>
  </si>
  <si>
    <t>-LqldIH6juwwwff09fUl</t>
  </si>
  <si>
    <t>1570643454825</t>
  </si>
  <si>
    <t>-LqldJkrRawOnS44Jmfv</t>
  </si>
  <si>
    <t>1570643462030</t>
  </si>
  <si>
    <t>-LqldLGoEqYNkV67I_D7</t>
  </si>
  <si>
    <t>1570643468265</t>
  </si>
  <si>
    <t>-LqldMmcrkvw7Bsql0IZ</t>
  </si>
  <si>
    <t>1570643474423</t>
  </si>
  <si>
    <t>-LqldOHrQtgysHyr3Ajf</t>
  </si>
  <si>
    <t>1570643480595</t>
  </si>
  <si>
    <t>-LqldPoODgh2gBSbZDFs</t>
  </si>
  <si>
    <t>1570643486819</t>
  </si>
  <si>
    <t>-LqldRf6jacpLPB04568</t>
  </si>
  <si>
    <t>1570643494424</t>
  </si>
  <si>
    <t>-LqldTK7vKuWvEK7iMJQ</t>
  </si>
  <si>
    <t>1570643501223</t>
  </si>
  <si>
    <t>-LqldUoHsSSJ76taJJ1p</t>
  </si>
  <si>
    <t>1570643507384</t>
  </si>
  <si>
    <t>-LqldWKr9h0X82qcQpZ2</t>
  </si>
  <si>
    <t>1570643513543</t>
  </si>
  <si>
    <t>-LqldXrW2RCTrOM3TKM_</t>
  </si>
  <si>
    <t>1570643519782</t>
  </si>
  <si>
    <t>-LqldZMc58Kj24nhvkQJ</t>
  </si>
  <si>
    <t>1570643525943</t>
  </si>
  <si>
    <t>-LqldaUssww4nu6VbUeW</t>
  </si>
  <si>
    <t>1570643533145</t>
  </si>
  <si>
    <t>-LqldcE7-NvkrdObyDlf</t>
  </si>
  <si>
    <t>1570643541763</t>
  </si>
  <si>
    <t>-LqlddtR2jLXJDfJP_5f</t>
  </si>
  <si>
    <t>1570643548584</t>
  </si>
  <si>
    <t>-LqldfOcZuSHAoB7WpRQ</t>
  </si>
  <si>
    <t>1570643554748</t>
  </si>
  <si>
    <t>-Lqldgv7AHQ37WeorRqx</t>
  </si>
  <si>
    <t>1570643560984</t>
  </si>
  <si>
    <t>-LqldiQNCXuWMh9zq6Ik</t>
  </si>
  <si>
    <t>1570643567153</t>
  </si>
  <si>
    <t>-LqldjvaVzudKvUIDuFO</t>
  </si>
  <si>
    <t>1570643573303</t>
  </si>
  <si>
    <t>-LqldlQrloecKOqkpOhj</t>
  </si>
  <si>
    <t>1570643579527</t>
  </si>
  <si>
    <t>-LqldmxPfSqa9FXe9iqc</t>
  </si>
  <si>
    <t>1570643585704</t>
  </si>
  <si>
    <t>-LqldoSb4chczpNWLL1U</t>
  </si>
  <si>
    <t>1570643591864</t>
  </si>
  <si>
    <t>-Lqldpz66dUi7lP745K7</t>
  </si>
  <si>
    <t>1570643598024</t>
  </si>
  <si>
    <t>-LqldrTHwDd3g8YgaTwh</t>
  </si>
  <si>
    <t>1570643604195</t>
  </si>
  <si>
    <t>-Lqldszc7LrKSJD5cak2</t>
  </si>
  <si>
    <t>1570643610424</t>
  </si>
  <si>
    <t>-LqlduW19-TKVzyPya21</t>
  </si>
  <si>
    <t>1570643616583</t>
  </si>
  <si>
    <t>-LqldwFNCftJGjK3ogq4</t>
  </si>
  <si>
    <t>1570643623795</t>
  </si>
  <si>
    <t>-LqldxkcoW8iu65VHpuX</t>
  </si>
  <si>
    <t>1570643630008</t>
  </si>
  <si>
    <t>-LqldzH4QCAv0hE3KdTv</t>
  </si>
  <si>
    <t>1570643636178</t>
  </si>
  <si>
    <t>-Lqle06Dsw_a6ujpisG4</t>
  </si>
  <si>
    <t>1570643642338</t>
  </si>
  <si>
    <t>-Lqle2-cBltBR4hzNZmM</t>
  </si>
  <si>
    <t>1570643650594</t>
  </si>
  <si>
    <t>-Lqle3YWiw2hXRegQ6fe</t>
  </si>
  <si>
    <t>1570643657783</t>
  </si>
  <si>
    <t>-Lqle52r_jBQgMnWJgH4</t>
  </si>
  <si>
    <t>1570643663953</t>
  </si>
  <si>
    <t>-Lqle6brXtmAm4cj6SBA</t>
  </si>
  <si>
    <t>1570643670186</t>
  </si>
  <si>
    <t>-Lqle8ccyJ9PcXhklotW</t>
  </si>
  <si>
    <t>1570643678600</t>
  </si>
  <si>
    <t>-LqleALbaNwc7PG6E6A5</t>
  </si>
  <si>
    <t>1570643685620</t>
  </si>
  <si>
    <t>-LqleBqt0o1lMwX0hDdL</t>
  </si>
  <si>
    <t>1570643691788</t>
  </si>
  <si>
    <t>-LqleDM7mjtbQp9UYiIt</t>
  </si>
  <si>
    <t>1570643697949</t>
  </si>
  <si>
    <t>-LqleEsdwuFJy7RaI7ig</t>
  </si>
  <si>
    <t>1570643704193</t>
  </si>
  <si>
    <t>-LqleGNrN7Cr2hd59c-m</t>
  </si>
  <si>
    <t>1570643710340</t>
  </si>
  <si>
    <t>-LqleHt8_og7Ex45qkp3</t>
  </si>
  <si>
    <t>1570643716504</t>
  </si>
  <si>
    <t>-LqleJOWLbxHzIo9_Sik</t>
  </si>
  <si>
    <t>1570643722674</t>
  </si>
  <si>
    <t>-LqleKutYz-QRAWnyRym</t>
  </si>
  <si>
    <t>1570643728914</t>
  </si>
  <si>
    <t>-LqleMQBpJ1QYsdkvmUl</t>
  </si>
  <si>
    <t>1570643735075</t>
  </si>
  <si>
    <t>-LqleNvNalygcssujRL9</t>
  </si>
  <si>
    <t>1570643741223</t>
  </si>
  <si>
    <t>-LqlePRupaWugmtViamB</t>
  </si>
  <si>
    <t>1570643747460</t>
  </si>
  <si>
    <t>-LqleQx8naTOtDjo1c21</t>
  </si>
  <si>
    <t>1570643753623</t>
  </si>
  <si>
    <t>-LqleSSNiOODL_LTR-IV</t>
  </si>
  <si>
    <t>1570643759783</t>
  </si>
  <si>
    <t>-LqleTxc1h-FlS6zl67Z</t>
  </si>
  <si>
    <t>1570643765944</t>
  </si>
  <si>
    <t>-LqleVU8689uuyBx4NR3</t>
  </si>
  <si>
    <t>1570643772190</t>
  </si>
  <si>
    <t>-LqleWzOeqGI-jBgY1n4</t>
  </si>
  <si>
    <t>1570643778344</t>
  </si>
  <si>
    <t>-LqleYUczGTpNa8fDZGl</t>
  </si>
  <si>
    <t>1570643784504</t>
  </si>
  <si>
    <t>-LqleZzsbbFOPrwiIQVy</t>
  </si>
  <si>
    <t>1570643790672</t>
  </si>
  <si>
    <t>-LqleaWN6i2Gm8j4fNpm</t>
  </si>
  <si>
    <t>1570643796903</t>
  </si>
  <si>
    <t>-LqlecGr2V3fcjCpDpMq</t>
  </si>
  <si>
    <t>1570643803073</t>
  </si>
  <si>
    <t>-LqledmCWWRj6SYV00FN</t>
  </si>
  <si>
    <t>1570643810264</t>
  </si>
  <si>
    <t>-LqlefHNeyb2C58xDjXG</t>
  </si>
  <si>
    <t>1570643816430</t>
  </si>
  <si>
    <t>-Lqlegnsm-eC_6lPOIpM</t>
  </si>
  <si>
    <t>1570643822658</t>
  </si>
  <si>
    <t>-LqleiLdVlG8IlRuXvsa</t>
  </si>
  <si>
    <t>1570643828819</t>
  </si>
  <si>
    <t>-Lqlek3bQvZxAqd3M-lA</t>
  </si>
  <si>
    <t>1570643836024</t>
  </si>
  <si>
    <t>-LqlelZt7Gr9OpNMVj_F</t>
  </si>
  <si>
    <t>1570643842183</t>
  </si>
  <si>
    <t>-Lqlen6YicWUVh-aeo44</t>
  </si>
  <si>
    <t>1570643848513</t>
  </si>
  <si>
    <t>-LqleopdLS0bljIsqciR</t>
  </si>
  <si>
    <t>1570643855623</t>
  </si>
  <si>
    <t>-LqleqLtfh1D5qyX_hYp</t>
  </si>
  <si>
    <t>1570643861783</t>
  </si>
  <si>
    <t>-LqlerrMGQmkaTdo6tUl</t>
  </si>
  <si>
    <t>1570643867945</t>
  </si>
  <si>
    <t>-LqletNuTL1LlP4PZjG6</t>
  </si>
  <si>
    <t>1570643874185</t>
  </si>
  <si>
    <t>-Lqleut8fb2Bw6obfmjl</t>
  </si>
  <si>
    <t>1570643880345</t>
  </si>
  <si>
    <t>-Lqlewdcr3X7EXEHPmzB</t>
  </si>
  <si>
    <t>1570643886504</t>
  </si>
  <si>
    <t>-Lqley90LhdB_AZYvXY4</t>
  </si>
  <si>
    <t>1570643893704</t>
  </si>
  <si>
    <t>-LqlezfOCJRif9caEAm6</t>
  </si>
  <si>
    <t>1570643899929</t>
  </si>
  <si>
    <t>-Lqlf09NylkQsionecOM</t>
  </si>
  <si>
    <t>1570643906029</t>
  </si>
  <si>
    <t>-Lqlf1frC63JLKD7iY5f</t>
  </si>
  <si>
    <t>1570643912264</t>
  </si>
  <si>
    <t>-Lqlf3CNuPG8zdhTaX9g</t>
  </si>
  <si>
    <t>1570643918423</t>
  </si>
  <si>
    <t>-Lqlf4wbdnYG_JSIZK7u</t>
  </si>
  <si>
    <t>1570643925663</t>
  </si>
  <si>
    <t>-Lqlf6T3EwJGHiFH_y5x</t>
  </si>
  <si>
    <t>1570643931864</t>
  </si>
  <si>
    <t>-Lqlf7yOsDnOtHczG5Ac</t>
  </si>
  <si>
    <t>1570643938023</t>
  </si>
  <si>
    <t>-Lqlf9TkkP0DtTzwnw7y</t>
  </si>
  <si>
    <t>1570643944184</t>
  </si>
  <si>
    <t>-LqlfB-Bnqxo23WBIUyf</t>
  </si>
  <si>
    <t>1570643950409</t>
  </si>
  <si>
    <t>-LqlfCVMZsfFSeClSDsg</t>
  </si>
  <si>
    <t>1570643956584</t>
  </si>
  <si>
    <t>-LqlfEKsjQaJAuZP9VW_</t>
  </si>
  <si>
    <t>1570643964131</t>
  </si>
  <si>
    <t>-LqlfG0N6eKpXlZHHNnv</t>
  </si>
  <si>
    <t>1570643970984</t>
  </si>
  <si>
    <t>-LqlfHWeK8UqzXxvNqlt</t>
  </si>
  <si>
    <t>1570643977144</t>
  </si>
  <si>
    <t>-LqlfJ273ciuzy7seC8_</t>
  </si>
  <si>
    <t>1570643983384</t>
  </si>
  <si>
    <t>-LqlfKYOHb41UcdYi00S</t>
  </si>
  <si>
    <t>1570643989545</t>
  </si>
  <si>
    <t>-LqlfM2bIZDKZo_QS-Zm</t>
  </si>
  <si>
    <t>1570643995703</t>
  </si>
  <si>
    <t>-LqlfNYrs-SGtAVyMYyA</t>
  </si>
  <si>
    <t>1570644001869</t>
  </si>
  <si>
    <t>-LqlfP4NixHYabCOct5S</t>
  </si>
  <si>
    <t>1570644008104</t>
  </si>
  <si>
    <t>-LqlfQ_cZIULyeH-mnn2</t>
  </si>
  <si>
    <t>1570644014264</t>
  </si>
  <si>
    <t>-LqlfS6H2ufnN67Azey5</t>
  </si>
  <si>
    <t>1570644020425</t>
  </si>
  <si>
    <t>-LqlfTaH5kMU05KgjLVp</t>
  </si>
  <si>
    <t>1570644026589</t>
  </si>
  <si>
    <t>-LqlfV6bJ5eAeYCA8wRJ</t>
  </si>
  <si>
    <t>1570644032819</t>
  </si>
  <si>
    <t>-LqlfWcuvM21EchZu3X5</t>
  </si>
  <si>
    <t>1570644039050</t>
  </si>
  <si>
    <t>-LqlfYNPp391YI45tfqm</t>
  </si>
  <si>
    <t>1570644046183</t>
  </si>
  <si>
    <t>-LqlfZsc65kxzJHk6usO</t>
  </si>
  <si>
    <t>1570644052344</t>
  </si>
  <si>
    <t>-LqlfaNsfuW4yhjrb1K7</t>
  </si>
  <si>
    <t>1570644058579</t>
  </si>
  <si>
    <t>-Lqlfc9b1AQUJnEn4IhW</t>
  </si>
  <si>
    <t>1570644065780</t>
  </si>
  <si>
    <t>-LqlfderrDCCsn9dkApb</t>
  </si>
  <si>
    <t>1570644071960</t>
  </si>
  <si>
    <t>-LqlffA65uUUjiaR2J81</t>
  </si>
  <si>
    <t>1570644078113</t>
  </si>
  <si>
    <t>-Lqlfh5mwbv2cEZeij2M</t>
  </si>
  <si>
    <t>1570644086055</t>
  </si>
  <si>
    <t>-LqlfihMgdKNoS-mejS-</t>
  </si>
  <si>
    <t>1570644092585</t>
  </si>
  <si>
    <t>-Lqlfkh6A9J2UXcAXX60</t>
  </si>
  <si>
    <t>1570644099544</t>
  </si>
  <si>
    <t>-LqlfmDPfwnRSbnq64Tm</t>
  </si>
  <si>
    <t>1570644106985</t>
  </si>
  <si>
    <t>-LqlfnimiKhALS6nYuHw</t>
  </si>
  <si>
    <t>1570644113149</t>
  </si>
  <si>
    <t>-LqlfpEsvsQl3E9earM3</t>
  </si>
  <si>
    <t>1570644119303</t>
  </si>
  <si>
    <t>-LqlfqmshDzxi-o7dgDF</t>
  </si>
  <si>
    <t>1570644125755</t>
  </si>
  <si>
    <t>-LqlfsjRoJ2ZyKf3yxfo</t>
  </si>
  <si>
    <t>1570644132743</t>
  </si>
  <si>
    <t>-LqlfuGMUd4_YmR_VXN-</t>
  </si>
  <si>
    <t>1570644139946</t>
  </si>
  <si>
    <t>-LqlfvqcT4Xdp8pBEhoE</t>
  </si>
  <si>
    <t>1570644146429</t>
  </si>
  <si>
    <t>-LqlfxXAknVJvQkFW1Rg</t>
  </si>
  <si>
    <t>1570644153303</t>
  </si>
  <si>
    <t>-Lqlfz2bQiUxLmc7ZqTj</t>
  </si>
  <si>
    <t>1570644159544</t>
  </si>
  <si>
    <t>-Lqlg-zBJhVUJez9kMRn</t>
  </si>
  <si>
    <t>1570644167377</t>
  </si>
  <si>
    <t>-Lqlg1ZdH63w__8CmtUi</t>
  </si>
  <si>
    <t>1570644173945</t>
  </si>
  <si>
    <t>-Lqlg3K8NxfVOtgOd-c6</t>
  </si>
  <si>
    <t>1570644181144</t>
  </si>
  <si>
    <t>-Lqlg4pkF8n5j7hFO_s6</t>
  </si>
  <si>
    <t>1570644187300</t>
  </si>
  <si>
    <t>-Lqlg6M14TPgzzxW69rX</t>
  </si>
  <si>
    <t>1570644193530</t>
  </si>
  <si>
    <t>-Lqlg7prf-Kdvq2xSju2</t>
  </si>
  <si>
    <t>1570644199625</t>
  </si>
  <si>
    <t>-Lqlg9MNeCYqv-2q2vxs</t>
  </si>
  <si>
    <t>1570644205868</t>
  </si>
  <si>
    <t>-LqlgB0dgzNmdSIx5kcN</t>
  </si>
  <si>
    <t>1570644212660</t>
  </si>
  <si>
    <t>-LqlgCdRcSQY7ETPiS3A</t>
  </si>
  <si>
    <t>1570644219228</t>
  </si>
  <si>
    <t>-LqlgE7MhQZBtKfF2eW1</t>
  </si>
  <si>
    <t>1570644225379</t>
  </si>
  <si>
    <t>-LqlgFdrXNSsU55Bi0b3</t>
  </si>
  <si>
    <t>1570644231623</t>
  </si>
  <si>
    <t>-LqlgH9628ia4DpdLF4t</t>
  </si>
  <si>
    <t>1570644237785</t>
  </si>
  <si>
    <t>-LqlgIi7FKQs_C3he2SE</t>
  </si>
  <si>
    <t>1570644243955</t>
  </si>
  <si>
    <t>-LqlgKR8LH27CiS_AZ7L</t>
  </si>
  <si>
    <t>1570644251223</t>
  </si>
  <si>
    <t>-LqlgMRr1tMnVfu__CB9</t>
  </si>
  <si>
    <t>1570644259496</t>
  </si>
  <si>
    <t>-LqlgNxCVyJ1PGif3UpE</t>
  </si>
  <si>
    <t>1570644265624</t>
  </si>
  <si>
    <t>-LqlgPhmk2q1qifRn6x0</t>
  </si>
  <si>
    <t>1570644272848</t>
  </si>
  <si>
    <t>-LqlgRCs5t-B-z39Q9aR</t>
  </si>
  <si>
    <t>1570644278984</t>
  </si>
  <si>
    <t>-LqlgSkbM7OmzalyK56h</t>
  </si>
  <si>
    <t>1570644285209</t>
  </si>
  <si>
    <t>-LqlgUUtGh8wbTg93IZY</t>
  </si>
  <si>
    <t>1570644292423</t>
  </si>
  <si>
    <t>-LqlgVytk53RuoRDrg-g</t>
  </si>
  <si>
    <t>1570644298593</t>
  </si>
  <si>
    <t>-LqlgXVHmSZdbXpFRdnI</t>
  </si>
  <si>
    <t>1570644304743</t>
  </si>
  <si>
    <t>-LqlgZ-cQnR2g-Tz0gYb</t>
  </si>
  <si>
    <t>1570644310909</t>
  </si>
  <si>
    <t>-Lqlg_X6iBUScQDE0pM5</t>
  </si>
  <si>
    <t>1570644317143</t>
  </si>
  <si>
    <t>-LqlgbIs6To8RJQeRsux</t>
  </si>
  <si>
    <t>1570644324438</t>
  </si>
  <si>
    <t>-Lqlgd26-qr67BBxN2fF</t>
  </si>
  <si>
    <t>1570644331544</t>
  </si>
  <si>
    <t>-LqlgeYXSQExaY-ZA9Hj</t>
  </si>
  <si>
    <t>1570644337703</t>
  </si>
  <si>
    <t>-Lqlgg2cjm_QPLXpTni5</t>
  </si>
  <si>
    <t>1570644343929</t>
  </si>
  <si>
    <t>-LqlghbYtWKXUYtwsR89</t>
  </si>
  <si>
    <t>1570644350104</t>
  </si>
  <si>
    <t>-LqlgjKcuicAG0r_pO1N</t>
  </si>
  <si>
    <t>1570644357314</t>
  </si>
  <si>
    <t>-Lqlgkps7FvsLdFFVleg</t>
  </si>
  <si>
    <t>1570644363469</t>
  </si>
  <si>
    <t>-LqlgmL7QDEmFJYJZuVS</t>
  </si>
  <si>
    <t>1570644369628</t>
  </si>
  <si>
    <t>-LqlgnrbGK5oXlHLW8KW</t>
  </si>
  <si>
    <t>1570644375865</t>
  </si>
  <si>
    <t>-LqlgpMsylorn5fBzypk</t>
  </si>
  <si>
    <t>1570644382018</t>
  </si>
  <si>
    <t>-Lqlgr7JHnK3vxTVfimG</t>
  </si>
  <si>
    <t>1570644388183</t>
  </si>
  <si>
    <t>-Lqlgscrd9odnyLWXO73</t>
  </si>
  <si>
    <t>1570644395399</t>
  </si>
  <si>
    <t>-Lqlgu97s-CoXu967DDF</t>
  </si>
  <si>
    <t>1570644401624</t>
  </si>
  <si>
    <t>-LqlgveNc5hTF-tMkDNp</t>
  </si>
  <si>
    <t>1570644407784</t>
  </si>
  <si>
    <t>-Lqlgx9cP8HKWQ7Ynots</t>
  </si>
  <si>
    <t>1570644413944</t>
  </si>
  <si>
    <t>-Lqlgyet4gNbqc48gfJH</t>
  </si>
  <si>
    <t>1570644420113</t>
  </si>
  <si>
    <t>-Lqlh-BOiEXRvX7BHD0n</t>
  </si>
  <si>
    <t>1570644426345</t>
  </si>
  <si>
    <t>-Lqlh0fMh1Ogs44357dh</t>
  </si>
  <si>
    <t>1570644432483</t>
  </si>
  <si>
    <t>-Lqlh2BrTIzzBiDO5OJ8</t>
  </si>
  <si>
    <t>1570644438658</t>
  </si>
  <si>
    <t>-Lqlh3hG2QLRrLabuXTP</t>
  </si>
  <si>
    <t>1570644444889</t>
  </si>
  <si>
    <t>-Lqlh5CMGRtN3C57xqXS</t>
  </si>
  <si>
    <t>1570644451020</t>
  </si>
  <si>
    <t>-Lqlh6isnpqogqqdtcLg</t>
  </si>
  <si>
    <t>1570644457224</t>
  </si>
  <si>
    <t>-Lqlh8E6xgQz5I4Lu5Tm</t>
  </si>
  <si>
    <t>1570644463383</t>
  </si>
  <si>
    <t>-Lqlh9kbSdvrNYwHtlgs</t>
  </si>
  <si>
    <t>1570644469623</t>
  </si>
  <si>
    <t>-LqlhBZsIt29Yd3Dh_qE</t>
  </si>
  <si>
    <t>1570644477063</t>
  </si>
  <si>
    <t>-LqlhDGbmOMyTSi-Uy2S</t>
  </si>
  <si>
    <t>1570644484027</t>
  </si>
  <si>
    <t>-LqlhEm0GiR6HJdGrWCU</t>
  </si>
  <si>
    <t>1570644490185</t>
  </si>
  <si>
    <t>-LqlhGH73wKR2nf2G1c9</t>
  </si>
  <si>
    <t>1570644496350</t>
  </si>
  <si>
    <t>-LqlhHndcUVRVthdaRh-</t>
  </si>
  <si>
    <t>1570644502578</t>
  </si>
  <si>
    <t>-LqlhJIrzPLs_1dL39xO</t>
  </si>
  <si>
    <t>1570644508738</t>
  </si>
  <si>
    <t>-LqlhKo84mkdrZCRYPz6</t>
  </si>
  <si>
    <t>1570644514903</t>
  </si>
  <si>
    <t>-LqlhMJM4Glb95ei9XuF</t>
  </si>
  <si>
    <t>1570644521128</t>
  </si>
  <si>
    <t>-LqlhNprGpc4nMu0TnpY</t>
  </si>
  <si>
    <t>1570644527293</t>
  </si>
  <si>
    <t>-LqlhPcroCD4X-eJhR4w</t>
  </si>
  <si>
    <t>1570644533465</t>
  </si>
  <si>
    <t>-LqlhRLsgVzq-nv338oz</t>
  </si>
  <si>
    <t>1570644541702</t>
  </si>
  <si>
    <t>-LqlhT7NTQ18mBD4WEVP</t>
  </si>
  <si>
    <t>1570644548902</t>
  </si>
  <si>
    <t>-LqlhUba-qWABHkUikj3</t>
  </si>
  <si>
    <t>1570644555063</t>
  </si>
  <si>
    <t>-LqlhW86gdaEI3uq0ouD</t>
  </si>
  <si>
    <t>1570644561303</t>
  </si>
  <si>
    <t>-LqlhXdVvWXIp-NSmSh1</t>
  </si>
  <si>
    <t>1570644567463</t>
  </si>
  <si>
    <t>-LqlhZ8kmUAKJ4caLaqj</t>
  </si>
  <si>
    <t>1570644573617</t>
  </si>
  <si>
    <t>-Lqlh_uumZb5q7b_f9Zw</t>
  </si>
  <si>
    <t>1570644579848</t>
  </si>
  <si>
    <t>-LqlhbRdtXTPLqtLm3Yq</t>
  </si>
  <si>
    <t>1570644587062</t>
  </si>
  <si>
    <t>-LqlhdB6JhuL7-EDJcJL</t>
  </si>
  <si>
    <t>1570644594263</t>
  </si>
  <si>
    <t>-LqlhegLLDTVtxUUWiHL</t>
  </si>
  <si>
    <t>1570644600422</t>
  </si>
  <si>
    <t>-LqlhgBa_jqZsPHykEPA</t>
  </si>
  <si>
    <t>1570644606582</t>
  </si>
  <si>
    <t>-LqlhhgqPueg7WyasUdc</t>
  </si>
  <si>
    <t>1570644612743</t>
  </si>
  <si>
    <t>-LqlhjILo7fytKc-02nf</t>
  </si>
  <si>
    <t>1570644619303</t>
  </si>
  <si>
    <t>-LqlhkytAkQ2E9REffKv</t>
  </si>
  <si>
    <t>1570644626183</t>
  </si>
  <si>
    <t>-LqlhmVV8UWwVM-q2Jd-</t>
  </si>
  <si>
    <t>1570644632342</t>
  </si>
  <si>
    <t>-LqlhnzL9ci7M533hUe8</t>
  </si>
  <si>
    <t>1570644638507</t>
  </si>
  <si>
    <t>-LqlhpUbkBHT1niTa8OY</t>
  </si>
  <si>
    <t>1570644644738</t>
  </si>
  <si>
    <t>-Lqlhr06ich0ODQDqldB</t>
  </si>
  <si>
    <t>1570644650902</t>
  </si>
  <si>
    <t>-LqlhsmMyZlwuwKk8l0G</t>
  </si>
  <si>
    <t>1570644657063</t>
  </si>
  <si>
    <t>-LqlhuX43o70JCnyG8U9</t>
  </si>
  <si>
    <t>1570644665297</t>
  </si>
  <si>
    <t>-Lqlhw2ab8F3QmVSUYad</t>
  </si>
  <si>
    <t>1570644671537</t>
  </si>
  <si>
    <t>-LqlhxYr2pqISe_-2kVP</t>
  </si>
  <si>
    <t>1570644677705</t>
  </si>
  <si>
    <t>-Lqlhz36SNKmc93P6d3h</t>
  </si>
  <si>
    <t>1570644683868</t>
  </si>
  <si>
    <t>-Lqli-ZMiT8nEi8yRgBD</t>
  </si>
  <si>
    <t>1570644690022</t>
  </si>
  <si>
    <t>-Lqli154ZTlr5xX1Zo_W</t>
  </si>
  <si>
    <t>1570644696282</t>
  </si>
  <si>
    <t>-Lqli2a6pkZp_0GiEVm3</t>
  </si>
  <si>
    <t>1570644702409</t>
  </si>
  <si>
    <t>-Lqli46OimR-Ll_PHLqf</t>
  </si>
  <si>
    <t>1570644708582</t>
  </si>
  <si>
    <t>-Lqli5qsQ-9PIQhKHeKv</t>
  </si>
  <si>
    <t>1570644715785</t>
  </si>
  <si>
    <t>-Lqli7NLsYopgnvGULJT</t>
  </si>
  <si>
    <t>1570644722019</t>
  </si>
  <si>
    <t>-Lqli8slNgfMZqgMH8A7</t>
  </si>
  <si>
    <t>1570644728192</t>
  </si>
  <si>
    <t>-LqliAi7fS0VYei4vIPY</t>
  </si>
  <si>
    <t>1570644734343</t>
  </si>
  <si>
    <t>-LqliCbMk4upMaSwgh7c</t>
  </si>
  <si>
    <t>1570644742582</t>
  </si>
  <si>
    <t>-LqliEQr2vHIXTXoFvjb</t>
  </si>
  <si>
    <t>1570644749777</t>
  </si>
  <si>
    <t>-LqliG9tOCHv5VkpctoQ</t>
  </si>
  <si>
    <t>1570644758036</t>
  </si>
  <si>
    <t>-LqliHgNh73dLY0weSz8</t>
  </si>
  <si>
    <t>1570644764250</t>
  </si>
  <si>
    <t>-LqliJAPk6w1nDG5vLHt</t>
  </si>
  <si>
    <t>1570644770354</t>
  </si>
  <si>
    <t>-LqliKgtQ1Q3YoRTcqT0</t>
  </si>
  <si>
    <t>1570644776585</t>
  </si>
  <si>
    <t>-LqliMC8-iBEZkd_UItB</t>
  </si>
  <si>
    <t>1570644782744</t>
  </si>
  <si>
    <t>-LqliNhOugOuGU4s_C9z</t>
  </si>
  <si>
    <t>1570644788969</t>
  </si>
  <si>
    <t>-LqliPDuCln73E0ptsu8</t>
  </si>
  <si>
    <t>1570644795145</t>
  </si>
  <si>
    <t>-LqliQj8Qf8K122pL696</t>
  </si>
  <si>
    <t>1570644801315</t>
  </si>
  <si>
    <t>-LqliSENejLdFsHcfMCN</t>
  </si>
  <si>
    <t>1570644807464</t>
  </si>
  <si>
    <t>-LqliTks_kCMiv7cjbjb</t>
  </si>
  <si>
    <t>1570644813705</t>
  </si>
  <si>
    <t>-LqliVG777Tx1fjqJB6J</t>
  </si>
  <si>
    <t>1570644819864</t>
  </si>
  <si>
    <t>-LqliWl9SGLCgqGOD5Tm</t>
  </si>
  <si>
    <t>1570644826025</t>
  </si>
  <si>
    <t>-LqliYGdaMDSPe6RvkYQ</t>
  </si>
  <si>
    <t>1570644832184</t>
  </si>
  <si>
    <t>-LqliZnEFhwow3Gm-jMN</t>
  </si>
  <si>
    <t>1570644838424</t>
  </si>
  <si>
    <t>-LqliaINQ3pI1O4YSj6w</t>
  </si>
  <si>
    <t>1570644844585</t>
  </si>
  <si>
    <t>-LqlibnbnFNf-dgdJTYk</t>
  </si>
  <si>
    <t>1570644850744</t>
  </si>
  <si>
    <t>-LqlidIuN0tl7G4VyT7a</t>
  </si>
  <si>
    <t>1570644856909</t>
  </si>
  <si>
    <t>-Lqlieo89dlGOC7cPDnJ</t>
  </si>
  <si>
    <t>1570644863090</t>
  </si>
  <si>
    <t>-LqligKdG43lQ4NozID7</t>
  </si>
  <si>
    <t>1570644869305</t>
  </si>
  <si>
    <t>-LqlihptCdgPZ2hKKHyd</t>
  </si>
  <si>
    <t>1570644875464</t>
  </si>
  <si>
    <t>-LqlijJsXnDcY49PnOh9</t>
  </si>
  <si>
    <t>1570644881634</t>
  </si>
  <si>
    <t>-LqlikqNSzWpPc-04Ex9</t>
  </si>
  <si>
    <t>1570644887864</t>
  </si>
  <si>
    <t>-LqlimN0bYHy0pz1DDY4</t>
  </si>
  <si>
    <t>1570644894019</t>
  </si>
  <si>
    <t>-Lqlins7fnaHUTaLovOg</t>
  </si>
  <si>
    <t>1570644900185</t>
  </si>
  <si>
    <t>-LqlipNNTil4fAN_z5BQ</t>
  </si>
  <si>
    <t>1570644906409</t>
  </si>
  <si>
    <t>-Lqlir982vUTC3EB9XPK</t>
  </si>
  <si>
    <t>1570644913625</t>
  </si>
  <si>
    <t>-LqlisnE7WAkKvBjtifp</t>
  </si>
  <si>
    <t>1570644919784</t>
  </si>
  <si>
    <t>-LqliuOdkrjfgB_APXbv</t>
  </si>
  <si>
    <t>1570644926987</t>
  </si>
  <si>
    <t>-Lqlivv3IV3kDkNqcyzK</t>
  </si>
  <si>
    <t>1570644933139</t>
  </si>
  <si>
    <t>-LqlixRceU6JjNXxJfz8</t>
  </si>
  <si>
    <t>1570644939374</t>
  </si>
  <si>
    <t>-LqliyvnFAn65h4Z_DNt</t>
  </si>
  <si>
    <t>1570644945479</t>
  </si>
  <si>
    <t>-Lqlj-SHsMBWPfbU1Bce</t>
  </si>
  <si>
    <t>1570644951704</t>
  </si>
  <si>
    <t>-Lqlj0xNEtzOGAfdPfWR</t>
  </si>
  <si>
    <t>1570644957874</t>
  </si>
  <si>
    <t>-Lqlj2rtUx3RFe2GJG7X</t>
  </si>
  <si>
    <t>1570644965618</t>
  </si>
  <si>
    <t>-Lqlj4Udcr68CGUHcv2x</t>
  </si>
  <si>
    <t>1570644972345</t>
  </si>
  <si>
    <t>-Lqlj607df1M1iH6hPen</t>
  </si>
  <si>
    <t>1570644978507</t>
  </si>
  <si>
    <t>-Lqlj7kONcXmN8A11l6Q</t>
  </si>
  <si>
    <t>1570644985706</t>
  </si>
  <si>
    <t>-Lqlj9FdLICObMHoSnAA</t>
  </si>
  <si>
    <t>1570644991875</t>
  </si>
  <si>
    <t>-LqljAksQwkP95EMe_5j</t>
  </si>
  <si>
    <t>1570644998090</t>
  </si>
  <si>
    <t>-LqljCHOt0lONLaXBr5G</t>
  </si>
  <si>
    <t>1570645004266</t>
  </si>
  <si>
    <t>-LqljDmdF8W6nocYpF31</t>
  </si>
  <si>
    <t>1570645010419</t>
  </si>
  <si>
    <t>-LqljFHtfGHKeCg7o4kj</t>
  </si>
  <si>
    <t>1570645016585</t>
  </si>
  <si>
    <t>-LqljGoPmu9RWZpgR0B7</t>
  </si>
  <si>
    <t>1570645022825</t>
  </si>
  <si>
    <t>-LqljIJdTt9m2LO7G0l-</t>
  </si>
  <si>
    <t>1570645028984</t>
  </si>
  <si>
    <t>-LqljJotrWzHFuonZ9wm</t>
  </si>
  <si>
    <t>1570645035144</t>
  </si>
  <si>
    <t>-LqljLTWuqI8Ppv1jk08</t>
  </si>
  <si>
    <t>1570645041304</t>
  </si>
  <si>
    <t>-LqljN59bXiSf31jb2NN</t>
  </si>
  <si>
    <t>1570645048515</t>
  </si>
  <si>
    <t>-LqljOauO7db0MSe6IO2</t>
  </si>
  <si>
    <t>1570645054739</t>
  </si>
  <si>
    <t>-LqljQ6NjU5yNhibTD4L</t>
  </si>
  <si>
    <t>1570645060899</t>
  </si>
  <si>
    <t>-LqljRbnyjwEJyCY4qL1</t>
  </si>
  <si>
    <t>1570645067060</t>
  </si>
  <si>
    <t>-LqljT88IH_QlSK8LHvK</t>
  </si>
  <si>
    <t>1570645073304</t>
  </si>
  <si>
    <t>-LqljUdN1uby8rMi7ZTX</t>
  </si>
  <si>
    <t>1570645079464</t>
  </si>
  <si>
    <t>-LqljW8d1rCWnwwaQCNA</t>
  </si>
  <si>
    <t>1570645085624</t>
  </si>
  <si>
    <t>-LqljXde8CrjR3GW1X7i</t>
  </si>
  <si>
    <t>1570645091784</t>
  </si>
  <si>
    <t>-LqljZANWJrCqgypsz5-</t>
  </si>
  <si>
    <t>1570645098034</t>
  </si>
  <si>
    <t>-Lqlj_fZ7a75zBuFRB_A</t>
  </si>
  <si>
    <t>1570645104185</t>
  </si>
  <si>
    <t>-LqljbR8rC2XN9n6Fhhy</t>
  </si>
  <si>
    <t>1570645111383</t>
  </si>
  <si>
    <t>-LqljcwO27Q7IgQUZAho</t>
  </si>
  <si>
    <t>1570645117546</t>
  </si>
  <si>
    <t>-LqljeSrcHLyTCcfJSPf</t>
  </si>
  <si>
    <t>1570645123775</t>
  </si>
  <si>
    <t>-Lqljfwr3y2ABN5mPTEL</t>
  </si>
  <si>
    <t>1570645129870</t>
  </si>
  <si>
    <t>-LqljhTOfYpPPp4x4AgX</t>
  </si>
  <si>
    <t>1570645136105</t>
  </si>
  <si>
    <t>-LqljiyiuDFderRrApZd</t>
  </si>
  <si>
    <t>1570645142265</t>
  </si>
  <si>
    <t>-LqljkVImXV4xWOCEGYJ</t>
  </si>
  <si>
    <t>1570645148504</t>
  </si>
  <si>
    <t>-Lqljm-Nq4R5-ja2C8H6</t>
  </si>
  <si>
    <t>1570645154665</t>
  </si>
  <si>
    <t>-LqljnVdT_gv02ZCxNzW</t>
  </si>
  <si>
    <t>1570645160835</t>
  </si>
  <si>
    <t>-Lqljp-zreoNZE8fy3uf</t>
  </si>
  <si>
    <t>1570645166983</t>
  </si>
  <si>
    <t>-LqljrONXGC3l9m8yXhy</t>
  </si>
  <si>
    <t>1570645173519</t>
  </si>
  <si>
    <t>-Lqljt1O_nZhmsN-TuU2</t>
  </si>
  <si>
    <t>1570645183462</t>
  </si>
  <si>
    <t>-LqljuYqit7-D1Nnz6Je</t>
  </si>
  <si>
    <t>1570645189706</t>
  </si>
  <si>
    <t>-Lqljw3HTf2sVjwORMIO</t>
  </si>
  <si>
    <t>1570645195865</t>
  </si>
  <si>
    <t>-LqljxZLLXLsMf9PaJii</t>
  </si>
  <si>
    <t>1570645202022</t>
  </si>
  <si>
    <t>-Lqljz3aZkiinv6RszFI</t>
  </si>
  <si>
    <t>1570645208192</t>
  </si>
  <si>
    <t>-Lqlk-sq3FWpdooII4hv</t>
  </si>
  <si>
    <t>1570645214422</t>
  </si>
  <si>
    <t>-Lqlk1b-dnxPUOYxvoRM</t>
  </si>
  <si>
    <t>1570645222673</t>
  </si>
  <si>
    <t>-Lqlk36FyPm2JxGJnS63</t>
  </si>
  <si>
    <t>1570645228823</t>
  </si>
  <si>
    <t>-Lqlk4bNNIcNdA6Dx0MS</t>
  </si>
  <si>
    <t>1570645234983</t>
  </si>
  <si>
    <t>-Lqlk67ru5WlbKeoPPvY</t>
  </si>
  <si>
    <t>1570645241217</t>
  </si>
  <si>
    <t>-Lqlk7eMlaRgmM66PCAR</t>
  </si>
  <si>
    <t>1570645247382</t>
  </si>
  <si>
    <t>-Lqlk9PbEg2l3qB9MUlt</t>
  </si>
  <si>
    <t>1570645254583</t>
  </si>
  <si>
    <t>-LqlkB97Kpt2SXgcPAZj</t>
  </si>
  <si>
    <t>1570645261784</t>
  </si>
  <si>
    <t>-LqlkCeN02-dpDwgfNPd</t>
  </si>
  <si>
    <t>1570645267947</t>
  </si>
  <si>
    <t>-LqlkEAqR4-bLC0iDzBU</t>
  </si>
  <si>
    <t>1570645274177</t>
  </si>
  <si>
    <t>-LqlkFywGQXkjg1znLwT</t>
  </si>
  <si>
    <t>1570645280352</t>
  </si>
  <si>
    <t>-LqlkHgmzad0UP9sbGcu</t>
  </si>
  <si>
    <t>1570645288577</t>
  </si>
  <si>
    <t>-LqlkJC5F_SjhNAaOtaF</t>
  </si>
  <si>
    <t>1570645294754</t>
  </si>
  <si>
    <t>-LqlkKicIoW8IxoBCHli</t>
  </si>
  <si>
    <t>1570645300974</t>
  </si>
  <si>
    <t>-LqlkMDs-CW-7hEZ8zJW</t>
  </si>
  <si>
    <t>1570645307144</t>
  </si>
  <si>
    <t>-LqlkNj5HhUDaS4FAiXI</t>
  </si>
  <si>
    <t>1570645313302</t>
  </si>
  <si>
    <t>-LqlkPEMm-Bs1NDCNMom</t>
  </si>
  <si>
    <t>1570645319463</t>
  </si>
  <si>
    <t>-LqlkQl0ezw9qo0Qbt_d</t>
  </si>
  <si>
    <t>1570645325703</t>
  </si>
  <si>
    <t>-LqlkSG5ebH2ogRQLA5r</t>
  </si>
  <si>
    <t>1570645331864</t>
  </si>
  <si>
    <t>-LqlkTn84bvm67EBj4ES</t>
  </si>
  <si>
    <t>1570645338022</t>
  </si>
  <si>
    <t>-LqlkVZLyl-pd8CFDO-D</t>
  </si>
  <si>
    <t>1570645345222</t>
  </si>
  <si>
    <t>-LqlkXHVROhQUi7JZ-D3</t>
  </si>
  <si>
    <t>1570645352438</t>
  </si>
  <si>
    <t>-LqlkYnqHB8yXyddIyO7</t>
  </si>
  <si>
    <t>1570645358659</t>
  </si>
  <si>
    <t>-Lqlk_J67PUABUCn7_PI</t>
  </si>
  <si>
    <t>1570645364824</t>
  </si>
  <si>
    <t>-LqlkaoLytcWP6uPUXn5</t>
  </si>
  <si>
    <t>1570645370982</t>
  </si>
  <si>
    <t>-LqlkcK1rVCEtK58VwPp</t>
  </si>
  <si>
    <t>1570645377168</t>
  </si>
  <si>
    <t>-LqlkdpszXMUzCzDkdXO</t>
  </si>
  <si>
    <t>1570645383334</t>
  </si>
  <si>
    <t>-LqlkfbELU7Bmzwro8y8</t>
  </si>
  <si>
    <t>1570645389519</t>
  </si>
  <si>
    <t>-Lqlkh6HtO5LfdZc2vlt</t>
  </si>
  <si>
    <t>1570645396770</t>
  </si>
  <si>
    <t>-LqlkibV2sy6DLuZE0n2</t>
  </si>
  <si>
    <t>1570645402929</t>
  </si>
  <si>
    <t>-Lqlkk6k_uDyaXO4tzeH</t>
  </si>
  <si>
    <t>1570645409093</t>
  </si>
  <si>
    <t>-Lqlklbfqs4cqQVuka5L</t>
  </si>
  <si>
    <t>1570645415328</t>
  </si>
  <si>
    <t>-Lqlkn7GtOe4Obnuicq3</t>
  </si>
  <si>
    <t>1570645421489</t>
  </si>
  <si>
    <t>-LqlkodlBi37OytuPKAU</t>
  </si>
  <si>
    <t>1570645427649</t>
  </si>
  <si>
    <t>-Lqlkq90yBzs8-3rdnHB</t>
  </si>
  <si>
    <t>1570645433874</t>
  </si>
  <si>
    <t>-LqlkrgmBf_jnSEEmhvE</t>
  </si>
  <si>
    <t>1570645440050</t>
  </si>
  <si>
    <t>-LqlktQh7eAkqhFxpfpw</t>
  </si>
  <si>
    <t>1570645447249</t>
  </si>
  <si>
    <t>-LqlkuwET6OKWfDK9q5G</t>
  </si>
  <si>
    <t>1570645453409</t>
  </si>
  <si>
    <t>-LqlkwRUkrZtnK3byqhN</t>
  </si>
  <si>
    <t>1570645459574</t>
  </si>
  <si>
    <t>-Lqlkxy-6S5f2hvHxXxK</t>
  </si>
  <si>
    <t>1570645465803</t>
  </si>
  <si>
    <t>-LqlkzTFRGOYzV7DKr6M</t>
  </si>
  <si>
    <t>1570645471969</t>
  </si>
  <si>
    <t>-Lqll-yWWqreQYCcMekQ</t>
  </si>
  <si>
    <t>1570645478128</t>
  </si>
  <si>
    <t>-Lqll1Tkb_SYSjcJkxzq</t>
  </si>
  <si>
    <t>1570645484298</t>
  </si>
  <si>
    <t>-Lqll3-IOZIgB4XyoVyB</t>
  </si>
  <si>
    <t>1570645490531</t>
  </si>
  <si>
    <t>-Lqll4ULnKrWebcspGLF</t>
  </si>
  <si>
    <t>1570645496689</t>
  </si>
  <si>
    <t>-Lqll6-nBU3pS9UrxZ0y</t>
  </si>
  <si>
    <t>1570645502850</t>
  </si>
  <si>
    <t>-Lqll7XH3QOXWEC10TbQ</t>
  </si>
  <si>
    <t>1570645509087</t>
  </si>
  <si>
    <t>-Lqll91Pc6voWmjntzcH</t>
  </si>
  <si>
    <t>1570645515248</t>
  </si>
  <si>
    <t>-LqllAWVGE94Ls8JCSkA</t>
  </si>
  <si>
    <t>1570645521388</t>
  </si>
  <si>
    <t>-LqllC1zObiowMfHRy6f</t>
  </si>
  <si>
    <t>1570645527569</t>
  </si>
  <si>
    <t>-LqllDZQ2ZdA64AgPGme</t>
  </si>
  <si>
    <t>1570645533808</t>
  </si>
  <si>
    <t>-LqllF3laB7PvUyaRkit</t>
  </si>
  <si>
    <t>1570645539959</t>
  </si>
  <si>
    <t>-LqllGZzygMYuzby_NLj</t>
  </si>
  <si>
    <t>1570645546128</t>
  </si>
  <si>
    <t>-LqllI4FpWLfX33y8KVk</t>
  </si>
  <si>
    <t>1570645552293</t>
  </si>
  <si>
    <t>-LqllJ_H2n8r7tnZszaR</t>
  </si>
  <si>
    <t>1570645558509</t>
  </si>
  <si>
    <t>-LqllL5ziFKc4Y1UYc4W</t>
  </si>
  <si>
    <t>1570645564687</t>
  </si>
  <si>
    <t>-LqllMbGCltOdcnzeiqa</t>
  </si>
  <si>
    <t>1570645570849</t>
  </si>
  <si>
    <t>-LqllO6WGBU54LGkfHU_</t>
  </si>
  <si>
    <t>1570645577073</t>
  </si>
  <si>
    <t>-LqllPd0rN7Uv2eha7B-</t>
  </si>
  <si>
    <t>1570645583247</t>
  </si>
  <si>
    <t>-LqllR8G5lxx3qDZemuE</t>
  </si>
  <si>
    <t>1570645589407</t>
  </si>
  <si>
    <t>-LqllStlW0xFdWOJCjgC</t>
  </si>
  <si>
    <t>1570645596609</t>
  </si>
  <si>
    <t>-LqllUfRMHs9J9Vsx9h0</t>
  </si>
  <si>
    <t>1570645603904</t>
  </si>
  <si>
    <t>-LqllWAnB-vxA0zQlxCh</t>
  </si>
  <si>
    <t>1570645610035</t>
  </si>
  <si>
    <t>-LqllXfh_yz5YJB37vBB</t>
  </si>
  <si>
    <t>1570645616209</t>
  </si>
  <si>
    <t>-LqllZBH4qaT5_yfEHWn</t>
  </si>
  <si>
    <t>1570645622369</t>
  </si>
  <si>
    <t>-Lqll_gX80n2vrMUaQS0</t>
  </si>
  <si>
    <t>1570645628538</t>
  </si>
  <si>
    <t>-LqllbD0cuTeRXfHtJBP</t>
  </si>
  <si>
    <t>1570645634769</t>
  </si>
  <si>
    <t>-Lqllci1ZFDXSu542SFQ</t>
  </si>
  <si>
    <t>1570645640929</t>
  </si>
  <si>
    <t>-LqlleDVobPEx_sAYm_F</t>
  </si>
  <si>
    <t>1570645647090</t>
  </si>
  <si>
    <t>-Lqllfil9nplJXeD70Aa</t>
  </si>
  <si>
    <t>1570645653255</t>
  </si>
  <si>
    <t>-LqllhFIIlDJEw3mJJvu</t>
  </si>
  <si>
    <t>1570645659489</t>
  </si>
  <si>
    <t>-LqllikVZjCv4wYWZyh1</t>
  </si>
  <si>
    <t>1570645665650</t>
  </si>
  <si>
    <t>-LqllkFl3mkzKJ7zqE5i</t>
  </si>
  <si>
    <t>1570645671810</t>
  </si>
  <si>
    <t>-LqlllmHw1YrmJ1gmGbB</t>
  </si>
  <si>
    <t>1570645678050</t>
  </si>
  <si>
    <t>-LqllnSpFpRb592K7-oA</t>
  </si>
  <si>
    <t>1570645684209</t>
  </si>
  <si>
    <t>-Lqllp21cjTJx_bU5V50</t>
  </si>
  <si>
    <t>1570645691409</t>
  </si>
  <si>
    <t>-LqllqYJ5n1ricvU4gS2</t>
  </si>
  <si>
    <t>1570645697569</t>
  </si>
  <si>
    <t>-Lqlls2buWoyvuJVMExY</t>
  </si>
  <si>
    <t>1570645703794</t>
  </si>
  <si>
    <t>-Lqllt_0XLL8awXEy_Fi</t>
  </si>
  <si>
    <t>1570645709972</t>
  </si>
  <si>
    <t>-Lqllv5XSR30SwtuXYl1</t>
  </si>
  <si>
    <t>1570645716129</t>
  </si>
  <si>
    <t>-LqllwpmuR-8S0bdozYt</t>
  </si>
  <si>
    <t>1570645723330</t>
  </si>
  <si>
    <t>-LqllyL1h4cNsXfK_tfV</t>
  </si>
  <si>
    <t>1570645729495</t>
  </si>
  <si>
    <t>-LqllzrXzIv00O2svjXz</t>
  </si>
  <si>
    <t>1570645735730</t>
  </si>
  <si>
    <t>-Lqlm0_WXPV6Re6DRES_</t>
  </si>
  <si>
    <t>1570645741888</t>
  </si>
  <si>
    <t>-Lqlm27GikIZ9On-Mqwc</t>
  </si>
  <si>
    <t>1570645749090</t>
  </si>
  <si>
    <t>-Lqlm3cXjbFaa9NcykBP</t>
  </si>
  <si>
    <t>1570645755248</t>
  </si>
  <si>
    <t>-Lqlm590BUMOIso1IJ4C</t>
  </si>
  <si>
    <t>1570645761495</t>
  </si>
  <si>
    <t>-Lqlm6eGe3OywXnIPtM8</t>
  </si>
  <si>
    <t>1570645767644</t>
  </si>
  <si>
    <t>-Lqlm89XEm8jbr5rd1HY</t>
  </si>
  <si>
    <t>1570645773809</t>
  </si>
  <si>
    <t>-Lqlm9mojMguhXYw3JI5</t>
  </si>
  <si>
    <t>1570645779975</t>
  </si>
  <si>
    <t>-LqlmBQHVKzqSiL0ylmo</t>
  </si>
  <si>
    <t>1570645787190</t>
  </si>
  <si>
    <t>-LqlmCvVX1usieYCvKUn</t>
  </si>
  <si>
    <t>1570645793370</t>
  </si>
  <si>
    <t>-LqlmES-OrCq6B_sSFNV</t>
  </si>
  <si>
    <t>1570645799573</t>
  </si>
  <si>
    <t>-LqlmFy2ZKQkgI2pzrbI</t>
  </si>
  <si>
    <t>1570645805780</t>
  </si>
  <si>
    <t>-LqlmHiXzTM-mgP5mhVc</t>
  </si>
  <si>
    <t>1570645811940</t>
  </si>
  <si>
    <t>-LqlmJDlWo3Gk6PskslQ</t>
  </si>
  <si>
    <t>1570645819138</t>
  </si>
  <si>
    <t>-LqlmKj2IPzlR6VCJcog</t>
  </si>
  <si>
    <t>1570645825303</t>
  </si>
  <si>
    <t>-LqlmMFWa7EUwsHnfSK3</t>
  </si>
  <si>
    <t>1570645831537</t>
  </si>
  <si>
    <t>-LqlmNkmfn98oM3PKosy</t>
  </si>
  <si>
    <t>1570645837697</t>
  </si>
  <si>
    <t>-LqlmPG0MR1rRxP2PhPy</t>
  </si>
  <si>
    <t>1570645843858</t>
  </si>
  <si>
    <t>-LqlmQlIOru5DHPN0YoY</t>
  </si>
  <si>
    <t>1570645850024</t>
  </si>
  <si>
    <t>-LqlmSZwWoxt0nrlVVM6</t>
  </si>
  <si>
    <t>1570645856254</t>
  </si>
  <si>
    <t>-LqlmUIYdhVxCTqCAo4x</t>
  </si>
  <si>
    <t>1570645864492</t>
  </si>
  <si>
    <t>-LqlmVongXi0fftsN40A</t>
  </si>
  <si>
    <t>1570645870659</t>
  </si>
  <si>
    <t>-LqlmX_X-fR-o325DYT_</t>
  </si>
  <si>
    <t>1570645877857</t>
  </si>
  <si>
    <t>-LqlmZ3rmeUCWMbEtCLi</t>
  </si>
  <si>
    <t>1570645884019</t>
  </si>
  <si>
    <t>-Lqlm__K0Nzzy7M33fEl</t>
  </si>
  <si>
    <t>1570645890212</t>
  </si>
  <si>
    <t>-Lqlmb4Z5LszS6VxAeyl</t>
  </si>
  <si>
    <t>1570645896392</t>
  </si>
  <si>
    <t>-LqlmcsaLcGcYfl39kld</t>
  </si>
  <si>
    <t>1570645903652</t>
  </si>
  <si>
    <t>-Lqlmebo82YigyNHo60I</t>
  </si>
  <si>
    <t>1570645910854</t>
  </si>
  <si>
    <t>-Lqlmg6gsIXnfJQUoO04</t>
  </si>
  <si>
    <t>1570645917013</t>
  </si>
  <si>
    <t>-LqlmhcJ6wYWqRSsc27J</t>
  </si>
  <si>
    <t>1570645923174</t>
  </si>
  <si>
    <t>-LqlmjBM8AIl5GuTNdZo</t>
  </si>
  <si>
    <t>1570645929412</t>
  </si>
  <si>
    <t>-LqlmkuL7Oc_WbzXcLY6</t>
  </si>
  <si>
    <t>1570645936607</t>
  </si>
  <si>
    <t>-LqlmmPabe6e7qXPlNRL</t>
  </si>
  <si>
    <t>1570645942772</t>
  </si>
  <si>
    <t>-Lqlmnuo7kmBqXCsogBZ</t>
  </si>
  <si>
    <t>1570645948930</t>
  </si>
  <si>
    <t>-LqlmpQ5J1fM0Q0JzE2V</t>
  </si>
  <si>
    <t>1570645955159</t>
  </si>
  <si>
    <t>-Lqlmqw_umJWsh49NyYO</t>
  </si>
  <si>
    <t>1570645961333</t>
  </si>
  <si>
    <t>-LqlmsRoymT45Mwq2f-l</t>
  </si>
  <si>
    <t>1570645967493</t>
  </si>
  <si>
    <t>-Lqlmtx4pRLmbae45r3P</t>
  </si>
  <si>
    <t>1570645973654</t>
  </si>
  <si>
    <t>-LqlmvTZRvVKWdlEAx0l</t>
  </si>
  <si>
    <t>1570645979898</t>
  </si>
  <si>
    <t>-LqlmwxZ-cxj4g60SQt6</t>
  </si>
  <si>
    <t>1570645986027</t>
  </si>
  <si>
    <t>-LqlmyU4j6ZzYzuq8AeA</t>
  </si>
  <si>
    <t>1570645992214</t>
  </si>
  <si>
    <t>-LqlmzzJ05_BHYy65ZDJ</t>
  </si>
  <si>
    <t>1570645998374</t>
  </si>
  <si>
    <t>-Lqln0VlzDWz561X48SL</t>
  </si>
  <si>
    <t>1570646004613</t>
  </si>
  <si>
    <t>-Lqln205TbiSAC4NnxSC</t>
  </si>
  <si>
    <t>1570646010773</t>
  </si>
  <si>
    <t>-Lqln3W4PpkkbFzTxgBq</t>
  </si>
  <si>
    <t>1570646016933</t>
  </si>
  <si>
    <t>-Lqln5IKt8uy0ECZ8yJi</t>
  </si>
  <si>
    <t>1570646023098</t>
  </si>
  <si>
    <t>-Lqln6m6gV9Kye5rMES2</t>
  </si>
  <si>
    <t>1570646030300</t>
  </si>
  <si>
    <t>-Lqln8I_XRF4WAD8bE2U</t>
  </si>
  <si>
    <t>1570646036533</t>
  </si>
  <si>
    <t>-Lqln9nJ5O1DYYNNZD_L</t>
  </si>
  <si>
    <t>1570646042693</t>
  </si>
  <si>
    <t>-LqlnBHpogfLaWPHL2V3</t>
  </si>
  <si>
    <t>1570646048838</t>
  </si>
  <si>
    <t>-LqlnCpaov895XMLRkh-</t>
  </si>
  <si>
    <t>1570646055089</t>
  </si>
  <si>
    <t>-LqlnEKpl8rAEFEka1uv</t>
  </si>
  <si>
    <t>1570646061250</t>
  </si>
  <si>
    <t>-LqlnFq6P6kAA3XCoMSY</t>
  </si>
  <si>
    <t>1570646067413</t>
  </si>
  <si>
    <t>-LqlnHLLhXCTSrDmXj99</t>
  </si>
  <si>
    <t>1570646073575</t>
  </si>
  <si>
    <t>-LqlnIrsArMKlS4qkFEj</t>
  </si>
  <si>
    <t>1570646079815</t>
  </si>
  <si>
    <t>-LqlnKMiPXczrno_pwsA</t>
  </si>
  <si>
    <t>1570646085973</t>
  </si>
  <si>
    <t>-LqlnLsKkRPUpcZiMFcI</t>
  </si>
  <si>
    <t>1570646092133</t>
  </si>
  <si>
    <t>-LqlnNNaAEMWMUQFgi0h</t>
  </si>
  <si>
    <t>1570646098355</t>
  </si>
  <si>
    <t>-LqlnOu68aP48W-X8qVM</t>
  </si>
  <si>
    <t>1570646104534</t>
  </si>
  <si>
    <t>-LqlnQPWkzLk9MrCA0g4</t>
  </si>
  <si>
    <t>1570646110705</t>
  </si>
  <si>
    <t>-LqlnRuvAPxMuDdawoaK</t>
  </si>
  <si>
    <t>1570646116865</t>
  </si>
  <si>
    <t>-LqlnTXK1Y4fykudBcTx</t>
  </si>
  <si>
    <t>1570646123033</t>
  </si>
  <si>
    <t>-LqlnVBo-pJoRfEO6CBu</t>
  </si>
  <si>
    <t>1570646130298</t>
  </si>
  <si>
    <t>-LqlnWfefvBDzE-LHQgj</t>
  </si>
  <si>
    <t>1570646136423</t>
  </si>
  <si>
    <t>-LqlnYCE3YkGBAJ_4Ce8</t>
  </si>
  <si>
    <t>1570646142623</t>
  </si>
  <si>
    <t>-Lqln_-NLOS7vljCVros</t>
  </si>
  <si>
    <t>1570646148783</t>
  </si>
  <si>
    <t>-Lqlnai9ul4EZkwNyKP7</t>
  </si>
  <si>
    <t>1570646157028</t>
  </si>
  <si>
    <t>-LqlncEjKAThCsjoGXmx</t>
  </si>
  <si>
    <t>1570646163264</t>
  </si>
  <si>
    <t>-LqlndjzdLD7IDZ8b52_</t>
  </si>
  <si>
    <t>1570646169424</t>
  </si>
  <si>
    <t>-LqlnfPFxfeEJQ3VnIWL</t>
  </si>
  <si>
    <t>1570646176268</t>
  </si>
  <si>
    <t>-Lqlnh-jpBqy6VenBH_E</t>
  </si>
  <si>
    <t>1570646182783</t>
  </si>
  <si>
    <t>-LqlniXEGrUwBmbNB-sV</t>
  </si>
  <si>
    <t>1570646189025</t>
  </si>
  <si>
    <t>-Lqlnk1WXmdJlBFmzCPB</t>
  </si>
  <si>
    <t>1570646195178</t>
  </si>
  <si>
    <t>-Lqlnlqp3zLZsvCWkWO_</t>
  </si>
  <si>
    <t>1570646201343</t>
  </si>
  <si>
    <t>-LqlnnYUD4wVLydGxQ3Q</t>
  </si>
  <si>
    <t>1570646209585</t>
  </si>
  <si>
    <t>-Lqlnp2jlW_KrNbDnHQ1</t>
  </si>
  <si>
    <t>1570646215749</t>
  </si>
  <si>
    <t>-Lqlnq_FCA5SfRUN27PZ</t>
  </si>
  <si>
    <t>1570646221986</t>
  </si>
  <si>
    <t>-Lqlns4Uf8lXk5Ad__ie</t>
  </si>
  <si>
    <t>1570646228140</t>
  </si>
  <si>
    <t>-Lqlnt_kdCx70Oaa1Y_Q</t>
  </si>
  <si>
    <t>1570646234305</t>
  </si>
  <si>
    <t>-LqlnvNvV7dxbP41pVO5</t>
  </si>
  <si>
    <t>1570646241709</t>
  </si>
  <si>
    <t>-Lqlnx71tpdpTF_P3k0Z</t>
  </si>
  <si>
    <t>1570646248785</t>
  </si>
  <si>
    <t>-Lqlnyc0RXtVHoqSUbBG</t>
  </si>
  <si>
    <t>1570646254946</t>
  </si>
  <si>
    <t>-Lqlo-7VQbp7n3eMI_nI</t>
  </si>
  <si>
    <t>1570646261105</t>
  </si>
  <si>
    <t>-Lqlo0cmdYygJVr3jSZM</t>
  </si>
  <si>
    <t>1570646267265</t>
  </si>
  <si>
    <t>-Lqlo29GHa9aLkMdIWSv</t>
  </si>
  <si>
    <t>1570646273504</t>
  </si>
  <si>
    <t>-Lqlo3eVsZT_6h1HUq_h</t>
  </si>
  <si>
    <t>1570646279665</t>
  </si>
  <si>
    <t>-Lqlo59kaeDArIAsWgDr</t>
  </si>
  <si>
    <t>1570646285824</t>
  </si>
  <si>
    <t>-Lqlo6f4hWcRXbdhkOSn</t>
  </si>
  <si>
    <t>1570646291989</t>
  </si>
  <si>
    <t>-Lqlo8Q3nfXmcrJJuMUf</t>
  </si>
  <si>
    <t>1570646298195</t>
  </si>
  <si>
    <t>-Lqlo9w_VubryLLk9sD2</t>
  </si>
  <si>
    <t>1570646305395</t>
  </si>
  <si>
    <t>-LqloBT1T1kcmWAGTBtt</t>
  </si>
  <si>
    <t>1570646311621</t>
  </si>
  <si>
    <t>-LqloDCJW2cqAmxYhHuA</t>
  </si>
  <si>
    <t>1570646318760</t>
  </si>
  <si>
    <t>-LqloEitHcW81QY56KxZ</t>
  </si>
  <si>
    <t>1570646324995</t>
  </si>
  <si>
    <t>-LqloGE3L-wnjsIMsPOq</t>
  </si>
  <si>
    <t>1570646331154</t>
  </si>
  <si>
    <t>-LqloHjHib8V9CCBm5R8</t>
  </si>
  <si>
    <t>1570646337319</t>
  </si>
  <si>
    <t>-LqloJFnz-XQMB4oeymN</t>
  </si>
  <si>
    <t>1570646343555</t>
  </si>
  <si>
    <t>-LqloKoZXG2ZSBZ397TZ</t>
  </si>
  <si>
    <t>1570646349714</t>
  </si>
  <si>
    <t>-LqloMZ1ciWOvlMnXvG1</t>
  </si>
  <si>
    <t>1570646356921</t>
  </si>
  <si>
    <t>-LqloOH2CemGmwtl6OGC</t>
  </si>
  <si>
    <t>1570646364116</t>
  </si>
  <si>
    <t>-LqloPmHkxosj35-jtc1</t>
  </si>
  <si>
    <t>1570646370341</t>
  </si>
  <si>
    <t>-LqloRIoZffE6sSaM_zP</t>
  </si>
  <si>
    <t>1570646376514</t>
  </si>
  <si>
    <t>-LqloSo2JBbSrA1pDo3K</t>
  </si>
  <si>
    <t>1570646382675</t>
  </si>
  <si>
    <t>-LqloUKWwqy1sJ7Jhsdy</t>
  </si>
  <si>
    <t>1570646388835</t>
  </si>
  <si>
    <t>-LqloVpmeuRhJ44O1AgP</t>
  </si>
  <si>
    <t>1570646395060</t>
  </si>
  <si>
    <t>-LqloXL2ed0DH_MskO9f</t>
  </si>
  <si>
    <t>1570646401234</t>
  </si>
  <si>
    <t>-LqloYqHoyCjCRDFqt44</t>
  </si>
  <si>
    <t>1570646407401</t>
  </si>
  <si>
    <t>-Lqlo_LZJPpDS55pK-gu</t>
  </si>
  <si>
    <t>1570646413557</t>
  </si>
  <si>
    <t>-Lqloas1qxP3A7Ape93p</t>
  </si>
  <si>
    <t>1570646419799</t>
  </si>
  <si>
    <t>-Lqlocf6mDQIP5RT6rlf</t>
  </si>
  <si>
    <t>1570646425954</t>
  </si>
  <si>
    <t>-LqloeO20drUoYBxBXen</t>
  </si>
  <si>
    <t>1570646434196</t>
  </si>
  <si>
    <t>-LqloftJtqMfky53jybx</t>
  </si>
  <si>
    <t>1570646440359</t>
  </si>
  <si>
    <t>-LqlohPoi6BMyN_PkJSU</t>
  </si>
  <si>
    <t>1570646446579</t>
  </si>
  <si>
    <t>-LqlojBWC_MJTreAEMuX</t>
  </si>
  <si>
    <t>1570646452755</t>
  </si>
  <si>
    <t>-Lqlokx-Ein-5zVm4v-T</t>
  </si>
  <si>
    <t>1570646460993</t>
  </si>
  <si>
    <t>-LqlomgHj1kSh3z8wYlW</t>
  </si>
  <si>
    <t>1570646468194</t>
  </si>
  <si>
    <t>-LqlooBW7MGfPHXWdUk0</t>
  </si>
  <si>
    <t>1570646474352</t>
  </si>
  <si>
    <t>-Lqlopi143SisM4Y5rPP</t>
  </si>
  <si>
    <t>1570646480605</t>
  </si>
  <si>
    <t>-LqlorS4p1qyaBfRslJV</t>
  </si>
  <si>
    <t>1570646486754</t>
  </si>
  <si>
    <t>-LqlosxWInbVOHxs1DIL</t>
  </si>
  <si>
    <t>1570646493954</t>
  </si>
  <si>
    <t>-LqlouU1u5NcZ7HtqFPT</t>
  </si>
  <si>
    <t>1570646500114</t>
  </si>
  <si>
    <t>-LqlovzHmOKMbeUlxw-0</t>
  </si>
  <si>
    <t>1570646506338</t>
  </si>
  <si>
    <t>-LqloxVlXT75JijnxlAI</t>
  </si>
  <si>
    <t>1570646512513</t>
  </si>
  <si>
    <t>-Lqloz01zLNBm-wO42XB</t>
  </si>
  <si>
    <t>1570646518674</t>
  </si>
  <si>
    <t>-Lqlp-WHOKxwSjhKBM2f</t>
  </si>
  <si>
    <t>1570646524835</t>
  </si>
  <si>
    <t>-Lqlp10Wx47p6XtGbgKI</t>
  </si>
  <si>
    <t>1570646531059</t>
  </si>
  <si>
    <t>-Lqlp2plrcJQTha9t_Lf</t>
  </si>
  <si>
    <t>1570646538268</t>
  </si>
  <si>
    <t>-Lqlp4Ym5zVJ2_kcQpO4</t>
  </si>
  <si>
    <t>1570646545474</t>
  </si>
  <si>
    <t>-Lqlp6304Yj2t8bs4GaK</t>
  </si>
  <si>
    <t>1570646551634</t>
  </si>
  <si>
    <t>-Lqlp7ZGC-A6WnRdBLSM</t>
  </si>
  <si>
    <t>1570646557793</t>
  </si>
  <si>
    <t>-Lqlp94WYj17_rbkXDTL</t>
  </si>
  <si>
    <t>1570646564034</t>
  </si>
  <si>
    <t>-LqlpAqHU9voMGVvJK5y</t>
  </si>
  <si>
    <t>1570646571274</t>
  </si>
  <si>
    <t>-LqlpCagOcvMg5gXj2Vy</t>
  </si>
  <si>
    <t>1570646578433</t>
  </si>
  <si>
    <t>-LqlpE6-iN4TqehdCtku</t>
  </si>
  <si>
    <t>1570646584597</t>
  </si>
  <si>
    <t>-LqlpFcWuV_riXPHC3cT</t>
  </si>
  <si>
    <t>1570646590819</t>
  </si>
  <si>
    <t>-LqlpH7heyibgncu2gCZ</t>
  </si>
  <si>
    <t>1570646596918</t>
  </si>
  <si>
    <t>-LqlpIdB2WtxKVbXWIk9</t>
  </si>
  <si>
    <t>1570646603154</t>
  </si>
  <si>
    <t>-LqlpK8Ltd25OwOEqqQ-</t>
  </si>
  <si>
    <t>1570646609309</t>
  </si>
  <si>
    <t>-LqlpLdRxkbWvv4op3_e</t>
  </si>
  <si>
    <t>1570646615537</t>
  </si>
  <si>
    <t>-LqlpNA-iTzfjL7kCrTJ</t>
  </si>
  <si>
    <t>1570646621714</t>
  </si>
  <si>
    <t>-LqlpOdPMKWy3JmW1tcQ</t>
  </si>
  <si>
    <t>1570646627859</t>
  </si>
  <si>
    <t>-LqlpQAYgn6fNhMDJeA1</t>
  </si>
  <si>
    <t>1570646634022</t>
  </si>
  <si>
    <t>-LqlpRh-WwAFEwa_68rT</t>
  </si>
  <si>
    <t>1570646640272</t>
  </si>
  <si>
    <t>-LqlpTCBW74T7LTfqv-N</t>
  </si>
  <si>
    <t>1570646646434</t>
  </si>
  <si>
    <t>-LqlpUhXNpV-eYgLV85J</t>
  </si>
  <si>
    <t>1570646652594</t>
  </si>
  <si>
    <t>-LqlpWWYkHpdpD29b62U</t>
  </si>
  <si>
    <t>1570646658752</t>
  </si>
  <si>
    <t>-LqlpYWWFARkGojoO2Us</t>
  </si>
  <si>
    <t>1570646666999</t>
  </si>
  <si>
    <t>-Lqlp_EGPeEhyVvIByyL</t>
  </si>
  <si>
    <t>1570646675239</t>
  </si>
  <si>
    <t>-LqlpajXB6Klc4uVf_Zc</t>
  </si>
  <si>
    <t>1570646681419</t>
  </si>
  <si>
    <t>-LqlpcG01mJCECl7Rfd3</t>
  </si>
  <si>
    <t>1570646687635</t>
  </si>
  <si>
    <t>-LqlpdlH2qNeyU9p1qt2</t>
  </si>
  <si>
    <t>1570646693795</t>
  </si>
  <si>
    <t>-LqlpfHmoHK9_iguWYxU</t>
  </si>
  <si>
    <t>1570646700018</t>
  </si>
  <si>
    <t>-Lqlph8IhUbYaFm9B9zC</t>
  </si>
  <si>
    <t>1570646706194</t>
  </si>
  <si>
    <t>-Lqlpinl3TGwTbk6x6Za</t>
  </si>
  <si>
    <t>1570646714436</t>
  </si>
  <si>
    <t>-LqlpkUHj6VKgUShPRr4</t>
  </si>
  <si>
    <t>1570646721384</t>
  </si>
  <si>
    <t>-Lqlpm3O2_7frfF8Cb9Y</t>
  </si>
  <si>
    <t>1570646727795</t>
  </si>
  <si>
    <t>-Lqlpna2GI1wghoX1qQk</t>
  </si>
  <si>
    <t>1570646734020</t>
  </si>
  <si>
    <t>-Lqlpp8qVV2JJEqW8-ko</t>
  </si>
  <si>
    <t>1570646740174</t>
  </si>
  <si>
    <t>-LqlpqqlVJAfdSgPVdtg</t>
  </si>
  <si>
    <t>1570646747396</t>
  </si>
  <si>
    <t>-LqlpsW0kkbfSoWN1YYp</t>
  </si>
  <si>
    <t>1570646754256</t>
  </si>
  <si>
    <t>-Lqlpu6HNFQIlUWJERU3</t>
  </si>
  <si>
    <t>1570646760757</t>
  </si>
  <si>
    <t>-Lqlpvk_ktDFhPeMsNK6</t>
  </si>
  <si>
    <t>1570646767510</t>
  </si>
  <si>
    <t>-LqlpxbdF18ysjuYzMHp</t>
  </si>
  <si>
    <t>1570646774194</t>
  </si>
  <si>
    <t>-Lqlpz8nsFuCKpqxRK1z</t>
  </si>
  <si>
    <t>1570646781394</t>
  </si>
  <si>
    <t>-Lqlq-uWtt5am6L3F0M0</t>
  </si>
  <si>
    <t>1570646788593</t>
  </si>
  <si>
    <t>-Lqlq1PnoPjl34quH8Ua</t>
  </si>
  <si>
    <t>1570646794754</t>
  </si>
  <si>
    <t>-Lqlq2wBL6GiyjHLHIqK</t>
  </si>
  <si>
    <t>1570646800994</t>
  </si>
  <si>
    <t>-Lqlq4gmwhp83Kwn_VDM</t>
  </si>
  <si>
    <t>1570646808195</t>
  </si>
  <si>
    <t>-Lqlq6C0w6PyrLtrCg5c</t>
  </si>
  <si>
    <t>1570646814354</t>
  </si>
  <si>
    <t>-Lqlq7hGAfnJFICMTjwt</t>
  </si>
  <si>
    <t>1570646820515</t>
  </si>
  <si>
    <t>-Lqlq9Dn1xemLjpLSnQ0</t>
  </si>
  <si>
    <t>1570646826749</t>
  </si>
  <si>
    <t>-LqlqAj1w0oHzqG_BAJ_</t>
  </si>
  <si>
    <t>1570646832914</t>
  </si>
  <si>
    <t>-LqlqCEIBGjL6KOcPCKM</t>
  </si>
  <si>
    <t>1570646839073</t>
  </si>
  <si>
    <t>-LqlqDjWkgiLmsBlzw66</t>
  </si>
  <si>
    <t>1570646845239</t>
  </si>
  <si>
    <t>-LqlqFFxlH3srMysh-sz</t>
  </si>
  <si>
    <t>1570646851474</t>
  </si>
  <si>
    <t>-LqlqGlHwfs934JvXRYS</t>
  </si>
  <si>
    <t>1570646857629</t>
  </si>
  <si>
    <t>-LqlqIGX_Nae70ucI_wi</t>
  </si>
  <si>
    <t>1570646863797</t>
  </si>
  <si>
    <t>-LqlqJoHjV9H6ugas-7P</t>
  </si>
  <si>
    <t>1570646869965</t>
  </si>
  <si>
    <t>-LqlqLYWZpG8QGX2dB_Q</t>
  </si>
  <si>
    <t>1570646877240</t>
  </si>
  <si>
    <t>-LqlqN7ljoG6yjUW4UIU</t>
  </si>
  <si>
    <t>1570646883727</t>
  </si>
  <si>
    <t>-LqlqP4oBunK0hGfhdih</t>
  </si>
  <si>
    <t>1570646891736</t>
  </si>
  <si>
    <t>-LqlqQp1vVJsdTAzwXvb</t>
  </si>
  <si>
    <t>1570646898833</t>
  </si>
  <si>
    <t>-LqlqSKJz3gczQdd7yS1</t>
  </si>
  <si>
    <t>1570646904994</t>
  </si>
  <si>
    <t>-LqlqTqlk2dB3DJjEW6P</t>
  </si>
  <si>
    <t>1570646911234</t>
  </si>
  <si>
    <t>-LqlqVOZBgUyhfF3FT1k</t>
  </si>
  <si>
    <t>1570646917394</t>
  </si>
  <si>
    <t>-LqlqXVX1OjQoGYLiQob</t>
  </si>
  <si>
    <t>1570646924593</t>
  </si>
  <si>
    <t>-LqlqZ7Hz9_VTm1MdZt6</t>
  </si>
  <si>
    <t>1570646932833</t>
  </si>
  <si>
    <t>-Lqlq_cWuXWYk7CVMqUr</t>
  </si>
  <si>
    <t>1570646938995</t>
  </si>
  <si>
    <t>-Lqlqb91aSuaHjT95K97</t>
  </si>
  <si>
    <t>1570646945230</t>
  </si>
  <si>
    <t>-LqlqceHSlcVcNWvV_SJ</t>
  </si>
  <si>
    <t>1570646951395</t>
  </si>
  <si>
    <t>-Lqlqe9YsIWuUTQpkODg</t>
  </si>
  <si>
    <t>1570646957554</t>
  </si>
  <si>
    <t>-Lqlqfelcylk793Dzz9w</t>
  </si>
  <si>
    <t>1570646963713</t>
  </si>
  <si>
    <t>-LqlqhBHWjzKRMT9dxvv</t>
  </si>
  <si>
    <t>1570646969955</t>
  </si>
  <si>
    <t>-LqlqigY9At9uYYkFcSP</t>
  </si>
  <si>
    <t>1570646976114</t>
  </si>
  <si>
    <t>-LqlqkMiLWFBw3oZuqoc</t>
  </si>
  <si>
    <t>1570646982273</t>
  </si>
  <si>
    <t>-LqlqlxIGmCr4BeGYo8_</t>
  </si>
  <si>
    <t>1570646989474</t>
  </si>
  <si>
    <t>-LqlqnSYtaabdVQojYSK</t>
  </si>
  <si>
    <t>1570646995655</t>
  </si>
  <si>
    <t>-Lqlqoz92dRhXyqdOK0F</t>
  </si>
  <si>
    <t>1570647001875</t>
  </si>
  <si>
    <t>-LqlqqU6LZfRHkMp8dVT</t>
  </si>
  <si>
    <t>1570647008034</t>
  </si>
  <si>
    <t>-LqlqrzYUvcOQJkfEvTy</t>
  </si>
  <si>
    <t>1570647014194</t>
  </si>
  <si>
    <t>-LqlqtW5XGpVApUHSfPF</t>
  </si>
  <si>
    <t>1570647020435</t>
  </si>
  <si>
    <t>-Lqlqv0JVjftvz5QL7mM</t>
  </si>
  <si>
    <t>1570647026589</t>
  </si>
  <si>
    <t>-LqlqwWXBVeO1AwppRlH</t>
  </si>
  <si>
    <t>1570647032755</t>
  </si>
  <si>
    <t>-Lqlqy0n_9844iukRahU</t>
  </si>
  <si>
    <t>1570647038980</t>
  </si>
  <si>
    <t>-LqlqzYBV6hSYl0QAAk-</t>
  </si>
  <si>
    <t>1570647045198</t>
  </si>
  <si>
    <t>-Lqlr03mv-JgaWuFkTZi</t>
  </si>
  <si>
    <t>1570647051315</t>
  </si>
  <si>
    <t>-Lqlr1o0V-2QtQAuzwAr</t>
  </si>
  <si>
    <t>1570647058516</t>
  </si>
  <si>
    <t>-Lqlr3JS-B0MjbTRPqj7</t>
  </si>
  <si>
    <t>1570647064742</t>
  </si>
  <si>
    <t>-Lqlr4pgI6uuiHFyGl7p</t>
  </si>
  <si>
    <t>1570647070913</t>
  </si>
  <si>
    <t>-Lqlr6_2Eq5AbhTlFiyd</t>
  </si>
  <si>
    <t>1570647078095</t>
  </si>
  <si>
    <t>-Lqlr85T3oGLlWFEen3t</t>
  </si>
  <si>
    <t>1570647084273</t>
  </si>
  <si>
    <t>-Lqlr9aoy3_fBOnynxMH</t>
  </si>
  <si>
    <t>1570647090498</t>
  </si>
  <si>
    <t>-LqlrB7GH7SpMeZjxo91</t>
  </si>
  <si>
    <t>1570647096674</t>
  </si>
  <si>
    <t>-LqlrCvJbtKuyBzq3gzN</t>
  </si>
  <si>
    <t>1570647102834</t>
  </si>
  <si>
    <t>-LqlrEjArrZL_YmFtMNG</t>
  </si>
  <si>
    <t>1570647111075</t>
  </si>
  <si>
    <t>-LqlrGOnaFvS_rF_tqqM</t>
  </si>
  <si>
    <t>1570647118275</t>
  </si>
  <si>
    <t>-LqlrHu22qOe6bhTT25W</t>
  </si>
  <si>
    <t>1570647124444</t>
  </si>
  <si>
    <t>-LqlrJQYBhf8axA9srvv</t>
  </si>
  <si>
    <t>1570647130676</t>
  </si>
  <si>
    <t>-LqlrKx38thdEcsfB4TE</t>
  </si>
  <si>
    <t>1570647136835</t>
  </si>
  <si>
    <t>-LqlrMgJaOIgYfBe8Iho</t>
  </si>
  <si>
    <t>1570647144036</t>
  </si>
  <si>
    <t>-LqlrOBUY672435btw2h</t>
  </si>
  <si>
    <t>1570647150204</t>
  </si>
  <si>
    <t>-LqlrPi3ZRHKPjWV4Bo4</t>
  </si>
  <si>
    <t>1570647156435</t>
  </si>
  <si>
    <t>-LqlrRDHyOV3hLzXBrbL</t>
  </si>
  <si>
    <t>1570647162594</t>
  </si>
  <si>
    <t>-LqlrSiZz57zd02U4pl3</t>
  </si>
  <si>
    <t>1570647168754</t>
  </si>
  <si>
    <t>-LqlrUEzce45F4-8jT8F</t>
  </si>
  <si>
    <t>1570647174994</t>
  </si>
  <si>
    <t>-LqlrVkJuX1pXsH0iPL3</t>
  </si>
  <si>
    <t>1570647181156</t>
  </si>
  <si>
    <t>-LqlrXFU6JeBXTosPU6c</t>
  </si>
  <si>
    <t>1570647187316</t>
  </si>
  <si>
    <t>-LqlrYkixRZgpSUJRB_c</t>
  </si>
  <si>
    <t>1570647193476</t>
  </si>
  <si>
    <t>-Lqlr_HDkoRr3KLpLXNX</t>
  </si>
  <si>
    <t>1570647199709</t>
  </si>
  <si>
    <t>-LqlranoJVgqwr-VmyKN</t>
  </si>
  <si>
    <t>1570647205994</t>
  </si>
  <si>
    <t>-LqlrcY2380zssgTDpp6</t>
  </si>
  <si>
    <t>1570647213075</t>
  </si>
  <si>
    <t>-Lqlre2I6VxVPZFer9td</t>
  </si>
  <si>
    <t>1570647219235</t>
  </si>
  <si>
    <t>-LqlrfZpMFkkk0-uFGjp</t>
  </si>
  <si>
    <t>1570647225474</t>
  </si>
  <si>
    <t>-Lqlrh42lGsiZrXXC800</t>
  </si>
  <si>
    <t>1570647231636</t>
  </si>
  <si>
    <t>-Lqlri_DxVz6HzzdLqzW</t>
  </si>
  <si>
    <t>1570647237798</t>
  </si>
  <si>
    <t>-Lqlrk4XHBHYujm3tYDh</t>
  </si>
  <si>
    <t>1570647244015</t>
  </si>
  <si>
    <t>-Lqlrlb2yrM7TXtWBdul</t>
  </si>
  <si>
    <t>1570647250191</t>
  </si>
  <si>
    <t>-Lqlrn6C5PRm61Zjdcsm</t>
  </si>
  <si>
    <t>1570647256356</t>
  </si>
  <si>
    <t>-LqlrobSed33J0AvZ8p6</t>
  </si>
  <si>
    <t>1570647262516</t>
  </si>
  <si>
    <t>-Lqlrq7xpnqb3_22mkuV</t>
  </si>
  <si>
    <t>1570647268756</t>
  </si>
  <si>
    <t>-LqlrrdHgxEsKuYaEQEu</t>
  </si>
  <si>
    <t>1570647274909</t>
  </si>
  <si>
    <t>-Lqlrt9Z9zJswvRPjZh8</t>
  </si>
  <si>
    <t>1570647281074</t>
  </si>
  <si>
    <t>-LqlruuQXcNk-DjNMAX3</t>
  </si>
  <si>
    <t>1570647288275</t>
  </si>
  <si>
    <t>-LqlrwQXccBF9F-H-1d8</t>
  </si>
  <si>
    <t>1570647294500</t>
  </si>
  <si>
    <t>-Lqlrxuav6J9pKoaaiut</t>
  </si>
  <si>
    <t>1570647300655</t>
  </si>
  <si>
    <t>-LqlrzR2V2a4ddo_Edt9</t>
  </si>
  <si>
    <t>1570647306835</t>
  </si>
  <si>
    <t>-Lqls0CzgebGZQpq9Dly</t>
  </si>
  <si>
    <t>1570647312996</t>
  </si>
  <si>
    <t>-Lqls1gkB2mEYlGlQSFC</t>
  </si>
  <si>
    <t>1570647320197</t>
  </si>
  <si>
    <t>-Lqls3DHzB4XHutNi3sQ</t>
  </si>
  <si>
    <t>1570647326433</t>
  </si>
  <si>
    <t>-Lqls4iWyDD-bjB7KzKO</t>
  </si>
  <si>
    <t>1570647332595</t>
  </si>
  <si>
    <t>-Lqls6DmAshmzfj3VjFp</t>
  </si>
  <si>
    <t>1570647338752</t>
  </si>
  <si>
    <t>-Lqls7kFCgkGN4XEDZ-9</t>
  </si>
  <si>
    <t>1570647344988</t>
  </si>
  <si>
    <t>-Lqls9I-AL-y_A66dzsb</t>
  </si>
  <si>
    <t>1570647351153</t>
  </si>
  <si>
    <t>-LqlsB-w9c853xNUF2hq</t>
  </si>
  <si>
    <t>1570647358353</t>
  </si>
  <si>
    <t>-LqlsCfVsUhR3HWKpCAh</t>
  </si>
  <si>
    <t>1570647365117</t>
  </si>
  <si>
    <t>-LqlsEI1VGAF1NZzd4cJ</t>
  </si>
  <si>
    <t>1570647371782</t>
  </si>
  <si>
    <t>-LqlsFm0e6m1N8il-C0w</t>
  </si>
  <si>
    <t>1570647377877</t>
  </si>
  <si>
    <t>-LqlsHIWxip81sMTLglt</t>
  </si>
  <si>
    <t>1570647384113</t>
  </si>
  <si>
    <t>-LqlsInkBqc_7FC6Jbr8</t>
  </si>
  <si>
    <t>1570647390274</t>
  </si>
  <si>
    <t>-LqlsKKFnZ3sfgzi2qd7</t>
  </si>
  <si>
    <t>1570647396513</t>
  </si>
  <si>
    <t>-LqlsLpWXM8ys4y2Y90d</t>
  </si>
  <si>
    <t>1570647402673</t>
  </si>
  <si>
    <t>-LqlsNKlUB8QCQdwOzF8</t>
  </si>
  <si>
    <t>1570647408832</t>
  </si>
  <si>
    <t>-LqlsOq-qunScJD3tiRe</t>
  </si>
  <si>
    <t>1570647414998</t>
  </si>
  <si>
    <t>-LqlsQNlAFFVTgNX6Y-V</t>
  </si>
  <si>
    <t>1570647421317</t>
  </si>
  <si>
    <t>-LqlsS7-SbNiIbj-X0mB</t>
  </si>
  <si>
    <t>1570647428433</t>
  </si>
  <si>
    <t>-LqlsTcGs0eT5L5V-k_W</t>
  </si>
  <si>
    <t>1570647434593</t>
  </si>
  <si>
    <t>-LqlsV7WHfwVP_YAlkBi</t>
  </si>
  <si>
    <t>1570647440757</t>
  </si>
  <si>
    <t>-LqlsWe0n5_gDGhzd64v</t>
  </si>
  <si>
    <t>1570647446992</t>
  </si>
  <si>
    <t>-LqlsY9F0kG6Uh1Hh63D</t>
  </si>
  <si>
    <t>1570647453152</t>
  </si>
  <si>
    <t>-LqlsZeV9WFX8ehvNFA4</t>
  </si>
  <si>
    <t>1570647459313</t>
  </si>
  <si>
    <t>-Lqlsa9kZdGNCki1gjh8</t>
  </si>
  <si>
    <t>1570647465538</t>
  </si>
  <si>
    <t>-LqlsbgHhJYCWacXr4ji</t>
  </si>
  <si>
    <t>1570647471712</t>
  </si>
  <si>
    <t>-LqlsdBWvvmmI_tf6Eal</t>
  </si>
  <si>
    <t>1570647477868</t>
  </si>
  <si>
    <t>-Lqlsegl75j24P_aevs6</t>
  </si>
  <si>
    <t>1570647484033</t>
  </si>
  <si>
    <t>-LqlsgDGGnzHYlrpC3Zm</t>
  </si>
  <si>
    <t>1570647490273</t>
  </si>
  <si>
    <t>-LqlshiWhPvOpxlmvPIl</t>
  </si>
  <si>
    <t>1570647496433</t>
  </si>
  <si>
    <t>-LqlsjDlgzBApnrJfvJs</t>
  </si>
  <si>
    <t>1570647502593</t>
  </si>
  <si>
    <t>-LqlskkGIs7Q4yH7CR_3</t>
  </si>
  <si>
    <t>1570647508818</t>
  </si>
  <si>
    <t>-LqlsmEFLuJe6cnSUtIC</t>
  </si>
  <si>
    <t>1570647514918</t>
  </si>
  <si>
    <t>-LqlsnksYQW3qgTYg4oh</t>
  </si>
  <si>
    <t>1570647521153</t>
  </si>
  <si>
    <t>-LqlspYlRfDt7WQ1OmgH</t>
  </si>
  <si>
    <t>1570647528529</t>
  </si>
  <si>
    <t>-LqlsrGkKfHo4LYIlQuQ</t>
  </si>
  <si>
    <t>1570647535553</t>
  </si>
  <si>
    <t>-LqlssnGESpJc180oWuI</t>
  </si>
  <si>
    <t>1570647541794</t>
  </si>
  <si>
    <t>-LqlsuIXGGd2tsBEfkbM</t>
  </si>
  <si>
    <t>1570647547952</t>
  </si>
  <si>
    <t>-LqlsvmWNsTa0w7Qi6YG</t>
  </si>
  <si>
    <t>1570647554112</t>
  </si>
  <si>
    <t>-LqlsxJ-w4n3FZPntsPX</t>
  </si>
  <si>
    <t>1570647560277</t>
  </si>
  <si>
    <t>-LqlsypWWDV17AKQMB4c</t>
  </si>
  <si>
    <t>1570647566508</t>
  </si>
  <si>
    <t>-Lqlt-KkTD1j60e5mrm_</t>
  </si>
  <si>
    <t>1570647572672</t>
  </si>
  <si>
    <t>-Lqlt0q0J96uEqDpuCMX</t>
  </si>
  <si>
    <t>1570647578833</t>
  </si>
  <si>
    <t>-Lqlt2MVYiNCULmmTIoK</t>
  </si>
  <si>
    <t>1570647585068</t>
  </si>
  <si>
    <t>-Lqlt3rhqnqUl2jYs57-</t>
  </si>
  <si>
    <t>1570647591234</t>
  </si>
  <si>
    <t>-Lqlt5cFn9TsbU_DUPSj</t>
  </si>
  <si>
    <t>1570647597393</t>
  </si>
  <si>
    <t>-Lqlt7SmPK7flwovGYP2</t>
  </si>
  <si>
    <t>1570647604592</t>
  </si>
  <si>
    <t>-Lqlt98GKCNDLJGPWC6t</t>
  </si>
  <si>
    <t>1570647612834</t>
  </si>
  <si>
    <t>-LqltAdWTtrh_Id_cqnt</t>
  </si>
  <si>
    <t>1570647619074</t>
  </si>
  <si>
    <t>-LqltCA0WQ1ZiCWvAj_3</t>
  </si>
  <si>
    <t>1570647625227</t>
  </si>
  <si>
    <t>-LqltDfGYkLtyq3ugj2Q</t>
  </si>
  <si>
    <t>1570647631384</t>
  </si>
  <si>
    <t>-LqltFAVyO8a7RykBcgJ</t>
  </si>
  <si>
    <t>1570647637561</t>
  </si>
  <si>
    <t>-LqltGh-6-M637U48J7z</t>
  </si>
  <si>
    <t>1570647643794</t>
  </si>
  <si>
    <t>-LqltIB5505-7IF6uD_O</t>
  </si>
  <si>
    <t>1570647649918</t>
  </si>
  <si>
    <t>-LqltJhYzYIlEPpRKoef</t>
  </si>
  <si>
    <t>1570647656112</t>
  </si>
  <si>
    <t>-LqltLE0QahAcinJx1xi</t>
  </si>
  <si>
    <t>1570647662337</t>
  </si>
  <si>
    <t>-LqltMi-wDne75FhqGtH</t>
  </si>
  <si>
    <t>1570647668438</t>
  </si>
  <si>
    <t>-LqltOEWnQ8DISKOUl-p</t>
  </si>
  <si>
    <t>1570647674668</t>
  </si>
  <si>
    <t>-LqltPjmSz0wjbqjTXQg</t>
  </si>
  <si>
    <t>1570647680832</t>
  </si>
  <si>
    <t>-LqltRGGJbPEtWGdpdSI</t>
  </si>
  <si>
    <t>1570647687074</t>
  </si>
  <si>
    <t>-LqltSkGc-S4xx-viZ5A</t>
  </si>
  <si>
    <t>1570647693232</t>
  </si>
  <si>
    <t>-LqltUGlBojeo9N8ubjZ</t>
  </si>
  <si>
    <t>1570647699393</t>
  </si>
  <si>
    <t>-LqltVm07YSAyyXAoBeb</t>
  </si>
  <si>
    <t>1570647705558</t>
  </si>
  <si>
    <t>-LqltXI_2FOyl4a6P8WE</t>
  </si>
  <si>
    <t>1570647711792</t>
  </si>
  <si>
    <t>-LqltYnkDjSHbz0-CIOv</t>
  </si>
  <si>
    <t>1570647717952</t>
  </si>
  <si>
    <t>-Lqlt_IuZcGg34fMfJy7</t>
  </si>
  <si>
    <t>1570647724113</t>
  </si>
  <si>
    <t>-LqltaoFEm49lhiQTXRV</t>
  </si>
  <si>
    <t>1570647730338</t>
  </si>
  <si>
    <t>-LqltccV1wXgoC3-oe27</t>
  </si>
  <si>
    <t>1570647736513</t>
  </si>
  <si>
    <t>-Lqltec1h93HtIO9wAZG</t>
  </si>
  <si>
    <t>1570647744753</t>
  </si>
  <si>
    <t>-LqltgMGdU2RwilDRjSX</t>
  </si>
  <si>
    <t>1570647752992</t>
  </si>
  <si>
    <t>-LqlthrS4iUDbxTQQ6kX</t>
  </si>
  <si>
    <t>1570647759157</t>
  </si>
  <si>
    <t>-LqltjMkFQOGTZJfCThB</t>
  </si>
  <si>
    <t>1570647765317</t>
  </si>
  <si>
    <t>-LqltktGbRVXhUu85Hzj</t>
  </si>
  <si>
    <t>1570647771548</t>
  </si>
  <si>
    <t>-LqltmOWmSUZ-YogqMJo</t>
  </si>
  <si>
    <t>1570647777712</t>
  </si>
  <si>
    <t>-LqltnthaZUjipIMQULv</t>
  </si>
  <si>
    <t>1570647783872</t>
  </si>
  <si>
    <t>-LqltpQGyMgeT8eqUrCT</t>
  </si>
  <si>
    <t>1570647790113</t>
  </si>
  <si>
    <t>-LqltquHWljln-vdiV_H</t>
  </si>
  <si>
    <t>1570647796227</t>
  </si>
  <si>
    <t>-LqltsQlWmqpUkA5a4Hd</t>
  </si>
  <si>
    <t>1570647802433</t>
  </si>
  <si>
    <t>-Lqlttvv-yc5IlTSDWOZ</t>
  </si>
  <si>
    <t>1570647808592</t>
  </si>
  <si>
    <t>-LqltvRHJBbT7If5e2Qc</t>
  </si>
  <si>
    <t>1570647814832</t>
  </si>
  <si>
    <t>-Lqltwxlw9xy8Ph31AHh</t>
  </si>
  <si>
    <t>1570647820988</t>
  </si>
  <si>
    <t>-LqltyUGDj5B6o3ze0wA</t>
  </si>
  <si>
    <t>1570647827148</t>
  </si>
  <si>
    <t>-LqltzyG7XGbIOZdZWni</t>
  </si>
  <si>
    <t>1570647833321</t>
  </si>
  <si>
    <t>-Lqlu0Ul2uuYD0JG2P-8</t>
  </si>
  <si>
    <t>1570647839552</t>
  </si>
  <si>
    <t>-Lqlu2-0s63ASnXXXYqn</t>
  </si>
  <si>
    <t>1570647845712</t>
  </si>
  <si>
    <t>-Lqlu3oFHJ4p1gY3m8vq</t>
  </si>
  <si>
    <t>1570647851873</t>
  </si>
  <si>
    <t>-Lqlu5W0FK1u1dlKTmrg</t>
  </si>
  <si>
    <t>1570647860114</t>
  </si>
  <si>
    <t>-Lqlu71WWX9-78bLYVZy</t>
  </si>
  <si>
    <t>1570647866352</t>
  </si>
  <si>
    <t>-Lqlu8XmsduDB-HwVs5u</t>
  </si>
  <si>
    <t>1570647872513</t>
  </si>
  <si>
    <t>-LqluA21e3Ep67E8nWV8</t>
  </si>
  <si>
    <t>1570647878674</t>
  </si>
  <si>
    <t>-LqluBYG_jtQI4tVBgWO</t>
  </si>
  <si>
    <t>1570647884892</t>
  </si>
  <si>
    <t>-LqluD3ky5wMPGIci1-m</t>
  </si>
  <si>
    <t>1570647891068</t>
  </si>
  <si>
    <t>-LqluE_-1K84E1xBZUfR</t>
  </si>
  <si>
    <t>1570647897233</t>
  </si>
  <si>
    <t>-LqluG4H7lAD8eWJM8aH</t>
  </si>
  <si>
    <t>1570647903392</t>
  </si>
  <si>
    <t>-LqluH_X3NI9IDfdOrHk</t>
  </si>
  <si>
    <t>1570647909567</t>
  </si>
  <si>
    <t>-LqluJ8BWws7iJUiTs0o</t>
  </si>
  <si>
    <t>1570647915789</t>
  </si>
  <si>
    <t>-LqluLHwmvamA7xFav8P</t>
  </si>
  <si>
    <t>1570647922993</t>
  </si>
  <si>
    <t>-LqluMr0vcNJv453sNK3</t>
  </si>
  <si>
    <t>1570647931233</t>
  </si>
  <si>
    <t>-LqluOPvkHfB0bN6dCeM</t>
  </si>
  <si>
    <t>1570647937393</t>
  </si>
  <si>
    <t>-LqluQ8-0DehNUU2uNLm</t>
  </si>
  <si>
    <t>1570647944657</t>
  </si>
  <si>
    <t>-LqluRxVzSutigRt51wR</t>
  </si>
  <si>
    <t>1570647950833</t>
  </si>
  <si>
    <t>-LqluTfGndENa51Vlsva</t>
  </si>
  <si>
    <t>1570647959067</t>
  </si>
  <si>
    <t>-LqluVAXyQpvZG1cIc8x</t>
  </si>
  <si>
    <t>1570647965234</t>
  </si>
  <si>
    <t>-LqluWebWCc-Fe_LZ7mN</t>
  </si>
  <si>
    <t>1570647971392</t>
  </si>
  <si>
    <t>-LqluYCF2tY8ElxFGmp0</t>
  </si>
  <si>
    <t>1570647977634</t>
  </si>
  <si>
    <t>-LqluZhVlmiURtHCmFDX</t>
  </si>
  <si>
    <t>1570647983793</t>
  </si>
  <si>
    <t>-LqluaCk-Oas01KTxMqR</t>
  </si>
  <si>
    <t>1570647990008</t>
  </si>
  <si>
    <t>-LqlubgkFpMSg155AMLs</t>
  </si>
  <si>
    <t>1570647996117</t>
  </si>
  <si>
    <t>-LqludEVxJCCU-XKYp81</t>
  </si>
  <si>
    <t>1570648002349</t>
  </si>
  <si>
    <t>-LqlueiVEDaR9jp5SWL5</t>
  </si>
  <si>
    <t>1570648008494</t>
  </si>
  <si>
    <t>-LqlugF0duymdUIj17l1</t>
  </si>
  <si>
    <t>1570648014673</t>
  </si>
  <si>
    <t>-LqluhkGI934duYVBPWe</t>
  </si>
  <si>
    <t>1570648020897</t>
  </si>
  <si>
    <t>-LqlujGlDdVXBixakhvn</t>
  </si>
  <si>
    <t>1570648027074</t>
  </si>
  <si>
    <t>-Lqlukm1UK-qy1HJRemc</t>
  </si>
  <si>
    <t>1570648033232</t>
  </si>
  <si>
    <t>-LqlumMFCrrEOoiHPTTq</t>
  </si>
  <si>
    <t>1570648039723</t>
  </si>
  <si>
    <t>-Lqluo1l2uQXgrfJ6Sr3</t>
  </si>
  <si>
    <t>1570648046659</t>
  </si>
  <si>
    <t>-LqlupZFsqT0c28tx2QF</t>
  </si>
  <si>
    <t>1570648052834</t>
  </si>
  <si>
    <t>-LqlurJlgDs1c3eGxuGK</t>
  </si>
  <si>
    <t>1570648060033</t>
  </si>
  <si>
    <t>-Lqlusp0OVFJsA7J32do</t>
  </si>
  <si>
    <t>1570648066194</t>
  </si>
  <si>
    <t>-LqluuKGffJavGikSVzx</t>
  </si>
  <si>
    <t>1570648072418</t>
  </si>
  <si>
    <t>-LqluvtGOUYbCVEogYTL</t>
  </si>
  <si>
    <t>1570648078593</t>
  </si>
  <si>
    <t>-LqluxbH5avihjzOvcr3</t>
  </si>
  <si>
    <t>1570648085794</t>
  </si>
  <si>
    <t>-LqluzGWcaIVLe4loo_y</t>
  </si>
  <si>
    <t>1570648092632</t>
  </si>
  <si>
    <t>-Lqlv-s0GOLzWXyfHgA3</t>
  </si>
  <si>
    <t>1570648099154</t>
  </si>
  <si>
    <t>-Lqlv1OXuVgJeuOkkrUO</t>
  </si>
  <si>
    <t>1570648105393</t>
  </si>
  <si>
    <t>-Lqlv2tl0XPxILp1UZWb</t>
  </si>
  <si>
    <t>1570648111552</t>
  </si>
  <si>
    <t>-Lqlv4NmDDjFAx9JKJBa</t>
  </si>
  <si>
    <t>1570648117714</t>
  </si>
  <si>
    <t>-Lqlv5uGN_2cPuyz5EjP</t>
  </si>
  <si>
    <t>1570648123878</t>
  </si>
  <si>
    <t>-Lqlv7Qlv6-Kh8OEWTs7</t>
  </si>
  <si>
    <t>1570648130112</t>
  </si>
  <si>
    <t>-Lqlv8w062mUs9UWe7tn</t>
  </si>
  <si>
    <t>1570648136274</t>
  </si>
  <si>
    <t>-LqlvARHwawnoIrTWLFZ</t>
  </si>
  <si>
    <t>1570648142432</t>
  </si>
  <si>
    <t>-LqlvBxXKWoEooVDaxz4</t>
  </si>
  <si>
    <t>1570648148659</t>
  </si>
  <si>
    <t>-LqlvDT-N5_atGcICyYy</t>
  </si>
  <si>
    <t>1570648154828</t>
  </si>
  <si>
    <t>-LqlvEyGN_Brg4Xju0Cv</t>
  </si>
  <si>
    <t>1570648160993</t>
  </si>
  <si>
    <t>-LqlvNbVlIr-T3Yv0vSv</t>
  </si>
  <si>
    <t>1570648196465</t>
  </si>
  <si>
    <t>-LqlvPKT8t4myP4SAfS6</t>
  </si>
  <si>
    <t>1570648203444</t>
  </si>
  <si>
    <t>-LqlvQplgb591YzFKQAu</t>
  </si>
  <si>
    <t>1570648209609</t>
  </si>
  <si>
    <t>-LqlvSMDupmQQ-zlD3II</t>
  </si>
  <si>
    <t>1570648215833</t>
  </si>
  <si>
    <t>-LqlvTrU6noZ6a63Iy0N</t>
  </si>
  <si>
    <t>1570648221998</t>
  </si>
  <si>
    <t>-LqlvVO-ppESk7o43EJ0</t>
  </si>
  <si>
    <t>1570648228225</t>
  </si>
  <si>
    <t>-LqlvWt5U1tX7dXu3BP1</t>
  </si>
  <si>
    <t>1570648234384</t>
  </si>
  <si>
    <t>-LqlvYOQ_CyvSb0izolp</t>
  </si>
  <si>
    <t>1570648240550</t>
  </si>
  <si>
    <t>-LqlvZtYuZq3U4N6EILl</t>
  </si>
  <si>
    <t>1570648246717</t>
  </si>
  <si>
    <t>-LqlvaOoOmVK0cYW7azj</t>
  </si>
  <si>
    <t>1570648252908</t>
  </si>
  <si>
    <t>-LqlvbxoSIxGHD5N9nSC</t>
  </si>
  <si>
    <t>1570648259105</t>
  </si>
  <si>
    <t>-Lqlvdh3fsbKmJpmEMT2</t>
  </si>
  <si>
    <t>1570648266309</t>
  </si>
  <si>
    <t>-LqlvfB4PwKRMGmkxDnx</t>
  </si>
  <si>
    <t>1570648272469</t>
  </si>
  <si>
    <t>-LqlvghZ_cZB9oa2L_dp</t>
  </si>
  <si>
    <t>1570648278710</t>
  </si>
  <si>
    <t>-LqlviT3dWY1sOKXIDp3</t>
  </si>
  <si>
    <t>1570648285908</t>
  </si>
  <si>
    <t>-LqlvjyLl11PRV_LSXZa</t>
  </si>
  <si>
    <t>1570648292070</t>
  </si>
  <si>
    <t>-LqlvlUpHsshm1uXC3ba</t>
  </si>
  <si>
    <t>1570648298295</t>
  </si>
  <si>
    <t>-LqlvnF4W-wAIJXuJ3zh</t>
  </si>
  <si>
    <t>1570648305508</t>
  </si>
  <si>
    <t>-LqlvokWqL9wHMAR3GZv</t>
  </si>
  <si>
    <t>1570648311664</t>
  </si>
  <si>
    <t>-LqlvqFr9UrtiF-LCtoN</t>
  </si>
  <si>
    <t>1570648317830</t>
  </si>
  <si>
    <t>-Lqlvrl3SyDPjahnLoJc</t>
  </si>
  <si>
    <t>1570648323995</t>
  </si>
  <si>
    <t>-LqlvtHao_qwDvkhxu2E</t>
  </si>
  <si>
    <t>1570648330228</t>
  </si>
  <si>
    <t>-LqlvulZhqg0xi1Ov2tE</t>
  </si>
  <si>
    <t>1570648336388</t>
  </si>
  <si>
    <t>-LqlvwI40nzkEsBujFen</t>
  </si>
  <si>
    <t>1570648342544</t>
  </si>
  <si>
    <t>-LqlvxnKDBaIUiQTS7Kw</t>
  </si>
  <si>
    <t>1570648348773</t>
  </si>
  <si>
    <t>-LqlvzJoc1yrWuTzhXtT</t>
  </si>
  <si>
    <t>1570648354949</t>
  </si>
  <si>
    <t>-Lqlw-p4GCjznxu4XfTo</t>
  </si>
  <si>
    <t>1570648361111</t>
  </si>
  <si>
    <t>-Lqlw1KKpcMWzNE7UEpy</t>
  </si>
  <si>
    <t>1570648367268</t>
  </si>
  <si>
    <t>-Lqlw2qpHZTajXjARrVf</t>
  </si>
  <si>
    <t>1570648373503</t>
  </si>
  <si>
    <t>-Lqlw4bKoR286qL98QM9</t>
  </si>
  <si>
    <t>1570648380709</t>
  </si>
  <si>
    <t>-Lqlw66ZfmYU4Zgw4sO2</t>
  </si>
  <si>
    <t>1570648386869</t>
  </si>
  <si>
    <t>-Lqlw7bp4h0D4NXtgj3N</t>
  </si>
  <si>
    <t>1570648393028</t>
  </si>
  <si>
    <t>-Lqlw98KDPhuxGb6tmz6</t>
  </si>
  <si>
    <t>1570648399263</t>
  </si>
  <si>
    <t>-LqlwAw4fBQuOJ-ncf-G</t>
  </si>
  <si>
    <t>1570648405430</t>
  </si>
  <si>
    <t>-LqlwCeUjXs2y0fW3RjJ</t>
  </si>
  <si>
    <t>1570648413668</t>
  </si>
  <si>
    <t>-LqlwE9a_ndT9pVkHFGK</t>
  </si>
  <si>
    <t>1570648419835</t>
  </si>
  <si>
    <t>-LqlwFepptUSWT2vQMcU</t>
  </si>
  <si>
    <t>1570648425993</t>
  </si>
  <si>
    <t>-LqlwHB42EOOi8GbCftH</t>
  </si>
  <si>
    <t>1570648432230</t>
  </si>
  <si>
    <t>-LqlwIgV5XhXegTcQjY8</t>
  </si>
  <si>
    <t>1570648438383</t>
  </si>
  <si>
    <t>-LqlwKBamLEyT9X2j55r</t>
  </si>
  <si>
    <t>1570648444549</t>
  </si>
  <si>
    <t>-LqlwLh3FkYMa-wHIVij</t>
  </si>
  <si>
    <t>1570648450720</t>
  </si>
  <si>
    <t>-LqlwND_8vVjLp9zOs37</t>
  </si>
  <si>
    <t>1570648456949</t>
  </si>
  <si>
    <t>-LqlwOjqS7Gh5wpJS2FU</t>
  </si>
  <si>
    <t>1570648463109</t>
  </si>
  <si>
    <t>-LqlwQamevWPVnG1Cewo</t>
  </si>
  <si>
    <t>1570648470841</t>
  </si>
  <si>
    <t>-LqlwSEpp_ywf32FnLUq</t>
  </si>
  <si>
    <t>1570648477509</t>
  </si>
  <si>
    <t>-LqlwTlLaaoAkx2lwU31</t>
  </si>
  <si>
    <t>1570648483748</t>
  </si>
  <si>
    <t>-LqlwVGKIqc9-49wKgoo</t>
  </si>
  <si>
    <t>1570648489909</t>
  </si>
  <si>
    <t>-LqlwWlksRKOCbMtppHd</t>
  </si>
  <si>
    <t>1570648496069</t>
  </si>
  <si>
    <t>-LqlwYGzPRWWOg2VIuI_</t>
  </si>
  <si>
    <t>1570648502239</t>
  </si>
  <si>
    <t>-LqlwZn__FxezHbpwJrC</t>
  </si>
  <si>
    <t>1570648508470</t>
  </si>
  <si>
    <t>-LqlwaHZRauNvSPelHMQ</t>
  </si>
  <si>
    <t>1570648514608</t>
  </si>
  <si>
    <t>-Lqlwbo5iOt5zQIhupKO</t>
  </si>
  <si>
    <t>1570648520790</t>
  </si>
  <si>
    <t>-LqlwdKZsKDpb1lUBzGo</t>
  </si>
  <si>
    <t>1570648527015</t>
  </si>
  <si>
    <t>-LqlweouQx2kMrpf4iNb</t>
  </si>
  <si>
    <t>1570648533184</t>
  </si>
  <si>
    <t>-LqlwgL4X7QbzbBCFIqg</t>
  </si>
  <si>
    <t>1570648539350</t>
  </si>
  <si>
    <t>-LqlwhqLzYRFqMDq6o4s</t>
  </si>
  <si>
    <t>1570648545510</t>
  </si>
  <si>
    <t>-LqlwjMowXy-2b0BZ8Pw</t>
  </si>
  <si>
    <t>1570648551749</t>
  </si>
  <si>
    <t>-LqlwkqqthJ1s8E844A-</t>
  </si>
  <si>
    <t>1570648557903</t>
  </si>
  <si>
    <t>-LqlwmNAkQsarqtKcBIB</t>
  </si>
  <si>
    <t>1570648564069</t>
  </si>
  <si>
    <t>-LqlwnsKl1eB8_k2jE36</t>
  </si>
  <si>
    <t>1570648570234</t>
  </si>
  <si>
    <t>-LqlwpP3tuSc6iV-qDKA</t>
  </si>
  <si>
    <t>1570648576468</t>
  </si>
  <si>
    <t>-Lqlwqt4sBKQrnfQHXVz</t>
  </si>
  <si>
    <t>1570648582608</t>
  </si>
  <si>
    <t>-LqlwsPZaJkymKR-iFAQ</t>
  </si>
  <si>
    <t>1570648588788</t>
  </si>
  <si>
    <t>-Lqlwtw565lBIWUg54nN</t>
  </si>
  <si>
    <t>1570648595015</t>
  </si>
  <si>
    <t>-LqlwvQ0jkLkmUAJCre4</t>
  </si>
  <si>
    <t>1570648601124</t>
  </si>
  <si>
    <t>-Lqlwww_NTZbP2h9TlLf</t>
  </si>
  <si>
    <t>1570648607351</t>
  </si>
  <si>
    <t>-LqlwyicYKsOWUUZiYq_</t>
  </si>
  <si>
    <t>1570648613508</t>
  </si>
  <si>
    <t>-Lqlx-C6nIui6eWwmWkZ</t>
  </si>
  <si>
    <t>1570648620713</t>
  </si>
  <si>
    <t>-Lqlx0ir2ncQ_oXuZTcv</t>
  </si>
  <si>
    <t>1570648626951</t>
  </si>
  <si>
    <t>-Lqlx2CsLrDsMUrNPGvc</t>
  </si>
  <si>
    <t>1570648633072</t>
  </si>
  <si>
    <t>-Lqlx3jH3_pz7dDpyiPa</t>
  </si>
  <si>
    <t>1570648639266</t>
  </si>
  <si>
    <t>-Lqlx5Fs2PzDZu_boPFz</t>
  </si>
  <si>
    <t>1570648645511</t>
  </si>
  <si>
    <t>-Lqlx6l5IqvVwmcVKS-2</t>
  </si>
  <si>
    <t>1570648651665</t>
  </si>
  <si>
    <t>-Lqlx8GMJxKvYF4gBMsy</t>
  </si>
  <si>
    <t>1570648657832</t>
  </si>
  <si>
    <t>-Lqlx9lbYuNVbR9HIioq</t>
  </si>
  <si>
    <t>1570648663996</t>
  </si>
  <si>
    <t>-LqlxBGqzY4jZEkH8MBx</t>
  </si>
  <si>
    <t>1570648670185</t>
  </si>
  <si>
    <t>-LqlxCnLSW1X4Pc93Hus</t>
  </si>
  <si>
    <t>1570648676390</t>
  </si>
  <si>
    <t>-LqlxEIb-eaF0_m-dGXV</t>
  </si>
  <si>
    <t>1570648682551</t>
  </si>
  <si>
    <t>-LqlxFosDZ5NrGB9PiMd</t>
  </si>
  <si>
    <t>1570648688776</t>
  </si>
  <si>
    <t>-LqlxHJ6L3X0620ppBEa</t>
  </si>
  <si>
    <t>1570648694887</t>
  </si>
  <si>
    <t>-LqlxIpXlqBd_s2v8T2K</t>
  </si>
  <si>
    <t>1570648701110</t>
  </si>
  <si>
    <t>-LqlxKKqkjeGPVPObAO0</t>
  </si>
  <si>
    <t>1570648707273</t>
  </si>
  <si>
    <t>-LqlxLrNwJkqBaoBzLXq</t>
  </si>
  <si>
    <t>1570648713511</t>
  </si>
  <si>
    <t>-LqlxNMZtSZGhwGSXajB</t>
  </si>
  <si>
    <t>1570648719671</t>
  </si>
  <si>
    <t>-LqlxOrrJEHF_GVtlckN</t>
  </si>
  <si>
    <t>1570648725831</t>
  </si>
  <si>
    <t>-LqlxQN61uk_dAcOpkK_</t>
  </si>
  <si>
    <t>1570648731997</t>
  </si>
  <si>
    <t>-LqlxRs77GQkQzPlon0I</t>
  </si>
  <si>
    <t>1570648738236</t>
  </si>
  <si>
    <t>-LqlxTOvDJox2vYmzl83</t>
  </si>
  <si>
    <t>1570648744390</t>
  </si>
  <si>
    <t>-LqlxUwaPRuugaYwiFpU</t>
  </si>
  <si>
    <t>1570648750560</t>
  </si>
  <si>
    <t>-LqlxWeXGqSpAMnvhORy</t>
  </si>
  <si>
    <t>1570648757756</t>
  </si>
  <si>
    <t>-LqlxYB5vlyZgGP5_-YJ</t>
  </si>
  <si>
    <t>1570648764001</t>
  </si>
  <si>
    <t>-LqlxZg7bbwvs2XmI7km</t>
  </si>
  <si>
    <t>1570648770151</t>
  </si>
  <si>
    <t>-LqlxaE6LQMsBGzSUtLi</t>
  </si>
  <si>
    <t>1570648776311</t>
  </si>
  <si>
    <t>-Lqlxbx5GIswsDo-ME_G</t>
  </si>
  <si>
    <t>1570648783516</t>
  </si>
  <si>
    <t>-LqlxdUcPLYXbDp_YKBv</t>
  </si>
  <si>
    <t>1570648789746</t>
  </si>
  <si>
    <t>-LqlxfCrv_wK0IkBbml9</t>
  </si>
  <si>
    <t>1570648796911</t>
  </si>
  <si>
    <t>-LqlxgjMPlC3tGZHO2aF</t>
  </si>
  <si>
    <t>1570648803110</t>
  </si>
  <si>
    <t>-LqlxiEc_uPfqFKSQWwm</t>
  </si>
  <si>
    <t>1570648809271</t>
  </si>
  <si>
    <t>-Lqlxjl6NqGl1CfBmTNX</t>
  </si>
  <si>
    <t>1570648815510</t>
  </si>
  <si>
    <t>-LqlxlG7DXU5CO3pjdBu</t>
  </si>
  <si>
    <t>1570648821671</t>
  </si>
  <si>
    <t>-Lqlxn39oy1yg5e7IKZl</t>
  </si>
  <si>
    <t>1570648829044</t>
  </si>
  <si>
    <t>-LqlxonO_QdS0KLzstN6</t>
  </si>
  <si>
    <t>1570648836068</t>
  </si>
  <si>
    <t>-LqlxqH_B2tR52Eu3eR9</t>
  </si>
  <si>
    <t>1570648842229</t>
  </si>
  <si>
    <t>-Lqlxro318GRvQevy35w</t>
  </si>
  <si>
    <t>1570648848473</t>
  </si>
  <si>
    <t>-LqlxtJ5-17lbwkJ6XTP</t>
  </si>
  <si>
    <t>1570648854629</t>
  </si>
  <si>
    <t>-LqlxuoXnr_ZTWRrB9Sb</t>
  </si>
  <si>
    <t>1570648860791</t>
  </si>
  <si>
    <t>-LqlxwL-JWbXggnaXRJE</t>
  </si>
  <si>
    <t>1570648867036</t>
  </si>
  <si>
    <t>-Lqlxxx6j_FpUUAaK0Sc</t>
  </si>
  <si>
    <t>1570648873183</t>
  </si>
  <si>
    <t>-Lqlxz__xchgsZ8xjTvj</t>
  </si>
  <si>
    <t>1570648880368</t>
  </si>
  <si>
    <t>-Lqly0641WhjeQUo255n</t>
  </si>
  <si>
    <t>1570648886544</t>
  </si>
  <si>
    <t>-Lqly1f3XHU1OBX97cZB</t>
  </si>
  <si>
    <t>1570648892789</t>
  </si>
  <si>
    <t>-Lqly3O5CDFuLmONcfXT</t>
  </si>
  <si>
    <t>1570648899988</t>
  </si>
  <si>
    <t>-Lqly4tJNN0R_l6TKX36</t>
  </si>
  <si>
    <t>1570648906149</t>
  </si>
  <si>
    <t>-Lqly6Ob83Jo17aOrTg9</t>
  </si>
  <si>
    <t>1570648912308</t>
  </si>
  <si>
    <t>-Lqly7tpkdgWzZgdYzRh</t>
  </si>
  <si>
    <t>1570648918494</t>
  </si>
  <si>
    <t>-Lqly9QKQZrCoHRsSwUf</t>
  </si>
  <si>
    <t>1570648924711</t>
  </si>
  <si>
    <t>-LqlyAvZhGdpFkzZCEQs</t>
  </si>
  <si>
    <t>1570648930868</t>
  </si>
  <si>
    <t>-LqlyCRWEKlkXWPs4Fna</t>
  </si>
  <si>
    <t>1570648937073</t>
  </si>
  <si>
    <t>-LqlyDvXMBVRJmiy3elj</t>
  </si>
  <si>
    <t>1570648943234</t>
  </si>
  <si>
    <t>-LqlyFS1aLYJycThyt6g</t>
  </si>
  <si>
    <t>1570648949393</t>
  </si>
  <si>
    <t>-LqlyGzn1fhtE0hvOior</t>
  </si>
  <si>
    <t>1570648955634</t>
  </si>
  <si>
    <t>-LqlyIj18fPyXNABVO-h</t>
  </si>
  <si>
    <t>1570648962859</t>
  </si>
  <si>
    <t>-LqlyKEIyXq01rJkAg4L</t>
  </si>
  <si>
    <t>1570648968994</t>
  </si>
  <si>
    <t>-LqlyLjXk94K9eilXY4z</t>
  </si>
  <si>
    <t>1570648975156</t>
  </si>
  <si>
    <t>-LqlyNG1ePp1EU3pwhL2</t>
  </si>
  <si>
    <t>1570648981395</t>
  </si>
  <si>
    <t>-LqlyOlCkrDTzw06l8Mn</t>
  </si>
  <si>
    <t>1570648987553</t>
  </si>
  <si>
    <t>-LqlyQGWNZX9CIGEK9er</t>
  </si>
  <si>
    <t>1570648993715</t>
  </si>
  <si>
    <t>-LqlyS10mJc8G5A_QXrE</t>
  </si>
  <si>
    <t>1570649000914</t>
  </si>
  <si>
    <t>-LqlyTYI4ukPJKxI_sjq</t>
  </si>
  <si>
    <t>1570649007155</t>
  </si>
  <si>
    <t>-LqlyV1WPHdvb0-vS61W</t>
  </si>
  <si>
    <t>1570649013269</t>
  </si>
  <si>
    <t>-LqlyWZ2uWgK_PB2WNWZ</t>
  </si>
  <si>
    <t>1570649019479</t>
  </si>
  <si>
    <t>-LqlyY3KAgePnS53goSm</t>
  </si>
  <si>
    <t>1570649025639</t>
  </si>
  <si>
    <t>-LqlyZZXIuaRjeuCzpzk</t>
  </si>
  <si>
    <t>1570649031874</t>
  </si>
  <si>
    <t>-LqlyaMX_0pSiCTGhmGC</t>
  </si>
  <si>
    <t>1570649038034</t>
  </si>
  <si>
    <t>-Lqlyc5kTIf8QFy0rDA6</t>
  </si>
  <si>
    <t>1570649046267</t>
  </si>
  <si>
    <t>-LqlydrGko-nWYUx25O2</t>
  </si>
  <si>
    <t>1570649052432</t>
  </si>
  <si>
    <t>-LqlyfMVsszgpoJYSUMR</t>
  </si>
  <si>
    <t>1570649059638</t>
  </si>
  <si>
    <t>-Lqlygt0sCWHjEO4TaHU</t>
  </si>
  <si>
    <t>1570649065871</t>
  </si>
  <si>
    <t>-LqlyiOGB-XtTijm6Uqp</t>
  </si>
  <si>
    <t>1570649072033</t>
  </si>
  <si>
    <t>-LqlyjtW1vfEppFvMqWC</t>
  </si>
  <si>
    <t>1570649078192</t>
  </si>
  <si>
    <t>-LqlylQ-2NtQwE9e1J6d</t>
  </si>
  <si>
    <t>1570649084426</t>
  </si>
  <si>
    <t>-LqlymvG72WvUY1VZoM8</t>
  </si>
  <si>
    <t>1570649090592</t>
  </si>
  <si>
    <t>-LqlyoQVjIoton-WAOv6</t>
  </si>
  <si>
    <t>1570649096753</t>
  </si>
  <si>
    <t>-LqlypvmkmUnS9XBxqsB</t>
  </si>
  <si>
    <t>1570649102912</t>
  </si>
  <si>
    <t>-LqlyrSF2nCR3goQyYL-</t>
  </si>
  <si>
    <t>1570649109153</t>
  </si>
  <si>
    <t>-LqlytDp7xVL8F5k9bEW</t>
  </si>
  <si>
    <t>1570649115312</t>
  </si>
  <si>
    <t>-LqlyuyFSB2J0M71QWbn</t>
  </si>
  <si>
    <t>1570649123552</t>
  </si>
  <si>
    <t>-LqlywTVHFuuumEQGdHP</t>
  </si>
  <si>
    <t>1570649129711</t>
  </si>
  <si>
    <t>-LqlyyE-1iri-VVzH0Cw</t>
  </si>
  <si>
    <t>1570649136913</t>
  </si>
  <si>
    <t>-LqlyzkWBOVdJvKQbOMo</t>
  </si>
  <si>
    <t>1570649143152</t>
  </si>
  <si>
    <t>-Lqlz0FjSFfb8PSjPV2R</t>
  </si>
  <si>
    <t>1570649149312</t>
  </si>
  <si>
    <t>-Lqlz1l-1hWKINLgA1z2</t>
  </si>
  <si>
    <t>1570649155472</t>
  </si>
  <si>
    <t>-Lqlz3XlCEh3mTlZtFJJ</t>
  </si>
  <si>
    <t>1570649161697</t>
  </si>
  <si>
    <t>-Lqlz50G0-eP8z1CIswt</t>
  </si>
  <si>
    <t>1570649168837</t>
  </si>
  <si>
    <t>-Lqlz6YGkvLngmWJ_ZWW</t>
  </si>
  <si>
    <t>1570649175073</t>
  </si>
  <si>
    <t>-Lqlz82VvPCWZqqPGky_</t>
  </si>
  <si>
    <t>1570649181234</t>
  </si>
  <si>
    <t>-Lqlz9a-8jvIiyMtSzsC</t>
  </si>
  <si>
    <t>1570649187404</t>
  </si>
  <si>
    <t>-LqlzBKXl3Jx4ImW6Wem</t>
  </si>
  <si>
    <t>1570649194674</t>
  </si>
  <si>
    <t>-LqlzCppMZIx4rHA2ZqG</t>
  </si>
  <si>
    <t>1570649200833</t>
  </si>
  <si>
    <t>-LqlzEL0LUQWkL0hDbMp</t>
  </si>
  <si>
    <t>1570649206993</t>
  </si>
  <si>
    <t>-LqlzFqGJdxfXHTsYFu1</t>
  </si>
  <si>
    <t>1570649213155</t>
  </si>
  <si>
    <t>-LqlzHPGhRail68OyqCz</t>
  </si>
  <si>
    <t>1570649219393</t>
  </si>
  <si>
    <t>-LqlzJ7FH2Q4fbU5ZZWu</t>
  </si>
  <si>
    <t>1570649226592</t>
  </si>
  <si>
    <t>-LqlzKcXa7dbJ9Z5Vnfw</t>
  </si>
  <si>
    <t>1570649232754</t>
  </si>
  <si>
    <t>-LqlzM7mOAGF94FYeTSI</t>
  </si>
  <si>
    <t>1570649238917</t>
  </si>
  <si>
    <t>-LqlzNeGEb_bv_JCuTl4</t>
  </si>
  <si>
    <t>1570649245153</t>
  </si>
  <si>
    <t>-LqlzPSVTri7RdDqTEBs</t>
  </si>
  <si>
    <t>1570649251313</t>
  </si>
  <si>
    <t>-LqlzRCleGiWSTXDWYOr</t>
  </si>
  <si>
    <t>1570649259555</t>
  </si>
  <si>
    <t>-LqlzSvld7zbK95_cZPU</t>
  </si>
  <si>
    <t>1570649266754</t>
  </si>
  <si>
    <t>-LqlzUR2w5CWEGy9aRG5</t>
  </si>
  <si>
    <t>1570649272920</t>
  </si>
  <si>
    <t>-LqlzVwHWlrk1NFVtVw7</t>
  </si>
  <si>
    <t>1570649279148</t>
  </si>
  <si>
    <t>-LqlzXSnFww0VFuA9Gmq</t>
  </si>
  <si>
    <t>1570649285315</t>
  </si>
  <si>
    <t>-LqlzYy2tigXYhRrtwTu</t>
  </si>
  <si>
    <t>1570649291475</t>
  </si>
  <si>
    <t>-Lqlz_UXPWII2kB382mZ</t>
  </si>
  <si>
    <t>1570649297714</t>
  </si>
  <si>
    <t>-LqlzaznVLvw8B8m5dlG</t>
  </si>
  <si>
    <t>1570649303875</t>
  </si>
  <si>
    <t>-LqlzcV2CRRUQF50ARWJ</t>
  </si>
  <si>
    <t>1570649310037</t>
  </si>
  <si>
    <t>-Lqlze-Kd33cSXh_seBE</t>
  </si>
  <si>
    <t>1570649316194</t>
  </si>
  <si>
    <t>-LqlzfWnKm6RysdBe8Y9</t>
  </si>
  <si>
    <t>1570649322434</t>
  </si>
  <si>
    <t>-Lqlzh12izxg6wu_-xdn</t>
  </si>
  <si>
    <t>1570649328595</t>
  </si>
  <si>
    <t>-Lqlzik_I2xI38QaWqiB</t>
  </si>
  <si>
    <t>1570649334756</t>
  </si>
  <si>
    <t>-LqlzkHo5bel_ncmIa3I</t>
  </si>
  <si>
    <t>1570649341953</t>
  </si>
  <si>
    <t>-LqlzloHma5qCnuBBOiA</t>
  </si>
  <si>
    <t>1570649348195</t>
  </si>
  <si>
    <t>-LqlznJZM-34BqKI_2U5</t>
  </si>
  <si>
    <t>1570649354355</t>
  </si>
  <si>
    <t>-Lqlzooq1holBFYCufC9</t>
  </si>
  <si>
    <t>1570649360514</t>
  </si>
  <si>
    <t>-LqlzqLHthO50bXUu-Mq</t>
  </si>
  <si>
    <t>1570649366807</t>
  </si>
  <si>
    <t>-LqlzrpHGSlY7nrhidTs</t>
  </si>
  <si>
    <t>1570649372847</t>
  </si>
  <si>
    <t>-LqlztLmn579rtMY5_iS</t>
  </si>
  <si>
    <t>1570649379069</t>
  </si>
  <si>
    <t>-Lqlzur15b-3f6STB1Dn</t>
  </si>
  <si>
    <t>1570649385235</t>
  </si>
  <si>
    <t>-LqlzwNYmJjYtJzTycgD</t>
  </si>
  <si>
    <t>1570649391475</t>
  </si>
  <si>
    <t>-LqlzxsqZPHpd8DGvbLi</t>
  </si>
  <si>
    <t>1570649397633</t>
  </si>
  <si>
    <t>-LqlzzPCDXx5SxFBMWg4</t>
  </si>
  <si>
    <t>1570649403783</t>
  </si>
  <si>
    <t>-Lqm-08YLpHMvM86V3th</t>
  </si>
  <si>
    <t>1570649410999</t>
  </si>
  <si>
    <t>-Lqm-1f2V4m_ek1dCjGR</t>
  </si>
  <si>
    <t>1570649417221</t>
  </si>
  <si>
    <t>-Lqm-3MsmCrnO5sZHjGn</t>
  </si>
  <si>
    <t>1570649423395</t>
  </si>
  <si>
    <t>-Lqm-4vn9p91lGc6cJ7z</t>
  </si>
  <si>
    <t>1570649430595</t>
  </si>
  <si>
    <t>-Lqm-6R0nI5E1n7Vj2w5</t>
  </si>
  <si>
    <t>1570649436755</t>
  </si>
  <si>
    <t>-Lqm-7wEWP6h5Bqb6TKW</t>
  </si>
  <si>
    <t>1570649442978</t>
  </si>
  <si>
    <t>-Lqm-9U2h2iOEdDevfGX</t>
  </si>
  <si>
    <t>1570649449150</t>
  </si>
  <si>
    <t>-Lqm-BDIjy1X6oLdbky0</t>
  </si>
  <si>
    <t>1570649456353</t>
  </si>
  <si>
    <t>-Lqm-CiYEpqhZxBO5huv</t>
  </si>
  <si>
    <t>1570649462515</t>
  </si>
  <si>
    <t>-Lqm-EW-RVWjO60yEIrg</t>
  </si>
  <si>
    <t>1570649469808</t>
  </si>
  <si>
    <t>-Lqm-Fz0ESTjdBRahz8p</t>
  </si>
  <si>
    <t>1570649475881</t>
  </si>
  <si>
    <t>-Lqm-HVkoG2lB6Mg6J1u</t>
  </si>
  <si>
    <t>1570649482108</t>
  </si>
  <si>
    <t>-Lqm-JOwf3IUdTGLzn6E</t>
  </si>
  <si>
    <t>1570649488274</t>
  </si>
  <si>
    <t>-Lqm-L0lQI48gkEaPohD</t>
  </si>
  <si>
    <t>1570649496512</t>
  </si>
  <si>
    <t>-Lqm-MVk0RCfEIqu-TcQ</t>
  </si>
  <si>
    <t>1570649502678</t>
  </si>
  <si>
    <t>-Lqm-O1GC1yStZMotvcU</t>
  </si>
  <si>
    <t>1570649508908</t>
  </si>
  <si>
    <t>-Lqm-PYlMi92-tti8Oxu</t>
  </si>
  <si>
    <t>1570649515068</t>
  </si>
  <si>
    <t>-Lqm-R3-3A9xsUdHLkvU</t>
  </si>
  <si>
    <t>1570649521229</t>
  </si>
  <si>
    <t>-Lqm-S_WR-A11QCnfnLe</t>
  </si>
  <si>
    <t>1570649527468</t>
  </si>
  <si>
    <t>-Lqm-U4lG7mjIKwyFVtM</t>
  </si>
  <si>
    <t>1570649533633</t>
  </si>
  <si>
    <t>-Lqm-Va0zNVf7tGodeVV</t>
  </si>
  <si>
    <t>1570649539792</t>
  </si>
  <si>
    <t>-Lqm-X5HaKUGOzzmdtUR</t>
  </si>
  <si>
    <t>1570649545955</t>
  </si>
  <si>
    <t>-Lqm-YbkGZqIObfjTcqg</t>
  </si>
  <si>
    <t>1570649552192</t>
  </si>
  <si>
    <t>-Lqm-_70aWXPQcrjEt2w</t>
  </si>
  <si>
    <t>1570649558354</t>
  </si>
  <si>
    <t>-Lqm-adWOuEZa4OMEQd7</t>
  </si>
  <si>
    <t>1570649564592</t>
  </si>
  <si>
    <t>-Lqm-c7H8G2oQAyd0Uyg</t>
  </si>
  <si>
    <t>1570649570672</t>
  </si>
  <si>
    <t>-Lqm-de-5yByh3ucZjPT</t>
  </si>
  <si>
    <t>1570649576913</t>
  </si>
  <si>
    <t>-Lqm-f9Hps00RGMulO0r</t>
  </si>
  <si>
    <t>1570649583072</t>
  </si>
  <si>
    <t>-Lqm-geWSJx0gO0bhScC</t>
  </si>
  <si>
    <t>1570649589233</t>
  </si>
  <si>
    <t>-Lqm-i9lY2DcmpjVJQzT</t>
  </si>
  <si>
    <t>1570649595458</t>
  </si>
  <si>
    <t>-Lqm-jgF1JO-wxwcitoF</t>
  </si>
  <si>
    <t>1570649601628</t>
  </si>
  <si>
    <t>-Lqm-lRmJ1zqbDKpRhrH</t>
  </si>
  <si>
    <t>1570649608833</t>
  </si>
  <si>
    <t>-Lqm-mx1H_5T5RhTUJqg</t>
  </si>
  <si>
    <t>1570649614992</t>
  </si>
  <si>
    <t>-Lqm-oSGiXx0r8rX6bgY</t>
  </si>
  <si>
    <t>1570649621219</t>
  </si>
  <si>
    <t>-Lqm-pykfqbbxCAbo9QT</t>
  </si>
  <si>
    <t>1570649627388</t>
  </si>
  <si>
    <t>-Lqm-rU0njPR2PpWuc_f</t>
  </si>
  <si>
    <t>1570649633552</t>
  </si>
  <si>
    <t>-Lqm-szHVBxRnbbvFgFX</t>
  </si>
  <si>
    <t>1570649639713</t>
  </si>
  <si>
    <t>-Lqm-uVk6xcD2I7nfQpw</t>
  </si>
  <si>
    <t>1570649645948</t>
  </si>
  <si>
    <t>-Lqm-wFiUESFAUP_yey8</t>
  </si>
  <si>
    <t>1570649653157</t>
  </si>
  <si>
    <t>-Lqm-xmlSgywgRPcMVhI</t>
  </si>
  <si>
    <t>1570649659314</t>
  </si>
  <si>
    <t>-Lqm-zX1ivpk6JxnoM_B</t>
  </si>
  <si>
    <t>1570649666513</t>
  </si>
  <si>
    <t>-Lqm001G7BMJuMTpt5yx</t>
  </si>
  <si>
    <t>1570649672739</t>
  </si>
  <si>
    <t>-Lqm01qXSsOc_HdT7yml</t>
  </si>
  <si>
    <t>1570649678908</t>
  </si>
  <si>
    <t>-Lqm03ZWaRlDgXwnEe_z</t>
  </si>
  <si>
    <t>1570649687153</t>
  </si>
  <si>
    <t>-Lqm053nTAhT906LpmE-</t>
  </si>
  <si>
    <t>1570649693315</t>
  </si>
  <si>
    <t>-Lqm06t2mVdgyWhhTi-E</t>
  </si>
  <si>
    <t>1570649700805</t>
  </si>
  <si>
    <t>-Lqm08ZXsmMfoEMpV74v</t>
  </si>
  <si>
    <t>1570649707714</t>
  </si>
  <si>
    <t>-Lqm0A6GOzrzJjLR4Q3X</t>
  </si>
  <si>
    <t>1570649713953</t>
  </si>
  <si>
    <t>-Lqm0C-XJjoE48meyBuy</t>
  </si>
  <si>
    <t>1570649720116</t>
  </si>
  <si>
    <t>-Lqm0DcIv9BKYiPX4l57</t>
  </si>
  <si>
    <t>1570649728354</t>
  </si>
  <si>
    <t>-Lqm0F8ny5NQJmFdiAPV</t>
  </si>
  <si>
    <t>1570649734579</t>
  </si>
  <si>
    <t>-Lqm0GbNDaWSPbtKZwHK</t>
  </si>
  <si>
    <t>1570649740673</t>
  </si>
  <si>
    <t>-Lqm0I9Gf1BftE1DInCp</t>
  </si>
  <si>
    <t>1570649746909</t>
  </si>
  <si>
    <t>-Lqm0JeX1QCOTobYd_jh</t>
  </si>
  <si>
    <t>1570649753075</t>
  </si>
  <si>
    <t>-Lqm0L9Yf8eYNVscM6G8</t>
  </si>
  <si>
    <t>1570649759234</t>
  </si>
  <si>
    <t>-Lqm0MgHyMbDEhaM9RMv</t>
  </si>
  <si>
    <t>1570649765468</t>
  </si>
  <si>
    <t>-Lqm0ORl4NX0HoM6ZN46</t>
  </si>
  <si>
    <t>1570649772678</t>
  </si>
  <si>
    <t>-Lqm0Px0xM_3I0ybHGC4</t>
  </si>
  <si>
    <t>1570649778833</t>
  </si>
  <si>
    <t>-Lqm0RSH0ottrI4sZAwj</t>
  </si>
  <si>
    <t>1570649784994</t>
  </si>
  <si>
    <t>-Lqm0SwGYU0CPFIQk8cA</t>
  </si>
  <si>
    <t>1570649791149</t>
  </si>
  <si>
    <t>-Lqm0UVH4BTt6wzCEP0v</t>
  </si>
  <si>
    <t>1570649797388</t>
  </si>
  <si>
    <t>-Lqm0WEX7IKr3qVQnj8B</t>
  </si>
  <si>
    <t>1570649804593</t>
  </si>
  <si>
    <t>-Lqm0XjnWmNOWNMwYBH3</t>
  </si>
  <si>
    <t>1570649810753</t>
  </si>
  <si>
    <t>-Lqm0ZGHnpyFJz9t0mpi</t>
  </si>
  <si>
    <t>1570649816994</t>
  </si>
  <si>
    <t>-Lqm0_lJDVHfLqY2X4Up</t>
  </si>
  <si>
    <t>1570649823155</t>
  </si>
  <si>
    <t>-Lqm0bX2rTGQIePvAAmu</t>
  </si>
  <si>
    <t>1570649829313</t>
  </si>
  <si>
    <t>-Lqm0d3mQpTIkN0BGxAH</t>
  </si>
  <si>
    <t>1570649836515</t>
  </si>
  <si>
    <t>-Lqm0enw62sSkqnoH-5l</t>
  </si>
  <si>
    <t>1570649843718</t>
  </si>
  <si>
    <t>-Lqm0gHmyOxGDK2v4nro</t>
  </si>
  <si>
    <t>1570649849878</t>
  </si>
  <si>
    <t>-Lqm0hoZfifrUzRX_b0T</t>
  </si>
  <si>
    <t>1570649856113</t>
  </si>
  <si>
    <t>-Lqm0jRJFrfKWhYDzui9</t>
  </si>
  <si>
    <t>1570649862854</t>
  </si>
  <si>
    <t>-Lqm0l6nUb9x9qXofe8o</t>
  </si>
  <si>
    <t>1570649869473</t>
  </si>
  <si>
    <t>-Lqm0mr1KpZLS9QHBYKR</t>
  </si>
  <si>
    <t>1570649876754</t>
  </si>
  <si>
    <t>-Lqm0oOl-UwEAY5e2pxD</t>
  </si>
  <si>
    <t>1570649882914</t>
  </si>
  <si>
    <t>-Lqm0qAYMWOO9sjkb8i5</t>
  </si>
  <si>
    <t>1570649890461</t>
  </si>
  <si>
    <t>-Lqm0s7kYhLO_pbA1gv6</t>
  </si>
  <si>
    <t>1570649897313</t>
  </si>
  <si>
    <t>-Lqm0tb-E8Na27sh764o</t>
  </si>
  <si>
    <t>1570649904495</t>
  </si>
  <si>
    <t>-Lqm0v9I5FTt3HKfN1ig</t>
  </si>
  <si>
    <t>1570649910755</t>
  </si>
  <si>
    <t>-Lqm0weILEyf8ZKxMtU9</t>
  </si>
  <si>
    <t>1570649916914</t>
  </si>
  <si>
    <t>-Lqm0yL15vGFyb270do9</t>
  </si>
  <si>
    <t>1570649923847</t>
  </si>
  <si>
    <t>-Lqm0zvIuUQqKMIeEp99</t>
  </si>
  <si>
    <t>1570649930273</t>
  </si>
  <si>
    <t>-Lqm10QYEXn9N28ayDST</t>
  </si>
  <si>
    <t>1570649936499</t>
  </si>
  <si>
    <t>-Lqm11x01v-WM_JjUdde</t>
  </si>
  <si>
    <t>1570649942673</t>
  </si>
  <si>
    <t>-Lqm13SI7wZzH_BODHAh</t>
  </si>
  <si>
    <t>1570649948833</t>
  </si>
  <si>
    <t>-Lqm14xHvxKAWLJivNaA</t>
  </si>
  <si>
    <t>1570649954995</t>
  </si>
  <si>
    <t>-Lqm16U0W7s34H7ibiQg</t>
  </si>
  <si>
    <t>1570649961229</t>
  </si>
  <si>
    <t>-Lqm18-ar_EbsfXPMVpm</t>
  </si>
  <si>
    <t>1570649967394</t>
  </si>
  <si>
    <t>-Lqm19mG9RY9NXQpcfgo</t>
  </si>
  <si>
    <t>1570649974595</t>
  </si>
  <si>
    <t>-Lqm1BVLgxXfsi8P3hcW</t>
  </si>
  <si>
    <t>1570649981795</t>
  </si>
  <si>
    <t>-Lqm1D0mrkpSmGI14tO6</t>
  </si>
  <si>
    <t>1570649988020</t>
  </si>
  <si>
    <t>-Lqm1EX25j-nkFARCTde</t>
  </si>
  <si>
    <t>1570649994115</t>
  </si>
  <si>
    <t>-Lqm1G1Ih-NBENTqYNsO</t>
  </si>
  <si>
    <t>1570650000355</t>
  </si>
  <si>
    <t>-Lqm1HXXi68nAZjQAdfw</t>
  </si>
  <si>
    <t>1570650006517</t>
  </si>
  <si>
    <t>-Lqm1J32Pt6zKANk7x-d</t>
  </si>
  <si>
    <t>1570650012754</t>
  </si>
  <si>
    <t>-Lqm1KZHlY1B44jPkLVU</t>
  </si>
  <si>
    <t>1570650018914</t>
  </si>
  <si>
    <t>-Lqm1M3WIYSa8WYI96W6</t>
  </si>
  <si>
    <t>1570650025075</t>
  </si>
  <si>
    <t>-Lqm1Na7vIniUxiuMRo5</t>
  </si>
  <si>
    <t>1570650031239</t>
  </si>
  <si>
    <t>-Lqm1P41z2ymHek2K4aX</t>
  </si>
  <si>
    <t>1570650037395</t>
  </si>
  <si>
    <t>-Lqm1QaWJ5dTYo3Cx6VO</t>
  </si>
  <si>
    <t>1570650043636</t>
  </si>
  <si>
    <t>-Lqm1S5mBeSlNrI7iZcT</t>
  </si>
  <si>
    <t>1570650049795</t>
  </si>
  <si>
    <t>-Lqm1TxZRlWIoalpfqeu</t>
  </si>
  <si>
    <t>1570650056020</t>
  </si>
  <si>
    <t>-Lqm1Vbntu2QI-ZBdkOF</t>
  </si>
  <si>
    <t>1570650064259</t>
  </si>
  <si>
    <t>-Lqm1X8IdkdKghT1Bnt0</t>
  </si>
  <si>
    <t>1570650070435</t>
  </si>
  <si>
    <t>-Lqm1YdYlB0Zq33PuOPx</t>
  </si>
  <si>
    <t>1570650076599</t>
  </si>
  <si>
    <t>-Lqm1_8qhT_-hsj3sg69</t>
  </si>
  <si>
    <t>1570650082753</t>
  </si>
  <si>
    <t>-Lqm1afIWq94SQb_vGy6</t>
  </si>
  <si>
    <t>1570650088997</t>
  </si>
  <si>
    <t>-Lqm1cAYiG4DLr9IBELM</t>
  </si>
  <si>
    <t>1570650095155</t>
  </si>
  <si>
    <t>-Lqm1dfiY-rWdVyE0fwU</t>
  </si>
  <si>
    <t>1570650101315</t>
  </si>
  <si>
    <t>-Lqm1fB2hiVyhd6jYYds</t>
  </si>
  <si>
    <t>1570650107485</t>
  </si>
  <si>
    <t>-Lqm1gz1fq90B33Z8BC8</t>
  </si>
  <si>
    <t>1570650114851</t>
  </si>
  <si>
    <t>-Lqm1ijYyRKXi9JVnRxQ</t>
  </si>
  <si>
    <t>1570650121949</t>
  </si>
  <si>
    <t>-Lqm1kSh_qXuEhGGqFop</t>
  </si>
  <si>
    <t>1570650129155</t>
  </si>
  <si>
    <t>-Lqm1lz2-tg4U35CVdo3</t>
  </si>
  <si>
    <t>1570650135315</t>
  </si>
  <si>
    <t>-Lqm1nUICRlbKlKEDtkk</t>
  </si>
  <si>
    <t>1570650141486</t>
  </si>
  <si>
    <t>-Lqm1p-m8kQueLdQzusl</t>
  </si>
  <si>
    <t>1570650147714</t>
  </si>
  <si>
    <t>-Lqm1qW7ZmjmK6-DZEuP</t>
  </si>
  <si>
    <t>1570650153870</t>
  </si>
  <si>
    <t>-Lqm1sKIthMqk88Obq32</t>
  </si>
  <si>
    <t>1570650160034</t>
  </si>
  <si>
    <t>-Lqm1u16EwHAetms0KlI</t>
  </si>
  <si>
    <t>1570650168274</t>
  </si>
  <si>
    <t>-Lqm1vqIWW8buO2Egffe</t>
  </si>
  <si>
    <t>1570650174529</t>
  </si>
  <si>
    <t>-Lqm1xZD1yc6o7kAO0D7</t>
  </si>
  <si>
    <t>1570650182750</t>
  </si>
  <si>
    <t>-Lqm1zJoy4U5MY92uBlT</t>
  </si>
  <si>
    <t>1570650189954</t>
  </si>
  <si>
    <t>-Lqm2-oxe0hG8SGdtt0J</t>
  </si>
  <si>
    <t>1570650196114</t>
  </si>
  <si>
    <t>-Lqm21KJaNlSXl8qnnfw</t>
  </si>
  <si>
    <t>1570650202275</t>
  </si>
  <si>
    <t>-Lqm22qnwHi5Ch7CAxSe</t>
  </si>
  <si>
    <t>1570650208532</t>
  </si>
  <si>
    <t>-Lqm24M2hsz_7yQzUb1V</t>
  </si>
  <si>
    <t>1570650214674</t>
  </si>
  <si>
    <t>-Lqm267sYyc7gHAMZRgq</t>
  </si>
  <si>
    <t>1570650221874</t>
  </si>
  <si>
    <t>-Lqm27s2Kux0sOZDKVuz</t>
  </si>
  <si>
    <t>1570650229080</t>
  </si>
  <si>
    <t>-Lqm29NIzRrVB87fCyFn</t>
  </si>
  <si>
    <t>1570650235242</t>
  </si>
  <si>
    <t>-Lqm2At_lMGjQImK-c8u</t>
  </si>
  <si>
    <t>1570650241471</t>
  </si>
  <si>
    <t>-Lqm2CP4NjNEtTZJExPE</t>
  </si>
  <si>
    <t>1570650247636</t>
  </si>
  <si>
    <t>-Lqm2DuHr9wDkZttOh6c</t>
  </si>
  <si>
    <t>1570650253794</t>
  </si>
  <si>
    <t>-Lqm2FQZm0-0SyIPL-A5</t>
  </si>
  <si>
    <t>1570650260035</t>
  </si>
  <si>
    <t>-Lqm2Gw2l4_SYp8Yjn2p</t>
  </si>
  <si>
    <t>1570650266189</t>
  </si>
  <si>
    <t>-Lqm2ISFG3v0BA6wJN7s</t>
  </si>
  <si>
    <t>1570650272467</t>
  </si>
  <si>
    <t>-Lqm2KBmHyovB4bsoD8e</t>
  </si>
  <si>
    <t>1570650279550</t>
  </si>
  <si>
    <t>-Lqm2LiHKcHtJOWRj6EH</t>
  </si>
  <si>
    <t>1570650285795</t>
  </si>
  <si>
    <t>-Lqm2NDTdbi2yQQWdobw</t>
  </si>
  <si>
    <t>1570650291954</t>
  </si>
  <si>
    <t>-Lqm2Oio2wR4CIHAH5UU</t>
  </si>
  <si>
    <t>1570650298116</t>
  </si>
  <si>
    <t>-Lqm2QN301GCdVVIP5T7</t>
  </si>
  <si>
    <t>1570650304276</t>
  </si>
  <si>
    <t>-Lqm2S-hexysZ7VvoxEm</t>
  </si>
  <si>
    <t>1570650311540</t>
  </si>
  <si>
    <t>-Lqm2TUoFwnrmIM44iBi</t>
  </si>
  <si>
    <t>1570650317639</t>
  </si>
  <si>
    <t>-Lqm2V0Iyunz_RZFpvL6</t>
  </si>
  <si>
    <t>1570650323875</t>
  </si>
  <si>
    <t>-Lqm2WoGpHenhN7eVHqH</t>
  </si>
  <si>
    <t>1570650330036</t>
  </si>
  <si>
    <t>-Lqm2YhXfA2jk_afg2Rt</t>
  </si>
  <si>
    <t>1570650339051</t>
  </si>
  <si>
    <t>-Lqm2_HnvxNFW2VAIOre</t>
  </si>
  <si>
    <t>1570650345538</t>
  </si>
  <si>
    <t>-Lqm2aoISmzqck__vvZ9</t>
  </si>
  <si>
    <t>1570650351715</t>
  </si>
  <si>
    <t>-Lqm2cJX7Sy3_cgPbfH2</t>
  </si>
  <si>
    <t>1570650357876</t>
  </si>
  <si>
    <t>-Lqm2domXuAtK5PfiKH3</t>
  </si>
  <si>
    <t>1570650364036</t>
  </si>
  <si>
    <t>-Lqm2fLIMzo2c8HHOeox</t>
  </si>
  <si>
    <t>1570650370268</t>
  </si>
  <si>
    <t>-Lqm2gqYdnoSgKp5qe5h</t>
  </si>
  <si>
    <t>1570650376431</t>
  </si>
  <si>
    <t>-Lqm2iZWUkVka2dzmQ86</t>
  </si>
  <si>
    <t>1570650382596</t>
  </si>
  <si>
    <t>-Lqm2k6JpWMu8gODsk9i</t>
  </si>
  <si>
    <t>1570650389793</t>
  </si>
  <si>
    <t>-Lqm2lclELmigBWRCH0d</t>
  </si>
  <si>
    <t>1570650396035</t>
  </si>
  <si>
    <t>-Lqm2n81o3O39Hm8z1jC</t>
  </si>
  <si>
    <t>1570650402194</t>
  </si>
  <si>
    <t>-Lqm2odGBysTlYk-79Kl</t>
  </si>
  <si>
    <t>1570650408353</t>
  </si>
  <si>
    <t>-Lqm2q8W7bh9FSi2x7_o</t>
  </si>
  <si>
    <t>1570650414524</t>
  </si>
  <si>
    <t>-Lqm2rf0hMblEdAwuJLy</t>
  </si>
  <si>
    <t>1570650420753</t>
  </si>
  <si>
    <t>-Lqm2tLVV8pAarWNLvTV</t>
  </si>
  <si>
    <t>1570650426916</t>
  </si>
  <si>
    <t>-Lqm2uuXx6RZUr5XRsTd</t>
  </si>
  <si>
    <t>1570650434115</t>
  </si>
  <si>
    <t>-Lqm2wR2IHMk8FX9pRlO</t>
  </si>
  <si>
    <t>1570650440279</t>
  </si>
  <si>
    <t>-Lqm2xxWnDZVY5uFaWl2</t>
  </si>
  <si>
    <t>1570650446514</t>
  </si>
  <si>
    <t>-Lqm2zVIEij0wZRftSPl</t>
  </si>
  <si>
    <t>1570650452867</t>
  </si>
  <si>
    <t>-Lqm30DH5uDQuYusfHZ7</t>
  </si>
  <si>
    <t>1570650459875</t>
  </si>
  <si>
    <t>-Lqm31iW5-herymPVlre</t>
  </si>
  <si>
    <t>1570650466039</t>
  </si>
  <si>
    <t>-Lqm33F1yJU1yuNR_Ofo</t>
  </si>
  <si>
    <t>1570650472274</t>
  </si>
  <si>
    <t>-Lqm34kGeI0VNKSp7KBX</t>
  </si>
  <si>
    <t>1570650478436</t>
  </si>
  <si>
    <t>-Lqm36FWaqRxQTzLyIHd</t>
  </si>
  <si>
    <t>1570650484588</t>
  </si>
  <si>
    <t>-Lqm3851CpOJ8sBXpw4H</t>
  </si>
  <si>
    <t>1570650490768</t>
  </si>
  <si>
    <t>-Lqm3A1VT1otgitpAoHw</t>
  </si>
  <si>
    <t>1570650499074</t>
  </si>
  <si>
    <t>-Lqm3BYKlq1NMAlhjqf_</t>
  </si>
  <si>
    <t>1570650506274</t>
  </si>
  <si>
    <t>-Lqm3D2XTa94dTgRqbDQ</t>
  </si>
  <si>
    <t>1570650512434</t>
  </si>
  <si>
    <t>-Lqm3EYnusdwsKCPgQ-g</t>
  </si>
  <si>
    <t>1570650518593</t>
  </si>
  <si>
    <t>-Lqm3G4HJJFtSWTHC4ru</t>
  </si>
  <si>
    <t>1570650524844</t>
  </si>
  <si>
    <t>-Lqm3H_XEI944Bg867Jw</t>
  </si>
  <si>
    <t>1570650530993</t>
  </si>
  <si>
    <t>-Lqm3J4qke_cqJKpzTDs</t>
  </si>
  <si>
    <t>1570650537154</t>
  </si>
  <si>
    <t>-Lqm3Kt1-kjoWzMGFYX2</t>
  </si>
  <si>
    <t>1570650543313</t>
  </si>
  <si>
    <t>-Lqm3MalFPenPJ_tB78W</t>
  </si>
  <si>
    <t>1570650551554</t>
  </si>
  <si>
    <t>-Lqm3O7IkqQ56yI0LGi_</t>
  </si>
  <si>
    <t>1570650557795</t>
  </si>
  <si>
    <t>-Lqm3Pexg-PElZLhuUHS</t>
  </si>
  <si>
    <t>1570650563953</t>
  </si>
  <si>
    <t>-Lqm3RO2y1oApPwQQZzs</t>
  </si>
  <si>
    <t>1570650571154</t>
  </si>
  <si>
    <t>-Lqm3TAmF6UKFsCUx2Pj</t>
  </si>
  <si>
    <t>1570650577309</t>
  </si>
  <si>
    <t>-Lqm3Uu1SZitNzIG6eDu</t>
  </si>
  <si>
    <t>1570650585553</t>
  </si>
  <si>
    <t>-Lqm3WQXQFD5iFMhD9HH</t>
  </si>
  <si>
    <t>1570650591793</t>
  </si>
  <si>
    <t>-Lqm3Xx2KVwTecJSNVFZ</t>
  </si>
  <si>
    <t>1570650597954</t>
  </si>
  <si>
    <t>-Lqm3Zf162LW_wFY_UNr</t>
  </si>
  <si>
    <t>1570650605153</t>
  </si>
  <si>
    <t>-Lqm3aE0D8Ijn-hzFiag</t>
  </si>
  <si>
    <t>1570650611315</t>
  </si>
  <si>
    <t>-Lqm3byHsOK2qxRW6p7_</t>
  </si>
  <si>
    <t>1570650618594</t>
  </si>
  <si>
    <t>-Lqm3dTYyiUdi3yzrBlu</t>
  </si>
  <si>
    <t>1570650624755</t>
  </si>
  <si>
    <t>-Lqm3f-0sbeIoiWbCUGD</t>
  </si>
  <si>
    <t>1570650630914</t>
  </si>
  <si>
    <t>-Lqm3gi2hjGofqGKLEdc</t>
  </si>
  <si>
    <t>1570650638113</t>
  </si>
  <si>
    <t>-Lqm3iFn7nGwh7LmWLzm</t>
  </si>
  <si>
    <t>1570650644353</t>
  </si>
  <si>
    <t>-Lqm3jkwTT3zH9LNL6sY</t>
  </si>
  <si>
    <t>1570650650518</t>
  </si>
  <si>
    <t>-Lqm3lGHyIJ6idYwfYKo</t>
  </si>
  <si>
    <t>1570650656673</t>
  </si>
  <si>
    <t>-Lqm3mlYwjQaY5iDzIJR</t>
  </si>
  <si>
    <t>1570650662834</t>
  </si>
  <si>
    <t>-Lqm3oI0JLZdoknwO2lT</t>
  </si>
  <si>
    <t>1570650669075</t>
  </si>
  <si>
    <t>-Lqm3q2ReU9EMCIj620o</t>
  </si>
  <si>
    <t>1570650676274</t>
  </si>
  <si>
    <t>-Lqm3rYgcZLZpcXVMsUx</t>
  </si>
  <si>
    <t>1570650682435</t>
  </si>
  <si>
    <t>-Lqm3t31PsswaNaesShY</t>
  </si>
  <si>
    <t>1570650688595</t>
  </si>
  <si>
    <t>-Lqm3uiKqmFqooOBZkWP</t>
  </si>
  <si>
    <t>1570650695472</t>
  </si>
  <si>
    <t>-Lqm3wL2RFvdqW-OUCuR</t>
  </si>
  <si>
    <t>1570650702035</t>
  </si>
  <si>
    <t>-Lqm3xq31QIH5w7nfMvu</t>
  </si>
  <si>
    <t>1570650708194</t>
  </si>
  <si>
    <t>-Lqm3zLYBfL9KLLlDDcu</t>
  </si>
  <si>
    <t>1570650714354</t>
  </si>
  <si>
    <t>-Lqm4-s03QtCWkUAZalF</t>
  </si>
  <si>
    <t>1570650720594</t>
  </si>
  <si>
    <t>-Lqm41NCKAgZP4PLtMQa</t>
  </si>
  <si>
    <t>1570650726749</t>
  </si>
  <si>
    <t>-Lqm42sXMPrfGwPM99Bu</t>
  </si>
  <si>
    <t>1570650732913</t>
  </si>
  <si>
    <t>-Lqm44NpKwPk8cRtxKBP</t>
  </si>
  <si>
    <t>1570650739135</t>
  </si>
  <si>
    <t>-Lqm45uHIREjSs_270eL</t>
  </si>
  <si>
    <t>1570650745316</t>
  </si>
  <si>
    <t>-Lqm47PX2v7rdmg4GyMz</t>
  </si>
  <si>
    <t>1570650751475</t>
  </si>
  <si>
    <t>-Lqm494Z8EFB7SDhMzIu</t>
  </si>
  <si>
    <t>1570650757634</t>
  </si>
  <si>
    <t>-Lqm4AwnEOHcTa_zqygu</t>
  </si>
  <si>
    <t>1570650765965</t>
  </si>
  <si>
    <t>-Lqm4CQoQ7DZaNdefHC4</t>
  </si>
  <si>
    <t>1570650772035</t>
  </si>
  <si>
    <t>-Lqm4Dw2EFhBr7QC9kWb</t>
  </si>
  <si>
    <t>1570650778224</t>
  </si>
  <si>
    <t>-Lqm4Fj3kMCQvKcVoe-c</t>
  </si>
  <si>
    <t>1570650785540</t>
  </si>
  <si>
    <t>-Lqm4HYHq5yvXqWLROeU</t>
  </si>
  <si>
    <t>1570650793027</t>
  </si>
  <si>
    <t>-Lqm4JDmlAtn5a6eZ34Q</t>
  </si>
  <si>
    <t>1570650799876</t>
  </si>
  <si>
    <t>-Lqm4KkJkEJIdBaFIMoY</t>
  </si>
  <si>
    <t>1570650806115</t>
  </si>
  <si>
    <t>-Lqm4MFY5s_z5jCISd1I</t>
  </si>
  <si>
    <t>1570650812274</t>
  </si>
  <si>
    <t>-Lqm4Nkmm4OK2n6PZkOj</t>
  </si>
  <si>
    <t>1570650818435</t>
  </si>
  <si>
    <t>-Lqm4PM2jWR9NONsgDiT</t>
  </si>
  <si>
    <t>1570650824983</t>
  </si>
  <si>
    <t>-Lqm4R0SmvYZRuWmFH3D</t>
  </si>
  <si>
    <t>1570650831859</t>
  </si>
  <si>
    <t>-Lqm4SY1pYNfNbodo_Ls</t>
  </si>
  <si>
    <t>1570650838035</t>
  </si>
  <si>
    <t>-Lqm4U3ZjIwz52fEwrW_</t>
  </si>
  <si>
    <t>1570650844195</t>
  </si>
  <si>
    <t>-Lqm4W4G-tv1-gVpgJKu</t>
  </si>
  <si>
    <t>1570650851409</t>
  </si>
  <si>
    <t>-Lqm4XoY8eQ9kGCx61F2</t>
  </si>
  <si>
    <t>1570650859636</t>
  </si>
  <si>
    <t>-Lqm4ZL1FsvbDUOG2j8R</t>
  </si>
  <si>
    <t>1570650865874</t>
  </si>
  <si>
    <t>-Lqm4_oyNlYg5OpD9_m0</t>
  </si>
  <si>
    <t>1570650871989</t>
  </si>
  <si>
    <t>-Lqm4bLYmgvuuWStlKYT</t>
  </si>
  <si>
    <t>1570650878201</t>
  </si>
  <si>
    <t>-Lqm4cqmgzpovlcof6Iz</t>
  </si>
  <si>
    <t>1570650884355</t>
  </si>
  <si>
    <t>-Lqm4eNHfEdjRDeFvx4i</t>
  </si>
  <si>
    <t>1570650890594</t>
  </si>
  <si>
    <t>-Lqm4g6ZacXHm93VD6dF</t>
  </si>
  <si>
    <t>1570650897778</t>
  </si>
  <si>
    <t>-Lqm4hd1HBiK-1reIfLi</t>
  </si>
  <si>
    <t>1570650903955</t>
  </si>
  <si>
    <t>-Lqm4jP7iiF80QcDb-xR</t>
  </si>
  <si>
    <t>1570650910115</t>
  </si>
  <si>
    <t>-Lqm4kv6pRpGl-DMDzJQ</t>
  </si>
  <si>
    <t>1570650917380</t>
  </si>
  <si>
    <t>-Lqm4mQHhxCzzIiI9EGt</t>
  </si>
  <si>
    <t>1570650923481</t>
  </si>
  <si>
    <t>-Lqm4nvXGueFzZzqdY9n</t>
  </si>
  <si>
    <t>1570650929715</t>
  </si>
  <si>
    <t>-Lqm4pS1WhPN2-bJt5N6</t>
  </si>
  <si>
    <t>1570650935875</t>
  </si>
  <si>
    <t>-Lqm4qxIwRrt4lfq_fRx</t>
  </si>
  <si>
    <t>1570650942100</t>
  </si>
  <si>
    <t>-Lqm4sTmKsuZo12zeZXc</t>
  </si>
  <si>
    <t>1570650948275</t>
  </si>
  <si>
    <t>-Lqm4txm9EZORiuPj3xh</t>
  </si>
  <si>
    <t>1570650954434</t>
  </si>
  <si>
    <t>-Lqm4vT1JgE4cA4rbuoi</t>
  </si>
  <si>
    <t>1570650960600</t>
  </si>
  <si>
    <t>-Lqm4wzXxlkmi5Bpu7lI</t>
  </si>
  <si>
    <t>1570650966836</t>
  </si>
  <si>
    <t>-Lqm4yUn--IfmzXrBChN</t>
  </si>
  <si>
    <t>1570650972996</t>
  </si>
  <si>
    <t>-Lqm5-GWwkTVYF7_JwPY</t>
  </si>
  <si>
    <t>1570650979155</t>
  </si>
  <si>
    <t>-Lqm51-jvUcaVoxyVWYY</t>
  </si>
  <si>
    <t>1570650987387</t>
  </si>
  <si>
    <t>-Lqm52W0QnTkPEWFoKDE</t>
  </si>
  <si>
    <t>1570650993618</t>
  </si>
  <si>
    <t>-Lqm541W9AsXtpC1Avef</t>
  </si>
  <si>
    <t>1570650999793</t>
  </si>
  <si>
    <t>-Lqm55kkU7azVPO1XCIq</t>
  </si>
  <si>
    <t>1570651006035</t>
  </si>
  <si>
    <t>-Lqm57IBW1Le8c6nL0Tx</t>
  </si>
  <si>
    <t>1570651013147</t>
  </si>
  <si>
    <t>-Lqm58nGv8X3SgnpwDmw</t>
  </si>
  <si>
    <t>1570651019319</t>
  </si>
  <si>
    <t>-Lqm5AJzRKRQ0S8IxiJ6</t>
  </si>
  <si>
    <t>1570651025619</t>
  </si>
  <si>
    <t>-Lqm5BpFbg0ZVBhgj7S9</t>
  </si>
  <si>
    <t>1570651031713</t>
  </si>
  <si>
    <t>-Lqm5DKQx8D5Prh09Q1e</t>
  </si>
  <si>
    <t>1570651037873</t>
  </si>
  <si>
    <t>-Lqm5EoWts7UE_zJndW2</t>
  </si>
  <si>
    <t>1570651044097</t>
  </si>
  <si>
    <t>-Lqm5GM-QqFLn5sZXOaq</t>
  </si>
  <si>
    <t>1570651050272</t>
  </si>
  <si>
    <t>-Lqm5HrWPS37JAEZph24</t>
  </si>
  <si>
    <t>1570651056432</t>
  </si>
  <si>
    <t>-Lqm5JMqCOX3VhfO7SQW</t>
  </si>
  <si>
    <t>1570651062593</t>
  </si>
  <si>
    <t>-Lqm5KtEJjcJwRhIDLTA</t>
  </si>
  <si>
    <t>1570651068832</t>
  </si>
  <si>
    <t>-Lqm5MaqR_u7AcfGwii1</t>
  </si>
  <si>
    <t>1570651074991</t>
  </si>
  <si>
    <t>-Lqm5O91geu64cpHnLFv</t>
  </si>
  <si>
    <t>1570651082193</t>
  </si>
  <si>
    <t>-Lqm5PeEFT2yzEB_Yh-e</t>
  </si>
  <si>
    <t>1570651088353</t>
  </si>
  <si>
    <t>-Lqm5RDGUDfg9HS8Jj_g</t>
  </si>
  <si>
    <t>1570651094591</t>
  </si>
  <si>
    <t>-Lqm5SwGNQSzZ8cDy1Tj</t>
  </si>
  <si>
    <t>1570651101791</t>
  </si>
  <si>
    <t>-Lqm5URWXJLsepQbWR8J</t>
  </si>
  <si>
    <t>1570651107952</t>
  </si>
  <si>
    <t>-Lqm5VwjMoohbM5qgRUl</t>
  </si>
  <si>
    <t>1570651114113</t>
  </si>
  <si>
    <t>-Lqm5XcGALnZLxu7KbXG</t>
  </si>
  <si>
    <t>1570651120351</t>
  </si>
  <si>
    <t>-Lqm5ZGEsA0H42LCy1l9</t>
  </si>
  <si>
    <t>1570651127553</t>
  </si>
  <si>
    <t>-Lqm5_zFdj2h-ckyrlWY</t>
  </si>
  <si>
    <t>1570651134751</t>
  </si>
  <si>
    <t>-Lqm5bUWF0PG3y437IuI</t>
  </si>
  <si>
    <t>1570651140913</t>
  </si>
  <si>
    <t>-Lqm5dABbPDq17nWQdtF</t>
  </si>
  <si>
    <t>1570651147074</t>
  </si>
  <si>
    <t>-Lqm5ekBae1_rRSA556Q</t>
  </si>
  <si>
    <t>1570651154337</t>
  </si>
  <si>
    <t>-Lqm5gGlBH0hEPItCSJB</t>
  </si>
  <si>
    <t>1570651160513</t>
  </si>
  <si>
    <t>-Lqm5hm-5aFkbiCqmhsO</t>
  </si>
  <si>
    <t>1570651166671</t>
  </si>
  <si>
    <t>-Lqm5jHEQI3xdKbGRa2O</t>
  </si>
  <si>
    <t>1570651172832</t>
  </si>
  <si>
    <t>-Lqm5kngYZfCRcD9jPxx</t>
  </si>
  <si>
    <t>1570651179077</t>
  </si>
  <si>
    <t>-Lqm5mJ-jk1Or7lyFtmg</t>
  </si>
  <si>
    <t>1570651185233</t>
  </si>
  <si>
    <t>-Lqm5sgsDMN5a-FlQHXK</t>
  </si>
  <si>
    <t>1570651211461</t>
  </si>
  <si>
    <t>-Lqm5uPostSP55XtVI4g</t>
  </si>
  <si>
    <t>1570651218435</t>
  </si>
  <si>
    <t>-Lqm5vv9Cna99-Vyxy2J</t>
  </si>
  <si>
    <t>1570651224606</t>
  </si>
  <si>
    <t>-Lqm5xRfKypbAyv3SGN1</t>
  </si>
  <si>
    <t>1570651230842</t>
  </si>
  <si>
    <t>-Lqm5ywu6IJsC02IjC2F</t>
  </si>
  <si>
    <t>1570651237000</t>
  </si>
  <si>
    <t>-Lqm6-S9ETEZAsDaRKFB</t>
  </si>
  <si>
    <t>1570651243160</t>
  </si>
  <si>
    <t>-Lqm60xOQFJOoKfPnctY</t>
  </si>
  <si>
    <t>1570651249398</t>
  </si>
  <si>
    <t>-Lqm62Xha9KaIdLshORN</t>
  </si>
  <si>
    <t>1570651255625</t>
  </si>
  <si>
    <t>-Lqm64E913qMAv4takiF</t>
  </si>
  <si>
    <t>1570651262760</t>
  </si>
  <si>
    <t>-Lqm65jZxyE3X9cYpcT1</t>
  </si>
  <si>
    <t>1570651268922</t>
  </si>
  <si>
    <t>-Lqm67En8ZsUJCo8SwT_</t>
  </si>
  <si>
    <t>1570651275141</t>
  </si>
  <si>
    <t>-Lqm68l9IQwULDJfLoWx</t>
  </si>
  <si>
    <t>1570651281322</t>
  </si>
  <si>
    <t>-Lqm6AGemrO2aqnTsuzV</t>
  </si>
  <si>
    <t>1570651287481</t>
  </si>
  <si>
    <t>-Lqm6Bn8A00iP6CiYj8n</t>
  </si>
  <si>
    <t>1570651293704</t>
  </si>
  <si>
    <t>-Lqm6DH9JdBXWQhXnKdI</t>
  </si>
  <si>
    <t>1570651299862</t>
  </si>
  <si>
    <t>-Lqm6Eq8O6x83dW-pnCc</t>
  </si>
  <si>
    <t>1570651306045</t>
  </si>
  <si>
    <t>-Lqm6GYtXYoGD8L24Jyu</t>
  </si>
  <si>
    <t>1570651313241</t>
  </si>
  <si>
    <t>-Lqm6I3OWxMTZSXlvEuW</t>
  </si>
  <si>
    <t>1570651319402</t>
  </si>
  <si>
    <t>-Lqm6J_t7Dg8RSyC-0_3</t>
  </si>
  <si>
    <t>1570651325637</t>
  </si>
  <si>
    <t>-Lqm6L6KXM7rAVyXdxx6</t>
  </si>
  <si>
    <t>1570651331800</t>
  </si>
  <si>
    <t>-Lqm6MqeC09zbVImOq4a</t>
  </si>
  <si>
    <t>1570651338996</t>
  </si>
  <si>
    <t>-Lqm6ON83qjI5lc5TNw8</t>
  </si>
  <si>
    <t>1570651345161</t>
  </si>
  <si>
    <t>-Lqm6PsP0jtAusIjIxWF</t>
  </si>
  <si>
    <t>1570651351400</t>
  </si>
  <si>
    <t>-Lqm6RMP-hDDZBOPvZOK</t>
  </si>
  <si>
    <t>1570651357485</t>
  </si>
  <si>
    <t>-Lqm6SsuBn9_S4Pi5Ey8</t>
  </si>
  <si>
    <t>1570651363721</t>
  </si>
  <si>
    <t>-Lqm6UO8V3VD6iuvV75D</t>
  </si>
  <si>
    <t>1570651369881</t>
  </si>
  <si>
    <t>-Lqm6W173Y5b6iPJ4CnO</t>
  </si>
  <si>
    <t>1570651376629</t>
  </si>
  <si>
    <t>-Lqm6Xf96XpKc-3xAD3N</t>
  </si>
  <si>
    <t>1570651383323</t>
  </si>
  <si>
    <t>-Lqm6ZAPVtV-R-rdcmmy</t>
  </si>
  <si>
    <t>1570651389481</t>
  </si>
  <si>
    <t>-Lqm6_feTk1q730uQESP</t>
  </si>
  <si>
    <t>1570651395637</t>
  </si>
  <si>
    <t>-Lqm6bC9lZnBf2qic1W_</t>
  </si>
  <si>
    <t>1570651401886</t>
  </si>
  <si>
    <t>-Lqm6cwjoDGP7DbUjtia</t>
  </si>
  <si>
    <t>1570651407965</t>
  </si>
  <si>
    <t>-Lqm6eSspWD2ZWt62Ql0</t>
  </si>
  <si>
    <t>1570651415244</t>
  </si>
  <si>
    <t>-Lqm6gEbIuLr0yShZJhN</t>
  </si>
  <si>
    <t>1570651421395</t>
  </si>
  <si>
    <t>-Lqm6hyr6a_oJNl7VAVh</t>
  </si>
  <si>
    <t>1570651429642</t>
  </si>
  <si>
    <t>-Lqm6jU6vsViFugy2CiQ</t>
  </si>
  <si>
    <t>1570651435863</t>
  </si>
  <si>
    <t>-Lqm6l5tiRmHyAkUnpjE</t>
  </si>
  <si>
    <t>1570651442033</t>
  </si>
  <si>
    <t>-Lqm6mmL3UXiBtjCoVPC</t>
  </si>
  <si>
    <t>1570651449239</t>
  </si>
  <si>
    <t>-Lqm6oWaB-M9kalz4CYJ</t>
  </si>
  <si>
    <t>1570651456438</t>
  </si>
  <si>
    <t>-Lqm6q0rofP5XMiNJBkZ</t>
  </si>
  <si>
    <t>1570651462598</t>
  </si>
  <si>
    <t>-Lqm6rYNkMhwzK_8HqC6</t>
  </si>
  <si>
    <t>1570651468840</t>
  </si>
  <si>
    <t>-Lqm6t2aOWHbdn7gXscJ</t>
  </si>
  <si>
    <t>1570651474994</t>
  </si>
  <si>
    <t>-Lqm6uYm4Mky6PNF5Y0N</t>
  </si>
  <si>
    <t>1570651481160</t>
  </si>
  <si>
    <t>-Lqm6w36fwP3lHDAu5fK</t>
  </si>
  <si>
    <t>1570651487324</t>
  </si>
  <si>
    <t>-Lqm6x_M1TxtG-pKbiun</t>
  </si>
  <si>
    <t>1570651493564</t>
  </si>
  <si>
    <t>-Lqm6z4qXmHzRvdqxHll</t>
  </si>
  <si>
    <t>1570651499744</t>
  </si>
  <si>
    <t>-Lqm7-bN2BFLHsLZ_EbE</t>
  </si>
  <si>
    <t>1570651505945</t>
  </si>
  <si>
    <t>-Lqm7147ffmWEjxnOtUW</t>
  </si>
  <si>
    <t>1570651512045</t>
  </si>
  <si>
    <t>-Lqm72abR6lFUY7n7hfK</t>
  </si>
  <si>
    <t>1570651518278</t>
  </si>
  <si>
    <t>-Lqm7478g82teHiPJW9G</t>
  </si>
  <si>
    <t>1570651524438</t>
  </si>
  <si>
    <t>-Lqm75b6t8iuhu_eLDfY</t>
  </si>
  <si>
    <t>1570651530599</t>
  </si>
  <si>
    <t>-Lqm778tFsAWd93_ESDe</t>
  </si>
  <si>
    <t>1570651536834</t>
  </si>
  <si>
    <t>-Lqm78e5SzqIv8IWCsuT</t>
  </si>
  <si>
    <t>1570651542998</t>
  </si>
  <si>
    <t>-Lqm7A9MyzPIjvmonvW-</t>
  </si>
  <si>
    <t>1570651549159</t>
  </si>
  <si>
    <t>-Lqm7BeN3gr3CVJJx3Qk</t>
  </si>
  <si>
    <t>1570651555323</t>
  </si>
  <si>
    <t>-Lqm7D9r-mfqdBsA22Ij</t>
  </si>
  <si>
    <t>1570651561503</t>
  </si>
  <si>
    <t>-Lqm7EgNTSx7dEDupvQx</t>
  </si>
  <si>
    <t>1570651567723</t>
  </si>
  <si>
    <t>-Lqm7G9x-XzxKeuth3UT</t>
  </si>
  <si>
    <t>1570651573878</t>
  </si>
  <si>
    <t>-Lqm7Hgmpcxwr5f44NNe</t>
  </si>
  <si>
    <t>1570651580098</t>
  </si>
  <si>
    <t>-Lqm7JTb_RAruUVfa2SQ</t>
  </si>
  <si>
    <t>1570651587316</t>
  </si>
  <si>
    <t>-Lqm7Kyv-dzuml460IpW</t>
  </si>
  <si>
    <t>1570651593484</t>
  </si>
  <si>
    <t>-Lqm7MU6Vp48LUh3Jk_b</t>
  </si>
  <si>
    <t>1570651599639</t>
  </si>
  <si>
    <t>-Lqm7NzMS478x_FZMlzG</t>
  </si>
  <si>
    <t>1570651605803</t>
  </si>
  <si>
    <t>-Lqm7PVqnmpky4dr7CLr</t>
  </si>
  <si>
    <t>1570651612029</t>
  </si>
  <si>
    <t>-Lqm7QzlG1-nnhpyRMuF</t>
  </si>
  <si>
    <t>1570651618199</t>
  </si>
  <si>
    <t>-Lqm7SWM4HUXlRasjeJO</t>
  </si>
  <si>
    <t>1570651624359</t>
  </si>
  <si>
    <t>-Lqm7UY_8-W1APlJEzFW</t>
  </si>
  <si>
    <t>1570651631635</t>
  </si>
  <si>
    <t>-Lqm7W2WXVQsnlwIeXa6</t>
  </si>
  <si>
    <t>1570651638825</t>
  </si>
  <si>
    <t>-Lqm7XXbcLjDLw2cRDMw</t>
  </si>
  <si>
    <t>1570651644924</t>
  </si>
  <si>
    <t>-Lqm7Z36Xh-YCKSfFrtV</t>
  </si>
  <si>
    <t>1570651651160</t>
  </si>
  <si>
    <t>-Lqm7_ZM1fGNQkufEuap</t>
  </si>
  <si>
    <t>1570651657319</t>
  </si>
  <si>
    <t>-Lqm7b8cLV3u-S-zj7eT</t>
  </si>
  <si>
    <t>1570651663833</t>
  </si>
  <si>
    <t>-Lqm7cq8W9AlxiUJaXmQ</t>
  </si>
  <si>
    <t>1570651670759</t>
  </si>
  <si>
    <t>-Lqm7eLcfdkhWI6kcbJ3</t>
  </si>
  <si>
    <t>1570651676913</t>
  </si>
  <si>
    <t>-Lqm7fqsOo29S2pp1ct9</t>
  </si>
  <si>
    <t>1570651683080</t>
  </si>
  <si>
    <t>-Lqm7hNMfQCZ-nmnNf6H</t>
  </si>
  <si>
    <t>1570651689321</t>
  </si>
  <si>
    <t>-Lqm7j9A57i7mgxoSnTn</t>
  </si>
  <si>
    <t>1570651696600</t>
  </si>
  <si>
    <t>-Lqm7ks57xiJIJQCkMuO</t>
  </si>
  <si>
    <t>1570651703685</t>
  </si>
  <si>
    <t>-Lqm7mOcPzwMnfEiqmji</t>
  </si>
  <si>
    <t>1570651709874</t>
  </si>
  <si>
    <t>-Lqm7ntsPq9TAWIRpJD6</t>
  </si>
  <si>
    <t>1570651716029</t>
  </si>
  <si>
    <t>-Lqm7pQLs_BQIcFy1Q48</t>
  </si>
  <si>
    <t>1570651722278</t>
  </si>
  <si>
    <t>-Lqm7quO4eVqNmSD31xP</t>
  </si>
  <si>
    <t>1570651728401</t>
  </si>
  <si>
    <t>-Lqm7sS25XJt2HYaQtSd</t>
  </si>
  <si>
    <t>1570651734595</t>
  </si>
  <si>
    <t>-Lqm7tw6d1_fQW632dLA</t>
  </si>
  <si>
    <t>1570651740760</t>
  </si>
  <si>
    <t>-Lqm7vScR9OTlWXwVcGJ</t>
  </si>
  <si>
    <t>1570651747001</t>
  </si>
  <si>
    <t>-Lqm7wxbKve02Knazyii</t>
  </si>
  <si>
    <t>1570651753154</t>
  </si>
  <si>
    <t>-Lqm7yiLLed1KfffB42v</t>
  </si>
  <si>
    <t>1570651760359</t>
  </si>
  <si>
    <t>-Lqm8-DbeZwrxxTZiTyT</t>
  </si>
  <si>
    <t>1570651766520</t>
  </si>
  <si>
    <t>-Lqm80k6XHB7ULKVqxpr</t>
  </si>
  <si>
    <t>1570651772755</t>
  </si>
  <si>
    <t>-Lqm82GPmaBaKaaulwKr</t>
  </si>
  <si>
    <t>1570651778918</t>
  </si>
  <si>
    <t>-Lqm84-ruVexjbS_7snS</t>
  </si>
  <si>
    <t>1570651786118</t>
  </si>
  <si>
    <t>-Lqm85W8DlsVMwdc29YT</t>
  </si>
  <si>
    <t>1570651792280</t>
  </si>
  <si>
    <t>-Lqm871cTV3_DJF1dAA2</t>
  </si>
  <si>
    <t>1570651798508</t>
  </si>
  <si>
    <t>-Lqm88n1vEh8AVHZYDuZ</t>
  </si>
  <si>
    <t>1570651805720</t>
  </si>
  <si>
    <t>-Lqm8AH5Tc2BLvsSaUGX</t>
  </si>
  <si>
    <t>1570651811881</t>
  </si>
  <si>
    <t>-Lqm8Bnc3RMhxvpjTMQb</t>
  </si>
  <si>
    <t>1570651818035</t>
  </si>
  <si>
    <t>-Lqm8DKBc30a9bHBHDey</t>
  </si>
  <si>
    <t>1570651824265</t>
  </si>
  <si>
    <t>-Lqm8Eo7Yhx9UM7BXTZD</t>
  </si>
  <si>
    <t>1570651830365</t>
  </si>
  <si>
    <t>-Lqm8GKcLPUj-UbO4wlx</t>
  </si>
  <si>
    <t>1570651836600</t>
  </si>
  <si>
    <t>-Lqm8IMXUK6ZTw_M70W2</t>
  </si>
  <si>
    <t>1570651844838</t>
  </si>
  <si>
    <t>-Lqm8KPrs7-hjllHKR9I</t>
  </si>
  <si>
    <t>1570651853253</t>
  </si>
  <si>
    <t>-Lqm8M6ZB0JUuZEIzfLs</t>
  </si>
  <si>
    <t>1570651860280</t>
  </si>
  <si>
    <t>-Lqm8Nbr26WMePHJACNV</t>
  </si>
  <si>
    <t>1570651866503</t>
  </si>
  <si>
    <t>-Lqm8P8KG0gNCdOdSH7L</t>
  </si>
  <si>
    <t>1570651872680</t>
  </si>
  <si>
    <t>-Lqm8QdaP-pWGqoPiAnS</t>
  </si>
  <si>
    <t>1570651878839</t>
  </si>
  <si>
    <t>-Lqm8S8rx6tu_wT5d11R</t>
  </si>
  <si>
    <t>1570651885009</t>
  </si>
  <si>
    <t>-Lqm8TfMQxia5VhcwLKe</t>
  </si>
  <si>
    <t>1570651891238</t>
  </si>
  <si>
    <t>-Lqm8VAb7d92_orIGPUy</t>
  </si>
  <si>
    <t>1570651897400</t>
  </si>
  <si>
    <t>-Lqm8WfmmVNVoz6e0F9L</t>
  </si>
  <si>
    <t>1570651903560</t>
  </si>
  <si>
    <t>-Lqm8YB5MggLMk_RCTfu</t>
  </si>
  <si>
    <t>1570651909723</t>
  </si>
  <si>
    <t>-Lqm8Zhbordvf51xzh7h</t>
  </si>
  <si>
    <t>1570651915959</t>
  </si>
  <si>
    <t>-Lqm8aCql83ieNk9uH3r</t>
  </si>
  <si>
    <t>1570651922113</t>
  </si>
  <si>
    <t>-Lqm8bjMJVb2nvMLMWCL</t>
  </si>
  <si>
    <t>1570651928278</t>
  </si>
  <si>
    <t>-Lqm8dDLCxEp9S_kmpAz</t>
  </si>
  <si>
    <t>1570651934438</t>
  </si>
  <si>
    <t>-Lqm8ejmn8MNw84vxe_h</t>
  </si>
  <si>
    <t>1570651940678</t>
  </si>
  <si>
    <t>-Lqm8gFBWL1n-6Cm3hYt</t>
  </si>
  <si>
    <t>1570651946839</t>
  </si>
  <si>
    <t>-Lqm8hkMlzkJt6YApmiS</t>
  </si>
  <si>
    <t>1570651952999</t>
  </si>
  <si>
    <t>-Lqm8jGrQwRhGJUyvzY4</t>
  </si>
  <si>
    <t>1570651959238</t>
  </si>
  <si>
    <t>-Lqm8km6yNjrpDKRI_Xp</t>
  </si>
  <si>
    <t>1570651965398</t>
  </si>
  <si>
    <t>-Lqm8mHLZQMaVwvVypWd</t>
  </si>
  <si>
    <t>1570651971558</t>
  </si>
  <si>
    <t>-Lqm8nmaeQQooyyDbpUo</t>
  </si>
  <si>
    <t>1570651977718</t>
  </si>
  <si>
    <t>-Lqm8pKMLkSdzba5hhn5</t>
  </si>
  <si>
    <t>1570651983960</t>
  </si>
  <si>
    <t>-Lqm8r3buv4a5-4-rDKu</t>
  </si>
  <si>
    <t>1570651991158</t>
  </si>
  <si>
    <t>-Lqm8sZraMB2LNJwx88A</t>
  </si>
  <si>
    <t>1570651997318</t>
  </si>
  <si>
    <t>-Lqm8u46Jra3_tzz9oUp</t>
  </si>
  <si>
    <t>1570652003479</t>
  </si>
  <si>
    <t>-Lqm8vblsQtGYgStiilv</t>
  </si>
  <si>
    <t>1570652009713</t>
  </si>
  <si>
    <t>-Lqm8xM6kLrT_SrWl8ps</t>
  </si>
  <si>
    <t>1570652016919</t>
  </si>
  <si>
    <t>-Lqm8yqn1sO-fzzqZL60</t>
  </si>
  <si>
    <t>1570652023084</t>
  </si>
  <si>
    <t>-Lqm9-McphKQLLEoerrf</t>
  </si>
  <si>
    <t>1570652029238</t>
  </si>
  <si>
    <t>-Lqm90rnzVdByG_UCxro</t>
  </si>
  <si>
    <t>1570652035465</t>
  </si>
  <si>
    <t>-Lqm92OMxJepq3aqX-1N</t>
  </si>
  <si>
    <t>1570652041638</t>
  </si>
  <si>
    <t>-Lqm93sMVWRHHnkiVx_x</t>
  </si>
  <si>
    <t>1570652047784</t>
  </si>
  <si>
    <t>-Lqm95RMyjnJhHJ-XsWQ</t>
  </si>
  <si>
    <t>1570652054108</t>
  </si>
  <si>
    <t>-Lqm97c_lLnp6LMTwdGC</t>
  </si>
  <si>
    <t>1570652061223</t>
  </si>
  <si>
    <t>-Lqm99_MBblOQDdcZfVf</t>
  </si>
  <si>
    <t>1570652069465</t>
  </si>
  <si>
    <t>-Lqm9BC6OXUsUh39Erxh</t>
  </si>
  <si>
    <t>1570652077704</t>
  </si>
  <si>
    <t>-Lqm9ChL8j6v1Woq9s_Y</t>
  </si>
  <si>
    <t>1570652083878</t>
  </si>
  <si>
    <t>-Lqm9ECaFeyWJqbiDcFZ</t>
  </si>
  <si>
    <t>1570652090034</t>
  </si>
  <si>
    <t>-Lqm9Fhpf9S6WrETxv16</t>
  </si>
  <si>
    <t>1570652096199</t>
  </si>
  <si>
    <t>-Lqm9HEN3VZah77WiZ-0</t>
  </si>
  <si>
    <t>1570652102438</t>
  </si>
  <si>
    <t>-Lqm9IjWYxjdD90_9cvT</t>
  </si>
  <si>
    <t>1570652108593</t>
  </si>
  <si>
    <t>-Lqm9KHFci2jGu7CpWPv</t>
  </si>
  <si>
    <t>1570652114759</t>
  </si>
  <si>
    <t>-Lqm9M-M_FL5PuwC38yI</t>
  </si>
  <si>
    <t>1570652121959</t>
  </si>
  <si>
    <t>-Lqm9NWq89GROivVXENt</t>
  </si>
  <si>
    <t>1570652128199</t>
  </si>
  <si>
    <t>-Lqm9P2NzP2w51epdAy7</t>
  </si>
  <si>
    <t>1570652134359</t>
  </si>
  <si>
    <t>-Lqm9Qmbwcp2Lsh1lj2B</t>
  </si>
  <si>
    <t>1570652141554</t>
  </si>
  <si>
    <t>-Lqm9SHp-cZpbjgvozx3</t>
  </si>
  <si>
    <t>1570652147717</t>
  </si>
  <si>
    <t>-Lqm9ToL8WtcNwXl6ba_</t>
  </si>
  <si>
    <t>1570652153953</t>
  </si>
  <si>
    <t>-Lqm9VJWiTC5dDZtIVjo</t>
  </si>
  <si>
    <t>1570652160114</t>
  </si>
  <si>
    <t>-Lqm9WoqWKR1qzartAtM</t>
  </si>
  <si>
    <t>1570652166278</t>
  </si>
  <si>
    <t>-Lqm9Y_71meODtr8mLtw</t>
  </si>
  <si>
    <t>1570652172439</t>
  </si>
  <si>
    <t>-Lqm9_65ldnxGNKUiUBb</t>
  </si>
  <si>
    <t>1570652179704</t>
  </si>
  <si>
    <t>-Lqm9a_ppHr8mPuqOOM9</t>
  </si>
  <si>
    <t>1570652185804</t>
  </si>
  <si>
    <t>-Lqm9c6HoeIW9__chlrs</t>
  </si>
  <si>
    <t>1570652192039</t>
  </si>
  <si>
    <t>-Lqm9dbbpooj8ZoBBxej</t>
  </si>
  <si>
    <t>1570652198198</t>
  </si>
  <si>
    <t>-Lqm9f86M20-1ZhhTSXL</t>
  </si>
  <si>
    <t>1570652204439</t>
  </si>
  <si>
    <t>-Lqm9gdMj-uJCBXXStmG</t>
  </si>
  <si>
    <t>1570652210599</t>
  </si>
  <si>
    <t>-Lqm9i8b1fKArWr815Yj</t>
  </si>
  <si>
    <t>1570652216758</t>
  </si>
  <si>
    <t>-Lqm9jdr8zYkVRmoWiae</t>
  </si>
  <si>
    <t>1570652222917</t>
  </si>
  <si>
    <t>-Lqm9lAN2I3k9JzBY7rR</t>
  </si>
  <si>
    <t>1570652229157</t>
  </si>
  <si>
    <t>-Lqm9meM6u_tNXFGRAdn</t>
  </si>
  <si>
    <t>1570652235284</t>
  </si>
  <si>
    <t>-Lqm9oAlLEGOg2-2QrrE</t>
  </si>
  <si>
    <t>1570652241484</t>
  </si>
  <si>
    <t>-Lqm9pg67H19EdLA74Kx</t>
  </si>
  <si>
    <t>1570652247704</t>
  </si>
  <si>
    <t>-Lqm9rCbSVNmpreXXhAT</t>
  </si>
  <si>
    <t>1570652253878</t>
  </si>
  <si>
    <t>-Lqm9shrEX5zcAP8yShs</t>
  </si>
  <si>
    <t>1570652260038</t>
  </si>
  <si>
    <t>-Lqm9uD5E2AxWiD3WMdw</t>
  </si>
  <si>
    <t>1570652266197</t>
  </si>
  <si>
    <t>-Lqm9w1_4yvv_97UavUR</t>
  </si>
  <si>
    <t>1570652272439</t>
  </si>
  <si>
    <t>-Lqm9xkM19zhFJ6vz0Lx</t>
  </si>
  <si>
    <t>1570652280743</t>
  </si>
  <si>
    <t>-Lqm9zFaaiP1jqU-kHCl</t>
  </si>
  <si>
    <t>1570652286832</t>
  </si>
  <si>
    <t>-LqmA-jaM0_UHatopLrk</t>
  </si>
  <si>
    <t>1570652292998</t>
  </si>
  <si>
    <t>-LqmA1G-gpz9sMR861Hp</t>
  </si>
  <si>
    <t>1570652299163</t>
  </si>
  <si>
    <t>-LqmA2maCKl8qv7HLYxW</t>
  </si>
  <si>
    <t>1570652305393</t>
  </si>
  <si>
    <t>-LqmA4HqXUGhWLFOOTCi</t>
  </si>
  <si>
    <t>1570652311558</t>
  </si>
  <si>
    <t>-LqmA5n4CSD8ToOZEevb</t>
  </si>
  <si>
    <t>1570652317720</t>
  </si>
  <si>
    <t>-LqmA7IJM35xGSrmPOH-</t>
  </si>
  <si>
    <t>1570652323943</t>
  </si>
  <si>
    <t>-LqmA8oqMycpnjXu0r0K</t>
  </si>
  <si>
    <t>1570652330118</t>
  </si>
  <si>
    <t>-LqmAAK41IFXWLSCjFVG</t>
  </si>
  <si>
    <t>1570652336278</t>
  </si>
  <si>
    <t>-LqmABpMy15ZFPLhGnie</t>
  </si>
  <si>
    <t>1570652342438</t>
  </si>
  <si>
    <t>-LqmADLsUqqobT0r5apg</t>
  </si>
  <si>
    <t>1570652348677</t>
  </si>
  <si>
    <t>-LqmAEqq698UKr4-WG5t</t>
  </si>
  <si>
    <t>1570652354838</t>
  </si>
  <si>
    <t>-LqmAGMKkUJpNuCzqKgY</t>
  </si>
  <si>
    <t>1570652360998</t>
  </si>
  <si>
    <t>-LqmAHrZxcF1op0vWgwj</t>
  </si>
  <si>
    <t>1570652367163</t>
  </si>
  <si>
    <t>-LqmAJMlDze-j5S1FWdA</t>
  </si>
  <si>
    <t>1570652373341</t>
  </si>
  <si>
    <t>-LqmAKtKY6C33xEI6-az</t>
  </si>
  <si>
    <t>1570652379559</t>
  </si>
  <si>
    <t>-LqmAMOa25Bhl6JNDba2</t>
  </si>
  <si>
    <t>1570652385718</t>
  </si>
  <si>
    <t>-LqmANtp9373YLvHcXgq</t>
  </si>
  <si>
    <t>1570652391943</t>
  </si>
  <si>
    <t>-LqmAPQKQg2S8IuTm6dT</t>
  </si>
  <si>
    <t>1570652398145</t>
  </si>
  <si>
    <t>-LqmAQvZP8FexPWYH3tl</t>
  </si>
  <si>
    <t>1570652404278</t>
  </si>
  <si>
    <t>-LqmASQeK_MK_eDQka2n</t>
  </si>
  <si>
    <t>1570652410436</t>
  </si>
  <si>
    <t>-LqmATxK1iBf_a9tboh4</t>
  </si>
  <si>
    <t>1570652416676</t>
  </si>
  <si>
    <t>-LqmAVS_l7oYwZpFYGe5</t>
  </si>
  <si>
    <t>1570652422836</t>
  </si>
  <si>
    <t>-LqmAWxqTPNqDdExJiWl</t>
  </si>
  <si>
    <t>1570652429002</t>
  </si>
  <si>
    <t>-LqmAYiJNfi-w7Fd7KVA</t>
  </si>
  <si>
    <t>1570652436198</t>
  </si>
  <si>
    <t>-LqmA_G5nunPMlOamaf-</t>
  </si>
  <si>
    <t>1570652442438</t>
  </si>
  <si>
    <t>-LqmAb-AN6aBqwiDbxdc</t>
  </si>
  <si>
    <t>1570652449633</t>
  </si>
  <si>
    <t>-LqmAcUKWM6LURiPbNeD</t>
  </si>
  <si>
    <t>1570652455799</t>
  </si>
  <si>
    <t>-LqmAdzZPfvzOlCAL7gH</t>
  </si>
  <si>
    <t>1570652461958</t>
  </si>
  <si>
    <t>-LqmAfW5Or-jw7JL-SyV</t>
  </si>
  <si>
    <t>1570652468182</t>
  </si>
  <si>
    <t>-LqmAh1_yKONyxCLO3Gd</t>
  </si>
  <si>
    <t>1570652474351</t>
  </si>
  <si>
    <t>-LqmAiXuM5YxZD0EhGXP</t>
  </si>
  <si>
    <t>1570652480511</t>
  </si>
  <si>
    <t>-LqmAkINgxFmIwD36Mnk</t>
  </si>
  <si>
    <t>1570652487775</t>
  </si>
  <si>
    <t>-LqmAlnOJIDIK7Kv5Tz_</t>
  </si>
  <si>
    <t>1570652493945</t>
  </si>
  <si>
    <t>-LqmAnJtrBSi7NZsgh92</t>
  </si>
  <si>
    <t>1570652500115</t>
  </si>
  <si>
    <t>-LqmAp4cylAOAcyLvH8l</t>
  </si>
  <si>
    <t>1570652506281</t>
  </si>
  <si>
    <t>-LqmAq_slMxSrhb9GBUy</t>
  </si>
  <si>
    <t>1570652513480</t>
  </si>
  <si>
    <t>-LqmAs6NcKUjzUQvbeWR</t>
  </si>
  <si>
    <t>1570652519704</t>
  </si>
  <si>
    <t>-LqmAtaNpvuXL1znxOcK</t>
  </si>
  <si>
    <t>1570652525800</t>
  </si>
  <si>
    <t>-LqmAv6kphsrwBnnleer</t>
  </si>
  <si>
    <t>1570652532039</t>
  </si>
  <si>
    <t>-LqmAwc50uvoV-d-LEC-</t>
  </si>
  <si>
    <t>1570652538200</t>
  </si>
  <si>
    <t>-LqmAy8cIwLvU2nzH4jm</t>
  </si>
  <si>
    <t>1570652544435</t>
  </si>
  <si>
    <t>-LqmAzdsAPif01nDfdVW</t>
  </si>
  <si>
    <t>1570652550595</t>
  </si>
  <si>
    <t>-LqmB096R3UPCbwbP7R0</t>
  </si>
  <si>
    <t>1570652556760</t>
  </si>
  <si>
    <t>-LqmB1eMUp4bCQLCDE4h</t>
  </si>
  <si>
    <t>1570652562925</t>
  </si>
  <si>
    <t>-LqmB3AmIiP5qglkEY_r</t>
  </si>
  <si>
    <t>1570652569160</t>
  </si>
  <si>
    <t>-LqmB4hMpwnrCnf4Lixd</t>
  </si>
  <si>
    <t>1570652575385</t>
  </si>
  <si>
    <t>-LqmB6RaHTDA5Hw0kMeI</t>
  </si>
  <si>
    <t>1570652582520</t>
  </si>
  <si>
    <t>-LqmB7wmxAawcpp7YAmB</t>
  </si>
  <si>
    <t>1570652588678</t>
  </si>
  <si>
    <t>-LqmB9TNDJOzVJK6tmgI</t>
  </si>
  <si>
    <t>1570652594920</t>
  </si>
  <si>
    <t>-LqmBAyc2_ADQu0pnEz_</t>
  </si>
  <si>
    <t>1570652601074</t>
  </si>
  <si>
    <t>-LqmBCTshsB_pp9SZfr4</t>
  </si>
  <si>
    <t>1570652607233</t>
  </si>
  <si>
    <t>-LqmBE-NmOtKZtQ1bs6L</t>
  </si>
  <si>
    <t>1570652613465</t>
  </si>
  <si>
    <t>-LqmBFVcKxv33Zfp5JZ2</t>
  </si>
  <si>
    <t>1570652619635</t>
  </si>
  <si>
    <t>-LqmBH-rCk891l5CNd3E</t>
  </si>
  <si>
    <t>1570652625805</t>
  </si>
  <si>
    <t>-LqmBIW7nJAjXtN-u0y9</t>
  </si>
  <si>
    <t>1570652631958</t>
  </si>
  <si>
    <t>-LqmBK1YzO-gQq92nZaP</t>
  </si>
  <si>
    <t>1570652638190</t>
  </si>
  <si>
    <t>-LqmBLXubAJVpyW_vVnl</t>
  </si>
  <si>
    <t>1570652644374</t>
  </si>
  <si>
    <t>-LqmBN27B7cc1T0m4fvr</t>
  </si>
  <si>
    <t>1570652650520</t>
  </si>
  <si>
    <t>-LqmBOYMzhgm9gxYUrtJ</t>
  </si>
  <si>
    <t>1570652656691</t>
  </si>
  <si>
    <t>-LqmBQ3ra5OzIA5g7nF8</t>
  </si>
  <si>
    <t>1570652662913</t>
  </si>
  <si>
    <t>-LqmBR_7df_s_YeiSbG5</t>
  </si>
  <si>
    <t>1570652669081</t>
  </si>
  <si>
    <t>-LqmBT4MDUZRCFmZQRPF</t>
  </si>
  <si>
    <t>1570652675239</t>
  </si>
  <si>
    <t>-LqmBUasKOX72Db6xgUj</t>
  </si>
  <si>
    <t>1570652681480</t>
  </si>
  <si>
    <t>-LqmBWNaSPXObbrd1SD6</t>
  </si>
  <si>
    <t>1570652688823</t>
  </si>
  <si>
    <t>-LqmBYPX2i_fm7ZPRYRg</t>
  </si>
  <si>
    <t>1570652695880</t>
  </si>
  <si>
    <t>-LqmB_6Hli6ZC5DYd01B</t>
  </si>
  <si>
    <t>1570652704112</t>
  </si>
  <si>
    <t>-LqmBacr-TdUTg7z1JuF</t>
  </si>
  <si>
    <t>1570652710277</t>
  </si>
  <si>
    <t>-LqmBc84WV86s8RLhJDz</t>
  </si>
  <si>
    <t>1570652716445</t>
  </si>
  <si>
    <t>-LqmBddMZmwAYb2_cStW</t>
  </si>
  <si>
    <t>1570652722674</t>
  </si>
  <si>
    <t>-LqmBf9qxBmxAcmPgCpn</t>
  </si>
  <si>
    <t>1570652728839</t>
  </si>
  <si>
    <t>-LqmBgf6qXGcVHe2XJdL</t>
  </si>
  <si>
    <t>1570652734994</t>
  </si>
  <si>
    <t>-LqmBiLcLzLsTpBvtuo7</t>
  </si>
  <si>
    <t>1570652741179</t>
  </si>
  <si>
    <t>-LqmBjx4odOPaZnWJ1dK</t>
  </si>
  <si>
    <t>1570652748438</t>
  </si>
  <si>
    <t>-LqmBlSMwwtKk_Yy5GfA</t>
  </si>
  <si>
    <t>1570652754598</t>
  </si>
  <si>
    <t>-LqmBmxaT4RERaeZPKXu</t>
  </si>
  <si>
    <t>1570652760758</t>
  </si>
  <si>
    <t>-LqmBoU5vIFyNv8OdKtm</t>
  </si>
  <si>
    <t>1570652766993</t>
  </si>
  <si>
    <t>-LqmBpzM6xw4gtztDfhu</t>
  </si>
  <si>
    <t>1570652773159</t>
  </si>
  <si>
    <t>-LqmBrUb9X2L0cBX3uKI</t>
  </si>
  <si>
    <t>1570652779310</t>
  </si>
  <si>
    <t>-LqmBszl6UhEY1yGs8sT</t>
  </si>
  <si>
    <t>1570652785479</t>
  </si>
  <si>
    <t>-LqmBuWMEaHcp-PUgKUb</t>
  </si>
  <si>
    <t>1570652791719</t>
  </si>
  <si>
    <t>-LqmBw0a1sjiGB1NBoaK</t>
  </si>
  <si>
    <t>1570652797878</t>
  </si>
  <si>
    <t>-LqmBxWr4COyRZPI_QyQ</t>
  </si>
  <si>
    <t>1570652804039</t>
  </si>
  <si>
    <t>-LqmBz145L0M2L0k7d5t</t>
  </si>
  <si>
    <t>1570652810203</t>
  </si>
  <si>
    <t>-LqmC-YbJZtiGyhkb5EC</t>
  </si>
  <si>
    <t>1570652816432</t>
  </si>
  <si>
    <t>-LqmC12fOLM9WpHuF0s3</t>
  </si>
  <si>
    <t>1570652822599</t>
  </si>
  <si>
    <t>-LqmC2Z1yt1p9W2l73WI</t>
  </si>
  <si>
    <t>1570652828759</t>
  </si>
  <si>
    <t>-LqmC44fw4auLzibgEfF</t>
  </si>
  <si>
    <t>1570652834984</t>
  </si>
  <si>
    <t>-LqmC5_kDnSS5HlMT0aR</t>
  </si>
  <si>
    <t>1570652841155</t>
  </si>
  <si>
    <t>-LqmC7544-8pVgsW8kjc</t>
  </si>
  <si>
    <t>1570652847318</t>
  </si>
  <si>
    <t>-LqmC8aL6nuDUswLKkny</t>
  </si>
  <si>
    <t>1570652853479</t>
  </si>
  <si>
    <t>-LqmCA6lJcPFkHFpMCmh</t>
  </si>
  <si>
    <t>1570652859718</t>
  </si>
  <si>
    <t>-LqmCBc5w_mq7QpDy1Uz</t>
  </si>
  <si>
    <t>1570652865879</t>
  </si>
  <si>
    <t>-LqmCD7LiZtDBsihH5p6</t>
  </si>
  <si>
    <t>1570652872038</t>
  </si>
  <si>
    <t>-LqmCEcbOjbFBEpB1CYT</t>
  </si>
  <si>
    <t>1570652878204</t>
  </si>
  <si>
    <t>-LqmCG96P6s5han7GAVa</t>
  </si>
  <si>
    <t>1570652884439</t>
  </si>
  <si>
    <t>-LqmCHeM3PEfCa77NGGo</t>
  </si>
  <si>
    <t>1570652890594</t>
  </si>
  <si>
    <t>-LqmCJ9bUoRSoq_2xwbz</t>
  </si>
  <si>
    <t>1570652896754</t>
  </si>
  <si>
    <t>-LqmCKwZGl628Dhf_V5h</t>
  </si>
  <si>
    <t>1570652902984</t>
  </si>
  <si>
    <t>-LqmCMQLXVUHXIKPPVOD</t>
  </si>
  <si>
    <t>1570652910119</t>
  </si>
  <si>
    <t>-LqmCNwqFMwzmTCqnSfX</t>
  </si>
  <si>
    <t>1570652916358</t>
  </si>
  <si>
    <t>-LqmCPS4k-yx-6OdFxtR</t>
  </si>
  <si>
    <t>1570652922513</t>
  </si>
  <si>
    <t>-LqmCQxLBWIoAdJLDeaj</t>
  </si>
  <si>
    <t>1570652928688</t>
  </si>
  <si>
    <t>-LqmCSTqOww2X9MaicTh</t>
  </si>
  <si>
    <t>1570652934917</t>
  </si>
  <si>
    <t>-LqmCUDQj4D7e70ZT0ny</t>
  </si>
  <si>
    <t>1570652941078</t>
  </si>
  <si>
    <t>-LqmCVjam8x_3ImfUa2w</t>
  </si>
  <si>
    <t>1570652948283</t>
  </si>
  <si>
    <t>-LqmCXEkQrtjAmQyqq6o</t>
  </si>
  <si>
    <t>1570652954442</t>
  </si>
  <si>
    <t>-LqmCYlKkYOgQ5Nrp_S3</t>
  </si>
  <si>
    <t>1570652960678</t>
  </si>
  <si>
    <t>-LqmC_G_U7kuU6ASBYI4</t>
  </si>
  <si>
    <t>1570652966837</t>
  </si>
  <si>
    <t>-LqmCalqqMeiWVMn9djd</t>
  </si>
  <si>
    <t>1570652972997</t>
  </si>
  <si>
    <t>-LqmCcI6eCV64mpa3J79</t>
  </si>
  <si>
    <t>1570652979233</t>
  </si>
  <si>
    <t>-LqmCdnbEcUg5oNVYUDO</t>
  </si>
  <si>
    <t>1570652985399</t>
  </si>
  <si>
    <t>-LqmCfIKe9VIFDZ7chtV</t>
  </si>
  <si>
    <t>1570652991558</t>
  </si>
  <si>
    <t>-LqmCh0GFpICQ0e8q-Cz</t>
  </si>
  <si>
    <t>1570652997712</t>
  </si>
  <si>
    <t>-LqmCiZaHbz7L-YO7J0W</t>
  </si>
  <si>
    <t>1570653004983</t>
  </si>
  <si>
    <t>-LqmCk55wlBInZlO4a1p</t>
  </si>
  <si>
    <t>1570653011159</t>
  </si>
  <si>
    <t>-LqmClaLe3HQchr8pPC6</t>
  </si>
  <si>
    <t>1570653017347</t>
  </si>
  <si>
    <t>-LqmCn5bl13U_gQcjA5C</t>
  </si>
  <si>
    <t>1570653023479</t>
  </si>
  <si>
    <t>-LqmCoc0ZLtVZNPnC8-6</t>
  </si>
  <si>
    <t>1570653029718</t>
  </si>
  <si>
    <t>-LqmCq8Lx4Adkef9bx4m</t>
  </si>
  <si>
    <t>1570653035877</t>
  </si>
  <si>
    <t>-LqmCrcWcQwRzGjGTyRc</t>
  </si>
  <si>
    <t>1570653042037</t>
  </si>
  <si>
    <t>-LqmCt95BMgXrNYCkEyg</t>
  </si>
  <si>
    <t>1570653048193</t>
  </si>
  <si>
    <t>-LqmCun5msBxsBrOb6dk</t>
  </si>
  <si>
    <t>1570653054358</t>
  </si>
  <si>
    <t>-LqmCwk4tQA1PgPWJF4j</t>
  </si>
  <si>
    <t>1570653061638</t>
  </si>
  <si>
    <t>-LqmCyQbWq435vX7_-t-</t>
  </si>
  <si>
    <t>1570653069877</t>
  </si>
  <si>
    <t>-LqmCzvkHaZDqcsKeAcQ</t>
  </si>
  <si>
    <t>1570653076037</t>
  </si>
  <si>
    <t>-LqmD0R55w-7220OjfQ1</t>
  </si>
  <si>
    <t>1570653082198</t>
  </si>
  <si>
    <t>-LqmD1xandrheNXPxCQY</t>
  </si>
  <si>
    <t>1570653088437</t>
  </si>
  <si>
    <t>-LqmD3SpbUD2azDlb1Sp</t>
  </si>
  <si>
    <t>1570653094598</t>
  </si>
  <si>
    <t>-LqmD4wrdG7uL34LSWv8</t>
  </si>
  <si>
    <t>1570653100758</t>
  </si>
  <si>
    <t>-LqmD6TK8iixov7y3L-W</t>
  </si>
  <si>
    <t>1570653106923</t>
  </si>
  <si>
    <t>-LqmD7zkK5Wco9S9_Hb-</t>
  </si>
  <si>
    <t>1570653113159</t>
  </si>
  <si>
    <t>-LqmD9oD5hT7zeoT1kYg</t>
  </si>
  <si>
    <t>1570653120453</t>
  </si>
  <si>
    <t>-LqmDBVkGHGV-Iv7uuxS</t>
  </si>
  <si>
    <t>1570653127623</t>
  </si>
  <si>
    <t>-LqmDD16EQX3A1ICX2B3</t>
  </si>
  <si>
    <t>1570653133718</t>
  </si>
  <si>
    <t>-LqmDEWLNOIXtnKRHx8c</t>
  </si>
  <si>
    <t>1570653139955</t>
  </si>
  <si>
    <t>-LqmDG34p9LDQh1ZSXPQ</t>
  </si>
  <si>
    <t>1570653146072</t>
  </si>
  <si>
    <t>-LqmDHnL6dhZiPlvzjqL</t>
  </si>
  <si>
    <t>1570653153312</t>
  </si>
  <si>
    <t>-LqmDJJqDTq10tEEuCnv</t>
  </si>
  <si>
    <t>1570653159477</t>
  </si>
  <si>
    <t>-LqmDKnlxUrzeBmyPQRT</t>
  </si>
  <si>
    <t>1570653165637</t>
  </si>
  <si>
    <t>-LqmDMKL95dg3Ju4rUqf</t>
  </si>
  <si>
    <t>1570653171877</t>
  </si>
  <si>
    <t>-LqmDNpbvaYOpJ7qJ1Pt</t>
  </si>
  <si>
    <t>1570653178033</t>
  </si>
  <si>
    <t>-LqmDPKlpGd453N4Pj6Y</t>
  </si>
  <si>
    <t>1570653184198</t>
  </si>
  <si>
    <t>-LqmDQrLaORelTPY8Ur7</t>
  </si>
  <si>
    <t>1570653190437</t>
  </si>
  <si>
    <t>-LqmDSMa-i5isKor2xSF</t>
  </si>
  <si>
    <t>1570653196597</t>
  </si>
  <si>
    <t>-LqmDTrlN2z6sYI_9y9G</t>
  </si>
  <si>
    <t>1570653202758</t>
  </si>
  <si>
    <t>-LqmDVcLqSdGRWUt3KQJ</t>
  </si>
  <si>
    <t>1570653209958</t>
  </si>
  <si>
    <t>-LqmDX8q3GL825ZrSwlk</t>
  </si>
  <si>
    <t>1570653216198</t>
  </si>
  <si>
    <t>-LqmDYcq3HZoUozxf2Es</t>
  </si>
  <si>
    <t>1570653222320</t>
  </si>
  <si>
    <t>-LqmD_PLvBsXbw1yf-MC</t>
  </si>
  <si>
    <t>1570653229552</t>
  </si>
  <si>
    <t>-LqmDaupVOFm9a9WV82m</t>
  </si>
  <si>
    <t>1570653235718</t>
  </si>
  <si>
    <t>-LqmDcRLlLAJCILTL9Ey</t>
  </si>
  <si>
    <t>1570653241957</t>
  </si>
  <si>
    <t>-LqmDdwbSsqaHHs-2cEd</t>
  </si>
  <si>
    <t>1570653248119</t>
  </si>
  <si>
    <t>-LqmDfkaZ96oN1K6ui6Y</t>
  </si>
  <si>
    <t>1570653254278</t>
  </si>
  <si>
    <t>-LqmDhS_Oc8AZzdChv6l</t>
  </si>
  <si>
    <t>1570653262529</t>
  </si>
  <si>
    <t>-LqmDixqpi-p3KrASq1C</t>
  </si>
  <si>
    <t>1570653268683</t>
  </si>
  <si>
    <t>-LqmDkUOeFecENw9bZGO</t>
  </si>
  <si>
    <t>1570653274917</t>
  </si>
  <si>
    <t>-LqmDlz_CfjZF63ZZzVC</t>
  </si>
  <si>
    <t>1570653281079</t>
  </si>
  <si>
    <t>-LqmDnW4UR1G_-6DkAT0</t>
  </si>
  <si>
    <t>1570653287305</t>
  </si>
  <si>
    <t>-LqmDp--oodyNL_8jz_K</t>
  </si>
  <si>
    <t>1570653293397</t>
  </si>
  <si>
    <t>-LqmDqVL8tjVrzNVCJt8</t>
  </si>
  <si>
    <t>1570653299593</t>
  </si>
  <si>
    <t>-LqmDs0q1eOsCmOV0PvG</t>
  </si>
  <si>
    <t>1570653305798</t>
  </si>
  <si>
    <t>-LqmDtX4GQbWJWqRarJX</t>
  </si>
  <si>
    <t>1570653311958</t>
  </si>
  <si>
    <t>-LqmDv2_P0HPXGd9Umsy</t>
  </si>
  <si>
    <t>1570653318193</t>
  </si>
  <si>
    <t>-LqmDwYl7mSj6-bXqApy</t>
  </si>
  <si>
    <t>1570653324357</t>
  </si>
  <si>
    <t>-LqmDyb72YTbIO0WAVx_</t>
  </si>
  <si>
    <t>1570653331557</t>
  </si>
  <si>
    <t>-LqmE-K2K9B3SzHm2qqO</t>
  </si>
  <si>
    <t>1570653339800</t>
  </si>
  <si>
    <t>-LqmE0pLdVURxcC17HVG</t>
  </si>
  <si>
    <t>1570653345963</t>
  </si>
  <si>
    <t>-LqmE2LsvBPDH_InRG55</t>
  </si>
  <si>
    <t>1570653352198</t>
  </si>
  <si>
    <t>-LqmE3r62saAyedmn13w</t>
  </si>
  <si>
    <t>1570653358359</t>
  </si>
  <si>
    <t>-LqmE5MNJmrjjBSkxN93</t>
  </si>
  <si>
    <t>1570653364514</t>
  </si>
  <si>
    <t>-LqmE6wOF8oYyc-SmK3e</t>
  </si>
  <si>
    <t>1570653370961</t>
  </si>
  <si>
    <t>-LqmE8dMHj5ytEA0dudJ</t>
  </si>
  <si>
    <t>1570653377954</t>
  </si>
  <si>
    <t>-LqmEA9qYRjV6ohT4Z4j</t>
  </si>
  <si>
    <t>1570653384120</t>
  </si>
  <si>
    <t>-LqmEBu6e_SVF7Jeutxk</t>
  </si>
  <si>
    <t>1570653391319</t>
  </si>
  <si>
    <t>-LqmEDPO_1gcPzSxqBQA</t>
  </si>
  <si>
    <t>1570653397480</t>
  </si>
  <si>
    <t>-LqmEEvlfET-WVGBlrjS</t>
  </si>
  <si>
    <t>1570653403720</t>
  </si>
  <si>
    <t>-LqmEGR5jL99d1WHIIAS</t>
  </si>
  <si>
    <t>1570653409880</t>
  </si>
  <si>
    <t>-LqmEHwSHmR3cYWJ7_G4</t>
  </si>
  <si>
    <t>1570653416040</t>
  </si>
  <si>
    <t>-LqmEJZPlwrIOWeghU1M</t>
  </si>
  <si>
    <t>1570653422203</t>
  </si>
  <si>
    <t>-LqmELDNoxjL3TxLwtg6</t>
  </si>
  <si>
    <t>1570653429480</t>
  </si>
  <si>
    <t>-LqmEMic-_89umjajmN8</t>
  </si>
  <si>
    <t>1570653435633</t>
  </si>
  <si>
    <t>-LqmEODwFHZteg1eRVRc</t>
  </si>
  <si>
    <t>1570653441799</t>
  </si>
  <si>
    <t>-LqmEPj77PMjlvf34Lqw</t>
  </si>
  <si>
    <t>1570653447959</t>
  </si>
  <si>
    <t>-LqmERFbV9TXThwizu5L</t>
  </si>
  <si>
    <t>1570653454201</t>
  </si>
  <si>
    <t>-LqmESkqswKaVWf0YX0b</t>
  </si>
  <si>
    <t>1570653460353</t>
  </si>
  <si>
    <t>-LqmEUG74dfv3-IJjVaf</t>
  </si>
  <si>
    <t>1570653466519</t>
  </si>
  <si>
    <t>-LqmEVmbJ7QfYd_hyH7I</t>
  </si>
  <si>
    <t>1570653472754</t>
  </si>
  <si>
    <t>-LqmEXGbthwbak5rtHgy</t>
  </si>
  <si>
    <t>1570653478840</t>
  </si>
  <si>
    <t>-LqmEYnCTkr8BD2fXFOz</t>
  </si>
  <si>
    <t>1570653485083</t>
  </si>
  <si>
    <t>-LqmE_H6qTpRVeBZnj--</t>
  </si>
  <si>
    <t>1570653491228</t>
  </si>
  <si>
    <t>-LqmEanb0Qjv3nuOUCWs</t>
  </si>
  <si>
    <t>1570653497400</t>
  </si>
  <si>
    <t>-LqmEcLMsE296Sm0wGok</t>
  </si>
  <si>
    <t>1570653503638</t>
  </si>
  <si>
    <t>-LqmEe4cC60fy9qHIPW4</t>
  </si>
  <si>
    <t>1570653510834</t>
  </si>
  <si>
    <t>-LqmEf_suG1EDRO3Wsg4</t>
  </si>
  <si>
    <t>1570653516998</t>
  </si>
  <si>
    <t>-LqmEh7bUyw4bBIEY_Jq</t>
  </si>
  <si>
    <t>1570653523239</t>
  </si>
  <si>
    <t>-LqmEirlXNEqv8jaQxTt</t>
  </si>
  <si>
    <t>1570653530438</t>
  </si>
  <si>
    <t>-LqmEkN7-UAYxIByZt0-</t>
  </si>
  <si>
    <t>1570653536595</t>
  </si>
  <si>
    <t>-LqmEmIp-qWKlZnVSTIo</t>
  </si>
  <si>
    <t>1570653542758</t>
  </si>
  <si>
    <t>-LqmEnt50zvUPARldsEk</t>
  </si>
  <si>
    <t>1570653550998</t>
  </si>
  <si>
    <t>-LqmEpP_dAZavzC0Hzng</t>
  </si>
  <si>
    <t>1570653557232</t>
  </si>
  <si>
    <t>-LqmEqxKrX7mON8d0_O6</t>
  </si>
  <si>
    <t>1570653563398</t>
  </si>
  <si>
    <t>-LqmEsvXFcNo1RFTSDPw</t>
  </si>
  <si>
    <t>1570653571640</t>
  </si>
  <si>
    <t>-LqmEuQntQBR0yrTH536</t>
  </si>
  <si>
    <t>1570653577801</t>
  </si>
  <si>
    <t>-LqmEvw4fNWxw3mRCgiZ</t>
  </si>
  <si>
    <t>1570653583957</t>
  </si>
  <si>
    <t>-LqmExSc1LXA4gkaVlgN</t>
  </si>
  <si>
    <t>1570653590199</t>
  </si>
  <si>
    <t>-LqmEyxljx6b2oxxMww8</t>
  </si>
  <si>
    <t>1570653596357</t>
  </si>
  <si>
    <t>-LqmF-T52ppoGvjwnV2L</t>
  </si>
  <si>
    <t>1570653602517</t>
  </si>
  <si>
    <t>-LqmF0yLmNMZTnCQ1sOI</t>
  </si>
  <si>
    <t>1570653608743</t>
  </si>
  <si>
    <t>-LqmF2UlCCTGx7ZR71wF</t>
  </si>
  <si>
    <t>1570653614914</t>
  </si>
  <si>
    <t>-LqmF4-0SXsoU1uI5kF_</t>
  </si>
  <si>
    <t>1570653621078</t>
  </si>
  <si>
    <t>-LqmF5VMkFjYChPZf8mM</t>
  </si>
  <si>
    <t>1570653627240</t>
  </si>
  <si>
    <t>-LqmF70qvRUBN29w2jEQ</t>
  </si>
  <si>
    <t>1570653633478</t>
  </si>
  <si>
    <t>-LqmF8X5wJzEopgP8VoI</t>
  </si>
  <si>
    <t>1570653639637</t>
  </si>
  <si>
    <t>-LqmFA1KBrS1gsjICung</t>
  </si>
  <si>
    <t>1570653645797</t>
  </si>
  <si>
    <t>-LqmFBX_n8blWSDoZ44b</t>
  </si>
  <si>
    <t>1570653651962</t>
  </si>
  <si>
    <t>-LqmFD4Kj_GGcNo0f6Ip</t>
  </si>
  <si>
    <t>1570653658199</t>
  </si>
  <si>
    <t>-LqmFEZLUgZK8ABY6VsR</t>
  </si>
  <si>
    <t>1570653664354</t>
  </si>
  <si>
    <t>-LqmFG3abU_x6TyPJxjP</t>
  </si>
  <si>
    <t>1570653670528</t>
  </si>
  <si>
    <t>-LqmFHa6MM9VHyAmLniC</t>
  </si>
  <si>
    <t>1570653676759</t>
  </si>
  <si>
    <t>-LqmFJRr0jFRluliVJhN</t>
  </si>
  <si>
    <t>1570653684357</t>
  </si>
  <si>
    <t>-LqmFL66MruavWIcyvuW</t>
  </si>
  <si>
    <t>1570653691157</t>
  </si>
  <si>
    <t>-LqmFMbM8qZo9je-6Rp_</t>
  </si>
  <si>
    <t>1570653697321</t>
  </si>
  <si>
    <t>-LqmFO6a-2ntJanWVmrs</t>
  </si>
  <si>
    <t>1570653703485</t>
  </si>
  <si>
    <t>-LqmFPdAi_-pv2ijlp0B</t>
  </si>
  <si>
    <t>1570653709712</t>
  </si>
  <si>
    <t>-LqmFR8KF85NdRGsUx_B</t>
  </si>
  <si>
    <t>1570653715877</t>
  </si>
  <si>
    <t>-LqmFSd_elUqql-AyyF-</t>
  </si>
  <si>
    <t>1570653722043</t>
  </si>
  <si>
    <t>-LqmFU8qarmdA9ifCpcb</t>
  </si>
  <si>
    <t>1570653728204</t>
  </si>
  <si>
    <t>-LqmFW75UcNTAf-nSDUl</t>
  </si>
  <si>
    <t>1570653734616</t>
  </si>
  <si>
    <t>-LqmFXg6IfVi7k0YXkli</t>
  </si>
  <si>
    <t>1570653742672</t>
  </si>
  <si>
    <t>-LqmFZBKMNT5QE0fK3rH</t>
  </si>
  <si>
    <t>1570653748838</t>
  </si>
  <si>
    <t>-LqmF_hpVmtoWoaOYX-F</t>
  </si>
  <si>
    <t>1570653754998</t>
  </si>
  <si>
    <t>-LqmFbUfCT1TyybKRw5I</t>
  </si>
  <si>
    <t>1570653762293</t>
  </si>
  <si>
    <t>-LqmFdDqxQvfJ-gsv295</t>
  </si>
  <si>
    <t>1570653769480</t>
  </si>
  <si>
    <t>-LqmFej57BSEIbnnUqkQ</t>
  </si>
  <si>
    <t>1570653775640</t>
  </si>
  <si>
    <t>-LqmFgEMS1RIT9OT_wDu</t>
  </si>
  <si>
    <t>1570653781802</t>
  </si>
  <si>
    <t>-LqmFhjcijQ0ppKmEjLR</t>
  </si>
  <si>
    <t>1570653787966</t>
  </si>
  <si>
    <t>-LqmFjG5aKUV3bE_purG</t>
  </si>
  <si>
    <t>1570653794200</t>
  </si>
  <si>
    <t>-LqmFkmWeH2D53Unmbe6</t>
  </si>
  <si>
    <t>1570653800359</t>
  </si>
  <si>
    <t>-LqmFmWqMlHcY21iy9T2</t>
  </si>
  <si>
    <t>1570653807559</t>
  </si>
  <si>
    <t>-LqmFo16Xfsm1rF62yJZ</t>
  </si>
  <si>
    <t>1570653813779</t>
  </si>
  <si>
    <t>-LqmFpYb2JNDwTfsvJ5B</t>
  </si>
  <si>
    <t>1570653819963</t>
  </si>
  <si>
    <t>-LqmFr2lc_zDWhJe3R4G</t>
  </si>
  <si>
    <t>1570653826119</t>
  </si>
  <si>
    <t>-LqmFseMGR7asPD8VG2G</t>
  </si>
  <si>
    <t>1570653832718</t>
  </si>
  <si>
    <t>-LqmFuJaEH7tvxL9_q3M</t>
  </si>
  <si>
    <t>1570653839483</t>
  </si>
  <si>
    <t>-LqmFvoqLdE8rYcT9ajI</t>
  </si>
  <si>
    <t>1570653845663</t>
  </si>
  <si>
    <t>-LqmFxLNl8flBg1_-yC4</t>
  </si>
  <si>
    <t>1570653851874</t>
  </si>
  <si>
    <t>-LqmFyqbggy0bIhcxRV6</t>
  </si>
  <si>
    <t>1570653858040</t>
  </si>
  <si>
    <t>-LqmG-N6UMlTnud6gLSF</t>
  </si>
  <si>
    <t>1570653864279</t>
  </si>
  <si>
    <t>-LqmG0sMBLXViqVkb8cI</t>
  </si>
  <si>
    <t>1570653870440</t>
  </si>
  <si>
    <t>-LqmG2Nacb38YjeHWPtQ</t>
  </si>
  <si>
    <t>1570653876599</t>
  </si>
  <si>
    <t>-LqmG3sqkWPji1YmKLEx</t>
  </si>
  <si>
    <t>1570653882764</t>
  </si>
  <si>
    <t>-LqmG5PMAUmR3EpBfE-x</t>
  </si>
  <si>
    <t>1570653888998</t>
  </si>
  <si>
    <t>-LqmG6zVNluhWmdD_-jL</t>
  </si>
  <si>
    <t>1570653895153</t>
  </si>
  <si>
    <t>-LqmG8f51_uExXadhnL2</t>
  </si>
  <si>
    <t>1570653902362</t>
  </si>
  <si>
    <t>-LqmGAAP4SxM80DKqgDK</t>
  </si>
  <si>
    <t>1570653908519</t>
  </si>
  <si>
    <t>-LqmGBfc1dgLvijyrn6z</t>
  </si>
  <si>
    <t>1570653914699</t>
  </si>
  <si>
    <t>-LqmGDC1nfW3X0vA_dGb</t>
  </si>
  <si>
    <t>1570653920920</t>
  </si>
  <si>
    <t>-LqmGEuM4KLBmUPB9Mas</t>
  </si>
  <si>
    <t>1570653927079</t>
  </si>
  <si>
    <t>-LqmGGSqtYVu-iTgG3N7</t>
  </si>
  <si>
    <t>1570653934278</t>
  </si>
  <si>
    <t>-LqmGHzMDBqkZk0Aa31r</t>
  </si>
  <si>
    <t>1570653940519</t>
  </si>
  <si>
    <t>-LqmGJUbm4uubl0oO_-V</t>
  </si>
  <si>
    <t>1570653946679</t>
  </si>
  <si>
    <t>-LqmGKzluIA1m4b103Bn</t>
  </si>
  <si>
    <t>1570653952839</t>
  </si>
  <si>
    <t>-LqmGMkNyQ3JrYKQtywd</t>
  </si>
  <si>
    <t>1570653960038</t>
  </si>
  <si>
    <t>-LqmGOGq8pVmZMJQNr0f</t>
  </si>
  <si>
    <t>1570653966279</t>
  </si>
  <si>
    <t>-LqmGQ1KfddwMToAd7lV</t>
  </si>
  <si>
    <t>1570653972399</t>
  </si>
  <si>
    <t>-LqmGRWKtFL56N3Z9AqM</t>
  </si>
  <si>
    <t>1570653979634</t>
  </si>
  <si>
    <t>-LqmGT1pAaTYK3ER6V4u</t>
  </si>
  <si>
    <t>1570653985799</t>
  </si>
  <si>
    <t>-LqmGUZM6_5xTkRt2QSd</t>
  </si>
  <si>
    <t>1570653992038</t>
  </si>
  <si>
    <t>-LqmGW3aiCgQT40ej4WZ</t>
  </si>
  <si>
    <t>1570653998197</t>
  </si>
  <si>
    <t>-LqmGXZqCdVxy7hRWL7F</t>
  </si>
  <si>
    <t>1570654004358</t>
  </si>
  <si>
    <t>-LqmGZ458b5sar6-1ELc</t>
  </si>
  <si>
    <t>1570654010527</t>
  </si>
  <si>
    <t>-LqmG_tM2P8NqMgM-xlb</t>
  </si>
  <si>
    <t>1570654018017</t>
  </si>
  <si>
    <t>-LqmGbbKOD4bhaS3XPQn</t>
  </si>
  <si>
    <t>1570654024998</t>
  </si>
  <si>
    <t>-LqmGdHq0f-PGop3ga-6</t>
  </si>
  <si>
    <t>1570654031920</t>
  </si>
  <si>
    <t>-LqmGerqn2SIr3HgpTLw</t>
  </si>
  <si>
    <t>1570654038359</t>
  </si>
  <si>
    <t>-LqmGgNKm-9bs-RjqnrH</t>
  </si>
  <si>
    <t>1570654044527</t>
  </si>
  <si>
    <t>-LqmGhtrpRFjXWfD8r2d</t>
  </si>
  <si>
    <t>1570654050757</t>
  </si>
  <si>
    <t>-LqmGjoKkG4uzR4YPbF5</t>
  </si>
  <si>
    <t>1570654056917</t>
  </si>
  <si>
    <t>-LqmGlPpNw-H8zgUvyyj</t>
  </si>
  <si>
    <t>1570654065157</t>
  </si>
  <si>
    <t>-LqmGmv5LKiwNZuoaZwa</t>
  </si>
  <si>
    <t>1570654071319</t>
  </si>
  <si>
    <t>-LqmGoQG5WsJiA2BrNW7</t>
  </si>
  <si>
    <t>1570654077499</t>
  </si>
  <si>
    <t>-LqmGpwksBq6D1Ge56vu</t>
  </si>
  <si>
    <t>1570654083726</t>
  </si>
  <si>
    <t>-LqmGrS5C5foOZH7khxG</t>
  </si>
  <si>
    <t>1570654089879</t>
  </si>
  <si>
    <t>-LqmGsxM4EygYnwZpl-x</t>
  </si>
  <si>
    <t>1570654096049</t>
  </si>
  <si>
    <t>-LqmGubVUuob9uLXy4l8</t>
  </si>
  <si>
    <t>1570654102848</t>
  </si>
  <si>
    <t>-LqmGwEK1Au0sz-USE8s</t>
  </si>
  <si>
    <t>1570654109478</t>
  </si>
  <si>
    <t>-LqmGxjNGyL5rVgoEN3x</t>
  </si>
  <si>
    <t>1570654115639</t>
  </si>
  <si>
    <t>-LqmGzElGZPwYpW5nLoE</t>
  </si>
  <si>
    <t>1570654121808</t>
  </si>
  <si>
    <t>-LqmH-lLvNooBqJ1wr-r</t>
  </si>
  <si>
    <t>1570654128037</t>
  </si>
  <si>
    <t>-LqmH1Wr8uQ9Q5Xu3e7d</t>
  </si>
  <si>
    <t>1570654135238</t>
  </si>
  <si>
    <t>-LqmH314MdfRrdlARF9Z</t>
  </si>
  <si>
    <t>1570654141399</t>
  </si>
  <si>
    <t>-LqmH4YabWRZRMNiZqma</t>
  </si>
  <si>
    <t>1570654147624</t>
  </si>
  <si>
    <t>-LqmH61_iWTNbUy0owOx</t>
  </si>
  <si>
    <t>1570654153722</t>
  </si>
  <si>
    <t>-LqmH7YrcEumMFuRLm2i</t>
  </si>
  <si>
    <t>1570654159958</t>
  </si>
  <si>
    <t>-LqmH9NLtcsnqhJaPlxX</t>
  </si>
  <si>
    <t>1570654166119</t>
  </si>
  <si>
    <t>-LqmHB45r03X9rXYPFdL</t>
  </si>
  <si>
    <t>1570654174359</t>
  </si>
  <si>
    <t>-LqmHC_L7lPNdFYK7QnS</t>
  </si>
  <si>
    <t>1570654180538</t>
  </si>
  <si>
    <t>-LqmHENz-cdWQnVSGO-c</t>
  </si>
  <si>
    <t>1570654186757</t>
  </si>
  <si>
    <t>-LqmHG6bb1tD-QpoW1Ne</t>
  </si>
  <si>
    <t>1570654194995</t>
  </si>
  <si>
    <t>-LqmHHn60T66u1ivsA89</t>
  </si>
  <si>
    <t>1570654201159</t>
  </si>
  <si>
    <t>-LqmHJNOQswVVO7bnOiF</t>
  </si>
  <si>
    <t>1570654208361</t>
  </si>
  <si>
    <t>-LqmHKtszcMGmdkm-7ak</t>
  </si>
  <si>
    <t>1570654214601</t>
  </si>
  <si>
    <t>-LqmHMP6RGtpF4u56Z8B</t>
  </si>
  <si>
    <t>1570654220758</t>
  </si>
  <si>
    <t>-LqmHNuLy7E0TDx8UMtF</t>
  </si>
  <si>
    <t>1570654226918</t>
  </si>
  <si>
    <t>-LqmHPORKuzXRLcaPeoB</t>
  </si>
  <si>
    <t>1570654233083</t>
  </si>
  <si>
    <t>-LqmHQw55IAZnRGQ2xLX</t>
  </si>
  <si>
    <t>1570654239318</t>
  </si>
  <si>
    <t>-LqmHSRNnWqykCYzKrwf</t>
  </si>
  <si>
    <t>1570654245478</t>
  </si>
  <si>
    <t>-LqmHTwYkYYVvobeJ_mF</t>
  </si>
  <si>
    <t>1570654251640</t>
  </si>
  <si>
    <t>-LqmHVRry5i28PuyLKMj</t>
  </si>
  <si>
    <t>1570654257863</t>
  </si>
  <si>
    <t>-LqmHWyMFhpcC2nBUk7n</t>
  </si>
  <si>
    <t>1570654264039</t>
  </si>
  <si>
    <t>-LqmHYTc2lMSmJqAIvIO</t>
  </si>
  <si>
    <t>1570654270194</t>
  </si>
  <si>
    <t>-LqmHZyq_u-C3aj8JR5d</t>
  </si>
  <si>
    <t>1570654276365</t>
  </si>
  <si>
    <t>-LqmHaVML93b2VcN2fbu</t>
  </si>
  <si>
    <t>1570654282600</t>
  </si>
  <si>
    <t>-LqmHc-b5vkJKTffR0Nr</t>
  </si>
  <si>
    <t>1570654288759</t>
  </si>
  <si>
    <t>-LqmHdVshP7YoHd1dZJ_</t>
  </si>
  <si>
    <t>1570654294919</t>
  </si>
  <si>
    <t>-LqmHf07PV3i-DRT4WwM</t>
  </si>
  <si>
    <t>1570654301085</t>
  </si>
  <si>
    <t>-LqmHgXcv841JCeOUgyR</t>
  </si>
  <si>
    <t>1570654307314</t>
  </si>
  <si>
    <t>-LqmHi1r2ZLm5_yBSXXL</t>
  </si>
  <si>
    <t>1570654313479</t>
  </si>
  <si>
    <t>-LqmHjY6464VEAzJwwVm</t>
  </si>
  <si>
    <t>1570654319639</t>
  </si>
  <si>
    <t>-LqmHl3OSoT6n_Z3KTGU</t>
  </si>
  <si>
    <t>1570654325875</t>
  </si>
  <si>
    <t>-LqmHmZr3zKgyHORj6w6</t>
  </si>
  <si>
    <t>1570654332038</t>
  </si>
  <si>
    <t>-LqmHo46nGJxYSrZTNuP</t>
  </si>
  <si>
    <t>1570654338200</t>
  </si>
  <si>
    <t>-LqmHpaco-EnSnGuNbRn</t>
  </si>
  <si>
    <t>1570654344435</t>
  </si>
  <si>
    <t>-LqmHr4bYDPu2iv_X0I9</t>
  </si>
  <si>
    <t>1570654350520</t>
  </si>
  <si>
    <t>-LqmHsb59wfnVBNAJeo_</t>
  </si>
  <si>
    <t>1570654356759</t>
  </si>
  <si>
    <t>-LqmHu6Na2VUio_NtzvP</t>
  </si>
  <si>
    <t>1570654362919</t>
  </si>
  <si>
    <t>-LqmHvbcINO5HWcFJ2B8</t>
  </si>
  <si>
    <t>1570654369086</t>
  </si>
  <si>
    <t>-LqmHx86Fsi2V9f7oJxQ</t>
  </si>
  <si>
    <t>1570654375313</t>
  </si>
  <si>
    <t>-LqmHydMUvp0IsqBzNq2</t>
  </si>
  <si>
    <t>1570654381473</t>
  </si>
  <si>
    <t>-LqmI-TqBiOPw3T1PZ2_</t>
  </si>
  <si>
    <t>1570654387638</t>
  </si>
  <si>
    <t>-LqmI1GSErNnVs63T0dJ</t>
  </si>
  <si>
    <t>1570654395878</t>
  </si>
  <si>
    <t>-LqmI3CaxoRXHjovvVFQ</t>
  </si>
  <si>
    <t>1570654404297</t>
  </si>
  <si>
    <t>-LqmI4vaUgeb769dxn6Y</t>
  </si>
  <si>
    <t>1570654411328</t>
  </si>
  <si>
    <t>-LqmI6TKFdM8lfq7oFI4</t>
  </si>
  <si>
    <t>1570654417557</t>
  </si>
  <si>
    <t>-LqmI8C_cgS4aBElutHK</t>
  </si>
  <si>
    <t>1570654424758</t>
  </si>
  <si>
    <t>-LqmI9hrqYhsWsaRajRK</t>
  </si>
  <si>
    <t>1570654430917</t>
  </si>
  <si>
    <t>-LqmIBD5b7abmDf4sye4</t>
  </si>
  <si>
    <t>1570654437088</t>
  </si>
  <si>
    <t>-LqmICiL9IvTcgYGeXEt</t>
  </si>
  <si>
    <t>1570654443260</t>
  </si>
  <si>
    <t>-LqmIED_aSDtKnV-0zBf</t>
  </si>
  <si>
    <t>1570654449478</t>
  </si>
  <si>
    <t>-LqmIFiqEwLbOE_kzLBD</t>
  </si>
  <si>
    <t>1570654455624</t>
  </si>
  <si>
    <t>-LqmIHG_vlEnf0jUa7qa</t>
  </si>
  <si>
    <t>1570654461878</t>
  </si>
  <si>
    <t>-LqmIIlqG8M7dTYAPi_S</t>
  </si>
  <si>
    <t>1570654468040</t>
  </si>
  <si>
    <t>-LqmIKHEXN6BLF45QiHO</t>
  </si>
  <si>
    <t>1570654474197</t>
  </si>
  <si>
    <t>-LqmILmHYV2GlrdonER9</t>
  </si>
  <si>
    <t>1570654480352</t>
  </si>
  <si>
    <t>-LqmINL5y_I_Bsb8uc-e</t>
  </si>
  <si>
    <t>1570654486676</t>
  </si>
  <si>
    <t>-LqmIP4Lc571MR5Xns_8</t>
  </si>
  <si>
    <t>1570654493798</t>
  </si>
  <si>
    <t>-LqmIQv45KEGhTaNfsgB</t>
  </si>
  <si>
    <t>1570654499958</t>
  </si>
  <si>
    <t>-LqmIS_LCU771N4xdcE5</t>
  </si>
  <si>
    <t>1570654508197</t>
  </si>
  <si>
    <t>-LqmIU4ay7Q3BjsdM4wD</t>
  </si>
  <si>
    <t>1570654514362</t>
  </si>
  <si>
    <t>-LqmIVb4Mjospza66cA-</t>
  </si>
  <si>
    <t>1570654520598</t>
  </si>
  <si>
    <t>-LqmIX6LYCwY_-WadEjY</t>
  </si>
  <si>
    <t>1570654526757</t>
  </si>
  <si>
    <t>-LqmIYbesruTJrJ1lPOL</t>
  </si>
  <si>
    <t>1570654532918</t>
  </si>
  <si>
    <t>-LqmI_9MLF9fJ5cmgnEK</t>
  </si>
  <si>
    <t>1570654539145</t>
  </si>
  <si>
    <t>-LqmIata6twruPurQkOY</t>
  </si>
  <si>
    <t>1570654546357</t>
  </si>
  <si>
    <t>-LqmIcOq18AcWQAmIOcD</t>
  </si>
  <si>
    <t>1570654552519</t>
  </si>
  <si>
    <t>-LqmIdu4rFjeIlb6a-1D</t>
  </si>
  <si>
    <t>1570654558674</t>
  </si>
  <si>
    <t>-LqmIfT0KxWCdOceHn9L</t>
  </si>
  <si>
    <t>1570654564956</t>
  </si>
  <si>
    <t>-LqmIhB6xahOk-Z2TruY</t>
  </si>
  <si>
    <t>1570654572112</t>
  </si>
  <si>
    <t>-LqmIigLWNg_4FtfjoKS</t>
  </si>
  <si>
    <t>1570654578277</t>
  </si>
  <si>
    <t>-LqmIkBaTwd_bYryYNh1</t>
  </si>
  <si>
    <t>1570654584438</t>
  </si>
  <si>
    <t>-LqmIlgqn8SnBZjIVcGa</t>
  </si>
  <si>
    <t>1570654590663</t>
  </si>
  <si>
    <t>-LqmInDLBHw2wtvI5i8m</t>
  </si>
  <si>
    <t>1570654596838</t>
  </si>
  <si>
    <t>-LqmIoi_whvwOsCpk9ZF</t>
  </si>
  <si>
    <t>1570654602992</t>
  </si>
  <si>
    <t>-LqmIq_LbiUEUN7zOAaO</t>
  </si>
  <si>
    <t>1570654609157</t>
  </si>
  <si>
    <t>-LqmIsW4EOMdM7h4Gt7t</t>
  </si>
  <si>
    <t>1570654617397</t>
  </si>
  <si>
    <t>-LqmIuFL813Q-seLyUjr</t>
  </si>
  <si>
    <t>1570654625637</t>
  </si>
  <si>
    <t>-LqmIvn5pjwCc3YpWeEC</t>
  </si>
  <si>
    <t>1570654631877</t>
  </si>
  <si>
    <t>-LqmIxXL2KkLeVvMQk7B</t>
  </si>
  <si>
    <t>1570654639076</t>
  </si>
  <si>
    <t>-LqmIz1aPA2cdxWUVV7b</t>
  </si>
  <si>
    <t>1570654645233</t>
  </si>
  <si>
    <t>-LqmJ-Xoi5lxOjO_cOzP</t>
  </si>
  <si>
    <t>1570654651397</t>
  </si>
  <si>
    <t>-LqmJ13JfyqwBoQiJI6k</t>
  </si>
  <si>
    <t>1570654657638</t>
  </si>
  <si>
    <t>-LqmJ2opGRql7gxWqvmt</t>
  </si>
  <si>
    <t>1570654664833</t>
  </si>
  <si>
    <t>-LqmJ4IhtVhf2JR4PjTs</t>
  </si>
  <si>
    <t>1570654670982</t>
  </si>
  <si>
    <t>-LqmJ5pK0WWT4V1KAVGW</t>
  </si>
  <si>
    <t>1570654677155</t>
  </si>
  <si>
    <t>-LqmJ7LpgKJWHuxNWufl</t>
  </si>
  <si>
    <t>1570654683397</t>
  </si>
  <si>
    <t>-LqmJ8r4Clnl8gn1GQPe</t>
  </si>
  <si>
    <t>1570654689558</t>
  </si>
  <si>
    <t>-LqmJAL5QTSwrqCaCRva</t>
  </si>
  <si>
    <t>1570654695718</t>
  </si>
  <si>
    <t>-LqmJBsaKzc7n6ArYdXy</t>
  </si>
  <si>
    <t>1570654701883</t>
  </si>
  <si>
    <t>-LqmJDLVmBtxF4tvH2dg</t>
  </si>
  <si>
    <t>1570654708042</t>
  </si>
  <si>
    <t>-LqmJEuad88121n0dXud</t>
  </si>
  <si>
    <t>1570654714277</t>
  </si>
  <si>
    <t>-LqmJHBaIWuv7E5xNdnD</t>
  </si>
  <si>
    <t>1570654721477</t>
  </si>
  <si>
    <t>-LqmJIubE6iR1tTa7QBb</t>
  </si>
  <si>
    <t>1570654730764</t>
  </si>
  <si>
    <t>-LqmJKQ5kYzy-OQCObKZ</t>
  </si>
  <si>
    <t>1570654736917</t>
  </si>
  <si>
    <t>-LqmJLwaHLp2pu1ihw6J</t>
  </si>
  <si>
    <t>1570654743077</t>
  </si>
  <si>
    <t>-LqmJNQ_sTbkuH2UMTIh</t>
  </si>
  <si>
    <t>1570654749317</t>
  </si>
  <si>
    <t>-LqmJOx5CQ7GMVf17kce</t>
  </si>
  <si>
    <t>1570654755478</t>
  </si>
  <si>
    <t>-LqmJQUkxOGjGIot3miJ</t>
  </si>
  <si>
    <t>1570654761637</t>
  </si>
  <si>
    <t>-LqmJSDDB7olAC1PCs0y</t>
  </si>
  <si>
    <t>1570654768903</t>
  </si>
  <si>
    <t>-LqmJTyL4MpUzPcw0rIT</t>
  </si>
  <si>
    <t>1570654776034</t>
  </si>
  <si>
    <t>-LqmJVUl6a5nTr0w_G6k</t>
  </si>
  <si>
    <t>1570654782278</t>
  </si>
  <si>
    <t>-LqmJX-4dx4y-AzG54i_</t>
  </si>
  <si>
    <t>1570654788438</t>
  </si>
  <si>
    <t>-LqmJYVKT-2coRRJZ29k</t>
  </si>
  <si>
    <t>1570654794662</t>
  </si>
  <si>
    <t>-LqmJ_0qenMFeus_CR7b</t>
  </si>
  <si>
    <t>1570654800838</t>
  </si>
  <si>
    <t>-LqmJaX55AAIS8IstO32</t>
  </si>
  <si>
    <t>1570654806998</t>
  </si>
  <si>
    <t>-LqmJc1KHw8_RHtg1-AR</t>
  </si>
  <si>
    <t>1570654813157</t>
  </si>
  <si>
    <t>-LqmJdYlwp9TKyystnNy</t>
  </si>
  <si>
    <t>1570654819398</t>
  </si>
  <si>
    <t>-LqmJf35H8SXN_HeLLjY</t>
  </si>
  <si>
    <t>1570654825558</t>
  </si>
  <si>
    <t>-LqmJgq3A94cHn0CKa7Q</t>
  </si>
  <si>
    <t>1570654831720</t>
  </si>
  <si>
    <t>-LqmJipOoosoZ7vz8oys</t>
  </si>
  <si>
    <t>1570654839959</t>
  </si>
  <si>
    <t>-LqmJkKbJV96OKJ8sMTG</t>
  </si>
  <si>
    <t>1570654847158</t>
  </si>
  <si>
    <t>-LqmJlr568I89XVjn5hO</t>
  </si>
  <si>
    <t>1570654853397</t>
  </si>
  <si>
    <t>-LqmJnM7odUheXohM1fd</t>
  </si>
  <si>
    <t>1570654859552</t>
  </si>
  <si>
    <t>-LqmJorb-1-fCKlN4OzH</t>
  </si>
  <si>
    <t>1570654865717</t>
  </si>
  <si>
    <t>-LqmJqMma9nCtmgT3w3c</t>
  </si>
  <si>
    <t>1570654871882</t>
  </si>
  <si>
    <t>-LqmJrtMWmw6RXT-ASDW</t>
  </si>
  <si>
    <t>1570654878118</t>
  </si>
  <si>
    <t>-LqmJtObsrIJotDllHrx</t>
  </si>
  <si>
    <t>1570654884279</t>
  </si>
  <si>
    <t>-LqmJutrfQ0AVG9tj_5n</t>
  </si>
  <si>
    <t>1570654890438</t>
  </si>
  <si>
    <t>-LqmJwP6d4hT_pO7QLN4</t>
  </si>
  <si>
    <t>1570654896662</t>
  </si>
  <si>
    <t>-LqmJyC5nPdUVAMg4YZX</t>
  </si>
  <si>
    <t>1570654903957</t>
  </si>
  <si>
    <t>-LqmJzwMnA4zBsAfJWiC</t>
  </si>
  <si>
    <t>1570654911077</t>
  </si>
  <si>
    <t>-LqmK0Rg1XMHWf1-oITr</t>
  </si>
  <si>
    <t>1570654917238</t>
  </si>
  <si>
    <t>-LqmK1wr1noQG3W1eVdf</t>
  </si>
  <si>
    <t>1570654923399</t>
  </si>
  <si>
    <t>-LqmK3TLddJZCTTLBPGY</t>
  </si>
  <si>
    <t>1570654929638</t>
  </si>
  <si>
    <t>-LqmK4zlxzvO7YUNw5hl</t>
  </si>
  <si>
    <t>1570654935794</t>
  </si>
  <si>
    <t>-LqmK79bNfmrdv4pkoVH</t>
  </si>
  <si>
    <t>1570654942999</t>
  </si>
  <si>
    <t>-LqmK8jn4QueLqHCCnRk</t>
  </si>
  <si>
    <t>1570654951238</t>
  </si>
  <si>
    <t>-LqmKAF1BBMeOB2FVKKT</t>
  </si>
  <si>
    <t>1570654957398</t>
  </si>
  <si>
    <t>-LqmKBlbf_eRZrKZdBaR</t>
  </si>
  <si>
    <t>1570654963639</t>
  </si>
  <si>
    <t>-LqmKDGppwDn-HakoNKo</t>
  </si>
  <si>
    <t>1570654969798</t>
  </si>
  <si>
    <t>-LqmKEm5PVONbBTQvij4</t>
  </si>
  <si>
    <t>1570654975958</t>
  </si>
  <si>
    <t>-LqmKGHKINGGsAD7ZK3I</t>
  </si>
  <si>
    <t>1570654982126</t>
  </si>
  <si>
    <t>-LqmKHpBmK_aR6japadO</t>
  </si>
  <si>
    <t>1570654988359</t>
  </si>
  <si>
    <t>-LqmKJZMjjOghvXkCpxV</t>
  </si>
  <si>
    <t>1570654995559</t>
  </si>
  <si>
    <t>-LqmKL3aKgoqrdrCc7tE</t>
  </si>
  <si>
    <t>1570655001719</t>
  </si>
  <si>
    <t>-LqmKMZrotKOF2gzHI5-</t>
  </si>
  <si>
    <t>1570655007879</t>
  </si>
  <si>
    <t>-LqmKO5MTufi77stLLfA</t>
  </si>
  <si>
    <t>1570655014119</t>
  </si>
  <si>
    <t>-LqmKPab3muOVagRhX11</t>
  </si>
  <si>
    <t>1570655020268</t>
  </si>
  <si>
    <t>-LqmKRd4P7XLK8z81_na</t>
  </si>
  <si>
    <t>1570655026437</t>
  </si>
  <si>
    <t>-LqmKTL_cmHYWofvBnN5</t>
  </si>
  <si>
    <t>1570655035718</t>
  </si>
  <si>
    <t>-LqmKUs6y_rBzt1tmEi4</t>
  </si>
  <si>
    <t>1570655041878</t>
  </si>
  <si>
    <t>-LqmKWObyvNogL-PSZhl</t>
  </si>
  <si>
    <t>1570655048118</t>
  </si>
  <si>
    <t>-LqmKbQinLy-RJ6n_pKF</t>
  </si>
  <si>
    <t>1570655072860</t>
  </si>
  <si>
    <t>-LqmKdA6IC07uUWxnbaz</t>
  </si>
  <si>
    <t>1570655079960</t>
  </si>
  <si>
    <t>-LqmKegcGQYqUh-QM56H</t>
  </si>
  <si>
    <t>1570655086184</t>
  </si>
  <si>
    <t>-LqmKgAcON7AOmlmi7pU</t>
  </si>
  <si>
    <t>1570655092296</t>
  </si>
  <si>
    <t>-LqmKhh7viJb_9io49Q3</t>
  </si>
  <si>
    <t>1570655098520</t>
  </si>
  <si>
    <t>-LqmKjB7UCdy0ALLhMS0</t>
  </si>
  <si>
    <t>1570655104686</t>
  </si>
  <si>
    <t>-LqmKkiqDlOOYJWuxiDu</t>
  </si>
  <si>
    <t>1570655110920</t>
  </si>
  <si>
    <t>-LqmKmE7H1fSZydGOGbx</t>
  </si>
  <si>
    <t>1570655117079</t>
  </si>
  <si>
    <t>-LqmKnjOskWHQueU7xgy</t>
  </si>
  <si>
    <t>1570655123240</t>
  </si>
  <si>
    <t>-LqmKpFcFiQE2qpt09dQ</t>
  </si>
  <si>
    <t>1570655129410</t>
  </si>
  <si>
    <t>-LqmKr0NYa7Mrbz9fMRY</t>
  </si>
  <si>
    <t>1570655136679</t>
  </si>
  <si>
    <t>-LqmKsWNCr2WFobKhS2F</t>
  </si>
  <si>
    <t>1570655142824</t>
  </si>
  <si>
    <t>-LqmKu0sV6M_EjvsKsBk</t>
  </si>
  <si>
    <t>1570655149002</t>
  </si>
  <si>
    <t>-LqmKvmNNGl89ddlEmtm</t>
  </si>
  <si>
    <t>1570655156200</t>
  </si>
  <si>
    <t>-LqmKxHcPf7L5a3Jmli9</t>
  </si>
  <si>
    <t>1570655162370</t>
  </si>
  <si>
    <t>-LqmKyo7fhy4k1WnSwXO</t>
  </si>
  <si>
    <t>1570655168611</t>
  </si>
  <si>
    <t>-LqmL-JNWglf9p_2ccqQ</t>
  </si>
  <si>
    <t>1570655174760</t>
  </si>
  <si>
    <t>-LqmL0oc9BJ1k3dOMOs1</t>
  </si>
  <si>
    <t>1570655180925</t>
  </si>
  <si>
    <t>-LqmL2L8BtOjZRnt_iEI</t>
  </si>
  <si>
    <t>1570655187160</t>
  </si>
  <si>
    <t>-LqmL3qIrRNzJHiNiRm_</t>
  </si>
  <si>
    <t>1570655193320</t>
  </si>
  <si>
    <t>-LqmL5LccrDKSe2L-Myh</t>
  </si>
  <si>
    <t>1570655199484</t>
  </si>
  <si>
    <t>-LqmL6qtU9-yXdz4B1D7</t>
  </si>
  <si>
    <t>1570655205645</t>
  </si>
  <si>
    <t>-LqmL8NN71FGqmKWraSW</t>
  </si>
  <si>
    <t>1570655211880</t>
  </si>
  <si>
    <t>-LqmL9rNYeJFOMSyUc-o</t>
  </si>
  <si>
    <t>1570655218034</t>
  </si>
  <si>
    <t>-LqmLBNr-bRECW-4mG1T</t>
  </si>
  <si>
    <t>1570655224264</t>
  </si>
  <si>
    <t>-LqmLCuNjKkKIoADUS03</t>
  </si>
  <si>
    <t>1570655230425</t>
  </si>
  <si>
    <t>-LqmLEOMl_vOZXK3sE4_</t>
  </si>
  <si>
    <t>1570655236521</t>
  </si>
  <si>
    <t>-LqmLFusNOTX8G31jJtS</t>
  </si>
  <si>
    <t>1570655242760</t>
  </si>
  <si>
    <t>-LqmLHQ6Tw8Sy-Nn4HoY</t>
  </si>
  <si>
    <t>1570655248915</t>
  </si>
  <si>
    <t>-LqmLIwOdsh3hrK6NmuO</t>
  </si>
  <si>
    <t>1570655255160</t>
  </si>
  <si>
    <t>-LqmLKRxftxjKsrpJtuM</t>
  </si>
  <si>
    <t>1570655261321</t>
  </si>
  <si>
    <t>-LqmLMG5kkJrV_dzzdNr</t>
  </si>
  <si>
    <t>1570655267480</t>
  </si>
  <si>
    <t>-LqmLNxrwrw2OBPoIZW7</t>
  </si>
  <si>
    <t>1570655275721</t>
  </si>
  <si>
    <t>-LqmLU2lozhEPPh3Jc_O</t>
  </si>
  <si>
    <t>1570655300693</t>
  </si>
  <si>
    <t>-LqmLVXqKlqQAXzjlSFt</t>
  </si>
  <si>
    <t>1570655306823</t>
  </si>
  <si>
    <t>-LqmLX25FoX6dDFfNZ--</t>
  </si>
  <si>
    <t>1570655312997</t>
  </si>
  <si>
    <t>-LqmLYZb8GFIGnekk-78</t>
  </si>
  <si>
    <t>1570655319158</t>
  </si>
  <si>
    <t>-LqmL_3pCJh8ylUN_4j2</t>
  </si>
  <si>
    <t>1570655325317</t>
  </si>
  <si>
    <t>-LqmLaaG4rdJpqi6GLe0</t>
  </si>
  <si>
    <t>1570655331557</t>
  </si>
  <si>
    <t>-LqmLc5a5MYU3R8GDr0G</t>
  </si>
  <si>
    <t>1570655337712</t>
  </si>
  <si>
    <t>-LqmLdapMdJAIarFBbaV</t>
  </si>
  <si>
    <t>1570655343878</t>
  </si>
  <si>
    <t>-LqmLf8W0tluQFU-xOYz</t>
  </si>
  <si>
    <t>1570655350097</t>
  </si>
  <si>
    <t>-LqmLgsqfMklJQo1tS4V</t>
  </si>
  <si>
    <t>1570655357317</t>
  </si>
  <si>
    <t>-LqmLipt-MsqkORCeJar</t>
  </si>
  <si>
    <t>1570655364518</t>
  </si>
  <si>
    <t>-LqmLkOqf_YjZ-xNDV2S</t>
  </si>
  <si>
    <t>1570655371713</t>
  </si>
  <si>
    <t>-LqmLlu6ivfewu_sZhbL</t>
  </si>
  <si>
    <t>1570655377878</t>
  </si>
  <si>
    <t>-LqmLnPPx0WQTqzuzdLU</t>
  </si>
  <si>
    <t>1570655384093</t>
  </si>
  <si>
    <t>-LqmLovalslJejIxHWjg</t>
  </si>
  <si>
    <t>1570655390278</t>
  </si>
  <si>
    <t>-LqmLqR5GSYGiVmAYH56</t>
  </si>
  <si>
    <t>1570655396439</t>
  </si>
  <si>
    <t>-LqmLrwLZ3JZEX7F9g43</t>
  </si>
  <si>
    <t>1570655402597</t>
  </si>
  <si>
    <t>-LqmLtSlLFI-LqYBaECb</t>
  </si>
  <si>
    <t>1570655408839</t>
  </si>
  <si>
    <t>-LqmLuy5Udqxq-LATQ4I</t>
  </si>
  <si>
    <t>1570655414993</t>
  </si>
  <si>
    <t>-LqmLwTLJyKBwqgrrCPC</t>
  </si>
  <si>
    <t>1570655421157</t>
  </si>
  <si>
    <t>-LqmLxy_AFDZ-t7AXlx8</t>
  </si>
  <si>
    <t>1570655427319</t>
  </si>
  <si>
    <t>-LqmLzWK2ppo6MpYUH8X</t>
  </si>
  <si>
    <t>1570655433503</t>
  </si>
  <si>
    <t>-LqmM0I6OSklGCg6KvQ6</t>
  </si>
  <si>
    <t>1570655440934</t>
  </si>
  <si>
    <t>-LqmM205G0CSaIm54pSB</t>
  </si>
  <si>
    <t>1570655447957</t>
  </si>
  <si>
    <t>-LqmM3WNcHK6dQr8rrhq</t>
  </si>
  <si>
    <t>1570655454120</t>
  </si>
  <si>
    <t>-LqmM50aXRIHltVqUMqW</t>
  </si>
  <si>
    <t>1570655460337</t>
  </si>
  <si>
    <t>-LqmM6Y5KDLnfSu1itRF</t>
  </si>
  <si>
    <t>1570655466513</t>
  </si>
  <si>
    <t>-LqmM82McBYS28Wm2JWP</t>
  </si>
  <si>
    <t>1570655472677</t>
  </si>
  <si>
    <t>-LqmM9ZaNTKJIisuEIQI</t>
  </si>
  <si>
    <t>1570655478838</t>
  </si>
  <si>
    <t>-LqmMB56Mf2AXduUH2Rt</t>
  </si>
  <si>
    <t>1570655485072</t>
  </si>
  <si>
    <t>-LqmMCpZUTHeiUEgUKPH</t>
  </si>
  <si>
    <t>1570655492272</t>
  </si>
  <si>
    <t>-LqmMEM3m1hjDzP5ULUE</t>
  </si>
  <si>
    <t>1570655498438</t>
  </si>
  <si>
    <t>-LqmMG5L5uewcG9_SBTe</t>
  </si>
  <si>
    <t>1570655505638</t>
  </si>
  <si>
    <t>-LqmMHs0iYhq2cSy-9lh</t>
  </si>
  <si>
    <t>1570655511809</t>
  </si>
  <si>
    <t>-LqmMJM54uTCgOJJTe6o</t>
  </si>
  <si>
    <t>1570655519003</t>
  </si>
  <si>
    <t>-LqmMKsaGui1ff5gH7IZ</t>
  </si>
  <si>
    <t>1570655525239</t>
  </si>
  <si>
    <t>-LqmMMNp8mNkgoM94D5i</t>
  </si>
  <si>
    <t>1570655531403</t>
  </si>
  <si>
    <t>-LqmMNt5k2Cy0kQaB5lT</t>
  </si>
  <si>
    <t>1570655537562</t>
  </si>
  <si>
    <t>-LqmMPPa9DRFldnZ2toi</t>
  </si>
  <si>
    <t>1570655543792</t>
  </si>
  <si>
    <t>-LqmMQupABZq1Xt3YIP1</t>
  </si>
  <si>
    <t>1570655549957</t>
  </si>
  <si>
    <t>-LqmMSQ5ax_U8ZmceGYu</t>
  </si>
  <si>
    <t>1570655556118</t>
  </si>
  <si>
    <t>-LqmMTvNyPS4H6cQNJKn</t>
  </si>
  <si>
    <t>1570655562342</t>
  </si>
  <si>
    <t>-LqmMVQb1tGl5Znuk6BF</t>
  </si>
  <si>
    <t>1570655568516</t>
  </si>
  <si>
    <t>-LqmMWx5nXEJQQAamLvS</t>
  </si>
  <si>
    <t>1570655574679</t>
  </si>
  <si>
    <t>-LqmMYSKLE9j0-bDPklj</t>
  </si>
  <si>
    <t>1570655580838</t>
  </si>
  <si>
    <t>-LqmMZypYwthbl5XcNnY</t>
  </si>
  <si>
    <t>1570655587079</t>
  </si>
  <si>
    <t>-LqmMaU4GCecLSr8Xn5S</t>
  </si>
  <si>
    <t>1570655593240</t>
  </si>
  <si>
    <t>-LqmMbzLJcwHLNPFwH9G</t>
  </si>
  <si>
    <t>1570655599397</t>
  </si>
  <si>
    <t>-LqmMdU_CCneYF_9jLL5</t>
  </si>
  <si>
    <t>1570655605563</t>
  </si>
  <si>
    <t>-LqmMf04crR0PLm2Awk3</t>
  </si>
  <si>
    <t>1570655611798</t>
  </si>
  <si>
    <t>-LqmMgV58CMn0nEk0aIo</t>
  </si>
  <si>
    <t>1570655617937</t>
  </si>
  <si>
    <t>-LqmMi0VawNuXfIVRM8v</t>
  </si>
  <si>
    <t>1570655624117</t>
  </si>
  <si>
    <t>-LqmMjWpaG-FLEN_DVBe</t>
  </si>
  <si>
    <t>1570655630342</t>
  </si>
  <si>
    <t>-LqmMl2KeYgjJviUrFGo</t>
  </si>
  <si>
    <t>1570655636517</t>
  </si>
  <si>
    <t>-LqmMmYVJc8AVlusGWy5</t>
  </si>
  <si>
    <t>1570655642679</t>
  </si>
  <si>
    <t>-LqmMo7F-FVS3bi1Ako8</t>
  </si>
  <si>
    <t>1570655648839</t>
  </si>
  <si>
    <t>-LqmMpoLfKcAPpZpFcda</t>
  </si>
  <si>
    <t>1570655656102</t>
  </si>
  <si>
    <t>-LqmMrKr--61rpdFq9GO</t>
  </si>
  <si>
    <t>1570655662277</t>
  </si>
  <si>
    <t>-LqmMsq5CpbcimRZCj30</t>
  </si>
  <si>
    <t>1570655668439</t>
  </si>
  <si>
    <t>-LqmMuLLTHV-JZsbpyI2</t>
  </si>
  <si>
    <t>1570655674598</t>
  </si>
  <si>
    <t>-LqmMvqfxitUiVrYTUs6</t>
  </si>
  <si>
    <t>1570655680838</t>
  </si>
  <si>
    <t>-LqmMxN540GIYtd9cMjh</t>
  </si>
  <si>
    <t>1570655686998</t>
  </si>
  <si>
    <t>-LqmMysLf8lMzslTtcyJ</t>
  </si>
  <si>
    <t>1570655693157</t>
  </si>
  <si>
    <t>-LqmN-Nj5tsAeinLwkAN</t>
  </si>
  <si>
    <t>1570655699323</t>
  </si>
  <si>
    <t>-LqmN0u5PJSzUxU5lFom</t>
  </si>
  <si>
    <t>1570655705552</t>
  </si>
  <si>
    <t>-LqmN2PLLDWtvMCAelok</t>
  </si>
  <si>
    <t>1570655711712</t>
  </si>
  <si>
    <t>-LqmN4F5DNBmGLYDlcjQ</t>
  </si>
  <si>
    <t>1570655717867</t>
  </si>
  <si>
    <t>-LqmN5vPO56RtJeTF2OV</t>
  </si>
  <si>
    <t>1570655726112</t>
  </si>
  <si>
    <t>-LqmN7QaBdopADaldy0A</t>
  </si>
  <si>
    <t>1570655732279</t>
  </si>
  <si>
    <t>-LqmN8x5d3t_KEXPxvD_</t>
  </si>
  <si>
    <t>1570655738518</t>
  </si>
  <si>
    <t>-LqmNASLLF0w0WRPPr_K</t>
  </si>
  <si>
    <t>1570655744677</t>
  </si>
  <si>
    <t>-LqmNBxadRAhW6y4GSr7</t>
  </si>
  <si>
    <t>1570655750838</t>
  </si>
  <si>
    <t>-LqmNDU6PAB5Pi9cY45J</t>
  </si>
  <si>
    <t>1570655757077</t>
  </si>
  <si>
    <t>-LqmNEy65tJcbIMmTpmN</t>
  </si>
  <si>
    <t>1570655763202</t>
  </si>
  <si>
    <t>-LqmNGUcsHPyAHDJJom7</t>
  </si>
  <si>
    <t>1570655769399</t>
  </si>
  <si>
    <t>-LqmNHzfSLJTl3Ju2rJ1</t>
  </si>
  <si>
    <t>1570655775563</t>
  </si>
  <si>
    <t>-LqmNJmkgFHSiADGQVFn</t>
  </si>
  <si>
    <t>1570655781864</t>
  </si>
  <si>
    <t>-LqmNLX4eBIIAnbToE3q</t>
  </si>
  <si>
    <t>1570655790038</t>
  </si>
  <si>
    <t>-LqmNN1KNwILpj-eAzFZ</t>
  </si>
  <si>
    <t>1570655796198</t>
  </si>
  <si>
    <t>-LqmNOX_MF62CT3M-mzB</t>
  </si>
  <si>
    <t>1570655802352</t>
  </si>
  <si>
    <t>-LqmNQ3-godpKVU1czlm</t>
  </si>
  <si>
    <t>1570655808592</t>
  </si>
  <si>
    <t>-LqmNRZLdXucfHIcmVZG</t>
  </si>
  <si>
    <t>1570655814758</t>
  </si>
  <si>
    <t>-LqmNT3aJPIYcFQQeydW</t>
  </si>
  <si>
    <t>1570655820917</t>
  </si>
  <si>
    <t>-LqmNUZrRueVLN8VsN_a</t>
  </si>
  <si>
    <t>1570655827078</t>
  </si>
  <si>
    <t>-LqmNW5LiUCebZYayltD</t>
  </si>
  <si>
    <t>1570655833314</t>
  </si>
  <si>
    <t>-LqmNXaf72DuLXFfvyew</t>
  </si>
  <si>
    <t>1570655839469</t>
  </si>
  <si>
    <t>-LqmNZ5p1fT1o7-H5WzM</t>
  </si>
  <si>
    <t>1570655845638</t>
  </si>
  <si>
    <t>-LqmN_b6pQm2w3VTmQEW</t>
  </si>
  <si>
    <t>1570655851803</t>
  </si>
  <si>
    <t>-LqmNb8pecBb1AUaEpxH</t>
  </si>
  <si>
    <t>1570655858054</t>
  </si>
  <si>
    <t>-LqmNct46-ITJc3Q3yr-</t>
  </si>
  <si>
    <t>1570655865237</t>
  </si>
  <si>
    <t>-LqmNeOMUvI0ih-EK31e</t>
  </si>
  <si>
    <t>1570655871398</t>
  </si>
  <si>
    <t>-LqmNft_jE8UQW7Y-t6W</t>
  </si>
  <si>
    <t>1570655877562</t>
  </si>
  <si>
    <t>-LqmNhQ5uuVQDKIX746Z</t>
  </si>
  <si>
    <t>1570655883798</t>
  </si>
  <si>
    <t>-LqmNivLMfp9qRm8mh8V</t>
  </si>
  <si>
    <t>1570655889958</t>
  </si>
  <si>
    <t>-LqmNkRkKkJdg6AmyYsl</t>
  </si>
  <si>
    <t>1570655896118</t>
  </si>
  <si>
    <t>-LqmNmB5nimuWe50Rl2u</t>
  </si>
  <si>
    <t>1570655903322</t>
  </si>
  <si>
    <t>-LqmNnh_PiUvvUaWuezU</t>
  </si>
  <si>
    <t>1570655909559</t>
  </si>
  <si>
    <t>-LqmNpO4gA06-1-pOhdB</t>
  </si>
  <si>
    <t>1570655916485</t>
  </si>
  <si>
    <t>-LqmNqyNp69aVrexW4CX</t>
  </si>
  <si>
    <t>1570655922918</t>
  </si>
  <si>
    <t>-LqmNsTaWEv_C2UQZhI0</t>
  </si>
  <si>
    <t>1570655929078</t>
  </si>
  <si>
    <t>-LqmNuFLsnxtPXEJAHKF</t>
  </si>
  <si>
    <t>1570655936373</t>
  </si>
  <si>
    <t>-LqmNvjMPt3gVtRYnIH2</t>
  </si>
  <si>
    <t>1570655942442</t>
  </si>
  <si>
    <t>-LqmNxFq9D_uQXPJSHOy</t>
  </si>
  <si>
    <t>1570655948678</t>
  </si>
  <si>
    <t>-LqmNyl4l-FlD9xqQQDt</t>
  </si>
  <si>
    <t>1570655954837</t>
  </si>
  <si>
    <t>-LqmO-Hawb3amFnECIVa</t>
  </si>
  <si>
    <t>1570655961073</t>
  </si>
  <si>
    <t>-LqmO0pGyTOrLxlUEBZ0</t>
  </si>
  <si>
    <t>1570655967234</t>
  </si>
  <si>
    <t>-LqmO2YKA7Q5h4DyeO32</t>
  </si>
  <si>
    <t>1570655974438</t>
  </si>
  <si>
    <t>-LqmO42akLw2OZ3oGFeK</t>
  </si>
  <si>
    <t>1570655980597</t>
  </si>
  <si>
    <t>-LqmO5Ym2Ms1fXPyapEO</t>
  </si>
  <si>
    <t>1570655986837</t>
  </si>
  <si>
    <t>-LqmO75_Q01LXaKTO4JJ</t>
  </si>
  <si>
    <t>1570655992993</t>
  </si>
  <si>
    <t>-LqmO8pr2aVtZbgYw5JY</t>
  </si>
  <si>
    <t>1570656000203</t>
  </si>
  <si>
    <t>-LqmOAL4-zbH6OFXUADu</t>
  </si>
  <si>
    <t>1570656006359</t>
  </si>
  <si>
    <t>-LqmOBr_1h6M6BfrjKLm</t>
  </si>
  <si>
    <t>1570656012599</t>
  </si>
  <si>
    <t>-LqmODL_ZfGj3O2sybmR</t>
  </si>
  <si>
    <t>1570656018689</t>
  </si>
  <si>
    <t>-LqmOEs5nbJFWMBhhPxm</t>
  </si>
  <si>
    <t>1570656024919</t>
  </si>
  <si>
    <t>-LqmOGO_VmCJg2ZVISKp</t>
  </si>
  <si>
    <t>1570656031080</t>
  </si>
  <si>
    <t>-LqmOHrKC_kSeX9Qzqe0</t>
  </si>
  <si>
    <t>1570656037243</t>
  </si>
  <si>
    <t>-LqmOJP5iKd391DyBa0v</t>
  </si>
  <si>
    <t>1570656043479</t>
  </si>
  <si>
    <t>-LqmOKt6EjiBprmZK2Rx</t>
  </si>
  <si>
    <t>1570656049639</t>
  </si>
  <si>
    <t>-LqmOMPa1LcRRbFG-0nd</t>
  </si>
  <si>
    <t>1570656055808</t>
  </si>
  <si>
    <t>-LqmONw6iPRCs5HKCIiE</t>
  </si>
  <si>
    <t>1570656062033</t>
  </si>
  <si>
    <t>-LqmOPRM_unW8ERXJMVq</t>
  </si>
  <si>
    <t>1570656068199</t>
  </si>
  <si>
    <t>-LqmOQwYNHpwFiNTRRHR</t>
  </si>
  <si>
    <t>1570656074359</t>
  </si>
  <si>
    <t>-LqmOST63xRCaIsi5jWF</t>
  </si>
  <si>
    <t>1570656080600</t>
  </si>
  <si>
    <t>-LqmOTyK_8yXzcY-O8zk</t>
  </si>
  <si>
    <t>1570656086759</t>
  </si>
  <si>
    <t>-LqmOVT_pKEctZng8NU6</t>
  </si>
  <si>
    <t>1570656092912</t>
  </si>
  <si>
    <t>-LqmOWyrFcKOA7vfJ0TI</t>
  </si>
  <si>
    <t>1570656099078</t>
  </si>
  <si>
    <t>-LqmOYVMOU4Vy8R2fZlt</t>
  </si>
  <si>
    <t>1570656105319</t>
  </si>
  <si>
    <t>-LqmO_-b_TdAjun6unUY</t>
  </si>
  <si>
    <t>1570656111479</t>
  </si>
  <si>
    <t>-LqmOaUbPl9S66JIg4K2</t>
  </si>
  <si>
    <t>1570656117638</t>
  </si>
  <si>
    <t>-LqmOc06dXcQvdU50g7e</t>
  </si>
  <si>
    <t>1570656123802</t>
  </si>
  <si>
    <t>-LqmOdXbvklFWbAmQP6p</t>
  </si>
  <si>
    <t>1570656130033</t>
  </si>
  <si>
    <t>-LqmOf1l0v8m6bi8Br9H</t>
  </si>
  <si>
    <t>1570656136199</t>
  </si>
  <si>
    <t>-LqmOgpm2MpfQGWBouJi</t>
  </si>
  <si>
    <t>1570656142418</t>
  </si>
  <si>
    <t>-LqmOiYpXTJSk7nIJwS_</t>
  </si>
  <si>
    <t>1570656150600</t>
  </si>
  <si>
    <t>-LqmOk4LzeS_LcIbcnhl</t>
  </si>
  <si>
    <t>1570656156834</t>
  </si>
  <si>
    <t>-LqmOl_bb9OQmapMnzqy</t>
  </si>
  <si>
    <t>1570656163000</t>
  </si>
  <si>
    <t>-LqmOnRMJKev_qYOnuev</t>
  </si>
  <si>
    <t>1570656169157</t>
  </si>
  <si>
    <t>-LqmOp6g0EakxnzwrIk6</t>
  </si>
  <si>
    <t>1570656177393</t>
  </si>
  <si>
    <t>-LqmOqr65uwmqWRHNMzW</t>
  </si>
  <si>
    <t>1570656184598</t>
  </si>
  <si>
    <t>-LqmOsNbsadDtoKw0uo1</t>
  </si>
  <si>
    <t>1570656190839</t>
  </si>
  <si>
    <t>-LqmOtrS4ye22yvJem39</t>
  </si>
  <si>
    <t>1570656196999</t>
  </si>
  <si>
    <t>-LqmOvO43wTh6Uud1DCZ</t>
  </si>
  <si>
    <t>1570656203149</t>
  </si>
  <si>
    <t>-LqmOwtKfU_IYvuA8eeV</t>
  </si>
  <si>
    <t>1570656209318</t>
  </si>
  <si>
    <t>-LqmOyPqd0c7OMD0nK3E</t>
  </si>
  <si>
    <t>1570656215555</t>
  </si>
  <si>
    <t>-LqmOzv6W48WQHWgH2Ig</t>
  </si>
  <si>
    <t>1570656221719</t>
  </si>
  <si>
    <t>-LqmP0QLoooHFJN5i3Kt</t>
  </si>
  <si>
    <t>1570656227879</t>
  </si>
  <si>
    <t>-LqmP1vaS9qGrnxdKjHt</t>
  </si>
  <si>
    <t>1570656234048</t>
  </si>
  <si>
    <t>-LqmP3S6kE918XJ4oQFA</t>
  </si>
  <si>
    <t>1570656240278</t>
  </si>
  <si>
    <t>-LqmP4xK1Ctq8XNJ1sRW</t>
  </si>
  <si>
    <t>1570656246435</t>
  </si>
  <si>
    <t>-LqmP6TcrTohgL9eZouU</t>
  </si>
  <si>
    <t>1570656252594</t>
  </si>
  <si>
    <t>-LqmP7xrShz6Uq9NAoCn</t>
  </si>
  <si>
    <t>1570656258764</t>
  </si>
  <si>
    <t>-LqmP9UMiX7qCRBfqBkD</t>
  </si>
  <si>
    <t>1570656264999</t>
  </si>
  <si>
    <t>-LqmPBIbm7DqBVUtR0Fs</t>
  </si>
  <si>
    <t>1570656271159</t>
  </si>
  <si>
    <t>-LqmPD-LRwxz_PAQtQSk</t>
  </si>
  <si>
    <t>1570656279399</t>
  </si>
  <si>
    <t>-LqmPEV__fFJMWqApxKz</t>
  </si>
  <si>
    <t>1570656285559</t>
  </si>
  <si>
    <t>-LqmPG16xTFOZw9ZYT5c</t>
  </si>
  <si>
    <t>1570656291799</t>
  </si>
  <si>
    <t>-LqmPHXJcKWTpP-mz5aT</t>
  </si>
  <si>
    <t>1570656297954</t>
  </si>
  <si>
    <t>-LqmPJHf_vbQ2rA5viD8</t>
  </si>
  <si>
    <t>1570656305164</t>
  </si>
  <si>
    <t>-LqmPKn3xAMg2LqB4qQK</t>
  </si>
  <si>
    <t>1570656311319</t>
  </si>
  <si>
    <t>-LqmPMJbScRo06z_Mnha</t>
  </si>
  <si>
    <t>1570656317559</t>
  </si>
  <si>
    <t>-LqmPNorVLR5GgMS_igD</t>
  </si>
  <si>
    <t>1570656323719</t>
  </si>
  <si>
    <t>-LqmPPK4oo6ICX4iTM1p</t>
  </si>
  <si>
    <t>1570656329879</t>
  </si>
  <si>
    <t>-LqmPQpLYQtzhmxvuONX</t>
  </si>
  <si>
    <t>1570656336038</t>
  </si>
  <si>
    <t>-LqmPSLwhApb_QVbmDnt</t>
  </si>
  <si>
    <t>1570656342278</t>
  </si>
  <si>
    <t>-LqmPTpqcd6AkF2MmdI1</t>
  </si>
  <si>
    <t>1570656348439</t>
  </si>
  <si>
    <t>-LqmPVdTeWTWmdH5HeKQ</t>
  </si>
  <si>
    <t>1570656354598</t>
  </si>
  <si>
    <t>-LqmPXN4cP84PuXm_KF9</t>
  </si>
  <si>
    <t>1570656362837</t>
  </si>
  <si>
    <t>-LqmPYsLz9PgtlQA1gA5</t>
  </si>
  <si>
    <t>1570656369003</t>
  </si>
  <si>
    <t>-LqmP_Op-jkAO_y0PUPE</t>
  </si>
  <si>
    <t>1570656375232</t>
  </si>
  <si>
    <t>-LqmPau7Yz_B3KkLKlLw</t>
  </si>
  <si>
    <t>1570656381399</t>
  </si>
  <si>
    <t>-LqmPcjbqNv8SIzWotzm</t>
  </si>
  <si>
    <t>1570656387558</t>
  </si>
  <si>
    <t>-LqmPeQ-jorzpseHMYTG</t>
  </si>
  <si>
    <t>1570656395798</t>
  </si>
  <si>
    <t>-LqmPfv5JFVG92pGXzx2</t>
  </si>
  <si>
    <t>1570656402017</t>
  </si>
  <si>
    <t>-LqmPhRq5BNiASUa1T-l</t>
  </si>
  <si>
    <t>1570656408200</t>
  </si>
  <si>
    <t>-LqmPix62pJcryGNTjJp</t>
  </si>
  <si>
    <t>1570656414373</t>
  </si>
  <si>
    <t>-LqmPkSKEmezUlIOmWGT</t>
  </si>
  <si>
    <t>1570656420514</t>
  </si>
  <si>
    <t>-LqmPlxceblK99EqtQ7D</t>
  </si>
  <si>
    <t>1570656426743</t>
  </si>
  <si>
    <t>-LqmPnTnKtfSBJg2ePpK</t>
  </si>
  <si>
    <t>1570656432917</t>
  </si>
  <si>
    <t>-LqmPozKrzD8bqtmjt-Z</t>
  </si>
  <si>
    <t>1570656439079</t>
  </si>
  <si>
    <t>-LqmPqUbrgtRnatEniwY</t>
  </si>
  <si>
    <t>1570656445239</t>
  </si>
  <si>
    <t>-LqmPs05jGIsOU-difZS</t>
  </si>
  <si>
    <t>1570656451473</t>
  </si>
  <si>
    <t>-LqmPtV4x9nGdaNhk2mj</t>
  </si>
  <si>
    <t>1570656457637</t>
  </si>
  <si>
    <t>-LqmPv0b99eJa0EdHpwn</t>
  </si>
  <si>
    <t>1570656463799</t>
  </si>
  <si>
    <t>-LqmPwWqA7zt2zIs0j2X</t>
  </si>
  <si>
    <t>1570656469961</t>
  </si>
  <si>
    <t>-LqmPy2MACIa9gaJb9c9</t>
  </si>
  <si>
    <t>1570656476197</t>
  </si>
  <si>
    <t>-LqmPzYbf9rmc8veguLF</t>
  </si>
  <si>
    <t>1570656482359</t>
  </si>
  <si>
    <t>-LqmQ02md34yGtGWCmB5</t>
  </si>
  <si>
    <t>1570656488519</t>
  </si>
  <si>
    <t>-LqmQ1Z5wMn6Z5054pNF</t>
  </si>
  <si>
    <t>1570656494684</t>
  </si>
  <si>
    <t>-LqmQ34bbyJOHEBGSkUj</t>
  </si>
  <si>
    <t>1570656500918</t>
  </si>
  <si>
    <t>-LqmQ4_q53v5lIdFD9Dc</t>
  </si>
  <si>
    <t>1570656507078</t>
  </si>
  <si>
    <t>-LqmQ64uCPQyMcVAf-0L</t>
  </si>
  <si>
    <t>1570656513238</t>
  </si>
  <si>
    <t>-LqmQ7aMolerOY9cCn9H</t>
  </si>
  <si>
    <t>1570656519463</t>
  </si>
  <si>
    <t>-LqmQ96lABrZ2lo4cOuj</t>
  </si>
  <si>
    <t>1570656525638</t>
  </si>
  <si>
    <t>-LqmQAc5_zLPV2a06v1F</t>
  </si>
  <si>
    <t>1570656531798</t>
  </si>
  <si>
    <t>-LqmQC7LUNMnxzzOGi29</t>
  </si>
  <si>
    <t>1570656537958</t>
  </si>
  <si>
    <t>-LqmQDdrfOuYpaT3smFU</t>
  </si>
  <si>
    <t>1570656544199</t>
  </si>
  <si>
    <t>-LqmQF96DV6ZfNG_jUsx</t>
  </si>
  <si>
    <t>1570656550359</t>
  </si>
  <si>
    <t>-LqmQGeKrt2Nm4uEzZYj</t>
  </si>
  <si>
    <t>1570656556519</t>
  </si>
  <si>
    <t>-LqmQIAqH9dam8Bw2OSl</t>
  </si>
  <si>
    <t>1570656562759</t>
  </si>
  <si>
    <t>-LqmQJxbd8438fJwUWmw</t>
  </si>
  <si>
    <t>1570656570055</t>
  </si>
  <si>
    <t>-LqmQLgbmb-adxI5G9td</t>
  </si>
  <si>
    <t>1570656577159</t>
  </si>
  <si>
    <t>-LqmQNDNf_ZWWMu65ekk</t>
  </si>
  <si>
    <t>1570656583319</t>
  </si>
  <si>
    <t>-LqmQOxaarnWYJGXiEkA</t>
  </si>
  <si>
    <t>1570656590520</t>
  </si>
  <si>
    <t>-LqmQQVN1AiRLoEeU9af</t>
  </si>
  <si>
    <t>1570656596679</t>
  </si>
  <si>
    <t>-LqmQSFt_4Y5LYnyLXI4</t>
  </si>
  <si>
    <t>1570656603945</t>
  </si>
  <si>
    <t>-LqmQU-73zYntcIMRmEk</t>
  </si>
  <si>
    <t>1570656611160</t>
  </si>
  <si>
    <t>-LqmQVU8u5UCXO5mSC60</t>
  </si>
  <si>
    <t>1570656617285</t>
  </si>
  <si>
    <t>-LqmQX-bsnAUHYLBRSfp</t>
  </si>
  <si>
    <t>1570656623488</t>
  </si>
  <si>
    <t>-LqmQYVqm1ll7maIUgmY</t>
  </si>
  <si>
    <t>1570656629650</t>
  </si>
  <si>
    <t>-LqmQ_1IKJxW22gXQpD0</t>
  </si>
  <si>
    <t>1570656635879</t>
  </si>
  <si>
    <t>-LqmQaWSaun9zkXOyN6w</t>
  </si>
  <si>
    <t>1570656642034</t>
  </si>
  <si>
    <t>-LqmQc1qAeFioZYeH8EC</t>
  </si>
  <si>
    <t>1570656648199</t>
  </si>
  <si>
    <t>-LqmQdZM-RUuUhb83GjU</t>
  </si>
  <si>
    <t>1570656654425</t>
  </si>
  <si>
    <t>-LqmQf2MRXN2s3F6DBYH</t>
  </si>
  <si>
    <t>1570656660524</t>
  </si>
  <si>
    <t>-LqmQggN0Z9st8dyRCMp</t>
  </si>
  <si>
    <t>1570656667241</t>
  </si>
  <si>
    <t>-LqmQiKNs08GdYIg2Ju8</t>
  </si>
  <si>
    <t>1570656673960</t>
  </si>
  <si>
    <t>-LqmQjpX0cVHH-L3-BXJ</t>
  </si>
  <si>
    <t>1570656680179</t>
  </si>
  <si>
    <t>-LqmQlM70HczSkUy32Zd</t>
  </si>
  <si>
    <t>1570656686358</t>
  </si>
  <si>
    <t>-LqmQnJ8XpELCEPoN9eC</t>
  </si>
  <si>
    <t>1570656692520</t>
  </si>
  <si>
    <t>-LqmQoqcXHqKna-W2vqq</t>
  </si>
  <si>
    <t>1570656700759</t>
  </si>
  <si>
    <t>-LqmQqNM-kQi_j1hHCme</t>
  </si>
  <si>
    <t>1570656706919</t>
  </si>
  <si>
    <t>-LqmQrsXHoknWBrvL5AC</t>
  </si>
  <si>
    <t>1570656713095</t>
  </si>
  <si>
    <t>-LqmQtP6KvC0wgpQO1rM</t>
  </si>
  <si>
    <t>1570656719320</t>
  </si>
  <si>
    <t>-LqmQuuLQq9PG5-4QrPF</t>
  </si>
  <si>
    <t>1570656725479</t>
  </si>
  <si>
    <t>-LqmQwPcgZAgQG63DVTp</t>
  </si>
  <si>
    <t>1570656731639</t>
  </si>
  <si>
    <t>-LqmQxvtn55XpoVlxdj7</t>
  </si>
  <si>
    <t>1570656737879</t>
  </si>
  <si>
    <t>-LqmQzR6LtwOnrLwYy3a</t>
  </si>
  <si>
    <t>1570656744040</t>
  </si>
  <si>
    <t>-LqmR-wX6dX0R-ZgwPgz</t>
  </si>
  <si>
    <t>1570656750199</t>
  </si>
  <si>
    <t>-LqmR1Rsh-5Q91MkvXWw</t>
  </si>
  <si>
    <t>1570656756419</t>
  </si>
  <si>
    <t>-LqmR2yNuEozhUfhkQtq</t>
  </si>
  <si>
    <t>1570656762600</t>
  </si>
  <si>
    <t>-LqmR4W6SxW7AkMNt6_u</t>
  </si>
  <si>
    <t>1570656768755</t>
  </si>
  <si>
    <t>-LqmR6E3hhs4ns8xOckC</t>
  </si>
  <si>
    <t>1570656775960</t>
  </si>
  <si>
    <t>-LqmR8-rPUXaBWIYUOiL</t>
  </si>
  <si>
    <t>1570656782125</t>
  </si>
  <si>
    <t>-LqmR9UmR0gZAusK09zc</t>
  </si>
  <si>
    <t>1570656789322</t>
  </si>
  <si>
    <t>-LqmRB0MgbjPGlJPeMku</t>
  </si>
  <si>
    <t>1570656795558</t>
  </si>
  <si>
    <t>-LqmRCWf5MQaBbqVbcED</t>
  </si>
  <si>
    <t>1570656801719</t>
  </si>
  <si>
    <t>-LqmRE0qP4F7pzEGozs1</t>
  </si>
  <si>
    <t>1570656807878</t>
  </si>
  <si>
    <t>-LqmRFX5ywEqriIIy1gA</t>
  </si>
  <si>
    <t>1570656814118</t>
  </si>
  <si>
    <t>-LqmRH2djS5Tbm4GuWiw</t>
  </si>
  <si>
    <t>1570656820280</t>
  </si>
  <si>
    <t>-LqmRIYkeu_VtCb8KdiR</t>
  </si>
  <si>
    <t>1570656826439</t>
  </si>
  <si>
    <t>-LqmRK3-yFI7EQsnYxUx</t>
  </si>
  <si>
    <t>1570656832602</t>
  </si>
  <si>
    <t>-LqmRL_G4ZJZWZBWk8Ll</t>
  </si>
  <si>
    <t>1570656838838</t>
  </si>
  <si>
    <t>-LqmRN3akDp_RHX1Ks9Y</t>
  </si>
  <si>
    <t>1570656844999</t>
  </si>
  <si>
    <t>-LqmROa8BMlsm4_Y7tRn</t>
  </si>
  <si>
    <t>1570656851224</t>
  </si>
  <si>
    <t>-LqmRQ5FQh6GtjvO4unN</t>
  </si>
  <si>
    <t>1570656857383</t>
  </si>
  <si>
    <t>-LqmRRblPx7SjtMsmhTF</t>
  </si>
  <si>
    <t>1570656863559</t>
  </si>
  <si>
    <t>-LqmRT75DDziAjTbw6LR</t>
  </si>
  <si>
    <t>1570656869719</t>
  </si>
  <si>
    <t>-LqmRUcMXAscnvLegKrm</t>
  </si>
  <si>
    <t>1570656875879</t>
  </si>
  <si>
    <t>-LqmRW8qdPjQRsaL0nQS</t>
  </si>
  <si>
    <t>1570656882119</t>
  </si>
  <si>
    <t>-LqmRXe5sOVPJHe68p7V</t>
  </si>
  <si>
    <t>1570656888278</t>
  </si>
  <si>
    <t>-LqmRZ9Kz4fqmgVXgXPg</t>
  </si>
  <si>
    <t>1570656894439</t>
  </si>
  <si>
    <t>-LqmR_eby1rGnanrj8uR</t>
  </si>
  <si>
    <t>1570656900606</t>
  </si>
  <si>
    <t>-LqmRbgNvIlLMW6ttnJg</t>
  </si>
  <si>
    <t>1570656907645</t>
  </si>
  <si>
    <t>-LqmRdBkEK4iSMYyK2JH</t>
  </si>
  <si>
    <t>1570656915078</t>
  </si>
  <si>
    <t>-LqmReh4EwMMS5oH7bd5</t>
  </si>
  <si>
    <t>1570656921239</t>
  </si>
  <si>
    <t>-LqmRgCLJ6g1hba8Uwh6</t>
  </si>
  <si>
    <t>1570656927398</t>
  </si>
  <si>
    <t>-LqmRhipq3Jj_BhvL3jD</t>
  </si>
  <si>
    <t>1570656933638</t>
  </si>
  <si>
    <t>-LqmRjE8RotchZlQ_swW</t>
  </si>
  <si>
    <t>1570656939794</t>
  </si>
  <si>
    <t>-LqmRkjMu38Z4wc3b3wx</t>
  </si>
  <si>
    <t>1570656945959</t>
  </si>
  <si>
    <t>-LqmRmEVhBEyC6SsFaW9</t>
  </si>
  <si>
    <t>1570656952119</t>
  </si>
  <si>
    <t>-LqmRnl4TkxLnz6AgMX1</t>
  </si>
  <si>
    <t>1570656958359</t>
  </si>
  <si>
    <t>-LqmRpGHBPbnG9ER670v</t>
  </si>
  <si>
    <t>1570656964518</t>
  </si>
  <si>
    <t>-LqmRqmViLvRn1OXt8Ns</t>
  </si>
  <si>
    <t>1570656970679</t>
  </si>
  <si>
    <t>-LqmRsGrTbqYrwcH9jlk</t>
  </si>
  <si>
    <t>1570656976844</t>
  </si>
  <si>
    <t>-LqmRu6LXViZ0wEEfzgk</t>
  </si>
  <si>
    <t>1570656983635</t>
  </si>
  <si>
    <t>-LqmRw8ayamFYW_sUy9V</t>
  </si>
  <si>
    <t>1570656991315</t>
  </si>
  <si>
    <t>-LqmRxoroFdKhxEfLfu6</t>
  </si>
  <si>
    <t>1570656999559</t>
  </si>
  <si>
    <t>-LqmRzd8vFzPROn8OPTN</t>
  </si>
  <si>
    <t>1570657006998</t>
  </si>
  <si>
    <t>-LqmS0Kqu4aRgRiONg_C</t>
  </si>
  <si>
    <t>1570657013960</t>
  </si>
  <si>
    <t>-LqmS1r791G-CwvdaEQS</t>
  </si>
  <si>
    <t>1570657020119</t>
  </si>
  <si>
    <t>-LqmS3MIaByc0_n4Q4a9</t>
  </si>
  <si>
    <t>1570657026279</t>
  </si>
  <si>
    <t>-LqmS4rmRn2PsufRGIvN</t>
  </si>
  <si>
    <t>1570657032515</t>
  </si>
  <si>
    <t>-LqmS6OMjjSK4FKEojFt</t>
  </si>
  <si>
    <t>1570657038766</t>
  </si>
  <si>
    <t>-LqmS7sLF2ulA6qf1068</t>
  </si>
  <si>
    <t>1570657044834</t>
  </si>
  <si>
    <t>-LqmS9OqICbNaoQRtZL9</t>
  </si>
  <si>
    <t>1570657051079</t>
  </si>
  <si>
    <t>-LqmSAu0nKYCpVep-Cgw</t>
  </si>
  <si>
    <t>1570657057239</t>
  </si>
  <si>
    <t>-LqmSCPLuQgTp3_03cqc</t>
  </si>
  <si>
    <t>1570657063398</t>
  </si>
  <si>
    <t>-LqmSDubawzQrkAOCvk5</t>
  </si>
  <si>
    <t>1570657069624</t>
  </si>
  <si>
    <t>-LqmSFR7W0wmtqC3mPHP</t>
  </si>
  <si>
    <t>1570657075793</t>
  </si>
  <si>
    <t>-LqmSGwMhCDyWl_BmtZj</t>
  </si>
  <si>
    <t>1570657081960</t>
  </si>
  <si>
    <t>-LqmSIRXrv8lN4Sbprd6</t>
  </si>
  <si>
    <t>1570657088119</t>
  </si>
  <si>
    <t>-LqmSJy6Sn5ChyHQjW3v</t>
  </si>
  <si>
    <t>1570657094344</t>
  </si>
  <si>
    <t>-LqmSLTGRgW1D-M5CgG_</t>
  </si>
  <si>
    <t>1570657100520</t>
  </si>
  <si>
    <t>-LqmSMyaoiJF4FkK7jdN</t>
  </si>
  <si>
    <t>1570657106668</t>
  </si>
  <si>
    <t>-LqmSOTrzmor1ErZvIth</t>
  </si>
  <si>
    <t>1570657112838</t>
  </si>
  <si>
    <t>-LqmSQ-MOpOoOiJYvKTz</t>
  </si>
  <si>
    <t>1570657119073</t>
  </si>
  <si>
    <t>-LqmSRVaodBPWy9OzR4v</t>
  </si>
  <si>
    <t>1570657125236</t>
  </si>
  <si>
    <t>-LqmST-mR6fxnGx9n6Xa</t>
  </si>
  <si>
    <t>1570657131399</t>
  </si>
  <si>
    <t>-LqmSUW65ubglEl3gE2H</t>
  </si>
  <si>
    <t>1570657137564</t>
  </si>
  <si>
    <t>-LqmSW1XDahMvEqCwOY9</t>
  </si>
  <si>
    <t>1570657143794</t>
  </si>
  <si>
    <t>-LqmSXeMThRa1NxblOXj</t>
  </si>
  <si>
    <t>1570657150493</t>
  </si>
  <si>
    <t>-LqmSZIM6m2JQJ9X017X</t>
  </si>
  <si>
    <t>1570657157159</t>
  </si>
  <si>
    <t>-LqmS_nX8pEZAs_dNQWN</t>
  </si>
  <si>
    <t>1570657163323</t>
  </si>
  <si>
    <t>-LqmSbK6p8y8xV8h-Ci1</t>
  </si>
  <si>
    <t>1570657169559</t>
  </si>
  <si>
    <t>-LqmScpNaoPytaFBXl9Q</t>
  </si>
  <si>
    <t>1570657175719</t>
  </si>
  <si>
    <t>-LqmSeJG9xMqtyxiaaCJ</t>
  </si>
  <si>
    <t>1570657181878</t>
  </si>
  <si>
    <t>-LqmSfpqBMAp-DaFm05u</t>
  </si>
  <si>
    <t>1570657188103</t>
  </si>
  <si>
    <t>-LqmShMMeMl7w1YIEVXU</t>
  </si>
  <si>
    <t>1570657194280</t>
  </si>
  <si>
    <t>-LqmSircDg8yRJ0DbZDh</t>
  </si>
  <si>
    <t>1570657200438</t>
  </si>
  <si>
    <t>-LqmSkdHakF0DdyWZFn-</t>
  </si>
  <si>
    <t>1570657207735</t>
  </si>
  <si>
    <t>-LqmSm7MmrYczXfiQsC-</t>
  </si>
  <si>
    <t>1570657213799</t>
  </si>
  <si>
    <t>-LqmSnf2TbgS2xo97UY0</t>
  </si>
  <si>
    <t>1570657220038</t>
  </si>
  <si>
    <t>-LqmSpQatWOVRLsuYtFd</t>
  </si>
  <si>
    <t>1570657227315</t>
  </si>
  <si>
    <t>-LqmSr9rjuTcLvoovaLh</t>
  </si>
  <si>
    <t>1570657234434</t>
  </si>
  <si>
    <t>-LqmSsf6VfwqcEgaZQN7</t>
  </si>
  <si>
    <t>1570657240598</t>
  </si>
  <si>
    <t>-LqmSuAMqLv_XGKKLKrS</t>
  </si>
  <si>
    <t>1570657246769</t>
  </si>
  <si>
    <t>-LqmSvgpKN-k82eh3zDx</t>
  </si>
  <si>
    <t>1570657252999</t>
  </si>
  <si>
    <t>-LqmSxC5uzwm1JYaNVTj</t>
  </si>
  <si>
    <t>1570657259159</t>
  </si>
  <si>
    <t>-LqmSyhLoOA44iEGkm1_</t>
  </si>
  <si>
    <t>1570657265319</t>
  </si>
  <si>
    <t>-LqmT-DqIdc3wmUGYeHS</t>
  </si>
  <si>
    <t>1570657271559</t>
  </si>
  <si>
    <t>-LqmT0j60i5B2tThALcd</t>
  </si>
  <si>
    <t>1570657277719</t>
  </si>
  <si>
    <t>-LqmT2EMeYCnahBLNbh4</t>
  </si>
  <si>
    <t>1570657283879</t>
  </si>
  <si>
    <t>-LqmT3javkKnmX3MfUfk</t>
  </si>
  <si>
    <t>1570657290103</t>
  </si>
  <si>
    <t>-LqmT5G6icpGLd_QyA4q</t>
  </si>
  <si>
    <t>1570657296279</t>
  </si>
  <si>
    <t>-LqmT6lM62sBqxmuPdOD</t>
  </si>
  <si>
    <t>1570657302438</t>
  </si>
  <si>
    <t>-LqmT8GHzUx1Ht78GNAN</t>
  </si>
  <si>
    <t>1570657308598</t>
  </si>
  <si>
    <t>-LqmT9lqC5Pa83ZnbxE_</t>
  </si>
  <si>
    <t>1570657314823</t>
  </si>
  <si>
    <t>-LqmTBH7h9p68X--QNL9</t>
  </si>
  <si>
    <t>1570657320958</t>
  </si>
  <si>
    <t>-LqmTD2hDOd8grS28WbU</t>
  </si>
  <si>
    <t>1570657328198</t>
  </si>
  <si>
    <t>-LqmTEZ1fDNPQTp5epk1</t>
  </si>
  <si>
    <t>1570657334358</t>
  </si>
  <si>
    <t>-LqmTG3MFo1RTUgUyH4K</t>
  </si>
  <si>
    <t>1570657340528</t>
  </si>
  <si>
    <t>-LqmTH_lh-xWElkjfcZF</t>
  </si>
  <si>
    <t>1570657346754</t>
  </si>
  <si>
    <t>-LqmTJ55bTFHCQS2lrqM</t>
  </si>
  <si>
    <t>1570657352918</t>
  </si>
  <si>
    <t>-LqmTKaMc7ewowc4pmmr</t>
  </si>
  <si>
    <t>1570657359079</t>
  </si>
  <si>
    <t>-LqmTM6l0kA4TzfXQiq1</t>
  </si>
  <si>
    <t>1570657365315</t>
  </si>
  <si>
    <t>-LqmTNc5SEEsfmxAu_U2</t>
  </si>
  <si>
    <t>1570657371474</t>
  </si>
  <si>
    <t>-LqmTP9qvGsvcScdj0At</t>
  </si>
  <si>
    <t>1570657377639</t>
  </si>
  <si>
    <t>-LqmTQrXV3De0X5jliQs</t>
  </si>
  <si>
    <t>1570657384838</t>
  </si>
  <si>
    <t>-LqmTSPIZZ1RpP7Nyp1I</t>
  </si>
  <si>
    <t>1570657391064</t>
  </si>
  <si>
    <t>-LqmTTtLBwXxVjm7uDjW</t>
  </si>
  <si>
    <t>1570657397164</t>
  </si>
  <si>
    <t>-LqmTVPwm6VGzKIJJuAD</t>
  </si>
  <si>
    <t>1570657403394</t>
  </si>
  <si>
    <t>-LqmTWumiE3elf9ieusX</t>
  </si>
  <si>
    <t>1570657409559</t>
  </si>
  <si>
    <t>-LqmTYi6FfMFJSF3yxah</t>
  </si>
  <si>
    <t>1570657415799</t>
  </si>
  <si>
    <t>-LqmT_SLXYUF5eOrvDTl</t>
  </si>
  <si>
    <t>1570657424039</t>
  </si>
  <si>
    <t>-LqmTaxd7uY4GzFYVt4K</t>
  </si>
  <si>
    <t>1570657430198</t>
  </si>
  <si>
    <t>-LqmTcSqOSPP53I2hG4O</t>
  </si>
  <si>
    <t>1570657436359</t>
  </si>
  <si>
    <t>-LqmTdzM4Weq_YHzUaNl</t>
  </si>
  <si>
    <t>1570657442598</t>
  </si>
  <si>
    <t>-LqmTfTH64o4xuV0MbNb</t>
  </si>
  <si>
    <t>1570657448678</t>
  </si>
  <si>
    <t>-LqmTgzmXe7WktA0Hzu4</t>
  </si>
  <si>
    <t>1570657454919</t>
  </si>
  <si>
    <t>-LqmTiV1ZPrZGtWutgyG</t>
  </si>
  <si>
    <t>1570657461079</t>
  </si>
  <si>
    <t>-LqmTk-KpTPZg6z_4aBG</t>
  </si>
  <si>
    <t>1570657467239</t>
  </si>
  <si>
    <t>-LqmTlWr4ONfaWZMHIX9</t>
  </si>
  <si>
    <t>1570657473478</t>
  </si>
  <si>
    <t>-LqmTn16eyzhW3IlRCX1</t>
  </si>
  <si>
    <t>1570657479637</t>
  </si>
  <si>
    <t>-LqmToXL-Vyvmg6cRl2Y</t>
  </si>
  <si>
    <t>1570657485799</t>
  </si>
  <si>
    <t>-LqmTq1b-pcDGaSaJ_fc</t>
  </si>
  <si>
    <t>1570657491964</t>
  </si>
  <si>
    <t>-LqmTrZ1nDrIQdKLdZxK</t>
  </si>
  <si>
    <t>1570657498199</t>
  </si>
  <si>
    <t>-LqmTt25UvGU0CmLeTt1</t>
  </si>
  <si>
    <t>1570657504355</t>
  </si>
  <si>
    <t>-LqmTuZ_1JC3imGBazgE</t>
  </si>
  <si>
    <t>1570657510519</t>
  </si>
  <si>
    <t>-LqmTw3rUzfucFOnVfPL</t>
  </si>
  <si>
    <t>1570657516744</t>
  </si>
  <si>
    <t>-LqmTxaMrxoLh6FBTiiS</t>
  </si>
  <si>
    <t>1570657522919</t>
  </si>
  <si>
    <t>-LqmTz6a1DeVtCFe2BaJ</t>
  </si>
  <si>
    <t>1570657529072</t>
  </si>
  <si>
    <t>-LqmU-as2bp4bBcF7zdA</t>
  </si>
  <si>
    <t>1570657535238</t>
  </si>
  <si>
    <t>-LqmU17KctgIyHnryfAL</t>
  </si>
  <si>
    <t>1570657541479</t>
  </si>
  <si>
    <t>-LqmU2caHiwu7G9bzH8D</t>
  </si>
  <si>
    <t>1570657547639</t>
  </si>
  <si>
    <t>-LqmU47kHX3J2mVwt0fr</t>
  </si>
  <si>
    <t>1570657553798</t>
  </si>
  <si>
    <t>-LqmU5d019vbT8548WyP</t>
  </si>
  <si>
    <t>1570657559964</t>
  </si>
  <si>
    <t>-LqmU79OVYDrsopuHim1</t>
  </si>
  <si>
    <t>1570657566194</t>
  </si>
  <si>
    <t>-LqmU8yrnwR0J7OW3BXb</t>
  </si>
  <si>
    <t>1570657572358</t>
  </si>
  <si>
    <t>-LqmUAgroPgkmrhOXvpz</t>
  </si>
  <si>
    <t>1570657580599</t>
  </si>
  <si>
    <t>-LqmUCR1SQX-LB8zzJUN</t>
  </si>
  <si>
    <t>1570657587797</t>
  </si>
  <si>
    <t>-LqmUDwMoJwtYEeEiWYi</t>
  </si>
  <si>
    <t>1570657593964</t>
  </si>
  <si>
    <t>-LqmUFSqFzt9t6lOTfQB</t>
  </si>
  <si>
    <t>1570657600198</t>
  </si>
  <si>
    <t>-LqmUGwrsWuGW4smyJd9</t>
  </si>
  <si>
    <t>1570657606359</t>
  </si>
  <si>
    <t>-LqmUITHbvmZHd-WGrhN</t>
  </si>
  <si>
    <t>1570657612519</t>
  </si>
  <si>
    <t>-LqmUJxNQPnIvkVAxg0B</t>
  </si>
  <si>
    <t>1570657618688</t>
  </si>
  <si>
    <t>-LqmULlouLGIypAATEyO</t>
  </si>
  <si>
    <t>1570657624918</t>
  </si>
  <si>
    <t>-LqmUNVs-kJu2l0KWBeW</t>
  </si>
  <si>
    <t>1570657633161</t>
  </si>
  <si>
    <t>-LqmUP0-TcGzuhDJdggf</t>
  </si>
  <si>
    <t>1570657639319</t>
  </si>
  <si>
    <t>-LqmUQWGWR7zxeP1OO16</t>
  </si>
  <si>
    <t>1570657645478</t>
  </si>
  <si>
    <t>-LqmUS0WsaUMS4uDHh3B</t>
  </si>
  <si>
    <t>1570657651658</t>
  </si>
  <si>
    <t>-LqmUTY5Ce2tFQiYnCmB</t>
  </si>
  <si>
    <t>1570657657944</t>
  </si>
  <si>
    <t>-LqmUV3W5gWSfB2XxXBa</t>
  </si>
  <si>
    <t>1570657664113</t>
  </si>
  <si>
    <t>-LqmUWY_HobxJLdWY34F</t>
  </si>
  <si>
    <t>1570657670198</t>
  </si>
  <si>
    <t>-LqmUYJbBmkYuRqYDGQP</t>
  </si>
  <si>
    <t>1570657676432</t>
  </si>
  <si>
    <t>-LqmUZpbQznCoxZiyr4l</t>
  </si>
  <si>
    <t>1570657683637</t>
  </si>
  <si>
    <t>-LqmUaKlsslaTvjG7LTU</t>
  </si>
  <si>
    <t>1570657689800</t>
  </si>
  <si>
    <t>-LqmUbrMuzG7FdXKWh_1</t>
  </si>
  <si>
    <t>1570657695953</t>
  </si>
  <si>
    <t>-LqmUdK5Nx12rNi37FVe</t>
  </si>
  <si>
    <t>1570657702118</t>
  </si>
  <si>
    <t>-LqmUermF-gw3Wyhx_ao</t>
  </si>
  <si>
    <t>1570657708357</t>
  </si>
  <si>
    <t>-LqmUgTFgeSB9-VpdXCw</t>
  </si>
  <si>
    <t>1570657714518</t>
  </si>
  <si>
    <t>-LqmUi8amJtlF-aDCV-z</t>
  </si>
  <si>
    <t>1570657721717</t>
  </si>
  <si>
    <t>-LqmUjga8HSRgKPIXJ1w</t>
  </si>
  <si>
    <t>1570657727958</t>
  </si>
  <si>
    <t>-LqmUlQ0gnMALM_Af0kg</t>
  </si>
  <si>
    <t>1570657735148</t>
  </si>
  <si>
    <t>-LqmUmulWtKN9EnLYY_D</t>
  </si>
  <si>
    <t>1570657741317</t>
  </si>
  <si>
    <t>-LqmUoQ4MYLBbXWEWkXV</t>
  </si>
  <si>
    <t>1570657747478</t>
  </si>
  <si>
    <t>-LqmUpvFsHK20pRlNSAp</t>
  </si>
  <si>
    <t>1570657753703</t>
  </si>
  <si>
    <t>-LqmUrRpqPaA7SqMEXw1</t>
  </si>
  <si>
    <t>1570657759873</t>
  </si>
  <si>
    <t>-LqmUsx5GtTSVyBMuV7_</t>
  </si>
  <si>
    <t>1570657766038</t>
  </si>
  <si>
    <t>-LqmUuSNrqpykv99YHg_</t>
  </si>
  <si>
    <t>1570657772197</t>
  </si>
  <si>
    <t>-LqmUvyt4zCLD8k8zAz5</t>
  </si>
  <si>
    <t>1570657778444</t>
  </si>
  <si>
    <t>-LqmUxU5BOlmilkR7g-S</t>
  </si>
  <si>
    <t>1570657784592</t>
  </si>
  <si>
    <t>-LqmUzFp1OID8aeib-kv</t>
  </si>
  <si>
    <t>1570657790758</t>
  </si>
  <si>
    <t>-LqmV0-5HjvHyeSd2akI</t>
  </si>
  <si>
    <t>1570657799002</t>
  </si>
  <si>
    <t>-LqmV1VIWFxY7puMcMID</t>
  </si>
  <si>
    <t>1570657805163</t>
  </si>
  <si>
    <t>-LqmV30lWigsBx_MtXHm</t>
  </si>
  <si>
    <t>1570657811399</t>
  </si>
  <si>
    <t>-LqmV4WmCFm4fV7tXtF6</t>
  </si>
  <si>
    <t>1570657817553</t>
  </si>
  <si>
    <t>-LqmV61Lx0aL7bS1yeQi</t>
  </si>
  <si>
    <t>1570657823718</t>
  </si>
  <si>
    <t>-LqmV7WM7z8U-9tP7gzG</t>
  </si>
  <si>
    <t>1570657829893</t>
  </si>
  <si>
    <t>-LqmV934p1J2EPvPN9wf</t>
  </si>
  <si>
    <t>1570657836118</t>
  </si>
  <si>
    <t>-LqmVF08s8rQO2u1WYMP</t>
  </si>
  <si>
    <t>1570657859813</t>
  </si>
  <si>
    <t>-LqmVG_LY9_HWFcIHL8G</t>
  </si>
  <si>
    <t>1570657866920</t>
  </si>
  <si>
    <t>-LqmVI5sTzOvZgz68r30</t>
  </si>
  <si>
    <t>1570657873158</t>
  </si>
  <si>
    <t>-LqmVJ_qRwIIyDDrgn2q</t>
  </si>
  <si>
    <t>1570657879248</t>
  </si>
  <si>
    <t>-LqmVL6GURGWgVMFZLp6</t>
  </si>
  <si>
    <t>1570657885479</t>
  </si>
  <si>
    <t>-LqmVMbXucpcQ4m8ejAP</t>
  </si>
  <si>
    <t>1570657891640</t>
  </si>
  <si>
    <t>-LqmVOAcsWj1bYiL55dV</t>
  </si>
  <si>
    <t>1570657897879</t>
  </si>
  <si>
    <t>-LqmVPtYzIkaLZzhD4Qx</t>
  </si>
  <si>
    <t>1570657905079</t>
  </si>
  <si>
    <t>-LqmVROrkVtLos5u_zFE</t>
  </si>
  <si>
    <t>1570657911239</t>
  </si>
  <si>
    <t>-LqmVSuCmTmUl9sv-n9X</t>
  </si>
  <si>
    <t>1570657917404</t>
  </si>
  <si>
    <t>-LqmVUQYT3y_ZDxmILzo</t>
  </si>
  <si>
    <t>1570657923639</t>
  </si>
  <si>
    <t>-LqmVVvleYvRPt07g4yl</t>
  </si>
  <si>
    <t>1570657929798</t>
  </si>
  <si>
    <t>-LqmVXSOv_zrFBKTs3Ne</t>
  </si>
  <si>
    <t>1570657935953</t>
  </si>
  <si>
    <t>-LqmVZBZdmrBlJgMJ7EK</t>
  </si>
  <si>
    <t>1570657943159</t>
  </si>
  <si>
    <t>-LqmV_i5HNBH2DiNPz6A</t>
  </si>
  <si>
    <t>1570657949400</t>
  </si>
  <si>
    <t>-LqmVbDPRTrNbk0jEFdQ</t>
  </si>
  <si>
    <t>1570657955560</t>
  </si>
  <si>
    <t>-LqmVciazcMrb7gcoYfw</t>
  </si>
  <si>
    <t>1570657961713</t>
  </si>
  <si>
    <t>-LqmVeDl9udvh_Tj1Acc</t>
  </si>
  <si>
    <t>1570657967879</t>
  </si>
  <si>
    <t>-LqmVfkOpOGXkERWMzro</t>
  </si>
  <si>
    <t>1570657974120</t>
  </si>
  <si>
    <t>-LqmVhFc7erYjDF1b-gH</t>
  </si>
  <si>
    <t>1570657980279</t>
  </si>
  <si>
    <t>-LqmVikr5yQqYOhoaLA-</t>
  </si>
  <si>
    <t>1570657986439</t>
  </si>
  <si>
    <t>-LqmVkG7vMyyKtrWEViS</t>
  </si>
  <si>
    <t>1570657992605</t>
  </si>
  <si>
    <t>-LqmVllL02_L_3ZuAruM</t>
  </si>
  <si>
    <t>1570657998783</t>
  </si>
  <si>
    <t>-LqmVnHsvdjwU907dKYb</t>
  </si>
  <si>
    <t>1570658004995</t>
  </si>
  <si>
    <t>-LqmVon75Cl06qiYh93G</t>
  </si>
  <si>
    <t>1570658011159</t>
  </si>
  <si>
    <t>-LqmVqILxvJ5L4XhYMIp</t>
  </si>
  <si>
    <t>1570658017328</t>
  </si>
  <si>
    <t>-LqmVrosXJYrTWN6uu3z</t>
  </si>
  <si>
    <t>1570658023558</t>
  </si>
  <si>
    <t>-LqmVtKBZYNOQus7A5Qo</t>
  </si>
  <si>
    <t>1570658029719</t>
  </si>
  <si>
    <t>-LqmVupMTKQvIOh-WJWS</t>
  </si>
  <si>
    <t>1570658035878</t>
  </si>
  <si>
    <t>-LqmVwLqeX82FcnSmd3K</t>
  </si>
  <si>
    <t>1570658042119</t>
  </si>
  <si>
    <t>-LqmVxqs32Ioas8l85hl</t>
  </si>
  <si>
    <t>1570658048288</t>
  </si>
  <si>
    <t>-LqmVzMLpSKrXzqbo3em</t>
  </si>
  <si>
    <t>1570658054440</t>
  </si>
  <si>
    <t>-LqmW-rcEVu-71-b-BdL</t>
  </si>
  <si>
    <t>1570658060598</t>
  </si>
  <si>
    <t>-LqmW1eM6tfyn27bfXFP</t>
  </si>
  <si>
    <t>1570658066838</t>
  </si>
  <si>
    <t>-LqmW3R04SAolo2NpeKm</t>
  </si>
  <si>
    <t>1570658075079</t>
  </si>
  <si>
    <t>-LqmW57soU4ohi4v6jAD</t>
  </si>
  <si>
    <t>1570658082229</t>
  </si>
  <si>
    <t>-LqmW6ebKmIm56n6-Tbx</t>
  </si>
  <si>
    <t>1570658088435</t>
  </si>
  <si>
    <t>-LqmW8B66RZyEq5qVDOE</t>
  </si>
  <si>
    <t>1570658094680</t>
  </si>
  <si>
    <t>-LqmW9f63hroT7Uc2Ktm</t>
  </si>
  <si>
    <t>1570658100758</t>
  </si>
  <si>
    <t>-LqmWBBbExYYc6IvFQ9X</t>
  </si>
  <si>
    <t>1570658106999</t>
  </si>
  <si>
    <t>-LqmWCuXR_2Z0oRoOuOZ</t>
  </si>
  <si>
    <t>1570658114077</t>
  </si>
  <si>
    <t>-LqmWESL-tc_CbaCU8xt</t>
  </si>
  <si>
    <t>1570658120360</t>
  </si>
  <si>
    <t>-LqmWFyry-tSCRhH3r6W</t>
  </si>
  <si>
    <t>1570658126599</t>
  </si>
  <si>
    <t>-LqmWHU7t-6fPl6yOGUe</t>
  </si>
  <si>
    <t>1570658132758</t>
  </si>
  <si>
    <t>-LqmWIzKtFMd3lVJU-sa</t>
  </si>
  <si>
    <t>1570658138919</t>
  </si>
  <si>
    <t>-LqmWKVqgQEQnm2QeVpg</t>
  </si>
  <si>
    <t>1570658145084</t>
  </si>
  <si>
    <t>-LqmWM1HkyXt8JouOlCP</t>
  </si>
  <si>
    <t>1570658151408</t>
  </si>
  <si>
    <t>-LqmWNlbcbeWdsh5mrXu</t>
  </si>
  <si>
    <t>1570658158515</t>
  </si>
  <si>
    <t>-LqmWPGqqJu5gO85ei-6</t>
  </si>
  <si>
    <t>1570658164680</t>
  </si>
  <si>
    <t>-LqmWQm6KaMKzH2AIHVe</t>
  </si>
  <si>
    <t>1570658170839</t>
  </si>
  <si>
    <t>-LqmWSIXiolQXRjyam0-</t>
  </si>
  <si>
    <t>1570658177078</t>
  </si>
  <si>
    <t>-LqmWTmbsuiirFynRZZq</t>
  </si>
  <si>
    <t>1570658183198</t>
  </si>
  <si>
    <t>-LqmWVJ5_oF8FfhIqkAa</t>
  </si>
  <si>
    <t>1570658189399</t>
  </si>
  <si>
    <t>-LqmWWoL4ee3cEO8djPy</t>
  </si>
  <si>
    <t>1570658195564</t>
  </si>
  <si>
    <t>-LqmWYKva_BibO8FjnIg</t>
  </si>
  <si>
    <t>1570658201798</t>
  </si>
  <si>
    <t>-LqmWZqBKG2kkr32FW41</t>
  </si>
  <si>
    <t>1570658207959</t>
  </si>
  <si>
    <t>-LqmWaLLMsFl8SS4yiNI</t>
  </si>
  <si>
    <t>1570658214119</t>
  </si>
  <si>
    <t>-LqmWbqaVuDXC8-a2vIG</t>
  </si>
  <si>
    <t>1570658220288</t>
  </si>
  <si>
    <t>-LqmWe3seahEiz1VqrV9</t>
  </si>
  <si>
    <t>1570658227564</t>
  </si>
  <si>
    <t>-LqmWfd5ByRq6wmkKHip</t>
  </si>
  <si>
    <t>1570658235799</t>
  </si>
  <si>
    <t>-LqmWh8LyOSs_uWzYP1k</t>
  </si>
  <si>
    <t>1570658241959</t>
  </si>
  <si>
    <t>-LqmWidasalbLVeiQnHw</t>
  </si>
  <si>
    <t>1570658248120</t>
  </si>
  <si>
    <t>-LqmWk7a216wm6H66dsx</t>
  </si>
  <si>
    <t>1570658254286</t>
  </si>
  <si>
    <t>-LqmWlfM0dD83irwJhk3</t>
  </si>
  <si>
    <t>1570658260519</t>
  </si>
  <si>
    <t>-LqmWnBrOU_Sv2cIdQ_t</t>
  </si>
  <si>
    <t>1570658266745</t>
  </si>
  <si>
    <t>-LqmWow6Hz8kdgmc7Dj-</t>
  </si>
  <si>
    <t>1570658273878</t>
  </si>
  <si>
    <t>-LqmWqi6QGivlzQDu-7c</t>
  </si>
  <si>
    <t>1570658280045</t>
  </si>
  <si>
    <t>-LqmWsBsSohu6VNkk6Ef</t>
  </si>
  <si>
    <t>1570658287244</t>
  </si>
  <si>
    <t>-LqmWth4qYgnNzk9UaJY</t>
  </si>
  <si>
    <t>1570658293430</t>
  </si>
  <si>
    <t>-LqmWvEod55d_A7-R1CW</t>
  </si>
  <si>
    <t>1570658299629</t>
  </si>
  <si>
    <t>-LqmWwz2NrvTv0HRWbAc</t>
  </si>
  <si>
    <t>1570658306840</t>
  </si>
  <si>
    <t>-LqmWyULakfl8QyfVR4B</t>
  </si>
  <si>
    <t>1570658313010</t>
  </si>
  <si>
    <t>-LqmX--swO5IBD4t1q7v</t>
  </si>
  <si>
    <t>1570658319240</t>
  </si>
  <si>
    <t>-LqmX0VyP_ja5dzRchmb</t>
  </si>
  <si>
    <t>1570658325389</t>
  </si>
  <si>
    <t>-LqmX26huSdx3gz3O5c8</t>
  </si>
  <si>
    <t>1570658331560</t>
  </si>
  <si>
    <t>-LqmX3n2SZJaysYCISzl</t>
  </si>
  <si>
    <t>1570658338825</t>
  </si>
  <si>
    <t>-LqmX5H68obdKsw9M6l0</t>
  </si>
  <si>
    <t>1570658344914</t>
  </si>
  <si>
    <t>-LqmX6nafZqOijXnDL6Y</t>
  </si>
  <si>
    <t>1570658351159</t>
  </si>
  <si>
    <t>-LqmX8Ih-CCyZBIU9w0M</t>
  </si>
  <si>
    <t>1570658357320</t>
  </si>
  <si>
    <t>-LqmX9o2KM747r7Ucplv</t>
  </si>
  <si>
    <t>1570658363489</t>
  </si>
  <si>
    <t>-LqmXBKcTZwqjEIEf9is</t>
  </si>
  <si>
    <t>1570658369718</t>
  </si>
  <si>
    <t>-LqmXCpsBNEQKaBz4MpY</t>
  </si>
  <si>
    <t>1570658375879</t>
  </si>
  <si>
    <t>-LqmXEL6I_UTPfS0au_4</t>
  </si>
  <si>
    <t>1570658382039</t>
  </si>
  <si>
    <t>-LqmXFrOi710naphgdIz</t>
  </si>
  <si>
    <t>1570658388275</t>
  </si>
  <si>
    <t>-LqmXHMlSxLQW7kVxnok</t>
  </si>
  <si>
    <t>1570658394440</t>
  </si>
  <si>
    <t>-LqmXIs7D1T-jY6tttg3</t>
  </si>
  <si>
    <t>1570658400599</t>
  </si>
  <si>
    <t>-LqmXKNNOexW-vNYkjtD</t>
  </si>
  <si>
    <t>1570658406758</t>
  </si>
  <si>
    <t>-LqmXLtuUVhZ1K--tm0z</t>
  </si>
  <si>
    <t>1570658413000</t>
  </si>
  <si>
    <t>-LqmXNP6m9UgV7wim8bY</t>
  </si>
  <si>
    <t>1570658419160</t>
  </si>
  <si>
    <t>-LqmXOvcG_dgOtuLfLq5</t>
  </si>
  <si>
    <t>1570658425395</t>
  </si>
  <si>
    <t>-LqmXQPbjBWoIGFW_fRq</t>
  </si>
  <si>
    <t>1570658431479</t>
  </si>
  <si>
    <t>-LqmXRw74owaIGhC76ar</t>
  </si>
  <si>
    <t>1570658437721</t>
  </si>
  <si>
    <t>-LqmXTRHg6UlGxKpCPA4</t>
  </si>
  <si>
    <t>1570658443875</t>
  </si>
  <si>
    <t>-LqmXUwciIHKbSCE9-cl</t>
  </si>
  <si>
    <t>1570658450040</t>
  </si>
  <si>
    <t>-LqmXWT7_ajDERpKNU4_</t>
  </si>
  <si>
    <t>1570658456280</t>
  </si>
  <si>
    <t>-LqmXXyN-nVddLjDLLr9</t>
  </si>
  <si>
    <t>1570658462440</t>
  </si>
  <si>
    <t>-LqmXZTaKCxF_yONFvqN</t>
  </si>
  <si>
    <t>1570658468590</t>
  </si>
  <si>
    <t>-LqmX_yrYFyg2iiS4_zX</t>
  </si>
  <si>
    <t>1570658474759</t>
  </si>
  <si>
    <t>-LqmXbVNgprj8EcsBvwE</t>
  </si>
  <si>
    <t>1570658480999</t>
  </si>
  <si>
    <t>-LqmXd-bu3BgAKt2onQs</t>
  </si>
  <si>
    <t>1570658487160</t>
  </si>
  <si>
    <t>-LqmXel6v8ipEpv9H_z5</t>
  </si>
  <si>
    <t>1570658494375</t>
  </si>
  <si>
    <t>-LqmXgHcT9CqhexnvYYI</t>
  </si>
  <si>
    <t>1570658500590</t>
  </si>
  <si>
    <t>-LqmXhms49hv9VtCpNRy</t>
  </si>
  <si>
    <t>1570658506758</t>
  </si>
  <si>
    <t>-LqmXjI2twzZrmEObmqN</t>
  </si>
  <si>
    <t>1570658512919</t>
  </si>
  <si>
    <t>-LqmXknMkVFE32d48_wM</t>
  </si>
  <si>
    <t>1570658519080</t>
  </si>
  <si>
    <t>-LqmXmIazUem9FBkkuVr</t>
  </si>
  <si>
    <t>1570658525244</t>
  </si>
  <si>
    <t>-LqmXnp7GwT528-dZY7Y</t>
  </si>
  <si>
    <t>1570658531478</t>
  </si>
  <si>
    <t>-LqmXpn89uaI5qGipnEJ</t>
  </si>
  <si>
    <t>1570658539394</t>
  </si>
  <si>
    <t>-LqmXrL7HaEs6IfsajdR</t>
  </si>
  <si>
    <t>1570658545878</t>
  </si>
  <si>
    <t>-LqmXtANK17khsjIItq7</t>
  </si>
  <si>
    <t>1570658552040</t>
  </si>
  <si>
    <t>-LqmXur8keE2NbsWkXW4</t>
  </si>
  <si>
    <t>1570658560279</t>
  </si>
  <si>
    <t>-LqmXwMGCbw3hzvuYUwK</t>
  </si>
  <si>
    <t>1570658566506</t>
  </si>
  <si>
    <t>-LqmXxsrNhIaapMNBqGb</t>
  </si>
  <si>
    <t>1570658572679</t>
  </si>
  <si>
    <t>-LqmXzO5Gly7Th3O-ndS</t>
  </si>
  <si>
    <t>1570658578840</t>
  </si>
  <si>
    <t>-LqmY-ub8TaghNs2n8lv</t>
  </si>
  <si>
    <t>1570658585073</t>
  </si>
  <si>
    <t>-LqmY1PrTH10BVHGBGkI</t>
  </si>
  <si>
    <t>1570658591226</t>
  </si>
  <si>
    <t>-LqmY2v788ynfY26LXIG</t>
  </si>
  <si>
    <t>1570658597398</t>
  </si>
  <si>
    <t>-LqmY4QMy4ONPbvMQgEX</t>
  </si>
  <si>
    <t>1570658603560</t>
  </si>
  <si>
    <t>-LqmY5vbTXUFCKD42L3X</t>
  </si>
  <si>
    <t>1570658609723</t>
  </si>
  <si>
    <t>-LqmY7Rsps3MOR0hCtP3</t>
  </si>
  <si>
    <t>1570658615959</t>
  </si>
  <si>
    <t>-LqmY8xNA85C1SZWSDbx</t>
  </si>
  <si>
    <t>1570658622113</t>
  </si>
  <si>
    <t>-LqmYASc1cNZB3TXYH8G</t>
  </si>
  <si>
    <t>1570658628280</t>
  </si>
  <si>
    <t>-LqmYBynXNgVugFl8POx</t>
  </si>
  <si>
    <t>1570658634505</t>
  </si>
  <si>
    <t>-LqmYDT0CVyLOAjZgZUz</t>
  </si>
  <si>
    <t>1570658640674</t>
  </si>
  <si>
    <t>-LqmYFUVcCIhsgIG0Re-</t>
  </si>
  <si>
    <t>1570658648108</t>
  </si>
  <si>
    <t>-LqmYH-LcVLShAJ6KhYG</t>
  </si>
  <si>
    <t>1570658655078</t>
  </si>
  <si>
    <t>-LqmYIWs5I6a0bBQH1zD</t>
  </si>
  <si>
    <t>1570658661240</t>
  </si>
  <si>
    <t>-LqmYK-s0QhuDZQ0qxib</t>
  </si>
  <si>
    <t>1570658667403</t>
  </si>
  <si>
    <t>-LqmYLXLVDJMeSU8HyuT</t>
  </si>
  <si>
    <t>1570658673634</t>
  </si>
  <si>
    <t>-LqmYN1bmnpEMTMw8ttD</t>
  </si>
  <si>
    <t>1570658679789</t>
  </si>
  <si>
    <t>-LqmYOYobPZJap2kDZVE</t>
  </si>
  <si>
    <t>1570658686024</t>
  </si>
  <si>
    <t>-LqmYQ3Lnzj8vCqGyUJZ</t>
  </si>
  <si>
    <t>1570658692199</t>
  </si>
  <si>
    <t>-LqmYRZcRzY9h5e775Mz</t>
  </si>
  <si>
    <t>1570658698358</t>
  </si>
  <si>
    <t>-LqmYTNqWljcIlfphi4W</t>
  </si>
  <si>
    <t>1570658704518</t>
  </si>
  <si>
    <t>-LqmYV4b5yBO7yllo9-H</t>
  </si>
  <si>
    <t>1570658712759</t>
  </si>
  <si>
    <t>-LqmYWb1od0iCqk-uouf</t>
  </si>
  <si>
    <t>1570658719000</t>
  </si>
  <si>
    <t>-LqmYYK6Bqa0q9oHvIi1</t>
  </si>
  <si>
    <t>1570658725158</t>
  </si>
  <si>
    <t>-LqmYZrn5gaTbFk-Ph-g</t>
  </si>
  <si>
    <t>1570658732359</t>
  </si>
  <si>
    <t>-LqmYaN5ko4SBcRurWfR</t>
  </si>
  <si>
    <t>1570658738520</t>
  </si>
  <si>
    <t>-LqmYburRcwvOAq_A20K</t>
  </si>
  <si>
    <t>1570658744745</t>
  </si>
  <si>
    <t>-LqmYdOsWsU-boZMOVuH</t>
  </si>
  <si>
    <t>1570658750919</t>
  </si>
  <si>
    <t>-LqmYeu73GlP2rgVZWhu</t>
  </si>
  <si>
    <t>1570658757069</t>
  </si>
  <si>
    <t>-LqmYgPN4z24NSV8ePms</t>
  </si>
  <si>
    <t>1570658763240</t>
  </si>
  <si>
    <t>-LqmYhubu3tjReaCYxf0</t>
  </si>
  <si>
    <t>1570658769480</t>
  </si>
  <si>
    <t>-LqmYjR7kOuPDN1x3JwA</t>
  </si>
  <si>
    <t>1570658775635</t>
  </si>
  <si>
    <t>-LqmYkwMnFuo2tvQHF5G</t>
  </si>
  <si>
    <t>1570658781800</t>
  </si>
  <si>
    <t>-LqmYmRYzejfj9kuQHJW</t>
  </si>
  <si>
    <t>1570658787965</t>
  </si>
  <si>
    <t>-LqmYny7FR32Ay53yQOv</t>
  </si>
  <si>
    <t>1570658794263</t>
  </si>
  <si>
    <t>-LqmYpTNWXkp2XTEctw8</t>
  </si>
  <si>
    <t>1570658800360</t>
  </si>
  <si>
    <t>-LqmYqyXbolfckBMqXH-</t>
  </si>
  <si>
    <t>1570658806514</t>
  </si>
  <si>
    <t>-LqmYsV7dSu-vIoAgJqS</t>
  </si>
  <si>
    <t>1570658812755</t>
  </si>
  <si>
    <t>-LqmYuEN6AupkhbphGwr</t>
  </si>
  <si>
    <t>1570658819959</t>
  </si>
  <si>
    <t>-LqmYvkr58WOGDQwbVQ6</t>
  </si>
  <si>
    <t>1570658826120</t>
  </si>
  <si>
    <t>-LqmYxG7nvUh1_OLXEsR</t>
  </si>
  <si>
    <t>1570658832279</t>
  </si>
  <si>
    <t>-LqmYylNpbd-a7-lvoOB</t>
  </si>
  <si>
    <t>1570658838444</t>
  </si>
  <si>
    <t>-LqmZ-IAu6-81O4sSUkM</t>
  </si>
  <si>
    <t>1570658844683</t>
  </si>
  <si>
    <t>-LqmZ0n6syyinuV0Dwoz</t>
  </si>
  <si>
    <t>1570658850840</t>
  </si>
  <si>
    <t>-LqmZ2INRtmCb-TPvgKh</t>
  </si>
  <si>
    <t>1570658856999</t>
  </si>
  <si>
    <t>-LqmZ3osMKcCH8z4TkI4</t>
  </si>
  <si>
    <t>1570658863169</t>
  </si>
  <si>
    <t>-LqmZ5K9wfUxKf3O9oC5</t>
  </si>
  <si>
    <t>1570658869325</t>
  </si>
  <si>
    <t>-LqmZ6pJ6ZcdrxgrWvch</t>
  </si>
  <si>
    <t>1570658875561</t>
  </si>
  <si>
    <t>-LqmZ8KOhsclAwhAL_bl</t>
  </si>
  <si>
    <t>1570658881719</t>
  </si>
  <si>
    <t>-LqmZ9r5cEA3N0IkobsH</t>
  </si>
  <si>
    <t>1570658887960</t>
  </si>
  <si>
    <t>-LqmZBbcDZW4xe0y1zDB</t>
  </si>
  <si>
    <t>1570658895159</t>
  </si>
  <si>
    <t>-LqmZD6l0SpW0xNvCaxn</t>
  </si>
  <si>
    <t>1570658901318</t>
  </si>
  <si>
    <t>-LqmZEc7hnZDdZnMx6BV</t>
  </si>
  <si>
    <t>1570658907480</t>
  </si>
  <si>
    <t>-LqmZGP4MvHKD5AR1jYi</t>
  </si>
  <si>
    <t>1570658913640</t>
  </si>
  <si>
    <t>-LqmZHsrxQ-QXrcCEMxC</t>
  </si>
  <si>
    <t>1570658920848</t>
  </si>
  <si>
    <t>-LqmZJQbP5FkL57AnfzS</t>
  </si>
  <si>
    <t>1570658927078</t>
  </si>
  <si>
    <t>-LqmZLB6RRpfJETY7w8t</t>
  </si>
  <si>
    <t>1570658934270</t>
  </si>
  <si>
    <t>-LqmZMvMCf4jIoXoqCpc</t>
  </si>
  <si>
    <t>1570658941480</t>
  </si>
  <si>
    <t>-LqmZORcAXS3NunlM4xd</t>
  </si>
  <si>
    <t>1570658947704</t>
  </si>
  <si>
    <t>-LqmZPx60TvvjH_M34v4</t>
  </si>
  <si>
    <t>1570658953880</t>
  </si>
  <si>
    <t>-LqmZRSP_fz8kR-em6-w</t>
  </si>
  <si>
    <t>1570658960040</t>
  </si>
  <si>
    <t>-LqmZSxbaLvwJyLeeifr</t>
  </si>
  <si>
    <t>1570658966198</t>
  </si>
  <si>
    <t>-LqmZUU6JDQ8gfYuaF7u</t>
  </si>
  <si>
    <t>1570658972439</t>
  </si>
  <si>
    <t>-LqmZVzN0s0TZnnPCjrS</t>
  </si>
  <si>
    <t>1570658978599</t>
  </si>
  <si>
    <t>-LqmZXUbooC2nfryLxFL</t>
  </si>
  <si>
    <t>1570658984759</t>
  </si>
  <si>
    <t>-LqmZYzm0URKWXsic14H</t>
  </si>
  <si>
    <t>1570658990924</t>
  </si>
  <si>
    <t>-LqmZ_WM6TsqyXZFv936</t>
  </si>
  <si>
    <t>1570658997159</t>
  </si>
  <si>
    <t>-LqmZb4QEP4DtM9xkpew</t>
  </si>
  <si>
    <t>1570659003314</t>
  </si>
  <si>
    <t>-LqmZcm6isRVylWbv23L</t>
  </si>
  <si>
    <t>1570659010520</t>
  </si>
  <si>
    <t>-LqmZeHH8-zamSv4331X</t>
  </si>
  <si>
    <t>1570659016683</t>
  </si>
  <si>
    <t>-LqmZfmavNiz4_fWY78x</t>
  </si>
  <si>
    <t>1570659022865</t>
  </si>
  <si>
    <t>-LqmZhJ6USHj1lWAaMr_</t>
  </si>
  <si>
    <t>1570659029079</t>
  </si>
  <si>
    <t>-LqmZioMRkUEwrc6bxrG</t>
  </si>
  <si>
    <t>1570659035233</t>
  </si>
  <si>
    <t>-LqmZkJbyVAk3z4-RJ6Y</t>
  </si>
  <si>
    <t>1570659041400</t>
  </si>
  <si>
    <t>-LqmZlq6_JqVWiMTIkvm</t>
  </si>
  <si>
    <t>1570659047634</t>
  </si>
  <si>
    <t>-LqmZnaILA-1aqZzkj2Z</t>
  </si>
  <si>
    <t>1570659054828</t>
  </si>
  <si>
    <t>-LqmZp5rxz9fqbzpbKa0</t>
  </si>
  <si>
    <t>1570659060998</t>
  </si>
  <si>
    <t>-LqmZqb6PRlarAaLL_si</t>
  </si>
  <si>
    <t>1570659067166</t>
  </si>
  <si>
    <t>-LqmZs7aGcmBDLRFrMhw</t>
  </si>
  <si>
    <t>1570659073398</t>
  </si>
  <si>
    <t>-LqmZtcrSelEuHDkH2Q9</t>
  </si>
  <si>
    <t>1570659079560</t>
  </si>
  <si>
    <t>-LqmZv86b6rJTzJ7LoLL</t>
  </si>
  <si>
    <t>1570659085718</t>
  </si>
  <si>
    <t>-LqmZwebZHYSvyAIgNLI</t>
  </si>
  <si>
    <t>1570659091955</t>
  </si>
  <si>
    <t>-LqmZyL1ZzCj1RUnH8gz</t>
  </si>
  <si>
    <t>1570659098848</t>
  </si>
  <si>
    <t>-LqmZzvMdw5_l5FO7Lsi</t>
  </si>
  <si>
    <t>1570659105315</t>
  </si>
  <si>
    <t>-Lqm_0Qbvf8dKlzhdxm2</t>
  </si>
  <si>
    <t>1570659111479</t>
  </si>
  <si>
    <t>-Lqm_1ubEbbrviwLId79</t>
  </si>
  <si>
    <t>1570659117648</t>
  </si>
  <si>
    <t>-Lqm_3TboS3FWArPhjIa</t>
  </si>
  <si>
    <t>1570659123880</t>
  </si>
  <si>
    <t>-Lqm_5V_3pidqmgfX5O0</t>
  </si>
  <si>
    <t>1570659132292</t>
  </si>
  <si>
    <t>-Lqm_7G4Ufl-16G37r35</t>
  </si>
  <si>
    <t>1570659139308</t>
  </si>
  <si>
    <t>-Lqm_8z4f8-8xFs-h-C1</t>
  </si>
  <si>
    <t>1570659146518</t>
  </si>
  <si>
    <t>-Lqm_AULSI2ix9FnpJrZ</t>
  </si>
  <si>
    <t>1570659152677</t>
  </si>
  <si>
    <t>-Lqm_Bz_8IgmvX7tnDm7</t>
  </si>
  <si>
    <t>1570659158857</t>
  </si>
  <si>
    <t>-Lqm_DYa_HrRjJM7ymvp</t>
  </si>
  <si>
    <t>1570659165078</t>
  </si>
  <si>
    <t>-Lqm_FFLDgVcfBL-I6ka</t>
  </si>
  <si>
    <t>1570659172261</t>
  </si>
  <si>
    <t>-Lqm_Glpypb2d2cN5csO</t>
  </si>
  <si>
    <t>1570659178433</t>
  </si>
  <si>
    <t>-Lqm_IGpQ8kGB3ZUuhT2</t>
  </si>
  <si>
    <t>1570659184662</t>
  </si>
  <si>
    <t>-Lqm_JnZOpUy-_YB1M5C</t>
  </si>
  <si>
    <t>1570659190839</t>
  </si>
  <si>
    <t>-Lqm_LIke0E3Xgp4ZG-2</t>
  </si>
  <si>
    <t>1570659196997</t>
  </si>
  <si>
    <t>-Lqm_Mo5FEZRvrD2jsEY</t>
  </si>
  <si>
    <t>1570659203158</t>
  </si>
  <si>
    <t>-Lqm_OKaNggm-N7PG91D</t>
  </si>
  <si>
    <t>1570659209398</t>
  </si>
  <si>
    <t>-Lqm_Ppol16sh82o5oZ7</t>
  </si>
  <si>
    <t>1570659215553</t>
  </si>
  <si>
    <t>-Lqm_RKzZjt2jRLnykTU</t>
  </si>
  <si>
    <t>1570659221716</t>
  </si>
  <si>
    <t>-Lqm_SqMOwZFcd52T_CY</t>
  </si>
  <si>
    <t>1570659227937</t>
  </si>
  <si>
    <t>-Lqm_UMlTwldp7MMuJa5</t>
  </si>
  <si>
    <t>1570659234118</t>
  </si>
  <si>
    <t>-Lqm_VqzxpUlbqEkAxhR</t>
  </si>
  <si>
    <t>1570659240277</t>
  </si>
  <si>
    <t>-Lqm_XNKK0BfQT2WcqGs</t>
  </si>
  <si>
    <t>1570659246438</t>
  </si>
  <si>
    <t>-Lqm_Yt_gRmyINwaGzbs</t>
  </si>
  <si>
    <t>1570659252661</t>
  </si>
  <si>
    <t>-Lqm__P3suVnfzle9jNo</t>
  </si>
  <si>
    <t>1570659258838</t>
  </si>
  <si>
    <t>-Lqm_at5WKoRHNrHbZGc</t>
  </si>
  <si>
    <t>1570659264998</t>
  </si>
  <si>
    <t>-Lqm_cPZQDgxeNqFmPcF</t>
  </si>
  <si>
    <t>1570659271156</t>
  </si>
  <si>
    <t>-Lqm_e87awIho338FSKP</t>
  </si>
  <si>
    <t>1570659277398</t>
  </si>
  <si>
    <t>-Lqm_fhptiGx2q9bZnxp</t>
  </si>
  <si>
    <t>1570659284592</t>
  </si>
  <si>
    <t>-Lqm_hS53lVPZ6-f-oNE</t>
  </si>
  <si>
    <t>1570659291797</t>
  </si>
  <si>
    <t>-Lqm_iy80x5It76KVIC4</t>
  </si>
  <si>
    <t>1570659297947</t>
  </si>
  <si>
    <t>-Lqm_kS_x350fOLpzhod</t>
  </si>
  <si>
    <t>1570659304182</t>
  </si>
  <si>
    <t>-Lqm_lz49YaGQmlzMeWB</t>
  </si>
  <si>
    <t>1570659310357</t>
  </si>
  <si>
    <t>-Lqm_nULGxQLBF9O6Z7T</t>
  </si>
  <si>
    <t>1570659316511</t>
  </si>
  <si>
    <t>-Lqm_oyJE8ke6UMlT9uC</t>
  </si>
  <si>
    <t>1570659322677</t>
  </si>
  <si>
    <t>-Lqm_qsoSE3sskrRvELJ</t>
  </si>
  <si>
    <t>1570659328912</t>
  </si>
  <si>
    <t>-Lqm_sVaydfec9w6_JEh</t>
  </si>
  <si>
    <t>1570659337097</t>
  </si>
  <si>
    <t>-Lqm_ua6x2wtJN7KZJKL</t>
  </si>
  <si>
    <t>1570659343381</t>
  </si>
  <si>
    <t>-Lqm_wI75zcqlYX5SNwa</t>
  </si>
  <si>
    <t>1570659352600</t>
  </si>
  <si>
    <t>-Lqm_xwo92-7dQJ9s9Xz</t>
  </si>
  <si>
    <t>1570659358760</t>
  </si>
  <si>
    <t>-Lqm_zYngWCBm_CsU5_G</t>
  </si>
  <si>
    <t>1570659365961</t>
  </si>
  <si>
    <t>-Lqma038MlJ7GiMKHTah</t>
  </si>
  <si>
    <t>1570659372130</t>
  </si>
  <si>
    <t>-Lqma1_dBUkJzqIivhd3</t>
  </si>
  <si>
    <t>1570659378361</t>
  </si>
  <si>
    <t>-Lqma33d_DZJAcvd5ycv</t>
  </si>
  <si>
    <t>1570659384521</t>
  </si>
  <si>
    <t>-Lqma4a3hrxEn5Q08n_v</t>
  </si>
  <si>
    <t>1570659390681</t>
  </si>
  <si>
    <t>-Lqma66eihbTiI2xFJVo</t>
  </si>
  <si>
    <t>1570659396921</t>
  </si>
  <si>
    <t>-Lqma7bowbGmCvr3dpdb</t>
  </si>
  <si>
    <t>1570659403081</t>
  </si>
  <si>
    <t>-Lqma972I9-ZmyMTrxlH</t>
  </si>
  <si>
    <t>1570659409241</t>
  </si>
  <si>
    <t>-LqmaAetYixSVdEtZYrw</t>
  </si>
  <si>
    <t>1570659415406</t>
  </si>
  <si>
    <t>-LqmaCP7f5aaM3enwkk0</t>
  </si>
  <si>
    <t>1570659422676</t>
  </si>
  <si>
    <t>-LqmaDuOjptzj_e4J_Q3</t>
  </si>
  <si>
    <t>1570659428840</t>
  </si>
  <si>
    <t>-LqmaFl5uOE4xRD0B4Yk</t>
  </si>
  <si>
    <t>1570659434995</t>
  </si>
  <si>
    <t>-LqmaHQN9FzKzZsCrGHK</t>
  </si>
  <si>
    <t>1570659443241</t>
  </si>
  <si>
    <t>-LqmaIvdxglDKEjsb4HY</t>
  </si>
  <si>
    <t>1570659449400</t>
  </si>
  <si>
    <t>-LqmaKSqo_rfdkyvOw5Q</t>
  </si>
  <si>
    <t>1570659455640</t>
  </si>
  <si>
    <t>-LqmaLxNdYniazWuF9Ke</t>
  </si>
  <si>
    <t>1570659461801</t>
  </si>
  <si>
    <t>-LqmaNSdKQBfRcjt_I0y</t>
  </si>
  <si>
    <t>1570659467960</t>
  </si>
  <si>
    <t>-LqmaOz8va907QL-NfXG</t>
  </si>
  <si>
    <t>1570659474186</t>
  </si>
  <si>
    <t>-LqmaQT7SbalNfuC2IJd</t>
  </si>
  <si>
    <t>1570659480286</t>
  </si>
  <si>
    <t>-LqmaRy8hkoTD4e3JiZJ</t>
  </si>
  <si>
    <t>1570659486505</t>
  </si>
  <si>
    <t>-LqmaTUnR03EFcEZkkzb</t>
  </si>
  <si>
    <t>1570659492681</t>
  </si>
  <si>
    <t>-LqmaVFJB3m99nppYg93</t>
  </si>
  <si>
    <t>1570659498922</t>
  </si>
  <si>
    <t>-LqmaWkAjw423k3EVrN5</t>
  </si>
  <si>
    <t>1570659506070</t>
  </si>
  <si>
    <t>-LqmaYH8UG9t7vzr-GXT</t>
  </si>
  <si>
    <t>1570659512274</t>
  </si>
  <si>
    <t>-LqmaZot2XZBG5RX4LXX</t>
  </si>
  <si>
    <t>1570659518439</t>
  </si>
  <si>
    <t>-LqmaaZ8iBtt8tDOJoM2</t>
  </si>
  <si>
    <t>1570659525706</t>
  </si>
  <si>
    <t>-Lqmac28uD57sVGLbsCC</t>
  </si>
  <si>
    <t>1570659531805</t>
  </si>
  <si>
    <t>-LqmadnLHvPisQg3JlRp</t>
  </si>
  <si>
    <t>1570659538037</t>
  </si>
  <si>
    <t>-LqmafK8qzi05R-Ztryl</t>
  </si>
  <si>
    <t>1570659545242</t>
  </si>
  <si>
    <t>-LqmagpJghQvUAql2wvZ</t>
  </si>
  <si>
    <t>1570659551402</t>
  </si>
  <si>
    <t>-LqmaidpHlDvQnVCAbmJ</t>
  </si>
  <si>
    <t>1570659557636</t>
  </si>
  <si>
    <t>-LqmakLNe8nQhUkQFpj4</t>
  </si>
  <si>
    <t>1570659565825</t>
  </si>
  <si>
    <t>-Lqmalrme7aOKIFdi_wA</t>
  </si>
  <si>
    <t>1570659572041</t>
  </si>
  <si>
    <t>-LqmanN7yRKlgR0ekf6D</t>
  </si>
  <si>
    <t>1570659578205</t>
  </si>
  <si>
    <t>-LqmaosMruqQbdWE8Q0-</t>
  </si>
  <si>
    <t>1570659584424</t>
  </si>
  <si>
    <t>-LqmaqOsA8aEa232JIeh</t>
  </si>
  <si>
    <t>1570659590600</t>
  </si>
  <si>
    <t>-Lqmaru7gkA0_53TgyHz</t>
  </si>
  <si>
    <t>1570659596758</t>
  </si>
  <si>
    <t>-LqmatPMFT4Hiu6c9fOJ</t>
  </si>
  <si>
    <t>1570659602919</t>
  </si>
  <si>
    <t>-LqmauvnIFmpJqU_wLpW</t>
  </si>
  <si>
    <t>1570659609159</t>
  </si>
  <si>
    <t>-LqmawQtV-UhSexCd7bU</t>
  </si>
  <si>
    <t>1570659615319</t>
  </si>
  <si>
    <t>-LqmaxwNVkYrGc28mBoS</t>
  </si>
  <si>
    <t>1570659621480</t>
  </si>
  <si>
    <t>-LqmazRcSE1fp1LH9dWt</t>
  </si>
  <si>
    <t>1570659627644</t>
  </si>
  <si>
    <t>-Lqmb-y6XiBrWL2rY8-2</t>
  </si>
  <si>
    <t>1570659633878</t>
  </si>
  <si>
    <t>-Lqmb1TNlWb9I0xPVpD0</t>
  </si>
  <si>
    <t>1570659640040</t>
  </si>
  <si>
    <t>-Lqmb2ycpLW5GiaXSyja</t>
  </si>
  <si>
    <t>1570659646190</t>
  </si>
  <si>
    <t>-Lqmb4TreuLE5bejqII1</t>
  </si>
  <si>
    <t>1570659652369</t>
  </si>
  <si>
    <t>-Lqmb6-BT3qhBNcFxntT</t>
  </si>
  <si>
    <t>1570659658599</t>
  </si>
  <si>
    <t>-Lqmb7XyrpcJqhzLdDGQ</t>
  </si>
  <si>
    <t>1570659664760</t>
  </si>
  <si>
    <t>-Lqmb9FpUFWhTm89Aw9-</t>
  </si>
  <si>
    <t>1570659671961</t>
  </si>
  <si>
    <t>-LqmbAmbdYwiiwIo23uw</t>
  </si>
  <si>
    <t>1570659678195</t>
  </si>
  <si>
    <t>-LqmbCGcsb0KplEvRYZv</t>
  </si>
  <si>
    <t>1570659684284</t>
  </si>
  <si>
    <t>-LqmbDmrchTmZJ8kGmNa</t>
  </si>
  <si>
    <t>1570659690524</t>
  </si>
  <si>
    <t>-LqmbFJcEeIW7qkll5CJ</t>
  </si>
  <si>
    <t>1570659696744</t>
  </si>
  <si>
    <t>-LqmbH7qDXerhVEAG8ot</t>
  </si>
  <si>
    <t>1570659702919</t>
  </si>
  <si>
    <t>-LqmbIpYisNP02ymQgur</t>
  </si>
  <si>
    <t>1570659711154</t>
  </si>
  <si>
    <t>-LqmbKKsuPNXBKMlhXot</t>
  </si>
  <si>
    <t>1570659717319</t>
  </si>
  <si>
    <t>-LqmbLq5x9ahUuO8wcYq</t>
  </si>
  <si>
    <t>1570659723480</t>
  </si>
  <si>
    <t>-LqmbNLGuPl_rhIY1UzR</t>
  </si>
  <si>
    <t>1570659729644</t>
  </si>
  <si>
    <t>-LqmbOrrakZzebkTLv-Q</t>
  </si>
  <si>
    <t>1570659735875</t>
  </si>
  <si>
    <t>-LqmbQN2m7ojFNpL2Fwv</t>
  </si>
  <si>
    <t>1570659742041</t>
  </si>
  <si>
    <t>-LqmbRtXYdMvVmFZZWcR</t>
  </si>
  <si>
    <t>1570659748275</t>
  </si>
  <si>
    <t>-LqmbTN93uQ8zC_ZCYeL</t>
  </si>
  <si>
    <t>1570659754365</t>
  </si>
  <si>
    <t>-LqmbUu7XOKO3IefW3Wq</t>
  </si>
  <si>
    <t>1570659760600</t>
  </si>
  <si>
    <t>-LqmbWO6UXYPbhzOF3-q</t>
  </si>
  <si>
    <t>1570659766745</t>
  </si>
  <si>
    <t>-LqmbYB8RV9T16vhe7Ci</t>
  </si>
  <si>
    <t>1570659774059</t>
  </si>
  <si>
    <t>-LqmbZf6_886cyyrQGlq</t>
  </si>
  <si>
    <t>1570659780123</t>
  </si>
  <si>
    <t>-LqmbaBLo7I0AT9AO4te</t>
  </si>
  <si>
    <t>1570659786358</t>
  </si>
  <si>
    <t>-Lqmbbi12mFgzl2Pi3yL</t>
  </si>
  <si>
    <t>1570659792520</t>
  </si>
  <si>
    <t>-LqmbdSM2-lYcw2eUTva</t>
  </si>
  <si>
    <t>1570659799719</t>
  </si>
  <si>
    <t>-LqmbexYrX4vp4QmT1x_</t>
  </si>
  <si>
    <t>1570659805945</t>
  </si>
  <si>
    <t>-LqmbgU72s7Mtrgw6Qft</t>
  </si>
  <si>
    <t>1570659812121</t>
  </si>
  <si>
    <t>-LqmbhzQszLN3NqEf_AS</t>
  </si>
  <si>
    <t>1570659818278</t>
  </si>
  <si>
    <t>-LqmbjUa39d3CnJnsf59</t>
  </si>
  <si>
    <t>1570659824439</t>
  </si>
  <si>
    <t>-Lqmbl05nHxs7np8OJJf</t>
  </si>
  <si>
    <t>1570659830673</t>
  </si>
  <si>
    <t>-LqmbmWMn8Ajgdau7EFE</t>
  </si>
  <si>
    <t>1570659836839</t>
  </si>
  <si>
    <t>-Lqmbo0bWV-i0QNVsEpp</t>
  </si>
  <si>
    <t>1570659842999</t>
  </si>
  <si>
    <t>-LqmbpWmXQZxPQvbbgoj</t>
  </si>
  <si>
    <t>1570659849164</t>
  </si>
  <si>
    <t>-Lqmbr2MetOLGPQiEVjF</t>
  </si>
  <si>
    <t>1570659855399</t>
  </si>
  <si>
    <t>-LqmbsYbmq_6z1CDdtaI</t>
  </si>
  <si>
    <t>1570659861560</t>
  </si>
  <si>
    <t>-Lqmbu2m_eidV_AcCms-</t>
  </si>
  <si>
    <t>1570659867719</t>
  </si>
  <si>
    <t>-LqmbvaaJWAMVmYH_swD</t>
  </si>
  <si>
    <t>1570659873944</t>
  </si>
  <si>
    <t>-LqmbxLu2ITxBVgXEZAF</t>
  </si>
  <si>
    <t>1570659881161</t>
  </si>
  <si>
    <t>-Lqmbz5MgiSrNcDhxJUy</t>
  </si>
  <si>
    <t>1570659888358</t>
  </si>
  <si>
    <t>-Lqmc-abbCtcD0kl1glr</t>
  </si>
  <si>
    <t>1570659894510</t>
  </si>
  <si>
    <t>-Lqmc15nlCRjji3iyUbZ</t>
  </si>
  <si>
    <t>1570659900683</t>
  </si>
  <si>
    <t>-Lqmc2cLfGxW4lmOVDLF</t>
  </si>
  <si>
    <t>1570659906914</t>
  </si>
  <si>
    <t>-Lqmc4A6nxDMHcXnnzzy</t>
  </si>
  <si>
    <t>1570659913079</t>
  </si>
  <si>
    <t>-Lqmc5t6dRQnbcwhUro9</t>
  </si>
  <si>
    <t>1570659920269</t>
  </si>
  <si>
    <t>-Lqmc7O7_mEMzCAPUHut</t>
  </si>
  <si>
    <t>1570659926443</t>
  </si>
  <si>
    <t>-Lqmc8ursMGyvAfYdx9F</t>
  </si>
  <si>
    <t>1570659932673</t>
  </si>
  <si>
    <t>-LqmcAQ-h82NcVZ1gh1b</t>
  </si>
  <si>
    <t>1570659938839</t>
  </si>
  <si>
    <t>-LqmcBvMTL3LFwWrXrTB</t>
  </si>
  <si>
    <t>1570659944998</t>
  </si>
  <si>
    <t>-LqmcDQaweEaBZ4mVymo</t>
  </si>
  <si>
    <t>1570659951224</t>
  </si>
  <si>
    <t>-LqmcEx6vNwpv1RixtXN</t>
  </si>
  <si>
    <t>1570659957394</t>
  </si>
  <si>
    <t>-LqmcGQnzSCQvGKUNDNZ</t>
  </si>
  <si>
    <t>1570659963544</t>
  </si>
  <si>
    <t>-LqmcI-1URmAmaWsPeYP</t>
  </si>
  <si>
    <t>1570659969800</t>
  </si>
  <si>
    <t>-LqmcJi1YQbDkNpB8VHq</t>
  </si>
  <si>
    <t>1570659976984</t>
  </si>
  <si>
    <t>-LqmcLXMq0yg_wXsHGrR</t>
  </si>
  <si>
    <t>1570659983159</t>
  </si>
  <si>
    <t>-LqmcNFKDjq2snml8SKW</t>
  </si>
  <si>
    <t>1570659991399</t>
  </si>
  <si>
    <t>-LqmcOk_9D5B9K6rx9rN</t>
  </si>
  <si>
    <t>1570659997559</t>
  </si>
  <si>
    <t>-LqmcQFcWq4KDbSBGB6S</t>
  </si>
  <si>
    <t>1570660003719</t>
  </si>
  <si>
    <t>-LqmcRmMnJACE7RWgoCa</t>
  </si>
  <si>
    <t>1570660009958</t>
  </si>
  <si>
    <t>-LqmcTHbySsukNp7wleA</t>
  </si>
  <si>
    <t>1570660016114</t>
  </si>
  <si>
    <t>-LqmcUmqIlOevBcqaEH-</t>
  </si>
  <si>
    <t>1570660022279</t>
  </si>
  <si>
    <t>-LqmcWI1nyT_KJj6mwfp</t>
  </si>
  <si>
    <t>1570660028509</t>
  </si>
  <si>
    <t>-LqmcXobZ5Ow3UVo-pBg</t>
  </si>
  <si>
    <t>1570660034679</t>
  </si>
  <si>
    <t>-LqmcZJrm7ecJWCBTJ27</t>
  </si>
  <si>
    <t>1570660040834</t>
  </si>
  <si>
    <t>-Lqmc_p5Mo7DUvUnkAve</t>
  </si>
  <si>
    <t>1570660047000</t>
  </si>
  <si>
    <t>-LqmcbL_N8k7A4-OX6Js</t>
  </si>
  <si>
    <t>1570660053234</t>
  </si>
  <si>
    <t>-LqmccqrbSOvL4sCM7hl</t>
  </si>
  <si>
    <t>1570660059399</t>
  </si>
  <si>
    <t>-LqmceM6ViUJXdLZzoDm</t>
  </si>
  <si>
    <t>1570660065559</t>
  </si>
  <si>
    <t>-Lqmcftrtr_Gp8guixcH</t>
  </si>
  <si>
    <t>1570660071718</t>
  </si>
  <si>
    <t>-LqmchNr31tThsRaOYnn</t>
  </si>
  <si>
    <t>1570660077953</t>
  </si>
  <si>
    <t>-Lqmcit58XO0xQYPp0s3</t>
  </si>
  <si>
    <t>1570660084121</t>
  </si>
  <si>
    <t>-LqmckOHK1r0yDe_VprT</t>
  </si>
  <si>
    <t>1570660090278</t>
  </si>
  <si>
    <t>-LqmcmA1W2twMUr7jW0Y</t>
  </si>
  <si>
    <t>1570660096444</t>
  </si>
  <si>
    <t>-LqmcnwbGzsKic1pHHl5</t>
  </si>
  <si>
    <t>1570660103639</t>
  </si>
  <si>
    <t>-LqmcpPb9bSROxqWIywU</t>
  </si>
  <si>
    <t>1570660110843</t>
  </si>
  <si>
    <t>-LqmcqxLuyEBMo4tyEEo</t>
  </si>
  <si>
    <t>1570660117081</t>
  </si>
  <si>
    <t>-Lqmcsg_4Q_TeCtVLxTZ</t>
  </si>
  <si>
    <t>1570660124278</t>
  </si>
  <si>
    <t>-LqmcuBkjEhVmPrfk7mQ</t>
  </si>
  <si>
    <t>1570660130442</t>
  </si>
  <si>
    <t>-LqmcviLvDb73C5smkHI</t>
  </si>
  <si>
    <t>1570660136678</t>
  </si>
  <si>
    <t>-LqmcxEkSsJmDt06Q-CQ</t>
  </si>
  <si>
    <t>1570660142834</t>
  </si>
  <si>
    <t>-Lqmcz-Mhhz6z97x4e3_</t>
  </si>
  <si>
    <t>1570660150039</t>
  </si>
  <si>
    <t>-Lqmd-jbec2HNjQqD09v</t>
  </si>
  <si>
    <t>1570660157239</t>
  </si>
  <si>
    <t>-Lqmd1EmZB6lSc0Eq6no</t>
  </si>
  <si>
    <t>1570660163464</t>
  </si>
  <si>
    <t>-Lqmd2lLh5uN014QgiC4</t>
  </si>
  <si>
    <t>1570660169638</t>
  </si>
  <si>
    <t>-Lqmd4GvoBV0MiVoX2R8</t>
  </si>
  <si>
    <t>1570660175800</t>
  </si>
  <si>
    <t>-Lqmd5lpyKkbG18Vj7xX</t>
  </si>
  <si>
    <t>1570660181959</t>
  </si>
  <si>
    <t>-Lqmd7H8R1Fdk7xLsIB_</t>
  </si>
  <si>
    <t>1570660188145</t>
  </si>
  <si>
    <t>-Lqmd94J-AS9BnD-8zY2</t>
  </si>
  <si>
    <t>1570660194359</t>
  </si>
  <si>
    <t>-LqmdAoL4wg5vHQUt9el</t>
  </si>
  <si>
    <t>1570660202598</t>
  </si>
  <si>
    <t>-LqmdCelgjt4xkmTpP8f</t>
  </si>
  <si>
    <t>1570660208758</t>
  </si>
  <si>
    <t>-LqmdEKLu2nBVLFkaGDh</t>
  </si>
  <si>
    <t>1570660216998</t>
  </si>
  <si>
    <t>-LqmdFtKdLIZdzKxrsjg</t>
  </si>
  <si>
    <t>1570660223410</t>
  </si>
  <si>
    <t>-LqmdHcaIfbUfFEVA9pr</t>
  </si>
  <si>
    <t>1570660230433</t>
  </si>
  <si>
    <t>-LqmdJMlkkdOIaZ-yEtF</t>
  </si>
  <si>
    <t>1570660237638</t>
  </si>
  <si>
    <t>-LqmdKs5WuYvbCbMCq95</t>
  </si>
  <si>
    <t>1570660243793</t>
  </si>
  <si>
    <t>-LqmdMNK48sYyLcniB2E</t>
  </si>
  <si>
    <t>1570660249957</t>
  </si>
  <si>
    <t>-LqmdNtbzkgFJC1V39iV</t>
  </si>
  <si>
    <t>1570660256197</t>
  </si>
  <si>
    <t>-LqmdPOrdkp3Bm4KbRgb</t>
  </si>
  <si>
    <t>1570660262359</t>
  </si>
  <si>
    <t>-LqmdQuLLqiaaVWL9ZKL</t>
  </si>
  <si>
    <t>1570660268518</t>
  </si>
  <si>
    <t>-LqmdSOKzgpSwADttYfB</t>
  </si>
  <si>
    <t>1570660274668</t>
  </si>
  <si>
    <t>-LqmdTw582l9W4ohME4_</t>
  </si>
  <si>
    <t>1570660280914</t>
  </si>
  <si>
    <t>-LqmdVQmPVIaN0zcZTfB</t>
  </si>
  <si>
    <t>1570660287078</t>
  </si>
  <si>
    <t>-LqmdWwbTLIfrTeHtRfj</t>
  </si>
  <si>
    <t>1570660293238</t>
  </si>
  <si>
    <t>-LqmdYRqd-SkKJ778ebi</t>
  </si>
  <si>
    <t>1570660299398</t>
  </si>
  <si>
    <t>-LqmdZzaTyn1INL9Ge_h</t>
  </si>
  <si>
    <t>1570660305638</t>
  </si>
  <si>
    <t>-LqmdaipuN8LjCctqJJg</t>
  </si>
  <si>
    <t>1570660312833</t>
  </si>
  <si>
    <t>-LqmdcE4qR1LLwCSW7sX</t>
  </si>
  <si>
    <t>1570660318997</t>
  </si>
  <si>
    <t>-Lqmddj64kAgAmgp3-gF</t>
  </si>
  <si>
    <t>1570660325154</t>
  </si>
  <si>
    <t>-LqmdfEbJCXAH51ftxCE</t>
  </si>
  <si>
    <t>1570660331398</t>
  </si>
  <si>
    <t>-Lqmdgl3SLY5TouwwNhZ</t>
  </si>
  <si>
    <t>1570660337558</t>
  </si>
  <si>
    <t>-LqmdiHMXbGFQlm2NqD0</t>
  </si>
  <si>
    <t>1570660343718</t>
  </si>
  <si>
    <t>-LqmdjlaQW_74epaDrQ8</t>
  </si>
  <si>
    <t>1570660349882</t>
  </si>
  <si>
    <t>-LqmdlI5Zg-GOs6PzEfL</t>
  </si>
  <si>
    <t>1570660356124</t>
  </si>
  <si>
    <t>-LqmdmnGjCzcHhmSQEuh</t>
  </si>
  <si>
    <t>1570660362278</t>
  </si>
  <si>
    <t>-LqmdoIadT8gp5bcZtfo</t>
  </si>
  <si>
    <t>1570660368438</t>
  </si>
  <si>
    <t>-LqmdpnlVylFVdk1qIAx</t>
  </si>
  <si>
    <t>1570660374603</t>
  </si>
  <si>
    <t>-LqmdrKLmv4cWuOfwxBQ</t>
  </si>
  <si>
    <t>1570660380838</t>
  </si>
  <si>
    <t>-LqmdspaKqEslJPofAzr</t>
  </si>
  <si>
    <t>1570660386998</t>
  </si>
  <si>
    <t>-LqmduKpKrM13PYryACY</t>
  </si>
  <si>
    <t>1570660393158</t>
  </si>
  <si>
    <t>-Lqmdvq5gKM9Q7KDLgW1</t>
  </si>
  <si>
    <t>1570660399333</t>
  </si>
  <si>
    <t>-LqmdxMf2-DTuJh6HVMP</t>
  </si>
  <si>
    <t>1570660405553</t>
  </si>
  <si>
    <t>-Lqmdz9V43jRzUf-V6fW</t>
  </si>
  <si>
    <t>1570660412953</t>
  </si>
  <si>
    <t>-Lqme-s_f4gAGw6fUAgW</t>
  </si>
  <si>
    <t>1570660419957</t>
  </si>
  <si>
    <t>-Lqme1NqbjR1Q7JDDcyi</t>
  </si>
  <si>
    <t>1570660426118</t>
  </si>
  <si>
    <t>-Lqme2t8loyOXfVq7Fdj</t>
  </si>
  <si>
    <t>1570660432360</t>
  </si>
  <si>
    <t>-Lqme4Pb77heq9zSZVl_</t>
  </si>
  <si>
    <t>1570660438514</t>
  </si>
  <si>
    <t>-Lqme5urDZFh0v5r2NyA</t>
  </si>
  <si>
    <t>1570660444679</t>
  </si>
  <si>
    <t>-Lqme7Q14orq8lV3kNWO</t>
  </si>
  <si>
    <t>1570660450904</t>
  </si>
  <si>
    <t>-Lqme8wbeiZAOS5wWRSg</t>
  </si>
  <si>
    <t>1570660457081</t>
  </si>
  <si>
    <t>-LqmeAU2n9gO0zBEb-M8</t>
  </si>
  <si>
    <t>1570660463239</t>
  </si>
  <si>
    <t>-LqmeCCMjVv04lAVvtvt</t>
  </si>
  <si>
    <t>1570660470440</t>
  </si>
  <si>
    <t>-LqmeDhbDvyUcuoJEWLD</t>
  </si>
  <si>
    <t>1570660476603</t>
  </si>
  <si>
    <t>-LqmeFE6fmT23mJ1zfhk</t>
  </si>
  <si>
    <t>1570660482839</t>
  </si>
  <si>
    <t>-LqmeGjI5X02kG2MaaMt</t>
  </si>
  <si>
    <t>1570660488999</t>
  </si>
  <si>
    <t>-LqmeIEbWJ3F88gTx8s-</t>
  </si>
  <si>
    <t>1570660495160</t>
  </si>
  <si>
    <t>-LqmeJjl4EXx6FraYEop</t>
  </si>
  <si>
    <t>1570660501384</t>
  </si>
  <si>
    <t>-LqmeLGaRSVpk_MM_sOy</t>
  </si>
  <si>
    <t>1570660507559</t>
  </si>
  <si>
    <t>-LqmeMkKJ2fYELkz5Y-k</t>
  </si>
  <si>
    <t>1570660513719</t>
  </si>
  <si>
    <t>-LqmeOGpuBe9dwLSIp29</t>
  </si>
  <si>
    <t>1570660519877</t>
  </si>
  <si>
    <t>-LqmePnMnxwCYhT4Hi7R</t>
  </si>
  <si>
    <t>1570660526119</t>
  </si>
  <si>
    <t>-LqmeRIb-OojqB-WL-9q</t>
  </si>
  <si>
    <t>1570660532263</t>
  </si>
  <si>
    <t>-LqmeSnkAS_YSY8LrhiF</t>
  </si>
  <si>
    <t>1570660538439</t>
  </si>
  <si>
    <t>-LqmeUJ6BHH54Ppo-czS</t>
  </si>
  <si>
    <t>1570660544598</t>
  </si>
  <si>
    <t>-LqmeVtR-ZiUL-cq8Qtf</t>
  </si>
  <si>
    <t>1570660550834</t>
  </si>
  <si>
    <t>-LqmeXwVTiWPM5vd-MRT</t>
  </si>
  <si>
    <t>1570660558220</t>
  </si>
  <si>
    <t>-LqmeZaqCqZCi3yJnObp</t>
  </si>
  <si>
    <t>1570660566279</t>
  </si>
  <si>
    <t>-Lqmea67lzK7Wh8Wn1YL</t>
  </si>
  <si>
    <t>1570660572439</t>
  </si>
  <si>
    <t>-Lqmebb64LQGJAef-sPX</t>
  </si>
  <si>
    <t>1570660578599</t>
  </si>
  <si>
    <t>-Lqmed7qOwj7H66gjnPL</t>
  </si>
  <si>
    <t>1570660584838</t>
  </si>
  <si>
    <t>-LqmeedGrynvnfGb_Pqt</t>
  </si>
  <si>
    <t>1570660590999</t>
  </si>
  <si>
    <t>-LqmegAmSz9xYzyEBeGd</t>
  </si>
  <si>
    <t>1570660597159</t>
  </si>
  <si>
    <t>-LqmehtprN5vHGEsSkJy</t>
  </si>
  <si>
    <t>1570660604359</t>
  </si>
  <si>
    <t>-LqmejNpp8LWng5eww9i</t>
  </si>
  <si>
    <t>1570660610584</t>
  </si>
  <si>
    <t>-LqmekvbUZTQuvG3JVFY</t>
  </si>
  <si>
    <t>1570660616753</t>
  </si>
  <si>
    <t>-LqmeqvHpXLtNsbEKOp7</t>
  </si>
  <si>
    <t>1570660641336</t>
  </si>
  <si>
    <t>-LqmesdJZoURti3PjRfk</t>
  </si>
  <si>
    <t>1570660648424</t>
  </si>
  <si>
    <t>-Lqmeu9pezvOHirMo7hH</t>
  </si>
  <si>
    <t>1570660654596</t>
  </si>
  <si>
    <t>-LqmevgJ46SxG4uKpmVb</t>
  </si>
  <si>
    <t>1570660660834</t>
  </si>
  <si>
    <t>-LqmexAI2zjsIutpzC5n</t>
  </si>
  <si>
    <t>1570660667000</t>
  </si>
  <si>
    <t>-LqmeygoYbqoQTaXqs8z</t>
  </si>
  <si>
    <t>1570660673155</t>
  </si>
  <si>
    <t>-Lqmf-AtvZrR9erNkzZv</t>
  </si>
  <si>
    <t>1570660679321</t>
  </si>
  <si>
    <t>-Lqmf0iYyj_e5AbEcfck</t>
  </si>
  <si>
    <t>1570660685551</t>
  </si>
  <si>
    <t>-Lqmf2Dm4D7T7_6HLI_1</t>
  </si>
  <si>
    <t>1570660691714</t>
  </si>
  <si>
    <t>-Lqmf3j1D9qVBhZgaoF5</t>
  </si>
  <si>
    <t>1570660697876</t>
  </si>
  <si>
    <t>-Lqmf5OJ5GkDMViayktQ</t>
  </si>
  <si>
    <t>1570660704535</t>
  </si>
  <si>
    <t>-Lqmf703DBa0WUeuzybj</t>
  </si>
  <si>
    <t>1570660711315</t>
  </si>
  <si>
    <t>-Lqmf8WJBg1jj36v-Hvu</t>
  </si>
  <si>
    <t>1570660717476</t>
  </si>
  <si>
    <t>-LqmfA0XDxfwml5eURbJ</t>
  </si>
  <si>
    <t>1570660723635</t>
  </si>
  <si>
    <t>-LqmfBY2ImnT_FBKYaTb</t>
  </si>
  <si>
    <t>1570660729800</t>
  </si>
  <si>
    <t>-LqmfD12Kg00dNwooUr5</t>
  </si>
  <si>
    <t>1570660735961</t>
  </si>
  <si>
    <t>-LqmfEYZKbQZwiQ2YGuW</t>
  </si>
  <si>
    <t>1570660742189</t>
  </si>
  <si>
    <t>-LqmfG2_UcvVcwWZNroD</t>
  </si>
  <si>
    <t>1570660748356</t>
  </si>
  <si>
    <t>-LqmfHZ2wKu9MOLANJcI</t>
  </si>
  <si>
    <t>1570660754580</t>
  </si>
  <si>
    <t>-LqmfJ4Y3Eg_eX6pFLbf</t>
  </si>
  <si>
    <t>1570660760756</t>
  </si>
  <si>
    <t>-LqmfK_oobe253F9AuMY</t>
  </si>
  <si>
    <t>1570660766914</t>
  </si>
  <si>
    <t>-LqmfM53j903j6tCHwV6</t>
  </si>
  <si>
    <t>1570660773075</t>
  </si>
  <si>
    <t>-LqmfNbZvUs2CFEG-MoZ</t>
  </si>
  <si>
    <t>1570660779317</t>
  </si>
  <si>
    <t>-LqmfP5XvxAw7ptTInAs</t>
  </si>
  <si>
    <t>1570660785401</t>
  </si>
  <si>
    <t>-LqmfQaotoIEPQ6sJQpM</t>
  </si>
  <si>
    <t>1570660791636</t>
  </si>
  <si>
    <t>-LqmfSOmY2Eb_URdXQjR</t>
  </si>
  <si>
    <t>1570660797789</t>
  </si>
  <si>
    <t>-LqmfTso02-lTmU0IHS1</t>
  </si>
  <si>
    <t>1570660805001</t>
  </si>
  <si>
    <t>-LqmfVPJZg_aG73UCrxO</t>
  </si>
  <si>
    <t>1570660811236</t>
  </si>
  <si>
    <t>-LqmfWuXmwy4ohFMDd2L</t>
  </si>
  <si>
    <t>1570660817390</t>
  </si>
  <si>
    <t>-LqmfYPhf1DX5la9vXbF</t>
  </si>
  <si>
    <t>1570660823556</t>
  </si>
  <si>
    <t>-LqmfZv3uTru6CF-CIyr</t>
  </si>
  <si>
    <t>1570660829780</t>
  </si>
  <si>
    <t>-LqmfaRYTTP23vT_WRiz</t>
  </si>
  <si>
    <t>1570660835955</t>
  </si>
  <si>
    <t>-LqmfcFptcsPgRZaMnb2</t>
  </si>
  <si>
    <t>1570660842106</t>
  </si>
  <si>
    <t>-LqmfeFIjqYGPyP2IRce</t>
  </si>
  <si>
    <t>1570660850356</t>
  </si>
  <si>
    <t>-LqmffyJpAr03zJ3UhZm</t>
  </si>
  <si>
    <t>1570660858596</t>
  </si>
  <si>
    <t>-LqmfhTZouAogloOCMLj</t>
  </si>
  <si>
    <t>1570660864755</t>
  </si>
  <si>
    <t>-LqmfjDfG_QPB-SrCO2d</t>
  </si>
  <si>
    <t>1570660870994</t>
  </si>
  <si>
    <t>-LqmfkkIlBgBeBRXDfFy</t>
  </si>
  <si>
    <t>1570660878194</t>
  </si>
  <si>
    <t>-LqmfmFo3zMRk_PdsbSr</t>
  </si>
  <si>
    <t>1570660884356</t>
  </si>
  <si>
    <t>-Lqmfnl2wy0-YBMVSwow</t>
  </si>
  <si>
    <t>1570660890516</t>
  </si>
  <si>
    <t>-LqmfpHYQuHmxKFVNRvL</t>
  </si>
  <si>
    <t>1570660896819</t>
  </si>
  <si>
    <t>-LqmfqmoSRolxZQdXV5B</t>
  </si>
  <si>
    <t>1570660902911</t>
  </si>
  <si>
    <t>-LqmfsI2xrm8l--1LC8X</t>
  </si>
  <si>
    <t>1570660909075</t>
  </si>
  <si>
    <t>-LqmftnIr7lbexcrfAYL</t>
  </si>
  <si>
    <t>1570660915240</t>
  </si>
  <si>
    <t>-LqmfvJoXlj2lC3U5SG1</t>
  </si>
  <si>
    <t>1570660921476</t>
  </si>
  <si>
    <t>-Lqmfwoz4KExe3ygrgt2</t>
  </si>
  <si>
    <t>1570660927636</t>
  </si>
  <si>
    <t>-LqmfyKHKNqghQlAGrJo</t>
  </si>
  <si>
    <t>1570660933866</t>
  </si>
  <si>
    <t>-LqmfzrxX9le-UvS-aUW</t>
  </si>
  <si>
    <t>1570660940133</t>
  </si>
  <si>
    <t>-Lqmg0bJ7z1h7CKGcK_B</t>
  </si>
  <si>
    <t>1570660947235</t>
  </si>
  <si>
    <t>-Lqmg26ZCDjm7VNqHw5I</t>
  </si>
  <si>
    <t>1570660953396</t>
  </si>
  <si>
    <t>-Lqmg3bhUqNah2ETmLkQ</t>
  </si>
  <si>
    <t>1570660959555</t>
  </si>
  <si>
    <t>-Lqmg573jaqGTi-Avkc5</t>
  </si>
  <si>
    <t>1570660965781</t>
  </si>
  <si>
    <t>-Lqmg6dYje0AEc4gv3RW</t>
  </si>
  <si>
    <t>1570660971951</t>
  </si>
  <si>
    <t>-Lqmg88n_7nbSmSKiudv</t>
  </si>
  <si>
    <t>1570660978114</t>
  </si>
  <si>
    <t>-Lqmg9e2YcuD4yAEmOdt</t>
  </si>
  <si>
    <t>1570660984275</t>
  </si>
  <si>
    <t>-LqmgBAY9SmbznSlswS-</t>
  </si>
  <si>
    <t>1570660990516</t>
  </si>
  <si>
    <t>-LqmgCfjHL-IvTj1dq7r</t>
  </si>
  <si>
    <t>1570660996676</t>
  </si>
  <si>
    <t>-LqmgEB3s98kPkKwEWLu</t>
  </si>
  <si>
    <t>1570661002836</t>
  </si>
  <si>
    <t>-LqmgFwXLD6VdQIivmr5</t>
  </si>
  <si>
    <t>1570661010035</t>
  </si>
  <si>
    <t>-LqmgHRmzAeLTRD3nL3C</t>
  </si>
  <si>
    <t>1570661016256</t>
  </si>
  <si>
    <t>-LqmgIyCSsS4eRum1fs8</t>
  </si>
  <si>
    <t>1570661022438</t>
  </si>
  <si>
    <t>-LqmgKSIbUGxzyCtqxdr</t>
  </si>
  <si>
    <t>1570661028584</t>
  </si>
  <si>
    <t>-LqmgLymEP5QNaiQeU9j</t>
  </si>
  <si>
    <t>1570661034756</t>
  </si>
  <si>
    <t>-LqmgNVJHLk9WKZ5JYvi</t>
  </si>
  <si>
    <t>1570661040991</t>
  </si>
  <si>
    <t>-LqmgP-_sKOlPb_wJTZJ</t>
  </si>
  <si>
    <t>1570661047157</t>
  </si>
  <si>
    <t>-LqmgQVaL8RzJi5VlDYc</t>
  </si>
  <si>
    <t>1570661053317</t>
  </si>
  <si>
    <t>-LqmgWkjDOcJX-Ex1STu</t>
  </si>
  <si>
    <t>1570661078768</t>
  </si>
  <si>
    <t>-LqmgYSVdcix_VxV3N_s</t>
  </si>
  <si>
    <t>1570661085871</t>
  </si>
  <si>
    <t>-LqmgZyz3HOMSt9nqA1O</t>
  </si>
  <si>
    <t>1570661092108</t>
  </si>
  <si>
    <t>-LqmgaWkdOsPlNvxsdgu</t>
  </si>
  <si>
    <t>1570661098273</t>
  </si>
  <si>
    <t>-LqmgcEe-l4hSgdUV46C</t>
  </si>
  <si>
    <t>1570661105474</t>
  </si>
  <si>
    <t>-LqmgdmUW3mie1y-o6ia</t>
  </si>
  <si>
    <t>1570661111712</t>
  </si>
  <si>
    <t>-LqmgfVPYx2AObCKThlm</t>
  </si>
  <si>
    <t>1570661118827</t>
  </si>
  <si>
    <t>-Lqmgh0zmjnMClu5fsRI</t>
  </si>
  <si>
    <t>1570661125072</t>
  </si>
  <si>
    <t>-LqmgiX-hriodX86W_Qy</t>
  </si>
  <si>
    <t>1570661131228</t>
  </si>
  <si>
    <t>-Lqmgk1Q-bI70eVN6FQ3</t>
  </si>
  <si>
    <t>1570661137387</t>
  </si>
  <si>
    <t>-LqmglZ4ezstfzoOyS00</t>
  </si>
  <si>
    <t>1570661143628</t>
  </si>
  <si>
    <t>-Lqmgn2-sqdrsHDGibK-</t>
  </si>
  <si>
    <t>1570661149723</t>
  </si>
  <si>
    <t>-LqmgoZWChVhKlrMI9vn</t>
  </si>
  <si>
    <t>1570661155951</t>
  </si>
  <si>
    <t>-Lqmgq3f8KgjRCdLwhfV</t>
  </si>
  <si>
    <t>1570661162112</t>
  </si>
  <si>
    <t>-LqmgrcjxSvrNPsOOoJa</t>
  </si>
  <si>
    <t>1570661168287</t>
  </si>
  <si>
    <t>-LqmgtLgNskGwa3TyO9Q</t>
  </si>
  <si>
    <t>1570661175547</t>
  </si>
  <si>
    <t>-Lqmgur-FDrMvtD7lyy6</t>
  </si>
  <si>
    <t>1570661181722</t>
  </si>
  <si>
    <t>-LqmgwMFWuXSNrLWmiFc</t>
  </si>
  <si>
    <t>1570661187873</t>
  </si>
  <si>
    <t>-LqmgxskRf7zmVPxcEXl</t>
  </si>
  <si>
    <t>1570661194113</t>
  </si>
  <si>
    <t>-LqmgzO0FPB9Wo1PIJpp</t>
  </si>
  <si>
    <t>1570661200272</t>
  </si>
  <si>
    <t>-Lqmh-tEzqaJ2wK39LGC</t>
  </si>
  <si>
    <t>1570661206433</t>
  </si>
  <si>
    <t>-Lqmh1OQwg-jfDPIpSg8</t>
  </si>
  <si>
    <t>1570661212593</t>
  </si>
  <si>
    <t>-Lqmh2v-JTNB-8GW0o0B</t>
  </si>
  <si>
    <t>1570661218833</t>
  </si>
  <si>
    <t>-Lqmh4RWc5E3Iho1oCtN</t>
  </si>
  <si>
    <t>1570661224993</t>
  </si>
  <si>
    <t>-Lqmh6AbzLmm4BMmRZrt</t>
  </si>
  <si>
    <t>1570661232192</t>
  </si>
  <si>
    <t>-Lqmh7zztguqOfCkWdT9</t>
  </si>
  <si>
    <t>1570661238352</t>
  </si>
  <si>
    <t>-Lqmh9glAjz21PJCouf3</t>
  </si>
  <si>
    <t>1570661246592</t>
  </si>
  <si>
    <t>-LqmhBDKzjiNpAwexET2</t>
  </si>
  <si>
    <t>1570661252832</t>
  </si>
  <si>
    <t>-LqmhCiVdNWtRitzZclj</t>
  </si>
  <si>
    <t>1570661258986</t>
  </si>
  <si>
    <t>-LqmhEDkQhLU981qJ8gM</t>
  </si>
  <si>
    <t>1570661265153</t>
  </si>
  <si>
    <t>-LqmhFj-0lT2wV-2XSBI</t>
  </si>
  <si>
    <t>1570661271312</t>
  </si>
  <si>
    <t>-LqmhHFUwEosYoDs_LLA</t>
  </si>
  <si>
    <t>1570661277551</t>
  </si>
  <si>
    <t>-LqmhIkjiS1SXY1eLhAY</t>
  </si>
  <si>
    <t>1570661283712</t>
  </si>
  <si>
    <t>-LqmhKX_7e0r2FF1kW8-</t>
  </si>
  <si>
    <t>1570661289872</t>
  </si>
  <si>
    <t>-LqmhMGpID7xgWx5DgQ2</t>
  </si>
  <si>
    <t>1570661298107</t>
  </si>
  <si>
    <t>-LqmhNm4QcDGDLUZtS3h</t>
  </si>
  <si>
    <t>1570661304282</t>
  </si>
  <si>
    <t>-LqmhPJaD8bkpcj_mjIF</t>
  </si>
  <si>
    <t>1570661310516</t>
  </si>
  <si>
    <t>-LqmhQmZx_TMo7wl50jQ</t>
  </si>
  <si>
    <t>1570661316677</t>
  </si>
  <si>
    <t>-LqmhSJ4iSCvEXGEEKEG</t>
  </si>
  <si>
    <t>1570661322837</t>
  </si>
  <si>
    <t>-LqmhToLFfuapedna12j</t>
  </si>
  <si>
    <t>1570661329062</t>
  </si>
  <si>
    <t>-LqmhVa3i_dbcwTgiLAI</t>
  </si>
  <si>
    <t>1570661336276</t>
  </si>
  <si>
    <t>-LqmhX5KijAzwcIqjOBT</t>
  </si>
  <si>
    <t>1570661342432</t>
  </si>
  <si>
    <t>-LqmhYaZqZTflodqN61D</t>
  </si>
  <si>
    <t>1570661348592</t>
  </si>
  <si>
    <t>-Lqmh_5qLymdCSHcPDLG</t>
  </si>
  <si>
    <t>1570661354762</t>
  </si>
  <si>
    <t>-Lqmhab5lYB4Y04r4nkg</t>
  </si>
  <si>
    <t>1570661360996</t>
  </si>
  <si>
    <t>-LqmhcGJ4WXVA35vdBk3</t>
  </si>
  <si>
    <t>1570661367754</t>
  </si>
  <si>
    <t>-LqmhdtFieZoCByeu7l0</t>
  </si>
  <si>
    <t>1570661374358</t>
  </si>
  <si>
    <t>-LqmhfOKeEgl83F7PXN6</t>
  </si>
  <si>
    <t>1570661380516</t>
  </si>
  <si>
    <t>-LqmhguqHoJTjvR4YuuO</t>
  </si>
  <si>
    <t>1570661386757</t>
  </si>
  <si>
    <t>-LqmhiQ3ggx52X6I6UEs</t>
  </si>
  <si>
    <t>1570661392917</t>
  </si>
  <si>
    <t>-LqmhjvKjzLLtLY0E91C</t>
  </si>
  <si>
    <t>1570661399076</t>
  </si>
  <si>
    <t>-LqmhlQZspmrAbpbRG_N</t>
  </si>
  <si>
    <t>1570661405243</t>
  </si>
  <si>
    <t>-Lqmhmx3i8ynfnZdE_nq</t>
  </si>
  <si>
    <t>1570661411478</t>
  </si>
  <si>
    <t>-LqmhoTNO2cihqLo3-W8</t>
  </si>
  <si>
    <t>1570661417637</t>
  </si>
  <si>
    <t>-LqmhpxZyOd-v3kXCZg8</t>
  </si>
  <si>
    <t>1570661423812</t>
  </si>
  <si>
    <t>-LqmhrSqRcXDHMOGG3IP</t>
  </si>
  <si>
    <t>1570661429961</t>
  </si>
  <si>
    <t>-LqmhszJ-TM6maFuQb7u</t>
  </si>
  <si>
    <t>1570661436196</t>
  </si>
  <si>
    <t>-LqmhumKjwopbLjhNvhe</t>
  </si>
  <si>
    <t>1570661443561</t>
  </si>
  <si>
    <t>-LqmhwVJp0PSlJzTRmvs</t>
  </si>
  <si>
    <t>1570661450596</t>
  </si>
  <si>
    <t>-LqmhyLofPkNgCcgY9G1</t>
  </si>
  <si>
    <t>1570661456757</t>
  </si>
  <si>
    <t>-Lqmi-0KKp9cqRHdkjiN</t>
  </si>
  <si>
    <t>1570661464997</t>
  </si>
  <si>
    <t>-Lqmi0WZfeeUEUWFzdxC</t>
  </si>
  <si>
    <t>1570661471222</t>
  </si>
  <si>
    <t>-Lqmi224buqhEX6dMqJV</t>
  </si>
  <si>
    <t>1570661477396</t>
  </si>
  <si>
    <t>-Lqmi3YJcgvWYOXaMTn3</t>
  </si>
  <si>
    <t>1570661483556</t>
  </si>
  <si>
    <t>-Lqmi553o1xwdgDu6X6J</t>
  </si>
  <si>
    <t>1570661489717</t>
  </si>
  <si>
    <t>-Lqmi6o41lhvYHP7OSZn</t>
  </si>
  <si>
    <t>1570661496922</t>
  </si>
  <si>
    <t>-Lqmi8bKi4Dbdt5xgkv-</t>
  </si>
  <si>
    <t>1570661503151</t>
  </si>
  <si>
    <t>-LqmiALMTGeLJXjpV49p</t>
  </si>
  <si>
    <t>1570661511393</t>
  </si>
  <si>
    <t>-LqmiC3KnlC4Tm8pxIh-</t>
  </si>
  <si>
    <t>1570661518495</t>
  </si>
  <si>
    <t>-LqmiDb5YQWD_Y1WfiBe</t>
  </si>
  <si>
    <t>1570661524757</t>
  </si>
  <si>
    <t>-LqmiF6K6z5EJdrzTpPJ</t>
  </si>
  <si>
    <t>1570661530927</t>
  </si>
  <si>
    <t>-LqmiGcbMoIXEvWcAN6G</t>
  </si>
  <si>
    <t>1570661537153</t>
  </si>
  <si>
    <t>-LqmiI85SYIFAxFkAqNE</t>
  </si>
  <si>
    <t>1570661543384</t>
  </si>
  <si>
    <t>-LqmiJdLNk-KkaHQtUfv</t>
  </si>
  <si>
    <t>1570661549478</t>
  </si>
  <si>
    <t>-LqmiL8_a4Gr2_jbiAXu</t>
  </si>
  <si>
    <t>1570661555704</t>
  </si>
  <si>
    <t>-LqmiMf5e0bLwDPs5p83</t>
  </si>
  <si>
    <t>1570661561879</t>
  </si>
  <si>
    <t>-LqmiOALfA8Dje5lXGVw</t>
  </si>
  <si>
    <t>1570661568039</t>
  </si>
  <si>
    <t>-LqmiPfbhWRziElJ5oeF</t>
  </si>
  <si>
    <t>1570661574203</t>
  </si>
  <si>
    <t>-LqmiRAm3xnSmNA8gOtg</t>
  </si>
  <si>
    <t>1570661580358</t>
  </si>
  <si>
    <t>-LqmiShUGgKtWlXFP8qm</t>
  </si>
  <si>
    <t>1570661586597</t>
  </si>
  <si>
    <t>-LqmiUSs73V9SagfdNlh</t>
  </si>
  <si>
    <t>1570661592759</t>
  </si>
  <si>
    <t>-LqmiVy5jr1z9nmAsuxv</t>
  </si>
  <si>
    <t>1570661599959</t>
  </si>
  <si>
    <t>-LqmiXTHH8hko7aqzD4j</t>
  </si>
  <si>
    <t>1570661606177</t>
  </si>
  <si>
    <t>-LqmiYzm2tROKgV5pEGy</t>
  </si>
  <si>
    <t>1570661612357</t>
  </si>
  <si>
    <t>-Lqmi_V4a6CzhrrB9G3z</t>
  </si>
  <si>
    <t>1570661618517</t>
  </si>
  <si>
    <t>-Lqmib-KikdjKab_CQOP</t>
  </si>
  <si>
    <t>1570661624677</t>
  </si>
  <si>
    <t>-LqmicWlEFrPI8KFPHFm</t>
  </si>
  <si>
    <t>1570661630918</t>
  </si>
  <si>
    <t>-Lqmie16-UXJx64A1_5T</t>
  </si>
  <si>
    <t>1570661637078</t>
  </si>
  <si>
    <t>-LqmifXK-xJkvQg06SKU</t>
  </si>
  <si>
    <t>1570661643237</t>
  </si>
  <si>
    <t>-Lqmih1_-y2ou5Mfpxf9</t>
  </si>
  <si>
    <t>1570661649399</t>
  </si>
  <si>
    <t>-LqmiiZ4I5PujnKfXRg3</t>
  </si>
  <si>
    <t>1570661655639</t>
  </si>
  <si>
    <t>-Lqmik3LeVmNoTFNmKka</t>
  </si>
  <si>
    <t>1570661661798</t>
  </si>
  <si>
    <t>-LqmilZ_vfh-PbE9uV_4</t>
  </si>
  <si>
    <t>1570661667957</t>
  </si>
  <si>
    <t>-Lqmin3p53BMaxqjRcfA</t>
  </si>
  <si>
    <t>1570661674122</t>
  </si>
  <si>
    <t>-LqmioaLvCl2_bWqll13</t>
  </si>
  <si>
    <t>1570661680352</t>
  </si>
  <si>
    <t>-Lqmiq5ceQmvLdG_vL-G</t>
  </si>
  <si>
    <t>1570661686513</t>
  </si>
  <si>
    <t>-LqmirarOd954c5apnZS</t>
  </si>
  <si>
    <t>1570661692678</t>
  </si>
  <si>
    <t>-Lqmit7LBJn658NbwoId</t>
  </si>
  <si>
    <t>1570661698918</t>
  </si>
  <si>
    <t>-Lqmiuc_F3HSXgRsN_di</t>
  </si>
  <si>
    <t>1570661705079</t>
  </si>
  <si>
    <t>-Lqmiw7pbSySbGOu9MeW</t>
  </si>
  <si>
    <t>1570661711240</t>
  </si>
  <si>
    <t>-LqmiyB5YlwrsTH9Mh_f</t>
  </si>
  <si>
    <t>1570661719657</t>
  </si>
  <si>
    <t>-LqmizzxXjbfYUS5JaRv</t>
  </si>
  <si>
    <t>1570661726678</t>
  </si>
  <si>
    <t>-Lqmj0eblXPE9uFiSr_R</t>
  </si>
  <si>
    <t>1570661733884</t>
  </si>
  <si>
    <t>-Lqmj2B6qxpEw84xhYx1</t>
  </si>
  <si>
    <t>1570661740115</t>
  </si>
  <si>
    <t>-Lqmj3gN_jv-uYf1f762</t>
  </si>
  <si>
    <t>1570661746283</t>
  </si>
  <si>
    <t>-Lqmj5Bb-ZQ_uy1KJFbE</t>
  </si>
  <si>
    <t>1570661752439</t>
  </si>
  <si>
    <t>-Lqmj6gqnjAYTPqH49_-</t>
  </si>
  <si>
    <t>1570661758609</t>
  </si>
  <si>
    <t>-Lqmj8K1JKYMqltYJyOi</t>
  </si>
  <si>
    <t>1570661764838</t>
  </si>
  <si>
    <t>-LqmjA0MfHgx8HweqDWa</t>
  </si>
  <si>
    <t>1570661772040</t>
  </si>
  <si>
    <t>-LqmjBjLwbM4aILvBxQJ</t>
  </si>
  <si>
    <t>1570661779238</t>
  </si>
  <si>
    <t>-LqmjDEfcrQtSwWYcwZO</t>
  </si>
  <si>
    <t>1570661785400</t>
  </si>
  <si>
    <t>-LqmjEjsVmV0UYaLGX9P</t>
  </si>
  <si>
    <t>1570661791638</t>
  </si>
  <si>
    <t>-LqmjGGNXiJS5r0Irb1K</t>
  </si>
  <si>
    <t>1570661797798</t>
  </si>
  <si>
    <t>-LqmjHlOiRetfrYMPQVk</t>
  </si>
  <si>
    <t>1570661803953</t>
  </si>
  <si>
    <t>-LqmjJI7sYa9uR8WFt8z</t>
  </si>
  <si>
    <t>1570661810125</t>
  </si>
  <si>
    <t>-LqmjKnRz6kIXYzrYiZd</t>
  </si>
  <si>
    <t>1570661816360</t>
  </si>
  <si>
    <t>-LqmjMIaLV7M8HyYFpOQ</t>
  </si>
  <si>
    <t>1570661822519</t>
  </si>
  <si>
    <t>-LqmjNnhQYrKX_EUjnbu</t>
  </si>
  <si>
    <t>1570661828676</t>
  </si>
  <si>
    <t>-LqmjPHrngQ-M4wry76p</t>
  </si>
  <si>
    <t>1570661834905</t>
  </si>
  <si>
    <t>-LqmjR37Vxrq4AvkiPKn</t>
  </si>
  <si>
    <t>1570661841084</t>
  </si>
  <si>
    <t>-LqmjSbIZ3a0Hi3TxfMo</t>
  </si>
  <si>
    <t>1570661848280</t>
  </si>
  <si>
    <t>-LqmjULcA4dJ7hP7c8jJ</t>
  </si>
  <si>
    <t>1570661855474</t>
  </si>
  <si>
    <t>-LqmjVqqNXRbmv68wo6j</t>
  </si>
  <si>
    <t>1570661861639</t>
  </si>
  <si>
    <t>-LqmjXbN7KuTVf2Y4Jht</t>
  </si>
  <si>
    <t>1570661868850</t>
  </si>
  <si>
    <t>-LqmjZ7KKu8SulWMj6AL</t>
  </si>
  <si>
    <t>1570661875080</t>
  </si>
  <si>
    <t>-Lqmj_d6fQkovMtTxaKx</t>
  </si>
  <si>
    <t>1570661881239</t>
  </si>
  <si>
    <t>-Lqmjb8Nz3cRWN7NwC8w</t>
  </si>
  <si>
    <t>1570661887399</t>
  </si>
  <si>
    <t>-LqmjcesQLEelnXTM2Mp</t>
  </si>
  <si>
    <t>1570661893640</t>
  </si>
  <si>
    <t>-LqmjeQLLoTusZJtdVlf</t>
  </si>
  <si>
    <t>1570661900840</t>
  </si>
  <si>
    <t>-LqmjfuMd2u-XttdgJCt</t>
  </si>
  <si>
    <t>1570661906999</t>
  </si>
  <si>
    <t>-LqmjhQn9CANP288qAyM</t>
  </si>
  <si>
    <t>1570661913158</t>
  </si>
  <si>
    <t>-Lqmjiw50KgBY2R7EKHB</t>
  </si>
  <si>
    <t>1570661919400</t>
  </si>
  <si>
    <t>-LqmjkRNxmBudEg4AKk0</t>
  </si>
  <si>
    <t>1570661925559</t>
  </si>
  <si>
    <t>-LqmjmEGmM0qCvAtwbtl</t>
  </si>
  <si>
    <t>1570661931718</t>
  </si>
  <si>
    <t>-LqmjnyWNC44lxHpQSPa</t>
  </si>
  <si>
    <t>1570661939946</t>
  </si>
  <si>
    <t>-LqmjpTfrhwMxIn1GnUv</t>
  </si>
  <si>
    <t>1570661946112</t>
  </si>
  <si>
    <t>-Lqmjr--HY6cqaM8Hyu8</t>
  </si>
  <si>
    <t>1570661952352</t>
  </si>
  <si>
    <t>-LqmjsVWqK9TljDi0KCm</t>
  </si>
  <si>
    <t>1570661958508</t>
  </si>
  <si>
    <t>-Lqmju4-Sqq6u3I5eAJk</t>
  </si>
  <si>
    <t>1570661964672</t>
  </si>
  <si>
    <t>-Lqmjvl-v7lRDNi0w63h</t>
  </si>
  <si>
    <t>1570661971872</t>
  </si>
  <si>
    <t>-LqmjxHRuqSo-A3Gkg6e</t>
  </si>
  <si>
    <t>1570661978111</t>
  </si>
  <si>
    <t>-Lqmjyn0Yqy9ftgdSUzN</t>
  </si>
  <si>
    <t>1570661984271</t>
  </si>
  <si>
    <t>-Lqmk-IAutUoQJfgskt_</t>
  </si>
  <si>
    <t>1570661990433</t>
  </si>
  <si>
    <t>-Lqmk0nV8Fcs_TwejDe9</t>
  </si>
  <si>
    <t>1570661996603</t>
  </si>
  <si>
    <t>-Lqmk2JzPMSjKVM86Mrh</t>
  </si>
  <si>
    <t>1570662002835</t>
  </si>
  <si>
    <t>-Lqmk49GnnygAgQQ5gUX</t>
  </si>
  <si>
    <t>1570662008991</t>
  </si>
  <si>
    <t>-Lqmk5q016AvuTAxTYHR</t>
  </si>
  <si>
    <t>1570662017228</t>
  </si>
  <si>
    <t>-Lqmk7NksM6m9TainOS4</t>
  </si>
  <si>
    <t>1570662023394</t>
  </si>
  <si>
    <t>-Lqmk95g9aUTatcbLf82</t>
  </si>
  <si>
    <t>1570662030603</t>
  </si>
  <si>
    <t>-LqmkAcAs0pUHqS8y6EO</t>
  </si>
  <si>
    <t>1570662036838</t>
  </si>
  <si>
    <t>-LqmkC7U9PUaOZadQBVn</t>
  </si>
  <si>
    <t>1570662042991</t>
  </si>
  <si>
    <t>-LqmkDckInapw11hQV0e</t>
  </si>
  <si>
    <t>1570662049153</t>
  </si>
  <si>
    <t>-LqmkFAVWO9DJx_pql_s</t>
  </si>
  <si>
    <t>1570662055379</t>
  </si>
  <si>
    <t>-LqmkGuj7hwx537jnJO_</t>
  </si>
  <si>
    <t>1570662062593</t>
  </si>
  <si>
    <t>-LqmkIQ0ftEf9ROTHLsc</t>
  </si>
  <si>
    <t>1570662068753</t>
  </si>
  <si>
    <t>-LqmkK0WxfizatK1Ia_F</t>
  </si>
  <si>
    <t>1570662075371</t>
  </si>
  <si>
    <t>-LqmkLfXnekdxHlMvQDu</t>
  </si>
  <si>
    <t>1570662082178</t>
  </si>
  <si>
    <t>-LqmkNB-1kp4VKcIWXso</t>
  </si>
  <si>
    <t>1570662088353</t>
  </si>
  <si>
    <t>-LqmkOhXNx6Ez_jOPESt</t>
  </si>
  <si>
    <t>1570662094508</t>
  </si>
  <si>
    <t>-LqmkQVWo5Y6dx-4RGcl</t>
  </si>
  <si>
    <t>1570662101873</t>
  </si>
  <si>
    <t>-LqmkSSFv5uxcxvyYx_e</t>
  </si>
  <si>
    <t>1570662108903</t>
  </si>
  <si>
    <t>-LqmkUAUD3DT2mfie5RE</t>
  </si>
  <si>
    <t>1570662116957</t>
  </si>
  <si>
    <t>-LqmkVjVWExliYvm-2G4</t>
  </si>
  <si>
    <t>1570662123373</t>
  </si>
  <si>
    <t>-LqmkXWGBdr-_pujSIc6</t>
  </si>
  <si>
    <t>1570662130588</t>
  </si>
  <si>
    <t>-LqmkZ0WsrSTL82GsJA0</t>
  </si>
  <si>
    <t>1570662136753</t>
  </si>
  <si>
    <t>-Lqmk_Wl3rKBItVxoCMZ</t>
  </si>
  <si>
    <t>1570662142914</t>
  </si>
  <si>
    <t>-LqmkbIr2uI_uuTRigSL</t>
  </si>
  <si>
    <t>1570662149078</t>
  </si>
  <si>
    <t>-LqmkcmcTR_4Fl50CZLg</t>
  </si>
  <si>
    <t>1570662156285</t>
  </si>
  <si>
    <t>-LqmkeKNZY7MZl408Y7V</t>
  </si>
  <si>
    <t>1570662162504</t>
  </si>
  <si>
    <t>-Lqmkg3OJMTKaqszEyS3</t>
  </si>
  <si>
    <t>1570662169719</t>
  </si>
  <si>
    <t>-LqmkhZsWjVmJ3ulQ30k</t>
  </si>
  <si>
    <t>1570662175880</t>
  </si>
  <si>
    <t>-LqmkjAA7u-EvaXQDHMT</t>
  </si>
  <si>
    <t>1570662182100</t>
  </si>
  <si>
    <t>-Lqmkkqs7Nw6ejRqorsW</t>
  </si>
  <si>
    <t>1570662189320</t>
  </si>
  <si>
    <t>-LqmkmM62Q2YYXrVzF28</t>
  </si>
  <si>
    <t>1570662195479</t>
  </si>
  <si>
    <t>-Lqmknq7HX1cVhIys4ZH</t>
  </si>
  <si>
    <t>1570662201641</t>
  </si>
  <si>
    <t>-LqmkpMb6uMNTmZpPxlK</t>
  </si>
  <si>
    <t>1570662207805</t>
  </si>
  <si>
    <t>-Lqmkqrhhn7sjsrbggVR</t>
  </si>
  <si>
    <t>1570662214041</t>
  </si>
  <si>
    <t>-LqmksONt3I2qTfhbrq-</t>
  </si>
  <si>
    <t>1570662220200</t>
  </si>
  <si>
    <t>-Lqmkttco5UNsB-Aiylc</t>
  </si>
  <si>
    <t>1570662226359</t>
  </si>
  <si>
    <t>-LqmkvOsuF09kUlJwGRM</t>
  </si>
  <si>
    <t>1570662232580</t>
  </si>
  <si>
    <t>-LqmkwsrV_759KvoPP1y</t>
  </si>
  <si>
    <t>1570662238715</t>
  </si>
  <si>
    <t>-LqmkyQbznJswWLkw-3_</t>
  </si>
  <si>
    <t>1570662244915</t>
  </si>
  <si>
    <t>-LqmkzvJY_lVP3Uil37V</t>
  </si>
  <si>
    <t>1570662251075</t>
  </si>
  <si>
    <t>-Lqml0SM_e-kDhoWcohb</t>
  </si>
  <si>
    <t>1570662257319</t>
  </si>
  <si>
    <t>-Lqml2CsIT5iL37hHObR</t>
  </si>
  <si>
    <t>1570662264519</t>
  </si>
  <si>
    <t>-Lqml3i7hBhxiurdUZsR</t>
  </si>
  <si>
    <t>1570662270680</t>
  </si>
  <si>
    <t>-Lqml5D8MZdxWnyqlYBS</t>
  </si>
  <si>
    <t>1570662276840</t>
  </si>
  <si>
    <t>-Lqml6ibsh02wVkpOLgB</t>
  </si>
  <si>
    <t>1570662283010</t>
  </si>
  <si>
    <t>-Lqml8F6bUFpmIFImHn1</t>
  </si>
  <si>
    <t>1570662289239</t>
  </si>
  <si>
    <t>-Lqml9kEC_0YLPOyVKuv</t>
  </si>
  <si>
    <t>1570662295464</t>
  </si>
  <si>
    <t>-LqmlBFcsCnYAlLrjQgz</t>
  </si>
  <si>
    <t>1570662301560</t>
  </si>
  <si>
    <t>-LqmlCm6iTZhgJJZQONG</t>
  </si>
  <si>
    <t>1570662307801</t>
  </si>
  <si>
    <t>-LqmlEHNGtt7KJKvfD74</t>
  </si>
  <si>
    <t>1570662313960</t>
  </si>
  <si>
    <t>-LqmlFmbwQYdqcF-wIuH</t>
  </si>
  <si>
    <t>1570662320114</t>
  </si>
  <si>
    <t>-LqmlHY9cJtW2EVYYYZ2</t>
  </si>
  <si>
    <t>1570662327167</t>
  </si>
  <si>
    <t>-LqmlJ3cJivyeE3HetkA</t>
  </si>
  <si>
    <t>1570662333555</t>
  </si>
  <si>
    <t>-LqmlKrb3LTYXG2CabOe</t>
  </si>
  <si>
    <t>1570662339719</t>
  </si>
  <si>
    <t>-LqmlM_chFpr2LUDa3Xb</t>
  </si>
  <si>
    <t>1570662347961</t>
  </si>
  <si>
    <t>-LqmlO4xyuG_8_toBVey</t>
  </si>
  <si>
    <t>1570662354120</t>
  </si>
  <si>
    <t>-LqmlP_uiig4TAYtjVAw</t>
  </si>
  <si>
    <t>1570662360280</t>
  </si>
  <si>
    <t>-LqmlRMiWaRsL0tr3JRL</t>
  </si>
  <si>
    <t>1570662367567</t>
  </si>
  <si>
    <t>-LqmlSqeMejetlciIggX</t>
  </si>
  <si>
    <t>1570662373636</t>
  </si>
  <si>
    <t>-LqmlUNA5TnuV5kZ5vWh</t>
  </si>
  <si>
    <t>1570662379873</t>
  </si>
  <si>
    <t>-LqmlVsTmOwON75pYuXm</t>
  </si>
  <si>
    <t>1570662386032</t>
  </si>
  <si>
    <t>-LqmlXNkpfcyGPF1yk8F</t>
  </si>
  <si>
    <t>1570662392208</t>
  </si>
  <si>
    <t>-LqmlYuF4R_585a-l9yM</t>
  </si>
  <si>
    <t>1570662398431</t>
  </si>
  <si>
    <t>-Lqml_OAjTbWpHBZKfBs</t>
  </si>
  <si>
    <t>1570662404581</t>
  </si>
  <si>
    <t>-LqmlauiiyWS_S5vDZ-v</t>
  </si>
  <si>
    <t>1570662410757</t>
  </si>
  <si>
    <t>-LqmlcRF7NNfmkcO43oZ</t>
  </si>
  <si>
    <t>1570662416986</t>
  </si>
  <si>
    <t>-Lqmle3tj8RuWrE_DsFl</t>
  </si>
  <si>
    <t>1570662423157</t>
  </si>
  <si>
    <t>-Lqmlfgz9kbkIBuU19MR</t>
  </si>
  <si>
    <t>1570662430352</t>
  </si>
  <si>
    <t>-LqmlhTesTC-Fz2MOq-r</t>
  </si>
  <si>
    <t>1570662437552</t>
  </si>
  <si>
    <t>-Lqmlix_W7Wwx7RUBYD7</t>
  </si>
  <si>
    <t>1570662443771</t>
  </si>
  <si>
    <t>-LqmlkUFjIDv9UcM0F2Z</t>
  </si>
  <si>
    <t>1570662449952</t>
  </si>
  <si>
    <t>-LqmllzWn_8_mF5yTC-F</t>
  </si>
  <si>
    <t>1570662456112</t>
  </si>
  <si>
    <t>-LqmlneuibJMI4PRuqoS</t>
  </si>
  <si>
    <t>1570662463039</t>
  </si>
  <si>
    <t>-LqmlpF0tX3-sA8mMpyg</t>
  </si>
  <si>
    <t>1570662469481</t>
  </si>
  <si>
    <t>-LqmlqkUxJP61xl1MZ51</t>
  </si>
  <si>
    <t>1570662475707</t>
  </si>
  <si>
    <t>-LqmlsFkluCxZec5keca</t>
  </si>
  <si>
    <t>1570662481868</t>
  </si>
  <si>
    <t>-LqmltmEu_9oG5spE3Cf</t>
  </si>
  <si>
    <t>1570662488032</t>
  </si>
  <si>
    <t>-LqmlvHVrwRg4zEXylVK</t>
  </si>
  <si>
    <t>1570662494268</t>
  </si>
  <si>
    <t>-Lqmlwmkksw6mLH-_9Rm</t>
  </si>
  <si>
    <t>1570662500412</t>
  </si>
  <si>
    <t>-LqmlyJFVAS1M4gh4wZl</t>
  </si>
  <si>
    <t>1570662506592</t>
  </si>
  <si>
    <t>-LqmlzoUQPi4v4PYK466</t>
  </si>
  <si>
    <t>1570662512752</t>
  </si>
  <si>
    <t>-Lqmm0Jl3GYMjpnIc3ea</t>
  </si>
  <si>
    <t>1570662518986</t>
  </si>
  <si>
    <t>-Lqmm1ozTcNeGzfbQSJe</t>
  </si>
  <si>
    <t>1570662525146</t>
  </si>
  <si>
    <t>-Lqmm3KF3yiugjIEpQrZ</t>
  </si>
  <si>
    <t>1570662531286</t>
  </si>
  <si>
    <t>-Lqmm4s0twQBBqlUrUTT</t>
  </si>
  <si>
    <t>1570662537551</t>
  </si>
  <si>
    <t>-Lqmm6M-I8oyTWxdBqzu</t>
  </si>
  <si>
    <t>1570662543637</t>
  </si>
  <si>
    <t>-Lqmm7sU6fCR78cct_Ti</t>
  </si>
  <si>
    <t>1570662549872</t>
  </si>
  <si>
    <t>-Lqmm9MV7XSBP776b2RF</t>
  </si>
  <si>
    <t>1570662556031</t>
  </si>
  <si>
    <t>-LqmmAraiAi-et_w7Vf6</t>
  </si>
  <si>
    <t>1570662562257</t>
  </si>
  <si>
    <t>-LqmmCOFW62Xwgpzv7kQ</t>
  </si>
  <si>
    <t>1570662568427</t>
  </si>
  <si>
    <t>-LqmmEDng-e-wU7am9IZ</t>
  </si>
  <si>
    <t>1570662574592</t>
  </si>
  <si>
    <t>-LqmmFvXGvsIGCHyWnGS</t>
  </si>
  <si>
    <t>1570662582834</t>
  </si>
  <si>
    <t>-LqmmHQjS4EdKoh9tdjY</t>
  </si>
  <si>
    <t>1570662588994</t>
  </si>
  <si>
    <t>-LqmmIziIj7et4sF9Pe3</t>
  </si>
  <si>
    <t>1570662595235</t>
  </si>
  <si>
    <t>-LqmmKhodgpOH1lS0r3Q</t>
  </si>
  <si>
    <t>1570662602434</t>
  </si>
  <si>
    <t>-LqmmMD3mSBqHMtyvP_O</t>
  </si>
  <si>
    <t>1570662608594</t>
  </si>
  <si>
    <t>-LqmmNgxnNB7cqUQm8MH</t>
  </si>
  <si>
    <t>1570662614734</t>
  </si>
  <si>
    <t>-LqmmPhneWXiHs7-S0Ur</t>
  </si>
  <si>
    <t>1570662621837</t>
  </si>
  <si>
    <t>-LqmmRFZhcsfF8r3fbDA</t>
  </si>
  <si>
    <t>1570662629234</t>
  </si>
  <si>
    <t>-LqmmSkpuu6yFoVdt2Ef</t>
  </si>
  <si>
    <t>1570662635395</t>
  </si>
  <si>
    <t>-LqmmUG2geA6huUc8muI</t>
  </si>
  <si>
    <t>1570662641555</t>
  </si>
  <si>
    <t>-LqmmVlHtnvTNk98dCQR</t>
  </si>
  <si>
    <t>1570662647715</t>
  </si>
  <si>
    <t>-LqmmXHmeFuDf_PLf2ca</t>
  </si>
  <si>
    <t>1570662653955</t>
  </si>
  <si>
    <t>-LqmmYn2KB0yYjpNyI1R</t>
  </si>
  <si>
    <t>1570662660110</t>
  </si>
  <si>
    <t>-Lqmm_IJ_OyFS8qv3K_B</t>
  </si>
  <si>
    <t>1570662666275</t>
  </si>
  <si>
    <t>-LqmmanYO40K5D0VF9iX</t>
  </si>
  <si>
    <t>1570662672500</t>
  </si>
  <si>
    <t>-LqmmcK25YwUdQdNfBDP</t>
  </si>
  <si>
    <t>1570662678670</t>
  </si>
  <si>
    <t>-Lqmmdo1iZvqvTmV_O0w</t>
  </si>
  <si>
    <t>1570662684821</t>
  </si>
  <si>
    <t>-LqmmfUZNNvhMJhs5Ui9</t>
  </si>
  <si>
    <t>1570662691644</t>
  </si>
  <si>
    <t>-Lqmmh52HchXmXr7KL17</t>
  </si>
  <si>
    <t>1570662698204</t>
  </si>
  <si>
    <t>-Lqmmie29Q5Ub7PzP4Jw</t>
  </si>
  <si>
    <t>1570662704434</t>
  </si>
  <si>
    <t>-LqmmkMnQE_wJBT8EIwk</t>
  </si>
  <si>
    <t>1570662711630</t>
  </si>
  <si>
    <t>-LqmmlsHsdLXEb10PMy6</t>
  </si>
  <si>
    <t>1570662717795</t>
  </si>
  <si>
    <t>-LqmmnNXCoLXA7eN1jUB</t>
  </si>
  <si>
    <t>1570662723961</t>
  </si>
  <si>
    <t>-Lqmmou2DNKkcS0k4yWW</t>
  </si>
  <si>
    <t>1570662730195</t>
  </si>
  <si>
    <t>-LqmmqPIKPVq_iSVCkgu</t>
  </si>
  <si>
    <t>1570662736355</t>
  </si>
  <si>
    <t>-LqmmruX3EMEavlcVbi1</t>
  </si>
  <si>
    <t>1570662742504</t>
  </si>
  <si>
    <t>-LqmmtQyQ5CH4_xPDrDe</t>
  </si>
  <si>
    <t>1570662748746</t>
  </si>
  <si>
    <t>-Lqmmuv2osW2eU-0325Q</t>
  </si>
  <si>
    <t>1570662754841</t>
  </si>
  <si>
    <t>-LqmmwRZplS_QbJLn92s</t>
  </si>
  <si>
    <t>1570662761074</t>
  </si>
  <si>
    <t>-LqmmyC3noogNGr9XBMu</t>
  </si>
  <si>
    <t>1570662768277</t>
  </si>
  <si>
    <t>-LqmmziX2EOvLPNIlM64</t>
  </si>
  <si>
    <t>1570662774510</t>
  </si>
  <si>
    <t>-Lqmn0DFHtAZKcqj-h49</t>
  </si>
  <si>
    <t>1570662780600</t>
  </si>
  <si>
    <t>-Lqmn2-k6sXP0RqH1gke</t>
  </si>
  <si>
    <t>1570662786835</t>
  </si>
  <si>
    <t>-Lqmn3jfGUvhSw4usjL1</t>
  </si>
  <si>
    <t>1570662795073</t>
  </si>
  <si>
    <t>-Lqmn5TpjxTQCLHP6lU8</t>
  </si>
  <si>
    <t>1570662801234</t>
  </si>
  <si>
    <t>-Lqmn7-Wr303gg56OyBX</t>
  </si>
  <si>
    <t>1570662808438</t>
  </si>
  <si>
    <t>-Lqmn8X-HnwdTNrtvt4u</t>
  </si>
  <si>
    <t>1570662814673</t>
  </si>
  <si>
    <t>-LqmnA1FpFGWK8na8OU8</t>
  </si>
  <si>
    <t>1570662820828</t>
  </si>
  <si>
    <t>-LqmnBXWI0T3UUG4w32w</t>
  </si>
  <si>
    <t>1570662826986</t>
  </si>
  <si>
    <t>-LqmnD30zvvxhQ6Tvi9y</t>
  </si>
  <si>
    <t>1570662833233</t>
  </si>
  <si>
    <t>-LqmnEZGA-CU4Laz4kzQ</t>
  </si>
  <si>
    <t>1570662839388</t>
  </si>
  <si>
    <t>-LqmnG3WcagLYmAxlnI7</t>
  </si>
  <si>
    <t>1570662845553</t>
  </si>
  <si>
    <t>-LqmnHZkpDKfsXxasSOm</t>
  </si>
  <si>
    <t>1570662851712</t>
  </si>
  <si>
    <t>-LqmnJ5FYiPz2_PAEw8d</t>
  </si>
  <si>
    <t>1570662857953</t>
  </si>
  <si>
    <t>-LqmnKaR-hOMf0cuaQPY</t>
  </si>
  <si>
    <t>1570662864108</t>
  </si>
  <si>
    <t>-LqmnM6Oxkn195NGV6uJ</t>
  </si>
  <si>
    <t>1570662870272</t>
  </si>
  <si>
    <t>-LqmnNdWpen0dLkPvoXV</t>
  </si>
  <si>
    <t>1570662876433</t>
  </si>
  <si>
    <t>-LqmnPNj2GwK22IDm7mj</t>
  </si>
  <si>
    <t>1570662883714</t>
  </si>
  <si>
    <t>-LqmnQt-Xg0BnxCtVCDn</t>
  </si>
  <si>
    <t>1570662889873</t>
  </si>
  <si>
    <t>-LqmnSMwyzenEOFE8QWI</t>
  </si>
  <si>
    <t>1570662896022</t>
  </si>
  <si>
    <t>-LqmnTtWfzDIDFz8Cbv9</t>
  </si>
  <si>
    <t>1570662902193</t>
  </si>
  <si>
    <t>-LqmnVPvJw35Us3202Yk</t>
  </si>
  <si>
    <t>1570662908429</t>
  </si>
  <si>
    <t>-LqmnWvHk1Jq8TbKppTH</t>
  </si>
  <si>
    <t>1570662914589</t>
  </si>
  <si>
    <t>-LqmnYQbyMgrHSRg50Bo</t>
  </si>
  <si>
    <t>1570662920752</t>
  </si>
  <si>
    <t>-LqmnZx-zhtmVTAOYezx</t>
  </si>
  <si>
    <t>1570662927011</t>
  </si>
  <si>
    <t>-LqmnaR0J_0UukPkBgdZ</t>
  </si>
  <si>
    <t>1570662933077</t>
  </si>
  <si>
    <t>-LqmnbxYhwLfpPM1Wt8q</t>
  </si>
  <si>
    <t>1570662939315</t>
  </si>
  <si>
    <t>-LqmndSb5KLBTWBdHoZg</t>
  </si>
  <si>
    <t>1570662945472</t>
  </si>
  <si>
    <t>-Lqmney00Zsz53UjgO26</t>
  </si>
  <si>
    <t>1570662951637</t>
  </si>
  <si>
    <t>-LqmngUVUU8mIBmtqtA1</t>
  </si>
  <si>
    <t>1570662957873</t>
  </si>
  <si>
    <t>-LqmniCmu4_Gwepu4cre</t>
  </si>
  <si>
    <t>1570662964033</t>
  </si>
  <si>
    <t>-LqmnjkAgwc6hm9PuPRN</t>
  </si>
  <si>
    <t>1570662971239</t>
  </si>
  <si>
    <t>-LqmnlGhnMK2axBENsqC</t>
  </si>
  <si>
    <t>1570662977474</t>
  </si>
  <si>
    <t>-LqmnmklVA4kWZO_qL7p</t>
  </si>
  <si>
    <t>1570662983552</t>
  </si>
  <si>
    <t>-LqmnoXWPMWleGyAEtFW</t>
  </si>
  <si>
    <t>1570662990828</t>
  </si>
  <si>
    <t>-Lqmnq0UGBvhBvcWbnj4</t>
  </si>
  <si>
    <t>1570662996978</t>
  </si>
  <si>
    <t>-Lqmnrr-RxZr82Eua4_F</t>
  </si>
  <si>
    <t>1570663004287</t>
  </si>
  <si>
    <t>-LqmntYqeTNzjJco_daK</t>
  </si>
  <si>
    <t>1570663011393</t>
  </si>
  <si>
    <t>-Lqmnv4BbUM-uhc4pbiy</t>
  </si>
  <si>
    <t>1570663017632</t>
  </si>
  <si>
    <t>-Lqmnw_XnXwxjG4EtZGa</t>
  </si>
  <si>
    <t>1570663023794</t>
  </si>
  <si>
    <t>-Lqmny3YZIRjolg1XLav</t>
  </si>
  <si>
    <t>1570663029954</t>
  </si>
  <si>
    <t>-Lqmnz_Ug64cCmsan32o</t>
  </si>
  <si>
    <t>1570663036119</t>
  </si>
  <si>
    <t>-Lqmo06WWqSjmoEtYqN1</t>
  </si>
  <si>
    <t>1570663042353</t>
  </si>
  <si>
    <t>-Lqmo1fTWPJmtRoM8Qet</t>
  </si>
  <si>
    <t>1570663048509</t>
  </si>
  <si>
    <t>-Lqmo3NI6wm2Vwzvv5Na</t>
  </si>
  <si>
    <t>1570663055713</t>
  </si>
  <si>
    <t>-Lqmo4sW6IGGCA8pUSxZ</t>
  </si>
  <si>
    <t>1570663061873</t>
  </si>
  <si>
    <t>-Lqmo6Om7kL7pK6MLWI8</t>
  </si>
  <si>
    <t>1570663068112</t>
  </si>
  <si>
    <t>-Lqmo7wlCGMnr7s4FOmk</t>
  </si>
  <si>
    <t>1570663074273</t>
  </si>
  <si>
    <t>-Lqmo9ehc_71DRMb-n3C</t>
  </si>
  <si>
    <t>1570663081474</t>
  </si>
  <si>
    <t>-LqmoBA-qVDQ3GMpmnFz</t>
  </si>
  <si>
    <t>1570663087632</t>
  </si>
  <si>
    <t>-LqmoCgRChAnz32TwTT-</t>
  </si>
  <si>
    <t>1570663093872</t>
  </si>
  <si>
    <t>-LqmoEFWmYICGffazpQr</t>
  </si>
  <si>
    <t>1570663100043</t>
  </si>
  <si>
    <t>-LqmoGCHJKFE9chb2BFL</t>
  </si>
  <si>
    <t>1570663107234</t>
  </si>
  <si>
    <t>-LqmoHrgVTW3yu2e30IU</t>
  </si>
  <si>
    <t>1570663114433</t>
  </si>
  <si>
    <t>-LqmoJTHY7sfjBmlQF5D</t>
  </si>
  <si>
    <t>1570663121635</t>
  </si>
  <si>
    <t>-LqmoKyaoCjabBcno2Di</t>
  </si>
  <si>
    <t>1570663127803</t>
  </si>
  <si>
    <t>-LqmoMV1OCl0XseHUjlm</t>
  </si>
  <si>
    <t>1570663133958</t>
  </si>
  <si>
    <t>-LqmoO-G-Sds1UZYsaR1</t>
  </si>
  <si>
    <t>1570663140192</t>
  </si>
  <si>
    <t>-LqmoPVWkvjJ22Mi22w7</t>
  </si>
  <si>
    <t>1570663146355</t>
  </si>
  <si>
    <t>-LqmoR10W-_bIAr6TxQJ</t>
  </si>
  <si>
    <t>1570663152588</t>
  </si>
  <si>
    <t>-LqmoSXGGP_-j9sFgWIQ</t>
  </si>
  <si>
    <t>1570663158752</t>
  </si>
  <si>
    <t>-LqmoU0Gr5GIOJQpUao5</t>
  </si>
  <si>
    <t>1570663164907</t>
  </si>
  <si>
    <t>-LqmoV_FLavmcwjutR3x</t>
  </si>
  <si>
    <t>1570663171073</t>
  </si>
  <si>
    <t>-LqmoXIGj07S69khnn3n</t>
  </si>
  <si>
    <t>1570663178337</t>
  </si>
  <si>
    <t>-LqmoYq1kLGfRr143G1V</t>
  </si>
  <si>
    <t>1570663184513</t>
  </si>
  <si>
    <t>-Lqmo__GjQNHkepG_Im-</t>
  </si>
  <si>
    <t>1570663191714</t>
  </si>
  <si>
    <t>-Lqmob4WYL0lC4QXOQgi</t>
  </si>
  <si>
    <t>1570663197873</t>
  </si>
  <si>
    <t>-LqmoccBrkOK42fINqI1</t>
  </si>
  <si>
    <t>1570663204037</t>
  </si>
  <si>
    <t>-LqmoeLGsthe1dYEZk4G</t>
  </si>
  <si>
    <t>1570663211249</t>
  </si>
  <si>
    <t>-Lqmog72bEavNZ60jVSK</t>
  </si>
  <si>
    <t>1570663217538</t>
  </si>
  <si>
    <t>-LqmohcIVvn6Lei_RlFR</t>
  </si>
  <si>
    <t>1570663224675</t>
  </si>
  <si>
    <t>-Lqmoj7_9p3LKn7p8Cw_</t>
  </si>
  <si>
    <t>1570663230838</t>
  </si>
  <si>
    <t>-LqmokcplJoT7WWIx6Nz</t>
  </si>
  <si>
    <t>1570663237007</t>
  </si>
  <si>
    <t>-Lqmom9I5lh01KoDlkic</t>
  </si>
  <si>
    <t>1570663243237</t>
  </si>
  <si>
    <t>-Lqmone_SsEg839HJ9L3</t>
  </si>
  <si>
    <t>1570663249394</t>
  </si>
  <si>
    <t>-Lqmop9p1MnIcPhBZ_Is</t>
  </si>
  <si>
    <t>1570663255556</t>
  </si>
  <si>
    <t>-LqmoqgD0WtIuUetbrpY</t>
  </si>
  <si>
    <t>1570663261797</t>
  </si>
  <si>
    <t>-LqmosRp-vrSDHAJX12o</t>
  </si>
  <si>
    <t>1570663268997</t>
  </si>
  <si>
    <t>-LqmotvGMwsSkd1hzNTK</t>
  </si>
  <si>
    <t>1570663275156</t>
  </si>
  <si>
    <t>-LqmovSI8-hQpHpXhytg</t>
  </si>
  <si>
    <t>1570663281317</t>
  </si>
  <si>
    <t>-Lqmowx_6OOXE84XrpkM</t>
  </si>
  <si>
    <t>1570663287542</t>
  </si>
  <si>
    <t>-LqmoyVJyFyFMbBdYAOo</t>
  </si>
  <si>
    <t>1570663293717</t>
  </si>
  <si>
    <t>-Lqmp-E_thA8Twz2FcaB</t>
  </si>
  <si>
    <t>1570663300917</t>
  </si>
  <si>
    <t>-Lqmp1J2H87A15najnC_</t>
  </si>
  <si>
    <t>1570663309454</t>
  </si>
  <si>
    <t>-Lqmp3-_EVlvvjCNgLJ2</t>
  </si>
  <si>
    <t>1570663316356</t>
  </si>
  <si>
    <t>-Lqmp4sjk8VT_df2xtFY</t>
  </si>
  <si>
    <t>1570663322515</t>
  </si>
  <si>
    <t>-Lqmp6WpHsHfMg-cDLWm</t>
  </si>
  <si>
    <t>1570663330762</t>
  </si>
  <si>
    <t>-Lqmp8_1QItAsRQ4x3HB</t>
  </si>
  <si>
    <t>1570663338139</t>
  </si>
  <si>
    <t>-LqmpAJK6nZwbdxg3Jcw</t>
  </si>
  <si>
    <t>1570663346340</t>
  </si>
  <si>
    <t>-LqmpBoUFs9tw-6erUlJ</t>
  </si>
  <si>
    <t>1570663352437</t>
  </si>
  <si>
    <t>-LqmpDJjFPU9sKxz06vu</t>
  </si>
  <si>
    <t>1570663358587</t>
  </si>
  <si>
    <t>-LqmpEp4Yn-lovlEghhU</t>
  </si>
  <si>
    <t>1570663364757</t>
  </si>
  <si>
    <t>-LqmpGLaBQmk5feabrll</t>
  </si>
  <si>
    <t>1570663370986</t>
  </si>
  <si>
    <t>-LqmpHqapnMkVZukTb2f</t>
  </si>
  <si>
    <t>1570663377157</t>
  </si>
  <si>
    <t>-LqmpJLzKvWZWzSSPKab</t>
  </si>
  <si>
    <t>1570663383318</t>
  </si>
  <si>
    <t>-LqmpKq2JfopsheUdOag</t>
  </si>
  <si>
    <t>1570663389482</t>
  </si>
  <si>
    <t>-LqmpMNo9gFDPMEHgUr2</t>
  </si>
  <si>
    <t>1570663395716</t>
  </si>
  <si>
    <t>-LqmpNt2FE7f1c7RMFA-</t>
  </si>
  <si>
    <t>1570663401872</t>
  </si>
  <si>
    <t>-LqmpPOKppjdP4TFMlSJ</t>
  </si>
  <si>
    <t>1570663408037</t>
  </si>
  <si>
    <t>-LqmpQtZrxM-5Cq_KtiE</t>
  </si>
  <si>
    <t>1570663414216</t>
  </si>
  <si>
    <t>-LqmpSQ3yx3CO9ebDk8L</t>
  </si>
  <si>
    <t>1570663420437</t>
  </si>
  <si>
    <t>-LqmpTvKdbOaBn6RyOcb</t>
  </si>
  <si>
    <t>1570663426601</t>
  </si>
  <si>
    <t>-LqmpViV_8uXB_A1JEDt</t>
  </si>
  <si>
    <t>1570663432762</t>
  </si>
  <si>
    <t>-LqmpXRFaiTxEyfTpr71</t>
  </si>
  <si>
    <t>1570663440993</t>
  </si>
  <si>
    <t>-LqmpZKdTMyJKqm564Hf</t>
  </si>
  <si>
    <t>1570663447233</t>
  </si>
  <si>
    <t>-Lqmp_xGreaF1K6o4bLK</t>
  </si>
  <si>
    <t>1570663455411</t>
  </si>
  <si>
    <t>-LqmpbTkvxzcr_RY_naq</t>
  </si>
  <si>
    <t>1570663461627</t>
  </si>
  <si>
    <t>-Lqmpcz-9fFSbnJwnfyM</t>
  </si>
  <si>
    <t>1570663467792</t>
  </si>
  <si>
    <t>-LqmpeVVLms6GAW3PuL8</t>
  </si>
  <si>
    <t>1570663473947</t>
  </si>
  <si>
    <t>-LqmpfzVoxfsSsaT6zwb</t>
  </si>
  <si>
    <t>1570663480112</t>
  </si>
  <si>
    <t>-LqmphXFEMJCF8YfD011</t>
  </si>
  <si>
    <t>1570663486351</t>
  </si>
  <si>
    <t>-LqmpjGVoYSuME96tS9W</t>
  </si>
  <si>
    <t>1570663493552</t>
  </si>
  <si>
    <t>-LqmpkuWP8W4TTv4AKAU</t>
  </si>
  <si>
    <t>1570663500315</t>
  </si>
  <si>
    <t>-LqmpmYU8WqX4gpto6LG</t>
  </si>
  <si>
    <t>1570663506971</t>
  </si>
  <si>
    <t>-Lqmpo2etm4-UgDxhDBs</t>
  </si>
  <si>
    <t>1570663513151</t>
  </si>
  <si>
    <t>-LqmppZ-9VI0XriO46ey</t>
  </si>
  <si>
    <t>1570663519315</t>
  </si>
  <si>
    <t>-Lqmpr3G23s2CmehxW4U</t>
  </si>
  <si>
    <t>1570663525473</t>
  </si>
  <si>
    <t>-Lqmps_jQCCjzNNc3FvW</t>
  </si>
  <si>
    <t>1570663531711</t>
  </si>
  <si>
    <t>-Lqmpu4z8apIQBKsL3HV</t>
  </si>
  <si>
    <t>1570663537876</t>
  </si>
  <si>
    <t>-Lqmpvy4kDpgbFKwzMHB</t>
  </si>
  <si>
    <t>1570663544032</t>
  </si>
  <si>
    <t>-Lqmpxazx3edJpq_8meg</t>
  </si>
  <si>
    <t>1570663552274</t>
  </si>
  <si>
    <t>-Lqmpz6FbypXfEk-Rc0d</t>
  </si>
  <si>
    <t>1570663558498</t>
  </si>
  <si>
    <t>-Lqmq-clfqQT-3GE7t_Y</t>
  </si>
  <si>
    <t>1570663564677</t>
  </si>
  <si>
    <t>-Lqmq18-eZKUHcfifqsX</t>
  </si>
  <si>
    <t>1570663570833</t>
  </si>
  <si>
    <t>-Lqmq2d4UHcXm7FsE5T5</t>
  </si>
  <si>
    <t>1570663576991</t>
  </si>
  <si>
    <t>-Lqmq49kNrB1W7WMqo2z</t>
  </si>
  <si>
    <t>1570663583232</t>
  </si>
  <si>
    <t>-Lqmq5tv0tV5vKyFRu5b</t>
  </si>
  <si>
    <t>1570663590426</t>
  </si>
  <si>
    <t>-Lqmq7QZfGhhk3OcWSKH</t>
  </si>
  <si>
    <t>1570663596592</t>
  </si>
  <si>
    <t>-Lqmq8uVUoPGRTZ0iLcY</t>
  </si>
  <si>
    <t>1570663602746</t>
  </si>
  <si>
    <t>-LqmqASGwdWfz6-nXARr</t>
  </si>
  <si>
    <t>1570663608991</t>
  </si>
  <si>
    <t>-LqmqBwFIJEXjnwJKbxe</t>
  </si>
  <si>
    <t>1570663615146</t>
  </si>
  <si>
    <t>-LqmqDSkRTiTF6hzgbzF</t>
  </si>
  <si>
    <t>1570663621312</t>
  </si>
  <si>
    <t>-LqmqExk_TEwCT-gmdVy</t>
  </si>
  <si>
    <t>1570663627472</t>
  </si>
  <si>
    <t>-LqmqGUUDodirJGLktG3</t>
  </si>
  <si>
    <t>1570663633714</t>
  </si>
  <si>
    <t>-LqmqHzfmK_AK4VJzFLq</t>
  </si>
  <si>
    <t>1570663639867</t>
  </si>
  <si>
    <t>-LqmqJjixvxJLV1oiiIt</t>
  </si>
  <si>
    <t>1570663647073</t>
  </si>
  <si>
    <t>-LqmqLWjOYJmy1_DY9o9</t>
  </si>
  <si>
    <t>1570663654375</t>
  </si>
  <si>
    <t>-LqmqN-yNWGHOWDYlSts</t>
  </si>
  <si>
    <t>1570663660495</t>
  </si>
  <si>
    <t>-LqmqOWEoF4qcMon1lQ5</t>
  </si>
  <si>
    <t>1570663666666</t>
  </si>
  <si>
    <t>-LqmqQ1i8ETA41Stb1sA</t>
  </si>
  <si>
    <t>1570663672831</t>
  </si>
  <si>
    <t>-LqmqRXy0alMDxSHvQLg</t>
  </si>
  <si>
    <t>1570663678992</t>
  </si>
  <si>
    <t>-LqmqT3UrJ1OqLzXDWzf</t>
  </si>
  <si>
    <t>1570663685240</t>
  </si>
  <si>
    <t>-LqmqUZjH4Ul3XEzJcFQ</t>
  </si>
  <si>
    <t>1570663691391</t>
  </si>
  <si>
    <t>-LqmqW2fu9Tn_RIQuy-Y</t>
  </si>
  <si>
    <t>1570663697550</t>
  </si>
  <si>
    <t>-LqmqX_EoVWll5sglsym</t>
  </si>
  <si>
    <t>1570663703711</t>
  </si>
  <si>
    <t>-LqmqZ4UA94pUQo_StQc</t>
  </si>
  <si>
    <t>1570663709950</t>
  </si>
  <si>
    <t>-Lqmq__QdPSReBpwiysI</t>
  </si>
  <si>
    <t>1570663716105</t>
  </si>
  <si>
    <t>-Lqmqb3Qop40tfCpP7DL</t>
  </si>
  <si>
    <t>1570663722270</t>
  </si>
  <si>
    <t>-LqmqcbTOVvXLnSUy8xR</t>
  </si>
  <si>
    <t>1570663728441</t>
  </si>
  <si>
    <t>-Lqmqe7kHaSHtO2WPG0j</t>
  </si>
  <si>
    <t>1570663734671</t>
  </si>
  <si>
    <t>-Lqmqfby0gXm_juj4bG3</t>
  </si>
  <si>
    <t>1570663740830</t>
  </si>
  <si>
    <t>-Lqmqh7El7MxaUAEu2Uh</t>
  </si>
  <si>
    <t>1570663746986</t>
  </si>
  <si>
    <t>-LqmqiezVRa1gV8x1MfE</t>
  </si>
  <si>
    <t>1570663753231</t>
  </si>
  <si>
    <t>-LqmqkbxX0Ns0BBmcl84</t>
  </si>
  <si>
    <t>1570663759391</t>
  </si>
  <si>
    <t>-LqmqmAtsPl8tTV5E5dI</t>
  </si>
  <si>
    <t>1570663767635</t>
  </si>
  <si>
    <t>-LqmqnijshpMK8cAmlCA</t>
  </si>
  <si>
    <t>1570663773792</t>
  </si>
  <si>
    <t>-LqmqpQTNffc-tucN2TD</t>
  </si>
  <si>
    <t>1570663780990</t>
  </si>
  <si>
    <t>-Lqmqqwy1ti_8wG0Yz6g</t>
  </si>
  <si>
    <t>1570663787216</t>
  </si>
  <si>
    <t>-LqmqsSIwUN57EI7L-pu</t>
  </si>
  <si>
    <t>1570663793386</t>
  </si>
  <si>
    <t>-LqmqtxT0uPfl9kguaVI</t>
  </si>
  <si>
    <t>1570663799553</t>
  </si>
  <si>
    <t>-LqmqvSeQeHaJKF8stbO</t>
  </si>
  <si>
    <t>1570663805710</t>
  </si>
  <si>
    <t>-LqmqwywNFSjHBEE7Wr9</t>
  </si>
  <si>
    <t>1570663811950</t>
  </si>
  <si>
    <t>-LqmqyUV8BIG951gghEo</t>
  </si>
  <si>
    <t>1570663818110</t>
  </si>
  <si>
    <t>-LqmqzzdF0EeVIQ7E9xa</t>
  </si>
  <si>
    <t>1570663824270</t>
  </si>
  <si>
    <t>-Lqmr0UzDuAIvcD3gHTy</t>
  </si>
  <si>
    <t>1570663830431</t>
  </si>
  <si>
    <t>-Lqmr20TxYJIWDhlXq4_</t>
  </si>
  <si>
    <t>1570663836670</t>
  </si>
  <si>
    <t>-Lqmr3Wiont2_eN5w6mx</t>
  </si>
  <si>
    <t>1570663842830</t>
  </si>
  <si>
    <t>-Lqmr5-prcIAituWUZWP</t>
  </si>
  <si>
    <t>1570663848990</t>
  </si>
  <si>
    <t>-Lqmr6X-7UnXgqI9JwwC</t>
  </si>
  <si>
    <t>1570663855161</t>
  </si>
  <si>
    <t>-Lqmr8O21sXNyaUxVSF3</t>
  </si>
  <si>
    <t>1570663861394</t>
  </si>
  <si>
    <t>-LqmrA3ZE6zHfZXnWSDp</t>
  </si>
  <si>
    <t>1570663869586</t>
  </si>
  <si>
    <t>-LqmrBb4nuV3Z7b1wPWj</t>
  </si>
  <si>
    <t>1570663875751</t>
  </si>
  <si>
    <t>-LqmrD5DUPzNWwJnHIqC</t>
  </si>
  <si>
    <t>1570663881961</t>
  </si>
  <si>
    <t>-LqmrEd3Dqe1_yVy1umX</t>
  </si>
  <si>
    <t>1570663888190</t>
  </si>
  <si>
    <t>-LqmrGNDNb_qOTj7uHtY</t>
  </si>
  <si>
    <t>1570663895401</t>
  </si>
  <si>
    <t>-LqmrHsKJstIDwm6-czL</t>
  </si>
  <si>
    <t>1570663901556</t>
  </si>
  <si>
    <t>-LqmrJMZDgckAvfVC6j4</t>
  </si>
  <si>
    <t>1570663907711</t>
  </si>
  <si>
    <t>-LqmrKuOBA6yh8kauCR4</t>
  </si>
  <si>
    <t>1570663913941</t>
  </si>
  <si>
    <t>-LqmrMN3pDjhKmD_jbNi</t>
  </si>
  <si>
    <t>1570663920039</t>
  </si>
  <si>
    <t>-LqmrNxJ3kdq2coyLzG3</t>
  </si>
  <si>
    <t>1570663926276</t>
  </si>
  <si>
    <t>-LqmrPfJ1i4hkSRC9ZGz</t>
  </si>
  <si>
    <t>1570663933476</t>
  </si>
  <si>
    <t>-LqmrRAdGD-Ye83P3CmX</t>
  </si>
  <si>
    <t>1570663939701</t>
  </si>
  <si>
    <t>-LqmrSgzthKBtgrg4fFX</t>
  </si>
  <si>
    <t>1570663945871</t>
  </si>
  <si>
    <t>-LqmrUCJ373aV98M3V4L</t>
  </si>
  <si>
    <t>1570663952025</t>
  </si>
  <si>
    <t>-LqmrVi9aRt-PN_aNYaK</t>
  </si>
  <si>
    <t>1570663958195</t>
  </si>
  <si>
    <t>-LqmrXE23XGZmL5kEC5S</t>
  </si>
  <si>
    <t>1570663964436</t>
  </si>
  <si>
    <t>-LqmrYkZRl2ga6AbqqEe</t>
  </si>
  <si>
    <t>1570663970591</t>
  </si>
  <si>
    <t>-Lqmr_TYnKXBL38zZDqR</t>
  </si>
  <si>
    <t>1570663977760</t>
  </si>
  <si>
    <t>-Lqmrb0IxqqGO-Vakc13</t>
  </si>
  <si>
    <t>1570663983955</t>
  </si>
  <si>
    <t>-LqmrcVI7FgjTbA8WK64</t>
  </si>
  <si>
    <t>1570663990115</t>
  </si>
  <si>
    <t>-Lqmre0ozacFhW_qAMpU</t>
  </si>
  <si>
    <t>1570663996355</t>
  </si>
  <si>
    <t>-LqmrfX36mfkXhDTfuKZ</t>
  </si>
  <si>
    <t>1570664002516</t>
  </si>
  <si>
    <t>-Lqmrh131BMkc862Ps_9</t>
  </si>
  <si>
    <t>1570664008676</t>
  </si>
  <si>
    <t>-LqmriYj3pSaX8sIIKxm</t>
  </si>
  <si>
    <t>1570664014911</t>
  </si>
  <si>
    <t>-Lqmrk34j4lp6-sm_ZKS</t>
  </si>
  <si>
    <t>1570664021079</t>
  </si>
  <si>
    <t>-Lqmrlo_HqPdPPa4Tr3F</t>
  </si>
  <si>
    <t>1570664028276</t>
  </si>
  <si>
    <t>-LqmrnJjBJjnmEedEv3X</t>
  </si>
  <si>
    <t>1570664034436</t>
  </si>
  <si>
    <t>-LqmroqOvfVUeRo1NZD1</t>
  </si>
  <si>
    <t>1570664040676</t>
  </si>
  <si>
    <t>-LqmrqJvkSWIb5Tj57XJ</t>
  </si>
  <si>
    <t>1570664046791</t>
  </si>
  <si>
    <t>-LqmrrqnDSJjAYB3Jf8P</t>
  </si>
  <si>
    <t>1570664052991</t>
  </si>
  <si>
    <t>-LqmrtM2ZzdL3z9r5yL7</t>
  </si>
  <si>
    <t>1570664059156</t>
  </si>
  <si>
    <t>-LqmrutoRjPtiFHxyw8W</t>
  </si>
  <si>
    <t>1570664065391</t>
  </si>
  <si>
    <t>-LqmrwtZBuIkvuFxMYwx</t>
  </si>
  <si>
    <t>1570664072546</t>
  </si>
  <si>
    <t>-LqmryNL4CXHIhhbD2JH</t>
  </si>
  <si>
    <t>1570664079797</t>
  </si>
  <si>
    <t>-LqmrztWZbjOWDOvSSCH</t>
  </si>
  <si>
    <t>1570664085958</t>
  </si>
  <si>
    <t>-Lqms0NrzpgO2FfpdJVs</t>
  </si>
  <si>
    <t>1570664092122</t>
  </si>
  <si>
    <t>-Lqms1vaoA4mlfCgx-aJ</t>
  </si>
  <si>
    <t>1570664098358</t>
  </si>
  <si>
    <t>-Lqms3QlfMNsnfPCaTwI</t>
  </si>
  <si>
    <t>1570664104519</t>
  </si>
  <si>
    <t>-Lqms4wBBMXHe6dH17bk</t>
  </si>
  <si>
    <t>1570664110679</t>
  </si>
  <si>
    <t>-Lqms6TraD11efvyS-Ff</t>
  </si>
  <si>
    <t>1570664116899</t>
  </si>
  <si>
    <t>-Lqms8D1PcLUU-SRypYV</t>
  </si>
  <si>
    <t>1570664124113</t>
  </si>
  <si>
    <t>-Lqms9iMxNB06gTEWfjF</t>
  </si>
  <si>
    <t>1570664130277</t>
  </si>
  <si>
    <t>-LqmsBCH67JEax-t-nzc</t>
  </si>
  <si>
    <t>1570664136429</t>
  </si>
  <si>
    <t>-LqmsCirEFTS21aqykwp</t>
  </si>
  <si>
    <t>1570664142664</t>
  </si>
  <si>
    <t>-LqmsEFFpau9Nn4yBHy2</t>
  </si>
  <si>
    <t>1570664148837</t>
  </si>
  <si>
    <t>-LqmsFkYMBfASDxy3vfx</t>
  </si>
  <si>
    <t>1570664154997</t>
  </si>
  <si>
    <t>-LqmsHFq7xFwHHMbeL-k</t>
  </si>
  <si>
    <t>1570664161158</t>
  </si>
  <si>
    <t>-LqmsIl7r5xACAPEhyWj</t>
  </si>
  <si>
    <t>1570664167317</t>
  </si>
  <si>
    <t>-LqmsKHbexwVvTPSuVeV</t>
  </si>
  <si>
    <t>1570664173554</t>
  </si>
  <si>
    <t>-LqmsLmrXIqMtPLH3Tev</t>
  </si>
  <si>
    <t>1570664179717</t>
  </si>
  <si>
    <t>-LqmsNI5BK0TDdespbCP</t>
  </si>
  <si>
    <t>1570664185877</t>
  </si>
  <si>
    <t>-LqmsOob2PidshAxEvHQ</t>
  </si>
  <si>
    <t>1570664192118</t>
  </si>
  <si>
    <t>-LqmsQJrCsrdEVN2IIgP</t>
  </si>
  <si>
    <t>1570664198279</t>
  </si>
  <si>
    <t>-LqmsRnblJxgI-6vEHVD</t>
  </si>
  <si>
    <t>1570664204429</t>
  </si>
  <si>
    <t>-LqmsTKGzz84RJu1kBIV</t>
  </si>
  <si>
    <t>1570664210602</t>
  </si>
  <si>
    <t>-LqmsUqmhD5Pmn7f3DY7</t>
  </si>
  <si>
    <t>1570664216834</t>
  </si>
  <si>
    <t>-LqmsX-FKBYCsp5JQSER</t>
  </si>
  <si>
    <t>1570664222999</t>
  </si>
  <si>
    <t>-LqmsYaq_PNJKvnjyRDk</t>
  </si>
  <si>
    <t>1570664232274</t>
  </si>
  <si>
    <t>-Lqms_7L069tK9RORBZx</t>
  </si>
  <si>
    <t>1570664238439</t>
  </si>
  <si>
    <t>-Lqmsaca0TPK3ccSe1eo</t>
  </si>
  <si>
    <t>1570664244599</t>
  </si>
  <si>
    <t>-Lqmsc944tGOvcfBG5bg</t>
  </si>
  <si>
    <t>1570664250840</t>
  </si>
  <si>
    <t>-LqmsdeLaZ3TM05YbWoS</t>
  </si>
  <si>
    <t>1570664256998</t>
  </si>
  <si>
    <t>-Lqmsf9atQC-akqihtSD</t>
  </si>
  <si>
    <t>1570664263169</t>
  </si>
  <si>
    <t>-LqmsgewjDB9hJqNT2Nl</t>
  </si>
  <si>
    <t>1570664269384</t>
  </si>
  <si>
    <t>-LqmsiBM9OfLIrxMILW1</t>
  </si>
  <si>
    <t>1570664275553</t>
  </si>
  <si>
    <t>-LqmsjhqWOQln7l7K9Cq</t>
  </si>
  <si>
    <t>1570664281719</t>
  </si>
  <si>
    <t>-LqmsljhQVUgsC37t7TO</t>
  </si>
  <si>
    <t>1570664290129</t>
  </si>
  <si>
    <t>-LqmsnTxlzOi0XEV_pgD</t>
  </si>
  <si>
    <t>1570664297233</t>
  </si>
  <si>
    <t>-Lqmsoy1hhx5gXDyhAvz</t>
  </si>
  <si>
    <t>1570664303323</t>
  </si>
  <si>
    <t>-LqmsqTHP9nKvegyFwRb</t>
  </si>
  <si>
    <t>1570664309549</t>
  </si>
  <si>
    <t>-Lqmsrzb7LeH2EZCGbu4</t>
  </si>
  <si>
    <t>1570664315713</t>
  </si>
  <si>
    <t>-LqmstmuENFrwneN0r7H</t>
  </si>
  <si>
    <t>1570664321874</t>
  </si>
  <si>
    <t>-LqmsvVmezA7IjOtlcgH</t>
  </si>
  <si>
    <t>1570664330114</t>
  </si>
  <si>
    <t>-Lqmsx00soVlK77_Y9-A</t>
  </si>
  <si>
    <t>1570664336339</t>
  </si>
  <si>
    <t>-LqmsyWGaQXXvLw2654C</t>
  </si>
  <si>
    <t>1570664342504</t>
  </si>
  <si>
    <t>-Lqmt-1mSRU_ZD_duA1Q</t>
  </si>
  <si>
    <t>1570664348669</t>
  </si>
  <si>
    <t>-Lqmt0Y0nWO8bqRHyT1w</t>
  </si>
  <si>
    <t>1570664354832</t>
  </si>
  <si>
    <t>-Lqmt23X8gE1vLgCtk8d</t>
  </si>
  <si>
    <t>1570664361079</t>
  </si>
  <si>
    <t>-Lqmt3Zl6jJMCW7Kqwg_</t>
  </si>
  <si>
    <t>1570664367234</t>
  </si>
  <si>
    <t>-Lqmt541Iqmz2u1uxOWZ</t>
  </si>
  <si>
    <t>1570664373395</t>
  </si>
  <si>
    <t>-Lqmt6_HKK_t8sR8AzRV</t>
  </si>
  <si>
    <t>1570664379554</t>
  </si>
  <si>
    <t>-Lqmt84XmxS1OrOKisHJ</t>
  </si>
  <si>
    <t>1570664385734</t>
  </si>
  <si>
    <t>-Lqmt9_mWPAcqpx-i3Qc</t>
  </si>
  <si>
    <t>1570664391949</t>
  </si>
  <si>
    <t>-LqmtB6F9cfge8zkyA8Z</t>
  </si>
  <si>
    <t>1570664398114</t>
  </si>
  <si>
    <t>-LqmtCbWZaV_CEBc72gF</t>
  </si>
  <si>
    <t>1570664404274</t>
  </si>
  <si>
    <t>-LqmtE81b1xPP-doaW6e</t>
  </si>
  <si>
    <t>1570664410514</t>
  </si>
  <si>
    <t>-LqmtFsDLz7hUUqDnho8</t>
  </si>
  <si>
    <t>1570664417470</t>
  </si>
  <si>
    <t>-LqmtHqXKpPvtdh25OxK</t>
  </si>
  <si>
    <t>1570664423873</t>
  </si>
  <si>
    <t>-LqmtJOHKHwL0V6fX56I</t>
  </si>
  <si>
    <t>1570664432105</t>
  </si>
  <si>
    <t>-LqmtKumgWNK62fKkyDH</t>
  </si>
  <si>
    <t>1570664438273</t>
  </si>
  <si>
    <t>-LqmtMRHZcBAS1V7z07F</t>
  </si>
  <si>
    <t>1570664444514</t>
  </si>
  <si>
    <t>-LqmtNwW07K4EEuBsbzz</t>
  </si>
  <si>
    <t>1570664450674</t>
  </si>
  <si>
    <t>-LqmtPRmArh_loUvi3oH</t>
  </si>
  <si>
    <t>1570664456833</t>
  </si>
  <si>
    <t>-LqmtQwx307maX8AAXxj</t>
  </si>
  <si>
    <t>1570664463005</t>
  </si>
  <si>
    <t>-LqmtSSGtkPWd1Aht29O</t>
  </si>
  <si>
    <t>1570664469226</t>
  </si>
  <si>
    <t>-LqmtTxV5yWSu68szFcP</t>
  </si>
  <si>
    <t>1570664475401</t>
  </si>
  <si>
    <t>-LqmtVTyGAvpB2BH0gM2</t>
  </si>
  <si>
    <t>1570664481553</t>
  </si>
  <si>
    <t>-LqmtX-WKoeO7WvbyMuq</t>
  </si>
  <si>
    <t>1570664487794</t>
  </si>
  <si>
    <t>-LqmtYVlC8xkfCzAofH9</t>
  </si>
  <si>
    <t>1570664493954</t>
  </si>
  <si>
    <t>-Lqmt_F3K5WMsC0oG9Ky</t>
  </si>
  <si>
    <t>1570664500113</t>
  </si>
  <si>
    <t>-LqmtalZyG9DdgmSC8Ut</t>
  </si>
  <si>
    <t>1570664507316</t>
  </si>
  <si>
    <t>-LqmtcI2CMvRdKIGQJsK</t>
  </si>
  <si>
    <t>1570664513556</t>
  </si>
  <si>
    <t>-LqmtdnIJ_W2T3w9ks5w</t>
  </si>
  <si>
    <t>1570664519716</t>
  </si>
  <si>
    <t>-LqmtfHJRUycDtfBCnjK</t>
  </si>
  <si>
    <t>1570664525866</t>
  </si>
  <si>
    <t>-Lqmtgncsk9FvxUovDoh</t>
  </si>
  <si>
    <t>1570664532041</t>
  </si>
  <si>
    <t>-LqmtiJ3Na89UA-0DBWL</t>
  </si>
  <si>
    <t>1570664538270</t>
  </si>
  <si>
    <t>-LqmtjpZvvTjOq4HBUxE</t>
  </si>
  <si>
    <t>1570664544436</t>
  </si>
  <si>
    <t>-LqmtlKmr0ULEs31I7i2</t>
  </si>
  <si>
    <t>1570664550600</t>
  </si>
  <si>
    <t>-Lqmtmq3go3LyKs7L3Zq</t>
  </si>
  <si>
    <t>1570664556766</t>
  </si>
  <si>
    <t>-LqmtoL3D8Y8-L6dS6A4</t>
  </si>
  <si>
    <t>1570664562989</t>
  </si>
  <si>
    <t>-LqmtprikR4dJ1ClvLEV</t>
  </si>
  <si>
    <t>1570664569156</t>
  </si>
  <si>
    <t>-LqmtrN2CjPrBsYbvW6q</t>
  </si>
  <si>
    <t>1570664575315</t>
  </si>
  <si>
    <t>-LqmtssJ9NZiCR8t-8Z5</t>
  </si>
  <si>
    <t>1570664581541</t>
  </si>
  <si>
    <t>-LqmtuNYi4PUFkP4ScCF</t>
  </si>
  <si>
    <t>1570664587711</t>
  </si>
  <si>
    <t>-Lqmtvu26-Bw-p1DBg16</t>
  </si>
  <si>
    <t>1570664593875</t>
  </si>
  <si>
    <t>-LqmtxdJ9X4JM-9gGEwO</t>
  </si>
  <si>
    <t>1570664601060</t>
  </si>
  <si>
    <t>-Lqmtz9oaJ8Z27zN8nwP</t>
  </si>
  <si>
    <t>1570664607300</t>
  </si>
  <si>
    <t>-Lqmu-f2ZMN2m5D5-JQQ</t>
  </si>
  <si>
    <t>1570664613406</t>
  </si>
  <si>
    <t>-Lqmu1BZuteXfyMN-9Ny</t>
  </si>
  <si>
    <t>1570664619635</t>
  </si>
  <si>
    <t>-Lqmu2gmK14iLqIKAqz5</t>
  </si>
  <si>
    <t>1570664625791</t>
  </si>
  <si>
    <t>-Lqmu4C2lA4M86QStsnZ</t>
  </si>
  <si>
    <t>1570664631971</t>
  </si>
  <si>
    <t>-Lqmu5hDzUQrFe0FLPeu</t>
  </si>
  <si>
    <t>1570664638185</t>
  </si>
  <si>
    <t>-Lqmu7CYMdEgSDUpQFPa</t>
  </si>
  <si>
    <t>1570664644371</t>
  </si>
  <si>
    <t>-Lqmu8j1QkI6exEMUx4o</t>
  </si>
  <si>
    <t>1570664650515</t>
  </si>
  <si>
    <t>-LqmuAFZhmlijBzhtfO8</t>
  </si>
  <si>
    <t>1570664656756</t>
  </si>
  <si>
    <t>-LqmuBjYRrPVVol9V3Pp</t>
  </si>
  <si>
    <t>1570664662911</t>
  </si>
  <si>
    <t>-LqmuDG3n4EQOn7Zbj9v</t>
  </si>
  <si>
    <t>1570664669074</t>
  </si>
  <si>
    <t>-LqmuElJJDNYk1kd2tOm</t>
  </si>
  <si>
    <t>1570664675251</t>
  </si>
  <si>
    <t>-LqmuGHYCNuH-GQthWAW</t>
  </si>
  <si>
    <t>1570664681470</t>
  </si>
  <si>
    <t>-LqmuHl_DbP5egBCs1le</t>
  </si>
  <si>
    <t>1570664687600</t>
  </si>
  <si>
    <t>-LqmuJIIO2sMz1zh4DDt</t>
  </si>
  <si>
    <t>1570664693791</t>
  </si>
  <si>
    <t>-LqmuKnaq7pDtOzKZdcg</t>
  </si>
  <si>
    <t>1570664699965</t>
  </si>
  <si>
    <t>-LqmuMalCkePasiueXEg</t>
  </si>
  <si>
    <t>1570664706196</t>
  </si>
  <si>
    <t>-LqmuOKmkZdbPCQVxho3</t>
  </si>
  <si>
    <t>1570664714434</t>
  </si>
  <si>
    <t>-LqmuPtkC-rp4HBTUjP8</t>
  </si>
  <si>
    <t>1570664720594</t>
  </si>
  <si>
    <t>-LqmuRaXN-SeZdSttj8X</t>
  </si>
  <si>
    <t>1570664727789</t>
  </si>
  <si>
    <t>-LqmuT8HU_kW9DRRK3qk</t>
  </si>
  <si>
    <t>1570664734034</t>
  </si>
  <si>
    <t>-LqmuUv01TTWvOweypZp</t>
  </si>
  <si>
    <t>1570664741234</t>
  </si>
  <si>
    <t>-LqmuWd-W4DF-YbPf1tN</t>
  </si>
  <si>
    <t>1570664748434</t>
  </si>
  <si>
    <t>-LqmuYOVgorcH563GkSY</t>
  </si>
  <si>
    <t>1570664755634</t>
  </si>
  <si>
    <t>-LqmuZwHh618fG6loa9a</t>
  </si>
  <si>
    <t>1570664761794</t>
  </si>
  <si>
    <t>-LqmuaeHpiO01EXgMmsK</t>
  </si>
  <si>
    <t>1570664768993</t>
  </si>
  <si>
    <t>-Lqmuc9V9zIyvxKcz-TT</t>
  </si>
  <si>
    <t>1570664775227</t>
  </si>
  <si>
    <t>-LqmudflpJUwcDTPRh7G</t>
  </si>
  <si>
    <t>1570664781392</t>
  </si>
  <si>
    <t>-LqmufP0zGtsSgLt3tzq</t>
  </si>
  <si>
    <t>1570664788487</t>
  </si>
  <si>
    <t>-LqmugwqJ32Nsod5mdOi</t>
  </si>
  <si>
    <t>1570664794752</t>
  </si>
  <si>
    <t>-LqmuiS1RdOh4hGxKWd9</t>
  </si>
  <si>
    <t>1570664800973</t>
  </si>
  <si>
    <t>-Lqmujx0PPPe1eWVf0tV</t>
  </si>
  <si>
    <t>1570664807147</t>
  </si>
  <si>
    <t>-LqmulTkoA1bjAwTYGjV</t>
  </si>
  <si>
    <t>1570664813308</t>
  </si>
  <si>
    <t>-Lqmumxg5Xhdj4lylb1M</t>
  </si>
  <si>
    <t>1570664819473</t>
  </si>
  <si>
    <t>-LqmuoVV4OvPh9I_Gn1d</t>
  </si>
  <si>
    <t>1570664825714</t>
  </si>
  <si>
    <t>-Lqmuq1-Sug_y19gOZLs</t>
  </si>
  <si>
    <t>1570664831875</t>
  </si>
  <si>
    <t>-LqmurlGm4jVOLhcadjn</t>
  </si>
  <si>
    <t>1570664839073</t>
  </si>
  <si>
    <t>-LqmutFHsp4Gw8efoBIl</t>
  </si>
  <si>
    <t>1570664845229</t>
  </si>
  <si>
    <t>-Lqmuull_vC5naPQyjcy</t>
  </si>
  <si>
    <t>1570664851453</t>
  </si>
  <si>
    <t>-LqmuwIGJRzVidSZVXg6</t>
  </si>
  <si>
    <t>1570664857634</t>
  </si>
  <si>
    <t>-LqmuxomMIT-HAfatGp5</t>
  </si>
  <si>
    <t>1570664863794</t>
  </si>
  <si>
    <t>-LqmuzZ-I56SiBGoSNnZ</t>
  </si>
  <si>
    <t>1570664870994</t>
  </si>
  <si>
    <t>-Lqmv030oQfaedNz4mP0</t>
  </si>
  <si>
    <t>1570664877163</t>
  </si>
  <si>
    <t>-Lqmv1_mPbru2dPlYWEf</t>
  </si>
  <si>
    <t>1570664883392</t>
  </si>
  <si>
    <t>-Lqmv350q_qiVrbcRH72</t>
  </si>
  <si>
    <t>1570664889552</t>
  </si>
  <si>
    <t>-Lqmv4cl4H4Z3JZWtOfQ</t>
  </si>
  <si>
    <t>1570664895714</t>
  </si>
  <si>
    <t>-Lqmv6LkKvhmCUVm-Xx1</t>
  </si>
  <si>
    <t>1570664902919</t>
  </si>
  <si>
    <t>-Lqmv7sFEmkcHqZo1h3n</t>
  </si>
  <si>
    <t>1570664909154</t>
  </si>
  <si>
    <t>-Lqmv9NVo3MAxFgzI3qg</t>
  </si>
  <si>
    <t>1570664915315</t>
  </si>
  <si>
    <t>-LqmvAsl1x2PLZT_22RE</t>
  </si>
  <si>
    <t>1570664921472</t>
  </si>
  <si>
    <t>-LqmvCeYsOL00jm-0QM3</t>
  </si>
  <si>
    <t>1570664928769</t>
  </si>
  <si>
    <t>-LqmvED03iS_wqXzwP9c</t>
  </si>
  <si>
    <t>1570664934855</t>
  </si>
  <si>
    <t>-LqmvFvI7R7idZ2eXjBE</t>
  </si>
  <si>
    <t>1570664942115</t>
  </si>
  <si>
    <t>-LqmvHQYqLdkNcFi0_Y3</t>
  </si>
  <si>
    <t>1570664948275</t>
  </si>
  <si>
    <t>-LqmvIviJJle3s2mbGh4</t>
  </si>
  <si>
    <t>1570664954434</t>
  </si>
  <si>
    <t>-LqmvKSH2ZPabE7HggfB</t>
  </si>
  <si>
    <t>1570664960686</t>
  </si>
  <si>
    <t>-LqmvM-2vRAc2LeFrAFt</t>
  </si>
  <si>
    <t>1570664966835</t>
  </si>
  <si>
    <t>-LqmvNi2pqGzdPBfeosr</t>
  </si>
  <si>
    <t>1570664974034</t>
  </si>
  <si>
    <t>-LqmvPDIeG2vxSZfA4IC</t>
  </si>
  <si>
    <t>1570664980195</t>
  </si>
  <si>
    <t>-LqmvQjiKWhXn5p4csrC</t>
  </si>
  <si>
    <t>1570664986434</t>
  </si>
  <si>
    <t>-LqmvSF1TPmZ5kFKGeo5</t>
  </si>
  <si>
    <t>1570664992594</t>
  </si>
  <si>
    <t>-LqmvTk2cdqHd_rmRRAH</t>
  </si>
  <si>
    <t>1570664998754</t>
  </si>
  <si>
    <t>-LqmvVG8QsSLmeGZdZ9_</t>
  </si>
  <si>
    <t>1570665004915</t>
  </si>
  <si>
    <t>-LqmvWm1R2p4Afj2Yr_w</t>
  </si>
  <si>
    <t>1570665011151</t>
  </si>
  <si>
    <t>-LqmvYG2WfsXSnPdDT36</t>
  </si>
  <si>
    <t>1570665017275</t>
  </si>
  <si>
    <t>-LqmvZl3CbG-AHi2gOrW</t>
  </si>
  <si>
    <t>1570665023469</t>
  </si>
  <si>
    <t>-LqmvaHhHCDmnihNdlY0</t>
  </si>
  <si>
    <t>1570665029642</t>
  </si>
  <si>
    <t>-LqmvblnqTBqwoNfoR8l</t>
  </si>
  <si>
    <t>1570665035824</t>
  </si>
  <si>
    <t>-LqmvdJWn2AOciaJiRJo</t>
  </si>
  <si>
    <t>1570665042030</t>
  </si>
  <si>
    <t>-LqmveomqUEbYmjugp6m</t>
  </si>
  <si>
    <t>1570665048194</t>
  </si>
  <si>
    <t>-LqmvgJxmhXKGDYBinRL</t>
  </si>
  <si>
    <t>1570665054420</t>
  </si>
  <si>
    <t>-LqmvhqYVxAZMHiBUAOG</t>
  </si>
  <si>
    <t>1570665060590</t>
  </si>
  <si>
    <t>-LqmvjLgQQUZlGEJejzs</t>
  </si>
  <si>
    <t>1570665066755</t>
  </si>
  <si>
    <t>-Lqmvkr6pBrPbcMFdNg1</t>
  </si>
  <si>
    <t>1570665072915</t>
  </si>
  <si>
    <t>-LqmvmOsWXFbtGPV27lo</t>
  </si>
  <si>
    <t>1570665079156</t>
  </si>
  <si>
    <t>-Lqmvo9CLIywvEhYZJyN</t>
  </si>
  <si>
    <t>1570665086361</t>
  </si>
  <si>
    <t>-LqmvpclQ3CJneeIfPcK</t>
  </si>
  <si>
    <t>1570665092518</t>
  </si>
  <si>
    <t>-Lqmvr8YVWUH-FHMWEyl</t>
  </si>
  <si>
    <t>1570665098675</t>
  </si>
  <si>
    <t>-Lqmvsf7ifLa7GpGaJEB</t>
  </si>
  <si>
    <t>1570665104915</t>
  </si>
  <si>
    <t>-LqmvuAIE4rpVnxAJFnF</t>
  </si>
  <si>
    <t>1570665111074</t>
  </si>
  <si>
    <t>-LqmvvfZxwdfavNVQ-du</t>
  </si>
  <si>
    <t>1570665117235</t>
  </si>
  <si>
    <t>-LqmvxAhtoAiBnBk8xrF</t>
  </si>
  <si>
    <t>1570665123400</t>
  </si>
  <si>
    <t>-Lqmvyg2lWNilyQljv9u</t>
  </si>
  <si>
    <t>1570665129580</t>
  </si>
  <si>
    <t>-Lqmw-WWdclBUAIqa5Zi</t>
  </si>
  <si>
    <t>1570665135790</t>
  </si>
  <si>
    <t>-Lqmw1DKN4wrT-t2e2em</t>
  </si>
  <si>
    <t>1570665144037</t>
  </si>
  <si>
    <t>-Lqmw2lDQOetlGYaYFra</t>
  </si>
  <si>
    <t>1570665150186</t>
  </si>
  <si>
    <t>-Lqmw4U58MhRfJ2QUXl5</t>
  </si>
  <si>
    <t>1570665157403</t>
  </si>
  <si>
    <t>-Lqmw60pubvomLmevivZ</t>
  </si>
  <si>
    <t>1570665163638</t>
  </si>
  <si>
    <t>-Lqmw7l5oFroPvrZYeVe</t>
  </si>
  <si>
    <t>1570665170837</t>
  </si>
  <si>
    <t>-Lqmw9d5OIYN3UOLCwFz</t>
  </si>
  <si>
    <t>1570665178539</t>
  </si>
  <si>
    <t>-LqmwBILvHoenQHDZy4s</t>
  </si>
  <si>
    <t>1570665185238</t>
  </si>
  <si>
    <t>-LqmwD1WbaqUYpw6ncqJ</t>
  </si>
  <si>
    <t>1570665192432</t>
  </si>
  <si>
    <t>-LqmwEXosrXsFrHTit7s</t>
  </si>
  <si>
    <t>1570665198613</t>
  </si>
  <si>
    <t>-LqmwG3Ju-gZvBbQKwS4</t>
  </si>
  <si>
    <t>1570665204838</t>
  </si>
  <si>
    <t>-LqmwHZUVgMWPry3oCsH</t>
  </si>
  <si>
    <t>1570665210998</t>
  </si>
  <si>
    <t>-LqmwJ3sNy7XHAJnDKiS</t>
  </si>
  <si>
    <t>1570665217156</t>
  </si>
  <si>
    <t>-LqmwKafmP8Kqe54MkK8</t>
  </si>
  <si>
    <t>1570665223398</t>
  </si>
  <si>
    <t>-LqmwM7zqOcIkU8Edo4N</t>
  </si>
  <si>
    <t>1570665229703</t>
  </si>
  <si>
    <t>-LqmwNr5xaKcvSiilKyW</t>
  </si>
  <si>
    <t>1570665236756</t>
  </si>
  <si>
    <t>-LqmwPMJno7zqY0JzRhq</t>
  </si>
  <si>
    <t>1570665242916</t>
  </si>
  <si>
    <t>-LqmwQst-UlGODTjJe4z</t>
  </si>
  <si>
    <t>1570665249158</t>
  </si>
  <si>
    <t>-LqmwSMlws-C4h0jXSLC</t>
  </si>
  <si>
    <t>1570665255311</t>
  </si>
  <si>
    <t>-LqmwTtLlmmwKeXXKKVt</t>
  </si>
  <si>
    <t>1570665261477</t>
  </si>
  <si>
    <t>-LqmwVO_9312OXmwWdKX</t>
  </si>
  <si>
    <t>1570665267647</t>
  </si>
  <si>
    <t>-LqmwWuz5aPghdwm8spT</t>
  </si>
  <si>
    <t>1570665273872</t>
  </si>
  <si>
    <t>-LqmwYQ6ABF40IG90FCK</t>
  </si>
  <si>
    <t>1570665280040</t>
  </si>
  <si>
    <t>-LqmwZy5-0amFsmHtTXW</t>
  </si>
  <si>
    <t>1570665286276</t>
  </si>
  <si>
    <t>-LqmwaiVkTDkQa-dzu70</t>
  </si>
  <si>
    <t>1570665293408</t>
  </si>
  <si>
    <t>-LqmwcVKRVUhTOyZXLSq</t>
  </si>
  <si>
    <t>1570665300677</t>
  </si>
  <si>
    <t>-LqmweDJ3yBHFv09ZaD7</t>
  </si>
  <si>
    <t>1570665307878</t>
  </si>
  <si>
    <t>-Lqmwfjo9J0vlYvIcz8W</t>
  </si>
  <si>
    <t>1570665314103</t>
  </si>
  <si>
    <t>-LqmwhU4457AkhhOsjyH</t>
  </si>
  <si>
    <t>1570665321236</t>
  </si>
  <si>
    <t>-Lqmwj-ambTRSZW2-1BG</t>
  </si>
  <si>
    <t>1570665327466</t>
  </si>
  <si>
    <t>-LqmwkU_GYtl-hcG8Wcz</t>
  </si>
  <si>
    <t>1570665333563</t>
  </si>
  <si>
    <t>-Lqmwm055w1zz4tYAdDq</t>
  </si>
  <si>
    <t>1570665339797</t>
  </si>
  <si>
    <t>-LqmwnV95k1_KVYv008y</t>
  </si>
  <si>
    <t>1570665345957</t>
  </si>
  <si>
    <t>-LqmwpJdFuRMv2Fa2YQ7</t>
  </si>
  <si>
    <t>1570665352197</t>
  </si>
  <si>
    <t>-Lqmwr2UMNseO4pWM8nR</t>
  </si>
  <si>
    <t>1570665360433</t>
  </si>
  <si>
    <t>-LqmwsXFgtoXp7Vc7XA9</t>
  </si>
  <si>
    <t>1570665366588</t>
  </si>
  <si>
    <t>-Lqmwu2vl8MNjxFTgMTT</t>
  </si>
  <si>
    <t>1570665372762</t>
  </si>
  <si>
    <t>-LqmwvY2IjiODYPU_-_c</t>
  </si>
  <si>
    <t>1570665378908</t>
  </si>
  <si>
    <t>-LqmwxNWNkOY10QVeCyG</t>
  </si>
  <si>
    <t>1570665385151</t>
  </si>
  <si>
    <t>-Lqmwz5V3e4DTXsXMGmE</t>
  </si>
  <si>
    <t>1570665393386</t>
  </si>
  <si>
    <t>-Lqmx-al3uj9fjXJYrE7</t>
  </si>
  <si>
    <t>1570665399553</t>
  </si>
  <si>
    <t>-Lqmx163QWVzZANUHHQS</t>
  </si>
  <si>
    <t>1570665405716</t>
  </si>
  <si>
    <t>-Lqmx2bEoneJ5k8HLaXR</t>
  </si>
  <si>
    <t>1570665411933</t>
  </si>
  <si>
    <t>-Lqmx46UHBsBQKLimcVR</t>
  </si>
  <si>
    <t>1570665418107</t>
  </si>
  <si>
    <t>-Lqmx5d-0dow4pZDjHbf</t>
  </si>
  <si>
    <t>1570665424271</t>
  </si>
  <si>
    <t>-Lqmx77-QuqZbussf79Q</t>
  </si>
  <si>
    <t>1570665430426</t>
  </si>
  <si>
    <t>-Lqmx8dVfXJLPaOzXEsA</t>
  </si>
  <si>
    <t>1570665436672</t>
  </si>
  <si>
    <t>-LqmxA8kBTHcCAm-ogtH</t>
  </si>
  <si>
    <t>1570665442828</t>
  </si>
  <si>
    <t>-LqmxBfGsNta3JP6xqcQ</t>
  </si>
  <si>
    <t>1570665448992</t>
  </si>
  <si>
    <t>-LqmxDTAVRVBUXyAmDVZ</t>
  </si>
  <si>
    <t>1570665456405</t>
  </si>
  <si>
    <t>-LqmxFBE5AOsEAxzff8_</t>
  </si>
  <si>
    <t>1570665463397</t>
  </si>
  <si>
    <t>-LqmxGhjRQvf8rejmoyZ</t>
  </si>
  <si>
    <t>1570665469632</t>
  </si>
  <si>
    <t>-LqmxID--nr1lzuCNvMZ</t>
  </si>
  <si>
    <t>1570665475791</t>
  </si>
  <si>
    <t>-LqmxJiFCxLaMZ7sAIKA</t>
  </si>
  <si>
    <t>1570665481951</t>
  </si>
  <si>
    <t>-LqmxLDVMMMayYvSDR5z</t>
  </si>
  <si>
    <t>1570665488177</t>
  </si>
  <si>
    <t>-LqmxMijPWpUOWstmPdO</t>
  </si>
  <si>
    <t>1570665494348</t>
  </si>
  <si>
    <t>-LqmxOE0iE1ZqBautX5a</t>
  </si>
  <si>
    <t>1570665500506</t>
  </si>
  <si>
    <t>-LqmxPlkiiDMli8MOh61</t>
  </si>
  <si>
    <t>1570665506672</t>
  </si>
  <si>
    <t>-LqmxRFgOwZNS5VL3_t7</t>
  </si>
  <si>
    <t>1570665512842</t>
  </si>
  <si>
    <t>-LqmxT0Jim4zIX3CwdwM</t>
  </si>
  <si>
    <t>1570665519066</t>
  </si>
  <si>
    <t>-LqmxUXo8oM91wutM8cJ</t>
  </si>
  <si>
    <t>1570665526268</t>
  </si>
  <si>
    <t>-LqmxW2-4MMqq2bWN1Z-</t>
  </si>
  <si>
    <t>1570665532431</t>
  </si>
  <si>
    <t>-LqmxXYFswFK713YAMK9</t>
  </si>
  <si>
    <t>1570665538658</t>
  </si>
  <si>
    <t>-LqmxZ3jnt8dTg_JUx9z</t>
  </si>
  <si>
    <t>1570665544833</t>
  </si>
  <si>
    <t>-Lqmx__-iONZlDfqmVen</t>
  </si>
  <si>
    <t>1570665550992</t>
  </si>
  <si>
    <t>-LqmxbNNMepKARZ7FpN6</t>
  </si>
  <si>
    <t>1570665557153</t>
  </si>
  <si>
    <t>-Lqmxd4zgFsNnAcpfqhO</t>
  </si>
  <si>
    <t>1570665565392</t>
  </si>
  <si>
    <t>-LqmxevZ7lg3hfRRMKLW</t>
  </si>
  <si>
    <t>1570665572770</t>
  </si>
  <si>
    <t>-LqmxgcJ4afFefaU5zmh</t>
  </si>
  <si>
    <t>1570665579876</t>
  </si>
  <si>
    <t>-Lqmxi7Zr3RcKDblRU2F</t>
  </si>
  <si>
    <t>1570665586037</t>
  </si>
  <si>
    <t>-LqmxjcohdiGdYP3zdld</t>
  </si>
  <si>
    <t>1570665592195</t>
  </si>
  <si>
    <t>-Lqmxl9Iqv6aSEwCQO_6</t>
  </si>
  <si>
    <t>1570665598481</t>
  </si>
  <si>
    <t>-LqmxmdJ-sCyJcSzl5g7</t>
  </si>
  <si>
    <t>1570665604521</t>
  </si>
  <si>
    <t>-Lqmxo9oiDQXX8eud6XR</t>
  </si>
  <si>
    <t>1570665610756</t>
  </si>
  <si>
    <t>-LqmxpwZkWP0xdC1zb7T</t>
  </si>
  <si>
    <t>1570665618101</t>
  </si>
  <si>
    <t>-LqmxrQYvB9R8URe953h</t>
  </si>
  <si>
    <t>1570665624121</t>
  </si>
  <si>
    <t>-LqmxswzhA5-SW99lVpl</t>
  </si>
  <si>
    <t>1570665630356</t>
  </si>
  <si>
    <t>-LqmxuSIDvpqA_N-ltly</t>
  </si>
  <si>
    <t>1570665636516</t>
  </si>
  <si>
    <t>-LqmxvxZ4QQVcyryRaXq</t>
  </si>
  <si>
    <t>1570665642682</t>
  </si>
  <si>
    <t>-LqmxxSoGtNTX9KV2eYK</t>
  </si>
  <si>
    <t>1570665648901</t>
  </si>
  <si>
    <t>-LqmxyzIOfqA1Zpab5vH</t>
  </si>
  <si>
    <t>1570665655076</t>
  </si>
  <si>
    <t>-Lqmy-mh0CzrTi9Xf08j</t>
  </si>
  <si>
    <t>1570665661236</t>
  </si>
  <si>
    <t>-Lqmy1VMeG99JeM3l_1b</t>
  </si>
  <si>
    <t>1570665669477</t>
  </si>
  <si>
    <t>-Lqmy3-Y9sl0DRMB7rf_</t>
  </si>
  <si>
    <t>1570665675641</t>
  </si>
  <si>
    <t>-Lqmy4VjJuDDblW7xh0J</t>
  </si>
  <si>
    <t>1570665681815</t>
  </si>
  <si>
    <t>-Lqmy647Ot9xobywmR30</t>
  </si>
  <si>
    <t>1570665688036</t>
  </si>
  <si>
    <t>-Lqmy8-Ynh_2NMk0Mm1M</t>
  </si>
  <si>
    <t>1570665695239</t>
  </si>
  <si>
    <t>-Lqmy9_o4uH7BYHF1Cev</t>
  </si>
  <si>
    <t>1570665702515</t>
  </si>
  <si>
    <t>-LqmyBIihgZ5K48biCdg</t>
  </si>
  <si>
    <t>1570665709700</t>
  </si>
  <si>
    <t>-LqmyCo2QEM5RZHbfq-3</t>
  </si>
  <si>
    <t>1570665715875</t>
  </si>
  <si>
    <t>-LqmyEVnLqWP2WHWP1fr</t>
  </si>
  <si>
    <t>1570665722030</t>
  </si>
  <si>
    <t>-LqmyGWTsIdrnwu1Ii8j</t>
  </si>
  <si>
    <t>1570665730996</t>
  </si>
  <si>
    <t>-LqmyI5_tKu-lWiOHYV9</t>
  </si>
  <si>
    <t>1570665737476</t>
  </si>
  <si>
    <t>-LqmyJ_n7T5ZL3OwuXyX</t>
  </si>
  <si>
    <t>1570665743636</t>
  </si>
  <si>
    <t>-LqmyLRZOm1-sZPW0P7z</t>
  </si>
  <si>
    <t>1570665749875</t>
  </si>
  <si>
    <t>-LqmyN9YtdI--bh8Nqys</t>
  </si>
  <si>
    <t>1570665758116</t>
  </si>
  <si>
    <t>-LqmyOtn9TZFOZfgrIbA</t>
  </si>
  <si>
    <t>1570665765316</t>
  </si>
  <si>
    <t>-LqmyQP2Ps6Y3MP1G0ID</t>
  </si>
  <si>
    <t>1570665771467</t>
  </si>
  <si>
    <t>-LqmyRuJ6eqjdAZFlw5P</t>
  </si>
  <si>
    <t>1570665777636</t>
  </si>
  <si>
    <t>-LqmyTQi_4kNGc-45bDM</t>
  </si>
  <si>
    <t>1570665783876</t>
  </si>
  <si>
    <t>-LqmyVNqdiSKYIhON3dp</t>
  </si>
  <si>
    <t>1570665790035</t>
  </si>
  <si>
    <t>-LqmyWwv1YzCVhssR7EG</t>
  </si>
  <si>
    <t>1570665798274</t>
  </si>
  <si>
    <t>-LqmyYS5uAJx7RdbIiek</t>
  </si>
  <si>
    <t>1570665804433</t>
  </si>
  <si>
    <t>-LqmyZxLatm4AeGaL7KH</t>
  </si>
  <si>
    <t>1570665810604</t>
  </si>
  <si>
    <t>-LqmyaTqP72mFhBSzztn</t>
  </si>
  <si>
    <t>1570665816833</t>
  </si>
  <si>
    <t>-Lqmybz6Ffo0nkMEpQol</t>
  </si>
  <si>
    <t>1570665823000</t>
  </si>
  <si>
    <t>-LqmydUMZhtV6g1C8j-j</t>
  </si>
  <si>
    <t>1570665829159</t>
  </si>
  <si>
    <t>-Lqmyf-rNxIq_EXR4TQx</t>
  </si>
  <si>
    <t>1570665835401</t>
  </si>
  <si>
    <t>-LqmygW5rsGp-_sc5N7i</t>
  </si>
  <si>
    <t>1570665841563</t>
  </si>
  <si>
    <t>-Lqmyi0LticOHB02CT2v</t>
  </si>
  <si>
    <t>1570665847718</t>
  </si>
  <si>
    <t>-LqmyjWbkSPWGzpEJQGM</t>
  </si>
  <si>
    <t>1570665853884</t>
  </si>
  <si>
    <t>-Lqmyl21jswgY3sQ6AS3</t>
  </si>
  <si>
    <t>1570665860115</t>
  </si>
  <si>
    <t>-LqmymYN7fS8zl7hnHxF</t>
  </si>
  <si>
    <t>1570665866283</t>
  </si>
  <si>
    <t>-Lqmyo2b88kvdWduGB4n</t>
  </si>
  <si>
    <t>1570665872439</t>
  </si>
  <si>
    <t>-LqmypYrHuRjJTZZrmrc</t>
  </si>
  <si>
    <t>1570665878663</t>
  </si>
  <si>
    <t>-Lqmyr4LRwfjrsyABYA8</t>
  </si>
  <si>
    <t>1570665884834</t>
  </si>
  <si>
    <t>-Lqmys_avR98QpG1OSRm</t>
  </si>
  <si>
    <t>1570665890999</t>
  </si>
  <si>
    <t>-Lqmyu4rBjzM1nWlAwVG</t>
  </si>
  <si>
    <t>1570665897154</t>
  </si>
  <si>
    <t>-Lqmyvcpg3XGKTuob0aV</t>
  </si>
  <si>
    <t>1570665903544</t>
  </si>
  <si>
    <t>-LqmyxMhhpj84AG2FuF1</t>
  </si>
  <si>
    <t>1570665910610</t>
  </si>
  <si>
    <t>-Lqmyys6GbeEzGdezy-5</t>
  </si>
  <si>
    <t>1570665916758</t>
  </si>
  <si>
    <t>-Lqmz-M1MjbgxKHURWyO</t>
  </si>
  <si>
    <t>1570665922921</t>
  </si>
  <si>
    <t>-Lqmz0s4dzg5tHPT7M3e</t>
  </si>
  <si>
    <t>1570665929094</t>
  </si>
  <si>
    <t>-Lqmz2P05_U9bPDMCB_a</t>
  </si>
  <si>
    <t>1570665935325</t>
  </si>
  <si>
    <t>-Lqmz3uH07P6XgPNTAbn</t>
  </si>
  <si>
    <t>1570665941478</t>
  </si>
  <si>
    <t>-Lqmz5QY5j8HHFViTqcD</t>
  </si>
  <si>
    <t>1570665947720</t>
  </si>
  <si>
    <t>-Lqmz6w11JJKfOhOL9db</t>
  </si>
  <si>
    <t>1570665953879</t>
  </si>
  <si>
    <t>-Lqmz8QnGr1ztmsepg_5</t>
  </si>
  <si>
    <t>1570665960033</t>
  </si>
  <si>
    <t>-Lqmz9wb8mKibztAVO-Q</t>
  </si>
  <si>
    <t>1570665966203</t>
  </si>
  <si>
    <t>-LqmzBT7rFcy8Nfk9nv_</t>
  </si>
  <si>
    <t>1570665972433</t>
  </si>
  <si>
    <t>-LqmzCx7kD92uc8fvuJW</t>
  </si>
  <si>
    <t>1570665978523</t>
  </si>
  <si>
    <t>-LqmzETdNoaOj3Imuo2X</t>
  </si>
  <si>
    <t>1570665984755</t>
  </si>
  <si>
    <t>-LqmzFxYNNa4tSDfhOSe</t>
  </si>
  <si>
    <t>1570665990919</t>
  </si>
  <si>
    <t>-LqmzHm1Qm3ed53090cT</t>
  </si>
  <si>
    <t>1570665997160</t>
  </si>
  <si>
    <t>-LqmzJW8hhTjI5yklrML</t>
  </si>
  <si>
    <t>1570666005395</t>
  </si>
  <si>
    <t>-LqmzL0Kqt1GVJBXRgAD</t>
  </si>
  <si>
    <t>1570666011568</t>
  </si>
  <si>
    <t>-LqmzMWYr6sQ46kmgYxz</t>
  </si>
  <si>
    <t>1570666017717</t>
  </si>
  <si>
    <t>-LqmzO0n3lEt3z5IEfKZ</t>
  </si>
  <si>
    <t>1570666023882</t>
  </si>
  <si>
    <t>-LqmzPZQIKi-GtuT_fff</t>
  </si>
  <si>
    <t>1570666030115</t>
  </si>
  <si>
    <t>-LqmzR2_ZfgGdcCaAf0Z</t>
  </si>
  <si>
    <t>1570666036271</t>
  </si>
  <si>
    <t>-LqmzSYkIb4zARL1wOR7</t>
  </si>
  <si>
    <t>1570666042435</t>
  </si>
  <si>
    <t>-LqmzU4JellBcU5I0LCv</t>
  </si>
  <si>
    <t>1570666048672</t>
  </si>
  <si>
    <t>-LqmzVZVMk5GXrFoU6Yi</t>
  </si>
  <si>
    <t>1570666054836</t>
  </si>
  <si>
    <t>-LqmzX3_98EPrA0iubBc</t>
  </si>
  <si>
    <t>1570666061006</t>
  </si>
  <si>
    <t>-LqmzYa26JJLzrwiBS_o</t>
  </si>
  <si>
    <t>1570666067152</t>
  </si>
  <si>
    <t>-Lqmz_5KsThI32no-C8l</t>
  </si>
  <si>
    <t>1570666073342</t>
  </si>
  <si>
    <t>-LqmzabacJeXU1ohCt7S</t>
  </si>
  <si>
    <t>1570666079552</t>
  </si>
  <si>
    <t>-Lqmzc85PGGVQAf_rp6T</t>
  </si>
  <si>
    <t>1570666085717</t>
  </si>
  <si>
    <t>-LqmzdcLc3KFypclslNe</t>
  </si>
  <si>
    <t>1570666091881</t>
  </si>
  <si>
    <t>-Lqmzf8pHbx9WzQTafR6</t>
  </si>
  <si>
    <t>1570666098112</t>
  </si>
  <si>
    <t>-LqmzgfFpUy-V9NbEZfO</t>
  </si>
  <si>
    <t>1570666104275</t>
  </si>
  <si>
    <t>-LqmziPZt2EiCJWfyHaM</t>
  </si>
  <si>
    <t>1570666111472</t>
  </si>
  <si>
    <t>-LqmzjunYQPVqzlwEpeB</t>
  </si>
  <si>
    <t>1570666117641</t>
  </si>
  <si>
    <t>-LqmzlRO7zUvvWz8fQ2a</t>
  </si>
  <si>
    <t>1570666123876</t>
  </si>
  <si>
    <t>-LqmzmwVqCGup14I8hDx</t>
  </si>
  <si>
    <t>1570666130035</t>
  </si>
  <si>
    <t>-LqmzoWgMU1N4nEzxbDV</t>
  </si>
  <si>
    <t>1570666136261</t>
  </si>
  <si>
    <t>-LqmzqB3gJgcOXifIGwe</t>
  </si>
  <si>
    <t>1570666143401</t>
  </si>
  <si>
    <t>-Lqmzriptj9kWhN7IwYY</t>
  </si>
  <si>
    <t>1570666149632</t>
  </si>
  <si>
    <t>-LqmztVVdobUq7szy2tg</t>
  </si>
  <si>
    <t>1570666156837</t>
  </si>
  <si>
    <t>-LqmzvEfXeYPO-ZxJ69A</t>
  </si>
  <si>
    <t>1570666164037</t>
  </si>
  <si>
    <t>-Lqmzwip1yN1D9Cb9rZk</t>
  </si>
  <si>
    <t>1570666170202</t>
  </si>
  <si>
    <t>-LqmzyFK_V89WwQKOLZD</t>
  </si>
  <si>
    <t>1570666176367</t>
  </si>
  <si>
    <t>-LqmzzlpeIOOCKOa7zKu</t>
  </si>
  <si>
    <t>1570666182602</t>
  </si>
  <si>
    <t>-Lqn-0pCimvPGmI3vOlZ</t>
  </si>
  <si>
    <t>1570666189796</t>
  </si>
  <si>
    <t>-Lqn-2ZJFC2B80ZFYaJL</t>
  </si>
  <si>
    <t>1570666198035</t>
  </si>
  <si>
    <t>-Lqn-4IV1mXMSrXNB0lq</t>
  </si>
  <si>
    <t>1570666205231</t>
  </si>
  <si>
    <t>-Lqn-5neOZq0Cdy9En6u</t>
  </si>
  <si>
    <t>1570666211403</t>
  </si>
  <si>
    <t>-Lqn-7b0XpU8WRU1PoZg</t>
  </si>
  <si>
    <t>1570666218799</t>
  </si>
  <si>
    <t>-Lqn-9L1tlU2rVHnLK2V</t>
  </si>
  <si>
    <t>1570666225869</t>
  </si>
  <si>
    <t>-Lqn-AqV_eAfMlsYxktv</t>
  </si>
  <si>
    <t>1570666232028</t>
  </si>
  <si>
    <t>-Lqn-CMbuMBm-rOfHMkJ</t>
  </si>
  <si>
    <t>1570666238188</t>
  </si>
  <si>
    <t>-Lqn-E4et78xI9d5Af5c</t>
  </si>
  <si>
    <t>1570666244358</t>
  </si>
  <si>
    <t>-Lqn-FcWyC866QV9UuUb</t>
  </si>
  <si>
    <t>1570666251634</t>
  </si>
  <si>
    <t>-Lqn-H8038gAUHNqWnUD</t>
  </si>
  <si>
    <t>1570666257793</t>
  </si>
  <si>
    <t>-Lqn-IbcII60A78inYhe</t>
  </si>
  <si>
    <t>1570666263954</t>
  </si>
  <si>
    <t>-Lqn-K8GElhAl4olR18k</t>
  </si>
  <si>
    <t>1570666270124</t>
  </si>
  <si>
    <t>-Lqn-LeS1aF4JFMQa0Y3</t>
  </si>
  <si>
    <t>1570666276420</t>
  </si>
  <si>
    <t>-Lqn-NQGLDRhmnO1Sjlg</t>
  </si>
  <si>
    <t>1570666283558</t>
  </si>
  <si>
    <t>-Lqn-OvTEFehyuicxQCi</t>
  </si>
  <si>
    <t>1570666289715</t>
  </si>
  <si>
    <t>-Lqn-QTBeBaNGk13fPL8</t>
  </si>
  <si>
    <t>1570666295879</t>
  </si>
  <si>
    <t>-Lqn-SB1hJrXHrKsc28I</t>
  </si>
  <si>
    <t>1570666303133</t>
  </si>
  <si>
    <t>-Lqn-ThX0D_ZpRwrDgg_</t>
  </si>
  <si>
    <t>1570666309316</t>
  </si>
  <si>
    <t>-Lqn-VEGX3MNZyJUT6Eu</t>
  </si>
  <si>
    <t>1570666315474</t>
  </si>
  <si>
    <t>-Lqn-WyXYQ7Tx6IjwMab</t>
  </si>
  <si>
    <t>1570666322669</t>
  </si>
  <si>
    <t>-Lqn-YTml3YpuAogNRqR</t>
  </si>
  <si>
    <t>1570666328899</t>
  </si>
  <si>
    <t>-Lqn-_0aQKD-SVLgmplV</t>
  </si>
  <si>
    <t>1570666335073</t>
  </si>
  <si>
    <t>-Lqn-akfQLN5WxrRaHR1</t>
  </si>
  <si>
    <t>1570666342273</t>
  </si>
  <si>
    <t>-Lqn-cG6TEPgJM1E9gGI</t>
  </si>
  <si>
    <t>1570666348433</t>
  </si>
  <si>
    <t>-Lqn-dk1mmiGs1naLarA</t>
  </si>
  <si>
    <t>1570666354599</t>
  </si>
  <si>
    <t>-Lqn-fHnlHEpgM74WMax</t>
  </si>
  <si>
    <t>1570666360834</t>
  </si>
  <si>
    <t>-Lqn-gwip3YVd90t_3tV</t>
  </si>
  <si>
    <t>1570666367298</t>
  </si>
  <si>
    <t>-Lqn-iYX-I40NbFzcNOw</t>
  </si>
  <si>
    <t>1570666374209</t>
  </si>
  <si>
    <t>-Lqn-k4n6FLIguP17jgs</t>
  </si>
  <si>
    <t>1570666380358</t>
  </si>
  <si>
    <t>-Lqn-ljHrJMvYDFEfuAz</t>
  </si>
  <si>
    <t>1570666387239</t>
  </si>
  <si>
    <t>-Lqn-nL000-uLXKjerXS</t>
  </si>
  <si>
    <t>1570666393793</t>
  </si>
  <si>
    <t>-Lqn-osXcdq7qRH1EMhg</t>
  </si>
  <si>
    <t>1570666400122</t>
  </si>
  <si>
    <t>-Lqn-q_QghA5UXpxvP5F</t>
  </si>
  <si>
    <t>1570666407148</t>
  </si>
  <si>
    <t>-Lqn-s5h8BR5rBBN-_q6</t>
  </si>
  <si>
    <t>1570666413398</t>
  </si>
  <si>
    <t>-Lqn-tcQOTr5yEzLaf5O</t>
  </si>
  <si>
    <t>1570666419553</t>
  </si>
  <si>
    <t>-Lqn-v6H6i8KdbPSXjCO</t>
  </si>
  <si>
    <t>1570666425713</t>
  </si>
  <si>
    <t>-Lqn-wvHWjAZJWVZsCer</t>
  </si>
  <si>
    <t>1570666431879</t>
  </si>
  <si>
    <t>-Lqn-ycAMK4S9F3_o3A2</t>
  </si>
  <si>
    <t>1570666440112</t>
  </si>
  <si>
    <t>-Lqn0-8lOTJGj4rK8ZKx</t>
  </si>
  <si>
    <t>1570666446293</t>
  </si>
  <si>
    <t>-Lqn00e0QeUiAV_VuZiC</t>
  </si>
  <si>
    <t>1570666452508</t>
  </si>
  <si>
    <t>-Lqn02AWkIoXPw0kydy3</t>
  </si>
  <si>
    <t>1570666458674</t>
  </si>
  <si>
    <t>-Lqn03vzRULdwONQEkL8</t>
  </si>
  <si>
    <t>1570666465872</t>
  </si>
  <si>
    <t>-Lqn05SfaPZxAI8uN8k0</t>
  </si>
  <si>
    <t>1570666472113</t>
  </si>
  <si>
    <t>-Lqn06wWzd19KxgAlVzd</t>
  </si>
  <si>
    <t>1570666478273</t>
  </si>
  <si>
    <t>-Lqn08RkXgNShkwfcZly</t>
  </si>
  <si>
    <t>1570666484433</t>
  </si>
  <si>
    <t>-Lqn09yFjVRZe4mXk6eB</t>
  </si>
  <si>
    <t>1570666490593</t>
  </si>
  <si>
    <t>-Lqn0BmWoZdbLqKE23jx</t>
  </si>
  <si>
    <t>1570666498012</t>
  </si>
  <si>
    <t>-Lqn0DV3iJw2olivNpVn</t>
  </si>
  <si>
    <t>1570666505073</t>
  </si>
  <si>
    <t>-Lqn0F09bgnbTJ1B5zpV</t>
  </si>
  <si>
    <t>1570666511232</t>
  </si>
  <si>
    <t>-Lqn0Gp1oC6KaaYRxdbp</t>
  </si>
  <si>
    <t>1570666517459</t>
  </si>
  <si>
    <t>-Lqn0IXwSUng6Y7oFFjQ</t>
  </si>
  <si>
    <t>1570666525628</t>
  </si>
  <si>
    <t>-Lqn0K10nCcfrvV-rJeD</t>
  </si>
  <si>
    <t>1570666531798</t>
  </si>
  <si>
    <t>-Lqn0LYWlQAphnmU1E_x</t>
  </si>
  <si>
    <t>1570666538032</t>
  </si>
  <si>
    <t>-Lqn0N2WMOhu-lE6ayME</t>
  </si>
  <si>
    <t>1570666544193</t>
  </si>
  <si>
    <t>-Lqn0OXlA9KuxMVgtvIB</t>
  </si>
  <si>
    <t>1570666550348</t>
  </si>
  <si>
    <t>-Lqn0Q1wndFB6jM0DQNe</t>
  </si>
  <si>
    <t>1570666556527</t>
  </si>
  <si>
    <t>-Lqn0RZV-I1zBIoIfC8R</t>
  </si>
  <si>
    <t>1570666562748</t>
  </si>
  <si>
    <t>-Lqn0T50oiG97QXaOZDu</t>
  </si>
  <si>
    <t>1570666568929</t>
  </si>
  <si>
    <t>-Lqn0UbWlt_RGxndlJQE</t>
  </si>
  <si>
    <t>1570666575073</t>
  </si>
  <si>
    <t>-Lqn0W4GOPt_SnNuUY-N</t>
  </si>
  <si>
    <t>1570666581257</t>
  </si>
  <si>
    <t>-Lqn0Xc-_qYE2HGGf_A5</t>
  </si>
  <si>
    <t>1570666587473</t>
  </si>
  <si>
    <t>-Lqn0Z7FEEPsuBv3bSpv</t>
  </si>
  <si>
    <t>1570666593643</t>
  </si>
  <si>
    <t>-Lqn0_bG9w2cQ1BsBw4c</t>
  </si>
  <si>
    <t>1570666599796</t>
  </si>
  <si>
    <t>-Lqn0bGguklcZ6qbIo5K</t>
  </si>
  <si>
    <t>1570666606032</t>
  </si>
  <si>
    <t>-Lqn0cuVMlhFpbEe3Rds</t>
  </si>
  <si>
    <t>1570666613229</t>
  </si>
  <si>
    <t>-Lqn0ePofEqYs0Wz1r79</t>
  </si>
  <si>
    <t>1570666619418</t>
  </si>
  <si>
    <t>-Lqn0fuvVE6rTivJeAgF</t>
  </si>
  <si>
    <t>1570666625563</t>
  </si>
  <si>
    <t>-Lqn0hRPNqWTRwIOYWK0</t>
  </si>
  <si>
    <t>1570666631803</t>
  </si>
  <si>
    <t>-Lqn0iwXF7anYQddT2ei</t>
  </si>
  <si>
    <t>1570666637953</t>
  </si>
  <si>
    <t>-Lqn0kpDjRsVgrn_6XGc</t>
  </si>
  <si>
    <t>1570666644100</t>
  </si>
  <si>
    <t>-Lqn0mVg10iw0wJOjTTI</t>
  </si>
  <si>
    <t>1570666652362</t>
  </si>
  <si>
    <t>-Lqn0oDgkg1y_UuP75iY</t>
  </si>
  <si>
    <t>1570666659579</t>
  </si>
  <si>
    <t>-Lqn0q0ZmPiTR1jXX6Z3</t>
  </si>
  <si>
    <t>1570666666790</t>
  </si>
  <si>
    <t>-Lqn0rws2Frfegjozl0L</t>
  </si>
  <si>
    <t>1570666673980</t>
  </si>
  <si>
    <t>-Lqn0tgud6VsPogM7Dzg</t>
  </si>
  <si>
    <t>-Lqn0vFkwCqqUhhsXv78</t>
  </si>
  <si>
    <t>1570666688396</t>
  </si>
  <si>
    <t>-Lqn0wocmjWcsmXaKV8P</t>
  </si>
  <si>
    <t>1570666694612</t>
  </si>
  <si>
    <t>-Lqn0yV_zYhvHN_S60A9</t>
  </si>
  <si>
    <t>1570666701818</t>
  </si>
  <si>
    <t>-Lqn1-7yY0IscK6hhoW5</t>
  </si>
  <si>
    <t>1570666708015</t>
  </si>
  <si>
    <t>-Lqn10tFPTylVcE-iEok</t>
  </si>
  <si>
    <t>1570666715205</t>
  </si>
  <si>
    <t>-Lqn12bb9jJvnNY1kDti</t>
  </si>
  <si>
    <t>1570666722425</t>
  </si>
  <si>
    <t>-Lqn14KdGxG0WAW2mrEg</t>
  </si>
  <si>
    <t>1570666729627</t>
  </si>
  <si>
    <t>-Lqn16052qksw-EB37vX</t>
  </si>
  <si>
    <t>1570666735807</t>
  </si>
  <si>
    <t>-Lqn17be5XSaF31WsV3s</t>
  </si>
  <si>
    <t>1570666743019</t>
  </si>
  <si>
    <t>-Lqn19M0NN_q9mslyBs9</t>
  </si>
  <si>
    <t>1570666749177</t>
  </si>
  <si>
    <t>-Lqn1AtbxV5jpRaaNVt5</t>
  </si>
  <si>
    <t>1570666756406</t>
  </si>
  <si>
    <t>-Lqn1CNvuuY0nFQ-fiB3</t>
  </si>
  <si>
    <t>1570666762568</t>
  </si>
  <si>
    <t>-Lqn1Dwe5gkDLoepPH7e</t>
  </si>
  <si>
    <t>1570666768787</t>
  </si>
  <si>
    <t>-Lqn1FedQAV40CcFtfbI</t>
  </si>
  <si>
    <t>1570666775995</t>
  </si>
  <si>
    <t>-Lqn1H8fr3ecEqrtcU4p</t>
  </si>
  <si>
    <t>1570666782145</t>
  </si>
  <si>
    <t>-Lqn1IqcoM_PLQ3kJ0Hl</t>
  </si>
  <si>
    <t>-Lqn1KQZ1kdCN9qhQ_C5</t>
  </si>
  <si>
    <t>1570666795572</t>
  </si>
  <si>
    <t>-Lqn1LuhzgG2vUE_B1ij</t>
  </si>
  <si>
    <t>1570666801732</t>
  </si>
  <si>
    <t>-Lqn1NPxHLQbnH-_ZixO</t>
  </si>
  <si>
    <t>1570666807922</t>
  </si>
  <si>
    <t>-Lqn1Ox_0vEoWs-MuBEA</t>
  </si>
  <si>
    <t>1570666814110</t>
  </si>
  <si>
    <t>-Lqn1QR_MrO-Ru2OST2g</t>
  </si>
  <si>
    <t>1570666820283</t>
  </si>
  <si>
    <t>-Lqn1S-inlZPzEVd-7-X</t>
  </si>
  <si>
    <t>1570666826462</t>
  </si>
  <si>
    <t>-Lqn1TihwMV21adFs4sx</t>
  </si>
  <si>
    <t>1570666833652</t>
  </si>
  <si>
    <t>-Lqn1VHZ-rkN9VMPh2-3</t>
  </si>
  <si>
    <t>1570666839854</t>
  </si>
  <si>
    <t>-Lqn1X-_wGISLaejACYA</t>
  </si>
  <si>
    <t>1570666847094</t>
  </si>
  <si>
    <t>-Lqn1YUZk0sRAmRCQIK8</t>
  </si>
  <si>
    <t>1570666853253</t>
  </si>
  <si>
    <t>-Lqn1_D2P8CxKY2x0EAm</t>
  </si>
  <si>
    <t>1570666859433</t>
  </si>
  <si>
    <t>-Lqn1aljil_q--Jj3BFF</t>
  </si>
  <si>
    <t>1570666866612</t>
  </si>
  <si>
    <t>-Lqn1cKZUOq1DrIZ8UCP</t>
  </si>
  <si>
    <t>1570666872823</t>
  </si>
  <si>
    <t>-Lqn1eFZ8oi3TiwEAVTo</t>
  </si>
  <si>
    <t>-Lqn1fqdKKTWgnAP2-ey</t>
  </si>
  <si>
    <t>1570666887253</t>
  </si>
  <si>
    <t>-Lqn1hYoVLaOsOQ26K31</t>
  </si>
  <si>
    <t>1570666894465</t>
  </si>
  <si>
    <t>-Lqn1j7dEf0F6Hs-Ku7T</t>
  </si>
  <si>
    <t>1570666900655</t>
  </si>
  <si>
    <t>-Lqn1kqjInZvxDE-1uyZ</t>
  </si>
  <si>
    <t>1570666907864</t>
  </si>
  <si>
    <t>-Lqn1mdmpWEySzV5bu7X</t>
  </si>
  <si>
    <t>1570666915066</t>
  </si>
  <si>
    <t>-Lqn1oOoZLXHWke9-9DV</t>
  </si>
  <si>
    <t>1570666922299</t>
  </si>
  <si>
    <t>-Lqn1q9sbgPaZcNj81NK</t>
  </si>
  <si>
    <t>1570666929496</t>
  </si>
  <si>
    <t>-Lqn1s1cBLcvzOwvfEwm</t>
  </si>
  <si>
    <t>1570666937214</t>
  </si>
  <si>
    <t>-Lqn1tf9sG6CU8mjWb3L</t>
  </si>
  <si>
    <t>1570666943914</t>
  </si>
  <si>
    <t>-Lqn1v9kYSRA_tTFo5_V</t>
  </si>
  <si>
    <t>1570666950093</t>
  </si>
  <si>
    <t>-Lqn1wxbwELm87JFBkgv</t>
  </si>
  <si>
    <t>1570666957275</t>
  </si>
  <si>
    <t>-Lqn1yfcboItOsHYp0vK</t>
  </si>
  <si>
    <t>1570666964535</t>
  </si>
  <si>
    <t>-Lqn2-Q0G_PuIQQf1FpM</t>
  </si>
  <si>
    <t>1570666970698</t>
  </si>
  <si>
    <t>-Lqn20xcFk4NlQn8Aabg</t>
  </si>
  <si>
    <t>1570666977916</t>
  </si>
  <si>
    <t>-Lqn22RmSd6FCOrE4Nbj</t>
  </si>
  <si>
    <t>1570666984067</t>
  </si>
  <si>
    <t>-Lqn23x-uufPbVhOevmc</t>
  </si>
  <si>
    <t>1570666990246</t>
  </si>
  <si>
    <t>-Lqn25UcRClKWJ-kYJlV</t>
  </si>
  <si>
    <t>1570666996455</t>
  </si>
  <si>
    <t>-Lqn26yds_R_uMOIgZTJ</t>
  </si>
  <si>
    <t>1570667002616</t>
  </si>
  <si>
    <t>-Lqn28XbWRJIQCtpHzyt</t>
  </si>
  <si>
    <t>1570667008826</t>
  </si>
  <si>
    <t>-Lqn2AFbnba6wsI_sNjK</t>
  </si>
  <si>
    <t>1570667016055</t>
  </si>
  <si>
    <t>-Lqn2Bjc92heCzELaZ05</t>
  </si>
  <si>
    <t>1570667022216</t>
  </si>
  <si>
    <t>-Lqn2DIbUzI2yVNPLfqU</t>
  </si>
  <si>
    <t>1570667028396</t>
  </si>
  <si>
    <t>-Lqn2EmcZ9p-ZzPoldsq</t>
  </si>
  <si>
    <t>1570667034576</t>
  </si>
  <si>
    <t>-Lqn2GGcCL9ZViP1WzLt</t>
  </si>
  <si>
    <t>1570667040736</t>
  </si>
  <si>
    <t>-Lqn2Hpc_YV-ZVK9opqt</t>
  </si>
  <si>
    <t>1570667046935</t>
  </si>
  <si>
    <t>-Lqn2JYb6MLOkaQYMksW</t>
  </si>
  <si>
    <t>1570667054135</t>
  </si>
  <si>
    <t>-Lqn2L7sX7mlZR5ifC5M</t>
  </si>
  <si>
    <t>1570667060343</t>
  </si>
  <si>
    <t>-Lqn2MpbeKwAtmBBWd63</t>
  </si>
  <si>
    <t>1570667067545</t>
  </si>
  <si>
    <t>-Lqn2OJb9r_WYrgFZWgI</t>
  </si>
  <si>
    <t>1570667073728</t>
  </si>
  <si>
    <t>-Lqn2Pp6ZGI20saxB-By</t>
  </si>
  <si>
    <t>1570667079896</t>
  </si>
  <si>
    <t>-Lqn2RMjXfP0_97dc2YE</t>
  </si>
  <si>
    <t>1570667086113</t>
  </si>
  <si>
    <t>-Lqn2Ss6P4sJ9U6bkCxW</t>
  </si>
  <si>
    <t>1570667092276</t>
  </si>
  <si>
    <t>-Lqn2UkCE2Mq8acUOf23</t>
  </si>
  <si>
    <t>1570667098457</t>
  </si>
  <si>
    <t>-Lqn2WRbrZrwKRgEuX_l</t>
  </si>
  <si>
    <t>1570667106714</t>
  </si>
  <si>
    <t>-Lqn2YB09hMmd6yMK_o9</t>
  </si>
  <si>
    <t>1570667113915</t>
  </si>
  <si>
    <t>-Lqn2ZsbC91TfhetnnWe</t>
  </si>
  <si>
    <t>1570667121094</t>
  </si>
  <si>
    <t>-Lqn2aRag2-pnlm5Mqrz</t>
  </si>
  <si>
    <t>1570667127316</t>
  </si>
  <si>
    <t>-Lqn2bvaHB1m7JoCno5d</t>
  </si>
  <si>
    <t>1570667133503</t>
  </si>
  <si>
    <t>-Lqn2dUbD9XeHWLCFdhf</t>
  </si>
  <si>
    <t>1570667139675</t>
  </si>
  <si>
    <t>-Lqn2fCaagyrYP8PpXyh</t>
  </si>
  <si>
    <t>1570667146894</t>
  </si>
  <si>
    <t>-Lqn2gffuM2SLW1UFdST</t>
  </si>
  <si>
    <t>1570667153084</t>
  </si>
  <si>
    <t>-Lqn2iFbXF6nyO9Z7UQF</t>
  </si>
  <si>
    <t>1570667159254</t>
  </si>
  <si>
    <t>-Lqn2jyiveuU84w_O-oY</t>
  </si>
  <si>
    <t>1570667166456</t>
  </si>
  <si>
    <t>-Lqn2ltDUUmqTKyNn30f</t>
  </si>
  <si>
    <t>-Lqn2nUawIv-ATtaoQfo</t>
  </si>
  <si>
    <t>1570667180862</t>
  </si>
  <si>
    <t>-Lqn2p2bKszvKOMer15A</t>
  </si>
  <si>
    <t>1570667187108</t>
  </si>
  <si>
    <t>-Lqn2qlamz8JdbbltH-D</t>
  </si>
  <si>
    <t>1570667194295</t>
  </si>
  <si>
    <t>-Lqn2sNv_puWO_3xbyze</t>
  </si>
  <si>
    <t>1570667200464</t>
  </si>
  <si>
    <t>-Lqn2uPE0N0Nn24nh3iX</t>
  </si>
  <si>
    <t>1570667207674</t>
  </si>
  <si>
    <t>-Lqn2w3VoUfdMHzvC7F9</t>
  </si>
  <si>
    <t>1570667215913</t>
  </si>
  <si>
    <t>-Lqn2xZ_tCECOSS1m1hK</t>
  </si>
  <si>
    <t>1570667222102</t>
  </si>
  <si>
    <t>-Lqn2z2cpQBUfImuS43N</t>
  </si>
  <si>
    <t>1570667228286</t>
  </si>
  <si>
    <t>-Lqn3-aVe3fd_4VzUQqi</t>
  </si>
  <si>
    <t>1570667234464</t>
  </si>
  <si>
    <t>-Lqn31IFpzGBjcQSK_0G</t>
  </si>
  <si>
    <t>1570667241656</t>
  </si>
  <si>
    <t>-Lqn32sUzbdcHR8y30OQ</t>
  </si>
  <si>
    <t>1570667247853</t>
  </si>
  <si>
    <t>-Lqn34NaKUU_H-YddluE</t>
  </si>
  <si>
    <t>1570667254013</t>
  </si>
  <si>
    <t>-Lqn35rkYIkELYlLfRzY</t>
  </si>
  <si>
    <t>1570667260214</t>
  </si>
  <si>
    <t>-Lqn37Q_YGmM7vfS8E2p</t>
  </si>
  <si>
    <t>1570667266404</t>
  </si>
  <si>
    <t>-Lqn397V03DqdCIRE2OE</t>
  </si>
  <si>
    <t>1570667273614</t>
  </si>
  <si>
    <t>-Lqn3AqVY4b1dbQ2Gcej</t>
  </si>
  <si>
    <t>1570667280657</t>
  </si>
  <si>
    <t>-Lqn3CMptHZssgq8GUsA</t>
  </si>
  <si>
    <t>1570667287015</t>
  </si>
  <si>
    <t>-Lqn3DsOeVbAGbHjYduJ</t>
  </si>
  <si>
    <t>1570667293175</t>
  </si>
  <si>
    <t>-Lqn3FTbw0PB9qhLBBd4</t>
  </si>
  <si>
    <t>1570667299363</t>
  </si>
  <si>
    <t>-Lqn3HAdGs9GGnKv2asP</t>
  </si>
  <si>
    <t>1570667306584</t>
  </si>
  <si>
    <t>-Lqn3IyW_P4k8cv1mGKR</t>
  </si>
  <si>
    <t>1570667313795</t>
  </si>
  <si>
    <t>-Lqn3Khblc4gAs6fYcd_</t>
  </si>
  <si>
    <t>1570667321023</t>
  </si>
  <si>
    <t>-Lqn3MHqsi5pxKTL5qc6</t>
  </si>
  <si>
    <t>1570667327195</t>
  </si>
  <si>
    <t>-Lqn3NyVdVvW53OrKxRT</t>
  </si>
  <si>
    <t>1570667334404</t>
  </si>
  <si>
    <t>-Lqn3PSntC7Na9jTSd3G</t>
  </si>
  <si>
    <t>1570667340603</t>
  </si>
  <si>
    <t>-Lqn3QyAiCp4LxvZ27O9</t>
  </si>
  <si>
    <t>1570667346775</t>
  </si>
  <si>
    <t>-Lqn3SVW3XcdcsKA9OFl</t>
  </si>
  <si>
    <t>1570667352962</t>
  </si>
  <si>
    <t>-Lqn3U-AuDy8DFAcMbgq</t>
  </si>
  <si>
    <t>1570667359104</t>
  </si>
  <si>
    <t>-Lqn3VYUPLR7ObuvD_IQ</t>
  </si>
  <si>
    <t>1570667365323</t>
  </si>
  <si>
    <t>-Lqn3X4uicubtIYd7COr</t>
  </si>
  <si>
    <t>1570667371495</t>
  </si>
  <si>
    <t>-Lqn3YpW6XLRusWtEKiP</t>
  </si>
  <si>
    <t>1570667378725</t>
  </si>
  <si>
    <t>-Lqn3_ZaqEtx9dYY_z82</t>
  </si>
  <si>
    <t>1570667385935</t>
  </si>
  <si>
    <t>-Lqn3bJALXyMmVvkxCTi</t>
  </si>
  <si>
    <t>1570667392133</t>
  </si>
  <si>
    <t>-Lqn3cqinblGnuPYYlK1</t>
  </si>
  <si>
    <t>1570667399321</t>
  </si>
  <si>
    <t>-Lqn3eZjL7yZiFaLUSN3</t>
  </si>
  <si>
    <t>1570667406523</t>
  </si>
  <si>
    <t>-Lqn3gMjxVdIUiXeQry2</t>
  </si>
  <si>
    <t>1570667413752</t>
  </si>
  <si>
    <t>-Lqn3hqDM_o32iGpe5hn</t>
  </si>
  <si>
    <t>1570667419892</t>
  </si>
  <si>
    <t>-Lqn3jOUWuiiLkZqWbwH</t>
  </si>
  <si>
    <t>1570667426103</t>
  </si>
  <si>
    <t>-Lqn3l7_-7BleRELkRl4</t>
  </si>
  <si>
    <t>1570667433332</t>
  </si>
  <si>
    <t>-Lqn3mbb3KyKo_qz7vR3</t>
  </si>
  <si>
    <t>1570667439494</t>
  </si>
  <si>
    <t>-Lqn3oBrt_1mDU8JAGrZ</t>
  </si>
  <si>
    <t>1570667445682</t>
  </si>
  <si>
    <t>-Lqn3ptZ7IJokCqsJiyU</t>
  </si>
  <si>
    <t>1570667452863</t>
  </si>
  <si>
    <t>-Lqn3rSg_oedwghH7gET</t>
  </si>
  <si>
    <t>1570667459081</t>
  </si>
  <si>
    <t>-Lqn3tAZ1GI2RTql8ZL2</t>
  </si>
  <si>
    <t>1570667466301</t>
  </si>
  <si>
    <t>-Lqn3uj_afa3EH9Pozh2</t>
  </si>
  <si>
    <t>1570667472480</t>
  </si>
  <si>
    <t>-Lqn3wSaMtrdEiBAkGvI</t>
  </si>
  <si>
    <t>1570667479683</t>
  </si>
  <si>
    <t>-Lqn3xwZOxgFUxK367ry</t>
  </si>
  <si>
    <t>1570667485873</t>
  </si>
  <si>
    <t>-Lqn3znaXgZpUm9e34Qp</t>
  </si>
  <si>
    <t>1570667493556</t>
  </si>
  <si>
    <t>-Lqn40aT1OH7Sl4fcPpb</t>
  </si>
  <si>
    <t>1570667500776</t>
  </si>
  <si>
    <t>-Lqn42F_FPZO007HywtQ</t>
  </si>
  <si>
    <t>1570667507503</t>
  </si>
  <si>
    <t>-Lqn43j_zZVun8fmFgS8</t>
  </si>
  <si>
    <t>1570667513653</t>
  </si>
  <si>
    <t>-Lqn45I_W0njC5zHbL81</t>
  </si>
  <si>
    <t>1570667519863</t>
  </si>
  <si>
    <t>-Lqn470ZnhviKqGj9866</t>
  </si>
  <si>
    <t>1570667527092</t>
  </si>
  <si>
    <t>-Lqn48UWcv7-Z6fx-rqo</t>
  </si>
  <si>
    <t>1570667533255</t>
  </si>
  <si>
    <t>-Lqn4A3azzN6uB5CPDtI</t>
  </si>
  <si>
    <t>1570667539432</t>
  </si>
  <si>
    <t>-Lqn4Bc_5Sumto73K8XQ</t>
  </si>
  <si>
    <t>1570667546047</t>
  </si>
  <si>
    <t>-Lqn4DLiCtd39oR8-3KN</t>
  </si>
  <si>
    <t>1570667552833</t>
  </si>
  <si>
    <t>-Lqn4F3bEMjq34ioHC5u</t>
  </si>
  <si>
    <t>1570667560054</t>
  </si>
  <si>
    <t>-Lqn4GcZxyeGPgA6OsXJ</t>
  </si>
  <si>
    <t>1570667566224</t>
  </si>
  <si>
    <t>-Lqn4IHoMUaQD4CU-w9G</t>
  </si>
  <si>
    <t>1570667573413</t>
  </si>
  <si>
    <t>-Lqn4JpgipCj1QufcEcH</t>
  </si>
  <si>
    <t>1570667579604</t>
  </si>
  <si>
    <t>-Lqn4LJjN5Mi7Y9Z7Utn</t>
  </si>
  <si>
    <t>1570667585810</t>
  </si>
  <si>
    <t>-Lqn4Ms_u3O-49HgpjVc</t>
  </si>
  <si>
    <t>1570667591983</t>
  </si>
  <si>
    <t>-Lqn4OMasbo8fQQtHwkN</t>
  </si>
  <si>
    <t>1570667598132</t>
  </si>
  <si>
    <t>-Lqn4Pvj4pV7x1Jbmohl</t>
  </si>
  <si>
    <t>1570667604343</t>
  </si>
  <si>
    <t>-Lqn4RbEJ1XaHsgDLRdO</t>
  </si>
  <si>
    <t>1570667611573</t>
  </si>
  <si>
    <t>-Lqn4TsXm_WomZ9_8WR2</t>
  </si>
  <si>
    <t>1570667619526</t>
  </si>
  <si>
    <t>-Lqn4VhbuyppkhWPs0QO</t>
  </si>
  <si>
    <t>1570667628044</t>
  </si>
  <si>
    <t>-Lqn4Xp8XQWbdGMtdyGd</t>
  </si>
  <si>
    <t>1570667635252</t>
  </si>
  <si>
    <t>-Lqn4ZS_5y_eIZJpx0tx</t>
  </si>
  <si>
    <t>1570667643492</t>
  </si>
  <si>
    <t>-Lqn4_uFDXB27MQtzFmt</t>
  </si>
  <si>
    <t>1570667649653</t>
  </si>
  <si>
    <t>-Lqn4bV_XMHNjecOuH0G</t>
  </si>
  <si>
    <t>1570667655863</t>
  </si>
  <si>
    <t>-Lqn4dDh-qQ0VWyMYO5b</t>
  </si>
  <si>
    <t>1570667663083</t>
  </si>
  <si>
    <t>-Lqn4egWrgvqVbOD9OIR</t>
  </si>
  <si>
    <t>1570667669223</t>
  </si>
  <si>
    <t>-Lqn4gG_avWhNiklfrHz</t>
  </si>
  <si>
    <t>1570667675433</t>
  </si>
  <si>
    <t>-Lqn4hkavc7Xcdl-2Do8</t>
  </si>
  <si>
    <t>1570667681621</t>
  </si>
  <si>
    <t>-Lqn4jE_yV2sd76nZzeT</t>
  </si>
  <si>
    <t>1570667687804</t>
  </si>
  <si>
    <t>-Lqn4knea4Iua9gNuEBG</t>
  </si>
  <si>
    <t>1570667693983</t>
  </si>
  <si>
    <t>-Lqn4mW_B5G3XPMaLWvK</t>
  </si>
  <si>
    <t>1570667701180</t>
  </si>
  <si>
    <t>-Lqn4oEZcun9ZV7pIPK7</t>
  </si>
  <si>
    <t>-Lqn4pmJQX1CIgrsXU7P</t>
  </si>
  <si>
    <t>1570667714611</t>
  </si>
  <si>
    <t>-Lqn4rGcynNiUWYTJt3z</t>
  </si>
  <si>
    <t>1570667720773</t>
  </si>
  <si>
    <t>-Lqn4sqZpOu5B6J1PaBr</t>
  </si>
  <si>
    <t>1570667726951</t>
  </si>
  <si>
    <t>-Lqn4uKi0uM6W-0bwPT-</t>
  </si>
  <si>
    <t>1570667733132</t>
  </si>
  <si>
    <t>-Lqn4w7YN3nuQSZUV99E</t>
  </si>
  <si>
    <t>1570667740380</t>
  </si>
  <si>
    <t>-Lqn4yAwD0dgIJoxeih0</t>
  </si>
  <si>
    <t>1570667747571</t>
  </si>
  <si>
    <t>-Lqn4zrT4TRPrAhNoUK6</t>
  </si>
  <si>
    <t>1570667755801</t>
  </si>
  <si>
    <t>-Lqn50KD5kvG9ydfoDAR</t>
  </si>
  <si>
    <t>1570667761971</t>
  </si>
  <si>
    <t>-Lqn51vndTSw-p6oIee3</t>
  </si>
  <si>
    <t>1570667768171</t>
  </si>
  <si>
    <t>-Lqn53cT2_HxZivLivKg</t>
  </si>
  <si>
    <t>1570667775383</t>
  </si>
  <si>
    <t>-Lqn557igLi3MRrQzGqR</t>
  </si>
  <si>
    <t>1570667781561</t>
  </si>
  <si>
    <t>-Lqn56fUnrY5mbH4mTp6</t>
  </si>
  <si>
    <t>1570667787741</t>
  </si>
  <si>
    <t>-Lqn58FXNEfXW4cRW1z7</t>
  </si>
  <si>
    <t>1570667793932</t>
  </si>
  <si>
    <t>-Lqn59xSbGZF906itULc</t>
  </si>
  <si>
    <t>1570667801142</t>
  </si>
  <si>
    <t>-Lqn5BSZp-g59I9s--23</t>
  </si>
  <si>
    <t>1570667807322</t>
  </si>
  <si>
    <t>-Lqn5CuMy8C_uCle_3rn</t>
  </si>
  <si>
    <t>1570667813491</t>
  </si>
  <si>
    <t>-Lqn5EQ_2cDzagxSq_v2</t>
  </si>
  <si>
    <t>1570667819691</t>
  </si>
  <si>
    <t>-Lqn5GMKOkij6I9_-Esz</t>
  </si>
  <si>
    <t>1570667827572</t>
  </si>
  <si>
    <t>-Lqn5Hwiisri_lhUJpCt</t>
  </si>
  <si>
    <t>1570667834132</t>
  </si>
  <si>
    <t>-Lqn5JRqYgutr6vSme45</t>
  </si>
  <si>
    <t>1570667840292</t>
  </si>
  <si>
    <t>-Lqn5KxDcZHN3u2X2Y9e</t>
  </si>
  <si>
    <t>1570667846452</t>
  </si>
  <si>
    <t>-Lqn5MXm__fhI8qCTBVO</t>
  </si>
  <si>
    <t>1570667852653</t>
  </si>
  <si>
    <t>-Lqn5OEzC8Qq9ttr3qeu</t>
  </si>
  <si>
    <t>1570667859872</t>
  </si>
  <si>
    <t>-Lqn5PkqWQdzxf4zafYd</t>
  </si>
  <si>
    <t>1570667866052</t>
  </si>
  <si>
    <t>-Lqn5RIcIEMAT2hiq6bE</t>
  </si>
  <si>
    <t>1570667872232</t>
  </si>
  <si>
    <t>-Lqn5SnZV0IbHB16lSQX</t>
  </si>
  <si>
    <t>1570667878402</t>
  </si>
  <si>
    <t>-Lqn5UHOeiqlALXej8i3</t>
  </si>
  <si>
    <t>1570667884591</t>
  </si>
  <si>
    <t>-Lqn5VlhL884nm7ER_x-</t>
  </si>
  <si>
    <t>1570667890775</t>
  </si>
  <si>
    <t>-Lqn5XKZU1-wSEMfmdHw</t>
  </si>
  <si>
    <t>1570667896963</t>
  </si>
  <si>
    <t>-Lqn5YnUnP63YedC0Q4t</t>
  </si>
  <si>
    <t>1570667903162</t>
  </si>
  <si>
    <t>-Lqn5_OngZUQfHVmKLAh</t>
  </si>
  <si>
    <t>1570667909312</t>
  </si>
  <si>
    <t>-Lqn5b5YqkEZ5wv2Tx4i</t>
  </si>
  <si>
    <t>1570667916534</t>
  </si>
  <si>
    <t>-Lqn5k4hOFLzQMCakEto</t>
  </si>
  <si>
    <t>1570667953290</t>
  </si>
  <si>
    <t>-Lqn5lijAjUBOjymelYY</t>
  </si>
  <si>
    <t>1570667959372</t>
  </si>
  <si>
    <t>-Lqn5nMig5PO9IgrYBtK</t>
  </si>
  <si>
    <t>1570667966593</t>
  </si>
  <si>
    <t>-Lqn5p4_OK0f-WT2Qwpa</t>
  </si>
  <si>
    <t>1570667973813</t>
  </si>
  <si>
    <t>-Lqn5qdZN2I5OwIAL7tN</t>
  </si>
  <si>
    <t>1570667979993</t>
  </si>
  <si>
    <t>-Lqn5sLUojHYs9dh8_Lu</t>
  </si>
  <si>
    <t>1570667987203</t>
  </si>
  <si>
    <t>-Lqn5tqZoRcH5zAUXC-y</t>
  </si>
  <si>
    <t>1570667993403</t>
  </si>
  <si>
    <t>-Lqn5vP_bpWMkiTaocl0</t>
  </si>
  <si>
    <t>1570667999563</t>
  </si>
  <si>
    <t>-Lqn5x5EO_FnJi4qOeyY</t>
  </si>
  <si>
    <t>1570668006773</t>
  </si>
  <si>
    <t>-Lqn5yvi2zooyORZpt6f</t>
  </si>
  <si>
    <t>1570668013992</t>
  </si>
  <si>
    <t>-Lqn6-bDzmU2R3L5o_pa</t>
  </si>
  <si>
    <t>1570668021174</t>
  </si>
  <si>
    <t>-Lqn61H_UHt0cb8FRkzl</t>
  </si>
  <si>
    <t>1570668027802</t>
  </si>
  <si>
    <t>-Lqn63D_EqYRvyUFh2Mh</t>
  </si>
  <si>
    <t>1570668034613</t>
  </si>
  <si>
    <t>-Lqn64wUu7suL-yCaWW5</t>
  </si>
  <si>
    <t>1570668042832</t>
  </si>
  <si>
    <t>-Lqn66RZYBIqHVVgKXZi</t>
  </si>
  <si>
    <t>1570668049013</t>
  </si>
  <si>
    <t>-Lqn67uTQGOsR1pvDlAD</t>
  </si>
  <si>
    <t>1570668055174</t>
  </si>
  <si>
    <t>-Lqn69Ub3CsG0--2hUQa</t>
  </si>
  <si>
    <t>1570668061392</t>
  </si>
  <si>
    <t>-Lqn6AwNgt3F2QG06vzJ</t>
  </si>
  <si>
    <t>1570668067572</t>
  </si>
  <si>
    <t>-Lqn6CX_69XFwMWVhdvt</t>
  </si>
  <si>
    <t>1570668073752</t>
  </si>
  <si>
    <t>-Lqn6EETp2LUg_W1nEah</t>
  </si>
  <si>
    <t>1570668080923</t>
  </si>
  <si>
    <t>-Lqn6FjZrJeHpvVKrupb</t>
  </si>
  <si>
    <t>1570668087153</t>
  </si>
  <si>
    <t>-Lqn6HHUDBPKygmlJymH</t>
  </si>
  <si>
    <t>1570668093323</t>
  </si>
  <si>
    <t>-Lqn6J0_O8yVYujiopOb</t>
  </si>
  <si>
    <t>1570668100540</t>
  </si>
  <si>
    <t>-Lqn6KV_NXUv6LKo1Gsw</t>
  </si>
  <si>
    <t>1570668106733</t>
  </si>
  <si>
    <t>-Lqn6MIz64mKqrrXsme0</t>
  </si>
  <si>
    <t>1570668112902</t>
  </si>
  <si>
    <t>-Lqn6O5_7r-WprPTnBnL</t>
  </si>
  <si>
    <t>1570668121151</t>
  </si>
  <si>
    <t>-Lqn6PmDjCMmkohBjwv5</t>
  </si>
  <si>
    <t>1570668128372</t>
  </si>
  <si>
    <t>-Lqn6RHTMEj8tULJLHXr</t>
  </si>
  <si>
    <t>1570668134532</t>
  </si>
  <si>
    <t>-Lqn6Srv3uxMoJulZTPK</t>
  </si>
  <si>
    <t>1570668140712</t>
  </si>
  <si>
    <t>-Lqn6U_Z2T8gCNolpGcR</t>
  </si>
  <si>
    <t>1570668147905</t>
  </si>
  <si>
    <t>-Lqn6W7ThAZ7B4B3pueJ</t>
  </si>
  <si>
    <t>1570668154113</t>
  </si>
  <si>
    <t>-Lqn6XcZ4mgX5SJDsmaV</t>
  </si>
  <si>
    <t>1570668160293</t>
  </si>
  <si>
    <t>-Lqn6Z4EQUfxizNlUpoB</t>
  </si>
  <si>
    <t>1570668166453</t>
  </si>
  <si>
    <t>-Lqn6aDl4SN-GqcUWPIO</t>
  </si>
  <si>
    <t>1570668173767</t>
  </si>
  <si>
    <t>-Lqn6bwda0rPF-05XFXe</t>
  </si>
  <si>
    <t>1570668181937</t>
  </si>
  <si>
    <t>-Lqn6dedPfzfNQ_2nSnZ</t>
  </si>
  <si>
    <t>1570668189147</t>
  </si>
  <si>
    <t>-Lqn6f8n_YCaMq_EPdIK</t>
  </si>
  <si>
    <t>1570668195306</t>
  </si>
  <si>
    <t>-Lqn6gheN_3JkiRcIGGb</t>
  </si>
  <si>
    <t>1570668201506</t>
  </si>
  <si>
    <t>-Lqn6iQdiaMM-JYIStmB</t>
  </si>
  <si>
    <t>1570668208699</t>
  </si>
  <si>
    <t>-Lqn6jzoLqYYlOeCK3EO</t>
  </si>
  <si>
    <t>1570668214897</t>
  </si>
  <si>
    <t>-Lqn6m0nRfaxHBrDPkLz</t>
  </si>
  <si>
    <t>1570668223185</t>
  </si>
  <si>
    <t>-Lqn6njdV1NC1E4g7tJm</t>
  </si>
  <si>
    <t>1570668230356</t>
  </si>
  <si>
    <t>-Lqn6pE6roDJmaRouu3e</t>
  </si>
  <si>
    <t>1570668236537</t>
  </si>
  <si>
    <t>-Lqn6qme8Y3mdE4r9bM4</t>
  </si>
  <si>
    <t>1570668242717</t>
  </si>
  <si>
    <t>-Lqn6sVnLGaQNBmQMmOo</t>
  </si>
  <si>
    <t>1570668249936</t>
  </si>
  <si>
    <t>-Lqn6uIelJaz-BfmZDHL</t>
  </si>
  <si>
    <t>1570668257146</t>
  </si>
  <si>
    <t>-Lqn6w0dj0Xy1UJBD-dV</t>
  </si>
  <si>
    <t>1570668264384</t>
  </si>
  <si>
    <t>-Lqn6xVdgsOn-oJANXVY</t>
  </si>
  <si>
    <t>1570668270537</t>
  </si>
  <si>
    <t>-Lqn6z3lwu8h9VhKbeNB</t>
  </si>
  <si>
    <t>1570668276729</t>
  </si>
  <si>
    <t>-Lqn7-mlIbv9LyNATMGc</t>
  </si>
  <si>
    <t>1570668283907</t>
  </si>
  <si>
    <t>-Lqn71Lc_Arr0VEFfHZG</t>
  </si>
  <si>
    <t>1570668290087</t>
  </si>
  <si>
    <t>-Lqn733eJlilv5sOMO6E</t>
  </si>
  <si>
    <t>1570668297337</t>
  </si>
  <si>
    <t>-Lqn74ccyP1eylMW6sK5</t>
  </si>
  <si>
    <t>1570668303516</t>
  </si>
  <si>
    <t>-Lqn76LdmZ9h0HLcOCQd</t>
  </si>
  <si>
    <t>1570668310726</t>
  </si>
  <si>
    <t>-Lqn77pd9JujHfdTWKWx</t>
  </si>
  <si>
    <t>1570668316888</t>
  </si>
  <si>
    <t>-Lqn79OcRaTgkw4TYVqS</t>
  </si>
  <si>
    <t>1570668323093</t>
  </si>
  <si>
    <t>-Lqn7BBd6YlAaBY0KkqR</t>
  </si>
  <si>
    <t>1570668330613</t>
  </si>
  <si>
    <t>-Lqn7CucCgNwnT04uL_F</t>
  </si>
  <si>
    <t>1570668337517</t>
  </si>
  <si>
    <t>-Lqn7EObFFVonb7UxhrF</t>
  </si>
  <si>
    <t>1570668343696</t>
  </si>
  <si>
    <t>-Lqn7FsdgXjgxA3DaJsS</t>
  </si>
  <si>
    <t>1570668349878</t>
  </si>
  <si>
    <t>-Lqn7HRc9ZA4mtVk5nL8</t>
  </si>
  <si>
    <t>1570668356066</t>
  </si>
  <si>
    <t>-Lqn7J9n0O-zI14IKHEr</t>
  </si>
  <si>
    <t>1570668363256</t>
  </si>
  <si>
    <t>-Lqn7Kicr17FLt7LsjrW</t>
  </si>
  <si>
    <t>1570668369447</t>
  </si>
  <si>
    <t>-Lqn7MRdA9WrMEwBNYqN</t>
  </si>
  <si>
    <t>1570668376667</t>
  </si>
  <si>
    <t>-Lqn7NwG8yK-3aGqlyxk</t>
  </si>
  <si>
    <t>1570668382854</t>
  </si>
  <si>
    <t>-Lqn7PUdbaRv7mmEaBUW</t>
  </si>
  <si>
    <t>1570668389027</t>
  </si>
  <si>
    <t>-Lqn7RYFcsG9qH66FaoC</t>
  </si>
  <si>
    <t>1570668396217</t>
  </si>
  <si>
    <t>-Lqn7TMyabEBxalVoNiH</t>
  </si>
  <si>
    <t>1570668404493</t>
  </si>
  <si>
    <t>-Lqn7V1dGqjZiQfOlwwo</t>
  </si>
  <si>
    <t>1570668411693</t>
  </si>
  <si>
    <t>-Lqn7WkZhtnQ9DCah3RC</t>
  </si>
  <si>
    <t>1570668418902</t>
  </si>
  <si>
    <t>-Lqn7YE_KPhe7mcNW6Gh</t>
  </si>
  <si>
    <t>1570668425084</t>
  </si>
  <si>
    <t>-Lqn7ZmTl9mH2WzRQy-y</t>
  </si>
  <si>
    <t>1570668431274</t>
  </si>
  <si>
    <t>-Lqn7aHZ_jP5kS2wsfg1</t>
  </si>
  <si>
    <t>1570668437453</t>
  </si>
  <si>
    <t>-Lqn7bpUGS5U6UJoFBLw</t>
  </si>
  <si>
    <t>1570668443691</t>
  </si>
  <si>
    <t>-Lqn7dZ_h0xtqHf_iMb5</t>
  </si>
  <si>
    <t>1570668450857</t>
  </si>
  <si>
    <t>-Lqn7f2_P2cBhZ58XKim</t>
  </si>
  <si>
    <t>1570668457017</t>
  </si>
  <si>
    <t>-Lqn7gbaskJSYRjtGv3Y</t>
  </si>
  <si>
    <t>1570668463214</t>
  </si>
  <si>
    <t>-Lqn7iI5ZcEpJNnzrNcO</t>
  </si>
  <si>
    <t>1570668470423</t>
  </si>
  <si>
    <t>-Lqn7jnUPESo7J9r174E</t>
  </si>
  <si>
    <t>1570668476603</t>
  </si>
  <si>
    <t>-Lqn7lMTU-ZtYZQTNe6a</t>
  </si>
  <si>
    <t>1570668482792</t>
  </si>
  <si>
    <t>-Lqn7mri0s_27V39-q9C</t>
  </si>
  <si>
    <t>1570668488974</t>
  </si>
  <si>
    <t>-Lqn7oKTkxkWPeeMu0xi</t>
  </si>
  <si>
    <t>1570668495152</t>
  </si>
  <si>
    <t>-Lqn7pukUhCacD2cZKsW</t>
  </si>
  <si>
    <t>1570668501334</t>
  </si>
  <si>
    <t>-Lqn7rcZWoK8S1eKeBKg</t>
  </si>
  <si>
    <t>1570668508535</t>
  </si>
  <si>
    <t>-Lqn7tBZwCIIqnf8_a7A</t>
  </si>
  <si>
    <t>1570668514734</t>
  </si>
  <si>
    <t>-Lqn7uuaWRUksJNfHOnt</t>
  </si>
  <si>
    <t>1570668521944</t>
  </si>
  <si>
    <t>-Lqn7wgdGy2GCcm0HWLo</t>
  </si>
  <si>
    <t>1570668529153</t>
  </si>
  <si>
    <t>-Lqn7yQiblMVC0ew0oZV</t>
  </si>
  <si>
    <t>1570668536372</t>
  </si>
  <si>
    <t>-Lqn7zyUJFob596PdRyT</t>
  </si>
  <si>
    <t>1570668542544</t>
  </si>
  <si>
    <t>-Lqn80fFV0ml2cJ5psi5</t>
  </si>
  <si>
    <t>1570668549763</t>
  </si>
  <si>
    <t>-Lqn82V_b1VX1u-XoVRj</t>
  </si>
  <si>
    <t>1570668556973</t>
  </si>
  <si>
    <t>-Lqn84Da3RmRh_HDoGXK</t>
  </si>
  <si>
    <t>1570668564182</t>
  </si>
  <si>
    <t>-Lqn85hauQoCq7d06MQ-</t>
  </si>
  <si>
    <t>1570668570344</t>
  </si>
  <si>
    <t>-Lqn87GspMospnweKf94</t>
  </si>
  <si>
    <t>1570668576543</t>
  </si>
  <si>
    <t>-Lqn88yRd8aPGIT2kve1</t>
  </si>
  <si>
    <t>1570668583732</t>
  </si>
  <si>
    <t>-Lqn8AYbkGLJ8G9jo00f</t>
  </si>
  <si>
    <t>1570668589954</t>
  </si>
  <si>
    <t>-Lqn8CG_AHCOPJynDElD</t>
  </si>
  <si>
    <t>1570668597173</t>
  </si>
  <si>
    <t>-Lqn8DkaDGw1aGBAVW0_</t>
  </si>
  <si>
    <t>1570668603342</t>
  </si>
  <si>
    <t>-Lqn8FEiwagG19Yn0mmC</t>
  </si>
  <si>
    <t>1570668609493</t>
  </si>
  <si>
    <t>-Lqn8GnZe1xdfhi2kHjw</t>
  </si>
  <si>
    <t>1570668615704</t>
  </si>
  <si>
    <t>-Lqn8IalW8mTaxrYGJOA</t>
  </si>
  <si>
    <t>1570668623118</t>
  </si>
  <si>
    <t>-Lqn8KJfJUFHv6sFiUNa</t>
  </si>
  <si>
    <t>1570668630135</t>
  </si>
  <si>
    <t>-Lqn8LrcIpFekvhaGBOJ</t>
  </si>
  <si>
    <t>1570668636306</t>
  </si>
  <si>
    <t>-Lqn8NabEBERlYJgBfd-</t>
  </si>
  <si>
    <t>1570668643527</t>
  </si>
  <si>
    <t>-Lqn8P3XJ0krE7Rw4Isi</t>
  </si>
  <si>
    <t>1570668649685</t>
  </si>
  <si>
    <t>-Lqn8Qdb65Kj9YPNyEea</t>
  </si>
  <si>
    <t>1570668655876</t>
  </si>
  <si>
    <t>-Lqn8SMcq69zVdrqLln_</t>
  </si>
  <si>
    <t>1570668663096</t>
  </si>
  <si>
    <t>-Lqn8TvcMUgr-9Ig5zgu</t>
  </si>
  <si>
    <t>1570668669275</t>
  </si>
  <si>
    <t>-Lqn8Vb87Vi1XAR-cUre</t>
  </si>
  <si>
    <t>1570668676496</t>
  </si>
  <si>
    <t>-Lqn8X6VjXD8CN320Zgh</t>
  </si>
  <si>
    <t>1570668682687</t>
  </si>
  <si>
    <t>-Lqn8YbmNQgkINPMKE2t</t>
  </si>
  <si>
    <t>1570668688856</t>
  </si>
  <si>
    <t>-Lqn8_ARFb2oe_QdIw7z</t>
  </si>
  <si>
    <t>1570668695035</t>
  </si>
  <si>
    <t>-Lqn8aeaBGW_EKGWGnVw</t>
  </si>
  <si>
    <t>1570668701186</t>
  </si>
  <si>
    <t>-Lqn8cDd-Nt3P5KHW3Zg</t>
  </si>
  <si>
    <t>1570668707396</t>
  </si>
  <si>
    <t>-Lqn8duHahDrpiGU9vEF</t>
  </si>
  <si>
    <t>1570668714615</t>
  </si>
  <si>
    <t>-Lqn8fjc--kSFlebDRhd</t>
  </si>
  <si>
    <t>1570668720795</t>
  </si>
  <si>
    <t>-Lqn8hQQ5nbfdqG-FMDK</t>
  </si>
  <si>
    <t>1570668729015</t>
  </si>
  <si>
    <t>-Lqn8iwkNtliOwnLSeDp</t>
  </si>
  <si>
    <t>1570668735216</t>
  </si>
  <si>
    <t>-Lqn8kVdmVDWn9gf-6rZ</t>
  </si>
  <si>
    <t>1570668741397</t>
  </si>
  <si>
    <t>-Lqn8lxH4s3_GqNkyG6x</t>
  </si>
  <si>
    <t>1570668747576</t>
  </si>
  <si>
    <t>-Lqn8nXg047HWd19KJqu</t>
  </si>
  <si>
    <t>1570668753757</t>
  </si>
  <si>
    <t>-Lqn8pGafVAdExorebhs</t>
  </si>
  <si>
    <t>1570668760968</t>
  </si>
  <si>
    <t>-Lqn8qkcB9fjohvrj2nx</t>
  </si>
  <si>
    <t>1570668767165</t>
  </si>
  <si>
    <t>-Lqn8sJcPlHyZWoqrh5n</t>
  </si>
  <si>
    <t>1570668773325</t>
  </si>
  <si>
    <t>-Lqn8u1brHp99QWK5DTx</t>
  </si>
  <si>
    <t>1570668780536</t>
  </si>
  <si>
    <t>-Lqn8v_VgwAe0uQNMUHZ</t>
  </si>
  <si>
    <t>1570668786725</t>
  </si>
  <si>
    <t>-Lqn8x4cB38IxWUHNSEl</t>
  </si>
  <si>
    <t>1570668792896</t>
  </si>
  <si>
    <t>-Lqn8yeX-3Ziebbr51N8</t>
  </si>
  <si>
    <t>1570668799246</t>
  </si>
  <si>
    <t>-Lqn9-McoEwFBH8q_p_x</t>
  </si>
  <si>
    <t>1570668806305</t>
  </si>
  <si>
    <t>-Lqn914bNJ5tqzR5L9Vj</t>
  </si>
  <si>
    <t>1570668813495</t>
  </si>
  <si>
    <t>-Lqn92cZ7jiAH5eOt9wr</t>
  </si>
  <si>
    <t>1570668819698</t>
  </si>
  <si>
    <t>-Lqn94Md0V7HW0qiZgBs</t>
  </si>
  <si>
    <t>1570668826907</t>
  </si>
  <si>
    <t>-Lqn95qbDy5XtwoczdY3</t>
  </si>
  <si>
    <t>1570668833085</t>
  </si>
  <si>
    <t>-Lqn97cSlNiaCPmFb5h7</t>
  </si>
  <si>
    <t>1570668839266</t>
  </si>
  <si>
    <t>-Lqn995DZH4y1ALeAgj1</t>
  </si>
  <si>
    <t>1570668846454</t>
  </si>
  <si>
    <t>-Lqn9AgOVI-XRA4gez1g</t>
  </si>
  <si>
    <t>1570668852653</t>
  </si>
  <si>
    <t>-Lqn9CXxx8U7D9ALJ00X</t>
  </si>
  <si>
    <t>1570668859873</t>
  </si>
  <si>
    <t>-Lqn9E7iJZcH1ibxMH3i</t>
  </si>
  <si>
    <t>1570668867090</t>
  </si>
  <si>
    <t>-Lqn9Fg_3EDZF01Q-XOf</t>
  </si>
  <si>
    <t>1570668873266</t>
  </si>
  <si>
    <t>-Lqn9H8XOqqE0r12o0lL</t>
  </si>
  <si>
    <t>1570668879412</t>
  </si>
  <si>
    <t>-Lqn9IjZVT4F0KToZK6r</t>
  </si>
  <si>
    <t>1570668885631</t>
  </si>
  <si>
    <t>-Lqn9KS_StDD-r950fd6</t>
  </si>
  <si>
    <t>1570668892853</t>
  </si>
  <si>
    <t>-Lqn9LvbBMx9sWnLamBO</t>
  </si>
  <si>
    <t>1570668899023</t>
  </si>
  <si>
    <t>-Lqn9NUUvg_juc3CHHuM</t>
  </si>
  <si>
    <t>1570668905202</t>
  </si>
  <si>
    <t>-Lqn9OyTdzB3zN72lrhR</t>
  </si>
  <si>
    <t>1570668911393</t>
  </si>
  <si>
    <t>-Lqn9R-SyZ-ByD7QSQzT</t>
  </si>
  <si>
    <t>1570668917561</t>
  </si>
  <si>
    <t>-Lqn9STEFGie_ErQ-N1s</t>
  </si>
  <si>
    <t>1570668925812</t>
  </si>
  <si>
    <t>-Lqn9U2bsSIwPmYriYFA</t>
  </si>
  <si>
    <t>1570668931993</t>
  </si>
  <si>
    <t>-Lqn9VlKWH-nElbDZpp5</t>
  </si>
  <si>
    <t>1570668939202</t>
  </si>
  <si>
    <t>-Lqn9XFKBJl-tmdZbEc5</t>
  </si>
  <si>
    <t>1570668945362</t>
  </si>
  <si>
    <t>-Lqn9Yp5x_y685c6I2iW</t>
  </si>
  <si>
    <t>1570668951563</t>
  </si>
  <si>
    <t>-Lqn9_Fpywp6Xvbge8y6</t>
  </si>
  <si>
    <t>1570668957732</t>
  </si>
  <si>
    <t>-Lqn9anj0polmm822LU1</t>
  </si>
  <si>
    <t>1570668963903</t>
  </si>
  <si>
    <t>-Lqn9cLUXn9P-IkkLtAT</t>
  </si>
  <si>
    <t>1570668970113</t>
  </si>
  <si>
    <t>-Lqn9dqZrm4qEZDrhGK4</t>
  </si>
  <si>
    <t>1570668976291</t>
  </si>
  <si>
    <t>-Lqn9fINeB-tawo-Otl3</t>
  </si>
  <si>
    <t>1570668982452</t>
  </si>
  <si>
    <t>-Lqn9gt_xznlxTdLQM_j</t>
  </si>
  <si>
    <t>1570668988652</t>
  </si>
  <si>
    <t>-Lqn9it_y7JWFW-rda6R</t>
  </si>
  <si>
    <t>1570668997158</t>
  </si>
  <si>
    <t>-Lqn9kcSEVHvdgoYWHS1</t>
  </si>
  <si>
    <t>1570669004113</t>
  </si>
  <si>
    <t>-Lqn9m822dEVuE28j-Yi</t>
  </si>
  <si>
    <t>1570669010293</t>
  </si>
  <si>
    <t>-Lqn9nv_yEVscIzYijLt</t>
  </si>
  <si>
    <t>1570669017501</t>
  </si>
  <si>
    <t>-Lqn9pNbFSBSsOvJYn8Y</t>
  </si>
  <si>
    <t>1570669023683</t>
  </si>
  <si>
    <t>-Lqn9r7Yw8NOpGw1X0vb</t>
  </si>
  <si>
    <t>1570669030863</t>
  </si>
  <si>
    <t>-Lqn9sgjEdcMTaaB7gtC</t>
  </si>
  <si>
    <t>1570669037074</t>
  </si>
  <si>
    <t>-Lqn9u9LxhQXcLeiEszN</t>
  </si>
  <si>
    <t>1570669043253</t>
  </si>
  <si>
    <t>-Lqn9vjghlLZm7cYPD9y</t>
  </si>
  <si>
    <t>1570669049442</t>
  </si>
  <si>
    <t>-Lqn9xgyZWa0ngxXTOJ7</t>
  </si>
  <si>
    <t>1570669056651</t>
  </si>
  <si>
    <t>-Lqn9zFacGqnD5eeEsbn</t>
  </si>
  <si>
    <t>1570669063855</t>
  </si>
  <si>
    <t>-LqnA-ybT41jR40dqJPb</t>
  </si>
  <si>
    <t>1570669071095</t>
  </si>
  <si>
    <t>-LqnA1XaarR347WYBezY</t>
  </si>
  <si>
    <t>1570669077275</t>
  </si>
  <si>
    <t>-LqnA3Fax8Zq0nabtMF7</t>
  </si>
  <si>
    <t>1570669084476</t>
  </si>
  <si>
    <t>-LqnA4iej3YtUFBxQy2E</t>
  </si>
  <si>
    <t>1570669090625</t>
  </si>
  <si>
    <t>-LqnA6Nbl146T_0PzfP8</t>
  </si>
  <si>
    <t>1570669097195</t>
  </si>
  <si>
    <t>-LqnA80aEOLkJnFTUc2X</t>
  </si>
  <si>
    <t>1570669104056</t>
  </si>
  <si>
    <t>-LqnA9_bWUODzE6xrV-z</t>
  </si>
  <si>
    <t>1570669110235</t>
  </si>
  <si>
    <t>-LqnABHWmjiThG28-3R0</t>
  </si>
  <si>
    <t>1570669117446</t>
  </si>
  <si>
    <t>-LqnACmc9plMp-SFOcFZ</t>
  </si>
  <si>
    <t>1570669123644</t>
  </si>
  <si>
    <t>-LqnAELaPY0KK3_AzvJo</t>
  </si>
  <si>
    <t>1570669129807</t>
  </si>
  <si>
    <t>-LqnAG3dhnlUGPJOUJ-4</t>
  </si>
  <si>
    <t>1570669137015</t>
  </si>
  <si>
    <t>-LqnAHccxYYY-PfA7Jws</t>
  </si>
  <si>
    <t>1570669143205</t>
  </si>
  <si>
    <t>-LqnAJ_bi50p1NSctL2G</t>
  </si>
  <si>
    <t>1570669151261</t>
  </si>
  <si>
    <t>-LqnAL8a1OOJCBxkAgxn</t>
  </si>
  <si>
    <t>1570669157626</t>
  </si>
  <si>
    <t>-LqnAMsrCEBtUp1Mgs2T</t>
  </si>
  <si>
    <t>1570669164856</t>
  </si>
  <si>
    <t>-LqnAOLbYNuSdcdKSHtX</t>
  </si>
  <si>
    <t>1570669170995</t>
  </si>
  <si>
    <t>-LqnAPube-ymkyLD4KP7</t>
  </si>
  <si>
    <t>1570669177206</t>
  </si>
  <si>
    <t>-LqnARObJsGnuRthoShH</t>
  </si>
  <si>
    <t>1570669183375</t>
  </si>
  <si>
    <t>-LqnASsbOVhbyImf86m2</t>
  </si>
  <si>
    <t>1570669189565</t>
  </si>
  <si>
    <t>-LqnAURkYXU4PK5q0klV</t>
  </si>
  <si>
    <t>1570669195746</t>
  </si>
  <si>
    <t>-LqnAW9mJY-82liB-i6o</t>
  </si>
  <si>
    <t>1570669202942</t>
  </si>
  <si>
    <t>-LqnAXiapH4V5OXrSZO-</t>
  </si>
  <si>
    <t>1570669209134</t>
  </si>
  <si>
    <t>-LqnAZRdOGgM6u4xM1J9</t>
  </si>
  <si>
    <t>1570669216345</t>
  </si>
  <si>
    <t>-LqnA_w3Wcy8V1o_9TPb</t>
  </si>
  <si>
    <t>1570669222536</t>
  </si>
  <si>
    <t>-LqnAbZaB9_uiIm7Xe7w</t>
  </si>
  <si>
    <t>1570669229245</t>
  </si>
  <si>
    <t>-LqnAdCcnQuaN9eGwSUH</t>
  </si>
  <si>
    <t>1570669235914</t>
  </si>
  <si>
    <t>-LqnAellDlALxJbm0R80</t>
  </si>
  <si>
    <t>1570669242116</t>
  </si>
  <si>
    <t>-LqnAgUaj0O--uYfRUGb</t>
  </si>
  <si>
    <t>1570669249335</t>
  </si>
  <si>
    <t>-LqnAi3rsg-N6z1-Dmj0</t>
  </si>
  <si>
    <t>1570669255509</t>
  </si>
  <si>
    <t>-LqnAjkVy8hImNIW6vtf</t>
  </si>
  <si>
    <t>1570669262715</t>
  </si>
  <si>
    <t>-LqnAljKiQcbt9S9pXrT</t>
  </si>
  <si>
    <t>1570669270329</t>
  </si>
  <si>
    <t>-LqnAnRvYBTucTzw9KZi</t>
  </si>
  <si>
    <t>1570669277149</t>
  </si>
  <si>
    <t>-LqnAq1VMtp37RS-RrXM</t>
  </si>
  <si>
    <t>1570669287659</t>
  </si>
  <si>
    <t>-LqnAsNAMjHUjOmahNaL</t>
  </si>
  <si>
    <t>1570669297048</t>
  </si>
  <si>
    <t>-LqnAu4hUW86esaIDr77</t>
  </si>
  <si>
    <t>1570669304964</t>
  </si>
  <si>
    <t>-LqnAvYVpk7lK5ytMxvK</t>
  </si>
  <si>
    <t>1570669311173</t>
  </si>
  <si>
    <t>-LqnAx2a7YtK0Dl4txsX</t>
  </si>
  <si>
    <t>1570669317334</t>
  </si>
  <si>
    <t>-LqnAybjhFvyQA8pwQ7q</t>
  </si>
  <si>
    <t>1570669323524</t>
  </si>
  <si>
    <t>-LqnB-4eJ-i_eLu85KF3</t>
  </si>
  <si>
    <t>1570669329714</t>
  </si>
  <si>
    <t>-LqnB0_adTlJo7ZY_Wkl</t>
  </si>
  <si>
    <t>1570669335843</t>
  </si>
  <si>
    <t>-LqnB28ae8VKMEAfSMHN</t>
  </si>
  <si>
    <t>1570669342054</t>
  </si>
  <si>
    <t>-LqnB3aOSvuGubRckXu5</t>
  </si>
  <si>
    <t>1570669348213</t>
  </si>
  <si>
    <t>-LqnB5BjfZL3_q344vUY</t>
  </si>
  <si>
    <t>1570669354450</t>
  </si>
  <si>
    <t>-LqnB6ujiv0QjAQ55_Id</t>
  </si>
  <si>
    <t>1570669361634</t>
  </si>
  <si>
    <t>-LqnB8hhoCASTrYqbKpq</t>
  </si>
  <si>
    <t>1570669368842</t>
  </si>
  <si>
    <t>-LqnBAQ_KqWsoh7XGZ9A</t>
  </si>
  <si>
    <t>1570669376054</t>
  </si>
  <si>
    <t>-LqnBBzjrXQMgc-eNA6U</t>
  </si>
  <si>
    <t>1570669382243</t>
  </si>
  <si>
    <t>-LqnBDewEFp6FSSS0qMQ</t>
  </si>
  <si>
    <t>1570669389453</t>
  </si>
  <si>
    <t>-LqnBFBaSsE9jh9ZVPmG</t>
  </si>
  <si>
    <t>1570669395635</t>
  </si>
  <si>
    <t>-LqnBGfkwd7jtF-_eS-O</t>
  </si>
  <si>
    <t>1570669401814</t>
  </si>
  <si>
    <t>-LqnBIEgez-B7oWYKLtX</t>
  </si>
  <si>
    <t>1570669408004</t>
  </si>
  <si>
    <t>-LqnBJhU0L_3OYA2czfY</t>
  </si>
  <si>
    <t>1570669414193</t>
  </si>
  <si>
    <t>-LqnBLHsE2CcmczJsMId</t>
  </si>
  <si>
    <t>1570669420364</t>
  </si>
  <si>
    <t>-LqnBND_6JW_zhZhp1Ax</t>
  </si>
  <si>
    <t>1570669427577</t>
  </si>
  <si>
    <t>-LqnBOnbgGr02EdFuuBW</t>
  </si>
  <si>
    <t>1570669434784</t>
  </si>
  <si>
    <t>-LqnBQVWfzad7-V35BCW</t>
  </si>
  <si>
    <t>1570669441975</t>
  </si>
  <si>
    <t>-LqnBS3b8LoO7yYwXAzT</t>
  </si>
  <si>
    <t>1570669448165</t>
  </si>
  <si>
    <t>-LqnBTnppi05umiQjVKw</t>
  </si>
  <si>
    <t>1570669455422</t>
  </si>
  <si>
    <t>-LqnBV_wejCE9G9fn1fA</t>
  </si>
  <si>
    <t>1570669462604</t>
  </si>
  <si>
    <t>-LqnBXfBaglIVNscpJ1M</t>
  </si>
  <si>
    <t>1570669469814</t>
  </si>
  <si>
    <t>-LqnBZLho59Fi5A1dr-5</t>
  </si>
  <si>
    <t>1570669478062</t>
  </si>
  <si>
    <t>-LqnB_yM_06l5Kiu-ptw</t>
  </si>
  <si>
    <t>1570669484213</t>
  </si>
  <si>
    <t>-LqnBcAipPc9uRBy-CZr</t>
  </si>
  <si>
    <t>1570669491454</t>
  </si>
  <si>
    <t>-LqnBdsUsx3qx0aP-_KQ</t>
  </si>
  <si>
    <t>1570669500722</t>
  </si>
  <si>
    <t>-LqnBfNar4HFqQzCCWkt</t>
  </si>
  <si>
    <t>1570669506934</t>
  </si>
  <si>
    <t>-LqnBhUc5E9gBpMGREZG</t>
  </si>
  <si>
    <t>1570669514124</t>
  </si>
  <si>
    <t>-LqnBj7c5xyR8xnBmRKH</t>
  </si>
  <si>
    <t>1570669522366</t>
  </si>
  <si>
    <t>-LqnBkglQrMnmG9R3fkB</t>
  </si>
  <si>
    <t>1570669528546</t>
  </si>
  <si>
    <t>-LqnBmPcg6oh32tZ6Ays</t>
  </si>
  <si>
    <t>1570669535737</t>
  </si>
  <si>
    <t>-LqnBnyknrDwBUpl-b8H</t>
  </si>
  <si>
    <t>1570669541948</t>
  </si>
  <si>
    <t>-LqnBpgkpLXg_IdrKElq</t>
  </si>
  <si>
    <t>1570669549176</t>
  </si>
  <si>
    <t>-LqnBrUlB8hGXAYF5KGx</t>
  </si>
  <si>
    <t>1570669556376</t>
  </si>
  <si>
    <t>-LqnBtCll2h34gSArSpC</t>
  </si>
  <si>
    <t>1570669563576</t>
  </si>
  <si>
    <t>-LqnBv08otsbjzTNeZyG</t>
  </si>
  <si>
    <t>1570669570775</t>
  </si>
  <si>
    <t>-LqnBwikBveyMja6oapw</t>
  </si>
  <si>
    <t>1570669577976</t>
  </si>
  <si>
    <t>-LqnByINfPKv_Nj_OjUp</t>
  </si>
  <si>
    <t>1570669584165</t>
  </si>
  <si>
    <t>-LqnC-hmwCIZJ14-4LvO</t>
  </si>
  <si>
    <t>1570669591417</t>
  </si>
  <si>
    <t>-LqnC1GllFAcUwbee1_-</t>
  </si>
  <si>
    <t>1570669600695</t>
  </si>
  <si>
    <t>-LqnC2zXImWLwZJL0744</t>
  </si>
  <si>
    <t>1570669607888</t>
  </si>
  <si>
    <t>-LqnC4YldV3Il2HClysP</t>
  </si>
  <si>
    <t>1570669614076</t>
  </si>
  <si>
    <t>-LqnC6Ljha-pbrs3wiC5</t>
  </si>
  <si>
    <t>1570669621285</t>
  </si>
  <si>
    <t>-LqnC85-Bh-dZzIP1cmM</t>
  </si>
  <si>
    <t>1570669628495</t>
  </si>
  <si>
    <t>-LqnC9rwOIBlws-R-hSZ</t>
  </si>
  <si>
    <t>1570669635705</t>
  </si>
  <si>
    <t>-LqnCBb0zsq-yDCLaFMU</t>
  </si>
  <si>
    <t>1570669642946</t>
  </si>
  <si>
    <t>-LqnCDNl4GDTfbxuEuV8</t>
  </si>
  <si>
    <t>1570669650135</t>
  </si>
  <si>
    <t>-LqnCF5lAexZF-TO_XE0</t>
  </si>
  <si>
    <t>1570669657337</t>
  </si>
  <si>
    <t>-LqnCGtcMxy09Sl03TtZ</t>
  </si>
  <si>
    <t>1570669664568</t>
  </si>
  <si>
    <t>-LqnCIc3GFicQ2USzeuE</t>
  </si>
  <si>
    <t>1570669671735</t>
  </si>
  <si>
    <t>-LqnCKAudOBjrOpHRK-7</t>
  </si>
  <si>
    <t>1570669677939</t>
  </si>
  <si>
    <t>-LqnCLtlELeRskivrHbl</t>
  </si>
  <si>
    <t>1570669685176</t>
  </si>
  <si>
    <t>-LqnCNSm5BXHsGwKg9ge</t>
  </si>
  <si>
    <t>1570669691346</t>
  </si>
  <si>
    <t>-LqnCPAkHTktbCuHVkOt</t>
  </si>
  <si>
    <t>1570669698566</t>
  </si>
  <si>
    <t>-LqnCQym8ut5zk86yz8-</t>
  </si>
  <si>
    <t>1570669705766</t>
  </si>
  <si>
    <t>-LqnCSglUoqU4o88V9nj</t>
  </si>
  <si>
    <t>1570669712988</t>
  </si>
  <si>
    <t>-LqnCUUlSs64U7Y2xk83</t>
  </si>
  <si>
    <t>1570669720196</t>
  </si>
  <si>
    <t>-LqnCWClDQ-DZzD2kAPP</t>
  </si>
  <si>
    <t>1570669727415</t>
  </si>
  <si>
    <t>-LqnCY-kUUQ36PVIaH9h</t>
  </si>
  <si>
    <t>1570669734627</t>
  </si>
  <si>
    <t>-LqnCZilwXeV6YlJNL41</t>
  </si>
  <si>
    <t>1570669741817</t>
  </si>
  <si>
    <t>-LqnCfl3VFi6YYtlMWN-</t>
  </si>
  <si>
    <t>1570669770429</t>
  </si>
  <si>
    <t>-LqnChPCIZ4rSa77S1Gj</t>
  </si>
  <si>
    <t>1570669777434</t>
  </si>
  <si>
    <t>-LqnCiyLCytRxm-AKd--</t>
  </si>
  <si>
    <t>1570669783595</t>
  </si>
  <si>
    <t>-LqnCkgpW8TeoLoOkODq</t>
  </si>
  <si>
    <t>1570669790803</t>
  </si>
  <si>
    <t>-LqnCmF3o-GMuA0GI_vM</t>
  </si>
  <si>
    <t>1570669797012</t>
  </si>
  <si>
    <t>-LqnCoAHQR0MdHjK2MfK</t>
  </si>
  <si>
    <t>1570669804223</t>
  </si>
  <si>
    <t>-LqnCplBIc3C9J4m44aE</t>
  </si>
  <si>
    <t>1570669811433</t>
  </si>
  <si>
    <t>-LqnCrUBYXu3fLj2YD9h</t>
  </si>
  <si>
    <t>1570669818642</t>
  </si>
  <si>
    <t>-LqnCtISlhvFIl0xT7xL</t>
  </si>
  <si>
    <t>1570669825863</t>
  </si>
  <si>
    <t>-LqnCuyy-svl5e9x90FF</t>
  </si>
  <si>
    <t>1570669833044</t>
  </si>
  <si>
    <t>-LqnCwXo_2dkRP3HimOY</t>
  </si>
  <si>
    <t>1570669839234</t>
  </si>
  <si>
    <t>-LqnCyISh06YY75__RXa</t>
  </si>
  <si>
    <t>1570669846485</t>
  </si>
  <si>
    <t>-LqnCzlKodXp9I4TJWZh</t>
  </si>
  <si>
    <t>1570669852652</t>
  </si>
  <si>
    <t>-LqnD0KKLVZ-mUIUq71F</t>
  </si>
  <si>
    <t>1570669858834</t>
  </si>
  <si>
    <t>-LqnD221aqSUZ5Rtq3uj</t>
  </si>
  <si>
    <t>1570669866064</t>
  </si>
  <si>
    <t>-LqnD3bMe2rjLGNht5Ih</t>
  </si>
  <si>
    <t>1570669872234</t>
  </si>
  <si>
    <t>-LqnD5KVTojW1Y-WobOS</t>
  </si>
  <si>
    <t>1570669879442</t>
  </si>
  <si>
    <t>-LqnD76FneSBh7FvhGU8</t>
  </si>
  <si>
    <t>1570669886664</t>
  </si>
  <si>
    <t>-LqnD8qBNGEZOwhdC3HD</t>
  </si>
  <si>
    <t>1570669893843</t>
  </si>
  <si>
    <t>-LqnDAPBPynTWqUqZNIS</t>
  </si>
  <si>
    <t>1570669900058</t>
  </si>
  <si>
    <t>-LqnDC7AKeseikD2amJ4</t>
  </si>
  <si>
    <t>1570669907264</t>
  </si>
  <si>
    <t>-LqnDDvBXdlSjFTNROjj</t>
  </si>
  <si>
    <t>1570669914473</t>
  </si>
  <si>
    <t>-LqnDFdKvl67oN0KQrVt</t>
  </si>
  <si>
    <t>1570669921685</t>
  </si>
  <si>
    <t>-LqnDHRCKLILRq21lV2M</t>
  </si>
  <si>
    <t>1570669928903</t>
  </si>
  <si>
    <t>-LqnDIvBpV50Rbpu-Qaz</t>
  </si>
  <si>
    <t>1570669935083</t>
  </si>
  <si>
    <t>-LqnDKoQVEONFolDI7_O</t>
  </si>
  <si>
    <t>1570669942304</t>
  </si>
  <si>
    <t>-LqnDMRKVYg-GE0zJvXl</t>
  </si>
  <si>
    <t>1570669949525</t>
  </si>
  <si>
    <t>-LqnDOEMoMY8-oE0O-A-</t>
  </si>
  <si>
    <t>1570669956723</t>
  </si>
  <si>
    <t>-LqnDPxBqOwjv-slLmEM</t>
  </si>
  <si>
    <t>1570669963924</t>
  </si>
  <si>
    <t>-LqnDRWCe5Ae0rzJQSNl</t>
  </si>
  <si>
    <t>1570669970112</t>
  </si>
  <si>
    <t>-LqnDTEBfvtpmpmAsdN6</t>
  </si>
  <si>
    <t>1570669977332</t>
  </si>
  <si>
    <t>-LqnDV2QgvSko_wG70Nh</t>
  </si>
  <si>
    <t>1570669984542</t>
  </si>
  <si>
    <t>-LqnDWkCaZwPsrr7Vji1</t>
  </si>
  <si>
    <t>1570669991763</t>
  </si>
  <si>
    <t>-LqnDYwAmP_o-Mgm2uv0</t>
  </si>
  <si>
    <t>1570669998973</t>
  </si>
  <si>
    <t>-LqnD_V3_Oa-fJvdytIV</t>
  </si>
  <si>
    <t>1570670007213</t>
  </si>
  <si>
    <t>-LqnDb3BTXS30FxeAXCK</t>
  </si>
  <si>
    <t>1570670013392</t>
  </si>
  <si>
    <t>-LqnDcmBMS7lmLouCWlp</t>
  </si>
  <si>
    <t>1570670020573</t>
  </si>
  <si>
    <t>-LqnDeLBZIoqzcKPsXTu</t>
  </si>
  <si>
    <t>1570670026793</t>
  </si>
  <si>
    <t>-LqnDg3Nr2DK6iEOwXoE</t>
  </si>
  <si>
    <t>1570670034004</t>
  </si>
  <si>
    <t>-LqnDhrByVto4DC0gDEY</t>
  </si>
  <si>
    <t>1570670041212</t>
  </si>
  <si>
    <t>-LqnDj_B21bAQRWcx8kY</t>
  </si>
  <si>
    <t>1570670048403</t>
  </si>
  <si>
    <t>-LqnDl8CVwxkmJlYzhKg</t>
  </si>
  <si>
    <t>1570670054603</t>
  </si>
  <si>
    <t>-LqnDmrAti2h-7HPNMse</t>
  </si>
  <si>
    <t>1570670061824</t>
  </si>
  <si>
    <t>-LqnDoeA2fXf2eXRx7C2</t>
  </si>
  <si>
    <t>1570670069034</t>
  </si>
  <si>
    <t>-LqnDqNB2gdUY9tW4GsH</t>
  </si>
  <si>
    <t>1570670076244</t>
  </si>
  <si>
    <t>-LqnDsABPc-3FHvlfOgo</t>
  </si>
  <si>
    <t>1570670083464</t>
  </si>
  <si>
    <t>-LqnDttC2m42pDEFF5T4</t>
  </si>
  <si>
    <t>1570670090642</t>
  </si>
  <si>
    <t>-LqnDvSC6fKsHs1TVPV9</t>
  </si>
  <si>
    <t>1570670096844</t>
  </si>
  <si>
    <t>-LqnDxABYrnDcjgEBtkq</t>
  </si>
  <si>
    <t>1570670104063</t>
  </si>
  <si>
    <t>-LqnDyyDMMOHMelwB0Eo</t>
  </si>
  <si>
    <t>1570670111282</t>
  </si>
  <si>
    <t>-LqnE-gB1djTtLJ2EKJD</t>
  </si>
  <si>
    <t>1570670118483</t>
  </si>
  <si>
    <t>-LqnE1UA69U_geGYTJZ2</t>
  </si>
  <si>
    <t>1570670125702</t>
  </si>
  <si>
    <t>-LqnE3SRi0ECA5Of95W7</t>
  </si>
  <si>
    <t>1570670132883</t>
  </si>
  <si>
    <t>-LqnE5-x-k7yPJo4VbBx</t>
  </si>
  <si>
    <t>1570670140122</t>
  </si>
  <si>
    <t>-LqnE6iBJoP9eliMh0Jv</t>
  </si>
  <si>
    <t>1570670147352</t>
  </si>
  <si>
    <t>-LqnE8HA-4qfcLRsvFqg</t>
  </si>
  <si>
    <t>1570670153523</t>
  </si>
  <si>
    <t>-LqnEA0_JT1Delp2DpIc</t>
  </si>
  <si>
    <t>1570670160723</t>
  </si>
  <si>
    <t>-LqnEBnBDyPs4fsVcL08</t>
  </si>
  <si>
    <t>1570670167942</t>
  </si>
  <si>
    <t>-LqnEDHAsZaIJCH4cD92</t>
  </si>
  <si>
    <t>1570670174125</t>
  </si>
  <si>
    <t>-LqnEF4BCae8dWDssmxk</t>
  </si>
  <si>
    <t>1570670181342</t>
  </si>
  <si>
    <t>-LqnEGnASuSHmoa__AUR</t>
  </si>
  <si>
    <t>1570670188565</t>
  </si>
  <si>
    <t>-LqnEIaD1pcnOszk5B_u</t>
  </si>
  <si>
    <t>1570670195763</t>
  </si>
  <si>
    <t>-LqnEKYClCIwgQUcruPD</t>
  </si>
  <si>
    <t>1570670203706</t>
  </si>
  <si>
    <t>-LqnEM6C4S-LWkKmfodG</t>
  </si>
  <si>
    <t>1570670210183</t>
  </si>
  <si>
    <t>-LqnENpAjSiKUMbb7CJh</t>
  </si>
  <si>
    <t>1570670217373</t>
  </si>
  <si>
    <t>-LqnEPOBFnhodAFunz0h</t>
  </si>
  <si>
    <t>1570670223567</t>
  </si>
  <si>
    <t>-LqnERRj-su5Q3i_qCUN</t>
  </si>
  <si>
    <t>1570670230802</t>
  </si>
  <si>
    <t>-LqnET73q-qrbVs3TtKw</t>
  </si>
  <si>
    <t>1570670239042</t>
  </si>
  <si>
    <t>-LqnEUr9AF6Lut_xpTla</t>
  </si>
  <si>
    <t>1570670246251</t>
  </si>
  <si>
    <t>-LqnEWQpTi7TQuKCHq-Y</t>
  </si>
  <si>
    <t>1570670252432</t>
  </si>
  <si>
    <t>-LqnEY6vLMV99tGjBL8H</t>
  </si>
  <si>
    <t>1570670259612</t>
  </si>
  <si>
    <t>-LqnEZh84_j--aCX9vaB</t>
  </si>
  <si>
    <t>1570670265802</t>
  </si>
  <si>
    <t>-LqnEaP4nRicsxtWy1kL</t>
  </si>
  <si>
    <t>1570670273041</t>
  </si>
  <si>
    <t>-LqnEcC3KapETXQCkt59</t>
  </si>
  <si>
    <t>1570670280251</t>
  </si>
  <si>
    <t>-LqnEdwCAUkD9HNW_6QP</t>
  </si>
  <si>
    <t>1570670287441</t>
  </si>
  <si>
    <t>-LqnEfVAmKItr8ZZGMQ8</t>
  </si>
  <si>
    <t>1570670293641</t>
  </si>
  <si>
    <t>-LqnEhD89dtkB3FrQOMN</t>
  </si>
  <si>
    <t>1570670300861</t>
  </si>
  <si>
    <t>-LqnEj-4WAGkwVb3kPxx</t>
  </si>
  <si>
    <t>1570670308071</t>
  </si>
  <si>
    <t>-LqnEkj1LVtXk8J9e4kZ</t>
  </si>
  <si>
    <t>1570670315283</t>
  </si>
  <si>
    <t>-LqnEmH2OGmFQay7osbV</t>
  </si>
  <si>
    <t>1570670321461</t>
  </si>
  <si>
    <t>-LqnEo-49iIej3kgl9_R</t>
  </si>
  <si>
    <t>1570670328671</t>
  </si>
  <si>
    <t>-LqnEq39D6VDq_apDG-T</t>
  </si>
  <si>
    <t>1570670335892</t>
  </si>
  <si>
    <t>-LqnErjwU-qC1eks1O4I</t>
  </si>
  <si>
    <t>1570670344140</t>
  </si>
  <si>
    <t>-LqnEtJ2YF3p0o3gW9UQ</t>
  </si>
  <si>
    <t>1570670350311</t>
  </si>
  <si>
    <t>-LqnEv12fS8Txsi32IUo</t>
  </si>
  <si>
    <t>1570670357521</t>
  </si>
  <si>
    <t>-LqnEwp2VdXHns3avkGH</t>
  </si>
  <si>
    <t>1570670364740</t>
  </si>
  <si>
    <t>-LqnEyY4zilCyihML1Gx</t>
  </si>
  <si>
    <t>1570670371924</t>
  </si>
  <si>
    <t>-LqnF-5u7cjcpcvUBRGJ</t>
  </si>
  <si>
    <t>1570670378111</t>
  </si>
  <si>
    <t>-LqnF0p45CQCT0v2YQar</t>
  </si>
  <si>
    <t>1570670385360</t>
  </si>
  <si>
    <t>-LqnF2cDqapljvOQDO-V</t>
  </si>
  <si>
    <t>1570670392562</t>
  </si>
  <si>
    <t>-LqnF4L374O-em5DJ5fv</t>
  </si>
  <si>
    <t>1570670399762</t>
  </si>
  <si>
    <t>-LqnF5u2dKpDTmHkJwCn</t>
  </si>
  <si>
    <t>1570670405952</t>
  </si>
  <si>
    <t>-LqnF7dIowqMFkQQkAqo</t>
  </si>
  <si>
    <t>1570670413173</t>
  </si>
  <si>
    <t>-LqnF9Q4psDmXhzwRCYW</t>
  </si>
  <si>
    <t>1570670420385</t>
  </si>
  <si>
    <t>-LqnFB6fKrIAHA5Wf-wO</t>
  </si>
  <si>
    <t>1570670427601</t>
  </si>
  <si>
    <t>-LqnFCdC4PefTn1usvRr</t>
  </si>
  <si>
    <t>1570670433772</t>
  </si>
  <si>
    <t>-LqnFEC0J79rWRO6DmMK</t>
  </si>
  <si>
    <t>1570670439962</t>
  </si>
  <si>
    <t>-LqnFFu2r3e_Zh3npimH</t>
  </si>
  <si>
    <t>1570670447181</t>
  </si>
  <si>
    <t>-LqnFHTDcPy5KHFGw0Fx</t>
  </si>
  <si>
    <t>1570670453341</t>
  </si>
  <si>
    <t>-LqnFJB41wCytLf6T8eM</t>
  </si>
  <si>
    <t>1570670460562</t>
  </si>
  <si>
    <t>-LqnFLECNGbcwAT9xFKh</t>
  </si>
  <si>
    <t>1570670468911</t>
  </si>
  <si>
    <t>-LqnFN1CjudfxIiH1tUo</t>
  </si>
  <si>
    <t>1570670476024</t>
  </si>
  <si>
    <t>-LqnFP-XSHN8jZIlhxnr</t>
  </si>
  <si>
    <t>1570670483224</t>
  </si>
  <si>
    <t>-LqnFQYBmjiwp1ARbnfP</t>
  </si>
  <si>
    <t>1570670490442</t>
  </si>
  <si>
    <t>-LqnFSLB6dvsA15To7U6</t>
  </si>
  <si>
    <t>1570670497662</t>
  </si>
  <si>
    <t>-LqnFU3BNVEW4RNSlnHA</t>
  </si>
  <si>
    <t>1570670504874</t>
  </si>
  <si>
    <t>-LqnFVmCKcHbaJ_bWYtz</t>
  </si>
  <si>
    <t>1570670512084</t>
  </si>
  <si>
    <t>-LqnFX_C-tX0teRVIsey</t>
  </si>
  <si>
    <t>1570670519293</t>
  </si>
  <si>
    <t>-LqnFZNDcS4wERVDA7xL</t>
  </si>
  <si>
    <t>1570670526710</t>
  </si>
  <si>
    <t>-LqnFa5B5tUqJ8422y5y</t>
  </si>
  <si>
    <t>1570670533723</t>
  </si>
  <si>
    <t>-LqnFboCulgB15M6-oSJ</t>
  </si>
  <si>
    <t>1570670540954</t>
  </si>
  <si>
    <t>-LqnFdNAyKbpsYzs60JE</t>
  </si>
  <si>
    <t>1570670547123</t>
  </si>
  <si>
    <t>-LqnFf5ChgXbE6Owct0h</t>
  </si>
  <si>
    <t>1570670554323</t>
  </si>
  <si>
    <t>-LqnFgtACxDXFzvrSa1w</t>
  </si>
  <si>
    <t>1570670561546</t>
  </si>
  <si>
    <t>-LqnFibA2uEksSvfbYUZ</t>
  </si>
  <si>
    <t>1570670568724</t>
  </si>
  <si>
    <t>-LqnFkPCAr0ior_3CAVH</t>
  </si>
  <si>
    <t>1570670575973</t>
  </si>
  <si>
    <t>-LqnFm8RH4-sFflPeWln</t>
  </si>
  <si>
    <t>1570670583212</t>
  </si>
  <si>
    <t>-LqnFngpvTl6jfZSNAti</t>
  </si>
  <si>
    <t>1570670589364</t>
  </si>
  <si>
    <t>-LqnFpPJ4zI7XA8wB_f8</t>
  </si>
  <si>
    <t>1570670596566</t>
  </si>
  <si>
    <t>-LqnFrMCrZXHLW6txis3</t>
  </si>
  <si>
    <t>1570670604457</t>
  </si>
  <si>
    <t>-LqnFsv219RfV0rgcoC-</t>
  </si>
  <si>
    <t>1570670610973</t>
  </si>
  <si>
    <t>-LqnFuUIfTFhZsopxZMH</t>
  </si>
  <si>
    <t>1570670617164</t>
  </si>
  <si>
    <t>-LqnFwCBM4tgGvXOa8Rq</t>
  </si>
  <si>
    <t>1570670624404</t>
  </si>
  <si>
    <t>-LqnFy-BOz3Pt1R4xgqX</t>
  </si>
  <si>
    <t>1570670631604</t>
  </si>
  <si>
    <t>-LqnFzi3VD6qmV-K-P4Y</t>
  </si>
  <si>
    <t>1570670638804</t>
  </si>
  <si>
    <t>-LqnG0VfqE9exA6NOo5t</t>
  </si>
  <si>
    <t>1570670644992</t>
  </si>
  <si>
    <t>-LqnG2FMVzKnvjff4RjT</t>
  </si>
  <si>
    <t>1570670653213</t>
  </si>
  <si>
    <t>-LqnG3nKnvXMoqubM1Ll</t>
  </si>
  <si>
    <t>1570670659423</t>
  </si>
  <si>
    <t>-LqnG5WBbYF8cLKLU4uG</t>
  </si>
  <si>
    <t>1570670666644</t>
  </si>
  <si>
    <t>-LqnG7JWKO3QP-5d0SHO</t>
  </si>
  <si>
    <t>1570670673854</t>
  </si>
  <si>
    <t>-LqnG91BuT8wkSPAzraU</t>
  </si>
  <si>
    <t>1570670681042</t>
  </si>
  <si>
    <t>-LqnGAaDFHkqd8bizSH3</t>
  </si>
  <si>
    <t>1570670687233</t>
  </si>
  <si>
    <t>-LqnGCJClMvZwF1SYvFH</t>
  </si>
  <si>
    <t>1570670694464</t>
  </si>
  <si>
    <t>-LqnGEOpcYKRUI0WpJM9</t>
  </si>
  <si>
    <t>1570670701675</t>
  </si>
  <si>
    <t>-LqnGG4RI_moe_a5_X-L</t>
  </si>
  <si>
    <t>1570670709913</t>
  </si>
  <si>
    <t>-LqnGHrCtaXpuvVo0XCy</t>
  </si>
  <si>
    <t>1570670717293</t>
  </si>
  <si>
    <t>-LqnGJeBxeXZF38ZxfH1</t>
  </si>
  <si>
    <t>1570670724353</t>
  </si>
  <si>
    <t>-LqnGLLpTp7JfO63deF6</t>
  </si>
  <si>
    <t>1570670731577</t>
  </si>
  <si>
    <t>-LqnGN8y3_KCxeXmGx6m</t>
  </si>
  <si>
    <t>1570670738763</t>
  </si>
  <si>
    <t>-LqnGOtBWAKPQKZ4aumU</t>
  </si>
  <si>
    <t>1570670745973</t>
  </si>
  <si>
    <t>-LqnGQhRKq2gw998_wxK</t>
  </si>
  <si>
    <t>1570670753193</t>
  </si>
  <si>
    <t>-LqnGSPCCZckCvXbMn4r</t>
  </si>
  <si>
    <t>1570670760406</t>
  </si>
  <si>
    <t>-LqnGUB6cRef_FcyjpIB</t>
  </si>
  <si>
    <t>1570670767614</t>
  </si>
  <si>
    <t>-LqnGVu4dBoKnOdBlGrr</t>
  </si>
  <si>
    <t>1570670774804</t>
  </si>
  <si>
    <t>-LqnGXULBBzg2DeBbqCR</t>
  </si>
  <si>
    <t>1570670781004</t>
  </si>
  <si>
    <t>-LqnGZCDC6aQJrKHtZsI</t>
  </si>
  <si>
    <t>1570670788224</t>
  </si>
  <si>
    <t>-LqnGa-CyZmjXx8Ba6l0</t>
  </si>
  <si>
    <t>1570670795434</t>
  </si>
  <si>
    <t>-LqnGbiCHVo8uxmZ2BWT</t>
  </si>
  <si>
    <t>1570670802643</t>
  </si>
  <si>
    <t>-LqnGdV5BifM-9IVQb0c</t>
  </si>
  <si>
    <t>1570670809864</t>
  </si>
  <si>
    <t>-LqnGfD6ITP8utdrpzA-</t>
  </si>
  <si>
    <t>1570670817045</t>
  </si>
  <si>
    <t>-LqnGgm6ZPrmQpoOiTcG</t>
  </si>
  <si>
    <t>1570670823234</t>
  </si>
  <si>
    <t>-LqnGiWCrre62QeIuSnD</t>
  </si>
  <si>
    <t>1570670830483</t>
  </si>
  <si>
    <t>-LqnGkJCP7payW_D4US5</t>
  </si>
  <si>
    <t>1570670837684</t>
  </si>
  <si>
    <t>-LqnGmA6bToSyUk7XtmW</t>
  </si>
  <si>
    <t>1570670845594</t>
  </si>
  <si>
    <t>-LqnGnoFTh9yXCeT3Ofi</t>
  </si>
  <si>
    <t>1570670852104</t>
  </si>
  <si>
    <t>-LqnGpX5245NZzjbJUFs</t>
  </si>
  <si>
    <t>1570670859284</t>
  </si>
  <si>
    <t>-LqnGr4xyA6wBx7-eUcl</t>
  </si>
  <si>
    <t>1570670865474</t>
  </si>
  <si>
    <t>-LqnGspDG6q4Z1ksULuz</t>
  </si>
  <si>
    <t>1570670872725</t>
  </si>
  <si>
    <t>-LqnGuHyt3BnmGW6fadB</t>
  </si>
  <si>
    <t>1570670878894</t>
  </si>
  <si>
    <t>-LqnGw6CG1hR4eCrHh4f</t>
  </si>
  <si>
    <t>1570670885074</t>
  </si>
  <si>
    <t>-LqnGxuCBBliXM_s0BJz</t>
  </si>
  <si>
    <t>1570670893323</t>
  </si>
  <si>
    <t>-LqnGzcEntOP3R-xKM2l</t>
  </si>
  <si>
    <t>1570670900533</t>
  </si>
  <si>
    <t>-LqnH0P6eJJdA-qgJhrD</t>
  </si>
  <si>
    <t>1570670907744</t>
  </si>
  <si>
    <t>-LqnH2760zFY77y6Ms2F</t>
  </si>
  <si>
    <t>1570670914964</t>
  </si>
  <si>
    <t>-LqnH3wD3oR_EKLFqCGb</t>
  </si>
  <si>
    <t>1570670922163</t>
  </si>
  <si>
    <t>-LqnH5eCLsS52bQb6_v4</t>
  </si>
  <si>
    <t>1570670929365</t>
  </si>
  <si>
    <t>-LqnH7fuUwwrFP_diKV-</t>
  </si>
  <si>
    <t>1570670936593</t>
  </si>
  <si>
    <t>-LqnH9VUn6yWm_2ekbdq</t>
  </si>
  <si>
    <t>1570670944845</t>
  </si>
  <si>
    <t>-LqnHBCCq1ooce5CpM2Y</t>
  </si>
  <si>
    <t>1570670952045</t>
  </si>
  <si>
    <t>-LqnHD-DYDIfI6aK3ZmA</t>
  </si>
  <si>
    <t>1570670959266</t>
  </si>
  <si>
    <t>-LqnHEnZVoziYWy0aew5</t>
  </si>
  <si>
    <t>1570670966484</t>
  </si>
  <si>
    <t>-LqnHGWEC0yfsN-jh5oG</t>
  </si>
  <si>
    <t>1570670973686</t>
  </si>
  <si>
    <t>-LqnHID8ZSmBo_ChXdLr</t>
  </si>
  <si>
    <t>1570670980885</t>
  </si>
  <si>
    <t>-LqnHJnDqC78Cr6NZLfO</t>
  </si>
  <si>
    <t>1570670987074</t>
  </si>
  <si>
    <t>-LqnHLWF-9xCTZPecZJ6</t>
  </si>
  <si>
    <t>1570670994296</t>
  </si>
  <si>
    <t>-LqnHN_-apdczyvQfmmU</t>
  </si>
  <si>
    <t>1570671001505</t>
  </si>
  <si>
    <t>-LqnHPGEN0BjdlzYRM1U</t>
  </si>
  <si>
    <t>1570671009744</t>
  </si>
  <si>
    <t>-LqnHQpE9wzNmJ3FN6k0</t>
  </si>
  <si>
    <t>1570671015924</t>
  </si>
  <si>
    <t>-LqnHSYDgHUP8Qp-NsCc</t>
  </si>
  <si>
    <t>1570671023135</t>
  </si>
  <si>
    <t>-LqnHU6E5qSSzuP4_qoo</t>
  </si>
  <si>
    <t>1570671029332</t>
  </si>
  <si>
    <t>-LqnHVpCLOb7rG1fwwg3</t>
  </si>
  <si>
    <t>1570671036536</t>
  </si>
  <si>
    <t>-LqnHXcDdRuAbSf-hanD</t>
  </si>
  <si>
    <t>1570671043746</t>
  </si>
  <si>
    <t>-LqnHZMmkwOkU-MN5Hy1</t>
  </si>
  <si>
    <t>1570671050967</t>
  </si>
  <si>
    <t>-LqnHa8CldMYARGUfDNf</t>
  </si>
  <si>
    <t>1570671058166</t>
  </si>
  <si>
    <t>-LqnHbr5Y-7vOsBTqVH4</t>
  </si>
  <si>
    <t>1570671065368</t>
  </si>
  <si>
    <t>-LqnHdeC8lECxLsm_r49</t>
  </si>
  <si>
    <t>1570671072586</t>
  </si>
  <si>
    <t>-LqnHfNC9kNWW48oJYyd</t>
  </si>
  <si>
    <t>1570671079774</t>
  </si>
  <si>
    <t>-LqnHgwEn1QPGeUSvPAM</t>
  </si>
  <si>
    <t>1570671085955</t>
  </si>
  <si>
    <t>-LqnHieWlNaztuGGV8vD</t>
  </si>
  <si>
    <t>1570671093206</t>
  </si>
  <si>
    <t>-LqnHkSOPCHoABLtpHU-</t>
  </si>
  <si>
    <t>1570671100405</t>
  </si>
  <si>
    <t>-LqnHmAEJGj9vPItvB40</t>
  </si>
  <si>
    <t>1570671107607</t>
  </si>
  <si>
    <t>-LqnHntCWnqGQBRsb6Jx</t>
  </si>
  <si>
    <t>1570671114440</t>
  </si>
  <si>
    <t>-LqnHpSEPXew89qLi71o</t>
  </si>
  <si>
    <t>1570671121016</t>
  </si>
  <si>
    <t>-LqnHrFKRhxmI7VYMBWk</t>
  </si>
  <si>
    <t>1570671128222</t>
  </si>
  <si>
    <t>-LqnHszkZ3U__Dzx3rhv</t>
  </si>
  <si>
    <t>1570671135444</t>
  </si>
  <si>
    <t>-LqnHulOhsjSmDmoFwxm</t>
  </si>
  <si>
    <t>1570671142650</t>
  </si>
  <si>
    <t>-LqnHwbpASmvoA9N6_Dv</t>
  </si>
  <si>
    <t>1570671150437</t>
  </si>
  <si>
    <t>-LqnHyHFlKzip6vgL5ki</t>
  </si>
  <si>
    <t>1570671157076</t>
  </si>
  <si>
    <t>-LqnI-OM0y-aSTFTUaZx</t>
  </si>
  <si>
    <t>1570671165685</t>
  </si>
  <si>
    <t>-LqnI11C1yjCRd3tVFUb</t>
  </si>
  <si>
    <t>1570671172526</t>
  </si>
  <si>
    <t>-LqnI33ACUJovdNiWKEk</t>
  </si>
  <si>
    <t>1570671180851</t>
  </si>
  <si>
    <t>-LqnI4uL6kHdWDG3Xt-_</t>
  </si>
  <si>
    <t>1570671187994</t>
  </si>
  <si>
    <t>-LqnI6_9ODM6PK9wicee</t>
  </si>
  <si>
    <t>1570671195194</t>
  </si>
  <si>
    <t>-LqnI8IC2KbDypzT6VkV</t>
  </si>
  <si>
    <t>1570671202403</t>
  </si>
  <si>
    <t>-LqnI9rBhj4YpDvzDDcK</t>
  </si>
  <si>
    <t>1570671208586</t>
  </si>
  <si>
    <t>-LqnIB_LERtA1dSqzcTT</t>
  </si>
  <si>
    <t>1570671215763</t>
  </si>
  <si>
    <t>-LqnID8CCS-AsSHxgrrc</t>
  </si>
  <si>
    <t>1570671221953</t>
  </si>
  <si>
    <t>-LqnIErBwjfPi2L-7GCI</t>
  </si>
  <si>
    <t>1570671229204</t>
  </si>
  <si>
    <t>-LqnIGeAQsGAv5BW7x-p</t>
  </si>
  <si>
    <t>1570671236402</t>
  </si>
  <si>
    <t>-LqnIILyP88U3piEhzX2</t>
  </si>
  <si>
    <t>1570671243603</t>
  </si>
  <si>
    <t>-LqnIKAoLJO6v2xCmf7I</t>
  </si>
  <si>
    <t>1570671250823</t>
  </si>
  <si>
    <t>-LqnILsEZUvlqp5_GLdn</t>
  </si>
  <si>
    <t>1570671258021</t>
  </si>
  <si>
    <t>-LqnINSA9QwhxDDGWl2b</t>
  </si>
  <si>
    <t>1570671264193</t>
  </si>
  <si>
    <t>-LqnIPADRupiErVlgAky</t>
  </si>
  <si>
    <t>1570671271444</t>
  </si>
  <si>
    <t>-LqnIQyAbh12UnJaNxBT</t>
  </si>
  <si>
    <t>1570671278642</t>
  </si>
  <si>
    <t>-LqnISgLb89LoYka4wzs</t>
  </si>
  <si>
    <t>1570671285843</t>
  </si>
  <si>
    <t>-LqnIUF3oEDcTMRZRtdq</t>
  </si>
  <si>
    <t>1570671292034</t>
  </si>
  <si>
    <t>-LqnIVyKBozBX8XJn3S1</t>
  </si>
  <si>
    <t>1570671299254</t>
  </si>
  <si>
    <t>-LqnIXlMFp7uZfgzKgcx</t>
  </si>
  <si>
    <t>1570671306464</t>
  </si>
  <si>
    <t>-LqnIZUKplRV6X1rXddv</t>
  </si>
  <si>
    <t>1570671313685</t>
  </si>
  <si>
    <t>-LqnIaHBvvGPg7m6zE-r</t>
  </si>
  <si>
    <t>1570671320894</t>
  </si>
  <si>
    <t>-LqnIc-A4wK7A6ND21lp</t>
  </si>
  <si>
    <t>1570671328082</t>
  </si>
  <si>
    <t>-LqnIdZAxGOcxfwfOPTT</t>
  </si>
  <si>
    <t>1570671334273</t>
  </si>
  <si>
    <t>-LqnIfHAAzqrNAENXLxP</t>
  </si>
  <si>
    <t>1570671341495</t>
  </si>
  <si>
    <t>-LqnIh4ACVufd90jGX9L</t>
  </si>
  <si>
    <t>1570671348703</t>
  </si>
  <si>
    <t>-LqnIinAlHmr3F1umvck</t>
  </si>
  <si>
    <t>1570671355923</t>
  </si>
  <si>
    <t>-LqnIkapZgBaWayO4Cqx</t>
  </si>
  <si>
    <t>1570671363134</t>
  </si>
  <si>
    <t>-LqnImGe5Lnd1MSIjTNa</t>
  </si>
  <si>
    <t>1570671370324</t>
  </si>
  <si>
    <t>-LqnInr6BC-23hRP4y6Y</t>
  </si>
  <si>
    <t>1570671376542</t>
  </si>
  <si>
    <t>-LqnIpqZkM-beAgijHyV</t>
  </si>
  <si>
    <t>1570671383743</t>
  </si>
  <si>
    <t>-LqnIrN4LWmmKZGIbFkv</t>
  </si>
  <si>
    <t>1570671390953</t>
  </si>
  <si>
    <t>-LqnIt6MdzqJxvYSzCzj</t>
  </si>
  <si>
    <t>1570671398162</t>
  </si>
  <si>
    <t>-LqnIusm-5AO0hNVSdhH</t>
  </si>
  <si>
    <t>1570671405373</t>
  </si>
  <si>
    <t>-LqnIwuy4xyVwZ3qJKdT</t>
  </si>
  <si>
    <t>1570671412564</t>
  </si>
  <si>
    <t>-LqnIyeB97sY9NjrkGGQ</t>
  </si>
  <si>
    <t>1570671420834</t>
  </si>
  <si>
    <t>-LqnJ-SC_G_KesvYWdvV</t>
  </si>
  <si>
    <t>1570671428043</t>
  </si>
  <si>
    <t>-LqnJ1ABYZWd3QjqK8V8</t>
  </si>
  <si>
    <t>1570671435262</t>
  </si>
  <si>
    <t>-LqnJ2sjqpCwrh8Xzd2X</t>
  </si>
  <si>
    <t>1570671442451</t>
  </si>
  <si>
    <t>-LqnJ4SB1jSwOLeCVkVu</t>
  </si>
  <si>
    <t>1570671448662</t>
  </si>
  <si>
    <t>-LqnJ69PgKKxxUE4aIn4</t>
  </si>
  <si>
    <t>1570671455863</t>
  </si>
  <si>
    <t>-LqnJ7jDQ6Q6GVyRH8zX</t>
  </si>
  <si>
    <t>1570671462063</t>
  </si>
  <si>
    <t>-LqnJ9SMsFDyHgP4Ovdw</t>
  </si>
  <si>
    <t>1570671469282</t>
  </si>
  <si>
    <t>-LqnJB0o_NqdpY4LzYFc</t>
  </si>
  <si>
    <t>1570671475442</t>
  </si>
  <si>
    <t>-LqnJCjB63zRXJ1AngY6</t>
  </si>
  <si>
    <t>1570671482643</t>
  </si>
  <si>
    <t>-LqnJEIBPnq_4bhJctl2</t>
  </si>
  <si>
    <t>1570671488832</t>
  </si>
  <si>
    <t>-LqnJG0Lu3lVs6MrimYw</t>
  </si>
  <si>
    <t>1570671496053</t>
  </si>
  <si>
    <t>-LqnJHoAWYcfnR4QKzSp</t>
  </si>
  <si>
    <t>1570671503263</t>
  </si>
  <si>
    <t>-LqnJJXFU1XZfEyeWKvW</t>
  </si>
  <si>
    <t>1570671510485</t>
  </si>
  <si>
    <t>-LqnJLIw_gzkL-ozoTGB</t>
  </si>
  <si>
    <t>1570671517693</t>
  </si>
  <si>
    <t>-LqnJN2AW6RUrtqOfJir</t>
  </si>
  <si>
    <t>1570671524883</t>
  </si>
  <si>
    <t>-LqnJObD8ytOXgG74qEK</t>
  </si>
  <si>
    <t>1570671531093</t>
  </si>
  <si>
    <t>-LqnJQKBqnDTjuk5_oqM</t>
  </si>
  <si>
    <t>1570671538303</t>
  </si>
  <si>
    <t>-LqnJS7AEjHxSI3Wzpb7</t>
  </si>
  <si>
    <t>1570671545513</t>
  </si>
  <si>
    <t>-LqnJTqB-CmKRVPYOj2x</t>
  </si>
  <si>
    <t>1570671552723</t>
  </si>
  <si>
    <t>-LqnJVP1SAMpLw1BO7h3</t>
  </si>
  <si>
    <t>1570671558903</t>
  </si>
  <si>
    <t>-LqnJX7Adtb9rxXmScjt</t>
  </si>
  <si>
    <t>1570671566122</t>
  </si>
  <si>
    <t>-LqnJYv3t1WWB9PUdgKZ</t>
  </si>
  <si>
    <t>1570671573333</t>
  </si>
  <si>
    <t>-LqnJ_dCcII0AKjzjdMA</t>
  </si>
  <si>
    <t>1570671580565</t>
  </si>
  <si>
    <t>-LqnJbRoCkkm7efeMiWt</t>
  </si>
  <si>
    <t>1570671587753</t>
  </si>
  <si>
    <t>-LqnJd9LSZTHDIKEEjWe</t>
  </si>
  <si>
    <t>1570671594963</t>
  </si>
  <si>
    <t>-LqnJexLcEkDmAxiRYeR</t>
  </si>
  <si>
    <t>1570671602182</t>
  </si>
  <si>
    <t>-LqnJgfOW86GUpabYoVV</t>
  </si>
  <si>
    <t>1570671609364</t>
  </si>
  <si>
    <t>-LqnJiECcIwg19GrTUq0</t>
  </si>
  <si>
    <t>1570671615552</t>
  </si>
  <si>
    <t>-LqnJjxYdiB6vVohNuIB</t>
  </si>
  <si>
    <t>1570671622805</t>
  </si>
  <si>
    <t>-LqnJlkAxnwUXC5leDuL</t>
  </si>
  <si>
    <t>1570671630004</t>
  </si>
  <si>
    <t>-LqnJnTAC-C43n5aORsg</t>
  </si>
  <si>
    <t>1570671637202</t>
  </si>
  <si>
    <t>-LqnJpak9oKUB7K57Vsk</t>
  </si>
  <si>
    <t>1570671644424</t>
  </si>
  <si>
    <t>-LqnJrIAoVxYFjLmaScr</t>
  </si>
  <si>
    <t>1570671652663</t>
  </si>
  <si>
    <t>-LqnJt0CwLATzxM-DYu3</t>
  </si>
  <si>
    <t>1570671659882</t>
  </si>
  <si>
    <t>-LqnKqo3NLGGshLc5Mkk</t>
  </si>
  <si>
    <t>1570671912828</t>
  </si>
  <si>
    <t>-LqnKsNDTMACHZBBsT-y</t>
  </si>
  <si>
    <t>1570671919524</t>
  </si>
  <si>
    <t>-LqnKtuyW6sxU4Sk66Gw</t>
  </si>
  <si>
    <t>1570671925704</t>
  </si>
  <si>
    <t>-LqnKveFyEl8oikFmu-Q</t>
  </si>
  <si>
    <t>1570671932884</t>
  </si>
  <si>
    <t>-LqnKxDMq1rfFdGlPBBB</t>
  </si>
  <si>
    <t>1570671939075</t>
  </si>
  <si>
    <t>-LqnKyv7tCwFEf2lNOYn</t>
  </si>
  <si>
    <t>1570671946324</t>
  </si>
  <si>
    <t>-LqnL-jDhHbBdAzDXH2m</t>
  </si>
  <si>
    <t>1570671953525</t>
  </si>
  <si>
    <t>-LqnL1R7KDb6rIqa_55z</t>
  </si>
  <si>
    <t>1570671960724</t>
  </si>
  <si>
    <t>-LqnL3GTSx9Drizl5cjZ</t>
  </si>
  <si>
    <t>1570671967945</t>
  </si>
  <si>
    <t>-LqnL4y5e5rvuALSd-b1</t>
  </si>
  <si>
    <t>1570671975134</t>
  </si>
  <si>
    <t>-LqnL6XDv8wmKQ8aTHky</t>
  </si>
  <si>
    <t>1570671981314</t>
  </si>
  <si>
    <t>-LqnL8FDfG5W__As4ELG</t>
  </si>
  <si>
    <t>1570671988565</t>
  </si>
  <si>
    <t>-LqnLA2Dz5qho8192fGp</t>
  </si>
  <si>
    <t>1570671995765</t>
  </si>
  <si>
    <t>-LqnLBlCW_2HrTwzjlPx</t>
  </si>
  <si>
    <t>1570672002964</t>
  </si>
  <si>
    <t>-LqnLDYIx7u_0AjcakRz</t>
  </si>
  <si>
    <t>1570672010194</t>
  </si>
  <si>
    <t>-LqnLFHDhLzwpD4F8FQB</t>
  </si>
  <si>
    <t>1570672017378</t>
  </si>
  <si>
    <t>-LqnLGqMxoAOXkViImw4</t>
  </si>
  <si>
    <t>1570672023554</t>
  </si>
  <si>
    <t>-LqnLIZCWarp5i2dz2ZZ</t>
  </si>
  <si>
    <t>1570672030805</t>
  </si>
  <si>
    <t>-LqnLKCDdyxTGjo_2Z58</t>
  </si>
  <si>
    <t>1570672037448</t>
  </si>
  <si>
    <t>-LqnLLqCGfSbOvj38YAl</t>
  </si>
  <si>
    <t>1570672044185</t>
  </si>
  <si>
    <t>-LqnLNdDUti6hHbuwPTG</t>
  </si>
  <si>
    <t>1570672051404</t>
  </si>
  <si>
    <t>-LqnLPMDUXtHN5u-9XCj</t>
  </si>
  <si>
    <t>1570672058614</t>
  </si>
  <si>
    <t>-LqnLR9Dvh9-kI0Qg9ll</t>
  </si>
  <si>
    <t>1570672065825</t>
  </si>
  <si>
    <t>-LqnLSsDMMcNpbJ_BrJH</t>
  </si>
  <si>
    <t>1570672073045</t>
  </si>
  <si>
    <t>-LqnLUpNwcKMkthrF7DQ</t>
  </si>
  <si>
    <t>1570672081015</t>
  </si>
  <si>
    <t>-LqnLWOC1pGH0FliRivq</t>
  </si>
  <si>
    <t>1570672087444</t>
  </si>
  <si>
    <t>-LqnLXxDaZPy7ekK6-JR</t>
  </si>
  <si>
    <t>1570672093645</t>
  </si>
  <si>
    <t>-LqnLZe7I_uKNEFiAS0R</t>
  </si>
  <si>
    <t>1570672100855</t>
  </si>
  <si>
    <t>-LqnLaTCXEbUYnltT397</t>
  </si>
  <si>
    <t>1570672108064</t>
  </si>
  <si>
    <t>-LqnLcBDpZ9_R0xlIZva</t>
  </si>
  <si>
    <t>1570672115284</t>
  </si>
  <si>
    <t>-LqnLdzP4jy7kfUXH4jD</t>
  </si>
  <si>
    <t>1570672122488</t>
  </si>
  <si>
    <t>-LqnLfhDAByv-yHvdRqA</t>
  </si>
  <si>
    <t>1570672129684</t>
  </si>
  <si>
    <t>-LqnLhGXsHJ2P5QWNNtp</t>
  </si>
  <si>
    <t>1570672135874</t>
  </si>
  <si>
    <t>-LqnLjI21HuMLoHgJIcq</t>
  </si>
  <si>
    <t>1570672143094</t>
  </si>
  <si>
    <t>-LqnLl0AfWQzEbSn5Atj</t>
  </si>
  <si>
    <t>1570672151334</t>
  </si>
  <si>
    <t>-LqnLmyBFQoOCAniQQ5o</t>
  </si>
  <si>
    <t>1570672159343</t>
  </si>
  <si>
    <t>-LqnLoXCf2zSicfF-QPp</t>
  </si>
  <si>
    <t>1570672165765</t>
  </si>
  <si>
    <t>-LqnLqFM63pRDwVaKN7B</t>
  </si>
  <si>
    <t>1570672172973</t>
  </si>
  <si>
    <t>-LqnLroCE770Tlzs4Jnt</t>
  </si>
  <si>
    <t>1570672179177</t>
  </si>
  <si>
    <t>-LqnLtXCAPMK6amMjStl</t>
  </si>
  <si>
    <t>1570672186344</t>
  </si>
  <si>
    <t>-LqnLv5C-JNDZIqv8XI8</t>
  </si>
  <si>
    <t>1570672192544</t>
  </si>
  <si>
    <t>-LqnLwoLyhjt8rxOGE7O</t>
  </si>
  <si>
    <t>1570672199763</t>
  </si>
  <si>
    <t>-LqnLybKp16bhGCRURuS</t>
  </si>
  <si>
    <t>1570672206974</t>
  </si>
  <si>
    <t>-LqnM-LSws_SiYNKfRlF</t>
  </si>
  <si>
    <t>1570672214172</t>
  </si>
  <si>
    <t>-LqnM0tBD975d1ty9CTI</t>
  </si>
  <si>
    <t>1570672220353</t>
  </si>
  <si>
    <t>-LqnM2bC75K5XlhSwpvL</t>
  </si>
  <si>
    <t>1570672227583</t>
  </si>
  <si>
    <t>-LqnM4PE-ftKWQarV57o</t>
  </si>
  <si>
    <t>1570672234794</t>
  </si>
  <si>
    <t>-LqnM6G_ahtOEe9PVZfK</t>
  </si>
  <si>
    <t>1570672242006</t>
  </si>
  <si>
    <t>-LqnM7vp-4ZvVzrAd26z</t>
  </si>
  <si>
    <t>1570672249214</t>
  </si>
  <si>
    <t>-LqnM9dCowY3J6OXGayl</t>
  </si>
  <si>
    <t>1570672256404</t>
  </si>
  <si>
    <t>-LqnMBCGut_MABx_tCfV</t>
  </si>
  <si>
    <t>1570672262605</t>
  </si>
  <si>
    <t>-LqnMCvTtVjHd_ZRkhgD</t>
  </si>
  <si>
    <t>1570672269824</t>
  </si>
  <si>
    <t>-LqnMEiCqeI_QoaysImt</t>
  </si>
  <si>
    <t>1570672277034</t>
  </si>
  <si>
    <t>-LqnMGRCSsMd6_Z07nSb</t>
  </si>
  <si>
    <t>1570672284243</t>
  </si>
  <si>
    <t>-LqnMIECjxv64Jad0XSi</t>
  </si>
  <si>
    <t>1570672291454</t>
  </si>
  <si>
    <t>-LqnMJxBsqWyB7OEWjX-</t>
  </si>
  <si>
    <t>1570672298644</t>
  </si>
  <si>
    <t>-LqnMLaJSaBB71Ay0Jm1</t>
  </si>
  <si>
    <t>1570672305374</t>
  </si>
  <si>
    <t>-LqnMNEBX-NspTDQFO_b</t>
  </si>
  <si>
    <t>1570672312084</t>
  </si>
  <si>
    <t>-LqnMP1CGyLoCpPloKuI</t>
  </si>
  <si>
    <t>1570672319273</t>
  </si>
  <si>
    <t>-LqnMQioheH_M3xXH1O2</t>
  </si>
  <si>
    <t>1570672326493</t>
  </si>
  <si>
    <t>-LqnMSZSXqdOdcsUHCK_</t>
  </si>
  <si>
    <t>1570672332675</t>
  </si>
  <si>
    <t>-LqnMUGAK0deB3coIxVQ</t>
  </si>
  <si>
    <t>1570672340882</t>
  </si>
  <si>
    <t>-LqnMVpB_UPBGJE4W6yt</t>
  </si>
  <si>
    <t>1570672347099</t>
  </si>
  <si>
    <t>-LqnMXYA5gNJ16gMYJOy</t>
  </si>
  <si>
    <t>1570672354324</t>
  </si>
  <si>
    <t>-LqnMZ1BZZ6hAJcziTSt</t>
  </si>
  <si>
    <t>1570672360483</t>
  </si>
  <si>
    <t>-LqnM_aAj_giiq3Myel2</t>
  </si>
  <si>
    <t>1570672366673</t>
  </si>
  <si>
    <t>-LqnMbJAblVtx9cOss7i</t>
  </si>
  <si>
    <t>1570672373905</t>
  </si>
  <si>
    <t>-LqnMdVEWsUkUbGhKWQa</t>
  </si>
  <si>
    <t>1570672382414</t>
  </si>
  <si>
    <t>-LqnMf36IVwWqR0gVsBV</t>
  </si>
  <si>
    <t>1570672389345</t>
  </si>
  <si>
    <t>-LqnMgcDXsvJJ7_YW5Q3</t>
  </si>
  <si>
    <t>1570672395525</t>
  </si>
  <si>
    <t>-LqnMiLOnxBM5L4i0D7b</t>
  </si>
  <si>
    <t>1570672402708</t>
  </si>
  <si>
    <t>-LqnMjuXoPA42MSq6m-V</t>
  </si>
  <si>
    <t>1570672408908</t>
  </si>
  <si>
    <t>-LqnMlcE_CrP4Zzxz2QV</t>
  </si>
  <si>
    <t>1570672416145</t>
  </si>
  <si>
    <t>-LqnMnBQf1FuDUv-W9l6</t>
  </si>
  <si>
    <t>1570672422315</t>
  </si>
  <si>
    <t>-LqnMouDpoXP_XlLSJMH</t>
  </si>
  <si>
    <t>1570672429527</t>
  </si>
  <si>
    <t>-LqnMqh5AUqPEVVKUqyb</t>
  </si>
  <si>
    <t>1570672436737</t>
  </si>
  <si>
    <t>-LqnMsQDVvYPSwKz1EQl</t>
  </si>
  <si>
    <t>1570672443927</t>
  </si>
  <si>
    <t>-LqnMtzD0bdxWd3J9T4z</t>
  </si>
  <si>
    <t>1570672450126</t>
  </si>
  <si>
    <t>-LqnMvhD1UC0iFh3DPEr</t>
  </si>
  <si>
    <t>1570672457336</t>
  </si>
  <si>
    <t>-LqnMxVDMjq9wip3fPNa</t>
  </si>
  <si>
    <t>1570672464555</t>
  </si>
  <si>
    <t>-LqnMzDEPspiKNvOPFgk</t>
  </si>
  <si>
    <t>1570672471783</t>
  </si>
  <si>
    <t>-LqnN00DBRWCmFCKhdJJ</t>
  </si>
  <si>
    <t>1570672478977</t>
  </si>
  <si>
    <t>-LqnN1jFX2Ag9tWWy7-i</t>
  </si>
  <si>
    <t>1570672486166</t>
  </si>
  <si>
    <t>-LqnN3IE8e7DjU2QIoci</t>
  </si>
  <si>
    <t>1570672492366</t>
  </si>
  <si>
    <t>-LqnN50En_tLjDBVNImV</t>
  </si>
  <si>
    <t>1570672499587</t>
  </si>
  <si>
    <t>-LqnN6oEdvwngixHARsg</t>
  </si>
  <si>
    <t>1570672506785</t>
  </si>
  <si>
    <t>-LqnN8XEt7lNg80lXkJA</t>
  </si>
  <si>
    <t>1570672514006</t>
  </si>
  <si>
    <t>-LqnNAKEc8FWX0M81NwO</t>
  </si>
  <si>
    <t>1570672521217</t>
  </si>
  <si>
    <t>-LqnNC2VwuWsYKf0LmoE</t>
  </si>
  <si>
    <t>1570672528407</t>
  </si>
  <si>
    <t>-LqnNDbCEynq8LmL3sMf</t>
  </si>
  <si>
    <t>1570672534576</t>
  </si>
  <si>
    <t>-LqnNFKEQtD9XjcSiC1a</t>
  </si>
  <si>
    <t>1570672541826</t>
  </si>
  <si>
    <t>-LqnNH7FdICcj8Ll_BVZ</t>
  </si>
  <si>
    <t>1570672549036</t>
  </si>
  <si>
    <t>-LqnNIqPqBH7nmSGaH-8</t>
  </si>
  <si>
    <t>1570672556245</t>
  </si>
  <si>
    <t>-LqnNKdDKiczxPc7sSaX</t>
  </si>
  <si>
    <t>1570672563455</t>
  </si>
  <si>
    <t>-LqnNMMP_g9yv1oCr5xz</t>
  </si>
  <si>
    <t>1570672570646</t>
  </si>
  <si>
    <t>-LqnNNvNiKKvPXLC3KZ-</t>
  </si>
  <si>
    <t>1570672576847</t>
  </si>
  <si>
    <t>-LqnNPdEEEk7w4er7-3S</t>
  </si>
  <si>
    <t>1570672584067</t>
  </si>
  <si>
    <t>-LqnNRRDGtPvPFzzP1ws</t>
  </si>
  <si>
    <t>1570672591286</t>
  </si>
  <si>
    <t>-LqnNT9DU8h-hHKI0oo5</t>
  </si>
  <si>
    <t>1570672598486</t>
  </si>
  <si>
    <t>-LqnNV8jGUNIxWlyjtgT</t>
  </si>
  <si>
    <t>1570672605706</t>
  </si>
  <si>
    <t>-LqnNX-Jt1k5mC9hIUL0</t>
  </si>
  <si>
    <t>1570672612887</t>
  </si>
  <si>
    <t>-LqnNYhDPAr--oxEK3NE</t>
  </si>
  <si>
    <t>1570672621166</t>
  </si>
  <si>
    <t>-LqnN_VDXMuWLyX4uxVf</t>
  </si>
  <si>
    <t>1570672628365</t>
  </si>
  <si>
    <t>-LqnNbDDxFPJQfKs2Z79</t>
  </si>
  <si>
    <t>1570672635576</t>
  </si>
  <si>
    <t>-LqnNcwOzxTWwT-aZ_4n</t>
  </si>
  <si>
    <t>1570672642766</t>
  </si>
  <si>
    <t>-LqnNeVDHEF89B4OApxp</t>
  </si>
  <si>
    <t>1570672648975</t>
  </si>
  <si>
    <t>-LqnNgIMd8x2Vj4Mb_gN</t>
  </si>
  <si>
    <t>1570672656185</t>
  </si>
  <si>
    <t>-LqnNi0ECS0pnHTyEx-D</t>
  </si>
  <si>
    <t>1570672663396</t>
  </si>
  <si>
    <t>-LqnNjoD7Kz5UykbiPPt</t>
  </si>
  <si>
    <t>1570672670607</t>
  </si>
  <si>
    <t>-LqnNlXCSlygTq87mmdz</t>
  </si>
  <si>
    <t>1570672677817</t>
  </si>
  <si>
    <t>-LqnNnKDmwgiwEVgOzNf</t>
  </si>
  <si>
    <t>1570672685025</t>
  </si>
  <si>
    <t>-LqnNp2E7TtPMmmXL_nW</t>
  </si>
  <si>
    <t>1570672692245</t>
  </si>
  <si>
    <t>-LqnNqqC0jHadwy9d-5r</t>
  </si>
  <si>
    <t>1570672699445</t>
  </si>
  <si>
    <t>-LqnNsZDRp7oxjjRhYrB</t>
  </si>
  <si>
    <t>1570672706646</t>
  </si>
  <si>
    <t>-LqnNuMDxf1RoJlUabxZ</t>
  </si>
  <si>
    <t>1570672713876</t>
  </si>
  <si>
    <t>-LqnNw4DNbm-xe9QV3Ym</t>
  </si>
  <si>
    <t>1570672721055</t>
  </si>
  <si>
    <t>-LqnNxsEJ4T148St6fm2</t>
  </si>
  <si>
    <t>1570672728295</t>
  </si>
  <si>
    <t>-LqnNzbV4hv8m15yB9Qa</t>
  </si>
  <si>
    <t>1570672735525</t>
  </si>
  <si>
    <t>-LqnO09Dys3Vbzr7_1g5</t>
  </si>
  <si>
    <t>1570672741686</t>
  </si>
  <si>
    <t>-LqnO1sE64auLP3jxSpw</t>
  </si>
  <si>
    <t>1570672748886</t>
  </si>
  <si>
    <t>-LqnO3MN8QCV2jsVsm_Y</t>
  </si>
  <si>
    <t>1570672755074</t>
  </si>
  <si>
    <t>-LqnO4v3j5eVygEx-RAr</t>
  </si>
  <si>
    <t>1570672761263</t>
  </si>
  <si>
    <t>-LqnO6PD4L9pIXp535Pm</t>
  </si>
  <si>
    <t>1570672767446</t>
  </si>
  <si>
    <t>-LqnO7y43Q358LrBRyPn</t>
  </si>
  <si>
    <t>1570672773635</t>
  </si>
  <si>
    <t>-LqnO9gEBV8iKlz_i_xU</t>
  </si>
  <si>
    <t>1570672780836</t>
  </si>
  <si>
    <t>-LqnOBUDSLxz4Nq63jYb</t>
  </si>
  <si>
    <t>1570672788026</t>
  </si>
  <si>
    <t>-LqnODB6FFawVfxmYws7</t>
  </si>
  <si>
    <t>1570672795265</t>
  </si>
  <si>
    <t>-LqnOF-DPFzCY_WCIRHd</t>
  </si>
  <si>
    <t>1570672802473</t>
  </si>
  <si>
    <t>-LqnOGiCCsZKH_lO4s65</t>
  </si>
  <si>
    <t>1570672809685</t>
  </si>
  <si>
    <t>-LqnOIHOv1DMh6O6hr4Y</t>
  </si>
  <si>
    <t>1570672815865</t>
  </si>
  <si>
    <t>-LqnOK-ColnUMfGs3xdM</t>
  </si>
  <si>
    <t>1570672823084</t>
  </si>
  <si>
    <t>-LqnOLnCUmCEOLdSWFZX</t>
  </si>
  <si>
    <t>1570672830295</t>
  </si>
  <si>
    <t>-LqnONWMzwx0k3Hmssj1</t>
  </si>
  <si>
    <t>1570672837524</t>
  </si>
  <si>
    <t>-LqnOPdAYRT_nnaj3qRh</t>
  </si>
  <si>
    <t>1570672844724</t>
  </si>
  <si>
    <t>-LqnORGFqfrgq7vwFtDm</t>
  </si>
  <si>
    <t>1570672852966</t>
  </si>
  <si>
    <t>-LqnOSp5UCRitX98LMuo</t>
  </si>
  <si>
    <t>1570672859146</t>
  </si>
  <si>
    <t>-LqnOUJEgxvJDZef-d5c</t>
  </si>
  <si>
    <t>1570672865326</t>
  </si>
  <si>
    <t>-LqnOW6F27ithe-Bkc4d</t>
  </si>
  <si>
    <t>1570672872547</t>
  </si>
  <si>
    <t>-LqnOXpF0KLoPho0QXJU</t>
  </si>
  <si>
    <t>1570672879766</t>
  </si>
  <si>
    <t>-LqnOZcMs-V2y9OYB1r_</t>
  </si>
  <si>
    <t>1570672886967</t>
  </si>
  <si>
    <t>-LqnOaLEALu7Ch56DWce</t>
  </si>
  <si>
    <t>1570672894167</t>
  </si>
  <si>
    <t>-LqnOc8EmtknqxbQO6_M</t>
  </si>
  <si>
    <t>1570672901388</t>
  </si>
  <si>
    <t>-LqnOdqmXlj7DTs8dEJZ</t>
  </si>
  <si>
    <t>1570672908576</t>
  </si>
  <si>
    <t>-LqnOfQFq-RE60HJXR32</t>
  </si>
  <si>
    <t>1570672914757</t>
  </si>
  <si>
    <t>-LqnOh8FneCztpcXBgxn</t>
  </si>
  <si>
    <t>1570672922006</t>
  </si>
  <si>
    <t>-LqnOixUaiBicJ6rx_uJ</t>
  </si>
  <si>
    <t>1570672929207</t>
  </si>
  <si>
    <t>-LqnOkePanJZyrCIvX_b</t>
  </si>
  <si>
    <t>1570672936406</t>
  </si>
  <si>
    <t>-LqnOmDF8duTPZPPg9ES</t>
  </si>
  <si>
    <t>1570672942597</t>
  </si>
  <si>
    <t>-LqnOnwJftyXpFKwGesY</t>
  </si>
  <si>
    <t>1570672949817</t>
  </si>
  <si>
    <t>-LqnOpeIN217rubNd4pw</t>
  </si>
  <si>
    <t>1570672957029</t>
  </si>
  <si>
    <t>-LqnOrDGT6r3sIuBOEdo</t>
  </si>
  <si>
    <t>1570672963216</t>
  </si>
  <si>
    <t>-LqnOswFKxZN6iP15zbd</t>
  </si>
  <si>
    <t>1570672970428</t>
  </si>
  <si>
    <t>-LqnOuVEiWknhaHRGlRB</t>
  </si>
  <si>
    <t>1570672976608</t>
  </si>
  <si>
    <t>-LqnOwC0yO5P29bLTmIn</t>
  </si>
  <si>
    <t>1570672983836</t>
  </si>
  <si>
    <t>-LqnOxmEzwDtB9XmTUp1</t>
  </si>
  <si>
    <t>1570672990007</t>
  </si>
  <si>
    <t>-LqnOzVFT_cda8IVlT5O</t>
  </si>
  <si>
    <t>1570672997206</t>
  </si>
  <si>
    <t>-LqnP0IE-sG48gW6TLDx</t>
  </si>
  <si>
    <t>1570673004428</t>
  </si>
  <si>
    <t>-LqnP20F7mMgvriCXr0G</t>
  </si>
  <si>
    <t>1570673011616</t>
  </si>
  <si>
    <t>-LqnP3_Io_vpX3df_gV9</t>
  </si>
  <si>
    <t>1570673017797</t>
  </si>
  <si>
    <t>-LqnP5IGyCXs011KpYNY</t>
  </si>
  <si>
    <t>1570673025047</t>
  </si>
  <si>
    <t>-LqnP75GZXDT9uCl5e1U</t>
  </si>
  <si>
    <t>1570673032256</t>
  </si>
  <si>
    <t>-LqnP8oF7W91_nMnNmgg</t>
  </si>
  <si>
    <t>1570673039447</t>
  </si>
  <si>
    <t>-LqnPAgPMK00gnpqkPcs</t>
  </si>
  <si>
    <t>1570673046997</t>
  </si>
  <si>
    <t>-LqnPCKFFg_i7oso_jJu</t>
  </si>
  <si>
    <t>1570673053906</t>
  </si>
  <si>
    <t>-LqnPDt6WRBVRlMm3m5Y</t>
  </si>
  <si>
    <t>1570673060077</t>
  </si>
  <si>
    <t>-LqnPFbFcn7dpbFWAvS8</t>
  </si>
  <si>
    <t>1570673067287</t>
  </si>
  <si>
    <t>-LqnPHPDoKoUS-AnMrlN</t>
  </si>
  <si>
    <t>1570673074507</t>
  </si>
  <si>
    <t>-LqnPORGrzDsfdg_va75</t>
  </si>
  <si>
    <t>1570673103485</t>
  </si>
  <si>
    <t>-LqnPQA1df3QrBSGCmSA</t>
  </si>
  <si>
    <t>1570673110388</t>
  </si>
  <si>
    <t>-LqnPRsFnQimdKe9YuyS</t>
  </si>
  <si>
    <t>1570673117596</t>
  </si>
  <si>
    <t>-LqnPTREsqbNQut5rgdq</t>
  </si>
  <si>
    <t>1570673123784</t>
  </si>
  <si>
    <t>-LqnPV9FcoBVDfuuTpQ1</t>
  </si>
  <si>
    <t>1570673130967</t>
  </si>
  <si>
    <t>-LqnPWiF6yoVhDG9_xCH</t>
  </si>
  <si>
    <t>1570673137158</t>
  </si>
  <si>
    <t>-LqnPYR6sURBoQ_AY8jy</t>
  </si>
  <si>
    <t>1570673144407</t>
  </si>
  <si>
    <t>-LqnP_D0m2aE96xtxw5v</t>
  </si>
  <si>
    <t>1570673151606</t>
  </si>
  <si>
    <t>-LqnPaxFdokrcu3Uipbl</t>
  </si>
  <si>
    <t>1570673158808</t>
  </si>
  <si>
    <t>-LqnPckJ-EJei3R8TUzX</t>
  </si>
  <si>
    <t>1570673166027</t>
  </si>
  <si>
    <t>-LqnPeTEp9kgAIwIxpAy</t>
  </si>
  <si>
    <t>1570673173217</t>
  </si>
  <si>
    <t>-LqnPg1Rwi_BPPMEaz7f</t>
  </si>
  <si>
    <t>1570673179409</t>
  </si>
  <si>
    <t>-LqnPhkJBpCtKd_VsblC</t>
  </si>
  <si>
    <t>1570673186648</t>
  </si>
  <si>
    <t>-LqnPjYEDq-ayrcsIVmK</t>
  </si>
  <si>
    <t>1570673193857</t>
  </si>
  <si>
    <t>-LqnPlG7vRxzarcc0I07</t>
  </si>
  <si>
    <t>1570673201046</t>
  </si>
  <si>
    <t>-LqnPmoJq6oOjZLzO-5o</t>
  </si>
  <si>
    <t>1570673207218</t>
  </si>
  <si>
    <t>-LqnPoYFSher2eaAJ6j5</t>
  </si>
  <si>
    <t>1570673214468</t>
  </si>
  <si>
    <t>-LqnPqLE9J8oVMdiAESY</t>
  </si>
  <si>
    <t>1570673221687</t>
  </si>
  <si>
    <t>-LqnPs4UTczxCJg1PpFh</t>
  </si>
  <si>
    <t>1570673228887</t>
  </si>
  <si>
    <t>-LqnPtrFXQyzTRUS571s</t>
  </si>
  <si>
    <t>1570673236096</t>
  </si>
  <si>
    <t>-LqnPv_EIvWr90OtAXpx</t>
  </si>
  <si>
    <t>1570673243287</t>
  </si>
  <si>
    <t>-LqnPx7BYDrnCCH3LCGx</t>
  </si>
  <si>
    <t>1570673249486</t>
  </si>
  <si>
    <t>-LqnPyq0Z7J955G40bUQ</t>
  </si>
  <si>
    <t>1570673256727</t>
  </si>
  <si>
    <t>-LqnQ-eEawmK6MrupSjv</t>
  </si>
  <si>
    <t>1570673263917</t>
  </si>
  <si>
    <t>-LqnQ1NEAHrylNjgHf1b</t>
  </si>
  <si>
    <t>1570673271127</t>
  </si>
  <si>
    <t>-LqnQ3AIYZqEErOsUu-r</t>
  </si>
  <si>
    <t>1570673278348</t>
  </si>
  <si>
    <t>-LqnQ4tPHVNZb59-bKmk</t>
  </si>
  <si>
    <t>1570673285536</t>
  </si>
  <si>
    <t>-LqnQ6SIx-7noY3sJFqQ</t>
  </si>
  <si>
    <t>1570673291716</t>
  </si>
  <si>
    <t>-LqnQ8AFWGe56ldxXCJK</t>
  </si>
  <si>
    <t>1570673298966</t>
  </si>
  <si>
    <t>-LqnQ9yOvAJnuO6a8DXL</t>
  </si>
  <si>
    <t>1570673306168</t>
  </si>
  <si>
    <t>-LqnQBgFPF-9E6ktaloX</t>
  </si>
  <si>
    <t>1570673313367</t>
  </si>
  <si>
    <t>-LqnQDFFu3BFcpxBTaMj</t>
  </si>
  <si>
    <t>1570673319556</t>
  </si>
  <si>
    <t>-LqnQF2Ei8m7zGsH6yBr</t>
  </si>
  <si>
    <t>1570673327172</t>
  </si>
  <si>
    <t>-LqnQH42__UgCt3QauBa</t>
  </si>
  <si>
    <t>1570673333988</t>
  </si>
  <si>
    <t>-LqnQIi9QI6a39n4N-1j</t>
  </si>
  <si>
    <t>1570673342243</t>
  </si>
  <si>
    <t>-LqnQKHAEHd_Xb77ZDmy</t>
  </si>
  <si>
    <t>1570673348404</t>
  </si>
  <si>
    <t>-LqnQM-ADCvXqtAg3W3A</t>
  </si>
  <si>
    <t>1570673355602</t>
  </si>
  <si>
    <t>-LqnQNZBRls3NReXxEsu</t>
  </si>
  <si>
    <t>1570673361804</t>
  </si>
  <si>
    <t>-LqnQPIQjjjpNhx8p1QH</t>
  </si>
  <si>
    <t>1570673369023</t>
  </si>
  <si>
    <t>-LqnQR4Bsg3LggYLrUzI</t>
  </si>
  <si>
    <t>1570673376232</t>
  </si>
  <si>
    <t>-LqnQSnCfsVx0q5ll05q</t>
  </si>
  <si>
    <t>1570673383443</t>
  </si>
  <si>
    <t>-LqnQUaDs-6Atu5h4lol</t>
  </si>
  <si>
    <t>1570673390653</t>
  </si>
  <si>
    <t>-LqnQWIhQfKyqjvmhhtR</t>
  </si>
  <si>
    <t>1570673397843</t>
  </si>
  <si>
    <t>-LqnQXsBWRJciWg2IAdh</t>
  </si>
  <si>
    <t>1570673404044</t>
  </si>
  <si>
    <t>-LqnQZaLnaI6io11zqcv</t>
  </si>
  <si>
    <t>1570673411282</t>
  </si>
  <si>
    <t>-LqnQaOLljwaOBCdWIi0</t>
  </si>
  <si>
    <t>1570673418473</t>
  </si>
  <si>
    <t>-LqnQc77iqErwCd_xDRd</t>
  </si>
  <si>
    <t>1570673425682</t>
  </si>
  <si>
    <t>-LqnQduDLXHpY-V4jd5N</t>
  </si>
  <si>
    <t>1570673432902</t>
  </si>
  <si>
    <t>-LqnQfcKLYgzSDSECcqf</t>
  </si>
  <si>
    <t>1570673440083</t>
  </si>
  <si>
    <t>-LqnQhB9SVteptVr4MST</t>
  </si>
  <si>
    <t>1570673446326</t>
  </si>
  <si>
    <t>-LqnQiu45h254LYfhvgq</t>
  </si>
  <si>
    <t>1570673453523</t>
  </si>
  <si>
    <t>-LqnQkOL31U9azQp9OTR</t>
  </si>
  <si>
    <t>1570673459694</t>
  </si>
  <si>
    <t>-LqnQlxBiauRW7-nGxxC</t>
  </si>
  <si>
    <t>1570673465873</t>
  </si>
  <si>
    <t>-LqnQo3CYJb-8H0PnYbD</t>
  </si>
  <si>
    <t>1570673474521</t>
  </si>
  <si>
    <t>-LqnQpwCQ42YWCTSqI4H</t>
  </si>
  <si>
    <t>1570673481332</t>
  </si>
  <si>
    <t>-LqnQrV9XqPJQnA6WmLu</t>
  </si>
  <si>
    <t>1570673488514</t>
  </si>
  <si>
    <t>-LqnQtDQK_OtSigH6z9y</t>
  </si>
  <si>
    <t>1570673495788</t>
  </si>
  <si>
    <t>-LqnQumQTpRQUvgtMnMP</t>
  </si>
  <si>
    <t>1570673501976</t>
  </si>
  <si>
    <t>-LqnQwYk_g5w1w8gMpTt</t>
  </si>
  <si>
    <t>1570673509496</t>
  </si>
  <si>
    <t>-LqnQyDPhKqu16IOiZ3g</t>
  </si>
  <si>
    <t>1570673516353</t>
  </si>
  <si>
    <t>-LqnQzkN-sekFSVBWLiJ</t>
  </si>
  <si>
    <t>1570673522537</t>
  </si>
  <si>
    <t>-LqnR0FdMEQ6p1CNckO_</t>
  </si>
  <si>
    <t>1570673528756</t>
  </si>
  <si>
    <t>-LqnR1kjMIRy41ndwxWP</t>
  </si>
  <si>
    <t>1570673534906</t>
  </si>
  <si>
    <t>-LqnR3HgcIuf6L_1t5RP</t>
  </si>
  <si>
    <t>1570673541103</t>
  </si>
  <si>
    <t>-LqnR4mmmk-ZKvdLuYOn</t>
  </si>
  <si>
    <t>1570673547267</t>
  </si>
  <si>
    <t>-LqnR6JIZFlP5nhjbXa1</t>
  </si>
  <si>
    <t>1570673553527</t>
  </si>
  <si>
    <t>-LqnR82iXtPSsoVvjd3b</t>
  </si>
  <si>
    <t>1570673559667</t>
  </si>
  <si>
    <t>-LqnR9aI2dWti8phePBx</t>
  </si>
  <si>
    <t>1570673566867</t>
  </si>
  <si>
    <t>-LqnRBN9kB4xBdERjo5d</t>
  </si>
  <si>
    <t>1570673574067</t>
  </si>
  <si>
    <t>-LqnRD5uZ61kLW9CIjF9</t>
  </si>
  <si>
    <t>1570673581273</t>
  </si>
  <si>
    <t>-LqnREaE8RXODlW5-kJT</t>
  </si>
  <si>
    <t>1570673587457</t>
  </si>
  <si>
    <t>-LqnRG6n9Gc-_ATk88WH</t>
  </si>
  <si>
    <t>1570673593663</t>
  </si>
  <si>
    <t>-LqnRHdJwUWIPXH746ys</t>
  </si>
  <si>
    <t>1570673599822</t>
  </si>
  <si>
    <t>-LqnRJXu6G4ZI_QyLP7L</t>
  </si>
  <si>
    <t>1570673607028</t>
  </si>
  <si>
    <t>-LqnRL7MG4kNL5lPpMgS</t>
  </si>
  <si>
    <t>1570673614238</t>
  </si>
  <si>
    <t>-LqnRMcJKg90sbulrvXI</t>
  </si>
  <si>
    <t>1570673620432</t>
  </si>
  <si>
    <t>-LqnRO9Pg8oYwbnuzoiw</t>
  </si>
  <si>
    <t>1570673626604</t>
  </si>
  <si>
    <t>-LqnRPe_9Zb0rvxiiwwr</t>
  </si>
  <si>
    <t>1570673632798</t>
  </si>
  <si>
    <t>-LqnRRCiwijvEr4IH288</t>
  </si>
  <si>
    <t>1570673638968</t>
  </si>
  <si>
    <t>-LqnRSyFwziF3KuRiBPH</t>
  </si>
  <si>
    <t>1570673646224</t>
  </si>
  <si>
    <t>-LqnRUfHOOhpFnlA6SXA</t>
  </si>
  <si>
    <t>1570673653422</t>
  </si>
  <si>
    <t>-LqnRWCjl35i4MS7JEvw</t>
  </si>
  <si>
    <t>1570673659644</t>
  </si>
  <si>
    <t>-LqnRXhyF25pr9J-Av2M</t>
  </si>
  <si>
    <t>1570673665743</t>
  </si>
  <si>
    <t>-LqnRZEU_Mf8ObDBno0P</t>
  </si>
  <si>
    <t>1570673671988</t>
  </si>
  <si>
    <t>-LqnR_jiP-EHtJWbF3FG</t>
  </si>
  <si>
    <t>1570673678143</t>
  </si>
  <si>
    <t>-LqnRbEzHtns-HcjpEpU</t>
  </si>
  <si>
    <t>1570673684318</t>
  </si>
  <si>
    <t>-LqnRclmUyP8Qw48NBEW</t>
  </si>
  <si>
    <t>1570673690533</t>
  </si>
  <si>
    <t>-LqnReGnHwL81Za5-gHQ</t>
  </si>
  <si>
    <t>1570673696692</t>
  </si>
  <si>
    <t>-LqnRflotHoZLPi4Se1G</t>
  </si>
  <si>
    <t>1570673702862</t>
  </si>
  <si>
    <t>-LqnRhIMGGJPYu8mVxV_</t>
  </si>
  <si>
    <t>1570673709041</t>
  </si>
  <si>
    <t>-LqnRj31otd-wNwvRJbn</t>
  </si>
  <si>
    <t>1570673716306</t>
  </si>
  <si>
    <t>-LqnRkYy0GDevpb5roE6</t>
  </si>
  <si>
    <t>1570673722491</t>
  </si>
  <si>
    <t>-LqnRm3PNxB8YgUqT7xm</t>
  </si>
  <si>
    <t>1570673728625</t>
  </si>
  <si>
    <t>-LqnRn_s6oJYbJMU1DEI</t>
  </si>
  <si>
    <t>1570673734886</t>
  </si>
  <si>
    <t>-LqnRp9y86sTgjQnj6II</t>
  </si>
  <si>
    <t>1570673740967</t>
  </si>
  <si>
    <t>-LqnRqqPAVlIAXPqnX85</t>
  </si>
  <si>
    <t>1570673748217</t>
  </si>
  <si>
    <t>-LqnRsMKB8F6aUWf2zMP</t>
  </si>
  <si>
    <t>1570673754386</t>
  </si>
  <si>
    <t>-LqnRtrH7muMPE93Jbr7</t>
  </si>
  <si>
    <t>1570673760547</t>
  </si>
  <si>
    <t>-LqnRvNlaXf2TXAUDWqn</t>
  </si>
  <si>
    <t>1570673766786</t>
  </si>
  <si>
    <t>-LqnRwsrT9WQvG9lsYo_</t>
  </si>
  <si>
    <t>1570673772946</t>
  </si>
  <si>
    <t>-LqnRyeivr0k6KE2MZoM</t>
  </si>
  <si>
    <t>1570673780236</t>
  </si>
  <si>
    <t>-LqnS-Pk4SB7--Fk9If4</t>
  </si>
  <si>
    <t>1570673787342</t>
  </si>
  <si>
    <t>-LqnS0vRd0cawOKl4I6_</t>
  </si>
  <si>
    <t>1570673793537</t>
  </si>
  <si>
    <t>-LqnS2NYbVThhlenqcAV</t>
  </si>
  <si>
    <t>1570673799703</t>
  </si>
  <si>
    <t>-LqnS3v_JX1DvH3dhHrh</t>
  </si>
  <si>
    <t>1570673805876</t>
  </si>
  <si>
    <t>-LqnS5Rj6d4BwcPa895t</t>
  </si>
  <si>
    <t>1570673812035</t>
  </si>
  <si>
    <t>-LqnS6vkmuZ_zdmMb_G9</t>
  </si>
  <si>
    <t>1570673818255</t>
  </si>
  <si>
    <t>-LqnS8QagpJSSGmLsZuN</t>
  </si>
  <si>
    <t>1570673824446</t>
  </si>
  <si>
    <t>-LqnS9xUDIbUruvfOqpj</t>
  </si>
  <si>
    <t>1570673830645</t>
  </si>
  <si>
    <t>-LqnSBc4YNEP6Ye3mZDw</t>
  </si>
  <si>
    <t>1570673836792</t>
  </si>
  <si>
    <t>-LqnSDBpQszDfl0lUC9P</t>
  </si>
  <si>
    <t>1570673843992</t>
  </si>
  <si>
    <t>-LqnSEwjOwOIEslZHFV8</t>
  </si>
  <si>
    <t>1570673851030</t>
  </si>
  <si>
    <t>-LqnSGTzhqNzYMdl3LMm</t>
  </si>
  <si>
    <t>1570673857395</t>
  </si>
  <si>
    <t>-LqnSI13_Vmc1rIdu7k7</t>
  </si>
  <si>
    <t>1570673863627</t>
  </si>
  <si>
    <t>-LqnSJW4_n_3eQ20txr1</t>
  </si>
  <si>
    <t>1570673869786</t>
  </si>
  <si>
    <t>-LqnSL1T1X9tvLx-Ctdm</t>
  </si>
  <si>
    <t>1570673875951</t>
  </si>
  <si>
    <t>-LqnSMkAvmBkqPxGPPvu</t>
  </si>
  <si>
    <t>1570673882130</t>
  </si>
  <si>
    <t>-LqnSOIESL44hyqMFwui</t>
  </si>
  <si>
    <t>1570673889330</t>
  </si>
  <si>
    <t>-LqnSPooPLN77CV82TQA</t>
  </si>
  <si>
    <t>1570673895551</t>
  </si>
  <si>
    <t>-LqnSRJyThtfjQjqO5F1</t>
  </si>
  <si>
    <t>1570673901712</t>
  </si>
  <si>
    <t>-LqnSSpJEFv1Ska7f-oN</t>
  </si>
  <si>
    <t>1570673907877</t>
  </si>
  <si>
    <t>-LqnSULR3t2T6qQoQsoh</t>
  </si>
  <si>
    <t>1570673914081</t>
  </si>
  <si>
    <t>-LqnSVp6nUV4CR-M4Gcb</t>
  </si>
  <si>
    <t>1570673920272</t>
  </si>
  <si>
    <t>-LqnSXLX3ffiwxJEXVJ1</t>
  </si>
  <si>
    <t>1570673926445</t>
  </si>
  <si>
    <t>-LqnSYs1E_xj2Qv3-jlV</t>
  </si>
  <si>
    <t>1570673932651</t>
  </si>
  <si>
    <t>-LqnS_MAhWnZM4VqbeYi</t>
  </si>
  <si>
    <t>1570673938795</t>
  </si>
  <si>
    <t>-LqnSaqGdfmzNc5H8HIn</t>
  </si>
  <si>
    <t>1570673944958</t>
  </si>
  <si>
    <t>-LqnScO9imAL686lhEFa</t>
  </si>
  <si>
    <t>1570673951157</t>
  </si>
  <si>
    <t>-LqnSdtzvh3vGWghf0Sl</t>
  </si>
  <si>
    <t>1570673957386</t>
  </si>
  <si>
    <t>-LqnSfQIr08cvL4dRtz2</t>
  </si>
  <si>
    <t>1570673963548</t>
  </si>
  <si>
    <t>-LqnSgvdtrx39TvR6h8R</t>
  </si>
  <si>
    <t>1570673969756</t>
  </si>
  <si>
    <t>-LqnSiT2FifWwCNXat7k</t>
  </si>
  <si>
    <t>1570673975915</t>
  </si>
  <si>
    <t>-LqnSkCPW1r2gGdUzEWH</t>
  </si>
  <si>
    <t>1570673983119</t>
  </si>
  <si>
    <t>-LqnSmJ7IPX6S4pF4Qw-</t>
  </si>
  <si>
    <t>1570673990320</t>
  </si>
  <si>
    <t>-LqnSnw-Ux8NwzOaFUSj</t>
  </si>
  <si>
    <t>1570673998569</t>
  </si>
  <si>
    <t>-LqnSpWKrrmfqA6JX6Bx</t>
  </si>
  <si>
    <t>1570674004750</t>
  </si>
  <si>
    <t>-LqnSrD2Urp7lyINofDa</t>
  </si>
  <si>
    <t>1570674011929</t>
  </si>
  <si>
    <t>-LqnSsnPFb8KEfKj4vCl</t>
  </si>
  <si>
    <t>1570674018128</t>
  </si>
  <si>
    <t>-LqnSuWHztsYE4tNHV2P</t>
  </si>
  <si>
    <t>1570674025360</t>
  </si>
  <si>
    <t>-LqnSwJFbQ9K43rTlEdm</t>
  </si>
  <si>
    <t>1570674032569</t>
  </si>
  <si>
    <t>-LqnSy00SPnnbWZNFYN2</t>
  </si>
  <si>
    <t>1570674039760</t>
  </si>
  <si>
    <t>-LqnSzpHAcbQ722rv5rP</t>
  </si>
  <si>
    <t>1570674046989</t>
  </si>
  <si>
    <t>-LqnT0WtK-8R5TLcFIG-</t>
  </si>
  <si>
    <t>1570674054218</t>
  </si>
  <si>
    <t>-LqnT26J8A-rxc7Wlab-</t>
  </si>
  <si>
    <t>1570674060359</t>
  </si>
  <si>
    <t>-LqnT3qMaC8g6wxC9b61</t>
  </si>
  <si>
    <t>1570674067610</t>
  </si>
  <si>
    <t>-LqnT5b2Aq2UZ4GztAKo</t>
  </si>
  <si>
    <t>1570674074810</t>
  </si>
  <si>
    <t>-LqnT7LIVZ0sN3NeGSKa</t>
  </si>
  <si>
    <t>1570674081999</t>
  </si>
  <si>
    <t>-LqnT8o28rTzNtoQdAfG</t>
  </si>
  <si>
    <t>1570674088180</t>
  </si>
  <si>
    <t>-LqnTAOQZTItXzJqpxoU</t>
  </si>
  <si>
    <t>1570674094390</t>
  </si>
  <si>
    <t>-LqnTC6ISiYBzoombtcG</t>
  </si>
  <si>
    <t>1570674101610</t>
  </si>
  <si>
    <t>-LqnTDdsObdPe-0Y1xXR</t>
  </si>
  <si>
    <t>1570674107788</t>
  </si>
  <si>
    <t>-LqnTFOFIWz2cq0BorYk</t>
  </si>
  <si>
    <t>1570674114969</t>
  </si>
  <si>
    <t>-LqnTGxsRef2k5zzk2od</t>
  </si>
  <si>
    <t>1570674121161</t>
  </si>
  <si>
    <t>-LqnTIe17Vs-M7IV19VO</t>
  </si>
  <si>
    <t>1570674128398</t>
  </si>
  <si>
    <t>-LqnTKD17Fy8reWeq9kD</t>
  </si>
  <si>
    <t>1570674134580</t>
  </si>
  <si>
    <t>-LqnTLwCvG5frfOCYTdh</t>
  </si>
  <si>
    <t>1570674141790</t>
  </si>
  <si>
    <t>-LqnTNj1dQa9kOO4zRgn</t>
  </si>
  <si>
    <t>1570674149000</t>
  </si>
  <si>
    <t>-LqnTPTFKCQBZ29LTnk_</t>
  </si>
  <si>
    <t>1570674156219</t>
  </si>
  <si>
    <t>-LqnTREsNDqUs6fDq1U5</t>
  </si>
  <si>
    <t>1570674163430</t>
  </si>
  <si>
    <t>-LqnTSzGVbsAono1gLVd</t>
  </si>
  <si>
    <t>1570674170641</t>
  </si>
  <si>
    <t>-LqnTUlBy9yB8Pl5i_Da</t>
  </si>
  <si>
    <t>1570674177848</t>
  </si>
  <si>
    <t>-LqnTWU010xEF9ZLdTyE</t>
  </si>
  <si>
    <t>1570674185050</t>
  </si>
  <si>
    <t>-LqnTY1r7ttmATQ4A9gK</t>
  </si>
  <si>
    <t>1570674191240</t>
  </si>
  <si>
    <t>-LqnTZm8QQZCtiybvieb</t>
  </si>
  <si>
    <t>1570674198458</t>
  </si>
  <si>
    <t>-LqnTa_GCSqcg6B7FFTS</t>
  </si>
  <si>
    <t>1570674205669</t>
  </si>
  <si>
    <t>-LqnTcFlh77eHuQBjOro</t>
  </si>
  <si>
    <t>1570674212889</t>
  </si>
  <si>
    <t>-LqnTe6qrKGpKGrDjBqz</t>
  </si>
  <si>
    <t>1570674219068</t>
  </si>
  <si>
    <t>-LqnTfnU7CYqhBOvnjGU</t>
  </si>
  <si>
    <t>1570674227348</t>
  </si>
  <si>
    <t>-LqnThNsxeUedZ8XbVN8</t>
  </si>
  <si>
    <t>1570674233489</t>
  </si>
  <si>
    <t>-LqnTj4BNSPpPeV6nJAt</t>
  </si>
  <si>
    <t>1570674240720</t>
  </si>
  <si>
    <t>-LqnTk_KP0dbNBiKOFiK</t>
  </si>
  <si>
    <t>1570674246889</t>
  </si>
  <si>
    <t>-LqnTm7B1zmk17hcBCWk</t>
  </si>
  <si>
    <t>1570674253068</t>
  </si>
  <si>
    <t>-LqnTnpgqZe4uSCjLlYx</t>
  </si>
  <si>
    <t>1570674260260</t>
  </si>
  <si>
    <t>-LqnTpQ5B_TLNfrT2sHe</t>
  </si>
  <si>
    <t>1570674266441</t>
  </si>
  <si>
    <t>-LqnTr6sCRVWGnn_zS86</t>
  </si>
  <si>
    <t>1570674273679</t>
  </si>
  <si>
    <t>-LqnTswJmO5ICWcYDxFQ</t>
  </si>
  <si>
    <t>1570674280892</t>
  </si>
  <si>
    <t>-LqnTudB6gyBPh4DphIg</t>
  </si>
  <si>
    <t>1570674288080</t>
  </si>
  <si>
    <t>-LqnTwDHLQCSCSM3Lr8f</t>
  </si>
  <si>
    <t>1570674294279</t>
  </si>
  <si>
    <t>-LqnTxztnJQYsSV1m497</t>
  </si>
  <si>
    <t>1570674301621</t>
  </si>
  <si>
    <t>-LqnTzj7DJNfKA0JXMA1</t>
  </si>
  <si>
    <t>1570674308709</t>
  </si>
  <si>
    <t>-LqnU0QuLV1w_CaVpuuh</t>
  </si>
  <si>
    <t>1570674315975</t>
  </si>
  <si>
    <t>-LqnU2DRJl3LcX89ZK8h</t>
  </si>
  <si>
    <t>1570674323140</t>
  </si>
  <si>
    <t>-LqnU3i34GMfl-w_uvas</t>
  </si>
  <si>
    <t>1570674329319</t>
  </si>
  <si>
    <t>-LqnU5k57yqYWlNVKpZN</t>
  </si>
  <si>
    <t>1570674336529</t>
  </si>
  <si>
    <t>-LqnU7T2eZ52aMNSTdXf</t>
  </si>
  <si>
    <t>1570674344790</t>
  </si>
  <si>
    <t>-LqnU9115G319TLWhKb7</t>
  </si>
  <si>
    <t>1570674350960</t>
  </si>
  <si>
    <t>-LqnUAjtemWkM9xI_K-I</t>
  </si>
  <si>
    <t>1570674358158</t>
  </si>
  <si>
    <t>-LqnUCZKwx3IujOmmbAr</t>
  </si>
  <si>
    <t>1570674365389</t>
  </si>
  <si>
    <t>-LqnUEG3f9Ajr8ZUgfds</t>
  </si>
  <si>
    <t>1570674372570</t>
  </si>
  <si>
    <t>-LqnUFp21V5WkhHrT9CS</t>
  </si>
  <si>
    <t>1570674378759</t>
  </si>
  <si>
    <t>-LqnUHZHp6nGdnsMmXZD</t>
  </si>
  <si>
    <t>1570674386009</t>
  </si>
  <si>
    <t>-LqnUJM7jUvpVeRKhr8q</t>
  </si>
  <si>
    <t>1570674393210</t>
  </si>
  <si>
    <t>-LqnUL4J50xASpJjPPlq</t>
  </si>
  <si>
    <t>1570674400399</t>
  </si>
  <si>
    <t>-LqnUMr2crPBAcdyLXTg</t>
  </si>
  <si>
    <t>1570674407629</t>
  </si>
  <si>
    <t>-LqnUO_2278Z3NNwp6l8</t>
  </si>
  <si>
    <t>1570674414811</t>
  </si>
  <si>
    <t>-LqnUQ99PVxaFzVqVpvQ</t>
  </si>
  <si>
    <t>1570674421019</t>
  </si>
  <si>
    <t>-LqnURqsKGXKI3kniL1N</t>
  </si>
  <si>
    <t>1570674428249</t>
  </si>
  <si>
    <t>-LqnUTf7hQr3umUoo225</t>
  </si>
  <si>
    <t>1570674435448</t>
  </si>
  <si>
    <t>-LqnUVMuApj6-NeATBo0</t>
  </si>
  <si>
    <t>1570674442638</t>
  </si>
  <si>
    <t>-LqnUWwfLKohNlCXeoi_</t>
  </si>
  <si>
    <t>1570674448839</t>
  </si>
  <si>
    <t>-LqnUYyB7rqbIQyuZFP6</t>
  </si>
  <si>
    <t>1570674457409</t>
  </si>
  <si>
    <t>-LqnU_g1r0i_2k348K2l</t>
  </si>
  <si>
    <t>1570674464290</t>
  </si>
  <si>
    <t>-LqnUbRFpmhGDrlPhtVw</t>
  </si>
  <si>
    <t>1570674471539</t>
  </si>
  <si>
    <t>-LqnUcyADEBN1t0Av7DL</t>
  </si>
  <si>
    <t>1570674477689</t>
  </si>
  <si>
    <t>-LqnUegHHhXz236KoLb0</t>
  </si>
  <si>
    <t>1570674484880</t>
  </si>
  <si>
    <t>-LqnUgFEDGRSlnLL1p9n</t>
  </si>
  <si>
    <t>1570674491080</t>
  </si>
  <si>
    <t>-LqnUiNIjNvOK3Ubiztp</t>
  </si>
  <si>
    <t>1570674498290</t>
  </si>
  <si>
    <t>-LqnUk0GdG4uCKdT4IWm</t>
  </si>
  <si>
    <t>1570674506538</t>
  </si>
  <si>
    <t>-LqnUliBhwvsERH7llF7</t>
  </si>
  <si>
    <t>1570674513750</t>
  </si>
  <si>
    <t>-LqnUnIHFX1m7HBI14qG</t>
  </si>
  <si>
    <t>1570674519929</t>
  </si>
  <si>
    <t>-LqnUp09jS5dVoo2VFUU</t>
  </si>
  <si>
    <t>1570674527119</t>
  </si>
  <si>
    <t>-LqnUq_8ulYiVQmlo9Ei</t>
  </si>
  <si>
    <t>1570674533319</t>
  </si>
  <si>
    <t>-LqnUsa9ZkSw1_fXSl2D</t>
  </si>
  <si>
    <t>1570674541743</t>
  </si>
  <si>
    <t>-LqnUuJcYc_xjhBkB2yH</t>
  </si>
  <si>
    <t>1570674548789</t>
  </si>
  <si>
    <t>-LqnUw2GZAga8G4oYNzL</t>
  </si>
  <si>
    <t>1570674555991</t>
  </si>
  <si>
    <t>-LqnUxa-_bPYggX26VOQ</t>
  </si>
  <si>
    <t>1570674562180</t>
  </si>
  <si>
    <t>-LqnUz41Y325sniYoFNb</t>
  </si>
  <si>
    <t>1570674568362</t>
  </si>
  <si>
    <t>-LqnV-tKnXQfXUN5tKhS</t>
  </si>
  <si>
    <t>1570674575570</t>
  </si>
  <si>
    <t>-LqnV1bIFQeEuwLktMyU</t>
  </si>
  <si>
    <t>1570674582810</t>
  </si>
  <si>
    <t>-LqnV3O12ndHOCHtBk7R</t>
  </si>
  <si>
    <t>1570674590000</t>
  </si>
  <si>
    <t>-LqnV562P-H7ZNrIItdG</t>
  </si>
  <si>
    <t>1570674597211</t>
  </si>
  <si>
    <t>-LqnV6gHwB9RVsodQVfL</t>
  </si>
  <si>
    <t>1570674603390</t>
  </si>
  <si>
    <t>-LqnV8O1pr4yvC2keEGG</t>
  </si>
  <si>
    <t>1570674610689</t>
  </si>
  <si>
    <t>-LqnVAB1lLgSiJVD2OBn</t>
  </si>
  <si>
    <t>1570674617819</t>
  </si>
  <si>
    <t>-LqnVBvHiuPZOT_x6EAs</t>
  </si>
  <si>
    <t>1570674625031</t>
  </si>
  <si>
    <t>-LqnVDh0MiAeHH1DJM7n</t>
  </si>
  <si>
    <t>1570674632241</t>
  </si>
  <si>
    <t>-LqnVFRHPM8XafWoxIL4</t>
  </si>
  <si>
    <t>1570674639440</t>
  </si>
  <si>
    <t>-LqnVH-GBL9voVOrebbj</t>
  </si>
  <si>
    <t>1570674645630</t>
  </si>
  <si>
    <t>-LqnVIh1-_IZRUa12hRE</t>
  </si>
  <si>
    <t>1570674652850</t>
  </si>
  <si>
    <t>-LqnVKWTeE0NFoZq_rqQ</t>
  </si>
  <si>
    <t>1570674660060</t>
  </si>
  <si>
    <t>-LqnVMEH6y70qMcUh12m</t>
  </si>
  <si>
    <t>1570674667290</t>
  </si>
  <si>
    <t>-LqnVO1G25scgg5_A4OX</t>
  </si>
  <si>
    <t>1570674674489</t>
  </si>
  <si>
    <t>-LqnVPj2qfyDoMeQMwcH</t>
  </si>
  <si>
    <t>1570674681680</t>
  </si>
  <si>
    <t>-LqnVRrAJofS78CvS0mc</t>
  </si>
  <si>
    <t>1570674688909</t>
  </si>
  <si>
    <t>-LqnVTVC6Z4rX7qDu-sE</t>
  </si>
  <si>
    <t>1570674697151</t>
  </si>
  <si>
    <t>-LqnVV3JEGDHBlBE4meV</t>
  </si>
  <si>
    <t>1570674703330</t>
  </si>
  <si>
    <t>-LqnVWmKW1MwrCYUZXcC</t>
  </si>
  <si>
    <t>1570674710552</t>
  </si>
  <si>
    <t>-LqnVYK4tFWLgUNkY6x0</t>
  </si>
  <si>
    <t>1570674716730</t>
  </si>
  <si>
    <t>-LqnV_3ImmljPIUWEFSr</t>
  </si>
  <si>
    <t>1570674723920</t>
  </si>
  <si>
    <t>-LqnVarQq2dDUupKwCzm</t>
  </si>
  <si>
    <t>1570674731150</t>
  </si>
  <si>
    <t>-LqnVcZ2C0ClpPmnB2dJ</t>
  </si>
  <si>
    <t>1570674738338</t>
  </si>
  <si>
    <t>-LqnVe729ofLrxTb9jVX</t>
  </si>
  <si>
    <t>1570674744540</t>
  </si>
  <si>
    <t>-LqnVfq3je6zyQUUjv5E</t>
  </si>
  <si>
    <t>1570674751771</t>
  </si>
  <si>
    <t>-LqnVhd08wzOaPq8QyWm</t>
  </si>
  <si>
    <t>1570674758971</t>
  </si>
  <si>
    <t>-LqnVjOaLpqr3ZgTaY0Q</t>
  </si>
  <si>
    <t>1570674766160</t>
  </si>
  <si>
    <t>-LqnVkrHNqKlnyzvtX7t</t>
  </si>
  <si>
    <t>1570674772329</t>
  </si>
  <si>
    <t>-LqnVmQID5qWyR8MUHYQ</t>
  </si>
  <si>
    <t>1570674778549</t>
  </si>
  <si>
    <t>-LqnVo73FG3NQE0LPWxU</t>
  </si>
  <si>
    <t>1570674785760</t>
  </si>
  <si>
    <t>-LqnVpg3npLWBjXhgMZf</t>
  </si>
  <si>
    <t>1570674791941</t>
  </si>
  <si>
    <t>-LqnVrP3dKeSjPvtk31N</t>
  </si>
  <si>
    <t>1570674799134</t>
  </si>
  <si>
    <t>-LqnVtKNv9Ug-ZZiwMFf</t>
  </si>
  <si>
    <t>1570674806371</t>
  </si>
  <si>
    <t>-LqnVuv0LVRMl8qISIqt</t>
  </si>
  <si>
    <t>1570674813591</t>
  </si>
  <si>
    <t>-LqnVwV8FnS1yr-vCM2P</t>
  </si>
  <si>
    <t>1570674819760</t>
  </si>
  <si>
    <t>-LqnVyCA5WYD0nHopaNH</t>
  </si>
  <si>
    <t>1570674826961</t>
  </si>
  <si>
    <t>-LqnW--39eUsuxd8JS0S</t>
  </si>
  <si>
    <t>1570674834190</t>
  </si>
  <si>
    <t>-LqnW0jIQisPhXLS6RyL</t>
  </si>
  <si>
    <t>1570674841372</t>
  </si>
  <si>
    <t>-LqnW2IIgQ548FACFlOY</t>
  </si>
  <si>
    <t>1570674847581</t>
  </si>
  <si>
    <t>-LqnW4-3ab0DW2vK71gg</t>
  </si>
  <si>
    <t>1570674854801</t>
  </si>
  <si>
    <t>-LqnW5oHinfxBZpSbT0j</t>
  </si>
  <si>
    <t>1570674862011</t>
  </si>
  <si>
    <t>-LqnW7X7J_6ToKSdjA_V</t>
  </si>
  <si>
    <t>1570674869199</t>
  </si>
  <si>
    <t>-LqnW9KIrf2XHBFlV-ec</t>
  </si>
  <si>
    <t>1570674876430</t>
  </si>
  <si>
    <t>-LqnWB13HeuqnOt6k8uV</t>
  </si>
  <si>
    <t>1570674883622</t>
  </si>
  <si>
    <t>-LqnWCbHYileMnKZiusb</t>
  </si>
  <si>
    <t>1570674889821</t>
  </si>
  <si>
    <t>-LqnWEJ7ByP7EvIgUyiw</t>
  </si>
  <si>
    <t>1570674897051</t>
  </si>
  <si>
    <t>-LqnWG626eIzqj0MBVg6</t>
  </si>
  <si>
    <t>1570674904251</t>
  </si>
  <si>
    <t>-LqnWHbHYzv2i1_xOP04</t>
  </si>
  <si>
    <t>1570674910432</t>
  </si>
  <si>
    <t>-LqnWKGxtQnpUyBOTAqq</t>
  </si>
  <si>
    <t>1570674919935</t>
  </si>
  <si>
    <t>-LqnWLuJThJ78utKXEsW</t>
  </si>
  <si>
    <t>1570674927953</t>
  </si>
  <si>
    <t>-LqnWNgFPtGhcvQTZ17w</t>
  </si>
  <si>
    <t>1570674935299</t>
  </si>
  <si>
    <t>-LqnWPQK89ft5qJxFSXk</t>
  </si>
  <si>
    <t>1570674942374</t>
  </si>
  <si>
    <t>-LqnWR8CR2TUavxnso-6</t>
  </si>
  <si>
    <t>1570674949594</t>
  </si>
  <si>
    <t>-LqnWShJJ9Ivb8GBG96b</t>
  </si>
  <si>
    <t>1570674955774</t>
  </si>
  <si>
    <t>-LqnWUQJWJMCxuR5zdbw</t>
  </si>
  <si>
    <t>1570674962963</t>
  </si>
  <si>
    <t>-LqnWVzSh5KG2bsQf-dA</t>
  </si>
  <si>
    <t>1570674969163</t>
  </si>
  <si>
    <t>-LqnWXhW3bZCQbkyCutC</t>
  </si>
  <si>
    <t>1570674976384</t>
  </si>
  <si>
    <t>-LqnWZVJO1jH-cn-NRrW</t>
  </si>
  <si>
    <t>1570674983594</t>
  </si>
  <si>
    <t>-LqnWaDC7a3oMw9awyal</t>
  </si>
  <si>
    <t>1570674990814</t>
  </si>
  <si>
    <t>-LqnWc-gCN94DjcSuiya</t>
  </si>
  <si>
    <t>1570674998022</t>
  </si>
  <si>
    <t>-LqnWdjKtPP8a-BaXf93</t>
  </si>
  <si>
    <t>1570675005214</t>
  </si>
  <si>
    <t>-LqnWfIL7fl18IpTHK65</t>
  </si>
  <si>
    <t>1570675011402</t>
  </si>
  <si>
    <t>-LqnWh1R3pnUHxI6PORV</t>
  </si>
  <si>
    <t>1570675018652</t>
  </si>
  <si>
    <t>-LqnWioJbKrr0iBtsend</t>
  </si>
  <si>
    <t>1570675025842</t>
  </si>
  <si>
    <t>-LqnWkXKpbOjMfw5YGB-</t>
  </si>
  <si>
    <t>1570675033044</t>
  </si>
  <si>
    <t>-LqnWmKMN1FUf1vVELNP</t>
  </si>
  <si>
    <t>1570675040273</t>
  </si>
  <si>
    <t>-LqnWo2DGSJhfv4QDyIk</t>
  </si>
  <si>
    <t>1570675047460</t>
  </si>
  <si>
    <t>-LqnWplCo2vDqG87OtiU</t>
  </si>
  <si>
    <t>1570675053663</t>
  </si>
  <si>
    <t>-LqnWrKKQq5nD6OPX7ef</t>
  </si>
  <si>
    <t>1570675060883</t>
  </si>
  <si>
    <t>-LqnWt7LHeeZyEDBo-ac</t>
  </si>
  <si>
    <t>1570675068083</t>
  </si>
  <si>
    <t>-LqnWuqMMFVcKg7TLrS7</t>
  </si>
  <si>
    <t>1570675075283</t>
  </si>
  <si>
    <t>-LqnWwPLt0tn354Pe07V</t>
  </si>
  <si>
    <t>1570675081482</t>
  </si>
  <si>
    <t>-LqnWy7JUR_ZPkTOUApN</t>
  </si>
  <si>
    <t>1570675088704</t>
  </si>
  <si>
    <t>-LqnWzvL0r7ScoYOhsNA</t>
  </si>
  <si>
    <t>1570675095912</t>
  </si>
  <si>
    <t>-LqnX0dSw-XoCP1iuyE8</t>
  </si>
  <si>
    <t>1570675103133</t>
  </si>
  <si>
    <t>-LqnX2RKUBkxrbhwVmcI</t>
  </si>
  <si>
    <t>1570675110333</t>
  </si>
  <si>
    <t>-LqnX49JsJxaj0G_4C18</t>
  </si>
  <si>
    <t>1570675117523</t>
  </si>
  <si>
    <t>-LqnX5iK1OFn_kVYpg-4</t>
  </si>
  <si>
    <t>1570675123723</t>
  </si>
  <si>
    <t>-LqnX7SRPEBAzlGGV8Gd</t>
  </si>
  <si>
    <t>1570675130942</t>
  </si>
  <si>
    <t>-LqnX9JZGoEKPZgycIVR</t>
  </si>
  <si>
    <t>1570675138162</t>
  </si>
  <si>
    <t>-LqnXAxLUOYReMs_sEVe</t>
  </si>
  <si>
    <t>1570675145367</t>
  </si>
  <si>
    <t>-LqnXCkKQq9GkvMRXjEk</t>
  </si>
  <si>
    <t>1570675152583</t>
  </si>
  <si>
    <t>-LqnXEmKEZRQQHpjhQhK</t>
  </si>
  <si>
    <t>1570675161053</t>
  </si>
  <si>
    <t>-LqnXGVKp3u2GwmrbTF7</t>
  </si>
  <si>
    <t>1570675168034</t>
  </si>
  <si>
    <t>-LqnXIIKdNrBlBHUJTqT</t>
  </si>
  <si>
    <t>1570675175254</t>
  </si>
  <si>
    <t>-LqnXK0L-Arcdr8wVIEG</t>
  </si>
  <si>
    <t>1570675182466</t>
  </si>
  <si>
    <t>-LqnXLoPWVHw5wSNAn6a</t>
  </si>
  <si>
    <t>1570675189677</t>
  </si>
  <si>
    <t>-LqnXNXLLaxQFcyANKLc</t>
  </si>
  <si>
    <t>1570675196883</t>
  </si>
  <si>
    <t>-LqnXPKLidHQ_cMMfZfn</t>
  </si>
  <si>
    <t>1570675204094</t>
  </si>
  <si>
    <t>-LqnXR2_mtkBe_1NiJzT</t>
  </si>
  <si>
    <t>1570675211284</t>
  </si>
  <si>
    <t>-LqnXSbDhGgznMy8RTLD</t>
  </si>
  <si>
    <t>1570675217484</t>
  </si>
  <si>
    <t>-LqnXUJ5zhUp-Hf3eVHh</t>
  </si>
  <si>
    <t>1570675224704</t>
  </si>
  <si>
    <t>-LqnXW5dtAY7JR0yujxM</t>
  </si>
  <si>
    <t>1570675231913</t>
  </si>
  <si>
    <t>-LqnXXqL7-o18qHX-znl</t>
  </si>
  <si>
    <t>1570675239126</t>
  </si>
  <si>
    <t>-LqnXZdJGusOj-6UC08d</t>
  </si>
  <si>
    <t>1570675246343</t>
  </si>
  <si>
    <t>-LqnXaML4-MN-WfU4Bjf</t>
  </si>
  <si>
    <t>1570675253542</t>
  </si>
  <si>
    <t>-LqnXbvXA2ONkhsDUhU5</t>
  </si>
  <si>
    <t>1570675259714</t>
  </si>
  <si>
    <t>-LqnXddLM7w1U9vkFz6U</t>
  </si>
  <si>
    <t>1570675266974</t>
  </si>
  <si>
    <t>-LqnXfRKSwEq34I3EVL3</t>
  </si>
  <si>
    <t>1570675274162</t>
  </si>
  <si>
    <t>-LqnXh9K7-G3CdeIMvJ6</t>
  </si>
  <si>
    <t>1570675281363</t>
  </si>
  <si>
    <t>-LqnXixXu6zibRwUPi12</t>
  </si>
  <si>
    <t>1570675288594</t>
  </si>
  <si>
    <t>-LqnXkfKpGZ14uqjvbkW</t>
  </si>
  <si>
    <t>1570675295773</t>
  </si>
  <si>
    <t>-LqnXmELcdl-rQSHhurk</t>
  </si>
  <si>
    <t>1570675301964</t>
  </si>
  <si>
    <t>-LqnXnxz_4me2uCNJZ5e</t>
  </si>
  <si>
    <t>1570675309203</t>
  </si>
  <si>
    <t>-LqnXpkKMxqvaF4n1mtZ</t>
  </si>
  <si>
    <t>1570675316420</t>
  </si>
  <si>
    <t>-LqnXrTLYCIrYb1ifaV6</t>
  </si>
  <si>
    <t>1570675323603</t>
  </si>
  <si>
    <t>-LqnXt6CygD97lGZfEkV</t>
  </si>
  <si>
    <t>1570675330291</t>
  </si>
  <si>
    <t>-LqnXulSJGR9N9eTxXrQ</t>
  </si>
  <si>
    <t>1570675337014</t>
  </si>
  <si>
    <t>-LqnXwEerZcEY-2-t5aZ</t>
  </si>
  <si>
    <t>1570675343194</t>
  </si>
  <si>
    <t>-LqnXxmGigZp60LY2XHL</t>
  </si>
  <si>
    <t>1570675349385</t>
  </si>
  <si>
    <t>-LqnXzWEYIP10QLjfd1P</t>
  </si>
  <si>
    <t>1570675356575</t>
  </si>
  <si>
    <t>-LqnY04K2EVMW50qHZbZ</t>
  </si>
  <si>
    <t>1570675362774</t>
  </si>
  <si>
    <t>-LqnY1nDNz8CWo_NOapa</t>
  </si>
  <si>
    <t>1570675370002</t>
  </si>
  <si>
    <t>-LqnY3aKhLTyevYB5nJB</t>
  </si>
  <si>
    <t>1570675377205</t>
  </si>
  <si>
    <t>-LqnY5JMn9R2gPMx5YY-</t>
  </si>
  <si>
    <t>1570675384403</t>
  </si>
  <si>
    <t>-LqnY7QDtkmMwNbtnozT</t>
  </si>
  <si>
    <t>1570675391624</t>
  </si>
  <si>
    <t>-LqnY96ye9-sYXzVy9FO</t>
  </si>
  <si>
    <t>1570675399863</t>
  </si>
  <si>
    <t>-LqnYArII3yjgwCT8khH</t>
  </si>
  <si>
    <t>1570675407082</t>
  </si>
  <si>
    <t>-LqnYCdF2MTw0v2kMJeq</t>
  </si>
  <si>
    <t>1570675414291</t>
  </si>
  <si>
    <t>-LqnYENPvYgcPlxgk8EY</t>
  </si>
  <si>
    <t>1570675421503</t>
  </si>
  <si>
    <t>-LqnYGAJ7GLhUZTkR7Q9</t>
  </si>
  <si>
    <t>1570675428713</t>
  </si>
  <si>
    <t>-LqnYHs4xy6rkhwN11az</t>
  </si>
  <si>
    <t>1570675435933</t>
  </si>
  <si>
    <t>-LqnYJgC4nhc0VhUHw6L</t>
  </si>
  <si>
    <t>1570675443143</t>
  </si>
  <si>
    <t>-LqnYLY_NSYFxeS3FFEx</t>
  </si>
  <si>
    <t>1570675450333</t>
  </si>
  <si>
    <t>-LqnYNCMhWHBOdQmu_Xx</t>
  </si>
  <si>
    <t>1570675457573</t>
  </si>
  <si>
    <t>-LqnYOvUoULzVBxRNExF</t>
  </si>
  <si>
    <t>1570675464793</t>
  </si>
  <si>
    <t>-LqnYQUCglUTOdT2xnVv</t>
  </si>
  <si>
    <t>1570675470963</t>
  </si>
  <si>
    <t>-LqnYSB3zudUbEj4zUQt</t>
  </si>
  <si>
    <t>1570675478166</t>
  </si>
  <si>
    <t>-LqnYU-IWxxiWXqBF5Pb</t>
  </si>
  <si>
    <t>1570675485393</t>
  </si>
  <si>
    <t>-LqnYVhEoGdehs8l-zf9</t>
  </si>
  <si>
    <t>1570675492648</t>
  </si>
  <si>
    <t>-LqnYXUwUVW_KAji20tA</t>
  </si>
  <si>
    <t>1570675499812</t>
  </si>
  <si>
    <t>-LqnYZES46kfmxq0YfCA</t>
  </si>
  <si>
    <t>1570675507043</t>
  </si>
  <si>
    <t>-LqnY_m28RTyfDx0FjCf</t>
  </si>
  <si>
    <t>1570675513212</t>
  </si>
  <si>
    <t>-LqnYbV3Axofz0nCOJva</t>
  </si>
  <si>
    <t>1570675520403</t>
  </si>
  <si>
    <t>-LqnYd32a6Rv889dRcxy</t>
  </si>
  <si>
    <t>1570675526603</t>
  </si>
  <si>
    <t>-LqnYenJ_CNBIpxpCenB</t>
  </si>
  <si>
    <t>1570675533811</t>
  </si>
  <si>
    <t>-LqnYg_4wqXbi4XPhdqt</t>
  </si>
  <si>
    <t>1570675541033</t>
  </si>
  <si>
    <t>-LqnYiJJO2BwVkVUsbvv</t>
  </si>
  <si>
    <t>1570675548253</t>
  </si>
  <si>
    <t>-LqnYk61zYPW4hodiSdm</t>
  </si>
  <si>
    <t>1570675555460</t>
  </si>
  <si>
    <t>-LqnYlo3P_UkIFWznbet</t>
  </si>
  <si>
    <t>1570675562643</t>
  </si>
  <si>
    <t>-LqnYnN2jOJSVogGhpV9</t>
  </si>
  <si>
    <t>1570675568849</t>
  </si>
  <si>
    <t>-LqnYp53jHTAY-f9HKH_</t>
  </si>
  <si>
    <t>1570675576063</t>
  </si>
  <si>
    <t>-LqnYqt2-JB4hmAmJij9</t>
  </si>
  <si>
    <t>1570675583271</t>
  </si>
  <si>
    <t>-LqnYsb2MUAsXfpxUaCp</t>
  </si>
  <si>
    <t>1570675590490</t>
  </si>
  <si>
    <t>-LqnYuQIhKcvA4I6LSUQ</t>
  </si>
  <si>
    <t>1570675597692</t>
  </si>
  <si>
    <t>-LqnYw7M_w5NH4Z7h27N</t>
  </si>
  <si>
    <t>1570675604903</t>
  </si>
  <si>
    <t>-LqnYxg6YOUgB4s5V34H</t>
  </si>
  <si>
    <t>1570675611082</t>
  </si>
  <si>
    <t>-LqnYzP4W_3MBgku1gME</t>
  </si>
  <si>
    <t>1570675618331</t>
  </si>
  <si>
    <t>-LqnZ0Sn-HJO_CFMEI2i</t>
  </si>
  <si>
    <t>1570675625523</t>
  </si>
  <si>
    <t>-LqnZ292nRJhwlbXHyn4</t>
  </si>
  <si>
    <t>1570675633761</t>
  </si>
  <si>
    <t>-LqnZ3jHHq87n8lTJPa0</t>
  </si>
  <si>
    <t>1570675639939</t>
  </si>
  <si>
    <t>-LqnZ5Re_Y_sMjdMeAmV</t>
  </si>
  <si>
    <t>1570675647130</t>
  </si>
  <si>
    <t>-LqnZ7BEgMxwvmIM1p60</t>
  </si>
  <si>
    <t>1570675653320</t>
  </si>
  <si>
    <t>-LqnZ8jM1B9AaxaIUFHI</t>
  </si>
  <si>
    <t>1570675660563</t>
  </si>
  <si>
    <t>-LqnZAW3tB4UuP43KMPF</t>
  </si>
  <si>
    <t>1570675667760</t>
  </si>
  <si>
    <t>-LqnZCE25wNJehlFkQ18</t>
  </si>
  <si>
    <t>1570675674970</t>
  </si>
  <si>
    <t>-LqnZDp57ixV-VA6Hjcs</t>
  </si>
  <si>
    <t>1570675681161</t>
  </si>
  <si>
    <t>-LqnZFWDuBSa3bZAXDLa</t>
  </si>
  <si>
    <t>1570675688372</t>
  </si>
  <si>
    <t>-LqnZHNXICsfaq_ltLB5</t>
  </si>
  <si>
    <t>1570675695591</t>
  </si>
  <si>
    <t>-LqnZJ147T8akyBNFU3o</t>
  </si>
  <si>
    <t>1570675702804</t>
  </si>
  <si>
    <t>-LqnZKp5osb7YiDVf-oA</t>
  </si>
  <si>
    <t>1570675710013</t>
  </si>
  <si>
    <t>-LqnZMY5qxR9bKuHfX2o</t>
  </si>
  <si>
    <t>1570675717205</t>
  </si>
  <si>
    <t>-LqnZO6408RFByZZFqap</t>
  </si>
  <si>
    <t>1570675723404</t>
  </si>
  <si>
    <t>-LqnZPpGrVsMNg5tOccy</t>
  </si>
  <si>
    <t>1570675730624</t>
  </si>
  <si>
    <t>-LqnZRdLLQvechoTfC4y</t>
  </si>
  <si>
    <t>1570675737834</t>
  </si>
  <si>
    <t>-LqnZTMLuTzzK7GB0-IS</t>
  </si>
  <si>
    <t>1570675745044</t>
  </si>
  <si>
    <t>-LqnZV9FO2CGuYZK3eqg</t>
  </si>
  <si>
    <t>1570675752265</t>
  </si>
  <si>
    <t>-LqnZWs1zYiXeAz9di5D</t>
  </si>
  <si>
    <t>1570675759453</t>
  </si>
  <si>
    <t>-LqnZYSJaCgZ0GF_0IDd</t>
  </si>
  <si>
    <t>1570675765621</t>
  </si>
  <si>
    <t>-LqnZ_8GsE_goJou9lus</t>
  </si>
  <si>
    <t>1570675772865</t>
  </si>
  <si>
    <t>-LqnZaxTlccpyG0ExOJj</t>
  </si>
  <si>
    <t>1570675780083</t>
  </si>
  <si>
    <t>-LqnZccyxoSitvgN53Jq</t>
  </si>
  <si>
    <t>1570675787285</t>
  </si>
  <si>
    <t>-LqnZeSCfYsUqlFBfwUl</t>
  </si>
  <si>
    <t>1570675794514</t>
  </si>
  <si>
    <t>-LqnZgA8WiZ4uEyI8oS_</t>
  </si>
  <si>
    <t>1570675801693</t>
  </si>
  <si>
    <t>-LqnZhkMm83IpLfSr9aU</t>
  </si>
  <si>
    <t>1570675807884</t>
  </si>
  <si>
    <t>-LqnZjSG3uRW-YCOvbna</t>
  </si>
  <si>
    <t>1570675815143</t>
  </si>
  <si>
    <t>-LqnZlGK353uk22W1Yfu</t>
  </si>
  <si>
    <t>1570675822369</t>
  </si>
  <si>
    <t>-LqnZmy46swKGby87gD3</t>
  </si>
  <si>
    <t>1570675829524</t>
  </si>
  <si>
    <t>-LqnZoYLQgAjiyGNDnyr</t>
  </si>
  <si>
    <t>1570675835724</t>
  </si>
  <si>
    <t>-LqnZqGL8pRONErPAPc9</t>
  </si>
  <si>
    <t>1570675842933</t>
  </si>
  <si>
    <t>-LqnZs3Nk_4Pu8nwQYNf</t>
  </si>
  <si>
    <t>1570675850145</t>
  </si>
  <si>
    <t>-LqnZtwC8icvaIrffh1y</t>
  </si>
  <si>
    <t>1570675857383</t>
  </si>
  <si>
    <t>-LqnZvrzsQ4VI62iCQ-8</t>
  </si>
  <si>
    <t>1570675866062</t>
  </si>
  <si>
    <t>-LqnZxXNqBBixELq6xG6</t>
  </si>
  <si>
    <t>1570675872815</t>
  </si>
  <si>
    <t>-LqnZz5LYr6pTnN3ARtp</t>
  </si>
  <si>
    <t>1570675878995</t>
  </si>
  <si>
    <t>-Lqn_-mxUNzcKpoQVkox</t>
  </si>
  <si>
    <t>1570675886184</t>
  </si>
  <si>
    <t>-Lqn_1IEhEtyD7rtVXH8</t>
  </si>
  <si>
    <t>1570675892364</t>
  </si>
  <si>
    <t>-Lqn_36K_8-Ng9k5-4hW</t>
  </si>
  <si>
    <t>1570675898575</t>
  </si>
  <si>
    <t>-Lqn_4tNwb4lNq-XBOlQ</t>
  </si>
  <si>
    <t>1570675906817</t>
  </si>
  <si>
    <t>-Lqn_6bLqJi8gxPbziMw</t>
  </si>
  <si>
    <t>1570675914004</t>
  </si>
  <si>
    <t>-Lqn_895Wlv78IczaEgq</t>
  </si>
  <si>
    <t>1570675920204</t>
  </si>
  <si>
    <t>-Lqn_9s6iJ7q6cHHYTDG</t>
  </si>
  <si>
    <t>1570675927425</t>
  </si>
  <si>
    <t>-Lqn_BhbIiT2PMerhke8</t>
  </si>
  <si>
    <t>1570675934634</t>
  </si>
  <si>
    <t>-Lqn_DPUTi4WA-FM4_nw</t>
  </si>
  <si>
    <t>1570675941846</t>
  </si>
  <si>
    <t>-Lqn_FAyKeghFjoSlpp6</t>
  </si>
  <si>
    <t>1570675949072</t>
  </si>
  <si>
    <t>-Lqn_GvMmMlmqHQHhc2I</t>
  </si>
  <si>
    <t>1570675956245</t>
  </si>
  <si>
    <t>-Lqn_IT4fu38RpuRRmeb</t>
  </si>
  <si>
    <t>1570675962446</t>
  </si>
  <si>
    <t>-Lqn_KB4a-4dqjU-_1u-</t>
  </si>
  <si>
    <t>1570675969665</t>
  </si>
  <si>
    <t>-Lqn_M-NPFzsKh6w5NkP</t>
  </si>
  <si>
    <t>1570675976874</t>
  </si>
  <si>
    <t>-Lqn_NhjeZhu6TtyhPe9</t>
  </si>
  <si>
    <t>1570675984094</t>
  </si>
  <si>
    <t>-Lqn_PUzMAnRsM-AUg47</t>
  </si>
  <si>
    <t>1570675991305</t>
  </si>
  <si>
    <t>-Lqn_RD6czyK4rR__RaB</t>
  </si>
  <si>
    <t>1570675998495</t>
  </si>
  <si>
    <t>-Lqn_SmE6vws0FFGTfXV</t>
  </si>
  <si>
    <t>1570676004676</t>
  </si>
  <si>
    <t>-Lqn_UV6T7VotPeFjBZj</t>
  </si>
  <si>
    <t>1570676011925</t>
  </si>
  <si>
    <t>-Lqn_WJM1bcDBUudhGgL</t>
  </si>
  <si>
    <t>1570676019125</t>
  </si>
  <si>
    <t>-Lqn_Y0Ar-2VLFux-NQQ</t>
  </si>
  <si>
    <t>1570676026324</t>
  </si>
  <si>
    <t>-Lqn_ZpDVib16z5Rk3Pj</t>
  </si>
  <si>
    <t>1570676033555</t>
  </si>
  <si>
    <t>-Lqn_aX56BINshDoidvB</t>
  </si>
  <si>
    <t>1570676040736</t>
  </si>
  <si>
    <t>-Lqn_c6L9PhP2j1FCgpd</t>
  </si>
  <si>
    <t>1570676046923</t>
  </si>
  <si>
    <t>-Lqn_dpMC7-U-LdUULRC</t>
  </si>
  <si>
    <t>1570676054164</t>
  </si>
  <si>
    <t>-Lqn_fb5ivkanTe1S7Nl</t>
  </si>
  <si>
    <t>1570676061375</t>
  </si>
  <si>
    <t>-Lqn_hLOEE97HLeoGO35</t>
  </si>
  <si>
    <t>1570676068564</t>
  </si>
  <si>
    <t>-Lqn_ipL3HVtooDiHnWw</t>
  </si>
  <si>
    <t>1570676074735</t>
  </si>
  <si>
    <t>-Lqn_kOLCajGHaBka6Iw</t>
  </si>
  <si>
    <t>1570676080944</t>
  </si>
  <si>
    <t>-Lqn_m56qtbdfk70aPLQ</t>
  </si>
  <si>
    <t>1570676088164</t>
  </si>
  <si>
    <t>-Lqn_nzD5pq3f5HlSdp4</t>
  </si>
  <si>
    <t>1570676094344</t>
  </si>
  <si>
    <t>-Lqn_pfyqk5DUxVqXyUQ</t>
  </si>
  <si>
    <t>1570676102595</t>
  </si>
  <si>
    <t>-Lqn_rP6wo8KvSvhL21g</t>
  </si>
  <si>
    <t>1570676109794</t>
  </si>
  <si>
    <t>-Lqn_tCIht8BQZXncAoV</t>
  </si>
  <si>
    <t>1570676117013</t>
  </si>
  <si>
    <t>-Lqn_uwLrjozSIQLWXL8</t>
  </si>
  <si>
    <t>1570676124225</t>
  </si>
  <si>
    <t>-Lqn_wi4jW2H463Ey3aa</t>
  </si>
  <si>
    <t>1570676131435</t>
  </si>
  <si>
    <t>-Lqn_yRJ-uyFyuFU3h8w</t>
  </si>
  <si>
    <t>1570676138645</t>
  </si>
  <si>
    <t>-Lqna-EI6DeV77mMaQIT</t>
  </si>
  <si>
    <t>1570676145865</t>
  </si>
  <si>
    <t>-Lqna0yM0Bbc-56825A6</t>
  </si>
  <si>
    <t>1570676153056</t>
  </si>
  <si>
    <t>-Lqna2W6qVYCssXN9H8J</t>
  </si>
  <si>
    <t>1570676159243</t>
  </si>
  <si>
    <t>-Lqna4UMeFgDZv7ALUeS</t>
  </si>
  <si>
    <t>1570676166496</t>
  </si>
  <si>
    <t>-Lqna61QrzCNmLsLa6dB</t>
  </si>
  <si>
    <t>1570676173685</t>
  </si>
  <si>
    <t>-Lqna7lMx7p_FYIerDro</t>
  </si>
  <si>
    <t>1570676180895</t>
  </si>
  <si>
    <t>-Lqna9ZLDvk4H9nosEXT</t>
  </si>
  <si>
    <t>1570676188104</t>
  </si>
  <si>
    <t>-LqnaBG6ZfIkis7bNIFe</t>
  </si>
  <si>
    <t>1570676195303</t>
  </si>
  <si>
    <t>-LqnaCp6mo8yglD_B4zN</t>
  </si>
  <si>
    <t>1570676201474</t>
  </si>
  <si>
    <t>-LqnaEYhIRYFpfEtLL4C</t>
  </si>
  <si>
    <t>1570676208733</t>
  </si>
  <si>
    <t>-LqnaGL4h3s9FyDJOMtY</t>
  </si>
  <si>
    <t>1570676215924</t>
  </si>
  <si>
    <t>-LqnaI35Gu6JUQ-UeoBS</t>
  </si>
  <si>
    <t>1570676223125</t>
  </si>
  <si>
    <t>-LqnaJszN57E72Rd-7O3</t>
  </si>
  <si>
    <t>1570676230353</t>
  </si>
  <si>
    <t>-LqnaL_I0tc1n8mjD9N3</t>
  </si>
  <si>
    <t>1570676237534</t>
  </si>
  <si>
    <t>-LqnaN844itrb1-5aQ23</t>
  </si>
  <si>
    <t>1570676243724</t>
  </si>
  <si>
    <t>-LqnaOq261DikoKyr7Ez</t>
  </si>
  <si>
    <t>1570676250965</t>
  </si>
  <si>
    <t>-LqnaQe72C2Ex_1gbgbA</t>
  </si>
  <si>
    <t>1570676258175</t>
  </si>
  <si>
    <t>-LqnaSN4EQB-DbFHuoe3</t>
  </si>
  <si>
    <t>1570676265363</t>
  </si>
  <si>
    <t>-LqnaTxMkztmCO65Kz6L</t>
  </si>
  <si>
    <t>1570676271564</t>
  </si>
  <si>
    <t>-LqnaVe6Nvmt5yIaSzCu</t>
  </si>
  <si>
    <t>1570676278775</t>
  </si>
  <si>
    <t>-LqnaXONonwF-J-CKZKt</t>
  </si>
  <si>
    <t>1570676285995</t>
  </si>
  <si>
    <t>-LqnaYw5XGgqSuzuBvQj</t>
  </si>
  <si>
    <t>1570676292173</t>
  </si>
  <si>
    <t>-Lqna_kDIA9S_xLNKro2</t>
  </si>
  <si>
    <t>1570676299385</t>
  </si>
  <si>
    <t>-LqnabTKuQCoVEnVh-TR</t>
  </si>
  <si>
    <t>1570676306593</t>
  </si>
  <si>
    <t>-LqnadGLzzOTZKJSCYHa</t>
  </si>
  <si>
    <t>1570676313813</t>
  </si>
  <si>
    <t>-Lqnaeyv2omZgNCq1O5u</t>
  </si>
  <si>
    <t>1570676321025</t>
  </si>
  <si>
    <t>-Lqnah4talhUe534xz9n</t>
  </si>
  <si>
    <t>1570676328236</t>
  </si>
  <si>
    <t>-Lqnaii3MIp8mH5aFIsj</t>
  </si>
  <si>
    <t>1570676336473</t>
  </si>
  <si>
    <t>-LqnakH4Ii9Ry-rjm4_n</t>
  </si>
  <si>
    <t>1570676342653</t>
  </si>
  <si>
    <t>-Lqnam-GNPoiyR8pHrvF</t>
  </si>
  <si>
    <t>1570676349843</t>
  </si>
  <si>
    <t>-LqnanoKkSk5gXyyJmXF</t>
  </si>
  <si>
    <t>1570676357024</t>
  </si>
  <si>
    <t>-LqnapWEzd-_bpJVvXL8</t>
  </si>
  <si>
    <t>1570676364264</t>
  </si>
  <si>
    <t>-Lqnar42A6E9dsiWrGiS</t>
  </si>
  <si>
    <t>1570676370471</t>
  </si>
  <si>
    <t>-LqnaspRoLVBIuMzvGj7</t>
  </si>
  <si>
    <t>1570676377692</t>
  </si>
  <si>
    <t>-LqnaubCySL9ZXQs4fIu</t>
  </si>
  <si>
    <t>1570676384903</t>
  </si>
  <si>
    <t>-LqnawJ2euBBMCYHWt5L</t>
  </si>
  <si>
    <t>1570676392092</t>
  </si>
  <si>
    <t>-LqnaxtV0HMaoMvGt0J4</t>
  </si>
  <si>
    <t>1570676398272</t>
  </si>
  <si>
    <t>-LqnazbJUbzNcF-dWzT6</t>
  </si>
  <si>
    <t>1570676405533</t>
  </si>
  <si>
    <t>-Lqnb0NvZB-7WjeXtrgJ</t>
  </si>
  <si>
    <t>1570676412724</t>
  </si>
  <si>
    <t>-Lqnb27J4JYDmqw9kRVD</t>
  </si>
  <si>
    <t>1570676419921</t>
  </si>
  <si>
    <t>-Lqnb3u3EoAnsQJXnwap</t>
  </si>
  <si>
    <t>1570676427142</t>
  </si>
  <si>
    <t>-Lqnb5dK0DwZd8nUC649</t>
  </si>
  <si>
    <t>1570676434331</t>
  </si>
  <si>
    <t>-Lqnb7B31xfKYbo69IQk</t>
  </si>
  <si>
    <t>1570676440512</t>
  </si>
  <si>
    <t>-Lqnb8vNXykHLn6rPofv</t>
  </si>
  <si>
    <t>1570676447763</t>
  </si>
  <si>
    <t>-LqnbAoQY9zmg6YLgofd</t>
  </si>
  <si>
    <t>1570676454962</t>
  </si>
  <si>
    <t>-LqnbCRIuLUvhetsT8sf</t>
  </si>
  <si>
    <t>1570676462161</t>
  </si>
  <si>
    <t>-LqnbE-JVi1jbHFKunMo</t>
  </si>
  <si>
    <t>1570676468351</t>
  </si>
  <si>
    <t>-LqnbFh31qsQLmMK-QYB</t>
  </si>
  <si>
    <t>1570676475581</t>
  </si>
  <si>
    <t>-LqnbHWMWV624INijGh2</t>
  </si>
  <si>
    <t>1570676482783</t>
  </si>
  <si>
    <t>-LqnbJENmu2dwa32zfM9</t>
  </si>
  <si>
    <t>1570676490013</t>
  </si>
  <si>
    <t>-LqnbLCRBDs6ClsUpdiy</t>
  </si>
  <si>
    <t>1570676497211</t>
  </si>
  <si>
    <t>-LqnbMj4-rtoPxJq_6Uw</t>
  </si>
  <si>
    <t>1570676504411</t>
  </si>
  <si>
    <t>-LqnbOKSyThitt75kUPP</t>
  </si>
  <si>
    <t>1570676510593</t>
  </si>
  <si>
    <t>-LqnbQ1A3yimtV2--kR7</t>
  </si>
  <si>
    <t>1570676517822</t>
  </si>
  <si>
    <t>-LqnbRnwCdWtBizIf8qL</t>
  </si>
  <si>
    <t>1570676525032</t>
  </si>
  <si>
    <t>-LqnbTVp-Cph-ImzfQR3</t>
  </si>
  <si>
    <t>1570676532242</t>
  </si>
  <si>
    <t>-LqnbVLK21bpRMfkmkkb</t>
  </si>
  <si>
    <t>1570676539453</t>
  </si>
  <si>
    <t>-LqnbX3JRrSzIbjqxEOA</t>
  </si>
  <si>
    <t>1570676546644</t>
  </si>
  <si>
    <t>-LqnbYcKwX4vevw_CL_i</t>
  </si>
  <si>
    <t>1570676552841</t>
  </si>
  <si>
    <t>-Lqnb_IpkZXVNp00Vy67</t>
  </si>
  <si>
    <t>1570676560061</t>
  </si>
  <si>
    <t>-LqnbbNHOhN3JbCWrHpX</t>
  </si>
  <si>
    <t>1570676568439</t>
  </si>
  <si>
    <t>-Lqnbd41C-DP5-baAdi6</t>
  </si>
  <si>
    <t>1570676575510</t>
  </si>
  <si>
    <t>-LqnbeeA5jI9MoY79lJI</t>
  </si>
  <si>
    <t>1570676581681</t>
  </si>
  <si>
    <t>-LqnbgMCOI6dbiC0Zw-F</t>
  </si>
  <si>
    <t>1570676588890</t>
  </si>
  <si>
    <t>-LqnbhwI_v4_oAthuO5W</t>
  </si>
  <si>
    <t>1570676595071</t>
  </si>
  <si>
    <t>-Lqnbjd0cl7cheZiD4kV</t>
  </si>
  <si>
    <t>1570676602337</t>
  </si>
  <si>
    <t>-LqnblSHYwB_d_jqMp2N</t>
  </si>
  <si>
    <t>1570676609509</t>
  </si>
  <si>
    <t>-LqnbnAGexQU-xsHzbak</t>
  </si>
  <si>
    <t>1570676616719</t>
  </si>
  <si>
    <t>-LqnboyAVeLzJaA-k9f1</t>
  </si>
  <si>
    <t>1570676623940</t>
  </si>
  <si>
    <t>-LqnbqgHBCLSHHAu_5Rn</t>
  </si>
  <si>
    <t>1570676631137</t>
  </si>
  <si>
    <t>-LqnbsFGwpn0LRbRNc73</t>
  </si>
  <si>
    <t>1570676637319</t>
  </si>
  <si>
    <t>-LqnbtyHwumzO2EnbVCU</t>
  </si>
  <si>
    <t>1570676644560</t>
  </si>
  <si>
    <t>-LqnbvlIqJA_HZNIzw3W</t>
  </si>
  <si>
    <t>1570676651761</t>
  </si>
  <si>
    <t>-LqnbxVPbt2jh_tOhO0u</t>
  </si>
  <si>
    <t>1570676658961</t>
  </si>
  <si>
    <t>-LqnbzHIKrrK9wc0MT3U</t>
  </si>
  <si>
    <t>1570676666197</t>
  </si>
  <si>
    <t>-Lqnc-z0RF-DUveB6eoy</t>
  </si>
  <si>
    <t>1570676673369</t>
  </si>
  <si>
    <t>-Lqnc1ZtCER1PempHdJ2</t>
  </si>
  <si>
    <t>1570676679561</t>
  </si>
  <si>
    <t>-Lqnc3GD6O21JMRK2Ylr</t>
  </si>
  <si>
    <t>1570676686801</t>
  </si>
  <si>
    <t>-Lqnc53CES030uhALbQx</t>
  </si>
  <si>
    <t>1570676694000</t>
  </si>
  <si>
    <t>-Lqnc6m0w5-BfHJg84XJ</t>
  </si>
  <si>
    <t>1570676701200</t>
  </si>
  <si>
    <t>-Lqnc8_KkSdj-Aoyc8Xr</t>
  </si>
  <si>
    <t>1570676708431</t>
  </si>
  <si>
    <t>-LqncATHCUvkse-FsNoI</t>
  </si>
  <si>
    <t>1570676716219</t>
  </si>
  <si>
    <t>-LqncC4utInEy2kFbL9h</t>
  </si>
  <si>
    <t>1570676722849</t>
  </si>
  <si>
    <t>-LqncDpHJvTDgPN8DkXS</t>
  </si>
  <si>
    <t>1570676730070</t>
  </si>
  <si>
    <t>-LqncFTJAjZ_wRivVDyC</t>
  </si>
  <si>
    <t>1570676736240</t>
  </si>
  <si>
    <t>-LqncH50YVlL8pWKgyqv</t>
  </si>
  <si>
    <t>1570676743439</t>
  </si>
  <si>
    <t>-LqncIt0S29hadOvmP8t</t>
  </si>
  <si>
    <t>1570676750669</t>
  </si>
  <si>
    <t>-LqncKbq79Zg9pvu2PgN</t>
  </si>
  <si>
    <t>1570676757849</t>
  </si>
  <si>
    <t>-LqncMSyKKJrhScrfdBT</t>
  </si>
  <si>
    <t>1570676764040</t>
  </si>
  <si>
    <t>-LqncO71ic1ykYHDz9KW</t>
  </si>
  <si>
    <t>1570676772321</t>
  </si>
  <si>
    <t>-LqncPhI7wCjxHrf8Lg5</t>
  </si>
  <si>
    <t>1570676778489</t>
  </si>
  <si>
    <t>-LqncRQIlMdB2BWczoXX</t>
  </si>
  <si>
    <t>1570676785681</t>
  </si>
  <si>
    <t>-LqncSu9GzGR4Yungnc1</t>
  </si>
  <si>
    <t>1570676791880</t>
  </si>
  <si>
    <t>-LqncUmEp2MU2RfcwVP1</t>
  </si>
  <si>
    <t>1570676798059</t>
  </si>
  <si>
    <t>-LqncWVM3Lt1f2Vtw9He</t>
  </si>
  <si>
    <t>1570676806315</t>
  </si>
  <si>
    <t>-LqncYDMu3ljD5JO8wy7</t>
  </si>
  <si>
    <t>1570676813535</t>
  </si>
  <si>
    <t>-LqncZtB8uIZBH3m_tBS</t>
  </si>
  <si>
    <t>1570676819705</t>
  </si>
  <si>
    <t>-LqncaVMjfSIQSjKzkU4</t>
  </si>
  <si>
    <t>1570676826923</t>
  </si>
  <si>
    <t>-LqnccCQZddqTu5cBcvy</t>
  </si>
  <si>
    <t>1570676834104</t>
  </si>
  <si>
    <t>-LqncdlIjhRmKKYXBcUH</t>
  </si>
  <si>
    <t>1570676840314</t>
  </si>
  <si>
    <t>-LqncfVLaHEmPAXUvI6Y</t>
  </si>
  <si>
    <t>1570676847536</t>
  </si>
  <si>
    <t>-Lqnch2vsugZpICurhxG</t>
  </si>
  <si>
    <t>1570676853722</t>
  </si>
  <si>
    <t>-LqncipFBjd2_6RyE8nn</t>
  </si>
  <si>
    <t>1570676860904</t>
  </si>
  <si>
    <t>-LqnckYy1hnIxaeDVAO5</t>
  </si>
  <si>
    <t>1570676868135</t>
  </si>
  <si>
    <t>-LqncmI33bj6xHu9qp9i</t>
  </si>
  <si>
    <t>1570676875323</t>
  </si>
  <si>
    <t>-LqncnquGg0i28dD3WXm</t>
  </si>
  <si>
    <t>1570676881524</t>
  </si>
  <si>
    <t>-Lqncp_Kd85h_lw7rOlY</t>
  </si>
  <si>
    <t>1570676888742</t>
  </si>
  <si>
    <t>-Lqncr8MkqXXsJHyp0pQ</t>
  </si>
  <si>
    <t>1570676894923</t>
  </si>
  <si>
    <t>-LqncsrMytIBIFv7G_-o</t>
  </si>
  <si>
    <t>1570676902135</t>
  </si>
  <si>
    <t>-LqncueN7qxvck0vkDbq</t>
  </si>
  <si>
    <t>1570676909354</t>
  </si>
  <si>
    <t>-LqncwNMsTfqNt5ufPLW</t>
  </si>
  <si>
    <t>1570676916575</t>
  </si>
  <si>
    <t>-LqncyAMF0sZk8SwOu1C</t>
  </si>
  <si>
    <t>1570676923783</t>
  </si>
  <si>
    <t>-LqncztXgTb2XtH2acfv</t>
  </si>
  <si>
    <t>1570676930964</t>
  </si>
  <si>
    <t>-Lqnd0SM_5fPLJ5VHdza</t>
  </si>
  <si>
    <t>1570676937165</t>
  </si>
  <si>
    <t>-Lqnd2AMrrQmdA8Jp6za</t>
  </si>
  <si>
    <t>1570676944375</t>
  </si>
  <si>
    <t>-Lqnd3yP7K9OdRGx-bHS</t>
  </si>
  <si>
    <t>1570676951595</t>
  </si>
  <si>
    <t>-Lqnd5ez7ZcUlhmidbUb</t>
  </si>
  <si>
    <t>1570676958846</t>
  </si>
  <si>
    <t>-Lqnd7UM3jONaR8aMZom</t>
  </si>
  <si>
    <t>1570676966014</t>
  </si>
  <si>
    <t>-Lqnd9CM-CYEhVSclYpx</t>
  </si>
  <si>
    <t>1570676973205</t>
  </si>
  <si>
    <t>-LqndAqXUEvXwfFEEQr8</t>
  </si>
  <si>
    <t>1570676979405</t>
  </si>
  <si>
    <t>-LqndCUMchxuEGi_0L1N</t>
  </si>
  <si>
    <t>1570676986594</t>
  </si>
  <si>
    <t>-LqndEKG5553r7nQaAaL</t>
  </si>
  <si>
    <t>1570676993835</t>
  </si>
  <si>
    <t>-LqndG8DT6oP1F7RU-Yb</t>
  </si>
  <si>
    <t>1570677001055</t>
  </si>
  <si>
    <t>-LqndHnM-kXkq5f1LKe3</t>
  </si>
  <si>
    <t>1570677008263</t>
  </si>
  <si>
    <t>-LqndJWKvoNj2p8L4tFO</t>
  </si>
  <si>
    <t>1570677015455</t>
  </si>
  <si>
    <t>-LqndL4TNzszlAMVX6qm</t>
  </si>
  <si>
    <t>1570677021644</t>
  </si>
  <si>
    <t>-LqndN7rFpU1kw_7lo1-</t>
  </si>
  <si>
    <t>1570677028874</t>
  </si>
  <si>
    <t>-LqndOo-BJxnubo_nNdB</t>
  </si>
  <si>
    <t>1570677037128</t>
  </si>
  <si>
    <t>-LqndQYHjlW8LV8KoU3F</t>
  </si>
  <si>
    <t>1570677044319</t>
  </si>
  <si>
    <t>-LqndS52V_at29wSS87R</t>
  </si>
  <si>
    <t>1570677050501</t>
  </si>
  <si>
    <t>-LqndToCVCffp_5qUPme</t>
  </si>
  <si>
    <t>1570677057689</t>
  </si>
  <si>
    <t>-LqndVNCpMlBJJcO_CLl</t>
  </si>
  <si>
    <t>1570677063870</t>
  </si>
  <si>
    <t>-LqndX4tMbKZPG1gvbvZ</t>
  </si>
  <si>
    <t>1570677071138</t>
  </si>
  <si>
    <t>-LqndY_1wFSuy5B2KmIJ</t>
  </si>
  <si>
    <t>1570677077289</t>
  </si>
  <si>
    <t>-Lqnd_9I4OaC7Z0S9-WA</t>
  </si>
  <si>
    <t>1570677083451</t>
  </si>
  <si>
    <t>-Lqndar1CHSwfxqlrKuU</t>
  </si>
  <si>
    <t>1570677090660</t>
  </si>
  <si>
    <t>-Lqndce0PAdUamGMJHnk</t>
  </si>
  <si>
    <t>1570677097899</t>
  </si>
  <si>
    <t>-LqndeN1BX3s-2CWJIvn</t>
  </si>
  <si>
    <t>1570677105120</t>
  </si>
  <si>
    <t>-LqndfwD2TG6yiiOsGIt</t>
  </si>
  <si>
    <t>1570677111290</t>
  </si>
  <si>
    <t>-LqndherOhIsQquknQ6c</t>
  </si>
  <si>
    <t>1570677118479</t>
  </si>
  <si>
    <t>-LqndjD3fKKy6flk4lxq</t>
  </si>
  <si>
    <t>1570677124680</t>
  </si>
  <si>
    <t>-Lqndkh1WmreKtY9nox7</t>
  </si>
  <si>
    <t>1570677130857</t>
  </si>
  <si>
    <t>-LqndmRGKGGWMW6Lqfeo</t>
  </si>
  <si>
    <t>1570677138088</t>
  </si>
  <si>
    <t>-Lqndo-OmgkNBmeDjiQC</t>
  </si>
  <si>
    <t>1570677144273</t>
  </si>
  <si>
    <t>-LqndpiG3Ht-zB87p7hg</t>
  </si>
  <si>
    <t>1570677151450</t>
  </si>
  <si>
    <t>-LqndrG1sc5sIA32dCc9</t>
  </si>
  <si>
    <t>1570677157640</t>
  </si>
  <si>
    <t>-LqndszTvk0PWzH36C8N</t>
  </si>
  <si>
    <t>1570677164879</t>
  </si>
  <si>
    <t>-Lqndum11Rz1H8VmZSfi</t>
  </si>
  <si>
    <t>1570677172088</t>
  </si>
  <si>
    <t>-LqndwWHz3Qn_T6QRR4v</t>
  </si>
  <si>
    <t>1570677179281</t>
  </si>
  <si>
    <t>-Lqndy31f8DeXG70sxkj</t>
  </si>
  <si>
    <t>1570677185530</t>
  </si>
  <si>
    <t>-LqndzmEwnEi0oRfAuue</t>
  </si>
  <si>
    <t>1570677192701</t>
  </si>
  <si>
    <t>-Lqne0_0bH5dZrcuXkXe</t>
  </si>
  <si>
    <t>1570677199911</t>
  </si>
  <si>
    <t>-Lqne2JP7n92fW1oxuD4</t>
  </si>
  <si>
    <t>1570677207119</t>
  </si>
  <si>
    <t>-Lqne458oyK9aOvlzjW8</t>
  </si>
  <si>
    <t>1570677214340</t>
  </si>
  <si>
    <t>-Lqne5mmYjbHgWyPR4Or</t>
  </si>
  <si>
    <t>1570677221522</t>
  </si>
  <si>
    <t>-Lqne7N295xTBsY9B6hT</t>
  </si>
  <si>
    <t>1570677227719</t>
  </si>
  <si>
    <t>-Lqne9QAXSMoa3uyn7wY</t>
  </si>
  <si>
    <t>1570677234958</t>
  </si>
  <si>
    <t>-LqneB71JffwBIduHwom</t>
  </si>
  <si>
    <t>1570677243197</t>
  </si>
  <si>
    <t>-LqneCq1bua8a5Dt-xZ2</t>
  </si>
  <si>
    <t>1570677250399</t>
  </si>
  <si>
    <t>-LqneEP1WUMGPQTHbvV4</t>
  </si>
  <si>
    <t>1570677256589</t>
  </si>
  <si>
    <t>-LqneGSB5e2gXJ35Bso5</t>
  </si>
  <si>
    <t>1570677265081</t>
  </si>
  <si>
    <t>-LqneIPb0Xi-rjFSRhWs</t>
  </si>
  <si>
    <t>1570677272034</t>
  </si>
  <si>
    <t>-LqneJy4Q-s3moLhlOe4</t>
  </si>
  <si>
    <t>1570677279244</t>
  </si>
  <si>
    <t>-LqneLf4-t2AXiCfd-o0</t>
  </si>
  <si>
    <t>1570677286500</t>
  </si>
  <si>
    <t>-LqneNUCILyuMpRmynL4</t>
  </si>
  <si>
    <t>1570677293683</t>
  </si>
  <si>
    <t>-LqnePCXnzWg02MMIP1-</t>
  </si>
  <si>
    <t>1570677300883</t>
  </si>
  <si>
    <t>-LqneQz4ICoLcFI74URB</t>
  </si>
  <si>
    <t>1570677308104</t>
  </si>
  <si>
    <t>-LqneSh38jb4ejpG8r9U</t>
  </si>
  <si>
    <t>1570677315292</t>
  </si>
  <si>
    <t>-LqneUG3dwBVql5NY9VW</t>
  </si>
  <si>
    <t>1570677321503</t>
  </si>
  <si>
    <t>-LqneVzFGGOgB7mGHzGg</t>
  </si>
  <si>
    <t>1570677328722</t>
  </si>
  <si>
    <t>-LqneXZSUg5__1GO0lG5</t>
  </si>
  <si>
    <t>1570677334902</t>
  </si>
  <si>
    <t>-LqneZG4zesR1xYXXrHe</t>
  </si>
  <si>
    <t>1570677342116</t>
  </si>
  <si>
    <t>-Lqnea33z8SAQ_DwdbsQ</t>
  </si>
  <si>
    <t>1570677349324</t>
  </si>
  <si>
    <t>-LqnebmHw0CMekoQljbz</t>
  </si>
  <si>
    <t>1570677356534</t>
  </si>
  <si>
    <t>-Lqnedt5z_NB9GZzlFuI</t>
  </si>
  <si>
    <t>1570677365027</t>
  </si>
  <si>
    <t>-LqnefYW-pgNQDVr11AU</t>
  </si>
  <si>
    <t>1570677371992</t>
  </si>
  <si>
    <t>-Lqneh6Cd_sGtCMVc96j</t>
  </si>
  <si>
    <t>1570677378173</t>
  </si>
  <si>
    <t>-Lqnej74PtbVsCApCb2W</t>
  </si>
  <si>
    <t>1570677386479</t>
  </si>
  <si>
    <t>-LqnekrDTcYqQ9iIQ8ZN</t>
  </si>
  <si>
    <t>1570677393632</t>
  </si>
  <si>
    <t>-Lqnemd4Xd6t2UNHdlgG</t>
  </si>
  <si>
    <t>1570677400843</t>
  </si>
  <si>
    <t>-LqneoM4ryURdF5d2zUJ</t>
  </si>
  <si>
    <t>1570677408062</t>
  </si>
  <si>
    <t>-Lqneq99WI9rMR1cWSnj</t>
  </si>
  <si>
    <t>1570677415277</t>
  </si>
  <si>
    <t>-Lqners4G6gvtHzA0pF7</t>
  </si>
  <si>
    <t>1570677422482</t>
  </si>
  <si>
    <t>-LqnetgC9xNuiwSRGjOz</t>
  </si>
  <si>
    <t>1570677429694</t>
  </si>
  <si>
    <t>-LqnevT32dGMnKcrH1kN</t>
  </si>
  <si>
    <t>1570677437189</t>
  </si>
  <si>
    <t>-LqnexC1VHRfadFWxhOf</t>
  </si>
  <si>
    <t>1570677444113</t>
  </si>
  <si>
    <t>-Lqneyu3hYJv7Xjpegjp</t>
  </si>
  <si>
    <t>1570677451314</t>
  </si>
  <si>
    <t>-Lqnf-h3-G27mvIR8qUS</t>
  </si>
  <si>
    <t>1570677458546</t>
  </si>
  <si>
    <t>-Lqnf1Q3uqeDMmY4Dh3v</t>
  </si>
  <si>
    <t>1570677465754</t>
  </si>
  <si>
    <t>-Lqnf2z46XqTCKoIDUA7</t>
  </si>
  <si>
    <t>1570677471932</t>
  </si>
  <si>
    <t>-Lqnf4h4NSSuvDIMvKDq</t>
  </si>
  <si>
    <t>1570677479123</t>
  </si>
  <si>
    <t>-Lqnf6GFZbYWIBHfwutD</t>
  </si>
  <si>
    <t>1570677485323</t>
  </si>
  <si>
    <t>-Lqnf7z3Y7YJPl8mbwD5</t>
  </si>
  <si>
    <t>1570677492543</t>
  </si>
  <si>
    <t>-LqnfA68RoxyowRg1JJd</t>
  </si>
  <si>
    <t>1570677499753</t>
  </si>
  <si>
    <t>-LqnfBkIv7MtoeWUmUbA</t>
  </si>
  <si>
    <t>1570677507991</t>
  </si>
  <si>
    <t>-LqnfDJ8X8eVYDjhLqD-</t>
  </si>
  <si>
    <t>1570677514182</t>
  </si>
  <si>
    <t>-LqnfF1GeAt59xstblht</t>
  </si>
  <si>
    <t>1570677521370</t>
  </si>
  <si>
    <t>-LqnfGaJ8Dc_HBpdk5q1</t>
  </si>
  <si>
    <t>1570677527572</t>
  </si>
  <si>
    <t>-LqnfIJIdhMZq727kgVj</t>
  </si>
  <si>
    <t>1570677534810</t>
  </si>
  <si>
    <t>-LqnfK6IHc1RP3jUOo17</t>
  </si>
  <si>
    <t>1570677542001</t>
  </si>
  <si>
    <t>-LqnfLpAS65lUMT-Sb0T</t>
  </si>
  <si>
    <t>1570677549201</t>
  </si>
  <si>
    <t>-LqnfNcSzexBAHpP9ljG</t>
  </si>
  <si>
    <t>1570677556401</t>
  </si>
  <si>
    <t>-LqnfPKEsvRd-ev-fVJy</t>
  </si>
  <si>
    <t>1570677563611</t>
  </si>
  <si>
    <t>-LqnfQu9xMs1bJWfS2wc</t>
  </si>
  <si>
    <t>1570677569800</t>
  </si>
  <si>
    <t>-LqnfScAvvGliryWkbJr</t>
  </si>
  <si>
    <t>1570677577048</t>
  </si>
  <si>
    <t>-LqnfUP2Tj672gweVfd3</t>
  </si>
  <si>
    <t>1570677584250</t>
  </si>
  <si>
    <t>-LqnfW7MyUo3w-2-K9mm</t>
  </si>
  <si>
    <t>1570677591439</t>
  </si>
  <si>
    <t>-LqnfXhIjdl55HxA-vZc</t>
  </si>
  <si>
    <t>1570677597641</t>
  </si>
  <si>
    <t>-LqnfZP4nuHY-gnYeC76</t>
  </si>
  <si>
    <t>1570677604851</t>
  </si>
  <si>
    <t>-LqnfaDAoUIZxxbr_-dG</t>
  </si>
  <si>
    <t>1570677612071</t>
  </si>
  <si>
    <t>-Lqnfc7pZzh4fEY-R2YN</t>
  </si>
  <si>
    <t>1570677619280</t>
  </si>
  <si>
    <t>-LqnfdjGBoV9H7718DRq</t>
  </si>
  <si>
    <t>1570677626500</t>
  </si>
  <si>
    <t>-LqnffSHGX6qE-VUn4uw</t>
  </si>
  <si>
    <t>1570677633691</t>
  </si>
  <si>
    <t>-Lqnfh0AFRFO_hUUXEih</t>
  </si>
  <si>
    <t>1570677639889</t>
  </si>
  <si>
    <t>-LqnfijMG9etNff-se_i</t>
  </si>
  <si>
    <t>1570677647131</t>
  </si>
  <si>
    <t>-LqnfkWEtN2sHuQHItZf</t>
  </si>
  <si>
    <t>1570677654319</t>
  </si>
  <si>
    <t>-LqnfmFJy6T7Y2YzqeZy</t>
  </si>
  <si>
    <t>1570677661519</t>
  </si>
  <si>
    <t>-Lqnfo2GNZ7Ew1_hhUv6</t>
  </si>
  <si>
    <t>1570677668720</t>
  </si>
  <si>
    <t>-LqnfplANxsqhZ9AV28e</t>
  </si>
  <si>
    <t>1570677675930</t>
  </si>
  <si>
    <t>-LqnfrFIpvXroRZYf0SH</t>
  </si>
  <si>
    <t>1570677682141</t>
  </si>
  <si>
    <t>-LqnfsoIG4Qxod3HdKp_</t>
  </si>
  <si>
    <t>1570677688319</t>
  </si>
  <si>
    <t>-LqnfubItzgYx_ekxKIH</t>
  </si>
  <si>
    <t>1570677695539</t>
  </si>
  <si>
    <t>-LqnfwJ310-wT5fPfIbg</t>
  </si>
  <si>
    <t>1570677702749</t>
  </si>
  <si>
    <t>-Lqnfy7ISbOZ4vJlguiD</t>
  </si>
  <si>
    <t>1570677709961</t>
  </si>
  <si>
    <t>-Lqnfzq9k_8gfrlQEygA</t>
  </si>
  <si>
    <t>1570677717179</t>
  </si>
  <si>
    <t>-Lqng0cE6mTzKeHs6vPr</t>
  </si>
  <si>
    <t>1570677724390</t>
  </si>
  <si>
    <t>-Lqng2fbbugEUXw8NNOP</t>
  </si>
  <si>
    <t>1570677731600</t>
  </si>
  <si>
    <t>-Lqng4_lgozpZUaxPxE2</t>
  </si>
  <si>
    <t>1570677739841</t>
  </si>
  <si>
    <t>-Lqng6P2eJzf2bu0kRKT</t>
  </si>
  <si>
    <t>1570677748090</t>
  </si>
  <si>
    <t>-Lqng88GYQRU_vWT1NOo</t>
  </si>
  <si>
    <t>1570677755280</t>
  </si>
  <si>
    <t>-Lqng9g1W0DO3PTNpq_N</t>
  </si>
  <si>
    <t>1570677761481</t>
  </si>
  <si>
    <t>-LqngBPq-3OJRJNRRDT_</t>
  </si>
  <si>
    <t>1570677768700</t>
  </si>
  <si>
    <t>-LqngDDLt_eo1jX0IHTk</t>
  </si>
  <si>
    <t>1570677775914</t>
  </si>
  <si>
    <t>-LqngF5V_Ca-cKI8Numf</t>
  </si>
  <si>
    <t>1570677783673</t>
  </si>
  <si>
    <t>-LqngGk83NERXAyDOyZM</t>
  </si>
  <si>
    <t>1570677790343</t>
  </si>
  <si>
    <t>-LqngIRHLFqIms3Pib40</t>
  </si>
  <si>
    <t>1570677797532</t>
  </si>
  <si>
    <t>-LqngK0XmyYNs6C5sb7x</t>
  </si>
  <si>
    <t>1570677803724</t>
  </si>
  <si>
    <t>-LqngLiG3z6qYppP4Khx</t>
  </si>
  <si>
    <t>1570677810974</t>
  </si>
  <si>
    <t>-LqngNWGEMIAtXhcfXh9</t>
  </si>
  <si>
    <t>1570677818163</t>
  </si>
  <si>
    <t>-LqngPLY31_oa0VbIujt</t>
  </si>
  <si>
    <t>1570677825363</t>
  </si>
  <si>
    <t>-LqngR2DwI35EHANNcNy</t>
  </si>
  <si>
    <t>1570677832654</t>
  </si>
  <si>
    <t>-LqngSlBTJ1J5LtSxtS5</t>
  </si>
  <si>
    <t>1570677839775</t>
  </si>
  <si>
    <t>-LqngUJ4826VZrZmwHqN</t>
  </si>
  <si>
    <t>1570677845965</t>
  </si>
  <si>
    <t>-LqngW2DLfTtMaUZFjXA</t>
  </si>
  <si>
    <t>1570677853204</t>
  </si>
  <si>
    <t>-LqngXqDx5aO5hZ8bicB</t>
  </si>
  <si>
    <t>1570677860414</t>
  </si>
  <si>
    <t>-LqngZiKNjX_D3nR_0pD</t>
  </si>
  <si>
    <t>1570677868116</t>
  </si>
  <si>
    <t>-LqngaMKLSkRRXp4bSPm</t>
  </si>
  <si>
    <t>1570677874833</t>
  </si>
  <si>
    <t>-Lqngc3GDKCklgDlmrPH</t>
  </si>
  <si>
    <t>1570677882013</t>
  </si>
  <si>
    <t>-LqngdsK11EDGd9EBpzP</t>
  </si>
  <si>
    <t>1570677889271</t>
  </si>
  <si>
    <t>-Lqngf_How0c0plJs7fZ</t>
  </si>
  <si>
    <t>1570677896484</t>
  </si>
  <si>
    <t>-LqnghAGOHMdgkTmKUTB</t>
  </si>
  <si>
    <t>1570677902654</t>
  </si>
  <si>
    <t>-LqngisKpzoougtr69KL</t>
  </si>
  <si>
    <t>1570677909844</t>
  </si>
  <si>
    <t>-LqngkRJ39IkdVH9XQXs</t>
  </si>
  <si>
    <t>1570677916043</t>
  </si>
  <si>
    <t>-Lqngm9KNwDACdRzAbNc</t>
  </si>
  <si>
    <t>1570677923264</t>
  </si>
  <si>
    <t>-LqngnxDkQPoeILjWdNf</t>
  </si>
  <si>
    <t>1570677930473</t>
  </si>
  <si>
    <t>-LqngpeHQSjdMbwOT1Dp</t>
  </si>
  <si>
    <t>1570677937693</t>
  </si>
  <si>
    <t>-LqngrTJFgOZKjPWX2fm</t>
  </si>
  <si>
    <t>1570677944903</t>
  </si>
  <si>
    <t>-LqngtBKSv1oQ7ZM2_99</t>
  </si>
  <si>
    <t>1570677952093</t>
  </si>
  <si>
    <t>-LqngukCSyNTx8smKew4</t>
  </si>
  <si>
    <t>1570677958284</t>
  </si>
  <si>
    <t>-LqngwTDBoYT8PfoOeTU</t>
  </si>
  <si>
    <t>1570677965540</t>
  </si>
  <si>
    <t>-LqngyU4SifAZukoEvhu</t>
  </si>
  <si>
    <t>1570677973800</t>
  </si>
  <si>
    <t>-Lqnh-DJj2oSFADzDj-o</t>
  </si>
  <si>
    <t>1570677980972</t>
  </si>
  <si>
    <t>-Lqnh0l4l9-z1JsMZ-Sx</t>
  </si>
  <si>
    <t>1570677987153</t>
  </si>
  <si>
    <t>-Lqnh2VBPPA59vSj-XsD</t>
  </si>
  <si>
    <t>1570677994343</t>
  </si>
  <si>
    <t>-Lqnh43IeV9SvKqQGFxs</t>
  </si>
  <si>
    <t>1570678000551</t>
  </si>
  <si>
    <t>-Lqnh5mJ14xD7S3t59ZX</t>
  </si>
  <si>
    <t>1570678007762</t>
  </si>
  <si>
    <t>-Lqnh7Z4yqAE-XsZ3dwZ</t>
  </si>
  <si>
    <t>1570678014983</t>
  </si>
  <si>
    <t>-Lqnh9IIloZufizWqLgW</t>
  </si>
  <si>
    <t>1570678022162</t>
  </si>
  <si>
    <t>-LqnhArKYU8E8VRlnylR</t>
  </si>
  <si>
    <t>1570678028361</t>
  </si>
  <si>
    <t>-LqnhCZ478t4fiP_khWS</t>
  </si>
  <si>
    <t>1570678035613</t>
  </si>
  <si>
    <t>-LqnhELxCxUT2vFd7pTV</t>
  </si>
  <si>
    <t>1570678042801</t>
  </si>
  <si>
    <t>-LqnhG6YGBi0M2Hl9Rq8</t>
  </si>
  <si>
    <t>1570678050001</t>
  </si>
  <si>
    <t>-LqnhHtUctQulQaqBLau</t>
  </si>
  <si>
    <t>1570678057252</t>
  </si>
  <si>
    <t>-LqnhJbJK60gMASXZDOA</t>
  </si>
  <si>
    <t>1570678064413</t>
  </si>
  <si>
    <t>-LqnhLAK_PkDK2ybKS1U</t>
  </si>
  <si>
    <t>1570678070603</t>
  </si>
  <si>
    <t>-LqnhMsri_Aksse_Z72D</t>
  </si>
  <si>
    <t>1570678077851</t>
  </si>
  <si>
    <t>-LqnhOezuh4yYCYzTDdA</t>
  </si>
  <si>
    <t>1570678085052</t>
  </si>
  <si>
    <t>-LqnhQ9562BQD24ht1Q6</t>
  </si>
  <si>
    <t>1570678091233</t>
  </si>
  <si>
    <t>-LqnhRx4lHNnZ77zYhBh</t>
  </si>
  <si>
    <t>1570678098441</t>
  </si>
  <si>
    <t>-LqnhTfsr-shgp6-zhff</t>
  </si>
  <si>
    <t>1570678105663</t>
  </si>
  <si>
    <t>-LqnhV_rGm0u5m6dg7ZA</t>
  </si>
  <si>
    <t>1570678112873</t>
  </si>
  <si>
    <t>-LqnhXB3IWKA-xMLm8Od</t>
  </si>
  <si>
    <t>1570678120099</t>
  </si>
  <si>
    <t>-LqnhYz3JyweTQTxG2tG</t>
  </si>
  <si>
    <t>1570678127303</t>
  </si>
  <si>
    <t>-Lqnh_hE6nr8yXmNjSvq</t>
  </si>
  <si>
    <t>1570678134491</t>
  </si>
  <si>
    <t>-LqnhbHJOqr6Cv5d5oR9</t>
  </si>
  <si>
    <t>1570678140683</t>
  </si>
  <si>
    <t>-Lqnhcz4ZstL6G-ikXOM</t>
  </si>
  <si>
    <t>1570678147934</t>
  </si>
  <si>
    <t>-Lqnhem2U-sO3cwF3f8j</t>
  </si>
  <si>
    <t>1570678155133</t>
  </si>
  <si>
    <t>-LqnhgV3o1StRhSGV9nT</t>
  </si>
  <si>
    <t>1570678162324</t>
  </si>
  <si>
    <t>-LqnhiJJaPcwNzP2tKiX</t>
  </si>
  <si>
    <t>1570678169542</t>
  </si>
  <si>
    <t>-Lqnhk03t9OQ5s4-DzVO</t>
  </si>
  <si>
    <t>1570678176732</t>
  </si>
  <si>
    <t>-Lqnhl_2fW69lF-sP4C6</t>
  </si>
  <si>
    <t>1570678182922</t>
  </si>
  <si>
    <t>-LqnhnJKSCMMw1rmAU8j</t>
  </si>
  <si>
    <t>1570678190162</t>
  </si>
  <si>
    <t>-Lqnhp52wzTvSLObnXXj</t>
  </si>
  <si>
    <t>1570678197361</t>
  </si>
  <si>
    <t>-LqnhvAtHGAT2xizk2l6</t>
  </si>
  <si>
    <t>1570678222449</t>
  </si>
  <si>
    <t>-Lqnhwf-0huuUuTHfHlU</t>
  </si>
  <si>
    <t>1570678228636</t>
  </si>
  <si>
    <t>-LqnhyT01KMgaK7bz9wX</t>
  </si>
  <si>
    <t>1570678235830</t>
  </si>
  <si>
    <t>-Lqni-BplDPb4PM0Qag-</t>
  </si>
  <si>
    <t>1570678243038</t>
  </si>
  <si>
    <t>-Lqni0js2YOq66ntU-6f</t>
  </si>
  <si>
    <t>1570678249218</t>
  </si>
  <si>
    <t>-Lqni2T0NGOHGeJDAYqD</t>
  </si>
  <si>
    <t>1570678256409</t>
  </si>
  <si>
    <t>-Lqni42FsIGH0fTIu-rU</t>
  </si>
  <si>
    <t>1570678262608</t>
  </si>
  <si>
    <t>-Lqni5jsgZq2o_FA1bVu</t>
  </si>
  <si>
    <t>1570678269840</t>
  </si>
  <si>
    <t>-Lqni7Y-PWpQ6j9-y8dE</t>
  </si>
  <si>
    <t>1570678277039</t>
  </si>
  <si>
    <t>-Lqni9WMUQZxCN5nhP6H</t>
  </si>
  <si>
    <t>1570678284238</t>
  </si>
  <si>
    <t>-LqniB48wcn3NZ9SiTWA</t>
  </si>
  <si>
    <t>1570678291469</t>
  </si>
  <si>
    <t>-LqniCm-BkgZQiefFdAW</t>
  </si>
  <si>
    <t>1570678298648</t>
  </si>
  <si>
    <t>-LqniEL42Dkjzvv_j_JK</t>
  </si>
  <si>
    <t>1570678304838</t>
  </si>
  <si>
    <t>-LqniG3IaCefVm1S7AeZ</t>
  </si>
  <si>
    <t>1570678312090</t>
  </si>
  <si>
    <t>-LqniHc1tgCW2i5nXFe-</t>
  </si>
  <si>
    <t>1570678318259</t>
  </si>
  <si>
    <t>-LqniJRS72Xroi7xQtfZ</t>
  </si>
  <si>
    <t>1570678325469</t>
  </si>
  <si>
    <t>-LqniL7tfa9oS21_n6JQ</t>
  </si>
  <si>
    <t>1570678332679</t>
  </si>
  <si>
    <t>-LqniMpmmsvyqJUkAWsd</t>
  </si>
  <si>
    <t>1570678339898</t>
  </si>
  <si>
    <t>-LqniOf7O3JMQIejCRxa</t>
  </si>
  <si>
    <t>1570678347108</t>
  </si>
  <si>
    <t>-LqniQOGogJx_kqglQbs</t>
  </si>
  <si>
    <t>1570678354330</t>
  </si>
  <si>
    <t>-LqniSLGE4013Zxn2yK-</t>
  </si>
  <si>
    <t>1570678361530</t>
  </si>
  <si>
    <t>-LqniTrlsXagfVd9LHcV</t>
  </si>
  <si>
    <t>1570678368719</t>
  </si>
  <si>
    <t>-LqniVRuSoHKTZNmruhp</t>
  </si>
  <si>
    <t>1570678374928</t>
  </si>
  <si>
    <t>-LqniWxGKS30TpJbDrWO</t>
  </si>
  <si>
    <t>1570678381109</t>
  </si>
  <si>
    <t>-LqniYe049Z85npChfJS</t>
  </si>
  <si>
    <t>1570678388319</t>
  </si>
  <si>
    <t>-Lqni_EGGFv2pbXgAx40</t>
  </si>
  <si>
    <t>1570678394479</t>
  </si>
  <si>
    <t>-Lqniaw-Pa1Upj66Qy7j</t>
  </si>
  <si>
    <t>1570678401688</t>
  </si>
  <si>
    <t>-LqnicWH0jTnM0nAv7UY</t>
  </si>
  <si>
    <t>1570678407878</t>
  </si>
  <si>
    <t>-LqnieE9jJrCD5QoJ-aK</t>
  </si>
  <si>
    <t>1570678415120</t>
  </si>
  <si>
    <t>-Lqnig1HiuYR11Wodb9k</t>
  </si>
  <si>
    <t>1570678422336</t>
  </si>
  <si>
    <t>-LqnihkG6iquFD16m5S9</t>
  </si>
  <si>
    <t>1570678429518</t>
  </si>
  <si>
    <t>-LqnijJGlHhpjcBEifih</t>
  </si>
  <si>
    <t>1570678435718</t>
  </si>
  <si>
    <t>-Lqnil0-pdjPxZC6gZHY</t>
  </si>
  <si>
    <t>1570678442928</t>
  </si>
  <si>
    <t>-Lqnin8G6CxxjxX1yeiL</t>
  </si>
  <si>
    <t>1570678450148</t>
  </si>
  <si>
    <t>-Lqniol-b2I-R4oQalD7</t>
  </si>
  <si>
    <t>1570678458399</t>
  </si>
  <si>
    <t>-LqniqLHf6M4ZFD_cZAQ</t>
  </si>
  <si>
    <t>1570678464578</t>
  </si>
  <si>
    <t>-Lqnis20LZYG5qGNpMN5</t>
  </si>
  <si>
    <t>1570678471759</t>
  </si>
  <si>
    <t>-LqnitqCN07H0hezhTCm</t>
  </si>
  <si>
    <t>1570678478999</t>
  </si>
  <si>
    <t>-Lqniv_J_lsGI_UnMhby</t>
  </si>
  <si>
    <t>1570678486228</t>
  </si>
  <si>
    <t>-Lqnix3F403Gq6230oc4</t>
  </si>
  <si>
    <t>1570678492389</t>
  </si>
  <si>
    <t>-Lqniyb0FZGlwp2CN2zG</t>
  </si>
  <si>
    <t>1570678498579</t>
  </si>
  <si>
    <t>-Lqnj-P-yGeYgODNAGcy</t>
  </si>
  <si>
    <t>1570678505789</t>
  </si>
  <si>
    <t>-Lqnj18F0BeVpMyUnnvk</t>
  </si>
  <si>
    <t>1570678512998</t>
  </si>
  <si>
    <t>-Lqnj2v-670Tt1xZTg36</t>
  </si>
  <si>
    <t>1570678520218</t>
  </si>
  <si>
    <t>-Lqnj4dAISh1OZC1V_tO</t>
  </si>
  <si>
    <t>1570678527450</t>
  </si>
  <si>
    <t>-Lqnj6SGgdJY0GmD8q-y</t>
  </si>
  <si>
    <t>1570678534639</t>
  </si>
  <si>
    <t>-Lqnj8AG_be-k13Ee3Ql</t>
  </si>
  <si>
    <t>1570678541840</t>
  </si>
  <si>
    <t>-LqnjA2FTf4dOhuTH8yx</t>
  </si>
  <si>
    <t>1570678549386</t>
  </si>
  <si>
    <t>-LqnjBgHV8rENfz-BLct</t>
  </si>
  <si>
    <t>1570678556261</t>
  </si>
  <si>
    <t>-LqnjDEBpulYSWLajcmx</t>
  </si>
  <si>
    <t>1570678562438</t>
  </si>
  <si>
    <t>-LqnjEx-oEpRBBPq1BhX</t>
  </si>
  <si>
    <t>1570678569690</t>
  </si>
  <si>
    <t>-LqnjGl7j4GKsbjETKjS</t>
  </si>
  <si>
    <t>1570678576913</t>
  </si>
  <si>
    <t>-LqnjIVk-PdS_Xt0YVfZ</t>
  </si>
  <si>
    <t>1570678584078</t>
  </si>
  <si>
    <t>-LqnjK2FGAWNrSlUM-R6</t>
  </si>
  <si>
    <t>1570678590279</t>
  </si>
  <si>
    <t>-LqnjLmPZLm_HjN6T0DX</t>
  </si>
  <si>
    <t>1570678597500</t>
  </si>
  <si>
    <t>-LqnjNZGiD7NpeaVk1F0</t>
  </si>
  <si>
    <t>1570678604708</t>
  </si>
  <si>
    <t>-LqnjPG8mi2gv9Isrlj6</t>
  </si>
  <si>
    <t>1570678611918</t>
  </si>
  <si>
    <t>-LqnjR3BTpxcuf-uCHAo</t>
  </si>
  <si>
    <t>1570678619139</t>
  </si>
  <si>
    <t>-LqnjSnFntzGAy86W0mx</t>
  </si>
  <si>
    <t>1570678626323</t>
  </si>
  <si>
    <t>-LqnjU_BbRvVy8-lBMaT</t>
  </si>
  <si>
    <t>1570678633558</t>
  </si>
  <si>
    <t>-LqnjWOHh-KqjhkopJQ_</t>
  </si>
  <si>
    <t>1570678640986</t>
  </si>
  <si>
    <t>-LqnjY5DFlyus0oIxDPA</t>
  </si>
  <si>
    <t>1570678648009</t>
  </si>
  <si>
    <t>-LqnjZo--vz0omxJUW6Y</t>
  </si>
  <si>
    <t>1570678655199</t>
  </si>
  <si>
    <t>-LqnjacGAA-CLy3gcUrQ</t>
  </si>
  <si>
    <t>1570678662420</t>
  </si>
  <si>
    <t>-LqnjcQFejKe5k-GvfjT</t>
  </si>
  <si>
    <t>1570678669630</t>
  </si>
  <si>
    <t>-Lqnje8GSNEkwr7K29Sz</t>
  </si>
  <si>
    <t>1570678676839</t>
  </si>
  <si>
    <t>-LqnjgGBj8p2xImNTOEN</t>
  </si>
  <si>
    <t>1570678684050</t>
  </si>
  <si>
    <t>-Lqnjhs-UPPfHpRKbtqE</t>
  </si>
  <si>
    <t>1570678692310</t>
  </si>
  <si>
    <t>-LqnjjTVhIl_Q0I7KXWZ</t>
  </si>
  <si>
    <t>1570678698480</t>
  </si>
  <si>
    <t>-Lqnjl91ZHx6GyolIeeK</t>
  </si>
  <si>
    <t>1570678705678</t>
  </si>
  <si>
    <t>-Lqnjmx02Y4zZh2K9QTp</t>
  </si>
  <si>
    <t>1570678712898</t>
  </si>
  <si>
    <t>-Lqnjof0W24VMMOkbOi9</t>
  </si>
  <si>
    <t>1570678720088</t>
  </si>
  <si>
    <t>-LqnjqE1LPQt8iT8j1ar</t>
  </si>
  <si>
    <t>1570678726298</t>
  </si>
  <si>
    <t>-Lqnjrx1OvUecJvNNW52</t>
  </si>
  <si>
    <t>1570678733518</t>
  </si>
  <si>
    <t>-LqnjtjtmdrPHmUdv52M</t>
  </si>
  <si>
    <t>1570678740729</t>
  </si>
  <si>
    <t>-LqnjvUHV_MExVyClJos</t>
  </si>
  <si>
    <t>1570678747918</t>
  </si>
  <si>
    <t>-Lqnjx3YYWe5Nshd6c7D</t>
  </si>
  <si>
    <t>1570678754118</t>
  </si>
  <si>
    <t>-LqnjylQME-V9UhLcxao</t>
  </si>
  <si>
    <t>1570678761328</t>
  </si>
  <si>
    <t>-Lqnk-Z7nkZIb5tRZZii</t>
  </si>
  <si>
    <t>1570678768549</t>
  </si>
  <si>
    <t>-Lqnk1H5pQYoAzlK11_-</t>
  </si>
  <si>
    <t>1570678775771</t>
  </si>
  <si>
    <t>-Lqnk33218gXXmw4HtDQ</t>
  </si>
  <si>
    <t>1570678782970</t>
  </si>
  <si>
    <t>-Lqnk4mBwlI0Z6pj5L89</t>
  </si>
  <si>
    <t>1570678790158</t>
  </si>
  <si>
    <t>-Lqnk6L3eQXloKglqoWt</t>
  </si>
  <si>
    <t>1570678796358</t>
  </si>
  <si>
    <t>-Lqnk8IMP69vEuN3Tl88</t>
  </si>
  <si>
    <t>1570678804331</t>
  </si>
  <si>
    <t>-Lqnk9qrezTIAyw9Pi8u</t>
  </si>
  <si>
    <t>1570678810789</t>
  </si>
  <si>
    <t>-LqnkB_3QWB98UAaw399</t>
  </si>
  <si>
    <t>1570678818000</t>
  </si>
  <si>
    <t>-LqnkDTHdCwEtGTUo52H</t>
  </si>
  <si>
    <t>1570678825218</t>
  </si>
  <si>
    <t>-LqnkF52Yrv8-bFRvjaH</t>
  </si>
  <si>
    <t>1570678832399</t>
  </si>
  <si>
    <t>-LqnkGe14yZB2syGWtgC</t>
  </si>
  <si>
    <t>1570678838599</t>
  </si>
  <si>
    <t>-LqnkIN9E6Bg-DLbsXta</t>
  </si>
  <si>
    <t>1570678845848</t>
  </si>
  <si>
    <t>-LqnkK9u3hUPjwwBO_1i</t>
  </si>
  <si>
    <t>1570678853039</t>
  </si>
  <si>
    <t>-LqnkLuL5tYNnvJqIB99</t>
  </si>
  <si>
    <t>1570678860238</t>
  </si>
  <si>
    <t>-LqnkNfs6G1eTa-3AlpM</t>
  </si>
  <si>
    <t>1570678867460</t>
  </si>
  <si>
    <t>-LqnkPQIfOHPi0dKMALe</t>
  </si>
  <si>
    <t>1570678874649</t>
  </si>
  <si>
    <t>-LqnkQy2EeT6JiGHkzKN</t>
  </si>
  <si>
    <t>1570678880850</t>
  </si>
  <si>
    <t>-LqnkShZ0fPMnfJ8D2sH</t>
  </si>
  <si>
    <t>1570678888081</t>
  </si>
  <si>
    <t>-LqnkUU3TUrV_1ZCwgDC</t>
  </si>
  <si>
    <t>1570678895280</t>
  </si>
  <si>
    <t>-LqnkWDIDi7EBid11N66</t>
  </si>
  <si>
    <t>1570678902479</t>
  </si>
  <si>
    <t>-LqnkXl1FWt7UGMVGsHM</t>
  </si>
  <si>
    <t>1570678908679</t>
  </si>
  <si>
    <t>-LqnkZU2QTxKZIqD36Rc</t>
  </si>
  <si>
    <t>1570678915889</t>
  </si>
  <si>
    <t>-LqnkaXLC-5TwI2qbOnB</t>
  </si>
  <si>
    <t>1570678924171</t>
  </si>
  <si>
    <t>-LqnkcE6QVRiOIqyNgSY</t>
  </si>
  <si>
    <t>1570678931363</t>
  </si>
  <si>
    <t>-Lqnkdn4fYR7f5cnTIz6</t>
  </si>
  <si>
    <t>1570678937533</t>
  </si>
  <si>
    <t>-LqnkfW5De0GGkZz-RPj</t>
  </si>
  <si>
    <t>1570678944723</t>
  </si>
  <si>
    <t>-Lqnkh66tc92mL0CGD_4</t>
  </si>
  <si>
    <t>1570678950923</t>
  </si>
  <si>
    <t>-Lqnkin5hxjTpa1teqlx</t>
  </si>
  <si>
    <t>1570678958132</t>
  </si>
  <si>
    <t>-LqnkkktEhHOOzwJt1xH</t>
  </si>
  <si>
    <t>1570678965352</t>
  </si>
  <si>
    <t>-LqnkmIuKYQsv78FL5wx</t>
  </si>
  <si>
    <t>1570678972573</t>
  </si>
  <si>
    <t>-Lqnko6CmGRbXWtzjtS7</t>
  </si>
  <si>
    <t>1570678979779</t>
  </si>
  <si>
    <t>-Lqnkpp4G_u5nxKQH4Wd</t>
  </si>
  <si>
    <t>1570678986973</t>
  </si>
  <si>
    <t>-LqnkrO6ZoCoBeB2RAJs</t>
  </si>
  <si>
    <t>1570678993162</t>
  </si>
  <si>
    <t>-Lqnkt66xn_Ftyuo3Ojj</t>
  </si>
  <si>
    <t>1570679000383</t>
  </si>
  <si>
    <t>-Lqnkuv8mgOzahDouXzh</t>
  </si>
  <si>
    <t>1570679007591</t>
  </si>
  <si>
    <t>-Lqnkwc6TJFq7rfwJPQw</t>
  </si>
  <si>
    <t>1570679014812</t>
  </si>
  <si>
    <t>-LqnkyRMJK1H6WEtoHVD</t>
  </si>
  <si>
    <t>1570679022013</t>
  </si>
  <si>
    <t>-Lqnl-9KBWwaWj4oIOsG</t>
  </si>
  <si>
    <t>1570679029202</t>
  </si>
  <si>
    <t>-Lqnl0wDqi720SuZGI8m</t>
  </si>
  <si>
    <t>1570679036441</t>
  </si>
  <si>
    <t>-Lqnl2dwznU_NxZU4MnL</t>
  </si>
  <si>
    <t>1570679043672</t>
  </si>
  <si>
    <t>-Lqnl4DE3-kKFM_50wZb</t>
  </si>
  <si>
    <t>1570679049842</t>
  </si>
  <si>
    <t>-Lqnl5w6qDQjY0l7au-Q</t>
  </si>
  <si>
    <t>1570679057053</t>
  </si>
  <si>
    <t>-Lqnl7kKdg_RvM0dlPI5</t>
  </si>
  <si>
    <t>1570679064263</t>
  </si>
  <si>
    <t>-Lqnl9S5YWXnfs6ZBBNQ</t>
  </si>
  <si>
    <t>1570679071452</t>
  </si>
  <si>
    <t>-LqnlB048XgIviNgVu4A</t>
  </si>
  <si>
    <t>1570679077652</t>
  </si>
  <si>
    <t>-LqnlCkNtiiEqAqyAz72</t>
  </si>
  <si>
    <t>1570679084881</t>
  </si>
  <si>
    <t>-LqnlEX5VFntHEFAVhce</t>
  </si>
  <si>
    <t>1570679092082</t>
  </si>
  <si>
    <t>-LqnlGGK6AnRaKw53Rvi</t>
  </si>
  <si>
    <t>1570679099281</t>
  </si>
  <si>
    <t>-LqnlIDWNpWo35BGH1Nf</t>
  </si>
  <si>
    <t>1570679106512</t>
  </si>
  <si>
    <t>-LqnlJmMTu-QizctXgI3</t>
  </si>
  <si>
    <t>1570679113691</t>
  </si>
  <si>
    <t>-LqnlLJxih0IVE17YcDr</t>
  </si>
  <si>
    <t>1570679119883</t>
  </si>
  <si>
    <t>-LqnlMpLyrlY6lYxagS8</t>
  </si>
  <si>
    <t>1570679126081</t>
  </si>
  <si>
    <t>-LqnlObDtvjtQhza4p-C</t>
  </si>
  <si>
    <t>1570679133302</t>
  </si>
  <si>
    <t>-LqnlQK4zL1r1rKpZV2V</t>
  </si>
  <si>
    <t>1570679140511</t>
  </si>
  <si>
    <t>-LqnlSY_FItcFlgNigut</t>
  </si>
  <si>
    <t>1570679147721</t>
  </si>
  <si>
    <t>-LqnlUPBn9B6WFM-Jrh4</t>
  </si>
  <si>
    <t>1570679155941</t>
  </si>
  <si>
    <t>-LqnlW7A0IQIZ78epNNA</t>
  </si>
  <si>
    <t>1570679164212</t>
  </si>
  <si>
    <t>-LqnlXu6fQPzgJN1aOsC</t>
  </si>
  <si>
    <t>1570679171423</t>
  </si>
  <si>
    <t>-LqnlZdN4TMpvoWvUEdN</t>
  </si>
  <si>
    <t>1570679178653</t>
  </si>
  <si>
    <t>-LqnlaRKfuInXWxyoF1U</t>
  </si>
  <si>
    <t>1570679185872</t>
  </si>
  <si>
    <t>-Lqnlc91aF7p5AAlCe8U</t>
  </si>
  <si>
    <t>1570679193042</t>
  </si>
  <si>
    <t>-Lqnldh7OGhV9n4y58nm</t>
  </si>
  <si>
    <t>1570679199244</t>
  </si>
  <si>
    <t>-LqnlfPxnOjq1inNd277</t>
  </si>
  <si>
    <t>1570679206453</t>
  </si>
  <si>
    <t>-LqnlhI58XqzExgiFS6L</t>
  </si>
  <si>
    <t>1570679214203</t>
  </si>
  <si>
    <t>-LqnliuOb8jTadf2zv2c</t>
  </si>
  <si>
    <t>1570679220892</t>
  </si>
  <si>
    <t>-LqnlkWLNqTpG0YjpZXQ</t>
  </si>
  <si>
    <t>1570679227071</t>
  </si>
  <si>
    <t>-LqnlmDFFSDjL8TY09tZ</t>
  </si>
  <si>
    <t>1570679234282</t>
  </si>
  <si>
    <t>-Lqnlnh52CN6JHq9ZoAd</t>
  </si>
  <si>
    <t>1570679240474</t>
  </si>
  <si>
    <t>-LqnlpccHqe8IFDArpk3</t>
  </si>
  <si>
    <t>1570679247672</t>
  </si>
  <si>
    <t>-LqnlrD6WtoWs5aAvQBT</t>
  </si>
  <si>
    <t>1570679254883</t>
  </si>
  <si>
    <t>-Lqnlsm6oD9N_BwYwSt-</t>
  </si>
  <si>
    <t>1570679261073</t>
  </si>
  <si>
    <t>-LqnluUxb4v_ROFagpr8</t>
  </si>
  <si>
    <t>1570679268253</t>
  </si>
  <si>
    <t>-Lqnlw4MoGb4M9CqC3ZG</t>
  </si>
  <si>
    <t>1570679274442</t>
  </si>
  <si>
    <t>-LqnlxzxO_9-LAK7RSej</t>
  </si>
  <si>
    <t>1570679281683</t>
  </si>
  <si>
    <t>-LqnlzaN7daF38T5oLiL</t>
  </si>
  <si>
    <t>1570679288882</t>
  </si>
  <si>
    <t>-Lqnm0IEEC4kQ0Tr79jI</t>
  </si>
  <si>
    <t>1570679296083</t>
  </si>
  <si>
    <t>-Lqnm26KCDwW8GAO6jwF</t>
  </si>
  <si>
    <t>1570679303313</t>
  </si>
  <si>
    <t>-Lqnm3o3nNBg6bEzKoQu</t>
  </si>
  <si>
    <t>1570679310493</t>
  </si>
  <si>
    <t>-Lqnm5OJknEJzbvcElfM</t>
  </si>
  <si>
    <t>1570679316682</t>
  </si>
  <si>
    <t>-Lqnm76Jlj-jQOhyzMA3</t>
  </si>
  <si>
    <t>1570679323933</t>
  </si>
  <si>
    <t>-Lqnm8zC0vJkPIEybMSP</t>
  </si>
  <si>
    <t>1570679331474</t>
  </si>
  <si>
    <t>-LqnmAcKZi3bh_l-SOJF</t>
  </si>
  <si>
    <t>1570679338324</t>
  </si>
  <si>
    <t>-LqnmC9xogZfwKHosmSo</t>
  </si>
  <si>
    <t>1570679344522</t>
  </si>
  <si>
    <t>-LqnmDt3t0JiO6fRav1G</t>
  </si>
  <si>
    <t>1570679351743</t>
  </si>
  <si>
    <t>-LqnmFg4verR0hSQVPmA</t>
  </si>
  <si>
    <t>1570679358953</t>
  </si>
  <si>
    <t>-LqnmHPsS9QPJsaVcsF1</t>
  </si>
  <si>
    <t>1570679366174</t>
  </si>
  <si>
    <t>-LqnmJCBAn1bEa3Z7lxY</t>
  </si>
  <si>
    <t>1570679373384</t>
  </si>
  <si>
    <t>-LqnmKwKOvHAhoKqTK2r</t>
  </si>
  <si>
    <t>1570679380562</t>
  </si>
  <si>
    <t>-LqnmMnpl_n0Q4PozXHl</t>
  </si>
  <si>
    <t>1570679386762</t>
  </si>
  <si>
    <t>-LqnmOgR4F5K-mGl_65W</t>
  </si>
  <si>
    <t>1570679395030</t>
  </si>
  <si>
    <t>-LqnmQE4BAhheJw6a371</t>
  </si>
  <si>
    <t>1570679402228</t>
  </si>
  <si>
    <t>-LqnmRxGT9Ian-Me8r4E</t>
  </si>
  <si>
    <t>1570679409437</t>
  </si>
  <si>
    <t>-LqnmTW3PdLz_-DnSb5x</t>
  </si>
  <si>
    <t>1570679415619</t>
  </si>
  <si>
    <t>-LqnmVE1U9Lsa_si7KXf</t>
  </si>
  <si>
    <t>1570679422809</t>
  </si>
  <si>
    <t>-LqnmWn2gilTztAfGc95</t>
  </si>
  <si>
    <t>1570679428998</t>
  </si>
  <si>
    <t>-LqnmYW044XRQE6_Hn-f</t>
  </si>
  <si>
    <t>1570679436248</t>
  </si>
  <si>
    <t>-Lqnm_J0TG5EbcCWKqvi</t>
  </si>
  <si>
    <t>1570679443448</t>
  </si>
  <si>
    <t>-Lqnmb2InkDyiQkdL5zL</t>
  </si>
  <si>
    <t>1570679450639</t>
  </si>
  <si>
    <t>-LqnmcqHhcZxIQxrdUeS</t>
  </si>
  <si>
    <t>1570679457870</t>
  </si>
  <si>
    <t>-LqnmeY2wGNuRQMlKGEf</t>
  </si>
  <si>
    <t>1570679465049</t>
  </si>
  <si>
    <t>-Lqnmg7H_PnzJKCxa2DB</t>
  </si>
  <si>
    <t>1570679471239</t>
  </si>
  <si>
    <t>-LqnmhpTAMvMCTQpdqsV</t>
  </si>
  <si>
    <t>1570679478479</t>
  </si>
  <si>
    <t>-LqnmjdHdySYFcJnoTZm</t>
  </si>
  <si>
    <t>1570679485689</t>
  </si>
  <si>
    <t>-LqnmlL2-tfRqYRMEG3H</t>
  </si>
  <si>
    <t>1570679492879</t>
  </si>
  <si>
    <t>-LqnmmvI1gWKhkxCt319</t>
  </si>
  <si>
    <t>1570679499080</t>
  </si>
  <si>
    <t>-Lqnmod7M6YRVgh9zMq2</t>
  </si>
  <si>
    <t>1570679506298</t>
  </si>
  <si>
    <t>-LqnmqRIvDaoYXUTMwwu</t>
  </si>
  <si>
    <t>1570679513509</t>
  </si>
  <si>
    <t>-Lqnms81ZDbWy-YFBVy7</t>
  </si>
  <si>
    <t>1570679520729</t>
  </si>
  <si>
    <t>-LqnmtwzpKmkC0MDKui-</t>
  </si>
  <si>
    <t>1570679527939</t>
  </si>
  <si>
    <t>-Lqnmve2T9416WDaRykV</t>
  </si>
  <si>
    <t>1570679535128</t>
  </si>
  <si>
    <t>-LqnmxEPRulsa4FLCnJ_</t>
  </si>
  <si>
    <t>1570679541318</t>
  </si>
  <si>
    <t>-LqnmyxG2uHLV0eBY_co</t>
  </si>
  <si>
    <t>1570679548539</t>
  </si>
  <si>
    <t>-Lqnn-j1GY3FBIE6z1F-</t>
  </si>
  <si>
    <t>1570679555759</t>
  </si>
  <si>
    <t>-Lqnn1TJxmlh435k3T-v</t>
  </si>
  <si>
    <t>1570679562969</t>
  </si>
  <si>
    <t>-Lqnn3G8r2EmJQgPxptJ</t>
  </si>
  <si>
    <t>1570679570179</t>
  </si>
  <si>
    <t>-Lqnn4j27q-dyZCU8mQ_</t>
  </si>
  <si>
    <t>1570679576358</t>
  </si>
  <si>
    <t>-Lqnn6TINY_eidf8I_HO</t>
  </si>
  <si>
    <t>1570679583579</t>
  </si>
  <si>
    <t>-Lqnn801fCj254tENJBT</t>
  </si>
  <si>
    <t>1570679589769</t>
  </si>
  <si>
    <t>-Lqnn9iudtEd10ZzxW7j</t>
  </si>
  <si>
    <t>1570679596969</t>
  </si>
  <si>
    <t>-LqnnBJ3YGGhgENKTeMf</t>
  </si>
  <si>
    <t>1570679603159</t>
  </si>
  <si>
    <t>-LqnnD-tXza884m4Ti93</t>
  </si>
  <si>
    <t>1570679610338</t>
  </si>
  <si>
    <t>-LqnnE_Av7_KAzb0hDi-</t>
  </si>
  <si>
    <t>1570679616519</t>
  </si>
  <si>
    <t>-LqnnGb4cEmLTm7-II6y</t>
  </si>
  <si>
    <t>1570679624961</t>
  </si>
  <si>
    <t>-LqnnI_JIVZN5A4G2YMd</t>
  </si>
  <si>
    <t>1570679632031</t>
  </si>
  <si>
    <t>-LqnnKM26h1-sC4JEPPf</t>
  </si>
  <si>
    <t>1570679640251</t>
  </si>
  <si>
    <t>-LqnnM4358AduMMDOHTV</t>
  </si>
  <si>
    <t>1570679647440</t>
  </si>
  <si>
    <t>-LqnnNd38x4mLBRhnK5T</t>
  </si>
  <si>
    <t>1570679653641</t>
  </si>
  <si>
    <t>-LqnnPM3exnbls69ZO1u</t>
  </si>
  <si>
    <t>1570679660850</t>
  </si>
  <si>
    <t>-LqnnR94Cjm0mn_Kfc2-</t>
  </si>
  <si>
    <t>1570679668072</t>
  </si>
  <si>
    <t>-LqnnStK0UUH9KDS1nL9</t>
  </si>
  <si>
    <t>1570679675282</t>
  </si>
  <si>
    <t>-LqnnUf4SXvBbvOqm1u-</t>
  </si>
  <si>
    <t>1570679682498</t>
  </si>
  <si>
    <t>-LqnnWRd0T8vVsBf3TC3</t>
  </si>
  <si>
    <t>1570679689681</t>
  </si>
  <si>
    <t>-LqnnYB3EHlUCHoIIlWG</t>
  </si>
  <si>
    <t>1570679696921</t>
  </si>
  <si>
    <t>-LqnnZuDgFuZkecqbPA8</t>
  </si>
  <si>
    <t>1570679704152</t>
  </si>
  <si>
    <t>-LqnnaUNDSL6Q5PtP2Tu</t>
  </si>
  <si>
    <t>1570679710312</t>
  </si>
  <si>
    <t>-LqnncC8OIdojhK36KD1</t>
  </si>
  <si>
    <t>1570679717521</t>
  </si>
  <si>
    <t>-Lqnndz4Ujnz_l_BSWCz</t>
  </si>
  <si>
    <t>1570679724740</t>
  </si>
  <si>
    <t>-LqnnfiKCL_qFeG9BHLy</t>
  </si>
  <si>
    <t>1570679731920</t>
  </si>
  <si>
    <t>-LqnnhIQ_pfoMlAYAVhx</t>
  </si>
  <si>
    <t>1570679738121</t>
  </si>
  <si>
    <t>-Lqnniz4JR1iOFPbtyMc</t>
  </si>
  <si>
    <t>1570679745341</t>
  </si>
  <si>
    <t>-Lqnnkluxca0Bt34lOle</t>
  </si>
  <si>
    <t>1570679752559</t>
  </si>
  <si>
    <t>-LqnnmWKbe57jTu6acjj</t>
  </si>
  <si>
    <t>1570679759773</t>
  </si>
  <si>
    <t>-LqnnoKQGUDCDFd8HoC0</t>
  </si>
  <si>
    <t>1570679766981</t>
  </si>
  <si>
    <t>-Lqnnq03onDAyA1t-eWS</t>
  </si>
  <si>
    <t>1570679774173</t>
  </si>
  <si>
    <t>-LqnnraRTrFZWYEhryCP</t>
  </si>
  <si>
    <t>1570679780361</t>
  </si>
  <si>
    <t>-LqnntJIolcT3cMWgCML</t>
  </si>
  <si>
    <t>1570679787600</t>
  </si>
  <si>
    <t>-Lqnnv53eUvVPukQLSAP</t>
  </si>
  <si>
    <t>1570679794799</t>
  </si>
  <si>
    <t>-Lqnnwo2MH_5TM0ThlG4</t>
  </si>
  <si>
    <t>1570679802000</t>
  </si>
  <si>
    <t>-LqnnyaucDYW_AfR2p3p</t>
  </si>
  <si>
    <t>1570679809230</t>
  </si>
  <si>
    <t>-Lqno-K2mFHmfBcpI88l</t>
  </si>
  <si>
    <t>1570679816411</t>
  </si>
  <si>
    <t>-Lqno0u8gMhCsVXNU3g7</t>
  </si>
  <si>
    <t>1570679822601</t>
  </si>
  <si>
    <t>-Lqno2cJ5b5y_qEyHQ_3</t>
  </si>
  <si>
    <t>1570679829840</t>
  </si>
  <si>
    <t>-Lqno4R4dFhQdEEYH4JT</t>
  </si>
  <si>
    <t>1570679837051</t>
  </si>
  <si>
    <t>-Lqno68JuB7HjnFcV_j0</t>
  </si>
  <si>
    <t>1570679844246</t>
  </si>
  <si>
    <t>-Lqno7g3KmqnoqOsp7p4</t>
  </si>
  <si>
    <t>1570679850448</t>
  </si>
  <si>
    <t>-Lqno9lQxJEK7LlYwGvD</t>
  </si>
  <si>
    <t>1570679857669</t>
  </si>
  <si>
    <t>-LqnoBSNwhSBcq86dLrz</t>
  </si>
  <si>
    <t>1570679865905</t>
  </si>
  <si>
    <t>-LqnoDAODNZcAOUP34gn</t>
  </si>
  <si>
    <t>1570679873124</t>
  </si>
  <si>
    <t>-LqnoEi8b41OrijGbOlI</t>
  </si>
  <si>
    <t>1570679879294</t>
  </si>
  <si>
    <t>-LqnoGRE79gwU5IXMu5L</t>
  </si>
  <si>
    <t>1570679886484</t>
  </si>
  <si>
    <t>-LqnoI0WSQYQWGeYmJru</t>
  </si>
  <si>
    <t>1570679892694</t>
  </si>
  <si>
    <t>-LqnoJjBVTdCm7-ShtJr</t>
  </si>
  <si>
    <t>1570679899905</t>
  </si>
  <si>
    <t>-LqnoLXV4WjGoW6_Mcht</t>
  </si>
  <si>
    <t>1570679907126</t>
  </si>
  <si>
    <t>-LqnoNFO2t8kXgrHBA6h</t>
  </si>
  <si>
    <t>1570679914334</t>
  </si>
  <si>
    <t>-LqnoP2OI6-vOSoluz6P</t>
  </si>
  <si>
    <t>1570679921544</t>
  </si>
  <si>
    <t>-LqnoQk8TsaDKP8yjnSs</t>
  </si>
  <si>
    <t>1570679928733</t>
  </si>
  <si>
    <t>-LqnoSKBxIbGMKBqnL68</t>
  </si>
  <si>
    <t>1570679934926</t>
  </si>
  <si>
    <t>-LqnoU1FcVDGrJ0OWEo9</t>
  </si>
  <si>
    <t>1570679942164</t>
  </si>
  <si>
    <t>-LqnoVp87jQbHloRmOpA</t>
  </si>
  <si>
    <t>1570679949364</t>
  </si>
  <si>
    <t>-LqnoXYHYdx-AsBUoFeV</t>
  </si>
  <si>
    <t>1570679956564</t>
  </si>
  <si>
    <t>-LqnoZ7BNufuQhuO-eR6</t>
  </si>
  <si>
    <t>1570679962764</t>
  </si>
  <si>
    <t>-Lqno_pGz7XTU2FUzLuL</t>
  </si>
  <si>
    <t>1570679969986</t>
  </si>
  <si>
    <t>-LqnobdV3-aHRQETqcu3</t>
  </si>
  <si>
    <t>1570679977195</t>
  </si>
  <si>
    <t>-LqnodL7zRz5vIcFguCS</t>
  </si>
  <si>
    <t>1570679984414</t>
  </si>
  <si>
    <t>-Lqnof857mF_626R3gW9</t>
  </si>
  <si>
    <t>1570679991621</t>
  </si>
  <si>
    <t>-LqnogrIIdRCN4YC99qK</t>
  </si>
  <si>
    <t>1570679998804</t>
  </si>
  <si>
    <t>-LqnoiQ6ydmMkQyUcObq</t>
  </si>
  <si>
    <t>1570680005005</t>
  </si>
  <si>
    <t>-Lqnok9LY5W5PMPA8vuR</t>
  </si>
  <si>
    <t>1570680012259</t>
  </si>
  <si>
    <t>-Lqnolw0DQ6mpVO-4TkU</t>
  </si>
  <si>
    <t>1570680019434</t>
  </si>
  <si>
    <t>-LqnonfNJpGZtfKI4SnD</t>
  </si>
  <si>
    <t>1570680026645</t>
  </si>
  <si>
    <t>-LqnopRny9hSkHzyvKky</t>
  </si>
  <si>
    <t>1570680033865</t>
  </si>
  <si>
    <t>-LqnorAHetVuoEFHF91N</t>
  </si>
  <si>
    <t>1570680041055</t>
  </si>
  <si>
    <t>-LqnosjAGliu2d9Xtnze</t>
  </si>
  <si>
    <t>1570680047255</t>
  </si>
  <si>
    <t>-LqnouTMtA8bbFsAtFDl</t>
  </si>
  <si>
    <t>1570680054475</t>
  </si>
  <si>
    <t>-LqnowHAeORBOxtpQ8ac</t>
  </si>
  <si>
    <t>1570680061684</t>
  </si>
  <si>
    <t>-LqnoxzEzfa8T8P-wkYu</t>
  </si>
  <si>
    <t>1570680068885</t>
  </si>
  <si>
    <t>-LqnozmMbGG87UCM3Zif</t>
  </si>
  <si>
    <t>1570680076105</t>
  </si>
  <si>
    <t>-Lqnp0VOSg8KmA3yY3Uq</t>
  </si>
  <si>
    <t>1570680083294</t>
  </si>
  <si>
    <t>-Lqnp2OxmkNpWIzIJuX5</t>
  </si>
  <si>
    <t>1570680089486</t>
  </si>
  <si>
    <t>-Lqnp4-0J66Qjh1bWYd3</t>
  </si>
  <si>
    <t>1570680097749</t>
  </si>
  <si>
    <t>-Lqnp5_8sEO1NLrokdfB</t>
  </si>
  <si>
    <t>1570680103918</t>
  </si>
  <si>
    <t>-Lqnp7H-WAmGCD17ayhT</t>
  </si>
  <si>
    <t>1570680111119</t>
  </si>
  <si>
    <t>-Lqnp940kW0523WSfAwD</t>
  </si>
  <si>
    <t>1570680118348</t>
  </si>
  <si>
    <t>-LqnpAmz-hroF0dPyL0J</t>
  </si>
  <si>
    <t>1570680125528</t>
  </si>
  <si>
    <t>-LqnpCb725opP5tNZwGJ</t>
  </si>
  <si>
    <t>1570680132767</t>
  </si>
  <si>
    <t>-LqnpEJoVS4UnN2XeW0U</t>
  </si>
  <si>
    <t>1570680139999</t>
  </si>
  <si>
    <t>-LqnpFt6zIzLZZHCug-y</t>
  </si>
  <si>
    <t>1570680146159</t>
  </si>
  <si>
    <t>-LqnpHbHRQEVBHHmZFpN</t>
  </si>
  <si>
    <t>1570680153359</t>
  </si>
  <si>
    <t>-LqnpJAG8u8o-SAmhSkO</t>
  </si>
  <si>
    <t>1570680159558</t>
  </si>
  <si>
    <t>-LqnpKs5uYMXyNF6udCa</t>
  </si>
  <si>
    <t>1570680166778</t>
  </si>
  <si>
    <t>-LqnpMf0iXDDVZ0rvE_a</t>
  </si>
  <si>
    <t>1570680173978</t>
  </si>
  <si>
    <t>-LqnpOO0xGOZmFBjmu5F</t>
  </si>
  <si>
    <t>1570680181208</t>
  </si>
  <si>
    <t>-LqnpQAzB-ZtGnYjjDS4</t>
  </si>
  <si>
    <t>1570680188407</t>
  </si>
  <si>
    <t>-LqnpRuBkpvbbQmE5e8k</t>
  </si>
  <si>
    <t>1570680195598</t>
  </si>
  <si>
    <t>-LqnpTh0YPJfasU_SLP7</t>
  </si>
  <si>
    <t>1570680202838</t>
  </si>
  <si>
    <t>-LqnpVQWJjjPqW0KM3xP</t>
  </si>
  <si>
    <t>1570680210019</t>
  </si>
  <si>
    <t>-LqnpXD-rf8Uq6JzWzSi</t>
  </si>
  <si>
    <t>1570680217258</t>
  </si>
  <si>
    <t>-LqnpYxEv7cJdm1COwzI</t>
  </si>
  <si>
    <t>1570680224469</t>
  </si>
  <si>
    <t>-Lqnp_W8VMyFMnNtBhol</t>
  </si>
  <si>
    <t>1570680230647</t>
  </si>
  <si>
    <t>-LqnpbEGTrdSBttyWAP_</t>
  </si>
  <si>
    <t>1570680237838</t>
  </si>
  <si>
    <t>-Lqnpci7-7wYMtVt5et7</t>
  </si>
  <si>
    <t>1570680244039</t>
  </si>
  <si>
    <t>-LqnpeFz3f8at3yC98W1</t>
  </si>
  <si>
    <t>1570680250229</t>
  </si>
  <si>
    <t>-Lqnpfz0g-6sLn_9vTo1</t>
  </si>
  <si>
    <t>1570680257439</t>
  </si>
  <si>
    <t>-LqnphXzUmCQcwZEgYAb</t>
  </si>
  <si>
    <t>1570680263618</t>
  </si>
  <si>
    <t>-LqnpjFzKsjbh8Mkm3s2</t>
  </si>
  <si>
    <t>1570680270809</t>
  </si>
  <si>
    <t>-Lqnpl303usEC5jcFzyy</t>
  </si>
  <si>
    <t>1570680278057</t>
  </si>
  <si>
    <t>-LqnpmXzv8e940MOqEkG</t>
  </si>
  <si>
    <t>1570680284239</t>
  </si>
  <si>
    <t>-LqnpoH8xOmMqR7OoJZp</t>
  </si>
  <si>
    <t>1570680291437</t>
  </si>
  <si>
    <t>-LqnppqGM6mRWBfhWUOy</t>
  </si>
  <si>
    <t>1570680297618</t>
  </si>
  <si>
    <t>-LqnprJ-ccTzA2Y_t6-m</t>
  </si>
  <si>
    <t>1570680303818</t>
  </si>
  <si>
    <t>-LqnpsuWAgdgKERsJ1rR</t>
  </si>
  <si>
    <t>1570680310017</t>
  </si>
  <si>
    <t>-LqnpuZkWPXhN9eqOL8g</t>
  </si>
  <si>
    <t>1570680317199</t>
  </si>
  <si>
    <t>-LqnpwOBG_i-QH7uVvnE</t>
  </si>
  <si>
    <t>1570680324489</t>
  </si>
  <si>
    <t>-Lqnpy62FkC23JfHh5Je</t>
  </si>
  <si>
    <t>1570680331599</t>
  </si>
  <si>
    <t>-LqnpzgPBaTCs7WwzV1K</t>
  </si>
  <si>
    <t>1570680337800</t>
  </si>
  <si>
    <t>-Lqnq0PFREBsDnX6BcWW</t>
  </si>
  <si>
    <t>1570680345021</t>
  </si>
  <si>
    <t>-Lqnq2CGyd6prYOW30Or</t>
  </si>
  <si>
    <t>1570680352240</t>
  </si>
  <si>
    <t>-Lqnq49GYVyatFgC0o8e</t>
  </si>
  <si>
    <t>1570680359449</t>
  </si>
  <si>
    <t>-Lqnq5hDoAvcoFPwt3aW</t>
  </si>
  <si>
    <t>1570680366660</t>
  </si>
  <si>
    <t>-Lqnq7RHV9lh6x2QkQMH</t>
  </si>
  <si>
    <t>1570680373850</t>
  </si>
  <si>
    <t>-Lqnq9-8ep87rxjmnzmm</t>
  </si>
  <si>
    <t>1570680380040</t>
  </si>
  <si>
    <t>-LqnqAjX4lVmRBnBlfDY</t>
  </si>
  <si>
    <t>1570680387279</t>
  </si>
  <si>
    <t>-LqnqCW83_OpUUPiuWz3</t>
  </si>
  <si>
    <t>1570680394479</t>
  </si>
  <si>
    <t>-LqnqEEF2ZFZ0CKDvB4e</t>
  </si>
  <si>
    <t>1570680401681</t>
  </si>
  <si>
    <t>-LqnqG1GUGGnq6PlEmNu</t>
  </si>
  <si>
    <t>1570680408899</t>
  </si>
  <si>
    <t>-LqnqHhLTjj6vm1sV5m5</t>
  </si>
  <si>
    <t>1570680416089</t>
  </si>
  <si>
    <t>-LqnqJDqppmYA3fDe4G4</t>
  </si>
  <si>
    <t>1570680422278</t>
  </si>
  <si>
    <t>-LqnqKjEznMLkMjzFCQ-</t>
  </si>
  <si>
    <t>1570680428471</t>
  </si>
  <si>
    <t>-LqnqMGBl8NQrEXf8zWb</t>
  </si>
  <si>
    <t>1570680434640</t>
  </si>
  <si>
    <t>-LqnqNpBp889EZeGMReX</t>
  </si>
  <si>
    <t>1570680440859</t>
  </si>
  <si>
    <t>-LqnqPZHMFKT0Ha4zutu</t>
  </si>
  <si>
    <t>1570680448059</t>
  </si>
  <si>
    <t>-LqnqRMHQJNdmr7GkRae</t>
  </si>
  <si>
    <t>1570680455271</t>
  </si>
  <si>
    <t>-LqnqT2nX0YCcyF2uS_H</t>
  </si>
  <si>
    <t>1570680462491</t>
  </si>
  <si>
    <t>-LqnqUdHq8YXZWXssfx7</t>
  </si>
  <si>
    <t>1570680468670</t>
  </si>
  <si>
    <t>-LqnqWL-bt9mMe111akv</t>
  </si>
  <si>
    <t>1570680475880</t>
  </si>
  <si>
    <t>-LqnqY8EhblSKey-ePRS</t>
  </si>
  <si>
    <t>1570680483102</t>
  </si>
  <si>
    <t>-LqnqZsHrOZw3S5A7fmk</t>
  </si>
  <si>
    <t>1570680490311</t>
  </si>
  <si>
    <t>-LqnqaaThWP2TMSAPLpH</t>
  </si>
  <si>
    <t>1570680497519</t>
  </si>
  <si>
    <t>-Lqnqc8EVHdOOqEvQR3M</t>
  </si>
  <si>
    <t>1570680503708</t>
  </si>
  <si>
    <t>-Lqnqdw0v72l45jfDzST</t>
  </si>
  <si>
    <t>1570680510920</t>
  </si>
  <si>
    <t>-Lqnqfe16KZ4oTEGnceC</t>
  </si>
  <si>
    <t>1570680518129</t>
  </si>
  <si>
    <t>-LqnqhTAZkGvg24-thzB</t>
  </si>
  <si>
    <t>1570680525329</t>
  </si>
  <si>
    <t>-LqnqjB9m6rAWi0fdd5S</t>
  </si>
  <si>
    <t>1570680532569</t>
  </si>
  <si>
    <t>-LqnqktypDiXKXwd8-Qv</t>
  </si>
  <si>
    <t>1570680539770</t>
  </si>
  <si>
    <t>-LqnqmhGiQ0zPGwQ0yFZ</t>
  </si>
  <si>
    <t>1570680545930</t>
  </si>
  <si>
    <t>-Lqnqo_9hAmM9uKlQC6K</t>
  </si>
  <si>
    <t>1570680553160</t>
  </si>
  <si>
    <t>-LqnqqDNn-qYKkOndEZ-</t>
  </si>
  <si>
    <t>1570680561372</t>
  </si>
  <si>
    <t>-Lqnqrl0uvs5wzCLrlbS</t>
  </si>
  <si>
    <t>1570680567580</t>
  </si>
  <si>
    <t>-LqnqtVIvN4qbFWPQVPK</t>
  </si>
  <si>
    <t>1570680574800</t>
  </si>
  <si>
    <t>-LqnqvHEBWAahnT0uWJz</t>
  </si>
  <si>
    <t>1570680582021</t>
  </si>
  <si>
    <t>-Lqnqx0H7NDHSN5jhfhq</t>
  </si>
  <si>
    <t>1570680589201</t>
  </si>
  <si>
    <t>-LqnqyZ2r6v9jEJChW5a</t>
  </si>
  <si>
    <t>1570680595411</t>
  </si>
  <si>
    <t>-Lqnr-IJ-jBPb_Vpzo3A</t>
  </si>
  <si>
    <t>1570680602621</t>
  </si>
  <si>
    <t>-Lqnr144dJUH6qJrlcY5</t>
  </si>
  <si>
    <t>1570680609841</t>
  </si>
  <si>
    <t>-Lqnr2oHpPx7aq8smuWI</t>
  </si>
  <si>
    <t>1570680617051</t>
  </si>
  <si>
    <t>-Lqnr4bIioKJ1vAyIYg6</t>
  </si>
  <si>
    <t>1570680624261</t>
  </si>
  <si>
    <t>-Lqnr6J3Hy6NgUY3KFvT</t>
  </si>
  <si>
    <t>1570680631451</t>
  </si>
  <si>
    <t>-Lqnr87Jz3O5FqK5_JU3</t>
  </si>
  <si>
    <t>1570680638702</t>
  </si>
  <si>
    <t>-Lqnr9bIZalemGhaZfcE</t>
  </si>
  <si>
    <t>1570680644853</t>
  </si>
  <si>
    <t>-LqnrBO2Y152IutXCTKK</t>
  </si>
  <si>
    <t>1570680652081</t>
  </si>
  <si>
    <t>-LqnrD7H6GvNrW61dYSh</t>
  </si>
  <si>
    <t>1570680659280</t>
  </si>
  <si>
    <t>-LqnrEmiMdgxGf53sWy0</t>
  </si>
  <si>
    <t>1570680665442</t>
  </si>
  <si>
    <t>-LqnrGNuTysGYW5f5sW0</t>
  </si>
  <si>
    <t>1570680672689</t>
  </si>
  <si>
    <t>-LqnrIB2bxxpGBqH7iKf</t>
  </si>
  <si>
    <t>1570680679911</t>
  </si>
  <si>
    <t>-LqnrJu2nxOJ00mEBjzl</t>
  </si>
  <si>
    <t>1570680687131</t>
  </si>
  <si>
    <t>-LqnrLh1pe_bBa-pLj-M</t>
  </si>
  <si>
    <t>1570680694331</t>
  </si>
  <si>
    <t>-LqnrNOnE7WCahG3upXW</t>
  </si>
  <si>
    <t>1570680701521</t>
  </si>
  <si>
    <t>-LqnrOz0F3RN5QhdSCdc</t>
  </si>
  <si>
    <t>1570680707721</t>
  </si>
  <si>
    <t>-LqnrQi8KyUGpFofmgPE</t>
  </si>
  <si>
    <t>1570680714957</t>
  </si>
  <si>
    <t>-LqnrSmCtkbRCyPM0Wt0</t>
  </si>
  <si>
    <t>1570680722162</t>
  </si>
  <si>
    <t>-LqnrUTIQVf7_aPjDM2j</t>
  </si>
  <si>
    <t>1570680730371</t>
  </si>
  <si>
    <t>-LqnrW1CYHMdIG76leZU</t>
  </si>
  <si>
    <t>1570680736560</t>
  </si>
  <si>
    <t>-LqnrXk9RN2cAq8UYOoR</t>
  </si>
  <si>
    <t>1570680743772</t>
  </si>
  <si>
    <t>-LqnrZI28IBuPjgxfkLZ</t>
  </si>
  <si>
    <t>1570680749961</t>
  </si>
  <si>
    <t>-Lqnra1JoywbMcfOe5Vt</t>
  </si>
  <si>
    <t>1570680757200</t>
  </si>
  <si>
    <t>-LqnrboErfuvuv-I2Zvn</t>
  </si>
  <si>
    <t>1570680764411</t>
  </si>
  <si>
    <t>-LqnrdX1u5GZIAoWmsuj</t>
  </si>
  <si>
    <t>1570680771601</t>
  </si>
  <si>
    <t>-LqnrfJuolIqAvakrE4r</t>
  </si>
  <si>
    <t>1570680778830</t>
  </si>
  <si>
    <t>-LqnrhazxZPqORafJIYY</t>
  </si>
  <si>
    <t>1570680787231</t>
  </si>
  <si>
    <t>-LqnrjJ1qcK64hrnWp-9</t>
  </si>
  <si>
    <t>1570680795299</t>
  </si>
  <si>
    <t>-Lqnrkt9KzVBkFCEo8p_</t>
  </si>
  <si>
    <t>1570680801492</t>
  </si>
  <si>
    <t>-Lqnrma2620M9fPbYITW</t>
  </si>
  <si>
    <t>1570680808725</t>
  </si>
  <si>
    <t>-Lqnro5JuCS10GYeLOTk</t>
  </si>
  <si>
    <t>1570680814891</t>
  </si>
  <si>
    <t>-LqnrpeJaNntZq6DXI-J</t>
  </si>
  <si>
    <t>1570680821081</t>
  </si>
  <si>
    <t>-LqnrrNHLCC9eLfZ4VeS</t>
  </si>
  <si>
    <t>1570680828311</t>
  </si>
  <si>
    <t>-Lqnrsv1qMwNy3oq5j4B</t>
  </si>
  <si>
    <t>1570680834470</t>
  </si>
  <si>
    <t>-Lqnruboxi8ogB79_Dc3</t>
  </si>
  <si>
    <t>1570680841660</t>
  </si>
  <si>
    <t>-LqnrwWYjllrcrZbAZrs</t>
  </si>
  <si>
    <t>1570680848904</t>
  </si>
  <si>
    <t>-Lqnry93uSL0vDSX2duf</t>
  </si>
  <si>
    <t>1570680856080</t>
  </si>
  <si>
    <t>-LqnrzkX9tMOm7qrtH3w</t>
  </si>
  <si>
    <t>1570680862289</t>
  </si>
  <si>
    <t>-Lqns0QwefezKRWVvT58</t>
  </si>
  <si>
    <t>1570680869502</t>
  </si>
  <si>
    <t>-Lqns2AbacvFeQeslwrI</t>
  </si>
  <si>
    <t>1570680876732</t>
  </si>
  <si>
    <t>-Lqns3jIv59vgWXm_EeB</t>
  </si>
  <si>
    <t>1570680882901</t>
  </si>
  <si>
    <t>-Lqns5XDSvufOo2s-zYC</t>
  </si>
  <si>
    <t>1570680890112</t>
  </si>
  <si>
    <t>-Lqns7DuzPjWQINqoJGl</t>
  </si>
  <si>
    <t>1570680897320</t>
  </si>
  <si>
    <t>-Lqns921vvw8YtLCfsSa</t>
  </si>
  <si>
    <t>1570680904541</t>
  </si>
  <si>
    <t>-LqnsAjujKtre1uKudra</t>
  </si>
  <si>
    <t>1570680911762</t>
  </si>
  <si>
    <t>-LqnsChPj-A3nnbJE9W7</t>
  </si>
  <si>
    <t>1570680918962</t>
  </si>
  <si>
    <t>-LqnsEGr3VyFHMncx0Yr</t>
  </si>
  <si>
    <t>1570680926161</t>
  </si>
  <si>
    <t>-LqnsFpE0QsFE5pZ-WCe</t>
  </si>
  <si>
    <t>1570680932361</t>
  </si>
  <si>
    <t>-LqnsHZIKwcbRrLDRDpk</t>
  </si>
  <si>
    <t>1570680939571</t>
  </si>
  <si>
    <t>-LqnsJL4Q98WvFUK7Fax</t>
  </si>
  <si>
    <t>1570680946792</t>
  </si>
  <si>
    <t>-LqnsL31BIpvY7bgH4Bg</t>
  </si>
  <si>
    <t>1570680954013</t>
  </si>
  <si>
    <t>-LqnsMquJLRXPwoR3xTo</t>
  </si>
  <si>
    <t>1570680961211</t>
  </si>
  <si>
    <t>-LqnsOYoXXMp7ZquOgHS</t>
  </si>
  <si>
    <t>1570680968402</t>
  </si>
  <si>
    <t>-LqnsQOH6GwCL_0JX-wk</t>
  </si>
  <si>
    <t>1570680975641</t>
  </si>
  <si>
    <t>-LqnsS6Izmov4DIAbRE3</t>
  </si>
  <si>
    <t>1570680982873</t>
  </si>
  <si>
    <t>-LqnsTeDl6PzJYr4HGs_</t>
  </si>
  <si>
    <t>1570680989041</t>
  </si>
  <si>
    <t>-LqnsVTArdR_RXBe4ebH</t>
  </si>
  <si>
    <t>1570680996251</t>
  </si>
  <si>
    <t>-LqnsXA1eCGrrKzC_WLC</t>
  </si>
  <si>
    <t>1570681003460</t>
  </si>
  <si>
    <t>-LqnsYu9PvsxFCoinjtl</t>
  </si>
  <si>
    <t>1570681010650</t>
  </si>
  <si>
    <t>-Lqns_RuvYgcXl_5SGEN</t>
  </si>
  <si>
    <t>1570681016860</t>
  </si>
  <si>
    <t>-LqnsbU1r-EzC8f5jWwn</t>
  </si>
  <si>
    <t>1570681025280</t>
  </si>
  <si>
    <t>-LqnsdDH1lCVnf3Rq6hW</t>
  </si>
  <si>
    <t>1570681032310</t>
  </si>
  <si>
    <t>-LqnsewJui-F9OMsCHYW</t>
  </si>
  <si>
    <t>1570681039532</t>
  </si>
  <si>
    <t>-LqnsgUDfN6oCDM-CSwg</t>
  </si>
  <si>
    <t>1570681045711</t>
  </si>
  <si>
    <t>-Lqnshy1dgw_6CYyZWPt</t>
  </si>
  <si>
    <t>1570681051892</t>
  </si>
  <si>
    <t>-Lqnsjl27DASHA0iyUe8</t>
  </si>
  <si>
    <t>1570681059100</t>
  </si>
  <si>
    <t>-LqnslUD51QnHCRz3mdu</t>
  </si>
  <si>
    <t>1570681066320</t>
  </si>
  <si>
    <t>-LqnsnH1Pp_fIy7w46d3</t>
  </si>
  <si>
    <t>1570681073530</t>
  </si>
  <si>
    <t>-Lqnsp-LAw92zPQE86b_</t>
  </si>
  <si>
    <t>1570681080720</t>
  </si>
  <si>
    <t>-LqnsqZ2rgloYD-qfn9H</t>
  </si>
  <si>
    <t>1570681086923</t>
  </si>
  <si>
    <t>-LqnssSMjTzIdIZItRRy</t>
  </si>
  <si>
    <t>1570681094152</t>
  </si>
  <si>
    <t>-Lqnsu4DoTAFxtPwOM9M</t>
  </si>
  <si>
    <t>1570681101351</t>
  </si>
  <si>
    <t>-Lqnsvn2w-HVVCRhOF9x</t>
  </si>
  <si>
    <t>1570681108571</t>
  </si>
  <si>
    <t>-Lqnsxa3bJWjPOF8VKd4</t>
  </si>
  <si>
    <t>1570681115772</t>
  </si>
  <si>
    <t>-LqnszK0X7MyrQWHv_Xd</t>
  </si>
  <si>
    <t>1570681122961</t>
  </si>
  <si>
    <t>-Lqnt-s3bROq1pvZY-Q_</t>
  </si>
  <si>
    <t>1570681129160</t>
  </si>
  <si>
    <t>-Lqnt1a1TP6bgrr72zhu</t>
  </si>
  <si>
    <t>1570681136381</t>
  </si>
  <si>
    <t>-Lqnt3PAYO7oa5-Yhh3l</t>
  </si>
  <si>
    <t>1570681143598</t>
  </si>
  <si>
    <t>-Lqnt57UPTtfjkVXqRVr</t>
  </si>
  <si>
    <t>1570681150802</t>
  </si>
  <si>
    <t>-Lqnt6tkRO2dO7VVa6X8</t>
  </si>
  <si>
    <t>1570681158020</t>
  </si>
  <si>
    <t>-Lqnt8cMmkBW0g-2jStS</t>
  </si>
  <si>
    <t>1570681165212</t>
  </si>
  <si>
    <t>-LqntAQFaSdu585Z7dtW</t>
  </si>
  <si>
    <t>1570681172441</t>
  </si>
  <si>
    <t>-LqntC830xjqMIGv5U60</t>
  </si>
  <si>
    <t>1570681179620</t>
  </si>
  <si>
    <t>-LqntDiIfOmTLbbHBoQc</t>
  </si>
  <si>
    <t>1570681185841</t>
  </si>
  <si>
    <t>-LqntFQ3p3_FddxMd-th</t>
  </si>
  <si>
    <t>1570681193042</t>
  </si>
  <si>
    <t>-LqntH-JixuCEfyMcuO7</t>
  </si>
  <si>
    <t>1570681199230</t>
  </si>
  <si>
    <t>-LqntIh4UGHlzggS_2mL</t>
  </si>
  <si>
    <t>1570681206448</t>
  </si>
  <si>
    <t>-LqntKVE8th7jObkW8xL</t>
  </si>
  <si>
    <t>1570681213661</t>
  </si>
  <si>
    <t>-LqntMD2l5aI-JEyGXY2</t>
  </si>
  <si>
    <t>1570681220892</t>
  </si>
  <si>
    <t>-LqntO0JhqdQGGXbls9G</t>
  </si>
  <si>
    <t>1570681228081</t>
  </si>
  <si>
    <t>-LqntPk0q_zCWxNibq0o</t>
  </si>
  <si>
    <t>1570681235282</t>
  </si>
  <si>
    <t>-LqntRX1qG6wXLeiHynk</t>
  </si>
  <si>
    <t>1570681242480</t>
  </si>
  <si>
    <t>-LqntTF1BZA9dWnPH-VL</t>
  </si>
  <si>
    <t>1570681249691</t>
  </si>
  <si>
    <t>-LqntZM4tSQIg4QMz80u</t>
  </si>
  <si>
    <t>1570681274625</t>
  </si>
  <si>
    <t>-Lqnta4hPk7BrLRE-EPE</t>
  </si>
  <si>
    <t>1570681281569</t>
  </si>
  <si>
    <t>-LqntbnJYvZNYdrhKT6p</t>
  </si>
  <si>
    <t>1570681288787</t>
  </si>
  <si>
    <t>-LqntdMGyEsenzAcT_Q8</t>
  </si>
  <si>
    <t>1570681294966</t>
  </si>
  <si>
    <t>-Lqntf31Ss_TabJcKo2s</t>
  </si>
  <si>
    <t>1570681302167</t>
  </si>
  <si>
    <t>-Lqntgr-bKMUJAB25Z8X</t>
  </si>
  <si>
    <t>1570681309389</t>
  </si>
  <si>
    <t>-Lqntia51oTgBpnVNLLm</t>
  </si>
  <si>
    <t>1570681316569</t>
  </si>
  <si>
    <t>-LqntkHGms1ZO9y5PqG1</t>
  </si>
  <si>
    <t>1570681322738</t>
  </si>
  <si>
    <t>-LqntlqrclP-cDYyF6p1</t>
  </si>
  <si>
    <t>1570681330007</t>
  </si>
  <si>
    <t>-LqntnMN4Tu3mo2iTBqP</t>
  </si>
  <si>
    <t>1570681336178</t>
  </si>
  <si>
    <t>-LqntovGdNmo1NgLpNr7</t>
  </si>
  <si>
    <t>1570681342358</t>
  </si>
  <si>
    <t>-LqntqdGA2TC8cjVBuRw</t>
  </si>
  <si>
    <t>1570681349546</t>
  </si>
  <si>
    <t>-LqntsCFtm7BWjPXPvZZ</t>
  </si>
  <si>
    <t>1570681355756</t>
  </si>
  <si>
    <t>-LqnttvG_H5N4LJxZLK9</t>
  </si>
  <si>
    <t>1570681362969</t>
  </si>
  <si>
    <t>-LqntvjMzhsKGt74MLqZ</t>
  </si>
  <si>
    <t>1570681370177</t>
  </si>
  <si>
    <t>-LqntxRG8ITxAosAlFNT</t>
  </si>
  <si>
    <t>1570681377366</t>
  </si>
  <si>
    <t>-Lqntyv7lo5XDFfidoQ0</t>
  </si>
  <si>
    <t>1570681383567</t>
  </si>
  <si>
    <t>-Lqnu-ZGUmqM3YyTHXB8</t>
  </si>
  <si>
    <t>1570681390020</t>
  </si>
  <si>
    <t>-Lqnu1CHWy90f8YIV0uY</t>
  </si>
  <si>
    <t>1570681396966</t>
  </si>
  <si>
    <t>-Lqnu2lOlBA8URvwPxRb</t>
  </si>
  <si>
    <t>1570681403157</t>
  </si>
  <si>
    <t>-Lqnu4UHYEZVB4XRBxxf</t>
  </si>
  <si>
    <t>1570681410337</t>
  </si>
  <si>
    <t>-Lqnu611RpwW_ZTQY7hi</t>
  </si>
  <si>
    <t>1570681416517</t>
  </si>
  <si>
    <t>-Lqnu7lOIahc2l2tSr6n</t>
  </si>
  <si>
    <t>1570681423788</t>
  </si>
  <si>
    <t>-Lqnu9ZOk4-SZeqjvS49</t>
  </si>
  <si>
    <t>1570681430967</t>
  </si>
  <si>
    <t>-LqnuBG2yzgwzJueAEPO</t>
  </si>
  <si>
    <t>1570681438168</t>
  </si>
  <si>
    <t>-LqnuD4GRv6y0hwAALIu</t>
  </si>
  <si>
    <t>1570681444358</t>
  </si>
  <si>
    <t>-LqnuEnGJDibRQr0H6Rq</t>
  </si>
  <si>
    <t>1570681452578</t>
  </si>
  <si>
    <t>-LqnuGMGNel5XEIHq27n</t>
  </si>
  <si>
    <t>1570681458767</t>
  </si>
  <si>
    <t>-LqnuI4K6xw2llr7h-aF</t>
  </si>
  <si>
    <t>1570681466025</t>
  </si>
  <si>
    <t>-LqnuJsF4VqDZarCP1TF</t>
  </si>
  <si>
    <t>1570681473206</t>
  </si>
  <si>
    <t>-LqnuLaFp67reMHcfUoI</t>
  </si>
  <si>
    <t>1570681480408</t>
  </si>
  <si>
    <t>-LqnuN9ILNVnefHcjrGl</t>
  </si>
  <si>
    <t>1570681486598</t>
  </si>
  <si>
    <t>-LqnuOsGmIEDptfre-G6</t>
  </si>
  <si>
    <t>1570681493818</t>
  </si>
  <si>
    <t>-LqnuQz5mtsUEI1IyxSk</t>
  </si>
  <si>
    <t>1570681501037</t>
  </si>
  <si>
    <t>-LqnuScFsyh9zuXxTyNg</t>
  </si>
  <si>
    <t>1570681509275</t>
  </si>
  <si>
    <t>-LqnuUQEHfaqU7c0CVRc</t>
  </si>
  <si>
    <t>1570681516526</t>
  </si>
  <si>
    <t>-LqnuW8EJYXvv5QjGDGp</t>
  </si>
  <si>
    <t>1570681523696</t>
  </si>
  <si>
    <t>-LqnuXg738bLJW078Kgl</t>
  </si>
  <si>
    <t>1570681529876</t>
  </si>
  <si>
    <t>-LqnuZQFH7VSlrqQbYWD</t>
  </si>
  <si>
    <t>1570681537107</t>
  </si>
  <si>
    <t>-Lqnu_zFnmdGVZWC03T3</t>
  </si>
  <si>
    <t>1570681543276</t>
  </si>
  <si>
    <t>-LqnubhFzdGRPz0MEnqS</t>
  </si>
  <si>
    <t>1570681550485</t>
  </si>
  <si>
    <t>-LqnudVNQrcGDRi9i0c7</t>
  </si>
  <si>
    <t>1570681557696</t>
  </si>
  <si>
    <t>-LqnufDE8r6Kw27iQv6x</t>
  </si>
  <si>
    <t>1570681564885</t>
  </si>
  <si>
    <t>-Lqnugl1WNsaFxlihU_A</t>
  </si>
  <si>
    <t>1570681571084</t>
  </si>
  <si>
    <t>-LqnuiU7hA6CiGia8aNO</t>
  </si>
  <si>
    <t>1570681578295</t>
  </si>
  <si>
    <t>-LqnukIMkPMu3REJVhtP</t>
  </si>
  <si>
    <t>1570681585515</t>
  </si>
  <si>
    <t>-Lqnum0Nv0pqSnODBv1U</t>
  </si>
  <si>
    <t>1570681592731</t>
  </si>
  <si>
    <t>-LqnunoMbz5CYpftD_uD</t>
  </si>
  <si>
    <t>1570681599946</t>
  </si>
  <si>
    <t>-LqnupXMzSyYrfp98IMN</t>
  </si>
  <si>
    <t>1570681607126</t>
  </si>
  <si>
    <t>-Lqnur4O4rNOYjL9HXZf</t>
  </si>
  <si>
    <t>1570681613316</t>
  </si>
  <si>
    <t>-LqnusoFqDRxVw1VnZhi</t>
  </si>
  <si>
    <t>1570681620566</t>
  </si>
  <si>
    <t>-LqnuuaCav5ME6BC2RJg</t>
  </si>
  <si>
    <t>1570681627769</t>
  </si>
  <si>
    <t>-LqnuwHaWSP2XGyUbyua</t>
  </si>
  <si>
    <t>1570681634964</t>
  </si>
  <si>
    <t>-LqnuxtD4eGWHNKrVw5-</t>
  </si>
  <si>
    <t>1570681641155</t>
  </si>
  <si>
    <t>-LqnuzbNOPZvOxRcqo2X</t>
  </si>
  <si>
    <t>1570681648366</t>
  </si>
  <si>
    <t>-Lqnv0PDNkb6pc74uZVH</t>
  </si>
  <si>
    <t>1570681655575</t>
  </si>
  <si>
    <t>-Lqnv267W28ZgTLGezyA</t>
  </si>
  <si>
    <t>1570681662806</t>
  </si>
  <si>
    <t>-Lqnv3u7l2NmNOG_F7L4</t>
  </si>
  <si>
    <t>1570681670004</t>
  </si>
  <si>
    <t>-Lqnv5d5mec4lqcIjwI6</t>
  </si>
  <si>
    <t>1570681677204</t>
  </si>
  <si>
    <t>-Lqnv7RFPeLKHvEj7byu</t>
  </si>
  <si>
    <t>1570681684426</t>
  </si>
  <si>
    <t>-Lqnv99F6_CS0dEISWrz</t>
  </si>
  <si>
    <t>1570681691606</t>
  </si>
  <si>
    <t>-LqnvAiFQYr-uAUTS2Hw</t>
  </si>
  <si>
    <t>1570681697794</t>
  </si>
  <si>
    <t>-LqnvCRFd9AO7MHjNXBq</t>
  </si>
  <si>
    <t>1570681705048</t>
  </si>
  <si>
    <t>-LqnvED-dOgeyoNAqwnA</t>
  </si>
  <si>
    <t>1570681712235</t>
  </si>
  <si>
    <t>-LqnvFxDr07vYbuGf_dt</t>
  </si>
  <si>
    <t>1570681719444</t>
  </si>
  <si>
    <t>-LqnvHkNEyUCFb9sqfOs</t>
  </si>
  <si>
    <t>1570681726665</t>
  </si>
  <si>
    <t>-LqnvJnY586KGE1tyLS7</t>
  </si>
  <si>
    <t>1570681733845</t>
  </si>
  <si>
    <t>-LqnvLTncoBbmS16SCSq</t>
  </si>
  <si>
    <t>1570681742081</t>
  </si>
  <si>
    <t>-LqnvMz4KTfJ4SsTgo5Z</t>
  </si>
  <si>
    <t>1570681748313</t>
  </si>
  <si>
    <t>-LqnvOYDVJq-y-FYnXBt</t>
  </si>
  <si>
    <t>1570681754484</t>
  </si>
  <si>
    <t>-LqnvQGEeXVxQiV8xmwd</t>
  </si>
  <si>
    <t>1570681761685</t>
  </si>
  <si>
    <t>-LqnvS3CmHgeAR1U9ojA</t>
  </si>
  <si>
    <t>1570681768895</t>
  </si>
  <si>
    <t>-LqnvTmDxhS1VFRXF3OI</t>
  </si>
  <si>
    <t>1570681776083</t>
  </si>
  <si>
    <t>-LqnvVG2p74mKs26yqRY</t>
  </si>
  <si>
    <t>1570681782294</t>
  </si>
  <si>
    <t>-LqnvWpCKrBrXfINs4Lk</t>
  </si>
  <si>
    <t>1570681788485</t>
  </si>
  <si>
    <t>-LqnvYayATE90musMXSy</t>
  </si>
  <si>
    <t>1570681795694</t>
  </si>
  <si>
    <t>-Lqnv_LCscJLlnmExeu0</t>
  </si>
  <si>
    <t>1570681802903</t>
  </si>
  <si>
    <t>-Lqnvb8DDu_-MVawdu7F</t>
  </si>
  <si>
    <t>1570681810114</t>
  </si>
  <si>
    <t>-LqnvcrCZiEOnQPU_hT-</t>
  </si>
  <si>
    <t>1570681817335</t>
  </si>
  <si>
    <t>-LqnveeC1BQd9fgwlZ8O</t>
  </si>
  <si>
    <t>1570681824544</t>
  </si>
  <si>
    <t>-LqnvgNDT-DhaDc1ZkDv</t>
  </si>
  <si>
    <t>1570681831776</t>
  </si>
  <si>
    <t>-Lqnvi8x7MFiaWq60LmI</t>
  </si>
  <si>
    <t>1570681839067</t>
  </si>
  <si>
    <t>-LqnvjtCN3KMr-f2Qmfi</t>
  </si>
  <si>
    <t>1570681846164</t>
  </si>
  <si>
    <t>-LqnvlSCaZvquwjWBkKn</t>
  </si>
  <si>
    <t>1570681852355</t>
  </si>
  <si>
    <t>-LqnvnADGDjbaAic4aGp</t>
  </si>
  <si>
    <t>1570681859576</t>
  </si>
  <si>
    <t>-LqnvoyEKNlwWwlDtjq1</t>
  </si>
  <si>
    <t>1570681866783</t>
  </si>
  <si>
    <t>-LqnvqgC1fzZMsn3w5f8</t>
  </si>
  <si>
    <t>1570681874003</t>
  </si>
  <si>
    <t>-LqnvsdNARoYwEKdHZP7</t>
  </si>
  <si>
    <t>1570681882073</t>
  </si>
  <si>
    <t>-LqnvuCK-pCDAhsifi8Q</t>
  </si>
  <si>
    <t>1570681888405</t>
  </si>
  <si>
    <t>-LqnvvlD95kgKVr5qgiX</t>
  </si>
  <si>
    <t>1570681894593</t>
  </si>
  <si>
    <t>-LqnvxUCKO2nnmBNZ5hq</t>
  </si>
  <si>
    <t>1570681901826</t>
  </si>
  <si>
    <t>-LqnvzHEjOSpW1rdpORG</t>
  </si>
  <si>
    <t>1570681909044</t>
  </si>
  <si>
    <t>-Lqnw0-DIGea5TsCfGMC</t>
  </si>
  <si>
    <t>1570681916243</t>
  </si>
  <si>
    <t>-Lqnw1nFZ5DUgJmlmRrC</t>
  </si>
  <si>
    <t>1570681923458</t>
  </si>
  <si>
    <t>-Lqnw3WLTHDQXXkp_b84</t>
  </si>
  <si>
    <t>1570681930645</t>
  </si>
  <si>
    <t>-Lqnw54D-Pr5wHi_yc9y</t>
  </si>
  <si>
    <t>1570681936845</t>
  </si>
  <si>
    <t>-Lqnw6nDM7xgTqgYHxTa</t>
  </si>
  <si>
    <t>1570681944063</t>
  </si>
  <si>
    <t>-Lqnw8aDeywO_Q8UUobE</t>
  </si>
  <si>
    <t>1570681951273</t>
  </si>
  <si>
    <t>-LqnwAJD1qnCmvqRqJn1</t>
  </si>
  <si>
    <t>1570681958483</t>
  </si>
  <si>
    <t>-LqnwC6DeGzl7bajf-Eo</t>
  </si>
  <si>
    <t>1570681965703</t>
  </si>
  <si>
    <t>-LqnwE8AZ3nout074iHK</t>
  </si>
  <si>
    <t>1570681974209</t>
  </si>
  <si>
    <t>-LqnwFrKSOg2_652DmPL</t>
  </si>
  <si>
    <t>1570681981162</t>
  </si>
  <si>
    <t>-LqnwHe9qRccA6ZudKXH</t>
  </si>
  <si>
    <t>1570681988372</t>
  </si>
  <si>
    <t>-LqnwJNKpLKXk_jaVk7t</t>
  </si>
  <si>
    <t>1570681995591</t>
  </si>
  <si>
    <t>-LqnwL5dy7HGm0T5tuYL</t>
  </si>
  <si>
    <t>1570682002801</t>
  </si>
  <si>
    <t>-LqnwMa_VRyNi3sPU7_j</t>
  </si>
  <si>
    <t>1570682008973</t>
  </si>
  <si>
    <t>-LqnwODK-vFpHMO8WkcE</t>
  </si>
  <si>
    <t>1570682015131</t>
  </si>
  <si>
    <t>-LqnwPwRSAseWq_5sJcU</t>
  </si>
  <si>
    <t>1570682022380</t>
  </si>
  <si>
    <t>-LqnwReKS8-SQj0nnSmH</t>
  </si>
  <si>
    <t>1570682029600</t>
  </si>
  <si>
    <t>-LqnwTDSkhhV4B9uYiKA</t>
  </si>
  <si>
    <t>1570682035771</t>
  </si>
  <si>
    <t>-LqnwUvOxuo1THhZ7Tb4</t>
  </si>
  <si>
    <t>1570682042972</t>
  </si>
  <si>
    <t>-LqnwWVKA3HzhzVkKx5f</t>
  </si>
  <si>
    <t>1570682049160</t>
  </si>
  <si>
    <t>-LqnwYDLhmO15MNz9DWm</t>
  </si>
  <si>
    <t>1570682056382</t>
  </si>
  <si>
    <t>-Lqnw_0RBs2m1qvc4pva</t>
  </si>
  <si>
    <t>1570682063590</t>
  </si>
  <si>
    <t>-LqnwajJoQCTAMuxtRB9</t>
  </si>
  <si>
    <t>1570682070810</t>
  </si>
  <si>
    <t>-LqnwcXKnFuSEVdcocli</t>
  </si>
  <si>
    <t>1570682078011</t>
  </si>
  <si>
    <t>-LqnweFSI-jJNpbniDW2</t>
  </si>
  <si>
    <t>1570682085212</t>
  </si>
  <si>
    <t>-LqnwfoOvcxX-o8pYMns</t>
  </si>
  <si>
    <t>1570682091411</t>
  </si>
  <si>
    <t>-LqnwhXJc_Ke_aCiYfTD</t>
  </si>
  <si>
    <t>1570682098621</t>
  </si>
  <si>
    <t>-LqnwjKJR8ztM7VQ8ZKd</t>
  </si>
  <si>
    <t>1570682105841</t>
  </si>
  <si>
    <t>-Lqnwl1OIH3xpy8abRoZ</t>
  </si>
  <si>
    <t>1570682113051</t>
  </si>
  <si>
    <t>-LqnwmqQcMHsLboNfjcK</t>
  </si>
  <si>
    <t>1570682120261</t>
  </si>
  <si>
    <t>-LqnwoYpIjFHrbXUc0Jn</t>
  </si>
  <si>
    <t>1570682127451</t>
  </si>
  <si>
    <t>-LqnwqRUrq1ZWvG10iFz</t>
  </si>
  <si>
    <t>1570682133641</t>
  </si>
  <si>
    <t>-Lqnws4LwBUAGiIGsD38</t>
  </si>
  <si>
    <t>1570682141919</t>
  </si>
  <si>
    <t>-LqnwtdQpnjj8XIzsH6_</t>
  </si>
  <si>
    <t>1570682148081</t>
  </si>
  <si>
    <t>-LqnwvMJLpBym7QadcYy</t>
  </si>
  <si>
    <t>1570682155292</t>
  </si>
  <si>
    <t>-Lqnwx9Rk1PwyrHUMkFu</t>
  </si>
  <si>
    <t>1570682162511</t>
  </si>
  <si>
    <t>-LqnwysJGi2UhD6k8BPo</t>
  </si>
  <si>
    <t>1570682169691</t>
  </si>
  <si>
    <t>-Lqnx-QWeg1IwdOhF4aR</t>
  </si>
  <si>
    <t>1570682175888</t>
  </si>
  <si>
    <t>-Lqnx18BkEB2096HXdWu</t>
  </si>
  <si>
    <t>1570682183110</t>
  </si>
  <si>
    <t>-Lqnx2xLRYVFdyR85k8k</t>
  </si>
  <si>
    <t>1570682190330</t>
  </si>
  <si>
    <t>-Lqnx4fJPIGfvMqp8k6N</t>
  </si>
  <si>
    <t>1570682197532</t>
  </si>
  <si>
    <t>-Lqnx6krDRoxcrXErcw8</t>
  </si>
  <si>
    <t>1570682204761</t>
  </si>
  <si>
    <t>-Lqnx8QEUY20QBIhW9m3</t>
  </si>
  <si>
    <t>1570682212956</t>
  </si>
  <si>
    <t>-Lqnx9zFQ-7lVNeDk0xx</t>
  </si>
  <si>
    <t>1570682219177</t>
  </si>
  <si>
    <t>-LqnxC0ITWQ2Y2UGY6d8</t>
  </si>
  <si>
    <t>1570682227447</t>
  </si>
  <si>
    <t>-LqnxDjE-0bP7sBVHVqO</t>
  </si>
  <si>
    <t>1570682234645</t>
  </si>
  <si>
    <t>-LqnxFXNqMR9Np72J0Ft</t>
  </si>
  <si>
    <t>1570682241835</t>
  </si>
  <si>
    <t>-LqnxHFF7LOTDQEH8Sz_</t>
  </si>
  <si>
    <t>1570682249059</t>
  </si>
  <si>
    <t>-LqnxJ2FkBgDW_b8I986</t>
  </si>
  <si>
    <t>1570682256267</t>
  </si>
  <si>
    <t>-LqnxKlYu9B7Lxk-T7nr</t>
  </si>
  <si>
    <t>1570682263447</t>
  </si>
  <si>
    <t>-LqnxMK3nqLHxb7yG6Bx</t>
  </si>
  <si>
    <t>1570682269637</t>
  </si>
  <si>
    <t>-LqnxO2E-Tq9RtEyL7Bf</t>
  </si>
  <si>
    <t>1570682276885</t>
  </si>
  <si>
    <t>-LqnxPqWP8fjn7SGb3dY</t>
  </si>
  <si>
    <t>1570682284087</t>
  </si>
  <si>
    <t>-LqnxRZFkP7VrT5H4cv4</t>
  </si>
  <si>
    <t>1570682291289</t>
  </si>
  <si>
    <t>-LqnxTME72apVcNaLzwK</t>
  </si>
  <si>
    <t>1570682298513</t>
  </si>
  <si>
    <t>-LqnxUqOxkTAw_-uJPkI</t>
  </si>
  <si>
    <t>1570682304687</t>
  </si>
  <si>
    <t>-LqnxWdGNhsgzjQ38TCz</t>
  </si>
  <si>
    <t>1570682311906</t>
  </si>
  <si>
    <t>-LqnxYNVb6bkR-wMwIiC</t>
  </si>
  <si>
    <t>1570682319125</t>
  </si>
  <si>
    <t>-Lqnx_9YQu4kR7fN5tlL</t>
  </si>
  <si>
    <t>1570682326326</t>
  </si>
  <si>
    <t>-LqnxbQEBuGeUeLI28bl</t>
  </si>
  <si>
    <t>1570682333527</t>
  </si>
  <si>
    <t>-Lqnxd8FnqIcdSftLiQ5</t>
  </si>
  <si>
    <t>1570682342806</t>
  </si>
  <si>
    <t>-LqnxewGOh-_M8jJVgbS</t>
  </si>
  <si>
    <t>1570682350027</t>
  </si>
  <si>
    <t>-LqnxgeGZoifrdE414Jd</t>
  </si>
  <si>
    <t>1570682357207</t>
  </si>
  <si>
    <t>-LqnxiDF5xbNYIVw1Ycm</t>
  </si>
  <si>
    <t>1570682363405</t>
  </si>
  <si>
    <t>-LqnxjwGYFmb-00gMgf3</t>
  </si>
  <si>
    <t>1570682370646</t>
  </si>
  <si>
    <t>-LqnxljMdXatmCbm84p1</t>
  </si>
  <si>
    <t>1570682377847</t>
  </si>
  <si>
    <t>-LqnxnSF_M2B1obOfi1p</t>
  </si>
  <si>
    <t>1570682385046</t>
  </si>
  <si>
    <t>-Lqnxp0E_0tiFM5xTY--</t>
  </si>
  <si>
    <t>1570682391235</t>
  </si>
  <si>
    <t>-LqnxqjFcxyKLViamWXu</t>
  </si>
  <si>
    <t>1570682398455</t>
  </si>
  <si>
    <t>-LqnxslGVkBG5kCuovJV</t>
  </si>
  <si>
    <t>1570682406719</t>
  </si>
  <si>
    <t>-LqnxuT9kLFB9vAbwA5R</t>
  </si>
  <si>
    <t>1570682413905</t>
  </si>
  <si>
    <t>-Lqnxw2GVQN29147R6yW</t>
  </si>
  <si>
    <t>1570682420104</t>
  </si>
  <si>
    <t>-LqnxxlF3VAkTxh4GFnL</t>
  </si>
  <si>
    <t>1570682427287</t>
  </si>
  <si>
    <t>-LqnxzJ7tiXP_e1I47sa</t>
  </si>
  <si>
    <t>1570682433486</t>
  </si>
  <si>
    <t>-Lqny0NvTyIXnIE7lpzh</t>
  </si>
  <si>
    <t>1570682440697</t>
  </si>
  <si>
    <t>-Lqny24Ec_pgW8vagicf</t>
  </si>
  <si>
    <t>1570682448945</t>
  </si>
  <si>
    <t>-Lqny3sErWstax629A5S</t>
  </si>
  <si>
    <t>1570682456155</t>
  </si>
  <si>
    <t>-Lqny5aEddoZvnE9Bnzr</t>
  </si>
  <si>
    <t>1570682463364</t>
  </si>
  <si>
    <t>-Lqny7rFhaOhdxdyZj7N</t>
  </si>
  <si>
    <t>1570682470592</t>
  </si>
  <si>
    <t>-Lqny9_Dkd1y8gTli-kb</t>
  </si>
  <si>
    <t>1570682479855</t>
  </si>
  <si>
    <t>-LqnyB8M3aKd-lQy6Tz1</t>
  </si>
  <si>
    <t>1570682486044</t>
  </si>
  <si>
    <t>-LqnyCrEeCSz5zq667TJ</t>
  </si>
  <si>
    <t>1570682493276</t>
  </si>
  <si>
    <t>-LqnyEQDboaHOJtKwePw</t>
  </si>
  <si>
    <t>1570682499435</t>
  </si>
  <si>
    <t>-LqnyG8Nb5_FrkhN1280</t>
  </si>
  <si>
    <t>1570682506637</t>
  </si>
  <si>
    <t>-LqnyHwGKxXMRet-UyuV</t>
  </si>
  <si>
    <t>1570682513866</t>
  </si>
  <si>
    <t>-LqnyJeFBlPH7I2760Gm</t>
  </si>
  <si>
    <t>1570682521054</t>
  </si>
  <si>
    <t>-LqnyLDLLBhdCYlq8Oec</t>
  </si>
  <si>
    <t>1570682527245</t>
  </si>
  <si>
    <t>-LqnyMwFDEa1sD9dMYCM</t>
  </si>
  <si>
    <t>1570682534484</t>
  </si>
  <si>
    <t>-LqnyOjFuVWJieWLUEIZ</t>
  </si>
  <si>
    <t>1570682541695</t>
  </si>
  <si>
    <t>-LqnyQSE6endp13HUXKK</t>
  </si>
  <si>
    <t>1570682548884</t>
  </si>
  <si>
    <t>-LqnyS3oBo8m25q7eMUL</t>
  </si>
  <si>
    <t>1570682555516</t>
  </si>
  <si>
    <t>-LqnyTjEgmToL3t0c9Ay</t>
  </si>
  <si>
    <t>1570682562308</t>
  </si>
  <si>
    <t>-LqnyVXE2svMw9aw-8ow</t>
  </si>
  <si>
    <t>1570682569514</t>
  </si>
  <si>
    <t>-LqnyXFDwek6fnO1TOR1</t>
  </si>
  <si>
    <t>1570682576724</t>
  </si>
  <si>
    <t>-LqnyZ2EGawbusb2y0KX</t>
  </si>
  <si>
    <t>1570682583945</t>
  </si>
  <si>
    <t>-Lqny_lNMilx0ambfOML</t>
  </si>
  <si>
    <t>1570682591127</t>
  </si>
  <si>
    <t>-LqnybKE_JcnC2lh725l</t>
  </si>
  <si>
    <t>1570682597315</t>
  </si>
  <si>
    <t>-Lqnyd2NqLa2U34f4Ged</t>
  </si>
  <si>
    <t>1570682604565</t>
  </si>
  <si>
    <t>-LqnyeqEKA_0QlzJJ1Jz</t>
  </si>
  <si>
    <t>1570682611773</t>
  </si>
  <si>
    <t>-LqnygZEu_daiH4GkjGA</t>
  </si>
  <si>
    <t>1570682618964</t>
  </si>
  <si>
    <t>-Lqnyi7DX_5pfx2b5LHp</t>
  </si>
  <si>
    <t>1570682625154</t>
  </si>
  <si>
    <t>-LqnyjqE0PX_o5CwzHla</t>
  </si>
  <si>
    <t>1570682632377</t>
  </si>
  <si>
    <t>-LqnyldNna8329CEGSjT</t>
  </si>
  <si>
    <t>1570682639596</t>
  </si>
  <si>
    <t>-LqnynMEBUqDo0acuvbu</t>
  </si>
  <si>
    <t>1570682646812</t>
  </si>
  <si>
    <t>-Lqnyp9D7T4cXwaUvxCz</t>
  </si>
  <si>
    <t>1570682654026</t>
  </si>
  <si>
    <t>-LqnyqsDoFFp9pzblqGh</t>
  </si>
  <si>
    <t>1570682661204</t>
  </si>
  <si>
    <t>-LqnysRMAqFCJLyyg7Vn</t>
  </si>
  <si>
    <t>1570682667416</t>
  </si>
  <si>
    <t>-Lqnyu7yu721o3488vOQ</t>
  </si>
  <si>
    <t>1570682674644</t>
  </si>
  <si>
    <t>-LqnywVMOyNs9Tv62uB2</t>
  </si>
  <si>
    <t>1570682682875</t>
  </si>
  <si>
    <t>-LqnyyDLqWve7snMcwjP</t>
  </si>
  <si>
    <t>1570682691125</t>
  </si>
  <si>
    <t>-LqnyzwDacZplPgsWcO5</t>
  </si>
  <si>
    <t>1570682698326</t>
  </si>
  <si>
    <t>-Lqnz0jDs1AgeCSTEbyh</t>
  </si>
  <si>
    <t>1570682705546</t>
  </si>
  <si>
    <t>-Lqnz2SELTV2_NFVROT8</t>
  </si>
  <si>
    <t>1570682712735</t>
  </si>
  <si>
    <t>-Lqnz40Eb7UJGsXekBUY</t>
  </si>
  <si>
    <t>1570682718946</t>
  </si>
  <si>
    <t>-Lqnz5jDhlYpCVwCUz1W</t>
  </si>
  <si>
    <t>1570682726166</t>
  </si>
  <si>
    <t>-Lqnz7XIwKblSkFEeLWm</t>
  </si>
  <si>
    <t>1570682733374</t>
  </si>
  <si>
    <t>-Lqnz9E6wohdtD4fZXdI</t>
  </si>
  <si>
    <t>1570682740564</t>
  </si>
  <si>
    <t>-LqnzB2LNTcb84UvUQ4V</t>
  </si>
  <si>
    <t>1570682747795</t>
  </si>
  <si>
    <t>-LqnzClL8Y4lHQS4fxXc</t>
  </si>
  <si>
    <t>1570682755028</t>
  </si>
  <si>
    <t>-LqnzELcsSSnCsqVwLIg</t>
  </si>
  <si>
    <t>1570682761206</t>
  </si>
  <si>
    <t>-LqnzG2DNmzw5UPMZa_Y</t>
  </si>
  <si>
    <t>1570682768406</t>
  </si>
  <si>
    <t>-LqnzHqYFecv71laijXl</t>
  </si>
  <si>
    <t>1570682775626</t>
  </si>
  <si>
    <t>-LqnzJnM3_SPicAftlQl</t>
  </si>
  <si>
    <t>1570682782814</t>
  </si>
  <si>
    <t>-LqnzLNNrG80S56KCtlK</t>
  </si>
  <si>
    <t>1570682790054</t>
  </si>
  <si>
    <t>-LqnzN4NnC-90YDVdfmt</t>
  </si>
  <si>
    <t>1570682797266</t>
  </si>
  <si>
    <t>-LqnzOsDTAID7CkiMAwq</t>
  </si>
  <si>
    <t>1570682804493</t>
  </si>
  <si>
    <t>-LqnzQfFzir5db26Z_Yz</t>
  </si>
  <si>
    <t>1570682811702</t>
  </si>
  <si>
    <t>-LqnzSOD1i6q0CrHPotn</t>
  </si>
  <si>
    <t>1570682818906</t>
  </si>
  <si>
    <t>-LqnzUBEEL70Kym95-_n</t>
  </si>
  <si>
    <t>1570682826124</t>
  </si>
  <si>
    <t>-LqnzVuNoHyLBANS52wH</t>
  </si>
  <si>
    <t>1570682833339</t>
  </si>
  <si>
    <t>-LqnzXhEJwiTr0f8PBDB</t>
  </si>
  <si>
    <t>1570682840555</t>
  </si>
  <si>
    <t>-LqnzZQF82GaWKwxdzIX</t>
  </si>
  <si>
    <t>1570682847765</t>
  </si>
  <si>
    <t>-Lqnz_zE-OUFv9scIt3M</t>
  </si>
  <si>
    <t>1570682853947</t>
  </si>
  <si>
    <t>-LqnzbhDLmV8n8Fp709E</t>
  </si>
  <si>
    <t>1570682861166</t>
  </si>
  <si>
    <t>-LqnzdVFcLrwaLnM4ZhK</t>
  </si>
  <si>
    <t>1570682868375</t>
  </si>
  <si>
    <t>-LqnzfDZ5-BOn1Amv5MY</t>
  </si>
  <si>
    <t>1570682875605</t>
  </si>
  <si>
    <t>-Lqnzh0KwiotugBtzsYb</t>
  </si>
  <si>
    <t>1570682882804</t>
  </si>
  <si>
    <t>-LqnzijLRKSpxPQYpoOG</t>
  </si>
  <si>
    <t>1570682890004</t>
  </si>
  <si>
    <t>-LqnzkWPgVzGLwhrz3cW</t>
  </si>
  <si>
    <t>1570682897234</t>
  </si>
  <si>
    <t>-LqnzmFExCQdon_fA41c</t>
  </si>
  <si>
    <t>1570682904472</t>
  </si>
  <si>
    <t>-LqnznoDAjU_Wa2w3SO0</t>
  </si>
  <si>
    <t>1570682910635</t>
  </si>
  <si>
    <t>-LqnzpnaHXvaSnAwZqRa</t>
  </si>
  <si>
    <t>1570682917848</t>
  </si>
  <si>
    <t>-LqnzrKH_LAkA2bhAvQh</t>
  </si>
  <si>
    <t>1570682925066</t>
  </si>
  <si>
    <t>-Lqnzt2ElhEk1hEN3gWR</t>
  </si>
  <si>
    <t>1570682932246</t>
  </si>
  <si>
    <t>-LqnzubMZiQkL1G8NhgK</t>
  </si>
  <si>
    <t>1570682938435</t>
  </si>
  <si>
    <t>-LqnzwKEfsYC6HKCZWBk</t>
  </si>
  <si>
    <t>1570682945685</t>
  </si>
  <si>
    <t>-Lqnzy7FOVJ-byXryz3e</t>
  </si>
  <si>
    <t>1570682952896</t>
  </si>
  <si>
    <t>-LqnzzqFVulyNpKyPzV3</t>
  </si>
  <si>
    <t>1570682960086</t>
  </si>
  <si>
    <t>-Lqo-0O6fy1Qu8V1ow4Y</t>
  </si>
  <si>
    <t>1570682966286</t>
  </si>
  <si>
    <t>-Lqo-2RGSAZkuwVMggn4</t>
  </si>
  <si>
    <t>1570682974605</t>
  </si>
  <si>
    <t>-Lqo-4T5wRtSXw1GQ8DQ</t>
  </si>
  <si>
    <t>1570682981748</t>
  </si>
  <si>
    <t>-Lqo-6BEo-9ZLoIFZjXR</t>
  </si>
  <si>
    <t>1570682989965</t>
  </si>
  <si>
    <t>-Lqo-7t8V7rbcoo_8W0k</t>
  </si>
  <si>
    <t>1570682997206</t>
  </si>
  <si>
    <t>-Lqo-9hFC_gnOZDvZ9ta</t>
  </si>
  <si>
    <t>1570683004415</t>
  </si>
  <si>
    <t>-Lqo-BQ4VwxmbzdlnBTr</t>
  </si>
  <si>
    <t>1570683011607</t>
  </si>
  <si>
    <t>-Lqo-CzFJ8bDfdhveuBS</t>
  </si>
  <si>
    <t>1570683017797</t>
  </si>
  <si>
    <t>-Lqo-EgFLxqLIhjNcV3A</t>
  </si>
  <si>
    <t>1570683025045</t>
  </si>
  <si>
    <t>-Lqo-GVFbkqThgHaRZIu</t>
  </si>
  <si>
    <t>1570683032256</t>
  </si>
  <si>
    <t>-Lqo-IDEb7Dwb-gYaFBL</t>
  </si>
  <si>
    <t>1570683039448</t>
  </si>
  <si>
    <t>-Lqo-K0ES9GAtCIXHLfz</t>
  </si>
  <si>
    <t>1570683046677</t>
  </si>
  <si>
    <t>-Lqo-Lj6RbyZOiCkwXAQ</t>
  </si>
  <si>
    <t>1570683053906</t>
  </si>
  <si>
    <t>-Lqo-NIhxRmoYm3ePezB</t>
  </si>
  <si>
    <t>1570683060077</t>
  </si>
  <si>
    <t>-Lqo-P0WtvvXf1xyO_SD</t>
  </si>
  <si>
    <t>1570683067286</t>
  </si>
  <si>
    <t>-Lqo-QnA68gYFn0GsDdd</t>
  </si>
  <si>
    <t>1570683074505</t>
  </si>
  <si>
    <t>-Lqo-SXFd9Dq6J6JtTG4</t>
  </si>
  <si>
    <t>1570683081686</t>
  </si>
  <si>
    <t>-Lqo-U5HBJ-QOxJelYI9</t>
  </si>
  <si>
    <t>1570683087886</t>
  </si>
  <si>
    <t>-Lqo-Vo782vWx06Bdni8</t>
  </si>
  <si>
    <t>1570683095126</t>
  </si>
  <si>
    <t>-Lqo-XbFe1_8ymiW7eLR</t>
  </si>
  <si>
    <t>1570683102329</t>
  </si>
  <si>
    <t>-Lqo-ZVh232gHhHo5-pI</t>
  </si>
  <si>
    <t>1570683109527</t>
  </si>
  <si>
    <t>-Lqo-a7GANq5i2cRPHjU</t>
  </si>
  <si>
    <t>1570683116755</t>
  </si>
  <si>
    <t>-Lqo-bp8hKn4mZZrCJJh</t>
  </si>
  <si>
    <t>1570683123945</t>
  </si>
  <si>
    <t>-Lqo-dO6IoIEq_DxI0bN</t>
  </si>
  <si>
    <t>1570683130168</t>
  </si>
  <si>
    <t>-Lqo-f66tXRAD-ILNDAk</t>
  </si>
  <si>
    <t>1570683137369</t>
  </si>
  <si>
    <t>-Lqo-hEHrubL3zugX3Ip</t>
  </si>
  <si>
    <t>1570683144588</t>
  </si>
  <si>
    <t>-Lqo-nnj9p9VyFB5zD8a</t>
  </si>
  <si>
    <t>1570683172858</t>
  </si>
  <si>
    <t>-Lqo-pWR13Y0BbW6mfCB</t>
  </si>
  <si>
    <t>1570683179860</t>
  </si>
  <si>
    <t>-Lqo-rJKFubOJPeZnz3A</t>
  </si>
  <si>
    <t>1570683187070</t>
  </si>
  <si>
    <t>-Lqo-t1IyL5IO2NCvHcr</t>
  </si>
  <si>
    <t>1570683194290</t>
  </si>
  <si>
    <t>-Lqo-upIJAl6YEwATtjE</t>
  </si>
  <si>
    <t>1570683201500</t>
  </si>
  <si>
    <t>-Lqo-wYJ_T15nWHN3RY3</t>
  </si>
  <si>
    <t>1570683208710</t>
  </si>
  <si>
    <t>-Lqo-yLH1XP_RjpLiYde</t>
  </si>
  <si>
    <t>1570683215940</t>
  </si>
  <si>
    <t>-Lqo0-3H8oE6RxjK_F45</t>
  </si>
  <si>
    <t>1570683223129</t>
  </si>
  <si>
    <t>-Lqo00c8u_0v69jKEG5B</t>
  </si>
  <si>
    <t>1570683229320</t>
  </si>
  <si>
    <t>-Lqo02LHztKhSbal-54o</t>
  </si>
  <si>
    <t>1570683236548</t>
  </si>
  <si>
    <t>-Lqo043oEtCuPd6QjZpp</t>
  </si>
  <si>
    <t>1570683243742</t>
  </si>
  <si>
    <t>-Lqo05djM2p5jb-zeF8f</t>
  </si>
  <si>
    <t>1570683249942</t>
  </si>
  <si>
    <t>-Lqo07MBp5HFaR6KTTMZ</t>
  </si>
  <si>
    <t>1570683257137</t>
  </si>
  <si>
    <t>-Lqo08sqhp9T6qQgwaw9</t>
  </si>
  <si>
    <t>1570683263367</t>
  </si>
  <si>
    <t>-Lqo0AgFbmZWd4Lc-xk3</t>
  </si>
  <si>
    <t>1570683269801</t>
  </si>
  <si>
    <t>-Lqo0COqKNAhP5fKf7z4</t>
  </si>
  <si>
    <t>1570683277767</t>
  </si>
  <si>
    <t>-Lqo0Dtd_L2HUCbjyEaX</t>
  </si>
  <si>
    <t>1570683283951</t>
  </si>
  <si>
    <t>-Lqo0FQ2hV7G5w_8lPM3</t>
  </si>
  <si>
    <t>1570683290131</t>
  </si>
  <si>
    <t>-Lqo0HCzY84vnuBwBRdz</t>
  </si>
  <si>
    <t>1570683297332</t>
  </si>
  <si>
    <t>-Lqo0IvujgJhBToPEGnp</t>
  </si>
  <si>
    <t>1570683304561</t>
  </si>
  <si>
    <t>-Lqo0KSOT6zeUAvWxhux</t>
  </si>
  <si>
    <t>1570683310761</t>
  </si>
  <si>
    <t>-Lqo0Lyf95D_FWbsCFxs</t>
  </si>
  <si>
    <t>1570683316938</t>
  </si>
  <si>
    <t>-Lqo0NSuW5nfCPAIXg4a</t>
  </si>
  <si>
    <t>1570683323097</t>
  </si>
  <si>
    <t>-Lqo0Oz0E_38FRbnbLT8</t>
  </si>
  <si>
    <t>1570683329306</t>
  </si>
  <si>
    <t>-Lqo0QU_3QI8AYyL0jUu</t>
  </si>
  <si>
    <t>1570683335476</t>
  </si>
  <si>
    <t>-Lqo0S1pSbycrYE7R6mc</t>
  </si>
  <si>
    <t>1570683341729</t>
  </si>
  <si>
    <t>-Lqo0Tl8oLa3WiqlINm1</t>
  </si>
  <si>
    <t>1570683348878</t>
  </si>
  <si>
    <t>-Lqo0VZH7GNqn8ywllFF</t>
  </si>
  <si>
    <t>1570683356098</t>
  </si>
  <si>
    <t>-Lqo0XH66M7ALGGqAFDs</t>
  </si>
  <si>
    <t>1570683363299</t>
  </si>
  <si>
    <t>-Lqo0YqJ_Z8F9fML9QSy</t>
  </si>
  <si>
    <t>1570683369467</t>
  </si>
  <si>
    <t>-Lqo0_YxVma_rTSdKy30</t>
  </si>
  <si>
    <t>1570683376719</t>
  </si>
  <si>
    <t>-Lqo0b767NeG2TakDVpY</t>
  </si>
  <si>
    <t>1570683382889</t>
  </si>
  <si>
    <t>-Lqo0cpZlu8cOkY9eb9n</t>
  </si>
  <si>
    <t>1570683390109</t>
  </si>
  <si>
    <t>-Lqo0ex5B3E8aVCi2LBL</t>
  </si>
  <si>
    <t>1570683397319</t>
  </si>
  <si>
    <t>-Lqo0ggJSig-iSh3an5L</t>
  </si>
  <si>
    <t>1570683405544</t>
  </si>
  <si>
    <t>-Lqo0iOFlnEqRIGvpMCV</t>
  </si>
  <si>
    <t>1570683412785</t>
  </si>
  <si>
    <t>-Lqo0k64AZpA3vkWViKj</t>
  </si>
  <si>
    <t>1570683419985</t>
  </si>
  <si>
    <t>-Lqo0le0iCcByKQ_xMsK</t>
  </si>
  <si>
    <t>1570683426176</t>
  </si>
  <si>
    <t>-Lqo0nNwgM0hSc-Fz4Yr</t>
  </si>
  <si>
    <t>1570683433356</t>
  </si>
  <si>
    <t>-Lqo0p7L3mdi7yBBh80H</t>
  </si>
  <si>
    <t>1570683439547</t>
  </si>
  <si>
    <t>-Lqo0qf2ZyWklqNvN0Km</t>
  </si>
  <si>
    <t>1570683446794</t>
  </si>
  <si>
    <t>-Lqo0s95rRnDwY1hhCrl</t>
  </si>
  <si>
    <t>1570683452964</t>
  </si>
  <si>
    <t>-Lqo0th-Iwq-o6gJT7ey</t>
  </si>
  <si>
    <t>1570683459155</t>
  </si>
  <si>
    <t>-Lqo0vR2Ny25VSRXQtBy</t>
  </si>
  <si>
    <t>1570683466385</t>
  </si>
  <si>
    <t>-Lqo0x-2m-p2pAi-GLtb</t>
  </si>
  <si>
    <t>1570683472555</t>
  </si>
  <si>
    <t>-Lqo0yn2aG9ihyFBPk3u</t>
  </si>
  <si>
    <t>1570683480039</t>
  </si>
  <si>
    <t>-Lqo1-Uz-VXq4rdvodRR</t>
  </si>
  <si>
    <t>1570683486985</t>
  </si>
  <si>
    <t>-Lqo11m4lXUfaRr_Zv-M</t>
  </si>
  <si>
    <t>1570683494214</t>
  </si>
  <si>
    <t>-Lqo13VFIL4gpZnsongK</t>
  </si>
  <si>
    <t>1570683503444</t>
  </si>
  <si>
    <t>-Lqo1533-qTpCV_h3wMy</t>
  </si>
  <si>
    <t>1570683509626</t>
  </si>
  <si>
    <t>-Lqo16m3e8m9BsR_S3pf</t>
  </si>
  <si>
    <t>1570683516875</t>
  </si>
  <si>
    <t>-Lqo18VVA_djrYjAqulD</t>
  </si>
  <si>
    <t>1570683524097</t>
  </si>
  <si>
    <t>-Lqo1A1ZU8j0MHk3oAyw</t>
  </si>
  <si>
    <t>1570683530269</t>
  </si>
  <si>
    <t>-Lqo1Bd8ks2Tm3tXqY-O</t>
  </si>
  <si>
    <t>1570683536497</t>
  </si>
  <si>
    <t>-Lqo1DJwpygUxY31Zrkl</t>
  </si>
  <si>
    <t>1570683543689</t>
  </si>
  <si>
    <t>-Lqo1ErPVGqOgNg25She</t>
  </si>
  <si>
    <t>1570683549857</t>
  </si>
  <si>
    <t>-Lqo1GMTcsGRD-25spxt</t>
  </si>
  <si>
    <t>1570683556023</t>
  </si>
  <si>
    <t>-Lqo1I4GSfWieDOfFzdq</t>
  </si>
  <si>
    <t>1570683563234</t>
  </si>
  <si>
    <t>-Lqo1Jcd6D7iiU2VpyPU</t>
  </si>
  <si>
    <t>1570683569512</t>
  </si>
  <si>
    <t>-Lqo1LMmeYF8MoUcmNe5</t>
  </si>
  <si>
    <t>1570683576648</t>
  </si>
  <si>
    <t>-Lqo1MrznGGtf1AKWJbP</t>
  </si>
  <si>
    <t>1570683582808</t>
  </si>
  <si>
    <t>-Lqo1OTIMGPA4ygmIRHi</t>
  </si>
  <si>
    <t>1570683589047</t>
  </si>
  <si>
    <t>-Lqo1Q93CmXdNMEJhnxa</t>
  </si>
  <si>
    <t>1570683596242</t>
  </si>
  <si>
    <t>-Lqo1ReUoCP_Or98DmmM</t>
  </si>
  <si>
    <t>1570683602403</t>
  </si>
  <si>
    <t>-Lqo1THSIddxWK1ioyA5</t>
  </si>
  <si>
    <t>1570683608953</t>
  </si>
  <si>
    <t>-Lqo1VQS-Ei2i8PWvYxf</t>
  </si>
  <si>
    <t>1570683615843</t>
  </si>
  <si>
    <t>-Lqo1XB5y4P5kmDxSVA6</t>
  </si>
  <si>
    <t>1570683624063</t>
  </si>
  <si>
    <t>-Lqo1YfxiqahFnjf4Uwr</t>
  </si>
  <si>
    <t>1570683631256</t>
  </si>
  <si>
    <t>-Lqo1_CDUdV8Gt0jedoK</t>
  </si>
  <si>
    <t>1570683637455</t>
  </si>
  <si>
    <t>-Lqo1b3RBofOKnosJNhc</t>
  </si>
  <si>
    <t>1570683644940</t>
  </si>
  <si>
    <t>-Lqo1cjjMa9HvVLobduX</t>
  </si>
  <si>
    <t>1570683651899</t>
  </si>
  <si>
    <t>-Lqo1eEzphoOJ35P2QWQ</t>
  </si>
  <si>
    <t>1570683658064</t>
  </si>
  <si>
    <t>-Lqo1fk4Q_GkFpkbfW-v</t>
  </si>
  <si>
    <t>1570683664284</t>
  </si>
  <si>
    <t>-Lqo1hFOqqvBVM8JU2mL</t>
  </si>
  <si>
    <t>1570683670419</t>
  </si>
  <si>
    <t>-Lqo1iohHsSp2rA--ons</t>
  </si>
  <si>
    <t>1570683676774</t>
  </si>
  <si>
    <t>-Lqo1kg9GrxPPp3v147w</t>
  </si>
  <si>
    <t>1570683683838</t>
  </si>
  <si>
    <t>-Lqo1mNpYYnPTkutWSUl</t>
  </si>
  <si>
    <t>1570683691033</t>
  </si>
  <si>
    <t>-Lqo1o2QoGIUbgBT3Upq</t>
  </si>
  <si>
    <t>1570683698258</t>
  </si>
  <si>
    <t>-Lqo1pZk5nEOWuAzlRH4</t>
  </si>
  <si>
    <t>1570683704437</t>
  </si>
  <si>
    <t>-Lqo1r5A-Pd7ti1rq5gX</t>
  </si>
  <si>
    <t>1570683710678</t>
  </si>
  <si>
    <t>-Lqo1s_BDNCV1Apoiyv7</t>
  </si>
  <si>
    <t>1570683716827</t>
  </si>
  <si>
    <t>-Lqo1u4Q3mSw6UIxBJKK</t>
  </si>
  <si>
    <t>1570683722987</t>
  </si>
  <si>
    <t>-Lqo1vZnGuZMkSifsRTC</t>
  </si>
  <si>
    <t>1570683729167</t>
  </si>
  <si>
    <t>-Lqo1x8vrkIuR4TEkZ9_</t>
  </si>
  <si>
    <t>1570683735469</t>
  </si>
  <si>
    <t>-Lqo1yvxfA8-SGAt1tvQ</t>
  </si>
  <si>
    <t>1570683742634</t>
  </si>
  <si>
    <t>-Lqo2-fCWNzk3-s6h8DD</t>
  </si>
  <si>
    <t>1570683749847</t>
  </si>
  <si>
    <t>-Lqo21ODIKhfB0n4Pgii</t>
  </si>
  <si>
    <t>1570683757008</t>
  </si>
  <si>
    <t>-Lqo22yX9541HjSHRBYR</t>
  </si>
  <si>
    <t>1570683763224</t>
  </si>
  <si>
    <t>-Lqo24glhOUkECErGQIm</t>
  </si>
  <si>
    <t>1570683770424</t>
  </si>
  <si>
    <t>-Lqo26R7IDYw0YhVEKl6</t>
  </si>
  <si>
    <t>1570683777603</t>
  </si>
  <si>
    <t>-Lqo27vpVumB_G1bWbTH</t>
  </si>
  <si>
    <t>1570683783797</t>
  </si>
  <si>
    <t>-Lqo29Wm927AHLNyajtd</t>
  </si>
  <si>
    <t>1570683790063</t>
  </si>
  <si>
    <t>-Lqo2BCelKSpXxkdXBI2</t>
  </si>
  <si>
    <t>1570683797258</t>
  </si>
  <si>
    <t>-Lqo2Ck3qA-J3BDJUc4u</t>
  </si>
  <si>
    <t>1570683803384</t>
  </si>
  <si>
    <t>-Lqo2EV5EEDOGyQpCe_Y</t>
  </si>
  <si>
    <t>1570683810606</t>
  </si>
  <si>
    <t>-Lqo2GI7obkkFxbUTdIS</t>
  </si>
  <si>
    <t>1570683817825</t>
  </si>
  <si>
    <t>-Lqo2I1L2uSuIVGKNvg1</t>
  </si>
  <si>
    <t>1570683825036</t>
  </si>
  <si>
    <t>-Lqo2Jo59dSmoUciHmHD</t>
  </si>
  <si>
    <t>1570683832245</t>
  </si>
  <si>
    <t>-Lqo2LX6BP325iVUp1nK</t>
  </si>
  <si>
    <t>1570683839437</t>
  </si>
  <si>
    <t>-Lqo2NA5g69UHjtCuiYc</t>
  </si>
  <si>
    <t>1570683845627</t>
  </si>
  <si>
    <t>-Lqo2P5x16vhiyEzYg9A</t>
  </si>
  <si>
    <t>1570683854094</t>
  </si>
  <si>
    <t>-Lqo2QoxujtyWZTWgsL6</t>
  </si>
  <si>
    <t>1570683861104</t>
  </si>
  <si>
    <t>-Lqo2S_z0ikBNbubphwv</t>
  </si>
  <si>
    <t>1570683868312</t>
  </si>
  <si>
    <t>-Lqo2U2cm50JzibpJl61</t>
  </si>
  <si>
    <t>1570683874462</t>
  </si>
  <si>
    <t>-Lqo2VcaTVO7y9B0nECX</t>
  </si>
  <si>
    <t>1570683880672</t>
  </si>
  <si>
    <t>-Lqo2XPsiUuKiLHEkNz2</t>
  </si>
  <si>
    <t>1570683887946</t>
  </si>
  <si>
    <t>-Lqo2Z6DPihMgDS0Xox4</t>
  </si>
  <si>
    <t>1570683895101</t>
  </si>
  <si>
    <t>-Lqo2_cppEKVm3Z7COhX</t>
  </si>
  <si>
    <t>1570683901310</t>
  </si>
  <si>
    <t>-Lqo2b8ZkJ52Bk56Kgk4</t>
  </si>
  <si>
    <t>1570683907512</t>
  </si>
  <si>
    <t>-Lqo2cfBssk_JmUVtsbD</t>
  </si>
  <si>
    <t>1570683913667</t>
  </si>
  <si>
    <t>-Lqo2eBII6i75jADVqb1</t>
  </si>
  <si>
    <t>1570683919835</t>
  </si>
  <si>
    <t>-Lqo2fgK6nEqkDZ8hYRT</t>
  </si>
  <si>
    <t>1570683926042</t>
  </si>
  <si>
    <t>-Lqo2hAD_FfdyKol1aPm</t>
  </si>
  <si>
    <t>1570683932252</t>
  </si>
  <si>
    <t>-Lqo2igjfWv3btViUTlX</t>
  </si>
  <si>
    <t>1570683938437</t>
  </si>
  <si>
    <t>-Lqo2kBNptvsdWO0eRs5</t>
  </si>
  <si>
    <t>1570683944587</t>
  </si>
  <si>
    <t>-Lqo2lhd3NA2QPDHVrnf</t>
  </si>
  <si>
    <t>1570683950776</t>
  </si>
  <si>
    <t>-Lqo2nGcSyxNEEm-X6gh</t>
  </si>
  <si>
    <t>1570683956958</t>
  </si>
  <si>
    <t>-Lqo2ox7jrWnnYj3TG8Z</t>
  </si>
  <si>
    <t>1570683964172</t>
  </si>
  <si>
    <t>-Lqo2qSDZ5eIj5J7SxZ3</t>
  </si>
  <si>
    <t>1570683970347</t>
  </si>
  <si>
    <t>-Lqo2s-878WpE7lw_NvY</t>
  </si>
  <si>
    <t>1570683976537</t>
  </si>
  <si>
    <t>-Lqo2tVTTadkuAXuzW3S</t>
  </si>
  <si>
    <t>1570683982767</t>
  </si>
  <si>
    <t>-Lqo2v3Scn60ei8t4jQ7</t>
  </si>
  <si>
    <t>1570683989082</t>
  </si>
  <si>
    <t>-Lqo2wqljwI087rXYtj2</t>
  </si>
  <si>
    <t>1570683996122</t>
  </si>
  <si>
    <t>-Lqo2ymAGOn22A_r5sJo</t>
  </si>
  <si>
    <t>1570684003317</t>
  </si>
  <si>
    <t>-Lqo3-IbZJrkrHu7zNsq</t>
  </si>
  <si>
    <t>1570684010587</t>
  </si>
  <si>
    <t>-Lqo30n97p7kOQ7gf_Pv</t>
  </si>
  <si>
    <t>1570684016747</t>
  </si>
  <si>
    <t>-Lqo32J_awRPZ7I-J0fo</t>
  </si>
  <si>
    <t>1570684022921</t>
  </si>
  <si>
    <t>-Lqo33otw3s2rNA6N4z3</t>
  </si>
  <si>
    <t>1570684029137</t>
  </si>
  <si>
    <t>-Lqo35KwS5c0k8_NzFom</t>
  </si>
  <si>
    <t>1570684035297</t>
  </si>
  <si>
    <t>-Lqo36qfkTGKrMrgE0J0</t>
  </si>
  <si>
    <t>1570684041457</t>
  </si>
  <si>
    <t>-Lqo38N-QW8_cD0qjLkz</t>
  </si>
  <si>
    <t>1570684047696</t>
  </si>
  <si>
    <t>-Lqo39sL1FfPOZv8u_8t</t>
  </si>
  <si>
    <t>1570684053855</t>
  </si>
  <si>
    <t>-Lqo3BNVPaSMvat5kX-C</t>
  </si>
  <si>
    <t>1570684060051</t>
  </si>
  <si>
    <t>-Lqo3D9Ptu09dGyoHnO8</t>
  </si>
  <si>
    <t>1570684066259</t>
  </si>
  <si>
    <t>-Lqo3FKqbBO9IxZ7XXTK</t>
  </si>
  <si>
    <t>1570684074505</t>
  </si>
  <si>
    <t>-Lqo3Gto6c7L5DuN7CvV</t>
  </si>
  <si>
    <t>1570684082690</t>
  </si>
  <si>
    <t>-Lqo3IQ0Cyo9d09pl-wT</t>
  </si>
  <si>
    <t>1570684088879</t>
  </si>
  <si>
    <t>-Lqo3JwInY7FglCsCLcu</t>
  </si>
  <si>
    <t>1570684095069</t>
  </si>
  <si>
    <t>-Lqo3LSwI_HF8YvuEVzn</t>
  </si>
  <si>
    <t>1570684101235</t>
  </si>
  <si>
    <t>-Lqo3MwirHE5WslPz74t</t>
  </si>
  <si>
    <t>1570684107454</t>
  </si>
  <si>
    <t>-Lqo3OS_D1B4Z8hBvkTI</t>
  </si>
  <si>
    <t>1570684113599</t>
  </si>
  <si>
    <t>-Lqo3Pxpn4OITH5TwsrA</t>
  </si>
  <si>
    <t>1570684119788</t>
  </si>
  <si>
    <t>-Lqo3RTg01zRgBR97lA9</t>
  </si>
  <si>
    <t>1570684125988</t>
  </si>
  <si>
    <t>-Lqo3SxvcF8QYFRVavxM</t>
  </si>
  <si>
    <t>1570684132184</t>
  </si>
  <si>
    <t>-Lqo3UUtYoOWUmb48fKP</t>
  </si>
  <si>
    <t>1570684138335</t>
  </si>
  <si>
    <t>-Lqo3W0J-BRT1PvaGORd</t>
  </si>
  <si>
    <t>1570684144558</t>
  </si>
  <si>
    <t>-Lqo3XWZccyYxNsCHxHr</t>
  </si>
  <si>
    <t>1570684150728</t>
  </si>
  <si>
    <t>-Lqo3Z5VugJDsGb94pxI</t>
  </si>
  <si>
    <t>1570684156898</t>
  </si>
  <si>
    <t>-Lqo3a3nrKLG5_eU2ByR</t>
  </si>
  <si>
    <t>1570684164150</t>
  </si>
  <si>
    <t>-Lqo3bbVv0RZhkhPDbUm</t>
  </si>
  <si>
    <t>1570684171350</t>
  </si>
  <si>
    <t>-Lqo3dJarUiQJpTf-cgN</t>
  </si>
  <si>
    <t>1570684178554</t>
  </si>
  <si>
    <t>-Lqo3eopfgaIGMUWkj2m</t>
  </si>
  <si>
    <t>1570684184713</t>
  </si>
  <si>
    <t>-Lqo3gbtAA4t8WMF9PSp</t>
  </si>
  <si>
    <t>1570684191935</t>
  </si>
  <si>
    <t>-Lqo3i5qouSj_Ujijp1U</t>
  </si>
  <si>
    <t>1570684198150</t>
  </si>
  <si>
    <t>-Lqo3jb4FNhnFInvSTRI</t>
  </si>
  <si>
    <t>1570684204305</t>
  </si>
  <si>
    <t>-Lqo3l7UmmvrIvM3-tLx</t>
  </si>
  <si>
    <t>1570684210565</t>
  </si>
  <si>
    <t>-Lqo3mcHLmbGM5FBtn2Z</t>
  </si>
  <si>
    <t>1570684216704</t>
  </si>
  <si>
    <t>-Lqo3o9KhMnwm_4HIj0c</t>
  </si>
  <si>
    <t>1570684222865</t>
  </si>
  <si>
    <t>-Lqo3pdGKfNeJZVggcWd</t>
  </si>
  <si>
    <t>1570684229028</t>
  </si>
  <si>
    <t>-Lqo3r9yiCC3gEH-g-ED</t>
  </si>
  <si>
    <t>1570684235337</t>
  </si>
  <si>
    <t>-Lqo3sewjI9tX9W1xfG_</t>
  </si>
  <si>
    <t>1570684241419</t>
  </si>
  <si>
    <t>-Lqo3uRVqu2dzogRHvp5</t>
  </si>
  <si>
    <t>1570684248628</t>
  </si>
  <si>
    <t>-Lqo3vw7R1XW-sS9GCT9</t>
  </si>
  <si>
    <t>1570684254849</t>
  </si>
  <si>
    <t>-Lqo3xSdhX9o-4TCFqUz</t>
  </si>
  <si>
    <t>1570684261029</t>
  </si>
  <si>
    <t>-Lqo3yxajLq4p578anNW</t>
  </si>
  <si>
    <t>1570684267188</t>
  </si>
  <si>
    <t>-Lqo40-APE5E6wZGDbAi</t>
  </si>
  <si>
    <t>1570684273355</t>
  </si>
  <si>
    <t>-Lqo42CkBa5OogfsYcrn</t>
  </si>
  <si>
    <t>1570684283066</t>
  </si>
  <si>
    <t>-Lqo43lFJxNq2Ii_3ypK</t>
  </si>
  <si>
    <t>1570684290886</t>
  </si>
  <si>
    <t>-Lqo45UOYqJfwZTwrzGq</t>
  </si>
  <si>
    <t>1570684298095</t>
  </si>
  <si>
    <t>-Lqo471A3-0heYt3CNYw</t>
  </si>
  <si>
    <t>1570684304287</t>
  </si>
  <si>
    <t>-Lqo48k9StMPKM9ePsmX</t>
  </si>
  <si>
    <t>1570684311517</t>
  </si>
  <si>
    <t>-Lqo4AdP-PQtipa3acY7</t>
  </si>
  <si>
    <t>1570684317686</t>
  </si>
  <si>
    <t>-Lqo4CHDuFjRUUZMtude</t>
  </si>
  <si>
    <t>1570684325925</t>
  </si>
  <si>
    <t>-Lqo4DqRvpivLcOfKqw1</t>
  </si>
  <si>
    <t>1570684332116</t>
  </si>
  <si>
    <t>-Lqo4FZE_FNUgKBc-_Zh</t>
  </si>
  <si>
    <t>1570684339297</t>
  </si>
  <si>
    <t>-Lqo4H69hjjGWtotLrWQ</t>
  </si>
  <si>
    <t>1570684345506</t>
  </si>
  <si>
    <t>-Lqo4Ip2gQbH6-9JGfzE</t>
  </si>
  <si>
    <t>1570684352727</t>
  </si>
  <si>
    <t>-Lqo4KdR3hwJitM8Z4SR</t>
  </si>
  <si>
    <t>1570684359916</t>
  </si>
  <si>
    <t>-Lqo4MMFPIlQ9hEq6i_-</t>
  </si>
  <si>
    <t>1570684367136</t>
  </si>
  <si>
    <t>-Lqo4NvEnJvvHD-cf1oa</t>
  </si>
  <si>
    <t>1570684373326</t>
  </si>
  <si>
    <t>-Lqo4Pc9ZF6JE-MerFTU</t>
  </si>
  <si>
    <t>1570684380567</t>
  </si>
  <si>
    <t>-Lqo4RRPom1YcjiaKpwg</t>
  </si>
  <si>
    <t>1570684387765</t>
  </si>
  <si>
    <t>-Lqo4T9FEqvkPwa4kxyy</t>
  </si>
  <si>
    <t>1570684394968</t>
  </si>
  <si>
    <t>-Lqo4UhRd2RSXnUSad9j</t>
  </si>
  <si>
    <t>1570684401165</t>
  </si>
  <si>
    <t>-Lqo4WQI8lCxrBiXxcq7</t>
  </si>
  <si>
    <t>1570684408387</t>
  </si>
  <si>
    <t>-Lqo4YED3t72YesF2wiR</t>
  </si>
  <si>
    <t>1570684415596</t>
  </si>
  <si>
    <t>-Lqo4ZwAZNb-lwszqzhO</t>
  </si>
  <si>
    <t>1570684422806</t>
  </si>
  <si>
    <t>-Lqo4bMA8yF1kO-HKZ8b</t>
  </si>
  <si>
    <t>1570684430026</t>
  </si>
  <si>
    <t>-Lqo4d-DlArzFA2iDkYl</t>
  </si>
  <si>
    <t>1570684439317</t>
  </si>
  <si>
    <t>-Lqo4ej_q1EcsScgF4Wz</t>
  </si>
  <si>
    <t>1570684446487</t>
  </si>
  <si>
    <t>-Lqo4gPF9eIv16S6pIKe</t>
  </si>
  <si>
    <t>1570684452686</t>
  </si>
  <si>
    <t>-Lqo4i1Up1ieLDHYJK2i</t>
  </si>
  <si>
    <t>1570684459925</t>
  </si>
  <si>
    <t>-Lqo4joRZWMoE4fSvIWt</t>
  </si>
  <si>
    <t>1570684467137</t>
  </si>
  <si>
    <t>-Lqo4lWIybnkFjLnUozA</t>
  </si>
  <si>
    <t>1570684474327</t>
  </si>
  <si>
    <t>-Lqo4n4ITQaIyvopr-C8</t>
  </si>
  <si>
    <t>1570684480528</t>
  </si>
  <si>
    <t>-Lqo4ooPE133WBio8fIK</t>
  </si>
  <si>
    <t>1570684487747</t>
  </si>
  <si>
    <t>-Lqo4qbFObQZFY-p9dwg</t>
  </si>
  <si>
    <t>1570684494957</t>
  </si>
  <si>
    <t>-Lqo4sKGUoKGsI0QrxTa</t>
  </si>
  <si>
    <t>1570684502167</t>
  </si>
  <si>
    <t>-Lqo4u7G0_Zm76asuNv3</t>
  </si>
  <si>
    <t>1570684509387</t>
  </si>
  <si>
    <t>-Lqo4vqQVT3FumnpBIJo</t>
  </si>
  <si>
    <t>1570684516576</t>
  </si>
  <si>
    <t>-Lqo4xdQb12tTnZp3N5i</t>
  </si>
  <si>
    <t>1570684523844</t>
  </si>
  <si>
    <t>-Lqo4zL89wNp9xrjMRQQ</t>
  </si>
  <si>
    <t>1570684531036</t>
  </si>
  <si>
    <t>-Lqo5-vBvc1Uw-G6GtaQ</t>
  </si>
  <si>
    <t>1570684537223</t>
  </si>
  <si>
    <t>-Lqo51dN1KM12Xgj835U</t>
  </si>
  <si>
    <t>1570684544404</t>
  </si>
  <si>
    <t>-Lqo53CCoKyYQt9rb9Xz</t>
  </si>
  <si>
    <t>1570684550594</t>
  </si>
  <si>
    <t>-Lqo54u_8A8qdrWohpcU</t>
  </si>
  <si>
    <t>1570684557844</t>
  </si>
  <si>
    <t>-Lqo56gy3slhe49taGZq</t>
  </si>
  <si>
    <t>1570684565044</t>
  </si>
  <si>
    <t>-Lqo58fBfHbTrinLVpVO</t>
  </si>
  <si>
    <t>1570684572244</t>
  </si>
  <si>
    <t>-Lqo5AD8xO6XibdPaJ49</t>
  </si>
  <si>
    <t>1570684579478</t>
  </si>
  <si>
    <t>-Lqo5BxDY9MPBeuT1mp_</t>
  </si>
  <si>
    <t>1570684586653</t>
  </si>
  <si>
    <t>-Lqo5DWOigwxEBOLZN40</t>
  </si>
  <si>
    <t>1570684592875</t>
  </si>
  <si>
    <t>-Lqo5FD804g2WBgHvowm</t>
  </si>
  <si>
    <t>1570684600083</t>
  </si>
  <si>
    <t>-Lqo5H09IiK9lJJSMA7D</t>
  </si>
  <si>
    <t>1570684607303</t>
  </si>
  <si>
    <t>-Lqo5Ij7chgP62uuJrgO</t>
  </si>
  <si>
    <t>1570684614485</t>
  </si>
  <si>
    <t>-Lqo5KJCn7NjohWXZvnS</t>
  </si>
  <si>
    <t>1570684620684</t>
  </si>
  <si>
    <t>-Lqo5M08Ftf4Fdi8DXfe</t>
  </si>
  <si>
    <t>1570684627925</t>
  </si>
  <si>
    <t>-Lqo5O8DtLIYIuws-QVp</t>
  </si>
  <si>
    <t>1570684635124</t>
  </si>
  <si>
    <t>-Lqo5PmD_GUILgUk7ffu</t>
  </si>
  <si>
    <t>1570684643373</t>
  </si>
  <si>
    <t>-Lqo5RJpIf2cFC_q9HB2</t>
  </si>
  <si>
    <t>1570684649589</t>
  </si>
  <si>
    <t>-Lqo5T2FD0UeaZd3hn1J</t>
  </si>
  <si>
    <t>1570684656783</t>
  </si>
  <si>
    <t>-Lqo5UcgcqhVbhqM6umx</t>
  </si>
  <si>
    <t>1570684662964</t>
  </si>
  <si>
    <t>-Lqo5WKHxlXtZWEuDMKO</t>
  </si>
  <si>
    <t>1570684670163</t>
  </si>
  <si>
    <t>-Lqo5Y7HEi27gyHs_wuI</t>
  </si>
  <si>
    <t>1570684677387</t>
  </si>
  <si>
    <t>-Lqo5ZrEd6QMb6FOkub3</t>
  </si>
  <si>
    <t>1570684684576</t>
  </si>
  <si>
    <t>-Lqo5aPFG7MrYV6w9KW-</t>
  </si>
  <si>
    <t>1570684690755</t>
  </si>
  <si>
    <t>-Lqo5c79mpjojEdZGvdg</t>
  </si>
  <si>
    <t>1570684698005</t>
  </si>
  <si>
    <t>-Lqo5dv9ZY_KscgB0N2Z</t>
  </si>
  <si>
    <t>1570684705214</t>
  </si>
  <si>
    <t>-Lqo5fdTweEluuXQJZWz</t>
  </si>
  <si>
    <t>1570684712434</t>
  </si>
  <si>
    <t>-Lqo5hDC-LHeU4JzmUJx</t>
  </si>
  <si>
    <t>1570684718615</t>
  </si>
  <si>
    <t>-Lqo5iwCp4NvSw9bplRv</t>
  </si>
  <si>
    <t>1570684725845</t>
  </si>
  <si>
    <t>-Lqo5ki9SulmMbyPZ9dQ</t>
  </si>
  <si>
    <t>1570684733045</t>
  </si>
  <si>
    <t>-Lqo5mRGNo37iBWrm2VK</t>
  </si>
  <si>
    <t>1570684740245</t>
  </si>
  <si>
    <t>-Lqo5oFgo7n7A-2B17hI</t>
  </si>
  <si>
    <t>1570684747474</t>
  </si>
  <si>
    <t>-Lqo5qRGUNDh2AYXyuDr</t>
  </si>
  <si>
    <t>1570684754654</t>
  </si>
  <si>
    <t>-Lqo5s-QbGRUt6jVStoD</t>
  </si>
  <si>
    <t>1570684762937</t>
  </si>
  <si>
    <t>-Lqo5tmX6Ohlnoib829Z</t>
  </si>
  <si>
    <t>1570684770147</t>
  </si>
  <si>
    <t>-Lqo5vVC_LzQscg1fQhK</t>
  </si>
  <si>
    <t>1570684777367</t>
  </si>
  <si>
    <t>-Lqo5xIBQNQEXHSXNzm3</t>
  </si>
  <si>
    <t>1570684784577</t>
  </si>
  <si>
    <t>-Lqo5z0-FdJlCOrY0F1L</t>
  </si>
  <si>
    <t>1570684791767</t>
  </si>
  <si>
    <t>-Lqo6-aE9-RWPtngAB36</t>
  </si>
  <si>
    <t>1570684797968</t>
  </si>
  <si>
    <t>-Lqo61JEPzs0eNNJ2X7y</t>
  </si>
  <si>
    <t>1570684805187</t>
  </si>
  <si>
    <t>-Lqo635TgO6GJvplPi0j</t>
  </si>
  <si>
    <t>1570684812396</t>
  </si>
  <si>
    <t>-Lqo64pQweUkT2MMUljA</t>
  </si>
  <si>
    <t>1570684819608</t>
  </si>
  <si>
    <t>-Lqo66bBVCh2JlJNhsYv</t>
  </si>
  <si>
    <t>1570684826836</t>
  </si>
  <si>
    <t>-Lqo68KA1BNnp0nDDLsh</t>
  </si>
  <si>
    <t>1570684834018</t>
  </si>
  <si>
    <t>-Lqo69tL7AyBS_-F75Bp</t>
  </si>
  <si>
    <t>1570684840208</t>
  </si>
  <si>
    <t>-Lqo6BcliJ0y9f40tHw2</t>
  </si>
  <si>
    <t>1570684847447</t>
  </si>
  <si>
    <t>-Lqo6DQQysLH1nlomCld</t>
  </si>
  <si>
    <t>1570684854658</t>
  </si>
  <si>
    <t>-Lqo6F8R48XzyRVl6C_W</t>
  </si>
  <si>
    <t>1570684861848</t>
  </si>
  <si>
    <t>-Lqo6GwZOyqUGaER8Fnt</t>
  </si>
  <si>
    <t>1570684869056</t>
  </si>
  <si>
    <t>-Lqo6IdKMjsp2W6zd0jh</t>
  </si>
  <si>
    <t>1570684876320</t>
  </si>
  <si>
    <t>-Lqo6KDM_-M9e7DWpZTR</t>
  </si>
  <si>
    <t>1570684882488</t>
  </si>
  <si>
    <t>-Lqo6LvLGx2QchDf4vlU</t>
  </si>
  <si>
    <t>1570684889692</t>
  </si>
  <si>
    <t>-Lqo6NUBGh0EsWcTjhgg</t>
  </si>
  <si>
    <t>1570684895888</t>
  </si>
  <si>
    <t>-Lqo6PCCKefEKRndiCp5</t>
  </si>
  <si>
    <t>1570684903107</t>
  </si>
  <si>
    <t>-Lqo6QhRvrAl2VbjEHLb</t>
  </si>
  <si>
    <t>1570684909286</t>
  </si>
  <si>
    <t>-Lqo6SGFNJ8hXtSwL1VE</t>
  </si>
  <si>
    <t>1570684915467</t>
  </si>
  <si>
    <t>-Lqo6TyIvU_QxIkXkNPX</t>
  </si>
  <si>
    <t>1570684922706</t>
  </si>
  <si>
    <t>-Lqo6VlKDHzTbPyAefSJ</t>
  </si>
  <si>
    <t>1570684929896</t>
  </si>
  <si>
    <t>-Lqo6XUB3lLpDD208ac0</t>
  </si>
  <si>
    <t>1570684937128</t>
  </si>
  <si>
    <t>-Lqo6Z3QWWhy-rkN51sb</t>
  </si>
  <si>
    <t>1570684943298</t>
  </si>
  <si>
    <t>-Lqo6_lWma4CmSYxz2w0</t>
  </si>
  <si>
    <t>1570684950488</t>
  </si>
  <si>
    <t>-Lqo6bKDIpUM-DJkoNKL</t>
  </si>
  <si>
    <t>1570684956688</t>
  </si>
  <si>
    <t>-Lqo6d2CKkZWKVF9AE5v</t>
  </si>
  <si>
    <t>1570684963907</t>
  </si>
  <si>
    <t>-Lqo6erSqpWGnATvYFuK</t>
  </si>
  <si>
    <t>1570684971128</t>
  </si>
  <si>
    <t>-Lqo6g_R-nDuMqCtQBK5</t>
  </si>
  <si>
    <t>1570684978327</t>
  </si>
  <si>
    <t>-Lqo6ig4voxoIX-XcRu4</t>
  </si>
  <si>
    <t>1570684985560</t>
  </si>
  <si>
    <t>-Lqo6kPCqpfBVZEQELI7</t>
  </si>
  <si>
    <t>1570684993796</t>
  </si>
  <si>
    <t>-Lqo6m6HfVE7K2rhHmS-</t>
  </si>
  <si>
    <t>1570685001015</t>
  </si>
  <si>
    <t>-Lqo6ntyMMIn2uneAUjR</t>
  </si>
  <si>
    <t>1570685008225</t>
  </si>
  <si>
    <t>-Lqo6pcGK-i8nnaCZMJj</t>
  </si>
  <si>
    <t>1570685015446</t>
  </si>
  <si>
    <t>-Lqo6rQ8GLkTgi3xKm2o</t>
  </si>
  <si>
    <t>1570685022655</t>
  </si>
  <si>
    <t>-Lqo6t9EYAyLnBkllf4B</t>
  </si>
  <si>
    <t>1570685029844</t>
  </si>
  <si>
    <t>-Lqo6udPTc2LNsIa8068</t>
  </si>
  <si>
    <t>1570685036014</t>
  </si>
  <si>
    <t>-Lqo6wCD4m81CWIia1U0</t>
  </si>
  <si>
    <t>1570685042235</t>
  </si>
  <si>
    <t>-Lqo6xvFZQ90FB_w0qhC</t>
  </si>
  <si>
    <t>1570685049455</t>
  </si>
  <si>
    <t>-Lqo6zTJgm2AEpllbjnH</t>
  </si>
  <si>
    <t>1570685055635</t>
  </si>
  <si>
    <t>-Lqo70CDe-bmiV5xKpy4</t>
  </si>
  <si>
    <t>1570685062866</t>
  </si>
  <si>
    <t>-Lqo71lC2tarJSPVvIqR</t>
  </si>
  <si>
    <t>1570685069045</t>
  </si>
  <si>
    <t>-Lqo73UDi1KaBjH-5KBe</t>
  </si>
  <si>
    <t>1570685076244</t>
  </si>
  <si>
    <t>-Lqo75HP_u1mmJc9j4mt</t>
  </si>
  <si>
    <t>1570685083485</t>
  </si>
  <si>
    <t>-Lqo77-DIMLex_itkcWF</t>
  </si>
  <si>
    <t>1570685090655</t>
  </si>
  <si>
    <t>-Lqo78Y9ya5wnrHlkj_P</t>
  </si>
  <si>
    <t>1570685096844</t>
  </si>
  <si>
    <t>-Lqo7AfChN-1k3lIKMrC</t>
  </si>
  <si>
    <t>1570685104085</t>
  </si>
  <si>
    <t>-Lqo7CI9y3HHDZXeFNhf</t>
  </si>
  <si>
    <t>1570685112326</t>
  </si>
  <si>
    <t>-Lqo7E1DxJdcgXdLsmYG</t>
  </si>
  <si>
    <t>1570685119535</t>
  </si>
  <si>
    <t>-Lqo7F_HHHMYCo2t407B</t>
  </si>
  <si>
    <t>1570685125725</t>
  </si>
  <si>
    <t>-Lqo7HI810GTaO5TjIdU</t>
  </si>
  <si>
    <t>1570685132946</t>
  </si>
  <si>
    <t>-Lqo7Ir7yPpjVkyPqvs_</t>
  </si>
  <si>
    <t>1570685139116</t>
  </si>
  <si>
    <t>-Lqo7K_60FXhh_gEVFtN</t>
  </si>
  <si>
    <t>1570685146325</t>
  </si>
  <si>
    <t>-Lqo7MOs4_KnaJqGE8G4</t>
  </si>
  <si>
    <t>1570685153552</t>
  </si>
  <si>
    <t>-Lqo7O58Kx7rg66q2gSZ</t>
  </si>
  <si>
    <t>1570685160734</t>
  </si>
  <si>
    <t>-Lqo7PfZRCdOqFhUBgHi</t>
  </si>
  <si>
    <t>1570685166925</t>
  </si>
  <si>
    <t>-Lqo7ROMtVNtUGeOl46a</t>
  </si>
  <si>
    <t>1570685174164</t>
  </si>
  <si>
    <t>-Lqo7T84-zQET_YuH8iT</t>
  </si>
  <si>
    <t>1570685181378</t>
  </si>
  <si>
    <t>-Lqo7UesScHvBeRa8zjo</t>
  </si>
  <si>
    <t>1570685187573</t>
  </si>
  <si>
    <t>-Lqo7W9zw5bBJXjEfm5Q</t>
  </si>
  <si>
    <t>1570685193734</t>
  </si>
  <si>
    <t>-Lqo7XgK-CwA2bHaL_ix</t>
  </si>
  <si>
    <t>1570685199913</t>
  </si>
  <si>
    <t>-Lqo7ZCWgSrJZEQrYSN2</t>
  </si>
  <si>
    <t>1570685206142</t>
  </si>
  <si>
    <t>-Lqo7_h8q9M6ZDMmJcNW</t>
  </si>
  <si>
    <t>1570685212292</t>
  </si>
  <si>
    <t>-Lqo7bTSK-B-z3-18F7K</t>
  </si>
  <si>
    <t>1570685219579</t>
  </si>
  <si>
    <t>-Lqo7cwrtp-TPTOpF9M3</t>
  </si>
  <si>
    <t>1570685225686</t>
  </si>
  <si>
    <t>-Lqo7eSmq7FrThqv8YKN</t>
  </si>
  <si>
    <t>1570685231891</t>
  </si>
  <si>
    <t>-Lqo7fz7OCtXCO670hJR</t>
  </si>
  <si>
    <t>1570685238075</t>
  </si>
  <si>
    <t>-Lqo7hVgTi1QQxhmTOaY</t>
  </si>
  <si>
    <t>1570685244219</t>
  </si>
  <si>
    <t>-Lqo7iyE2wHgaY70ojPu</t>
  </si>
  <si>
    <t>1570685250409</t>
  </si>
  <si>
    <t>-Lqo7kVp7vP9HyLxD5tz</t>
  </si>
  <si>
    <t>1570685256601</t>
  </si>
  <si>
    <t>-Lqo7lzp2kozUTvsOMaL</t>
  </si>
  <si>
    <t>1570685262821</t>
  </si>
  <si>
    <t>-Lqo7nXjLsveiAY9f7B7</t>
  </si>
  <si>
    <t>1570685268985</t>
  </si>
  <si>
    <t>-Lqo7p3qf30Br0nqITP-</t>
  </si>
  <si>
    <t>1570685275196</t>
  </si>
  <si>
    <t>-Lqo7qoYt-JfiIqNm7b2</t>
  </si>
  <si>
    <t>1570685282417</t>
  </si>
  <si>
    <t>-Lqo7shhkQzr8GV79kKe</t>
  </si>
  <si>
    <t>1570685290150</t>
  </si>
  <si>
    <t>-Lqo7uKAP5cydUC2CpjJ</t>
  </si>
  <si>
    <t>1570685296889</t>
  </si>
  <si>
    <t>-Lqo7vq3hslrweeid3tb</t>
  </si>
  <si>
    <t>1570685303052</t>
  </si>
  <si>
    <t>-Lqo7xL6zPOlXfkXNvxW</t>
  </si>
  <si>
    <t>1570685309160</t>
  </si>
  <si>
    <t>-Lqo7z92WJXdQcQpxhF0</t>
  </si>
  <si>
    <t>1570685316353</t>
  </si>
  <si>
    <t>-Lqo8-sCxikzhC4xbax4</t>
  </si>
  <si>
    <t>1570685323604</t>
  </si>
  <si>
    <t>-Lqo81fAoZ7GdxCjh3r3</t>
  </si>
  <si>
    <t>1570685330805</t>
  </si>
  <si>
    <t>-Lqo83O2P4kteX0eq16P</t>
  </si>
  <si>
    <t>1570685338006</t>
  </si>
  <si>
    <t>-Lqo84w6f3cu-qUUYcP0</t>
  </si>
  <si>
    <t>1570685344204</t>
  </si>
  <si>
    <t>-Lqo86e73CvbNDb2MdT4</t>
  </si>
  <si>
    <t>1570685351425</t>
  </si>
  <si>
    <t>-Lqo88OBb2tKdsrHGRD_</t>
  </si>
  <si>
    <t>1570685358633</t>
  </si>
  <si>
    <t>-Lqo89tSbG_HRGXTCWyG</t>
  </si>
  <si>
    <t>1570685364815</t>
  </si>
  <si>
    <t>-Lqo8BQFuty5DwKSqI0y</t>
  </si>
  <si>
    <t>1570685370973</t>
  </si>
  <si>
    <t>-Lqo8Cz7J3IMFLZEBhRf</t>
  </si>
  <si>
    <t>1570685377172</t>
  </si>
  <si>
    <t>-Lqo8Eh6TiVB6aYgHDna</t>
  </si>
  <si>
    <t>1570685384405</t>
  </si>
  <si>
    <t>-Lqo8GCDSKWEQQdWBXHA</t>
  </si>
  <si>
    <t>1570685390584</t>
  </si>
  <si>
    <t>-Lqo8HlEhXF_ZtnXMen1</t>
  </si>
  <si>
    <t>1570685396765</t>
  </si>
  <si>
    <t>-Lqo8JlpsDc6Fz-ADlRR</t>
  </si>
  <si>
    <t>1570685405096</t>
  </si>
  <si>
    <t>-Lqo8LVEK8f-3xdDILeW</t>
  </si>
  <si>
    <t>1570685412243</t>
  </si>
  <si>
    <t>-Lqo8NJBmhLMqxQhRHNV</t>
  </si>
  <si>
    <t>1570685419445</t>
  </si>
  <si>
    <t>-Lqo8P-plt3xqJhs_Upo</t>
  </si>
  <si>
    <t>1570685426645</t>
  </si>
  <si>
    <t>-Lqo8Qa2bxviU6f7-BMy</t>
  </si>
  <si>
    <t>1570685432844</t>
  </si>
  <si>
    <t>-Lqo8Sc5cz-4qpABFKcA</t>
  </si>
  <si>
    <t>1570685440055</t>
  </si>
  <si>
    <t>-Lqo8ULVBMuhJ6BEuCSS</t>
  </si>
  <si>
    <t>1570685448306</t>
  </si>
  <si>
    <t>-Lqo8Vo8BsTJiMfed-Xr</t>
  </si>
  <si>
    <t>1570685454465</t>
  </si>
  <si>
    <t>-Lqo8XMpMrgHOxou8ceh</t>
  </si>
  <si>
    <t>1570685460666</t>
  </si>
  <si>
    <t>-Lqo8Z57e10WPTzT27bt</t>
  </si>
  <si>
    <t>1570685467895</t>
  </si>
  <si>
    <t>-Lqo8_t2g8MU8ZT6hMnd</t>
  </si>
  <si>
    <t>1570685475096</t>
  </si>
  <si>
    <t>-Lqo8bcBN4yPJ_yO5Nj2</t>
  </si>
  <si>
    <t>1570685482325</t>
  </si>
  <si>
    <t>-Lqo8dOowLiJjhwzAO_R</t>
  </si>
  <si>
    <t>1570685489525</t>
  </si>
  <si>
    <t>-Lqo8fAH-9jtOH0zU5Cu</t>
  </si>
  <si>
    <t>1570685495705</t>
  </si>
  <si>
    <t>-Lqo8ghH0Y9zrNvaFVWQ</t>
  </si>
  <si>
    <t>1570685502905</t>
  </si>
  <si>
    <t>-Lqo8iQDgzoSi0QUtHdG</t>
  </si>
  <si>
    <t>1570685510146</t>
  </si>
  <si>
    <t>-Lqo8kBpxfFrnH46w5Tl</t>
  </si>
  <si>
    <t>1570685517356</t>
  </si>
  <si>
    <t>-Lqo8lhOtlIO5vT5t3Hu</t>
  </si>
  <si>
    <t>1570685523546</t>
  </si>
  <si>
    <t>-Lqo8nV7BKja-ddrXeYt</t>
  </si>
  <si>
    <t>1570685530756</t>
  </si>
  <si>
    <t>-Lqo8pDEbztfZTCIW0Ss</t>
  </si>
  <si>
    <t>1570685537976</t>
  </si>
  <si>
    <t>-Lqo8r0DqlWL4nWDFepY</t>
  </si>
  <si>
    <t>1570685545185</t>
  </si>
  <si>
    <t>-Lqo8szm_ObnkS6ZnbBs</t>
  </si>
  <si>
    <t>1570685552405</t>
  </si>
  <si>
    <t>-Lqo8uSWg-jF5-_YMC3e</t>
  </si>
  <si>
    <t>1570685559615</t>
  </si>
  <si>
    <t>-Lqo8wQTqUwwr08R1RLF</t>
  </si>
  <si>
    <t>1570685565806</t>
  </si>
  <si>
    <t>-Lqo8y0pU1r_aGJseAvb</t>
  </si>
  <si>
    <t>1570685574046</t>
  </si>
  <si>
    <t>-Lqo8zk9Nvfi1LnodYuG</t>
  </si>
  <si>
    <t>1570685581284</t>
  </si>
  <si>
    <t>-Lqo90XrZF6aQCjo6EI4</t>
  </si>
  <si>
    <t>1570685588484</t>
  </si>
  <si>
    <t>-Lqo92HKDU8ncwKqg6-j</t>
  </si>
  <si>
    <t>1570685595685</t>
  </si>
  <si>
    <t>-Lqo93qO0mMcpPF0JK74</t>
  </si>
  <si>
    <t>1570685601874</t>
  </si>
  <si>
    <t>-Lqo95YJHfHb0ACM0Z-T</t>
  </si>
  <si>
    <t>1570685609106</t>
  </si>
  <si>
    <t>-Lqo977CpCIkRnzd8Qh4</t>
  </si>
  <si>
    <t>1570685615275</t>
  </si>
  <si>
    <t>-Lqo98v5jw5TdokTmQo1</t>
  </si>
  <si>
    <t>1570685622781</t>
  </si>
  <si>
    <t>-Lqo9AboLExDm0k79JzG</t>
  </si>
  <si>
    <t>1570685629705</t>
  </si>
  <si>
    <t>-Lqo9CMP2saMjXcbXUtV</t>
  </si>
  <si>
    <t>1570685636885</t>
  </si>
  <si>
    <t>-Lqo9DvLhzBt3Nv1y4sh</t>
  </si>
  <si>
    <t>1570685643076</t>
  </si>
  <si>
    <t>-Lqo9FdD45eBhwGaGOWG</t>
  </si>
  <si>
    <t>1570685650325</t>
  </si>
  <si>
    <t>-Lqo9HRB1F77izeIKixq</t>
  </si>
  <si>
    <t>1570685657536</t>
  </si>
  <si>
    <t>-Lqo9J9PUYyj-pAKI17q</t>
  </si>
  <si>
    <t>1570685664725</t>
  </si>
  <si>
    <t>-Lqo9Kw1QwQ76LgjRjBg</t>
  </si>
  <si>
    <t>1570685670915</t>
  </si>
  <si>
    <t>-Lqo9MfKaD_bmPZgG99J</t>
  </si>
  <si>
    <t>1570685679190</t>
  </si>
  <si>
    <t>-Lqo9OETgmd1DwxjVFZK</t>
  </si>
  <si>
    <t>1570685685369</t>
  </si>
  <si>
    <t>-Lqo9PxI6KHkZs5HQa6y</t>
  </si>
  <si>
    <t>1570685692570</t>
  </si>
  <si>
    <t>-Lqo9RV2uD97laqsCgn5</t>
  </si>
  <si>
    <t>1570685698760</t>
  </si>
  <si>
    <t>-Lqo9TEHheRTdMOfsQLP</t>
  </si>
  <si>
    <t>1570685705981</t>
  </si>
  <si>
    <t>-Lqo9V1TE4fNNQZjSTTd</t>
  </si>
  <si>
    <t>1570685713190</t>
  </si>
  <si>
    <t>-Lqo9WkIwAIJAvQDXsF7</t>
  </si>
  <si>
    <t>1570685720409</t>
  </si>
  <si>
    <t>-Lqo9YYH3fvRcB5js-Nc</t>
  </si>
  <si>
    <t>1570685727624</t>
  </si>
  <si>
    <t>-Lqo9_GHpteof0inu8Ko</t>
  </si>
  <si>
    <t>1570685734809</t>
  </si>
  <si>
    <t>-Lqo9apSjj5m7dErhI1L</t>
  </si>
  <si>
    <t>1570685741000</t>
  </si>
  <si>
    <t>-Lqo9cYG5F20aIlT1Ben</t>
  </si>
  <si>
    <t>1570685748250</t>
  </si>
  <si>
    <t>-Lqo9eLI_LdQR_-bAbFx</t>
  </si>
  <si>
    <t>1570685755450</t>
  </si>
  <si>
    <t>-Lqo9g3G1Cb4VyQU9KWZ</t>
  </si>
  <si>
    <t>1570685762649</t>
  </si>
  <si>
    <t>-Lqo9hrHibzut588vcAO</t>
  </si>
  <si>
    <t>1570685769869</t>
  </si>
  <si>
    <t>-Lqo9j_G4hHMqW81_F8N</t>
  </si>
  <si>
    <t>1570685777070</t>
  </si>
  <si>
    <t>-Lqo9lgHLDKgDLGik7rq</t>
  </si>
  <si>
    <t>1570685784310</t>
  </si>
  <si>
    <t>-Lqo9nOKAs5O7jtih1rT</t>
  </si>
  <si>
    <t>1570685792549</t>
  </si>
  <si>
    <t>-Lqo9p7HgKofuGReBA62</t>
  </si>
  <si>
    <t>1570685799771</t>
  </si>
  <si>
    <t>-Lqo9qgGzCL7WIRragE-</t>
  </si>
  <si>
    <t>1570685805949</t>
  </si>
  <si>
    <t>-Lqo9sPHHFTK63-JBgpg</t>
  </si>
  <si>
    <t>1570685813172</t>
  </si>
  <si>
    <t>-Lqo9ttGc44_MZdM5R9z</t>
  </si>
  <si>
    <t>1570685819360</t>
  </si>
  <si>
    <t>-Lqo9vSIAahcu3YiG4x5</t>
  </si>
  <si>
    <t>1570685825540</t>
  </si>
  <si>
    <t>-Lqo9xA8kIt1e-3qHOdW</t>
  </si>
  <si>
    <t>1570685832730</t>
  </si>
  <si>
    <t>-Lqo9yeHMteRde8TBJi0</t>
  </si>
  <si>
    <t>1570685838890</t>
  </si>
  <si>
    <t>-LqoA-DHwqkrPNuTHVPs</t>
  </si>
  <si>
    <t>1570685845119</t>
  </si>
  <si>
    <t>-LqoA0wT84_UGqUCNHiW</t>
  </si>
  <si>
    <t>1570685852331</t>
  </si>
  <si>
    <t>-LqoA2VF-AAZq2m5pTl-</t>
  </si>
  <si>
    <t>1570685858519</t>
  </si>
  <si>
    <t>-LqoA4DFprzNRAssbKLk</t>
  </si>
  <si>
    <t>1570685865700</t>
  </si>
  <si>
    <t>-LqoA5mUjh5wn50baKG5</t>
  </si>
  <si>
    <t>1570685871909</t>
  </si>
  <si>
    <t>-LqoA7VVJLtrj4G_ybgU</t>
  </si>
  <si>
    <t>1570685879132</t>
  </si>
  <si>
    <t>-LqoA9IVrx1jbzr5Bs12</t>
  </si>
  <si>
    <t>1570685886351</t>
  </si>
  <si>
    <t>-LqoAB0CQKXEF43Dhn8z</t>
  </si>
  <si>
    <t>1570685893531</t>
  </si>
  <si>
    <t>-LqoAC_ptgST8wEPgPR-</t>
  </si>
  <si>
    <t>1570685899740</t>
  </si>
  <si>
    <t>-LqoAEbkGtDWmgEo4PCf</t>
  </si>
  <si>
    <t>1570685908216</t>
  </si>
  <si>
    <t>-LqoAGdEwjlp_MBapoKS</t>
  </si>
  <si>
    <t>1570685915198</t>
  </si>
  <si>
    <t>-LqoAIWJ0zeePt21vC3s</t>
  </si>
  <si>
    <t>1570685923446</t>
  </si>
  <si>
    <t>-LqoAK5TnZ-o5nwrN_DU</t>
  </si>
  <si>
    <t>1570685930650</t>
  </si>
  <si>
    <t>-LqoALqqYUw3jI8PWUb1</t>
  </si>
  <si>
    <t>1570685937878</t>
  </si>
  <si>
    <t>-LqoAN_0Jon_cA7LSGBw</t>
  </si>
  <si>
    <t>1570685945067</t>
  </si>
  <si>
    <t>-LqoAP9EXKJof4tsP3Vz</t>
  </si>
  <si>
    <t>1570685951276</t>
  </si>
  <si>
    <t>-LqoAQsDOaM0DzNDhnnc</t>
  </si>
  <si>
    <t>1570685958487</t>
  </si>
  <si>
    <t>-LqoASfGurzhW-CDRsfd</t>
  </si>
  <si>
    <t>1570685965707</t>
  </si>
  <si>
    <t>-LqoAUOD34UrkJTKRL1_</t>
  </si>
  <si>
    <t>1570685972887</t>
  </si>
  <si>
    <t>-LqoAVxEfRKoWkvBIxXt</t>
  </si>
  <si>
    <t>1570685979078</t>
  </si>
  <si>
    <t>-LqoAXeA2hR6AETO9MFb</t>
  </si>
  <si>
    <t>1570685986327</t>
  </si>
  <si>
    <t>-LqoAZTF5E515eZjJ4Hd</t>
  </si>
  <si>
    <t>1570685993527</t>
  </si>
  <si>
    <t>-LqoAaBTCaZvAz7Rcl3C</t>
  </si>
  <si>
    <t>1570686000727</t>
  </si>
  <si>
    <t>-LqoAbipH43iNgxUOBzt</t>
  </si>
  <si>
    <t>1570686006918</t>
  </si>
  <si>
    <t>-LqoAdUTB5CmvsaL5mPM</t>
  </si>
  <si>
    <t>1570686014146</t>
  </si>
  <si>
    <t>-LqoAfF0yD0aAiZJxWJm</t>
  </si>
  <si>
    <t>1570686021356</t>
  </si>
  <si>
    <t>-LqoAgzEOCwnWgd3Gfrh</t>
  </si>
  <si>
    <t>1570686028567</t>
  </si>
  <si>
    <t>-LqoAikrj4ltUVT9iLR-</t>
  </si>
  <si>
    <t>1570686035787</t>
  </si>
  <si>
    <t>-LqoAkVO0vx-Fp5x5NHa</t>
  </si>
  <si>
    <t>1570686042976</t>
  </si>
  <si>
    <t>-LqoAmGgpG7Mz8r1xIii</t>
  </si>
  <si>
    <t>1570686050216</t>
  </si>
  <si>
    <t>-LqoAnomElfVZ0eiwrlS</t>
  </si>
  <si>
    <t>1570686056393</t>
  </si>
  <si>
    <t>-LqoApWSgMCDlfLKr35w</t>
  </si>
  <si>
    <t>1570686063614</t>
  </si>
  <si>
    <t>-LqoAr2BeqVrW5Z1Jj0p</t>
  </si>
  <si>
    <t>1570686069797</t>
  </si>
  <si>
    <t>-LqoAsZRu1p6e2w_BWxc</t>
  </si>
  <si>
    <t>1570686076014</t>
  </si>
  <si>
    <t>-LqoAu2SmHkOWsozMnUA</t>
  </si>
  <si>
    <t>1570686082172</t>
  </si>
  <si>
    <t>-LqoAvZrfaqBuEU8PfBs</t>
  </si>
  <si>
    <t>1570686088332</t>
  </si>
  <si>
    <t>-LqoAx4q8jKC6w91QtC7</t>
  </si>
  <si>
    <t>1570686094533</t>
  </si>
  <si>
    <t>-LqoAyagztEECGDvzQGh</t>
  </si>
  <si>
    <t>1570686100733</t>
  </si>
  <si>
    <t>-LqoB-MqBoFq_vrvWS2v</t>
  </si>
  <si>
    <t>1570686107932</t>
  </si>
  <si>
    <t>-LqoB0rSBm65D6DrPUcw</t>
  </si>
  <si>
    <t>1570686114114</t>
  </si>
  <si>
    <t>-LqoB2NyTW3ve-0jcUop</t>
  </si>
  <si>
    <t>1570686120292</t>
  </si>
  <si>
    <t>-LqoB3tDKCovxyux_tS4</t>
  </si>
  <si>
    <t>1570686126493</t>
  </si>
  <si>
    <t>-LqoB5fHyRmZKoyRTFEv</t>
  </si>
  <si>
    <t>1570686132653</t>
  </si>
  <si>
    <t>-LqoB77h9muskvF_sSwc</t>
  </si>
  <si>
    <t>1570686139872</t>
  </si>
  <si>
    <t>-LqoB8fXcwPrDv78DLJ_</t>
  </si>
  <si>
    <t>1570686146094</t>
  </si>
  <si>
    <t>-LqoBAkZvKfxLAX0vxUo</t>
  </si>
  <si>
    <t>1570686153572</t>
  </si>
  <si>
    <t>-LqoBCQOcmlbmb91v2xf</t>
  </si>
  <si>
    <t>1570686161504</t>
  </si>
  <si>
    <t>-LqoBE4AXnG7WBB8UIKD</t>
  </si>
  <si>
    <t>1570686167739</t>
  </si>
  <si>
    <t>-LqoBFhsNhI-6cLclPuj</t>
  </si>
  <si>
    <t>1570686174938</t>
  </si>
  <si>
    <t>-LqoBHDQsqtgCQYeWFQ3</t>
  </si>
  <si>
    <t>1570686181099</t>
  </si>
  <si>
    <t>-LqoBIz3OSrAGdx42XPo</t>
  </si>
  <si>
    <t>1570686188319</t>
  </si>
  <si>
    <t>-LqoBKYDpJTp_Efflc2o</t>
  </si>
  <si>
    <t>1570686194602</t>
  </si>
  <si>
    <t>-LqoBMDxduYkoGSJ4HDr</t>
  </si>
  <si>
    <t>1570686201751</t>
  </si>
  <si>
    <t>-LqoBNo2mZ5f0y6PWkon</t>
  </si>
  <si>
    <t>1570686207904</t>
  </si>
  <si>
    <t>-LqoBPjvRxRUPFTeQA8G</t>
  </si>
  <si>
    <t>1570686216023</t>
  </si>
  <si>
    <t>-LqoBRK26x-22hra-41A</t>
  </si>
  <si>
    <t>1570686222334</t>
  </si>
  <si>
    <t>-LqoBT0xf8VTiMR1I3lu</t>
  </si>
  <si>
    <t>1570686229525</t>
  </si>
  <si>
    <t>-LqoBUaY3347L7wKWVin</t>
  </si>
  <si>
    <t>1570686235733</t>
  </si>
  <si>
    <t>-LqoBWK7Jmrt2qdPRXlE</t>
  </si>
  <si>
    <t>1570686242954</t>
  </si>
  <si>
    <t>-LqoBY5v5wSFUQsqNIBC</t>
  </si>
  <si>
    <t>1570686250163</t>
  </si>
  <si>
    <t>-LqoBZovxo6Dr7cba0ri</t>
  </si>
  <si>
    <t>1570686257383</t>
  </si>
  <si>
    <t>-LqoBaNwARx1tLabG9kY</t>
  </si>
  <si>
    <t>1570686263545</t>
  </si>
  <si>
    <t>-LqoBc743m1LmuCGo5Ar</t>
  </si>
  <si>
    <t>1570686270794</t>
  </si>
  <si>
    <t>-LqoBdwKqPTkN4BqkuPg</t>
  </si>
  <si>
    <t>1570686277995</t>
  </si>
  <si>
    <t>-LqoBfd4kgkXIgTNyoft</t>
  </si>
  <si>
    <t>1570686285194</t>
  </si>
  <si>
    <t>-LqoBhC3SIg31K_urgzB</t>
  </si>
  <si>
    <t>1570686291392</t>
  </si>
  <si>
    <t>-LqoBiv4pocdYqv0PsSV</t>
  </si>
  <si>
    <t>1570686298615</t>
  </si>
  <si>
    <t>-LqoBkgvYFDp6A-KjId0</t>
  </si>
  <si>
    <t>1570686305826</t>
  </si>
  <si>
    <t>-LqoBmXKtMkjlPwW7sO_</t>
  </si>
  <si>
    <t>1570686313034</t>
  </si>
  <si>
    <t>-LqoBoCvp1qkya3Xledv</t>
  </si>
  <si>
    <t>1570686320254</t>
  </si>
  <si>
    <t>-LqoBpvwo2IXzrWvPC_l</t>
  </si>
  <si>
    <t>1570686327443</t>
  </si>
  <si>
    <t>-LqoBrWCbZaeMPK4ZUJi</t>
  </si>
  <si>
    <t>1570686333623</t>
  </si>
  <si>
    <t>-LqoBtE40cuYqr4nebkc</t>
  </si>
  <si>
    <t>1570686340875</t>
  </si>
  <si>
    <t>-LqoBuxOL0dGZMU8J3Ii</t>
  </si>
  <si>
    <t>1570686348085</t>
  </si>
  <si>
    <t>-LqoBwW2oM8NEmcgRTsF</t>
  </si>
  <si>
    <t>1570686354272</t>
  </si>
  <si>
    <t>-LqoByd1-DPHAZC9qFIM</t>
  </si>
  <si>
    <t>1570686361486</t>
  </si>
  <si>
    <t>-LqoC-GDtk4sDKqKf_9t</t>
  </si>
  <si>
    <t>1570686369746</t>
  </si>
  <si>
    <t>-LqoC0pQ3eehSB5zRAGc</t>
  </si>
  <si>
    <t>1570686375925</t>
  </si>
  <si>
    <t>-LqoC2Y56iBil0X0ZEG-</t>
  </si>
  <si>
    <t>1570686383115</t>
  </si>
  <si>
    <t>-LqoC4KAkMNZK7mY836Z</t>
  </si>
  <si>
    <t>1570686390336</t>
  </si>
  <si>
    <t>-LqoC63QpnyV2ildjsto</t>
  </si>
  <si>
    <t>1570686397527</t>
  </si>
  <si>
    <t>-LqoC7ajdX5gQAxqJo9z</t>
  </si>
  <si>
    <t>1570686403726</t>
  </si>
  <si>
    <t>-LqoC96CX53CHDyq-o-r</t>
  </si>
  <si>
    <t>1570686409934</t>
  </si>
  <si>
    <t>-LqoCB2_tf59ZTljhupA</t>
  </si>
  <si>
    <t>1570686417145</t>
  </si>
  <si>
    <t>-LqoCCb1K_-cjtucIcXA</t>
  </si>
  <si>
    <t>1570686424357</t>
  </si>
  <si>
    <t>-LqoCEQ5yy7p9Ogu_M1m</t>
  </si>
  <si>
    <t>1570686431566</t>
  </si>
  <si>
    <t>-LqoCG86RiaC0RW6d4Wq</t>
  </si>
  <si>
    <t>1570686438797</t>
  </si>
  <si>
    <t>-LqoCHwFN_oed1VFdKH_</t>
  </si>
  <si>
    <t>1570686445997</t>
  </si>
  <si>
    <t>-LqoCJj4g2Z9l65VfhTj</t>
  </si>
  <si>
    <t>1570686453545</t>
  </si>
  <si>
    <t>-LqoCLS4y-mmCZKhzIUf</t>
  </si>
  <si>
    <t>1570686460398</t>
  </si>
  <si>
    <t>-LqoCNA60JzerVBZkWQx</t>
  </si>
  <si>
    <t>1570686467657</t>
  </si>
  <si>
    <t>-LqoCOj6ujOCb2DTbvlj</t>
  </si>
  <si>
    <t>1570686473826</t>
  </si>
  <si>
    <t>-LqoCQRwl94OhLTrLiUy</t>
  </si>
  <si>
    <t>1570686481035</t>
  </si>
  <si>
    <t>-LqoCSF6hIm0G3BVwd00</t>
  </si>
  <si>
    <t>1570686488262</t>
  </si>
  <si>
    <t>-LqoCTy63HComsOxdIN9</t>
  </si>
  <si>
    <t>1570686495435</t>
  </si>
  <si>
    <t>-LqoCVX554V8yflkqQ1S</t>
  </si>
  <si>
    <t>1570686501627</t>
  </si>
  <si>
    <t>-LqoCXF5ZezTiJUOFEln</t>
  </si>
  <si>
    <t>1570686508876</t>
  </si>
  <si>
    <t>-LqoCZ29KW2KoEWUyRLG</t>
  </si>
  <si>
    <t>1570686516085</t>
  </si>
  <si>
    <t>-LqoC_l5-LaU134GVBJy</t>
  </si>
  <si>
    <t>1570686523276</t>
  </si>
  <si>
    <t>-LqoCbKE7WiTo9IbtI_e</t>
  </si>
  <si>
    <t>1570686529475</t>
  </si>
  <si>
    <t>-LqoCd1577h27H0f01cb</t>
  </si>
  <si>
    <t>1570686536696</t>
  </si>
  <si>
    <t>-LqoCeq6IntUadALqQAX</t>
  </si>
  <si>
    <t>1570686543908</t>
  </si>
  <si>
    <t>-LqoCgZ7ZinOD1OXjoly</t>
  </si>
  <si>
    <t>1570686551115</t>
  </si>
  <si>
    <t>-LqoCi76uYGagYpbdIHc</t>
  </si>
  <si>
    <t>1570686557307</t>
  </si>
  <si>
    <t>-LqoCjq6s3lbZmO655L5</t>
  </si>
  <si>
    <t>1570686564526</t>
  </si>
  <si>
    <t>-LqoCld6px1cgclk_NZv</t>
  </si>
  <si>
    <t>1570686571737</t>
  </si>
  <si>
    <t>-LqoCnJhW9qV6LGC5oB4</t>
  </si>
  <si>
    <t>1570686578956</t>
  </si>
  <si>
    <t>-LqoCp94-w9BloT-VWlF</t>
  </si>
  <si>
    <t>1570686586176</t>
  </si>
  <si>
    <t>-LqoCqsEbdFvPlBeR3K2</t>
  </si>
  <si>
    <t>1570686593355</t>
  </si>
  <si>
    <t>-LqoCsf4KW7t0dnmKMCM</t>
  </si>
  <si>
    <t>1570686600625</t>
  </si>
  <si>
    <t>-LqoCuO4gLWdO1Q_z0Iw</t>
  </si>
  <si>
    <t>1570686607826</t>
  </si>
  <si>
    <t>-LqoCvx5Zy67EU1JgG_G</t>
  </si>
  <si>
    <t>1570686613996</t>
  </si>
  <si>
    <t>-LqoCxf3eUq0z3mvQT0Z</t>
  </si>
  <si>
    <t>1570686621195</t>
  </si>
  <si>
    <t>-LqoCzE4iFZ8vFtR99a_</t>
  </si>
  <si>
    <t>1570686627387</t>
  </si>
  <si>
    <t>-LqoD-x3cT7HxbIaEl8I</t>
  </si>
  <si>
    <t>1570686634616</t>
  </si>
  <si>
    <t>-LqoD1k3s9Xnd72jEjr6</t>
  </si>
  <si>
    <t>1570686641903</t>
  </si>
  <si>
    <t>-LqoD3T3CWeRkyWG6J7W</t>
  </si>
  <si>
    <t>1570686649035</t>
  </si>
  <si>
    <t>-LqoD5HP5wZGCm2-pkvk</t>
  </si>
  <si>
    <t>1570686656256</t>
  </si>
  <si>
    <t>-LqoD6z2oPUtfYTfhOoN</t>
  </si>
  <si>
    <t>1570686663454</t>
  </si>
  <si>
    <t>-LqoD8mATc14FVj-Whze</t>
  </si>
  <si>
    <t>1570686670688</t>
  </si>
  <si>
    <t>-LqoDAVFHgQgCN6ODnWp</t>
  </si>
  <si>
    <t>1570686677906</t>
  </si>
  <si>
    <t>-LqoDC32FuTEwotkVfJx</t>
  </si>
  <si>
    <t>1570686684086</t>
  </si>
  <si>
    <t>-LqoDDm3mB-pApG9k9m2</t>
  </si>
  <si>
    <t>1570686691275</t>
  </si>
  <si>
    <t>-LqoDFL25q8RDDUSLs6M</t>
  </si>
  <si>
    <t>1570686697476</t>
  </si>
  <si>
    <t>-LqoDH82FAY8c62RR5rE</t>
  </si>
  <si>
    <t>1570686704947</t>
  </si>
  <si>
    <t>-LqoDIr203XxOr7TZCJg</t>
  </si>
  <si>
    <t>1570686711916</t>
  </si>
  <si>
    <t>-LqoDK_3QDaxUj5vxxyq</t>
  </si>
  <si>
    <t>1570686719116</t>
  </si>
  <si>
    <t>-LqoDM8ABBWO1DVkKVnQ</t>
  </si>
  <si>
    <t>1570686725306</t>
  </si>
  <si>
    <t>-LqoDNrXss59PZ2b1u7C</t>
  </si>
  <si>
    <t>1570686732526</t>
  </si>
  <si>
    <t>-LqoDPe3ELq0H4-nIDLD</t>
  </si>
  <si>
    <t>1570686739745</t>
  </si>
  <si>
    <t>-LqoDRN28NpNXrSWqzLP</t>
  </si>
  <si>
    <t>1570686746955</t>
  </si>
  <si>
    <t>-LqoDTA2k51uxD1fbrVH</t>
  </si>
  <si>
    <t>1570686754176</t>
  </si>
  <si>
    <t>-LqoDUt28Z0SxuitLnQr</t>
  </si>
  <si>
    <t>1570686761366</t>
  </si>
  <si>
    <t>-LqoDWSMgX9eQ9f67DVc</t>
  </si>
  <si>
    <t>1570686767555</t>
  </si>
  <si>
    <t>-LqoDYBJjhfWr0IDKX0T</t>
  </si>
  <si>
    <t>1570686774795</t>
  </si>
  <si>
    <t>-LqoDZy3HGyTdQzV6oDG</t>
  </si>
  <si>
    <t>1570686782006</t>
  </si>
  <si>
    <t>-LqoDagVq3NvYxKCSsuL</t>
  </si>
  <si>
    <t>1570686789196</t>
  </si>
  <si>
    <t>-LqoDcUFU4MRm4gg4bq5</t>
  </si>
  <si>
    <t>1570686796417</t>
  </si>
  <si>
    <t>-LqoDeC5jenekyOEXL1V</t>
  </si>
  <si>
    <t>1570686803657</t>
  </si>
  <si>
    <t>-LqoDfmJwwkOgAEgumyx</t>
  </si>
  <si>
    <t>1570686809835</t>
  </si>
  <si>
    <t>-LqoDhZ2V2euN6y9QnyY</t>
  </si>
  <si>
    <t>1570686817035</t>
  </si>
  <si>
    <t>-LqoDjFgbw2VsStk6Wv-</t>
  </si>
  <si>
    <t>1570686824265</t>
  </si>
  <si>
    <t>-LqoDlIww7wVwKGuuDD_</t>
  </si>
  <si>
    <t>1570686831445</t>
  </si>
  <si>
    <t>-LqoDn2e0vdQIbmKl3YA</t>
  </si>
  <si>
    <t>1570686839728</t>
  </si>
  <si>
    <t>-LqoDop4HEWV3H-InYlY</t>
  </si>
  <si>
    <t>1570686846936</t>
  </si>
  <si>
    <t>-LqoDqY50O_YGY9bw6Pt</t>
  </si>
  <si>
    <t>1570686854159</t>
  </si>
  <si>
    <t>-LqoDscOxMJw2DukcRWA</t>
  </si>
  <si>
    <t>1570686861336</t>
  </si>
  <si>
    <t>-LqoDuN6x8_HdNry4wQJ</t>
  </si>
  <si>
    <t>1570686869617</t>
  </si>
  <si>
    <t>-LqoDw4wlhV-uuZIMX8t</t>
  </si>
  <si>
    <t>1570686876827</t>
  </si>
  <si>
    <t>-LqoDxtFnxf9crDCKyCO</t>
  </si>
  <si>
    <t>1570686884037</t>
  </si>
  <si>
    <t>-LqoDzb5z8BqSZ7wsEBG</t>
  </si>
  <si>
    <t>1570686891265</t>
  </si>
  <si>
    <t>-LqoE0nDLMZOB_tQN10B</t>
  </si>
  <si>
    <t>1570686900019</t>
  </si>
  <si>
    <t>-LqoE2Mj6ijbPNp2oLA6</t>
  </si>
  <si>
    <t>1570686906717</t>
  </si>
  <si>
    <t>-LqoE3v51UlE1yClYz8e</t>
  </si>
  <si>
    <t>1570686912897</t>
  </si>
  <si>
    <t>-LqoE5bgK_kWHQ60cXzH</t>
  </si>
  <si>
    <t>1570686920088</t>
  </si>
  <si>
    <t>-LqoE7CE_ZlPp8-Df4NK</t>
  </si>
  <si>
    <t>1570686926276</t>
  </si>
  <si>
    <t>-LqoE8v41qLoFJC29t82</t>
  </si>
  <si>
    <t>1570686933515</t>
  </si>
  <si>
    <t>-LqoEAi4EXicpPVmEb_E</t>
  </si>
  <si>
    <t>1570686940725</t>
  </si>
  <si>
    <t>-LqoECR4U40AohWhMnPX</t>
  </si>
  <si>
    <t>1570686947917</t>
  </si>
  <si>
    <t>-LqoEDypbFMBBJtEGVkG</t>
  </si>
  <si>
    <t>1570686954117</t>
  </si>
  <si>
    <t>-LqoEFiDYx3306GYTwl5</t>
  </si>
  <si>
    <t>1570686961357</t>
  </si>
  <si>
    <t>-LqoEHW5USyx6VbbNbdx</t>
  </si>
  <si>
    <t>1570686968556</t>
  </si>
  <si>
    <t>-LqoEJPK-T3qzalGDKaC</t>
  </si>
  <si>
    <t>1570686976403</t>
  </si>
  <si>
    <t>-LqoEL15R2BimdQSSE1U</t>
  </si>
  <si>
    <t>1570686982986</t>
  </si>
  <si>
    <t>-LqoEMkEJwF17eC3peHq</t>
  </si>
  <si>
    <t>1570686990167</t>
  </si>
  <si>
    <t>-LqoEOHhMI4bVaR2TFuo</t>
  </si>
  <si>
    <t>1570686996386</t>
  </si>
  <si>
    <t>-LqoEQ15enKBan6wCPPS</t>
  </si>
  <si>
    <t>1570687003598</t>
  </si>
  <si>
    <t>-LqoES86fsrsVn2-bQYk</t>
  </si>
  <si>
    <t>1570687012092</t>
  </si>
  <si>
    <t>-LqoETr2sD7A5zMaNUOF</t>
  </si>
  <si>
    <t>1570687019056</t>
  </si>
  <si>
    <t>-LqoEV_3I4Zt_TibYL3f</t>
  </si>
  <si>
    <t>1570687026277</t>
  </si>
  <si>
    <t>-LqoEXZICnL2qHbhsVt4</t>
  </si>
  <si>
    <t>1570687033487</t>
  </si>
  <si>
    <t>-LqoEZ53Tl7hXbzEWnuj</t>
  </si>
  <si>
    <t>1570687040717</t>
  </si>
  <si>
    <t>-LqoE_tGiHQi_psw7S9S</t>
  </si>
  <si>
    <t>1570687047917</t>
  </si>
  <si>
    <t>-LqoEbbGcze_BErH_4rX</t>
  </si>
  <si>
    <t>1570687055116</t>
  </si>
  <si>
    <t>-LqoEdP5WKyWc1cKWA_z</t>
  </si>
  <si>
    <t>1570687062345</t>
  </si>
  <si>
    <t>-LqoEjme_V27qPLVkgHH</t>
  </si>
  <si>
    <t>1570687088612</t>
  </si>
  <si>
    <t>-LqoElVxRUz1NbP5ymuK</t>
  </si>
  <si>
    <t>1570687095752</t>
  </si>
  <si>
    <t>-LqoEn43-DjZFTbH9PVt</t>
  </si>
  <si>
    <t>1570687101953</t>
  </si>
  <si>
    <t>-LqoEon4nZ08sYl8nUKI</t>
  </si>
  <si>
    <t>1570687109192</t>
  </si>
  <si>
    <t>-LqoEq_wZIflAKZwn_3O</t>
  </si>
  <si>
    <t>1570687116401</t>
  </si>
  <si>
    <t>-LqoEsIxZAYyxyHDMJTN</t>
  </si>
  <si>
    <t>1570687123592</t>
  </si>
  <si>
    <t>-LqoEto2zbWA29M06Qo1</t>
  </si>
  <si>
    <t>1570687129765</t>
  </si>
  <si>
    <t>-LqoEvLzRHHwU4VY4E7s</t>
  </si>
  <si>
    <t>1570687135983</t>
  </si>
  <si>
    <t>-LqoEwpwmqsoZjTMXE5R</t>
  </si>
  <si>
    <t>1570687142153</t>
  </si>
  <si>
    <t>-LqoEyQ8hGoapAopfN-O</t>
  </si>
  <si>
    <t>1570687148352</t>
  </si>
  <si>
    <t>-LqoF-6xzCeFYwbDfAQT</t>
  </si>
  <si>
    <t>1570687155572</t>
  </si>
  <si>
    <t>-LqoF0axWAZ9bsNOoTt-</t>
  </si>
  <si>
    <t>1570687161753</t>
  </si>
  <si>
    <t>-LqoF2B1_UlLbiiSStrV</t>
  </si>
  <si>
    <t>1570687167932</t>
  </si>
  <si>
    <t>-LqoF3swyVpjUQoAuBn8</t>
  </si>
  <si>
    <t>1570687175127</t>
  </si>
  <si>
    <t>-LqoF5Ry2NLVa2xKnT-p</t>
  </si>
  <si>
    <t>1570687181312</t>
  </si>
  <si>
    <t>-LqoF7A3AoAMOyHQd5Fa</t>
  </si>
  <si>
    <t>1570687188554</t>
  </si>
  <si>
    <t>-LqoF8xxblXyDJZ-djSF</t>
  </si>
  <si>
    <t>1570687195766</t>
  </si>
  <si>
    <t>-LqoFAfwKb7ixQwCyU6O</t>
  </si>
  <si>
    <t>1570687202953</t>
  </si>
  <si>
    <t>-LqoFCFPZeE13oyVjCKK</t>
  </si>
  <si>
    <t>1570687209141</t>
  </si>
  <si>
    <t>-LqoFEGFA-mg1sUlqEve</t>
  </si>
  <si>
    <t>1570687216393</t>
  </si>
  <si>
    <t>-LqoFFzwInA4qpDu8huk</t>
  </si>
  <si>
    <t>1570687224623</t>
  </si>
  <si>
    <t>-LqoFHhwN3vZKUkh60U8</t>
  </si>
  <si>
    <t>1570687231832</t>
  </si>
  <si>
    <t>-LqoFJH4kgz3oivfVr4Z</t>
  </si>
  <si>
    <t>1570687238024</t>
  </si>
  <si>
    <t>-LqoFKzxN0xKqTl2CgyZ</t>
  </si>
  <si>
    <t>1570687245253</t>
  </si>
  <si>
    <t>-LqoFM_0WRnSt5QimeAU</t>
  </si>
  <si>
    <t>1570687251435</t>
  </si>
  <si>
    <t>-LqoFOGxKY5O2vOsMfL6</t>
  </si>
  <si>
    <t>1570687258632</t>
  </si>
  <si>
    <t>-LqoFQIy9-I2QYZcwDq3</t>
  </si>
  <si>
    <t>1570687266884</t>
  </si>
  <si>
    <t>-LqoFS5wR5nYOS6WZg3Z</t>
  </si>
  <si>
    <t>1570687274104</t>
  </si>
  <si>
    <t>-LqoFTowd3oRzOY7CZrb</t>
  </si>
  <si>
    <t>1570687281313</t>
  </si>
  <si>
    <t>-LqoFVbwAU2Af0wvKv1j</t>
  </si>
  <si>
    <t>1570687288536</t>
  </si>
  <si>
    <t>-LqoFXPxfO5mdyj8jaA6</t>
  </si>
  <si>
    <t>1570687296157</t>
  </si>
  <si>
    <t>-LqoFZ7yq79Lve9sbc1q</t>
  </si>
  <si>
    <t>1570687302964</t>
  </si>
  <si>
    <t>-LqoF_rrEmE1bL09jvbF</t>
  </si>
  <si>
    <t>1570687310152</t>
  </si>
  <si>
    <t>-LqoFbk63FMfDw7pC_Kp</t>
  </si>
  <si>
    <t>1570687316353</t>
  </si>
  <si>
    <t>-LqoFdO5jfR8p7Ci4i5q</t>
  </si>
  <si>
    <t>1570687324618</t>
  </si>
  <si>
    <t>-LqoFexhaDAvVgA41lH9</t>
  </si>
  <si>
    <t>1570687330788</t>
  </si>
  <si>
    <t>-LqoFgfIkk9wKLH0Gx1D</t>
  </si>
  <si>
    <t>1570687337997</t>
  </si>
  <si>
    <t>-LqoFiTIP946n5d2rGj1</t>
  </si>
  <si>
    <t>1570687345220</t>
  </si>
  <si>
    <t>-LqoFkB50zVbGXmh_CBI</t>
  </si>
  <si>
    <t>1570687352407</t>
  </si>
  <si>
    <t>-LqoFlk3xWt4wncS4e8h</t>
  </si>
  <si>
    <t>1570687358597</t>
  </si>
  <si>
    <t>-LqoFnT8UHoZ0ihub7Yk</t>
  </si>
  <si>
    <t>1570687365838</t>
  </si>
  <si>
    <t>-LqoFpMLhHchvkRaDn3X</t>
  </si>
  <si>
    <t>1570687373058</t>
  </si>
  <si>
    <t>-LqoFqxhCJWbYG4LD245</t>
  </si>
  <si>
    <t>1570687380237</t>
  </si>
  <si>
    <t>-LqoFsY41xOIfLRV7ynm</t>
  </si>
  <si>
    <t>1570687386438</t>
  </si>
  <si>
    <t>-LqoFuFy-3ivWtesn1Tq</t>
  </si>
  <si>
    <t>1570687393678</t>
  </si>
  <si>
    <t>-LqoFw3HZAPUM9HUyk56</t>
  </si>
  <si>
    <t>1570687400888</t>
  </si>
  <si>
    <t>-LqoFxmQKJn7DRV7UROC</t>
  </si>
  <si>
    <t>1570687408078</t>
  </si>
  <si>
    <t>-LqoFzG556aAAqhDoE1C</t>
  </si>
  <si>
    <t>1570687414278</t>
  </si>
  <si>
    <t>-LqoG-p56MBmeOsM6G_f</t>
  </si>
  <si>
    <t>1570687420468</t>
  </si>
  <si>
    <t>-LqoG1Y5ZUvJX3EYhbBr</t>
  </si>
  <si>
    <t>1570687427678</t>
  </si>
  <si>
    <t>-LqoG364K5JOCjz6FBpc</t>
  </si>
  <si>
    <t>1570687433840</t>
  </si>
  <si>
    <t>-LqoG4p5_I8e-iGJuCnn</t>
  </si>
  <si>
    <t>1570687441059</t>
  </si>
  <si>
    <t>-LqoG6O4smR6m7uUsVAj</t>
  </si>
  <si>
    <t>1570687447236</t>
  </si>
  <si>
    <t>-LqoG865OG6Dnvyw9lds</t>
  </si>
  <si>
    <t>1570687454479</t>
  </si>
  <si>
    <t>-LqoG9u5ZQJbS1rbFc_B</t>
  </si>
  <si>
    <t>1570687461687</t>
  </si>
  <si>
    <t>-LqoGBc5xX0aO_y1P10V</t>
  </si>
  <si>
    <t>1570687468877</t>
  </si>
  <si>
    <t>-LqoGDB4Y1cVy2BEoWoc</t>
  </si>
  <si>
    <t>1570687475068</t>
  </si>
  <si>
    <t>-LqoGEuBDK485CS-idT7</t>
  </si>
  <si>
    <t>1570687482320</t>
  </si>
  <si>
    <t>-LqoGGh4UEENB31niSxP</t>
  </si>
  <si>
    <t>1570687489518</t>
  </si>
  <si>
    <t>-LqoGIdxWN1ACrKCaX54</t>
  </si>
  <si>
    <t>1570687496718</t>
  </si>
  <si>
    <t>-LqoGKD9ZTz_Ag87EXUs</t>
  </si>
  <si>
    <t>1570687503947</t>
  </si>
  <si>
    <t>-LqoGLw4H7yCvUQilWHr</t>
  </si>
  <si>
    <t>1570687511129</t>
  </si>
  <si>
    <t>-LqoGNV7la32u6G6N9Wa</t>
  </si>
  <si>
    <t>1570687517350</t>
  </si>
  <si>
    <t>-LqoGPD6hszTg197KvaR</t>
  </si>
  <si>
    <t>1570687524558</t>
  </si>
  <si>
    <t>-LqoGR06kD9SeyRy3GIh</t>
  </si>
  <si>
    <t>1570687531767</t>
  </si>
  <si>
    <t>-LqoGSj6C1uTbzozR5gV</t>
  </si>
  <si>
    <t>1570687538959</t>
  </si>
  <si>
    <t>-LqoGUcpWFWZwqBFcYaX</t>
  </si>
  <si>
    <t>1570687545148</t>
  </si>
  <si>
    <t>-LqoGWDzTeYbbdfeNkQh</t>
  </si>
  <si>
    <t>1570687553437</t>
  </si>
  <si>
    <t>-LqoGXo3wlV4qatF7Irm</t>
  </si>
  <si>
    <t>1570687559595</t>
  </si>
  <si>
    <t>-LqoGZXE0UwE8bROpUvo</t>
  </si>
  <si>
    <t>1570687566796</t>
  </si>
  <si>
    <t>-LqoGa5EIpssiDkyzrC7</t>
  </si>
  <si>
    <t>1570687572986</t>
  </si>
  <si>
    <t>-LqoGboFc0kU4l4A_dUm</t>
  </si>
  <si>
    <t>1570687580206</t>
  </si>
  <si>
    <t>-LqoGdb3X0BC4THaP8KB</t>
  </si>
  <si>
    <t>1570687587425</t>
  </si>
  <si>
    <t>-LqoGfK2jwwI_sSx3w0i</t>
  </si>
  <si>
    <t>1570687594636</t>
  </si>
  <si>
    <t>-LqoGh73I7bA-fuWFrfC</t>
  </si>
  <si>
    <t>1570687601856</t>
  </si>
  <si>
    <t>-LqoGiqFGHg4cbMxvEkq</t>
  </si>
  <si>
    <t>1570687609036</t>
  </si>
  <si>
    <t>-LqoGkIqXe2VBWqVxGiC</t>
  </si>
  <si>
    <t>1570687615203</t>
  </si>
  <si>
    <t>-LqoGlt42rVIqUgC1iRg</t>
  </si>
  <si>
    <t>1570687621436</t>
  </si>
  <si>
    <t>-LqoGnaurMz6LoNeDVGg</t>
  </si>
  <si>
    <t>1570687628646</t>
  </si>
  <si>
    <t>-LqoGpA3Hz79j3c1EePj</t>
  </si>
  <si>
    <t>1570687634846</t>
  </si>
  <si>
    <t>-LqoGqt3yAj8tOqxJrtG</t>
  </si>
  <si>
    <t>1570687642057</t>
  </si>
  <si>
    <t>-LqoGsSN1IDf4ulDtSGC</t>
  </si>
  <si>
    <t>1570687648236</t>
  </si>
  <si>
    <t>-LqoGuAgfwfUHWW8pECD</t>
  </si>
  <si>
    <t>1570687655435</t>
  </si>
  <si>
    <t>-LqoGvy3OZi9v1zYEZpd</t>
  </si>
  <si>
    <t>1570687662656</t>
  </si>
  <si>
    <t>-LqoGxg3Ef-w9CQ0gw2s</t>
  </si>
  <si>
    <t>1570687669845</t>
  </si>
  <si>
    <t>-LqoGzF7FM72bn3EVErY</t>
  </si>
  <si>
    <t>1570687676034</t>
  </si>
  <si>
    <t>-LqoH-zIGm09ZpkiAC04</t>
  </si>
  <si>
    <t>1570687683276</t>
  </si>
  <si>
    <t>-LqoH1lEXzDzJ0gmB2YO</t>
  </si>
  <si>
    <t>1570687690486</t>
  </si>
  <si>
    <t>-LqoH3U2eVtr16gxxLJh</t>
  </si>
  <si>
    <t>1570687697677</t>
  </si>
  <si>
    <t>-LqoH523SqAhHyHsGuDL</t>
  </si>
  <si>
    <t>1570687703866</t>
  </si>
  <si>
    <t>-LqoH6k-Ken4BOb4_2Ih</t>
  </si>
  <si>
    <t>1570687711115</t>
  </si>
  <si>
    <t>-LqoH8Z23aJa3IyZhPd9</t>
  </si>
  <si>
    <t>1570687718316</t>
  </si>
  <si>
    <t>-LqoHAH2-wsHJugRCy6I</t>
  </si>
  <si>
    <t>1570687725515</t>
  </si>
  <si>
    <t>-LqoHBp-TpL3SFarRxgr</t>
  </si>
  <si>
    <t>1570687731715</t>
  </si>
  <si>
    <t>-LqoHDZ54AWDoos4U29m</t>
  </si>
  <si>
    <t>1570687738935</t>
  </si>
  <si>
    <t>-LqoHFL02TWCgLoDPlRS</t>
  </si>
  <si>
    <t>1570687746145</t>
  </si>
  <si>
    <t>-LqoHHTG4NhmVAefl3jN</t>
  </si>
  <si>
    <t>1570687754771</t>
  </si>
  <si>
    <t>-LqoHJ4zcCmiU6gZj2cK</t>
  </si>
  <si>
    <t>1570687761606</t>
  </si>
  <si>
    <t>-LqoHKt-gKPB_N1_m8Z8</t>
  </si>
  <si>
    <t>1570687768816</t>
  </si>
  <si>
    <t>-LqoHMbvYQg5Ev4Uyq1I</t>
  </si>
  <si>
    <t>1570687776036</t>
  </si>
  <si>
    <t>-LqoHOQ3BbVaBj6jZsRl</t>
  </si>
  <si>
    <t>1570687783358</t>
  </si>
  <si>
    <t>-LqoHQ84UXsltC6mbjeY</t>
  </si>
  <si>
    <t>1570687790478</t>
  </si>
  <si>
    <t>-LqoHRw4nNyL5SJPtr0a</t>
  </si>
  <si>
    <t>1570687797678</t>
  </si>
  <si>
    <t>-LqoHTeDTLHrgO2socod</t>
  </si>
  <si>
    <t>1570687804884</t>
  </si>
  <si>
    <t>-LqoHVD4iGF_6eYrvAlP</t>
  </si>
  <si>
    <t>1570687811068</t>
  </si>
  <si>
    <t>-LqoHWw4tcoNt2536uvr</t>
  </si>
  <si>
    <t>1570687818296</t>
  </si>
  <si>
    <t>-LqoHZ27JAxYSIa5BwBy</t>
  </si>
  <si>
    <t>1570687826765</t>
  </si>
  <si>
    <t>-LqoH_g50XGvMnz0tfUd</t>
  </si>
  <si>
    <t>1570687833747</t>
  </si>
  <si>
    <t>-LqoHbF3jf0gdrCTH5He</t>
  </si>
  <si>
    <t>1570687839939</t>
  </si>
  <si>
    <t>-LqoHcy49dJ_MpALRrNF</t>
  </si>
  <si>
    <t>1570687847117</t>
  </si>
  <si>
    <t>-LqoHeX51ZIO7pcaBMh2</t>
  </si>
  <si>
    <t>1570687853326</t>
  </si>
  <si>
    <t>-LqoHgF5LIz84joh0_gb</t>
  </si>
  <si>
    <t>1570687860570</t>
  </si>
  <si>
    <t>-LqoHi2FlfYG5lKjqYkF</t>
  </si>
  <si>
    <t>1570687867758</t>
  </si>
  <si>
    <t>-LqoHjl5PgSknGqWDrHA</t>
  </si>
  <si>
    <t>1570687874957</t>
  </si>
  <si>
    <t>-LqoHlExJfntYdGw1uBn</t>
  </si>
  <si>
    <t>1570687881158</t>
  </si>
  <si>
    <t>-LqoHmo4oylgTQpKsCzN</t>
  </si>
  <si>
    <t>1570687887346</t>
  </si>
  <si>
    <t>-LqoHoX5Cl_0C_8jC_DQ</t>
  </si>
  <si>
    <t>1570687894565</t>
  </si>
  <si>
    <t>-LqoHq55cGINj6VTAVeI</t>
  </si>
  <si>
    <t>1570687900748</t>
  </si>
  <si>
    <t>-LqoHro5bJaT03ge2iwS</t>
  </si>
  <si>
    <t>1570687907926</t>
  </si>
  <si>
    <t>-LqoHtNGOIO5ILDdQOFI</t>
  </si>
  <si>
    <t>1570687914117</t>
  </si>
  <si>
    <t>-LqoHv54frkR57tIeBtf</t>
  </si>
  <si>
    <t>1570687921365</t>
  </si>
  <si>
    <t>-LqoHwt4H6OrLvd0RPIc</t>
  </si>
  <si>
    <t>1570687928567</t>
  </si>
  <si>
    <t>-LqoHya-dxXEK1OVFAAT</t>
  </si>
  <si>
    <t>1570687935757</t>
  </si>
  <si>
    <t>-LqoI-Y26rcl_mfRysGm</t>
  </si>
  <si>
    <t>1570687941961</t>
  </si>
  <si>
    <t>-LqoI17ApnkOWIixb9Wy</t>
  </si>
  <si>
    <t>1570687950227</t>
  </si>
  <si>
    <t>-LqoI2g3kaFdOvT2bnQj</t>
  </si>
  <si>
    <t>1570687956397</t>
  </si>
  <si>
    <t>-LqoI4P5WPPVqyNy4jYN</t>
  </si>
  <si>
    <t>1570687963598</t>
  </si>
  <si>
    <t>-LqoI6CFLwcQ50VBMKJd</t>
  </si>
  <si>
    <t>1570687970825</t>
  </si>
  <si>
    <t>-LqoI7wLJ3etfJtlz1nq</t>
  </si>
  <si>
    <t>1570687978058</t>
  </si>
  <si>
    <t>-LqoI9U3c3jGd72_tBWr</t>
  </si>
  <si>
    <t>1570687984196</t>
  </si>
  <si>
    <t>-LqoIBC5rrlyHcZBktjt</t>
  </si>
  <si>
    <t>1570687991437</t>
  </si>
  <si>
    <t>-LqoID-QDH6aowzMAd0l</t>
  </si>
  <si>
    <t>1570687998647</t>
  </si>
  <si>
    <t>-LqoIEjLeOE__EamVcAX</t>
  </si>
  <si>
    <t>1570688005837</t>
  </si>
  <si>
    <t>-LqoIG_x1MghRlS_wufK</t>
  </si>
  <si>
    <t>1570688012048</t>
  </si>
  <si>
    <t>-LqoIIE7a8T8GJ_QbDY9</t>
  </si>
  <si>
    <t>1570688020309</t>
  </si>
  <si>
    <t>-LqoIJn6PYMETIJSpJIH</t>
  </si>
  <si>
    <t>1570688026469</t>
  </si>
  <si>
    <t>-LqoILW5s2phV8OClBj_</t>
  </si>
  <si>
    <t>1570688033680</t>
  </si>
  <si>
    <t>-LqoINJ52s9gZ7no-NH5</t>
  </si>
  <si>
    <t>1570688040898</t>
  </si>
  <si>
    <t>-LqoIP1RtF6iZwP9ZL31</t>
  </si>
  <si>
    <t>1570688048078</t>
  </si>
  <si>
    <t>-LqoIQp8cW5gvBaiN7a3</t>
  </si>
  <si>
    <t>1570688055327</t>
  </si>
  <si>
    <t>-LqoISHhcUnBy05B2Yna</t>
  </si>
  <si>
    <t>1570688061519</t>
  </si>
  <si>
    <t>-LqoIU660yOb27WZplKx</t>
  </si>
  <si>
    <t>1570688068720</t>
  </si>
  <si>
    <t>-LqoIVp89qX-wwPTX4cm</t>
  </si>
  <si>
    <t>1570688075918</t>
  </si>
  <si>
    <t>-LqoIXJ6_HDp4_JITlRu</t>
  </si>
  <si>
    <t>1570688082107</t>
  </si>
  <si>
    <t>-LqoIYs6llspD0YMy8Ys</t>
  </si>
  <si>
    <t>1570688088299</t>
  </si>
  <si>
    <t>-LqoI_f8xRigKy7jM13O</t>
  </si>
  <si>
    <t>1570688095529</t>
  </si>
  <si>
    <t>-LqoIbO94psqD4H5eoDj</t>
  </si>
  <si>
    <t>1570688102730</t>
  </si>
  <si>
    <t>-LqoIdB7mVjoE-4vdFQD</t>
  </si>
  <si>
    <t>1570688109937</t>
  </si>
  <si>
    <t>-LqoIfBJ_ANOHICYNnJe</t>
  </si>
  <si>
    <t>1570688117157</t>
  </si>
  <si>
    <t>-LqoIgw6njcBZMKnLLrc</t>
  </si>
  <si>
    <t>1570688125399</t>
  </si>
  <si>
    <t>-LqoIie6Rgwgv91zk2my</t>
  </si>
  <si>
    <t>1570688132618</t>
  </si>
  <si>
    <t>-LqoIkD7KjvgufTHSepf</t>
  </si>
  <si>
    <t>1570688138798</t>
  </si>
  <si>
    <t>-LqoIlwIRftHpBYN2Say</t>
  </si>
  <si>
    <t>1570688145999</t>
  </si>
  <si>
    <t>-LqoInVFNPloRPfT_mYN</t>
  </si>
  <si>
    <t>1570688152199</t>
  </si>
  <si>
    <t>-LqoIpD8UeHCwrqvGZC_</t>
  </si>
  <si>
    <t>1570688159409</t>
  </si>
  <si>
    <t>-LqoIrJZYwNb3LtPU5VB</t>
  </si>
  <si>
    <t>1570688166629</t>
  </si>
  <si>
    <t>-LqoIt26yWxjwUS8Tfn-</t>
  </si>
  <si>
    <t>1570688174889</t>
  </si>
  <si>
    <t>-LqoIulGDLNEvMTbK3Oy</t>
  </si>
  <si>
    <t>1570688182098</t>
  </si>
  <si>
    <t>-LqoIwZ8-L9-4gtL-n-p</t>
  </si>
  <si>
    <t>1570688189298</t>
  </si>
  <si>
    <t>-LqoIyH6GMMz9WqYwMXM</t>
  </si>
  <si>
    <t>1570688196519</t>
  </si>
  <si>
    <t>-LqoJ-47V6R884NJamfp</t>
  </si>
  <si>
    <t>1570688203727</t>
  </si>
  <si>
    <t>-LqoJ0n7Q633f5K1Qq82</t>
  </si>
  <si>
    <t>1570688210958</t>
  </si>
  <si>
    <t>-LqoJ2nsPjyw7_48GiSF</t>
  </si>
  <si>
    <t>1570688218157</t>
  </si>
  <si>
    <t>-LqoJ4oYOAiKryDE-IcJ</t>
  </si>
  <si>
    <t>1570688226398</t>
  </si>
  <si>
    <t>-LqoJ6YtHNy_Fud41yuk</t>
  </si>
  <si>
    <t>1570688234639</t>
  </si>
  <si>
    <t>-LqoJ8N84LxnO2XZx-ys</t>
  </si>
  <si>
    <t>1570688241867</t>
  </si>
  <si>
    <t>-LqoJAKltbma67qF0siQ</t>
  </si>
  <si>
    <t>1570688249048</t>
  </si>
  <si>
    <t>-LqoJBt2zjSQUXsmKLrm</t>
  </si>
  <si>
    <t>1570688256272</t>
  </si>
  <si>
    <t>-LqoJDWwYvWZizjVTIGi</t>
  </si>
  <si>
    <t>1570688262432</t>
  </si>
  <si>
    <t>-LqoJFA3XaB2CE0SiLGt</t>
  </si>
  <si>
    <t>1570688269684</t>
  </si>
  <si>
    <t>-LqoJGrw5Pratq3hEoYA</t>
  </si>
  <si>
    <t>1570688276872</t>
  </si>
  <si>
    <t>-LqoJIR5n7KL5ZryZXim</t>
  </si>
  <si>
    <t>1570688283073</t>
  </si>
  <si>
    <t>-LqoJK8v-uN8VxEY14gG</t>
  </si>
  <si>
    <t>1570688290294</t>
  </si>
  <si>
    <t>-LqoJLxFNdTBA9lRqivn</t>
  </si>
  <si>
    <t>1570688297502</t>
  </si>
  <si>
    <t>-LqoJNS2EAw0ODMbjYrg</t>
  </si>
  <si>
    <t>1570688303664</t>
  </si>
  <si>
    <t>-LqoJPDcu2HSU6sl_2lq</t>
  </si>
  <si>
    <t>1570688310904</t>
  </si>
  <si>
    <t>-LqoJQj1Sy36_eQGO-ao</t>
  </si>
  <si>
    <t>1570688317070</t>
  </si>
  <si>
    <t>-LqoJSQv-zAc6NQHXHIj</t>
  </si>
  <si>
    <t>1570688324294</t>
  </si>
  <si>
    <t>-LqoJTzwPkQyxkxIAYsY</t>
  </si>
  <si>
    <t>1570688330484</t>
  </si>
  <si>
    <t>-LqoJVhwlYRJQPfaFIBY</t>
  </si>
  <si>
    <t>1570688337674</t>
  </si>
  <si>
    <t>-LqoJXX2L73SAjp_t3lY</t>
  </si>
  <si>
    <t>1570688344914</t>
  </si>
  <si>
    <t>-LqoJZF1IQLF8kbPoPeI</t>
  </si>
  <si>
    <t>1570688352136</t>
  </si>
  <si>
    <t>-LqoJ_mwMpAVi8_DUvVK</t>
  </si>
  <si>
    <t>1570688358304</t>
  </si>
  <si>
    <t>-LqoJbVwBuisRazezh_X</t>
  </si>
  <si>
    <t>1570688365512</t>
  </si>
  <si>
    <t>-LqoJdIx0qfoV-B03vy7</t>
  </si>
  <si>
    <t>1570688372732</t>
  </si>
  <si>
    <t>-LqoJf0vYTVoZ7UmEaI9</t>
  </si>
  <si>
    <t>1570688379932</t>
  </si>
  <si>
    <t>-LqoJg_eTvrOYzv_YZ4H</t>
  </si>
  <si>
    <t>1570688386114</t>
  </si>
  <si>
    <t>-LqoJiK2jM4pEAsDemWV</t>
  </si>
  <si>
    <t>1570688393354</t>
  </si>
  <si>
    <t>-LqoJk7-5U37dlWMX3-F</t>
  </si>
  <si>
    <t>1570688400562</t>
  </si>
  <si>
    <t>-LqoJlou3bd4bfgx_ArR</t>
  </si>
  <si>
    <t>1570688407753</t>
  </si>
  <si>
    <t>-LqoJnP5H1EuA_l48LDs</t>
  </si>
  <si>
    <t>1570688413944</t>
  </si>
  <si>
    <t>-LqoJp5waEmu2nM8cQNl</t>
  </si>
  <si>
    <t>1570688421192</t>
  </si>
  <si>
    <t>-LqoJr6jQmBplZd7Nq8X</t>
  </si>
  <si>
    <t>1570688428395</t>
  </si>
  <si>
    <t>-LqoJt9mzn4yri_SC-Ot</t>
  </si>
  <si>
    <t>1570688437923</t>
  </si>
  <si>
    <t>-LqoJvARBTdL1132Jo9g</t>
  </si>
  <si>
    <t>1570688444874</t>
  </si>
  <si>
    <t>-LqoJwfugD9VSeBqy2Iz</t>
  </si>
  <si>
    <t>1570688452092</t>
  </si>
  <si>
    <t>-LqoJyQ29UarWLJexICq</t>
  </si>
  <si>
    <t>1570688459283</t>
  </si>
  <si>
    <t>-LqoJzxw_NQNKu1LYEU_</t>
  </si>
  <si>
    <t>1570688465462</t>
  </si>
  <si>
    <t>-LqoK0g1Q2X0KH7Gra8b</t>
  </si>
  <si>
    <t>1570688472714</t>
  </si>
  <si>
    <t>-LqoK2TyrsQ2vcv2PGqe</t>
  </si>
  <si>
    <t>1570688479924</t>
  </si>
  <si>
    <t>-LqoK4X68dtZiVbddBv5</t>
  </si>
  <si>
    <t>1570688488347</t>
  </si>
  <si>
    <t>-LqoK6F5ZbBE675_G4K9</t>
  </si>
  <si>
    <t>1570688495387</t>
  </si>
  <si>
    <t>-LqoK825ZawT94nGPhuJ</t>
  </si>
  <si>
    <t>1570688502598</t>
  </si>
  <si>
    <t>-LqoK9lEZFzAUmsKUHVT</t>
  </si>
  <si>
    <t>1570688509806</t>
  </si>
  <si>
    <t>-LqoKBZDnGIDwvedI3YZ</t>
  </si>
  <si>
    <t>1570688517026</t>
  </si>
  <si>
    <t>-LqoKDH3ny8kqGeUKqGq</t>
  </si>
  <si>
    <t>1570688524237</t>
  </si>
  <si>
    <t>-LqoKF43NEAJ5bq31k_Y</t>
  </si>
  <si>
    <t>1570688531458</t>
  </si>
  <si>
    <t>-LqoKGn4i7rgIkn2_D1s</t>
  </si>
  <si>
    <t>1570688538644</t>
  </si>
  <si>
    <t>-LqoKIR7oiwnO8Ob1UnR</t>
  </si>
  <si>
    <t>1570688544829</t>
  </si>
  <si>
    <t>-LqoKKMoAGHJe335mFhW</t>
  </si>
  <si>
    <t>1570688552078</t>
  </si>
  <si>
    <t>-LqoKM65JziJUy2lvCGo</t>
  </si>
  <si>
    <t>1570688560317</t>
  </si>
  <si>
    <t>-LqoKNu3Le_o96wNR_tT</t>
  </si>
  <si>
    <t>1570688567526</t>
  </si>
  <si>
    <t>-LqoKPcGYP9rnBEBu7Pt</t>
  </si>
  <si>
    <t>1570688574737</t>
  </si>
  <si>
    <t>-LqoKRQGSHLPchCIyVo_</t>
  </si>
  <si>
    <t>1570688581963</t>
  </si>
  <si>
    <t>-LqoKT833FOyNNtslXaV</t>
  </si>
  <si>
    <t>1570688589167</t>
  </si>
  <si>
    <t>-LqoKUwCoQ9L6aVpUwSI</t>
  </si>
  <si>
    <t>1570688596377</t>
  </si>
  <si>
    <t>-LqoKWe3itejcDIwt2gq</t>
  </si>
  <si>
    <t>1570688603598</t>
  </si>
  <si>
    <t>-LqoKYS4DssT97k1XmWJ</t>
  </si>
  <si>
    <t>1570688610816</t>
  </si>
  <si>
    <t>-LqoK_O9RvcJWDLT4qBZ</t>
  </si>
  <si>
    <t>1570688618890</t>
  </si>
  <si>
    <t>-LqoKayIG5CqssbVuQV2</t>
  </si>
  <si>
    <t>1570688625237</t>
  </si>
  <si>
    <t>-LqoKcrh_CXjooOzDHhL</t>
  </si>
  <si>
    <t>1570688632467</t>
  </si>
  <si>
    <t>-LqoKeUGLNqekrow_85l</t>
  </si>
  <si>
    <t>1570688639667</t>
  </si>
  <si>
    <t>-LqoKgC4_91Vixyn9med</t>
  </si>
  <si>
    <t>1570688646879</t>
  </si>
  <si>
    <t>-LqoKhl3OMjyIHDk2PQw</t>
  </si>
  <si>
    <t>1570688653058</t>
  </si>
  <si>
    <t>-LqoKjU35c0z38Wwxm2f</t>
  </si>
  <si>
    <t>1570688660256</t>
  </si>
  <si>
    <t>-LqoKl23TURTShDeW9Vt</t>
  </si>
  <si>
    <t>1570688666466</t>
  </si>
  <si>
    <t>-LqoKml7vM9DuG8Wtcpz</t>
  </si>
  <si>
    <t>1570688673681</t>
  </si>
  <si>
    <t>-LqoKoZ4ISUaqVKuqAED</t>
  </si>
  <si>
    <t>1570688680886</t>
  </si>
  <si>
    <t>-LqoKqHDIHTzRSI9J1S0</t>
  </si>
  <si>
    <t>1570688688076</t>
  </si>
  <si>
    <t>-LqoKrrL2rqMiilBO_OQ</t>
  </si>
  <si>
    <t>1570688694268</t>
  </si>
  <si>
    <t>-LqoKtZ6ZHYFsrMNZ9vK</t>
  </si>
  <si>
    <t>1570688701517</t>
  </si>
  <si>
    <t>-LqoKvM6d4fFv5xp6puf</t>
  </si>
  <si>
    <t>1570688708718</t>
  </si>
  <si>
    <t>-LqoKx45hUKcQJmDYCA9</t>
  </si>
  <si>
    <t>1570688715917</t>
  </si>
  <si>
    <t>-LqoKywvVQFfXZHAs_Yr</t>
  </si>
  <si>
    <t>1570688722116</t>
  </si>
  <si>
    <t>-LqoL-aOqhGWBqSq8Xxx</t>
  </si>
  <si>
    <t>1570688730343</t>
  </si>
  <si>
    <t>-LqoL19A0fBFmVNe7Iy-</t>
  </si>
  <si>
    <t>1570688736544</t>
  </si>
  <si>
    <t>-LqoL3DENmVoEDK2TxI3</t>
  </si>
  <si>
    <t>1570688743754</t>
  </si>
  <si>
    <t>-LqoL4uAPdJE3bu1guy3</t>
  </si>
  <si>
    <t>1570688751994</t>
  </si>
  <si>
    <t>-LqoL6g2yn4WnROv6zs6</t>
  </si>
  <si>
    <t>1570688759212</t>
  </si>
  <si>
    <t>-LqoL8Q1iZjsUJA6F1Us</t>
  </si>
  <si>
    <t>1570688766432</t>
  </si>
  <si>
    <t>-LqoLAD2rZzt0T9wvziK</t>
  </si>
  <si>
    <t>1570688773643</t>
  </si>
  <si>
    <t>-LqoLBuvAQO4hDtwL0Nt</t>
  </si>
  <si>
    <t>1570688780873</t>
  </si>
  <si>
    <t>-LqoLDjBOXIbzOrLfsvc</t>
  </si>
  <si>
    <t>1570688788073</t>
  </si>
  <si>
    <t>-LqoLFQn5lyvU_b7rjnM</t>
  </si>
  <si>
    <t>1570688795273</t>
  </si>
  <si>
    <t>-LqoLGzw4FQ05hTfqUMl</t>
  </si>
  <si>
    <t>1570688801510</t>
  </si>
  <si>
    <t>-LqoLIhwixV0cqSN_Qc-</t>
  </si>
  <si>
    <t>1570688808693</t>
  </si>
  <si>
    <t>-LqoLKXBJJLgjUrseZgP</t>
  </si>
  <si>
    <t>1570688815872</t>
  </si>
  <si>
    <t>-LqoLMCfAQsDxIQfX9ND</t>
  </si>
  <si>
    <t>1570688823113</t>
  </si>
  <si>
    <t>-LqoLNmdy-RUg2mw0b67</t>
  </si>
  <si>
    <t>1570688829293</t>
  </si>
  <si>
    <t>-LqoLPXADmr4suORFW3f</t>
  </si>
  <si>
    <t>1570688836513</t>
  </si>
  <si>
    <t>-LqoLRK2f7hHcRt8DPkW</t>
  </si>
  <si>
    <t>1570688843733</t>
  </si>
  <si>
    <t>-LqoLT21TNjez2OU6szr</t>
  </si>
  <si>
    <t>1570688850954</t>
  </si>
  <si>
    <t>-LqoLUq2rrfB_rpPl4s5</t>
  </si>
  <si>
    <t>1570688858152</t>
  </si>
  <si>
    <t>-LqoLWZ1qP6JzWU2Mi7Z</t>
  </si>
  <si>
    <t>1570688865356</t>
  </si>
  <si>
    <t>-LqoLY70Gxdsp5Hy4E98</t>
  </si>
  <si>
    <t>1570688871616</t>
  </si>
  <si>
    <t>-LqoLZq0HUpsjkAtsPp0</t>
  </si>
  <si>
    <t>1570688878773</t>
  </si>
  <si>
    <t>-LqoLaeJcs7p5sDsBFJ0</t>
  </si>
  <si>
    <t>1570688885984</t>
  </si>
  <si>
    <t>-LqoLcKxkRnuFk-ZFDzi</t>
  </si>
  <si>
    <t>1570688893193</t>
  </si>
  <si>
    <t>-LqoLdv-lSEvqD0JGfEe</t>
  </si>
  <si>
    <t>1570688899388</t>
  </si>
  <si>
    <t>-LqoLfeJYGn4vp-gYFI8</t>
  </si>
  <si>
    <t>1570688906592</t>
  </si>
  <si>
    <t>-LqoLhPnSzhMJIVIe7Fg</t>
  </si>
  <si>
    <t>1570688913813</t>
  </si>
  <si>
    <t>-LqoLj7w8GV96sI8Df3d</t>
  </si>
  <si>
    <t>1570688921032</t>
  </si>
  <si>
    <t>-LqoLkvxB53hqPWR1iKI</t>
  </si>
  <si>
    <t>1570688928243</t>
  </si>
  <si>
    <t>-LqoLmf0Gn6nQkA_1FVP</t>
  </si>
  <si>
    <t>1570688935433</t>
  </si>
  <si>
    <t>-LqoLoE0dS2Sk57OmgPe</t>
  </si>
  <si>
    <t>1570688941636</t>
  </si>
  <si>
    <t>-LqoLpvyIf_InTiENOwO</t>
  </si>
  <si>
    <t>1570688948874</t>
  </si>
  <si>
    <t>-LqoLs2k6hwq38X495aS</t>
  </si>
  <si>
    <t>1570688956062</t>
  </si>
  <si>
    <t>-LqoLth3V4kHzeov-skE</t>
  </si>
  <si>
    <t>1570688964289</t>
  </si>
  <si>
    <t>-LqoLvGFbGKbn_xSOtNI</t>
  </si>
  <si>
    <t>1570688970497</t>
  </si>
  <si>
    <t>-LqoLxBeACMVHyltwc-T</t>
  </si>
  <si>
    <t>1570688977687</t>
  </si>
  <si>
    <t>-LqoLymDtUvLtaj_iSlL</t>
  </si>
  <si>
    <t>1570688984936</t>
  </si>
  <si>
    <t>-LqoM-V4IZaE5LM5bgfg</t>
  </si>
  <si>
    <t>1570688992137</t>
  </si>
  <si>
    <t>-LqoM12SXc2TNDcUHGPC</t>
  </si>
  <si>
    <t>1570688998297</t>
  </si>
  <si>
    <t>-LqoM2m4zwIZFfTn7jqe</t>
  </si>
  <si>
    <t>1570689005517</t>
  </si>
  <si>
    <t>-LqoM4L_3-_Oilvx1_Rk</t>
  </si>
  <si>
    <t>1570689011718</t>
  </si>
  <si>
    <t>-LqoM6331QJ3mJYvj4Nb</t>
  </si>
  <si>
    <t>1570689018956</t>
  </si>
  <si>
    <t>-LqoM7r4BvEjIaPyujI5</t>
  </si>
  <si>
    <t>1570689026156</t>
  </si>
  <si>
    <t>-LqoM9_6200JbBzsRmfa</t>
  </si>
  <si>
    <t>1570689033358</t>
  </si>
  <si>
    <t>-LqoMB8557oRFAEay5qO</t>
  </si>
  <si>
    <t>1570689039549</t>
  </si>
  <si>
    <t>-LqoMCr3tuvRRijzfw95</t>
  </si>
  <si>
    <t>1570689046766</t>
  </si>
  <si>
    <t>-LqoMEeOwOxJyw10VW3O</t>
  </si>
  <si>
    <t>1570689053984</t>
  </si>
  <si>
    <t>-LqoMGNSDQMTpBm22PZ3</t>
  </si>
  <si>
    <t>1570689061197</t>
  </si>
  <si>
    <t>-LqoMIA4LoHh5ME1pbVY</t>
  </si>
  <si>
    <t>1570689068417</t>
  </si>
  <si>
    <t>-LqoMJt4tR7lCS98L07p</t>
  </si>
  <si>
    <t>1570689075612</t>
  </si>
  <si>
    <t>-LqoMLSGApj1zDyFLVBZ</t>
  </si>
  <si>
    <t>1570689081787</t>
  </si>
  <si>
    <t>-LqoMNA4iLUvaIivfj_K</t>
  </si>
  <si>
    <t>1570689089036</t>
  </si>
  <si>
    <t>-LqoMOy4dNE9f9to32Dw</t>
  </si>
  <si>
    <t>1570689096238</t>
  </si>
  <si>
    <t>-LqoMQl3x955CaWxNHnT</t>
  </si>
  <si>
    <t>1570689103448</t>
  </si>
  <si>
    <t>-LqoMSU4HkRBaYeH8B6X</t>
  </si>
  <si>
    <t>1570689110666</t>
  </si>
  <si>
    <t>-LqoMUC5tfqGH4VEVnz2</t>
  </si>
  <si>
    <t>1570689117857</t>
  </si>
  <si>
    <t>-LqoMVl69SwH7BcKW4v2</t>
  </si>
  <si>
    <t>1570689124078</t>
  </si>
  <si>
    <t>-LqoMXU3LfDz29hE1Ry_</t>
  </si>
  <si>
    <t>1570689131277</t>
  </si>
  <si>
    <t>-LqoMZMGafbIGL82bEQv</t>
  </si>
  <si>
    <t>1570689138496</t>
  </si>
  <si>
    <t>-LqoMa-3qEy7-uiRnHa1</t>
  </si>
  <si>
    <t>1570689145698</t>
  </si>
  <si>
    <t>-LqoMbmkbAQvyzXSj7R0</t>
  </si>
  <si>
    <t>1570689152926</t>
  </si>
  <si>
    <t>-LqoMdVJrzcvz3dbodQP</t>
  </si>
  <si>
    <t>1570689160137</t>
  </si>
  <si>
    <t>-LqoMf42_atM-8zz7zUA</t>
  </si>
  <si>
    <t>1570689166327</t>
  </si>
  <si>
    <t>-LqoMgn2EQqZ6bW-Zh1W</t>
  </si>
  <si>
    <t>1570689173526</t>
  </si>
  <si>
    <t>-LqoMi_R6wIkCXyTwmFG</t>
  </si>
  <si>
    <t>1570689180816</t>
  </si>
  <si>
    <t>-LqoMkOGJP8TgG9zO9Pj</t>
  </si>
  <si>
    <t>1570689188032</t>
  </si>
  <si>
    <t>-LqoMme7OZpf9YElZGTR</t>
  </si>
  <si>
    <t>1570689197401</t>
  </si>
  <si>
    <t>-LqoMoN5ULZD67YQLwGt</t>
  </si>
  <si>
    <t>1570689204424</t>
  </si>
  <si>
    <t>-LqoMqA4_x3c37EDBb1e</t>
  </si>
  <si>
    <t>1570689211686</t>
  </si>
  <si>
    <t>-LqoMrs-v6vk7PQ_wGSj</t>
  </si>
  <si>
    <t>1570689218886</t>
  </si>
  <si>
    <t>-LqoMtfK94peleRdIwcL</t>
  </si>
  <si>
    <t>1570689226107</t>
  </si>
  <si>
    <t>-LqoMvO8XprsI3fDcYdL</t>
  </si>
  <si>
    <t>1570689233316</t>
  </si>
  <si>
    <t>-LqoMxC3EqikKYi6Eloc</t>
  </si>
  <si>
    <t>1570689240537</t>
  </si>
  <si>
    <t>-LqoMyv8ANgcSTl0TN9a</t>
  </si>
  <si>
    <t>1570689247765</t>
  </si>
  <si>
    <t>-LqoN-i3-S2OzWfFPQOB</t>
  </si>
  <si>
    <t>1570689254936</t>
  </si>
  <si>
    <t>-LqoN1WHilhPC3sYltYv</t>
  </si>
  <si>
    <t>1570689262252</t>
  </si>
  <si>
    <t>-LqoN3D3ikHimt8DpKt3</t>
  </si>
  <si>
    <t>1570689269396</t>
  </si>
  <si>
    <t>-LqoN4x44RTu0CqZ_osb</t>
  </si>
  <si>
    <t>1570689276625</t>
  </si>
  <si>
    <t>-LqoN6WH8gLteApywfRx</t>
  </si>
  <si>
    <t>1570689282766</t>
  </si>
  <si>
    <t>-LqoN8DvtU7j7SqYlOMl</t>
  </si>
  <si>
    <t>1570689289997</t>
  </si>
  <si>
    <t>-LqoNA14DwqLQpSgFxhA</t>
  </si>
  <si>
    <t>1570689297224</t>
  </si>
  <si>
    <t>-LqoNBk42EPm_Z1wOKM-</t>
  </si>
  <si>
    <t>1570689304407</t>
  </si>
  <si>
    <t>-LqoNDY4TLRYNcsWMYju</t>
  </si>
  <si>
    <t>1570689311645</t>
  </si>
  <si>
    <t>-LqoNFG378HQbikN14-E</t>
  </si>
  <si>
    <t>1570689318868</t>
  </si>
  <si>
    <t>-LqoNGpFQ2V7j1SmkuQh</t>
  </si>
  <si>
    <t>1570689325018</t>
  </si>
  <si>
    <t>-LqoNIY3ewiJ3abQKDrf</t>
  </si>
  <si>
    <t>1570689332236</t>
  </si>
  <si>
    <t>-LqoNK7Zy66KX4P4zFw5</t>
  </si>
  <si>
    <t>1570689338436</t>
  </si>
  <si>
    <t>-LqoNLp37NeA6EzL1NoC</t>
  </si>
  <si>
    <t>1570689345668</t>
  </si>
  <si>
    <t>-LqoNNIl-OjuH0Yzk7JM</t>
  </si>
  <si>
    <t>1570689351809</t>
  </si>
  <si>
    <t>-LqoNOr0RX3docsJhN7A</t>
  </si>
  <si>
    <t>1570689358027</t>
  </si>
  <si>
    <t>-LqoNQrtYID5vYJTa7Ro</t>
  </si>
  <si>
    <t>1570689365235</t>
  </si>
  <si>
    <t>-LqoNSc4hWJIKjq3aDjw</t>
  </si>
  <si>
    <t>1570689373488</t>
  </si>
  <si>
    <t>-LqoNUQ425IuvL9omz4X</t>
  </si>
  <si>
    <t>1570689380696</t>
  </si>
  <si>
    <t>-LqoNW8Gkm4_-tqHaS-M</t>
  </si>
  <si>
    <t>1570689387917</t>
  </si>
  <si>
    <t>-LqoNXw6uq9RAX_RhcIC</t>
  </si>
  <si>
    <t>1570689395106</t>
  </si>
  <si>
    <t>-LqoNZe4Kb7rSCaZmH3q</t>
  </si>
  <si>
    <t>1570689402318</t>
  </si>
  <si>
    <t>-LqoNaD3cOfFVMy5L_Ot</t>
  </si>
  <si>
    <t>1570689408527</t>
  </si>
  <si>
    <t>-LqoNbw4ZCUXe6OPEN1L</t>
  </si>
  <si>
    <t>1570689415757</t>
  </si>
  <si>
    <t>-LqoNdj8dlY_hOaQJImR</t>
  </si>
  <si>
    <t>1570689422958</t>
  </si>
  <si>
    <t>-LqoNfilwE96_8QSwwqB</t>
  </si>
  <si>
    <t>1570689430165</t>
  </si>
  <si>
    <t>-LqoNhUBaU6GpQJxZjE8</t>
  </si>
  <si>
    <t>1570689438403</t>
  </si>
  <si>
    <t>-LqoNjH3cMnKmPyS1w6G</t>
  </si>
  <si>
    <t>1570689445624</t>
  </si>
  <si>
    <t>-LqoNkywamZQNIfF6T_y</t>
  </si>
  <si>
    <t>1570689452834</t>
  </si>
  <si>
    <t>-LqoNmn1z1bhhV4tcFBp</t>
  </si>
  <si>
    <t>1570689460053</t>
  </si>
  <si>
    <t>-LqoNoW1azdIPkILplrh</t>
  </si>
  <si>
    <t>1570689467272</t>
  </si>
  <si>
    <t>-LqoNqJ0x-CnXr9XH7pn</t>
  </si>
  <si>
    <t>1570689474494</t>
  </si>
  <si>
    <t>-LqoNs-eCu18MKRNj9_x</t>
  </si>
  <si>
    <t>1570689481676</t>
  </si>
  <si>
    <t>-LqoNta07_43IGp5W3ZX</t>
  </si>
  <si>
    <t>1570689487862</t>
  </si>
  <si>
    <t>-LqoNvJ1oVBVKvf1nS96</t>
  </si>
  <si>
    <t>1570689495094</t>
  </si>
  <si>
    <t>-LqoNwn1sYcmI5njWp7n</t>
  </si>
  <si>
    <t>1570689501273</t>
  </si>
  <si>
    <t>-LqoNyM1t0sn4tmpATbx</t>
  </si>
  <si>
    <t>1570689507452</t>
  </si>
  <si>
    <t>-LqoO-4-5pEyiE3cCsps</t>
  </si>
  <si>
    <t>1570689514652</t>
  </si>
  <si>
    <t>-LqoO0d16qz1gvA8-ora</t>
  </si>
  <si>
    <t>1570689520834</t>
  </si>
  <si>
    <t>-LqoO2KwaZKLH-2N6dQr</t>
  </si>
  <si>
    <t>1570689528072</t>
  </si>
  <si>
    <t>-LqoO4AHeKw7uc3TvXZd</t>
  </si>
  <si>
    <t>1570689535291</t>
  </si>
  <si>
    <t>-LqoO5tF7D_hoEGUczhh</t>
  </si>
  <si>
    <t>1570689542474</t>
  </si>
  <si>
    <t>-LqoO7a-RSkjdSTErmK2</t>
  </si>
  <si>
    <t>1570689549300</t>
  </si>
  <si>
    <t>-LqoO97xaPRzvZQkFXCl</t>
  </si>
  <si>
    <t>1570689555892</t>
  </si>
  <si>
    <t>-LqoOAt8NZyMj7vrL4d_</t>
  </si>
  <si>
    <t>1570689563133</t>
  </si>
  <si>
    <t>-LqoOCR0EZ-yGD0ELMUA</t>
  </si>
  <si>
    <t>1570689569292</t>
  </si>
  <si>
    <t>-LqoOEE1q7uiBrcNTdfp</t>
  </si>
  <si>
    <t>1570689576505</t>
  </si>
  <si>
    <t>-LqoOFx7jJ28zJiw5dem</t>
  </si>
  <si>
    <t>1570689583713</t>
  </si>
  <si>
    <t>-LqoOHk0mdSMR90p0mRY</t>
  </si>
  <si>
    <t>1570689590934</t>
  </si>
  <si>
    <t>-LqoOJT05elHou8FpViI</t>
  </si>
  <si>
    <t>1570689598155</t>
  </si>
  <si>
    <t>-LqoOLG1e-AiVvaMtphk</t>
  </si>
  <si>
    <t>1570689605375</t>
  </si>
  <si>
    <t>-LqoOMxyoM1v-klPBhUg</t>
  </si>
  <si>
    <t>1570689612554</t>
  </si>
  <si>
    <t>-LqoOOY120m5dc3L13ST</t>
  </si>
  <si>
    <t>1570689618754</t>
  </si>
  <si>
    <t>-LqoOQHHpcV-2tmINOWJ</t>
  </si>
  <si>
    <t>1570689625973</t>
  </si>
  <si>
    <t>-LqoOS31WspJ74pO_If8</t>
  </si>
  <si>
    <t>1570689633182</t>
  </si>
  <si>
    <t>-LqoOTm1XV36i9pZCVh1</t>
  </si>
  <si>
    <t>1570689640392</t>
  </si>
  <si>
    <t>-LqoOVYy_Za5ri89SyuN</t>
  </si>
  <si>
    <t>1570689647613</t>
  </si>
  <si>
    <t>-LqoOXI-4WfVxmjbatYL</t>
  </si>
  <si>
    <t>1570689654803</t>
  </si>
  <si>
    <t>-LqoOZAyuVwtyP1x79Q8</t>
  </si>
  <si>
    <t>1570689660995</t>
  </si>
  <si>
    <t>-LqoO_o1Jqsk6ygclTWY</t>
  </si>
  <si>
    <t>1570689669263</t>
  </si>
  <si>
    <t>-LqoObN0U9PSM7NQfrwU</t>
  </si>
  <si>
    <t>1570689675443</t>
  </si>
  <si>
    <t>-LqoOd50lD_Cjn_bTJDa</t>
  </si>
  <si>
    <t>1570689682632</t>
  </si>
  <si>
    <t>-LqoOee03sLhBPWEUvur</t>
  </si>
  <si>
    <t>1570689688833</t>
  </si>
  <si>
    <t>-LqoOgN0-lqy4EVG5thz</t>
  </si>
  <si>
    <t>1570689696052</t>
  </si>
  <si>
    <t>-LqoOi8wu_mWYAky2Ft5</t>
  </si>
  <si>
    <t>1570689703303</t>
  </si>
  <si>
    <t>-LqoOjeCLHsR70Yg9Wmv</t>
  </si>
  <si>
    <t>1570689709453</t>
  </si>
  <si>
    <t>-LqoOlS-Lq-_O3HCBovi</t>
  </si>
  <si>
    <t>1570689716663</t>
  </si>
  <si>
    <t>-LqoOnACW6LYHA1wBT2A</t>
  </si>
  <si>
    <t>1570689723882</t>
  </si>
  <si>
    <t>-LqoOoy-SaqmsZQen2qK</t>
  </si>
  <si>
    <t>1570689731092</t>
  </si>
  <si>
    <t>-LqoOqg02g3KHI6oZnsS</t>
  </si>
  <si>
    <t>1570689738314</t>
  </si>
  <si>
    <t>-LqoOsU-mbYVjXRyB06B</t>
  </si>
  <si>
    <t>1570689745522</t>
  </si>
  <si>
    <t>-LqoOuBzhXQwBMddR3nJ</t>
  </si>
  <si>
    <t>1570689752713</t>
  </si>
  <si>
    <t>-LqoOw-0BfDXIZAZfRo5</t>
  </si>
  <si>
    <t>1570689758912</t>
  </si>
  <si>
    <t>-LqoOxgyjTTNfoSq87qF</t>
  </si>
  <si>
    <t>1570689767152</t>
  </si>
  <si>
    <t>-LqoOzH-__oE-S7IHAlO</t>
  </si>
  <si>
    <t>1570689773311</t>
  </si>
  <si>
    <t>-LqoP0--5xxDBklu8UtU</t>
  </si>
  <si>
    <t>1570689780553</t>
  </si>
  <si>
    <t>-LqoP1XxWie4N_BfIVBV</t>
  </si>
  <si>
    <t>1570689786744</t>
  </si>
  <si>
    <t>-LqoP3H0GFiJNZdaxmiV</t>
  </si>
  <si>
    <t>1570689793951</t>
  </si>
  <si>
    <t>-LqoP52uJbp6HUwjD7zK</t>
  </si>
  <si>
    <t>1570689801173</t>
  </si>
  <si>
    <t>-LqoP6ZC3DPZm8ZJn-hw</t>
  </si>
  <si>
    <t>1570689807353</t>
  </si>
  <si>
    <t>-LqoP8Hn8kX6_LTSdFse</t>
  </si>
  <si>
    <t>1570689814563</t>
  </si>
  <si>
    <t>-LqoP9q0gmq2_fAq0wGD</t>
  </si>
  <si>
    <t>1570689820752</t>
  </si>
  <si>
    <t>-LqoPBYtbkkPV_Hgg-_7</t>
  </si>
  <si>
    <t>1570689827974</t>
  </si>
  <si>
    <t>-LqoPD7Bqhq7GqMH9zeh</t>
  </si>
  <si>
    <t>1570689834152</t>
  </si>
  <si>
    <t>-LqoPEqCB_nFPrSZ9Gw_</t>
  </si>
  <si>
    <t>1570689841356</t>
  </si>
  <si>
    <t>-LqoPGd0XMrFI6Oi5V4C</t>
  </si>
  <si>
    <t>1570689848599</t>
  </si>
  <si>
    <t>-LqoPIKxxxYc2U7SbliC</t>
  </si>
  <si>
    <t>1570689855763</t>
  </si>
  <si>
    <t>-LqoPJvCrYWK0zeW9y4J</t>
  </si>
  <si>
    <t>1570689861972</t>
  </si>
  <si>
    <t>-LqoPLd17xmO7ySRYfFF</t>
  </si>
  <si>
    <t>1570689869196</t>
  </si>
  <si>
    <t>-LqoPNR9_iubg79DaR8q</t>
  </si>
  <si>
    <t>1570689876394</t>
  </si>
  <si>
    <t>-LqoPP97aMO5atSlmCpv</t>
  </si>
  <si>
    <t>1570689883592</t>
  </si>
  <si>
    <t>-LqoPQx-5blIHETyXsKu</t>
  </si>
  <si>
    <t>1570689890834</t>
  </si>
  <si>
    <t>-LqoPSz79LVYTjamfFjt</t>
  </si>
  <si>
    <t>1570689899211</t>
  </si>
  <si>
    <t>-LqoPUh5487h_TQF6fZN</t>
  </si>
  <si>
    <t>1570689906318</t>
  </si>
  <si>
    <t>-LqoPWV75H69JcL7xPkM</t>
  </si>
  <si>
    <t>1570689913523</t>
  </si>
  <si>
    <t>-LqoPYD64aQyajB5oskr</t>
  </si>
  <si>
    <t>1570689920721</t>
  </si>
  <si>
    <t>-LqoP_09mSQjCAeAPmQR</t>
  </si>
  <si>
    <t>1570689927938</t>
  </si>
  <si>
    <t>-LqoPakNeMv3R9ZBoL37</t>
  </si>
  <si>
    <t>1570689935129</t>
  </si>
  <si>
    <t>-LqoPcI7FXKDROnwiTSl</t>
  </si>
  <si>
    <t>1570689941308</t>
  </si>
  <si>
    <t>-LqoPe0MVBubdTolXFG2</t>
  </si>
  <si>
    <t>1570689948561</t>
  </si>
  <si>
    <t>-LqoPfo7wKi1fD5H8wA2</t>
  </si>
  <si>
    <t>1570689955759</t>
  </si>
  <si>
    <t>-LqoPhX5xW63p1gQhJmf</t>
  </si>
  <si>
    <t>1570689962960</t>
  </si>
  <si>
    <t>-LqoPj5M1cIzUmiLGVKL</t>
  </si>
  <si>
    <t>1570689969160</t>
  </si>
  <si>
    <t>-LqoPkoHAEdRDl6L3GHF</t>
  </si>
  <si>
    <t>1570689976399</t>
  </si>
  <si>
    <t>-LqoPmMXA5htycEIiDub</t>
  </si>
  <si>
    <t>1570689982570</t>
  </si>
  <si>
    <t>-LqoPo5DnsJCPLeCvvnJ</t>
  </si>
  <si>
    <t>1570689989782</t>
  </si>
  <si>
    <t>-LqoPpn3ahB95cm6AN6j</t>
  </si>
  <si>
    <t>1570689996959</t>
  </si>
  <si>
    <t>-LqoPrI7TsclFnuyOx8L</t>
  </si>
  <si>
    <t>1570690003146</t>
  </si>
  <si>
    <t>-LqoPsqgAVTGsfi2aPJ_</t>
  </si>
  <si>
    <t>1570690009366</t>
  </si>
  <si>
    <t>-LqoPubvQadVo5P4CRJF</t>
  </si>
  <si>
    <t>1570690015523</t>
  </si>
  <si>
    <t>-LqoPwMyfr5WnbZcR45b</t>
  </si>
  <si>
    <t>1570690023767</t>
  </si>
  <si>
    <t>-LqoPxw5OHP2M50LRmt7</t>
  </si>
  <si>
    <t>1570690029961</t>
  </si>
  <si>
    <t>-LqoPze6dd7wk9uht0l_</t>
  </si>
  <si>
    <t>1570690037199</t>
  </si>
  <si>
    <t>-LqoQ0S59rcmAoECGotv</t>
  </si>
  <si>
    <t>1570690044400</t>
  </si>
  <si>
    <t>-LqoQ2S8VLwtUBuJ4Wl_</t>
  </si>
  <si>
    <t>1570690051599</t>
  </si>
  <si>
    <t>-LqoQ4ArxuT_1Cf4ttXD</t>
  </si>
  <si>
    <t>1570690059859</t>
  </si>
  <si>
    <t>-LqoQ6-6uqbEIkcsBGeg</t>
  </si>
  <si>
    <t>1570690067079</t>
  </si>
  <si>
    <t>-LqoQ7i5kzjqu82dYJGe</t>
  </si>
  <si>
    <t>1570690074290</t>
  </si>
  <si>
    <t>-LqoQ9V26gM8sDeI9jzs</t>
  </si>
  <si>
    <t>1570690081508</t>
  </si>
  <si>
    <t>-LqoQBEKlIe5aNXS_MtI</t>
  </si>
  <si>
    <t>1570690088720</t>
  </si>
  <si>
    <t>-LqoQD2VK48FGZ2XC4EV</t>
  </si>
  <si>
    <t>1570690095951</t>
  </si>
  <si>
    <t>-LqoQEk6pb8cpc9FVdI-</t>
  </si>
  <si>
    <t>1570690103130</t>
  </si>
  <si>
    <t>-LqoQGJ7-XXgRQ38vRXs</t>
  </si>
  <si>
    <t>1570690109310</t>
  </si>
  <si>
    <t>-LqoQI2Me2wbQERb9y1H</t>
  </si>
  <si>
    <t>1570690116568</t>
  </si>
  <si>
    <t>-LqoQJpFx4ux2dFVSdr9</t>
  </si>
  <si>
    <t>1570690123739</t>
  </si>
  <si>
    <t>-LqoQLquKI6aeNaxkrXQ</t>
  </si>
  <si>
    <t>1570690130960</t>
  </si>
  <si>
    <t>-LqoQN_17mh9u1KiUuxQ</t>
  </si>
  <si>
    <t>1570690139226</t>
  </si>
  <si>
    <t>-LqoQPLyGTmx9q405CeY</t>
  </si>
  <si>
    <t>1570690146435</t>
  </si>
  <si>
    <t>-LqoQR52kYl5pEDCNBi2</t>
  </si>
  <si>
    <t>1570690153646</t>
  </si>
  <si>
    <t>-LqoQSt2FtRE5ipqt7yK</t>
  </si>
  <si>
    <t>1570690160865</t>
  </si>
  <si>
    <t>-LqoQUbDvVsVP89Fpgy2</t>
  </si>
  <si>
    <t>1570690168077</t>
  </si>
  <si>
    <t>-LqoQWP1rR7-wkI_d7Ep</t>
  </si>
  <si>
    <t>1570690175295</t>
  </si>
  <si>
    <t>-LqoQY6-lCqe9YwVJNYa</t>
  </si>
  <si>
    <t>1570690182494</t>
  </si>
  <si>
    <t>-LqoQ_0H-3atpu4ep9O3</t>
  </si>
  <si>
    <t>1570690188675</t>
  </si>
  <si>
    <t>-LqoQadl-i0yynLETgqF</t>
  </si>
  <si>
    <t>1570690196936</t>
  </si>
  <si>
    <t>-LqoQcC3gpUx8IXZkwas</t>
  </si>
  <si>
    <t>1570690203126</t>
  </si>
  <si>
    <t>-LqoQdv6Pja2g9wGoyCX</t>
  </si>
  <si>
    <t>1570690210314</t>
  </si>
  <si>
    <t>-LqoQfgyIb1rVGW6f9H5</t>
  </si>
  <si>
    <t>1570690217556</t>
  </si>
  <si>
    <t>-LqoQhR3zPv9s8zXN3ew</t>
  </si>
  <si>
    <t>1570690224776</t>
  </si>
  <si>
    <t>-LqoQj-3BPEJp5HVgWpL</t>
  </si>
  <si>
    <t>1570690230956</t>
  </si>
  <si>
    <t>-LqoQki4ZIuIuaE92tew</t>
  </si>
  <si>
    <t>1570690238166</t>
  </si>
  <si>
    <t>-LqoQmC3_ozofjyqchC-</t>
  </si>
  <si>
    <t>1570690244354</t>
  </si>
  <si>
    <t>-LqoQngr4cIX4p0BSgDh</t>
  </si>
  <si>
    <t>1570690250545</t>
  </si>
  <si>
    <t>-LqoQpFCPVR8_TGhlpfA</t>
  </si>
  <si>
    <t>1570690256725</t>
  </si>
  <si>
    <t>-LqoQqyqCosEakeUGJAs</t>
  </si>
  <si>
    <t>1570690263905</t>
  </si>
  <si>
    <t>-LqoQsVeRt_Vw_yTdA5J</t>
  </si>
  <si>
    <t>1570690270114</t>
  </si>
  <si>
    <t>-LqoQu53vlVva95s0n5r</t>
  </si>
  <si>
    <t>1570690276267</t>
  </si>
  <si>
    <t>-LqoQvkJcJYWgwnRwYcf</t>
  </si>
  <si>
    <t>1570690283514</t>
  </si>
  <si>
    <t>-LqoQxJKETrHSaNCX_LN</t>
  </si>
  <si>
    <t>1570690289675</t>
  </si>
  <si>
    <t>-LqoQypomWgEPkLcs2v8</t>
  </si>
  <si>
    <t>1570690295875</t>
  </si>
  <si>
    <t>-LqoR-L3ANSs01eg4q07</t>
  </si>
  <si>
    <t>1570690302064</t>
  </si>
  <si>
    <t>-LqoR16CxeN2LKUghdfM</t>
  </si>
  <si>
    <t>1570690309254</t>
  </si>
  <si>
    <t>-LqoR354yIwRzqwx0893</t>
  </si>
  <si>
    <t>1570690317364</t>
  </si>
  <si>
    <t>-LqoR4dR8JooVVfQ3fhy</t>
  </si>
  <si>
    <t>1570690323706</t>
  </si>
  <si>
    <t>-LqoR6NI34kaasCjpIy2</t>
  </si>
  <si>
    <t>1570690330924</t>
  </si>
  <si>
    <t>-LqoR8ACeLPNHyUx3cir</t>
  </si>
  <si>
    <t>1570690338153</t>
  </si>
  <si>
    <t>-LqoR9t3jZ2f1WUOZhsS</t>
  </si>
  <si>
    <t>1570690345356</t>
  </si>
  <si>
    <t>-LqoRBg46QNRc_cT9rYP</t>
  </si>
  <si>
    <t>1570690352576</t>
  </si>
  <si>
    <t>-LqoRDiykeDsFL7W0dM-</t>
  </si>
  <si>
    <t>1570690359772</t>
  </si>
  <si>
    <t>-LqoRFSK-IsolIL9GmkH</t>
  </si>
  <si>
    <t>1570690368037</t>
  </si>
  <si>
    <t>-LqoRHE5HnB4YJ1VP19r</t>
  </si>
  <si>
    <t>1570690375248</t>
  </si>
  <si>
    <t>-LqoRIx61U2YIQlIXD49</t>
  </si>
  <si>
    <t>1570690382478</t>
  </si>
  <si>
    <t>-LqoRKkQ7wyW9D1pj4gJ</t>
  </si>
  <si>
    <t>1570690389687</t>
  </si>
  <si>
    <t>-LqoRMTDrIfox2ijlRd-</t>
  </si>
  <si>
    <t>1570690396877</t>
  </si>
  <si>
    <t>-LqoRO-h1MnRGe9fSbu1</t>
  </si>
  <si>
    <t>1570690403067</t>
  </si>
  <si>
    <t>-LqoRPp6DsVW4umYbdY2</t>
  </si>
  <si>
    <t>1570690410524</t>
  </si>
  <si>
    <t>-LqoRRX-t2BQMBYBQf7K</t>
  </si>
  <si>
    <t>1570690417497</t>
  </si>
  <si>
    <t>-LqoRTGDDRrkXbYh7Akr</t>
  </si>
  <si>
    <t>1570690424716</t>
  </si>
  <si>
    <t>-LqoRV34q_DdXaeKu4NM</t>
  </si>
  <si>
    <t>1570690431938</t>
  </si>
  <si>
    <t>-LqoRWq5au4F4dO7ePKl</t>
  </si>
  <si>
    <t>1570690439118</t>
  </si>
  <si>
    <t>-LqoRYaKS2zMJneK1v_A</t>
  </si>
  <si>
    <t>1570690446355</t>
  </si>
  <si>
    <t>-LqoR_IGJjJwUyhaoCa8</t>
  </si>
  <si>
    <t>1570690453588</t>
  </si>
  <si>
    <t>-LqoRar52xpUPU77j3JD</t>
  </si>
  <si>
    <t>1570690459757</t>
  </si>
  <si>
    <t>-LqoRc_FcyEh5TEgI2rd</t>
  </si>
  <si>
    <t>1570690466957</t>
  </si>
  <si>
    <t>-LqoReN5wa_zPTc_yhkc</t>
  </si>
  <si>
    <t>1570690474187</t>
  </si>
  <si>
    <t>-LqoRgAGNbHicVpZM3R5</t>
  </si>
  <si>
    <t>1570690481602</t>
  </si>
  <si>
    <t>-LqoRht81WMqB6BSSZIt</t>
  </si>
  <si>
    <t>1570690488625</t>
  </si>
  <si>
    <t>-LqoRjbBhH5dkyKhrEVC</t>
  </si>
  <si>
    <t>1570690495844</t>
  </si>
  <si>
    <t>-LqoRlAOgRlKqoLRyBGy</t>
  </si>
  <si>
    <t>1570690502016</t>
  </si>
  <si>
    <t>-LqoRmtHqvXgwMlu4wbV</t>
  </si>
  <si>
    <t>1570690509197</t>
  </si>
  <si>
    <t>-LqoRoS8oB-1CpYSriBA</t>
  </si>
  <si>
    <t>1570690515398</t>
  </si>
  <si>
    <t>-LqoRqA4N5Qbq_4kIQpL</t>
  </si>
  <si>
    <t>1570690522645</t>
  </si>
  <si>
    <t>-LqoRrj4cF9lUWVN3hmx</t>
  </si>
  <si>
    <t>1570690528816</t>
  </si>
  <si>
    <t>-LqoRtS6NiXTmdMNthRj</t>
  </si>
  <si>
    <t>1570690536024</t>
  </si>
  <si>
    <t>-LqoRuwFDd-Admz42nTa</t>
  </si>
  <si>
    <t>1570690542157</t>
  </si>
  <si>
    <t>-LqoRwV4humo9r7OJDGk</t>
  </si>
  <si>
    <t>1570690548387</t>
  </si>
  <si>
    <t>-LqoRyC0rtnAxTKLT31I</t>
  </si>
  <si>
    <t>1570690555596</t>
  </si>
  <si>
    <t>-LqoRzm3VAhUab_aYkwY</t>
  </si>
  <si>
    <t>1570690561788</t>
  </si>
  <si>
    <t>-LqoS0V3raH9fnaPdOl3</t>
  </si>
  <si>
    <t>1570690569007</t>
  </si>
  <si>
    <t>-LqoS2I3WCPpK1oH6J06</t>
  </si>
  <si>
    <t>1570690576216</t>
  </si>
  <si>
    <t>-LqoS3znSpR_Jz_Rnxko</t>
  </si>
  <si>
    <t>1570690583445</t>
  </si>
  <si>
    <t>-LqoS61-hVH6ajbEYaXv</t>
  </si>
  <si>
    <t>1570690590659</t>
  </si>
  <si>
    <t>-LqoS8443Y8zuHc9rISb</t>
  </si>
  <si>
    <t>1570690600036</t>
  </si>
  <si>
    <t>-LqoS9n2KEWv1Uue28qK</t>
  </si>
  <si>
    <t>1570690607116</t>
  </si>
  <si>
    <t>-LqoSBHL9oZUitVCPrkM</t>
  </si>
  <si>
    <t>1570690613277</t>
  </si>
  <si>
    <t>-LqoSCq4A3AsjuJBP1zh</t>
  </si>
  <si>
    <t>1570690619507</t>
  </si>
  <si>
    <t>-LqoSEZ3ZCFpSpwhHbUY</t>
  </si>
  <si>
    <t>1570690626716</t>
  </si>
  <si>
    <t>-LqoSG76kcxjgXeXWsuC</t>
  </si>
  <si>
    <t>1570690632908</t>
  </si>
  <si>
    <t>-LqoSHq4yKxWsSCbK5pc</t>
  </si>
  <si>
    <t>1570690640087</t>
  </si>
  <si>
    <t>-LqoSJP3aILBxiRiactQ</t>
  </si>
  <si>
    <t>1570690646276</t>
  </si>
  <si>
    <t>-LqoSLH5jlW5E5whdY5k</t>
  </si>
  <si>
    <t>1570690654216</t>
  </si>
  <si>
    <t>-LqoSMvFtIwVlATwr6mE</t>
  </si>
  <si>
    <t>1570690660727</t>
  </si>
  <si>
    <t>-LqoSOd4yPbPM6YlawvA</t>
  </si>
  <si>
    <t>1570690667917</t>
  </si>
  <si>
    <t>-LqoSQC4S0w-4iuhO_By</t>
  </si>
  <si>
    <t>1570690674117</t>
  </si>
  <si>
    <t>-LqoSRvG5Z18QIOePlKU</t>
  </si>
  <si>
    <t>1570690681357</t>
  </si>
  <si>
    <t>-LqoSTiHb5-oPMLt8zEv</t>
  </si>
  <si>
    <t>1570690688546</t>
  </si>
  <si>
    <t>-LqoSVRBOzfsS_2so_hI</t>
  </si>
  <si>
    <t>1570690695757</t>
  </si>
  <si>
    <t>-LqoSXE4y7E-tOpCoRH-</t>
  </si>
  <si>
    <t>1570690702986</t>
  </si>
  <si>
    <t>-LqoSYx3KEWybXbeteBS</t>
  </si>
  <si>
    <t>1570690710167</t>
  </si>
  <si>
    <t>-LqoS_cgDmJH3XcLZisl</t>
  </si>
  <si>
    <t>1570690716347</t>
  </si>
  <si>
    <t>-LqoSchuyz7OYlQhJsrS</t>
  </si>
  <si>
    <t>-LqoSeH550Ym_lK-FuDD</t>
  </si>
  <si>
    <t>1570690735962</t>
  </si>
  <si>
    <t>-LqoSg-9QDQmwIaHJorl</t>
  </si>
  <si>
    <t>1570690743184</t>
  </si>
  <si>
    <t>-LqoShXrEFpc-FJlsAIT</t>
  </si>
  <si>
    <t>1570690749356</t>
  </si>
  <si>
    <t>-LqoSjH22HpXJ2H7RcVx</t>
  </si>
  <si>
    <t>1570690756556</t>
  </si>
  <si>
    <t>-LqoSl6MJHxRoW18tTRh</t>
  </si>
  <si>
    <t>1570690762744</t>
  </si>
  <si>
    <t>-LqoSmmwKRWR2lXMvwb4</t>
  </si>
  <si>
    <t>1570690771014</t>
  </si>
  <si>
    <t>-LqoSoL-9T4Vl0pLAklT</t>
  </si>
  <si>
    <t>1570690777184</t>
  </si>
  <si>
    <t>-LqoSqNubqTpkqQRgFED</t>
  </si>
  <si>
    <t>1570690785508</t>
  </si>
  <si>
    <t>-LqoSs62ecM3Mj7_5_N7</t>
  </si>
  <si>
    <t>1570690792645</t>
  </si>
  <si>
    <t>-LqoStu1cp91Eziv9gsj</t>
  </si>
  <si>
    <t>1570690799864</t>
  </si>
  <si>
    <t>-LqoSvc5pYgAIMJovq-I</t>
  </si>
  <si>
    <t>1570690807076</t>
  </si>
  <si>
    <t>-LqoSxLOswU2i_3lQp5m</t>
  </si>
  <si>
    <t>1570690814284</t>
  </si>
  <si>
    <t>-LqoSyrhBPqd_A_NQXCq</t>
  </si>
  <si>
    <t>1570690820474</t>
  </si>
  <si>
    <t>-LqoT-c3R5E9G5w_pdLv</t>
  </si>
  <si>
    <t>1570690827685</t>
  </si>
  <si>
    <t>-LqoT1B49p1hXC3s887X</t>
  </si>
  <si>
    <t>1570690833864</t>
  </si>
  <si>
    <t>-LqoT2z40wgvXpfibDOM</t>
  </si>
  <si>
    <t>1570690841326</t>
  </si>
  <si>
    <t>-LqoT4gG868KxnLaRJtU</t>
  </si>
  <si>
    <t>1570690848305</t>
  </si>
  <si>
    <t>-LqoT6Q4hvVWTkssfd2m</t>
  </si>
  <si>
    <t>1570690855514</t>
  </si>
  <si>
    <t>-LqoT7z6el7pkFsKXq3W</t>
  </si>
  <si>
    <t>1570690861694</t>
  </si>
  <si>
    <t>-LqoT9gvrfqfma45Xnuq</t>
  </si>
  <si>
    <t>1570690868884</t>
  </si>
  <si>
    <t>-LqoTBEyYAMqQ7SPt5Yl</t>
  </si>
  <si>
    <t>1570690875076</t>
  </si>
  <si>
    <t>-LqoTCzDcltCGMubkIaF</t>
  </si>
  <si>
    <t>1570690882314</t>
  </si>
  <si>
    <t>-LqoTEm2khJKC1DFlpSo</t>
  </si>
  <si>
    <t>1570690889526</t>
  </si>
  <si>
    <t>-LqoTGV2-hFbYesH14XK</t>
  </si>
  <si>
    <t>1570690896717</t>
  </si>
  <si>
    <t>-LqoTI37RD_gBQ9ZTXzU</t>
  </si>
  <si>
    <t>1570690902887</t>
  </si>
  <si>
    <t>-LqoTJmG-Ib5HIxQOmIf</t>
  </si>
  <si>
    <t>1570690910155</t>
  </si>
  <si>
    <t>-LqoTLZ-0huBUHnyX7g-</t>
  </si>
  <si>
    <t>1570690917355</t>
  </si>
  <si>
    <t>-LqoTNI2Kk-K622-v8TA</t>
  </si>
  <si>
    <t>1570690924556</t>
  </si>
  <si>
    <t>-LqoTP52xi2VCVP3V3pk</t>
  </si>
  <si>
    <t>1570690931794</t>
  </si>
  <si>
    <t>-LqoTQo2OhFXI9uPU0mw</t>
  </si>
  <si>
    <t>1570690938996</t>
  </si>
  <si>
    <t>-LqoTSN1v3jU6RLNNjpP</t>
  </si>
  <si>
    <t>1570690945184</t>
  </si>
  <si>
    <t>-LqoTU51hfXj5NqvovDo</t>
  </si>
  <si>
    <t>1570690952395</t>
  </si>
  <si>
    <t>-LqoTWCW1Exu7Z16KL62</t>
  </si>
  <si>
    <t>1570690959605</t>
  </si>
  <si>
    <t>-LqoTXv1vAb7iewCt7oy</t>
  </si>
  <si>
    <t>1570690967857</t>
  </si>
  <si>
    <t>-LqoTZbwdPi6_8Yw_y6V</t>
  </si>
  <si>
    <t>1570690975065</t>
  </si>
  <si>
    <t>-LqoTaPyqvJGxbPIJfZW</t>
  </si>
  <si>
    <t>1570690982284</t>
  </si>
  <si>
    <t>-LqoTc7ceyOWyyYOzuiz</t>
  </si>
  <si>
    <t>1570690989494</t>
  </si>
  <si>
    <t>-LqoTdvxEI4PaictARvX</t>
  </si>
  <si>
    <t>1570690996714</t>
  </si>
  <si>
    <t>-LqoTfdxuFSRNLzgk2S5</t>
  </si>
  <si>
    <t>1570691003914</t>
  </si>
  <si>
    <t>-LqoThE1URxGVMI6dnAH</t>
  </si>
  <si>
    <t>1570691010103</t>
  </si>
  <si>
    <t>-LqoTjAsI9SaEAM7ByeF</t>
  </si>
  <si>
    <t>1570691018274</t>
  </si>
  <si>
    <t>-LqoTkixa4AWvFSHCzwp</t>
  </si>
  <si>
    <t>1570691024522</t>
  </si>
  <si>
    <t>-LqoTmS4V-rmkTZkEvAE</t>
  </si>
  <si>
    <t>1570691031761</t>
  </si>
  <si>
    <t>-LqoToGC4MgrI7LYUz_r</t>
  </si>
  <si>
    <t>1570691038964</t>
  </si>
  <si>
    <t>-LqoTpysT2ZUczlq4fd7</t>
  </si>
  <si>
    <t>1570691046154</t>
  </si>
  <si>
    <t>-LqoTrY0EoCXmo8I2jFt</t>
  </si>
  <si>
    <t>1570691052381</t>
  </si>
  <si>
    <t>-LqoTtG16EIYiv2YhWpT</t>
  </si>
  <si>
    <t>1570691059595</t>
  </si>
  <si>
    <t>-LqoTvRuKAe7LBgzT6Vd</t>
  </si>
  <si>
    <t>1570691068425</t>
  </si>
  <si>
    <t>-LqoTxV0r3K1qU44-mG2</t>
  </si>
  <si>
    <t>1570691075044</t>
  </si>
  <si>
    <t>-LqoTz15ynxhofuC3NIP</t>
  </si>
  <si>
    <t>1570691083274</t>
  </si>
  <si>
    <t>-LqoU-_zL2FtocXVcis2</t>
  </si>
  <si>
    <t>1570691089463</t>
  </si>
  <si>
    <t>-LqoU1IzecOaSSuqG3Ul</t>
  </si>
  <si>
    <t>1570691096714</t>
  </si>
  <si>
    <t>-LqoU373-XkPm50Fn-jc</t>
  </si>
  <si>
    <t>1570691103902</t>
  </si>
  <si>
    <t>-LqoU4ngJLhB2DwPjVpb</t>
  </si>
  <si>
    <t>1570691111115</t>
  </si>
  <si>
    <t>-LqoU6d17HfBxkHgywVn</t>
  </si>
  <si>
    <t>1570691118334</t>
  </si>
  <si>
    <t>-LqoU8M0eZV0j-EvTZPR</t>
  </si>
  <si>
    <t>1570691125524</t>
  </si>
  <si>
    <t>-LqoUA91-EoC_GuaZZhP</t>
  </si>
  <si>
    <t>1570691132765</t>
  </si>
  <si>
    <t>-LqoUCCF7AB7OVTFQxn0</t>
  </si>
  <si>
    <t>1570691139983</t>
  </si>
  <si>
    <t>-LqoUDsk4q1MVJwFG-uS</t>
  </si>
  <si>
    <t>1570691148235</t>
  </si>
  <si>
    <t>-LqoUFh18dWO3BoSN0Ft</t>
  </si>
  <si>
    <t>1570691155434</t>
  </si>
  <si>
    <t>-LqoUHQ1di1I-mEldrid</t>
  </si>
  <si>
    <t>1570691162634</t>
  </si>
  <si>
    <t>-LqoUIy4dkHC_3qK4BDM</t>
  </si>
  <si>
    <t>1570691168824</t>
  </si>
  <si>
    <t>-LqoUKh2NswAafEJDUHK</t>
  </si>
  <si>
    <t>1570691176054</t>
  </si>
  <si>
    <t>-LqoUMUDz_8ZuYti7yhl</t>
  </si>
  <si>
    <t>1570691183264</t>
  </si>
  <si>
    <t>-LqoUOCbVgZNEP6mlGhM</t>
  </si>
  <si>
    <t>1570691190473</t>
  </si>
  <si>
    <t>-LqoUQ00X8p0uiElvPu4</t>
  </si>
  <si>
    <t>1570691197695</t>
  </si>
  <si>
    <t>-LqoUS2EfjpIbKzNEbIi</t>
  </si>
  <si>
    <t>1570691206093</t>
  </si>
  <si>
    <t>-LqoUTl2jM9qcE5p9aXZ</t>
  </si>
  <si>
    <t>1570691213152</t>
  </si>
  <si>
    <t>-LqoUVU2wirI_8png4as</t>
  </si>
  <si>
    <t>1570691220381</t>
  </si>
  <si>
    <t>-LqoUX20A0uhkV9Nkau2</t>
  </si>
  <si>
    <t>1570691226552</t>
  </si>
  <si>
    <t>-LqoUYVediLr_K7iqt2q</t>
  </si>
  <si>
    <t>1570691232716</t>
  </si>
  <si>
    <t>-LqoU_5BFQCxFeCctGkK</t>
  </si>
  <si>
    <t>1570691238924</t>
  </si>
  <si>
    <t>-LqoUao1Z5YC8LMB0X5_</t>
  </si>
  <si>
    <t>1570691246154</t>
  </si>
  <si>
    <t>-LqoUcmAzCxYEPvy-4rw</t>
  </si>
  <si>
    <t>1570691253353</t>
  </si>
  <si>
    <t>-LqoUeKDTOcfkCKbgmFq</t>
  </si>
  <si>
    <t>1570691260553</t>
  </si>
  <si>
    <t>-LqoUg7BEtxI6MGiolL4</t>
  </si>
  <si>
    <t>1570691267784</t>
  </si>
  <si>
    <t>-LqoUhq0bSOprMNzAHrb</t>
  </si>
  <si>
    <t>1570691274964</t>
  </si>
  <si>
    <t>-LqoUjP0R9cSGK2tcyd_</t>
  </si>
  <si>
    <t>1570691281187</t>
  </si>
  <si>
    <t>-LqoUl71Yc1VlvtIgAoH</t>
  </si>
  <si>
    <t>1570691288394</t>
  </si>
  <si>
    <t>-LqoUmvCoHFz94_hVyJH</t>
  </si>
  <si>
    <t>1570691295614</t>
  </si>
  <si>
    <t>-LqoUod1wzeYr3rqXS28</t>
  </si>
  <si>
    <t>1570691302801</t>
  </si>
  <si>
    <t>-LqoUq70KvT2qdpUu2TO</t>
  </si>
  <si>
    <t>1570691308954</t>
  </si>
  <si>
    <t>-LqoUrg0vWBcG6OGEJLf</t>
  </si>
  <si>
    <t>1570691315193</t>
  </si>
  <si>
    <t>-LqoUtU7k6mhgr8Z2bWZ</t>
  </si>
  <si>
    <t>1570691322403</t>
  </si>
  <si>
    <t>-LqoUvC3b19f0DdkbKLv</t>
  </si>
  <si>
    <t>1570691329624</t>
  </si>
  <si>
    <t>-LqoUxJSJs7DhL9y0ZCB</t>
  </si>
  <si>
    <t>1570691336834</t>
  </si>
  <si>
    <t>-LqoUyx08dIgplLhZru7</t>
  </si>
  <si>
    <t>1570691345094</t>
  </si>
  <si>
    <t>-LqoV-W0FS6z61HzkngY</t>
  </si>
  <si>
    <t>1570691351264</t>
  </si>
  <si>
    <t>-LqoV1E1z5xFZsnLL_qI</t>
  </si>
  <si>
    <t>1570691358474</t>
  </si>
  <si>
    <t>-LqoV310-0ltrhX0HEvr</t>
  </si>
  <si>
    <t>1570691365705</t>
  </si>
  <si>
    <t>-LqoV4icJbjyr81ht6TP</t>
  </si>
  <si>
    <t>1570691372874</t>
  </si>
  <si>
    <t>-LqoV6f3NbQeP0zjMBlG</t>
  </si>
  <si>
    <t>1570691380124</t>
  </si>
  <si>
    <t>-LqoV8G1CIzJY2qFOJY6</t>
  </si>
  <si>
    <t>1570691387344</t>
  </si>
  <si>
    <t>-LqoV9p0k6WfBJaQOVrw</t>
  </si>
  <si>
    <t>1570691393513</t>
  </si>
  <si>
    <t>-LqoVBY8c4fui7XPTDje</t>
  </si>
  <si>
    <t>1570691400712</t>
  </si>
  <si>
    <t>-LqoVD6B9Sf-8RlR1A1U</t>
  </si>
  <si>
    <t>1570691406932</t>
  </si>
  <si>
    <t>-LqoVEp2razbL8pzmDSA</t>
  </si>
  <si>
    <t>1570691414127</t>
  </si>
  <si>
    <t>-LqoVGc7it60FJQI_hdT</t>
  </si>
  <si>
    <t>1570691421344</t>
  </si>
  <si>
    <t>-LqoVIMHH9aZ-0TlPDmR</t>
  </si>
  <si>
    <t>1570691428554</t>
  </si>
  <si>
    <t>-LqoVKawdVpefz3WXnc9</t>
  </si>
  <si>
    <t>1570691435762</t>
  </si>
  <si>
    <t>-LqoVMA2DW1QRKylHhVG</t>
  </si>
  <si>
    <t>1570691444026</t>
  </si>
  <si>
    <t>-LqoVNt7uJkoQZKF62aa</t>
  </si>
  <si>
    <t>1570691451212</t>
  </si>
  <si>
    <t>-LqoVPg4c41C2yWMnT_k</t>
  </si>
  <si>
    <t>1570691458445</t>
  </si>
  <si>
    <t>-LqoVRPFXijCbBTzhGVR</t>
  </si>
  <si>
    <t>1570691465676</t>
  </si>
  <si>
    <t>-LqoVTCD619Mmi6-n2Nq</t>
  </si>
  <si>
    <t>1570691472878</t>
  </si>
  <si>
    <t>-LqoVUv3mVL2ddgW16Us</t>
  </si>
  <si>
    <t>1570691480076</t>
  </si>
  <si>
    <t>-LqoVWU5Q2h-_C0-JJ3U</t>
  </si>
  <si>
    <t>1570691486265</t>
  </si>
  <si>
    <t>-LqoVYCF8s1bw_Lk9AMY</t>
  </si>
  <si>
    <t>1570691493486</t>
  </si>
  <si>
    <t>-LqoVZv9-g-pMZeBLhfL</t>
  </si>
  <si>
    <t>1570691499663</t>
  </si>
  <si>
    <t>-LqoVaU3lg4F4pkpAxq7</t>
  </si>
  <si>
    <t>1570691506885</t>
  </si>
  <si>
    <t>-LqoVcH3t-TTKlv3QXwi</t>
  </si>
  <si>
    <t>1570691514095</t>
  </si>
  <si>
    <t>-LqoVe-2Z7kCYvaT_fw7</t>
  </si>
  <si>
    <t>1570691521315</t>
  </si>
  <si>
    <t>-LqoVfn2OYW3gzikm4y5</t>
  </si>
  <si>
    <t>1570691528516</t>
  </si>
  <si>
    <t>-LqoVhaD20Q4SqzRmye6</t>
  </si>
  <si>
    <t>1570691535764</t>
  </si>
  <si>
    <t>-LqoVjIIG1jZFiPyfRCs</t>
  </si>
  <si>
    <t>1570691542956</t>
  </si>
  <si>
    <t>-LqoVlAb4xa2lnTo2iwl</t>
  </si>
  <si>
    <t>1570691550156</t>
  </si>
  <si>
    <t>-LqoVmp15albwSkTsOKQ</t>
  </si>
  <si>
    <t>1570691557374</t>
  </si>
  <si>
    <t>-LqoVoY1ses733SiyU15</t>
  </si>
  <si>
    <t>1570691564566</t>
  </si>
  <si>
    <t>-LqoVq5uuw25Ylcu-ySu</t>
  </si>
  <si>
    <t>1570691570762</t>
  </si>
  <si>
    <t>-LqoVrp2oSjWyi0x56kF</t>
  </si>
  <si>
    <t>1570691577997</t>
  </si>
  <si>
    <t>-LqoVtc7hhmWQ8uHOUrL</t>
  </si>
  <si>
    <t>1570691585206</t>
  </si>
  <si>
    <t>-LqoVvJqhIsW5gLORhuY</t>
  </si>
  <si>
    <t>1570691592396</t>
  </si>
  <si>
    <t>-LqoVwuFUZR_PORafd8l</t>
  </si>
  <si>
    <t>1570691598592</t>
  </si>
  <si>
    <t>-LqoVycEPdcFIvdzTi8q</t>
  </si>
  <si>
    <t>1570691605816</t>
  </si>
  <si>
    <t>-LqoW-QF3vZ93tiSXSSW</t>
  </si>
  <si>
    <t>1570691613025</t>
  </si>
  <si>
    <t>-LqoW182YzE51sukedrF</t>
  </si>
  <si>
    <t>1570691620235</t>
  </si>
  <si>
    <t>-LqoW2w3f53A1xsKuqye</t>
  </si>
  <si>
    <t>1570691627457</t>
  </si>
  <si>
    <t>-LqoW4e3PDP-B5Rqim7U</t>
  </si>
  <si>
    <t>1570691634715</t>
  </si>
  <si>
    <t>-LqoW6DG9RWHZYun81aF</t>
  </si>
  <si>
    <t>1570691640826</t>
  </si>
  <si>
    <t>-LqoW7wF0Krxtyis0qka</t>
  </si>
  <si>
    <t>1570691648076</t>
  </si>
  <si>
    <t>-LqoW9j38bKicH2Woqmi</t>
  </si>
  <si>
    <t>1570691655285</t>
  </si>
  <si>
    <t>-LqoWBS2qDgwSqXYfV9T</t>
  </si>
  <si>
    <t>1570691662475</t>
  </si>
  <si>
    <t>-LqoWDKfMhWMUTlC_5Qb</t>
  </si>
  <si>
    <t>1570691668677</t>
  </si>
  <si>
    <t>-LqoWEyFSSTrSICYa0Ni</t>
  </si>
  <si>
    <t>1570691676906</t>
  </si>
  <si>
    <t>-LqoWGX4SgiSUe2FpyQX</t>
  </si>
  <si>
    <t>1570691683117</t>
  </si>
  <si>
    <t>-LqoWIF3cfAlm7wo0CJQ</t>
  </si>
  <si>
    <t>1570691690317</t>
  </si>
  <si>
    <t>-LqoWJnvdz2xycA4z9up</t>
  </si>
  <si>
    <t>1570691696506</t>
  </si>
  <si>
    <t>-LqoWLX2tpvRtZwYMiqM</t>
  </si>
  <si>
    <t>1570691703716</t>
  </si>
  <si>
    <t>-LqoWNKOUjOeFLRTyoU9</t>
  </si>
  <si>
    <t>1570691710926</t>
  </si>
  <si>
    <t>-LqoWP24iKkXOvxOH4wd</t>
  </si>
  <si>
    <t>1570691718156</t>
  </si>
  <si>
    <t>-LqoWR2IpE-VCp4eJg1A</t>
  </si>
  <si>
    <t>1570691725366</t>
  </si>
  <si>
    <t>-LqoWSsHTuL24nkuVOle</t>
  </si>
  <si>
    <t>1570691733607</t>
  </si>
  <si>
    <t>-LqoWUa63d1XQGgehgDo</t>
  </si>
  <si>
    <t>1570691740827</t>
  </si>
  <si>
    <t>-LqoWW5KkHhIe2lsCYUS</t>
  </si>
  <si>
    <t>1570691747027</t>
  </si>
  <si>
    <t>-LqoWXdKDtGQTF9Qnur-</t>
  </si>
  <si>
    <t>1570691753197</t>
  </si>
  <si>
    <t>-LqoWZMBwLJJIxWslb_q</t>
  </si>
  <si>
    <t>1570691760397</t>
  </si>
  <si>
    <t>-LqoWa8dU9Ont4ajzayd</t>
  </si>
  <si>
    <t>1570691767626</t>
  </si>
  <si>
    <t>-LqoWbvsiD3GDmR3Q-VS</t>
  </si>
  <si>
    <t>1570691773777</t>
  </si>
  <si>
    <t>-LqoWdf8qDA60nvnmrOD</t>
  </si>
  <si>
    <t>1570691782046</t>
  </si>
  <si>
    <t>-LqoWfNQrzSKhzGUq-im</t>
  </si>
  <si>
    <t>1570691789266</t>
  </si>
  <si>
    <t>-LqoWgx4wL-xIP2TZoCt</t>
  </si>
  <si>
    <t>1570691795445</t>
  </si>
  <si>
    <t>-LqoWif9jZGQs5Zv-Px7</t>
  </si>
  <si>
    <t>1570691802636</t>
  </si>
  <si>
    <t>-LqoWkPINApbqVSc4W1E</t>
  </si>
  <si>
    <t>1570691808836</t>
  </si>
  <si>
    <t>-LqoWlxGPO_xjW3xsKu0</t>
  </si>
  <si>
    <t>1570691816057</t>
  </si>
  <si>
    <t>-LqoWnR30bC36bjTFzrq</t>
  </si>
  <si>
    <t>1570691822236</t>
  </si>
  <si>
    <t>-LqoWp-29xDqzkYj3NM-</t>
  </si>
  <si>
    <t>1570691828427</t>
  </si>
  <si>
    <t>-LqoWqi6i4he0D8Or6bW</t>
  </si>
  <si>
    <t>1570691835617</t>
  </si>
  <si>
    <t>-LqoWsQvCGmqeHnSyBEP</t>
  </si>
  <si>
    <t>1570691841817</t>
  </si>
  <si>
    <t>-LqoWu-JviUYdyAH6JxB</t>
  </si>
  <si>
    <t>1570691849037</t>
  </si>
  <si>
    <t>-LqoWvn2OVNAP2OVJBUK</t>
  </si>
  <si>
    <t>1570691856246</t>
  </si>
  <si>
    <t>-LqoWxW403Cea-LZV_Tf</t>
  </si>
  <si>
    <t>1570691863436</t>
  </si>
  <si>
    <t>-LqoWz4Hw_HWW9quJ7va</t>
  </si>
  <si>
    <t>1570691869636</t>
  </si>
  <si>
    <t>-LqoX-x43VbzG3D8qvZg</t>
  </si>
  <si>
    <t>1570691877482</t>
  </si>
  <si>
    <t>-LqoX1_-dzXRTaMm8kOQ</t>
  </si>
  <si>
    <t>1570691884065</t>
  </si>
  <si>
    <t>-LqoX3J6u4Cq_VD5pEWe</t>
  </si>
  <si>
    <t>1570691891279</t>
  </si>
  <si>
    <t>-LqoX5WL41ky7XBl-uhH</t>
  </si>
  <si>
    <t>1570691898495</t>
  </si>
  <si>
    <t>-LqoX7LweL7Fx6rzWkSC</t>
  </si>
  <si>
    <t>1570691907840</t>
  </si>
  <si>
    <t>-LqoX92f4KD5vNpAH8GI</t>
  </si>
  <si>
    <t>1570691914951</t>
  </si>
  <si>
    <t>-LqoXAcmOUgk31C6J40e</t>
  </si>
  <si>
    <t>1570691921141</t>
  </si>
  <si>
    <t>-LqoXCKWlJMhb6d4OY5y</t>
  </si>
  <si>
    <t>1570691928391</t>
  </si>
  <si>
    <t>-LqoXDpvKy_2g-51KZLd</t>
  </si>
  <si>
    <t>1570691934563</t>
  </si>
  <si>
    <t>-LqoXFMGzGWwth6FF1kX</t>
  </si>
  <si>
    <t>1570691940752</t>
  </si>
  <si>
    <t>-LqoXH-ENts9B9haEuZw</t>
  </si>
  <si>
    <t>1570691946951</t>
  </si>
  <si>
    <t>-LqoXIfxzQcFxg7hjIYn</t>
  </si>
  <si>
    <t>1570691954160</t>
  </si>
  <si>
    <t>-LqoXKQ1ovmZ8r5D7l81</t>
  </si>
  <si>
    <t>1570691961351</t>
  </si>
  <si>
    <t>-LqoXMC3GE_oV052x7hK</t>
  </si>
  <si>
    <t>1570691968583</t>
  </si>
  <si>
    <t>-LqoXNw-_QO0iJ3Xv1s7</t>
  </si>
  <si>
    <t>1570691975752</t>
  </si>
  <si>
    <t>-LqoXPV0I8XuhQeOTJer</t>
  </si>
  <si>
    <t>1570691981952</t>
  </si>
  <si>
    <t>-LqoXRChjNkTHwolxqHh</t>
  </si>
  <si>
    <t>1570691989191</t>
  </si>
  <si>
    <t>-LqoXT-2A-Ka1WPg-qEb</t>
  </si>
  <si>
    <t>1570691996401</t>
  </si>
  <si>
    <t>-LqoXUhvq19oR_pjxLF6</t>
  </si>
  <si>
    <t>1570692003592</t>
  </si>
  <si>
    <t>-LqoXWXIrRX6H0cgw21-</t>
  </si>
  <si>
    <t>1570692009783</t>
  </si>
  <si>
    <t>-LqoXYEzji5OR75ISoPb</t>
  </si>
  <si>
    <t>1570692018061</t>
  </si>
  <si>
    <t>-LqoX_0yFrE5Du5tyHbY</t>
  </si>
  <si>
    <t>1570692025264</t>
  </si>
  <si>
    <t>-LqoXaprx3mQsyH7rVnA</t>
  </si>
  <si>
    <t>1570692032489</t>
  </si>
  <si>
    <t>-LqoXcXwTv9k1xuK8i96</t>
  </si>
  <si>
    <t>1570692039681</t>
  </si>
  <si>
    <t>-LqoXeHAnUWKouMLaMcI</t>
  </si>
  <si>
    <t>1570692046902</t>
  </si>
  <si>
    <t>-LqoXfowCzOt3RjiDHj5</t>
  </si>
  <si>
    <t>1570692053112</t>
  </si>
  <si>
    <t>-LqoXhXhN5bI8VJw0uoM</t>
  </si>
  <si>
    <t>1570692060301</t>
  </si>
  <si>
    <t>-LqoXj5x6UZlR43ckAx2</t>
  </si>
  <si>
    <t>1570692066491</t>
  </si>
  <si>
    <t>-LqoXkovF1GFzhZi6_ML</t>
  </si>
  <si>
    <t>1570692073672</t>
  </si>
  <si>
    <t>-LqoXmOzwSzkOPVr1Pst</t>
  </si>
  <si>
    <t>1570692079863</t>
  </si>
  <si>
    <t>-LqoXo5wzoFCZWN7zxhg</t>
  </si>
  <si>
    <t>1570692087120</t>
  </si>
  <si>
    <t>-LqoXpqCjUnfUnQzQflN</t>
  </si>
  <si>
    <t>1570692094321</t>
  </si>
  <si>
    <t>-LqoXrPJnoVuCDq4pxdo</t>
  </si>
  <si>
    <t>1570692100501</t>
  </si>
  <si>
    <t>-LqoXtC-okb_y9jfTElf</t>
  </si>
  <si>
    <t>1570692107711</t>
  </si>
  <si>
    <t>-LqoXuu3886heW6kPPYW</t>
  </si>
  <si>
    <t>1570692114932</t>
  </si>
  <si>
    <t>-LqoXwh3kr1fa83IseTv</t>
  </si>
  <si>
    <t>1570692122141</t>
  </si>
  <si>
    <t>-LqoXyPwGqVvdcSPRlKm</t>
  </si>
  <si>
    <t>1570692129353</t>
  </si>
  <si>
    <t>-LqoY-Y-IpIy7698Ffpk</t>
  </si>
  <si>
    <t>1570692136573</t>
  </si>
  <si>
    <t>-LqoY1G6HqcVrVo3_HzS</t>
  </si>
  <si>
    <t>1570692144822</t>
  </si>
  <si>
    <t>-LqoY2zJPypIZ7xmbczD</t>
  </si>
  <si>
    <t>1570692152040</t>
  </si>
  <si>
    <t>-LqoY4m86PbwHHCltUQs</t>
  </si>
  <si>
    <t>1570692159249</t>
  </si>
  <si>
    <t>-LqoY6V7I0MnZ21zIOZP</t>
  </si>
  <si>
    <t>1570692166481</t>
  </si>
  <si>
    <t>-LqoY8IFA_r7aAy7oXjf</t>
  </si>
  <si>
    <t>1570692173680</t>
  </si>
  <si>
    <t>-LqoYA-OlSU73a1W_wep</t>
  </si>
  <si>
    <t>1570692180880</t>
  </si>
  <si>
    <t>-LqoYBoE_mWTSKBeH8ne</t>
  </si>
  <si>
    <t>1570692188112</t>
  </si>
  <si>
    <t>-LqoYDX6NuWEHOcza6gp</t>
  </si>
  <si>
    <t>1570692195310</t>
  </si>
  <si>
    <t>-LqoYFK78rxsoRFRZEIY</t>
  </si>
  <si>
    <t>1570692202540</t>
  </si>
  <si>
    <t>-LqoYH272B9c8m0CC41S</t>
  </si>
  <si>
    <t>1570692209750</t>
  </si>
  <si>
    <t>-LqoYIq5dU0s3AOqUpqS</t>
  </si>
  <si>
    <t>1570692216968</t>
  </si>
  <si>
    <t>-LqoYKd6RLqSfJP-pb1P</t>
  </si>
  <si>
    <t>1570692224180</t>
  </si>
  <si>
    <t>-LqoYMMIGH4LmrzWWwpZ</t>
  </si>
  <si>
    <t>1570692231399</t>
  </si>
  <si>
    <t>-LqoYOE5K0MynnB-iWKt</t>
  </si>
  <si>
    <t>1570692238608</t>
  </si>
  <si>
    <t>-LqoYPs6Q5TdtODaug0J</t>
  </si>
  <si>
    <t>1570692245840</t>
  </si>
  <si>
    <t>-LqoYRfJWy2Cc9TwFOwW</t>
  </si>
  <si>
    <t>1570692253048</t>
  </si>
  <si>
    <t>-LqoYTO6kuGJP0UnGTfC</t>
  </si>
  <si>
    <t>1570692260239</t>
  </si>
  <si>
    <t>-LqoYUxJkNh_CNdMoV3Y</t>
  </si>
  <si>
    <t>1570692266440</t>
  </si>
  <si>
    <t>-LqoYWfIo1kBTzA4qtyK</t>
  </si>
  <si>
    <t>1570692273649</t>
  </si>
  <si>
    <t>-LqoYYT5p0axnqC9mspo</t>
  </si>
  <si>
    <t>1570692280869</t>
  </si>
  <si>
    <t>-LqoY_B7hIflBrqtwJ0B</t>
  </si>
  <si>
    <t>1570692288080</t>
  </si>
  <si>
    <t>-LqoYazJNp9F6PFQk8xx</t>
  </si>
  <si>
    <t>1570692295299</t>
  </si>
  <si>
    <t>-LqoYchRWW02hFVQg3__</t>
  </si>
  <si>
    <t>1570692302491</t>
  </si>
  <si>
    <t>-LqoYeGKe2Y0RzEP9Rvq</t>
  </si>
  <si>
    <t>1570692308668</t>
  </si>
  <si>
    <t>-LqoYfz6DUB-AMDki7DF</t>
  </si>
  <si>
    <t>1570692315919</t>
  </si>
  <si>
    <t>-LqoYhmKmuy9D_bOEsLF</t>
  </si>
  <si>
    <t>1570692323130</t>
  </si>
  <si>
    <t>-LqoYjV3H486vhClFyXN</t>
  </si>
  <si>
    <t>1570692330319</t>
  </si>
  <si>
    <t>-LqoYl3CabBNf64hMie1</t>
  </si>
  <si>
    <t>1570692336519</t>
  </si>
  <si>
    <t>-LqoYmr81M3k-sqZYwA_</t>
  </si>
  <si>
    <t>1570692343999</t>
  </si>
  <si>
    <t>-LqoYo_HlGc0vpglEWd8</t>
  </si>
  <si>
    <t>1570692350963</t>
  </si>
  <si>
    <t>-LqoYqIIlk0_qXPPSoma</t>
  </si>
  <si>
    <t>1570692358159</t>
  </si>
  <si>
    <t>-LqoYrr7cZMKcYccL3lR</t>
  </si>
  <si>
    <t>1570692364351</t>
  </si>
  <si>
    <t>-LqoYuF98Omcijcefav-</t>
  </si>
  <si>
    <t>1570692371569</t>
  </si>
  <si>
    <t>-LqoYvq0kmPiHaFIBYVN</t>
  </si>
  <si>
    <t>1570692380844</t>
  </si>
  <si>
    <t>-LqoYxd0nFq_6-sn3rh5</t>
  </si>
  <si>
    <t>1570692388055</t>
  </si>
  <si>
    <t>-LqoYzMCdwBJQA7pccDw</t>
  </si>
  <si>
    <t>1570692395274</t>
  </si>
  <si>
    <t>-LqoZ08tPRueeeh2psOO</t>
  </si>
  <si>
    <t>1570692402484</t>
  </si>
  <si>
    <t>-LqoZ1s0mNDFAWh2T5aG</t>
  </si>
  <si>
    <t>1570692409675</t>
  </si>
  <si>
    <t>-LqoZ3RL3_g1TYm3aLgl</t>
  </si>
  <si>
    <t>1570692415864</t>
  </si>
  <si>
    <t>-LqoZ591wWQJFgWPSKpp</t>
  </si>
  <si>
    <t>1570692423115</t>
  </si>
  <si>
    <t>-LqoZ6xB5jC6behge81i</t>
  </si>
  <si>
    <t>1570692430313</t>
  </si>
  <si>
    <t>-LqoZ8fAl1lVpBS_AyAj</t>
  </si>
  <si>
    <t>1570692437513</t>
  </si>
  <si>
    <t>-LqoZA8tm6q3h5sTdGzW</t>
  </si>
  <si>
    <t>1570692443684</t>
  </si>
  <si>
    <t>-LqoZBi4-y-aLqx1sGIk</t>
  </si>
  <si>
    <t>1570692449904</t>
  </si>
  <si>
    <t>-LqoZDR4Ng9N8w11h9Zj</t>
  </si>
  <si>
    <t>1570692457105</t>
  </si>
  <si>
    <t>-LqoZF-3fpkhqWR7utJ1</t>
  </si>
  <si>
    <t>1570692463295</t>
  </si>
  <si>
    <t>-LqoZGhwJ1rp2r-md6VZ</t>
  </si>
  <si>
    <t>1570692470476</t>
  </si>
  <si>
    <t>-LqoZIH2gE7NbNKNiCSb</t>
  </si>
  <si>
    <t>1570692476695</t>
  </si>
  <si>
    <t>-LqoZK-3C3MjUQ6KdlZX</t>
  </si>
  <si>
    <t>1570692483915</t>
  </si>
  <si>
    <t>-LqoZLnFViMwe6_Qsxrj</t>
  </si>
  <si>
    <t>1570692491123</t>
  </si>
  <si>
    <t>-LqoZNW3-HsNfqYnOrMx</t>
  </si>
  <si>
    <t>1570692498324</t>
  </si>
  <si>
    <t>-LqoZP42ioYSiL54MjtV</t>
  </si>
  <si>
    <t>1570692504523</t>
  </si>
  <si>
    <t>-LqoZQnBP_3j-ks3HuTx</t>
  </si>
  <si>
    <t>1570692511754</t>
  </si>
  <si>
    <t>-LqoZSk0owlHsZXDtc0x</t>
  </si>
  <si>
    <t>1570692519737</t>
  </si>
  <si>
    <t>-LqoZUI821Glc5HQgcxU</t>
  </si>
  <si>
    <t>1570692526153</t>
  </si>
  <si>
    <t>-LqoZW64vHLJxB_Hl4Z0</t>
  </si>
  <si>
    <t>1570692533384</t>
  </si>
  <si>
    <t>-LqoZXp3pSo8H5qT1HWP</t>
  </si>
  <si>
    <t>1570692540565</t>
  </si>
  <si>
    <t>-LqoZZOATLHKTO5YHmGr</t>
  </si>
  <si>
    <t>1570692546754</t>
  </si>
  <si>
    <t>-LqoZa7RQyurFYyrh1Qy</t>
  </si>
  <si>
    <t>1570692553994</t>
  </si>
  <si>
    <t>-LqoZbpUaZRPh5Kmt9zq</t>
  </si>
  <si>
    <t>1570692561203</t>
  </si>
  <si>
    <t>-LqoZdO2pOY352kh9nHh</t>
  </si>
  <si>
    <t>1570692567384</t>
  </si>
  <si>
    <t>-LqoZfBAPJ7RcQYvWgjD</t>
  </si>
  <si>
    <t>1570692574604</t>
  </si>
  <si>
    <t>-LqoZgu3sLDHOOWyOt9c</t>
  </si>
  <si>
    <t>1570692581815</t>
  </si>
  <si>
    <t>-LqoZih4O5Kgp0jM4aJw</t>
  </si>
  <si>
    <t>1570692589035</t>
  </si>
  <si>
    <t>-LqoZkQBfY9GoolWcwxF</t>
  </si>
  <si>
    <t>1570692596234</t>
  </si>
  <si>
    <t>-LqoZmCu0ZPEmCSSWdGr</t>
  </si>
  <si>
    <t>1570692603435</t>
  </si>
  <si>
    <t>-LqoZo17iBOoPn_bjR5L</t>
  </si>
  <si>
    <t>1570692610882</t>
  </si>
  <si>
    <t>-LqoZpj9_mLmKzY_P3bN</t>
  </si>
  <si>
    <t>1570692617900</t>
  </si>
  <si>
    <t>-LqoZrS1SYw2U9j3RBa5</t>
  </si>
  <si>
    <t>1570692625103</t>
  </si>
  <si>
    <t>-LqoZt02nqbf7eE_brbB</t>
  </si>
  <si>
    <t>1570692631291</t>
  </si>
  <si>
    <t>-LqoZuj1wzGnUZIT9BzM</t>
  </si>
  <si>
    <t>1570692638472</t>
  </si>
  <si>
    <t>-LqoZwX2hDwBvXgULQCC</t>
  </si>
  <si>
    <t>1570692645713</t>
  </si>
  <si>
    <t>-LqoZyF2CsOFUz_vak2F</t>
  </si>
  <si>
    <t>1570692652943</t>
  </si>
  <si>
    <t>-Lqo_-2367Zxc14GlAcm</t>
  </si>
  <si>
    <t>1570692660144</t>
  </si>
  <si>
    <t>-Lqo_12fdPFQYXECTKev</t>
  </si>
  <si>
    <t>1570692668362</t>
  </si>
  <si>
    <t>-Lqo_2Z2n5Ov7Ai462Rt</t>
  </si>
  <si>
    <t>1570692674575</t>
  </si>
  <si>
    <t>-Lqo_4M2Grw2UX9XKFES</t>
  </si>
  <si>
    <t>1570692681783</t>
  </si>
  <si>
    <t>-Lqo_641t_SUKdmjLY38</t>
  </si>
  <si>
    <t>1570692689002</t>
  </si>
  <si>
    <t>-Lqo_7s1__P9eipj5y_f</t>
  </si>
  <si>
    <t>1570692696213</t>
  </si>
  <si>
    <t>-Lqo_9a29Nm4OH3IX2ar</t>
  </si>
  <si>
    <t>1570692703433</t>
  </si>
  <si>
    <t>-Lqo_BO2NTBHRDLr_QPq</t>
  </si>
  <si>
    <t>1570692710643</t>
  </si>
  <si>
    <t>-Lqo_D64Na8r05XnhnUy</t>
  </si>
  <si>
    <t>1570692717842</t>
  </si>
  <si>
    <t>-Lqo_EfEUn_pfeRdliVA</t>
  </si>
  <si>
    <t>1570692724034</t>
  </si>
  <si>
    <t>-Lqo_GO2NWP71UyXzVbb</t>
  </si>
  <si>
    <t>1570692731252</t>
  </si>
  <si>
    <t>-Lqo_IWKVGdDefDi4m2o</t>
  </si>
  <si>
    <t>1570692738462</t>
  </si>
  <si>
    <t>-Lqo_K898KcVSzh_a5it</t>
  </si>
  <si>
    <t>1570692746713</t>
  </si>
  <si>
    <t>-Lqo_Lfd3p6GLoUUZOQd</t>
  </si>
  <si>
    <t>1570692752903</t>
  </si>
  <si>
    <t>-Lqo_NQ9RU_NwVVZBLes</t>
  </si>
  <si>
    <t>1570692760083</t>
  </si>
  <si>
    <t>-Lqo_Oz9n_YE4hcqO6-a</t>
  </si>
  <si>
    <t>1570692766262</t>
  </si>
  <si>
    <t>-Lqo_Qh23LujLl1jlBU8</t>
  </si>
  <si>
    <t>1570692773513</t>
  </si>
  <si>
    <t>-Lqo_Sd1mniPIDDFsY20</t>
  </si>
  <si>
    <t>1570692780724</t>
  </si>
  <si>
    <t>-Lqo_UDAcLOeV0uRdPF-</t>
  </si>
  <si>
    <t>1570692787912</t>
  </si>
  <si>
    <t>-Lqo_VmAWGs6ze0CemJr</t>
  </si>
  <si>
    <t>1570692794102</t>
  </si>
  <si>
    <t>-Lqo_XWI4D5vUbH6_HWz</t>
  </si>
  <si>
    <t>1570692801332</t>
  </si>
  <si>
    <t>-Lqo_ZI9mECmdylTc-2o</t>
  </si>
  <si>
    <t>1570692808542</t>
  </si>
  <si>
    <t>-Lqo_a02DnmHDG6i5pcc</t>
  </si>
  <si>
    <t>1570692815754</t>
  </si>
  <si>
    <t>-Lqo_bo9M6_a-95AwZnM</t>
  </si>
  <si>
    <t>1570692822972</t>
  </si>
  <si>
    <t>-Lqo_dX28IXX6kr7KaD7</t>
  </si>
  <si>
    <t>1570692830152</t>
  </si>
  <si>
    <t>-Lqo_f5AE3equ7zxKZ5y</t>
  </si>
  <si>
    <t>1570692836352</t>
  </si>
  <si>
    <t>-Lqo_h75JkM562wOFD_l</t>
  </si>
  <si>
    <t>1570692843594</t>
  </si>
  <si>
    <t>-Lqo_iq3E_lDX-YJUBsP</t>
  </si>
  <si>
    <t>1570692851815</t>
  </si>
  <si>
    <t>-Lqo_kZBJqqSw9Zd0q3r</t>
  </si>
  <si>
    <t>1570692859044</t>
  </si>
  <si>
    <t>-Lqo_m747f88NUeCeXrA</t>
  </si>
  <si>
    <t>1570692865214</t>
  </si>
  <si>
    <t>-Lqo_nupXiXcl3x3GJox</t>
  </si>
  <si>
    <t>1570692872406</t>
  </si>
  <si>
    <t>-Lqo_pcvB5L_UpvKljUf</t>
  </si>
  <si>
    <t>1570692879644</t>
  </si>
  <si>
    <t>-Lqo_rNM_iGmf2dJ7HwW</t>
  </si>
  <si>
    <t>1570692886857</t>
  </si>
  <si>
    <t>-Lqo_sqOSMZUTXPY8WyY</t>
  </si>
  <si>
    <t>1570692893046</t>
  </si>
  <si>
    <t>-Lqo_uP4-1Yd1leSxzgQ</t>
  </si>
  <si>
    <t>1570692899225</t>
  </si>
  <si>
    <t>-Lqo_wCC1yCgbxe-XkZv</t>
  </si>
  <si>
    <t>1570692906438</t>
  </si>
  <si>
    <t>-Lqo_xv5SVWPm83XdIA4</t>
  </si>
  <si>
    <t>1570692913740</t>
  </si>
  <si>
    <t>-Lqo_zi4AHMlnbYNX8p0</t>
  </si>
  <si>
    <t>1570692920864</t>
  </si>
  <si>
    <t>-Lqoa0QvtEw1wacLMdQM</t>
  </si>
  <si>
    <t>1570692928076</t>
  </si>
  <si>
    <t>-Lqoa2DFAhfhqPYqIYu6</t>
  </si>
  <si>
    <t>1570692935284</t>
  </si>
  <si>
    <t>-Lqoa3x7C4TPk-GjAm2e</t>
  </si>
  <si>
    <t>1570692942474</t>
  </si>
  <si>
    <t>-Lqoa5W3_i6BxGvzLqnl</t>
  </si>
  <si>
    <t>1570692948666</t>
  </si>
  <si>
    <t>-Lqoa7D7nUuAWR-30poc</t>
  </si>
  <si>
    <t>1570692955915</t>
  </si>
  <si>
    <t>-Lqoa914HrRNkIqzcxVp</t>
  </si>
  <si>
    <t>1570692963115</t>
  </si>
  <si>
    <t>-LqoaAkCbTXSLcsaig5c</t>
  </si>
  <si>
    <t>1570692970315</t>
  </si>
  <si>
    <t>-LqoaCJ4chDXFoHzmebA</t>
  </si>
  <si>
    <t>1570692976504</t>
  </si>
  <si>
    <t>-LqoaE1BoEhcNmXjGkc_</t>
  </si>
  <si>
    <t>1570692983724</t>
  </si>
  <si>
    <t>-LqoaG-KeXgj3b59d96C</t>
  </si>
  <si>
    <t>1570692990945</t>
  </si>
  <si>
    <t>-LqoaHYLozR1_zW34Asr</t>
  </si>
  <si>
    <t>1570692998157</t>
  </si>
  <si>
    <t>-LqoaJLB9eU2H9iL01Ja</t>
  </si>
  <si>
    <t>1570693005365</t>
  </si>
  <si>
    <t>-LqoaL34QcOVY-XxaaDg</t>
  </si>
  <si>
    <t>1570693012555</t>
  </si>
  <si>
    <t>-LqoaMbvqGz1HzGSqYDp</t>
  </si>
  <si>
    <t>1570693018745</t>
  </si>
  <si>
    <t>-LqoaOL33U4PZyu_-knD</t>
  </si>
  <si>
    <t>1570693025995</t>
  </si>
  <si>
    <t>-LqoaQ85U0JTZXDZeTmX</t>
  </si>
  <si>
    <t>1570693033195</t>
  </si>
  <si>
    <t>-LqoaRr3qvdQtGqCRmFC</t>
  </si>
  <si>
    <t>1570693040396</t>
  </si>
  <si>
    <t>-LqoaTQpcTlMpsNCAInb</t>
  </si>
  <si>
    <t>1570693046586</t>
  </si>
  <si>
    <t>-LqoaVN4X94Sxj9gQ60b</t>
  </si>
  <si>
    <t>1570693054873</t>
  </si>
  <si>
    <t>-LqoaWwL0wCjQ1rp4K9_</t>
  </si>
  <si>
    <t>1570693060986</t>
  </si>
  <si>
    <t>-LqoaYe3_wIWwCMj6ouW</t>
  </si>
  <si>
    <t>1570693068234</t>
  </si>
  <si>
    <t>-Lqoa_n-CSEh6q7BEKS8</t>
  </si>
  <si>
    <t>1570693075447</t>
  </si>
  <si>
    <t>-LqoabU8wG-NmbXi1esM</t>
  </si>
  <si>
    <t>1570693083689</t>
  </si>
  <si>
    <t>-LqoadC7FB-5tAmysvC3</t>
  </si>
  <si>
    <t>1570693090899</t>
  </si>
  <si>
    <t>-Lqoaf-8w9kTBjtjUv5A</t>
  </si>
  <si>
    <t>1570693098108</t>
  </si>
  <si>
    <t>-Lqoagi8LD4X8XibaetY</t>
  </si>
  <si>
    <t>1570693105329</t>
  </si>
  <si>
    <t>-Lqoaik83qdU2UsAGvlG</t>
  </si>
  <si>
    <t>1570693112538</t>
  </si>
  <si>
    <t>-LqoakSJNSIiu285g1mu</t>
  </si>
  <si>
    <t>1570693120798</t>
  </si>
  <si>
    <t>-Lqoam17fQVHIbPYQFxN</t>
  </si>
  <si>
    <t>1570693126969</t>
  </si>
  <si>
    <t>-Lqoao68tNIGusJD51q_</t>
  </si>
  <si>
    <t>1570693134160</t>
  </si>
  <si>
    <t>-Lqoapm7uiffbcLtlGEO</t>
  </si>
  <si>
    <t>1570693142429</t>
  </si>
  <si>
    <t>-Lqoar_KwnmZmZZZ4o9n</t>
  </si>
  <si>
    <t>1570693149639</t>
  </si>
  <si>
    <t>-LqoatI8sE_6nN9uEMoF</t>
  </si>
  <si>
    <t>1570693156848</t>
  </si>
  <si>
    <t>-Lqoav57akuCpaMbx93z</t>
  </si>
  <si>
    <t>1570693164078</t>
  </si>
  <si>
    <t>-LqoawsBzhUg3cHhJloJ</t>
  </si>
  <si>
    <t>1570693171531</t>
  </si>
  <si>
    <t>-Lqoayb8cPSaPQ4EV9b0</t>
  </si>
  <si>
    <t>1570693178489</t>
  </si>
  <si>
    <t>-Lqob-K64XzjVSohjSZZ</t>
  </si>
  <si>
    <t>1570693185679</t>
  </si>
  <si>
    <t>-Lqob0tI9Y0eFpx3jj6H</t>
  </si>
  <si>
    <t>1570693191870</t>
  </si>
  <si>
    <t>-Lqob2b79V7apDdItmpp</t>
  </si>
  <si>
    <t>1570693199118</t>
  </si>
  <si>
    <t>-Lqob4PUCuKNgL3ATK-9</t>
  </si>
  <si>
    <t>1570693206319</t>
  </si>
  <si>
    <t>-Lqob678hk3Ka87VjUop</t>
  </si>
  <si>
    <t>1570693213518</t>
  </si>
  <si>
    <t>-Lqob7g7_2V__ecLS2VK</t>
  </si>
  <si>
    <t>1570693219709</t>
  </si>
  <si>
    <t>-Lqob9PEUUAingU686uv</t>
  </si>
  <si>
    <t>1570693226929</t>
  </si>
  <si>
    <t>-LqobBH8ExPGinwHCOcw</t>
  </si>
  <si>
    <t>1570693234139</t>
  </si>
  <si>
    <t>-LqobCv7Ju6OQj6iKvyq</t>
  </si>
  <si>
    <t>1570693241358</t>
  </si>
  <si>
    <t>-LqobEiAQa6rPBRVeOwJ</t>
  </si>
  <si>
    <t>1570693248571</t>
  </si>
  <si>
    <t>-LqobGW7IaTMMbLWbEN0</t>
  </si>
  <si>
    <t>1570693255759</t>
  </si>
  <si>
    <t>-LqobIE9gztt_9zQBQVa</t>
  </si>
  <si>
    <t>1570693262999</t>
  </si>
  <si>
    <t>-LqobJxGMgxr4DmVM5BO</t>
  </si>
  <si>
    <t>1570693270220</t>
  </si>
  <si>
    <t>-LqobLVzv3AQbPjmeC0R</t>
  </si>
  <si>
    <t>1570693276371</t>
  </si>
  <si>
    <t>-LqobNE8zBFFAgOspDkV</t>
  </si>
  <si>
    <t>1570693283600</t>
  </si>
  <si>
    <t>-LqobOhytl5FX2716tAd</t>
  </si>
  <si>
    <t>1570693289788</t>
  </si>
  <si>
    <t>-LqobQH9kLS9LFlgY9rx</t>
  </si>
  <si>
    <t>1570693295968</t>
  </si>
  <si>
    <t>-LqobS-8rzrRgc19Zke2</t>
  </si>
  <si>
    <t>1570693303178</t>
  </si>
  <si>
    <t>-LqobTZ83k9DIZy5gPnz</t>
  </si>
  <si>
    <t>1570693309369</t>
  </si>
  <si>
    <t>-LqobVZvpqEcxKD873dl</t>
  </si>
  <si>
    <t>1570693317817</t>
  </si>
  <si>
    <t>-LqobXHvI_GQDTNEpajp</t>
  </si>
  <si>
    <t>1570693324814</t>
  </si>
  <si>
    <t>-LqobZ4wyz3dipubvC4o</t>
  </si>
  <si>
    <t>1570693332022</t>
  </si>
  <si>
    <t>-Lqob_nvskNB7U-qDYQj</t>
  </si>
  <si>
    <t>1570693339243</t>
  </si>
  <si>
    <t>-LqobbauGC85xbn3Iio6</t>
  </si>
  <si>
    <t>1570693346455</t>
  </si>
  <si>
    <t>-LqobdJxSof8PF8n_aPI</t>
  </si>
  <si>
    <t>1570693353681</t>
  </si>
  <si>
    <t>-Lqobf6wzgxSlGLNiVJs</t>
  </si>
  <si>
    <t>1570693360884</t>
  </si>
  <si>
    <t>-Lqobgr3WTUhWXMvqjiB</t>
  </si>
  <si>
    <t>1570693368073</t>
  </si>
  <si>
    <t>-LqobiPifbEQrS5Sto75</t>
  </si>
  <si>
    <t>1570693374273</t>
  </si>
  <si>
    <t>-Lqobk831hyAzVfiTwSn</t>
  </si>
  <si>
    <t>1570693381492</t>
  </si>
  <si>
    <t>-Lqoblv9wcM5AC50gLRQ</t>
  </si>
  <si>
    <t>1570693388705</t>
  </si>
  <si>
    <t>-Lqobne4T7FCH8zJysFi</t>
  </si>
  <si>
    <t>1570693395915</t>
  </si>
  <si>
    <t>-LqobpS2u2eTV9IGwqWv</t>
  </si>
  <si>
    <t>1570693403132</t>
  </si>
  <si>
    <t>-Lqobr94lFSi_rl5qcAF</t>
  </si>
  <si>
    <t>1570693410313</t>
  </si>
  <si>
    <t>-Lqobsi1HTysV3BcFIlt</t>
  </si>
  <si>
    <t>1570693416503</t>
  </si>
  <si>
    <t>-LqobuPsrd7VQN8vOGmE</t>
  </si>
  <si>
    <t>1570693423757</t>
  </si>
  <si>
    <t>-LqobwDvkYWXzQ0HeMo7</t>
  </si>
  <si>
    <t>1570693430954</t>
  </si>
  <si>
    <t>-LqobxwuVT_plHlYO65t</t>
  </si>
  <si>
    <t>1570693438152</t>
  </si>
  <si>
    <t>-LqobzgGnygP2mqEOTSK</t>
  </si>
  <si>
    <t>1570693444346</t>
  </si>
  <si>
    <t>-Lqoc0F2cM8BwIdxyt89</t>
  </si>
  <si>
    <t>1570693451562</t>
  </si>
  <si>
    <t>-Lqoc217klv8SoCYwMrs</t>
  </si>
  <si>
    <t>1570693458772</t>
  </si>
  <si>
    <t>-Lqoc3l3aHpmgBY6e6lM</t>
  </si>
  <si>
    <t>1570693465993</t>
  </si>
  <si>
    <t>-Lqoc5Y9BrY0Z0DMjTv_</t>
  </si>
  <si>
    <t>1570693473203</t>
  </si>
  <si>
    <t>-Lqoc7FuRLsMpnv2VzFW</t>
  </si>
  <si>
    <t>1570693480392</t>
  </si>
  <si>
    <t>-Lqoc8piJ9Gz72LZE3Xy</t>
  </si>
  <si>
    <t>1570693486583</t>
  </si>
  <si>
    <t>-LqocAZ2Ps2pNXO0vDHo</t>
  </si>
  <si>
    <t>1570693493802</t>
  </si>
  <si>
    <t>-LqocCM1__KKrdKU8gUr</t>
  </si>
  <si>
    <t>1570693501023</t>
  </si>
  <si>
    <t>-LqocE42H_ermpqe8jd-</t>
  </si>
  <si>
    <t>1570693508232</t>
  </si>
  <si>
    <t>-LqocFqw910xRSlvqtdK</t>
  </si>
  <si>
    <t>1570693515442</t>
  </si>
  <si>
    <t>-LqocHZwolCpM6DL2haP</t>
  </si>
  <si>
    <t>1570693522633</t>
  </si>
  <si>
    <t>-LqocJ92Wm-omafmY6hs</t>
  </si>
  <si>
    <t>1570693528822</t>
  </si>
  <si>
    <t>-LqocKqwWFv0STxyHc4E</t>
  </si>
  <si>
    <t>1570693536074</t>
  </si>
  <si>
    <t>-LqocMfAaiX6NbM5l95o</t>
  </si>
  <si>
    <t>1570693543272</t>
  </si>
  <si>
    <t>-LqocOfoa7Dfh89aWH1b</t>
  </si>
  <si>
    <t>1570693550474</t>
  </si>
  <si>
    <t>-LqocQQ2SmztrCmdkNIL</t>
  </si>
  <si>
    <t>1570693558722</t>
  </si>
  <si>
    <t>-LqocSBwi3kSIEieVSDY</t>
  </si>
  <si>
    <t>1570693565992</t>
  </si>
  <si>
    <t>-LqocTv1SEc66R7GcRr_</t>
  </si>
  <si>
    <t>1570693573154</t>
  </si>
  <si>
    <t>-LqocVOvj_i3BRYxYVH1</t>
  </si>
  <si>
    <t>1570693579362</t>
  </si>
  <si>
    <t>-LqocWxvpZhaif19823M</t>
  </si>
  <si>
    <t>1570693585514</t>
  </si>
  <si>
    <t>-LqocYfumS11LqSm6yXs</t>
  </si>
  <si>
    <t>1570693592714</t>
  </si>
  <si>
    <t>-Lqoc_FshClC7_FeNGhn</t>
  </si>
  <si>
    <t>1570693598912</t>
  </si>
  <si>
    <t>-Lqocaz1MEBUBScYR7Io</t>
  </si>
  <si>
    <t>1570693606122</t>
  </si>
  <si>
    <t>-LqoccknFkiwnNZ4Fr_7</t>
  </si>
  <si>
    <t>1570693613332</t>
  </si>
  <si>
    <t>-LqocemwIMcvUtl2ZlQa</t>
  </si>
  <si>
    <t>1570693621728</t>
  </si>
  <si>
    <t>-LqocgVuG3S_bfFNY9Ea</t>
  </si>
  <si>
    <t>1570693628794</t>
  </si>
  <si>
    <t>-LqociF2KEdF31PqSkfw</t>
  </si>
  <si>
    <t>1570693636003</t>
  </si>
  <si>
    <t>-Lqocjo1OOw1XrwInA-b</t>
  </si>
  <si>
    <t>1570693642182</t>
  </si>
  <si>
    <t>-LqoclW3_REiCQJK3ifd</t>
  </si>
  <si>
    <t>1570693649383</t>
  </si>
  <si>
    <t>-Lqocn3u_yTdG11zak6N</t>
  </si>
  <si>
    <t>1570693655584</t>
  </si>
  <si>
    <t>-Lqocoo2Mthh0hrv_cK1</t>
  </si>
  <si>
    <t>1570693662794</t>
  </si>
  <si>
    <t>-Lqocqb1gCLTbF1_Twrr</t>
  </si>
  <si>
    <t>1570693670003</t>
  </si>
  <si>
    <t>-LqocsIvdYqewBlrwbEy</t>
  </si>
  <si>
    <t>1570693677192</t>
  </si>
  <si>
    <t>-Lqoctt2glT60U1EBXTg</t>
  </si>
  <si>
    <t>1570693683431</t>
  </si>
  <si>
    <t>-Lqocv_yrJE0Wp9ajYjq</t>
  </si>
  <si>
    <t>1570693690613</t>
  </si>
  <si>
    <t>-Lqocx5BRu0cYhqnPnMp</t>
  </si>
  <si>
    <t>1570693696793</t>
  </si>
  <si>
    <t>-Lqocys73vhcv4jJrhYv</t>
  </si>
  <si>
    <t>1570693704016</t>
  </si>
  <si>
    <t>-Lqod-gAOmoTmXP7bPH5</t>
  </si>
  <si>
    <t>1570693711224</t>
  </si>
  <si>
    <t>-Lqod1P2P2X_9XmhbaeU</t>
  </si>
  <si>
    <t>1570693718432</t>
  </si>
  <si>
    <t>-Lqod3C1ABlQktHmzsPr</t>
  </si>
  <si>
    <t>1570693725642</t>
  </si>
  <si>
    <t>-Lqod4sf87kKBVeW5dvl</t>
  </si>
  <si>
    <t>1570693732872</t>
  </si>
  <si>
    <t>-Lqod6i9DJVoTAAnC3ws</t>
  </si>
  <si>
    <t>1570693740074</t>
  </si>
  <si>
    <t>-Lqod8duhyq-NBcdVB9T</t>
  </si>
  <si>
    <t>1570693748207</t>
  </si>
  <si>
    <t>-LqodACvWvgPuYs0jsvz</t>
  </si>
  <si>
    <t>1570693754504</t>
  </si>
  <si>
    <t>-LqodBxBgoy-JWWhjHD_</t>
  </si>
  <si>
    <t>1570693761682</t>
  </si>
  <si>
    <t>-LqodDUu8NRDqVi2G8wE</t>
  </si>
  <si>
    <t>1570693767872</t>
  </si>
  <si>
    <t>-LqodFD5z5CUE-Bg_SKJ</t>
  </si>
  <si>
    <t>1570693775114</t>
  </si>
  <si>
    <t>-LqodHGHF4MElhntArJk</t>
  </si>
  <si>
    <t>1570693782322</t>
  </si>
  <si>
    <t>-LqodJ3OdFfed_dQ_nSa</t>
  </si>
  <si>
    <t>1570693790586</t>
  </si>
  <si>
    <t>-LqodKm3zvkBFUNGLUib</t>
  </si>
  <si>
    <t>1570693797776</t>
  </si>
  <si>
    <t>-LqodM_5f-iS5L0O7ejV</t>
  </si>
  <si>
    <t>1570693804994</t>
  </si>
  <si>
    <t>-LqodOIDZPxpGEu0F1xM</t>
  </si>
  <si>
    <t>1570693812206</t>
  </si>
  <si>
    <t>-LqodQ53_R3akh7qLYIW</t>
  </si>
  <si>
    <t>1570693819386</t>
  </si>
  <si>
    <t>-LqodRo4sM3WGliZWEOH</t>
  </si>
  <si>
    <t>1570693826595</t>
  </si>
  <si>
    <t>-LqodTNgsrcYbEruB0E8</t>
  </si>
  <si>
    <t>1570693832824</t>
  </si>
  <si>
    <t>-LqodV4wofro1_OStF9k</t>
  </si>
  <si>
    <t>1570693840024</t>
  </si>
  <si>
    <t>-LqodWyCWjt_3KTvDALm</t>
  </si>
  <si>
    <t>1570693847239</t>
  </si>
  <si>
    <t>-LqodYbDa_Bhy0EHSmPG</t>
  </si>
  <si>
    <t>1570693854446</t>
  </si>
  <si>
    <t>-Lqod_P4r1EwLfFkel-U</t>
  </si>
  <si>
    <t>1570693861665</t>
  </si>
  <si>
    <t>-Lqodb6nkcc3IHavooO3</t>
  </si>
  <si>
    <t>1570693868885</t>
  </si>
  <si>
    <t>-LqodcuwY8uEN8wOJ7uZ</t>
  </si>
  <si>
    <t>1570693876103</t>
  </si>
  <si>
    <t>-Lqodebqjqi-7vfYza2s</t>
  </si>
  <si>
    <t>1570693883275</t>
  </si>
  <si>
    <t>-LqodgAixfx6-spOGN1r</t>
  </si>
  <si>
    <t>1570693889466</t>
  </si>
  <si>
    <t>-LqodhvDG02E9c9liu06</t>
  </si>
  <si>
    <t>1570693896720</t>
  </si>
  <si>
    <t>-Lqodjs5suJ697oqkppR</t>
  </si>
  <si>
    <t>1570693904486</t>
  </si>
  <si>
    <t>-LqodlRDpxBERRtcLD3t</t>
  </si>
  <si>
    <t>1570693911115</t>
  </si>
  <si>
    <t>-LqodnECBF2ywMpx4hA3</t>
  </si>
  <si>
    <t>1570693918354</t>
  </si>
  <si>
    <t>-Lqodox43ymwhFboNWbg</t>
  </si>
  <si>
    <t>1570693925524</t>
  </si>
  <si>
    <t>-LqodqR4HSd9Q9ByvcKa</t>
  </si>
  <si>
    <t>1570693931715</t>
  </si>
  <si>
    <t>-Lqods-5LlpbUXr92poK</t>
  </si>
  <si>
    <t>1570693937918</t>
  </si>
  <si>
    <t>-Lqodto1C5z00avY9xoZ</t>
  </si>
  <si>
    <t>1570693945143</t>
  </si>
  <si>
    <t>-LqodvW3W0jqe8pVs4pj</t>
  </si>
  <si>
    <t>1570693952345</t>
  </si>
  <si>
    <t>-LqodxI9wYOG82RuFzYG</t>
  </si>
  <si>
    <t>1570693959555</t>
  </si>
  <si>
    <t>-Lqodz14WSLnsQIEFnh4</t>
  </si>
  <si>
    <t>1570693966776</t>
  </si>
  <si>
    <t>-Lqoe-pC40lbHBIk1BHF</t>
  </si>
  <si>
    <t>1570693973986</t>
  </si>
  <si>
    <t>-Lqoe1XxbsoL6w3pIS92</t>
  </si>
  <si>
    <t>1570693981196</t>
  </si>
  <si>
    <t>-Lqoe3QEDriq5p0upPgW</t>
  </si>
  <si>
    <t>1570693988406</t>
  </si>
  <si>
    <t>-Lqoe53CWEvrHXlHn2_D</t>
  </si>
  <si>
    <t>1570693995596</t>
  </si>
  <si>
    <t>-Lqoe6c5s_Yi-Njmv1OC</t>
  </si>
  <si>
    <t>1570694001786</t>
  </si>
  <si>
    <t>-Lqoe8KIJVviKJbv4P0s</t>
  </si>
  <si>
    <t>1570694009121</t>
  </si>
  <si>
    <t>-LqoeA847fY02D9KEovT</t>
  </si>
  <si>
    <t>1570694016237</t>
  </si>
  <si>
    <t>-LqoeC8y9DLoCdhtUSPt</t>
  </si>
  <si>
    <t>1570694024625</t>
  </si>
  <si>
    <t>-LqoeDrdTKyqOr7TDYuX</t>
  </si>
  <si>
    <t>1570694031685</t>
  </si>
  <si>
    <t>-LqoeFgDN07UnGp1oDoX</t>
  </si>
  <si>
    <t>1570694038895</t>
  </si>
  <si>
    <t>-LqoeHPCFJCmNHCnOCA5</t>
  </si>
  <si>
    <t>1570694046115</t>
  </si>
  <si>
    <t>-LqoeJCQ7jazMontrHhM</t>
  </si>
  <si>
    <t>1570694053325</t>
  </si>
  <si>
    <t>-LqoeKv4JXa14F2biWNP</t>
  </si>
  <si>
    <t>1570694060557</t>
  </si>
  <si>
    <t>-LqoeMhH1awoF5__x9Ts</t>
  </si>
  <si>
    <t>1570694067756</t>
  </si>
  <si>
    <t>-LqoeOcqxYQvRv7jcQVa</t>
  </si>
  <si>
    <t>1570694074956</t>
  </si>
  <si>
    <t>-LqoeQE6RIbfPX_Mrt7P</t>
  </si>
  <si>
    <t>1570694082177</t>
  </si>
  <si>
    <t>-LqoeRx5pzTgx_Mu9zKP</t>
  </si>
  <si>
    <t>1570694089369</t>
  </si>
  <si>
    <t>-LqoeTVwfzEuyv8gvBE7</t>
  </si>
  <si>
    <t>1570694095547</t>
  </si>
  <si>
    <t>-LqoeVCyb9FgNIL2JTtO</t>
  </si>
  <si>
    <t>1570694102797</t>
  </si>
  <si>
    <t>-LqoeWn6Mr6H7-BS4qCa</t>
  </si>
  <si>
    <t>1570694108975</t>
  </si>
  <si>
    <t>-LqoeYW6M3IWUdNL6HQU</t>
  </si>
  <si>
    <t>1570694116186</t>
  </si>
  <si>
    <t>-Lqoe_I8xZdtKC8kR0Nr</t>
  </si>
  <si>
    <t>1570694123395</t>
  </si>
  <si>
    <t>-Lqoeb16oZOtbJXbEzoS</t>
  </si>
  <si>
    <t>1570694130607</t>
  </si>
  <si>
    <t>-Lqoecz6EF6SLS2MDhQM</t>
  </si>
  <si>
    <t>1570694138415</t>
  </si>
  <si>
    <t>-LqoeepxvZNHzJ2dcMIn</t>
  </si>
  <si>
    <t>1570694145043</t>
  </si>
  <si>
    <t>-Lqoeg_4mhCaEwRAAYdE</t>
  </si>
  <si>
    <t>1570694153285</t>
  </si>
  <si>
    <t>-LqoeiN6Ewh85lI3KvJM</t>
  </si>
  <si>
    <t>1570694160496</t>
  </si>
  <si>
    <t>-Lqoek57zkuOB--myO_f</t>
  </si>
  <si>
    <t>1570694167709</t>
  </si>
  <si>
    <t>-Lqoelry-1jlQLlgVzri</t>
  </si>
  <si>
    <t>1570694174926</t>
  </si>
  <si>
    <t>-LqoenhI5PaverVZvjLo</t>
  </si>
  <si>
    <t>1570694182136</t>
  </si>
  <si>
    <t>-LqoepP2T4XNPgzwOT8T</t>
  </si>
  <si>
    <t>1570694189358</t>
  </si>
  <si>
    <t>-Lqoer76kBDlNFTRYlhC</t>
  </si>
  <si>
    <t>1570694196557</t>
  </si>
  <si>
    <t>-Lqoesv3vmSDw-bREl6K</t>
  </si>
  <si>
    <t>1570694203776</t>
  </si>
  <si>
    <t>-Lqoeud60DoPJVjhtrAD</t>
  </si>
  <si>
    <t>1570694210958</t>
  </si>
  <si>
    <t>-LqoewCL8UqwOedZ54Q8</t>
  </si>
  <si>
    <t>1570694217146</t>
  </si>
  <si>
    <t>-LqoexvESlgOYya_qIQd</t>
  </si>
  <si>
    <t>1570694224395</t>
  </si>
  <si>
    <t>-Lqoezh-whIXkCQQQSXO</t>
  </si>
  <si>
    <t>1570694231597</t>
  </si>
  <si>
    <t>-Lqof0R3vy_AqbzySyol</t>
  </si>
  <si>
    <t>1570694238796</t>
  </si>
  <si>
    <t>-Lqof1yzMD6APaoHrSF-</t>
  </si>
  <si>
    <t>1570694244985</t>
  </si>
  <si>
    <t>-Lqof3i1e90fkh4NRF_m</t>
  </si>
  <si>
    <t>1570694252208</t>
  </si>
  <si>
    <t>-Lqof5oyUHpq5h_AqyAg</t>
  </si>
  <si>
    <t>1570694259426</t>
  </si>
  <si>
    <t>-Lqof7T55_w8auhSTWzK</t>
  </si>
  <si>
    <t>1570694267677</t>
  </si>
  <si>
    <t>-Lqof9140aIHdA0rFkIX</t>
  </si>
  <si>
    <t>1570694273848</t>
  </si>
  <si>
    <t>-LqofAlD0vEPelh35jOB</t>
  </si>
  <si>
    <t>1570694281038</t>
  </si>
  <si>
    <t>-LqofCJ6RwBnF1cTP8Qo</t>
  </si>
  <si>
    <t>1570694287238</t>
  </si>
  <si>
    <t>-LqofE1EQniqThnL7DXO</t>
  </si>
  <si>
    <t>1570694294479</t>
  </si>
  <si>
    <t>-LqofFp6xyLFmMOUkyZW</t>
  </si>
  <si>
    <t>1570694301669</t>
  </si>
  <si>
    <t>-LqofHY4c_IBC_ECGQsY</t>
  </si>
  <si>
    <t>1570694308879</t>
  </si>
  <si>
    <t>-LqofJIxKRtowsJp1S5E</t>
  </si>
  <si>
    <t>1570694316097</t>
  </si>
  <si>
    <t>-LqofL38K_-sdLJc3tnf</t>
  </si>
  <si>
    <t>1570694323290</t>
  </si>
  <si>
    <t>-LqofMcI1jCsJmBlPGpt</t>
  </si>
  <si>
    <t>1570694329480</t>
  </si>
  <si>
    <t>-LqofOL52cAZg-czEsWu</t>
  </si>
  <si>
    <t>1570694336720</t>
  </si>
  <si>
    <t>-LqofQ7DNg8WNheOKSwf</t>
  </si>
  <si>
    <t>1570694343927</t>
  </si>
  <si>
    <t>-LqofRsK0YwclFdUSei3</t>
  </si>
  <si>
    <t>1570694351120</t>
  </si>
  <si>
    <t>-LqofTQCXy4oTQywh1k0</t>
  </si>
  <si>
    <t>1570694357316</t>
  </si>
  <si>
    <t>-LqofV8GhuwS8vTkGWzl</t>
  </si>
  <si>
    <t>1570694364537</t>
  </si>
  <si>
    <t>-LqofWw8vGOH-Jz0n0Eh</t>
  </si>
  <si>
    <t>1570694371759</t>
  </si>
  <si>
    <t>-LqofYe80nbRdb3m_AnS</t>
  </si>
  <si>
    <t>1570694378958</t>
  </si>
  <si>
    <t>-Lqof_S6DubLNwvpbfy1</t>
  </si>
  <si>
    <t>1570694386180</t>
  </si>
  <si>
    <t>-LqofbA7b9tVBYcGg3ox</t>
  </si>
  <si>
    <t>1570694393367</t>
  </si>
  <si>
    <t>-Lqofcj8DBIJyV4W0qYR</t>
  </si>
  <si>
    <t>1570694399567</t>
  </si>
  <si>
    <t>-LqofeSBuHYS_8TncZWM</t>
  </si>
  <si>
    <t>1570694406801</t>
  </si>
  <si>
    <t>-LqofgF6hmBrZfaGv4Gy</t>
  </si>
  <si>
    <t>1570694413999</t>
  </si>
  <si>
    <t>-LqofhyFbNrXK7GmtS1J</t>
  </si>
  <si>
    <t>1570694421198</t>
  </si>
  <si>
    <t>-LqofjXEnEUnAX_DvXIo</t>
  </si>
  <si>
    <t>1570694427388</t>
  </si>
  <si>
    <t>-LqoflFFlkwb2MamOBZK</t>
  </si>
  <si>
    <t>1570694434609</t>
  </si>
  <si>
    <t>-Lqofn78AowK129wTdXB</t>
  </si>
  <si>
    <t>1570694441822</t>
  </si>
  <si>
    <t>-LqofomTFPjbPF2sDfKZ</t>
  </si>
  <si>
    <t>1570694449038</t>
  </si>
  <si>
    <t>-LqofqZ8L50Wb-AaRLB7</t>
  </si>
  <si>
    <t>1570694456296</t>
  </si>
  <si>
    <t>-LqofsH8ISK3L7-5Cg0n</t>
  </si>
  <si>
    <t>1570694463437</t>
  </si>
  <si>
    <t>-LqoftqFTbgwysJkiofe</t>
  </si>
  <si>
    <t>1570694469638</t>
  </si>
  <si>
    <t>-LqofvZ6e5B96LFrDJJ_</t>
  </si>
  <si>
    <t>1570694476860</t>
  </si>
  <si>
    <t>-LqofxMAhQQc2NSlicXI</t>
  </si>
  <si>
    <t>1570694484068</t>
  </si>
  <si>
    <t>-LqofzXi6yOysPkpGEqs</t>
  </si>
  <si>
    <t>1570694491812</t>
  </si>
  <si>
    <t>-Lqog02IAeGFIA6yG93i</t>
  </si>
  <si>
    <t>1570694499523</t>
  </si>
  <si>
    <t>-Lqog1ZtvD_D2oWJ_ccq</t>
  </si>
  <si>
    <t>1570694505683</t>
  </si>
  <si>
    <t>-Lqog37tgjhoJiBXWBAu</t>
  </si>
  <si>
    <t>1570694511882</t>
  </si>
  <si>
    <t>-Lqog4s0vIiBJhp3WHlI</t>
  </si>
  <si>
    <t>1570694519111</t>
  </si>
  <si>
    <t>-Lqog6duQXFOylk23h5u</t>
  </si>
  <si>
    <t>1570694526321</t>
  </si>
  <si>
    <t>-Lqog8Mxm9ncXlwZeCaQ</t>
  </si>
  <si>
    <t>1570694533511</t>
  </si>
  <si>
    <t>-Lqog9x1uyVoEApVQECq</t>
  </si>
  <si>
    <t>1570694539711</t>
  </si>
  <si>
    <t>-LqogBdt_D4hiVUu70PD</t>
  </si>
  <si>
    <t>1570694546923</t>
  </si>
  <si>
    <t>-LqogDRtCeYr-YoqxxsP</t>
  </si>
  <si>
    <t>1570694554131</t>
  </si>
  <si>
    <t>-LqogFB1uVjC47cdQIOd</t>
  </si>
  <si>
    <t>1570694561351</t>
  </si>
  <si>
    <t>-LqogGxmS34RcwLlPlrm</t>
  </si>
  <si>
    <t>1570694568559</t>
  </si>
  <si>
    <t>-LqogIh1LKxwk_4SuUvg</t>
  </si>
  <si>
    <t>1570694575751</t>
  </si>
  <si>
    <t>-LqogKG95s6dTaPypJfs</t>
  </si>
  <si>
    <t>1570694581953</t>
  </si>
  <si>
    <t>-LqogLxuJwzuk11j50El</t>
  </si>
  <si>
    <t>1570694589172</t>
  </si>
  <si>
    <t>-LqogNmHNKY3SXDqkprt</t>
  </si>
  <si>
    <t>1570694596383</t>
  </si>
  <si>
    <t>-LqogPTujI_4E5f9wsYw</t>
  </si>
  <si>
    <t>1570694603591</t>
  </si>
  <si>
    <t>-LqogRGboP_04pNJ78z4</t>
  </si>
  <si>
    <t>1570694610820</t>
  </si>
  <si>
    <t>-LqogSztKgoxllUhv45n</t>
  </si>
  <si>
    <t>1570694618001</t>
  </si>
  <si>
    <t>-LqogU_0C0OZC8oRv5qf</t>
  </si>
  <si>
    <t>1570694624182</t>
  </si>
  <si>
    <t>-LqogWGxLKsbM8HQWCGJ</t>
  </si>
  <si>
    <t>1570694631431</t>
  </si>
  <si>
    <t>-LqogY5As2yeO2_ja1_U</t>
  </si>
  <si>
    <t>1570694638645</t>
  </si>
  <si>
    <t>-LqogZlOoySIAbPC5huS</t>
  </si>
  <si>
    <t>1570694645832</t>
  </si>
  <si>
    <t>-LqogaLtdaZv4ijUtO0A</t>
  </si>
  <si>
    <t>1570694652032</t>
  </si>
  <si>
    <t>-Lqogc3uBcJB9bG4VqDc</t>
  </si>
  <si>
    <t>1570694659254</t>
  </si>
  <si>
    <t>-LqogdoHBL-Rce_-77bu</t>
  </si>
  <si>
    <t>1570694666461</t>
  </si>
  <si>
    <t>-LqogfN0XSCRxcGn-6XY</t>
  </si>
  <si>
    <t>1570694672642</t>
  </si>
  <si>
    <t>-LqoghA2FkCcaymJDSjF</t>
  </si>
  <si>
    <t>1570694679861</t>
  </si>
  <si>
    <t>-Lqogit1CxG6Cwvj08up</t>
  </si>
  <si>
    <t>1570694687073</t>
  </si>
  <si>
    <t>-LqogkexMiyXY-DESTVz</t>
  </si>
  <si>
    <t>1570694694289</t>
  </si>
  <si>
    <t>-LqogmNtMA_O98n0W-F_</t>
  </si>
  <si>
    <t>1570694701513</t>
  </si>
  <si>
    <t>-LqogoB5ian_YsV3AEJs</t>
  </si>
  <si>
    <t>1570694708713</t>
  </si>
  <si>
    <t>-Lqogq1u3siKiAiFa1D-</t>
  </si>
  <si>
    <t>1570694715913</t>
  </si>
  <si>
    <t>-LqogrguvooJRHxH-MHj</t>
  </si>
  <si>
    <t>1570694723142</t>
  </si>
  <si>
    <t>-Lqogu0PENIY3AuX04av</t>
  </si>
  <si>
    <t>1570694731547</t>
  </si>
  <si>
    <t>-Lqogvh5hDtH1qOYj_XK</t>
  </si>
  <si>
    <t>1570694739607</t>
  </si>
  <si>
    <t>-LqogxEY4qfZcwgSTn5n</t>
  </si>
  <si>
    <t>1570694745788</t>
  </si>
  <si>
    <t>-Lqogyz4ABCq7brY0n_f</t>
  </si>
  <si>
    <t>1570694753046</t>
  </si>
  <si>
    <t>-Lqoh-lHHbIJbeVgysjC</t>
  </si>
  <si>
    <t>1570694760237</t>
  </si>
  <si>
    <t>-Lqoh1V7-JBIW4j99wPR</t>
  </si>
  <si>
    <t>1570694767448</t>
  </si>
  <si>
    <t>-Lqoh3NELF-nnz9kbC44</t>
  </si>
  <si>
    <t>1570694773626</t>
  </si>
  <si>
    <t>-Lqoh50DRW0_TtgCRiRp</t>
  </si>
  <si>
    <t>1570694781857</t>
  </si>
  <si>
    <t>-Lqoh6_EdH6IX2RZRq3F</t>
  </si>
  <si>
    <t>1570694788037</t>
  </si>
  <si>
    <t>-Lqoh8I6NJK3LgkPfvvy</t>
  </si>
  <si>
    <t>1570694795277</t>
  </si>
  <si>
    <t>-LqohA58iG2RbUP2ocXs</t>
  </si>
  <si>
    <t>1570694802491</t>
  </si>
  <si>
    <t>-LqohBo9nS03syiWu6kN</t>
  </si>
  <si>
    <t>1570694809679</t>
  </si>
  <si>
    <t>-LqohDbGC-UK33qrNLrj</t>
  </si>
  <si>
    <t>1570694816918</t>
  </si>
  <si>
    <t>-LqohFKH6VZ8rtFUdxcr</t>
  </si>
  <si>
    <t>1570694824099</t>
  </si>
  <si>
    <t>-LqohGt9ggYhcF9UO1d6</t>
  </si>
  <si>
    <t>1570694830310</t>
  </si>
  <si>
    <t>-LqohIg9jPmxj5OUMC2r</t>
  </si>
  <si>
    <t>1570694837878</t>
  </si>
  <si>
    <t>-LqohKPHiUlp6qFcJvG0</t>
  </si>
  <si>
    <t>1570694844720</t>
  </si>
  <si>
    <t>-LqohM7GWzSZKj_OH4ux</t>
  </si>
  <si>
    <t>1570694851919</t>
  </si>
  <si>
    <t>-LqohNg8DwlJ2C-bCs-m</t>
  </si>
  <si>
    <t>1570694858120</t>
  </si>
  <si>
    <t>-LqohPPEyiGNoSraZ-eM</t>
  </si>
  <si>
    <t>1570694865359</t>
  </si>
  <si>
    <t>-LqohRC83zv4vNoQcFu9</t>
  </si>
  <si>
    <t>1570694872560</t>
  </si>
  <si>
    <t>-LqohSv70FLommKNfCpf</t>
  </si>
  <si>
    <t>1570694879768</t>
  </si>
  <si>
    <t>-LqohUTyOcZwoLzEzHB4</t>
  </si>
  <si>
    <t>1570694885959</t>
  </si>
  <si>
    <t>-LqohWH63Xmyzewef4WN</t>
  </si>
  <si>
    <t>1570694893178</t>
  </si>
  <si>
    <t>-LqohYEEtxbvfgwLmnH1</t>
  </si>
  <si>
    <t>1570694900378</t>
  </si>
  <si>
    <t>-LqohZx8ld_JW3H8DSpv</t>
  </si>
  <si>
    <t>1570694908619</t>
  </si>
  <si>
    <t>-LqohaWFfV7zfrrWeOO1</t>
  </si>
  <si>
    <t>1570694914809</t>
  </si>
  <si>
    <t>-LqohcEIhnxtUojPyW16</t>
  </si>
  <si>
    <t>1570694921999</t>
  </si>
  <si>
    <t>-LqohdnDMxkoKn7ehbYq</t>
  </si>
  <si>
    <t>1570694928199</t>
  </si>
  <si>
    <t>-LqohfW7yLsuTPL2x2Y7</t>
  </si>
  <si>
    <t>1570694935435</t>
  </si>
  <si>
    <t>-LqohhO9tQVvDcWw0p3N</t>
  </si>
  <si>
    <t>1570694942638</t>
  </si>
  <si>
    <t>-Lqohj17ax4uYu-2hnxr</t>
  </si>
  <si>
    <t>1570694949839</t>
  </si>
  <si>
    <t>-Lqohkp6XwlI7xwrJyEN</t>
  </si>
  <si>
    <t>1570694957080</t>
  </si>
  <si>
    <t>-Lqohn1S1tx_D6SNSCuk</t>
  </si>
  <si>
    <t>1570694964249</t>
  </si>
  <si>
    <t>-Lqoho_EvDmAINZtome5</t>
  </si>
  <si>
    <t>1570694972514</t>
  </si>
  <si>
    <t>-LqohqOHXyULzy80ZHrf</t>
  </si>
  <si>
    <t>1570694979722</t>
  </si>
  <si>
    <t>-Lqohs55FyT_Iex03um7</t>
  </si>
  <si>
    <t>1570694986954</t>
  </si>
  <si>
    <t>-Lqohtt1_0TIP60DyckN</t>
  </si>
  <si>
    <t>1570694994153</t>
  </si>
  <si>
    <t>-Lqohvg8nAKIzQSWpDfN</t>
  </si>
  <si>
    <t>1570695001355</t>
  </si>
  <si>
    <t>-LqohxNwE4e34EFRkgdN</t>
  </si>
  <si>
    <t>1570695008575</t>
  </si>
  <si>
    <t>-Lqohz7E6OJ_pP7J7GDX</t>
  </si>
  <si>
    <t>1570695015774</t>
  </si>
  <si>
    <t>-Lqoi-ewW3uLJrP2h4l7</t>
  </si>
  <si>
    <t>1570695021954</t>
  </si>
  <si>
    <t>-Lqoi1P13xuv8fk9KwRD</t>
  </si>
  <si>
    <t>1570695029193</t>
  </si>
  <si>
    <t>-Lqoi2y0yOfIEU1BOYIr</t>
  </si>
  <si>
    <t>1570695035374</t>
  </si>
  <si>
    <t>-Lqoi4g0nNwcUTBLQPD8</t>
  </si>
  <si>
    <t>1570695042587</t>
  </si>
  <si>
    <t>-Lqoi6U0MZqbgtvsfS33</t>
  </si>
  <si>
    <t>1570695049793</t>
  </si>
  <si>
    <t>-Lqoi8C1KXtZINbZaYcM</t>
  </si>
  <si>
    <t>1570695057022</t>
  </si>
  <si>
    <t>-LqoiA-KS8i9qP4WL7dm</t>
  </si>
  <si>
    <t>1570695064224</t>
  </si>
  <si>
    <t>-LqoiBx2a_uQoNFQ1-x-</t>
  </si>
  <si>
    <t>1570695072485</t>
  </si>
  <si>
    <t>-LqoiDWCIyQh-804h0Q5</t>
  </si>
  <si>
    <t>1570695078645</t>
  </si>
  <si>
    <t>-LqoiFE6n8WB9uYJWyPM</t>
  </si>
  <si>
    <t>1570695085839</t>
  </si>
  <si>
    <t>-LqoiGoNWyy_W7FAZHFr</t>
  </si>
  <si>
    <t>1570695092039</t>
  </si>
  <si>
    <t>-LqoiIVyb4KtNpcTDAP0</t>
  </si>
  <si>
    <t>1570695099280</t>
  </si>
  <si>
    <t>-LqoiKYHed9Iti6BAaAv</t>
  </si>
  <si>
    <t>1570695107566</t>
  </si>
  <si>
    <t>-LqoiMG5SK-W7hM5gk3J</t>
  </si>
  <si>
    <t>1570695114718</t>
  </si>
  <si>
    <t>-LqoiNp7OSy7qt5oPF6y</t>
  </si>
  <si>
    <t>1570695120900</t>
  </si>
  <si>
    <t>-LqoiPY6yAoLJ0gvWrrF</t>
  </si>
  <si>
    <t>1570695128088</t>
  </si>
  <si>
    <t>-LqoiR6Fti57aiV9yWkT</t>
  </si>
  <si>
    <t>1570695134311</t>
  </si>
  <si>
    <t>-LqoiSpBwTGW19R-Q30q</t>
  </si>
  <si>
    <t>1570695141520</t>
  </si>
  <si>
    <t>-LqoiUc7jl3eSUQn9JQ-</t>
  </si>
  <si>
    <t>1570695148719</t>
  </si>
  <si>
    <t>-LqoiWeIk54QOu7IACGs</t>
  </si>
  <si>
    <t>1570695155919</t>
  </si>
  <si>
    <t>-LqoiYN5l2FTOZerAOil</t>
  </si>
  <si>
    <t>1570695164180</t>
  </si>
  <si>
    <t>-Lqoi_Q6luqbjodPxh8A</t>
  </si>
  <si>
    <t>1570695171390</t>
  </si>
  <si>
    <t>-Lqoib77_UKZS1BLpG1o</t>
  </si>
  <si>
    <t>1570695179609</t>
  </si>
  <si>
    <t>-LqoicvHIaoGqdoF8RIv</t>
  </si>
  <si>
    <t>1570695186818</t>
  </si>
  <si>
    <t>-Lqoiei70dacsZ0E8RzS</t>
  </si>
  <si>
    <t>1570695194087</t>
  </si>
  <si>
    <t>-Lqoigjkq6KFBBT6iJUL</t>
  </si>
  <si>
    <t>1570695201287</t>
  </si>
  <si>
    <t>-LqoiiT3p-MJ7MEv9LeA</t>
  </si>
  <si>
    <t>1570695209515</t>
  </si>
  <si>
    <t>-LqoikB2p8F4FEQAn0m5</t>
  </si>
  <si>
    <t>1570695216716</t>
  </si>
  <si>
    <t>-Lqoilxy7idcmXjXzyW7</t>
  </si>
  <si>
    <t>1570695223946</t>
  </si>
  <si>
    <t>-Lqoinh3krxAnkTVSKMJ</t>
  </si>
  <si>
    <t>1570695231124</t>
  </si>
  <si>
    <t>-LqoipGAvXTivATOlEmJ</t>
  </si>
  <si>
    <t>1570695237306</t>
  </si>
  <si>
    <t>-Lqoiqz3LDEolNKCfzUd</t>
  </si>
  <si>
    <t>1570695244556</t>
  </si>
  <si>
    <t>-LqoiskzFIiIrnCVbq3x</t>
  </si>
  <si>
    <t>1570695251775</t>
  </si>
  <si>
    <t>-Lqoiup4Pj5DjW8VNl-l</t>
  </si>
  <si>
    <t>1570695258956</t>
  </si>
  <si>
    <t>-LqoiwVzCtAzDi8BJap-</t>
  </si>
  <si>
    <t>1570695267196</t>
  </si>
  <si>
    <t>-LqoiyUFy0kcgJNk79hD</t>
  </si>
  <si>
    <t>1570695275361</t>
  </si>
  <si>
    <t>-Lqoj-23rwjg1BQKVKvi</t>
  </si>
  <si>
    <t>1570695281645</t>
  </si>
  <si>
    <t>-Lqoj0q1cHPSzkbJojqZ</t>
  </si>
  <si>
    <t>1570695288856</t>
  </si>
  <si>
    <t>-Lqoj2Z2ZUjlFfBQu6eN</t>
  </si>
  <si>
    <t>1570695296076</t>
  </si>
  <si>
    <t>-Lqoj4MNVm729jrhfC_R</t>
  </si>
  <si>
    <t>1570695303294</t>
  </si>
  <si>
    <t>-Lqoj6420ypIjx_IwVPs</t>
  </si>
  <si>
    <t>1570695310475</t>
  </si>
  <si>
    <t>-Lqoj7d3tNki87K0RxKA</t>
  </si>
  <si>
    <t>1570695316675</t>
  </si>
  <si>
    <t>-Lqoj9KzUaYHnecAWVi2</t>
  </si>
  <si>
    <t>1570695323916</t>
  </si>
  <si>
    <t>-LqojB93dF3ZEcVk36kX</t>
  </si>
  <si>
    <t>1570695331116</t>
  </si>
  <si>
    <t>-LqojCs3Njn0e-IC1K9O</t>
  </si>
  <si>
    <t>1570695338316</t>
  </si>
  <si>
    <t>-LqojEf4jb_DvtsLyxtd</t>
  </si>
  <si>
    <t>1570695345536</t>
  </si>
  <si>
    <t>-LqojGO3bv8R6tH1PdTl</t>
  </si>
  <si>
    <t>1570695352726</t>
  </si>
  <si>
    <t>-LqojHx1xuv5L_RtOTnI</t>
  </si>
  <si>
    <t>1570695358905</t>
  </si>
  <si>
    <t>-LqojJf9M6pd2SlvGlP1</t>
  </si>
  <si>
    <t>1570695366155</t>
  </si>
  <si>
    <t>-LqojLUJMvYjxsVk5Dra</t>
  </si>
  <si>
    <t>1570695373365</t>
  </si>
  <si>
    <t>-LqojNA9mECcdo4v0FiF</t>
  </si>
  <si>
    <t>1570695380557</t>
  </si>
  <si>
    <t>-LqojOkENB5MAEwI0jCX</t>
  </si>
  <si>
    <t>1570695386746</t>
  </si>
  <si>
    <t>-LqojQRzJ8k_wHp-DXYl</t>
  </si>
  <si>
    <t>1570695393965</t>
  </si>
  <si>
    <t>-LqojSEy9pLMLYkFkirP</t>
  </si>
  <si>
    <t>1570695401186</t>
  </si>
  <si>
    <t>-LqojTxzlNv1flqxFhHR</t>
  </si>
  <si>
    <t>1570695408397</t>
  </si>
  <si>
    <t>-LqojVlw4ofh83TDUvjn</t>
  </si>
  <si>
    <t>1570695415623</t>
  </si>
  <si>
    <t>-LqojXSlri-GvVvgsBhX</t>
  </si>
  <si>
    <t>1570695422796</t>
  </si>
  <si>
    <t>-LqojZ1fT_wUDYGdpVEj</t>
  </si>
  <si>
    <t>1570695428996</t>
  </si>
  <si>
    <t>-Lqoj_kyjmSQ9u8nwBXc</t>
  </si>
  <si>
    <t>1570695436237</t>
  </si>
  <si>
    <t>-LqojbmwcexDgYswpSzn</t>
  </si>
  <si>
    <t>1570695444471</t>
  </si>
  <si>
    <t>-LqojdX-KsOxirgjfoMt</t>
  </si>
  <si>
    <t>1570695451672</t>
  </si>
  <si>
    <t>-LqojfJzI-A3x09usziS</t>
  </si>
  <si>
    <t>1570695458892</t>
  </si>
  <si>
    <t>-Lqojh7-8hFAWBv746-i</t>
  </si>
  <si>
    <t>1570695466102</t>
  </si>
  <si>
    <t>-LqojipziMFhrynd0kLq</t>
  </si>
  <si>
    <t>1570695473312</t>
  </si>
  <si>
    <t>-LqojkcsC7c66qHiedCP</t>
  </si>
  <si>
    <t>1570695480530</t>
  </si>
  <si>
    <t>-LqojmKv4BTUafCkN4Hy</t>
  </si>
  <si>
    <t>1570695487753</t>
  </si>
  <si>
    <t>-Lqojo80hNkNvgUyS77J</t>
  </si>
  <si>
    <t>1570695494952</t>
  </si>
  <si>
    <t>-LqojpyHx3eYdtSQZOP9</t>
  </si>
  <si>
    <t>1570695502152</t>
  </si>
  <si>
    <t>-Lqojre39XleKTdmeAeR</t>
  </si>
  <si>
    <t>1570695509392</t>
  </si>
  <si>
    <t>-LqojtO-X8zlGwZ7hAhN</t>
  </si>
  <si>
    <t>1570695516562</t>
  </si>
  <si>
    <t>-Lqojux-e_WOHOfLaZtj</t>
  </si>
  <si>
    <t>1570695522782</t>
  </si>
  <si>
    <t>-LqojwdwghpxAn5aM8Ff</t>
  </si>
  <si>
    <t>1570695529991</t>
  </si>
  <si>
    <t>-LqojyT3RwSn4s-sdk4C</t>
  </si>
  <si>
    <t>1570695537203</t>
  </si>
  <si>
    <t>-Lqok-A2TirH61jtbyvk</t>
  </si>
  <si>
    <t>1570695544392</t>
  </si>
  <si>
    <t>-Lqok0jzlojROzMtzxAz</t>
  </si>
  <si>
    <t>1570695550592</t>
  </si>
  <si>
    <t>-Lqok2RbMiqFrSbGU4Yf</t>
  </si>
  <si>
    <t>1570695557813</t>
  </si>
  <si>
    <t>-Lqok4F4WNTAg2LWeJPr</t>
  </si>
  <si>
    <t>1570695565033</t>
  </si>
  <si>
    <t>-Lqok6BqrPWP9ln8cBkc</t>
  </si>
  <si>
    <t>1570695573282</t>
  </si>
  <si>
    <t>-Lqok7kvjmxwRn8OPEfG</t>
  </si>
  <si>
    <t>1570695579452</t>
  </si>
  <si>
    <t>-Lqok9V7yYyAmQxgtzKT</t>
  </si>
  <si>
    <t>1570695586641</t>
  </si>
  <si>
    <t>-LqokB1vZ_4RKpnNYH5X</t>
  </si>
  <si>
    <t>1570695592832</t>
  </si>
  <si>
    <t>-LqokCmKHZ2cr0O8XCn2</t>
  </si>
  <si>
    <t>1570695600073</t>
  </si>
  <si>
    <t>-LqokEZz7mcZe_RORq4G</t>
  </si>
  <si>
    <t>1570695607271</t>
  </si>
  <si>
    <t>-LqokGIIVCYkdgLlHrD0</t>
  </si>
  <si>
    <t>1570695614471</t>
  </si>
  <si>
    <t>-LqokHqzmy2QP3EQm5px</t>
  </si>
  <si>
    <t>1570695620671</t>
  </si>
  <si>
    <t>-LqokJZr-js28j_aELtQ</t>
  </si>
  <si>
    <t>1570695627891</t>
  </si>
  <si>
    <t>-LqokLMzLxzDv5xRs1Us</t>
  </si>
  <si>
    <t>1570695635102</t>
  </si>
  <si>
    <t>-LqokN4zKJikN8evfe2v</t>
  </si>
  <si>
    <t>1570695642311</t>
  </si>
  <si>
    <t>-LqokOszM4nHJNKxuGJd</t>
  </si>
  <si>
    <t>1570695649532</t>
  </si>
  <si>
    <t>-LqokQ_x5jnPRSjNLfpB</t>
  </si>
  <si>
    <t>1570695656712</t>
  </si>
  <si>
    <t>-LqokS9zWActx_3I_bRR</t>
  </si>
  <si>
    <t>1570695662901</t>
  </si>
  <si>
    <t>-LqokTs3QZaF5EeFRqMV</t>
  </si>
  <si>
    <t>1570695670152</t>
  </si>
  <si>
    <t>-LqokVgEv_PShtd7j2cn</t>
  </si>
  <si>
    <t>1570695676322</t>
  </si>
  <si>
    <t>-LqokXPBFWviZOP1G08f</t>
  </si>
  <si>
    <t>1570695684555</t>
  </si>
  <si>
    <t>-LqokYt1_TiSedl0VSbu</t>
  </si>
  <si>
    <t>1570695690744</t>
  </si>
  <si>
    <t>-Lqok_OA5RoCKkj7K3e0</t>
  </si>
  <si>
    <t>1570695696944</t>
  </si>
  <si>
    <t>-LqokauyVE0YPv972GfH</t>
  </si>
  <si>
    <t>1570695703114</t>
  </si>
  <si>
    <t>-LqokchxPohJ7QJfojAQ</t>
  </si>
  <si>
    <t>1570695710335</t>
  </si>
  <si>
    <t>-LqokeRJxZlzJIZ3ATv6</t>
  </si>
  <si>
    <t>1570695717515</t>
  </si>
  <si>
    <t>-LqokfvvfdJI0ww0A6IM</t>
  </si>
  <si>
    <t>1570695723714</t>
  </si>
  <si>
    <t>-LqokhoEVX7GrABm5m2K</t>
  </si>
  <si>
    <t>1570695729924</t>
  </si>
  <si>
    <t>-LqokjSFAjWlRZDVtaHq</t>
  </si>
  <si>
    <t>1570695738160</t>
  </si>
  <si>
    <t>-Lqokl0AIEedEA7q-nfp</t>
  </si>
  <si>
    <t>1570695744334</t>
  </si>
  <si>
    <t>-LqokmnuQENECBenI_wu</t>
  </si>
  <si>
    <t>1570695751555</t>
  </si>
  <si>
    <t>-LqokoVxa90v1HMbmp7X</t>
  </si>
  <si>
    <t>1570695758765</t>
  </si>
  <si>
    <t>-Lqokq0Cu1KABa-MrYN8</t>
  </si>
  <si>
    <t>1570695764943</t>
  </si>
  <si>
    <t>-Lqokr_230aI4I49ggVl</t>
  </si>
  <si>
    <t>1570695771134</t>
  </si>
  <si>
    <t>-LqoktH0EZWDX2pZeSrM</t>
  </si>
  <si>
    <t>1570695778312</t>
  </si>
  <si>
    <t>-Lqokur3XEZGFJiNZTB_</t>
  </si>
  <si>
    <t>1570695784514</t>
  </si>
  <si>
    <t>-Lqokw_8a-SGVL_PRRWW</t>
  </si>
  <si>
    <t>1570695791755</t>
  </si>
  <si>
    <t>-LqokyIFbTxDA6xjSu-_</t>
  </si>
  <si>
    <t>1570695798955</t>
  </si>
  <si>
    <t>-LqokzqCJJUEQzB8bioU</t>
  </si>
  <si>
    <t>1570695805144</t>
  </si>
  <si>
    <t>-Lqol0eB3slQyur2ifKU</t>
  </si>
  <si>
    <t>1570695812364</t>
  </si>
  <si>
    <t>-Lqol2N29LwZ2QWg8iEr</t>
  </si>
  <si>
    <t>1570695819575</t>
  </si>
  <si>
    <t>-Lqol4A2AtHM8eh_wDLu</t>
  </si>
  <si>
    <t>1570695826784</t>
  </si>
  <si>
    <t>-Lqol5t2MnpQZBsVOWg4</t>
  </si>
  <si>
    <t>1570695833995</t>
  </si>
  <si>
    <t>-Lqol7ezKepbdELsrWx1</t>
  </si>
  <si>
    <t>1570695841215</t>
  </si>
  <si>
    <t>-Lqol9P1kd2rpWECFjeh</t>
  </si>
  <si>
    <t>1570695848395</t>
  </si>
  <si>
    <t>-LqolAwydkMT0TKMPzzS</t>
  </si>
  <si>
    <t>1570695854594</t>
  </si>
  <si>
    <t>-LqolCg2hgcaPjNnzIxc</t>
  </si>
  <si>
    <t>1570695861835</t>
  </si>
  <si>
    <t>-LqolET01H3DOgoLAinY</t>
  </si>
  <si>
    <t>1570695869036</t>
  </si>
  <si>
    <t>-LqolGAxc29q4LaN7fJF</t>
  </si>
  <si>
    <t>1570695876244</t>
  </si>
  <si>
    <t>-LqolI-1mDuRyWlomxeq</t>
  </si>
  <si>
    <t>1570695883467</t>
  </si>
  <si>
    <t>-LqolJi6bNKgpXx0ydbl</t>
  </si>
  <si>
    <t>1570695890645</t>
  </si>
  <si>
    <t>-LqolLGvhItOjhcKl-Bq</t>
  </si>
  <si>
    <t>1570695896865</t>
  </si>
  <si>
    <t>-LqolNKdWcOGQfvvkP5O</t>
  </si>
  <si>
    <t>1570695904075</t>
  </si>
  <si>
    <t>-LqolP1EG-J2McROl_ix</t>
  </si>
  <si>
    <t>1570695912317</t>
  </si>
  <si>
    <t>-LqolQo6TMyoIL1p5H4J</t>
  </si>
  <si>
    <t>1570695919537</t>
  </si>
  <si>
    <t>-LqolSYBlp56Bkx3gvmH</t>
  </si>
  <si>
    <t>1570695926747</t>
  </si>
  <si>
    <t>-LqolULBmXf8y9XxRyz9</t>
  </si>
  <si>
    <t>1570695933936</t>
  </si>
  <si>
    <t>-LqolW34Zp7glEf8Zgh9</t>
  </si>
  <si>
    <t>1570695941176</t>
  </si>
  <si>
    <t>-LqolXr4AR7n2USh1ltY</t>
  </si>
  <si>
    <t>1570695948397</t>
  </si>
  <si>
    <t>-LqolZj7SJHYMBXxP9jb</t>
  </si>
  <si>
    <t>1570695956223</t>
  </si>
  <si>
    <t>-LqolaN70EXX19RkLyQl</t>
  </si>
  <si>
    <t>1570695962817</t>
  </si>
  <si>
    <t>-Lqolc55WhTbJHZg3LGK</t>
  </si>
  <si>
    <t>1570695970007</t>
  </si>
  <si>
    <t>-Lqolde2WaDHm3sHERyv</t>
  </si>
  <si>
    <t>1570695976187</t>
  </si>
  <si>
    <t>-LqolfN4x4fUUhDrx3SV</t>
  </si>
  <si>
    <t>1570695983436</t>
  </si>
  <si>
    <t>-LqolhBK-vnh1Rq_bhvU</t>
  </si>
  <si>
    <t>1570695990637</t>
  </si>
  <si>
    <t>-Lqolit3E8YvZc41xu1H</t>
  </si>
  <si>
    <t>1570695997837</t>
  </si>
  <si>
    <t>-LqolkX5j-zVpxAhoJAx</t>
  </si>
  <si>
    <t>1570696004486</t>
  </si>
  <si>
    <t>-LqolmA5hePSROLnPKC7</t>
  </si>
  <si>
    <t>1570696011247</t>
  </si>
  <si>
    <t>-Lqolnx6chtMJ4vhExw4</t>
  </si>
  <si>
    <t>1570696018456</t>
  </si>
  <si>
    <t>-Lqolpg4IaiNaT8uyWD6</t>
  </si>
  <si>
    <t>1570696025677</t>
  </si>
  <si>
    <t>-LqolrU7iVHKqJrAQrY6</t>
  </si>
  <si>
    <t>1570696032888</t>
  </si>
  <si>
    <t>-LqoltCGwLp75j7WPEYL</t>
  </si>
  <si>
    <t>1570696040146</t>
  </si>
  <si>
    <t>-LqoluntieGJhHV6HAYC</t>
  </si>
  <si>
    <t>1570696046275</t>
  </si>
  <si>
    <t>-LqolwU2vMkJgfm1gLhk</t>
  </si>
  <si>
    <t>1570696053495</t>
  </si>
  <si>
    <t>-LqolyH3zAEvfWe0iCLh</t>
  </si>
  <si>
    <t>1570696060706</t>
  </si>
  <si>
    <t>-Lqom--22vsoyyEY5gFu</t>
  </si>
  <si>
    <t>1570696067917</t>
  </si>
  <si>
    <t>-Lqom0n4VsAzjg4kB_Yz</t>
  </si>
  <si>
    <t>1570696075137</t>
  </si>
  <si>
    <t>-Lqom2WESzUHRUv6xikx</t>
  </si>
  <si>
    <t>1570696082327</t>
  </si>
  <si>
    <t>-Lqom4Ix6ra9ryxaTJ8Q</t>
  </si>
  <si>
    <t>1570696089544</t>
  </si>
  <si>
    <t>-Lqom61C9cl-2k626DpD</t>
  </si>
  <si>
    <t>1570696096796</t>
  </si>
  <si>
    <t>-Lqom7a473fXvV5A_UNE</t>
  </si>
  <si>
    <t>1570696102957</t>
  </si>
  <si>
    <t>-Lqom9J5jWiLyIJbJSoY</t>
  </si>
  <si>
    <t>1570696110155</t>
  </si>
  <si>
    <t>-LqomAsFLB3bG7_J2DzU</t>
  </si>
  <si>
    <t>1570696116348</t>
  </si>
  <si>
    <t>-LqomC_7DSrVfoVsixgZ</t>
  </si>
  <si>
    <t>1570696123576</t>
  </si>
  <si>
    <t>-LqomE4VD58lEhynp8wf</t>
  </si>
  <si>
    <t>1570696129757</t>
  </si>
  <si>
    <t>-LqomFd3FhooC2oIJfDp</t>
  </si>
  <si>
    <t>1570696135937</t>
  </si>
  <si>
    <t>-LqomHdyEB8fuso8wMPA</t>
  </si>
  <si>
    <t>1570696144353</t>
  </si>
  <si>
    <t>-LqomJMw8R1pi8duSO2o</t>
  </si>
  <si>
    <t>1570696151392</t>
  </si>
  <si>
    <t>-LqomLA1UL_AWt8EPMDA</t>
  </si>
  <si>
    <t>1570696158612</t>
  </si>
  <si>
    <t>-LqomMsxYKDQVw8GYa-d</t>
  </si>
  <si>
    <t>1570696165834</t>
  </si>
  <si>
    <t>-LqomOfwv3AiN9uij2Dj</t>
  </si>
  <si>
    <t>1570696173033</t>
  </si>
  <si>
    <t>-LqomQOxmbuChoXH_b96</t>
  </si>
  <si>
    <t>1570696180232</t>
  </si>
  <si>
    <t>-LqomRz1z6wyJftWGfcI</t>
  </si>
  <si>
    <t>1570696186434</t>
  </si>
  <si>
    <t>-LqomTh0vVwACYpjEDBk</t>
  </si>
  <si>
    <t>1570696193652</t>
  </si>
  <si>
    <t>-LqomVTwLSHqHmsjox1o</t>
  </si>
  <si>
    <t>1570696200864</t>
  </si>
  <si>
    <t>-LqomXBwrglreEGECW_C</t>
  </si>
  <si>
    <t>1570696208073</t>
  </si>
  <si>
    <t>-LqomYzwgX7Y-jdfyrnR</t>
  </si>
  <si>
    <t>1570696215292</t>
  </si>
  <si>
    <t>-Lqom_hmUc45dsBKEAK-</t>
  </si>
  <si>
    <t>1570696222471</t>
  </si>
  <si>
    <t>-LqombGb-mrCcT9TH3vG</t>
  </si>
  <si>
    <t>1570696228673</t>
  </si>
  <si>
    <t>-Lqomd-4koi9PG99Aw2H</t>
  </si>
  <si>
    <t>1570696235913</t>
  </si>
  <si>
    <t>-LqomemxYl3Ecykda5JZ</t>
  </si>
  <si>
    <t>1570696243112</t>
  </si>
  <si>
    <t>-LqomgVwGf2Yf0PH88Lz</t>
  </si>
  <si>
    <t>1570696250311</t>
  </si>
  <si>
    <t>-LqomhzmMb7xHYDFjRSA</t>
  </si>
  <si>
    <t>1570696256481</t>
  </si>
  <si>
    <t>-LqomjYcWnKGDMGdcL5R</t>
  </si>
  <si>
    <t>1570696262693</t>
  </si>
  <si>
    <t>-LqomlI0iJm-UTbgoHR2</t>
  </si>
  <si>
    <t>1570696269913</t>
  </si>
  <si>
    <t>-LqommpxTaSd1ODJngwr</t>
  </si>
  <si>
    <t>1570696276091</t>
  </si>
  <si>
    <t>-Lqomo_0dpPCe3CVte-k</t>
  </si>
  <si>
    <t>1570696283272</t>
  </si>
  <si>
    <t>-Lqomq7G7EWCZGApgk0A</t>
  </si>
  <si>
    <t>1570696289485</t>
  </si>
  <si>
    <t>-LqomrqCf39O6Vpk3Gh-</t>
  </si>
  <si>
    <t>1570696296713</t>
  </si>
  <si>
    <t>-Lqomu-93IrH40Q3X-AW</t>
  </si>
  <si>
    <t>1570696303914</t>
  </si>
  <si>
    <t>-LqomvavV00KQgOq7dB9</t>
  </si>
  <si>
    <t>1570696312168</t>
  </si>
  <si>
    <t>-LqomxA2G2TnA_VBfUBG</t>
  </si>
  <si>
    <t>1570696318346</t>
  </si>
  <si>
    <t>-LqomytFyULERQg8CO5b</t>
  </si>
  <si>
    <t>1570696325526</t>
  </si>
  <si>
    <t>-Lqon-S2bQXgpVl5soRA</t>
  </si>
  <si>
    <t>1570696331735</t>
  </si>
  <si>
    <t>-Lqon1ARk7fuuiPCgvy7</t>
  </si>
  <si>
    <t>1570696338955</t>
  </si>
  <si>
    <t>-Lqon2y2mZk1bzDzh14u</t>
  </si>
  <si>
    <t>1570696346174</t>
  </si>
  <si>
    <t>-Lqon4g30QxA93hZLWfk</t>
  </si>
  <si>
    <t>1570696353355</t>
  </si>
  <si>
    <t>-Lqon6U381Rfj8xgVfWF</t>
  </si>
  <si>
    <t>1570696360595</t>
  </si>
  <si>
    <t>-Lqon8C3wdYT6zIhBSbB</t>
  </si>
  <si>
    <t>1570696367836</t>
  </si>
  <si>
    <t>-LqonA3u2zzxadPZ8WiX</t>
  </si>
  <si>
    <t>1570696373995</t>
  </si>
  <si>
    <t>-LqonBiE1xaUUOdp2LyJ</t>
  </si>
  <si>
    <t>1570696382235</t>
  </si>
  <si>
    <t>-LqonDH38RdPkOi-8MHD</t>
  </si>
  <si>
    <t>1570696388395</t>
  </si>
  <si>
    <t>-LqonF-45aD5iAIDry7x</t>
  </si>
  <si>
    <t>1570696395605</t>
  </si>
  <si>
    <t>-LqonGiFhWW08iV1rBSI</t>
  </si>
  <si>
    <t>1570696402425</t>
  </si>
  <si>
    <t>-LqonIH2SZ_SUvfQfjLd</t>
  </si>
  <si>
    <t>1570696409036</t>
  </si>
  <si>
    <t>-LqonK2gqLAQdn07LXXs</t>
  </si>
  <si>
    <t>1570696416246</t>
  </si>
  <si>
    <t>-LqonLnEpExXAI0cpYjq</t>
  </si>
  <si>
    <t>1570696423435</t>
  </si>
  <si>
    <t>-LqonNHE7-q8ifAcvX7B</t>
  </si>
  <si>
    <t>1570696429606</t>
  </si>
  <si>
    <t>-LqonP93qqg2K356ZBcl</t>
  </si>
  <si>
    <t>1570696437010</t>
  </si>
  <si>
    <t>-LqonQrw0g4u4o8W1cwG</t>
  </si>
  <si>
    <t>1570696444084</t>
  </si>
  <si>
    <t>-LqonSaLKZ5m8XWbiaqc</t>
  </si>
  <si>
    <t>1570696451276</t>
  </si>
  <si>
    <t>-LqonUO1JLB2hp2y2Hjg</t>
  </si>
  <si>
    <t>1570696458495</t>
  </si>
  <si>
    <t>-LqonWD-9weB_eDtSHoA</t>
  </si>
  <si>
    <t>1570696465696</t>
  </si>
  <si>
    <t>-LqonXuB7bmrSC78LbQ5</t>
  </si>
  <si>
    <t>1570696472924</t>
  </si>
  <si>
    <t>-LqonZO1FwZahmC4vhMP</t>
  </si>
  <si>
    <t>1570696479095</t>
  </si>
  <si>
    <t>-LqonaB2h-oMzdiZgs6F</t>
  </si>
  <si>
    <t>1570696486332</t>
  </si>
  <si>
    <t>-Lqonbt8--wguYVQUYAd</t>
  </si>
  <si>
    <t>1570696493516</t>
  </si>
  <si>
    <t>-Lqondc5g3JuZGVpHCAO</t>
  </si>
  <si>
    <t>1570696500434</t>
  </si>
  <si>
    <t>-LqonfB29LKBdumZbpCz</t>
  </si>
  <si>
    <t>1570696506924</t>
  </si>
  <si>
    <t>-Lqongu11Zsh6cSrKAEv</t>
  </si>
  <si>
    <t>1570696514136</t>
  </si>
  <si>
    <t>-LqoniRgY14vrxaII5wv</t>
  </si>
  <si>
    <t>1570696520325</t>
  </si>
  <si>
    <t>-LqonkQ1zMRneZ7LJiJH</t>
  </si>
  <si>
    <t>1570696528175</t>
  </si>
  <si>
    <t>-Lqonlz46OM8BeK8VOlk</t>
  </si>
  <si>
    <t>1570696534745</t>
  </si>
  <si>
    <t>-Lqonnm4pUDhoWl4pEea</t>
  </si>
  <si>
    <t>1570696541964</t>
  </si>
  <si>
    <t>-LqonpVEDryTuOPc_eW_</t>
  </si>
  <si>
    <t>1570696549176</t>
  </si>
  <si>
    <t>-LqonrRhTOrXzy46Xp7h</t>
  </si>
  <si>
    <t>1570696556385</t>
  </si>
  <si>
    <t>-Lqont0Vs67hbQGmv6RO</t>
  </si>
  <si>
    <t>1570696563594</t>
  </si>
  <si>
    <t>-Lqonuo3a-ib105zB2rG</t>
  </si>
  <si>
    <t>1570696570816</t>
  </si>
  <si>
    <t>-LqonwX1tttew4LXZu1z</t>
  </si>
  <si>
    <t>1570696578006</t>
  </si>
  <si>
    <t>-Lqony56Tvdu0PrOBQNq</t>
  </si>
  <si>
    <t>1570696584195</t>
  </si>
  <si>
    <t>-Lqoo-2185VEJmLX4YXV</t>
  </si>
  <si>
    <t>1570696592335</t>
  </si>
  <si>
    <t>-Lqoo0b1BI-bc5aUbLjr</t>
  </si>
  <si>
    <t>1570696598634</t>
  </si>
  <si>
    <t>-Lqoo2_nHkTqUGrt_90q</t>
  </si>
  <si>
    <t>1570696605835</t>
  </si>
  <si>
    <t>-Lqoo473-XgTMid6Rm4d</t>
  </si>
  <si>
    <t>1570696613065</t>
  </si>
  <si>
    <t>-Lqoo5ooLHO4ZnkQq6IG</t>
  </si>
  <si>
    <t>1570696620248</t>
  </si>
  <si>
    <t>-Lqoo7P2eA-nsl66qSVb</t>
  </si>
  <si>
    <t>1570696626465</t>
  </si>
  <si>
    <t>-Lqoo971pg-FixoqJRW_</t>
  </si>
  <si>
    <t>1570696633674</t>
  </si>
  <si>
    <t>-LqooA_oxFZ1xa8eZSTR</t>
  </si>
  <si>
    <t>1570696639826</t>
  </si>
  <si>
    <t>-LqooCA1fawwIXqf-jm7</t>
  </si>
  <si>
    <t>1570696646063</t>
  </si>
  <si>
    <t>-LqooDt1wpN4PwgZ7Vj-</t>
  </si>
  <si>
    <t>1570696653266</t>
  </si>
  <si>
    <t>-LqooFS3zwqELa__im3d</t>
  </si>
  <si>
    <t>1570696659434</t>
  </si>
  <si>
    <t>-LqooHABnMqwmGm_cQkQ</t>
  </si>
  <si>
    <t>1570696666635</t>
  </si>
  <si>
    <t>-LqooIhnSSV4KmHZg3ox</t>
  </si>
  <si>
    <t>1570696672826</t>
  </si>
  <si>
    <t>-LqooKS2X0PTFMxvPedx</t>
  </si>
  <si>
    <t>1570696680040</t>
  </si>
  <si>
    <t>-LqooMF3z2Ab6atDXDkU</t>
  </si>
  <si>
    <t>1570696687256</t>
  </si>
  <si>
    <t>-LqooNy4tXaWUrDgKFi6</t>
  </si>
  <si>
    <t>1570696694474</t>
  </si>
  <si>
    <t>-LqooPk40KtH5R506Zzf</t>
  </si>
  <si>
    <t>1570696701694</t>
  </si>
  <si>
    <t>-LqooRU5pMCJ-KvY9DN9</t>
  </si>
  <si>
    <t>1570696708875</t>
  </si>
  <si>
    <t>-LqooT23SmOiM73q0FIV</t>
  </si>
  <si>
    <t>1570696715074</t>
  </si>
  <si>
    <t>-LqooUwK70YDLqGqY29f</t>
  </si>
  <si>
    <t>1570696722745</t>
  </si>
  <si>
    <t>-LqooWXpVLutFFGWM7wE</t>
  </si>
  <si>
    <t>1570696729505</t>
  </si>
  <si>
    <t>-LqooYH4aOqjwc7joZQv</t>
  </si>
  <si>
    <t>1570696736714</t>
  </si>
  <si>
    <t>-Lqoo_43ptmOxiku2WFf</t>
  </si>
  <si>
    <t>1570696743934</t>
  </si>
  <si>
    <t>-Lqooan4pof3Th0RJ5aD</t>
  </si>
  <si>
    <t>1570696751115</t>
  </si>
  <si>
    <t>-LqoocGu-7zi6shQEy8z</t>
  </si>
  <si>
    <t>1570696757304</t>
  </si>
  <si>
    <t>-Lqoodq3So8mQq5R5KG5</t>
  </si>
  <si>
    <t>1570696763515</t>
  </si>
  <si>
    <t>-LqoofYuD4QJYp3AXHtj</t>
  </si>
  <si>
    <t>1570696770724</t>
  </si>
  <si>
    <t>-Lqooh7D0EPtwjV4XlnU</t>
  </si>
  <si>
    <t>1570696776916</t>
  </si>
  <si>
    <t>-Lqooiq3PYzGzGCUZPo_</t>
  </si>
  <si>
    <t>1570696784105</t>
  </si>
  <si>
    <t>-LqookP3S4UlLU-8jjU0</t>
  </si>
  <si>
    <t>1570696790305</t>
  </si>
  <si>
    <t>-Lqoom8KI3Tk6xlOPkDE</t>
  </si>
  <si>
    <t>1570696797514</t>
  </si>
  <si>
    <t>-Lqoonv3V8thLFJLF-bY</t>
  </si>
  <si>
    <t>1570696804737</t>
  </si>
  <si>
    <t>-Lqoopd3_lnWu6_E0ACA</t>
  </si>
  <si>
    <t>1570696811914</t>
  </si>
  <si>
    <t>-LqoorC5sw7nIE-R2CZB</t>
  </si>
  <si>
    <t>1570696818104</t>
  </si>
  <si>
    <t>-Lqoosv3fzPvrAUcHxbX</t>
  </si>
  <si>
    <t>1570696825356</t>
  </si>
  <si>
    <t>-LqoouiCmDuABRRBa6vY</t>
  </si>
  <si>
    <t>1570696832556</t>
  </si>
  <si>
    <t>-Lqoowk4ZL9H9r8IHKR0</t>
  </si>
  <si>
    <t>1570696840994</t>
  </si>
  <si>
    <t>-LqooyTEqRZpwj1Ixggy</t>
  </si>
  <si>
    <t>1570696848015</t>
  </si>
  <si>
    <t>-Lqop-GFx8ESFBXP7wEm</t>
  </si>
  <si>
    <t>1570696855229</t>
  </si>
  <si>
    <t>-Lqop18EOXYzvV-Bf_DF</t>
  </si>
  <si>
    <t>1570696862936</t>
  </si>
  <si>
    <t>-Lqop2kzp6RGpwUCLzo5</t>
  </si>
  <si>
    <t>1570696869661</t>
  </si>
  <si>
    <t>-Lqop4V4uBAF6whQryH5</t>
  </si>
  <si>
    <t>1570696876887</t>
  </si>
  <si>
    <t>-Lqop6IDiAAKwlr_Q_ET</t>
  </si>
  <si>
    <t>1570696884078</t>
  </si>
  <si>
    <t>-Lqop804lS-4t3DDGxG2</t>
  </si>
  <si>
    <t>1570696891277</t>
  </si>
  <si>
    <t>-Lqop9_5OdIhwhhPMxNA</t>
  </si>
  <si>
    <t>1570696897466</t>
  </si>
  <si>
    <t>-LqopBI6B6JOGqlalfd1</t>
  </si>
  <si>
    <t>1570696904697</t>
  </si>
  <si>
    <t>-LqopD5DRyy3DLuBgQAz</t>
  </si>
  <si>
    <t>1570696911895</t>
  </si>
  <si>
    <t>-LqopF-lgTCdlEXNWIgJ</t>
  </si>
  <si>
    <t>1570696919115</t>
  </si>
  <si>
    <t>-LqopGqD7yNnZIsNf5PX</t>
  </si>
  <si>
    <t>1570696927365</t>
  </si>
  <si>
    <t>-LqopIdDNWbBnhwIQ5z2</t>
  </si>
  <si>
    <t>1570696934576</t>
  </si>
  <si>
    <t>-LqopKM4jIM2o3WF1XB2</t>
  </si>
  <si>
    <t>1570696941836</t>
  </si>
  <si>
    <t>-LqopMAJE8CGsYQVOcY8</t>
  </si>
  <si>
    <t>1570696949015</t>
  </si>
  <si>
    <t>-LqopNsGhn5ObsMPzSU8</t>
  </si>
  <si>
    <t>1570696956237</t>
  </si>
  <si>
    <t>-LqopPf4ZlhcxbcEyD8H</t>
  </si>
  <si>
    <t>1570696963437</t>
  </si>
  <si>
    <t>-LqopROClS4YWvuzqChP</t>
  </si>
  <si>
    <t>1570696970638</t>
  </si>
  <si>
    <t>-LqopTh5uOqGz1wUyk5o</t>
  </si>
  <si>
    <t>1570696977856</t>
  </si>
  <si>
    <t>-LqopVSOLb9lJqeBCR_5</t>
  </si>
  <si>
    <t>1570696987136</t>
  </si>
  <si>
    <t>-LqopXA2oRObOy0H0eB1</t>
  </si>
  <si>
    <t>1570696994316</t>
  </si>
  <si>
    <t>-LqopYixnS8T4z41ovpM</t>
  </si>
  <si>
    <t>1570697000547</t>
  </si>
  <si>
    <t>-Lqop_S4Y_Y2kxghMdx4</t>
  </si>
  <si>
    <t>1570697007756</t>
  </si>
  <si>
    <t>-LqopbF6idp_WFHFm6y4</t>
  </si>
  <si>
    <t>1570697014956</t>
  </si>
  <si>
    <t>-Lqopcy6cQmOEVaAmVNc</t>
  </si>
  <si>
    <t>1570697022157</t>
  </si>
  <si>
    <t>-LqopejrwDszf_QOwsoW</t>
  </si>
  <si>
    <t>1570697029377</t>
  </si>
  <si>
    <t>-Lqopgd6oOciIDHjbf9W</t>
  </si>
  <si>
    <t>1570697037177</t>
  </si>
  <si>
    <t>-LqopiH4qSxh4DqHZjqg</t>
  </si>
  <si>
    <t>1570697043806</t>
  </si>
  <si>
    <t>-Lqopk4D3rROzZh8IrpK</t>
  </si>
  <si>
    <t>1570697051016</t>
  </si>
  <si>
    <t>-Lqopln6U80kecxGh9Qo</t>
  </si>
  <si>
    <t>1570697058237</t>
  </si>
  <si>
    <t>-Lqopna4qKvTxEm7nmSe</t>
  </si>
  <si>
    <t>1570697065448</t>
  </si>
  <si>
    <t>-LqoppJ5IQvPEYdJpNWb</t>
  </si>
  <si>
    <t>1570697072658</t>
  </si>
  <si>
    <t>-LqoprNRbuizslhKafr_</t>
  </si>
  <si>
    <t>1570697079877</t>
  </si>
  <si>
    <t>-Lqopt2u88-LeyvF5wIP</t>
  </si>
  <si>
    <t>1570697088085</t>
  </si>
  <si>
    <t>-Lqopuc4QDPhp8VXREUH</t>
  </si>
  <si>
    <t>1570697094295</t>
  </si>
  <si>
    <t>-LqopwL1bs9lRcXZ2Wgy</t>
  </si>
  <si>
    <t>1570697101515</t>
  </si>
  <si>
    <t>-Lqopy8N4zvGD5M2lnF2</t>
  </si>
  <si>
    <t>1570697108724</t>
  </si>
  <si>
    <t>-Lqopzr26CpXC7GJBXOZ</t>
  </si>
  <si>
    <t>1570697115913</t>
  </si>
  <si>
    <t>-Lqoq0Q2s_P_azEIaEhH</t>
  </si>
  <si>
    <t>1570697122116</t>
  </si>
  <si>
    <t>-Lqoq283IFjHCnqJIj9V</t>
  </si>
  <si>
    <t>1570697129333</t>
  </si>
  <si>
    <t>-Lqoq3wJ2snNv73_V_RP</t>
  </si>
  <si>
    <t>1570697136544</t>
  </si>
  <si>
    <t>-Lqoq5e4fcs9PYE-CxK0</t>
  </si>
  <si>
    <t>1570697143753</t>
  </si>
  <si>
    <t>-Lqoq7TIjw2R2PCcaCdB</t>
  </si>
  <si>
    <t>1570697150985</t>
  </si>
  <si>
    <t>-Lqoq9A8j1lAbDwl-m1h</t>
  </si>
  <si>
    <t>1570697158154</t>
  </si>
  <si>
    <t>-LqoqAjBMp6dH1XF1Ew5</t>
  </si>
  <si>
    <t>1570697164344</t>
  </si>
  <si>
    <t>-LqoqCSDUNEKcpQlYGu6</t>
  </si>
  <si>
    <t>1570697171593</t>
  </si>
  <si>
    <t>-LqoqEFCLUdnfBHKJNXU</t>
  </si>
  <si>
    <t>1570697178794</t>
  </si>
  <si>
    <t>-LqoqFzG-WosXZuaL0ER</t>
  </si>
  <si>
    <t>1570697185995</t>
  </si>
  <si>
    <t>-LqoqHX1UaWzP3Tx_1P2</t>
  </si>
  <si>
    <t>1570697192184</t>
  </si>
  <si>
    <t>-LqoqJLHEMEtOiQI0ETt</t>
  </si>
  <si>
    <t>1570697199403</t>
  </si>
  <si>
    <t>-LqoqL22YKfBkK8how8y</t>
  </si>
  <si>
    <t>1570697206615</t>
  </si>
  <si>
    <t>-LqoqN2JgiaR-K2y6DJR</t>
  </si>
  <si>
    <t>1570697213834</t>
  </si>
  <si>
    <t>-LqoqOnAHJDOubvyUVEN</t>
  </si>
  <si>
    <t>1570697222073</t>
  </si>
  <si>
    <t>-LqoqQa0UIci1NkExaoQ</t>
  </si>
  <si>
    <t>1570697229296</t>
  </si>
  <si>
    <t>-LqoqSJAwktL49c0V8ee</t>
  </si>
  <si>
    <t>1570697236493</t>
  </si>
  <si>
    <t>-LqoqU4qG3sARno0xeSv</t>
  </si>
  <si>
    <t>1570697243713</t>
  </si>
  <si>
    <t>-LqoqVp3rqwBjcx3AlgN</t>
  </si>
  <si>
    <t>1570697250924</t>
  </si>
  <si>
    <t>-LqoqXc2RWXXjKgbyewd</t>
  </si>
  <si>
    <t>1570697258134</t>
  </si>
  <si>
    <t>-LqoqZL2XCKDbtk0yJIV</t>
  </si>
  <si>
    <t>1570697265355</t>
  </si>
  <si>
    <t>-LqoqaEIfxa-nIqy976-</t>
  </si>
  <si>
    <t>1570697272565</t>
  </si>
  <si>
    <t>-Lqoqbr5IEWAWVaEiS2r</t>
  </si>
  <si>
    <t>1570697279754</t>
  </si>
  <si>
    <t>-LqoqdQ0MpoLsnQl1gTQ</t>
  </si>
  <si>
    <t>1570697285963</t>
  </si>
  <si>
    <t>-Lqoqf84kOqvDLL9vmil</t>
  </si>
  <si>
    <t>1570697293193</t>
  </si>
  <si>
    <t>-Lqoqgw2Oyma4QJ3gK4p</t>
  </si>
  <si>
    <t>1570697300394</t>
  </si>
  <si>
    <t>-Lqoqie08nHNi3wLw7w9</t>
  </si>
  <si>
    <t>1570697307593</t>
  </si>
  <si>
    <t>-Lqoqkk_6xjPEdPigtOE</t>
  </si>
  <si>
    <t>1570697314815</t>
  </si>
  <si>
    <t>-LqoqmSyP3zJ069eCCeQ</t>
  </si>
  <si>
    <t>1570697323064</t>
  </si>
  <si>
    <t>-LqoqoAxb8jHL-IqtwKB</t>
  </si>
  <si>
    <t>1570697330276</t>
  </si>
  <si>
    <t>-Lqoqq-2w_SzoLENRdP5</t>
  </si>
  <si>
    <t>1570697337485</t>
  </si>
  <si>
    <t>-Lqoqri1JdhQua6STeqA</t>
  </si>
  <si>
    <t>1570697344716</t>
  </si>
  <si>
    <t>-LqoqtW1schVOqoS10se</t>
  </si>
  <si>
    <t>1570697351915</t>
  </si>
  <si>
    <t>-LqoqvE2OEg6M4XZViWL</t>
  </si>
  <si>
    <t>1570697359113</t>
  </si>
  <si>
    <t>-Lqoqx057PU5gkCYpLim</t>
  </si>
  <si>
    <t>1570697366344</t>
  </si>
  <si>
    <t>-LqoqykLeEN3fQLGhnP-</t>
  </si>
  <si>
    <t>1570697373528</t>
  </si>
  <si>
    <t>-Lqor-WS5xToC6ubIkw3</t>
  </si>
  <si>
    <t>1570697380764</t>
  </si>
  <si>
    <t>-Lqor1G466Iy7YfUmPy7</t>
  </si>
  <si>
    <t>1570697387976</t>
  </si>
  <si>
    <t>-Lqor2pAgtDASEZmAeCO</t>
  </si>
  <si>
    <t>1570697394165</t>
  </si>
  <si>
    <t>-Lqor4X6PxThKOd54Lgx</t>
  </si>
  <si>
    <t>1570697401357</t>
  </si>
  <si>
    <t>-Lqor6105ZdUMIP0KVEe</t>
  </si>
  <si>
    <t>1570697407562</t>
  </si>
  <si>
    <t>-Lqor7Zvruoe4Ek85nVe</t>
  </si>
  <si>
    <t>1570697413735</t>
  </si>
  <si>
    <t>-Lqor9J0eEiZFSzqlwh2</t>
  </si>
  <si>
    <t>1570697420953</t>
  </si>
  <si>
    <t>-LqorB8rz1rE7vcnKzIG</t>
  </si>
  <si>
    <t>1570697427137</t>
  </si>
  <si>
    <t>-LqorCu53GLWIbD0lEHA</t>
  </si>
  <si>
    <t>1570697435384</t>
  </si>
  <si>
    <t>-LqorEavLQqNsvY-GNcO</t>
  </si>
  <si>
    <t>1570697442594</t>
  </si>
  <si>
    <t>-LqorGYdXvm2PVOu9nsk</t>
  </si>
  <si>
    <t>1570697450718</t>
  </si>
  <si>
    <t>-LqorI6voBl4NlzinZQs</t>
  </si>
  <si>
    <t>1570697457041</t>
  </si>
  <si>
    <t>-LqorJw3XNca06nO-sht</t>
  </si>
  <si>
    <t>1570697464233</t>
  </si>
  <si>
    <t>-LqorLbrM6-XzINw469Q</t>
  </si>
  <si>
    <t>1570697471433</t>
  </si>
  <si>
    <t>-LqorND2gb7u5pkpv83O</t>
  </si>
  <si>
    <t>1570697477635</t>
  </si>
  <si>
    <t>-LqorOw2YeDlmLVXCXSs</t>
  </si>
  <si>
    <t>1570697484846</t>
  </si>
  <si>
    <t>-LqorQj2KOas3A4vRv36</t>
  </si>
  <si>
    <t>1570697492053</t>
  </si>
  <si>
    <t>-LqorSS2xKg0NUQ-6owD</t>
  </si>
  <si>
    <t>1570697499275</t>
  </si>
  <si>
    <t>-LqorUd0J8qgLVh3qbaa</t>
  </si>
  <si>
    <t>1570697508315</t>
  </si>
  <si>
    <t>-LqorWBvWBCyiz-YOwZC</t>
  </si>
  <si>
    <t>1570697514725</t>
  </si>
  <si>
    <t>-LqorXk7xi-fHdRwB0Gu</t>
  </si>
  <si>
    <t>1570697520914</t>
  </si>
  <si>
    <t>-LqorZSyGrg74FdzHhrX</t>
  </si>
  <si>
    <t>1570697528134</t>
  </si>
  <si>
    <t>-Lqora2B_TpDnsJAxOSA</t>
  </si>
  <si>
    <t>1570697534304</t>
  </si>
  <si>
    <t>-LqorblALPPmJW5ZZuuf</t>
  </si>
  <si>
    <t>1570697541514</t>
  </si>
  <si>
    <t>-LqordZ2ncK5csbbGl1D</t>
  </si>
  <si>
    <t>1570697548734</t>
  </si>
  <si>
    <t>-Lqorfa-NpWI60BoK7O-</t>
  </si>
  <si>
    <t>1570697557171</t>
  </si>
  <si>
    <t>-LqorhIxFz3j3FV-9hSm</t>
  </si>
  <si>
    <t>1570697564198</t>
  </si>
  <si>
    <t>-Lqorj64lp58GAWeRXMH</t>
  </si>
  <si>
    <t>1570697571408</t>
  </si>
  <si>
    <t>-Lqorkp6JmCyGt7E4PWQ</t>
  </si>
  <si>
    <t>1570697578639</t>
  </si>
  <si>
    <t>-LqormcGA0FBtnDcyu39</t>
  </si>
  <si>
    <t>1570697585838</t>
  </si>
  <si>
    <t>-LqoroL5XEKEZLrmVBaj</t>
  </si>
  <si>
    <t>1570697593039</t>
  </si>
  <si>
    <t>-Lqorq8Hzw2iDobNOL4j</t>
  </si>
  <si>
    <t>1570697600258</t>
  </si>
  <si>
    <t>-LqorrrI8lQJ0AikJ8hd</t>
  </si>
  <si>
    <t>1570697607449</t>
  </si>
  <si>
    <t>-LqortQ5pHdC0a1CBjq2</t>
  </si>
  <si>
    <t>1570697613640</t>
  </si>
  <si>
    <t>-Lqorv86L0Ih-0E2b6g4</t>
  </si>
  <si>
    <t>1570697620878</t>
  </si>
  <si>
    <t>-Lqorww6H3jQovvyqyHu</t>
  </si>
  <si>
    <t>1570697628078</t>
  </si>
  <si>
    <t>-Lqorye4zRNq1p-Hmu_v</t>
  </si>
  <si>
    <t>1570697635287</t>
  </si>
  <si>
    <t>-Lqos-DFoNo9zIy0NMIZ</t>
  </si>
  <si>
    <t>1570697641478</t>
  </si>
  <si>
    <t>-Lqos0w7d9yJqH3RmIU0</t>
  </si>
  <si>
    <t>1570697648688</t>
  </si>
  <si>
    <t>-Lqos2j7KqidLs5Py7fR</t>
  </si>
  <si>
    <t>1570697655909</t>
  </si>
  <si>
    <t>-Lqos4S5AnZR-GBsFmrw</t>
  </si>
  <si>
    <t>1570697663118</t>
  </si>
  <si>
    <t>-Lqos6GMUlNwJnD9aDqa</t>
  </si>
  <si>
    <t>1570697670338</t>
  </si>
  <si>
    <t>-Lqos7yGAIQZPt6uRJXL</t>
  </si>
  <si>
    <t>1570697677519</t>
  </si>
  <si>
    <t>-Lqos9ayJVMrjtQ3P4Pj</t>
  </si>
  <si>
    <t>1570697683709</t>
  </si>
  <si>
    <t>-LqosBFHOqOdWcwQQsqe</t>
  </si>
  <si>
    <t>1570697690958</t>
  </si>
  <si>
    <t>-LqosD25Xa0GzNSZwrob</t>
  </si>
  <si>
    <t>1570697698158</t>
  </si>
  <si>
    <t>-LqosEl6IPkDzOq2nq6E</t>
  </si>
  <si>
    <t>1570697705360</t>
  </si>
  <si>
    <t>-LqosGU6tS7D5CayZwXi</t>
  </si>
  <si>
    <t>1570697712228</t>
  </si>
  <si>
    <t>-LqosI24ZEZai1Xi0yiW</t>
  </si>
  <si>
    <t>1570697718770</t>
  </si>
  <si>
    <t>-LqosJX6t_2gwKLCrd4V</t>
  </si>
  <si>
    <t>1570697724967</t>
  </si>
  <si>
    <t>-LqosLZ5LECI_xluVtIi</t>
  </si>
  <si>
    <t>1570697733100</t>
  </si>
  <si>
    <t>-LqosNM50DVbdPPv_XpU</t>
  </si>
  <si>
    <t>1570697740408</t>
  </si>
  <si>
    <t>-LqosP4UeLcoKo9nY4ta</t>
  </si>
  <si>
    <t>1570697747598</t>
  </si>
  <si>
    <t>-LqosQn6AIUuCxORZU7S</t>
  </si>
  <si>
    <t>1570697753797</t>
  </si>
  <si>
    <t>-LqosSM5J05DPdtIsnOz</t>
  </si>
  <si>
    <t>1570697761019</t>
  </si>
  <si>
    <t>-LqosU96aXe0V32imV-9</t>
  </si>
  <si>
    <t>1570697768248</t>
  </si>
  <si>
    <t>-LqosVs5vbQfxpF_f3lH</t>
  </si>
  <si>
    <t>1570697775438</t>
  </si>
  <si>
    <t>-LqosXf52VD_OPRPXDD9</t>
  </si>
  <si>
    <t>1570697782659</t>
  </si>
  <si>
    <t>-LqosZiDqr9YbpyAto2q</t>
  </si>
  <si>
    <t>1570697789849</t>
  </si>
  <si>
    <t>-LqosaV6PgBouoYYPhIQ</t>
  </si>
  <si>
    <t>1570697798119</t>
  </si>
  <si>
    <t>-LqoscDFcjUh4PzejM-R</t>
  </si>
  <si>
    <t>1570697805509</t>
  </si>
  <si>
    <t>-Lqosdw7TSSjSRfXSUMf</t>
  </si>
  <si>
    <t>1570697812560</t>
  </si>
  <si>
    <t>-LqosfjFTMbr0KSUCY4w</t>
  </si>
  <si>
    <t>1570697819759</t>
  </si>
  <si>
    <t>-LqoshS7XYS_gIlYqQAu</t>
  </si>
  <si>
    <t>1570697826960</t>
  </si>
  <si>
    <t>-LqosjFFRzuslkZ-xhzc</t>
  </si>
  <si>
    <t>1570697834179</t>
  </si>
  <si>
    <t>-Lqosky9bXtTs8uHGgZg</t>
  </si>
  <si>
    <t>1570697841372</t>
  </si>
  <si>
    <t>-LqosmYLL-K-rrXp-ja0</t>
  </si>
  <si>
    <t>1570697847549</t>
  </si>
  <si>
    <t>-LqosoF5hIWQU32QQMko</t>
  </si>
  <si>
    <t>1570697854800</t>
  </si>
  <si>
    <t>-LqosqC5QT2Gw3U1Vw5J</t>
  </si>
  <si>
    <t>1570697862362</t>
  </si>
  <si>
    <t>-LqosrlF6XHAkTOJ2BNp</t>
  </si>
  <si>
    <t>1570697869200</t>
  </si>
  <si>
    <t>-LqostKGaQSomihgWjYE</t>
  </si>
  <si>
    <t>1570697875388</t>
  </si>
  <si>
    <t>-Lqosv1grXNN_hAYxqON</t>
  </si>
  <si>
    <t>1570697882619</t>
  </si>
  <si>
    <t>-Lqosx47WjjYT4bqwhvZ</t>
  </si>
  <si>
    <t>1570697889839</t>
  </si>
  <si>
    <t>-Lqosyn5mnt1X0q2hzIl</t>
  </si>
  <si>
    <t>1570697898079</t>
  </si>
  <si>
    <t>-Lqot-M7dXsgcxWQZvW9</t>
  </si>
  <si>
    <t>1570697904258</t>
  </si>
  <si>
    <t>-Lqot12uwXG57udLRyhZ</t>
  </si>
  <si>
    <t>1570697911439</t>
  </si>
  <si>
    <t>-Lqot2s7JukM-UyUDZ7X</t>
  </si>
  <si>
    <t>1570697917639</t>
  </si>
  <si>
    <t>-Lqot4aFX5OSdCxNaMZ6</t>
  </si>
  <si>
    <t>1570697925869</t>
  </si>
  <si>
    <t>-Lqot69GDyphcmidLrvx</t>
  </si>
  <si>
    <t>1570697932079</t>
  </si>
  <si>
    <t>-Lqot7s0oik-1TkiwbFS</t>
  </si>
  <si>
    <t>1570697939279</t>
  </si>
  <si>
    <t>-Lqot9eB-wMclfSp-1b0</t>
  </si>
  <si>
    <t>1570697946509</t>
  </si>
  <si>
    <t>-LqotBO7J4qLzn1t0Jkt</t>
  </si>
  <si>
    <t>1570697953740</t>
  </si>
  <si>
    <t>-LqotCxAxzxJEs4l4AZf</t>
  </si>
  <si>
    <t>1570697959909</t>
  </si>
  <si>
    <t>-LqotEf6mtNp5foXWoUo</t>
  </si>
  <si>
    <t>1570697967118</t>
  </si>
  <si>
    <t>-LqotGT5HaBXghH69upB</t>
  </si>
  <si>
    <t>1570697974330</t>
  </si>
  <si>
    <t>-LqotIB6P2EiOSo6G4j2</t>
  </si>
  <si>
    <t>1570697981520</t>
  </si>
  <si>
    <t>-LqotJk5nGVQJeU_SrVR</t>
  </si>
  <si>
    <t>1570697987719</t>
  </si>
  <si>
    <t>-LqotLT5Qm_vAqxxIADo</t>
  </si>
  <si>
    <t>1570697994960</t>
  </si>
  <si>
    <t>-LqotNGFTH_m9Suo6Vcx</t>
  </si>
  <si>
    <t>1570698002159</t>
  </si>
  <si>
    <t>-LqotOz7aGGC4Hy_hynC</t>
  </si>
  <si>
    <t>1570698009360</t>
  </si>
  <si>
    <t>-LqotQm9X2rWtVNgNDQd</t>
  </si>
  <si>
    <t>1570698016580</t>
  </si>
  <si>
    <t>-LqotXFkSbR0saEKiOAn</t>
  </si>
  <si>
    <t>1570698043222</t>
  </si>
  <si>
    <t>-LqotYxch4kJVmwSY9TS</t>
  </si>
  <si>
    <t>1570698050253</t>
  </si>
  <si>
    <t>-Lqot_luumRZP6A2EPqK</t>
  </si>
  <si>
    <t>1570698057474</t>
  </si>
  <si>
    <t>-LqotbUteT2qb-4Mzk6x</t>
  </si>
  <si>
    <t>1570698064704</t>
  </si>
  <si>
    <t>-LqotdHtdiT26zIILAzG</t>
  </si>
  <si>
    <t>1570698071894</t>
  </si>
  <si>
    <t>-Lqotf-tMgrjgPYLSD6v</t>
  </si>
  <si>
    <t>1570698079103</t>
  </si>
  <si>
    <t>-LqotgnkwbKh29J50qAc</t>
  </si>
  <si>
    <t>1570698086312</t>
  </si>
  <si>
    <t>-LqotiWug1t2btl6_DC1</t>
  </si>
  <si>
    <t>1570698093504</t>
  </si>
  <si>
    <t>-Lqotk4tbShM8gl5cgzX</t>
  </si>
  <si>
    <t>1570698099692</t>
  </si>
  <si>
    <t>-LqotlnttHBm1aYB-277</t>
  </si>
  <si>
    <t>1570698106946</t>
  </si>
  <si>
    <t>-Lqotnb2ZjQM_Q4FIaR_</t>
  </si>
  <si>
    <t>1570698114144</t>
  </si>
  <si>
    <t>-LqotpJtEowyo3vpUGrA</t>
  </si>
  <si>
    <t>1570698121343</t>
  </si>
  <si>
    <t>-LqotqntAXfOnERaj6Rp</t>
  </si>
  <si>
    <t>1570698127494</t>
  </si>
  <si>
    <t>-Lqotsq1wTdWGoafxGxG</t>
  </si>
  <si>
    <t>1570698135644</t>
  </si>
  <si>
    <t>-LqotuOuwlfyrvIJ2-eP</t>
  </si>
  <si>
    <t>1570698141976</t>
  </si>
  <si>
    <t>-Lqotw6u236Sy1kq58v2</t>
  </si>
  <si>
    <t>1570698149186</t>
  </si>
  <si>
    <t>-Lqotxuttuaj67DSOu3o</t>
  </si>
  <si>
    <t>1570698156393</t>
  </si>
  <si>
    <t>-LqotzctPwSazpi1A8xy</t>
  </si>
  <si>
    <t>1570698163584</t>
  </si>
  <si>
    <t>-Lqou0QvAnDeAnM4QemJ</t>
  </si>
  <si>
    <t>1570698170822</t>
  </si>
  <si>
    <t>-Lqou28s9HNtcIBrLICR</t>
  </si>
  <si>
    <t>1570698178014</t>
  </si>
  <si>
    <t>-Lqou3hsumxfyipHzfN2</t>
  </si>
  <si>
    <t>1570698184213</t>
  </si>
  <si>
    <t>-Lqou5Qt7DiTniqqvl5q</t>
  </si>
  <si>
    <t>1570698191422</t>
  </si>
  <si>
    <t>-Lqou7DGcXkOEQP_vBwU</t>
  </si>
  <si>
    <t>1570698198644</t>
  </si>
  <si>
    <t>-Lqou8y7Zf-EPfU6hZD8</t>
  </si>
  <si>
    <t>1570698205834</t>
  </si>
  <si>
    <t>-LqouAk3EwJlw-90cCG7</t>
  </si>
  <si>
    <t>1570698213074</t>
  </si>
  <si>
    <t>-LqouCULTImW1wAkkD5t</t>
  </si>
  <si>
    <t>1570698220263</t>
  </si>
  <si>
    <t>-LqouE149rBKNqbm01gT</t>
  </si>
  <si>
    <t>1570698226474</t>
  </si>
  <si>
    <t>-LqouFjtfocr6jL5dn7O</t>
  </si>
  <si>
    <t>1570698233664</t>
  </si>
  <si>
    <t>-LqouHK9jacsZwOsTStc</t>
  </si>
  <si>
    <t>1570698239853</t>
  </si>
  <si>
    <t>-LqouJ0tC5ptYjOCZmHp</t>
  </si>
  <si>
    <t>1570698247074</t>
  </si>
  <si>
    <t>-LqouKtthopypO4Pnkb4</t>
  </si>
  <si>
    <t>1570698254294</t>
  </si>
  <si>
    <t>-LqouMdkEbhven_71e_B</t>
  </si>
  <si>
    <t>1570698261503</t>
  </si>
  <si>
    <t>-LqouOKr7MNCMGzVxTzj</t>
  </si>
  <si>
    <t>1570698268714</t>
  </si>
  <si>
    <t>-LqouQMoxKeslmojjxyZ</t>
  </si>
  <si>
    <t>1570698275904</t>
  </si>
  <si>
    <t>-LqouS4osunYBfGEQQ6L</t>
  </si>
  <si>
    <t>1570698284178</t>
  </si>
  <si>
    <t>-LqouTswOWOytzXFFyl6</t>
  </si>
  <si>
    <t>1570698291396</t>
  </si>
  <si>
    <t>-LqouVaocKVszs7YgP6B</t>
  </si>
  <si>
    <t>1570698298606</t>
  </si>
  <si>
    <t>-LqouXOvACkKSZBrhi0p</t>
  </si>
  <si>
    <t>1570698305829</t>
  </si>
  <si>
    <t>-LqouZ6yUUE86IMGq9Il</t>
  </si>
  <si>
    <t>1570698313036</t>
  </si>
  <si>
    <t>-Lqou_uxRIKfslgcmqJ7</t>
  </si>
  <si>
    <t>1570698320248</t>
  </si>
  <si>
    <t>-Lqoubcm6u4IMmWlcscl</t>
  </si>
  <si>
    <t>1570698327438</t>
  </si>
  <si>
    <t>-LqoudmwEwe7UhpRIrRr</t>
  </si>
  <si>
    <t>1570698334676</t>
  </si>
  <si>
    <t>-LqoufSxzACSimANwzLR</t>
  </si>
  <si>
    <t>1570698342918</t>
  </si>
  <si>
    <t>-LqouhAyT7RSvo9wOCaq</t>
  </si>
  <si>
    <t>1570698350149</t>
  </si>
  <si>
    <t>-Lqouiyvdwut2abfNIav</t>
  </si>
  <si>
    <t>1570698357337</t>
  </si>
  <si>
    <t>-Lqoukh0iTuVkWMIiW5m</t>
  </si>
  <si>
    <t>1570698364549</t>
  </si>
  <si>
    <t>-LqoumUxIhEAsIzuMkzz</t>
  </si>
  <si>
    <t>1570698371767</t>
  </si>
  <si>
    <t>-LqouoCxVjfayXqGOsdq</t>
  </si>
  <si>
    <t>1570698378958</t>
  </si>
  <si>
    <t>-Lqoupm4sxH9LhFo5OYX</t>
  </si>
  <si>
    <t>1570698385147</t>
  </si>
  <si>
    <t>-LqourUxHtspplJB_c0k</t>
  </si>
  <si>
    <t>1570698392388</t>
  </si>
  <si>
    <t>-LqoutHyQlxSxOWf396F</t>
  </si>
  <si>
    <t>1570698399598</t>
  </si>
  <si>
    <t>-Lqouv1C3sFljaExNxzc</t>
  </si>
  <si>
    <t>1570698406788</t>
  </si>
  <si>
    <t>-LqouwZneiSUvM6lzi5c</t>
  </si>
  <si>
    <t>1570698412989</t>
  </si>
  <si>
    <t>-LqouyHwpqzyntdtiBk8</t>
  </si>
  <si>
    <t>1570698420207</t>
  </si>
  <si>
    <t>-Lqov-Jw0yFhEndab-m5</t>
  </si>
  <si>
    <t>1570698428602</t>
  </si>
  <si>
    <t>-Lqov12QDNqt10s0l6h3</t>
  </si>
  <si>
    <t>1570698435657</t>
  </si>
  <si>
    <t>-Lqov2awOMcJDqIOW1Uz</t>
  </si>
  <si>
    <t>1570698441848</t>
  </si>
  <si>
    <t>-Lqov4K52KeBhMgVolff</t>
  </si>
  <si>
    <t>1570698449027</t>
  </si>
  <si>
    <t>-Lqov5t4rQyTDQ3rLnle</t>
  </si>
  <si>
    <t>1570698455217</t>
  </si>
  <si>
    <t>-Lqov7b6wg45I75oDLtc</t>
  </si>
  <si>
    <t>1570698462468</t>
  </si>
  <si>
    <t>-Lqov9Ov7x3QAU3cfhEi</t>
  </si>
  <si>
    <t>1570698469666</t>
  </si>
  <si>
    <t>-LqovB6ydH96l6SK2H59</t>
  </si>
  <si>
    <t>1570698476869</t>
  </si>
  <si>
    <t>-LqovDE__UrQt-FbLr-J</t>
  </si>
  <si>
    <t>1570698485336</t>
  </si>
  <si>
    <t>-LqovEwxvLRsiWWnmIrY</t>
  </si>
  <si>
    <t>1570698492338</t>
  </si>
  <si>
    <t>-LqovGevjTO3goVJJbkT</t>
  </si>
  <si>
    <t>1570698499558</t>
  </si>
  <si>
    <t>-LqovISzopXfD8Rwac6v</t>
  </si>
  <si>
    <t>1570698506768</t>
  </si>
  <si>
    <t>-LqovKQhPqMXR6VggCjp</t>
  </si>
  <si>
    <t>1570698513988</t>
  </si>
  <si>
    <t>-LqovLz4W0M3tFb897Or</t>
  </si>
  <si>
    <t>1570698521197</t>
  </si>
  <si>
    <t>-LqovNgvXGQMEc0CyoZg</t>
  </si>
  <si>
    <t>1570698528389</t>
  </si>
  <si>
    <t>-LqovPL6RQSKtwaIQJNK</t>
  </si>
  <si>
    <t>1570698534577</t>
  </si>
  <si>
    <t>-LqovQywUBrnHOgbMde3</t>
  </si>
  <si>
    <t>1570698541808</t>
  </si>
  <si>
    <t>-LqovSlxOpx8Y2qIVL1R</t>
  </si>
  <si>
    <t>1570698549017</t>
  </si>
  <si>
    <t>-LqovUTpj1Pkk2g1uscX</t>
  </si>
  <si>
    <t>1570698556227</t>
  </si>
  <si>
    <t>-LqovWI5MRLUVAYwHX62</t>
  </si>
  <si>
    <t>1570698563438</t>
  </si>
  <si>
    <t>-LqovXzgffsGSbdO6y9S</t>
  </si>
  <si>
    <t>1570698570627</t>
  </si>
  <si>
    <t>-LqovZnvct_A-UMJ405n</t>
  </si>
  <si>
    <t>1570698577877</t>
  </si>
  <si>
    <t>-LqovaYDAk9kT2YyaYF6</t>
  </si>
  <si>
    <t>1570698585067</t>
  </si>
  <si>
    <t>-Lqovc4wheSrZ9KVe_OH</t>
  </si>
  <si>
    <t>1570698591266</t>
  </si>
  <si>
    <t>-LqovdmpPvBRlnF1n_9H</t>
  </si>
  <si>
    <t>1570698598467</t>
  </si>
  <si>
    <t>-LqovfNFJIzl1OJdDWQp</t>
  </si>
  <si>
    <t>1570698604657</t>
  </si>
  <si>
    <t>-Lqovh4w_n28cDEpOld9</t>
  </si>
  <si>
    <t>1570698611868</t>
  </si>
  <si>
    <t>-Lqovit3qsYHVar6r3WP</t>
  </si>
  <si>
    <t>1570698619087</t>
  </si>
  <si>
    <t>-LqovkawQ1AVchZe58Qy</t>
  </si>
  <si>
    <t>1570698626307</t>
  </si>
  <si>
    <t>-LqovmOwMB6GNN9KltFO</t>
  </si>
  <si>
    <t>1570698633516</t>
  </si>
  <si>
    <t>-Lqovo6vUNPGELlAA9KS</t>
  </si>
  <si>
    <t>1570698640706</t>
  </si>
  <si>
    <t>-Lqovpfw-OwRq_MevrNW</t>
  </si>
  <si>
    <t>1570698646907</t>
  </si>
  <si>
    <t>-LqovrQAv2WjWDifHsfF</t>
  </si>
  <si>
    <t>1570698654147</t>
  </si>
  <si>
    <t>-LqovtC5IdsgNGAAcVy4</t>
  </si>
  <si>
    <t>1570698661337</t>
  </si>
  <si>
    <t>-Lqovuuw2cnNL6uau_Bb</t>
  </si>
  <si>
    <t>1570698668550</t>
  </si>
  <si>
    <t>-LqovwhxF0CTyWg1M2WC</t>
  </si>
  <si>
    <t>1570698675766</t>
  </si>
  <si>
    <t>-LqovyQooNIM6a_2q9Yz</t>
  </si>
  <si>
    <t>1570698682957</t>
  </si>
  <si>
    <t>-Lqow-DwVMEMe-eqHJIx</t>
  </si>
  <si>
    <t>1570698690197</t>
  </si>
  <si>
    <t>-Lqow0wwS0RGJL19ZfMu</t>
  </si>
  <si>
    <t>1570698697407</t>
  </si>
  <si>
    <t>-Lqow2Vwr5Yp2bStnC4e</t>
  </si>
  <si>
    <t>1570698703587</t>
  </si>
  <si>
    <t>-Lqow4DwJCIH-81c7oRs</t>
  </si>
  <si>
    <t>1570698710787</t>
  </si>
  <si>
    <t>-Lqow62AhT-ohncstOFq</t>
  </si>
  <si>
    <t>1570698718018</t>
  </si>
  <si>
    <t>-Lqow7jwhBrIo9gOMASW</t>
  </si>
  <si>
    <t>1570698725247</t>
  </si>
  <si>
    <t>-Lqow9IwCEkAxdOqOLh1</t>
  </si>
  <si>
    <t>1570698731376</t>
  </si>
  <si>
    <t>-LqowB0v-jLhyU8MTVk0</t>
  </si>
  <si>
    <t>1570698738626</t>
  </si>
  <si>
    <t>-LqowCobWAl29t-M5QqG</t>
  </si>
  <si>
    <t>1570698745816</t>
  </si>
  <si>
    <t>-LqowEqv_k7ziRGli3vT</t>
  </si>
  <si>
    <t>1570698754226</t>
  </si>
  <si>
    <t>-LqowGZu2mr1PbvPS91p</t>
  </si>
  <si>
    <t>1570698761299</t>
  </si>
  <si>
    <t>-LqowIMuA82-g7guqxqT</t>
  </si>
  <si>
    <t>1570698768505</t>
  </si>
  <si>
    <t>-LqowK49iJVdxdafr7CN</t>
  </si>
  <si>
    <t>1570698775717</t>
  </si>
  <si>
    <t>-LqowLsuA76WK2p0n6TC</t>
  </si>
  <si>
    <t>1570698782937</t>
  </si>
  <si>
    <t>-LqowNaAAAZY6NGUW1aM</t>
  </si>
  <si>
    <t>1570698790147</t>
  </si>
  <si>
    <t>-LqowPPYnCsDeW35ECI2</t>
  </si>
  <si>
    <t>1570698797355</t>
  </si>
  <si>
    <t>-LqowR5yvp9kEVQAMJCU</t>
  </si>
  <si>
    <t>1570698804545</t>
  </si>
  <si>
    <t>-LqowSg6XJ1tu5M-SWzt</t>
  </si>
  <si>
    <t>1570698810746</t>
  </si>
  <si>
    <t>-LqowUOvv2S45briv6s0</t>
  </si>
  <si>
    <t>1570698817986</t>
  </si>
  <si>
    <t>-LqowWC4hG_YXNBqnJUA</t>
  </si>
  <si>
    <t>1570698825176</t>
  </si>
  <si>
    <t>-LqowXtpd9pwIBLIFAhS</t>
  </si>
  <si>
    <t>1570698832385</t>
  </si>
  <si>
    <t>-LqowZi4ln-90k9cTELk</t>
  </si>
  <si>
    <t>1570698839640</t>
  </si>
  <si>
    <t>-LqowaQmPORah3q3ls0z</t>
  </si>
  <si>
    <t>1570698846796</t>
  </si>
  <si>
    <t>-LqowbzvSNpGnNxuHo-Z</t>
  </si>
  <si>
    <t>1570698853007</t>
  </si>
  <si>
    <t>-Lqowdhwych2Oz75nTXi</t>
  </si>
  <si>
    <t>1570698860225</t>
  </si>
  <si>
    <t>-LqowfVvLLBgL5UqOHox</t>
  </si>
  <si>
    <t>1570698867425</t>
  </si>
  <si>
    <t>-LqowhDLTJrJ4FL76BKq</t>
  </si>
  <si>
    <t>1570698874627</t>
  </si>
  <si>
    <t>-Lqowilgqb6l_kex0cpW</t>
  </si>
  <si>
    <t>1570698880826</t>
  </si>
  <si>
    <t>-LqowkW36HJyxoZNwhhx</t>
  </si>
  <si>
    <t>1570698888045</t>
  </si>
  <si>
    <t>-LqowmJ3vMd8WFWnc5-w</t>
  </si>
  <si>
    <t>1570698895256</t>
  </si>
  <si>
    <t>-Lqowo0lVv562wW2QUUJ</t>
  </si>
  <si>
    <t>1570698902467</t>
  </si>
  <si>
    <t>-LqowppYGCcnhA4kFbo2</t>
  </si>
  <si>
    <t>1570698909695</t>
  </si>
  <si>
    <t>-LqowrWovu200LFBGowM</t>
  </si>
  <si>
    <t>1570698916865</t>
  </si>
  <si>
    <t>-Lqowt5vH0t66AijUzvW</t>
  </si>
  <si>
    <t>1570698923077</t>
  </si>
  <si>
    <t>-Lqowuov74ySXU-I2fon</t>
  </si>
  <si>
    <t>1570698930305</t>
  </si>
  <si>
    <t>-LqowwbmUnYgAv4I2GBJ</t>
  </si>
  <si>
    <t>1570698937507</t>
  </si>
  <si>
    <t>-LqowyM96v0wDvI4J940</t>
  </si>
  <si>
    <t>1570698944706</t>
  </si>
  <si>
    <t>-Lqox-83qYV5fu9QxRVT</t>
  </si>
  <si>
    <t>1570698951935</t>
  </si>
  <si>
    <t>-Lqox0qusUbmgrfZqiDd</t>
  </si>
  <si>
    <t>1570698959165</t>
  </si>
  <si>
    <t>-Lqox2Op19gcExTFW_4S</t>
  </si>
  <si>
    <t>1570698965335</t>
  </si>
  <si>
    <t>-Lqox47ux1XCv6N6-LMN</t>
  </si>
  <si>
    <t>1570698972547</t>
  </si>
  <si>
    <t>-Lqox5vu7nERw6lWD35H</t>
  </si>
  <si>
    <t>1570698979756</t>
  </si>
  <si>
    <t>-Lqox7xnS8hJpyKu8r0a</t>
  </si>
  <si>
    <t>1570698986945</t>
  </si>
  <si>
    <t>-Lqox9ftjJsSqEw2JmkL</t>
  </si>
  <si>
    <t>1570698995215</t>
  </si>
  <si>
    <t>-LqoxBTuthPhvqcfaydc</t>
  </si>
  <si>
    <t>1570699002406</t>
  </si>
  <si>
    <t>-LqoxDCNBQb5Rsoj7sH1</t>
  </si>
  <si>
    <t>1570699009645</t>
  </si>
  <si>
    <t>-LqoxEyoQzomGxc9Ls1i</t>
  </si>
  <si>
    <t>1570699016855</t>
  </si>
  <si>
    <t>-LqoxGi4GtS_23mgKcPS</t>
  </si>
  <si>
    <t>1570699024065</t>
  </si>
  <si>
    <t>-LqoxIVtCVrrI7aeH_XB</t>
  </si>
  <si>
    <t>1570699031284</t>
  </si>
  <si>
    <t>-LqoxKE4l8IpDRT8gatl</t>
  </si>
  <si>
    <t>1570699038464</t>
  </si>
  <si>
    <t>-LqoxM5tipDybN9bo7JU</t>
  </si>
  <si>
    <t>1570699046067</t>
  </si>
  <si>
    <t>-LqoxNz3zp8jl7tlqQYG</t>
  </si>
  <si>
    <t>1570699052924</t>
  </si>
  <si>
    <t>-LqoxPXte_jjg38KP39p</t>
  </si>
  <si>
    <t>1570699060134</t>
  </si>
  <si>
    <t>-LqoxRPx2H6JiZ-MBLrn</t>
  </si>
  <si>
    <t>1570699067355</t>
  </si>
  <si>
    <t>-LqoxT2v1ndndKH7Nz-a</t>
  </si>
  <si>
    <t>1570699074565</t>
  </si>
  <si>
    <t>-LqoxUquQrueIIdgZZBl</t>
  </si>
  <si>
    <t>1570699081786</t>
  </si>
  <si>
    <t>-LqoxW_O_t2dGckzXLXm</t>
  </si>
  <si>
    <t>1570699088994</t>
  </si>
  <si>
    <t>-LqoxYN4QMCnBQ1HErz2</t>
  </si>
  <si>
    <t>1570699096214</t>
  </si>
  <si>
    <t>-Lqox_4v-nrGKjcKSEoE</t>
  </si>
  <si>
    <t>1570699103426</t>
  </si>
  <si>
    <t>-LqoxasvJlUXdQ3KG6gY</t>
  </si>
  <si>
    <t>1570699110634</t>
  </si>
  <si>
    <t>-LqoxcnKD7SUAugMKfiz</t>
  </si>
  <si>
    <t>1570699117827</t>
  </si>
  <si>
    <t>-LqoxeP4n0_qs6fEUY0W</t>
  </si>
  <si>
    <t>1570699125055</t>
  </si>
  <si>
    <t>-Lqoxg6lrXeE7RRZnPE2</t>
  </si>
  <si>
    <t>1570699132286</t>
  </si>
  <si>
    <t>-LqoxhuvynpIj2LX7CxN</t>
  </si>
  <si>
    <t>1570699139486</t>
  </si>
  <si>
    <t>-LqoxjcuAR3PrLTrRfGo</t>
  </si>
  <si>
    <t>1570699146704</t>
  </si>
  <si>
    <t>-LqoxlBtsUQTvLDz_Y3-</t>
  </si>
  <si>
    <t>1570699152886</t>
  </si>
  <si>
    <t>-LqoxnDB8oQzvW0bHfKq</t>
  </si>
  <si>
    <t>1570699161184</t>
  </si>
  <si>
    <t>-LqoxowuDwypttkWQbXr</t>
  </si>
  <si>
    <t>1570699168336</t>
  </si>
  <si>
    <t>-LqoxqQvHCKzjyAWWjAf</t>
  </si>
  <si>
    <t>1570699174536</t>
  </si>
  <si>
    <t>-LqoxrzktZYHlaoCd-e3</t>
  </si>
  <si>
    <t>1570699180704</t>
  </si>
  <si>
    <t>-LqoxtmtPvIsdTVB-hUm</t>
  </si>
  <si>
    <t>1570699187904</t>
  </si>
  <si>
    <t>-LqoxvVvCHAKfahw43uz</t>
  </si>
  <si>
    <t>1570699195136</t>
  </si>
  <si>
    <t>-LqoxxD5rQzvA9dSmIZy</t>
  </si>
  <si>
    <t>1570699202364</t>
  </si>
  <si>
    <t>-Lqoxymt01mk8lwqD89B</t>
  </si>
  <si>
    <t>1570699208526</t>
  </si>
  <si>
    <t>-Lqoy-VlRUzL2pLrviJp</t>
  </si>
  <si>
    <t>1570699215745</t>
  </si>
  <si>
    <t>-Lqoy1bkF5VquhC5XKHR</t>
  </si>
  <si>
    <t>1570699222957</t>
  </si>
  <si>
    <t>-Lqoy3FvOaMymDJupLO1</t>
  </si>
  <si>
    <t>1570699231173</t>
  </si>
  <si>
    <t>-Lqoy4o5BPFdX2teI-Sz</t>
  </si>
  <si>
    <t>1570699237383</t>
  </si>
  <si>
    <t>-Lqoy6XvsQlIRPbNMIMQ</t>
  </si>
  <si>
    <t>1570699244613</t>
  </si>
  <si>
    <t>-Lqoy861nWOauF57YugS</t>
  </si>
  <si>
    <t>1570699250784</t>
  </si>
  <si>
    <t>-Lqoy9otQAn_GzcNUW-v</t>
  </si>
  <si>
    <t>1570699257991</t>
  </si>
  <si>
    <t>-LqoyBNsCr7hMIxTDpPo</t>
  </si>
  <si>
    <t>1570699264174</t>
  </si>
  <si>
    <t>-LqoyDBXW01mp06h4B9C</t>
  </si>
  <si>
    <t>1570699271394</t>
  </si>
  <si>
    <t>-LqoyEtvxOrXP4QQI5dR</t>
  </si>
  <si>
    <t>1570699278604</t>
  </si>
  <si>
    <t>-LqoyGbQbCTa9zPXInPd</t>
  </si>
  <si>
    <t>1570699285824</t>
  </si>
  <si>
    <t>-LqoyIPjjzmC9pRLrrxz</t>
  </si>
  <si>
    <t>1570699293033</t>
  </si>
  <si>
    <t>-LqoyK6y0IWaPIh5lcoR</t>
  </si>
  <si>
    <t>1570699300226</t>
  </si>
  <si>
    <t>-LqoyLgj6eQG8ZPBgjJS</t>
  </si>
  <si>
    <t>1570699306413</t>
  </si>
  <si>
    <t>-LqoyNR9G8fqpMbxPS-G</t>
  </si>
  <si>
    <t>1570699313635</t>
  </si>
  <si>
    <t>-LqoyPBKxb_z8U3mudII</t>
  </si>
  <si>
    <t>1570699320855</t>
  </si>
  <si>
    <t>-LqoyQwBo3PAoHW6jA01</t>
  </si>
  <si>
    <t>1570699328064</t>
  </si>
  <si>
    <t>-LqoySitwOVN4HihPIPW</t>
  </si>
  <si>
    <t>1570699335274</t>
  </si>
  <si>
    <t>-LqoyUS2P1PJmyYcOIX6</t>
  </si>
  <si>
    <t>1570699342463</t>
  </si>
  <si>
    <t>-LqoyW-tSVbN1InBB516</t>
  </si>
  <si>
    <t>1570699348653</t>
  </si>
  <si>
    <t>-LqoyXj1JN7WtHek9Jq_</t>
  </si>
  <si>
    <t>1570699355906</t>
  </si>
  <si>
    <t>-LqoyZY8qZrsSP5CYJBN</t>
  </si>
  <si>
    <t>1570699363103</t>
  </si>
  <si>
    <t>-LqoyaDm0_F4pAajcGkv</t>
  </si>
  <si>
    <t>1570699370304</t>
  </si>
  <si>
    <t>-LqoybwdUqifVcMFYT3W</t>
  </si>
  <si>
    <t>1570699377312</t>
  </si>
  <si>
    <t>-LqoydVuWM63UwulLa5M</t>
  </si>
  <si>
    <t>1570699383714</t>
  </si>
  <si>
    <t>-LqoyfJvlQkl21BTUnNC</t>
  </si>
  <si>
    <t>1570699390925</t>
  </si>
  <si>
    <t>-Lqoyh1u6eUOs0iJ3WHz</t>
  </si>
  <si>
    <t>1570699398143</t>
  </si>
  <si>
    <t>-LqoyiWvkfVgWCvZ-r9T</t>
  </si>
  <si>
    <t>1570699404324</t>
  </si>
  <si>
    <t>-Lqoyk3mERwNpFX4-DQk</t>
  </si>
  <si>
    <t>1570699410504</t>
  </si>
  <si>
    <t>-LqoylnvgAh4D_WhfWXY</t>
  </si>
  <si>
    <t>1570699417734</t>
  </si>
  <si>
    <t>-LqoynN2JSij7O6tiEcI</t>
  </si>
  <si>
    <t>1570699423903</t>
  </si>
  <si>
    <t>-Lqoyp4jXsjDmGQ8kYHE</t>
  </si>
  <si>
    <t>1570699431104</t>
  </si>
  <si>
    <t>-LqoyqdtXdKiHQHsn7nf</t>
  </si>
  <si>
    <t>1570699437304</t>
  </si>
  <si>
    <t>-LqoysLeywvFpl4chk_j</t>
  </si>
  <si>
    <t>1570699444514</t>
  </si>
  <si>
    <t>-Lqoyu9tI1MjyuRdk8hf</t>
  </si>
  <si>
    <t>1570699451723</t>
  </si>
  <si>
    <t>-LqoywC8QeGLJ7l1VHgE</t>
  </si>
  <si>
    <t>1570699460187</t>
  </si>
  <si>
    <t>-Lqoyxv8_DazUGQ_J6qR</t>
  </si>
  <si>
    <t>1570699467180</t>
  </si>
  <si>
    <t>-Lqoyzi8EWzNPc-BLHy_</t>
  </si>
  <si>
    <t>1570699474398</t>
  </si>
  <si>
    <t>-Lqoz0Qzq_pMv4Gs6mxC</t>
  </si>
  <si>
    <t>1570699481619</t>
  </si>
  <si>
    <t>-Lqoz2EAonzOfALKAtUh</t>
  </si>
  <si>
    <t>1570699488830</t>
  </si>
  <si>
    <t>-Lqoz3xEa5hbcR5GPv7c</t>
  </si>
  <si>
    <t>1570699496041</t>
  </si>
  <si>
    <t>-Lqoz5jzqSUIXHlsMWUE</t>
  </si>
  <si>
    <t>1570699503250</t>
  </si>
  <si>
    <t>-Lqoz7T6PKkkpq69bAYg</t>
  </si>
  <si>
    <t>1570699510471</t>
  </si>
  <si>
    <t>-Lqoz9Fz9UlP11OX2YfL</t>
  </si>
  <si>
    <t>1570699517680</t>
  </si>
  <si>
    <t>-LqozAxrP6kdyt5fp4lw</t>
  </si>
  <si>
    <t>1570699524869</t>
  </si>
  <si>
    <t>-LqozCw8NRW6VREcAIsJ</t>
  </si>
  <si>
    <t>1570699531070</t>
  </si>
  <si>
    <t>-LqozEe74dLw-wu94nKa</t>
  </si>
  <si>
    <t>1570699539838</t>
  </si>
  <si>
    <t>-LqozGI6HUQh3VtsVHJc</t>
  </si>
  <si>
    <t>1570699546529</t>
  </si>
  <si>
    <t>-LqozI-yEzrkDtAIy-KX</t>
  </si>
  <si>
    <t>1570699553752</t>
  </si>
  <si>
    <t>-LqozJo8zm2BKmljFaUI</t>
  </si>
  <si>
    <t>1570699560958</t>
  </si>
  <si>
    <t>-LqozLXHZfy1u3AbEC7l</t>
  </si>
  <si>
    <t>1570699568169</t>
  </si>
  <si>
    <t>-LqozN4xyyUrw_xl6sxV</t>
  </si>
  <si>
    <t>1570699574359</t>
  </si>
  <si>
    <t>-LqozP1U8AyTLURHoAtu</t>
  </si>
  <si>
    <t>1570699581578</t>
  </si>
  <si>
    <t>-LqozQayL5yalO3TTJ8V</t>
  </si>
  <si>
    <t>1570699588778</t>
  </si>
  <si>
    <t>-LqozSPbWhKH02ems6uN</t>
  </si>
  <si>
    <t>1570699596000</t>
  </si>
  <si>
    <t>-LqozU6qcIlVF3dAFc1A</t>
  </si>
  <si>
    <t>1570699603209</t>
  </si>
  <si>
    <t>-LqozVuzMVaOHoeobEqW</t>
  </si>
  <si>
    <t>1570699610446</t>
  </si>
  <si>
    <t>-LqozXcxrpqtL6VtViDr</t>
  </si>
  <si>
    <t>1570699617639</t>
  </si>
  <si>
    <t>-LqozZPhWEcLOxtXaMZo</t>
  </si>
  <si>
    <t>1570699624849</t>
  </si>
  <si>
    <t>-Lqoza8zbeRI3DsZK9ea</t>
  </si>
  <si>
    <t>1570699632070</t>
  </si>
  <si>
    <t>-Lqozbx89JftC2_iSCOa</t>
  </si>
  <si>
    <t>1570699639280</t>
  </si>
  <si>
    <t>-Lqozdf7zz2RfThCRF7h</t>
  </si>
  <si>
    <t>1570699646469</t>
  </si>
  <si>
    <t>-LqozfE0yGgNUXkJstSQ</t>
  </si>
  <si>
    <t>1570699652680</t>
  </si>
  <si>
    <t>-LqozgwzXv3zCV_uqPo0</t>
  </si>
  <si>
    <t>1570699659888</t>
  </si>
  <si>
    <t>-LqozijyZ35O7ZQ4hiRP</t>
  </si>
  <si>
    <t>1570699667098</t>
  </si>
  <si>
    <t>-LqozkSxfsVoS_aa97Wp</t>
  </si>
  <si>
    <t>1570699674317</t>
  </si>
  <si>
    <t>-LqozmFzL24QYo5SO6Mb</t>
  </si>
  <si>
    <t>1570699681529</t>
  </si>
  <si>
    <t>-LqoznyyW42Gp0VoDwcp</t>
  </si>
  <si>
    <t>1570699688709</t>
  </si>
  <si>
    <t>-LqozpqjTfDldm4OcT2o</t>
  </si>
  <si>
    <t>1570699694900</t>
  </si>
  <si>
    <t>-LqozrTmgMPfApIg1f6A</t>
  </si>
  <si>
    <t>1570699703175</t>
  </si>
  <si>
    <t>-Lqozt2vRibDTBr0Ujvx</t>
  </si>
  <si>
    <t>1570699709343</t>
  </si>
  <si>
    <t>-LqozulufuccbEQ7CiQH</t>
  </si>
  <si>
    <t>1570699716544</t>
  </si>
  <si>
    <t>-LqozwZsbTAXdm4VvgzU</t>
  </si>
  <si>
    <t>1570699723763</t>
  </si>
  <si>
    <t>-LqozyHjkPly7Q_aABTK</t>
  </si>
  <si>
    <t>1570699730953</t>
  </si>
  <si>
    <t>-Lqozzqu9C4LGWJoxrwq</t>
  </si>
  <si>
    <t>1570699737165</t>
  </si>
  <si>
    <t>-Lqp-0Zs93_Yg4NIpNOz</t>
  </si>
  <si>
    <t>1570699744385</t>
  </si>
  <si>
    <t>-Lqp-2MtO7_Sa3RxsijT</t>
  </si>
  <si>
    <t>1570699751594</t>
  </si>
  <si>
    <t>-Lqp-4Et3O8eGuz5JAsf</t>
  </si>
  <si>
    <t>1570699759367</t>
  </si>
  <si>
    <t>-Lqp-5stAMnDFpSY24vG</t>
  </si>
  <si>
    <t>1570699766023</t>
  </si>
  <si>
    <t>-Lqp-7atcOf6UtDL7VrW</t>
  </si>
  <si>
    <t>1570699773253</t>
  </si>
  <si>
    <t>-Lqp-9OuKky8FWnQ6s0j</t>
  </si>
  <si>
    <t>1570699780443</t>
  </si>
  <si>
    <t>-Lqp-B6t4vlxDbgp5t2W</t>
  </si>
  <si>
    <t>1570699787654</t>
  </si>
  <si>
    <t>-Lqp-CftHkAs11WUZ5Iu</t>
  </si>
  <si>
    <t>1570699793844</t>
  </si>
  <si>
    <t>-Lqp-EOks25TlJl5K598</t>
  </si>
  <si>
    <t>1570699801033</t>
  </si>
  <si>
    <t>-Lqp-FxtSyMJSKwWaf8C</t>
  </si>
  <si>
    <t>1570699807224</t>
  </si>
  <si>
    <t>-Lqp-HftZgvRLx_Szn1O</t>
  </si>
  <si>
    <t>1570699814465</t>
  </si>
  <si>
    <t>-Lqp-JSdS7p99w2Cu4dd</t>
  </si>
  <si>
    <t>1570699821663</t>
  </si>
  <si>
    <t>-Lqp-LBthwGgFTmvbYQs</t>
  </si>
  <si>
    <t>1570699828864</t>
  </si>
  <si>
    <t>-Lqp-MjcQWeywI4EHJKe</t>
  </si>
  <si>
    <t>1570699835053</t>
  </si>
  <si>
    <t>-Lqp-OEt_aCgQNdTx01U</t>
  </si>
  <si>
    <t>1570699841243</t>
  </si>
  <si>
    <t>-Lqp-Py2i-Zfz0J_X4mA</t>
  </si>
  <si>
    <t>1570699848433</t>
  </si>
  <si>
    <t>-Lqp-RX1c2K3ktcHjdCq</t>
  </si>
  <si>
    <t>1570699854643</t>
  </si>
  <si>
    <t>-Lqp-TEtzGIUCoV37we-</t>
  </si>
  <si>
    <t>1570699861833</t>
  </si>
  <si>
    <t>-Lqp-UnsGISg4eujPnHT</t>
  </si>
  <si>
    <t>1570699868014</t>
  </si>
  <si>
    <t>-Lqp-WWuo57q1KrEu9nO</t>
  </si>
  <si>
    <t>1570699875263</t>
  </si>
  <si>
    <t>-Lqp-YJsSzga3V8vT0dz</t>
  </si>
  <si>
    <t>1570699882474</t>
  </si>
  <si>
    <t>-Lqp-_1tLn-KuFIyqgox</t>
  </si>
  <si>
    <t>1570699889663</t>
  </si>
  <si>
    <t>-Lqp-aas7vBb5JGMYFA0</t>
  </si>
  <si>
    <t>1570699895863</t>
  </si>
  <si>
    <t>-Lqp-cJsA9OgOLw3jydD</t>
  </si>
  <si>
    <t>1570699903084</t>
  </si>
  <si>
    <t>-Lqp-e6tRPKoFWU7KhyF</t>
  </si>
  <si>
    <t>1570699910294</t>
  </si>
  <si>
    <t>-Lqp-fpurtDzvBLEieFr</t>
  </si>
  <si>
    <t>1570699917505</t>
  </si>
  <si>
    <t>-Lqp-hxBw1Q5cJnUOFGe</t>
  </si>
  <si>
    <t>1570699924715</t>
  </si>
  <si>
    <t>-Lqp-jfTui0vQffTbt5J</t>
  </si>
  <si>
    <t>1570699932963</t>
  </si>
  <si>
    <t>-Lqp-lMkK4aCq3YTpneh</t>
  </si>
  <si>
    <t>1570699940172</t>
  </si>
  <si>
    <t>-Lqp-n9k3wIGDdFdtNsg</t>
  </si>
  <si>
    <t>1570699947383</t>
  </si>
  <si>
    <t>-Lqp-osmWy_V0NxhPKWE</t>
  </si>
  <si>
    <t>1570699954601</t>
  </si>
  <si>
    <t>-Lqp-qh0S2504I1q-5do</t>
  </si>
  <si>
    <t>1570699961920</t>
  </si>
  <si>
    <t>-Lqp-sOmgJiC1tglIxzO</t>
  </si>
  <si>
    <t>1570699969023</t>
  </si>
  <si>
    <t>-Lqp-uBlCi8TgJruCyWw</t>
  </si>
  <si>
    <t>1570699976242</t>
  </si>
  <si>
    <t>-Lqp-vvrmVGkMzJ462Rv</t>
  </si>
  <si>
    <t>1570699983422</t>
  </si>
  <si>
    <t>-Lqp-xTlUrjUwf0q25QU</t>
  </si>
  <si>
    <t>1570699989615</t>
  </si>
  <si>
    <t>-Lqp-zCq5dIwDUNq_mG_</t>
  </si>
  <si>
    <t>1570699996861</t>
  </si>
  <si>
    <t>-Lqp0-zn9iMHH4ueH1_j</t>
  </si>
  <si>
    <t>1570700004061</t>
  </si>
  <si>
    <t>-Lqp01iMiBHwrF5xFWVj</t>
  </si>
  <si>
    <t>1570700011263</t>
  </si>
  <si>
    <t>-Lqp03ITz1m5yAXb_oeU</t>
  </si>
  <si>
    <t>1570700017451</t>
  </si>
  <si>
    <t>-Lqp04zb0yikEL3iDjph</t>
  </si>
  <si>
    <t>1570700024681</t>
  </si>
  <si>
    <t>-Lqp06mmg4VG4w2rnTbk</t>
  </si>
  <si>
    <t>1570700031892</t>
  </si>
  <si>
    <t>-Lqp08VmZEcr8Bu7tOPE</t>
  </si>
  <si>
    <t>1570700039102</t>
  </si>
  <si>
    <t>-Lqp0AIk9MYE5h4ylUtv</t>
  </si>
  <si>
    <t>1570700046302</t>
  </si>
  <si>
    <t>-Lqp0C0uCKRw19-zVkbE</t>
  </si>
  <si>
    <t>1570700053502</t>
  </si>
  <si>
    <t>-Lqp0DVVN4korK7q8iSv</t>
  </si>
  <si>
    <t>1570700059663</t>
  </si>
  <si>
    <t>-Lqp0F3mSOH747rPnSxf</t>
  </si>
  <si>
    <t>1570700065901</t>
  </si>
  <si>
    <t>-Lqp0Gnsmh1_Sbp8ivfP</t>
  </si>
  <si>
    <t>1570700073114</t>
  </si>
  <si>
    <t>-Lqp0ILmo9iqfh_ZjfjN</t>
  </si>
  <si>
    <t>1570700079302</t>
  </si>
  <si>
    <t>-Lqp0K3uqUhd779Q0Khz</t>
  </si>
  <si>
    <t>1570700086493</t>
  </si>
  <si>
    <t>-Lqp0Lsss0kp3fl6NQRy</t>
  </si>
  <si>
    <t>1570700093723</t>
  </si>
  <si>
    <t>-Lqp0NaslwE6wFv5joxY</t>
  </si>
  <si>
    <t>1570700100942</t>
  </si>
  <si>
    <t>-Lqp0P8mdqrZgCr_2gQv</t>
  </si>
  <si>
    <t>1570700107122</t>
  </si>
  <si>
    <t>-Lqp0QrkXNUT56BeN67_</t>
  </si>
  <si>
    <t>1570700114302</t>
  </si>
  <si>
    <t>-Lqp0Sjly74oa55XjMV3</t>
  </si>
  <si>
    <t>1570700121785</t>
  </si>
  <si>
    <t>-Lqp0UNaeomqmy1IcvwX</t>
  </si>
  <si>
    <t>1570700128743</t>
  </si>
  <si>
    <t>-Lqp0VwmydsLpW7skeok</t>
  </si>
  <si>
    <t>1570700134943</t>
  </si>
  <si>
    <t>-Lqp0XdeJ5LPp8e-H1px</t>
  </si>
  <si>
    <t>1570700142141</t>
  </si>
  <si>
    <t>-Lqp0ZEE0sHn6FChADwp</t>
  </si>
  <si>
    <t>1570700148343</t>
  </si>
  <si>
    <t>-Lqp0_xql91-WFVwlQ3B</t>
  </si>
  <si>
    <t>1570700155552</t>
  </si>
  <si>
    <t>-Lqp0c3a8i72doz7XULh</t>
  </si>
  <si>
    <t>1570700164245</t>
  </si>
  <si>
    <t>-Lqp0dmMn99nmoV09Xx5</t>
  </si>
  <si>
    <t>1570700171046</t>
  </si>
  <si>
    <t>-Lqp0fVkXrj_PsEYwgta</t>
  </si>
  <si>
    <t>1570700178236</t>
  </si>
  <si>
    <t>-Lqp0hIvgx3ElnYTN645</t>
  </si>
  <si>
    <t>1570700185445</t>
  </si>
  <si>
    <t>-Lqp0j07s4837UFgZ_FL</t>
  </si>
  <si>
    <t>1570700192657</t>
  </si>
  <si>
    <t>-Lqp0kou03la4PMrzXiV</t>
  </si>
  <si>
    <t>1570700199876</t>
  </si>
  <si>
    <t>-Lqp0mY3qTwwnV1JV4_I</t>
  </si>
  <si>
    <t>1570700207105</t>
  </si>
  <si>
    <t>-Lqp0oL34jucivq3PgdV</t>
  </si>
  <si>
    <t>1570700214307</t>
  </si>
  <si>
    <t>-Lqp0q4AWBHJWrszoqTG</t>
  </si>
  <si>
    <t>1570700221506</t>
  </si>
  <si>
    <t>-Lqp0rbuBozJ-0KbUzZZ</t>
  </si>
  <si>
    <t>1570700227698</t>
  </si>
  <si>
    <t>-Lqp0tKvZuvzrxlnRCz5</t>
  </si>
  <si>
    <t>1570700234915</t>
  </si>
  <si>
    <t>-Lqp0v7u416Yvh27yMNK</t>
  </si>
  <si>
    <t>1570700242360</t>
  </si>
  <si>
    <t>-Lqp0wquutmeov_WzNvo</t>
  </si>
  <si>
    <t>1570700249346</t>
  </si>
  <si>
    <t>-Lqp0yduIuqLVnYT7jvo</t>
  </si>
  <si>
    <t>1570700256555</t>
  </si>
  <si>
    <t>-Lqp1-Mu62MXYcUURfA5</t>
  </si>
  <si>
    <t>1570700263747</t>
  </si>
  <si>
    <t>-Lqp119uKD29jTb9GnJb</t>
  </si>
  <si>
    <t>1570700270991</t>
  </si>
  <si>
    <t>-Lqp12sua41w6cStJz7w</t>
  </si>
  <si>
    <t>1570700278205</t>
  </si>
  <si>
    <t>-Lqp14TAdtEX_H7AoXq4</t>
  </si>
  <si>
    <t>1570700284377</t>
  </si>
  <si>
    <t>-Lqp16A7NPq3QXmC0HGM</t>
  </si>
  <si>
    <t>1570700291587</t>
  </si>
  <si>
    <t>-Lqp17xvft8CRlbXGEk5</t>
  </si>
  <si>
    <t>1570700298805</t>
  </si>
  <si>
    <t>-Lqp19s3elQC_0xfcGCS</t>
  </si>
  <si>
    <t>1570700305997</t>
  </si>
  <si>
    <t>-Lqp1BU3S7atjlW-4y0d</t>
  </si>
  <si>
    <t>1570700313236</t>
  </si>
  <si>
    <t>-Lqp1DBJecmZMVEY7uog</t>
  </si>
  <si>
    <t>1570700320445</t>
  </si>
  <si>
    <t>-Lqp1EzvyTl-7NL6Hb3O</t>
  </si>
  <si>
    <t>1570700327665</t>
  </si>
  <si>
    <t>-Lqp1GhvD4xMfbMQWqfT</t>
  </si>
  <si>
    <t>1570700334846</t>
  </si>
  <si>
    <t>-Lqp1IH4UCAGcKl8E7K9</t>
  </si>
  <si>
    <t>1570700341055</t>
  </si>
  <si>
    <t>-Lqp1JzuKEXsQHwp6V9z</t>
  </si>
  <si>
    <t>1570700348285</t>
  </si>
  <si>
    <t>-Lqp1LmvQDL1VCjHkeJc</t>
  </si>
  <si>
    <t>1570700355486</t>
  </si>
  <si>
    <t>-Lqp1NW5DrqmLA6ddI8n</t>
  </si>
  <si>
    <t>1570700362706</t>
  </si>
  <si>
    <t>-Lqp1P8vYhEBZDe4H6N5</t>
  </si>
  <si>
    <t>1570700369146</t>
  </si>
  <si>
    <t>-Lqp1QmvDTzb2aYzOHCE</t>
  </si>
  <si>
    <t>1570700376076</t>
  </si>
  <si>
    <t>-Lqp1SMXUxEufofWK9UK</t>
  </si>
  <si>
    <t>1570700382266</t>
  </si>
  <si>
    <t>-Lqp1U3vveREEHYtkfCl</t>
  </si>
  <si>
    <t>1570700389506</t>
  </si>
  <si>
    <t>-Lqp1WAsUKZ0QI9jtBDm</t>
  </si>
  <si>
    <t>1570700396716</t>
  </si>
  <si>
    <t>-Lqp1Xoje19XokQyOk98</t>
  </si>
  <si>
    <t>1570700404951</t>
  </si>
  <si>
    <t>-Lqp1ZNyIEHlGMmtQOmR</t>
  </si>
  <si>
    <t>1570700411133</t>
  </si>
  <si>
    <t>-Lqp1a5shpGeQ_SR7WEN</t>
  </si>
  <si>
    <t>1570700418363</t>
  </si>
  <si>
    <t>-Lqp1berpvr8QvAdoOCM</t>
  </si>
  <si>
    <t>1570700424541</t>
  </si>
  <si>
    <t>-Lqp1dNsHFfnI8GgYl7q</t>
  </si>
  <si>
    <t>1570700431743</t>
  </si>
  <si>
    <t>-Lqp1fB0UV_-9QwGXooU</t>
  </si>
  <si>
    <t>1570700438962</t>
  </si>
  <si>
    <t>-Lqp1gtspdMrGReTBUPB</t>
  </si>
  <si>
    <t>1570700446143</t>
  </si>
  <si>
    <t>-Lqp1iSrmzsJ3KKmMuqX</t>
  </si>
  <si>
    <t>1570700452333</t>
  </si>
  <si>
    <t>-Lqp1kPqnQEi05quSylC</t>
  </si>
  <si>
    <t>1570700459581</t>
  </si>
  <si>
    <t>-Lqp1m-6t_kJtKfkzDvh</t>
  </si>
  <si>
    <t>1570700466781</t>
  </si>
  <si>
    <t>-Lqp1nlqQngNQPSNn63m</t>
  </si>
  <si>
    <t>1570700473982</t>
  </si>
  <si>
    <t>-Lqp1pUr3aRQgSfSMl6B</t>
  </si>
  <si>
    <t>1570700481212</t>
  </si>
  <si>
    <t>-Lqp1rChpx27ALL5qxIx</t>
  </si>
  <si>
    <t>1570700488400</t>
  </si>
  <si>
    <t>-Lqp1smVp-BKYd2dsA8Q</t>
  </si>
  <si>
    <t>1570700494611</t>
  </si>
  <si>
    <t>-Lqp1uV-cvWMgDW2NRzB</t>
  </si>
  <si>
    <t>1570700501821</t>
  </si>
  <si>
    <t>-Lqp1wO6vmFtoyjxDIZ7</t>
  </si>
  <si>
    <t>1570700509041</t>
  </si>
  <si>
    <t>-Lqp1xzmUfWVBQ4wx5rS</t>
  </si>
  <si>
    <t>1570700516221</t>
  </si>
  <si>
    <t>-Lqp1zo-0JBHebgrWTAg</t>
  </si>
  <si>
    <t>1570700523463</t>
  </si>
  <si>
    <t>-Lqp20Wq14YNsMSTXOGT</t>
  </si>
  <si>
    <t>1570700530661</t>
  </si>
  <si>
    <t>-Lqp223aKab29MVDkHSK</t>
  </si>
  <si>
    <t>1570700536864</t>
  </si>
  <si>
    <t>-Lqp23mxQfCkNdVveBjn</t>
  </si>
  <si>
    <t>1570700544061</t>
  </si>
  <si>
    <t>-Lqp25MsWhZZFSqEl6sT</t>
  </si>
  <si>
    <t>1570700550413</t>
  </si>
  <si>
    <t>-Lqp274hPCIAoF4mlEeU</t>
  </si>
  <si>
    <t>1570700557472</t>
  </si>
  <si>
    <t>-Lqp28rk_B4bRwSpu72h</t>
  </si>
  <si>
    <t>1570700564682</t>
  </si>
  <si>
    <t>-Lqp2AasRFqLmSV_-o1_</t>
  </si>
  <si>
    <t>1570700571902</t>
  </si>
  <si>
    <t>-Lqp2CNmc3ldep4teIqa</t>
  </si>
  <si>
    <t>1570700579112</t>
  </si>
  <si>
    <t>-Lqp2E7-WuiFxsg8TNvr</t>
  </si>
  <si>
    <t>1570700586306</t>
  </si>
  <si>
    <t>-Lqp2Ffs_LMkBZXjFdeJ</t>
  </si>
  <si>
    <t>1570700592503</t>
  </si>
  <si>
    <t>-Lqp2HOqVAzuzAI1C1k2</t>
  </si>
  <si>
    <t>1570700599750</t>
  </si>
  <si>
    <t>-Lqp2JCUjGCsbEvnhvqx</t>
  </si>
  <si>
    <t>1570700606944</t>
  </si>
  <si>
    <t>-Lqp2KusbK5vOWIermE4</t>
  </si>
  <si>
    <t>1570700614142</t>
  </si>
  <si>
    <t>-Lqp2Mj7VtMjqi6ZOCvF</t>
  </si>
  <si>
    <t>1570700621362</t>
  </si>
  <si>
    <t>-Lqp2OjX_tmtgRhMwVSd</t>
  </si>
  <si>
    <t>1570700628557</t>
  </si>
  <si>
    <t>-Lqp2QSsTeXC1k_W1bls</t>
  </si>
  <si>
    <t>1570700636823</t>
  </si>
  <si>
    <t>-Lqp2SRHfBDdj7uCHRUM</t>
  </si>
  <si>
    <t>1570700644032</t>
  </si>
  <si>
    <t>-Lqp2TyaXoybsnfmypX1</t>
  </si>
  <si>
    <t>1570700651262</t>
  </si>
  <si>
    <t>-Lqp2VSjz5BeAlPcYUZR</t>
  </si>
  <si>
    <t>1570700657433</t>
  </si>
  <si>
    <t>-Lqp2X0sWkOdqASn5OwH</t>
  </si>
  <si>
    <t>1570700663623</t>
  </si>
  <si>
    <t>-Lqp2YVp4gpWE8DhXi32</t>
  </si>
  <si>
    <t>1570700669797</t>
  </si>
  <si>
    <t>-Lqp2_J-rgjuG9-eBLAy</t>
  </si>
  <si>
    <t>1570700677013</t>
  </si>
  <si>
    <t>-Lqp2b-clrIBSIcNlLka</t>
  </si>
  <si>
    <t>1570700684222</t>
  </si>
  <si>
    <t>-Lqp2coi5S7OccGYiVNk</t>
  </si>
  <si>
    <t>1570700691443</t>
  </si>
  <si>
    <t>-Lqp2eY0WlFGo6-HPgFN</t>
  </si>
  <si>
    <t>1570700698633</t>
  </si>
  <si>
    <t>-Lqp2g5qDMRyPsWAe4TG</t>
  </si>
  <si>
    <t>1570700704813</t>
  </si>
  <si>
    <t>-Lqp2hq-Kh_c1q2tHngY</t>
  </si>
  <si>
    <t>1570700712062</t>
  </si>
  <si>
    <t>-Lqp2jce5pfkXCz99Hr4</t>
  </si>
  <si>
    <t>1570700719273</t>
  </si>
  <si>
    <t>-Lqp2lihsfgucI1o3WGZ</t>
  </si>
  <si>
    <t>1570700727606</t>
  </si>
  <si>
    <t>-Lqp2nMq1CmqSjNFahvv</t>
  </si>
  <si>
    <t>1570700734721</t>
  </si>
  <si>
    <t>-Lqp2pOyac8kXvfCLbjr</t>
  </si>
  <si>
    <t>1570700743046</t>
  </si>
  <si>
    <t>-Lqp2r6ru62DKUnyNoEq</t>
  </si>
  <si>
    <t>1570700750152</t>
  </si>
  <si>
    <t>-Lqp2sfyUeqhODPU5s5b</t>
  </si>
  <si>
    <t>1570700756342</t>
  </si>
  <si>
    <t>-Lqp2uOrC9LivkEktcRj</t>
  </si>
  <si>
    <t>1570700763582</t>
  </si>
  <si>
    <t>-Lqp2wBtz5ZjkNHt7kdS</t>
  </si>
  <si>
    <t>1570700770802</t>
  </si>
  <si>
    <t>-Lqp2y3CJlC-OfWOAFbo</t>
  </si>
  <si>
    <t>1570700777981</t>
  </si>
  <si>
    <t>-Lqp2zhsm6jkRCW_zZcS</t>
  </si>
  <si>
    <t>1570700785222</t>
  </si>
  <si>
    <t>-Lqp30Qqeh97QZSUrMgZ</t>
  </si>
  <si>
    <t>1570700792452</t>
  </si>
  <si>
    <t>-Lqp31zs2LjAyvrB930T</t>
  </si>
  <si>
    <t>1570700798622</t>
  </si>
  <si>
    <t>-Lqp33hs_ZPcBDiq9FXM</t>
  </si>
  <si>
    <t>1570700805822</t>
  </si>
  <si>
    <t>-Lqp35Vs3KFqlX1F934v</t>
  </si>
  <si>
    <t>1570700813050</t>
  </si>
  <si>
    <t>-Lqp37F7DPGSRw1sVShK</t>
  </si>
  <si>
    <t>1570700820231</t>
  </si>
  <si>
    <t>-Lqp38llp-PjrxiPyuUK</t>
  </si>
  <si>
    <t>1570700826423</t>
  </si>
  <si>
    <t>-Lqp3AotDJV7M8BxGQqM</t>
  </si>
  <si>
    <t>1570700834767</t>
  </si>
  <si>
    <t>-Lqp3CXsykW9StWXp-fD</t>
  </si>
  <si>
    <t>1570700841903</t>
  </si>
  <si>
    <t>-Lqp3EFt2rZBtZXzwWIL</t>
  </si>
  <si>
    <t>1570700849084</t>
  </si>
  <si>
    <t>-Lqp3FoieY0mqcFKrP3j</t>
  </si>
  <si>
    <t>1570700855302</t>
  </si>
  <si>
    <t>-Lqp3HXsWaw7ZB5nH0OI</t>
  </si>
  <si>
    <t>1570700862531</t>
  </si>
  <si>
    <t>-Lqp3JL2dtyDMfBvyWyc</t>
  </si>
  <si>
    <t>1570700869743</t>
  </si>
  <si>
    <t>-Lqp3L2ugtf9-L7eEy_d</t>
  </si>
  <si>
    <t>1570700876946</t>
  </si>
  <si>
    <t>-Lqp3MsAFlHxB42jYH8k</t>
  </si>
  <si>
    <t>1570700884166</t>
  </si>
  <si>
    <t>-Lqp3Oale2KMfsTqYLoi</t>
  </si>
  <si>
    <t>1570700891393</t>
  </si>
  <si>
    <t>-Lqp3Q7WAo_6KpC1C72O</t>
  </si>
  <si>
    <t>1570700897585</t>
  </si>
  <si>
    <t>-Lqp3Rrpw4BULSCe7GO5</t>
  </si>
  <si>
    <t>1570700904782</t>
  </si>
  <si>
    <t>-Lqp3TMuxiDbhaQ45ciJ</t>
  </si>
  <si>
    <t>1570700910938</t>
  </si>
  <si>
    <t>-Lqp3UtkvKwSfQx5Rnzw</t>
  </si>
  <si>
    <t>1570700917194</t>
  </si>
  <si>
    <t>-Lqp3WP-d4G0Kvn17FUS</t>
  </si>
  <si>
    <t>1570700923334</t>
  </si>
  <si>
    <t>-Lqp3XuRufefe3wZ7nqX</t>
  </si>
  <si>
    <t>1570700929496</t>
  </si>
  <si>
    <t>-Lqp3ZQp_-_bV2yUsodj</t>
  </si>
  <si>
    <t>1570700935730</t>
  </si>
  <si>
    <t>-Lqp3_y5JVASxMG82A2X</t>
  </si>
  <si>
    <t>1570700941943</t>
  </si>
  <si>
    <t>-Lqp3bkJLuZu2YZi-3Qj</t>
  </si>
  <si>
    <t>1570700949108</t>
  </si>
  <si>
    <t>-Lqp3dQmD-88eoOEMkAV</t>
  </si>
  <si>
    <t>1570700956303</t>
  </si>
  <si>
    <t>-Lqp3exdt13A_64IitO_</t>
  </si>
  <si>
    <t>1570700962543</t>
  </si>
  <si>
    <t>-Lqp3gR_WJez6ZVViUO0</t>
  </si>
  <si>
    <t>1570700968685</t>
  </si>
  <si>
    <t>-Lqp3iH2hyQ5i8k8qM7R</t>
  </si>
  <si>
    <t>1570700975887</t>
  </si>
  <si>
    <t>-Lqp3k-2EBAH_QFT3T_w</t>
  </si>
  <si>
    <t>1570700983106</t>
  </si>
  <si>
    <t>-Lqp3ln3YS4TF-CG4rQf</t>
  </si>
  <si>
    <t>1570700990318</t>
  </si>
  <si>
    <t>-Lqp3nUiYI-ak4aDX3cv</t>
  </si>
  <si>
    <t>1570700997505</t>
  </si>
  <si>
    <t>-Lqp3p-CN4dFUizfFpaK</t>
  </si>
  <si>
    <t>1570701003693</t>
  </si>
  <si>
    <t>-Lqp3qX55_prtmE9RtBt</t>
  </si>
  <si>
    <t>1570701009970</t>
  </si>
  <si>
    <t>-Lqp3s1eGh6Hcfmtqhyg</t>
  </si>
  <si>
    <t>1570701016058</t>
  </si>
  <si>
    <t>-Lqp3tWRu8DTFMdhi4pV</t>
  </si>
  <si>
    <t>1570701022254</t>
  </si>
  <si>
    <t>-Lqp3v1kfETLRcOUcMPB</t>
  </si>
  <si>
    <t>1570701028428</t>
  </si>
  <si>
    <t>-Lqp3wb-gU5_3fVXIh-2</t>
  </si>
  <si>
    <t>1570701034638</t>
  </si>
  <si>
    <t>-Lqp3yBu0yKIglhS5mq_</t>
  </si>
  <si>
    <t>1570701040798</t>
  </si>
  <si>
    <t>-Lqp3zpNSkwnH9cY5KnD</t>
  </si>
  <si>
    <t>1570701048028</t>
  </si>
  <si>
    <t>-Lqp40L2ouEJbj93rsd_</t>
  </si>
  <si>
    <t>1570701054195</t>
  </si>
  <si>
    <t>-Lqp41rEknFegOWtkEfe</t>
  </si>
  <si>
    <t>1570701060394</t>
  </si>
  <si>
    <t>-Lqp43MUn90imEILr4Uj</t>
  </si>
  <si>
    <t>1570701066555</t>
  </si>
  <si>
    <t>-Lqp44rkcPxR1O9H0v2_</t>
  </si>
  <si>
    <t>1570701072746</t>
  </si>
  <si>
    <t>-Lqp46N0_wIprgY-MKPW</t>
  </si>
  <si>
    <t>1570701078945</t>
  </si>
  <si>
    <t>-Lqp4897TjpmqzUeAXk3</t>
  </si>
  <si>
    <t>1570701085108</t>
  </si>
  <si>
    <t>-Lqp49eiRu5-9BYGJRxD</t>
  </si>
  <si>
    <t>1570701092341</t>
  </si>
  <si>
    <t>-Lqp4B8kVh-qBtdKWERj</t>
  </si>
  <si>
    <t>1570701098521</t>
  </si>
  <si>
    <t>-Lqp4CgPD5IV1tTIDWK6</t>
  </si>
  <si>
    <t>1570701104751</t>
  </si>
  <si>
    <t>-Lqp4EBkYPWrYEtynDd2</t>
  </si>
  <si>
    <t>1570701110905</t>
  </si>
  <si>
    <t>-Lqp4Fhc2FZlr1ncbOP6</t>
  </si>
  <si>
    <t>1570701117111</t>
  </si>
  <si>
    <t>-Lqp4HCrsFpd8Bk8h7Vf</t>
  </si>
  <si>
    <t>1570701123272</t>
  </si>
  <si>
    <t>-Lqp4IhmvdaSlsTfrXUo</t>
  </si>
  <si>
    <t>1570701129432</t>
  </si>
  <si>
    <t>-Lqp4KEghXdEdl-EEDgy</t>
  </si>
  <si>
    <t>1570701135670</t>
  </si>
  <si>
    <t>-Lqp4M3qQNhXbKxPzR3S</t>
  </si>
  <si>
    <t>1570701142050</t>
  </si>
  <si>
    <t>-Lqp4Nka_5ldvylgAFXr</t>
  </si>
  <si>
    <t>1570701150072</t>
  </si>
  <si>
    <t>-Lqp4PH5tsehvIcPx1t2</t>
  </si>
  <si>
    <t>1570701156232</t>
  </si>
  <si>
    <t>-Lqp4QlK4rQ7kv5LPgt6</t>
  </si>
  <si>
    <t>1570701162393</t>
  </si>
  <si>
    <t>-Lqp4SHaXiZJ2bNyJ6yA</t>
  </si>
  <si>
    <t>1570701168636</t>
  </si>
  <si>
    <t>-Lqp4TmqcOC8Atui6EgG</t>
  </si>
  <si>
    <t>1570701174790</t>
  </si>
  <si>
    <t>-Lqp4VLZ5d23b0YrIglz</t>
  </si>
  <si>
    <t>1570701180977</t>
  </si>
  <si>
    <t>-Lqp4XKNIljZZ0MUntlX</t>
  </si>
  <si>
    <t>1570701189133</t>
  </si>
  <si>
    <t>-Lqp4YmIhY0GufKWy5v7</t>
  </si>
  <si>
    <t>1570701195376</t>
  </si>
  <si>
    <t>-Lqp4_JkaLyqJYf6JYVv</t>
  </si>
  <si>
    <t>1570701201616</t>
  </si>
  <si>
    <t>-Lqp4aspgT1CCsTzc8yL</t>
  </si>
  <si>
    <t>1570701207797</t>
  </si>
  <si>
    <t>-Lqp4cdYbOkz1itB5EWX</t>
  </si>
  <si>
    <t>1570701214995</t>
  </si>
  <si>
    <t>-Lqp4eLdxn-P45Kw0ttA</t>
  </si>
  <si>
    <t>1570701222182</t>
  </si>
  <si>
    <t>-Lqp4frnZ4bEdTO1ZK1h</t>
  </si>
  <si>
    <t>1570701228377</t>
  </si>
  <si>
    <t>-Lqp4hOYfTS8J1Gtn5nE</t>
  </si>
  <si>
    <t>1570701234596</t>
  </si>
  <si>
    <t>-Lqp4isKMVpxu2D_5g7y</t>
  </si>
  <si>
    <t>1570701240757</t>
  </si>
  <si>
    <t>-Lqp4kQOQEfMcgvP8sWi</t>
  </si>
  <si>
    <t>1570701246937</t>
  </si>
  <si>
    <t>-Lqp4luSKlLykS3LvfkN</t>
  </si>
  <si>
    <t>1570701253102</t>
  </si>
  <si>
    <t>-Lqp4nP4Ej9pUCnBJaky</t>
  </si>
  <si>
    <t>1570701259322</t>
  </si>
  <si>
    <t>-Lqp4ot4PoWgaiqT5Eqc</t>
  </si>
  <si>
    <t>1570701265461</t>
  </si>
  <si>
    <t>-Lqp4qQy0jA-vR8cD3JP</t>
  </si>
  <si>
    <t>1570701271647</t>
  </si>
  <si>
    <t>-Lqp4rwN-jJcR9DJRsHn</t>
  </si>
  <si>
    <t>1570701277835</t>
  </si>
  <si>
    <t>-Lqp4tVVGYZD25tspZRd</t>
  </si>
  <si>
    <t>1570701284096</t>
  </si>
  <si>
    <t>-Lqp4vD-Q2al7EKUFfbD</t>
  </si>
  <si>
    <t>1570701291246</t>
  </si>
  <si>
    <t>-Lqp4xb1_rKTGRgnMhPu</t>
  </si>
  <si>
    <t>1570701298448</t>
  </si>
  <si>
    <t>-Lqp4zIVwwvj6hEIBCy3</t>
  </si>
  <si>
    <t>1570701307731</t>
  </si>
  <si>
    <t>-Lqp50-3MPeKpeTFsflt</t>
  </si>
  <si>
    <t>1570701314942</t>
  </si>
  <si>
    <t>-Lqp527TA526ONOcGedZ</t>
  </si>
  <si>
    <t>1570701322161</t>
  </si>
  <si>
    <t>-Lqp53lgP8CzmnXN305c</t>
  </si>
  <si>
    <t>1570701330404</t>
  </si>
  <si>
    <t>-Lqp55IC0JFaLbHqxrEf</t>
  </si>
  <si>
    <t>1570701336605</t>
  </si>
  <si>
    <t>-Lqp56n3abfei4SroGyp</t>
  </si>
  <si>
    <t>1570701342799</t>
  </si>
  <si>
    <t>-Lqp58UFXHo6nlqXO5mu</t>
  </si>
  <si>
    <t>1570701348980</t>
  </si>
  <si>
    <t>-Lqp5A42jdPfvA9uIwBU</t>
  </si>
  <si>
    <t>1570701356181</t>
  </si>
  <si>
    <t>-Lqp5B_J2lJiY3rcrLti</t>
  </si>
  <si>
    <t>1570701362341</t>
  </si>
  <si>
    <t>-Lqp5DAni1mFHVRygYTp</t>
  </si>
  <si>
    <t>1570701368579</t>
  </si>
  <si>
    <t>-Lqp5ErONI65FGI_w2Nf</t>
  </si>
  <si>
    <t>1570701375769</t>
  </si>
  <si>
    <t>-Lqp5GMYvffjB0-QUehK</t>
  </si>
  <si>
    <t>1570701381930</t>
  </si>
  <si>
    <t>-Lqp5HrxSEbe6q61nJtH</t>
  </si>
  <si>
    <t>1570701388101</t>
  </si>
  <si>
    <t>-Lqp5JOI5TAnBB3eNk3_</t>
  </si>
  <si>
    <t>1570701394340</t>
  </si>
  <si>
    <t>-Lqp5KtbKNBID8zFOiyo</t>
  </si>
  <si>
    <t>1570701400491</t>
  </si>
  <si>
    <t>-Lqp5MN_yw-4JyPs_pH7</t>
  </si>
  <si>
    <t>1570701406661</t>
  </si>
  <si>
    <t>-Lqp5NvKYksat4LlheK3</t>
  </si>
  <si>
    <t>1570701412890</t>
  </si>
  <si>
    <t>-Lqp5POwqdTwYHbIrTAQ</t>
  </si>
  <si>
    <t>1570701419055</t>
  </si>
  <si>
    <t>-Lqp5Qy5c7S41t8EtcZD</t>
  </si>
  <si>
    <t>1570701425207</t>
  </si>
  <si>
    <t>-Lqp5SepMTUDKlPs6Fqb</t>
  </si>
  <si>
    <t>1570701432399</t>
  </si>
  <si>
    <t>-Lqp5UADDjZXiVJByEC-</t>
  </si>
  <si>
    <t>1570701438616</t>
  </si>
  <si>
    <t>-Lqp5VhoOvtfJj4jLStm</t>
  </si>
  <si>
    <t>1570701444788</t>
  </si>
  <si>
    <t>-Lqp5XS3C9lD2uuygF55</t>
  </si>
  <si>
    <t>1570701451998</t>
  </si>
  <si>
    <t>-Lqp5YztIVOeKUbUvn4c</t>
  </si>
  <si>
    <t>1570701458187</t>
  </si>
  <si>
    <t>-Lqp5_iwb9k0QQhM0PgS</t>
  </si>
  <si>
    <t>1570701465416</t>
  </si>
  <si>
    <t>-Lqp5bHnsODK1J9BudKo</t>
  </si>
  <si>
    <t>1570701471557</t>
  </si>
  <si>
    <t>-Lqp5d1PCHxMew6hiB_E</t>
  </si>
  <si>
    <t>1570701478801</t>
  </si>
  <si>
    <t>-Lqp5elfogOl62KmA2Ta</t>
  </si>
  <si>
    <t>1570701486009</t>
  </si>
  <si>
    <t>-Lqp5gH4PiiWWd-cHnVF</t>
  </si>
  <si>
    <t>1570701492189</t>
  </si>
  <si>
    <t>-Lqp5hmFoExYxtmoSzv_</t>
  </si>
  <si>
    <t>1570701498410</t>
  </si>
  <si>
    <t>-Lqp5jHJmfCLf_Wb3NLX</t>
  </si>
  <si>
    <t>1570701504554</t>
  </si>
  <si>
    <t>-Lqp5knqhzw36qIIhFaK</t>
  </si>
  <si>
    <t>1570701510736</t>
  </si>
  <si>
    <t>-Lqp5mKW-nB9pP27ihx4</t>
  </si>
  <si>
    <t>1570701516967</t>
  </si>
  <si>
    <t>-Lqp5o8DROPk-1cusvPF</t>
  </si>
  <si>
    <t>1570701524378</t>
  </si>
  <si>
    <t>-Lqp5puzfBljRG5ZZHH8</t>
  </si>
  <si>
    <t>1570701531707</t>
  </si>
  <si>
    <t>-Lqp5rbiFM0nOc36W7zb</t>
  </si>
  <si>
    <t>1570701538603</t>
  </si>
  <si>
    <t>-Lqp5t6zynP7XHIODvvF</t>
  </si>
  <si>
    <t>1570701544787</t>
  </si>
  <si>
    <t>-Lqp5ud-i813YbIN7QnH</t>
  </si>
  <si>
    <t>1570701550969</t>
  </si>
  <si>
    <t>-Lqp5w8jdf4BNO_HaQv4</t>
  </si>
  <si>
    <t>1570701557161</t>
  </si>
  <si>
    <t>-Lqp5xlVrQCNgMSNjxQw</t>
  </si>
  <si>
    <t>1570701563289</t>
  </si>
  <si>
    <t>-Lqp5zSZIIKAynh0NoUU</t>
  </si>
  <si>
    <t>1570701570519</t>
  </si>
  <si>
    <t>-Lqp609GYlCTzCYEwPsa</t>
  </si>
  <si>
    <t>1570701577708</t>
  </si>
  <si>
    <t>-Lqp61jXH3fEE_eQtou6</t>
  </si>
  <si>
    <t>1570701583909</t>
  </si>
  <si>
    <t>-Lqp63Q8BglwL_F-_IXQ</t>
  </si>
  <si>
    <t>1570701591129</t>
  </si>
  <si>
    <t>-Lqp65-HBRQnvYdHJYen</t>
  </si>
  <si>
    <t>1570701597323</t>
  </si>
  <si>
    <t>-Lqp66iHRk1XOI9Wf-bu</t>
  </si>
  <si>
    <t>1570701604528</t>
  </si>
  <si>
    <t>-Lqp68WGM0A05GUKJmtF</t>
  </si>
  <si>
    <t>1570701611739</t>
  </si>
  <si>
    <t>-Lqp6AEIFPH8o4VL6bOO</t>
  </si>
  <si>
    <t>1570701618959</t>
  </si>
  <si>
    <t>-Lqp6C017pYg5kMqfSSK</t>
  </si>
  <si>
    <t>1570701626169</t>
  </si>
  <si>
    <t>-Lqp6Dj9y5fGEaNrWJpB</t>
  </si>
  <si>
    <t>1570701633359</t>
  </si>
  <si>
    <t>-Lqp6FXAhySIK7_ywrGQ</t>
  </si>
  <si>
    <t>1570701640589</t>
  </si>
  <si>
    <t>-Lqp6HFUIqxQw0kqzTU4</t>
  </si>
  <si>
    <t>1570701647819</t>
  </si>
  <si>
    <t>-Lqp6Io2QUegkh5WNgPj</t>
  </si>
  <si>
    <t>1570701653990</t>
  </si>
  <si>
    <t>-Lqp6Km6qAXA-XPz3DLF</t>
  </si>
  <si>
    <t>1570701661199</t>
  </si>
  <si>
    <t>-Lqp6MLGqSTUYwLwvtEJ</t>
  </si>
  <si>
    <t>1570701668420</t>
  </si>
  <si>
    <t>-Lqp6O4XScuVy1tpj8Am</t>
  </si>
  <si>
    <t>1570701675610</t>
  </si>
  <si>
    <t>-Lqp6PbAjKEBwvqvfe9e</t>
  </si>
  <si>
    <t>1570701681801</t>
  </si>
  <si>
    <t>-Lqp6RL8IW3ug2jBQs4h</t>
  </si>
  <si>
    <t>1570701689039</t>
  </si>
  <si>
    <t>-Lqp6TD9zqtOEzXroORo</t>
  </si>
  <si>
    <t>1570701696797</t>
  </si>
  <si>
    <t>-Lqp6UrHMDnrEtQ3GC5u</t>
  </si>
  <si>
    <t>1570701703441</t>
  </si>
  <si>
    <t>-Lqp6WeI2qfQXAdIAhAB</t>
  </si>
  <si>
    <t>1570701710669</t>
  </si>
  <si>
    <t>-Lqp6YN_PAidk8ukpIDM</t>
  </si>
  <si>
    <t>1570701717859</t>
  </si>
  <si>
    <t>-Lqp6Zw6Pft_l5bTvhYU</t>
  </si>
  <si>
    <t>1570701724040</t>
  </si>
  <si>
    <t>-Lqp6ae8TCrjAotIq-8Q</t>
  </si>
  <si>
    <t>1570701731288</t>
  </si>
  <si>
    <t>-Lqp6cSIdxyFrk-Ylaa7</t>
  </si>
  <si>
    <t>1570701738502</t>
  </si>
  <si>
    <t>-Lqp6eBMRO7e1USzUQZv</t>
  </si>
  <si>
    <t>1570701745678</t>
  </si>
  <si>
    <t>-Lqp6gONt3G09yQOaQJA</t>
  </si>
  <si>
    <t>1570701752918</t>
  </si>
  <si>
    <t>-Lqp6hvOo1aLMSrElm2g</t>
  </si>
  <si>
    <t>1570701761165</t>
  </si>
  <si>
    <t>-Lqp6jSBw2KxbiYwfV-W</t>
  </si>
  <si>
    <t>1570701767374</t>
  </si>
  <si>
    <t>-Lqp6kxSv2JXg9566mte</t>
  </si>
  <si>
    <t>1570701773553</t>
  </si>
  <si>
    <t>-Lqp6mSp8gnW7z1DilZC</t>
  </si>
  <si>
    <t>1570701779747</t>
  </si>
  <si>
    <t>-Lqp6oLvfzKJLKgGbzI3</t>
  </si>
  <si>
    <t>1570701785893</t>
  </si>
  <si>
    <t>-Lqp6pzny5tnXwLfYtT2</t>
  </si>
  <si>
    <t>1570701794126</t>
  </si>
  <si>
    <t>-Lqp6rWW0thqYRBcN1ll</t>
  </si>
  <si>
    <t>1570701800324</t>
  </si>
  <si>
    <t>-Lqp6t-NH_yLTxt2rmwI</t>
  </si>
  <si>
    <t>1570701806519</t>
  </si>
  <si>
    <t>-Lqp6uVru8nlX6V-qAy_</t>
  </si>
  <si>
    <t>1570701812680</t>
  </si>
  <si>
    <t>-Lqp6w1LLqgriQaRwjDV</t>
  </si>
  <si>
    <t>1570701818860</t>
  </si>
  <si>
    <t>-Lqp6xXOFOd1cQWRKOyo</t>
  </si>
  <si>
    <t>1570701825059</t>
  </si>
  <si>
    <t>-Lqp6z1b7ntgF9tq6hyS</t>
  </si>
  <si>
    <t>1570701831240</t>
  </si>
  <si>
    <t>-Lqp7-WkBpR8W9QVe56o</t>
  </si>
  <si>
    <t>1570701837398</t>
  </si>
  <si>
    <t>-Lqp713LR3O-Uy42gQB-</t>
  </si>
  <si>
    <t>1570701843602</t>
  </si>
  <si>
    <t>-Lqp72ZaYNeV9fwG5Ovu</t>
  </si>
  <si>
    <t>1570701849799</t>
  </si>
  <si>
    <t>-Lqp7455EMEf_TxJBYYO</t>
  </si>
  <si>
    <t>1570701855960</t>
  </si>
  <si>
    <t>-Lqp75aM7EjwoLJV9NGt</t>
  </si>
  <si>
    <t>1570701862140</t>
  </si>
  <si>
    <t>-Lqp775gnNvI7yFhJw63</t>
  </si>
  <si>
    <t>1570701868330</t>
  </si>
  <si>
    <t>-Lqp78cXqYNDIJSNozLR</t>
  </si>
  <si>
    <t>1570701874540</t>
  </si>
  <si>
    <t>-Lqp7A7NXoVaYl3ZkcnD</t>
  </si>
  <si>
    <t>1570701880690</t>
  </si>
  <si>
    <t>-Lqp7BdToU012ZLb3aNR</t>
  </si>
  <si>
    <t>1570701886879</t>
  </si>
  <si>
    <t>-Lqp7D7s953rR3pU-0DP</t>
  </si>
  <si>
    <t>1570701893078</t>
  </si>
  <si>
    <t>-Lqp7EgtVbdvp36iSvcE</t>
  </si>
  <si>
    <t>1570701899470</t>
  </si>
  <si>
    <t>-Lqp7GPsTwhVyvtxJzzB</t>
  </si>
  <si>
    <t>1570701906448</t>
  </si>
  <si>
    <t>-Lqp7HvFIAw-aPDKbqcL</t>
  </si>
  <si>
    <t>1570701912638</t>
  </si>
  <si>
    <t>-Lqp7JRmtcJj5_oMmrp4</t>
  </si>
  <si>
    <t>1570701918848</t>
  </si>
  <si>
    <t>-Lqp7Kwq3Ms77i9LABuw</t>
  </si>
  <si>
    <t>1570701925008</t>
  </si>
  <si>
    <t>-Lqp7MS5-_FZ1zG8EbBQ</t>
  </si>
  <si>
    <t>1570701931191</t>
  </si>
  <si>
    <t>-Lqp7O9JOcPt_KZSbH13</t>
  </si>
  <si>
    <t>1570701938184</t>
  </si>
  <si>
    <t>-Lqp7Pi0XKdRUsipZ7pV</t>
  </si>
  <si>
    <t>1570701944599</t>
  </si>
  <si>
    <t>-Lqp7REN4Ic3j8Tcgwxq</t>
  </si>
  <si>
    <t>1570701950769</t>
  </si>
  <si>
    <t>-Lqp7SjaJMYftgO_e3tD</t>
  </si>
  <si>
    <t>1570701956940</t>
  </si>
  <si>
    <t>-Lqp7UWgVX55xdo_x-m2</t>
  </si>
  <si>
    <t>1570701963130</t>
  </si>
  <si>
    <t>-Lqp7W1sdldVpS8pBad6</t>
  </si>
  <si>
    <t>1570701970370</t>
  </si>
  <si>
    <t>-Lqp7Xm7id00_CJvdHPV</t>
  </si>
  <si>
    <t>1570701977570</t>
  </si>
  <si>
    <t>-Lqp7ZIbEIEMP4wDezhH</t>
  </si>
  <si>
    <t>1570701983730</t>
  </si>
  <si>
    <t>-Lqp7_mhpviJX363aJUv</t>
  </si>
  <si>
    <t>1570701989889</t>
  </si>
  <si>
    <t>-Lqp7bJ7A6x1KgIGQaAu</t>
  </si>
  <si>
    <t>1570701996128</t>
  </si>
  <si>
    <t>-Lqp7cqr2HtD8lFLzKiq</t>
  </si>
  <si>
    <t>1570702002284</t>
  </si>
  <si>
    <t>-Lqp7eZrnd7J8gg66mFR</t>
  </si>
  <si>
    <t>1570702009530</t>
  </si>
  <si>
    <t>-Lqp7g5XRtBqxlAh1WoW</t>
  </si>
  <si>
    <t>1570702015735</t>
  </si>
  <si>
    <t>-Lqp7hiC1_g_qE7Mi6Pk</t>
  </si>
  <si>
    <t>1570702022418</t>
  </si>
  <si>
    <t>-Lqp7jMCwyAKHepCUCq1</t>
  </si>
  <si>
    <t>1570702029090</t>
  </si>
  <si>
    <t>-Lqp7krn0OlEUXM80IK2</t>
  </si>
  <si>
    <t>1570702035269</t>
  </si>
  <si>
    <t>-Lqp7mPpz3UuJY7wLi6D</t>
  </si>
  <si>
    <t>1570702041450</t>
  </si>
  <si>
    <t>-Lqp7o8mHkfezk_KVkX0</t>
  </si>
  <si>
    <t>1570702048669</t>
  </si>
  <si>
    <t>-Lqp7pwxMpqbqrXaqxCt</t>
  </si>
  <si>
    <t>1570702055889</t>
  </si>
  <si>
    <t>-Lqp7rensCm0a_ZrEkmP</t>
  </si>
  <si>
    <t>1570702063100</t>
  </si>
  <si>
    <t>-Lqp7tSneMnyHJAJ12oA</t>
  </si>
  <si>
    <t>1570702070308</t>
  </si>
  <si>
    <t>-Lqp7vO5rF2MpFisytl3</t>
  </si>
  <si>
    <t>1570702077500</t>
  </si>
  <si>
    <t>-Lqp7x-1rnubBc2zYRFU</t>
  </si>
  <si>
    <t>1570702084738</t>
  </si>
  <si>
    <t>-Lqp7ygmjx690fefAmZg</t>
  </si>
  <si>
    <t>1570702091962</t>
  </si>
  <si>
    <t>-Lqp8-FzcJ9pIyIZJjX_</t>
  </si>
  <si>
    <t>1570702098139</t>
  </si>
  <si>
    <t>-Lqp80yn-Xu2Oraq245E</t>
  </si>
  <si>
    <t>1570702105339</t>
  </si>
  <si>
    <t>-Lqp82lpdVxYjFr4qQck</t>
  </si>
  <si>
    <t>1570702112569</t>
  </si>
  <si>
    <t>-Lqp84Uu-sMgGz2veLxh</t>
  </si>
  <si>
    <t>1570702119749</t>
  </si>
  <si>
    <t>-Lqp862qet2B9B6E9O_V</t>
  </si>
  <si>
    <t>1570702125930</t>
  </si>
  <si>
    <t>-Lqp87uumf04PugmcvN_</t>
  </si>
  <si>
    <t>1570702133179</t>
  </si>
  <si>
    <t>-Lqp89XUdSHjsrarKNVG</t>
  </si>
  <si>
    <t>1570702140396</t>
  </si>
  <si>
    <t>-Lqp8B10PW6Gt4020KXi</t>
  </si>
  <si>
    <t>1570702146555</t>
  </si>
  <si>
    <t>-Lqp8CXzBfLPvnf3rYBO</t>
  </si>
  <si>
    <t>1570702152759</t>
  </si>
  <si>
    <t>-Lqp8E3_VeR4cC-0WS8X</t>
  </si>
  <si>
    <t>1570702158959</t>
  </si>
  <si>
    <t>-Lqp8FcTXScPRu4VKSrz</t>
  </si>
  <si>
    <t>1570702165209</t>
  </si>
  <si>
    <t>-Lqp8HLUhTh3_Z45legQ</t>
  </si>
  <si>
    <t>1570702172458</t>
  </si>
  <si>
    <t>-Lqp8Iqh3BC0VYvdoeod</t>
  </si>
  <si>
    <t>1570702178489</t>
  </si>
  <si>
    <t>-Lqp8KN0zLy8SNtO1oUu</t>
  </si>
  <si>
    <t>1570702184705</t>
  </si>
  <si>
    <t>-Lqp8M8PkZNZUaNpOCT9</t>
  </si>
  <si>
    <t>1570702192053</t>
  </si>
  <si>
    <t>-Lqp8NyVIpeiG3wT0ESq</t>
  </si>
  <si>
    <t>1570702199161</t>
  </si>
  <si>
    <t>-Lqp8PbB1n0C9CQDkYMG</t>
  </si>
  <si>
    <t>1570702206316</t>
  </si>
  <si>
    <t>-Lqp8R64_8R-p4F375bW</t>
  </si>
  <si>
    <t>1570702212506</t>
  </si>
  <si>
    <t>-Lqp8SfGfQdxaj35YdYz</t>
  </si>
  <si>
    <t>1570702218856</t>
  </si>
  <si>
    <t>-Lqp8UPRJV3yk9rbNuyb</t>
  </si>
  <si>
    <t>1570702225911</t>
  </si>
  <si>
    <t>-Lqp8Vv1USNX11Dz83-6</t>
  </si>
  <si>
    <t>1570702232136</t>
  </si>
  <si>
    <t>-Lqp8XgdKhsK3-Ox4pm3</t>
  </si>
  <si>
    <t>1570702238310</t>
  </si>
  <si>
    <t>-Lqp8ZBmG_w801Pe4k64</t>
  </si>
  <si>
    <t>1570702245511</t>
  </si>
  <si>
    <t>-Lqp8_xHd_vDyTCVk9zi</t>
  </si>
  <si>
    <t>1570702252712</t>
  </si>
  <si>
    <t>-Lqp8bScRDkTt8lw_qST</t>
  </si>
  <si>
    <t>1570702258886</t>
  </si>
  <si>
    <t>-Lqp8cxlWe-TzQ7jh-2b</t>
  </si>
  <si>
    <t>1570702265066</t>
  </si>
  <si>
    <t>-Lqp8eVcvahSrMbT9ER4</t>
  </si>
  <si>
    <t>1570702271270</t>
  </si>
  <si>
    <t>-Lqp8gDurAGgLzza1bq6</t>
  </si>
  <si>
    <t>1570702278481</t>
  </si>
  <si>
    <t>-Lqp8hkPgC7KF0hFMqNx</t>
  </si>
  <si>
    <t>1570702284656</t>
  </si>
  <si>
    <t>-Lqp8jFoSJLeYUKU9ogG</t>
  </si>
  <si>
    <t>1570702290821</t>
  </si>
  <si>
    <t>-Lqp8l-4QD0GfNkEQGE3</t>
  </si>
  <si>
    <t>1570702298009</t>
  </si>
  <si>
    <t>-Lqp8mXftCUHQZ4fHSek</t>
  </si>
  <si>
    <t>1570702304251</t>
  </si>
  <si>
    <t>-Lqp8o2EkOoHy0_-Typ_</t>
  </si>
  <si>
    <t>1570702310416</t>
  </si>
  <si>
    <t>-Lqp8pnP3WLIxVtKgnQU</t>
  </si>
  <si>
    <t>1570702317615</t>
  </si>
  <si>
    <t>-Lqp8rIpytTZ2aDIt2g9</t>
  </si>
  <si>
    <t>1570702323830</t>
  </si>
  <si>
    <t>-Lqp8spAcAkizHEwj9BG</t>
  </si>
  <si>
    <t>1570702330010</t>
  </si>
  <si>
    <t>-Lqp8uQeb4ty5HwQffcb</t>
  </si>
  <si>
    <t>1570702336175</t>
  </si>
  <si>
    <t>-Lqp8w4vWNBh061V09Ju</t>
  </si>
  <si>
    <t>1570702343430</t>
  </si>
  <si>
    <t>-Lqp8xa9EmcI3IrGvH7b</t>
  </si>
  <si>
    <t>1570702349541</t>
  </si>
  <si>
    <t>-Lqp8zNrJZ8lnTRLrOAg</t>
  </si>
  <si>
    <t>1570702356816</t>
  </si>
  <si>
    <t>-Lqp9-sAbzhAP0BusJMF</t>
  </si>
  <si>
    <t>1570702362983</t>
  </si>
  <si>
    <t>-Lqp91NB3l5Mm7SrLVzH</t>
  </si>
  <si>
    <t>1570702369151</t>
  </si>
  <si>
    <t>-Lqp92v4CXTucMDDvH41</t>
  </si>
  <si>
    <t>1570702375365</t>
  </si>
  <si>
    <t>-Lqp94gvxWg2Pm6Y2DUC</t>
  </si>
  <si>
    <t>1570702382569</t>
  </si>
  <si>
    <t>-Lqp96SMgxKg6a3pGtZ7</t>
  </si>
  <si>
    <t>1570702389766</t>
  </si>
  <si>
    <t>-Lqp98Aopx5K2DH9iU4K</t>
  </si>
  <si>
    <t>1570702396966</t>
  </si>
  <si>
    <t>-Lqp99gFzDg-ydd707_l</t>
  </si>
  <si>
    <t>1570702403163</t>
  </si>
  <si>
    <t>-Lqp9BVUcwOuxsfwJcEu</t>
  </si>
  <si>
    <t>1570702409547</t>
  </si>
  <si>
    <t>-Lqp9DBqT33osaiQUPKj</t>
  </si>
  <si>
    <t>1570702417570</t>
  </si>
  <si>
    <t>-Lqp9EhQY0wvfFDJyGC4</t>
  </si>
  <si>
    <t>1570702423754</t>
  </si>
  <si>
    <t>-Lqp9GDvhsWVWfBeaPxM</t>
  </si>
  <si>
    <t>1570702430028</t>
  </si>
  <si>
    <t>-Lqp9HjEzehDnKpf6Jlz</t>
  </si>
  <si>
    <t>1570702436192</t>
  </si>
  <si>
    <t>-Lqp9JIF9uib9KmUHtkO</t>
  </si>
  <si>
    <t>1570702442367</t>
  </si>
  <si>
    <t>-Lqp9L0G45XAbag7-UI_</t>
  </si>
  <si>
    <t>1570702449568</t>
  </si>
  <si>
    <t>-Lqp9MXppTBCP-Ez70fS</t>
  </si>
  <si>
    <t>1570702455733</t>
  </si>
  <si>
    <t>-Lqp9OJVjaxU1miGDgwA</t>
  </si>
  <si>
    <t>1570702462938</t>
  </si>
  <si>
    <t>-Lqp9Q1Pt6DKUSRtMj55</t>
  </si>
  <si>
    <t>1570702470132</t>
  </si>
  <si>
    <t>-Lqp9RYh5LPefPfNgXso</t>
  </si>
  <si>
    <t>1570702476373</t>
  </si>
  <si>
    <t>-Lqp9TV2WM_c9Vq-aSNi</t>
  </si>
  <si>
    <t>1570702482598</t>
  </si>
  <si>
    <t>-Lqp9V4N_RDJkU1SrVcJ</t>
  </si>
  <si>
    <t>1570702490788</t>
  </si>
  <si>
    <t>-Lqp9WbatQoJ6I2jkQtJ</t>
  </si>
  <si>
    <t>1570702496948</t>
  </si>
  <si>
    <t>-Lqp9YKRc6mNXly-YcWQ</t>
  </si>
  <si>
    <t>1570702504192</t>
  </si>
  <si>
    <t>-Lqp9Zv5k-dp3Gk10eoR</t>
  </si>
  <si>
    <t>1570702510507</t>
  </si>
  <si>
    <t>-Lqp9acfE0pjDS1uL5z8</t>
  </si>
  <si>
    <t>1570702517567</t>
  </si>
  <si>
    <t>-Lqp9c6gAuG-5cJ9bz1y</t>
  </si>
  <si>
    <t>1570702523737</t>
  </si>
  <si>
    <t>-Lqp9dcFQYOKAUZzwTSs</t>
  </si>
  <si>
    <t>1570702529949</t>
  </si>
  <si>
    <t>-Lqp9f8jtHwLhX0juOi6</t>
  </si>
  <si>
    <t>1570702536129</t>
  </si>
  <si>
    <t>-Lqp9gf9E5lMcLIZXC7W</t>
  </si>
  <si>
    <t>1570702542288</t>
  </si>
  <si>
    <t>-Lqp9iPVuhLPdxP3CSz_</t>
  </si>
  <si>
    <t>1570702549488</t>
  </si>
  <si>
    <t>-Lqp9jxEcO0rXBDni-Hy</t>
  </si>
  <si>
    <t>1570702555722</t>
  </si>
  <si>
    <t>-Lqp9lgnsMi6NvQ4S4J-</t>
  </si>
  <si>
    <t>1570702562928</t>
  </si>
  <si>
    <t>-Lqp9nBuIanrrn0wFifB</t>
  </si>
  <si>
    <t>1570702569089</t>
  </si>
  <si>
    <t>-Lqp9ofBl-g3h67J7tMI</t>
  </si>
  <si>
    <t>1570702575253</t>
  </si>
  <si>
    <t>-Lqp9qFgjIMecsuVCO_c</t>
  </si>
  <si>
    <t>1570702581448</t>
  </si>
  <si>
    <t>-Lqp9ryVL3LcfYMq0TvG</t>
  </si>
  <si>
    <t>1570702588653</t>
  </si>
  <si>
    <t>-Lqp9tnzr9vC7Stu9aMW</t>
  </si>
  <si>
    <t>1570702594877</t>
  </si>
  <si>
    <t>-Lqp9vTzBtGLjY7Hpr-l</t>
  </si>
  <si>
    <t>1570702603128</t>
  </si>
  <si>
    <t>-Lqp9x-9aTx_FIhU63Y3</t>
  </si>
  <si>
    <t>1570702609308</t>
  </si>
  <si>
    <t>-Lqp9yWeVfhcYaSN8vB2</t>
  </si>
  <si>
    <t>1570702615484</t>
  </si>
  <si>
    <t>-LqpA-Grvl-plFAgYLRi</t>
  </si>
  <si>
    <t>1570702622678</t>
  </si>
  <si>
    <t>-LqpA134ItHa5C5tNxWW</t>
  </si>
  <si>
    <t>1570702628844</t>
  </si>
  <si>
    <t>-LqpA2o7MxjSrb-bWUuk</t>
  </si>
  <si>
    <t>1570702637090</t>
  </si>
  <si>
    <t>-LqpA4JaYsl4Sw0yUzGJ</t>
  </si>
  <si>
    <t>1570702643323</t>
  </si>
  <si>
    <t>-LqpA5sMIAkggXv-YRC6</t>
  </si>
  <si>
    <t>1570702649491</t>
  </si>
  <si>
    <t>-LqpA7_LnglGMoRv9DIi</t>
  </si>
  <si>
    <t>1570702656690</t>
  </si>
  <si>
    <t>-LqpA93QDPKMxei0nt2K</t>
  </si>
  <si>
    <t>1570702662843</t>
  </si>
  <si>
    <t>-LqpAAbHb1KRkZPd9Sz4</t>
  </si>
  <si>
    <t>1570702669078</t>
  </si>
  <si>
    <t>-LqpAC6XgU7UkAqOhR4T</t>
  </si>
  <si>
    <t>1570702675240</t>
  </si>
  <si>
    <t>-LqpADcqS7Wf12_li5te</t>
  </si>
  <si>
    <t>1570702681399</t>
  </si>
  <si>
    <t>-LqpAF6iiTbFjfqVIkq4</t>
  </si>
  <si>
    <t>1570702687570</t>
  </si>
  <si>
    <t>-LqpAHBM0OXsiTA7Wit0</t>
  </si>
  <si>
    <t>1570702694731</t>
  </si>
  <si>
    <t>-LqpAIvaxge4yPPkj_c7</t>
  </si>
  <si>
    <t>1570702703080</t>
  </si>
  <si>
    <t>-LqpAKhenH4xOnY56-TZ</t>
  </si>
  <si>
    <t>1570702710276</t>
  </si>
  <si>
    <t>-LqpAMPGDz2MQPP1XzOf</t>
  </si>
  <si>
    <t>1570702717497</t>
  </si>
  <si>
    <t>-LqpANwhhsTGHJqrO_0x</t>
  </si>
  <si>
    <t>1570702723650</t>
  </si>
  <si>
    <t>-LqpAPQikvD_Gu0BLGuT</t>
  </si>
  <si>
    <t>1570702729844</t>
  </si>
  <si>
    <t>-LqpAQxRfW9uexvefwPT</t>
  </si>
  <si>
    <t>1570702736044</t>
  </si>
  <si>
    <t>-LqpASQOp2cYK0XFz194</t>
  </si>
  <si>
    <t>1570702742204</t>
  </si>
  <si>
    <t>-LqpATwbhO3lsMBagj92</t>
  </si>
  <si>
    <t>1570702748390</t>
  </si>
  <si>
    <t>-LqpAVUIjRiAiSpSpahe</t>
  </si>
  <si>
    <t>1570702754602</t>
  </si>
  <si>
    <t>-LqpAX-4Hl1nhA_2gZsC</t>
  </si>
  <si>
    <t>1570702760780</t>
  </si>
  <si>
    <t>-LqpAYV16gRNwkYGmO1H</t>
  </si>
  <si>
    <t>1570702766940</t>
  </si>
  <si>
    <t>-LqpA_-Qrkr8U5FBVIy5</t>
  </si>
  <si>
    <t>1570702773115</t>
  </si>
  <si>
    <t>-LqpAalUW3jQFGsfHtBE</t>
  </si>
  <si>
    <t>1570702780414</t>
  </si>
  <si>
    <t>-LqpAcGmTgdW_H8SnrMb</t>
  </si>
  <si>
    <t>1570702786546</t>
  </si>
  <si>
    <t>-LqpAe20-6wdNLuB9Vim</t>
  </si>
  <si>
    <t>1570702793740</t>
  </si>
  <si>
    <t>-LqpAfZp_Ttxi8d3lh02</t>
  </si>
  <si>
    <t>1570702799915</t>
  </si>
  <si>
    <t>-LqpAh3uzG1nRgZ-tl77</t>
  </si>
  <si>
    <t>1570702806106</t>
  </si>
  <si>
    <t>-LqpAj8Azvd_ZRiGF_b1</t>
  </si>
  <si>
    <t>1570702813300</t>
  </si>
  <si>
    <t>-LqpAkofVprt8UqvXej2</t>
  </si>
  <si>
    <t>1570702821560</t>
  </si>
  <si>
    <t>-LqpAmKdHPV6FG553DRS</t>
  </si>
  <si>
    <t>1570702827739</t>
  </si>
  <si>
    <t>-LqpAnpsUUOvrJZC3fSE</t>
  </si>
  <si>
    <t>1570702833950</t>
  </si>
  <si>
    <t>-LqpApN-J6gznmMJPVlC</t>
  </si>
  <si>
    <t>1570702840129</t>
  </si>
  <si>
    <t>-LqpAqrjy701ZHgITNE0</t>
  </si>
  <si>
    <t>1570702846290</t>
  </si>
  <si>
    <t>-LqpAsgPN6OJ-r5pqUbb</t>
  </si>
  <si>
    <t>1570702853746</t>
  </si>
  <si>
    <t>-LqpAuNflZ8eGN5WXmT1</t>
  </si>
  <si>
    <t>1570702860723</t>
  </si>
  <si>
    <t>-LqpAvtJLu7n8FuyCBaR</t>
  </si>
  <si>
    <t>1570702866912</t>
  </si>
  <si>
    <t>-LqpAxPxJ7Y0CiI3BY8L</t>
  </si>
  <si>
    <t>1570702873132</t>
  </si>
  <si>
    <t>-LqpAywJ5Vd-1hPdw2h9</t>
  </si>
  <si>
    <t>1570702879332</t>
  </si>
  <si>
    <t>-LqpB-V4kmMUWNC4oVrq</t>
  </si>
  <si>
    <t>1570702885491</t>
  </si>
  <si>
    <t>-LqpB1C2lmmi3U5lId-o</t>
  </si>
  <si>
    <t>1570702892691</t>
  </si>
  <si>
    <t>-LqpB2h8_-uJHeDeogoz</t>
  </si>
  <si>
    <t>1570702898852</t>
  </si>
  <si>
    <t>-LqpB4CY81qKCD3iRJZm</t>
  </si>
  <si>
    <t>1570702905072</t>
  </si>
  <si>
    <t>-LqpB5j3l36EWsCy2oj4</t>
  </si>
  <si>
    <t>1570702911242</t>
  </si>
  <si>
    <t>-LqpB7EJzRVFVjdB-CyC</t>
  </si>
  <si>
    <t>1570702917411</t>
  </si>
  <si>
    <t>-LqpB8sJejG298tZN8hv</t>
  </si>
  <si>
    <t>1570702924177</t>
  </si>
  <si>
    <t>-LqpBAUtrjoMQaS0Vw5O</t>
  </si>
  <si>
    <t>1570702930821</t>
  </si>
  <si>
    <t>-LqpBBzgH2wYLR3GeN8P</t>
  </si>
  <si>
    <t>1570702937016</t>
  </si>
  <si>
    <t>-LqpBDXum7pK9HExsBFI</t>
  </si>
  <si>
    <t>1570702943172</t>
  </si>
  <si>
    <t>-LqpBFfEAB0MzrEHubgg</t>
  </si>
  <si>
    <t>1570702950545</t>
  </si>
  <si>
    <t>-LqpBHGRcQsNJ0CICh6y</t>
  </si>
  <si>
    <t>1570702958628</t>
  </si>
  <si>
    <t>-LqpBIluqiV2im7VDjfD</t>
  </si>
  <si>
    <t>1570702964811</t>
  </si>
  <si>
    <t>-LqpBKJLTgb_KIqDGZMt</t>
  </si>
  <si>
    <t>1570702970997</t>
  </si>
  <si>
    <t>-LqpBLsF46MOQ59LbzQo</t>
  </si>
  <si>
    <t>1570702977166</t>
  </si>
  <si>
    <t>-LqpBNaPTBtsYXtl3t9X</t>
  </si>
  <si>
    <t>1570702984431</t>
  </si>
  <si>
    <t>-LqpBP4VmhiEXHfFWrf4</t>
  </si>
  <si>
    <t>1570702990592</t>
  </si>
  <si>
    <t>-LqpBQ__bh-nhSu7xiMN</t>
  </si>
  <si>
    <t>1570702996761</t>
  </si>
  <si>
    <t>-LqpBS7RdwElFGlrHGGl</t>
  </si>
  <si>
    <t>1570703002992</t>
  </si>
  <si>
    <t>-LqpBTlduKfCxQWQkcUb</t>
  </si>
  <si>
    <t>1570703009805</t>
  </si>
  <si>
    <t>-LqpBVMzXN20vWK4Cuh5</t>
  </si>
  <si>
    <t>1570703016346</t>
  </si>
  <si>
    <t>-LqpBWtQ2jvsJcLxa4Ig</t>
  </si>
  <si>
    <t>1570703022516</t>
  </si>
  <si>
    <t>-LqpBYPv0zYYbU2GVW8k</t>
  </si>
  <si>
    <t>1570703028751</t>
  </si>
  <si>
    <t>-LqpBZvV1Zj7gG8ggnMg</t>
  </si>
  <si>
    <t>1570703034916</t>
  </si>
  <si>
    <t>-LqpBaQP1iyu6eE56vhP</t>
  </si>
  <si>
    <t>1570703041067</t>
  </si>
  <si>
    <t>-LqpBbwfJ8Zlvpg8HGGs</t>
  </si>
  <si>
    <t>1570703047310</t>
  </si>
  <si>
    <t>-LqpBe34me_vWesCGsHp</t>
  </si>
  <si>
    <t>1570703053467</t>
  </si>
  <si>
    <t>-LqpBfiFDwzGzTPw9dNQ</t>
  </si>
  <si>
    <t>1570703062745</t>
  </si>
  <si>
    <t>-LqpBhUy_UzvQr2ksWq8</t>
  </si>
  <si>
    <t>1570703068901</t>
  </si>
  <si>
    <t>-LqpBjFJRTl0qmxA810X</t>
  </si>
  <si>
    <t>1570703077155</t>
  </si>
  <si>
    <t>-LqpBkjTee12_cHvVBvo</t>
  </si>
  <si>
    <t>1570703083311</t>
  </si>
  <si>
    <t>-LqpBmFxlwvsN8H-i-De</t>
  </si>
  <si>
    <t>1570703089551</t>
  </si>
  <si>
    <t>-LqpBoL6zapUtz7_0BeT</t>
  </si>
  <si>
    <t>1570703096391</t>
  </si>
  <si>
    <t>-LqpBq144cYVogPz_rgd</t>
  </si>
  <si>
    <t>1570703104981</t>
  </si>
  <si>
    <t>-LqpBrXSkql2mfceQwFO</t>
  </si>
  <si>
    <t>1570703111140</t>
  </si>
  <si>
    <t>-LqpBt1VQlnRVlEhcoQP</t>
  </si>
  <si>
    <t>1570703117376</t>
  </si>
  <si>
    <t>-LqpBuhz7zI6ne73Zb1z</t>
  </si>
  <si>
    <t>1570703124269</t>
  </si>
  <si>
    <t>-LqpBwKnCdPIf662YPWM</t>
  </si>
  <si>
    <t>1570703130746</t>
  </si>
  <si>
    <t>-LqpBy4LeCgtiJj_4kzz</t>
  </si>
  <si>
    <t>1570703137950</t>
  </si>
  <si>
    <t>-LqpBz_JAiUvyWPFFvcA</t>
  </si>
  <si>
    <t>1570703144170</t>
  </si>
  <si>
    <t>-LqpC04hzfhnANjJNrBt</t>
  </si>
  <si>
    <t>1570703150352</t>
  </si>
  <si>
    <t>-LqpC1bT7C1TnD0vNKNt</t>
  </si>
  <si>
    <t>1570703156511</t>
  </si>
  <si>
    <t>-LqpC36U4uCcMIJ-JaWj</t>
  </si>
  <si>
    <t>1570703162686</t>
  </si>
  <si>
    <t>-LqpC4czqydVk76g-L44</t>
  </si>
  <si>
    <t>1570703168901</t>
  </si>
  <si>
    <t>-LqpC68ESG_dKD3eCDG9</t>
  </si>
  <si>
    <t>1570703175061</t>
  </si>
  <si>
    <t>-LqpC7ux63d61O9EcIJZ</t>
  </si>
  <si>
    <t>1570703182365</t>
  </si>
  <si>
    <t>-LqpC9dyWuLuYrF64Wq-</t>
  </si>
  <si>
    <t>1570703189476</t>
  </si>
  <si>
    <t>-LqpCBBM6CoTmHD3q1Iz</t>
  </si>
  <si>
    <t>1570703195691</t>
  </si>
  <si>
    <t>-LqpCCfdCqBei_j3u7Mv</t>
  </si>
  <si>
    <t>1570703201851</t>
  </si>
  <si>
    <t>-LqpCE9_IBSQm3Ahcutg</t>
  </si>
  <si>
    <t>1570703208011</t>
  </si>
  <si>
    <t>-LqpCFz0G6HXeh6Riblr</t>
  </si>
  <si>
    <t>1570703215470</t>
  </si>
  <si>
    <t>-LqpCHjCUlXElt9O4Rkl</t>
  </si>
  <si>
    <t>1570703222448</t>
  </si>
  <si>
    <t>-LqpCJW5iyHodU1fjlb0</t>
  </si>
  <si>
    <t>1570703229669</t>
  </si>
  <si>
    <t>-LqpCLE-vd0Z6AQukwfj</t>
  </si>
  <si>
    <t>1570703236870</t>
  </si>
  <si>
    <t>-LqpCMhstI12dXPFFvSB</t>
  </si>
  <si>
    <t>1570703243051</t>
  </si>
  <si>
    <t>-LqpCOFbF-VTZZMQ98gV</t>
  </si>
  <si>
    <t>1570703249271</t>
  </si>
  <si>
    <t>-LqpCPkw0YHoO59fmB0d</t>
  </si>
  <si>
    <t>1570703255432</t>
  </si>
  <si>
    <t>-LqpCRIWiHHxrpS0Az5m</t>
  </si>
  <si>
    <t>1570703261616</t>
  </si>
  <si>
    <t>-LqpCTCxfmUIUeUaorrk</t>
  </si>
  <si>
    <t>1570703268832</t>
  </si>
  <si>
    <t>-LqpCUqBwobxKgvaqu8t</t>
  </si>
  <si>
    <t>1570703276044</t>
  </si>
  <si>
    <t>-LqpCWY3oB9q1DF7zdcO</t>
  </si>
  <si>
    <t>1570703283252</t>
  </si>
  <si>
    <t>-LqpCYbvdgW0SjOENmKy</t>
  </si>
  <si>
    <t>1570703290462</t>
  </si>
  <si>
    <t>-LqpC_JO_2ZqU05EZDzN</t>
  </si>
  <si>
    <t>1570703298732</t>
  </si>
  <si>
    <t>-LqpCapIdOu8eQMEuB7G</t>
  </si>
  <si>
    <t>1570703304898</t>
  </si>
  <si>
    <t>-LqpCcLsqJxD8ML5FFQT</t>
  </si>
  <si>
    <t>1570703311122</t>
  </si>
  <si>
    <t>-LqpCdrHyTFZNsPMVFjW</t>
  </si>
  <si>
    <t>1570703317277</t>
  </si>
  <si>
    <t>-LqpCfXZ5qw0wx7qX_Yf</t>
  </si>
  <si>
    <t>1570703324153</t>
  </si>
  <si>
    <t>-LqpCh7upVsiX7aKmNyL</t>
  </si>
  <si>
    <t>1570703330698</t>
  </si>
  <si>
    <t>-LqpCibxJJkRlFi8L82_</t>
  </si>
  <si>
    <t>1570703336851</t>
  </si>
  <si>
    <t>-LqpCk6M_XhGJLaDnTzi</t>
  </si>
  <si>
    <t>1570703343025</t>
  </si>
  <si>
    <t>-LqpCleuvcdXzULCla9P</t>
  </si>
  <si>
    <t>1570703349188</t>
  </si>
  <si>
    <t>-LqpCn8tGXGJZoBHOI3f</t>
  </si>
  <si>
    <t>1570703355388</t>
  </si>
  <si>
    <t>-LqpCoe3Is6guZ-NUr9m</t>
  </si>
  <si>
    <t>1570703361573</t>
  </si>
  <si>
    <t>-LqpCqAQygkD-Fj2E5wO</t>
  </si>
  <si>
    <t>1570703367738</t>
  </si>
  <si>
    <t>-LqpCrh84lQJ-oxrfSZc</t>
  </si>
  <si>
    <t>1570703373978</t>
  </si>
  <si>
    <t>-LqpCtCXu7pQvQ99b8Qc</t>
  </si>
  <si>
    <t>1570703380137</t>
  </si>
  <si>
    <t>-LqpCuijsOyjQ2h_tFNd</t>
  </si>
  <si>
    <t>1570703386308</t>
  </si>
  <si>
    <t>-LqpCwCuT4AvgYrt0qtj</t>
  </si>
  <si>
    <t>1570703392475</t>
  </si>
  <si>
    <t>-LqpCxgzSJJahfZ7OPwH</t>
  </si>
  <si>
    <t>1570703398678</t>
  </si>
  <si>
    <t>-LqpCzEiL7cGH1FbWW8J</t>
  </si>
  <si>
    <t>1570703404857</t>
  </si>
  <si>
    <t>-LqpD-jf7RRtlqCnL0WV</t>
  </si>
  <si>
    <t>1570703411023</t>
  </si>
  <si>
    <t>-LqpD1H1_R40XdpHs622</t>
  </si>
  <si>
    <t>1570703417262</t>
  </si>
  <si>
    <t>-LqpD2ldfjkEktcibeyr</t>
  </si>
  <si>
    <t>1570703423422</t>
  </si>
  <si>
    <t>-LqpD4GyEdkuT7CXq3Gb</t>
  </si>
  <si>
    <t>1570703429583</t>
  </si>
  <si>
    <t>-LqpD5m20meXBDAmsBWG</t>
  </si>
  <si>
    <t>1570703435797</t>
  </si>
  <si>
    <t>-LqpD7HO2VIV4u1etZ89</t>
  </si>
  <si>
    <t>1570703441938</t>
  </si>
  <si>
    <t>-LqpD8n_auYxd3VPKSG9</t>
  </si>
  <si>
    <t>1570703448137</t>
  </si>
  <si>
    <t>-LqpDAI2t54urAJCAM8p</t>
  </si>
  <si>
    <t>1570703454308</t>
  </si>
  <si>
    <t>-LqpDBpiP6VuerqnmgIg</t>
  </si>
  <si>
    <t>1570703460548</t>
  </si>
  <si>
    <t>-LqpDDL-JIVlL1Lujhjb</t>
  </si>
  <si>
    <t>1570703466704</t>
  </si>
  <si>
    <t>-LqpDExj-LOJHKSLBA_I</t>
  </si>
  <si>
    <t>1570703473082</t>
  </si>
  <si>
    <t>-LqpDGaj0oBJKoqV_jxM</t>
  </si>
  <si>
    <t>1570703480063</t>
  </si>
  <si>
    <t>-LqpDI6zMpS6_5JjAlmO</t>
  </si>
  <si>
    <t>1570703486302</t>
  </si>
  <si>
    <t>-LqpDJhWW_NR5BUyKzeb</t>
  </si>
  <si>
    <t>1570703492847</t>
  </si>
  <si>
    <t>-LqpDLM9WYpiH7pM1CbY</t>
  </si>
  <si>
    <t>1570703499652</t>
  </si>
  <si>
    <t>-LqpDNA8FNyGinXZNpgi</t>
  </si>
  <si>
    <t>1570703506970</t>
  </si>
  <si>
    <t>-LqpDOuGOHAbMhWMW0y4</t>
  </si>
  <si>
    <t>1570703514080</t>
  </si>
  <si>
    <t>-LqpDQP5SxK0yhvCwUEM</t>
  </si>
  <si>
    <t>1570703520266</t>
  </si>
  <si>
    <t>-LqpDRutHYpowRE7_dGj</t>
  </si>
  <si>
    <t>1570703526489</t>
  </si>
  <si>
    <t>-LqpDTROe86oQtsfJE92</t>
  </si>
  <si>
    <t>1570703532640</t>
  </si>
  <si>
    <t>-LqpDUxpUL06cCVyv77X</t>
  </si>
  <si>
    <t>1570703538799</t>
  </si>
  <si>
    <t>-LqpDWRtE7Dfk5ZWbIcU</t>
  </si>
  <si>
    <t>1570703544969</t>
  </si>
  <si>
    <t>-LqpDXxDNVO_8z4rD3eo</t>
  </si>
  <si>
    <t>1570703551200</t>
  </si>
  <si>
    <t>-LqpDZR5feqt64oTQdu9</t>
  </si>
  <si>
    <t>1570703557366</t>
  </si>
  <si>
    <t>-LqpD_zMNkk3qrJxiW6f</t>
  </si>
  <si>
    <t>1570703563569</t>
  </si>
  <si>
    <t>-LqpDbcn29kvIMayG-Qo</t>
  </si>
  <si>
    <t>1570703569709</t>
  </si>
  <si>
    <t>-LqpDdHAygtCDRk4hWqQ</t>
  </si>
  <si>
    <t>1570703576942</t>
  </si>
  <si>
    <t>-LqpDf-I_GZImANQNsaj</t>
  </si>
  <si>
    <t>1570703584150</t>
  </si>
  <si>
    <t>-LqpDgZ8q2yhGPbSz3vp</t>
  </si>
  <si>
    <t>1570703590340</t>
  </si>
  <si>
    <t>-LqpDiH8fab2v5YEBTgT</t>
  </si>
  <si>
    <t>1570703597521</t>
  </si>
  <si>
    <t>-LqpDjqI-nGLVZg5_CyH</t>
  </si>
  <si>
    <t>1570703603718</t>
  </si>
  <si>
    <t>-LqpDlZ9sMZX9VHPmsTx</t>
  </si>
  <si>
    <t>1570703610963</t>
  </si>
  <si>
    <t>-LqpDnMJjWTO6Skucq1O</t>
  </si>
  <si>
    <t>1570703618160</t>
  </si>
  <si>
    <t>-LqpDp5YLedmwDRyobZH</t>
  </si>
  <si>
    <t>1570703625400</t>
  </si>
  <si>
    <t>-LqpDqb7q5orEhvmJKp-</t>
  </si>
  <si>
    <t>1570703631560</t>
  </si>
  <si>
    <t>-LqpDs4_PxDFK4JnjHvU</t>
  </si>
  <si>
    <t>1570703637725</t>
  </si>
  <si>
    <t>-LqpDtb9es1nNNc9BhRF</t>
  </si>
  <si>
    <t>1570703643950</t>
  </si>
  <si>
    <t>-LqpDv6YIboAhU_CxILA</t>
  </si>
  <si>
    <t>1570703650100</t>
  </si>
  <si>
    <t>-LqpDwbudewUFsZRj_IW</t>
  </si>
  <si>
    <t>1570703656289</t>
  </si>
  <si>
    <t>-LqpDy8XHA940--4PY4B</t>
  </si>
  <si>
    <t>1570703662484</t>
  </si>
  <si>
    <t>-LqpDzdc5ygHHPmiqk4F</t>
  </si>
  <si>
    <t>1570703668666</t>
  </si>
  <si>
    <t>-LqpE08szqIld_dW1ENu</t>
  </si>
  <si>
    <t>1570703674884</t>
  </si>
  <si>
    <t>-LqpE1f9o-1PC9KbWr31</t>
  </si>
  <si>
    <t>1570703681065</t>
  </si>
  <si>
    <t>-LqpE3AdHlS01oh2u_yh</t>
  </si>
  <si>
    <t>1570703687225</t>
  </si>
  <si>
    <t>-LqpE4fsFp7FGbIusXa3</t>
  </si>
  <si>
    <t>1570703693385</t>
  </si>
  <si>
    <t>-LqpE6CMzG1USEnThyJ_</t>
  </si>
  <si>
    <t>1570703699606</t>
  </si>
  <si>
    <t>-LqpE7hcuSxuE-YF7xcN</t>
  </si>
  <si>
    <t>1570703705764</t>
  </si>
  <si>
    <t>-LqpE9CsbhEhBeQlboIZ</t>
  </si>
  <si>
    <t>1570703711945</t>
  </si>
  <si>
    <t>-LqpEB19AxwosC2_dfAi</t>
  </si>
  <si>
    <t>1570703718164</t>
  </si>
  <si>
    <t>-LqpECk7lmtY4Fb5B2ui</t>
  </si>
  <si>
    <t>1570703726428</t>
  </si>
  <si>
    <t>-LqpEEDqnygPNIXxN7b4</t>
  </si>
  <si>
    <t>1570703732556</t>
  </si>
  <si>
    <t>-LqpEFkc9qz-D335JQtF</t>
  </si>
  <si>
    <t>1570703738746</t>
  </si>
  <si>
    <t>-LqpEHEefCfSCjELPgAh</t>
  </si>
  <si>
    <t>1570703744905</t>
  </si>
  <si>
    <t>-LqpEIl4p8ENiiFcujWk</t>
  </si>
  <si>
    <t>1570703751109</t>
  </si>
  <si>
    <t>-LqpEKIKxaFKoOeFnTgv</t>
  </si>
  <si>
    <t>1570703757331</t>
  </si>
  <si>
    <t>-LqpELmjQrX62ODtICpV</t>
  </si>
  <si>
    <t>1570703763435</t>
  </si>
  <si>
    <t>-LqpENIl_KrEaVHqAzN6</t>
  </si>
  <si>
    <t>1570703769670</t>
  </si>
  <si>
    <t>-LqpEOpKcBq6EBScPhbF</t>
  </si>
  <si>
    <t>1570703775855</t>
  </si>
  <si>
    <t>-LqpEQKIrR7Svrp6CrwG</t>
  </si>
  <si>
    <t>1570703782051</t>
  </si>
  <si>
    <t>-LqpERprm-edin42RjPw</t>
  </si>
  <si>
    <t>1570703788211</t>
  </si>
  <si>
    <t>-LqpETL4-rp4JxtFARVR</t>
  </si>
  <si>
    <t>1570703794384</t>
  </si>
  <si>
    <t>-LqpEV5aLFQdV5JDXF2o</t>
  </si>
  <si>
    <t>1570703801586</t>
  </si>
  <si>
    <t>-LqpEWbiQt0NADvZk27Z</t>
  </si>
  <si>
    <t>1570703807805</t>
  </si>
  <si>
    <t>-LqpEY8WoJaDsgb5sAGG</t>
  </si>
  <si>
    <t>1570703813964</t>
  </si>
  <si>
    <t>-LqpEZcWjiSsVOeI6-rA</t>
  </si>
  <si>
    <t>1570703820126</t>
  </si>
  <si>
    <t>-LqpEa7rQICSiqwTP6Xb</t>
  </si>
  <si>
    <t>1570703826311</t>
  </si>
  <si>
    <t>-LqpEbfbOYfGAE5SHE-2</t>
  </si>
  <si>
    <t>1570703832530</t>
  </si>
  <si>
    <t>-LqpEdaykBt4B0j8oMTC</t>
  </si>
  <si>
    <t>1570703840184</t>
  </si>
  <si>
    <t>-LqpEfALWY_KqXP_OofS</t>
  </si>
  <si>
    <t>1570703846961</t>
  </si>
  <si>
    <t>-LqpEgfbr3Z_gOWlIeUN</t>
  </si>
  <si>
    <t>1570703853111</t>
  </si>
  <si>
    <t>-LqpEiAYSivO4HHTYLXB</t>
  </si>
  <si>
    <t>1570703859330</t>
  </si>
  <si>
    <t>-LqpEjif3OZBqaC0Y-8w</t>
  </si>
  <si>
    <t>1570703865491</t>
  </si>
  <si>
    <t>-LqpElRlc2lnXn2pNDkC</t>
  </si>
  <si>
    <t>1570703872711</t>
  </si>
  <si>
    <t>-LqpEmyIhkiHAVzmh6Kg</t>
  </si>
  <si>
    <t>1570703878876</t>
  </si>
  <si>
    <t>-LqpEoUbPnAkLH8AJ_rr</t>
  </si>
  <si>
    <t>1570703885091</t>
  </si>
  <si>
    <t>-LqpEpzqr0QPDwX1Y8Nt</t>
  </si>
  <si>
    <t>1570703891256</t>
  </si>
  <si>
    <t>-LqpErYsq56_16O7kQ_4</t>
  </si>
  <si>
    <t>1570703897657</t>
  </si>
  <si>
    <t>-LqpEtGivJo-W7lKlJ5r</t>
  </si>
  <si>
    <t>1570703904631</t>
  </si>
  <si>
    <t>-LqpEukj99bdAN4AWnOm</t>
  </si>
  <si>
    <t>1570703910843</t>
  </si>
  <si>
    <t>-LqpEwYba3uh0ppGfGa4</t>
  </si>
  <si>
    <t>1570703918034</t>
  </si>
  <si>
    <t>-LqpEyGib5yyqBIj7MUx</t>
  </si>
  <si>
    <t>1570703925224</t>
  </si>
  <si>
    <t>-LqpF-8phoSCL8gT9goo</t>
  </si>
  <si>
    <t>1570703931425</t>
  </si>
  <si>
    <t>-LqpF0rewZIp69a79__L</t>
  </si>
  <si>
    <t>1570703939670</t>
  </si>
  <si>
    <t>-LqpF2_h9X5LA6t2F8gS</t>
  </si>
  <si>
    <t>1570703946879</t>
  </si>
  <si>
    <t>-LqpF43okuD1Mbpz6rFk</t>
  </si>
  <si>
    <t>1570703953079</t>
  </si>
  <si>
    <t>-LqpF5cd0l1udJMN0U9L</t>
  </si>
  <si>
    <t>1570703959251</t>
  </si>
  <si>
    <t>-LqpF7LnaOj3YSPhOcTN</t>
  </si>
  <si>
    <t>1570703966450</t>
  </si>
  <si>
    <t>-LqpF95pptLbUtcJgCw0</t>
  </si>
  <si>
    <t>1570703973670</t>
  </si>
  <si>
    <t>-LqpFAcdn3g8-7NKQnW_</t>
  </si>
  <si>
    <t>1570703979860</t>
  </si>
  <si>
    <t>-LqpFCP_mF23FvJM7oM7</t>
  </si>
  <si>
    <t>1570703987070</t>
  </si>
  <si>
    <t>-LqpFE7fEb4cTQFTl2sM</t>
  </si>
  <si>
    <t>1570703994291</t>
  </si>
  <si>
    <t>-LqpFFwWMye-ydR2jYVv</t>
  </si>
  <si>
    <t>1570704001491</t>
  </si>
  <si>
    <t>-LqpFHdYkrpCOY1rBvyi</t>
  </si>
  <si>
    <t>1570704008690</t>
  </si>
  <si>
    <t>-LqpFJSYzWf8dE2_wHQ9</t>
  </si>
  <si>
    <t>1570704015925</t>
  </si>
  <si>
    <t>-LqpFLAd1hcCFP8Bv3-b</t>
  </si>
  <si>
    <t>1570704023150</t>
  </si>
  <si>
    <t>-LqpFMje1bs5aJYFPb-0</t>
  </si>
  <si>
    <t>1570704029320</t>
  </si>
  <si>
    <t>-LqpFOSf4GnqdSe_k66G</t>
  </si>
  <si>
    <t>1570704036529</t>
  </si>
  <si>
    <t>-LqpFQFWDkazvVWgeJ_8</t>
  </si>
  <si>
    <t>1570704043741</t>
  </si>
  <si>
    <t>-LqpFRjdAr_hVnMNgp4Q</t>
  </si>
  <si>
    <t>1570704049912</t>
  </si>
  <si>
    <t>-LqpFTSWwemRHNo9qjz8</t>
  </si>
  <si>
    <t>1570704057139</t>
  </si>
  <si>
    <t>-LqpFV0mcLZDcxKupOn2</t>
  </si>
  <si>
    <t>1570704063320</t>
  </si>
  <si>
    <t>-LqpFWVdCg-fTfuGIa_I</t>
  </si>
  <si>
    <t>1570704069491</t>
  </si>
  <si>
    <t>-LqpFY3dcj7BdwYnoPS9</t>
  </si>
  <si>
    <t>1570704075692</t>
  </si>
  <si>
    <t>-LqpFZlY24bhLd1o8hLQ</t>
  </si>
  <si>
    <t>1570704082899</t>
  </si>
  <si>
    <t>-LqpFa_eDa_poWi8S2SK</t>
  </si>
  <si>
    <t>1570704090117</t>
  </si>
  <si>
    <t>-LqpFcHZZ17qFjUJ8h_N</t>
  </si>
  <si>
    <t>1570704097329</t>
  </si>
  <si>
    <t>-LqpFe5KHxdhO-U2MBXe</t>
  </si>
  <si>
    <t>1570704104540</t>
  </si>
  <si>
    <t>-LqpFftzrBvPmtlEVU6c</t>
  </si>
  <si>
    <t>1570704111838</t>
  </si>
  <si>
    <t>-LqpFhbn_9VaJvmInByT</t>
  </si>
  <si>
    <t>1570704118960</t>
  </si>
  <si>
    <t>-LqpFjJZMkvRuqRrRCHE</t>
  </si>
  <si>
    <t>1570704126159</t>
  </si>
  <si>
    <t>-LqpFks_HXGSxwWq5CiR</t>
  </si>
  <si>
    <t>1570704132361</t>
  </si>
  <si>
    <t>-LqpFm_KDD-blm4xEor6</t>
  </si>
  <si>
    <t>1570704139569</t>
  </si>
  <si>
    <t>-LqpFoOZMCbgGfKK-3Ef</t>
  </si>
  <si>
    <t>1570704146791</t>
  </si>
  <si>
    <t>-LqpFq7dnO1FxPwPAOu1</t>
  </si>
  <si>
    <t>1570704153980</t>
  </si>
  <si>
    <t>-LqpFrfjNAD_Zi_7Oi_j</t>
  </si>
  <si>
    <t>1570704160170</t>
  </si>
  <si>
    <t>-LqpFtihUpko4THGIMxt</t>
  </si>
  <si>
    <t>1570704168602</t>
  </si>
  <si>
    <t>-LqpFvRr6IEHArwNehZ_</t>
  </si>
  <si>
    <t>1570704175653</t>
  </si>
  <si>
    <t>-LqpFx9aKVF5ZdYfvb7m</t>
  </si>
  <si>
    <t>1570704182863</t>
  </si>
  <si>
    <t>-LqpFyirr7a8iInaQgJf</t>
  </si>
  <si>
    <t>1570704189043</t>
  </si>
  <si>
    <t>-LqpG-RiAeYlXS3WaHQn</t>
  </si>
  <si>
    <t>1570704196225</t>
  </si>
  <si>
    <t>-LqpG1-tUUlcEvDtG6mW</t>
  </si>
  <si>
    <t>1570704202413</t>
  </si>
  <si>
    <t>-LqpG2ibyhP8iFqR3ZCu</t>
  </si>
  <si>
    <t>1570704209653</t>
  </si>
  <si>
    <t>-LqpG4WgSSpbx0OxXFYP</t>
  </si>
  <si>
    <t>1570704216863</t>
  </si>
  <si>
    <t>-LqpG6EiolFHgxUeQr9Y</t>
  </si>
  <si>
    <t>1570704224053</t>
  </si>
  <si>
    <t>-LqpG7nkVa9EYmcucHWw</t>
  </si>
  <si>
    <t>1570704230254</t>
  </si>
  <si>
    <t>-LqpG9Wi_GOIgfAtUt7i</t>
  </si>
  <si>
    <t>1570704237480</t>
  </si>
  <si>
    <t>-LqpGBJiSKOd7xj6-B54</t>
  </si>
  <si>
    <t>1570704244683</t>
  </si>
  <si>
    <t>-LqpGD1aSzhlmZXE16wk</t>
  </si>
  <si>
    <t>1570704251894</t>
  </si>
  <si>
    <t>-LqpGEpsvdMrEX01BiAg</t>
  </si>
  <si>
    <t>1570704259113</t>
  </si>
  <si>
    <t>-LqpGG_-AW1-PFvX0zmG</t>
  </si>
  <si>
    <t>1570704266303</t>
  </si>
  <si>
    <t>-LqpGILxQZK-8jGzjP_S</t>
  </si>
  <si>
    <t>1570704273549</t>
  </si>
  <si>
    <t>-LqpGK3hDv5JyuRra5mm</t>
  </si>
  <si>
    <t>1570704280753</t>
  </si>
  <si>
    <t>-LqpGLr_CNkOChH-8qjd</t>
  </si>
  <si>
    <t>1570704287974</t>
  </si>
  <si>
    <t>-LqpGNeh4X5ydZrHZDp2</t>
  </si>
  <si>
    <t>1570704295203</t>
  </si>
  <si>
    <t>-LqpGPNhQacuKypR_LlY</t>
  </si>
  <si>
    <t>1570704302393</t>
  </si>
  <si>
    <t>-LqpGRAiju8mXrfgXxDZ</t>
  </si>
  <si>
    <t>1570704309614</t>
  </si>
  <si>
    <t>-LqpGStiAs-n-paKXarw</t>
  </si>
  <si>
    <t>1570704316823</t>
  </si>
  <si>
    <t>-LqpGUgiuvp3Vy-wWo3x</t>
  </si>
  <si>
    <t>1570704324033</t>
  </si>
  <si>
    <t>-LqpGWPr03RhGi1ExiJn</t>
  </si>
  <si>
    <t>1570704331255</t>
  </si>
  <si>
    <t>-LqpGYChQGfXZ9_qOjUU</t>
  </si>
  <si>
    <t>1570704338464</t>
  </si>
  <si>
    <t>-LqpGZvqZegDKZE2WUPd</t>
  </si>
  <si>
    <t>1570704345655</t>
  </si>
  <si>
    <t>-LqpGaVxkQMgu0fDsc4W</t>
  </si>
  <si>
    <t>1570704351862</t>
  </si>
  <si>
    <t>-LqpGcCi52TIme0MLNkH</t>
  </si>
  <si>
    <t>1570704359073</t>
  </si>
  <si>
    <t>-LqpGe0xv5t2ra4ZLjX9</t>
  </si>
  <si>
    <t>1570704366294</t>
  </si>
  <si>
    <t>-LqpGfiidNGpyZEXRHSk</t>
  </si>
  <si>
    <t>1570704373493</t>
  </si>
  <si>
    <t>-LqpGhWhjqXJPwr5fi3w</t>
  </si>
  <si>
    <t>1570704380712</t>
  </si>
  <si>
    <t>-LqpGjEiWSst9ljy7nHj</t>
  </si>
  <si>
    <t>1570704387894</t>
  </si>
  <si>
    <t>-LqpGko0yJiPHXg6w_Zn</t>
  </si>
  <si>
    <t>1570704394099</t>
  </si>
  <si>
    <t>-LqpGmqmwU4eaePRDOco</t>
  </si>
  <si>
    <t>1570704401334</t>
  </si>
  <si>
    <t>-LqpGoYi9RVA0A6rIiF4</t>
  </si>
  <si>
    <t>1570704409561</t>
  </si>
  <si>
    <t>-LqpGqLfb1PRIfGExsYC</t>
  </si>
  <si>
    <t>1570704416792</t>
  </si>
  <si>
    <t>-LqpGs2ZOO1a3wu1F3KY</t>
  </si>
  <si>
    <t>1570704423990</t>
  </si>
  <si>
    <t>-LqpGtqZdWqCEfQy0Yzj</t>
  </si>
  <si>
    <t>1570704431202</t>
  </si>
  <si>
    <t>-LqpGvZ_lhg5mHZh0uJR</t>
  </si>
  <si>
    <t>1570704438421</t>
  </si>
  <si>
    <t>-LqpGxdtJpnNdB6U8RlY</t>
  </si>
  <si>
    <t>1570704446726</t>
  </si>
  <si>
    <t>-LqpGzJrzOVnNPNogtFx</t>
  </si>
  <si>
    <t>1570704453852</t>
  </si>
  <si>
    <t>-LqpH-saVirDXPJijOK9</t>
  </si>
  <si>
    <t>1570704460052</t>
  </si>
  <si>
    <t>-LqpH1a_MN76nGcR2Q5F</t>
  </si>
  <si>
    <t>1570704467252</t>
  </si>
  <si>
    <t>-LqpH3Ag3LTcUNgtkjc6</t>
  </si>
  <si>
    <t>1570704473442</t>
  </si>
  <si>
    <t>-LqpH4sl7khTxCCOq2kc</t>
  </si>
  <si>
    <t>1570704480661</t>
  </si>
  <si>
    <t>-LqpH6fIByqYrQJNXREF</t>
  </si>
  <si>
    <t>1570704487882</t>
  </si>
  <si>
    <t>-LqpH8OjchDZDevkOkUL</t>
  </si>
  <si>
    <t>1570704495091</t>
  </si>
  <si>
    <t>-LqpHAB_FFaIWoVtAkO7</t>
  </si>
  <si>
    <t>1570704502304</t>
  </si>
  <si>
    <t>-LqpHBvZ1bzoCOwzndIp</t>
  </si>
  <si>
    <t>1570704509493</t>
  </si>
  <si>
    <t>-LqpHDT_05ojlW2bIiXt</t>
  </si>
  <si>
    <t>1570704515698</t>
  </si>
  <si>
    <t>-LqpHFCfxLoajSduAfyF</t>
  </si>
  <si>
    <t>1570704522911</t>
  </si>
  <si>
    <t>-LqpHGzj8sKMpY4vwUPJ</t>
  </si>
  <si>
    <t>1570704530122</t>
  </si>
  <si>
    <t>-LqpHIhaiBvHfcF9ztnu</t>
  </si>
  <si>
    <t>1570704537340</t>
  </si>
  <si>
    <t>-LqpHKW-BxaJLUFKIeCP</t>
  </si>
  <si>
    <t>1570704544542</t>
  </si>
  <si>
    <t>-LqpHMDa3V0Q-cxc9MNL</t>
  </si>
  <si>
    <t>1570704551732</t>
  </si>
  <si>
    <t>-LqpHNmaMzishV3nwYjW</t>
  </si>
  <si>
    <t>1570704557921</t>
  </si>
  <si>
    <t>-LqpHPViBEQqMAwtVZ6H</t>
  </si>
  <si>
    <t>1570704565151</t>
  </si>
  <si>
    <t>-LqpHRVRFTv3c7ibRPsP</t>
  </si>
  <si>
    <t>1570704572372</t>
  </si>
  <si>
    <t>-LqpHT1fpXmh4wwJNAI1</t>
  </si>
  <si>
    <t>1570704579574</t>
  </si>
  <si>
    <t>-LqpHUae7R6-7kbqP8ny</t>
  </si>
  <si>
    <t>1570704585761</t>
  </si>
  <si>
    <t>-LqpHWI_mTjmjqxc9zVW</t>
  </si>
  <si>
    <t>1570704592971</t>
  </si>
  <si>
    <t>-LqpHY5lCErGVvUUS8Od</t>
  </si>
  <si>
    <t>1570704600190</t>
  </si>
  <si>
    <t>-LqpHZoZYHUf7K3Pw8fw</t>
  </si>
  <si>
    <t>1570704607411</t>
  </si>
  <si>
    <t>-LqpHacpI1ITfr8x78Hi</t>
  </si>
  <si>
    <t>1570704614612</t>
  </si>
  <si>
    <t>-LqpHcLgyHl-QAGaG7Ye</t>
  </si>
  <si>
    <t>1570704621811</t>
  </si>
  <si>
    <t>-LqpHdt_a-bTEDXd4Tbu</t>
  </si>
  <si>
    <t>1570704628001</t>
  </si>
  <si>
    <t>-LqpHfxeCGqGYZNgWxlV</t>
  </si>
  <si>
    <t>1570704635221</t>
  </si>
  <si>
    <t>-LqpHheiy59l7O7cYxMS</t>
  </si>
  <si>
    <t>1570704643474</t>
  </si>
  <si>
    <t>-LqpHjNhWNUMt7BTIqbX</t>
  </si>
  <si>
    <t>1570704650683</t>
  </si>
  <si>
    <t>-LqpHkvfCwru6_DGrVv4</t>
  </si>
  <si>
    <t>1570704656863</t>
  </si>
  <si>
    <t>-LqpHmPzvVzxZIWm6VTZ</t>
  </si>
  <si>
    <t>1570704663080</t>
  </si>
  <si>
    <t>-LqpHnvYEPqUrSHadcYy</t>
  </si>
  <si>
    <t>1570704669234</t>
  </si>
  <si>
    <t>-LqpHpVGYwlymMSgQLJq</t>
  </si>
  <si>
    <t>1570704675419</t>
  </si>
  <si>
    <t>-LqpHrHJXKLoez8YINKo</t>
  </si>
  <si>
    <t>1570704682944</t>
  </si>
  <si>
    <t>-LqpHt-IKZ4yfZGYa4HX</t>
  </si>
  <si>
    <t>1570704689841</t>
  </si>
  <si>
    <t>-LqpHuhCg4Sse-wD60aN</t>
  </si>
  <si>
    <t>1570704697041</t>
  </si>
  <si>
    <t>-LqpHwUc1WSkbo85wR25</t>
  </si>
  <si>
    <t>1570704704261</t>
  </si>
  <si>
    <t>-LqpHyDABD5vv7vPrD80</t>
  </si>
  <si>
    <t>1570704711452</t>
  </si>
  <si>
    <t>-LqpHzm5Blcq4A3wJcT0</t>
  </si>
  <si>
    <t>1570704717641</t>
  </si>
  <si>
    <t>-LqpI0V1WYXo2kS1P7Vk</t>
  </si>
  <si>
    <t>1570704724880</t>
  </si>
  <si>
    <t>-LqpI2E976rqqI8FJYnp</t>
  </si>
  <si>
    <t>1570704732081</t>
  </si>
  <si>
    <t>-LqpI3nHx6r5rUCeUFYr</t>
  </si>
  <si>
    <t>1570704738273</t>
  </si>
  <si>
    <t>-LqpI5aR4-fAkgcFt3I9</t>
  </si>
  <si>
    <t>1570704745480</t>
  </si>
  <si>
    <t>-LqpI7JIhFiBaaNitN1B</t>
  </si>
  <si>
    <t>1570704752690</t>
  </si>
  <si>
    <t>-LqpI96JCoYXaJOZTbWQ</t>
  </si>
  <si>
    <t>1570704759910</t>
  </si>
  <si>
    <t>-LqpIAoZQ0CZt0uSILJl</t>
  </si>
  <si>
    <t>1570704767130</t>
  </si>
  <si>
    <t>-LqpICb3gslwJLVu9s5C</t>
  </si>
  <si>
    <t>1570704774332</t>
  </si>
  <si>
    <t>-LqpIEK1McIHHCRQhGds</t>
  </si>
  <si>
    <t>1570704781521</t>
  </si>
  <si>
    <t>-LqpIFuVX45F3S2BVx4n</t>
  </si>
  <si>
    <t>1570704787722</t>
  </si>
  <si>
    <t>-LqpIHbB4vIKvCPqKHUy</t>
  </si>
  <si>
    <t>1570704794941</t>
  </si>
  <si>
    <t>-LqpIJQHOvn3qfLt1X5T</t>
  </si>
  <si>
    <t>1570704802151</t>
  </si>
  <si>
    <t>-LqpIL7BDpmv2i0a2jf_</t>
  </si>
  <si>
    <t>1570704809372</t>
  </si>
  <si>
    <t>-LqpIMuvNULa7oMrEru3</t>
  </si>
  <si>
    <t>1570704816581</t>
  </si>
  <si>
    <t>-LqpIOeIx9daEKoWjfkZ</t>
  </si>
  <si>
    <t>1570704823772</t>
  </si>
  <si>
    <t>-LqpIQC2t-KhDSpxIGSL</t>
  </si>
  <si>
    <t>1570704829961</t>
  </si>
  <si>
    <t>-LqpIRv1X_iMDpUzCA2c</t>
  </si>
  <si>
    <t>1570704837202</t>
  </si>
  <si>
    <t>-LqpITjHms5FrV_0jRdi</t>
  </si>
  <si>
    <t>1570704844402</t>
  </si>
  <si>
    <t>-LqpIVSIGSg4PUnHAwSh</t>
  </si>
  <si>
    <t>1570704851601</t>
  </si>
  <si>
    <t>-LqpIXFSG8774sQ5yaBv</t>
  </si>
  <si>
    <t>1570704858831</t>
  </si>
  <si>
    <t>-LqpIYyHtf3iDNz1MZO7</t>
  </si>
  <si>
    <t>1570704866010</t>
  </si>
  <si>
    <t>-LqpI_lHH90UEkOpUpzl</t>
  </si>
  <si>
    <t>1570704873268</t>
  </si>
  <si>
    <t>-LqpIbUHreejd9eTEUBf</t>
  </si>
  <si>
    <t>1570704880472</t>
  </si>
  <si>
    <t>-LqpId2Fk0WaUPPH_Uwx</t>
  </si>
  <si>
    <t>1570704886654</t>
  </si>
  <si>
    <t>-LqpIelJx388IXay25dG</t>
  </si>
  <si>
    <t>1570704893840</t>
  </si>
  <si>
    <t>-LqpIgJF33CTURCpSCxt</t>
  </si>
  <si>
    <t>1570704900041</t>
  </si>
  <si>
    <t>-LqpIi2ID2Z7Vl9n4VPh</t>
  </si>
  <si>
    <t>1570704907258</t>
  </si>
  <si>
    <t>-LqpIjqH3B7zDEJs1bR-</t>
  </si>
  <si>
    <t>1570704914440</t>
  </si>
  <si>
    <t>-LqpIlz2dqqBAbIC3MdV</t>
  </si>
  <si>
    <t>1570704921681</t>
  </si>
  <si>
    <t>-LqpInbZLIB1I4Xb9CqO</t>
  </si>
  <si>
    <t>1570704929922</t>
  </si>
  <si>
    <t>-LqpIpJJrKaVS55KsqQp</t>
  </si>
  <si>
    <t>1570704937131</t>
  </si>
  <si>
    <t>-LqpIrDLQa8slkjrDzqr</t>
  </si>
  <si>
    <t>1570704943312</t>
  </si>
  <si>
    <t>-LqpIsuHJHV-sOt0fSwZ</t>
  </si>
  <si>
    <t>1570704951571</t>
  </si>
  <si>
    <t>-LqpIucTHOQW_St3-S77</t>
  </si>
  <si>
    <t>1570704958782</t>
  </si>
  <si>
    <t>-LqpIwPLeTE5irI1ufqS</t>
  </si>
  <si>
    <t>1570704965990</t>
  </si>
  <si>
    <t>-LqpIy8I-5Cp97tK-3Ki</t>
  </si>
  <si>
    <t>1570704973201</t>
  </si>
  <si>
    <t>-LqpJ-0H5SM4sXlzNSjE</t>
  </si>
  <si>
    <t>1570704980806</t>
  </si>
  <si>
    <t>-LqpJ0eafznxnduGadrY</t>
  </si>
  <si>
    <t>1570704987610</t>
  </si>
  <si>
    <t>-LqpJ2IJI8Z4bQtaSI4B</t>
  </si>
  <si>
    <t>1570704993802</t>
  </si>
  <si>
    <t>-LqpJ3wIC_7q4mXYlkxt</t>
  </si>
  <si>
    <t>1570705001051</t>
  </si>
  <si>
    <t>-LqpJ5jHaySRUw2Ff-D3</t>
  </si>
  <si>
    <t>1570705008241</t>
  </si>
  <si>
    <t>-LqpJ7SJgdIcac2-lzzy</t>
  </si>
  <si>
    <t>1570705015448</t>
  </si>
  <si>
    <t>-LqpJ9E2zIHMjFT5xMNv</t>
  </si>
  <si>
    <t>1570705022670</t>
  </si>
  <si>
    <t>-LqpJAxHemQEZNFO0tBz</t>
  </si>
  <si>
    <t>1570705029852</t>
  </si>
  <si>
    <t>-LqpJCk1MnMoWOTo6fF7</t>
  </si>
  <si>
    <t>1570705037198</t>
  </si>
  <si>
    <t>-LqpJEUJEzAoJ1JMcSBQ</t>
  </si>
  <si>
    <t>1570705044322</t>
  </si>
  <si>
    <t>-LqpJG13NgTZqZMN_2fE</t>
  </si>
  <si>
    <t>1570705050493</t>
  </si>
  <si>
    <t>-LqpJHlPzL4HOXhq2lzW</t>
  </si>
  <si>
    <t>1570705057680</t>
  </si>
  <si>
    <t>-LqpJJNuzRWB4kpsTbwW</t>
  </si>
  <si>
    <t>1570705064415</t>
  </si>
  <si>
    <t>-LqpJL2IdAIrFWxSx2BO</t>
  </si>
  <si>
    <t>1570705071091</t>
  </si>
  <si>
    <t>-LqpJMkus6Fd0aHYvKY5</t>
  </si>
  <si>
    <t>1570705078285</t>
  </si>
  <si>
    <t>-LqpJOHiw7yrj-jjiGOx</t>
  </si>
  <si>
    <t>1570705084476</t>
  </si>
  <si>
    <t>-LqpJPoqI2-ETgpzaKhH</t>
  </si>
  <si>
    <t>1570705090695</t>
  </si>
  <si>
    <t>-LqpJRK6GbsSO8zYpIvn</t>
  </si>
  <si>
    <t>1570705096855</t>
  </si>
  <si>
    <t>-LqpJT5scCh9XGUlvhQy</t>
  </si>
  <si>
    <t>1570705103034</t>
  </si>
  <si>
    <t>-LqpJUdufM2aM0V0f4Bp</t>
  </si>
  <si>
    <t>1570705110243</t>
  </si>
  <si>
    <t>-LqpJWMtGji_Uv7Ff_2q</t>
  </si>
  <si>
    <t>1570705117475</t>
  </si>
  <si>
    <t>-LqpJYAfJd-1XQ96W-fG</t>
  </si>
  <si>
    <t>1570705124684</t>
  </si>
  <si>
    <t>-LqpJZsuSpIIs02MeBjH</t>
  </si>
  <si>
    <t>1570705131914</t>
  </si>
  <si>
    <t>-LqpJal3P2LjktaEdGPY</t>
  </si>
  <si>
    <t>1570705139613</t>
  </si>
  <si>
    <t>-LqpJcTuhM_4fiNbzqjG</t>
  </si>
  <si>
    <t>1570705146304</t>
  </si>
  <si>
    <t>-LqpJeBu2Zczg0mR4S2j</t>
  </si>
  <si>
    <t>1570705153536</t>
  </si>
  <si>
    <t>-LqpJfutpRw9w0uvjhyk</t>
  </si>
  <si>
    <t>1570705160714</t>
  </si>
  <si>
    <t>-LqpJhU5OdDLhbIl1F-3</t>
  </si>
  <si>
    <t>1570705166904</t>
  </si>
  <si>
    <t>-LqpJjHZhim0FZNkZFq7</t>
  </si>
  <si>
    <t>1570705174145</t>
  </si>
  <si>
    <t>-LqpJkztY0IfQVKYxxUU</t>
  </si>
  <si>
    <t>1570705181354</t>
  </si>
  <si>
    <t>-LqpJmhtrhFSV14rwiWd</t>
  </si>
  <si>
    <t>1570705188544</t>
  </si>
  <si>
    <t>-LqpJoHfqWdcSZ5OVED9</t>
  </si>
  <si>
    <t>1570705194747</t>
  </si>
  <si>
    <t>-LqpJpzvXF9xG7xqWN8I</t>
  </si>
  <si>
    <t>1570705201965</t>
  </si>
  <si>
    <t>-LqpJrmwz1VIu9NBztYx</t>
  </si>
  <si>
    <t>1570705209177</t>
  </si>
  <si>
    <t>-LqpJtW3lyQoqN1bxg7h</t>
  </si>
  <si>
    <t>1570705216384</t>
  </si>
  <si>
    <t>-LqpJvIuCFgLCONF2v5O</t>
  </si>
  <si>
    <t>1570705223604</t>
  </si>
  <si>
    <t>-LqpJx12kP1Zsz6F514v</t>
  </si>
  <si>
    <t>1570705230790</t>
  </si>
  <si>
    <t>-LqpJyVu7_WzoW6NA1yH</t>
  </si>
  <si>
    <t>1570705236953</t>
  </si>
  <si>
    <t>-LqpK-3u3-xt_WV3A4Va</t>
  </si>
  <si>
    <t>1570705243175</t>
  </si>
  <si>
    <t>-LqpK0rtkAz_vuseJcWL</t>
  </si>
  <si>
    <t>1570705250405</t>
  </si>
  <si>
    <t>-LqpK2_uUO0xdPOIbtty</t>
  </si>
  <si>
    <t>1570705257604</t>
  </si>
  <si>
    <t>-LqpK4O2tZpFJQWDRED6</t>
  </si>
  <si>
    <t>1570705264814</t>
  </si>
  <si>
    <t>-LqpK661DeBahpPViN9X</t>
  </si>
  <si>
    <t>1570705272034</t>
  </si>
  <si>
    <t>-LqpK7u1ojC_I3ZVVgsw</t>
  </si>
  <si>
    <t>1570705279247</t>
  </si>
  <si>
    <t>-LqpK9buBhX7KdOOLyAd</t>
  </si>
  <si>
    <t>1570705286464</t>
  </si>
  <si>
    <t>-LqpKBPubEBvFyDsMCld</t>
  </si>
  <si>
    <t>1570705293672</t>
  </si>
  <si>
    <t>-LqpKD82ZD3XRm2SyBiY</t>
  </si>
  <si>
    <t>1570705300864</t>
  </si>
  <si>
    <t>-LqpKEg-Eo22LIxt68T9</t>
  </si>
  <si>
    <t>1570705307057</t>
  </si>
  <si>
    <t>-LqpKGPuPua_abEXEU4D</t>
  </si>
  <si>
    <t>1570705314275</t>
  </si>
  <si>
    <t>-LqpKICtAA4ihtEpdJyM</t>
  </si>
  <si>
    <t>1570705321495</t>
  </si>
  <si>
    <t>-LqpKJvkQN_06kmouaey</t>
  </si>
  <si>
    <t>1570705328705</t>
  </si>
  <si>
    <t>-LqpKM3UNC86D8r9A7xW</t>
  </si>
  <si>
    <t>1570705335905</t>
  </si>
  <si>
    <t>-LqpKNg32k4eXWRAMdAq</t>
  </si>
  <si>
    <t>1570705344164</t>
  </si>
  <si>
    <t>-LqpKPEuiqUfojTbytJF</t>
  </si>
  <si>
    <t>1570705350345</t>
  </si>
  <si>
    <t>-LqpKQxuuep3vBY0XhhD</t>
  </si>
  <si>
    <t>1570705357536</t>
  </si>
  <si>
    <t>-LqpKSl3jNvOcxL8M5K0</t>
  </si>
  <si>
    <t>1570705364764</t>
  </si>
  <si>
    <t>-LqpKUTtMdxxAvSMqn7V</t>
  </si>
  <si>
    <t>1570705371985</t>
  </si>
  <si>
    <t>-LqpKW1tF8X4HHJJ-6xE</t>
  </si>
  <si>
    <t>1570705378173</t>
  </si>
  <si>
    <t>-LqpKXktTJl9iwFKj6sk</t>
  </si>
  <si>
    <t>1570705385344</t>
  </si>
  <si>
    <t>-LqpKZJwpk_IguvcWJq7</t>
  </si>
  <si>
    <t>1570705391538</t>
  </si>
  <si>
    <t>-LqpKa1tiD8fRjSmWVkv</t>
  </si>
  <si>
    <t>1570705398786</t>
  </si>
  <si>
    <t>-LqpKbr9dRjJFrA-Wffm</t>
  </si>
  <si>
    <t>1570705405986</t>
  </si>
  <si>
    <t>-LqpKdYvyjR_4xV-7dgh</t>
  </si>
  <si>
    <t>1570705413195</t>
  </si>
  <si>
    <t>-LqpKfLuiA9XbXjLRpob</t>
  </si>
  <si>
    <t>1570705420415</t>
  </si>
  <si>
    <t>-LqpKh3a8MuHuZQMZumE</t>
  </si>
  <si>
    <t>1570705427594</t>
  </si>
  <si>
    <t>-LqpKid2HFrysUmdzhAk</t>
  </si>
  <si>
    <t>1570705433776</t>
  </si>
  <si>
    <t>-LqpKkLvL_LzRMkaxRjv</t>
  </si>
  <si>
    <t>1570705441025</t>
  </si>
  <si>
    <t>-LqpKmOYqCB7eOUtBErA</t>
  </si>
  <si>
    <t>1570705449240</t>
  </si>
  <si>
    <t>-LqpKo5uidzPS5jlh_Xu</t>
  </si>
  <si>
    <t>1570705456476</t>
  </si>
  <si>
    <t>-LqpKpeuXfTSGifc0dM-</t>
  </si>
  <si>
    <t>1570705462655</t>
  </si>
  <si>
    <t>-LqpKrNtsxlGGOX57ZJg</t>
  </si>
  <si>
    <t>1570705469842</t>
  </si>
  <si>
    <t>-LqpKtAtEevYpcuxelOO</t>
  </si>
  <si>
    <t>1570705477076</t>
  </si>
  <si>
    <t>-LqpKueuB0moVoYJ1GfK</t>
  </si>
  <si>
    <t>1570705483234</t>
  </si>
  <si>
    <t>-LqpKwStYmJGzexomHnr</t>
  </si>
  <si>
    <t>1570705490477</t>
  </si>
  <si>
    <t>-LqpKyAuDhDpuOkObZqi</t>
  </si>
  <si>
    <t>1570705497664</t>
  </si>
  <si>
    <t>-LqpKzz3gDDcldjyNHvP</t>
  </si>
  <si>
    <t>1570705504894</t>
  </si>
  <si>
    <t>-LqpL0gvtz1dqCPDA_-O</t>
  </si>
  <si>
    <t>1570705512125</t>
  </si>
  <si>
    <t>-LqpL2Ft2wjsjVbseJdM</t>
  </si>
  <si>
    <t>1570705518294</t>
  </si>
  <si>
    <t>-LqpL3ytZuH7dljX86Sz</t>
  </si>
  <si>
    <t>1570705525504</t>
  </si>
  <si>
    <t>-LqpL5lt5Q6Drwk2ONir</t>
  </si>
  <si>
    <t>1570705532715</t>
  </si>
  <si>
    <t>-LqpL7UujQOrx7LJNRQn</t>
  </si>
  <si>
    <t>1570705539905</t>
  </si>
  <si>
    <t>-LqpL8yu24ER6dNsIkwR</t>
  </si>
  <si>
    <t>1570705546105</t>
  </si>
  <si>
    <t>-LqpLAYB2hk4aRP0JYth</t>
  </si>
  <si>
    <t>1570705552302</t>
  </si>
  <si>
    <t>-LqpLCFvvaJJUjllxmTU</t>
  </si>
  <si>
    <t>1570705559504</t>
  </si>
  <si>
    <t>-LqpLDyvImeggom0P5Oh</t>
  </si>
  <si>
    <t>1570705566406</t>
  </si>
  <si>
    <t>-LqpLFrhAhOPp-56pSP4</t>
  </si>
  <si>
    <t>1570705574055</t>
  </si>
  <si>
    <t>-LqpLHaAy2EFXP_U_RoL</t>
  </si>
  <si>
    <t>1570705581146</t>
  </si>
  <si>
    <t>-LqpLJLoU5tjhI400tMc</t>
  </si>
  <si>
    <t>1570705588357</t>
  </si>
  <si>
    <t>-LqpLLLsJYrI3SXE1Gs4</t>
  </si>
  <si>
    <t>1570705595585</t>
  </si>
  <si>
    <t>-LqpLMsuINAo04a1wt8D</t>
  </si>
  <si>
    <t>1570705602785</t>
  </si>
  <si>
    <t>-LqpLOav05EmsBxIfOM-</t>
  </si>
  <si>
    <t>1570705609985</t>
  </si>
  <si>
    <t>-LqpLQPDwcBI4Ptmu8UJ</t>
  </si>
  <si>
    <t>1570705617215</t>
  </si>
  <si>
    <t>-LqpLS6xWe-TGZHPFzJR</t>
  </si>
  <si>
    <t>1570705624395</t>
  </si>
  <si>
    <t>-LqpLTv5DUGDHvXVOC_T</t>
  </si>
  <si>
    <t>1570705631636</t>
  </si>
  <si>
    <t>-LqpLVculPheN6Bej9Ag</t>
  </si>
  <si>
    <t>1570705638846</t>
  </si>
  <si>
    <t>-LqpLXC4dBcWEoRtkDIx</t>
  </si>
  <si>
    <t>1570705645037</t>
  </si>
  <si>
    <t>-LqpLYv4Xr_6ijONh2pT</t>
  </si>
  <si>
    <t>1570705652227</t>
  </si>
  <si>
    <t>-LqpL_TvLdcjbhpCYzmj</t>
  </si>
  <si>
    <t>1570705658416</t>
  </si>
  <si>
    <t>-LqpLbBvKs5Gn683dfch</t>
  </si>
  <si>
    <t>1570705665636</t>
  </si>
  <si>
    <t>-LqpLd-2CxAeP8YmznrN</t>
  </si>
  <si>
    <t>1570705672856</t>
  </si>
  <si>
    <t>-LqpLehvno6oU4E5TNSz</t>
  </si>
  <si>
    <t>1570705680065</t>
  </si>
  <si>
    <t>-LqpLgW3UNjSqlD40pbu</t>
  </si>
  <si>
    <t>1570705687276</t>
  </si>
  <si>
    <t>-LqpLiDuY_LIPfB8VQrO</t>
  </si>
  <si>
    <t>1570705694466</t>
  </si>
  <si>
    <t>-LqpLjmwrVylohkMDRAW</t>
  </si>
  <si>
    <t>1570705700655</t>
  </si>
  <si>
    <t>-LqpLlVwmgGt1aPA8tQe</t>
  </si>
  <si>
    <t>1570705707907</t>
  </si>
  <si>
    <t>-LqpLnIvQf6XiibN5ja4</t>
  </si>
  <si>
    <t>1570705715106</t>
  </si>
  <si>
    <t>-LqpLp0uj9kYLUogZJ3O</t>
  </si>
  <si>
    <t>1570705722306</t>
  </si>
  <si>
    <t>-LqpLqZztAQo8o74IR9S</t>
  </si>
  <si>
    <t>1570705728495</t>
  </si>
  <si>
    <t>-LqpLsItIA3j6pGd3v5z</t>
  </si>
  <si>
    <t>1570705735717</t>
  </si>
  <si>
    <t>-LqpLu5w8ZY1d_UbEcjU</t>
  </si>
  <si>
    <t>1570705742926</t>
  </si>
  <si>
    <t>-LqpLvp4iLyM-eRRKxL0</t>
  </si>
  <si>
    <t>1570705750146</t>
  </si>
  <si>
    <t>-LqpLx_TjlyAp95hV6Xs</t>
  </si>
  <si>
    <t>1570705757357</t>
  </si>
  <si>
    <t>-LqpLz4mt2RsqvhZFCty</t>
  </si>
  <si>
    <t>1570705763521</t>
  </si>
  <si>
    <t>-LqpM-_iqs7JgKuWeiEa</t>
  </si>
  <si>
    <t>1570705769717</t>
  </si>
  <si>
    <t>-LqpM16uhk2upvSVbIw2</t>
  </si>
  <si>
    <t>1570705775956</t>
  </si>
  <si>
    <t>-LqpM2cCvu8bk8vs2wqT</t>
  </si>
  <si>
    <t>1570705782107</t>
  </si>
  <si>
    <t>-LqpM47LDMdOD7HmqN86</t>
  </si>
  <si>
    <t>1570705788263</t>
  </si>
  <si>
    <t>-LqpM5cNGC9OurHnGqt1</t>
  </si>
  <si>
    <t>1570705794487</t>
  </si>
  <si>
    <t>-LqpM7QZ8a3VpwUMrEgG</t>
  </si>
  <si>
    <t>1570705800672</t>
  </si>
  <si>
    <t>-LqpM9CN9ckPhHTmrnAj</t>
  </si>
  <si>
    <t>1570705809046</t>
  </si>
  <si>
    <t>-LqpMB3Bf-GQdRqRlG8V</t>
  </si>
  <si>
    <t>1570705816105</t>
  </si>
  <si>
    <t>-LqpMCfqgEzo4G2HvGbc</t>
  </si>
  <si>
    <t>1570705823305</t>
  </si>
  <si>
    <t>-LqpMEB8iul8vPyr6z-e</t>
  </si>
  <si>
    <t>1570705829472</t>
  </si>
  <si>
    <t>-LqpMFheH2rHlmtosLW6</t>
  </si>
  <si>
    <t>1570705835705</t>
  </si>
  <si>
    <t>-LqpMHB0mGSI8DPj3vSL</t>
  </si>
  <si>
    <t>1570705841865</t>
  </si>
  <si>
    <t>-LqpMIlkw4afSy6HdOrb</t>
  </si>
  <si>
    <t>1570705848025</t>
  </si>
  <si>
    <t>-LqpMKSUcEQui5iioy2p</t>
  </si>
  <si>
    <t>1570705855226</t>
  </si>
  <si>
    <t>-LqpMM-4bxGiT8dm4cRf</t>
  </si>
  <si>
    <t>1570705861474</t>
  </si>
  <si>
    <t>-LqpMNV5DWPxCZwFur99</t>
  </si>
  <si>
    <t>1570705867616</t>
  </si>
  <si>
    <t>-LqpMP-js1p8DIzI6pAj</t>
  </si>
  <si>
    <t>1570705873783</t>
  </si>
  <si>
    <t>-LqpMQYGN7u-skp1QQCb</t>
  </si>
  <si>
    <t>1570705880021</t>
  </si>
  <si>
    <t>-LqpMSHZRwhEgc1T4sKr</t>
  </si>
  <si>
    <t>1570705887221</t>
  </si>
  <si>
    <t>-LqpMTlaRVpHrd9Hw-qi</t>
  </si>
  <si>
    <t>1570705893380</t>
  </si>
  <si>
    <t>-LqpMVIw_0DotRLbAyyQ</t>
  </si>
  <si>
    <t>1570705899586</t>
  </si>
  <si>
    <t>-LqpMX3GvJTL1Jdn5eRn</t>
  </si>
  <si>
    <t>1570705906800</t>
  </si>
  <si>
    <t>-LqpMYZjaGmPRB4QGr1p</t>
  </si>
  <si>
    <t>1570705912961</t>
  </si>
  <si>
    <t>-LqpM_EaA2LqeDwSwfh6</t>
  </si>
  <si>
    <t>1570705919122</t>
  </si>
  <si>
    <t>-LqpMaqm5EfeZDrLoNfg</t>
  </si>
  <si>
    <t>1570705926395</t>
  </si>
  <si>
    <t>-LqpMcLpdNmssM8I2v-_</t>
  </si>
  <si>
    <t>1570705932554</t>
  </si>
  <si>
    <t>-LqpMdr5pbZ2IdYLxG3R</t>
  </si>
  <si>
    <t>1570705938704</t>
  </si>
  <si>
    <t>-LqpMfMGEmfmMWEKsrOw</t>
  </si>
  <si>
    <t>1570705944935</t>
  </si>
  <si>
    <t>-LqpMgsrRazjD9D0oInV</t>
  </si>
  <si>
    <t>1570705951106</t>
  </si>
  <si>
    <t>-LqpMiO6GIBp659chsc6</t>
  </si>
  <si>
    <t>1570705957271</t>
  </si>
  <si>
    <t>-LqpMk2LYlXubYuz5PDF</t>
  </si>
  <si>
    <t>1570705964182</t>
  </si>
  <si>
    <t>-LqpMlfCPhtRtBsokrGy</t>
  </si>
  <si>
    <t>1570705970650</t>
  </si>
  <si>
    <t>-LqpMnQguivLGK4OlBw9</t>
  </si>
  <si>
    <t>1570705977906</t>
  </si>
  <si>
    <t>-LqpMoubmIsBhgDqdBWv</t>
  </si>
  <si>
    <t>1570705984076</t>
  </si>
  <si>
    <t>-LqpMqR6WI_cXmJGXUTP</t>
  </si>
  <si>
    <t>1570705990231</t>
  </si>
  <si>
    <t>-LqpMrwHIoklbFzUPIgM</t>
  </si>
  <si>
    <t>1570705996406</t>
  </si>
  <si>
    <t>-LqpMtSqK4NTp-WoHpRF</t>
  </si>
  <si>
    <t>1570706002630</t>
  </si>
  <si>
    <t>-LqpMuwTQhxNT6x-7kCi</t>
  </si>
  <si>
    <t>1570706008777</t>
  </si>
  <si>
    <t>-LqpMwlL8HCBbrh7Sjwl</t>
  </si>
  <si>
    <t>1570706014980</t>
  </si>
  <si>
    <t>-LqpMySwMp_fKOUubYw0</t>
  </si>
  <si>
    <t>1570706023202</t>
  </si>
  <si>
    <t>-LqpN--3lZzVUl6A2RBW</t>
  </si>
  <si>
    <t>1570706029396</t>
  </si>
  <si>
    <t>-LqpN0XeXqaH0k6O8kVR</t>
  </si>
  <si>
    <t>1570706035561</t>
  </si>
  <si>
    <t>-LqpN2H4R7jbqSNvAxJE</t>
  </si>
  <si>
    <t>1570706042840</t>
  </si>
  <si>
    <t>-LqpN3mF_Gm9XIPDLmwi</t>
  </si>
  <si>
    <t>1570706049062</t>
  </si>
  <si>
    <t>-LqpN5GKjsLzO8GS3467</t>
  </si>
  <si>
    <t>1570706055151</t>
  </si>
  <si>
    <t>-LqpN6pKijGcqAtGYDEa</t>
  </si>
  <si>
    <t>1570706061321</t>
  </si>
  <si>
    <t>-LqpN8ku16JbX49zxCZU</t>
  </si>
  <si>
    <t>1570706068591</t>
  </si>
  <si>
    <t>-LqpNAK3FKXTMI0SsyKp</t>
  </si>
  <si>
    <t>1570706075801</t>
  </si>
  <si>
    <t>-LqpNBpPyUs4rk1R-MTW</t>
  </si>
  <si>
    <t>1570706081951</t>
  </si>
  <si>
    <t>-LqpNDLuQ_aiUVrTNj6O</t>
  </si>
  <si>
    <t>1570706088117</t>
  </si>
  <si>
    <t>-LqpNEsJKjpotXERQE2a</t>
  </si>
  <si>
    <t>1570706094281</t>
  </si>
  <si>
    <t>-LqpNGOMyah4E2-4LY-N</t>
  </si>
  <si>
    <t>1570706100462</t>
  </si>
  <si>
    <t>-LqpNI6eUUra0jM_XhVS</t>
  </si>
  <si>
    <t>1570706107691</t>
  </si>
  <si>
    <t>-LqpNJd9eUbvblYq30Ge</t>
  </si>
  <si>
    <t>1570706113947</t>
  </si>
  <si>
    <t>-LqpNL86puLLe4_E3EEj</t>
  </si>
  <si>
    <t>1570706120092</t>
  </si>
  <si>
    <t>-LqpNMh2RDHjbKK0HqI0</t>
  </si>
  <si>
    <t>1570706126257</t>
  </si>
  <si>
    <t>-LqpNOQ98KjoZlLf_mp7</t>
  </si>
  <si>
    <t>1570706133452</t>
  </si>
  <si>
    <t>-LqpNPv_tKUZmpLYamwY</t>
  </si>
  <si>
    <t>1570706139638</t>
  </si>
  <si>
    <t>-LqpNRwPdFbm_ftK4v5q</t>
  </si>
  <si>
    <t>1570706148006</t>
  </si>
  <si>
    <t>-LqpNTReVeCClsp80WUn</t>
  </si>
  <si>
    <t>1570706154031</t>
  </si>
  <si>
    <t>-LqpNV-jCz2jaldtjTGv</t>
  </si>
  <si>
    <t>1570706160269</t>
  </si>
  <si>
    <t>-LqpNWixfnXHpN4zBCwc</t>
  </si>
  <si>
    <t>1570706167476</t>
  </si>
  <si>
    <t>-LqpNYCVlazY0HyQh5Qk</t>
  </si>
  <si>
    <t>1570706173686</t>
  </si>
  <si>
    <t>-LqpNZj5tNsty0JfsGR0</t>
  </si>
  <si>
    <t>1570706179862</t>
  </si>
  <si>
    <t>-LqpNaD3mTzv1gP2YqRu</t>
  </si>
  <si>
    <t>1570706185996</t>
  </si>
  <si>
    <t>-LqpNbjp_3OIiV23kMFT</t>
  </si>
  <si>
    <t>1570706192186</t>
  </si>
  <si>
    <t>-LqpNdG5NjAEz4bzp1CC</t>
  </si>
  <si>
    <t>1570706198422</t>
  </si>
  <si>
    <t>-LqpNelPAgUGTLXoDhKr</t>
  </si>
  <si>
    <t>1570706204646</t>
  </si>
  <si>
    <t>-LqpNgGeS97RfbI8hZ4T</t>
  </si>
  <si>
    <t>1570706210767</t>
  </si>
  <si>
    <t>-LqpNhnoNsrdz8BN3xFg</t>
  </si>
  <si>
    <t>1570706216939</t>
  </si>
  <si>
    <t>-LqpNjXtNGvgyufTB35a</t>
  </si>
  <si>
    <t>1570706224141</t>
  </si>
  <si>
    <t>-LqpNl1p3FiP53qfqEsf</t>
  </si>
  <si>
    <t>1570706230317</t>
  </si>
  <si>
    <t>-LqpNmprXgkW1qHKn95L</t>
  </si>
  <si>
    <t>1570706237657</t>
  </si>
  <si>
    <t>-LqpNoZzV1H0pW0Vsh9B</t>
  </si>
  <si>
    <t>1570706244753</t>
  </si>
  <si>
    <t>-LqpNqBlC92V5IYChKrx</t>
  </si>
  <si>
    <t>1570706251421</t>
  </si>
  <si>
    <t>-LqpNrr-E7xw9KFxkdSv</t>
  </si>
  <si>
    <t>1570706258192</t>
  </si>
  <si>
    <t>-LqpNtJ6m_kWdFVTk3oD</t>
  </si>
  <si>
    <t>1570706264276</t>
  </si>
  <si>
    <t>-LqpNurCNNoXuc9rjkj5</t>
  </si>
  <si>
    <t>1570706270493</t>
  </si>
  <si>
    <t>-LqpNwP1R3RBRK971HiG</t>
  </si>
  <si>
    <t>1570706276733</t>
  </si>
  <si>
    <t>-LqpNy8sV0DNzQnPyZVt</t>
  </si>
  <si>
    <t>1570706283932</t>
  </si>
  <si>
    <t>-LqpNzdQz5t63xfUd3zi</t>
  </si>
  <si>
    <t>1570706290093</t>
  </si>
  <si>
    <t>-LqpO0MTOSfdNHWeV29K</t>
  </si>
  <si>
    <t>1570706296253</t>
  </si>
  <si>
    <t>-LqpO1uH7KJC65ELKzsi</t>
  </si>
  <si>
    <t>1570706303458</t>
  </si>
  <si>
    <t>-LqpO3QkJDbOHe4RX63f</t>
  </si>
  <si>
    <t>1570706309698</t>
  </si>
  <si>
    <t>-LqpO4w2QsENwN3TVgR5</t>
  </si>
  <si>
    <t>1570706315858</t>
  </si>
  <si>
    <t>-LqpO6RBHj-SisvJpKuj</t>
  </si>
  <si>
    <t>1570706322014</t>
  </si>
  <si>
    <t>-LqpO8CIVWnYuD2zhAGf</t>
  </si>
  <si>
    <t>1570706329218</t>
  </si>
  <si>
    <t>-LqpO9j8BJ-gTD70nL0C</t>
  </si>
  <si>
    <t>1570706335452</t>
  </si>
  <si>
    <t>-LqpOBDR8IuBFoCrPlB3</t>
  </si>
  <si>
    <t>1570706341617</t>
  </si>
  <si>
    <t>-LqpOCihpqg0UwqjQjAL</t>
  </si>
  <si>
    <t>1570706347773</t>
  </si>
  <si>
    <t>-LqpOEFB0ff-rjrvYHje</t>
  </si>
  <si>
    <t>1570706354013</t>
  </si>
  <si>
    <t>-LqpOFicoHlxgyjxPXec</t>
  </si>
  <si>
    <t>1570706360137</t>
  </si>
  <si>
    <t>-LqpOHIp7Bhl6Av1xJpc</t>
  </si>
  <si>
    <t>1570706366339</t>
  </si>
  <si>
    <t>-LqpOJOxPh1AMIAXDNEl</t>
  </si>
  <si>
    <t>1570706374942</t>
  </si>
  <si>
    <t>-LqpOL1r6ydac1BLJi7f</t>
  </si>
  <si>
    <t>1570706381790</t>
  </si>
  <si>
    <t>-LqpOMob7wxcw6Eqzbpu</t>
  </si>
  <si>
    <t>1570706389003</t>
  </si>
  <si>
    <t>-LqpOOXp5Ybm_lAqfzFV</t>
  </si>
  <si>
    <t>1570706396212</t>
  </si>
  <si>
    <t>-LqpOQNd1_xxkVMqiJK2</t>
  </si>
  <si>
    <t>1570706403766</t>
  </si>
  <si>
    <t>-LqpOS4V6r_pSyzd4HXf</t>
  </si>
  <si>
    <t>1570706410672</t>
  </si>
  <si>
    <t>-LqpOTZP_p77xGspZ3z-</t>
  </si>
  <si>
    <t>1570706416831</t>
  </si>
  <si>
    <t>-LqpOV6K20w60W5-lVmY</t>
  </si>
  <si>
    <t>1570706422998</t>
  </si>
  <si>
    <t>-LqpOWb7dv7K36D4n3XJ</t>
  </si>
  <si>
    <t>1570706429217</t>
  </si>
  <si>
    <t>-LqpOY6gVkdTvNhufVWS</t>
  </si>
  <si>
    <t>1570706435381</t>
  </si>
  <si>
    <t>-LqpOZcdOPG_TYLXca4-</t>
  </si>
  <si>
    <t>1570706441543</t>
  </si>
  <si>
    <t>-LqpOa6xqfPw4jx3MOjR</t>
  </si>
  <si>
    <t>1570706447695</t>
  </si>
  <si>
    <t>-LqpObvyrHYX-JP5Zy_i</t>
  </si>
  <si>
    <t>1570706453894</t>
  </si>
  <si>
    <t>-LqpOdeFxpwHXpDNkjQw</t>
  </si>
  <si>
    <t>1570706462174</t>
  </si>
  <si>
    <t>-LqpOf9Y_Ep842DQt4V8</t>
  </si>
  <si>
    <t>1570706468325</t>
  </si>
  <si>
    <t>-LqpOgfpCSi3yp93yvEU</t>
  </si>
  <si>
    <t>1570706474564</t>
  </si>
  <si>
    <t>-LqpOiCUF0WB4_fT_1Jv</t>
  </si>
  <si>
    <t>1570706480725</t>
  </si>
  <si>
    <t>-LqpOjiHGzESTiAnStc5</t>
  </si>
  <si>
    <t>1570706486910</t>
  </si>
  <si>
    <t>-LqpOlSCGQ_mFBJKFYgE</t>
  </si>
  <si>
    <t>1570706494110</t>
  </si>
  <si>
    <t>-LqpOn4HiWyJuBEqIiqs</t>
  </si>
  <si>
    <t>1570706500817</t>
  </si>
  <si>
    <t>-LqpOoilRgzLsjaA6m6o</t>
  </si>
  <si>
    <t>1570706507490</t>
  </si>
  <si>
    <t>-LqpOqDp8X89h8R2uGCO</t>
  </si>
  <si>
    <t>1570706513699</t>
  </si>
  <si>
    <t>-LqpOrk5N4FTiy_sB441</t>
  </si>
  <si>
    <t>1570706519864</t>
  </si>
  <si>
    <t>-LqpOtZGgp4OBFMZwpZR</t>
  </si>
  <si>
    <t>1570706527090</t>
  </si>
  <si>
    <t>-LqpOvG_M3vmEyzy11Xi</t>
  </si>
  <si>
    <t>1570706534317</t>
  </si>
  <si>
    <t>-LqpOx0vzkTK3KjzNHIS</t>
  </si>
  <si>
    <t>1570706541569</t>
  </si>
  <si>
    <t>-LqpOyXA6WcXZt48U6JR</t>
  </si>
  <si>
    <t>1570706547690</t>
  </si>
  <si>
    <t>-LqpP-7Rs9x1Sq789N8Z</t>
  </si>
  <si>
    <t>1570706554216</t>
  </si>
  <si>
    <t>-LqpP0o9_fqQlFrO_Sgu</t>
  </si>
  <si>
    <t>1570706561109</t>
  </si>
  <si>
    <t>-LqpP2KVdw6hhigoGNPh</t>
  </si>
  <si>
    <t>1570706567266</t>
  </si>
  <si>
    <t>-LqpP3obmNOv_UCl9oqX</t>
  </si>
  <si>
    <t>1570706573437</t>
  </si>
  <si>
    <t>-LqpP5L5rWaM4qn200lP</t>
  </si>
  <si>
    <t>1570706579666</t>
  </si>
  <si>
    <t>-LqpP6qKYqChq2eWi4Ej</t>
  </si>
  <si>
    <t>1570706585831</t>
  </si>
  <si>
    <t>-LqpP8KVJMhh2NxHFMKD</t>
  </si>
  <si>
    <t>1570706591989</t>
  </si>
  <si>
    <t>-LqpPAA-IxjimRu8-QOw</t>
  </si>
  <si>
    <t>1570706599490</t>
  </si>
  <si>
    <t>-LqpPBsp5ELkvDMRs3KM</t>
  </si>
  <si>
    <t>1570706606470</t>
  </si>
  <si>
    <t>-LqpPDO5YACrbYNMwobQ</t>
  </si>
  <si>
    <t>1570706612636</t>
  </si>
  <si>
    <t>-LqpPEtKbQa9lx1dlmCd</t>
  </si>
  <si>
    <t>1570706618800</t>
  </si>
  <si>
    <t>-LqpPGO_rd5U4xLt-caX</t>
  </si>
  <si>
    <t>1570706625019</t>
  </si>
  <si>
    <t>-LqpPHtfZekwhil24OAb</t>
  </si>
  <si>
    <t>1570706631150</t>
  </si>
  <si>
    <t>-LqpPJP5dIn8h3GRtIoy</t>
  </si>
  <si>
    <t>1570706637360</t>
  </si>
  <si>
    <t>-LqpPL247U29HFSSEx-w</t>
  </si>
  <si>
    <t>1570706644025</t>
  </si>
  <si>
    <t>-LqpPMhUsaWDvoxF52cB</t>
  </si>
  <si>
    <t>1570706650790</t>
  </si>
  <si>
    <t>-LqpPOBBflGMESUHx_3r</t>
  </si>
  <si>
    <t>1570706656899</t>
  </si>
  <si>
    <t>-LqpPPhpJKm724_GJc7S</t>
  </si>
  <si>
    <t>1570706663109</t>
  </si>
  <si>
    <t>-LqpPRX8cMI1gHodUbpt</t>
  </si>
  <si>
    <t>1570706669330</t>
  </si>
  <si>
    <t>-LqpPTEpDwXpqQWickKt</t>
  </si>
  <si>
    <t>1570706677569</t>
  </si>
  <si>
    <t>-LqpPUjDkDrXpEbrsRLt</t>
  </si>
  <si>
    <t>1570706683733</t>
  </si>
  <si>
    <t>-LqpPWVZ4OSI3vA7dx39</t>
  </si>
  <si>
    <t>1570706690933</t>
  </si>
  <si>
    <t>-LqpPY-oMkK6St0xM_75</t>
  </si>
  <si>
    <t>1570706697092</t>
  </si>
  <si>
    <t>-LqpPZj1C1IzUikal4UE</t>
  </si>
  <si>
    <t>1570706703322</t>
  </si>
  <si>
    <t>-LqpPa_QzK8JrHtpC6EH</t>
  </si>
  <si>
    <t>1570706711793</t>
  </si>
  <si>
    <t>-LqpPcJ1g7bY4vj9haAr</t>
  </si>
  <si>
    <t>1570706718779</t>
  </si>
  <si>
    <t>-LqpPe98Sd0GS9EeyXeD</t>
  </si>
  <si>
    <t>1570706724992</t>
  </si>
  <si>
    <t>-LqpPg-xxcCsIJN6jAFW</t>
  </si>
  <si>
    <t>1570706733916</t>
  </si>
  <si>
    <t>-LqpPhaB3_21N6xpRl8R</t>
  </si>
  <si>
    <t>1570706740372</t>
  </si>
  <si>
    <t>-LqpPj49e8wHzKY5lIPv</t>
  </si>
  <si>
    <t>1570706746534</t>
  </si>
  <si>
    <t>-LqpPkag-jnDf6jDpQr0</t>
  </si>
  <si>
    <t>1570706752761</t>
  </si>
  <si>
    <t>-LqpPm7MHJZ32g5hWvRw</t>
  </si>
  <si>
    <t>1570706758972</t>
  </si>
  <si>
    <t>-LqpPnb9KkV66coPmSlU</t>
  </si>
  <si>
    <t>1570706765095</t>
  </si>
  <si>
    <t>-LqpPp7eGt7RRlmtgm0l</t>
  </si>
  <si>
    <t>1570706771342</t>
  </si>
  <si>
    <t>-LqpPqd3gMspmpgENUke</t>
  </si>
  <si>
    <t>1570706777482</t>
  </si>
  <si>
    <t>-LqpPs8KTEZqiwDWvpGs</t>
  </si>
  <si>
    <t>1570706783648</t>
  </si>
  <si>
    <t>-LqpPtekT-fBSqZQyJE0</t>
  </si>
  <si>
    <t>1570706789889</t>
  </si>
  <si>
    <t>-LqpPvACsAs9uphip2Jr</t>
  </si>
  <si>
    <t>1570706796059</t>
  </si>
  <si>
    <t>-LqpPwfOUGGAw5zQcqjZ</t>
  </si>
  <si>
    <t>1570706802217</t>
  </si>
  <si>
    <t>-LqpPyAdWtKMkVnt-0W6</t>
  </si>
  <si>
    <t>1570706808377</t>
  </si>
  <si>
    <t>-LqpPzh59wqL_kQCWfgO</t>
  </si>
  <si>
    <t>1570706814613</t>
  </si>
  <si>
    <t>-LqpQ0O_RhrcNhdJSThY</t>
  </si>
  <si>
    <t>1570706820763</t>
  </si>
  <si>
    <t>-LqpQ1xoUkfQ3FtSF7Hj</t>
  </si>
  <si>
    <t>1570706827973</t>
  </si>
  <si>
    <t>-LqpQ3UAI50LF-HXXsMu</t>
  </si>
  <si>
    <t>1570706834132</t>
  </si>
  <si>
    <t>-LqpQ4yOsXpzw7ODFfxh</t>
  </si>
  <si>
    <t>1570706840308</t>
  </si>
  <si>
    <t>-LqpQ6Uu44EY1VBS9hQB</t>
  </si>
  <si>
    <t>1570706846543</t>
  </si>
  <si>
    <t>-LqpQ7zpCJHJPyw4yW3h</t>
  </si>
  <si>
    <t>1570706852698</t>
  </si>
  <si>
    <t>-LqpQ9WP5t1xAROCYL4H</t>
  </si>
  <si>
    <t>1570706858922</t>
  </si>
  <si>
    <t>-LqpQB-s2eFVNm7SvC0i</t>
  </si>
  <si>
    <t>1570706865062</t>
  </si>
  <si>
    <t>-LqpQCVGw-CuGVUVJCK-</t>
  </si>
  <si>
    <t>1570706871237</t>
  </si>
  <si>
    <t>-LqpQE0hUYVOP7ncKyDc</t>
  </si>
  <si>
    <t>1570706877443</t>
  </si>
  <si>
    <t>-LqpQFX2v-czT6-UhFO3</t>
  </si>
  <si>
    <t>1570706883614</t>
  </si>
  <si>
    <t>-LqpQHL-zquXKDAjg-Fw</t>
  </si>
  <si>
    <t>1570706890979</t>
  </si>
  <si>
    <t>-LqpQJ38JHUS9_ByVtI2</t>
  </si>
  <si>
    <t>1570706898069</t>
  </si>
  <si>
    <t>-LqpQKZFPak12J2xzYjJ</t>
  </si>
  <si>
    <t>1570706904239</t>
  </si>
  <si>
    <t>-LqpQM4iK5nbNPxX5Dl4</t>
  </si>
  <si>
    <t>1570706910409</t>
  </si>
  <si>
    <t>-LqpQNa9d6TS4zun0_8A</t>
  </si>
  <si>
    <t>1570706916569</t>
  </si>
  <si>
    <t>-LqpQP6VM5BAHEpjqBtp</t>
  </si>
  <si>
    <t>1570706922809</t>
  </si>
  <si>
    <t>-LqpQQliiKxvRHHY1Pxr</t>
  </si>
  <si>
    <t>1570706929029</t>
  </si>
  <si>
    <t>-LqpQSNFzNHqTT63aX16</t>
  </si>
  <si>
    <t>1570706936163</t>
  </si>
  <si>
    <t>-LqpQTsV9KffYr7GFGHv</t>
  </si>
  <si>
    <t>1570706942330</t>
  </si>
  <si>
    <t>-LqpQVP4TemxOkquv9rU</t>
  </si>
  <si>
    <t>1570706948574</t>
  </si>
  <si>
    <t>-LqpQWvO3PeDrSadLJBn</t>
  </si>
  <si>
    <t>1570706954728</t>
  </si>
  <si>
    <t>-LqpQYetlNbPm7rNFW8O</t>
  </si>
  <si>
    <t>1570706961928</t>
  </si>
  <si>
    <t>-LqpQ_A9FCl_D-8THTjR</t>
  </si>
  <si>
    <t>1570706968091</t>
  </si>
  <si>
    <t>-LqpQagVPqIXGWI4IkBv</t>
  </si>
  <si>
    <t>1570706974330</t>
  </si>
  <si>
    <t>-LqpQcAVATc5A12lBS-0</t>
  </si>
  <si>
    <t>1570706980479</t>
  </si>
  <si>
    <t>-LqpQdhDOd3X_OWfK1aL</t>
  </si>
  <si>
    <t>1570706986654</t>
  </si>
  <si>
    <t>-LqpQfQCdgwUqIglXrBm</t>
  </si>
  <si>
    <t>1570706992875</t>
  </si>
  <si>
    <t>-LqpQgyUMesCNM2wNtmm</t>
  </si>
  <si>
    <t>1570707000043</t>
  </si>
  <si>
    <t>-LqpQiw7yplru-x3VR3M</t>
  </si>
  <si>
    <t>1570707007259</t>
  </si>
  <si>
    <t>-LqpQka8lmHSh-PkQToN</t>
  </si>
  <si>
    <t>1570707014488</t>
  </si>
  <si>
    <t>-LqpQmGt2N_Yr5o0MsGi</t>
  </si>
  <si>
    <t>1570707021689</t>
  </si>
  <si>
    <t>-LqpQo0VSA99qUL20yMM</t>
  </si>
  <si>
    <t>1570707028919</t>
  </si>
  <si>
    <t>-LqpQpWhJmqcnrSzQtYU</t>
  </si>
  <si>
    <t>1570707035089</t>
  </si>
  <si>
    <t>-LqpQr17ENeh1UMNeGTi</t>
  </si>
  <si>
    <t>1570707041270</t>
  </si>
  <si>
    <t>-LqpQsYc2mrwI3nMMnAF</t>
  </si>
  <si>
    <t>1570707047483</t>
  </si>
  <si>
    <t>-LqpQu2gXW5T9hWtryse</t>
  </si>
  <si>
    <t>1570707053640</t>
  </si>
  <si>
    <t>-LqpQvZ55UD1M3z07LQs</t>
  </si>
  <si>
    <t>1570707059798</t>
  </si>
  <si>
    <t>-LqpQx5i2gg2tAht8_DH</t>
  </si>
  <si>
    <t>1570707066178</t>
  </si>
  <si>
    <t>-LqpQyqS54y7zflI3Gaw</t>
  </si>
  <si>
    <t>1570707073208</t>
  </si>
  <si>
    <t>-LqpR-KQ_NhS22wmO17l</t>
  </si>
  <si>
    <t>1570707079395</t>
  </si>
  <si>
    <t>-LqpR0umimsk2tdk6N5F</t>
  </si>
  <si>
    <t>1570707085599</t>
  </si>
  <si>
    <t>-LqpR2czWaR0uSXXb_A2</t>
  </si>
  <si>
    <t>1570707092780</t>
  </si>
  <si>
    <t>-LqpR4PRtjmumcwBorGQ</t>
  </si>
  <si>
    <t>1570707100250</t>
  </si>
  <si>
    <t>-LqpR6Dw4zNTUb5u3oVN</t>
  </si>
  <si>
    <t>1570707106180</t>
  </si>
  <si>
    <t>-LqpR7ru-T5C0F6h9qyI</t>
  </si>
  <si>
    <t>1570707114427</t>
  </si>
  <si>
    <t>-LqpR9Qv3R590hBO3Yw9</t>
  </si>
  <si>
    <t>1570707120620</t>
  </si>
  <si>
    <t>-LqpRBDvLaKHLj1KW7HT</t>
  </si>
  <si>
    <t>1570707127844</t>
  </si>
  <si>
    <t>-LqpRCwly8KsARAYj-aT</t>
  </si>
  <si>
    <t>1570707135037</t>
  </si>
  <si>
    <t>-LqpREg6pJPMqGNIaPj2</t>
  </si>
  <si>
    <t>1570707142231</t>
  </si>
  <si>
    <t>-LqpRGBG4ymyaSQHlo0K</t>
  </si>
  <si>
    <t>1570707148430</t>
  </si>
  <si>
    <t>-LqpRHhqNfuKHNzU5QDT</t>
  </si>
  <si>
    <t>1570707154636</t>
  </si>
  <si>
    <t>-LqpRJKaW8h-wjxI2eEI</t>
  </si>
  <si>
    <t>1570707161286</t>
  </si>
  <si>
    <t>-LqpRKzEV_NO-JY18sVp</t>
  </si>
  <si>
    <t>1570707168031</t>
  </si>
  <si>
    <t>-LqpRMnUyG8EqQUtqpm-</t>
  </si>
  <si>
    <t>1570707174196</t>
  </si>
  <si>
    <t>-LqpROVIc1U1ygzaRW8m</t>
  </si>
  <si>
    <t>1570707182437</t>
  </si>
  <si>
    <t>-LqpRQ8NHS3AbwG6eSLY</t>
  </si>
  <si>
    <t>1570707188615</t>
  </si>
  <si>
    <t>-LqpRRlYYHX8S5W8r4-o</t>
  </si>
  <si>
    <t>1570707195836</t>
  </si>
  <si>
    <t>-LqpRTHFigxvZKFy9QM1</t>
  </si>
  <si>
    <t>1570707202037</t>
  </si>
  <si>
    <t>-LqpRUmn7Q7zIT83LHQj</t>
  </si>
  <si>
    <t>1570707208196</t>
  </si>
  <si>
    <t>-LqpRWI43drAo1rN1kc7</t>
  </si>
  <si>
    <t>1570707214375</t>
  </si>
  <si>
    <t>-LqpRXoYRiwR-YF4I4yG</t>
  </si>
  <si>
    <t>1570707220595</t>
  </si>
  <si>
    <t>-LqpRZJoigXwZZYpz_Pw</t>
  </si>
  <si>
    <t>1570707226756</t>
  </si>
  <si>
    <t>-LqpR_p2OjqwG7x6jiG5</t>
  </si>
  <si>
    <t>1570707232915</t>
  </si>
  <si>
    <t>-LqpRbK58h6nlJ2ZB-4P</t>
  </si>
  <si>
    <t>1570707239115</t>
  </si>
  <si>
    <t>-LqpRcqXGMH6AWJ6_Bnl</t>
  </si>
  <si>
    <t>1570707245296</t>
  </si>
  <si>
    <t>-LqpReMyfonRDUwxsvv_</t>
  </si>
  <si>
    <t>1570707251596</t>
  </si>
  <si>
    <t>-LqpRfpljdhWy9EuJF9G</t>
  </si>
  <si>
    <t>1570707257655</t>
  </si>
  <si>
    <t>-LqpRhNZsJulRFS-BfJm</t>
  </si>
  <si>
    <t>1570707263861</t>
  </si>
  <si>
    <t>-LqpRisjWCpJcBM-1qa-</t>
  </si>
  <si>
    <t>1570707270015</t>
  </si>
  <si>
    <t>-LqpRkcYPT-D5AYyTt1Q</t>
  </si>
  <si>
    <t>1570707276211</t>
  </si>
  <si>
    <t>-LqpRm8QSBrGA_cA7n0u</t>
  </si>
  <si>
    <t>1570707283411</t>
  </si>
  <si>
    <t>-LqpRnd1xAgUtewSMh7c</t>
  </si>
  <si>
    <t>1570707289612</t>
  </si>
  <si>
    <t>-LqpRpAn9QdShepe6jRu</t>
  </si>
  <si>
    <t>1570707295770</t>
  </si>
  <si>
    <t>-LqpRqfVC_1OBPa3GIk7</t>
  </si>
  <si>
    <t>1570707301971</t>
  </si>
  <si>
    <t>-LqpRsORN8sTEtrh8KW0</t>
  </si>
  <si>
    <t>1570707308978</t>
  </si>
  <si>
    <t>-LqpRtxR6y5oZAbLmpa9</t>
  </si>
  <si>
    <t>1570707315371</t>
  </si>
  <si>
    <t>-LqpRvjQq16MZvvwJvO1</t>
  </si>
  <si>
    <t>1570707321530</t>
  </si>
  <si>
    <t>-LqpRxFTXYv-K607L_v7</t>
  </si>
  <si>
    <t>1570707328733</t>
  </si>
  <si>
    <t>-LqpRyiQxC2YqcK_vopQ</t>
  </si>
  <si>
    <t>1570707334911</t>
  </si>
  <si>
    <t>-LqpS-EwytNG-knoC9zs</t>
  </si>
  <si>
    <t>1570707341132</t>
  </si>
  <si>
    <t>-LqpS1-XVjasLuhLoQUI</t>
  </si>
  <si>
    <t>1570707348353</t>
  </si>
  <si>
    <t>-LqpS2UVDygu8sM9ReDE</t>
  </si>
  <si>
    <t>1570707354527</t>
  </si>
  <si>
    <t>-LqpS40YE5yF-Kz1hdhS</t>
  </si>
  <si>
    <t>1570707360702</t>
  </si>
  <si>
    <t>-LqpS5XeYMBPSZdmuxkm</t>
  </si>
  <si>
    <t>1570707366919</t>
  </si>
  <si>
    <t>-LqpS71g6j7JVwdYH_yi</t>
  </si>
  <si>
    <t>1570707373052</t>
  </si>
  <si>
    <t>-LqpS8XqoNfa8aamIcYk</t>
  </si>
  <si>
    <t>1570707379252</t>
  </si>
  <si>
    <t>-LqpSA21d-Y10HWjEHIy</t>
  </si>
  <si>
    <t>1570707385431</t>
  </si>
  <si>
    <t>-LqpSBZXf_Yr0tuGLxxo</t>
  </si>
  <si>
    <t>1570707391613</t>
  </si>
  <si>
    <t>-LqpSD9r-uO8eVAdVr_9</t>
  </si>
  <si>
    <t>1570707398296</t>
  </si>
  <si>
    <t>-LqpSEpt4jRZQU7E6OLK</t>
  </si>
  <si>
    <t>1570707405002</t>
  </si>
  <si>
    <t>-LqpSGZz43zb811ff1xh</t>
  </si>
  <si>
    <t>1570707412218</t>
  </si>
  <si>
    <t>-LqpSI6_EjScU-dRVZ16</t>
  </si>
  <si>
    <t>1570707418432</t>
  </si>
  <si>
    <t>-LqpSJbvJpHoKdSt7v60</t>
  </si>
  <si>
    <t>1570707424592</t>
  </si>
  <si>
    <t>-LqpSL76SV-iGFFaOjX8</t>
  </si>
  <si>
    <t>1570707430770</t>
  </si>
  <si>
    <t>-LqpSMsjUmX98BDQEfxD</t>
  </si>
  <si>
    <t>1570707437977</t>
  </si>
  <si>
    <t>-LqpSOPBjdNGVUbZqSmO</t>
  </si>
  <si>
    <t>1570707444198</t>
  </si>
  <si>
    <t>-LqpSPuZKpRO8I6sECf0</t>
  </si>
  <si>
    <t>1570707450353</t>
  </si>
  <si>
    <t>-LqpSRPkgsAadrfnwjZz</t>
  </si>
  <si>
    <t>1570707456516</t>
  </si>
  <si>
    <t>-LqpSSuwuthlb_vD8xQt</t>
  </si>
  <si>
    <t>1570707462728</t>
  </si>
  <si>
    <t>-LqpSURnNGjeyTwfzrce</t>
  </si>
  <si>
    <t>1570707468902</t>
  </si>
  <si>
    <t>-LqpSVyx4R5WANuZMinZ</t>
  </si>
  <si>
    <t>1570707475086</t>
  </si>
  <si>
    <t>-LqpSXhFHGorRBoXzbyp</t>
  </si>
  <si>
    <t>1570707482281</t>
  </si>
  <si>
    <t>-LqpSZCUtC4F7WG1JC1W</t>
  </si>
  <si>
    <t>1570707488473</t>
  </si>
  <si>
    <t>-LqpS_hHqCCfi7K1ubwr</t>
  </si>
  <si>
    <t>1570707494673</t>
  </si>
  <si>
    <t>-LqpSbDS6P0NrR73oWLw</t>
  </si>
  <si>
    <t>1570707500831</t>
  </si>
  <si>
    <t>-LqpSciitiDIsiQoQ6w8</t>
  </si>
  <si>
    <t>1570707507021</t>
  </si>
  <si>
    <t>-LqpSeEMgMOjtGntsYnW</t>
  </si>
  <si>
    <t>1570707513187</t>
  </si>
  <si>
    <t>-LqpSfkgs5ZkjSOr6gZI</t>
  </si>
  <si>
    <t>1570707519371</t>
  </si>
  <si>
    <t>-LqpShG6S2vXKL2ROZHf</t>
  </si>
  <si>
    <t>1570707525568</t>
  </si>
  <si>
    <t>-LqpSimclU-zSRRahz5C</t>
  </si>
  <si>
    <t>1570707531788</t>
  </si>
  <si>
    <t>-LqpSkZ0o2aKn8EVJYjq</t>
  </si>
  <si>
    <t>1570707539120</t>
  </si>
  <si>
    <t>-LqpSm3fE3naFc5zkDMQ</t>
  </si>
  <si>
    <t>1570707545140</t>
  </si>
  <si>
    <t>-LqpSnYVLX4F6C1BaFqV</t>
  </si>
  <si>
    <t>1570707551290</t>
  </si>
  <si>
    <t>-LqpSp4-tA8HpKj8qT3U</t>
  </si>
  <si>
    <t>1570707557535</t>
  </si>
  <si>
    <t>-LqpSq_GGcoQg6gDFQwt</t>
  </si>
  <si>
    <t>1570707563690</t>
  </si>
  <si>
    <t>-LqpSs52fxJJho8V2J2z</t>
  </si>
  <si>
    <t>1570707569890</t>
  </si>
  <si>
    <t>-LqpSt_qc8qvjUQrxtTq</t>
  </si>
  <si>
    <t>1570707576086</t>
  </si>
  <si>
    <t>-LqpSv6KukOwARdLKkDa</t>
  </si>
  <si>
    <t>1570707582250</t>
  </si>
  <si>
    <t>-LqpSwd-LJaMIH_ZFGBF</t>
  </si>
  <si>
    <t>1570707588415</t>
  </si>
  <si>
    <t>-LqpSy6pPnsbGXYtpbrJ</t>
  </si>
  <si>
    <t>1570707594616</t>
  </si>
  <si>
    <t>-LqpSzdPB5EJPZdo1uQy</t>
  </si>
  <si>
    <t>1570707600816</t>
  </si>
  <si>
    <t>-LqpT08yxVfzoJjX__cq</t>
  </si>
  <si>
    <t>1570707606980</t>
  </si>
  <si>
    <t>-LqpT1dqAUqsR6Igp60a</t>
  </si>
  <si>
    <t>1570707613157</t>
  </si>
  <si>
    <t>-LqpT37hF9eIEaREFj7r</t>
  </si>
  <si>
    <t>1570707619305</t>
  </si>
  <si>
    <t>-LqpT4eIoXZMiZyXUwjI</t>
  </si>
  <si>
    <t>1570707625526</t>
  </si>
  <si>
    <t>-LqpT6AWCOqpKs-ppS41</t>
  </si>
  <si>
    <t>1570707631705</t>
  </si>
  <si>
    <t>-LqpT8-47yHNtwU1h0Nn</t>
  </si>
  <si>
    <t>1570707638918</t>
  </si>
  <si>
    <t>-LqpTA0tB1dqzn-g2UMR</t>
  </si>
  <si>
    <t>1570707646136</t>
  </si>
  <si>
    <t>-LqpTBjvkpOBSt8E1MjM</t>
  </si>
  <si>
    <t>1570707654377</t>
  </si>
  <si>
    <t>-LqpTDSmaKLCNGrsdm4S</t>
  </si>
  <si>
    <t>1570707661595</t>
  </si>
  <si>
    <t>-LqpTF-VJtVOBHhxHw8k</t>
  </si>
  <si>
    <t>1570707667771</t>
  </si>
  <si>
    <t>-LqpTGifNcFPH5yzrBnw</t>
  </si>
  <si>
    <t>1570707674996</t>
  </si>
  <si>
    <t>-LqpTIHfmmgiyLGqXKIf</t>
  </si>
  <si>
    <t>1570707681167</t>
  </si>
  <si>
    <t>-LqpTK0oKPKRxvgu4aDi</t>
  </si>
  <si>
    <t>1570707688377</t>
  </si>
  <si>
    <t>-LqpTLouDViEiEnQjGpJ</t>
  </si>
  <si>
    <t>1570707695585</t>
  </si>
  <si>
    <t>-LqpTNWfxhs1Vtv2HiTp</t>
  </si>
  <si>
    <t>1570707702775</t>
  </si>
  <si>
    <t>-LqpTP5u3kSnWOANzu_U</t>
  </si>
  <si>
    <t>1570707708977</t>
  </si>
  <si>
    <t>-LqpTQoxneI7Ot0RXV_d</t>
  </si>
  <si>
    <t>1570707716196</t>
  </si>
  <si>
    <t>-LqpTSguxzVwvvyKKiFl</t>
  </si>
  <si>
    <t>1570707723406</t>
  </si>
  <si>
    <t>-LqpTUOeRvBIEit-vfJV</t>
  </si>
  <si>
    <t>1570707730928</t>
  </si>
  <si>
    <t>-LqpTW6VE4MhL6g-9VUg</t>
  </si>
  <si>
    <t>1570707737835</t>
  </si>
  <si>
    <t>-LqpTXqviYjRWjugJjPp</t>
  </si>
  <si>
    <t>1570707745025</t>
  </si>
  <si>
    <t>-LqpTZQFoZUTdog6sL-v</t>
  </si>
  <si>
    <t>1570707751215</t>
  </si>
  <si>
    <t>-LqpTaQrugs7nZc5NDrL</t>
  </si>
  <si>
    <t>1570707758456</t>
  </si>
  <si>
    <t>-LqpTc9nOVDRea7WHSfn</t>
  </si>
  <si>
    <t>1570707766678</t>
  </si>
  <si>
    <t>-LqpTdsdr0aORnCJVDfB</t>
  </si>
  <si>
    <t>1570707773899</t>
  </si>
  <si>
    <t>-LqpTfRwKlZMlQv-wgs-</t>
  </si>
  <si>
    <t>1570707780078</t>
  </si>
  <si>
    <t>-LqpTh8hzaBBTSxrRvpT</t>
  </si>
  <si>
    <t>1570707787268</t>
  </si>
  <si>
    <t>-LqpTiiyZQHesWxwTVXx</t>
  </si>
  <si>
    <t>1570707793447</t>
  </si>
  <si>
    <t>-LqpTkQieFIkUCtnj8XT</t>
  </si>
  <si>
    <t>1570707800707</t>
  </si>
  <si>
    <t>-LqpTmEngna7YrPlTUbv</t>
  </si>
  <si>
    <t>1570707807897</t>
  </si>
  <si>
    <t>-LqpTnxL3y2xvPu5ebul</t>
  </si>
  <si>
    <t>1570707815098</t>
  </si>
  <si>
    <t>-LqpTpRwGBzEDqwPgpkL</t>
  </si>
  <si>
    <t>1570707821299</t>
  </si>
  <si>
    <t>-LqpTrCv3y72yxrsPfk5</t>
  </si>
  <si>
    <t>1570707828488</t>
  </si>
  <si>
    <t>-LqpTsiUWs-RdjP71fn-</t>
  </si>
  <si>
    <t>1570707834678</t>
  </si>
  <si>
    <t>-LqpTuEuRf7NHnG8byE0</t>
  </si>
  <si>
    <t>1570707840857</t>
  </si>
  <si>
    <t>-LqpTvlQ8V0-VxJxQnrH</t>
  </si>
  <si>
    <t>1570707847079</t>
  </si>
  <si>
    <t>-LqpTxGkS-dS2jrq7yZR</t>
  </si>
  <si>
    <t>1570707853243</t>
  </si>
  <si>
    <t>-LqpTym0yvPkHhcUDVi9</t>
  </si>
  <si>
    <t>1570707859463</t>
  </si>
  <si>
    <t>-LqpU-IG3IPRE1pX0ijT</t>
  </si>
  <si>
    <t>1570707865647</t>
  </si>
  <si>
    <t>-LqpU0ntPbRf6LHl4ocH</t>
  </si>
  <si>
    <t>1570707871822</t>
  </si>
  <si>
    <t>-LqpU2IvhyxjJ0UtVOTb</t>
  </si>
  <si>
    <t>1570707877967</t>
  </si>
  <si>
    <t>-LqpU3p_uGQWw6J_80NX</t>
  </si>
  <si>
    <t>1570707884204</t>
  </si>
  <si>
    <t>-LqpU5LvLnt83kwS0b7w</t>
  </si>
  <si>
    <t>1570707890363</t>
  </si>
  <si>
    <t>-LqpU7GQquzB94IbKftQ</t>
  </si>
  <si>
    <t>1570707898220</t>
  </si>
  <si>
    <t>-LqpU8qeSMupXMybtPmn</t>
  </si>
  <si>
    <t>1570707904764</t>
  </si>
  <si>
    <t>-LqpUAOQJ0nKaSji9ul_</t>
  </si>
  <si>
    <t>1570707910990</t>
  </si>
  <si>
    <t>-LqpUC7fs7uPxW6EN5zd</t>
  </si>
  <si>
    <t>1570707918192</t>
  </si>
  <si>
    <t>-LqpUDbtQFzsOZnlCgdw</t>
  </si>
  <si>
    <t>1570707924337</t>
  </si>
  <si>
    <t>-LqpUF8QsVP_ghQ5naTz</t>
  </si>
  <si>
    <t>1570707930528</t>
  </si>
  <si>
    <t>-LqpUGdfvPiBw_S6JGJL</t>
  </si>
  <si>
    <t>1570707936747</t>
  </si>
  <si>
    <t>-LqpUIA9R4a13o2Jzr6Z</t>
  </si>
  <si>
    <t>1570707942927</t>
  </si>
  <si>
    <t>-LqpUJwIBbVZu9IX_x9m</t>
  </si>
  <si>
    <t>1570707949087</t>
  </si>
  <si>
    <t>-LqpULQtTRr0TShSUa7s</t>
  </si>
  <si>
    <t>1570707956292</t>
  </si>
  <si>
    <t>-LqpUMvR2fos2JDzVqAh</t>
  </si>
  <si>
    <t>1570707962458</t>
  </si>
  <si>
    <t>-LqpUORm6wJepqHdtWbn</t>
  </si>
  <si>
    <t>1570707968637</t>
  </si>
  <si>
    <t>-LqpUQ_wYGku3b3Vt9qq</t>
  </si>
  <si>
    <t>1570707974883</t>
  </si>
  <si>
    <t>-LqpUSDRFLKSGL8EbKsd</t>
  </si>
  <si>
    <t>1570707984108</t>
  </si>
  <si>
    <t>-LqpUTiq1oIjqW9eCbcP</t>
  </si>
  <si>
    <t>1570707990295</t>
  </si>
  <si>
    <t>-LqpUVJzxq0UxTZT11g7</t>
  </si>
  <si>
    <t>1570707996514</t>
  </si>
  <si>
    <t>-LqpUWzaKkRkH4d-OMzC</t>
  </si>
  <si>
    <t>1570708003685</t>
  </si>
  <si>
    <t>-LqpUYXHbgSGSugbPB4N</t>
  </si>
  <si>
    <t>1570708009878</t>
  </si>
  <si>
    <t>-LqpU_FLCZK0PljZMZKp</t>
  </si>
  <si>
    <t>1570708017075</t>
  </si>
  <si>
    <t>-LqpUal26Nu4Qa0-Xpo2</t>
  </si>
  <si>
    <t>1570708023269</t>
  </si>
  <si>
    <t>-LqpUcIzfXz9eeQWnjGb</t>
  </si>
  <si>
    <t>1570708029441</t>
  </si>
  <si>
    <t>-LqpUe5plrdc7GoqEVyn</t>
  </si>
  <si>
    <t>1570708036650</t>
  </si>
  <si>
    <t>-LqpUg94cA6p_ZZfOlQb</t>
  </si>
  <si>
    <t>1570708043869</t>
  </si>
  <si>
    <t>-LqpUi9oT19qvC1pzWl8</t>
  </si>
  <si>
    <t>1570708053493</t>
  </si>
  <si>
    <t>-LqpUjszz6D-H96BRC92</t>
  </si>
  <si>
    <t>1570708060352</t>
  </si>
  <si>
    <t>-LqpUlapHX5iv1X8Pgb_</t>
  </si>
  <si>
    <t>1570708067561</t>
  </si>
  <si>
    <t>-LqpUnOoAPZgpAe7QG03</t>
  </si>
  <si>
    <t>1570708074781</t>
  </si>
  <si>
    <t>-LqpUp6nLQVwxYtBjjli</t>
  </si>
  <si>
    <t>1570708081990</t>
  </si>
  <si>
    <t>-LqpUqt_kH5aZdcRWfsK</t>
  </si>
  <si>
    <t>1570708089208</t>
  </si>
  <si>
    <t>-LqpUssWp0PFdFaeUL9B</t>
  </si>
  <si>
    <t>1570708096393</t>
  </si>
  <si>
    <t>-LqpUuQod0-vGHIumYe8</t>
  </si>
  <si>
    <t>1570708103631</t>
  </si>
  <si>
    <t>-LqpUw8quH1eDwA4bQFz</t>
  </si>
  <si>
    <t>1570708110830</t>
  </si>
  <si>
    <t>-LqpUxho7ekJh96hyUQV</t>
  </si>
  <si>
    <t>1570708117030</t>
  </si>
  <si>
    <t>-LqpUzQpqCL9OScJBNSY</t>
  </si>
  <si>
    <t>1570708124220</t>
  </si>
  <si>
    <t>-LqpV-zniqhO7jZfZzMZ</t>
  </si>
  <si>
    <t>1570708130419</t>
  </si>
  <si>
    <t>-LqpV1hpl-DZT-SvqSuk</t>
  </si>
  <si>
    <t>1570708137641</t>
  </si>
  <si>
    <t>-LqpV3X3B8tGnY0Qe6-4</t>
  </si>
  <si>
    <t>1570708144850</t>
  </si>
  <si>
    <t>-LqpV5QnSbeOuoh8pKiF</t>
  </si>
  <si>
    <t>1570708152061</t>
  </si>
  <si>
    <t>-LqpV70houKKQKErYKrp</t>
  </si>
  <si>
    <t>1570708159320</t>
  </si>
  <si>
    <t>-LqpV8jqV2V7sipmOuju</t>
  </si>
  <si>
    <t>1570708166461</t>
  </si>
  <si>
    <t>-LqpVACsrswFV-BdffHP</t>
  </si>
  <si>
    <t>1570708172630</t>
  </si>
  <si>
    <t>-LqpVBmnPEerHENkzh91</t>
  </si>
  <si>
    <t>1570708178850</t>
  </si>
  <si>
    <t>-LqpVDVngd9zbh1qwOtv</t>
  </si>
  <si>
    <t>1570708186061</t>
  </si>
  <si>
    <t>-LqpVF2i9UNq4Vb3krkR</t>
  </si>
  <si>
    <t>1570708192241</t>
  </si>
  <si>
    <t>-LqpVGmzOTm23vd9xvmr</t>
  </si>
  <si>
    <t>1570708199431</t>
  </si>
  <si>
    <t>-LqpVILzBle8ZB5HQGlz</t>
  </si>
  <si>
    <t>1570708205621</t>
  </si>
  <si>
    <t>-LqpVKNo7CyxMZLHiGtx</t>
  </si>
  <si>
    <t>1570708214178</t>
  </si>
  <si>
    <t>-LqpVM6-zscj-xlKmWfL</t>
  </si>
  <si>
    <t>1570708221101</t>
  </si>
  <si>
    <t>-LqpVNu7ObIGp-lktF8V</t>
  </si>
  <si>
    <t>1570708228312</t>
  </si>
  <si>
    <t>-LqpVPbp7j5lWdzZqiKx</t>
  </si>
  <si>
    <t>1570708235520</t>
  </si>
  <si>
    <t>-LqpVRQ-NeLaULioUQTB</t>
  </si>
  <si>
    <t>1570708242740</t>
  </si>
  <si>
    <t>-LqpVT7yEz_40Y9ky53I</t>
  </si>
  <si>
    <t>1570708249950</t>
  </si>
  <si>
    <t>-LqpVUwIeIoGYHkCThut</t>
  </si>
  <si>
    <t>1570708257162</t>
  </si>
  <si>
    <t>-LqpVWdoaR8t8KGfX2gS</t>
  </si>
  <si>
    <t>1570708264380</t>
  </si>
  <si>
    <t>-LqpVYRzASj9S-XFgORG</t>
  </si>
  <si>
    <t>1570708271592</t>
  </si>
  <si>
    <t>-LqpV_9yn73WOBUlVr5H</t>
  </si>
  <si>
    <t>1570708278782</t>
  </si>
  <si>
    <t>-LqpVaiqvBAEnHs2iPiY</t>
  </si>
  <si>
    <t>1570708284991</t>
  </si>
  <si>
    <t>-LqpVcS6_SvX6rfe256-</t>
  </si>
  <si>
    <t>1570708292202</t>
  </si>
  <si>
    <t>-LqpVdvrmOl3OQjZhGom</t>
  </si>
  <si>
    <t>1570708298380</t>
  </si>
  <si>
    <t>-LqpVfUrqcvnapp_YE5Q</t>
  </si>
  <si>
    <t>1570708304569</t>
  </si>
  <si>
    <t>-LqpVhCssyLwu10JH_Z_</t>
  </si>
  <si>
    <t>1570708311752</t>
  </si>
  <si>
    <t>-LqpViloli2EkKvqX0Gg</t>
  </si>
  <si>
    <t>1570708317943</t>
  </si>
  <si>
    <t>-LqpVkUqZdDLnz7uXNQ0</t>
  </si>
  <si>
    <t>1570708325181</t>
  </si>
  <si>
    <t>-LqpVmDm_lBnamSzw8Fm</t>
  </si>
  <si>
    <t>1570708332391</t>
  </si>
  <si>
    <t>-LqpVnlpVZZaXkPDBRM2</t>
  </si>
  <si>
    <t>1570708338575</t>
  </si>
  <si>
    <t>-LqpVpZr6vYY9IbpMjUl</t>
  </si>
  <si>
    <t>1570708345781</t>
  </si>
  <si>
    <t>-LqpVrHpj3JvuOyVGbg3</t>
  </si>
  <si>
    <t>1570708353001</t>
  </si>
  <si>
    <t>-LqpVt4olpr6jVuzFGe0</t>
  </si>
  <si>
    <t>1570708360210</t>
  </si>
  <si>
    <t>-LqpVumtOSVtpv3eD3iL</t>
  </si>
  <si>
    <t>1570708367422</t>
  </si>
  <si>
    <t>-LqpVwazQQW_YvnSH1Bk</t>
  </si>
  <si>
    <t>1570708374640</t>
  </si>
  <si>
    <t>-LqpVyK-hqzR4qALjpof</t>
  </si>
  <si>
    <t>1570708381831</t>
  </si>
  <si>
    <t>-LqpVzsr_F8qCY73bnpX</t>
  </si>
  <si>
    <t>1570708388020</t>
  </si>
  <si>
    <t>-LqpW0b-qhvzHZVeGz3U</t>
  </si>
  <si>
    <t>1570708395261</t>
  </si>
  <si>
    <t>-LqpW29o9BOym8faklmA</t>
  </si>
  <si>
    <t>1570708401452</t>
  </si>
  <si>
    <t>-LqpW3sqhp7ir_IR9gjY</t>
  </si>
  <si>
    <t>1570708408651</t>
  </si>
  <si>
    <t>-LqpW5fp75uF3_2qdQpS</t>
  </si>
  <si>
    <t>1570708415860</t>
  </si>
  <si>
    <t>-LqpW7OpzGejOei9YfxH</t>
  </si>
  <si>
    <t>1570708423080</t>
  </si>
  <si>
    <t>-LqpW9BoxRvStXaaKjTP</t>
  </si>
  <si>
    <t>1570708430291</t>
  </si>
  <si>
    <t>-LqpWAuzyEmWgbEyV3F4</t>
  </si>
  <si>
    <t>1570708437502</t>
  </si>
  <si>
    <t>-LqpWD1NhDF6zTyEdAXq</t>
  </si>
  <si>
    <t>1570708444711</t>
  </si>
  <si>
    <t>-LqpWEjtZxmBHzAl8i8r</t>
  </si>
  <si>
    <t>1570708452965</t>
  </si>
  <si>
    <t>-LqpWGT29sKbLQLFP0qe</t>
  </si>
  <si>
    <t>1570708460175</t>
  </si>
  <si>
    <t>-LqpWIEWmAlExrMOIY8N</t>
  </si>
  <si>
    <t>1570708467392</t>
  </si>
  <si>
    <t>-LqpWJxwCcG9PNFpFh5O</t>
  </si>
  <si>
    <t>1570708474603</t>
  </si>
  <si>
    <t>-LqpWLlrfAGsJxMrx6r3</t>
  </si>
  <si>
    <t>1570708481814</t>
  </si>
  <si>
    <t>-LqpWNUs7HqsNX8AY7e4</t>
  </si>
  <si>
    <t>1570708489023</t>
  </si>
  <si>
    <t>-LqpWPHs5oYzefvVHnqK</t>
  </si>
  <si>
    <t>1570708496244</t>
  </si>
  <si>
    <t>-LqpWR-rzT_rQAc1uA_V</t>
  </si>
  <si>
    <t>1570708503423</t>
  </si>
  <si>
    <t>-LqpWS_9av3wvCMoaF0m</t>
  </si>
  <si>
    <t>1570708509613</t>
  </si>
  <si>
    <t>-LqpWUHk9Z_qOx40nHHa</t>
  </si>
  <si>
    <t>1570708516863</t>
  </si>
  <si>
    <t>-LqpWW4v3YLxNBCBNYkb</t>
  </si>
  <si>
    <t>1570708524064</t>
  </si>
  <si>
    <t>-LqpWXnif2_oWI0l3ZG-</t>
  </si>
  <si>
    <t>1570708531263</t>
  </si>
  <si>
    <t>-LqpWZ_U38gyeKJMjedz</t>
  </si>
  <si>
    <t>1570708538483</t>
  </si>
  <si>
    <t>-LqpWaJrCwdzURxthWAg</t>
  </si>
  <si>
    <t>1570708545674</t>
  </si>
  <si>
    <t>-LqpWbt02GOZSs7QNlVJ</t>
  </si>
  <si>
    <t>1570708551863</t>
  </si>
  <si>
    <t>-LqpWdkvQCrYpE3YPiqI</t>
  </si>
  <si>
    <t>1570708559104</t>
  </si>
  <si>
    <t>-LqpWfOsGUsaw3o7eqc4</t>
  </si>
  <si>
    <t>1570708566313</t>
  </si>
  <si>
    <t>-LqpWh6spGDNRI74NIsg</t>
  </si>
  <si>
    <t>1570708573504</t>
  </si>
  <si>
    <t>-LqpWig1RwnIkP_Iyu7A</t>
  </si>
  <si>
    <t>1570708579704</t>
  </si>
  <si>
    <t>-LqpWkP-go0tmpWhbr39</t>
  </si>
  <si>
    <t>1570708586922</t>
  </si>
  <si>
    <t>-LqpWmBzKtQz37c2Np5m</t>
  </si>
  <si>
    <t>1570708594135</t>
  </si>
  <si>
    <t>-LqpWnur1Ea7IeXdYUGl</t>
  </si>
  <si>
    <t>1570708601343</t>
  </si>
  <si>
    <t>-LqpWpgdXWKpY53R4uC1</t>
  </si>
  <si>
    <t>1570708608563</t>
  </si>
  <si>
    <t>-LqpWrR0HFKqbe5XFEcx</t>
  </si>
  <si>
    <t>1570708615755</t>
  </si>
  <si>
    <t>-LqpWsynvPIkVJbHkSLi</t>
  </si>
  <si>
    <t>1570708621945</t>
  </si>
  <si>
    <t>-LqpWuhrGTWSWEdFreCD</t>
  </si>
  <si>
    <t>1570708629185</t>
  </si>
  <si>
    <t>-LqpWwVsKfik7zlPyNnq</t>
  </si>
  <si>
    <t>1570708636385</t>
  </si>
  <si>
    <t>-LqpWyDrzvgtOJfle-W_</t>
  </si>
  <si>
    <t>1570708643591</t>
  </si>
  <si>
    <t>-LqpWzmrInJQpJWN2vvD</t>
  </si>
  <si>
    <t>1570708649784</t>
  </si>
  <si>
    <t>-LqpX0VzDTBk0bo0uSFe</t>
  </si>
  <si>
    <t>1570708657006</t>
  </si>
  <si>
    <t>-LqpX2ItIj9ILtjw6k2W</t>
  </si>
  <si>
    <t>1570708664213</t>
  </si>
  <si>
    <t>-LqpX41UU8PoKsWIaTVq</t>
  </si>
  <si>
    <t>1570708671422</t>
  </si>
  <si>
    <t>-LqpX67YVSLtRRGl83Z0</t>
  </si>
  <si>
    <t>1570708678644</t>
  </si>
  <si>
    <t>-LqpX7qxFFwZ4L5oaGSZ</t>
  </si>
  <si>
    <t>1570708686879</t>
  </si>
  <si>
    <t>-LqpX9Z1jd4skq6vzrnC</t>
  </si>
  <si>
    <t>1570708694097</t>
  </si>
  <si>
    <t>-LqpXBLruKYW5sisNxlD</t>
  </si>
  <si>
    <t>1570708701309</t>
  </si>
  <si>
    <t>-LqpXD4pcP_sr91rZX2Q</t>
  </si>
  <si>
    <t>1570708708520</t>
  </si>
  <si>
    <t>-LqpXEsyOb9JD5qKtGIl</t>
  </si>
  <si>
    <t>1570708715730</t>
  </si>
  <si>
    <t>-LqpXGbHw-31BCQshtT5</t>
  </si>
  <si>
    <t>1570708722940</t>
  </si>
  <si>
    <t>-LqpXIOoiyPvKEUTLw10</t>
  </si>
  <si>
    <t>1570708730141</t>
  </si>
  <si>
    <t>-LqpXK77onXofqvvtRg2</t>
  </si>
  <si>
    <t>1570708737339</t>
  </si>
  <si>
    <t>-LqpXLh3ksDhxVLn8zrg</t>
  </si>
  <si>
    <t>1570708743540</t>
  </si>
  <si>
    <t>-LqpXNhoOLitVu8V01Uf</t>
  </si>
  <si>
    <t>1570708750779</t>
  </si>
  <si>
    <t>-LqpXPS2J_3kGBaDvkII</t>
  </si>
  <si>
    <t>1570708759010</t>
  </si>
  <si>
    <t>-LqpXRDy-7MEEcy-ezJt</t>
  </si>
  <si>
    <t>1570708766240</t>
  </si>
  <si>
    <t>-LqpXSwplOv-DB5Iv3zn</t>
  </si>
  <si>
    <t>1570708773439</t>
  </si>
  <si>
    <t>-LqpXUjnzDMI-IZcWxEL</t>
  </si>
  <si>
    <t>1570708780666</t>
  </si>
  <si>
    <t>-LqpXWSoFq8OEWZasAMg</t>
  </si>
  <si>
    <t>1570708787859</t>
  </si>
  <si>
    <t>-LqpXYFoKQXJkMijs3Kc</t>
  </si>
  <si>
    <t>1570708795079</t>
  </si>
  <si>
    <t>-LqpX_36J9fXGaPoB1-L</t>
  </si>
  <si>
    <t>1570708802649</t>
  </si>
  <si>
    <t>-LqpXam-SvOEgBF4LZYA</t>
  </si>
  <si>
    <t>1570708809499</t>
  </si>
  <si>
    <t>-LqpXcUmcJd-H_Og25KT</t>
  </si>
  <si>
    <t>1570708816699</t>
  </si>
  <si>
    <t>-LqpXeMxG3hzzo4Thy_2</t>
  </si>
  <si>
    <t>1570708822901</t>
  </si>
  <si>
    <t>-LqpXfzhXOe1u1rZabCl</t>
  </si>
  <si>
    <t>1570708831109</t>
  </si>
  <si>
    <t>-LqpXhZqHMD4igjO6VcZ</t>
  </si>
  <si>
    <t>1570708837338</t>
  </si>
  <si>
    <t>-LqpXjHnPSYbY2f-kt68</t>
  </si>
  <si>
    <t>1570708844541</t>
  </si>
  <si>
    <t>-LqpXl4o8WCOHWMNDd_y</t>
  </si>
  <si>
    <t>1570708851750</t>
  </si>
  <si>
    <t>-LqpXmnoYyBkpYJwTpTu</t>
  </si>
  <si>
    <t>1570708858939</t>
  </si>
  <si>
    <t>-LqpXoMnJqVVvBDCVYjv</t>
  </si>
  <si>
    <t>1570708865140</t>
  </si>
  <si>
    <t>-LqpXq3hDGmhz_5C4Q5N</t>
  </si>
  <si>
    <t>1570708872359</t>
  </si>
  <si>
    <t>-LqpXrso1_iBzlszyU6g</t>
  </si>
  <si>
    <t>1570708879579</t>
  </si>
  <si>
    <t>-LqpXtaooN_OtoJ7lUeZ</t>
  </si>
  <si>
    <t>1570708886779</t>
  </si>
  <si>
    <t>-LqpXvOo2mMYsz-p3TI1</t>
  </si>
  <si>
    <t>1570708894001</t>
  </si>
  <si>
    <t>-LqpXx6yIiXFRycUm116</t>
  </si>
  <si>
    <t>1570708901191</t>
  </si>
  <si>
    <t>-LqpXyyQb5qh06gajWYJ</t>
  </si>
  <si>
    <t>1570708908799</t>
  </si>
  <si>
    <t>-LqpY-cnDgPGRUqwiOh6</t>
  </si>
  <si>
    <t>1570708915659</t>
  </si>
  <si>
    <t>-LqpY1yp_QaxpWMZKHCN</t>
  </si>
  <si>
    <t>1570708925159</t>
  </si>
  <si>
    <t>-LqpY3gsXyxRxrnED1Dd</t>
  </si>
  <si>
    <t>1570708932131</t>
  </si>
  <si>
    <t>-LqpY5Q-LfeiNQxma9ur</t>
  </si>
  <si>
    <t>1570708939343</t>
  </si>
  <si>
    <t>-LqpY6yzoQ_dZCe3v0uF</t>
  </si>
  <si>
    <t>1570708945503</t>
  </si>
  <si>
    <t>-LqpY8fwUTfXcszzx1Of</t>
  </si>
  <si>
    <t>1570708952714</t>
  </si>
  <si>
    <t>-LqpYAFzxFRJVCAXLQCv</t>
  </si>
  <si>
    <t>1570708958902</t>
  </si>
  <si>
    <t>-LqpYByz4HQboSlLWga-</t>
  </si>
  <si>
    <t>1570708966143</t>
  </si>
  <si>
    <t>-LqpYDlr-cBLCHshrjxY</t>
  </si>
  <si>
    <t>1570708973353</t>
  </si>
  <si>
    <t>-LqpYFTm7fA4_FaPdDtB</t>
  </si>
  <si>
    <t>1570708980542</t>
  </si>
  <si>
    <t>-LqpYH3KAdZEq0GBXL_x</t>
  </si>
  <si>
    <t>1570708986743</t>
  </si>
  <si>
    <t>-LqpYIj3_Dm8oEplsREF</t>
  </si>
  <si>
    <t>1570708993961</t>
  </si>
  <si>
    <t>-LqpYKFrG63NA5NH8vH5</t>
  </si>
  <si>
    <t>1570709000114</t>
  </si>
  <si>
    <t>-LqpYM2zVjQbs1uXXzrq</t>
  </si>
  <si>
    <t>1570709007361</t>
  </si>
  <si>
    <t>-LqpYNr0kHB67bCbzI4j</t>
  </si>
  <si>
    <t>1570709014573</t>
  </si>
  <si>
    <t>-LqpYPZXce8rUdVeUN-T</t>
  </si>
  <si>
    <t>1570709021783</t>
  </si>
  <si>
    <t>-LqpYRMqKMw-eGKzi5Mw</t>
  </si>
  <si>
    <t>1570709029001</t>
  </si>
  <si>
    <t>-LqpYT7ltmhG8KgGQzMX</t>
  </si>
  <si>
    <t>1570709036223</t>
  </si>
  <si>
    <t>-LqpYUtnNi2BE1M-A6wR</t>
  </si>
  <si>
    <t>1570709043423</t>
  </si>
  <si>
    <t>-LqpYWasT63Zy-t9gS1V</t>
  </si>
  <si>
    <t>1570709050622</t>
  </si>
  <si>
    <t>-LqpYYa2Ht3W9By9mos8</t>
  </si>
  <si>
    <t>1570709057854</t>
  </si>
  <si>
    <t>-LqpY_QrcidWjfaNJOfh</t>
  </si>
  <si>
    <t>1570709066091</t>
  </si>
  <si>
    <t>-LqpYb8rABF3VahAvBjH</t>
  </si>
  <si>
    <t>1570709073302</t>
  </si>
  <si>
    <t>-LqpYdArnueLcyzFRRJS</t>
  </si>
  <si>
    <t>1570709080523</t>
  </si>
  <si>
    <t>-LqpYetzL8hQU-RdoiU6</t>
  </si>
  <si>
    <t>1570709088742</t>
  </si>
  <si>
    <t>-LqpYgSrBTV5dtKelHTw</t>
  </si>
  <si>
    <t>1570709094945</t>
  </si>
  <si>
    <t>-LqpYiQgOux46k94lq-9</t>
  </si>
  <si>
    <t>1570709102144</t>
  </si>
  <si>
    <t>-LqpYjyrBJUSjwkYfESA</t>
  </si>
  <si>
    <t>1570709109371</t>
  </si>
  <si>
    <t>-LqpYlgso31Hc-JGeUu7</t>
  </si>
  <si>
    <t>1570709116553</t>
  </si>
  <si>
    <t>-LqpYnG1_7P1bohCgEdm</t>
  </si>
  <si>
    <t>1570709122743</t>
  </si>
  <si>
    <t>-LqpYoz-G_TwQl12PFNt</t>
  </si>
  <si>
    <t>1570709129983</t>
  </si>
  <si>
    <t>-LqpYqm00iO47HOocMuC</t>
  </si>
  <si>
    <t>1570709137203</t>
  </si>
  <si>
    <t>-LqpYsizUlm9-G4BGYSX</t>
  </si>
  <si>
    <t>1570709144382</t>
  </si>
  <si>
    <t>-LqpYuHzyKnYHp5HyrHc</t>
  </si>
  <si>
    <t>1570709151631</t>
  </si>
  <si>
    <t>-LqpYwHdz2acjwP65Ni5</t>
  </si>
  <si>
    <t>1570709158853</t>
  </si>
  <si>
    <t>-LqpYy1hRlUQ0sgwQRQq</t>
  </si>
  <si>
    <t>1570709167081</t>
  </si>
  <si>
    <t>-LqpYzosTNc5ZUYIHmxe</t>
  </si>
  <si>
    <t>1570709174293</t>
  </si>
  <si>
    <t>-LqpZ0XrgH_isW0ToL2k</t>
  </si>
  <si>
    <t>1570709181500</t>
  </si>
  <si>
    <t>-LqpZ2Ki0E2l__bh8VzU</t>
  </si>
  <si>
    <t>1570709188719</t>
  </si>
  <si>
    <t>-LqpZ4DZwO8XjPsnyQIY</t>
  </si>
  <si>
    <t>1570709196557</t>
  </si>
  <si>
    <t>-LqpZ5qsg5byO_t-4hae</t>
  </si>
  <si>
    <t>1570709203141</t>
  </si>
  <si>
    <t>-LqpZ7ZjyCqGwiY70RdT</t>
  </si>
  <si>
    <t>1570709210340</t>
  </si>
  <si>
    <t>-LqpZ9DoUV_a3gOC7urj</t>
  </si>
  <si>
    <t>1570709216540</t>
  </si>
  <si>
    <t>-LqpZAqhtWsxanFHClGr</t>
  </si>
  <si>
    <t>1570709223739</t>
  </si>
  <si>
    <t>-LqpZCPiP0AY4XWHDebz</t>
  </si>
  <si>
    <t>1570709229929</t>
  </si>
  <si>
    <t>-LqpZE7iY0xBvS3iErGZ</t>
  </si>
  <si>
    <t>1570709237149</t>
  </si>
  <si>
    <t>-LqpZFvhOR-a9HKgAsnF</t>
  </si>
  <si>
    <t>1570709244361</t>
  </si>
  <si>
    <t>-LqpZHdhWZZndaIFoZ67</t>
  </si>
  <si>
    <t>1570709251579</t>
  </si>
  <si>
    <t>-LqpZJSUiZWD_2pmozGG</t>
  </si>
  <si>
    <t>1570709258789</t>
  </si>
  <si>
    <t>-LqpZL9hPfAzTQnSTt_Q</t>
  </si>
  <si>
    <t>1570709265981</t>
  </si>
  <si>
    <t>-LqpZMjoMWQC0N4C0HeL</t>
  </si>
  <si>
    <t>1570709272179</t>
  </si>
  <si>
    <t>-LqpZOSnN7e3Yqp-WWsn</t>
  </si>
  <si>
    <t>1570709279399</t>
  </si>
  <si>
    <t>-LqpZQErTMT32_kFoRYv</t>
  </si>
  <si>
    <t>1570709286609</t>
  </si>
  <si>
    <t>-LqpZS-2hAuGKJukBhuM</t>
  </si>
  <si>
    <t>1570709293820</t>
  </si>
  <si>
    <t>-LqpZTkiPza6ZNG3PK2s</t>
  </si>
  <si>
    <t>1570709301041</t>
  </si>
  <si>
    <t>-LqpZVTjrOixll5M28sA</t>
  </si>
  <si>
    <t>1570709308231</t>
  </si>
  <si>
    <t>-LqpZX21_KmtWO_If05S</t>
  </si>
  <si>
    <t>1570709314419</t>
  </si>
  <si>
    <t>-LqpZYlqmCohLRom68e4</t>
  </si>
  <si>
    <t>1570709321668</t>
  </si>
  <si>
    <t>-LqpZ_ZynwzRox1GcfaD</t>
  </si>
  <si>
    <t>1570709328859</t>
  </si>
  <si>
    <t>-LqpZbGh7at1F553cPDl</t>
  </si>
  <si>
    <t>1570709336060</t>
  </si>
  <si>
    <t>-LqpZdMSx1T_mNLypKeR</t>
  </si>
  <si>
    <t>1570709343289</t>
  </si>
  <si>
    <t>-LqpZf60lFUCMYQ2epTe</t>
  </si>
  <si>
    <t>1570709351529</t>
  </si>
  <si>
    <t>-LqpZgpWRuGWwZPb_9FR</t>
  </si>
  <si>
    <t>1570709358750</t>
  </si>
  <si>
    <t>-LqpZicoxO4aBqj6rzki</t>
  </si>
  <si>
    <t>1570709365959</t>
  </si>
  <si>
    <t>-LqpZkKjpHyNKlRLmxw6</t>
  </si>
  <si>
    <t>1570709373179</t>
  </si>
  <si>
    <t>-LqpZmF3z_jkByHHInTj</t>
  </si>
  <si>
    <t>1570709380389</t>
  </si>
  <si>
    <t>-LqpZnqrjk5zBP2NVBlr</t>
  </si>
  <si>
    <t>1570709387580</t>
  </si>
  <si>
    <t>-LqpZpgcY0GonuRXK1m4</t>
  </si>
  <si>
    <t>1570709393780</t>
  </si>
  <si>
    <t>-LqpZrO29TEAZlWmpaXI</t>
  </si>
  <si>
    <t>1570709402049</t>
  </si>
  <si>
    <t>-LqpZstzhZup6iEpkos3</t>
  </si>
  <si>
    <t>1570709408207</t>
  </si>
  <si>
    <t>-LqpZuPnRoKVf3P7DThH</t>
  </si>
  <si>
    <t>1570709414403</t>
  </si>
  <si>
    <t>-LqpZvto-zxFknXEpgUb</t>
  </si>
  <si>
    <t>1570709420583</t>
  </si>
  <si>
    <t>-LqpZxREboDyG08Xkwr-</t>
  </si>
  <si>
    <t>1570709426804</t>
  </si>
  <si>
    <t>-LqpZywm7PO6O1AZPVMe</t>
  </si>
  <si>
    <t>1570709432964</t>
  </si>
  <si>
    <t>-Lqp_-RkYIX7ZbLx-PBH</t>
  </si>
  <si>
    <t>1570709439123</t>
  </si>
  <si>
    <t>-Lqp_0x8fRCRvOqaHjbA</t>
  </si>
  <si>
    <t>1570709445328</t>
  </si>
  <si>
    <t>-Lqp_2TwQ_n5cSJvxFVW</t>
  </si>
  <si>
    <t>1570709451507</t>
  </si>
  <si>
    <t>-Lqp_3ypTUwJMAeGu7NL</t>
  </si>
  <si>
    <t>1570709457688</t>
  </si>
  <si>
    <t>-Lqp_5VJf1h7WRcDDdKV</t>
  </si>
  <si>
    <t>1570709463914</t>
  </si>
  <si>
    <t>-Lqp_7-t8foanE_MSD6T</t>
  </si>
  <si>
    <t>1570709470028</t>
  </si>
  <si>
    <t>-Lqp_8k0YA-9FgJzU_G3</t>
  </si>
  <si>
    <t>1570709477259</t>
  </si>
  <si>
    <t>-Lqp_AIVGQrjosj946LG</t>
  </si>
  <si>
    <t>1570709483451</t>
  </si>
  <si>
    <t>-Lqp_C0xFJyA21q94c2Y</t>
  </si>
  <si>
    <t>1570709490630</t>
  </si>
  <si>
    <t>-Lqp_D_ynPzMbmeljefl</t>
  </si>
  <si>
    <t>1570709496820</t>
  </si>
  <si>
    <t>-Lqp_FHr_Fwdo4EF7EFw</t>
  </si>
  <si>
    <t>1570709504069</t>
  </si>
  <si>
    <t>-Lqp_H4iVdCH7erZ-GxQ</t>
  </si>
  <si>
    <t>1570709511270</t>
  </si>
  <si>
    <t>-Lqp_Inq-kMgP1CWepNx</t>
  </si>
  <si>
    <t>1570709518470</t>
  </si>
  <si>
    <t>-Lqp_KNoeIG5jasOZ7ON</t>
  </si>
  <si>
    <t>1570709524660</t>
  </si>
  <si>
    <t>-Lqp_M4sVpGhJ8kPaGr0</t>
  </si>
  <si>
    <t>1570709531880</t>
  </si>
  <si>
    <t>-Lqp_NtoboVcLdMYyYtT</t>
  </si>
  <si>
    <t>1570709539091</t>
  </si>
  <si>
    <t>-Lqp_PbyF511Y9xnKEys</t>
  </si>
  <si>
    <t>1570709546310</t>
  </si>
  <si>
    <t>-Lqp_RPxtBkgYAg_XsA2</t>
  </si>
  <si>
    <t>1570709553518</t>
  </si>
  <si>
    <t>-Lqp_T7w5T8iirsJn_IW</t>
  </si>
  <si>
    <t>1570709560710</t>
  </si>
  <si>
    <t>-Lqp_UfkltdJ-WbtswfR</t>
  </si>
  <si>
    <t>1570709566910</t>
  </si>
  <si>
    <t>-Lqp_WQ06NTwdDl3ma6f</t>
  </si>
  <si>
    <t>1570709574152</t>
  </si>
  <si>
    <t>-Lqp_YBs5w4JGDVH9t4E</t>
  </si>
  <si>
    <t>1570709581357</t>
  </si>
  <si>
    <t>-Lqp_ZvzxaS4rYB7ugmu</t>
  </si>
  <si>
    <t>1570709588551</t>
  </si>
  <si>
    <t>-Lqp_aiXlBcBSm_dzStL</t>
  </si>
  <si>
    <t>1570709595770</t>
  </si>
  <si>
    <t>-Lqp_ces6DxkcHyogTzI</t>
  </si>
  <si>
    <t>1570709602960</t>
  </si>
  <si>
    <t>-Lqp_eEwNZJEM44gKARi</t>
  </si>
  <si>
    <t>1570709610198</t>
  </si>
  <si>
    <t>-Lqp_fxwyxbJCGz0tnRP</t>
  </si>
  <si>
    <t>1570709617390</t>
  </si>
  <si>
    <t>-Lqp_m6Z0PCky_7epaG1</t>
  </si>
  <si>
    <t>1570709642571</t>
  </si>
  <si>
    <t>-Lqp_npKYCPedEp_eJg3</t>
  </si>
  <si>
    <t>1570709649566</t>
  </si>
  <si>
    <t>-Lqp_pKPq7KbLa-XnsWD</t>
  </si>
  <si>
    <t>1570709655722</t>
  </si>
  <si>
    <t>-Lqp_qpiBh7WGazCi4Wg</t>
  </si>
  <si>
    <t>1570709661902</t>
  </si>
  <si>
    <t>-Lqp_sKy1d-2koz76Y2E</t>
  </si>
  <si>
    <t>1570709668122</t>
  </si>
  <si>
    <t>-Lqp_trQ7Oles8tScGnN</t>
  </si>
  <si>
    <t>1570709674292</t>
  </si>
  <si>
    <t>-Lqp_vMeAxPvT2p3ao3X</t>
  </si>
  <si>
    <t>1570709680443</t>
  </si>
  <si>
    <t>-Lqp_wt9SEsRUBXXoRL4</t>
  </si>
  <si>
    <t>1570709686687</t>
  </si>
  <si>
    <t>-Lqp_yN8kVaHOmUJbAUI</t>
  </si>
  <si>
    <t>1570709692841</t>
  </si>
  <si>
    <t>-Lqp_ztel3OeEKFE0_uE</t>
  </si>
  <si>
    <t>1570709699070</t>
  </si>
  <si>
    <t>-Lqpa0OvbP-jNN_-xViv</t>
  </si>
  <si>
    <t>1570709705167</t>
  </si>
  <si>
    <t>-Lqpa1vPU24PpkI-F0vl</t>
  </si>
  <si>
    <t>1570709711443</t>
  </si>
  <si>
    <t>-Lqpa3Qe9I_pqdGlzic9</t>
  </si>
  <si>
    <t>1570709717563</t>
  </si>
  <si>
    <t>-Lqpa518wS9uXTmDrztn</t>
  </si>
  <si>
    <t>1570709724152</t>
  </si>
  <si>
    <t>-Lqpa6gOBlaPIRQiKPZ1</t>
  </si>
  <si>
    <t>1570709730942</t>
  </si>
  <si>
    <t>-Lqpa8BesrNxCpKQpg_w</t>
  </si>
  <si>
    <t>1570709737121</t>
  </si>
  <si>
    <t>-Lqpa9gzO4c9Da6CQSyR</t>
  </si>
  <si>
    <t>1570709743322</t>
  </si>
  <si>
    <t>-LqpaBDOc1Cc8eq8O5_j</t>
  </si>
  <si>
    <t>1570709749482</t>
  </si>
  <si>
    <t>-LqpaCjgnN25LM8gqep9</t>
  </si>
  <si>
    <t>1570709755732</t>
  </si>
  <si>
    <t>-LqpaEFD9TmblwrYHhbt</t>
  </si>
  <si>
    <t>1570709761890</t>
  </si>
  <si>
    <t>-LqpaFkUIyf7IxmFahAm</t>
  </si>
  <si>
    <t>1570709768042</t>
  </si>
  <si>
    <t>-LqpaHFdK12dHKD2RhJM</t>
  </si>
  <si>
    <t>1570709774222</t>
  </si>
  <si>
    <t>-LqpaIm8gSmZ9FyATY3L</t>
  </si>
  <si>
    <t>1570709780441</t>
  </si>
  <si>
    <t>-LqpaKGAraeF3BxeHdhc</t>
  </si>
  <si>
    <t>1570709786602</t>
  </si>
  <si>
    <t>-LqpaLmdNQ8PLvjnPlMB</t>
  </si>
  <si>
    <t>1570709792763</t>
  </si>
  <si>
    <t>-LqpaNZO_ljyiB-cqMlK</t>
  </si>
  <si>
    <t>1570709799002</t>
  </si>
  <si>
    <t>-LqpaP2PZ19EdTNVQNb0</t>
  </si>
  <si>
    <t>1570709806143</t>
  </si>
  <si>
    <t>-LqpaQYmnw4gF3VWkOA3</t>
  </si>
  <si>
    <t>1570709812362</t>
  </si>
  <si>
    <t>-LqpaS48UY5neAAQhVA5</t>
  </si>
  <si>
    <t>1570709818523</t>
  </si>
  <si>
    <t>-LqpaT_Ppd0Y76uUG6kz</t>
  </si>
  <si>
    <t>1570709824741</t>
  </si>
  <si>
    <t>-LqpaV5t_O4cmaOXagDv</t>
  </si>
  <si>
    <t>1570709830961</t>
  </si>
  <si>
    <t>-LqpaWbIT7QGvjHtd2m9</t>
  </si>
  <si>
    <t>1570709837086</t>
  </si>
  <si>
    <t>-LqpaY6UaHBllzTRr0vG</t>
  </si>
  <si>
    <t>1570709843262</t>
  </si>
  <si>
    <t>-LqpaZtAiVqJLMGK0HX9</t>
  </si>
  <si>
    <t>1570709849490</t>
  </si>
  <si>
    <t>-LqpaaPPI7Rm9pmY2tEl</t>
  </si>
  <si>
    <t>1570709856747</t>
  </si>
  <si>
    <t>-Lqpabtdkugt_d32F7Md</t>
  </si>
  <si>
    <t>1570709862852</t>
  </si>
  <si>
    <t>-LqpadQAlD-e1TOjn5Se</t>
  </si>
  <si>
    <t>1570709869081</t>
  </si>
  <si>
    <t>-LqpaevdPSA4afoSfXp4</t>
  </si>
  <si>
    <t>1570709875271</t>
  </si>
  <si>
    <t>-LqpagQdN3llxevtxkRu</t>
  </si>
  <si>
    <t>1570709881402</t>
  </si>
  <si>
    <t>-LqpahvjkveeMtmhWkkl</t>
  </si>
  <si>
    <t>1570709887586</t>
  </si>
  <si>
    <t>-LqpajSPme17VEagw1KD</t>
  </si>
  <si>
    <t>1570709893801</t>
  </si>
  <si>
    <t>-Lqpaky2o0H5DEUx7vK-</t>
  </si>
  <si>
    <t>1570709899961</t>
  </si>
  <si>
    <t>-LqpamTwoYSd89oj6m7J</t>
  </si>
  <si>
    <t>1570709906127</t>
  </si>
  <si>
    <t>-LqpaoFtXq6Trtxxi242</t>
  </si>
  <si>
    <t>1570709913529</t>
  </si>
  <si>
    <t>-Lqpaq-96RBPCXFgHfmv</t>
  </si>
  <si>
    <t>1570709920602</t>
  </si>
  <si>
    <t>-LqparVOu-G7B0tc8qYO</t>
  </si>
  <si>
    <t>1570709926773</t>
  </si>
  <si>
    <t>-Lqpat0vDu4iyVlas9xf</t>
  </si>
  <si>
    <t>1570709933027</t>
  </si>
  <si>
    <t>-LqpaubQPfAgLn_fAybE</t>
  </si>
  <si>
    <t>1570709939100</t>
  </si>
  <si>
    <t>-LqpawGOR3wQqHipSKWr</t>
  </si>
  <si>
    <t>1570709946347</t>
  </si>
  <si>
    <t>-LqpaxmzGsOPDuvi-veW</t>
  </si>
  <si>
    <t>1570709952521</t>
  </si>
  <si>
    <t>-LqpazI7GKyQmrcNNuOm</t>
  </si>
  <si>
    <t>1570709958688</t>
  </si>
  <si>
    <t>-Lqpb-nO4kcZprDw5IM3</t>
  </si>
  <si>
    <t>1570709964922</t>
  </si>
  <si>
    <t>-Lqpb1JvX6TOk3CX7Foo</t>
  </si>
  <si>
    <t>1570709971081</t>
  </si>
  <si>
    <t>-Lqpb2n_8kgGKDmpix9Z</t>
  </si>
  <si>
    <t>1570709977222</t>
  </si>
  <si>
    <t>-Lqpb4KQNxYewaqI8BzK</t>
  </si>
  <si>
    <t>1570709983461</t>
  </si>
  <si>
    <t>-Lqpb5quDdnlgVQsALFA</t>
  </si>
  <si>
    <t>1570709989663</t>
  </si>
  <si>
    <t>-Lqpb7Lu5jsT_v-Oe69d</t>
  </si>
  <si>
    <t>1570709995802</t>
  </si>
  <si>
    <t>-Lqpb955Vg0BYhSBxwXQ</t>
  </si>
  <si>
    <t>1570710002920</t>
  </si>
  <si>
    <t>-LqpbAb_cPZrs7iOAMjs</t>
  </si>
  <si>
    <t>1570710009227</t>
  </si>
  <si>
    <t>-LqpbC8508rxuFZElg37</t>
  </si>
  <si>
    <t>1570710015392</t>
  </si>
  <si>
    <t>-LqpbDdFygmpWjDidER_</t>
  </si>
  <si>
    <t>1570710021597</t>
  </si>
  <si>
    <t>-LqpbF9uV1O-GU4cS_tD</t>
  </si>
  <si>
    <t>1570710027776</t>
  </si>
  <si>
    <t>-LqpbGez2kuyEg8zOBU2</t>
  </si>
  <si>
    <t>1570710033937</t>
  </si>
  <si>
    <t>-LqpbIAGitbcVJ5e435f</t>
  </si>
  <si>
    <t>1570710040117</t>
  </si>
  <si>
    <t>-LqpbJdj_h4JwCfAFxIi</t>
  </si>
  <si>
    <t>1570710046282</t>
  </si>
  <si>
    <t>-LqpbL9X6hxX-rBLlypS</t>
  </si>
  <si>
    <t>1570710052437</t>
  </si>
  <si>
    <t>-LqpbNiBq2S69AoVan2T</t>
  </si>
  <si>
    <t>1570710059482</t>
  </si>
  <si>
    <t>-LqpbPCdgsFsB-qVbrh8</t>
  </si>
  <si>
    <t>1570710068942</t>
  </si>
  <si>
    <t>-LqpbQj3gMWw3Okvwsdp</t>
  </si>
  <si>
    <t>1570710075155</t>
  </si>
  <si>
    <t>-LqpbSEUUHAmhuIV0-K0</t>
  </si>
  <si>
    <t>1570710081331</t>
  </si>
  <si>
    <t>-LqpbU7QSpZ8IJLHGvSl</t>
  </si>
  <si>
    <t>1570710088526</t>
  </si>
  <si>
    <t>-LqpbVn6WnYH2O-2DIKg</t>
  </si>
  <si>
    <t>1570710095797</t>
  </si>
  <si>
    <t>-LqpbXXDgNcmvCh7CYyK</t>
  </si>
  <si>
    <t>1570710102995</t>
  </si>
  <si>
    <t>-LqpbZ1JCKZQfGeZdhph</t>
  </si>
  <si>
    <t>1570710109177</t>
  </si>
  <si>
    <t>-Lqpb_WToQytnr6GYK2-</t>
  </si>
  <si>
    <t>1570710115305</t>
  </si>
  <si>
    <t>-Lqpbb1t-sGWp_bWg2C-</t>
  </si>
  <si>
    <t>1570710121536</t>
  </si>
  <si>
    <t>-LqpbceTvDK7LOOFOFIZ</t>
  </si>
  <si>
    <t>1570710128202</t>
  </si>
  <si>
    <t>-LqpbeJ6bOEe7sigYAKX</t>
  </si>
  <si>
    <t>1570710134906</t>
  </si>
  <si>
    <t>-LqpbfpbtskGtQtkezet</t>
  </si>
  <si>
    <t>1570710141102</t>
  </si>
  <si>
    <t>-LqpbhKrucb9cL0gecY1</t>
  </si>
  <si>
    <t>1570710147271</t>
  </si>
  <si>
    <t>-Lqpbir49EV2k7KAJUGs</t>
  </si>
  <si>
    <t>1570710153492</t>
  </si>
  <si>
    <t>-LqpbkNmoE_lKUowLmEs</t>
  </si>
  <si>
    <t>1570710159662</t>
  </si>
  <si>
    <t>-Lqpbm5mzoS-sA8l1zNq</t>
  </si>
  <si>
    <t>1570710166855</t>
  </si>
  <si>
    <t>-Lqpbnf3R1VhvJrKzBaC</t>
  </si>
  <si>
    <t>1570710173035</t>
  </si>
  <si>
    <t>-LqpbpbuxGJNfxxaeYhB</t>
  </si>
  <si>
    <t>1570710181121</t>
  </si>
  <si>
    <t>-LqpbrAvUmgeQPjEIjC3</t>
  </si>
  <si>
    <t>1570710187436</t>
  </si>
  <si>
    <t>-LqpbstwnmSslLCxYUli</t>
  </si>
  <si>
    <t>1570710194656</t>
  </si>
  <si>
    <t>-LqpbuT5PsCX5q2UHsz6</t>
  </si>
  <si>
    <t>1570710200856</t>
  </si>
  <si>
    <t>-LqpbwAuZVMvnu9oWKgc</t>
  </si>
  <si>
    <t>1570710208071</t>
  </si>
  <si>
    <t>-LqpbxyuWY3xMA6NGp0t</t>
  </si>
  <si>
    <t>1570710215286</t>
  </si>
  <si>
    <t>-LqpbzhDVK8g9LdbXFs0</t>
  </si>
  <si>
    <t>1570710222466</t>
  </si>
  <si>
    <t>-Lqpc0FvZjRRfHTW4P6j</t>
  </si>
  <si>
    <t>1570710228666</t>
  </si>
  <si>
    <t>-Lqpc2Huozj2zV7rNABi</t>
  </si>
  <si>
    <t>1570710237076</t>
  </si>
  <si>
    <t>-Lqpc4-u_VWntDu2dF8O</t>
  </si>
  <si>
    <t>1570710244136</t>
  </si>
  <si>
    <t>-Lqpc5i73IlU4kiwRZzF</t>
  </si>
  <si>
    <t>1570710251346</t>
  </si>
  <si>
    <t>-Lqpc7Hv5LWK1Duii9kD</t>
  </si>
  <si>
    <t>1570710257560</t>
  </si>
  <si>
    <t>-Lqpc9-uLxxQcXKJbCQr</t>
  </si>
  <si>
    <t>1570710264715</t>
  </si>
  <si>
    <t>-LqpcAZuWMBShx2BhCSj</t>
  </si>
  <si>
    <t>1570710270895</t>
  </si>
  <si>
    <t>-LqpcCHvBt7ieXVeEsBA</t>
  </si>
  <si>
    <t>1570710278145</t>
  </si>
  <si>
    <t>-LqpcEP3bcJH2tsBGap9</t>
  </si>
  <si>
    <t>1570710285356</t>
  </si>
  <si>
    <t>-LqpcGLy6aogh751s47J</t>
  </si>
  <si>
    <t>1570710294717</t>
  </si>
  <si>
    <t>-LqpcI45PeXnrxnrcoUQ</t>
  </si>
  <si>
    <t>1570710301847</t>
  </si>
  <si>
    <t>-LqpcJcoHylv9jhQQBTH</t>
  </si>
  <si>
    <t>1570710308039</t>
  </si>
  <si>
    <t>-LqpcLLyzHPMrk-FaGY9</t>
  </si>
  <si>
    <t>1570710315239</t>
  </si>
  <si>
    <t>-LqpcN7kS-rDBBR7Q4Cu</t>
  </si>
  <si>
    <t>1570710322459</t>
  </si>
  <si>
    <t>-LqpcOs62zS1J3r3oDTi</t>
  </si>
  <si>
    <t>1570710329668</t>
  </si>
  <si>
    <t>-LqpcQeyb1Hhm9p38LT5</t>
  </si>
  <si>
    <t>1570710336869</t>
  </si>
  <si>
    <t>-LqpcSPDOyMXNgGkhO7k</t>
  </si>
  <si>
    <t>1570710344069</t>
  </si>
  <si>
    <t>-LqpcTx7tMof6kgi7ySG</t>
  </si>
  <si>
    <t>1570710350270</t>
  </si>
  <si>
    <t>-LqpcVeytuy4o3P56Tlv</t>
  </si>
  <si>
    <t>1570710357488</t>
  </si>
  <si>
    <t>-LqpcXSzPztgfVrnabUm</t>
  </si>
  <si>
    <t>1570710364698</t>
  </si>
  <si>
    <t>-LqpcZAyC7DjmJ8jdD6v</t>
  </si>
  <si>
    <t>1570710371910</t>
  </si>
  <si>
    <t>-LqpcaI4O6oarVG0lOLr</t>
  </si>
  <si>
    <t>1570710379128</t>
  </si>
  <si>
    <t>-Lqpcc9jvEIkSLMeCUqq</t>
  </si>
  <si>
    <t>1570710387379</t>
  </si>
  <si>
    <t>-LqpcdixUA7n6l5XBf4W</t>
  </si>
  <si>
    <t>1570710394588</t>
  </si>
  <si>
    <t>-LqpcfWyhBlz09AhWVim</t>
  </si>
  <si>
    <t>1570710401798</t>
  </si>
  <si>
    <t>-LqpchEyY05CIZVE92VG</t>
  </si>
  <si>
    <t>1570710409009</t>
  </si>
  <si>
    <t>-Lqpcj1w3ZOsdVVNO1SW</t>
  </si>
  <si>
    <t>1570710416220</t>
  </si>
  <si>
    <t>-LqpckmDbdmVTrCqahlF</t>
  </si>
  <si>
    <t>1570710423429</t>
  </si>
  <si>
    <t>-LqpcmZF2JAc2DYAaNfa</t>
  </si>
  <si>
    <t>1570710430648</t>
  </si>
  <si>
    <t>-LqpcoGx8FEK0c-uC-DG</t>
  </si>
  <si>
    <t>1570710437829</t>
  </si>
  <si>
    <t>-Lqpcpq7NLYWBMZtwdVw</t>
  </si>
  <si>
    <t>1570710444029</t>
  </si>
  <si>
    <t>-LqpcrYxW1WWSy8dhF4I</t>
  </si>
  <si>
    <t>1570710451270</t>
  </si>
  <si>
    <t>-LqpctM3_HtrnrmFwFYo</t>
  </si>
  <si>
    <t>1570710458468</t>
  </si>
  <si>
    <t>-Lqpcv5CG1rzcN5_mygL</t>
  </si>
  <si>
    <t>1570710465668</t>
  </si>
  <si>
    <t>-LqpcwdRS7bXY5ZUbm6G</t>
  </si>
  <si>
    <t>1570710471868</t>
  </si>
  <si>
    <t>-LqpcyLyw-7XD5f37d5L</t>
  </si>
  <si>
    <t>1570710479080</t>
  </si>
  <si>
    <t>-LqpczpxjJj9Vp-b5-gn</t>
  </si>
  <si>
    <t>1570710485238</t>
  </si>
  <si>
    <t>-Lqpd0rzPg90lMBJc4Et</t>
  </si>
  <si>
    <t>1570710493459</t>
  </si>
  <si>
    <t>-Lqpd2e--vtxZl0SjgYe</t>
  </si>
  <si>
    <t>1570710500719</t>
  </si>
  <si>
    <t>-Lqpd4NwQShDi4bHxC4O</t>
  </si>
  <si>
    <t>1570710507908</t>
  </si>
  <si>
    <t>-Lqpd5wxT-tvytc814xG</t>
  </si>
  <si>
    <t>1570710514108</t>
  </si>
  <si>
    <t>-Lqpd7f687cYM3z_XDbQ</t>
  </si>
  <si>
    <t>1570710521328</t>
  </si>
  <si>
    <t>-Lqpd9lmOj5ZtjpoC4eI</t>
  </si>
  <si>
    <t>1570710528539</t>
  </si>
  <si>
    <t>-LqpdBPwwa0nxkW0t9yE</t>
  </si>
  <si>
    <t>1570710536785</t>
  </si>
  <si>
    <t>-LqpdCyw_6m-_ztCMXVq</t>
  </si>
  <si>
    <t>1570710542967</t>
  </si>
  <si>
    <t>-LqpdEhA7G4CwNNRp5b4</t>
  </si>
  <si>
    <t>1570710550160</t>
  </si>
  <si>
    <t>-LqpdGFvYpViHNAUNPOl</t>
  </si>
  <si>
    <t>1570710556345</t>
  </si>
  <si>
    <t>-LqpdHyue--zjoMAuxTF</t>
  </si>
  <si>
    <t>1570710563587</t>
  </si>
  <si>
    <t>-LqpdK0E9hzZK3KdfA8q</t>
  </si>
  <si>
    <t>1570710571725</t>
  </si>
  <si>
    <t>-LqpdM6ukjYifrbs0vOC</t>
  </si>
  <si>
    <t>1570710579026</t>
  </si>
  <si>
    <t>-LqpdNkuNovQBIix5Ehw</t>
  </si>
  <si>
    <t>1570710587267</t>
  </si>
  <si>
    <t>-LqpdPZ3Rz-CDUOFK93B</t>
  </si>
  <si>
    <t>1570710594486</t>
  </si>
  <si>
    <t>-LqpdRHCQZ40DAwNVVN8</t>
  </si>
  <si>
    <t>1570710601678</t>
  </si>
  <si>
    <t>-LqpdSpu_nMB9PQXHspn</t>
  </si>
  <si>
    <t>1570710607856</t>
  </si>
  <si>
    <t>-LqpdUYvgrGz9unOv7at</t>
  </si>
  <si>
    <t>1570710615116</t>
  </si>
  <si>
    <t>-LqpdWLvnvnzFiR_60OG</t>
  </si>
  <si>
    <t>1570710622321</t>
  </si>
  <si>
    <t>-LqpdY595dDSgX3puoay</t>
  </si>
  <si>
    <t>1570710629505</t>
  </si>
  <si>
    <t>-LqpdZcv3HzDabO9U22C</t>
  </si>
  <si>
    <t>1570710635705</t>
  </si>
  <si>
    <t>-LqpdaLvRys5IODQsnpM</t>
  </si>
  <si>
    <t>1570710642928</t>
  </si>
  <si>
    <t>-Lqpdc8uiF7VDcoBTSEp</t>
  </si>
  <si>
    <t>1570710650137</t>
  </si>
  <si>
    <t>-Lqpde64Oy2YVqFX5oBh</t>
  </si>
  <si>
    <t>1570710657356</t>
  </si>
  <si>
    <t>-LqpdfemGVgZepVNb65S</t>
  </si>
  <si>
    <t>1570710664565</t>
  </si>
  <si>
    <t>-LqpdhMXmH60Qx65wzau</t>
  </si>
  <si>
    <t>1570710671745</t>
  </si>
  <si>
    <t>-LqpdiwuOaUBVQgbXv9E</t>
  </si>
  <si>
    <t>1570710677947</t>
  </si>
  <si>
    <t>-LqpdkevNXyhxVEUo5Zu</t>
  </si>
  <si>
    <t>1570710685165</t>
  </si>
  <si>
    <t>-LqpdmSucbYZXlzDvevK</t>
  </si>
  <si>
    <t>1570710692385</t>
  </si>
  <si>
    <t>-LqpdoB3ZgZHg05Y5jf8</t>
  </si>
  <si>
    <t>1570710699602</t>
  </si>
  <si>
    <t>-LqpdpzCa_e_D-YSIkKA</t>
  </si>
  <si>
    <t>1570710706806</t>
  </si>
  <si>
    <t>-LqpdrgwktvmWgyuvsdW</t>
  </si>
  <si>
    <t>1570710713987</t>
  </si>
  <si>
    <t>-LqpdtFySlYi9OI_veqy</t>
  </si>
  <si>
    <t>1570710720175</t>
  </si>
  <si>
    <t>-Lqpduyv29PyxXdH5SpN</t>
  </si>
  <si>
    <t>1570710727435</t>
  </si>
  <si>
    <t>-LqpdwlwdPPV2Q2HLlU6</t>
  </si>
  <si>
    <t>1570710734628</t>
  </si>
  <si>
    <t>-LqpdyTpVJrgQanbw-W3</t>
  </si>
  <si>
    <t>1570710741834</t>
  </si>
  <si>
    <t>-Lqpe-HvQ97qVA09yyfM</t>
  </si>
  <si>
    <t>1570710749056</t>
  </si>
  <si>
    <t>-Lqpe11BfuJb1hjaqbM2</t>
  </si>
  <si>
    <t>1570710756236</t>
  </si>
  <si>
    <t>-Lqpe2uBj8oLdODUAT2Y</t>
  </si>
  <si>
    <t>1570710762425</t>
  </si>
  <si>
    <t>-Lqpe4dguOiPXMpx8pMV</t>
  </si>
  <si>
    <t>1570710770663</t>
  </si>
  <si>
    <t>-Lqpe6Js7rlUxxU_ZiX7</t>
  </si>
  <si>
    <t>1570710777911</t>
  </si>
  <si>
    <t>-Lqpe81uljF8ycw0phqX</t>
  </si>
  <si>
    <t>1570710785115</t>
  </si>
  <si>
    <t>-Lqpe9aoBNBpwKD6GuhP</t>
  </si>
  <si>
    <t>1570710791305</t>
  </si>
  <si>
    <t>-LqpeB4t1dHrgtogBkE6</t>
  </si>
  <si>
    <t>1570710797463</t>
  </si>
  <si>
    <t>-LqpeCt-Xf-E6-N-yKEF</t>
  </si>
  <si>
    <t>1570710804693</t>
  </si>
  <si>
    <t>-LqpeEatd5bHDgi86Sdv</t>
  </si>
  <si>
    <t>1570710811913</t>
  </si>
  <si>
    <t>-LqpeGOnZDkN6XKCNgWN</t>
  </si>
  <si>
    <t>1570710819124</t>
  </si>
  <si>
    <t>-LqpeHsuRf-ZeYHSM4xw</t>
  </si>
  <si>
    <t>1570710825303</t>
  </si>
  <si>
    <t>-LqpeJwMNsyN6h-m0ZiP</t>
  </si>
  <si>
    <t>1570710832515</t>
  </si>
  <si>
    <t>-LqpeLePP9D8kvw-KKU8</t>
  </si>
  <si>
    <t>1570710840785</t>
  </si>
  <si>
    <t>-LqpeNC1NHlwk-xntGYg</t>
  </si>
  <si>
    <t>1570710846943</t>
  </si>
  <si>
    <t>-LqpeOv0XaEvQGet00Mg</t>
  </si>
  <si>
    <t>1570710854155</t>
  </si>
  <si>
    <t>-LqpeQTvDiSpd3JEOgeW</t>
  </si>
  <si>
    <t>1570710860335</t>
  </si>
  <si>
    <t>-LqpeSBktdZkipqCBpdZ</t>
  </si>
  <si>
    <t>1570710867555</t>
  </si>
  <si>
    <t>-LqpeTg0WlZjfI4RJ0K7</t>
  </si>
  <si>
    <t>1570710873734</t>
  </si>
  <si>
    <t>-LqpeVEuj56HFH8adUYk</t>
  </si>
  <si>
    <t>1570710879925</t>
  </si>
  <si>
    <t>-LqpeWxuR9kPzI7ipYlm</t>
  </si>
  <si>
    <t>1570710887104</t>
  </si>
  <si>
    <t>-LqpeYWtjcF_JL078lNL</t>
  </si>
  <si>
    <t>1570710893307</t>
  </si>
  <si>
    <t>-Lqpe_Esry9jzwn5EmR3</t>
  </si>
  <si>
    <t>1570710900545</t>
  </si>
  <si>
    <t>-Lqpeb1sC7xtz3foWkog</t>
  </si>
  <si>
    <t>1570710907743</t>
  </si>
  <si>
    <t>-Lqpeckw1qETDLcPz76U</t>
  </si>
  <si>
    <t>1570710914944</t>
  </si>
  <si>
    <t>-LqpeeKB7PKypV9LD2Iq</t>
  </si>
  <si>
    <t>1570710921135</t>
  </si>
  <si>
    <t>-Lqpeg1uVMSyPmXzWG3R</t>
  </si>
  <si>
    <t>1570710928343</t>
  </si>
  <si>
    <t>-LqpehptyDkNVfhYEaAy</t>
  </si>
  <si>
    <t>1570710935565</t>
  </si>
  <si>
    <t>-LqpejYxGy0TuIr_2EPF</t>
  </si>
  <si>
    <t>1570710942783</t>
  </si>
  <si>
    <t>-Lqpel71CYQpXSIRjjlG</t>
  </si>
  <si>
    <t>1570710948954</t>
  </si>
  <si>
    <t>-LqpemuuqXW04aTfvNcu</t>
  </si>
  <si>
    <t>1570710956431</t>
  </si>
  <si>
    <t>-Lqpeoht_zOwIvcenw5c</t>
  </si>
  <si>
    <t>1570710963384</t>
  </si>
  <si>
    <t>-LqpeqLlhIvg9OckDJyt</t>
  </si>
  <si>
    <t>1570710970593</t>
  </si>
  <si>
    <t>-Lqperv1mHXbsbWwL6xg</t>
  </si>
  <si>
    <t>1570710976795</t>
  </si>
  <si>
    <t>-Lqpetwt6uC0cuYqwtYz</t>
  </si>
  <si>
    <t>1570710983994</t>
  </si>
  <si>
    <t>-LqpevetNOTuS85O0Akh</t>
  </si>
  <si>
    <t>1570710992234</t>
  </si>
  <si>
    <t>-Lqpf0psg-I4UZHTZ5sw</t>
  </si>
  <si>
    <t>1570711017634</t>
  </si>
  <si>
    <t>-Lqpf2Z2ZRmKqVsbpuT7</t>
  </si>
  <si>
    <t>1570711024624</t>
  </si>
  <si>
    <t>-Lqpf4GkWnzctUhbU_vr</t>
  </si>
  <si>
    <t>1570711031835</t>
  </si>
  <si>
    <t>-Lqpf5puR7Ne1O-Bj59_</t>
  </si>
  <si>
    <t>1570711038035</t>
  </si>
  <si>
    <t>-Lqpf7Z3omeSEJlSSbSn</t>
  </si>
  <si>
    <t>1570711045264</t>
  </si>
  <si>
    <t>-Lqpf9MyPZ9LpAlVcr61</t>
  </si>
  <si>
    <t>1570711051414</t>
  </si>
  <si>
    <t>-LqpfB2nWrhwHcb5wKD3</t>
  </si>
  <si>
    <t>1570711059656</t>
  </si>
  <si>
    <t>-LqpfChlDzO811j7nebR</t>
  </si>
  <si>
    <t>1570711065846</t>
  </si>
  <si>
    <t>-LqpfEQvIwSg1OCNiXcn</t>
  </si>
  <si>
    <t>1570711073025</t>
  </si>
  <si>
    <t>-LqpfG8vQbG3NBlqExUn</t>
  </si>
  <si>
    <t>1570711080264</t>
  </si>
  <si>
    <t>-LqpfI6X-07ymX3GGOd0</t>
  </si>
  <si>
    <t>1570711087495</t>
  </si>
  <si>
    <t>-LqpfJetQuXqgTAFS8wu</t>
  </si>
  <si>
    <t>1570711094695</t>
  </si>
  <si>
    <t>-LqpfLgk9m3-e2zpzo-A</t>
  </si>
  <si>
    <t>1570711102941</t>
  </si>
  <si>
    <t>-LqpfNPwKlkwVNTx-bTj</t>
  </si>
  <si>
    <t>1570711110156</t>
  </si>
  <si>
    <t>-LqpfPCtQFRWByhhtIl3</t>
  </si>
  <si>
    <t>1570711117365</t>
  </si>
  <si>
    <t>-LqpfQvuV7vSvR057mcI</t>
  </si>
  <si>
    <t>1570711124545</t>
  </si>
  <si>
    <t>-LqpfSittOBmAjcq4QF_</t>
  </si>
  <si>
    <t>1570711131795</t>
  </si>
  <si>
    <t>-LqpfURtarHAHyTzSD4W</t>
  </si>
  <si>
    <t>1570711139005</t>
  </si>
  <si>
    <t>-LqpfW-lgPDla7aK42S1</t>
  </si>
  <si>
    <t>1570711145184</t>
  </si>
  <si>
    <t>-LqpfXj3lZGUCbz9Kwjr</t>
  </si>
  <si>
    <t>1570711152385</t>
  </si>
  <si>
    <t>-LqpfZWku3bN10THzGvJ</t>
  </si>
  <si>
    <t>1570711159616</t>
  </si>
  <si>
    <t>-LqpfaEttUUaWZ1pSMqd</t>
  </si>
  <si>
    <t>1570711166844</t>
  </si>
  <si>
    <t>-Lqpfc1lQ89BOBSZ-70M</t>
  </si>
  <si>
    <t>1570711174045</t>
  </si>
  <si>
    <t>-LqpfdkuDXPC9JcLbY74</t>
  </si>
  <si>
    <t>1570711181255</t>
  </si>
  <si>
    <t>-LqpffOtr9gbsCRTOpa3</t>
  </si>
  <si>
    <t>1570711187435</t>
  </si>
  <si>
    <t>-Lqpfh0xgAf5STr93HfT</t>
  </si>
  <si>
    <t>1570711194627</t>
  </si>
  <si>
    <t>-Lqpfi_WUtRpQzGXFZG6</t>
  </si>
  <si>
    <t>1570711200825</t>
  </si>
  <si>
    <t>-LqpfkL81YWwRZ-hz6Tl</t>
  </si>
  <si>
    <t>1570711208045</t>
  </si>
  <si>
    <t>-Lqpfm6kRcb9ir9atTor</t>
  </si>
  <si>
    <t>1570711215254</t>
  </si>
  <si>
    <t>-LqpfnzwvpQuUBN80wEC</t>
  </si>
  <si>
    <t>1570711222464</t>
  </si>
  <si>
    <t>-LqpfpcuUoUSg3VgQwvk</t>
  </si>
  <si>
    <t>1570711229684</t>
  </si>
  <si>
    <t>-LqpfrLv09V8tN3wqpVM</t>
  </si>
  <si>
    <t>1570711236864</t>
  </si>
  <si>
    <t>-LqpfsulMMXB0eJakv4h</t>
  </si>
  <si>
    <t>1570711243056</t>
  </si>
  <si>
    <t>-LqpfuxDKKuEzjz5bNez</t>
  </si>
  <si>
    <t>1570711250306</t>
  </si>
  <si>
    <t>-LqpfwfK88j-4l6ypMHh</t>
  </si>
  <si>
    <t>1570711258564</t>
  </si>
  <si>
    <t>-LqpfyT1HR006ML8ddtl</t>
  </si>
  <si>
    <t>1570711265822</t>
  </si>
  <si>
    <t>-Lqpg-BDEKM0Gxf1WMzi</t>
  </si>
  <si>
    <t>1570711272996</t>
  </si>
  <si>
    <t>-Lqpg19ySOkRZmvOjmVn</t>
  </si>
  <si>
    <t>1570711280208</t>
  </si>
  <si>
    <t>-Lqpg2wFvK6B_15g3xFx</t>
  </si>
  <si>
    <t>1570711288419</t>
  </si>
  <si>
    <t>-Lqpg4VTsMUy-03HzjYl</t>
  </si>
  <si>
    <t>1570711294615</t>
  </si>
  <si>
    <t>-Lqpg6IRINgedU8-nnZ6</t>
  </si>
  <si>
    <t>1570711301860</t>
  </si>
  <si>
    <t>-Lqpg85a_WMVsVgO5VfU</t>
  </si>
  <si>
    <t>1570711309372</t>
  </si>
  <si>
    <t>-Lqpg9okjCKlu-o5nSMX</t>
  </si>
  <si>
    <t>1570711316273</t>
  </si>
  <si>
    <t>-LqpgBX_ShaDByVFAGVc</t>
  </si>
  <si>
    <t>1570711323495</t>
  </si>
  <si>
    <t>-LqpgDKlI9KCSyCJ4xSp</t>
  </si>
  <si>
    <t>1570711330720</t>
  </si>
  <si>
    <t>-LqpgFHaLaKx201pS8gu</t>
  </si>
  <si>
    <t>1570711337886</t>
  </si>
  <si>
    <t>-LqpgH4cEX1udLggUIdV</t>
  </si>
  <si>
    <t>1570711346174</t>
  </si>
  <si>
    <t>-LqpgIsONeJYotzhLNlG</t>
  </si>
  <si>
    <t>1570711353393</t>
  </si>
  <si>
    <t>-LqpgKaZgPvudUzyDryZ</t>
  </si>
  <si>
    <t>1570711360575</t>
  </si>
  <si>
    <t>-LqpgMYYZK4AJjy-hVsz</t>
  </si>
  <si>
    <t>1570711367790</t>
  </si>
  <si>
    <t>-LqpgO6igyjVt4nQC1jy</t>
  </si>
  <si>
    <t>1570711375018</t>
  </si>
  <si>
    <t>-LqpgPucn8e_RDYXv9e0</t>
  </si>
  <si>
    <t>1570711382244</t>
  </si>
  <si>
    <t>-LqpgRcZ0k7kcrkK40BJ</t>
  </si>
  <si>
    <t>1570711389450</t>
  </si>
  <si>
    <t>-LqpgTklDmfj0N1euUzf</t>
  </si>
  <si>
    <t>1570711397570</t>
  </si>
  <si>
    <t>-LqpgVS_v6JyL3C7uNJc</t>
  </si>
  <si>
    <t>1570711404919</t>
  </si>
  <si>
    <t>-LqpgXA_fuFuJlcce5_n</t>
  </si>
  <si>
    <t>1570711412113</t>
  </si>
  <si>
    <t>-LqpgYyZbAgAmieaVYLB</t>
  </si>
  <si>
    <t>1570711419320</t>
  </si>
  <si>
    <t>-Lqpg_gdECgrvHUdcSYm</t>
  </si>
  <si>
    <t>1570711426552</t>
  </si>
  <si>
    <t>-LqpgbUbJZW_1fqUgV_A</t>
  </si>
  <si>
    <t>1570711433732</t>
  </si>
  <si>
    <t>-LqpgdCffDfnPnnT8lJI</t>
  </si>
  <si>
    <t>1570711440984</t>
  </si>
  <si>
    <t>-Lqpgf4VyHGmyhvE7tzh</t>
  </si>
  <si>
    <t>1570711448193</t>
  </si>
  <si>
    <t>-LqpggievxEijYUVSUFA</t>
  </si>
  <si>
    <t>1570711455404</t>
  </si>
  <si>
    <t>-LqpgiXU-h4I-gT1l2zJ</t>
  </si>
  <si>
    <t>1570711462612</t>
  </si>
  <si>
    <t>-LqpgkEfCOIIQE95d1eF</t>
  </si>
  <si>
    <t>1570711469833</t>
  </si>
  <si>
    <t>-Lqpgm2rOFviNVJwyQVx</t>
  </si>
  <si>
    <t>1570711477045</t>
  </si>
  <si>
    <t>-LqpgnozZckl5Z_NNsHX</t>
  </si>
  <si>
    <t>1570711484275</t>
  </si>
  <si>
    <t>-LqpgpqZZmkD8YpQY7jH</t>
  </si>
  <si>
    <t>1570711491481</t>
  </si>
  <si>
    <t>-LqpgrUxGgau5TcXD21l</t>
  </si>
  <si>
    <t>1570711499662</t>
  </si>
  <si>
    <t>-Lqpgt2uqYsaQH2sH9BQ</t>
  </si>
  <si>
    <t>1570711505846</t>
  </si>
  <si>
    <t>-LqpgutDmrFjNzdBxM2H</t>
  </si>
  <si>
    <t>1570711513042</t>
  </si>
  <si>
    <t>-Lqpgw_N3eH9IMRGboSe</t>
  </si>
  <si>
    <t>1570711520275</t>
  </si>
  <si>
    <t>-LqpgyYbkbwAccpLpxFF</t>
  </si>
  <si>
    <t>1570711527488</t>
  </si>
  <si>
    <t>-Lqph-4nhJkx3Oir0PfC</t>
  </si>
  <si>
    <t>1570711534704</t>
  </si>
  <si>
    <t>-Lqph0suKXIDh5AmKIRz</t>
  </si>
  <si>
    <t>1570711541919</t>
  </si>
  <si>
    <t>-Lqph2atHiXtpKZcnRJC</t>
  </si>
  <si>
    <t>1570711549126</t>
  </si>
  <si>
    <t>-Lqph4P2B-PL8pNedvsW</t>
  </si>
  <si>
    <t>1570711556345</t>
  </si>
  <si>
    <t>-Lqph670YiYJnUq1xuiE</t>
  </si>
  <si>
    <t>1570711563553</t>
  </si>
  <si>
    <t>-Lqph7us8AgPTw1e7r5z</t>
  </si>
  <si>
    <t>1570711570772</t>
  </si>
  <si>
    <t>-Lqph9ahAvnBJpBbbdWn</t>
  </si>
  <si>
    <t>1570711577945</t>
  </si>
  <si>
    <t>-LqphBQsoJ5My4woiNw7</t>
  </si>
  <si>
    <t>1570711585193</t>
  </si>
  <si>
    <t>-LqphD8sZJp4CqDvxOsw</t>
  </si>
  <si>
    <t>1570711592383</t>
  </si>
  <si>
    <t>-LqphEhs01EtdLck24L0</t>
  </si>
  <si>
    <t>1570711598587</t>
  </si>
  <si>
    <t>-LqphGytZNfUYobRs0Ka</t>
  </si>
  <si>
    <t>1570711607564</t>
  </si>
  <si>
    <t>-LqphIgumz9PVzr-ZVHu</t>
  </si>
  <si>
    <t>1570711615083</t>
  </si>
  <si>
    <t>-LqphKUva8XvOey7WnGF</t>
  </si>
  <si>
    <t>1570711622288</t>
  </si>
  <si>
    <t>-LqphMCsD83WF4UWUbMD</t>
  </si>
  <si>
    <t>1570711629504</t>
  </si>
  <si>
    <t>-LqphO-tPfcf-Vfydyxs</t>
  </si>
  <si>
    <t>1570711636706</t>
  </si>
  <si>
    <t>-LqphPitLF5Qs1vMdkP-</t>
  </si>
  <si>
    <t>1570711643906</t>
  </si>
  <si>
    <t>-LqphRI15pvyWmSCnvQp</t>
  </si>
  <si>
    <t>1570711650094</t>
  </si>
  <si>
    <t>-LqphT01PzPFKYqwNoF5</t>
  </si>
  <si>
    <t>1570711657344</t>
  </si>
  <si>
    <t>-LqphUyBnCMgX4CKhXjD</t>
  </si>
  <si>
    <t>1570711665380</t>
  </si>
  <si>
    <t>-LqphWX-p8I81V1kEcFA</t>
  </si>
  <si>
    <t>1570711671744</t>
  </si>
  <si>
    <t>-LqphYG7Af0BhXikG5lF</t>
  </si>
  <si>
    <t>1570711678981</t>
  </si>
  <si>
    <t>-LqphZnsgt4NTHHioAIz</t>
  </si>
  <si>
    <t>1570711685155</t>
  </si>
  <si>
    <t>-LqphaauFW1awWYqU8Ap</t>
  </si>
  <si>
    <t>1570711692374</t>
  </si>
  <si>
    <t>-LqphcK1s6if8ak1YnJl</t>
  </si>
  <si>
    <t>1570711699583</t>
  </si>
  <si>
    <t>-Lqphe88nVS7u2mFIN56</t>
  </si>
  <si>
    <t>1570711706795</t>
  </si>
  <si>
    <t>-Lqphfr7jnfl9d_Fi1Nx</t>
  </si>
  <si>
    <t>1570711713985</t>
  </si>
  <si>
    <t>-LqphhOtayNovSQB5AdA</t>
  </si>
  <si>
    <t>1570711720184</t>
  </si>
  <si>
    <t>-Lqphj5qidmN5Xh5DyAb</t>
  </si>
  <si>
    <t>1570711727402</t>
  </si>
  <si>
    <t>-Lqphl8rc5FZqYFdq9by</t>
  </si>
  <si>
    <t>1570711735652</t>
  </si>
  <si>
    <t>-Lqphms0T9hlRBy2BpEK</t>
  </si>
  <si>
    <t>1570711742852</t>
  </si>
  <si>
    <t>-LqphoPnTaZZpm6Xiolb</t>
  </si>
  <si>
    <t>1570711749042</t>
  </si>
  <si>
    <t>-LqphqNsuJ_rDnn5urqq</t>
  </si>
  <si>
    <t>1570711757004</t>
  </si>
  <si>
    <t>-LqphrwrgmSh58LCY_Wv</t>
  </si>
  <si>
    <t>1570711763462</t>
  </si>
  <si>
    <t>-LqphtesCUh8NwLnf2HT</t>
  </si>
  <si>
    <t>1570711770693</t>
  </si>
  <si>
    <t>-LqphvDhdnKNM_nv8ALo</t>
  </si>
  <si>
    <t>1570711776863</t>
  </si>
  <si>
    <t>-LqphwwtJcK4NxpEJjxO</t>
  </si>
  <si>
    <t>1570711784063</t>
  </si>
  <si>
    <t>-LqphyVifXWMI2f43cAB</t>
  </si>
  <si>
    <t>1570711790253</t>
  </si>
  <si>
    <t>-Lqpi-E0BPeU7hBI5NCS</t>
  </si>
  <si>
    <t>1570711797480</t>
  </si>
  <si>
    <t>-Lqpi19cnjWQRc743Qwe</t>
  </si>
  <si>
    <t>1570711805571</t>
  </si>
  <si>
    <t>-Lqpi2icBt1lqsiAXVH0</t>
  </si>
  <si>
    <t>1570711811922</t>
  </si>
  <si>
    <t>-Lqpi4bsI0yp4oma3KWm</t>
  </si>
  <si>
    <t>1570711819112</t>
  </si>
  <si>
    <t>-Lqpi6Fs5-T5gErIN66X</t>
  </si>
  <si>
    <t>1570711826303</t>
  </si>
  <si>
    <t>-Lqpi7or_P0g-oEk1f_t</t>
  </si>
  <si>
    <t>1570711832502</t>
  </si>
  <si>
    <t>-Lqpi9XsAH0NQjGcvbrr</t>
  </si>
  <si>
    <t>1570711839743</t>
  </si>
  <si>
    <t>-LqpiBKrwj1BFOYfqqW4</t>
  </si>
  <si>
    <t>1570711846942</t>
  </si>
  <si>
    <t>-LqpiD1ciL9f59Zi5xPh</t>
  </si>
  <si>
    <t>1570711854152</t>
  </si>
  <si>
    <t>-LqpiEr8hA2QR32q2XT0</t>
  </si>
  <si>
    <t>1570711861362</t>
  </si>
  <si>
    <t>-LqpiG_1JtIUoV8ZWAe2</t>
  </si>
  <si>
    <t>1570711868563</t>
  </si>
  <si>
    <t>-LqpiI7rlgYGvN5jWDsy</t>
  </si>
  <si>
    <t>1570711874732</t>
  </si>
  <si>
    <t>-LqpiJqumFtKkJE7_kFq</t>
  </si>
  <si>
    <t>1570711881985</t>
  </si>
  <si>
    <t>-LqpiLdrspzWmZRrrphk</t>
  </si>
  <si>
    <t>1570711889182</t>
  </si>
  <si>
    <t>-LqpiNMsotdl0GpXWzea</t>
  </si>
  <si>
    <t>1570711896383</t>
  </si>
  <si>
    <t>-LqpiOvr16v74asW8oLk</t>
  </si>
  <si>
    <t>1570711902785</t>
  </si>
  <si>
    <t>-LqpiQdskgXwbqEocq1w</t>
  </si>
  <si>
    <t>1570711909792</t>
  </si>
  <si>
    <t>-LqpiSRsrmIxPeDhY9Yr</t>
  </si>
  <si>
    <t>1570711917013</t>
  </si>
  <si>
    <t>-LqpiU9rXKvstfmGpOkm</t>
  </si>
  <si>
    <t>1570711924224</t>
  </si>
  <si>
    <t>-LqpiVxjnDi7vpJUWApa</t>
  </si>
  <si>
    <t>1570711931444</t>
  </si>
  <si>
    <t>-LqpiXfs0tnPeVIi_dWV</t>
  </si>
  <si>
    <t>1570711938622</t>
  </si>
  <si>
    <t>-LqpiZABWVLzK7Ouh8y_</t>
  </si>
  <si>
    <t>1570711944814</t>
  </si>
  <si>
    <t>-Lqpi_ism9xh15E4BKef</t>
  </si>
  <si>
    <t>1570711951023</t>
  </si>
  <si>
    <t>-LqpibRkZRo6yRLqj3gQ</t>
  </si>
  <si>
    <t>1570711958231</t>
  </si>
  <si>
    <t>-LqpidJlPA4VXG4gkRVD</t>
  </si>
  <si>
    <t>1570711964412</t>
  </si>
  <si>
    <t>-Lqpif1uL14OaKaK1mmn</t>
  </si>
  <si>
    <t>1570711972665</t>
  </si>
  <si>
    <t>-LqpigkvhWwGT69yCHG6</t>
  </si>
  <si>
    <t>1570711979877</t>
  </si>
  <si>
    <t>-LqpiiYvfrlPxTV_L0fa</t>
  </si>
  <si>
    <t>1570711987085</t>
  </si>
  <si>
    <t>-LqpikGwvBUKVf46IORb</t>
  </si>
  <si>
    <t>1570711994306</t>
  </si>
  <si>
    <t>-LqpimSuFJmThwHbZT1J</t>
  </si>
  <si>
    <t>1570712001514</t>
  </si>
  <si>
    <t>-Lqpio5tHp-gjG6ovXGF</t>
  </si>
  <si>
    <t>1570712009773</t>
  </si>
  <si>
    <t>-Lqpipovb8GF7mXf8GQJ</t>
  </si>
  <si>
    <t>1570712016975</t>
  </si>
  <si>
    <t>-LqpirbtWNA6_34j_2ql</t>
  </si>
  <si>
    <t>1570712024186</t>
  </si>
  <si>
    <t>-LqpitKt347n1O_YaY2m</t>
  </si>
  <si>
    <t>1570712031394</t>
  </si>
  <si>
    <t>-Lqpiv7t03SKemSU7M-N</t>
  </si>
  <si>
    <t>1570712038616</t>
  </si>
  <si>
    <t>-LqpiwqwgikS2RzxdFta</t>
  </si>
  <si>
    <t>1570712045824</t>
  </si>
  <si>
    <t>-LqpiydvG546EW4UP1DB</t>
  </si>
  <si>
    <t>1570712053034</t>
  </si>
  <si>
    <t>-Lqpj-MvGMTuh-NCZ7Tq</t>
  </si>
  <si>
    <t>1570712060235</t>
  </si>
  <si>
    <t>-Lqpj0vw2A1AGhgCHKQu</t>
  </si>
  <si>
    <t>1570712066414</t>
  </si>
  <si>
    <t>-Lqpj2dt6aFH3UfPmYhO</t>
  </si>
  <si>
    <t>1570712073665</t>
  </si>
  <si>
    <t>-Lqpj4S4WBJK2oO9olnn</t>
  </si>
  <si>
    <t>1570712080864</t>
  </si>
  <si>
    <t>-Lqpj6A3Yg22Hcw6L_oy</t>
  </si>
  <si>
    <t>1570712088066</t>
  </si>
  <si>
    <t>-Lqpj7kAPNUP7S-AxtN1</t>
  </si>
  <si>
    <t>1570712094255</t>
  </si>
  <si>
    <t>-Lqpj9l2VViWJy-QuO_l</t>
  </si>
  <si>
    <t>1570712101475</t>
  </si>
  <si>
    <t>-LqpjBTvBCwmpo9eccmd</t>
  </si>
  <si>
    <t>1570712109724</t>
  </si>
  <si>
    <t>-LqpjDBtNGT1vy0BA5HL</t>
  </si>
  <si>
    <t>1570712116936</t>
  </si>
  <si>
    <t>-LqpjEl0KFey2SHbqwqO</t>
  </si>
  <si>
    <t>1570712123116</t>
  </si>
  <si>
    <t>-LqpjGTtGP4c085Bid2p</t>
  </si>
  <si>
    <t>1570712130305</t>
  </si>
  <si>
    <t>-LqpjI1vQuX1xoyY72iG</t>
  </si>
  <si>
    <t>1570712136496</t>
  </si>
  <si>
    <t>-LqpjJktaWzvgz788iCc</t>
  </si>
  <si>
    <t>1570712143745</t>
  </si>
  <si>
    <t>-LqpjLctRzTKD7OlSbM8</t>
  </si>
  <si>
    <t>1570712150945</t>
  </si>
  <si>
    <t>-LqpjNGlP0cOTbYUZgaM</t>
  </si>
  <si>
    <t>1570712158146</t>
  </si>
  <si>
    <t>-LqpjOw9SMxUK7mnGkdd</t>
  </si>
  <si>
    <t>1570712164335</t>
  </si>
  <si>
    <t>-LqpjQYubg0ggCiN56Ml</t>
  </si>
  <si>
    <t>1570712171554</t>
  </si>
  <si>
    <t>-LqpjSLwPfy5yQd1sCI8</t>
  </si>
  <si>
    <t>1570712178765</t>
  </si>
  <si>
    <t>-LqpjU3vbTYAT_cVgo5b</t>
  </si>
  <si>
    <t>1570712185985</t>
  </si>
  <si>
    <t>-LqpjVrtyHhnxtBOnvhi</t>
  </si>
  <si>
    <t>1570712193197</t>
  </si>
  <si>
    <t>-LqpjXwHIzUwgIXpU7v_</t>
  </si>
  <si>
    <t>1570712200393</t>
  </si>
  <si>
    <t>-LqpjZctJX2T0PhV66js</t>
  </si>
  <si>
    <t>1570712208704</t>
  </si>
  <si>
    <t>-LqpjaQr_dehUfbaWIeu</t>
  </si>
  <si>
    <t>1570712215918</t>
  </si>
  <si>
    <t>-Lqpjc8g9UXQHUy6UMtC</t>
  </si>
  <si>
    <t>1570712223138</t>
  </si>
  <si>
    <t>-LqpjdwizQT6yBtdKgfN</t>
  </si>
  <si>
    <t>1570712230349</t>
  </si>
  <si>
    <t>-LqpjgMjyjXd5W0KhByw</t>
  </si>
  <si>
    <t>1570712238556</t>
  </si>
  <si>
    <t>-Lqpji4akDCt4-4nvb2Q</t>
  </si>
  <si>
    <t>1570712246837</t>
  </si>
  <si>
    <t>-LqpjjiiCizHpHayFODf</t>
  </si>
  <si>
    <t>1570712254047</t>
  </si>
  <si>
    <t>-LqpjlWZ_7PYyecBFx2S</t>
  </si>
  <si>
    <t>1570712261238</t>
  </si>
  <si>
    <t>-LqpjnEtG6OwEvQ3tuFJ</t>
  </si>
  <si>
    <t>1570712268476</t>
  </si>
  <si>
    <t>-Lqpjp1aF0KNpHV1gcYh</t>
  </si>
  <si>
    <t>1570712275697</t>
  </si>
  <si>
    <t>-Lqpjr3iJlx9AEBLzGwW</t>
  </si>
  <si>
    <t>1570712284063</t>
  </si>
  <si>
    <t>-Lqpjsm_3NIxhINw8mgL</t>
  </si>
  <si>
    <t>1570712291148</t>
  </si>
  <si>
    <t>-LqpjuVjv5TFoTnCGkTJ</t>
  </si>
  <si>
    <t>1570712298328</t>
  </si>
  <si>
    <t>-LqpjwIuIh8727dj70ip</t>
  </si>
  <si>
    <t>1570712305578</t>
  </si>
  <si>
    <t>-Lqpjy5jw7mOxfmC_C_t</t>
  </si>
  <si>
    <t>1570712312758</t>
  </si>
  <si>
    <t>-LqpjzogXe8VDUzNLWbR</t>
  </si>
  <si>
    <t>1570712319996</t>
  </si>
  <si>
    <t>-Lqpk0bqv55Kj2H-2Hf4</t>
  </si>
  <si>
    <t>1570712327206</t>
  </si>
  <si>
    <t>-Lqpk2KhxDwi4rZh1Kff</t>
  </si>
  <si>
    <t>1570712334427</t>
  </si>
  <si>
    <t>-Lqpk4ChSWZd6VCLd7nh</t>
  </si>
  <si>
    <t>1570712341639</t>
  </si>
  <si>
    <t>-Lqpk5qtUYZloSfGWWds</t>
  </si>
  <si>
    <t>1570712348865</t>
  </si>
  <si>
    <t>-Lqpk7epQqAGEwYKac65</t>
  </si>
  <si>
    <t>1570712356068</t>
  </si>
  <si>
    <t>-Lqpk9Mhe3faJbxzKkll</t>
  </si>
  <si>
    <t>1570712363297</t>
  </si>
  <si>
    <t>-LqpkBRA9CrnUSp1WuRT</t>
  </si>
  <si>
    <t>1570712370497</t>
  </si>
  <si>
    <t>-LqpkDCybcRZpt4v4Bo4</t>
  </si>
  <si>
    <t>1570712378738</t>
  </si>
  <si>
    <t>-LqpkEuq04vFSlbmodg7</t>
  </si>
  <si>
    <t>1570712385958</t>
  </si>
  <si>
    <t>-LqpkGmjw5n_nH-_4zNq</t>
  </si>
  <si>
    <t>1570712393166</t>
  </si>
  <si>
    <t>-LqpkIQtmk3lniwLrP9_</t>
  </si>
  <si>
    <t>1570712400378</t>
  </si>
  <si>
    <t>-LqpkKD_tHuskx0hoo7K</t>
  </si>
  <si>
    <t>1570712407597</t>
  </si>
  <si>
    <t>-LqpkLwiRQzvyUhPTAr6</t>
  </si>
  <si>
    <t>1570712414814</t>
  </si>
  <si>
    <t>-LqpkNjhrq7bPLWCD-Xb</t>
  </si>
  <si>
    <t>1570712422026</t>
  </si>
  <si>
    <t>-LqpkPSi03ZNaQ-fYvql</t>
  </si>
  <si>
    <t>1570712429236</t>
  </si>
  <si>
    <t>-LqpkRFjUOL6aoBY7vhI</t>
  </si>
  <si>
    <t>1570712436458</t>
  </si>
  <si>
    <t>-LqpkT33rKmaBql-RG6s</t>
  </si>
  <si>
    <t>1570712443637</t>
  </si>
  <si>
    <t>-LqpkV2wO081I8qVgeKi</t>
  </si>
  <si>
    <t>1570712452172</t>
  </si>
  <si>
    <t>-LqpkWll3ovhtmklVEr1</t>
  </si>
  <si>
    <t>1570712459071</t>
  </si>
  <si>
    <t>-LqpkYVgiNIAe096rzen</t>
  </si>
  <si>
    <t>1570712466302</t>
  </si>
  <si>
    <t>-Lqpk_IrRO1LnXjlPUDJ</t>
  </si>
  <si>
    <t>1570712473503</t>
  </si>
  <si>
    <t>-Lqpkb0qKpG4FvhbPvbj</t>
  </si>
  <si>
    <t>1570712480702</t>
  </si>
  <si>
    <t>-Lqpkcnmo7-wk9dkfIhB</t>
  </si>
  <si>
    <t>1570712487879</t>
  </si>
  <si>
    <t>-LqpkeXrlKTgFg-9zrpv</t>
  </si>
  <si>
    <t>1570712495111</t>
  </si>
  <si>
    <t>-LqpkgKqyG_uIq3CJaPL</t>
  </si>
  <si>
    <t>1570712501293</t>
  </si>
  <si>
    <t>-Lqpki1uF5K7AdNiW3Sx</t>
  </si>
  <si>
    <t>1570712509573</t>
  </si>
  <si>
    <t>-LqpkjbqWsQugBVHeVK8</t>
  </si>
  <si>
    <t>1570712515752</t>
  </si>
  <si>
    <t>-LqpklXmnU1fxEabHl92</t>
  </si>
  <si>
    <t>1570712522942</t>
  </si>
  <si>
    <t>-Lqpkn96U6FCbLZFhncw</t>
  </si>
  <si>
    <t>1570712530182</t>
  </si>
  <si>
    <t>-LqpkopIurFVjoiiscWJ</t>
  </si>
  <si>
    <t>1570712537401</t>
  </si>
  <si>
    <t>-LqpkqOuLwpAD9eStDGM</t>
  </si>
  <si>
    <t>1570712543591</t>
  </si>
  <si>
    <t>-LqpksWq6vwcNY5g-Nie</t>
  </si>
  <si>
    <t>1570712550783</t>
  </si>
  <si>
    <t>-LqpkuA8tUMUSshGwmHO</t>
  </si>
  <si>
    <t>1570712559034</t>
  </si>
  <si>
    <t>-LqpkwGrczq85CpJc9Et</t>
  </si>
  <si>
    <t>1570712566242</t>
  </si>
  <si>
    <t>-Lqpkxtmn_Qga6DsH8_B</t>
  </si>
  <si>
    <t>1570712574461</t>
  </si>
  <si>
    <t>-LqpkzTreCtRwZy2CIkK</t>
  </si>
  <si>
    <t>1570712580654</t>
  </si>
  <si>
    <t>-Lqpl0BqgQM_ns04liU2</t>
  </si>
  <si>
    <t>1570712587902</t>
  </si>
  <si>
    <t>-Lqpl1v06xcK2GUdsdAw</t>
  </si>
  <si>
    <t>1570712595092</t>
  </si>
  <si>
    <t>-Lqpl3TrDPJH-cK9jv5R</t>
  </si>
  <si>
    <t>1570712601281</t>
  </si>
  <si>
    <t>-Lqpl5FkaLyHb-bvL_q_</t>
  </si>
  <si>
    <t>1570712608491</t>
  </si>
  <si>
    <t>-Lqpl6ymoE2DCMPl3WUC</t>
  </si>
  <si>
    <t>1570712615701</t>
  </si>
  <si>
    <t>-Lqpl94dIYtabQsX7JKP</t>
  </si>
  <si>
    <t>1570712624193</t>
  </si>
  <si>
    <t>-LqplAirtMuBEjT1tClf</t>
  </si>
  <si>
    <t>1570712631162</t>
  </si>
  <si>
    <t>-LqplCE4_Fhrx6fl9Wo6</t>
  </si>
  <si>
    <t>1570712637352</t>
  </si>
  <si>
    <t>-LqplDnAnuXYNmMkkTnT</t>
  </si>
  <si>
    <t>1570712643532</t>
  </si>
  <si>
    <t>-LqplFb6EfBeIHoImA3d</t>
  </si>
  <si>
    <t>1570712650755</t>
  </si>
  <si>
    <t>-LqplHJ3ao4800Cctr49</t>
  </si>
  <si>
    <t>1570712657963</t>
  </si>
  <si>
    <t>-LqplJ5s1po9UaMLZO6C</t>
  </si>
  <si>
    <t>1570712665173</t>
  </si>
  <si>
    <t>-LqplKnnZmrArQd15Lst</t>
  </si>
  <si>
    <t>1570712672383</t>
  </si>
  <si>
    <t>-LqplMaksKz6K0iMjG-X</t>
  </si>
  <si>
    <t>1570712679602</t>
  </si>
  <si>
    <t>-LqplP6iI6fBywUbvsOl</t>
  </si>
  <si>
    <t>1570712686793</t>
  </si>
  <si>
    <t>-LqplQuqv5kZKdBQacwX</t>
  </si>
  <si>
    <t>1570712697122</t>
  </si>
  <si>
    <t>-LqplSblDnMLtT-9x6Tg</t>
  </si>
  <si>
    <t>1570712704343</t>
  </si>
  <si>
    <t>-LqplUQwYrxWDIZqNzj_</t>
  </si>
  <si>
    <t>1570712711551</t>
  </si>
  <si>
    <t>-LqplW8r0z42R5FOlxdZ</t>
  </si>
  <si>
    <t>1570712718781</t>
  </si>
  <si>
    <t>-LqplXwtJn7f3JzOmCI6</t>
  </si>
  <si>
    <t>1570712725981</t>
  </si>
  <si>
    <t>-LqplZerd7iMla83Tt60</t>
  </si>
  <si>
    <t>1570712733182</t>
  </si>
  <si>
    <t>-LqplabhSdGGa9mUjIvx</t>
  </si>
  <si>
    <t>1570712741220</t>
  </si>
  <si>
    <t>-Lqplc9vS5FZ8QxmoS3W</t>
  </si>
  <si>
    <t>1570712747591</t>
  </si>
  <si>
    <t>-Lqpldjt97ZvNP1lhSvf</t>
  </si>
  <si>
    <t>1570712753774</t>
  </si>
  <si>
    <t>-LqplfSsiYPN3VDIIZjr</t>
  </si>
  <si>
    <t>1570712761029</t>
  </si>
  <si>
    <t>-LqplhGTahZPnSuxiFpX</t>
  </si>
  <si>
    <t>1570712768250</t>
  </si>
  <si>
    <t>-LqplizGtT7teixFTkZy</t>
  </si>
  <si>
    <t>1570712775422</t>
  </si>
  <si>
    <t>-LqplkXhQWNwlV64HkD9</t>
  </si>
  <si>
    <t>1570712781835</t>
  </si>
  <si>
    <t>-LqplmFs9oBcRj4U23rM</t>
  </si>
  <si>
    <t>1570712788844</t>
  </si>
  <si>
    <t>-Lqplnyh1DVMp5T9RK6o</t>
  </si>
  <si>
    <t>1570712796052</t>
  </si>
  <si>
    <t>-LqplpY9OicOR8vwek_y</t>
  </si>
  <si>
    <t>1570712802241</t>
  </si>
  <si>
    <t>-LqplrKs0p4TmmlZQ9WG</t>
  </si>
  <si>
    <t>1570712809452</t>
  </si>
  <si>
    <t>-Lqplt1w1BdbDoUYnTHb</t>
  </si>
  <si>
    <t>1570712816662</t>
  </si>
  <si>
    <t>-Lqplv57DVuf45CsbNRl</t>
  </si>
  <si>
    <t>1570712825011</t>
  </si>
  <si>
    <t>-Lqplwo2ebiyMo5N8d8h</t>
  </si>
  <si>
    <t>1570712832122</t>
  </si>
  <si>
    <t>-LqplyMzggY6cq4IHFBZ</t>
  </si>
  <si>
    <t>1570712838301</t>
  </si>
  <si>
    <t>-Lqpm-4vNGUxnPn4kpx1</t>
  </si>
  <si>
    <t>1570712845502</t>
  </si>
  <si>
    <t>-Lqpm0djmvH4HeNwWsTr</t>
  </si>
  <si>
    <t>1570712851702</t>
  </si>
  <si>
    <t>-Lqpm2M3rR4CnSjTNoQs</t>
  </si>
  <si>
    <t>1570712858913</t>
  </si>
  <si>
    <t>-Lqpm49hCA9GeI1eEIgP</t>
  </si>
  <si>
    <t>1570712866132</t>
  </si>
  <si>
    <t>-Lqpm66rtiJUnXDyZAWI</t>
  </si>
  <si>
    <t>1570712873341</t>
  </si>
  <si>
    <t>-Lqpm7gM1X98cGDMk3Tx</t>
  </si>
  <si>
    <t>1570712880561</t>
  </si>
  <si>
    <t>-Lqpm9Or_jXodllX3X2C</t>
  </si>
  <si>
    <t>1570712887749</t>
  </si>
  <si>
    <t>-LqpmAwlyVHybdEtm2dp</t>
  </si>
  <si>
    <t>1570712893932</t>
  </si>
  <si>
    <t>-LqpmCfsDF3RLDuEKFM7</t>
  </si>
  <si>
    <t>1570712901182</t>
  </si>
  <si>
    <t>-LqpmETs6mfZ5mtzf4VP</t>
  </si>
  <si>
    <t>1570712908381</t>
  </si>
  <si>
    <t>-LqpmGUJiqGAe7FWftMM</t>
  </si>
  <si>
    <t>1570712915581</t>
  </si>
  <si>
    <t>-LqpmIYiapX1_OC0zDXl</t>
  </si>
  <si>
    <t>1570712923842</t>
  </si>
  <si>
    <t>-LqpmKVUSk5IrOREEnnT</t>
  </si>
  <si>
    <t>1570712932082</t>
  </si>
  <si>
    <t>-LqpmMHsYsbHJXcO4RXw</t>
  </si>
  <si>
    <t>1570712940343</t>
  </si>
  <si>
    <t>-LqpmO-peBVaGmYkZSQP</t>
  </si>
  <si>
    <t>1570712947541</t>
  </si>
  <si>
    <t>-LqpmPnqZEUxJ91zyg_8</t>
  </si>
  <si>
    <t>1570712954751</t>
  </si>
  <si>
    <t>-LqpmRWpfdSNFGjtch5l</t>
  </si>
  <si>
    <t>1570712961983</t>
  </si>
  <si>
    <t>-LqpmU-kAPGn7NEFLHbF</t>
  </si>
  <si>
    <t>1570712972182</t>
  </si>
  <si>
    <t>-LqpmV_qTit-frEQ25Ad</t>
  </si>
  <si>
    <t>1570712978461</t>
  </si>
  <si>
    <t>-LqpmXIs05lzRXhbBtkN</t>
  </si>
  <si>
    <t>1570712985664</t>
  </si>
  <si>
    <t>-LqpmZ6APB6aXjtuckH-</t>
  </si>
  <si>
    <t>1570712992882</t>
  </si>
  <si>
    <t>-Lqpm_otpxBTXiABqDAq</t>
  </si>
  <si>
    <t>1570713000071</t>
  </si>
  <si>
    <t>-LqpmbIzf7pFOP3Aq3VR</t>
  </si>
  <si>
    <t>1570713006274</t>
  </si>
  <si>
    <t>-Lqpmcrhqu3_ndeQfQzM</t>
  </si>
  <si>
    <t>1570713012460</t>
  </si>
  <si>
    <t>-LqpmeLq6ikzSHa41O-d</t>
  </si>
  <si>
    <t>1570713018623</t>
  </si>
  <si>
    <t>-Lqpmg9JKS7-j7jMwySd</t>
  </si>
  <si>
    <t>1570713025862</t>
  </si>
  <si>
    <t>-Lqpmhqa4e5UkF5CCTK7</t>
  </si>
  <si>
    <t>1570713033091</t>
  </si>
  <si>
    <t>-LqpmjQrxtnbdkFK4pa7</t>
  </si>
  <si>
    <t>1570713039268</t>
  </si>
  <si>
    <t>-Lqpml8rohMk4KPCNRTr</t>
  </si>
  <si>
    <t>1570713046462</t>
  </si>
  <si>
    <t>-LqpmmwyxpivQZZ4rd2f</t>
  </si>
  <si>
    <t>1570713053691</t>
  </si>
  <si>
    <t>-LqpmoesUzE9kfL-13W6</t>
  </si>
  <si>
    <t>1570713060870</t>
  </si>
  <si>
    <t>-LqpmqDqEAhnJlCQWzm1</t>
  </si>
  <si>
    <t>1570713067060</t>
  </si>
  <si>
    <t>-LqpmrwpsT9an0yvAIcD</t>
  </si>
  <si>
    <t>1570713074301</t>
  </si>
  <si>
    <t>-Lqpmtf-Vt-Vu47EsZaG</t>
  </si>
  <si>
    <t>1570713081511</t>
  </si>
  <si>
    <t>-LqpmvO04bB5e3WhIoM-</t>
  </si>
  <si>
    <t>1570713088352</t>
  </si>
  <si>
    <t>-Lqpmx0reo9838wJRNzN</t>
  </si>
  <si>
    <t>1570713094901</t>
  </si>
  <si>
    <t>-Lqpmyk0CCGT2DL23m1q</t>
  </si>
  <si>
    <t>1570713102122</t>
  </si>
  <si>
    <t>-Lqpn-ClgUpBkPisIBzR</t>
  </si>
  <si>
    <t>1570713108310</t>
  </si>
  <si>
    <t>-Lqpn10qGsuZxlBTS9vS</t>
  </si>
  <si>
    <t>1570713115533</t>
  </si>
  <si>
    <t>-Lqpn2p1lHiU6x0ar23r</t>
  </si>
  <si>
    <t>1570713122732</t>
  </si>
  <si>
    <t>-Lqpn4XsUQ34SbOlP-oO</t>
  </si>
  <si>
    <t>1570713129949</t>
  </si>
  <si>
    <t>-Lqpn6iqlp2rDglNfs_8</t>
  </si>
  <si>
    <t>1570713137163</t>
  </si>
  <si>
    <t>-Lqpn8GbvLyw3eV13t0I</t>
  </si>
  <si>
    <t>1570713145414</t>
  </si>
  <si>
    <t>-Lqpn9s59VqLBuPjQrJ8</t>
  </si>
  <si>
    <t>1570713151580</t>
  </si>
  <si>
    <t>-LqpnBZrT2sE5tMq2wPF</t>
  </si>
  <si>
    <t>1570713158780</t>
  </si>
  <si>
    <t>-LqpnDLblj4TRB4dlI3Z</t>
  </si>
  <si>
    <t>1570713166122</t>
  </si>
  <si>
    <t>-LqpnF2dB5WR2d2gDEUn</t>
  </si>
  <si>
    <t>1570713173191</t>
  </si>
  <si>
    <t>-LqpnGclXiEtMjelXriB</t>
  </si>
  <si>
    <t>1570713179401</t>
  </si>
  <si>
    <t>-LqpnIKqQYWqQk7NCmaV</t>
  </si>
  <si>
    <t>1570713186622</t>
  </si>
  <si>
    <t>-LqpnK5-vsNwgVQIm3NJ</t>
  </si>
  <si>
    <t>1570713193831</t>
  </si>
  <si>
    <t>-LqpnLclPK4ywiVTALG-</t>
  </si>
  <si>
    <t>1570713200022</t>
  </si>
  <si>
    <t>-LqpnNQuTWOqnWXS21yJ</t>
  </si>
  <si>
    <t>1570713207232</t>
  </si>
  <si>
    <t>-LqpnPBG_R7hqH3E6IBe</t>
  </si>
  <si>
    <t>1570713214461</t>
  </si>
  <si>
    <t>-LqpnQzE4Xyi6-MwWqid</t>
  </si>
  <si>
    <t>1570713221661</t>
  </si>
  <si>
    <t>-LqpnSeaG_nsy12bu5oB</t>
  </si>
  <si>
    <t>1570713228861</t>
  </si>
  <si>
    <t>-LqpnULgKm3XFIzqg4MM</t>
  </si>
  <si>
    <t>1570713235052</t>
  </si>
  <si>
    <t>-LqpnVy1KzE8rkBo-Zit</t>
  </si>
  <si>
    <t>1570713242271</t>
  </si>
  <si>
    <t>-LqpnY8rZKGhmWJaefy2</t>
  </si>
  <si>
    <t>1570713249481</t>
  </si>
  <si>
    <t>-LqpnZglvH3LyHm6QLvW</t>
  </si>
  <si>
    <t>1570713257703</t>
  </si>
  <si>
    <t>-LqpnaC-RhUGkxX3hYor</t>
  </si>
  <si>
    <t>1570713263903</t>
  </si>
  <si>
    <t>-LqpnbjlkvfLy9wt95yM</t>
  </si>
  <si>
    <t>1570713270103</t>
  </si>
  <si>
    <t>-LqpndYeJZAgb93HkFV2</t>
  </si>
  <si>
    <t>1570713277311</t>
  </si>
  <si>
    <t>-LqpnfEMRRVqNemWn9XC</t>
  </si>
  <si>
    <t>1570713284542</t>
  </si>
  <si>
    <t>-LqpngjmtchvaNuFeZx8</t>
  </si>
  <si>
    <t>1570713290704</t>
  </si>
  <si>
    <t>-LqpniImAxY5LPgVmBf1</t>
  </si>
  <si>
    <t>1570713296915</t>
  </si>
  <si>
    <t>-Lqpnk0k-Bsia-_qtCZQ</t>
  </si>
  <si>
    <t>1570713304121</t>
  </si>
  <si>
    <t>-LqpnlarCk_LALVh6dEb</t>
  </si>
  <si>
    <t>1570713310281</t>
  </si>
  <si>
    <t>-LqpnnHXiDqNPQQY-fcs</t>
  </si>
  <si>
    <t>1570713317502</t>
  </si>
  <si>
    <t>-Lqpnp6yWG7tMD6QmG9J</t>
  </si>
  <si>
    <t>1570713324713</t>
  </si>
  <si>
    <t>-Lqpnqps1t8NrNv7vM_2</t>
  </si>
  <si>
    <t>1570713331903</t>
  </si>
  <si>
    <t>-LqpnsNkFtlio1jMbBEk</t>
  </si>
  <si>
    <t>1570713338092</t>
  </si>
  <si>
    <t>-Lqpnu4X0SmaVamhPkv3</t>
  </si>
  <si>
    <t>1570713345343</t>
  </si>
  <si>
    <t>-LqpnvustiYRsV2pEX2E</t>
  </si>
  <si>
    <t>1570713352549</t>
  </si>
  <si>
    <t>-LqpnxcsL05p7of0ZOyi</t>
  </si>
  <si>
    <t>1570713359744</t>
  </si>
  <si>
    <t>-LqpnzPsGlkbC4MkNoBb</t>
  </si>
  <si>
    <t>1570713366973</t>
  </si>
  <si>
    <t>-Lqpo08rh12NACsUcijK</t>
  </si>
  <si>
    <t>1570713374152</t>
  </si>
  <si>
    <t>-Lqpo1whHoFGMboIsvI1</t>
  </si>
  <si>
    <t>1570713381393</t>
  </si>
  <si>
    <t>-Lqpo3QtebOsCPi-gnKb</t>
  </si>
  <si>
    <t>1570713387582</t>
  </si>
  <si>
    <t>-Lqpo5nA5mERBzvZ_9kJ</t>
  </si>
  <si>
    <t>1570713394792</t>
  </si>
  <si>
    <t>-Lqpo7WAruUu0KzCGNbH</t>
  </si>
  <si>
    <t>1570713404065</t>
  </si>
  <si>
    <t>-Lqpo9E9mfV8rLDti-kE</t>
  </si>
  <si>
    <t>1570713411266</t>
  </si>
  <si>
    <t>-LqpoAlu3wmTCLNfKem7</t>
  </si>
  <si>
    <t>1570713417455</t>
  </si>
  <si>
    <t>-LqpoCZtO-HpdkA2LgD5</t>
  </si>
  <si>
    <t>1570713424674</t>
  </si>
  <si>
    <t>-LqpoEHvj4IlECanGYK7</t>
  </si>
  <si>
    <t>1570713431906</t>
  </si>
  <si>
    <t>-LqpoG-vG7sRl3aSSg_h</t>
  </si>
  <si>
    <t>1570713439105</t>
  </si>
  <si>
    <t>-LqpoHo4MIgTU4ReGfdf</t>
  </si>
  <si>
    <t>1570713446324</t>
  </si>
  <si>
    <t>-LqpoJWvom9ZmX-Cil4Y</t>
  </si>
  <si>
    <t>1570713453504</t>
  </si>
  <si>
    <t>-LqpoL4x0a4jdWo9C6IQ</t>
  </si>
  <si>
    <t>1570713459695</t>
  </si>
  <si>
    <t>-LqpoMntGgk-WLAkbXHk</t>
  </si>
  <si>
    <t>1570713466956</t>
  </si>
  <si>
    <t>-LqpoOb43MeUBytgqJ7x</t>
  </si>
  <si>
    <t>1570713474146</t>
  </si>
  <si>
    <t>-LqpoQK4NqBq_oHK3Lq1</t>
  </si>
  <si>
    <t>1570713481345</t>
  </si>
  <si>
    <t>-LqpoS6tISv4wARc0TKP</t>
  </si>
  <si>
    <t>1570713488564</t>
  </si>
  <si>
    <t>-LqpoTat9EMErTbKKvnq</t>
  </si>
  <si>
    <t>1570713494747</t>
  </si>
  <si>
    <t>-LqpoV4tEMqUz2JPK_2-</t>
  </si>
  <si>
    <t>1570713500915</t>
  </si>
  <si>
    <t>-LqpoWdvPEtceAsssJzO</t>
  </si>
  <si>
    <t>1570713507125</t>
  </si>
  <si>
    <t>-LqpoYauhyyfCPqR5NZo</t>
  </si>
  <si>
    <t>1570713515305</t>
  </si>
  <si>
    <t>-Lqpo_P3tSi4-41zG5wh</t>
  </si>
  <si>
    <t>1570713522575</t>
  </si>
  <si>
    <t>-LqpobBvLILZMmx-htT0</t>
  </si>
  <si>
    <t>1570713529784</t>
  </si>
  <si>
    <t>-Lqpod9euS2-DVpzolz1</t>
  </si>
  <si>
    <t>1570713537004</t>
  </si>
  <si>
    <t>-Lqpoehk7U8ofoR0k8ZS</t>
  </si>
  <si>
    <t>1570713544215</t>
  </si>
  <si>
    <t>-LqpogRAbprzVoHAlMrj</t>
  </si>
  <si>
    <t>1570713551434</t>
  </si>
  <si>
    <t>-LqpoikB5DfwzNF_eIMi</t>
  </si>
  <si>
    <t>1570713558635</t>
  </si>
  <si>
    <t>-LqpokW9T_sp6-MPYQZh</t>
  </si>
  <si>
    <t>1570713567914</t>
  </si>
  <si>
    <t>-LqpomCtT8YFioL3v61S</t>
  </si>
  <si>
    <t>1570713575106</t>
  </si>
  <si>
    <t>-LqpooFfk9cKSafVxnBk</t>
  </si>
  <si>
    <t>1570713582360</t>
  </si>
  <si>
    <t>-Lqpoq0ee4zPhshjrkEB</t>
  </si>
  <si>
    <t>1570713590575</t>
  </si>
  <si>
    <t>-LqporztbOtgVOEjnxns</t>
  </si>
  <si>
    <t>1570713598797</t>
  </si>
  <si>
    <t>-LqpotnfB8AnOKK87YMJ</t>
  </si>
  <si>
    <t>1570713604975</t>
  </si>
  <si>
    <t>-LqpovVwsGDrjuFLt_XN</t>
  </si>
  <si>
    <t>1570713613258</t>
  </si>
  <si>
    <t>-Lqpox44aRDTE1cRziT8</t>
  </si>
  <si>
    <t>1570713619437</t>
  </si>
  <si>
    <t>-LqpoymtX6BqeJSwb7ZV</t>
  </si>
  <si>
    <t>1570713626634</t>
  </si>
  <si>
    <t>-Lqpp-fIImq9AAOrS3-k</t>
  </si>
  <si>
    <t>1570713632824</t>
  </si>
  <si>
    <t>-Lqpp1Hl-YqA6XUY-n8b</t>
  </si>
  <si>
    <t>1570713641083</t>
  </si>
  <si>
    <t>-Lqpp2qbbHri2R9WjciQ</t>
  </si>
  <si>
    <t>1570713647251</t>
  </si>
  <si>
    <t>-Lqpp4LgSwsz20y9ikEu</t>
  </si>
  <si>
    <t>1570713653431</t>
  </si>
  <si>
    <t>-Lqpp5nWUqzrS6pGzvcc</t>
  </si>
  <si>
    <t>1570713659581</t>
  </si>
  <si>
    <t>-Lqpp7NmDY4yDB6vpufo</t>
  </si>
  <si>
    <t>1570713665780</t>
  </si>
  <si>
    <t>-Lqpp94W7u2H4fFlW6ba</t>
  </si>
  <si>
    <t>1570713673021</t>
  </si>
  <si>
    <t>-LqppB90eNVuBeT0mm9d</t>
  </si>
  <si>
    <t>1570713680221</t>
  </si>
  <si>
    <t>-LqppCqcTp83cxho9TP8</t>
  </si>
  <si>
    <t>1570713688473</t>
  </si>
  <si>
    <t>-LqppF-DNJo2J-qezlb-</t>
  </si>
  <si>
    <t>1570713695683</t>
  </si>
  <si>
    <t>-LqppGflhidoMao5ZaLe</t>
  </si>
  <si>
    <t>1570713703923</t>
  </si>
  <si>
    <t>-LqppIPillhFOXrA34BY</t>
  </si>
  <si>
    <t>1570713711112</t>
  </si>
  <si>
    <t>-LqppJxmsmE6uTyKt2jj</t>
  </si>
  <si>
    <t>1570713717329</t>
  </si>
  <si>
    <t>-LqppLgkG-n8LPvV4Bl8</t>
  </si>
  <si>
    <t>1570713724549</t>
  </si>
  <si>
    <t>-LqppNEx6TZfvinmlhu-</t>
  </si>
  <si>
    <t>1570713730731</t>
  </si>
  <si>
    <t>-LqppOzAVOaEKbpg7o57</t>
  </si>
  <si>
    <t>1570713737934</t>
  </si>
  <si>
    <t>-LqppQlsE81YqA1pzjkh</t>
  </si>
  <si>
    <t>1570713745141</t>
  </si>
  <si>
    <t>-LqppStGpxfbBN7ZIukS</t>
  </si>
  <si>
    <t>1570713753762</t>
  </si>
  <si>
    <t>-LqppUWy7sewQeKruIMP</t>
  </si>
  <si>
    <t>1570713760571</t>
  </si>
  <si>
    <t>-LqppWEs2ZtD9uUpRo5B</t>
  </si>
  <si>
    <t>1570713767814</t>
  </si>
  <si>
    <t>-LqppXmlHPqPloUq8T3D</t>
  </si>
  <si>
    <t>1570713774001</t>
  </si>
  <si>
    <t>-LqppZUVY4WfQp71_sP1</t>
  </si>
  <si>
    <t>1570713781183</t>
  </si>
  <si>
    <t>-Lqppa3t9S4iSc8_tdkh</t>
  </si>
  <si>
    <t>1570713787371</t>
  </si>
  <si>
    <t>-Lqppbnvr6kU9QXtM63C</t>
  </si>
  <si>
    <t>1570713794621</t>
  </si>
  <si>
    <t>-LqppdX3VZrYJQqb_Wnp</t>
  </si>
  <si>
    <t>1570713801829</t>
  </si>
  <si>
    <t>-Lqppf5-GLaKLvVmPtJS</t>
  </si>
  <si>
    <t>1570713808005</t>
  </si>
  <si>
    <t>-LqppgrmGzy50Z9Mp2SN</t>
  </si>
  <si>
    <t>1570713815231</t>
  </si>
  <si>
    <t>-Lqppic5FgAeXSHn4i6i</t>
  </si>
  <si>
    <t>1570713822431</t>
  </si>
  <si>
    <t>-Lqppk3l45emOP7PDrbz</t>
  </si>
  <si>
    <t>1570713828572</t>
  </si>
  <si>
    <t>-Lqpplsr2oXglkR1uiMW</t>
  </si>
  <si>
    <t>1570713835831</t>
  </si>
  <si>
    <t>-LqppnfsMI3-LuNrRkUM</t>
  </si>
  <si>
    <t>1570713843050</t>
  </si>
  <si>
    <t>-LqpppNlD8q0fSqjLB7D</t>
  </si>
  <si>
    <t>1570713850259</t>
  </si>
  <si>
    <t>-Lqpps7s76uUY17XXAXu</t>
  </si>
  <si>
    <t>1570713861621</t>
  </si>
  <si>
    <t>-Lqppth-jTJlizFQvyzS</t>
  </si>
  <si>
    <t>1570713867773</t>
  </si>
  <si>
    <t>-Lqppvj-zlKSVNnwizBJ</t>
  </si>
  <si>
    <t>1570713876138</t>
  </si>
  <si>
    <t>-LqppxgW3d6if0AlfbrU</t>
  </si>
  <si>
    <t>1570713883223</t>
  </si>
  <si>
    <t>-Lqppz8fAsGg8BPEljLt</t>
  </si>
  <si>
    <t>1570713890382</t>
  </si>
  <si>
    <t>-Lqpq-f7ogl2NSM-34pF</t>
  </si>
  <si>
    <t>1570713896621</t>
  </si>
  <si>
    <t>-Lqpq1AeQvw9KBHqiC4b</t>
  </si>
  <si>
    <t>1570713902782</t>
  </si>
  <si>
    <t>-Lqpq3-t8Kk2dEfcguGl</t>
  </si>
  <si>
    <t>1570713908982</t>
  </si>
  <si>
    <t>-Lqpq535GJQFU37_dAdF</t>
  </si>
  <si>
    <t>1570713917244</t>
  </si>
  <si>
    <t>-Lqpq6jmwRjJ3PbUDJ7j</t>
  </si>
  <si>
    <t>1570713925482</t>
  </si>
  <si>
    <t>-Lqpq8XuhMiAa7beOfJ9</t>
  </si>
  <si>
    <t>1570713932693</t>
  </si>
  <si>
    <t>-LqpqAGs01X6UkZgD45G</t>
  </si>
  <si>
    <t>1570713939903</t>
  </si>
  <si>
    <t>-LqpqC4-MoUqX99qqOlw</t>
  </si>
  <si>
    <t>1570713947112</t>
  </si>
  <si>
    <t>-LqpqDmrbaHLm74SQM-T</t>
  </si>
  <si>
    <t>1570713954303</t>
  </si>
  <si>
    <t>-LqpqFUBC8Vzkk_13nWH</t>
  </si>
  <si>
    <t>1570713960492</t>
  </si>
  <si>
    <t>-LqpqH8rhVdXQmamE0W_</t>
  </si>
  <si>
    <t>1570713967750</t>
  </si>
  <si>
    <t>-LqpqIqnBYywQFQLTN3l</t>
  </si>
  <si>
    <t>1570713974933</t>
  </si>
  <si>
    <t>-LqpqK_lXi07oBN_6r1j</t>
  </si>
  <si>
    <t>1570713982142</t>
  </si>
  <si>
    <t>-LqpqMMm12AQUAwc28ja</t>
  </si>
  <si>
    <t>1570713989332</t>
  </si>
  <si>
    <t>-LqpqO3VD4BRBCXPEZsD</t>
  </si>
  <si>
    <t>1570713996550</t>
  </si>
  <si>
    <t>-LqpqPerV6L-RWb1nhqY</t>
  </si>
  <si>
    <t>1570714002732</t>
  </si>
  <si>
    <t>-LqpqS00rfFUC2zJ08rG</t>
  </si>
  <si>
    <t>1570714010983</t>
  </si>
  <si>
    <t>-LqpqTdsHJT707ll0OHD</t>
  </si>
  <si>
    <t>1570714019263</t>
  </si>
  <si>
    <t>-LqpqVRu-_oZT3KW9Agw</t>
  </si>
  <si>
    <t>1570714026464</t>
  </si>
  <si>
    <t>-LqpqX8bVlqn-yI9CQ-N</t>
  </si>
  <si>
    <t>1570714033697</t>
  </si>
  <si>
    <t>-LqpqYwmzqVawD8eXKlo</t>
  </si>
  <si>
    <t>1570714040882</t>
  </si>
  <si>
    <t>-Lqpq_dMHwpcPrGhQ9PW</t>
  </si>
  <si>
    <t>1570714048062</t>
  </si>
  <si>
    <t>-LqpqbdVGohxqUzaJJDb</t>
  </si>
  <si>
    <t>1570714054252</t>
  </si>
  <si>
    <t>-LqpqdBtkHFCU-39jelA</t>
  </si>
  <si>
    <t>1570714062533</t>
  </si>
  <si>
    <t>-LqpqekrlHpLZaNIaB1L</t>
  </si>
  <si>
    <t>1570714068703</t>
  </si>
  <si>
    <t>-LqpqgTz-x-1R4teb9c2</t>
  </si>
  <si>
    <t>1570714075911</t>
  </si>
  <si>
    <t>-Lqpqi1tYbHTkxc58qwV</t>
  </si>
  <si>
    <t>1570714082102</t>
  </si>
  <si>
    <t>-LqpqjkuZVphh8B4YTZp</t>
  </si>
  <si>
    <t>1570714089313</t>
  </si>
  <si>
    <t>-LqpqlYr0Ryoy4ng8b9e</t>
  </si>
  <si>
    <t>1570714096523</t>
  </si>
  <si>
    <t>-LqpqnHLIcpnBp8DzaEi</t>
  </si>
  <si>
    <t>1570714103742</t>
  </si>
  <si>
    <t>-Lqpqpbt0yEIY68UDHT2</t>
  </si>
  <si>
    <t>1570714112063</t>
  </si>
  <si>
    <t>-LqpqrZqPMod9EeBJNjZ</t>
  </si>
  <si>
    <t>1570714120221</t>
  </si>
  <si>
    <t>-LqpqtHql1ynnPEZ-flW</t>
  </si>
  <si>
    <t>1570714128463</t>
  </si>
  <si>
    <t>-LqpquqqeO1_LP8690k4</t>
  </si>
  <si>
    <t>1570714134675</t>
  </si>
  <si>
    <t>-Lqpqwo1yNB0nF-6jLBM</t>
  </si>
  <si>
    <t>1570714141832</t>
  </si>
  <si>
    <t>-LqpqyN0wrfEZy3HOrUn</t>
  </si>
  <si>
    <t>1570714149071</t>
  </si>
  <si>
    <t>-Lqpr-4qPzOIcGB4hjS-</t>
  </si>
  <si>
    <t>1570714156261</t>
  </si>
  <si>
    <t>-Lqpr0dhNxdGyyxDpJwk</t>
  </si>
  <si>
    <t>1570714162471</t>
  </si>
  <si>
    <t>-Lqpr2aq6Vu4KHqoog4B</t>
  </si>
  <si>
    <t>1570714170537</t>
  </si>
  <si>
    <t>-Lqpr48kUOVsndfG-9Gg</t>
  </si>
  <si>
    <t>1570714176891</t>
  </si>
  <si>
    <t>-Lqpr5rckAbOywNr4ZRK</t>
  </si>
  <si>
    <t>1570714184080</t>
  </si>
  <si>
    <t>-Lqpr7fvnUPTIgz931rv</t>
  </si>
  <si>
    <t>1570714191311</t>
  </si>
  <si>
    <t>-Lqpr9fTrLZA5jrkb7-V</t>
  </si>
  <si>
    <t>1570714199706</t>
  </si>
  <si>
    <t>-LqprBQqD9mvmopTgH3t</t>
  </si>
  <si>
    <t>1570714206782</t>
  </si>
  <si>
    <t>-LqprDDyf-rbJC3-GDSV</t>
  </si>
  <si>
    <t>1570714213972</t>
  </si>
  <si>
    <t>-LqprEx2CRU8NCaEkGqS</t>
  </si>
  <si>
    <t>1570714221362</t>
  </si>
  <si>
    <t>-LqprGkJRq_G0Fy9VcrX</t>
  </si>
  <si>
    <t>1570714228384</t>
  </si>
  <si>
    <t>-LqprIQulcBKjJ6Twhzw</t>
  </si>
  <si>
    <t>1570714235582</t>
  </si>
  <si>
    <t>-LqprJx0QPgZO8t2uggZ</t>
  </si>
  <si>
    <t>1570714241771</t>
  </si>
  <si>
    <t>-LqprLVrmX3m840oJo0z</t>
  </si>
  <si>
    <t>1570714247982</t>
  </si>
  <si>
    <t>-LqprNDslbzVY4NaaEtc</t>
  </si>
  <si>
    <t>1570714255192</t>
  </si>
  <si>
    <t>-LqprOmqZLd-Dw5ZmMNJ</t>
  </si>
  <si>
    <t>1570714261372</t>
  </si>
  <si>
    <t>-LqprQW1U8nEWwoh7zqb</t>
  </si>
  <si>
    <t>1570714268602</t>
  </si>
  <si>
    <t>-LqprRzis1ht9j_GcCV4</t>
  </si>
  <si>
    <t>1570714274742</t>
  </si>
  <si>
    <t>-LqprTmseBFXByRGC8QI</t>
  </si>
  <si>
    <t>1570714281819</t>
  </si>
  <si>
    <t>-LqprV_rJMJJbDfUdMoT</t>
  </si>
  <si>
    <t>1570714289209</t>
  </si>
  <si>
    <t>-LqprXIt4qSbDd9dAKmL</t>
  </si>
  <si>
    <t>1570714296390</t>
  </si>
  <si>
    <t>-LqprYrrFE_vaCy-v68-</t>
  </si>
  <si>
    <t>1570714302572</t>
  </si>
  <si>
    <t>-Lqpr__qOCWYz6vdyHQb</t>
  </si>
  <si>
    <t>1570714309822</t>
  </si>
  <si>
    <t>-LqprbNsx9-UTloY0vrX</t>
  </si>
  <si>
    <t>1570714317023</t>
  </si>
  <si>
    <t>-Lqprd75PHPwb8IMbJnc</t>
  </si>
  <si>
    <t>1570714324222</t>
  </si>
  <si>
    <t>-LqpresbX0N-pzgZT3dj</t>
  </si>
  <si>
    <t>1570714331445</t>
  </si>
  <si>
    <t>-Lqprgs8cHwSi_4Faf7E</t>
  </si>
  <si>
    <t>1570714338641</t>
  </si>
  <si>
    <t>-Lqpriiu_hFNvPs4mf-A</t>
  </si>
  <si>
    <t>1570714345873</t>
  </si>
  <si>
    <t>-LqprkTHcWalY6pexSm9</t>
  </si>
  <si>
    <t>1570714354123</t>
  </si>
  <si>
    <t>-Lqprm9sNBhRG4gCmpLl</t>
  </si>
  <si>
    <t>1570714361345</t>
  </si>
  <si>
    <t>-LqprnzFgcxyq0XhRFP4</t>
  </si>
  <si>
    <t>1570714368553</t>
  </si>
  <si>
    <t>-Lqprpfje43usF0zsVQL</t>
  </si>
  <si>
    <t>1570714375753</t>
  </si>
  <si>
    <t>-LqprrTtht2ZhKcvCwz1</t>
  </si>
  <si>
    <t>1570714382974</t>
  </si>
  <si>
    <t>-LqprtBsxDVOiiYTjZlZ</t>
  </si>
  <si>
    <t>1570714390164</t>
  </si>
  <si>
    <t>-Lqprv-2ASUm1DiwLEgi</t>
  </si>
  <si>
    <t>1570714397470</t>
  </si>
  <si>
    <t>-Lqprwi1nm-EdWLRU8wN</t>
  </si>
  <si>
    <t>1570714404592</t>
  </si>
  <si>
    <t>-LqpryGu5ZL3Un9178N7</t>
  </si>
  <si>
    <t>1570714410794</t>
  </si>
  <si>
    <t>-LqprzzsHSdYBadrX-m2</t>
  </si>
  <si>
    <t>1570714417984</t>
  </si>
  <si>
    <t>-Lqps0Yt3GGyrZt0Dd5R</t>
  </si>
  <si>
    <t>1570714424181</t>
  </si>
  <si>
    <t>-Lqps2GtOp-rNKpzTdQ2</t>
  </si>
  <si>
    <t>1570714431403</t>
  </si>
  <si>
    <t>-Lqps43s40GPoejLbHO_</t>
  </si>
  <si>
    <t>1570714438621</t>
  </si>
  <si>
    <t>-Lqps5msdIoiI8jvpGyt</t>
  </si>
  <si>
    <t>1570714445834</t>
  </si>
  <si>
    <t>-Lqps7aBa9WIpAH3PQs9</t>
  </si>
  <si>
    <t>1570714453052</t>
  </si>
  <si>
    <t>-Lqps9iHEOd7lGiDzMO9</t>
  </si>
  <si>
    <t>1570714460235</t>
  </si>
  <si>
    <t>-LqpsBKt8cEjdLbiJJom</t>
  </si>
  <si>
    <t>1570714468497</t>
  </si>
  <si>
    <t>-LqpsD6CderFbillKnxI</t>
  </si>
  <si>
    <t>1570714475714</t>
  </si>
  <si>
    <t>-LqpsF-C_HEOiwMdxcBZ</t>
  </si>
  <si>
    <t>1570714482924</t>
  </si>
  <si>
    <t>-LqpsGZsrXd3rhZhCVky</t>
  </si>
  <si>
    <t>1570714490133</t>
  </si>
  <si>
    <t>-LqpsI8CAVoG5gme4zYA</t>
  </si>
  <si>
    <t>1570714496323</t>
  </si>
  <si>
    <t>-LqpsJw-RLMNyG6ZoWuc</t>
  </si>
  <si>
    <t>1570714503535</t>
  </si>
  <si>
    <t>-LqpsLy4qFBwV_iAhDWQ</t>
  </si>
  <si>
    <t>1570714510722</t>
  </si>
  <si>
    <t>-LqpsNfl5_yVc9UFVs2s</t>
  </si>
  <si>
    <t>1570714518994</t>
  </si>
  <si>
    <t>-LqpsP9sx77cc5lrlyh-</t>
  </si>
  <si>
    <t>1570714525194</t>
  </si>
  <si>
    <t>-LqpsQxjQesphVdIiMap</t>
  </si>
  <si>
    <t>1570714532426</t>
  </si>
  <si>
    <t>-LqpsSiDlV-04MnUeqFb</t>
  </si>
  <si>
    <t>1570714539584</t>
  </si>
  <si>
    <t>-LqpsUSpMDCzucUxhFO5</t>
  </si>
  <si>
    <t>1570714546805</t>
  </si>
  <si>
    <t>-LqpsVvOvEqn_-WMcVP9</t>
  </si>
  <si>
    <t>1570714553015</t>
  </si>
  <si>
    <t>-LqpsXkvH1GtnNW4jM92</t>
  </si>
  <si>
    <t>1570714560214</t>
  </si>
  <si>
    <t>-LqpsZi2OV6HEOS6FREP</t>
  </si>
  <si>
    <t>1570714568167</t>
  </si>
  <si>
    <t>-LqpsaGt4gCSE_4BUtMc</t>
  </si>
  <si>
    <t>1570714574633</t>
  </si>
  <si>
    <t>-LqpsbzjCtb406Jt18tZ</t>
  </si>
  <si>
    <t>1570714581823</t>
  </si>
  <si>
    <t>-LqpsiYlyd6Mf4nToyE4</t>
  </si>
  <si>
    <t>1570714608734</t>
  </si>
  <si>
    <t>-LqpskGvCFlX44oHCjkT</t>
  </si>
  <si>
    <t>1570714615636</t>
  </si>
  <si>
    <t>-LqpsmJ23i7a87zFVvCB</t>
  </si>
  <si>
    <t>1570714623975</t>
  </si>
  <si>
    <t>-Lqpso0tiSIwwY1mwGI7</t>
  </si>
  <si>
    <t>1570714631108</t>
  </si>
  <si>
    <t>-LqpspotcUxzCDkiN9kB</t>
  </si>
  <si>
    <t>1570714638308</t>
  </si>
  <si>
    <t>-LqpsrXtSgeuMutqj9h6</t>
  </si>
  <si>
    <t>1570714645514</t>
  </si>
  <si>
    <t>-LqpstLQbxAfYuucLSrz</t>
  </si>
  <si>
    <t>1570714652736</t>
  </si>
  <si>
    <t>-Lqpsv2uwl5XjUfrknnt</t>
  </si>
  <si>
    <t>1570714659916</t>
  </si>
  <si>
    <t>-Lqpswc2CU443F7dCd7o</t>
  </si>
  <si>
    <t>1570714666097</t>
  </si>
  <si>
    <t>-LqpsyKvaLeJQU4MrHPX</t>
  </si>
  <si>
    <t>1570714673354</t>
  </si>
  <si>
    <t>-Lqpt-8--tLrG5FxZZDP</t>
  </si>
  <si>
    <t>1570714680556</t>
  </si>
  <si>
    <t>-Lqpt0qwh2tIv2s-DBAA</t>
  </si>
  <si>
    <t>1570714687745</t>
  </si>
  <si>
    <t>-Lqpt2Pug-PzqjF6YQya</t>
  </si>
  <si>
    <t>1570714693936</t>
  </si>
  <si>
    <t>-Lqpt485z2V5bASA4O1T</t>
  </si>
  <si>
    <t>1570714701167</t>
  </si>
  <si>
    <t>-Lqpt5uxBWwGp2saOQ1g</t>
  </si>
  <si>
    <t>1570714708376</t>
  </si>
  <si>
    <t>-Lqpt7dusmTMbgBGaMG3</t>
  </si>
  <si>
    <t>1570714715587</t>
  </si>
  <si>
    <t>-Lqpt9RufS-soZXfum68</t>
  </si>
  <si>
    <t>1570714722807</t>
  </si>
  <si>
    <t>-LqptB9tpWc5MP2C9qHk</t>
  </si>
  <si>
    <t>1570714730004</t>
  </si>
  <si>
    <t>-LqptCj2cdWIz9c3BLL0</t>
  </si>
  <si>
    <t>1570714736198</t>
  </si>
  <si>
    <t>-LqptERv9ZKmdneiCJVU</t>
  </si>
  <si>
    <t>1570714743433</t>
  </si>
  <si>
    <t>-LqptGGAC386IhTmELtT</t>
  </si>
  <si>
    <t>1570714750626</t>
  </si>
  <si>
    <t>-LqptHxvPcsUL81Dy3iv</t>
  </si>
  <si>
    <t>1570714757827</t>
  </si>
  <si>
    <t>-LqptJWm7_WjtM-QmHnv</t>
  </si>
  <si>
    <t>1570714764237</t>
  </si>
  <si>
    <t>-LqptLEvZKrRLnIiKt4f</t>
  </si>
  <si>
    <t>1570714771237</t>
  </si>
  <si>
    <t>-LqptN3AzbsQv4sPmb8c</t>
  </si>
  <si>
    <t>1570714778456</t>
  </si>
  <si>
    <t>-LqptOl1vZuKMd4oZ2BE</t>
  </si>
  <si>
    <t>1570714785666</t>
  </si>
  <si>
    <t>-LqptQVAivRyoFRHUDd3</t>
  </si>
  <si>
    <t>1570714792875</t>
  </si>
  <si>
    <t>-LqptS22a7eiT7W-Tj4s</t>
  </si>
  <si>
    <t>1570714799055</t>
  </si>
  <si>
    <t>-LqptTpt1ueELGlL_eYg</t>
  </si>
  <si>
    <t>1570714806275</t>
  </si>
  <si>
    <t>-LqptVYuy9VzhckF3II-</t>
  </si>
  <si>
    <t>1570714813514</t>
  </si>
  <si>
    <t>-LqptXPu0JV_BEOWbkXb</t>
  </si>
  <si>
    <t>1570714820698</t>
  </si>
  <si>
    <t>-LqptZ4B6IaKjRPvNUCz</t>
  </si>
  <si>
    <t>1570714827907</t>
  </si>
  <si>
    <t>-Lqpt_sBUKselP5Ffh5M</t>
  </si>
  <si>
    <t>1570714835127</t>
  </si>
  <si>
    <t>-LqptbtjLBc0ZvaGJuEK</t>
  </si>
  <si>
    <t>1570714842305</t>
  </si>
  <si>
    <t>-Lqptdc05GvIpgVoSk0I</t>
  </si>
  <si>
    <t>1570714850575</t>
  </si>
  <si>
    <t>-LqptfPrPrlFjQk7mom-</t>
  </si>
  <si>
    <t>1570714857795</t>
  </si>
  <si>
    <t>-Lqpth8S1n26mmgoKs_p</t>
  </si>
  <si>
    <t>1570714865025</t>
  </si>
  <si>
    <t>-LqptixQ35lYbEMSCawt</t>
  </si>
  <si>
    <t>1570714872214</t>
  </si>
  <si>
    <t>-Lqptkf6XK34myceXMM3</t>
  </si>
  <si>
    <t>1570714879425</t>
  </si>
  <si>
    <t>-LqptmDHZPXil18QoXJo</t>
  </si>
  <si>
    <t>1570714885621</t>
  </si>
  <si>
    <t>-Lqptnvrs32Ld6LqQ2u3</t>
  </si>
  <si>
    <t>1570714892823</t>
  </si>
  <si>
    <t>-LqptpUsZIp3DPNQDUCd</t>
  </si>
  <si>
    <t>1570714899043</t>
  </si>
  <si>
    <t>-LqptrCk-nbJH0ys3xGt</t>
  </si>
  <si>
    <t>1570714906232</t>
  </si>
  <si>
    <t>-LqptsgsR0bVnWnrngsH</t>
  </si>
  <si>
    <t>1570714912384</t>
  </si>
  <si>
    <t>-LqptuEnArL6x6Ae2El3</t>
  </si>
  <si>
    <t>1570714918575</t>
  </si>
  <si>
    <t>-LqptvytsFU9OJRM5fbx</t>
  </si>
  <si>
    <t>1570714925804</t>
  </si>
  <si>
    <t>-LqptxlrIXEfbaf7UVEy</t>
  </si>
  <si>
    <t>1570714933014</t>
  </si>
  <si>
    <t>-LqptzUrdwIg-6evLVuy</t>
  </si>
  <si>
    <t>1570714940225</t>
  </si>
  <si>
    <t>-Lqpu02rLe5Ko-Xj2gKZ</t>
  </si>
  <si>
    <t>1570714946422</t>
  </si>
  <si>
    <t>-Lqpu1luTbtrOTHH-Idr</t>
  </si>
  <si>
    <t>1570714953624</t>
  </si>
  <si>
    <t>-Lqpu3YmBUk0w_eScFn7</t>
  </si>
  <si>
    <t>1570714960833</t>
  </si>
  <si>
    <t>-Lqpu5HrgsIzwuZmBbmW</t>
  </si>
  <si>
    <t>1570714968056</t>
  </si>
  <si>
    <t>-Lqpu6qrT2y91nWQGv78</t>
  </si>
  <si>
    <t>1570714974243</t>
  </si>
  <si>
    <t>-Lqpu8ZkVeFckDZO81Lu</t>
  </si>
  <si>
    <t>1570714981444</t>
  </si>
  <si>
    <t>-LqpuA2sClgccVoTYPwU</t>
  </si>
  <si>
    <t>1570714987653</t>
  </si>
  <si>
    <t>-LqpuBbrFNYdFhUgxlQJ</t>
  </si>
  <si>
    <t>1570714993813</t>
  </si>
  <si>
    <t>-LqpuDKlTgx5kHqRELEm</t>
  </si>
  <si>
    <t>1570715001024</t>
  </si>
  <si>
    <t>-LqpuEtuAsGLd8s284PA</t>
  </si>
  <si>
    <t>1570715007203</t>
  </si>
  <si>
    <t>-LqpuGr0nanzvFYynLSg</t>
  </si>
  <si>
    <t>1570715015436</t>
  </si>
  <si>
    <t>-LqpuInsCar-wmMrg1Fc</t>
  </si>
  <si>
    <t>1570715021615</t>
  </si>
  <si>
    <t>-LqpuKMlI2hKzI3gOIGp</t>
  </si>
  <si>
    <t>1570715029884</t>
  </si>
  <si>
    <t>-LqpuLw1nh4qWKnj-WtA</t>
  </si>
  <si>
    <t>1570715036055</t>
  </si>
  <si>
    <t>-LqpuNo2jfT6OrOJlpdI</t>
  </si>
  <si>
    <t>1570715043265</t>
  </si>
  <si>
    <t>-LqpuPQds5l6D8JnF4dB</t>
  </si>
  <si>
    <t>1570715050484</t>
  </si>
  <si>
    <t>-LqpuQvsv7XJiNipBoDU</t>
  </si>
  <si>
    <t>1570715056663</t>
  </si>
  <si>
    <t>-LqpuSis7lRrttTJt9OC</t>
  </si>
  <si>
    <t>1570715063884</t>
  </si>
  <si>
    <t>-LqpuUmejIYU6OzZfw96</t>
  </si>
  <si>
    <t>1570715071105</t>
  </si>
  <si>
    <t>-LqpuWUAFr5WvYus8vaS</t>
  </si>
  <si>
    <t>1570715079395</t>
  </si>
  <si>
    <t>-LqpuYHFKCnpw1BHZgaB</t>
  </si>
  <si>
    <t>1570715086566</t>
  </si>
  <si>
    <t>-Lqpu_-EzqlwGq-XB8rw</t>
  </si>
  <si>
    <t>1570715093781</t>
  </si>
  <si>
    <t>-LqpuanG-8CY8Ba-P31N</t>
  </si>
  <si>
    <t>1570715101007</t>
  </si>
  <si>
    <t>-LqpucWPFFRRDQpp9xh8</t>
  </si>
  <si>
    <t>1570715108224</t>
  </si>
  <si>
    <t>-LqpueJE2x91Inq8_8Za</t>
  </si>
  <si>
    <t>1570715115430</t>
  </si>
  <si>
    <t>-Lqpug1Jf-gIkSfb18mU</t>
  </si>
  <si>
    <t>1570715122652</t>
  </si>
  <si>
    <t>-LqpuhpIunYYD8I9lbtQ</t>
  </si>
  <si>
    <t>1570715129880</t>
  </si>
  <si>
    <t>-LqpujYHPIzfCtp4sFxl</t>
  </si>
  <si>
    <t>1570715137060</t>
  </si>
  <si>
    <t>-Lqpul6Bs_BgXUg1bc1w</t>
  </si>
  <si>
    <t>1570715143237</t>
  </si>
  <si>
    <t>-LqpumpGyNJMRtTA5vxJ</t>
  </si>
  <si>
    <t>1570715150463</t>
  </si>
  <si>
    <t>-LqpuocEhhDJo9RP_Oju</t>
  </si>
  <si>
    <t>1570715157687</t>
  </si>
  <si>
    <t>-LqpuqL2HescrET6qBgq</t>
  </si>
  <si>
    <t>1570715164885</t>
  </si>
  <si>
    <t>-Lqpus87ZyNbFL2ReL6S</t>
  </si>
  <si>
    <t>1570715172094</t>
  </si>
  <si>
    <t>-LqputrEFCCz-3FRRjbU</t>
  </si>
  <si>
    <t>1570715179282</t>
  </si>
  <si>
    <t>-LqpuvOwww5Nq6Qxp-nz</t>
  </si>
  <si>
    <t>1570715185474</t>
  </si>
  <si>
    <t>-Lqpux87CGeGA-Swl_Z5</t>
  </si>
  <si>
    <t>1570715192722</t>
  </si>
  <si>
    <t>-Lqpuyw3rPmxXqYj7n7U</t>
  </si>
  <si>
    <t>1570715199926</t>
  </si>
  <si>
    <t>-Lqpv-e8-6Np8YhmFaoP</t>
  </si>
  <si>
    <t>1570715207107</t>
  </si>
  <si>
    <t>-Lqpv1DLyZd1P7y2t_73</t>
  </si>
  <si>
    <t>1570715213311</t>
  </si>
  <si>
    <t>-Lqpv2wDUfWs8Xn5gj91</t>
  </si>
  <si>
    <t>1570715220534</t>
  </si>
  <si>
    <t>-Lqpv4jImzuBOfDw7uzq</t>
  </si>
  <si>
    <t>1570715227735</t>
  </si>
  <si>
    <t>-Lqpv6SF_HFoGUWYHhPQ</t>
  </si>
  <si>
    <t>1570715234972</t>
  </si>
  <si>
    <t>-Lqpv8KCijK0cfv4X8XO</t>
  </si>
  <si>
    <t>1570715242171</t>
  </si>
  <si>
    <t>-Lqpv9yOd_sLZqtpmzXg</t>
  </si>
  <si>
    <t>1570715249363</t>
  </si>
  <si>
    <t>-LqpvBXH6APMWvvglap-</t>
  </si>
  <si>
    <t>1570715255578</t>
  </si>
  <si>
    <t>-LqpvDFGI9aupsExpd11</t>
  </si>
  <si>
    <t>1570715262804</t>
  </si>
  <si>
    <t>-LqpvF23-guho-iqa77s</t>
  </si>
  <si>
    <t>1570715270000</t>
  </si>
  <si>
    <t>-LqpvGlERmQNqR5hVSct</t>
  </si>
  <si>
    <t>1570715277208</t>
  </si>
  <si>
    <t>-LqpvIZFT8pNWWkGYMKd</t>
  </si>
  <si>
    <t>1570715284427</t>
  </si>
  <si>
    <t>-LqpvKHJMPKqd3dejNMZ</t>
  </si>
  <si>
    <t>1570715291599</t>
  </si>
  <si>
    <t>-LqpvLq8WS25QjUqRruM</t>
  </si>
  <si>
    <t>1570715297809</t>
  </si>
  <si>
    <t>-LqpvNZJKe2zqNQ84ive</t>
  </si>
  <si>
    <t>1570715305061</t>
  </si>
  <si>
    <t>-LqpvPdmT5md0kvufujG</t>
  </si>
  <si>
    <t>1570715313632</t>
  </si>
  <si>
    <t>-LqpvRJ2FnxwvUz94zT-</t>
  </si>
  <si>
    <t>1570715320475</t>
  </si>
  <si>
    <t>-LqpvTCyZpprpXBaSVND</t>
  </si>
  <si>
    <t>1570715326657</t>
  </si>
  <si>
    <t>-LqpvUttiKikQAHvcNzA</t>
  </si>
  <si>
    <t>1570715334896</t>
  </si>
  <si>
    <t>-LqpvWbsFsYLp8zGySqZ</t>
  </si>
  <si>
    <t>1570715342116</t>
  </si>
  <si>
    <t>-LqpvYQ35P3HCPttCgMF</t>
  </si>
  <si>
    <t>1570715349333</t>
  </si>
  <si>
    <t>-Lqpv_6VuNPrKq1vUxyZ</t>
  </si>
  <si>
    <t>1570715356554</t>
  </si>
  <si>
    <t>-Lqpvabsypx3R0Ac16w0</t>
  </si>
  <si>
    <t>1570715362715</t>
  </si>
  <si>
    <t>-LqpvcAbDal5EVQxNE0l</t>
  </si>
  <si>
    <t>1570715368907</t>
  </si>
  <si>
    <t>-Lqpvdg89b-5anNKOcTY</t>
  </si>
  <si>
    <t>1570715375057</t>
  </si>
  <si>
    <t>-LqpvfSuGrQovWKUJieG</t>
  </si>
  <si>
    <t>1570715382295</t>
  </si>
  <si>
    <t>-LqpvhAtsNXOKAkc4LVq</t>
  </si>
  <si>
    <t>1570715389505</t>
  </si>
  <si>
    <t>-LqpviyuL6DeI6h3XZXU</t>
  </si>
  <si>
    <t>1570715396725</t>
  </si>
  <si>
    <t>-Lqpvkgw8LCru6gTUdBp</t>
  </si>
  <si>
    <t>1570715403907</t>
  </si>
  <si>
    <t>-LqpvmG1sYDC3MDiM6wv</t>
  </si>
  <si>
    <t>1570715410124</t>
  </si>
  <si>
    <t>-LqpvoAV-zN-feGtjMDt</t>
  </si>
  <si>
    <t>1570715417354</t>
  </si>
  <si>
    <t>-Lqpvq-x-Msb9-IYL44a</t>
  </si>
  <si>
    <t>1570715425583</t>
  </si>
  <si>
    <t>-LqpvrhnjCf1jPppNU2H</t>
  </si>
  <si>
    <t>1570715432791</t>
  </si>
  <si>
    <t>-LqpvtIO97FyvOEraw3a</t>
  </si>
  <si>
    <t>1570715438976</t>
  </si>
  <si>
    <t>-LqpvvTvABitWZsBT-Mj</t>
  </si>
  <si>
    <t>1570715446157</t>
  </si>
  <si>
    <t>-Lqpvx1vt0_7zI-PcEy4</t>
  </si>
  <si>
    <t>1570715454425</t>
  </si>
  <si>
    <t>-Lqpvz3wgbpbWhPH8Ad8</t>
  </si>
  <si>
    <t>1570715461637</t>
  </si>
  <si>
    <t>-Lqpw-mwhbhSmb4EolmL</t>
  </si>
  <si>
    <t>1570715469895</t>
  </si>
  <si>
    <t>-Lqpw1Lt35F8lg5b97B5</t>
  </si>
  <si>
    <t>1570715476065</t>
  </si>
  <si>
    <t>-Lqpw33mih7BAjahK4mA</t>
  </si>
  <si>
    <t>1570715483274</t>
  </si>
  <si>
    <t>-Lqpw4d3991P2Qx1pxTh</t>
  </si>
  <si>
    <t>1570715489470</t>
  </si>
  <si>
    <t>-Lqpw6M3ldzCdgSaZCFg</t>
  </si>
  <si>
    <t>1570715496682</t>
  </si>
  <si>
    <t>-Lqpw8ItaGvJNQMYHa00</t>
  </si>
  <si>
    <t>1570715504573</t>
  </si>
  <si>
    <t>-Lqpw9rx1WesAZMZih3j</t>
  </si>
  <si>
    <t>1570715511111</t>
  </si>
  <si>
    <t>-LqpwBenuQakCAsEm08S</t>
  </si>
  <si>
    <t>1570715518354</t>
  </si>
  <si>
    <t>-LqpwDNu0DlhXi9asann</t>
  </si>
  <si>
    <t>1570715525505</t>
  </si>
  <si>
    <t>-LqpwEwlcIVxr0YluJwd</t>
  </si>
  <si>
    <t>1570715531695</t>
  </si>
  <si>
    <t>-LqpwGdoxWmNrQ7lt4uf</t>
  </si>
  <si>
    <t>1570715538915</t>
  </si>
  <si>
    <t>-LqpwIqmHFPvOHdUIQxA</t>
  </si>
  <si>
    <t>1570715546499</t>
  </si>
  <si>
    <t>-LqpwKPtZElYAli07ZPb</t>
  </si>
  <si>
    <t>1570715554377</t>
  </si>
  <si>
    <t>-LqpwLywaCjbCKmwu8z-</t>
  </si>
  <si>
    <t>1570715560565</t>
  </si>
  <si>
    <t>-LqpwO1uI1-dnG9KdTio</t>
  </si>
  <si>
    <t>1570715567753</t>
  </si>
  <si>
    <t>-LqpwPimhOCvJv5QVWmx</t>
  </si>
  <si>
    <t>1570715576040</t>
  </si>
  <si>
    <t>-LqpwRBNcIykosTGYoNp</t>
  </si>
  <si>
    <t>1570715582186</t>
  </si>
  <si>
    <t>-LqpwSnA-D-ZeYVAvs2-</t>
  </si>
  <si>
    <t>1570715588386</t>
  </si>
  <si>
    <t>-LqpwUSQtsplXe4s20ww</t>
  </si>
  <si>
    <t>1570715595586</t>
  </si>
  <si>
    <t>-LqpwW2uBhnNz0mc1nxm</t>
  </si>
  <si>
    <t>1570715601775</t>
  </si>
  <si>
    <t>-LqpwXlm7RGjJgL4_XSO</t>
  </si>
  <si>
    <t>1570715608995</t>
  </si>
  <si>
    <t>-LqpwZEpzaQ2sldMvOlq</t>
  </si>
  <si>
    <t>1570715615184</t>
  </si>
  <si>
    <t>-Lqpw_zajdb5248eTr9s</t>
  </si>
  <si>
    <t>1570715621364</t>
  </si>
  <si>
    <t>-LqpwbYAbbBvXI1tXxKB</t>
  </si>
  <si>
    <t>1570715628554</t>
  </si>
  <si>
    <t>-LqpwdAkfsBwAHbN3NhM</t>
  </si>
  <si>
    <t>1570715634735</t>
  </si>
  <si>
    <t>-LqpwepEAq1deH3EJT5G</t>
  </si>
  <si>
    <t>1570715641993</t>
  </si>
  <si>
    <t>-Lqpwgc19CEONETJLwyV</t>
  </si>
  <si>
    <t>1570715649191</t>
  </si>
  <si>
    <t>-LqpwiKmgHcGhHUgIykm</t>
  </si>
  <si>
    <t>1570715656385</t>
  </si>
  <si>
    <t>-LqpwjtkIzn0U2dz0Vlk</t>
  </si>
  <si>
    <t>1570715662583</t>
  </si>
  <si>
    <t>-Lqpwlbt1A5XAH1STECm</t>
  </si>
  <si>
    <t>1570715669795</t>
  </si>
  <si>
    <t>-LqpwnQBcr9esngGg2a9</t>
  </si>
  <si>
    <t>1570715677007</t>
  </si>
  <si>
    <t>-Lqpwp7sGZfUtsR_KmyV</t>
  </si>
  <si>
    <t>1570715684225</t>
  </si>
  <si>
    <t>-Lqpwqvt6AQdUxTBDcMQ</t>
  </si>
  <si>
    <t>1570715691436</t>
  </si>
  <si>
    <t>-Lqpwsbtirz-de6Kf83w</t>
  </si>
  <si>
    <t>1570715698627</t>
  </si>
  <si>
    <t>-LqpwuCvWfLUnzZIwazh</t>
  </si>
  <si>
    <t>1570715704831</t>
  </si>
  <si>
    <t>-LqpwvvtBe5b7AJEheH_</t>
  </si>
  <si>
    <t>1570715712045</t>
  </si>
  <si>
    <t>-LqpwxiuRPWAsPrnv8iG</t>
  </si>
  <si>
    <t>1570715719256</t>
  </si>
  <si>
    <t>-LqpwzRt0BOX33mjEyhb</t>
  </si>
  <si>
    <t>1570715726474</t>
  </si>
  <si>
    <t>-Lqpx0EuYVDUnTfSfBk_</t>
  </si>
  <si>
    <t>1570715733685</t>
  </si>
  <si>
    <t>-Lqpx1xtIiCeQ80UnGfT</t>
  </si>
  <si>
    <t>1570715740865</t>
  </si>
  <si>
    <t>-Lqpx3m9687cfvgzSwgk</t>
  </si>
  <si>
    <t>1570715747056</t>
  </si>
  <si>
    <t>-Lqpx5Tt6EqPIIcDxBTk</t>
  </si>
  <si>
    <t>1570715755337</t>
  </si>
  <si>
    <t>-Lqpx721y6_HiY5ztqP-</t>
  </si>
  <si>
    <t>1570715761507</t>
  </si>
  <si>
    <t>-Lqpx8ksRPSwM78UFM8Y</t>
  </si>
  <si>
    <t>1570715768713</t>
  </si>
  <si>
    <t>-LqpxAe_APoF0cdC0qDk</t>
  </si>
  <si>
    <t>1570715774903</t>
  </si>
  <si>
    <t>-LqpxCfBtyLJpZWheHD9</t>
  </si>
  <si>
    <t>1570715783154</t>
  </si>
  <si>
    <t>-LqpxEIj4tGU7AEFUtU9</t>
  </si>
  <si>
    <t>1570715791384</t>
  </si>
  <si>
    <t>-LqpxFmkfzyZmWeotJOH</t>
  </si>
  <si>
    <t>1570715797574</t>
  </si>
  <si>
    <t>-LqpxHH7ZoZV1YqBAS8S</t>
  </si>
  <si>
    <t>1570715803754</t>
  </si>
  <si>
    <t>-LqpxIq08DScte5BwLkF</t>
  </si>
  <si>
    <t>1570715809934</t>
  </si>
  <si>
    <t>-LqpxKJl4oRR4DFk0iIw</t>
  </si>
  <si>
    <t>1570715816065</t>
  </si>
  <si>
    <t>-LqpxLsmX13TlOG6hdGl</t>
  </si>
  <si>
    <t>1570715822295</t>
  </si>
  <si>
    <t>-LqpxNaktMZk1zQ762xl</t>
  </si>
  <si>
    <t>1570715829513</t>
  </si>
  <si>
    <t>-LqpxP9jZ0spwnCaePur</t>
  </si>
  <si>
    <t>1570715835695</t>
  </si>
  <si>
    <t>-LqpxQsln-l2XU_akqCW</t>
  </si>
  <si>
    <t>1570715842904</t>
  </si>
  <si>
    <t>-LqpxSMkg7MgHs4deMDv</t>
  </si>
  <si>
    <t>1570715849095</t>
  </si>
  <si>
    <t>-LqpxTx9VhMGFh_otzH7</t>
  </si>
  <si>
    <t>1570715855315</t>
  </si>
  <si>
    <t>-LqpxVdkLGGsgjiS1f-p</t>
  </si>
  <si>
    <t>1570715862465</t>
  </si>
  <si>
    <t>-LqpxXCtvPN6KRYSy6Mc</t>
  </si>
  <si>
    <t>1570715868665</t>
  </si>
  <si>
    <t>-LqpxYwOnEfz6LqScfpM</t>
  </si>
  <si>
    <t>1570715875883</t>
  </si>
  <si>
    <t>-Lqpx_PjlxxEX2oGox3d</t>
  </si>
  <si>
    <t>1570715882072</t>
  </si>
  <si>
    <t>-LqpxazWq226UjEuPKh8</t>
  </si>
  <si>
    <t>1570715888244</t>
  </si>
  <si>
    <t>-LqpxcfcsXmux1Lakrqm</t>
  </si>
  <si>
    <t>1570715895433</t>
  </si>
  <si>
    <t>-LqpxeFtT2_iPJ6H80mY</t>
  </si>
  <si>
    <t>1570715901639</t>
  </si>
  <si>
    <t>-Lqpxfyl0iLhjNVWpYYw</t>
  </si>
  <si>
    <t>1570715908865</t>
  </si>
  <si>
    <t>-LqpxhSjwzLuSgWwtyMx</t>
  </si>
  <si>
    <t>1570715915033</t>
  </si>
  <si>
    <t>-Lqpxj0jEC8NOHt5JgOe</t>
  </si>
  <si>
    <t>1570715921223</t>
  </si>
  <si>
    <t>-LqpxkVk5nsMZT4Ze4jG</t>
  </si>
  <si>
    <t>1570715927384</t>
  </si>
  <si>
    <t>-LqpxlztvsGwLLyNxoKh</t>
  </si>
  <si>
    <t>1570715933583</t>
  </si>
  <si>
    <t>-LqpxnXvQph5nrqMB0Gb</t>
  </si>
  <si>
    <t>1570715939768</t>
  </si>
  <si>
    <t>-Lqpxp1G397PYuD-mkt9</t>
  </si>
  <si>
    <t>1570715945954</t>
  </si>
  <si>
    <t>-LqpxqXHOn_eOA7fEdK1</t>
  </si>
  <si>
    <t>1570715952115</t>
  </si>
  <si>
    <t>-Lqpxs2zl5Lql4i1sucA</t>
  </si>
  <si>
    <t>1570715958356</t>
  </si>
  <si>
    <t>-LqpxtZIIp3Ex6sfqdC0</t>
  </si>
  <si>
    <t>1570715964513</t>
  </si>
  <si>
    <t>-Lqpxv4ZIA3E9oTd60-O</t>
  </si>
  <si>
    <t>1570715970674</t>
  </si>
  <si>
    <t>-LqpxwYZeWDbeD23IGw5</t>
  </si>
  <si>
    <t>1570715976850</t>
  </si>
  <si>
    <t>-Lqpxy5IbtKE92dSfeEi</t>
  </si>
  <si>
    <t>1570715983069</t>
  </si>
  <si>
    <t>-LqpxzaaH9Aatt9Vine2</t>
  </si>
  <si>
    <t>1570715989230</t>
  </si>
  <si>
    <t>-Lqpy0bGHg95FPlvWOhE</t>
  </si>
  <si>
    <t>1570715997566</t>
  </si>
  <si>
    <t>-Lqpy26ULtzgiC-3RApA</t>
  </si>
  <si>
    <t>1570716003631</t>
  </si>
  <si>
    <t>-Lqpy3d-r3SdFs9nZvlL</t>
  </si>
  <si>
    <t>1570716009873</t>
  </si>
  <si>
    <t>-Lqpy58E4aeNxRLObEl-</t>
  </si>
  <si>
    <t>1570716016033</t>
  </si>
  <si>
    <t>-Lqpy6ejWRLsMxnd0unB</t>
  </si>
  <si>
    <t>1570716022193</t>
  </si>
  <si>
    <t>-Lqpy88kIKdAbxLe4nfj</t>
  </si>
  <si>
    <t>1570716028357</t>
  </si>
  <si>
    <t>-Lqpy9fGjae9rk9pmizB</t>
  </si>
  <si>
    <t>1570716034658</t>
  </si>
  <si>
    <t>-LqpyBAa7fjtNB30OhTJ</t>
  </si>
  <si>
    <t>1570716040747</t>
  </si>
  <si>
    <t>-LqpyCfeEvmyoxfVCclr</t>
  </si>
  <si>
    <t>1570716046917</t>
  </si>
  <si>
    <t>-LqpyECFBeAEY4BAXKt_</t>
  </si>
  <si>
    <t>1570716053152</t>
  </si>
  <si>
    <t>-LqpyFhUhLP3D9jaIfdM</t>
  </si>
  <si>
    <t>1570716059306</t>
  </si>
  <si>
    <t>-LqpyHCfRw7SRcGs7NkX</t>
  </si>
  <si>
    <t>1570716065470</t>
  </si>
  <si>
    <t>-LqpyIi2qgnRsG6PAtfd</t>
  </si>
  <si>
    <t>1570716071632</t>
  </si>
  <si>
    <t>-LqpyKEUZRCqDiUrZb-r</t>
  </si>
  <si>
    <t>1570716077873</t>
  </si>
  <si>
    <t>-LqpyLkWsWRET_V5Buao</t>
  </si>
  <si>
    <t>1570716084006</t>
  </si>
  <si>
    <t>-LqpyNDH_fTmQjV63HTp</t>
  </si>
  <si>
    <t>1570716090161</t>
  </si>
  <si>
    <t>-LqpyOkwfT-xNqpJdNq1</t>
  </si>
  <si>
    <t>1570716096396</t>
  </si>
  <si>
    <t>-LqpyQGGkQW7sUnIEZqb</t>
  </si>
  <si>
    <t>1570716102562</t>
  </si>
  <si>
    <t>-LqpyRmmOA1UGSg9BVRn</t>
  </si>
  <si>
    <t>1570716108841</t>
  </si>
  <si>
    <t>-LqpyTO5nskDnFalsGS4</t>
  </si>
  <si>
    <t>1570716114897</t>
  </si>
  <si>
    <t>-LqpyV2XsMnCum4GltZH</t>
  </si>
  <si>
    <t>1570716122162</t>
  </si>
  <si>
    <t>-LqpyWYmeky0TkDFS67I</t>
  </si>
  <si>
    <t>1570716128323</t>
  </si>
  <si>
    <t>-LqpyY4J744atVw-E8us</t>
  </si>
  <si>
    <t>1570716134501</t>
  </si>
  <si>
    <t>-LqpyZ_XbUawc8Lm4odU</t>
  </si>
  <si>
    <t>1570716140722</t>
  </si>
  <si>
    <t>-Lqpya4lntPM78bp7Rj2</t>
  </si>
  <si>
    <t>1570716146884</t>
  </si>
  <si>
    <t>-Lqpyb_nVxmnKyVhKEUn</t>
  </si>
  <si>
    <t>1570716153042</t>
  </si>
  <si>
    <t>-Lqpyd5IveFcIsLQzF8v</t>
  </si>
  <si>
    <t>1570716159236</t>
  </si>
  <si>
    <t>-Lqpyed2_3fa75-KG9Kl</t>
  </si>
  <si>
    <t>1570716165441</t>
  </si>
  <si>
    <t>-LqpygNR3RqFAnbGKtv9</t>
  </si>
  <si>
    <t>1570716172642</t>
  </si>
  <si>
    <t>-LqpyhsSV4lbUDIqgA3w</t>
  </si>
  <si>
    <t>1570716178807</t>
  </si>
  <si>
    <t>-LqpyjP17h6P2iKLRcZb</t>
  </si>
  <si>
    <t>1570716185041</t>
  </si>
  <si>
    <t>-LqpylgBX8WIuLUXaUo9</t>
  </si>
  <si>
    <t>1570716194409</t>
  </si>
  <si>
    <t>-LqpynQMtOxFULanFv55</t>
  </si>
  <si>
    <t>1570716201511</t>
  </si>
  <si>
    <t>-LqpypEhFa7DnGe1L2an</t>
  </si>
  <si>
    <t>1570716207671</t>
  </si>
  <si>
    <t>-LqpyqwNm829Y1MQD6Ha</t>
  </si>
  <si>
    <t>1570716215917</t>
  </si>
  <si>
    <t>-LqpysRiu9uKYGvVO1J_</t>
  </si>
  <si>
    <t>1570716222083</t>
  </si>
  <si>
    <t>-LqpytwyxivV4YW1VRC3</t>
  </si>
  <si>
    <t>1570716228311</t>
  </si>
  <si>
    <t>-LqpyvTRdVv14HvUVu8Z</t>
  </si>
  <si>
    <t>1570716234479</t>
  </si>
  <si>
    <t>-LqpywyvEfd-gFHb_Rsu</t>
  </si>
  <si>
    <t>1570716240657</t>
  </si>
  <si>
    <t>-LqpyyUH5TNjqx9E4KLu</t>
  </si>
  <si>
    <t>1570716246816</t>
  </si>
  <si>
    <t>-LqpyzzVwMBxHWvOUBAt</t>
  </si>
  <si>
    <t>1570716253056</t>
  </si>
  <si>
    <t>-Lqpz0ZkumrpX8bu2r9S</t>
  </si>
  <si>
    <t>1570716259216</t>
  </si>
  <si>
    <t>-Lqpz2HmoZXwUdwUmhJf</t>
  </si>
  <si>
    <t>1570716266417</t>
  </si>
  <si>
    <t>-Lqpz4JJ9-SrGrHjjF80</t>
  </si>
  <si>
    <t>1570716273617</t>
  </si>
  <si>
    <t>-Lqpz65WFBDsEL7_GOPG</t>
  </si>
  <si>
    <t>1570716281871</t>
  </si>
  <si>
    <t>-Lqpz7nKLFUCyZ8_qM-c</t>
  </si>
  <si>
    <t>1570716289057</t>
  </si>
  <si>
    <t>-Lqpz9Ju-Mp0jJFfsmrs</t>
  </si>
  <si>
    <t>1570716295314</t>
  </si>
  <si>
    <t>-LqpzAp4mZqUZf4eBz6j</t>
  </si>
  <si>
    <t>1570716301470</t>
  </si>
  <si>
    <t>-LqpzCJ-4C2Y5rHpP01O</t>
  </si>
  <si>
    <t>1570716307616</t>
  </si>
  <si>
    <t>-LqpzDoLQoSyxKF3O6Jy</t>
  </si>
  <si>
    <t>1570716313841</t>
  </si>
  <si>
    <t>-LqpzFXGaLaABfikaKhM</t>
  </si>
  <si>
    <t>1570716320746</t>
  </si>
  <si>
    <t>-LqpzH6ghplr3KKkTBmj</t>
  </si>
  <si>
    <t>1570716327216</t>
  </si>
  <si>
    <t>-LqpzIbmkRogYd59Rw_2</t>
  </si>
  <si>
    <t>1570716333376</t>
  </si>
  <si>
    <t>-LqpzK71H86O2N9jw-mc</t>
  </si>
  <si>
    <t>1570716339598</t>
  </si>
  <si>
    <t>-LqpzLb1BVBr2ATXgcPh</t>
  </si>
  <si>
    <t>1570716345723</t>
  </si>
  <si>
    <t>-LqpzN7XOwJ0YfB5RvEV</t>
  </si>
  <si>
    <t>1570716351932</t>
  </si>
  <si>
    <t>-LqpzOokX4CYN_3WtKop</t>
  </si>
  <si>
    <t>1570716358097</t>
  </si>
  <si>
    <t>-LqpzQQk2_b_1fyZ03Co</t>
  </si>
  <si>
    <t>1570716365376</t>
  </si>
  <si>
    <t>-LqpzSBDnOK0wsa6Y0s8</t>
  </si>
  <si>
    <t>1570716372578</t>
  </si>
  <si>
    <t>-LqpzTgeXCa5yVmW8cTv</t>
  </si>
  <si>
    <t>1570716378731</t>
  </si>
  <si>
    <t>-LqpzVBlfWrjLAdeSYpo</t>
  </si>
  <si>
    <t>1570716384898</t>
  </si>
  <si>
    <t>-LqpzWh0TaK4fJNJT7ze</t>
  </si>
  <si>
    <t>1570716391131</t>
  </si>
  <si>
    <t>-LqpzYCCwseE0k_fXM8N</t>
  </si>
  <si>
    <t>1570716397303</t>
  </si>
  <si>
    <t>-LqpzZikcBtXxUvGE6_5</t>
  </si>
  <si>
    <t>1570716403457</t>
  </si>
  <si>
    <t>-LqpzaE0QtgmU6HAROhy</t>
  </si>
  <si>
    <t>1570716409621</t>
  </si>
  <si>
    <t>-LqpzblNtj12qh9DdjLc</t>
  </si>
  <si>
    <t>1570716415964</t>
  </si>
  <si>
    <t>-LqpzdnmlSuhFFYa0mla</t>
  </si>
  <si>
    <t>1570716423028</t>
  </si>
  <si>
    <t>-LqpzfWd9WgnzpavnIU2</t>
  </si>
  <si>
    <t>1570716431274</t>
  </si>
  <si>
    <t>-LqpzhnsRIULukx0NXfX</t>
  </si>
  <si>
    <t>1570716440628</t>
  </si>
  <si>
    <t>-Lqpzjmb6Jm3mnUq6mU-</t>
  </si>
  <si>
    <t>1570716447764</t>
  </si>
  <si>
    <t>-LqpzlYnKkhKaXZAhJB2</t>
  </si>
  <si>
    <t>1570716455999</t>
  </si>
  <si>
    <t>-Lqpzn6nvR4LseaTMQ5O</t>
  </si>
  <si>
    <t>1570716462228</t>
  </si>
  <si>
    <t>-LqpzosH60HEFojTquNX</t>
  </si>
  <si>
    <t>1570716469451</t>
  </si>
  <si>
    <t>-Lqpzqd2Awk09lwxPRM2</t>
  </si>
  <si>
    <t>1570716476649</t>
  </si>
  <si>
    <t>-LqpzsPZzIKVaT7nAvdU</t>
  </si>
  <si>
    <t>1570716483843</t>
  </si>
  <si>
    <t>-Lqpzu6IaCU9qt0bJFWY</t>
  </si>
  <si>
    <t>1570716491039</t>
  </si>
  <si>
    <t>-LqpzvbZ80UqF0U57O8J</t>
  </si>
  <si>
    <t>1570716497200</t>
  </si>
  <si>
    <t>-LqpzxOKC74LkFWVWsnE</t>
  </si>
  <si>
    <t>1570716504483</t>
  </si>
  <si>
    <t>-LqpzysKkm6-wBhppZ3P</t>
  </si>
  <si>
    <t>1570716510643</t>
  </si>
  <si>
    <t>-Lqq--Onlpe__YtyJldm</t>
  </si>
  <si>
    <t>1570716516803</t>
  </si>
  <si>
    <t>-Lqq-0w_nu9R5a4kJHVX</t>
  </si>
  <si>
    <t>1570716522969</t>
  </si>
  <si>
    <t>-Lqq-2iJv39LTL21XP9_</t>
  </si>
  <si>
    <t>1570716530257</t>
  </si>
  <si>
    <t>-Lqq-4RQSEZefrD9gJqT</t>
  </si>
  <si>
    <t>1570716537447</t>
  </si>
  <si>
    <t>-Lqq-5wrGPLz99dUatGY</t>
  </si>
  <si>
    <t>1570716543603</t>
  </si>
  <si>
    <t>-Lqq-7UNCzS6H8B9D7cj</t>
  </si>
  <si>
    <t>1570716549763</t>
  </si>
  <si>
    <t>-Lqq-9e28n7pUsvoblnX</t>
  </si>
  <si>
    <t>1570716558805</t>
  </si>
  <si>
    <t>-Lqq-BDi0KSZVXorfX2w</t>
  </si>
  <si>
    <t>1570716565233</t>
  </si>
  <si>
    <t>-Lqq-Cj44rx2Qaf3tXb2</t>
  </si>
  <si>
    <t>1570716571414</t>
  </si>
  <si>
    <t>-Lqq-EEKkY06O3obIKWt</t>
  </si>
  <si>
    <t>1570716577578</t>
  </si>
  <si>
    <t>-Lqq-FkpBhKlwpVPwgRO</t>
  </si>
  <si>
    <t>1570716583813</t>
  </si>
  <si>
    <t>-Lqq-HFq7zklxaaycaqh</t>
  </si>
  <si>
    <t>1570716589984</t>
  </si>
  <si>
    <t>-Lqq-J-JB9ar6sB8RLbB</t>
  </si>
  <si>
    <t>1570716597106</t>
  </si>
  <si>
    <t>-Lqq-KWqMsE_InqJmOwH</t>
  </si>
  <si>
    <t>1570716603340</t>
  </si>
  <si>
    <t>-Lqq-MIaB3Zrutlo4Ua0</t>
  </si>
  <si>
    <t>1570716610613</t>
  </si>
  <si>
    <t>-Lqq-O2gXeLTTYYhqpyJ</t>
  </si>
  <si>
    <t>1570716617819</t>
  </si>
  <si>
    <t>-Lqq-Po_bnYugj4wWTrm</t>
  </si>
  <si>
    <t>1570716625008</t>
  </si>
  <si>
    <t>-Lqq-RHpBN7BZaevUqq-</t>
  </si>
  <si>
    <t>1570716631167</t>
  </si>
  <si>
    <t>-Lqq-Snppu8JCjibj2vm</t>
  </si>
  <si>
    <t>1570716637368</t>
  </si>
  <si>
    <t>-Lqq-UNl5tkZIoO6woq7</t>
  </si>
  <si>
    <t>1570716643528</t>
  </si>
  <si>
    <t>-Lqq-W5s8oLimc6Z3D7u</t>
  </si>
  <si>
    <t>1570716650758</t>
  </si>
  <si>
    <t>-Lqq-XxZIMGKRNBJ50Qx</t>
  </si>
  <si>
    <t>1570716658391</t>
  </si>
  <si>
    <t>-Lqq-ZbgAVSy7EjmSp8q</t>
  </si>
  <si>
    <t>1570716665221</t>
  </si>
  <si>
    <t>-Lqq-a7vGXUvlMYE-UnN</t>
  </si>
  <si>
    <t>1570716671396</t>
  </si>
  <si>
    <t>-Lqq-bdn8xh3iQ4dhiRy</t>
  </si>
  <si>
    <t>1570716677552</t>
  </si>
  <si>
    <t>-Lqq-d8mriS2DPT7sCJB</t>
  </si>
  <si>
    <t>1570716683713</t>
  </si>
  <si>
    <t>-Lqq-efFIgmwfrBu_yGn</t>
  </si>
  <si>
    <t>1570716689953</t>
  </si>
  <si>
    <t>-Lqq-gAWXW4t_4497bkg</t>
  </si>
  <si>
    <t>1570716696111</t>
  </si>
  <si>
    <t>-Lqq-hfey1E6msIeZRGv</t>
  </si>
  <si>
    <t>1570716702273</t>
  </si>
  <si>
    <t>-Lqq-jAw2oQEEoaytGjv</t>
  </si>
  <si>
    <t>1570716708493</t>
  </si>
  <si>
    <t>-Lqq-kwVZHu55r50PQCd</t>
  </si>
  <si>
    <t>1570716714673</t>
  </si>
  <si>
    <t>-Lqq-mSzJq-46eVkM0ke</t>
  </si>
  <si>
    <t>1570716721871</t>
  </si>
  <si>
    <t>-Lqq-oAX5o_OzpFK4dwF</t>
  </si>
  <si>
    <t>1570716728031</t>
  </si>
  <si>
    <t>-Lqq-pilfkewXT311LCh</t>
  </si>
  <si>
    <t>1570716735232</t>
  </si>
  <si>
    <t>-Lqq-rFErQ5ADkuv8fmT</t>
  </si>
  <si>
    <t>1570716741471</t>
  </si>
  <si>
    <t>-Lqq-skWCC08X8pInJtd</t>
  </si>
  <si>
    <t>1570716747633</t>
  </si>
  <si>
    <t>-Lqq-uFkOlwBq3vmh4jw</t>
  </si>
  <si>
    <t>1570716753793</t>
  </si>
  <si>
    <t>-Lqq-vnVZFN9rbYgWw1S</t>
  </si>
  <si>
    <t>1570716760029</t>
  </si>
  <si>
    <t>-Lqq-xWXZ52Kkc-gQD26</t>
  </si>
  <si>
    <t>1570716767226</t>
  </si>
  <si>
    <t>-Lqq-z1zTh80QBzSwWhO</t>
  </si>
  <si>
    <t>1570716773391</t>
  </si>
  <si>
    <t>-Lqq0-YI8mAskqzJPEFq</t>
  </si>
  <si>
    <t>1570716779553</t>
  </si>
  <si>
    <t>-Lqq012KMk7m8czNSPbb</t>
  </si>
  <si>
    <t>1570716785787</t>
  </si>
  <si>
    <t>-Lqq02ZksHPYGW7bU3Ls</t>
  </si>
  <si>
    <t>1570716791951</t>
  </si>
  <si>
    <t>-Lqq0430enoMU8iclcMN</t>
  </si>
  <si>
    <t>1570716798106</t>
  </si>
  <si>
    <t>-Lqq05_VPhXRLL822T3X</t>
  </si>
  <si>
    <t>1570716804273</t>
  </si>
  <si>
    <t>-Lqq074kzk9KhrrzSGY0</t>
  </si>
  <si>
    <t>1570716810508</t>
  </si>
  <si>
    <t>-Lqq08bJscZUwxEspRI0</t>
  </si>
  <si>
    <t>1570716816672</t>
  </si>
  <si>
    <t>-Lqq0A6XhloLIB5t-bEz</t>
  </si>
  <si>
    <t>1570716822833</t>
  </si>
  <si>
    <t>-Lqq0Bd-J5OYb81Eh1AP</t>
  </si>
  <si>
    <t>1570716829054</t>
  </si>
  <si>
    <t>-Lqq0D70zsgxn7aZlUWf</t>
  </si>
  <si>
    <t>1570716835217</t>
  </si>
  <si>
    <t>-Lqq0EdUe_7R842yzrn-</t>
  </si>
  <si>
    <t>1570716841395</t>
  </si>
  <si>
    <t>-Lqq0G9hzH8x0Pt2AQpq</t>
  </si>
  <si>
    <t>1570716847551</t>
  </si>
  <si>
    <t>-Lqq0HfGUzpo7gDsBh24</t>
  </si>
  <si>
    <t>1570716853788</t>
  </si>
  <si>
    <t>-Lqq0J9Eh3RnPURB4GkU</t>
  </si>
  <si>
    <t>1570716859946</t>
  </si>
  <si>
    <t>-Lqq0L6lPxdQ6Deuq8uy</t>
  </si>
  <si>
    <t>1570716866112</t>
  </si>
  <si>
    <t>-Lqq0MgUUGNCmgHZSPmW</t>
  </si>
  <si>
    <t>1570716874352</t>
  </si>
  <si>
    <t>-Lqq0OEEPJ9f-530cT8P</t>
  </si>
  <si>
    <t>1570716880586</t>
  </si>
  <si>
    <t>-Lqq0PxED1owlLkbD1m6</t>
  </si>
  <si>
    <t>1570716887783</t>
  </si>
  <si>
    <t>-Lqq0RTk4gb-BKvMUlas</t>
  </si>
  <si>
    <t>1570716893953</t>
  </si>
  <si>
    <t>-Lqq0Sz0l-Ctu8fuo4P_</t>
  </si>
  <si>
    <t>1570716900114</t>
  </si>
  <si>
    <t>-Lqq0UVVhnK8LQbFuKKP</t>
  </si>
  <si>
    <t>1570716906352</t>
  </si>
  <si>
    <t>-Lqq0W2F9PFqT1bjZ00V</t>
  </si>
  <si>
    <t>1570716912720</t>
  </si>
  <si>
    <t>-Lqq0XlELon6q2t5MTZV</t>
  </si>
  <si>
    <t>1570716919712</t>
  </si>
  <si>
    <t>-Lqq0ZGWA8MR4D7tALE3</t>
  </si>
  <si>
    <t>1570716925872</t>
  </si>
  <si>
    <t>-Lqq0_mzxWsV_cM835O3</t>
  </si>
  <si>
    <t>1570716932113</t>
  </si>
  <si>
    <t>-Lqq0bYUYNUc1ACmX_qJ</t>
  </si>
  <si>
    <t>1570716939313</t>
  </si>
  <si>
    <t>-Lqq0d2edk1LgTdu574v</t>
  </si>
  <si>
    <t>1570716945472</t>
  </si>
  <si>
    <t>-Lqq0eYz_XzX5AVdu-QY</t>
  </si>
  <si>
    <t>1570716951633</t>
  </si>
  <si>
    <t>-Lqq0g21S6T2P78w-ds4</t>
  </si>
  <si>
    <t>1570716957818</t>
  </si>
  <si>
    <t>-Lqq0h_jpBMuSeb6nwcw</t>
  </si>
  <si>
    <t>1570716964031</t>
  </si>
  <si>
    <t>-Lqq0j50bkDPOb77gT5T</t>
  </si>
  <si>
    <t>1570716970210</t>
  </si>
  <si>
    <t>-Lqq0kaNfs1FV9OIbTJ2</t>
  </si>
  <si>
    <t>1570716976422</t>
  </si>
  <si>
    <t>-Lqq0m6b8Mh3QQr4Toug</t>
  </si>
  <si>
    <t>1570716982595</t>
  </si>
  <si>
    <t>-Lqq0nbnZA9otya5aHZG</t>
  </si>
  <si>
    <t>1570716988753</t>
  </si>
  <si>
    <t>-Lqq0p7F7JBUu1a4Rhuv</t>
  </si>
  <si>
    <t>1570716994913</t>
  </si>
  <si>
    <t>-Lqq0qdj3p7dV-ljPPkj</t>
  </si>
  <si>
    <t>1570717001152</t>
  </si>
  <si>
    <t>-Lqq0s8zoulIKxJCOYOy</t>
  </si>
  <si>
    <t>1570717007312</t>
  </si>
  <si>
    <t>-Lqq0tvb22Qcow6dgc0a</t>
  </si>
  <si>
    <t>1570717013477</t>
  </si>
  <si>
    <t>-Lqq0vPpZQFzR95GUbPW</t>
  </si>
  <si>
    <t>1570717020673</t>
  </si>
  <si>
    <t>-Lqq0wyj2ZUFJ6uxgNLf</t>
  </si>
  <si>
    <t>1570717027172</t>
  </si>
  <si>
    <t>-Lqq0yhviqhhy_8tb_UO</t>
  </si>
  <si>
    <t>1570717034106</t>
  </si>
  <si>
    <t>-Lqq1-D0di_eWfwvQgKs</t>
  </si>
  <si>
    <t>1570717040272</t>
  </si>
  <si>
    <t>-Lqq10hOm5W0OL3e6K7m</t>
  </si>
  <si>
    <t>1570717046431</t>
  </si>
  <si>
    <t>-Lqq12CP8e8B4fbDnqek</t>
  </si>
  <si>
    <t>1570717052608</t>
  </si>
  <si>
    <t>-Lqq13izarK6PCijHIiR</t>
  </si>
  <si>
    <t>1570717058827</t>
  </si>
  <si>
    <t>-Lqq15UXlmGMk6Na_Wje</t>
  </si>
  <si>
    <t>1570717066069</t>
  </si>
  <si>
    <t>-Lqq170-f0dP-H-o30IR</t>
  </si>
  <si>
    <t>1570717072257</t>
  </si>
  <si>
    <t>-Lqq18ljX64ZtIQyQzuJ</t>
  </si>
  <si>
    <t>1570717078358</t>
  </si>
  <si>
    <t>-Lqq1AGk-w8Id6gvXySA</t>
  </si>
  <si>
    <t>1570717085617</t>
  </si>
  <si>
    <t>-Lqq1Bly8_RvGKYshyuG</t>
  </si>
  <si>
    <t>1570717091791</t>
  </si>
  <si>
    <t>-Lqq1DUVJ6QmTPbdLueQ</t>
  </si>
  <si>
    <t>1570717097957</t>
  </si>
  <si>
    <t>-Lqq1F1k0PySmYVyu5d2</t>
  </si>
  <si>
    <t>1570717105227</t>
  </si>
  <si>
    <t>-Lqq1GmwF8GRHCLKfMOx</t>
  </si>
  <si>
    <t>1570717112426</t>
  </si>
  <si>
    <t>-Lqq1IJkyKTZU4N92-QH</t>
  </si>
  <si>
    <t>1570717118590</t>
  </si>
  <si>
    <t>-Lqq1Jp-7l5cywBHHaSC</t>
  </si>
  <si>
    <t>1570717124752</t>
  </si>
  <si>
    <t>-Lqq1LKEyCDhU_OR_e21</t>
  </si>
  <si>
    <t>1570717130986</t>
  </si>
  <si>
    <t>-Lqq1MqlsGPrNClj_MXT</t>
  </si>
  <si>
    <t>1570717137152</t>
  </si>
  <si>
    <t>-Lqq1OM-sZa1_uw_-ACM</t>
  </si>
  <si>
    <t>1570717143313</t>
  </si>
  <si>
    <t>-Lqq1PrHtpD3FVHAVYZ9</t>
  </si>
  <si>
    <t>1570717149476</t>
  </si>
  <si>
    <t>-Lqq1RNVg7FG9JldSCvM</t>
  </si>
  <si>
    <t>1570717155710</t>
  </si>
  <si>
    <t>-Lqq1SrkSJvwbr2K2VWZ</t>
  </si>
  <si>
    <t>1570717161867</t>
  </si>
  <si>
    <t>-Lqq1UOGobVOY0yGSGME</t>
  </si>
  <si>
    <t>1570717168031</t>
  </si>
  <si>
    <t>-Lqq1VuiFiY95RvWkqXy</t>
  </si>
  <si>
    <t>1570717174276</t>
  </si>
  <si>
    <t>-Lqq1XOjAbBLb9_-A52I</t>
  </si>
  <si>
    <t>1570717180389</t>
  </si>
  <si>
    <t>-Lqq1YvEV09byopvJtT1</t>
  </si>
  <si>
    <t>1570717186598</t>
  </si>
  <si>
    <t>-Lqq1_P9msMX6xXECAof</t>
  </si>
  <si>
    <t>1570717192747</t>
  </si>
  <si>
    <t>-Lqq1ayGSMcwv86qERqD</t>
  </si>
  <si>
    <t>1570717198995</t>
  </si>
  <si>
    <t>-Lqq1chV02n-ai_7cFlj</t>
  </si>
  <si>
    <t>1570717206190</t>
  </si>
  <si>
    <t>-Lqq1eBTTO8Wj4Dwdgzj</t>
  </si>
  <si>
    <t>1570717212346</t>
  </si>
  <si>
    <t>-Lqq1fi-Bl1SnfgsE0En</t>
  </si>
  <si>
    <t>1570717218511</t>
  </si>
  <si>
    <t>-Lqq1hEUaw-42qqDW2iK</t>
  </si>
  <si>
    <t>1570717224753</t>
  </si>
  <si>
    <t>-Lqq1iiTF-IQlEGJv4KU</t>
  </si>
  <si>
    <t>1570717230905</t>
  </si>
  <si>
    <t>-Lqq1kEzWEXY4Pk3AYuY</t>
  </si>
  <si>
    <t>1570717237071</t>
  </si>
  <si>
    <t>-Lqq1lkEaryHd7aiDujT</t>
  </si>
  <si>
    <t>1570717243295</t>
  </si>
  <si>
    <t>-Lqq1nGdQxlin4aYK58x</t>
  </si>
  <si>
    <t>1570717249471</t>
  </si>
  <si>
    <t>-Lqq1okkWmAdnpCANFth</t>
  </si>
  <si>
    <t>1570717255621</t>
  </si>
  <si>
    <t>-Lqq1qHHfDAVseg78fTl</t>
  </si>
  <si>
    <t>1570717261792</t>
  </si>
  <si>
    <t>-Lqq1rnWg9p77mR9qrpk</t>
  </si>
  <si>
    <t>1570717268032</t>
  </si>
  <si>
    <t>-Lqq1tJ4JM49hucZI1Sv</t>
  </si>
  <si>
    <t>1570717274201</t>
  </si>
  <si>
    <t>-Lqq1uo-f92EDthQFHic</t>
  </si>
  <si>
    <t>1570717280351</t>
  </si>
  <si>
    <t>-Lqq1wJTdTWDbVnW6T2m</t>
  </si>
  <si>
    <t>1570717286575</t>
  </si>
  <si>
    <t>-Lqq1y96H9AJq_2xjqcS</t>
  </si>
  <si>
    <t>1570717294044</t>
  </si>
  <si>
    <t>-Lqq1zqsSk4LXbEC1zQO</t>
  </si>
  <si>
    <t>1570717300993</t>
  </si>
  <si>
    <t>-Lqq20Mf1Irj5nWgrRkN</t>
  </si>
  <si>
    <t>1570717307157</t>
  </si>
  <si>
    <t>-Lqq21q6xpqkfCZu7tdv</t>
  </si>
  <si>
    <t>1570717313326</t>
  </si>
  <si>
    <t>-Lqq23NqXOu-7ZNoBbhJ</t>
  </si>
  <si>
    <t>1570717319558</t>
  </si>
  <si>
    <t>-Lqq24rgDE2DNr6d3iLq</t>
  </si>
  <si>
    <t>1570717325689</t>
  </si>
  <si>
    <t>-Lqq26OLZICVQQD5IOXt</t>
  </si>
  <si>
    <t>1570717331884</t>
  </si>
  <si>
    <t>-Lqq27uqgQT8_7GKLG7v</t>
  </si>
  <si>
    <t>1570717338121</t>
  </si>
  <si>
    <t>-Lqq29Q6k3iDilf2Me9Z</t>
  </si>
  <si>
    <t>1570717344278</t>
  </si>
  <si>
    <t>-Lqq2AvMIctFbBCgEr38</t>
  </si>
  <si>
    <t>1570717350437</t>
  </si>
  <si>
    <t>-Lqq2CRqQDmd8RoBdRDl</t>
  </si>
  <si>
    <t>1570717356604</t>
  </si>
  <si>
    <t>-Lqq2DvhcKG4rKwHZhP1</t>
  </si>
  <si>
    <t>1570717362763</t>
  </si>
  <si>
    <t>-Lqq2FUhHNt_RAL2lRK5</t>
  </si>
  <si>
    <t>1570717368998</t>
  </si>
  <si>
    <t>-Lqq2HNmnSkTpWKwx033</t>
  </si>
  <si>
    <t>1570717376982</t>
  </si>
  <si>
    <t>-Lqq2IzG1KKQ1Y3KgAht</t>
  </si>
  <si>
    <t>1570717383464</t>
  </si>
  <si>
    <t>-Lqq2KVs2IZz8wqcPMb9</t>
  </si>
  <si>
    <t>1570717389625</t>
  </si>
  <si>
    <t>-Lqq2MGMJrdIaKE59dr5</t>
  </si>
  <si>
    <t>1570717396823</t>
  </si>
  <si>
    <t>-Lqq2O-c5ZG1hRMDm1uB</t>
  </si>
  <si>
    <t>1570717404026</t>
  </si>
  <si>
    <t>-Lqq2PgZZ0H22kZq5XxZ</t>
  </si>
  <si>
    <t>1570717410233</t>
  </si>
  <si>
    <t>-Lqq2RHiZdUEFyESt8K3</t>
  </si>
  <si>
    <t>1570717417459</t>
  </si>
  <si>
    <t>-Lqq2SmrC4thtFl4Lhwa</t>
  </si>
  <si>
    <t>1570717423619</t>
  </si>
  <si>
    <t>-Lqq2UICwJu5cGrIn8zg</t>
  </si>
  <si>
    <t>1570717429783</t>
  </si>
  <si>
    <t>-Lqq2VnMxS9Hnj4iuc37</t>
  </si>
  <si>
    <t>1570717435948</t>
  </si>
  <si>
    <t>-Lqq2XJsqXXQoCfnSPxH</t>
  </si>
  <si>
    <t>1570717442189</t>
  </si>
  <si>
    <t>-Lqq2Yp8s87gCEXDVXVR</t>
  </si>
  <si>
    <t>1570717448344</t>
  </si>
  <si>
    <t>-Lqq2_JDcWBvi2ThiM78</t>
  </si>
  <si>
    <t>1570717454504</t>
  </si>
  <si>
    <t>-Lqq2arsGgm3yUlsplA1</t>
  </si>
  <si>
    <t>1570717460747</t>
  </si>
  <si>
    <t>-Lqq2cbMRoh4wL1df2no</t>
  </si>
  <si>
    <t>1570717467945</t>
  </si>
  <si>
    <t>-Lqq2e6a9Fi11pYcBD5V</t>
  </si>
  <si>
    <t>1570717474103</t>
  </si>
  <si>
    <t>-Lqq2faf0OLSDboLVTEO</t>
  </si>
  <si>
    <t>1570717480264</t>
  </si>
  <si>
    <t>-Lqq2h8IsjXzl0nvc5j8</t>
  </si>
  <si>
    <t>1570717486504</t>
  </si>
  <si>
    <t>-Lqq2ihL61EBAjxiPV0Y</t>
  </si>
  <si>
    <t>1570717492821</t>
  </si>
  <si>
    <t>-Lqq2kP7PcAZ4gUVz_I6</t>
  </si>
  <si>
    <t>1570717499864</t>
  </si>
  <si>
    <t>-Lqq2mDHhYD4dF2frs23</t>
  </si>
  <si>
    <t>1570717506034</t>
  </si>
  <si>
    <t>-Lqq2nv1ApXmiBYxL77H</t>
  </si>
  <si>
    <t>1570717514263</t>
  </si>
  <si>
    <t>-Lqq2pRCM-hqDOv5gf8_</t>
  </si>
  <si>
    <t>1570717520498</t>
  </si>
  <si>
    <t>-Lqq2qwl58-GUAOIz7HA</t>
  </si>
  <si>
    <t>1570717526662</t>
  </si>
  <si>
    <t>-Lqq2sS288XRvd86IS-l</t>
  </si>
  <si>
    <t>1570717532819</t>
  </si>
  <si>
    <t>-Lqq2uA0-qibSuH9RRNQ</t>
  </si>
  <si>
    <t>1570717539937</t>
  </si>
  <si>
    <t>-Lqq2vkGTYWcu7mUALKy</t>
  </si>
  <si>
    <t>1570717546259</t>
  </si>
  <si>
    <t>-Lqq2xEHgikihJ4JbLVb</t>
  </si>
  <si>
    <t>1570717552423</t>
  </si>
  <si>
    <t>-Lqq2yjzklUbXC_jCxbx</t>
  </si>
  <si>
    <t>1570717558623</t>
  </si>
  <si>
    <t>-Lqq3-FUbnC5tVtx-JAd</t>
  </si>
  <si>
    <t>1570717564782</t>
  </si>
  <si>
    <t>-Lqq30ktYFHZqXIRs9Qu</t>
  </si>
  <si>
    <t>1570717570942</t>
  </si>
  <si>
    <t>-Lqq32IFiVYoOtn6mLeZ</t>
  </si>
  <si>
    <t>1570717577183</t>
  </si>
  <si>
    <t>-Lqq347uL2l_tAcAlKpB</t>
  </si>
  <si>
    <t>1570717583342</t>
  </si>
  <si>
    <t>-Lqq35nETU-fM_MCXXvm</t>
  </si>
  <si>
    <t>1570717591582</t>
  </si>
  <si>
    <t>-Lqq37IUU3HLGlJD53Um</t>
  </si>
  <si>
    <t>1570717597744</t>
  </si>
  <si>
    <t>-Lqq38nfvRSS_ZTT6QXR</t>
  </si>
  <si>
    <t>1570717603963</t>
  </si>
  <si>
    <t>-Lqq3AKDJX1BCnf9cRkr</t>
  </si>
  <si>
    <t>1570717610138</t>
  </si>
  <si>
    <t>-Lqq3BpVymv8pLJ6DbqU</t>
  </si>
  <si>
    <t>1570717616304</t>
  </si>
  <si>
    <t>-Lqq3D_6THS-bn2wKoZW</t>
  </si>
  <si>
    <t>1570717622484</t>
  </si>
  <si>
    <t>-Lqq3F6VFWDq-_yiQZr2</t>
  </si>
  <si>
    <t>1570717629744</t>
  </si>
  <si>
    <t>-Lqq3GbjrYbfZRG2FZri</t>
  </si>
  <si>
    <t>1570717635898</t>
  </si>
  <si>
    <t>-Lqq3I6ysILlImoXcp1l</t>
  </si>
  <si>
    <t>1570717642063</t>
  </si>
  <si>
    <t>-Lqq3Jb3PZYBOteQzaII</t>
  </si>
  <si>
    <t>1570717648231</t>
  </si>
  <si>
    <t>-Lqq3L8fiu-qqqks8Fpo</t>
  </si>
  <si>
    <t>1570717654464</t>
  </si>
  <si>
    <t>-Lqq3MrTMAXR0DDn1cUK</t>
  </si>
  <si>
    <t>1570717660687</t>
  </si>
  <si>
    <t>-Lqq3OPVrlaYd4_eTpqO</t>
  </si>
  <si>
    <t>1570717667837</t>
  </si>
  <si>
    <t>-Lqq3PuizJQVxMDxDjbw</t>
  </si>
  <si>
    <t>1570717673987</t>
  </si>
  <si>
    <t>-Lqq3RQyVag1u11vMucY</t>
  </si>
  <si>
    <t>1570717680223</t>
  </si>
  <si>
    <t>-Lqq3Syjt0Cia6j5ev6N</t>
  </si>
  <si>
    <t>1570717686382</t>
  </si>
  <si>
    <t>-Lqq3UguDwOo6FKbwxMS</t>
  </si>
  <si>
    <t>1570717693583</t>
  </si>
  <si>
    <t>-Lqq3WC9OSfj5YFLzH1A</t>
  </si>
  <si>
    <t>1570717699809</t>
  </si>
  <si>
    <t>-Lqq3XhbWbJKb47_aJuP</t>
  </si>
  <si>
    <t>1570717705978</t>
  </si>
  <si>
    <t>-Lqq3ZCf39yTFFeYGoCc</t>
  </si>
  <si>
    <t>1570717712129</t>
  </si>
  <si>
    <t>-Lqq3a2UpX2Ziwqutr7K</t>
  </si>
  <si>
    <t>1570717718304</t>
  </si>
  <si>
    <t>-Lqq3bjziA1oMa6fjlbr</t>
  </si>
  <si>
    <t>1570717726549</t>
  </si>
  <si>
    <t>-Lqq3dGUW3ZZquVkNwI6</t>
  </si>
  <si>
    <t>1570717732783</t>
  </si>
  <si>
    <t>-Lqq3elj19kefejVxJ2z</t>
  </si>
  <si>
    <t>1570717738945</t>
  </si>
  <si>
    <t>-Lqq3gGvV2wYaYQkAKIj</t>
  </si>
  <si>
    <t>1570717745113</t>
  </si>
  <si>
    <t>-Lqq3hnVpeO9Z-O8UzxC</t>
  </si>
  <si>
    <t>1570717751339</t>
  </si>
  <si>
    <t>-Lqq3jIeC25M7GftPDOA</t>
  </si>
  <si>
    <t>1570717757503</t>
  </si>
  <si>
    <t>-Lqq3knzkIlxq3h-IuYz</t>
  </si>
  <si>
    <t>1570717763664</t>
  </si>
  <si>
    <t>-Lqq3mIvS3LDvBwWXJsa</t>
  </si>
  <si>
    <t>1570717769823</t>
  </si>
  <si>
    <t>-Lqq3nplMIK7Ri5VutBb</t>
  </si>
  <si>
    <t>1570717776064</t>
  </si>
  <si>
    <t>-Lqq3pIVLhNg8zuOTG-s</t>
  </si>
  <si>
    <t>1570717782203</t>
  </si>
  <si>
    <t>-Lqq3qqK1gPLPvlwM1ca</t>
  </si>
  <si>
    <t>1570717788385</t>
  </si>
  <si>
    <t>-Lqq3sMjuAz1afxh_sg0</t>
  </si>
  <si>
    <t>1570717794624</t>
  </si>
  <si>
    <t>-Lqq3tqkB8z0N7JUwfUu</t>
  </si>
  <si>
    <t>1570717800741</t>
  </si>
  <si>
    <t>-Lqq3vN8mRVzTPZeKjRO</t>
  </si>
  <si>
    <t>1570717806943</t>
  </si>
  <si>
    <t>-Lqq3wsWqKCwWwZ9QC92</t>
  </si>
  <si>
    <t>1570717813110</t>
  </si>
  <si>
    <t>-Lqq3yOzIp5MkcUbW5Od</t>
  </si>
  <si>
    <t>1570717819343</t>
  </si>
  <si>
    <t>-Lqq3zu0mwxGeUaRqzyF</t>
  </si>
  <si>
    <t>1570717825503</t>
  </si>
  <si>
    <t>-Lqq40PVr_Awhhuqf3B3</t>
  </si>
  <si>
    <t>1570717831666</t>
  </si>
  <si>
    <t>-Lqq41ujLBBW4wr1NNFq</t>
  </si>
  <si>
    <t>1570717837889</t>
  </si>
  <si>
    <t>-Lqq43R7DYX5McfWwk2C</t>
  </si>
  <si>
    <t>1570717844059</t>
  </si>
  <si>
    <t>-Lqq44xkFXuS_y9lzPu0</t>
  </si>
  <si>
    <t>1570717850223</t>
  </si>
  <si>
    <t>-Lqq46gz9qeu8ry-hsaz</t>
  </si>
  <si>
    <t>1570717857427</t>
  </si>
  <si>
    <t>-Lqq48CEJ7XdFeYs2xaR</t>
  </si>
  <si>
    <t>1570717863598</t>
  </si>
  <si>
    <t>-Lqq49ikOMdutUOikORB</t>
  </si>
  <si>
    <t>1570717869824</t>
  </si>
  <si>
    <t>-Lqq4BCktTQrwW_o6hXW</t>
  </si>
  <si>
    <t>1570717875969</t>
  </si>
  <si>
    <t>-Lqq4Cj9MmYlhzUgnvX2</t>
  </si>
  <si>
    <t>1570717882149</t>
  </si>
  <si>
    <t>-Lqq4EGz3v24nT_ebcD1</t>
  </si>
  <si>
    <t>1570717888385</t>
  </si>
  <si>
    <t>-Lqq4G0Gy7SfI5qCNiZ_</t>
  </si>
  <si>
    <t>1570717895594</t>
  </si>
  <si>
    <t>-Lqq4HV0OrlP1omAw5E_</t>
  </si>
  <si>
    <t>1570717901734</t>
  </si>
  <si>
    <t>-Lqq4J0j0dsugyxU_D1g</t>
  </si>
  <si>
    <t>1570717907903</t>
  </si>
  <si>
    <t>-Lqq4KWzqAXAz4pNRre6</t>
  </si>
  <si>
    <t>1570717914093</t>
  </si>
  <si>
    <t>-Lqq4M2UaUONp63OMj7J</t>
  </si>
  <si>
    <t>1570717920298</t>
  </si>
  <si>
    <t>-Lqq4NXAmRQNl5l1uPh1</t>
  </si>
  <si>
    <t>1570717926463</t>
  </si>
  <si>
    <t>-Lqq4PLjbU_4K3jv_I1Z</t>
  </si>
  <si>
    <t>1570717933839</t>
  </si>
  <si>
    <t>-Lqq4R3liOul6DhYwLIE</t>
  </si>
  <si>
    <t>1570717940925</t>
  </si>
  <si>
    <t>-Lqq4SbUlvSIVHUHAhhq</t>
  </si>
  <si>
    <t>1570717947103</t>
  </si>
  <si>
    <t>-Lqq4ULpZx0nP-2zC3yF</t>
  </si>
  <si>
    <t>1570717954304</t>
  </si>
  <si>
    <t>-Lqq4Vpj8bj3ob45trH9</t>
  </si>
  <si>
    <t>1570717960458</t>
  </si>
  <si>
    <t>-Lqq4XMH9vnefKjhJcpl</t>
  </si>
  <si>
    <t>1570717966630</t>
  </si>
  <si>
    <t>-Lqq4Z1jM4KcGXktDX7J</t>
  </si>
  <si>
    <t>1570717973557</t>
  </si>
  <si>
    <t>-Lqq4_frahXhdKhxrkPm</t>
  </si>
  <si>
    <t>1570717980064</t>
  </si>
  <si>
    <t>-Lqq4bOjcIww3Uqz94lV</t>
  </si>
  <si>
    <t>1570717987265</t>
  </si>
  <si>
    <t>-Lqq4cu05VQwaTYXqpDo</t>
  </si>
  <si>
    <t>1570717993425</t>
  </si>
  <si>
    <t>-Lqq4euU8tYU_1QoHqs-</t>
  </si>
  <si>
    <t>1570718000685</t>
  </si>
  <si>
    <t>-Lqq4gSUHjoMo-HeCstz</t>
  </si>
  <si>
    <t>1570718007903</t>
  </si>
  <si>
    <t>-Lqq4iBjfP4y2NvJifHm</t>
  </si>
  <si>
    <t>1570718015103</t>
  </si>
  <si>
    <t>-Lqq4jgzSCQmiyxXPuOB</t>
  </si>
  <si>
    <t>1570718021263</t>
  </si>
  <si>
    <t>-Lqq4lMBn_TXZhNlyLMh</t>
  </si>
  <si>
    <t>1570718027424</t>
  </si>
  <si>
    <t>-Lqq4mxeCNYIja8tPOxG</t>
  </si>
  <si>
    <t>1570718034645</t>
  </si>
  <si>
    <t>-Lqq4oVW19tJKqKk6NDK</t>
  </si>
  <si>
    <t>1570718040859</t>
  </si>
  <si>
    <t>-Lqq4qErSJ5BCot0BTFr</t>
  </si>
  <si>
    <t>1570718048063</t>
  </si>
  <si>
    <t>-Lqq4rk-rVZQ7-5d14qp</t>
  </si>
  <si>
    <t>1570718054225</t>
  </si>
  <si>
    <t>-Lqq4tF--O4YbpkBl0wI</t>
  </si>
  <si>
    <t>1570718060386</t>
  </si>
  <si>
    <t>-Lqq4ullkNtl0rtY73A9</t>
  </si>
  <si>
    <t>1570718066623</t>
  </si>
  <si>
    <t>-Lqq4wI9UHCNUj5-Pgbs</t>
  </si>
  <si>
    <t>1570718072786</t>
  </si>
  <si>
    <t>-Lqq4y1VvP5vl7lmXcdO</t>
  </si>
  <si>
    <t>1570718079983</t>
  </si>
  <si>
    <t>-Lqq4zXjyZtCErPPs3W6</t>
  </si>
  <si>
    <t>1570718086218</t>
  </si>
  <si>
    <t>-Lqq5030qr2kQcx0Bg83</t>
  </si>
  <si>
    <t>1570718092382</t>
  </si>
  <si>
    <t>-Lqq52-1lqg4X8pSFN1i</t>
  </si>
  <si>
    <t>1570718100367</t>
  </si>
  <si>
    <t>-Lqq53_AdUtrHn-nCOEW</t>
  </si>
  <si>
    <t>1570718106787</t>
  </si>
  <si>
    <t>-Lqq557-tUBGVK1zNMwx</t>
  </si>
  <si>
    <t>1570718112953</t>
  </si>
  <si>
    <t>-Lqq56rQscHPiGWuk0-Y</t>
  </si>
  <si>
    <t>1570718120223</t>
  </si>
  <si>
    <t>-Lqq58MV9VL-P_EdMFFS</t>
  </si>
  <si>
    <t>1570718126385</t>
  </si>
  <si>
    <t>-Lqq5A5jYeP_loQbaVwq</t>
  </si>
  <si>
    <t>1570718133549</t>
  </si>
  <si>
    <t>-Lqq5Bbx6vvS90Mdl0KG</t>
  </si>
  <si>
    <t>1570718139750</t>
  </si>
  <si>
    <t>-Lqq5D8kbjPZI5tEKjgt</t>
  </si>
  <si>
    <t>1570718145984</t>
  </si>
  <si>
    <t>-Lqq5Et0et92hzpzscCZ</t>
  </si>
  <si>
    <t>1570718152144</t>
  </si>
  <si>
    <t>-Lqq5GPUAgrTKNdWYEKC</t>
  </si>
  <si>
    <t>1570718159344</t>
  </si>
  <si>
    <t>-Lqq5Huj4aDiWXo5e76m</t>
  </si>
  <si>
    <t>1570718165510</t>
  </si>
  <si>
    <t>-Lqq5JQx5_JqwhhT8mnQ</t>
  </si>
  <si>
    <t>1570718171744</t>
  </si>
  <si>
    <t>-Lqq5KwfgUg_2Ok-fnTm</t>
  </si>
  <si>
    <t>1570718177906</t>
  </si>
  <si>
    <t>-Lqq5MReXgXRtQV57QqD</t>
  </si>
  <si>
    <t>1570718184063</t>
  </si>
  <si>
    <t>-Lqq5NyC4SsyUxfxmpYq</t>
  </si>
  <si>
    <t>1570718190302</t>
  </si>
  <si>
    <t>-Lqq5PSFnI7ZGcrIVZBX</t>
  </si>
  <si>
    <t>1570718196389</t>
  </si>
  <si>
    <t>-Lqq5QyjCaR4C_GYBqMd</t>
  </si>
  <si>
    <t>1570718202625</t>
  </si>
  <si>
    <t>-Lqq5SUwHL6VhyKm5P-L</t>
  </si>
  <si>
    <t>1570718208785</t>
  </si>
  <si>
    <t>-Lqq5U-VravLPrzRIzN3</t>
  </si>
  <si>
    <t>1570718215020</t>
  </si>
  <si>
    <t>-Lqq5VVleY7iHzZzsJjA</t>
  </si>
  <si>
    <t>1570718221184</t>
  </si>
  <si>
    <t>-Lqq5X00evfaE7pYMXhP</t>
  </si>
  <si>
    <t>1570718227345</t>
  </si>
  <si>
    <t>-Lqq5YV-fmcPTq88pGxI</t>
  </si>
  <si>
    <t>1570718233509</t>
  </si>
  <si>
    <t>-Lqq5_3-9mzO6jyxs43a</t>
  </si>
  <si>
    <t>1570718239740</t>
  </si>
  <si>
    <t>-Lqq5amxwFazmTnlBdu1</t>
  </si>
  <si>
    <t>1570718246948</t>
  </si>
  <si>
    <t>-Lqq5cIWWnh8f6phV-2q</t>
  </si>
  <si>
    <t>1570718253105</t>
  </si>
  <si>
    <t>-Lqq5dnl-PutqjJG363i</t>
  </si>
  <si>
    <t>1570718259324</t>
  </si>
  <si>
    <t>-Lqq5fJx3BsRbs2j42kq</t>
  </si>
  <si>
    <t>1570718265513</t>
  </si>
  <si>
    <t>-Lqq5gqkobuWBHVjGaNX</t>
  </si>
  <si>
    <t>1570718271666</t>
  </si>
  <si>
    <t>-Lqq5ibTSJrU-PjyHgmV</t>
  </si>
  <si>
    <t>1570718278876</t>
  </si>
  <si>
    <t>-Lqq5k5EvNH42o8SBpKn</t>
  </si>
  <si>
    <t>1570718285028</t>
  </si>
  <si>
    <t>-Lqq5lapGPE7ZEAbdHve</t>
  </si>
  <si>
    <t>1570718291215</t>
  </si>
  <si>
    <t>-Lqq5n7QzIZCNyfPLvkE</t>
  </si>
  <si>
    <t>1570718297449</t>
  </si>
  <si>
    <t>-Lqq5occygP74iYPrWkU</t>
  </si>
  <si>
    <t>1570718303609</t>
  </si>
  <si>
    <t>-Lqq5q7sASujjLFx8aXl</t>
  </si>
  <si>
    <t>1570718309769</t>
  </si>
  <si>
    <t>-Lqq5rd9AZueItVwG7sP</t>
  </si>
  <si>
    <t>1570718315995</t>
  </si>
  <si>
    <t>-Lqq5t8N5_99lOvBzlw9</t>
  </si>
  <si>
    <t>1570718322164</t>
  </si>
  <si>
    <t>-Lqq5ug91uLJ1AF2uF3b</t>
  </si>
  <si>
    <t>1570718328329</t>
  </si>
  <si>
    <t>-Lqq5wQPb88KA2QvTSwF</t>
  </si>
  <si>
    <t>1570718335525</t>
  </si>
  <si>
    <t>-Lqq5xve54ZkaCZ9kuku</t>
  </si>
  <si>
    <t>1570718341750</t>
  </si>
  <si>
    <t>-Lqq5zQt-1iYvHnQi_Ox</t>
  </si>
  <si>
    <t>1570718347923</t>
  </si>
  <si>
    <t>-Lqq6-xPhM9_jwjik-hv</t>
  </si>
  <si>
    <t>1570718354089</t>
  </si>
  <si>
    <t>-Lqq61kf4U0hD9VBjH07</t>
  </si>
  <si>
    <t>1570718360250</t>
  </si>
  <si>
    <t>-Lqq63TS7-z2Skueb2-J</t>
  </si>
  <si>
    <t>1570718368496</t>
  </si>
  <si>
    <t>-Lqq64zuIt2AB2EEQ-MK</t>
  </si>
  <si>
    <t>1570718374733</t>
  </si>
  <si>
    <t>-Lqq66Tup6WiX3o067wJ</t>
  </si>
  <si>
    <t>1570718380890</t>
  </si>
  <si>
    <t>-Lqq67zOIeEhf8J09Wl6</t>
  </si>
  <si>
    <t>1570718387047</t>
  </si>
  <si>
    <t>-Lqq69Ve1nxzGphwi4Yg</t>
  </si>
  <si>
    <t>1570718393276</t>
  </si>
  <si>
    <t>-Lqq6B-vcDH87cKi2R_V</t>
  </si>
  <si>
    <t>1570718399445</t>
  </si>
  <si>
    <t>-Lqq6CXC0pbudtzCT7JB</t>
  </si>
  <si>
    <t>1570718405611</t>
  </si>
  <si>
    <t>-Lqq6E4AVnEQihy0cQM8</t>
  </si>
  <si>
    <t>1570718411772</t>
  </si>
  <si>
    <t>-Lqq6FoQ-21vW9s2Tw9M</t>
  </si>
  <si>
    <t>1570718419034</t>
  </si>
  <si>
    <t>-Lqq6HKujN5XcmGl5TNY</t>
  </si>
  <si>
    <t>1570718425216</t>
  </si>
  <si>
    <t>-Lqq6J49a02UEh0bpvDG</t>
  </si>
  <si>
    <t>1570718432417</t>
  </si>
  <si>
    <t>-Lqq6K_LZXashbcrWSH7</t>
  </si>
  <si>
    <t>1570718438570</t>
  </si>
  <si>
    <t>-Lqq6M5wnxRRS9zbIz4u</t>
  </si>
  <si>
    <t>1570718444811</t>
  </si>
  <si>
    <t>-Lqq6Nb9kmf04nUbv0mZ</t>
  </si>
  <si>
    <t>1570718450965</t>
  </si>
  <si>
    <t>-Lqq6P6AtgBOkXrqk4FE</t>
  </si>
  <si>
    <t>1570718457126</t>
  </si>
  <si>
    <t>-Lqq6Qbfl6oKR9TXuuhi</t>
  </si>
  <si>
    <t>1570718463297</t>
  </si>
  <si>
    <t>-Lqq6S8BVM6GRK75weo1</t>
  </si>
  <si>
    <t>1570718469530</t>
  </si>
  <si>
    <t>-Lqq6TcBNVwUZgeanJCn</t>
  </si>
  <si>
    <t>1570718475660</t>
  </si>
  <si>
    <t>-Lqq6V8elzgw8dBgRSBH</t>
  </si>
  <si>
    <t>1570718481851</t>
  </si>
  <si>
    <t>-Lqq6WdwGBHaRbJgieH1</t>
  </si>
  <si>
    <t>1570718488075</t>
  </si>
  <si>
    <t>-Lqq6Y9EwiTlzMmii9Vb</t>
  </si>
  <si>
    <t>1570718494216</t>
  </si>
  <si>
    <t>-Lqq6ZffgGNzVyHIolNK</t>
  </si>
  <si>
    <t>1570718500410</t>
  </si>
  <si>
    <t>-Lqq6aBCOmf18UMh1JNN</t>
  </si>
  <si>
    <t>1570718506576</t>
  </si>
  <si>
    <t>-Lqq6bhQEFQIlhHbhC7W</t>
  </si>
  <si>
    <t>1570718512820</t>
  </si>
  <si>
    <t>-Lqq6dF6iNGqvC7Toc60</t>
  </si>
  <si>
    <t>1570718518970</t>
  </si>
  <si>
    <t>-Lqq6eyCPA2_6mxLOUyj</t>
  </si>
  <si>
    <t>1570718526167</t>
  </si>
  <si>
    <t>-Lqq6gTQcXzI0OPz4nNS</t>
  </si>
  <si>
    <t>1570718532337</t>
  </si>
  <si>
    <t>-Lqq6i0Auxl0XoWfPEtB</t>
  </si>
  <si>
    <t>1570718538571</t>
  </si>
  <si>
    <t>-Lqq6jkQbPC_Xen41fen</t>
  </si>
  <si>
    <t>1570718545777</t>
  </si>
  <si>
    <t>-Lqq6lFa80T5Q1ZqYY3o</t>
  </si>
  <si>
    <t>1570718551931</t>
  </si>
  <si>
    <t>-Lqq6mkv-26491av_SaY</t>
  </si>
  <si>
    <t>1570718558090</t>
  </si>
  <si>
    <t>-Lqq6oVAnjzdwZdNB4oU</t>
  </si>
  <si>
    <t>1570718565256</t>
  </si>
  <si>
    <t>-Lqq6q1w4FvJ4QvcKw4v</t>
  </si>
  <si>
    <t>1570718571525</t>
  </si>
  <si>
    <t>-Lqq6rnN0Rpp_h8-H6sX</t>
  </si>
  <si>
    <t>1570718578744</t>
  </si>
  <si>
    <t>-Lqq6te7qwxcki5TtNCj</t>
  </si>
  <si>
    <t>1570718584887</t>
  </si>
  <si>
    <t>-Lqq6vKc86MXmqlTvnk2</t>
  </si>
  <si>
    <t>1570718593128</t>
  </si>
  <si>
    <t>-Lqq6wpsnfx0lRCce61W</t>
  </si>
  <si>
    <t>1570718599367</t>
  </si>
  <si>
    <t>-Lqq6yJtXyLhUew5lTt7</t>
  </si>
  <si>
    <t>1570718605508</t>
  </si>
  <si>
    <t>-Lqq6zq76dKwOrYgIcx7</t>
  </si>
  <si>
    <t>1570718611688</t>
  </si>
  <si>
    <t>-Lqq70LYiZ1tCHfWHPiB</t>
  </si>
  <si>
    <t>1570718617907</t>
  </si>
  <si>
    <t>-Lqq71suyj3DPHExksmm</t>
  </si>
  <si>
    <t>1570718624058</t>
  </si>
  <si>
    <t>-Lqq73Q8Bd8zK4bWbkUh</t>
  </si>
  <si>
    <t>1570718630217</t>
  </si>
  <si>
    <t>-Lqq758dA8sVsKPtVDvL</t>
  </si>
  <si>
    <t>1570718637497</t>
  </si>
  <si>
    <t>-Lqq76bPMnS_gvF6ZH9R</t>
  </si>
  <si>
    <t>1570718643656</t>
  </si>
  <si>
    <t>-Lqq7897HH56FsIG4REI</t>
  </si>
  <si>
    <t>1570718649821</t>
  </si>
  <si>
    <t>-Lqq79ePsqCKyhgCezea</t>
  </si>
  <si>
    <t>1570718655982</t>
  </si>
  <si>
    <t>-Lqq7BAuOebptWiLcxKy</t>
  </si>
  <si>
    <t>1570718662222</t>
  </si>
  <si>
    <t>-Lqq7D1c3SQBDGXUG5CD</t>
  </si>
  <si>
    <t>1570718668357</t>
  </si>
  <si>
    <t>-Lqq7EfeEs5e1Q5NFfJR</t>
  </si>
  <si>
    <t>1570718676612</t>
  </si>
  <si>
    <t>-Lqq7GC8QUtMqm2rVHG3</t>
  </si>
  <si>
    <t>1570718682777</t>
  </si>
  <si>
    <t>-Lqq7HytGAnz4O2EWGWp</t>
  </si>
  <si>
    <t>1570718689998</t>
  </si>
  <si>
    <t>-Lqq7JU8GzGpo_MGIbv1</t>
  </si>
  <si>
    <t>1570718696203</t>
  </si>
  <si>
    <t>-Lqq7KzJ8LPGEZfNig-I</t>
  </si>
  <si>
    <t>1570718702382</t>
  </si>
  <si>
    <t>-Lqq7MUeZX0ICL5enFAU</t>
  </si>
  <si>
    <t>1570718708568</t>
  </si>
  <si>
    <t>-Lqq7O0A2J6MOUzYbsI7</t>
  </si>
  <si>
    <t>1570718714778</t>
  </si>
  <si>
    <t>-Lqq7PmtkyMkq76YCBmT</t>
  </si>
  <si>
    <t>1570718721978</t>
  </si>
  <si>
    <t>-Lqq7RWtzNQVH_9Enpao</t>
  </si>
  <si>
    <t>1570718729177</t>
  </si>
  <si>
    <t>-Lqq7T1cvTTvp2SYjBN7</t>
  </si>
  <si>
    <t>1570718735337</t>
  </si>
  <si>
    <t>-Lqq7UXdLaX4HXKS4yOz</t>
  </si>
  <si>
    <t>1570718741562</t>
  </si>
  <si>
    <t>-Lqq7W2ufO9Tna9mLi4M</t>
  </si>
  <si>
    <t>1570718747738</t>
  </si>
  <si>
    <t>-Lqq7XZPodUaX_XqMtWt</t>
  </si>
  <si>
    <t>1570718753900</t>
  </si>
  <si>
    <t>-Lqq7Z3d3IlPt4Om32wv</t>
  </si>
  <si>
    <t>1570718760062</t>
  </si>
  <si>
    <t>-Lqq7_aJyEPIKGAUOovm</t>
  </si>
  <si>
    <t>1570718766312</t>
  </si>
  <si>
    <t>-Lqq7b48NH5vXtd2Ecsv</t>
  </si>
  <si>
    <t>1570718772423</t>
  </si>
  <si>
    <t>-Lqq7cady_iGe1ccA8Ij</t>
  </si>
  <si>
    <t>1570718778618</t>
  </si>
  <si>
    <t>-Lqq7e5ujDeggfWraRYt</t>
  </si>
  <si>
    <t>1570718784852</t>
  </si>
  <si>
    <t>-Lqq7fvB8lwgvvegGKfl</t>
  </si>
  <si>
    <t>1570718791013</t>
  </si>
  <si>
    <t>-Lqq7hc1uUgyOm_LGxhS</t>
  </si>
  <si>
    <t>1570718799256</t>
  </si>
  <si>
    <t>-Lqq7j8aIPpcS2AYwdDZ</t>
  </si>
  <si>
    <t>1570718805419</t>
  </si>
  <si>
    <t>-Lqq7kdgSYU0LyqaOQrv</t>
  </si>
  <si>
    <t>1570718811584</t>
  </si>
  <si>
    <t>-Lqq7mA1XTKLE5Yg-ZI8</t>
  </si>
  <si>
    <t>1570718817820</t>
  </si>
  <si>
    <t>-Lqq7neFr2bsxq74-JIA</t>
  </si>
  <si>
    <t>1570718823976</t>
  </si>
  <si>
    <t>-Lqq7pAhxy5sOVL4rgHu</t>
  </si>
  <si>
    <t>1570718830144</t>
  </si>
  <si>
    <t>-Lqq7qje2JE_KbhKWk8W</t>
  </si>
  <si>
    <t>1570718836374</t>
  </si>
  <si>
    <t>-Lqq7sSkLvwGHbg73NRT</t>
  </si>
  <si>
    <t>1570718843579</t>
  </si>
  <si>
    <t>-Lqq7ty06rJ3bbcD9RqT</t>
  </si>
  <si>
    <t>1570718849744</t>
  </si>
  <si>
    <t>-Lqq7vTAtCEmQjoa4XLz</t>
  </si>
  <si>
    <t>1570718855906</t>
  </si>
  <si>
    <t>-Lqq7wzi_qc_LWjTTKyS</t>
  </si>
  <si>
    <t>1570718862139</t>
  </si>
  <si>
    <t>-Lqq7yTfHTqceiUBq9fR</t>
  </si>
  <si>
    <t>1570718868295</t>
  </si>
  <si>
    <t>-Lqq8-Lf5hjxOT0iddP9</t>
  </si>
  <si>
    <t>1570718875970</t>
  </si>
  <si>
    <t>-Lqq81-vHswDPNmh6QiW</t>
  </si>
  <si>
    <t>1570718882702</t>
  </si>
  <si>
    <t>-Lqq82Zyq6FqvmLCJ2DZ</t>
  </si>
  <si>
    <t>1570718888921</t>
  </si>
  <si>
    <t>-Lqq84ZRdfvDPYqyj709</t>
  </si>
  <si>
    <t>1570718896095</t>
  </si>
  <si>
    <t>-Lqq86Ifr-z2hKV4CEr-</t>
  </si>
  <si>
    <t>1570718904379</t>
  </si>
  <si>
    <t>-Lqq87nwWWLjn1bOl604</t>
  </si>
  <si>
    <t>1570718910539</t>
  </si>
  <si>
    <t>-Lqq89IxFMBjNYQTI4wR</t>
  </si>
  <si>
    <t>1570718916700</t>
  </si>
  <si>
    <t>-Lqq8AoX85bYboZjPMes</t>
  </si>
  <si>
    <t>1570718922936</t>
  </si>
  <si>
    <t>-Lqq8CKv9DDCrCdbfOlk</t>
  </si>
  <si>
    <t>1570718929100</t>
  </si>
  <si>
    <t>-Lqq8DqANAi6E1gWtQnr</t>
  </si>
  <si>
    <t>1570718935259</t>
  </si>
  <si>
    <t>-Lqq8FLRT8INEw7HCjTb</t>
  </si>
  <si>
    <t>1570718941425</t>
  </si>
  <si>
    <t>-Lqq8HLmqvojUDPtbuiP</t>
  </si>
  <si>
    <t>1570718947661</t>
  </si>
  <si>
    <t>-Lqq8IsfxJYOemzkJTNv</t>
  </si>
  <si>
    <t>1570718955899</t>
  </si>
  <si>
    <t>-Lqq8KNveXLA9aBnZmn7</t>
  </si>
  <si>
    <t>1570718962060</t>
  </si>
  <si>
    <t>-Lqq8LtCqtPLWQ_AGOsT</t>
  </si>
  <si>
    <t>1570718968220</t>
  </si>
  <si>
    <t>-Lqq8NPgMtqfpT1yWW8N</t>
  </si>
  <si>
    <t>1570718974460</t>
  </si>
  <si>
    <t>-Lqq8Otg-zzT4F0Oqlnb</t>
  </si>
  <si>
    <t>1570718980597</t>
  </si>
  <si>
    <t>-Lqq8QQCGqY7P_y1s1o8</t>
  </si>
  <si>
    <t>1570718986782</t>
  </si>
  <si>
    <t>-Lqq8RvQ-QXaAufFUlBW</t>
  </si>
  <si>
    <t>1570718992949</t>
  </si>
  <si>
    <t>-Lqq8TRsFCG62IlhP0Iw</t>
  </si>
  <si>
    <t>1570718999191</t>
  </si>
  <si>
    <t>-Lqq8VeMzlsnybuw5Wtg</t>
  </si>
  <si>
    <t>1570719007375</t>
  </si>
  <si>
    <t>-Lqq8XVuRAucAluBcTYb</t>
  </si>
  <si>
    <t>1570719014618</t>
  </si>
  <si>
    <t>-Lqq8ZCedAxem67nyObO</t>
  </si>
  <si>
    <t>1570719022844</t>
  </si>
  <si>
    <t>-Lqq8_j7eoEmiVGHgU8q</t>
  </si>
  <si>
    <t>1570719029017</t>
  </si>
  <si>
    <t>-Lqq8bEO5v4eVDgBGRVW</t>
  </si>
  <si>
    <t>1570719035242</t>
  </si>
  <si>
    <t>-Lqq8ckuYE0zrJACrkvm</t>
  </si>
  <si>
    <t>1570719041418</t>
  </si>
  <si>
    <t>-Lqq8eFulqIepElXwgot</t>
  </si>
  <si>
    <t>1570719047645</t>
  </si>
  <si>
    <t>-Lqq8flOM1eg6hnbz_qN</t>
  </si>
  <si>
    <t>1570719053737</t>
  </si>
  <si>
    <t>-Lqq8hGQWWnd_6tEF5R9</t>
  </si>
  <si>
    <t>1570719059932</t>
  </si>
  <si>
    <t>-Lqq8in9R2IdOKxz1kX2</t>
  </si>
  <si>
    <t>1570719066138</t>
  </si>
  <si>
    <t>-Lqq8kIVtvUC8ZBA64Fv</t>
  </si>
  <si>
    <t>1570719072298</t>
  </si>
  <si>
    <t>-Lqq8ln_aJsszkv_173C</t>
  </si>
  <si>
    <t>1570719078522</t>
  </si>
  <si>
    <t>-Lqq8nIuHXsgqxgCixg9</t>
  </si>
  <si>
    <t>1570719084693</t>
  </si>
  <si>
    <t>-Lqq8onogOV2AsWT-KiV</t>
  </si>
  <si>
    <t>1570719090852</t>
  </si>
  <si>
    <t>-Lqq8qKeSaX_rgg_OdDc</t>
  </si>
  <si>
    <t>1570719097017</t>
  </si>
  <si>
    <t>-Lqq8rr78gobSDLw5VmT</t>
  </si>
  <si>
    <t>1570719103254</t>
  </si>
  <si>
    <t>-Lqq8tMe0mo7ImX8pCGY</t>
  </si>
  <si>
    <t>1570719109428</t>
  </si>
  <si>
    <t>-Lqq8v7qZcsgqJLXDnr5</t>
  </si>
  <si>
    <t>1570719116640</t>
  </si>
  <si>
    <t>-Lqq8wbvuJAe3B5P63Vq</t>
  </si>
  <si>
    <t>1570719122777</t>
  </si>
  <si>
    <t>-Lqq8y8dohkx8amhdHO9</t>
  </si>
  <si>
    <t>1570719129017</t>
  </si>
  <si>
    <t>-Lqq8zuAAPH76tezVJCm</t>
  </si>
  <si>
    <t>1570719136218</t>
  </si>
  <si>
    <t>-Lqq90POEIstu11E4uR2</t>
  </si>
  <si>
    <t>1570719142379</t>
  </si>
  <si>
    <t>-Lqq91uc2KB5Tm3pooV-</t>
  </si>
  <si>
    <t>1570719148537</t>
  </si>
  <si>
    <t>-Lqq93_Y4KLwxiphLh7X</t>
  </si>
  <si>
    <t>1570719154777</t>
  </si>
  <si>
    <t>-Lqq95Bfyl7ap4AvOuLj</t>
  </si>
  <si>
    <t>1570719161977</t>
  </si>
  <si>
    <t>-Lqq96gtuLzUKNi4w5M8</t>
  </si>
  <si>
    <t>1570719168140</t>
  </si>
  <si>
    <t>-Lqq98AtFbgjGNfMdBkQ</t>
  </si>
  <si>
    <t>1570719174304</t>
  </si>
  <si>
    <t>-Lqq99gqIb-QhNHyptq1</t>
  </si>
  <si>
    <t>1570719180533</t>
  </si>
  <si>
    <t>-Lqq9BCdSgVlb1q7G2ws</t>
  </si>
  <si>
    <t>1570719186677</t>
  </si>
  <si>
    <t>-Lqq9CleBYSuQjEqCz4e</t>
  </si>
  <si>
    <t>1570719192858</t>
  </si>
  <si>
    <t>-Lqq9EENP1iMSAwlb95u</t>
  </si>
  <si>
    <t>1570719199077</t>
  </si>
  <si>
    <t>-Lqq9FnONilKTzHm39Wl</t>
  </si>
  <si>
    <t>1570719205257</t>
  </si>
  <si>
    <t>-Lqq9HWOtgEJ3f-HDRyj</t>
  </si>
  <si>
    <t>1570719212457</t>
  </si>
  <si>
    <t>-Lqq9J0e2hwnf4kHpGCo</t>
  </si>
  <si>
    <t>1570719218661</t>
  </si>
  <si>
    <t>-Lqq9KnO5Gbewh9JD2Oo</t>
  </si>
  <si>
    <t>1570719225994</t>
  </si>
  <si>
    <t>-Lqq9MHOFKTHQG-N1-4Q</t>
  </si>
  <si>
    <t>1570719231985</t>
  </si>
  <si>
    <t>-Lqq9Np-Ci18pOQIfCNO</t>
  </si>
  <si>
    <t>1570719238218</t>
  </si>
  <si>
    <t>-Lqq9PIvtWyDTVgdzVMQ</t>
  </si>
  <si>
    <t>1570719244377</t>
  </si>
  <si>
    <t>-Lqq9QpdRuGYgrNpteV9</t>
  </si>
  <si>
    <t>1570719250617</t>
  </si>
  <si>
    <t>-Lqq9SNMOaOskowu_uVh</t>
  </si>
  <si>
    <t>1570719256771</t>
  </si>
  <si>
    <t>-Lqq9U5OZSUNmTms5xzQ</t>
  </si>
  <si>
    <t>1570719263977</t>
  </si>
  <si>
    <t>-Lqq9VadBmzwAnq0YZjC</t>
  </si>
  <si>
    <t>1570719270138</t>
  </si>
  <si>
    <t>-Lqq9X6qSrKZHsitazrx</t>
  </si>
  <si>
    <t>1570719276377</t>
  </si>
  <si>
    <t>-Lqq9YcNe1szfNWWp2mK</t>
  </si>
  <si>
    <t>1570719282553</t>
  </si>
  <si>
    <t>-Lqq9_Nt5dOc0KOOpm2V</t>
  </si>
  <si>
    <t>1570719289737</t>
  </si>
  <si>
    <t>-Lqq9auO0OhRJFYqmuwT</t>
  </si>
  <si>
    <t>1570719295896</t>
  </si>
  <si>
    <t>-Lqq9cOOrDQwc5NAGRYU</t>
  </si>
  <si>
    <t>1570719302059</t>
  </si>
  <si>
    <t>-Lqq9dtiBW9iHFXQO9Bd</t>
  </si>
  <si>
    <t>1570719308267</t>
  </si>
  <si>
    <t>-Lqq9fQ8znoPrm6eNqZP</t>
  </si>
  <si>
    <t>1570719314458</t>
  </si>
  <si>
    <t>-Lqq9gvP13UUYsNUb0I1</t>
  </si>
  <si>
    <t>1570719320623</t>
  </si>
  <si>
    <t>-Lqq9iRtnoIZQN3Lxg7o</t>
  </si>
  <si>
    <t>1570719326857</t>
  </si>
  <si>
    <t>-Lqq9jvuKva8VbjDwcLJ</t>
  </si>
  <si>
    <t>1570719333023</t>
  </si>
  <si>
    <t>-Lqq9lSNkT5mR9YmBtyA</t>
  </si>
  <si>
    <t>1570719339179</t>
  </si>
  <si>
    <t>-Lqq9nIgrNywY-_em7gL</t>
  </si>
  <si>
    <t>1570719345343</t>
  </si>
  <si>
    <t>-Lqq9oyOBPubZYckcIC5</t>
  </si>
  <si>
    <t>1570719353616</t>
  </si>
  <si>
    <t>-Lqq9qTgTUxvHApUcvct</t>
  </si>
  <si>
    <t>1570719359811</t>
  </si>
  <si>
    <t>-Lqq9s0QUtpbfb18_iVB</t>
  </si>
  <si>
    <t>1570719365980</t>
  </si>
  <si>
    <t>-Lqq9tqwJJHNb4iUxzQ8</t>
  </si>
  <si>
    <t>1570719373405</t>
  </si>
  <si>
    <t>-Lqq9vXORq2x0W3LmG_p</t>
  </si>
  <si>
    <t>1570719380463</t>
  </si>
  <si>
    <t>-Lqq9x1hh3MTshqFT3WP</t>
  </si>
  <si>
    <t>1570719386638</t>
  </si>
  <si>
    <t>-Lqq9yXu5wYPtowV4-rR</t>
  </si>
  <si>
    <t>1570719392773</t>
  </si>
  <si>
    <t>-LqqA-Ku83Yo1xVlo-AG</t>
  </si>
  <si>
    <t>1570719398943</t>
  </si>
  <si>
    <t>-LqqA15QgvgyxIgU7qYi</t>
  </si>
  <si>
    <t>1570719407248</t>
  </si>
  <si>
    <t>-LqqA2oQl8YV1LPqWuF2</t>
  </si>
  <si>
    <t>1570719414453</t>
  </si>
  <si>
    <t>-LqqA4KqFDDw5HDcIqEB</t>
  </si>
  <si>
    <t>1570719420618</t>
  </si>
  <si>
    <t>-LqqA5rO191lD4EAPJVB</t>
  </si>
  <si>
    <t>1570719426778</t>
  </si>
  <si>
    <t>-LqqA7LQy64mNWOfVAtA</t>
  </si>
  <si>
    <t>1570719432943</t>
  </si>
  <si>
    <t>-LqqA9CBeEw39eRIfVBm</t>
  </si>
  <si>
    <t>1570719439456</t>
  </si>
  <si>
    <t>-LqqAArQgbnr-hmIbEtT</t>
  </si>
  <si>
    <t>1570719447419</t>
  </si>
  <si>
    <t>-LqqACNwy7bp8KT5QJlW</t>
  </si>
  <si>
    <t>1570719453581</t>
  </si>
  <si>
    <t>-LqqADtB21-iDQSqSZ05</t>
  </si>
  <si>
    <t>1570719459749</t>
  </si>
  <si>
    <t>-LqqAFPgo7tsUw0QBBqU</t>
  </si>
  <si>
    <t>1570719465981</t>
  </si>
  <si>
    <t>-LqqAGtgWYEcvpOpdxCH</t>
  </si>
  <si>
    <t>1570719472104</t>
  </si>
  <si>
    <t>-LqqAIQ5LIoyZvyDvONP</t>
  </si>
  <si>
    <t>1570719478303</t>
  </si>
  <si>
    <t>-LqqAJwhJ2Xkl4Zm4JJ3</t>
  </si>
  <si>
    <t>1570719484526</t>
  </si>
  <si>
    <t>-LqqALQgk2RwVV15BitB</t>
  </si>
  <si>
    <t>1570719490621</t>
  </si>
  <si>
    <t>-LqqAMxBAoW-fFyZFd_x</t>
  </si>
  <si>
    <t>1570719496860</t>
  </si>
  <si>
    <t>-LqqAOXTvzAhTy574x90</t>
  </si>
  <si>
    <t>1570719503019</t>
  </si>
  <si>
    <t>-LqqAQCwaX_KmZgBAylV</t>
  </si>
  <si>
    <t>1570719510285</t>
  </si>
  <si>
    <t>-LqqARjMuqTKIRm_Jx7j</t>
  </si>
  <si>
    <t>1570719516455</t>
  </si>
  <si>
    <t>-LqqATEgq4tHE9LkXfUl</t>
  </si>
  <si>
    <t>1570719522621</t>
  </si>
  <si>
    <t>-LqqAUjq6O1nmYCUdL-L</t>
  </si>
  <si>
    <t>1570719528779</t>
  </si>
  <si>
    <t>-LqqAWGSiQlZVXjy_E9m</t>
  </si>
  <si>
    <t>1570719535017</t>
  </si>
  <si>
    <t>-LqqAXnx6W8HoefN8huz</t>
  </si>
  <si>
    <t>1570719541179</t>
  </si>
  <si>
    <t>-LqqAZYBGyZK0qdJG4Fl</t>
  </si>
  <si>
    <t>1570719548374</t>
  </si>
  <si>
    <t>-LqqAa1RmWRFeK1wbQh4</t>
  </si>
  <si>
    <t>1570719554542</t>
  </si>
  <si>
    <t>-LqqAbYiiNnkdZiRqlw7</t>
  </si>
  <si>
    <t>1570719560779</t>
  </si>
  <si>
    <t>-LqqAd2x7MApCFb0N56D</t>
  </si>
  <si>
    <t>1570719566944</t>
  </si>
  <si>
    <t>-LqqAeYCpfkJXaPULN98</t>
  </si>
  <si>
    <t>1570719573099</t>
  </si>
  <si>
    <t>-LqqAg3hTmm8RmXZOgvv</t>
  </si>
  <si>
    <t>1570719579264</t>
  </si>
  <si>
    <t>-LqqAha77-l2w2pO1khO</t>
  </si>
  <si>
    <t>1570719585501</t>
  </si>
  <si>
    <t>-LqqAj5QkBHf9HL_ABrM</t>
  </si>
  <si>
    <t>1570719591660</t>
  </si>
  <si>
    <t>-LqqAkahqbp0Ztqce5-k</t>
  </si>
  <si>
    <t>1570719597814</t>
  </si>
  <si>
    <t>-LqqAm4j-GH5G60B68E7</t>
  </si>
  <si>
    <t>1570719604002</t>
  </si>
  <si>
    <t>-LqqAncR4a_PO-voJHY7</t>
  </si>
  <si>
    <t>1570719610219</t>
  </si>
  <si>
    <t>-LqqAp7p28E4MwP-MFmA</t>
  </si>
  <si>
    <t>1570719616396</t>
  </si>
  <si>
    <t>-LqqAqccgis_hsObKY6l</t>
  </si>
  <si>
    <t>1570719622551</t>
  </si>
  <si>
    <t>-LqqAs9QFq9LKtRzxcHZ</t>
  </si>
  <si>
    <t>1570719628780</t>
  </si>
  <si>
    <t>-LqqAtegYLzHVvjwby7T</t>
  </si>
  <si>
    <t>1570719634935</t>
  </si>
  <si>
    <t>-LqqAvAsP5p9XOrpZfef</t>
  </si>
  <si>
    <t>1570719641094</t>
  </si>
  <si>
    <t>-LqqAwzRnf0A66FL8giE</t>
  </si>
  <si>
    <t>1570719647339</t>
  </si>
  <si>
    <t>-LqqAyhASLpQ4R3RdG_X</t>
  </si>
  <si>
    <t>1570719655579</t>
  </si>
  <si>
    <t>-LqqB-CUtGsGNg_1oEiL</t>
  </si>
  <si>
    <t>1570719661747</t>
  </si>
  <si>
    <t>-LqqB0hiACnH73ahX5p7</t>
  </si>
  <si>
    <t>1570719667939</t>
  </si>
  <si>
    <t>-LqqB2CxCAwpCMctFPHK</t>
  </si>
  <si>
    <t>1570719674071</t>
  </si>
  <si>
    <t>-LqqB41bzBWSgr-d5usG</t>
  </si>
  <si>
    <t>1570719680299</t>
  </si>
  <si>
    <t>-LqqB61xXHFkG6cgkQtO</t>
  </si>
  <si>
    <t>1570719688542</t>
  </si>
  <si>
    <t>-LqqB7kv8IYsNiIQiAmR</t>
  </si>
  <si>
    <t>1570719696780</t>
  </si>
  <si>
    <t>-LqqB9NeELH4mFlQnuW-</t>
  </si>
  <si>
    <t>1570719702940</t>
  </si>
  <si>
    <t>-LqqBB1qx39ypvaDH_By</t>
  </si>
  <si>
    <t>1570719710141</t>
  </si>
  <si>
    <t>-LqqBCWxbgeermusb8aj</t>
  </si>
  <si>
    <t>1570719716305</t>
  </si>
  <si>
    <t>-LqqBEInUQZhoJsE9wYF</t>
  </si>
  <si>
    <t>1570719723607</t>
  </si>
  <si>
    <t>-LqqBFmj6tAwRIKPPYXz</t>
  </si>
  <si>
    <t>1570719729739</t>
  </si>
  <si>
    <t>-LqqBHJAkaekLWL5QNVJ</t>
  </si>
  <si>
    <t>1570719735909</t>
  </si>
  <si>
    <t>-LqqBIoDnYJ0o66ahpOv</t>
  </si>
  <si>
    <t>1570719742119</t>
  </si>
  <si>
    <t>-LqqBKKv56-zutBYP6b4</t>
  </si>
  <si>
    <t>1570719748299</t>
  </si>
  <si>
    <t>-LqqBLpi4YfQk1qIRYAO</t>
  </si>
  <si>
    <t>1570719754460</t>
  </si>
  <si>
    <t>-LqqBNLThPmrGwIpZurq</t>
  </si>
  <si>
    <t>1570719760635</t>
  </si>
  <si>
    <t>-LqqBOrv3ePuMJBQoh-i</t>
  </si>
  <si>
    <t>1570719766860</t>
  </si>
  <si>
    <t>-LqqBQcR1gHKPebwFzeW</t>
  </si>
  <si>
    <t>1570719774063</t>
  </si>
  <si>
    <t>-LqqBSNvNcu6ZACsMBCL</t>
  </si>
  <si>
    <t>1570719781264</t>
  </si>
  <si>
    <t>-LqqBTtB5BKmVRVGUCUs</t>
  </si>
  <si>
    <t>1570719787422</t>
  </si>
  <si>
    <t>-LqqBVayw-1TS2Ke7PY3</t>
  </si>
  <si>
    <t>1570719793724</t>
  </si>
  <si>
    <t>-LqqBXWrf62wx8FaI7W7</t>
  </si>
  <si>
    <t>1570719800859</t>
  </si>
  <si>
    <t>-LqqBZAvfdCVU4aaaLOx</t>
  </si>
  <si>
    <t>1570719809100</t>
  </si>
  <si>
    <t>-LqqB_ftrwnvJFL-ktHO</t>
  </si>
  <si>
    <t>1570719815262</t>
  </si>
  <si>
    <t>-LqqBbBQCRUAMZGn0fLH</t>
  </si>
  <si>
    <t>1570719821425</t>
  </si>
  <si>
    <t>-LqqBchwbD-7P3bhCWKR</t>
  </si>
  <si>
    <t>1570719827662</t>
  </si>
  <si>
    <t>-LqqBeByL_7fn-TJHPM_</t>
  </si>
  <si>
    <t>1570719833809</t>
  </si>
  <si>
    <t>-LqqBfiSd5-OXsMvr9KU</t>
  </si>
  <si>
    <t>1570719839982</t>
  </si>
  <si>
    <t>-LqqBhExsVto3yqrcn5G</t>
  </si>
  <si>
    <t>1570719846222</t>
  </si>
  <si>
    <t>-LqqBiiwFERkyl4Rux8H</t>
  </si>
  <si>
    <t>1570719852380</t>
  </si>
  <si>
    <t>-LqqBkFQ47L0ADo2VTus</t>
  </si>
  <si>
    <t>1570719858539</t>
  </si>
  <si>
    <t>-LqqBlklUs0Bi-1CAdng</t>
  </si>
  <si>
    <t>1570719864705</t>
  </si>
  <si>
    <t>-LqqBnXPTSzNdb5StMV4</t>
  </si>
  <si>
    <t>1570719871987</t>
  </si>
  <si>
    <t>-LqqBp48v1O0E6JFUDrl</t>
  </si>
  <si>
    <t>1570719878144</t>
  </si>
  <si>
    <t>-LqqBqn3yC7ctZlbHKYS</t>
  </si>
  <si>
    <t>1570719885336</t>
  </si>
  <si>
    <t>-LqqBsIRV_GsU51dTSU_</t>
  </si>
  <si>
    <t>1570719891497</t>
  </si>
  <si>
    <t>-LqqBtou0DIZ-bHmjGE8</t>
  </si>
  <si>
    <t>1570719897743</t>
  </si>
  <si>
    <t>-LqqBv_NjjWgPIZ0C2nk</t>
  </si>
  <si>
    <t>1570719904938</t>
  </si>
  <si>
    <t>-LqqBx4cJCUArDasIuKJ</t>
  </si>
  <si>
    <t>1570719911096</t>
  </si>
  <si>
    <t>-LqqBy_uZeAXEwO0UpuC</t>
  </si>
  <si>
    <t>1570719917258</t>
  </si>
  <si>
    <t>-LqqC-6NC0-YgXXZn1tj</t>
  </si>
  <si>
    <t>1570719923496</t>
  </si>
  <si>
    <t>-LqqC0bint_E-GO_VJle</t>
  </si>
  <si>
    <t>1570719929651</t>
  </si>
  <si>
    <t>-LqqC274wZ5CZf88Ev0-</t>
  </si>
  <si>
    <t>1570719935818</t>
  </si>
  <si>
    <t>-LqqC3bt9012GHNWfNjq</t>
  </si>
  <si>
    <t>1570719942047</t>
  </si>
  <si>
    <t>-LqqC58dfPdYQufnZ7Fm</t>
  </si>
  <si>
    <t>1570719948217</t>
  </si>
  <si>
    <t>-LqqC6dsykLKyu1DoSkz</t>
  </si>
  <si>
    <t>1570719954378</t>
  </si>
  <si>
    <t>-LqqC898dSFyJUZorLE-</t>
  </si>
  <si>
    <t>1570719960546</t>
  </si>
  <si>
    <t>-LqqC9fex4kI4TGi9qXd</t>
  </si>
  <si>
    <t>1570719966776</t>
  </si>
  <si>
    <t>-LqqCBAfIO-6dK7TNKIL</t>
  </si>
  <si>
    <t>1570719972936</t>
  </si>
  <si>
    <t>-LqqCCfwYbT9py0Ews0l</t>
  </si>
  <si>
    <t>1570719979096</t>
  </si>
  <si>
    <t>-LqqCEBNVOM3Odqexm43</t>
  </si>
  <si>
    <t>1570719985325</t>
  </si>
  <si>
    <t>-LqqCFgia7mUNoWj0MZH</t>
  </si>
  <si>
    <t>1570719991498</t>
  </si>
  <si>
    <t>-LqqCHD7OSXTohTtQaif</t>
  </si>
  <si>
    <t>1570719997657</t>
  </si>
  <si>
    <t>-LqqCIiO1PLzI6VTuRJv</t>
  </si>
  <si>
    <t>1570720003817</t>
  </si>
  <si>
    <t>-LqqCKEyWfMjNNA-wCGe</t>
  </si>
  <si>
    <t>1570720010056</t>
  </si>
  <si>
    <t>-LqqCLlNC29Q5ThcDUGr</t>
  </si>
  <si>
    <t>1570720016218</t>
  </si>
  <si>
    <t>-LqqCNWuDsUJy-yridw1</t>
  </si>
  <si>
    <t>1570720023417</t>
  </si>
  <si>
    <t>-LqqCPG9Q6-jk13PC3J4</t>
  </si>
  <si>
    <t>1570720030623</t>
  </si>
  <si>
    <t>-LqqCQlNRkgB538heQWQ</t>
  </si>
  <si>
    <t>1570720036843</t>
  </si>
  <si>
    <t>-LqqCSI4wyeSi34dub3J</t>
  </si>
  <si>
    <t>1570720042982</t>
  </si>
  <si>
    <t>-LqqCTnHJsjuiE4HOjWg</t>
  </si>
  <si>
    <t>1570720049178</t>
  </si>
  <si>
    <t>-LqqCVIPSLtEBp7KdbDH</t>
  </si>
  <si>
    <t>1570720055351</t>
  </si>
  <si>
    <t>-LqqCWoxo7kMEowAZsaJ</t>
  </si>
  <si>
    <t>1570720061577</t>
  </si>
  <si>
    <t>-LqqCYKIXiWvLsrEoV3r</t>
  </si>
  <si>
    <t>1570720067737</t>
  </si>
  <si>
    <t>-LqqCZpNKWHXmGG-sqDY</t>
  </si>
  <si>
    <t>1570720073898</t>
  </si>
  <si>
    <t>-LqqCab9UlPo8HbdG7C1</t>
  </si>
  <si>
    <t>1570720080063</t>
  </si>
  <si>
    <t>-LqqCc589MxIwvCu66mN</t>
  </si>
  <si>
    <t>1570720087263</t>
  </si>
  <si>
    <t>-LqqCde4UWaQNR6mLNqY</t>
  </si>
  <si>
    <t>1570720093497</t>
  </si>
  <si>
    <t>-LqqCfMygMFzdfy9U1rn</t>
  </si>
  <si>
    <t>1570720100698</t>
  </si>
  <si>
    <t>-LqqCgsPQ3H-LksWeEQf</t>
  </si>
  <si>
    <t>1570720106857</t>
  </si>
  <si>
    <t>-LqqCiNpHJw-0LZnfp1z</t>
  </si>
  <si>
    <t>1570720113037</t>
  </si>
  <si>
    <t>-LqqCjt2r01myMKBZUVd</t>
  </si>
  <si>
    <t>1570720119262</t>
  </si>
  <si>
    <t>-LqqClN6a5kTDNZohPbg</t>
  </si>
  <si>
    <t>1570720125393</t>
  </si>
  <si>
    <t>-LqqCnRZr_cykkMHTtIj</t>
  </si>
  <si>
    <t>1570720131597</t>
  </si>
  <si>
    <t>-LqqCpSI4jXNsKpQDkDs</t>
  </si>
  <si>
    <t>1570720140867</t>
  </si>
  <si>
    <t>-LqqCqvrC8pidWFhHxli</t>
  </si>
  <si>
    <t>1570720148083</t>
  </si>
  <si>
    <t>-LqqCtQM7vRRBLDUdGjh</t>
  </si>
  <si>
    <t>1570720154317</t>
  </si>
  <si>
    <t>-LqqCuxyx8uIHuToOOnI</t>
  </si>
  <si>
    <t>1570720164573</t>
  </si>
  <si>
    <t>-LqqCwVYNWzWqhHcolLU</t>
  </si>
  <si>
    <t>1570720170797</t>
  </si>
  <si>
    <t>-LqqCyDY8PlDMzEwfH59</t>
  </si>
  <si>
    <t>1570720177982</t>
  </si>
  <si>
    <t>-LqqCzxoX7FQe28zMy9j</t>
  </si>
  <si>
    <t>1570720184148</t>
  </si>
  <si>
    <t>-LqqD0Wn3EkmwUgq3i_7</t>
  </si>
  <si>
    <t>1570720191347</t>
  </si>
  <si>
    <t>-LqqD21CT4XrlFNhEnRe</t>
  </si>
  <si>
    <t>1570720197508</t>
  </si>
  <si>
    <t>-LqqD3WDZoqwbWr0Xr9l</t>
  </si>
  <si>
    <t>1570720203742</t>
  </si>
  <si>
    <t>-LqqD51Y288_gEQNZws3</t>
  </si>
  <si>
    <t>1570720209909</t>
  </si>
  <si>
    <t>-LqqD6WYOXLofDIqViFL</t>
  </si>
  <si>
    <t>1570720216086</t>
  </si>
  <si>
    <t>-LqqD850FZtMC_ia1ruQ</t>
  </si>
  <si>
    <t>1570720222257</t>
  </si>
  <si>
    <t>-LqqDAATLoqZfOunoPmX</t>
  </si>
  <si>
    <t>1570720230973</t>
  </si>
  <si>
    <t>-LqqDBsXomaPxvzQfn3d</t>
  </si>
  <si>
    <t>1570720237772</t>
  </si>
  <si>
    <t>-LqqDDaSidPtmrspgYFt</t>
  </si>
  <si>
    <t>1570720244974</t>
  </si>
  <si>
    <t>-LqqDF5wn7sqxIp_ahfd</t>
  </si>
  <si>
    <t>1570720251138</t>
  </si>
  <si>
    <t>-LqqDGaxsdHWhSoIEsVL</t>
  </si>
  <si>
    <t>1570720257292</t>
  </si>
  <si>
    <t>-LqqDI7SYWl_WanFuVQC</t>
  </si>
  <si>
    <t>1570720263534</t>
  </si>
  <si>
    <t>-LqqDJbSuUJzhQn4k4J4</t>
  </si>
  <si>
    <t>1570720269652</t>
  </si>
  <si>
    <t>-LqqDL7sshsRIM6Mculw</t>
  </si>
  <si>
    <t>1570720275852</t>
  </si>
  <si>
    <t>-LqqDMdBwHkcj69zpmN-</t>
  </si>
  <si>
    <t>1570720282017</t>
  </si>
  <si>
    <t>-LqqDOKwT3OQxeb59kUD</t>
  </si>
  <si>
    <t>1570720289010</t>
  </si>
  <si>
    <t>-LqqDPvB4_1GgHNRqoy4</t>
  </si>
  <si>
    <t>1570720295452</t>
  </si>
  <si>
    <t>-LqqDRjP7_Kd3g6Ns5aN</t>
  </si>
  <si>
    <t>1570720301614</t>
  </si>
  <si>
    <t>-LqqDTPuOEdQu0oS_dL3</t>
  </si>
  <si>
    <t>1570720309847</t>
  </si>
  <si>
    <t>-LqqDUxfEPuiZ4mp9htZ</t>
  </si>
  <si>
    <t>1570720316071</t>
  </si>
  <si>
    <t>-LqqDWUEvp0KBBKbNfIP</t>
  </si>
  <si>
    <t>1570720322252</t>
  </si>
  <si>
    <t>-LqqDYJf3bxBjhiuQhNZ</t>
  </si>
  <si>
    <t>1570720329915</t>
  </si>
  <si>
    <t>-LqqDZyvWsxlGbK-4njr</t>
  </si>
  <si>
    <t>1570720336650</t>
  </si>
  <si>
    <t>-LqqDaTtHfiHREQn-WP9</t>
  </si>
  <si>
    <t>1570720342812</t>
  </si>
  <si>
    <t>-LqqDc-euxmIaUfxmxJx</t>
  </si>
  <si>
    <t>1570720349050</t>
  </si>
  <si>
    <t>-LqqDdUjMKiU7hF8WdKO</t>
  </si>
  <si>
    <t>1570720355213</t>
  </si>
  <si>
    <t>-LqqDf0CjKfvWIlbtHK8</t>
  </si>
  <si>
    <t>1570720361374</t>
  </si>
  <si>
    <t>-LqqDgWQFrxJSKJPxlM6</t>
  </si>
  <si>
    <t>1570720367542</t>
  </si>
  <si>
    <t>-LqqDi0fIdRzdjxxw_qN</t>
  </si>
  <si>
    <t>1570720373721</t>
  </si>
  <si>
    <t>-LqqDjYBY1fdm-Uymax5</t>
  </si>
  <si>
    <t>1570720379936</t>
  </si>
  <si>
    <t>-LqqDl2LlFcevKzUa5o2</t>
  </si>
  <si>
    <t>1570720386092</t>
  </si>
  <si>
    <t>-LqqDmZw-10xGJeX7YSD</t>
  </si>
  <si>
    <t>1570720392326</t>
  </si>
  <si>
    <t>-LqqDo6kq10NM0HC9yk_</t>
  </si>
  <si>
    <t>1570720398493</t>
  </si>
  <si>
    <t>-LqqDppfvDGSvqqyu2C5</t>
  </si>
  <si>
    <t>1570720405690</t>
  </si>
  <si>
    <t>-LqqDrJNazu3XpwHvwAF</t>
  </si>
  <si>
    <t>1570720411847</t>
  </si>
  <si>
    <t>-LqqDsq9gsb_2DEgqnA3</t>
  </si>
  <si>
    <t>1570720418030</t>
  </si>
  <si>
    <t>-LqqDuMaGgJRgf3oodRA</t>
  </si>
  <si>
    <t>1570720424251</t>
  </si>
  <si>
    <t>-LqqDvrux8S5NqndWJkI</t>
  </si>
  <si>
    <t>1570720430410</t>
  </si>
  <si>
    <t>-LqqDxLvksGtM8amCGNb</t>
  </si>
  <si>
    <t>1570720436575</t>
  </si>
  <si>
    <t>-LqqDyyQpZis_s8I2jau</t>
  </si>
  <si>
    <t>1570720442805</t>
  </si>
  <si>
    <t>-LqqE-eBF8jkO97D12Q5</t>
  </si>
  <si>
    <t>1570720450012</t>
  </si>
  <si>
    <t>-LqqE186JEEO0dCoIbgx</t>
  </si>
  <si>
    <t>1570720456166</t>
  </si>
  <si>
    <t>-LqqE2h9m17Ng3XU-acn</t>
  </si>
  <si>
    <t>1570720462330</t>
  </si>
  <si>
    <t>-LqqE49uo7fRybk1NHgc</t>
  </si>
  <si>
    <t>1570720468495</t>
  </si>
  <si>
    <t>-LqqE5gPsl1c_iGwsa_B</t>
  </si>
  <si>
    <t>1570720474740</t>
  </si>
  <si>
    <t>-LqqE7BgFkDIhlnyXbY1</t>
  </si>
  <si>
    <t>1570720480890</t>
  </si>
  <si>
    <t>-LqqE8i9aetJSXY_9Imw</t>
  </si>
  <si>
    <t>1570720487132</t>
  </si>
  <si>
    <t>-LqqEAB0wx8ZExsoTszz</t>
  </si>
  <si>
    <t>1570720493286</t>
  </si>
  <si>
    <t>-LqqEBigfn64W6pWYvHg</t>
  </si>
  <si>
    <t>1570720499452</t>
  </si>
  <si>
    <t>-LqqEDDvkYEKmYE1Gybw</t>
  </si>
  <si>
    <t>1570720505628</t>
  </si>
  <si>
    <t>-LqqEEkQj_0--_DTxtQ7</t>
  </si>
  <si>
    <t>1570720511850</t>
  </si>
  <si>
    <t>-LqqEGowrVyBABgLxvDv</t>
  </si>
  <si>
    <t>1570720520277</t>
  </si>
  <si>
    <t>-LqqEIWdZfkXyIhOlagz</t>
  </si>
  <si>
    <t>1570720527293</t>
  </si>
  <si>
    <t>-LqqEK0wJnVihiYrxztX</t>
  </si>
  <si>
    <t>1570720533458</t>
  </si>
  <si>
    <t>-LqqELXBt9mTukYDillx</t>
  </si>
  <si>
    <t>1570720539622</t>
  </si>
  <si>
    <t>-LqqEN2jYzl_XBQVbnE9</t>
  </si>
  <si>
    <t>1570720545859</t>
  </si>
  <si>
    <t>-LqqEOZ0anYY9Xd6-dr2</t>
  </si>
  <si>
    <t>1570720552012</t>
  </si>
  <si>
    <t>-LqqEQ36YUQ3mTKW0SU3</t>
  </si>
  <si>
    <t>1570720558174</t>
  </si>
  <si>
    <t>-LqqERaGbl3sup18pSS1</t>
  </si>
  <si>
    <t>1570720564415</t>
  </si>
  <si>
    <t>-LqqET56Zm050ohnJ1Q6</t>
  </si>
  <si>
    <t>1570720570578</t>
  </si>
  <si>
    <t>-LqqEUaCKVUs96HjeShe</t>
  </si>
  <si>
    <t>1570720576733</t>
  </si>
  <si>
    <t>-LqqEWPWUwxiUEmb1oC3</t>
  </si>
  <si>
    <t>1570720582903</t>
  </si>
  <si>
    <t>-LqqEY67qwMvVUUIocNt</t>
  </si>
  <si>
    <t>1570720591198</t>
  </si>
  <si>
    <t>-LqqEZcgZ7DBXfMXkzhf</t>
  </si>
  <si>
    <t>1570720597373</t>
  </si>
  <si>
    <t>-LqqEaYFLr2DHDHifm_l</t>
  </si>
  <si>
    <t>1570720603532</t>
  </si>
  <si>
    <t>-LqqEc9xUymO9HAY4JQy</t>
  </si>
  <si>
    <t>1570720611772</t>
  </si>
  <si>
    <t>-LqqEdvSXpzKGhTcczNK</t>
  </si>
  <si>
    <t>1570720618972</t>
  </si>
  <si>
    <t>-LqqEfi-2cqlV2LT3bIR</t>
  </si>
  <si>
    <t>1570720625198</t>
  </si>
  <si>
    <t>-LqqEhQCI3-pI82Xo9FS</t>
  </si>
  <si>
    <t>1570720633452</t>
  </si>
  <si>
    <t>-LqqEixro9wPuVcxCURZ</t>
  </si>
  <si>
    <t>1570720639629</t>
  </si>
  <si>
    <t>-LqqEkRxXYUqzpDVrg4Y</t>
  </si>
  <si>
    <t>1570720645774</t>
  </si>
  <si>
    <t>-LqqElxIprcr86ru1T3o</t>
  </si>
  <si>
    <t>1570720651993</t>
  </si>
  <si>
    <t>-LqqEnSTtkcmeuO_9dQb</t>
  </si>
  <si>
    <t>1570720658167</t>
  </si>
  <si>
    <t>-LqqEoz-3u4bJN7PsWH4</t>
  </si>
  <si>
    <t>1570720664334</t>
  </si>
  <si>
    <t>-LqqEqSwGdLWw9XDbfKi</t>
  </si>
  <si>
    <t>1570720670487</t>
  </si>
  <si>
    <t>-LqqEs-bs2NAZfLCCPWv</t>
  </si>
  <si>
    <t>1570720676738</t>
  </si>
  <si>
    <t>-LqqEtVxB8VwjZW2qwq_</t>
  </si>
  <si>
    <t>1570720682894</t>
  </si>
  <si>
    <t>-LqqEv0HRXf7nVH0b2-B</t>
  </si>
  <si>
    <t>1570720689054</t>
  </si>
  <si>
    <t>-LqqEwWMp5jbkS9VH5uU</t>
  </si>
  <si>
    <t>1570720695278</t>
  </si>
  <si>
    <t>-LqqEy1UV9ZWCHxg4TVJ</t>
  </si>
  <si>
    <t>1570720701457</t>
  </si>
  <si>
    <t>-LqqEzX1p77PP797gD_b</t>
  </si>
  <si>
    <t>1570720707615</t>
  </si>
  <si>
    <t>-LqqF02MyO-V3xAgQNqA</t>
  </si>
  <si>
    <t>1570720713772</t>
  </si>
  <si>
    <t>-LqqF1ZwTvzPUvF5-F0S</t>
  </si>
  <si>
    <t>1570720720012</t>
  </si>
  <si>
    <t>-LqqF32xoKTtTTEtJMuk</t>
  </si>
  <si>
    <t>1570720726106</t>
  </si>
  <si>
    <t>-LqqF4sHAZGnQv-uRS70</t>
  </si>
  <si>
    <t>1570720732332</t>
  </si>
  <si>
    <t>-LqqF6aHhCgS7H1Z-WSk</t>
  </si>
  <si>
    <t>1570720740578</t>
  </si>
  <si>
    <t>-LqqF85Xb9zIPR7u95lC</t>
  </si>
  <si>
    <t>1570720746799</t>
  </si>
  <si>
    <t>-LqqF9c6TyJAYnir4eBS</t>
  </si>
  <si>
    <t>1570720752978</t>
  </si>
  <si>
    <t>-LqqFB9mm3Jjq-1l8tO-</t>
  </si>
  <si>
    <t>1570720759138</t>
  </si>
  <si>
    <t>-LqqFCtmx0L56CAF9zF_</t>
  </si>
  <si>
    <t>1570720766338</t>
  </si>
  <si>
    <t>-LqqFE_aiWQkpTpi63mE</t>
  </si>
  <si>
    <t>1570720773372</t>
  </si>
  <si>
    <t>-LqqFG9oifTlxbXolqP4</t>
  </si>
  <si>
    <t>1570720779769</t>
  </si>
  <si>
    <t>-LqqFHvG5BG8YBp0Eo7s</t>
  </si>
  <si>
    <t>1570720787044</t>
  </si>
  <si>
    <t>-LqqFJQYMowJ9ZmR6viU</t>
  </si>
  <si>
    <t>1570720793138</t>
  </si>
  <si>
    <t>-LqqFKuRtIrX3zKYLlw6</t>
  </si>
  <si>
    <t>1570720799299</t>
  </si>
  <si>
    <t>-LqqFMSB4dpJvGJ33A1W</t>
  </si>
  <si>
    <t>1570720805539</t>
  </si>
  <si>
    <t>-LqqFNxXBvpbIHA1xDCo</t>
  </si>
  <si>
    <t>1570720811694</t>
  </si>
  <si>
    <t>-LqqFPRTDSPODQK6YLCi</t>
  </si>
  <si>
    <t>1570720817858</t>
  </si>
  <si>
    <t>-LqqFQy08tvBgeOrwwUp</t>
  </si>
  <si>
    <t>1570720824078</t>
  </si>
  <si>
    <t>-LqqFSUYg-6MEPvWpaYS</t>
  </si>
  <si>
    <t>1570720830259</t>
  </si>
  <si>
    <t>-LqqFTzn6lYMbhkEOzPS</t>
  </si>
  <si>
    <t>1570720836418</t>
  </si>
  <si>
    <t>-LqqFVozuBPlHy_TdvBs</t>
  </si>
  <si>
    <t>1570720842578</t>
  </si>
  <si>
    <t>-LqqFXVqDBAhd3HfwGAW</t>
  </si>
  <si>
    <t>1570720850820</t>
  </si>
  <si>
    <t>-LqqFZ1IyzBI_2aESRLF</t>
  </si>
  <si>
    <t>1570720857063</t>
  </si>
  <si>
    <t>-LqqF_XJE0D9eNdf4z_Y</t>
  </si>
  <si>
    <t>1570720863218</t>
  </si>
  <si>
    <t>-LqqFb0WYxieBZP4hAAU</t>
  </si>
  <si>
    <t>1570720869377</t>
  </si>
  <si>
    <t>-LqqFcZIwAupObGLAuXO</t>
  </si>
  <si>
    <t>1570720875599</t>
  </si>
  <si>
    <t>-LqqFe2GQW08hN1E_8bX</t>
  </si>
  <si>
    <t>1570720881709</t>
  </si>
  <si>
    <t>-LqqFfZnYHs4WbKhsbW2</t>
  </si>
  <si>
    <t>1570720887937</t>
  </si>
  <si>
    <t>-LqqFh429XtczHJ0Z3mi</t>
  </si>
  <si>
    <t>1570720894099</t>
  </si>
  <si>
    <t>-LqqFi_OBI4i9wsA_Veh</t>
  </si>
  <si>
    <t>1570720900259</t>
  </si>
  <si>
    <t>-LqqFk5oDlflohIhq9TI</t>
  </si>
  <si>
    <t>1570720906497</t>
  </si>
  <si>
    <t>-LqqFl_mCYjhHV_p6l92</t>
  </si>
  <si>
    <t>1570720912658</t>
  </si>
  <si>
    <t>-LqqFn6IMNiD3ZhAle5v</t>
  </si>
  <si>
    <t>1570720918828</t>
  </si>
  <si>
    <t>-LqqFotG9gz2RH4Ce428</t>
  </si>
  <si>
    <t>1570720926142</t>
  </si>
  <si>
    <t>-LqqFqeYfpqgvbeLaEq3</t>
  </si>
  <si>
    <t>1570720933294</t>
  </si>
  <si>
    <t>-LqqFs8PVhQ8dfN8jemp</t>
  </si>
  <si>
    <t>1570720939458</t>
  </si>
  <si>
    <t>-LqqFtx3Mo2O0ckVFn4e</t>
  </si>
  <si>
    <t>1570720945609</t>
  </si>
  <si>
    <t>-LqqFvhGAhGSGX_LsbHf</t>
  </si>
  <si>
    <t>1570720953862</t>
  </si>
  <si>
    <t>-LqqFxQBt3qsT_rfnBsa</t>
  </si>
  <si>
    <t>1570720961116</t>
  </si>
  <si>
    <t>-LqqFyy1jnm-QPWiD-K7</t>
  </si>
  <si>
    <t>1570720967299</t>
  </si>
  <si>
    <t>-LqqG-ghVybH95bIEqDb</t>
  </si>
  <si>
    <t>1570720974496</t>
  </si>
  <si>
    <t>-LqqG1CVFAejmhI8mm9V</t>
  </si>
  <si>
    <t>1570720980652</t>
  </si>
  <si>
    <t>-LqqG2hkETekTejYPs8W</t>
  </si>
  <si>
    <t>1570720986881</t>
  </si>
  <si>
    <t>-LqqG4EGc2NZPKu84uYm</t>
  </si>
  <si>
    <t>1570720993057</t>
  </si>
  <si>
    <t>-LqqG5jWDPp5Xe-Nct4o</t>
  </si>
  <si>
    <t>1570720999217</t>
  </si>
  <si>
    <t>-LqqG7EllLO68zvI7Lym</t>
  </si>
  <si>
    <t>1570721005376</t>
  </si>
  <si>
    <t>-LqqG8kxJVMN_ki_UjQ9</t>
  </si>
  <si>
    <t>1570721011617</t>
  </si>
  <si>
    <t>-LqqGAHXXIMSjXY3Pn7a</t>
  </si>
  <si>
    <t>1570721017778</t>
  </si>
  <si>
    <t>-LqqGBkWbEl3AKxpgHiy</t>
  </si>
  <si>
    <t>1570721023937</t>
  </si>
  <si>
    <t>-LqqGDH0tyJEV2x66PF-</t>
  </si>
  <si>
    <t>1570721030101</t>
  </si>
  <si>
    <t>-LqqGEnVL7OBa_LTYT00</t>
  </si>
  <si>
    <t>1570721036331</t>
  </si>
  <si>
    <t>-LqqGGIlTLzSGvA7FVAx</t>
  </si>
  <si>
    <t>1570721042497</t>
  </si>
  <si>
    <t>-LqqGHnq5er7TzaC9npv</t>
  </si>
  <si>
    <t>1570721048656</t>
  </si>
  <si>
    <t>-LqqGJOKIz0OkZ3Yeg8R</t>
  </si>
  <si>
    <t>1570721054893</t>
  </si>
  <si>
    <t>-LqqGLNkqHpvTjLfsX_q</t>
  </si>
  <si>
    <t>1570721062092</t>
  </si>
  <si>
    <t>-LqqGN5ljSfuUExTHFWm</t>
  </si>
  <si>
    <t>1570721070336</t>
  </si>
  <si>
    <t>-LqqGOav_vaJwv8_W0YR</t>
  </si>
  <si>
    <t>1570721076496</t>
  </si>
  <si>
    <t>-LqqGQ6Fts2YNVBv8C-N</t>
  </si>
  <si>
    <t>1570721082657</t>
  </si>
  <si>
    <t>-LqqGRt-wJG4OzB212Zq</t>
  </si>
  <si>
    <t>1570721088892</t>
  </si>
  <si>
    <t>-LqqGTdWdQVPhZh13zd3</t>
  </si>
  <si>
    <t>1570721097136</t>
  </si>
  <si>
    <t>-LqqGV7E-lqCsnAPwMm0</t>
  </si>
  <si>
    <t>1570721103296</t>
  </si>
  <si>
    <t>-LqqGWe-LeDFmh5wj25V</t>
  </si>
  <si>
    <t>1570721109451</t>
  </si>
  <si>
    <t>-LqqGY90rK8FUE7qheN-</t>
  </si>
  <si>
    <t>1570721115621</t>
  </si>
  <si>
    <t>-LqqGZzlaxFWrf-bb27I</t>
  </si>
  <si>
    <t>1570721123136</t>
  </si>
  <si>
    <t>-LqqGb-WRC-Ll0e7kzgu</t>
  </si>
  <si>
    <t>1570721130096</t>
  </si>
  <si>
    <t>-LqqGchDiXhJt-vWqstd</t>
  </si>
  <si>
    <t>1570721138333</t>
  </si>
  <si>
    <t>-LqqGeRSDGXGZB-BemrS</t>
  </si>
  <si>
    <t>1570721145498</t>
  </si>
  <si>
    <t>-LqqGfxxsJvDauL9VN2a</t>
  </si>
  <si>
    <t>1570721151698</t>
  </si>
  <si>
    <t>-LqqGhTE6j7L69zBqVU7</t>
  </si>
  <si>
    <t>1570721157864</t>
  </si>
  <si>
    <t>-LqqGiyVIT8MnEZdENbZ</t>
  </si>
  <si>
    <t>1570721164088</t>
  </si>
  <si>
    <t>-LqqGkmj6AH1b56HYW-6</t>
  </si>
  <si>
    <t>1570721171456</t>
  </si>
  <si>
    <t>-LqqGmVjwlDrYHfeNZUK</t>
  </si>
  <si>
    <t>1570721178497</t>
  </si>
  <si>
    <t>-LqqGo0729-V_ezI6EHH</t>
  </si>
  <si>
    <t>1570721184654</t>
  </si>
  <si>
    <t>-LqqGpXO8sZRtG4_3TdP</t>
  </si>
  <si>
    <t>1570721190896</t>
  </si>
  <si>
    <t>-LqqGr0cVwErEF8EN9x8</t>
  </si>
  <si>
    <t>1570721197049</t>
  </si>
  <si>
    <t>-LqqGsXzecQDoqjGPuBS</t>
  </si>
  <si>
    <t>1570721203215</t>
  </si>
  <si>
    <t>-LqqGu2G7ohEm6-jzZiR</t>
  </si>
  <si>
    <t>1570721209374</t>
  </si>
  <si>
    <t>-LqqGvYOcnZnyv32ngBG</t>
  </si>
  <si>
    <t>1570721215616</t>
  </si>
  <si>
    <t>-LqqGx3y4oVyDnagR31S</t>
  </si>
  <si>
    <t>1570721221787</t>
  </si>
  <si>
    <t>-LqqGy_EqBTFznraULgo</t>
  </si>
  <si>
    <t>1570721227936</t>
  </si>
  <si>
    <t>-LqqH-AWNy_McYmLhaQu</t>
  </si>
  <si>
    <t>1570721234175</t>
  </si>
  <si>
    <t>-LqqH0rFHNkhXY-ecor2</t>
  </si>
  <si>
    <t>1570721241376</t>
  </si>
  <si>
    <t>-LqqH2MVZ_JvoRcfKCzt</t>
  </si>
  <si>
    <t>1570721247534</t>
  </si>
  <si>
    <t>-LqqH3rsz-Iiy_d0R3NA</t>
  </si>
  <si>
    <t>1570721253690</t>
  </si>
  <si>
    <t>-LqqH5TJzCzq32bjTS06</t>
  </si>
  <si>
    <t>1570721259936</t>
  </si>
  <si>
    <t>-LqqH78jPtnr0cMHBgYH</t>
  </si>
  <si>
    <t>1570721267135</t>
  </si>
  <si>
    <t>-LqqH8cjGCYURtwIRahP</t>
  </si>
  <si>
    <t>1570721273297</t>
  </si>
  <si>
    <t>-LqqHA9Jm0U7jQJsDX1f</t>
  </si>
  <si>
    <t>1570721279520</t>
  </si>
  <si>
    <t>-LqqHBxDBI09-kNyIP9L</t>
  </si>
  <si>
    <t>1570721285696</t>
  </si>
  <si>
    <t>-LqqHDfEqc34u7bZXLBc</t>
  </si>
  <si>
    <t>1570721293930</t>
  </si>
  <si>
    <t>-LqqHFAUcUH36H3MSlTD</t>
  </si>
  <si>
    <t>1570721300089</t>
  </si>
  <si>
    <t>-LqqHGh-SJpMdkKt2PjQ</t>
  </si>
  <si>
    <t>1570721306254</t>
  </si>
  <si>
    <t>-LqqHICEsGyZ9mfX6nW7</t>
  </si>
  <si>
    <t>1570721312425</t>
  </si>
  <si>
    <t>-LqqHJiiotY5mU7cPjgu</t>
  </si>
  <si>
    <t>1570721318654</t>
  </si>
  <si>
    <t>-LqqHLE-B2VKo2it21dC</t>
  </si>
  <si>
    <t>1570721324814</t>
  </si>
  <si>
    <t>-LqqHMjHQe3UoBKl5MrK</t>
  </si>
  <si>
    <t>1570721330975</t>
  </si>
  <si>
    <t>-LqqHOFkJiGIrZqmHqCb</t>
  </si>
  <si>
    <t>1570721337211</t>
  </si>
  <si>
    <t>-LqqHPztW0JumpRsDZ3R</t>
  </si>
  <si>
    <t>1570721344396</t>
  </si>
  <si>
    <t>-LqqHRWYf2MCuAzjmcxM</t>
  </si>
  <si>
    <t>1570721350574</t>
  </si>
  <si>
    <t>-LqqHT0jFQdmwLgg8iis</t>
  </si>
  <si>
    <t>1570721356735</t>
  </si>
  <si>
    <t>-LqqHUYAIPHYnQFSUPfm</t>
  </si>
  <si>
    <t>1570721362974</t>
  </si>
  <si>
    <t>-LqqHW3Xwc2vTAN-bn3l</t>
  </si>
  <si>
    <t>1570721369135</t>
  </si>
  <si>
    <t>-LqqHXYqrYcXLlrcYaWS</t>
  </si>
  <si>
    <t>1570721375360</t>
  </si>
  <si>
    <t>-LqqHZM5q5Sri11n1e3M</t>
  </si>
  <si>
    <t>1570721381520</t>
  </si>
  <si>
    <t>-LqqHa5NxdZiBbapH_IX</t>
  </si>
  <si>
    <t>1570721389752</t>
  </si>
  <si>
    <t>-LqqHbZwF-OvFah_PTBE</t>
  </si>
  <si>
    <t>1570721395917</t>
  </si>
  <si>
    <t>-LqqHd4DqzDdbJIbpDH3</t>
  </si>
  <si>
    <t>1570721402099</t>
  </si>
  <si>
    <t>-LqqHeahDCGSyvpLkVEF</t>
  </si>
  <si>
    <t>1570721408261</t>
  </si>
  <si>
    <t>-LqqHg7BnaUFonEoZDzm</t>
  </si>
  <si>
    <t>1570721414493</t>
  </si>
  <si>
    <t>-LqqHhcXg0gxQKlXGI_z</t>
  </si>
  <si>
    <t>1570721420654</t>
  </si>
  <si>
    <t>-LqqHj7vCQVz2G6YSJ7w</t>
  </si>
  <si>
    <t>1570721426877</t>
  </si>
  <si>
    <t>-LqqHkcxroyfhMxZksn8</t>
  </si>
  <si>
    <t>1570721432977</t>
  </si>
  <si>
    <t>-LqqHm9HC7IEHxhNPGBL</t>
  </si>
  <si>
    <t>1570721439215</t>
  </si>
  <si>
    <t>-LqqHnwB_kRJ3eQAbFH0</t>
  </si>
  <si>
    <t>1570721446542</t>
  </si>
  <si>
    <t>-LqqHpfCT8Hw2PqJ3m-G</t>
  </si>
  <si>
    <t>1570721453613</t>
  </si>
  <si>
    <t>-LqqHrAgd85b9idG-y-f</t>
  </si>
  <si>
    <t>1570721459774</t>
  </si>
  <si>
    <t>-LqqHshBSGheJihPAIRz</t>
  </si>
  <si>
    <t>1570721466012</t>
  </si>
  <si>
    <t>-LqqHuDfgRqP1HhVG5In</t>
  </si>
  <si>
    <t>1570721472172</t>
  </si>
  <si>
    <t>-LqqHvxvswTl6BXF-VHN</t>
  </si>
  <si>
    <t>1570721479372</t>
  </si>
  <si>
    <t>-LqqHxhB-cDF-Oqj0_nN</t>
  </si>
  <si>
    <t>1570721485530</t>
  </si>
  <si>
    <t>-LqqHz_CHj347fpuJd5k</t>
  </si>
  <si>
    <t>1570721492793</t>
  </si>
  <si>
    <t>-LqqI0Fhblqvce5CwOHf</t>
  </si>
  <si>
    <t>1570721501039</t>
  </si>
  <si>
    <t>-LqqI1kmlK9bNJGntd7v</t>
  </si>
  <si>
    <t>1570721507217</t>
  </si>
  <si>
    <t>-LqqI3Ex7CVCX7HcMc52</t>
  </si>
  <si>
    <t>1570721513362</t>
  </si>
  <si>
    <t>-LqqI4lQUMhgGzknMKjQ</t>
  </si>
  <si>
    <t>1570721519539</t>
  </si>
  <si>
    <t>-LqqI6GdPpx5X2oCWLuh</t>
  </si>
  <si>
    <t>1570721525773</t>
  </si>
  <si>
    <t>-LqqI87CPQ8qo1U3hNV-</t>
  </si>
  <si>
    <t>1570721531917</t>
  </si>
  <si>
    <t>-LqqI9mbT8o60iQoP7qN</t>
  </si>
  <si>
    <t>1570721540152</t>
  </si>
  <si>
    <t>-LqqIBJL4cq_aY2Mt-ag</t>
  </si>
  <si>
    <t>1570721546332</t>
  </si>
  <si>
    <t>-LqqICoNsE-3JY3QCp1m</t>
  </si>
  <si>
    <t>1570721552554</t>
  </si>
  <si>
    <t>-LqqIEL5ZSNZB1XmTx-D</t>
  </si>
  <si>
    <t>1570721558738</t>
  </si>
  <si>
    <t>-LqqIFqBtu5DOQci8uqC</t>
  </si>
  <si>
    <t>1570721564897</t>
  </si>
  <si>
    <t>-LqqIHLSiszTnyPWb4Us</t>
  </si>
  <si>
    <t>1570721571058</t>
  </si>
  <si>
    <t>-LqqIJ0xUwVUy4WtOqz8</t>
  </si>
  <si>
    <t>1570721577996</t>
  </si>
  <si>
    <t>-LqqIKcMs7BmwMrzRPXo</t>
  </si>
  <si>
    <t>1570721584492</t>
  </si>
  <si>
    <t>-LqqIM7gqwgZ1O4iF5Z7</t>
  </si>
  <si>
    <t>1570721590654</t>
  </si>
  <si>
    <t>-LqqIOC4I1oY1Jh3Ftvy</t>
  </si>
  <si>
    <t>1570721596812</t>
  </si>
  <si>
    <t>-LqqIPsSFjokYEM4ka4C</t>
  </si>
  <si>
    <t>1570721606087</t>
  </si>
  <si>
    <t>-LqqIRP9VxR0RY9cWm1D</t>
  </si>
  <si>
    <t>1570721612330</t>
  </si>
  <si>
    <t>-LqqISuQmOPKjB7wwECU</t>
  </si>
  <si>
    <t>1570721618491</t>
  </si>
  <si>
    <t>-LqqIUPgxDCWQP30PjC9</t>
  </si>
  <si>
    <t>1570721624670</t>
  </si>
  <si>
    <t>-LqqIVwAfyWyXeeHkSFD</t>
  </si>
  <si>
    <t>1570721630818</t>
  </si>
  <si>
    <t>-LqqIXShOXemV7valpdK</t>
  </si>
  <si>
    <t>1570721636996</t>
  </si>
  <si>
    <t>-LqqIYxuzMD-R6rfkfgZ</t>
  </si>
  <si>
    <t>1570721643211</t>
  </si>
  <si>
    <t>-LqqI_TArPa0CIWezRPi</t>
  </si>
  <si>
    <t>1570721649371</t>
  </si>
  <si>
    <t>-LqqIaze3tAgHv-zNlWT</t>
  </si>
  <si>
    <t>1570721655612</t>
  </si>
  <si>
    <t>-LqqIcxuhBd5gelWgsPj</t>
  </si>
  <si>
    <t>1570721663722</t>
  </si>
  <si>
    <t>-LqqIeX9Xd1J0d8MG-jm</t>
  </si>
  <si>
    <t>1570721670010</t>
  </si>
  <si>
    <t>-LqqIgG4U0ap8Rb96xq8</t>
  </si>
  <si>
    <t>1570721677216</t>
  </si>
  <si>
    <t>-LqqIhlR0CPpk7pAneyW</t>
  </si>
  <si>
    <t>1570721683372</t>
  </si>
  <si>
    <t>-LqqIjGeecI6d4IsN_hf</t>
  </si>
  <si>
    <t>1570721689606</t>
  </si>
  <si>
    <t>-LqqIkn9NaOA1qA09W2I</t>
  </si>
  <si>
    <t>1570721695770</t>
  </si>
  <si>
    <t>-LqqImIQBZCaSr94Jcs2</t>
  </si>
  <si>
    <t>1570721701930</t>
  </si>
  <si>
    <t>-LqqIo9YHgJiZTVGe5rO</t>
  </si>
  <si>
    <t>1570721709130</t>
  </si>
  <si>
    <t>-LqqIpoRYM967aaylDqX</t>
  </si>
  <si>
    <t>1570721716337</t>
  </si>
  <si>
    <t>-LqqIrJgkjKTsAH1-kPj</t>
  </si>
  <si>
    <t>1570721722570</t>
  </si>
  <si>
    <t>-LqqIsqGHUtGLm-UZb0R</t>
  </si>
  <si>
    <t>1570721728737</t>
  </si>
  <si>
    <t>-LqqIuLR8-sGCIYDOJMv</t>
  </si>
  <si>
    <t>1570721734893</t>
  </si>
  <si>
    <t>-LqqIvrw-ebIDSkP0xmL</t>
  </si>
  <si>
    <t>1570721741132</t>
  </si>
  <si>
    <t>-LqqIxN6VkjiUjx1dM9X</t>
  </si>
  <si>
    <t>1570721747293</t>
  </si>
  <si>
    <t>-LqqIz7eexKhqNzHrG8l</t>
  </si>
  <si>
    <t>1570721754498</t>
  </si>
  <si>
    <t>-LqqJ-crBL5vwUiJKj57</t>
  </si>
  <si>
    <t>1570721760652</t>
  </si>
  <si>
    <t>-LqqJ19WM761vE1n8r5S</t>
  </si>
  <si>
    <t>1570721766886</t>
  </si>
  <si>
    <t>-LqqJ2ee4qAzVBwk8IbH</t>
  </si>
  <si>
    <t>1570721773053</t>
  </si>
  <si>
    <t>-LqqJ49uK4DhzH12b41a</t>
  </si>
  <si>
    <t>1570721779210</t>
  </si>
  <si>
    <t>-LqqJ5vWzLwS74GXNeJa</t>
  </si>
  <si>
    <t>1570721786412</t>
  </si>
  <si>
    <t>-LqqJ7cEXUSbYqjMybPa</t>
  </si>
  <si>
    <t>1570721793421</t>
  </si>
  <si>
    <t>-LqqJ9BGehCGCdbFK2Wb</t>
  </si>
  <si>
    <t>1570721799850</t>
  </si>
  <si>
    <t>-LqqJAhS4n31uHWRP4FI</t>
  </si>
  <si>
    <t>1570721806011</t>
  </si>
  <si>
    <t>-LqqJCD-S0kG2amhfCKf</t>
  </si>
  <si>
    <t>1570721812171</t>
  </si>
  <si>
    <t>-LqqJE1CYPisS0RrAkwa</t>
  </si>
  <si>
    <t>1570721819548</t>
  </si>
  <si>
    <t>-LqqJFkErhLbYCjY-0tD</t>
  </si>
  <si>
    <t>1570721826654</t>
  </si>
  <si>
    <t>-LqqJHEHfttF0qrOLiMT</t>
  </si>
  <si>
    <t>1570721832773</t>
  </si>
  <si>
    <t>-LqqJIlyoquyXkNJvv4u</t>
  </si>
  <si>
    <t>1570721838974</t>
  </si>
  <si>
    <t>-LqqJKEhuiRHKcc4T6uQ</t>
  </si>
  <si>
    <t>1570721845141</t>
  </si>
  <si>
    <t>-LqqJLmNl6gnIc8aFfq0</t>
  </si>
  <si>
    <t>1570721851298</t>
  </si>
  <si>
    <t>-LqqJNHdTmQtPbfPLUCq</t>
  </si>
  <si>
    <t>1570721857533</t>
  </si>
  <si>
    <t>-LqqJOn-9zQNQyfqkRAG</t>
  </si>
  <si>
    <t>1570721863693</t>
  </si>
  <si>
    <t>-LqqJQJVxA92mlGnubAU</t>
  </si>
  <si>
    <t>1570721869929</t>
  </si>
  <si>
    <t>-LqqJS3z_ahC_C0u5vRC</t>
  </si>
  <si>
    <t>1570721877133</t>
  </si>
  <si>
    <t>-LqqJT_C6U0B9XWuB_qf</t>
  </si>
  <si>
    <t>1570721883293</t>
  </si>
  <si>
    <t>-LqqJV4Oyj0osHCQE-ql</t>
  </si>
  <si>
    <t>1570721889460</t>
  </si>
  <si>
    <t>-LqqJWcEPeIn9LB7dBFi</t>
  </si>
  <si>
    <t>1570721895694</t>
  </si>
  <si>
    <t>-LqqJYMTPx5pM6rY7S2e</t>
  </si>
  <si>
    <t>1570721902890</t>
  </si>
  <si>
    <t>-LqqJZriuOvWszIqIBcI</t>
  </si>
  <si>
    <t>1570721909054</t>
  </si>
  <si>
    <t>-LqqJaMxmu5ycU8Sm0Ct</t>
  </si>
  <si>
    <t>1570721915214</t>
  </si>
  <si>
    <t>-LqqJbtTnsp2Mc_MpNOa</t>
  </si>
  <si>
    <t>1570721921454</t>
  </si>
  <si>
    <t>-LqqJdOiU1y9NX1V_Zri</t>
  </si>
  <si>
    <t>1570721927614</t>
  </si>
  <si>
    <t>-LqqJewVqv5Mqj5dxgFU</t>
  </si>
  <si>
    <t>1570721933838</t>
  </si>
  <si>
    <t>-LqqJgeOrEXDNVXMJ_hO</t>
  </si>
  <si>
    <t>1570721940973</t>
  </si>
  <si>
    <t>-LqqJiDO1s_ez8cdRcgZ</t>
  </si>
  <si>
    <t>1570721947215</t>
  </si>
  <si>
    <t>-LqqJjwTACbxZIPzOnh1</t>
  </si>
  <si>
    <t>1570721954414</t>
  </si>
  <si>
    <t>-LqqJlRikZGi0et4Ee97</t>
  </si>
  <si>
    <t>1570721960573</t>
  </si>
  <si>
    <t>-LqqJmwyEER0HH9AXa_A</t>
  </si>
  <si>
    <t>1570721966737</t>
  </si>
  <si>
    <t>-LqqJodhco3TnPN0wl5L</t>
  </si>
  <si>
    <t>1570721973699</t>
  </si>
  <si>
    <t>-LqqJqDs9BNo3C00g3HB</t>
  </si>
  <si>
    <t>1570721980173</t>
  </si>
  <si>
    <t>-LqqJrjCCdALKmLJwJRQ</t>
  </si>
  <si>
    <t>1570721986336</t>
  </si>
  <si>
    <t>-LqqJtGloMUg8hheNB-X</t>
  </si>
  <si>
    <t>1570721992495</t>
  </si>
  <si>
    <t>-LqqJujdc55eAW9XT4n7</t>
  </si>
  <si>
    <t>1570721998718</t>
  </si>
  <si>
    <t>-LqqJwEsHav0vNZKXH_Z</t>
  </si>
  <si>
    <t>1570722004893</t>
  </si>
  <si>
    <t>-LqqJxlSpY5DHwM87_6e</t>
  </si>
  <si>
    <t>1570722011065</t>
  </si>
  <si>
    <t>-LqqJzVil6sqPCNAa8iO</t>
  </si>
  <si>
    <t>1570722018255</t>
  </si>
  <si>
    <t>-LqqK0Ey7FX2O43MlSTl</t>
  </si>
  <si>
    <t>1570722025338</t>
  </si>
  <si>
    <t>-LqqK28mw2R3KmqJK2Ly</t>
  </si>
  <si>
    <t>1570722031693</t>
  </si>
  <si>
    <t>-LqqK3ohU1lI3FnWTu8p</t>
  </si>
  <si>
    <t>1570722039938</t>
  </si>
  <si>
    <t>-LqqK5LChMnnCarVIQP2</t>
  </si>
  <si>
    <t>1570722046097</t>
  </si>
  <si>
    <t>-LqqK74XD_GBFdBqnd89</t>
  </si>
  <si>
    <t>1570722053300</t>
  </si>
  <si>
    <t>-LqqK8_kkL3qPGaxGTS0</t>
  </si>
  <si>
    <t>1570722059523</t>
  </si>
  <si>
    <t>-LqqKA6FCuOAnzpvzhEa</t>
  </si>
  <si>
    <t>1570722065698</t>
  </si>
  <si>
    <t>-LqqKBbWv9bULiYojrTf</t>
  </si>
  <si>
    <t>1570722071860</t>
  </si>
  <si>
    <t>-LqqKD6pU5axdOVhyECY</t>
  </si>
  <si>
    <t>1570722078017</t>
  </si>
  <si>
    <t>-LqqKEdKFoPd-8WwCg4z</t>
  </si>
  <si>
    <t>1570722084252</t>
  </si>
  <si>
    <t>-LqqKG8QjeijaF6q_ghv</t>
  </si>
  <si>
    <t>1570722090421</t>
  </si>
  <si>
    <t>-LqqKHf0uFeKEMVqgJ5H</t>
  </si>
  <si>
    <t>1570722096588</t>
  </si>
  <si>
    <t>-LqqKJHgd-1YjHvL9x79</t>
  </si>
  <si>
    <t>1570722103320</t>
  </si>
  <si>
    <t>-LqqKKvk4AhY1VfBW-jY</t>
  </si>
  <si>
    <t>1570722109964</t>
  </si>
  <si>
    <t>-LqqKMhTxE3Mamin_pNq</t>
  </si>
  <si>
    <t>1570722117178</t>
  </si>
  <si>
    <t>-LqqKOR8rWN0-xI6m5KT</t>
  </si>
  <si>
    <t>1570722124416</t>
  </si>
  <si>
    <t>-LqqKPx0wYRy05NPaOcX</t>
  </si>
  <si>
    <t>1570722130579</t>
  </si>
  <si>
    <t>-LqqKRTX6MtnIVz6m_1j</t>
  </si>
  <si>
    <t>1570722136812</t>
  </si>
  <si>
    <t>-LqqKSymLjoykG8DVck1</t>
  </si>
  <si>
    <t>1570722142973</t>
  </si>
  <si>
    <t>-LqqKUU-CB1Udx2c87j3</t>
  </si>
  <si>
    <t>1570722149138</t>
  </si>
  <si>
    <t>-LqqKW-VuyrnL7kfwIM0</t>
  </si>
  <si>
    <t>1570722155302</t>
  </si>
  <si>
    <t>-LqqKXVHm2QnsaBPNbe8</t>
  </si>
  <si>
    <t>1570722161463</t>
  </si>
  <si>
    <t>-LqqKZ1FWrC2OeJIN91Z</t>
  </si>
  <si>
    <t>1570722167696</t>
  </si>
  <si>
    <t>-LqqK_lX66B-TJ5l_HFt</t>
  </si>
  <si>
    <t>1570722174898</t>
  </si>
  <si>
    <t>-LqqKbFXLajGYGqEbjMm</t>
  </si>
  <si>
    <t>1570722181063</t>
  </si>
  <si>
    <t>-LqqKcm2ggAhs_oL5GpH</t>
  </si>
  <si>
    <t>1570722187298</t>
  </si>
  <si>
    <t>-LqqKeJtdeZ4oJNFacOC</t>
  </si>
  <si>
    <t>1570722193457</t>
  </si>
  <si>
    <t>-LqqKg31bv9_NlUDkLwW</t>
  </si>
  <si>
    <t>1570722200658</t>
  </si>
  <si>
    <t>-LqqKhYwa0lH9LE2WqlL</t>
  </si>
  <si>
    <t>1570722206883</t>
  </si>
  <si>
    <t>-LqqKj8WDEpGgeyPyWhW</t>
  </si>
  <si>
    <t>1570722213057</t>
  </si>
  <si>
    <t>-LqqKkp0w5LFerrFQoAG</t>
  </si>
  <si>
    <t>1570722220212</t>
  </si>
  <si>
    <t>-LqqKmLjNnXcM8BK3oRO</t>
  </si>
  <si>
    <t>1570722226418</t>
  </si>
  <si>
    <t>-LqqKnrlPXfw4xz6Rt8J</t>
  </si>
  <si>
    <t>1570722232643</t>
  </si>
  <si>
    <t>-LqqKprVM_GPUS1f6sOq</t>
  </si>
  <si>
    <t>1570722240898</t>
  </si>
  <si>
    <t>-LqqKrhCt-X9xhZFQgqO</t>
  </si>
  <si>
    <t>1570722247063</t>
  </si>
  <si>
    <t>-LqqKtNU1FYDJr0LuTjT</t>
  </si>
  <si>
    <t>1570722255297</t>
  </si>
  <si>
    <t>-LqqKutyxehHALHtU_I8</t>
  </si>
  <si>
    <t>1570722261459</t>
  </si>
  <si>
    <t>-LqqKwfjzLEadaXIrzD0</t>
  </si>
  <si>
    <t>1570722268654</t>
  </si>
  <si>
    <t>-LqqKyfACV4bfzHnBYIK</t>
  </si>
  <si>
    <t>1570722275860</t>
  </si>
  <si>
    <t>-LqqL-Cwh3oRcShLv_5v</t>
  </si>
  <si>
    <t>1570722283131</t>
  </si>
  <si>
    <t>-LqqL0yE9yIVWxQbjBQq</t>
  </si>
  <si>
    <t>1570722290336</t>
  </si>
  <si>
    <t>-LqqL2SUrfDsGfjH_OK_</t>
  </si>
  <si>
    <t>1570722296496</t>
  </si>
  <si>
    <t>-LqqL3wUvDTUvCKZyvDD</t>
  </si>
  <si>
    <t>1570722302655</t>
  </si>
  <si>
    <t>-LqqL5UF1qqBERfJFgxn</t>
  </si>
  <si>
    <t>1570722308905</t>
  </si>
  <si>
    <t>-LqqL72EsbVdEC3K2jd7</t>
  </si>
  <si>
    <t>1570722315019</t>
  </si>
  <si>
    <t>-LqqL8jubJyaPSZ2w6aW</t>
  </si>
  <si>
    <t>1570722322256</t>
  </si>
  <si>
    <t>-LqqLAFEYx3AVxk7ls26</t>
  </si>
  <si>
    <t>1570722328411</t>
  </si>
  <si>
    <t>-LqqLBkWwbJo3NsyCVPy</t>
  </si>
  <si>
    <t>1570722334655</t>
  </si>
  <si>
    <t>-LqqLDFjAOkFTBJHYvsm</t>
  </si>
  <si>
    <t>1570722340809</t>
  </si>
  <si>
    <t>-LqqLEmD1kWd6sDLc1bI</t>
  </si>
  <si>
    <t>1570722346974</t>
  </si>
  <si>
    <t>-LqqLGHT-9FjPBOfEnoR</t>
  </si>
  <si>
    <t>1570722353140</t>
  </si>
  <si>
    <t>-LqqLHpD-9FU9cNmAyL6</t>
  </si>
  <si>
    <t>1570722359369</t>
  </si>
  <si>
    <t>-LqqLJZUGQ5kdLVUu-H7</t>
  </si>
  <si>
    <t>1570722366575</t>
  </si>
  <si>
    <t>-LqqLL4yKQglltblQr9M</t>
  </si>
  <si>
    <t>1570722372734</t>
  </si>
  <si>
    <t>-LqqLMZyDSRvO3vByD2E</t>
  </si>
  <si>
    <t>1570722378900</t>
  </si>
  <si>
    <t>-LqqLO5U0fNhOrSR9QdT</t>
  </si>
  <si>
    <t>1570722385134</t>
  </si>
  <si>
    <t>-LqqLPairdQ5SweUpn2N</t>
  </si>
  <si>
    <t>1570722391294</t>
  </si>
  <si>
    <t>-LqqLR5zqAMH8vMQqCui</t>
  </si>
  <si>
    <t>1570722397457</t>
  </si>
  <si>
    <t>-LqqLSbDBYmLc96Vsqph</t>
  </si>
  <si>
    <t>1570722403712</t>
  </si>
  <si>
    <t>-LqqLU6956RgG3jwl2GR</t>
  </si>
  <si>
    <t>1570722409814</t>
  </si>
  <si>
    <t>-LqqLVcy5Zpi6uxN3I4-</t>
  </si>
  <si>
    <t>1570722416014</t>
  </si>
  <si>
    <t>-LqqLX7k7YVV4jOfXbbh</t>
  </si>
  <si>
    <t>1570722422185</t>
  </si>
  <si>
    <t>-LqqLYeizuvAG7rP3g_y</t>
  </si>
  <si>
    <t>1570722428410</t>
  </si>
  <si>
    <t>-LqqL_A-ZJPEXmsY7TCR</t>
  </si>
  <si>
    <t>1570722434576</t>
  </si>
  <si>
    <t>-LqqLadyetrY2rApGarz</t>
  </si>
  <si>
    <t>1570722440736</t>
  </si>
  <si>
    <t>-LqqLcBim4iRuOA6vKWA</t>
  </si>
  <si>
    <t>1570722446976</t>
  </si>
  <si>
    <t>-LqqLdgzvCzI9QKBtVNG</t>
  </si>
  <si>
    <t>1570722453135</t>
  </si>
  <si>
    <t>-LqqLfB62vL9mvsGuqI2</t>
  </si>
  <si>
    <t>1570722459295</t>
  </si>
  <si>
    <t>-LqqLgywCXXnzs1XIru9</t>
  </si>
  <si>
    <t>1570722466592</t>
  </si>
  <si>
    <t>-LqqLiSvv6Ef7X_ViGmZ</t>
  </si>
  <si>
    <t>1570722472660</t>
  </si>
  <si>
    <t>-LqqLjzSiXp1kNEXgR9a</t>
  </si>
  <si>
    <t>1570722478899</t>
  </si>
  <si>
    <t>-LqqLlih1gkPtMJoDLrz</t>
  </si>
  <si>
    <t>1570722486010</t>
  </si>
  <si>
    <t>-LqqLnFEiViWsUVdkfpd</t>
  </si>
  <si>
    <t>1570722492253</t>
  </si>
  <si>
    <t>-LqqLolRDpzhLIV9UhoB</t>
  </si>
  <si>
    <t>1570722498483</t>
  </si>
  <si>
    <t>-LqqLqJQpHgGQ4If2Xzr</t>
  </si>
  <si>
    <t>1570722504647</t>
  </si>
  <si>
    <t>-LqqLs2bUpxVkf-Qm39J</t>
  </si>
  <si>
    <t>1570722511852</t>
  </si>
  <si>
    <t>-LqqLtlfP6ZXUKGisqyD</t>
  </si>
  <si>
    <t>1570722519053</t>
  </si>
  <si>
    <t>-LqqLvIHNCNYkoHpx4ry</t>
  </si>
  <si>
    <t>1570722525218</t>
  </si>
  <si>
    <t>-LqqLwop3IL5_zElEoIT</t>
  </si>
  <si>
    <t>1570722531451</t>
  </si>
  <si>
    <t>-LqqLyJvzvX-jstEgalA</t>
  </si>
  <si>
    <t>1570722537613</t>
  </si>
  <si>
    <t>-LqqLzpDISzNh5lfL6Sg</t>
  </si>
  <si>
    <t>1570722543770</t>
  </si>
  <si>
    <t>-LqqM0LftH3BLurCx_Ee</t>
  </si>
  <si>
    <t>1570722550012</t>
  </si>
  <si>
    <t>-LqqM24wXjACqKtCafk3</t>
  </si>
  <si>
    <t>1570722557183</t>
  </si>
  <si>
    <t>-LqqM3ch2MWbaidCZOp6</t>
  </si>
  <si>
    <t>1570722563359</t>
  </si>
  <si>
    <t>-LqqM5MbBtfSpvomwGI8</t>
  </si>
  <si>
    <t>1570722570574</t>
  </si>
  <si>
    <t>-LqqM6uguDg1Y_p3m7eW</t>
  </si>
  <si>
    <t>1570722576803</t>
  </si>
  <si>
    <t>-LqqM8dvWYeeeveI9ubY</t>
  </si>
  <si>
    <t>1570722584008</t>
  </si>
  <si>
    <t>-LqqMAPQPAdPLsGaX6MZ</t>
  </si>
  <si>
    <t>1570722591212</t>
  </si>
  <si>
    <t>-LqqMBupxhija34neB4R</t>
  </si>
  <si>
    <t>1570722597372</t>
  </si>
  <si>
    <t>-LqqMDPwKyF26pxwkJS2</t>
  </si>
  <si>
    <t>1570722603531</t>
  </si>
  <si>
    <t>-LqqMEwRvObbB5YTULdV</t>
  </si>
  <si>
    <t>1570722609772</t>
  </si>
  <si>
    <t>-LqqMGRhQpMGvPpEknQ1</t>
  </si>
  <si>
    <t>1570722615933</t>
  </si>
  <si>
    <t>-LqqMHvh4mEH9siOhRcW</t>
  </si>
  <si>
    <t>1570722622092</t>
  </si>
  <si>
    <t>-LqqMJSCUU_Ps8ZeHGy3</t>
  </si>
  <si>
    <t>1570722628318</t>
  </si>
  <si>
    <t>-LqqMKycB33CEg4Y-ZbA</t>
  </si>
  <si>
    <t>1570722634493</t>
  </si>
  <si>
    <t>-LqqMMjCM7UwCUOu0MCS</t>
  </si>
  <si>
    <t>1570722640653</t>
  </si>
  <si>
    <t>-LqqMOERzLxWFPVEXqUe</t>
  </si>
  <si>
    <t>1570722647852</t>
  </si>
  <si>
    <t>-LqqMPjhdjdEIbvlv3q7</t>
  </si>
  <si>
    <t>1570722654077</t>
  </si>
  <si>
    <t>-LqqMREs16NVUAZahiRh</t>
  </si>
  <si>
    <t>1570722660211</t>
  </si>
  <si>
    <t>-LqqMSjwYscJZpsvMg0W</t>
  </si>
  <si>
    <t>1570722666416</t>
  </si>
  <si>
    <t>-LqqMUGcGSZU8Uxm--Ic</t>
  </si>
  <si>
    <t>1570722672568</t>
  </si>
  <si>
    <t>-LqqMW4xYYdH5-AsLCQl</t>
  </si>
  <si>
    <t>1570722678813</t>
  </si>
  <si>
    <t>-LqqMXmgBDGCcETPNEVu</t>
  </si>
  <si>
    <t>1570722687049</t>
  </si>
  <si>
    <t>-LqqMZIzrV5J5vxvZgM8</t>
  </si>
  <si>
    <t>1570722693215</t>
  </si>
  <si>
    <t>-LqqM_phmSRvgFXkgpus</t>
  </si>
  <si>
    <t>1570722699378</t>
  </si>
  <si>
    <t>-LqqMbJhI4LPIx47pyb_</t>
  </si>
  <si>
    <t>1570722705545</t>
  </si>
  <si>
    <t>-LqqMcqCIXLAR95Muxf2</t>
  </si>
  <si>
    <t>1570722711773</t>
  </si>
  <si>
    <t>-LqqMeKDj31MVyhahv-3</t>
  </si>
  <si>
    <t>1570722717923</t>
  </si>
  <si>
    <t>-LqqMfpNQIzwZlGjIErk</t>
  </si>
  <si>
    <t>1570722724089</t>
  </si>
  <si>
    <t>-LqqMhLxb5l1VQLD7qmB</t>
  </si>
  <si>
    <t>1570722730328</t>
  </si>
  <si>
    <t>-LqqMisSrv_kNLdVx56J</t>
  </si>
  <si>
    <t>1570722736492</t>
  </si>
  <si>
    <t>-LqqMkN9WHwCRHzf-yYF</t>
  </si>
  <si>
    <t>1570722742654</t>
  </si>
  <si>
    <t>-LqqMlsxqcgpvNWBHbLu</t>
  </si>
  <si>
    <t>1570722748879</t>
  </si>
  <si>
    <t>-LqqMnPML-i945eYd5XA</t>
  </si>
  <si>
    <t>1570722755052</t>
  </si>
  <si>
    <t>-LqqMougSTY9a5LteOPB</t>
  </si>
  <si>
    <t>1570722761214</t>
  </si>
  <si>
    <t>-LqqMqTi8L6HK12IybHH</t>
  </si>
  <si>
    <t>1570722767679</t>
  </si>
  <si>
    <t>-LqqMsAUXd_o1P-ZKmwh</t>
  </si>
  <si>
    <t>1570722774647</t>
  </si>
  <si>
    <t>-LqqMtfivovXaQZX0tYx</t>
  </si>
  <si>
    <t>1570722780783</t>
  </si>
  <si>
    <t>-LqqMvAypmyCrY6JvfSK</t>
  </si>
  <si>
    <t>1570722786964</t>
  </si>
  <si>
    <t>-LqqMwhOBgW5SjI-rC2h</t>
  </si>
  <si>
    <t>1570722793165</t>
  </si>
  <si>
    <t>-LqqMyHhUqocpreztyYC</t>
  </si>
  <si>
    <t>1570722799373</t>
  </si>
  <si>
    <t>-LqqMzxfylMzXHT81Oip</t>
  </si>
  <si>
    <t>1570722806537</t>
  </si>
  <si>
    <t>-LqqN0Tl_db5Hp3_bPhP</t>
  </si>
  <si>
    <t>1570722812753</t>
  </si>
  <si>
    <t>-LqqN1z4uAMMAIcuwgN8</t>
  </si>
  <si>
    <t>1570722818919</t>
  </si>
  <si>
    <t>-LqqN3VbxRA6zTmTwERY</t>
  </si>
  <si>
    <t>1570722825083</t>
  </si>
  <si>
    <t>-LqqN53blTqE9Dr2lgsa</t>
  </si>
  <si>
    <t>1570722831319</t>
  </si>
  <si>
    <t>-LqqN6lMZEgpwr0GLHkf</t>
  </si>
  <si>
    <t>1570722838469</t>
  </si>
  <si>
    <t>-LqqN8HqpwJqtf2-r7iO</t>
  </si>
  <si>
    <t>1570722844679</t>
  </si>
  <si>
    <t>-LqqN9n5B7US4_qn5dVr</t>
  </si>
  <si>
    <t>1570722850844</t>
  </si>
  <si>
    <t>-LqqNBJbYOf3YqBY2tQL</t>
  </si>
  <si>
    <t>1570722857078</t>
  </si>
  <si>
    <t>-LqqNClPaMbs-KPoxbu2</t>
  </si>
  <si>
    <t>1570722863199</t>
  </si>
  <si>
    <t>-LqqNEK7l7NXcbIuFd-L</t>
  </si>
  <si>
    <t>1570722869398</t>
  </si>
  <si>
    <t>-LqqNFpFHEzSSw5sDTWI</t>
  </si>
  <si>
    <t>1570722875569</t>
  </si>
  <si>
    <t>-LqqNHM0xDKFOTU7Rksc</t>
  </si>
  <si>
    <t>1570722881799</t>
  </si>
  <si>
    <t>-LqqNJ7qzYRMGWCPJE_3</t>
  </si>
  <si>
    <t>1570722887958</t>
  </si>
  <si>
    <t>-LqqNKbd5eLFTCmkhM-D</t>
  </si>
  <si>
    <t>1570722895161</t>
  </si>
  <si>
    <t>-LqqNM6JykU6sZI7C5-9</t>
  </si>
  <si>
    <t>1570722901382</t>
  </si>
  <si>
    <t>-LqqNNc6MiV-ypnVTsNT</t>
  </si>
  <si>
    <t>1570722907515</t>
  </si>
  <si>
    <t>-LqqNP8PsIxSlpiM-cHI</t>
  </si>
  <si>
    <t>1570722913719</t>
  </si>
  <si>
    <t>-LqqNQdsPbvBBOxtDwVX</t>
  </si>
  <si>
    <t>1570722919879</t>
  </si>
  <si>
    <t>-LqqNSAMHvW0K9jD-O8l</t>
  </si>
  <si>
    <t>1570722926119</t>
  </si>
  <si>
    <t>-LqqNTgrx5Lm2TtL796Y</t>
  </si>
  <si>
    <t>1570722932431</t>
  </si>
  <si>
    <t>-LqqNVR85XqV0hY1sRfv</t>
  </si>
  <si>
    <t>1570722939479</t>
  </si>
  <si>
    <t>-LqqNWwOWzI-omDN9Xt2</t>
  </si>
  <si>
    <t>1570722945644</t>
  </si>
  <si>
    <t>-LqqNYi7FMjv0mu6kOcv</t>
  </si>
  <si>
    <t>1570722952915</t>
  </si>
  <si>
    <t>-LqqN_SPrCZ_i3T8ExlF</t>
  </si>
  <si>
    <t>1570722960107</t>
  </si>
  <si>
    <t>-LqqNb-6Rs82nB6xF1km</t>
  </si>
  <si>
    <t>1570722966280</t>
  </si>
  <si>
    <t>-LqqNciCH7SjY7K4MFn6</t>
  </si>
  <si>
    <t>1570722973464</t>
  </si>
  <si>
    <t>-LqqNeEXQFHVWMLHF7vr</t>
  </si>
  <si>
    <t>1570722979646</t>
  </si>
  <si>
    <t>-LqqNfl1tkdWGeB3po35</t>
  </si>
  <si>
    <t>1570722985881</t>
  </si>
  <si>
    <t>-LqqNhGMl2diXSdpA5Zc</t>
  </si>
  <si>
    <t>1570722992042</t>
  </si>
  <si>
    <t>-LqqNilbdzc5CDgFMOOC</t>
  </si>
  <si>
    <t>1570722998199</t>
  </si>
  <si>
    <t>-LqqNkI61YyuHjfg_r0V</t>
  </si>
  <si>
    <t>1570723004451</t>
  </si>
  <si>
    <t>-LqqNlnJ2U4y1pXHxXU1</t>
  </si>
  <si>
    <t>1570723010601</t>
  </si>
  <si>
    <t>-LqqNnG8NnXDBaIt31X9</t>
  </si>
  <si>
    <t>1570723016751</t>
  </si>
  <si>
    <t>-LqqNondPKeaTZ-U5HkV</t>
  </si>
  <si>
    <t>1570723022926</t>
  </si>
  <si>
    <t>-LqqNqLhIuSguThV1F1O</t>
  </si>
  <si>
    <t>1570723029160</t>
  </si>
  <si>
    <t>-LqqNs4r8su74hFgTWNV</t>
  </si>
  <si>
    <t>1570723036361</t>
  </si>
  <si>
    <t>-LqqNtZtr0utAfTS4v7s</t>
  </si>
  <si>
    <t>1570723042511</t>
  </si>
  <si>
    <t>-LqqNv4BTgW8wCeINCQE</t>
  </si>
  <si>
    <t>1570723048684</t>
  </si>
  <si>
    <t>-LqqNwbci6OHQMl2fYI9</t>
  </si>
  <si>
    <t>1570723054921</t>
  </si>
  <si>
    <t>-LqqNyMYr4WqLE7XmUAR</t>
  </si>
  <si>
    <t>1570723061080</t>
  </si>
  <si>
    <t>-LqqNzsdokxhX2hqMnIH</t>
  </si>
  <si>
    <t>1570723068280</t>
  </si>
  <si>
    <t>-LqqO0NcqmnLTVAuxEWe</t>
  </si>
  <si>
    <t>1570723074445</t>
  </si>
  <si>
    <t>-LqqO1uOVhaJySiyKM_w</t>
  </si>
  <si>
    <t>1570723080679</t>
  </si>
  <si>
    <t>-LqqO3PNv4v29lJsvEMf</t>
  </si>
  <si>
    <t>1570723086824</t>
  </si>
  <si>
    <t>-LqqO4vn6q0WqL_sniYa</t>
  </si>
  <si>
    <t>1570723092997</t>
  </si>
  <si>
    <t>-LqqO6QBlcasc6fPxsJw</t>
  </si>
  <si>
    <t>1570723099226</t>
  </si>
  <si>
    <t>-LqqO8OwP_u1pxJqDTv-</t>
  </si>
  <si>
    <t>1570723106533</t>
  </si>
  <si>
    <t>-LqqO9xJMPxCpuN34Leb</t>
  </si>
  <si>
    <t>1570723113638</t>
  </si>
  <si>
    <t>-LqqOBSfiT0os_exPmP7</t>
  </si>
  <si>
    <t>1570723119803</t>
  </si>
  <si>
    <t>-LqqOCxoX4ssL5E3rQ9_</t>
  </si>
  <si>
    <t>1570723125957</t>
  </si>
  <si>
    <t>-LqqOET0h2u7U9xIFfzd</t>
  </si>
  <si>
    <t>1570723132194</t>
  </si>
  <si>
    <t>-LqqOFyLFgrcOOHsP2LO</t>
  </si>
  <si>
    <t>1570723138353</t>
  </si>
  <si>
    <t>-LqqOHW4ei4vULQ1TDit</t>
  </si>
  <si>
    <t>1570723144518</t>
  </si>
  <si>
    <t>-LqqOJ62n4ejjRsEYagt</t>
  </si>
  <si>
    <t>1570723150677</t>
  </si>
  <si>
    <t>-LqqOKk_LKopam4LMYwG</t>
  </si>
  <si>
    <t>1570723157897</t>
  </si>
  <si>
    <t>-LqqOMFoTxPIZI4aB_-3</t>
  </si>
  <si>
    <t>1570723164116</t>
  </si>
  <si>
    <t>-LqqONmJtD2VnNwfPVZ6</t>
  </si>
  <si>
    <t>1570723170277</t>
  </si>
  <si>
    <t>-LqqOPHZThmBUzLq6trN</t>
  </si>
  <si>
    <t>1570723176451</t>
  </si>
  <si>
    <t>-LqqOQo35KIy9k6p0i39</t>
  </si>
  <si>
    <t>1570723182678</t>
  </si>
  <si>
    <t>-LqqOSJJxu7w9c_eQWNO</t>
  </si>
  <si>
    <t>1570723188837</t>
  </si>
  <si>
    <t>-LqqOU1KNXIWdBeDp2C4</t>
  </si>
  <si>
    <t>1570723194951</t>
  </si>
  <si>
    <t>-LqqOVa12bqO8GX7r1Fs</t>
  </si>
  <si>
    <t>1570723202202</t>
  </si>
  <si>
    <t>-LqqOX4LJHiton6vIDxf</t>
  </si>
  <si>
    <t>1570723208388</t>
  </si>
  <si>
    <t>-LqqOYaobdlOIcDXPAoj</t>
  </si>
  <si>
    <t>1570723214598</t>
  </si>
  <si>
    <t>-LqqO_64X8Ej0MGviQ66</t>
  </si>
  <si>
    <t>1570723220757</t>
  </si>
  <si>
    <t>-LqqOabLKQhPhFpHbf1Y</t>
  </si>
  <si>
    <t>1570723226991</t>
  </si>
  <si>
    <t>-LqqOc7p9CWf5dXZn_uX</t>
  </si>
  <si>
    <t>1570723233157</t>
  </si>
  <si>
    <t>-LqqOdd4rUkcEI4oimKa</t>
  </si>
  <si>
    <t>1570723239317</t>
  </si>
  <si>
    <t>-LqqOf8LriUZ9pKO7vFS</t>
  </si>
  <si>
    <t>1570723245484</t>
  </si>
  <si>
    <t>-LqqOgdL1dWkLIjbaWlJ</t>
  </si>
  <si>
    <t>1570723251712</t>
  </si>
  <si>
    <t>-LqqOi8pH0Ep4jqRrW8P</t>
  </si>
  <si>
    <t>1570723257872</t>
  </si>
  <si>
    <t>-LqqOjfLP3Rh-65jJt-r</t>
  </si>
  <si>
    <t>1570723264037</t>
  </si>
  <si>
    <t>-LqqOlAZAhKlbwItHHQR</t>
  </si>
  <si>
    <t>1570723270261</t>
  </si>
  <si>
    <t>-LqqOmxJzMFjZFU8ycJW</t>
  </si>
  <si>
    <t>1570723277476</t>
  </si>
  <si>
    <t>-LqqOohlrPOsrcp1NBrH</t>
  </si>
  <si>
    <t>1570723284677</t>
  </si>
  <si>
    <t>-LqqOqD3x0dAFsCH2lTV</t>
  </si>
  <si>
    <t>1570723290838</t>
  </si>
  <si>
    <t>-LqqOriL63kPEXYZRyQq</t>
  </si>
  <si>
    <t>1570723296997</t>
  </si>
  <si>
    <t>-LqqOu6zKqSSwTjtnh7r</t>
  </si>
  <si>
    <t>1570723305201</t>
  </si>
  <si>
    <t>-LqqOvj_LEZqOtABW5Wu</t>
  </si>
  <si>
    <t>1570723313487</t>
  </si>
  <si>
    <t>-LqqOxVEwjjq8Fxyemt4</t>
  </si>
  <si>
    <t>1570723319677</t>
  </si>
  <si>
    <t>-LqqOz0eaj_Cglw75H8r</t>
  </si>
  <si>
    <t>1570723326916</t>
  </si>
  <si>
    <t>-LqqP-Ve_ybmzWbtZior</t>
  </si>
  <si>
    <t>1570723333066</t>
  </si>
  <si>
    <t>-LqqP11EuWS7395DgW6l</t>
  </si>
  <si>
    <t>1570723339242</t>
  </si>
  <si>
    <t>-LqqP2YdvS-f082tlacb</t>
  </si>
  <si>
    <t>1570723345476</t>
  </si>
  <si>
    <t>-LqqP42xM-c89gzVaN2W</t>
  </si>
  <si>
    <t>1570723351630</t>
  </si>
  <si>
    <t>-LqqP5X_1zFQ7gWRaxc3</t>
  </si>
  <si>
    <t>1570723357786</t>
  </si>
  <si>
    <t>-LqqP74enOBjq5dcoFaU</t>
  </si>
  <si>
    <t>1570723364033</t>
  </si>
  <si>
    <t>-LqqP8a2s_Notfcfw_mE</t>
  </si>
  <si>
    <t>1570723370196</t>
  </si>
  <si>
    <t>-LqqPALVKE60xSQeGADR</t>
  </si>
  <si>
    <t>1570723377385</t>
  </si>
  <si>
    <t>-LqqPBqiXYRzx6Jsm3lj</t>
  </si>
  <si>
    <t>1570723383551</t>
  </si>
  <si>
    <t>-LqqPDLzd6tkhLW-8LKg</t>
  </si>
  <si>
    <t>1570723389771</t>
  </si>
  <si>
    <t>-LqqPErEwBif3g6L_2qm</t>
  </si>
  <si>
    <t>1570723395945</t>
  </si>
  <si>
    <t>-LqqPGNhBp8Ewm7KbzHb</t>
  </si>
  <si>
    <t>1570723402112</t>
  </si>
  <si>
    <t>-LqqPHssNCy6eJQ2Lbwj</t>
  </si>
  <si>
    <t>1570723408271</t>
  </si>
  <si>
    <t>-LqqPJOFo4heLGRt8_mj</t>
  </si>
  <si>
    <t>1570723414450</t>
  </si>
  <si>
    <t>-LqqPKw26SvyBArCAmzP</t>
  </si>
  <si>
    <t>1570723420677</t>
  </si>
  <si>
    <t>-LqqPMgUd_nS70NKaAXd</t>
  </si>
  <si>
    <t>1570723427876</t>
  </si>
  <si>
    <t>-LqqPOQ_kblAocfGzUwW</t>
  </si>
  <si>
    <t>1570723435070</t>
  </si>
  <si>
    <t>-LqqPPvySxjJ3w0Shqn9</t>
  </si>
  <si>
    <t>1570723441247</t>
  </si>
  <si>
    <t>-LqqPRTherCUn8vTgUMk</t>
  </si>
  <si>
    <t>1570723447469</t>
  </si>
  <si>
    <t>-LqqPTDz395MOo8amC-j</t>
  </si>
  <si>
    <t>1570723454670</t>
  </si>
  <si>
    <t>-LqqPUiDi9S6NKUqtrBd</t>
  </si>
  <si>
    <t>1570723460834</t>
  </si>
  <si>
    <t>-LqqPWDV880jMKLYq2nR</t>
  </si>
  <si>
    <t>1570723466994</t>
  </si>
  <si>
    <t>-LqqPXlJ1Cu4pyK4YVmc</t>
  </si>
  <si>
    <t>1570723473233</t>
  </si>
  <si>
    <t>-LqqPZUEaXN5yLz5Qm41</t>
  </si>
  <si>
    <t>1570723480425</t>
  </si>
  <si>
    <t>-LqqPa-jpsU7kUmiw3Pa</t>
  </si>
  <si>
    <t>1570723486591</t>
  </si>
  <si>
    <t>-LqqPbX8m0of2bXAAoRw</t>
  </si>
  <si>
    <t>1570723492896</t>
  </si>
  <si>
    <t>-LqqPd0D3cohzx-J5Kje</t>
  </si>
  <si>
    <t>1570723498985</t>
  </si>
  <si>
    <t>-LqqPecyfLwIMIIFr9jB</t>
  </si>
  <si>
    <t>1570723505149</t>
  </si>
  <si>
    <t>-LqqPgIAde9kyun8seph</t>
  </si>
  <si>
    <t>1570723512349</t>
  </si>
  <si>
    <t>-LqqPi3y6qHpn645aonc</t>
  </si>
  <si>
    <t>1570723518510</t>
  </si>
  <si>
    <t>-LqqPjXRb-gOm0EX-5uL</t>
  </si>
  <si>
    <t>1570723525705</t>
  </si>
  <si>
    <t>-LqqPlNYLacHfDPds7du</t>
  </si>
  <si>
    <t>1570723531952</t>
  </si>
  <si>
    <t>-LqqPn5In1Sphk-Lf-hU</t>
  </si>
  <si>
    <t>1570723540195</t>
  </si>
  <si>
    <t>-LqqPo_HK0sbSRS2a7Qj</t>
  </si>
  <si>
    <t>1570723546344</t>
  </si>
  <si>
    <t>-LqqPq5oM6oJ2XjckdZW</t>
  </si>
  <si>
    <t>1570723552517</t>
  </si>
  <si>
    <t>-LqqPr_nzsCPbaDiG67j</t>
  </si>
  <si>
    <t>1570723558750</t>
  </si>
  <si>
    <t>-LqqPt7YrCLpZGHFRycA</t>
  </si>
  <si>
    <t>1570723564915</t>
  </si>
  <si>
    <t>-LqqPucm_wVh3YqrrOYa</t>
  </si>
  <si>
    <t>1570723571076</t>
  </si>
  <si>
    <t>-LqqPwUYuDtlWTOTUu9G</t>
  </si>
  <si>
    <t>1570723578742</t>
  </si>
  <si>
    <t>-LqqPy8n6_H6l4WBAAfI</t>
  </si>
  <si>
    <t>1570723585483</t>
  </si>
  <si>
    <t>-LqqPzvYPMliJP4jhgol</t>
  </si>
  <si>
    <t>1570723592756</t>
  </si>
  <si>
    <t>-LqqQ0QkBk7O6U8zkdQJ</t>
  </si>
  <si>
    <t>1570723598916</t>
  </si>
  <si>
    <t>-LqqQ1w3gZq1JJBL2vPw</t>
  </si>
  <si>
    <t>1570723605076</t>
  </si>
  <si>
    <t>-LqqQ3ROe06xPG0ONZvO</t>
  </si>
  <si>
    <t>1570723611236</t>
  </si>
  <si>
    <t>-LqqQ4xoZYzV7w7SOxuE</t>
  </si>
  <si>
    <t>1570723617474</t>
  </si>
  <si>
    <t>-LqqQ6U4-wmde2FzoZM9</t>
  </si>
  <si>
    <t>1570723623634</t>
  </si>
  <si>
    <t>-LqqQ7yJkL1YrToMBe3r</t>
  </si>
  <si>
    <t>1570723629795</t>
  </si>
  <si>
    <t>-LqqQ9TdmWOb5i0l-gRu</t>
  </si>
  <si>
    <t>1570723635964</t>
  </si>
  <si>
    <t>-LqqQB-1q4oyL27azOcn</t>
  </si>
  <si>
    <t>1570723642192</t>
  </si>
  <si>
    <t>-LqqQCWZjd-P6Hfsdvcl</t>
  </si>
  <si>
    <t>1570723648356</t>
  </si>
  <si>
    <t>-LqqQEFn4AvIc2dhdYMi</t>
  </si>
  <si>
    <t>1570723655556</t>
  </si>
  <si>
    <t>-LqqQFkzPhyU-XzVMzEK</t>
  </si>
  <si>
    <t>1570723661774</t>
  </si>
  <si>
    <t>-LqqQHGJcXfkJeyk5jcn</t>
  </si>
  <si>
    <t>1570723667949</t>
  </si>
  <si>
    <t>-LqqQIlZlBALSIEOUeNE</t>
  </si>
  <si>
    <t>1570723674114</t>
  </si>
  <si>
    <t>-LqqQKKZ-EUgqsqZxA2R</t>
  </si>
  <si>
    <t>1570723680279</t>
  </si>
  <si>
    <t>-LqqQM2YDGWopRe23gdU</t>
  </si>
  <si>
    <t>1570723687540</t>
  </si>
  <si>
    <t>-LqqQNYhjFWwJKJhsL96</t>
  </si>
  <si>
    <t>1570723693664</t>
  </si>
  <si>
    <t>-LqqQP42Y1gtnlDqvHyg</t>
  </si>
  <si>
    <t>1570723699874</t>
  </si>
  <si>
    <t>-LqqQQbzGLPRT7kn9abK</t>
  </si>
  <si>
    <t>1570723706033</t>
  </si>
  <si>
    <t>-LqqQSM2P8zpk28nFQ0s</t>
  </si>
  <si>
    <t>1570723713239</t>
  </si>
  <si>
    <t>-LqqQTqJ2-hsXENqaBjH</t>
  </si>
  <si>
    <t>1570723719470</t>
  </si>
  <si>
    <t>-LqqQVMiGuEYOIEcXmkF</t>
  </si>
  <si>
    <t>1570723725635</t>
  </si>
  <si>
    <t>-LqqQX76ilDvnhkt9KeD</t>
  </si>
  <si>
    <t>1570723731795</t>
  </si>
  <si>
    <t>-LqqQYbHVHPw4YZb2LEN</t>
  </si>
  <si>
    <t>1570723739006</t>
  </si>
  <si>
    <t>-LqqQ_8yXMe0TXODmq-o</t>
  </si>
  <si>
    <t>1570723745235</t>
  </si>
  <si>
    <t>-LqqQave_XNVuvW5y979</t>
  </si>
  <si>
    <t>1570723752532</t>
  </si>
  <si>
    <t>-LqqQcPqqSpKaHomCv23</t>
  </si>
  <si>
    <t>1570723758597</t>
  </si>
  <si>
    <t>-LqqQdv3xL5LhbxwwidF</t>
  </si>
  <si>
    <t>1570723764762</t>
  </si>
  <si>
    <t>-LqqQfRZh4bGmNHL0N4q</t>
  </si>
  <si>
    <t>1570723770996</t>
  </si>
  <si>
    <t>-LqqQgvZM5NZnh6s6Bnf</t>
  </si>
  <si>
    <t>1570723777156</t>
  </si>
  <si>
    <t>-LqqQiTEkBuAFxdhkQK8</t>
  </si>
  <si>
    <t>1570723783317</t>
  </si>
  <si>
    <t>-LqqQjxKkSD7ge0mm0Ff</t>
  </si>
  <si>
    <t>1570723789481</t>
  </si>
  <si>
    <t>-LqqQlTo-W5jrGsSpBTG</t>
  </si>
  <si>
    <t>1570723795716</t>
  </si>
  <si>
    <t>-LqqQnUlOJv8nJV46HKp</t>
  </si>
  <si>
    <t>1570723802918</t>
  </si>
  <si>
    <t>-LqqQoy_uKZ_8BW6Rcc7</t>
  </si>
  <si>
    <t>1570723810116</t>
  </si>
  <si>
    <t>-LqqQqV5vZG4-JJwA28X</t>
  </si>
  <si>
    <t>1570723816277</t>
  </si>
  <si>
    <t>-LqqQs0AiWAHytZmoD5W</t>
  </si>
  <si>
    <t>1570723822518</t>
  </si>
  <si>
    <t>-LqqQtWpObz9SYl5REiG</t>
  </si>
  <si>
    <t>1570723828676</t>
  </si>
  <si>
    <t>-LqqQv13R5kCO1-62Nxa</t>
  </si>
  <si>
    <t>1570723834837</t>
  </si>
  <si>
    <t>-LqqQwqKj90hL_hTGgHQ</t>
  </si>
  <si>
    <t>1570723841057</t>
  </si>
  <si>
    <t>-LqqQyY4M19tUHJ4Knb3</t>
  </si>
  <si>
    <t>1570723849296</t>
  </si>
  <si>
    <t>-LqqR-3Z4mGQq-KTp3g3</t>
  </si>
  <si>
    <t>1570723855476</t>
  </si>
  <si>
    <t>-LqqR0ZpRPA5rCbT3nj6</t>
  </si>
  <si>
    <t>1570723861636</t>
  </si>
  <si>
    <t>-LqqR243jE7CSZP7nUxP</t>
  </si>
  <si>
    <t>1570723867796</t>
  </si>
  <si>
    <t>-LqqR3a_uAHbUcb7MW7D</t>
  </si>
  <si>
    <t>1570723874031</t>
  </si>
  <si>
    <t>-LqqR5GpI9owoxT7rWZ9</t>
  </si>
  <si>
    <t>1570723880201</t>
  </si>
  <si>
    <t>-LqqR6rJMkgsPUIYAqaQ</t>
  </si>
  <si>
    <t>1570723887399</t>
  </si>
  <si>
    <t>-LqqR8M_0o4MDybHtwdx</t>
  </si>
  <si>
    <t>1570723893556</t>
  </si>
  <si>
    <t>-LqqR9t4ogiW0huIk27H</t>
  </si>
  <si>
    <t>1570723899796</t>
  </si>
  <si>
    <t>-LqqRBd_qZ6byb_01ISl</t>
  </si>
  <si>
    <t>1570723906997</t>
  </si>
  <si>
    <t>-LqqRD8t5axAXXiZ-WlV</t>
  </si>
  <si>
    <t>1570723913156</t>
  </si>
  <si>
    <t>-LqqREe3zF1SkJytOHX2</t>
  </si>
  <si>
    <t>1570723919347</t>
  </si>
  <si>
    <t>-LqqRGAZILzou-QfCExh</t>
  </si>
  <si>
    <t>1570723925556</t>
  </si>
  <si>
    <t>-LqqRHff3vn-Z-SsFo4t</t>
  </si>
  <si>
    <t>1570723931712</t>
  </si>
  <si>
    <t>-LqqRJC535KqluNlJ3wG</t>
  </si>
  <si>
    <t>1570723937878</t>
  </si>
  <si>
    <t>-LqqRKgKmH8tYBMUOQC9</t>
  </si>
  <si>
    <t>1570723944101</t>
  </si>
  <si>
    <t>-LqqRMFKdN4tfU6MZYmi</t>
  </si>
  <si>
    <t>1570723950276</t>
  </si>
  <si>
    <t>-LqqRNyESMbtk8Xh5lL5</t>
  </si>
  <si>
    <t>1570723957478</t>
  </si>
  <si>
    <t>-LqqRPt2mThAQz0YMIYe</t>
  </si>
  <si>
    <t>1570723963633</t>
  </si>
  <si>
    <t>-LqqRRULgqYXLtDGTLga</t>
  </si>
  <si>
    <t>1570723971878</t>
  </si>
  <si>
    <t>-LqqRT-qB0BPEo5LAQhV</t>
  </si>
  <si>
    <t>1570723978116</t>
  </si>
  <si>
    <t>-LqqRUW48OC_rJIXMAUZ</t>
  </si>
  <si>
    <t>1570723984276</t>
  </si>
  <si>
    <t>-LqqRW0L9Wwit1OCYS5b</t>
  </si>
  <si>
    <t>1570723990436</t>
  </si>
  <si>
    <t>-LqqRXWW0WEyynHS31dQ</t>
  </si>
  <si>
    <t>1570723996601</t>
  </si>
  <si>
    <t>-LqqRZ249AJYhTvMaBtK</t>
  </si>
  <si>
    <t>1570724002838</t>
  </si>
  <si>
    <t>-LqqR_X4yQ3Nv2vA94mX</t>
  </si>
  <si>
    <t>1570724008997</t>
  </si>
  <si>
    <t>-LqqRb2dCjiHlaBmA2x2</t>
  </si>
  <si>
    <t>1570724015156</t>
  </si>
  <si>
    <t>-LqqRcYhkZypJw8Z50GF</t>
  </si>
  <si>
    <t>1570724021379</t>
  </si>
  <si>
    <t>-LqqRe4OY7WuyoLXmjs4</t>
  </si>
  <si>
    <t>1570724027558</t>
  </si>
  <si>
    <t>-LqqRf_ZfWI9ioLGv0cF</t>
  </si>
  <si>
    <t>1570724033718</t>
  </si>
  <si>
    <t>-LqqRh4oV4O7HLcxzDtH</t>
  </si>
  <si>
    <t>1570724039878</t>
  </si>
  <si>
    <t>-LqqRib4MXhBb7-3c01t</t>
  </si>
  <si>
    <t>1570724046117</t>
  </si>
  <si>
    <t>-LqqRk6Z05K3sP8bYxs4</t>
  </si>
  <si>
    <t>1570724052272</t>
  </si>
  <si>
    <t>-LqqRlbfpcRw99Xk-MFK</t>
  </si>
  <si>
    <t>1570724058437</t>
  </si>
  <si>
    <t>-LqqRn74pvKHz2jAcPXE</t>
  </si>
  <si>
    <t>1570724064601</t>
  </si>
  <si>
    <t>-LqqRod_xVJp4ae850ZN</t>
  </si>
  <si>
    <t>1570724070836</t>
  </si>
  <si>
    <t>-LqqRq8qFJCpssN-cbJU</t>
  </si>
  <si>
    <t>1570724076992</t>
  </si>
  <si>
    <t>-LqqRre3h6kQiEqmSI_q</t>
  </si>
  <si>
    <t>1570724083156</t>
  </si>
  <si>
    <t>-LqqRtJ0Kpg3TLDUNd_7</t>
  </si>
  <si>
    <t>1570724089980</t>
  </si>
  <si>
    <t>-LqqRuxxemY6yZuU7-cI</t>
  </si>
  <si>
    <t>1570724096562</t>
  </si>
  <si>
    <t>-LqqRwg2Losp5kq1Qhnd</t>
  </si>
  <si>
    <t>1570724103767</t>
  </si>
  <si>
    <t>-LqqRyRRR3hHGo1meBZK</t>
  </si>
  <si>
    <t>1570724110972</t>
  </si>
  <si>
    <t>-LqqRzy1xnTYeOAD6s8u</t>
  </si>
  <si>
    <t>1570724117196</t>
  </si>
  <si>
    <t>-LqqS0TIhUtpWoUjJEzS</t>
  </si>
  <si>
    <t>1570724123361</t>
  </si>
  <si>
    <t>-LqqS1zmmFBRr_JQDudY</t>
  </si>
  <si>
    <t>1570724129596</t>
  </si>
  <si>
    <t>-LqqS3V1Tl-hlsP9zSId</t>
  </si>
  <si>
    <t>1570724135757</t>
  </si>
  <si>
    <t>-LqqS5-HBmW1GKsUhQO-</t>
  </si>
  <si>
    <t>1570724141917</t>
  </si>
  <si>
    <t>-LqqS6Y0C4ogoRHcdY2I</t>
  </si>
  <si>
    <t>1570724148083</t>
  </si>
  <si>
    <t>-LqqS8GB7Rtc2J2K2Ms_</t>
  </si>
  <si>
    <t>1570724155287</t>
  </si>
  <si>
    <t>-LqqS9mfoMsBRGvqA_v1</t>
  </si>
  <si>
    <t>1570724161523</t>
  </si>
  <si>
    <t>-LqqSBHloS7Aja0KiNr3</t>
  </si>
  <si>
    <t>1570724167681</t>
  </si>
  <si>
    <t>-LqqSD2Wihgq4ONQQ0tV</t>
  </si>
  <si>
    <t>1570724173837</t>
  </si>
  <si>
    <t>-LqqSEYb66LrpJq43Z4G</t>
  </si>
  <si>
    <t>1570724181043</t>
  </si>
  <si>
    <t>-LqqSG3xZOJqOppxypYB</t>
  </si>
  <si>
    <t>1570724187279</t>
  </si>
  <si>
    <t>-LqqSHaTnb5H5QtPYga1</t>
  </si>
  <si>
    <t>1570724193421</t>
  </si>
  <si>
    <t>-LqqSJKdUdqnSpXuVDVf</t>
  </si>
  <si>
    <t>1570724200633</t>
  </si>
  <si>
    <t>-LqqSKptqz22XHIDGeuc</t>
  </si>
  <si>
    <t>1570724206817</t>
  </si>
  <si>
    <t>-LqqSML7nrEwVyXxh2c7</t>
  </si>
  <si>
    <t>1570724213028</t>
  </si>
  <si>
    <t>-LqqSNstJWoMWtiGfGvQ</t>
  </si>
  <si>
    <t>1570724219192</t>
  </si>
  <si>
    <t>-LqqSPc9b-F6hhbjpOvq</t>
  </si>
  <si>
    <t>1570724226393</t>
  </si>
  <si>
    <t>-LqqSR8c1qSSKOKGGD6s</t>
  </si>
  <si>
    <t>1570724232632</t>
  </si>
  <si>
    <t>-LqqSSdtjdQNq5k4xzrK</t>
  </si>
  <si>
    <t>1570724238792</t>
  </si>
  <si>
    <t>-LqqSUbOV8pHZvw21uIV</t>
  </si>
  <si>
    <t>1570724246147</t>
  </si>
  <si>
    <t>-LqqSW9xyirmo49FUkw-</t>
  </si>
  <si>
    <t>1570724253193</t>
  </si>
  <si>
    <t>-LqqSXz3IG7yKp6EQTay</t>
  </si>
  <si>
    <t>1570724259369</t>
  </si>
  <si>
    <t>-LqqSZft2ndDKokJV9df</t>
  </si>
  <si>
    <t>1570724267602</t>
  </si>
  <si>
    <t>-LqqSaAp_zZPbLmT_9FR</t>
  </si>
  <si>
    <t>1570724273828</t>
  </si>
  <si>
    <t>-LqqSbgIvBKdMLBgQCEV</t>
  </si>
  <si>
    <t>1570724279953</t>
  </si>
  <si>
    <t>-LqqSdCtpW1bYL0qk9nD</t>
  </si>
  <si>
    <t>1570724286155</t>
  </si>
  <si>
    <t>-LqqSejOPn0w1g5p1m6V</t>
  </si>
  <si>
    <t>1570724292392</t>
  </si>
  <si>
    <t>-LqqSgEf0GQFP7IPBHIZ</t>
  </si>
  <si>
    <t>1570724298553</t>
  </si>
  <si>
    <t>-LqqShid3meZWIxBjbed</t>
  </si>
  <si>
    <t>1570724304707</t>
  </si>
  <si>
    <t>-LqqSjFAZFjeqLvtiTa0</t>
  </si>
  <si>
    <t>1570724310888</t>
  </si>
  <si>
    <t>-LqqSkkJHCXk5riGnQ18</t>
  </si>
  <si>
    <t>1570724317108</t>
  </si>
  <si>
    <t>-LqqSmGt3jclPPRVUNL0</t>
  </si>
  <si>
    <t>1570724323273</t>
  </si>
  <si>
    <t>-LqqSnkvUu-MajPtmb0P</t>
  </si>
  <si>
    <t>1570724329422</t>
  </si>
  <si>
    <t>-LqqSpHNAu5N1eMLy9ZZ</t>
  </si>
  <si>
    <t>1570724335592</t>
  </si>
  <si>
    <t>-LqqSqntWiU4ew4pUPwp</t>
  </si>
  <si>
    <t>1570724341833</t>
  </si>
  <si>
    <t>-LqqSsHskA_SFqXGzNr4</t>
  </si>
  <si>
    <t>1570724347988</t>
  </si>
  <si>
    <t>-LqqStoLstHSMwAZBK5v</t>
  </si>
  <si>
    <t>1570724354238</t>
  </si>
  <si>
    <t>-LqqSvRMKw6GnviE08xg</t>
  </si>
  <si>
    <t>1570724360333</t>
  </si>
  <si>
    <t>-LqqSx47ybDfaT0o1beS</t>
  </si>
  <si>
    <t>1570724367593</t>
  </si>
  <si>
    <t>-LqqSyad37gc9AnQsomx</t>
  </si>
  <si>
    <t>1570724373752</t>
  </si>
  <si>
    <t>-LqqT-62yUy1KD1-BfNq</t>
  </si>
  <si>
    <t>1570724379913</t>
  </si>
  <si>
    <t>-LqqT0b9shhgMRqCOLXU</t>
  </si>
  <si>
    <t>1570724386147</t>
  </si>
  <si>
    <t>-LqqT2P6z7T3beztzaJ7</t>
  </si>
  <si>
    <t>1570724393448</t>
  </si>
  <si>
    <t>-LqqT46sfO_695Eiu5mT</t>
  </si>
  <si>
    <t>1570724400540</t>
  </si>
  <si>
    <t>-LqqT5dS_UEv8JNU2F1f</t>
  </si>
  <si>
    <t>1570724406703</t>
  </si>
  <si>
    <t>-LqqT78iELX4vfRvpbpd</t>
  </si>
  <si>
    <t>1570724412886</t>
  </si>
  <si>
    <t>-LqqT8f2zOiVFEK8n7Y0</t>
  </si>
  <si>
    <t>1570724419092</t>
  </si>
  <si>
    <t>-LqqTAAJaJ5vHCkOouSP</t>
  </si>
  <si>
    <t>1570724425267</t>
  </si>
  <si>
    <t>-LqqTBfZSVE0IGT_fgAG</t>
  </si>
  <si>
    <t>1570724431473</t>
  </si>
  <si>
    <t>-LqqTDAoIoaWBfAPc7BH</t>
  </si>
  <si>
    <t>1570724437663</t>
  </si>
  <si>
    <t>-LqqTEhN8CGNgg4TV7LB</t>
  </si>
  <si>
    <t>1570724443813</t>
  </si>
  <si>
    <t>-LqqTGCZRb0rbUMb24j3</t>
  </si>
  <si>
    <t>1570724449972</t>
  </si>
  <si>
    <t>-LqqTHj3X8cQzXe5HY8x</t>
  </si>
  <si>
    <t>1570724456211</t>
  </si>
  <si>
    <t>-LqqTJEK6aUmKGUdn6Zn</t>
  </si>
  <si>
    <t>1570724462374</t>
  </si>
  <si>
    <t>-LqqTKjbl7aXsYHW7Hqv</t>
  </si>
  <si>
    <t>1570724468531</t>
  </si>
  <si>
    <t>-LqqTMEp6sRk26Cqj3Il</t>
  </si>
  <si>
    <t>1570724474701</t>
  </si>
  <si>
    <t>-LqqTNlJPxsRwbodjbf8</t>
  </si>
  <si>
    <t>1570724480933</t>
  </si>
  <si>
    <t>-LqqTPFJnJDVlP9Syc-y</t>
  </si>
  <si>
    <t>1570724487088</t>
  </si>
  <si>
    <t>-LqqTQloub5IDdKI41VP</t>
  </si>
  <si>
    <t>1570724493252</t>
  </si>
  <si>
    <t>-LqqTSIJpwTcaf313LVn</t>
  </si>
  <si>
    <t>1570724499494</t>
  </si>
  <si>
    <t>-LqqTTmJWH89wXlWLJ6K</t>
  </si>
  <si>
    <t>1570724505648</t>
  </si>
  <si>
    <t>-LqqTVIp8Jq3KwAmx_Lo</t>
  </si>
  <si>
    <t>1570724511811</t>
  </si>
  <si>
    <t>-LqqTWmn3thD5k5SO_P_</t>
  </si>
  <si>
    <t>1570724517976</t>
  </si>
  <si>
    <t>-LqqTYLoAVUE37U7Ga8O</t>
  </si>
  <si>
    <t>1570724524213</t>
  </si>
  <si>
    <t>-LqqT_53YgFIDYMtZUpn</t>
  </si>
  <si>
    <t>1570724531412</t>
  </si>
  <si>
    <t>-LqqTaaIN1RytlkISiRO</t>
  </si>
  <si>
    <t>1570724537573</t>
  </si>
  <si>
    <t>-LqqTcMgDR-i7UtvOmln</t>
  </si>
  <si>
    <t>1570724544772</t>
  </si>
  <si>
    <t>-LqqTdqo0iKipiqAgmzU</t>
  </si>
  <si>
    <t>1570724550996</t>
  </si>
  <si>
    <t>-LqqTfLg7r2RDbcGwG5C</t>
  </si>
  <si>
    <t>1570724557133</t>
  </si>
  <si>
    <t>-LqqTgtR0hzjGFbSkfof</t>
  </si>
  <si>
    <t>1570724563371</t>
  </si>
  <si>
    <t>-LqqTiOg1aQ_zy2uBwEc</t>
  </si>
  <si>
    <t>1570724569532</t>
  </si>
  <si>
    <t>-LqqTjtvbO6rS4dh05xi</t>
  </si>
  <si>
    <t>1570724575751</t>
  </si>
  <si>
    <t>-LqqTlNwFd2ivPuWnaa0</t>
  </si>
  <si>
    <t>1570724581848</t>
  </si>
  <si>
    <t>-LqqTmvgc2neIXyCrQpS</t>
  </si>
  <si>
    <t>1570724588088</t>
  </si>
  <si>
    <t>-LqqToORlb-pHaipCYMo</t>
  </si>
  <si>
    <t>1570724594251</t>
  </si>
  <si>
    <t>-LqqTqDxdhhjg87fix2z</t>
  </si>
  <si>
    <t>1570724600412</t>
  </si>
  <si>
    <t>-LqqTrwwHzE_1PohWmMw</t>
  </si>
  <si>
    <t>1570724608653</t>
  </si>
  <si>
    <t>-LqqTtSHNGJsQa2Jyv9S</t>
  </si>
  <si>
    <t>1570724614888</t>
  </si>
  <si>
    <t>-LqqTuxSIFE42y26aXX3</t>
  </si>
  <si>
    <t>1570724621049</t>
  </si>
  <si>
    <t>-LqqTwTyg6Nl1juVB_Wh</t>
  </si>
  <si>
    <t>1570724627212</t>
  </si>
  <si>
    <t>-LqqTxzCyrbGv-hZpllc</t>
  </si>
  <si>
    <t>1570724633377</t>
  </si>
  <si>
    <t>-LqqTzURW4G9Hg91Z2_C</t>
  </si>
  <si>
    <t>1570724639533</t>
  </si>
  <si>
    <t>-LqqU0-rLFnUnl2PBiFt</t>
  </si>
  <si>
    <t>1570724645772</t>
  </si>
  <si>
    <t>-LqqU1WD1rAK6pt3kLcy</t>
  </si>
  <si>
    <t>1570724651933</t>
  </si>
  <si>
    <t>-LqqU31gSJHt9fqA27gE</t>
  </si>
  <si>
    <t>1570724658172</t>
  </si>
  <si>
    <t>-LqqU4WgLN9U9axt0D6d</t>
  </si>
  <si>
    <t>1570724664322</t>
  </si>
  <si>
    <t>-LqqU62BpTM9jDmsEBOt</t>
  </si>
  <si>
    <t>1570724670492</t>
  </si>
  <si>
    <t>-LqqU7YSNK3LDjZqy-8-</t>
  </si>
  <si>
    <t>1570724676652</t>
  </si>
  <si>
    <t>-LqqU92hH-IWy5Dud1Wf</t>
  </si>
  <si>
    <t>1570724682832</t>
  </si>
  <si>
    <t>-LqqUA_BWUcHybha9uRg</t>
  </si>
  <si>
    <t>1570724689052</t>
  </si>
  <si>
    <t>-LqqUCIBNSubcJd4V4b_</t>
  </si>
  <si>
    <t>1570724696061</t>
  </si>
  <si>
    <t>-LqqUDq3aIHfrlHZYn3p</t>
  </si>
  <si>
    <t>1570724702415</t>
  </si>
  <si>
    <t>-LqqUFMXEMNPLEthfzC6</t>
  </si>
  <si>
    <t>1570724708652</t>
  </si>
  <si>
    <t>-LqqUGrSkcsOy1DnhGaj</t>
  </si>
  <si>
    <t>1570724714813</t>
  </si>
  <si>
    <t>-LqqUIdRINZKS2tsCPkw</t>
  </si>
  <si>
    <t>1570724722027</t>
  </si>
  <si>
    <t>-LqqUKNlYYTXQY3Sp_G8</t>
  </si>
  <si>
    <t>1570724729212</t>
  </si>
  <si>
    <t>-LqqULsxYzBWCQ32qev2</t>
  </si>
  <si>
    <t>1570724735383</t>
  </si>
  <si>
    <t>-LqqUNOCWWjUZM3vhJxM</t>
  </si>
  <si>
    <t>1570724741543</t>
  </si>
  <si>
    <t>-LqqUP8KKhe_6_jxNFZH</t>
  </si>
  <si>
    <t>1570724747773</t>
  </si>
  <si>
    <t>-LqqUQfC1rk8anJjIr_r</t>
  </si>
  <si>
    <t>1570724754973</t>
  </si>
  <si>
    <t>-LqqUSATL3zgiuYhEsu-</t>
  </si>
  <si>
    <t>1570724761137</t>
  </si>
  <si>
    <t>-LqqUTi6uvPJQ6CxjfrO</t>
  </si>
  <si>
    <t>1570724767372</t>
  </si>
  <si>
    <t>-LqqUVNgO2SudHg2y2qL</t>
  </si>
  <si>
    <t>1570724773533</t>
  </si>
  <si>
    <t>-LqqUWxg__9463W7N6Ul</t>
  </si>
  <si>
    <t>1570724780733</t>
  </si>
  <si>
    <t>-LqqUYRgJEyVnqmaJVGx</t>
  </si>
  <si>
    <t>1570724786893</t>
  </si>
  <si>
    <t>-LqqUZzTVAg7_kTpGA6p</t>
  </si>
  <si>
    <t>1570724793132</t>
  </si>
  <si>
    <t>-LqqUaUhdAkLAIRYGs6d</t>
  </si>
  <si>
    <t>1570724799293</t>
  </si>
  <si>
    <t>-LqqUbzzVQ7MLHFJf3O6</t>
  </si>
  <si>
    <t>1570724805452</t>
  </si>
  <si>
    <t>-LqqUdnDKFlgEF9XWaTA</t>
  </si>
  <si>
    <t>1570724811618</t>
  </si>
  <si>
    <t>-LqqUfW3JRML7mAku5oL</t>
  </si>
  <si>
    <t>1570724819866</t>
  </si>
  <si>
    <t>-LqqUh0DugbnRdsU18Uo</t>
  </si>
  <si>
    <t>1570724826054</t>
  </si>
  <si>
    <t>-LqqUiYzDbzsYv3PNh12</t>
  </si>
  <si>
    <t>1570724832357</t>
  </si>
  <si>
    <t>-LqqUkIG6hbC33jOkeEQ</t>
  </si>
  <si>
    <t>1570724839456</t>
  </si>
  <si>
    <t>-LqqUm2U60hqs28me9b8</t>
  </si>
  <si>
    <t>1570724846654</t>
  </si>
  <si>
    <t>-LqqUnYzWkuw_GeDkhdw</t>
  </si>
  <si>
    <t>1570724852895</t>
  </si>
  <si>
    <t>-LqqUp4U8ZOwQr6m3By-</t>
  </si>
  <si>
    <t>1570724859055</t>
  </si>
  <si>
    <t>-LqqUq_khpivm1LFhd1Z</t>
  </si>
  <si>
    <t>1570724865216</t>
  </si>
  <si>
    <t>-LqqUs4yPm-4DNkP1gg-</t>
  </si>
  <si>
    <t>1570724871374</t>
  </si>
  <si>
    <t>-LqqUtbWKcqVqIlzce7m</t>
  </si>
  <si>
    <t>1570724877630</t>
  </si>
  <si>
    <t>-LqqUv6kapAXgAsqrkRP</t>
  </si>
  <si>
    <t>1570724883775</t>
  </si>
  <si>
    <t>-LqqUwc0Q2ZyFVbNiiRg</t>
  </si>
  <si>
    <t>1570724889934</t>
  </si>
  <si>
    <t>-LqqUy8UfFg5i1tzAIug</t>
  </si>
  <si>
    <t>1570724896100</t>
  </si>
  <si>
    <t>-LqqUzcUZFBAfsg_AkWa</t>
  </si>
  <si>
    <t>1570724902256</t>
  </si>
  <si>
    <t>-LqqV07kidMMdyGIeiCj</t>
  </si>
  <si>
    <t>1570724908490</t>
  </si>
  <si>
    <t>-LqqV1eEE3nGOvSGbrta</t>
  </si>
  <si>
    <t>1570724914658</t>
  </si>
  <si>
    <t>-LqqV39c_X0zgnrJLapn</t>
  </si>
  <si>
    <t>1570724920881</t>
  </si>
  <si>
    <t>-LqqV4gzOkRGq8orqre9</t>
  </si>
  <si>
    <t>1570724927057</t>
  </si>
  <si>
    <t>-LqqV6BDQ86BvTN864BU</t>
  </si>
  <si>
    <t>1570724933214</t>
  </si>
  <si>
    <t>-LqqV7gUY-x_2U5Ci6yN</t>
  </si>
  <si>
    <t>1570724939376</t>
  </si>
  <si>
    <t>-LqqV9BjduKof2ThBLSv</t>
  </si>
  <si>
    <t>1570724945611</t>
  </si>
  <si>
    <t>-LqqVAgyXyDjcbSE_MKx</t>
  </si>
  <si>
    <t>1570724951777</t>
  </si>
  <si>
    <t>-LqqVCDWKLuOw33js11e</t>
  </si>
  <si>
    <t>1570724957937</t>
  </si>
  <si>
    <t>-LqqVDil0C6psY9LU4Cc</t>
  </si>
  <si>
    <t>1570724964103</t>
  </si>
  <si>
    <t>-LqqVFGU77aqjmqD6ubU</t>
  </si>
  <si>
    <t>1570724970433</t>
  </si>
  <si>
    <t>-LqqVH1-3ZvPnob_i_5F</t>
  </si>
  <si>
    <t>1570724977534</t>
  </si>
  <si>
    <t>-LqqVIlFkJiKfVAWdABa</t>
  </si>
  <si>
    <t>1570724984736</t>
  </si>
  <si>
    <t>-LqqVKGTP7RK4zbg2mEk</t>
  </si>
  <si>
    <t>1570724990907</t>
  </si>
  <si>
    <t>-LqqVLx043MoEnj9dbQX</t>
  </si>
  <si>
    <t>1570724997810</t>
  </si>
  <si>
    <t>-LqqVNYUTaBGheKsHc8K</t>
  </si>
  <si>
    <t>1570725004336</t>
  </si>
  <si>
    <t>-LqqVP2iAJ39JNn4Brx6</t>
  </si>
  <si>
    <t>1570725010497</t>
  </si>
  <si>
    <t>-LqqVQYROZmF1W2Eq_62</t>
  </si>
  <si>
    <t>1570725016654</t>
  </si>
  <si>
    <t>-LqqVS3FdqyGyXEQNrp1</t>
  </si>
  <si>
    <t>1570725022900</t>
  </si>
  <si>
    <t>-LqqVTrC-zxKvJzvnVpf</t>
  </si>
  <si>
    <t>1570725030188</t>
  </si>
  <si>
    <t>-LqqVVYv5wNj82FmKGHG</t>
  </si>
  <si>
    <t>1570725037286</t>
  </si>
  <si>
    <t>-LqqVX5hNdPbw0ez1b1p</t>
  </si>
  <si>
    <t>1570725043451</t>
  </si>
  <si>
    <t>-LqqVYawUmDgRjNk273Q</t>
  </si>
  <si>
    <t>1570725049618</t>
  </si>
  <si>
    <t>-LqqV_7SObUxiVyE_IJU</t>
  </si>
  <si>
    <t>1570725055868</t>
  </si>
  <si>
    <t>-LqqVadvnjTESU9qNa0h</t>
  </si>
  <si>
    <t>1570725062014</t>
  </si>
  <si>
    <t>-LqqVcOBVFwNHlHdPgaj</t>
  </si>
  <si>
    <t>1570725069212</t>
  </si>
  <si>
    <t>-LqqVe3fAgi30qpUAIIn</t>
  </si>
  <si>
    <t>1570725076117</t>
  </si>
  <si>
    <t>-LqqVff7s0Gcseg6nY9G</t>
  </si>
  <si>
    <t>1570725082653</t>
  </si>
  <si>
    <t>-LqqVhAR7TemieGiB1K_</t>
  </si>
  <si>
    <t>1570725088813</t>
  </si>
  <si>
    <t>-LqqVifaloEIAKNFy51s</t>
  </si>
  <si>
    <t>1570725094972</t>
  </si>
  <si>
    <t>-LqqVk9hwS16ilLCtxIX</t>
  </si>
  <si>
    <t>1570725101137</t>
  </si>
  <si>
    <t>-LqqVlfxiWFaiXcQ9AvI</t>
  </si>
  <si>
    <t>1570725107318</t>
  </si>
  <si>
    <t>-LqqVnBQXBWyt878l6tk</t>
  </si>
  <si>
    <t>1570725113526</t>
  </si>
  <si>
    <t>-LqqVohxC1gtLY3Kxb8N</t>
  </si>
  <si>
    <t>1570725119693</t>
  </si>
  <si>
    <t>-LqqVqEcqOxWrYE_YbVs</t>
  </si>
  <si>
    <t>1570725125868</t>
  </si>
  <si>
    <t>-LqqVriQdTk0bXx1L_FH</t>
  </si>
  <si>
    <t>1570725132094</t>
  </si>
  <si>
    <t>-LqqVtDfUKWxD-KFZDd5</t>
  </si>
  <si>
    <t>1570725138251</t>
  </si>
  <si>
    <t>-LqqVuivV_CwKAcX9bRj</t>
  </si>
  <si>
    <t>1570725144413</t>
  </si>
  <si>
    <t>-LqqVwUbbJLJ1wzwbKPR</t>
  </si>
  <si>
    <t>1570725150652</t>
  </si>
  <si>
    <t>-LqqVy1ApPakuUD4yo6h</t>
  </si>
  <si>
    <t>1570725157853</t>
  </si>
  <si>
    <t>-LqqVzXRBnQRaTwCALeM</t>
  </si>
  <si>
    <t>1570725164015</t>
  </si>
  <si>
    <t>-LqqW00SL7GW0mxssOn4</t>
  </si>
  <si>
    <t>1570725170171</t>
  </si>
  <si>
    <t>-LqqW1lwBsfNebMhqHie</t>
  </si>
  <si>
    <t>1570725176406</t>
  </si>
  <si>
    <t>-LqqW3Jc4Q9XSGrAjy4q</t>
  </si>
  <si>
    <t>1570725183613</t>
  </si>
  <si>
    <t>-LqqW4ngUL3BdURx8EBN</t>
  </si>
  <si>
    <t>1570725189771</t>
  </si>
  <si>
    <t>-LqqW6IvlD5uwUtbtX_8</t>
  </si>
  <si>
    <t>1570725195928</t>
  </si>
  <si>
    <t>-LqqW7qkxI3HvZSWcjGm</t>
  </si>
  <si>
    <t>1570725202159</t>
  </si>
  <si>
    <t>-LqqW9Kh_Tf7uptZT4EZ</t>
  </si>
  <si>
    <t>1570725208323</t>
  </si>
  <si>
    <t>-LqqWArAdaxmj3tfA-V0</t>
  </si>
  <si>
    <t>1570725214492</t>
  </si>
  <si>
    <t>-LqqWCLA92hzjtpWecGK</t>
  </si>
  <si>
    <t>1570725220651</t>
  </si>
  <si>
    <t>-LqqWE81aV7wtYlUIjYR</t>
  </si>
  <si>
    <t>1570725226891</t>
  </si>
  <si>
    <t>-LqqWFthGYnC6KAA4l30</t>
  </si>
  <si>
    <t>1570725235132</t>
  </si>
  <si>
    <t>-LqqWHfUSXoOGxLDfGfl</t>
  </si>
  <si>
    <t>1570725241293</t>
  </si>
  <si>
    <t>-LqqWJPhnNk5h2q1WH8w</t>
  </si>
  <si>
    <t>1570725249534</t>
  </si>
  <si>
    <t>-LqqWL2hWeJMSoN6-3ch</t>
  </si>
  <si>
    <t>1570725256315</t>
  </si>
  <si>
    <t>-LqqWMfFlkNqotWWoDuP</t>
  </si>
  <si>
    <t>1570725262895</t>
  </si>
  <si>
    <t>-LqqWOBzssm_OGh-wbD8</t>
  </si>
  <si>
    <t>1570725269137</t>
  </si>
  <si>
    <t>-LqqWPfyTWTga7ss50C5</t>
  </si>
  <si>
    <t>1570725275288</t>
  </si>
  <si>
    <t>-LqqWRCOUaek3JObrimX</t>
  </si>
  <si>
    <t>1570725281454</t>
  </si>
  <si>
    <t>-LqqWShKcilZvkVVRDku</t>
  </si>
  <si>
    <t>1570725287673</t>
  </si>
  <si>
    <t>-LqqWUD1WcvEqMBILuJ9</t>
  </si>
  <si>
    <t>1570725293780</t>
  </si>
  <si>
    <t>-LqqWVjXTime9k4uYt6l</t>
  </si>
  <si>
    <t>1570725300017</t>
  </si>
  <si>
    <t>-LqqWXEhoFPVkS8oDGAJ</t>
  </si>
  <si>
    <t>1570725306174</t>
  </si>
  <si>
    <t>-LqqWYqXWzf3928nud6W</t>
  </si>
  <si>
    <t>1570725312408</t>
  </si>
  <si>
    <t>-LqqW_VOtKuCgl5d6_td</t>
  </si>
  <si>
    <t>1570725319608</t>
  </si>
  <si>
    <t>-LqqWb0tgyt_j37IJkfC</t>
  </si>
  <si>
    <t>1570725325788</t>
  </si>
  <si>
    <t>-LqqWcYUyG-mYvQPJukJ</t>
  </si>
  <si>
    <t>1570725331934</t>
  </si>
  <si>
    <t>-LqqWe1TT6b7GBRCl_pO</t>
  </si>
  <si>
    <t>1570725338094</t>
  </si>
  <si>
    <t>-LqqWfYyfleWPlraZNOu</t>
  </si>
  <si>
    <t>1570725344333</t>
  </si>
  <si>
    <t>-LqqWh3DMhHn1BgHgoEU</t>
  </si>
  <si>
    <t>1570725350495</t>
  </si>
  <si>
    <t>-LqqWiZSISLH4rpPJ6pW</t>
  </si>
  <si>
    <t>1570725356653</t>
  </si>
  <si>
    <t>-LqqWk3hQUQmZe5vWtJT</t>
  </si>
  <si>
    <t>1570725362834</t>
  </si>
  <si>
    <t>-LqqWlaDYMIUHHed7L_J</t>
  </si>
  <si>
    <t>1570725369054</t>
  </si>
  <si>
    <t>-LqqWn6-OLQM7YA6lyK2</t>
  </si>
  <si>
    <t>1570725375213</t>
  </si>
  <si>
    <t>-LqqWoawcdlFTq9GME_i</t>
  </si>
  <si>
    <t>1570725381388</t>
  </si>
  <si>
    <t>-LqqWq5xy3mt-WV-hPxR</t>
  </si>
  <si>
    <t>1570725387610</t>
  </si>
  <si>
    <t>-LqqWrcuiyh3xm7mybR5</t>
  </si>
  <si>
    <t>1570725393787</t>
  </si>
  <si>
    <t>-LqqWtPRIN3d5BNF65yh</t>
  </si>
  <si>
    <t>1570725400988</t>
  </si>
  <si>
    <t>-LqqWv8hiP3naNVQVfrl</t>
  </si>
  <si>
    <t>1570725408191</t>
  </si>
  <si>
    <t>-LqqWwdw5T9dADITZ2h4</t>
  </si>
  <si>
    <t>1570725414350</t>
  </si>
  <si>
    <t>-LqqWyBi3vhr7U4Fj02z</t>
  </si>
  <si>
    <t>1570725420595</t>
  </si>
  <si>
    <t>-LqqWzug6q-lDzqXn_W0</t>
  </si>
  <si>
    <t>1570725427785</t>
  </si>
  <si>
    <t>-LqqX0RCOIhRV-jY1FL2</t>
  </si>
  <si>
    <t>1570725433949</t>
  </si>
  <si>
    <t>-LqqX1wTHsHErUrS_J3n</t>
  </si>
  <si>
    <t>1570725440107</t>
  </si>
  <si>
    <t>-LqqX3SwYonKhIYRAr-t</t>
  </si>
  <si>
    <t>1570725446355</t>
  </si>
  <si>
    <t>-LqqX5GAJ4Wrbr4VUe29</t>
  </si>
  <si>
    <t>1570725452509</t>
  </si>
  <si>
    <t>-LqqX6xgJSUtCAfl0v4j</t>
  </si>
  <si>
    <t>1570725460742</t>
  </si>
  <si>
    <t>-LqqX8UAaGVvk7xS1Dxq</t>
  </si>
  <si>
    <t>1570725466907</t>
  </si>
  <si>
    <t>-LqqX9zRSP5yM8DQ9FgX</t>
  </si>
  <si>
    <t>1570725473128</t>
  </si>
  <si>
    <t>-LqqXBVn9xjLna2e39yh</t>
  </si>
  <si>
    <t>1570725479308</t>
  </si>
  <si>
    <t>-LqqXD-xjjwBxopVvV_W</t>
  </si>
  <si>
    <t>1570725485452</t>
  </si>
  <si>
    <t>-LqqXEX28Y1Q4vrJKsBn</t>
  </si>
  <si>
    <t>1570725491624</t>
  </si>
  <si>
    <t>-LqqXG0W0AYpIfBPUhRT</t>
  </si>
  <si>
    <t>1570725497812</t>
  </si>
  <si>
    <t>-LqqXHZBO8IN0r8VRNF2</t>
  </si>
  <si>
    <t>1570725504019</t>
  </si>
  <si>
    <t>-LqqXJ21P_lnY-hAzvSk</t>
  </si>
  <si>
    <t>1570725510179</t>
  </si>
  <si>
    <t>-LqqXKYRL-Z-XiOe7uTx</t>
  </si>
  <si>
    <t>1570725516400</t>
  </si>
  <si>
    <t>-LqqXM42ebdOcvUL-nY9</t>
  </si>
  <si>
    <t>1570725522577</t>
  </si>
  <si>
    <t>-LqqXN_NvCrH7_paMtH_</t>
  </si>
  <si>
    <t>1570725528737</t>
  </si>
  <si>
    <t>-LqqXP4XM_tX1kBeCHKw</t>
  </si>
  <si>
    <t>1570725534898</t>
  </si>
  <si>
    <t>-LqqXQb11lSsSkgf4NSt</t>
  </si>
  <si>
    <t>1570725541140</t>
  </si>
  <si>
    <t>-LqqXS637MguJDkRFE87</t>
  </si>
  <si>
    <t>1570725547299</t>
  </si>
  <si>
    <t>-LqqXTbWTWyPEBufSScH</t>
  </si>
  <si>
    <t>1570725553457</t>
  </si>
  <si>
    <t>-LqqXV6mo9ldsGUOF7zY</t>
  </si>
  <si>
    <t>1570725559679</t>
  </si>
  <si>
    <t>-LqqXWeXryXifz7bg-ns</t>
  </si>
  <si>
    <t>1570725565859</t>
  </si>
  <si>
    <t>-LqqXYOlhOxT60chndkS</t>
  </si>
  <si>
    <t>1570725573058</t>
  </si>
  <si>
    <t>-LqqXZtzlfTraRa_Vt8m</t>
  </si>
  <si>
    <t>1570725579217</t>
  </si>
  <si>
    <t>-LqqXaPIuC1djsraSOyB</t>
  </si>
  <si>
    <t>1570725585382</t>
  </si>
  <si>
    <t>-LqqXc9nfJ38ScF2L_dh</t>
  </si>
  <si>
    <t>1570725592625</t>
  </si>
  <si>
    <t>-LqqXdgGTxn2fBNKcHI0</t>
  </si>
  <si>
    <t>1570725598818</t>
  </si>
  <si>
    <t>-LqqXfBRhAY9Vk6gwP-9</t>
  </si>
  <si>
    <t>1570725604977</t>
  </si>
  <si>
    <t>-LqqXhDT_H9shDS167bb</t>
  </si>
  <si>
    <t>1570725611198</t>
  </si>
  <si>
    <t>-LqqXihYykt0rYlePraS</t>
  </si>
  <si>
    <t>1570725619437</t>
  </si>
  <si>
    <t>-LqqXkCmd7w0JCZL6rOR</t>
  </si>
  <si>
    <t>1570725625612</t>
  </si>
  <si>
    <t>-LqqXlrwLn8SOW0NOxY2</t>
  </si>
  <si>
    <t>1570725631778</t>
  </si>
  <si>
    <t>-LqqXnW0QEykxVX9s57e</t>
  </si>
  <si>
    <t>1570725638977</t>
  </si>
  <si>
    <t>-LqqXp-0F3DU5y8lAvtu</t>
  </si>
  <si>
    <t>1570725645143</t>
  </si>
  <si>
    <t>-LqqXqVGZDFzEK1K0Oz-</t>
  </si>
  <si>
    <t>1570725651333</t>
  </si>
  <si>
    <t>-LqqXs-W7vPXiNBKIIGo</t>
  </si>
  <si>
    <t>1570725657537</t>
  </si>
  <si>
    <t>-LqqXtYGwsjBDwsA6RQE</t>
  </si>
  <si>
    <t>1570725663699</t>
  </si>
  <si>
    <t>-LqqXvK2urPK7fanuIus</t>
  </si>
  <si>
    <t>1570725671079</t>
  </si>
  <si>
    <t>-LqqXx3PJ8Lww3GO6CU8</t>
  </si>
  <si>
    <t>1570725678179</t>
  </si>
  <si>
    <t>-LqqXyYI2kJO_KZjG2lR</t>
  </si>
  <si>
    <t>1570725684295</t>
  </si>
  <si>
    <t>-LqqY-3oH0Mn7sYZlkOV</t>
  </si>
  <si>
    <t>1570725690501</t>
  </si>
  <si>
    <t>-LqqY0_2a8M7JdriadZV</t>
  </si>
  <si>
    <t>1570725696670</t>
  </si>
  <si>
    <t>-LqqY25ZdZ-4UEb-dF-c</t>
  </si>
  <si>
    <t>1570725702896</t>
  </si>
  <si>
    <t>-LqqY3a_5Vwqg9cAQgmq</t>
  </si>
  <si>
    <t>1570725709055</t>
  </si>
  <si>
    <t>-LqqY563FGYQjFJOCeSz</t>
  </si>
  <si>
    <t>1570725715230</t>
  </si>
  <si>
    <t>-LqqY6rYfQ1nDUCXhNJK</t>
  </si>
  <si>
    <t>1570725722484</t>
  </si>
  <si>
    <t>-LqqY8O3sbZZasUH8xkj</t>
  </si>
  <si>
    <t>1570725728656</t>
  </si>
  <si>
    <t>-LqqY9tI4JXgDgWLOK3a</t>
  </si>
  <si>
    <t>1570725734821</t>
  </si>
  <si>
    <t>-LqqYBOZgC9DAfSFI4EQ</t>
  </si>
  <si>
    <t>1570725740979</t>
  </si>
  <si>
    <t>-LqqYD-31mqdnKZYUjoV</t>
  </si>
  <si>
    <t>1570725747616</t>
  </si>
  <si>
    <t>-LqqYEf_KOU5OQOX7tFf</t>
  </si>
  <si>
    <t>1570725754431</t>
  </si>
  <si>
    <t>-LqqYGR3RuCz5LcYTjqw</t>
  </si>
  <si>
    <t>1570725761620</t>
  </si>
  <si>
    <t>-LqqYHwIDPIPYAXJnZhx</t>
  </si>
  <si>
    <t>1570725767780</t>
  </si>
  <si>
    <t>-LqqYJRZMF7qOKBRTKSL</t>
  </si>
  <si>
    <t>1570725773944</t>
  </si>
  <si>
    <t>-LqqYKy-oADm48Oyh5ys</t>
  </si>
  <si>
    <t>1570725780174</t>
  </si>
  <si>
    <t>-LqqYMTImwJrYa4ZA3Ot</t>
  </si>
  <si>
    <t>1570725786340</t>
  </si>
  <si>
    <t>-LqqYNyYWny0M9MmJK4N</t>
  </si>
  <si>
    <t>1570725792505</t>
  </si>
  <si>
    <t>-LqqYPWIujymS_UXpsX6</t>
  </si>
  <si>
    <t>1570725798740</t>
  </si>
  <si>
    <t>-LqqYRFZrVECH3D0xxls</t>
  </si>
  <si>
    <t>1570725805934</t>
  </si>
  <si>
    <t>-LqqYSkF0p6n-qT0vlBU</t>
  </si>
  <si>
    <t>1570725812095</t>
  </si>
  <si>
    <t>-LqqYUG2XZMHHOd7K5w7</t>
  </si>
  <si>
    <t>1570725818260</t>
  </si>
  <si>
    <t>-LqqYVmam9RdpR8U7sp3</t>
  </si>
  <si>
    <t>1570725824500</t>
  </si>
  <si>
    <t>-LqqYXHnES9su7FWPFsi</t>
  </si>
  <si>
    <t>1570725830654</t>
  </si>
  <si>
    <t>-LqqYYmiDEFnDGlJoGG0</t>
  </si>
  <si>
    <t>1570725836819</t>
  </si>
  <si>
    <t>-LqqY_Kn-HoybkmoC6t3</t>
  </si>
  <si>
    <t>1570725842985</t>
  </si>
  <si>
    <t>-LqqYb5Imy25Mo8KCyVo</t>
  </si>
  <si>
    <t>1570725850259</t>
  </si>
  <si>
    <t>-LqqYdLIozJwJMXr5Hyl</t>
  </si>
  <si>
    <t>1570725857453</t>
  </si>
  <si>
    <t>-LqqYf5ZyLZi8kEnWN5p</t>
  </si>
  <si>
    <t>1570725866739</t>
  </si>
  <si>
    <t>-LqqYgr2aAN9eLZk9Xb2</t>
  </si>
  <si>
    <t>1570725873983</t>
  </si>
  <si>
    <t>-LqqYiL10sntlxlt-75d</t>
  </si>
  <si>
    <t>1570725880089</t>
  </si>
  <si>
    <t>-LqqYkN2rYr69_BOtWEC</t>
  </si>
  <si>
    <t>1570725887171</t>
  </si>
  <si>
    <t>-LqqYlsL2HIqmNZCbyCa</t>
  </si>
  <si>
    <t>1570725894506</t>
  </si>
  <si>
    <t>-LqqYnOovYbZWCR6PBKk</t>
  </si>
  <si>
    <t>1570725900806</t>
  </si>
  <si>
    <t>-LqqYpRyi4eqVCQmffpQ</t>
  </si>
  <si>
    <t>1570725909203</t>
  </si>
  <si>
    <t>-LqqYrA2Yaq1X-WSTDVt</t>
  </si>
  <si>
    <t>1570725916179</t>
  </si>
  <si>
    <t>-LqqYse2bfCOiUgg4T5V</t>
  </si>
  <si>
    <t>1570725922339</t>
  </si>
  <si>
    <t>-LqqYuHj3th8XKrqrgyg</t>
  </si>
  <si>
    <t>1570725928507</t>
  </si>
  <si>
    <t>-LqqYvw7nmG12qf2msVM</t>
  </si>
  <si>
    <t>1570725935779</t>
  </si>
  <si>
    <t>-LqqYxSZU8ymZQFrgjSE</t>
  </si>
  <si>
    <t>1570725941939</t>
  </si>
  <si>
    <t>-LqqYzGnxtsPCVX6oMyp</t>
  </si>
  <si>
    <t>1570725948099</t>
  </si>
  <si>
    <t>-LqqZ-xMrHAbGwfANMMJ</t>
  </si>
  <si>
    <t>1570725956340</t>
  </si>
  <si>
    <t>-LqqZ1To05Fg8lVpc2Qi</t>
  </si>
  <si>
    <t>1570725962505</t>
  </si>
  <si>
    <t>-LqqZ2z68XhUe0I5BEOP</t>
  </si>
  <si>
    <t>1570725968734</t>
  </si>
  <si>
    <t>-LqqZ4_7mCG0pcDFip9u</t>
  </si>
  <si>
    <t>1570725974899</t>
  </si>
  <si>
    <t>-LqqZ6G3Dr6W16gc_Xas</t>
  </si>
  <si>
    <t>1570725982100</t>
  </si>
  <si>
    <t>-LqqZ7lIFVDVREGiowAu</t>
  </si>
  <si>
    <t>1570725988266</t>
  </si>
  <si>
    <t>-LqqZ9HonY8xwoBE009C</t>
  </si>
  <si>
    <t>1570725994500</t>
  </si>
  <si>
    <t>-LqqZAlj0HYr5-MZDjiJ</t>
  </si>
  <si>
    <t>1570726000645</t>
  </si>
  <si>
    <t>-LqqZCIIUhf3cWm1lMuJ</t>
  </si>
  <si>
    <t>1570726006821</t>
  </si>
  <si>
    <t>-LqqZDoplbnk_QrFjiTv</t>
  </si>
  <si>
    <t>1570726013060</t>
  </si>
  <si>
    <t>-LqqZFIn5yWHaifDSsTg</t>
  </si>
  <si>
    <t>1570726019145</t>
  </si>
  <si>
    <t>-LqqZGqYEsnVKInw9F-2</t>
  </si>
  <si>
    <t>1570726025380</t>
  </si>
  <si>
    <t>-LqqZIenKheyUobRar3I</t>
  </si>
  <si>
    <t>1570726032580</t>
  </si>
  <si>
    <t>-LqqZKLKzLIYGO_n3jM6</t>
  </si>
  <si>
    <t>1570726039784</t>
  </si>
  <si>
    <t>-LqqZLrnJKUvDEeMeFE6</t>
  </si>
  <si>
    <t>1570726046019</t>
  </si>
  <si>
    <t>-LqqZNMpJkM-qY-Merd5</t>
  </si>
  <si>
    <t>1570726052181</t>
  </si>
  <si>
    <t>-LqqZOsIDEqHAmCI5rF4</t>
  </si>
  <si>
    <t>1570726058340</t>
  </si>
  <si>
    <t>-LqqZQNYQf1XPyNlEWPX</t>
  </si>
  <si>
    <t>1570726064565</t>
  </si>
  <si>
    <t>-LqqZRu2nGU0EIgSN5H4</t>
  </si>
  <si>
    <t>1570726070740</t>
  </si>
  <si>
    <t>-LqqZTPIABTmF7tc7BW2</t>
  </si>
  <si>
    <t>1570726076899</t>
  </si>
  <si>
    <t>-LqqZUuZzjq3fuZZvoTR</t>
  </si>
  <si>
    <t>1570726083061</t>
  </si>
  <si>
    <t>-LqqZWQkOgl6w6R6ErHS</t>
  </si>
  <si>
    <t>1570726089299</t>
  </si>
  <si>
    <t>-LqqZXv30-v4gnazhVWL</t>
  </si>
  <si>
    <t>1570726095454</t>
  </si>
  <si>
    <t>-LqqZZlospDsztic-Vun</t>
  </si>
  <si>
    <t>1570726101620</t>
  </si>
  <si>
    <t>-LqqZaSIXuY-VXJWWNkm</t>
  </si>
  <si>
    <t>1570726109859</t>
  </si>
  <si>
    <t>-LqqZbxYcFWjYxUUj7Pv</t>
  </si>
  <si>
    <t>1570726116023</t>
  </si>
  <si>
    <t>-LqqZdjIJkzKFbvrvWZg</t>
  </si>
  <si>
    <t>1570726123298</t>
  </si>
  <si>
    <t>-LqqZfYYCARlwRtq-Zth</t>
  </si>
  <si>
    <t>1570726130813</t>
  </si>
  <si>
    <t>-LqqZhFJD5RNWKuYkIjW</t>
  </si>
  <si>
    <t>1570726137711</t>
  </si>
  <si>
    <t>-LqqZilYKwxRBOaXcrqW</t>
  </si>
  <si>
    <t>1570726143859</t>
  </si>
  <si>
    <t>-LqqZkFqdUuSXSBHskkW</t>
  </si>
  <si>
    <t>1570726150083</t>
  </si>
  <si>
    <t>-LqqZll1TvtR8GBvlu1g</t>
  </si>
  <si>
    <t>1570726156255</t>
  </si>
  <si>
    <t>-LqqZnHZQA4PiC_wZFKE</t>
  </si>
  <si>
    <t>1570726162420</t>
  </si>
  <si>
    <t>-LqqZomnQnpciKmXDB4_</t>
  </si>
  <si>
    <t>1570726168578</t>
  </si>
  <si>
    <t>-LqqZqKX_4vDyl7memCz</t>
  </si>
  <si>
    <t>1570726174820</t>
  </si>
  <si>
    <t>-LqqZsSoNMLK9QNZckM1</t>
  </si>
  <si>
    <t>1570726182020</t>
  </si>
  <si>
    <t>-LqqZu4YjX2oxrvP9i3U</t>
  </si>
  <si>
    <t>1570726190260</t>
  </si>
  <si>
    <t>-LqqZv_ps85DNAW3tocy</t>
  </si>
  <si>
    <t>1570726196419</t>
  </si>
  <si>
    <t>-LqqZxGy0oW3tIHUWlo-</t>
  </si>
  <si>
    <t>1570726202579</t>
  </si>
  <si>
    <t>-LqqZyqZB7bNUsWHLA4Q</t>
  </si>
  <si>
    <t>1570726209840</t>
  </si>
  <si>
    <t>-Lqq_-Lmf7X8nGVMTuXP</t>
  </si>
  <si>
    <t>1570726216014</t>
  </si>
  <si>
    <t>-Lqq_0zfcston_sXg6zr</t>
  </si>
  <si>
    <t>1570726222179</t>
  </si>
  <si>
    <t>-Lqq_2cmykbt0Gyj4M5k</t>
  </si>
  <si>
    <t>1570726229385</t>
  </si>
  <si>
    <t>-Lqq_47z1B7PJAaJa55Q</t>
  </si>
  <si>
    <t>1570726235605</t>
  </si>
  <si>
    <t>-Lqq_5yY6tzA54tgB4lv</t>
  </si>
  <si>
    <t>1570726242990</t>
  </si>
  <si>
    <t>-Lqq_7e3j9EYDCn8V45E</t>
  </si>
  <si>
    <t>1570726249973</t>
  </si>
  <si>
    <t>-Lqq_9AcwGDNxfk_mApm</t>
  </si>
  <si>
    <t>1570726256178</t>
  </si>
  <si>
    <t>-Lqq_AfmHDpUsCGsnuBn</t>
  </si>
  <si>
    <t>1570726262343</t>
  </si>
  <si>
    <t>-Lqq_CCJ2NJK3eiqsZvb</t>
  </si>
  <si>
    <t>1570726268580</t>
  </si>
  <si>
    <t>-Lqq_DhXTwvKSpjsE3O9</t>
  </si>
  <si>
    <t>1570726274740</t>
  </si>
  <si>
    <t>-Lqq_FCn7AGRewLVFRLd</t>
  </si>
  <si>
    <t>1570726280899</t>
  </si>
  <si>
    <t>-Lqq_Gi1grrWvj8q2HXq</t>
  </si>
  <si>
    <t>1570726287123</t>
  </si>
  <si>
    <t>-Lqq_IEZikdAAhhWDPeI</t>
  </si>
  <si>
    <t>1570726293301</t>
  </si>
  <si>
    <t>-Lqq_JjnKt1tHTf_epVg</t>
  </si>
  <si>
    <t>1570726299458</t>
  </si>
  <si>
    <t>-Lqq_LF2hJfuxfYzTrxV</t>
  </si>
  <si>
    <t>1570726305618</t>
  </si>
  <si>
    <t>-Lqq_MlSUwxNKwav95Jn</t>
  </si>
  <si>
    <t>1570726311860</t>
  </si>
  <si>
    <t>-Lqq_OJHG8NHWzmMr-Bw</t>
  </si>
  <si>
    <t>1570726318020</t>
  </si>
  <si>
    <t>-Lqq_QImHwkr4M-EEXiH</t>
  </si>
  <si>
    <t>1570726326352</t>
  </si>
  <si>
    <t>-Lqq_S20UmjnrKEziAhd</t>
  </si>
  <si>
    <t>1570726333457</t>
  </si>
  <si>
    <t>-Lqq_TYUemKkwERB2Ch7</t>
  </si>
  <si>
    <t>1570726339622</t>
  </si>
  <si>
    <t>-Lqq_V3mAqz3eneHuiR-</t>
  </si>
  <si>
    <t>1570726345859</t>
  </si>
  <si>
    <t>-Lqq_WYl-OA4hgfPXJ4r</t>
  </si>
  <si>
    <t>1570726351983</t>
  </si>
  <si>
    <t>-Lqq_Y311q8k___1Dmf6</t>
  </si>
  <si>
    <t>1570726358178</t>
  </si>
  <si>
    <t>-Lqq_Z_XJ4VRokt-65Uu</t>
  </si>
  <si>
    <t>1570726364402</t>
  </si>
  <si>
    <t>-Lqq_a61BhUMZE1H44jr</t>
  </si>
  <si>
    <t>1570726370578</t>
  </si>
  <si>
    <t>-Lqq_bb5ycgwipx92iu1</t>
  </si>
  <si>
    <t>1570726376736</t>
  </si>
  <si>
    <t>-Lqq_d6WfrUHQYMRu5XL</t>
  </si>
  <si>
    <t>1570726382897</t>
  </si>
  <si>
    <t>-Lqq_ed0YR6UFbGvImWx</t>
  </si>
  <si>
    <t>1570726389137</t>
  </si>
  <si>
    <t>-Lqq_g8G9JLva16toqz8</t>
  </si>
  <si>
    <t>1570726395297</t>
  </si>
  <si>
    <t>-Lqq_hdVT1bIoFGdHQBS</t>
  </si>
  <si>
    <t>1570726401457</t>
  </si>
  <si>
    <t>-Lqq_j8mcWwaqmpK9qSu</t>
  </si>
  <si>
    <t>1570726407678</t>
  </si>
  <si>
    <t>-Lqq_ke1axsVwutP6GuF</t>
  </si>
  <si>
    <t>1570726413853</t>
  </si>
  <si>
    <t>-Lqq_mD5NWQ3mwxz3cnD</t>
  </si>
  <si>
    <t>1570726420002</t>
  </si>
  <si>
    <t>-Lqq_nulWRkMHMm8ES22</t>
  </si>
  <si>
    <t>1570726427217</t>
  </si>
  <si>
    <t>-Lqq_pRHw_JeeN85wsSa</t>
  </si>
  <si>
    <t>1570726433438</t>
  </si>
  <si>
    <t>-Lqq_qxmOUaXd1V8j2PX</t>
  </si>
  <si>
    <t>1570726439618</t>
  </si>
  <si>
    <t>-Lqq_sce9SH3bs59FZ1u</t>
  </si>
  <si>
    <t>1570726445778</t>
  </si>
  <si>
    <t>-Lqq_uDW8bV45_ZRTkY3</t>
  </si>
  <si>
    <t>1570726452977</t>
  </si>
  <si>
    <t>-Lqq_vikPscf7d8wkIEA</t>
  </si>
  <si>
    <t>1570726459142</t>
  </si>
  <si>
    <t>-Lqq_xFIWQFoUpgpWHpM</t>
  </si>
  <si>
    <t>1570726465377</t>
  </si>
  <si>
    <t>-Lqq_yi0yK-70naVLcEm</t>
  </si>
  <si>
    <t>1570726471534</t>
  </si>
  <si>
    <t>-Lqqa-FlDn11Dl5LLBnG</t>
  </si>
  <si>
    <t>1570726477700</t>
  </si>
  <si>
    <t>-Lqqa0l-U5MBIEdpgrJA</t>
  </si>
  <si>
    <t>1570726483931</t>
  </si>
  <si>
    <t>-Lqqa2LHL00OevuaeB5Q</t>
  </si>
  <si>
    <t>1570726490404</t>
  </si>
  <si>
    <t>-Lqqa42061IkhgWlHbgn</t>
  </si>
  <si>
    <t>1570726497299</t>
  </si>
  <si>
    <t>-Lqqa5v-T-hW9dxHbxnc</t>
  </si>
  <si>
    <t>1570726503458</t>
  </si>
  <si>
    <t>-Lqqa7YyG0SqSPmfUMh-</t>
  </si>
  <si>
    <t>1570726511697</t>
  </si>
  <si>
    <t>-Lqqa94grC9R1wxkDH7Q</t>
  </si>
  <si>
    <t>1570726517938</t>
  </si>
  <si>
    <t>-LqqaA_lMojrhfqR2IKo</t>
  </si>
  <si>
    <t>1570726524098</t>
  </si>
  <si>
    <t>-LqqaC4xBr5E3yCogw9i</t>
  </si>
  <si>
    <t>1570726530257</t>
  </si>
  <si>
    <t>-LqqaDrid9qKRHF14S87</t>
  </si>
  <si>
    <t>1570726536430</t>
  </si>
  <si>
    <t>-LqqaFLjC8UagViOzvRB</t>
  </si>
  <si>
    <t>1570726543615</t>
  </si>
  <si>
    <t>-LqqaGtKzvBW8LyIVXwn</t>
  </si>
  <si>
    <t>1570726549854</t>
  </si>
  <si>
    <t>-LqqaIN_sPepp-cQzVPd</t>
  </si>
  <si>
    <t>1570726556020</t>
  </si>
  <si>
    <t>-LqqaJsnq8u9sO8CyCkV</t>
  </si>
  <si>
    <t>1570726562244</t>
  </si>
  <si>
    <t>-LqqaLO5xWQzzJl6_PMz</t>
  </si>
  <si>
    <t>1570726568374</t>
  </si>
  <si>
    <t>-LqqaMuZMu8lPqjOKngp</t>
  </si>
  <si>
    <t>1570726574581</t>
  </si>
  <si>
    <t>-LqqaOPpfkyJGO6_TLr3</t>
  </si>
  <si>
    <t>1570726580742</t>
  </si>
  <si>
    <t>-LqqaQ_bNd8PZk3OiY2H</t>
  </si>
  <si>
    <t>1570726587742</t>
  </si>
  <si>
    <t>-LqqaSdbG8DMlAT7eSgZ</t>
  </si>
  <si>
    <t>1570726596259</t>
  </si>
  <si>
    <t>-LqqaUD4w1t8o61suj1b</t>
  </si>
  <si>
    <t>1570726604500</t>
  </si>
  <si>
    <t>-LqqaViIzDmdv1wQsQRT</t>
  </si>
  <si>
    <t>1570726610659</t>
  </si>
  <si>
    <t>-LqqaXD_C3iCHeQWktR6</t>
  </si>
  <si>
    <t>1570726616821</t>
  </si>
  <si>
    <t>-LqqaYiosRp1jmE0KwDp</t>
  </si>
  <si>
    <t>1570726622986</t>
  </si>
  <si>
    <t>-Lqqa_GZkpWM8o8zFjIx</t>
  </si>
  <si>
    <t>1570726629222</t>
  </si>
  <si>
    <t>-Lqqab-ozeOCrjvfu4UV</t>
  </si>
  <si>
    <t>1570726636421</t>
  </si>
  <si>
    <t>-LqqacW2vtvLxJFd_hzo</t>
  </si>
  <si>
    <t>1570726642581</t>
  </si>
  <si>
    <t>-Lqqae0DGDulJETe2WPe</t>
  </si>
  <si>
    <t>1570726648741</t>
  </si>
  <si>
    <t>-LqqafXpc-waUIAfEQDt</t>
  </si>
  <si>
    <t>1570726654981</t>
  </si>
  <si>
    <t>-Lqqah1oEbCTWMfmJbz5</t>
  </si>
  <si>
    <t>1570726661141</t>
  </si>
  <si>
    <t>-LqqaiYLl-cTA1jA2-60</t>
  </si>
  <si>
    <t>1570726667301</t>
  </si>
  <si>
    <t>-Lqqak52FBKDtN7Qls_V</t>
  </si>
  <si>
    <t>1570726673542</t>
  </si>
  <si>
    <t>-LqqalpNKmfi7i5m_rnD</t>
  </si>
  <si>
    <t>1570726680742</t>
  </si>
  <si>
    <t>-LqqanK_uFK_yMX-Ym4y</t>
  </si>
  <si>
    <t>1570726686903</t>
  </si>
  <si>
    <t>-LqqaoppG7eZsSAHsCwl</t>
  </si>
  <si>
    <t>1570726693060</t>
  </si>
  <si>
    <t>-LqqaqL7OGNaAaHl8JJS</t>
  </si>
  <si>
    <t>1570726699240</t>
  </si>
  <si>
    <t>-Lqqarsol2adJrjMvOhd</t>
  </si>
  <si>
    <t>1570726705461</t>
  </si>
  <si>
    <t>-LqqatdJaYnRgMMvLPIf</t>
  </si>
  <si>
    <t>1570726712661</t>
  </si>
  <si>
    <t>-LqqavN_8SLS4z-ZK1WS</t>
  </si>
  <si>
    <t>1570726719862</t>
  </si>
  <si>
    <t>-LqqawspaGPX9_SUHfdi</t>
  </si>
  <si>
    <t>1570726726019</t>
  </si>
  <si>
    <t>-LqqayQYiTWTspdVlkeI</t>
  </si>
  <si>
    <t>1570726732259</t>
  </si>
  <si>
    <t>-Lqqb-9PoTnfIbYI5UFJ</t>
  </si>
  <si>
    <t>1570726739460</t>
  </si>
  <si>
    <t>-Lqqb0dnVl8lWY2LRLRE</t>
  </si>
  <si>
    <t>1570726745620</t>
  </si>
  <si>
    <t>-Lqqb2b02NbJD-3fkcym</t>
  </si>
  <si>
    <t>1570726751861</t>
  </si>
  <si>
    <t>-Lqqb4CHvUc2Xt4XnKcB</t>
  </si>
  <si>
    <t>1570726760099</t>
  </si>
  <si>
    <t>-Lqqb5hZSzEXVvfQhb_b</t>
  </si>
  <si>
    <t>1570726766258</t>
  </si>
  <si>
    <t>-Lqqb7CmW8KJbVBXsDwO</t>
  </si>
  <si>
    <t>1570726772418</t>
  </si>
  <si>
    <t>-Lqqb8kKA9yrA7D4rQe3</t>
  </si>
  <si>
    <t>1570726778643</t>
  </si>
  <si>
    <t>-LqqbAEZUKDcruqE3Wj4</t>
  </si>
  <si>
    <t>1570726784745</t>
  </si>
  <si>
    <t>-LqqbBjnzgNAzSmSghcF</t>
  </si>
  <si>
    <t>1570726790980</t>
  </si>
  <si>
    <t>-LqqbDIRzDV7r6oCBBY7</t>
  </si>
  <si>
    <t>1570726797138</t>
  </si>
  <si>
    <t>-LqqbF0nzcFQU-X6YuCR</t>
  </si>
  <si>
    <t>1570726804403</t>
  </si>
  <si>
    <t>-LqqbGWzfA6VejDXTkh0</t>
  </si>
  <si>
    <t>1570726810536</t>
  </si>
  <si>
    <t>-LqqbI0nad8JGKmb7zaF</t>
  </si>
  <si>
    <t>1570726816738</t>
  </si>
  <si>
    <t>-LqqbJXJJ5O09l25Ehjj</t>
  </si>
  <si>
    <t>1570726822901</t>
  </si>
  <si>
    <t>-LqqbL33EXB0TjG2P_B9</t>
  </si>
  <si>
    <t>1570726829140</t>
  </si>
  <si>
    <t>-LqqbMjsDHfYsY6Radcb</t>
  </si>
  <si>
    <t>1570726835298</t>
  </si>
  <si>
    <t>-LqqbOIYiskF2Pe40Msy</t>
  </si>
  <si>
    <t>1570726842488</t>
  </si>
  <si>
    <t>-LqqbPqEYBzg9TQ8W4QE</t>
  </si>
  <si>
    <t>1570726848663</t>
  </si>
  <si>
    <t>-LqqbRKIYl5iaVMg0BOZ</t>
  </si>
  <si>
    <t>1570726854824</t>
  </si>
  <si>
    <t>-LqqbSqiXjXK0PLYP8NC</t>
  </si>
  <si>
    <t>1570726861058</t>
  </si>
  <si>
    <t>-LqqbUKmSHCudee57KpF</t>
  </si>
  <si>
    <t>1570726867220</t>
  </si>
  <si>
    <t>-LqqbVr7qjqHyQ0VFFyl</t>
  </si>
  <si>
    <t>1570726873439</t>
  </si>
  <si>
    <t>-LqqbXNrje_X5zpCcGTJ</t>
  </si>
  <si>
    <t>1570726879618</t>
  </si>
  <si>
    <t>-LqqbYro2OgmS6a-42dy</t>
  </si>
  <si>
    <t>1570726885780</t>
  </si>
  <si>
    <t>-Lqqb_OC6XJH5Ahc-uAr</t>
  </si>
  <si>
    <t>1570726891939</t>
  </si>
  <si>
    <t>-Lqqbb9cKfmY3Sg4byrl</t>
  </si>
  <si>
    <t>1570726898175</t>
  </si>
  <si>
    <t>-LqqbcgX4inOCRRzcKSC</t>
  </si>
  <si>
    <t>1570726905378</t>
  </si>
  <si>
    <t>-LqqbeQnYvoKU3Qi96BZ</t>
  </si>
  <si>
    <t>1570726912589</t>
  </si>
  <si>
    <t>-Lqqbfw2CzzAPUMTvKIv</t>
  </si>
  <si>
    <t>1570726918739</t>
  </si>
  <si>
    <t>-LqqbhSS0X8PNA1wsUAL</t>
  </si>
  <si>
    <t>1570726924980</t>
  </si>
  <si>
    <t>-Lqqbiwc77LxgFbrnvEP</t>
  </si>
  <si>
    <t>1570726931133</t>
  </si>
  <si>
    <t>-LqqbkT1e4A1EgPj99Yx</t>
  </si>
  <si>
    <t>1570726937299</t>
  </si>
  <si>
    <t>-LqqblyHs614hJePUsIi</t>
  </si>
  <si>
    <t>1570726943465</t>
  </si>
  <si>
    <t>-LqqbnimpcNp-QslPUTh</t>
  </si>
  <si>
    <t>1570726949648</t>
  </si>
  <si>
    <t>-LqqbpFH-v4Zw77ZuoKy</t>
  </si>
  <si>
    <t>1570726956900</t>
  </si>
  <si>
    <t>-LqqbqkZlKPPs0rTfiul</t>
  </si>
  <si>
    <t>1570726963059</t>
  </si>
  <si>
    <t>-LqqbsYX1i6BRpG5HyYW</t>
  </si>
  <si>
    <t>1570726970433</t>
  </si>
  <si>
    <t>-LqqbuGXiZBhOJmlrHf7</t>
  </si>
  <si>
    <t>1570726977524</t>
  </si>
  <si>
    <t>-Lqqbvn14h93cTOEUwfi</t>
  </si>
  <si>
    <t>1570726983703</t>
  </si>
  <si>
    <t>-LqqbxIGtWr3ZL7xbjol</t>
  </si>
  <si>
    <t>1570726989858</t>
  </si>
  <si>
    <t>-LqqbyomS6ToirdKIDRS</t>
  </si>
  <si>
    <t>1570726996018</t>
  </si>
  <si>
    <t>-Lqqc-IlPvWJJnKaoCEs</t>
  </si>
  <si>
    <t>1570727002241</t>
  </si>
  <si>
    <t>-Lqqc0pIeE5VVP13MZZB</t>
  </si>
  <si>
    <t>1570727008418</t>
  </si>
  <si>
    <t>-Lqqc2MwUGoNcKbsZyG7</t>
  </si>
  <si>
    <t>1570727014678</t>
  </si>
  <si>
    <t>-Lqqc3pmg-p1ibX94_1H</t>
  </si>
  <si>
    <t>1570727020742</t>
  </si>
  <si>
    <t>-Lqqc5MFykHr94biEvz8</t>
  </si>
  <si>
    <t>1570727026973</t>
  </si>
  <si>
    <t>-Lqqc76miBAMBrWwHEXT</t>
  </si>
  <si>
    <t>1570727034187</t>
  </si>
  <si>
    <t>-Lqqc8bp5ax6hQUIVaoo</t>
  </si>
  <si>
    <t>1570727040338</t>
  </si>
  <si>
    <t>-LqqcA7FRgydFuYjuYG3</t>
  </si>
  <si>
    <t>1570727046561</t>
  </si>
  <si>
    <t>-LqqcBcWnZRRE6o43vp1</t>
  </si>
  <si>
    <t>1570727052731</t>
  </si>
  <si>
    <t>-LqqcD7lwd5gpwsrnk_9</t>
  </si>
  <si>
    <t>1570727058899</t>
  </si>
  <si>
    <t>-LqqcEyFPnngD0sH1P7d</t>
  </si>
  <si>
    <t>1570727065054</t>
  </si>
  <si>
    <t>-LqqcGf5Qu1w_P2Uh3aD</t>
  </si>
  <si>
    <t>1570727073304</t>
  </si>
  <si>
    <t>-LqqcIBWULedjT9NzINX</t>
  </si>
  <si>
    <t>1570727079537</t>
  </si>
  <si>
    <t>-LqqcJgmZ5JdFQ6tafR7</t>
  </si>
  <si>
    <t>1570727085695</t>
  </si>
  <si>
    <t>-LqqcLC0xRJ6AwNzKlm6</t>
  </si>
  <si>
    <t>1570727091858</t>
  </si>
  <si>
    <t>-LqqcMjmVUDkUUyhRgq3</t>
  </si>
  <si>
    <t>1570727098093</t>
  </si>
  <si>
    <t>-LqqcOU1wrayoPSJ6HZM</t>
  </si>
  <si>
    <t>1570727105296</t>
  </si>
  <si>
    <t>-LqqcPzFGzJEIwSQ0NLL</t>
  </si>
  <si>
    <t>1570727111458</t>
  </si>
  <si>
    <t>-LqqcRUHfIIjevc0b3yU</t>
  </si>
  <si>
    <t>1570727117617</t>
  </si>
  <si>
    <t>-LqqcT15bJ6HmjN5_cv-</t>
  </si>
  <si>
    <t>1570727123862</t>
  </si>
  <si>
    <t>-LqqcUWGrEqyWo5TSLGo</t>
  </si>
  <si>
    <t>1570727130012</t>
  </si>
  <si>
    <t>-LqqcWB-DfEHGFWPOBKJ</t>
  </si>
  <si>
    <t>1570727136179</t>
  </si>
  <si>
    <t>-LqqcXm-bZ30ryrhFMI7</t>
  </si>
  <si>
    <t>1570727143377</t>
  </si>
  <si>
    <t>-LqqcZHFQGRcqKzeND_A</t>
  </si>
  <si>
    <t>1570727149618</t>
  </si>
  <si>
    <t>-Lqqc_nmJ9A-mERFygwn</t>
  </si>
  <si>
    <t>1570727155781</t>
  </si>
  <si>
    <t>-LqqcbJ1vOOyS5qatXku</t>
  </si>
  <si>
    <t>1570727161938</t>
  </si>
  <si>
    <t>-LqqccoH94dGftdQaNdF</t>
  </si>
  <si>
    <t>1570727168163</t>
  </si>
  <si>
    <t>-Lqqcek13p6oLeVuTuWD</t>
  </si>
  <si>
    <t>1570727174263</t>
  </si>
  <si>
    <t>-LqqcgZJJKY6l7Ro_sce</t>
  </si>
  <si>
    <t>1570727182573</t>
  </si>
  <si>
    <t>-Lqqci61lhFK0Zi5XNj3</t>
  </si>
  <si>
    <t>1570727189774</t>
  </si>
  <si>
    <t>-LqqcjbI4I0_4KBkpmKd</t>
  </si>
  <si>
    <t>1570727195938</t>
  </si>
  <si>
    <t>-Lqqcl6Zi40B4se3xRNP</t>
  </si>
  <si>
    <t>1570727202173</t>
  </si>
  <si>
    <t>-LqqcmyOjNCc1OMmDcmv</t>
  </si>
  <si>
    <t>1570727209330</t>
  </si>
  <si>
    <t>-LqqcodnWgMirVJTj8Jc</t>
  </si>
  <si>
    <t>1570727216574</t>
  </si>
  <si>
    <t>-Lqqcq9bxnTPWqnm5xUa</t>
  </si>
  <si>
    <t>1570727222738</t>
  </si>
  <si>
    <t>-LqqcreJRwqTACxu49mc</t>
  </si>
  <si>
    <t>1570727228905</t>
  </si>
  <si>
    <t>-LqqctAow58MHtounUVe</t>
  </si>
  <si>
    <t>1570727235134</t>
  </si>
  <si>
    <t>-Lqqcug10bc_5JjsFuYc</t>
  </si>
  <si>
    <t>1570727241295</t>
  </si>
  <si>
    <t>-LqqcwD_RJJj1_ECgySG</t>
  </si>
  <si>
    <t>1570727247462</t>
  </si>
  <si>
    <t>-Lqqcxkp_U8iGblZ0YxG</t>
  </si>
  <si>
    <t>1570727253678</t>
  </si>
  <si>
    <t>-LqqczTJlOT21rF4wczk</t>
  </si>
  <si>
    <t>1570727260899</t>
  </si>
  <si>
    <t>-Lqqd-zo7RDxlZjIbpRJ</t>
  </si>
  <si>
    <t>1570727267055</t>
  </si>
  <si>
    <t>-Lqqd1j2FwrtCVoxKYxM</t>
  </si>
  <si>
    <t>1570727274279</t>
  </si>
  <si>
    <t>-Lqqd3EJe7M3E1pNMArn</t>
  </si>
  <si>
    <t>1570727280484</t>
  </si>
  <si>
    <t>-Lqqd4kokylodiDjjH6X</t>
  </si>
  <si>
    <t>1570727286655</t>
  </si>
  <si>
    <t>-Lqqd6WIM-8msHHwzGgT</t>
  </si>
  <si>
    <t>1570727293860</t>
  </si>
  <si>
    <t>-Lqqd80XhoSWncEg3IxA</t>
  </si>
  <si>
    <t>1570727300018</t>
  </si>
  <si>
    <t>-Lqqd9WnGlOLsIGteFIe</t>
  </si>
  <si>
    <t>1570727306185</t>
  </si>
  <si>
    <t>-LqqdB2Iai9tD3uepLil</t>
  </si>
  <si>
    <t>1570727312420</t>
  </si>
  <si>
    <t>-LqqdCYZ4hKrcv4a_NyI</t>
  </si>
  <si>
    <t>1570727318583</t>
  </si>
  <si>
    <t>-LqqdE2mi0YHqueAspc9</t>
  </si>
  <si>
    <t>1570727324746</t>
  </si>
  <si>
    <t>-LqqdF_9TQj6VgpPEo0c</t>
  </si>
  <si>
    <t>1570727330979</t>
  </si>
  <si>
    <t>-LqqdH9Xui_aQET-EHet</t>
  </si>
  <si>
    <t>1570727337499</t>
  </si>
  <si>
    <t>-LqqdIq2_dvYF3PDrXou</t>
  </si>
  <si>
    <t>1570727344341</t>
  </si>
  <si>
    <t>-LqqdKLHgp6nN4he5KDQ</t>
  </si>
  <si>
    <t>1570727350500</t>
  </si>
  <si>
    <t>-LqqdLroWYYkuCW_2pWp</t>
  </si>
  <si>
    <t>1570727356740</t>
  </si>
  <si>
    <t>-LqqdNMnPQrOCU8-hyNF</t>
  </si>
  <si>
    <t>1570727362900</t>
  </si>
  <si>
    <t>-LqqdOtZkhHW0TXeU5Gw</t>
  </si>
  <si>
    <t>1570727369060</t>
  </si>
  <si>
    <t>-LqqdQbnfy956Owog-R2</t>
  </si>
  <si>
    <t>1570727376259</t>
  </si>
  <si>
    <t>-LqqdS816m2RFNkHgmhs</t>
  </si>
  <si>
    <t>1570727382420</t>
  </si>
  <si>
    <t>-LqqdTei-PhJe1rn4Pt5</t>
  </si>
  <si>
    <t>1570727388660</t>
  </si>
  <si>
    <t>-LqqdVTF-MEtLVtkSWpl</t>
  </si>
  <si>
    <t>1570727394818</t>
  </si>
  <si>
    <t>-LqqdXAXcouzo4JBQtOF</t>
  </si>
  <si>
    <t>1570727403067</t>
  </si>
  <si>
    <t>-LqqdYflAyKzXY6rKwK0</t>
  </si>
  <si>
    <t>1570727409223</t>
  </si>
  <si>
    <t>-Lqqd_CGhGTNFXHCaCzg</t>
  </si>
  <si>
    <t>1570727415458</t>
  </si>
  <si>
    <t>-LqqdavJtJODgzc4OB5f</t>
  </si>
  <si>
    <t>1570727422653</t>
  </si>
  <si>
    <t>-LqqdcT1m1J8Is5bDqeS</t>
  </si>
  <si>
    <t>1570727428816</t>
  </si>
  <si>
    <t>-Lqqde-lsQTtmKNpKkkI</t>
  </si>
  <si>
    <t>1570727435162</t>
  </si>
  <si>
    <t>-Lqqdfk2I1IHdLrpbnPm</t>
  </si>
  <si>
    <t>1570727442257</t>
  </si>
  <si>
    <t>-LqqdhE0lynsLrqm35VV</t>
  </si>
  <si>
    <t>1570727448412</t>
  </si>
  <si>
    <t>-LqqdilmMPkhJtdl_QhP</t>
  </si>
  <si>
    <t>1570727454583</t>
  </si>
  <si>
    <t>-LqqdkKgz1qV1WTazmep</t>
  </si>
  <si>
    <t>1570727460739</t>
  </si>
  <si>
    <t>-Lqqdm1WdGytvMfVziZV</t>
  </si>
  <si>
    <t>1570727468017</t>
  </si>
  <si>
    <t>-LqqdnqlzB8yGND0Ruh3</t>
  </si>
  <si>
    <t>1570727475472</t>
  </si>
  <si>
    <t>-LqqdpYVgkBf4f3lNHiV</t>
  </si>
  <si>
    <t>1570727482412</t>
  </si>
  <si>
    <t>-Lqqdr5JgwwtBEf1y5TG</t>
  </si>
  <si>
    <t>1570727488577</t>
  </si>
  <si>
    <t>-LqqdsopVpnykS-osNYx</t>
  </si>
  <si>
    <t>1570727495812</t>
  </si>
  <si>
    <t>-LqqduK2E7imTyv4y5kj</t>
  </si>
  <si>
    <t>1570727501973</t>
  </si>
  <si>
    <t>-LqqdvpKloHNeKAgkjLZ</t>
  </si>
  <si>
    <t>1570727508138</t>
  </si>
  <si>
    <t>-LqqdxKZr2_h0ZC6zQ01</t>
  </si>
  <si>
    <t>1570727514327</t>
  </si>
  <si>
    <t>-Lqqdyr-2Te1Y-7-IOBZ</t>
  </si>
  <si>
    <t>1570727520534</t>
  </si>
  <si>
    <t>-Lqqe-L2c1qMr6BiE4dV</t>
  </si>
  <si>
    <t>1570727526687</t>
  </si>
  <si>
    <t>-Lqqe0r_yNbGQncI-pFT</t>
  </si>
  <si>
    <t>1570727532917</t>
  </si>
  <si>
    <t>-Lqqe2Mtq_USLaKFCr4K</t>
  </si>
  <si>
    <t>1570727539088</t>
  </si>
  <si>
    <t>-Lqqe3rgiwCgF4KSI5eR</t>
  </si>
  <si>
    <t>1570727545244</t>
  </si>
  <si>
    <t>-Lqqe5O_0XC113FVwC12</t>
  </si>
  <si>
    <t>1570727551414</t>
  </si>
  <si>
    <t>-Lqqe6tkWCDJdw6lpNlK</t>
  </si>
  <si>
    <t>1570727557593</t>
  </si>
  <si>
    <t>-Lqqe8QLiMVAo2BO3C-0</t>
  </si>
  <si>
    <t>1570727563812</t>
  </si>
  <si>
    <t>-Lqqe9zP_so88aRimyoF</t>
  </si>
  <si>
    <t>1570727570273</t>
  </si>
  <si>
    <t>-LqqeBfq-oQYbsRVHbj-</t>
  </si>
  <si>
    <t>1570727577175</t>
  </si>
  <si>
    <t>-LqqeDCB0HlPJ8I8nnUC</t>
  </si>
  <si>
    <t>1570727583412</t>
  </si>
  <si>
    <t>-LqqeEhnZGiE7slTJ4j3</t>
  </si>
  <si>
    <t>1570727589574</t>
  </si>
  <si>
    <t>-LqqeGD3P6HGoNNZRKwB</t>
  </si>
  <si>
    <t>1570727595731</t>
  </si>
  <si>
    <t>-LqqeHiKwuFP6o7Q0dGC</t>
  </si>
  <si>
    <t>1570727601896</t>
  </si>
  <si>
    <t>-LqqeJEp_gzC3VOAPxVq</t>
  </si>
  <si>
    <t>1570727608133</t>
  </si>
  <si>
    <t>-LqqeKypZKa4DvRTzO2S</t>
  </si>
  <si>
    <t>1570727615347</t>
  </si>
  <si>
    <t>-LqqeMVY4NL_qh21S2o9</t>
  </si>
  <si>
    <t>1570727621492</t>
  </si>
  <si>
    <t>-LqqeO-pa5GIt2hC5Y7t</t>
  </si>
  <si>
    <t>1570727627662</t>
  </si>
  <si>
    <t>-LqqePXKqcIN7sP-p5Vx</t>
  </si>
  <si>
    <t>1570727633892</t>
  </si>
  <si>
    <t>-LqqeR1_TAyFm5PbBpt7</t>
  </si>
  <si>
    <t>1570727640051</t>
  </si>
  <si>
    <t>-LqqeSW_o4DFHXa7ctSh</t>
  </si>
  <si>
    <t>1570727646202</t>
  </si>
  <si>
    <t>-LqqeU3JsITLS_FXjZIf</t>
  </si>
  <si>
    <t>1570727652449</t>
  </si>
  <si>
    <t>-LqqeVZ_TPe8tc9DSNW7</t>
  </si>
  <si>
    <t>1570727658613</t>
  </si>
  <si>
    <t>-LqqeX26NHZjE3iDDxkD</t>
  </si>
  <si>
    <t>1570727664742</t>
  </si>
  <si>
    <t>-LqqeYY_JsPnT0qUK9yX</t>
  </si>
  <si>
    <t>1570727670933</t>
  </si>
  <si>
    <t>-Lqqe_4OqH3UxZDY3Mio</t>
  </si>
  <si>
    <t>1570727677118</t>
  </si>
  <si>
    <t>-Lqqea__zGwTA7m7LzWy</t>
  </si>
  <si>
    <t>1570727683303</t>
  </si>
  <si>
    <t>-Lqqec64ANzquI3xdgFK</t>
  </si>
  <si>
    <t>1570727689493</t>
  </si>
  <si>
    <t>-LqqedcAx5bAuNhhGbHt</t>
  </si>
  <si>
    <t>1570727695734</t>
  </si>
  <si>
    <t>-Lqqef7kbeptw5sEgSbl</t>
  </si>
  <si>
    <t>1570727701888</t>
  </si>
  <si>
    <t>-Lqqegczyl-Hi1jrKWWZ</t>
  </si>
  <si>
    <t>1570727708052</t>
  </si>
  <si>
    <t>-LqqeiOae09sFKJ5Fa5i</t>
  </si>
  <si>
    <t>1570727714211</t>
  </si>
  <si>
    <t>-Lqqejtlu8D4dd0Fg72t</t>
  </si>
  <si>
    <t>1570727721473</t>
  </si>
  <si>
    <t>-LqqelQKU074wPCqcxn2</t>
  </si>
  <si>
    <t>1570727727652</t>
  </si>
  <si>
    <t>-LqqemuDtmCJZHutct0m</t>
  </si>
  <si>
    <t>1570727733813</t>
  </si>
  <si>
    <t>-LqqeoUZOvgdP-1aZuRr</t>
  </si>
  <si>
    <t>1570727740193</t>
  </si>
  <si>
    <t>-LqqeqBI-dYdEj9bfvnG</t>
  </si>
  <si>
    <t>1570727747183</t>
  </si>
  <si>
    <t>-LqqerhiOykxaMjKbTsP</t>
  </si>
  <si>
    <t>1570727753415</t>
  </si>
  <si>
    <t>-LqqetD21n8Khf9gedUt</t>
  </si>
  <si>
    <t>1570727759572</t>
  </si>
  <si>
    <t>-LqqeuiKUskw_t7CzEjo</t>
  </si>
  <si>
    <t>1570727765732</t>
  </si>
  <si>
    <t>-LqqewDZhpJo5LknacG9</t>
  </si>
  <si>
    <t>1570727771967</t>
  </si>
  <si>
    <t>-Lqqexj_QleZ1S1z9Ciw</t>
  </si>
  <si>
    <t>1570727778133</t>
  </si>
  <si>
    <t>-LqqezDzMWT5LzZCjAQ_</t>
  </si>
  <si>
    <t>1570727784313</t>
  </si>
  <si>
    <t>-Lqqf-keH7yRNBIHBNOo</t>
  </si>
  <si>
    <t>1570727790458</t>
  </si>
  <si>
    <t>-Lqqf1XD_Gjr7UEA-dg2</t>
  </si>
  <si>
    <t>1570727797733</t>
  </si>
  <si>
    <t>-Lqqf30K4j7M47bwLrg-</t>
  </si>
  <si>
    <t>1570727803854</t>
  </si>
  <si>
    <t>-Lqqf4W_TNZFkEGVWIl_</t>
  </si>
  <si>
    <t>1570727810043</t>
  </si>
  <si>
    <t>-Lqqf624NBf7UeCZZlPu</t>
  </si>
  <si>
    <t>1570727816216</t>
  </si>
  <si>
    <t>-Lqqf7q2Hv4nCcSkeYZ5</t>
  </si>
  <si>
    <t>1570727822448</t>
  </si>
  <si>
    <t>-Lqqf9YcjYeiYft9ygZG</t>
  </si>
  <si>
    <t>1570727830691</t>
  </si>
  <si>
    <t>-LqqfB3Ndh6Qts3r_G6q</t>
  </si>
  <si>
    <t>1570727836834</t>
  </si>
  <si>
    <t>-LqqfC_o0D3F0RLGu5K0</t>
  </si>
  <si>
    <t>1570727843014</t>
  </si>
  <si>
    <t>-LqqfE6KKXu0B4SfPChe</t>
  </si>
  <si>
    <t>1570727849251</t>
  </si>
  <si>
    <t>-LqqfFbeeeULN9EUukx0</t>
  </si>
  <si>
    <t>1570727855414</t>
  </si>
  <si>
    <t>-LqqfH6s302PTnrY51bL</t>
  </si>
  <si>
    <t>1570727861575</t>
  </si>
  <si>
    <t>-LqqfIbuXovjmnXB866M</t>
  </si>
  <si>
    <t>1570727867731</t>
  </si>
  <si>
    <t>-LqqfK8YRQqPIL8wKsot</t>
  </si>
  <si>
    <t>1570727873972</t>
  </si>
  <si>
    <t>-LqqfLdqYaZikxztJJxW</t>
  </si>
  <si>
    <t>1570727880135</t>
  </si>
  <si>
    <t>-LqqfN92mQqpGBIRi4n6</t>
  </si>
  <si>
    <t>1570727886294</t>
  </si>
  <si>
    <t>-LqqfOeJjPG4Fk2-JuFe</t>
  </si>
  <si>
    <t>1570727892462</t>
  </si>
  <si>
    <t>-LqqfQ9_8FPLk8i8CctM</t>
  </si>
  <si>
    <t>1570727898691</t>
  </si>
  <si>
    <t>-LqqfRep19D02MqEfvjX</t>
  </si>
  <si>
    <t>1570727904851</t>
  </si>
  <si>
    <t>-LqqfTDiTj0tQ24Q1ydm</t>
  </si>
  <si>
    <t>1570727911011</t>
  </si>
  <si>
    <t>-LqqfUgZG3gBUnQhrJO-</t>
  </si>
  <si>
    <t>1570727917248</t>
  </si>
  <si>
    <t>-LqqfWEIblhf-iySL2Wv</t>
  </si>
  <si>
    <t>1570727923413</t>
  </si>
  <si>
    <t>-LqqfXy_TwFLY0kaomDK</t>
  </si>
  <si>
    <t>1570727930612</t>
  </si>
  <si>
    <t>-LqqfZTrcnEv6xHoyERs</t>
  </si>
  <si>
    <t>1570727936772</t>
  </si>
  <si>
    <t>-Lqqf_yyRAZqrEto-kow</t>
  </si>
  <si>
    <t>1570727943011</t>
  </si>
  <si>
    <t>-LqqfbUIZoHpBNEsUsvn</t>
  </si>
  <si>
    <t>1570727949171</t>
  </si>
  <si>
    <t>-Lqqfd-pQZRK_83hSQMj</t>
  </si>
  <si>
    <t>1570727955332</t>
  </si>
  <si>
    <t>-LqqfeW3IyhjmPZvrgmq</t>
  </si>
  <si>
    <t>1570727961501</t>
  </si>
  <si>
    <t>-Lqqfg1dUC9DjHy_Jaws</t>
  </si>
  <si>
    <t>1570727967733</t>
  </si>
  <si>
    <t>-LqqfhXa0daEjKOmLeMB</t>
  </si>
  <si>
    <t>1570727973862</t>
  </si>
  <si>
    <t>-Lqqfj23W9BJQ5VuydKM</t>
  </si>
  <si>
    <t>1570727980051</t>
  </si>
  <si>
    <t>-LqqfkY4CAcV75e-J_V-</t>
  </si>
  <si>
    <t>1570727986288</t>
  </si>
  <si>
    <t>-LqqfmDP09cYYXGlPR46</t>
  </si>
  <si>
    <t>1570727992446</t>
  </si>
  <si>
    <t>-Lqqfnnv6roYPPEcVfJj</t>
  </si>
  <si>
    <t>1570727999631</t>
  </si>
  <si>
    <t>-LqqfpKFAr5IDzWEn2C7</t>
  </si>
  <si>
    <t>1570728005813</t>
  </si>
  <si>
    <t>-Lqqfqr23y2hLyet8srj</t>
  </si>
  <si>
    <t>1570728012051</t>
  </si>
  <si>
    <t>-LqqfsMK7bXP8mj1pmrb</t>
  </si>
  <si>
    <t>1570728018212</t>
  </si>
  <si>
    <t>-Lqqftsne2FcuCzNgsxC</t>
  </si>
  <si>
    <t>1570728024371</t>
  </si>
  <si>
    <t>-Lqqfvui_XTauAcqlPwl</t>
  </si>
  <si>
    <t>1570728031571</t>
  </si>
  <si>
    <t>-LqqfxcoKuxxbwK60J7L</t>
  </si>
  <si>
    <t>1570728039812</t>
  </si>
  <si>
    <t>-Lqqfz9KqbBrmREubdwm</t>
  </si>
  <si>
    <t>1570728046053</t>
  </si>
  <si>
    <t>-Lqqg-e_iBJxhiaIiGRQ</t>
  </si>
  <si>
    <t>1570728052213</t>
  </si>
  <si>
    <t>-Lqqg18fPKHZWTLrNpFA</t>
  </si>
  <si>
    <t>1570728058369</t>
  </si>
  <si>
    <t>-Lqqg2f5kXJaUASFIFlu</t>
  </si>
  <si>
    <t>1570728064537</t>
  </si>
  <si>
    <t>-Lqqg4BUHoOF6lo7FEke</t>
  </si>
  <si>
    <t>1570728070772</t>
  </si>
  <si>
    <t>-Lqqg5gopP-D04ldaeLX</t>
  </si>
  <si>
    <t>1570728076932</t>
  </si>
  <si>
    <t>-Lqqg7OTRXhQQfl-5WLJ</t>
  </si>
  <si>
    <t>1570728083093</t>
  </si>
  <si>
    <t>-Lqqg8wJML6IvODsTlk6</t>
  </si>
  <si>
    <t>1570728090297</t>
  </si>
  <si>
    <t>-LqqgAVIN4Tkei1rZrp2</t>
  </si>
  <si>
    <t>1570728096533</t>
  </si>
  <si>
    <t>-LqqgCF_C0u-mjNpIclq</t>
  </si>
  <si>
    <t>1570728103732</t>
  </si>
  <si>
    <t>-LqqgDi_epLmNNFyDtw-</t>
  </si>
  <si>
    <t>1570728109893</t>
  </si>
  <si>
    <t>-LqqgFEpH3iDbfR20Wqt</t>
  </si>
  <si>
    <t>1570728116063</t>
  </si>
  <si>
    <t>-LqqgGkLXIw34h5tWyrm</t>
  </si>
  <si>
    <t>1570728122289</t>
  </si>
  <si>
    <t>-LqqgIYKAURIocltgFBW</t>
  </si>
  <si>
    <t>1570728129610</t>
  </si>
  <si>
    <t>-LqqgKH_L27FaMy7xTOu</t>
  </si>
  <si>
    <t>1570728136695</t>
  </si>
  <si>
    <t>-LqqgLmqrAVKrqzDjBTP</t>
  </si>
  <si>
    <t>1570728142853</t>
  </si>
  <si>
    <t>-LqqgNJK-9XBHSoklyTk</t>
  </si>
  <si>
    <t>1570728149093</t>
  </si>
  <si>
    <t>-LqqgOoZWBiLBMi1FDr_</t>
  </si>
  <si>
    <t>1570728155252</t>
  </si>
  <si>
    <t>-LqqgQJkWekh0_ogJb1p</t>
  </si>
  <si>
    <t>1570728161413</t>
  </si>
  <si>
    <t>-LqqgRp8txipYqjpwDnd</t>
  </si>
  <si>
    <t>1570728167633</t>
  </si>
  <si>
    <t>-LqqgTLZ3zMnYyGQ5EAX</t>
  </si>
  <si>
    <t>1570728173812</t>
  </si>
  <si>
    <t>-LqqgUp_cdzixs8fFEWl</t>
  </si>
  <si>
    <t>1570728179958</t>
  </si>
  <si>
    <t>-LqqgWM-SJ71LWkHvzdc</t>
  </si>
  <si>
    <t>1570728186132</t>
  </si>
  <si>
    <t>-LqqgXtqTwOy4L_PXgi3</t>
  </si>
  <si>
    <t>1570728192372</t>
  </si>
  <si>
    <t>-LqqgZd4BGZiAo6_NGsW</t>
  </si>
  <si>
    <t>1570728199573</t>
  </si>
  <si>
    <t>-Lqqga6vK9CmxRhBbOeo</t>
  </si>
  <si>
    <t>1570728205727</t>
  </si>
  <si>
    <t>-LqqgbcJmk0BCcbERlvE</t>
  </si>
  <si>
    <t>1570728211888</t>
  </si>
  <si>
    <t>-LqqgdA4fHOuliql-G4H</t>
  </si>
  <si>
    <t>1570728218132</t>
  </si>
  <si>
    <t>-LqqgefKUTNNhf0HR6_b</t>
  </si>
  <si>
    <t>1570728224292</t>
  </si>
  <si>
    <t>-LqqggALyMopgDTN4fVX</t>
  </si>
  <si>
    <t>1570728230452</t>
  </si>
  <si>
    <t>-LqqghfoNxsNd7nEIedS</t>
  </si>
  <si>
    <t>1570728236673</t>
  </si>
  <si>
    <t>-LqqgjAzKVj5feTcRBQX</t>
  </si>
  <si>
    <t>1570728242848</t>
  </si>
  <si>
    <t>-Lqqgp8LcPvY0HrSCtwf</t>
  </si>
  <si>
    <t>1570728267188</t>
  </si>
  <si>
    <t>-LqqgqrMXfvVto2_dlcs</t>
  </si>
  <si>
    <t>1570728274293</t>
  </si>
  <si>
    <t>-LqqgsMgzvmq1u8NqOh-</t>
  </si>
  <si>
    <t>1570728280453</t>
  </si>
  <si>
    <t>-Lqqgtt6eeHfENK1K2q1</t>
  </si>
  <si>
    <t>1570728286620</t>
  </si>
  <si>
    <t>-LqqgvOKcw7Chj44hu4S</t>
  </si>
  <si>
    <t>1570728292853</t>
  </si>
  <si>
    <t>-LqqgwvbCBeCGVzKYGUw</t>
  </si>
  <si>
    <t>1570728298990</t>
  </si>
  <si>
    <t>-LqqgyQ5Q9v5wBYKT0LO</t>
  </si>
  <si>
    <t>1570728305169</t>
  </si>
  <si>
    <t>-Lqqgzxp2ziAqlUT_ctk</t>
  </si>
  <si>
    <t>1570728311413</t>
  </si>
  <si>
    <t>-Lqqh0vgnvIHKSVLNlND</t>
  </si>
  <si>
    <t>1570728318614</t>
  </si>
  <si>
    <t>-Lqqh2S_31hRvEQuet6X</t>
  </si>
  <si>
    <t>1570728325810</t>
  </si>
  <si>
    <t>-Lqqh3xr2URdyULM_3nn</t>
  </si>
  <si>
    <t>1570728331979</t>
  </si>
  <si>
    <t>-Lqqh5T6Mbi1KdZ3YfQj</t>
  </si>
  <si>
    <t>1570728338195</t>
  </si>
  <si>
    <t>-Lqqh7-kJdyGcQVGmzLO</t>
  </si>
  <si>
    <t>1570728344368</t>
  </si>
  <si>
    <t>-Lqqh8jwpCCF4bRZMkQP</t>
  </si>
  <si>
    <t>1570728351574</t>
  </si>
  <si>
    <t>-LqqhAFKgdOvGxZodTM2</t>
  </si>
  <si>
    <t>1570728357733</t>
  </si>
  <si>
    <t>-LqqhC-q5l8fWfT12mym</t>
  </si>
  <si>
    <t>1570728364934</t>
  </si>
  <si>
    <t>-LqqhDXMDsEql-O2lmD3</t>
  </si>
  <si>
    <t>1570728371173</t>
  </si>
  <si>
    <t>-LqqhF2nlHTE_K10rYr9</t>
  </si>
  <si>
    <t>1570728377334</t>
  </si>
  <si>
    <t>-LqqhGnA3yndLLheY9lQ</t>
  </si>
  <si>
    <t>1570728384534</t>
  </si>
  <si>
    <t>-LqqhIILaFwHz71o1pkT</t>
  </si>
  <si>
    <t>1570728390694</t>
  </si>
  <si>
    <t>-LqqhJosNzEd0o5zMWGe</t>
  </si>
  <si>
    <t>1570728396934</t>
  </si>
  <si>
    <t>-LqqhLS66GthiUcTXLhJ</t>
  </si>
  <si>
    <t>1570728403093</t>
  </si>
  <si>
    <t>-LqqhN4bxkB6nIa4KvSh</t>
  </si>
  <si>
    <t>1570728410294</t>
  </si>
  <si>
    <t>-LqqhOYGwqkdV1OHk_j_</t>
  </si>
  <si>
    <t>1570728416459</t>
  </si>
  <si>
    <t>-LqqhQ6H07zKGdxWEzv1</t>
  </si>
  <si>
    <t>1570728422725</t>
  </si>
  <si>
    <t>-LqqhRaKXmbQoqX_MSDq</t>
  </si>
  <si>
    <t>1570728428855</t>
  </si>
  <si>
    <t>-LqqhT6rKr-oJ4ctJf7J</t>
  </si>
  <si>
    <t>1570728435015</t>
  </si>
  <si>
    <t>-LqqhUr69n0WekPIGCjg</t>
  </si>
  <si>
    <t>1570728442220</t>
  </si>
  <si>
    <t>-LqqhWOpe3G0SuSGHoqW</t>
  </si>
  <si>
    <t>1570728448455</t>
  </si>
  <si>
    <t>-LqqhXtrQtaM3j-rSj8X</t>
  </si>
  <si>
    <t>1570728454614</t>
  </si>
  <si>
    <t>-LqqhZPNQrQwgbUx4RuB</t>
  </si>
  <si>
    <t>1570728460839</t>
  </si>
  <si>
    <t>-Lqqh_vlATY3a7-9dQoQ</t>
  </si>
  <si>
    <t>1570728467010</t>
  </si>
  <si>
    <t>-LqqhbQrAGi9bqAndLk0</t>
  </si>
  <si>
    <t>1570728473174</t>
  </si>
  <si>
    <t>-LqqhdA5sKAaKXB7eJOT</t>
  </si>
  <si>
    <t>1570728479333</t>
  </si>
  <si>
    <t>-LqqhegZFEDCbcdizOil</t>
  </si>
  <si>
    <t>1570728486534</t>
  </si>
  <si>
    <t>-LqqhgC-WdMbzpLzdx2n</t>
  </si>
  <si>
    <t>1570728492769</t>
  </si>
  <si>
    <t>-LqqhhhMGX2tGBi0xJAJ</t>
  </si>
  <si>
    <t>1570728498928</t>
  </si>
  <si>
    <t>-LqqhjCVHzLzqLrLKtdI</t>
  </si>
  <si>
    <t>1570728505089</t>
  </si>
  <si>
    <t>-Lqqhkj04Q6piwPRhF-I</t>
  </si>
  <si>
    <t>1570728511259</t>
  </si>
  <si>
    <t>-LqqhmF_-_Wtb94EkM09</t>
  </si>
  <si>
    <t>1570728517494</t>
  </si>
  <si>
    <t>-Lqqhnkp-XHvFj_kh4Oe</t>
  </si>
  <si>
    <t>1570728523654</t>
  </si>
  <si>
    <t>-LqqhpRC7WNKuLjuLavL</t>
  </si>
  <si>
    <t>1570728529815</t>
  </si>
  <si>
    <t>-Lqqhr0_ISoLp2WlRbRt</t>
  </si>
  <si>
    <t>1570728537023</t>
  </si>
  <si>
    <t>-LqqhsY5-LGuv26qXfI2</t>
  </si>
  <si>
    <t>1570728543254</t>
  </si>
  <si>
    <t>-Lqqhu2Lj5dnbOFZ7ypW</t>
  </si>
  <si>
    <t>1570728549414</t>
  </si>
  <si>
    <t>-LqqhvYarX2te8yf_0wb</t>
  </si>
  <si>
    <t>1570728555573</t>
  </si>
  <si>
    <t>-Lqqhx44VeHRF0SATWoh</t>
  </si>
  <si>
    <t>1570728561814</t>
  </si>
  <si>
    <t>-Lqqhy_Lj2sCsxoW3Mke</t>
  </si>
  <si>
    <t>1570728567973</t>
  </si>
  <si>
    <t>-Lqqi-3Lf1fD4l5scRgm</t>
  </si>
  <si>
    <t>1570728574133</t>
  </si>
  <si>
    <t>-Lqqi0Z_LF3fCwg06279</t>
  </si>
  <si>
    <t>1570728580299</t>
  </si>
  <si>
    <t>-Lqqi26M6NCLkvjTc7Qq</t>
  </si>
  <si>
    <t>1570728586534</t>
  </si>
  <si>
    <t>-Lqqi3aKyGVbqHmusCge</t>
  </si>
  <si>
    <t>1570728592695</t>
  </si>
  <si>
    <t>-Lqqi56qbFfDnRZracPA</t>
  </si>
  <si>
    <t>1570728598853</t>
  </si>
  <si>
    <t>-Lqqi6dHc3of5fm0SQIh</t>
  </si>
  <si>
    <t>1570728605095</t>
  </si>
  <si>
    <t>-Lqqi89pUh2J6Sp3tXaY</t>
  </si>
  <si>
    <t>1570728611258</t>
  </si>
  <si>
    <t>-Lqqi9wHElso_oJ9VvdS</t>
  </si>
  <si>
    <t>1570728618454</t>
  </si>
  <si>
    <t>-LqqiBe_EIRpwZpFlBrt</t>
  </si>
  <si>
    <t>1570728625656</t>
  </si>
  <si>
    <t>-LqqiD9phJoVIkz0yXR-</t>
  </si>
  <si>
    <t>1570728631889</t>
  </si>
  <si>
    <t>-LqqiEf5WlerSlJbmHJH</t>
  </si>
  <si>
    <t>1570728638048</t>
  </si>
  <si>
    <t>-LqqiGBXc3BmPmIP89WE</t>
  </si>
  <si>
    <t>1570728644214</t>
  </si>
  <si>
    <t>-LqqiHzMYESkjn6EqSyX</t>
  </si>
  <si>
    <t>1570728651568</t>
  </si>
  <si>
    <t>-LqqiJQchK0JHGE7lUe-</t>
  </si>
  <si>
    <t>1570728657579</t>
  </si>
  <si>
    <t>-LqqiKzbSuLSp63TalGn</t>
  </si>
  <si>
    <t>1570728663769</t>
  </si>
  <si>
    <t>-LqqiMSrxBWB5Qo6fEtQ</t>
  </si>
  <si>
    <t>1570728669968</t>
  </si>
  <si>
    <t>-LqqiNzLdQJctjBiX3Xc</t>
  </si>
  <si>
    <t>1570728676145</t>
  </si>
  <si>
    <t>-LqqiPULnRlRv_bEGbrl</t>
  </si>
  <si>
    <t>1570728682368</t>
  </si>
  <si>
    <t>-LqqiRHsBElyVqrz1elQ</t>
  </si>
  <si>
    <t>1570728688533</t>
  </si>
  <si>
    <t>-LqqiT0rufhw3JAU61Wx</t>
  </si>
  <si>
    <t>1570728696776</t>
  </si>
  <si>
    <t>-LqqiUX6PAXVb2DHJMQQ</t>
  </si>
  <si>
    <t>1570728702934</t>
  </si>
  <si>
    <t>-LqqiW2d2edIDGbXE6VQ</t>
  </si>
  <si>
    <t>1570728709175</t>
  </si>
  <si>
    <t>-LqqiXYsajoueoLR85xT</t>
  </si>
  <si>
    <t>1570728715336</t>
  </si>
  <si>
    <t>-LqqiZ3GYQm0TK42JFVj</t>
  </si>
  <si>
    <t>1570728721498</t>
  </si>
  <si>
    <t>-Lqqi_ZNDFYs5yplIr9U</t>
  </si>
  <si>
    <t>1570728727716</t>
  </si>
  <si>
    <t>-Lqqib4smDtHD9iu9jzv</t>
  </si>
  <si>
    <t>1570728733896</t>
  </si>
  <si>
    <t>-LqqicqN8U64_VgeWWig</t>
  </si>
  <si>
    <t>1570728741096</t>
  </si>
  <si>
    <t>-Lqqieas1a9HDgE0jMaE</t>
  </si>
  <si>
    <t>1570728748294</t>
  </si>
  <si>
    <t>-Lqqig62wJjYD_9M-GGk</t>
  </si>
  <si>
    <t>1570728754460</t>
  </si>
  <si>
    <t>-LqqihbMiHbA9AfvJUCK</t>
  </si>
  <si>
    <t>1570728760645</t>
  </si>
  <si>
    <t>-Lqqij7_aaJltdf13RuT</t>
  </si>
  <si>
    <t>1570728766857</t>
  </si>
  <si>
    <t>-Lqqikd7rztJS2x2_k6m</t>
  </si>
  <si>
    <t>1570728773017</t>
  </si>
  <si>
    <t>-LqqimRYs7F0MBNO8TES</t>
  </si>
  <si>
    <t>1570728779255</t>
  </si>
  <si>
    <t>-LqqioAlCFCWlAAXnm7N</t>
  </si>
  <si>
    <t>1570728787500</t>
  </si>
  <si>
    <t>-Lqqipfg9evu_a2pK4IQ</t>
  </si>
  <si>
    <t>1570728793652</t>
  </si>
  <si>
    <t>-LqqirAsyeK97LNzvF4O</t>
  </si>
  <si>
    <t>1570728799815</t>
  </si>
  <si>
    <t>-LqqisfegHTwuvEUee7D</t>
  </si>
  <si>
    <t>1570728806040</t>
  </si>
  <si>
    <t>-LqqiuBMix3UwSqyh4ZT</t>
  </si>
  <si>
    <t>1570728812210</t>
  </si>
  <si>
    <t>-LqqivhrbpyZENFK3Dan</t>
  </si>
  <si>
    <t>1570728818371</t>
  </si>
  <si>
    <t>-LqqixFW20utRTH1Fcgj</t>
  </si>
  <si>
    <t>1570728824538</t>
  </si>
  <si>
    <t>-Lqqiyydn875GpWUmIO0</t>
  </si>
  <si>
    <t>1570728831746</t>
  </si>
  <si>
    <t>-Lqqj-UikAXuu1QoskNv</t>
  </si>
  <si>
    <t>1570728837972</t>
  </si>
  <si>
    <t>-Lqqj11AtkOCjBXxuawn</t>
  </si>
  <si>
    <t>1570728844136</t>
  </si>
  <si>
    <t>-Lqqj2m72Z0fncbQXTXj</t>
  </si>
  <si>
    <t>1570728851337</t>
  </si>
  <si>
    <t>-Lqqj4G7hzITYtWcgeIH</t>
  </si>
  <si>
    <t>1570728857502</t>
  </si>
  <si>
    <t>-Lqqj5m9-H9TxdptJCQ1</t>
  </si>
  <si>
    <t>1570728863741</t>
  </si>
  <si>
    <t>-Lqqj7Gc15LhVZcpq0bo</t>
  </si>
  <si>
    <t>1570728869880</t>
  </si>
  <si>
    <t>-Lqqj8n2S0nvZJ3CtNG4</t>
  </si>
  <si>
    <t>1570728876055</t>
  </si>
  <si>
    <t>-LqqjAIuMHqtnBgTxI9Y</t>
  </si>
  <si>
    <t>1570728882251</t>
  </si>
  <si>
    <t>-LqqjBo9Sihx_I_-vTOu</t>
  </si>
  <si>
    <t>1570728888471</t>
  </si>
  <si>
    <t>-LqqjDKfHWYIm-xe4Nuh</t>
  </si>
  <si>
    <t>1570728894650</t>
  </si>
  <si>
    <t>-LqqjEpw5Xl8ddlpfF2I</t>
  </si>
  <si>
    <t>1570728900810</t>
  </si>
  <si>
    <t>-LqqjGbaQ38uddHGikSl</t>
  </si>
  <si>
    <t>1570728908102</t>
  </si>
  <si>
    <t>-LqqjI5biTaeBZbrrHyF</t>
  </si>
  <si>
    <t>1570728914177</t>
  </si>
  <si>
    <t>-LqqjJjcuM2z6FtM4ZTI</t>
  </si>
  <si>
    <t>1570728920897</t>
  </si>
  <si>
    <t>-LqqjLNWg5CSPSbleTXB</t>
  </si>
  <si>
    <t>1570728927608</t>
  </si>
  <si>
    <t>-LqqjMsrWTokQk2YxSwc</t>
  </si>
  <si>
    <t>1570728933766</t>
  </si>
  <si>
    <t>-LqqjOO5jWot5dmtWL2K</t>
  </si>
  <si>
    <t>1570728940001</t>
  </si>
  <si>
    <t>-LqqjPtLwL-wK0VnsKxg</t>
  </si>
  <si>
    <t>1570728946167</t>
  </si>
  <si>
    <t>-LqqjRPsgU5ZGLB-gIKY</t>
  </si>
  <si>
    <t>1570728952328</t>
  </si>
  <si>
    <t>-LqqjSv1z8C8Qj3gpBC9</t>
  </si>
  <si>
    <t>1570728958487</t>
  </si>
  <si>
    <t>-LqqjURWAlvlgaDuRnuW</t>
  </si>
  <si>
    <t>1570728964731</t>
  </si>
  <si>
    <t>-LqqjVvcMJB7IFDeEHyQ</t>
  </si>
  <si>
    <t>1570728970853</t>
  </si>
  <si>
    <t>-LqqjXS5ucpfbqshn3lJ</t>
  </si>
  <si>
    <t>1570728977048</t>
  </si>
  <si>
    <t>-LqqjYxNG7jJVcVAP_kD</t>
  </si>
  <si>
    <t>1570728983273</t>
  </si>
  <si>
    <t>-Lqqj_Tsuo9VDxgSOLyj</t>
  </si>
  <si>
    <t>1570728989448</t>
  </si>
  <si>
    <t>-Lqqjaz7NGVpmfeNl1Tz</t>
  </si>
  <si>
    <t>1570728995609</t>
  </si>
  <si>
    <t>-LqqjctfhDv9yU3rxB7y</t>
  </si>
  <si>
    <t>1570729001766</t>
  </si>
  <si>
    <t>-LqqjeV7PdWEQde3LiGC</t>
  </si>
  <si>
    <t>1570729010008</t>
  </si>
  <si>
    <t>-Lqqjg-Sx6cBdGPg6CYZ</t>
  </si>
  <si>
    <t>1570729016241</t>
  </si>
  <si>
    <t>-LqqjhWnorA-qvGpADEX</t>
  </si>
  <si>
    <t>1570729022406</t>
  </si>
  <si>
    <t>-Lqqjj-sILkjX5nPhVO4</t>
  </si>
  <si>
    <t>1570729028566</t>
  </si>
  <si>
    <t>-LqqjkXLey2-h5D4gEZd</t>
  </si>
  <si>
    <t>1570729034788</t>
  </si>
  <si>
    <t>-Lqqjm2rVvugCcWQLrkr</t>
  </si>
  <si>
    <t>1570729040963</t>
  </si>
  <si>
    <t>-LqqjnZ5oDnGkbOZO_IX</t>
  </si>
  <si>
    <t>1570729047128</t>
  </si>
  <si>
    <t>-Lqqjp3L1VaKbr7-CQR-</t>
  </si>
  <si>
    <t>1570729053286</t>
  </si>
  <si>
    <t>-Lqqjq_l9UfJ6c_D9fgA</t>
  </si>
  <si>
    <t>1570729059528</t>
  </si>
  <si>
    <t>-Lqqjs57TTZ9eowds9Ex</t>
  </si>
  <si>
    <t>1570729065687</t>
  </si>
  <si>
    <t>-LqqjtqaThJ5W1n7fYim</t>
  </si>
  <si>
    <t>1570729072888</t>
  </si>
  <si>
    <t>-LqqjvLqdr82pfRC33I_</t>
  </si>
  <si>
    <t>1570729079053</t>
  </si>
  <si>
    <t>-LqqjwsNYR7fVY0ayuB5</t>
  </si>
  <si>
    <t>1570729085286</t>
  </si>
  <si>
    <t>-LqqjybacMRzylcYBy6T</t>
  </si>
  <si>
    <t>1570729092442</t>
  </si>
  <si>
    <t>-Lqqk-80OvLV_XinxPLG</t>
  </si>
  <si>
    <t>1570729098646</t>
  </si>
  <si>
    <t>-Lqqk0dBqTjTaat06THn</t>
  </si>
  <si>
    <t>1570729104817</t>
  </si>
  <si>
    <t>-Lqqk2B60NgoG-3vM1Og</t>
  </si>
  <si>
    <t>1570729111048</t>
  </si>
  <si>
    <t>-Lqqk4ET9ynuOdfWKSn2</t>
  </si>
  <si>
    <t>1570729118254</t>
  </si>
  <si>
    <t>-Lqqk5vuUZKZxEsRykyI</t>
  </si>
  <si>
    <t>1570729126491</t>
  </si>
  <si>
    <t>-Lqqk7RPNfZvF1_8H3OY</t>
  </si>
  <si>
    <t>1570729132648</t>
  </si>
  <si>
    <t>-Lqqk8wY0AMFVum0l9ev</t>
  </si>
  <si>
    <t>1570729138815</t>
  </si>
  <si>
    <t>-LqqkARtTAMD7hxzXD4x</t>
  </si>
  <si>
    <t>1570729144998</t>
  </si>
  <si>
    <t>-LqqkBxFJtsoumjhJmwB</t>
  </si>
  <si>
    <t>1570729151203</t>
  </si>
  <si>
    <t>-LqqkDTcpC-muSfcPAL0</t>
  </si>
  <si>
    <t>1570729157369</t>
  </si>
  <si>
    <t>-LqqkF-8px-os_YgKLIV</t>
  </si>
  <si>
    <t>1570729163610</t>
  </si>
  <si>
    <t>-LqqkGVX0Qvs9SaOGBHM</t>
  </si>
  <si>
    <t>1570729169773</t>
  </si>
  <si>
    <t>-LqqkI0fgjIedjfKmEHS</t>
  </si>
  <si>
    <t>1570729175929</t>
  </si>
  <si>
    <t>-LqqkJVuubVKsnsYzbqC</t>
  </si>
  <si>
    <t>1570729182094</t>
  </si>
  <si>
    <t>-LqqkLGNzzGt0ZJp6k5c</t>
  </si>
  <si>
    <t>1570729189365</t>
  </si>
  <si>
    <t>-LqqkMkNG9lR5NkuR5d-</t>
  </si>
  <si>
    <t>1570729195488</t>
  </si>
  <si>
    <t>-LqqkOI9m-OEXKibiI4l</t>
  </si>
  <si>
    <t>1570729201689</t>
  </si>
  <si>
    <t>-LqqkQ3paApKsQu3Naeq</t>
  </si>
  <si>
    <t>1570729208970</t>
  </si>
  <si>
    <t>-LqqkRo4zqWMtXOW4yrt</t>
  </si>
  <si>
    <t>1570729216093</t>
  </si>
  <si>
    <t>-LqqkTJ576xrT8NiFyve</t>
  </si>
  <si>
    <t>1570729222329</t>
  </si>
  <si>
    <t>-LqqkUoYSwQqJAxgKDXg</t>
  </si>
  <si>
    <t>1570729228455</t>
  </si>
  <si>
    <t>-LqqkWL84oIuUrp3vlDl</t>
  </si>
  <si>
    <t>1570729234650</t>
  </si>
  <si>
    <t>-LqqkXu9kD5N3AfM14VL</t>
  </si>
  <si>
    <t>1570729240889</t>
  </si>
  <si>
    <t>-LqqkZjeE0FWghY3KfA8</t>
  </si>
  <si>
    <t>1570729248618</t>
  </si>
  <si>
    <t>-LqqkaMPvVFXZQSK9Rqy</t>
  </si>
  <si>
    <t>1570729255284</t>
  </si>
  <si>
    <t>-LqqkbssyKkSCkAdgXyL</t>
  </si>
  <si>
    <t>1570729261449</t>
  </si>
  <si>
    <t>-LqqkdNtpPSSGbMAoXLQ</t>
  </si>
  <si>
    <t>1570729267610</t>
  </si>
  <si>
    <t>-LqqketKYD_gzdHVBoH7</t>
  </si>
  <si>
    <t>1570729273845</t>
  </si>
  <si>
    <t>-LqqkgPs5gnu88qUfDGm</t>
  </si>
  <si>
    <t>1570729280010</t>
  </si>
  <si>
    <t>-LqqkhxeFfEGGPwPbZ2_</t>
  </si>
  <si>
    <t>1570729286170</t>
  </si>
  <si>
    <t>-Lqqkji7rrpHIZy1wfpw</t>
  </si>
  <si>
    <t>1570729293375</t>
  </si>
  <si>
    <t>-LqqklR8j-UZ3ZMqaShN</t>
  </si>
  <si>
    <t>1570729300645</t>
  </si>
  <si>
    <t>-LqqkmxcpqR4WzGfkxju</t>
  </si>
  <si>
    <t>1570729306808</t>
  </si>
  <si>
    <t>-LqqkoSwW6-o40i0s3ki</t>
  </si>
  <si>
    <t>1570729312969</t>
  </si>
  <si>
    <t>-Lqqkpy8FGwA5jdsHJK2</t>
  </si>
  <si>
    <t>1570729319135</t>
  </si>
  <si>
    <t>-LqqkrxeNrBkqKiltpuE</t>
  </si>
  <si>
    <t>1570729327347</t>
  </si>
  <si>
    <t>-LqqktlHUsVrqatntEPe</t>
  </si>
  <si>
    <t>1570729333609</t>
  </si>
  <si>
    <t>-LqqkvFuE7hSPa1mjH0_</t>
  </si>
  <si>
    <t>1570729340874</t>
  </si>
  <si>
    <t>-Lqqkwl8YkBZv7bmFSol</t>
  </si>
  <si>
    <t>1570729346969</t>
  </si>
  <si>
    <t>-LqqkyGOTyBRSL0tSMyv</t>
  </si>
  <si>
    <t>1570729353195</t>
  </si>
  <si>
    <t>-LqqkzpSh4ZTbtvIp89o</t>
  </si>
  <si>
    <t>1570729359370</t>
  </si>
  <si>
    <t>-Lqql0YTHHKbX2tOR-NR</t>
  </si>
  <si>
    <t>1570729366565</t>
  </si>
  <si>
    <t>-Lqql22KDFQVpO1I9xol</t>
  </si>
  <si>
    <t>1570729372730</t>
  </si>
  <si>
    <t>-Lqql3YswpZTbgLHSF1x</t>
  </si>
  <si>
    <t>1570729378955</t>
  </si>
  <si>
    <t>-Lqql54Pcl47-JinP7mR</t>
  </si>
  <si>
    <t>1570729385133</t>
  </si>
  <si>
    <t>-Lqql6_eCphAkKt-pwUX</t>
  </si>
  <si>
    <t>1570729391293</t>
  </si>
  <si>
    <t>-Lqql868fS_I9oKQxpdN</t>
  </si>
  <si>
    <t>1570729397451</t>
  </si>
  <si>
    <t>-Lqql9aHeqKK6YUug3X7</t>
  </si>
  <si>
    <t>1570729403614</t>
  </si>
  <si>
    <t>-LqqlB6c6VaSc7xdE9mv</t>
  </si>
  <si>
    <t>1570729409915</t>
  </si>
  <si>
    <t>-LqqlCboPAw5Blv-5BbQ</t>
  </si>
  <si>
    <t>1570729416010</t>
  </si>
  <si>
    <t>-LqqlE74Fxn6Xa8etR6i</t>
  </si>
  <si>
    <t>1570729422234</t>
  </si>
  <si>
    <t>-LqqlFdepsfuNtOptPbp</t>
  </si>
  <si>
    <t>1570729428409</t>
  </si>
  <si>
    <t>-LqqlH8sD-E9Z-5Zd72i</t>
  </si>
  <si>
    <t>1570729434568</t>
  </si>
  <si>
    <t>-LqqlId-l8fiu3pHwcms</t>
  </si>
  <si>
    <t>1570729440728</t>
  </si>
  <si>
    <t>-LqqlKAZmPwvkydgzBiY</t>
  </si>
  <si>
    <t>1570729446970</t>
  </si>
  <si>
    <t>-LqqlLfsdA9-zlIdy09z</t>
  </si>
  <si>
    <t>1570729453130</t>
  </si>
  <si>
    <t>-LqqlNJtQTXW0nM2FnoS</t>
  </si>
  <si>
    <t>1570729459289</t>
  </si>
  <si>
    <t>-LqqlOwYg40h_Zdak0tA</t>
  </si>
  <si>
    <t>1570729466491</t>
  </si>
  <si>
    <t>-LqqlQT9rMrq7aLd-CUy</t>
  </si>
  <si>
    <t>1570729472730</t>
  </si>
  <si>
    <t>-LqqlRyOWncS39-IlMe7</t>
  </si>
  <si>
    <t>1570729478888</t>
  </si>
  <si>
    <t>-LqqlTTZw1-xX1PvF8rd</t>
  </si>
  <si>
    <t>1570729485050</t>
  </si>
  <si>
    <t>-LqqlUytIDTtrKcIzSg6</t>
  </si>
  <si>
    <t>1570729491219</t>
  </si>
  <si>
    <t>-LqqlWVQZCnJA1TGSsUH</t>
  </si>
  <si>
    <t>1570729497450</t>
  </si>
  <si>
    <t>-LqqlXzPlIjICzXPBSX2</t>
  </si>
  <si>
    <t>1570729503605</t>
  </si>
  <si>
    <t>-LqqlZVpQM1eF7dyd9AS</t>
  </si>
  <si>
    <t>1570729509770</t>
  </si>
  <si>
    <t>-Lqqla1PjXnbOt4PAOvL</t>
  </si>
  <si>
    <t>1570729516008</t>
  </si>
  <si>
    <t>-LqqlbXghJgDAnoHNuzT</t>
  </si>
  <si>
    <t>1570729522168</t>
  </si>
  <si>
    <t>-Lqqld1n_mad78SRv3ar</t>
  </si>
  <si>
    <t>1570729528331</t>
  </si>
  <si>
    <t>-LqqleY4LvpzoIaG3xsV</t>
  </si>
  <si>
    <t>1570729534500</t>
  </si>
  <si>
    <t>-LqqlgEITsdz8KgY8xvV</t>
  </si>
  <si>
    <t>1570729540743</t>
  </si>
  <si>
    <t>-Lqqli5_6GePtqEsdLWg</t>
  </si>
  <si>
    <t>1570729549140</t>
  </si>
  <si>
    <t>-Lqqljr9WehZomXtnmQQ</t>
  </si>
  <si>
    <t>1570729556180</t>
  </si>
  <si>
    <t>-LqqllbgT-ZD5-aYPvy7</t>
  </si>
  <si>
    <t>1570729563370</t>
  </si>
  <si>
    <t>-LqqlnLvooVLAEjV52U3</t>
  </si>
  <si>
    <t>1570729570572</t>
  </si>
  <si>
    <t>-Lqqlp3VLU_Bg_w5rCL6</t>
  </si>
  <si>
    <t>1570729576806</t>
  </si>
  <si>
    <t>-LqqlqcLgNsFd7R67mSZ</t>
  </si>
  <si>
    <t>1570729584011</t>
  </si>
  <si>
    <t>-Lqqls6sHHU35qPYK1Wt</t>
  </si>
  <si>
    <t>1570729590169</t>
  </si>
  <si>
    <t>-LqqltdLU1s9oEX1rs3u</t>
  </si>
  <si>
    <t>1570729596331</t>
  </si>
  <si>
    <t>-Lqqlv9qsCB3AI4OqICg</t>
  </si>
  <si>
    <t>1570729602571</t>
  </si>
  <si>
    <t>-Lqqlwdgmni2Ob0KU3J3</t>
  </si>
  <si>
    <t>1570729608724</t>
  </si>
  <si>
    <t>-LqqlyAP6Zz-oo5zJotq</t>
  </si>
  <si>
    <t>1570729614886</t>
  </si>
  <si>
    <t>-LqqlzfhPo_SZBmfcq77</t>
  </si>
  <si>
    <t>1570729621055</t>
  </si>
  <si>
    <t>-Lqqm0C8HPkQyC-TclAw</t>
  </si>
  <si>
    <t>1570729627291</t>
  </si>
  <si>
    <t>-Lqqm2-B-kxihM0mzMi0</t>
  </si>
  <si>
    <t>1570729634491</t>
  </si>
  <si>
    <t>-Lqqm3iAingtlSFnZcHo</t>
  </si>
  <si>
    <t>1570729641690</t>
  </si>
  <si>
    <t>-Lqqm5D97f8mggi1dGuU</t>
  </si>
  <si>
    <t>1570729647849</t>
  </si>
  <si>
    <t>-Lqqm6ju_9_F_jYCfoi_</t>
  </si>
  <si>
    <t>1570729654090</t>
  </si>
  <si>
    <t>-Lqqm8FBXROnU_ceE--z</t>
  </si>
  <si>
    <t>1570729660247</t>
  </si>
  <si>
    <t>-Lqqm9kOKoinMm2b1sfn</t>
  </si>
  <si>
    <t>1570729666475</t>
  </si>
  <si>
    <t>-LqqmBmUubUEkAOsWIFd</t>
  </si>
  <si>
    <t>1570729672630</t>
  </si>
  <si>
    <t>-LqqmDGKBo3-gsc8ZKJJ</t>
  </si>
  <si>
    <t>1570729680815</t>
  </si>
  <si>
    <t>-LqqmEmunSSjJty91pIo</t>
  </si>
  <si>
    <t>1570729687048</t>
  </si>
  <si>
    <t>-LqqmGI9URu2Z9obRgek</t>
  </si>
  <si>
    <t>1570729693211</t>
  </si>
  <si>
    <t>-LqqmHnPop7eQtcYM5Jd</t>
  </si>
  <si>
    <t>1570729699366</t>
  </si>
  <si>
    <t>-LqqmJTYKzMtpZfFFknk</t>
  </si>
  <si>
    <t>1570729705610</t>
  </si>
  <si>
    <t>-LqqmL4ShoOqZ9gpJ97g</t>
  </si>
  <si>
    <t>1570729712807</t>
  </si>
  <si>
    <t>-LqqmM_bb9oeC1b6gfo8</t>
  </si>
  <si>
    <t>1570729718968</t>
  </si>
  <si>
    <t>-LqqmO4u8e9pWmwxXMca</t>
  </si>
  <si>
    <t>1570729725131</t>
  </si>
  <si>
    <t>-LqqmPbCs_bTuMDBGH55</t>
  </si>
  <si>
    <t>1570729731320</t>
  </si>
  <si>
    <t>-LqqmR6RpKqkqiyQ60tn</t>
  </si>
  <si>
    <t>1570729737532</t>
  </si>
  <si>
    <t>-LqqmSbq_tHHLaZhH5pn</t>
  </si>
  <si>
    <t>1570729743691</t>
  </si>
  <si>
    <t>-LqqmU9X8N3vwXPXtU50</t>
  </si>
  <si>
    <t>1570729750085</t>
  </si>
  <si>
    <t>-LqqmVcNO8j77nWuKLsw</t>
  </si>
  <si>
    <t>1570729756012</t>
  </si>
  <si>
    <t>-LqqmXQMkR2ww24KEa3C</t>
  </si>
  <si>
    <t>1570729762249</t>
  </si>
  <si>
    <t>-LqqmZW8Cl1YX7Zjq5oX</t>
  </si>
  <si>
    <t>1570729771929</t>
  </si>
  <si>
    <t>-LqqmaAN_254LTlZU-3x</t>
  </si>
  <si>
    <t>1570729778724</t>
  </si>
  <si>
    <t>-Lqqmbvg8aa4LfKTp-p6</t>
  </si>
  <si>
    <t>1570729784899</t>
  </si>
  <si>
    <t>-LqqmdR9ci53_0XVIUIH</t>
  </si>
  <si>
    <t>1570729792149</t>
  </si>
  <si>
    <t>-LqqmexbwtvM15Cd9BeE</t>
  </si>
  <si>
    <t>1570729798327</t>
  </si>
  <si>
    <t>-LqqmgSrepsZ5S_nHGUI</t>
  </si>
  <si>
    <t>1570729804485</t>
  </si>
  <si>
    <t>-Lqqmhy8pDRXzwiwPPou</t>
  </si>
  <si>
    <t>1570729810648</t>
  </si>
  <si>
    <t>-LqqmjUbr_O6G--9IM4V</t>
  </si>
  <si>
    <t>1570729816889</t>
  </si>
  <si>
    <t>-LqqmkztM3runHJhU-_m</t>
  </si>
  <si>
    <t>1570729823049</t>
  </si>
  <si>
    <t>-LqqmmV8VLXKoQsRIb_p</t>
  </si>
  <si>
    <t>1570729829208</t>
  </si>
  <si>
    <t>-Lqqmo9OfuWQ-2G2Vzyj</t>
  </si>
  <si>
    <t>1570729836062</t>
  </si>
  <si>
    <t>-Lqqmpl2f_x51AfLC8bU</t>
  </si>
  <si>
    <t>1570729842642</t>
  </si>
  <si>
    <t>-LqqmrG8xGu22zbrE-dq</t>
  </si>
  <si>
    <t>1570729848809</t>
  </si>
  <si>
    <t>-LqqmsmbrqnIdn8dqBT1</t>
  </si>
  <si>
    <t>1570729854969</t>
  </si>
  <si>
    <t>-LqqmuI90vdL9fBbcDYL</t>
  </si>
  <si>
    <t>1570729861134</t>
  </si>
  <si>
    <t>-LqqmvoOQPEEe40UtiHE</t>
  </si>
  <si>
    <t>1570729867368</t>
  </si>
  <si>
    <t>-LqqmxJdVPJIRE1ZU2Gm</t>
  </si>
  <si>
    <t>1570729873527</t>
  </si>
  <si>
    <t>-Lqqmz98Cg-YcADxCp3M</t>
  </si>
  <si>
    <t>1570729881108</t>
  </si>
  <si>
    <t>-Lqqn-pc8Hx1nBXk23n9</t>
  </si>
  <si>
    <t>1570729887943</t>
  </si>
  <si>
    <t>-Lqqn1M8WPS4IzPGCJXD</t>
  </si>
  <si>
    <t>1570729894147</t>
  </si>
  <si>
    <t>-Lqqn2q1TKFg5dPPMZYz</t>
  </si>
  <si>
    <t>1570729900292</t>
  </si>
  <si>
    <t>-Lqqn4MddOvV4Cu8ioVO</t>
  </si>
  <si>
    <t>1570729906488</t>
  </si>
  <si>
    <t>-Lqqn5robakT3PyN-01X</t>
  </si>
  <si>
    <t>1570729912648</t>
  </si>
  <si>
    <t>-Lqqn7OOpFNwakLZcyMx</t>
  </si>
  <si>
    <t>1570729918888</t>
  </si>
  <si>
    <t>-Lqqn8tc2y36zuDRRoYV</t>
  </si>
  <si>
    <t>1570729925045</t>
  </si>
  <si>
    <t>-LqqnAOu45pIguKKz7hq</t>
  </si>
  <si>
    <t>1570729931212</t>
  </si>
  <si>
    <t>-LqqnBu3XSr5JhLtL2QZ</t>
  </si>
  <si>
    <t>1570729937378</t>
  </si>
  <si>
    <t>-LqqnDQdvbx19Ak6jZWu</t>
  </si>
  <si>
    <t>1570729943608</t>
  </si>
  <si>
    <t>-LqqnEuciDw0L40AxUSh</t>
  </si>
  <si>
    <t>1570729949763</t>
  </si>
  <si>
    <t>-LqqnGQuHDfebGajwPFe</t>
  </si>
  <si>
    <t>1570729955929</t>
  </si>
  <si>
    <t>-LqqnHxdzEbz7Uk5xQTP</t>
  </si>
  <si>
    <t>1570729962169</t>
  </si>
  <si>
    <t>-LqqnJSttWndRgoLd3qc</t>
  </si>
  <si>
    <t>1570729968329</t>
  </si>
  <si>
    <t>-LqqnLG8sXAh47J8M-WT</t>
  </si>
  <si>
    <t>1570729974489</t>
  </si>
  <si>
    <t>-LqqnMysqG-PQ8Fahe6R</t>
  </si>
  <si>
    <t>1570729982729</t>
  </si>
  <si>
    <t>-LqqnOVPaVXMP8d1KG4b</t>
  </si>
  <si>
    <t>1570729988970</t>
  </si>
  <si>
    <t>-LqqnQ-_M3sGrWgZsBeH</t>
  </si>
  <si>
    <t>1570729995055</t>
  </si>
  <si>
    <t>-LqqnRjtvKdi-Foohs5V</t>
  </si>
  <si>
    <t>1570730002330</t>
  </si>
  <si>
    <t>-LqqnTZCarWOf95vCAFg</t>
  </si>
  <si>
    <t>1570730009611</t>
  </si>
  <si>
    <t>-LqqnVFylrNYFjucqb1q</t>
  </si>
  <si>
    <t>1570730016724</t>
  </si>
  <si>
    <t>-LqqnWmNz0fFoobGIczE</t>
  </si>
  <si>
    <t>1570730022978</t>
  </si>
  <si>
    <t>-LqqnYIt1rICi6T_kFz8</t>
  </si>
  <si>
    <t>1570730029129</t>
  </si>
  <si>
    <t>-LqqnZo2uLoDebHtRssW</t>
  </si>
  <si>
    <t>1570730035289</t>
  </si>
  <si>
    <t>-LqqnaJPzsMA98eK5Fdd</t>
  </si>
  <si>
    <t>1570730041452</t>
  </si>
  <si>
    <t>-Lqqnboeb1qkr8nO9Yn6</t>
  </si>
  <si>
    <t>1570730047688</t>
  </si>
  <si>
    <t>-LqqndJtrNKPjGZL5p13</t>
  </si>
  <si>
    <t>1570730053843</t>
  </si>
  <si>
    <t>-LqqneqPqc3iDxq03tDa</t>
  </si>
  <si>
    <t>1570730060015</t>
  </si>
  <si>
    <t>-LqqngLZdpTU165lAQn4</t>
  </si>
  <si>
    <t>1570730066175</t>
  </si>
  <si>
    <t>-LqqnhsIZtKInM1ru0C8</t>
  </si>
  <si>
    <t>1570730072409</t>
  </si>
  <si>
    <t>-LqqnjM9PAKc9w3sK_jV</t>
  </si>
  <si>
    <t>1570730078570</t>
  </si>
  <si>
    <t>-LqqnksZzHm6KbJYLY1q</t>
  </si>
  <si>
    <t>1570730084729</t>
  </si>
  <si>
    <t>-LqqnmP8YatcjAyCmkyK</t>
  </si>
  <si>
    <t>1570730090970</t>
  </si>
  <si>
    <t>-Lqqnnt80L2UJFPYfJQN</t>
  </si>
  <si>
    <t>1570730097123</t>
  </si>
  <si>
    <t>-LqqnpPdMU3FGRG36aPR</t>
  </si>
  <si>
    <t>1570730103289</t>
  </si>
  <si>
    <t>-Lqqnqv1VO73yz6L_WBy</t>
  </si>
  <si>
    <t>1570730109454</t>
  </si>
  <si>
    <t>-LqqnsfOQSa-Cpco3Qve</t>
  </si>
  <si>
    <t>1570730116665</t>
  </si>
  <si>
    <t>-LqqnuBtoPN8wyGnSVIJ</t>
  </si>
  <si>
    <t>1570730122888</t>
  </si>
  <si>
    <t>-LqqnwCcZ6Ptwf6U1eM9</t>
  </si>
  <si>
    <t>1570730131187</t>
  </si>
  <si>
    <t>-LqqnxhpS61wvTq52jQC</t>
  </si>
  <si>
    <t>1570730137289</t>
  </si>
  <si>
    <t>-LqqnzD8w6p_mGPql-Gw</t>
  </si>
  <si>
    <t>1570730143514</t>
  </si>
  <si>
    <t>-Lqqo-iXxLE5dZv05cXu</t>
  </si>
  <si>
    <t>1570730149639</t>
  </si>
  <si>
    <t>-Lqqo1EuWqdDyOJ6S8Ee</t>
  </si>
  <si>
    <t>1570730155851</t>
  </si>
  <si>
    <t>-Lqqo2lJB8V-C7DEoMx5</t>
  </si>
  <si>
    <t>1570730162008</t>
  </si>
  <si>
    <t>-Lqqo4GZfm-KMrswAijG</t>
  </si>
  <si>
    <t>1570730168250</t>
  </si>
  <si>
    <t>-Lqqo5kYBOvFZqRUSEfe</t>
  </si>
  <si>
    <t>1570730174404</t>
  </si>
  <si>
    <t>-Lqqo7H87X0tsTsWPcDe</t>
  </si>
  <si>
    <t>1570730180569</t>
  </si>
  <si>
    <t>-Lqqo8mYj__j32lIGHXq</t>
  </si>
  <si>
    <t>1570730186794</t>
  </si>
  <si>
    <t>-LqqoAZI6CkR6LeG8vrU</t>
  </si>
  <si>
    <t>1570730194025</t>
  </si>
  <si>
    <t>-LqqoC3Ox_XF3MYhfqM3</t>
  </si>
  <si>
    <t>1570730200170</t>
  </si>
  <si>
    <t>-LqqoDZcr6RJAf4Ha3A3</t>
  </si>
  <si>
    <t>1570730206330</t>
  </si>
  <si>
    <t>-LqqoF3tAt2MzTwePyVC</t>
  </si>
  <si>
    <t>1570730212494</t>
  </si>
  <si>
    <t>-LqqoGn3d7tzh34Yo9jk</t>
  </si>
  <si>
    <t>1570730218729</t>
  </si>
  <si>
    <t>-LqqoIKe74y71pZTlp8I</t>
  </si>
  <si>
    <t>1570730225924</t>
  </si>
  <si>
    <t>-LqqoJr3WEJ8hMduvQ3L</t>
  </si>
  <si>
    <t>1570730232090</t>
  </si>
  <si>
    <t>-LqqoLLKiCf1jVamEhut</t>
  </si>
  <si>
    <t>1570730238263</t>
  </si>
  <si>
    <t>-LqqoMrdQBg-rB3xyjQw</t>
  </si>
  <si>
    <t>1570730244486</t>
  </si>
  <si>
    <t>-LqqoOPPk5Hy__3qvUfg</t>
  </si>
  <si>
    <t>1570730250650</t>
  </si>
  <si>
    <t>-LqqoQ8cC4QMk74emfDN</t>
  </si>
  <si>
    <t>1570730257848</t>
  </si>
  <si>
    <t>-LqqoRuJaKzg3zOrm3Ld</t>
  </si>
  <si>
    <t>1570730265050</t>
  </si>
  <si>
    <t>-LqqoTPZYd2RFUIPldk4</t>
  </si>
  <si>
    <t>1570730271284</t>
  </si>
  <si>
    <t>-LqqoUtPwXryvutUoZ4P</t>
  </si>
  <si>
    <t>1570730277406</t>
  </si>
  <si>
    <t>-LqqoWR9V9W6JvvGHULT</t>
  </si>
  <si>
    <t>1570730283610</t>
  </si>
  <si>
    <t>-LqqoXwOcoJQW0W9PiAf</t>
  </si>
  <si>
    <t>1570730289769</t>
  </si>
  <si>
    <t>-LqqoZSyQRXvgMDaB-TU</t>
  </si>
  <si>
    <t>1570730296008</t>
  </si>
  <si>
    <t>-LqqoaC9ZHHwRJo7V3Xz</t>
  </si>
  <si>
    <t>1570730303204</t>
  </si>
  <si>
    <t>-LqqobiYAS9d7WsGyv6q</t>
  </si>
  <si>
    <t>1570730309370</t>
  </si>
  <si>
    <t>-LqqodDsi88BkPBpo6Fc</t>
  </si>
  <si>
    <t>1570730315529</t>
  </si>
  <si>
    <t>-LqqoekYyWs2s8fKwLZV</t>
  </si>
  <si>
    <t>1570730321768</t>
  </si>
  <si>
    <t>-LqqogFdB5rZCKJ63Vza</t>
  </si>
  <si>
    <t>1570730327930</t>
  </si>
  <si>
    <t>-LqqohkuRXAmVLyE-1am</t>
  </si>
  <si>
    <t>1570730334089</t>
  </si>
  <si>
    <t>-LqqojEtKuxcQHFS47To</t>
  </si>
  <si>
    <t>1570730340260</t>
  </si>
  <si>
    <t>-LqqolKdszWkph4LQWZQ</t>
  </si>
  <si>
    <t>1570730346500</t>
  </si>
  <si>
    <t>-LqqonDtG9KW0Vd11wmy</t>
  </si>
  <si>
    <t>1570730356544</t>
  </si>
  <si>
    <t>-LqqoomvVoAAGTzBUMWh</t>
  </si>
  <si>
    <t>1570730362964</t>
  </si>
  <si>
    <t>-LqqoqJOC68JsPA2Fbrt</t>
  </si>
  <si>
    <t>1570730369145</t>
  </si>
  <si>
    <t>-LqqoroZCUYQjK2hrm2m</t>
  </si>
  <si>
    <t>1570730375290</t>
  </si>
  <si>
    <t>-LqqotJss2BHoX4yvC05</t>
  </si>
  <si>
    <t>1570730381474</t>
  </si>
  <si>
    <t>-LqqouqOnhMXIR8BmsXr</t>
  </si>
  <si>
    <t>1570730387699</t>
  </si>
  <si>
    <t>-LqqowKPIwGOCqCo-f6l</t>
  </si>
  <si>
    <t>1570730393844</t>
  </si>
  <si>
    <t>-LqqoxqpG2tfUcgKhRtN</t>
  </si>
  <si>
    <t>1570730400074</t>
  </si>
  <si>
    <t>-Lqqozf7AbKG3JVXezDs</t>
  </si>
  <si>
    <t>1570730406259</t>
  </si>
  <si>
    <t>-Lqqp0Mpv3YW2VjGiuQx</t>
  </si>
  <si>
    <t>1570730414484</t>
  </si>
  <si>
    <t>-Lqqp1tPUkNlMZAJQ6vs</t>
  </si>
  <si>
    <t>1570730420660</t>
  </si>
  <si>
    <t>-Lqqp3OeSpjPzu4F0kW_</t>
  </si>
  <si>
    <t>1570730426817</t>
  </si>
  <si>
    <t>-Lqqp4vHTDGRJ6rfK9GX</t>
  </si>
  <si>
    <t>1570730433048</t>
  </si>
  <si>
    <t>-Lqqp6gebxst7gXTdbGo</t>
  </si>
  <si>
    <t>1570730440325</t>
  </si>
  <si>
    <t>-Lqqp8AnB6v3GzjQ6QYE</t>
  </si>
  <si>
    <t>1570730446418</t>
  </si>
  <si>
    <t>-LqqpA1oJ99uPaNwIW6-</t>
  </si>
  <si>
    <t>1570730452575</t>
  </si>
  <si>
    <t>-LqqpBh1xvBRV8Kio7AJ</t>
  </si>
  <si>
    <t>1570730460814</t>
  </si>
  <si>
    <t>-LqqpDC7UyjOrGP0Mu2j</t>
  </si>
  <si>
    <t>1570730467043</t>
  </si>
  <si>
    <t>-LqqpEieDp9tQt6boHdg</t>
  </si>
  <si>
    <t>1570730473212</t>
  </si>
  <si>
    <t>-LqqpGE1HFQedoOs67Tp</t>
  </si>
  <si>
    <t>1570730479371</t>
  </si>
  <si>
    <t>-LqqpHkOeeqNm_7Rp-qR</t>
  </si>
  <si>
    <t>1570730485618</t>
  </si>
  <si>
    <t>-LqqpJFeF6pmTvZWt7Tt</t>
  </si>
  <si>
    <t>1570730491769</t>
  </si>
  <si>
    <t>-LqqpKkp1dG2etGk_alz</t>
  </si>
  <si>
    <t>1570730497938</t>
  </si>
  <si>
    <t>-LqqpMG7PUgWR_g6fc03</t>
  </si>
  <si>
    <t>1570730504093</t>
  </si>
  <si>
    <t>-LqqpNmc_dw0DRCUjpuY</t>
  </si>
  <si>
    <t>1570730510328</t>
  </si>
  <si>
    <t>-LqqpPHzshepkcoXdKwm</t>
  </si>
  <si>
    <t>1570730516493</t>
  </si>
  <si>
    <t>-LqqpQnCJxDv7OjgYewq</t>
  </si>
  <si>
    <t>1570730522653</t>
  </si>
  <si>
    <t>-LqqpSIT4rpdeoaNKRJk</t>
  </si>
  <si>
    <t>1570730528880</t>
  </si>
  <si>
    <t>-LqqpTuHOs1h3ivrlQzO</t>
  </si>
  <si>
    <t>1570730535053</t>
  </si>
  <si>
    <t>-LqqpVklL6-mBBA0Rduv</t>
  </si>
  <si>
    <t>1570730542253</t>
  </si>
  <si>
    <t>-LqqpXaCOIBAEyP2BIo2</t>
  </si>
  <si>
    <t>1570730549455</t>
  </si>
  <si>
    <t>-LqqpZ5VCLHuieONeBNI</t>
  </si>
  <si>
    <t>1570730556653</t>
  </si>
  <si>
    <t>-Lqqp_aiSLkmLMEmiQNs</t>
  </si>
  <si>
    <t>1570730562879</t>
  </si>
  <si>
    <t>-Lqqpb7CixItyEx0Y_yb</t>
  </si>
  <si>
    <t>1570730569054</t>
  </si>
  <si>
    <t>-LqqpccQJEmvPEUQfkW9</t>
  </si>
  <si>
    <t>1570730575219</t>
  </si>
  <si>
    <t>-LqqpeMhPP9OEEp9GWbM</t>
  </si>
  <si>
    <t>1570730581373</t>
  </si>
  <si>
    <t>-LqqpftI4sxn6Kkkel3i</t>
  </si>
  <si>
    <t>1570730588638</t>
  </si>
  <si>
    <t>-LqqphPh29wT-eX0kuit</t>
  </si>
  <si>
    <t>1570730594814</t>
  </si>
  <si>
    <t>-LqqpiuyCVSPPj_MdAu1</t>
  </si>
  <si>
    <t>1570730600974</t>
  </si>
  <si>
    <t>-LqqpkQDFfHRlbFYk_Us</t>
  </si>
  <si>
    <t>1570730607135</t>
  </si>
  <si>
    <t>-LqqplvU4LYljyGT9G9R</t>
  </si>
  <si>
    <t>1570730613375</t>
  </si>
  <si>
    <t>-LqqpniWWA26RnnQXCs8</t>
  </si>
  <si>
    <t>1570730619500</t>
  </si>
  <si>
    <t>-LqqppShuLktJSD5YcxZ</t>
  </si>
  <si>
    <t>1570730627772</t>
  </si>
  <si>
    <t>-LqqpqxyJ-1fvg34-he4</t>
  </si>
  <si>
    <t>1570730633934</t>
  </si>
  <si>
    <t>-LqqpsTDjB1fQv03xQQ_</t>
  </si>
  <si>
    <t>1570730640108</t>
  </si>
  <si>
    <t>-Lqqptzi1ybBYWuHSkX1</t>
  </si>
  <si>
    <t>1570730646333</t>
  </si>
  <si>
    <t>-LqqpvUxPP_0Y7VCn_wp</t>
  </si>
  <si>
    <t>1570730652492</t>
  </si>
  <si>
    <t>-Lqqpx-BdQWeU0rYrGos</t>
  </si>
  <si>
    <t>1570730658658</t>
  </si>
  <si>
    <t>-LqqpyWgGdwLO8XXcgwX</t>
  </si>
  <si>
    <t>1570730664894</t>
  </si>
  <si>
    <t>-Lqqq-0z0mCjON2icKA6</t>
  </si>
  <si>
    <t>1570730671055</t>
  </si>
  <si>
    <t>-Lqqq0nRUotLJVfi46Qo</t>
  </si>
  <si>
    <t>1570730677212</t>
  </si>
  <si>
    <t>-Lqqq2HqDS5feB1Zs6Zm</t>
  </si>
  <si>
    <t>1570730684413</t>
  </si>
  <si>
    <t>-Lqqq3mxZYLR8mM5km77</t>
  </si>
  <si>
    <t>1570730690648</t>
  </si>
  <si>
    <t>-Lqqq5JRGc_9egztcSnl</t>
  </si>
  <si>
    <t>1570730696813</t>
  </si>
  <si>
    <t>-Lqqq6ohTilCU8Ska5CP</t>
  </si>
  <si>
    <t>1570730702972</t>
  </si>
  <si>
    <t>-Lqqq8JwO1NKBoDvnqJt</t>
  </si>
  <si>
    <t>1570730709193</t>
  </si>
  <si>
    <t>-Lqqq9qSNTvQEDJkaR8Y</t>
  </si>
  <si>
    <t>1570730715372</t>
  </si>
  <si>
    <t>-LqqqBLihqyej6ayUCsJ</t>
  </si>
  <si>
    <t>1570730721532</t>
  </si>
  <si>
    <t>-LqqqCpiTQ3xEMNrstVj</t>
  </si>
  <si>
    <t>1570730727693</t>
  </si>
  <si>
    <t>-LqqqETS6YS-oBqhHIxT</t>
  </si>
  <si>
    <t>1570730733932</t>
  </si>
  <si>
    <t>-LqqqG7wK2bDcno5RnWC</t>
  </si>
  <si>
    <t>1570730741132</t>
  </si>
  <si>
    <t>-LqqqHdB0Q2_p3M1ngLa</t>
  </si>
  <si>
    <t>1570730747292</t>
  </si>
  <si>
    <t>-LqqqJ8SMiF1kZVjlxnI</t>
  </si>
  <si>
    <t>1570730753454</t>
  </si>
  <si>
    <t>-LqqqKexNHUXpGZpHZh9</t>
  </si>
  <si>
    <t>1570730759694</t>
  </si>
  <si>
    <t>-LqqqM8x9z4-bn_PGpb1</t>
  </si>
  <si>
    <t>1570730765850</t>
  </si>
  <si>
    <t>-LqqqNghS4THqUJ5qQR_</t>
  </si>
  <si>
    <t>1570730772127</t>
  </si>
  <si>
    <t>-LqqqPAik26wk-jVoZwM</t>
  </si>
  <si>
    <t>1570730778173</t>
  </si>
  <si>
    <t>-LqqqQgfy_4VjXaN-G0R</t>
  </si>
  <si>
    <t>1570730784414</t>
  </si>
  <si>
    <t>-LqqqSCSXMgG5ctua35T</t>
  </si>
  <si>
    <t>1570730790573</t>
  </si>
  <si>
    <t>-LqqqThhGcb1qPvtwX4o</t>
  </si>
  <si>
    <t>1570730796734</t>
  </si>
  <si>
    <t>-LqqqVCwez177Ngh-u8n</t>
  </si>
  <si>
    <t>1570730802953</t>
  </si>
  <si>
    <t>-LqqqWjT8wv2jUk-6v5q</t>
  </si>
  <si>
    <t>1570730809134</t>
  </si>
  <si>
    <t>-LqqqYEi8XEGoIXPLsDj</t>
  </si>
  <si>
    <t>1570730815294</t>
  </si>
  <si>
    <t>-LqqqZjxeXRgJ4z-8abf</t>
  </si>
  <si>
    <t>1570730821453</t>
  </si>
  <si>
    <t>-LqqqaFD5v6VukRWsJ98</t>
  </si>
  <si>
    <t>1570730827694</t>
  </si>
  <si>
    <t>-LqqqguUX5aRnmr7Xizf</t>
  </si>
  <si>
    <t>1570730854912</t>
  </si>
  <si>
    <t>-LqqqiOVhJjSMpz54OSD</t>
  </si>
  <si>
    <t>1570730861050</t>
  </si>
  <si>
    <t>-LqqqjuzvVHGlfIhroJn</t>
  </si>
  <si>
    <t>1570730867215</t>
  </si>
  <si>
    <t>-LqqqlQPF6RlROxmu87R</t>
  </si>
  <si>
    <t>1570730873381</t>
  </si>
  <si>
    <t>-Lqqqmwjwh6Qi_KIj5r2</t>
  </si>
  <si>
    <t>1570730879611</t>
  </si>
  <si>
    <t>-Lqqqog-wyTKs7r0xC_b</t>
  </si>
  <si>
    <t>1570730886816</t>
  </si>
  <si>
    <t>-LqqqqCU5hpLdBUxfmLt</t>
  </si>
  <si>
    <t>1570730892976</t>
  </si>
  <si>
    <t>-Lqqqrhk-In3csg3W3tn</t>
  </si>
  <si>
    <t>1570730899137</t>
  </si>
  <si>
    <t>-LqqqtCuIXnVtzXl6USO</t>
  </si>
  <si>
    <t>1570730905297</t>
  </si>
  <si>
    <t>-LqqquiGmKRoNU-ZXJCy</t>
  </si>
  <si>
    <t>1570730911531</t>
  </si>
  <si>
    <t>-LqqqwEjX1SY0I-qiq_Q</t>
  </si>
  <si>
    <t>1570730917697</t>
  </si>
  <si>
    <t>-Lqqqxk-3kx_3w_LBU0-</t>
  </si>
  <si>
    <t>1570730923921</t>
  </si>
  <si>
    <t>-LqqqzGH5Zg4pzafWyLr</t>
  </si>
  <si>
    <t>1570730930093</t>
  </si>
  <si>
    <t>-Lqqr-ljvgkM3cOQjD3A</t>
  </si>
  <si>
    <t>1570730936257</t>
  </si>
  <si>
    <t>-Lqqr1dpCHda97hHx8ut</t>
  </si>
  <si>
    <t>1570730942416</t>
  </si>
  <si>
    <t>-Lqqr3Hn16k4ZWLmYpVB</t>
  </si>
  <si>
    <t>1570730950656</t>
  </si>
  <si>
    <t>-Lqqr4oFLsPxQvhTLqqm</t>
  </si>
  <si>
    <t>1570730956896</t>
  </si>
  <si>
    <t>-Lqqr6IDKLLbT2x4EU16</t>
  </si>
  <si>
    <t>1570730963015</t>
  </si>
  <si>
    <t>-Lqqr7oRVLbHJa9VpE-q</t>
  </si>
  <si>
    <t>1570730969215</t>
  </si>
  <si>
    <t>-Lqqr9K-4fXGhi0RWIxf</t>
  </si>
  <si>
    <t>1570730975380</t>
  </si>
  <si>
    <t>-LqqrAqVyFlSFSCSHVE8</t>
  </si>
  <si>
    <t>1570730981616</t>
  </si>
  <si>
    <t>-LqqrCKVrdtivzIPT3fT</t>
  </si>
  <si>
    <t>1570730987771</t>
  </si>
  <si>
    <t>-LqqrDquSc9ByTjvp6hg</t>
  </si>
  <si>
    <t>1570730993935</t>
  </si>
  <si>
    <t>-LqqrFMEMIYKvQK1vhk9</t>
  </si>
  <si>
    <t>1570731000155</t>
  </si>
  <si>
    <t>-LqqrGsk3GJNG7cT1KNJ</t>
  </si>
  <si>
    <t>1570731006335</t>
  </si>
  <si>
    <t>-LqqrINoHAWcKXNosLP4</t>
  </si>
  <si>
    <t>1570731012498</t>
  </si>
  <si>
    <t>-LqqrJrzCu__eGRBX6Vd</t>
  </si>
  <si>
    <t>1570731018657</t>
  </si>
  <si>
    <t>-LqqrLPigvjYLwlvgr6b</t>
  </si>
  <si>
    <t>1570731024896</t>
  </si>
  <si>
    <t>-LqqrMtkjGUiVZkjPokc</t>
  </si>
  <si>
    <t>1570731031021</t>
  </si>
  <si>
    <t>-LqqrOX50W9OSGvK0pda</t>
  </si>
  <si>
    <t>1570731037298</t>
  </si>
  <si>
    <t>-LqqrQAjdgQ9UkcaaLZi</t>
  </si>
  <si>
    <t>1570731044414</t>
  </si>
  <si>
    <t>-LqqrRiVvpcEf5UB64PG</t>
  </si>
  <si>
    <t>1570731050655</t>
  </si>
  <si>
    <t>-LqqrTTqw4bR3M7cfTfG</t>
  </si>
  <si>
    <t>1570731057857</t>
  </si>
  <si>
    <t>-LqqrVBwt4l2KipbpRBb</t>
  </si>
  <si>
    <t>1570731064000</t>
  </si>
  <si>
    <t>-LqqrWiQTlRLTbHthViX</t>
  </si>
  <si>
    <t>1570731071211</t>
  </si>
  <si>
    <t>-LqqrYDglMHd4MVhNYMk</t>
  </si>
  <si>
    <t>1570731077437</t>
  </si>
  <si>
    <t>-LqqrZkBPcFlR0aatLKd</t>
  </si>
  <si>
    <t>1570731083611</t>
  </si>
  <si>
    <t>-LqqraFPJBzRVFZVPh9P</t>
  </si>
  <si>
    <t>1570731089824</t>
  </si>
  <si>
    <t>-Lqqrbk__idlQSykIzrS</t>
  </si>
  <si>
    <t>1570731095933</t>
  </si>
  <si>
    <t>-LqqrdGq-laz_2emVK2W</t>
  </si>
  <si>
    <t>1570731102174</t>
  </si>
  <si>
    <t>-LqqremPp5nsVIXvjtd7</t>
  </si>
  <si>
    <t>1570731108332</t>
  </si>
  <si>
    <t>-LqqrgHgMVy-4gNA32Ia</t>
  </si>
  <si>
    <t>1570731114492</t>
  </si>
  <si>
    <t>-LqqrhleRIGb_3KhiRVl</t>
  </si>
  <si>
    <t>1570731120657</t>
  </si>
  <si>
    <t>-LqqrjI9n22ho_uriHrC</t>
  </si>
  <si>
    <t>1570731126885</t>
  </si>
  <si>
    <t>-LqqrknSF7F4HyW6nx1T</t>
  </si>
  <si>
    <t>1570731133047</t>
  </si>
  <si>
    <t>-LqqrmJwSH2dv8-Z3oiy</t>
  </si>
  <si>
    <t>1570731139214</t>
  </si>
  <si>
    <t>-LqqrnpAdTPRUuM9E22x</t>
  </si>
  <si>
    <t>1570731145437</t>
  </si>
  <si>
    <t>-LqqrpLhKwTu0YKy_Fus</t>
  </si>
  <si>
    <t>1570731151612</t>
  </si>
  <si>
    <t>-LqqrqqvdMpGpbpUdNQE</t>
  </si>
  <si>
    <t>1570731157771</t>
  </si>
  <si>
    <t>-LqqrsfC2GW7fb2Wn1Ud</t>
  </si>
  <si>
    <t>1570731163937</t>
  </si>
  <si>
    <t>-LqqruMujIbxDHUNaVbV</t>
  </si>
  <si>
    <t>1570731172178</t>
  </si>
  <si>
    <t>-LqqrvtPs0myyCZngz0p</t>
  </si>
  <si>
    <t>1570731178410</t>
  </si>
  <si>
    <t>-Lqqrxf9CljYLZ5ViuPu</t>
  </si>
  <si>
    <t>1570731184572</t>
  </si>
  <si>
    <t>-LqqrzQfsCn_992YmH2Z</t>
  </si>
  <si>
    <t>1570731192810</t>
  </si>
  <si>
    <t>-Lqqs0BALQoXWg4GVXgu</t>
  </si>
  <si>
    <t>1570731200011</t>
  </si>
  <si>
    <t>-Lqqs1fAJyWv1PBgJAfe</t>
  </si>
  <si>
    <t>1570731206170</t>
  </si>
  <si>
    <t>-Lqqs3BfwWDYkohoO8uI</t>
  </si>
  <si>
    <t>1570731212411</t>
  </si>
  <si>
    <t>-Lqqs4guqI1uzVgnDM0B</t>
  </si>
  <si>
    <t>1570731218570</t>
  </si>
  <si>
    <t>-Lqqs6CAqhGhV0qeEuD2</t>
  </si>
  <si>
    <t>1570731224730</t>
  </si>
  <si>
    <t>-Lqqs7hR4eMP3-7uEgVI</t>
  </si>
  <si>
    <t>1570731230970</t>
  </si>
  <si>
    <t>-Lqqs9DuIQbPN_L9Hddi</t>
  </si>
  <si>
    <t>1570731237125</t>
  </si>
  <si>
    <t>-LqqsAj9Xa-mmrieWj3o</t>
  </si>
  <si>
    <t>1570731243293</t>
  </si>
  <si>
    <t>-LqqsCEM31KhmIi8JHyM</t>
  </si>
  <si>
    <t>1570731249455</t>
  </si>
  <si>
    <t>-LqqsDkxuM8SNUlBfIw3</t>
  </si>
  <si>
    <t>1570731255691</t>
  </si>
  <si>
    <t>-LqqsFcuP_0QMLp15LvY</t>
  </si>
  <si>
    <t>1570731263387</t>
  </si>
  <si>
    <t>-LqqsHHPrUn9rEWYMU-9</t>
  </si>
  <si>
    <t>1570731270123</t>
  </si>
  <si>
    <t>-LqqsJ29A_RMsgbPzmyM</t>
  </si>
  <si>
    <t>1570731276261</t>
  </si>
  <si>
    <t>-LqqsKav7tohtaBqVWFv</t>
  </si>
  <si>
    <t>1570731283795</t>
  </si>
  <si>
    <t>-LqqsMIft1F1N0PE9SdE</t>
  </si>
  <si>
    <t>1570731290683</t>
  </si>
  <si>
    <t>-LqqsNp4fesDFaa991rc</t>
  </si>
  <si>
    <t>1570731296906</t>
  </si>
  <si>
    <t>-LqqsPJElcMO7dSJo-86</t>
  </si>
  <si>
    <t>1570731303008</t>
  </si>
  <si>
    <t>-LqqsQph6ZvPMAmX-cV1</t>
  </si>
  <si>
    <t>1570731309243</t>
  </si>
  <si>
    <t>-LqqsSL9RSWNdLPl0uZ6</t>
  </si>
  <si>
    <t>1570731315406</t>
  </si>
  <si>
    <t>-LqqsTrO3hvuNaFISGPo</t>
  </si>
  <si>
    <t>1570731321641</t>
  </si>
  <si>
    <t>-LqqsVQjXVDduziNiult</t>
  </si>
  <si>
    <t>1570731328105</t>
  </si>
  <si>
    <t>-LqqsX79pSEpaMVLKOkC</t>
  </si>
  <si>
    <t>1570731335003</t>
  </si>
  <si>
    <t>-LqqsYcBLP8ZiocWdXro</t>
  </si>
  <si>
    <t>1570731341161</t>
  </si>
  <si>
    <t>-Lqqs_A8yiLXOahS1lo4</t>
  </si>
  <si>
    <t>1570731347402</t>
  </si>
  <si>
    <t>-LqqsactT4sKpqcUfrWZ</t>
  </si>
  <si>
    <t>1570731353546</t>
  </si>
  <si>
    <t>-Lqqsc9Wq5V8B_HFzkt6</t>
  </si>
  <si>
    <t>1570731359723</t>
  </si>
  <si>
    <t>-LqqsddQmPN2PGUwZ7oA</t>
  </si>
  <si>
    <t>1570731365877</t>
  </si>
  <si>
    <t>-LqqsfAmjJwXhs9LyDRZ</t>
  </si>
  <si>
    <t>1570731372122</t>
  </si>
  <si>
    <t>-LqqsggQqdSFwrjNoS6y</t>
  </si>
  <si>
    <t>1570731378282</t>
  </si>
  <si>
    <t>-LqqsiBdasOGTkjy_nmz</t>
  </si>
  <si>
    <t>1570731384441</t>
  </si>
  <si>
    <t>-Lqqsjgt3ZM6kAhBgfo6</t>
  </si>
  <si>
    <t>1570731390606</t>
  </si>
  <si>
    <t>-LqqslDPAP6nAyHiuOEl</t>
  </si>
  <si>
    <t>1570731396843</t>
  </si>
  <si>
    <t>-LqqsmhJMbyRS3ISu4Kd</t>
  </si>
  <si>
    <t>1570731402986</t>
  </si>
  <si>
    <t>-LqqsoDtxhovs1AB56_I</t>
  </si>
  <si>
    <t>1570731409163</t>
  </si>
  <si>
    <t>-LqqspkO7FrVleziG5aS</t>
  </si>
  <si>
    <t>1570731415398</t>
  </si>
  <si>
    <t>-LqqsrIAzR3OA39cjmFR</t>
  </si>
  <si>
    <t>1570731421563</t>
  </si>
  <si>
    <t>-Lqqst2PYf0CU00Ycypd</t>
  </si>
  <si>
    <t>1570731428761</t>
  </si>
  <si>
    <t>-LqqsulfbEn7otjoYKul</t>
  </si>
  <si>
    <t>1570731435963</t>
  </si>
  <si>
    <t>-LqqswIAJ5fedt8XNojj</t>
  </si>
  <si>
    <t>1570731442126</t>
  </si>
  <si>
    <t>-LqqsxmEYWARfsdssqq6</t>
  </si>
  <si>
    <t>1570731448287</t>
  </si>
  <si>
    <t>-LqqszIf4XvmrSNTokah</t>
  </si>
  <si>
    <t>1570731454524</t>
  </si>
  <si>
    <t>-Lqqt-nbeueAmSb_Mk6g</t>
  </si>
  <si>
    <t>1570731460683</t>
  </si>
  <si>
    <t>-Lqqt1YJqppCzYz1Cr3H</t>
  </si>
  <si>
    <t>1570731466903</t>
  </si>
  <si>
    <t>-Lqqt368reoKqRCfUp-B</t>
  </si>
  <si>
    <t>1570731474123</t>
  </si>
  <si>
    <t>-Lqqt4qNzdHPJRO0Fw8j</t>
  </si>
  <si>
    <t>1570731481317</t>
  </si>
  <si>
    <t>-Lqqt6KM4lSZOvjB9gC2</t>
  </si>
  <si>
    <t>1570731487461</t>
  </si>
  <si>
    <t>-Lqqt87P8bh-BIU_VuEb</t>
  </si>
  <si>
    <t>1570731494777</t>
  </si>
  <si>
    <t>-Lqqt9cZhmmauCqkhXpg</t>
  </si>
  <si>
    <t>1570731500846</t>
  </si>
  <si>
    <t>-LqqtB4S6YbhffMbkW8x</t>
  </si>
  <si>
    <t>1570731507032</t>
  </si>
  <si>
    <t>-LqqtCao4p1XlLpDiYNF</t>
  </si>
  <si>
    <t>1570731513241</t>
  </si>
  <si>
    <t>-LqqtE8PF1_n3i6yvJ6Q</t>
  </si>
  <si>
    <t>1570731519402</t>
  </si>
  <si>
    <t>-LqqtFet02V__NPch2fj</t>
  </si>
  <si>
    <t>1570731525647</t>
  </si>
  <si>
    <t>-LqqtH8utiywvibzDM_W</t>
  </si>
  <si>
    <t>1570731531801</t>
  </si>
  <si>
    <t>-LqqtIfDW3b5BiPcs5aO</t>
  </si>
  <si>
    <t>1570731537962</t>
  </si>
  <si>
    <t>-LqqtKAd552Fu4XC83lv</t>
  </si>
  <si>
    <t>1570731544183</t>
  </si>
  <si>
    <t>-LqqtLh8Um6bHtaFlwo5</t>
  </si>
  <si>
    <t>1570731550361</t>
  </si>
  <si>
    <t>-LqqtNB8RyFEktu2sqRO</t>
  </si>
  <si>
    <t>1570731556521</t>
  </si>
  <si>
    <t>-LqqtOwUwWyvQAK0lwFL</t>
  </si>
  <si>
    <t>1570731562684</t>
  </si>
  <si>
    <t>-LqqtQUQ0WfeaB8Z0pxK</t>
  </si>
  <si>
    <t>1570731569892</t>
  </si>
  <si>
    <t>-LqqtRyPV_JqksMSWWHi</t>
  </si>
  <si>
    <t>1570731576046</t>
  </si>
  <si>
    <t>-LqqtTUb9JOIqLI4c_xP</t>
  </si>
  <si>
    <t>1570731582282</t>
  </si>
  <si>
    <t>-LqqtV0JDbwVet_DEySC</t>
  </si>
  <si>
    <t>1570731588442</t>
  </si>
  <si>
    <t>-LqqtWWcH7euS7s9-gvA</t>
  </si>
  <si>
    <t>1570731594681</t>
  </si>
  <si>
    <t>-LqqtY0srowELD-2fXbd</t>
  </si>
  <si>
    <t>1570731600841</t>
  </si>
  <si>
    <t>-LqqtZZdzZJERzxSURsL</t>
  </si>
  <si>
    <t>1570731607002</t>
  </si>
  <si>
    <t>-LqqtaGpNOuRybfCV9WE</t>
  </si>
  <si>
    <t>1570731614200</t>
  </si>
  <si>
    <t>-Lqqtbn3Qt1PKjemQEfV</t>
  </si>
  <si>
    <t>1570731620428</t>
  </si>
  <si>
    <t>-LqqtdJPLEb-PEnRpIqr</t>
  </si>
  <si>
    <t>1570731626604</t>
  </si>
  <si>
    <t>-LqqteoclTvRf1mKSqqu</t>
  </si>
  <si>
    <t>1570731632763</t>
  </si>
  <si>
    <t>-LqqtgJtD57E-beyufZx</t>
  </si>
  <si>
    <t>1570731638922</t>
  </si>
  <si>
    <t>-LqqthqJcYzKr8TP6VTz</t>
  </si>
  <si>
    <t>1570731645156</t>
  </si>
  <si>
    <t>-LqqtjKOpiR_90FVdQiz</t>
  </si>
  <si>
    <t>1570731651301</t>
  </si>
  <si>
    <t>-Lqqtl4u4dc1JZTzueVg</t>
  </si>
  <si>
    <t>1570731658522</t>
  </si>
  <si>
    <t>-LqqtmbK1u5IhxS1HC9g</t>
  </si>
  <si>
    <t>1570731664682</t>
  </si>
  <si>
    <t>-Lqqto7uLHn8xb2Qe3XM</t>
  </si>
  <si>
    <t>1570731670921</t>
  </si>
  <si>
    <t>-Lqqtpd7G6P1HDfSxYZV</t>
  </si>
  <si>
    <t>1570731677080</t>
  </si>
  <si>
    <t>-Lqqtr8OciYZUX0Glta4</t>
  </si>
  <si>
    <t>1570731683242</t>
  </si>
  <si>
    <t>-LqqtsqdGYZw6iGz_ZQY</t>
  </si>
  <si>
    <t>1570731689407</t>
  </si>
  <si>
    <t>-LqqtuPBDGk0XJtur2De</t>
  </si>
  <si>
    <t>1570731696677</t>
  </si>
  <si>
    <t>-LqqtwDDuJKi5NLqCoke</t>
  </si>
  <si>
    <t>1570731702806</t>
  </si>
  <si>
    <t>-Lqqtxv6poarkrYiMs4j</t>
  </si>
  <si>
    <t>1570731711085</t>
  </si>
  <si>
    <t>-LqqtzRgskUySBqNX7Qd</t>
  </si>
  <si>
    <t>1570731717243</t>
  </si>
  <si>
    <t>-Lqqu-wgT7WiF9TByqoz</t>
  </si>
  <si>
    <t>1570731723419</t>
  </si>
  <si>
    <t>-Lqqu1TUmNV_0siJXDiu</t>
  </si>
  <si>
    <t>1570731729644</t>
  </si>
  <si>
    <t>-Lqqu2xRpmnA9TrJocLW</t>
  </si>
  <si>
    <t>1570731735783</t>
  </si>
  <si>
    <t>-Lqqu4VBCZjNIgbK3nPC</t>
  </si>
  <si>
    <t>1570731741963</t>
  </si>
  <si>
    <t>-Lqqu5xwMAAQ0ZOBJ2VJ</t>
  </si>
  <si>
    <t>1570731748183</t>
  </si>
  <si>
    <t>-Lqqu7VbDWOkXdruc9_n</t>
  </si>
  <si>
    <t>1570731754365</t>
  </si>
  <si>
    <t>-Lqqu9-rOB4iu2ktLjb8</t>
  </si>
  <si>
    <t>1570731760523</t>
  </si>
  <si>
    <t>-LqquAW5YaQaKU9bfrmd</t>
  </si>
  <si>
    <t>1570731766689</t>
  </si>
  <si>
    <t>-LqquC1gXIaQhiYF8ao2</t>
  </si>
  <si>
    <t>1570731772903</t>
  </si>
  <si>
    <t>-LqquDZB3zvIeTt1prwO</t>
  </si>
  <si>
    <t>1570731779084</t>
  </si>
  <si>
    <t>-LqquFIS7xYkywS9yhP1</t>
  </si>
  <si>
    <t>1570731786285</t>
  </si>
  <si>
    <t>-LqquGniA4barcbozJvz</t>
  </si>
  <si>
    <t>1570731792445</t>
  </si>
  <si>
    <t>-LqquIIdeTHlb5o69ARz</t>
  </si>
  <si>
    <t>1570731798630</t>
  </si>
  <si>
    <t>-LqquJoCYP6zBrJINSUi</t>
  </si>
  <si>
    <t>1570731804815</t>
  </si>
  <si>
    <t>-LqquLKg7ULRgZa8bVOp</t>
  </si>
  <si>
    <t>1570731811004</t>
  </si>
  <si>
    <t>-LqquN6RDMwb0io4rzw1</t>
  </si>
  <si>
    <t>1570731818344</t>
  </si>
  <si>
    <t>-LqquObhhzddd6fPxIqo</t>
  </si>
  <si>
    <t>1570731824370</t>
  </si>
  <si>
    <t>-LqquQ6cboxROXjDOeb1</t>
  </si>
  <si>
    <t>1570731830609</t>
  </si>
  <si>
    <t>-LqquRmAGU2KTuIOPD4d</t>
  </si>
  <si>
    <t>1570731837390</t>
  </si>
  <si>
    <t>-LqquTNhHlWXJZM9wMHH</t>
  </si>
  <si>
    <t>1570731843969</t>
  </si>
  <si>
    <t>-LqquUu6_9b7hrkc8pqT</t>
  </si>
  <si>
    <t>1570731850203</t>
  </si>
  <si>
    <t>-LqquWQfcCYNi9ryK9ZL</t>
  </si>
  <si>
    <t>1570731856359</t>
  </si>
  <si>
    <t>-LqquY9wL9_U1numjN4m</t>
  </si>
  <si>
    <t>1570731863564</t>
  </si>
  <si>
    <t>-LqquZfAgs3FjsD-K6iE</t>
  </si>
  <si>
    <t>1570731869728</t>
  </si>
  <si>
    <t>-LqquaBlq31PR0bHvtP8</t>
  </si>
  <si>
    <t>1570731875964</t>
  </si>
  <si>
    <t>-Lqqubgx78N0WW-FpGne</t>
  </si>
  <si>
    <t>1570731882193</t>
  </si>
  <si>
    <t>-LqqudC_1K6WTCy6esUv</t>
  </si>
  <si>
    <t>1570731888287</t>
  </si>
  <si>
    <t>-LqquehQL-sH0illje0f</t>
  </si>
  <si>
    <t>1570731894463</t>
  </si>
  <si>
    <t>-LqqugDvX7giMZ6H4sE9</t>
  </si>
  <si>
    <t>1570731900680</t>
  </si>
  <si>
    <t>-LqquhjCU93d6mq5KAzb</t>
  </si>
  <si>
    <t>1570731906843</t>
  </si>
  <si>
    <t>-LqqujW5lKeWAKbelEv1</t>
  </si>
  <si>
    <t>1570731913005</t>
  </si>
  <si>
    <t>-LqqukydoDO3B3tv8ZtO</t>
  </si>
  <si>
    <t>1570731920207</t>
  </si>
  <si>
    <t>-LqqumVCG0SsyB5-03_6</t>
  </si>
  <si>
    <t>1570731926441</t>
  </si>
  <si>
    <t>-LqquoHODZ96YZcA8AH5</t>
  </si>
  <si>
    <t>1570731932601</t>
  </si>
  <si>
    <t>-LqqupltdO6Wyixc1pkj</t>
  </si>
  <si>
    <t>1570731939781</t>
  </si>
  <si>
    <t>-LqqurH7N44cG2Uy6F6e</t>
  </si>
  <si>
    <t>1570731946024</t>
  </si>
  <si>
    <t>-Lqqusnd1Kt0kcvtN5AW</t>
  </si>
  <si>
    <t>1570731952188</t>
  </si>
  <si>
    <t>-LqquuGOf1f7vC2c0WiY</t>
  </si>
  <si>
    <t>1570731958346</t>
  </si>
  <si>
    <t>-LqquvnuJUxwi2reN4im</t>
  </si>
  <si>
    <t>1570731964572</t>
  </si>
  <si>
    <t>-LqquxJIKXoumq1Ms_FA</t>
  </si>
  <si>
    <t>1570731970740</t>
  </si>
  <si>
    <t>-Lqquypsbn556B6j5T8p</t>
  </si>
  <si>
    <t>1570731976970</t>
  </si>
  <si>
    <t>-Lqqv-JsowtSv-0ER1lh</t>
  </si>
  <si>
    <t>1570731983066</t>
  </si>
  <si>
    <t>-Lqqv0rcUSMKUXv4gHQt</t>
  </si>
  <si>
    <t>1570731989306</t>
  </si>
  <si>
    <t>-Lqqv2LdhO7DIbVntVo-</t>
  </si>
  <si>
    <t>1570731995465</t>
  </si>
  <si>
    <t>-Lqqv3qt_wuQIwqqOwMc</t>
  </si>
  <si>
    <t>1570732001626</t>
  </si>
  <si>
    <t>-Lqqv5OEw7k5vuk4R8FJ</t>
  </si>
  <si>
    <t>1570732007796</t>
  </si>
  <si>
    <t>-Lqqv6texj7DCoGASnBk</t>
  </si>
  <si>
    <t>1570732014025</t>
  </si>
  <si>
    <t>-Lqqv8NtMdlNzkfB4UC0</t>
  </si>
  <si>
    <t>1570732020185</t>
  </si>
  <si>
    <t>-Lqqv9uPPtHeELIwkv0e</t>
  </si>
  <si>
    <t>1570732026346</t>
  </si>
  <si>
    <t>-LqqvBPiotSezqgK4edK</t>
  </si>
  <si>
    <t>1570732032584</t>
  </si>
  <si>
    <t>-LqqvDDtVGGL0oecZ7Jl</t>
  </si>
  <si>
    <t>1570732040019</t>
  </si>
  <si>
    <t>-LqqvEveNts5hosVuE0M</t>
  </si>
  <si>
    <t>1570732046984</t>
  </si>
  <si>
    <t>-LqqvGQshVDkKFLuyOa7</t>
  </si>
  <si>
    <t>1570732053146</t>
  </si>
  <si>
    <t>-LqqvHxOD2y0UQoH_FQR</t>
  </si>
  <si>
    <t>1570732059309</t>
  </si>
  <si>
    <t>-LqqvJTzrpkjo5H_Zy-s</t>
  </si>
  <si>
    <t>1570732065540</t>
  </si>
  <si>
    <t>-LqqvLEUSyZmOCOdk10E</t>
  </si>
  <si>
    <t>1570732072745</t>
  </si>
  <si>
    <t>-LqqvN59cQJqrzOdqrpr</t>
  </si>
  <si>
    <t>1570732078906</t>
  </si>
  <si>
    <t>-LqqvOkFNK1dFhhYPVYF</t>
  </si>
  <si>
    <t>1570732087145</t>
  </si>
  <si>
    <t>-LqqvQI3SQ7Ns0Gx-ki7</t>
  </si>
  <si>
    <t>1570732093311</t>
  </si>
  <si>
    <t>-LqqvRku6T7HTkd_hE4k</t>
  </si>
  <si>
    <t>1570732099470</t>
  </si>
  <si>
    <t>-LqqvTGBJNXLXLYu4lbr</t>
  </si>
  <si>
    <t>1570732105705</t>
  </si>
  <si>
    <t>-LqqvUlQsJbPBjToXhQS</t>
  </si>
  <si>
    <t>1570732111865</t>
  </si>
  <si>
    <t>-LqqvWPNqDxw4UC1H_76</t>
  </si>
  <si>
    <t>1570732118513</t>
  </si>
  <si>
    <t>-LqqvY4o6tHVtS0uF7vL</t>
  </si>
  <si>
    <t>1570732125301</t>
  </si>
  <si>
    <t>-LqqvZreXUqUyWzeIVfA</t>
  </si>
  <si>
    <t>1570732132680</t>
  </si>
  <si>
    <t>-Lqqva__zcY_3hZqr3mr</t>
  </si>
  <si>
    <t>1570732139704</t>
  </si>
  <si>
    <t>-Lqqvc4tjvYGCf0mffPA</t>
  </si>
  <si>
    <t>1570732145866</t>
  </si>
  <si>
    <t>-Lqqvda8IvTP3GJ7htbH</t>
  </si>
  <si>
    <t>1570732152100</t>
  </si>
  <si>
    <t>-LqqvfLdhyDJUVrnDO6I</t>
  </si>
  <si>
    <t>1570732158261</t>
  </si>
  <si>
    <t>-LqqvgsE59JcYwAzMswF</t>
  </si>
  <si>
    <t>1570732165466</t>
  </si>
  <si>
    <t>-LqqviNOzDmvj7UJJ3S0</t>
  </si>
  <si>
    <t>1570732171626</t>
  </si>
  <si>
    <t>-LqqvjseRR9IcpxPlWaJ</t>
  </si>
  <si>
    <t>1570732177786</t>
  </si>
  <si>
    <t>-LqqvlP9mefQg3E7ihjC</t>
  </si>
  <si>
    <t>1570732184025</t>
  </si>
  <si>
    <t>-LqqvmuPqu2b-0VqKfKQ</t>
  </si>
  <si>
    <t>1570732190187</t>
  </si>
  <si>
    <t>-LqqvoP_ILq7MmSkxsKJ</t>
  </si>
  <si>
    <t>1570732196350</t>
  </si>
  <si>
    <t>-LqqvqBOByRLUqidvxEg</t>
  </si>
  <si>
    <t>1570732203625</t>
  </si>
  <si>
    <t>-LqqvrgfbzxHy88LwH9_</t>
  </si>
  <si>
    <t>1570732209787</t>
  </si>
  <si>
    <t>-LqqvtD9a8BDdrxBRrg9</t>
  </si>
  <si>
    <t>1570732215946</t>
  </si>
  <si>
    <t>-LqqvuxOlD8wN-oJhwnJ</t>
  </si>
  <si>
    <t>1570732223152</t>
  </si>
  <si>
    <t>-LqqvwTu4hJcxamfE4Td</t>
  </si>
  <si>
    <t>1570732229385</t>
  </si>
  <si>
    <t>-Lqqvy5QrK0M8kjbnp03</t>
  </si>
  <si>
    <t>1570732235551</t>
  </si>
  <si>
    <t>-LqqvzjZkG2TDVH_vhlh</t>
  </si>
  <si>
    <t>1570732242746</t>
  </si>
  <si>
    <t>-Lqqw0De6un5h3_NJAI9</t>
  </si>
  <si>
    <t>1570732248906</t>
  </si>
  <si>
    <t>-Lqqw1k3Ha3cZKlx2D0P</t>
  </si>
  <si>
    <t>1570732255130</t>
  </si>
  <si>
    <t>-Lqqw3FKY0P-tna00vfT</t>
  </si>
  <si>
    <t>1570732261277</t>
  </si>
  <si>
    <t>-Lqqw4lnQ3XOq35S-mL5</t>
  </si>
  <si>
    <t>1570732267466</t>
  </si>
  <si>
    <t>-Lqqw6H8cK294GTqmQXd</t>
  </si>
  <si>
    <t>1570732273626</t>
  </si>
  <si>
    <t>-Lqqw7nVjh4qPtyKc4VM</t>
  </si>
  <si>
    <t>1570732279861</t>
  </si>
  <si>
    <t>-Lqqw9IpQZ9_LURxgNVv</t>
  </si>
  <si>
    <t>1570732286024</t>
  </si>
  <si>
    <t>-LqqwAo9xK2IgA7WiAgP</t>
  </si>
  <si>
    <t>1570732292191</t>
  </si>
  <si>
    <t>-LqqwCJQ1DM4FsmDQ1Fu</t>
  </si>
  <si>
    <t>1570732298410</t>
  </si>
  <si>
    <t>-LqqwDocn547kkWQnfSF</t>
  </si>
  <si>
    <t>1570732304541</t>
  </si>
  <si>
    <t>-LqqwFL8l7RN4ApmkuWF</t>
  </si>
  <si>
    <t>1570732310746</t>
  </si>
  <si>
    <t>-LqqwGqPsMmbMmM0LoQE</t>
  </si>
  <si>
    <t>1570732316906</t>
  </si>
  <si>
    <t>-LqqwIMs6wqFMEpSsFHI</t>
  </si>
  <si>
    <t>1570732323146</t>
  </si>
  <si>
    <t>-LqqwJs9q-UKZXaGmu9X</t>
  </si>
  <si>
    <t>1570732329306</t>
  </si>
  <si>
    <t>-LqqwLNOpwUOyzOX6Tgt</t>
  </si>
  <si>
    <t>1570732335466</t>
  </si>
  <si>
    <t>-LqqwN9AshrpJWrptp65</t>
  </si>
  <si>
    <t>1570732341636</t>
  </si>
  <si>
    <t>-LqqwOd5n3nko4DeeCU6</t>
  </si>
  <si>
    <t>1570732348828</t>
  </si>
  <si>
    <t>-LqqwQ9amAvMyV_ClEDf</t>
  </si>
  <si>
    <t>1570732355063</t>
  </si>
  <si>
    <t>-LqqwRewL4tcULI8gOOm</t>
  </si>
  <si>
    <t>1570732361229</t>
  </si>
  <si>
    <t>-LqqwTACobO07DDtD1av</t>
  </si>
  <si>
    <t>1570732367409</t>
  </si>
  <si>
    <t>-LqqwUgfUvavnzlm2b3S</t>
  </si>
  <si>
    <t>1570732373628</t>
  </si>
  <si>
    <t>-LqqwWBw33OaCRtbMsDy</t>
  </si>
  <si>
    <t>1570732379788</t>
  </si>
  <si>
    <t>-LqqwXhBSG-IrGDtq7Ti</t>
  </si>
  <si>
    <t>1570732385960</t>
  </si>
  <si>
    <t>-LqqwZDfYCKtKx1XzzZZ</t>
  </si>
  <si>
    <t>1570732392202</t>
  </si>
  <si>
    <t>-Lqqw_lRGuf5I4DZsoTq</t>
  </si>
  <si>
    <t>1570732398348</t>
  </si>
  <si>
    <t>-LqqwbUT94lqUbXhqPIz</t>
  </si>
  <si>
    <t>1570732405544</t>
  </si>
  <si>
    <t>-Lqqwczg5Gnwd94PWGs_</t>
  </si>
  <si>
    <t>1570732411704</t>
  </si>
  <si>
    <t>-LqqweW8Y4O8gX19nbGI</t>
  </si>
  <si>
    <t>1570732417949</t>
  </si>
  <si>
    <t>-Lqqwg0S1cvatRWfxk3C</t>
  </si>
  <si>
    <t>1570732424108</t>
  </si>
  <si>
    <t>-LqqwhWgTyRcXmLfxFUM</t>
  </si>
  <si>
    <t>1570732430267</t>
  </si>
  <si>
    <t>-Lqqwj0xyNa7z2IgzqhR</t>
  </si>
  <si>
    <t>1570732436429</t>
  </si>
  <si>
    <t>-LqqwkoxcxZh51XIeQj8</t>
  </si>
  <si>
    <t>1570732442667</t>
  </si>
  <si>
    <t>-Lqqwm_Rba33VPozP_SR</t>
  </si>
  <si>
    <t>1570732450908</t>
  </si>
  <si>
    <t>-LqqwoJhCkWAEGGBCvO9</t>
  </si>
  <si>
    <t>1570732458108</t>
  </si>
  <si>
    <t>-LqqwpoyAZChi_aPGh9s</t>
  </si>
  <si>
    <t>1570732464288</t>
  </si>
  <si>
    <t>-LqqwrKC0gZF5x9PPMf8</t>
  </si>
  <si>
    <t>1570732470429</t>
  </si>
  <si>
    <t>-LqqwsrKeHohqjrlOfmY</t>
  </si>
  <si>
    <t>1570732476663</t>
  </si>
  <si>
    <t>-LqqwuM0aY-x-YuFa-UR</t>
  </si>
  <si>
    <t>1570732482824</t>
  </si>
  <si>
    <t>-LqqwvrAtHi-da4YrLL2</t>
  </si>
  <si>
    <t>1570732488989</t>
  </si>
  <si>
    <t>-Lqqwxam5aTl0bywJLA9</t>
  </si>
  <si>
    <t>1570732495259</t>
  </si>
  <si>
    <t>-Lqqwz8FD-iyUCeG24M3</t>
  </si>
  <si>
    <t>1570732502422</t>
  </si>
  <si>
    <t>-Lqqx-dQ4J7VLqoiZ4oc</t>
  </si>
  <si>
    <t>1570732508589</t>
  </si>
  <si>
    <t>-Lqqx18hD-1tkjpM9k8Z</t>
  </si>
  <si>
    <t>1570732514749</t>
  </si>
  <si>
    <t>-Lqqx2dxb5IBbbgtPTHU</t>
  </si>
  <si>
    <t>1570732520973</t>
  </si>
  <si>
    <t>-Lqqx4ASktcJw3ltPOWw</t>
  </si>
  <si>
    <t>1570732527148</t>
  </si>
  <si>
    <t>-Lqqx5n6MpeIgHK5tcTB</t>
  </si>
  <si>
    <t>1570732533844</t>
  </si>
  <si>
    <t>-Lqqx7RHtIaRNvd4gEfM</t>
  </si>
  <si>
    <t>1570732540514</t>
  </si>
  <si>
    <t>-Lqqx8wQn5SXkhBAQ7An</t>
  </si>
  <si>
    <t>1570732546668</t>
  </si>
  <si>
    <t>-LqqxAkwy5yPKeRUQPTS</t>
  </si>
  <si>
    <t>1570732552904</t>
  </si>
  <si>
    <t>-LqqxCSQuLOSzkFc3xMT</t>
  </si>
  <si>
    <t>1570732561147</t>
  </si>
  <si>
    <t>-LqqxDyvuRLP69pfBdgl</t>
  </si>
  <si>
    <t>1570732567307</t>
  </si>
  <si>
    <t>-LqqxFUBfw__p1v2NGhW</t>
  </si>
  <si>
    <t>1570732573469</t>
  </si>
  <si>
    <t>-LqqxH-f5M4AQMIDIBze</t>
  </si>
  <si>
    <t>1570732579708</t>
  </si>
  <si>
    <t>-LqqxIYSih46VvHJkjgf</t>
  </si>
  <si>
    <t>1570732586052</t>
  </si>
  <si>
    <t>-LqqxKGNFR-u0AKRndyR</t>
  </si>
  <si>
    <t>1570732593067</t>
  </si>
  <si>
    <t>-LqqxLlOnUstDrBgiVsb</t>
  </si>
  <si>
    <t>1570732599222</t>
  </si>
  <si>
    <t>-LqqxNGqNuYWPxsGYRf_</t>
  </si>
  <si>
    <t>1570732605409</t>
  </si>
  <si>
    <t>-LqqxOoTm22kOz3GlZol</t>
  </si>
  <si>
    <t>1570732611629</t>
  </si>
  <si>
    <t>-LqqxQIbUkfKzxam4R5w</t>
  </si>
  <si>
    <t>1570732617787</t>
  </si>
  <si>
    <t>-LqqxRnxlXu_8vDcXi5H</t>
  </si>
  <si>
    <t>1570732623954</t>
  </si>
  <si>
    <t>-LqqxTKQEkUT578EYBsT</t>
  </si>
  <si>
    <t>1570732630188</t>
  </si>
  <si>
    <t>-LqqxUphzZZg4NLP0B4W</t>
  </si>
  <si>
    <t>1570732636347</t>
  </si>
  <si>
    <t>-LqqxWKxXPakRyEWSg0-</t>
  </si>
  <si>
    <t>1570732642508</t>
  </si>
  <si>
    <t>-LqqxXprUIqo8enT_yGT</t>
  </si>
  <si>
    <t>1570732648730</t>
  </si>
  <si>
    <t>-LqqxZMgfZAbTr18D_Nd</t>
  </si>
  <si>
    <t>1570732654907</t>
  </si>
  <si>
    <t>-Lqqx_rxhWJnBrWXbFz8</t>
  </si>
  <si>
    <t>1570732661069</t>
  </si>
  <si>
    <t>-LqqxbNDzsEfjeKS_ImN</t>
  </si>
  <si>
    <t>1570732667228</t>
  </si>
  <si>
    <t>-Lqqxctamy3A01Sq-hBR</t>
  </si>
  <si>
    <t>1570732673469</t>
  </si>
  <si>
    <t>-LqqxeOx2vH1MjYuBmuy</t>
  </si>
  <si>
    <t>1570732679629</t>
  </si>
  <si>
    <t>-LqqxfuBaOnckZyTg5lz</t>
  </si>
  <si>
    <t>1570732685790</t>
  </si>
  <si>
    <t>-LqqxhP7wxbG7FS41f6d</t>
  </si>
  <si>
    <t>1570732691956</t>
  </si>
  <si>
    <t>-Lqqxivv_9HcnX7Akiuo</t>
  </si>
  <si>
    <t>1570732698184</t>
  </si>
  <si>
    <t>-LqqxkPveScLmAmyH9ac</t>
  </si>
  <si>
    <t>1570732704348</t>
  </si>
  <si>
    <t>-LqqxlwQrY6uZB0bZHEs</t>
  </si>
  <si>
    <t>1570732710503</t>
  </si>
  <si>
    <t>-LqqxnRjPVp05ZLczVvm</t>
  </si>
  <si>
    <t>1570732716742</t>
  </si>
  <si>
    <t>-Lqqxowwg6l2jO-geKPB</t>
  </si>
  <si>
    <t>1570732722903</t>
  </si>
  <si>
    <t>-LqqxqiiGjuqqzwlx03O</t>
  </si>
  <si>
    <t>1570732730111</t>
  </si>
  <si>
    <t>-LqqxsDv-Ynq75tscyu8</t>
  </si>
  <si>
    <t>1570732736269</t>
  </si>
  <si>
    <t>-LqqxtjBFWMxqB18766d</t>
  </si>
  <si>
    <t>1570732742498</t>
  </si>
  <si>
    <t>-LqqxvESD39UXYq1AGdw</t>
  </si>
  <si>
    <t>1570732748662</t>
  </si>
  <si>
    <t>-LqqxwkstTST9g2Fqo7t</t>
  </si>
  <si>
    <t>1570732754829</t>
  </si>
  <si>
    <t>-LqqxyGAci_tkgfO4K80</t>
  </si>
  <si>
    <t>1570732760987</t>
  </si>
  <si>
    <t>-Lqqy-23l8cHRgmTzdPS</t>
  </si>
  <si>
    <t>1570732768289</t>
  </si>
  <si>
    <t>-Lqqy0WzOqR0iO-1HcPb</t>
  </si>
  <si>
    <t>1570732774433</t>
  </si>
  <si>
    <t>-Lqqy22UoNC8M64MWxLW</t>
  </si>
  <si>
    <t>1570732780593</t>
  </si>
  <si>
    <t>-Lqqy3XVEFruXjYc9JMS</t>
  </si>
  <si>
    <t>1570732786761</t>
  </si>
  <si>
    <t>-Lqqy5FWwz4oJS2oTqHN</t>
  </si>
  <si>
    <t>1570732793747</t>
  </si>
  <si>
    <t>-Lqqy6pkU-Ci0GA-bwPt</t>
  </si>
  <si>
    <t>1570732800191</t>
  </si>
  <si>
    <t>-Lqqy8L0-T0p7j3ykMqE</t>
  </si>
  <si>
    <t>1570732806353</t>
  </si>
  <si>
    <t>-Lqqy9qEAgULkiM5UBke</t>
  </si>
  <si>
    <t>1570732812517</t>
  </si>
  <si>
    <t>-LqqyBffPWof2GIv4w8o</t>
  </si>
  <si>
    <t>1570732819873</t>
  </si>
  <si>
    <t>-LqqyDOkGDH8tS6t8WMq</t>
  </si>
  <si>
    <t>1570732826992</t>
  </si>
  <si>
    <t>-LqqyF7zGURcmxVDES6P</t>
  </si>
  <si>
    <t>1570732834189</t>
  </si>
  <si>
    <t>-LqqyH2W_SjKNBwBiwZ3</t>
  </si>
  <si>
    <t>1570732842036</t>
  </si>
  <si>
    <t>-LqqyIe1pEyRzZLS7mPp</t>
  </si>
  <si>
    <t>1570732848593</t>
  </si>
  <si>
    <t>-LqqyKAWBaz7nVfnohJy</t>
  </si>
  <si>
    <t>1570732854826</t>
  </si>
  <si>
    <t>-LqqyLflypRRvrsMOS6_</t>
  </si>
  <si>
    <t>1570732860992</t>
  </si>
  <si>
    <t>-LqqyNAzb3TA6Kaf5AXk</t>
  </si>
  <si>
    <t>1570732867151</t>
  </si>
  <si>
    <t>-LqqyOgGf3LZTkrcgCJ7</t>
  </si>
  <si>
    <t>1570732873316</t>
  </si>
  <si>
    <t>-LqqyQCjtiQNfuLReZBH</t>
  </si>
  <si>
    <t>1570732879553</t>
  </si>
  <si>
    <t>-LqqyRhRLDVwnwVtyR2O</t>
  </si>
  <si>
    <t>1570732885711</t>
  </si>
  <si>
    <t>-LqqyTDPDC8VZoqy1Ey3</t>
  </si>
  <si>
    <t>1570732891871</t>
  </si>
  <si>
    <t>-LqqyUiUj50rK01o5PTn</t>
  </si>
  <si>
    <t>1570732898098</t>
  </si>
  <si>
    <t>-LqqyWF-ef0649NySMWh</t>
  </si>
  <si>
    <t>1570732904277</t>
  </si>
  <si>
    <t>-LqqyXkEEfLp8reeyA26</t>
  </si>
  <si>
    <t>1570732910431</t>
  </si>
  <si>
    <t>-LqqyZFVn7NbW2ij_E77</t>
  </si>
  <si>
    <t>1570732916592</t>
  </si>
  <si>
    <t>-Lqqy_lwUQprgV3I8tYS</t>
  </si>
  <si>
    <t>1570732922831</t>
  </si>
  <si>
    <t>-LqqybVdCTVSksA_AQ0L</t>
  </si>
  <si>
    <t>1570732928987</t>
  </si>
  <si>
    <t>-Lqqyd1obpMW-4xpv_sQ</t>
  </si>
  <si>
    <t>1570732936192</t>
  </si>
  <si>
    <t>-LqqyeYAql3u_MNWaHqY</t>
  </si>
  <si>
    <t>1570732942353</t>
  </si>
  <si>
    <t>-Lqqyg0R7nPxvQfeHdJV</t>
  </si>
  <si>
    <t>1570732948521</t>
  </si>
  <si>
    <t>-LqqyhWs1xyPemv1NrnC</t>
  </si>
  <si>
    <t>1570732954744</t>
  </si>
  <si>
    <t>-Lqqyj5pbEifZDL3ont_</t>
  </si>
  <si>
    <t>1570732960924</t>
  </si>
  <si>
    <t>-LqqykokNKNdqhbGnd3D</t>
  </si>
  <si>
    <t>1570732968131</t>
  </si>
  <si>
    <t>-LqqymNofliPz0EDjh82</t>
  </si>
  <si>
    <t>1570732974323</t>
  </si>
  <si>
    <t>-LqqyoQuSEGOe3SUCf0w</t>
  </si>
  <si>
    <t>1570732981503</t>
  </si>
  <si>
    <t>-Lqqyq6Z8MV0KgBCedPA</t>
  </si>
  <si>
    <t>1570732989769</t>
  </si>
  <si>
    <t>-LqqyruNyx947QIx2tKR</t>
  </si>
  <si>
    <t>1570732996980</t>
  </si>
  <si>
    <t>-LqqytPeXAGATgWjWaBg</t>
  </si>
  <si>
    <t>1570733003163</t>
  </si>
  <si>
    <t>-LqqyurDo6nGP86j_LzI</t>
  </si>
  <si>
    <t>1570733009340</t>
  </si>
  <si>
    <t>-LqqywSj3Kh52tr2MNqe</t>
  </si>
  <si>
    <t>1570733015529</t>
  </si>
  <si>
    <t>-LqqyyHLmr_L9b5AfR9n</t>
  </si>
  <si>
    <t>1570733022734</t>
  </si>
  <si>
    <t>-Lqqyzsj0tqaAxEj1mre</t>
  </si>
  <si>
    <t>1570733029914</t>
  </si>
  <si>
    <t>-Lqqz0Shyc5NK8F1WERZ</t>
  </si>
  <si>
    <t>1570733036138</t>
  </si>
  <si>
    <t>-Lqqz2FlX0y_ljTYG1RI</t>
  </si>
  <si>
    <t>1570733043351</t>
  </si>
  <si>
    <t>-Lqqz3zmTzBZ2suhtpz-</t>
  </si>
  <si>
    <t>1570733050558</t>
  </si>
  <si>
    <t>-Lqqz5SemPUUGgQZRFrk</t>
  </si>
  <si>
    <t>1570733056704</t>
  </si>
  <si>
    <t>-Lqqz70ngIrClA6uXBXK</t>
  </si>
  <si>
    <t>1570733062929</t>
  </si>
  <si>
    <t>-Lqqz8j_hmBv1IOC_s3e</t>
  </si>
  <si>
    <t>1570733070141</t>
  </si>
  <si>
    <t>-LqqzAIo4xkGrxnIe6Jk</t>
  </si>
  <si>
    <t>1570733076319</t>
  </si>
  <si>
    <t>-LqqzC0k1ns41FrxPytp</t>
  </si>
  <si>
    <t>1570733083529</t>
  </si>
  <si>
    <t>-LqqzDofL7fFJBO4swkv</t>
  </si>
  <si>
    <t>1570733090746</t>
  </si>
  <si>
    <t>-LqqzFXnhoxSc1SoUFbc</t>
  </si>
  <si>
    <t>1570733097957</t>
  </si>
  <si>
    <t>-LqqzHKk6wW7Ae2U88V2</t>
  </si>
  <si>
    <t>1570733105173</t>
  </si>
  <si>
    <t>-LqqzJ2S9GnLJ_pGPRim</t>
  </si>
  <si>
    <t>1570733112387</t>
  </si>
  <si>
    <t>-LqqzKqfFbJLbETaJg_l</t>
  </si>
  <si>
    <t>1570733119594</t>
  </si>
  <si>
    <t>-LqqzMilpM1blhIbfjaf</t>
  </si>
  <si>
    <t>1570733127324</t>
  </si>
  <si>
    <t>-LqqzOLYchhasuk3RPhZ</t>
  </si>
  <si>
    <t>1570733134017</t>
  </si>
  <si>
    <t>-LqqzPqbdBnlCudi5KA7</t>
  </si>
  <si>
    <t>1570733140174</t>
  </si>
  <si>
    <t>-LqqzROek6NPXdqM4bqY</t>
  </si>
  <si>
    <t>1570733146390</t>
  </si>
  <si>
    <t>-LqqzT7iqIA_Eu1TjWRR</t>
  </si>
  <si>
    <t>1570733153593</t>
  </si>
  <si>
    <t>-LqqzUZxm0wDbs7-fPS6</t>
  </si>
  <si>
    <t>1570733159739</t>
  </si>
  <si>
    <t>-LqqzWAkVzXmzO2yWh_V</t>
  </si>
  <si>
    <t>1570733165963</t>
  </si>
  <si>
    <t>-LqqzXtfp-Sp8oQCYK__</t>
  </si>
  <si>
    <t>1570733173180</t>
  </si>
  <si>
    <t>-LqqzZhMLaBiqHFO9i8g</t>
  </si>
  <si>
    <t>1570733179354</t>
  </si>
  <si>
    <t>-LqqzaMmb_PEtz0wb_vn</t>
  </si>
  <si>
    <t>1570733187565</t>
  </si>
  <si>
    <t>-LqqzbyYqjJxXBCpG-M8</t>
  </si>
  <si>
    <t>1570733193784</t>
  </si>
  <si>
    <t>-LqqzdeOq2xb4OLzRj17</t>
  </si>
  <si>
    <t>1570733200960</t>
  </si>
  <si>
    <t>-LqqzfWCUT71fx2awzB9</t>
  </si>
  <si>
    <t>1570733207174</t>
  </si>
  <si>
    <t>-LqqzhAObeRr_IrR-YhZ</t>
  </si>
  <si>
    <t>1570733215419</t>
  </si>
  <si>
    <t>-Lqqzivi0TU-OFN9RLOM</t>
  </si>
  <si>
    <t>1570733222621</t>
  </si>
  <si>
    <t>-Lqqzka3RCsRRvvyKTwo</t>
  </si>
  <si>
    <t>1570733228826</t>
  </si>
  <si>
    <t>-LqqzmHh9NYdrSo25-w8</t>
  </si>
  <si>
    <t>1570733236049</t>
  </si>
  <si>
    <t>-Lqqzo-iAU5NMGd2yIge</t>
  </si>
  <si>
    <t>1570733243230</t>
  </si>
  <si>
    <t>-LqqzpU9JFfedj5cBqdt</t>
  </si>
  <si>
    <t>1570733249376</t>
  </si>
  <si>
    <t>-Lqqzr3KiqV1XJ0OJdfX</t>
  </si>
  <si>
    <t>1570733255601</t>
  </si>
  <si>
    <t>-LqqzslXflw0FNouyMO4</t>
  </si>
  <si>
    <t>1570733262791</t>
  </si>
  <si>
    <t>-LqqzuKXPpEOu6iRmHzO</t>
  </si>
  <si>
    <t>1570733268986</t>
  </si>
  <si>
    <t>-Lqqzw3mSeEdU4k_yf3s</t>
  </si>
  <si>
    <t>1570733276212</t>
  </si>
  <si>
    <t>-LqqzxY1XnjLGVquIKiE</t>
  </si>
  <si>
    <t>1570733282386</t>
  </si>
  <si>
    <t>-Lqqzz0gp1XCEGYz2Dpz</t>
  </si>
  <si>
    <t>1570733288539</t>
  </si>
  <si>
    <t>-Lqr--_jsTqXfjwhVQyR</t>
  </si>
  <si>
    <t>1570733294745</t>
  </si>
  <si>
    <t>-Lqr-13xglWQAaVQ1NfI</t>
  </si>
  <si>
    <t>1570733300930</t>
  </si>
  <si>
    <t>-Lqr-2rbmCcm8v0qc9iO</t>
  </si>
  <si>
    <t>1570733308145</t>
  </si>
  <si>
    <t>-Lqr-4JaG-CxYH-MjWpS</t>
  </si>
  <si>
    <t>1570733314295</t>
  </si>
  <si>
    <t>-Lqr-6F1PhoaVOXFIXhK</t>
  </si>
  <si>
    <t>1570733320514</t>
  </si>
  <si>
    <t>-Lqr-7pvNttJuoxNcrWH</t>
  </si>
  <si>
    <t>1570733328761</t>
  </si>
  <si>
    <t>-Lqr-9PRsZkI2aj8DXlk</t>
  </si>
  <si>
    <t>1570733334912</t>
  </si>
  <si>
    <t>-Lqr-AtSvtL5USv09Wbq</t>
  </si>
  <si>
    <t>1570733341115</t>
  </si>
  <si>
    <t>-Lqr-CNZwVXmYww8ZnNd</t>
  </si>
  <si>
    <t>1570733347275</t>
  </si>
  <si>
    <t>-Lqr-DxlMsWmFNn0NNiw</t>
  </si>
  <si>
    <t>1570733353485</t>
  </si>
  <si>
    <t>-Lqr-FdBDZf2d-KIQ8eC</t>
  </si>
  <si>
    <t>1570733360699</t>
  </si>
  <si>
    <t>-Lqr-HDdB8eJXEOTke2A</t>
  </si>
  <si>
    <t>1570733366876</t>
  </si>
  <si>
    <t>-Lqr-JGmFXwKmpQT6aNq</t>
  </si>
  <si>
    <t>1570733375388</t>
  </si>
  <si>
    <t>-Lqr-Kyd4N8QybfWeTx3</t>
  </si>
  <si>
    <t>1570733382339</t>
  </si>
  <si>
    <t>-Lqr-MhbD1t7_YJZjPwW</t>
  </si>
  <si>
    <t>1570733389530</t>
  </si>
  <si>
    <t>-Lqr-OLm-zfh8y7Uw-i2</t>
  </si>
  <si>
    <t>1570733396004</t>
  </si>
  <si>
    <t>-Lqr-PwqUWpzfdRjrfvC</t>
  </si>
  <si>
    <t>1570733402939</t>
  </si>
  <si>
    <t>-Lqr-RYnTr1EwDtvnCy2</t>
  </si>
  <si>
    <t>1570733409124</t>
  </si>
  <si>
    <t>-Lqr-TLruiGQKXB4A24F</t>
  </si>
  <si>
    <t>1570733416336</t>
  </si>
  <si>
    <t>-Lqr-Uzhm8hmv3b76xNU</t>
  </si>
  <si>
    <t>1570733423554</t>
  </si>
  <si>
    <t>-Lqr-WUx740B77HaukV4</t>
  </si>
  <si>
    <t>1570733429720</t>
  </si>
  <si>
    <t>-Lqr-YJhb1u5EFI1thUZ</t>
  </si>
  <si>
    <t>1570733437196</t>
  </si>
  <si>
    <t>-Lqr-_3bMKrot0lnVIYA</t>
  </si>
  <si>
    <t>1570733444151</t>
  </si>
  <si>
    <t>-Lqr-awhjOLhAx4soPAO</t>
  </si>
  <si>
    <t>1570733450316</t>
  </si>
  <si>
    <t>-Lqr-c_fNUJFX2brsxqw</t>
  </si>
  <si>
    <t>1570733458582</t>
  </si>
  <si>
    <t>-Lqr-e2XDOxhoSdcg5K5</t>
  </si>
  <si>
    <t>1570733464762</t>
  </si>
  <si>
    <t>-Lqr-fckVZsfYnEL38nX</t>
  </si>
  <si>
    <t>1570733470940</t>
  </si>
  <si>
    <t>-Lqr-hJZ2wBjIk1YDokr</t>
  </si>
  <si>
    <t>1570733478139</t>
  </si>
  <si>
    <t>-Lqr-itXEB7R9FvXGujO</t>
  </si>
  <si>
    <t>1570733484334</t>
  </si>
  <si>
    <t>-Lqr-kKtcxmvWGZtI8dY</t>
  </si>
  <si>
    <t>1570733490503</t>
  </si>
  <si>
    <t>-Lqr-lw_r1LjGuFn8Jmh</t>
  </si>
  <si>
    <t>1570733496985</t>
  </si>
  <si>
    <t>-Lqr-nbugrl2WQRMcth_</t>
  </si>
  <si>
    <t>1570733503948</t>
  </si>
  <si>
    <t>-Lqr-p7SN7zKHXyvDQT4</t>
  </si>
  <si>
    <t>1570733510099</t>
  </si>
  <si>
    <t>-Lqr-qxejQ7vLDucsYyV</t>
  </si>
  <si>
    <t>1570733517314</t>
  </si>
  <si>
    <t>-Lqr-sfYULOrCIc3TAXy</t>
  </si>
  <si>
    <t>1570733524538</t>
  </si>
  <si>
    <t>-Lqr-u9dWHmhrxzKy1I-</t>
  </si>
  <si>
    <t>1570733530705</t>
  </si>
  <si>
    <t>-Lqr-virP89XY6eb07vo</t>
  </si>
  <si>
    <t>1570733536877</t>
  </si>
  <si>
    <t>-Lqr-xRfEVisNQB9_nDl</t>
  </si>
  <si>
    <t>1570733544056</t>
  </si>
  <si>
    <t>-Lqr-z-spvQN86HgCaV_</t>
  </si>
  <si>
    <t>1570733550265</t>
  </si>
  <si>
    <t>-Lqr0-gMr4v_302y7CCk</t>
  </si>
  <si>
    <t>1570733557490</t>
  </si>
  <si>
    <t>-Lqr01J1q7HWgED1RGKr</t>
  </si>
  <si>
    <t>1570733563676</t>
  </si>
  <si>
    <t>-Lqr030m605jRGKjkkrG</t>
  </si>
  <si>
    <t>1570733570866</t>
  </si>
  <si>
    <t>-Lqr04SGfV0nyEe8kxhy</t>
  </si>
  <si>
    <t>1570733577010</t>
  </si>
  <si>
    <t>-Lqr06CkwsQM7JboLoeo</t>
  </si>
  <si>
    <t>1570733583978</t>
  </si>
  <si>
    <t>-Lqr07jCZ-C_mutwvBYI</t>
  </si>
  <si>
    <t>1570733590452</t>
  </si>
  <si>
    <t>-Lqr09KuJy2b3sVma2GC</t>
  </si>
  <si>
    <t>1570733596636</t>
  </si>
  <si>
    <t>-Lqr0B2bZTvlxqw0uzm5</t>
  </si>
  <si>
    <t>1570733603850</t>
  </si>
  <si>
    <t>-Lqr0CXqgU2thxx6yB3f</t>
  </si>
  <si>
    <t>1570733610050</t>
  </si>
  <si>
    <t>-Lqr0E5g6oM10hmfdHc2</t>
  </si>
  <si>
    <t>1570733616210</t>
  </si>
  <si>
    <t>-Lqr0Fps5i1kbrEtSTSO</t>
  </si>
  <si>
    <t>1570733623425</t>
  </si>
  <si>
    <t>-Lqr0HJ1jazlhMOubhFw</t>
  </si>
  <si>
    <t>1570733629611</t>
  </si>
  <si>
    <t>-Lqr0IuSNhdpCnKrYyyx</t>
  </si>
  <si>
    <t>1570733635808</t>
  </si>
  <si>
    <t>-Lqr0K_tFvBEqHxj80Vx</t>
  </si>
  <si>
    <t>1570733642994</t>
  </si>
  <si>
    <t>-Lqr0M9JBA37BPYh3v4U</t>
  </si>
  <si>
    <t>1570733649182</t>
  </si>
  <si>
    <t>-Lqr0OAYWO664iE4gGaF</t>
  </si>
  <si>
    <t>1570733656376</t>
  </si>
  <si>
    <t>-Lqr0Q2ep2sva-iVjjuP</t>
  </si>
  <si>
    <t>1570733665415</t>
  </si>
  <si>
    <t>-Lqr0RfrsU8YMO677RB9</t>
  </si>
  <si>
    <t>1570733671852</t>
  </si>
  <si>
    <t>-Lqr0TOO_RG12JYQ7Leq</t>
  </si>
  <si>
    <t>1570733679068</t>
  </si>
  <si>
    <t>-Lqr0UtiJ9SuO3F7vwD7</t>
  </si>
  <si>
    <t>1570733685227</t>
  </si>
  <si>
    <t>-Lqr0WSbG_HQopfI5QWu</t>
  </si>
  <si>
    <t>1570733691424</t>
  </si>
  <si>
    <t>-Lqr0XvcOY0q_4IoIKkL</t>
  </si>
  <si>
    <t>1570733697608</t>
  </si>
  <si>
    <t>-Lqr0Zfv8Gr-qYobxsju</t>
  </si>
  <si>
    <t>1570733704856</t>
  </si>
  <si>
    <t>-Lqr0aA1WL_b-odtU1rz</t>
  </si>
  <si>
    <t>1570733711015</t>
  </si>
  <si>
    <t>-Lqr0bfHfXUfuNW7f5P6</t>
  </si>
  <si>
    <t>1570733717178</t>
  </si>
  <si>
    <t>-Lqr0dFcfYLsYHcu6cYx</t>
  </si>
  <si>
    <t>1570733723373</t>
  </si>
  <si>
    <t>-Lqr0f02pRbdRTLPCPN0</t>
  </si>
  <si>
    <t>1570733730579</t>
  </si>
  <si>
    <t>-Lqr0glgkcCQ4pl9Is6u</t>
  </si>
  <si>
    <t>1570733737829</t>
  </si>
  <si>
    <t>-Lqr0iWDAuJdbMYpcXPh</t>
  </si>
  <si>
    <t>1570733745010</t>
  </si>
  <si>
    <t>-Lqr0kIb994ru3HSTqsj</t>
  </si>
  <si>
    <t>1570733752221</t>
  </si>
  <si>
    <t>-Lqr0m0jvfdrUGdRm6GX</t>
  </si>
  <si>
    <t>1570733759418</t>
  </si>
  <si>
    <t>-Lqr0niXFl1nhOfC6-tw</t>
  </si>
  <si>
    <t>1570733766380</t>
  </si>
  <si>
    <t>-Lqr0pIijDkYMTSnbICs</t>
  </si>
  <si>
    <t>1570733772834</t>
  </si>
  <si>
    <t>-Lqr0qlQ9WP8FjWEmuSq</t>
  </si>
  <si>
    <t>1570733779011</t>
  </si>
  <si>
    <t>-Lqr0sWuMTI2AY9-Qqhg</t>
  </si>
  <si>
    <t>1570733786214</t>
  </si>
  <si>
    <t>-Lqr0u1Nt_I88L5PClEV</t>
  </si>
  <si>
    <t>1570733792376</t>
  </si>
  <si>
    <t>-Lqr0vYtSaAuUFrbAm7t</t>
  </si>
  <si>
    <t>1570733798573</t>
  </si>
  <si>
    <t>-Lqr0xBlzj9d_yi8sW_t</t>
  </si>
  <si>
    <t>1570733805089</t>
  </si>
  <si>
    <t>-Lqr0ypWzWG5iGRlOvRJ</t>
  </si>
  <si>
    <t>1570733811949</t>
  </si>
  <si>
    <t>-Lqr1-ObWNg8AAJ82stM</t>
  </si>
  <si>
    <t>1570733818150</t>
  </si>
  <si>
    <t>-Lqr10re9jgYwSBFMZzB</t>
  </si>
  <si>
    <t>1570733824329</t>
  </si>
  <si>
    <t>-Lqr12fiJHFBRbpr1TT1</t>
  </si>
  <si>
    <t>1570733831552</t>
  </si>
  <si>
    <t>-Lqr14MBEvn03kzqtNVF</t>
  </si>
  <si>
    <t>1570733838778</t>
  </si>
  <si>
    <t>-Lqr15s6m9NmWltFEBzP</t>
  </si>
  <si>
    <t>1570733844939</t>
  </si>
  <si>
    <t>-Lqr17Qx1bdhzjd43bW2</t>
  </si>
  <si>
    <t>1570733851126</t>
  </si>
  <si>
    <t>-Lqr196v85pCEUonKa8G</t>
  </si>
  <si>
    <t>1570733858298</t>
  </si>
  <si>
    <t>-Lqr1Aibrm34x8Ebqkij</t>
  </si>
  <si>
    <t>1570733864518</t>
  </si>
  <si>
    <t>-Lqr1CPEFKe9ipjJbuUs</t>
  </si>
  <si>
    <t>1570733871736</t>
  </si>
  <si>
    <t>-Lqr1EJxjlwyOX-EbT5v</t>
  </si>
  <si>
    <t>1570733877918</t>
  </si>
  <si>
    <t>-Lqr1FxaaiLkcLRJJsHa</t>
  </si>
  <si>
    <t>1570733886147</t>
  </si>
  <si>
    <t>-Lqr1HWfEyEMsWK2ylKU</t>
  </si>
  <si>
    <t>1570733892330</t>
  </si>
  <si>
    <t>-Lqr1JEjzK_Kknr62guF</t>
  </si>
  <si>
    <t>1570733899553</t>
  </si>
  <si>
    <t>-Lqr1KhJgdeQdmy_Dsti</t>
  </si>
  <si>
    <t>1570733905726</t>
  </si>
  <si>
    <t>-Lqr1MHecN97NJro9Jwy</t>
  </si>
  <si>
    <t>1570733911906</t>
  </si>
  <si>
    <t>-Lqr1O-ckLZ1ICYoEFqb</t>
  </si>
  <si>
    <t>1570733919091</t>
  </si>
  <si>
    <t>-Lqr1PZe_WYMLMQR5I6A</t>
  </si>
  <si>
    <t>1570733925297</t>
  </si>
  <si>
    <t>-Lqr1RHfru_PodJzXRf_</t>
  </si>
  <si>
    <t>1570733932515</t>
  </si>
  <si>
    <t>-Lqr1SlcAxLno_mJdh0w</t>
  </si>
  <si>
    <t>1570733938661</t>
  </si>
  <si>
    <t>-Lqr1UJWNRtl9tPbL4Yw</t>
  </si>
  <si>
    <t>1570733944876</t>
  </si>
  <si>
    <t>-Lqr1VofKxfLPLUWPnPm</t>
  </si>
  <si>
    <t>1570733951056</t>
  </si>
  <si>
    <t>-Lqr1XIicdcl7K5tm3QZ</t>
  </si>
  <si>
    <t>1570733957244</t>
  </si>
  <si>
    <t>-Lqr1YrbbJpu7rV3qLhH</t>
  </si>
  <si>
    <t>1570733963421</t>
  </si>
  <si>
    <t>-Lqr1__fJmYoICc1sojq</t>
  </si>
  <si>
    <t>1570733970620</t>
  </si>
  <si>
    <t>-Lqr1b8ZK-eNOKrGrUMW</t>
  </si>
  <si>
    <t>1570733976813</t>
  </si>
  <si>
    <t>-Lqr1crbNYORAYgjJeFU</t>
  </si>
  <si>
    <t>1570733984028</t>
  </si>
  <si>
    <t>-Lqr1eLj9UTf0-llibAt</t>
  </si>
  <si>
    <t>1570733990207</t>
  </si>
  <si>
    <t>-Lqr1fubC0wcVF3Zm7_z</t>
  </si>
  <si>
    <t>1570733996381</t>
  </si>
  <si>
    <t>-Lqr1haO8ceWVE7Fcim9</t>
  </si>
  <si>
    <t>1570734003572</t>
  </si>
  <si>
    <t>-Lqr1jQeFmA7O3H1WhmZ</t>
  </si>
  <si>
    <t>1570734010810</t>
  </si>
  <si>
    <t>-Lqr1ktQaoyKb26d4WDO</t>
  </si>
  <si>
    <t>1570734016984</t>
  </si>
  <si>
    <t>-Lqr1mOj6J1Vdufw2he4</t>
  </si>
  <si>
    <t>1570734023149</t>
  </si>
  <si>
    <t>-Lqr1nwWZSqa5F2_S0UI</t>
  </si>
  <si>
    <t>1570734029348</t>
  </si>
  <si>
    <t>-Lqr1peoImPi0yBwR9AQ</t>
  </si>
  <si>
    <t>1570734036601</t>
  </si>
  <si>
    <t>-Lqr1rDdxFyKAdDH_oc1</t>
  </si>
  <si>
    <t>1570734042726</t>
  </si>
  <si>
    <t>-Lqr1sxkglkG4wBGR5l9</t>
  </si>
  <si>
    <t>1570734049960</t>
  </si>
  <si>
    <t>-Lqr1uRhzNzQBjoW-2Sc</t>
  </si>
  <si>
    <t>1570734056136</t>
  </si>
  <si>
    <t>-Lqr1vzev7A6KbmPybXT</t>
  </si>
  <si>
    <t>1570734062318</t>
  </si>
  <si>
    <t>-Lqr1xgfALMkJlZ1_-DR</t>
  </si>
  <si>
    <t>1570734069499</t>
  </si>
  <si>
    <t>-Lqr1zHcOk1T-6XsONL8</t>
  </si>
  <si>
    <t>1570734075707</t>
  </si>
  <si>
    <t>-Lqr20-gkcG8DzofZ2g2</t>
  </si>
  <si>
    <t>1570734082938</t>
  </si>
  <si>
    <t>-Lqr21UXxJRtB-amcbcM</t>
  </si>
  <si>
    <t>1570734089103</t>
  </si>
  <si>
    <t>-Lqr232o8NQ-W4wvVcqU</t>
  </si>
  <si>
    <t>1570734095258</t>
  </si>
  <si>
    <t>-Lqr254mGEIRqlFNU5oZ</t>
  </si>
  <si>
    <t>1570734103767</t>
  </si>
  <si>
    <t>-Lqr26nhNmfC1vvo1OJv</t>
  </si>
  <si>
    <t>1570734110741</t>
  </si>
  <si>
    <t>-Lqr28Gk4DRGPytG9v0A</t>
  </si>
  <si>
    <t>1570734116938</t>
  </si>
  <si>
    <t>-Lqr29plyiZuD1KWyL7i</t>
  </si>
  <si>
    <t>1570734123105</t>
  </si>
  <si>
    <t>-Lqr2BZehm3BmGw98Ouy</t>
  </si>
  <si>
    <t>1570734130293</t>
  </si>
  <si>
    <t>-Lqr2D6Z8g8sdNXzOh0g</t>
  </si>
  <si>
    <t>1570734136495</t>
  </si>
  <si>
    <t>-Lqr2EqwLQoRfDEsoN3e</t>
  </si>
  <si>
    <t>1570734143710</t>
  </si>
  <si>
    <t>-Lqr2GdgrQr1VmAIehy4</t>
  </si>
  <si>
    <t>1570734150920</t>
  </si>
  <si>
    <t>-Lqr2IMmExqmPV3vQjTo</t>
  </si>
  <si>
    <t>1570734158140</t>
  </si>
  <si>
    <t>-Lqr2K9eZ3u4fk7BUyg5</t>
  </si>
  <si>
    <t>1570734165347</t>
  </si>
  <si>
    <t>-Lqr2LuBlU4h7pA0kvat</t>
  </si>
  <si>
    <t>1570734172541</t>
  </si>
  <si>
    <t>-Lqr2NRombl_EwY8pI0d</t>
  </si>
  <si>
    <t>1570734178728</t>
  </si>
  <si>
    <t>-Lqr2P9g-tESjjJZd5Z_</t>
  </si>
  <si>
    <t>1570734185947</t>
  </si>
  <si>
    <t>-Lqr2QdgJ6Wl8ZheyQ9O</t>
  </si>
  <si>
    <t>1570734192112</t>
  </si>
  <si>
    <t>-Lqr2SCeLndrS76DCcBJ</t>
  </si>
  <si>
    <t>1570734198308</t>
  </si>
  <si>
    <t>-Lqr2TvpPCwO73DZnXtj</t>
  </si>
  <si>
    <t>1570734205501</t>
  </si>
  <si>
    <t>-Lqr2Vhq30OXxrpHOKDj</t>
  </si>
  <si>
    <t>1570734212767</t>
  </si>
  <si>
    <t>-Lqr2XQkpexWJIysi7UH</t>
  </si>
  <si>
    <t>1570734219965</t>
  </si>
  <si>
    <t>-Lqr2ZElhR_-8WuEvXC-</t>
  </si>
  <si>
    <t>1570734227155</t>
  </si>
  <si>
    <t>-Lqr2_xrITXQ3pbttb9u</t>
  </si>
  <si>
    <t>1570734234344</t>
  </si>
  <si>
    <t>-Lqr2bWs0erWxTjLAZXU</t>
  </si>
  <si>
    <t>1570734240556</t>
  </si>
  <si>
    <t>-Lqr2dEm_J3H_eJ7QiBV</t>
  </si>
  <si>
    <t>1570734247740</t>
  </si>
  <si>
    <t>-Lqr2en_VOm2t6rkcgGg</t>
  </si>
  <si>
    <t>1570734253990</t>
  </si>
  <si>
    <t>-Lqr2gY31CTHfJPIqki-</t>
  </si>
  <si>
    <t>1570734261154</t>
  </si>
  <si>
    <t>-Lqr2iJB_bomkaIJSNY2</t>
  </si>
  <si>
    <t>1570734268376</t>
  </si>
  <si>
    <t>-Lqr2k8keOHbK4WPIyL0</t>
  </si>
  <si>
    <t>1570734275980</t>
  </si>
  <si>
    <t>-Lqr2lpk7LQaulVh8rwT</t>
  </si>
  <si>
    <t>1570734282800</t>
  </si>
  <si>
    <t>-Lqr2nZ1jX2JELPyPtpD</t>
  </si>
  <si>
    <t>1570734289975</t>
  </si>
  <si>
    <t>-Lqr2p6oJ1T1Z_-1bkVW</t>
  </si>
  <si>
    <t>1570734296180</t>
  </si>
  <si>
    <t>-Lqr2qp_ltIAW-fnt1hr</t>
  </si>
  <si>
    <t>1570734303420</t>
  </si>
  <si>
    <t>-Lqr2sOZ-Lg2xjLXPKWe</t>
  </si>
  <si>
    <t>1570734309586</t>
  </si>
  <si>
    <t>-Lqr2u6gBbmYHD0277Mz</t>
  </si>
  <si>
    <t>1570734316789</t>
  </si>
  <si>
    <t>-Lqr2vaZJvQwLPD340DZ</t>
  </si>
  <si>
    <t>1570734322938</t>
  </si>
  <si>
    <t>-Lqr2xSV8botz1uYuYXW</t>
  </si>
  <si>
    <t>1570734329160</t>
  </si>
  <si>
    <t>-Lqr2z6demDYVsBLc0Qh</t>
  </si>
  <si>
    <t>1570734337399</t>
  </si>
  <si>
    <t>-Lqr3-amI-k6f8hMks5y</t>
  </si>
  <si>
    <t>1570734343575</t>
  </si>
  <si>
    <t>-Lqr319k_ha-8omPc95k</t>
  </si>
  <si>
    <t>1570734349762</t>
  </si>
  <si>
    <t>-Lqr32dc_PQin9r_7L0P</t>
  </si>
  <si>
    <t>1570734355902</t>
  </si>
  <si>
    <t>-Lqr34CYrbnccFo9rOXB</t>
  </si>
  <si>
    <t>1570734362119</t>
  </si>
  <si>
    <t>-Lqr35vemVeBHPiMWFm3</t>
  </si>
  <si>
    <t>1570734369330</t>
  </si>
  <si>
    <t>-Lqr37PaVEE3JoMKv9JT</t>
  </si>
  <si>
    <t>1570734375492</t>
  </si>
  <si>
    <t>-Lqr38uoeMtRnDqO_53d</t>
  </si>
  <si>
    <t>1570734381707</t>
  </si>
  <si>
    <t>-Lqr3AQ67HL1wO7kEGbF</t>
  </si>
  <si>
    <t>1570734387883</t>
  </si>
  <si>
    <t>-Lqr3BwkCm9QlZhvBQXa</t>
  </si>
  <si>
    <t>1570734394059</t>
  </si>
  <si>
    <t>-Lqr3DUVg_ZATNiR5wI4</t>
  </si>
  <si>
    <t>1570734400252</t>
  </si>
  <si>
    <t>-Lqr3EzbgUSP1Wlrnxni</t>
  </si>
  <si>
    <t>1570734406424</t>
  </si>
  <si>
    <t>-Lqr3GSQj0ATyhH4wWJQ</t>
  </si>
  <si>
    <t>1570734412610</t>
  </si>
  <si>
    <t>-Lqr3I1jz0Cp-ZHzIApD</t>
  </si>
  <si>
    <t>1570734418797</t>
  </si>
  <si>
    <t>-Lqr3K3iEBKA4m7qcRNo</t>
  </si>
  <si>
    <t>1570734427145</t>
  </si>
  <si>
    <t>-Lqr3Lnn0795fgSZg_Ma</t>
  </si>
  <si>
    <t>1570734434253</t>
  </si>
  <si>
    <t>-Lqr3NGbwRO2VCp0H5wi</t>
  </si>
  <si>
    <t>1570734440382</t>
  </si>
  <si>
    <t>-Lqr3OponCHGLqJKq7MS</t>
  </si>
  <si>
    <t>1570734446605</t>
  </si>
  <si>
    <t>-Lqr3QYaWS2gJIFD5Kj_</t>
  </si>
  <si>
    <t>1570734453812</t>
  </si>
  <si>
    <t>-Lqr3S6iaQnO5hq2e37e</t>
  </si>
  <si>
    <t>1570734460031</t>
  </si>
  <si>
    <t>-Lqr3ToWPWLLw3xNwJcO</t>
  </si>
  <si>
    <t>1570734467216</t>
  </si>
  <si>
    <t>-Lqr3Vcign9-Z8UuZG4v</t>
  </si>
  <si>
    <t>1570734474577</t>
  </si>
  <si>
    <t>-Lqr3XLeCRyc76Pmyo2_</t>
  </si>
  <si>
    <t>1570734481659</t>
  </si>
  <si>
    <t>-Lqr3YtWYRTn9L7bhAt8</t>
  </si>
  <si>
    <t>1570734487829</t>
  </si>
  <si>
    <t>-Lqr3_cuSvLEXunPyB1Q</t>
  </si>
  <si>
    <t>1570734495032</t>
  </si>
  <si>
    <t>-Lqr3bQjGz9Ldci4gU3x</t>
  </si>
  <si>
    <t>1570734502244</t>
  </si>
  <si>
    <t>-Lqr3d8Fq6EEhrDes3eD</t>
  </si>
  <si>
    <t>1570734509460</t>
  </si>
  <si>
    <t>-Lqr3fAbGmPkl4eU_6j1</t>
  </si>
  <si>
    <t>1570734517630</t>
  </si>
  <si>
    <t>-Lqr3gejsXD726TqYDW3</t>
  </si>
  <si>
    <t>1570734523897</t>
  </si>
  <si>
    <t>-Lqr3iDkUrsZry3u_sy4</t>
  </si>
  <si>
    <t>1570734530082</t>
  </si>
  <si>
    <t>-Lqr3jvWbxSxkHtvS3FR</t>
  </si>
  <si>
    <t>1570734537287</t>
  </si>
  <si>
    <t>-Lqr3lPZJ2lYUfcNaotV</t>
  </si>
  <si>
    <t>1570734543483</t>
  </si>
  <si>
    <t>-Lqr3nFCfGjmPVEEV4JT</t>
  </si>
  <si>
    <t>1570734549641</t>
  </si>
  <si>
    <t>-Lqr3ovMxz0o2xmo-2Po</t>
  </si>
  <si>
    <t>1570734557890</t>
  </si>
  <si>
    <t>-Lqr3qVX1bciabUI0WnV</t>
  </si>
  <si>
    <t>1570734564070</t>
  </si>
  <si>
    <t>-Lqr3rzfLPYEFssff6Sy</t>
  </si>
  <si>
    <t>1570734570258</t>
  </si>
  <si>
    <t>-Lqr3tTjOCcxNBHNEERn</t>
  </si>
  <si>
    <t>1570734576445</t>
  </si>
  <si>
    <t>-Lqr3v32ShNNVR0C_DEo</t>
  </si>
  <si>
    <t>1570734582620</t>
  </si>
  <si>
    <t>-Lqr3wkeVp7Czy8QPLDT</t>
  </si>
  <si>
    <t>1570734589819</t>
  </si>
  <si>
    <t>-Lqr3yJjIOiHHSp48Q60</t>
  </si>
  <si>
    <t>1570734596008</t>
  </si>
  <si>
    <t>-Lqr4-1bIU59alMRuhT3</t>
  </si>
  <si>
    <t>1570734603236</t>
  </si>
  <si>
    <t>-Lqr40WbuwQZA1ajZZyw</t>
  </si>
  <si>
    <t>1570734609388</t>
  </si>
  <si>
    <t>-Lqr420w84pCMAaKgeo5</t>
  </si>
  <si>
    <t>1570734615581</t>
  </si>
  <si>
    <t>-Lqr43ike6ImbfIVtarh</t>
  </si>
  <si>
    <t>1570734622526</t>
  </si>
  <si>
    <t>-Lqr45MoYsh9Sk11v9n6</t>
  </si>
  <si>
    <t>1570734628984</t>
  </si>
  <si>
    <t>-Lqr473sS4iwRhmyoqCu</t>
  </si>
  <si>
    <t>1570734636193</t>
  </si>
  <si>
    <t>-Lqr48Zl09bPx6xDrSY9</t>
  </si>
  <si>
    <t>1570734642341</t>
  </si>
  <si>
    <t>-Lqr4A7gOGmNXgZTsLem</t>
  </si>
  <si>
    <t>1570734648546</t>
  </si>
  <si>
    <t>-Lqr4BqpeH53tufdWTUd</t>
  </si>
  <si>
    <t>1570734655745</t>
  </si>
  <si>
    <t>-Lqr4DPoDFLIyekQbn1D</t>
  </si>
  <si>
    <t>1570734661934</t>
  </si>
  <si>
    <t>-Lqr4F7bGa3hmaCfwROd</t>
  </si>
  <si>
    <t>1570734669178</t>
  </si>
  <si>
    <t>-Lqr4Gbe8VXWcpPDilWT</t>
  </si>
  <si>
    <t>1570734675344</t>
  </si>
  <si>
    <t>-Lqr4IBZ_CIPZpQRBGSN</t>
  </si>
  <si>
    <t>1570734681503</t>
  </si>
  <si>
    <t>-Lqr4Ju7zXbNa_l8g3fJ</t>
  </si>
  <si>
    <t>1570734688724</t>
  </si>
  <si>
    <t>-Lqr4LSkHP6Grim5Ha78</t>
  </si>
  <si>
    <t>1570734694898</t>
  </si>
  <si>
    <t>-Lqr4NAlg2a6GCQfDqZJ</t>
  </si>
  <si>
    <t>1570734702139</t>
  </si>
  <si>
    <t>-Lqr4OyjMfxMKYP7kxoG</t>
  </si>
  <si>
    <t>1570734709349</t>
  </si>
  <si>
    <t>-Lqr4Qgbiw3v7g_xavVl</t>
  </si>
  <si>
    <t>1570734716539</t>
  </si>
  <si>
    <t>-Lqr4SEBq3YWy1eAOZDG</t>
  </si>
  <si>
    <t>1570734722745</t>
  </si>
  <si>
    <t>-Lqr4UHcU9o8T1BJYhRg</t>
  </si>
  <si>
    <t>1570734729959</t>
  </si>
  <si>
    <t>-Lqr4W-bSE_lwojNEvUF</t>
  </si>
  <si>
    <t>1570734738193</t>
  </si>
  <si>
    <t>-Lqr4XVwACx3S__hZJLb</t>
  </si>
  <si>
    <t>1570734744371</t>
  </si>
  <si>
    <t>-Lqr4Z2k0Jjq1aGiwnqB</t>
  </si>
  <si>
    <t>1570734750553</t>
  </si>
  <si>
    <t>-Lqr4_mnu0udNhcEMp_n</t>
  </si>
  <si>
    <t>1570734757798</t>
  </si>
  <si>
    <t>-Lqr4bZl5UXOXLCZwZcg</t>
  </si>
  <si>
    <t>1570734764954</t>
  </si>
  <si>
    <t>-Lqr4dHnoUnNvguXlvy8</t>
  </si>
  <si>
    <t>1570734772190</t>
  </si>
  <si>
    <t>-Lqr4f_w3gWhALwbUnD5</t>
  </si>
  <si>
    <t>1570734780621</t>
  </si>
  <si>
    <t>-Lqr4hLguyBY2IMkCS2E</t>
  </si>
  <si>
    <t>1570734788687</t>
  </si>
  <si>
    <t>-Lqr4j3auaT7zD2vKMeA</t>
  </si>
  <si>
    <t>1570734795904</t>
  </si>
  <si>
    <t>-Lqr4kcfACqcrWyEl_Or</t>
  </si>
  <si>
    <t>1570734802083</t>
  </si>
  <si>
    <t>-Lqr4mqBhRdAJF2lXt71</t>
  </si>
  <si>
    <t>1570734811262</t>
  </si>
  <si>
    <t>-Lqr4oMggjMtoAOlRvHZ</t>
  </si>
  <si>
    <t>1570734817537</t>
  </si>
  <si>
    <t>-Lqr4q5ngW2ltFW8hNYF</t>
  </si>
  <si>
    <t>1570734824717</t>
  </si>
  <si>
    <t>-Lqr4reyoEzPNOHBmRNd</t>
  </si>
  <si>
    <t>1570734830893</t>
  </si>
  <si>
    <t>-Lqr4tXiNLWt_KLCOzfe</t>
  </si>
  <si>
    <t>1570734838693</t>
  </si>
  <si>
    <t>-Lqr4v9__UTrf2kyvCRc</t>
  </si>
  <si>
    <t>1570734845357</t>
  </si>
  <si>
    <t>-Lqr4wrOAYK5Jy0YMtv5</t>
  </si>
  <si>
    <t>1570734852534</t>
  </si>
  <si>
    <t>-Lqr4yRgUZSqXx1a5VMB</t>
  </si>
  <si>
    <t>1570734858742</t>
  </si>
  <si>
    <t>-Lqr5-AJpVWIOgGfgI_i</t>
  </si>
  <si>
    <t>1570734865961</t>
  </si>
  <si>
    <t>-Lqr50ybDeMZFFtN9xPS</t>
  </si>
  <si>
    <t>1570734873171</t>
  </si>
  <si>
    <t>-Lqr52qiQiCuEGnoXhHW</t>
  </si>
  <si>
    <t>1570734880382</t>
  </si>
  <si>
    <t>-Lqr54UevXZMy_aKrKYW</t>
  </si>
  <si>
    <t>1570734887596</t>
  </si>
  <si>
    <t>-Lqr56CmjYIgEVjKYPd4</t>
  </si>
  <si>
    <t>1570734894781</t>
  </si>
  <si>
    <t>-Lqr57lngZzYVBqwt3SU</t>
  </si>
  <si>
    <t>1570734900982</t>
  </si>
  <si>
    <t>-Lqr59UehIEoCUxPZ-Nc</t>
  </si>
  <si>
    <t>1570734908202</t>
  </si>
  <si>
    <t>-Lqr5AynfqykM0-Tb8V1</t>
  </si>
  <si>
    <t>1570734914381</t>
  </si>
  <si>
    <t>-Lqr5CXbkIARLNlp6cFc</t>
  </si>
  <si>
    <t>1570734920567</t>
  </si>
  <si>
    <t>-Lqr5E-hhBhoOsRKxFd-</t>
  </si>
  <si>
    <t>1570734926766</t>
  </si>
  <si>
    <t>-Lqr5FjmqwkZqhE165FM</t>
  </si>
  <si>
    <t>1570734933954</t>
  </si>
  <si>
    <t>-Lqr5HIo9Tdd2jNBQorE</t>
  </si>
  <si>
    <t>1570734940186</t>
  </si>
  <si>
    <t>-Lqr5J69VeDHJShEU3Bt</t>
  </si>
  <si>
    <t>1570734947371</t>
  </si>
  <si>
    <t>-Lqr5Kon-vnW_MIVDjNt</t>
  </si>
  <si>
    <t>1570734954559</t>
  </si>
  <si>
    <t>-Lqr5Mbg-E9mO0fNApTw</t>
  </si>
  <si>
    <t>1570734961781</t>
  </si>
  <si>
    <t>-Lqr5OKmhiibIH-8sC3k</t>
  </si>
  <si>
    <t>1570734968985</t>
  </si>
  <si>
    <t>-Lqr5Q7oEaLWQF98LaDk</t>
  </si>
  <si>
    <t>1570734976203</t>
  </si>
  <si>
    <t>-Lqr5RoZddvAU9zXEnbc</t>
  </si>
  <si>
    <t>1570734983415</t>
  </si>
  <si>
    <t>-Lqr5TPoInB1dTnz-a8V</t>
  </si>
  <si>
    <t>1570734989611</t>
  </si>
  <si>
    <t>-Lqr5V7m8RxKIZhgriWX</t>
  </si>
  <si>
    <t>1570734996813</t>
  </si>
  <si>
    <t>-Lqr5WvmOi_loktswDnY</t>
  </si>
  <si>
    <t>1570735004023</t>
  </si>
  <si>
    <t>-Lqr5YtGcbvsSSng2HWX</t>
  </si>
  <si>
    <t>1570735011229</t>
  </si>
  <si>
    <t>-Lqr5_WoeSqOkV3Ex6ce</t>
  </si>
  <si>
    <t>1570735018882</t>
  </si>
  <si>
    <t>-Lqr5b9icS5PrLvmn1y1</t>
  </si>
  <si>
    <t>1570735025663</t>
  </si>
  <si>
    <t>-Lqr5cijOG7Vy_SfIJO2</t>
  </si>
  <si>
    <t>1570735031877</t>
  </si>
  <si>
    <t>-Lqr5eRg9-DibILq80F1</t>
  </si>
  <si>
    <t>1570735039065</t>
  </si>
  <si>
    <t>-Lqr5fx08es9JLKfaJ_U</t>
  </si>
  <si>
    <t>1570735045240</t>
  </si>
  <si>
    <t>-Lqr5hZxsJP3-jN9CYZW</t>
  </si>
  <si>
    <t>1570735051424</t>
  </si>
  <si>
    <t>-Lqr5jBfZnknwu3d1fgt</t>
  </si>
  <si>
    <t>1570735058628</t>
  </si>
  <si>
    <t>-Lqr5l-qSG32AJpjdiwK</t>
  </si>
  <si>
    <t>1570735065836</t>
  </si>
  <si>
    <t>-Lqr5mihaeeQ3W4KZADK</t>
  </si>
  <si>
    <t>1570735073022</t>
  </si>
  <si>
    <t>-Lqr5oHuuYgim3O0p9Zg</t>
  </si>
  <si>
    <t>1570735079245</t>
  </si>
  <si>
    <t>-Lqr5q8o9YVCA5BnhHPW</t>
  </si>
  <si>
    <t>1570735087140</t>
  </si>
  <si>
    <t>-Lqr5rj2ltcynv9YF0ft</t>
  </si>
  <si>
    <t>1570735093663</t>
  </si>
  <si>
    <t>-Lqr5tHttnLtlq1XxxXr</t>
  </si>
  <si>
    <t>1570735099843</t>
  </si>
  <si>
    <t>-Lqr5v-Htat1gSdLgXKY</t>
  </si>
  <si>
    <t>1570735107048</t>
  </si>
  <si>
    <t>-Lqr5wZl0IL7b5sEA2v6</t>
  </si>
  <si>
    <t>1570735113231</t>
  </si>
  <si>
    <t>-Lqr5y2qwkMcE25YkyoR</t>
  </si>
  <si>
    <t>1570735119423</t>
  </si>
  <si>
    <t>-Lqr5zqkQGFVpnxtnBZA</t>
  </si>
  <si>
    <t>1570735126638</t>
  </si>
  <si>
    <t>-Lqr60ZqyxaJNj54vYL2</t>
  </si>
  <si>
    <t>1570735133824</t>
  </si>
  <si>
    <t>-Lqr62Mory81TyNCJ75u</t>
  </si>
  <si>
    <t>1570735141102</t>
  </si>
  <si>
    <t>-Lqr63qhvie1YB5qCkgT</t>
  </si>
  <si>
    <t>1570735147235</t>
  </si>
  <si>
    <t>-Lqr65Ph5J5xst90aBCd</t>
  </si>
  <si>
    <t>1570735153436</t>
  </si>
  <si>
    <t>-Lqr677jxsSYJx_xOFta</t>
  </si>
  <si>
    <t>1570735160627</t>
  </si>
  <si>
    <t>-Lqr68c-D1ymgXM81jiK</t>
  </si>
  <si>
    <t>1570735166781</t>
  </si>
  <si>
    <t>-Lqr6APn-kX_k5jGG8PQ</t>
  </si>
  <si>
    <t>1570735174040</t>
  </si>
  <si>
    <t>-Lqr6C7qbivv8O4_gJDH</t>
  </si>
  <si>
    <t>1570735181252</t>
  </si>
  <si>
    <t>-Lqr6DgcXsiLxuAgTdaZ</t>
  </si>
  <si>
    <t>1570735187423</t>
  </si>
  <si>
    <t>-Lqr6FPgVc0B4j28gl9-</t>
  </si>
  <si>
    <t>1570735194617</t>
  </si>
  <si>
    <t>-Lqr6GydnVyjavDV8sh6</t>
  </si>
  <si>
    <t>1570735200826</t>
  </si>
  <si>
    <t>-Lqr6IggBUuZoau_lQM0</t>
  </si>
  <si>
    <t>1570735208025</t>
  </si>
  <si>
    <t>-Lqr6K9iTLBQSAyZcXif</t>
  </si>
  <si>
    <t>1570735214214</t>
  </si>
  <si>
    <t>-Lqr6Ll17rdYQjtH-MS8</t>
  </si>
  <si>
    <t>1570735220394</t>
  </si>
  <si>
    <t>-Lqr6NSo-ZaGJRYVvQDq</t>
  </si>
  <si>
    <t>1570735227593</t>
  </si>
  <si>
    <t>-Lqr6PMHqXbhIi5WuQXU</t>
  </si>
  <si>
    <t>1570735233790</t>
  </si>
  <si>
    <t>-Lqr6QygnK2QbXVd_oGG</t>
  </si>
  <si>
    <t>1570735242044</t>
  </si>
  <si>
    <t>-Lqr6SXqA2fxYv0Pnnok</t>
  </si>
  <si>
    <t>1570735248209</t>
  </si>
  <si>
    <t>-Lqr6UFmWp3b_u7FWfwn</t>
  </si>
  <si>
    <t>1570735255422</t>
  </si>
  <si>
    <t>-Lqr6Vom1Z-03qknb_vF</t>
  </si>
  <si>
    <t>1570735261609</t>
  </si>
  <si>
    <t>-Lqr6XXqC6_J9FPkfrjt</t>
  </si>
  <si>
    <t>1570735268815</t>
  </si>
  <si>
    <t>-Lqr6ZJYOI6k2M_JYda5</t>
  </si>
  <si>
    <t>1570735276034</t>
  </si>
  <si>
    <t>-Lqr6a2lcs8EAwyC4-Jp</t>
  </si>
  <si>
    <t>1570735283261</t>
  </si>
  <si>
    <t>-Lqr6bs8e64QilMn8zdi</t>
  </si>
  <si>
    <t>1570735290460</t>
  </si>
  <si>
    <t>-Lqr6dXQ2rnKc8_B1qCU</t>
  </si>
  <si>
    <t>1570735297658</t>
  </si>
  <si>
    <t>-Lqr6fMl_LaQ7MVQu-C1</t>
  </si>
  <si>
    <t>1570735304882</t>
  </si>
  <si>
    <t>-Lqr6h4lkClREQMusCdw</t>
  </si>
  <si>
    <t>1570735312065</t>
  </si>
  <si>
    <t>-Lqr6ieo-0VPb627IJPv</t>
  </si>
  <si>
    <t>1570735318280</t>
  </si>
  <si>
    <t>-Lqr6kMluq4bxHzA8G5A</t>
  </si>
  <si>
    <t>1570735325501</t>
  </si>
  <si>
    <t>-Lqr6m9NhNRCb5vAbdQI</t>
  </si>
  <si>
    <t>1570735332702</t>
  </si>
  <si>
    <t>-Lqr6ndlS9a2BjjoXw4A</t>
  </si>
  <si>
    <t>1570735338878</t>
  </si>
  <si>
    <t>-Lqr6p7LgRgux8InM97U</t>
  </si>
  <si>
    <t>1570735345084</t>
  </si>
  <si>
    <t>-Lqr6qglzwrp1LW4mgoX</t>
  </si>
  <si>
    <t>1570735351246</t>
  </si>
  <si>
    <t>-Lqr6sPq_3zLSiRHEfv0</t>
  </si>
  <si>
    <t>1570735358460</t>
  </si>
  <si>
    <t>-Lqr6uB_arsk93oV2dhc</t>
  </si>
  <si>
    <t>1570735365679</t>
  </si>
  <si>
    <t>-Lqr6vveDliTMset-7O9</t>
  </si>
  <si>
    <t>1570735372859</t>
  </si>
  <si>
    <t>-Lqr6xQ3SNeIPEaBjiOS</t>
  </si>
  <si>
    <t>1570735379075</t>
  </si>
  <si>
    <t>-Lqr6yykZL1gIQJCQ6eX</t>
  </si>
  <si>
    <t>1570735385259</t>
  </si>
  <si>
    <t>-Lqr7-VVkYnjGMSiIbQp</t>
  </si>
  <si>
    <t>1570735391419</t>
  </si>
  <si>
    <t>-Lqr71EdSRLggt376rVQ</t>
  </si>
  <si>
    <t>1570735398650</t>
  </si>
  <si>
    <t>-Lqr72xbmhp1QDKrMd8K</t>
  </si>
  <si>
    <t>1570735405829</t>
  </si>
  <si>
    <t>-Lqr74WZzhb3rk-5SZu1</t>
  </si>
  <si>
    <t>1570735412019</t>
  </si>
  <si>
    <t>-Lqr76Fgv-8ePB7-M7C-</t>
  </si>
  <si>
    <t>1570735419260</t>
  </si>
  <si>
    <t>-Lqr781_L5cI29e8fezo</t>
  </si>
  <si>
    <t>1570735426475</t>
  </si>
  <si>
    <t>-Lqr79mukwOq1z33RNUi</t>
  </si>
  <si>
    <t>1570735433660</t>
  </si>
  <si>
    <t>-Lqr7BLvBMpLECwEFX-L</t>
  </si>
  <si>
    <t>1570735439856</t>
  </si>
  <si>
    <t>-Lqr7D0FRau6Kvihb-tZ</t>
  </si>
  <si>
    <t>1570735447080</t>
  </si>
  <si>
    <t>-Lqr7EXdz_0ye0JMHELB</t>
  </si>
  <si>
    <t>1570735453260</t>
  </si>
  <si>
    <t>-Lqr7G4yJBPemb9qOcWm</t>
  </si>
  <si>
    <t>1570735459441</t>
  </si>
  <si>
    <t>-Lqr7I6f9HdqwvA3_H3d</t>
  </si>
  <si>
    <t>1570735467925</t>
  </si>
  <si>
    <t>-Lqr7JpQ_VrNG-xjXbAe</t>
  </si>
  <si>
    <t>1570735474899</t>
  </si>
  <si>
    <t>-Lqr7LJVZ4BL6hYuaqhF</t>
  </si>
  <si>
    <t>1570735481053</t>
  </si>
  <si>
    <t>-Lqr7MsUcHd5RY_W71f4</t>
  </si>
  <si>
    <t>1570735487269</t>
  </si>
  <si>
    <t>-Lqr7ONc4uVHLOlDdX-Z</t>
  </si>
  <si>
    <t>1570735493448</t>
  </si>
  <si>
    <t>-Lqr7PqUnGEnEgINV6oS</t>
  </si>
  <si>
    <t>1570735499635</t>
  </si>
  <si>
    <t>-Lqr7RPPtU24AgabASqH</t>
  </si>
  <si>
    <t>1570735505802</t>
  </si>
  <si>
    <t>-Lqr7Sr2M6pKgxnxgGAD</t>
  </si>
  <si>
    <t>1570735511981</t>
  </si>
  <si>
    <t>-Lqr7UMJj9x-hb9OdCMw</t>
  </si>
  <si>
    <t>1570735518140</t>
  </si>
  <si>
    <t>-Lqr7VyE7lXSfOz9o-Lf</t>
  </si>
  <si>
    <t>1570735524358</t>
  </si>
  <si>
    <t>-Lqr7Xfj1C7OlJC0G8hh</t>
  </si>
  <si>
    <t>1570735531581</t>
  </si>
  <si>
    <t>-Lqr7ZEdbXWTjJEYX35Z</t>
  </si>
  <si>
    <t>1570735537755</t>
  </si>
  <si>
    <t>-Lqr7_www_B7ihDTRLd0</t>
  </si>
  <si>
    <t>1570735544983</t>
  </si>
  <si>
    <t>-Lqr7bjdfjjDHmUAKf6b</t>
  </si>
  <si>
    <t>1570735552170</t>
  </si>
  <si>
    <t>-Lqr7dS_mijmC3-FUBxR</t>
  </si>
  <si>
    <t>1570735559392</t>
  </si>
  <si>
    <t>-Lqr7fHIJfDcy9UzBgGj</t>
  </si>
  <si>
    <t>1570735566600</t>
  </si>
  <si>
    <t>-Lqr7hDkkSyzE40ElF14</t>
  </si>
  <si>
    <t>1570735574692</t>
  </si>
  <si>
    <t>-Lqr7ihnuURr9aX1RW03</t>
  </si>
  <si>
    <t>1570735581024</t>
  </si>
  <si>
    <t>-Lqr7kFh8ZS-4K-0subp</t>
  </si>
  <si>
    <t>1570735587209</t>
  </si>
  <si>
    <t>-Lqr7lzlwczi9N21wdKZ</t>
  </si>
  <si>
    <t>1570735594418</t>
  </si>
  <si>
    <t>-Lqr7nYg7Rax2SvSma0h</t>
  </si>
  <si>
    <t>1570735600600</t>
  </si>
  <si>
    <t>-Lqr7p2qubu_CWeECqlh</t>
  </si>
  <si>
    <t>1570735606778</t>
  </si>
  <si>
    <t>-Lqr7q_e72xyr1o9lEbp</t>
  </si>
  <si>
    <t>1570735612964</t>
  </si>
  <si>
    <t>-Lqr7sIPNWKFv2NCN-9s</t>
  </si>
  <si>
    <t>1570735620184</t>
  </si>
  <si>
    <t>-Lqr7tm_Jw3601k0VCYy</t>
  </si>
  <si>
    <t>1570735626373</t>
  </si>
  <si>
    <t>-Lqr7vXvc0vuhiwP9U9h</t>
  </si>
  <si>
    <t>1570735633578</t>
  </si>
  <si>
    <t>-Lqr7xOoWvf5jzVAUSda</t>
  </si>
  <si>
    <t>1570735639738</t>
  </si>
  <si>
    <t>-Lqr7z5fPNBvB9mJ452v</t>
  </si>
  <si>
    <t>1570735647998</t>
  </si>
  <si>
    <t>-Lqr8-ujcEOnAaosN6V9</t>
  </si>
  <si>
    <t>1570735655209</t>
  </si>
  <si>
    <t>-Lqr81bfJcDcbWibKsNo</t>
  </si>
  <si>
    <t>1570735662416</t>
  </si>
  <si>
    <t>-Lqr83Q1TU1vUkt2UbHx</t>
  </si>
  <si>
    <t>1570735669633</t>
  </si>
  <si>
    <t>-Lqr856H5MJOR80vn_0t</t>
  </si>
  <si>
    <t>1570735676859</t>
  </si>
  <si>
    <t>-Lqr86gUqvhdkTjpJ-pg</t>
  </si>
  <si>
    <t>1570735683048</t>
  </si>
  <si>
    <t>-Lqr88iRCgaZOaT4onRA</t>
  </si>
  <si>
    <t>1570735690244</t>
  </si>
  <si>
    <t>-Lqr8ASld3KcASE89noP</t>
  </si>
  <si>
    <t>1570735698484</t>
  </si>
  <si>
    <t>-Lqr8BuQrp9rzuunkNsv</t>
  </si>
  <si>
    <t>1570735704660</t>
  </si>
  <si>
    <t>-Lqr8DjlWPjnUJVGqNhT</t>
  </si>
  <si>
    <t>1570735711849</t>
  </si>
  <si>
    <t>-Lqr8FSeWj1GhKyEtk0J</t>
  </si>
  <si>
    <t>1570735719100</t>
  </si>
  <si>
    <t>-Lqr8H-M0asBkKrHF3Ls</t>
  </si>
  <si>
    <t>1570735725275</t>
  </si>
  <si>
    <t>-Lqr8Iian8tH_an0En07</t>
  </si>
  <si>
    <t>1570735732497</t>
  </si>
  <si>
    <t>-Lqr8KDkNP4iZfsd0PnL</t>
  </si>
  <si>
    <t>1570735738684</t>
  </si>
  <si>
    <t>-Lqr8LhdcTtkTWjyK0dy</t>
  </si>
  <si>
    <t>1570735744850</t>
  </si>
  <si>
    <t>-Lqr8NGj95OchVVLB3LS</t>
  </si>
  <si>
    <t>1570735751035</t>
  </si>
  <si>
    <t>-Lqr8Okk6SnSEgijGGbm</t>
  </si>
  <si>
    <t>1570735757191</t>
  </si>
  <si>
    <t>-Lqr8QI_4pIdNdFa4FPf</t>
  </si>
  <si>
    <t>1570735763400</t>
  </si>
  <si>
    <t>-Lqr8S0WESgYOfcEBVDz</t>
  </si>
  <si>
    <t>1570735770621</t>
  </si>
  <si>
    <t>-Lqr8TagqmZtLqe-y7zU</t>
  </si>
  <si>
    <t>1570735776802</t>
  </si>
  <si>
    <t>-Lqr8VIIQNzAnvfF9Z_N</t>
  </si>
  <si>
    <t>1570735784009</t>
  </si>
  <si>
    <t>-Lqr8Wn_hz_-kqYrx2ja</t>
  </si>
  <si>
    <t>1570735790204</t>
  </si>
  <si>
    <t>-Lqr8YHb3NAkXNYkrzQX</t>
  </si>
  <si>
    <t>1570735796370</t>
  </si>
  <si>
    <t>-Lqr8ZpM1Z_8q7y4rHql</t>
  </si>
  <si>
    <t>1570735802554</t>
  </si>
  <si>
    <t>-Lqr8aKdeII2Uo3NsTEr</t>
  </si>
  <si>
    <t>1570735808706</t>
  </si>
  <si>
    <t>-Lqr8buwuLbElNwx4czI</t>
  </si>
  <si>
    <t>1570735814913</t>
  </si>
  <si>
    <t>-Lqr8duQbGWJOxghEbV5</t>
  </si>
  <si>
    <t>1570735823383</t>
  </si>
  <si>
    <t>-Lqr8fe2yMZW55vquN-m</t>
  </si>
  <si>
    <t>1570735830383</t>
  </si>
  <si>
    <t>-Lqr8hMjTOFTu_j5U9N5</t>
  </si>
  <si>
    <t>1570735837576</t>
  </si>
  <si>
    <t>-Lqr8ivkb7o-IUPzZoUZ</t>
  </si>
  <si>
    <t>1570735843764</t>
  </si>
  <si>
    <t>-Lqr8kOWzzoQpOZVL6WS</t>
  </si>
  <si>
    <t>1570735849939</t>
  </si>
  <si>
    <t>-Lqr8lsd9qzjfRZnAEq5</t>
  </si>
  <si>
    <t>1570735856108</t>
  </si>
  <si>
    <t>-Lqr8nXfawn8i5OlRehE</t>
  </si>
  <si>
    <t>1570735862319</t>
  </si>
  <si>
    <t>-Lqr8p8MiYOgkVuxHIMB</t>
  </si>
  <si>
    <t>1570735869499</t>
  </si>
  <si>
    <t>-Lqr8qiZRdKd2aVPpmoJ</t>
  </si>
  <si>
    <t>1570735875682</t>
  </si>
  <si>
    <t>-Lqr8s_R6zkp01J80nN8</t>
  </si>
  <si>
    <t>1570735882920</t>
  </si>
  <si>
    <t>-Lqr8uFcgC_1T-81CvlA</t>
  </si>
  <si>
    <t>1570735890139</t>
  </si>
  <si>
    <t>-Lqr8wBUN5Tyht2YK5Bp</t>
  </si>
  <si>
    <t>1570735898339</t>
  </si>
  <si>
    <t>-Lqr8xleqhAIawDgEcw7</t>
  </si>
  <si>
    <t>1570735904561</t>
  </si>
  <si>
    <t>-Lqr8zV604P-0TLca7TY</t>
  </si>
  <si>
    <t>1570735910732</t>
  </si>
  <si>
    <t>-Lqr907kQ4B2Spbw5HKi</t>
  </si>
  <si>
    <t>1570735917938</t>
  </si>
  <si>
    <t>-Lqr91lnHGICIgBQNtM8</t>
  </si>
  <si>
    <t>1570735925174</t>
  </si>
  <si>
    <t>-Lqr93FgfJIO8743ryAd</t>
  </si>
  <si>
    <t>1570735931344</t>
  </si>
  <si>
    <t>-Lqr94ogxBnzZCWhRuYz</t>
  </si>
  <si>
    <t>1570735937525</t>
  </si>
  <si>
    <t>-Lqr96Io7xWWZNTjBI_4</t>
  </si>
  <si>
    <t>1570735943732</t>
  </si>
  <si>
    <t>-Lqr984b-4MZKu_iwJmI</t>
  </si>
  <si>
    <t>1570735950928</t>
  </si>
  <si>
    <t>-Lqr99mNo5uGZSr34pdB</t>
  </si>
  <si>
    <t>1570735958133</t>
  </si>
  <si>
    <t>-Lqr9BbswGyshT37ghYQ</t>
  </si>
  <si>
    <t>1570735965345</t>
  </si>
  <si>
    <t>-Lqr9DKo3m3uVX4CYSLn</t>
  </si>
  <si>
    <t>1570735972543</t>
  </si>
  <si>
    <t>-Lqr9Etbi6F1gGtJEvCb</t>
  </si>
  <si>
    <t>1570735978743</t>
  </si>
  <si>
    <t>-Lqr9GbyMjGwnJrJCvzv</t>
  </si>
  <si>
    <t>1570735985963</t>
  </si>
  <si>
    <t>-Lqr9IKsDJhYn2-tKO8N</t>
  </si>
  <si>
    <t>1570735993175</t>
  </si>
  <si>
    <t>-Lqr9Jtn-4gbKuI8x45D</t>
  </si>
  <si>
    <t>1570735999357</t>
  </si>
  <si>
    <t>-Lqr9LNovjyoQ51E6mSJ</t>
  </si>
  <si>
    <t>1570736005506</t>
  </si>
  <si>
    <t>-Lqr9MwUUn08Er8Vyr0U</t>
  </si>
  <si>
    <t>1570736011732</t>
  </si>
  <si>
    <t>-Lqr9OyjdM_un3BJTzHP</t>
  </si>
  <si>
    <t>1570736018942</t>
  </si>
  <si>
    <t>-Lqr9QhF0JnuIeLazsPj</t>
  </si>
  <si>
    <t>1570736027171</t>
  </si>
  <si>
    <t>-Lqr9SQA1-h0sLYqoqgT</t>
  </si>
  <si>
    <t>1570736034381</t>
  </si>
  <si>
    <t>-Lqr9Tyo6f9aV1sxoOft</t>
  </si>
  <si>
    <t>1570736040542</t>
  </si>
  <si>
    <t>-Lqr9VfiETvmn2QVT9ri</t>
  </si>
  <si>
    <t>1570736047748</t>
  </si>
  <si>
    <t>-Lqr9XFok4Nebyj7QzWE</t>
  </si>
  <si>
    <t>1570736053963</t>
  </si>
  <si>
    <t>-Lqr9YymtfSUnyZsGJbu</t>
  </si>
  <si>
    <t>1570736061183</t>
  </si>
  <si>
    <t>-Lqr9_SoKw6p-JMrET0D</t>
  </si>
  <si>
    <t>1570736067363</t>
  </si>
  <si>
    <t>-Lqr9b2bxTPGqMtduPcD</t>
  </si>
  <si>
    <t>1570736073532</t>
  </si>
  <si>
    <t>-Lqr9cicnLDcKi3uZaB4</t>
  </si>
  <si>
    <t>1570736080713</t>
  </si>
  <si>
    <t>-Lqr9eI__xiz97DApwTy</t>
  </si>
  <si>
    <t>1570736086933</t>
  </si>
  <si>
    <t>-Lqr9g9uruy8bLAsyoY_</t>
  </si>
  <si>
    <t>1570736094724</t>
  </si>
  <si>
    <t>-Lqr9hoaliCC9pm1jQsl</t>
  </si>
  <si>
    <t>1570736101352</t>
  </si>
  <si>
    <t>-Lqr9jXo0c1ZQReNC0ze</t>
  </si>
  <si>
    <t>1570736108535</t>
  </si>
  <si>
    <t>-Lqr9l5fiUfD7ZHr4FnA</t>
  </si>
  <si>
    <t>1570736114736</t>
  </si>
  <si>
    <t>-Lqr9mpGjJ8Uir8D5Dyt</t>
  </si>
  <si>
    <t>1570736121962</t>
  </si>
  <si>
    <t>-Lqr9objGA3Kf4NhMH-w</t>
  </si>
  <si>
    <t>1570736129171</t>
  </si>
  <si>
    <t>-Lqr9qIKfaVYOA9JKFo9</t>
  </si>
  <si>
    <t>1570736136377</t>
  </si>
  <si>
    <t>-Lqr9s7ikvBk5zSghZKa</t>
  </si>
  <si>
    <t>1570736143684</t>
  </si>
  <si>
    <t>-Lqr9toUyaOYoj1M8jeX</t>
  </si>
  <si>
    <t>1570736150769</t>
  </si>
  <si>
    <t>-Lqr9vPlDMUFKZ5XRcfb</t>
  </si>
  <si>
    <t>1570736156969</t>
  </si>
  <si>
    <t>-Lqr9x5IoK6eLq7xdjP6</t>
  </si>
  <si>
    <t>1570736164203</t>
  </si>
  <si>
    <t>-Lqr9ybjMSowSKk2siwa</t>
  </si>
  <si>
    <t>1570736170382</t>
  </si>
  <si>
    <t>-LqrA-9bHewkbiI9HnEo</t>
  </si>
  <si>
    <t>1570736176558</t>
  </si>
  <si>
    <t>-LqrA0s8LZe_J5KlMXfW</t>
  </si>
  <si>
    <t>1570736183749</t>
  </si>
  <si>
    <t>-LqrA2RkpX38albZbjbP</t>
  </si>
  <si>
    <t>1570736189958</t>
  </si>
  <si>
    <t>-LqrA48pyH9QZFzPFEoi</t>
  </si>
  <si>
    <t>1570736197169</t>
  </si>
  <si>
    <t>-LqrA5yjBSTBDEANu9BY</t>
  </si>
  <si>
    <t>1570736204396</t>
  </si>
  <si>
    <t>-LqrA7eO0IhTecYTfhKX</t>
  </si>
  <si>
    <t>1570736211570</t>
  </si>
  <si>
    <t>-LqrA9VsVZti9TzZUoqZ</t>
  </si>
  <si>
    <t>1570736217771</t>
  </si>
  <si>
    <t>-LqrABCikPdv3p8BdrbA</t>
  </si>
  <si>
    <t>1570736225996</t>
  </si>
  <si>
    <t>-LqrACkcmt3ouqgienjR</t>
  </si>
  <si>
    <t>1570736232203</t>
  </si>
  <si>
    <t>-LqrAESBwSEbIVzf9C6M</t>
  </si>
  <si>
    <t>1570736239410</t>
  </si>
  <si>
    <t>-LqrAG1zuKrDupyX3plH</t>
  </si>
  <si>
    <t>1570736245597</t>
  </si>
  <si>
    <t>-LqrAHjAq9whY9bomg6D</t>
  </si>
  <si>
    <t>1570736252813</t>
  </si>
  <si>
    <t>-LqrAJEBvT2q-KoTx5BF</t>
  </si>
  <si>
    <t>1570736259006</t>
  </si>
  <si>
    <t>-LqrAKocKLSlj2BTBtdH</t>
  </si>
  <si>
    <t>1570736265164</t>
  </si>
  <si>
    <t>-LqrAMVQ9QKHynReH853</t>
  </si>
  <si>
    <t>1570736272370</t>
  </si>
  <si>
    <t>-LqrAO5btf5xr1A23z55</t>
  </si>
  <si>
    <t>1570736278566</t>
  </si>
  <si>
    <t>-LqrAPoaS-imz-cJPgjZ</t>
  </si>
  <si>
    <t>1570736285817</t>
  </si>
  <si>
    <t>-LqrARHSxw3a78en4mP1</t>
  </si>
  <si>
    <t>1570736291968</t>
  </si>
  <si>
    <t>-LqrASqbLRzYz1gbcxzA</t>
  </si>
  <si>
    <t>1570736298147</t>
  </si>
  <si>
    <t>-LqrAUYGnjKrj4fuY0AX</t>
  </si>
  <si>
    <t>1570736305336</t>
  </si>
  <si>
    <t>-LqrAW7Pi92ENHhoV_IZ</t>
  </si>
  <si>
    <t>1570736311543</t>
  </si>
  <si>
    <t>-LqrAXpANSwtd8eoNVRM</t>
  </si>
  <si>
    <t>1570736318752</t>
  </si>
  <si>
    <t>-LqrAZKPL-raJ0__uvrQ</t>
  </si>
  <si>
    <t>1570736324938</t>
  </si>
  <si>
    <t>-LqrA_txXvM0LwXV9SOR</t>
  </si>
  <si>
    <t>1570736331116</t>
  </si>
  <si>
    <t>-LqrAbMErTm_1k2c-Yut</t>
  </si>
  <si>
    <t>1570736337301</t>
  </si>
  <si>
    <t>-LqrAdBjve7HCltGephJ</t>
  </si>
  <si>
    <t>1570736344670</t>
  </si>
  <si>
    <t>-LqrAertgtrXJwNSvGAu</t>
  </si>
  <si>
    <t>1570736351736</t>
  </si>
  <si>
    <t>-LqrAgTh_NjwbIsvCQkh</t>
  </si>
  <si>
    <t>1570736357917</t>
  </si>
  <si>
    <t>-LqrAiU__ahZp-ScwRHu</t>
  </si>
  <si>
    <t>1570736365123</t>
  </si>
  <si>
    <t>-LqrAkCXZZ_5U1WXxZDI</t>
  </si>
  <si>
    <t>1570736373353</t>
  </si>
  <si>
    <t>-LqrAlgYfiuLTj8X8pO3</t>
  </si>
  <si>
    <t>1570736379535</t>
  </si>
  <si>
    <t>-LqrAnAfaGsikIbN3Ah9</t>
  </si>
  <si>
    <t>1570736385735</t>
  </si>
  <si>
    <t>-LqrAokmhgozA8qasz-c</t>
  </si>
  <si>
    <t>1570736391910</t>
  </si>
  <si>
    <t>-LqrAqTgFGchwSVEqbdW</t>
  </si>
  <si>
    <t>1570736399097</t>
  </si>
  <si>
    <t>-LqrAs0emuUGP4vPZJdT</t>
  </si>
  <si>
    <t>1570736405309</t>
  </si>
  <si>
    <t>-LqrAtbhXl0zAIqCJLp2</t>
  </si>
  <si>
    <t>1570736411480</t>
  </si>
  <si>
    <t>-LqrAvErE-zI3AFwE8oM</t>
  </si>
  <si>
    <t>1570736418699</t>
  </si>
  <si>
    <t>-LqrAwox6RxxBfBx5raV</t>
  </si>
  <si>
    <t>1570736424866</t>
  </si>
  <si>
    <t>-LqrAyUDlFNxppSCgiRV</t>
  </si>
  <si>
    <t>1570736432057</t>
  </si>
  <si>
    <t>-LqrB--kmnr_jsCuroLr</t>
  </si>
  <si>
    <t>1570736438280</t>
  </si>
  <si>
    <t>-LqrB0Zl-PHvSECQLrjs</t>
  </si>
  <si>
    <t>1570736444452</t>
  </si>
  <si>
    <t>-LqrB20H6AwqmyGmhRBx</t>
  </si>
  <si>
    <t>1570736450611</t>
  </si>
  <si>
    <t>-LqrB3bx7QCUeUrL3bXK</t>
  </si>
  <si>
    <t>1570736456818</t>
  </si>
  <si>
    <t>-LqrB5LqJYb545gCsW7N</t>
  </si>
  <si>
    <t>1570736464023</t>
  </si>
  <si>
    <t>-LqrB6nXRKGdgXl_KnVl</t>
  </si>
  <si>
    <t>1570736470213</t>
  </si>
  <si>
    <t>-LqrB8OwC4OCXtVDFguV</t>
  </si>
  <si>
    <t>1570736476401</t>
  </si>
  <si>
    <t>-LqrBA3X4QdMgIG5DNAr</t>
  </si>
  <si>
    <t>1570736483579</t>
  </si>
  <si>
    <t>-LqrBBfwm_jShunpt57m</t>
  </si>
  <si>
    <t>1570736489795</t>
  </si>
  <si>
    <t>-LqrBDMN9oqxzmfXnR0H</t>
  </si>
  <si>
    <t>1570736497004</t>
  </si>
  <si>
    <t>-LqrBErY8GKSWhXnvpjk</t>
  </si>
  <si>
    <t>1570736503177</t>
  </si>
  <si>
    <t>-LqrBGbdB-cUGxrkvcmx</t>
  </si>
  <si>
    <t>1570736509362</t>
  </si>
  <si>
    <t>-LqrBI9wipp7ymrs8B4S</t>
  </si>
  <si>
    <t>1570736516542</t>
  </si>
  <si>
    <t>-LqrBJivB9NXL_xJ1pGV</t>
  </si>
  <si>
    <t>1570736522721</t>
  </si>
  <si>
    <t>-LqrBLS5f2EgLiAAUeu7</t>
  </si>
  <si>
    <t>1570736529980</t>
  </si>
  <si>
    <t>-LqrBNF1dsD1XbFogxNm</t>
  </si>
  <si>
    <t>1570736537194</t>
  </si>
  <si>
    <t>-LqrBOwlmBDpTPAKSdBI</t>
  </si>
  <si>
    <t>1570736544380</t>
  </si>
  <si>
    <t>-LqrBQVpzkZNWxGRm6rh</t>
  </si>
  <si>
    <t>1570736550578</t>
  </si>
  <si>
    <t>-LqrBSF3JH4N6jKvunDy</t>
  </si>
  <si>
    <t>1570736557796</t>
  </si>
  <si>
    <t>-LqrBTwnpv9OgkFXWCVx</t>
  </si>
  <si>
    <t>1570736565002</t>
  </si>
  <si>
    <t>-LqrBVVYUjaiysV1tIZ7</t>
  </si>
  <si>
    <t>1570736571187</t>
  </si>
  <si>
    <t>-LqrBWzcQbJKnUdaOusz</t>
  </si>
  <si>
    <t>1570736577339</t>
  </si>
  <si>
    <t>-LqrBYtE7GKRF5tTAGIe</t>
  </si>
  <si>
    <t>1570736583543</t>
  </si>
  <si>
    <t>-LqrB_UismTOT1U7MlX8</t>
  </si>
  <si>
    <t>1570736591810</t>
  </si>
  <si>
    <t>-LqrBazwwCscGrBdVIb9</t>
  </si>
  <si>
    <t>1570736597972</t>
  </si>
  <si>
    <t>-LqrBcUzQ6DDA5WcSt4N</t>
  </si>
  <si>
    <t>1570736604135</t>
  </si>
  <si>
    <t>-LqrBe0ZSrR2M9jUL_oO</t>
  </si>
  <si>
    <t>1570736610320</t>
  </si>
  <si>
    <t>-LqrBf_UlwWGmoPlhJDQ</t>
  </si>
  <si>
    <t>1570736616525</t>
  </si>
  <si>
    <t>-LqrBh6K0NJqiOnyzEC8</t>
  </si>
  <si>
    <t>1570736622710</t>
  </si>
  <si>
    <t>-LqrBimPrSw6d1F57aIU</t>
  </si>
  <si>
    <t>1570736629892</t>
  </si>
  <si>
    <t>-LqrBkNwSsGK6KQj8PsX</t>
  </si>
  <si>
    <t>1570736636106</t>
  </si>
  <si>
    <t>-LqrBm42-_8HjO7TBrZ7</t>
  </si>
  <si>
    <t>1570736643300</t>
  </si>
  <si>
    <t>-LqrBnr-zMwSMGt46tHd</t>
  </si>
  <si>
    <t>1570736650191</t>
  </si>
  <si>
    <t>-LqrBpMnMQtgN4AWS3g_</t>
  </si>
  <si>
    <t>1570736656693</t>
  </si>
  <si>
    <t>-LqrBqwva2ZKhoj0AnrP</t>
  </si>
  <si>
    <t>1570736662887</t>
  </si>
  <si>
    <t>-LqrBse09cBHnKiwPA6q</t>
  </si>
  <si>
    <t>1570736670104</t>
  </si>
  <si>
    <t>-LqrBuSGveb6R_4_r5Xb</t>
  </si>
  <si>
    <t>1570736677304</t>
  </si>
  <si>
    <t>-LqrBw7XB_KsCgcHhHOj</t>
  </si>
  <si>
    <t>1570736684534</t>
  </si>
  <si>
    <t>-LqrBxiVWL_bm5jOQPrJ</t>
  </si>
  <si>
    <t>1570736690718</t>
  </si>
  <si>
    <t>-LqrBzSqABso0M4Hts38</t>
  </si>
  <si>
    <t>1570736697917</t>
  </si>
  <si>
    <t>-LqrC0-usqycPzfwjDLH</t>
  </si>
  <si>
    <t>1570736704463</t>
  </si>
  <si>
    <t>-LqrC1isvPHdxG7rULIc</t>
  </si>
  <si>
    <t>1570736711312</t>
  </si>
  <si>
    <t>-LqrC3RiNik-ReJMoNDe</t>
  </si>
  <si>
    <t>1570736718524</t>
  </si>
  <si>
    <t>-LqrC5-wSN-O8QV9ZqlS</t>
  </si>
  <si>
    <t>1570736724702</t>
  </si>
  <si>
    <t>-LqrC6ij4NxNo7-Pa6KA</t>
  </si>
  <si>
    <t>1570736731895</t>
  </si>
  <si>
    <t>-LqrC8HotgnPYCgAVxbo</t>
  </si>
  <si>
    <t>1570736738099</t>
  </si>
  <si>
    <t>-LqrCA4dZ2SRyZXkRNGc</t>
  </si>
  <si>
    <t>1570736745311</t>
  </si>
  <si>
    <t>-LqrCBne69jC_4EdbNCn</t>
  </si>
  <si>
    <t>1570736752519</t>
  </si>
  <si>
    <t>-LqrCDkr2iIaLK_F0jw7</t>
  </si>
  <si>
    <t>1570736760579</t>
  </si>
  <si>
    <t>-LqrCFLmQTlnLNMX1XPW</t>
  </si>
  <si>
    <t>1570736766949</t>
  </si>
  <si>
    <t>-LqrCH1qxBTYtBmjfoIA</t>
  </si>
  <si>
    <t>1570736774140</t>
  </si>
  <si>
    <t>-LqrCIa1h9gjRAgV5cFl</t>
  </si>
  <si>
    <t>1570736780344</t>
  </si>
  <si>
    <t>-LqrCKYhkr9klOJ0XpWI</t>
  </si>
  <si>
    <t>1570736787554</t>
  </si>
  <si>
    <t>-LqrCM5Yt0nNZwgRc-b6</t>
  </si>
  <si>
    <t>1570736794763</t>
  </si>
  <si>
    <t>-LqrCNan3XmCv5TiYowH</t>
  </si>
  <si>
    <t>1570736800949</t>
  </si>
  <si>
    <t>-LqrCP3occ-X_tY2-jCJ</t>
  </si>
  <si>
    <t>1570736807114</t>
  </si>
  <si>
    <t>-LqrCRBxNcmFo8x2b2Bb</t>
  </si>
  <si>
    <t>1570736815512</t>
  </si>
  <si>
    <t>-LqrCSvuhlH5n0E11Xmd</t>
  </si>
  <si>
    <t>1570736822584</t>
  </si>
  <si>
    <t>-LqrCUaHwYMiPYci18gi</t>
  </si>
  <si>
    <t>1570736829811</t>
  </si>
  <si>
    <t>-LqrCWAeWoQ43jW5Q-li</t>
  </si>
  <si>
    <t>1570736835994</t>
  </si>
  <si>
    <t>-LqrCY8lRcBXmMOtNelS</t>
  </si>
  <si>
    <t>1570736844047</t>
  </si>
  <si>
    <t>-LqrCZgXnaLNFpRnrjAf</t>
  </si>
  <si>
    <t>1570736850414</t>
  </si>
  <si>
    <t>-LqrCaBjValdmAVpKuP7</t>
  </si>
  <si>
    <t>1570736856576</t>
  </si>
  <si>
    <t>-LqrCbdHfCDizV8DPEu2</t>
  </si>
  <si>
    <t>1570736862771</t>
  </si>
  <si>
    <t>-LqrCdRT0GcfwIWlAYbr</t>
  </si>
  <si>
    <t>1570736868959</t>
  </si>
  <si>
    <t>-LqrCfCm4sLHtp_1Xv3e</t>
  </si>
  <si>
    <t>1570736877178</t>
  </si>
  <si>
    <t>-LqrCgkbIsfUIFBZYM0C</t>
  </si>
  <si>
    <t>1570736883379</t>
  </si>
  <si>
    <t>-LqrCiTkAmEFajmltDSA</t>
  </si>
  <si>
    <t>1570736890599</t>
  </si>
  <si>
    <t>-LqrCjxsL-g-pjH5x5VF</t>
  </si>
  <si>
    <t>1570736896749</t>
  </si>
  <si>
    <t>-LqrClRuXWSrgHIPTDTC</t>
  </si>
  <si>
    <t>1570736902931</t>
  </si>
  <si>
    <t>-LqrCmzmIiWQ1v2JHAQR</t>
  </si>
  <si>
    <t>1570736909144</t>
  </si>
  <si>
    <t>-LqrCoZjnxxzxwUwrtPH</t>
  </si>
  <si>
    <t>1570736915382</t>
  </si>
  <si>
    <t>-LqrCqFRvkNeEui5R8LC</t>
  </si>
  <si>
    <t>1570736922535</t>
  </si>
  <si>
    <t>-LqrCrjJb7JCD5nE1aVj</t>
  </si>
  <si>
    <t>1570736928690</t>
  </si>
  <si>
    <t>-LqrCtKulzr2eCquECGv</t>
  </si>
  <si>
    <t>1570736934903</t>
  </si>
  <si>
    <t>-LqrCv1RCCWzUtVjhuP_</t>
  </si>
  <si>
    <t>1570736942116</t>
  </si>
  <si>
    <t>-LqrCwWchvOKpX_3WAM-</t>
  </si>
  <si>
    <t>1570736948299</t>
  </si>
  <si>
    <t>-LqrCy5mRA1IErXMOkVP</t>
  </si>
  <si>
    <t>1570736954479</t>
  </si>
  <si>
    <t>-LqrCzmHBepaoKxtEg7E</t>
  </si>
  <si>
    <t>1570736961652</t>
  </si>
  <si>
    <t>-LqrD0RCxD-DGi7EICmh</t>
  </si>
  <si>
    <t>1570736967862</t>
  </si>
  <si>
    <t>-LqrD24VytAdJGG4uH2K</t>
  </si>
  <si>
    <t>1570736975082</t>
  </si>
  <si>
    <t>-LqrD3dUPab4e-_dJPAt</t>
  </si>
  <si>
    <t>1570736981271</t>
  </si>
  <si>
    <t>-LqrD5P1pbiYysSBqInM</t>
  </si>
  <si>
    <t>1570736988477</t>
  </si>
  <si>
    <t>-LqrD7Akvfw6bFC-gbgN</t>
  </si>
  <si>
    <t>1570736995696</t>
  </si>
  <si>
    <t>-LqrD8tkmHyuFwWHmk5V</t>
  </si>
  <si>
    <t>1570737002927</t>
  </si>
  <si>
    <t>-LqrDAMeLQGOR9SpjELP</t>
  </si>
  <si>
    <t>1570737009082</t>
  </si>
  <si>
    <t>-LqrDC6ox2bhBftTUx_W</t>
  </si>
  <si>
    <t>1570737016299</t>
  </si>
  <si>
    <t>-LqrDDef7tUIG3xSPdqF</t>
  </si>
  <si>
    <t>1570737022460</t>
  </si>
  <si>
    <t>-LqrDFC_6lSFavHUvNA4</t>
  </si>
  <si>
    <t>1570737028655</t>
  </si>
  <si>
    <t>-LqrDHZmdMpmdqSc4pTC</t>
  </si>
  <si>
    <t>1570737035869</t>
  </si>
  <si>
    <t>-LqrDJCe_fIx1Y_qk6_o</t>
  </si>
  <si>
    <t>1570737045174</t>
  </si>
  <si>
    <t>-LqrDL0bdlkYyGsJ27BB</t>
  </si>
  <si>
    <t>1570737052335</t>
  </si>
  <si>
    <t>-LqrDMin8PTrxp8x5Tf8</t>
  </si>
  <si>
    <t>1570737059580</t>
  </si>
  <si>
    <t>-LqrDORixGCvwLsZh5nA</t>
  </si>
  <si>
    <t>1570737066773</t>
  </si>
  <si>
    <t>-LqrDPyU-h_QT81gEycJ</t>
  </si>
  <si>
    <t>1570737072965</t>
  </si>
  <si>
    <t>-LqrDRnnvcoqlRevuyzF</t>
  </si>
  <si>
    <t>1570737080181</t>
  </si>
  <si>
    <t>-LqrDTWs7-rOsYMXFJnz</t>
  </si>
  <si>
    <t>1570737087390</t>
  </si>
  <si>
    <t>-LqrDVIS_OzTIYT16SPX</t>
  </si>
  <si>
    <t>1570737094599</t>
  </si>
  <si>
    <t>-LqrDWnlDx8ILjk8zYoE</t>
  </si>
  <si>
    <t>1570737100786</t>
  </si>
  <si>
    <t>-LqrDYHfX-ndGNlI0D6E</t>
  </si>
  <si>
    <t>1570737106932</t>
  </si>
  <si>
    <t>-LqrDZlOigFIhMB_uKww</t>
  </si>
  <si>
    <t>1570737113151</t>
  </si>
  <si>
    <t>-LqrDaKeV6NyRv8PdMAS</t>
  </si>
  <si>
    <t>1570737119335</t>
  </si>
  <si>
    <t>-LqrDbq3j_9ga4Xt0HbA</t>
  </si>
  <si>
    <t>1570737125495</t>
  </si>
  <si>
    <t>-LqrDdOF88xhv6QMjcfb</t>
  </si>
  <si>
    <t>1570737131700</t>
  </si>
  <si>
    <t>-LqrDf5ksyTReBGeayN_</t>
  </si>
  <si>
    <t>1570737138903</t>
  </si>
  <si>
    <t>-LqrDg_lApnHhpfXyIZH</t>
  </si>
  <si>
    <t>1570737145071</t>
  </si>
  <si>
    <t>-LqrDi8r_vqdw_qDVur6</t>
  </si>
  <si>
    <t>1570737151268</t>
  </si>
  <si>
    <t>-LqrDjpPCBw_Sibc3Cgw</t>
  </si>
  <si>
    <t>1570737158461</t>
  </si>
  <si>
    <t>-LqrDlfZpwo0pCxfZRsE</t>
  </si>
  <si>
    <t>1570737165696</t>
  </si>
  <si>
    <t>-LqrDnNh5p7U3bfpCeKZ</t>
  </si>
  <si>
    <t>1570737172925</t>
  </si>
  <si>
    <t>-LqrDowmzr8ZVZEBKdd3</t>
  </si>
  <si>
    <t>1570737179083</t>
  </si>
  <si>
    <t>-LqrDqcSePJ20ElPyifK</t>
  </si>
  <si>
    <t>1570737186302</t>
  </si>
  <si>
    <t>-LqrDsDmjPTps_MA9f1f</t>
  </si>
  <si>
    <t>1570737192486</t>
  </si>
  <si>
    <t>-LqrDtwgMvkSQPjZrIc8</t>
  </si>
  <si>
    <t>1570737199700</t>
  </si>
  <si>
    <t>-LqrDvQbG3EyGGXEqx0l</t>
  </si>
  <si>
    <t>1570737205889</t>
  </si>
  <si>
    <t>-LqrDwze5Wazy3G3kV9k</t>
  </si>
  <si>
    <t>1570737212058</t>
  </si>
  <si>
    <t>-LqrDyhZRXo9_4mRqNOj</t>
  </si>
  <si>
    <t>1570737219261</t>
  </si>
  <si>
    <t>-LqrE-GhiGMqFvGXZFoT</t>
  </si>
  <si>
    <t>1570737225455</t>
  </si>
  <si>
    <t>-LqrE0zj-aqZCp_hCG85</t>
  </si>
  <si>
    <t>1570737232663</t>
  </si>
  <si>
    <t>-LqrE2Uxhs8JjmDdd-Ja</t>
  </si>
  <si>
    <t>1570737238842</t>
  </si>
  <si>
    <t>-LqrE41ubc_wKv01ivoT</t>
  </si>
  <si>
    <t>1570737245031</t>
  </si>
  <si>
    <t>-LqrE5lxRCIzTdOnu-Fa</t>
  </si>
  <si>
    <t>1570737252222</t>
  </si>
  <si>
    <t>-LqrE7_MI8Ua6EDSlp7G</t>
  </si>
  <si>
    <t>1570737258441</t>
  </si>
  <si>
    <t>-LqrE9HSgkDiI7zvHmEI</t>
  </si>
  <si>
    <t>1570737266645</t>
  </si>
  <si>
    <t>-LqrEApmw-KXfU9Sl6Ec</t>
  </si>
  <si>
    <t>1570737272858</t>
  </si>
  <si>
    <t>-LqrECYhozHVgOScChqT</t>
  </si>
  <si>
    <t>1570737280068</t>
  </si>
  <si>
    <t>-LqrEE6my-5e3Yinei8f</t>
  </si>
  <si>
    <t>1570737286239</t>
  </si>
  <si>
    <t>-LqrEFobeLhb9Vjm_Rp8</t>
  </si>
  <si>
    <t>1570737293480</t>
  </si>
  <si>
    <t>-LqrEHcnjoL1NVrn0xrx</t>
  </si>
  <si>
    <t>1570737300641</t>
  </si>
  <si>
    <t>-LqrEJLeyJbM6MMpkRzq</t>
  </si>
  <si>
    <t>1570737307886</t>
  </si>
  <si>
    <t>-LqrEKunKscfYQik0n7w</t>
  </si>
  <si>
    <t>1570737314081</t>
  </si>
  <si>
    <t>-LqrEMcx4M1DmIgRNvj1</t>
  </si>
  <si>
    <t>1570737321278</t>
  </si>
  <si>
    <t>-LqrEOLhXJW6W7zrPszk</t>
  </si>
  <si>
    <t>1570737328462</t>
  </si>
  <si>
    <t>-LqrEPuWFAUiysHJSPxm</t>
  </si>
  <si>
    <t>1570737334676</t>
  </si>
  <si>
    <t>-LqrERMakHeXX6rOc7Wm</t>
  </si>
  <si>
    <t>1570737340868</t>
  </si>
  <si>
    <t>-LqrESxmepzMdWCXiR0g</t>
  </si>
  <si>
    <t>1570737347036</t>
  </si>
  <si>
    <t>-LqrEUegdRBA7LCm-xMq</t>
  </si>
  <si>
    <t>1570737354250</t>
  </si>
  <si>
    <t>-LqrEWmw9NDrmpbZsUJH</t>
  </si>
  <si>
    <t>1570737363103</t>
  </si>
  <si>
    <t>-LqrEYQhGAXL5t6AAln0</t>
  </si>
  <si>
    <t>1570737369725</t>
  </si>
  <si>
    <t>-LqrEZv-MutUF8ZYAqLC</t>
  </si>
  <si>
    <t>1570737375891</t>
  </si>
  <si>
    <t>-LqrEaTxH5vjGTspdHaj</t>
  </si>
  <si>
    <t>1570737382077</t>
  </si>
  <si>
    <t>-LqrEcGlLxqhT5ajRA2H</t>
  </si>
  <si>
    <t>1570737389287</t>
  </si>
  <si>
    <t>-LqrEdzZ0paSNfleupHm</t>
  </si>
  <si>
    <t>1570737396500</t>
  </si>
  <si>
    <t>-LqrEfSS0e9AX6x5s8gg</t>
  </si>
  <si>
    <t>1570737402697</t>
  </si>
  <si>
    <t>-LqrEh1gBrigIcLssMaZ</t>
  </si>
  <si>
    <t>1570737408866</t>
  </si>
  <si>
    <t>-LqrEikmXqNp1EDQ5oOp</t>
  </si>
  <si>
    <t>1570737416060</t>
  </si>
  <si>
    <t>-LqrEkInetlJd8M1jnTa</t>
  </si>
  <si>
    <t>1570737422263</t>
  </si>
  <si>
    <t>-LqrEm5fU6GCCDgOIQS5</t>
  </si>
  <si>
    <t>1570737429758</t>
  </si>
  <si>
    <t>-LqrEnplbMScenN9Xpsi</t>
  </si>
  <si>
    <t>1570737436680</t>
  </si>
  <si>
    <t>-LqrEpWRH0PK5ZgxMc2X</t>
  </si>
  <si>
    <t>1570737443901</t>
  </si>
  <si>
    <t>-LqrErMP-761o4rGKPXR</t>
  </si>
  <si>
    <t>1570737451113</t>
  </si>
  <si>
    <t>-LqrEt3n4tDQYX5Z1GS_</t>
  </si>
  <si>
    <t>1570737458300</t>
  </si>
  <si>
    <t>-LqrEuchBLTQ3bqkSoZt</t>
  </si>
  <si>
    <t>1570737464505</t>
  </si>
  <si>
    <t>-LqrEwLmvWmWaagC9AKj</t>
  </si>
  <si>
    <t>1570737471720</t>
  </si>
  <si>
    <t>-LqrExvxOzkZQ7XcVgJk</t>
  </si>
  <si>
    <t>1570737477923</t>
  </si>
  <si>
    <t>-LqrEzd3A5cdgh7V6iJN</t>
  </si>
  <si>
    <t>1570737485115</t>
  </si>
  <si>
    <t>-LqrF0ec4OjC2Y_cXzWL</t>
  </si>
  <si>
    <t>1570737493429</t>
  </si>
  <si>
    <t>-LqrF28kljIHuz6a8Hv7</t>
  </si>
  <si>
    <t>1570737499535</t>
  </si>
  <si>
    <t>-LqrF3beL0Duu2luy8QT</t>
  </si>
  <si>
    <t>1570737505735</t>
  </si>
  <si>
    <t>-LqrF5Qf168l6gA8PRQv</t>
  </si>
  <si>
    <t>1570737512940</t>
  </si>
  <si>
    <t>-LqrF6sREU9unVhROEs6</t>
  </si>
  <si>
    <t>1570737519100</t>
  </si>
  <si>
    <t>-LqrF8OrHUcD9jGtxMoL</t>
  </si>
  <si>
    <t>1570737525301</t>
  </si>
  <si>
    <t>-LqrF9wSOqeHxZm3V-IC</t>
  </si>
  <si>
    <t>1570737531484</t>
  </si>
  <si>
    <t>-LqrFBRj4B2QZ6vCa86E</t>
  </si>
  <si>
    <t>1570737537660</t>
  </si>
  <si>
    <t>-LqrFCzfHhrMOu0G6hpk</t>
  </si>
  <si>
    <t>1570737543845</t>
  </si>
  <si>
    <t>-LqrFEhf6KT46BiylEam</t>
  </si>
  <si>
    <t>1570737551060</t>
  </si>
  <si>
    <t>-LqrFGVYuR1RRHveh2s9</t>
  </si>
  <si>
    <t>1570737558269</t>
  </si>
  <si>
    <t>-LqrFI-kTkYg77LnSv6U</t>
  </si>
  <si>
    <t>1570737564425</t>
  </si>
  <si>
    <t>-LqrFJVvp1rOteAgETuH</t>
  </si>
  <si>
    <t>1570737570627</t>
  </si>
  <si>
    <t>-LqrFL1YKQwEoTLVds9h</t>
  </si>
  <si>
    <t>1570737576811</t>
  </si>
  <si>
    <t>-LqrFMqlhkfrc3tl3Qfi</t>
  </si>
  <si>
    <t>1570737584344</t>
  </si>
  <si>
    <t>-LqrFOV8iLKbnCKv_gib</t>
  </si>
  <si>
    <t>1570737591240</t>
  </si>
  <si>
    <t>-LqrFQ1X0nS46lDe2sUU</t>
  </si>
  <si>
    <t>1570737597449</t>
  </si>
  <si>
    <t>-LqrFRqhJvWlOkJlrRhU</t>
  </si>
  <si>
    <t>1570737604651</t>
  </si>
  <si>
    <t>-LqrFTZfeU6aOS-bC6tJ</t>
  </si>
  <si>
    <t>1570737611845</t>
  </si>
  <si>
    <t>-LqrFV1eCNSDhFgH7slK</t>
  </si>
  <si>
    <t>1570737618037</t>
  </si>
  <si>
    <t>-LqrFWXvHBxratrDQUOM</t>
  </si>
  <si>
    <t>1570737624214</t>
  </si>
  <si>
    <t>-LqrFY4hzobClZH3fcFR</t>
  </si>
  <si>
    <t>1570737630395</t>
  </si>
  <si>
    <t>-LqrFZ_kmOoIVF8rxyBf</t>
  </si>
  <si>
    <t>1570737636544</t>
  </si>
  <si>
    <t>-LqrFa8qgedPO6qZZvPa</t>
  </si>
  <si>
    <t>1570737642754</t>
  </si>
  <si>
    <t>-LqrFbpQq96IAbz2dR2m</t>
  </si>
  <si>
    <t>1570737649979</t>
  </si>
  <si>
    <t>-LqrFdi_SYdt4r8nnc4M</t>
  </si>
  <si>
    <t>1570737657501</t>
  </si>
  <si>
    <t>-LqrFfNk0g5-IX9ZFMnc</t>
  </si>
  <si>
    <t>1570737664381</t>
  </si>
  <si>
    <t>-LqrFgvZGVDK_oiKqBmD</t>
  </si>
  <si>
    <t>1570737670574</t>
  </si>
  <si>
    <t>-LqrFidePaPHHFnHVQjF</t>
  </si>
  <si>
    <t>1570737677779</t>
  </si>
  <si>
    <t>-LqrFkSfpHfRlWbcaMAc</t>
  </si>
  <si>
    <t>1570737684995</t>
  </si>
  <si>
    <t>-LqrFmQ1SNUVVAOI7DHd</t>
  </si>
  <si>
    <t>1570737692221</t>
  </si>
  <si>
    <t>-LqrFo8x0Nz2DoS7AJaG</t>
  </si>
  <si>
    <t>1570737700456</t>
  </si>
  <si>
    <t>-LqrFpgeJTkMiEXAL5xg</t>
  </si>
  <si>
    <t>1570737706622</t>
  </si>
  <si>
    <t>-LqrFsRv9RBPmkAR7WAH</t>
  </si>
  <si>
    <t>1570737712821</t>
  </si>
  <si>
    <t>-LqrFtzlozMasoWk_O3N</t>
  </si>
  <si>
    <t>1570737724150</t>
  </si>
  <si>
    <t>-LqrFvTkSCJkxedeT6Zh</t>
  </si>
  <si>
    <t>1570737730305</t>
  </si>
  <si>
    <t>-LqrFx0fMQ8QucjGvqUU</t>
  </si>
  <si>
    <t>1570737736509</t>
  </si>
  <si>
    <t>-LqrFyklnqVLOsnwdvGv</t>
  </si>
  <si>
    <t>1570737743740</t>
  </si>
  <si>
    <t>-LqrG-Ekan9MFSUbp2Nz</t>
  </si>
  <si>
    <t>1570737749897</t>
  </si>
  <si>
    <t>-LqrG0nYtQoIJR4hM3OQ</t>
  </si>
  <si>
    <t>1570737756077</t>
  </si>
  <si>
    <t>-LqrG2XMd_jWkp_ETzbG</t>
  </si>
  <si>
    <t>1570737763267</t>
  </si>
  <si>
    <t>-LqrG44lIMSgx2ei7OlH</t>
  </si>
  <si>
    <t>1570737769455</t>
  </si>
  <si>
    <t>-LqrG5rduQJJTLI8RmyO</t>
  </si>
  <si>
    <t>1570737776848</t>
  </si>
  <si>
    <t>-LqrG7bw2MUEoiZJR7AZ</t>
  </si>
  <si>
    <t>1570737783904</t>
  </si>
  <si>
    <t>-LqrG9JUH_1rYV2v-3Ch</t>
  </si>
  <si>
    <t>1570737791099</t>
  </si>
  <si>
    <t>-LqrGArjQp5CT2dXkqZF</t>
  </si>
  <si>
    <t>1570737797305</t>
  </si>
  <si>
    <t>-LqrGCad2Jkh_8aefrGe</t>
  </si>
  <si>
    <t>1570737804548</t>
  </si>
  <si>
    <t>-LqrGE3eUx0HlzTR_7uD</t>
  </si>
  <si>
    <t>1570737810670</t>
  </si>
  <si>
    <t>-LqrGFccyj-DHfXCi1Io</t>
  </si>
  <si>
    <t>1570737816867</t>
  </si>
  <si>
    <t>-LqrGH6foEciQDkC7zWC</t>
  </si>
  <si>
    <t>1570737823059</t>
  </si>
  <si>
    <t>-LqrGIue6PqXVkKRFno0</t>
  </si>
  <si>
    <t>1570737830275</t>
  </si>
  <si>
    <t>-LqrGKdkRoDCSN5Ru75u</t>
  </si>
  <si>
    <t>1570737837499</t>
  </si>
  <si>
    <t>-LqrGM6ecRhA71aSBTZP</t>
  </si>
  <si>
    <t>1570737843626</t>
  </si>
  <si>
    <t>-LqrGNgeEq_Zoq4Skkgn</t>
  </si>
  <si>
    <t>1570737849849</t>
  </si>
  <si>
    <t>-LqrGPAdCLte-Z3Bnqq8</t>
  </si>
  <si>
    <t>1570737856016</t>
  </si>
  <si>
    <t>-LqrGQecPQoJ_LV_ZEqD</t>
  </si>
  <si>
    <t>1570737862214</t>
  </si>
  <si>
    <t>-LqrGSCZMz77b36U2G5Q</t>
  </si>
  <si>
    <t>1570737868400</t>
  </si>
  <si>
    <t>-LqrGTuLeIOfNmFGUMNw</t>
  </si>
  <si>
    <t>1570737875581</t>
  </si>
  <si>
    <t>-LqrGVVoLTqjgcCF3ByO</t>
  </si>
  <si>
    <t>1570737881783</t>
  </si>
  <si>
    <t>-LqrGXDpL0DrllctX7FW</t>
  </si>
  <si>
    <t>1570737889011</t>
  </si>
  <si>
    <t>-LqrGZ1KnraAQm60oSM0</t>
  </si>
  <si>
    <t>1570737896226</t>
  </si>
  <si>
    <t>-LqrG_jpIS4CSujsHZz8</t>
  </si>
  <si>
    <t>1570737903412</t>
  </si>
  <si>
    <t>-LqrGbXSQpmmYsAHkrXc</t>
  </si>
  <si>
    <t>1570737910620</t>
  </si>
  <si>
    <t>-LqrGdPl-tdnvr33WQk2</t>
  </si>
  <si>
    <t>1570737918236</t>
  </si>
  <si>
    <t>-LqrGf2mXvG382B2LXjQ</t>
  </si>
  <si>
    <t>1570737925059</t>
  </si>
  <si>
    <t>-LqrGgljEAkbevYaNzT2</t>
  </si>
  <si>
    <t>1570737932250</t>
  </si>
  <si>
    <t>-LqrGifP6WzSU9y_1PCP</t>
  </si>
  <si>
    <t>1570737938454</t>
  </si>
  <si>
    <t>-LqrGkHjk0a4plXOJ9Sm</t>
  </si>
  <si>
    <t>1570737946693</t>
  </si>
  <si>
    <t>-LqrGlvpFNAg_xoPfQY0</t>
  </si>
  <si>
    <t>1570737953256</t>
  </si>
  <si>
    <t>-LqrGn_AH9WGI2x0Kydy</t>
  </si>
  <si>
    <t>1570737960056</t>
  </si>
  <si>
    <t>-LqrGp7iAmJdKlxdYmb1</t>
  </si>
  <si>
    <t>1570737966269</t>
  </si>
  <si>
    <t>-LqrGqqgZjD6EWinZXGu</t>
  </si>
  <si>
    <t>1570737973487</t>
  </si>
  <si>
    <t>-LqrGsPlcOBbfWnXjOpG</t>
  </si>
  <si>
    <t>1570737979669</t>
  </si>
  <si>
    <t>-LqrGu7EllzPAS40OEsv</t>
  </si>
  <si>
    <t>1570737986879</t>
  </si>
  <si>
    <t>-LqrGvbfz2nW0lWoMifm</t>
  </si>
  <si>
    <t>1570737993022</t>
  </si>
  <si>
    <t>-LqrGxByzHJXsvn4NyUP</t>
  </si>
  <si>
    <t>1570737999237</t>
  </si>
  <si>
    <t>-LqrGytiy3fTSSDQBUHX</t>
  </si>
  <si>
    <t>1570738006527</t>
  </si>
  <si>
    <t>-LqrH-TTl77Wof_Btpa-</t>
  </si>
  <si>
    <t>1570738012634</t>
  </si>
  <si>
    <t>-LqrH1AjoeVL5iThQnfR</t>
  </si>
  <si>
    <t>1570738019842</t>
  </si>
  <si>
    <t>-LqrH2yovbRav6UPDbM_</t>
  </si>
  <si>
    <t>1570738027167</t>
  </si>
  <si>
    <t>-LqrH4gprJJ_hKszpSKi</t>
  </si>
  <si>
    <t>1570738034265</t>
  </si>
  <si>
    <t>-LqrH6Uo098PcG82s-2E</t>
  </si>
  <si>
    <t>1570738041483</t>
  </si>
  <si>
    <t>-LqrH8CoH4LH9G-V7Z0C</t>
  </si>
  <si>
    <t>1570738048696</t>
  </si>
  <si>
    <t>-LqrHA-osygAo6PG-5Rq</t>
  </si>
  <si>
    <t>1570738055902</t>
  </si>
  <si>
    <t>-LqrHBihM7gfnJxSTE0s</t>
  </si>
  <si>
    <t>1570738063094</t>
  </si>
  <si>
    <t>-LqrHDHgpyw-uHDYZcl6</t>
  </si>
  <si>
    <t>1570738069326</t>
  </si>
  <si>
    <t>-LqrHF-gpMtThzVEx7_a</t>
  </si>
  <si>
    <t>1570738076509</t>
  </si>
  <si>
    <t>-LqrHGUgBHkD-pVO8Hf7</t>
  </si>
  <si>
    <t>1570738082698</t>
  </si>
  <si>
    <t>-LqrHI479mZR_3iUzN68</t>
  </si>
  <si>
    <t>1570738088874</t>
  </si>
  <si>
    <t>-LqrHJn5TYFeAFNdsrz4</t>
  </si>
  <si>
    <t>1570738096063</t>
  </si>
  <si>
    <t>-LqrHLKoaFeW3yfo9uV0</t>
  </si>
  <si>
    <t>1570738102254</t>
  </si>
  <si>
    <t>-LqrHN2jDTCTS1ZXJXEO</t>
  </si>
  <si>
    <t>1570738109502</t>
  </si>
  <si>
    <t>-LqrHOXivDdpH8J4Oss1</t>
  </si>
  <si>
    <t>1570738115663</t>
  </si>
  <si>
    <t>-LqrHQ5nnNuZ7IUfVXKv</t>
  </si>
  <si>
    <t>1570738121853</t>
  </si>
  <si>
    <t>-LqrHRop6xQJ7GR-HnZD</t>
  </si>
  <si>
    <t>1570738129032</t>
  </si>
  <si>
    <t>-LqrHTgjuFR5XQ4I8Slj</t>
  </si>
  <si>
    <t>1570738136778</t>
  </si>
  <si>
    <t>-LqrHV_yoeKrWID7rgtw</t>
  </si>
  <si>
    <t>1570738144387</t>
  </si>
  <si>
    <t>-LqrHX7gGswGVFrTyOMu</t>
  </si>
  <si>
    <t>1570738150708</t>
  </si>
  <si>
    <t>-LqrHYbp3jkEMa9xj3ot</t>
  </si>
  <si>
    <t>1570738156863</t>
  </si>
  <si>
    <t>-LqrH_AomfsAImATdu7g</t>
  </si>
  <si>
    <t>1570738163063</t>
  </si>
  <si>
    <t>-LqrHb7lddm2QKcinnol</t>
  </si>
  <si>
    <t>1570738171280</t>
  </si>
  <si>
    <t>-LqrHcgbqUnaEXRCMv3O</t>
  </si>
  <si>
    <t>1570738177480</t>
  </si>
  <si>
    <t>-LqrHePdNi-eLQSehjZ0</t>
  </si>
  <si>
    <t>1570738184693</t>
  </si>
  <si>
    <t>-LqrHfydbQqa-wtCLeSK</t>
  </si>
  <si>
    <t>1570738190882</t>
  </si>
  <si>
    <t>-LqrHhggP7CaPJvnfRc5</t>
  </si>
  <si>
    <t>1570738198097</t>
  </si>
  <si>
    <t>-LqrHj9g0eYGgIH5BZlI</t>
  </si>
  <si>
    <t>1570738204279</t>
  </si>
  <si>
    <t>-LqrHkelavAzkLmtO5TW</t>
  </si>
  <si>
    <t>1570738210462</t>
  </si>
  <si>
    <t>-LqrHmDoRSP8K46Tvj8k</t>
  </si>
  <si>
    <t>1570738216646</t>
  </si>
  <si>
    <t>-LqrHnhncN73FXf9IEpE</t>
  </si>
  <si>
    <t>1570738222792</t>
  </si>
  <si>
    <t>-LqrHpQiK04-0sqMcPdZ</t>
  </si>
  <si>
    <t>1570738229001</t>
  </si>
  <si>
    <t>-LqrHqzslthHKRHksFH-</t>
  </si>
  <si>
    <t>1570738236222</t>
  </si>
  <si>
    <t>-LqrHsmgPeGpUjp9HvMF</t>
  </si>
  <si>
    <t>1570738243431</t>
  </si>
  <si>
    <t>-LqrHu_gImg3uNIj5YcD</t>
  </si>
  <si>
    <t>1570738250612</t>
  </si>
  <si>
    <t>-LqrHwIi03g--ivanOY8</t>
  </si>
  <si>
    <t>1570738257857</t>
  </si>
  <si>
    <t>-LqrHxml7cv0-VeBSfAW</t>
  </si>
  <si>
    <t>1570738264013</t>
  </si>
  <si>
    <t>-LqrHzVxfTui36tARQfw</t>
  </si>
  <si>
    <t>1570738271252</t>
  </si>
  <si>
    <t>-LqrI0DBSrKKo39XdfUi</t>
  </si>
  <si>
    <t>1570738278132</t>
  </si>
  <si>
    <t>-LqrI1rn4bYDDLOTmGlo</t>
  </si>
  <si>
    <t>1570738284646</t>
  </si>
  <si>
    <t>-LqrI3_iJmWmuY-DkfVO</t>
  </si>
  <si>
    <t>1570738291862</t>
  </si>
  <si>
    <t>-LqrI53q3NOdkAwEpLUE</t>
  </si>
  <si>
    <t>1570738298042</t>
  </si>
  <si>
    <t>-LqrI6clahwG4GC3G47w</t>
  </si>
  <si>
    <t>1570738304216</t>
  </si>
  <si>
    <t>-LqrI8LnKvbJY8A6EQXI</t>
  </si>
  <si>
    <t>1570738311413</t>
  </si>
  <si>
    <t>-LqrI9uopeFDhyVW1sb0</t>
  </si>
  <si>
    <t>1570738317626</t>
  </si>
  <si>
    <t>-LqrIBhpgiJYkEMPm0G5</t>
  </si>
  <si>
    <t>1570738324828</t>
  </si>
  <si>
    <t>-LqrIDQhPwT9ErvyaKnn</t>
  </si>
  <si>
    <t>1570738332051</t>
  </si>
  <si>
    <t>-LqrIF8mnJkpsEvr6E0J</t>
  </si>
  <si>
    <t>1570738339260</t>
  </si>
  <si>
    <t>-LqrIGcmDaIzLsNyyHQ-</t>
  </si>
  <si>
    <t>1570738345416</t>
  </si>
  <si>
    <t>-LqrIIBnUui9bsAmNKIh</t>
  </si>
  <si>
    <t>1570738351626</t>
  </si>
  <si>
    <t>-LqrIJfmRAtfri4tvJMf</t>
  </si>
  <si>
    <t>1570738357781</t>
  </si>
  <si>
    <t>-LqrILDh94Zt0g_vXMLd</t>
  </si>
  <si>
    <t>1570738363996</t>
  </si>
  <si>
    <t>-LqrIMyxeEbRfF8MNVKP</t>
  </si>
  <si>
    <t>1570738371207</t>
  </si>
  <si>
    <t>-LqrIOR-ps-5PqfU3zqq</t>
  </si>
  <si>
    <t>1570738377350</t>
  </si>
  <si>
    <t>-LqrIPzhggNWcdY2bBVi</t>
  </si>
  <si>
    <t>1570738383563</t>
  </si>
  <si>
    <t>-LqrIS0a0027o0V1hX2t</t>
  </si>
  <si>
    <t>1570738390782</t>
  </si>
  <si>
    <t>-LqrITjy2eMPzj5U18tu</t>
  </si>
  <si>
    <t>1570738399030</t>
  </si>
  <si>
    <t>-LqrIVYiOLFiJCy1RJ91</t>
  </si>
  <si>
    <t>1570738406242</t>
  </si>
  <si>
    <t>-LqrIXFmFdIkiOEsmq9b</t>
  </si>
  <si>
    <t>1570738413460</t>
  </si>
  <si>
    <t>-LqrIZ2cTmtOaTgTohyC</t>
  </si>
  <si>
    <t>1570738420669</t>
  </si>
  <si>
    <t>-LqrI_ml3qeVH3HFkYQv</t>
  </si>
  <si>
    <t>1570738427884</t>
  </si>
  <si>
    <t>-LqrIbZkzXfwbpASORB8</t>
  </si>
  <si>
    <t>1570738435090</t>
  </si>
  <si>
    <t>-LqrIdIqLlod-yllI3C9</t>
  </si>
  <si>
    <t>1570738442306</t>
  </si>
  <si>
    <t>-LqrIf6UEyLOzFIisBcn</t>
  </si>
  <si>
    <t>1570738449519</t>
  </si>
  <si>
    <t>-LqrIgq0zfN38f9NigRB</t>
  </si>
  <si>
    <t>1570738456706</t>
  </si>
  <si>
    <t>-LqrIiXqbX9ORgYbgO0I</t>
  </si>
  <si>
    <t>1570738463668</t>
  </si>
  <si>
    <t>-LqrIk5pidlq4By3zCEK</t>
  </si>
  <si>
    <t>1570738470119</t>
  </si>
  <si>
    <t>-LqrIl_pZvWu8BIZ295c</t>
  </si>
  <si>
    <t>1570738476321</t>
  </si>
  <si>
    <t>-LqrInA8GLYZM_XYoPWj</t>
  </si>
  <si>
    <t>1570738482481</t>
  </si>
  <si>
    <t>-LqrIoqg_edOTRXWNaXM</t>
  </si>
  <si>
    <t>1570738489675</t>
  </si>
  <si>
    <t>-LqrIqS-32M9ERzzBgjy</t>
  </si>
  <si>
    <t>1570738495890</t>
  </si>
  <si>
    <t>-LqrIs8rN-tZGheKcrJg</t>
  </si>
  <si>
    <t>1570738503106</t>
  </si>
  <si>
    <t>-LqrItwq7Km67b85edLH</t>
  </si>
  <si>
    <t>1570738510312</t>
  </si>
  <si>
    <t>-LqrIvcZuclney4OrDcI</t>
  </si>
  <si>
    <t>1570738517496</t>
  </si>
  <si>
    <t>-LqrIxDo69ZuX8khaRNV</t>
  </si>
  <si>
    <t>1570738523701</t>
  </si>
  <si>
    <t>-LqrIywpl0buhNkBq_4b</t>
  </si>
  <si>
    <t>1570738530919</t>
  </si>
  <si>
    <t>-LqrJ-jqvdaToiAk3SyP</t>
  </si>
  <si>
    <t>1570738538129</t>
  </si>
  <si>
    <t>-LqrJ1SrLerUmNR0Ih83</t>
  </si>
  <si>
    <t>1570738545346</t>
  </si>
  <si>
    <t>-LqrJ3Fr9xcC2tQW2hoT</t>
  </si>
  <si>
    <t>1570738552560</t>
  </si>
  <si>
    <t>-LqrJ4ynp6G-UeoE9XVE</t>
  </si>
  <si>
    <t>1570738559746</t>
  </si>
  <si>
    <t>-LqrJ6T6I86NgYnoHbPa</t>
  </si>
  <si>
    <t>1570738565946</t>
  </si>
  <si>
    <t>-LqrJ7y0fqTQLlKdZvKl</t>
  </si>
  <si>
    <t>1570738572126</t>
  </si>
  <si>
    <t>-LqrJ9jqILv2A127NRp4</t>
  </si>
  <si>
    <t>1570738578305</t>
  </si>
  <si>
    <t>-LqrJBXhKrx7XvwZ0qSw</t>
  </si>
  <si>
    <t>1570738586562</t>
  </si>
  <si>
    <t>-LqrJD0lVaiKr3Iy7g2Z</t>
  </si>
  <si>
    <t>1570738592711</t>
  </si>
  <si>
    <t>-LqrJE_kZZZdvqbge57T</t>
  </si>
  <si>
    <t>1570738598917</t>
  </si>
  <si>
    <t>-LqrJGK0C9zJngiIkBRd</t>
  </si>
  <si>
    <t>1570738606137</t>
  </si>
  <si>
    <t>-LqrJHrnIcnQ5T6vGNDs</t>
  </si>
  <si>
    <t>1570738612311</t>
  </si>
  <si>
    <t>-LqrJJozabRFhE0IKSdh</t>
  </si>
  <si>
    <t>1570738619522</t>
  </si>
  <si>
    <t>-LqrJLbjq_qyNVkbJKb_</t>
  </si>
  <si>
    <t>1570738627756</t>
  </si>
  <si>
    <t>-LqrJN64NzRynYyWvsIw</t>
  </si>
  <si>
    <t>1570738633943</t>
  </si>
  <si>
    <t>-LqrJP1akloAR_k_-pgp</t>
  </si>
  <si>
    <t>1570738641785</t>
  </si>
  <si>
    <t>-LqrJQ_GwXbclmxMMu2b</t>
  </si>
  <si>
    <t>1570738648378</t>
  </si>
  <si>
    <t>-LqrJS9TOX1CLTENTdl8</t>
  </si>
  <si>
    <t>1570738654555</t>
  </si>
  <si>
    <t>-LqrJTdgBLJANBTDN0iP</t>
  </si>
  <si>
    <t>1570738660725</t>
  </si>
  <si>
    <t>-LqrJV7VysY6d-FCkhHe</t>
  </si>
  <si>
    <t>1570738666900</t>
  </si>
  <si>
    <t>-LqrJWbZlfji0k8xxLXr</t>
  </si>
  <si>
    <t>1570738673095</t>
  </si>
  <si>
    <t>-LqrJYAbJnzERsOIfxMY</t>
  </si>
  <si>
    <t>1570738679283</t>
  </si>
  <si>
    <t>-LqrJZsU2KM0voGYh7UX</t>
  </si>
  <si>
    <t>1570738686462</t>
  </si>
  <si>
    <t>-LqrJaS_lrZHOJ-2MKQW</t>
  </si>
  <si>
    <t>1570738692653</t>
  </si>
  <si>
    <t>-LqrJc9KVlZ0DTZIHraO</t>
  </si>
  <si>
    <t>1570738699900</t>
  </si>
  <si>
    <t>-LqrJdy0pCxhkVr6IsYd</t>
  </si>
  <si>
    <t>1570738707122</t>
  </si>
  <si>
    <t>-LqrJfSZAfj6xSoD0yht</t>
  </si>
  <si>
    <t>1570738713285</t>
  </si>
  <si>
    <t>-LqrJhGl7lUyooi_W0t8</t>
  </si>
  <si>
    <t>1570738720500</t>
  </si>
  <si>
    <t>-LqrJizmpRR_3wU5QeuD</t>
  </si>
  <si>
    <t>1570738727715</t>
  </si>
  <si>
    <t>-LqrJkTnaFnCjRcHEG1L</t>
  </si>
  <si>
    <t>1570738733896</t>
  </si>
  <si>
    <t>-LqrJm32XnciXMeGDNRA</t>
  </si>
  <si>
    <t>1570738740077</t>
  </si>
  <si>
    <t>-LqrJnkoSbUqNRTci22r</t>
  </si>
  <si>
    <t>1570738747261</t>
  </si>
  <si>
    <t>-LqrJpIiCAfAier2sytN</t>
  </si>
  <si>
    <t>1570738753601</t>
  </si>
  <si>
    <t>-LqrJr1mXRtQidkIhMrA</t>
  </si>
  <si>
    <t>1570738760687</t>
  </si>
  <si>
    <t>-LqrJsWsWGJ2H258irly</t>
  </si>
  <si>
    <t>1570738766915</t>
  </si>
  <si>
    <t>-LqrJu65PalgOoQX0UNk</t>
  </si>
  <si>
    <t>1570738773047</t>
  </si>
  <si>
    <t>-LqrJvnnzL3zxsNNq-8A</t>
  </si>
  <si>
    <t>1570738780231</t>
  </si>
  <si>
    <t>-LqrJxLhPGQ17TMU3_ES</t>
  </si>
  <si>
    <t>1570738786447</t>
  </si>
  <si>
    <t>-LqrJz4azzAxSXzDAjrA</t>
  </si>
  <si>
    <t>1570738793663</t>
  </si>
  <si>
    <t>-LqrK-dnzezCLoXu9dcb</t>
  </si>
  <si>
    <t>1570738799841</t>
  </si>
  <si>
    <t>-LqrK1NAKdLERYDb5TAr</t>
  </si>
  <si>
    <t>1570738807045</t>
  </si>
  <si>
    <t>-LqrK2qjPOhB2TOIlRd5</t>
  </si>
  <si>
    <t>1570738813196</t>
  </si>
  <si>
    <t>-LqrK4Z_qceSxklVXXcq</t>
  </si>
  <si>
    <t>1570738819416</t>
  </si>
  <si>
    <t>-LqrK65NIWKMZCTxsNka</t>
  </si>
  <si>
    <t>1570738826614</t>
  </si>
  <si>
    <t>-LqrK7vn5et13bO3Sn4e</t>
  </si>
  <si>
    <t>1570738833835</t>
  </si>
  <si>
    <t>-LqrK9dfNV7ZBw0KaqEm</t>
  </si>
  <si>
    <t>1570738841022</t>
  </si>
  <si>
    <t>-LqrKBRjMcv_71HUBxC5</t>
  </si>
  <si>
    <t>1570738848331</t>
  </si>
  <si>
    <t>-LqrKCv_hxt5hxOzb4Ga</t>
  </si>
  <si>
    <t>1570738854435</t>
  </si>
  <si>
    <t>-LqrKEVdRVULqDOkNgIi</t>
  </si>
  <si>
    <t>1570738860629</t>
  </si>
  <si>
    <t>-LqrKGJzVphoycU9tmKZ</t>
  </si>
  <si>
    <t>1570738867840</t>
  </si>
  <si>
    <t>-LqrKI-i2euPcGIuQm7_</t>
  </si>
  <si>
    <t>1570738875061</t>
  </si>
  <si>
    <t>-LqrKJk4z-FbOxfJ4LUG</t>
  </si>
  <si>
    <t>1570738882272</t>
  </si>
  <si>
    <t>-LqrKLWkQOZDN7HSQvmc</t>
  </si>
  <si>
    <t>1570738889501</t>
  </si>
  <si>
    <t>-LqrKNEmyStO5HULzvnu</t>
  </si>
  <si>
    <t>1570738896703</t>
  </si>
  <si>
    <t>-LqrKP1k3IYEMM_1PiT4</t>
  </si>
  <si>
    <t>1570738903908</t>
  </si>
  <si>
    <t>-LqrKQkoCdu3o7p1leyh</t>
  </si>
  <si>
    <t>1570738911103</t>
  </si>
  <si>
    <t>-LqrKSJoja_CT3U7lUdQ</t>
  </si>
  <si>
    <t>1570738917322</t>
  </si>
  <si>
    <t>-LqrKU1oMTUxrX1rYLP_</t>
  </si>
  <si>
    <t>1570738924513</t>
  </si>
  <si>
    <t>-LqrKVpDo_bYFI1Z11Az</t>
  </si>
  <si>
    <t>1570738931731</t>
  </si>
  <si>
    <t>-LqrKXYujF0X23lxG6e2</t>
  </si>
  <si>
    <t>1570738938942</t>
  </si>
  <si>
    <t>-LqrKZNBiiqgGPqHvW-h</t>
  </si>
  <si>
    <t>1570738946156</t>
  </si>
  <si>
    <t>-LqrKa3qgTDSsbbhMyDv</t>
  </si>
  <si>
    <t>1570738953342</t>
  </si>
  <si>
    <t>-LqrKbcadPizIJW4kiPS</t>
  </si>
  <si>
    <t>1570738959550</t>
  </si>
  <si>
    <t>-LqrKdLwCT0lhN7YKuls</t>
  </si>
  <si>
    <t>1570738966773</t>
  </si>
  <si>
    <t>-LqrKf8asW9ISyZkApAE</t>
  </si>
  <si>
    <t>1570738973974</t>
  </si>
  <si>
    <t>-LqrKgrpkKSj1h9wQoXl</t>
  </si>
  <si>
    <t>1570738981173</t>
  </si>
  <si>
    <t>-LqrKiekgrEPh3YuqeYA</t>
  </si>
  <si>
    <t>1570738988381</t>
  </si>
  <si>
    <t>-LqrKkPvQuXBJHEa1n9F</t>
  </si>
  <si>
    <t>1570738995582</t>
  </si>
  <si>
    <t>-LqrKlwisGmGJ6yWrq3f</t>
  </si>
  <si>
    <t>1570739001777</t>
  </si>
  <si>
    <t>-LqrKnegq_y_DNZCiQyA</t>
  </si>
  <si>
    <t>1570739009023</t>
  </si>
  <si>
    <t>-LqrKpDavOf1N1eJuQ89</t>
  </si>
  <si>
    <t>1570739015201</t>
  </si>
  <si>
    <t>-LqrKr0oVXCY3uNB9njm</t>
  </si>
  <si>
    <t>1570739022398</t>
  </si>
  <si>
    <t>-LqrKsjnZEOiasNx8Ope</t>
  </si>
  <si>
    <t>1570739029618</t>
  </si>
  <si>
    <t>-LqrKuRlO40Ui3suDC8f</t>
  </si>
  <si>
    <t>1570739036828</t>
  </si>
  <si>
    <t>-LqrKwFh6HLQ_l4_B2tZ</t>
  </si>
  <si>
    <t>1570739044066</t>
  </si>
  <si>
    <t>-LqrKxymx-GyvmFmtPQL</t>
  </si>
  <si>
    <t>1570739051261</t>
  </si>
  <si>
    <t>-LqrKzhyKaS4-2viOajC</t>
  </si>
  <si>
    <t>1570739058467</t>
  </si>
  <si>
    <t>-LqrL0H-0-_d-Npis3O1</t>
  </si>
  <si>
    <t>1570739064639</t>
  </si>
  <si>
    <t>-LqrL23r1UNBDeWwxv0Y</t>
  </si>
  <si>
    <t>1570739071858</t>
  </si>
  <si>
    <t>-LqrL4EsP6a_1j3ipqHq</t>
  </si>
  <si>
    <t>1570739079064</t>
  </si>
  <si>
    <t>-LqrL5oMmZCmxSSYBPIu</t>
  </si>
  <si>
    <t>1570739087316</t>
  </si>
  <si>
    <t>-LqrL7WmuP1-uyok1T18</t>
  </si>
  <si>
    <t>1570739094505</t>
  </si>
  <si>
    <t>-LqrL953WIZxttN3JjsZ</t>
  </si>
  <si>
    <t>1570739100699</t>
  </si>
  <si>
    <t>-LqrLAnq85XbeUAP4g1R</t>
  </si>
  <si>
    <t>1570739107893</t>
  </si>
  <si>
    <t>-LqrLCHlIDhLSQU_hSUw</t>
  </si>
  <si>
    <t>1570739114057</t>
  </si>
  <si>
    <t>-LqrLDqlQcSZXz2w0O4B</t>
  </si>
  <si>
    <t>1570739120277</t>
  </si>
  <si>
    <t>-LqrLFKmxTmoEi-R3ryy</t>
  </si>
  <si>
    <t>1570739126460</t>
  </si>
  <si>
    <t>-LqrLH7f-wUIFbZX6TH1</t>
  </si>
  <si>
    <t>1570739133682</t>
  </si>
  <si>
    <t>-LqrLIvmsJPhevzPQBSE</t>
  </si>
  <si>
    <t>1570739140967</t>
  </si>
  <si>
    <t>-LqrLKdl0ZJ2dEj6tkW0</t>
  </si>
  <si>
    <t>1570739148107</t>
  </si>
  <si>
    <t>-LqrLM7le9U-ion-voyX</t>
  </si>
  <si>
    <t>1570739154261</t>
  </si>
  <si>
    <t>-LqrLNgdb7IogX4Gfy19</t>
  </si>
  <si>
    <t>1570739160471</t>
  </si>
  <si>
    <t>-LqrLPPm2FYUr4G4wH5U</t>
  </si>
  <si>
    <t>1570739167685</t>
  </si>
  <si>
    <t>-LqrLQtPWQWjQMrwOUfH</t>
  </si>
  <si>
    <t>1570739173845</t>
  </si>
  <si>
    <t>-LqrLSgKxCLhFqtl49h1</t>
  </si>
  <si>
    <t>1570739181082</t>
  </si>
  <si>
    <t>-LqrLUPfB1q7ywx08nE9</t>
  </si>
  <si>
    <t>1570739188290</t>
  </si>
  <si>
    <t>-LqrLVygCu6PrQkVi8mJ</t>
  </si>
  <si>
    <t>1570739194471</t>
  </si>
  <si>
    <t>-LqrLXglPiTklXk-yVfN</t>
  </si>
  <si>
    <t>1570739201662</t>
  </si>
  <si>
    <t>-LqrLZGc6n1S6Z5awEPD</t>
  </si>
  <si>
    <t>1570739207867</t>
  </si>
  <si>
    <t>-LqrL_wXEW-oixFF_7mF</t>
  </si>
  <si>
    <t>1570739215105</t>
  </si>
  <si>
    <t>-LqrLblgoBgv5ChPokkT</t>
  </si>
  <si>
    <t>1570739222296</t>
  </si>
  <si>
    <t>-LqrLdUhBwCRradeZ5Z0</t>
  </si>
  <si>
    <t>1570739229500</t>
  </si>
  <si>
    <t>-LqrLf3YUuooL7glXu2Q</t>
  </si>
  <si>
    <t>1570739235691</t>
  </si>
  <si>
    <t>-LqrLgiy-8rtIhNONyGm</t>
  </si>
  <si>
    <t>1570739242907</t>
  </si>
  <si>
    <t>-LqrLiRQ0PBXGME9-1PI</t>
  </si>
  <si>
    <t>1570739249117</t>
  </si>
  <si>
    <t>-LqrLk2dKx3vEu3Go7E9</t>
  </si>
  <si>
    <t>1570739256298</t>
  </si>
  <si>
    <t>-LqrLlYoc5xpWkSMhYOp</t>
  </si>
  <si>
    <t>1570739262460</t>
  </si>
  <si>
    <t>-LqrLn4dDIKOTTSVXgtn</t>
  </si>
  <si>
    <t>1570739268655</t>
  </si>
  <si>
    <t>-LqrLonDGMjc8aGuBok4</t>
  </si>
  <si>
    <t>1570739275872</t>
  </si>
  <si>
    <t>-LqrLqblhd_3xMqcBDgQ</t>
  </si>
  <si>
    <t>1570739283085</t>
  </si>
  <si>
    <t>-LqrLsKa6pd1aCBHzp5U</t>
  </si>
  <si>
    <t>1570739290301</t>
  </si>
  <si>
    <t>-LqrLtsaO6BRgce45e2e</t>
  </si>
  <si>
    <t>1570739296481</t>
  </si>
  <si>
    <t>-LqrLvxMftd8fkLjRarS</t>
  </si>
  <si>
    <t>1570739303695</t>
  </si>
  <si>
    <t>-LqrLxf5Uje3CJXHiJfi</t>
  </si>
  <si>
    <t>1570739311944</t>
  </si>
  <si>
    <t>-LqrLzMjGmIlWw2CE8nT</t>
  </si>
  <si>
    <t>1570739319166</t>
  </si>
  <si>
    <t>-LqrM07TLdTTSHiy3RLF</t>
  </si>
  <si>
    <t>1570739325329</t>
  </si>
  <si>
    <t>-LqrM1smLDTXk0W-3E_V</t>
  </si>
  <si>
    <t>1570739333581</t>
  </si>
  <si>
    <t>-LqrM3RjA5lF-d0WmEzh</t>
  </si>
  <si>
    <t>1570739339754</t>
  </si>
  <si>
    <t>-LqrM4vmhyYrGPbwm0x_</t>
  </si>
  <si>
    <t>1570739345970</t>
  </si>
  <si>
    <t>-LqrM6PgPZlxPTzicAVE</t>
  </si>
  <si>
    <t>1570739352098</t>
  </si>
  <si>
    <t>-LqrM7ynIWb5jS3UPruS</t>
  </si>
  <si>
    <t>1570739358316</t>
  </si>
  <si>
    <t>-LqrM9fghnpdyE1wTPyV</t>
  </si>
  <si>
    <t>1570739365510</t>
  </si>
  <si>
    <t>-LqrMBFnEKLf-Q7EqB4O</t>
  </si>
  <si>
    <t>1570739371698</t>
  </si>
  <si>
    <t>-LqrMCwgqpBuKfcIzVV9</t>
  </si>
  <si>
    <t>1570739378940</t>
  </si>
  <si>
    <t>-LqrMEljf8SHAaxX2fk-</t>
  </si>
  <si>
    <t>1570739386124</t>
  </si>
  <si>
    <t>-LqrMGUhNvxQhKSiUHbm</t>
  </si>
  <si>
    <t>1570739393343</t>
  </si>
  <si>
    <t>-LqrMI3DSKWc5d_p9fmi</t>
  </si>
  <si>
    <t>1570739399523</t>
  </si>
  <si>
    <t>-LqrMJlm0eAfd7UBpROX</t>
  </si>
  <si>
    <t>1570739406724</t>
  </si>
  <si>
    <t>-LqrMLFz_EHSOSFjP49E</t>
  </si>
  <si>
    <t>1570739412884</t>
  </si>
  <si>
    <t>-LqrMMooi_fxCLF3BpqT</t>
  </si>
  <si>
    <t>1570739419091</t>
  </si>
  <si>
    <t>-LqrMOXicMeqYnpxdJuy</t>
  </si>
  <si>
    <t>1570739426302</t>
  </si>
  <si>
    <t>-LqrMQEKvs7aHyk6jzyL</t>
  </si>
  <si>
    <t>1570739432475</t>
  </si>
  <si>
    <t>-LqrMRnhT03-sUeW2WJb</t>
  </si>
  <si>
    <t>1570739439690</t>
  </si>
  <si>
    <t>-LqrMTaUfYjfUXo6Y_h7</t>
  </si>
  <si>
    <t>1570739446907</t>
  </si>
  <si>
    <t>-LqrMV5g8yRr3GHM489N</t>
  </si>
  <si>
    <t>1570739453068</t>
  </si>
  <si>
    <t>-LqrMW_uE_6WvZJSkzjz</t>
  </si>
  <si>
    <t>1570739459267</t>
  </si>
  <si>
    <t>-LqrMYNjHnce_Mrwg4n3</t>
  </si>
  <si>
    <t>1570739466480</t>
  </si>
  <si>
    <t>-LqrMZsZa7GZDAKElE8O</t>
  </si>
  <si>
    <t>1570739472657</t>
  </si>
  <si>
    <t>-LqrMa_JghS1SQMyzTG0</t>
  </si>
  <si>
    <t>1570739479876</t>
  </si>
  <si>
    <t>-LqrMc8iaJ2kqEbtwQ0D</t>
  </si>
  <si>
    <t>1570739486061</t>
  </si>
  <si>
    <t>-LqrMdcoHeWJWwfhFxyL</t>
  </si>
  <si>
    <t>1570739492223</t>
  </si>
  <si>
    <t>-LqrMf6uczNItU0CKXh5</t>
  </si>
  <si>
    <t>1570739498388</t>
  </si>
  <si>
    <t>-LqrMggh2ykqlEIutfKB</t>
  </si>
  <si>
    <t>1570739504615</t>
  </si>
  <si>
    <t>-LqrMiNij67LAVcg2gBP</t>
  </si>
  <si>
    <t>1570739511792</t>
  </si>
  <si>
    <t>-LqrMjxpzKGMV-QwrVtu</t>
  </si>
  <si>
    <t>1570739518000</t>
  </si>
  <si>
    <t>-LqrMlfeyhF5xDmdrX7u</t>
  </si>
  <si>
    <t>1570739525185</t>
  </si>
  <si>
    <t>-LqrMnVMSvA_j-vDo01x</t>
  </si>
  <si>
    <t>1570739532562</t>
  </si>
  <si>
    <t>-LqrMpBgpD8hYS6P9UD0</t>
  </si>
  <si>
    <t>1570739539639</t>
  </si>
  <si>
    <t>-LqrMqknKjEzIXMATBvJ</t>
  </si>
  <si>
    <t>1570739545829</t>
  </si>
  <si>
    <t>-LqrMsTf3HNnp2O7c23f</t>
  </si>
  <si>
    <t>1570739553014</t>
  </si>
  <si>
    <t>-LqrMtxfXbKWcxluiiYA</t>
  </si>
  <si>
    <t>1570739559234</t>
  </si>
  <si>
    <t>-LqrMvWwAS9jbe_HsJUr</t>
  </si>
  <si>
    <t>1570739565400</t>
  </si>
  <si>
    <t>-LqrMxEF-aFReM2A-OLX</t>
  </si>
  <si>
    <t>1570739572581</t>
  </si>
  <si>
    <t>-LqrMyng9VjNctQFJvlu</t>
  </si>
  <si>
    <t>1570739578796</t>
  </si>
  <si>
    <t>-LqrN-Wh__bzirhxFl2e</t>
  </si>
  <si>
    <t>1570739585975</t>
  </si>
  <si>
    <t>-LqrN154OCe9WsBp-bYk</t>
  </si>
  <si>
    <t>1570739592193</t>
  </si>
  <si>
    <t>-LqrN2nh9kpVeSWjin25</t>
  </si>
  <si>
    <t>1570739599396</t>
  </si>
  <si>
    <t>-LqrN4HcdcjRl7mx9qor</t>
  </si>
  <si>
    <t>1570739605578</t>
  </si>
  <si>
    <t>-LqrN5qg04ofk5nrPMJ8</t>
  </si>
  <si>
    <t>1570739611765</t>
  </si>
  <si>
    <t>-LqrN7Kayc3qqLtgsCml</t>
  </si>
  <si>
    <t>1570739617934</t>
  </si>
  <si>
    <t>-LqrN8q4zhA5fyhWniUS</t>
  </si>
  <si>
    <t>1570739624129</t>
  </si>
  <si>
    <t>-LqrNANh3qlUs254iCZt</t>
  </si>
  <si>
    <t>1570739630310</t>
  </si>
  <si>
    <t>-LqrNC76wFycazTjoM59</t>
  </si>
  <si>
    <t>1570739637495</t>
  </si>
  <si>
    <t>-LqrNDerv7oP8tivcXut</t>
  </si>
  <si>
    <t>1570739643696</t>
  </si>
  <si>
    <t>-LqrNFNgFKenHAX6w8sp</t>
  </si>
  <si>
    <t>1570739650917</t>
  </si>
  <si>
    <t>-LqrNH1MLMigcggsjNKQ</t>
  </si>
  <si>
    <t>1570739657095</t>
  </si>
  <si>
    <t>-LqrNIepYi6Bs7wr1g4I</t>
  </si>
  <si>
    <t>1570739664310</t>
  </si>
  <si>
    <t>-LqrNKSfjwt9q76EHDhK</t>
  </si>
  <si>
    <t>1570739671520</t>
  </si>
  <si>
    <t>-LqrNM9o5BvcHHOHxxe4</t>
  </si>
  <si>
    <t>1570739678736</t>
  </si>
  <si>
    <t>-LqrNNehcyKQmTuCII_6</t>
  </si>
  <si>
    <t>1570739684925</t>
  </si>
  <si>
    <t>-LqrNPDbhzJa4ysinvbT</t>
  </si>
  <si>
    <t>1570739691101</t>
  </si>
  <si>
    <t>-LqrNQwf_3w8ONjBgOBn</t>
  </si>
  <si>
    <t>1570739698296</t>
  </si>
  <si>
    <t>-LqrNSVhbGpy8lSPQxve</t>
  </si>
  <si>
    <t>1570739704489</t>
  </si>
  <si>
    <t>-LqrNUDpN_XoDT5ANlNA</t>
  </si>
  <si>
    <t>1570739711704</t>
  </si>
  <si>
    <t>-LqrNVhfcG_G598HrxbC</t>
  </si>
  <si>
    <t>1570739717865</t>
  </si>
  <si>
    <t>-LqrNXLgi-M32B3y2Ejj</t>
  </si>
  <si>
    <t>1570739724388</t>
  </si>
  <si>
    <t>-LqrNYzfnPSn5o43EIVz</t>
  </si>
  <si>
    <t>1570739731255</t>
  </si>
  <si>
    <t>-LqrN_YhT9t6SLuaFfTs</t>
  </si>
  <si>
    <t>1570739737431</t>
  </si>
  <si>
    <t>-LqrNbGgb19QVYMm8K_h</t>
  </si>
  <si>
    <t>1570739744695</t>
  </si>
  <si>
    <t>-LqrNd3weRblMYni9B0a</t>
  </si>
  <si>
    <t>1570739750865</t>
  </si>
  <si>
    <t>-LqrNemm5sPUdcSNmvVi</t>
  </si>
  <si>
    <t>1570739759096</t>
  </si>
  <si>
    <t>-LqrNg_nxH0ajDPPcSif</t>
  </si>
  <si>
    <t>1570739766290</t>
  </si>
  <si>
    <t>-LqrNiGdIb45etIxrFzj</t>
  </si>
  <si>
    <t>1570739773503</t>
  </si>
  <si>
    <t>-LqrNjr_hzQNddfAiu94</t>
  </si>
  <si>
    <t>1570739779704</t>
  </si>
  <si>
    <t>-LqrNl_blTeYa6rXL2i-</t>
  </si>
  <si>
    <t>1570739786934</t>
  </si>
  <si>
    <t>-LqrNn3ecFK6ocWBv8I8</t>
  </si>
  <si>
    <t>1570739793100</t>
  </si>
  <si>
    <t>-LqrNocgISbflizT_sbl</t>
  </si>
  <si>
    <t>1570739799255</t>
  </si>
  <si>
    <t>-LqrNq7ryiHrfQuu1O5b</t>
  </si>
  <si>
    <t>1570739805461</t>
  </si>
  <si>
    <t>-LqrNrae2jedeQe_NWmE</t>
  </si>
  <si>
    <t>1570739811653</t>
  </si>
  <si>
    <t>-LqrNtA3ee6G8DvnCuAX</t>
  </si>
  <si>
    <t>1570739817836</t>
  </si>
  <si>
    <t>-LqrNusa95Sv2C79j2bb</t>
  </si>
  <si>
    <t>1570739825014</t>
  </si>
  <si>
    <t>-LqrNwRwdtkdnxBR8kgJ</t>
  </si>
  <si>
    <t>1570739831225</t>
  </si>
  <si>
    <t>-LqrNy9epKeIEEkJFFS7</t>
  </si>
  <si>
    <t>1570739838439</t>
  </si>
  <si>
    <t>-LqrNzjrrf7VjKRcDQnI</t>
  </si>
  <si>
    <t>1570739844634</t>
  </si>
  <si>
    <t>-LqrO0eToyz-CH3BaYXE</t>
  </si>
  <si>
    <t>1570739851836</t>
  </si>
  <si>
    <t>-LqrO2Egg28GZFe17w1k</t>
  </si>
  <si>
    <t>1570739859044</t>
  </si>
  <si>
    <t>-LqrO3xbUhrRHlVdZH1O</t>
  </si>
  <si>
    <t>1570739866261</t>
  </si>
  <si>
    <t>-LqrO5SZBUfP7aAUEuXn</t>
  </si>
  <si>
    <t>1570739872449</t>
  </si>
  <si>
    <t>-LqrO7-hCLDj88umAi27</t>
  </si>
  <si>
    <t>1570739878625</t>
  </si>
  <si>
    <t>-LqrO8iqq3wyhl_aL8rU</t>
  </si>
  <si>
    <t>1570739885814</t>
  </si>
  <si>
    <t>-LqrOAHgJ9Vfzx4KvXoH</t>
  </si>
  <si>
    <t>1570739892020</t>
  </si>
  <si>
    <t>-LqrOC-gG3RC4kTMq6_n</t>
  </si>
  <si>
    <t>1570739899236</t>
  </si>
  <si>
    <t>-LqrODUgLq9ARVKF6c4w</t>
  </si>
  <si>
    <t>1570739905416</t>
  </si>
  <si>
    <t>-LqrOF2tDIzDcIYYb9ZN</t>
  </si>
  <si>
    <t>1570739911596</t>
  </si>
  <si>
    <t>-LqrOGkMBQwOlX5-_3TC</t>
  </si>
  <si>
    <t>1570739918796</t>
  </si>
  <si>
    <t>-LqrOIKgzTceOciTXacD</t>
  </si>
  <si>
    <t>1570739924996</t>
  </si>
  <si>
    <t>-LqrOK2oNnYk2D1xpBNC</t>
  </si>
  <si>
    <t>1570739932215</t>
  </si>
  <si>
    <t>-LqrOLbgwbrvtOr5xeSF</t>
  </si>
  <si>
    <t>1570739938396</t>
  </si>
  <si>
    <t>-LqrONKnlVV9cjLmskqV</t>
  </si>
  <si>
    <t>1570739945602</t>
  </si>
  <si>
    <t>-LqrOP7lBV1Lf-SObqSV</t>
  </si>
  <si>
    <t>1570739952818</t>
  </si>
  <si>
    <t>-LqrOQqfYNM7WOdO3Gpe</t>
  </si>
  <si>
    <t>1570739960025</t>
  </si>
  <si>
    <t>-LqrOSKnYghfnwREI52l</t>
  </si>
  <si>
    <t>1570739966185</t>
  </si>
  <si>
    <t>-LqrOUEPBUaV19XLEmHk</t>
  </si>
  <si>
    <t>1570739972385</t>
  </si>
  <si>
    <t>-LqrOVvgWzfAD3JZOT47</t>
  </si>
  <si>
    <t>1570739980632</t>
  </si>
  <si>
    <t>-LqrOXdJogtm97VXrWpY</t>
  </si>
  <si>
    <t>1570739987866</t>
  </si>
  <si>
    <t>-LqrOZ7tdPzT9RObZa2D</t>
  </si>
  <si>
    <t>1570739994042</t>
  </si>
  <si>
    <t>-LqrO_ggPIcbqGq9CwCp</t>
  </si>
  <si>
    <t>1570740000203</t>
  </si>
  <si>
    <t>-LqrObPiA12x9HSDN_PJ</t>
  </si>
  <si>
    <t>1570740007415</t>
  </si>
  <si>
    <t>-LqrOcyz1tH520QJrCYz</t>
  </si>
  <si>
    <t>1570740013601</t>
  </si>
  <si>
    <t>-LqrOewQ18C5WxKorqu6</t>
  </si>
  <si>
    <t>1570740020816</t>
  </si>
  <si>
    <t>-LqrOgytZajs7U4xJLkQ</t>
  </si>
  <si>
    <t>1570740030367</t>
  </si>
  <si>
    <t>-LqrOiPe6zadMlRGcHyU</t>
  </si>
  <si>
    <t>1570740036223</t>
  </si>
  <si>
    <t>-LqrOk-iG7k4qm9iLpMF</t>
  </si>
  <si>
    <t>1570740042453</t>
  </si>
  <si>
    <t>-LqrOliyMwxxKkkttFDc</t>
  </si>
  <si>
    <t>1570740049657</t>
  </si>
  <si>
    <t>-LqrOnXtfyuJEOY-rME6</t>
  </si>
  <si>
    <t>1570740056871</t>
  </si>
  <si>
    <t>-LqrOpEiZXfojmZnrhB3</t>
  </si>
  <si>
    <t>1570740064057</t>
  </si>
  <si>
    <t>-LqrOqnhswWwgpPM-zdi</t>
  </si>
  <si>
    <t>1570740070273</t>
  </si>
  <si>
    <t>-LqrOsWhsSqQ0WRXm8_J</t>
  </si>
  <si>
    <t>1570740077497</t>
  </si>
  <si>
    <t>-LqrOu-djlAZXlSx2hkh</t>
  </si>
  <si>
    <t>1570740083665</t>
  </si>
  <si>
    <t>-LqrOva5M0LCJ0VrngkA</t>
  </si>
  <si>
    <t>1570740089850</t>
  </si>
  <si>
    <t>-LqrOxIQd5Xdtu41gAvR</t>
  </si>
  <si>
    <t>1570740097081</t>
  </si>
  <si>
    <t>-LqrOyqi3NmPBtbVF_dT</t>
  </si>
  <si>
    <t>1570740103246</t>
  </si>
  <si>
    <t>-LqrP-ZtSlQwc2TNgKXT</t>
  </si>
  <si>
    <t>1570740110457</t>
  </si>
  <si>
    <t>-LqrP1OEB46f11_DWpHB</t>
  </si>
  <si>
    <t>1570740117683</t>
  </si>
  <si>
    <t>-LqrP34hSUkHyvrUA7Z6</t>
  </si>
  <si>
    <t>1570740124857</t>
  </si>
  <si>
    <t>-LqrP4dhaqmUzHKfUp35</t>
  </si>
  <si>
    <t>1570740131067</t>
  </si>
  <si>
    <t>-LqrP6MiAKQO81b2-tlz</t>
  </si>
  <si>
    <t>1570740138296</t>
  </si>
  <si>
    <t>-LqrP7pUuhJIbN_I9F4_</t>
  </si>
  <si>
    <t>1570740144432</t>
  </si>
  <si>
    <t>-LqrP9OcI2wEUQSw2al7</t>
  </si>
  <si>
    <t>1570740150642</t>
  </si>
  <si>
    <t>-LqrPAuZMqHzQ6Pb0duK</t>
  </si>
  <si>
    <t>1570740156822</t>
  </si>
  <si>
    <t>-LqrPCNiW42j8kSCuBaR</t>
  </si>
  <si>
    <t>1570740163011</t>
  </si>
  <si>
    <t>-LqrPDwbkgS_Fu2vlh1K</t>
  </si>
  <si>
    <t>1570740169192</t>
  </si>
  <si>
    <t>-LqrPFQc8rXpTtsEoiw2</t>
  </si>
  <si>
    <t>1570740175367</t>
  </si>
  <si>
    <t>-LqrPGuiHVKQQG80MUsa</t>
  </si>
  <si>
    <t>1570740181560</t>
  </si>
  <si>
    <t>-LqrPITi4U-JIE46HnhQ</t>
  </si>
  <si>
    <t>1570740187742</t>
  </si>
  <si>
    <t>-LqrPKBlYNyWuLfpnxlJ</t>
  </si>
  <si>
    <t>1570740194936</t>
  </si>
  <si>
    <t>-LqrPM3tfDDMiLfLqhMa</t>
  </si>
  <si>
    <t>1570740202390</t>
  </si>
  <si>
    <t>-LqrPNib-Szxs63nu9rp</t>
  </si>
  <si>
    <t>1570740209346</t>
  </si>
  <si>
    <t>-LqrPPFbI-DY5Z7FbBz7</t>
  </si>
  <si>
    <t>1570740215561</t>
  </si>
  <si>
    <t>-LqrPQzg0p5KoHkHfvz6</t>
  </si>
  <si>
    <t>1570740222775</t>
  </si>
  <si>
    <t>-LqrPSYikV61VFhGALSE</t>
  </si>
  <si>
    <t>1570740228952</t>
  </si>
  <si>
    <t>-LqrPUGpTtNV7dhQJwqM</t>
  </si>
  <si>
    <t>1570740236165</t>
  </si>
  <si>
    <t>-LqrPW3i060BtRiiFoTV</t>
  </si>
  <si>
    <t>1570740243382</t>
  </si>
  <si>
    <t>-LqrPXmqf6EK0sVpUM4O</t>
  </si>
  <si>
    <t>1570740250617</t>
  </si>
  <si>
    <t>-LqrPZGoi5jtNET9GBk3</t>
  </si>
  <si>
    <t>1570740256745</t>
  </si>
  <si>
    <t>-LqrP_pqM48b-nSqB43u</t>
  </si>
  <si>
    <t>1570740262956</t>
  </si>
  <si>
    <t>-LqrPbYiNFEyrKAd04tv</t>
  </si>
  <si>
    <t>1570740270136</t>
  </si>
  <si>
    <t>-LqrPd5b5xp4P6AHqrfp</t>
  </si>
  <si>
    <t>1570740276351</t>
  </si>
  <si>
    <t>-LqrPeplUp5cJYU51sy4</t>
  </si>
  <si>
    <t>1570740283561</t>
  </si>
  <si>
    <t>-LqrPgJyPLeHvp-bKpdz</t>
  </si>
  <si>
    <t>1570740289747</t>
  </si>
  <si>
    <t>-LqrPhsiNQXXSMkar9Wd</t>
  </si>
  <si>
    <t>1570740295925</t>
  </si>
  <si>
    <t>-LqrPjWjlTqt0SBLpkJb</t>
  </si>
  <si>
    <t>1570740302687</t>
  </si>
  <si>
    <t>-LqrPl9pY6nd5JSMrdNj</t>
  </si>
  <si>
    <t>1570740309316</t>
  </si>
  <si>
    <t>-LqrPmsb0k81KuwlUDcx</t>
  </si>
  <si>
    <t>1570740316534</t>
  </si>
  <si>
    <t>-LqrPoMlnPZfdUz4MddC</t>
  </si>
  <si>
    <t>1570740322708</t>
  </si>
  <si>
    <t>-LqrPpvnjaBuqmMzN09M</t>
  </si>
  <si>
    <t>1570740328858</t>
  </si>
  <si>
    <t>-LqrPrPhi2gPc5qxvTqK</t>
  </si>
  <si>
    <t>1570740335066</t>
  </si>
  <si>
    <t>-LqrPsthAIZA9hsPkeJb</t>
  </si>
  <si>
    <t>1570740341227</t>
  </si>
  <si>
    <t>-LqrPuSggoK2sdcbP0oq</t>
  </si>
  <si>
    <t>1570740347443</t>
  </si>
  <si>
    <t>-LqrPvwpNrmqOgBjuHZ9</t>
  </si>
  <si>
    <t>1570740353616</t>
  </si>
  <si>
    <t>-LqrPy3t3NgGaezM6C67</t>
  </si>
  <si>
    <t>1570740360830</t>
  </si>
  <si>
    <t>-LqrPzgkihO-WOam1LEe</t>
  </si>
  <si>
    <t>1570740369086</t>
  </si>
  <si>
    <t>-LqrQ0FicbtQn_jZ0UDX</t>
  </si>
  <si>
    <t>1570740375257</t>
  </si>
  <si>
    <t>-LqrQ1ygkKCgeOgcpT86</t>
  </si>
  <si>
    <t>1570740382456</t>
  </si>
  <si>
    <t>-LqrQ3SpyNk3OASOCyQ4</t>
  </si>
  <si>
    <t>1570740388645</t>
  </si>
  <si>
    <t>-LqrQ51sVsVxr_yVLTjN</t>
  </si>
  <si>
    <t>1570740394840</t>
  </si>
  <si>
    <t>-LqrQ6jDFitYSbQFiHU4</t>
  </si>
  <si>
    <t>1570740402041</t>
  </si>
  <si>
    <t>-LqrQ8Iqdq080eD3WmCe</t>
  </si>
  <si>
    <t>1570740408227</t>
  </si>
  <si>
    <t>-LqrQA0bFslxqFelrhy5</t>
  </si>
  <si>
    <t>1570740415418</t>
  </si>
  <si>
    <t>-LqrQC4IpIkSw3ZKAZNm</t>
  </si>
  <si>
    <t>1570740421619</t>
  </si>
  <si>
    <t>-LqrQDpMVqzbXGptoYol</t>
  </si>
  <si>
    <t>1570740430886</t>
  </si>
  <si>
    <t>-LqrQFKjQdR6oVlnD8v0</t>
  </si>
  <si>
    <t>1570740437052</t>
  </si>
  <si>
    <t>-LqrQGoYmk_nEuhYlzE0</t>
  </si>
  <si>
    <t>1570740443251</t>
  </si>
  <si>
    <t>-LqrQINg2R-DH4EiLKBT</t>
  </si>
  <si>
    <t>1570740449434</t>
  </si>
  <si>
    <t>-LqrQK5bZzLxhDR6TUgs</t>
  </si>
  <si>
    <t>1570740456641</t>
  </si>
  <si>
    <t>-LqrQL_YR-HXm3dqPuvd</t>
  </si>
  <si>
    <t>1570740462805</t>
  </si>
  <si>
    <t>-LqrQN7eYHFwo76lcd_W</t>
  </si>
  <si>
    <t>1570740469030</t>
  </si>
  <si>
    <t>-LqrQOcd_yktCcXD_cgI</t>
  </si>
  <si>
    <t>1570740475181</t>
  </si>
  <si>
    <t>-LqrQQ4Hw48fqm6AvlrB</t>
  </si>
  <si>
    <t>1570740481335</t>
  </si>
  <si>
    <t>-LqrQRe_ESkGE_KwD0gW</t>
  </si>
  <si>
    <t>1570740487552</t>
  </si>
  <si>
    <t>-LqrQTOXR44X2uKd5o3t</t>
  </si>
  <si>
    <t>1570740494771</t>
  </si>
  <si>
    <t>-LqrQUsZFMHGEzIb62PK</t>
  </si>
  <si>
    <t>1570740500942</t>
  </si>
  <si>
    <t>-LqrQWQewGlqG1N1lwkQ</t>
  </si>
  <si>
    <t>1570740507125</t>
  </si>
  <si>
    <t>-LqrQY8SwGxaHxyJoyQp</t>
  </si>
  <si>
    <t>1570740514365</t>
  </si>
  <si>
    <t>-LqrQZiseW-rDPO_Ek7j</t>
  </si>
  <si>
    <t>1570740520521</t>
  </si>
  <si>
    <t>-LqrQafYxzIlYs6WAN9K</t>
  </si>
  <si>
    <t>1570740528537</t>
  </si>
  <si>
    <t>-LqrQcFnmpQxNRiM0m2i</t>
  </si>
  <si>
    <t>1570740534921</t>
  </si>
  <si>
    <t>-LqrQdxc5lXKqcC7_Yb_</t>
  </si>
  <si>
    <t>1570740542130</t>
  </si>
  <si>
    <t>-LqrQfWTjJbaEQflsa15</t>
  </si>
  <si>
    <t>1570740548335</t>
  </si>
  <si>
    <t>-LqrQhDR2UbCdMPoArBx</t>
  </si>
  <si>
    <t>1570740555547</t>
  </si>
  <si>
    <t>-LqrQihWnloW0-0-wGVC</t>
  </si>
  <si>
    <t>1570740561730</t>
  </si>
  <si>
    <t>-LqrQkI2H3ULFSni9XTF</t>
  </si>
  <si>
    <t>1570740567911</t>
  </si>
  <si>
    <t>-LqrQlyDl4O6GA1uN3C4</t>
  </si>
  <si>
    <t>1570740575090</t>
  </si>
  <si>
    <t>-LqrQnYXAmTUEu_Grgm-</t>
  </si>
  <si>
    <t>1570740581351</t>
  </si>
  <si>
    <t>-LqrQp1SUqdw0nPLTDCs</t>
  </si>
  <si>
    <t>1570740587463</t>
  </si>
  <si>
    <t>-LqrQqVZqNg1nCVgLpC5</t>
  </si>
  <si>
    <t>1570740593650</t>
  </si>
  <si>
    <t>-LqrQs5b96vgMfDaooyn</t>
  </si>
  <si>
    <t>1570740599842</t>
  </si>
  <si>
    <t>-LqrQtnTSZjYLU7IUDXx</t>
  </si>
  <si>
    <t>1570740607060</t>
  </si>
  <si>
    <t>-LqrQvHhcFpah53BzZLx</t>
  </si>
  <si>
    <t>1570740613239</t>
  </si>
  <si>
    <t>-LqrQwroDAMIrDdMOdcM</t>
  </si>
  <si>
    <t>1570740619420</t>
  </si>
  <si>
    <t>-LqrQyZN79DVz3q14OaI</t>
  </si>
  <si>
    <t>1570740626678</t>
  </si>
  <si>
    <t>-LqrR-3sRuRq_C8uVVAw</t>
  </si>
  <si>
    <t>1570740632811</t>
  </si>
  <si>
    <t>-LqrR0tO9B3RswNwUbc4</t>
  </si>
  <si>
    <t>1570740639001</t>
  </si>
  <si>
    <t>-LqrR2fq4Trjw27ICM2w</t>
  </si>
  <si>
    <t>1570740647252</t>
  </si>
  <si>
    <t>-LqrR4NaJtmbiSROMD6x</t>
  </si>
  <si>
    <t>1570740654459</t>
  </si>
  <si>
    <t>-LqrR6Bte--IH6Wn9yUo</t>
  </si>
  <si>
    <t>1570740660632</t>
  </si>
  <si>
    <t>-LqrR7t_7xWf6uTkOaF4</t>
  </si>
  <si>
    <t>1570740668853</t>
  </si>
  <si>
    <t>-LqrR9SdQkydIeGI1Zry</t>
  </si>
  <si>
    <t>1570740675059</t>
  </si>
  <si>
    <t>-LqrRBAx8XQpysIYDEiG</t>
  </si>
  <si>
    <t>1570740682293</t>
  </si>
  <si>
    <t>-LqrRCef6Zl5WcmjZcs5</t>
  </si>
  <si>
    <t>1570740688455</t>
  </si>
  <si>
    <t>-LqrRED_oKHe_jhTnSTq</t>
  </si>
  <si>
    <t>1570740694633</t>
  </si>
  <si>
    <t>-LqrRFhlN1T2-3jiIJbV</t>
  </si>
  <si>
    <t>1570740700812</t>
  </si>
  <si>
    <t>-LqrRHGaezVGnIdEFAVD</t>
  </si>
  <si>
    <t>1570740707027</t>
  </si>
  <si>
    <t>-LqrRIvqWDgsnE7pe8UL</t>
  </si>
  <si>
    <t>1570740714214</t>
  </si>
  <si>
    <t>-LqrRKTdZw6I3fyI0Ip0</t>
  </si>
  <si>
    <t>1570740720373</t>
  </si>
  <si>
    <t>-LqrRM1b22I68SyDSQRQ</t>
  </si>
  <si>
    <t>1570740726573</t>
  </si>
  <si>
    <t>-LqrRNl4xCBbBYkC8d39</t>
  </si>
  <si>
    <t>1570740733789</t>
  </si>
  <si>
    <t>-LqrRPYaQQ84Xb3T_4Vl</t>
  </si>
  <si>
    <t>1570740741004</t>
  </si>
  <si>
    <t>-LqrRRGfmMOCg9v8aNSV</t>
  </si>
  <si>
    <t>1570740748226</t>
  </si>
  <si>
    <t>-LqrRSpfzZdKxE4-ry3M</t>
  </si>
  <si>
    <t>1570740754393</t>
  </si>
  <si>
    <t>-LqrRUYiXhOXjpKhgGDd</t>
  </si>
  <si>
    <t>1570740761604</t>
  </si>
  <si>
    <t>-LqrRW1_nSGMuRi0O2L0</t>
  </si>
  <si>
    <t>1570740767798</t>
  </si>
  <si>
    <t>-LqrRXadaTs0vlOVhV-D</t>
  </si>
  <si>
    <t>1570740773976</t>
  </si>
  <si>
    <t>-LqrRZJam0IPHW2T0U0r</t>
  </si>
  <si>
    <t>1570740781176</t>
  </si>
  <si>
    <t>-LqrR_sgAO3gi0TIzt86</t>
  </si>
  <si>
    <t>1570740787363</t>
  </si>
  <si>
    <t>-LqrRbYcS6lHgg-0NY5c</t>
  </si>
  <si>
    <t>1570740794575</t>
  </si>
  <si>
    <t>-LqrRd4arX_QH1HIJhFp</t>
  </si>
  <si>
    <t>1570740800748</t>
  </si>
  <si>
    <t>-LqrRedfg0hjBtbELUO6</t>
  </si>
  <si>
    <t>1570740806940</t>
  </si>
  <si>
    <t>-LqrRgMlKF-fi_zITbYC</t>
  </si>
  <si>
    <t>1570740814133</t>
  </si>
  <si>
    <t>-LqrRhvmHU-wOSnDNMys</t>
  </si>
  <si>
    <t>1570740820333</t>
  </si>
  <si>
    <t>-LqrRjdlm1vKIoNsAsC8</t>
  </si>
  <si>
    <t>1570740827543</t>
  </si>
  <si>
    <t>-LqrRl7m9Q14wN2b63jI</t>
  </si>
  <si>
    <t>1570740833724</t>
  </si>
  <si>
    <t>-LqrRmgguKYp7qkaFlTi</t>
  </si>
  <si>
    <t>1570740839909</t>
  </si>
  <si>
    <t>-LqrRoQoAmmKrbQK5EeI</t>
  </si>
  <si>
    <t>1570740847095</t>
  </si>
  <si>
    <t>-LqrRptfg51KQCvIcq3v</t>
  </si>
  <si>
    <t>1570740853305</t>
  </si>
  <si>
    <t>-LqrRrSdPci93fNrYJRm</t>
  </si>
  <si>
    <t>1570740859485</t>
  </si>
  <si>
    <t>-LqrRtEjRS9c8p0OenYv</t>
  </si>
  <si>
    <t>1570740866972</t>
  </si>
  <si>
    <t>-LqrRuyi42cGa4JwPt24</t>
  </si>
  <si>
    <t>1570740873919</t>
  </si>
  <si>
    <t>-LqrRwRPe1A_oOBYY6Tl</t>
  </si>
  <si>
    <t>1570740880062</t>
  </si>
  <si>
    <t>-LqrRy1tBaNB8F8HktXO</t>
  </si>
  <si>
    <t>1570740886277</t>
  </si>
  <si>
    <t>-LqrRzjiZC7ZYe6C-7z6</t>
  </si>
  <si>
    <t>1570740893498</t>
  </si>
  <si>
    <t>-LqrS0Dix7nWg3YIwPzc</t>
  </si>
  <si>
    <t>1570740899668</t>
  </si>
  <si>
    <t>-LqrS1mpDUvIUU4sHG7g</t>
  </si>
  <si>
    <t>1570740905851</t>
  </si>
  <si>
    <t>-LqrS3ehJX7P9x0AcpGl</t>
  </si>
  <si>
    <t>1570740913443</t>
  </si>
  <si>
    <t>-LqrS5IhGscRoeyiomQ5</t>
  </si>
  <si>
    <t>1570740920276</t>
  </si>
  <si>
    <t>-LqrS6mitvzu8itcuoSw</t>
  </si>
  <si>
    <t>1570740926455</t>
  </si>
  <si>
    <t>-LqrS8Ljd-je9GBvkyX1</t>
  </si>
  <si>
    <t>1570740932647</t>
  </si>
  <si>
    <t>-LqrSA3iur12vHb4vpXR</t>
  </si>
  <si>
    <t>1570740939851</t>
  </si>
  <si>
    <t>-LqrSBYqcbAikV3s_xJo</t>
  </si>
  <si>
    <t>1570740946044</t>
  </si>
  <si>
    <t>-LqrSD6hWPZglP6mp2i3</t>
  </si>
  <si>
    <t>1570740952207</t>
  </si>
  <si>
    <t>-LqrSEpcENgzfpPwNQEp</t>
  </si>
  <si>
    <t>1570740959416</t>
  </si>
  <si>
    <t>-LqrSGNhs-qo6HgOqEK-</t>
  </si>
  <si>
    <t>1570740965607</t>
  </si>
  <si>
    <t>-LqrSI6ijcG7wjxC_6GK</t>
  </si>
  <si>
    <t>1570740972816</t>
  </si>
  <si>
    <t>-LqrSJah9IxlcLow_-Nr</t>
  </si>
  <si>
    <t>1570740979012</t>
  </si>
  <si>
    <t>-LqrSL9cuqK2KxQD7kxr</t>
  </si>
  <si>
    <t>1570740985182</t>
  </si>
  <si>
    <t>-LqrSMsiq1A1lV2Jtx4-</t>
  </si>
  <si>
    <t>1570740992377</t>
  </si>
  <si>
    <t>-LqrSORiHs2jpTOPp2rp</t>
  </si>
  <si>
    <t>1570740998576</t>
  </si>
  <si>
    <t>-LqrSQ8cwV1G-kYcVy7y</t>
  </si>
  <si>
    <t>1570741005787</t>
  </si>
  <si>
    <t>-LqrSRytUHhor5sMwz1h</t>
  </si>
  <si>
    <t>1570741012995</t>
  </si>
  <si>
    <t>-LqrSTfhbGuKAGRRMK0-</t>
  </si>
  <si>
    <t>1570741020216</t>
  </si>
  <si>
    <t>-LqrSVEgXCvEOgvtsbQb</t>
  </si>
  <si>
    <t>1570741026395</t>
  </si>
  <si>
    <t>-LqrSWxc769XSIugxHDp</t>
  </si>
  <si>
    <t>1570741033606</t>
  </si>
  <si>
    <t>-LqrSYRdKNA212e0xNmX</t>
  </si>
  <si>
    <t>1570741039802</t>
  </si>
  <si>
    <t>-LqrS_-liMfeQFUO8hZl</t>
  </si>
  <si>
    <t>1570741045965</t>
  </si>
  <si>
    <t>-LqrSaidtNN2z0jY2IB4</t>
  </si>
  <si>
    <t>1570741053177</t>
  </si>
  <si>
    <t>-LqrScItJoBO7qhzaOBJ</t>
  </si>
  <si>
    <t>1570741059355</t>
  </si>
  <si>
    <t>-LqrSe-iXT-H4LT3XS-5</t>
  </si>
  <si>
    <t>1570741066566</t>
  </si>
  <si>
    <t>-LqrSfUiF6xWgR4oBFEW</t>
  </si>
  <si>
    <t>1570741072771</t>
  </si>
  <si>
    <t>-LqrSh1smQMoZyI5b9-P</t>
  </si>
  <si>
    <t>1570741078933</t>
  </si>
  <si>
    <t>-LqrSj4i5DoFguMnwAcL</t>
  </si>
  <si>
    <t>1570741086138</t>
  </si>
  <si>
    <t>-LqrSknaKIpoLE4BPMYF</t>
  </si>
  <si>
    <t>1570741094379</t>
  </si>
  <si>
    <t>-LqrSmHokoZ9O5mYMTuR</t>
  </si>
  <si>
    <t>1570741100534</t>
  </si>
  <si>
    <t>-LqrSo-kwmQwAr-fKj0i</t>
  </si>
  <si>
    <t>1570741107348</t>
  </si>
  <si>
    <t>-LqrSpZ_6rB17B0L2f09</t>
  </si>
  <si>
    <t>1570741113955</t>
  </si>
  <si>
    <t>-LqrSr2a4-SKLsvpp4z7</t>
  </si>
  <si>
    <t>1570741120140</t>
  </si>
  <si>
    <t>-LqrSsbbmJbSsppzzkv5</t>
  </si>
  <si>
    <t>1570741126324</t>
  </si>
  <si>
    <t>-LqrSu5k75v9s52KZv9q</t>
  </si>
  <si>
    <t>1570741132489</t>
  </si>
  <si>
    <t>-LqrSv_jARrhSpJa5Crr</t>
  </si>
  <si>
    <t>1570741138664</t>
  </si>
  <si>
    <t>-LqrSx8edmKlFUpVvUPR</t>
  </si>
  <si>
    <t>1570741144860</t>
  </si>
  <si>
    <t>-LqrSyreHJKRLqd71taw</t>
  </si>
  <si>
    <t>1570741152053</t>
  </si>
  <si>
    <t>-LqrT-S5awg8a9SWftIn</t>
  </si>
  <si>
    <t>1570741158266</t>
  </si>
  <si>
    <t>-LqrT18faw6m3Irka4vf</t>
  </si>
  <si>
    <t>1570741165468</t>
  </si>
  <si>
    <t>-LqrT2cbxDnRiOLJu08H</t>
  </si>
  <si>
    <t>1570741171659</t>
  </si>
  <si>
    <t>-LqrT4BkYo1osGsLDNs7</t>
  </si>
  <si>
    <t>1570741177834</t>
  </si>
  <si>
    <t>-LqrT5u_Qhn-4bYUaAm2</t>
  </si>
  <si>
    <t>1570741185015</t>
  </si>
  <si>
    <t>-LqrT7TfH4uUxnifvc0n</t>
  </si>
  <si>
    <t>1570741191223</t>
  </si>
  <si>
    <t>-LqrT9Bm5iaCBfO-Cb9d</t>
  </si>
  <si>
    <t>1570741198454</t>
  </si>
  <si>
    <t>-LqrTAfm73LYE6r64i-Z</t>
  </si>
  <si>
    <t>1570741204620</t>
  </si>
  <si>
    <t>-LqrTCEnQf4WFL6bc4cE</t>
  </si>
  <si>
    <t>1570741210803</t>
  </si>
  <si>
    <t>-LqrTDxfABVQS2VaifpC</t>
  </si>
  <si>
    <t>1570741217993</t>
  </si>
  <si>
    <t>-LqrTFWsOiPdJBCbN6OS</t>
  </si>
  <si>
    <t>1570741224198</t>
  </si>
  <si>
    <t>-LqrTHEeyTr0WbS-T8LF</t>
  </si>
  <si>
    <t>1570741231415</t>
  </si>
  <si>
    <t>-LqrTIp-rTFgDstzTj2P</t>
  </si>
  <si>
    <t>1570741237595</t>
  </si>
  <si>
    <t>-LqrTKWgOa2QqOOC9a0C</t>
  </si>
  <si>
    <t>1570741244806</t>
  </si>
  <si>
    <t>-LqrTM-HK32b27I41oSB</t>
  </si>
  <si>
    <t>1570741250998</t>
  </si>
  <si>
    <t>-LqrTNZggTmBHuHC0oFk</t>
  </si>
  <si>
    <t>1570741257165</t>
  </si>
  <si>
    <t>-LqrTPHeRzAZPK8_wizj</t>
  </si>
  <si>
    <t>1570741264373</t>
  </si>
  <si>
    <t>-LqrTQq_82Npb1O3fIX_</t>
  </si>
  <si>
    <t>1570741270558</t>
  </si>
  <si>
    <t>-LqrTSZfyGbkeCdo5p-g</t>
  </si>
  <si>
    <t>1570741277773</t>
  </si>
  <si>
    <t>-LqrTU1lqqo28kuGHslo</t>
  </si>
  <si>
    <t>1570741283959</t>
  </si>
  <si>
    <t>-LqrTVbeJP-t-jhzZJo3</t>
  </si>
  <si>
    <t>1570741290139</t>
  </si>
  <si>
    <t>-LqrTXM-6CdFLwl6o5Hm</t>
  </si>
  <si>
    <t>1570741297334</t>
  </si>
  <si>
    <t>-LqrTZEGGRnm75Qt2vSA</t>
  </si>
  <si>
    <t>1570741303528</t>
  </si>
  <si>
    <t>-LqrT_pgBASW_HTlQxUm</t>
  </si>
  <si>
    <t>1570741311750</t>
  </si>
  <si>
    <t>-LqrTbPmjgcLP2u_A9nE</t>
  </si>
  <si>
    <t>1570741317924</t>
  </si>
  <si>
    <t>-LqrTd7nCV1M-6Hkddcx</t>
  </si>
  <si>
    <t>1570741325182</t>
  </si>
  <si>
    <t>-LqrTewpPhbrXO66G6Oq</t>
  </si>
  <si>
    <t>1570741332379</t>
  </si>
  <si>
    <t>-LqrTgdcj6OCvpWxyowH</t>
  </si>
  <si>
    <t>1570741339586</t>
  </si>
  <si>
    <t>-LqrTiE-A8qCwkcApaXJ</t>
  </si>
  <si>
    <t>1570741345779</t>
  </si>
  <si>
    <t>-LqrTjvaiwvz-oESgPR0</t>
  </si>
  <si>
    <t>1570741352987</t>
  </si>
  <si>
    <t>-LqrTlPm1OPMwHf-7KBV</t>
  </si>
  <si>
    <t>1570741359168</t>
  </si>
  <si>
    <t>-LqrTmyaDoRyYMhJa3rx</t>
  </si>
  <si>
    <t>1570741365354</t>
  </si>
  <si>
    <t>-LqrTogelQlvNBKNr3LF</t>
  </si>
  <si>
    <t>1570741372533</t>
  </si>
  <si>
    <t>-LqrTqFipxjFFWmgRe9j</t>
  </si>
  <si>
    <t>1570741378756</t>
  </si>
  <si>
    <t>-LqrTrxTpJ3s0OCM57TT</t>
  </si>
  <si>
    <t>1570741385974</t>
  </si>
  <si>
    <t>-LqrTtWeBFl9_Ti0I3f9</t>
  </si>
  <si>
    <t>1570741392154</t>
  </si>
  <si>
    <t>-LqrTvH7x5NT3L8OsimH</t>
  </si>
  <si>
    <t>1570741399359</t>
  </si>
  <si>
    <t>-LqrTx2a_xa3miySioDY</t>
  </si>
  <si>
    <t>1570741406570</t>
  </si>
  <si>
    <t>-LqrTylkQlZ3czVH3iYC</t>
  </si>
  <si>
    <t>1570741413784</t>
  </si>
  <si>
    <t>-LqrU-EUpCGXsPr4Mu0R</t>
  </si>
  <si>
    <t>1570741419964</t>
  </si>
  <si>
    <t>-LqrU0pu15cs6yOrdT3R</t>
  </si>
  <si>
    <t>1570741426143</t>
  </si>
  <si>
    <t>-LqrU2YuFWPUKWTkqSIV</t>
  </si>
  <si>
    <t>1570741433334</t>
  </si>
  <si>
    <t>-LqrU45elFrJGqVoMYzf</t>
  </si>
  <si>
    <t>1570741439536</t>
  </si>
  <si>
    <t>-LqrU5ooJI28Jujfon3G</t>
  </si>
  <si>
    <t>1570741446749</t>
  </si>
  <si>
    <t>-LqrU7seL8iDcH0aApiv</t>
  </si>
  <si>
    <t>1570741453964</t>
  </si>
  <si>
    <t>-LqrU9ZaoPnJNvg2fKKy</t>
  </si>
  <si>
    <t>1570741462176</t>
  </si>
  <si>
    <t>-LqrUB7wauFbpS_FLzAX</t>
  </si>
  <si>
    <t>1570741468384</t>
  </si>
  <si>
    <t>-LqrUCqf1I6JkR-o5yZn</t>
  </si>
  <si>
    <t>1570741475574</t>
  </si>
  <si>
    <t>-LqrUEQqExJ2U0vmKrLf</t>
  </si>
  <si>
    <t>1570741481774</t>
  </si>
  <si>
    <t>-LqrUG7ZjdAjlHilCwQA</t>
  </si>
  <si>
    <t>1570741488984</t>
  </si>
  <si>
    <t>-LqrUHbCoptTAWLdPvNY</t>
  </si>
  <si>
    <t>1570741495169</t>
  </si>
  <si>
    <t>-LqrUJAkdw_Gv82mfcgr</t>
  </si>
  <si>
    <t>1570741501335</t>
  </si>
  <si>
    <t>-LqrUKte0Ba_hZQszpkY</t>
  </si>
  <si>
    <t>1570741508534</t>
  </si>
  <si>
    <t>-LqrUMSdrtdNNLawXITh</t>
  </si>
  <si>
    <t>1570741514742</t>
  </si>
  <si>
    <t>-LqrUOAt78f11ckZJXPZ</t>
  </si>
  <si>
    <t>1570741521952</t>
  </si>
  <si>
    <t>-LqrUPyjsNFaN0SXMCjO</t>
  </si>
  <si>
    <t>1570741529164</t>
  </si>
  <si>
    <t>-LqrUS-qj60nmWL74IDK</t>
  </si>
  <si>
    <t>1570741537684</t>
  </si>
  <si>
    <t>-LqrUTjIpTiuaxYjM2AX</t>
  </si>
  <si>
    <t>1570741544623</t>
  </si>
  <si>
    <t>-LqrUVCa-v7-hieVIJVz</t>
  </si>
  <si>
    <t>1570741550770</t>
  </si>
  <si>
    <t>-LqrUWke5v7_2TkdkFSf</t>
  </si>
  <si>
    <t>1570741556954</t>
  </si>
  <si>
    <t>-LqrUYEILb2H9EVfhsID</t>
  </si>
  <si>
    <t>1570741563151</t>
  </si>
  <si>
    <t>-LqrUZjbWT7ex1suNXJr</t>
  </si>
  <si>
    <t>1570741569331</t>
  </si>
  <si>
    <t>-LqrUaHWxcv1A9pKGuQ1</t>
  </si>
  <si>
    <t>1570741575520</t>
  </si>
  <si>
    <t>-LqrUbmc_0uYTNMzbgEb</t>
  </si>
  <si>
    <t>1570741581696</t>
  </si>
  <si>
    <t>-LqrUdDmuhcvPgd2Ieh3</t>
  </si>
  <si>
    <t>1570741587890</t>
  </si>
  <si>
    <t>-LqrUejc8TJGTzvR5e5x</t>
  </si>
  <si>
    <t>1570741594061</t>
  </si>
  <si>
    <t>-LqrUgKlLLtOQSrSpf2E</t>
  </si>
  <si>
    <t>1570741600254</t>
  </si>
  <si>
    <t>-LqrUi1s5Sj_FrWujIHw</t>
  </si>
  <si>
    <t>1570741607471</t>
  </si>
  <si>
    <t>-LqrUj_d7YFLXFoycQvu</t>
  </si>
  <si>
    <t>1570741613640</t>
  </si>
  <si>
    <t>-LqrUl4wmhyIfEipsTPz</t>
  </si>
  <si>
    <t>1570741619822</t>
  </si>
  <si>
    <t>-LqrUn6cQdbyWQOLGYeY</t>
  </si>
  <si>
    <t>1570741627000</t>
  </si>
  <si>
    <t>-LqrUopiAi4gRfGrjHfN</t>
  </si>
  <si>
    <t>1570741635249</t>
  </si>
  <si>
    <t>-LqrUqgcZwEnC1dJivzq</t>
  </si>
  <si>
    <t>1570741641462</t>
  </si>
  <si>
    <t>-LqrUsM0o-AtCE9IY3J3</t>
  </si>
  <si>
    <t>1570741649715</t>
  </si>
  <si>
    <t>-LqrUtumLmDjn1Q30OvV</t>
  </si>
  <si>
    <t>1570741655882</t>
  </si>
  <si>
    <t>-LqrUvccvipE2wE67tX1</t>
  </si>
  <si>
    <t>1570741663091</t>
  </si>
  <si>
    <t>-LqrUxAjP61gHzTZmB88</t>
  </si>
  <si>
    <t>1570741669271</t>
  </si>
  <si>
    <t>-LqrUyukycTMz_Sk-_8j</t>
  </si>
  <si>
    <t>1570741676480</t>
  </si>
  <si>
    <t>-LqrV-hk5fTDBJ60pkR0</t>
  </si>
  <si>
    <t>1570741683848</t>
  </si>
  <si>
    <t>-LqrV1QjwwBAZ-lJi-i1</t>
  </si>
  <si>
    <t>1570741690914</t>
  </si>
  <si>
    <t>-LqrV2ukJJ7_lnurMvnJ</t>
  </si>
  <si>
    <t>1570741697062</t>
  </si>
  <si>
    <t>-LqrV4TkP8s51zVPCvui</t>
  </si>
  <si>
    <t>1570741703269</t>
  </si>
  <si>
    <t>-LqrV6APWqkJ1apihZwR</t>
  </si>
  <si>
    <t>1570741710450</t>
  </si>
  <si>
    <t>-LqrV7lqinNq4_5spGL2</t>
  </si>
  <si>
    <t>1570741716659</t>
  </si>
  <si>
    <t>-LqrV9Tlft9jG_qeuXjO</t>
  </si>
  <si>
    <t>1570741723877</t>
  </si>
  <si>
    <t>-LqrVAxxbZwEgk73843f</t>
  </si>
  <si>
    <t>1570741730023</t>
  </si>
  <si>
    <t>-LqrVCWhxW0Tf4zr2cQ_</t>
  </si>
  <si>
    <t>1570741736232</t>
  </si>
  <si>
    <t>-LqrVED3DHByvJiQEW-5</t>
  </si>
  <si>
    <t>1570741742418</t>
  </si>
  <si>
    <t>-LqrVG1gNjBeU_M3hhxa</t>
  </si>
  <si>
    <t>1570741750666</t>
  </si>
  <si>
    <t>-LqrVHphz08qMlBro8cN</t>
  </si>
  <si>
    <t>1570741756814</t>
  </si>
  <si>
    <t>-LqrVJUp_Nvn4zhEdmEP</t>
  </si>
  <si>
    <t>1570741765078</t>
  </si>
  <si>
    <t>-LqrVL1fZ-k8Ng8GF7E3</t>
  </si>
  <si>
    <t>1570741771253</t>
  </si>
  <si>
    <t>-LqrVMaeihwztNNiBqYv</t>
  </si>
  <si>
    <t>1570741777445</t>
  </si>
  <si>
    <t>-LqrVOJaIQAWlpScLgje</t>
  </si>
  <si>
    <t>1570741784658</t>
  </si>
  <si>
    <t>-LqrVPm_uhX5idqTSEwy</t>
  </si>
  <si>
    <t>1570741790838</t>
  </si>
  <si>
    <t>-LqrVRMgVwOLwKnjY0Dg</t>
  </si>
  <si>
    <t>1570741797028</t>
  </si>
  <si>
    <t>-LqrVT62MvlgDoQhur7J</t>
  </si>
  <si>
    <t>1570741804214</t>
  </si>
  <si>
    <t>-LqrVUdfMhfbJ5uJ_HGL</t>
  </si>
  <si>
    <t>1570741810410</t>
  </si>
  <si>
    <t>-LqrVWMw8VJNAT_TXB_p</t>
  </si>
  <si>
    <t>1570741817620</t>
  </si>
  <si>
    <t>-LqrVYVmOaQAZVJZUBFi</t>
  </si>
  <si>
    <t>1570741824829</t>
  </si>
  <si>
    <t>-LqrV_6vvvioXXU9RHOy</t>
  </si>
  <si>
    <t>1570741833088</t>
  </si>
  <si>
    <t>-LqrVaf_dQwBC6WKXb6T</t>
  </si>
  <si>
    <t>1570741839253</t>
  </si>
  <si>
    <t>-LqrVcOgahZ1H2VHd1LJ</t>
  </si>
  <si>
    <t>1570741846458</t>
  </si>
  <si>
    <t>-LqrVe1f3RyQowLrexIC</t>
  </si>
  <si>
    <t>1570741852648</t>
  </si>
  <si>
    <t>-LqrVfgqnXygtqFKEimb</t>
  </si>
  <si>
    <t>1570741859867</t>
  </si>
  <si>
    <t>-LqrVh9wtpkQR9zRX0F0</t>
  </si>
  <si>
    <t>1570741866043</t>
  </si>
  <si>
    <t>-LqrVijpUKc-qbTlnIhz</t>
  </si>
  <si>
    <t>1570741872223</t>
  </si>
  <si>
    <t>-LqrVkPLBLPxXEFv1YyF</t>
  </si>
  <si>
    <t>1570741879415</t>
  </si>
  <si>
    <t>-LqrVm-gWiGetbnyFeTK</t>
  </si>
  <si>
    <t>1570741885618</t>
  </si>
  <si>
    <t>-LqrVnieiN-qVpJNbR0c</t>
  </si>
  <si>
    <t>1570741892834</t>
  </si>
  <si>
    <t>-LqrVpCa3AIv-8U1TTXy</t>
  </si>
  <si>
    <t>1570741898983</t>
  </si>
  <si>
    <t>-LqrVqs4emh2ddYY1fGg</t>
  </si>
  <si>
    <t>1570741905195</t>
  </si>
  <si>
    <t>-LqrVsUl1KocxFXAYN8e</t>
  </si>
  <si>
    <t>1570741912375</t>
  </si>
  <si>
    <t>-LqrVtyolNFNMwZWJFOM</t>
  </si>
  <si>
    <t>1570741918585</t>
  </si>
  <si>
    <t>-LqrVvXkRNBRR7LW4fjN</t>
  </si>
  <si>
    <t>1570741924770</t>
  </si>
  <si>
    <t>-LqrVxFV1vZw4zWxiUV9</t>
  </si>
  <si>
    <t>1570741931985</t>
  </si>
  <si>
    <t>-LqrVyoeavl3spinMbsd</t>
  </si>
  <si>
    <t>1570741938166</t>
  </si>
  <si>
    <t>-LqrW-Iu2GLlHlE5vayb</t>
  </si>
  <si>
    <t>1570741944348</t>
  </si>
  <si>
    <t>-LqrW1730jdY5otAwgZp</t>
  </si>
  <si>
    <t>1570741951558</t>
  </si>
  <si>
    <t>-LqrW2mFiahNHRnYBLLA</t>
  </si>
  <si>
    <t>1570741958774</t>
  </si>
  <si>
    <t>-LqrW4NaEioYME_Ky79v</t>
  </si>
  <si>
    <t>1570741964949</t>
  </si>
  <si>
    <t>-LqrW65hmG1vXV27QmfT</t>
  </si>
  <si>
    <t>1570741972167</t>
  </si>
  <si>
    <t>-LqrW7vM6982vYcaQlQS</t>
  </si>
  <si>
    <t>1570741978323</t>
  </si>
  <si>
    <t>-LqrW9bezfrF66VoUCuJ</t>
  </si>
  <si>
    <t>1570741986583</t>
  </si>
  <si>
    <t>-LqrWB5aZp2N5oie6y7P</t>
  </si>
  <si>
    <t>1570741992768</t>
  </si>
  <si>
    <t>-LqrWCefRt1LGNmb0TqD</t>
  </si>
  <si>
    <t>1570741998949</t>
  </si>
  <si>
    <t>-LqrWEABmBjt7W9q00qa</t>
  </si>
  <si>
    <t>1570742005134</t>
  </si>
  <si>
    <t>-LqrWFbUw7XVsmSWVuyW</t>
  </si>
  <si>
    <t>1570742011324</t>
  </si>
  <si>
    <t>-LqrWHBmUeDGzLxJiaOs</t>
  </si>
  <si>
    <t>1570742017494</t>
  </si>
  <si>
    <t>-LqrWIwm3c8EHHBBSdap</t>
  </si>
  <si>
    <t>1570742024694</t>
  </si>
  <si>
    <t>-LqrWKhoec-KqzjzNRij</t>
  </si>
  <si>
    <t>1570742031894</t>
  </si>
  <si>
    <t>-LqrWMAf5kuBlmKnhSoi</t>
  </si>
  <si>
    <t>1570742038104</t>
  </si>
  <si>
    <t>-LqrWNfPMuVNp-Z7yVww</t>
  </si>
  <si>
    <t>1570742044283</t>
  </si>
  <si>
    <t>-LqrWPEksjtegsOHfyrv</t>
  </si>
  <si>
    <t>1570742050468</t>
  </si>
  <si>
    <t>-LqrWQxcUPw8sElHavah</t>
  </si>
  <si>
    <t>1570742057653</t>
  </si>
  <si>
    <t>-LqrWSWp7E00WmaRsNf8</t>
  </si>
  <si>
    <t>1570742063865</t>
  </si>
  <si>
    <t>-LqrWUBOyh0EdZbqNQXU</t>
  </si>
  <si>
    <t>1570742071044</t>
  </si>
  <si>
    <t>-LqrWVinMlKtta76g_E1</t>
  </si>
  <si>
    <t>1570742077267</t>
  </si>
  <si>
    <t>-LqrWXHfLAgIo6z5FFxB</t>
  </si>
  <si>
    <t>1570742083443</t>
  </si>
  <si>
    <t>-LqrWYlbuWl3UcTyJIaV</t>
  </si>
  <si>
    <t>1570742089613</t>
  </si>
  <si>
    <t>-LqrW_E_00SGBlopyU89</t>
  </si>
  <si>
    <t>1570742095803</t>
  </si>
  <si>
    <t>-LqrWaog1z6tGMUal-QI</t>
  </si>
  <si>
    <t>1570742101983</t>
  </si>
  <si>
    <t>-LqrWccqSF5-KTheMYT9</t>
  </si>
  <si>
    <t>1570742109174</t>
  </si>
  <si>
    <t>-LqrWeM5fg57ExH2KCNH</t>
  </si>
  <si>
    <t>1570742116409</t>
  </si>
  <si>
    <t>-LqrWg2nDNaYFglvcN2O</t>
  </si>
  <si>
    <t>1570742123638</t>
  </si>
  <si>
    <t>-LqrWhbl96yB5DXd_TNA</t>
  </si>
  <si>
    <t>1570742129804</t>
  </si>
  <si>
    <t>-LqrWjJXJiGXg5BiLwbm</t>
  </si>
  <si>
    <t>1570742137014</t>
  </si>
  <si>
    <t>-LqrWktnZUiZVYU22bLu</t>
  </si>
  <si>
    <t>1570742143199</t>
  </si>
  <si>
    <t>-LqrWmbm2sd9rvPywCAm</t>
  </si>
  <si>
    <t>1570742150409</t>
  </si>
  <si>
    <t>-LqrWo5uZl5IgQVV-f2z</t>
  </si>
  <si>
    <t>1570742156608</t>
  </si>
  <si>
    <t>-LqrWpep-j7HLimurMqx</t>
  </si>
  <si>
    <t>1570742162774</t>
  </si>
  <si>
    <t>-LqrWrNKRnM7B4FDZDTk</t>
  </si>
  <si>
    <t>1570742169973</t>
  </si>
  <si>
    <t>-LqrWswfdZA271GlrMGs</t>
  </si>
  <si>
    <t>1570742176169</t>
  </si>
  <si>
    <t>-LqrWudpROSYFBFA3zkk</t>
  </si>
  <si>
    <t>1570742183384</t>
  </si>
  <si>
    <t>-LqrWwSazITmqE6wySGu</t>
  </si>
  <si>
    <t>1570742190595</t>
  </si>
  <si>
    <t>-LqrWyAgd65Z1TO0qUDz</t>
  </si>
  <si>
    <t>1570742197813</t>
  </si>
  <si>
    <t>-LqrWzxdbkOA27WKDjUV</t>
  </si>
  <si>
    <t>1570742205204</t>
  </si>
  <si>
    <t>-LqrX0eDJxbmpTVOCsBl</t>
  </si>
  <si>
    <t>1570742212212</t>
  </si>
  <si>
    <t>-LqrX2GNM8iWrsUpbDuA</t>
  </si>
  <si>
    <t>1570742218410</t>
  </si>
  <si>
    <t>-LqrX3xHL-Z-5_DIG47o</t>
  </si>
  <si>
    <t>1570742225621</t>
  </si>
  <si>
    <t>-LqrX5Zpkc0wKYArBKP5</t>
  </si>
  <si>
    <t>1570742231840</t>
  </si>
  <si>
    <t>-LqrX7C2CQKgnf62QdvW</t>
  </si>
  <si>
    <t>1570742239021</t>
  </si>
  <si>
    <t>-LqrX8hBcue0zuujXfwK</t>
  </si>
  <si>
    <t>1570742245170</t>
  </si>
  <si>
    <t>-LqrXAHZyFlBLlS2NQkf</t>
  </si>
  <si>
    <t>1570742251379</t>
  </si>
  <si>
    <t>-LqrXBmeBmg8ZFheDxsN</t>
  </si>
  <si>
    <t>1570742257573</t>
  </si>
  <si>
    <t>-LqrXDHoR5DBWm6zfxQM</t>
  </si>
  <si>
    <t>1570742263730</t>
  </si>
  <si>
    <t>-LqrXEpcLA8opse7ZJ1l</t>
  </si>
  <si>
    <t>1570742269930</t>
  </si>
  <si>
    <t>-LqrXGXsbwsW3j1za7xY</t>
  </si>
  <si>
    <t>1570742277140</t>
  </si>
  <si>
    <t>-LqrXIL_jCdeZ7mY1HUa</t>
  </si>
  <si>
    <t>1570742284354</t>
  </si>
  <si>
    <t>-LqrXK3jlEQQruVwDX0C</t>
  </si>
  <si>
    <t>1570742291572</t>
  </si>
  <si>
    <t>-LqrXLcZgOhKy8t1EDUz</t>
  </si>
  <si>
    <t>1570742297751</t>
  </si>
  <si>
    <t>-LqrXNLdIMOYhQCIrZ3s</t>
  </si>
  <si>
    <t>1570742304968</t>
  </si>
  <si>
    <t>-LqrXOoDBIAhBszt0bJ_</t>
  </si>
  <si>
    <t>1570742311120</t>
  </si>
  <si>
    <t>-LqrXQOkJXOu3a83p9p3</t>
  </si>
  <si>
    <t>1570742317331</t>
  </si>
  <si>
    <t>-LqrXS6huz5ZvI6Z1xnO</t>
  </si>
  <si>
    <t>1570742324531</t>
  </si>
  <si>
    <t>-LqrXTeSq_ytL4xTlbj-</t>
  </si>
  <si>
    <t>1570742330721</t>
  </si>
  <si>
    <t>-LqrXV9kO2nxiaF7Gcaj</t>
  </si>
  <si>
    <t>1570742336885</t>
  </si>
  <si>
    <t>-LqrXWbQ6qvEMybg59q9</t>
  </si>
  <si>
    <t>1570742343091</t>
  </si>
  <si>
    <t>-LqrXYCcY49Ho6WxYNNZ</t>
  </si>
  <si>
    <t>1570742349271</t>
  </si>
  <si>
    <t>-LqrXZvkTQtSmUIW7Aht</t>
  </si>
  <si>
    <t>1570742356482</t>
  </si>
  <si>
    <t>-LqrXaOpiE_j9OgJdsCh</t>
  </si>
  <si>
    <t>1570742362684</t>
  </si>
  <si>
    <t>-LqrXbtpWl4T5qUir1xJ</t>
  </si>
  <si>
    <t>1570742368855</t>
  </si>
  <si>
    <t>-LqrXdTmngwlTacGrea7</t>
  </si>
  <si>
    <t>1570742375040</t>
  </si>
  <si>
    <t>-LqrXeuHjV_CF_DBp9T2</t>
  </si>
  <si>
    <t>1570742381175</t>
  </si>
  <si>
    <t>-LqrXgVcYmLEXxlfAlTX</t>
  </si>
  <si>
    <t>1570742387404</t>
  </si>
  <si>
    <t>-LqrXiBYtWqJrYeGfbpY</t>
  </si>
  <si>
    <t>1570742394611</t>
  </si>
  <si>
    <t>-LqrXjmF3cIp5c3UQ2wt</t>
  </si>
  <si>
    <t>1570742400804</t>
  </si>
  <si>
    <t>-LqrXlVYRdAtF4AoiRV7</t>
  </si>
  <si>
    <t>1570742408010</t>
  </si>
  <si>
    <t>-LqrXmyQjb6DOxMkHOnA</t>
  </si>
  <si>
    <t>1570742414201</t>
  </si>
  <si>
    <t>-LqrXomMEym6t1kL-_o-</t>
  </si>
  <si>
    <t>1570742420375</t>
  </si>
  <si>
    <t>-LqrXqkz1b2p5b19QCZQ</t>
  </si>
  <si>
    <t>1570742429067</t>
  </si>
  <si>
    <t>-LqrXsI_DJtDSY_2R9Gf</t>
  </si>
  <si>
    <t>1570742435853</t>
  </si>
  <si>
    <t>-LqrXtrnLSUuQBflFIqp</t>
  </si>
  <si>
    <t>1570742441982</t>
  </si>
  <si>
    <t>-LqrXv_okIoMhYYudK7C</t>
  </si>
  <si>
    <t>1570742449224</t>
  </si>
  <si>
    <t>-LqrXxNZztQchEzIhRbO</t>
  </si>
  <si>
    <t>1570742456706</t>
  </si>
  <si>
    <t>-LqrXz1pG476aFLizaDa</t>
  </si>
  <si>
    <t>1570742463656</t>
  </si>
  <si>
    <t>-LqrY-_lpVap_r071A0o</t>
  </si>
  <si>
    <t>1570742469814</t>
  </si>
  <si>
    <t>-LqrY18ZmlKC3Q4DEGQX</t>
  </si>
  <si>
    <t>1570742476115</t>
  </si>
  <si>
    <t>-LqrY2rfW99ahD8A1oR0</t>
  </si>
  <si>
    <t>1570742483234</t>
  </si>
  <si>
    <t>-LqrY4N2Nwil2Ru2175H</t>
  </si>
  <si>
    <t>1570742489405</t>
  </si>
  <si>
    <t>-LqrY5ul46ZuutKAmcmk</t>
  </si>
  <si>
    <t>1570742495595</t>
  </si>
  <si>
    <t>-LqrY7eCJLmd4asskH8o</t>
  </si>
  <si>
    <t>1570742502774</t>
  </si>
  <si>
    <t>-LqrY9AeZnWgKircYOiK</t>
  </si>
  <si>
    <t>1570742508963</t>
  </si>
  <si>
    <t>-LqrYAudjQX2eDT9352d</t>
  </si>
  <si>
    <t>1570742516237</t>
  </si>
  <si>
    <t>-LqrYCUpHLYVZX7c6s8Q</t>
  </si>
  <si>
    <t>1570742522392</t>
  </si>
  <si>
    <t>-LqrYFa01rRRC7m0BGVU</t>
  </si>
  <si>
    <t>1570742533967</t>
  </si>
  <si>
    <t>-LqrYHEf1Xbls-PxoFur</t>
  </si>
  <si>
    <t>1570742541960</t>
  </si>
  <si>
    <t>-LqrYIv6IjWSjLUkfcKK</t>
  </si>
  <si>
    <t>1570742549172</t>
  </si>
  <si>
    <t>-LqrYKRltgApg81A0DP4</t>
  </si>
  <si>
    <t>1570742555347</t>
  </si>
  <si>
    <t>-LqrYLzVoqw3dbsji0d0</t>
  </si>
  <si>
    <t>1570742561536</t>
  </si>
  <si>
    <t>-LqrYNUa3zjjHSb67cFI</t>
  </si>
  <si>
    <t>1570742567689</t>
  </si>
  <si>
    <t>-LqrYOynpKXp1uvWcLGI</t>
  </si>
  <si>
    <t>1570742573892</t>
  </si>
  <si>
    <t>-LqrYQgiCG02cBTeUkLu</t>
  </si>
  <si>
    <t>1570742580888</t>
  </si>
  <si>
    <t>-LqrYSFZve6fEVYIr5LE</t>
  </si>
  <si>
    <t>1570742587254</t>
  </si>
  <si>
    <t>-LqrYTpNQnatZ_s_2tWC</t>
  </si>
  <si>
    <t>1570742593468</t>
  </si>
  <si>
    <t>-LqrYVXbCncxY5cqWEcV</t>
  </si>
  <si>
    <t>1570742600694</t>
  </si>
  <si>
    <t>-LqrYXUwVpGjRe9kvKHe</t>
  </si>
  <si>
    <t>1570742608643</t>
  </si>
  <si>
    <t>-LqrYZ2eKDE-vd0EU1pM</t>
  </si>
  <si>
    <t>1570742615094</t>
  </si>
  <si>
    <t>-LqrY_Xn8575zlSGs9jw</t>
  </si>
  <si>
    <t>1570742621289</t>
  </si>
  <si>
    <t>-LqrYb5_I403rwrA-MMV</t>
  </si>
  <si>
    <t>1570742627468</t>
  </si>
  <si>
    <t>-LqrYc_dAWfVDyt5fpiQ</t>
  </si>
  <si>
    <t>1570742633655</t>
  </si>
  <si>
    <t>-LqrYe3wqQ-MHUMZB7k7</t>
  </si>
  <si>
    <t>1570742639832</t>
  </si>
  <si>
    <t>-LqrYfZtIxYVELdhopEl</t>
  </si>
  <si>
    <t>1570742646012</t>
  </si>
  <si>
    <t>-LqrYh6nfMPlUC6A9Ww-</t>
  </si>
  <si>
    <t>1570742652213</t>
  </si>
  <si>
    <t>-LqrYia_cXpZjaZTX3CP</t>
  </si>
  <si>
    <t>1570742658377</t>
  </si>
  <si>
    <t>-LqrYkB-Yy53LHs66wHw</t>
  </si>
  <si>
    <t>1570742664562</t>
  </si>
  <si>
    <t>-LqrYlqFa3z4ep0B48Xg</t>
  </si>
  <si>
    <t>1570742671737</t>
  </si>
  <si>
    <t>-LqrYnmr7ihK6PF7yDF-</t>
  </si>
  <si>
    <t>1570742679255</t>
  </si>
  <si>
    <t>-LqrYpOoG8MD-J326hvL</t>
  </si>
  <si>
    <t>1570742686184</t>
  </si>
  <si>
    <t>-LqrYqxfMGEfac2-CETO</t>
  </si>
  <si>
    <t>1570742692382</t>
  </si>
  <si>
    <t>-LqrYsfdOPj9y2Etj6y_</t>
  </si>
  <si>
    <t>1570742699572</t>
  </si>
  <si>
    <t>-LqrYuFT7fsCN67hSAs_</t>
  </si>
  <si>
    <t>1570742705772</t>
  </si>
  <si>
    <t>-LqrYvwcSYYxTcxM_FBB</t>
  </si>
  <si>
    <t>1570742712991</t>
  </si>
  <si>
    <t>-LqrYxddc2gVb1IcrDpS</t>
  </si>
  <si>
    <t>1570742719139</t>
  </si>
  <si>
    <t>-LqrYzFIAdROSIAaads1</t>
  </si>
  <si>
    <t>1570742726386</t>
  </si>
  <si>
    <t>-LqrZ02IlCKfQgVNp1Rr</t>
  </si>
  <si>
    <t>1570742733602</t>
  </si>
  <si>
    <t>-LqrZ1kCOki089XCVbSP</t>
  </si>
  <si>
    <t>1570742740812</t>
  </si>
  <si>
    <t>-LqrZ3YyKBJ51d5rLYgF</t>
  </si>
  <si>
    <t>1570742748021</t>
  </si>
  <si>
    <t>-LqrZ5bEDZek4AoJ6YjF</t>
  </si>
  <si>
    <t>1570742755236</t>
  </si>
  <si>
    <t>-LqrZ7IZViJKr-GN7DxJ</t>
  </si>
  <si>
    <t>1570742763477</t>
  </si>
  <si>
    <t>-LqrZ8md4B65dMIJPQDt</t>
  </si>
  <si>
    <t>1570742769654</t>
  </si>
  <si>
    <t>-LqrZALdp7FzqBAuvpk1</t>
  </si>
  <si>
    <t>1570742775845</t>
  </si>
  <si>
    <t>-LqrZC2k1-Ts2Cvs51hJ</t>
  </si>
  <si>
    <t>1570742783045</t>
  </si>
  <si>
    <t>-LqrZEAl41ZD2sS25e3D</t>
  </si>
  <si>
    <t>1570742791807</t>
  </si>
  <si>
    <t>-LqrZFp4ABgPgq5hUmjt</t>
  </si>
  <si>
    <t>1570742798464</t>
  </si>
  <si>
    <t>-LqrZHMTM7gk4z7YrRyC</t>
  </si>
  <si>
    <t>1570742804649</t>
  </si>
  <si>
    <t>-LqrZIrzEWV-_GmZC1FO</t>
  </si>
  <si>
    <t>1570742810873</t>
  </si>
  <si>
    <t>-LqrZKdftfcpbY6VJalc</t>
  </si>
  <si>
    <t>1570742818084</t>
  </si>
  <si>
    <t>-LqrZMNjuPwLWB_lAbF9</t>
  </si>
  <si>
    <t>1570742825291</t>
  </si>
  <si>
    <t>-LqrZNrhIjELTFB5N0YN</t>
  </si>
  <si>
    <t>1570742831481</t>
  </si>
  <si>
    <t>-LqrZPRrGQMPV7tEqE6u</t>
  </si>
  <si>
    <t>1570742837656</t>
  </si>
  <si>
    <t>-LqrZR8gwlRLHNLvapBJ</t>
  </si>
  <si>
    <t>1570742844854</t>
  </si>
  <si>
    <t>-LqrZSqRRTpyMRk2CQOm</t>
  </si>
  <si>
    <t>1570742851669</t>
  </si>
  <si>
    <t>-LqrZUQ53D51Eq12PhbN</t>
  </si>
  <si>
    <t>1570742858260</t>
  </si>
  <si>
    <t>-LqrZVthHDevotqjpoei</t>
  </si>
  <si>
    <t>1570742864457</t>
  </si>
  <si>
    <t>-LqrZXV5sFaPEc_R2-0e</t>
  </si>
  <si>
    <t>1570742870618</t>
  </si>
  <si>
    <t>-LqrZZEQnAErq7NDoLsR</t>
  </si>
  <si>
    <t>1570742877820</t>
  </si>
  <si>
    <t>-LqrZ_zgKOu95O1tdRM5</t>
  </si>
  <si>
    <t>1570742885040</t>
  </si>
  <si>
    <t>-LqrZbTmnz7vi9_zK2Rz</t>
  </si>
  <si>
    <t>1570742891213</t>
  </si>
  <si>
    <t>-LqrZcwa4YW8Rm0YC6qb</t>
  </si>
  <si>
    <t>1570742897392</t>
  </si>
  <si>
    <t>-LqrZeXI4mSUHu5wGrQd</t>
  </si>
  <si>
    <t>1570742903593</t>
  </si>
  <si>
    <t>-LqrZgEsKBvX9bFgCJhS</t>
  </si>
  <si>
    <t>1570742910774</t>
  </si>
  <si>
    <t>-LqrZhnlY6zxnDG-KT2C</t>
  </si>
  <si>
    <t>1570742916967</t>
  </si>
  <si>
    <t>-LqrZjUGgVCXgxP0NULD</t>
  </si>
  <si>
    <t>1570742924200</t>
  </si>
  <si>
    <t>-LqrZl-g8Cmgd_jioY1z</t>
  </si>
  <si>
    <t>1570742930373</t>
  </si>
  <si>
    <t>-LqrZmYYKNEbjBmMbgbX</t>
  </si>
  <si>
    <t>1570742936565</t>
  </si>
  <si>
    <t>-LqrZo0ASEpTbNy09kB9</t>
  </si>
  <si>
    <t>1570742942735</t>
  </si>
  <si>
    <t>-LqrZpXdcF6xplXYEHIP</t>
  </si>
  <si>
    <t>1570742948921</t>
  </si>
  <si>
    <t>-LqrZr6pNXwZmnKfHFIl</t>
  </si>
  <si>
    <t>1570742955102</t>
  </si>
  <si>
    <t>-LqrZsolo1qw-5KjZfMw</t>
  </si>
  <si>
    <t>1570742962296</t>
  </si>
  <si>
    <t>-LqrZuIjSYW1j4eVfN_k</t>
  </si>
  <si>
    <t>1570742968488</t>
  </si>
  <si>
    <t>-LqrZvrecPRmlgF9wc9x</t>
  </si>
  <si>
    <t>1570742974673</t>
  </si>
  <si>
    <t>-LqrZxem3hCt9K5O2h-L</t>
  </si>
  <si>
    <t>1570742982168</t>
  </si>
  <si>
    <t>-LqrZzNc0BfL3vv69G1j</t>
  </si>
  <si>
    <t>1570742989103</t>
  </si>
  <si>
    <t>-Lqr_-r_kqK3Wl_FihH6</t>
  </si>
  <si>
    <t>1570742995253</t>
  </si>
  <si>
    <t>-Lqr_1QwHDtU1lGWR-kB</t>
  </si>
  <si>
    <t>1570743001434</t>
  </si>
  <si>
    <t>-Lqr_3gswutAbj3B1bY2</t>
  </si>
  <si>
    <t>1570743010964</t>
  </si>
  <si>
    <t>-Lqr_5NtHgBRp-_IQfRl</t>
  </si>
  <si>
    <t>1570743017948</t>
  </si>
  <si>
    <t>-Lqr_7CJ8WFVQnpf8t5r</t>
  </si>
  <si>
    <t>1570743025171</t>
  </si>
  <si>
    <t>-Lqr_8tSDAl9RRwPPQ_U</t>
  </si>
  <si>
    <t>1570743032373</t>
  </si>
  <si>
    <t>-Lqr_AiTqwOMsxwAVhk0</t>
  </si>
  <si>
    <t>1570743039588</t>
  </si>
  <si>
    <t>-Lqr_CRjDJtJXVaapmkP</t>
  </si>
  <si>
    <t>1570743046776</t>
  </si>
  <si>
    <t>-Lqr_E-mCskKbhZfRKfQ</t>
  </si>
  <si>
    <t>1570743052991</t>
  </si>
  <si>
    <t>-Lqr_FjEq0ohKUQ8VA-V</t>
  </si>
  <si>
    <t>1570743060196</t>
  </si>
  <si>
    <t>-Lqr_HWhG2pK77jn6S9A</t>
  </si>
  <si>
    <t>1570743067408</t>
  </si>
  <si>
    <t>-Lqr_JEo5pA_inlZbn4g</t>
  </si>
  <si>
    <t>1570743074623</t>
  </si>
  <si>
    <t>-Lqr_L2xiiQr07BiVk7z</t>
  </si>
  <si>
    <t>1570743081835</t>
  </si>
  <si>
    <t>-Lqr_Mkb8LDQWkCcQdO1</t>
  </si>
  <si>
    <t>1570743089016</t>
  </si>
  <si>
    <t>-Lqr_OKqZtBQH1evk2R4</t>
  </si>
  <si>
    <t>1570743095231</t>
  </si>
  <si>
    <t>-Lqr_Q1ekgXSVYA4kZ02</t>
  </si>
  <si>
    <t>1570743102463</t>
  </si>
  <si>
    <t>-Lqr_RamSwMLsUH6Wtay</t>
  </si>
  <si>
    <t>1570743108643</t>
  </si>
  <si>
    <t>-Lqr_TKZG3jSO3brD_UZ</t>
  </si>
  <si>
    <t>1570743115839</t>
  </si>
  <si>
    <t>-Lqr_Up5Gcf8KzIdDORX</t>
  </si>
  <si>
    <t>1570743121973</t>
  </si>
  <si>
    <t>-Lqr_WMnjieJbje0DCOy</t>
  </si>
  <si>
    <t>1570743128178</t>
  </si>
  <si>
    <t>-Lqr_Y4oxNAiqGv90Tbt</t>
  </si>
  <si>
    <t>1570743135426</t>
  </si>
  <si>
    <t>-Lqr_Zd_xLOM2TGUW2lC</t>
  </si>
  <si>
    <t>1570743141596</t>
  </si>
  <si>
    <t>-Lqr_aNr8go-l1IIV3Ts</t>
  </si>
  <si>
    <t>1570743148808</t>
  </si>
  <si>
    <t>-Lqr_brs3dZjSb5RBLmT</t>
  </si>
  <si>
    <t>1570743154947</t>
  </si>
  <si>
    <t>-Lqr_dPm3F96lJ5PoyB6</t>
  </si>
  <si>
    <t>1570743161173</t>
  </si>
  <si>
    <t>-Lqr_f7eyTC_sTTCBVr3</t>
  </si>
  <si>
    <t>1570743168384</t>
  </si>
  <si>
    <t>-Lqr_ggyeqySR0xLszgS</t>
  </si>
  <si>
    <t>1570743174558</t>
  </si>
  <si>
    <t>-Lqr_iZkdhRdpVMIsSme</t>
  </si>
  <si>
    <t>1570743182513</t>
  </si>
  <si>
    <t>-Lqr_kBpApMWktT1JsLQ</t>
  </si>
  <si>
    <t>1570743188984</t>
  </si>
  <si>
    <t>-Lqr_lvgGNR7bZVLzJBm</t>
  </si>
  <si>
    <t>1570743196193</t>
  </si>
  <si>
    <t>-Lqr_nPpNb8w6jf13GSn</t>
  </si>
  <si>
    <t>1570743202375</t>
  </si>
  <si>
    <t>-Lqr_pGaZOKbCwmQCaPf</t>
  </si>
  <si>
    <t>1570743208568</t>
  </si>
  <si>
    <t>-Lqr_r0U9lABaeWgITxO</t>
  </si>
  <si>
    <t>1570743216802</t>
  </si>
  <si>
    <t>-Lqr_sifN9w371AkD7Y0</t>
  </si>
  <si>
    <t>1570743224022</t>
  </si>
  <si>
    <t>-Lqr_uHg7tscMZ_D7VXW</t>
  </si>
  <si>
    <t>1570743230269</t>
  </si>
  <si>
    <t>-Lqr_w0GfVVjDOi7Nhc1</t>
  </si>
  <si>
    <t>1570743237410</t>
  </si>
  <si>
    <t>-Lqr_xigoOvOtiRLYZ3J</t>
  </si>
  <si>
    <t>1570743244612</t>
  </si>
  <si>
    <t>-Lqr_zHlxP-_JbUyPAj4</t>
  </si>
  <si>
    <t>1570743250804</t>
  </si>
  <si>
    <t>-Lqra-liah44DOrdRtOY</t>
  </si>
  <si>
    <t>1570743256990</t>
  </si>
  <si>
    <t>-Lqra1FpVjOeSSIAxgWe</t>
  </si>
  <si>
    <t>1570743263179</t>
  </si>
  <si>
    <t>-Lqra2nCVf0t7EO9hrS6</t>
  </si>
  <si>
    <t>1570743269356</t>
  </si>
  <si>
    <t>-Lqra4Ieq65tmVqXBQkk</t>
  </si>
  <si>
    <t>1570743275543</t>
  </si>
  <si>
    <t>-Lqra5nGNWoLZ4Y0tzv3</t>
  </si>
  <si>
    <t>1570743281726</t>
  </si>
  <si>
    <t>-Lqra7N-htCm1LbjzIgY</t>
  </si>
  <si>
    <t>1570743287902</t>
  </si>
  <si>
    <t>-Lqra93eEVgenwZtUXBo</t>
  </si>
  <si>
    <t>1570743295094</t>
  </si>
  <si>
    <t>-LqraAcokEsSOju1VsxM</t>
  </si>
  <si>
    <t>1570743301288</t>
  </si>
  <si>
    <t>-LqraCLapBdwOptl4BZK</t>
  </si>
  <si>
    <t>1570743308507</t>
  </si>
  <si>
    <t>-LqraDpmsVqDpOMQPqYv</t>
  </si>
  <si>
    <t>1570743314672</t>
  </si>
  <si>
    <t>-LqraFOZsWBz_PDtyTep</t>
  </si>
  <si>
    <t>1570743320864</t>
  </si>
  <si>
    <t>-LqraH7qRlnCdq30qKfL</t>
  </si>
  <si>
    <t>1570743328062</t>
  </si>
  <si>
    <t>-LqraJ3twWMnoegVgyYt</t>
  </si>
  <si>
    <t>1570743334286</t>
  </si>
  <si>
    <t>-LqraL0mhcBVnW2aT68e</t>
  </si>
  <si>
    <t>1570743343873</t>
  </si>
  <si>
    <t>-LqraMez_BCN4pVZrv0I</t>
  </si>
  <si>
    <t>1570743350737</t>
  </si>
  <si>
    <t>-LqraO8lbzCs9R_Zohgf</t>
  </si>
  <si>
    <t>1570743356859</t>
  </si>
  <si>
    <t>-LqraPhnjp2trBOvShgW</t>
  </si>
  <si>
    <t>1570743363112</t>
  </si>
  <si>
    <t>-LqraRPYqsszdVS8_u0Q</t>
  </si>
  <si>
    <t>1570743370295</t>
  </si>
  <si>
    <t>-LqraSz5TPCbNf2WB-Mg</t>
  </si>
  <si>
    <t>1570743376495</t>
  </si>
  <si>
    <t>-LqraUhfUJc2lWfr6uEK</t>
  </si>
  <si>
    <t>1570743383716</t>
  </si>
  <si>
    <t>-LqraWBgxYBPhrG5MvRe</t>
  </si>
  <si>
    <t>1570743389889</t>
  </si>
  <si>
    <t>-LqraXpq7NOidfc1uNeT</t>
  </si>
  <si>
    <t>1570743396363</t>
  </si>
  <si>
    <t>-LqraZTnbrwTnezuaJzj</t>
  </si>
  <si>
    <t>1570743403254</t>
  </si>
  <si>
    <t>-LqraaGlS6Yp19MFnRIJ</t>
  </si>
  <si>
    <t>1570743410472</t>
  </si>
  <si>
    <t>-LqrabzitA1jApnnaDFQ</t>
  </si>
  <si>
    <t>1570743417726</t>
  </si>
  <si>
    <t>-Lqradm_n1QDMq5W6fwi</t>
  </si>
  <si>
    <t>1570743424932</t>
  </si>
  <si>
    <t>-Lqrag9G8tjjQCD-je8N</t>
  </si>
  <si>
    <t>1570743431102</t>
  </si>
  <si>
    <t>-LqrahlfX-UCgvgdgju-</t>
  </si>
  <si>
    <t>1570743441392</t>
  </si>
  <si>
    <t>-LqrajG8yFcY3FEcSsfa</t>
  </si>
  <si>
    <t>1570743447583</t>
  </si>
  <si>
    <t>-LqrakolwtXi5VU2IvaH</t>
  </si>
  <si>
    <t>1570743453779</t>
  </si>
  <si>
    <t>-LqramIf_L8m0gGSdIEx</t>
  </si>
  <si>
    <t>1570743459907</t>
  </si>
  <si>
    <t>-LqransxTm_WBM_N97CW</t>
  </si>
  <si>
    <t>1570743466137</t>
  </si>
  <si>
    <t>-Lqrap_lk6u-hFU0YJqo</t>
  </si>
  <si>
    <t>1570743473342</t>
  </si>
  <si>
    <t>-LqrarOx_g4rDUX53Aqk</t>
  </si>
  <si>
    <t>1570743480562</t>
  </si>
  <si>
    <t>-Lqrat5scWTyc7i7qy5T</t>
  </si>
  <si>
    <t>1570743487742</t>
  </si>
  <si>
    <t>-LqraudeKfy0qx-ylNGi</t>
  </si>
  <si>
    <t>1570743493907</t>
  </si>
  <si>
    <t>-LqrawNn6J6jIrE73zpU</t>
  </si>
  <si>
    <t>1570743501182</t>
  </si>
  <si>
    <t>-LqrayBxg0nSYz43fGi0</t>
  </si>
  <si>
    <t>1570743508380</t>
  </si>
  <si>
    <t>-LqrazteccvFkqjUYnod</t>
  </si>
  <si>
    <t>1570743515574</t>
  </si>
  <si>
    <t>-Lqrb0SbWuFyjZ7yiHlh</t>
  </si>
  <si>
    <t>1570743521772</t>
  </si>
  <si>
    <t>-Lqrb2B_fRaiWjaf7TSo</t>
  </si>
  <si>
    <t>1570743528980</t>
  </si>
  <si>
    <t>-Lqrb3ymqZweYLVvoBR-</t>
  </si>
  <si>
    <t>1570743536195</t>
  </si>
  <si>
    <t>-Lqrb5ggm0lq4aCDof3k</t>
  </si>
  <si>
    <t>1570743543416</t>
  </si>
  <si>
    <t>-Lqrb7ABAxETjQyh3uco</t>
  </si>
  <si>
    <t>1570743549561</t>
  </si>
  <si>
    <t>-Lqrb8jnTzawju5jTs02</t>
  </si>
  <si>
    <t>1570743555772</t>
  </si>
  <si>
    <t>-LqrbARkswShA_4yUMYD</t>
  </si>
  <si>
    <t>1570743562949</t>
  </si>
  <si>
    <t>-LqrbC0eAixjWxBKTby_</t>
  </si>
  <si>
    <t>1570743569166</t>
  </si>
  <si>
    <t>-LqrbDja8Pi4dgTUqPCX</t>
  </si>
  <si>
    <t>1570743576389</t>
  </si>
  <si>
    <t>-LqrbFIm9i967c7c2Zfu</t>
  </si>
  <si>
    <t>1570743582562</t>
  </si>
  <si>
    <t>-LqrbH0_5Wnes8Z9ZRR7</t>
  </si>
  <si>
    <t>1570743589764</t>
  </si>
  <si>
    <t>-LqrbIVaDVjpNZjrYPX3</t>
  </si>
  <si>
    <t>1570743595965</t>
  </si>
  <si>
    <t>-LqrbK3lo-DTOt7tmgdG</t>
  </si>
  <si>
    <t>1570743602136</t>
  </si>
  <si>
    <t>-LqrbLo3IwOsLb9_pWn-</t>
  </si>
  <si>
    <t>1570743609340</t>
  </si>
  <si>
    <t>-LqrbNapQkIW1ZmafxlC</t>
  </si>
  <si>
    <t>1570743616562</t>
  </si>
  <si>
    <t>-LqrbPImuRH94FxY1AH9</t>
  </si>
  <si>
    <t>1570743623742</t>
  </si>
  <si>
    <t>-LqrbQraL51FEf9K9UGX</t>
  </si>
  <si>
    <t>1570743629933</t>
  </si>
  <si>
    <t>-LqrbS_mMIdV-BRUdEA5</t>
  </si>
  <si>
    <t>1570743637181</t>
  </si>
  <si>
    <t>-LqrbUNlHfph2yPkerpc</t>
  </si>
  <si>
    <t>1570743644377</t>
  </si>
  <si>
    <t>-LqrbW5fvQjWtus5WN24</t>
  </si>
  <si>
    <t>1570743651574</t>
  </si>
  <si>
    <t>-LqrbXfIatVOXE8WLxPw</t>
  </si>
  <si>
    <t>1570743657771</t>
  </si>
  <si>
    <t>-LqrbZhdEbv-FJhXn0D-</t>
  </si>
  <si>
    <t>1570743666243</t>
  </si>
  <si>
    <t>-LqrbadkvrLAdxEJv2rq</t>
  </si>
  <si>
    <t>1570743674268</t>
  </si>
  <si>
    <t>-Lqrbc7eNnOzJAiYfEpM</t>
  </si>
  <si>
    <t>1570743680444</t>
  </si>
  <si>
    <t>-LqrbdvYkFTOTxFKQIbP</t>
  </si>
  <si>
    <t>1570743687640</t>
  </si>
  <si>
    <t>-LqrbfNMI22IXq9RwvDo</t>
  </si>
  <si>
    <t>1570743693813</t>
  </si>
  <si>
    <t>-LqrbgycjcJY6zCukpJ_</t>
  </si>
  <si>
    <t>1570743700003</t>
  </si>
  <si>
    <t>-Lqrbie2v8745zetGQ7v</t>
  </si>
  <si>
    <t>1570743707223</t>
  </si>
  <si>
    <t>-Lqrbk9Y6AQgitwKFSPY</t>
  </si>
  <si>
    <t>1570743713391</t>
  </si>
  <si>
    <t>-Lqrbljen4ym1rVV5wGr</t>
  </si>
  <si>
    <t>1570743719583</t>
  </si>
  <si>
    <t>-LqrbnSYbOKG6yrAmaLM</t>
  </si>
  <si>
    <t>1570743726773</t>
  </si>
  <si>
    <t>-Lqrbp0Z8RJFqVXnu61j</t>
  </si>
  <si>
    <t>1570743732973</t>
  </si>
  <si>
    <t>-LqrbqiO09WD80XzPuEm</t>
  </si>
  <si>
    <t>1570743740184</t>
  </si>
  <si>
    <t>-LqrbsgcudeFKNv4-gdV</t>
  </si>
  <si>
    <t>1570743746369</t>
  </si>
  <si>
    <t>-LqrbuFeXJkdm3zbLmDG</t>
  </si>
  <si>
    <t>1570743754621</t>
  </si>
  <si>
    <t>-LqrbvoeAGNvjSteYKJw</t>
  </si>
  <si>
    <t>1570743760795</t>
  </si>
  <si>
    <t>-LqrbxXfon8VkEEteG9J</t>
  </si>
  <si>
    <t>1570743768006</t>
  </si>
  <si>
    <t>-Lqrbz-O7gQBoInGNj8P</t>
  </si>
  <si>
    <t>1570743774162</t>
  </si>
  <si>
    <t>-Lqrc-VcJYxl8WyTNcUq</t>
  </si>
  <si>
    <t>1570743780371</t>
  </si>
  <si>
    <t>-Lqrc13dzaTL2lSF7JpR</t>
  </si>
  <si>
    <t>1570743786542</t>
  </si>
  <si>
    <t>-Lqrc2Zp46WB-Be0yE-9</t>
  </si>
  <si>
    <t>1570743792708</t>
  </si>
  <si>
    <t>-Lqrc46dOiAIKM-Ad538</t>
  </si>
  <si>
    <t>1570743798911</t>
  </si>
  <si>
    <t>-Lqrc5peIToNsfD6eFx0</t>
  </si>
  <si>
    <t>1570743806139</t>
  </si>
  <si>
    <t>-Lqrc7KnFkzyQZrINTc2</t>
  </si>
  <si>
    <t>1570743812306</t>
  </si>
  <si>
    <t>-Lqrc8sZ5g5OSrmfh7h-</t>
  </si>
  <si>
    <t>1570743818486</t>
  </si>
  <si>
    <t>-LqrcAMd3Il8pYqlDoWo</t>
  </si>
  <si>
    <t>1570743824646</t>
  </si>
  <si>
    <t>-LqrcBqkKLeWVf_vf1UP</t>
  </si>
  <si>
    <t>1570743830859</t>
  </si>
  <si>
    <t>-LqrcDLXY1dBUjXQPGTi</t>
  </si>
  <si>
    <t>1570743837041</t>
  </si>
  <si>
    <t>-LqrcEteM74UE5sq7VSw</t>
  </si>
  <si>
    <t>1570743843224</t>
  </si>
  <si>
    <t>-LqrcGMX_1yGc0dR0uux</t>
  </si>
  <si>
    <t>1570743849405</t>
  </si>
  <si>
    <t>-LqrcHvSAVltTMYn_sST</t>
  </si>
  <si>
    <t>1570743855590</t>
  </si>
  <si>
    <t>-LqrcJPXENaNXgRo9Rlw</t>
  </si>
  <si>
    <t>1570743861762</t>
  </si>
  <si>
    <t>-LqrcKuc_h1KiGokqICG</t>
  </si>
  <si>
    <t>1570743867951</t>
  </si>
  <si>
    <t>-LqrcMSX0KpuD7gLMDNn</t>
  </si>
  <si>
    <t>1570743874121</t>
  </si>
  <si>
    <t>-LqrcOCpIYUp-xO-ReJ_</t>
  </si>
  <si>
    <t>1570743880307</t>
  </si>
  <si>
    <t>-LqrcPjmw7_gfobxiQLl</t>
  </si>
  <si>
    <t>1570743887529</t>
  </si>
  <si>
    <t>-LqrcRTfFYfWtmQfozPz</t>
  </si>
  <si>
    <t>1570743894728</t>
  </si>
  <si>
    <t>-LqrcSxo7svAzPUc73ka</t>
  </si>
  <si>
    <t>1570743900857</t>
  </si>
  <si>
    <t>-LqrcURphgi8AbwYKgCF</t>
  </si>
  <si>
    <t>1570743907098</t>
  </si>
  <si>
    <t>-LqrcW-emLbPIddONz3v</t>
  </si>
  <si>
    <t>1570743913285</t>
  </si>
  <si>
    <t>-LqrcXUdmsvFNycDPQuq</t>
  </si>
  <si>
    <t>1570743919479</t>
  </si>
  <si>
    <t>-LqrcZDAGrjNgZPeo0HG</t>
  </si>
  <si>
    <t>1570743925643</t>
  </si>
  <si>
    <t>-Lqrc_ldhkqGy2kjYfHs</t>
  </si>
  <si>
    <t>1570743932862</t>
  </si>
  <si>
    <t>-LqrcbKnefnCB9yprsFz</t>
  </si>
  <si>
    <t>1570743939045</t>
  </si>
  <si>
    <t>-Lqrcd2mBnbUOcI4efuR</t>
  </si>
  <si>
    <t>1570743946262</t>
  </si>
  <si>
    <t>-LqrceqmbDYYvRwcJAnQ</t>
  </si>
  <si>
    <t>1570743953464</t>
  </si>
  <si>
    <t>-LqrcgZong74svuxiNUB</t>
  </si>
  <si>
    <t>1570743960673</t>
  </si>
  <si>
    <t>-LqrciMlmsO-k2qQ1kMh</t>
  </si>
  <si>
    <t>1570743967883</t>
  </si>
  <si>
    <t>-Lqrck4l-C9KRonnrtNa</t>
  </si>
  <si>
    <t>1570743975102</t>
  </si>
  <si>
    <t>-LqrcltHNnMcTgWlOU7U</t>
  </si>
  <si>
    <t>1570743982320</t>
  </si>
  <si>
    <t>-LqrcnagST7BksBy7bSu</t>
  </si>
  <si>
    <t>1570743989506</t>
  </si>
  <si>
    <t>-Lqrcp9gwtU6wUVSsSlX</t>
  </si>
  <si>
    <t>1570743995716</t>
  </si>
  <si>
    <t>-Lqrcqs_qdIz9vE5v6hS</t>
  </si>
  <si>
    <t>1570744002950</t>
  </si>
  <si>
    <t>-LqrcsN1n3HWSVP84VT8</t>
  </si>
  <si>
    <t>1570744009111</t>
  </si>
  <si>
    <t>-Lqrctx3SFTzsUtE5aD1</t>
  </si>
  <si>
    <t>1570744015289</t>
  </si>
  <si>
    <t>-LqrcvdrFaS8fTIlIQ1W</t>
  </si>
  <si>
    <t>1570744022485</t>
  </si>
  <si>
    <t>-LqrcxCjXX401cdLlvnV</t>
  </si>
  <si>
    <t>1570744028688</t>
  </si>
  <si>
    <t>-Lqrcywq8eq687Z-Kvlc</t>
  </si>
  <si>
    <t>1570744035894</t>
  </si>
  <si>
    <t>-Lqrd-V-UWz-6K7cH0LS</t>
  </si>
  <si>
    <t>1570744042069</t>
  </si>
  <si>
    <t>-Lqrd1Bq_IcnsgY1xTjD</t>
  </si>
  <si>
    <t>1570744049296</t>
  </si>
  <si>
    <t>-Lqrd2vaBIDuLgUQSgZu</t>
  </si>
  <si>
    <t>1570744056494</t>
  </si>
  <si>
    <t>-Lqrd4Ugs-Ng9iJZATU2</t>
  </si>
  <si>
    <t>1570744062677</t>
  </si>
  <si>
    <t>-Lqrd5ylxH7FlMkPG8WU</t>
  </si>
  <si>
    <t>1570744068872</t>
  </si>
  <si>
    <t>-Lqrd7mpjwCwKO4LMXqO</t>
  </si>
  <si>
    <t>1570744076074</t>
  </si>
  <si>
    <t>-Lqrd9UbcLfBNXfv-0we</t>
  </si>
  <si>
    <t>1570744083255</t>
  </si>
  <si>
    <t>-LqrdB2ij01TX7Oox2dn</t>
  </si>
  <si>
    <t>1570744089463</t>
  </si>
  <si>
    <t>-LqrdClabzml3tqz6crE</t>
  </si>
  <si>
    <t>1570744096694</t>
  </si>
  <si>
    <t>-LqrdEaEYPsLzX0-TeGa</t>
  </si>
  <si>
    <t>1570744102859</t>
  </si>
  <si>
    <t>-LqrdGHldw_tJbSjjIJr</t>
  </si>
  <si>
    <t>1570744111099</t>
  </si>
  <si>
    <t>-LqrdHpbskzWwcM93r0G</t>
  </si>
  <si>
    <t>1570744117290</t>
  </si>
  <si>
    <t>-LqrdJZbiJMLtGDFVNad</t>
  </si>
  <si>
    <t>1570744124505</t>
  </si>
  <si>
    <t>-LqrdL2kMEBlhXf0AWN8</t>
  </si>
  <si>
    <t>1570744130677</t>
  </si>
  <si>
    <t>-LqrdMXpNI9-iF_ZUHgi</t>
  </si>
  <si>
    <t>1570744136859</t>
  </si>
  <si>
    <t>-LqrdO6nj9Sh9LEJVS85</t>
  </si>
  <si>
    <t>1570744143043</t>
  </si>
  <si>
    <t>-LqrdPZaKUFTuo8BuSZp</t>
  </si>
  <si>
    <t>1570744149190</t>
  </si>
  <si>
    <t>-LqrdR8l_nh0rhAKJ3RX</t>
  </si>
  <si>
    <t>1570744155408</t>
  </si>
  <si>
    <t>-LqrdSrcT3ySMPgbPKbr</t>
  </si>
  <si>
    <t>1570744162618</t>
  </si>
  <si>
    <t>-LqrdULX1ob3pAmkw5N8</t>
  </si>
  <si>
    <t>1570744168803</t>
  </si>
  <si>
    <t>-LqrdVuk4UrOwG-X3iLA</t>
  </si>
  <si>
    <t>1570744174988</t>
  </si>
  <si>
    <t>-LqrdXO6OlXXXjlE1dC5</t>
  </si>
  <si>
    <t>1570744181138</t>
  </si>
  <si>
    <t>-LqrdYxbh0RH1qh1SJia</t>
  </si>
  <si>
    <t>1570744187354</t>
  </si>
  <si>
    <t>-Lqrd_ek8kaVvNmicCuE</t>
  </si>
  <si>
    <t>1570744194550</t>
  </si>
  <si>
    <t>-LqrdbB3ZPjMGEzkwBEq</t>
  </si>
  <si>
    <t>1570744200717</t>
  </si>
  <si>
    <t>-Lqrdcik31OS9fhdTTam</t>
  </si>
  <si>
    <t>1570744206912</t>
  </si>
  <si>
    <t>-LqrdePSDaxc-Ewzii96</t>
  </si>
  <si>
    <t>1570744214139</t>
  </si>
  <si>
    <t>-LqrdgDrq0trnxxfwv3K</t>
  </si>
  <si>
    <t>1570744221354</t>
  </si>
  <si>
    <t>-Lqrdhxg2Jy1fQz2kh4P</t>
  </si>
  <si>
    <t>1570744228531</t>
  </si>
  <si>
    <t>-LqrdjWf9mGzrBCY_Y58</t>
  </si>
  <si>
    <t>1570744234744</t>
  </si>
  <si>
    <t>-LqrdlDoN_qjZVlQxAZF</t>
  </si>
  <si>
    <t>1570744241954</t>
  </si>
  <si>
    <t>-Lqrdn0_p8kaTmpA9Lis</t>
  </si>
  <si>
    <t>1570744249164</t>
  </si>
  <si>
    <t>-Lqrdom-k-VcP8AcBpZo</t>
  </si>
  <si>
    <t>1570744256386</t>
  </si>
  <si>
    <t>-LqrdqKJ6_zGULHr_ycT</t>
  </si>
  <si>
    <t>1570744262563</t>
  </si>
  <si>
    <t>-Lqrds1kNdyC1kAXSVws</t>
  </si>
  <si>
    <t>1570744269773</t>
  </si>
  <si>
    <t>-LqrdtWrTY67CVaXj-Ho</t>
  </si>
  <si>
    <t>1570744275927</t>
  </si>
  <si>
    <t>-Lqrdv-s51YUvASS9a8_</t>
  </si>
  <si>
    <t>1570744282130</t>
  </si>
  <si>
    <t>-LqrdwYaYp4bjkyvLQWA</t>
  </si>
  <si>
    <t>1570744288312</t>
  </si>
  <si>
    <t>-LqrdyMc4reuzYzDlfmz</t>
  </si>
  <si>
    <t>1570744295534</t>
  </si>
  <si>
    <t>-Lqre-5OYsxpYdkF45ql</t>
  </si>
  <si>
    <t>1570744302743</t>
  </si>
  <si>
    <t>-Lqre0YMafWHm79WRa2o</t>
  </si>
  <si>
    <t>1570744308916</t>
  </si>
  <si>
    <t>-Lqre28XbfKE63ghfqKs</t>
  </si>
  <si>
    <t>1570744315113</t>
  </si>
  <si>
    <t>-Lqre3qj2yXOdRuCbRsj</t>
  </si>
  <si>
    <t>1570744322292</t>
  </si>
  <si>
    <t>-Lqre5df3IXMjmE_MWzN</t>
  </si>
  <si>
    <t>1570744329684</t>
  </si>
  <si>
    <t>-Lqre76ZzVnrwMn0bVKD</t>
  </si>
  <si>
    <t>1570744335689</t>
  </si>
  <si>
    <t>-Lqre8x4grtGQs2go6zc</t>
  </si>
  <si>
    <t>1570744342930</t>
  </si>
  <si>
    <t>-LqreAdbgVMb238ipBbO</t>
  </si>
  <si>
    <t>1570744350130</t>
  </si>
  <si>
    <t>-LqreCCbsSgrENPGc5fU</t>
  </si>
  <si>
    <t>1570744356324</t>
  </si>
  <si>
    <t>-LqreDve6wuTnR8aIiLn</t>
  </si>
  <si>
    <t>1570744363528</t>
  </si>
  <si>
    <t>-LqreFa8SvXSjoqagBKm</t>
  </si>
  <si>
    <t>1570744369728</t>
  </si>
  <si>
    <t>-LqreH8nAsS0FQZLo4B7</t>
  </si>
  <si>
    <t>1570744376934</t>
  </si>
  <si>
    <t>-LqreIgd6dcDMzS9ddPQ</t>
  </si>
  <si>
    <t>1570744383100</t>
  </si>
  <si>
    <t>-LqreKFlul7-uTgxL4Vq</t>
  </si>
  <si>
    <t>1570744389293</t>
  </si>
  <si>
    <t>-LqreLyj5qPTnaqWJjB3</t>
  </si>
  <si>
    <t>1570744396512</t>
  </si>
  <si>
    <t>-LqreNTUROhrtTpw5URz</t>
  </si>
  <si>
    <t>1570744402669</t>
  </si>
  <si>
    <t>-LqreP0jJNHb0Qct5UPL</t>
  </si>
  <si>
    <t>1570744408874</t>
  </si>
  <si>
    <t>-LqreQnYUpEPY8eZnQfL</t>
  </si>
  <si>
    <t>1570744416456</t>
  </si>
  <si>
    <t>-LqreSWelOyi3-Dat7Sp</t>
  </si>
  <si>
    <t>1570744423288</t>
  </si>
  <si>
    <t>-LqreUFjck5WZ0hoXInx</t>
  </si>
  <si>
    <t>1570744430523</t>
  </si>
  <si>
    <t>-LqreVjrbtvy3pPCfD2Q</t>
  </si>
  <si>
    <t>1570744436693</t>
  </si>
  <si>
    <t>-LqreXNjcPVBERcdcp6e</t>
  </si>
  <si>
    <t>1570744442874</t>
  </si>
  <si>
    <t>-LqreZLBCUq_jAJ4AEpZ</t>
  </si>
  <si>
    <t>1570744450112</t>
  </si>
  <si>
    <t>-Lqrea2tjZwh2lELlCUj</t>
  </si>
  <si>
    <t>1570744458310</t>
  </si>
  <si>
    <t>-Lqrebbt2OxeAWFO3EbR</t>
  </si>
  <si>
    <t>1570744464493</t>
  </si>
  <si>
    <t>-LqredKjpi5irNK3Ztwp</t>
  </si>
  <si>
    <t>1570744471717</t>
  </si>
  <si>
    <t>-Lqreeolclm-pLI0gzWz</t>
  </si>
  <si>
    <t>1570744477902</t>
  </si>
  <si>
    <t>-LqregU5ls5HE3NhKdmN</t>
  </si>
  <si>
    <t>1570744484087</t>
  </si>
  <si>
    <t>-Lqrei5emSwA2_QfrhTx</t>
  </si>
  <si>
    <t>1570744491260</t>
  </si>
  <si>
    <t>-Lqrej_unORediG1dzKD</t>
  </si>
  <si>
    <t>1570744497486</t>
  </si>
  <si>
    <t>-Lqrel8kaBBtWMzDcYHz</t>
  </si>
  <si>
    <t>1570744503655</t>
  </si>
  <si>
    <t>-LqremaJ1eSUD2SWkMdN</t>
  </si>
  <si>
    <t>1570744509818</t>
  </si>
  <si>
    <t>-Lqreo6uVxtwoCnDkNBG</t>
  </si>
  <si>
    <t>1570744516024</t>
  </si>
  <si>
    <t>-LqrepfjA1G2jw1nBjgh</t>
  </si>
  <si>
    <t>1570744522214</t>
  </si>
  <si>
    <t>-Lqrer7PUgQctBdbmHb9</t>
  </si>
  <si>
    <t>1570744528377</t>
  </si>
  <si>
    <t>-LqresihGA1wl8mMZ42s</t>
  </si>
  <si>
    <t>1570744534572</t>
  </si>
  <si>
    <t>-LqreuRkkk02o-qrJVaK</t>
  </si>
  <si>
    <t>1570744541784</t>
  </si>
  <si>
    <t>-LqrewD188RRrPhUYBRq</t>
  </si>
  <si>
    <t>1570744547973</t>
  </si>
  <si>
    <t>-LqrexxkEAJMMdN5o3Ur</t>
  </si>
  <si>
    <t>1570744556220</t>
  </si>
  <si>
    <t>-LqrezWkKYHtvHM0CT8s</t>
  </si>
  <si>
    <t>1570744562390</t>
  </si>
  <si>
    <t>-Lqrf0MtoTVSfUBTjTeX</t>
  </si>
  <si>
    <t>1570744569604</t>
  </si>
  <si>
    <t>-Lqrf21kE3lLZHwLzFP3</t>
  </si>
  <si>
    <t>1570744576814</t>
  </si>
  <si>
    <t>-Lqrf3kkYArTD6rcifbw</t>
  </si>
  <si>
    <t>1570744584061</t>
  </si>
  <si>
    <t>-Lqrf5EisIs52002Lhu9</t>
  </si>
  <si>
    <t>1570744590179</t>
  </si>
  <si>
    <t>-Lqrf6nfP9M86SSEnYdS</t>
  </si>
  <si>
    <t>1570744596408</t>
  </si>
  <si>
    <t>-Lqrf8Wif2Bu63PN1hyV</t>
  </si>
  <si>
    <t>1570744603571</t>
  </si>
  <si>
    <t>-LqrfA57yxatj3kw7hLm</t>
  </si>
  <si>
    <t>1570744609789</t>
  </si>
  <si>
    <t>-LqrfBnjF3sYp1G5bPYc</t>
  </si>
  <si>
    <t>1570744616991</t>
  </si>
  <si>
    <t>-LqrfDHqlevyVzXeztGs</t>
  </si>
  <si>
    <t>1570744623184</t>
  </si>
  <si>
    <t>-LqrfEqj4Tx5rB61l2Lm</t>
  </si>
  <si>
    <t>1570744629356</t>
  </si>
  <si>
    <t>-LqrfGLD1d-jrQwmnM_1</t>
  </si>
  <si>
    <t>1570744635542</t>
  </si>
  <si>
    <t>-LqrfI2jmATWiiXcipHG</t>
  </si>
  <si>
    <t>1570744642744</t>
  </si>
  <si>
    <t>-LqrfJbfHfxWohFP4BGo</t>
  </si>
  <si>
    <t>1570744648936</t>
  </si>
  <si>
    <t>-LqrfL5cuQ25eECguU-n</t>
  </si>
  <si>
    <t>1570744655105</t>
  </si>
  <si>
    <t>-LqrfMdnpycT-ZRi33ho</t>
  </si>
  <si>
    <t>1570744661304</t>
  </si>
  <si>
    <t>-LqrfOwvi1SKjAPv2rDg</t>
  </si>
  <si>
    <t>1570744669774</t>
  </si>
  <si>
    <t>-LqrfQdiUMUytpG_RNTD</t>
  </si>
  <si>
    <t>1570744677797</t>
  </si>
  <si>
    <t>-LqrfS6_WHcyZasqM4OG</t>
  </si>
  <si>
    <t>1570744683974</t>
  </si>
  <si>
    <t>-LqrfTgji5DSuay3f3DD</t>
  </si>
  <si>
    <t>1570744690155</t>
  </si>
  <si>
    <t>-LqrfVOS69agA95nBoBE</t>
  </si>
  <si>
    <t>1570744697329</t>
  </si>
  <si>
    <t>-LqrfWysO4kUl2gHUiAt</t>
  </si>
  <si>
    <t>1570744703544</t>
  </si>
  <si>
    <t>-LqrfYgH7WRauMSKiHol</t>
  </si>
  <si>
    <t>1570744710711</t>
  </si>
  <si>
    <t>-Lqrf__48_-NSwzMsFXP</t>
  </si>
  <si>
    <t>1570744718538</t>
  </si>
  <si>
    <t>-LqrfbARj12ERz-bCR9u</t>
  </si>
  <si>
    <t>1570744725179</t>
  </si>
  <si>
    <t>-LqrfcleEDc-xGKDUp2C</t>
  </si>
  <si>
    <t>1570744731360</t>
  </si>
  <si>
    <t>-LqrfeUfuf05IR_ROuUs</t>
  </si>
  <si>
    <t>1570744738574</t>
  </si>
  <si>
    <t>-LqrffyaTn1WOYZJWZSo</t>
  </si>
  <si>
    <t>1570744744769</t>
  </si>
  <si>
    <t>-LqrfhSpOKLMCFeSriI6</t>
  </si>
  <si>
    <t>1570744750939</t>
  </si>
  <si>
    <t>-Lqrfj-UeJ1P2dpNtmE4</t>
  </si>
  <si>
    <t>1570744757117</t>
  </si>
  <si>
    <t>-LqrfkVY-sEPNV1WE1y9</t>
  </si>
  <si>
    <t>1570744763273</t>
  </si>
  <si>
    <t>-LqrfmKGQVQVz9NjEDdZ</t>
  </si>
  <si>
    <t>1570744769620</t>
  </si>
  <si>
    <t>-Lqrfo5epRisWZl5IfR-</t>
  </si>
  <si>
    <t>1570744777765</t>
  </si>
  <si>
    <t>-LqrfpmHDZGuiZnhsglX</t>
  </si>
  <si>
    <t>1570744784942</t>
  </si>
  <si>
    <t>-LqrfrbtjkG56juSM0mw</t>
  </si>
  <si>
    <t>1570744792155</t>
  </si>
  <si>
    <t>-LqrftKmvqdhPz06FWx1</t>
  </si>
  <si>
    <t>1570744799363</t>
  </si>
  <si>
    <t>-Lqrfv7p9ahYz8sVi2nx</t>
  </si>
  <si>
    <t>1570744806576</t>
  </si>
  <si>
    <t>-LqrfwqlIWmuvTpz2TV5</t>
  </si>
  <si>
    <t>1570744813792</t>
  </si>
  <si>
    <t>-Lqrfydhs8GQdb5CEfXd</t>
  </si>
  <si>
    <t>1570744821000</t>
  </si>
  <si>
    <t>-Lqrg-Mg3SNGzmZZxyLb</t>
  </si>
  <si>
    <t>1570744828221</t>
  </si>
  <si>
    <t>-Lqrg0vd8gvXXMi_sOp-</t>
  </si>
  <si>
    <t>1570744834390</t>
  </si>
  <si>
    <t>-Lqrg2dmRd8e6C6Dkli1</t>
  </si>
  <si>
    <t>1570744841642</t>
  </si>
  <si>
    <t>-Lqrg4Rln3_cME9Ja9nQ</t>
  </si>
  <si>
    <t>1570744848816</t>
  </si>
  <si>
    <t>-Lqrg69nPEz4senqNhfL</t>
  </si>
  <si>
    <t>1570744856030</t>
  </si>
  <si>
    <t>-Lqrg7xmhhGrsChNsYHS</t>
  </si>
  <si>
    <t>1570744863246</t>
  </si>
  <si>
    <t>-Lqrg9f_1RsKDU9XfcBf</t>
  </si>
  <si>
    <t>1570744870462</t>
  </si>
  <si>
    <t>-LqrgBFcD4eFF1qpXLS1</t>
  </si>
  <si>
    <t>1570744876668</t>
  </si>
  <si>
    <t>-LqrgCxeRJj0dcxXwFgw</t>
  </si>
  <si>
    <t>1570744883848</t>
  </si>
  <si>
    <t>-LqrgEpjtfS3g7MDsMBD</t>
  </si>
  <si>
    <t>1570744891495</t>
  </si>
  <si>
    <t>-LqrgGU-FJfW49i1yZmm</t>
  </si>
  <si>
    <t>1570744898267</t>
  </si>
  <si>
    <t>-LqrgIGlbuAkAlk8x2Gr</t>
  </si>
  <si>
    <t>1570744905481</t>
  </si>
  <si>
    <t>-LqrgJzlPpfY2n3X6aUx</t>
  </si>
  <si>
    <t>1570744912701</t>
  </si>
  <si>
    <t>-LqrgLmozWyDiOoTm8jp</t>
  </si>
  <si>
    <t>1570744919902</t>
  </si>
  <si>
    <t>-LqrgNV_qaNz0UNmH0T5</t>
  </si>
  <si>
    <t>1570744927093</t>
  </si>
  <si>
    <t>-LqrgP3mmdKC1dFbtWJr</t>
  </si>
  <si>
    <t>1570744933292</t>
  </si>
  <si>
    <t>-LqrgQo3rDnOYJOp7lpW</t>
  </si>
  <si>
    <t>1570744940515</t>
  </si>
  <si>
    <t>-LqrgS_mD6PnLXwx3RBF</t>
  </si>
  <si>
    <t>1570744947718</t>
  </si>
  <si>
    <t>-LqrgUIhlBBLuu5kCfZg</t>
  </si>
  <si>
    <t>1570744954940</t>
  </si>
  <si>
    <t>-LqrgVrmekMdqal9h3-b</t>
  </si>
  <si>
    <t>1570744961109</t>
  </si>
  <si>
    <t>-LqrgX_lQqOtcs6B0xEE</t>
  </si>
  <si>
    <t>1570744968336</t>
  </si>
  <si>
    <t>-LqrgZN_6QJh1izLXk8Z</t>
  </si>
  <si>
    <t>1570744975540</t>
  </si>
  <si>
    <t>-Lqrga5mItkyfcFgQxgx</t>
  </si>
  <si>
    <t>1570744982756</t>
  </si>
  <si>
    <t>-Lqrgbu4o_XadmcFh2p0</t>
  </si>
  <si>
    <t>1570744989965</t>
  </si>
  <si>
    <t>-Lqrgd_IDnIImW8HjeW4</t>
  </si>
  <si>
    <t>1570744997172</t>
  </si>
  <si>
    <t>-LqrgfFdR0YtTr0mrBRL</t>
  </si>
  <si>
    <t>1570745003349</t>
  </si>
  <si>
    <t>-LqrghHlgDNk5vZjWQ4z</t>
  </si>
  <si>
    <t>1570745012247</t>
  </si>
  <si>
    <t>-Lqrgivc57r_0faIJc8D</t>
  </si>
  <si>
    <t>1570745018817</t>
  </si>
  <si>
    <t>-LqrgkPkzDme7UhskNN-</t>
  </si>
  <si>
    <t>1570745024975</t>
  </si>
  <si>
    <t>-Lqrgm7bECKeAB6PRbjq</t>
  </si>
  <si>
    <t>1570745032209</t>
  </si>
  <si>
    <t>-LqrgnhuFOfHkKVGzvLv</t>
  </si>
  <si>
    <t>1570745038390</t>
  </si>
  <si>
    <t>-LqrgpUkOzdW5HJLb5dC</t>
  </si>
  <si>
    <t>1570745045600</t>
  </si>
  <si>
    <t>-LqrgrDT3A5V3579mO67</t>
  </si>
  <si>
    <t>1570745052815</t>
  </si>
  <si>
    <t>-LqrgseDxt0FOYMyJfeu</t>
  </si>
  <si>
    <t>1570745058936</t>
  </si>
  <si>
    <t>-LqrguFl5Z6SyPpgjpK3</t>
  </si>
  <si>
    <t>1570745065165</t>
  </si>
  <si>
    <t>-LqrgvybrNQ18ZepoPde</t>
  </si>
  <si>
    <t>1570745072379</t>
  </si>
  <si>
    <t>-LqrgxXf0JY6NhxBgO8_</t>
  </si>
  <si>
    <t>1570745078568</t>
  </si>
  <si>
    <t>-LqrgzFZpVYTZOfYdzXU</t>
  </si>
  <si>
    <t>1570745085780</t>
  </si>
  <si>
    <t>-Lqrh-jlVcG7IgUGarVh</t>
  </si>
  <si>
    <t>1570745091967</t>
  </si>
  <si>
    <t>-Lqrh1LJFKK_BjwR2jhO</t>
  </si>
  <si>
    <t>1570745098138</t>
  </si>
  <si>
    <t>-Lqrh30Z7G2q87SHesVD</t>
  </si>
  <si>
    <t>1570745105387</t>
  </si>
  <si>
    <t>-Lqrh4_ZGMPNli_R4UII</t>
  </si>
  <si>
    <t>1570745111534</t>
  </si>
  <si>
    <t>-Lqrh6IIOAgX2WDPT8y_</t>
  </si>
  <si>
    <t>1570745118740</t>
  </si>
  <si>
    <t>-Lqrh85lum32A_j38wnB</t>
  </si>
  <si>
    <t>1570745125960</t>
  </si>
  <si>
    <t>-Lqrh9p3SWs5mypXtHjq</t>
  </si>
  <si>
    <t>1570745133180</t>
  </si>
  <si>
    <t>-LqrhBXuP5BdrOII5lQO</t>
  </si>
  <si>
    <t>1570745140377</t>
  </si>
  <si>
    <t>-LqrhD5lyn1Npj34UeUc</t>
  </si>
  <si>
    <t>1570745146565</t>
  </si>
  <si>
    <t>-LqrhEoMKaztN-taTgMV</t>
  </si>
  <si>
    <t>1570745153779</t>
  </si>
  <si>
    <t>-LqrhGaODxdRF_Q-E2y1</t>
  </si>
  <si>
    <t>1570745159954</t>
  </si>
  <si>
    <t>-LqrhIPkh7wh6RRa2dj-</t>
  </si>
  <si>
    <t>1570745168170</t>
  </si>
  <si>
    <t>-LqrhK7l4XmHgZ4i-Mo5</t>
  </si>
  <si>
    <t>1570745175419</t>
  </si>
  <si>
    <t>-LqrhLvc3zgG6-Stu686</t>
  </si>
  <si>
    <t>1570745182627</t>
  </si>
  <si>
    <t>-LqrhNdlUYjErrbpkWZx</t>
  </si>
  <si>
    <t>1570745189819</t>
  </si>
  <si>
    <t>-LqrhPCbayKiy2kY-PPp</t>
  </si>
  <si>
    <t>1570745196015</t>
  </si>
  <si>
    <t>-LqrhQtFtqQMWnBZ_yfy</t>
  </si>
  <si>
    <t>1570745203222</t>
  </si>
  <si>
    <t>-LqrhSPkDIUdtnzmovGE</t>
  </si>
  <si>
    <t>1570745209408</t>
  </si>
  <si>
    <t>-LqrhTylVkPkAA545cUo</t>
  </si>
  <si>
    <t>1570745215593</t>
  </si>
  <si>
    <t>-LqrhVfeVHRXbrjY-sKP</t>
  </si>
  <si>
    <t>1570745222780</t>
  </si>
  <si>
    <t>-LqrhXAlaYbaI84vDzh_</t>
  </si>
  <si>
    <t>1570745228967</t>
  </si>
  <si>
    <t>-LqrhYxq-Id7gX9eVgTP</t>
  </si>
  <si>
    <t>1570745235170</t>
  </si>
  <si>
    <t>-Lqrh_n8GFa9YX6YxLFx</t>
  </si>
  <si>
    <t>1570745243414</t>
  </si>
  <si>
    <t>-Lqrhbp5K297Zw6ZEF1H</t>
  </si>
  <si>
    <t>1570745250625</t>
  </si>
  <si>
    <t>-LqrhdWj9MRPpXTVftiL</t>
  </si>
  <si>
    <t>1570745258864</t>
  </si>
  <si>
    <t>-LqrhfEofl1gmlL63Ubc</t>
  </si>
  <si>
    <t>1570745266042</t>
  </si>
  <si>
    <t>-Lqrhgnp9ugyAU3ul9zu</t>
  </si>
  <si>
    <t>1570745272264</t>
  </si>
  <si>
    <t>-LqrhiWlUOO1ZVYRWxPx</t>
  </si>
  <si>
    <t>1570745279454</t>
  </si>
  <si>
    <t>-Lqrhk4cpWGjLFqUj5kE</t>
  </si>
  <si>
    <t>1570745285653</t>
  </si>
  <si>
    <t>-LqrhloGC4re40x5Chii</t>
  </si>
  <si>
    <t>1570745292863</t>
  </si>
  <si>
    <t>-Lqrhnalgh3acn49DX5b</t>
  </si>
  <si>
    <t>1570745300080</t>
  </si>
  <si>
    <t>-LqrhpJpZy3VY8-vlmZA</t>
  </si>
  <si>
    <t>1570745307264</t>
  </si>
  <si>
    <t>-Lqrhqtfh96zwpr1W5Mk</t>
  </si>
  <si>
    <t>1570745313468</t>
  </si>
  <si>
    <t>-LqrhsaqawsmVGIPmWZC</t>
  </si>
  <si>
    <t>1570745320683</t>
  </si>
  <si>
    <t>-LqrhuOopPeBlSMb5E8u</t>
  </si>
  <si>
    <t>1570745327891</t>
  </si>
  <si>
    <t>-Lqrhw6pJJh2d2oCE247</t>
  </si>
  <si>
    <t>1570745335096</t>
  </si>
  <si>
    <t>-LqrhxucfFk32pZXfBgv</t>
  </si>
  <si>
    <t>1570745342323</t>
  </si>
  <si>
    <t>-LqrhzOpRI4ITe600p5Y</t>
  </si>
  <si>
    <t>1570745348490</t>
  </si>
  <si>
    <t>-Lqri0ByZvgJOmV8EqX0</t>
  </si>
  <si>
    <t>1570745355682</t>
  </si>
  <si>
    <t>-Lqri1uoSND-zler-oym</t>
  </si>
  <si>
    <t>1570745362923</t>
  </si>
  <si>
    <t>-Lqri3ds6LhE5RhyBgtt</t>
  </si>
  <si>
    <t>1570745370138</t>
  </si>
  <si>
    <t>-Lqri5BmTmK-D7BapAjG</t>
  </si>
  <si>
    <t>1570745376311</t>
  </si>
  <si>
    <t>-Lqri6fqcECgN6mGh8mJ</t>
  </si>
  <si>
    <t>1570745382469</t>
  </si>
  <si>
    <t>-Lqri8TihKmVP4bmjZOH</t>
  </si>
  <si>
    <t>1570745389716</t>
  </si>
  <si>
    <t>-Lqri9xhiKXGPsu_UAOh</t>
  </si>
  <si>
    <t>1570745395855</t>
  </si>
  <si>
    <t>-LqriBWjXlDZ1Oq-rGEw</t>
  </si>
  <si>
    <t>1570745402065</t>
  </si>
  <si>
    <t>-LqriDEhX_Q26umu32Yg</t>
  </si>
  <si>
    <t>1570745409293</t>
  </si>
  <si>
    <t>-LqriF1hK3Uus4GiHoem</t>
  </si>
  <si>
    <t>1570745416504</t>
  </si>
  <si>
    <t>-LqriGjtShu1kPAFVKaS</t>
  </si>
  <si>
    <t>1570745423706</t>
  </si>
  <si>
    <t>-LqriIYp5yCSJGyf5He9</t>
  </si>
  <si>
    <t>1570745430891</t>
  </si>
  <si>
    <t>-LqriKGhNfto_is0YBct</t>
  </si>
  <si>
    <t>1570745438144</t>
  </si>
  <si>
    <t>-LqriLqzggQrffvYZ5Az</t>
  </si>
  <si>
    <t>1570745444318</t>
  </si>
  <si>
    <t>-LqriNXgcg-a43gSd8Yt</t>
  </si>
  <si>
    <t>1570745451533</t>
  </si>
  <si>
    <t>-LqriP1hQeb3JN8Bj_wk</t>
  </si>
  <si>
    <t>1570745457728</t>
  </si>
  <si>
    <t>-LqriQwPbUcimDbXl_Ah</t>
  </si>
  <si>
    <t>1570745463894</t>
  </si>
  <si>
    <t>-LqriSXY7qU5PsjSZN5m</t>
  </si>
  <si>
    <t>1570745472128</t>
  </si>
  <si>
    <t>-LqriU6kyrPvC_67jvcV</t>
  </si>
  <si>
    <t>1570745478314</t>
  </si>
  <si>
    <t>-LqriVpiVV6nz5bsDdWB</t>
  </si>
  <si>
    <t>1570745485491</t>
  </si>
  <si>
    <t>-LqriXTiVq6ZIeOaXZs4</t>
  </si>
  <si>
    <t>1570745492039</t>
  </si>
  <si>
    <t>-LqriZ6eZOfryt7fu_Bg</t>
  </si>
  <si>
    <t>1570745498918</t>
  </si>
  <si>
    <t>-Lqri_aklwrXzTNgmxNC</t>
  </si>
  <si>
    <t>1570745505099</t>
  </si>
  <si>
    <t>-Lqrib8f0mJx8TFmQSky</t>
  </si>
  <si>
    <t>1570745511292</t>
  </si>
  <si>
    <t>-LqricslBOLdtPS24iTn</t>
  </si>
  <si>
    <t>1570745518462</t>
  </si>
  <si>
    <t>-LqrieRkL5PBiQ76YV9a</t>
  </si>
  <si>
    <t>1570745524678</t>
  </si>
  <si>
    <t>-Lqrig9j-ZID_cH-qUoW</t>
  </si>
  <si>
    <t>1570745531899</t>
  </si>
  <si>
    <t>-LqrihsI9avof3msrklb</t>
  </si>
  <si>
    <t>1570745538072</t>
  </si>
  <si>
    <t>-LqrijQjp2IMLI_VaAhN</t>
  </si>
  <si>
    <t>1570745545306</t>
  </si>
  <si>
    <t>-LqrilEu54BDBji-WwUu</t>
  </si>
  <si>
    <t>1570745552489</t>
  </si>
  <si>
    <t>-Lqrimxck4gXNJeG4pzP</t>
  </si>
  <si>
    <t>1570745559695</t>
  </si>
  <si>
    <t>-LqrioQL-TEY0W0pp5MI</t>
  </si>
  <si>
    <t>1570745565870</t>
  </si>
  <si>
    <t>-LqripvmBcgOI3DlH7XE</t>
  </si>
  <si>
    <t>1570745572060</t>
  </si>
  <si>
    <t>-LqrirUfBE1MRJ3DQ5RE</t>
  </si>
  <si>
    <t>1570745578235</t>
  </si>
  <si>
    <t>-LqrisxhCHsxMiVkCq6f</t>
  </si>
  <si>
    <t>1570745584444</t>
  </si>
  <si>
    <t>-LqriuZ1amMn0IWCNTHp</t>
  </si>
  <si>
    <t>1570745590606</t>
  </si>
  <si>
    <t>-LqriwFj02G4O38V-cvZ</t>
  </si>
  <si>
    <t>1570745597818</t>
  </si>
  <si>
    <t>-LqrixobEGxy5LOUFgeq</t>
  </si>
  <si>
    <t>1570745603996</t>
  </si>
  <si>
    <t>-LqrizVTQ_XlwUZVUXVR</t>
  </si>
  <si>
    <t>1570745611219</t>
  </si>
  <si>
    <t>-Lqrj0M1lf-RsNJO9xJd</t>
  </si>
  <si>
    <t>1570745618443</t>
  </si>
  <si>
    <t>-Lqrj23YD1Qut8v4gSY1</t>
  </si>
  <si>
    <t>1570745625641</t>
  </si>
  <si>
    <t>-Lqrj3qdJi_0wzmfql3O</t>
  </si>
  <si>
    <t>1570745632854</t>
  </si>
  <si>
    <t>-Lqrj5ZgHkHtQrcnlT6y</t>
  </si>
  <si>
    <t>1570745640059</t>
  </si>
  <si>
    <t>-Lqrj77jwn43XrIoxhLB</t>
  </si>
  <si>
    <t>1570745646248</t>
  </si>
  <si>
    <t>-Lqrj8qkp_7JNPwW_-QO</t>
  </si>
  <si>
    <t>1570745653458</t>
  </si>
  <si>
    <t>-LqrjAM4NyyDQ9ir7Kor</t>
  </si>
  <si>
    <t>1570745659584</t>
  </si>
  <si>
    <t>-LqrjBop9LBxPG3M6L3d</t>
  </si>
  <si>
    <t>1570745665818</t>
  </si>
  <si>
    <t>-LqrjDNY8oBCBofMERkd</t>
  </si>
  <si>
    <t>1570745671994</t>
  </si>
  <si>
    <t>-LqrjEqX9r2sJK87YKv3</t>
  </si>
  <si>
    <t>1570745678154</t>
  </si>
  <si>
    <t>-LqrjGQfM78CMGWtDz94</t>
  </si>
  <si>
    <t>1570745684360</t>
  </si>
  <si>
    <t>-LqrjISpmfy2TxHMHKz8</t>
  </si>
  <si>
    <t>1570745692882</t>
  </si>
  <si>
    <t>-LqrjKAcKwpNKYUXkXhC</t>
  </si>
  <si>
    <t>1570745699819</t>
  </si>
  <si>
    <t>-LqrjLfI-RNGrBC6oW0g</t>
  </si>
  <si>
    <t>1570745705983</t>
  </si>
  <si>
    <t>-LqrjNFAuLVN8lF67NH0</t>
  </si>
  <si>
    <t>1570745712186</t>
  </si>
  <si>
    <t>-LqrjOwan1ZrreBvvQ_Y</t>
  </si>
  <si>
    <t>1570745719396</t>
  </si>
  <si>
    <t>-LqrjQRUvc_6QHKlt3gf</t>
  </si>
  <si>
    <t>1570745725576</t>
  </si>
  <si>
    <t>-LqrjRznQM1ZXjrvUmoK</t>
  </si>
  <si>
    <t>1570745731742</t>
  </si>
  <si>
    <t>-LqrjTgblFdxqRGPBDSg</t>
  </si>
  <si>
    <t>1570745738948</t>
  </si>
  <si>
    <t>-LqrjVHqOXAeLvq6NpMz</t>
  </si>
  <si>
    <t>1570745745139</t>
  </si>
  <si>
    <t>-LqrjWzd3Q-X8ry1B4jB</t>
  </si>
  <si>
    <t>1570745752383</t>
  </si>
  <si>
    <t>-LqrjYZsBBgQo1SKXWC2</t>
  </si>
  <si>
    <t>1570745758554</t>
  </si>
  <si>
    <t>-Lqrj_Gg8QLp9gno0OAv</t>
  </si>
  <si>
    <t>1570745765771</t>
  </si>
  <si>
    <t>-Lqrjakod8VO9_Va8IX6</t>
  </si>
  <si>
    <t>1570745771968</t>
  </si>
  <si>
    <t>-LqrjcL50wlNlJydiu-r</t>
  </si>
  <si>
    <t>1570745778137</t>
  </si>
  <si>
    <t>-Lqrje1p0WsEPrXJUpzH</t>
  </si>
  <si>
    <t>1570745785344</t>
  </si>
  <si>
    <t>-LqrjfanFT8L6_Q9PJeP</t>
  </si>
  <si>
    <t>1570745791528</t>
  </si>
  <si>
    <t>-LqrjhJps_Hd3I7-IUe6</t>
  </si>
  <si>
    <t>1570745798744</t>
  </si>
  <si>
    <t>-Lqrjinn8tIRDWcyx5dp</t>
  </si>
  <si>
    <t>1570745804938</t>
  </si>
  <si>
    <t>-LqrjkMpycRrCDdthsfc</t>
  </si>
  <si>
    <t>1570745811104</t>
  </si>
  <si>
    <t>-Lqrjm4b3XV9dAYKyM4Z</t>
  </si>
  <si>
    <t>1570745818298</t>
  </si>
  <si>
    <t>-LqrjnZp747MIycctsxx</t>
  </si>
  <si>
    <t>1570745824496</t>
  </si>
  <si>
    <t>-Lqrjp8BVZwZz-bxO9Rb</t>
  </si>
  <si>
    <t>1570745830675</t>
  </si>
  <si>
    <t>-LqrjqrUAHV7kxE6tXAe</t>
  </si>
  <si>
    <t>1570745837894</t>
  </si>
  <si>
    <t>-LqrjsPjoaJ3HSP1tXp0</t>
  </si>
  <si>
    <t>1570745844071</t>
  </si>
  <si>
    <t>-Lqrju7qI-TwBBQczrYw</t>
  </si>
  <si>
    <t>1570745851264</t>
  </si>
  <si>
    <t>-Lqrjvgo1zfKRhdUM1XK</t>
  </si>
  <si>
    <t>1570745857464</t>
  </si>
  <si>
    <t>-LqrjxNXfpxrNyyL_gCl</t>
  </si>
  <si>
    <t>1570745864689</t>
  </si>
  <si>
    <t>-LqrjzB8cPZKl2Hyo-Mm</t>
  </si>
  <si>
    <t>1570745871892</t>
  </si>
  <si>
    <t>-Lqrk-ggstJE1oyfK7KW</t>
  </si>
  <si>
    <t>1570745878079</t>
  </si>
  <si>
    <t>-Lqrk1AivpbZ3RpESTDw</t>
  </si>
  <si>
    <t>1570745884234</t>
  </si>
  <si>
    <t>-Lqrk2jgrxVMk1GY8EE-</t>
  </si>
  <si>
    <t>1570745890441</t>
  </si>
  <si>
    <t>-Lqrk4SkA2pv0NmQEo92</t>
  </si>
  <si>
    <t>1570745897663</t>
  </si>
  <si>
    <t>-Lqrk60kphbnrPMObhPd</t>
  </si>
  <si>
    <t>1570745903838</t>
  </si>
  <si>
    <t>-Lqrk81QOUILKWn8LRKa</t>
  </si>
  <si>
    <t>1570745911008</t>
  </si>
  <si>
    <t>-Lqrk9hxeag84YUs3Iki</t>
  </si>
  <si>
    <t>1570745919296</t>
  </si>
  <si>
    <t>-LqrkBFl0_Esm1t31pWb</t>
  </si>
  <si>
    <t>1570745925476</t>
  </si>
  <si>
    <t>-LqrkCjfIxjswOsGa6iA</t>
  </si>
  <si>
    <t>1570745931658</t>
  </si>
  <si>
    <t>-LqrkEJIGGHhAaWWVbRo</t>
  </si>
  <si>
    <t>1570745937843</t>
  </si>
  <si>
    <t>-LqrkFzPlps0KtyAba12</t>
  </si>
  <si>
    <t>1570745945021</t>
  </si>
  <si>
    <t>-LqrkH_mIf1l-faPExES</t>
  </si>
  <si>
    <t>1570745951211</t>
  </si>
  <si>
    <t>-LqrkJIlOJiKgRF96Qbx</t>
  </si>
  <si>
    <t>1570745958462</t>
  </si>
  <si>
    <t>-LqrkKljPU_Rwo2s_OpU</t>
  </si>
  <si>
    <t>1570745964595</t>
  </si>
  <si>
    <t>-LqrkMKmKirRwDh1tKDa</t>
  </si>
  <si>
    <t>1570745970806</t>
  </si>
  <si>
    <t>-LqrkO1WWpNAdgWviu-5</t>
  </si>
  <si>
    <t>1570745977979</t>
  </si>
  <si>
    <t>-LqrkPclPEn0nohbYOA8</t>
  </si>
  <si>
    <t>1570745984175</t>
  </si>
  <si>
    <t>-LqrkRLmVgCU7y8huQG2</t>
  </si>
  <si>
    <t>1570745991421</t>
  </si>
  <si>
    <t>-LqrkSogvP4JSCVdS0Hh</t>
  </si>
  <si>
    <t>1570745997564</t>
  </si>
  <si>
    <t>-LqrkUOgO3vYpy-VoAih</t>
  </si>
  <si>
    <t>1570746003753</t>
  </si>
  <si>
    <t>-LqrkVrZuqT7mKuF9Ln6</t>
  </si>
  <si>
    <t>1570746009936</t>
  </si>
  <si>
    <t>-LqrkXMfadsgzhlth96F</t>
  </si>
  <si>
    <t>1570746016135</t>
  </si>
  <si>
    <t>-LqrkZAplEEMNWExECFl</t>
  </si>
  <si>
    <t>1570746022326</t>
  </si>
  <si>
    <t>-Lqrk_xtF2TUd2Z38R_P</t>
  </si>
  <si>
    <t>1570746030566</t>
  </si>
  <si>
    <t>-LqrkbfduULSVT1EL6xE</t>
  </si>
  <si>
    <t>1570746037773</t>
  </si>
  <si>
    <t>-Lqrkd9lM03XvGqNt4AO</t>
  </si>
  <si>
    <t>1570746043923</t>
  </si>
  <si>
    <t>-Lqrkeed-iMFjgVn5qY5</t>
  </si>
  <si>
    <t>1570746050138</t>
  </si>
  <si>
    <t>-LqrkgBcLuFI_NdMByB3</t>
  </si>
  <si>
    <t>1570746056324</t>
  </si>
  <si>
    <t>-LqrkhfeDCcilEMKuseG</t>
  </si>
  <si>
    <t>1570746062519</t>
  </si>
  <si>
    <t>-LqrkjEYrWg8Cy0rGNbW</t>
  </si>
  <si>
    <t>1570746068688</t>
  </si>
  <si>
    <t>-LqrkkkTwIbCyBDvnRrV</t>
  </si>
  <si>
    <t>1570746074863</t>
  </si>
  <si>
    <t>-LqrkmWbLBnrgPxLx5Qz</t>
  </si>
  <si>
    <t>1570746082078</t>
  </si>
  <si>
    <t>-LqrkoGoCOXyuomzMSKv</t>
  </si>
  <si>
    <t>1570746089288</t>
  </si>
  <si>
    <t>-LqrkphRaMV482GFtTuj</t>
  </si>
  <si>
    <t>1570746095420</t>
  </si>
  <si>
    <t>-LqrkrXg-9aMk9-nvrOt</t>
  </si>
  <si>
    <t>1570746102687</t>
  </si>
  <si>
    <t>-Lqrkt0_7uwtnLR7FZZ6</t>
  </si>
  <si>
    <t>1570746108861</t>
  </si>
  <si>
    <t>-LqrkuZdaynhy9VY2K4C</t>
  </si>
  <si>
    <t>1570746115043</t>
  </si>
  <si>
    <t>-LqrkwJnZLrbO7fxxCV-</t>
  </si>
  <si>
    <t>1570746122259</t>
  </si>
  <si>
    <t>-Lqrky44q3JiyVZg5KSp</t>
  </si>
  <si>
    <t>1570746128441</t>
  </si>
  <si>
    <t>-Lqrkz_Y4O8MRw36p2xd</t>
  </si>
  <si>
    <t>1570746135659</t>
  </si>
  <si>
    <t>-Lqrl01OicB8f4OU7pku</t>
  </si>
  <si>
    <t>1570746141819</t>
  </si>
  <si>
    <t>-Lqrl1cjRy3J_pE9GAdU</t>
  </si>
  <si>
    <t>1570746148014</t>
  </si>
  <si>
    <t>-Lqrl3KlRtg0ZFWADE-W</t>
  </si>
  <si>
    <t>1570746155234</t>
  </si>
  <si>
    <t>-Lqrl58jnE_xn-WsVGfK</t>
  </si>
  <si>
    <t>1570746162445</t>
  </si>
  <si>
    <t>-Lqrl6rsH71fSpL0V6Dp</t>
  </si>
  <si>
    <t>1570746169651</t>
  </si>
  <si>
    <t>-Lqrl8ek-QXWOZ_qPihT</t>
  </si>
  <si>
    <t>1570746176874</t>
  </si>
  <si>
    <t>-LqrlANf8f-WstsKhb5m</t>
  </si>
  <si>
    <t>1570746184058</t>
  </si>
  <si>
    <t>-LqrlBy3yaMr_icOXMwR</t>
  </si>
  <si>
    <t>1570746190295</t>
  </si>
  <si>
    <t>-LqrlDcMtZKfQbta8oHM</t>
  </si>
  <si>
    <t>1570746197471</t>
  </si>
  <si>
    <t>-LqrlF8cDDMg7juSHziO</t>
  </si>
  <si>
    <t>1570746203629</t>
  </si>
  <si>
    <t>-LqrlGhbo93QpKqM6ETi</t>
  </si>
  <si>
    <t>1570746209830</t>
  </si>
  <si>
    <t>-LqrlIDedZbKMvbAW0SF</t>
  </si>
  <si>
    <t>1570746216016</t>
  </si>
  <si>
    <t>-LqrlJzjTZJ3rXt56mOw</t>
  </si>
  <si>
    <t>1570746223230</t>
  </si>
  <si>
    <t>-LqrlLhqUeGgDKqqSBkh</t>
  </si>
  <si>
    <t>1570746230451</t>
  </si>
  <si>
    <t>-LqrlNBowkfpmTJQYuAI</t>
  </si>
  <si>
    <t>1570746236620</t>
  </si>
  <si>
    <t>-LqrlOkgmmFcX72raeeG</t>
  </si>
  <si>
    <t>1570746242848</t>
  </si>
  <si>
    <t>-LqrlQCKlOk34y2OtfEy</t>
  </si>
  <si>
    <t>1570746248970</t>
  </si>
  <si>
    <t>-LqrlRxbHTfz00T7ols2</t>
  </si>
  <si>
    <t>1570746256202</t>
  </si>
  <si>
    <t>-LqrlTXA8WCMKACT5-lB</t>
  </si>
  <si>
    <t>1570746262422</t>
  </si>
  <si>
    <t>-LqrlVDX620TJ3AQS3px</t>
  </si>
  <si>
    <t>1570746269561</t>
  </si>
  <si>
    <t>-LqrlWnYsNpMpXwPdJu7</t>
  </si>
  <si>
    <t>1570746275772</t>
  </si>
  <si>
    <t>-LqrlYHkRX1pxLRPSrH1</t>
  </si>
  <si>
    <t>1570746281938</t>
  </si>
  <si>
    <t>-LqrlZqhn4R3ZQ8mid7F</t>
  </si>
  <si>
    <t>1570746288150</t>
  </si>
  <si>
    <t>-LqrlaYeyisvFg_8K1gY</t>
  </si>
  <si>
    <t>1570746295350</t>
  </si>
  <si>
    <t>-LqrlcRcuU3zgefKm0LJ</t>
  </si>
  <si>
    <t>1570746302914</t>
  </si>
  <si>
    <t>-Lqrle4cu-VLOSBdylCg</t>
  </si>
  <si>
    <t>1570746309775</t>
  </si>
  <si>
    <t>-LqrlfYgJUpV0ZcK6ZsN</t>
  </si>
  <si>
    <t>1570746315957</t>
  </si>
  <si>
    <t>-LqrlhBdMnfpAXByZyj9</t>
  </si>
  <si>
    <t>1570746322617</t>
  </si>
  <si>
    <t>-LqrlioRDlJZkfZz2HOO</t>
  </si>
  <si>
    <t>1570746329338</t>
  </si>
  <si>
    <t>-LqrlkQoX48I75uUQxgU</t>
  </si>
  <si>
    <t>1570746335798</t>
  </si>
  <si>
    <t>-Lqrlm7YcOgaoWK-_7Ln</t>
  </si>
  <si>
    <t>1570746342753</t>
  </si>
  <si>
    <t>-LqrlnbCZnuhk0DPobqp</t>
  </si>
  <si>
    <t>1570746348937</t>
  </si>
  <si>
    <t>-LqrlpUh2J-0-JF6ci0p</t>
  </si>
  <si>
    <t>1570746356481</t>
  </si>
  <si>
    <t>-Lqrlr7mnr_kS4US75r2</t>
  </si>
  <si>
    <t>1570746363352</t>
  </si>
  <si>
    <t>-LqrlsfC5BIBu8Y5eDSr</t>
  </si>
  <si>
    <t>1570746369541</t>
  </si>
  <si>
    <t>-LqrluA_VBMUZ3zgZAwI</t>
  </si>
  <si>
    <t>1570746375733</t>
  </si>
  <si>
    <t>-LqrlvemEcRZZJTk57FP</t>
  </si>
  <si>
    <t>1570746381876</t>
  </si>
  <si>
    <t>-LqrlxDmgWaHQqFEhx61</t>
  </si>
  <si>
    <t>1570746388082</t>
  </si>
  <si>
    <t>-LqrlyuJaMxnXjQzwT9l</t>
  </si>
  <si>
    <t>1570746395263</t>
  </si>
  <si>
    <t>-Lqrm-VkCsYQs6L1X3Mf</t>
  </si>
  <si>
    <t>1570746401472</t>
  </si>
  <si>
    <t>-Lqrm1Ddaxr6BzkcJ1k7</t>
  </si>
  <si>
    <t>1570746408692</t>
  </si>
  <si>
    <t>-Lqrm2gaY4m5NLgqNVCE</t>
  </si>
  <si>
    <t>1570746414846</t>
  </si>
  <si>
    <t>-Lqrm4Go8q-k6D6IbjDn</t>
  </si>
  <si>
    <t>1570746421061</t>
  </si>
  <si>
    <t>-Lqrm5kdFCpsBLfIVATc</t>
  </si>
  <si>
    <t>1570746427226</t>
  </si>
  <si>
    <t>-Lqrm7EmHWJvpnHcjtxJ</t>
  </si>
  <si>
    <t>1570746433425</t>
  </si>
  <si>
    <t>-Lqrm8n_tf2naGIuDrMg</t>
  </si>
  <si>
    <t>1570746439602</t>
  </si>
  <si>
    <t>-LqrmAGfuCskijqqFvAl</t>
  </si>
  <si>
    <t>1570746445763</t>
  </si>
  <si>
    <t>-LqrmC3fXyIQiLVxB58r</t>
  </si>
  <si>
    <t>1570746452992</t>
  </si>
  <si>
    <t>-LqrmDneHvtQLUD4OcO6</t>
  </si>
  <si>
    <t>1570746460212</t>
  </si>
  <si>
    <t>-LqrmFLgpF-DJtnoihs7</t>
  </si>
  <si>
    <t>1570746466396</t>
  </si>
  <si>
    <t>-LqrmH4mMFNekU3XQe-2</t>
  </si>
  <si>
    <t>1570746473606</t>
  </si>
  <si>
    <t>-LqrmIZrmQLGbPyTNJvP</t>
  </si>
  <si>
    <t>1570746479805</t>
  </si>
  <si>
    <t>-LqrmKJ35WoIDGpUhKee</t>
  </si>
  <si>
    <t>1570746487000</t>
  </si>
  <si>
    <t>-LqrmLroUi76NMEha-71</t>
  </si>
  <si>
    <t>1570746493182</t>
  </si>
  <si>
    <t>-LqrmNPmW9OXwEm4XXLV</t>
  </si>
  <si>
    <t>1570746499366</t>
  </si>
  <si>
    <t>-LqrmP6flvp1GZ0nXmX-</t>
  </si>
  <si>
    <t>1570746506572</t>
  </si>
  <si>
    <t>-LqrmQbe77V5mbnjHf09</t>
  </si>
  <si>
    <t>1570746512768</t>
  </si>
  <si>
    <t>-LqrmSAlXJYHHTU2VcJS</t>
  </si>
  <si>
    <t>1570746518938</t>
  </si>
  <si>
    <t>-LqrmTtn8xEX-Au8Ri3y</t>
  </si>
  <si>
    <t>1570746526149</t>
  </si>
  <si>
    <t>-LqrmVSeP4PBkoBeP39W</t>
  </si>
  <si>
    <t>1570746532334</t>
  </si>
  <si>
    <t>-LqrmX9ZkFWLioHn8su7</t>
  </si>
  <si>
    <t>1570746539543</t>
  </si>
  <si>
    <t>-LqrmYelxFEpOU2vG0kZ</t>
  </si>
  <si>
    <t>1570746545722</t>
  </si>
  <si>
    <t>-Lqrm_Ddmtgli44bdg1O</t>
  </si>
  <si>
    <t>1570746551903</t>
  </si>
  <si>
    <t>-Lqrmay39Ufj0-FoAO7w</t>
  </si>
  <si>
    <t>1570746559104</t>
  </si>
  <si>
    <t>-LqrmcVlWsndAhGKR987</t>
  </si>
  <si>
    <t>1570746565298</t>
  </si>
  <si>
    <t>-LqrmeWtQUr1FRumsQbN</t>
  </si>
  <si>
    <t>1570746572507</t>
  </si>
  <si>
    <t>-LqrmgFlwH5EIGBULR1f</t>
  </si>
  <si>
    <t>1570746580756</t>
  </si>
  <si>
    <t>-LqrmhksO_kf6UPyUoVY</t>
  </si>
  <si>
    <t>1570746586935</t>
  </si>
  <si>
    <t>-LqrmjNcZyR7IflBq39n</t>
  </si>
  <si>
    <t>1570746593480</t>
  </si>
  <si>
    <t>-Lqrml0hef1vnFNvB5KW</t>
  </si>
  <si>
    <t>1570746600333</t>
  </si>
  <si>
    <t>-LqrmmVf-6w-9dLLd0x-</t>
  </si>
  <si>
    <t>1570746606539</t>
  </si>
  <si>
    <t>-Lqrmo3mjjMheIaNpvWI</t>
  </si>
  <si>
    <t>1570746612696</t>
  </si>
  <si>
    <t>-LqrmpmpW-us5Z-fEuRQ</t>
  </si>
  <si>
    <t>1570746619897</t>
  </si>
  <si>
    <t>-Lqrmr_sYBizJ_mH5XCS</t>
  </si>
  <si>
    <t>1570746627110</t>
  </si>
  <si>
    <t>-LqrmtIm3YpvwXcxWRPK</t>
  </si>
  <si>
    <t>1570746634303</t>
  </si>
  <si>
    <t>-LqrmurgFiiDQi9r7a6q</t>
  </si>
  <si>
    <t>1570746640491</t>
  </si>
  <si>
    <t>-Lqrmw_fOm_X-fzJhZx1</t>
  </si>
  <si>
    <t>1570746647736</t>
  </si>
  <si>
    <t>-Lqrmy8oajRJDF_fzWph</t>
  </si>
  <si>
    <t>1570746653946</t>
  </si>
  <si>
    <t>-Lqrmzt6-EEFUojqbLGQ</t>
  </si>
  <si>
    <t>1570746661111</t>
  </si>
  <si>
    <t>-Lqrn0ece1x5B7hrX-mu</t>
  </si>
  <si>
    <t>1570746668339</t>
  </si>
  <si>
    <t>-Lqrn2Ng9mPPUDIoElPa</t>
  </si>
  <si>
    <t>1570746675582</t>
  </si>
  <si>
    <t>-Lqrn3ro7lL69y3Om3xe</t>
  </si>
  <si>
    <t>1570746681722</t>
  </si>
  <si>
    <t>-Lqrn5Qb1oaY1QnX0lj5</t>
  </si>
  <si>
    <t>1570746687909</t>
  </si>
  <si>
    <t>-Lqrn78hdPTx-c_NcbaI</t>
  </si>
  <si>
    <t>1570746695103</t>
  </si>
  <si>
    <t>-Lqrn8nlp-o8jU8JSkDU</t>
  </si>
  <si>
    <t>1570746701299</t>
  </si>
  <si>
    <t>-LqrnAOXF9Gym0fgAxG7</t>
  </si>
  <si>
    <t>1570746708543</t>
  </si>
  <si>
    <t>-LqrnCDod06NR6c_Q9nZ</t>
  </si>
  <si>
    <t>1570746715729</t>
  </si>
  <si>
    <t>-LqrnDxCLeU_uvsP6Tml</t>
  </si>
  <si>
    <t>1570746722944</t>
  </si>
  <si>
    <t>-LqrnFjp8psHr4S_GVw_</t>
  </si>
  <si>
    <t>1570746730144</t>
  </si>
  <si>
    <t>-LqrnHSd-RkUp1jHBumm</t>
  </si>
  <si>
    <t>1570746737353</t>
  </si>
  <si>
    <t>-LqrnJ0hfmgB_wXK4SXv</t>
  </si>
  <si>
    <t>1570746743546</t>
  </si>
  <si>
    <t>-LqrnKjcs_VAqk-Ruiat</t>
  </si>
  <si>
    <t>1570746750756</t>
  </si>
  <si>
    <t>-LqrnMDpbotxqVpgehNA</t>
  </si>
  <si>
    <t>1570746756935</t>
  </si>
  <si>
    <t>-LqrnNmpKmvJFu-MLQoz</t>
  </si>
  <si>
    <t>1570746763124</t>
  </si>
  <si>
    <t>-LqrnPVgK_5aDuzikpgq</t>
  </si>
  <si>
    <t>1570746770300</t>
  </si>
  <si>
    <t>-LqrnR3godQ-nd1Rp7iI</t>
  </si>
  <si>
    <t>1570746776511</t>
  </si>
  <si>
    <t>-LqrnSmp6gojCqiK6bAc</t>
  </si>
  <si>
    <t>1570746783743</t>
  </si>
  <si>
    <t>-LqrnU_oRKPYQXZCX1St</t>
  </si>
  <si>
    <t>1570746790936</t>
  </si>
  <si>
    <t>-LqrnWdOxW0q4EzsEzJ0</t>
  </si>
  <si>
    <t>1570746798136</t>
  </si>
  <si>
    <t>-LqrnYHmSZ0aE0YGQlYN</t>
  </si>
  <si>
    <t>1570746806397</t>
  </si>
  <si>
    <t>-LqrnZoghCt7vikOF03c</t>
  </si>
  <si>
    <t>1570746812544</t>
  </si>
  <si>
    <t>-LqrnaNwZ3UYF0woeSJb</t>
  </si>
  <si>
    <t>1570746818749</t>
  </si>
  <si>
    <t>-Lqrnc5g4IIazta77s_S</t>
  </si>
  <si>
    <t>1570746825974</t>
  </si>
  <si>
    <t>-Lqrndej7tdK7sPejKsC</t>
  </si>
  <si>
    <t>1570746832160</t>
  </si>
  <si>
    <t>-LqrnfNfFirtY7QRtYUs</t>
  </si>
  <si>
    <t>1570746839355</t>
  </si>
  <si>
    <t>-LqrngsJHs_kAN7HPxHK</t>
  </si>
  <si>
    <t>1570746845561</t>
  </si>
  <si>
    <t>-LqrniQpazEQ1k7QpAfq</t>
  </si>
  <si>
    <t>1570746851725</t>
  </si>
  <si>
    <t>-Lqrnk95BzAQe4N4tilY</t>
  </si>
  <si>
    <t>1570746858935</t>
  </si>
  <si>
    <t>-Lqrnlwcl-CI1bbOlki6</t>
  </si>
  <si>
    <t>1570746866160</t>
  </si>
  <si>
    <t>-Lqrnnea1_51Priecb_a</t>
  </si>
  <si>
    <t>1570746873335</t>
  </si>
  <si>
    <t>-LqrnpDvyOUIoTrOXt_o</t>
  </si>
  <si>
    <t>1570746879553</t>
  </si>
  <si>
    <t>-Lqrnqwgq3KPI3z-P69C</t>
  </si>
  <si>
    <t>1570746886763</t>
  </si>
  <si>
    <t>-LqrnsfrWmLP5mJSxhfV</t>
  </si>
  <si>
    <t>1570746893969</t>
  </si>
  <si>
    <t>-LqrnuEcEEsKmKkG0inK</t>
  </si>
  <si>
    <t>1570746900150</t>
  </si>
  <si>
    <t>-Lqrnw0gd3L69P19hjUz</t>
  </si>
  <si>
    <t>1570746907364</t>
  </si>
  <si>
    <t>-Lqrnxjg9t_-rFFnXc8z</t>
  </si>
  <si>
    <t>1570746914576</t>
  </si>
  <si>
    <t>-LqrnzDnnm_JYnCoZbMm</t>
  </si>
  <si>
    <t>1570746920770</t>
  </si>
  <si>
    <t>-Lqro-nJEoSzN4nyAzQC</t>
  </si>
  <si>
    <t>1570746926944</t>
  </si>
  <si>
    <t>-Lqro1VfkzhD5-KnJBAZ</t>
  </si>
  <si>
    <t>1570746934145</t>
  </si>
  <si>
    <t>-Lqro33n_-LaiM0L7YtU</t>
  </si>
  <si>
    <t>1570746940342</t>
  </si>
  <si>
    <t>-Lqro4mfB3N-Y3tulRLG</t>
  </si>
  <si>
    <t>1570746947545</t>
  </si>
  <si>
    <t>-Lqro6GgCC4sHqu0usmm</t>
  </si>
  <si>
    <t>1570746953704</t>
  </si>
  <si>
    <t>-Lqro7qkorCM6W7s9OKs</t>
  </si>
  <si>
    <t>1570746959910</t>
  </si>
  <si>
    <t>-Lqro9ZsDobbTtQgvahG</t>
  </si>
  <si>
    <t>1570746967096</t>
  </si>
  <si>
    <t>-LqroB7iXJiap6fTutZU</t>
  </si>
  <si>
    <t>1570746973299</t>
  </si>
  <si>
    <t>-LqroCpokHv0c4ByoIGi</t>
  </si>
  <si>
    <t>1570746980523</t>
  </si>
  <si>
    <t>-LqroEdr0Vy6n1SaAMny</t>
  </si>
  <si>
    <t>1570746987732</t>
  </si>
  <si>
    <t>-LqroGN566PCdfFqgO2y</t>
  </si>
  <si>
    <t>1570746994943</t>
  </si>
  <si>
    <t>-LqroIPFcx_Pd6ZnPZHV</t>
  </si>
  <si>
    <t>1570747002165</t>
  </si>
  <si>
    <t>-LqroKAoT8KsgXHimkxq</t>
  </si>
  <si>
    <t>1570747010397</t>
  </si>
  <si>
    <t>-LqroLtooKUFafttOP4n</t>
  </si>
  <si>
    <t>1570747017606</t>
  </si>
  <si>
    <t>-LqroNggDcs8yAfr4ve9</t>
  </si>
  <si>
    <t>1570747024809</t>
  </si>
  <si>
    <t>-LqroPh_YFCWGAKHHUYk</t>
  </si>
  <si>
    <t>1570747033290</t>
  </si>
  <si>
    <t>-LqroRWd_RRM6fPeSYNj</t>
  </si>
  <si>
    <t>1570747040268</t>
  </si>
  <si>
    <t>-LqroT9Qp7QZxx38qUmI</t>
  </si>
  <si>
    <t>1570747047481</t>
  </si>
  <si>
    <t>-LqroUdvvesXqkpzJlxX</t>
  </si>
  <si>
    <t>1570747053660</t>
  </si>
  <si>
    <t>-LqroWBeDxp1-jl-A0e4</t>
  </si>
  <si>
    <t>1570747059846</t>
  </si>
  <si>
    <t>-LqroY-lV8qa_dqIPsef</t>
  </si>
  <si>
    <t>1570747067060</t>
  </si>
  <si>
    <t>-LqroZif2-2rwe9BYcxg</t>
  </si>
  <si>
    <t>1570747074257</t>
  </si>
  <si>
    <t>-LqroaBR5YnaKZCBgjva</t>
  </si>
  <si>
    <t>1570747080431</t>
  </si>
  <si>
    <t>-LqrobgumGYqz9D-AE8D</t>
  </si>
  <si>
    <t>1570747086620</t>
  </si>
  <si>
    <t>-LqrodEeuSYDJQqgAPJ6</t>
  </si>
  <si>
    <t>1570747092815</t>
  </si>
  <si>
    <t>-LqroeyrlD56fu-fEqHD</t>
  </si>
  <si>
    <t>1570747100014</t>
  </si>
  <si>
    <t>-LqrogXlsOKVxJJddf4A</t>
  </si>
  <si>
    <t>1570747106213</t>
  </si>
  <si>
    <t>-LqrohzEClzxguZXghR-</t>
  </si>
  <si>
    <t>1570747112380</t>
  </si>
  <si>
    <t>-LqrojZRaHxGag3_M4_0</t>
  </si>
  <si>
    <t>1570747118569</t>
  </si>
  <si>
    <t>-Lqrol3kmwBebta1CNPE</t>
  </si>
  <si>
    <t>1570747124735</t>
  </si>
  <si>
    <t>-LqromYvEQUAuNmU8M8G</t>
  </si>
  <si>
    <t>1570747130899</t>
  </si>
  <si>
    <t>-LqrooGihovcrxLVrP-L</t>
  </si>
  <si>
    <t>1570747138140</t>
  </si>
  <si>
    <t>-LqropoXWLshbB9Llbae</t>
  </si>
  <si>
    <t>1570747144357</t>
  </si>
  <si>
    <t>-LqrorKGNbuk4k3fd6wZ</t>
  </si>
  <si>
    <t>1570747150525</t>
  </si>
  <si>
    <t>-LqrosnqfHWJzWgWPB6t</t>
  </si>
  <si>
    <t>1570747156682</t>
  </si>
  <si>
    <t>-LqrouO4v6JPuFXH77hC</t>
  </si>
  <si>
    <t>1570747162867</t>
  </si>
  <si>
    <t>-Lqrow3TemxuGXXaSmj-</t>
  </si>
  <si>
    <t>1570747170049</t>
  </si>
  <si>
    <t>-LqroxdYfrWdy1kDrJ3B</t>
  </si>
  <si>
    <t>1570747176254</t>
  </si>
  <si>
    <t>-LqrozBTjEa1RZwQtlMX</t>
  </si>
  <si>
    <t>1570747182692</t>
  </si>
  <si>
    <t>-Lqrp-veZNL9wEVfWp9E</t>
  </si>
  <si>
    <t>1570747189652</t>
  </si>
  <si>
    <t>-Lqrp1bIW2PY56EZoodW</t>
  </si>
  <si>
    <t>1570747196851</t>
  </si>
  <si>
    <t>-Lqrp3BSFgngzC8jpjLs</t>
  </si>
  <si>
    <t>1570747203048</t>
  </si>
  <si>
    <t>-Lqrp4gcQfZRkVCLydNN</t>
  </si>
  <si>
    <t>1570747209222</t>
  </si>
  <si>
    <t>-Lqrp6OYgQhDn-6c9KjR</t>
  </si>
  <si>
    <t>1570747216438</t>
  </si>
  <si>
    <t>-Lqrp7zofrvb2ap0sxVS</t>
  </si>
  <si>
    <t>1570747222622</t>
  </si>
  <si>
    <t>-Lqrp9gcy52QvVa0jrGX</t>
  </si>
  <si>
    <t>1570747229811</t>
  </si>
  <si>
    <t>-LqrpBETFQM1GoaMAPTu</t>
  </si>
  <si>
    <t>1570747236011</t>
  </si>
  <si>
    <t>-LqrpCydtnJsHCeGc4Jh</t>
  </si>
  <si>
    <t>1570747243227</t>
  </si>
  <si>
    <t>-LqrpEqkNpWjUCnxlLEx</t>
  </si>
  <si>
    <t>1570747249383</t>
  </si>
  <si>
    <t>-LqrpGUiXLpW6rR-KC4u</t>
  </si>
  <si>
    <t>1570747257633</t>
  </si>
  <si>
    <t>-LqrpI3ZqxCnkwr2Akuk</t>
  </si>
  <si>
    <t>1570747263832</t>
  </si>
  <si>
    <t>-LqrpJlr0zlErXGPOwcv</t>
  </si>
  <si>
    <t>1570747271048</t>
  </si>
  <si>
    <t>-LqrpLGVaJLFP3qKvg40</t>
  </si>
  <si>
    <t>1570747277241</t>
  </si>
  <si>
    <t>-LqrpMoj_3S_UxHzUxLG</t>
  </si>
  <si>
    <t>1570747283412</t>
  </si>
  <si>
    <t>-LqrpOXmU8svCRm4B0hG</t>
  </si>
  <si>
    <t>1570747290611</t>
  </si>
  <si>
    <t>-LqrpQ5hUPsc_EfoL7WA</t>
  </si>
  <si>
    <t>1570747296801</t>
  </si>
  <si>
    <t>-LqrpRom5Z_LIpDLWKb8</t>
  </si>
  <si>
    <t>1570747304016</t>
  </si>
  <si>
    <t>-LqrpTKHNTqbvNc4ce_V</t>
  </si>
  <si>
    <t>1570747310143</t>
  </si>
  <si>
    <t>-LqrpUrjzhuKLpjgTkys</t>
  </si>
  <si>
    <t>1570747316383</t>
  </si>
  <si>
    <t>-LqrpW_h99Zh5Uy66Af-</t>
  </si>
  <si>
    <t>1570747323573</t>
  </si>
  <si>
    <t>-LqrpY9p0sVsCZSSijgT</t>
  </si>
  <si>
    <t>1570747329771</t>
  </si>
  <si>
    <t>-LqrpZpJPqg1DnaLvp-B</t>
  </si>
  <si>
    <t>1570747336993</t>
  </si>
  <si>
    <t>-LqrpaLevvZuPPofMFxI</t>
  </si>
  <si>
    <t>1570747343172</t>
  </si>
  <si>
    <t>-LqrpbsSPTkTK4-UHgSq</t>
  </si>
  <si>
    <t>1570747349333</t>
  </si>
  <si>
    <t>-LqrpdMQOnHKhfJ92eHH</t>
  </si>
  <si>
    <t>1570747355537</t>
  </si>
  <si>
    <t>-Lqrpf6olj4E_RDOxKUt</t>
  </si>
  <si>
    <t>1570747362716</t>
  </si>
  <si>
    <t>-LqrpggyfJ_DZBNlxArI</t>
  </si>
  <si>
    <t>1570747368933</t>
  </si>
  <si>
    <t>-LqrpiWa_neRTvwUcknb</t>
  </si>
  <si>
    <t>1570747376153</t>
  </si>
  <si>
    <t>-LqrpkGj-70be-AVdLu5</t>
  </si>
  <si>
    <t>1570747383359</t>
  </si>
  <si>
    <t>-LqrplzspPTEyRmu0pmK</t>
  </si>
  <si>
    <t>1570747390573</t>
  </si>
  <si>
    <t>-LqrpngmkZp1b6Xbzrny</t>
  </si>
  <si>
    <t>1570747397783</t>
  </si>
  <si>
    <t>-LqrppCuIhFEp3QYjakV</t>
  </si>
  <si>
    <t>1570747403963</t>
  </si>
  <si>
    <t>-LqrpqluuugQBGYDA5QY</t>
  </si>
  <si>
    <t>1570747410143</t>
  </si>
  <si>
    <t>-LqrpsRWja3QSmDR2cuO</t>
  </si>
  <si>
    <t>1570747417333</t>
  </si>
  <si>
    <t>-Lqrpu1erboQwHXp2EbT</t>
  </si>
  <si>
    <t>1570747423543</t>
  </si>
  <si>
    <t>-Lqrpvlpnk7EHdlq0XHE</t>
  </si>
  <si>
    <t>1570747430752</t>
  </si>
  <si>
    <t>-LqrpxEn2wlow4wrByqY</t>
  </si>
  <si>
    <t>1570747436932</t>
  </si>
  <si>
    <t>-LqrpynjjWagGJk5p9yy</t>
  </si>
  <si>
    <t>1570747443113</t>
  </si>
  <si>
    <t>-Lqrq-WnNMpS6U8hHGng</t>
  </si>
  <si>
    <t>1570747450297</t>
  </si>
  <si>
    <t>-Lqrq1Ih6PYSMRw2fMyu</t>
  </si>
  <si>
    <t>1570747457542</t>
  </si>
  <si>
    <t>-Lqrq2mmo8baFSrt2MFj</t>
  </si>
  <si>
    <t>1570747463732</t>
  </si>
  <si>
    <t>-Lqrq4wdzGqFvKud2JSr</t>
  </si>
  <si>
    <t>1570747470931</t>
  </si>
  <si>
    <t>-Lqrq6YvRPXztemEAtWh</t>
  </si>
  <si>
    <t>1570747479187</t>
  </si>
  <si>
    <t>-Lqrq8IkgAqc2-xA_yEC</t>
  </si>
  <si>
    <t>1570747485365</t>
  </si>
  <si>
    <t>-Lqrq9pjL2S6XFIF7qYW</t>
  </si>
  <si>
    <t>1570747492546</t>
  </si>
  <si>
    <t>-LqrqBOyWiX5bqP72Nu8</t>
  </si>
  <si>
    <t>1570747498762</t>
  </si>
  <si>
    <t>-LqrqD6ka9d0GOtuYZAb</t>
  </si>
  <si>
    <t>1570747505974</t>
  </si>
  <si>
    <t>-LqrqEf_Dfr_7wyRUd2j</t>
  </si>
  <si>
    <t>1570747512161</t>
  </si>
  <si>
    <t>-LqrqGNZtA3Uk15iciWJ</t>
  </si>
  <si>
    <t>1570747519373</t>
  </si>
  <si>
    <t>-LqrqHsZJIFitAdJ-tK1</t>
  </si>
  <si>
    <t>1570747525552</t>
  </si>
  <si>
    <t>-LqrqJRlrIyJ5c3ggyO-</t>
  </si>
  <si>
    <t>1570747531729</t>
  </si>
  <si>
    <t>-LqrqL7ZNElnWkkNbbjv</t>
  </si>
  <si>
    <t>1570747538939</t>
  </si>
  <si>
    <t>-LqrqMcZCd5p1Qtre4yy</t>
  </si>
  <si>
    <t>1570747545096</t>
  </si>
  <si>
    <t>-LqrqODq6bcoA10nDXUG</t>
  </si>
  <si>
    <t>1570747551309</t>
  </si>
  <si>
    <t>-LqrqPuX18nnpaI7-Ih9</t>
  </si>
  <si>
    <t>1570747558523</t>
  </si>
  <si>
    <t>-LqrqRVtLAm44L0EltjR</t>
  </si>
  <si>
    <t>1570747564693</t>
  </si>
  <si>
    <t>-LqrqTADLLRuhV22oNhw</t>
  </si>
  <si>
    <t>1570747571893</t>
  </si>
  <si>
    <t>-LqrqUmD2nUD64ltv-pk</t>
  </si>
  <si>
    <t>1570747578093</t>
  </si>
  <si>
    <t>-LqrqWSE63YD8NwqEfoS</t>
  </si>
  <si>
    <t>1570747585317</t>
  </si>
  <si>
    <t>-LqrqXzV3PLDqi7QpR2E</t>
  </si>
  <si>
    <t>1570747591489</t>
  </si>
  <si>
    <t>-LqrqZqsF9TyQZ8W9ZPa</t>
  </si>
  <si>
    <t>1570747597676</t>
  </si>
  <si>
    <t>-Lqrqaa6pv62wv1W4ptr</t>
  </si>
  <si>
    <t>1570747605917</t>
  </si>
  <si>
    <t>-LqrqcHnQyY8RmiC6m9u</t>
  </si>
  <si>
    <t>1570747613128</t>
  </si>
  <si>
    <t>-LqrqdlelWQoTJi75UxQ</t>
  </si>
  <si>
    <t>1570747619262</t>
  </si>
  <si>
    <t>-LqrqfKMegs3Z7IbOQ2u</t>
  </si>
  <si>
    <t>1570747625484</t>
  </si>
  <si>
    <t>-Lqrqh2fwuS-Qqnyqdzn</t>
  </si>
  <si>
    <t>1570747632703</t>
  </si>
  <si>
    <t>-Lqrqibf9mYM_MzzRr-0</t>
  </si>
  <si>
    <t>1570747638887</t>
  </si>
  <si>
    <t>-LqrqkKfhBvS9RVHY_m2</t>
  </si>
  <si>
    <t>1570747646093</t>
  </si>
  <si>
    <t>-LqrqlnbgB34mMD4SYFx</t>
  </si>
  <si>
    <t>1570747652297</t>
  </si>
  <si>
    <t>-LqrqnYq5UZZZueYjeLk</t>
  </si>
  <si>
    <t>1570747659497</t>
  </si>
  <si>
    <t>-Lqrqp5iyRU72OXX6VRX</t>
  </si>
  <si>
    <t>1570747665662</t>
  </si>
  <si>
    <t>-LqrqqfpPHpj9NzWKMEf</t>
  </si>
  <si>
    <t>1570747671863</t>
  </si>
  <si>
    <t>-LqrqsNnefYTgBuoA6Rf</t>
  </si>
  <si>
    <t>1570747679062</t>
  </si>
  <si>
    <t>-LqrqtrveMOYbwaeOLKq</t>
  </si>
  <si>
    <t>1570747685249</t>
  </si>
  <si>
    <t>-LqrqvRSh2hUkGbmRNjz</t>
  </si>
  <si>
    <t>1570747691429</t>
  </si>
  <si>
    <t>-LqrqxSn-aXpJLhlE3r0</t>
  </si>
  <si>
    <t>1570747699921</t>
  </si>
  <si>
    <t>-LqrqzAZPPW7EO4Iyv_R</t>
  </si>
  <si>
    <t>1570747706882</t>
  </si>
  <si>
    <t>-Lqrr-dn_OVKjy4vEi64</t>
  </si>
  <si>
    <t>1570747713077</t>
  </si>
  <si>
    <t>-Lqrr1hKGvLTpQv8rjYF</t>
  </si>
  <si>
    <t>1570747719249</t>
  </si>
  <si>
    <t>-Lqrr3TUcx9NXHKU8qz0</t>
  </si>
  <si>
    <t>1570747728517</t>
  </si>
  <si>
    <t>-Lqrr4v4_PiRfQObni4s</t>
  </si>
  <si>
    <t>1570747734706</t>
  </si>
  <si>
    <t>-Lqrr6bZaYCn7ITbBG-z</t>
  </si>
  <si>
    <t>1570747740853</t>
  </si>
  <si>
    <t>-Lqrr8EZIGKI-cvhx4zG</t>
  </si>
  <si>
    <t>1570747748102</t>
  </si>
  <si>
    <t>-Lqrr9jdxCBSPdcXhJ0P</t>
  </si>
  <si>
    <t>1570747754286</t>
  </si>
  <si>
    <t>-LqrrBIhp0a5foBtPher</t>
  </si>
  <si>
    <t>1570747760486</t>
  </si>
  <si>
    <t>-LqrrD0lhtScfxXi_Ura</t>
  </si>
  <si>
    <t>1570747767681</t>
  </si>
  <si>
    <t>-LqrrEVlESIAFCcS63n-</t>
  </si>
  <si>
    <t>1570747773824</t>
  </si>
  <si>
    <t>-LqrrG2YqNOuADaawkmL</t>
  </si>
  <si>
    <t>1570747780032</t>
  </si>
  <si>
    <t>-LqrrHXUB_C5FMl4i3TG</t>
  </si>
  <si>
    <t>1570747786242</t>
  </si>
  <si>
    <t>-LqrrJ1mIOkQlkn8rfc6</t>
  </si>
  <si>
    <t>1570747792381</t>
  </si>
  <si>
    <t>-LqrrKWk52M0EF-HnRnV</t>
  </si>
  <si>
    <t>1570747798584</t>
  </si>
  <si>
    <t>-LqrrM0xzC-Z85DOKxki</t>
  </si>
  <si>
    <t>1570747804733</t>
  </si>
  <si>
    <t>-LqrrNZZKqfdhLXZiJar</t>
  </si>
  <si>
    <t>1570747811006</t>
  </si>
  <si>
    <t>-LqrrP6asVJ0roTya_7g</t>
  </si>
  <si>
    <t>1570747817135</t>
  </si>
  <si>
    <t>-LqrrQq_myRr1avTo7JO</t>
  </si>
  <si>
    <t>1570747824338</t>
  </si>
  <si>
    <t>-LqrrSKn3u-VL6YmHI49</t>
  </si>
  <si>
    <t>1570747830511</t>
  </si>
  <si>
    <t>-LqrrTv4MuECILdMc7Zc</t>
  </si>
  <si>
    <t>1570747836710</t>
  </si>
  <si>
    <t>-LqrrVbtOk0xEZQF_PF0</t>
  </si>
  <si>
    <t>1570747843892</t>
  </si>
  <si>
    <t>-LqrrXANYkuT1P7fLHDI</t>
  </si>
  <si>
    <t>1570747850093</t>
  </si>
  <si>
    <t>-LqrrYuIhP-oErNaV-Yu</t>
  </si>
  <si>
    <t>1570747857313</t>
  </si>
  <si>
    <t>-Lqrr_bUsDSXr0do_x_C</t>
  </si>
  <si>
    <t>1570747864525</t>
  </si>
  <si>
    <t>-LqrrbAqVFjng2X1dKUE</t>
  </si>
  <si>
    <t>1570747870710</t>
  </si>
  <si>
    <t>-LqrrcbzxRSXSm6P0ZrU</t>
  </si>
  <si>
    <t>1570747876861</t>
  </si>
  <si>
    <t>-LqrreCy6F86T0qjh2gu</t>
  </si>
  <si>
    <t>1570747883068</t>
  </si>
  <si>
    <t>-LqrrfdqWTTZ6m-lbW03</t>
  </si>
  <si>
    <t>1570747889254</t>
  </si>
  <si>
    <t>-Lqrrh9MVrooi1I4Xn1Y</t>
  </si>
  <si>
    <t>1570747895420</t>
  </si>
  <si>
    <t>-LqrrikemkcmoZfKxoK1</t>
  </si>
  <si>
    <t>1570747901621</t>
  </si>
  <si>
    <t>-LqrrkThXg8OZ9H40Vvo</t>
  </si>
  <si>
    <t>1570747908836</t>
  </si>
  <si>
    <t>-LqrrqKjVMbcvuAVs87K</t>
  </si>
  <si>
    <t>1570747932810</t>
  </si>
  <si>
    <t>-LqrrroxpMF4-0BVH9Ac</t>
  </si>
  <si>
    <t>1570747938943</t>
  </si>
  <si>
    <t>-LqrrtOVRm5VZsjLihpq</t>
  </si>
  <si>
    <t>1570747945128</t>
  </si>
  <si>
    <t>-Lqrrv4d_xybkAQGhDwE</t>
  </si>
  <si>
    <t>1570747952343</t>
  </si>
  <si>
    <t>-Lqrrwv61eucPNv8RJ4g</t>
  </si>
  <si>
    <t>1570747959554</t>
  </si>
  <si>
    <t>-LqrrydzQEVPT8IHGlvE</t>
  </si>
  <si>
    <t>1570747966763</t>
  </si>
  <si>
    <t>-Lqrs-PjDhvB9QXJxBTQ</t>
  </si>
  <si>
    <t>1570747973968</t>
  </si>
  <si>
    <t>-Lqrs17nm2Tx8DHQ0N8c</t>
  </si>
  <si>
    <t>1570747981182</t>
  </si>
  <si>
    <t>-Lqrs2gLa5iTU0UnERLv</t>
  </si>
  <si>
    <t>1570747987367</t>
  </si>
  <si>
    <t>-Lqrs4ZjJfrTK1EtLiUV</t>
  </si>
  <si>
    <t>1570747994575</t>
  </si>
  <si>
    <t>-Lqrs6BR3M5aTeZOMTKl</t>
  </si>
  <si>
    <t>1570748001789</t>
  </si>
  <si>
    <t>-Lqrs7go5RIAU_LIUMOO</t>
  </si>
  <si>
    <t>1570748007984</t>
  </si>
  <si>
    <t>-Lqrs9TYp3flddiqhUbn</t>
  </si>
  <si>
    <t>1570748015189</t>
  </si>
  <si>
    <t>-LqrsBCneete0DHNVosH</t>
  </si>
  <si>
    <t>1570748022400</t>
  </si>
  <si>
    <t>-LqrsCgDwhiwxl-ghImA</t>
  </si>
  <si>
    <t>1570748028608</t>
  </si>
  <si>
    <t>-LqrsEEhHPvNV0oCsQpV</t>
  </si>
  <si>
    <t>1570748034770</t>
  </si>
  <si>
    <t>-LqrsFyFjoNnlo1YWBcS</t>
  </si>
  <si>
    <t>1570748041975</t>
  </si>
  <si>
    <t>-LqrsI-yaeJUYbIBKHVt</t>
  </si>
  <si>
    <t>1570748049202</t>
  </si>
  <si>
    <t>-LqrsJnibnAvELDHTKA8</t>
  </si>
  <si>
    <t>1570748057435</t>
  </si>
  <si>
    <t>-LqrsLXO7r9U7NLgOtbG</t>
  </si>
  <si>
    <t>1570748064658</t>
  </si>
  <si>
    <t>-LqrsN19OvrlSZBj8Sub</t>
  </si>
  <si>
    <t>1570748070787</t>
  </si>
  <si>
    <t>-LqrsOZyrC4LpV8Z5b38</t>
  </si>
  <si>
    <t>1570748077023</t>
  </si>
  <si>
    <t>-LqrsQGcgailthv-HZQe</t>
  </si>
  <si>
    <t>1570748084230</t>
  </si>
  <si>
    <t>-LqrsSDBQXSXssa1LhF-</t>
  </si>
  <si>
    <t>1570748091446</t>
  </si>
  <si>
    <t>-LqrsTnjBBGb8QY9zIsP</t>
  </si>
  <si>
    <t>1570748098628</t>
  </si>
  <si>
    <t>-LqrsVLbveDpz0N0YnF-</t>
  </si>
  <si>
    <t>1570748104824</t>
  </si>
  <si>
    <t>-LqrsX6BH24s6TyZjVlm</t>
  </si>
  <si>
    <t>1570748112065</t>
  </si>
  <si>
    <t>-LqrsYscZFTXI6wcdWhU</t>
  </si>
  <si>
    <t>1570748119298</t>
  </si>
  <si>
    <t>-Lqrs_Zcld210n-jFc-D</t>
  </si>
  <si>
    <t>1570748126455</t>
  </si>
  <si>
    <t>-Lqrsb8oRl7PHDozyBZO</t>
  </si>
  <si>
    <t>1570748132657</t>
  </si>
  <si>
    <t>-Lqrsct2XyaVE6rmw4Jk</t>
  </si>
  <si>
    <t>1570748139867</t>
  </si>
  <si>
    <t>-LqrseeVJE3NojvO_XZN</t>
  </si>
  <si>
    <t>1570748147082</t>
  </si>
  <si>
    <t>-LqrsgMGxVclFLHcKu1Q</t>
  </si>
  <si>
    <t>1570748154295</t>
  </si>
  <si>
    <t>-LqrsiFegYxFvAKTBSl3</t>
  </si>
  <si>
    <t>1570748160477</t>
  </si>
  <si>
    <t>-LqrsjufyyCAShcXjFL7</t>
  </si>
  <si>
    <t>1570748168701</t>
  </si>
  <si>
    <t>-LqrslSNIokh9kSy8eJb</t>
  </si>
  <si>
    <t>1570748174899</t>
  </si>
  <si>
    <t>-LqrsnAYkSJhKDxISBbL</t>
  </si>
  <si>
    <t>1570748181059</t>
  </si>
  <si>
    <t>-LqrsoySVpwkkgV-rW9T</t>
  </si>
  <si>
    <t>1570748189320</t>
  </si>
  <si>
    <t>-LqrsqfBfujlBzW-Zh_7</t>
  </si>
  <si>
    <t>1570748196538</t>
  </si>
  <si>
    <t>-LqrssFQ-iQAAR1BvXux</t>
  </si>
  <si>
    <t>1570748202714</t>
  </si>
  <si>
    <t>-LqrstyZmnO0b5Zn3RRC</t>
  </si>
  <si>
    <t>1570748209925</t>
  </si>
  <si>
    <t>-LqrsvSjxfspSDuz4uUZ</t>
  </si>
  <si>
    <t>1570748216119</t>
  </si>
  <si>
    <t>-LqrsxPgr6nyafcWlhYk</t>
  </si>
  <si>
    <t>1570748224104</t>
  </si>
  <si>
    <t>-Lqrsyym_LSXdBEHU52V</t>
  </si>
  <si>
    <t>1570748230524</t>
  </si>
  <si>
    <t>-Lqrt-Zqz0qK4PYa0162</t>
  </si>
  <si>
    <t>1570748236717</t>
  </si>
  <si>
    <t>-Lqrt1H2kr7jzm9bnr_d</t>
  </si>
  <si>
    <t>1570748243895</t>
  </si>
  <si>
    <t>-Lqrt2pnM8rXBTGeIYhJ</t>
  </si>
  <si>
    <t>1570748250106</t>
  </si>
  <si>
    <t>-Lqrt4e7Ul6yt7afXG48</t>
  </si>
  <si>
    <t>1570748257315</t>
  </si>
  <si>
    <t>-Lqrt6u8Ps1n46h6gsNS</t>
  </si>
  <si>
    <t>1570748264493</t>
  </si>
  <si>
    <t>-Lqrt8beoPClJyEVy86J</t>
  </si>
  <si>
    <t>1570748273803</t>
  </si>
  <si>
    <t>-LqrtAKgcr8TiExUa540</t>
  </si>
  <si>
    <t>1570748281015</t>
  </si>
  <si>
    <t>-LqrtBou9eH40dzrjnm9</t>
  </si>
  <si>
    <t>1570748287200</t>
  </si>
  <si>
    <t>-LqrtDN_tyr-VOg9PlAb</t>
  </si>
  <si>
    <t>1570748293379</t>
  </si>
  <si>
    <t>-LqrtEp3OGL7xG8OLXPp</t>
  </si>
  <si>
    <t>1570748299582</t>
  </si>
  <si>
    <t>-LqrtGQnbdznfoe_tSIs</t>
  </si>
  <si>
    <t>1570748305753</t>
  </si>
  <si>
    <t>-LqrtI8gkRhrCMJOtN4N</t>
  </si>
  <si>
    <t>1570748312955</t>
  </si>
  <si>
    <t>-LqrtJcn1PonLvqM2CSJ</t>
  </si>
  <si>
    <t>1570748319105</t>
  </si>
  <si>
    <t>-LqrtLQf8J7zMqVLIQ75</t>
  </si>
  <si>
    <t>1570748326355</t>
  </si>
  <si>
    <t>-LqrtMsZZWY6h2I0AOso</t>
  </si>
  <si>
    <t>1570748332533</t>
  </si>
  <si>
    <t>-LqrtOTeWDeeJlFprTVm</t>
  </si>
  <si>
    <t>1570748338713</t>
  </si>
  <si>
    <t>-LqrtQ95S4KmZgHWsRrM</t>
  </si>
  <si>
    <t>1570748345929</t>
  </si>
  <si>
    <t>-LqrtRyMkS63CXunDYqQ</t>
  </si>
  <si>
    <t>1570748352125</t>
  </si>
  <si>
    <t>-LqrtThroFNA8Qya35wD</t>
  </si>
  <si>
    <t>1570748360354</t>
  </si>
  <si>
    <t>-LqrtVVn65SwUOwu_WwP</t>
  </si>
  <si>
    <t>1570748367568</t>
  </si>
  <si>
    <t>-LqrtXCSL5_jdcSNRr9e</t>
  </si>
  <si>
    <t>1570748374782</t>
  </si>
  <si>
    <t>-LqrtYml1ELGARKlX-3K</t>
  </si>
  <si>
    <t>1570748380965</t>
  </si>
  <si>
    <t>-Lqrt_qFaXGkEklmDnnO</t>
  </si>
  <si>
    <t>1570748388175</t>
  </si>
  <si>
    <t>-LqrtbTsGf-YVFDIAskF</t>
  </si>
  <si>
    <t>1570748396417</t>
  </si>
  <si>
    <t>-Lqrtd0fMWRT00L-JRv_</t>
  </si>
  <si>
    <t>1570748402613</t>
  </si>
  <si>
    <t>-LqrteWgvAsp4eKQwJho</t>
  </si>
  <si>
    <t>1570748408785</t>
  </si>
  <si>
    <t>-Lqrtg4z21iVoCqiZDF3</t>
  </si>
  <si>
    <t>1570748414962</t>
  </si>
  <si>
    <t>-Lqrtho26SeC0HqQhhBZ</t>
  </si>
  <si>
    <t>1570748422145</t>
  </si>
  <si>
    <t>-LqrtjLkllS1Bd1dm8fL</t>
  </si>
  <si>
    <t>1570748428358</t>
  </si>
  <si>
    <t>-LqrtlFb2CaKYcG-_48t</t>
  </si>
  <si>
    <t>1570748435574</t>
  </si>
  <si>
    <t>-Lqrtmro-s6ovSgemFe_</t>
  </si>
  <si>
    <t>1570748442783</t>
  </si>
  <si>
    <t>-LqrtoaqdZ_MKw3Pe13Q</t>
  </si>
  <si>
    <t>1570748449973</t>
  </si>
  <si>
    <t>-Lqrtq8fH2pWKo2Ju6IL</t>
  </si>
  <si>
    <t>1570748456178</t>
  </si>
  <si>
    <t>-LqrtrrZ9BUnIL9Kp4Dj</t>
  </si>
  <si>
    <t>1570748463387</t>
  </si>
  <si>
    <t>-LqrttLotpLIcKdmH84N</t>
  </si>
  <si>
    <t>1570748469574</t>
  </si>
  <si>
    <t>-LqrtuufncYFWH7LCkcP</t>
  </si>
  <si>
    <t>1570748475752</t>
  </si>
  <si>
    <t>-LqrtwPyCp-aDYm4Ugov</t>
  </si>
  <si>
    <t>1570748481932</t>
  </si>
  <si>
    <t>-LqrtxsjcDtZw2-A-cjf</t>
  </si>
  <si>
    <t>1570748488063</t>
  </si>
  <si>
    <t>-LqrtzfeS-oz_ZBYML_T</t>
  </si>
  <si>
    <t>1570748495335</t>
  </si>
  <si>
    <t>-Lqru09lz131WdIR6iCr</t>
  </si>
  <si>
    <t>1570748501494</t>
  </si>
  <si>
    <t>-Lqru1hf4Pfn_cKpqCd3</t>
  </si>
  <si>
    <t>1570748507698</t>
  </si>
  <si>
    <t>-Lqru3Q_IpaTY4vTXGab</t>
  </si>
  <si>
    <t>1570748514915</t>
  </si>
  <si>
    <t>-Lqru4wocCRaE56II96Q</t>
  </si>
  <si>
    <t>1570748521094</t>
  </si>
  <si>
    <t>-Lqru6UdZ9byODxemIyB</t>
  </si>
  <si>
    <t>1570748527267</t>
  </si>
  <si>
    <t>-Lqru7xkQnMsRhss7iAw</t>
  </si>
  <si>
    <t>1570748533452</t>
  </si>
  <si>
    <t>-Lqru9goK75UsRn0icTR</t>
  </si>
  <si>
    <t>1570748540671</t>
  </si>
  <si>
    <t>-LqruBFnTKzrmiX8bLri</t>
  </si>
  <si>
    <t>1570748546853</t>
  </si>
  <si>
    <t>-LqruCyjSxp-FYmcqAAO</t>
  </si>
  <si>
    <t>1570748554059</t>
  </si>
  <si>
    <t>-LqruEgl1KFLIjsQi-1S</t>
  </si>
  <si>
    <t>1570748561055</t>
  </si>
  <si>
    <t>-LqruGFvUbuNtEQf-iYO</t>
  </si>
  <si>
    <t>1570748567423</t>
  </si>
  <si>
    <t>-LqruHnZrR8cC-6WtTs3</t>
  </si>
  <si>
    <t>1570748573639</t>
  </si>
  <si>
    <t>-LqruJXie9xBg4qic5t_</t>
  </si>
  <si>
    <t>1570748580853</t>
  </si>
  <si>
    <t>-LqruL5yPE4OvGunhHj8</t>
  </si>
  <si>
    <t>1570748587042</t>
  </si>
  <si>
    <t>-LqruMnP2Z_q5uJVRnxg</t>
  </si>
  <si>
    <t>1570748594244</t>
  </si>
  <si>
    <t>-LqruOIG_M3mtGyoKmu-</t>
  </si>
  <si>
    <t>1570748600434</t>
  </si>
  <si>
    <t>-LqruPuuIWFc83xsJnZM</t>
  </si>
  <si>
    <t>1570748606573</t>
  </si>
  <si>
    <t>-LqruRtmLbsZTXlt7Qn8</t>
  </si>
  <si>
    <t>1570748615128</t>
  </si>
  <si>
    <t>-LqruTYlMvNwtLbIjU1T</t>
  </si>
  <si>
    <t>1570748622055</t>
  </si>
  <si>
    <t>-LqruV4V3MBmkIIVhhO4</t>
  </si>
  <si>
    <t>1570748628211</t>
  </si>
  <si>
    <t>-LqruWeg_e7sIXlpWA30</t>
  </si>
  <si>
    <t>1570748634419</t>
  </si>
  <si>
    <t>-LqruYMRFKZUgNzkvRQW</t>
  </si>
  <si>
    <t>1570748641635</t>
  </si>
  <si>
    <t>-LqruZriL0rPPzzvWNb_</t>
  </si>
  <si>
    <t>1570748647809</t>
  </si>
  <si>
    <t>-LqruaParIdEFgEqs9qB</t>
  </si>
  <si>
    <t>1570748653995</t>
  </si>
  <si>
    <t>-LqrubueB6PUonXOhgbf</t>
  </si>
  <si>
    <t>1570748660175</t>
  </si>
  <si>
    <t>-LqrudOgiGB_S5J3ILAY</t>
  </si>
  <si>
    <t>1570748666340</t>
  </si>
  <si>
    <t>-Lqruf7k0emPqD0hCZWf</t>
  </si>
  <si>
    <t>1570748673575</t>
  </si>
  <si>
    <t>-LqrugfbHowbelwdMpik</t>
  </si>
  <si>
    <t>1570748679731</t>
  </si>
  <si>
    <t>-Lqrui9figysRzkXzwWG</t>
  </si>
  <si>
    <t>1570748685945</t>
  </si>
  <si>
    <t>-LqrujhVsoSyr-ofh5BD</t>
  </si>
  <si>
    <t>1570748692124</t>
  </si>
  <si>
    <t>-LqrulA0cRI2za8Tj-5_</t>
  </si>
  <si>
    <t>1570748698291</t>
  </si>
  <si>
    <t>-Lqrummvc0aR2P2NR4K7</t>
  </si>
  <si>
    <t>1570748704489</t>
  </si>
  <si>
    <t>-Lqruoj7aH-0DPEyg3je</t>
  </si>
  <si>
    <t>1570748711705</t>
  </si>
  <si>
    <t>-LqruqHf5le8j2RLsQ9b</t>
  </si>
  <si>
    <t>1570748718914</t>
  </si>
  <si>
    <t>-Lqrus-fCvyTxxY6R7_j</t>
  </si>
  <si>
    <t>1570748726129</t>
  </si>
  <si>
    <t>-LqrutYOvkjpscgzdhwM</t>
  </si>
  <si>
    <t>1570748732316</t>
  </si>
  <si>
    <t>-Lqruuzlyk0dwaoINx8b</t>
  </si>
  <si>
    <t>1570748738490</t>
  </si>
  <si>
    <t>-LqruwXgbhW0fxHQJ5Cb</t>
  </si>
  <si>
    <t>1570748744690</t>
  </si>
  <si>
    <t>-Lqruy7-4UNfWL0xxfz0</t>
  </si>
  <si>
    <t>1570748750879</t>
  </si>
  <si>
    <t>-LqruzpYHbvVXrbykfbr</t>
  </si>
  <si>
    <t>1570748758070</t>
  </si>
  <si>
    <t>-Lqrv0VBFhiYG5_iukAK</t>
  </si>
  <si>
    <t>1570748764225</t>
  </si>
  <si>
    <t>-Lqrv24Phb3reqzAFAxQ</t>
  </si>
  <si>
    <t>1570748771469</t>
  </si>
  <si>
    <t>-Lqrv3_jMMmV2XelzGYq</t>
  </si>
  <si>
    <t>1570748777651</t>
  </si>
  <si>
    <t>-Lqrv58gC-W3i75PcTNz</t>
  </si>
  <si>
    <t>1570748783845</t>
  </si>
  <si>
    <t>-Lqrv6rXdab11AL5Nut1</t>
  </si>
  <si>
    <t>1570748791043</t>
  </si>
  <si>
    <t>-Lqrv8KFVY6gqlB2NhNj</t>
  </si>
  <si>
    <t>1570748797241</t>
  </si>
  <si>
    <t>-Lqrv9pfooRKRgxoXe20</t>
  </si>
  <si>
    <t>1570748803410</t>
  </si>
  <si>
    <t>-LqrvBOVpMmByPq5Cyfz</t>
  </si>
  <si>
    <t>1570748809591</t>
  </si>
  <si>
    <t>-LqrvDBk10PyL_AYw3_x</t>
  </si>
  <si>
    <t>1570748815741</t>
  </si>
  <si>
    <t>-LqrvEtRiwYkrMzYWJei</t>
  </si>
  <si>
    <t>1570748824019</t>
  </si>
  <si>
    <t>-LqrvGfUN6w_2MJ4o4mS</t>
  </si>
  <si>
    <t>1570748830173</t>
  </si>
  <si>
    <t>-LqrvIQmcTbBP1McNVz1</t>
  </si>
  <si>
    <t>1570748838450</t>
  </si>
  <si>
    <t>-LqrvJtNTpqoM8m0zNxl</t>
  </si>
  <si>
    <t>1570748844620</t>
  </si>
  <si>
    <t>-LqrvLSSnD4zcu8NPTHx</t>
  </si>
  <si>
    <t>1570748850805</t>
  </si>
  <si>
    <t>-LqrvMwRAJtuAqoZ7eku</t>
  </si>
  <si>
    <t>1570748856986</t>
  </si>
  <si>
    <t>-LqrvORcht9jmNNBQlAu</t>
  </si>
  <si>
    <t>1570748863167</t>
  </si>
  <si>
    <t>-LqrvQ2ByjJCaC6irLDm</t>
  </si>
  <si>
    <t>1570748869331</t>
  </si>
  <si>
    <t>-LqrvRiilxNx0JCF4uq3</t>
  </si>
  <si>
    <t>1570748876530</t>
  </si>
  <si>
    <t>-LqrvTInALTfgZ2bvref</t>
  </si>
  <si>
    <t>1570748882740</t>
  </si>
  <si>
    <t>-LqrvV-bekL5f46XYcyQ</t>
  </si>
  <si>
    <t>1570748889956</t>
  </si>
  <si>
    <t>-LqrvWZnyI97GhTvTaaB</t>
  </si>
  <si>
    <t>1570748896171</t>
  </si>
  <si>
    <t>-LqrvYHuNWS85R_zcZci</t>
  </si>
  <si>
    <t>1570748903351</t>
  </si>
  <si>
    <t>-Lqrv_3SGUHKYOIHaG9s</t>
  </si>
  <si>
    <t>1570748910560</t>
  </si>
  <si>
    <t>-LqrvaYgeNj5SVdIJZ21</t>
  </si>
  <si>
    <t>1570748916708</t>
  </si>
  <si>
    <t>-Lqrvc-jQCF11BN4Gt6w</t>
  </si>
  <si>
    <t>1570748922930</t>
  </si>
  <si>
    <t>-LqrvdXmAyi_e3_wyM0b</t>
  </si>
  <si>
    <t>1570748929095</t>
  </si>
  <si>
    <t>-LqrvfKbz2f72DbaPZQy</t>
  </si>
  <si>
    <t>1570748936302</t>
  </si>
  <si>
    <t>-LqrvgnPsy4L5lfNrBpo</t>
  </si>
  <si>
    <t>1570748942515</t>
  </si>
  <si>
    <t>-LqrviNkAu4fVu9PncCO</t>
  </si>
  <si>
    <t>1570748948680</t>
  </si>
  <si>
    <t>-Lqrvk5ZgPK1K5XlZNee</t>
  </si>
  <si>
    <t>1570748955890</t>
  </si>
  <si>
    <t>-LqrvldXiDZWWHB-ntYU</t>
  </si>
  <si>
    <t>1570748962083</t>
  </si>
  <si>
    <t>-Lqrvn7Smyg2nRYpsGi_</t>
  </si>
  <si>
    <t>1570748968256</t>
  </si>
  <si>
    <t>-LqrvoaLv2PG6Q7x7eva</t>
  </si>
  <si>
    <t>1570748974450</t>
  </si>
  <si>
    <t>-Lqrvq6u19dDVDqTHAxp</t>
  </si>
  <si>
    <t>1570748980591</t>
  </si>
  <si>
    <t>-LqrvreS_2ECwGCuhoNT</t>
  </si>
  <si>
    <t>1570748986796</t>
  </si>
  <si>
    <t>-Lqrvt83wmUopDa6_sGh</t>
  </si>
  <si>
    <t>1570748992985</t>
  </si>
  <si>
    <t>-LqrvudxZqLQ8qufA9Oo</t>
  </si>
  <si>
    <t>1570748999144</t>
  </si>
  <si>
    <t>-LqrvwIo5Vh5IAvFpyyk</t>
  </si>
  <si>
    <t>1570749005375</t>
  </si>
  <si>
    <t>-LqrvxvlOZVN3NM7td8Z</t>
  </si>
  <si>
    <t>1570749012534</t>
  </si>
  <si>
    <t>-LqrvzUdoQiSma9zkgCF</t>
  </si>
  <si>
    <t>1570749018721</t>
  </si>
  <si>
    <t>-Lqrw0D3EXQNw7ruzS5o</t>
  </si>
  <si>
    <t>1570749025953</t>
  </si>
  <si>
    <t>-Lqrw1gfP4agXJifWOP9</t>
  </si>
  <si>
    <t>1570749032114</t>
  </si>
  <si>
    <t>-Lqrw3EW9LwKuHNMOPxf</t>
  </si>
  <si>
    <t>1570749038316</t>
  </si>
  <si>
    <t>-Lqrw9esIfsVlk3eG-4u</t>
  </si>
  <si>
    <t>1570749064645</t>
  </si>
  <si>
    <t>-LqrwBRQ-mN8SKYGRZD2</t>
  </si>
  <si>
    <t>1570749071830</t>
  </si>
  <si>
    <t>-LqrwCwbdOgN3_9TKzuL</t>
  </si>
  <si>
    <t>1570749078009</t>
  </si>
  <si>
    <t>-LqrwEOGPsLme2iLc89Q</t>
  </si>
  <si>
    <t>1570749084210</t>
  </si>
  <si>
    <t>-LqrwG4lb7-S531wMeoC</t>
  </si>
  <si>
    <t>1570749090394</t>
  </si>
  <si>
    <t>-LqrwHhj8Am5YARApeCB</t>
  </si>
  <si>
    <t>1570749097603</t>
  </si>
  <si>
    <t>-LqrwJAWS4AYDhVpKWMh</t>
  </si>
  <si>
    <t>1570749103796</t>
  </si>
  <si>
    <t>-LqrwKzjAFBmuWdtxfB1</t>
  </si>
  <si>
    <t>1570749109973</t>
  </si>
  <si>
    <t>-LqrwMgPhH7R0XgOfvZl</t>
  </si>
  <si>
    <t>1570749118179</t>
  </si>
  <si>
    <t>-LqrwOGWjh4NcvbKaC-c</t>
  </si>
  <si>
    <t>1570749124385</t>
  </si>
  <si>
    <t>-LqrwPjWogncTQpZc4cF</t>
  </si>
  <si>
    <t>1570749130550</t>
  </si>
  <si>
    <t>-LqrwRDWuAXFqvV6opYX</t>
  </si>
  <si>
    <t>1570749136765</t>
  </si>
  <si>
    <t>-LqrwSom2ALa93pKjyg_</t>
  </si>
  <si>
    <t>1570749142930</t>
  </si>
  <si>
    <t>-LqrwUXmSqqIii4jOAME</t>
  </si>
  <si>
    <t>1570749150129</t>
  </si>
  <si>
    <t>-LqrwW4bNxK9d1df85yv</t>
  </si>
  <si>
    <t>1570749156318</t>
  </si>
  <si>
    <t>-LqrwXn_Q9qGMEJ_lf9G</t>
  </si>
  <si>
    <t>1570749163536</t>
  </si>
  <si>
    <t>-LqrwZG_28LpnUZ55-26</t>
  </si>
  <si>
    <t>1570749169685</t>
  </si>
  <si>
    <t>-Lqrw_r55JN0zM138MSr</t>
  </si>
  <si>
    <t>1570749175881</t>
  </si>
  <si>
    <t>-LqrwbfGm562GQFb2Qf2</t>
  </si>
  <si>
    <t>1570749183089</t>
  </si>
  <si>
    <t>-LqrwdMXqk2N2bxg4mJa</t>
  </si>
  <si>
    <t>1570749190325</t>
  </si>
  <si>
    <t>-LqrwepP6-gJkfg0XdCW</t>
  </si>
  <si>
    <t>1570749196480</t>
  </si>
  <si>
    <t>-LqrwgJbVuFx0gUH5j7C</t>
  </si>
  <si>
    <t>1570749202659</t>
  </si>
  <si>
    <t>-Lqrwhs_rd9t-KgKVYfx</t>
  </si>
  <si>
    <t>1570749208870</t>
  </si>
  <si>
    <t>-LqrwjMWOMW3JBBMhXti</t>
  </si>
  <si>
    <t>1570749215061</t>
  </si>
  <si>
    <t>-LqrwkqQcaVhe7YOiFn7</t>
  </si>
  <si>
    <t>1570749221205</t>
  </si>
  <si>
    <t>-LqrwmQk4Ig6AoE6ORU-</t>
  </si>
  <si>
    <t>1570749227419</t>
  </si>
  <si>
    <t>-Lqrwo69mSUjpMbbQjrz</t>
  </si>
  <si>
    <t>1570749234610</t>
  </si>
  <si>
    <t>-Lqrwpim0fHcUozs6cDC</t>
  </si>
  <si>
    <t>1570749240810</t>
  </si>
  <si>
    <t>-LqrwrPohOq6KrSZc7p1</t>
  </si>
  <si>
    <t>1570749248020</t>
  </si>
  <si>
    <t>-Lqrwstc_IPEiv8OeqUG</t>
  </si>
  <si>
    <t>1570749254199</t>
  </si>
  <si>
    <t>-LqrwuTIcfSRuj0WeR-R</t>
  </si>
  <si>
    <t>1570749260384</t>
  </si>
  <si>
    <t>-Lqrwvxr6i6dt7gbjfTQ</t>
  </si>
  <si>
    <t>1570749266552</t>
  </si>
  <si>
    <t>-LqrwxfamciLREzNs4wo</t>
  </si>
  <si>
    <t>1570749273782</t>
  </si>
  <si>
    <t>-LqrwzhhbH0MoXJGq_jH</t>
  </si>
  <si>
    <t>1570749279971</t>
  </si>
  <si>
    <t>-Lqrx0GqEK3K6vISk9A1</t>
  </si>
  <si>
    <t>1570749288217</t>
  </si>
  <si>
    <t>-Lqrx2-tDEJF9b9Q9Wbj</t>
  </si>
  <si>
    <t>1570749295417</t>
  </si>
  <si>
    <t>-Lqrx3YqXUk5IzsS01jS</t>
  </si>
  <si>
    <t>1570749301611</t>
  </si>
  <si>
    <t>-Lqrx5GdSXIeuVqwKQMq</t>
  </si>
  <si>
    <t>1570749308821</t>
  </si>
  <si>
    <t>-Lqrx6kzYbyFANhvANN9</t>
  </si>
  <si>
    <t>1570749314972</t>
  </si>
  <si>
    <t>-Lqrx8KaxcJXgV32UfLa</t>
  </si>
  <si>
    <t>1570749321187</t>
  </si>
  <si>
    <t>-LqrxA1hLvhfjJWhC43J</t>
  </si>
  <si>
    <t>1570749328376</t>
  </si>
  <si>
    <t>-LqrxBaqN9y_u7b0a71X</t>
  </si>
  <si>
    <t>1570749334576</t>
  </si>
  <si>
    <t>-LqrxDJiFrqbpjYbzSow</t>
  </si>
  <si>
    <t>1570749341800</t>
  </si>
  <si>
    <t>-LqrxEo1m8L5YgiEbHW3</t>
  </si>
  <si>
    <t>1570749347979</t>
  </si>
  <si>
    <t>-LqrxGLiJrXPiYyFFXd0</t>
  </si>
  <si>
    <t>1570749354156</t>
  </si>
  <si>
    <t>-LqrxHqsTMCH9aTxrsAc</t>
  </si>
  <si>
    <t>1570749360340</t>
  </si>
  <si>
    <t>-LqrxJKupiOHdixJSajQ</t>
  </si>
  <si>
    <t>1570749366476</t>
  </si>
  <si>
    <t>-LqrxKtmhamkzQkRtggG</t>
  </si>
  <si>
    <t>1570749372704</t>
  </si>
  <si>
    <t>-LqrxM_bmgmKK_favFbT</t>
  </si>
  <si>
    <t>1570749379896</t>
  </si>
  <si>
    <t>-LqrxOAr8BSX10c-bkOm</t>
  </si>
  <si>
    <t>1570749386098</t>
  </si>
  <si>
    <t>-LqrxPrDrr6xDm1C6W7m</t>
  </si>
  <si>
    <t>1570749393312</t>
  </si>
  <si>
    <t>-LqrxRNn7XQ5hOw7OZS9</t>
  </si>
  <si>
    <t>1570749399488</t>
  </si>
  <si>
    <t>-LqrxSwiyUfLBh8lgv2m</t>
  </si>
  <si>
    <t>1570749405672</t>
  </si>
  <si>
    <t>-LqrxUchPgO5Ph_g2kfW</t>
  </si>
  <si>
    <t>1570749412858</t>
  </si>
  <si>
    <t>-LqrxWE0j36cHxtdNQfu</t>
  </si>
  <si>
    <t>1570749419070</t>
  </si>
  <si>
    <t>-LqrxXwi4KWNYh9loqVa</t>
  </si>
  <si>
    <t>1570749426282</t>
  </si>
  <si>
    <t>-LqrxZVpqhiH1s54190l</t>
  </si>
  <si>
    <t>1570749432470</t>
  </si>
  <si>
    <t>-LqrxaDiqyRySQRg3uBz</t>
  </si>
  <si>
    <t>1570749439681</t>
  </si>
  <si>
    <t>-LqrxbhdkeWi29ZXcHYM</t>
  </si>
  <si>
    <t>1570749445822</t>
  </si>
  <si>
    <t>-LqrxdGrQu5dqJ1N8eWx</t>
  </si>
  <si>
    <t>1570749452037</t>
  </si>
  <si>
    <t>-LqrxezhTSG9Sm0FqxIY</t>
  </si>
  <si>
    <t>1570749459258</t>
  </si>
  <si>
    <t>-LqrxgYoOXeFyCrppW5R</t>
  </si>
  <si>
    <t>1570749465432</t>
  </si>
  <si>
    <t>-LqrxiGuZX1wyl8WkBUa</t>
  </si>
  <si>
    <t>1570749472649</t>
  </si>
  <si>
    <t>-Lqrxk3oMDCfjwi6NOpU</t>
  </si>
  <si>
    <t>1570749479858</t>
  </si>
  <si>
    <t>-Lqrxlmr0E_7bpFWz433</t>
  </si>
  <si>
    <t>1570749487076</t>
  </si>
  <si>
    <t>-LqrxnFOA4Nw-qArU1Bo</t>
  </si>
  <si>
    <t>1570749493228</t>
  </si>
  <si>
    <t>-LqrxpAO1xCBxP08-oUI</t>
  </si>
  <si>
    <t>1570749499441</t>
  </si>
  <si>
    <t>-LqrxqreSia1p330FxwE</t>
  </si>
  <si>
    <t>1570749507686</t>
  </si>
  <si>
    <t>-Lqrxs_enUlX6Gr5iUxI</t>
  </si>
  <si>
    <t>1570749514882</t>
  </si>
  <si>
    <t>-Lqrxu4x0hmlCogwETvX</t>
  </si>
  <si>
    <t>1570749521074</t>
  </si>
  <si>
    <t>-LqrxvcoHT5t2PR_OO6J</t>
  </si>
  <si>
    <t>1570749527249</t>
  </si>
  <si>
    <t>-LqrxxLmvdE181jII3yv</t>
  </si>
  <si>
    <t>1570749534453</t>
  </si>
  <si>
    <t>-Lqrxyti8xtlSmOB0a_K</t>
  </si>
  <si>
    <t>1570749540646</t>
  </si>
  <si>
    <t>-Lqry-clnvObPD7LU7Cb</t>
  </si>
  <si>
    <t>1570749547853</t>
  </si>
  <si>
    <t>-Lqry15TF6v0wxHbT84p</t>
  </si>
  <si>
    <t>1570749554049</t>
  </si>
  <si>
    <t>-Lqry2fm5EqnlcCn8I8P</t>
  </si>
  <si>
    <t>1570749560226</t>
  </si>
  <si>
    <t>-Lqry4Ol2JVkYSqa9Ikc</t>
  </si>
  <si>
    <t>1570749567414</t>
  </si>
  <si>
    <t>-Lqry5xadRkTZqx9vfmn</t>
  </si>
  <si>
    <t>1570749573616</t>
  </si>
  <si>
    <t>-Lqry7fsjVS_MPyHQwmz</t>
  </si>
  <si>
    <t>1570749580824</t>
  </si>
  <si>
    <t>-Lqry99fZJYAJDpKsupJ</t>
  </si>
  <si>
    <t>1570749586997</t>
  </si>
  <si>
    <t>-LqryAigmfgGGDKF5Q_c</t>
  </si>
  <si>
    <t>1570749593197</t>
  </si>
  <si>
    <t>-LqryCRdwGtfJm8ZXkeV</t>
  </si>
  <si>
    <t>1570749600397</t>
  </si>
  <si>
    <t>-LqryE-wL5F9YE32PJrp</t>
  </si>
  <si>
    <t>1570749606574</t>
  </si>
  <si>
    <t>-LqryFhZ_hHrJSix9NDg</t>
  </si>
  <si>
    <t>1570749613794</t>
  </si>
  <si>
    <t>-LqryHGZarQ4uXV-qGVg</t>
  </si>
  <si>
    <t>1570749620009</t>
  </si>
  <si>
    <t>-LqryJ-lELc6Vw9YiBS5</t>
  </si>
  <si>
    <t>1570749627182</t>
  </si>
  <si>
    <t>-LqryKVXMv0p79NQbwuY</t>
  </si>
  <si>
    <t>1570749633332</t>
  </si>
  <si>
    <t>-LqryM2dhEk-5o90qIY5</t>
  </si>
  <si>
    <t>1570749639549</t>
  </si>
  <si>
    <t>-LqryNlnMNKZUBM4cnNI</t>
  </si>
  <si>
    <t>1570749646772</t>
  </si>
  <si>
    <t>-LqryPEK_h35utBlDBq-</t>
  </si>
  <si>
    <t>1570749652942</t>
  </si>
  <si>
    <t>-LqryQjnTMFxbVK19w3p</t>
  </si>
  <si>
    <t>1570749659095</t>
  </si>
  <si>
    <t>-LqrySIg82XzPXE5_nnE</t>
  </si>
  <si>
    <t>1570749665316</t>
  </si>
  <si>
    <t>-LqryTmiVDvbsnsxCZrX</t>
  </si>
  <si>
    <t>1570749671497</t>
  </si>
  <si>
    <t>-LqryVLnUzoGBZ1Y4_DX</t>
  </si>
  <si>
    <t>1570749677673</t>
  </si>
  <si>
    <t>-LqryX1Iu4PHD1UHv6rR</t>
  </si>
  <si>
    <t>1570749684852</t>
  </si>
  <si>
    <t>-LqryYc_drtaBLxiLy-I</t>
  </si>
  <si>
    <t>1570749691063</t>
  </si>
  <si>
    <t>-Lqry_Lel6pscFOV6FYY</t>
  </si>
  <si>
    <t>1570749698280</t>
  </si>
  <si>
    <t>-LqryauelQIDQIqaAUnZ</t>
  </si>
  <si>
    <t>1570749704473</t>
  </si>
  <si>
    <t>-Lqrycce-leUNQ2XgsEf</t>
  </si>
  <si>
    <t>1570749711667</t>
  </si>
  <si>
    <t>-Lqrye6ahUIivX4LWuLy</t>
  </si>
  <si>
    <t>1570749717823</t>
  </si>
  <si>
    <t>-LqryfucAkBVYbelWNDy</t>
  </si>
  <si>
    <t>1570749725238</t>
  </si>
  <si>
    <t>-LqryhOdRrD1Hb9OXDMC</t>
  </si>
  <si>
    <t>1570749731253</t>
  </si>
  <si>
    <t>-LqryixeSpX3xdRtZru1</t>
  </si>
  <si>
    <t>1570749737428</t>
  </si>
  <si>
    <t>-LqrykfnFPHLuKBLR3Nm</t>
  </si>
  <si>
    <t>1570749744637</t>
  </si>
  <si>
    <t>-Lqrym9hz1BsX8b3Xgv_</t>
  </si>
  <si>
    <t>1570749750844</t>
  </si>
  <si>
    <t>-LqrynioVi5VjyYS_XTz</t>
  </si>
  <si>
    <t>1570749757011</t>
  </si>
  <si>
    <t>-LqrypRh7WTys1jnkmUK</t>
  </si>
  <si>
    <t>1570749764212</t>
  </si>
  <si>
    <t>-Lqryr-nvnL_5g8tksJc</t>
  </si>
  <si>
    <t>1570749770391</t>
  </si>
  <si>
    <t>-Lqrysi_CLnrsI4NIebc</t>
  </si>
  <si>
    <t>1570749777611</t>
  </si>
  <si>
    <t>-LqryuCZY54TaOk9U6l6</t>
  </si>
  <si>
    <t>1570749783772</t>
  </si>
  <si>
    <t>-LqryvgzH6PDJ0HGBKZV</t>
  </si>
  <si>
    <t>1570749789971</t>
  </si>
  <si>
    <t>-LqryxFvfoeKDzqTvuXV</t>
  </si>
  <si>
    <t>1570749796161</t>
  </si>
  <si>
    <t>-Lqryz2pTMO6NtTZG-C2</t>
  </si>
  <si>
    <t>1570749803379</t>
  </si>
  <si>
    <t>-Lqrz-loxJJ4XXwKaUOu</t>
  </si>
  <si>
    <t>1570749810595</t>
  </si>
  <si>
    <t>-Lqrz1ZvcWY1l2i2JYbc</t>
  </si>
  <si>
    <t>1570749817797</t>
  </si>
  <si>
    <t>-Lqrz3HdCp8ob38FjSm9</t>
  </si>
  <si>
    <t>1570749825015</t>
  </si>
  <si>
    <t>-Lqrz4ld0zkxtLPs2OM5</t>
  </si>
  <si>
    <t>1570749831193</t>
  </si>
  <si>
    <t>-Lqrz6LoEk12fVDY24FD</t>
  </si>
  <si>
    <t>1570749837341</t>
  </si>
  <si>
    <t>-Lqrz8RnriA5QXLy-oP4</t>
  </si>
  <si>
    <t>1570749846102</t>
  </si>
  <si>
    <t>-LqrzA4uU80_I08aA-8B</t>
  </si>
  <si>
    <t>1570749852821</t>
  </si>
  <si>
    <t>-LqrzBxZdq8H7LT5ZPS6</t>
  </si>
  <si>
    <t>1570749860308</t>
  </si>
  <si>
    <t>-LqrzDaiQ1XWexg-jmGu</t>
  </si>
  <si>
    <t>1570749867251</t>
  </si>
  <si>
    <t>-LqrzFAzjWCXFu3iWnar</t>
  </si>
  <si>
    <t>1570749873446</t>
  </si>
  <si>
    <t>-LqrzGsPQYh98rgtfg_v</t>
  </si>
  <si>
    <t>1570749880648</t>
  </si>
  <si>
    <t>-LqrzIMjiOCFaMcaccBw</t>
  </si>
  <si>
    <t>1570749886845</t>
  </si>
  <si>
    <t>-LqrzJvoZUPXSJaV8wis</t>
  </si>
  <si>
    <t>1570749893012</t>
  </si>
  <si>
    <t>-LqrzLe_CnUHMc1NGQPM</t>
  </si>
  <si>
    <t>1570749900213</t>
  </si>
  <si>
    <t>-LqrzNCprt4IeX1SDtOi</t>
  </si>
  <si>
    <t>1570749906402</t>
  </si>
  <si>
    <t>-LqrzOw22cjinsh4ib5j</t>
  </si>
  <si>
    <t>1570749913616</t>
  </si>
  <si>
    <t>-LqrzQOs8FNvJGp784p5</t>
  </si>
  <si>
    <t>1570749919791</t>
  </si>
  <si>
    <t>-LqrzRyjyhdHVlNvUwRK</t>
  </si>
  <si>
    <t>1570749925978</t>
  </si>
  <si>
    <t>-LqrzTgmSCHwtV0NVb77</t>
  </si>
  <si>
    <t>1570749933181</t>
  </si>
  <si>
    <t>-LqrzVWp2_EkUxUT1f24</t>
  </si>
  <si>
    <t>1570749940407</t>
  </si>
  <si>
    <t>-LqrzXdTV_xX1rGIT18C</t>
  </si>
  <si>
    <t>1570749947596</t>
  </si>
  <si>
    <t>-LqrzZEu8qL4dRRlrFdR</t>
  </si>
  <si>
    <t>1570749955861</t>
  </si>
  <si>
    <t>-Lqrz_j0mo3LvLCkbPVs</t>
  </si>
  <si>
    <t>1570749962019</t>
  </si>
  <si>
    <t>-LqrzbHoIolNqk2oRNUI</t>
  </si>
  <si>
    <t>1570749968235</t>
  </si>
  <si>
    <t>-Lqrzd-g-O2Ao0y5jXqr</t>
  </si>
  <si>
    <t>1570749975412</t>
  </si>
  <si>
    <t>-LqrzeZqdFf4WgL-RcYm</t>
  </si>
  <si>
    <t>1570749981591</t>
  </si>
  <si>
    <t>-LqrzgHnzOdLR_DAwxCX</t>
  </si>
  <si>
    <t>1570749988830</t>
  </si>
  <si>
    <t>-Lqrzhqp4H8RoQu9wXDF</t>
  </si>
  <si>
    <t>1570749995028</t>
  </si>
  <si>
    <t>-LqrzjZiDkqc_0fd-4Ak</t>
  </si>
  <si>
    <t>1570750002230</t>
  </si>
  <si>
    <t>-Lqrzl2xB5650lSrj0PY</t>
  </si>
  <si>
    <t>1570750008380</t>
  </si>
  <si>
    <t>-LqrzmbhBHhETyJiZYsO</t>
  </si>
  <si>
    <t>1570750014591</t>
  </si>
  <si>
    <t>-LqrzoKg3FTVQbAKs5mx</t>
  </si>
  <si>
    <t>1570750021811</t>
  </si>
  <si>
    <t>-Lqrzptp6jKF1NZoRdLt</t>
  </si>
  <si>
    <t>1570750027994</t>
  </si>
  <si>
    <t>-Lqrzravs0STuxUFsZJ7</t>
  </si>
  <si>
    <t>1570750035204</t>
  </si>
  <si>
    <t>-Lqrzt5lz3vlsYeOzzd8</t>
  </si>
  <si>
    <t>1570750041396</t>
  </si>
  <si>
    <t>-LqrzuehizpId6HLhANd</t>
  </si>
  <si>
    <t>1570750047537</t>
  </si>
  <si>
    <t>-LqrzwLs9uAhmqytm82P</t>
  </si>
  <si>
    <t>1570750054778</t>
  </si>
  <si>
    <t>-LqrzxwuyK31ag7uHTWJ</t>
  </si>
  <si>
    <t>1570750060956</t>
  </si>
  <si>
    <t>-Lqrzzeu0h-qK9c-NHW7</t>
  </si>
  <si>
    <t>1570750068170</t>
  </si>
  <si>
    <t>-Lqs-0NjeC5P7NIlYXnu</t>
  </si>
  <si>
    <t>1570750075381</t>
  </si>
  <si>
    <t>-Lqs-1xm9xhVsLGjfZku</t>
  </si>
  <si>
    <t>1570750081574</t>
  </si>
  <si>
    <t>-Lqs-3ehwE3cWS2NayXr</t>
  </si>
  <si>
    <t>1570750088775</t>
  </si>
  <si>
    <t>-Lqs-5Dcn3iCuxg5cRVR</t>
  </si>
  <si>
    <t>1570750094956</t>
  </si>
  <si>
    <t>-Lqs-6he-_S4TNnb00wX</t>
  </si>
  <si>
    <t>1570750101144</t>
  </si>
  <si>
    <t>-Lqs-8BtNomEVPoWKZX7</t>
  </si>
  <si>
    <t>1570750107322</t>
  </si>
  <si>
    <t>-Lqs-9zpT6fdohN1Huz_</t>
  </si>
  <si>
    <t>1570750114545</t>
  </si>
  <si>
    <t>-Lqs-BmkolRz4trDtdzf</t>
  </si>
  <si>
    <t>1570750121769</t>
  </si>
  <si>
    <t>-Lqs-DUmFM6TikYnhRtG</t>
  </si>
  <si>
    <t>1570750128956</t>
  </si>
  <si>
    <t>-Lqs-FIjVnQpNMiSgr0Z</t>
  </si>
  <si>
    <t>1570750136179</t>
  </si>
  <si>
    <t>-Lqs-H0YBwjsuK2CNUpI</t>
  </si>
  <si>
    <t>1570750143395</t>
  </si>
  <si>
    <t>-Lqs-IUjZ7tr8RQG6Lw4</t>
  </si>
  <si>
    <t>1570750149574</t>
  </si>
  <si>
    <t>-Lqs-K4mdmZBh4Ene9Vh</t>
  </si>
  <si>
    <t>1570750155754</t>
  </si>
  <si>
    <t>-Lqs-LnwXGdJRQnm-xKX</t>
  </si>
  <si>
    <t>1570750162938</t>
  </si>
  <si>
    <t>-Lqs-NgEIUhDgfz_UTCU</t>
  </si>
  <si>
    <t>1570750169140</t>
  </si>
  <si>
    <t>-Lqs-PIjvQjLFiKVY_Gg</t>
  </si>
  <si>
    <t>1570750177404</t>
  </si>
  <si>
    <t>-Lqs-Qmp9uxSMh3bFoJr</t>
  </si>
  <si>
    <t>1570750183572</t>
  </si>
  <si>
    <t>-Lqs-SLlxdjOmjBogxlL</t>
  </si>
  <si>
    <t>1570750189754</t>
  </si>
  <si>
    <t>-Lqs-TocXHpkz-HO_3jc</t>
  </si>
  <si>
    <t>1570750195904</t>
  </si>
  <si>
    <t>-Lqs-VK-G8j-qp8WsrEZ</t>
  </si>
  <si>
    <t>1570750202127</t>
  </si>
  <si>
    <t>-Lqs-Wskh1_sXF8d1Wy6</t>
  </si>
  <si>
    <t>1570750208305</t>
  </si>
  <si>
    <t>-Lqs-YKLzI_xGoXErxgN</t>
  </si>
  <si>
    <t>1570750214452</t>
  </si>
  <si>
    <t>-Lqs-Zua3ngaKn9kz3Ml</t>
  </si>
  <si>
    <t>1570750220659</t>
  </si>
  <si>
    <t>-Lqs-aderNyJ49PNIbIi</t>
  </si>
  <si>
    <t>1570750227875</t>
  </si>
  <si>
    <t>-Lqs-c7KMmcMsmobsSfh</t>
  </si>
  <si>
    <t>1570750234049</t>
  </si>
  <si>
    <t>-Lqs-dfdqULipiFTruNb</t>
  </si>
  <si>
    <t>1570750240231</t>
  </si>
  <si>
    <t>-Lqs-fNQqyrrmerClTHS</t>
  </si>
  <si>
    <t>1570750247411</t>
  </si>
  <si>
    <t>-Lqs-gxS1Z-wGyZUyEaR</t>
  </si>
  <si>
    <t>1570750253621</t>
  </si>
  <si>
    <t>-Lqs-iOoTZUoKqY56uYO</t>
  </si>
  <si>
    <t>1570750259815</t>
  </si>
  <si>
    <t>-Lqs-juC4lXqJ8qZp1ci</t>
  </si>
  <si>
    <t>1570750265972</t>
  </si>
  <si>
    <t>-Lqs-lVggZkZYCIH1WoF</t>
  </si>
  <si>
    <t>1570750272207</t>
  </si>
  <si>
    <t>-Lqs-nDe0DNL-EfXi8Nj</t>
  </si>
  <si>
    <t>1570750279403</t>
  </si>
  <si>
    <t>-Lqs-ohdfnBp2ub_sLD9</t>
  </si>
  <si>
    <t>1570750285543</t>
  </si>
  <si>
    <t>-Lqs-qGY0miWb8_0Dj1I</t>
  </si>
  <si>
    <t>1570750291752</t>
  </si>
  <si>
    <t>-Lqs-rxEeAWBvu7wqWaz</t>
  </si>
  <si>
    <t>1570750298933</t>
  </si>
  <si>
    <t>-Lqs-tXYsmr-JiDUgZEu</t>
  </si>
  <si>
    <t>1570750305137</t>
  </si>
  <si>
    <t>-Lqs-v0cOr8QFhU5X9Dl</t>
  </si>
  <si>
    <t>1570750311305</t>
  </si>
  <si>
    <t>-Lqs-wUESoK2nA55A1id</t>
  </si>
  <si>
    <t>1570750317499</t>
  </si>
  <si>
    <t>-Lqs-y512l4j0RB_rcN3</t>
  </si>
  <si>
    <t>1570750323687</t>
  </si>
  <si>
    <t>-Lqs0-6lQDU-7ZettJIR</t>
  </si>
  <si>
    <t>1570750330910</t>
  </si>
  <si>
    <t>-Lqs00pnen5xA7k-G6SQ</t>
  </si>
  <si>
    <t>1570750339149</t>
  </si>
  <si>
    <t>-Lqs02IYv_wg5-Aqcg4u</t>
  </si>
  <si>
    <t>1570750345324</t>
  </si>
  <si>
    <t>-Lqs03rTH6UpoqwRu98s</t>
  </si>
  <si>
    <t>1570750351512</t>
  </si>
  <si>
    <t>-Lqs05b1PBSqKvw-I7jZ</t>
  </si>
  <si>
    <t>1570750358720</t>
  </si>
  <si>
    <t>-Lqs07OdLpXFSodb79dq</t>
  </si>
  <si>
    <t>1570750365937</t>
  </si>
  <si>
    <t>-Lqs094KQJYDIgeHL_8f</t>
  </si>
  <si>
    <t>1570750373180</t>
  </si>
  <si>
    <t>-Lqs0B-Ue9PFl6os5uMJ</t>
  </si>
  <si>
    <t>1570750380364</t>
  </si>
  <si>
    <t>-Lqs0CaC4pv-v7B4cLFF</t>
  </si>
  <si>
    <t>1570750387571</t>
  </si>
  <si>
    <t>-Lqs0EPfjh7npO27ZwP1</t>
  </si>
  <si>
    <t>1570750394958</t>
  </si>
  <si>
    <t>-Lqs0G6VIQ71Po7L86yi</t>
  </si>
  <si>
    <t>1570750401980</t>
  </si>
  <si>
    <t>-Lqs0HgUDfjA4PnZDZ9z</t>
  </si>
  <si>
    <t>1570750408175</t>
  </si>
  <si>
    <t>-Lqs0JBT_B5vJzln2vGg</t>
  </si>
  <si>
    <t>1570750414333</t>
  </si>
  <si>
    <t>-Lqs0KdPTx9V4auS4Kis</t>
  </si>
  <si>
    <t>1570750420531</t>
  </si>
  <si>
    <t>-Lqs0MDgjbwZGlUS31DK</t>
  </si>
  <si>
    <t>1570750426727</t>
  </si>
  <si>
    <t>-Lqs0NhYzpNpVri7O0fu</t>
  </si>
  <si>
    <t>1570750432917</t>
  </si>
  <si>
    <t>-Lqs0PAIywc8HWCAZsSg</t>
  </si>
  <si>
    <t>1570750439092</t>
  </si>
  <si>
    <t>-Lqs0QgbcsbDOjYkbDDZ</t>
  </si>
  <si>
    <t>1570750445272</t>
  </si>
  <si>
    <t>-Lqs0SBmzF6K2Q_06IOV</t>
  </si>
  <si>
    <t>1570750451460</t>
  </si>
  <si>
    <t>-Lqs0ThGtTTiCdlA9vKA</t>
  </si>
  <si>
    <t>1570750457652</t>
  </si>
  <si>
    <t>-Lqs0VCczDzWqoQN9X3U</t>
  </si>
  <si>
    <t>1570750463816</t>
  </si>
  <si>
    <t>-Lqs0WnoVfBsEkjOng18</t>
  </si>
  <si>
    <t>1570750469996</t>
  </si>
  <si>
    <t>-Lqs0YVjODosxiz8gyUM</t>
  </si>
  <si>
    <t>1570750477186</t>
  </si>
  <si>
    <t>-Lqs0_3JKaV8nVPyISpu</t>
  </si>
  <si>
    <t>1570750483399</t>
  </si>
  <si>
    <t>-Lqs0amZnq56yHgQzTZo</t>
  </si>
  <si>
    <t>1570750490611</t>
  </si>
  <si>
    <t>-Lqs0cFYty7G-K-iXfzP</t>
  </si>
  <si>
    <t>1570750496762</t>
  </si>
  <si>
    <t>-Lqs0dvtZc002hCUIEVh</t>
  </si>
  <si>
    <t>1570750502982</t>
  </si>
  <si>
    <t>-Lqs0fYnrHspkFlX2Y-6</t>
  </si>
  <si>
    <t>1570750510202</t>
  </si>
  <si>
    <t>-Lqs0h7y2TuJUZaYossb</t>
  </si>
  <si>
    <t>1570750516370</t>
  </si>
  <si>
    <t>-Lqs0iuZly8Skb7yfBjm</t>
  </si>
  <si>
    <t>1570750523571</t>
  </si>
  <si>
    <t>-Lqs0kcdPFSnsNBcnXD-</t>
  </si>
  <si>
    <t>1570750530795</t>
  </si>
  <si>
    <t>-Lqs0m6YmXQqTKmTBvCY</t>
  </si>
  <si>
    <t>1570750536972</t>
  </si>
  <si>
    <t>-Lqs0nsZi1u3lr4HRD1p</t>
  </si>
  <si>
    <t>1570750543157</t>
  </si>
  <si>
    <t>-Lqs0pcljJwiixmfSg-o</t>
  </si>
  <si>
    <t>1570750551411</t>
  </si>
  <si>
    <t>-Lqs0rBlxnwYMNktAZFi</t>
  </si>
  <si>
    <t>1570750557595</t>
  </si>
  <si>
    <t>-Lqs0suixip2ggRlygbb</t>
  </si>
  <si>
    <t>1570750564797</t>
  </si>
  <si>
    <t>-Lqs0uOlKTUaxCpig7ns</t>
  </si>
  <si>
    <t>1570750570956</t>
  </si>
  <si>
    <t>-Lqs0vxZfQytPhMwpLBe</t>
  </si>
  <si>
    <t>1570750577170</t>
  </si>
  <si>
    <t>-Lqs0xdD48mSk9922RH8</t>
  </si>
  <si>
    <t>1570750584372</t>
  </si>
  <si>
    <t>-Lqs0z9hdbDDrsxi7ZVh</t>
  </si>
  <si>
    <t>1570750590527</t>
  </si>
  <si>
    <t>-Lqs1-ilh7LkprykbcEu</t>
  </si>
  <si>
    <t>1570750596738</t>
  </si>
  <si>
    <t>-Lqs11BP4vRlLLTrpUOO</t>
  </si>
  <si>
    <t>1570750602898</t>
  </si>
  <si>
    <t>-Lqs12yLDKGmz4zQtkJH</t>
  </si>
  <si>
    <t>1570750609105</t>
  </si>
  <si>
    <t>-Lqs14guto5NBq5RqsCz</t>
  </si>
  <si>
    <t>1570750617332</t>
  </si>
  <si>
    <t>-Lqs16Hinsprq2mrrjy8</t>
  </si>
  <si>
    <t>1570750623785</t>
  </si>
  <si>
    <t>-Lqs17zWaLdG9heZgjbf</t>
  </si>
  <si>
    <t>1570750630742</t>
  </si>
  <si>
    <t>-Lqs19UnoKzDDTdMgCgu</t>
  </si>
  <si>
    <t>1570750636921</t>
  </si>
  <si>
    <t>-Lqs1B2caMNtV7hfGwvy</t>
  </si>
  <si>
    <t>1570750643105</t>
  </si>
  <si>
    <t>-Lqs1ClnNtdc0C0knaAs</t>
  </si>
  <si>
    <t>1570750650299</t>
  </si>
  <si>
    <t>-Lqs1EJYoSGJ3osgSRq1</t>
  </si>
  <si>
    <t>1570750656503</t>
  </si>
  <si>
    <t>-Lqs1G2bRV_PEmBtKeDd</t>
  </si>
  <si>
    <t>1570750663716</t>
  </si>
  <si>
    <t>-Lqs1HWXv5uaAFzsZ0lt</t>
  </si>
  <si>
    <t>1570750669896</t>
  </si>
  <si>
    <t>-Lqs1J5moGQclRXKPXTz</t>
  </si>
  <si>
    <t>1570750676051</t>
  </si>
  <si>
    <t>-Lqs1KYMq5MSd1ZC4RJn</t>
  </si>
  <si>
    <t>1570750682259</t>
  </si>
  <si>
    <t>-Lqs1M3cdK2_ozPhrbH5</t>
  </si>
  <si>
    <t>1570750688440</t>
  </si>
  <si>
    <t>-Lqs1NdrGAGcdD28oSjY</t>
  </si>
  <si>
    <t>1570750694626</t>
  </si>
  <si>
    <t>-Lqs1PLmk1-MqBHAXxgj</t>
  </si>
  <si>
    <t>1570750701810</t>
  </si>
  <si>
    <t>-Lqs1QtVxWqDi2U5Fsg3</t>
  </si>
  <si>
    <t>1570750708016</t>
  </si>
  <si>
    <t>-Lqs1SKD6po0Eb1dB6hu</t>
  </si>
  <si>
    <t>1570750714153</t>
  </si>
  <si>
    <t>-Lqs1TshKDm2vzRNUZye</t>
  </si>
  <si>
    <t>1570750720371</t>
  </si>
  <si>
    <t>-Lqs1VQqx53k6f3HT081</t>
  </si>
  <si>
    <t>1570750726566</t>
  </si>
  <si>
    <t>-Lqs1X8lOofaw9F-mAyz</t>
  </si>
  <si>
    <t>1570750733775</t>
  </si>
  <si>
    <t>-Lqs1Ydu13Iq2a-KyeFZ</t>
  </si>
  <si>
    <t>1570750739941</t>
  </si>
  <si>
    <t>-Lqs1_PGw9vRXNW7G9wG</t>
  </si>
  <si>
    <t>1570750747192</t>
  </si>
  <si>
    <t>-Lqs1avcApt0vzS0PjJz</t>
  </si>
  <si>
    <t>1570750753331</t>
  </si>
  <si>
    <t>-Lqs1cUchOnvmMwFJncY</t>
  </si>
  <si>
    <t>1570750759538</t>
  </si>
  <si>
    <t>-Lqs1eCnooa93D34vesQ</t>
  </si>
  <si>
    <t>1570750766751</t>
  </si>
  <si>
    <t>-Lqs1ffh9M9BgR8b1vUJ</t>
  </si>
  <si>
    <t>1570750772932</t>
  </si>
  <si>
    <t>-Lqs1hFmZoCcFQum-3ZE</t>
  </si>
  <si>
    <t>1570750779115</t>
  </si>
  <si>
    <t>-Lqs1iyzR6c0kGlPpqEh</t>
  </si>
  <si>
    <t>1570750786303</t>
  </si>
  <si>
    <t>-Lqs1klmvl5Ik8hoHKB_</t>
  </si>
  <si>
    <t>1570750793536</t>
  </si>
  <si>
    <t>-Lqs1mDOkmI2Zm8BZ4OW</t>
  </si>
  <si>
    <t>1570750799701</t>
  </si>
  <si>
    <t>-Lqs1o3n31Ggt_Bsvt9v</t>
  </si>
  <si>
    <t>1570750806943</t>
  </si>
  <si>
    <t>-Lqs1plXZFFW0fmIjnjD</t>
  </si>
  <si>
    <t>1570750814128</t>
  </si>
  <si>
    <t>-Lqs1rKcCIBPoPN3bJGd</t>
  </si>
  <si>
    <t>1570750820330</t>
  </si>
  <si>
    <t>-Lqs1tOUS8hr6qkDDFhU</t>
  </si>
  <si>
    <t>1570750827547</t>
  </si>
  <si>
    <t>-Lqs1v4mKYqnfQ1ilZiB</t>
  </si>
  <si>
    <t>1570750835788</t>
  </si>
  <si>
    <t>-Lqs1wsmnGhJSIEb5whZ</t>
  </si>
  <si>
    <t>1570750843048</t>
  </si>
  <si>
    <t>-Lqs1yabiTlFozb9ecXh</t>
  </si>
  <si>
    <t>1570750850214</t>
  </si>
  <si>
    <t>-Lqs2-4gcD-yex9EmkPo</t>
  </si>
  <si>
    <t>1570750856369</t>
  </si>
  <si>
    <t>-Lqs20ckomlYhsINvLS1</t>
  </si>
  <si>
    <t>1570750862575</t>
  </si>
  <si>
    <t>-Lqs22MXbkiiGIPge26F</t>
  </si>
  <si>
    <t>1570750869799</t>
  </si>
  <si>
    <t>-Lqs23quvvVDZbu6V2mk</t>
  </si>
  <si>
    <t>1570750875978</t>
  </si>
  <si>
    <t>-Lqs25PWNNSyoK5qsx9-</t>
  </si>
  <si>
    <t>1570750882156</t>
  </si>
  <si>
    <t>-Lqs26tl4x0tJQbwnqkv</t>
  </si>
  <si>
    <t>1570750888330</t>
  </si>
  <si>
    <t>-Lqs28NlR0rBWH09-XXT</t>
  </si>
  <si>
    <t>1570750894519</t>
  </si>
  <si>
    <t>-Lqs29wkG2Sob_yY0VvK</t>
  </si>
  <si>
    <t>1570750900706</t>
  </si>
  <si>
    <t>-Lqs2BcQA1ys2HJjhAjq</t>
  </si>
  <si>
    <t>1570750907892</t>
  </si>
  <si>
    <t>-Lqs2DDrjTW6AAPBC54F</t>
  </si>
  <si>
    <t>1570750914095</t>
  </si>
  <si>
    <t>-Lqs2Ewkxb60kxX_hXgb</t>
  </si>
  <si>
    <t>1570750921331</t>
  </si>
  <si>
    <t>-Lqs2GQkOjoq2CfBKtP9</t>
  </si>
  <si>
    <t>1570750927495</t>
  </si>
  <si>
    <t>-Lqs2HzbMKMu6M-_YeP6</t>
  </si>
  <si>
    <t>1570750933675</t>
  </si>
  <si>
    <t>-Lqs2JTbKPr_rAzhxuqf</t>
  </si>
  <si>
    <t>1570750939851</t>
  </si>
  <si>
    <t>-Lqs2KxbTsm32pxmyc3b</t>
  </si>
  <si>
    <t>1570750946019</t>
  </si>
  <si>
    <t>-Lqs2MVa5aMJE_Eqggfz</t>
  </si>
  <si>
    <t>1570750952250</t>
  </si>
  <si>
    <t>-Lqs2NzVg0YtC2z2ENgC</t>
  </si>
  <si>
    <t>1570750958404</t>
  </si>
  <si>
    <t>-Lqs2PUI_AgqXp8MreFr</t>
  </si>
  <si>
    <t>1570750964594</t>
  </si>
  <si>
    <t>-Lqs2R2ObMAY005OFbf5</t>
  </si>
  <si>
    <t>1570750970769</t>
  </si>
  <si>
    <t>-Lqs2SlbN8o7YNWX5rr6</t>
  </si>
  <si>
    <t>1570750977978</t>
  </si>
  <si>
    <t>-Lqs2UKboMqSgnADOP1A</t>
  </si>
  <si>
    <t>1570750984166</t>
  </si>
  <si>
    <t>-Lqs2W3n8lwWogv8Bkm2</t>
  </si>
  <si>
    <t>1570750991380</t>
  </si>
  <si>
    <t>-Lqs2XXXgxS3wSYmBdXK</t>
  </si>
  <si>
    <t>1570750997525</t>
  </si>
  <si>
    <t>-Lqs2Z5XBYohhE51VVKa</t>
  </si>
  <si>
    <t>1570751003741</t>
  </si>
  <si>
    <t>-Lqs2_orKqGPPibJoeo9</t>
  </si>
  <si>
    <t>1570751010938</t>
  </si>
  <si>
    <t>-Lqs2btE4bxaOvLUWYp5</t>
  </si>
  <si>
    <t>1570751017127</t>
  </si>
  <si>
    <t>-Lqs2dddyldo1kzYmYk_</t>
  </si>
  <si>
    <t>1570751026413</t>
  </si>
  <si>
    <t>-Lqs2fMs_MqAwtSHiZV8</t>
  </si>
  <si>
    <t>1570751033615</t>
  </si>
  <si>
    <t>-Lqs2h9bWMbXwfHY8qHJ</t>
  </si>
  <si>
    <t>1570751040830</t>
  </si>
  <si>
    <t>-Lqs2isfIKt2Szn9RIuz</t>
  </si>
  <si>
    <t>1570751048050</t>
  </si>
  <si>
    <t>-Lqs2pSLC1UixJuZgxZM</t>
  </si>
  <si>
    <t>1570751074991</t>
  </si>
  <si>
    <t>-Lqs2rA-075-U3dIEmzl</t>
  </si>
  <si>
    <t>1570751082020</t>
  </si>
  <si>
    <t>-Lqs2sfQcUFqTJHaf238</t>
  </si>
  <si>
    <t>1570751088186</t>
  </si>
  <si>
    <t>-Lqs2uAdoJm3Ppm3hSlK</t>
  </si>
  <si>
    <t>1570751094364</t>
  </si>
  <si>
    <t>-Lqs2vg4I7NTjSXO5IV-</t>
  </si>
  <si>
    <t>1570751100579</t>
  </si>
  <si>
    <t>-Lqs2xBK3drRiTiDrLu5</t>
  </si>
  <si>
    <t>1570751106741</t>
  </si>
  <si>
    <t>-Lqs2yj3BdlGfZObZji0</t>
  </si>
  <si>
    <t>1570751112971</t>
  </si>
  <si>
    <t>-Lqs3-EKh73bUoLTKFE4</t>
  </si>
  <si>
    <t>1570751119142</t>
  </si>
  <si>
    <t>-Lqs30iP68-_ULKTdHTT</t>
  </si>
  <si>
    <t>1570751125291</t>
  </si>
  <si>
    <t>-Lqs32CxfLVno1IZDkia</t>
  </si>
  <si>
    <t>1570751131460</t>
  </si>
  <si>
    <t>-Lqs33n22tQP7m2I-k52</t>
  </si>
  <si>
    <t>1570751137661</t>
  </si>
  <si>
    <t>-Lqs35WBX3b5-1Je_d_S</t>
  </si>
  <si>
    <t>1570751144861</t>
  </si>
  <si>
    <t>-Lqs371gtvpTS39l6w16</t>
  </si>
  <si>
    <t>1570751151092</t>
  </si>
  <si>
    <t>-Lqs38Wf5KjbAYL8AjL-</t>
  </si>
  <si>
    <t>1570751157229</t>
  </si>
  <si>
    <t>-Lqs3A2AIjlXQZtr3m7G</t>
  </si>
  <si>
    <t>1570751163420</t>
  </si>
  <si>
    <t>-Lqs3BYRCm6NJGu2Nuim</t>
  </si>
  <si>
    <t>1570751169644</t>
  </si>
  <si>
    <t>-Lqs3D2iVnNFBNXPP6L4</t>
  </si>
  <si>
    <t>1570751175810</t>
  </si>
  <si>
    <t>-Lqs3EZroyTLLdiQtRGP</t>
  </si>
  <si>
    <t>1570751181981</t>
  </si>
  <si>
    <t>-Lqs3G30XfFXOyeZUwrn</t>
  </si>
  <si>
    <t>1570751188141</t>
  </si>
  <si>
    <t>-Lqs3HZbnSW0yqMoVN7g</t>
  </si>
  <si>
    <t>1570751194319</t>
  </si>
  <si>
    <t>-Lqs3J5-w868dLYWOKpb</t>
  </si>
  <si>
    <t>1570751200530</t>
  </si>
  <si>
    <t>-Lqs3KaR9P4IFf78MNhB</t>
  </si>
  <si>
    <t>1570751206716</t>
  </si>
  <si>
    <t>-Lqs3MLWVqaswNzrVOnk</t>
  </si>
  <si>
    <t>1570751213915</t>
  </si>
  <si>
    <t>-Lqs3NsIVUoZ-6YEcpg2</t>
  </si>
  <si>
    <t>1570751220079</t>
  </si>
  <si>
    <t>-Lqs3PNlz20cxVr4cKhZ</t>
  </si>
  <si>
    <t>1570751226316</t>
  </si>
  <si>
    <t>-Lqs3QucOvJoI9fgDGQL</t>
  </si>
  <si>
    <t>1570751232476</t>
  </si>
  <si>
    <t>-Lqs3SPVJ7v7LJ7PboWf</t>
  </si>
  <si>
    <t>1570751238641</t>
  </si>
  <si>
    <t>-Lqs3Tw0rujIJC1qG4dv</t>
  </si>
  <si>
    <t>1570751244801</t>
  </si>
  <si>
    <t>-Lqs3Vem8teLg1Jtuch8</t>
  </si>
  <si>
    <t>1570751252010</t>
  </si>
  <si>
    <t>-Lqs3XBjBupojVITorJn</t>
  </si>
  <si>
    <t>1570751258240</t>
  </si>
  <si>
    <t>-Lqs3YiPoHYkrRj0AOL9</t>
  </si>
  <si>
    <t>1570751264396</t>
  </si>
  <si>
    <t>-Lqs3_RGKGvqNRK9fej4</t>
  </si>
  <si>
    <t>1570751271586</t>
  </si>
  <si>
    <t>-Lqs3axja1Kf2-w6Eh1F</t>
  </si>
  <si>
    <t>1570751277766</t>
  </si>
  <si>
    <t>-Lqs3cjIvk22WmN0n_a4</t>
  </si>
  <si>
    <t>1570751283950</t>
  </si>
  <si>
    <t>-Lqs3eEhijlhudJLWBTo</t>
  </si>
  <si>
    <t>1570751291198</t>
  </si>
  <si>
    <t>-Lqs3fjnvwVHrofHHr2d</t>
  </si>
  <si>
    <t>1570751297353</t>
  </si>
  <si>
    <t>-Lqs3hEtGOwjMmS6X0MG</t>
  </si>
  <si>
    <t>1570751303516</t>
  </si>
  <si>
    <t>-Lqs3ijzIcxrfujx93a7</t>
  </si>
  <si>
    <t>1570751309737</t>
  </si>
  <si>
    <t>-Lqs3kFUMnIuLoeLcqme</t>
  </si>
  <si>
    <t>1570751315897</t>
  </si>
  <si>
    <t>-Lqs3llyN1DdpGlXOE8S</t>
  </si>
  <si>
    <t>1570751322067</t>
  </si>
  <si>
    <t>-Lqs3nG6heJKrxutfQ0s</t>
  </si>
  <si>
    <t>1570751328303</t>
  </si>
  <si>
    <t>-Lqs3omJasA5ZY2RK1Vh</t>
  </si>
  <si>
    <t>1570751334442</t>
  </si>
  <si>
    <t>-Lqs3qHeT7RCKsSeQizM</t>
  </si>
  <si>
    <t>1570751340613</t>
  </si>
  <si>
    <t>-Lqs3rpTw0Egdoc7Oics</t>
  </si>
  <si>
    <t>1570751346857</t>
  </si>
  <si>
    <t>-Lqs3tKdMdj0KwUHHUpi</t>
  </si>
  <si>
    <t>1570751353017</t>
  </si>
  <si>
    <t>-Lqs3uodwZN-qFmkQyIw</t>
  </si>
  <si>
    <t>1570751359178</t>
  </si>
  <si>
    <t>-Lqs3wL78JZ4CzIMEomu</t>
  </si>
  <si>
    <t>1570751365342</t>
  </si>
  <si>
    <t>-Lqs3xrcjzNpOZZfJuJU</t>
  </si>
  <si>
    <t>1570751371588</t>
  </si>
  <si>
    <t>-Lqs3zMeMzOcsQYYOknH</t>
  </si>
  <si>
    <t>1570751377738</t>
  </si>
  <si>
    <t>-Lqs4-rC9Da1r9-f3W9e</t>
  </si>
  <si>
    <t>1570751383912</t>
  </si>
  <si>
    <t>-Lqs41NiPCbbN_JmnGgF</t>
  </si>
  <si>
    <t>1570751390077</t>
  </si>
  <si>
    <t>-Lqs42t2LI17vB6Gx_Po</t>
  </si>
  <si>
    <t>1570751396248</t>
  </si>
  <si>
    <t>-Lqs44PRPZmBuYQNCfKD</t>
  </si>
  <si>
    <t>1570751402483</t>
  </si>
  <si>
    <t>-Lqs45uhDZyKmBLd8kh8</t>
  </si>
  <si>
    <t>1570751408637</t>
  </si>
  <si>
    <t>-Lqs47Px417IZdMvuPfU</t>
  </si>
  <si>
    <t>1570751414798</t>
  </si>
  <si>
    <t>-Lqs48v6xcgusZbFmv4e</t>
  </si>
  <si>
    <t>1570751420967</t>
  </si>
  <si>
    <t>-Lqs4AQSUJIzZ6yU6a1H</t>
  </si>
  <si>
    <t>1570751427189</t>
  </si>
  <si>
    <t>-Lqs4Bu2vfpkY4XngqYm</t>
  </si>
  <si>
    <t>1570751433332</t>
  </si>
  <si>
    <t>-Lqs4DRzmLzDhvEWtWXE</t>
  </si>
  <si>
    <t>1570751439533</t>
  </si>
  <si>
    <t>-Lqs4EyPVnCnIHyRd96a</t>
  </si>
  <si>
    <t>1570751445738</t>
  </si>
  <si>
    <t>-Lqs4GSNxF2Gg2vVgn9l</t>
  </si>
  <si>
    <t>1570751451888</t>
  </si>
  <si>
    <t>-Lqs4Hytdy9duLGGeDo6</t>
  </si>
  <si>
    <t>1570751458066</t>
  </si>
  <si>
    <t>-Lqs4JVXQcEWnEBU7O3P</t>
  </si>
  <si>
    <t>1570751464297</t>
  </si>
  <si>
    <t>-Lqs4LEd8slVW8FoDe6A</t>
  </si>
  <si>
    <t>1570751471491</t>
  </si>
  <si>
    <t>-Lqs4MlNSoHsD6Vc3jk5</t>
  </si>
  <si>
    <t>1570751477658</t>
  </si>
  <si>
    <t>-Lqs4OGA6php8lk_4RqV</t>
  </si>
  <si>
    <t>1570751483827</t>
  </si>
  <si>
    <t>-Lqs4QhHwAuXF1Sx8ZXt</t>
  </si>
  <si>
    <t>1570751490021</t>
  </si>
  <si>
    <t>-Lqs4SJ4MdAYo5oQwjJS</t>
  </si>
  <si>
    <t>1570751500378</t>
  </si>
  <si>
    <t>-Lqs4ToKkXf8zpUUmLUH</t>
  </si>
  <si>
    <t>1570751506542</t>
  </si>
  <si>
    <t>-Lqs4VMDLclIDOpi2Piv</t>
  </si>
  <si>
    <t>1570751512703</t>
  </si>
  <si>
    <t>-Lqs4X4DcEnBolPrO8C5</t>
  </si>
  <si>
    <t>1570751519912</t>
  </si>
  <si>
    <t>-Lqs4YaiepcrPGDogx-m</t>
  </si>
  <si>
    <t>1570751526142</t>
  </si>
  <si>
    <t>-Lqs4_4kHdRkJuFLlPKO</t>
  </si>
  <si>
    <t>1570751532267</t>
  </si>
  <si>
    <t>-Lqs4abEADrDVPMR5Q9F</t>
  </si>
  <si>
    <t>1570751538461</t>
  </si>
  <si>
    <t>-Lqs4c7112N7vOUiufVX</t>
  </si>
  <si>
    <t>1570751544623</t>
  </si>
  <si>
    <t>-Lqs4e3UsrjEgr4_nfqt</t>
  </si>
  <si>
    <t>1570751550863</t>
  </si>
  <si>
    <t>-Lqs4fdhiqDbAleaxver</t>
  </si>
  <si>
    <t>1570751559098</t>
  </si>
  <si>
    <t>-Lqs4h8zpsq4UFVQrlmk</t>
  </si>
  <si>
    <t>1570751565258</t>
  </si>
  <si>
    <t>-Lqs4ieCRiWg6CpgTcnv</t>
  </si>
  <si>
    <t>1570751571423</t>
  </si>
  <si>
    <t>-Lqs4kBpEPru78ehQsln</t>
  </si>
  <si>
    <t>1570751577814</t>
  </si>
  <si>
    <t>-Lqs4lhE_sGRf-LSOVAj</t>
  </si>
  <si>
    <t>1570751583748</t>
  </si>
  <si>
    <t>-Lqs4nRUtOF61w9m_ezY</t>
  </si>
  <si>
    <t>1570751591023</t>
  </si>
  <si>
    <t>-Lqs4owi-RFjt9aOIciI</t>
  </si>
  <si>
    <t>1570751597183</t>
  </si>
  <si>
    <t>-Lqs4qRy-4BlioA8zSza</t>
  </si>
  <si>
    <t>1570751603407</t>
  </si>
  <si>
    <t>-Lqs4ryUqb5Fv8WPWttU</t>
  </si>
  <si>
    <t>1570751609578</t>
  </si>
  <si>
    <t>-Lqs4tTjMwbVVytXj5bQ</t>
  </si>
  <si>
    <t>1570751615743</t>
  </si>
  <si>
    <t>-Lqs4uyx-BT5AipBOfBj</t>
  </si>
  <si>
    <t>1570751621899</t>
  </si>
  <si>
    <t>-Lqs4wVUWibm5qIbfDZS</t>
  </si>
  <si>
    <t>1570751628153</t>
  </si>
  <si>
    <t>-Lqs4y0pBFtPA1M8QtgZ</t>
  </si>
  <si>
    <t>1570751634296</t>
  </si>
  <si>
    <t>-Lqs4zVyWZF2edg4pE4v</t>
  </si>
  <si>
    <t>1570751640462</t>
  </si>
  <si>
    <t>-Lqs501TNe9FpkzOULS-</t>
  </si>
  <si>
    <t>1570751646627</t>
  </si>
  <si>
    <t>-Lqs51WS1_84msU2GDYI</t>
  </si>
  <si>
    <t>1570751652787</t>
  </si>
  <si>
    <t>-Lqs530m4kxTXKFWWQwC</t>
  </si>
  <si>
    <t>1570751658993</t>
  </si>
  <si>
    <t>-Lqs54YEBUkUyXkaKgX1</t>
  </si>
  <si>
    <t>1570751665184</t>
  </si>
  <si>
    <t>-Lqs562VykWRoE7E_quU</t>
  </si>
  <si>
    <t>1570751671407</t>
  </si>
  <si>
    <t>-Lqs57Zz2dx13--NAy5a</t>
  </si>
  <si>
    <t>1570751677579</t>
  </si>
  <si>
    <t>-Lqs59J-0f2WtSC5-tFa</t>
  </si>
  <si>
    <t>1570751684743</t>
  </si>
  <si>
    <t>-Lqs5ApjsyFzH7NzfC9K</t>
  </si>
  <si>
    <t>1570751690954</t>
  </si>
  <si>
    <t>-Lqs5CKyyk5jscGKEixj</t>
  </si>
  <si>
    <t>1570751697168</t>
  </si>
  <si>
    <t>-Lqs5DrTHeUkZtIM147v</t>
  </si>
  <si>
    <t>1570751703345</t>
  </si>
  <si>
    <t>-Lqs5FbtTsPGtB-xRq_f</t>
  </si>
  <si>
    <t>1570751710643</t>
  </si>
  <si>
    <t>-Lqs5H6zLsQ65MkoiQOP</t>
  </si>
  <si>
    <t>1570751716698</t>
  </si>
  <si>
    <t>-Lqs5IcPqoLAqNivZboR</t>
  </si>
  <si>
    <t>1570751722923</t>
  </si>
  <si>
    <t>-Lqs5KP8X453lsPblAze</t>
  </si>
  <si>
    <t>1570751730213</t>
  </si>
  <si>
    <t>-Lqs5LuOARlNkkeshNEx</t>
  </si>
  <si>
    <t>1570751736298</t>
  </si>
  <si>
    <t>-Lqs5NPcSHDkkABD0EQa</t>
  </si>
  <si>
    <t>1570751742458</t>
  </si>
  <si>
    <t>-Lqs5OuthiU9UE0KQfsd</t>
  </si>
  <si>
    <t>1570751748629</t>
  </si>
  <si>
    <t>-Lqs5QQ7yYIxh6W30cxS</t>
  </si>
  <si>
    <t>1570751754852</t>
  </si>
  <si>
    <t>-Lqs5Rwc_lfoCJ651zPd</t>
  </si>
  <si>
    <t>1570751761019</t>
  </si>
  <si>
    <t>-Lqs5TQcxrsC-8fbGDkP</t>
  </si>
  <si>
    <t>1570751767176</t>
  </si>
  <si>
    <t>-Lqs5UyPkjQj4hA405Ka</t>
  </si>
  <si>
    <t>1570751773419</t>
  </si>
  <si>
    <t>-Lqs5WSNAX89SOwP5l8M</t>
  </si>
  <si>
    <t>1570751779578</t>
  </si>
  <si>
    <t>-Lqs5XxdyD_aO36dnBz1</t>
  </si>
  <si>
    <t>1570751785738</t>
  </si>
  <si>
    <t>-Lqs5ZSsKx1Om-KgnkyC</t>
  </si>
  <si>
    <t>1570751791908</t>
  </si>
  <si>
    <t>-Lqs5_zPx_hy2zw5tm2i</t>
  </si>
  <si>
    <t>1570751798088</t>
  </si>
  <si>
    <t>-Lqs5bVsOq6EdKgG2t17</t>
  </si>
  <si>
    <t>1570751804291</t>
  </si>
  <si>
    <t>-Lqs5d1OokWjA9uf4uR7</t>
  </si>
  <si>
    <t>1570751810456</t>
  </si>
  <si>
    <t>-Lqs5e_4SqeReuo-NRc_</t>
  </si>
  <si>
    <t>1570751816890</t>
  </si>
  <si>
    <t>-Lqs5gGtpZdMf12vNAle</t>
  </si>
  <si>
    <t>1570751823893</t>
  </si>
  <si>
    <t>-Lqs5hleBhC_Wt7ocVYQ</t>
  </si>
  <si>
    <t>1570751830051</t>
  </si>
  <si>
    <t>-Lqs5jHQERIJPoxvPnRo</t>
  </si>
  <si>
    <t>1570751836219</t>
  </si>
  <si>
    <t>-Lqs5kmO7DZEcAAaGWoc</t>
  </si>
  <si>
    <t>1570751842449</t>
  </si>
  <si>
    <t>-Lqs5mIb1GLWcTMCJDdA</t>
  </si>
  <si>
    <t>1570751848592</t>
  </si>
  <si>
    <t>-Lqs5npJ2wwyCHkbrmRr</t>
  </si>
  <si>
    <t>1570751854761</t>
  </si>
  <si>
    <t>-Lqs5pKacUFxnhjObT8r</t>
  </si>
  <si>
    <t>1570751860943</t>
  </si>
  <si>
    <t>-Lqs5qpqdHZRphK1UBtT</t>
  </si>
  <si>
    <t>1570751867158</t>
  </si>
  <si>
    <t>-Lqs5sLA1GrC3GxsFDxP</t>
  </si>
  <si>
    <t>1570751873317</t>
  </si>
  <si>
    <t>-Lqs5trez8bhyN2cPZ0u</t>
  </si>
  <si>
    <t>1570751879487</t>
  </si>
  <si>
    <t>-Lqs5vM_KKdjB71hMoUT</t>
  </si>
  <si>
    <t>1570751885712</t>
  </si>
  <si>
    <t>-Lqs5wtOAqx_95iXrXJq</t>
  </si>
  <si>
    <t>1570751891883</t>
  </si>
  <si>
    <t>-Lqs5yOfSaJ4tL1gkiQ9</t>
  </si>
  <si>
    <t>1570751898042</t>
  </si>
  <si>
    <t>-Lqs5ztxMcISuvbmIx-A</t>
  </si>
  <si>
    <t>1570751904261</t>
  </si>
  <si>
    <t>-Lqs60QK1LDx7MaQcbge</t>
  </si>
  <si>
    <t>1570751910441</t>
  </si>
  <si>
    <t>-Lqs62AaVJBWxHdtd93t</t>
  </si>
  <si>
    <t>1570751916603</t>
  </si>
  <si>
    <t>-Lqs63gAhzBsMkOcbWHA</t>
  </si>
  <si>
    <t>1570751923804</t>
  </si>
  <si>
    <t>-Lqs65BQuVyyF1C7MZw3</t>
  </si>
  <si>
    <t>1570751929973</t>
  </si>
  <si>
    <t>-Lqs66hub2U8DlzMNu1V</t>
  </si>
  <si>
    <t>1570751936204</t>
  </si>
  <si>
    <t>-Lqs68DAzh8i7M1tzjbB</t>
  </si>
  <si>
    <t>1570751942363</t>
  </si>
  <si>
    <t>-Lqs69iR6npBUxvVpU6I</t>
  </si>
  <si>
    <t>1570751948522</t>
  </si>
  <si>
    <t>-Lqs6BElr7Tfo7U3PXsK</t>
  </si>
  <si>
    <t>1570751954763</t>
  </si>
  <si>
    <t>-Lqs6Ck8qfW2Orst6s6H</t>
  </si>
  <si>
    <t>1570751960923</t>
  </si>
  <si>
    <t>-Lqs6EFPxAbOSaijG4vv</t>
  </si>
  <si>
    <t>1570751967088</t>
  </si>
  <si>
    <t>-Lqs6FkiXdYM_ztXeO0S</t>
  </si>
  <si>
    <t>1570751973249</t>
  </si>
  <si>
    <t>-Lqs6HFupu0HfmoQA4Eu</t>
  </si>
  <si>
    <t>1570751979438</t>
  </si>
  <si>
    <t>-Lqs6ImRIKMzugF5V8Qs</t>
  </si>
  <si>
    <t>1570751985643</t>
  </si>
  <si>
    <t>-Lqs6KGP5j8eGWamAaas</t>
  </si>
  <si>
    <t>1570751991798</t>
  </si>
  <si>
    <t>-Lqs6LmoYy_C-JArAAI5</t>
  </si>
  <si>
    <t>1570751997998</t>
  </si>
  <si>
    <t>-Lqs6NJL3LbKhzrarQO4</t>
  </si>
  <si>
    <t>1570752004186</t>
  </si>
  <si>
    <t>-Lqs6OnPF8yGdJOKtEAh</t>
  </si>
  <si>
    <t>1570752010339</t>
  </si>
  <si>
    <t>-Lqs6QJV3IRs9kGy8fmb</t>
  </si>
  <si>
    <t>1570752016539</t>
  </si>
  <si>
    <t>-Lqs6Rp5Wv5NAxl7Oibm</t>
  </si>
  <si>
    <t>1570752022737</t>
  </si>
  <si>
    <t>-Lqs6TLcbS_WNiqnn4tI</t>
  </si>
  <si>
    <t>1570752028917</t>
  </si>
  <si>
    <t>-Lqs6V65clNxF6FsZdyw</t>
  </si>
  <si>
    <t>1570752036118</t>
  </si>
  <si>
    <t>-Lqs6WbLc68SJE0_5LHk</t>
  </si>
  <si>
    <t>1570752042336</t>
  </si>
  <si>
    <t>-Lqs6Y6aCaq7jw9RPmOH</t>
  </si>
  <si>
    <t>1570752048497</t>
  </si>
  <si>
    <t>-Lqs6Zd5lE-lDCudurlz</t>
  </si>
  <si>
    <t>1570752054678</t>
  </si>
  <si>
    <t>-Lqs6a752A9vB9ZPSsyZ</t>
  </si>
  <si>
    <t>1570752060818</t>
  </si>
  <si>
    <t>-Lqs6bepsrM__pqCnp0Z</t>
  </si>
  <si>
    <t>1570752067058</t>
  </si>
  <si>
    <t>-Lqs6d8p75ubq4BXv1bf</t>
  </si>
  <si>
    <t>1570752073218</t>
  </si>
  <si>
    <t>-Lqs6efLdAUA-jmRJS1Y</t>
  </si>
  <si>
    <t>1570752079397</t>
  </si>
  <si>
    <t>-Lqs6gBqFz1rs8BkoT3r</t>
  </si>
  <si>
    <t>1570752085618</t>
  </si>
  <si>
    <t>-Lqs6hrLSvsNKW6_A1iz</t>
  </si>
  <si>
    <t>1570752091778</t>
  </si>
  <si>
    <t>-Lqs6jRLeKuJAKHlD45-</t>
  </si>
  <si>
    <t>1570752098978</t>
  </si>
  <si>
    <t>-Lqs6kxqiD_1I6BOBvdn</t>
  </si>
  <si>
    <t>1570752105157</t>
  </si>
  <si>
    <t>-Lqs6mT4c3IqIfpRNOrG</t>
  </si>
  <si>
    <t>1570752111377</t>
  </si>
  <si>
    <t>-Lqs6nz_KPADyzXI1Zvr</t>
  </si>
  <si>
    <t>1570752117557</t>
  </si>
  <si>
    <t>-Lqs6pmvLIleYWX19A2n</t>
  </si>
  <si>
    <t>1570752123717</t>
  </si>
  <si>
    <t>-Lqs6rVaRQpC1xo2aDLO</t>
  </si>
  <si>
    <t>1570752131939</t>
  </si>
  <si>
    <t>-Lqs6t-qcgwCmoz5FbOP</t>
  </si>
  <si>
    <t>1570752138122</t>
  </si>
  <si>
    <t>-Lqs6uXA9ObgYXnnWvU4</t>
  </si>
  <si>
    <t>1570752144343</t>
  </si>
  <si>
    <t>-Lqs6w1_zMXv5Q4neXnU</t>
  </si>
  <si>
    <t>1570752150497</t>
  </si>
  <si>
    <t>-Lqs6xW_hidVSLZO979F</t>
  </si>
  <si>
    <t>1570752156678</t>
  </si>
  <si>
    <t>-Lqs6zFbgsmzfAg-WmqG</t>
  </si>
  <si>
    <t>1570752162839</t>
  </si>
  <si>
    <t>-Lqs7-opkqX8TbZm4n0g</t>
  </si>
  <si>
    <t>1570752170104</t>
  </si>
  <si>
    <t>-Lqs71K4PSSzA632MH_f</t>
  </si>
  <si>
    <t>1570752176257</t>
  </si>
  <si>
    <t>-Lqs72pKnBfQX-qpwz-b</t>
  </si>
  <si>
    <t>1570752182437</t>
  </si>
  <si>
    <t>-Lqs74KaoLblf93u6NBU</t>
  </si>
  <si>
    <t>1570752188599</t>
  </si>
  <si>
    <t>-Lqs75uO3NP3Juo5DgDP</t>
  </si>
  <si>
    <t>1570752194845</t>
  </si>
  <si>
    <t>-Lqs77ba0x5UyOw19hjH</t>
  </si>
  <si>
    <t>1570752202019</t>
  </si>
  <si>
    <t>-Lqs7968BCr4IepRMCNR</t>
  </si>
  <si>
    <t>1570752208198</t>
  </si>
  <si>
    <t>-Lqs7Ac5KAVW_VVLPHUx</t>
  </si>
  <si>
    <t>1570752214358</t>
  </si>
  <si>
    <t>-Lqs7C8_GPuzBAgTM43M</t>
  </si>
  <si>
    <t>1570752220579</t>
  </si>
  <si>
    <t>-Lqs7DdpLNP9LFA3A2o3</t>
  </si>
  <si>
    <t>1570752226737</t>
  </si>
  <si>
    <t>-Lqs7F95U4sM8kjYU_uN</t>
  </si>
  <si>
    <t>1570752232917</t>
  </si>
  <si>
    <t>-Lqs7GfIpj6ugViOd6VL</t>
  </si>
  <si>
    <t>1570752239143</t>
  </si>
  <si>
    <t>-Lqs7I9aaXI_JFfRcdLX</t>
  </si>
  <si>
    <t>1570752245238</t>
  </si>
  <si>
    <t>-Lqs7Jg5NfCMO8CL3yTE</t>
  </si>
  <si>
    <t>1570752251459</t>
  </si>
  <si>
    <t>-Lqs7LBMqRwCha05cSaV</t>
  </si>
  <si>
    <t>1570752257639</t>
  </si>
  <si>
    <t>-Lqs7MjJ_IfiSnbP4znl</t>
  </si>
  <si>
    <t>1570752263857</t>
  </si>
  <si>
    <t>-Lqs7OTLu8RCjPoOnEoR</t>
  </si>
  <si>
    <t>1570752271062</t>
  </si>
  <si>
    <t>-Lqs7Pya7w7CY9XOxr5s</t>
  </si>
  <si>
    <t>1570752277238</t>
  </si>
  <si>
    <t>-Lqs7RTv7vCvZIei32sz</t>
  </si>
  <si>
    <t>1570752283403</t>
  </si>
  <si>
    <t>-Lqs7T-LyeNDKAFMX9SX</t>
  </si>
  <si>
    <t>1570752289618</t>
  </si>
  <si>
    <t>-Lqs7UVa1DjKxQwza3dA</t>
  </si>
  <si>
    <t>1570752295778</t>
  </si>
  <si>
    <t>-Lqs7W-pXpEJ5NCfYhvl</t>
  </si>
  <si>
    <t>1570752301958</t>
  </si>
  <si>
    <t>-Lqs7XTHfZAZI2hUS5it</t>
  </si>
  <si>
    <t>1570752308097</t>
  </si>
  <si>
    <t>-Lqs7Z2GnHVJq-W4ct-_</t>
  </si>
  <si>
    <t>1570752314352</t>
  </si>
  <si>
    <t>-Lqs7_Xkj0RAyO5-u1Wi</t>
  </si>
  <si>
    <t>1570752320505</t>
  </si>
  <si>
    <t>-Lqs7b20Ls5I5WNsmuBM</t>
  </si>
  <si>
    <t>1570752326674</t>
  </si>
  <si>
    <t>-Lqs7cYHzyhhMB54zKU5</t>
  </si>
  <si>
    <t>1570752332843</t>
  </si>
  <si>
    <t>-Lqs7eK2CseqR6bmq4z8</t>
  </si>
  <si>
    <t>1570752340125</t>
  </si>
  <si>
    <t>-Lqs7fpHv96VDDm8L3_-</t>
  </si>
  <si>
    <t>1570752346266</t>
  </si>
  <si>
    <t>-Lqs7hHsZ0Qc7_827WH8</t>
  </si>
  <si>
    <t>1570752352416</t>
  </si>
  <si>
    <t>-Lqs7ipzyWLBlnMmBJ1v</t>
  </si>
  <si>
    <t>1570752358607</t>
  </si>
  <si>
    <t>-Lqs7kQDXfDwhVopHy8P</t>
  </si>
  <si>
    <t>1570752365087</t>
  </si>
  <si>
    <t>-Lqs7m5hOb-PqJWG-mTo</t>
  </si>
  <si>
    <t>1570752372034</t>
  </si>
  <si>
    <t>-Lqs7ncIXflU5yzhCysa</t>
  </si>
  <si>
    <t>1570752378196</t>
  </si>
  <si>
    <t>-Lqs7p7T8msHk5xGSqqz</t>
  </si>
  <si>
    <t>1570752384366</t>
  </si>
  <si>
    <t>-Lqs7qe0xnKojD7snydR</t>
  </si>
  <si>
    <t>1570752390604</t>
  </si>
  <si>
    <t>-Lqs7sJLXKQpfQoz0CWt</t>
  </si>
  <si>
    <t>1570752396696</t>
  </si>
  <si>
    <t>-Lqs7ttRAMg1nplxXT5M</t>
  </si>
  <si>
    <t>1570752403946</t>
  </si>
  <si>
    <t>-Lqs7vPoGMYB_stWv5Ov</t>
  </si>
  <si>
    <t>1570752410127</t>
  </si>
  <si>
    <t>-Lqs7wwT2BdIBS8XoU5S</t>
  </si>
  <si>
    <t>1570752416344</t>
  </si>
  <si>
    <t>-Lqs7yh2Q4qoFHvN16Lw</t>
  </si>
  <si>
    <t>1570752423566</t>
  </si>
  <si>
    <t>-Lqs8-CH_2RzUetn8DOM</t>
  </si>
  <si>
    <t>1570752429726</t>
  </si>
  <si>
    <t>-Lqs80hRB45BNL1SLFya</t>
  </si>
  <si>
    <t>1570752435890</t>
  </si>
  <si>
    <t>-Lqs82BREvc6PZ25g1uN</t>
  </si>
  <si>
    <t>1570752442106</t>
  </si>
  <si>
    <t>-Lqs83hystrkr4bD8dfn</t>
  </si>
  <si>
    <t>1570752448276</t>
  </si>
  <si>
    <t>-Lqs85ERPEF6eDCgXVD7</t>
  </si>
  <si>
    <t>1570752454446</t>
  </si>
  <si>
    <t>-Lqs86jiZO0HGnA8d8Mk</t>
  </si>
  <si>
    <t>1570752460607</t>
  </si>
  <si>
    <t>-Lqs88ggFc-5Ikrn7iID</t>
  </si>
  <si>
    <t>1570752467811</t>
  </si>
  <si>
    <t>-Lqs8AFi9txlEDwWX741</t>
  </si>
  <si>
    <t>1570752475074</t>
  </si>
  <si>
    <t>-Lqs8BkonkKTrxeI9Y0e</t>
  </si>
  <si>
    <t>1570752481244</t>
  </si>
  <si>
    <t>-Lqs8DHvdWC3Nc_N5dzq</t>
  </si>
  <si>
    <t>1570752487406</t>
  </si>
  <si>
    <t>-Lqs8F1wbzGId70yyFx5</t>
  </si>
  <si>
    <t>1570752494608</t>
  </si>
  <si>
    <t>-Lqs8GYB6BfBZAmHFrQS</t>
  </si>
  <si>
    <t>1570752500835</t>
  </si>
  <si>
    <t>-Lqs8I21TvlCgwIosLSk</t>
  </si>
  <si>
    <t>1570752506996</t>
  </si>
  <si>
    <t>-Lqs8JXV6HevF0qsXleM</t>
  </si>
  <si>
    <t>1570752513155</t>
  </si>
  <si>
    <t>-Lqs8L4DXlS82tM6nKF6</t>
  </si>
  <si>
    <t>1570752519326</t>
  </si>
  <si>
    <t>-Lqs8M_RHgzh-_eL21hz</t>
  </si>
  <si>
    <t>1570752525516</t>
  </si>
  <si>
    <t>-Lqs8O5ejVnLqkh8m9-8</t>
  </si>
  <si>
    <t>1570752531731</t>
  </si>
  <si>
    <t>-Lqs8P_yrPXPMXFPjAUX</t>
  </si>
  <si>
    <t>1570752537886</t>
  </si>
  <si>
    <t>-Lqs8R6JmvCOKZzIhh4G</t>
  </si>
  <si>
    <t>1570752544106</t>
  </si>
  <si>
    <t>-Lqs8SvhS9UHhK7XiUCa</t>
  </si>
  <si>
    <t>1570752550286</t>
  </si>
  <si>
    <t>-Lqs8Udhp0cmSiW-KWa3</t>
  </si>
  <si>
    <t>1570752558525</t>
  </si>
  <si>
    <t>-Lqs8W8xeH2V1fiPdzAj</t>
  </si>
  <si>
    <t>1570752564684</t>
  </si>
  <si>
    <t>-Lqs8XeCDN8RHjCXzuLN</t>
  </si>
  <si>
    <t>1570752570855</t>
  </si>
  <si>
    <t>-Lqs8ZAgbrIjWJt--Iei</t>
  </si>
  <si>
    <t>1570752577075</t>
  </si>
  <si>
    <t>-Lqs8_fizigvZKL-eqCg</t>
  </si>
  <si>
    <t>1570752583246</t>
  </si>
  <si>
    <t>-Lqs8bBD9zcJsWgdhQ6b</t>
  </si>
  <si>
    <t>1570752589405</t>
  </si>
  <si>
    <t>-Lqs8cgTkexpql7xGhjQ</t>
  </si>
  <si>
    <t>1570752595565</t>
  </si>
  <si>
    <t>-Lqs8eRy1qihJiTxW3Ct</t>
  </si>
  <si>
    <t>1570752602835</t>
  </si>
  <si>
    <t>-Lqs8fyTtqn8Y8YvLbbP</t>
  </si>
  <si>
    <t>1570752608995</t>
  </si>
  <si>
    <t>-Lqs8hmhCXIUkq8f7HbT</t>
  </si>
  <si>
    <t>1570752616395</t>
  </si>
  <si>
    <t>-Lqs8jUVrDLimF3AFNjS</t>
  </si>
  <si>
    <t>1570752623406</t>
  </si>
  <si>
    <t>-Lqs8lLCBwP2y6opjPag</t>
  </si>
  <si>
    <t>1570752629571</t>
  </si>
  <si>
    <t>-Lqs8n0YeENzen9PzKsZ</t>
  </si>
  <si>
    <t>1570752637885</t>
  </si>
  <si>
    <t>-Lqs8oV3bisg1EoJmggS</t>
  </si>
  <si>
    <t>1570752644028</t>
  </si>
  <si>
    <t>-Lqs8q0Gp-9iLhXkm1pp</t>
  </si>
  <si>
    <t>1570752650183</t>
  </si>
  <si>
    <t>-Lqs8rVK4VdoInne-44k</t>
  </si>
  <si>
    <t>1570752656390</t>
  </si>
  <si>
    <t>-Lqs8t0NwFHPy_6c4sY2</t>
  </si>
  <si>
    <t>1570752662560</t>
  </si>
  <si>
    <t>-Lqs8uW-mPwFumERIZq0</t>
  </si>
  <si>
    <t>1570752668715</t>
  </si>
  <si>
    <t>-Lqs8w2o9yPVADnAF4aZ</t>
  </si>
  <si>
    <t>1570752674899</t>
  </si>
  <si>
    <t>-Lqs8xZw_BWNJ3oM3gKF</t>
  </si>
  <si>
    <t>1570752681130</t>
  </si>
  <si>
    <t>-Lqs8z3FN7AsW5KLJI4q</t>
  </si>
  <si>
    <t>1570752687285</t>
  </si>
  <si>
    <t>-Lqs9-_idoBZtrJIoQWx</t>
  </si>
  <si>
    <t>1570752693444</t>
  </si>
  <si>
    <t>-Lqs913CqkjMqCCOgB6S</t>
  </si>
  <si>
    <t>1570752699630</t>
  </si>
  <si>
    <t>-Lqs92aKP-vS9o_oprHi</t>
  </si>
  <si>
    <t>1570752705845</t>
  </si>
  <si>
    <t>-Lqs946p9XVnCpF2pMzj</t>
  </si>
  <si>
    <t>1570752712035</t>
  </si>
  <si>
    <t>-Lqs95bYk4DZQl-z7hC8</t>
  </si>
  <si>
    <t>1570752718213</t>
  </si>
  <si>
    <t>-Lqs97Pcee7Sr0D33EXP</t>
  </si>
  <si>
    <t>1570752725596</t>
  </si>
  <si>
    <t>-Lqs98sOh3z94kXtWY7D</t>
  </si>
  <si>
    <t>1570752731571</t>
  </si>
  <si>
    <t>-Lqs9AQ9DzvsBd8RK5DW</t>
  </si>
  <si>
    <t>1570752737818</t>
  </si>
  <si>
    <t>-Lqs9By1XcUNe_g-CGww</t>
  </si>
  <si>
    <t>1570752743978</t>
  </si>
  <si>
    <t>-Lqs9DeeUL3g1NpPtCmN</t>
  </si>
  <si>
    <t>1570752751173</t>
  </si>
  <si>
    <t>-Lqs9FCZDTOfFx8zFpk0</t>
  </si>
  <si>
    <t>1570752757336</t>
  </si>
  <si>
    <t>-Lqs9Gy6-PNYiLOuNnI1</t>
  </si>
  <si>
    <t>1570752763503</t>
  </si>
  <si>
    <t>-Lqs9IQfkRh9kAHmpXQ5</t>
  </si>
  <si>
    <t>1570752770704</t>
  </si>
  <si>
    <t>-Lqs9JzcF83qdqUAuWmv</t>
  </si>
  <si>
    <t>1570752776936</t>
  </si>
  <si>
    <t>-Lqs9LhdAzIfwMmXr1ck</t>
  </si>
  <si>
    <t>1570752784126</t>
  </si>
  <si>
    <t>-Lqs9NFcHT_fTr68Z5GD</t>
  </si>
  <si>
    <t>1570752790302</t>
  </si>
  <si>
    <t>-Lqs9OjO_pWsU_G4ynms</t>
  </si>
  <si>
    <t>1570752796462</t>
  </si>
  <si>
    <t>-Lqs9QFtQthBsx8pAS3I</t>
  </si>
  <si>
    <t>1570752802698</t>
  </si>
  <si>
    <t>-Lqs9Rl8ZOR3jKtXqoRd</t>
  </si>
  <si>
    <t>1570752808855</t>
  </si>
  <si>
    <t>-Lqs9TGO5_hRgvtnabuk</t>
  </si>
  <si>
    <t>1570752815087</t>
  </si>
  <si>
    <t>-Lqs9UkOFmYSAIvHHfZU</t>
  </si>
  <si>
    <t>1570752821221</t>
  </si>
  <si>
    <t>-Lqs9WHpsnfS54EIMlxx</t>
  </si>
  <si>
    <t>1570752827418</t>
  </si>
  <si>
    <t>-Lqs9XohNs4mmRMGgIIS</t>
  </si>
  <si>
    <t>1570752833652</t>
  </si>
  <si>
    <t>-Lqs9ZMO7GZ_97tvaD-k</t>
  </si>
  <si>
    <t>1570752839816</t>
  </si>
  <si>
    <t>-Lqs9a4NPAlLnHKBf2UX</t>
  </si>
  <si>
    <t>1570752847016</t>
  </si>
  <si>
    <t>-Lqs9b_Zo9V2wGyzlUeG</t>
  </si>
  <si>
    <t>1570752853182</t>
  </si>
  <si>
    <t>-Lqs9d4r8j12-7nGJHYw</t>
  </si>
  <si>
    <t>1570752859336</t>
  </si>
  <si>
    <t>-Lqs9ebJ-GyUAg49nvsp</t>
  </si>
  <si>
    <t>1570752865577</t>
  </si>
  <si>
    <t>-Lqs9g5T7b8jGrqpi2AJ</t>
  </si>
  <si>
    <t>1570752871661</t>
  </si>
  <si>
    <t>-Lqs9htNf1MwJreeZfdN</t>
  </si>
  <si>
    <t>1570752878932</t>
  </si>
  <si>
    <t>-Lqs9jbOudakkoVDlk2n</t>
  </si>
  <si>
    <t>1570752886122</t>
  </si>
  <si>
    <t>-Lqs9l8axjCkpL_H5ome</t>
  </si>
  <si>
    <t>1570752892297</t>
  </si>
  <si>
    <t>-Lqs9meMm9j0Q6O8sU7X</t>
  </si>
  <si>
    <t>1570752898540</t>
  </si>
  <si>
    <t>-Lqs9o9KJycgolLf3alq</t>
  </si>
  <si>
    <t>1570752904661</t>
  </si>
  <si>
    <t>-Lqs9peyhXcdNSWazaZe</t>
  </si>
  <si>
    <t>1570752910893</t>
  </si>
  <si>
    <t>-Lqs9rADkdngfLHbJ5Il</t>
  </si>
  <si>
    <t>1570752917027</t>
  </si>
  <si>
    <t>-Lqs9sgc3q4-kRoZK6XY</t>
  </si>
  <si>
    <t>1570752923256</t>
  </si>
  <si>
    <t>-Lqs9uAc6P7ysoAo0ss5</t>
  </si>
  <si>
    <t>1570752929417</t>
  </si>
  <si>
    <t>-Lqs9vh7FUx3-6ogIxrg</t>
  </si>
  <si>
    <t>1570752935577</t>
  </si>
  <si>
    <t>-Lqs9xSd9qUlRme9hMDl</t>
  </si>
  <si>
    <t>1570752942796</t>
  </si>
  <si>
    <t>-Lqs9z5bDfmu8GHtc8RJ</t>
  </si>
  <si>
    <t>1570752949002</t>
  </si>
  <si>
    <t>-LqsA-jch0OGsP32BLsF</t>
  </si>
  <si>
    <t>1570752956217</t>
  </si>
  <si>
    <t>-LqsA1Dcl1srHUR46_dS</t>
  </si>
  <si>
    <t>1570752962377</t>
  </si>
  <si>
    <t>-LqsA2lNcdVAK-PPPl9v</t>
  </si>
  <si>
    <t>1570752968542</t>
  </si>
  <si>
    <t>-LqsA4FNJBkJMtz8agZb</t>
  </si>
  <si>
    <t>1570752974700</t>
  </si>
  <si>
    <t>-LqsA64srPslQd46c9kV</t>
  </si>
  <si>
    <t>1570752982217</t>
  </si>
  <si>
    <t>-LqsA87ztDm4nOUCfXsZ</t>
  </si>
  <si>
    <t>1570752989177</t>
  </si>
  <si>
    <t>-LqsA9nOOmcUCYiQ3aLh</t>
  </si>
  <si>
    <t>1570752997417</t>
  </si>
  <si>
    <t>-LqsABHNVf7G8TXuXyj-</t>
  </si>
  <si>
    <t>1570753003574</t>
  </si>
  <si>
    <t>-LqsACobKwAi9_2fgo2L</t>
  </si>
  <si>
    <t>1570753009799</t>
  </si>
  <si>
    <t>-LqsAEJ8-xeyI8NHfxgq</t>
  </si>
  <si>
    <t>1570753015971</t>
  </si>
  <si>
    <t>-LqsAFpdudG8wsYYyOW3</t>
  </si>
  <si>
    <t>1570753022138</t>
  </si>
  <si>
    <t>-LqsAHLvV_tzfzppoy-A</t>
  </si>
  <si>
    <t>1570753028297</t>
  </si>
  <si>
    <t>-LqsAIrNH5SbFrqxm88f</t>
  </si>
  <si>
    <t>1570753034537</t>
  </si>
  <si>
    <t>-LqsAKMnZH359JidUQVd</t>
  </si>
  <si>
    <t>1570753040699</t>
  </si>
  <si>
    <t>-LqsAM5wzPTitii-9yaa</t>
  </si>
  <si>
    <t>1570753047881</t>
  </si>
  <si>
    <t>-LqsANcNKSmmnRw-Wp_u</t>
  </si>
  <si>
    <t>1570753054056</t>
  </si>
  <si>
    <t>-LqsAP8eAFVntttgHkbK</t>
  </si>
  <si>
    <t>1570753060299</t>
  </si>
  <si>
    <t>-LqsAQdtWf2TCrTf6Ehz</t>
  </si>
  <si>
    <t>1570753066458</t>
  </si>
  <si>
    <t>-LqsASAK1t-cN2OR--NR</t>
  </si>
  <si>
    <t>1570753072616</t>
  </si>
  <si>
    <t>-LqsATecJwGvHDCCZyE_</t>
  </si>
  <si>
    <t>1570753078781</t>
  </si>
  <si>
    <t>-LqsAVTwya3cqisXFFsF</t>
  </si>
  <si>
    <t>1570753086056</t>
  </si>
  <si>
    <t>-LqsAXBs7gq8ybtc4YKw</t>
  </si>
  <si>
    <t>1570753093257</t>
  </si>
  <si>
    <t>-LqsAYgvQMEkLgH3n-KP</t>
  </si>
  <si>
    <t>1570753099418</t>
  </si>
  <si>
    <t>-LqsA_Au4pRvSl0vrj3Y</t>
  </si>
  <si>
    <t>1570753105576</t>
  </si>
  <si>
    <t>-LqsAahZPmjpWlEmQIFZ</t>
  </si>
  <si>
    <t>1570753111756</t>
  </si>
  <si>
    <t>-LqsAcQObjg5Wqec6Oqy</t>
  </si>
  <si>
    <t>1570753118541</t>
  </si>
  <si>
    <t>-LqsAdzYE7pGkIo_mYOS</t>
  </si>
  <si>
    <t>1570753125177</t>
  </si>
  <si>
    <t>-LqsAfUomK7Uni6XuO-c</t>
  </si>
  <si>
    <t>1570753131336</t>
  </si>
  <si>
    <t>-LqsAgzR_vvUZytak1Tf</t>
  </si>
  <si>
    <t>1570753137532</t>
  </si>
  <si>
    <t>-LqsAiW0g1oO0zVVTZzI</t>
  </si>
  <si>
    <t>1570753143697</t>
  </si>
  <si>
    <t>-LqsAk1VMSmEGCkynm-1</t>
  </si>
  <si>
    <t>1570753149926</t>
  </si>
  <si>
    <t>-LqsAlWYn7FVkmjjw39v</t>
  </si>
  <si>
    <t>1570753156092</t>
  </si>
  <si>
    <t>-LqsAn20EsfwDYo6Pfki</t>
  </si>
  <si>
    <t>1570753162261</t>
  </si>
  <si>
    <t>-LqsAoda7M9ezhPd8U6G</t>
  </si>
  <si>
    <t>1570753168418</t>
  </si>
  <si>
    <t>-LqsAqOg9fGnY4qukdNl</t>
  </si>
  <si>
    <t>1570753175677</t>
  </si>
  <si>
    <t>-LqsAs3GyjP7Y2fHkEcm</t>
  </si>
  <si>
    <t>1570753182842</t>
  </si>
  <si>
    <t>-LqsAt_kfHorXCRQ0Q3R</t>
  </si>
  <si>
    <t>1570753189062</t>
  </si>
  <si>
    <t>-LqsAvLIPorebwz9sB9B</t>
  </si>
  <si>
    <t>1570753195219</t>
  </si>
  <si>
    <t>-LqsAx0mRS5WrRw582ZH</t>
  </si>
  <si>
    <t>1570753203241</t>
  </si>
  <si>
    <t>-LqsAycOVohVs6v5nn47</t>
  </si>
  <si>
    <t>1570753209700</t>
  </si>
  <si>
    <t>-LqsB-6IttlECYvkadyq</t>
  </si>
  <si>
    <t>1570753215856</t>
  </si>
  <si>
    <t>-LqsB0coGz9KROA4Hlby</t>
  </si>
  <si>
    <t>1570753222019</t>
  </si>
  <si>
    <t>-LqsB283T3ngellrEbAH</t>
  </si>
  <si>
    <t>1570753228180</t>
  </si>
  <si>
    <t>-LqsB3dJEO3RftnfDCBe</t>
  </si>
  <si>
    <t>1570753234420</t>
  </si>
  <si>
    <t>-LqsB59oZaMbtaXXqsvm</t>
  </si>
  <si>
    <t>1570753240580</t>
  </si>
  <si>
    <t>-LqsB6gIxLcdmtgwiZ78</t>
  </si>
  <si>
    <t>1570753246735</t>
  </si>
  <si>
    <t>-LqsB8BcirEmXxu5K_6Q</t>
  </si>
  <si>
    <t>1570753253044</t>
  </si>
  <si>
    <t>-LqsB9fA8RO1bztrP6tl</t>
  </si>
  <si>
    <t>1570753259065</t>
  </si>
  <si>
    <t>-LqsBBC2zA2VowDQAcfn</t>
  </si>
  <si>
    <t>1570753265299</t>
  </si>
  <si>
    <t>-LqsBCihKJHvU2QJYFO1</t>
  </si>
  <si>
    <t>1570753271464</t>
  </si>
  <si>
    <t>-LqsBECZPhH-DRX3Epvh</t>
  </si>
  <si>
    <t>1570753277624</t>
  </si>
  <si>
    <t>-LqsBFj3HNHKdnH7F1uQ</t>
  </si>
  <si>
    <t>1570753283864</t>
  </si>
  <si>
    <t>-LqsBHDp9GSJaRwG2Uem</t>
  </si>
  <si>
    <t>1570753290024</t>
  </si>
  <si>
    <t>-LqsBIjT4GVBsWg2EISs</t>
  </si>
  <si>
    <t>1570753296244</t>
  </si>
  <si>
    <t>-LqsBKG74Mt-Oeyuxkon</t>
  </si>
  <si>
    <t>1570753302427</t>
  </si>
  <si>
    <t>-LqsBLl4krLr6HnykhHG</t>
  </si>
  <si>
    <t>1570753308550</t>
  </si>
  <si>
    <t>-LqsBNGdjac8887LLk5U</t>
  </si>
  <si>
    <t>1570753314744</t>
  </si>
  <si>
    <t>-LqsBOn7TGtaDvYKRCgx</t>
  </si>
  <si>
    <t>1570753320909</t>
  </si>
  <si>
    <t>-LqsBQJKV7dywiWtv4xe</t>
  </si>
  <si>
    <t>1570753327076</t>
  </si>
  <si>
    <t>-LqsBRv3RERFEmUVqDjk</t>
  </si>
  <si>
    <t>1570753333509</t>
  </si>
  <si>
    <t>-LqsBTaZ4fRsaN1Nljmz</t>
  </si>
  <si>
    <t>1570753340499</t>
  </si>
  <si>
    <t>-LqsBVKUx-F3max7z8bN</t>
  </si>
  <si>
    <t>1570753347699</t>
  </si>
  <si>
    <t>-LqsBWoxgKJKAhNuD_OR</t>
  </si>
  <si>
    <t>1570753353888</t>
  </si>
  <si>
    <t>-LqsBYLXpGLNDU-cT-C7</t>
  </si>
  <si>
    <t>1570753360102</t>
  </si>
  <si>
    <t>-LqsBZqm_BG2GysG__cj</t>
  </si>
  <si>
    <t>1570753366270</t>
  </si>
  <si>
    <t>-LqsBaLt4mGaiDVV6hHr</t>
  </si>
  <si>
    <t>1570753372431</t>
  </si>
  <si>
    <t>-LqsBbqWRV331nE67jcD</t>
  </si>
  <si>
    <t>1570753378639</t>
  </si>
  <si>
    <t>-LqsBdQXVM1ZXzn8ESRa</t>
  </si>
  <si>
    <t>1570753384849</t>
  </si>
  <si>
    <t>-LqsBf7LfsLD5Ty6Hl0r</t>
  </si>
  <si>
    <t>1570753392056</t>
  </si>
  <si>
    <t>-LqsBgc3HDj4nUuPjiaX</t>
  </si>
  <si>
    <t>1570753398194</t>
  </si>
  <si>
    <t>-LqsBiTDUZ3VuVgGJfX_</t>
  </si>
  <si>
    <t>1570753404385</t>
  </si>
  <si>
    <t>-LqsBk9msKwr9qZp6vi7</t>
  </si>
  <si>
    <t>1570753412676</t>
  </si>
  <si>
    <t>-LqsBlgE4UAhxPlIkqgW</t>
  </si>
  <si>
    <t>1570753418850</t>
  </si>
  <si>
    <t>-LqsBnAIgVN9A5dDsZ9Z</t>
  </si>
  <si>
    <t>1570753424971</t>
  </si>
  <si>
    <t>-LqsBoi38NdIBKG0nvo_</t>
  </si>
  <si>
    <t>1570753431177</t>
  </si>
  <si>
    <t>-LqsBqQa3__B5IeoOQ7M</t>
  </si>
  <si>
    <t>1570753438372</t>
  </si>
  <si>
    <t>-LqsBrym653SK2_TflQW</t>
  </si>
  <si>
    <t>1570753444557</t>
  </si>
  <si>
    <t>-LqsBtTy7ugh4nKaXNBW</t>
  </si>
  <si>
    <t>1570753450771</t>
  </si>
  <si>
    <t>-LqsBuzJO4nvpFccevmJ</t>
  </si>
  <si>
    <t>1570753456932</t>
  </si>
  <si>
    <t>-LqsBwTNj8mJzeSXEeSf</t>
  </si>
  <si>
    <t>1570753463095</t>
  </si>
  <si>
    <t>-LqsBxzsmVYyAe2lonu9</t>
  </si>
  <si>
    <t>1570753469282</t>
  </si>
  <si>
    <t>-LqsBzXSRxePApaqgJJP</t>
  </si>
  <si>
    <t>1570753475492</t>
  </si>
  <si>
    <t>-LqsC0GmqBona-wMNg_L</t>
  </si>
  <si>
    <t>1570753482692</t>
  </si>
  <si>
    <t>-LqsC1n3G57rTI8jf-Vg</t>
  </si>
  <si>
    <t>1570753488852</t>
  </si>
  <si>
    <t>-LqsC3HJkMMotyPD8AI7</t>
  </si>
  <si>
    <t>1570753495030</t>
  </si>
  <si>
    <t>-LqsC59utF_7SBw5Foq1</t>
  </si>
  <si>
    <t>1570753502612</t>
  </si>
  <si>
    <t>-LqsC6odQqd8bYZhxqnu</t>
  </si>
  <si>
    <t>1570753509486</t>
  </si>
  <si>
    <t>-LqsC8K0QJB_DhBNLES3</t>
  </si>
  <si>
    <t>1570753515661</t>
  </si>
  <si>
    <t>-LqsC9rZJQzHUZugwYtq</t>
  </si>
  <si>
    <t>1570753521827</t>
  </si>
  <si>
    <t>-LqsCB_E3LQrS0tTZ_6y</t>
  </si>
  <si>
    <t>1570753529077</t>
  </si>
  <si>
    <t>-LqsCD747btdxTDjdZzk</t>
  </si>
  <si>
    <t>1570753535251</t>
  </si>
  <si>
    <t>-LqsCEZht1vU51KVZ23G</t>
  </si>
  <si>
    <t>1570753541396</t>
  </si>
  <si>
    <t>-LqsCG6Ti82Xfpeh4htz</t>
  </si>
  <si>
    <t>1570753547581</t>
  </si>
  <si>
    <t>-LqsCHbnF_JmIqzoWKQh</t>
  </si>
  <si>
    <t>1570753553777</t>
  </si>
  <si>
    <t>-LqsCJ6z3G5fNB0Zw8jf</t>
  </si>
  <si>
    <t>1570753559965</t>
  </si>
  <si>
    <t>-LqsCKcIAX4w5_xb62KH</t>
  </si>
  <si>
    <t>1570753566144</t>
  </si>
  <si>
    <t>-LqsCM8t3GI3I_T39D4j</t>
  </si>
  <si>
    <t>1570753572367</t>
  </si>
  <si>
    <t>-LqsCNff89uo08Yr_T8l</t>
  </si>
  <si>
    <t>1570753578537</t>
  </si>
  <si>
    <t>-LqsCP9204SkvK4w9J0Z</t>
  </si>
  <si>
    <t>1570753584697</t>
  </si>
  <si>
    <t>-LqsCQfoYGRekr6dDDqN</t>
  </si>
  <si>
    <t>1570753590860</t>
  </si>
  <si>
    <t>-LqsCSCJS_F8lxaGrAPG</t>
  </si>
  <si>
    <t>1570753597092</t>
  </si>
  <si>
    <t>-LqsCThX1V7NPcGQFbDH</t>
  </si>
  <si>
    <t>1570753603252</t>
  </si>
  <si>
    <t>-LqsCVE3QwwMRNwFbHQL</t>
  </si>
  <si>
    <t>1570753609422</t>
  </si>
  <si>
    <t>-LqsCWhtvZ_69oTYpy9N</t>
  </si>
  <si>
    <t>1570753615631</t>
  </si>
  <si>
    <t>-LqsCYUnsQmsgQ7XGL9m</t>
  </si>
  <si>
    <t>1570753622868</t>
  </si>
  <si>
    <t>-LqsCZznW9eOt6irhb1l</t>
  </si>
  <si>
    <t>1570753629011</t>
  </si>
  <si>
    <t>-LqsCaV5y4nxHhpB-wmk</t>
  </si>
  <si>
    <t>1570753635173</t>
  </si>
  <si>
    <t>-LqsCc-SiXtiUWjFf8A5</t>
  </si>
  <si>
    <t>1570753641392</t>
  </si>
  <si>
    <t>-LqsCdUX6xHwS5IMwEEl</t>
  </si>
  <si>
    <t>1570753647521</t>
  </si>
  <si>
    <t>-LqsCf3nHye52cD6G-rt</t>
  </si>
  <si>
    <t>1570753653731</t>
  </si>
  <si>
    <t>-LqsCgnaZks0EVKGRWZ3</t>
  </si>
  <si>
    <t>1570753660926</t>
  </si>
  <si>
    <t>-LqsCiYHt79vRFjKmwS5</t>
  </si>
  <si>
    <t>1570753668132</t>
  </si>
  <si>
    <t>-LqsCk2Zhtc-Hrlb7ATs</t>
  </si>
  <si>
    <t>1570753674370</t>
  </si>
  <si>
    <t>-LqsClc_IUclTVMTCiyQ</t>
  </si>
  <si>
    <t>1570753680546</t>
  </si>
  <si>
    <t>-LqsCnK4CMCB1cBjAn8G</t>
  </si>
  <si>
    <t>1570753687735</t>
  </si>
  <si>
    <t>-LqsCos3b9jxDAFqn28j</t>
  </si>
  <si>
    <t>1570753693957</t>
  </si>
  <si>
    <t>-LqsCq_2RMBCaEADwYLr</t>
  </si>
  <si>
    <t>1570753701110</t>
  </si>
  <si>
    <t>-LqsCs6pGA-I5FQDGp0Y</t>
  </si>
  <si>
    <t>1570753707333</t>
  </si>
  <si>
    <t>-LqsCtboBjzk06Yznouz</t>
  </si>
  <si>
    <t>1570753713492</t>
  </si>
  <si>
    <t>-LqsCv8OaE6x1ukIr0Ax</t>
  </si>
  <si>
    <t>1570753719736</t>
  </si>
  <si>
    <t>-LqsCwcbg7I3Zu0oNzuH</t>
  </si>
  <si>
    <t>1570753725890</t>
  </si>
  <si>
    <t>-LqsCyPITLRQ2A24DwpX</t>
  </si>
  <si>
    <t>1570753732061</t>
  </si>
  <si>
    <t>-LqsCztI_914ZcPR9Sqi</t>
  </si>
  <si>
    <t>1570753739250</t>
  </si>
  <si>
    <t>-LqsD0dpurMcU6jVa9hB</t>
  </si>
  <si>
    <t>1570753746446</t>
  </si>
  <si>
    <t>-LqsD2ACJPxpHF0QS3i_</t>
  </si>
  <si>
    <t>1570753752616</t>
  </si>
  <si>
    <t>-LqsD3goBMaqSqHqE9Qk</t>
  </si>
  <si>
    <t>1570753758851</t>
  </si>
  <si>
    <t>-LqsD5AnxsVZq3ZcoTJQ</t>
  </si>
  <si>
    <t>1570753765005</t>
  </si>
  <si>
    <t>-LqsD6hMRFH-PLgj4IhC</t>
  </si>
  <si>
    <t>1570753771172</t>
  </si>
  <si>
    <t>-LqsD8CXBUfmG9ZHI5dL</t>
  </si>
  <si>
    <t>1570753777351</t>
  </si>
  <si>
    <t>-LqsD9j1NzaBJbiGAO0a</t>
  </si>
  <si>
    <t>1570753783607</t>
  </si>
  <si>
    <t>-LqsDBD2XFxvWd40PqAE</t>
  </si>
  <si>
    <t>1570753789730</t>
  </si>
  <si>
    <t>-LqsDCiCJc2EKWocP86m</t>
  </si>
  <si>
    <t>1570753795891</t>
  </si>
  <si>
    <t>-LqsDEFDdhA3dwXMJkBM</t>
  </si>
  <si>
    <t>1570753802077</t>
  </si>
  <si>
    <t>-LqsDFlh3Bl-Ss19dIFc</t>
  </si>
  <si>
    <t>1570753808317</t>
  </si>
  <si>
    <t>-LqsDHFbqkV2QKxCbfcv</t>
  </si>
  <si>
    <t>1570753814475</t>
  </si>
  <si>
    <t>-LqsDIkntHdajYqDykg8</t>
  </si>
  <si>
    <t>1570753820635</t>
  </si>
  <si>
    <t>-LqsDKHRF-9QxeoKOHbk</t>
  </si>
  <si>
    <t>1570753826801</t>
  </si>
  <si>
    <t>-LqsDM5pCYjXpMXgvsyS</t>
  </si>
  <si>
    <t>1570753833040</t>
  </si>
  <si>
    <t>-LqsDNoW-_PqINYhsNil</t>
  </si>
  <si>
    <t>1570753841284</t>
  </si>
  <si>
    <t>-LqsDPNfBqyIjsE3Hc3e</t>
  </si>
  <si>
    <t>1570753847439</t>
  </si>
  <si>
    <t>-LqsDR3FQ8V2SjUyQe-K</t>
  </si>
  <si>
    <t>1570753854642</t>
  </si>
  <si>
    <t>-LqsDS_oKvMA47BTm5hH</t>
  </si>
  <si>
    <t>1570753860804</t>
  </si>
  <si>
    <t>-LqsDU5-SYBjTemlmR5H</t>
  </si>
  <si>
    <t>1570753866986</t>
  </si>
  <si>
    <t>-LqsDVbUHJO1Gk9PJe33</t>
  </si>
  <si>
    <t>1570753873200</t>
  </si>
  <si>
    <t>-LqsDXMp-WVNRuX9eJPr</t>
  </si>
  <si>
    <t>1570753880402</t>
  </si>
  <si>
    <t>-LqsDYsEBi80l5vHeCPs</t>
  </si>
  <si>
    <t>1570753886559</t>
  </si>
  <si>
    <t>-LqsD_OjzBBv2b6MRXs6</t>
  </si>
  <si>
    <t>1570753892800</t>
  </si>
  <si>
    <t>-LqsDau-_RR8ntC-v0iU</t>
  </si>
  <si>
    <t>1570753898960</t>
  </si>
  <si>
    <t>-LqsDcPFB5a8jJgFMRGl</t>
  </si>
  <si>
    <t>1570753905119</t>
  </si>
  <si>
    <t>-LqsDdtF0sobOR1ZriUe</t>
  </si>
  <si>
    <t>1570753911284</t>
  </si>
  <si>
    <t>-LqsDfR-hSKUop6eqdCg</t>
  </si>
  <si>
    <t>1570753917520</t>
  </si>
  <si>
    <t>-LqsDh7kNnawnnIU6Xzv</t>
  </si>
  <si>
    <t>1570753924516</t>
  </si>
  <si>
    <t>-LqsDigkLLNtHvT1X_Eg</t>
  </si>
  <si>
    <t>1570753930879</t>
  </si>
  <si>
    <t>-LqsDkAl34EyxSZjsRte</t>
  </si>
  <si>
    <t>1570753937035</t>
  </si>
  <si>
    <t>-LqsDliGqy2hthb4d7Mj</t>
  </si>
  <si>
    <t>1570753943279</t>
  </si>
  <si>
    <t>-LqsDnDl0oszVfPTNCRb</t>
  </si>
  <si>
    <t>1570753949439</t>
  </si>
  <si>
    <t>-LqsDomWXX3JIueswkY_</t>
  </si>
  <si>
    <t>1570753955605</t>
  </si>
  <si>
    <t>-LqsDqVk5e8V_DLETxwj</t>
  </si>
  <si>
    <t>1570753962800</t>
  </si>
  <si>
    <t>-LqsDs1EkzAQvXBs6hTm</t>
  </si>
  <si>
    <t>1570753968982</t>
  </si>
  <si>
    <t>-LqsDtm8eicUb5_oSKVK</t>
  </si>
  <si>
    <t>1570753976215</t>
  </si>
  <si>
    <t>-LqsDvGC8UmXr39z0Jgz</t>
  </si>
  <si>
    <t>1570753982385</t>
  </si>
  <si>
    <t>-LqsDwkM8c1_mgtDuCka</t>
  </si>
  <si>
    <t>1570753988570</t>
  </si>
  <si>
    <t>-LqsDyJLXV2Bx33Xl2uU</t>
  </si>
  <si>
    <t>1570753994776</t>
  </si>
  <si>
    <t>-LqsE-2bYQ-W_AttlGSf</t>
  </si>
  <si>
    <t>1570754001975</t>
  </si>
  <si>
    <t>-LqsE0Yr8dbD0Kul26LY</t>
  </si>
  <si>
    <t>1570754008139</t>
  </si>
  <si>
    <t>-LqsE22zT1TD4lG1z4en</t>
  </si>
  <si>
    <t>1570754014369</t>
  </si>
  <si>
    <t>-LqsE3_NeYRjcpsSp9eD</t>
  </si>
  <si>
    <t>1570754020534</t>
  </si>
  <si>
    <t>-LqsE54rB_cDfS_NrPPR</t>
  </si>
  <si>
    <t>1570754026694</t>
  </si>
  <si>
    <t>-LqsE6Zs-nq2L0tJPeFu</t>
  </si>
  <si>
    <t>1570754032865</t>
  </si>
  <si>
    <t>-LqsE86cwloyUyDL6wwn</t>
  </si>
  <si>
    <t>1570754039094</t>
  </si>
  <si>
    <t>-LqsE9tXf8uOiPhyl7ME</t>
  </si>
  <si>
    <t>1570754045256</t>
  </si>
  <si>
    <t>-LqsEBv33WKjI9mOSj1d</t>
  </si>
  <si>
    <t>1570754054698</t>
  </si>
  <si>
    <t>-LqsEDdYRdURUNGnk3Di</t>
  </si>
  <si>
    <t>1570754061743</t>
  </si>
  <si>
    <t>-LqsEF9oiwno6kj3Wxqm</t>
  </si>
  <si>
    <t>1570754067892</t>
  </si>
  <si>
    <t>-LqsEGdnTfvfETI94ves</t>
  </si>
  <si>
    <t>1570754074051</t>
  </si>
  <si>
    <t>-LqsEI9-YI_XPry0V14b</t>
  </si>
  <si>
    <t>1570754080293</t>
  </si>
  <si>
    <t>-LqsEJeIK3ay_hBvYYkw</t>
  </si>
  <si>
    <t>1570754086451</t>
  </si>
  <si>
    <t>-LqsELC-kL-NgtSUENry</t>
  </si>
  <si>
    <t>1570754092622</t>
  </si>
  <si>
    <t>-LqsEMfeStqGecm5IPsy</t>
  </si>
  <si>
    <t>1570754098846</t>
  </si>
  <si>
    <t>-LqsEOCUXLCD7Qkwv-Uu</t>
  </si>
  <si>
    <t>1570754105012</t>
  </si>
  <si>
    <t>-LqsEPhoyAmquK1FSWWQ</t>
  </si>
  <si>
    <t>1570754111172</t>
  </si>
  <si>
    <t>-LqsERD2qcQbW3QOO8xT</t>
  </si>
  <si>
    <t>1570754117413</t>
  </si>
  <si>
    <t>-LqsESj_G_odDT8zxcsj</t>
  </si>
  <si>
    <t>1570754123572</t>
  </si>
  <si>
    <t>-LqsEUEnieQ0eJ914aSS</t>
  </si>
  <si>
    <t>1570754129732</t>
  </si>
  <si>
    <t>-LqsEVjp8gor87FybSfN</t>
  </si>
  <si>
    <t>1570754135903</t>
  </si>
  <si>
    <t>-LqsEXGZkCdJH8E804Ns</t>
  </si>
  <si>
    <t>1570754142131</t>
  </si>
  <si>
    <t>-LqsEYloetGcTU0Fph--</t>
  </si>
  <si>
    <t>1570754148291</t>
  </si>
  <si>
    <t>-LqsE_H8TEBWDl6PB3_i</t>
  </si>
  <si>
    <t>1570754154451</t>
  </si>
  <si>
    <t>-LqsEamIX-BMo6nVQkxQ</t>
  </si>
  <si>
    <t>1570754160676</t>
  </si>
  <si>
    <t>-LqsEcHYlSX7BJ-enLUe</t>
  </si>
  <si>
    <t>1570754166847</t>
  </si>
  <si>
    <t>-LqsEdnpdvcxLvPy79sB</t>
  </si>
  <si>
    <t>1570754173012</t>
  </si>
  <si>
    <t>-LqsEfJIxo3p3IteH7Fm</t>
  </si>
  <si>
    <t>1570754179173</t>
  </si>
  <si>
    <t>-LqsEgpnN2pwNy8oj7Xn</t>
  </si>
  <si>
    <t>1570754185412</t>
  </si>
  <si>
    <t>-LqsEiL3u-Yp9g1uJAbE</t>
  </si>
  <si>
    <t>1570754191572</t>
  </si>
  <si>
    <t>-LqsEjqJ2CdcygFeuecv</t>
  </si>
  <si>
    <t>1570754197731</t>
  </si>
  <si>
    <t>-LqsElLVN4esthwmkJr7</t>
  </si>
  <si>
    <t>1570754203901</t>
  </si>
  <si>
    <t>-LqsEmruMWYeeTLBx3Q2</t>
  </si>
  <si>
    <t>1570754210131</t>
  </si>
  <si>
    <t>-LqsEoNIQ51bfqlABr4R</t>
  </si>
  <si>
    <t>1570754216292</t>
  </si>
  <si>
    <t>-LqsEpsavazPXqBH4pGG</t>
  </si>
  <si>
    <t>1570754222453</t>
  </si>
  <si>
    <t>-LqsErd3i0TXs9dhM5AN</t>
  </si>
  <si>
    <t>1570754229714</t>
  </si>
  <si>
    <t>-LqsEt9Zoy5-ACnl5fVR</t>
  </si>
  <si>
    <t>1570754235892</t>
  </si>
  <si>
    <t>-LqsEud_3Dy0GL4TJPkf</t>
  </si>
  <si>
    <t>1570754242023</t>
  </si>
  <si>
    <t>-LqsEwA38FGa2TRYG0u3</t>
  </si>
  <si>
    <t>1570754248213</t>
  </si>
  <si>
    <t>-LqsExfJ0LyF2dRbqleo</t>
  </si>
  <si>
    <t>1570754254447</t>
  </si>
  <si>
    <t>-LqsEzTb-EHBNjQVVPL9</t>
  </si>
  <si>
    <t>1570754261767</t>
  </si>
  <si>
    <t>-LqsF0E8ml9ux4WqU91m</t>
  </si>
  <si>
    <t>1570754268883</t>
  </si>
  <si>
    <t>-LqsF1xM_Kh9SC8DEEMm</t>
  </si>
  <si>
    <t>1570754276070</t>
  </si>
  <si>
    <t>-LqsF3Tci0KGSTYe9fjm</t>
  </si>
  <si>
    <t>1570754282232</t>
  </si>
  <si>
    <t>-LqsF4yn-s4Pqj7m3uHI</t>
  </si>
  <si>
    <t>1570754288414</t>
  </si>
  <si>
    <t>-LqsF6TuEcATqpAkpx0a</t>
  </si>
  <si>
    <t>1570754294628</t>
  </si>
  <si>
    <t>-LqsF8-_SMNpyp8t_OA2</t>
  </si>
  <si>
    <t>1570754300792</t>
  </si>
  <si>
    <t>-LqsF9UnFgccG7EbPNLu</t>
  </si>
  <si>
    <t>1570754306948</t>
  </si>
  <si>
    <t>-LqsFB-Z_MRBHKksN8j9</t>
  </si>
  <si>
    <t>1570754313118</t>
  </si>
  <si>
    <t>-LqsFCXeebvlIuhGjyTR</t>
  </si>
  <si>
    <t>1570754319353</t>
  </si>
  <si>
    <t>-LqsFE0cYInXZV685O-Q</t>
  </si>
  <si>
    <t>1570754325510</t>
  </si>
  <si>
    <t>-LqsFFWt4ze3xSz9i_k1</t>
  </si>
  <si>
    <t>1570754331668</t>
  </si>
  <si>
    <t>-LqsFH2M0DS1hfFy7zXv</t>
  </si>
  <si>
    <t>1570754337843</t>
  </si>
  <si>
    <t>-LqsFIYcr6FNC8eiZpmQ</t>
  </si>
  <si>
    <t>1570754344068</t>
  </si>
  <si>
    <t>-LqsFK3pOjFjj75499Ha</t>
  </si>
  <si>
    <t>1570754350232</t>
  </si>
  <si>
    <t>-LqsFL_S8VgFPmnFiHjB</t>
  </si>
  <si>
    <t>1570754356393</t>
  </si>
  <si>
    <t>-LqsFN5sPz6ciLBqMPZm</t>
  </si>
  <si>
    <t>1570754362637</t>
  </si>
  <si>
    <t>-LqsFOrOSU-l9eOFr_ch</t>
  </si>
  <si>
    <t>1570754369833</t>
  </si>
  <si>
    <t>-LqsFQMbg2ByuWepQpFZ</t>
  </si>
  <si>
    <t>1570754375993</t>
  </si>
  <si>
    <t>-LqsFRt89De6yDf2gfOw</t>
  </si>
  <si>
    <t>1570754382152</t>
  </si>
  <si>
    <t>-LqsFTONVtVFM0wLE6BD</t>
  </si>
  <si>
    <t>1570754388316</t>
  </si>
  <si>
    <t>-LqsFUtcv34RdRpHOSz6</t>
  </si>
  <si>
    <t>1570754394562</t>
  </si>
  <si>
    <t>-LqsFWQ2fPo9eCASLf2o</t>
  </si>
  <si>
    <t>1570754400713</t>
  </si>
  <si>
    <t>-LqsFXu6td_wVOP9Q8-Y</t>
  </si>
  <si>
    <t>1570754406938</t>
  </si>
  <si>
    <t>-LqsFZQaxQLLCIECI9-i</t>
  </si>
  <si>
    <t>1570754413108</t>
  </si>
  <si>
    <t>-LqsF_vse-Zm7fAJdaiy</t>
  </si>
  <si>
    <t>1570754419273</t>
  </si>
  <si>
    <t>-LqsFbPrprsLwiiZJH46</t>
  </si>
  <si>
    <t>1570754425426</t>
  </si>
  <si>
    <t>-LqsFcxlpQ-t2TQaHftL</t>
  </si>
  <si>
    <t>1570754431672</t>
  </si>
  <si>
    <t>-LqsFeRiaNIwVhah-XjW</t>
  </si>
  <si>
    <t>1570754437767</t>
  </si>
  <si>
    <t>-LqsFfyNwKZWmUU1VZKQ</t>
  </si>
  <si>
    <t>1570754444001</t>
  </si>
  <si>
    <t>-LqsFhTTLQRvgROhYSjH</t>
  </si>
  <si>
    <t>1570754450163</t>
  </si>
  <si>
    <t>-LqsFizyK6pYtfhZrOtH</t>
  </si>
  <si>
    <t>1570754456412</t>
  </si>
  <si>
    <t>-LqsFkVD3zfXAMSU5UBw</t>
  </si>
  <si>
    <t>1570754462558</t>
  </si>
  <si>
    <t>-LqsFmGy2qzCWHShBJDu</t>
  </si>
  <si>
    <t>1570754468718</t>
  </si>
  <si>
    <t>-LqsFnkkmYNER0YYiPaA</t>
  </si>
  <si>
    <t>1570754475923</t>
  </si>
  <si>
    <t>-LqsFpHTTMzsAhgoQ9Vc</t>
  </si>
  <si>
    <t>1570754482160</t>
  </si>
  <si>
    <t>-LqsFqmiHqqBJ1MWhd7q</t>
  </si>
  <si>
    <t>1570754488318</t>
  </si>
  <si>
    <t>-LqsFsLkx56YAnZKiYlH</t>
  </si>
  <si>
    <t>1570754494488</t>
  </si>
  <si>
    <t>-LqsFu3j2Ypf-9dNrWcw</t>
  </si>
  <si>
    <t>1570754501685</t>
  </si>
  <si>
    <t>-LqsFvYj-7uD1eYPn8s1</t>
  </si>
  <si>
    <t>1570754507845</t>
  </si>
  <si>
    <t>-LqsFx4N7Fft4naYSB_D</t>
  </si>
  <si>
    <t>1570754514088</t>
  </si>
  <si>
    <t>-LqsFy_TXDZGOF_YYgJq</t>
  </si>
  <si>
    <t>1570754520240</t>
  </si>
  <si>
    <t>-LqsG-5Ma_rxjo6p5qc9</t>
  </si>
  <si>
    <t>1570754526439</t>
  </si>
  <si>
    <t>-LqsG0aDrLvHbiJuSqkg</t>
  </si>
  <si>
    <t>1570754532609</t>
  </si>
  <si>
    <t>-LqsG25X5nKOlVFobwUr</t>
  </si>
  <si>
    <t>1570754538785</t>
  </si>
  <si>
    <t>-LqsG3uYl6glVM2tDqxk</t>
  </si>
  <si>
    <t>1570754546020</t>
  </si>
  <si>
    <t>-LqsG5cPM8s_QGwQO6HK</t>
  </si>
  <si>
    <t>1570754553220</t>
  </si>
  <si>
    <t>-LqsG77ytlczq8enjKoh</t>
  </si>
  <si>
    <t>1570754559389</t>
  </si>
  <si>
    <t>-LqsG8dIJRKcjOT6GLMZ</t>
  </si>
  <si>
    <t>1570754565614</t>
  </si>
  <si>
    <t>-LqsGA9VgBmRvJ5afSq8</t>
  </si>
  <si>
    <t>1570754571773</t>
  </si>
  <si>
    <t>-LqsGBf9Lx3dPqZBk_Wt</t>
  </si>
  <si>
    <t>1570754577944</t>
  </si>
  <si>
    <t>-LqsGDBa1rUgwBXB_u6v</t>
  </si>
  <si>
    <t>1570754584185</t>
  </si>
  <si>
    <t>-LqsGEfhbXrarQcuQVFZ</t>
  </si>
  <si>
    <t>1570754590334</t>
  </si>
  <si>
    <t>-LqsGGCXq-1mtIxD2buw</t>
  </si>
  <si>
    <t>1570754596530</t>
  </si>
  <si>
    <t>-LqsGHhDhq6mln9L0nyr</t>
  </si>
  <si>
    <t>1570754602690</t>
  </si>
  <si>
    <t>-LqsGJBNQf-cMMZ_taiz</t>
  </si>
  <si>
    <t>1570754608895</t>
  </si>
  <si>
    <t>-LqsGKho7xrEaUBrqEcn</t>
  </si>
  <si>
    <t>1570754615020</t>
  </si>
  <si>
    <t>-LqsGMD2_Y-w4Lx1HRku</t>
  </si>
  <si>
    <t>1570754621224</t>
  </si>
  <si>
    <t>-LqsGNjD6ec1lFQtg5WJ</t>
  </si>
  <si>
    <t>1570754627409</t>
  </si>
  <si>
    <t>-LqsGPFxNDT3BaiTHCUm</t>
  </si>
  <si>
    <t>1570754633598</t>
  </si>
  <si>
    <t>-LqsGQkL_fc5_exnjVNG</t>
  </si>
  <si>
    <t>1570754639768</t>
  </si>
  <si>
    <t>-LqsGSFbL5gJwA4W70-N</t>
  </si>
  <si>
    <t>1570754645958</t>
  </si>
  <si>
    <t>-LqsGTkraFg8vf4KEhg9</t>
  </si>
  <si>
    <t>1570754652125</t>
  </si>
  <si>
    <t>-LqsGVHRGaJCiNTm-3zB</t>
  </si>
  <si>
    <t>1570754658313</t>
  </si>
  <si>
    <t>-LqsGWngCUBXffyGLNcN</t>
  </si>
  <si>
    <t>1570754664524</t>
  </si>
  <si>
    <t>-LqsGYH99uINCm0A-W-B</t>
  </si>
  <si>
    <t>1570754670684</t>
  </si>
  <si>
    <t>-LqsG_72Rh6y_s8YErsi</t>
  </si>
  <si>
    <t>1570754676882</t>
  </si>
  <si>
    <t>-LqsGapdQNnKOWOSEOKc</t>
  </si>
  <si>
    <t>1570754685115</t>
  </si>
  <si>
    <t>-LqsGcKtBLbMPZ1T8oX1</t>
  </si>
  <si>
    <t>1570754691278</t>
  </si>
  <si>
    <t>-LqsGdoe5d12GKxK9OUm</t>
  </si>
  <si>
    <t>1570754697459</t>
  </si>
  <si>
    <t>-LqsGfLFCt95vHyAvhfN</t>
  </si>
  <si>
    <t>1570754703645</t>
  </si>
  <si>
    <t>-LqsGgrkPt6bT-KqtyWW</t>
  </si>
  <si>
    <t>1570754709823</t>
  </si>
  <si>
    <t>-LqsGiOLJJsFzqktWbZ4</t>
  </si>
  <si>
    <t>1570754715983</t>
  </si>
  <si>
    <t>-LqsGjupEfzDJnE1CTNv</t>
  </si>
  <si>
    <t>1570754722235</t>
  </si>
  <si>
    <t>-LqsGlgZQVwCPReze4sF</t>
  </si>
  <si>
    <t>1570754729434</t>
  </si>
  <si>
    <t>-LqsGnPensm_uBoIBY6m</t>
  </si>
  <si>
    <t>1570754736643</t>
  </si>
  <si>
    <t>-LqsGov8hkQTkZmMcqmf</t>
  </si>
  <si>
    <t>1570754742809</t>
  </si>
  <si>
    <t>-LqsGqR_e1CXIyF2UFgS</t>
  </si>
  <si>
    <t>1570754749043</t>
  </si>
  <si>
    <t>-LqsGs8sJIr2qSIUIf5C</t>
  </si>
  <si>
    <t>1570754755214</t>
  </si>
  <si>
    <t>-LqsGthOJ8CPuhl-JHPO</t>
  </si>
  <si>
    <t>1570754762414</t>
  </si>
  <si>
    <t>-LqsGvBOdkuUcmawpCFh</t>
  </si>
  <si>
    <t>1570754768570</t>
  </si>
  <si>
    <t>-LqsGwj7NVBHU-iTqJ8m</t>
  </si>
  <si>
    <t>1570754774808</t>
  </si>
  <si>
    <t>-LqsGyEOhV2FTvVqKOKl</t>
  </si>
  <si>
    <t>1570754780964</t>
  </si>
  <si>
    <t>-LqsGzhI1J8PF0mUIZHK</t>
  </si>
  <si>
    <t>1570754787118</t>
  </si>
  <si>
    <t>-LqsH0EoANlums89O2bn</t>
  </si>
  <si>
    <t>1570754793301</t>
  </si>
  <si>
    <t>-LqsH1kDM0zXgM3ETBEn</t>
  </si>
  <si>
    <t>1570754799524</t>
  </si>
  <si>
    <t>-LqsH3Eq5rCLF2SLtCkI</t>
  </si>
  <si>
    <t>1570754805674</t>
  </si>
  <si>
    <t>-LqsH4kE_nLOZw_q7Ndg</t>
  </si>
  <si>
    <t>1570754811843</t>
  </si>
  <si>
    <t>-LqsH6GVkQIMbd18b2T_</t>
  </si>
  <si>
    <t>1570754818024</t>
  </si>
  <si>
    <t>-LqsH7nFQQnn2dn1ILT9</t>
  </si>
  <si>
    <t>1570754824223</t>
  </si>
  <si>
    <t>-LqsH9IVQxkCnklT1k8A</t>
  </si>
  <si>
    <t>1570754830390</t>
  </si>
  <si>
    <t>-LqsHB7DYr12ChU2NIJB</t>
  </si>
  <si>
    <t>1570754837838</t>
  </si>
  <si>
    <t>-LqsHCnAZ66264C4MDuw</t>
  </si>
  <si>
    <t>1570754844819</t>
  </si>
  <si>
    <t>-LqsHEUv_3UPpp-u4u2n</t>
  </si>
  <si>
    <t>1570754851019</t>
  </si>
  <si>
    <t>-LqsHGBjKNtCJuZLwEid</t>
  </si>
  <si>
    <t>1570754858219</t>
  </si>
  <si>
    <t>-LqsHHqtgy9MC49whkdf</t>
  </si>
  <si>
    <t>1570754865427</t>
  </si>
  <si>
    <t>-LqsHJMNro6aPTvhiMfz</t>
  </si>
  <si>
    <t>1570754871619</t>
  </si>
  <si>
    <t>-LqsHKsyToOSGQ5DW_Yk</t>
  </si>
  <si>
    <t>1570754877835</t>
  </si>
  <si>
    <t>-LqsHMO8Vj0yb-EHdqeF</t>
  </si>
  <si>
    <t>1570754883999</t>
  </si>
  <si>
    <t>-LqsHNtYlM8sFQOiRaFT</t>
  </si>
  <si>
    <t>1570754890166</t>
  </si>
  <si>
    <t>-LqsHPfBDK2CWmLgBN8i</t>
  </si>
  <si>
    <t>1570754897531</t>
  </si>
  <si>
    <t>-LqsHRARVVJfHJ-Eg_oe</t>
  </si>
  <si>
    <t>1570754903595</t>
  </si>
  <si>
    <t>-LqsHSeMIBX-VPfim10C</t>
  </si>
  <si>
    <t>1570754909756</t>
  </si>
  <si>
    <t>-LqsHUAwZTyV99QdQ-5D</t>
  </si>
  <si>
    <t>1570754915925</t>
  </si>
  <si>
    <t>-LqsHVigo78wCmJzy86Y</t>
  </si>
  <si>
    <t>1570754922156</t>
  </si>
  <si>
    <t>-LqsHXRgTxqDcHKzefZh</t>
  </si>
  <si>
    <t>1570754929352</t>
  </si>
  <si>
    <t>-LqsHYy5a_WRD83fTh0R</t>
  </si>
  <si>
    <t>1570754935581</t>
  </si>
  <si>
    <t>-LqsH_TBVHDCDyBIXrN3</t>
  </si>
  <si>
    <t>1570754941685</t>
  </si>
  <si>
    <t>-LqsHazvi2-QL5b9NhFJ</t>
  </si>
  <si>
    <t>1570754947915</t>
  </si>
  <si>
    <t>-LqsHcTvL9rJJuH7E7cJ</t>
  </si>
  <si>
    <t>1570754954071</t>
  </si>
  <si>
    <t>-LqsHe-RuFE9a8kkX__D</t>
  </si>
  <si>
    <t>1570754960235</t>
  </si>
  <si>
    <t>-LqsHfpvVI-q2CP9a2bn</t>
  </si>
  <si>
    <t>1570754967455</t>
  </si>
  <si>
    <t>-LqsHhXgXth7rxlMM-ww</t>
  </si>
  <si>
    <t>1570754974716</t>
  </si>
  <si>
    <t>-LqsHj14C--mE11oJ6ck</t>
  </si>
  <si>
    <t>1570754980841</t>
  </si>
  <si>
    <t>-LqsHkYa-Ykpyqz6klcV</t>
  </si>
  <si>
    <t>1570754987061</t>
  </si>
  <si>
    <t>-LqsHm2km4fPswzdHdn2</t>
  </si>
  <si>
    <t>1570754993221</t>
  </si>
  <si>
    <t>-LqsHnZ4LH2a40XErgh0</t>
  </si>
  <si>
    <t>1570754999441</t>
  </si>
  <si>
    <t>-LqsHp3KNRvXh0ZgthZO</t>
  </si>
  <si>
    <t>1570755005621</t>
  </si>
  <si>
    <t>-LqsHqYJXI5HhAxCiewj</t>
  </si>
  <si>
    <t>1570755011775</t>
  </si>
  <si>
    <t>-LqsHs58iZszkDL0GvCs</t>
  </si>
  <si>
    <t>1570755017951</t>
  </si>
  <si>
    <t>-LqsHtaK1b367Z_nXeDa</t>
  </si>
  <si>
    <t>1570755024177</t>
  </si>
  <si>
    <t>-LqsHv6uWesRL5FAEoPA</t>
  </si>
  <si>
    <t>1570755030346</t>
  </si>
  <si>
    <t>-LqsHwc8lsK-sNqg7cmo</t>
  </si>
  <si>
    <t>1570755036506</t>
  </si>
  <si>
    <t>-LqsHy7KD26l6AI3WmdO</t>
  </si>
  <si>
    <t>1570755042667</t>
  </si>
  <si>
    <t>-LqsHzdobnxgv1196LRN</t>
  </si>
  <si>
    <t>1570755048901</t>
  </si>
  <si>
    <t>-LqsI07o60OPCRjDPSi0</t>
  </si>
  <si>
    <t>1570755055060</t>
  </si>
  <si>
    <t>-LqsI1x4fOPRgzfxb4l5</t>
  </si>
  <si>
    <t>1570755062500</t>
  </si>
  <si>
    <t>-LqsI3ksYYHGtjZw6rBT</t>
  </si>
  <si>
    <t>1570755069466</t>
  </si>
  <si>
    <t>-LqsI5QKXz6V2T6C3IAw</t>
  </si>
  <si>
    <t>1570755076671</t>
  </si>
  <si>
    <t>-LqsI6x42VKLCk-RHAPj</t>
  </si>
  <si>
    <t>1570755082902</t>
  </si>
  <si>
    <t>-LqsI8QSXMPUU7Ohr9Jm</t>
  </si>
  <si>
    <t>1570755089087</t>
  </si>
  <si>
    <t>-LqsI9yCihj7sRSECraW</t>
  </si>
  <si>
    <t>1570755095261</t>
  </si>
  <si>
    <t>-LqsIBvHpaKuW8YNVxRE</t>
  </si>
  <si>
    <t>1570755101425</t>
  </si>
  <si>
    <t>-LqsIDgy-DgGTU-I9UCR</t>
  </si>
  <si>
    <t>1570755109661</t>
  </si>
  <si>
    <t>-LqsIFEM16GG6Xn88Nzu</t>
  </si>
  <si>
    <t>1570755116878</t>
  </si>
  <si>
    <t>-LqsIGk8J6i14y1FpWB1</t>
  </si>
  <si>
    <t>1570755123032</t>
  </si>
  <si>
    <t>-LqsIIGZrQA0UIEdh09F</t>
  </si>
  <si>
    <t>1570755129272</t>
  </si>
  <si>
    <t>-LqsIJy-Lw0EpRPFjT-I</t>
  </si>
  <si>
    <t>1570755135441</t>
  </si>
  <si>
    <t>-LqsILXPN1kjpUeMINDY</t>
  </si>
  <si>
    <t>1570755142633</t>
  </si>
  <si>
    <t>-LqsIN1ZmiZTxhid6vzm</t>
  </si>
  <si>
    <t>1570755148853</t>
  </si>
  <si>
    <t>-LqsIOZ9Cie9WWi0WFUT</t>
  </si>
  <si>
    <t>1570755155028</t>
  </si>
  <si>
    <t>-LqsIQ3JMuzuMPPKeNgn</t>
  </si>
  <si>
    <t>1570755161192</t>
  </si>
  <si>
    <t>-LqsIRZY0maO4fer2nVf</t>
  </si>
  <si>
    <t>1570755167354</t>
  </si>
  <si>
    <t>-LqsIT57mupBs5orSPdJ</t>
  </si>
  <si>
    <t>1570755173593</t>
  </si>
  <si>
    <t>-LqsIUYu5Rl5sw0SIRgc</t>
  </si>
  <si>
    <t>1570755179723</t>
  </si>
  <si>
    <t>-LqsIW5FFoLfj3wWXtQc</t>
  </si>
  <si>
    <t>1570755185899</t>
  </si>
  <si>
    <t>-LqsIXaU-wEc8IyvxALE</t>
  </si>
  <si>
    <t>1570755192095</t>
  </si>
  <si>
    <t>-LqsIZ97VxBrd2REItb1</t>
  </si>
  <si>
    <t>1570755198262</t>
  </si>
  <si>
    <t>-LqsI_bdVZ6PFJK7gtrt</t>
  </si>
  <si>
    <t>1570755204449</t>
  </si>
  <si>
    <t>-LqsIb88B2kJZkYOi4SH</t>
  </si>
  <si>
    <t>1570755210647</t>
  </si>
  <si>
    <t>-LqsIcc6RWDsty0VV0Qy</t>
  </si>
  <si>
    <t>1570755216813</t>
  </si>
  <si>
    <t>-LqsIeB3v1O-H8J0-6a-</t>
  </si>
  <si>
    <t>1570755223183</t>
  </si>
  <si>
    <t>-LqsIfvNyEm0KbV-kX3z</t>
  </si>
  <si>
    <t>1570755230249</t>
  </si>
  <si>
    <t>-LqsIhPv1II_CBn8fyWQ</t>
  </si>
  <si>
    <t>1570755236443</t>
  </si>
  <si>
    <t>-LqsIiwPfu5y3uxBujtj</t>
  </si>
  <si>
    <t>1570755242603</t>
  </si>
  <si>
    <t>-LqsIkSC53qQjILHI_QT</t>
  </si>
  <si>
    <t>1570755248799</t>
  </si>
  <si>
    <t>-LqsIlxvci5enzbOZdzr</t>
  </si>
  <si>
    <t>1570755254990</t>
  </si>
  <si>
    <t>-LqsInSHNu18kyDmYI0T</t>
  </si>
  <si>
    <t>1570755261124</t>
  </si>
  <si>
    <t>-LqsIoyzexacTbDDZaGk</t>
  </si>
  <si>
    <t>1570755267310</t>
  </si>
  <si>
    <t>-LqsIqTqQ1bFC6WIDssR</t>
  </si>
  <si>
    <t>1570755273504</t>
  </si>
  <si>
    <t>-LqsIs-e4kxTqeVxob_e</t>
  </si>
  <si>
    <t>1570755279737</t>
  </si>
  <si>
    <t>-LqsIuFOusKvCMsPFa8d</t>
  </si>
  <si>
    <t>1570755289066</t>
  </si>
  <si>
    <t>-LqsIvkUYdxScropfXfi</t>
  </si>
  <si>
    <t>1570755295179</t>
  </si>
  <si>
    <t>-LqsIxJ_vWJ-27TnWqkF</t>
  </si>
  <si>
    <t>1570755301337</t>
  </si>
  <si>
    <t>-LqsIz0O2FgU1fydAVPs</t>
  </si>
  <si>
    <t>1570755308518</t>
  </si>
  <si>
    <t>-LqsJ-Xto9Vgkoqr8ttz</t>
  </si>
  <si>
    <t>1570755314708</t>
  </si>
  <si>
    <t>-LqsJ1IgKE18Zuudb-NS</t>
  </si>
  <si>
    <t>1570755320897</t>
  </si>
  <si>
    <t>-LqsJ2no7EfXsRoQX_Hz</t>
  </si>
  <si>
    <t>1570755328118</t>
  </si>
  <si>
    <t>-LqsJ4J3UjDDdgY_T-hN</t>
  </si>
  <si>
    <t>1570755334313</t>
  </si>
  <si>
    <t>-LqsJ5oSylUNlqg-el0g</t>
  </si>
  <si>
    <t>1570755340477</t>
  </si>
  <si>
    <t>-LqsJ7PeDsnxXYDZWba8</t>
  </si>
  <si>
    <t>1570755346658</t>
  </si>
  <si>
    <t>-LqsJ95v08ZeOLHGtWd2</t>
  </si>
  <si>
    <t>1570755353868</t>
  </si>
  <si>
    <t>-LqsJAdDedNIT-c-3JvR</t>
  </si>
  <si>
    <t>1570755360093</t>
  </si>
  <si>
    <t>-LqsJC5er9vQiPi6ZkVP</t>
  </si>
  <si>
    <t>1570755366233</t>
  </si>
  <si>
    <t>-LqsJDc-OjHkQEbHYH1H</t>
  </si>
  <si>
    <t>1570755372423</t>
  </si>
  <si>
    <t>-LqsJF8tUGZJMFJaQAW2</t>
  </si>
  <si>
    <t>1570755378629</t>
  </si>
  <si>
    <t>-LqsJGdMI14Jy8fiIskk</t>
  </si>
  <si>
    <t>1570755384783</t>
  </si>
  <si>
    <t>-LqsJI9wjW4q4zp8lsX5</t>
  </si>
  <si>
    <t>1570755390987</t>
  </si>
  <si>
    <t>-LqsJJfBOvQpscpy39PA</t>
  </si>
  <si>
    <t>1570755397148</t>
  </si>
  <si>
    <t>-LqsJLBge3WD0SnhabF7</t>
  </si>
  <si>
    <t>1570755403387</t>
  </si>
  <si>
    <t>-LqsJMgTzyF62XRxoEia</t>
  </si>
  <si>
    <t>1570755409549</t>
  </si>
  <si>
    <t>-LqsJOCBvVLLZuwijGrX</t>
  </si>
  <si>
    <t>1570755415709</t>
  </si>
  <si>
    <t>-LqsJPhRtTu3ndyMjDsU</t>
  </si>
  <si>
    <t>1570755421928</t>
  </si>
  <si>
    <t>-LqsJRDvvOukjZOAlgRz</t>
  </si>
  <si>
    <t>1570755428108</t>
  </si>
  <si>
    <t>-LqsJSjBAVxaKUb1TbiU</t>
  </si>
  <si>
    <t>1570755434268</t>
  </si>
  <si>
    <t>-LqsJUEQsYGFXDCQIH6l</t>
  </si>
  <si>
    <t>1570755440428</t>
  </si>
  <si>
    <t>-LqsJVkw_4rU7KS_AIl8</t>
  </si>
  <si>
    <t>1570755446668</t>
  </si>
  <si>
    <t>-LqsJXGApJryB_kwzdcH</t>
  </si>
  <si>
    <t>1570755452823</t>
  </si>
  <si>
    <t>-LqsJYlQg0VupeQ9pwZR</t>
  </si>
  <si>
    <t>1570755458989</t>
  </si>
  <si>
    <t>-LqsJ_GR8KZtE1KimaVf</t>
  </si>
  <si>
    <t>1570755465212</t>
  </si>
  <si>
    <t>-LqsJamFx14N5IGRrH-u</t>
  </si>
  <si>
    <t>1570755471343</t>
  </si>
  <si>
    <t>-LqsJcItO5FtWpJwHb5g</t>
  </si>
  <si>
    <t>1570755477579</t>
  </si>
  <si>
    <t>-LqsJdo4jrI1SupoV0oB</t>
  </si>
  <si>
    <t>1570755483738</t>
  </si>
  <si>
    <t>-LqsJfKiAJJ2WCAZq8Kx</t>
  </si>
  <si>
    <t>1570755489898</t>
  </si>
  <si>
    <t>-LqsJgoaPiAYEFp109Dg</t>
  </si>
  <si>
    <t>1570755496057</t>
  </si>
  <si>
    <t>-LqsJiL9LtPo1ONbArK9</t>
  </si>
  <si>
    <t>1570755502297</t>
  </si>
  <si>
    <t>-LqsJjp9dexxOdtVg3XE</t>
  </si>
  <si>
    <t>1570755508458</t>
  </si>
  <si>
    <t>-LqsJlJcKnZqFjPwM9UV</t>
  </si>
  <si>
    <t>1570755514614</t>
  </si>
  <si>
    <t>-LqsJmrVl4zH5800cPyD</t>
  </si>
  <si>
    <t>1570755520818</t>
  </si>
  <si>
    <t>-LqsJoMrr2DiyTNIdTIs</t>
  </si>
  <si>
    <t>1570755526988</t>
  </si>
  <si>
    <t>-LqsJq9w0QaIyILknZ5a</t>
  </si>
  <si>
    <t>1570755534364</t>
  </si>
  <si>
    <t>-LqsJrtsnAALcV7WToOv</t>
  </si>
  <si>
    <t>1570755541466</t>
  </si>
  <si>
    <t>-LqsJtOMvcDKNFLellwn</t>
  </si>
  <si>
    <t>1570755547617</t>
  </si>
  <si>
    <t>-LqsJuuv9QlMs0cH8Tqo</t>
  </si>
  <si>
    <t>1570755553863</t>
  </si>
  <si>
    <t>-LqsJwQ5vT6sbSD3xd3h</t>
  </si>
  <si>
    <t>1570755560022</t>
  </si>
  <si>
    <t>-LqsJxwiGa9PfYB3QmB1</t>
  </si>
  <si>
    <t>1570755566197</t>
  </si>
  <si>
    <t>-LqsJzRpINjCGeCdrIbU</t>
  </si>
  <si>
    <t>1570755572360</t>
  </si>
  <si>
    <t>-LqsK-yedw_bVkRTANtS</t>
  </si>
  <si>
    <t>1570755578532</t>
  </si>
  <si>
    <t>-LqsK1SKYyUXnfoe9d3B</t>
  </si>
  <si>
    <t>1570755584684</t>
  </si>
  <si>
    <t>-LqsK2xfwx5Fq83lFc3z</t>
  </si>
  <si>
    <t>1570755590887</t>
  </si>
  <si>
    <t>-LqsK4UBBPCcB6mtl1mN</t>
  </si>
  <si>
    <t>1570755597087</t>
  </si>
  <si>
    <t>-LqsK5zQ_hGlYJvOmurd</t>
  </si>
  <si>
    <t>1570755603303</t>
  </si>
  <si>
    <t>-LqsK7VvGNOWYWSZDOxj</t>
  </si>
  <si>
    <t>1570755609479</t>
  </si>
  <si>
    <t>-LqsK904olM6RZa9G24I</t>
  </si>
  <si>
    <t>1570755615639</t>
  </si>
  <si>
    <t>-LqsKAYcxpHk8rB37ZkB</t>
  </si>
  <si>
    <t>1570755621802</t>
  </si>
  <si>
    <t>-LqsKC0Iz0m3SlA1kBH_</t>
  </si>
  <si>
    <t>1570755627984</t>
  </si>
  <si>
    <t>-LqsKDXwCUw-Z2-avP2n</t>
  </si>
  <si>
    <t>1570755634174</t>
  </si>
  <si>
    <t>-LqsKF1KSpnjhvGwG0cZ</t>
  </si>
  <si>
    <t>1570755640334</t>
  </si>
  <si>
    <t>-LqsKGYDCtIdCLsvrtOP</t>
  </si>
  <si>
    <t>1570755646532</t>
  </si>
  <si>
    <t>-LqsKI4G70IrRsDvEZp8</t>
  </si>
  <si>
    <t>1570755652718</t>
  </si>
  <si>
    <t>-LqsKJlQnd19nLH5k2rw</t>
  </si>
  <si>
    <t>1570755658934</t>
  </si>
  <si>
    <t>-LqsKLKsoOp-kKydx245</t>
  </si>
  <si>
    <t>1570755666133</t>
  </si>
  <si>
    <t>-LqsKMqUA6LCSK5K20ME</t>
  </si>
  <si>
    <t>1570755672302</t>
  </si>
  <si>
    <t>-LqsKOLQwNt5AYqNRyL-</t>
  </si>
  <si>
    <t>1570755678467</t>
  </si>
  <si>
    <t>-LqsKPr8lGCiULQoP05q</t>
  </si>
  <si>
    <t>1570755684652</t>
  </si>
  <si>
    <t>-LqsKR_9Fj-6fqaz8gIO</t>
  </si>
  <si>
    <t>1570755690882</t>
  </si>
  <si>
    <t>-LqsKT7frOYyvvJVmpTU</t>
  </si>
  <si>
    <t>1570755698079</t>
  </si>
  <si>
    <t>-LqsKUdq5doqBeo9tMO2</t>
  </si>
  <si>
    <t>1570755704244</t>
  </si>
  <si>
    <t>-LqsKW92Z0uQCt1J1Pdf</t>
  </si>
  <si>
    <t>1570755710402</t>
  </si>
  <si>
    <t>-LqsKXeGgvZIYQSYzEAo</t>
  </si>
  <si>
    <t>1570755716599</t>
  </si>
  <si>
    <t>-LqsKZ9T8vYSSaHIaBEz</t>
  </si>
  <si>
    <t>1570755722779</t>
  </si>
  <si>
    <t>-LqsK_hNokm9mopKJ8Oz</t>
  </si>
  <si>
    <t>1570755729151</t>
  </si>
  <si>
    <t>-LqsKbRvJnLwM3fOkzLG</t>
  </si>
  <si>
    <t>1570755736198</t>
  </si>
  <si>
    <t>-LqsKdMeO79jtO8W85EZ</t>
  </si>
  <si>
    <t>1570755742368</t>
  </si>
  <si>
    <t>-LqsKeyF3ZgxBZewFPzI</t>
  </si>
  <si>
    <t>1570755750619</t>
  </si>
  <si>
    <t>-LqsKgW001VIPSwdJeQJ</t>
  </si>
  <si>
    <t>1570755756982</t>
  </si>
  <si>
    <t>-LqsKhykyB2J9KjZtAc7</t>
  </si>
  <si>
    <t>1570755762969</t>
  </si>
  <si>
    <t>-LqsKjV04_y7dwcKr6Jg</t>
  </si>
  <si>
    <t>1570755769178</t>
  </si>
  <si>
    <t>-LqsKl-QcNIUk6n8nJVr</t>
  </si>
  <si>
    <t>1570755775384</t>
  </si>
  <si>
    <t>-LqsKmVoosOlAfkE1XkD</t>
  </si>
  <si>
    <t>1570755781521</t>
  </si>
  <si>
    <t>-LqsKo1UBFLcTFnzUJ9s</t>
  </si>
  <si>
    <t>1570755787749</t>
  </si>
  <si>
    <t>-LqsKpZSXSfqjgwmZsn6</t>
  </si>
  <si>
    <t>1570755793910</t>
  </si>
  <si>
    <t>-LqsKrIIgV5r8mQn-3eo</t>
  </si>
  <si>
    <t>1570755801124</t>
  </si>
  <si>
    <t>-LqsKsppO8IMFxElVFhy</t>
  </si>
  <si>
    <t>1570755807283</t>
  </si>
  <si>
    <t>-LqsKuZ01b7Oqz0GMKCb</t>
  </si>
  <si>
    <t>1570755814518</t>
  </si>
  <si>
    <t>-LqsKw4Z9Csv74AY7qSk</t>
  </si>
  <si>
    <t>1570755820720</t>
  </si>
  <si>
    <t>-LqsKx_kAy0919RKp81m</t>
  </si>
  <si>
    <t>1570755826860</t>
  </si>
  <si>
    <t>-LqsKz53n5zavzFgMKHy</t>
  </si>
  <si>
    <t>1570755833073</t>
  </si>
  <si>
    <t>-LqsL-bJoAfMyvoWMXtl</t>
  </si>
  <si>
    <t>1570755839284</t>
  </si>
  <si>
    <t>-LqsL174CwESyN6BWVFP</t>
  </si>
  <si>
    <t>1570755845443</t>
  </si>
  <si>
    <t>-LqsL2c3p_1RWddZpgg1</t>
  </si>
  <si>
    <t>1570755851603</t>
  </si>
  <si>
    <t>-LqsL48YP2Gq8RlASuHn</t>
  </si>
  <si>
    <t>1570755857843</t>
  </si>
  <si>
    <t>-LqsL5doHZc804Ro2LIM</t>
  </si>
  <si>
    <t>1570755864004</t>
  </si>
  <si>
    <t>-LqsL793dIgBfmVYSCW7</t>
  </si>
  <si>
    <t>1570755870174</t>
  </si>
  <si>
    <t>-LqsL8eKjoulVvHIC3Eh</t>
  </si>
  <si>
    <t>1570755876326</t>
  </si>
  <si>
    <t>-LqsLAR5HoSskfIFdvBz</t>
  </si>
  <si>
    <t>1570755883572</t>
  </si>
  <si>
    <t>-LqsLBwJwmZU3sj4pHhM</t>
  </si>
  <si>
    <t>1570755889765</t>
  </si>
  <si>
    <t>-LqsLDRFiSJPytYBTk_M</t>
  </si>
  <si>
    <t>1570755895939</t>
  </si>
  <si>
    <t>-LqsLEwkVJnba7U3IMRu</t>
  </si>
  <si>
    <t>1570755902080</t>
  </si>
  <si>
    <t>-LqsLGTICEB792fH6i4W</t>
  </si>
  <si>
    <t>1570755908323</t>
  </si>
  <si>
    <t>-LqsLHyZUiOsOIYLmeFz</t>
  </si>
  <si>
    <t>1570755914483</t>
  </si>
  <si>
    <t>-LqsLJToZVnmy-SfyH7Z</t>
  </si>
  <si>
    <t>1570755920644</t>
  </si>
  <si>
    <t>-LqsLL-Jijnd2myppI0z</t>
  </si>
  <si>
    <t>1570755926884</t>
  </si>
  <si>
    <t>-LqsLMVBj5JZrGAX6J2O</t>
  </si>
  <si>
    <t>1570755933043</t>
  </si>
  <si>
    <t>-LqsLO-tRB_IOAldgb-y</t>
  </si>
  <si>
    <t>1570755939200</t>
  </si>
  <si>
    <t>-LqsLPXFw_iOx_G12E1T</t>
  </si>
  <si>
    <t>1570755945419</t>
  </si>
  <si>
    <t>-LqsLRs8mhn6DRZgYiO_</t>
  </si>
  <si>
    <t>1570755951529</t>
  </si>
  <si>
    <t>-LqsLTYee7RiEC5fYsmC</t>
  </si>
  <si>
    <t>1570755961914</t>
  </si>
  <si>
    <t>-LqsLV2tjdeW5YkT9RPJ</t>
  </si>
  <si>
    <t>1570755968072</t>
  </si>
  <si>
    <t>-LqsLW_4V1gQ-MebmfuX</t>
  </si>
  <si>
    <t>1570755974233</t>
  </si>
  <si>
    <t>-LqsLYAyUYHUVcs0lZg8</t>
  </si>
  <si>
    <t>1570755980929</t>
  </si>
  <si>
    <t>-LqsLZpuL2FFcfdQMJUa</t>
  </si>
  <si>
    <t>1570755987678</t>
  </si>
  <si>
    <t>-LqsLaLTiapC6yBeLh4p</t>
  </si>
  <si>
    <t>1570755993838</t>
  </si>
  <si>
    <t>-LqsLcIp2ar8LGKManEb</t>
  </si>
  <si>
    <t>1570755999994</t>
  </si>
  <si>
    <t>-LqsLdrOycjaTjEoLt7A</t>
  </si>
  <si>
    <t>1570756008233</t>
  </si>
  <si>
    <t>-LqsLfKunUj4qNqC-rPk</t>
  </si>
  <si>
    <t>1570756014451</t>
  </si>
  <si>
    <t>-LqsLgrupcBXwCYK1fQo</t>
  </si>
  <si>
    <t>1570756020591</t>
  </si>
  <si>
    <t>-LqsLiMBP4Sb_agMzrqn</t>
  </si>
  <si>
    <t>1570756026771</t>
  </si>
  <si>
    <t>-LqsLjuBzWC-ThJTlviD</t>
  </si>
  <si>
    <t>1570756032977</t>
  </si>
  <si>
    <t>-LqsLlOxwiIiwIVvmaWj</t>
  </si>
  <si>
    <t>1570756039118</t>
  </si>
  <si>
    <t>-LqsLmxyhBdQtaQueHED</t>
  </si>
  <si>
    <t>1570756045299</t>
  </si>
  <si>
    <t>-LqsLofwn3HP-YMfjh0v</t>
  </si>
  <si>
    <t>1570756052559</t>
  </si>
  <si>
    <t>-LqsLq9-2PmNmx0VjbHL</t>
  </si>
  <si>
    <t>1570756058728</t>
  </si>
  <si>
    <t>-LqsLrixDEcgh5Vq0v8L</t>
  </si>
  <si>
    <t>1570756064908</t>
  </si>
  <si>
    <t>-LqsLtBrZcJmnocgzpWu</t>
  </si>
  <si>
    <t>1570756071067</t>
  </si>
  <si>
    <t>-LqsLufqFHlblEH2tw2u</t>
  </si>
  <si>
    <t>1570756077276</t>
  </si>
  <si>
    <t>-LqsLwFzXI2yLaqrAmg8</t>
  </si>
  <si>
    <t>1570756083459</t>
  </si>
  <si>
    <t>-LqsLxii5W2bnLiUXi7R</t>
  </si>
  <si>
    <t>1570756089638</t>
  </si>
  <si>
    <t>-LqsLzCs44FF8IvFvygJ</t>
  </si>
  <si>
    <t>1570756095826</t>
  </si>
  <si>
    <t>-LqsM-nO8dyTuwumV0iq</t>
  </si>
  <si>
    <t>1570756102009</t>
  </si>
  <si>
    <t>-LqsM1TapKPfF18_629j</t>
  </si>
  <si>
    <t>1570756109198</t>
  </si>
  <si>
    <t>-LqsM35MredW_WZ6S1y9</t>
  </si>
  <si>
    <t>1570756115398</t>
  </si>
  <si>
    <t>-LqsM4lrqeNvaq4ptCoB</t>
  </si>
  <si>
    <t>1570756122617</t>
  </si>
  <si>
    <t>-LqsM6FsBq8IMkqqk1CB</t>
  </si>
  <si>
    <t>1570756128798</t>
  </si>
  <si>
    <t>-LqsM7or81y1eJpQPOrs</t>
  </si>
  <si>
    <t>1570756134987</t>
  </si>
  <si>
    <t>-LqsM9HaldjP5ety_2AC</t>
  </si>
  <si>
    <t>1570756141167</t>
  </si>
  <si>
    <t>-LqsMAn-CLw3yi2jXXKF</t>
  </si>
  <si>
    <t>1570756147347</t>
  </si>
  <si>
    <t>-LqsMCMyh8xyRBs87Es0</t>
  </si>
  <si>
    <t>1570756153527</t>
  </si>
  <si>
    <t>-LqsMDprmGISmfdkobdf</t>
  </si>
  <si>
    <t>1570756159708</t>
  </si>
  <si>
    <t>-LqsMFJrjgG9-lDKl98w</t>
  </si>
  <si>
    <t>1570756165907</t>
  </si>
  <si>
    <t>-LqsMH81CMN1v8pzISH1</t>
  </si>
  <si>
    <t>1570756173110</t>
  </si>
  <si>
    <t>-LqsMIbzwq1WxH5wMbgc</t>
  </si>
  <si>
    <t>1570756179281</t>
  </si>
  <si>
    <t>-LqsMKB-mo2-xSet0lyW</t>
  </si>
  <si>
    <t>1570756185482</t>
  </si>
  <si>
    <t>-LqsMLu7n-2Xiae6O-2S</t>
  </si>
  <si>
    <t>1570756192691</t>
  </si>
  <si>
    <t>-LqsMNr7Rz9ioaTilGb2</t>
  </si>
  <si>
    <t>1570756200603</t>
  </si>
  <si>
    <t>-LqsMPQ9jjXViHb6WcIj</t>
  </si>
  <si>
    <t>1570756207125</t>
  </si>
  <si>
    <t>-LqsMRDHUMufjerYMYvB</t>
  </si>
  <si>
    <t>1570756214330</t>
  </si>
  <si>
    <t>-LqsMSwZnlBdXIgY_6HB</t>
  </si>
  <si>
    <t>1570756221526</t>
  </si>
  <si>
    <t>-LqsMUV6AgGqD2Q4HYps</t>
  </si>
  <si>
    <t>1570756227719</t>
  </si>
  <si>
    <t>-LqsMWD8eL0JeOrkePDi</t>
  </si>
  <si>
    <t>1570756234910</t>
  </si>
  <si>
    <t>-LqsMY00KNEpMf5KYIly</t>
  </si>
  <si>
    <t>1570756242160</t>
  </si>
  <si>
    <t>-LqsMZgvY7d2_9ryU_4e</t>
  </si>
  <si>
    <t>1570756249361</t>
  </si>
  <si>
    <t>-LqsMaX7xmNBJrDzPEiK</t>
  </si>
  <si>
    <t>1570756256579</t>
  </si>
  <si>
    <t>-LqsMcF0yYUhOpZJHSj7</t>
  </si>
  <si>
    <t>1570756263760</t>
  </si>
  <si>
    <t>-LqsMdo87ATwGMCjqnSE</t>
  </si>
  <si>
    <t>1570756269971</t>
  </si>
  <si>
    <t>-LqsMfX8LaihMYUaaNhd</t>
  </si>
  <si>
    <t>1570756277201</t>
  </si>
  <si>
    <t>-LqsMhK8Brfs5io8prO9</t>
  </si>
  <si>
    <t>1570756284410</t>
  </si>
  <si>
    <t>-LqsMj27faEhLFXspkzQ</t>
  </si>
  <si>
    <t>1570756291602</t>
  </si>
  <si>
    <t>-LqsMkb78xMYRBKb3YwC</t>
  </si>
  <si>
    <t>1570756297791</t>
  </si>
  <si>
    <t>-LqsMmK99FupFtUTEzbW</t>
  </si>
  <si>
    <t>1570756305013</t>
  </si>
  <si>
    <t>-LqsMo6z_G4yMXbhFwd7</t>
  </si>
  <si>
    <t>1570756312230</t>
  </si>
  <si>
    <t>-LqsMpq0jh4p3iILYH6G</t>
  </si>
  <si>
    <t>1570756319441</t>
  </si>
  <si>
    <t>-LqsMrP-DgYHrAIOeVS8</t>
  </si>
  <si>
    <t>1570756325630</t>
  </si>
  <si>
    <t>-LqsMt7Ap1Zv1hNgQ5kY</t>
  </si>
  <si>
    <t>1570756332841</t>
  </si>
  <si>
    <t>-LqsMub-0-gsjTzVgXgS</t>
  </si>
  <si>
    <t>1570756339022</t>
  </si>
  <si>
    <t>-LqsMwAAIftSYvPZGp0y</t>
  </si>
  <si>
    <t>1570756345211</t>
  </si>
  <si>
    <t>-LqsMxrt9w9962_7uKs6</t>
  </si>
  <si>
    <t>1570756352400</t>
  </si>
  <si>
    <t>-LqsMzS9R_hdA_jeOLma</t>
  </si>
  <si>
    <t>1570756358591</t>
  </si>
  <si>
    <t>-LqsN0A6yD4W0dYqCSBF</t>
  </si>
  <si>
    <t>1570756365821</t>
  </si>
  <si>
    <t>-LqsN1y-XfIfZBCRSLdL</t>
  </si>
  <si>
    <t>1570756373031</t>
  </si>
  <si>
    <t>-LqsN3g-Sab8Af-5hyM9</t>
  </si>
  <si>
    <t>1570756380240</t>
  </si>
  <si>
    <t>-LqsN5FAtT0TSI9gB7fJ</t>
  </si>
  <si>
    <t>1570756386430</t>
  </si>
  <si>
    <t>-LqsN6y0nki1auG6S6aG</t>
  </si>
  <si>
    <t>1570756393640</t>
  </si>
  <si>
    <t>-LqsN8jh0CN5r0XOKwyU</t>
  </si>
  <si>
    <t>1570756399821</t>
  </si>
  <si>
    <t>-LqsNAFEa68QfUF3FypU</t>
  </si>
  <si>
    <t>1570756407027</t>
  </si>
  <si>
    <t>-LqsNByHm9U1wXF8BVOb</t>
  </si>
  <si>
    <t>1570756414248</t>
  </si>
  <si>
    <t>-LqsNDTLJuVvQ1cGAIPJ</t>
  </si>
  <si>
    <t>1570756420429</t>
  </si>
  <si>
    <t>-LqsNF05orkkcfSq1_-z</t>
  </si>
  <si>
    <t>1570756426607</t>
  </si>
  <si>
    <t>-LqsNGTrXjd_u4510f64</t>
  </si>
  <si>
    <t>1570756432798</t>
  </si>
  <si>
    <t>-LqsNI1ywNX-Q8r4QtMJ</t>
  </si>
  <si>
    <t>1570756438977</t>
  </si>
  <si>
    <t>-LqsNJm6dpxkOxCdDTFG</t>
  </si>
  <si>
    <t>1570756446168</t>
  </si>
  <si>
    <t>-LqsNLKx_WU6TDef_dg9</t>
  </si>
  <si>
    <t>1570756452378</t>
  </si>
  <si>
    <t>-LqsNN2y25NjjQEhd6PL</t>
  </si>
  <si>
    <t>1570756459597</t>
  </si>
  <si>
    <t>-LqsNOY56xNqgB7v_Q0K</t>
  </si>
  <si>
    <t>1570756465766</t>
  </si>
  <si>
    <t>-LqsNQ64Lj90TsdZkzia</t>
  </si>
  <si>
    <t>1570756471957</t>
  </si>
  <si>
    <t>-LqsNRa4EoKYQFgfH9te</t>
  </si>
  <si>
    <t>1570756478117</t>
  </si>
  <si>
    <t>-LqsNT31Qp-owxsx4E6N</t>
  </si>
  <si>
    <t>1570756484327</t>
  </si>
  <si>
    <t>-LqsNUd3tzbYHve4U-w6</t>
  </si>
  <si>
    <t>1570756490508</t>
  </si>
  <si>
    <t>-LqsNW71sZ_dy3LrNC7G</t>
  </si>
  <si>
    <t>1570756496681</t>
  </si>
  <si>
    <t>-LqsNXazb0DRbOhKSI0_</t>
  </si>
  <si>
    <t>1570756502871</t>
  </si>
  <si>
    <t>-LqsNZ9zHNFhcGYABiut</t>
  </si>
  <si>
    <t>1570756509050</t>
  </si>
  <si>
    <t>-LqsN_dz4GQ4ohxzrgQB</t>
  </si>
  <si>
    <t>1570756515240</t>
  </si>
  <si>
    <t>-LqsNbDIUJyoXsluXImw</t>
  </si>
  <si>
    <t>1570756521460</t>
  </si>
  <si>
    <t>-LqsNcwArGmBahfriZHv</t>
  </si>
  <si>
    <t>1570756528629</t>
  </si>
  <si>
    <t>-LqsNej8bZ6zzXYioWVK</t>
  </si>
  <si>
    <t>1570756535849</t>
  </si>
  <si>
    <t>-LqsNgS6kdE0G4ylA8YP</t>
  </si>
  <si>
    <t>1570756543059</t>
  </si>
  <si>
    <t>-LqsNhw6gktKkTYVxYl-</t>
  </si>
  <si>
    <t>1570756549209</t>
  </si>
  <si>
    <t>-LqsNjV9wkTVNmCv5d2D</t>
  </si>
  <si>
    <t>1570756555430</t>
  </si>
  <si>
    <t>-LqsNlD9kGmaVZpdBFK_</t>
  </si>
  <si>
    <t>1570756562649</t>
  </si>
  <si>
    <t>-LqsNn067_PlfrxOit-m</t>
  </si>
  <si>
    <t>1570756569850</t>
  </si>
  <si>
    <t>-LqsNojJUO2nI-pVtZJV</t>
  </si>
  <si>
    <t>1570756577039</t>
  </si>
  <si>
    <t>-LqsNqI8PUuVEIEqTli_</t>
  </si>
  <si>
    <t>1570756583239</t>
  </si>
  <si>
    <t>-LqsNs09Dt3IvmnqDJRy</t>
  </si>
  <si>
    <t>1570756590480</t>
  </si>
  <si>
    <t>-LqsNtjIFPCvHGB2QFEo</t>
  </si>
  <si>
    <t>1570756597669</t>
  </si>
  <si>
    <t>-LqsNvI8p39_10FTP68a</t>
  </si>
  <si>
    <t>1570756603849</t>
  </si>
  <si>
    <t>-LqsNx57S0Ab_o6JnPdI</t>
  </si>
  <si>
    <t>1570756611069</t>
  </si>
  <si>
    <t>-LqsNz3uSURzP0v2-K2s</t>
  </si>
  <si>
    <t>1570756618279</t>
  </si>
  <si>
    <t>-LqsO-XB_G1q8FJXYwUo</t>
  </si>
  <si>
    <t>1570756625482</t>
  </si>
  <si>
    <t>-LqsO15B9WAJ0lRBgt_T</t>
  </si>
  <si>
    <t>1570756631674</t>
  </si>
  <si>
    <t>-LqsO2t9CpKx0F0xMVcG</t>
  </si>
  <si>
    <t>1570756638894</t>
  </si>
  <si>
    <t>-LqsO4bAgtpfz5G_1kqK</t>
  </si>
  <si>
    <t>1570756646113</t>
  </si>
  <si>
    <t>-LqsO6YfurAinpUI1fJc</t>
  </si>
  <si>
    <t>1570756653322</t>
  </si>
  <si>
    <t>-LqsO87BCeas_2CpB52P</t>
  </si>
  <si>
    <t>1570756660531</t>
  </si>
  <si>
    <t>-LqsO9vBJ4HpCzzPj2ng</t>
  </si>
  <si>
    <t>1570756667743</t>
  </si>
  <si>
    <t>-LqsOBdA5ZbBf49Xy6V_</t>
  </si>
  <si>
    <t>1570756674961</t>
  </si>
  <si>
    <t>-LqsODRAh-BqL72GHUZ9</t>
  </si>
  <si>
    <t>1570756682173</t>
  </si>
  <si>
    <t>-LqsOFAP8IwBk2ZX5KAs</t>
  </si>
  <si>
    <t>1570756689362</t>
  </si>
  <si>
    <t>-LqsOGx2X7NFUpkGsAT6</t>
  </si>
  <si>
    <t>1570756696592</t>
  </si>
  <si>
    <t>-LqsOIRKal90xWWo92d1</t>
  </si>
  <si>
    <t>1570756702753</t>
  </si>
  <si>
    <t>-LqsOKEA0NdKd0TrcyKx</t>
  </si>
  <si>
    <t>1570756709993</t>
  </si>
  <si>
    <t>-LqsOLuglVtdgjfS0g_v</t>
  </si>
  <si>
    <t>1570756717203</t>
  </si>
  <si>
    <t>-LqsONkC7Y5xF_Lgd8zu</t>
  </si>
  <si>
    <t>1570756724422</t>
  </si>
  <si>
    <t>-LqsOPT91tDCseCMfoyp</t>
  </si>
  <si>
    <t>1570756731602</t>
  </si>
  <si>
    <t>-LqsOR1BSTRHv94x0rhE</t>
  </si>
  <si>
    <t>1570756737792</t>
  </si>
  <si>
    <t>-LqsOSkAnpPjikMrgFdp</t>
  </si>
  <si>
    <t>1570756745042</t>
  </si>
  <si>
    <t>-LqsOUYBluUNfKyB8xzg</t>
  </si>
  <si>
    <t>1570756752242</t>
  </si>
  <si>
    <t>-LqsOWGAqHYsVQyil7g_</t>
  </si>
  <si>
    <t>1570756759443</t>
  </si>
  <si>
    <t>-LqsOXpA-m7eopj-B5UV</t>
  </si>
  <si>
    <t>1570756765633</t>
  </si>
  <si>
    <t>-LqsOZYBUd6Rpze8smeq</t>
  </si>
  <si>
    <t>1570756772853</t>
  </si>
  <si>
    <t>-LqsOaLLqwMYRbfts04g</t>
  </si>
  <si>
    <t>1570756780063</t>
  </si>
  <si>
    <t>-LqsOc21X8PNOXWXNtmW</t>
  </si>
  <si>
    <t>1570756787281</t>
  </si>
  <si>
    <t>-LqsOdrBUqlu9iCYBg61</t>
  </si>
  <si>
    <t>1570756794482</t>
  </si>
  <si>
    <t>-LqsOf_Ax-sg8V1J8kwT</t>
  </si>
  <si>
    <t>1570756801682</t>
  </si>
  <si>
    <t>-LqsOh8Jz5piULgFWdqa</t>
  </si>
  <si>
    <t>1570756807874</t>
  </si>
  <si>
    <t>-LqsOirDzme1LUkO8DtP</t>
  </si>
  <si>
    <t>1570756815125</t>
  </si>
  <si>
    <t>-LqsOke11g11NEbPjZv2</t>
  </si>
  <si>
    <t>1570756822320</t>
  </si>
  <si>
    <t>-LqsOmNBOIzLE2RJ1liU</t>
  </si>
  <si>
    <t>1570756829524</t>
  </si>
  <si>
    <t>-LqsOoACDWJAHFUY2c2F</t>
  </si>
  <si>
    <t>1570756836742</t>
  </si>
  <si>
    <t>-LqsOptBYjIbUWMsaS8z</t>
  </si>
  <si>
    <t>1570756843923</t>
  </si>
  <si>
    <t>-LqsOrSTeyTguzuDjCEZ</t>
  </si>
  <si>
    <t>1570756850111</t>
  </si>
  <si>
    <t>-LqsOtU5Cmida8qEvfgz</t>
  </si>
  <si>
    <t>1570756858567</t>
  </si>
  <si>
    <t>-LqsOvCGyzMZQFFdKfd6</t>
  </si>
  <si>
    <t>1570756865592</t>
  </si>
  <si>
    <t>-LqsOwu-gS1SAE0I1FkH</t>
  </si>
  <si>
    <t>1570756872799</t>
  </si>
  <si>
    <t>-LqsOyTyju7OTdmu4FL6</t>
  </si>
  <si>
    <t>1570756878977</t>
  </si>
  <si>
    <t>-LqsOzy4uEqVg-dbTSg_</t>
  </si>
  <si>
    <t>1570756885146</t>
  </si>
  <si>
    <t>-LqsP0S57hVEaHXCQNPo</t>
  </si>
  <si>
    <t>1570756891357</t>
  </si>
  <si>
    <t>-LqsP206uYtM68zgWeQy</t>
  </si>
  <si>
    <t>1570756897527</t>
  </si>
  <si>
    <t>-LqsP3kMwsXoGOCaF97d</t>
  </si>
  <si>
    <t>1570756904717</t>
  </si>
  <si>
    <t>-LqsP5GsN5vmiPnvrnBz</t>
  </si>
  <si>
    <t>1570756910917</t>
  </si>
  <si>
    <t>-LqsP6m6s1LTnCPOiPK1</t>
  </si>
  <si>
    <t>1570756917047</t>
  </si>
  <si>
    <t>-LqsP8DltH4Mcu1Jxeo5</t>
  </si>
  <si>
    <t>1570756923279</t>
  </si>
  <si>
    <t>-LqsPA3-Nk6QGaSOFAu2</t>
  </si>
  <si>
    <t>1570756930488</t>
  </si>
  <si>
    <t>-LqsPBY8XnJ6iLF4RBbX</t>
  </si>
  <si>
    <t>1570756936675</t>
  </si>
  <si>
    <t>-LqsPD10OZJaqD0V7TfT</t>
  </si>
  <si>
    <t>1570756942867</t>
  </si>
  <si>
    <t>-LqsPEbPB20rC0V943Xe</t>
  </si>
  <si>
    <t>1570756949038</t>
  </si>
  <si>
    <t>-LqsPGJ6wKAJ3TomhqyS</t>
  </si>
  <si>
    <t>1570756956247</t>
  </si>
  <si>
    <t>-LqsPHlvOH_nig9Muy07</t>
  </si>
  <si>
    <t>1570756962400</t>
  </si>
  <si>
    <t>-LqsPJMFcsBxX8YPRuAv</t>
  </si>
  <si>
    <t>1570756968618</t>
  </si>
  <si>
    <t>-LqsPL4Rve0DepUP845K</t>
  </si>
  <si>
    <t>1570756975835</t>
  </si>
  <si>
    <t>-LqsPMZPhAnTfm8pUyw0</t>
  </si>
  <si>
    <t>1570756982008</t>
  </si>
  <si>
    <t>-LqsPO5sGiZUr1qEXGuy</t>
  </si>
  <si>
    <t>1570756988188</t>
  </si>
  <si>
    <t>-LqsPPbCGdM0Oa3mDrSA</t>
  </si>
  <si>
    <t>1570756994388</t>
  </si>
  <si>
    <t>-LqsPR5OXS0Rbt7gbK_v</t>
  </si>
  <si>
    <t>1570757000558</t>
  </si>
  <si>
    <t>-LqsPSe8Tf3N2wOoRtO9</t>
  </si>
  <si>
    <t>1570757006741</t>
  </si>
  <si>
    <t>-LqsPUDHQXKwaPL_0oum</t>
  </si>
  <si>
    <t>1570757013283</t>
  </si>
  <si>
    <t>-LqsPVw9DW33wNQhh3qD</t>
  </si>
  <si>
    <t>1570757020147</t>
  </si>
  <si>
    <t>-LqsPXj8AS0fPM9winoS</t>
  </si>
  <si>
    <t>1570757027373</t>
  </si>
  <si>
    <t>-LqsPZSG_v4yluz7vX_e</t>
  </si>
  <si>
    <t>1570757034559</t>
  </si>
  <si>
    <t>-LqsPaENI7akeO0SGvs-</t>
  </si>
  <si>
    <t>1570757041770</t>
  </si>
  <si>
    <t>-LqsPby92aRdJU5HEjxv</t>
  </si>
  <si>
    <t>1570757048980</t>
  </si>
  <si>
    <t>-LqsPe9kX_Gtp8wEMNZh</t>
  </si>
  <si>
    <t>1570757055180</t>
  </si>
  <si>
    <t>-LqsPfi7kr3Nhg4cW5cz</t>
  </si>
  <si>
    <t>1570757064411</t>
  </si>
  <si>
    <t>-LqsPhH7IKadNL326JAn</t>
  </si>
  <si>
    <t>1570757070601</t>
  </si>
  <si>
    <t>-LqsPjJBiZ8chSzaq19Y</t>
  </si>
  <si>
    <t>1570757077842</t>
  </si>
  <si>
    <t>-LqsPl1BihvjWw57Crt9</t>
  </si>
  <si>
    <t>1570757086072</t>
  </si>
  <si>
    <t>-LqsPmkAlZNmjnBXBidC</t>
  </si>
  <si>
    <t>1570757093283</t>
  </si>
  <si>
    <t>-LqsPoJKZSy4zG1nuD51</t>
  </si>
  <si>
    <t>1570757099463</t>
  </si>
  <si>
    <t>-LqsPq1BZ1wgpuiHhr1K</t>
  </si>
  <si>
    <t>1570757106653</t>
  </si>
  <si>
    <t>-LqsPraVyxFogffW-MeB</t>
  </si>
  <si>
    <t>1570757112832</t>
  </si>
  <si>
    <t>-LqsPtJDG4OiXKSR2K7c</t>
  </si>
  <si>
    <t>1570757120082</t>
  </si>
  <si>
    <t>-LqsPv6AYmI7Jj1tTC8O</t>
  </si>
  <si>
    <t>1570757127292</t>
  </si>
  <si>
    <t>-LqsPwpBQ9Udu7_el3RH</t>
  </si>
  <si>
    <t>1570757134483</t>
  </si>
  <si>
    <t>-LqsPyUJY-TVvx1kKouQ</t>
  </si>
  <si>
    <t>1570757140672</t>
  </si>
  <si>
    <t>-LqsQ-5iqby0gSUlYxRT</t>
  </si>
  <si>
    <t>1570757147893</t>
  </si>
  <si>
    <t>-LqsQ0u94iKtiM62OgLL</t>
  </si>
  <si>
    <t>1570757155102</t>
  </si>
  <si>
    <t>-LqsQ2cCw-MlepYfJvWk</t>
  </si>
  <si>
    <t>1570757162322</t>
  </si>
  <si>
    <t>-LqsQ4QxgexZ47tYa9Rv</t>
  </si>
  <si>
    <t>1570757169533</t>
  </si>
  <si>
    <t>-LqsQ68B-60_fM31zTEU</t>
  </si>
  <si>
    <t>1570757176725</t>
  </si>
  <si>
    <t>-LqsQ7hKrIRFhYptIKbq</t>
  </si>
  <si>
    <t>1570757182920</t>
  </si>
  <si>
    <t>-LqsQ9QIUbWrriL7Jot1</t>
  </si>
  <si>
    <t>1570757190142</t>
  </si>
  <si>
    <t>-LqsQBCFXk9fo3fyc1hJ</t>
  </si>
  <si>
    <t>1570757197353</t>
  </si>
  <si>
    <t>-LqsQCwBGMYL5K3gG4Wu</t>
  </si>
  <si>
    <t>1570757204564</t>
  </si>
  <si>
    <t>-LqsQEjMdHKY2ThkuXBi</t>
  </si>
  <si>
    <t>1570757211782</t>
  </si>
  <si>
    <t>-LqsQGaDdnldaskixAGt</t>
  </si>
  <si>
    <t>1570757218962</t>
  </si>
  <si>
    <t>-LqsQIFBAfKQ_8wbyJE-</t>
  </si>
  <si>
    <t>1570757226204</t>
  </si>
  <si>
    <t>-LqsQJyBfoTP9BVm2qXt</t>
  </si>
  <si>
    <t>1570757233392</t>
  </si>
  <si>
    <t>-LqsQLVwCpeLeFb14yTZ</t>
  </si>
  <si>
    <t>1570757239593</t>
  </si>
  <si>
    <t>-LqsQNFBd53EUYB4bRek</t>
  </si>
  <si>
    <t>1570757246802</t>
  </si>
  <si>
    <t>-LqsQP2Ad2eFrIgbX2wt</t>
  </si>
  <si>
    <t>1570757254013</t>
  </si>
  <si>
    <t>-LqsQQpFfD6V5KQhEiIq</t>
  </si>
  <si>
    <t>1570757261368</t>
  </si>
  <si>
    <t>-LqsQSZ1gt-uSchwM92Q</t>
  </si>
  <si>
    <t>1570757268441</t>
  </si>
  <si>
    <t>-LqsQU2AopoThc4x7qqB</t>
  </si>
  <si>
    <t>1570757274595</t>
  </si>
  <si>
    <t>-LqsQVrHgg3lcCyPdMEh</t>
  </si>
  <si>
    <t>1570757281834</t>
  </si>
  <si>
    <t>-LqsQXZADvNQOCD0OxDU</t>
  </si>
  <si>
    <t>1570757289041</t>
  </si>
  <si>
    <t>-LqsQZMDbJeIct_war-m</t>
  </si>
  <si>
    <t>1570757296235</t>
  </si>
  <si>
    <t>-LqsQa49Wd16iE4goJsb</t>
  </si>
  <si>
    <t>1570757303444</t>
  </si>
  <si>
    <t>-LqsQbwpkPxxFWVcxtZH</t>
  </si>
  <si>
    <t>1570757309633</t>
  </si>
  <si>
    <t>-LqsQd_ExXmJx_tFJ9bE</t>
  </si>
  <si>
    <t>1570757317872</t>
  </si>
  <si>
    <t>-LqsQf9AgYU4AfU_afk1</t>
  </si>
  <si>
    <t>1570757324072</t>
  </si>
  <si>
    <t>-LqsQgs9Xny6SLdoxm4k</t>
  </si>
  <si>
    <t>1570757331282</t>
  </si>
  <si>
    <t>-LqsQiWK84RPhJwkz3ez</t>
  </si>
  <si>
    <t>1570757337493</t>
  </si>
  <si>
    <t>-LqsQk9ANI7GYIQqpIVz</t>
  </si>
  <si>
    <t>1570757344682</t>
  </si>
  <si>
    <t>-LqsQldIoJ9nWlDUg3Wx</t>
  </si>
  <si>
    <t>1570757350872</t>
  </si>
  <si>
    <t>-LqsQnCKjPQ9keiBP0HH</t>
  </si>
  <si>
    <t>1570757357051</t>
  </si>
  <si>
    <t>-LqsQovAIQBc4F4h4muW</t>
  </si>
  <si>
    <t>1570757364242</t>
  </si>
  <si>
    <t>-LqsQqU9LxxHawkJiNLp</t>
  </si>
  <si>
    <t>1570757370431</t>
  </si>
  <si>
    <t>-LqsQsC92jlblO928a6R</t>
  </si>
  <si>
    <t>1570757377662</t>
  </si>
  <si>
    <t>-LqsQu-ITjZpLWeRPwLO</t>
  </si>
  <si>
    <t>1570757384872</t>
  </si>
  <si>
    <t>-LqsQvi9G2iZeNOj2PvT</t>
  </si>
  <si>
    <t>1570757392081</t>
  </si>
  <si>
    <t>-LqsQxW8AnMHheRVRqO6</t>
  </si>
  <si>
    <t>1570757399292</t>
  </si>
  <si>
    <t>-LqsQzE1UfyrIOnuOIzg</t>
  </si>
  <si>
    <t>1570757406483</t>
  </si>
  <si>
    <t>-LqsR-n9Y0dYG_xIpjz3</t>
  </si>
  <si>
    <t>1570757412682</t>
  </si>
  <si>
    <t>-LqsR1WGb93w_pFzGJvx</t>
  </si>
  <si>
    <t>1570757419923</t>
  </si>
  <si>
    <t>-LqsR3-9021uMEokmQac</t>
  </si>
  <si>
    <t>1570757426082</t>
  </si>
  <si>
    <t>-LqsR4ZB2C_C6AV4U6hh</t>
  </si>
  <si>
    <t>1570757432272</t>
  </si>
  <si>
    <t>-LqsR6HH57C0BaSckpOj</t>
  </si>
  <si>
    <t>1570757439450</t>
  </si>
  <si>
    <t>-LqsR7qJ64P_gL2_gWOc</t>
  </si>
  <si>
    <t>1570757445632</t>
  </si>
  <si>
    <t>-LqsR9Z8BGqbtBR88ey0</t>
  </si>
  <si>
    <t>1570757452890</t>
  </si>
  <si>
    <t>-LqsRBM4f--hSUmVz5ct</t>
  </si>
  <si>
    <t>1570757460093</t>
  </si>
  <si>
    <t>-LqsRD49BHWTfiCnJ1Cb</t>
  </si>
  <si>
    <t>1570757467280</t>
  </si>
  <si>
    <t>-LqsREdJzYrSQd3K5oYQ</t>
  </si>
  <si>
    <t>1570757473472</t>
  </si>
  <si>
    <t>-LqsRGMA_lFK6hG2GupK</t>
  </si>
  <si>
    <t>1570757480691</t>
  </si>
  <si>
    <t>-LqsRI99shesYKVEqMD2</t>
  </si>
  <si>
    <t>1570757487902</t>
  </si>
  <si>
    <t>-LqsRJs0q2DJCU1gQMlx</t>
  </si>
  <si>
    <t>1570757495121</t>
  </si>
  <si>
    <t>-LqsRLMAhvb9y5RWbcRA</t>
  </si>
  <si>
    <t>1570757501271</t>
  </si>
  <si>
    <t>-LqsRMv8WEOeKGffDBZo</t>
  </si>
  <si>
    <t>1570757507482</t>
  </si>
  <si>
    <t>-LqsROdBmwwqntk6DfMx</t>
  </si>
  <si>
    <t>1570757514712</t>
  </si>
  <si>
    <t>-LqsRQC-InQWD_aGYGv6</t>
  </si>
  <si>
    <t>1570757520872</t>
  </si>
  <si>
    <t>-LqsRRvJIWKVurkkmKZm</t>
  </si>
  <si>
    <t>1570757528082</t>
  </si>
  <si>
    <t>-LqsRTiAiT9klCox7pLx</t>
  </si>
  <si>
    <t>1570757535301</t>
  </si>
  <si>
    <t>-LqsRVk6VoWmfvY00HHT</t>
  </si>
  <si>
    <t>1570757543657</t>
  </si>
  <si>
    <t>-LqsRXSdJ78Ryc00Bvy2</t>
  </si>
  <si>
    <t>1570757550746</t>
  </si>
  <si>
    <t>-LqsRZF-2B3-s4qlmYqS</t>
  </si>
  <si>
    <t>1570757557970</t>
  </si>
  <si>
    <t>-LqsRa4vYXiNqLV8TUN3</t>
  </si>
  <si>
    <t>1570757565197</t>
  </si>
  <si>
    <t>-LqsRbm60SCOy7fTNrBd</t>
  </si>
  <si>
    <t>1570757572387</t>
  </si>
  <si>
    <t>-LqsRdV608X3KPSOldMI</t>
  </si>
  <si>
    <t>1570757579598</t>
  </si>
  <si>
    <t>-LqsRf2ycjhtfpU4ocwc</t>
  </si>
  <si>
    <t>1570757585788</t>
  </si>
  <si>
    <t>-LqsRgmRmk_Q1pNNeHl-</t>
  </si>
  <si>
    <t>1570757593006</t>
  </si>
  <si>
    <t>-LqsRi_40mnxaEfyeBLq</t>
  </si>
  <si>
    <t>1570757600217</t>
  </si>
  <si>
    <t>-LqsRkI4f6l9iyIeLQCK</t>
  </si>
  <si>
    <t>1570757607438</t>
  </si>
  <si>
    <t>-LqsRlm91e8uArxdhFJO</t>
  </si>
  <si>
    <t>1570757613610</t>
  </si>
  <si>
    <t>-LqsRnL8wC2T-irKPARj</t>
  </si>
  <si>
    <t>1570757619789</t>
  </si>
  <si>
    <t>-LqsRop9WwFBhFvIB9t2</t>
  </si>
  <si>
    <t>1570757625960</t>
  </si>
  <si>
    <t>-LqsRqYR6JuIDgxXO224</t>
  </si>
  <si>
    <t>1570757633199</t>
  </si>
  <si>
    <t>-LqsRs6Bbd00Er81zD95</t>
  </si>
  <si>
    <t>1570757639372</t>
  </si>
  <si>
    <t>-LqsRtu6MgyoJnljeg2Q</t>
  </si>
  <si>
    <t>1570757646579</t>
  </si>
  <si>
    <t>-LqsRvlh7jyLvdYgaGKO</t>
  </si>
  <si>
    <t>1570757653789</t>
  </si>
  <si>
    <t>-LqsRxQIJDiZU69JtQsP</t>
  </si>
  <si>
    <t>1570757661009</t>
  </si>
  <si>
    <t>-LqsRz8-hMmoiQZYfUSt</t>
  </si>
  <si>
    <t>1570757668229</t>
  </si>
  <si>
    <t>-LqsS-bfxzOlHvzu9K0F</t>
  </si>
  <si>
    <t>1570757674399</t>
  </si>
  <si>
    <t>-LqsS1Q9Skhu_xZPwoP3</t>
  </si>
  <si>
    <t>1570757681620</t>
  </si>
  <si>
    <t>-LqsS3DHG7VUmbPI9JOI</t>
  </si>
  <si>
    <t>1570757688829</t>
  </si>
  <si>
    <t>-LqsS4wJmVA19Tb4j07a</t>
  </si>
  <si>
    <t>1570757696048</t>
  </si>
  <si>
    <t>-LqsS6j7qCAWtNcfpCMP</t>
  </si>
  <si>
    <t>1570757703250</t>
  </si>
  <si>
    <t>-LqsS8S8qBU-52dXPIT1</t>
  </si>
  <si>
    <t>1570757710479</t>
  </si>
  <si>
    <t>-LqsSAF8ygnlZNs7BJPB</t>
  </si>
  <si>
    <t>1570757717677</t>
  </si>
  <si>
    <t>-LqsSBy8fcz7hj3xXsfz</t>
  </si>
  <si>
    <t>1570757724880</t>
  </si>
  <si>
    <t>-LqsSDl7in-o0YERhSil</t>
  </si>
  <si>
    <t>1570757732099</t>
  </si>
  <si>
    <t>-LqsSFU0q6dW0ORP1JjQ</t>
  </si>
  <si>
    <t>1570757739291</t>
  </si>
  <si>
    <t>-LqsSH1yqnWxyUGD7AmC</t>
  </si>
  <si>
    <t>1570757745499</t>
  </si>
  <si>
    <t>-LqsSIl8E-CDLN6bVgbr</t>
  </si>
  <si>
    <t>1570757752719</t>
  </si>
  <si>
    <t>-LqsSKZAf7jSM4gZSZHq</t>
  </si>
  <si>
    <t>1570757759921</t>
  </si>
  <si>
    <t>-LqsSMH7FvBoiMr60Qhs</t>
  </si>
  <si>
    <t>1570757767119</t>
  </si>
  <si>
    <t>-LqsSO8yl4R064POG64c</t>
  </si>
  <si>
    <t>1570757773313</t>
  </si>
  <si>
    <t>-LqsSPn7ACnj2BhOZnO4</t>
  </si>
  <si>
    <t>1570757781535</t>
  </si>
  <si>
    <t>-LqsSRMHzWmB6dxAcEdv</t>
  </si>
  <si>
    <t>1570757787710</t>
  </si>
  <si>
    <t>-LqsST48E-UByc1DLU-V</t>
  </si>
  <si>
    <t>1570757794961</t>
  </si>
  <si>
    <t>-LqsSUsHQPFc5mNJYIEM</t>
  </si>
  <si>
    <t>1570757802170</t>
  </si>
  <si>
    <t>-LqsSWa9aysAqVfZ-Ktz</t>
  </si>
  <si>
    <t>1570757809360</t>
  </si>
  <si>
    <t>-LqsSYYIkFqX0yKbxLaS</t>
  </si>
  <si>
    <t>1570757815559</t>
  </si>
  <si>
    <t>-LqsS_67_EpeWMPNANE0</t>
  </si>
  <si>
    <t>1570757823819</t>
  </si>
  <si>
    <t>-LqsSavWDDLuCBVZ0yii</t>
  </si>
  <si>
    <t>1570757831010</t>
  </si>
  <si>
    <t>-LqsSccI1eOubfB8HaFO</t>
  </si>
  <si>
    <t>1570757838229</t>
  </si>
  <si>
    <t>-LqsSeAybyLLp4bEdnQZ</t>
  </si>
  <si>
    <t>1570757844410</t>
  </si>
  <si>
    <t>-LqsSfu8elr_q92rNEUh</t>
  </si>
  <si>
    <t>1570757851601</t>
  </si>
  <si>
    <t>-LqsShTODYA6nlgyEJRu</t>
  </si>
  <si>
    <t>1570757857798</t>
  </si>
  <si>
    <t>-LqsSjB8jesHV-OGG0O_</t>
  </si>
  <si>
    <t>1570757865020</t>
  </si>
  <si>
    <t>-LqsSkz8VV3_RDa1zM-G</t>
  </si>
  <si>
    <t>1570757872229</t>
  </si>
  <si>
    <t>-LqsSmh7OfWGBkv1sExG</t>
  </si>
  <si>
    <t>1570757879441</t>
  </si>
  <si>
    <t>-LqsSoWMfjt0u-19CIjW</t>
  </si>
  <si>
    <t>1570757886648</t>
  </si>
  <si>
    <t>-LqsSqBK4Ngub4XkeCmX</t>
  </si>
  <si>
    <t>1570757893840</t>
  </si>
  <si>
    <t>-LqsSsA7t2soivtGbzfA</t>
  </si>
  <si>
    <t>1570757901637</t>
  </si>
  <si>
    <t>-LqsSto0EChS-EZA9x5O</t>
  </si>
  <si>
    <t>1570757908334</t>
  </si>
  <si>
    <t>-LqsSvUSee4XR2Ve-4Ul</t>
  </si>
  <si>
    <t>1570757915506</t>
  </si>
  <si>
    <t>-LqsSx0IzxulaKvvvLjT</t>
  </si>
  <si>
    <t>1570757921678</t>
  </si>
  <si>
    <t>-LqsSyo8x4ekOoYhBX1p</t>
  </si>
  <si>
    <t>1570757928898</t>
  </si>
  <si>
    <t>-LqsT-X7KafOL6SVYtdz</t>
  </si>
  <si>
    <t>1570757936080</t>
  </si>
  <si>
    <t>-LqsT16H5Ep0xwbccTRE</t>
  </si>
  <si>
    <t>1570757942270</t>
  </si>
  <si>
    <t>-LqsT2o6csXxjrnRbR1N</t>
  </si>
  <si>
    <t>1570757949519</t>
  </si>
  <si>
    <t>-LqsT4bGYOi0uq0t_7zb</t>
  </si>
  <si>
    <t>1570757956708</t>
  </si>
  <si>
    <t>-LqsT6K7mq1k9fMbwHO1</t>
  </si>
  <si>
    <t>1570757963919</t>
  </si>
  <si>
    <t>-LqsT87IIpsk_XwC6bxH</t>
  </si>
  <si>
    <t>1570757971148</t>
  </si>
  <si>
    <t>-LqsT9q7hWoowGuSFPc5</t>
  </si>
  <si>
    <t>1570757978320</t>
  </si>
  <si>
    <t>-LqsTBPGW3bx4e3iug_O</t>
  </si>
  <si>
    <t>1570757984510</t>
  </si>
  <si>
    <t>-LqsTD8Up_AJjI9ai1_O</t>
  </si>
  <si>
    <t>1570757991759</t>
  </si>
  <si>
    <t>-LqsTEvI3yAJ7NX8q_cB</t>
  </si>
  <si>
    <t>1570757998959</t>
  </si>
  <si>
    <t>-LqsTGxa2O0pNtSQ3iZd</t>
  </si>
  <si>
    <t>1570758006159</t>
  </si>
  <si>
    <t>-LqsTIf7HcIsaUjALL3J</t>
  </si>
  <si>
    <t>1570758014427</t>
  </si>
  <si>
    <t>-LqsTKT7ElOGfTMz58V0</t>
  </si>
  <si>
    <t>1570758021636</t>
  </si>
  <si>
    <t>-LqsTMBGLBhvwG4sI5zG</t>
  </si>
  <si>
    <t>1570758028809</t>
  </si>
  <si>
    <t>-LqsTNyyAbltA0eRKgGb</t>
  </si>
  <si>
    <t>1570758036048</t>
  </si>
  <si>
    <t>-LqsTPi44DLMCr9b0kRW</t>
  </si>
  <si>
    <t>1570758043286</t>
  </si>
  <si>
    <t>-LqsTRWMP7Lbt3Ce_Aj4</t>
  </si>
  <si>
    <t>1570758050478</t>
  </si>
  <si>
    <t>-LqsTTD9rEeNAfnWRzam</t>
  </si>
  <si>
    <t>1570758057678</t>
  </si>
  <si>
    <t>-LqsTUm65zDJ3oELyS-o</t>
  </si>
  <si>
    <t>1570758063869</t>
  </si>
  <si>
    <t>-LqsTWVHXISuOyxmeVlG</t>
  </si>
  <si>
    <t>1570758071087</t>
  </si>
  <si>
    <t>-LqsTYX7wLtXvsSpblr6</t>
  </si>
  <si>
    <t>1570758079312</t>
  </si>
  <si>
    <t>-LqsT_FRDro6yeNH71ex</t>
  </si>
  <si>
    <t>1570758086538</t>
  </si>
  <si>
    <t>-LqsTaoGfZ7YcFm2_7dI</t>
  </si>
  <si>
    <t>1570758092728</t>
  </si>
  <si>
    <t>-LqsTcX5Mvuvfbch3Lii</t>
  </si>
  <si>
    <t>1570758099919</t>
  </si>
  <si>
    <t>-LqsTeK7_bp8298faYcV</t>
  </si>
  <si>
    <t>1570758107149</t>
  </si>
  <si>
    <t>-LqsTg289p8dNamOajqY</t>
  </si>
  <si>
    <t>1570758114329</t>
  </si>
  <si>
    <t>-LqsThb72k4giUJChw-l</t>
  </si>
  <si>
    <t>1570758120509</t>
  </si>
  <si>
    <t>-LqsTjK7gMCz_HtZNz-e</t>
  </si>
  <si>
    <t>1570758127767</t>
  </si>
  <si>
    <t>-LqsTl7IBaOr6tIJmwwD</t>
  </si>
  <si>
    <t>1570758134969</t>
  </si>
  <si>
    <t>-LqsTmq7bmpCSO3dD38N</t>
  </si>
  <si>
    <t>1570758142158</t>
  </si>
  <si>
    <t>-LqsTod6T7iHTXnsBAZN</t>
  </si>
  <si>
    <t>1570758149390</t>
  </si>
  <si>
    <t>-LqsTqM5YWa_Uxe9WJi1</t>
  </si>
  <si>
    <t>1570758156571</t>
  </si>
  <si>
    <t>-LqsTru0Sf0RhzvYyPrx</t>
  </si>
  <si>
    <t>1570758162778</t>
  </si>
  <si>
    <t>-LqsTteMa2rGU7vDYTrh</t>
  </si>
  <si>
    <t>1570758169998</t>
  </si>
  <si>
    <t>-LqsTvR6J_1pY9fFlJie</t>
  </si>
  <si>
    <t>1570758177210</t>
  </si>
  <si>
    <t>-LqsTxE8ByZlu2pC7GFr</t>
  </si>
  <si>
    <t>1570758184619</t>
  </si>
  <si>
    <t>-LqsTyxPI_2YZmHMQV0u</t>
  </si>
  <si>
    <t>1570758191629</t>
  </si>
  <si>
    <t>-LqsU-fRUdSxOSOm-2ua</t>
  </si>
  <si>
    <t>1570758198859</t>
  </si>
  <si>
    <t>-LqsU1T51agEKiIiweQU</t>
  </si>
  <si>
    <t>1570758206058</t>
  </si>
  <si>
    <t>-LqsU3B7VRHWhLPvwiwI</t>
  </si>
  <si>
    <t>1570758213271</t>
  </si>
  <si>
    <t>-LqsU4z75WkFsZ0kzsQw</t>
  </si>
  <si>
    <t>1570758220478</t>
  </si>
  <si>
    <t>-LqsU6m7Pn9WM73xY8ZP</t>
  </si>
  <si>
    <t>1570758227689</t>
  </si>
  <si>
    <t>-LqsU8Ree_0dTsIRjTU4</t>
  </si>
  <si>
    <t>1570758234898</t>
  </si>
  <si>
    <t>-LqsU9z70VTz6BVag41X</t>
  </si>
  <si>
    <t>1570758241100</t>
  </si>
  <si>
    <t>-LqsUBm5nUxxCJ5akkpk</t>
  </si>
  <si>
    <t>1570758248435</t>
  </si>
  <si>
    <t>-LqsUDVirEMskis3ujgy</t>
  </si>
  <si>
    <t>1570758255510</t>
  </si>
  <si>
    <t>-LqsUF35vkdPiOjg3mX1</t>
  </si>
  <si>
    <t>1570758261687</t>
  </si>
  <si>
    <t>-LqsUGm4S4FojDnUMWaP</t>
  </si>
  <si>
    <t>1570758268878</t>
  </si>
  <si>
    <t>-LqsUIL4X2yVYXRdlt3h</t>
  </si>
  <si>
    <t>1570758275076</t>
  </si>
  <si>
    <t>-LqsUK36L0yZV0HC1Cnd</t>
  </si>
  <si>
    <t>1570758282297</t>
  </si>
  <si>
    <t>-LqsULWOEcvFjOeX3fNJ</t>
  </si>
  <si>
    <t>1570758288479</t>
  </si>
  <si>
    <t>-LqsUN69AptHRmUx4TqB</t>
  </si>
  <si>
    <t>1570758294656</t>
  </si>
  <si>
    <t>-LqsUOoyrlzj2OsFrSwh</t>
  </si>
  <si>
    <t>1570758301848</t>
  </si>
  <si>
    <t>-LqsUQO8nMvJXHVgeRl0</t>
  </si>
  <si>
    <t>1570758308058</t>
  </si>
  <si>
    <t>-LqsUS640M8z-q25VVNH</t>
  </si>
  <si>
    <t>1570758315277</t>
  </si>
  <si>
    <t>-LqsUTuEVr9EqVc4kmnN</t>
  </si>
  <si>
    <t>1570758322476</t>
  </si>
  <si>
    <t>-LqsUVcCmDc9JvuJawqz</t>
  </si>
  <si>
    <t>1570758329676</t>
  </si>
  <si>
    <t>-LqsUXBQPOJgI7Zs-toD</t>
  </si>
  <si>
    <t>1570758335868</t>
  </si>
  <si>
    <t>-LqsUYu5osXORf_FOe-p</t>
  </si>
  <si>
    <t>1570758343087</t>
  </si>
  <si>
    <t>-LqsU_c4tro1zYThhDxC</t>
  </si>
  <si>
    <t>1570758350296</t>
  </si>
  <si>
    <t>-LqsUbB7WwfhO5I6zFAY</t>
  </si>
  <si>
    <t>1570758356521</t>
  </si>
  <si>
    <t>-LqsUcu4MNhZDSFq4_U-</t>
  </si>
  <si>
    <t>1570758363686</t>
  </si>
  <si>
    <t>-LqsUeT4oaPRL3i-HUFx</t>
  </si>
  <si>
    <t>1570758369867</t>
  </si>
  <si>
    <t>-LqsUgAwdPnkdiTrrilO</t>
  </si>
  <si>
    <t>1570758377049</t>
  </si>
  <si>
    <t>-LqsUhk49sIcJzXO03i8</t>
  </si>
  <si>
    <t>1570758383237</t>
  </si>
  <si>
    <t>-LqsUjTETiPqK1qLxJ0p</t>
  </si>
  <si>
    <t>1570758390477</t>
  </si>
  <si>
    <t>-LqsUlG5-rrIfJrA-0Kn</t>
  </si>
  <si>
    <t>1570758397687</t>
  </si>
  <si>
    <t>-LqsUmz4b-j7pfRp3_Z-</t>
  </si>
  <si>
    <t>1570758404876</t>
  </si>
  <si>
    <t>-LqsUoY5Wgga0ekpLCWb</t>
  </si>
  <si>
    <t>1570758411087</t>
  </si>
  <si>
    <t>-LqsUqG5OJbs8FKGlgqM</t>
  </si>
  <si>
    <t>1570758418297</t>
  </si>
  <si>
    <t>-LqsUs2lAyr_iIE-zbYk</t>
  </si>
  <si>
    <t>1570758425507</t>
  </si>
  <si>
    <t>-LqsUtmCEDvDDhNyoAZR</t>
  </si>
  <si>
    <t>1570758432717</t>
  </si>
  <si>
    <t>-LqsUv_49HMALmIjjkS8</t>
  </si>
  <si>
    <t>1570758439926</t>
  </si>
  <si>
    <t>-LqsUxI6SkasxYLMgFm8</t>
  </si>
  <si>
    <t>1570758447118</t>
  </si>
  <si>
    <t>-LqsUz1K3DIAryTgZj8e</t>
  </si>
  <si>
    <t>1570758454013</t>
  </si>
  <si>
    <t>-LqsV-_5Kb-bjZlgzC7o</t>
  </si>
  <si>
    <t>1570758460537</t>
  </si>
  <si>
    <t>-LqsV1358yMqlBMFb8rZ</t>
  </si>
  <si>
    <t>1570758466717</t>
  </si>
  <si>
    <t>-LqsV2wL3PjMJSGD4V9V</t>
  </si>
  <si>
    <t>1570758472896</t>
  </si>
  <si>
    <t>-LqsV4e5F7OUihbST9WM</t>
  </si>
  <si>
    <t>1570758481149</t>
  </si>
  <si>
    <t>-LqsV6NGOkDAcxxIjChS</t>
  </si>
  <si>
    <t>1570758488357</t>
  </si>
  <si>
    <t>-LqsV8A6b4Knca_igxsr</t>
  </si>
  <si>
    <t>1570758495569</t>
  </si>
  <si>
    <t>-LqsV9t5Tw_8TZ174WlG</t>
  </si>
  <si>
    <t>1570758502799</t>
  </si>
  <si>
    <t>-LqsVBg6DCJruCSqglpj</t>
  </si>
  <si>
    <t>1570758509988</t>
  </si>
  <si>
    <t>-LqsVDP5w4EYIG5cYoqT</t>
  </si>
  <si>
    <t>1570758517197</t>
  </si>
  <si>
    <t>-LqsVFB-QwT5YWDXZL-1</t>
  </si>
  <si>
    <t>1570758524409</t>
  </si>
  <si>
    <t>-LqsVGv5eCx2hC_winYv</t>
  </si>
  <si>
    <t>1570758531597</t>
  </si>
  <si>
    <t>-LqsVIU6vTSFDRRFBuY2</t>
  </si>
  <si>
    <t>1570758537787</t>
  </si>
  <si>
    <t>-LqsVKC649J1aGt8NBVB</t>
  </si>
  <si>
    <t>1570758545037</t>
  </si>
  <si>
    <t>-LqsVM-6K7qhE4HPlfeN</t>
  </si>
  <si>
    <t>1570758552228</t>
  </si>
  <si>
    <t>-LqsVNi6Ak-tx0mDcNJj</t>
  </si>
  <si>
    <t>1570758559440</t>
  </si>
  <si>
    <t>-LqsVPW5Axku2QIrtdm3</t>
  </si>
  <si>
    <t>1570758566657</t>
  </si>
  <si>
    <t>-LqsVRE5axgCpugV2cp5</t>
  </si>
  <si>
    <t>1570758573838</t>
  </si>
  <si>
    <t>-LqsVSn-sviuqLZZ1C5W</t>
  </si>
  <si>
    <t>1570758580037</t>
  </si>
  <si>
    <t>-LqsVUW581TAdGjaFg8K</t>
  </si>
  <si>
    <t>1570758587277</t>
  </si>
  <si>
    <t>-LqsVWJEQBSS6M6Xpk9B</t>
  </si>
  <si>
    <t>1570758594469</t>
  </si>
  <si>
    <t>-LqsVY1IlXO31SpNiMNb</t>
  </si>
  <si>
    <t>1570758601688</t>
  </si>
  <si>
    <t>-LqsVZnrvqiHZKE62zLn</t>
  </si>
  <si>
    <t>1570758608889</t>
  </si>
  <si>
    <t>-LqsVaYNt_CZGEFJAjx3</t>
  </si>
  <si>
    <t>1570758616079</t>
  </si>
  <si>
    <t>-LqsVc5zzCXxgzapMpFa</t>
  </si>
  <si>
    <t>1570758622267</t>
  </si>
  <si>
    <t>-LqsVdp5GIKIeG32JY6_</t>
  </si>
  <si>
    <t>1570758629519</t>
  </si>
  <si>
    <t>-LqsVfJGNx1v1xRrp9LR</t>
  </si>
  <si>
    <t>1570758635679</t>
  </si>
  <si>
    <t>-LqsVgs5qxwRP3xxW1s5</t>
  </si>
  <si>
    <t>1570758641868</t>
  </si>
  <si>
    <t>-LqsVia5AMjlrtKAbuPh</t>
  </si>
  <si>
    <t>1570758649047</t>
  </si>
  <si>
    <t>-LqsVkANGere_QcNIAok</t>
  </si>
  <si>
    <t>1570758655229</t>
  </si>
  <si>
    <t>-LqsVlsEPVVqnq5Yu3hf</t>
  </si>
  <si>
    <t>1570758662478</t>
  </si>
  <si>
    <t>-LqsVnf5thRSD96MK2kb</t>
  </si>
  <si>
    <t>1570758669681</t>
  </si>
  <si>
    <t>-LqsVpOHnTuu4iMMQKei</t>
  </si>
  <si>
    <t>1570758676877</t>
  </si>
  <si>
    <t>-LqsVqxGUp-FTwrgHCUm</t>
  </si>
  <si>
    <t>1570758683068</t>
  </si>
  <si>
    <t>-LqsVsf5jOPhv10ogPZd</t>
  </si>
  <si>
    <t>1570758690289</t>
  </si>
  <si>
    <t>-LqsVuT7wMekCIHEErj8</t>
  </si>
  <si>
    <t>1570758697500</t>
  </si>
  <si>
    <t>-LqsVwV-mJd-ftw29BJv</t>
  </si>
  <si>
    <t>1570758704718</t>
  </si>
  <si>
    <t>-LqsVyD7tkmUf3lzpMpC</t>
  </si>
  <si>
    <t>1570758712949</t>
  </si>
  <si>
    <t>-LqsVzfuiC_ZSpCBXXws</t>
  </si>
  <si>
    <t>1570758719120</t>
  </si>
  <si>
    <t>-LqsW0V73efsgDxBa3Z1</t>
  </si>
  <si>
    <t>1570758726357</t>
  </si>
  <si>
    <t>-LqsW2D8pGk9wAe0wOvp</t>
  </si>
  <si>
    <t>1570758733530</t>
  </si>
  <si>
    <t>-LqsW3m8Ua4vg-7wbHUY</t>
  </si>
  <si>
    <t>1570758739709</t>
  </si>
  <si>
    <t>-LqsW5V-PL7WbJgHxwpS</t>
  </si>
  <si>
    <t>1570758746960</t>
  </si>
  <si>
    <t>-LqsW7I8bs0VVniABdbc</t>
  </si>
  <si>
    <t>1570758754170</t>
  </si>
  <si>
    <t>-LqsW907G2A_rVFTPq0m</t>
  </si>
  <si>
    <t>1570758761360</t>
  </si>
  <si>
    <t>-LqsWAZCeP9mwzpHI_U2</t>
  </si>
  <si>
    <t>1570758767530</t>
  </si>
  <si>
    <t>-LqsWCI8RStSfjnJKm1L</t>
  </si>
  <si>
    <t>1570758774769</t>
  </si>
  <si>
    <t>-LqsWE5HmTEGGK9j6Vkn</t>
  </si>
  <si>
    <t>1570758781990</t>
  </si>
  <si>
    <t>-LqsWGMI4nRvaMm-aUbD</t>
  </si>
  <si>
    <t>1570758789200</t>
  </si>
  <si>
    <t>-LqsWI48Z_4mU7xJel4c</t>
  </si>
  <si>
    <t>1570758798479</t>
  </si>
  <si>
    <t>-LqsWK69lwssbCbCgLcp</t>
  </si>
  <si>
    <t>1570758805680</t>
  </si>
  <si>
    <t>-LqsWLozTBOIgdJ_QoHe</t>
  </si>
  <si>
    <t>1570758813920</t>
  </si>
  <si>
    <t>-LqsWNO6UGQjBV5A09lW</t>
  </si>
  <si>
    <t>1570758820100</t>
  </si>
  <si>
    <t>-LqsWP6Hvy_PH--zl17Y</t>
  </si>
  <si>
    <t>1570758827290</t>
  </si>
  <si>
    <t>-LqsWQe2O8BZwo8GEOpo</t>
  </si>
  <si>
    <t>1570758833487</t>
  </si>
  <si>
    <t>-LqsWSOAErRVJCtY_FR2</t>
  </si>
  <si>
    <t>1570758840720</t>
  </si>
  <si>
    <t>-LqsWUB7OsHfX2BVRvjC</t>
  </si>
  <si>
    <t>1570758847929</t>
  </si>
  <si>
    <t>-LqsWVu9RZpY9D94pbeM</t>
  </si>
  <si>
    <t>1570758855128</t>
  </si>
  <si>
    <t>-LqsWXUMot4522-u2Noi</t>
  </si>
  <si>
    <t>1570758861311</t>
  </si>
  <si>
    <t>-LqsWZB80YWbD1725ILa</t>
  </si>
  <si>
    <t>1570758868530</t>
  </si>
  <si>
    <t>-LqsW_th241KzEe3o8iO</t>
  </si>
  <si>
    <t>1570758875739</t>
  </si>
  <si>
    <t>-LqsWbUF69JaS2tzSygt</t>
  </si>
  <si>
    <t>1570758881921</t>
  </si>
  <si>
    <t>-LqsWdG7tbd5s8nHUIdE</t>
  </si>
  <si>
    <t>1570758889130</t>
  </si>
  <si>
    <t>-LqsWez881ySVL-MR5rZ</t>
  </si>
  <si>
    <t>1570758896351</t>
  </si>
  <si>
    <t>-LqsWgm7gW9fTRDswnWJ</t>
  </si>
  <si>
    <t>1570758903559</t>
  </si>
  <si>
    <t>-LqsWiV8S2dQCWZH8qzM</t>
  </si>
  <si>
    <t>1570758910770</t>
  </si>
  <si>
    <t>-LqsWkIHDqHnwFcrxjsY</t>
  </si>
  <si>
    <t>1570758918005</t>
  </si>
  <si>
    <t>-LqsWm09TSXGJOqWAeo2</t>
  </si>
  <si>
    <t>1570758925200</t>
  </si>
  <si>
    <t>-LqsWno8SRFxt4zRZGIL</t>
  </si>
  <si>
    <t>1570758932409</t>
  </si>
  <si>
    <t>-LqsWpX8RyUXrbAF3VEb</t>
  </si>
  <si>
    <t>1570758939601</t>
  </si>
  <si>
    <t>-LqsWrKBKAfz7j4KqDjV</t>
  </si>
  <si>
    <t>1570758946879</t>
  </si>
  <si>
    <t>-LqsWt2B1267zqflHZRH</t>
  </si>
  <si>
    <t>1570758954063</t>
  </si>
  <si>
    <t>-LqsWul9qS7efLTkmFf9</t>
  </si>
  <si>
    <t>1570758960232</t>
  </si>
  <si>
    <t>-LqsWwK9gopGWGyO05bY</t>
  </si>
  <si>
    <t>1570758967443</t>
  </si>
  <si>
    <t>-LqsWxtByGrt6JnulVQn</t>
  </si>
  <si>
    <t>1570758973642</t>
  </si>
  <si>
    <t>-LqsWzbBmS8_sTMK7yrp</t>
  </si>
  <si>
    <t>1570758980833</t>
  </si>
  <si>
    <t>-LqsX0PCb9Nhx2toRA-I</t>
  </si>
  <si>
    <t>1570758988052</t>
  </si>
  <si>
    <t>-LqsX25ukjEaKQ6egR1w</t>
  </si>
  <si>
    <t>1570758995262</t>
  </si>
  <si>
    <t>-LqsX3vLC-dSxFe8qqkA</t>
  </si>
  <si>
    <t>1570759002473</t>
  </si>
  <si>
    <t>-LqsX5dAorGZkv_Bb6sc</t>
  </si>
  <si>
    <t>1570759009682</t>
  </si>
  <si>
    <t>-LqsX7CBLWfEFN_14Rzf</t>
  </si>
  <si>
    <t>1570759015873</t>
  </si>
  <si>
    <t>-LqsX8vAYKMH0I7KRFSH</t>
  </si>
  <si>
    <t>1570759023083</t>
  </si>
  <si>
    <t>-LqsXAiL7gJOW9onxRnS</t>
  </si>
  <si>
    <t>1570759030291</t>
  </si>
  <si>
    <t>-LqsXCRKuQ9eWNOC4EeO</t>
  </si>
  <si>
    <t>1570759037523</t>
  </si>
  <si>
    <t>-LqsXEE9hEgBt3_boq66</t>
  </si>
  <si>
    <t>1570759044722</t>
  </si>
  <si>
    <t>-LqsXFxLF2HUn1J2IkCM</t>
  </si>
  <si>
    <t>1570759051922</t>
  </si>
  <si>
    <t>-LqsXHkLiXUFaAXnS5v2</t>
  </si>
  <si>
    <t>1570759059143</t>
  </si>
  <si>
    <t>-LqsXJTBl57eWTfnWZxh</t>
  </si>
  <si>
    <t>1570759066332</t>
  </si>
  <si>
    <t>-LqsXL0c_ItEeV9bFJiw</t>
  </si>
  <si>
    <t>1570759072532</t>
  </si>
  <si>
    <t>-LqsXMkHr5j5law-WwpD</t>
  </si>
  <si>
    <t>1570759079762</t>
  </si>
  <si>
    <t>-LqsXOYAvzV6PCxbsrkC</t>
  </si>
  <si>
    <t>1570759086964</t>
  </si>
  <si>
    <t>-LqsXQGR9Nm3nunCZw0F</t>
  </si>
  <si>
    <t>1570759094162</t>
  </si>
  <si>
    <t>-LqsXRpBQw5yybEBGdIa</t>
  </si>
  <si>
    <t>1570759100352</t>
  </si>
  <si>
    <t>-LqsXTYKsrcODjipQ5Is</t>
  </si>
  <si>
    <t>1570759107572</t>
  </si>
  <si>
    <t>-LqsXVLBiHdEpjfdW0tw</t>
  </si>
  <si>
    <t>1570759114782</t>
  </si>
  <si>
    <t>-LqsXX2BUCU3e4CxkAXo</t>
  </si>
  <si>
    <t>1570759122002</t>
  </si>
  <si>
    <t>-LqsXYrAkmQYf20JvDEi</t>
  </si>
  <si>
    <t>1570759129221</t>
  </si>
  <si>
    <t>-LqsX__BBa3kaRjX2Owd</t>
  </si>
  <si>
    <t>1570759136401</t>
  </si>
  <si>
    <t>-LqsXb3dB5eL0_Gj_sRp</t>
  </si>
  <si>
    <t>1570759142581</t>
  </si>
  <si>
    <t>-LqsXccK3LbFmJNwnZWE</t>
  </si>
  <si>
    <t>1570759148782</t>
  </si>
  <si>
    <t>-LqsXeLBut3xccijJD-f</t>
  </si>
  <si>
    <t>1570759156007</t>
  </si>
  <si>
    <t>-LqsXg3Al3adX9g6xIbD</t>
  </si>
  <si>
    <t>1570759162823</t>
  </si>
  <si>
    <t>-LqsXhcAutQwTR4NauxJ</t>
  </si>
  <si>
    <t>1570759169362</t>
  </si>
  <si>
    <t>-LqsXjOrAMLX-h-6bv_5</t>
  </si>
  <si>
    <t>1570759175552</t>
  </si>
  <si>
    <t>-LqsXl7xjBRMW78PB38j</t>
  </si>
  <si>
    <t>1570759183827</t>
  </si>
  <si>
    <t>-LqsXmh6U-lQkikoVv8j</t>
  </si>
  <si>
    <t>1570759189986</t>
  </si>
  <si>
    <t>-LqsXoQOHvE4DPJ6o-MS</t>
  </si>
  <si>
    <t>1570759197197</t>
  </si>
  <si>
    <t>-LqsXpz51Nbz8gIlT49K</t>
  </si>
  <si>
    <t>1570759203388</t>
  </si>
  <si>
    <t>-LqsXrh5onOOlH1rjj0p</t>
  </si>
  <si>
    <t>1570759210598</t>
  </si>
  <si>
    <t>-LqsXtU8Gv9Yc4MGy-dN</t>
  </si>
  <si>
    <t>1570759217806</t>
  </si>
  <si>
    <t>-LqsXvD5yKnqPBBjO8Tf</t>
  </si>
  <si>
    <t>1570759225038</t>
  </si>
  <si>
    <t>-LqsXx06E7p_ybLiY9AA</t>
  </si>
  <si>
    <t>1570759232246</t>
  </si>
  <si>
    <t>-LqsXys0wg5VubfVG3FB</t>
  </si>
  <si>
    <t>1570759240009</t>
  </si>
  <si>
    <t>-LqsY-W0wmluDb6E00H1</t>
  </si>
  <si>
    <t>1570759246668</t>
  </si>
  <si>
    <t>-LqsY1G2pzXS6a-AUeT8</t>
  </si>
  <si>
    <t>1570759253897</t>
  </si>
  <si>
    <t>-LqsY2n-Z4VRZZpasIwE</t>
  </si>
  <si>
    <t>1570759260058</t>
  </si>
  <si>
    <t>-LqsY4X7AuFPQneQrKb-</t>
  </si>
  <si>
    <t>1570759267277</t>
  </si>
  <si>
    <t>-LqsY6JG9mWrRp012SEN</t>
  </si>
  <si>
    <t>1570759274467</t>
  </si>
  <si>
    <t>-LqsY811yGRdHKDsy79A</t>
  </si>
  <si>
    <t>1570759281678</t>
  </si>
  <si>
    <t>-LqsY9_rIdP6GQUE5R1o</t>
  </si>
  <si>
    <t>1570759287895</t>
  </si>
  <si>
    <t>-LqsYBd4sxEiI4XmGV2k</t>
  </si>
  <si>
    <t>1570759296354</t>
  </si>
  <si>
    <t>-LqsYDM41ObAw2iM5dTI</t>
  </si>
  <si>
    <t>1570759303339</t>
  </si>
  <si>
    <t>-LqsYF30oTjGDUwQQut2</t>
  </si>
  <si>
    <t>1570759310557</t>
  </si>
  <si>
    <t>-LqsYGd55BL6Pb62-c_a</t>
  </si>
  <si>
    <t>1570759316748</t>
  </si>
  <si>
    <t>-LqsYI75ajwPuNSJFgkT</t>
  </si>
  <si>
    <t>1570759322915</t>
  </si>
  <si>
    <t>-LqsYJtih6ZjwtNXGNZS</t>
  </si>
  <si>
    <t>1570759330135</t>
  </si>
  <si>
    <t>-LqsYLd60_s1Qf6-Ep1x</t>
  </si>
  <si>
    <t>1570759337356</t>
  </si>
  <si>
    <t>-LqsYNPhPHTBNKuNFYoF</t>
  </si>
  <si>
    <t>1570759344558</t>
  </si>
  <si>
    <t>-LqsYP96_xnCWoUCNNum</t>
  </si>
  <si>
    <t>1570759351757</t>
  </si>
  <si>
    <t>-LqsYQx5U_d2wOlE-C9d</t>
  </si>
  <si>
    <t>1570759358978</t>
  </si>
  <si>
    <t>-LqsYSg2ab1PtJgotda_</t>
  </si>
  <si>
    <t>1570759366167</t>
  </si>
  <si>
    <t>-LqsYUE7CqdccCbDV9Hf</t>
  </si>
  <si>
    <t>1570759372346</t>
  </si>
  <si>
    <t>-LqsYW6EGriZlM56WJM9</t>
  </si>
  <si>
    <t>1570759380266</t>
  </si>
  <si>
    <t>-LqsYXkHljzJmagA3Bdd</t>
  </si>
  <si>
    <t>1570759386796</t>
  </si>
  <si>
    <t>-LqsYZRzw5JmTXVmNpRx</t>
  </si>
  <si>
    <t>1570759393997</t>
  </si>
  <si>
    <t>-LqsYa09UKXMORbjiroy</t>
  </si>
  <si>
    <t>1570759400187</t>
  </si>
  <si>
    <t>-LqsYcIYMEub3xlVthJw</t>
  </si>
  <si>
    <t>1570759408637</t>
  </si>
  <si>
    <t>-LqsYe06xr4RvkKGyRb9</t>
  </si>
  <si>
    <t>1570759416678</t>
  </si>
  <si>
    <t>-LqsYfo69LWc1jeKChEK</t>
  </si>
  <si>
    <t>1570759423886</t>
  </si>
  <si>
    <t>-LqsYhX74FcptHWWBIk8</t>
  </si>
  <si>
    <t>1570759431117</t>
  </si>
  <si>
    <t>-LqsYjK6sZp8yiH_k3lo</t>
  </si>
  <si>
    <t>1570759438308</t>
  </si>
  <si>
    <t>-LqsYl2ExoMj1g0vK0t-</t>
  </si>
  <si>
    <t>1570759445519</t>
  </si>
  <si>
    <t>-LqsYmqCwRaHGsoPep7p</t>
  </si>
  <si>
    <t>1570759452737</t>
  </si>
  <si>
    <t>-LqsYoZ68yjde6vTrNb9</t>
  </si>
  <si>
    <t>1570759459919</t>
  </si>
  <si>
    <t>-LqsYq6xq02A8WvfZn75</t>
  </si>
  <si>
    <t>1570759466107</t>
  </si>
  <si>
    <t>-LqsYrqHPg_uO_JkXG3K</t>
  </si>
  <si>
    <t>1570759473358</t>
  </si>
  <si>
    <t>-LqsYtjI3QftrclY9G2V</t>
  </si>
  <si>
    <t>1570759480558</t>
  </si>
  <si>
    <t>-LqsYvM4yGoT_0Vt3-Eq</t>
  </si>
  <si>
    <t>1570759487757</t>
  </si>
  <si>
    <t>-LqsYwv4mv_sEHOI6UJE</t>
  </si>
  <si>
    <t>1570759493948</t>
  </si>
  <si>
    <t>-LqsYyaIBSu7PrsT6NwM</t>
  </si>
  <si>
    <t>1570759501168</t>
  </si>
  <si>
    <t>-LqsZ-64ZAE9Bg1ZI4vK</t>
  </si>
  <si>
    <t>1570759507350</t>
  </si>
  <si>
    <t>-LqsZ0l432wcyFcsKtjU</t>
  </si>
  <si>
    <t>1570759513546</t>
  </si>
  <si>
    <t>-LqsZ2P53RGHHL9PEi94</t>
  </si>
  <si>
    <t>1570759520717</t>
  </si>
  <si>
    <t>-LqsZ3y4pSz-8Azpx_0g</t>
  </si>
  <si>
    <t>1570759526917</t>
  </si>
  <si>
    <t>-LqsZ5gGomnDZ__dQiiG</t>
  </si>
  <si>
    <t>1570759534138</t>
  </si>
  <si>
    <t>-LqsZ7U63-nJ8ruEiZF4</t>
  </si>
  <si>
    <t>1570759541349</t>
  </si>
  <si>
    <t>-LqsZ9C68kffpZcBuQA5</t>
  </si>
  <si>
    <t>1570759548558</t>
  </si>
  <si>
    <t>-LqsZB-GjShKNRCCU4xs</t>
  </si>
  <si>
    <t>1570759555778</t>
  </si>
  <si>
    <t>-LqsZCi5XaYNGVRulDrh</t>
  </si>
  <si>
    <t>1570759562967</t>
  </si>
  <si>
    <t>-LqsZEQWTEnMUgmiQo2q</t>
  </si>
  <si>
    <t>1570759569158</t>
  </si>
  <si>
    <t>-LqsZG-62gDia0grm5Fd</t>
  </si>
  <si>
    <t>1570759576378</t>
  </si>
  <si>
    <t>-LqsZHnED0HbuQTfxJCO</t>
  </si>
  <si>
    <t>1570759583598</t>
  </si>
  <si>
    <t>-LqsZJWteq5LzdWC4bPt</t>
  </si>
  <si>
    <t>1570759590808</t>
  </si>
  <si>
    <t>-LqsZLHpA5kzB3-xCYdk</t>
  </si>
  <si>
    <t>1570759598017</t>
  </si>
  <si>
    <t>-LqsZN0B_ghTj0Sm7ZC8</t>
  </si>
  <si>
    <t>1570759605198</t>
  </si>
  <si>
    <t>-LqsZOVwq7FKIQsLLrSD</t>
  </si>
  <si>
    <t>1570759611386</t>
  </si>
  <si>
    <t>-LqsZQ47zovVVXQfbiI_</t>
  </si>
  <si>
    <t>1570759617609</t>
  </si>
  <si>
    <t>-LqsZRn4GjEYjkP5seQF</t>
  </si>
  <si>
    <t>1570759624808</t>
  </si>
  <si>
    <t>-LqsZTMGQMVrkVuRVy2Q</t>
  </si>
  <si>
    <t>1570759630988</t>
  </si>
  <si>
    <t>-LqsZV4CaOMJhmTIwBB0</t>
  </si>
  <si>
    <t>1570759638166</t>
  </si>
  <si>
    <t>-LqsZWs8h-aOp2EupTxO</t>
  </si>
  <si>
    <t>1570759645539</t>
  </si>
  <si>
    <t>-LqsZYa6RhiQsij9aXw1</t>
  </si>
  <si>
    <t>1570759652639</t>
  </si>
  <si>
    <t>-LqsZ_9bZoEbotf4w_0x</t>
  </si>
  <si>
    <t>1570759658809</t>
  </si>
  <si>
    <t>-LqsZbG7iAr-I7jDrpOA</t>
  </si>
  <si>
    <t>1570759666010</t>
  </si>
  <si>
    <t>-LqsZcu73NDxawvb1mkB</t>
  </si>
  <si>
    <t>1570759674260</t>
  </si>
  <si>
    <t>-LqsZeh8XczMs15zCidL</t>
  </si>
  <si>
    <t>1570759681480</t>
  </si>
  <si>
    <t>-LqsZgQ67oQqVL2f1LeX</t>
  </si>
  <si>
    <t>1570759688690</t>
  </si>
  <si>
    <t>-LqsZiD7Ct2h7V9Nkmox</t>
  </si>
  <si>
    <t>1570759695899</t>
  </si>
  <si>
    <t>-LqsZjw69z8XlDCZFTLr</t>
  </si>
  <si>
    <t>1570759703119</t>
  </si>
  <si>
    <t>-LqsZlj7dj94qyC9Xv4A</t>
  </si>
  <si>
    <t>1570759710338</t>
  </si>
  <si>
    <t>-LqsZnSHKc5aJBMc97ge</t>
  </si>
  <si>
    <t>1570759717519</t>
  </si>
  <si>
    <t>-LqsZp07IyFBFR7ghhey</t>
  </si>
  <si>
    <t>1570759723710</t>
  </si>
  <si>
    <t>-LqsZqj7LILkiVRunMxW</t>
  </si>
  <si>
    <t>1570759730930</t>
  </si>
  <si>
    <t>-LqsZsX7Xvvfk-frl6nN</t>
  </si>
  <si>
    <t>1570759738189</t>
  </si>
  <si>
    <t>-LqsZuF8M-tRuw1AQUQs</t>
  </si>
  <si>
    <t>1570759745359</t>
  </si>
  <si>
    <t>-LqsZw284dMb_46sLP1q</t>
  </si>
  <si>
    <t>1570759752580</t>
  </si>
  <si>
    <t>-LqsZxl8Cv0u3JwcHDYQ</t>
  </si>
  <si>
    <t>1570759759762</t>
  </si>
  <si>
    <t>-LqsZzJ1BEN4uXlXQsYz</t>
  </si>
  <si>
    <t>1570759765950</t>
  </si>
  <si>
    <t>-Lqs_08OcabHrxYsWxkQ</t>
  </si>
  <si>
    <t>1570759773180</t>
  </si>
  <si>
    <t>-Lqs_1q6SxEiZoxi55kk</t>
  </si>
  <si>
    <t>1570759780391</t>
  </si>
  <si>
    <t>-Lqs_3Z6V_c1x87LFw_k</t>
  </si>
  <si>
    <t>1570759787600</t>
  </si>
  <si>
    <t>-Lqs_5MH76ISULbcg9Rj</t>
  </si>
  <si>
    <t>1570759794819</t>
  </si>
  <si>
    <t>-Lqs_74-pC99Ua29WybO</t>
  </si>
  <si>
    <t>1570759802025</t>
  </si>
  <si>
    <t>-Lqs_8r00ju1_qpvmJuZ</t>
  </si>
  <si>
    <t>1570759809240</t>
  </si>
  <si>
    <t>-Lqs_Aa76km1vq3p0b6h</t>
  </si>
  <si>
    <t>1570759816431</t>
  </si>
  <si>
    <t>-Lqs_C9HKf3wihCYnUQl</t>
  </si>
  <si>
    <t>1570759822639</t>
  </si>
  <si>
    <t>-Lqs_Ds83hq3dDEhPFo2</t>
  </si>
  <si>
    <t>1570759829838</t>
  </si>
  <si>
    <t>-Lqs_Fe2zDahc7L0UGho</t>
  </si>
  <si>
    <t>1570759837060</t>
  </si>
  <si>
    <t>-Lqs_HOIMELY5iR5pT1F</t>
  </si>
  <si>
    <t>1570759844250</t>
  </si>
  <si>
    <t>-Lqs_Is8GKB6h6YC_T68</t>
  </si>
  <si>
    <t>1570759850430</t>
  </si>
  <si>
    <t>-Lqs_KR6B7EY8qVas7M9</t>
  </si>
  <si>
    <t>1570759856640</t>
  </si>
  <si>
    <t>-Lqs_ME88qRuaT_j7tp6</t>
  </si>
  <si>
    <t>1570759863849</t>
  </si>
  <si>
    <t>-Lqs_NxS2CV0xeU5ibOR</t>
  </si>
  <si>
    <t>1570759871059</t>
  </si>
  <si>
    <t>-Lqs_Q2xWbo83EfJ8O46</t>
  </si>
  <si>
    <t>1570759878270</t>
  </si>
  <si>
    <t>-Lqs_Rh3XVZyaOiQ8a2L</t>
  </si>
  <si>
    <t>1570759886485</t>
  </si>
  <si>
    <t>-Lqs_TG3w0FhHB5nItP1</t>
  </si>
  <si>
    <t>1570759892666</t>
  </si>
  <si>
    <t>-Lqs_Uz5oi8wRUpTR1YG</t>
  </si>
  <si>
    <t>1570759899917</t>
  </si>
  <si>
    <t>-Lqs_Wm3Dadzd4tvXc2h</t>
  </si>
  <si>
    <t>1570759907125</t>
  </si>
  <si>
    <t>-Lqs_YVEgX2S_-M2o_Ex</t>
  </si>
  <si>
    <t>1570759914323</t>
  </si>
  <si>
    <t>-Lqs__I3DoZyVx7-8NKQ</t>
  </si>
  <si>
    <t>1570759921515</t>
  </si>
  <si>
    <t>-Lqs_b02afWUOlQ1DQWl</t>
  </si>
  <si>
    <t>1570759928774</t>
  </si>
  <si>
    <t>-Lqs_c_45kTEhfKYCfsX</t>
  </si>
  <si>
    <t>1570759934926</t>
  </si>
  <si>
    <t>-Lqs_eI3wK3TEAtRUbfC</t>
  </si>
  <si>
    <t>1570759942156</t>
  </si>
  <si>
    <t>-Lqs_g522qZX6KTCaxVc</t>
  </si>
  <si>
    <t>1570759949366</t>
  </si>
  <si>
    <t>-Lqs_ho4ejoGZSSDA0in</t>
  </si>
  <si>
    <t>1570759956556</t>
  </si>
  <si>
    <t>-Lqs_jN4p-sAvqCKZpO2</t>
  </si>
  <si>
    <t>1570759962746</t>
  </si>
  <si>
    <t>-Lqs_l3xhhvfQM19crss</t>
  </si>
  <si>
    <t>1570759969995</t>
  </si>
  <si>
    <t>-Lqs_mt3aiWc84GgpSGe</t>
  </si>
  <si>
    <t>1570759977185</t>
  </si>
  <si>
    <t>-Lqs_ob2IhoUG5au40jZ</t>
  </si>
  <si>
    <t>1570759984397</t>
  </si>
  <si>
    <t>-Lqs_qP3tKw6Xp5NENQk</t>
  </si>
  <si>
    <t>1570759991616</t>
  </si>
  <si>
    <t>-Lqs_s73WGXjoYE4C6bf</t>
  </si>
  <si>
    <t>1570759998796</t>
  </si>
  <si>
    <t>-Lqs_tg4Xv0AyDIIf802</t>
  </si>
  <si>
    <t>1570760004985</t>
  </si>
  <si>
    <t>-Lqs_vQJYzPXsRK1BEfY</t>
  </si>
  <si>
    <t>1570760012237</t>
  </si>
  <si>
    <t>-Lqs_xC5yu7DnkRENWCB</t>
  </si>
  <si>
    <t>1570760019436</t>
  </si>
  <si>
    <t>-Lqs_yv4tcQumlpfLzCY</t>
  </si>
  <si>
    <t>1570760026635</t>
  </si>
  <si>
    <t>-Lqsa-UEylIxHMH-2fQh</t>
  </si>
  <si>
    <t>1570760032825</t>
  </si>
  <si>
    <t>-Lqsa1C3mMaaVq0MWHQQ</t>
  </si>
  <si>
    <t>1570760040047</t>
  </si>
  <si>
    <t>-Lqsa3-7JZrKq8BSfF2d</t>
  </si>
  <si>
    <t>1570760047254</t>
  </si>
  <si>
    <t>-Lqsa4i4N6qZGYPhw-jK</t>
  </si>
  <si>
    <t>1570760054475</t>
  </si>
  <si>
    <t>-Lqsa6XLdLRXoEqy1O-J</t>
  </si>
  <si>
    <t>1570760061686</t>
  </si>
  <si>
    <t>-Lqsa8ELF0HcGZSQhELq</t>
  </si>
  <si>
    <t>1570760068876</t>
  </si>
  <si>
    <t>-LqsaA15SiiNepopRDNU</t>
  </si>
  <si>
    <t>1570760076107</t>
  </si>
  <si>
    <t>-LqsaBkM8k1XPkUwwSwH</t>
  </si>
  <si>
    <t>1570760083335</t>
  </si>
  <si>
    <t>-LqsaDJCk7C5-bkeihOF</t>
  </si>
  <si>
    <t>1570760089505</t>
  </si>
  <si>
    <t>-LqsaF1DKMT7dJwWEOuA</t>
  </si>
  <si>
    <t>1570760096715</t>
  </si>
  <si>
    <t>-LqsaGp3cOLBvVoyzm6g</t>
  </si>
  <si>
    <t>1570760103936</t>
  </si>
  <si>
    <t>-LqsaIsuHhFERBoASq3S</t>
  </si>
  <si>
    <t>1570760111115</t>
  </si>
  <si>
    <t>-LqsaK_8DPNpYMorcFkJ</t>
  </si>
  <si>
    <t>1570760119391</t>
  </si>
  <si>
    <t>-LqsaMNJf0tnUuOYplGz</t>
  </si>
  <si>
    <t>1570760126599</t>
  </si>
  <si>
    <t>-LqsaO3ama90h1YsmrF2</t>
  </si>
  <si>
    <t>1570760133789</t>
  </si>
  <si>
    <t>-LqsaPtIkdZUHAjvo37R</t>
  </si>
  <si>
    <t>1570760141031</t>
  </si>
  <si>
    <t>-LqsaRb9TdvyDiOdDUBo</t>
  </si>
  <si>
    <t>1570760148241</t>
  </si>
  <si>
    <t>-LqsaTP9VTiXy0lJT8Ue</t>
  </si>
  <si>
    <t>1570760155460</t>
  </si>
  <si>
    <t>-LqsaV7LGRRfi9fSUMNe</t>
  </si>
  <si>
    <t>1570760162639</t>
  </si>
  <si>
    <t>-LqsaWgIbJAMEkOvqqS1</t>
  </si>
  <si>
    <t>1570760168841</t>
  </si>
  <si>
    <t>-LqsaYP9NyF1f5idfJ_V</t>
  </si>
  <si>
    <t>1570760176081</t>
  </si>
  <si>
    <t>-Lqsa_C8C_ODMKrnxkFA</t>
  </si>
  <si>
    <t>1570760183513</t>
  </si>
  <si>
    <t>-Lqsaav8r0gHEzkmK0KH</t>
  </si>
  <si>
    <t>1570760190479</t>
  </si>
  <si>
    <t>-LqsacU8cVkpqOQJqv8J</t>
  </si>
  <si>
    <t>1570760196669</t>
  </si>
  <si>
    <t>-Lqsae9eCRZ7jrvEt_5a</t>
  </si>
  <si>
    <t>1570760203891</t>
  </si>
  <si>
    <t>-Lqsag-7Br8a1P2R_DJf</t>
  </si>
  <si>
    <t>1570760211101</t>
  </si>
  <si>
    <t>-Lqsahi9UUXIVdtSz4D6</t>
  </si>
  <si>
    <t>1570760218321</t>
  </si>
  <si>
    <t>-LqsajWAtMIOivESMMC_</t>
  </si>
  <si>
    <t>1570760225530</t>
  </si>
  <si>
    <t>-LqsalE9GoUzK1BXYcb1</t>
  </si>
  <si>
    <t>1570760232719</t>
  </si>
  <si>
    <t>-Lqsamn7C1eHZmS_4g8X</t>
  </si>
  <si>
    <t>1570760238909</t>
  </si>
  <si>
    <t>-LqsaoWAqkkBhRGJ53XL</t>
  </si>
  <si>
    <t>1570760246131</t>
  </si>
  <si>
    <t>-LqsaqJH3KJAjnookSKw</t>
  </si>
  <si>
    <t>1570760253351</t>
  </si>
  <si>
    <t>-Lqsas19BTLZl-16VWea</t>
  </si>
  <si>
    <t>1570760260560</t>
  </si>
  <si>
    <t>-LqsatozEp4zEuZkrK9U</t>
  </si>
  <si>
    <t>1570760267769</t>
  </si>
  <si>
    <t>-Lqsavc7T4BehfJwHSe1</t>
  </si>
  <si>
    <t>1570760274960</t>
  </si>
  <si>
    <t>-LqsaxLA8qpbyHz2lNx0</t>
  </si>
  <si>
    <t>1570760282202</t>
  </si>
  <si>
    <t>-Lqsaz39HIJvvVlvoTal</t>
  </si>
  <si>
    <t>1570760289431</t>
  </si>
  <si>
    <t>-Lqsb-cHXvvGhcvclnco</t>
  </si>
  <si>
    <t>1570760295600</t>
  </si>
  <si>
    <t>-Lqsb1LJ9EESHhEPN3Ri</t>
  </si>
  <si>
    <t>1570760302801</t>
  </si>
  <si>
    <t>-Lqsb387QwbMHltXWg09</t>
  </si>
  <si>
    <t>1570760310021</t>
  </si>
  <si>
    <t>-Lqsb4q9RlYHaUluW-Ao</t>
  </si>
  <si>
    <t>1570760317210</t>
  </si>
  <si>
    <t>-Lqsb6QIEh3cZ4vOyjBc</t>
  </si>
  <si>
    <t>1570760323390</t>
  </si>
  <si>
    <t>-Lqsb8722MrQwvphN0A_</t>
  </si>
  <si>
    <t>1570760330641</t>
  </si>
  <si>
    <t>-Lqsb9wH3XwwcRqDUsZ2</t>
  </si>
  <si>
    <t>1570760337839</t>
  </si>
  <si>
    <t>-LqsbBeAl6DyOHuDv4Sd</t>
  </si>
  <si>
    <t>1570760345039</t>
  </si>
  <si>
    <t>-LqsbDS38tlHsXIicWOI</t>
  </si>
  <si>
    <t>1570760352343</t>
  </si>
  <si>
    <t>-LqsbFAAr3SuUejKawLq</t>
  </si>
  <si>
    <t>1570760359455</t>
  </si>
  <si>
    <t>-LqsbGjCf7CI2ub9soSh</t>
  </si>
  <si>
    <t>1570760365664</t>
  </si>
  <si>
    <t>-LqsbISB-AhzoEtsKBFg</t>
  </si>
  <si>
    <t>1570760372884</t>
  </si>
  <si>
    <t>-LqsbKGSB8hDQibf7cnV</t>
  </si>
  <si>
    <t>1570760380094</t>
  </si>
  <si>
    <t>-LqsbLyLV-NOBnGrgOuO</t>
  </si>
  <si>
    <t>1570760387284</t>
  </si>
  <si>
    <t>-LqsbNXDHFFOsoRyo7-L</t>
  </si>
  <si>
    <t>1570760393491</t>
  </si>
  <si>
    <t>-LqsbPFBj2Jlzq7QZkNK</t>
  </si>
  <si>
    <t>1570760400703</t>
  </si>
  <si>
    <t>-LqsbR2VjkyXf7NYM2PX</t>
  </si>
  <si>
    <t>1570760407923</t>
  </si>
  <si>
    <t>-LqsbT-B2WqFfoVvEvpq</t>
  </si>
  <si>
    <t>1570760416116</t>
  </si>
  <si>
    <t>-LqsbUZAzjikR5RRiD12</t>
  </si>
  <si>
    <t>1570760422342</t>
  </si>
  <si>
    <t>-LqsbWHBbXKuakiSgolX</t>
  </si>
  <si>
    <t>1570760429523</t>
  </si>
  <si>
    <t>-LqsbY4B1p4XAtUP91Wn</t>
  </si>
  <si>
    <t>1570760436762</t>
  </si>
  <si>
    <t>-LqsbZnEzT-pCD8DDic1</t>
  </si>
  <si>
    <t>1570760443992</t>
  </si>
  <si>
    <t>-LqsbaMBLnQ7Aep1jIK2</t>
  </si>
  <si>
    <t>1570760450163</t>
  </si>
  <si>
    <t>-Lqsbc4AAesrb9Fu_nfv</t>
  </si>
  <si>
    <t>1570760457363</t>
  </si>
  <si>
    <t>-LqsbdeR8dmbBzNk9VTP</t>
  </si>
  <si>
    <t>1570760463553</t>
  </si>
  <si>
    <t>-LqsbfMA7mWokZLxRcq9</t>
  </si>
  <si>
    <t>1570760470763</t>
  </si>
  <si>
    <t>-Lqsbh9BkCpA2Yquh8W6</t>
  </si>
  <si>
    <t>1570760477984</t>
  </si>
  <si>
    <t>-LqsbisCiySUkN5zluii</t>
  </si>
  <si>
    <t>1570760485204</t>
  </si>
  <si>
    <t>-LqsbkfLSVlUZB0wW5zN</t>
  </si>
  <si>
    <t>1570760492402</t>
  </si>
  <si>
    <t>-LqsbmOCtr6DoonJ4r3b</t>
  </si>
  <si>
    <t>1570760499602</t>
  </si>
  <si>
    <t>-Lqsbnw5SwqhFbOkVSgm</t>
  </si>
  <si>
    <t>1570760505794</t>
  </si>
  <si>
    <t>-LqsbpfCjO657YIf_x3O</t>
  </si>
  <si>
    <t>1570760513014</t>
  </si>
  <si>
    <t>-LqsbrTC9gTuY75rIfU4</t>
  </si>
  <si>
    <t>1570760520234</t>
  </si>
  <si>
    <t>-LqsbtBKa9AHooWBB0Dy</t>
  </si>
  <si>
    <t>1570760527453</t>
  </si>
  <si>
    <t>-LqsbuyG1kKfIuHiZEcm</t>
  </si>
  <si>
    <t>1570760534653</t>
  </si>
  <si>
    <t>-LqsbwhDGpgrMjWI_v_-</t>
  </si>
  <si>
    <t>1570760541845</t>
  </si>
  <si>
    <t>-LqsbyGBiU07FaRmztF3</t>
  </si>
  <si>
    <t>1570760548036</t>
  </si>
  <si>
    <t>-LqsbzzBN4OrWLFlZwRx</t>
  </si>
  <si>
    <t>1570760555285</t>
  </si>
  <si>
    <t>-Lqsc0l5xJ4BqLQrX2Nh</t>
  </si>
  <si>
    <t>1570760562474</t>
  </si>
  <si>
    <t>-Lqsc2VC_8awGlcXGCiK</t>
  </si>
  <si>
    <t>1570760569685</t>
  </si>
  <si>
    <t>-Lqsc43B5Qi__6sF_UvS</t>
  </si>
  <si>
    <t>1570760575872</t>
  </si>
  <si>
    <t>-Lqsc63luRP7JVYFA8kx</t>
  </si>
  <si>
    <t>1570760583094</t>
  </si>
  <si>
    <t>-Lqsc7o824cddscMwVHw</t>
  </si>
  <si>
    <t>1570760591330</t>
  </si>
  <si>
    <t>-Lqsc9X8HdT2zSJQOnm0</t>
  </si>
  <si>
    <t>1570760598550</t>
  </si>
  <si>
    <t>-LqscB58F-_0d7t8lNZg</t>
  </si>
  <si>
    <t>1570760604722</t>
  </si>
  <si>
    <t>-LqscCo7sKMFMozUqySx</t>
  </si>
  <si>
    <t>1570760611921</t>
  </si>
  <si>
    <t>-LqscEOdzMzaGg4zXqX_</t>
  </si>
  <si>
    <t>1570760618120</t>
  </si>
  <si>
    <t>-LqscG58wzMzSf6M9Kzh</t>
  </si>
  <si>
    <t>1570760625329</t>
  </si>
  <si>
    <t>-LqscHt7UQejwZ_4wjS7</t>
  </si>
  <si>
    <t>1570760632550</t>
  </si>
  <si>
    <t>-LqscJb8pRvhR8R3pbMz</t>
  </si>
  <si>
    <t>1570760639759</t>
  </si>
  <si>
    <t>-LqscLP9OLpTVYNE944b</t>
  </si>
  <si>
    <t>1570760646981</t>
  </si>
  <si>
    <t>-LqscN7QbWbcH7qlzwwD</t>
  </si>
  <si>
    <t>1570760654161</t>
  </si>
  <si>
    <t>-LqscOl9m-WiWAJQ_7Wy</t>
  </si>
  <si>
    <t>1570760660350</t>
  </si>
  <si>
    <t>-LqscQPAYPwK_Ini02N5</t>
  </si>
  <si>
    <t>1570760667601</t>
  </si>
  <si>
    <t>-LqscSR9NY7b0gPadID0</t>
  </si>
  <si>
    <t>1570760674791</t>
  </si>
  <si>
    <t>-LqscU9IWhsqVx8-wsKa</t>
  </si>
  <si>
    <t>1570760683040</t>
  </si>
  <si>
    <t>-LqscVdahf5HhTt-5gUZ</t>
  </si>
  <si>
    <t>1570760689219</t>
  </si>
  <si>
    <t>-LqscXCJaxwW07AhBHmh</t>
  </si>
  <si>
    <t>1570760695411</t>
  </si>
  <si>
    <t>-LqscZ-7YESup_3aKcTL</t>
  </si>
  <si>
    <t>1570760702622</t>
  </si>
  <si>
    <t>-Lqsc_i8LYiHwxopcT6M</t>
  </si>
  <si>
    <t>1570760709841</t>
  </si>
  <si>
    <t>-LqscbWIkyxBP-O3SyHz</t>
  </si>
  <si>
    <t>1570760717049</t>
  </si>
  <si>
    <t>-LqscdEHRdsJZCs0Lx95</t>
  </si>
  <si>
    <t>1570760724241</t>
  </si>
  <si>
    <t>-LqscenLi_fUkWEvnDUd</t>
  </si>
  <si>
    <t>1570760730506</t>
  </si>
  <si>
    <t>-LqscgUuRqemTalZ2wsa</t>
  </si>
  <si>
    <t>1570760737659</t>
  </si>
  <si>
    <t>-LqsciInJ0F0NdVMkLlE</t>
  </si>
  <si>
    <t>1570760744870</t>
  </si>
  <si>
    <t>-Lqsck18AdlKmzHxKSZf</t>
  </si>
  <si>
    <t>1570760752081</t>
  </si>
  <si>
    <t>-Lqsclp9rK3mMWkWdcIM</t>
  </si>
  <si>
    <t>1570760759349</t>
  </si>
  <si>
    <t>-LqscnY7DTJwI2TfdBrM</t>
  </si>
  <si>
    <t>1570760766488</t>
  </si>
  <si>
    <t>-Lqscp67wT05mwSnKErw</t>
  </si>
  <si>
    <t>1570760772671</t>
  </si>
  <si>
    <t>-LqscqpH57vVKdXwM-e6</t>
  </si>
  <si>
    <t>1570760779921</t>
  </si>
  <si>
    <t>-LqscscGl0d3AvPKy00X</t>
  </si>
  <si>
    <t>1570760787119</t>
  </si>
  <si>
    <t>-LqscuL8jqCHYbvw-T_X</t>
  </si>
  <si>
    <t>1570760794321</t>
  </si>
  <si>
    <t>-LqscvuJ1dFKeLk1HTKP</t>
  </si>
  <si>
    <t>1570760800521</t>
  </si>
  <si>
    <t>-Lqscxc7CJG_PUa9rqAG</t>
  </si>
  <si>
    <t>1570760807731</t>
  </si>
  <si>
    <t>-Lqsd-KhMkrfeZkncMbF</t>
  </si>
  <si>
    <t>1570760814177</t>
  </si>
  <si>
    <t>-Lqsd0u-EtsKYCyRe50P</t>
  </si>
  <si>
    <t>1570760825218</t>
  </si>
  <si>
    <t>-Lqsd2cyFFitM0AkvzHT</t>
  </si>
  <si>
    <t>1570760832468</t>
  </si>
  <si>
    <t>-Lqsd4CBVSbdhb3wzn9o</t>
  </si>
  <si>
    <t>1570760838656</t>
  </si>
  <si>
    <t>-Lqsd5v8R0QXY9QuPTA9</t>
  </si>
  <si>
    <t>1570760845836</t>
  </si>
  <si>
    <t>-Lqsd7U6zvqCBmNTp0q9</t>
  </si>
  <si>
    <t>1570760852050</t>
  </si>
  <si>
    <t>-Lqsd9CG45pFfSIZsI8_</t>
  </si>
  <si>
    <t>1570760859277</t>
  </si>
  <si>
    <t>-LqsdB-6jX3s1tfO3RLX</t>
  </si>
  <si>
    <t>1570760866478</t>
  </si>
  <si>
    <t>-LqsdCi5Zpwg8wLKNARN</t>
  </si>
  <si>
    <t>1570760873677</t>
  </si>
  <si>
    <t>-LqsdEH6OL8JYCbOuY0o</t>
  </si>
  <si>
    <t>1570760879914</t>
  </si>
  <si>
    <t>-LqsdG-5cHNXKOHQGKGq</t>
  </si>
  <si>
    <t>1570760887089</t>
  </si>
  <si>
    <t>-LqsdHnag7Po0PfMg78H</t>
  </si>
  <si>
    <t>1570760894297</t>
  </si>
  <si>
    <t>-LqsdJu8PWLIuEw3cza6</t>
  </si>
  <si>
    <t>1570760901518</t>
  </si>
  <si>
    <t>-LqsdLXK5263xHiG6Vjh</t>
  </si>
  <si>
    <t>1570760909758</t>
  </si>
  <si>
    <t>-LqsdNKyjbP6m6aTvoRf</t>
  </si>
  <si>
    <t>1570760916969</t>
  </si>
  <si>
    <t>-LqsdP2xxyOHDUw1sK7k</t>
  </si>
  <si>
    <t>1570760924201</t>
  </si>
  <si>
    <t>-LqsdQq8xfOI_1OAr-ac</t>
  </si>
  <si>
    <t>1570760931407</t>
  </si>
  <si>
    <t>-LqsdS_5SaHtYEXjaRG-</t>
  </si>
  <si>
    <t>1570760938626</t>
  </si>
  <si>
    <t>-LqsdUN632nUEmkDPFrW</t>
  </si>
  <si>
    <t>1570760945828</t>
  </si>
  <si>
    <t>-LqsdW55QmlAvkGvRKd5</t>
  </si>
  <si>
    <t>1570760953038</t>
  </si>
  <si>
    <t>-LqsdXt6SR3d2yNWU0ZI</t>
  </si>
  <si>
    <t>1570760960258</t>
  </si>
  <si>
    <t>-LqsdZb7h-kdVnqUTWyh</t>
  </si>
  <si>
    <t>1570760967438</t>
  </si>
  <si>
    <t>-LqsdaA8Qa3MIDITzt5Y</t>
  </si>
  <si>
    <t>1570760973627</t>
  </si>
  <si>
    <t>-Lqsdc7PPeF2_c5JMkd8</t>
  </si>
  <si>
    <t>1570760980878</t>
  </si>
  <si>
    <t>-LqsddtIvaeTT9nO3JP6</t>
  </si>
  <si>
    <t>1570760988078</t>
  </si>
  <si>
    <t>-LqsdfPRFgAopmA5mgiq</t>
  </si>
  <si>
    <t>1570760995302</t>
  </si>
  <si>
    <t>-Lqsdgub3jmLDLTmPTne</t>
  </si>
  <si>
    <t>1570761001519</t>
  </si>
  <si>
    <t>-LqsdiSMx0WNfH5Mm8dK</t>
  </si>
  <si>
    <t>1570761007702</t>
  </si>
  <si>
    <t>-Lqsdjxfc87j1RL5HNB8</t>
  </si>
  <si>
    <t>1570761013864</t>
  </si>
  <si>
    <t>-LqsdliyKm2nz-7OP2Ko</t>
  </si>
  <si>
    <t>1570761021062</t>
  </si>
  <si>
    <t>-LqsdnCGDIdHY5dox4D2</t>
  </si>
  <si>
    <t>1570761027228</t>
  </si>
  <si>
    <t>-LqsdoibQxuh5Jy0xEpB</t>
  </si>
  <si>
    <t>1570761033463</t>
  </si>
  <si>
    <t>-LqsdqDqFf4eOH6knN_5</t>
  </si>
  <si>
    <t>1570761039633</t>
  </si>
  <si>
    <t>-Lqsdrj4jxyorgXfrzTo</t>
  </si>
  <si>
    <t>1570761045782</t>
  </si>
  <si>
    <t>-LqsdtX9YwFL4Da9aPTM</t>
  </si>
  <si>
    <t>1570761053155</t>
  </si>
  <si>
    <t>-LqsdvGjRuJDpmn7iscs</t>
  </si>
  <si>
    <t>1570761060266</t>
  </si>
  <si>
    <t>-Lqsdwmu_P5Omy8elYV1</t>
  </si>
  <si>
    <t>1570761066426</t>
  </si>
  <si>
    <t>-LqsdyYT1-XwAwFNXOb9</t>
  </si>
  <si>
    <t>1570761073626</t>
  </si>
  <si>
    <t>-Lqse-L1zRgfrzMJXN_T</t>
  </si>
  <si>
    <t>1570761080881</t>
  </si>
  <si>
    <t>-Lqse13ZjkFBpxkOwf5t</t>
  </si>
  <si>
    <t>1570761088031</t>
  </si>
  <si>
    <t>-Lqse2YUQ0T7evoHGYu7</t>
  </si>
  <si>
    <t>1570761094191</t>
  </si>
  <si>
    <t>-Lqse43uZBbg4D7g7Rgp</t>
  </si>
  <si>
    <t>1570761100425</t>
  </si>
  <si>
    <t>-Lqse5_NSrYimg_gu1Qe</t>
  </si>
  <si>
    <t>1570761106616</t>
  </si>
  <si>
    <t>-Lqse772p96w-Ac9gLh3</t>
  </si>
  <si>
    <t>1570761112832</t>
  </si>
  <si>
    <t>-Lqse8r8akqQ-L1zqvCF</t>
  </si>
  <si>
    <t>1570761120036</t>
  </si>
  <si>
    <t>-LqseAPkHS1hxyj89Skp</t>
  </si>
  <si>
    <t>1570761126185</t>
  </si>
  <si>
    <t>-LqseC6uxVq7qp72R2-6</t>
  </si>
  <si>
    <t>1570761133386</t>
  </si>
  <si>
    <t>-LqseDdeuE4blQuvHNSR</t>
  </si>
  <si>
    <t>1570761139682</t>
  </si>
  <si>
    <t>-LqseF7PcztMcbtEHl2P</t>
  </si>
  <si>
    <t>1570761145705</t>
  </si>
  <si>
    <t>-LqseGdzwTPk2cOh5NcZ</t>
  </si>
  <si>
    <t>1570761151945</t>
  </si>
  <si>
    <t>-LqseI9KhKX8OHUyzRK1</t>
  </si>
  <si>
    <t>1570761158108</t>
  </si>
  <si>
    <t>-LqseJj-MzX3YFtyxW-8</t>
  </si>
  <si>
    <t>1570761164352</t>
  </si>
  <si>
    <t>-LqseLROSz8Unb8kLfsr</t>
  </si>
  <si>
    <t>1570761171555</t>
  </si>
  <si>
    <t>-LqseMwTX3n7oLGE1NrT</t>
  </si>
  <si>
    <t>1570761177761</t>
  </si>
  <si>
    <t>-LqseOTlkAXCGaBmDaX_</t>
  </si>
  <si>
    <t>1570761183868</t>
  </si>
  <si>
    <t>-LqsePwymBpKeyYcMofp</t>
  </si>
  <si>
    <t>1570761190016</t>
  </si>
  <si>
    <t>-LqseRTLgbtB-yzwiUcJ</t>
  </si>
  <si>
    <t>1570761196272</t>
  </si>
  <si>
    <t>-LqseSztH9WrYhzxIAuE</t>
  </si>
  <si>
    <t>1570761202425</t>
  </si>
  <si>
    <t>-LqseUTt1Oq02YASlGBf</t>
  </si>
  <si>
    <t>1570761208586</t>
  </si>
  <si>
    <t>-LqseW-OrAHjnjgWgUyX</t>
  </si>
  <si>
    <t>1570761214832</t>
  </si>
  <si>
    <t>-LqseXVfOAr42cyzVQOD</t>
  </si>
  <si>
    <t>1570761220987</t>
  </si>
  <si>
    <t>-LqseZ-uYs537YCvrVCD</t>
  </si>
  <si>
    <t>1570761227147</t>
  </si>
  <si>
    <t>-Lqse_XO_OiYb6ubYJ9R</t>
  </si>
  <si>
    <t>1570761233395</t>
  </si>
  <si>
    <t>-Lqseb1drZ8T3P5RV6qN</t>
  </si>
  <si>
    <t>1570761239548</t>
  </si>
  <si>
    <t>-LqsecXtfUsMHYDDTsWg</t>
  </si>
  <si>
    <t>1570761245706</t>
  </si>
  <si>
    <t>-Lqsee29J_lcmWWeX6Fs</t>
  </si>
  <si>
    <t>1570761251866</t>
  </si>
  <si>
    <t>-LqsefZt8Lu5X1Ddvy-V</t>
  </si>
  <si>
    <t>1570761258112</t>
  </si>
  <si>
    <t>-LqsehL_XZ2XUZOQNkUV</t>
  </si>
  <si>
    <t>1570761264266</t>
  </si>
  <si>
    <t>-Lqsej5qxXsJVsxTpNLF</t>
  </si>
  <si>
    <t>1570761272502</t>
  </si>
  <si>
    <t>-LqsektqaJ6wlKn1WpS4</t>
  </si>
  <si>
    <t>1570761279712</t>
  </si>
  <si>
    <t>-Lqsemc0IOJTAuXeYaLO</t>
  </si>
  <si>
    <t>1570761286901</t>
  </si>
  <si>
    <t>-Lqseo5p6tFs53QMgaqX</t>
  </si>
  <si>
    <t>1570761293067</t>
  </si>
  <si>
    <t>-LqsepcMRXTITORJBP_9</t>
  </si>
  <si>
    <t>1570761299301</t>
  </si>
  <si>
    <t>-LqserIbmppQo7_4fUWf</t>
  </si>
  <si>
    <t>1570761305837</t>
  </si>
  <si>
    <t>-Lqsest6nJyqxHlCmiJG</t>
  </si>
  <si>
    <t>1570761312661</t>
  </si>
  <si>
    <t>-LqseuPapyA27WRJJ01n</t>
  </si>
  <si>
    <t>1570761318901</t>
  </si>
  <si>
    <t>-Lqsevwx0OHZKipQuo3z</t>
  </si>
  <si>
    <t>1570761325077</t>
  </si>
  <si>
    <t>-LqsexkKHXYXZjpQtxe5</t>
  </si>
  <si>
    <t>1570761332637</t>
  </si>
  <si>
    <t>-LqsezQvOId_8eWYvPkC</t>
  </si>
  <si>
    <t>1570761339467</t>
  </si>
  <si>
    <t>-Lqsf-xz7zm7-5JEKmkl</t>
  </si>
  <si>
    <t>1570761345798</t>
  </si>
  <si>
    <t>-Lqsf1mEvTfONK7t9Nab</t>
  </si>
  <si>
    <t>1570761352861</t>
  </si>
  <si>
    <t>-Lqsf3T2vC3iUHzLnMeS</t>
  </si>
  <si>
    <t>1570761360071</t>
  </si>
  <si>
    <t>-Lqsf4wwnIBdw7kZZYEY</t>
  </si>
  <si>
    <t>1570761366257</t>
  </si>
  <si>
    <t>-Lqsf6pSH6vECcDXH9qC</t>
  </si>
  <si>
    <t>1570761372451</t>
  </si>
  <si>
    <t>-Lqsf8X-BeSrIKUnrO1w</t>
  </si>
  <si>
    <t>1570761380688</t>
  </si>
  <si>
    <t>-LqsfAEtXXHI2PBzfLuR</t>
  </si>
  <si>
    <t>1570761387908</t>
  </si>
  <si>
    <t>-LqsfC20IP7NpwiM-fxV</t>
  </si>
  <si>
    <t>1570761395119</t>
  </si>
  <si>
    <t>-LqsfDX0SarsG70kjdGV</t>
  </si>
  <si>
    <t>1570761401299</t>
  </si>
  <si>
    <t>-LqsfFKwayDrgRZVYbfN</t>
  </si>
  <si>
    <t>1570761408511</t>
  </si>
  <si>
    <t>-LqsfH1tln9tmyC3Y-RM</t>
  </si>
  <si>
    <t>1570761415729</t>
  </si>
  <si>
    <t>-LqsfJJ7N8pRTTgw4XuG</t>
  </si>
  <si>
    <t>1570761424970</t>
  </si>
  <si>
    <t>-LqsfL1y4CzRSpBO1OzM</t>
  </si>
  <si>
    <t>1570761432179</t>
  </si>
  <si>
    <t>-LqsfMawLaN4XyfERPbM</t>
  </si>
  <si>
    <t>1570761438388</t>
  </si>
  <si>
    <t>-LqsfOP9eAdf3Xksp6I8</t>
  </si>
  <si>
    <t>1570761445610</t>
  </si>
  <si>
    <t>-LqsfQ6ymKsZDwNxG2N_</t>
  </si>
  <si>
    <t>1570761452819</t>
  </si>
  <si>
    <t>-LqsfRv8JaGFyRVeKog5</t>
  </si>
  <si>
    <t>1570761460030</t>
  </si>
  <si>
    <t>-LqsfTbs9GWWG4ZdNckQ</t>
  </si>
  <si>
    <t>1570761467248</t>
  </si>
  <si>
    <t>-LqsfVSFPiBXSXkgWn8h</t>
  </si>
  <si>
    <t>1570761474459</t>
  </si>
  <si>
    <t>-LqsfX8x-C-27AWX53hb</t>
  </si>
  <si>
    <t>1570761481669</t>
  </si>
  <si>
    <t>-LqsfYwxno5g511Odr6H</t>
  </si>
  <si>
    <t>1570761488878</t>
  </si>
  <si>
    <t>-Lqsf_yu1-Qmo448sBpl</t>
  </si>
  <si>
    <t>1570761496070</t>
  </si>
  <si>
    <t>-Lqsfbh0df7eziKoKUNZ</t>
  </si>
  <si>
    <t>1570761504345</t>
  </si>
  <si>
    <t>-LqsfdUtXVCOM8cxT4Xy</t>
  </si>
  <si>
    <t>1570761511553</t>
  </si>
  <si>
    <t>-LqsffDCTtvPjgu9jn8U</t>
  </si>
  <si>
    <t>1570761518774</t>
  </si>
  <si>
    <t>-Lqsfh028hPpPCs9g2EU</t>
  </si>
  <si>
    <t>1570761525984</t>
  </si>
  <si>
    <t>-Lqsfij2ARyvbHjxAywm</t>
  </si>
  <si>
    <t>1570761533202</t>
  </si>
  <si>
    <t>-LqsfkIEuNE8vL8ecNwS</t>
  </si>
  <si>
    <t>1570761539384</t>
  </si>
  <si>
    <t>-Lqsfm00DazVBxgD5tZm</t>
  </si>
  <si>
    <t>1570761546594</t>
  </si>
  <si>
    <t>-LqsfnoF1eIxbxuDUzbE</t>
  </si>
  <si>
    <t>1570761553815</t>
  </si>
  <si>
    <t>-LqsfpXD2t6ndiQsT-3T</t>
  </si>
  <si>
    <t>1570761561044</t>
  </si>
  <si>
    <t>-LqsfrKejGVpGvYwhzO8</t>
  </si>
  <si>
    <t>1570761568233</t>
  </si>
  <si>
    <t>-LqsftH4NIAvgUGPLcig</t>
  </si>
  <si>
    <t>1570761575435</t>
  </si>
  <si>
    <t>-LqsfuvDnx_5jrM--bfK</t>
  </si>
  <si>
    <t>1570761582999</t>
  </si>
  <si>
    <t>-LqsfwYviPF4M_4Yo0g_</t>
  </si>
  <si>
    <t>1570761589845</t>
  </si>
  <si>
    <t>-LqsfyM5RgJ32qkmyRTW</t>
  </si>
  <si>
    <t>1570761597094</t>
  </si>
  <si>
    <t>-LqsfzqDJUpFgIDHoBnv</t>
  </si>
  <si>
    <t>1570761603294</t>
  </si>
  <si>
    <t>-Lqsg0cwsJEf6_idNB_E</t>
  </si>
  <si>
    <t>1570761610485</t>
  </si>
  <si>
    <t>-Lqsg2MD7JP7-mKMR7AL</t>
  </si>
  <si>
    <t>1570761617674</t>
  </si>
  <si>
    <t>-Lqsg3v1zL2iOFE6oGAW</t>
  </si>
  <si>
    <t>1570761623875</t>
  </si>
  <si>
    <t>-Lqsg5dDpuXDDEj63a9v</t>
  </si>
  <si>
    <t>1570761631093</t>
  </si>
  <si>
    <t>-Lqsg7R4aJ4f7D_DWyH3</t>
  </si>
  <si>
    <t>1570761638305</t>
  </si>
  <si>
    <t>-Lqsg99Dvr2qZvY6OmCS</t>
  </si>
  <si>
    <t>1570761645513</t>
  </si>
  <si>
    <t>-LqsgAx2HlkHFeKeNfQi</t>
  </si>
  <si>
    <t>1570761652735</t>
  </si>
  <si>
    <t>-LqsgCf2BtfBGB9jH11I</t>
  </si>
  <si>
    <t>1570761659924</t>
  </si>
  <si>
    <t>-LqsgET0y-WqpA5gpuDp</t>
  </si>
  <si>
    <t>1570761667149</t>
  </si>
  <si>
    <t>-LqsgGB29Bk-Flb2ItKp</t>
  </si>
  <si>
    <t>1570761674385</t>
  </si>
  <si>
    <t>-LqsgHkfffT7xhyrTBTK</t>
  </si>
  <si>
    <t>1570761680554</t>
  </si>
  <si>
    <t>-LqsgJYO3JL1WbauBfo5</t>
  </si>
  <si>
    <t>1570761687755</t>
  </si>
  <si>
    <t>-LqsgLHb_HR6G7SRmie-</t>
  </si>
  <si>
    <t>1570761694984</t>
  </si>
  <si>
    <t>-LqsgMz0zqLDwotFFszi</t>
  </si>
  <si>
    <t>1570761702165</t>
  </si>
  <si>
    <t>-LqsgOTq90elrgrHQeiF</t>
  </si>
  <si>
    <t>1570761708414</t>
  </si>
  <si>
    <t>-LqsgQ1EM0PQNIQSo6gI</t>
  </si>
  <si>
    <t>1570761714583</t>
  </si>
  <si>
    <t>-LqsgRp2ULSJC-7ruNs7</t>
  </si>
  <si>
    <t>1570761721774</t>
  </si>
  <si>
    <t>-LqsgTY2TPxMa_jvOOSp</t>
  </si>
  <si>
    <t>1570761728994</t>
  </si>
  <si>
    <t>-LqsgVYxu8UTYXZxWjpZ</t>
  </si>
  <si>
    <t>1570761737252</t>
  </si>
  <si>
    <t>-LqsgXGuSz8YNpP0tv9y</t>
  </si>
  <si>
    <t>1570761744451</t>
  </si>
  <si>
    <t>-LqsgYpnKi0IV8rVKyXF</t>
  </si>
  <si>
    <t>1570761750633</t>
  </si>
  <si>
    <t>-Lqsg_Yv2nQP7hO695CD</t>
  </si>
  <si>
    <t>1570761757831</t>
  </si>
  <si>
    <t>-LqsgbLv9aZFViqLnYRU</t>
  </si>
  <si>
    <t>1570761765052</t>
  </si>
  <si>
    <t>-Lqsgd3wWEmBmv2J87wN</t>
  </si>
  <si>
    <t>1570761772241</t>
  </si>
  <si>
    <t>-LqsgeeApSD3Nj-CNMl1</t>
  </si>
  <si>
    <t>1570761778433</t>
  </si>
  <si>
    <t>-LqsggLxNf8-tOPeV1iO</t>
  </si>
  <si>
    <t>1570761785683</t>
  </si>
  <si>
    <t>-LqsgiAVBgD5NikILa9w</t>
  </si>
  <si>
    <t>1570761792872</t>
  </si>
  <si>
    <t>-LqsgkHDeAADjlnIBpLH</t>
  </si>
  <si>
    <t>1570761800074</t>
  </si>
  <si>
    <t>-LqsglzFrhQtN3k7nK5p</t>
  </si>
  <si>
    <t>1570761808737</t>
  </si>
  <si>
    <t>-LqsgngwbzZ-QHSLedpR</t>
  </si>
  <si>
    <t>1570761815553</t>
  </si>
  <si>
    <t>-LqsgpPwr9EFB2bRy4r6</t>
  </si>
  <si>
    <t>1570761822762</t>
  </si>
  <si>
    <t>-LqsgrEBoKdO5b_TNVQB</t>
  </si>
  <si>
    <t>1570761829972</t>
  </si>
  <si>
    <t>-Lqsgsx0ic3-XVM5sEfv</t>
  </si>
  <si>
    <t>1570761837191</t>
  </si>
  <si>
    <t>-Lqsguiv3qNQHUEq5xFm</t>
  </si>
  <si>
    <t>1570761844403</t>
  </si>
  <si>
    <t>-LqsgwRxfKIBfcwEC1RI</t>
  </si>
  <si>
    <t>1570761851591</t>
  </si>
  <si>
    <t>-Lqsgy-vJOeDwpx6J8Su</t>
  </si>
  <si>
    <t>1570761857792</t>
  </si>
  <si>
    <t>-LqsgzkK9F-bosQ9rxjX</t>
  </si>
  <si>
    <t>1570761865012</t>
  </si>
  <si>
    <t>-Lqsh0DFLC1Xoq00laFP</t>
  </si>
  <si>
    <t>1570761871192</t>
  </si>
  <si>
    <t>-Lqsh1n-_z6vISIIS5QA</t>
  </si>
  <si>
    <t>1570761877382</t>
  </si>
  <si>
    <t>-Lqsh3UxSci_DpzMb_6-</t>
  </si>
  <si>
    <t>1570761884562</t>
  </si>
  <si>
    <t>-Lqsh52w1QoxYWGmS91o</t>
  </si>
  <si>
    <t>1570761890751</t>
  </si>
  <si>
    <t>-Lqsh6n-3r3_Ok08cEkc</t>
  </si>
  <si>
    <t>1570761897993</t>
  </si>
  <si>
    <t>-Lqsh8k09p23u6Pl5aiU</t>
  </si>
  <si>
    <t>1570761905203</t>
  </si>
  <si>
    <t>-LqshAc-xK_gj4Aiiwl4</t>
  </si>
  <si>
    <t>1570761912399</t>
  </si>
  <si>
    <t>-LqshCKzNTKtbrmLZqgO</t>
  </si>
  <si>
    <t>1570761920663</t>
  </si>
  <si>
    <t>-LqshEANGCxw7saRm5Ut</t>
  </si>
  <si>
    <t>1570761927873</t>
  </si>
  <si>
    <t>-LqshFpovlFwMiQeU78M</t>
  </si>
  <si>
    <t>1570761935082</t>
  </si>
  <si>
    <t>-LqshHL-o79dkHZCgwcP</t>
  </si>
  <si>
    <t>1570761941282</t>
  </si>
  <si>
    <t>-LqshIsxdr5XnWgXssmP</t>
  </si>
  <si>
    <t>1570761947451</t>
  </si>
  <si>
    <t>-LqshKcA5iDUefbUggXP</t>
  </si>
  <si>
    <t>1570761954631</t>
  </si>
  <si>
    <t>-LqshM9vfK1bw68UV-Zc</t>
  </si>
  <si>
    <t>1570761960831</t>
  </si>
  <si>
    <t>-LqshOCtgpHjq3q_m7pv</t>
  </si>
  <si>
    <t>1570761968083</t>
  </si>
  <si>
    <t>-LqshPv4Fbunns2-aDkw</t>
  </si>
  <si>
    <t>1570761976303</t>
  </si>
  <si>
    <t>-LqshRj0vs1A1rcfMugi</t>
  </si>
  <si>
    <t>1570761983575</t>
  </si>
  <si>
    <t>-LqshTRt3yRbSttJduJ-</t>
  </si>
  <si>
    <t>1570761990722</t>
  </si>
  <si>
    <t>-LqshVE4hLuftfqp6KND</t>
  </si>
  <si>
    <t>1570761997939</t>
  </si>
  <si>
    <t>-LqshWwxtpSJT_LA1j25</t>
  </si>
  <si>
    <t>1570762005161</t>
  </si>
  <si>
    <t>-LqshYl00f2k_szUJkiu</t>
  </si>
  <si>
    <t>1570762012371</t>
  </si>
  <si>
    <t>-Lqsh_UDn_6WmAnXrBhA</t>
  </si>
  <si>
    <t>1570762019593</t>
  </si>
  <si>
    <t>-LqshbFxCIJsodKiWLrn</t>
  </si>
  <si>
    <t>1570762026783</t>
  </si>
  <si>
    <t>-Lqshd-2eZxpkjqqBTwp</t>
  </si>
  <si>
    <t>1570762033993</t>
  </si>
  <si>
    <t>-LqshenCyTfD-LvKsWgu</t>
  </si>
  <si>
    <t>1570762041222</t>
  </si>
  <si>
    <t>-LqshgV4skkZLQ2M4gCm</t>
  </si>
  <si>
    <t>1570762048402</t>
  </si>
  <si>
    <t>-Lqshi2xAtHNTP24MIzO</t>
  </si>
  <si>
    <t>1570762054593</t>
  </si>
  <si>
    <t>-LqshjlxC3C1b3GHYOlk</t>
  </si>
  <si>
    <t>1570762061833</t>
  </si>
  <si>
    <t>-LqshlaF-I1FKLuePdsw</t>
  </si>
  <si>
    <t>1570762069043</t>
  </si>
  <si>
    <t>-LqshnHxU2nh9nv6YGue</t>
  </si>
  <si>
    <t>1570762076232</t>
  </si>
  <si>
    <t>-Lqshp60vTnuFIMLuC8r</t>
  </si>
  <si>
    <t>1570762083462</t>
  </si>
  <si>
    <t>-Lqshqnwjrg-Khn_VBA4</t>
  </si>
  <si>
    <t>1570762090693</t>
  </si>
  <si>
    <t>-LqshshD1ISOhjf63nAu</t>
  </si>
  <si>
    <t>1570762098092</t>
  </si>
  <si>
    <t>-LqshuLW5dM7qpEAK2xR</t>
  </si>
  <si>
    <t>1570762105123</t>
  </si>
  <si>
    <t>-Lqshw8-rUGSQIxQuY4m</t>
  </si>
  <si>
    <t>1570762112324</t>
  </si>
  <si>
    <t>-Lqshxw-hTw3ZcM9E0y_</t>
  </si>
  <si>
    <t>1570762119534</t>
  </si>
  <si>
    <t>-LqshzcxygSY40GhpJOH</t>
  </si>
  <si>
    <t>1570762126743</t>
  </si>
  <si>
    <t>-Lqsi0SBdVusDbbpmbK2</t>
  </si>
  <si>
    <t>1570762133963</t>
  </si>
  <si>
    <t>-Lqsi28wJYV8PSEswzPq</t>
  </si>
  <si>
    <t>1570762141173</t>
  </si>
  <si>
    <t>-Lqsi3y4GnptRcCw7XE2</t>
  </si>
  <si>
    <t>1570762148383</t>
  </si>
  <si>
    <t>-Lqsi5eyCBytt6K3NcEE</t>
  </si>
  <si>
    <t>1570762155594</t>
  </si>
  <si>
    <t>-Lqsi7TzC4Fq-bDIy0so</t>
  </si>
  <si>
    <t>1570762162822</t>
  </si>
  <si>
    <t>-Lqsi9B46vx-GnRpz3gg</t>
  </si>
  <si>
    <t>1570762170003</t>
  </si>
  <si>
    <t>-LqsiAjxANcfScwoWslc</t>
  </si>
  <si>
    <t>1570762176183</t>
  </si>
  <si>
    <t>-LqsiCU-XwHhuMHXEpmb</t>
  </si>
  <si>
    <t>1570762183433</t>
  </si>
  <si>
    <t>-LqsiECJJtIzf85rlhtI</t>
  </si>
  <si>
    <t>1570762190633</t>
  </si>
  <si>
    <t>-LqsiFk4nGSkFxtu9Ol0</t>
  </si>
  <si>
    <t>1570762196823</t>
  </si>
  <si>
    <t>-LqsiHmYPxTb1L17QL_q</t>
  </si>
  <si>
    <t>1570762204032</t>
  </si>
  <si>
    <t>-LqsiJFaNEe1GfpcazhT</t>
  </si>
  <si>
    <t>1570762211230</t>
  </si>
  <si>
    <t>-LqsiL2vcovXYmQnO_WS</t>
  </si>
  <si>
    <t>1570762218461</t>
  </si>
  <si>
    <t>-LqsiMlwmsWDHkkJv3KX</t>
  </si>
  <si>
    <t>1570762225681</t>
  </si>
  <si>
    <t>-LqsiO_OFJlGcfzFE7o3</t>
  </si>
  <si>
    <t>1570762232882</t>
  </si>
  <si>
    <t>-LqsiQXy_U97zE1QlbQO</t>
  </si>
  <si>
    <t>1570762240070</t>
  </si>
  <si>
    <t>-LqsiS5yjgfi2D3wVhvh</t>
  </si>
  <si>
    <t>1570762247312</t>
  </si>
  <si>
    <t>-LqsiTnvQkMlaSJZWvvF</t>
  </si>
  <si>
    <t>1570762254534</t>
  </si>
  <si>
    <t>-LqsiVN--v8y1x7rofxU</t>
  </si>
  <si>
    <t>1570762260712</t>
  </si>
  <si>
    <t>-LqsiX5zKVbB2L2bbYap</t>
  </si>
  <si>
    <t>1570762267922</t>
  </si>
  <si>
    <t>-LqsiZ6u1ms8FPJTxGc5</t>
  </si>
  <si>
    <t>1570762276026</t>
  </si>
  <si>
    <t>-Lqsi_vyPdR2rNOjeDq0</t>
  </si>
  <si>
    <t>1570762283383</t>
  </si>
  <si>
    <t>-LqsibeIYZt78ebqnJxB</t>
  </si>
  <si>
    <t>1570762290591</t>
  </si>
  <si>
    <t>-LqsidQvG3j9n9j_cah3</t>
  </si>
  <si>
    <t>1570762297801</t>
  </si>
  <si>
    <t>-Lqsif8uplOVz-nhRtyG</t>
  </si>
  <si>
    <t>1570762305042</t>
  </si>
  <si>
    <t>-LqsigwxlCD-j3R1X_m0</t>
  </si>
  <si>
    <t>1570762312231</t>
  </si>
  <si>
    <t>-Lqsiig-_8wgPdUo0HW3</t>
  </si>
  <si>
    <t>1570762319442</t>
  </si>
  <si>
    <t>-LqsikSu8N_EsArzetCy</t>
  </si>
  <si>
    <t>1570762326660</t>
  </si>
  <si>
    <t>-LqsimC9lo8yZFr0TUTe</t>
  </si>
  <si>
    <t>1570762333842</t>
  </si>
  <si>
    <t>-LqsinjvtURBlQxNl_Bw</t>
  </si>
  <si>
    <t>1570762340031</t>
  </si>
  <si>
    <t>-LqsipU-6g5_AZSQPYL-</t>
  </si>
  <si>
    <t>1570762347272</t>
  </si>
  <si>
    <t>-LqsirHU8Q_DDiMP34nD</t>
  </si>
  <si>
    <t>1570762354480</t>
  </si>
  <si>
    <t>-LqsitGqggBTSF36NFUW</t>
  </si>
  <si>
    <t>1570762361670</t>
  </si>
  <si>
    <t>-LqsiuyF12y8BqqAGVUQ</t>
  </si>
  <si>
    <t>1570762369913</t>
  </si>
  <si>
    <t>-LqsiwVyO1b-rHw-z-tE</t>
  </si>
  <si>
    <t>1570762376091</t>
  </si>
  <si>
    <t>-Lqsiy2wGCC2vTNkAdv9</t>
  </si>
  <si>
    <t>1570762382301</t>
  </si>
  <si>
    <t>-Lqsizlwk1R0ZJu_6hKW</t>
  </si>
  <si>
    <t>1570762389530</t>
  </si>
  <si>
    <t>-Lqsj0aA91MqJjRJNeKs</t>
  </si>
  <si>
    <t>1570762396728</t>
  </si>
  <si>
    <t>-Lqsj2JNq-q-rWcwvGOG</t>
  </si>
  <si>
    <t>1570762403914</t>
  </si>
  <si>
    <t>-Lqsj3qu7mFdxgFucAFB</t>
  </si>
  <si>
    <t>1570762410111</t>
  </si>
  <si>
    <t>-Lqsj5_yk2AJObHG_3gL</t>
  </si>
  <si>
    <t>1570762417332</t>
  </si>
  <si>
    <t>-Lqsj7O-tgyo8b1_3xPh</t>
  </si>
  <si>
    <t>1570762424551</t>
  </si>
  <si>
    <t>-Lqsj96BoaVNatXxaeDy</t>
  </si>
  <si>
    <t>1570762431760</t>
  </si>
  <si>
    <t>-LqsjAsu0r4_LtDQloYa</t>
  </si>
  <si>
    <t>1570762438972</t>
  </si>
  <si>
    <t>-LqsjCuxPJpl0lPt7Gi2</t>
  </si>
  <si>
    <t>1570762447343</t>
  </si>
  <si>
    <t>-LqsjEd44SM9aIXtiT03</t>
  </si>
  <si>
    <t>1570762454434</t>
  </si>
  <si>
    <t>-LqsjGS5lyCN44BMXkOD</t>
  </si>
  <si>
    <t>1570762461643</t>
  </si>
  <si>
    <t>-LqsjIABRC3mn5cLgnXb</t>
  </si>
  <si>
    <t>1570762468863</t>
  </si>
  <si>
    <t>-LqsjJyD70TAhHV1-3T2</t>
  </si>
  <si>
    <t>1570762476074</t>
  </si>
  <si>
    <t>-LqsjLfuIquyeID3bNhH</t>
  </si>
  <si>
    <t>1570762483274</t>
  </si>
  <si>
    <t>-LqsjNUCvprXEpsPLoNw</t>
  </si>
  <si>
    <t>1570762490495</t>
  </si>
  <si>
    <t>-LqsjPC4uxpcTCudHL9Y</t>
  </si>
  <si>
    <t>1570762497684</t>
  </si>
  <si>
    <t>-LqsjQkviQEFnkWz_6yW</t>
  </si>
  <si>
    <t>1570762503864</t>
  </si>
  <si>
    <t>-LqsjSUDEiJ3eAENZ8SD</t>
  </si>
  <si>
    <t>1570762511113</t>
  </si>
  <si>
    <t>-LqsjUHDxrTdz18Oza6E</t>
  </si>
  <si>
    <t>1570762518327</t>
  </si>
  <si>
    <t>-LqsjW-C5E6jAQaDmNUc</t>
  </si>
  <si>
    <t>1570762525514</t>
  </si>
  <si>
    <t>-LqsjXZ3twN9BSM3C2Cx</t>
  </si>
  <si>
    <t>1570762531715</t>
  </si>
  <si>
    <t>-LqsjZHDnKKSmgVxCP1L</t>
  </si>
  <si>
    <t>1570762538923</t>
  </si>
  <si>
    <t>-LqsjaJ-o_bhbx48lLl-</t>
  </si>
  <si>
    <t>1570762547164</t>
  </si>
  <si>
    <t>-Lqsjc1W5sBl7u3rSU8A</t>
  </si>
  <si>
    <t>1570762554392</t>
  </si>
  <si>
    <t>-LqsjdaCYcoDuC4Z1ITA</t>
  </si>
  <si>
    <t>1570762560563</t>
  </si>
  <si>
    <t>-LqsjfJ0aD2Y7qkBANUz</t>
  </si>
  <si>
    <t>1570762567755</t>
  </si>
  <si>
    <t>-LqsjgsCml_Yt1xUz5X6</t>
  </si>
  <si>
    <t>1570762573955</t>
  </si>
  <si>
    <t>-Lqsjia1V5KvXGO0RPQt</t>
  </si>
  <si>
    <t>1570762581193</t>
  </si>
  <si>
    <t>-LqsjkOB9gyLogZFGLMJ</t>
  </si>
  <si>
    <t>1570762588393</t>
  </si>
  <si>
    <t>-Lqsjm7G4IeGrSRrOuuk</t>
  </si>
  <si>
    <t>1570762595605</t>
  </si>
  <si>
    <t>-LqsjnuCrSC-onoKRz2p</t>
  </si>
  <si>
    <t>1570762602813</t>
  </si>
  <si>
    <t>-Lqsjpa1Mu3ZtIWCc79c</t>
  </si>
  <si>
    <t>1570762610004</t>
  </si>
  <si>
    <t>-LqsjrB0_hH8RtBDui7p</t>
  </si>
  <si>
    <t>1570762616193</t>
  </si>
  <si>
    <t>-LqsjsvSLbZvwcE2YCyp</t>
  </si>
  <si>
    <t>1570762623434</t>
  </si>
  <si>
    <t>-LqsjuhCyF1H55Tp3F17</t>
  </si>
  <si>
    <t>1570762630634</t>
  </si>
  <si>
    <t>-LqsjwQC18u1_EAeUkcd</t>
  </si>
  <si>
    <t>1570762637834</t>
  </si>
  <si>
    <t>-LqsjyDDA4IxS3WYvAS1</t>
  </si>
  <si>
    <t>1570762645064</t>
  </si>
  <si>
    <t>-LqsjzwDFSW10z9QKYGc</t>
  </si>
  <si>
    <t>1570762652244</t>
  </si>
  <si>
    <t>-Lqsk0V1U1LFphCjeuUb</t>
  </si>
  <si>
    <t>1570762658433</t>
  </si>
  <si>
    <t>-Lqsk2D0qA2uYY-AZ_6a</t>
  </si>
  <si>
    <t>1570762665673</t>
  </si>
  <si>
    <t>-Lqsk41FtclKqgQFm5C3</t>
  </si>
  <si>
    <t>1570762672894</t>
  </si>
  <si>
    <t>-Lqsk6BtebnfHYZvIvAx</t>
  </si>
  <si>
    <t>1570762680073</t>
  </si>
  <si>
    <t>-Lqsk7yx-x0jS-nESnnz</t>
  </si>
  <si>
    <t>1570762689353</t>
  </si>
  <si>
    <t>-Lqsk9lwv-3X9no1cRgc</t>
  </si>
  <si>
    <t>1570762696583</t>
  </si>
  <si>
    <t>-LqskBV8ZR1GHgZP3FOI</t>
  </si>
  <si>
    <t>1570762703763</t>
  </si>
  <si>
    <t>-LqskD4L8a6ehniIt_8o</t>
  </si>
  <si>
    <t>1570762709963</t>
  </si>
  <si>
    <t>-LqskElWVPbR-vG1jMPT</t>
  </si>
  <si>
    <t>1570762717202</t>
  </si>
  <si>
    <t>-LqskG_zGtUy-i58DIx9</t>
  </si>
  <si>
    <t>1570762724403</t>
  </si>
  <si>
    <t>-LqskIIO5FKP_xoRsy0H</t>
  </si>
  <si>
    <t>1570762731604</t>
  </si>
  <si>
    <t>-LqskJs0B77fqjkJzFxG</t>
  </si>
  <si>
    <t>1570762737793</t>
  </si>
  <si>
    <t>-LqskL_zlYfCgHbXdYBy</t>
  </si>
  <si>
    <t>1570762745012</t>
  </si>
  <si>
    <t>-LqskNMylrCr5CfWVoFw</t>
  </si>
  <si>
    <t>1570762752221</t>
  </si>
  <si>
    <t>-LqskP4xUZ7acNroIm1u</t>
  </si>
  <si>
    <t>1570762759435</t>
  </si>
  <si>
    <t>-LqskQf5Akk-2etagrgX</t>
  </si>
  <si>
    <t>1570762765612</t>
  </si>
  <si>
    <t>-LqskSN3drCY0qLm3Vnk</t>
  </si>
  <si>
    <t>1570762772833</t>
  </si>
  <si>
    <t>-LqskULAijHkYWHFRFLl</t>
  </si>
  <si>
    <t>1570762780044</t>
  </si>
  <si>
    <t>-LqskVtzmZw6EgJYOw2s</t>
  </si>
  <si>
    <t>1570762787289</t>
  </si>
  <si>
    <t>-LqskXgFgTnvdMivMI20</t>
  </si>
  <si>
    <t>1570762794472</t>
  </si>
  <si>
    <t>-LqskZPsRZ-y4bPNvw0s</t>
  </si>
  <si>
    <t>1570762801683</t>
  </si>
  <si>
    <t>-LqskaD03S9Oa98HQcmc</t>
  </si>
  <si>
    <t>1570762808903</t>
  </si>
  <si>
    <t>-LqskbulWPwgS0AvhWiR</t>
  </si>
  <si>
    <t>1570762816082</t>
  </si>
  <si>
    <t>-LqskdTxdAv_xzjQowiv</t>
  </si>
  <si>
    <t>1570762822292</t>
  </si>
  <si>
    <t>-LqskfDCj1YiHGNVXvED</t>
  </si>
  <si>
    <t>1570762829514</t>
  </si>
  <si>
    <t>-LqskgmCgFr2HbdblqY1</t>
  </si>
  <si>
    <t>1570762835692</t>
  </si>
  <si>
    <t>-LqskiVC6HA4bVim5EVX</t>
  </si>
  <si>
    <t>1570762842901</t>
  </si>
  <si>
    <t>-LqskkI-bWiqahazoG5N</t>
  </si>
  <si>
    <t>1570762850103</t>
  </si>
  <si>
    <t>-Lqsklzx6Y8pEi2458ZZ</t>
  </si>
  <si>
    <t>1570762857333</t>
  </si>
  <si>
    <t>-LqsknjOeHrflIETkJ7z</t>
  </si>
  <si>
    <t>1570762864543</t>
  </si>
  <si>
    <t>-LqskpGxIPtjkce7qhWz</t>
  </si>
  <si>
    <t>1570762870732</t>
  </si>
  <si>
    <t>-Lqskr3w2znQRKNHKj_A</t>
  </si>
  <si>
    <t>1570762877943</t>
  </si>
  <si>
    <t>-LqsksnGdMHP9mScEeBX</t>
  </si>
  <si>
    <t>1570762885153</t>
  </si>
  <si>
    <t>-Lqsku_xjHJyJls0qqVp</t>
  </si>
  <si>
    <t>1570762892362</t>
  </si>
  <si>
    <t>-LqskwIwIrRlqY_nr6iX</t>
  </si>
  <si>
    <t>1570762899593</t>
  </si>
  <si>
    <t>-Lqsky6GUHNdGjAY-06L</t>
  </si>
  <si>
    <t>1570762906793</t>
  </si>
  <si>
    <t>-Lqsl-8slWmZUzguYl9N</t>
  </si>
  <si>
    <t>1570762913993</t>
  </si>
  <si>
    <t>-Lqsl0qvKWONZl5DM_20</t>
  </si>
  <si>
    <t>1570762922251</t>
  </si>
  <si>
    <t>-Lqsl2KxXJm4x9dIBw1o</t>
  </si>
  <si>
    <t>1570762928401</t>
  </si>
  <si>
    <t>-Lqsl3q6smc_ZE6llG3E</t>
  </si>
  <si>
    <t>1570762934564</t>
  </si>
  <si>
    <t>-Lqsl5O2iCLlNwpiHP1k</t>
  </si>
  <si>
    <t>1570762940802</t>
  </si>
  <si>
    <t>-Lqsl7aAPd_HzaFhjFsd</t>
  </si>
  <si>
    <t>1570762948013</t>
  </si>
  <si>
    <t>-Lqsl983k2O_FAlOPn2V</t>
  </si>
  <si>
    <t>1570762956233</t>
  </si>
  <si>
    <t>-LqslAiJ3DraxgCOP1ZG</t>
  </si>
  <si>
    <t>1570762962432</t>
  </si>
  <si>
    <t>-LqslCQ3RcZV16JbUzoX</t>
  </si>
  <si>
    <t>1570762969653</t>
  </si>
  <si>
    <t>-LqslECzzknyaO2cXtP6</t>
  </si>
  <si>
    <t>1570762976861</t>
  </si>
  <si>
    <t>-LqslFxJDR3YftXbYFUw</t>
  </si>
  <si>
    <t>1570762984071</t>
  </si>
  <si>
    <t>-LqslHkAMc_sEfLgWThb</t>
  </si>
  <si>
    <t>1570762991291</t>
  </si>
  <si>
    <t>-LqslJWvsgnw0WZ-2RX9</t>
  </si>
  <si>
    <t>1570762998838</t>
  </si>
  <si>
    <t>-LqslLEwzO-gopsmO2oy</t>
  </si>
  <si>
    <t>1570763005721</t>
  </si>
  <si>
    <t>-LqslMxySz7uMHMBUli-</t>
  </si>
  <si>
    <t>1570763012942</t>
  </si>
  <si>
    <t>-LqslOYAbvU6vGvfFU7s</t>
  </si>
  <si>
    <t>1570763019133</t>
  </si>
  <si>
    <t>-LqslQEwjSa2ANX3Mv3n</t>
  </si>
  <si>
    <t>1570763026311</t>
  </si>
  <si>
    <t>-LqslS89_zZrpApvrOiX</t>
  </si>
  <si>
    <t>1570763033543</t>
  </si>
  <si>
    <t>-LqslTkvHZxtVyU3dwBR</t>
  </si>
  <si>
    <t>1570763040721</t>
  </si>
  <si>
    <t>-LqslVJvUJ5KeCzgcL8L</t>
  </si>
  <si>
    <t>1570763046912</t>
  </si>
  <si>
    <t>-LqslX1wtl7UmeGLc5s4</t>
  </si>
  <si>
    <t>1570763054161</t>
  </si>
  <si>
    <t>-LqslYpv_nVqg96-90Mp</t>
  </si>
  <si>
    <t>1570763061362</t>
  </si>
  <si>
    <t>-Lqsl_YuyhiH4yy-2XWG</t>
  </si>
  <si>
    <t>1570763068552</t>
  </si>
  <si>
    <t>-Lqslb73yflBYPuHBfmo</t>
  </si>
  <si>
    <t>1570763074770</t>
  </si>
  <si>
    <t>-Lqslcpv5VFgDNeYEIFh</t>
  </si>
  <si>
    <t>1570763082002</t>
  </si>
  <si>
    <t>-Lqslecv4x9jORkWxVlf</t>
  </si>
  <si>
    <t>1570763089181</t>
  </si>
  <si>
    <t>-LqslgLuZeDHz568u659</t>
  </si>
  <si>
    <t>1570763096401</t>
  </si>
  <si>
    <t>-Lqsli8ub3cR2WT2z0LH</t>
  </si>
  <si>
    <t>1570763103594</t>
  </si>
  <si>
    <t>-LqsljrlVaTHd8D6pAxj</t>
  </si>
  <si>
    <t>1570763110802</t>
  </si>
  <si>
    <t>-LqsllQtZ5nFhaeYsZj_</t>
  </si>
  <si>
    <t>1570763117011</t>
  </si>
  <si>
    <t>-Lqsln8uUAab9aRA64Fp</t>
  </si>
  <si>
    <t>1570763124233</t>
  </si>
  <si>
    <t>-LqsloxFNSeN6YzoGC7U</t>
  </si>
  <si>
    <t>1570763131432</t>
  </si>
  <si>
    <t>-LqslqgAWIq5rgZDltf1</t>
  </si>
  <si>
    <t>1570763138631</t>
  </si>
  <si>
    <t>-LqslsDt-29Z398Ii7T7</t>
  </si>
  <si>
    <t>1570763144831</t>
  </si>
  <si>
    <t>-LqsluHbgStnLEma_geL</t>
  </si>
  <si>
    <t>1570763153309</t>
  </si>
  <si>
    <t>-LqslwO6BYXi3unPHq1J</t>
  </si>
  <si>
    <t>1570763160290</t>
  </si>
  <si>
    <t>-Lqsly16A6llFnv_T_wJ</t>
  </si>
  <si>
    <t>1570763168530</t>
  </si>
  <si>
    <t>-Lqslzir1BR-IqLY1tnh</t>
  </si>
  <si>
    <t>1570763175752</t>
  </si>
  <si>
    <t>-Lqsm0Y8d_9yDHULCTG3</t>
  </si>
  <si>
    <t>1570763182961</t>
  </si>
  <si>
    <t>-Lqsm2DdNmassomGLE7M</t>
  </si>
  <si>
    <t>1570763190150</t>
  </si>
  <si>
    <t>-Lqsm3p-kJRAW0_5yNpF</t>
  </si>
  <si>
    <t>1570763196351</t>
  </si>
  <si>
    <t>-Lqsm5WsstKqLLQW9_GT</t>
  </si>
  <si>
    <t>1570763203562</t>
  </si>
  <si>
    <t>-Lqsm7Jt11qiUNBqWBQH</t>
  </si>
  <si>
    <t>1570763210781</t>
  </si>
  <si>
    <t>-Lqsm939fXpAmA5xRXKo</t>
  </si>
  <si>
    <t>1570763217990</t>
  </si>
  <si>
    <t>-LqsmAqxvGK7L5ZF3JF4</t>
  </si>
  <si>
    <t>1570763225233</t>
  </si>
  <si>
    <t>-LqsmCYtMf9pHx1QSmQF</t>
  </si>
  <si>
    <t>1570763232390</t>
  </si>
  <si>
    <t>-LqsmE6tpVfp4-_YVWI6</t>
  </si>
  <si>
    <t>1570763238579</t>
  </si>
  <si>
    <t>-LqsmFprdMUjXMlorlz9</t>
  </si>
  <si>
    <t>1570763245831</t>
  </si>
  <si>
    <t>-LqsmHcuZa6YnlELoxSx</t>
  </si>
  <si>
    <t>1570763253029</t>
  </si>
  <si>
    <t>-LqsmJhMafssKhkq4Y5P</t>
  </si>
  <si>
    <t>1570763260240</t>
  </si>
  <si>
    <t>-LqsmLP6XbmbljNNnUUN</t>
  </si>
  <si>
    <t>1570763268479</t>
  </si>
  <si>
    <t>-LqsmNAscX045fpiJrbu</t>
  </si>
  <si>
    <t>1570763275691</t>
  </si>
  <si>
    <t>-LqsmOtkRiQqC-jckTKr</t>
  </si>
  <si>
    <t>1570763282910</t>
  </si>
  <si>
    <t>-LqsmQgtokwTG1xH45gf</t>
  </si>
  <si>
    <t>1570763290090</t>
  </si>
  <si>
    <t>-LqsmSR8nO5AgLVul9fB</t>
  </si>
  <si>
    <t>1570763297359</t>
  </si>
  <si>
    <t>-LqsmUD9NLgetNWE1cTE</t>
  </si>
  <si>
    <t>1570763304553</t>
  </si>
  <si>
    <t>-LqsmVxAJGY8dnUno0w7</t>
  </si>
  <si>
    <t>1570763311750</t>
  </si>
  <si>
    <t>-LqsmXjxTdGNphmoPAM8</t>
  </si>
  <si>
    <t>1570763318981</t>
  </si>
  <si>
    <t>-LqsmZRufF2Cdj6fdVL0</t>
  </si>
  <si>
    <t>1570763326159</t>
  </si>
  <si>
    <t>-LqsmaEtvdqKuf1WBh6D</t>
  </si>
  <si>
    <t>1570763333400</t>
  </si>
  <si>
    <t>-LqsmbzQJb7OiyBDAL6o</t>
  </si>
  <si>
    <t>1570763340623</t>
  </si>
  <si>
    <t>-LqsmdYADB8jRETRm6vB</t>
  </si>
  <si>
    <t>1570763346800</t>
  </si>
  <si>
    <t>-LqsmfEvsQcfq-lpKCGg</t>
  </si>
  <si>
    <t>1570763353989</t>
  </si>
  <si>
    <t>-LqsmgntNRa4wQbb3RKi</t>
  </si>
  <si>
    <t>1570763360191</t>
  </si>
  <si>
    <t>-LqsmibxnCU0zPQS-uSk</t>
  </si>
  <si>
    <t>1570763367409</t>
  </si>
  <si>
    <t>-LqsmkMPyjmQaWr4xGmF</t>
  </si>
  <si>
    <t>1570763374619</t>
  </si>
  <si>
    <t>-Lqsmm1vcTy-ZwM2pNjj</t>
  </si>
  <si>
    <t>1570763381831</t>
  </si>
  <si>
    <t>-LqsmoARLfipKseHKTUX</t>
  </si>
  <si>
    <t>1570763389050</t>
  </si>
  <si>
    <t>-LqsmptCF4ehMwmVzGY4</t>
  </si>
  <si>
    <t>1570763397293</t>
  </si>
  <si>
    <t>-LqsmrZhnJVsvHBnfyH2</t>
  </si>
  <si>
    <t>1570763404502</t>
  </si>
  <si>
    <t>-LqsmtP6pcCRGUDlE2CB</t>
  </si>
  <si>
    <t>1570763411723</t>
  </si>
  <si>
    <t>-Lqsmv5wMQ0C9hOnA6NN</t>
  </si>
  <si>
    <t>1570763418932</t>
  </si>
  <si>
    <t>-Lqsmwq4LoNay7TA4zTK</t>
  </si>
  <si>
    <t>1570763426143</t>
  </si>
  <si>
    <t>-LqsmyNwVJJhRaDAkTzT</t>
  </si>
  <si>
    <t>1570763432323</t>
  </si>
  <si>
    <t>-Lqsn-5x5wUY5qcuEPzy</t>
  </si>
  <si>
    <t>1570763439513</t>
  </si>
  <si>
    <t>-Lqsn0gC2dVHovdPDMxX</t>
  </si>
  <si>
    <t>1570763445723</t>
  </si>
  <si>
    <t>-Lqsn2ZE4QeOB60wBnlE</t>
  </si>
  <si>
    <t>1570763453331</t>
  </si>
  <si>
    <t>-Lqsn4B-wfdJeqPhD1se</t>
  </si>
  <si>
    <t>1570763460154</t>
  </si>
  <si>
    <t>-Lqsn5v08ZyEjST7Jcdu</t>
  </si>
  <si>
    <t>1570763467364</t>
  </si>
  <si>
    <t>-Lqsn7Sxls6MRRScTg0W</t>
  </si>
  <si>
    <t>1570763473543</t>
  </si>
  <si>
    <t>-Lqsn9AwvhCWQ2eh5bvy</t>
  </si>
  <si>
    <t>1570763480734</t>
  </si>
  <si>
    <t>-LqsnAjwmv9jkqiHfBFy</t>
  </si>
  <si>
    <t>1570763486913</t>
  </si>
  <si>
    <t>-LqsnCU3piYc1VsRxz4X</t>
  </si>
  <si>
    <t>1570763494163</t>
  </si>
  <si>
    <t>-LqsnEHBf7xedEV0bUvJ</t>
  </si>
  <si>
    <t>1570763501372</t>
  </si>
  <si>
    <t>-LqsnFz6bYaZ2iTq1rxr</t>
  </si>
  <si>
    <t>1570763508559</t>
  </si>
  <si>
    <t>-LqsnHUI11rqSbYelbaw</t>
  </si>
  <si>
    <t>1570763514754</t>
  </si>
  <si>
    <t>-LqsnJ168wxuHPuKvI0N</t>
  </si>
  <si>
    <t>1570763520951</t>
  </si>
  <si>
    <t>-LqsnKlA2rDPg7rpShWy</t>
  </si>
  <si>
    <t>1570763528162</t>
  </si>
  <si>
    <t>-LqsnMPcKNqN2gUoziL_</t>
  </si>
  <si>
    <t>1570763534342</t>
  </si>
  <si>
    <t>-LqsnO2942v_3FALhAkn</t>
  </si>
  <si>
    <t>1570763541522</t>
  </si>
  <si>
    <t>-LqsnPX1jeWlQXdlPslD</t>
  </si>
  <si>
    <t>1570763547713</t>
  </si>
  <si>
    <t>-LqsnR40ddtL8WmesMd8</t>
  </si>
  <si>
    <t>1570763553953</t>
  </si>
  <si>
    <t>-LqsnSrv4LYFMxrUFWKk</t>
  </si>
  <si>
    <t>1570763561132</t>
  </si>
  <si>
    <t>-LqsnUYR4cQw0UDzjhOJ</t>
  </si>
  <si>
    <t>1570763568344</t>
  </si>
  <si>
    <t>-LqsnW5B6LfvuFbZCJgb</t>
  </si>
  <si>
    <t>1570763574511</t>
  </si>
  <si>
    <t>-LqsnXdDwr_KvuSYfJoV</t>
  </si>
  <si>
    <t>1570763580723</t>
  </si>
  <si>
    <t>-LqsnZNAHZNjOusfLXNI</t>
  </si>
  <si>
    <t>1570763587914</t>
  </si>
  <si>
    <t>-Lqsna96Rjk4hDyHrHXs</t>
  </si>
  <si>
    <t>1570763595138</t>
  </si>
  <si>
    <t>-Lqsnc21VLrZWnHgQb2o</t>
  </si>
  <si>
    <t>1570763602323</t>
  </si>
  <si>
    <t>-Lqsne-DLhwhzQPZtToM</t>
  </si>
  <si>
    <t>1570763609565</t>
  </si>
  <si>
    <t>-Lqsng1_cFPWoSZkG_5U</t>
  </si>
  <si>
    <t>1570763617804</t>
  </si>
  <si>
    <t>-Lqsnhf3X285c_7xrsQv</t>
  </si>
  <si>
    <t>1570763626063</t>
  </si>
  <si>
    <t>-Lqsnj9SrLcdJgwLaz5j</t>
  </si>
  <si>
    <t>1570763632233</t>
  </si>
  <si>
    <t>-Lqsnki9Pw9IWcwC2xaf</t>
  </si>
  <si>
    <t>1570763638412</t>
  </si>
  <si>
    <t>-LqsnmW9K-ZNumLG2xn2</t>
  </si>
  <si>
    <t>1570763645624</t>
  </si>
  <si>
    <t>-LqsnoE1UFcsghcUUX-Q</t>
  </si>
  <si>
    <t>1570763652846</t>
  </si>
  <si>
    <t>-LqsnpiHsyyJEMoW9-lJ</t>
  </si>
  <si>
    <t>1570763659032</t>
  </si>
  <si>
    <t>-LqsnrH9K8oNnsUlTZ0J</t>
  </si>
  <si>
    <t>1570763665203</t>
  </si>
  <si>
    <t>-Lqsnt-25PVT-4g3OOKp</t>
  </si>
  <si>
    <t>1570763672393</t>
  </si>
  <si>
    <t>-LqsnuZ0ntRSoS3X6s9P</t>
  </si>
  <si>
    <t>1570763678592</t>
  </si>
  <si>
    <t>-LqsnwHA9PfP4ev7Ymy3</t>
  </si>
  <si>
    <t>1570763685812</t>
  </si>
  <si>
    <t>-Lqsny4A_AVz9tkFjifA</t>
  </si>
  <si>
    <t>1570763693023</t>
  </si>
  <si>
    <t>-Lqsnzn1hK-2IdgyPWBc</t>
  </si>
  <si>
    <t>1570763700252</t>
  </si>
  <si>
    <t>-Lqso0aDHVf_pYrm8NIe</t>
  </si>
  <si>
    <t>1570763707452</t>
  </si>
  <si>
    <t>-Lqso2JC--c2gNwDgxAV</t>
  </si>
  <si>
    <t>1570763714642</t>
  </si>
  <si>
    <t>-Lqso3sBlU_OpFvOwnTP</t>
  </si>
  <si>
    <t>1570763720842</t>
  </si>
  <si>
    <t>-Lqso5_E1j4zUWe1R96l</t>
  </si>
  <si>
    <t>1570763728074</t>
  </si>
  <si>
    <t>-Lqso7OAeB4_09ho_Wsa</t>
  </si>
  <si>
    <t>1570763735284</t>
  </si>
  <si>
    <t>-Lqso964YequWLilIWWO</t>
  </si>
  <si>
    <t>1570763742474</t>
  </si>
  <si>
    <t>-LqsoAuBB_zE0DqsMOBB</t>
  </si>
  <si>
    <t>1570763749760</t>
  </si>
  <si>
    <t>-LqsoCcE2DNKMmz4UmlB</t>
  </si>
  <si>
    <t>1570763756892</t>
  </si>
  <si>
    <t>-LqsoEBBNK8R-zW6KsrZ</t>
  </si>
  <si>
    <t>1570763763073</t>
  </si>
  <si>
    <t>-LqsoFuG49yjwrKcfY93</t>
  </si>
  <si>
    <t>1570763770324</t>
  </si>
  <si>
    <t>-LqsoHhAfwQYKaLlBbDe</t>
  </si>
  <si>
    <t>1570763777523</t>
  </si>
  <si>
    <t>-LqsoJQBpPUQ8DKWYYXp</t>
  </si>
  <si>
    <t>1570763784720</t>
  </si>
  <si>
    <t>-LqsoL-QzvtDZuX4kkuE</t>
  </si>
  <si>
    <t>1570763790913</t>
  </si>
  <si>
    <t>-LqsoMhCalm3WARFPAc5</t>
  </si>
  <si>
    <t>1570763798133</t>
  </si>
  <si>
    <t>-LqsoOUOzOPBci5wXNiD</t>
  </si>
  <si>
    <t>1570763805343</t>
  </si>
  <si>
    <t>-LqsoQD8hnZpEQk0cO5h</t>
  </si>
  <si>
    <t>1570763812550</t>
  </si>
  <si>
    <t>-LqsoS0Cfqzjoprg9Z1P</t>
  </si>
  <si>
    <t>1570763819773</t>
  </si>
  <si>
    <t>-LqsoTjDt0AKeY68LEgE</t>
  </si>
  <si>
    <t>1570763826962</t>
  </si>
  <si>
    <t>-LqsoVI2QCe60RYORpIx</t>
  </si>
  <si>
    <t>1570763833163</t>
  </si>
  <si>
    <t>-LqsoX0BzuqDCxUm-LiO</t>
  </si>
  <si>
    <t>1570763840404</t>
  </si>
  <si>
    <t>-LqsoYqIcPZjk1hJWwrT</t>
  </si>
  <si>
    <t>1570763847592</t>
  </si>
  <si>
    <t>-Lqso_q1rbqi7f9mddvD</t>
  </si>
  <si>
    <t>1570763856121</t>
  </si>
  <si>
    <t>-LqsobZAYh3D0kS_zvWb</t>
  </si>
  <si>
    <t>1570763863041</t>
  </si>
  <si>
    <t>-LqsodRA84RFylD9CuEG</t>
  </si>
  <si>
    <t>1570763870261</t>
  </si>
  <si>
    <t>-LqsofdF-gW2Kbk7vCiP</t>
  </si>
  <si>
    <t>1570763879525</t>
  </si>
  <si>
    <t>-LqsohLPSmrwwwXctLMe</t>
  </si>
  <si>
    <t>1570763886743</t>
  </si>
  <si>
    <t>-Lqsoj8AB-7wnVJ92Zjl</t>
  </si>
  <si>
    <t>1570763893961</t>
  </si>
  <si>
    <t>-LqsokrIh1o3gXtopgxC</t>
  </si>
  <si>
    <t>1570763901171</t>
  </si>
  <si>
    <t>-Lqsome8Njs-AQjiTris</t>
  </si>
  <si>
    <t>1570763908383</t>
  </si>
  <si>
    <t>-LqsooMuCHDdcajd-xe-</t>
  </si>
  <si>
    <t>1570763915602</t>
  </si>
  <si>
    <t>-LqsoqA8TvaobiLiOHxJ</t>
  </si>
  <si>
    <t>1570763922792</t>
  </si>
  <si>
    <t>-LqsortDyMo-1ZDQLslf</t>
  </si>
  <si>
    <t>1570763930010</t>
  </si>
  <si>
    <t>-LqsotS0HEdWf8o2ppmn</t>
  </si>
  <si>
    <t>1570763936225</t>
  </si>
  <si>
    <t>-LqsovAHxJ0eRscpkd4J</t>
  </si>
  <si>
    <t>1570763943443</t>
  </si>
  <si>
    <t>-LqsowyAIunHlS5dikoA</t>
  </si>
  <si>
    <t>1570763950632</t>
  </si>
  <si>
    <t>-LqsoygBObG9-Zu4cB_I</t>
  </si>
  <si>
    <t>1570763957834</t>
  </si>
  <si>
    <t>-Lqsp-UAAg3O5UKGNEis</t>
  </si>
  <si>
    <t>1570763965063</t>
  </si>
  <si>
    <t>-Lqsp1IjRQFjjoT5zCxH</t>
  </si>
  <si>
    <t>1570763972241</t>
  </si>
  <si>
    <t>-Lqsp3-DRnnigaTSsvzb</t>
  </si>
  <si>
    <t>1570763979483</t>
  </si>
  <si>
    <t>-Lqsp4i8reC1FGhgeJqx</t>
  </si>
  <si>
    <t>1570763986672</t>
  </si>
  <si>
    <t>-Lqsp6WOAAWDGOf0AmKP</t>
  </si>
  <si>
    <t>1570763993902</t>
  </si>
  <si>
    <t>-Lqsp8DtNzZrEpHEvVpA</t>
  </si>
  <si>
    <t>1570764001123</t>
  </si>
  <si>
    <t>-Lqsp9n8S0vUVSL32bnW</t>
  </si>
  <si>
    <t>1570764007302</t>
  </si>
  <si>
    <t>-LqspBWeZT0b0xhm22Fh</t>
  </si>
  <si>
    <t>1570764014492</t>
  </si>
  <si>
    <t>-LqspD4Bxw0IJMcyiiHt</t>
  </si>
  <si>
    <t>1570764020671</t>
  </si>
  <si>
    <t>-LqspEn8_LGo8_nSs8td</t>
  </si>
  <si>
    <t>1570764027911</t>
  </si>
  <si>
    <t>-LqspGaA2WutVE7_fBrL</t>
  </si>
  <si>
    <t>1570764035133</t>
  </si>
  <si>
    <t>-LqspIJ93grbma4hsOZ4</t>
  </si>
  <si>
    <t>1570764042313</t>
  </si>
  <si>
    <t>-LqspK4tI2lQg3ttTlBU</t>
  </si>
  <si>
    <t>1570764049528</t>
  </si>
  <si>
    <t>-LqspLa05PF-Pkd5bpOZ</t>
  </si>
  <si>
    <t>1570764055742</t>
  </si>
  <si>
    <t>-LqspNOF2MtBGI_1-3W-</t>
  </si>
  <si>
    <t>1570764062946</t>
  </si>
  <si>
    <t>-LqspP614mUzX4Hiqw1q</t>
  </si>
  <si>
    <t>1570764070163</t>
  </si>
  <si>
    <t>-LqspQuAKGl_9x2bXjyz</t>
  </si>
  <si>
    <t>1570764077371</t>
  </si>
  <si>
    <t>-LqspSm9wpgDHuqPWkHL</t>
  </si>
  <si>
    <t>1570764085224</t>
  </si>
  <si>
    <t>-LqspUj2RRUrCWTwkpOd</t>
  </si>
  <si>
    <t>1570764091792</t>
  </si>
  <si>
    <t>-LqspWSJZGYsAf1lZcKZ</t>
  </si>
  <si>
    <t>1570764100033</t>
  </si>
  <si>
    <t>-LqspYBNDbipYSTcOE0u</t>
  </si>
  <si>
    <t>1570764107242</t>
  </si>
  <si>
    <t>-LqspZyBLF0M4iGE-MEt</t>
  </si>
  <si>
    <t>1570764114462</t>
  </si>
  <si>
    <t>-LqspaevoIZVap7wk6bm</t>
  </si>
  <si>
    <t>1570764121681</t>
  </si>
  <si>
    <t>-LqspcUC9qWy8BTG-LfP</t>
  </si>
  <si>
    <t>1570764128903</t>
  </si>
  <si>
    <t>-LqspeCIFQXDdoXfswFb</t>
  </si>
  <si>
    <t>1570764136073</t>
  </si>
  <si>
    <t>-Lqspg-Af0L7psPKwq61</t>
  </si>
  <si>
    <t>1570764143303</t>
  </si>
  <si>
    <t>-LqsphhFpU3kPHSjGnhy</t>
  </si>
  <si>
    <t>1570764150502</t>
  </si>
  <si>
    <t>-LqspjHBYL127NEtdIE2</t>
  </si>
  <si>
    <t>1570764156703</t>
  </si>
  <si>
    <t>-Lqspl-ATx94PhNYbNze</t>
  </si>
  <si>
    <t>1570764163912</t>
  </si>
  <si>
    <t>-Lqspmn0YzZ4BJ2PFmj7</t>
  </si>
  <si>
    <t>1570764171133</t>
  </si>
  <si>
    <t>-LqspoWAIoZmnrCRoA3U</t>
  </si>
  <si>
    <t>1570764178330</t>
  </si>
  <si>
    <t>-Lqspq49ip5BTCX3J1r5</t>
  </si>
  <si>
    <t>1570764184505</t>
  </si>
  <si>
    <t>-LqsprnCBqWHrkQd7MX_</t>
  </si>
  <si>
    <t>1570764191764</t>
  </si>
  <si>
    <t>-LqsptaBumD4KHHhjbCL</t>
  </si>
  <si>
    <t>1570764198952</t>
  </si>
  <si>
    <t>-LqspvJAWNAIhDvUc4JX</t>
  </si>
  <si>
    <t>1570764206152</t>
  </si>
  <si>
    <t>-Lqspx6AA1dZO4jOTEMB</t>
  </si>
  <si>
    <t>1570764213390</t>
  </si>
  <si>
    <t>-LqspypDDBnoOP1t86ey</t>
  </si>
  <si>
    <t>1570764220565</t>
  </si>
  <si>
    <t>-Lqsq-O9xag7MM3TqkiI</t>
  </si>
  <si>
    <t>1570764226743</t>
  </si>
  <si>
    <t>-Lqsq16ASTE5Udg6epBX</t>
  </si>
  <si>
    <t>1570764233992</t>
  </si>
  <si>
    <t>-Lqsq2u8fnqrBCfacx-P</t>
  </si>
  <si>
    <t>1570764241202</t>
  </si>
  <si>
    <t>-Lqsq4b7BT-zXGM1nB5Z</t>
  </si>
  <si>
    <t>1570764248391</t>
  </si>
  <si>
    <t>-Lqsq6BJ2YJB7oLEIrbO</t>
  </si>
  <si>
    <t>1570764254594</t>
  </si>
  <si>
    <t>-Lqsq7uImutyGsYbQwJx</t>
  </si>
  <si>
    <t>1570764261823</t>
  </si>
  <si>
    <t>-Lqsq9h1ZATgxJvvc3cK</t>
  </si>
  <si>
    <t>1570764269025</t>
  </si>
  <si>
    <t>-LqsqBQKm7FbkKgYNsRL</t>
  </si>
  <si>
    <t>1570764276249</t>
  </si>
  <si>
    <t>-LqsqDD0pYlL0CkpLYdF</t>
  </si>
  <si>
    <t>1570764283443</t>
  </si>
  <si>
    <t>-LqsqEtKMZFX7GyLBd3N</t>
  </si>
  <si>
    <t>1570764290633</t>
  </si>
  <si>
    <t>-LqsqGV0gysu3LAJJGDI</t>
  </si>
  <si>
    <t>1570764296850</t>
  </si>
  <si>
    <t>-LqsqIC4BMBQ-FNtCke6</t>
  </si>
  <si>
    <t>1570764304054</t>
  </si>
  <si>
    <t>-LqsqK09TIMX9SP0kqF9</t>
  </si>
  <si>
    <t>1570764311263</t>
  </si>
  <si>
    <t>-LqsqLj6rfqxPo2oLXkw</t>
  </si>
  <si>
    <t>1570764318473</t>
  </si>
  <si>
    <t>-LqsqO3f6Di5uiR42H6_</t>
  </si>
  <si>
    <t>1570764326616</t>
  </si>
  <si>
    <t>-LqsqPluGu8xAEWRFgiO</t>
  </si>
  <si>
    <t>1570764334963</t>
  </si>
  <si>
    <t>-LqsqRWAbHDwiJBzcyj0</t>
  </si>
  <si>
    <t>1570764342153</t>
  </si>
  <si>
    <t>-LqsqT2voKx7_JBGVLu1</t>
  </si>
  <si>
    <t>1570764348353</t>
  </si>
  <si>
    <t>-LqsqUlwe1-9_nootr7n</t>
  </si>
  <si>
    <t>1570764355589</t>
  </si>
  <si>
    <t>-LqsqW_2Ob4juBxavV0D</t>
  </si>
  <si>
    <t>1570764362791</t>
  </si>
  <si>
    <t>-LqsqYHx47DwfaEDXAqt</t>
  </si>
  <si>
    <t>1570764369992</t>
  </si>
  <si>
    <t>-Lqsq_57Hpflvw9IVPGE</t>
  </si>
  <si>
    <t>1570764377212</t>
  </si>
  <si>
    <t>-LqsqanxNck0P962j5bi</t>
  </si>
  <si>
    <t>1570764384393</t>
  </si>
  <si>
    <t>-LqsqcO9dKKnSbg3Di1y</t>
  </si>
  <si>
    <t>1570764390594</t>
  </si>
  <si>
    <t>-LqsqeLEQ-k01SNvg-wD</t>
  </si>
  <si>
    <t>1570764398712</t>
  </si>
  <si>
    <t>-Lqsqfu8xbJzGIPYdZCv</t>
  </si>
  <si>
    <t>1570764405022</t>
  </si>
  <si>
    <t>-Lqsqh_hc1OsiMJ0IduV</t>
  </si>
  <si>
    <t>1570764412233</t>
  </si>
  <si>
    <t>-LqsqjOvH-3gp4cHiQhk</t>
  </si>
  <si>
    <t>1570764419455</t>
  </si>
  <si>
    <t>-Lqsql5WGVyo-GfWaNEE</t>
  </si>
  <si>
    <t>1570764426642</t>
  </si>
  <si>
    <t>-LqsqmhAmHIFFZ06CV7o</t>
  </si>
  <si>
    <t>1570764432822</t>
  </si>
  <si>
    <t>-LqsqoRIxBYlfGlFPheB</t>
  </si>
  <si>
    <t>1570764440073</t>
  </si>
  <si>
    <t>-LqsqpzBxsVVQKhtrTAV</t>
  </si>
  <si>
    <t>1570764446282</t>
  </si>
  <si>
    <t>-Lqsqrh0p-nyrpeU_3FD</t>
  </si>
  <si>
    <t>1570764453461</t>
  </si>
  <si>
    <t>-LqsqtTyFD_lSrk0zKkf</t>
  </si>
  <si>
    <t>1570764460673</t>
  </si>
  <si>
    <t>-LqsqvDCiLwyOduuXG4t</t>
  </si>
  <si>
    <t>1570764467883</t>
  </si>
  <si>
    <t>-LqsqwzmZRdb5rBcr20S</t>
  </si>
  <si>
    <t>1570764475102</t>
  </si>
  <si>
    <t>-LqsqymphdtoWUTRW6TT</t>
  </si>
  <si>
    <t>1570764482575</t>
  </si>
  <si>
    <t>-Lqsr-YIP7wZn885itBD</t>
  </si>
  <si>
    <t>1570764489522</t>
  </si>
  <si>
    <t>-Lqsr1FHb6x6-D3d6XmE</t>
  </si>
  <si>
    <t>1570764496713</t>
  </si>
  <si>
    <t>-Lqsr32AeUgGXNFXjQZ6</t>
  </si>
  <si>
    <t>1570764503947</t>
  </si>
  <si>
    <t>-Lqsr4lK2c4tlAKagFlu</t>
  </si>
  <si>
    <t>1570764511172</t>
  </si>
  <si>
    <t>-Lqsr6IwXfczKbuopFMw</t>
  </si>
  <si>
    <t>1570764517313</t>
  </si>
  <si>
    <t>-Lqsr80wZe_9fD7E-LfD</t>
  </si>
  <si>
    <t>1570764524552</t>
  </si>
  <si>
    <t>-Lqsr9ov_ijdkxvTQuFK</t>
  </si>
  <si>
    <t>1570764531773</t>
  </si>
  <si>
    <t>-LqsrBY4xkKT9OS9Ga8D</t>
  </si>
  <si>
    <t>1570764538962</t>
  </si>
  <si>
    <t>-LqsrDKxj9LLaIz2rIH_</t>
  </si>
  <si>
    <t>1570764546192</t>
  </si>
  <si>
    <t>-LqsrFCuEF69DsKkguJE</t>
  </si>
  <si>
    <t>1570764553941</t>
  </si>
  <si>
    <t>-LqsrGqvt6PHVNZmuaLO</t>
  </si>
  <si>
    <t>1570764560623</t>
  </si>
  <si>
    <t>-LqsrIu044J9is1QUZTj</t>
  </si>
  <si>
    <t>1570764568939</t>
  </si>
  <si>
    <t>-LqsrKcaKx4WT8ww1tgL</t>
  </si>
  <si>
    <t>1570764576085</t>
  </si>
  <si>
    <t>-LqsrMQ0yzsVkksR18U8</t>
  </si>
  <si>
    <t>1570764583263</t>
  </si>
  <si>
    <t>-LqsrO7yzUxVV7BXrOEM</t>
  </si>
  <si>
    <t>1570764590472</t>
  </si>
  <si>
    <t>-LqsrPfofRIIOEK032IG</t>
  </si>
  <si>
    <t>1570764596679</t>
  </si>
  <si>
    <t>-LqsrRQ9nzHqJogn7uSZ</t>
  </si>
  <si>
    <t>1570764603892</t>
  </si>
  <si>
    <t>-LqsrTD2CFi_CoT4qMwB</t>
  </si>
  <si>
    <t>1570764611161</t>
  </si>
  <si>
    <t>-LqsrUwG9x9U8lygyTFM</t>
  </si>
  <si>
    <t>1570764618310</t>
  </si>
  <si>
    <t>-LqsrWj9ncO4dfWLLQkG</t>
  </si>
  <si>
    <t>1570764625742</t>
  </si>
  <si>
    <t>-LqsrYR1FPj381susTex</t>
  </si>
  <si>
    <t>1570764632719</t>
  </si>
  <si>
    <t>-Lqsr_0HM3x-JPizX_hL</t>
  </si>
  <si>
    <t>1570764638910</t>
  </si>
  <si>
    <t>-Lqsraj8vaEYfElq2Lff</t>
  </si>
  <si>
    <t>1570764646132</t>
  </si>
  <si>
    <t>-LqsrcX9fygEbKasfC4S</t>
  </si>
  <si>
    <t>1570764653340</t>
  </si>
  <si>
    <t>-LqsreFGF2vgFR9e0o6H</t>
  </si>
  <si>
    <t>1570764660561</t>
  </si>
  <si>
    <t>-Lqsrg1zxicjO-DaMbvP</t>
  </si>
  <si>
    <t>1570764667793</t>
  </si>
  <si>
    <t>-LqsrhlHV6JcdUKfyjMr</t>
  </si>
  <si>
    <t>1570764674963</t>
  </si>
  <si>
    <t>-LqsrjK7YD7bx5NzKgKG</t>
  </si>
  <si>
    <t>1570764681141</t>
  </si>
  <si>
    <t>-Lqsrl2R8HeBhFuyuJDx</t>
  </si>
  <si>
    <t>1570764688401</t>
  </si>
  <si>
    <t>-Lqsrmq7OL6hv5SuJGil</t>
  </si>
  <si>
    <t>1570764695591</t>
  </si>
  <si>
    <t>-LqsroZ9UahvzwXUDfpc</t>
  </si>
  <si>
    <t>1570764702790</t>
  </si>
  <si>
    <t>-LqsrqLyOaq6bImqcM12</t>
  </si>
  <si>
    <t>1570764710012</t>
  </si>
  <si>
    <t>-Lqsrs40idJqGjJWxMLm</t>
  </si>
  <si>
    <t>1570764717209</t>
  </si>
  <si>
    <t>-Lqsrtcr20XU3hAQOYYb</t>
  </si>
  <si>
    <t>1570764723381</t>
  </si>
  <si>
    <t>-LqsrvMAjT9wMywTxNIF</t>
  </si>
  <si>
    <t>1570764730641</t>
  </si>
  <si>
    <t>-Lqsrx97F56R2M4WAnee</t>
  </si>
  <si>
    <t>1570764737800</t>
  </si>
  <si>
    <t>-Lqsrz6EHDusqXu-yc_J</t>
  </si>
  <si>
    <t>1570764745032</t>
  </si>
  <si>
    <t>-Lqss-ezmgSCi_Ia1NSp</t>
  </si>
  <si>
    <t>1570764752276</t>
  </si>
  <si>
    <t>-Lqss1O-TX5-rr012Jaw</t>
  </si>
  <si>
    <t>1570764759452</t>
  </si>
  <si>
    <t>-Lqss2wBIpAUgsXs965Q</t>
  </si>
  <si>
    <t>1570764765631</t>
  </si>
  <si>
    <t>-Lqss4uJYCwhy8qBDzu1</t>
  </si>
  <si>
    <t>1570764772870</t>
  </si>
  <si>
    <t>-Lqss6T9v-54XmXPiius</t>
  </si>
  <si>
    <t>1570764780131</t>
  </si>
  <si>
    <t>-Lqss8B8y2CBEZ1f8DOw</t>
  </si>
  <si>
    <t>1570764787270</t>
  </si>
  <si>
    <t>-Lqss9lF63dS3vq7cP2i</t>
  </si>
  <si>
    <t>1570764793470</t>
  </si>
  <si>
    <t>-LqssBjDByJZ50pxkM1n</t>
  </si>
  <si>
    <t>1570764800681</t>
  </si>
  <si>
    <t>-LqssDGHDBx4DBokzjNF</t>
  </si>
  <si>
    <t>1570764807874</t>
  </si>
  <si>
    <t>-LqssEzA__HZ880E-LGm</t>
  </si>
  <si>
    <t>1570764815124</t>
  </si>
  <si>
    <t>-LqssGr-W3bfyMugb0bA</t>
  </si>
  <si>
    <t>1570764822322</t>
  </si>
  <si>
    <t>-LqssIVKEdhctOli5fTP</t>
  </si>
  <si>
    <t>1570764829512</t>
  </si>
  <si>
    <t>-LqssK30UskCIGw5-U0F</t>
  </si>
  <si>
    <t>1570764835722</t>
  </si>
  <si>
    <t>-LqssLm9IZNDs8e4vPEi</t>
  </si>
  <si>
    <t>1570764842934</t>
  </si>
  <si>
    <t>-LqssNYwsf4K_FowRy_U</t>
  </si>
  <si>
    <t>1570764850145</t>
  </si>
  <si>
    <t>-LqssPI08fywG3npTPOa</t>
  </si>
  <si>
    <t>1570764857352</t>
  </si>
  <si>
    <t>-LqssR52X92I_FtF83iz</t>
  </si>
  <si>
    <t>1570764864572</t>
  </si>
  <si>
    <t>-LqssSo-HwVazencZbzv</t>
  </si>
  <si>
    <t>1570764871763</t>
  </si>
  <si>
    <t>-LqssUNA7VXXbEPvnGkN</t>
  </si>
  <si>
    <t>1570764877943</t>
  </si>
  <si>
    <t>-LqssW5BiPkkmh7SsZ3s</t>
  </si>
  <si>
    <t>1570764885204</t>
  </si>
  <si>
    <t>-LqssYHBQhQ4EE1slgtX</t>
  </si>
  <si>
    <t>1570764894026</t>
  </si>
  <si>
    <t>-LqssZqeVghilzjJdvIK</t>
  </si>
  <si>
    <t>1570764900643</t>
  </si>
  <si>
    <t>-LqssaPDbGHRAtRXpYCH</t>
  </si>
  <si>
    <t>1570764906814</t>
  </si>
  <si>
    <t>-Lqssc7C2yAZdltaDBtY</t>
  </si>
  <si>
    <t>1570764914003</t>
  </si>
  <si>
    <t>-LqssdgBrCgIQKmPyDr_</t>
  </si>
  <si>
    <t>1570764920196</t>
  </si>
  <si>
    <t>-LqssfPCX76bI1XX6Xn2</t>
  </si>
  <si>
    <t>1570764927432</t>
  </si>
  <si>
    <t>-LqsshC26wQurjnLDgds</t>
  </si>
  <si>
    <t>1570764934632</t>
  </si>
  <si>
    <t>-Lqssiv0kmqdUL3wxEUS</t>
  </si>
  <si>
    <t>1570764941833</t>
  </si>
  <si>
    <t>-LqsskU9bD6ZtHJXzn7A</t>
  </si>
  <si>
    <t>1570764948022</t>
  </si>
  <si>
    <t>-LqssmCAg9kqmyUb8dvS</t>
  </si>
  <si>
    <t>1570764955250</t>
  </si>
  <si>
    <t>-Lqsso9BFktu2jY-DwER</t>
  </si>
  <si>
    <t>1570764962464</t>
  </si>
  <si>
    <t>-LqsspiClV0sQqRSMuXM</t>
  </si>
  <si>
    <t>1570764969683</t>
  </si>
  <si>
    <t>-LqssrWA94QL7VJfMcqV</t>
  </si>
  <si>
    <t>1570764976884</t>
  </si>
  <si>
    <t>-LqsstEDp0nZCGC7S-LV</t>
  </si>
  <si>
    <t>1570764984077</t>
  </si>
  <si>
    <t>-Lqssv04hDAIqDZ4EhnQ</t>
  </si>
  <si>
    <t>1570764991302</t>
  </si>
  <si>
    <t>-LqsswW-eyZxNOPvLK9T</t>
  </si>
  <si>
    <t>1570764997497</t>
  </si>
  <si>
    <t>-LqssyYBXa9dtJ2TKD2a</t>
  </si>
  <si>
    <t>1570765005754</t>
  </si>
  <si>
    <t>-Lqst-GU_R1uBi5YDByt</t>
  </si>
  <si>
    <t>1570765012942</t>
  </si>
  <si>
    <t>-Lqst0nvZcd5BtjCNUx4</t>
  </si>
  <si>
    <t>1570765019134</t>
  </si>
  <si>
    <t>-Lqst2JcBsS-39ODz_B7</t>
  </si>
  <si>
    <t>1570765025312</t>
  </si>
  <si>
    <t>-Lqst4Qx4b1E9d_mY0R1</t>
  </si>
  <si>
    <t>1570765032522</t>
  </si>
  <si>
    <t>-Lqst61ttLNkMRUhlXso</t>
  </si>
  <si>
    <t>1570765040768</t>
  </si>
  <si>
    <t>-Lqst7XzsrGM0GgwlYya</t>
  </si>
  <si>
    <t>1570765046940</t>
  </si>
  <si>
    <t>-Lqst95y3U_MsuW-erjo</t>
  </si>
  <si>
    <t>1570765053120</t>
  </si>
  <si>
    <t>-LqstAsqqOEKVelc_vRJ</t>
  </si>
  <si>
    <t>1570765060340</t>
  </si>
  <si>
    <t>-LqstCb-xxZEhIwOfkEN</t>
  </si>
  <si>
    <t>1570765067568</t>
  </si>
  <si>
    <t>-LqstEPycXZ8uVIZF8tz</t>
  </si>
  <si>
    <t>1570765074769</t>
  </si>
  <si>
    <t>-LqstGb5tMhaz6d-M2Um</t>
  </si>
  <si>
    <t>1570765082346</t>
  </si>
  <si>
    <t>-LqstI9ynrDTata3w3r3</t>
  </si>
  <si>
    <t>1570765090220</t>
  </si>
  <si>
    <t>-LqstJsBA1FqboeRMi0z</t>
  </si>
  <si>
    <t>1570765097430</t>
  </si>
  <si>
    <t>-LqstLQsIaBuZeAmHF0e</t>
  </si>
  <si>
    <t>1570765103620</t>
  </si>
  <si>
    <t>-LqstN91aPvMSDkVmJ6h</t>
  </si>
  <si>
    <t>1570765110798</t>
  </si>
  <si>
    <t>-LqstOhrvq1Z1M53WRsI</t>
  </si>
  <si>
    <t>1570765116989</t>
  </si>
  <si>
    <t>-LqstQS70CPmSgOxLZNI</t>
  </si>
  <si>
    <t>1570765124230</t>
  </si>
  <si>
    <t>-LqstS07yiK8mkY1g4K1</t>
  </si>
  <si>
    <t>1570765130410</t>
  </si>
  <si>
    <t>-LqstTjaH4Euz63m3F0C</t>
  </si>
  <si>
    <t>1570765137589</t>
  </si>
  <si>
    <t>-LqstVVsvGcND_AmAX1r</t>
  </si>
  <si>
    <t>1570765144840</t>
  </si>
  <si>
    <t>-LqstXDtNoZb7E780O5p</t>
  </si>
  <si>
    <t>1570765152051</t>
  </si>
  <si>
    <t>-LqstZ13OX4hr8T8JnnK</t>
  </si>
  <si>
    <t>1570765159260</t>
  </si>
  <si>
    <t>-Lqst_jsXSiT7DehnSad</t>
  </si>
  <si>
    <t>1570765166469</t>
  </si>
  <si>
    <t>-LqstbZ6onkIIMjnVtC3</t>
  </si>
  <si>
    <t>1570765173689</t>
  </si>
  <si>
    <t>-LqstdHAfwSpNLpuiUJ0</t>
  </si>
  <si>
    <t>1570765180868</t>
  </si>
  <si>
    <t>-LqstepBApqRrWKZlNNf</t>
  </si>
  <si>
    <t>1570765187069</t>
  </si>
  <si>
    <t>-LqstgZDDLrYXbXz2PSn</t>
  </si>
  <si>
    <t>1570765194299</t>
  </si>
  <si>
    <t>-LqstiWAfeLR8jWJeFwT</t>
  </si>
  <si>
    <t>1570765201499</t>
  </si>
  <si>
    <t>-Lqstk47b9Ma7oEtZBMb</t>
  </si>
  <si>
    <t>1570765208721</t>
  </si>
  <si>
    <t>-Lqstlqz1H3CS7DV1gYg</t>
  </si>
  <si>
    <t>1570765215930</t>
  </si>
  <si>
    <t>-LqstnZuWjKJeUFILhIm</t>
  </si>
  <si>
    <t>1570765223119</t>
  </si>
  <si>
    <t>-Lqstp7qqD8BJt9jOHkn</t>
  </si>
  <si>
    <t>1570765229309</t>
  </si>
  <si>
    <t>-Lqstqqqb8wD87iH4UUm</t>
  </si>
  <si>
    <t>1570765236550</t>
  </si>
  <si>
    <t>-Lqstsf6hUCTqoy8aQk4</t>
  </si>
  <si>
    <t>1570765243761</t>
  </si>
  <si>
    <t>-LqstuO8HuGxJ3kbmN-m</t>
  </si>
  <si>
    <t>1570765250960</t>
  </si>
  <si>
    <t>-LqstwKzSG-FDa5hcjMz</t>
  </si>
  <si>
    <t>1570765258886</t>
  </si>
  <si>
    <t>-Lqstxu6lPjsBJ9RhW0i</t>
  </si>
  <si>
    <t>1570765265361</t>
  </si>
  <si>
    <t>-Lqsu3-9g3p6SKZqEyfh</t>
  </si>
  <si>
    <t>1570765290279</t>
  </si>
  <si>
    <t>-Lqsu4mEt4hiUd_xiXbC</t>
  </si>
  <si>
    <t>1570765297472</t>
  </si>
  <si>
    <t>-Lqsu6UvZqSTGILqmJBD</t>
  </si>
  <si>
    <t>1570765304683</t>
  </si>
  <si>
    <t>-Lqsu8RtB0EQPzS8oZyN</t>
  </si>
  <si>
    <t>1570765312593</t>
  </si>
  <si>
    <t>-LqsuA-tVIrdmcFCpIxv</t>
  </si>
  <si>
    <t>1570765319123</t>
  </si>
  <si>
    <t>-LqsuBnw5IoMifh6d0pD</t>
  </si>
  <si>
    <t>1570765326323</t>
  </si>
  <si>
    <t>-LqsuDXsKFS9oNFE01DR</t>
  </si>
  <si>
    <t>1570765333511</t>
  </si>
  <si>
    <t>-LqsuF69iJT63Qq_YjcR</t>
  </si>
  <si>
    <t>1570765339711</t>
  </si>
  <si>
    <t>-LqsuGmfx0CGsfSSb_Au</t>
  </si>
  <si>
    <t>1570765346931</t>
  </si>
  <si>
    <t>-LqsuJ4ze-mRC6xVszNj</t>
  </si>
  <si>
    <t>1570765356203</t>
  </si>
  <si>
    <t>-LqsuKtCcHCC7DMyotac</t>
  </si>
  <si>
    <t>1570765363412</t>
  </si>
  <si>
    <t>-LqsuMZoqb1zh0R2zWwY</t>
  </si>
  <si>
    <t>1570765370631</t>
  </si>
  <si>
    <t>-LqsuOPFBQIBlvEGKji9</t>
  </si>
  <si>
    <t>1570765377858</t>
  </si>
  <si>
    <t>-LqsuQ6zJoqBmTzPv5QP</t>
  </si>
  <si>
    <t>1570765385033</t>
  </si>
  <si>
    <t>-LqsuRu1S0Bws0EMmzps</t>
  </si>
  <si>
    <t>1570765392261</t>
  </si>
  <si>
    <t>-LqsuTc1fvPT0JDsZwcf</t>
  </si>
  <si>
    <t>1570765399491</t>
  </si>
  <si>
    <t>-LqsuVB3FYb-CkjEVB-f</t>
  </si>
  <si>
    <t>1570765405663</t>
  </si>
  <si>
    <t>-LqsuX9CIl9EEK-8bPU_</t>
  </si>
  <si>
    <t>1570765413872</t>
  </si>
  <si>
    <t>-LqsuYx0OeS-PVKsEJN9</t>
  </si>
  <si>
    <t>1570765421122</t>
  </si>
  <si>
    <t>-Lqsu_ixBIESp_YL2HiV</t>
  </si>
  <si>
    <t>1570765428334</t>
  </si>
  <si>
    <t>-LqsubSrzwlidq6Uvhq2</t>
  </si>
  <si>
    <t>1570765435541</t>
  </si>
  <si>
    <t>-LqsudGBuuZih212qr_Q</t>
  </si>
  <si>
    <t>1570765442751</t>
  </si>
  <si>
    <t>-LqsuezDXaFTCAq37SuP</t>
  </si>
  <si>
    <t>1570765449962</t>
  </si>
  <si>
    <t>-Lqsugkue1AK5QI7BvMr</t>
  </si>
  <si>
    <t>1570765457183</t>
  </si>
  <si>
    <t>-LqsuiTvwdFOTL1qros9</t>
  </si>
  <si>
    <t>1570765464401</t>
  </si>
  <si>
    <t>-LqsukGtP21dwQfZ5Hsa</t>
  </si>
  <si>
    <t>1570765471603</t>
  </si>
  <si>
    <t>-Lqsum0-yn5yfPeY0CtC</t>
  </si>
  <si>
    <t>1570765478791</t>
  </si>
  <si>
    <t>-Lqsun_82_HrPM_fyTOV</t>
  </si>
  <si>
    <t>1570765484993</t>
  </si>
  <si>
    <t>-LqsupGtkk0GlLQJ0E5R</t>
  </si>
  <si>
    <t>1570765492232</t>
  </si>
  <si>
    <t>-Lqsur07AgzD9k27pAD6</t>
  </si>
  <si>
    <t>1570765499422</t>
  </si>
  <si>
    <t>-LqsusYvQYU7COkITZub</t>
  </si>
  <si>
    <t>1570765505602</t>
  </si>
  <si>
    <t>-LqsuuNBm-HyUZWKvGIS</t>
  </si>
  <si>
    <t>1570765512824</t>
  </si>
  <si>
    <t>-Lqsuw3vu1smXeaDVeQV</t>
  </si>
  <si>
    <t>1570765520032</t>
  </si>
  <si>
    <t>-LqsuyBsU8gKPFALxwSU</t>
  </si>
  <si>
    <t>1570765527241</t>
  </si>
  <si>
    <t>-Lqsuzovn4Ow_-qGhfBb</t>
  </si>
  <si>
    <t>1570765535463</t>
  </si>
  <si>
    <t>-Lqsv0Nx1CyOoaew3o--</t>
  </si>
  <si>
    <t>1570765541672</t>
  </si>
  <si>
    <t>-Lqsv273UZwsS-BCpqfg</t>
  </si>
  <si>
    <t>1570765548883</t>
  </si>
  <si>
    <t>-Lqsv3tuBiMmow7Fo_rs</t>
  </si>
  <si>
    <t>1570765556103</t>
  </si>
  <si>
    <t>-Lqsv5buvCEtX1MPB0aq</t>
  </si>
  <si>
    <t>1570765563283</t>
  </si>
  <si>
    <t>-Lqsv7B6DrE1bO2Fgi1M</t>
  </si>
  <si>
    <t>1570765569472</t>
  </si>
  <si>
    <t>-Lqsv8twrMlGaZ7ASMyW</t>
  </si>
  <si>
    <t>1570765576723</t>
  </si>
  <si>
    <t>-LqsvAh6ev7FYjEQ5E0h</t>
  </si>
  <si>
    <t>1570765583923</t>
  </si>
  <si>
    <t>-LqsvCSLRIAfw3ZkR7BW</t>
  </si>
  <si>
    <t>1570765591115</t>
  </si>
  <si>
    <t>-LqsvE-1IuAAsqHaMbSj</t>
  </si>
  <si>
    <t>1570765597311</t>
  </si>
  <si>
    <t>-LqsvFgmL2CmO5MZo7SJ</t>
  </si>
  <si>
    <t>1570765604522</t>
  </si>
  <si>
    <t>-LqsvHcWJ-Q1Ku78u-yT</t>
  </si>
  <si>
    <t>1570765611742</t>
  </si>
  <si>
    <t>-LqsvJc1uVX6BtUP05Az</t>
  </si>
  <si>
    <t>1570765618963</t>
  </si>
  <si>
    <t>-LqsvLEuK9LT68IeJv0s</t>
  </si>
  <si>
    <t>1570765627203</t>
  </si>
  <si>
    <t>-LqsvN1vxZkbZGwCdLDA</t>
  </si>
  <si>
    <t>1570765634413</t>
  </si>
  <si>
    <t>-LqsvOkuC6CbIvn4ZW4M</t>
  </si>
  <si>
    <t>1570765641622</t>
  </si>
  <si>
    <t>-LqsvQ_26I5vTbgeCUOp</t>
  </si>
  <si>
    <t>1570765648844</t>
  </si>
  <si>
    <t>-LqsvSI26EiKLantFXCK</t>
  </si>
  <si>
    <t>1570765656052</t>
  </si>
  <si>
    <t>-LqsvU52BmeNBgdyILpH</t>
  </si>
  <si>
    <t>1570765663263</t>
  </si>
  <si>
    <t>-LqsvVmuOqTWRTod18XR</t>
  </si>
  <si>
    <t>1570765670472</t>
  </si>
  <si>
    <t>-LqsvX_kooEgiD-1UuQY</t>
  </si>
  <si>
    <t>1570765677692</t>
  </si>
  <si>
    <t>-LqsvZ50xdCzPw4de_UB</t>
  </si>
  <si>
    <t>1570765683872</t>
  </si>
  <si>
    <t>-Lqsv_ru4Jnl6GY-F_dK</t>
  </si>
  <si>
    <t>1570765691083</t>
  </si>
  <si>
    <t>-Lqsvb_wUEh6fvtVCPQk</t>
  </si>
  <si>
    <t>1570765698313</t>
  </si>
  <si>
    <t>-LqsvdNxe06RbtTF1nUE</t>
  </si>
  <si>
    <t>1570765705514</t>
  </si>
  <si>
    <t>-Lqsvf5wdROd_X8PeVxf</t>
  </si>
  <si>
    <t>1570765712724</t>
  </si>
  <si>
    <t>-LqsvgtwN3wioN9uQyYn</t>
  </si>
  <si>
    <t>1570765719942</t>
  </si>
  <si>
    <t>-Lqsvid2HrcInN0SLtXz</t>
  </si>
  <si>
    <t>1570765727131</t>
  </si>
  <si>
    <t>-LqsvkE7sb5Shs_O4cr_</t>
  </si>
  <si>
    <t>1570765733310</t>
  </si>
  <si>
    <t>-LqsvltsW5AuXBQw7Fxi</t>
  </si>
  <si>
    <t>1570765740550</t>
  </si>
  <si>
    <t>-LqsvnhwGQnmrlYVuQl4</t>
  </si>
  <si>
    <t>1570765747748</t>
  </si>
  <si>
    <t>-LqsvpPybD2YbZWlu-Uv</t>
  </si>
  <si>
    <t>1570765754949</t>
  </si>
  <si>
    <t>-LqsvrIf3QlPzrRXq-D-</t>
  </si>
  <si>
    <t>1570765761148</t>
  </si>
  <si>
    <t>-LqsvsvutiBI2DwW-v6C</t>
  </si>
  <si>
    <t>1570765769360</t>
  </si>
  <si>
    <t>-LqsvuW-GrcpSo5rNzxK</t>
  </si>
  <si>
    <t>1570765775551</t>
  </si>
  <si>
    <t>-LqsvwE3USEhT5jUEhqs</t>
  </si>
  <si>
    <t>1570765782793</t>
  </si>
  <si>
    <t>-Lqsvy6Jbrvi0qPrt26b</t>
  </si>
  <si>
    <t>1570765790002</t>
  </si>
  <si>
    <t>-Lqsvzk-agS11hXzujRG</t>
  </si>
  <si>
    <t>1570765797200</t>
  </si>
  <si>
    <t>-Lqsw0YGxaI8flm7xlcV</t>
  </si>
  <si>
    <t>1570765804421</t>
  </si>
  <si>
    <t>-Lqsw2F-DE61DJGLE6Eb</t>
  </si>
  <si>
    <t>1570765811651</t>
  </si>
  <si>
    <t>-Lqsw43BD-JYoYX-m1UT</t>
  </si>
  <si>
    <t>1570765818856</t>
  </si>
  <si>
    <t>-Lqsw5mBhz0RBnI4_tAT</t>
  </si>
  <si>
    <t>1570765826080</t>
  </si>
  <si>
    <t>-Lqsw7Kyrde-DtlOh8Y4</t>
  </si>
  <si>
    <t>1570765832252</t>
  </si>
  <si>
    <t>-Lqsw939XgldKKUcgTO0</t>
  </si>
  <si>
    <t>1570765839440</t>
  </si>
  <si>
    <t>-LqswAgyERS3URnTg_Y1</t>
  </si>
  <si>
    <t>1570765845650</t>
  </si>
  <si>
    <t>-LqswCLAk73lyDegL7pu</t>
  </si>
  <si>
    <t>1570765852872</t>
  </si>
  <si>
    <t>-LqswE8-9zIMXKaSPOMo</t>
  </si>
  <si>
    <t>1570765860079</t>
  </si>
  <si>
    <t>-LqswFqztYFsxDR45NOn</t>
  </si>
  <si>
    <t>1570765867272</t>
  </si>
  <si>
    <t>-LqswHQ8259wIGFDIEYF</t>
  </si>
  <si>
    <t>1570765873462</t>
  </si>
  <si>
    <t>-LqswJ87OK6lBmPy4_ht</t>
  </si>
  <si>
    <t>1570765880682</t>
  </si>
  <si>
    <t>-LqswKutV2yCvxAQ0rp4</t>
  </si>
  <si>
    <t>1570765887906</t>
  </si>
  <si>
    <t>-LqswMe9nlNCawRrB7wm</t>
  </si>
  <si>
    <t>1570765895122</t>
  </si>
  <si>
    <t>-LqswOaB2lTU2vqZanDH</t>
  </si>
  <si>
    <t>1570765902322</t>
  </si>
  <si>
    <t>-LqswQ937_zp8kyIRevr</t>
  </si>
  <si>
    <t>1570765909531</t>
  </si>
  <si>
    <t>-LqswRoIZcaIYPef6czd</t>
  </si>
  <si>
    <t>1570765915711</t>
  </si>
  <si>
    <t>-LqswTTIKdMduRaTtDUo</t>
  </si>
  <si>
    <t>1570765922932</t>
  </si>
  <si>
    <t>-LqswVE18qYOkx_HnMc4</t>
  </si>
  <si>
    <t>1570765930142</t>
  </si>
  <si>
    <t>-LqswWzFQtGD2OPmLypk</t>
  </si>
  <si>
    <t>1570765937360</t>
  </si>
  <si>
    <t>-LqswYksz10vGu2j9WnE</t>
  </si>
  <si>
    <t>1570765944571</t>
  </si>
  <si>
    <t>-Lqsw_UREXBlRxP17X7T</t>
  </si>
  <si>
    <t>1570765951760</t>
  </si>
  <si>
    <t>-Lqswb22lboDtb4mGOgx</t>
  </si>
  <si>
    <t>1570765957963</t>
  </si>
  <si>
    <t>-Lqswcl7nKuUj3AIldAZ</t>
  </si>
  <si>
    <t>1570765965196</t>
  </si>
  <si>
    <t>-LqsweZ875PAxpwILqrh</t>
  </si>
  <si>
    <t>1570765972401</t>
  </si>
  <si>
    <t>-LqswgHDScjyZxYyu-qw</t>
  </si>
  <si>
    <t>1570765979591</t>
  </si>
  <si>
    <t>-LqswhpznyFKy-xSTGdE</t>
  </si>
  <si>
    <t>1570765985781</t>
  </si>
  <si>
    <t>-LqswjXtCqbHBuRtQNIK</t>
  </si>
  <si>
    <t>1570765993032</t>
  </si>
  <si>
    <t>-LqswlaE1HhDfz7rUsNX</t>
  </si>
  <si>
    <t>1570766001313</t>
  </si>
  <si>
    <t>-LqswnJFfUAD07U-v_iE</t>
  </si>
  <si>
    <t>1570766008473</t>
  </si>
  <si>
    <t>-Lqswos2cNeCoXtvVt0b</t>
  </si>
  <si>
    <t>1570766014645</t>
  </si>
  <si>
    <t>-Lqswqa2Re5Y6EgVlL17</t>
  </si>
  <si>
    <t>1570766021867</t>
  </si>
  <si>
    <t>-Lqsws8tXZb0wnoh-Z_i</t>
  </si>
  <si>
    <t>1570766028035</t>
  </si>
  <si>
    <t>-LqswtsDqgdN_FMb3Qub</t>
  </si>
  <si>
    <t>1570766035255</t>
  </si>
  <si>
    <t>-LqswvfE6IXXP5XhrFzx</t>
  </si>
  <si>
    <t>1570766042465</t>
  </si>
  <si>
    <t>-LqswxO4N0HmEvW8YOBO</t>
  </si>
  <si>
    <t>1570766049695</t>
  </si>
  <si>
    <t>-LqswzBFHUCoNGdpGJST</t>
  </si>
  <si>
    <t>1570766056896</t>
  </si>
  <si>
    <t>-Lqsx-uGWJX0BvxSv3_e</t>
  </si>
  <si>
    <t>1570766064086</t>
  </si>
  <si>
    <t>-Lqsx1T6sfxnMRJ3x9DT</t>
  </si>
  <si>
    <t>1570766070285</t>
  </si>
  <si>
    <t>-Lqsx3BGq8O1mGjmOuXq</t>
  </si>
  <si>
    <t>1570766077517</t>
  </si>
  <si>
    <t>-Lqsx4yxNQkEIbfNu40R</t>
  </si>
  <si>
    <t>1570766084727</t>
  </si>
  <si>
    <t>-Lqsx6hDBvrJ0cCc-ICC</t>
  </si>
  <si>
    <t>1570766091917</t>
  </si>
  <si>
    <t>-Lqsx8GEJwQCj8usNAax</t>
  </si>
  <si>
    <t>1570766098117</t>
  </si>
  <si>
    <t>-Lqsx9zEGnCusNgZpay4</t>
  </si>
  <si>
    <t>1570766105326</t>
  </si>
  <si>
    <t>-LqsxBmH0Limpp5kcv5C</t>
  </si>
  <si>
    <t>1570766112545</t>
  </si>
  <si>
    <t>-LqsxDV3RaJ1gXTj8k8G</t>
  </si>
  <si>
    <t>1570766119766</t>
  </si>
  <si>
    <t>-LqsxFI2ypb-mTmyUbfW</t>
  </si>
  <si>
    <t>1570766126966</t>
  </si>
  <si>
    <t>-LqsxH1UHex-k4K3kKYw</t>
  </si>
  <si>
    <t>1570766134180</t>
  </si>
  <si>
    <t>-LqsxIV4xN7S6OxSrWe8</t>
  </si>
  <si>
    <t>1570766140356</t>
  </si>
  <si>
    <t>-LqsxK3EGz8XE__0183-</t>
  </si>
  <si>
    <t>1570766146545</t>
  </si>
  <si>
    <t>-LqsxLqHxr3h-1_CU_9r</t>
  </si>
  <si>
    <t>1570766153767</t>
  </si>
  <si>
    <t>-LqsxNeC7_0mkChxgakB</t>
  </si>
  <si>
    <t>1570766161409</t>
  </si>
  <si>
    <t>-LqsxPgN_HxBqZw4fp91</t>
  </si>
  <si>
    <t>1570766168157</t>
  </si>
  <si>
    <t>-LqsxRPEp9UkFyZ42LjU</t>
  </si>
  <si>
    <t>1570766176406</t>
  </si>
  <si>
    <t>-LqsxT8JD21rFSux23fO</t>
  </si>
  <si>
    <t>1570766183654</t>
  </si>
  <si>
    <t>-LqsxUq3uvPr6si4xKmv</t>
  </si>
  <si>
    <t>1570766190836</t>
  </si>
  <si>
    <t>-LqsxWPNhrsoWex-nY7_</t>
  </si>
  <si>
    <t>1570766197045</t>
  </si>
  <si>
    <t>-LqsxY73EXo6FOF3AvWd</t>
  </si>
  <si>
    <t>1570766204260</t>
  </si>
  <si>
    <t>-LqsxZv3T7AyS-KZ1qV5</t>
  </si>
  <si>
    <t>1570766210462</t>
  </si>
  <si>
    <t>-LqsxadFuJESHWkOKNBP</t>
  </si>
  <si>
    <t>1570766218705</t>
  </si>
  <si>
    <t>-LqsxcCEeqoPQNfpIwyM</t>
  </si>
  <si>
    <t>1570766224865</t>
  </si>
  <si>
    <t>-LqsxeCkkjBoSMvhDSyy</t>
  </si>
  <si>
    <t>1570766232084</t>
  </si>
  <si>
    <t>-LqsxfyCisy3RQU1ry9E</t>
  </si>
  <si>
    <t>1570766240319</t>
  </si>
  <si>
    <t>-Lqsxhj1RbcQXevFnWWZ</t>
  </si>
  <si>
    <t>1570766247539</t>
  </si>
  <si>
    <t>-LqsxjRtgP8r5CU_L3Oo</t>
  </si>
  <si>
    <t>1570766254834</t>
  </si>
  <si>
    <t>-LqsxlEtP6r7ON164u4f</t>
  </si>
  <si>
    <t>1570766261960</t>
  </si>
  <si>
    <t>-LqsxmxtCa8JmCZzpPGT</t>
  </si>
  <si>
    <t>1570766269200</t>
  </si>
  <si>
    <t>-Lqsxoh8jiY2atPKUCNj</t>
  </si>
  <si>
    <t>1570766276397</t>
  </si>
  <si>
    <t>-LqsxqEvn6AcVVA0QjL4</t>
  </si>
  <si>
    <t>1570766282569</t>
  </si>
  <si>
    <t>-Lqsxrxuzk1QOaVCAi46</t>
  </si>
  <si>
    <t>1570766289759</t>
  </si>
  <si>
    <t>-LqsxtXyM1RtRakI-wyI</t>
  </si>
  <si>
    <t>1570766295970</t>
  </si>
  <si>
    <t>-LqsxvEurEy4bCJ3iuHC</t>
  </si>
  <si>
    <t>1570766303191</t>
  </si>
  <si>
    <t>-LqsxwntoAk0SpAUT2Bg</t>
  </si>
  <si>
    <t>1570766309380</t>
  </si>
  <si>
    <t>-LqsxyWr-RYp9pT1n9Lt</t>
  </si>
  <si>
    <t>1570766316559</t>
  </si>
  <si>
    <t>-Lqsy-66mwHgghnvxOLJ</t>
  </si>
  <si>
    <t>1570766322760</t>
  </si>
  <si>
    <t>-Lqsy0o3UVzqRX2bTXTF</t>
  </si>
  <si>
    <t>1570766330000</t>
  </si>
  <si>
    <t>-Lqsy2aslWZXnmjSQpVE</t>
  </si>
  <si>
    <t>1570766337190</t>
  </si>
  <si>
    <t>-Lqsy4Jr9heFXwZw49Ma</t>
  </si>
  <si>
    <t>1570766344409</t>
  </si>
  <si>
    <t>-Lqsy64NFfK61ChFqIaK</t>
  </si>
  <si>
    <t>1570766351619</t>
  </si>
  <si>
    <t>-Lqsy7atNAlMwHp07b2F</t>
  </si>
  <si>
    <t>1570766357800</t>
  </si>
  <si>
    <t>-Lqsy9hsgXQ8KWnvdKab</t>
  </si>
  <si>
    <t>1570766366439</t>
  </si>
  <si>
    <t>-LqsyBNc1fhY3DZgeNjf</t>
  </si>
  <si>
    <t>1570766373259</t>
  </si>
  <si>
    <t>-LqsyCv3gvHDNQZFE1HB</t>
  </si>
  <si>
    <t>1570766379440</t>
  </si>
  <si>
    <t>-LqsyEbcWAlBfXoC42rI</t>
  </si>
  <si>
    <t>1570766386630</t>
  </si>
  <si>
    <t>-LqsyGCyba-3ZiAXTKjh</t>
  </si>
  <si>
    <t>1570766392831</t>
  </si>
  <si>
    <t>-LqsyHujN0yTjAX0FPV_</t>
  </si>
  <si>
    <t>1570766400049</t>
  </si>
  <si>
    <t>-LqsyJiz9_VlEoQ_oGG4</t>
  </si>
  <si>
    <t>1570766407267</t>
  </si>
  <si>
    <t>-LqsyLQqpBzOZMtzrIVd</t>
  </si>
  <si>
    <t>1570766414470</t>
  </si>
  <si>
    <t>-LqsyNDqXyI3ITI9MKf3</t>
  </si>
  <si>
    <t>1570766421689</t>
  </si>
  <si>
    <t>-LqsyOx3ykpskVdSuHJf</t>
  </si>
  <si>
    <t>1570766428880</t>
  </si>
  <si>
    <t>-LqsyQX83EAn5f-l2pgO</t>
  </si>
  <si>
    <t>1570766435059</t>
  </si>
  <si>
    <t>-LqsySDuheBJLibatxkl</t>
  </si>
  <si>
    <t>1570766442309</t>
  </si>
  <si>
    <t>-LqsyU77JjF9qte7F9F9</t>
  </si>
  <si>
    <t>1570766449515</t>
  </si>
  <si>
    <t>-LqsyViSZ15Hnanu7HRQ</t>
  </si>
  <si>
    <t>1570766456712</t>
  </si>
  <si>
    <t>-LqsyXZY-AxnFikgGoLE</t>
  </si>
  <si>
    <t>1570766462910</t>
  </si>
  <si>
    <t>-LqsyZG3ch5QoS-DAZG1</t>
  </si>
  <si>
    <t>1570766471132</t>
  </si>
  <si>
    <t>-Lqsy_ox-ZDvvih3LStl</t>
  </si>
  <si>
    <t>1570766477313</t>
  </si>
  <si>
    <t>-LqsybXxpmY5v6fg_dyU</t>
  </si>
  <si>
    <t>1570766484562</t>
  </si>
  <si>
    <t>-LqsydM0g-kl_XgsAnWI</t>
  </si>
  <si>
    <t>1570766491762</t>
  </si>
  <si>
    <t>-Lqsyf4Dc49u7de3X2v5</t>
  </si>
  <si>
    <t>1570766498963</t>
  </si>
  <si>
    <t>-LqsygcZIhLHFN1YP7r5</t>
  </si>
  <si>
    <t>1570766505143</t>
  </si>
  <si>
    <t>-LqsyiRCCwb9QggXl0fF</t>
  </si>
  <si>
    <t>1570766512749</t>
  </si>
  <si>
    <t>-Lqsyk7wwfmoTsnVh-4i</t>
  </si>
  <si>
    <t>1570766519613</t>
  </si>
  <si>
    <t>-LqsylqwX8A9c8alFqOB</t>
  </si>
  <si>
    <t>1570766526793</t>
  </si>
  <si>
    <t>-Lqsynf0wFzQYV2R23dr</t>
  </si>
  <si>
    <t>1570766534022</t>
  </si>
  <si>
    <t>-LqsypMwi6keY5CiuiAQ</t>
  </si>
  <si>
    <t>1570766541203</t>
  </si>
  <si>
    <t>-LqsyqvxqR5jydL-R7Hp</t>
  </si>
  <si>
    <t>1570766547382</t>
  </si>
  <si>
    <t>-LqsyscgkPIImtM7MiYa</t>
  </si>
  <si>
    <t>1570766554633</t>
  </si>
  <si>
    <t>-Lqsyu_x15f9aLlmnu1Z</t>
  </si>
  <si>
    <t>1570766561843</t>
  </si>
  <si>
    <t>-Lqsyw9xLoHr6vyzB0hK</t>
  </si>
  <si>
    <t>1570766569031</t>
  </si>
  <si>
    <t>-LqsyxfBKstZBRwzgp5J</t>
  </si>
  <si>
    <t>1570766575233</t>
  </si>
  <si>
    <t>-LqsyzCxFEtB84T8XAnT</t>
  </si>
  <si>
    <t>1570766581433</t>
  </si>
  <si>
    <t>-Lqsz-x-PiGaPMCE4n2X</t>
  </si>
  <si>
    <t>1570766588633</t>
  </si>
  <si>
    <t>-Lqsz1UwPPo1FCm5D4aR</t>
  </si>
  <si>
    <t>1570766594813</t>
  </si>
  <si>
    <t>-Lqsz3CyuwfR0QfNlv4s</t>
  </si>
  <si>
    <t>1570766602003</t>
  </si>
  <si>
    <t>-Lqsz4m6vMjtj856-z73</t>
  </si>
  <si>
    <t>1570766608204</t>
  </si>
  <si>
    <t>-Lqsz6WCXmqw6MWvUE24</t>
  </si>
  <si>
    <t>1570766615432</t>
  </si>
  <si>
    <t>-Lqsz8JcJ33NpYIwvXCY</t>
  </si>
  <si>
    <t>1570766622613</t>
  </si>
  <si>
    <t>-LqszALCwZYpJDxRbE2M</t>
  </si>
  <si>
    <t>1570766629833</t>
  </si>
  <si>
    <t>-LqszC1xerXa77SKp6lC</t>
  </si>
  <si>
    <t>1570766638093</t>
  </si>
  <si>
    <t>-LqszDq4da5KZVDTojtq</t>
  </si>
  <si>
    <t>1570766645304</t>
  </si>
  <si>
    <t>-LqszFYxLSRyvp-LTJ7w</t>
  </si>
  <si>
    <t>1570766652522</t>
  </si>
  <si>
    <t>-LqszHN2si6Vq5gJZudW</t>
  </si>
  <si>
    <t>1570766659733</t>
  </si>
  <si>
    <t>-LqszJ50a94CeSvIxHzl</t>
  </si>
  <si>
    <t>1570766666962</t>
  </si>
  <si>
    <t>-LqszKcwBGW7AD5sk1Zm</t>
  </si>
  <si>
    <t>1570766673132</t>
  </si>
  <si>
    <t>-LqszMLx40xH85KU81hO</t>
  </si>
  <si>
    <t>1570766680344</t>
  </si>
  <si>
    <t>-LqszO94rYTOBVAQRfos</t>
  </si>
  <si>
    <t>1570766687563</t>
  </si>
  <si>
    <t>-LqszPrxmysmo6AhSlT1</t>
  </si>
  <si>
    <t>1570766694781</t>
  </si>
  <si>
    <t>-LqszS3xFU4fwX04DTgu</t>
  </si>
  <si>
    <t>1570766703788</t>
  </si>
  <si>
    <t>-LqszTdeyjuLLP28Du2l</t>
  </si>
  <si>
    <t>1570766710229</t>
  </si>
  <si>
    <t>-LqszVC4aLMJoq_PGx4M</t>
  </si>
  <si>
    <t>1570766716410</t>
  </si>
  <si>
    <t>-LqszWuyismo9rI613SV</t>
  </si>
  <si>
    <t>1570766723598</t>
  </si>
  <si>
    <t>-LqszYTpHgO-JCFqpShv</t>
  </si>
  <si>
    <t>1570766729789</t>
  </si>
  <si>
    <t>-Lqsz_AtPGumhIUhB--W</t>
  </si>
  <si>
    <t>1570766737014</t>
  </si>
  <si>
    <t>-Lqszayfc4d8wgmPpQUl</t>
  </si>
  <si>
    <t>1570766744228</t>
  </si>
  <si>
    <t>-LqszcguXicAK8k65lG3</t>
  </si>
  <si>
    <t>1570766751438</t>
  </si>
  <si>
    <t>-LqszeV1bpFyul_lR_Di</t>
  </si>
  <si>
    <t>1570766758650</t>
  </si>
  <si>
    <t>-LqszgCrl6Yhe6OaAwv7</t>
  </si>
  <si>
    <t>1570766765838</t>
  </si>
  <si>
    <t>-LqszhlrI9_dg5Ti_2ZV</t>
  </si>
  <si>
    <t>1570766772029</t>
  </si>
  <si>
    <t>-LqszjW9uXIf4kdIuPeK</t>
  </si>
  <si>
    <t>1570766779282</t>
  </si>
  <si>
    <t>-LqszlI8DBU93gvi6D-k</t>
  </si>
  <si>
    <t>1570766786481</t>
  </si>
  <si>
    <t>-Lqszn00Pwannrk38vOu</t>
  </si>
  <si>
    <t>1570766793668</t>
  </si>
  <si>
    <t>-LqszoZt61A910rZP_uM</t>
  </si>
  <si>
    <t>1570766799869</t>
  </si>
  <si>
    <t>-LqszqHrvNHRGfi4HNqo</t>
  </si>
  <si>
    <t>1570766807100</t>
  </si>
  <si>
    <t>-LqszsMd5ZiJhYFMJ4eg</t>
  </si>
  <si>
    <t>1570766815715</t>
  </si>
  <si>
    <t>-Lqszu15FXtla_Pf9Z_V</t>
  </si>
  <si>
    <t>1570766822508</t>
  </si>
  <si>
    <t>-Lqszvd7lW_BAagsoSi9</t>
  </si>
  <si>
    <t>1570766828722</t>
  </si>
  <si>
    <t>-LqszxL0bPeVIoQPhOBx</t>
  </si>
  <si>
    <t>1570766835912</t>
  </si>
  <si>
    <t>-Lqszyz1Jprsxr9GQkLq</t>
  </si>
  <si>
    <t>1570766842130</t>
  </si>
  <si>
    <t>-Lqt--c9lBIYfjTF2qTA</t>
  </si>
  <si>
    <t>1570766849331</t>
  </si>
  <si>
    <t>-Lqt-1WuveqEi73F5Nmt</t>
  </si>
  <si>
    <t>1570766856553</t>
  </si>
  <si>
    <t>-Lqt-35Dbzq1xHDSUIQ4</t>
  </si>
  <si>
    <t>1570766863721</t>
  </si>
  <si>
    <t>-Lqt-4h9dvFVVE0FGpMH</t>
  </si>
  <si>
    <t>1570766869953</t>
  </si>
  <si>
    <t>-Lqt-6Q9TRpHgLbXVMBH</t>
  </si>
  <si>
    <t>1570766877161</t>
  </si>
  <si>
    <t>-Lqt-8D9tzNKN4p8NXsz</t>
  </si>
  <si>
    <t>1570766884372</t>
  </si>
  <si>
    <t>-Lqt-9w8off-9tlbkNGY</t>
  </si>
  <si>
    <t>1570766891601</t>
  </si>
  <si>
    <t>-Lqt-BjTd_7WIcqhPFG0</t>
  </si>
  <si>
    <t>1570766898792</t>
  </si>
  <si>
    <t>-Lqt-DS9gb9_h07Vc0KW</t>
  </si>
  <si>
    <t>1570766905999</t>
  </si>
  <si>
    <t>-Lqt-FF9lyaGV40XIzrh</t>
  </si>
  <si>
    <t>1570766913229</t>
  </si>
  <si>
    <t>-Lqt-Gy1l4VRCC1Xlxga</t>
  </si>
  <si>
    <t>1570766920402</t>
  </si>
  <si>
    <t>-Lqt-Iq-cIC_LZbEXxwb</t>
  </si>
  <si>
    <t>1570766928044</t>
  </si>
  <si>
    <t>-Lqt-KmyaDM7JYuGD29k</t>
  </si>
  <si>
    <t>1570766934863</t>
  </si>
  <si>
    <t>-Lqt-MWEaOJo44NjcvwL</t>
  </si>
  <si>
    <t>1570766943118</t>
  </si>
  <si>
    <t>-Lqt-OIBLGHaSIyaAfzY</t>
  </si>
  <si>
    <t>1570766950313</t>
  </si>
  <si>
    <t>-Lqt-Q02WNmnsXH-Rs0p</t>
  </si>
  <si>
    <t>1570766957510</t>
  </si>
  <si>
    <t>-Lqt-Ra6G6Hx-hGEsHo-</t>
  </si>
  <si>
    <t>1570766963708</t>
  </si>
  <si>
    <t>-Lqt-THrcLffrv-hFAoN</t>
  </si>
  <si>
    <t>1570766970920</t>
  </si>
  <si>
    <t>-Lqt-V4sLLtyVY5QCvn1</t>
  </si>
  <si>
    <t>1570766978138</t>
  </si>
  <si>
    <t>-Lqt-Wnrsvv7Q8lW7DJb</t>
  </si>
  <si>
    <t>1570766985360</t>
  </si>
  <si>
    <t>-Lqt-YcJgrU7f6DgY81-</t>
  </si>
  <si>
    <t>1570766992559</t>
  </si>
  <si>
    <t>-Lqt-_L7vcrsE4E0iK_s</t>
  </si>
  <si>
    <t>1570766999758</t>
  </si>
  <si>
    <t>-Lqt-apJZPL-Cl8G-IoX</t>
  </si>
  <si>
    <t>1570767005920</t>
  </si>
  <si>
    <t>-Lqt-cMqCDqxBpNVUpm7</t>
  </si>
  <si>
    <t>1570767012139</t>
  </si>
  <si>
    <t>-Lqt-e4r4LcgbPhdJPoT</t>
  </si>
  <si>
    <t>1570767019350</t>
  </si>
  <si>
    <t>-Lqt-fdqsgpA3W9gMqxi</t>
  </si>
  <si>
    <t>1570767025540</t>
  </si>
  <si>
    <t>-Lqt-hMlKo0JpT2nioxI</t>
  </si>
  <si>
    <t>1570767032718</t>
  </si>
  <si>
    <t>-Lqt-iwzlyU3QfNF0Q0H</t>
  </si>
  <si>
    <t>1570767038910</t>
  </si>
  <si>
    <t>-Lqt-kdrzj6DKMhicvFp</t>
  </si>
  <si>
    <t>1570767046148</t>
  </si>
  <si>
    <t>-Lqt-mSyc2sir4zbFKro</t>
  </si>
  <si>
    <t>1570767053351</t>
  </si>
  <si>
    <t>-Lqt-o9uoipioKK1hzwp</t>
  </si>
  <si>
    <t>1570767060549</t>
  </si>
  <si>
    <t>-Lqt-pyrRvh9koNGm4Xf</t>
  </si>
  <si>
    <t>1570767066722</t>
  </si>
  <si>
    <t>-Lqt-rg1BXQKdgxLU_cj</t>
  </si>
  <si>
    <t>1570767075010</t>
  </si>
  <si>
    <t>-Lqt-tB7w5SNk3o2IqSy</t>
  </si>
  <si>
    <t>1570767081180</t>
  </si>
  <si>
    <t>-Lqt-uk5GBwczc1BSFuX</t>
  </si>
  <si>
    <t>1570767087368</t>
  </si>
  <si>
    <t>-Lqt-wWryJ4MDhCXRUe2</t>
  </si>
  <si>
    <t>1570767094580</t>
  </si>
  <si>
    <t>-Lqt-yEuGHFzku7V_q3Z</t>
  </si>
  <si>
    <t>1570767101789</t>
  </si>
  <si>
    <t>-Lqt0-CzCbDmd7eq6kgW</t>
  </si>
  <si>
    <t>1570767109008</t>
  </si>
  <si>
    <t>-Lqt00l4BpNwY1PS6Lrk</t>
  </si>
  <si>
    <t>1570767116263</t>
  </si>
  <si>
    <t>-Lqt02Z2rEJ-6ZNIrH9Y</t>
  </si>
  <si>
    <t>1570767123438</t>
  </si>
  <si>
    <t>-Lqt04I0lY37e19YKTmW</t>
  </si>
  <si>
    <t>1570767130640</t>
  </si>
  <si>
    <t>-Lqt05qy0OD1fp4IhZJ9</t>
  </si>
  <si>
    <t>1570767136838</t>
  </si>
  <si>
    <t>-Lqt07Yr1ERYKppZdhvV</t>
  </si>
  <si>
    <t>1570767144047</t>
  </si>
  <si>
    <t>-Lqt09LqQH7OCnIgaH1y</t>
  </si>
  <si>
    <t>1570767151249</t>
  </si>
  <si>
    <t>-Lqt0B3rWx18-82NnV8Q</t>
  </si>
  <si>
    <t>1570767158480</t>
  </si>
  <si>
    <t>-Lqt0DCl4qIBNXUF94lN</t>
  </si>
  <si>
    <t>1570767165677</t>
  </si>
  <si>
    <t>-Lqt0EpdR-Qu46zHRvKf</t>
  </si>
  <si>
    <t>1570767173922</t>
  </si>
  <si>
    <t>-Lqt0GNvkvUp6Y-8IHw7</t>
  </si>
  <si>
    <t>1570767180082</t>
  </si>
  <si>
    <t>-Lqt0I71EMWXSVZRk2lk</t>
  </si>
  <si>
    <t>1570767187332</t>
  </si>
  <si>
    <t>-Lqt0JgAcDJYSjVhh06w</t>
  </si>
  <si>
    <t>1570767193501</t>
  </si>
  <si>
    <t>-Lqt0LPCHZch283DKfWJ</t>
  </si>
  <si>
    <t>1570767200712</t>
  </si>
  <si>
    <t>-Lqt0NC-rFjRb4RkSOfv</t>
  </si>
  <si>
    <t>1570767207928</t>
  </si>
  <si>
    <t>-Lqt0Ou0Eub5GwyuNm8G</t>
  </si>
  <si>
    <t>1570767215130</t>
  </si>
  <si>
    <t>-Lqt0QStpM_aTDmlznW5</t>
  </si>
  <si>
    <t>1570767221301</t>
  </si>
  <si>
    <t>-Lqt0SC45i-I3iIIPgv6</t>
  </si>
  <si>
    <t>1570767228562</t>
  </si>
  <si>
    <t>-Lqt0U-1mzAQslrUVXsm</t>
  </si>
  <si>
    <t>1570767235751</t>
  </si>
  <si>
    <t>-Lqt0Vi9xBrn8nTYW5Qa</t>
  </si>
  <si>
    <t>1570767242970</t>
  </si>
  <si>
    <t>-Lqt0XVpkxqN7l51A4iJ</t>
  </si>
  <si>
    <t>1570767250171</t>
  </si>
  <si>
    <t>-Lqt0ZE-1rDTSfX3Qi5U</t>
  </si>
  <si>
    <t>1570767257361</t>
  </si>
  <si>
    <t>-Lqt0_n-Y08BxI8m9fHV</t>
  </si>
  <si>
    <t>1570767263552</t>
  </si>
  <si>
    <t>-Lqt0bW-24lClbc2hf0_</t>
  </si>
  <si>
    <t>1570767270792</t>
  </si>
  <si>
    <t>-Lqt0dIz9qafwiKfFAJH</t>
  </si>
  <si>
    <t>1570767278002</t>
  </si>
  <si>
    <t>-Lqt0f1A2yLbpZ8jaM-d</t>
  </si>
  <si>
    <t>1570767285191</t>
  </si>
  <si>
    <t>-Lqt0gZux-hAYguPQ1Sj</t>
  </si>
  <si>
    <t>1570767291392</t>
  </si>
  <si>
    <t>-Lqt0i2vlaWXAOVte7ID</t>
  </si>
  <si>
    <t>1570767297561</t>
  </si>
  <si>
    <t>-Lqt0jlm3ORJqzf8VLZA</t>
  </si>
  <si>
    <t>1570767304790</t>
  </si>
  <si>
    <t>-Lqt0lM-WN7wliuXGhP_</t>
  </si>
  <si>
    <t>1570767310971</t>
  </si>
  <si>
    <t>-Lqt0n2vthO681AGx0Zf</t>
  </si>
  <si>
    <t>1570767318161</t>
  </si>
  <si>
    <t>-Lqt0od9KFApt3n5NujV</t>
  </si>
  <si>
    <t>1570767324350</t>
  </si>
  <si>
    <t>-Lqt0qM-_w2Hs-0jTl1S</t>
  </si>
  <si>
    <t>1570767331591</t>
  </si>
  <si>
    <t>-Lqt0s8243GPwq3K5OWM</t>
  </si>
  <si>
    <t>1570767338801</t>
  </si>
  <si>
    <t>-Lqt0tqwLurSYfzp0KGH</t>
  </si>
  <si>
    <t>1570767345992</t>
  </si>
  <si>
    <t>-Lqt0vQ77yLRI3MzphpS</t>
  </si>
  <si>
    <t>1570767352192</t>
  </si>
  <si>
    <t>-Lqt0x7vnLPcwdySp7j-</t>
  </si>
  <si>
    <t>1570767359420</t>
  </si>
  <si>
    <t>-Lqt0yvvaugbgL5eIoq5</t>
  </si>
  <si>
    <t>1570767366622</t>
  </si>
  <si>
    <t>-Lqt1-f0A8X2Vdqt7AGw</t>
  </si>
  <si>
    <t>1570767373841</t>
  </si>
  <si>
    <t>-Lqt11YBR1oyjGEiYcSL</t>
  </si>
  <si>
    <t>1570767381053</t>
  </si>
  <si>
    <t>-Lqt13B-fmgz-8M54rrx</t>
  </si>
  <si>
    <t>1570767388233</t>
  </si>
  <si>
    <t>-Lqt14jy8o0GDXLSFMA-</t>
  </si>
  <si>
    <t>1570767394441</t>
  </si>
  <si>
    <t>-Lqt16m8PGjE9L08CbTz</t>
  </si>
  <si>
    <t>1570767402919</t>
  </si>
  <si>
    <t>-Lqt18UhPyc1CRmS9J6-</t>
  </si>
  <si>
    <t>1570767409901</t>
  </si>
  <si>
    <t>-Lqt1AGl-C9sPKUNiKuS</t>
  </si>
  <si>
    <t>1570767417131</t>
  </si>
  <si>
    <t>-Lqt1C06c2fOaMgMBXz8</t>
  </si>
  <si>
    <t>1570767424323</t>
  </si>
  <si>
    <t>-Lqt1Ds9OJu0BsbbpEKD</t>
  </si>
  <si>
    <t>1570767431543</t>
  </si>
  <si>
    <t>-Lqt1FVukSLSl4qvlsQm</t>
  </si>
  <si>
    <t>1570767438752</t>
  </si>
  <si>
    <t>-Lqt1HK2SvEMOVxLW7Wz</t>
  </si>
  <si>
    <t>1570767445962</t>
  </si>
  <si>
    <t>-Lqt1J0vjMPA20YCqXOe</t>
  </si>
  <si>
    <t>1570767453201</t>
  </si>
  <si>
    <t>-Lqt1KouNcynMbgbP2d2</t>
  </si>
  <si>
    <t>1570767460392</t>
  </si>
  <si>
    <t>-Lqt1MZAyfbCkIvTx6fR</t>
  </si>
  <si>
    <t>1570767467593</t>
  </si>
  <si>
    <t>-Lqt1O5tolP71uhQRwYY</t>
  </si>
  <si>
    <t>1570767473783</t>
  </si>
  <si>
    <t>-Lqt1Pb8N0HBiZGKrSDV</t>
  </si>
  <si>
    <t>1570767479971</t>
  </si>
  <si>
    <t>-Lqt1RKAv6BjpZJvX_D7</t>
  </si>
  <si>
    <t>1570767487184</t>
  </si>
  <si>
    <t>-Lqt1St8xmzQAhxIyU4-</t>
  </si>
  <si>
    <t>1570767493371</t>
  </si>
  <si>
    <t>-Lqt1Ub9knpfQlKnHMoS</t>
  </si>
  <si>
    <t>1570767500564</t>
  </si>
  <si>
    <t>-Lqt1WA971NdlR6Ajg1t</t>
  </si>
  <si>
    <t>1570767506771</t>
  </si>
  <si>
    <t>-Lqt1Xt1du3DMQhmHjwB</t>
  </si>
  <si>
    <t>1570767514011</t>
  </si>
  <si>
    <t>-Lqt1ZglronHdtAtR6Lm</t>
  </si>
  <si>
    <t>1570767521192</t>
  </si>
  <si>
    <t>-Lqt1atGlsqMZS8ZsvTf</t>
  </si>
  <si>
    <t>1570767528395</t>
  </si>
  <si>
    <t>-Lqt1cR8Ob51iodkvfJd</t>
  </si>
  <si>
    <t>1570767536652</t>
  </si>
  <si>
    <t>-Lqt1dtvoIYvxAIEGcEH</t>
  </si>
  <si>
    <t>1570767542801</t>
  </si>
  <si>
    <t>-Lqt1fTYCbPPxSp7tr4b</t>
  </si>
  <si>
    <t>1570767548993</t>
  </si>
  <si>
    <t>-Lqt1hC1lQshcY62HyFW</t>
  </si>
  <si>
    <t>1570767556241</t>
  </si>
  <si>
    <t>-Lqt1j-A8Q82JJaUDLbW</t>
  </si>
  <si>
    <t>1570767563453</t>
  </si>
  <si>
    <t>-Lqt1ki9ANdfyJFAGtbe</t>
  </si>
  <si>
    <t>1570767570633</t>
  </si>
  <si>
    <t>-Lqt1mWDBatIeaEspjLd</t>
  </si>
  <si>
    <t>1570767577872</t>
  </si>
  <si>
    <t>-Lqt1oE1eluLI0LXrwl5</t>
  </si>
  <si>
    <t>1570767585102</t>
  </si>
  <si>
    <t>-Lqt1plvj7orgh44AL6x</t>
  </si>
  <si>
    <t>1570767591273</t>
  </si>
  <si>
    <t>-Lqt1rW232tcENhTyADO</t>
  </si>
  <si>
    <t>1570767598471</t>
  </si>
  <si>
    <t>-Lqt1tKPq65VZLFzZL5J</t>
  </si>
  <si>
    <t>1570767605703</t>
  </si>
  <si>
    <t>-Lqt1v19gmsuahJwdOzY</t>
  </si>
  <si>
    <t>1570767612883</t>
  </si>
  <si>
    <t>-Lqt1wp2kMCepcPq9e5C</t>
  </si>
  <si>
    <t>1570767620132</t>
  </si>
  <si>
    <t>-Lqt1yY06RgbhOa488hw</t>
  </si>
  <si>
    <t>1570767627343</t>
  </si>
  <si>
    <t>-Lqt2-Pyet1Bth5Vzl1W</t>
  </si>
  <si>
    <t>1570767633523</t>
  </si>
  <si>
    <t>-Lqt211j5Rg_yjxsIpQN</t>
  </si>
  <si>
    <t>1570767641759</t>
  </si>
  <si>
    <t>-Lqt22arjL1vrrcT8nsH</t>
  </si>
  <si>
    <t>1570767647957</t>
  </si>
  <si>
    <t>-Lqt24Jr7iXrRX6U62u5</t>
  </si>
  <si>
    <t>1570767655139</t>
  </si>
  <si>
    <t>-Lqt25sqOPHUFz46dZAq</t>
  </si>
  <si>
    <t>1570767661348</t>
  </si>
  <si>
    <t>-Lqt27b9jFD9CMCEpQec</t>
  </si>
  <si>
    <t>1570767668549</t>
  </si>
  <si>
    <t>-Lqt29OY7meBhnLVPGxq</t>
  </si>
  <si>
    <t>1570767675771</t>
  </si>
  <si>
    <t>-Lqt2B85NpyPniY4rHXk</t>
  </si>
  <si>
    <t>1570767682958</t>
  </si>
  <si>
    <t>-Lqt2Ch0DeckPHrHSGfW</t>
  </si>
  <si>
    <t>1570767689148</t>
  </si>
  <si>
    <t>-Lqt2EOjtdE8gb4REUek</t>
  </si>
  <si>
    <t>1570767696388</t>
  </si>
  <si>
    <t>-Lqt2GBrbaWAuklCwJpd</t>
  </si>
  <si>
    <t>1570767703600</t>
  </si>
  <si>
    <t>-Lqt2HutI4VBcn5YzppE</t>
  </si>
  <si>
    <t>1570767710788</t>
  </si>
  <si>
    <t>-Lqt2Jj762HIbBoLhESw</t>
  </si>
  <si>
    <t>1570767718028</t>
  </si>
  <si>
    <t>-Lqt2LWw3GcS5jo381ju</t>
  </si>
  <si>
    <t>1570767725289</t>
  </si>
  <si>
    <t>-Lqt2NDui8LKzeYsY93r</t>
  </si>
  <si>
    <t>1570767732452</t>
  </si>
  <si>
    <t>-Lqt2Owul_NIBOals15e</t>
  </si>
  <si>
    <t>1570767739637</t>
  </si>
  <si>
    <t>-Lqt2QXlS6bmsvskwT1q</t>
  </si>
  <si>
    <t>1570767745848</t>
  </si>
  <si>
    <t>-Lqt2SDsE_5Hsz6ubcD-</t>
  </si>
  <si>
    <t>1570767753038</t>
  </si>
  <si>
    <t>-Lqt2TmsrH9vwoY_W06l</t>
  </si>
  <si>
    <t>1570767759228</t>
  </si>
  <si>
    <t>-Lqt2VVsqegO3OrO1GPF</t>
  </si>
  <si>
    <t>1570767766478</t>
  </si>
  <si>
    <t>-Lqt2XK9CtemgePA4r2k</t>
  </si>
  <si>
    <t>1570767773669</t>
  </si>
  <si>
    <t>-Lqt2Z10HJiulyFs0VZQ</t>
  </si>
  <si>
    <t>1570767780868</t>
  </si>
  <si>
    <t>-Lqt2_q9NHhxdvqMrlg9</t>
  </si>
  <si>
    <t>1570767788107</t>
  </si>
  <si>
    <t>-Lqt2bZ5rCGvxIowRKHP</t>
  </si>
  <si>
    <t>1570767795279</t>
  </si>
  <si>
    <t>-Lqt2d5rbO6Nrgdnqyzz</t>
  </si>
  <si>
    <t>1570767801470</t>
  </si>
  <si>
    <t>-Lqt2eqP4QEzd7OGqrs9</t>
  </si>
  <si>
    <t>1570767808719</t>
  </si>
  <si>
    <t>-Lqt2gbtD-hUcubdxU79</t>
  </si>
  <si>
    <t>1570767815919</t>
  </si>
  <si>
    <t>-Lqt2iKswtyAKNFpD6p1</t>
  </si>
  <si>
    <t>1570767823110</t>
  </si>
  <si>
    <t>-Lqt2jv8TleyRemPNmjh</t>
  </si>
  <si>
    <t>1570767829309</t>
  </si>
  <si>
    <t>-Lqt2lcW3kSanxwlym0Q</t>
  </si>
  <si>
    <t>1570767836529</t>
  </si>
  <si>
    <t>-Lqt2nPssBg_a-kBh10G</t>
  </si>
  <si>
    <t>1570767843749</t>
  </si>
  <si>
    <t>-Lqt2p7tJlW52dkwR28P</t>
  </si>
  <si>
    <t>1570767850959</t>
  </si>
  <si>
    <t>-Lqt2qvubUzDqh_ftIBo</t>
  </si>
  <si>
    <t>1570767858169</t>
  </si>
  <si>
    <t>-Lqt2tRXTnIpVVKX8dk_</t>
  </si>
  <si>
    <t>1570767865358</t>
  </si>
  <si>
    <t>-Lqt2v8tA8Z11sEPJqfk</t>
  </si>
  <si>
    <t>1570767875659</t>
  </si>
  <si>
    <t>-Lqt2wiqpViHl6PUj4vg</t>
  </si>
  <si>
    <t>1570767881870</t>
  </si>
  <si>
    <t>-Lqt2yBtyhpMeMIMNnQj</t>
  </si>
  <si>
    <t>1570767888029</t>
  </si>
  <si>
    <t>-Lqt3-0G8BSRR3Y9cw3D</t>
  </si>
  <si>
    <t>1570767895270</t>
  </si>
  <si>
    <t>-Lqt30j9hMokj4RP5ukZ</t>
  </si>
  <si>
    <t>1570767902480</t>
  </si>
  <si>
    <t>-Lqt32XHbOiD3cgwGh-X</t>
  </si>
  <si>
    <t>1570767909690</t>
  </si>
  <si>
    <t>-Lqt34F8UruhYgUR9akU</t>
  </si>
  <si>
    <t>1570767916882</t>
  </si>
  <si>
    <t>-Lqt35mvOfnapdovJTpy</t>
  </si>
  <si>
    <t>1570767923080</t>
  </si>
  <si>
    <t>-Lqt37XAWFFm-owP7Dp7</t>
  </si>
  <si>
    <t>1570767930310</t>
  </si>
  <si>
    <t>-Lqt39biEDazCWcgNK5Z</t>
  </si>
  <si>
    <t>1570767938951</t>
  </si>
  <si>
    <t>-Lqt3BFuCAxNUrYSqp3i</t>
  </si>
  <si>
    <t>1570767945729</t>
  </si>
  <si>
    <t>-Lqt3CotHRT9-i_jVhGw</t>
  </si>
  <si>
    <t>1570767951940</t>
  </si>
  <si>
    <t>-Lqt3EXsQ_begTHv8Gj2</t>
  </si>
  <si>
    <t>1570767959176</t>
  </si>
  <si>
    <t>-Lqt3G5sUBe_4XQ4DoNH</t>
  </si>
  <si>
    <t>1570767965340</t>
  </si>
  <si>
    <t>-Lqt3HotAYEGJ59GvI8o</t>
  </si>
  <si>
    <t>1570767972549</t>
  </si>
  <si>
    <t>-Lqt3JbupulSowP0t-EG</t>
  </si>
  <si>
    <t>1570767979770</t>
  </si>
  <si>
    <t>-Lqt3LL4bZxr6E9EIYCK</t>
  </si>
  <si>
    <t>1570767986949</t>
  </si>
  <si>
    <t>-Lqt3N46g0aFXfft-i6o</t>
  </si>
  <si>
    <t>1570767993149</t>
  </si>
  <si>
    <t>-Lqt3Obuenp-YQ5LDMKr</t>
  </si>
  <si>
    <t>1570768000369</t>
  </si>
  <si>
    <t>-Lqt3QM7vU_owZj89mQy</t>
  </si>
  <si>
    <t>1570768007589</t>
  </si>
  <si>
    <t>-Lqt3RtraXE4WMR_KAGV</t>
  </si>
  <si>
    <t>1570768013769</t>
  </si>
  <si>
    <t>-Lqt3Th-NP8dfNJoSzzG</t>
  </si>
  <si>
    <t>1570768020979</t>
  </si>
  <si>
    <t>-Lqt3VQ2u2ufaEt7UztB</t>
  </si>
  <si>
    <t>1570768028201</t>
  </si>
  <si>
    <t>-Lqt3XCz2diq98bvFIlA</t>
  </si>
  <si>
    <t>1570768035411</t>
  </si>
  <si>
    <t>-Lqt3YvsvuHfZB5yggw8</t>
  </si>
  <si>
    <t>1570768042631</t>
  </si>
  <si>
    <t>-Lqt3a1siO0EurUXRNyg</t>
  </si>
  <si>
    <t>1570768051053</t>
  </si>
  <si>
    <t>-Lqt3bfsH_lfIUkt-hS_</t>
  </si>
  <si>
    <t>1570768058080</t>
  </si>
  <si>
    <t>-Lqt3dEr0bjvNvE2mLTI</t>
  </si>
  <si>
    <t>1570768064260</t>
  </si>
  <si>
    <t>-Lqt3ez9cyBGSWpIiQGQ</t>
  </si>
  <si>
    <t>1570768071440</t>
  </si>
  <si>
    <t>-Lqt3gm5NqlZx6lfYtfs</t>
  </si>
  <si>
    <t>1570768078690</t>
  </si>
  <si>
    <t>-Lqt3iTv2GUe1hsI7jZx</t>
  </si>
  <si>
    <t>1570768085901</t>
  </si>
  <si>
    <t>-Lqt3k1kZjAHqwMT6L5M</t>
  </si>
  <si>
    <t>1570768092081</t>
  </si>
  <si>
    <t>-Lqt3lWtZ3v3mZ_AJa_K</t>
  </si>
  <si>
    <t>1570768098260</t>
  </si>
  <si>
    <t>-Lqt3nYtoCyA_A7Aoazt</t>
  </si>
  <si>
    <t>1570768106530</t>
  </si>
  <si>
    <t>-Lqt3pGuYd6b4g_QqGuo</t>
  </si>
  <si>
    <t>1570768113730</t>
  </si>
  <si>
    <t>-Lqt3qqy0_2-nzz3YKIr</t>
  </si>
  <si>
    <t>1570768119910</t>
  </si>
  <si>
    <t>-Lqt3s_7ZrcimFCvQBYq</t>
  </si>
  <si>
    <t>1570768127119</t>
  </si>
  <si>
    <t>-Lqt3uQmL9ImPfqqjv0x</t>
  </si>
  <si>
    <t>1570768134329</t>
  </si>
  <si>
    <t>-Lqt3w3sCfmxDz9Ggttp</t>
  </si>
  <si>
    <t>1570768141520</t>
  </si>
  <si>
    <t>-Lqt3xcswMRW2MsrvBMJ</t>
  </si>
  <si>
    <t>1570768147701</t>
  </si>
  <si>
    <t>-Lqt3zMy003iBgGBt9Q-</t>
  </si>
  <si>
    <t>1570768154959</t>
  </si>
  <si>
    <t>-Lqt40TygL2KXNElfOSV</t>
  </si>
  <si>
    <t>1570768163599</t>
  </si>
  <si>
    <t>-Lqt42ReF3CNduHL-f9e</t>
  </si>
  <si>
    <t>1570768170398</t>
  </si>
  <si>
    <t>-Lqt4498kHv96GXYfUZt</t>
  </si>
  <si>
    <t>1570768178629</t>
  </si>
  <si>
    <t>-Lqt45h9q4yK2kjYAdLD</t>
  </si>
  <si>
    <t>1570768184830</t>
  </si>
  <si>
    <t>-Lqt47bwT6CuN45UxZxW</t>
  </si>
  <si>
    <t>1570768192041</t>
  </si>
  <si>
    <t>-Lqt49CyLskRyPoMnScR</t>
  </si>
  <si>
    <t>1570768199250</t>
  </si>
  <si>
    <t>-Lqt4Ax3o2_WxBWTsxrS</t>
  </si>
  <si>
    <t>1570768206488</t>
  </si>
  <si>
    <t>-Lqt4Cis6NEpQwK_zSgv</t>
  </si>
  <si>
    <t>1570768213679</t>
  </si>
  <si>
    <t>-Lqt4ERq6uJXJTJ1xfYJ</t>
  </si>
  <si>
    <t>1570768220870</t>
  </si>
  <si>
    <t>-Lqt4GG5Th0tqw04H8n9</t>
  </si>
  <si>
    <t>1570768228109</t>
  </si>
  <si>
    <t>-Lqt4Hz-kfcVydyPdQVC</t>
  </si>
  <si>
    <t>1570768235328</t>
  </si>
  <si>
    <t>-Lqt4JY7_wCi9Lm1eJTQ</t>
  </si>
  <si>
    <t>1570768241499</t>
  </si>
  <si>
    <t>-Lqt4LEsIg56EFxhwmb1</t>
  </si>
  <si>
    <t>1570768248720</t>
  </si>
  <si>
    <t>-Lqt4N360e5K5mPLzJPo</t>
  </si>
  <si>
    <t>1570768255940</t>
  </si>
  <si>
    <t>-Lqt4Ol3zNaekIGGnGpL</t>
  </si>
  <si>
    <t>1570768263120</t>
  </si>
  <si>
    <t>-Lqt4QYsoto29WL9eN4T</t>
  </si>
  <si>
    <t>1570768270360</t>
  </si>
  <si>
    <t>-Lqt4SGs2QHaOQvufNv9</t>
  </si>
  <si>
    <t>1570768277574</t>
  </si>
  <si>
    <t>-Lqt4Tq3phzc3VPemxtE</t>
  </si>
  <si>
    <t>1570768283750</t>
  </si>
  <si>
    <t>-Lqt4VYqsK0M8cf0e9pQ</t>
  </si>
  <si>
    <t>1570768290949</t>
  </si>
  <si>
    <t>-Lqt4X3-fxaejUTqfa0B</t>
  </si>
  <si>
    <t>1570768297119</t>
  </si>
  <si>
    <t>-Lqt4Yat1PF7JS8sQPNw</t>
  </si>
  <si>
    <t>1570768303349</t>
  </si>
  <si>
    <t>-Lqt4_L4hnPQoNU0NzRk</t>
  </si>
  <si>
    <t>1570768310562</t>
  </si>
  <si>
    <t>-Lqt4au-DuIl1SV0xBTW</t>
  </si>
  <si>
    <t>1570768316709</t>
  </si>
  <si>
    <t>-Lqt4casK0DRTXWvRi81</t>
  </si>
  <si>
    <t>1570768323922</t>
  </si>
  <si>
    <t>-Lqt4e9qQGHmiN_S9PL5</t>
  </si>
  <si>
    <t>1570768330120</t>
  </si>
  <si>
    <t>-Lqt4gDMAXHeAKMUrbkQ</t>
  </si>
  <si>
    <t>1570768337349</t>
  </si>
  <si>
    <t>-Lqt4hw4OdXi9erC0Ked</t>
  </si>
  <si>
    <t>1570768345592</t>
  </si>
  <si>
    <t>-Lqt4jeBmiyaAe1lkffU</t>
  </si>
  <si>
    <t>1570768352805</t>
  </si>
  <si>
    <t>-Lqt4lD123386498Buwp</t>
  </si>
  <si>
    <t>1570768358992</t>
  </si>
  <si>
    <t>-Lqt4mw97bj3HV11gLBp</t>
  </si>
  <si>
    <t>1570768366173</t>
  </si>
  <si>
    <t>-Lqt4oV2s478ge6dCqgs</t>
  </si>
  <si>
    <t>1570768372375</t>
  </si>
  <si>
    <t>-Lqt4qDBQIqzrGf4P1qu</t>
  </si>
  <si>
    <t>1570768379594</t>
  </si>
  <si>
    <t>-Lqt4s02SisVqrLk8gQ2</t>
  </si>
  <si>
    <t>1570768386854</t>
  </si>
  <si>
    <t>-Lqt4tjA0MjTgiJQzA1o</t>
  </si>
  <si>
    <t>1570768394004</t>
  </si>
  <si>
    <t>-Lqt4vIAO1LdnrECmKxk</t>
  </si>
  <si>
    <t>1570768400203</t>
  </si>
  <si>
    <t>-Lqt4x0ceZvY8Ik31VW-</t>
  </si>
  <si>
    <t>1570768407432</t>
  </si>
  <si>
    <t>-Lqt4yo1L-vZmSaMHuck</t>
  </si>
  <si>
    <t>1570768414641</t>
  </si>
  <si>
    <t>-Lqt5-X8MvHVnnCw5Kju</t>
  </si>
  <si>
    <t>1570768421834</t>
  </si>
  <si>
    <t>-Lqt51K-N1SS8fsvlWRg</t>
  </si>
  <si>
    <t>1570768429062</t>
  </si>
  <si>
    <t>-Lqt532BcSgL2gFY5sxi</t>
  </si>
  <si>
    <t>1570768436244</t>
  </si>
  <si>
    <t>-Lqt54b9f9rQMWyv-iCd</t>
  </si>
  <si>
    <t>1570768442405</t>
  </si>
  <si>
    <t>-Lqt56J3XFyl2L48YWlR</t>
  </si>
  <si>
    <t>1570768449690</t>
  </si>
  <si>
    <t>-Lqt588Hk1e6UZzMKtwS</t>
  </si>
  <si>
    <t>1570768456884</t>
  </si>
  <si>
    <t>-Lqt59q-JB8MRda4uyye</t>
  </si>
  <si>
    <t>1570768464073</t>
  </si>
  <si>
    <t>-Lqt5BK1Yyn99mwexyOf</t>
  </si>
  <si>
    <t>1570768470273</t>
  </si>
  <si>
    <t>-Lqt5CtA2FMOjEl5pXrx</t>
  </si>
  <si>
    <t>1570768476464</t>
  </si>
  <si>
    <t>-Lqt5EbA0vhppLBZHrk3</t>
  </si>
  <si>
    <t>1570768483676</t>
  </si>
  <si>
    <t>-Lqt5GADChClpHo-Y_CR</t>
  </si>
  <si>
    <t>1570768489853</t>
  </si>
  <si>
    <t>-Lqt5Ht-TFqiIj6fPblh</t>
  </si>
  <si>
    <t>1570768497044</t>
  </si>
  <si>
    <t>-Lqt5JMoG0dsFGQ3LmYW</t>
  </si>
  <si>
    <t>1570768503235</t>
  </si>
  <si>
    <t>-Lqt5Kw1LFduBUr5y5oH</t>
  </si>
  <si>
    <t>1570768509433</t>
  </si>
  <si>
    <t>-Lqt5MjJuJDrF8p6TI5J</t>
  </si>
  <si>
    <t>1570768516655</t>
  </si>
  <si>
    <t>-Lqt5OSB1TGbp6rJsaU0</t>
  </si>
  <si>
    <t>1570768523863</t>
  </si>
  <si>
    <t>-Lqt5QFBd0MjSiLf1gRt</t>
  </si>
  <si>
    <t>1570768531076</t>
  </si>
  <si>
    <t>-Lqt5Ry0w8_ICxpzQyTE</t>
  </si>
  <si>
    <t>1570768538294</t>
  </si>
  <si>
    <t>-Lqt5TlEguMJXH6-4Qko</t>
  </si>
  <si>
    <t>1570768545503</t>
  </si>
  <si>
    <t>-Lqt5VUCH5MhQtuFt_Js</t>
  </si>
  <si>
    <t>1570768552714</t>
  </si>
  <si>
    <t>-Lqt5XHBkEgE_3a1G5KY</t>
  </si>
  <si>
    <t>1570768559935</t>
  </si>
  <si>
    <t>-Lqt5ZIhXmiJ0RsK2iAr</t>
  </si>
  <si>
    <t>1570768567129</t>
  </si>
  <si>
    <t>-Lqt5a-vVCM6FunCjgBl</t>
  </si>
  <si>
    <t>1570768575384</t>
  </si>
  <si>
    <t>-Lqt5boDRtH_Oj8Ni5NT</t>
  </si>
  <si>
    <t>1570768582602</t>
  </si>
  <si>
    <t>-Lqt5dYClwPt10GcF1WY</t>
  </si>
  <si>
    <t>1570768589837</t>
  </si>
  <si>
    <t>-Lqt5fJw05gYtXclFVSg</t>
  </si>
  <si>
    <t>1570768597024</t>
  </si>
  <si>
    <t>-Lqt5h27CjhF_zIhJlbd</t>
  </si>
  <si>
    <t>1570768604233</t>
  </si>
  <si>
    <t>-Lqt5imxQJpiGsOBHuPI</t>
  </si>
  <si>
    <t>1570768611462</t>
  </si>
  <si>
    <t>-Lqt5kJw_XRnrO7w63C1</t>
  </si>
  <si>
    <t>1570768617632</t>
  </si>
  <si>
    <t>-Lqt5m6ykGq73dLf1L5U</t>
  </si>
  <si>
    <t>1570768624854</t>
  </si>
  <si>
    <t>-Lqt5npvPuTvPEFi53i8</t>
  </si>
  <si>
    <t>1570768632073</t>
  </si>
  <si>
    <t>-Lqt5pe2hxRg5gak8jD3</t>
  </si>
  <si>
    <t>1570768639273</t>
  </si>
  <si>
    <t>-Lqt5rLvHjPskC9uyPMr</t>
  </si>
  <si>
    <t>1570768646473</t>
  </si>
  <si>
    <t>-Lqt5sw1cgbE_tLSiAfV</t>
  </si>
  <si>
    <t>1570768652672</t>
  </si>
  <si>
    <t>-Lqt5ue0D2lbCFL2xXwa</t>
  </si>
  <si>
    <t>1570768659885</t>
  </si>
  <si>
    <t>-Lqt5wQu7MiBrFP4LmbM</t>
  </si>
  <si>
    <t>1570768667093</t>
  </si>
  <si>
    <t>-Lqt5y7lSoBQFK__DtVA</t>
  </si>
  <si>
    <t>1570768674314</t>
  </si>
  <si>
    <t>-Lqt5zy-p9kdsVaQYcFf</t>
  </si>
  <si>
    <t>1570768681523</t>
  </si>
  <si>
    <t>-Lqt60eu8uL4gkBfyIU-</t>
  </si>
  <si>
    <t>1570768688712</t>
  </si>
  <si>
    <t>-Lqt62F8bWf_Vvonh2Bj</t>
  </si>
  <si>
    <t>1570768694913</t>
  </si>
  <si>
    <t>-Lqt63wvVIvcVqFrxqOw</t>
  </si>
  <si>
    <t>1570768702134</t>
  </si>
  <si>
    <t>-Lqt65lAWk4aY5umxnl8</t>
  </si>
  <si>
    <t>1570768709342</t>
  </si>
  <si>
    <t>-Lqt67SuTL90tQHimkJg</t>
  </si>
  <si>
    <t>1570768716554</t>
  </si>
  <si>
    <t>-Lqt69G3WyG7Fnucq6T4</t>
  </si>
  <si>
    <t>1570768723802</t>
  </si>
  <si>
    <t>-Lqt6B-12H4CWSUIo0rS</t>
  </si>
  <si>
    <t>1570768730963</t>
  </si>
  <si>
    <t>-Lqt6CZ0g2tDNrhMT0hz</t>
  </si>
  <si>
    <t>1570768737172</t>
  </si>
  <si>
    <t>-Lqt6EHoNHWk5LsS4JVV</t>
  </si>
  <si>
    <t>1570768744392</t>
  </si>
  <si>
    <t>-Lqt6G2vDQ8AcFD_uqjq</t>
  </si>
  <si>
    <t>1570768751571</t>
  </si>
  <si>
    <t>-Lqt6Hn0vZk9kUMIklhI</t>
  </si>
  <si>
    <t>1570768758792</t>
  </si>
  <si>
    <t>-Lqt6JH1CK-bh167fAvN</t>
  </si>
  <si>
    <t>1570768764992</t>
  </si>
  <si>
    <t>-Lqt6KotpdP9wNxSxlMg</t>
  </si>
  <si>
    <t>1570768771174</t>
  </si>
  <si>
    <t>-Lqt6MXm6p60KYOWIy0x</t>
  </si>
  <si>
    <t>1570768778393</t>
  </si>
  <si>
    <t>-Lqt6O66vjIkMwiGnCEZ</t>
  </si>
  <si>
    <t>1570768784575</t>
  </si>
  <si>
    <t>-Lqt6PpzQ6fNreQ27WrC</t>
  </si>
  <si>
    <t>1570768791764</t>
  </si>
  <si>
    <t>-Lqt6RNt70XNH0zVA6Ue</t>
  </si>
  <si>
    <t>1570768797973</t>
  </si>
  <si>
    <t>-Lqt6TR-pq_Ma_tClyHW</t>
  </si>
  <si>
    <t>1570768806431</t>
  </si>
  <si>
    <t>-Lqt6V84GI1TdoAAzGTU</t>
  </si>
  <si>
    <t>1570768813421</t>
  </si>
  <si>
    <t>-Lqt6WqmtvFRk4ziMUul</t>
  </si>
  <si>
    <t>1570768820641</t>
  </si>
  <si>
    <t>-Lqt6YQzvDt3X1bqyejI</t>
  </si>
  <si>
    <t>1570768826822</t>
  </si>
  <si>
    <t>-Lqt6Zus5pLu-kXx2Hko</t>
  </si>
  <si>
    <t>1570768833001</t>
  </si>
  <si>
    <t>-Lqt6amxVNvr7cPan-kC</t>
  </si>
  <si>
    <t>1570768840802</t>
  </si>
  <si>
    <t>-Lqt6cR-hEJUuEJYh1Dh</t>
  </si>
  <si>
    <t>1570768847431</t>
  </si>
  <si>
    <t>-Lqt6dyuDOG0Xetk3jlg</t>
  </si>
  <si>
    <t>1570768853611</t>
  </si>
  <si>
    <t>-Lqt6fguXbgTuNePwULI</t>
  </si>
  <si>
    <t>1570768860831</t>
  </si>
  <si>
    <t>-Lqt6hR7aPdLZ-61EdXQ</t>
  </si>
  <si>
    <t>1570768868041</t>
  </si>
  <si>
    <t>-Lqt6iwFA_ItSubrKC-A</t>
  </si>
  <si>
    <t>1570768874232</t>
  </si>
  <si>
    <t>-Lqt6kRdSnE5vsW-0z57</t>
  </si>
  <si>
    <t>1570768880391</t>
  </si>
  <si>
    <t>-Lqt6mFuH7DCKUyvStOd</t>
  </si>
  <si>
    <t>1570768887621</t>
  </si>
  <si>
    <t>-Lqt6nyvD53NM3CH1juQ</t>
  </si>
  <si>
    <t>1570768894813</t>
  </si>
  <si>
    <t>-Lqt6pltZH7lvGnISvlv</t>
  </si>
  <si>
    <t>1570768902051</t>
  </si>
  <si>
    <t>-Lqt6rUuj7Hyjt2FT_h8</t>
  </si>
  <si>
    <t>1570768909263</t>
  </si>
  <si>
    <t>-Lqt6t3t6MO-Q_7CUGRD</t>
  </si>
  <si>
    <t>1570768915441</t>
  </si>
  <si>
    <t>-Lqt6uXtgoYC5fFjLUSY</t>
  </si>
  <si>
    <t>1570768921640</t>
  </si>
  <si>
    <t>-Lqt6wM8SpV3ug43Qj0n</t>
  </si>
  <si>
    <t>1570768928861</t>
  </si>
  <si>
    <t>-Lqt6y31a7PFA8UElpU5</t>
  </si>
  <si>
    <t>1570768936083</t>
  </si>
  <si>
    <t>-Lqt6znAmrP-hzeyUSDX</t>
  </si>
  <si>
    <t>1570768943272</t>
  </si>
  <si>
    <t>-Lqt70M8oFVeZASArRRL</t>
  </si>
  <si>
    <t>1570768949463</t>
  </si>
  <si>
    <t>-Lqt724diLYi5LLUrfzo</t>
  </si>
  <si>
    <t>1570768956641</t>
  </si>
  <si>
    <t>-Lqt73bu8bd1si4-lwVw</t>
  </si>
  <si>
    <t>1570768962854</t>
  </si>
  <si>
    <t>-Lqt75KtGknGd7HVqQx8</t>
  </si>
  <si>
    <t>1570768970051</t>
  </si>
  <si>
    <t>-Lqt76qNEqSE5ODwTEnK</t>
  </si>
  <si>
    <t>1570768976252</t>
  </si>
  <si>
    <t>-Lqt78P-qs4B8GMcwNzQ</t>
  </si>
  <si>
    <t>1570768982432</t>
  </si>
  <si>
    <t>-Lqt79rtvb4EqkJd0AdT</t>
  </si>
  <si>
    <t>1570768988621</t>
  </si>
  <si>
    <t>-Lqt7BN8CxXYMm1amEhg</t>
  </si>
  <si>
    <t>1570768994791</t>
  </si>
  <si>
    <t>-Lqt7CwA9PVC8ufomCav</t>
  </si>
  <si>
    <t>1570769000982</t>
  </si>
  <si>
    <t>-Lqt7EhtGc-A1sw195hy</t>
  </si>
  <si>
    <t>1570769008193</t>
  </si>
  <si>
    <t>-Lqt7GS71vcHf8ndXylX</t>
  </si>
  <si>
    <t>1570769015412</t>
  </si>
  <si>
    <t>-Lqt7IDu9IiLrPpRCb7z</t>
  </si>
  <si>
    <t>1570769022621</t>
  </si>
  <si>
    <t>-Lqt7KGy1Zj9R9QXgrUH</t>
  </si>
  <si>
    <t>1570769029842</t>
  </si>
  <si>
    <t>-Lqt7LwE0uf0f67W3Eo6</t>
  </si>
  <si>
    <t>1570769038069</t>
  </si>
  <si>
    <t>-Lqt7Nb21Uu-rd2caPGv</t>
  </si>
  <si>
    <t>1570769044229</t>
  </si>
  <si>
    <t>-Lqt7PDEQUWANa2NSARU</t>
  </si>
  <si>
    <t>1570769051469</t>
  </si>
  <si>
    <t>-Lqt7QjsZyIVZFMPkZS3</t>
  </si>
  <si>
    <t>1570769057647</t>
  </si>
  <si>
    <t>-Lqt7SYw4JGJGWbbbSQ_</t>
  </si>
  <si>
    <t>1570769064859</t>
  </si>
  <si>
    <t>-Lqt7UEbVy3orcNYb7Ke</t>
  </si>
  <si>
    <t>1570769072069</t>
  </si>
  <si>
    <t>-Lqt7W2pVjIeg_yKoxKw</t>
  </si>
  <si>
    <t>1570769079290</t>
  </si>
  <si>
    <t>-Lqt7XXkK4v3VZeJ9UGl</t>
  </si>
  <si>
    <t>1570769085468</t>
  </si>
  <si>
    <t>-Lqt7Z0zmvZcMtEDfnmG</t>
  </si>
  <si>
    <t>1570769091619</t>
  </si>
  <si>
    <t>-Lqt7_a0HJN-AlDWEdh3</t>
  </si>
  <si>
    <t>1570769097831</t>
  </si>
  <si>
    <t>-Lqt7bHdLQ-X_4OV4vw6</t>
  </si>
  <si>
    <t>1570769105029</t>
  </si>
  <si>
    <t>-Lqt7crqHDeYylw-QtHG</t>
  </si>
  <si>
    <t>1570769111511</t>
  </si>
  <si>
    <t>-Lqt7eb7SNlptsoh7SZv</t>
  </si>
  <si>
    <t>1570769118438</t>
  </si>
  <si>
    <t>-Lqt7gNrFKvMlQpneJAp</t>
  </si>
  <si>
    <t>1570769125649</t>
  </si>
  <si>
    <t>-Lqt7hpCi1BKI-U-Cwj_</t>
  </si>
  <si>
    <t>1570769131830</t>
  </si>
  <si>
    <t>-Lqt7jKaeZk-U4ikPmSc</t>
  </si>
  <si>
    <t>1570769137998</t>
  </si>
  <si>
    <t>-Lqt7kvoqNmEwaruTd-6</t>
  </si>
  <si>
    <t>1570769144199</t>
  </si>
  <si>
    <t>-Lqt7mcsFbbTyssnEswW</t>
  </si>
  <si>
    <t>1570769151410</t>
  </si>
  <si>
    <t>-Lqt7oN5MEd6tKxBxmAb</t>
  </si>
  <si>
    <t>1570769158629</t>
  </si>
  <si>
    <t>-Lqt7pw6gYjUTZ5UIbuz</t>
  </si>
  <si>
    <t>1570769164809</t>
  </si>
  <si>
    <t>-Lqt7rPx3Fibf5preasR</t>
  </si>
  <si>
    <t>1570769170959</t>
  </si>
  <si>
    <t>-Lqt7sywfINGMs32tGXs</t>
  </si>
  <si>
    <t>1570769177170</t>
  </si>
  <si>
    <t>-Lqt7ugx-RjJsKGrV2u_</t>
  </si>
  <si>
    <t>1570769184399</t>
  </si>
  <si>
    <t>-Lqt7wEsKFZPA0LZxANk</t>
  </si>
  <si>
    <t>1570769190572</t>
  </si>
  <si>
    <t>-Lqt7xyoqmz-KLD_WYOA</t>
  </si>
  <si>
    <t>1570769197778</t>
  </si>
  <si>
    <t>-Lqt7zRkVTZzV0UkGF_Y</t>
  </si>
  <si>
    <t>1570769203938</t>
  </si>
  <si>
    <t>-Lqt80DJPkJA-C3iP6qC</t>
  </si>
  <si>
    <t>1570769210154</t>
  </si>
  <si>
    <t>-Lqt81isbYFMeY0YWMj1</t>
  </si>
  <si>
    <t>1570769217348</t>
  </si>
  <si>
    <t>-Lqt83Xw5dcWes50wMjh</t>
  </si>
  <si>
    <t>1570769224571</t>
  </si>
  <si>
    <t>-Lqt850x3mJI1f6lK43T</t>
  </si>
  <si>
    <t>1570769230749</t>
  </si>
  <si>
    <t>-Lqt86UiZdqCcVM3xpaV</t>
  </si>
  <si>
    <t>1570769236939</t>
  </si>
  <si>
    <t>-Lqt88JVeXHNYvnq82Xs</t>
  </si>
  <si>
    <t>1570769243120</t>
  </si>
  <si>
    <t>-Lqt8AMg6VCHYLhBz2fg</t>
  </si>
  <si>
    <t>1570769251369</t>
  </si>
  <si>
    <t>-Lqt8C3A_x88w5L4Evam</t>
  </si>
  <si>
    <t>1570769259590</t>
  </si>
  <si>
    <t>-Lqt8DatJhAwHkNVh_h9</t>
  </si>
  <si>
    <t>1570769265781</t>
  </si>
  <si>
    <t>-Lqt8FITx2L87NyT-I89</t>
  </si>
  <si>
    <t>1570769273022</t>
  </si>
  <si>
    <t>-Lqt8Gnt3YeQsEv5-b6U</t>
  </si>
  <si>
    <t>1570769279191</t>
  </si>
  <si>
    <t>-Lqt8Ih9ngpruPx1EI34</t>
  </si>
  <si>
    <t>1570769286570</t>
  </si>
  <si>
    <t>-Lqt8KOsUSo7c-K4xLS9</t>
  </si>
  <si>
    <t>1570769293609</t>
  </si>
  <si>
    <t>-Lqt8M6uc-E3ax6uTU2B</t>
  </si>
  <si>
    <t>1570769300829</t>
  </si>
  <si>
    <t>-Lqt8Nus5LiYK9mtDhAI</t>
  </si>
  <si>
    <t>1570769308040</t>
  </si>
  <si>
    <t>-Lqt8Pcz1l9WOkBr14eo</t>
  </si>
  <si>
    <t>1570769315250</t>
  </si>
  <si>
    <t>-Lqt8RN8wGSpSc0Kvdn6</t>
  </si>
  <si>
    <t>1570769322460</t>
  </si>
  <si>
    <t>-Lqt8SutAPc8YkIy4pQ2</t>
  </si>
  <si>
    <t>1570769328653</t>
  </si>
  <si>
    <t>-Lqt8UjDPPunaKhhkCwD</t>
  </si>
  <si>
    <t>1570769335861</t>
  </si>
  <si>
    <t>-Lqt8WR1zNcFDDu-5JOB</t>
  </si>
  <si>
    <t>1570769343071</t>
  </si>
  <si>
    <t>-Lqt8YDlauoO12cYDrIj</t>
  </si>
  <si>
    <t>1570769350281</t>
  </si>
  <si>
    <t>-Lqt8ZhtTeYMiOCac1AB</t>
  </si>
  <si>
    <t>1570769356429</t>
  </si>
  <si>
    <t>-Lqt8aR2mcumrIyuIQJW</t>
  </si>
  <si>
    <t>1570769363681</t>
  </si>
  <si>
    <t>-Lqt8c-1kjJxgq1Nf3pd</t>
  </si>
  <si>
    <t>1570769369860</t>
  </si>
  <si>
    <t>-Lqt8drsTsLtumBeKLA6</t>
  </si>
  <si>
    <t>1570769377577</t>
  </si>
  <si>
    <t>-Lqt8fW0Br6JWI0_ozFL</t>
  </si>
  <si>
    <t>1570769384290</t>
  </si>
  <si>
    <t>-Lqt8hDtvhNnjo2_jSAi</t>
  </si>
  <si>
    <t>1570769391500</t>
  </si>
  <si>
    <t>-Lqt8j1y2RtDJZ43Hhpk</t>
  </si>
  <si>
    <t>1570769398682</t>
  </si>
  <si>
    <t>-Lqt8kUdVfoGA67LZBBl</t>
  </si>
  <si>
    <t>1570769404870</t>
  </si>
  <si>
    <t>-Lqt8mKH-YsnDJFGTPYo</t>
  </si>
  <si>
    <t>1570769412110</t>
  </si>
  <si>
    <t>-Lqt8o0tqd5JLY7rkuRe</t>
  </si>
  <si>
    <t>1570769419329</t>
  </si>
  <si>
    <t>-Lqt8pp0XroHcpkYUZA4</t>
  </si>
  <si>
    <t>1570769426529</t>
  </si>
  <si>
    <t>-Lqt8rZ7KauTuoZFTaQS</t>
  </si>
  <si>
    <t>1570769433740</t>
  </si>
  <si>
    <t>-Lqt8t6yGHuoMckWm-j1</t>
  </si>
  <si>
    <t>1570769439930</t>
  </si>
  <si>
    <t>-Lqt8ub7LxuHX_2To69W</t>
  </si>
  <si>
    <t>1570769446111</t>
  </si>
  <si>
    <t>-Lqt8w4z0TAVk4eSM2t3</t>
  </si>
  <si>
    <t>1570769452269</t>
  </si>
  <si>
    <t>-Lqt8x_-L7tOh8H2GPWj</t>
  </si>
  <si>
    <t>1570769458479</t>
  </si>
  <si>
    <t>-Lqt8z6t3B8JO7VOu7sk</t>
  </si>
  <si>
    <t>1570769464662</t>
  </si>
  <si>
    <t>-Lqt9-qzuh0YaYqa0BoK</t>
  </si>
  <si>
    <t>1570769471879</t>
  </si>
  <si>
    <t>-Lqt91MxbGcyucOgOaBk</t>
  </si>
  <si>
    <t>1570769478050</t>
  </si>
  <si>
    <t>-Lqt936rKp0YOY_7lLyc</t>
  </si>
  <si>
    <t>1570769485129</t>
  </si>
  <si>
    <t>-Lqt94g-E0Zj3H82mo_w</t>
  </si>
  <si>
    <t>1570769491449</t>
  </si>
  <si>
    <t>-Lqt96OaCHZGVxaRCzOM</t>
  </si>
  <si>
    <t>1570769498648</t>
  </si>
  <si>
    <t>-Lqt97z5PH6Zv7IGM4I2</t>
  </si>
  <si>
    <t>1570769504848</t>
  </si>
  <si>
    <t>-Lqt99frA04sc8nplRUL</t>
  </si>
  <si>
    <t>1570769512102</t>
  </si>
  <si>
    <t>-Lqt9B9rrMO7BgZQW2a9</t>
  </si>
  <si>
    <t>1570769518240</t>
  </si>
  <si>
    <t>-Lqt9CiqFvsd7t2-6XDx</t>
  </si>
  <si>
    <t>1570769524430</t>
  </si>
  <si>
    <t>-Lqt9ED-kuU3QckpMmIE</t>
  </si>
  <si>
    <t>1570769530609</t>
  </si>
  <si>
    <t>-Lqt9G-r-EhITH2TVZyX</t>
  </si>
  <si>
    <t>1570769537820</t>
  </si>
  <si>
    <t>-Lqt9HW7M_jJr21rP8Xc</t>
  </si>
  <si>
    <t>1570769544017</t>
  </si>
  <si>
    <t>-Lqt9JE5otR4EQAOw56y</t>
  </si>
  <si>
    <t>1570769551219</t>
  </si>
  <si>
    <t>-Lqt9KmwQaHRcKCjej-6</t>
  </si>
  <si>
    <t>1570769557408</t>
  </si>
  <si>
    <t>-Lqt9MFbCLXMMLxx50dR</t>
  </si>
  <si>
    <t>1570769563550</t>
  </si>
  <si>
    <t>-Lqt9NokHzBHgKiCoQY2</t>
  </si>
  <si>
    <t>1570769569769</t>
  </si>
  <si>
    <t>-Lqt9PG4JvlTjK6qiTeK</t>
  </si>
  <si>
    <t>1570769575950</t>
  </si>
  <si>
    <t>-Lqt9QoE4ZrZba7Avktv</t>
  </si>
  <si>
    <t>1570769582131</t>
  </si>
  <si>
    <t>-Lqt9SaypU8WxJ5-Q3mQ</t>
  </si>
  <si>
    <t>1570769589350</t>
  </si>
  <si>
    <t>-Lqt9UHctDZYJ8ToUyGN</t>
  </si>
  <si>
    <t>1570769596559</t>
  </si>
  <si>
    <t>-Lqt9W5r8cHY46c7gVZq</t>
  </si>
  <si>
    <t>1570769603793</t>
  </si>
  <si>
    <t>-Lqt9X_rcCUgzbV3FBmt</t>
  </si>
  <si>
    <t>1570769609950</t>
  </si>
  <si>
    <t>-Lqt9ZA3QC7XY--MHkf-</t>
  </si>
  <si>
    <t>1570769616150</t>
  </si>
  <si>
    <t>-Lqt9_t617H7Ydfh057a</t>
  </si>
  <si>
    <t>1570769623349</t>
  </si>
  <si>
    <t>-Lqt9bKcXqMk3pIkyU-6</t>
  </si>
  <si>
    <t>1570769629510</t>
  </si>
  <si>
    <t>-Lqt9cvzRFgceoSyo6Iq</t>
  </si>
  <si>
    <t>1570769635709</t>
  </si>
  <si>
    <t>-Lqt9ee_FY75PCy7BPD5</t>
  </si>
  <si>
    <t>1570769642939</t>
  </si>
  <si>
    <t>-Lqt9gQsUK3vuFGKpNI-</t>
  </si>
  <si>
    <t>1570769650140</t>
  </si>
  <si>
    <t>-Lqt9hsMBBuNVqd8Qy41</t>
  </si>
  <si>
    <t>1570769656320</t>
  </si>
  <si>
    <t>-Lqt9jNjIggsixT4IrKI</t>
  </si>
  <si>
    <t>1570769662478</t>
  </si>
  <si>
    <t>-Lqt9l8-FxjDiBJ5rUpm</t>
  </si>
  <si>
    <t>1570769669501</t>
  </si>
  <si>
    <t>-Lqt9mecZNtIkHAp1dIG</t>
  </si>
  <si>
    <t>1570769675911</t>
  </si>
  <si>
    <t>-Lqt9oPzI82V9HQzzr52</t>
  </si>
  <si>
    <t>1570769683119</t>
  </si>
  <si>
    <t>-Lqt9pvCHI-A4pVxy1SW</t>
  </si>
  <si>
    <t>1570769689260</t>
  </si>
  <si>
    <t>-Lqt9rRsB88nk3121gSy</t>
  </si>
  <si>
    <t>1570769695460</t>
  </si>
  <si>
    <t>-Lqt9tFxU8VVMrxaMzCE</t>
  </si>
  <si>
    <t>1570769701671</t>
  </si>
  <si>
    <t>-Lqt9uhkK-tuR-TWtOQf</t>
  </si>
  <si>
    <t>1570769708878</t>
  </si>
  <si>
    <t>-Lqt9wWscUvuIofL4bbA</t>
  </si>
  <si>
    <t>1570769716088</t>
  </si>
  <si>
    <t>-Lqt9yDbLdFL4oRqQtDC</t>
  </si>
  <si>
    <t>1570769723279</t>
  </si>
  <si>
    <t>-Lqt9zp48w0UcRJuVItj</t>
  </si>
  <si>
    <t>1570769729469</t>
  </si>
  <si>
    <t>-LqtA0Y5MzCsid6hKSJE</t>
  </si>
  <si>
    <t>1570769736713</t>
  </si>
  <si>
    <t>-LqtA2MSdvYUINZugAaw</t>
  </si>
  <si>
    <t>1570769742879</t>
  </si>
  <si>
    <t>-LqtA42vbG5NUDsuToyZ</t>
  </si>
  <si>
    <t>1570769751107</t>
  </si>
  <si>
    <t>-LqtA5ap7vfxRVB0A7i7</t>
  </si>
  <si>
    <t>1570769757309</t>
  </si>
  <si>
    <t>-LqtA75-hH9NBEdopCUF</t>
  </si>
  <si>
    <t>1570769763470</t>
  </si>
  <si>
    <t>-LqtA8p5r9__i6ldoHpO</t>
  </si>
  <si>
    <t>1570769770707</t>
  </si>
  <si>
    <t>-LqtAAR_BF3kOW5-k1ns</t>
  </si>
  <si>
    <t>1570769776887</t>
  </si>
  <si>
    <t>-LqtAC3_QsboTs3vYrhA</t>
  </si>
  <si>
    <t>1570769784079</t>
  </si>
  <si>
    <t>-LqtADdqcIMECEJ53BMA</t>
  </si>
  <si>
    <t>1570769790288</t>
  </si>
  <si>
    <t>-LqtAF5LA1DdI5Yo56iE</t>
  </si>
  <si>
    <t>1570769796468</t>
  </si>
  <si>
    <t>-LqtAGa_evJRti_G3Xi2</t>
  </si>
  <si>
    <t>1570769802629</t>
  </si>
  <si>
    <t>-LqtAIC4s6ia13oQrJ04</t>
  </si>
  <si>
    <t>1570769808829</t>
  </si>
  <si>
    <t>-LqtAJtYLyc_vxNkkoux</t>
  </si>
  <si>
    <t>1570769816047</t>
  </si>
  <si>
    <t>-LqtALNpgJ6QpBtYfLMg</t>
  </si>
  <si>
    <t>1570769822239</t>
  </si>
  <si>
    <t>-LqtANC5wr-oUF-yzPS1</t>
  </si>
  <si>
    <t>1570769829449</t>
  </si>
  <si>
    <t>-LqtAOd_NzSo8fq1F3p7</t>
  </si>
  <si>
    <t>1570769835597</t>
  </si>
  <si>
    <t>-LqtAQDpQoDXE_vJJ24c</t>
  </si>
  <si>
    <t>1570769841782</t>
  </si>
  <si>
    <t>-LqtARj5gOfnIgLH2QfF</t>
  </si>
  <si>
    <t>1570769847958</t>
  </si>
  <si>
    <t>-LqtATAbrWt6lvEdo9vl</t>
  </si>
  <si>
    <t>1570769854149</t>
  </si>
  <si>
    <t>-LqtAUl1HKNwZCVg1Ant</t>
  </si>
  <si>
    <t>1570769860360</t>
  </si>
  <si>
    <t>-LqtAWTp-ErAfauzZAnN</t>
  </si>
  <si>
    <t>1570769867569</t>
  </si>
  <si>
    <t>-LqtAXy1s7Ni0UVgvDUl</t>
  </si>
  <si>
    <t>1570769873763</t>
  </si>
  <si>
    <t>-LqtAZxA-Ma0EqnBPY37</t>
  </si>
  <si>
    <t>1570769879939</t>
  </si>
  <si>
    <t>-LqtAaV6dC_akfWMWu7k</t>
  </si>
  <si>
    <t>1570769888178</t>
  </si>
  <si>
    <t>-LqtAc2vrhVppBWkKNSW</t>
  </si>
  <si>
    <t>1570769894368</t>
  </si>
  <si>
    <t>-LqtAdY4d_o4AP7suupM</t>
  </si>
  <si>
    <t>1570769900557</t>
  </si>
  <si>
    <t>-LqtAfJrvIe8Au-YiFT1</t>
  </si>
  <si>
    <t>1570769907758</t>
  </si>
  <si>
    <t>-LqtAgnzLgKVCCmIZSle</t>
  </si>
  <si>
    <t>1570769913947</t>
  </si>
  <si>
    <t>-LqtAj6j5mW7Nw9sdRXo</t>
  </si>
  <si>
    <t>1570769922059</t>
  </si>
  <si>
    <t>-LqtAktCgYHBQS97UktR</t>
  </si>
  <si>
    <t>1570769930435</t>
  </si>
  <si>
    <t>-LqtAm_wQ_wFjofPoMCE</t>
  </si>
  <si>
    <t>1570769937653</t>
  </si>
  <si>
    <t>-LqtAoPAu6wZ-yYd-8XG</t>
  </si>
  <si>
    <t>1570769944865</t>
  </si>
  <si>
    <t>-LqtAq4ghFdAAQnlFftv</t>
  </si>
  <si>
    <t>1570769952075</t>
  </si>
  <si>
    <t>-LqtAru6OulGaO-vAHaP</t>
  </si>
  <si>
    <t>1570769959324</t>
  </si>
  <si>
    <t>-LqtAtcjBtSJ6FzkuOew</t>
  </si>
  <si>
    <t>1570769966475</t>
  </si>
  <si>
    <t>-LqtAv7Bct2TnNfSVoQv</t>
  </si>
  <si>
    <t>1570769972675</t>
  </si>
  <si>
    <t>-LqtAwg1iKoSzw8pWphe</t>
  </si>
  <si>
    <t>1570769978864</t>
  </si>
  <si>
    <t>-LqtAyAAhlLqBXSgzl4d</t>
  </si>
  <si>
    <t>1570769985035</t>
  </si>
  <si>
    <t>-LqtAze0_R-9bkjPKEYd</t>
  </si>
  <si>
    <t>1570769991233</t>
  </si>
  <si>
    <t>-LqtB0EHj62okorobsas</t>
  </si>
  <si>
    <t>1570769997414</t>
  </si>
  <si>
    <t>-LqtB1wC37mDnlerPw87</t>
  </si>
  <si>
    <t>1570770004633</t>
  </si>
  <si>
    <t>-LqtB3V8Ym41LFRZLJu3</t>
  </si>
  <si>
    <t>1570770010815</t>
  </si>
  <si>
    <t>-LqtB5DL7foAj21fl5T_</t>
  </si>
  <si>
    <t>1570770018006</t>
  </si>
  <si>
    <t>-LqtB6mCarXlBJ4ZF2wt</t>
  </si>
  <si>
    <t>1570770024204</t>
  </si>
  <si>
    <t>-LqtB8V0wgXyTozJhKQv</t>
  </si>
  <si>
    <t>1570770031435</t>
  </si>
  <si>
    <t>-LqtB9zCr2yF91tYvxFL</t>
  </si>
  <si>
    <t>1570770037605</t>
  </si>
  <si>
    <t>-LqtBBY0obrukB0mv3Wa</t>
  </si>
  <si>
    <t>1570770043795</t>
  </si>
  <si>
    <t>-LqtBDEF8QAtMlFSg4QA</t>
  </si>
  <si>
    <t>1570770049954</t>
  </si>
  <si>
    <t>-LqtBEp1CzXJZkkjADS2</t>
  </si>
  <si>
    <t>1570770057186</t>
  </si>
  <si>
    <t>-LqtBGYAremhR2YHY-tV</t>
  </si>
  <si>
    <t>1570770064394</t>
  </si>
  <si>
    <t>-LqtBIL0W5LsXNPiYiX-</t>
  </si>
  <si>
    <t>1570770071635</t>
  </si>
  <si>
    <t>-LqtBJp294I8C6fb7Ulm</t>
  </si>
  <si>
    <t>1570770077796</t>
  </si>
  <si>
    <t>-LqtBLJBlwDtXojqScXx</t>
  </si>
  <si>
    <t>1570770083974</t>
  </si>
  <si>
    <t>-LqtBN6ePTTcUqrrYhpv</t>
  </si>
  <si>
    <t>1570770091195</t>
  </si>
  <si>
    <t>-LqtBOpEkwYC2lCzGr_J</t>
  </si>
  <si>
    <t>1570770098404</t>
  </si>
  <si>
    <t>-LqtBQN59KLKMM6pmJnm</t>
  </si>
  <si>
    <t>1570770104607</t>
  </si>
  <si>
    <t>-LqtBS6D2sKn6hdQnefR</t>
  </si>
  <si>
    <t>1570770111815</t>
  </si>
  <si>
    <t>-LqtBTeD7jGzl_Lt7lR1</t>
  </si>
  <si>
    <t>1570770117984</t>
  </si>
  <si>
    <t>-LqtBVLrD_yJR5SG2Czx</t>
  </si>
  <si>
    <t>1570770125196</t>
  </si>
  <si>
    <t>-LqtBXCIhr7eMpcJINpc</t>
  </si>
  <si>
    <t>1570770132415</t>
  </si>
  <si>
    <t>-LqtBYtiul3PCwVd-k_P</t>
  </si>
  <si>
    <t>1570770139605</t>
  </si>
  <si>
    <t>-LqtB_T2ashcVYn-WZQ8</t>
  </si>
  <si>
    <t>1570770145793</t>
  </si>
  <si>
    <t>-LqtBbWHRoO-QESb4Bh7</t>
  </si>
  <si>
    <t>1570770154229</t>
  </si>
  <si>
    <t>-LqtBdDBeeeXBULc9k91</t>
  </si>
  <si>
    <t>1570770161262</t>
  </si>
  <si>
    <t>-LqtBevsKjuhxpOcqmlg</t>
  </si>
  <si>
    <t>1570770168472</t>
  </si>
  <si>
    <t>-LqtBgUsxlytXnxzwDdR</t>
  </si>
  <si>
    <t>1570770174652</t>
  </si>
  <si>
    <t>-LqtBi7zpPHZXVDhfnB-</t>
  </si>
  <si>
    <t>1570770181529</t>
  </si>
  <si>
    <t>-LqtBjm-Pouk1l4polN-</t>
  </si>
  <si>
    <t>1570770188051</t>
  </si>
  <si>
    <t>-LqtBlSamZjCqyAOJxbW</t>
  </si>
  <si>
    <t>1570770195271</t>
  </si>
  <si>
    <t>-LqtBnEOP7G1xCbwe3Fx</t>
  </si>
  <si>
    <t>1570770202479</t>
  </si>
  <si>
    <t>-LqtBolyB84g_MbvyJlm</t>
  </si>
  <si>
    <t>1570770208661</t>
  </si>
  <si>
    <t>-LqtBqEsUKqPlJ57YHkH</t>
  </si>
  <si>
    <t>1570770214819</t>
  </si>
  <si>
    <t>-LqtBrjyXhvFvbPpBR4p</t>
  </si>
  <si>
    <t>1570770221020</t>
  </si>
  <si>
    <t>-LqtBtHs2PsHSNybhC6I</t>
  </si>
  <si>
    <t>1570770227227</t>
  </si>
  <si>
    <t>-LqtBv4rtpNgRxEWf3TA</t>
  </si>
  <si>
    <t>1570770234419</t>
  </si>
  <si>
    <t>-LqtBx34StfAeVSPhRZL</t>
  </si>
  <si>
    <t>1570770241630</t>
  </si>
  <si>
    <t>-LqtByc6I0ZmakgtIvGR</t>
  </si>
  <si>
    <t>1570770248829</t>
  </si>
  <si>
    <t>-LqtC-IT8RR9k-Cgdd3W</t>
  </si>
  <si>
    <t>1570770256070</t>
  </si>
  <si>
    <t>-LqtC0ssyAhsT8sYxJiv</t>
  </si>
  <si>
    <t>1570770262250</t>
  </si>
  <si>
    <t>-LqtC2asfuwFZBhK6kMv</t>
  </si>
  <si>
    <t>1570770269459</t>
  </si>
  <si>
    <t>-LqtC4QAh7JQ12Wi2HKy</t>
  </si>
  <si>
    <t>1570770276676</t>
  </si>
  <si>
    <t>-LqtC66stEvKlZMOB8fU</t>
  </si>
  <si>
    <t>1570770283891</t>
  </si>
  <si>
    <t>-LqtC7usvjxqMTs6RVYf</t>
  </si>
  <si>
    <t>1570770291089</t>
  </si>
  <si>
    <t>-LqtC9cCw6pSAV6YULaP</t>
  </si>
  <si>
    <t>1570770298310</t>
  </si>
  <si>
    <t>-LqtCBS5QaQidP8Gtee7</t>
  </si>
  <si>
    <t>1570770305529</t>
  </si>
  <si>
    <t>-LqtCDGdwhgKpj18zPLZ</t>
  </si>
  <si>
    <t>1570770312719</t>
  </si>
  <si>
    <t>-LqtCExVUBm0huc31iIU</t>
  </si>
  <si>
    <t>1570770319950</t>
  </si>
  <si>
    <t>-LqtCGertI2LRe8Rwgh0</t>
  </si>
  <si>
    <t>1570770327189</t>
  </si>
  <si>
    <t>-LqtCI9XFU9lPknZokU9</t>
  </si>
  <si>
    <t>1570770333351</t>
  </si>
  <si>
    <t>-LqtCJj6fnTH4mz81aCf</t>
  </si>
  <si>
    <t>1570770339529</t>
  </si>
  <si>
    <t>-LqtCLVreiQoI5oTO870</t>
  </si>
  <si>
    <t>1570770346749</t>
  </si>
  <si>
    <t>-LqtCNDsCr91qxOV_lEP</t>
  </si>
  <si>
    <t>1570770353960</t>
  </si>
  <si>
    <t>-LqtCP11CKyZNWVql-Bv</t>
  </si>
  <si>
    <t>1570770361170</t>
  </si>
  <si>
    <t>-LqtCQjsrlmd9PbUmctK</t>
  </si>
  <si>
    <t>1570770368407</t>
  </si>
  <si>
    <t>-LqtCSUJaIvnLHXJKGiI</t>
  </si>
  <si>
    <t>1570770375600</t>
  </si>
  <si>
    <t>-LqtCUJhmX8z7sRHY5lz</t>
  </si>
  <si>
    <t>1570770381780</t>
  </si>
  <si>
    <t>-LqtCW3zvFwtF8dE7W67</t>
  </si>
  <si>
    <t>1570770390030</t>
  </si>
  <si>
    <t>-LqtCXZAxPpjzwIo38va</t>
  </si>
  <si>
    <t>1570770396203</t>
  </si>
  <si>
    <t>-LqtCZM0MFg73uRCdq5Y</t>
  </si>
  <si>
    <t>1570770403422</t>
  </si>
  <si>
    <t>-LqtCaM3MmZr16vZ8Bpo</t>
  </si>
  <si>
    <t>1570770410603</t>
  </si>
  <si>
    <t>-LqtCc5hECg2uQ4NPNBk</t>
  </si>
  <si>
    <t>1570770418883</t>
  </si>
  <si>
    <t>-LqtCdu_d-1Xc7lU7prp</t>
  </si>
  <si>
    <t>1570770426101</t>
  </si>
  <si>
    <t>-LqtCfc-4JYnGyRmf1Ww</t>
  </si>
  <si>
    <t>1570770433301</t>
  </si>
  <si>
    <t>-LqtCh6ARczAaQVTRvY6</t>
  </si>
  <si>
    <t>1570770439501</t>
  </si>
  <si>
    <t>-LqtCif0o_QpJ5037NjI</t>
  </si>
  <si>
    <t>1570770445671</t>
  </si>
  <si>
    <t>-LqtCkO8GiPVOU8KUGeD</t>
  </si>
  <si>
    <t>1570770452871</t>
  </si>
  <si>
    <t>-LqtClwzQauthQl-foj6</t>
  </si>
  <si>
    <t>1570770459073</t>
  </si>
  <si>
    <t>-LqtCnf-u3c0F0RtOWa6</t>
  </si>
  <si>
    <t>1570770466282</t>
  </si>
  <si>
    <t>-LqtCp9A8K4bSLjFpd0L</t>
  </si>
  <si>
    <t>1570770472473</t>
  </si>
  <si>
    <t>-LqtCr3SNT7uTOm9Po0M</t>
  </si>
  <si>
    <t>1570770478651</t>
  </si>
  <si>
    <t>-LqtCsjzda-rzUNKEliQ</t>
  </si>
  <si>
    <t>1570770486900</t>
  </si>
  <si>
    <t>-LqtCuT8EYHs_L2WbMIk</t>
  </si>
  <si>
    <t>1570770494127</t>
  </si>
  <si>
    <t>-LqtCwGAYzSWast3U1m1</t>
  </si>
  <si>
    <t>1570770501321</t>
  </si>
  <si>
    <t>-LqtCxz9Wnj0o54qDJBB</t>
  </si>
  <si>
    <t>1570770508533</t>
  </si>
  <si>
    <t>-LqtCzY0YXIMVzcgHKPQ</t>
  </si>
  <si>
    <t>1570770514732</t>
  </si>
  <si>
    <t>-LqtD0GGkzTuiAEKfC_s</t>
  </si>
  <si>
    <t>1570770521932</t>
  </si>
  <si>
    <t>-LqtD22zmGLjX6nv0mlP</t>
  </si>
  <si>
    <t>1570770529143</t>
  </si>
  <si>
    <t>-LqtD3mAbk7YOWc3X2to</t>
  </si>
  <si>
    <t>1570770536353</t>
  </si>
  <si>
    <t>-LqtD5_-RhxO96I4MYhj</t>
  </si>
  <si>
    <t>1570770543590</t>
  </si>
  <si>
    <t>-LqtD7IAT55AnLqP4wAh</t>
  </si>
  <si>
    <t>1570770550791</t>
  </si>
  <si>
    <t>-LqtD95L7JiLkLbcAgGI</t>
  </si>
  <si>
    <t>1570770557993</t>
  </si>
  <si>
    <t>-LqtDAo8J-7CYwPMm4ES</t>
  </si>
  <si>
    <t>1570770565191</t>
  </si>
  <si>
    <t>-LqtDCN-Dg0b9mXJ515G</t>
  </si>
  <si>
    <t>1570770571391</t>
  </si>
  <si>
    <t>-LqtDE5-aEoVNygL74BE</t>
  </si>
  <si>
    <t>1570770578603</t>
  </si>
  <si>
    <t>-LqtDFZzUG3_4gctXX9M</t>
  </si>
  <si>
    <t>1570770584793</t>
  </si>
  <si>
    <t>-LqtDH88zBiS2ri3r2Gg</t>
  </si>
  <si>
    <t>1570770590973</t>
  </si>
  <si>
    <t>-LqtDIrAeDiS74lNsGpS</t>
  </si>
  <si>
    <t>1570770598162</t>
  </si>
  <si>
    <t>-LqtDKQAFCZSYPneuj0N</t>
  </si>
  <si>
    <t>1570770604352</t>
  </si>
  <si>
    <t>-LqtDMS1fshgyfkNyTwZ</t>
  </si>
  <si>
    <t>1570770611592</t>
  </si>
  <si>
    <t>-LqtDOAA0sfWUPsEZRB0</t>
  </si>
  <si>
    <t>1570770619833</t>
  </si>
  <si>
    <t>-LqtDPtDdBOJJ1p6t4e1</t>
  </si>
  <si>
    <t>1570770627043</t>
  </si>
  <si>
    <t>-LqtDRSBzaoLGI--XIDf</t>
  </si>
  <si>
    <t>1570770633253</t>
  </si>
  <si>
    <t>-LqtDTA8D4z27EJqqu3e</t>
  </si>
  <si>
    <t>1570770640414</t>
  </si>
  <si>
    <t>-LqtDUiitN2LwJHW10Jh</t>
  </si>
  <si>
    <t>1570770646624</t>
  </si>
  <si>
    <t>-LqtDWhat7eqQFrjmybg</t>
  </si>
  <si>
    <t>1570770653841</t>
  </si>
  <si>
    <t>-LqtDYKAidnvDatp9UAn</t>
  </si>
  <si>
    <t>1570770661054</t>
  </si>
  <si>
    <t>-LqtDZy0nWpLby79dxfy</t>
  </si>
  <si>
    <t>1570770668252</t>
  </si>
  <si>
    <t>-LqtDaXAiZiPM0tur0UD</t>
  </si>
  <si>
    <t>1570770674452</t>
  </si>
  <si>
    <t>-LqtDcF-mEHjs2SwpXdA</t>
  </si>
  <si>
    <t>1570770681682</t>
  </si>
  <si>
    <t>-LqtDe21t5I3xLgt8bxi</t>
  </si>
  <si>
    <t>1570770688874</t>
  </si>
  <si>
    <t>-LqtDfmR2bAXn-D0K-HU</t>
  </si>
  <si>
    <t>1570770696081</t>
  </si>
  <si>
    <t>-LqtDhKLC1ywWlunb-Qp</t>
  </si>
  <si>
    <t>1570770702274</t>
  </si>
  <si>
    <t>-LqtDj1gCOcpAFIqvRgO</t>
  </si>
  <si>
    <t>1570770709483</t>
  </si>
  <si>
    <t>-LqtDkq9qEifSEa5k_DU</t>
  </si>
  <si>
    <t>1570770716702</t>
  </si>
  <si>
    <t>-LqtDmn08sOarRrhwGOH</t>
  </si>
  <si>
    <t>1570770724812</t>
  </si>
  <si>
    <t>-LqtDoMB1nfIfQM3XImf</t>
  </si>
  <si>
    <t>1570770731124</t>
  </si>
  <si>
    <t>-LqtDq4-ovUrY4CYRJtK</t>
  </si>
  <si>
    <t>1570770738313</t>
  </si>
  <si>
    <t>-LqtDrd04VxJvR8kvZjy</t>
  </si>
  <si>
    <t>1570770744522</t>
  </si>
  <si>
    <t>-LqtDtMBTxTlUqvXSgHE</t>
  </si>
  <si>
    <t>1570770751764</t>
  </si>
  <si>
    <t>-LqtDv9I_h2Y2GZmzO_v</t>
  </si>
  <si>
    <t>1570770758954</t>
  </si>
  <si>
    <t>-LqtDx8Lw4hd-Le7hzPO</t>
  </si>
  <si>
    <t>1570770766154</t>
  </si>
  <si>
    <t>-LqtDyf0AxzR4rQVy5Gv</t>
  </si>
  <si>
    <t>1570770773374</t>
  </si>
  <si>
    <t>-LqtE-9-88DvRFk8xVe2</t>
  </si>
  <si>
    <t>1570770779552</t>
  </si>
  <si>
    <t>-LqtE0iz3vdhQ7qk-dwz</t>
  </si>
  <si>
    <t>1570770785743</t>
  </si>
  <si>
    <t>-LqtE2RAXLh_qJWFIvjL</t>
  </si>
  <si>
    <t>1570770792963</t>
  </si>
  <si>
    <t>-LqtE4EAgaCNuGfaWDvz</t>
  </si>
  <si>
    <t>1570770800172</t>
  </si>
  <si>
    <t>-LqtE5x16LmsTJsOwVyd</t>
  </si>
  <si>
    <t>1570770807394</t>
  </si>
  <si>
    <t>-LqtE7R9vYui8IaFH81L</t>
  </si>
  <si>
    <t>1570770813584</t>
  </si>
  <si>
    <t>-LqtE9--uDBlThFp_OKg</t>
  </si>
  <si>
    <t>1570770819765</t>
  </si>
  <si>
    <t>-LqtEAjGpcawDZrL8UE7</t>
  </si>
  <si>
    <t>1570770826955</t>
  </si>
  <si>
    <t>-LqtECHBwmPKV3-ADK2Z</t>
  </si>
  <si>
    <t>1570770833153</t>
  </si>
  <si>
    <t>-LqtEE-BUAjAKIozKv6k</t>
  </si>
  <si>
    <t>1570770840362</t>
  </si>
  <si>
    <t>-LqtEG11zMGL-Y_zOQk_</t>
  </si>
  <si>
    <t>1570770848609</t>
  </si>
  <si>
    <t>-LqtEHTpNbI87XgUjEge</t>
  </si>
  <si>
    <t>1570770854802</t>
  </si>
  <si>
    <t>-LqtEJJ9ADxHUDhIbq8K</t>
  </si>
  <si>
    <t>1570770862002</t>
  </si>
  <si>
    <t>-LqtEKzeZtEBy6-VUlEY</t>
  </si>
  <si>
    <t>1570770869193</t>
  </si>
  <si>
    <t>-LqtEM_2YumT2XqNv3Zv</t>
  </si>
  <si>
    <t>1570770875392</t>
  </si>
  <si>
    <t>-LqtEOHuU3XDnznarGTN</t>
  </si>
  <si>
    <t>1570770882610</t>
  </si>
  <si>
    <t>-LqtEQ6Beb3ZzBNxcJVq</t>
  </si>
  <si>
    <t>1570770889820</t>
  </si>
  <si>
    <t>-LqtES1vheBvpjT1b9DE</t>
  </si>
  <si>
    <t>1570770898041</t>
  </si>
  <si>
    <t>-LqtETc1x_eIcU2fEDJx</t>
  </si>
  <si>
    <t>1570770904321</t>
  </si>
  <si>
    <t>-LqtEV68XABkUUjC7fk0</t>
  </si>
  <si>
    <t>1570770910432</t>
  </si>
  <si>
    <t>-LqtEX7-B_5KDI7LSE0v</t>
  </si>
  <si>
    <t>1570770918654</t>
  </si>
  <si>
    <t>-LqtEYptiNaQE3l32KWl</t>
  </si>
  <si>
    <t>1570770925892</t>
  </si>
  <si>
    <t>-LqtE_L1QZh3tsfzqprN</t>
  </si>
  <si>
    <t>1570770932080</t>
  </si>
  <si>
    <t>-LqtEasuC8Ap08wL5E9J</t>
  </si>
  <si>
    <t>1570770938262</t>
  </si>
  <si>
    <t>-LqtEciG9OfN-mpLKTky</t>
  </si>
  <si>
    <t>1570770945470</t>
  </si>
  <si>
    <t>-LqtEeP0U1bMBaloqYmM</t>
  </si>
  <si>
    <t>1570770952692</t>
  </si>
  <si>
    <t>-LqtEgHqdxGow-QPqt71</t>
  </si>
  <si>
    <t>1570770959902</t>
  </si>
  <si>
    <t>-LqtEhtAH3-ACyplL46b</t>
  </si>
  <si>
    <t>1570770967112</t>
  </si>
  <si>
    <t>-LqtEjQ9Z6HX8t5_c45j</t>
  </si>
  <si>
    <t>1570770973332</t>
  </si>
  <si>
    <t>-LqtEkz9neM57RYgn8hk</t>
  </si>
  <si>
    <t>1570770979481</t>
  </si>
  <si>
    <t>-LqtEmfsKSIXMrhHsJUI</t>
  </si>
  <si>
    <t>1570770986712</t>
  </si>
  <si>
    <t>-LqtEoGHjRO-slQxWyCv</t>
  </si>
  <si>
    <t>1570770992882</t>
  </si>
  <si>
    <t>-LqtEpx47aq7_Y38UPbV</t>
  </si>
  <si>
    <t>1570771000072</t>
  </si>
  <si>
    <t>-LqtErYAMZlvy37LtIfR</t>
  </si>
  <si>
    <t>1570771006272</t>
  </si>
  <si>
    <t>-LqtEtG-lvcliCmXnxfb</t>
  </si>
  <si>
    <t>1570771013492</t>
  </si>
  <si>
    <t>-LqtEukA34KXF8DfnnSA</t>
  </si>
  <si>
    <t>1570771019673</t>
  </si>
  <si>
    <t>-LqtEwJ97pVlFH7R3WHm</t>
  </si>
  <si>
    <t>1570771025853</t>
  </si>
  <si>
    <t>-LqtExzXkNlPRT_2P1a5</t>
  </si>
  <si>
    <t>1570771033041</t>
  </si>
  <si>
    <t>-LqtEz_1KxniSdOxJ2m_</t>
  </si>
  <si>
    <t>1570771039252</t>
  </si>
  <si>
    <t>-LqtF0GeyRA_3lnI_wDC</t>
  </si>
  <si>
    <t>1570771046481</t>
  </si>
  <si>
    <t>-LqtF21JwTw2w7_Z46L1</t>
  </si>
  <si>
    <t>1570771053672</t>
  </si>
  <si>
    <t>-LqtF3Zult3pdoQQe4vx</t>
  </si>
  <si>
    <t>1570771059861</t>
  </si>
  <si>
    <t>-LqtF5O8ALGkXvUPdzGO</t>
  </si>
  <si>
    <t>1570771067070</t>
  </si>
  <si>
    <t>-LqtF7NZoptwGSKCX6tp</t>
  </si>
  <si>
    <t>1570771074281</t>
  </si>
  <si>
    <t>-LqtF981nJcFN4IpBS04</t>
  </si>
  <si>
    <t>1570771082535</t>
  </si>
  <si>
    <t>-LqtFArCZ-8tVP6BCjvn</t>
  </si>
  <si>
    <t>1570771089744</t>
  </si>
  <si>
    <t>-LqtFCe3dSapEujkCyDA</t>
  </si>
  <si>
    <t>1570771096967</t>
  </si>
  <si>
    <t>-LqtFESEM8FxbBoafXpx</t>
  </si>
  <si>
    <t>1570771104174</t>
  </si>
  <si>
    <t>-LqtFGA415zXJpPcKQyS</t>
  </si>
  <si>
    <t>1570771111385</t>
  </si>
  <si>
    <t>-LqtFHyCPRnjLpuNHTjg</t>
  </si>
  <si>
    <t>1570771118595</t>
  </si>
  <si>
    <t>-LqtFJngpIZr06NJWIU9</t>
  </si>
  <si>
    <t>1570771125813</t>
  </si>
  <si>
    <t>-LqtFLPC5z8dXz7ls2by</t>
  </si>
  <si>
    <t>1570771133024</t>
  </si>
  <si>
    <t>-LqtFMyC2mlNeXcn6Oce</t>
  </si>
  <si>
    <t>1570771139215</t>
  </si>
  <si>
    <t>-LqtFOlCfvpWEuUjYWER</t>
  </si>
  <si>
    <t>1570771146424</t>
  </si>
  <si>
    <t>-LqtFQUI43IgMylJXstZ</t>
  </si>
  <si>
    <t>1570771153635</t>
  </si>
  <si>
    <t>-LqtFSGxtkst3_Oi3yQ_</t>
  </si>
  <si>
    <t>1570771160855</t>
  </si>
  <si>
    <t>-LqtFU-CyJlKZjeJ2Ljh</t>
  </si>
  <si>
    <t>1570771168085</t>
  </si>
  <si>
    <t>-LqtFVnCHAKcNu6DDJ2q</t>
  </si>
  <si>
    <t>1570771175276</t>
  </si>
  <si>
    <t>-LqtFXf2EV7mBu1XYlks</t>
  </si>
  <si>
    <t>1570771182883</t>
  </si>
  <si>
    <t>-LqtFZJCSeSn2nIRF2LD</t>
  </si>
  <si>
    <t>1570771189705</t>
  </si>
  <si>
    <t>-LqtFa1KS0ROrHzrSDTT</t>
  </si>
  <si>
    <t>1570771196895</t>
  </si>
  <si>
    <t>-LqtFbaByZvTJGiDI6sI</t>
  </si>
  <si>
    <t>1570771203075</t>
  </si>
  <si>
    <t>-LqtFdJ2nYkqncNXEoI9</t>
  </si>
  <si>
    <t>1570771210314</t>
  </si>
  <si>
    <t>-LqtFesC4E6u80nBToSI</t>
  </si>
  <si>
    <t>1570771216675</t>
  </si>
  <si>
    <t>-LqtFga2dsN3Q7aGbjPt</t>
  </si>
  <si>
    <t>1570771223705</t>
  </si>
  <si>
    <t>-LqtFi426nD6VND8_6cf</t>
  </si>
  <si>
    <t>1570771229914</t>
  </si>
  <si>
    <t>-LqtFjd48sAJSwW4s5qL</t>
  </si>
  <si>
    <t>1570771236075</t>
  </si>
  <si>
    <t>-LqtFlMCE4-az7YGxrii</t>
  </si>
  <si>
    <t>1570771243275</t>
  </si>
  <si>
    <t>-LqtFn92UuivMNxjclyY</t>
  </si>
  <si>
    <t>1570771250503</t>
  </si>
  <si>
    <t>-LqtFocP3-L2J9_a_Y8z</t>
  </si>
  <si>
    <t>1570771256674</t>
  </si>
  <si>
    <t>-LqtFqRCCWB_VBLNH3tQ</t>
  </si>
  <si>
    <t>1570771263896</t>
  </si>
  <si>
    <t>-LqtFs9Jw53AfKUaVD0I</t>
  </si>
  <si>
    <t>1570771271125</t>
  </si>
  <si>
    <t>-LqtFtx2jpj6Dy4_bet4</t>
  </si>
  <si>
    <t>1570771278325</t>
  </si>
  <si>
    <t>-LqtFvf2tTnMFt85DzYV</t>
  </si>
  <si>
    <t>1570771285515</t>
  </si>
  <si>
    <t>-LqtFxECCocBerbJqs6N</t>
  </si>
  <si>
    <t>1570771291724</t>
  </si>
  <si>
    <t>-LqtFz6LFlDNGK2Q_NP4</t>
  </si>
  <si>
    <t>1570771299375</t>
  </si>
  <si>
    <t>-LqtG02LgtZJfN4FP9Xl</t>
  </si>
  <si>
    <t>1570771306155</t>
  </si>
  <si>
    <t>-LqtG1h5DDAyble0nmnA</t>
  </si>
  <si>
    <t>1570771314390</t>
  </si>
  <si>
    <t>-LqtG3G6IdMTEVkNOCNW</t>
  </si>
  <si>
    <t>1570771320568</t>
  </si>
  <si>
    <t>-LqtG4waX1U_l9Nc6gpq</t>
  </si>
  <si>
    <t>1570771327758</t>
  </si>
  <si>
    <t>-LqtG6Xwbe9H_IOEBqMX</t>
  </si>
  <si>
    <t>1570771333969</t>
  </si>
  <si>
    <t>-LqtG8Dao3Qvmh0Zm-DQ</t>
  </si>
  <si>
    <t>1570771341190</t>
  </si>
  <si>
    <t>-LqtG9oyOnG6rc3H1Sjy</t>
  </si>
  <si>
    <t>1570771347369</t>
  </si>
  <si>
    <t>-LqtGBWrTW3M_vZ6Aui4</t>
  </si>
  <si>
    <t>1570771354578</t>
  </si>
  <si>
    <t>-LqtGD18CfIcn3yWBRtq</t>
  </si>
  <si>
    <t>1570771360740</t>
  </si>
  <si>
    <t>-LqtGE_Ulgrx90j5as0s</t>
  </si>
  <si>
    <t>1570771366948</t>
  </si>
  <si>
    <t>-LqtGG5DA6UU0j3Sf1JU</t>
  </si>
  <si>
    <t>1570771373118</t>
  </si>
  <si>
    <t>-LqtGHWay5MugfUICOhQ</t>
  </si>
  <si>
    <t>1570771379280</t>
  </si>
  <si>
    <t>-LqtGJ76R6ftVOiAruBm</t>
  </si>
  <si>
    <t>1570771385490</t>
  </si>
  <si>
    <t>-LqtGKoVsTYENM72c_2Q</t>
  </si>
  <si>
    <t>1570771392720</t>
  </si>
  <si>
    <t>-LqtGMZHqEfsHxZYHxRs</t>
  </si>
  <si>
    <t>1570771399918</t>
  </si>
  <si>
    <t>-LqtGO60RekQmKynlkLi</t>
  </si>
  <si>
    <t>1570771406112</t>
  </si>
  <si>
    <t>-LqtGPvVT5omB-el24Gp</t>
  </si>
  <si>
    <t>1570771413319</t>
  </si>
  <si>
    <t>-LqtGRbsuRrlNWbpRIym</t>
  </si>
  <si>
    <t>1570771420528</t>
  </si>
  <si>
    <t>-LqtGT67QxdSXFvBFoDK</t>
  </si>
  <si>
    <t>1570771426710</t>
  </si>
  <si>
    <t>-LqtGUg6TsK8t66fTzdf</t>
  </si>
  <si>
    <t>1570771432899</t>
  </si>
  <si>
    <t>-LqtGW8qyty7DkUExLSb</t>
  </si>
  <si>
    <t>1570771439079</t>
  </si>
  <si>
    <t>-LqtGXcyl7KoxsszF6MK</t>
  </si>
  <si>
    <t>1570771445268</t>
  </si>
  <si>
    <t>-LqtGZBrtSx011AtYd1T</t>
  </si>
  <si>
    <t>1570771451450</t>
  </si>
  <si>
    <t>-LqtG_hEliimsAoCdpDd</t>
  </si>
  <si>
    <t>1570771457630</t>
  </si>
  <si>
    <t>-LqtGbTrZOF_Q2W08rIH</t>
  </si>
  <si>
    <t>1570771464850</t>
  </si>
  <si>
    <t>-LqtGczOQ14YxWIwJ3wn</t>
  </si>
  <si>
    <t>1570771471020</t>
  </si>
  <si>
    <t>-LqtGefZpe6kOdgWIWFL</t>
  </si>
  <si>
    <t>1570771478239</t>
  </si>
  <si>
    <t>-LqtGgEryibuCxBQoz8E</t>
  </si>
  <si>
    <t>1570771484419</t>
  </si>
  <si>
    <t>-LqtGhhaC_KV0Ap5IPZr</t>
  </si>
  <si>
    <t>1570771490608</t>
  </si>
  <si>
    <t>-LqtGjE6LbvkHVB_Dsla</t>
  </si>
  <si>
    <t>1570771496788</t>
  </si>
  <si>
    <t>-LqtGklsMAOLJAGvVruz</t>
  </si>
  <si>
    <t>1570771502978</t>
  </si>
  <si>
    <t>-LqtGmH6s282cdulQU80</t>
  </si>
  <si>
    <t>1570771509158</t>
  </si>
  <si>
    <t>-LqtGnjqkk-dU6oDjkqA</t>
  </si>
  <si>
    <t>1570771515340</t>
  </si>
  <si>
    <t>-LqtGpFDqDLOCZ2yRYB_</t>
  </si>
  <si>
    <t>1570771521518</t>
  </si>
  <si>
    <t>-LqtGr70L6w2W9JNQf4a</t>
  </si>
  <si>
    <t>1570771529070</t>
  </si>
  <si>
    <t>-LqtGsszwNHTpE2FA4Yv</t>
  </si>
  <si>
    <t>1570771535923</t>
  </si>
  <si>
    <t>-LqtGu_HNRqFU2kfnIHL</t>
  </si>
  <si>
    <t>1570771543182</t>
  </si>
  <si>
    <t>-LqtGw7AKpBLaStrU65h</t>
  </si>
  <si>
    <t>1570771549354</t>
  </si>
  <si>
    <t>-LqtGxqAAraT_GpH6bcB</t>
  </si>
  <si>
    <t>1570771556553</t>
  </si>
  <si>
    <t>-LqtGzdAZlm_f5Qy3L-4</t>
  </si>
  <si>
    <t>1570771563784</t>
  </si>
  <si>
    <t>-LqtH0MBQ2JsXD-tnrM-</t>
  </si>
  <si>
    <t>1570771570963</t>
  </si>
  <si>
    <t>-LqtH2-9V1Zm9RjBDrXN</t>
  </si>
  <si>
    <t>1570771577142</t>
  </si>
  <si>
    <t>-LqtH3b-hS9sZy0RTtxp</t>
  </si>
  <si>
    <t>1570771584395</t>
  </si>
  <si>
    <t>-LqtH5R9NfbgqobZDuVY</t>
  </si>
  <si>
    <t>1570771591612</t>
  </si>
  <si>
    <t>-LqtH79ApUbua1N-KVcV</t>
  </si>
  <si>
    <t>1570771598792</t>
  </si>
  <si>
    <t>-LqtH8i04CtYsQmtKLPY</t>
  </si>
  <si>
    <t>1570771604964</t>
  </si>
  <si>
    <t>-LqtHARBqG69StZnd2pX</t>
  </si>
  <si>
    <t>1570771612244</t>
  </si>
  <si>
    <t>-LqtHCE96i_QrtEO-wHv</t>
  </si>
  <si>
    <t>1570771619434</t>
  </si>
  <si>
    <t>-LqtHDx-a6EKgaQ4GFaW</t>
  </si>
  <si>
    <t>1570771626632</t>
  </si>
  <si>
    <t>-LqtHFWAA8Eh2Pf6XYca</t>
  </si>
  <si>
    <t>1570771632834</t>
  </si>
  <si>
    <t>-LqtHHE9MR5jlbSf_R74</t>
  </si>
  <si>
    <t>1570771640044</t>
  </si>
  <si>
    <t>-LqtHJ11WKwUvSdXGs0U</t>
  </si>
  <si>
    <t>1570771647253</t>
  </si>
  <si>
    <t>-LqtHKk-Acd6AQZ9ktxn</t>
  </si>
  <si>
    <t>1570771654483</t>
  </si>
  <si>
    <t>-LqtHMW7k2wAwEJLZ9UD</t>
  </si>
  <si>
    <t>1570771660653</t>
  </si>
  <si>
    <t>-LqtHOGHVW1G6Y2D0bCx</t>
  </si>
  <si>
    <t>1570771668882</t>
  </si>
  <si>
    <t>-LqtHPp-E47a4DTYzirz</t>
  </si>
  <si>
    <t>1570771675074</t>
  </si>
  <si>
    <t>-LqtHRY-kBuEZRTfX3cI</t>
  </si>
  <si>
    <t>1570771682314</t>
  </si>
  <si>
    <t>-LqtHT6AOJdJMGYfflAU</t>
  </si>
  <si>
    <t>1570771688484</t>
  </si>
  <si>
    <t>-LqtHUp-KpXTfTiiPIFo</t>
  </si>
  <si>
    <t>1570771695692</t>
  </si>
  <si>
    <t>-LqtHWJ19nhJDZ9tMKy6</t>
  </si>
  <si>
    <t>1570771701852</t>
  </si>
  <si>
    <t>-LqtHXrgztUkpdgEl3RS</t>
  </si>
  <si>
    <t>1570771708066</t>
  </si>
  <si>
    <t>-LqtHZa9oMtqDveFKvXN</t>
  </si>
  <si>
    <t>1570771715272</t>
  </si>
  <si>
    <t>-LqtHaOKHZiphwgtXbVY</t>
  </si>
  <si>
    <t>1570771722495</t>
  </si>
  <si>
    <t>-LqtHc6BuO7alm30iQNc</t>
  </si>
  <si>
    <t>1570771729672</t>
  </si>
  <si>
    <t>-LqtHdf-SiyKpcScqHqW</t>
  </si>
  <si>
    <t>1570771735872</t>
  </si>
  <si>
    <t>-LqtHfO-y1es57YOLjtu</t>
  </si>
  <si>
    <t>1570771743093</t>
  </si>
  <si>
    <t>-LqtHgsBml8PGDVjtj1k</t>
  </si>
  <si>
    <t>1570771749298</t>
  </si>
  <si>
    <t>-LqtHijtS4JqxSdXEEOQ</t>
  </si>
  <si>
    <t>1570771755473</t>
  </si>
  <si>
    <t>-LqtHkT3mA-pSwitwrWp</t>
  </si>
  <si>
    <t>1570771763712</t>
  </si>
  <si>
    <t>-LqtHmB2tVzudbkFdozf</t>
  </si>
  <si>
    <t>1570771770924</t>
  </si>
  <si>
    <t>-LqtHnfWKoW15QkhRy5Z</t>
  </si>
  <si>
    <t>1570771777122</t>
  </si>
  <si>
    <t>-LqtHpE9DdmZdy44cCv1</t>
  </si>
  <si>
    <t>1570771783294</t>
  </si>
  <si>
    <t>-LqtHqw_PsKoepZp6HLs</t>
  </si>
  <si>
    <t>1570771790472</t>
  </si>
  <si>
    <t>-LqtHsWA0NbAddPiAtxQ</t>
  </si>
  <si>
    <t>1570771796684</t>
  </si>
  <si>
    <t>-LqtHuFFJzn_xnZkm1XE</t>
  </si>
  <si>
    <t>1570771803923</t>
  </si>
  <si>
    <t>-LqtHvi1jDJykigHG5Ju</t>
  </si>
  <si>
    <t>1570771810085</t>
  </si>
  <si>
    <t>-LqtHxEg-cnnTNLPWyuQ</t>
  </si>
  <si>
    <t>1570771816263</t>
  </si>
  <si>
    <t>-LqtHz-B9aHu7-KkGBCX</t>
  </si>
  <si>
    <t>1570771823493</t>
  </si>
  <si>
    <t>-LqtI-ZBQNjVp_JdS0eN</t>
  </si>
  <si>
    <t>1570771829663</t>
  </si>
  <si>
    <t>-LqtI1HAhJM1-mF7zZh0</t>
  </si>
  <si>
    <t>1570771836854</t>
  </si>
  <si>
    <t>-LqtI34178uehgfSszwP</t>
  </si>
  <si>
    <t>1570771844103</t>
  </si>
  <si>
    <t>-LqtI4nTj5EO16CNDr1q</t>
  </si>
  <si>
    <t>1570771851291</t>
  </si>
  <si>
    <t>-LqtI6a15b9RZRyXucHC</t>
  </si>
  <si>
    <t>1570771858523</t>
  </si>
  <si>
    <t>-LqtI840bLqHs351-mrW</t>
  </si>
  <si>
    <t>1570771864674</t>
  </si>
  <si>
    <t>-LqtI9Z2FHIqo2cNKuBc</t>
  </si>
  <si>
    <t>1570771870883</t>
  </si>
  <si>
    <t>-LqtIB5rDZ9IR6YrBh90</t>
  </si>
  <si>
    <t>1570771877069</t>
  </si>
  <si>
    <t>-LqtID45gaqskx3cQMuZ</t>
  </si>
  <si>
    <t>1570771884259</t>
  </si>
  <si>
    <t>-LqtIEc8pYQ-dMsJ2lFQ</t>
  </si>
  <si>
    <t>1570771891489</t>
  </si>
  <si>
    <t>-LqtIGM4mdlSA58Bv2pC</t>
  </si>
  <si>
    <t>1570771898707</t>
  </si>
  <si>
    <t>-LqtIIBByuz8ozIhy3g_</t>
  </si>
  <si>
    <t>1570771904888</t>
  </si>
  <si>
    <t>-LqtIJx4EurFVcnBjboW</t>
  </si>
  <si>
    <t>1570771913128</t>
  </si>
  <si>
    <t>-LqtILdpjpt9C505-_tP</t>
  </si>
  <si>
    <t>1570771920357</t>
  </si>
  <si>
    <t>-LqtINSx0rUI9p8O-Prt</t>
  </si>
  <si>
    <t>1570771927567</t>
  </si>
  <si>
    <t>-LqtIPB6Ge4qF94j7oly</t>
  </si>
  <si>
    <t>1570771934797</t>
  </si>
  <si>
    <t>-LqtIRArJ8Gb0V-FBOjd</t>
  </si>
  <si>
    <t>1570771941987</t>
  </si>
  <si>
    <t>-LqtISuhewlOuHJrr0Yf</t>
  </si>
  <si>
    <t>1570771950237</t>
  </si>
  <si>
    <t>-LqtIUTqHqzucM8sDIa8</t>
  </si>
  <si>
    <t>1570771956388</t>
  </si>
  <si>
    <t>-LqtIWBqPAN_xLQ0CBlm</t>
  </si>
  <si>
    <t>1570771963620</t>
  </si>
  <si>
    <t>-LqtIXm03-3GHiXHJylI</t>
  </si>
  <si>
    <t>1570771969819</t>
  </si>
  <si>
    <t>-LqtIZVySnr6i5DC8jBI</t>
  </si>
  <si>
    <t>1570771977084</t>
  </si>
  <si>
    <t>-LqtIaafAe7Jj7xiTyVE</t>
  </si>
  <si>
    <t>1570771984254</t>
  </si>
  <si>
    <t>-LqtIcLHaigAOpJGACic</t>
  </si>
  <si>
    <t>1570771992489</t>
  </si>
  <si>
    <t>-LqtIe0sDSZaXVRgV-14</t>
  </si>
  <si>
    <t>1570771999718</t>
  </si>
  <si>
    <t>-LqtIfWxezvriw_WqTQX</t>
  </si>
  <si>
    <t>1570772005870</t>
  </si>
  <si>
    <t>-LqtIh5BiwU6cCTbP2ui</t>
  </si>
  <si>
    <t>1570772012078</t>
  </si>
  <si>
    <t>-LqtIio9BfSvAV_VELjE</t>
  </si>
  <si>
    <t>1570772019270</t>
  </si>
  <si>
    <t>-LqtIkMzEmEwqM6QVTXA</t>
  </si>
  <si>
    <t>1570772025469</t>
  </si>
  <si>
    <t>-LqtIm57ERDuFWrr2-0F</t>
  </si>
  <si>
    <t>1570772032680</t>
  </si>
  <si>
    <t>-LqtInruQFqapaS72Lfj</t>
  </si>
  <si>
    <t>1570772039898</t>
  </si>
  <si>
    <t>-LqtIpa0CtydyiqIybvm</t>
  </si>
  <si>
    <t>1570772047108</t>
  </si>
  <si>
    <t>-LqtIrOxLEptPnqXcrZS</t>
  </si>
  <si>
    <t>1570772054328</t>
  </si>
  <si>
    <t>-LqtItJUF5h9JFuui9KX</t>
  </si>
  <si>
    <t>1570772061519</t>
  </si>
  <si>
    <t>-LqtIuu18Y_E5HsJ9rzh</t>
  </si>
  <si>
    <t>1570772068759</t>
  </si>
  <si>
    <t>-LqtIwcwtAVqXStz_awE</t>
  </si>
  <si>
    <t>1570772075989</t>
  </si>
  <si>
    <t>-LqtIyAuaXzLI0lNSRYc</t>
  </si>
  <si>
    <t>1570772082148</t>
  </si>
  <si>
    <t>-LqtIzv7jaAEz-r3vqz8</t>
  </si>
  <si>
    <t>1570772089348</t>
  </si>
  <si>
    <t>-LqtJ0UFwdBopHH88mLV</t>
  </si>
  <si>
    <t>1570772095550</t>
  </si>
  <si>
    <t>-LqtJ2Bw1cWW466Rph0i</t>
  </si>
  <si>
    <t>1570772102773</t>
  </si>
  <si>
    <t>-LqtJ3ytPe4YRxj6ZD3F</t>
  </si>
  <si>
    <t>1570772109981</t>
  </si>
  <si>
    <t>-LqtJ63Uso7DpGSc_nTa</t>
  </si>
  <si>
    <t>1570772117188</t>
  </si>
  <si>
    <t>-LqtJ7jxuhUA0HjXyDau</t>
  </si>
  <si>
    <t>1570772125438</t>
  </si>
  <si>
    <t>-LqtJ9Y8h__T3K9aWySc</t>
  </si>
  <si>
    <t>1570772132649</t>
  </si>
  <si>
    <t>-LqtJBFyKyY84s5Fmxf_</t>
  </si>
  <si>
    <t>1570772139876</t>
  </si>
  <si>
    <t>-LqtJD4BcmnMFlEkuuKZ</t>
  </si>
  <si>
    <t>1570772147079</t>
  </si>
  <si>
    <t>-LqtJEm8aGrxoB_LhOKH</t>
  </si>
  <si>
    <t>1570772154319</t>
  </si>
  <si>
    <t>-LqtJGZyOP0EVX3bfRTu</t>
  </si>
  <si>
    <t>1570772161510</t>
  </si>
  <si>
    <t>-LqtJIIB4ntzMUOuptZO</t>
  </si>
  <si>
    <t>1570772168709</t>
  </si>
  <si>
    <t>-LqtJK4yJ8ITFIoA0Zoe</t>
  </si>
  <si>
    <t>1570772175949</t>
  </si>
  <si>
    <t>-LqtJLo6lIAzcZMpKsmK</t>
  </si>
  <si>
    <t>1570772183123</t>
  </si>
  <si>
    <t>-LqtJNMxP-ch8LrdIu1L</t>
  </si>
  <si>
    <t>1570772189308</t>
  </si>
  <si>
    <t>-LqtJP58LW-S94WbKE2-</t>
  </si>
  <si>
    <t>1570772196558</t>
  </si>
  <si>
    <t>-LqtJQd1te6UwBlTPusc</t>
  </si>
  <si>
    <t>1570772202728</t>
  </si>
  <si>
    <t>-LqtJSMw7B0FRiqYIh3_</t>
  </si>
  <si>
    <t>1570772209949</t>
  </si>
  <si>
    <t>-LqtJU9wlW1BdYnME7E2</t>
  </si>
  <si>
    <t>1570772217160</t>
  </si>
  <si>
    <t>-LqtJWAsEmMu0_rza7tV</t>
  </si>
  <si>
    <t>1570772225577</t>
  </si>
  <si>
    <t>-LqtJXtr7OmTHDJd3Hef</t>
  </si>
  <si>
    <t>1570772232618</t>
  </si>
  <si>
    <t>-LqtJZsgk4xApa6Fs8u0</t>
  </si>
  <si>
    <t>1570772239830</t>
  </si>
  <si>
    <t>-LqtJaR8-cZ2nQKw-WgR</t>
  </si>
  <si>
    <t>1570772247049</t>
  </si>
  <si>
    <t>-LqtJcDvm6cqBhITrzlR</t>
  </si>
  <si>
    <t>1570772254268</t>
  </si>
  <si>
    <t>-LqtJdx8r3xelxmqNf0H</t>
  </si>
  <si>
    <t>1570772261467</t>
  </si>
  <si>
    <t>-LqtJfPvhDtpASIsULxU</t>
  </si>
  <si>
    <t>1570772267670</t>
  </si>
  <si>
    <t>-LqtJgzwbFO844_ZS30W</t>
  </si>
  <si>
    <t>1570772273838</t>
  </si>
  <si>
    <t>-LqtJigf5Ej0j6qvMgzw</t>
  </si>
  <si>
    <t>1570772281028</t>
  </si>
  <si>
    <t>-LqtJkVx520RN1mkitg6</t>
  </si>
  <si>
    <t>1570772288270</t>
  </si>
  <si>
    <t>-LqtJmE6DNViATUJn0C-</t>
  </si>
  <si>
    <t>1570772295450</t>
  </si>
  <si>
    <t>-LqtJnmwZBMGSlqM9iuY</t>
  </si>
  <si>
    <t>1570772301659</t>
  </si>
  <si>
    <t>-LqtJpV-Oz1yJFSu4sDx</t>
  </si>
  <si>
    <t>1570772308878</t>
  </si>
  <si>
    <t>-LqtJrHjrvKuUu7o5jky</t>
  </si>
  <si>
    <t>1570772316097</t>
  </si>
  <si>
    <t>-LqtJt0-zftAPtmJo_uK</t>
  </si>
  <si>
    <t>1570772323277</t>
  </si>
  <si>
    <t>-LqtJuZtJCyRw4AVRbbi</t>
  </si>
  <si>
    <t>1570772329457</t>
  </si>
  <si>
    <t>-LqtJwJ8EjojVKFqOSW6</t>
  </si>
  <si>
    <t>1570772336709</t>
  </si>
  <si>
    <t>-LqtJy5xPM9i860Hm_hv</t>
  </si>
  <si>
    <t>1570772343917</t>
  </si>
  <si>
    <t>-LqtJznznR6AqB4lwf3B</t>
  </si>
  <si>
    <t>1570772351110</t>
  </si>
  <si>
    <t>-LqtK0O8vOPUVr6WK0y9</t>
  </si>
  <si>
    <t>1570772357309</t>
  </si>
  <si>
    <t>-LqtK2Kw_FLz_idUW_Ha</t>
  </si>
  <si>
    <t>1570772364529</t>
  </si>
  <si>
    <t>-LqtK47wybbK7XCJx528</t>
  </si>
  <si>
    <t>1570772372777</t>
  </si>
  <si>
    <t>-LqtK5psQ-FVk7rKUOJl</t>
  </si>
  <si>
    <t>1570772379988</t>
  </si>
  <si>
    <t>-LqtK7PwJaUtU9UQW7RG</t>
  </si>
  <si>
    <t>1570772386177</t>
  </si>
  <si>
    <t>-LqtK970XvEfwK4IRxSZ</t>
  </si>
  <si>
    <t>1570772393357</t>
  </si>
  <si>
    <t>-LqtKAvxHqANwF_dS_xV</t>
  </si>
  <si>
    <t>1570772400598</t>
  </si>
  <si>
    <t>-LqtKCd0S9vjbbZnFRBP</t>
  </si>
  <si>
    <t>1570772407790</t>
  </si>
  <si>
    <t>-LqtKEBr0Ivcq1MGMKrY</t>
  </si>
  <si>
    <t>1570772413998</t>
  </si>
  <si>
    <t>-LqtKFxCFQyK4JriuNvY</t>
  </si>
  <si>
    <t>1570772421187</t>
  </si>
  <si>
    <t>-LqtKHV8U3KJKKV3_Ozd</t>
  </si>
  <si>
    <t>1570772427388</t>
  </si>
  <si>
    <t>-LqtKJC1WmeLBu_72A_0</t>
  </si>
  <si>
    <t>1570772434609</t>
  </si>
  <si>
    <t>-LqtKL06vQOPvndyCTsZ</t>
  </si>
  <si>
    <t>1570772441819</t>
  </si>
  <si>
    <t>-LqtKMiwkrRGZ0r6Seni</t>
  </si>
  <si>
    <t>1570772449099</t>
  </si>
  <si>
    <t>-LqtKOq4VtX_h8M7mOl8</t>
  </si>
  <si>
    <t>1570772456258</t>
  </si>
  <si>
    <t>-LqtKQZ1QMy1Mqv878r8</t>
  </si>
  <si>
    <t>1570772464504</t>
  </si>
  <si>
    <t>-LqtKSH1VOtOicELw-pv</t>
  </si>
  <si>
    <t>1570772471714</t>
  </si>
  <si>
    <t>-LqtKU436qFl6I-36sRf</t>
  </si>
  <si>
    <t>1570772478936</t>
  </si>
  <si>
    <t>-LqtKW10p0MYOeqUfYKi</t>
  </si>
  <si>
    <t>1570772486165</t>
  </si>
  <si>
    <t>-LqtKXaETAKSs6nTYPaV</t>
  </si>
  <si>
    <t>1570772493364</t>
  </si>
  <si>
    <t>-LqtKZJ59-M2fte0DJnp</t>
  </si>
  <si>
    <t>1570772500554</t>
  </si>
  <si>
    <t>-LqtK_s4Jk9HsEFbotqH</t>
  </si>
  <si>
    <t>1570772506756</t>
  </si>
  <si>
    <t>-LqtKbbUO64XnWGtWPa-</t>
  </si>
  <si>
    <t>1570772513974</t>
  </si>
  <si>
    <t>-LqtKdTaW2APQdQcY5_h</t>
  </si>
  <si>
    <t>1570772521185</t>
  </si>
  <si>
    <t>-LqtKf6LtGwh_qq4cKJ-</t>
  </si>
  <si>
    <t>1570772528406</t>
  </si>
  <si>
    <t>-LqtKgu1gYuwpEfuOzus</t>
  </si>
  <si>
    <t>1570772535626</t>
  </si>
  <si>
    <t>-LqtKic27iCYVaMtai7a</t>
  </si>
  <si>
    <t>1570772542805</t>
  </si>
  <si>
    <t>-LqtKkAIfWUaYJ_QEwoj</t>
  </si>
  <si>
    <t>1570772548993</t>
  </si>
  <si>
    <t>-LqtKlu1E_I_HVy4_All</t>
  </si>
  <si>
    <t>1570772556234</t>
  </si>
  <si>
    <t>-LqtKngtj1c7GnLFucoL</t>
  </si>
  <si>
    <t>1570772563443</t>
  </si>
  <si>
    <t>-LqtKpQ21X_AapKVJQN_</t>
  </si>
  <si>
    <t>1570772570635</t>
  </si>
  <si>
    <t>-LqtKqu4GfXrOGeZXmCf</t>
  </si>
  <si>
    <t>1570772576834</t>
  </si>
  <si>
    <t>-LqtKsTD_otLkv7Dac-W</t>
  </si>
  <si>
    <t>1570772583034</t>
  </si>
  <si>
    <t>-LqtKuB1f79bG9LfZNyp</t>
  </si>
  <si>
    <t>1570772590234</t>
  </si>
  <si>
    <t>-LqtKvk2DqtS5RWSVEkN</t>
  </si>
  <si>
    <t>1570772596425</t>
  </si>
  <si>
    <t>-LqtKxTD2Q1npKtuqN_g</t>
  </si>
  <si>
    <t>1570772603605</t>
  </si>
  <si>
    <t>-LqtKz12uMrXfC_jvwb9</t>
  </si>
  <si>
    <t>1570772609796</t>
  </si>
  <si>
    <t>-LqtL-k2OIbUgyQ9xmz8</t>
  </si>
  <si>
    <t>1570772617045</t>
  </si>
  <si>
    <t>-LqtL1XtVSNDdlBg5mRg</t>
  </si>
  <si>
    <t>1570772624244</t>
  </si>
  <si>
    <t>-LqtL3GKaMGePVk0B3Al</t>
  </si>
  <si>
    <t>1570772631435</t>
  </si>
  <si>
    <t>-LqtL4k2XHQ_hFmXFLU-</t>
  </si>
  <si>
    <t>1570772637605</t>
  </si>
  <si>
    <t>-LqtL6J20qeH0iX6Uk3h</t>
  </si>
  <si>
    <t>1570772643835</t>
  </si>
  <si>
    <t>-LqtL81FnrdbkDWbaD_8</t>
  </si>
  <si>
    <t>1570772651043</t>
  </si>
  <si>
    <t>-LqtL9a0NG9QQ9YtksXa</t>
  </si>
  <si>
    <t>1570772657223</t>
  </si>
  <si>
    <t>-LqtLBJMdUu1hM5ljBUu</t>
  </si>
  <si>
    <t>1570772664413</t>
  </si>
  <si>
    <t>-LqtLCs27lBk4s6SqGFH</t>
  </si>
  <si>
    <t>1570772670616</t>
  </si>
  <si>
    <t>-LqtLEaBKZ9CHy5S3Bbm</t>
  </si>
  <si>
    <t>1570772677845</t>
  </si>
  <si>
    <t>-LqtLGhIA_23LHXjTGtZ</t>
  </si>
  <si>
    <t>1570772685055</t>
  </si>
  <si>
    <t>-LqtLIOvyTmOrkhdqrnZ</t>
  </si>
  <si>
    <t>1570772693293</t>
  </si>
  <si>
    <t>-LqtLK73U_xr-3nrssuw</t>
  </si>
  <si>
    <t>1570772700513</t>
  </si>
  <si>
    <t>-LqtLLunh9Z7lulUrTD8</t>
  </si>
  <si>
    <t>1570772707724</t>
  </si>
  <si>
    <t>-LqtLNTwQnJfnAc4uNax</t>
  </si>
  <si>
    <t>1570772714076</t>
  </si>
  <si>
    <t>-LqtLP8CaGYk4lwSkI64</t>
  </si>
  <si>
    <t>1570772721122</t>
  </si>
  <si>
    <t>-LqtLQh4kfwj5C5_nfe0</t>
  </si>
  <si>
    <t>1570772727301</t>
  </si>
  <si>
    <t>-LqtLSQ4Vqd_86_tUF3w</t>
  </si>
  <si>
    <t>1570772734483</t>
  </si>
  <si>
    <t>-LqtLTxwIBd5RzdZcrJ9</t>
  </si>
  <si>
    <t>1570772740682</t>
  </si>
  <si>
    <t>-LqtLVg2gh9lPBa5zt-O</t>
  </si>
  <si>
    <t>1570772747911</t>
  </si>
  <si>
    <t>-LqtLXTvOOd9mSwZj8fR</t>
  </si>
  <si>
    <t>1570772755133</t>
  </si>
  <si>
    <t>-LqtLYxz1XK1vhM94bWx</t>
  </si>
  <si>
    <t>1570772761311</t>
  </si>
  <si>
    <t>-LqtL_kwKBhPIrAK5BlH</t>
  </si>
  <si>
    <t>1570772768531</t>
  </si>
  <si>
    <t>-LqtLbTxwOjWMHCsbqnO</t>
  </si>
  <si>
    <t>1570772775771</t>
  </si>
  <si>
    <t>-LqtLdH3tHG_QnyLAc0Z</t>
  </si>
  <si>
    <t>1570772782953</t>
  </si>
  <si>
    <t>-LqtLf-3AlCmtq0Rj1R8</t>
  </si>
  <si>
    <t>1570772790154</t>
  </si>
  <si>
    <t>-LqtLg_-t8reiTMo3k1b</t>
  </si>
  <si>
    <t>1570772796341</t>
  </si>
  <si>
    <t>-LqtLiHvWmTTJHZe7pzf</t>
  </si>
  <si>
    <t>1570772803561</t>
  </si>
  <si>
    <t>-LqtLk3wazVBGhjw7L_k</t>
  </si>
  <si>
    <t>1570772810790</t>
  </si>
  <si>
    <t>-LqtLlnBe7y2-nlJyfSr</t>
  </si>
  <si>
    <t>1570772817994</t>
  </si>
  <si>
    <t>-LqtLn_c1UBATFFC_qpX</t>
  </si>
  <si>
    <t>1570772825211</t>
  </si>
  <si>
    <t>-LqtLpJCBldEh8ucARSm</t>
  </si>
  <si>
    <t>1570772832402</t>
  </si>
  <si>
    <t>-LqtLqtANz6na5xuh6zr</t>
  </si>
  <si>
    <t>1570772838583</t>
  </si>
  <si>
    <t>-LqtLsb4Aw1wFHSjnTnS</t>
  </si>
  <si>
    <t>1570772845832</t>
  </si>
  <si>
    <t>-LqtLuNxe-3inVRPvlu9</t>
  </si>
  <si>
    <t>1570772853045</t>
  </si>
  <si>
    <t>-LqtLw7AlGDJTVzP94X4</t>
  </si>
  <si>
    <t>1570772860241</t>
  </si>
  <si>
    <t>-LqtLxevdUtya3VvAD4o</t>
  </si>
  <si>
    <t>1570772866431</t>
  </si>
  <si>
    <t>-LqtLzNtgo9WHPS52U7B</t>
  </si>
  <si>
    <t>1570772873660</t>
  </si>
  <si>
    <t>-LqtM0CTC0sHkmHUKjgk</t>
  </si>
  <si>
    <t>1570772880872</t>
  </si>
  <si>
    <t>-LqtM1txxXerbyqcu8z3</t>
  </si>
  <si>
    <t>1570772888072</t>
  </si>
  <si>
    <t>-LqtM3hzJY0l0XtN8x1-</t>
  </si>
  <si>
    <t>1570772895293</t>
  </si>
  <si>
    <t>-LqtM5Pxs4zyaE8dAx7X</t>
  </si>
  <si>
    <t>1570772902482</t>
  </si>
  <si>
    <t>-LqtM7-AijPrzDieQqQK</t>
  </si>
  <si>
    <t>1570772908701</t>
  </si>
  <si>
    <t>-LqtM90_4OfVBZ1pEkEX</t>
  </si>
  <si>
    <t>1570772915911</t>
  </si>
  <si>
    <t>-LqtMAzyFAkxBaCNIY_H</t>
  </si>
  <si>
    <t>1570772925174</t>
  </si>
  <si>
    <t>-LqtMCkpDIKHFAO3Y_-K</t>
  </si>
  <si>
    <t>1570772932393</t>
  </si>
  <si>
    <t>-LqtMEVDt6ySpaskzUp1</t>
  </si>
  <si>
    <t>1570772939594</t>
  </si>
  <si>
    <t>-LqtMG1wJBhkU7qlyiq6</t>
  </si>
  <si>
    <t>1570772945793</t>
  </si>
  <si>
    <t>-LqtMHkxKQlO4ARy3903</t>
  </si>
  <si>
    <t>1570772953015</t>
  </si>
  <si>
    <t>-LqtMJZuBMp77NA99Fqf</t>
  </si>
  <si>
    <t>1570772960225</t>
  </si>
  <si>
    <t>-LqtMLH-poN7-hQzi_MK</t>
  </si>
  <si>
    <t>1570772967436</t>
  </si>
  <si>
    <t>-LqtMN51P_Gh8pLtAq3G</t>
  </si>
  <si>
    <t>1570772974655</t>
  </si>
  <si>
    <t>-LqtMOmqQO66u7dzt-sX</t>
  </si>
  <si>
    <t>1570772981844</t>
  </si>
  <si>
    <t>-LqtMQN1BL0uAjveFXHz</t>
  </si>
  <si>
    <t>1570772988045</t>
  </si>
  <si>
    <t>-LqtMS58QAsVy-hOxH-P</t>
  </si>
  <si>
    <t>1570772995284</t>
  </si>
  <si>
    <t>-LqtMTtDfpQb5fZ_TpeX</t>
  </si>
  <si>
    <t>1570773002485</t>
  </si>
  <si>
    <t>-LqtMVa-sg_SfD6Tm_Cp</t>
  </si>
  <si>
    <t>1570773009673</t>
  </si>
  <si>
    <t>-LqtMXK1Ev6N2aEXPVMw</t>
  </si>
  <si>
    <t>1570773015874</t>
  </si>
  <si>
    <t>-LqtMYtDWCUPquRrVn-0</t>
  </si>
  <si>
    <t>1570773023095</t>
  </si>
  <si>
    <t>-LqtM_eyzvxWe9nJBUc3</t>
  </si>
  <si>
    <t>1570773030305</t>
  </si>
  <si>
    <t>-LqtMbgJCfc8ANTUUiel</t>
  </si>
  <si>
    <t>1570773037523</t>
  </si>
  <si>
    <t>-LqtMdR10pgu_zs3UUmB</t>
  </si>
  <si>
    <t>1570773045764</t>
  </si>
  <si>
    <t>-LqtMf8uMIIeg8uMUtSx</t>
  </si>
  <si>
    <t>1570773052983</t>
  </si>
  <si>
    <t>-LqtMgiHCjgRc64y-M1h</t>
  </si>
  <si>
    <t>1570773059163</t>
  </si>
  <si>
    <t>-LqtMiPxESY9Up7ZtkXL</t>
  </si>
  <si>
    <t>1570773066383</t>
  </si>
  <si>
    <t>-LqtMk-1sZujhP1p-Mmh</t>
  </si>
  <si>
    <t>1570773072565</t>
  </si>
  <si>
    <t>-LqtMlgxxLVlzU1pCF1B</t>
  </si>
  <si>
    <t>1570773079754</t>
  </si>
  <si>
    <t>-LqtMnWKKN0abHOl-iF4</t>
  </si>
  <si>
    <t>1570773086993</t>
  </si>
  <si>
    <t>-LqtMpE0qLsZbg-icH7b</t>
  </si>
  <si>
    <t>1570773094213</t>
  </si>
  <si>
    <t>-LqtMqm5F48K5iVyDR_M</t>
  </si>
  <si>
    <t>1570773100395</t>
  </si>
  <si>
    <t>-LqtMsV4zFoSPPqnynNJ</t>
  </si>
  <si>
    <t>1570773107604</t>
  </si>
  <si>
    <t>-LqtMuI71W1cUeJbHYiM</t>
  </si>
  <si>
    <t>1570773114815</t>
  </si>
  <si>
    <t>-LqtMw18sLM6p9EUzAX4</t>
  </si>
  <si>
    <t>1570773122012</t>
  </si>
  <si>
    <t>-LqtMxa1lW-yNRirroTW</t>
  </si>
  <si>
    <t>1570773128195</t>
  </si>
  <si>
    <t>-LqtMzg4mV9naUDu6g_X</t>
  </si>
  <si>
    <t>1570773136824</t>
  </si>
  <si>
    <t>-LqtN0U4ZgS_WuiAVwmf</t>
  </si>
  <si>
    <t>1570773144461</t>
  </si>
  <si>
    <t>-LqtN24PhA9c5t161niI</t>
  </si>
  <si>
    <t>1570773150885</t>
  </si>
  <si>
    <t>-LqtN3vr_iwXWb8bNO56</t>
  </si>
  <si>
    <t>1570773157074</t>
  </si>
  <si>
    <t>-LqtN5e-serFv0AfZPSe</t>
  </si>
  <si>
    <t>1570773165311</t>
  </si>
  <si>
    <t>-LqtN7N9JIxIMKpIR_T7</t>
  </si>
  <si>
    <t>1570773172530</t>
  </si>
  <si>
    <t>-LqtN99zMI-oz9u1K18R</t>
  </si>
  <si>
    <t>1570773179742</t>
  </si>
  <si>
    <t>-LqtNAs331PVvtVeRlQD</t>
  </si>
  <si>
    <t>1570773186963</t>
  </si>
  <si>
    <t>-LqtNCg-lIiCCshdw_6V</t>
  </si>
  <si>
    <t>1570773194171</t>
  </si>
  <si>
    <t>-LqtNENwUvmPjR5bOWAM</t>
  </si>
  <si>
    <t>1570773201361</t>
  </si>
  <si>
    <t>-LqtNG-RW9TIeFzEhInh</t>
  </si>
  <si>
    <t>1570773207553</t>
  </si>
  <si>
    <t>-LqtNHexd7uCm3QdtK_J</t>
  </si>
  <si>
    <t>1570773214801</t>
  </si>
  <si>
    <t>-LqtNJT3FJwLVidYSf4d</t>
  </si>
  <si>
    <t>1570773222003</t>
  </si>
  <si>
    <t>-LqtNLBqjwHBwo0S0n2u</t>
  </si>
  <si>
    <t>1570773229192</t>
  </si>
  <si>
    <t>-LqtNMfzRjZybSeBzeUC</t>
  </si>
  <si>
    <t>1570773235390</t>
  </si>
  <si>
    <t>-LqtNOF0R2b65koxQl02</t>
  </si>
  <si>
    <t>1570773241588</t>
  </si>
  <si>
    <t>-LqtNQ1uPe63koJjHE6_</t>
  </si>
  <si>
    <t>1570773248811</t>
  </si>
  <si>
    <t>-LqtNRkzGnqLra92_atT</t>
  </si>
  <si>
    <t>1570773256013</t>
  </si>
  <si>
    <t>-LqtNTYFhuzFHR5PXgkz</t>
  </si>
  <si>
    <t>1570773263304</t>
  </si>
  <si>
    <t>-LqtNVH-43MPMywdOPKl</t>
  </si>
  <si>
    <t>1570773270431</t>
  </si>
  <si>
    <t>-LqtNX40leGk4bo4RdtU</t>
  </si>
  <si>
    <t>1570773277650</t>
  </si>
  <si>
    <t>-LqtNYnCwoPs-F2Mo0He</t>
  </si>
  <si>
    <t>1570773284874</t>
  </si>
  <si>
    <t>-LqtN__zIMP0yUo_kmDa</t>
  </si>
  <si>
    <t>1570773292152</t>
  </si>
  <si>
    <t>-LqtNbJ-Np2v3vKYnPwN</t>
  </si>
  <si>
    <t>1570773299273</t>
  </si>
  <si>
    <t>-LqtNcqxgPvDWw9NceXt</t>
  </si>
  <si>
    <t>1570773305472</t>
  </si>
  <si>
    <t>-LqtNeZwRgLrYXe_RyJM</t>
  </si>
  <si>
    <t>1570773312692</t>
  </si>
  <si>
    <t>-LqtNgMvNQeImyiFI8bp</t>
  </si>
  <si>
    <t>1570773319900</t>
  </si>
  <si>
    <t>-LqtNi57R5JWajSJ1NYp</t>
  </si>
  <si>
    <t>1570773327120</t>
  </si>
  <si>
    <t>-LqtNjuHSpPU7TfQ0zip</t>
  </si>
  <si>
    <t>1570773334332</t>
  </si>
  <si>
    <t>-LqtNlbqZ_LxqQVcRcPy</t>
  </si>
  <si>
    <t>1570773341522</t>
  </si>
  <si>
    <t>-LqtNnBACO-9hGSdKhy5</t>
  </si>
  <si>
    <t>1570773347736</t>
  </si>
  <si>
    <t>-LqtNouJ3t-fuQcfyr6g</t>
  </si>
  <si>
    <t>1570773354976</t>
  </si>
  <si>
    <t>-LqtNqwDbksaKvUhfRXl</t>
  </si>
  <si>
    <t>1570773363229</t>
  </si>
  <si>
    <t>-LqtNsdy-S7Lh1O9AUAg</t>
  </si>
  <si>
    <t>1570773370402</t>
  </si>
  <si>
    <t>-LqtNuDBa5o7Irbj3SVF</t>
  </si>
  <si>
    <t>1570773376592</t>
  </si>
  <si>
    <t>-LqtNvuwyips2gTRxIeu</t>
  </si>
  <si>
    <t>1570773383810</t>
  </si>
  <si>
    <t>-LqtNzDR_haGLO6SOz8h</t>
  </si>
  <si>
    <t>1570773389983</t>
  </si>
  <si>
    <t>-LqtO00KEsP_gkKDjYCF</t>
  </si>
  <si>
    <t>1570773404413</t>
  </si>
  <si>
    <t>-LqtO1jC5wUX7VeqRPPR</t>
  </si>
  <si>
    <t>1570773411602</t>
  </si>
  <si>
    <t>-LqtO3I48azB-Dm2K93L</t>
  </si>
  <si>
    <t>1570773417793</t>
  </si>
  <si>
    <t>-LqtO51G3haHKUEyw2N8</t>
  </si>
  <si>
    <t>1570773425034</t>
  </si>
  <si>
    <t>-LqtO6o-t4aO8xxRIZTZ</t>
  </si>
  <si>
    <t>1570773432243</t>
  </si>
  <si>
    <t>-LqtO8X5fKU8isMr78Uh</t>
  </si>
  <si>
    <t>1570773439432</t>
  </si>
  <si>
    <t>-LqtOA5CS0M0ZehSHYcv</t>
  </si>
  <si>
    <t>1570773445641</t>
  </si>
  <si>
    <t>-LqtOBo0F0ckCunZAJKq</t>
  </si>
  <si>
    <t>1570773452851</t>
  </si>
  <si>
    <t>-LqtODNBMJTSPCrdCO8L</t>
  </si>
  <si>
    <t>1570773459050</t>
  </si>
  <si>
    <t>-LqtOF3xAfZef5oIi6tu</t>
  </si>
  <si>
    <t>1570773466251</t>
  </si>
  <si>
    <t>-LqtOGtBaK2RK3yRdPKE</t>
  </si>
  <si>
    <t>1570773473463</t>
  </si>
  <si>
    <t>-LqtOIbLwuid0R800VEQ</t>
  </si>
  <si>
    <t>1570773480683</t>
  </si>
  <si>
    <t>-LqtOK5wATxuTWr5V45Y</t>
  </si>
  <si>
    <t>1570773486873</t>
  </si>
  <si>
    <t>-LqtOLe0tEWcgEU23KCi</t>
  </si>
  <si>
    <t>1570773493043</t>
  </si>
  <si>
    <t>-LqtONLxpBBKZcmzUHdB</t>
  </si>
  <si>
    <t>1570773500232</t>
  </si>
  <si>
    <t>-LqtOOw2AF6WOwwx4mQk</t>
  </si>
  <si>
    <t>1570773506443</t>
  </si>
  <si>
    <t>-LqtOQe11YUi8xTUOdrk</t>
  </si>
  <si>
    <t>1570773513691</t>
  </si>
  <si>
    <t>-LqtOS8J1FEMpRSOAtO_</t>
  </si>
  <si>
    <t>1570773519841</t>
  </si>
  <si>
    <t>-LqtOTh-X1X7ijQEPlYV</t>
  </si>
  <si>
    <t>1570773526023</t>
  </si>
  <si>
    <t>-LqtOVOwUnCrEly0ymAj</t>
  </si>
  <si>
    <t>1570773533253</t>
  </si>
  <si>
    <t>-LqtOWzCavZGmyUrH2WF</t>
  </si>
  <si>
    <t>1570773539391</t>
  </si>
  <si>
    <t>-LqtOYhCEfj3oAHWQbfi</t>
  </si>
  <si>
    <t>1570773546642</t>
  </si>
  <si>
    <t>-LqtO_jyM81nTG-PF1Pe</t>
  </si>
  <si>
    <t>1570773553853</t>
  </si>
  <si>
    <t>-LqtObW4mJk4SLedFxzl</t>
  </si>
  <si>
    <t>1570773562103</t>
  </si>
  <si>
    <t>-LqtOdE6RWm9alKbRC_H</t>
  </si>
  <si>
    <t>1570773569314</t>
  </si>
  <si>
    <t>-LqtOf2-jd_OiYMuXXYd</t>
  </si>
  <si>
    <t>1570773576522</t>
  </si>
  <si>
    <t>-LqtOgjxcgEnGb6cI-lG</t>
  </si>
  <si>
    <t>1570773583762</t>
  </si>
  <si>
    <t>-LqtOisEGhfh3lSYyqff</t>
  </si>
  <si>
    <t>1570773592475</t>
  </si>
  <si>
    <t>-LqtOkWpIW2-JkgKIDlc</t>
  </si>
  <si>
    <t>1570773599193</t>
  </si>
  <si>
    <t>-LqtOmItEBhvo7-4TLZt</t>
  </si>
  <si>
    <t>1570773606412</t>
  </si>
  <si>
    <t>-LqtOnlxtUBAhyCc6vLo</t>
  </si>
  <si>
    <t>1570773612563</t>
  </si>
  <si>
    <t>-LqtOpMGVxvsleds1vMh</t>
  </si>
  <si>
    <t>1570773618752</t>
  </si>
  <si>
    <t>-LqtOr4Ci8NTmNW4ptyH</t>
  </si>
  <si>
    <t>1570773626002</t>
  </si>
  <si>
    <t>-LqtOt4o9VpKaWIPmzyi</t>
  </si>
  <si>
    <t>1570773634281</t>
  </si>
  <si>
    <t>-LqtOunxMASvyJ3VNKC1</t>
  </si>
  <si>
    <t>1570773641421</t>
  </si>
  <si>
    <t>-LqtOwOBbRa0Wv5c6y9v</t>
  </si>
  <si>
    <t>1570773647633</t>
  </si>
  <si>
    <t>-LqtOy4wrCXnUtTYfCTT</t>
  </si>
  <si>
    <t>1570773654852</t>
  </si>
  <si>
    <t>-LqtOzf-THkmz5oUr3QT</t>
  </si>
  <si>
    <t>1570773661032</t>
  </si>
  <si>
    <t>-LqtP0MymdjJgg6XxFcZ</t>
  </si>
  <si>
    <t>1570773668242</t>
  </si>
  <si>
    <t>-LqtP29xHbWrQHql_3DB</t>
  </si>
  <si>
    <t>1570773675463</t>
  </si>
  <si>
    <t>-LqtP3z0qKxTQSLRzByA</t>
  </si>
  <si>
    <t>1570773683042</t>
  </si>
  <si>
    <t>-LqtP5hCiKqviNYihhd6</t>
  </si>
  <si>
    <t>1570773689882</t>
  </si>
  <si>
    <t>-LqtP7QCihIgXpZn3VWQ</t>
  </si>
  <si>
    <t>1570773697103</t>
  </si>
  <si>
    <t>-LqtP9QyZtZRwAaZnk4H</t>
  </si>
  <si>
    <t>1570773705153</t>
  </si>
  <si>
    <t>-LqtPBFCFq1eHhdHBdmt</t>
  </si>
  <si>
    <t>1570773712561</t>
  </si>
  <si>
    <t>-LqtPCx3E-WOGxhO8t5h</t>
  </si>
  <si>
    <t>1570773719752</t>
  </si>
  <si>
    <t>-LqtPEX0H6FPOq3hPUXM</t>
  </si>
  <si>
    <t>1570773725953</t>
  </si>
  <si>
    <t>-LqtPGDxciFuzFg0g8xz</t>
  </si>
  <si>
    <t>1570773733173</t>
  </si>
  <si>
    <t>-LqtPI2B8oATbh8xAj7k</t>
  </si>
  <si>
    <t>1570773740383</t>
  </si>
  <si>
    <t>-LqtPJlB8YH242QdXxBe</t>
  </si>
  <si>
    <t>1570773747596</t>
  </si>
  <si>
    <t>-LqtPLZCMlzsNRYIfEsn</t>
  </si>
  <si>
    <t>1570773754812</t>
  </si>
  <si>
    <t>-LqtPNH-UiuCd8A1uB28</t>
  </si>
  <si>
    <t>1570773762002</t>
  </si>
  <si>
    <t>-LqtPP4BWt4NZbg2cpkD</t>
  </si>
  <si>
    <t>1570773768204</t>
  </si>
  <si>
    <t>-LqtPQlxomJVpZ9BBivL</t>
  </si>
  <si>
    <t>1570773776464</t>
  </si>
  <si>
    <t>-LqtPSMIFhviDGWmGmOa</t>
  </si>
  <si>
    <t>1570773782642</t>
  </si>
  <si>
    <t>-LqtPU2x-JcyY0zLOBTc</t>
  </si>
  <si>
    <t>1570773789833</t>
  </si>
  <si>
    <t>-LqtPVdCxj7S0_-rIQXh</t>
  </si>
  <si>
    <t>1570773796024</t>
  </si>
  <si>
    <t>-LqtPXLTxQ-K-6tT07Uz</t>
  </si>
  <si>
    <t>1570773803252</t>
  </si>
  <si>
    <t>-LqtPYqCgWmtxc1ArsnV</t>
  </si>
  <si>
    <t>1570773809442</t>
  </si>
  <si>
    <t>-LqtP_bvCYGz1DwYUYoy</t>
  </si>
  <si>
    <t>1570773816781</t>
  </si>
  <si>
    <t>-LqtPbQ2wO5tz4GNe_-r</t>
  </si>
  <si>
    <t>1570773823863</t>
  </si>
  <si>
    <t>-LqtPd7vZlu3egemOLRk</t>
  </si>
  <si>
    <t>1570773831072</t>
  </si>
  <si>
    <t>-LqtPew4_zn8-QbfJYAE</t>
  </si>
  <si>
    <t>1570773838281</t>
  </si>
  <si>
    <t>-LqtPgdkgbJjTmXPD0ee</t>
  </si>
  <si>
    <t>1570773845523</t>
  </si>
  <si>
    <t>-LqtPiTCo_esFTNSgw0d</t>
  </si>
  <si>
    <t>1570773852721</t>
  </si>
  <si>
    <t>-LqtPk9wCmqDf29tEwUx</t>
  </si>
  <si>
    <t>1570773859913</t>
  </si>
  <si>
    <t>-LqtPm2zIrdN_0eiXpaZ</t>
  </si>
  <si>
    <t>1570773866113</t>
  </si>
  <si>
    <t>-LqtPnfuS1Bt9HVnvCmW</t>
  </si>
  <si>
    <t>1570773874368</t>
  </si>
  <si>
    <t>-LqtPpEtIM9b948HM7pl</t>
  </si>
  <si>
    <t>1570773880539</t>
  </si>
  <si>
    <t>-LqtPqwcm_dBelvMjb_U</t>
  </si>
  <si>
    <t>1570773887757</t>
  </si>
  <si>
    <t>-LqtPsWtZDC3U_zaCyHk</t>
  </si>
  <si>
    <t>1570773893947</t>
  </si>
  <si>
    <t>-LqtPuEsilMMxkvl13Z1</t>
  </si>
  <si>
    <t>1570773901148</t>
  </si>
  <si>
    <t>-LqtPw1rru7oe9X32843</t>
  </si>
  <si>
    <t>1570773908368</t>
  </si>
  <si>
    <t>-LqtPxsA2GSsmQDZNJHd</t>
  </si>
  <si>
    <t>1570773915589</t>
  </si>
  <si>
    <t>-LqtPzZ0Ga-dvzHaW3D3</t>
  </si>
  <si>
    <t>1570773922797</t>
  </si>
  <si>
    <t>-LqtQ0GqW3CfgLLjxPn-</t>
  </si>
  <si>
    <t>1570773929987</t>
  </si>
  <si>
    <t>-LqtQ1prTLKkFMaKILES</t>
  </si>
  <si>
    <t>1570773936189</t>
  </si>
  <si>
    <t>-LqtQ3mveEjhhP2-IDvD</t>
  </si>
  <si>
    <t>1570773944175</t>
  </si>
  <si>
    <t>-LqtQ5Lzm4p-wN0yhJhk</t>
  </si>
  <si>
    <t>1570773950598</t>
  </si>
  <si>
    <t>-LqtQ7Z9uVqF7rOYOAJa</t>
  </si>
  <si>
    <t>1570773957838</t>
  </si>
  <si>
    <t>-LqtQ960m8SpJmAEMp8j</t>
  </si>
  <si>
    <t>1570773966078</t>
  </si>
  <si>
    <t>-LqtQAtrdusMm7R8WuWI</t>
  </si>
  <si>
    <t>1570773973299</t>
  </si>
  <si>
    <t>-LqtQCc1WF4mIhZ-Vy7J</t>
  </si>
  <si>
    <t>1570773980518</t>
  </si>
  <si>
    <t>-LqtQE5w2hc7RDGmH6Gk</t>
  </si>
  <si>
    <t>1570773986699</t>
  </si>
  <si>
    <t>-LqtQFeq-1uFD0Gvv6Ss</t>
  </si>
  <si>
    <t>1570773992880</t>
  </si>
  <si>
    <t>-LqtQHNnJlf6YePeF2Cv</t>
  </si>
  <si>
    <t>1570774000068</t>
  </si>
  <si>
    <t>-LqtQIy6KVmyyPbYo9YV</t>
  </si>
  <si>
    <t>1570774006278</t>
  </si>
  <si>
    <t>-LqtQKg5CuGuOibgFzS5</t>
  </si>
  <si>
    <t>1570774013517</t>
  </si>
  <si>
    <t>-LqtQMU44kaSOZg3JSeY</t>
  </si>
  <si>
    <t>1570774020707</t>
  </si>
  <si>
    <t>-LqtQO9_fyi37slDMAir</t>
  </si>
  <si>
    <t>1570774027908</t>
  </si>
  <si>
    <t>-LqtQPl6u-saLSGUMK5x</t>
  </si>
  <si>
    <t>1570774034116</t>
  </si>
  <si>
    <t>-LqtQRSru8UM9u7Jxp7k</t>
  </si>
  <si>
    <t>1570774041319</t>
  </si>
  <si>
    <t>-LqtQTH6uVJ8O-nnI2hC</t>
  </si>
  <si>
    <t>1570774048539</t>
  </si>
  <si>
    <t>-LqtQUzzMfwqqGU6CDXW</t>
  </si>
  <si>
    <t>1570774055759</t>
  </si>
  <si>
    <t>-LqtQWn54Cfm-Z7kE9pV</t>
  </si>
  <si>
    <t>1570774062959</t>
  </si>
  <si>
    <t>-LqtQYUsIMOQ-rNlQMmd</t>
  </si>
  <si>
    <t>1570774070149</t>
  </si>
  <si>
    <t>-LqtQ_OMxHvhuN3iFrvt</t>
  </si>
  <si>
    <t>1570774076339</t>
  </si>
  <si>
    <t>-LqtQb-N4e3qk-VnVCfA</t>
  </si>
  <si>
    <t>1570774084578</t>
  </si>
  <si>
    <t>-LqtQcZqti6QxbXX4M72</t>
  </si>
  <si>
    <t>1570774090799</t>
  </si>
  <si>
    <t>-LqtQebiuEIZjzWdqeyz</t>
  </si>
  <si>
    <t>1570774097997</t>
  </si>
  <si>
    <t>-LqtQgJtHfZd5ajl3Gq0</t>
  </si>
  <si>
    <t>1570774106251</t>
  </si>
  <si>
    <t>-LqtQi6toQ-agtEnmgqZ</t>
  </si>
  <si>
    <t>1570774113470</t>
  </si>
  <si>
    <t>-LqtQjpuqnd1zdhoagSm</t>
  </si>
  <si>
    <t>1570774120671</t>
  </si>
  <si>
    <t>-LqtQlctJxlmsv_HJ6IG</t>
  </si>
  <si>
    <t>1570774127892</t>
  </si>
  <si>
    <t>-LqtQnKd6ruAnkptFi8J</t>
  </si>
  <si>
    <t>1570774135112</t>
  </si>
  <si>
    <t>-LqtQp50xBlsR1OpmE77</t>
  </si>
  <si>
    <t>1570774142323</t>
  </si>
  <si>
    <t>-LqtQqcu4NoI-1wv956q</t>
  </si>
  <si>
    <t>1570774148503</t>
  </si>
  <si>
    <t>-LqtQsQwMC8RODRtxsKK</t>
  </si>
  <si>
    <t>1570774155734</t>
  </si>
  <si>
    <t>-LqtQuA9cRwBjJ48DFwq</t>
  </si>
  <si>
    <t>1570774162934</t>
  </si>
  <si>
    <t>-LqtQvwwqIN3ADhvC78S</t>
  </si>
  <si>
    <t>1570774170141</t>
  </si>
  <si>
    <t>-LqtQxg9vJOLIawH1xGr</t>
  </si>
  <si>
    <t>1570774177353</t>
  </si>
  <si>
    <t>-LqtQzSsE_gZHNHeLfJN</t>
  </si>
  <si>
    <t>1570774184579</t>
  </si>
  <si>
    <t>-LqtR0AuAfByX7zeV3Xs</t>
  </si>
  <si>
    <t>1570774191762</t>
  </si>
  <si>
    <t>-LqtR1jurXtsxz_VLO8k</t>
  </si>
  <si>
    <t>1570774197952</t>
  </si>
  <si>
    <t>-LqtR3RdPeNOnWH0mGdy</t>
  </si>
  <si>
    <t>1570774205192</t>
  </si>
  <si>
    <t>-LqtR5HArB6YjFzoS-q4</t>
  </si>
  <si>
    <t>1570774212401</t>
  </si>
  <si>
    <t>-LqtR6ymY4xPccZrz02b</t>
  </si>
  <si>
    <t>1570774219593</t>
  </si>
  <si>
    <t>-LqtR8Z1V59R9FbKWMcy</t>
  </si>
  <si>
    <t>1570774225792</t>
  </si>
  <si>
    <t>-LqtRAG688OaumaEgVs8</t>
  </si>
  <si>
    <t>1570774233011</t>
  </si>
  <si>
    <t>-LqtRC2u_iNhJebZv8xz</t>
  </si>
  <si>
    <t>1570774240222</t>
  </si>
  <si>
    <t>-LqtRDn1et6grkLSNybD</t>
  </si>
  <si>
    <t>1570774247431</t>
  </si>
  <si>
    <t>-LqtRFKlwmMcMOj1M8Ue</t>
  </si>
  <si>
    <t>1570774253623</t>
  </si>
  <si>
    <t>-LqtRGrITdCXhVOTnVqJ</t>
  </si>
  <si>
    <t>1570774259792</t>
  </si>
  <si>
    <t>-LqtRIXsXQoQCF5L25d4</t>
  </si>
  <si>
    <t>1570774267023</t>
  </si>
  <si>
    <t>-LqtRK5uBNJtJdwB4AHY</t>
  </si>
  <si>
    <t>1570774273192</t>
  </si>
  <si>
    <t>-LqtRLqm_BjVzASu56Sn</t>
  </si>
  <si>
    <t>1570774280391</t>
  </si>
  <si>
    <t>-LqtRNNukiM5jAS7GD4b</t>
  </si>
  <si>
    <t>1570774286593</t>
  </si>
  <si>
    <t>-LqtRP5t1UiYQbf-tABs</t>
  </si>
  <si>
    <t>1570774293800</t>
  </si>
  <si>
    <t>-LqtRRAThykjILq3Jgpy</t>
  </si>
  <si>
    <t>1570774301022</t>
  </si>
  <si>
    <t>-LqtRSqt993LSmbtvxHY</t>
  </si>
  <si>
    <t>1570774309272</t>
  </si>
  <si>
    <t>-LqtRUR9aPr1qP4p2BcW</t>
  </si>
  <si>
    <t>1570774315452</t>
  </si>
  <si>
    <t>-LqtRW7x9bnLELOWe1xh</t>
  </si>
  <si>
    <t>1570774322643</t>
  </si>
  <si>
    <t>-LqtRXgvEv4th7HXyakP</t>
  </si>
  <si>
    <t>1570774328841</t>
  </si>
  <si>
    <t>-LqtRZkDIO6p27jkZVel</t>
  </si>
  <si>
    <t>1570774337286</t>
  </si>
  <si>
    <t>-LqtRaSc9hq6ko5xrowg</t>
  </si>
  <si>
    <t>1570774344303</t>
  </si>
  <si>
    <t>-LqtRcBDsUV9iN2_8-np</t>
  </si>
  <si>
    <t>1570774351525</t>
  </si>
  <si>
    <t>-LqtRdkCaNxwEH8trwRf</t>
  </si>
  <si>
    <t>1570774357704</t>
  </si>
  <si>
    <t>-LqtRfT8m0s_I7XoeLDt</t>
  </si>
  <si>
    <t>1570774364894</t>
  </si>
  <si>
    <t>-LqtRh1DGv4ct09ZBemX</t>
  </si>
  <si>
    <t>1570774371073</t>
  </si>
  <si>
    <t>-LqtRikC0vxIFq8cAi3_</t>
  </si>
  <si>
    <t>1570774378321</t>
  </si>
  <si>
    <t>-LqtRkYAcCFVFQSM28Ck</t>
  </si>
  <si>
    <t>1570774385531</t>
  </si>
  <si>
    <t>-LqtRmGCpIZFR6LKF0Bv</t>
  </si>
  <si>
    <t>1570774392723</t>
  </si>
  <si>
    <t>-LqtRo3LJbPprXTZyULP</t>
  </si>
  <si>
    <t>1570774399963</t>
  </si>
  <si>
    <t>-LqtRpluhjDYiRDDUX8O</t>
  </si>
  <si>
    <t>1570774407145</t>
  </si>
  <si>
    <t>-LqtRrGCU5djtgknFg7y</t>
  </si>
  <si>
    <t>1570774413342</t>
  </si>
  <si>
    <t>-LqtRspCkiA5T69_Z2_g</t>
  </si>
  <si>
    <t>1570774419535</t>
  </si>
  <si>
    <t>-LqtRudSWvMsaj8ySGw2</t>
  </si>
  <si>
    <t>1570774426755</t>
  </si>
  <si>
    <t>-LqtRwLEp9CBrB-d3QTw</t>
  </si>
  <si>
    <t>1570774433965</t>
  </si>
  <si>
    <t>-LqtRy8FWfvMt-k2b3Pd</t>
  </si>
  <si>
    <t>1570774441185</t>
  </si>
  <si>
    <t>-LqtRzr-IZJ-_UrFzqsi</t>
  </si>
  <si>
    <t>1570774448402</t>
  </si>
  <si>
    <t>-LqtS0cuA5xTU-DXsoUO</t>
  </si>
  <si>
    <t>1570774455600</t>
  </si>
  <si>
    <t>-LqtS2LvCJ7K0iyX-9E6</t>
  </si>
  <si>
    <t>1570774462791</t>
  </si>
  <si>
    <t>-LqtS3wAa75zjvEFOJwq</t>
  </si>
  <si>
    <t>1570774468991</t>
  </si>
  <si>
    <t>-LqtS5eAE35TDQJW1r7k</t>
  </si>
  <si>
    <t>1570774476247</t>
  </si>
  <si>
    <t>-LqtS7Qv89qdOaL4Oidn</t>
  </si>
  <si>
    <t>1570774483432</t>
  </si>
  <si>
    <t>-LqtS8xF2q7SvA4HJ2Gw</t>
  </si>
  <si>
    <t>1570774489591</t>
  </si>
  <si>
    <t>-LqtSAj0feJirA9IfvMx</t>
  </si>
  <si>
    <t>1570774496831</t>
  </si>
  <si>
    <t>-LqtSCQl2YX_Mf97TAlQ</t>
  </si>
  <si>
    <t>1570774504042</t>
  </si>
  <si>
    <t>-LqtSEABzWzqnWkSJash</t>
  </si>
  <si>
    <t>1570774511174</t>
  </si>
  <si>
    <t>-LqtSFj-KcP7Hi7E3ilq</t>
  </si>
  <si>
    <t>1570774517442</t>
  </si>
  <si>
    <t>-LqtSHX2LK8sgR7eIZKq</t>
  </si>
  <si>
    <t>1570774524663</t>
  </si>
  <si>
    <t>-LqtSJJsm6RyvTjg_ONc</t>
  </si>
  <si>
    <t>1570774531880</t>
  </si>
  <si>
    <t>-LqtSL2BTeb4zPpYdzEu</t>
  </si>
  <si>
    <t>1570774539082</t>
  </si>
  <si>
    <t>-LqtSMl0DShVPcTykM3z</t>
  </si>
  <si>
    <t>1570774546312</t>
  </si>
  <si>
    <t>-LqtSOZBWWjlVauIwLJR</t>
  </si>
  <si>
    <t>1570774553513</t>
  </si>
  <si>
    <t>-LqtSQH5pMIYbKFF1sKU</t>
  </si>
  <si>
    <t>1570774560711</t>
  </si>
  <si>
    <t>-LqtSSJcjM4rRSx4-PlS</t>
  </si>
  <si>
    <t>1570774566892</t>
  </si>
  <si>
    <t>-LqtSU6-4tFIfF5FKfu1</t>
  </si>
  <si>
    <t>1570774576194</t>
  </si>
  <si>
    <t>-LqtSVpB_lyQAcuY1xEV</t>
  </si>
  <si>
    <t>1570774583402</t>
  </si>
  <si>
    <t>-LqtSXY8BwkHE-2FJlGs</t>
  </si>
  <si>
    <t>1570774590621</t>
  </si>
  <si>
    <t>-LqtSZ60Vwcq24OtX9Y9</t>
  </si>
  <si>
    <t>1570774596811</t>
  </si>
  <si>
    <t>-LqtS_tztq64w0Yx39_r</t>
  </si>
  <si>
    <t>1570774604023</t>
  </si>
  <si>
    <t>-LqtSbc8jBOMww6r3Dzh</t>
  </si>
  <si>
    <t>1570774611274</t>
  </si>
  <si>
    <t>-LqtSdL1p7q4NaOIDpFB</t>
  </si>
  <si>
    <t>1570774618441</t>
  </si>
  <si>
    <t>-LqtSf9yO1u54QOiHJ2V</t>
  </si>
  <si>
    <t>1570774624630</t>
  </si>
  <si>
    <t>-LqtSgv6Yk2QszTEkwz0</t>
  </si>
  <si>
    <t>1570774632872</t>
  </si>
  <si>
    <t>-LqtSie0BPfW6YZ07ZUE</t>
  </si>
  <si>
    <t>1570774640073</t>
  </si>
  <si>
    <t>-LqtSkMr5sXBuEU4hTgi</t>
  </si>
  <si>
    <t>1570774647261</t>
  </si>
  <si>
    <t>-LqtSlw8B_LbVUw4bNIm</t>
  </si>
  <si>
    <t>1570774653481</t>
  </si>
  <si>
    <t>-LqtSnj8kq7jYpoJbIHK</t>
  </si>
  <si>
    <t>1570774660693</t>
  </si>
  <si>
    <t>-LqtSpS8arHRCvxzbFB1</t>
  </si>
  <si>
    <t>1570774667911</t>
  </si>
  <si>
    <t>-LqtSrF3Ldful9ZuzI9s</t>
  </si>
  <si>
    <t>1570774675092</t>
  </si>
  <si>
    <t>-LqtSsy8CUJ8_Id9GWx8</t>
  </si>
  <si>
    <t>1570774682313</t>
  </si>
  <si>
    <t>-LqtSuS3lOZ3EwFVbk9s</t>
  </si>
  <si>
    <t>1570774688482</t>
  </si>
  <si>
    <t>-LqtSw09YRKPBaW_owKg</t>
  </si>
  <si>
    <t>1570774694703</t>
  </si>
  <si>
    <t>-LqtSxkHdmaEQFw8JHIX</t>
  </si>
  <si>
    <t>1570774701913</t>
  </si>
  <si>
    <t>-LqtSzQd7ZLVx1H5-VQv</t>
  </si>
  <si>
    <t>1570774708109</t>
  </si>
  <si>
    <t>-LqtT000IrSUQ9lxMxvJ</t>
  </si>
  <si>
    <t>1570774715281</t>
  </si>
  <si>
    <t>-LqtT1_9dJ_r2SMeTNVi</t>
  </si>
  <si>
    <t>1570774721471</t>
  </si>
  <si>
    <t>-LqtT3N5F3-5p5_IMN3P</t>
  </si>
  <si>
    <t>1570774728717</t>
  </si>
  <si>
    <t>-LqtT551IArkwfJCJky3</t>
  </si>
  <si>
    <t>1570774735921</t>
  </si>
  <si>
    <t>-LqtT6o9c2ueWu7lKX7M</t>
  </si>
  <si>
    <t>1570774743113</t>
  </si>
  <si>
    <t>-LqtT8b2UmrXLCg99Duj</t>
  </si>
  <si>
    <t>1570774750322</t>
  </si>
  <si>
    <t>-LqtTAK1XxhTiLt4IP08</t>
  </si>
  <si>
    <t>1570774757571</t>
  </si>
  <si>
    <t>-LqtTBtBvhjE1vbYTv7l</t>
  </si>
  <si>
    <t>1570774763741</t>
  </si>
  <si>
    <t>-LqtTDb2OHTEdu6GhHSV</t>
  </si>
  <si>
    <t>1570774770971</t>
  </si>
  <si>
    <t>-LqtTFP-OBrK9JqXREhg</t>
  </si>
  <si>
    <t>1570774778171</t>
  </si>
  <si>
    <t>-LqtTH7AXrMxLjJdrT_p</t>
  </si>
  <si>
    <t>1570774785369</t>
  </si>
  <si>
    <t>-LqtTIg8-LymqNBJJUsn</t>
  </si>
  <si>
    <t>1570774791553</t>
  </si>
  <si>
    <t>-LqtTKioAvJZdgEqcMPD</t>
  </si>
  <si>
    <t>1570774798792</t>
  </si>
  <si>
    <t>-LqtTMR9wJi8KpXHDiwy</t>
  </si>
  <si>
    <t>1570774807033</t>
  </si>
  <si>
    <t>-LqtTO7kxYoDiMcyDgBy</t>
  </si>
  <si>
    <t>1570774814240</t>
  </si>
  <si>
    <t>-LqtTPxBJfKOpYdmshGd</t>
  </si>
  <si>
    <t>1570774820398</t>
  </si>
  <si>
    <t>-LqtTRkA3FbMyCIlg7mO</t>
  </si>
  <si>
    <t>1570774828672</t>
  </si>
  <si>
    <t>-LqtTTS-m-uX_CVe44J2</t>
  </si>
  <si>
    <t>1570774835881</t>
  </si>
  <si>
    <t>-LqtTVF1Bw3BH71Jpbxv</t>
  </si>
  <si>
    <t>1570774843104</t>
  </si>
  <si>
    <t>-LqtTXG7IU5zWtJOlbEW</t>
  </si>
  <si>
    <t>1570774850312</t>
  </si>
  <si>
    <t>-LqtTZ-2hnDtXFar5Rac</t>
  </si>
  <si>
    <t>1570774858561</t>
  </si>
  <si>
    <t>-LqtT_o0gOXWIaZw7dT6</t>
  </si>
  <si>
    <t>1570774865771</t>
  </si>
  <si>
    <t>-LqtTbWW6wpJB3v2dUnl</t>
  </si>
  <si>
    <t>1570774872981</t>
  </si>
  <si>
    <t>-LqtTdIwJmYFu--c-T6x</t>
  </si>
  <si>
    <t>1570774880193</t>
  </si>
  <si>
    <t>-LqtTfFcGE-q54hbXehq</t>
  </si>
  <si>
    <t>1570774887382</t>
  </si>
  <si>
    <t>-LqtTgqUUN8HNMREGcMC</t>
  </si>
  <si>
    <t>1570774894621</t>
  </si>
  <si>
    <t>-LqtTiZAgSb1JUeR5axj</t>
  </si>
  <si>
    <t>1570774901832</t>
  </si>
  <si>
    <t>-LqtTkMJy3se87nASW-E</t>
  </si>
  <si>
    <t>1570774909052</t>
  </si>
  <si>
    <t>-LqtTm2w-tfe1j4l7bqd</t>
  </si>
  <si>
    <t>1570774916244</t>
  </si>
  <si>
    <t>-LqtTndBsoa7Q8EQXz2x</t>
  </si>
  <si>
    <t>1570774922432</t>
  </si>
  <si>
    <t>-LqtTpKu0Q5t9c56KKAy</t>
  </si>
  <si>
    <t>1570774929672</t>
  </si>
  <si>
    <t>-LqtTr995BKL8BOEDuef</t>
  </si>
  <si>
    <t>1570774936872</t>
  </si>
  <si>
    <t>-LqtTss95sx2Q4ILl9f0</t>
  </si>
  <si>
    <t>1570774944072</t>
  </si>
  <si>
    <t>-LqtTuPt3uzDk1GCdVON</t>
  </si>
  <si>
    <t>1570774950270</t>
  </si>
  <si>
    <t>-LqtTw9-zOxCJFu8wGFx</t>
  </si>
  <si>
    <t>1570774957482</t>
  </si>
  <si>
    <t>-LqtTxvvZyYfwTJoqzU2</t>
  </si>
  <si>
    <t>1570774964702</t>
  </si>
  <si>
    <t>-LqtTzfDgKSplRobEv3f</t>
  </si>
  <si>
    <t>1570774971921</t>
  </si>
  <si>
    <t>-LqtU0TGSRwdmRAiDPvC</t>
  </si>
  <si>
    <t>1570774979122</t>
  </si>
  <si>
    <t>-LqtU2B9sCFB7XEsYNH9</t>
  </si>
  <si>
    <t>1570774986312</t>
  </si>
  <si>
    <t>-LqtU3k7q-7nw76_H26o</t>
  </si>
  <si>
    <t>1570774992513</t>
  </si>
  <si>
    <t>-LqtU5T1SojQxjqBVRhH</t>
  </si>
  <si>
    <t>1570774999731</t>
  </si>
  <si>
    <t>-LqtU7G8W3gEEG2Yd2zG</t>
  </si>
  <si>
    <t>1570775006942</t>
  </si>
  <si>
    <t>-LqtU9D7gtHGP2KMewSP</t>
  </si>
  <si>
    <t>1570775014161</t>
  </si>
  <si>
    <t>-LqtUAktWQHbMfbqaMvG</t>
  </si>
  <si>
    <t>1570775021372</t>
  </si>
  <si>
    <t>-LqtUCVClf45P9KkPCqW</t>
  </si>
  <si>
    <t>1570775028561</t>
  </si>
  <si>
    <t>-LqtUE39J1h88ODFVvAt</t>
  </si>
  <si>
    <t>1570775034740</t>
  </si>
  <si>
    <t>-LqtUG59-vtRgS8Ar2DO</t>
  </si>
  <si>
    <t>1570775043190</t>
  </si>
  <si>
    <t>-LqtUHo8lGFequQvI1k_</t>
  </si>
  <si>
    <t>1570775050222</t>
  </si>
  <si>
    <t>-LqtUJX1MWYoPTSfanfi</t>
  </si>
  <si>
    <t>1570775057443</t>
  </si>
  <si>
    <t>-LqtUL58X-QDolYYqZiW</t>
  </si>
  <si>
    <t>1570775063650</t>
  </si>
  <si>
    <t>-LqtUMoG8ersNWLbaYWa</t>
  </si>
  <si>
    <t>1570775070811</t>
  </si>
  <si>
    <t>-LqtUOLtyasiEB9R1w5i</t>
  </si>
  <si>
    <t>1570775077021</t>
  </si>
  <si>
    <t>-LqtUQS2YXefKHi3pFqp</t>
  </si>
  <si>
    <t>1570775084231</t>
  </si>
  <si>
    <t>-LqtUS78RXwKEivSDyJU</t>
  </si>
  <si>
    <t>1570775092482</t>
  </si>
  <si>
    <t>-LqtUUEEanD-_KqM4J33</t>
  </si>
  <si>
    <t>1570775099692</t>
  </si>
  <si>
    <t>-LqtUVsBLjMfKEyJRLWP</t>
  </si>
  <si>
    <t>1570775107912</t>
  </si>
  <si>
    <t>-LqtUXRBv-elE-V6gLVG</t>
  </si>
  <si>
    <t>1570775114112</t>
  </si>
  <si>
    <t>-LqtUZ90PxxnHIJ4W6PI</t>
  </si>
  <si>
    <t>1570775121331</t>
  </si>
  <si>
    <t>-LqtU_xAemH0hxlSmTLN</t>
  </si>
  <si>
    <t>1570775128542</t>
  </si>
  <si>
    <t>-LqtUbdt2SX6J3Yb7Pav</t>
  </si>
  <si>
    <t>1570775135748</t>
  </si>
  <si>
    <t>-LqtUdSr-XBlvNiVOwOL</t>
  </si>
  <si>
    <t>1570775142968</t>
  </si>
  <si>
    <t>-LqtUfEf-lAJkfInfBPD</t>
  </si>
  <si>
    <t>1570775150161</t>
  </si>
  <si>
    <t>-LqtUgxsiiJW_K_Nk4Ad</t>
  </si>
  <si>
    <t>1570775157389</t>
  </si>
  <si>
    <t>-LqtUigwMcSX-DBSPovJ</t>
  </si>
  <si>
    <t>1570775164629</t>
  </si>
  <si>
    <t>-LqtUkG7P2oqnafFbvv-</t>
  </si>
  <si>
    <t>1570775170791</t>
  </si>
  <si>
    <t>-LqtUlxuDyunP-7TiW9i</t>
  </si>
  <si>
    <t>1570775177989</t>
  </si>
  <si>
    <t>-LqtUnktnNPRTqC7tmo7</t>
  </si>
  <si>
    <t>1570775185219</t>
  </si>
  <si>
    <t>-LqtUpV59xHHFkldHfjm</t>
  </si>
  <si>
    <t>1570775192399</t>
  </si>
  <si>
    <t>-LqtUr36raBX3HwN-W-2</t>
  </si>
  <si>
    <t>1570775198590</t>
  </si>
  <si>
    <t>-LqtUsks02CdCjPVa6ee</t>
  </si>
  <si>
    <t>1570775205847</t>
  </si>
  <si>
    <t>-LqtUuZwV0ucNV2QnIz0</t>
  </si>
  <si>
    <t>1570775213038</t>
  </si>
  <si>
    <t>-LqtUwGs9Epmz7lHrlu9</t>
  </si>
  <si>
    <t>1570775220236</t>
  </si>
  <si>
    <t>-LqtUxpjbgM3OmitXIXR</t>
  </si>
  <si>
    <t>1570775226419</t>
  </si>
  <si>
    <t>-LqtUzZ-frIVwxwcTjYM</t>
  </si>
  <si>
    <t>1570775233648</t>
  </si>
  <si>
    <t>-LqtV0Lt4lAdR2DrPRwi</t>
  </si>
  <si>
    <t>1570775240860</t>
  </si>
  <si>
    <t>-LqtV22lqHN_mhdCfEqZ</t>
  </si>
  <si>
    <t>1570775248068</t>
  </si>
  <si>
    <t>-LqtV3t8uYNZzg3RYpnP</t>
  </si>
  <si>
    <t>1570775255292</t>
  </si>
  <si>
    <t>-LqtV5_tyPEXeANtabia</t>
  </si>
  <si>
    <t>1570775262478</t>
  </si>
  <si>
    <t>-LqtV78qvvKz_hba7e9e</t>
  </si>
  <si>
    <t>1570775268669</t>
  </si>
  <si>
    <t>-LqtV9Bz9Cj5Gkm6dt6z</t>
  </si>
  <si>
    <t>1570775275917</t>
  </si>
  <si>
    <t>-LqtVAv9QYuR41pKHhO-</t>
  </si>
  <si>
    <t>1570775284141</t>
  </si>
  <si>
    <t>-LqtVD0zomflOT6K6ObT</t>
  </si>
  <si>
    <t>1570775292651</t>
  </si>
  <si>
    <t>-LqtVEeyvzRmgYfuQ3N_</t>
  </si>
  <si>
    <t>1570775299601</t>
  </si>
  <si>
    <t>-LqtVGSexi2FcHBf-5c4</t>
  </si>
  <si>
    <t>1570775306811</t>
  </si>
  <si>
    <t>-LqtVIB91gh0tNVljZr4</t>
  </si>
  <si>
    <t>1570775314000</t>
  </si>
  <si>
    <t>-LqtVJk-4W1Y_5vQ53gm</t>
  </si>
  <si>
    <t>1570775320191</t>
  </si>
  <si>
    <t>-LqtVLTIcfYZszVzLN3f</t>
  </si>
  <si>
    <t>1570775327431</t>
  </si>
  <si>
    <t>-LqtVNG7dowkSs0jtckq</t>
  </si>
  <si>
    <t>1570775334632</t>
  </si>
  <si>
    <t>-LqtVOzHMgjDpyMS2apC</t>
  </si>
  <si>
    <t>1570775341832</t>
  </si>
  <si>
    <t>-LqtVQY7zbGhIikayzxg</t>
  </si>
  <si>
    <t>1570775348031</t>
  </si>
  <si>
    <t>-LqtVSG7nxM6VD5qAtgM</t>
  </si>
  <si>
    <t>1570775355241</t>
  </si>
  <si>
    <t>-LqtVU3B4CtxbLno21GC</t>
  </si>
  <si>
    <t>1570775362450</t>
  </si>
  <si>
    <t>-LqtVVm0-m0lhcMhxD9d</t>
  </si>
  <si>
    <t>1570775369682</t>
  </si>
  <si>
    <t>-LqtVX_AmbGQobJo2jQl</t>
  </si>
  <si>
    <t>1570775376880</t>
  </si>
  <si>
    <t>-LqtVZI8eoWFZFfLKNFg</t>
  </si>
  <si>
    <t>1570775384073</t>
  </si>
  <si>
    <t>-LqtVa0txA_G_LV2Kh0P</t>
  </si>
  <si>
    <t>1570775390272</t>
  </si>
  <si>
    <t>-LqtVbZzQFFrAiFV4WiB</t>
  </si>
  <si>
    <t>1570775397491</t>
  </si>
  <si>
    <t>-LqtVdMzqoSF0mUFRSg-</t>
  </si>
  <si>
    <t>1570775404700</t>
  </si>
  <si>
    <t>-LqtVf57f_ag34gHT2C_</t>
  </si>
  <si>
    <t>1570775411921</t>
  </si>
  <si>
    <t>-LqtVgtAEFbUSBCKIF_1</t>
  </si>
  <si>
    <t>1570775419130</t>
  </si>
  <si>
    <t>-LqtVicDJQzMXZgS_Psm</t>
  </si>
  <si>
    <t>1570775426320</t>
  </si>
  <si>
    <t>-LqtVk9y5wNbJ8p8-7eF</t>
  </si>
  <si>
    <t>1570775432522</t>
  </si>
  <si>
    <t>-LqtVlt-w_RblOkhB5hy</t>
  </si>
  <si>
    <t>1570775439762</t>
  </si>
  <si>
    <t>-LqtVng9bJLmfjohKFB-</t>
  </si>
  <si>
    <t>1570775446952</t>
  </si>
  <si>
    <t>-LqtVpP-xXouQzr72HxW</t>
  </si>
  <si>
    <t>1570775454150</t>
  </si>
  <si>
    <t>-LqtVqyHDOMHNI2w5-tH</t>
  </si>
  <si>
    <t>1570775460341</t>
  </si>
  <si>
    <t>-LqtVsfyVqIHazjMWh28</t>
  </si>
  <si>
    <t>1570775467562</t>
  </si>
  <si>
    <t>-LqtVuStgIAwkObpv7VO</t>
  </si>
  <si>
    <t>1570775474780</t>
  </si>
  <si>
    <t>-LqtVwC7A-_K4ADY26f0</t>
  </si>
  <si>
    <t>1570775482002</t>
  </si>
  <si>
    <t>-LqtVy-71PzmkrjOzyzp</t>
  </si>
  <si>
    <t>1570775489200</t>
  </si>
  <si>
    <t>-LqtVzi0uzHeKEV_hN8q</t>
  </si>
  <si>
    <t>1570775496392</t>
  </si>
  <si>
    <t>-LqtW0H0qd-PiJxiMCsJ</t>
  </si>
  <si>
    <t>1570775502590</t>
  </si>
  <si>
    <t>-LqtW2IsNabT-XngBp_r</t>
  </si>
  <si>
    <t>1570775509840</t>
  </si>
  <si>
    <t>-LqtW41BNQNG8xeIYSvZ</t>
  </si>
  <si>
    <t>1570775518065</t>
  </si>
  <si>
    <t>-LqtW5k3ktUKB65nTXd_</t>
  </si>
  <si>
    <t>1570775525273</t>
  </si>
  <si>
    <t>-LqtW7JC24FQHXMIU5D2</t>
  </si>
  <si>
    <t>1570775531464</t>
  </si>
  <si>
    <t>-LqtW911cC3zOWkFEU2r</t>
  </si>
  <si>
    <t>1570775538643</t>
  </si>
  <si>
    <t>-LqtWBAI_UAakwZ0BGrB</t>
  </si>
  <si>
    <t>1570775545884</t>
  </si>
  <si>
    <t>-LqtWCppl5Ui0hqLKJy2</t>
  </si>
  <si>
    <t>1570775554127</t>
  </si>
  <si>
    <t>-LqtWEYtJmUnEPGA8b4H</t>
  </si>
  <si>
    <t>1570775561347</t>
  </si>
  <si>
    <t>-LqtWGMwkLsSd7Xb_TXI</t>
  </si>
  <si>
    <t>1570775568549</t>
  </si>
  <si>
    <t>-LqtWI3q-r57yVVBfGgn</t>
  </si>
  <si>
    <t>1570775575747</t>
  </si>
  <si>
    <t>-LqtWJswso4oe8hVn4vc</t>
  </si>
  <si>
    <t>1570775582977</t>
  </si>
  <si>
    <t>-LqtWLazPWD3paSBjsFT</t>
  </si>
  <si>
    <t>1570775590159</t>
  </si>
  <si>
    <t>-LqtWNA5KcuEmrudVxoX</t>
  </si>
  <si>
    <t>1570775596349</t>
  </si>
  <si>
    <t>-LqtWOrp1vubQ4DjTbH3</t>
  </si>
  <si>
    <t>1570775603599</t>
  </si>
  <si>
    <t>-LqtWQeu3NVoJ7--3naZ</t>
  </si>
  <si>
    <t>1570775610799</t>
  </si>
  <si>
    <t>-LqtWSOx_OdvDhWV7aEZ</t>
  </si>
  <si>
    <t>1570775617997</t>
  </si>
  <si>
    <t>-LqtWTwvx6nHpZ096BFu</t>
  </si>
  <si>
    <t>1570775624189</t>
  </si>
  <si>
    <t>-LqtWVg66_e-bbtjc1bg</t>
  </si>
  <si>
    <t>1570775631410</t>
  </si>
  <si>
    <t>-LqtWX9vwAEg-XgVc2nU</t>
  </si>
  <si>
    <t>1570775637570</t>
  </si>
  <si>
    <t>-LqtWYxxBEqWma-KZS-F</t>
  </si>
  <si>
    <t>1570775644799</t>
  </si>
  <si>
    <t>-LqtW_g9MCQc0NONPzkw</t>
  </si>
  <si>
    <t>1570775652019</t>
  </si>
  <si>
    <t>-LqtWbDuOAfU7BoYF77O</t>
  </si>
  <si>
    <t>1570775658198</t>
  </si>
  <si>
    <t>-LqtWcx6wH0d64tneszt</t>
  </si>
  <si>
    <t>1570775665390</t>
  </si>
  <si>
    <t>-LqtWeWx6ohIdn_Bsr8n</t>
  </si>
  <si>
    <t>1570775671587</t>
  </si>
  <si>
    <t>-LqtWgDzTNhSzkbCNCEw</t>
  </si>
  <si>
    <t>1570775678789</t>
  </si>
  <si>
    <t>-LqtWhj-8mWydnxpy7cg</t>
  </si>
  <si>
    <t>1570775684978</t>
  </si>
  <si>
    <t>-LqtWjH--C8LTrFQ2uXd</t>
  </si>
  <si>
    <t>1570775691178</t>
  </si>
  <si>
    <t>-LqtWkzrL-FW4Ec5DvTo</t>
  </si>
  <si>
    <t>1570775698379</t>
  </si>
  <si>
    <t>-LqtWm_4Yc-c8T3Zbl9f</t>
  </si>
  <si>
    <t>1570775704568</t>
  </si>
  <si>
    <t>-LqtWoGqxi9dp1W3O5sX</t>
  </si>
  <si>
    <t>1570775711758</t>
  </si>
  <si>
    <t>-LqtWpppOqQ6ny0lGf63</t>
  </si>
  <si>
    <t>1570775717948</t>
  </si>
  <si>
    <t>-LqtWrg9v7aOT-jLUIfY</t>
  </si>
  <si>
    <t>1570775725187</t>
  </si>
  <si>
    <t>-LqtWtLzBZq2mTix7CgA</t>
  </si>
  <si>
    <t>1570775732397</t>
  </si>
  <si>
    <t>-LqtWv4-8uHoxVUUIh3B</t>
  </si>
  <si>
    <t>1570775739587</t>
  </si>
  <si>
    <t>-LqtWxC9ibWUPGkzY2Je</t>
  </si>
  <si>
    <t>1570775748187</t>
  </si>
  <si>
    <t>-LqtWyttWI_dzLgZA4Kw</t>
  </si>
  <si>
    <t>1570775755073</t>
  </si>
  <si>
    <t>-LqtX-d65hj_opshhG-G</t>
  </si>
  <si>
    <t>1570775762314</t>
  </si>
  <si>
    <t>-LqtX1Q4Pr7GAeoqD3qZ</t>
  </si>
  <si>
    <t>1570775769504</t>
  </si>
  <si>
    <t>-LqtX37ugMiK8gACGj5a</t>
  </si>
  <si>
    <t>1570775776711</t>
  </si>
  <si>
    <t>-LqtX4vtz6vBCl1QquXd</t>
  </si>
  <si>
    <t>1570775783922</t>
  </si>
  <si>
    <t>-LqtX6du-lYcao5Y2LFd</t>
  </si>
  <si>
    <t>1570775791113</t>
  </si>
  <si>
    <t>-LqtX8E1Y4z33WtlkF76</t>
  </si>
  <si>
    <t>1570775797311</t>
  </si>
  <si>
    <t>-LqtX9w2nmc8PeLO6iOD</t>
  </si>
  <si>
    <t>1570775804543</t>
  </si>
  <si>
    <t>-LqtXBk8V3EerXq2Zetn</t>
  </si>
  <si>
    <t>1570775811750</t>
  </si>
  <si>
    <t>-LqtXDRtV9AUSk1wPbpO</t>
  </si>
  <si>
    <t>1570775818952</t>
  </si>
  <si>
    <t>-LqtXFG9TxaUuadnGfya</t>
  </si>
  <si>
    <t>1570775826170</t>
  </si>
  <si>
    <t>-LqtXGz8UEWga2EVYEM3</t>
  </si>
  <si>
    <t>1570775833360</t>
  </si>
  <si>
    <t>-LqtXIY8qOgHkntDKzSa</t>
  </si>
  <si>
    <t>1570775839542</t>
  </si>
  <si>
    <t>-LqtXKEsnqo-92COC8SC</t>
  </si>
  <si>
    <t>1570775846802</t>
  </si>
  <si>
    <t>-LqtXM217qPeMyZLU5Nq</t>
  </si>
  <si>
    <t>1570775854001</t>
  </si>
  <si>
    <t>-LqtXNjZtllXnq9EkRh8</t>
  </si>
  <si>
    <t>1570775861192</t>
  </si>
  <si>
    <t>-LqtXPLAP80bGcyHMhu1</t>
  </si>
  <si>
    <t>1570775867401</t>
  </si>
  <si>
    <t>-LqtXR1ugHXAnMqeM7md</t>
  </si>
  <si>
    <t>1570775874613</t>
  </si>
  <si>
    <t>-LqtXSpvBrkm2kdsqfoh</t>
  </si>
  <si>
    <t>1570775881822</t>
  </si>
  <si>
    <t>-LqtXUZ2mWJuM5Ue0c28</t>
  </si>
  <si>
    <t>1570775889041</t>
  </si>
  <si>
    <t>-LqtXWN8mSwpkWEUG1yF</t>
  </si>
  <si>
    <t>1570775896399</t>
  </si>
  <si>
    <t>-LqtXY4BYsqy6tE9mKDZ</t>
  </si>
  <si>
    <t>1570775903441</t>
  </si>
  <si>
    <t>-LqtXZcu6JWcQ3924Ok8</t>
  </si>
  <si>
    <t>1570775909641</t>
  </si>
  <si>
    <t>-LqtXaM29QTvT51lK8wy</t>
  </si>
  <si>
    <t>1570775916873</t>
  </si>
  <si>
    <t>-LqtXc93u7i1qLYOnKjc</t>
  </si>
  <si>
    <t>1570775924082</t>
  </si>
  <si>
    <t>-LqtXdt9lrpC-9KfpNoi</t>
  </si>
  <si>
    <t>1570775931272</t>
  </si>
  <si>
    <t>-LqtXfevNm1EwCljNfVQ</t>
  </si>
  <si>
    <t>1570775938502</t>
  </si>
  <si>
    <t>-LqtXhO4aSga-NWsZpdy</t>
  </si>
  <si>
    <t>1570775945701</t>
  </si>
  <si>
    <t>-LqtXiwun97-y61xP3Po</t>
  </si>
  <si>
    <t>1570775951901</t>
  </si>
  <si>
    <t>-LqtXkeuDf0d_RPw05RA</t>
  </si>
  <si>
    <t>1570775959122</t>
  </si>
  <si>
    <t>-LqtXmSvnCigxrNCzmkm</t>
  </si>
  <si>
    <t>1570775966332</t>
  </si>
  <si>
    <t>-LqtXnwwq0kbj9Vnra-w</t>
  </si>
  <si>
    <t>1570775972512</t>
  </si>
  <si>
    <t>-LqtXq3w9PFE8hooFRVN</t>
  </si>
  <si>
    <t>1570775979732</t>
  </si>
  <si>
    <t>-LqtXrgtjcnoDhsi6r8w</t>
  </si>
  <si>
    <t>1570775987939</t>
  </si>
  <si>
    <t>-LqtXtFzQ06EeR9pPWfz</t>
  </si>
  <si>
    <t>1570775994158</t>
  </si>
  <si>
    <t>-LqtXv-8-dBFHB3oZPA8</t>
  </si>
  <si>
    <t>1570776001346</t>
  </si>
  <si>
    <t>-LqtXwtBUPDDKaumIwX8</t>
  </si>
  <si>
    <t>1570776007555</t>
  </si>
  <si>
    <t>-LqtXyUqWjqc-aE-d9cV</t>
  </si>
  <si>
    <t>1570776015806</t>
  </si>
  <si>
    <t>-LqtY-2oRZYyijkeJk7K</t>
  </si>
  <si>
    <t>1570776021978</t>
  </si>
  <si>
    <t>-LqtY0lqLT4BIWfdKEgx</t>
  </si>
  <si>
    <t>1570776029188</t>
  </si>
  <si>
    <t>-LqtY2ZqOdLIMhUj3ntp</t>
  </si>
  <si>
    <t>1570776036408</t>
  </si>
  <si>
    <t>-LqtY4HxNKiT9CVsFaMh</t>
  </si>
  <si>
    <t>1570776043597</t>
  </si>
  <si>
    <t>-LqtY5mK0b1PQP9aH8qt</t>
  </si>
  <si>
    <t>1570776049778</t>
  </si>
  <si>
    <t>-LqtY7M5ZwPjROpU-OIC</t>
  </si>
  <si>
    <t>1570776055988</t>
  </si>
  <si>
    <t>-LqtY945D7EPaLWCuksW</t>
  </si>
  <si>
    <t>1570776063198</t>
  </si>
  <si>
    <t>-LqtYAcxWrc-5fx3Ynqs</t>
  </si>
  <si>
    <t>1570776069380</t>
  </si>
  <si>
    <t>-LqtYCKr7EmY0xKEoGnq</t>
  </si>
  <si>
    <t>1570776076606</t>
  </si>
  <si>
    <t>-LqtYDwZAKkA77KcrFmK</t>
  </si>
  <si>
    <t>1570776082777</t>
  </si>
  <si>
    <t>-LqtYFbqdaWo9uKBw3xP</t>
  </si>
  <si>
    <t>1570776089998</t>
  </si>
  <si>
    <t>-LqtYHR3IMKtgD9nxQBX</t>
  </si>
  <si>
    <t>1570776097207</t>
  </si>
  <si>
    <t>-LqtYJ7qimlOb938jCHg</t>
  </si>
  <si>
    <t>1570776104397</t>
  </si>
  <si>
    <t>-LqtYKhcTzlO2oqSn8xM</t>
  </si>
  <si>
    <t>1570776110589</t>
  </si>
  <si>
    <t>-LqtYMR54nILv10iswxa</t>
  </si>
  <si>
    <t>1570776117826</t>
  </si>
  <si>
    <t>-LqtYOCqEyRjRiKvOAUn</t>
  </si>
  <si>
    <t>1570776125027</t>
  </si>
  <si>
    <t>-LqtYPw0KNkqSLULZTLE</t>
  </si>
  <si>
    <t>1570776132227</t>
  </si>
  <si>
    <t>-LqtYRR5zE5gcew3Klrs</t>
  </si>
  <si>
    <t>1570776138427</t>
  </si>
  <si>
    <t>-LqtYSwB1iMQ3dV-KJ_l</t>
  </si>
  <si>
    <t>1570776144619</t>
  </si>
  <si>
    <t>-LqtYUSqGn9CKpFHANMD</t>
  </si>
  <si>
    <t>1570776150786</t>
  </si>
  <si>
    <t>-LqtYWFot4_gS_anu6hm</t>
  </si>
  <si>
    <t>1570776158018</t>
  </si>
  <si>
    <t>-LqtYXzu4llCWbe426Kk</t>
  </si>
  <si>
    <t>1570776165198</t>
  </si>
  <si>
    <t>-LqtYZXo3XFl9xgGo5m9</t>
  </si>
  <si>
    <t>1570776171376</t>
  </si>
  <si>
    <t>-LqtYaFpz6rxs1HAIJ0c</t>
  </si>
  <si>
    <t>1570776178638</t>
  </si>
  <si>
    <t>-LqtYc2skdavGO6igbdc</t>
  </si>
  <si>
    <t>1570776185839</t>
  </si>
  <si>
    <t>-LqtYe63oL9hcCQ3Nzeu</t>
  </si>
  <si>
    <t>1570776194143</t>
  </si>
  <si>
    <t>-LqtYfp4InIvo8P0cZHO</t>
  </si>
  <si>
    <t>1570776201297</t>
  </si>
  <si>
    <t>-LqtYhrQrDngWwj9_W7R</t>
  </si>
  <si>
    <t>1570776208516</t>
  </si>
  <si>
    <t>-LqtYjYtSQLF0KAEBmiJ</t>
  </si>
  <si>
    <t>1570776216738</t>
  </si>
  <si>
    <t>-LqtYlN-o43tLGUyZHu9</t>
  </si>
  <si>
    <t>1570776223969</t>
  </si>
  <si>
    <t>-LqtYn3tB549r8JHr_VR</t>
  </si>
  <si>
    <t>1570776231199</t>
  </si>
  <si>
    <t>-LqtYodz6WOIwDbqa9Oy</t>
  </si>
  <si>
    <t>1570776237371</t>
  </si>
  <si>
    <t>-LqtYqLs_7Am9-UVrz3l</t>
  </si>
  <si>
    <t>1570776244559</t>
  </si>
  <si>
    <t>-LqtYrw-lLeUYkJDgtEc</t>
  </si>
  <si>
    <t>1570776250751</t>
  </si>
  <si>
    <t>-LqtYtd2Af_9LSuXFM9f</t>
  </si>
  <si>
    <t>1570776257992</t>
  </si>
  <si>
    <t>-LqtYvQsBoWkLb4koe9R</t>
  </si>
  <si>
    <t>1570776265200</t>
  </si>
  <si>
    <t>-LqtYx8shQhr2vwX-9_P</t>
  </si>
  <si>
    <t>1570776272389</t>
  </si>
  <si>
    <t>-LqtYyiz9jmTFTnuwdkJ</t>
  </si>
  <si>
    <t>1570776278591</t>
  </si>
  <si>
    <t>-LqtZ-Qrhe4SJ4R-ijNs</t>
  </si>
  <si>
    <t>1570776285800</t>
  </si>
  <si>
    <t>-LqtZ1JpK_7FxaaJHB57</t>
  </si>
  <si>
    <t>1570776293378</t>
  </si>
  <si>
    <t>-LqtZ2y6Gl_DMAirRKMd</t>
  </si>
  <si>
    <t>1570776300231</t>
  </si>
  <si>
    <t>-LqtZ4glOO9cc6cN-Zyb</t>
  </si>
  <si>
    <t>1570776307440</t>
  </si>
  <si>
    <t>-LqtZ6F72S9jyn7kOKAy</t>
  </si>
  <si>
    <t>1570776313630</t>
  </si>
  <si>
    <t>-LqtZ828ZHekg7q_kWft</t>
  </si>
  <si>
    <t>1570776320841</t>
  </si>
  <si>
    <t>-LqtZ9l9j89T3B4wQy40</t>
  </si>
  <si>
    <t>1570776328051</t>
  </si>
  <si>
    <t>-LqtZBF8Pjv5S48_pyjz</t>
  </si>
  <si>
    <t>1570776334241</t>
  </si>
  <si>
    <t>-LqtZCmuYG0Jvl2DdmrI</t>
  </si>
  <si>
    <t>1570776340431</t>
  </si>
  <si>
    <t>-LqtZEGu9Z-ZnsLJ2J_C</t>
  </si>
  <si>
    <t>1570776346617</t>
  </si>
  <si>
    <t>-LqtZG3uULqm6lC-i6Hq</t>
  </si>
  <si>
    <t>1570776353819</t>
  </si>
  <si>
    <t>-LqtZHmteG5PCjY6xE3h</t>
  </si>
  <si>
    <t>1570776361039</t>
  </si>
  <si>
    <t>-LqtZJb6RilHsUmxSGaD</t>
  </si>
  <si>
    <t>1570776368249</t>
  </si>
  <si>
    <t>-LqtZLJ07Sonx9d4RyH3</t>
  </si>
  <si>
    <t>1570776375440</t>
  </si>
  <si>
    <t>-LqtZMo8I0g_WtudE7YX</t>
  </si>
  <si>
    <t>1570776381631</t>
  </si>
  <si>
    <t>-LqtZOLuTWJWhUHsTC9n</t>
  </si>
  <si>
    <t>1570776387838</t>
  </si>
  <si>
    <t>-LqtZPq1OaNpzj8FpsER</t>
  </si>
  <si>
    <t>1570776393997</t>
  </si>
  <si>
    <t>-LqtZROr1FsO3Fh1TAd0</t>
  </si>
  <si>
    <t>1570776400191</t>
  </si>
  <si>
    <t>-LqtZTI8iq-4vn38PpJP</t>
  </si>
  <si>
    <t>1570776407990</t>
  </si>
  <si>
    <t>-LqtZUr9bmmKWmjxlG_2</t>
  </si>
  <si>
    <t>1570776414629</t>
  </si>
  <si>
    <t>-LqtZWhvbeki1wbaI6TT</t>
  </si>
  <si>
    <t>1570776422159</t>
  </si>
  <si>
    <t>-LqtZYNSZS4D6fOsXkmK</t>
  </si>
  <si>
    <t>1570776429059</t>
  </si>
  <si>
    <t>-LqtZ_Atr7EEhTnSuBPw</t>
  </si>
  <si>
    <t>1570776435239</t>
  </si>
  <si>
    <t>-LqtZb3BAagOVF0clmTJ</t>
  </si>
  <si>
    <t>1570776443549</t>
  </si>
  <si>
    <t>-LqtZceuJTI6XS_1x6dn</t>
  </si>
  <si>
    <t>1570776450699</t>
  </si>
  <si>
    <t>-LqtZeTwGKJZ7q5jRXBn</t>
  </si>
  <si>
    <t>1570776457909</t>
  </si>
  <si>
    <t>-LqtZgFtACeFtLbTkicG</t>
  </si>
  <si>
    <t>1570776465129</t>
  </si>
  <si>
    <t>-LqtZi3hwaN1NuMAe6II</t>
  </si>
  <si>
    <t>1570776472340</t>
  </si>
  <si>
    <t>-LqtZjn9Qkc_4W0MmmBp</t>
  </si>
  <si>
    <t>1570776479554</t>
  </si>
  <si>
    <t>-LqtZlVxV0UACHkjbH55</t>
  </si>
  <si>
    <t>1570776486799</t>
  </si>
  <si>
    <t>-LqtZnHrsqLBLZ531Bmm</t>
  </si>
  <si>
    <t>1570776493979</t>
  </si>
  <si>
    <t>-LqtZp-r6cV8JdmL517O</t>
  </si>
  <si>
    <t>1570776501191</t>
  </si>
  <si>
    <t>-LqtZqnrE2BfewuaaFoj</t>
  </si>
  <si>
    <t>1570776508386</t>
  </si>
  <si>
    <t>-LqtZsWrli1trPhmNaOd</t>
  </si>
  <si>
    <t>1570776515598</t>
  </si>
  <si>
    <t>-LqtZu-qOAd9DYVZIXvf</t>
  </si>
  <si>
    <t>1570776521758</t>
  </si>
  <si>
    <t>-LqtZv_-2iBxoNaYN_Ns</t>
  </si>
  <si>
    <t>1570776527988</t>
  </si>
  <si>
    <t>-LqtZxJ5aMOlQrCxqXMA</t>
  </si>
  <si>
    <t>1570776535199</t>
  </si>
  <si>
    <t>-LqtZyqiuFRApqvha_gG</t>
  </si>
  <si>
    <t>1570776541399</t>
  </si>
  <si>
    <t>-Lqt_-M6qYLaotjeNeUa</t>
  </si>
  <si>
    <t>1570776547571</t>
  </si>
  <si>
    <t>-Lqt_0orC097o5ChY8Th</t>
  </si>
  <si>
    <t>1570776553748</t>
  </si>
  <si>
    <t>-Lqt_2eElFoZEcwi6Scy</t>
  </si>
  <si>
    <t>1570776559939</t>
  </si>
  <si>
    <t>-Lqt_4PqR7qeFDS2_sNF</t>
  </si>
  <si>
    <t>1570776568178</t>
  </si>
  <si>
    <t>-Lqt_67ukpLtSdntCjke</t>
  </si>
  <si>
    <t>1570776575369</t>
  </si>
  <si>
    <t>-Lqt_7vq8_m-bghdn93_</t>
  </si>
  <si>
    <t>1570776582609</t>
  </si>
  <si>
    <t>-Lqt_9drqOVho19qHUVM</t>
  </si>
  <si>
    <t>1570776589847</t>
  </si>
  <si>
    <t>-Lqt_BT5cO76muhr3B33</t>
  </si>
  <si>
    <t>1570776597040</t>
  </si>
  <si>
    <t>-Lqt_DJp4ye6tbQlP444</t>
  </si>
  <si>
    <t>1570776604825</t>
  </si>
  <si>
    <t>-Lqt_Eyy3Ynl_zUKsVbf</t>
  </si>
  <si>
    <t>1570776611460</t>
  </si>
  <si>
    <t>-Lqt_Gh6NQ6_q6mWZ5Kd</t>
  </si>
  <si>
    <t>1570776618687</t>
  </si>
  <si>
    <t>-Lqt_IUyftRX9FEADIeX</t>
  </si>
  <si>
    <t>1570776625889</t>
  </si>
  <si>
    <t>-Lqt_KCzUjKrDymqx-DL</t>
  </si>
  <si>
    <t>1570776633119</t>
  </si>
  <si>
    <t>-Lqt_Lm5M-fiSFd0JOiJ</t>
  </si>
  <si>
    <t>1570776639269</t>
  </si>
  <si>
    <t>-Lqt_NTrG2ziV_ClbtfH</t>
  </si>
  <si>
    <t>1570776646478</t>
  </si>
  <si>
    <t>-Lqt_P1rZZ3JVZV7ofPE</t>
  </si>
  <si>
    <t>1570776652699</t>
  </si>
  <si>
    <t>-Lqt_R2n6fSHtpFgcYFm</t>
  </si>
  <si>
    <t>1570776659910</t>
  </si>
  <si>
    <t>-Lqt_Smq3chatWlsrI8R</t>
  </si>
  <si>
    <t>1570776668138</t>
  </si>
  <si>
    <t>-Lqt_UokRV3C-Cu6mb8E</t>
  </si>
  <si>
    <t>1570776675359</t>
  </si>
  <si>
    <t>-Lqt_WXtEZcWp5i5MSlc</t>
  </si>
  <si>
    <t>1570776683592</t>
  </si>
  <si>
    <t>-Lqt_YKsupBsnwPbSOwp</t>
  </si>
  <si>
    <t>1570776690821</t>
  </si>
  <si>
    <t>-Lqt__31c35mezcO2CPu</t>
  </si>
  <si>
    <t>1570776698000</t>
  </si>
  <si>
    <t>-Lqt_aczpD49_oTRSWph</t>
  </si>
  <si>
    <t>1570776704192</t>
  </si>
  <si>
    <t>-Lqt_cKtCjpdRRtA73Lm</t>
  </si>
  <si>
    <t>1570776711440</t>
  </si>
  <si>
    <t>-Lqt_eO9qxvYYI-qdEG4</t>
  </si>
  <si>
    <t>1570776718641</t>
  </si>
  <si>
    <t>-Lqt_g9tK0W6me3MbM7b</t>
  </si>
  <si>
    <t>1570776726890</t>
  </si>
  <si>
    <t>-Lqt_huArJobCIRjE4wd</t>
  </si>
  <si>
    <t>1570776734101</t>
  </si>
  <si>
    <t>-Lqt_jhImPjgBZ1aBjab</t>
  </si>
  <si>
    <t>1570776741310</t>
  </si>
  <si>
    <t>-Lqt_lNeuzVeXykVqJDa</t>
  </si>
  <si>
    <t>1570776748539</t>
  </si>
  <si>
    <t>-Lqt_nBuHRX1xNHX31E7</t>
  </si>
  <si>
    <t>1570776755751</t>
  </si>
  <si>
    <t>-Lqt_ow9W7aRtOpTYSrl</t>
  </si>
  <si>
    <t>1570776762951</t>
  </si>
  <si>
    <t>-Lqt_qkELRGUAmPCD3CN</t>
  </si>
  <si>
    <t>1570776770170</t>
  </si>
  <si>
    <t>-Lqt_sR2PQvQoRQ-JZqe</t>
  </si>
  <si>
    <t>1570776777362</t>
  </si>
  <si>
    <t>-Lqt_tzvZn3gBpAJtE8a</t>
  </si>
  <si>
    <t>1570776783552</t>
  </si>
  <si>
    <t>-Lqt_vj9Cgw4btARmvUu</t>
  </si>
  <si>
    <t>1570776790792</t>
  </si>
  <si>
    <t>-Lqt_xXIL-0NH1U6Finj</t>
  </si>
  <si>
    <t>1570776797990</t>
  </si>
  <si>
    <t>-Lqt_zE2PzboMzL46nsz</t>
  </si>
  <si>
    <t>1570776805191</t>
  </si>
  <si>
    <t>-Lqta-oAxjHldNh9stp4</t>
  </si>
  <si>
    <t>1570776811392</t>
  </si>
  <si>
    <t>-Lqta1XA4KxsfULSW6aK</t>
  </si>
  <si>
    <t>1570776818618</t>
  </si>
  <si>
    <t>-Lqta3K9EjvsR_FNEQCy</t>
  </si>
  <si>
    <t>1570776825821</t>
  </si>
  <si>
    <t>-Lqta50v3A7yjt_xNkm7</t>
  </si>
  <si>
    <t>1570776833032</t>
  </si>
  <si>
    <t>-Lqta6ovvPDmfONuC_5b</t>
  </si>
  <si>
    <t>1570776840252</t>
  </si>
  <si>
    <t>-Lqta8ZDbtxwmjMSQDFd</t>
  </si>
  <si>
    <t>1570776847441</t>
  </si>
  <si>
    <t>-LqtaA7D0XfTqPpfm0pX</t>
  </si>
  <si>
    <t>1570776853630</t>
  </si>
  <si>
    <t>-LqtaBosw4yzFNBjMqbU</t>
  </si>
  <si>
    <t>1570776860870</t>
  </si>
  <si>
    <t>-LqtaDd9kdHJpdP9qPnm</t>
  </si>
  <si>
    <t>1570776868080</t>
  </si>
  <si>
    <t>-LqtaFMGR4KDvO9ytQ3w</t>
  </si>
  <si>
    <t>1570776875281</t>
  </si>
  <si>
    <t>-LqtaGtufb1QfqmI4yDd</t>
  </si>
  <si>
    <t>1570776881472</t>
  </si>
  <si>
    <t>-LqtaIbsiAcQTK69EZZF</t>
  </si>
  <si>
    <t>1570776888692</t>
  </si>
  <si>
    <t>-LqtaKRBfM4G6tUU4Rfj</t>
  </si>
  <si>
    <t>1570776895900</t>
  </si>
  <si>
    <t>-LqtaM9HotQf2KSSPk-M</t>
  </si>
  <si>
    <t>1570776903113</t>
  </si>
  <si>
    <t>-LqtaOFd1Bdks-LgttIU</t>
  </si>
  <si>
    <t>1570776910331</t>
  </si>
  <si>
    <t>-LqtaQGqyrbuIauRSk8c</t>
  </si>
  <si>
    <t>1570776918568</t>
  </si>
  <si>
    <t>-LqtaRtazoffLDGuueQE</t>
  </si>
  <si>
    <t>1570776926790</t>
  </si>
  <si>
    <t>-LqtaTV5mfZ7NoJJKjdu</t>
  </si>
  <si>
    <t>1570776932997</t>
  </si>
  <si>
    <t>-LqtaVBqptACvbqrGb2K</t>
  </si>
  <si>
    <t>1570776940238</t>
  </si>
  <si>
    <t>-LqtaWzqILN0Ra3UPpMN</t>
  </si>
  <si>
    <t>1570776947428</t>
  </si>
  <si>
    <t>-LqtaYj4FgYtGoK08frZ</t>
  </si>
  <si>
    <t>1570776954638</t>
  </si>
  <si>
    <t>-Lqta_W1UsvHiSZtPKf_</t>
  </si>
  <si>
    <t>1570776961857</t>
  </si>
  <si>
    <t>-LqtabJ81W-kb1u7Q22j</t>
  </si>
  <si>
    <t>1570776969253</t>
  </si>
  <si>
    <t>-Lqtad1x1T6et11pr5e0</t>
  </si>
  <si>
    <t>1570776976278</t>
  </si>
  <si>
    <t>-LqtaeWyaoHQ2E56wnAw</t>
  </si>
  <si>
    <t>1570776982517</t>
  </si>
  <si>
    <t>-LqtagIp0uWyH9jaQrWA</t>
  </si>
  <si>
    <t>1570776989677</t>
  </si>
  <si>
    <t>-LqtaiLaN0Hwh6zcMlH7</t>
  </si>
  <si>
    <t>1570776996867</t>
  </si>
  <si>
    <t>-Lqtak2p-eD2Zp1DrAQP</t>
  </si>
  <si>
    <t>1570777005141</t>
  </si>
  <si>
    <t>-LqtalqsW8EPtRGLil5F</t>
  </si>
  <si>
    <t>1570777012347</t>
  </si>
  <si>
    <t>-Lqtana4uV0n5jootZp1</t>
  </si>
  <si>
    <t>1570777019568</t>
  </si>
  <si>
    <t>-LqtapMqdbZFX6dsXS22</t>
  </si>
  <si>
    <t>1570777026778</t>
  </si>
  <si>
    <t>-LqtaqwmJne9XgEMhIe4</t>
  </si>
  <si>
    <t>1570777033244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</si>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</sst>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dd/mm/yyyy\ h:mm:ss"/>
    <numFmt numFmtId="167" formatCode="dd/mm/yyyy\ h\:mm\:ss"/>
  </numFmts>
  <fonts count="1" x14ac:knownFonts="1"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2" borderId="1" xfId="0" applyNumberFormat="1" applyFont="1" applyFill="1" applyBorder="1"/>
    <xf numFmtId="165" fontId="0" fillId="0" borderId="1" xfId="0" applyNumberFormat="1" applyFont="1" applyBorder="1"/>
    <xf numFmtId="1" fontId="0" fillId="0" borderId="0" xfId="0" applyNumberFormat="1"/>
    <xf numFmtId="0" fontId="0" fillId="2" borderId="2" xfId="0" applyNumberFormat="1" applyFont="1" applyFill="1" applyBorder="1"/>
    <xf numFmtId="0" fontId="0" fillId="2" borderId="3" xfId="0" applyFont="1" applyFill="1" applyBorder="1"/>
    <xf numFmtId="0" fontId="0" fillId="0" borderId="2" xfId="0" applyNumberFormat="1" applyFont="1" applyBorder="1"/>
    <xf numFmtId="0" fontId="0" fillId="0" borderId="3" xfId="0" applyFont="1" applyBorder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159"/>
  <sheetViews>
    <sheetView tabSelected="1" workbookViewId="0">
      <selection activeCell="K16" sqref="K16"/>
    </sheetView>
  </sheetViews>
  <sheetFormatPr defaultRowHeight="15" x14ac:dyDescent="0.25"/>
  <cols>
    <col min="1" max="1" width="25" bestFit="1" customWidth="1"/>
    <col min="8" max="8" width="14.140625" style="4" bestFit="1" customWidth="1"/>
    <col min="10" max="10" width="18.5703125" style="9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t="s">
        <v>8</v>
      </c>
      <c r="J1" s="9" t="s">
        <v>55071</v>
      </c>
      <c r="K1" s="1"/>
    </row>
    <row r="2" spans="1:11" x14ac:dyDescent="0.25">
      <c r="A2" t="e">
        <f>-Lqe4WMLOA2JLIvBZ87D</f>
        <v>#NAME?</v>
      </c>
      <c r="B2">
        <v>421.875</v>
      </c>
      <c r="C2">
        <v>20.584240000000001</v>
      </c>
      <c r="D2">
        <v>35</v>
      </c>
      <c r="E2">
        <v>0</v>
      </c>
      <c r="F2">
        <v>0</v>
      </c>
      <c r="G2">
        <v>1</v>
      </c>
      <c r="H2" s="4">
        <v>1570516635944</v>
      </c>
      <c r="I2">
        <v>535.3125</v>
      </c>
      <c r="J2" s="9">
        <f>(H2/86400000)+25569+(7/24)</f>
        <v>43746.567545648148</v>
      </c>
      <c r="K2" s="1"/>
    </row>
    <row r="3" spans="1:11" x14ac:dyDescent="0.25">
      <c r="A3" t="e">
        <f>-Lqe4Y4TZOfkiEa3PN29</f>
        <v>#NAME?</v>
      </c>
      <c r="B3">
        <v>403.125</v>
      </c>
      <c r="C3">
        <v>20.584240000000001</v>
      </c>
      <c r="D3">
        <v>35</v>
      </c>
      <c r="E3">
        <v>0</v>
      </c>
      <c r="F3">
        <v>0</v>
      </c>
      <c r="G3">
        <v>1</v>
      </c>
      <c r="H3" s="4">
        <v>1570516642962</v>
      </c>
      <c r="I3">
        <v>529.875</v>
      </c>
      <c r="J3" s="9">
        <f t="shared" ref="J3:J66" si="0">(H3/86400000)+25569+(7/24)</f>
        <v>43746.567626874996</v>
      </c>
      <c r="K3" s="1"/>
    </row>
    <row r="4" spans="1:11" x14ac:dyDescent="0.25">
      <c r="A4" t="e">
        <f>-Lqe4ZsMpz2j9tWwEyA0</f>
        <v>#NAME?</v>
      </c>
      <c r="B4">
        <v>403.125</v>
      </c>
      <c r="C4">
        <v>20.584240000000001</v>
      </c>
      <c r="D4">
        <v>36</v>
      </c>
      <c r="E4">
        <v>0</v>
      </c>
      <c r="F4">
        <v>0</v>
      </c>
      <c r="G4">
        <v>1</v>
      </c>
      <c r="H4" s="4">
        <v>1570516650200</v>
      </c>
      <c r="I4">
        <v>529.875</v>
      </c>
      <c r="J4" s="9">
        <f t="shared" si="0"/>
        <v>43746.567710648145</v>
      </c>
      <c r="K4" s="1"/>
    </row>
    <row r="5" spans="1:11" x14ac:dyDescent="0.25">
      <c r="A5" t="e">
        <f>-Lqe4abQdQfIMkkGSFjT</f>
        <v>#NAME?</v>
      </c>
      <c r="B5">
        <v>550</v>
      </c>
      <c r="C5">
        <v>20.584240000000001</v>
      </c>
      <c r="D5">
        <v>37</v>
      </c>
      <c r="E5">
        <v>0</v>
      </c>
      <c r="F5">
        <v>0</v>
      </c>
      <c r="G5">
        <v>1</v>
      </c>
      <c r="H5" s="4">
        <v>1570516657390</v>
      </c>
      <c r="I5">
        <v>576.5625</v>
      </c>
      <c r="J5" s="9">
        <f t="shared" si="0"/>
        <v>43746.567793865739</v>
      </c>
      <c r="K5" s="1"/>
    </row>
    <row r="6" spans="1:11" x14ac:dyDescent="0.25">
      <c r="A6" t="e">
        <f>-Lqe4c99rMPOmMwrDi6N</f>
        <v>#NAME?</v>
      </c>
      <c r="B6">
        <v>550</v>
      </c>
      <c r="C6">
        <v>20.584240000000001</v>
      </c>
      <c r="D6">
        <v>40</v>
      </c>
      <c r="E6">
        <v>0</v>
      </c>
      <c r="F6">
        <v>0</v>
      </c>
      <c r="G6">
        <v>1</v>
      </c>
      <c r="H6" s="4">
        <v>1570516663640</v>
      </c>
      <c r="I6">
        <v>576.5625</v>
      </c>
      <c r="J6" s="9">
        <f t="shared" si="0"/>
        <v>43746.567866203703</v>
      </c>
      <c r="K6" s="1"/>
    </row>
    <row r="7" spans="1:11" x14ac:dyDescent="0.25">
      <c r="A7" t="e">
        <f>-Lqe4dsJPM3MSIjclNtZ</f>
        <v>#NAME?</v>
      </c>
      <c r="B7">
        <v>565.625</v>
      </c>
      <c r="C7">
        <v>20.531590000000001</v>
      </c>
      <c r="D7">
        <v>39</v>
      </c>
      <c r="E7">
        <v>0</v>
      </c>
      <c r="F7">
        <v>0</v>
      </c>
      <c r="G7">
        <v>1</v>
      </c>
      <c r="H7" s="4">
        <v>1570516670802</v>
      </c>
      <c r="I7">
        <v>581.8125</v>
      </c>
      <c r="J7" s="9">
        <f t="shared" si="0"/>
        <v>43746.567949097218</v>
      </c>
      <c r="K7" s="1"/>
    </row>
    <row r="8" spans="1:11" x14ac:dyDescent="0.25">
      <c r="A8" t="e">
        <f>-Lqe4fe4xHikxijShzVg</f>
        <v>#NAME?</v>
      </c>
      <c r="B8">
        <v>546.875</v>
      </c>
      <c r="C8">
        <v>20.584240000000001</v>
      </c>
      <c r="D8">
        <v>39</v>
      </c>
      <c r="E8">
        <v>0</v>
      </c>
      <c r="F8">
        <v>0</v>
      </c>
      <c r="G8">
        <v>1</v>
      </c>
      <c r="H8" s="4">
        <v>1570516678022</v>
      </c>
      <c r="I8">
        <v>575.0625</v>
      </c>
      <c r="J8" s="9">
        <f t="shared" si="0"/>
        <v>43746.568032662035</v>
      </c>
      <c r="K8" s="1"/>
    </row>
    <row r="9" spans="1:11" x14ac:dyDescent="0.25">
      <c r="A9" t="e">
        <f>-Lqe4hOKcN4bph2VlWuE</f>
        <v>#NAME?</v>
      </c>
      <c r="B9">
        <v>546.875</v>
      </c>
      <c r="C9">
        <v>20.584240000000001</v>
      </c>
      <c r="D9">
        <v>38</v>
      </c>
      <c r="E9">
        <v>0</v>
      </c>
      <c r="F9">
        <v>0</v>
      </c>
      <c r="G9">
        <v>1</v>
      </c>
      <c r="H9" s="4">
        <v>1570516685220</v>
      </c>
      <c r="I9">
        <v>575.0625</v>
      </c>
      <c r="J9" s="9">
        <f t="shared" si="0"/>
        <v>43746.568115972223</v>
      </c>
      <c r="K9" s="1"/>
    </row>
    <row r="10" spans="1:11" x14ac:dyDescent="0.25">
      <c r="A10" t="e">
        <f>-Lqe4ix91r1RqhFTu9cR</f>
        <v>#NAME?</v>
      </c>
      <c r="B10">
        <v>543.75</v>
      </c>
      <c r="C10">
        <v>20.584240000000001</v>
      </c>
      <c r="D10">
        <v>38</v>
      </c>
      <c r="E10">
        <v>0</v>
      </c>
      <c r="F10">
        <v>0</v>
      </c>
      <c r="G10">
        <v>1</v>
      </c>
      <c r="H10" s="4">
        <v>1570516691415</v>
      </c>
      <c r="I10">
        <v>574.125</v>
      </c>
      <c r="J10" s="9">
        <f t="shared" si="0"/>
        <v>43746.568187673613</v>
      </c>
      <c r="K10" s="1"/>
    </row>
    <row r="11" spans="1:11" x14ac:dyDescent="0.25">
      <c r="A11" t="e">
        <f>-Lqe4kf9KcbeGj5ksHDj</f>
        <v>#NAME?</v>
      </c>
      <c r="B11">
        <v>540.625</v>
      </c>
      <c r="C11">
        <v>20.584240000000001</v>
      </c>
      <c r="D11">
        <v>37</v>
      </c>
      <c r="E11">
        <v>0</v>
      </c>
      <c r="F11">
        <v>0</v>
      </c>
      <c r="G11">
        <v>1</v>
      </c>
      <c r="H11" s="4">
        <v>1570516698641</v>
      </c>
      <c r="I11">
        <v>573.375</v>
      </c>
      <c r="J11" s="9">
        <f t="shared" si="0"/>
        <v>43746.568271307864</v>
      </c>
      <c r="K11" s="1"/>
    </row>
    <row r="12" spans="1:11" x14ac:dyDescent="0.25">
      <c r="A12" t="e">
        <f>-Lqe4mTM4ho6ev5-#REF!</f>
        <v>#NAME?</v>
      </c>
      <c r="B12">
        <v>540.625</v>
      </c>
      <c r="C12">
        <v>20.584240000000001</v>
      </c>
      <c r="D12">
        <v>38</v>
      </c>
      <c r="E12">
        <v>0</v>
      </c>
      <c r="F12">
        <v>0</v>
      </c>
      <c r="G12">
        <v>1</v>
      </c>
      <c r="H12" s="4">
        <v>1570516705842</v>
      </c>
      <c r="I12">
        <v>573.375</v>
      </c>
      <c r="J12" s="9">
        <f t="shared" si="0"/>
        <v>43746.56835465278</v>
      </c>
      <c r="K12" s="1"/>
    </row>
    <row r="13" spans="1:11" x14ac:dyDescent="0.25">
      <c r="A13" t="e">
        <f>-Lqe4oBLjhc-ukSCQ1Bq</f>
        <v>#NAME?</v>
      </c>
      <c r="B13">
        <v>537.5</v>
      </c>
      <c r="C13">
        <v>20.584240000000001</v>
      </c>
      <c r="D13">
        <v>37</v>
      </c>
      <c r="E13">
        <v>0</v>
      </c>
      <c r="F13">
        <v>0</v>
      </c>
      <c r="G13">
        <v>1</v>
      </c>
      <c r="H13" s="4">
        <v>1570516713043</v>
      </c>
      <c r="I13">
        <v>572.625</v>
      </c>
      <c r="J13" s="9">
        <f t="shared" si="0"/>
        <v>43746.568437997681</v>
      </c>
      <c r="K13" s="1"/>
    </row>
    <row r="14" spans="1:11" x14ac:dyDescent="0.25">
      <c r="A14" t="e">
        <f>-Lqe4pk8GU8lBP5A0yif</f>
        <v>#NAME?</v>
      </c>
      <c r="B14">
        <v>534.375</v>
      </c>
      <c r="C14">
        <v>20.584240000000001</v>
      </c>
      <c r="D14">
        <v>37</v>
      </c>
      <c r="E14">
        <v>0</v>
      </c>
      <c r="F14">
        <v>0</v>
      </c>
      <c r="G14">
        <v>1</v>
      </c>
      <c r="H14" s="4">
        <v>1570516719231</v>
      </c>
      <c r="I14">
        <v>571.6875</v>
      </c>
      <c r="J14" s="9">
        <f t="shared" si="0"/>
        <v>43746.568509618053</v>
      </c>
      <c r="K14" s="1"/>
    </row>
    <row r="15" spans="1:11" x14ac:dyDescent="0.25">
      <c r="A15" t="e">
        <f>-Lqe4rTMKE3hvaytFNk9</f>
        <v>#NAME?</v>
      </c>
      <c r="B15">
        <v>531.25</v>
      </c>
      <c r="C15">
        <v>20.584240000000001</v>
      </c>
      <c r="D15">
        <v>41</v>
      </c>
      <c r="E15">
        <v>0</v>
      </c>
      <c r="F15">
        <v>0</v>
      </c>
      <c r="G15">
        <v>1</v>
      </c>
      <c r="H15" s="4">
        <v>1570516726451</v>
      </c>
      <c r="I15">
        <v>570.9375</v>
      </c>
      <c r="J15" s="9">
        <f t="shared" si="0"/>
        <v>43746.56859318287</v>
      </c>
      <c r="K15" s="1"/>
    </row>
    <row r="16" spans="1:11" x14ac:dyDescent="0.25">
      <c r="A16" t="e">
        <f>-Lqe4tGLcerc6_nryiok</f>
        <v>#NAME?</v>
      </c>
      <c r="B16">
        <v>531.25</v>
      </c>
      <c r="C16">
        <v>20.531590000000001</v>
      </c>
      <c r="D16">
        <v>40</v>
      </c>
      <c r="E16">
        <v>0</v>
      </c>
      <c r="F16">
        <v>0</v>
      </c>
      <c r="G16">
        <v>1</v>
      </c>
      <c r="H16" s="4">
        <v>1570516733670</v>
      </c>
      <c r="I16">
        <v>570.1875</v>
      </c>
      <c r="J16" s="9">
        <f t="shared" si="0"/>
        <v>43746.568676736111</v>
      </c>
      <c r="K16" s="1"/>
    </row>
    <row r="17" spans="1:11" x14ac:dyDescent="0.25">
      <c r="A17" t="e">
        <f>-Lqe4uzKM2UzYuROkf5p</f>
        <v>#NAME?</v>
      </c>
      <c r="B17">
        <v>528.125</v>
      </c>
      <c r="C17">
        <v>20.584240000000001</v>
      </c>
      <c r="D17">
        <v>37</v>
      </c>
      <c r="E17">
        <v>0</v>
      </c>
      <c r="F17">
        <v>0</v>
      </c>
      <c r="G17">
        <v>1</v>
      </c>
      <c r="H17" s="4">
        <v>1570516740881</v>
      </c>
      <c r="I17">
        <v>569.25</v>
      </c>
      <c r="J17" s="9">
        <f t="shared" si="0"/>
        <v>43746.568760196758</v>
      </c>
      <c r="K17" s="1"/>
    </row>
    <row r="18" spans="1:11" x14ac:dyDescent="0.25">
      <c r="A18" t="e">
        <f>-Lqe4wmf_WTvqw8uoCoJ</f>
        <v>#NAME?</v>
      </c>
      <c r="B18">
        <v>521.875</v>
      </c>
      <c r="C18">
        <v>20.584240000000001</v>
      </c>
      <c r="D18">
        <v>38</v>
      </c>
      <c r="E18">
        <v>0</v>
      </c>
      <c r="F18">
        <v>0</v>
      </c>
      <c r="G18">
        <v>1</v>
      </c>
      <c r="H18" s="4">
        <v>1570516748090</v>
      </c>
      <c r="I18">
        <v>567.75</v>
      </c>
      <c r="J18" s="9">
        <f t="shared" si="0"/>
        <v>43746.568843634253</v>
      </c>
      <c r="K18" s="1"/>
    </row>
    <row r="19" spans="1:11" x14ac:dyDescent="0.25">
      <c r="A19" t="e">
        <f>-Lqe4yVBWg8EmrO0tnfr</f>
        <v>#NAME?</v>
      </c>
      <c r="B19">
        <v>518.75</v>
      </c>
      <c r="C19">
        <v>20.584240000000001</v>
      </c>
      <c r="D19">
        <v>38</v>
      </c>
      <c r="E19">
        <v>0</v>
      </c>
      <c r="F19">
        <v>0</v>
      </c>
      <c r="G19">
        <v>1</v>
      </c>
      <c r="H19" s="4">
        <v>1570516755282</v>
      </c>
      <c r="I19">
        <v>566.8125</v>
      </c>
      <c r="J19" s="9">
        <f t="shared" si="0"/>
        <v>43746.568926874999</v>
      </c>
      <c r="K19" s="1"/>
    </row>
    <row r="20" spans="1:11" x14ac:dyDescent="0.25">
      <c r="A20" t="s">
        <v>9</v>
      </c>
      <c r="B20">
        <v>518.75</v>
      </c>
      <c r="C20">
        <v>20.584240000000001</v>
      </c>
      <c r="D20">
        <v>38</v>
      </c>
      <c r="E20">
        <v>0</v>
      </c>
      <c r="F20">
        <v>0</v>
      </c>
      <c r="G20">
        <v>1</v>
      </c>
      <c r="H20" s="4">
        <v>1570516761483</v>
      </c>
      <c r="I20">
        <v>566.0625</v>
      </c>
      <c r="J20" s="9">
        <f t="shared" si="0"/>
        <v>43746.568998645831</v>
      </c>
      <c r="K20" s="1"/>
    </row>
    <row r="21" spans="1:11" x14ac:dyDescent="0.25">
      <c r="A21" t="e">
        <f>-Lqe50m8l79dSymcuA3N</f>
        <v>#NAME?</v>
      </c>
      <c r="B21">
        <v>515.625</v>
      </c>
      <c r="C21">
        <v>20.584240000000001</v>
      </c>
      <c r="D21">
        <v>37</v>
      </c>
      <c r="E21">
        <v>0</v>
      </c>
      <c r="F21">
        <v>0</v>
      </c>
      <c r="G21">
        <v>1</v>
      </c>
      <c r="H21" s="4">
        <v>1570516768702</v>
      </c>
      <c r="I21">
        <v>565.3125</v>
      </c>
      <c r="J21" s="9">
        <f t="shared" si="0"/>
        <v>43746.569082199072</v>
      </c>
      <c r="K21" s="1"/>
    </row>
    <row r="22" spans="1:11" x14ac:dyDescent="0.25">
      <c r="A22" t="e">
        <f>-Lqe52_8_zyGcz74vfyr</f>
        <v>#NAME?</v>
      </c>
      <c r="B22">
        <v>512.5</v>
      </c>
      <c r="C22">
        <v>20.584240000000001</v>
      </c>
      <c r="D22">
        <v>38</v>
      </c>
      <c r="E22">
        <v>0</v>
      </c>
      <c r="F22">
        <v>0</v>
      </c>
      <c r="G22">
        <v>1</v>
      </c>
      <c r="H22" s="4">
        <v>1570516775922</v>
      </c>
      <c r="I22">
        <v>564.5625</v>
      </c>
      <c r="J22" s="9">
        <f t="shared" si="0"/>
        <v>43746.569165763889</v>
      </c>
      <c r="K22" s="1"/>
    </row>
    <row r="23" spans="1:11" x14ac:dyDescent="0.25">
      <c r="A23" t="e">
        <f>-Lqe54ILgp5noVGfiZFb</f>
        <v>#NAME?</v>
      </c>
      <c r="B23">
        <v>506.25</v>
      </c>
      <c r="C23">
        <v>20.584240000000001</v>
      </c>
      <c r="D23">
        <v>36</v>
      </c>
      <c r="E23">
        <v>0</v>
      </c>
      <c r="F23">
        <v>0</v>
      </c>
      <c r="G23">
        <v>1</v>
      </c>
      <c r="H23" s="4">
        <v>1570516783123</v>
      </c>
      <c r="I23">
        <v>562.875</v>
      </c>
      <c r="J23" s="9">
        <f t="shared" si="0"/>
        <v>43746.56924910879</v>
      </c>
      <c r="K23" s="1"/>
    </row>
    <row r="24" spans="1:11" x14ac:dyDescent="0.25">
      <c r="A24" t="e">
        <f>-Lqe5659wwoyvoZUdZea</f>
        <v>#NAME?</v>
      </c>
      <c r="B24">
        <v>503.125</v>
      </c>
      <c r="C24">
        <v>20.584240000000001</v>
      </c>
      <c r="D24">
        <v>38</v>
      </c>
      <c r="E24">
        <v>0</v>
      </c>
      <c r="F24">
        <v>0</v>
      </c>
      <c r="G24">
        <v>1</v>
      </c>
      <c r="H24" s="4">
        <v>1570516790351</v>
      </c>
      <c r="I24">
        <v>561.9375</v>
      </c>
      <c r="J24" s="9">
        <f t="shared" si="0"/>
        <v>43746.569332766201</v>
      </c>
      <c r="K24" s="1"/>
    </row>
    <row r="25" spans="1:11" x14ac:dyDescent="0.25">
      <c r="A25" t="e">
        <f>-Lqe57oKlMCzfnGnlkT3</f>
        <v>#NAME?</v>
      </c>
      <c r="B25">
        <v>500</v>
      </c>
      <c r="C25">
        <v>20.584240000000001</v>
      </c>
      <c r="D25">
        <v>39</v>
      </c>
      <c r="E25">
        <v>0</v>
      </c>
      <c r="F25">
        <v>0</v>
      </c>
      <c r="G25">
        <v>1</v>
      </c>
      <c r="H25" s="4">
        <v>1570516797531</v>
      </c>
      <c r="I25">
        <v>560.4375</v>
      </c>
      <c r="J25" s="9">
        <f t="shared" si="0"/>
        <v>43746.569415868049</v>
      </c>
      <c r="K25" s="1"/>
    </row>
    <row r="26" spans="1:11" x14ac:dyDescent="0.25">
      <c r="A26" t="e">
        <f>-Lqe59N8kPwQzjDtPchn</f>
        <v>#NAME?</v>
      </c>
      <c r="B26">
        <v>496.875</v>
      </c>
      <c r="C26">
        <v>20.584240000000001</v>
      </c>
      <c r="D26">
        <v>39</v>
      </c>
      <c r="E26">
        <v>0</v>
      </c>
      <c r="F26">
        <v>0</v>
      </c>
      <c r="G26">
        <v>1</v>
      </c>
      <c r="H26" s="4">
        <v>1570516803711</v>
      </c>
      <c r="I26">
        <v>559.6875</v>
      </c>
      <c r="J26" s="9">
        <f t="shared" si="0"/>
        <v>43746.569487395835</v>
      </c>
      <c r="K26" s="1"/>
    </row>
    <row r="27" spans="1:11" x14ac:dyDescent="0.25">
      <c r="A27" t="e">
        <f>-Lqe5BP825SQYtKl2qiW</f>
        <v>#NAME?</v>
      </c>
      <c r="B27">
        <v>493.75</v>
      </c>
      <c r="C27">
        <v>20.584240000000001</v>
      </c>
      <c r="D27">
        <v>38</v>
      </c>
      <c r="E27">
        <v>0</v>
      </c>
      <c r="F27">
        <v>0</v>
      </c>
      <c r="G27">
        <v>1</v>
      </c>
      <c r="H27" s="4">
        <v>1570516810962</v>
      </c>
      <c r="I27">
        <v>558.9375</v>
      </c>
      <c r="J27" s="9">
        <f t="shared" si="0"/>
        <v>43746.569571319444</v>
      </c>
      <c r="K27" s="1"/>
    </row>
    <row r="28" spans="1:11" x14ac:dyDescent="0.25">
      <c r="A28" t="e">
        <f>-Lqe5D77bWzHpk3gUv41</f>
        <v>#NAME?</v>
      </c>
      <c r="B28">
        <v>493.75</v>
      </c>
      <c r="C28">
        <v>20.584240000000001</v>
      </c>
      <c r="D28">
        <v>38</v>
      </c>
      <c r="E28">
        <v>0</v>
      </c>
      <c r="F28">
        <v>0</v>
      </c>
      <c r="G28">
        <v>1</v>
      </c>
      <c r="H28" s="4">
        <v>1570516819201</v>
      </c>
      <c r="I28">
        <v>558</v>
      </c>
      <c r="J28" s="9">
        <f t="shared" si="0"/>
        <v>43746.569666678239</v>
      </c>
      <c r="K28" s="1"/>
    </row>
    <row r="29" spans="1:11" x14ac:dyDescent="0.25">
      <c r="A29" t="e">
        <f>-Lqe5EqA7208hma1IpNb</f>
        <v>#NAME?</v>
      </c>
      <c r="B29">
        <v>490.625</v>
      </c>
      <c r="C29">
        <v>20.584240000000001</v>
      </c>
      <c r="D29">
        <v>39</v>
      </c>
      <c r="E29">
        <v>0</v>
      </c>
      <c r="F29">
        <v>0</v>
      </c>
      <c r="G29">
        <v>1</v>
      </c>
      <c r="H29" s="4">
        <v>1570516826400</v>
      </c>
      <c r="I29">
        <v>557.25</v>
      </c>
      <c r="J29" s="9">
        <f t="shared" si="0"/>
        <v>43746.569750000002</v>
      </c>
      <c r="K29" s="1"/>
    </row>
    <row r="30" spans="1:11" x14ac:dyDescent="0.25">
      <c r="A30" t="e">
        <f>-Lqe5GQGYwnO-zuvtpil</f>
        <v>#NAME?</v>
      </c>
      <c r="B30">
        <v>487.5</v>
      </c>
      <c r="C30">
        <v>20.584240000000001</v>
      </c>
      <c r="D30">
        <v>40</v>
      </c>
      <c r="E30">
        <v>0</v>
      </c>
      <c r="F30">
        <v>0</v>
      </c>
      <c r="G30">
        <v>1</v>
      </c>
      <c r="H30" s="4">
        <v>1570516832579</v>
      </c>
      <c r="I30">
        <v>556.5</v>
      </c>
      <c r="J30" s="9">
        <f t="shared" si="0"/>
        <v>43746.569821516205</v>
      </c>
      <c r="K30" s="1"/>
    </row>
    <row r="31" spans="1:11" x14ac:dyDescent="0.25">
      <c r="A31" t="e">
        <f>-Lqe5I7IbltM7Q-tHtdr</f>
        <v>#NAME?</v>
      </c>
      <c r="B31">
        <v>484.375</v>
      </c>
      <c r="C31">
        <v>20.584240000000001</v>
      </c>
      <c r="D31">
        <v>38</v>
      </c>
      <c r="E31">
        <v>0</v>
      </c>
      <c r="F31">
        <v>0</v>
      </c>
      <c r="G31">
        <v>1</v>
      </c>
      <c r="H31" s="4">
        <v>1570516839821</v>
      </c>
      <c r="I31">
        <v>555.5625</v>
      </c>
      <c r="J31" s="9">
        <f t="shared" si="0"/>
        <v>43746.569905335644</v>
      </c>
      <c r="K31" s="1"/>
    </row>
    <row r="32" spans="1:11" x14ac:dyDescent="0.25">
      <c r="A32" t="e">
        <f>-Lqe5JgH6p7V_UAj1mLe</f>
        <v>#NAME?</v>
      </c>
      <c r="B32">
        <v>503.125</v>
      </c>
      <c r="C32">
        <v>20.584240000000001</v>
      </c>
      <c r="D32">
        <v>41</v>
      </c>
      <c r="E32">
        <v>0</v>
      </c>
      <c r="F32">
        <v>0</v>
      </c>
      <c r="G32">
        <v>1</v>
      </c>
      <c r="H32" s="4">
        <v>1570516845991</v>
      </c>
      <c r="I32">
        <v>561.375</v>
      </c>
      <c r="J32" s="9">
        <f t="shared" si="0"/>
        <v>43746.569976747684</v>
      </c>
      <c r="K32" s="1"/>
    </row>
    <row r="33" spans="1:11" x14ac:dyDescent="0.25">
      <c r="A33" t="e">
        <f>-Lqe5LP8ulrmRm9kYAP5</f>
        <v>#NAME?</v>
      </c>
      <c r="B33">
        <v>481.25</v>
      </c>
      <c r="C33">
        <v>20.584240000000001</v>
      </c>
      <c r="D33">
        <v>40</v>
      </c>
      <c r="E33">
        <v>0</v>
      </c>
      <c r="F33">
        <v>0</v>
      </c>
      <c r="G33">
        <v>1</v>
      </c>
      <c r="H33" s="4">
        <v>1570516853200</v>
      </c>
      <c r="I33">
        <v>554.0625</v>
      </c>
      <c r="J33" s="9">
        <f t="shared" si="0"/>
        <v>43746.570060185179</v>
      </c>
      <c r="K33" s="1"/>
    </row>
    <row r="34" spans="1:11" x14ac:dyDescent="0.25">
      <c r="A34" t="e">
        <f>-Lqe5NCatL3qUQQ-WUTY</f>
        <v>#NAME?</v>
      </c>
      <c r="B34">
        <v>475</v>
      </c>
      <c r="C34">
        <v>20.584240000000001</v>
      </c>
      <c r="D34">
        <v>40</v>
      </c>
      <c r="E34">
        <v>0</v>
      </c>
      <c r="F34">
        <v>0</v>
      </c>
      <c r="G34">
        <v>1</v>
      </c>
      <c r="H34" s="4">
        <v>1570516860420</v>
      </c>
      <c r="I34">
        <v>552.375</v>
      </c>
      <c r="J34" s="9">
        <f t="shared" si="0"/>
        <v>43746.570143750003</v>
      </c>
      <c r="K34" s="1"/>
    </row>
    <row r="35" spans="1:11" x14ac:dyDescent="0.25">
      <c r="A35" t="e">
        <f>-Lqe5Ov8g51XWCH4zxmR</f>
        <v>#NAME?</v>
      </c>
      <c r="B35">
        <v>471.875</v>
      </c>
      <c r="C35">
        <v>20.584240000000001</v>
      </c>
      <c r="D35">
        <v>40</v>
      </c>
      <c r="E35">
        <v>0</v>
      </c>
      <c r="F35">
        <v>0</v>
      </c>
      <c r="G35">
        <v>1</v>
      </c>
      <c r="H35" s="4">
        <v>1570516867599</v>
      </c>
      <c r="I35">
        <v>551.625</v>
      </c>
      <c r="J35" s="9">
        <f t="shared" si="0"/>
        <v>43746.570226840275</v>
      </c>
      <c r="K35" s="1"/>
    </row>
    <row r="36" spans="1:11" x14ac:dyDescent="0.25">
      <c r="A36" t="e">
        <f>-Lqe5QUJbaiaqTIm82m8</f>
        <v>#NAME?</v>
      </c>
      <c r="B36">
        <v>471.875</v>
      </c>
      <c r="C36">
        <v>20.584240000000001</v>
      </c>
      <c r="D36">
        <v>40</v>
      </c>
      <c r="E36">
        <v>0</v>
      </c>
      <c r="F36">
        <v>0</v>
      </c>
      <c r="G36">
        <v>1</v>
      </c>
      <c r="H36" s="4">
        <v>1570516873790</v>
      </c>
      <c r="I36">
        <v>551.625</v>
      </c>
      <c r="J36" s="9">
        <f t="shared" si="0"/>
        <v>43746.570298495368</v>
      </c>
      <c r="K36" s="1"/>
    </row>
    <row r="37" spans="1:11" x14ac:dyDescent="0.25">
      <c r="A37" t="e">
        <f>-Lqe5SC79BtnL47-QvBY</f>
        <v>#NAME?</v>
      </c>
      <c r="B37">
        <v>468.75</v>
      </c>
      <c r="C37">
        <v>20.584240000000001</v>
      </c>
      <c r="D37">
        <v>42</v>
      </c>
      <c r="E37">
        <v>0</v>
      </c>
      <c r="F37">
        <v>0</v>
      </c>
      <c r="G37">
        <v>1</v>
      </c>
      <c r="H37" s="4">
        <v>1570516881039</v>
      </c>
      <c r="I37">
        <v>550.875</v>
      </c>
      <c r="J37" s="9">
        <f t="shared" si="0"/>
        <v>43746.570382395832</v>
      </c>
      <c r="K37" s="1"/>
    </row>
    <row r="38" spans="1:11" x14ac:dyDescent="0.25">
      <c r="A38" t="e">
        <f>-Lqe5U-IC3AgesoZTksI</f>
        <v>#NAME?</v>
      </c>
      <c r="B38">
        <v>465.625</v>
      </c>
      <c r="C38">
        <v>20.584240000000001</v>
      </c>
      <c r="D38">
        <v>41</v>
      </c>
      <c r="E38">
        <v>0</v>
      </c>
      <c r="F38">
        <v>0</v>
      </c>
      <c r="G38">
        <v>1</v>
      </c>
      <c r="H38" s="4">
        <v>1570516888239</v>
      </c>
      <c r="I38">
        <v>549.1875</v>
      </c>
      <c r="J38" s="9">
        <f t="shared" si="0"/>
        <v>43746.570465729164</v>
      </c>
      <c r="K38" s="1"/>
    </row>
    <row r="39" spans="1:11" x14ac:dyDescent="0.25">
      <c r="A39" t="e">
        <f>-Lqe5ViBzKQpWku3Pxy2</f>
        <v>#NAME?</v>
      </c>
      <c r="B39">
        <v>465.625</v>
      </c>
      <c r="C39">
        <v>20.584240000000001</v>
      </c>
      <c r="D39">
        <v>43</v>
      </c>
      <c r="E39">
        <v>0</v>
      </c>
      <c r="F39">
        <v>0</v>
      </c>
      <c r="G39">
        <v>1</v>
      </c>
      <c r="H39" s="4">
        <v>1570516895441</v>
      </c>
      <c r="I39">
        <v>549.1875</v>
      </c>
      <c r="J39" s="9">
        <f t="shared" si="0"/>
        <v>43746.570549085642</v>
      </c>
      <c r="K39" s="1"/>
    </row>
    <row r="40" spans="1:11" x14ac:dyDescent="0.25">
      <c r="A40" t="e">
        <f>-Lqe5XH91Pp0gtw2mfiG</f>
        <v>#NAME?</v>
      </c>
      <c r="B40">
        <v>462.5</v>
      </c>
      <c r="C40">
        <v>20.584240000000001</v>
      </c>
      <c r="D40">
        <v>43</v>
      </c>
      <c r="E40">
        <v>0</v>
      </c>
      <c r="F40">
        <v>0</v>
      </c>
      <c r="G40">
        <v>1</v>
      </c>
      <c r="H40" s="4">
        <v>1570516901639</v>
      </c>
      <c r="I40">
        <v>548.4375</v>
      </c>
      <c r="J40" s="9">
        <f t="shared" si="0"/>
        <v>43746.570620821753</v>
      </c>
      <c r="K40" s="1"/>
    </row>
    <row r="41" spans="1:11" x14ac:dyDescent="0.25">
      <c r="A41" t="s">
        <v>10</v>
      </c>
      <c r="B41">
        <v>456.25</v>
      </c>
      <c r="C41">
        <v>20.584240000000001</v>
      </c>
      <c r="D41">
        <v>41</v>
      </c>
      <c r="E41">
        <v>0</v>
      </c>
      <c r="F41">
        <v>0</v>
      </c>
      <c r="G41">
        <v>1</v>
      </c>
      <c r="H41" s="4">
        <v>1570516908851</v>
      </c>
      <c r="I41">
        <v>546.75</v>
      </c>
      <c r="J41" s="9">
        <f t="shared" si="0"/>
        <v>43746.570704293983</v>
      </c>
      <c r="K41" s="1"/>
    </row>
    <row r="42" spans="1:11" x14ac:dyDescent="0.25">
      <c r="A42" t="e">
        <f>-Lqe5_nHSC0eOENpQkCj</f>
        <v>#NAME?</v>
      </c>
      <c r="B42">
        <v>456.25</v>
      </c>
      <c r="C42">
        <v>20.584240000000001</v>
      </c>
      <c r="D42">
        <v>41</v>
      </c>
      <c r="E42">
        <v>0</v>
      </c>
      <c r="F42">
        <v>0</v>
      </c>
      <c r="G42">
        <v>1</v>
      </c>
      <c r="H42" s="4">
        <v>1570516916031</v>
      </c>
      <c r="I42">
        <v>546.75</v>
      </c>
      <c r="J42" s="9">
        <f t="shared" si="0"/>
        <v>43746.570787395831</v>
      </c>
      <c r="K42" s="1"/>
    </row>
    <row r="43" spans="1:11" x14ac:dyDescent="0.25">
      <c r="A43" t="e">
        <f>-Lqe5bWLFU7GQDvzBHfZ</f>
        <v>#NAME?</v>
      </c>
      <c r="B43">
        <v>453.125</v>
      </c>
      <c r="C43">
        <v>20.584240000000001</v>
      </c>
      <c r="D43">
        <v>40</v>
      </c>
      <c r="E43">
        <v>0</v>
      </c>
      <c r="F43">
        <v>0</v>
      </c>
      <c r="G43">
        <v>1</v>
      </c>
      <c r="H43" s="4">
        <v>1570516923281</v>
      </c>
      <c r="I43">
        <v>545.25</v>
      </c>
      <c r="J43" s="9">
        <f t="shared" si="0"/>
        <v>43746.570871307871</v>
      </c>
      <c r="K43" s="1"/>
    </row>
    <row r="44" spans="1:11" x14ac:dyDescent="0.25">
      <c r="A44" t="s">
        <v>11</v>
      </c>
      <c r="B44">
        <v>453.125</v>
      </c>
      <c r="C44">
        <v>20.584240000000001</v>
      </c>
      <c r="D44">
        <v>40</v>
      </c>
      <c r="E44">
        <v>0</v>
      </c>
      <c r="F44">
        <v>0</v>
      </c>
      <c r="G44">
        <v>1</v>
      </c>
      <c r="H44" s="4">
        <v>1570516930480</v>
      </c>
      <c r="I44">
        <v>545.25</v>
      </c>
      <c r="J44" s="9">
        <f t="shared" si="0"/>
        <v>43746.570954629628</v>
      </c>
      <c r="K44" s="1"/>
    </row>
    <row r="45" spans="1:11" x14ac:dyDescent="0.25">
      <c r="A45" t="e">
        <f>-Lqe5fGAptxCNAboG9KF</f>
        <v>#NAME?</v>
      </c>
      <c r="B45">
        <v>453.125</v>
      </c>
      <c r="C45">
        <v>20.584240000000001</v>
      </c>
      <c r="D45">
        <v>41</v>
      </c>
      <c r="E45">
        <v>0</v>
      </c>
      <c r="F45">
        <v>0</v>
      </c>
      <c r="G45">
        <v>1</v>
      </c>
      <c r="H45" s="4">
        <v>1570516938459</v>
      </c>
      <c r="I45">
        <v>545.25</v>
      </c>
      <c r="J45" s="9">
        <f t="shared" si="0"/>
        <v>43746.571046979159</v>
      </c>
      <c r="K45" s="1"/>
    </row>
    <row r="46" spans="1:11" x14ac:dyDescent="0.25">
      <c r="A46" t="e">
        <f>-Lqe5h3T2HaClH3LN3es</f>
        <v>#NAME?</v>
      </c>
      <c r="B46">
        <v>450</v>
      </c>
      <c r="C46">
        <v>20.584240000000001</v>
      </c>
      <c r="D46">
        <v>41</v>
      </c>
      <c r="E46">
        <v>0</v>
      </c>
      <c r="F46">
        <v>0</v>
      </c>
      <c r="G46">
        <v>1</v>
      </c>
      <c r="H46" s="4">
        <v>1570516945949</v>
      </c>
      <c r="I46">
        <v>544.3125</v>
      </c>
      <c r="J46" s="9">
        <f t="shared" si="0"/>
        <v>43746.571133668978</v>
      </c>
      <c r="K46" s="1"/>
    </row>
    <row r="47" spans="1:11" x14ac:dyDescent="0.25">
      <c r="A47" t="e">
        <f>-Lqe5ipwGuRd7SIu6lFG</f>
        <v>#NAME?</v>
      </c>
      <c r="B47">
        <v>446.875</v>
      </c>
      <c r="C47">
        <v>20.584240000000001</v>
      </c>
      <c r="D47">
        <v>40</v>
      </c>
      <c r="E47">
        <v>0</v>
      </c>
      <c r="F47">
        <v>0</v>
      </c>
      <c r="G47">
        <v>1</v>
      </c>
      <c r="H47" s="4">
        <v>1570516953160</v>
      </c>
      <c r="I47">
        <v>543.5625</v>
      </c>
      <c r="J47" s="9">
        <f t="shared" si="0"/>
        <v>43746.571217129625</v>
      </c>
      <c r="K47" s="1"/>
    </row>
    <row r="48" spans="1:11" x14ac:dyDescent="0.25">
      <c r="A48" t="e">
        <f>-Lqe5k_ckbRcQpuRTcmT</f>
        <v>#NAME?</v>
      </c>
      <c r="B48">
        <v>443.75</v>
      </c>
      <c r="C48">
        <v>20.584240000000001</v>
      </c>
      <c r="D48">
        <v>40</v>
      </c>
      <c r="E48">
        <v>0</v>
      </c>
      <c r="F48">
        <v>0</v>
      </c>
      <c r="G48">
        <v>1</v>
      </c>
      <c r="H48" s="4">
        <v>1570516960370</v>
      </c>
      <c r="I48">
        <v>542.8125</v>
      </c>
      <c r="J48" s="9">
        <f t="shared" si="0"/>
        <v>43746.571300578704</v>
      </c>
      <c r="K48" s="1"/>
    </row>
    <row r="49" spans="1:11" x14ac:dyDescent="0.25">
      <c r="A49" t="e">
        <f>-Lqe5mNPQ6PaQX0dHa2a</f>
        <v>#NAME?</v>
      </c>
      <c r="B49">
        <v>462.5</v>
      </c>
      <c r="C49">
        <v>20.584240000000001</v>
      </c>
      <c r="D49">
        <v>40</v>
      </c>
      <c r="E49">
        <v>0</v>
      </c>
      <c r="F49">
        <v>0</v>
      </c>
      <c r="G49">
        <v>1</v>
      </c>
      <c r="H49" s="4">
        <v>1570516967579</v>
      </c>
      <c r="I49">
        <v>548.4375</v>
      </c>
      <c r="J49" s="9">
        <f t="shared" si="0"/>
        <v>43746.571384016199</v>
      </c>
      <c r="K49" s="1"/>
    </row>
    <row r="50" spans="1:11" x14ac:dyDescent="0.25">
      <c r="A50" t="e">
        <f>-Lqe5o591mJm2RpmssQE</f>
        <v>#NAME?</v>
      </c>
      <c r="B50">
        <v>440.625</v>
      </c>
      <c r="C50">
        <v>20.531590000000001</v>
      </c>
      <c r="D50">
        <v>40</v>
      </c>
      <c r="E50">
        <v>0</v>
      </c>
      <c r="F50">
        <v>0</v>
      </c>
      <c r="G50">
        <v>1</v>
      </c>
      <c r="H50" s="4">
        <v>1570516974801</v>
      </c>
      <c r="I50">
        <v>541.875</v>
      </c>
      <c r="J50" s="9">
        <f t="shared" si="0"/>
        <v>43746.571467604161</v>
      </c>
      <c r="K50" s="1"/>
    </row>
    <row r="51" spans="1:11" x14ac:dyDescent="0.25">
      <c r="A51" t="e">
        <f>-Lqe5peJr4ES9ZpBHyaf</f>
        <v>#NAME?</v>
      </c>
      <c r="B51">
        <v>440.625</v>
      </c>
      <c r="C51">
        <v>20.584240000000001</v>
      </c>
      <c r="D51">
        <v>40</v>
      </c>
      <c r="E51">
        <v>0</v>
      </c>
      <c r="F51">
        <v>0</v>
      </c>
      <c r="G51">
        <v>1</v>
      </c>
      <c r="H51" s="4">
        <v>1570516980991</v>
      </c>
      <c r="I51">
        <v>541.125</v>
      </c>
      <c r="J51" s="9">
        <f t="shared" si="0"/>
        <v>43746.571539247678</v>
      </c>
      <c r="K51" s="1"/>
    </row>
    <row r="52" spans="1:11" x14ac:dyDescent="0.25">
      <c r="A52" t="e">
        <f>-Lqe5rN--zxL3HGe0n9u</f>
        <v>#NAME?</v>
      </c>
      <c r="B52">
        <v>437.5</v>
      </c>
      <c r="C52">
        <v>20.584240000000001</v>
      </c>
      <c r="D52">
        <v>40</v>
      </c>
      <c r="E52">
        <v>0</v>
      </c>
      <c r="F52">
        <v>0</v>
      </c>
      <c r="G52">
        <v>1</v>
      </c>
      <c r="H52" s="4">
        <v>1570516988189</v>
      </c>
      <c r="I52">
        <v>540.375</v>
      </c>
      <c r="J52" s="9">
        <f t="shared" si="0"/>
        <v>43746.571622557873</v>
      </c>
      <c r="K52" s="1"/>
    </row>
    <row r="53" spans="1:11" x14ac:dyDescent="0.25">
      <c r="A53" t="e">
        <f>-Lqe5tA92ExDSUGWNtq6</f>
        <v>#NAME?</v>
      </c>
      <c r="B53">
        <v>437.5</v>
      </c>
      <c r="C53">
        <v>20.584240000000001</v>
      </c>
      <c r="D53">
        <v>40</v>
      </c>
      <c r="E53">
        <v>0</v>
      </c>
      <c r="F53">
        <v>0</v>
      </c>
      <c r="G53">
        <v>1</v>
      </c>
      <c r="H53" s="4">
        <v>1570516995441</v>
      </c>
      <c r="I53">
        <v>540.375</v>
      </c>
      <c r="J53" s="9">
        <f t="shared" si="0"/>
        <v>43746.571706493058</v>
      </c>
      <c r="K53" s="1"/>
    </row>
    <row r="54" spans="1:11" x14ac:dyDescent="0.25">
      <c r="A54" t="e">
        <f>-Lqe5utIAYl1_zgwzS8c</f>
        <v>#NAME?</v>
      </c>
      <c r="B54">
        <v>453.125</v>
      </c>
      <c r="C54">
        <v>20.584240000000001</v>
      </c>
      <c r="D54">
        <v>40</v>
      </c>
      <c r="E54">
        <v>0</v>
      </c>
      <c r="F54">
        <v>0</v>
      </c>
      <c r="G54">
        <v>1</v>
      </c>
      <c r="H54" s="4">
        <v>1570517002621</v>
      </c>
      <c r="I54">
        <v>545.8125</v>
      </c>
      <c r="J54" s="9">
        <f t="shared" si="0"/>
        <v>43746.571789594906</v>
      </c>
      <c r="K54" s="1"/>
    </row>
    <row r="55" spans="1:11" x14ac:dyDescent="0.25">
      <c r="A55" t="e">
        <f>-Lqe5wgJ-bPiy597zg-m</f>
        <v>#NAME?</v>
      </c>
      <c r="B55">
        <v>434.375</v>
      </c>
      <c r="C55">
        <v>20.531590000000001</v>
      </c>
      <c r="D55">
        <v>40</v>
      </c>
      <c r="E55">
        <v>0</v>
      </c>
      <c r="F55">
        <v>0</v>
      </c>
      <c r="G55">
        <v>0</v>
      </c>
      <c r="H55" s="4">
        <v>1570517009839</v>
      </c>
      <c r="I55">
        <v>539.4375</v>
      </c>
      <c r="J55" s="9">
        <f t="shared" si="0"/>
        <v>43746.571873136571</v>
      </c>
      <c r="K55" s="1"/>
    </row>
    <row r="56" spans="1:11" x14ac:dyDescent="0.25">
      <c r="A56" t="e">
        <f>-Lqe5yPIAktJmUMzJSm9</f>
        <v>#NAME?</v>
      </c>
      <c r="B56">
        <v>431.25</v>
      </c>
      <c r="C56">
        <v>20.584240000000001</v>
      </c>
      <c r="D56">
        <v>39</v>
      </c>
      <c r="E56">
        <v>0</v>
      </c>
      <c r="F56">
        <v>0</v>
      </c>
      <c r="G56">
        <v>1</v>
      </c>
      <c r="H56" s="4">
        <v>1570517017039</v>
      </c>
      <c r="I56">
        <v>538.6875</v>
      </c>
      <c r="J56" s="9">
        <f t="shared" si="0"/>
        <v>43746.571956469903</v>
      </c>
      <c r="K56" s="1"/>
    </row>
    <row r="57" spans="1:11" x14ac:dyDescent="0.25">
      <c r="A57" t="e">
        <f>-#REF!-CJPiz9wvRJcaDK</f>
        <v>#REF!</v>
      </c>
      <c r="B57">
        <v>431.25</v>
      </c>
      <c r="C57">
        <v>20.584240000000001</v>
      </c>
      <c r="D57">
        <v>40</v>
      </c>
      <c r="E57">
        <v>0</v>
      </c>
      <c r="F57">
        <v>0</v>
      </c>
      <c r="G57">
        <v>1</v>
      </c>
      <c r="H57" s="4">
        <v>1570517024241</v>
      </c>
      <c r="I57">
        <v>538.875</v>
      </c>
      <c r="J57" s="9">
        <f t="shared" si="0"/>
        <v>43746.572039826387</v>
      </c>
      <c r="K57" s="1"/>
    </row>
    <row r="58" spans="1:11" x14ac:dyDescent="0.25">
      <c r="A58" t="e">
        <f>-Lqe60v892cB8jWYMd4o</f>
        <v>#NAME?</v>
      </c>
      <c r="B58">
        <v>431.25</v>
      </c>
      <c r="C58">
        <v>20.584240000000001</v>
      </c>
      <c r="D58">
        <v>40</v>
      </c>
      <c r="E58">
        <v>0</v>
      </c>
      <c r="F58">
        <v>0</v>
      </c>
      <c r="G58">
        <v>1</v>
      </c>
      <c r="H58" s="4">
        <v>1570517031451</v>
      </c>
      <c r="I58">
        <v>538.6875</v>
      </c>
      <c r="J58" s="9">
        <f t="shared" si="0"/>
        <v>43746.572123275466</v>
      </c>
      <c r="K58" s="1"/>
    </row>
    <row r="59" spans="1:11" x14ac:dyDescent="0.25">
      <c r="A59" t="e">
        <f>-Lqe62ULNpUp6tpakDmZ</f>
        <v>#NAME?</v>
      </c>
      <c r="B59">
        <v>428.125</v>
      </c>
      <c r="C59">
        <v>20.584240000000001</v>
      </c>
      <c r="D59">
        <v>40</v>
      </c>
      <c r="E59">
        <v>0</v>
      </c>
      <c r="F59">
        <v>0</v>
      </c>
      <c r="G59">
        <v>1</v>
      </c>
      <c r="H59" s="4">
        <v>1570517037639</v>
      </c>
      <c r="I59">
        <v>537.9375</v>
      </c>
      <c r="J59" s="9">
        <f t="shared" si="0"/>
        <v>43746.572194895831</v>
      </c>
      <c r="K59" s="1"/>
    </row>
    <row r="60" spans="1:11" x14ac:dyDescent="0.25">
      <c r="A60" t="e">
        <f>-Lqe64VzYaaP9B_FTelP</f>
        <v>#NAME?</v>
      </c>
      <c r="B60">
        <v>428.125</v>
      </c>
      <c r="C60">
        <v>20.584240000000001</v>
      </c>
      <c r="D60">
        <v>39</v>
      </c>
      <c r="E60">
        <v>0</v>
      </c>
      <c r="F60">
        <v>0</v>
      </c>
      <c r="G60">
        <v>1</v>
      </c>
      <c r="H60" s="4">
        <v>1570517044881</v>
      </c>
      <c r="I60">
        <v>537.9375</v>
      </c>
      <c r="J60" s="9">
        <f t="shared" si="0"/>
        <v>43746.57227871527</v>
      </c>
      <c r="K60" s="1"/>
    </row>
    <row r="61" spans="1:11" x14ac:dyDescent="0.25">
      <c r="A61" t="e">
        <f>-Lqe66FMIsy6uwesDh4a</f>
        <v>#NAME?</v>
      </c>
      <c r="B61">
        <v>428.125</v>
      </c>
      <c r="C61">
        <v>20.584240000000001</v>
      </c>
      <c r="D61">
        <v>37</v>
      </c>
      <c r="E61">
        <v>0</v>
      </c>
      <c r="F61">
        <v>0</v>
      </c>
      <c r="G61">
        <v>1</v>
      </c>
      <c r="H61" s="4">
        <v>1570517053118</v>
      </c>
      <c r="I61">
        <v>537</v>
      </c>
      <c r="J61" s="9">
        <f t="shared" si="0"/>
        <v>43746.57237405092</v>
      </c>
      <c r="K61" s="1"/>
    </row>
    <row r="62" spans="1:11" x14ac:dyDescent="0.25">
      <c r="A62" t="e">
        <f>-Lqe685B7CvqBlYcYfLn</f>
        <v>#NAME?</v>
      </c>
      <c r="B62">
        <v>428.125</v>
      </c>
      <c r="C62">
        <v>20.584240000000001</v>
      </c>
      <c r="D62">
        <v>40</v>
      </c>
      <c r="E62">
        <v>0</v>
      </c>
      <c r="F62">
        <v>0</v>
      </c>
      <c r="G62">
        <v>1</v>
      </c>
      <c r="H62" s="4">
        <v>1570517060788</v>
      </c>
      <c r="I62">
        <v>537</v>
      </c>
      <c r="J62" s="9">
        <f t="shared" si="0"/>
        <v>43746.572462824071</v>
      </c>
      <c r="K62" s="1"/>
    </row>
    <row r="63" spans="1:11" x14ac:dyDescent="0.25">
      <c r="A63" t="e">
        <f>-Lqe69k6Bi2JkNasfUx8</f>
        <v>#NAME?</v>
      </c>
      <c r="B63">
        <v>440.625</v>
      </c>
      <c r="C63">
        <v>20.584240000000001</v>
      </c>
      <c r="D63">
        <v>40</v>
      </c>
      <c r="E63">
        <v>0</v>
      </c>
      <c r="F63">
        <v>0</v>
      </c>
      <c r="G63">
        <v>1</v>
      </c>
      <c r="H63" s="4">
        <v>1570517067529</v>
      </c>
      <c r="I63">
        <v>541.3125</v>
      </c>
      <c r="J63" s="9">
        <f t="shared" si="0"/>
        <v>43746.5725408449</v>
      </c>
      <c r="K63" s="1"/>
    </row>
    <row r="64" spans="1:11" x14ac:dyDescent="0.25">
      <c r="A64" t="e">
        <f>-Lqe6BTFMwVMVozBfPM8</f>
        <v>#NAME?</v>
      </c>
      <c r="B64">
        <v>421.875</v>
      </c>
      <c r="C64">
        <v>20.531590000000001</v>
      </c>
      <c r="D64">
        <v>39</v>
      </c>
      <c r="E64">
        <v>0</v>
      </c>
      <c r="F64">
        <v>0</v>
      </c>
      <c r="G64">
        <v>1</v>
      </c>
      <c r="H64" s="4">
        <v>1570517074727</v>
      </c>
      <c r="I64">
        <v>535.5</v>
      </c>
      <c r="J64" s="9">
        <f t="shared" si="0"/>
        <v>43746.572624155095</v>
      </c>
      <c r="K64" s="1"/>
    </row>
    <row r="65" spans="1:11" x14ac:dyDescent="0.25">
      <c r="A65" t="e">
        <f>-Lqe6D178GpMllLu18od</f>
        <v>#NAME?</v>
      </c>
      <c r="B65">
        <v>418.75</v>
      </c>
      <c r="C65">
        <v>20.584240000000001</v>
      </c>
      <c r="D65">
        <v>38</v>
      </c>
      <c r="E65">
        <v>0</v>
      </c>
      <c r="F65">
        <v>0</v>
      </c>
      <c r="G65">
        <v>1</v>
      </c>
      <c r="H65" s="4">
        <v>1570517080939</v>
      </c>
      <c r="I65">
        <v>534.5625</v>
      </c>
      <c r="J65" s="9">
        <f t="shared" si="0"/>
        <v>43746.572696053241</v>
      </c>
      <c r="K65" s="1"/>
    </row>
    <row r="66" spans="1:11" x14ac:dyDescent="0.25">
      <c r="A66" t="e">
        <f>-Lqe6Ek9lcQfUFJirnLa</f>
        <v>#NAME?</v>
      </c>
      <c r="B66">
        <v>437.5</v>
      </c>
      <c r="C66">
        <v>20.584240000000001</v>
      </c>
      <c r="D66">
        <v>39</v>
      </c>
      <c r="E66">
        <v>0</v>
      </c>
      <c r="F66">
        <v>0</v>
      </c>
      <c r="G66">
        <v>1</v>
      </c>
      <c r="H66" s="4">
        <v>1570517088150</v>
      </c>
      <c r="I66">
        <v>540.375</v>
      </c>
      <c r="J66" s="9">
        <f t="shared" si="0"/>
        <v>43746.572779513888</v>
      </c>
      <c r="K66" s="1"/>
    </row>
    <row r="67" spans="1:11" x14ac:dyDescent="0.25">
      <c r="A67" t="e">
        <f>-Lqe6GJ7yj7FyJK0gWLB</f>
        <v>#NAME?</v>
      </c>
      <c r="B67">
        <v>418.75</v>
      </c>
      <c r="C67">
        <v>20.531590000000001</v>
      </c>
      <c r="D67">
        <v>40</v>
      </c>
      <c r="E67">
        <v>0</v>
      </c>
      <c r="F67">
        <v>0</v>
      </c>
      <c r="G67">
        <v>1</v>
      </c>
      <c r="H67" s="4">
        <v>1570517094330</v>
      </c>
      <c r="I67">
        <v>534.75</v>
      </c>
      <c r="J67" s="9">
        <f t="shared" ref="J67:J130" si="1">(H67/86400000)+25569+(7/24)</f>
        <v>43746.572851041659</v>
      </c>
      <c r="K67" s="1"/>
    </row>
    <row r="68" spans="1:11" x14ac:dyDescent="0.25">
      <c r="A68" t="e">
        <f>-Lqe6I1J4Cq-XHEAawex</f>
        <v>#NAME?</v>
      </c>
      <c r="B68">
        <v>418.75</v>
      </c>
      <c r="C68">
        <v>20.584240000000001</v>
      </c>
      <c r="D68">
        <v>40</v>
      </c>
      <c r="E68">
        <v>0</v>
      </c>
      <c r="F68">
        <v>0</v>
      </c>
      <c r="G68">
        <v>1</v>
      </c>
      <c r="H68" s="4">
        <v>1570517101536</v>
      </c>
      <c r="I68">
        <v>534</v>
      </c>
      <c r="J68" s="9">
        <f t="shared" si="1"/>
        <v>43746.572934444441</v>
      </c>
      <c r="K68" s="1"/>
    </row>
    <row r="69" spans="1:11" x14ac:dyDescent="0.25">
      <c r="A69" t="e">
        <f>-Lqe6Ja6v43or1yJLBxd</f>
        <v>#NAME?</v>
      </c>
      <c r="B69">
        <v>418.75</v>
      </c>
      <c r="C69">
        <v>20.584240000000001</v>
      </c>
      <c r="D69">
        <v>40</v>
      </c>
      <c r="E69">
        <v>0</v>
      </c>
      <c r="F69">
        <v>0</v>
      </c>
      <c r="G69">
        <v>1</v>
      </c>
      <c r="H69" s="4">
        <v>1570517107760</v>
      </c>
      <c r="I69">
        <v>534</v>
      </c>
      <c r="J69" s="9">
        <f t="shared" si="1"/>
        <v>43746.573006481478</v>
      </c>
      <c r="K69" s="1"/>
    </row>
    <row r="70" spans="1:11" x14ac:dyDescent="0.25">
      <c r="A70" t="e">
        <f>-Lqe6LJJqOfvLBePUbjS</f>
        <v>#NAME?</v>
      </c>
      <c r="B70">
        <v>418.75</v>
      </c>
      <c r="C70">
        <v>20.584240000000001</v>
      </c>
      <c r="D70">
        <v>39</v>
      </c>
      <c r="E70">
        <v>0</v>
      </c>
      <c r="F70">
        <v>0</v>
      </c>
      <c r="G70">
        <v>1</v>
      </c>
      <c r="H70" s="4">
        <v>1570517114938</v>
      </c>
      <c r="I70">
        <v>534</v>
      </c>
      <c r="J70" s="9">
        <f t="shared" si="1"/>
        <v>43746.573089560181</v>
      </c>
      <c r="K70" s="1"/>
    </row>
    <row r="71" spans="1:11" x14ac:dyDescent="0.25">
      <c r="A71" t="e">
        <f>-Lqe6N67v-sBtDefnFAw</f>
        <v>#NAME?</v>
      </c>
      <c r="B71">
        <v>418.75</v>
      </c>
      <c r="C71">
        <v>20.584240000000001</v>
      </c>
      <c r="D71">
        <v>36</v>
      </c>
      <c r="E71">
        <v>0</v>
      </c>
      <c r="F71">
        <v>0</v>
      </c>
      <c r="G71">
        <v>1</v>
      </c>
      <c r="H71" s="4">
        <v>1570517122118</v>
      </c>
      <c r="I71">
        <v>534</v>
      </c>
      <c r="J71" s="9">
        <f t="shared" si="1"/>
        <v>43746.573172662036</v>
      </c>
      <c r="K71" s="1"/>
    </row>
    <row r="72" spans="1:11" x14ac:dyDescent="0.25">
      <c r="A72" t="e">
        <f>-Lqe6OpIUErXr5Rwl00y</f>
        <v>#NAME?</v>
      </c>
      <c r="B72">
        <v>415.625</v>
      </c>
      <c r="C72">
        <v>20.584240000000001</v>
      </c>
      <c r="D72">
        <v>36</v>
      </c>
      <c r="E72">
        <v>0</v>
      </c>
      <c r="F72">
        <v>0</v>
      </c>
      <c r="G72">
        <v>1</v>
      </c>
      <c r="H72" s="4">
        <v>1570517129369</v>
      </c>
      <c r="I72">
        <v>533.8125</v>
      </c>
      <c r="J72" s="9">
        <f t="shared" si="1"/>
        <v>43746.573256585645</v>
      </c>
      <c r="K72" s="1"/>
    </row>
    <row r="73" spans="1:11" x14ac:dyDescent="0.25">
      <c r="A73" t="s">
        <v>12</v>
      </c>
      <c r="B73">
        <v>418.75</v>
      </c>
      <c r="C73">
        <v>20.584240000000001</v>
      </c>
      <c r="D73">
        <v>36</v>
      </c>
      <c r="E73">
        <v>0</v>
      </c>
      <c r="F73">
        <v>0</v>
      </c>
      <c r="G73">
        <v>1</v>
      </c>
      <c r="H73" s="4">
        <v>1570517136579</v>
      </c>
      <c r="I73">
        <v>534</v>
      </c>
      <c r="J73" s="9">
        <f t="shared" si="1"/>
        <v>43746.573340034716</v>
      </c>
      <c r="K73" s="1"/>
    </row>
    <row r="74" spans="1:11" x14ac:dyDescent="0.25">
      <c r="A74" t="e">
        <f>-Lqe6SL8HsswX5aY6LpX</f>
        <v>#NAME?</v>
      </c>
      <c r="B74">
        <v>418.75</v>
      </c>
      <c r="C74">
        <v>20.584240000000001</v>
      </c>
      <c r="D74">
        <v>37</v>
      </c>
      <c r="E74">
        <v>0</v>
      </c>
      <c r="F74">
        <v>0</v>
      </c>
      <c r="G74">
        <v>1</v>
      </c>
      <c r="H74" s="4">
        <v>1570517143769</v>
      </c>
      <c r="I74">
        <v>534</v>
      </c>
      <c r="J74" s="9">
        <f t="shared" si="1"/>
        <v>43746.573423252317</v>
      </c>
      <c r="K74" s="1"/>
    </row>
    <row r="75" spans="1:11" x14ac:dyDescent="0.25">
      <c r="A75" t="e">
        <f>-Lqe6TtgVgngzUehoQJ1</f>
        <v>#NAME?</v>
      </c>
      <c r="B75">
        <v>415.625</v>
      </c>
      <c r="C75">
        <v>20.584240000000001</v>
      </c>
      <c r="D75">
        <v>37</v>
      </c>
      <c r="E75">
        <v>0</v>
      </c>
      <c r="F75">
        <v>0</v>
      </c>
      <c r="G75">
        <v>1</v>
      </c>
      <c r="H75" s="4">
        <v>1570517149950</v>
      </c>
      <c r="I75">
        <v>533.0625</v>
      </c>
      <c r="J75" s="9">
        <f t="shared" si="1"/>
        <v>43746.573494791664</v>
      </c>
      <c r="K75" s="1"/>
    </row>
    <row r="76" spans="1:11" x14ac:dyDescent="0.25">
      <c r="A76" t="e">
        <f>-Lqe6VZXU3GTfzVKwPVs</f>
        <v>#NAME?</v>
      </c>
      <c r="B76">
        <v>415.625</v>
      </c>
      <c r="C76">
        <v>20.584240000000001</v>
      </c>
      <c r="D76">
        <v>37</v>
      </c>
      <c r="E76">
        <v>0</v>
      </c>
      <c r="F76">
        <v>0</v>
      </c>
      <c r="G76">
        <v>1</v>
      </c>
      <c r="H76" s="4">
        <v>1570517157159</v>
      </c>
      <c r="I76">
        <v>533.0625</v>
      </c>
      <c r="J76" s="9">
        <f t="shared" si="1"/>
        <v>43746.573578229167</v>
      </c>
      <c r="K76" s="1"/>
    </row>
    <row r="77" spans="1:11" x14ac:dyDescent="0.25">
      <c r="A77" t="e">
        <f>-Lqe6X54Hy9x2_5KmwRs</f>
        <v>#NAME?</v>
      </c>
      <c r="B77">
        <v>415.625</v>
      </c>
      <c r="C77">
        <v>20.584240000000001</v>
      </c>
      <c r="D77">
        <v>37</v>
      </c>
      <c r="E77">
        <v>0</v>
      </c>
      <c r="F77">
        <v>0</v>
      </c>
      <c r="G77">
        <v>1</v>
      </c>
      <c r="H77" s="4">
        <v>1570517163348</v>
      </c>
      <c r="I77">
        <v>533.0625</v>
      </c>
      <c r="J77" s="9">
        <f t="shared" si="1"/>
        <v>43746.573649861108</v>
      </c>
      <c r="K77" s="1"/>
    </row>
    <row r="78" spans="1:11" x14ac:dyDescent="0.25">
      <c r="A78" t="e">
        <f>-Lqe6Ya8XRC0a7igQaW5</f>
        <v>#NAME?</v>
      </c>
      <c r="B78">
        <v>412.5</v>
      </c>
      <c r="C78">
        <v>20.584240000000001</v>
      </c>
      <c r="D78">
        <v>36</v>
      </c>
      <c r="E78">
        <v>0</v>
      </c>
      <c r="F78">
        <v>0</v>
      </c>
      <c r="G78">
        <v>1</v>
      </c>
      <c r="H78" s="4">
        <v>1570517169521</v>
      </c>
      <c r="I78">
        <v>532.3125</v>
      </c>
      <c r="J78" s="9">
        <f t="shared" si="1"/>
        <v>43746.573721307868</v>
      </c>
      <c r="K78" s="1"/>
    </row>
    <row r="79" spans="1:11" x14ac:dyDescent="0.25">
      <c r="A79" t="e">
        <f>-Lqe6_8KwExQb99EdfL4</f>
        <v>#NAME?</v>
      </c>
      <c r="B79">
        <v>412.5</v>
      </c>
      <c r="C79">
        <v>20.584240000000001</v>
      </c>
      <c r="D79">
        <v>36</v>
      </c>
      <c r="E79">
        <v>0</v>
      </c>
      <c r="F79">
        <v>0</v>
      </c>
      <c r="G79">
        <v>1</v>
      </c>
      <c r="H79" s="4">
        <v>1570517175729</v>
      </c>
      <c r="I79">
        <v>532.3125</v>
      </c>
      <c r="J79" s="9">
        <f t="shared" si="1"/>
        <v>43746.573793159718</v>
      </c>
      <c r="K79" s="1"/>
    </row>
    <row r="80" spans="1:11" x14ac:dyDescent="0.25">
      <c r="A80" t="e">
        <f>-Lqe6awLNobhEZTV7l1l</f>
        <v>#NAME?</v>
      </c>
      <c r="B80">
        <v>412.5</v>
      </c>
      <c r="C80">
        <v>20.584240000000001</v>
      </c>
      <c r="D80">
        <v>36</v>
      </c>
      <c r="E80">
        <v>0</v>
      </c>
      <c r="F80">
        <v>0</v>
      </c>
      <c r="G80">
        <v>1</v>
      </c>
      <c r="H80" s="4">
        <v>1570517182948</v>
      </c>
      <c r="I80">
        <v>532.3125</v>
      </c>
      <c r="J80" s="9">
        <f t="shared" si="1"/>
        <v>43746.573876712959</v>
      </c>
      <c r="K80" s="1"/>
    </row>
    <row r="81" spans="1:11" x14ac:dyDescent="0.25">
      <c r="A81" t="e">
        <f>-Lqe6cuKyss6-oCy-#REF!</f>
        <v>#NAME?</v>
      </c>
      <c r="B81">
        <v>412.5</v>
      </c>
      <c r="C81">
        <v>20.584240000000001</v>
      </c>
      <c r="D81">
        <v>35</v>
      </c>
      <c r="E81">
        <v>0</v>
      </c>
      <c r="F81">
        <v>0</v>
      </c>
      <c r="G81">
        <v>1</v>
      </c>
      <c r="H81" s="4">
        <v>1570517191135</v>
      </c>
      <c r="I81">
        <v>532.3125</v>
      </c>
      <c r="J81" s="9">
        <f t="shared" si="1"/>
        <v>43746.573971469908</v>
      </c>
      <c r="K81" s="1"/>
    </row>
    <row r="82" spans="1:11" x14ac:dyDescent="0.25">
      <c r="A82" t="e">
        <f>-Lqe6eT_JaziPYsfACLn</f>
        <v>#NAME?</v>
      </c>
      <c r="B82">
        <v>409.375</v>
      </c>
      <c r="C82">
        <v>20.584240000000001</v>
      </c>
      <c r="D82">
        <v>35</v>
      </c>
      <c r="E82">
        <v>0</v>
      </c>
      <c r="F82">
        <v>0</v>
      </c>
      <c r="G82">
        <v>1</v>
      </c>
      <c r="H82" s="4">
        <v>1570517197393</v>
      </c>
      <c r="I82">
        <v>531.5625</v>
      </c>
      <c r="J82" s="9">
        <f t="shared" si="1"/>
        <v>43746.574043900466</v>
      </c>
      <c r="K82" s="1"/>
    </row>
    <row r="83" spans="1:11" x14ac:dyDescent="0.25">
      <c r="A83" t="e">
        <f>-Lqe6gBHzzxCz-anF4nL</f>
        <v>#NAME?</v>
      </c>
      <c r="B83">
        <v>409.375</v>
      </c>
      <c r="C83">
        <v>20.584240000000001</v>
      </c>
      <c r="D83">
        <v>35</v>
      </c>
      <c r="E83">
        <v>0</v>
      </c>
      <c r="F83">
        <v>0</v>
      </c>
      <c r="G83">
        <v>1</v>
      </c>
      <c r="H83" s="4">
        <v>1570517204559</v>
      </c>
      <c r="I83">
        <v>531.5625</v>
      </c>
      <c r="J83" s="9">
        <f t="shared" si="1"/>
        <v>43746.574126840271</v>
      </c>
      <c r="K83" s="1"/>
    </row>
    <row r="84" spans="1:11" x14ac:dyDescent="0.25">
      <c r="A84" t="e">
        <f>-Lqe6hjzdJp6r0M6R6h6</f>
        <v>#NAME?</v>
      </c>
      <c r="B84">
        <v>409.375</v>
      </c>
      <c r="C84">
        <v>20.584240000000001</v>
      </c>
      <c r="D84">
        <v>35</v>
      </c>
      <c r="E84">
        <v>0</v>
      </c>
      <c r="F84">
        <v>0</v>
      </c>
      <c r="G84">
        <v>1</v>
      </c>
      <c r="H84" s="4">
        <v>1570517210758</v>
      </c>
      <c r="I84">
        <v>531.375</v>
      </c>
      <c r="J84" s="9">
        <f t="shared" si="1"/>
        <v>43746.574198587965</v>
      </c>
      <c r="K84" s="1"/>
    </row>
    <row r="85" spans="1:11" x14ac:dyDescent="0.25">
      <c r="A85" t="e">
        <f>-Lqe6jSpSj5eARkVChmA</f>
        <v>#NAME?</v>
      </c>
      <c r="B85">
        <v>409.375</v>
      </c>
      <c r="C85">
        <v>20.584240000000001</v>
      </c>
      <c r="D85">
        <v>34</v>
      </c>
      <c r="E85">
        <v>0</v>
      </c>
      <c r="F85">
        <v>0</v>
      </c>
      <c r="G85">
        <v>1</v>
      </c>
      <c r="H85" s="4">
        <v>1570517217998</v>
      </c>
      <c r="I85">
        <v>531.5625</v>
      </c>
      <c r="J85" s="9">
        <f t="shared" si="1"/>
        <v>43746.574282384252</v>
      </c>
      <c r="K85" s="1"/>
    </row>
    <row r="86" spans="1:11" x14ac:dyDescent="0.25">
      <c r="A86" t="e">
        <f>-Lqe6lGHwReirpbOYppW</f>
        <v>#NAME?</v>
      </c>
      <c r="B86">
        <v>409.375</v>
      </c>
      <c r="C86">
        <v>20.584240000000001</v>
      </c>
      <c r="D86">
        <v>35</v>
      </c>
      <c r="E86">
        <v>0</v>
      </c>
      <c r="F86">
        <v>0</v>
      </c>
      <c r="G86">
        <v>1</v>
      </c>
      <c r="H86" s="4">
        <v>1570517225189</v>
      </c>
      <c r="I86">
        <v>531.5625</v>
      </c>
      <c r="J86" s="9">
        <f t="shared" si="1"/>
        <v>43746.574365613422</v>
      </c>
      <c r="K86" s="1"/>
    </row>
    <row r="87" spans="1:11" x14ac:dyDescent="0.25">
      <c r="A87" t="e">
        <f>-Lqe6mzH2whPLT5hjwce</f>
        <v>#NAME?</v>
      </c>
      <c r="B87">
        <v>409.375</v>
      </c>
      <c r="C87">
        <v>20.584240000000001</v>
      </c>
      <c r="D87">
        <v>36</v>
      </c>
      <c r="E87">
        <v>0</v>
      </c>
      <c r="F87">
        <v>0</v>
      </c>
      <c r="G87">
        <v>1</v>
      </c>
      <c r="H87" s="4">
        <v>1570517232410</v>
      </c>
      <c r="I87">
        <v>531.5625</v>
      </c>
      <c r="J87" s="9">
        <f t="shared" si="1"/>
        <v>43746.574449189815</v>
      </c>
      <c r="K87" s="1"/>
    </row>
    <row r="88" spans="1:11" x14ac:dyDescent="0.25">
      <c r="A88" t="e">
        <f>-Lqe6ol1mUgP8o_3UreW</f>
        <v>#NAME?</v>
      </c>
      <c r="B88">
        <v>409.375</v>
      </c>
      <c r="C88">
        <v>20.584240000000001</v>
      </c>
      <c r="D88">
        <v>36</v>
      </c>
      <c r="E88">
        <v>0</v>
      </c>
      <c r="F88">
        <v>0</v>
      </c>
      <c r="G88">
        <v>1</v>
      </c>
      <c r="H88" s="4">
        <v>1570517239618</v>
      </c>
      <c r="I88">
        <v>531.375</v>
      </c>
      <c r="J88" s="9">
        <f t="shared" si="1"/>
        <v>43746.574532615741</v>
      </c>
      <c r="K88" s="1"/>
    </row>
    <row r="89" spans="1:11" x14ac:dyDescent="0.25">
      <c r="A89" t="e">
        <f>-Lqe6qV8BsIFIwD6You1</f>
        <v>#NAME?</v>
      </c>
      <c r="B89">
        <v>409.375</v>
      </c>
      <c r="C89">
        <v>20.584240000000001</v>
      </c>
      <c r="D89">
        <v>37</v>
      </c>
      <c r="E89">
        <v>0</v>
      </c>
      <c r="F89">
        <v>0</v>
      </c>
      <c r="G89">
        <v>1</v>
      </c>
      <c r="H89" s="4">
        <v>1570517246811</v>
      </c>
      <c r="I89">
        <v>531.375</v>
      </c>
      <c r="J89" s="9">
        <f t="shared" si="1"/>
        <v>43746.574615868049</v>
      </c>
      <c r="K89" s="1"/>
    </row>
    <row r="90" spans="1:11" x14ac:dyDescent="0.25">
      <c r="A90" t="e">
        <f>-Lqe6s2eHXbYBdbuyTVo</f>
        <v>#NAME?</v>
      </c>
      <c r="B90">
        <v>428.125</v>
      </c>
      <c r="C90">
        <v>20.584240000000001</v>
      </c>
      <c r="D90">
        <v>37</v>
      </c>
      <c r="E90">
        <v>0</v>
      </c>
      <c r="F90">
        <v>0</v>
      </c>
      <c r="G90">
        <v>1</v>
      </c>
      <c r="H90" s="4">
        <v>1570517252999</v>
      </c>
      <c r="I90">
        <v>537.5625</v>
      </c>
      <c r="J90" s="9">
        <f t="shared" si="1"/>
        <v>43746.574687488428</v>
      </c>
      <c r="K90" s="1"/>
    </row>
    <row r="91" spans="1:11" x14ac:dyDescent="0.25">
      <c r="A91" t="e">
        <f>-Lqe6tm9TfGiNdO54OJ0</f>
        <v>#NAME?</v>
      </c>
      <c r="B91">
        <v>412.5</v>
      </c>
      <c r="C91">
        <v>20.584240000000001</v>
      </c>
      <c r="D91">
        <v>37</v>
      </c>
      <c r="E91">
        <v>0</v>
      </c>
      <c r="F91">
        <v>0</v>
      </c>
      <c r="G91">
        <v>1</v>
      </c>
      <c r="H91" s="4">
        <v>1570517260239</v>
      </c>
      <c r="I91">
        <v>532.3125</v>
      </c>
      <c r="J91" s="9">
        <f t="shared" si="1"/>
        <v>43746.574771284715</v>
      </c>
      <c r="K91" s="1"/>
    </row>
    <row r="92" spans="1:11" x14ac:dyDescent="0.25">
      <c r="A92" t="e">
        <f>-Lqe6v_9QZoXsDOwFrZg</f>
        <v>#NAME?</v>
      </c>
      <c r="B92">
        <v>412.5</v>
      </c>
      <c r="C92">
        <v>20.584240000000001</v>
      </c>
      <c r="D92">
        <v>37</v>
      </c>
      <c r="E92">
        <v>0</v>
      </c>
      <c r="F92">
        <v>0</v>
      </c>
      <c r="G92">
        <v>1</v>
      </c>
      <c r="H92" s="4">
        <v>1570517267449</v>
      </c>
      <c r="I92">
        <v>532.3125</v>
      </c>
      <c r="J92" s="9">
        <f t="shared" si="1"/>
        <v>43746.574854733793</v>
      </c>
      <c r="K92" s="1"/>
    </row>
    <row r="93" spans="1:11" x14ac:dyDescent="0.25">
      <c r="A93" t="e">
        <f>-Lqe6xIHuLwxMdwcLTdj</f>
        <v>#NAME?</v>
      </c>
      <c r="B93">
        <v>412.5</v>
      </c>
      <c r="C93">
        <v>20.584240000000001</v>
      </c>
      <c r="D93">
        <v>37</v>
      </c>
      <c r="E93">
        <v>0</v>
      </c>
      <c r="F93">
        <v>0</v>
      </c>
      <c r="G93">
        <v>1</v>
      </c>
      <c r="H93" s="4">
        <v>1570517274637</v>
      </c>
      <c r="I93">
        <v>532.3125</v>
      </c>
      <c r="J93" s="9">
        <f t="shared" si="1"/>
        <v>43746.574937928242</v>
      </c>
      <c r="K93" s="1"/>
    </row>
    <row r="94" spans="1:11" x14ac:dyDescent="0.25">
      <c r="A94" t="e">
        <f>-Lqe6z5H7yjt59Sb-XOy</f>
        <v>#NAME?</v>
      </c>
      <c r="B94">
        <v>412.5</v>
      </c>
      <c r="C94">
        <v>20.584240000000001</v>
      </c>
      <c r="D94">
        <v>37</v>
      </c>
      <c r="E94">
        <v>0</v>
      </c>
      <c r="F94">
        <v>0</v>
      </c>
      <c r="G94">
        <v>1</v>
      </c>
      <c r="H94" s="4">
        <v>1570517281931</v>
      </c>
      <c r="I94">
        <v>532.3125</v>
      </c>
      <c r="J94" s="9">
        <f t="shared" si="1"/>
        <v>43746.575022349534</v>
      </c>
      <c r="K94" s="1"/>
    </row>
    <row r="95" spans="1:11" x14ac:dyDescent="0.25">
      <c r="A95" t="e">
        <f>-#REF!-oIPDgG32TyHxAv</f>
        <v>#REF!</v>
      </c>
      <c r="B95">
        <v>431.25</v>
      </c>
      <c r="C95">
        <v>20.584240000000001</v>
      </c>
      <c r="D95">
        <v>37</v>
      </c>
      <c r="E95">
        <v>0</v>
      </c>
      <c r="F95">
        <v>0</v>
      </c>
      <c r="G95">
        <v>1</v>
      </c>
      <c r="H95" s="4">
        <v>1570517289111</v>
      </c>
      <c r="I95">
        <v>538.125</v>
      </c>
      <c r="J95" s="9">
        <f t="shared" si="1"/>
        <v>43746.575105451389</v>
      </c>
      <c r="K95" s="1"/>
    </row>
    <row r="96" spans="1:11" x14ac:dyDescent="0.25">
      <c r="A96" t="e">
        <f>-Lqe71NBH8O6FRDM9GiV</f>
        <v>#NAME?</v>
      </c>
      <c r="B96">
        <v>412.5</v>
      </c>
      <c r="C96">
        <v>20.584240000000001</v>
      </c>
      <c r="D96">
        <v>36</v>
      </c>
      <c r="E96">
        <v>0</v>
      </c>
      <c r="F96">
        <v>0</v>
      </c>
      <c r="G96">
        <v>1</v>
      </c>
      <c r="H96" s="4">
        <v>1570517295271</v>
      </c>
      <c r="I96">
        <v>532.3125</v>
      </c>
      <c r="J96" s="9">
        <f t="shared" si="1"/>
        <v>43746.575176747683</v>
      </c>
      <c r="K96" s="1"/>
    </row>
    <row r="97" spans="1:11" x14ac:dyDescent="0.25">
      <c r="A97" t="e">
        <f>-Lqe735APFhNBM0ipyeR</f>
        <v>#NAME?</v>
      </c>
      <c r="B97">
        <v>412.5</v>
      </c>
      <c r="C97">
        <v>20.584240000000001</v>
      </c>
      <c r="D97">
        <v>36</v>
      </c>
      <c r="E97">
        <v>0</v>
      </c>
      <c r="F97">
        <v>0</v>
      </c>
      <c r="G97">
        <v>1</v>
      </c>
      <c r="H97" s="4">
        <v>1570517302480</v>
      </c>
      <c r="I97">
        <v>532.3125</v>
      </c>
      <c r="J97" s="9">
        <f t="shared" si="1"/>
        <v>43746.575260185178</v>
      </c>
      <c r="K97" s="1"/>
    </row>
    <row r="98" spans="1:11" x14ac:dyDescent="0.25">
      <c r="A98" t="e">
        <f>-Lqe74tb9l_kfckiasdK</f>
        <v>#NAME?</v>
      </c>
      <c r="B98">
        <v>412.5</v>
      </c>
      <c r="C98">
        <v>20.584240000000001</v>
      </c>
      <c r="D98">
        <v>38</v>
      </c>
      <c r="E98">
        <v>0</v>
      </c>
      <c r="F98">
        <v>0</v>
      </c>
      <c r="G98">
        <v>1</v>
      </c>
      <c r="H98" s="4">
        <v>1570517309690</v>
      </c>
      <c r="I98">
        <v>532.3125</v>
      </c>
      <c r="J98" s="9">
        <f t="shared" si="1"/>
        <v>43746.575343634257</v>
      </c>
      <c r="K98" s="1"/>
    </row>
    <row r="99" spans="1:11" x14ac:dyDescent="0.25">
      <c r="A99" t="e">
        <f>-Lqe76bcc6y9dvHSCzuI</f>
        <v>#NAME?</v>
      </c>
      <c r="B99">
        <v>412.5</v>
      </c>
      <c r="C99">
        <v>20.584240000000001</v>
      </c>
      <c r="D99">
        <v>40</v>
      </c>
      <c r="E99">
        <v>0</v>
      </c>
      <c r="F99">
        <v>0</v>
      </c>
      <c r="G99">
        <v>1</v>
      </c>
      <c r="H99" s="4">
        <v>1570517316891</v>
      </c>
      <c r="I99">
        <v>532.3125</v>
      </c>
      <c r="J99" s="9">
        <f t="shared" si="1"/>
        <v>43746.575426979165</v>
      </c>
      <c r="K99" s="1"/>
    </row>
    <row r="100" spans="1:11" x14ac:dyDescent="0.25">
      <c r="A100" t="e">
        <f>-Lqe78AIhE2c19i6RzZ3</f>
        <v>#NAME?</v>
      </c>
      <c r="B100">
        <v>412.5</v>
      </c>
      <c r="C100">
        <v>20.584240000000001</v>
      </c>
      <c r="D100">
        <v>40</v>
      </c>
      <c r="E100">
        <v>0</v>
      </c>
      <c r="F100">
        <v>0</v>
      </c>
      <c r="G100">
        <v>1</v>
      </c>
      <c r="H100" s="4">
        <v>1570517323049</v>
      </c>
      <c r="I100">
        <v>532.3125</v>
      </c>
      <c r="J100" s="9">
        <f t="shared" si="1"/>
        <v>43746.575498252314</v>
      </c>
      <c r="K100" s="1"/>
    </row>
    <row r="101" spans="1:11" x14ac:dyDescent="0.25">
      <c r="A101" t="e">
        <f>-Lqe79tAt6P9XvI12ruL</f>
        <v>#NAME?</v>
      </c>
      <c r="B101">
        <v>412.5</v>
      </c>
      <c r="C101">
        <v>20.584240000000001</v>
      </c>
      <c r="D101">
        <v>37</v>
      </c>
      <c r="E101">
        <v>0</v>
      </c>
      <c r="F101">
        <v>0</v>
      </c>
      <c r="G101">
        <v>1</v>
      </c>
      <c r="H101" s="4">
        <v>1570517330320</v>
      </c>
      <c r="I101">
        <v>532.3125</v>
      </c>
      <c r="J101" s="9">
        <f t="shared" si="1"/>
        <v>43746.575582407408</v>
      </c>
      <c r="K101" s="1"/>
    </row>
    <row r="102" spans="1:11" x14ac:dyDescent="0.25">
      <c r="A102" t="e">
        <f>-Lqe7BgI_cQsJ4r8bvXM</f>
        <v>#NAME?</v>
      </c>
      <c r="B102">
        <v>412.5</v>
      </c>
      <c r="C102">
        <v>20.584240000000001</v>
      </c>
      <c r="D102">
        <v>38</v>
      </c>
      <c r="E102">
        <v>0</v>
      </c>
      <c r="F102">
        <v>0</v>
      </c>
      <c r="G102">
        <v>1</v>
      </c>
      <c r="H102" s="4">
        <v>1570517337522</v>
      </c>
      <c r="I102">
        <v>532.3125</v>
      </c>
      <c r="J102" s="9">
        <f t="shared" si="1"/>
        <v>43746.575665763885</v>
      </c>
      <c r="K102" s="1"/>
    </row>
    <row r="103" spans="1:11" x14ac:dyDescent="0.25">
      <c r="A103" t="e">
        <f>-Lqe7DP8UK9w8UHWmAFP</f>
        <v>#NAME?</v>
      </c>
      <c r="B103">
        <v>412.5</v>
      </c>
      <c r="C103">
        <v>20.584240000000001</v>
      </c>
      <c r="D103">
        <v>38</v>
      </c>
      <c r="E103">
        <v>0</v>
      </c>
      <c r="F103">
        <v>0</v>
      </c>
      <c r="G103">
        <v>1</v>
      </c>
      <c r="H103" s="4">
        <v>1570517344720</v>
      </c>
      <c r="I103">
        <v>532.3125</v>
      </c>
      <c r="J103" s="9">
        <f t="shared" si="1"/>
        <v>43746.575749074073</v>
      </c>
      <c r="K103" s="1"/>
    </row>
    <row r="104" spans="1:11" x14ac:dyDescent="0.25">
      <c r="A104" t="e">
        <f>-Lqe7FCH9W2KbflYw7Hq</f>
        <v>#NAME?</v>
      </c>
      <c r="B104">
        <v>409.375</v>
      </c>
      <c r="C104">
        <v>20.584240000000001</v>
      </c>
      <c r="D104">
        <v>41</v>
      </c>
      <c r="E104">
        <v>0</v>
      </c>
      <c r="F104">
        <v>0</v>
      </c>
      <c r="G104">
        <v>1</v>
      </c>
      <c r="H104" s="4">
        <v>1570517351939</v>
      </c>
      <c r="I104">
        <v>531.5625</v>
      </c>
      <c r="J104" s="9">
        <f t="shared" si="1"/>
        <v>43746.575832627314</v>
      </c>
      <c r="K104" s="1"/>
    </row>
    <row r="105" spans="1:11" x14ac:dyDescent="0.25">
      <c r="A105" t="e">
        <f>-Lqe7GvABmYCRXnZ2Y0s</f>
        <v>#NAME?</v>
      </c>
      <c r="B105">
        <v>409.375</v>
      </c>
      <c r="C105">
        <v>20.584240000000001</v>
      </c>
      <c r="D105">
        <v>39</v>
      </c>
      <c r="E105">
        <v>0</v>
      </c>
      <c r="F105">
        <v>0</v>
      </c>
      <c r="G105">
        <v>1</v>
      </c>
      <c r="H105" s="4">
        <v>1570517359140</v>
      </c>
      <c r="I105">
        <v>531.5625</v>
      </c>
      <c r="J105" s="9">
        <f t="shared" si="1"/>
        <v>43746.575915972215</v>
      </c>
      <c r="K105" s="1"/>
    </row>
    <row r="106" spans="1:11" x14ac:dyDescent="0.25">
      <c r="A106" t="e">
        <f>-Lqe7IUI2b2KCcw3fHmH</f>
        <v>#NAME?</v>
      </c>
      <c r="B106">
        <v>409.375</v>
      </c>
      <c r="C106">
        <v>20.584240000000001</v>
      </c>
      <c r="D106">
        <v>39</v>
      </c>
      <c r="E106">
        <v>0</v>
      </c>
      <c r="F106">
        <v>0</v>
      </c>
      <c r="G106">
        <v>1</v>
      </c>
      <c r="H106" s="4">
        <v>1570517365329</v>
      </c>
      <c r="I106">
        <v>531.5625</v>
      </c>
      <c r="J106" s="9">
        <f t="shared" si="1"/>
        <v>43746.575987604163</v>
      </c>
      <c r="K106" s="1"/>
    </row>
    <row r="107" spans="1:11" x14ac:dyDescent="0.25">
      <c r="A107" t="e">
        <f>-Lqe7KCAxxDEJAGfo4S2</f>
        <v>#NAME?</v>
      </c>
      <c r="B107">
        <v>409.375</v>
      </c>
      <c r="C107">
        <v>20.584240000000001</v>
      </c>
      <c r="D107">
        <v>29</v>
      </c>
      <c r="E107">
        <v>0</v>
      </c>
      <c r="F107">
        <v>0</v>
      </c>
      <c r="G107">
        <v>1</v>
      </c>
      <c r="H107" s="4">
        <v>1570517372562</v>
      </c>
      <c r="I107">
        <v>531.5625</v>
      </c>
      <c r="J107" s="9">
        <f t="shared" si="1"/>
        <v>43746.57607131944</v>
      </c>
      <c r="K107" s="1"/>
    </row>
    <row r="108" spans="1:11" x14ac:dyDescent="0.25">
      <c r="A108" t="e">
        <f>-Lqe7Lx2iCmi4QGCyQm6</f>
        <v>#NAME?</v>
      </c>
      <c r="B108">
        <v>428.125</v>
      </c>
      <c r="C108">
        <v>20.584240000000001</v>
      </c>
      <c r="D108">
        <v>32</v>
      </c>
      <c r="E108">
        <v>0</v>
      </c>
      <c r="F108">
        <v>0</v>
      </c>
      <c r="G108">
        <v>1</v>
      </c>
      <c r="H108" s="4">
        <v>1570517379772</v>
      </c>
      <c r="I108">
        <v>537.1875</v>
      </c>
      <c r="J108" s="9">
        <f t="shared" si="1"/>
        <v>43746.576154768518</v>
      </c>
      <c r="K108" s="1"/>
    </row>
    <row r="109" spans="1:11" x14ac:dyDescent="0.25">
      <c r="A109" t="e">
        <f>-Lqe7NXqbbypKANky8ko</f>
        <v>#NAME?</v>
      </c>
      <c r="B109">
        <v>412.5</v>
      </c>
      <c r="C109">
        <v>20.584240000000001</v>
      </c>
      <c r="D109">
        <v>33</v>
      </c>
      <c r="E109">
        <v>0</v>
      </c>
      <c r="F109">
        <v>0</v>
      </c>
      <c r="G109">
        <v>1</v>
      </c>
      <c r="H109" s="4">
        <v>1570517386007</v>
      </c>
      <c r="I109">
        <v>532.3125</v>
      </c>
      <c r="J109" s="9">
        <f t="shared" si="1"/>
        <v>43746.57622693287</v>
      </c>
      <c r="K109" s="1"/>
    </row>
    <row r="110" spans="1:11" x14ac:dyDescent="0.25">
      <c r="A110" t="e">
        <f>-Lqe7PGyx73H_Q5y-JWI</f>
        <v>#NAME?</v>
      </c>
      <c r="B110">
        <v>412.5</v>
      </c>
      <c r="C110">
        <v>20.584240000000001</v>
      </c>
      <c r="D110">
        <v>40</v>
      </c>
      <c r="E110">
        <v>0</v>
      </c>
      <c r="F110">
        <v>0</v>
      </c>
      <c r="G110">
        <v>1</v>
      </c>
      <c r="H110" s="4">
        <v>1570517393180</v>
      </c>
      <c r="I110">
        <v>532.3125</v>
      </c>
      <c r="J110" s="9">
        <f t="shared" si="1"/>
        <v>43746.5763099537</v>
      </c>
      <c r="K110" s="1"/>
    </row>
    <row r="111" spans="1:11" x14ac:dyDescent="0.25">
      <c r="A111" t="s">
        <v>13</v>
      </c>
      <c r="B111">
        <v>412.5</v>
      </c>
      <c r="C111">
        <v>20.584240000000001</v>
      </c>
      <c r="D111">
        <v>40</v>
      </c>
      <c r="E111">
        <v>0</v>
      </c>
      <c r="F111">
        <v>0</v>
      </c>
      <c r="G111">
        <v>1</v>
      </c>
      <c r="H111" s="4">
        <v>1570517400403</v>
      </c>
      <c r="I111">
        <v>532.3125</v>
      </c>
      <c r="J111" s="9">
        <f t="shared" si="1"/>
        <v>43746.576393553238</v>
      </c>
      <c r="K111" s="1"/>
    </row>
    <row r="112" spans="1:11" x14ac:dyDescent="0.25">
      <c r="A112" t="e">
        <f>-Lqe7ShzdlU7HlD3TBw8</f>
        <v>#NAME?</v>
      </c>
      <c r="B112">
        <v>412.5</v>
      </c>
      <c r="C112">
        <v>20.584240000000001</v>
      </c>
      <c r="D112">
        <v>39</v>
      </c>
      <c r="E112">
        <v>0</v>
      </c>
      <c r="F112">
        <v>0</v>
      </c>
      <c r="G112">
        <v>1</v>
      </c>
      <c r="H112" s="4">
        <v>1570517407580</v>
      </c>
      <c r="I112">
        <v>532.3125</v>
      </c>
      <c r="J112" s="9">
        <f t="shared" si="1"/>
        <v>43746.576476620372</v>
      </c>
      <c r="K112" s="1"/>
    </row>
    <row r="113" spans="1:11" x14ac:dyDescent="0.25">
      <c r="A113" t="e">
        <f>-Lqe7UMJuhrWJ18L_VrD</f>
        <v>#NAME?</v>
      </c>
      <c r="B113">
        <v>412.5</v>
      </c>
      <c r="C113">
        <v>20.584240000000001</v>
      </c>
      <c r="D113">
        <v>39</v>
      </c>
      <c r="E113">
        <v>0</v>
      </c>
      <c r="F113">
        <v>0</v>
      </c>
      <c r="G113">
        <v>1</v>
      </c>
      <c r="H113" s="4">
        <v>1570517413989</v>
      </c>
      <c r="I113">
        <v>532.3125</v>
      </c>
      <c r="J113" s="9">
        <f t="shared" si="1"/>
        <v>43746.576550798607</v>
      </c>
      <c r="K113" s="1"/>
    </row>
    <row r="114" spans="1:11" x14ac:dyDescent="0.25">
      <c r="A114" t="e">
        <f>-Lqe7W4KuP7vjlqPSYZA</f>
        <v>#NAME?</v>
      </c>
      <c r="B114">
        <v>409.375</v>
      </c>
      <c r="C114">
        <v>20.584240000000001</v>
      </c>
      <c r="D114">
        <v>39</v>
      </c>
      <c r="E114">
        <v>0</v>
      </c>
      <c r="F114">
        <v>0</v>
      </c>
      <c r="G114">
        <v>1</v>
      </c>
      <c r="H114" s="4">
        <v>1570517420960</v>
      </c>
      <c r="I114">
        <v>531.5625</v>
      </c>
      <c r="J114" s="9">
        <f t="shared" si="1"/>
        <v>43746.576631481475</v>
      </c>
      <c r="K114" s="1"/>
    </row>
    <row r="115" spans="1:11" x14ac:dyDescent="0.25">
      <c r="A115" t="e">
        <f>-Lqe7Xn87aQoCSUExrQN</f>
        <v>#NAME?</v>
      </c>
      <c r="B115">
        <v>409.375</v>
      </c>
      <c r="C115">
        <v>20.584240000000001</v>
      </c>
      <c r="D115">
        <v>38</v>
      </c>
      <c r="E115">
        <v>0</v>
      </c>
      <c r="F115">
        <v>0</v>
      </c>
      <c r="G115">
        <v>1</v>
      </c>
      <c r="H115" s="4">
        <v>1570517428199</v>
      </c>
      <c r="I115">
        <v>531.5625</v>
      </c>
      <c r="J115" s="9">
        <f t="shared" si="1"/>
        <v>43746.576715266201</v>
      </c>
      <c r="K115" s="1"/>
    </row>
    <row r="116" spans="1:11" x14ac:dyDescent="0.25">
      <c r="A116" t="e">
        <f>-Lqe7Za90UnYGwoT9tjf</f>
        <v>#NAME?</v>
      </c>
      <c r="B116">
        <v>409.375</v>
      </c>
      <c r="C116">
        <v>20.584240000000001</v>
      </c>
      <c r="D116">
        <v>37</v>
      </c>
      <c r="E116">
        <v>0</v>
      </c>
      <c r="F116">
        <v>0</v>
      </c>
      <c r="G116">
        <v>1</v>
      </c>
      <c r="H116" s="4">
        <v>1570517435420</v>
      </c>
      <c r="I116">
        <v>531.5625</v>
      </c>
      <c r="J116" s="9">
        <f t="shared" si="1"/>
        <v>43746.576798842587</v>
      </c>
      <c r="K116" s="1"/>
    </row>
    <row r="117" spans="1:11" x14ac:dyDescent="0.25">
      <c r="A117" t="e">
        <f>-Lqe7aJ82MX6_-P4vvET</f>
        <v>#NAME?</v>
      </c>
      <c r="B117">
        <v>409.375</v>
      </c>
      <c r="C117">
        <v>20.584240000000001</v>
      </c>
      <c r="D117">
        <v>37</v>
      </c>
      <c r="E117">
        <v>0</v>
      </c>
      <c r="F117">
        <v>0</v>
      </c>
      <c r="G117">
        <v>1</v>
      </c>
      <c r="H117" s="4">
        <v>1570517442640</v>
      </c>
      <c r="I117">
        <v>531.375</v>
      </c>
      <c r="J117" s="9">
        <f t="shared" si="1"/>
        <v>43746.576882407404</v>
      </c>
      <c r="K117" s="1"/>
    </row>
    <row r="118" spans="1:11" x14ac:dyDescent="0.25">
      <c r="A118" t="e">
        <f>-Lqe7c67k_xEZzl8Ntr5</f>
        <v>#NAME?</v>
      </c>
      <c r="B118">
        <v>409.375</v>
      </c>
      <c r="C118">
        <v>20.584240000000001</v>
      </c>
      <c r="D118">
        <v>39</v>
      </c>
      <c r="E118">
        <v>0</v>
      </c>
      <c r="F118">
        <v>0</v>
      </c>
      <c r="G118">
        <v>1</v>
      </c>
      <c r="H118" s="4">
        <v>1570517449840</v>
      </c>
      <c r="I118">
        <v>531.5625</v>
      </c>
      <c r="J118" s="9">
        <f t="shared" si="1"/>
        <v>43746.576965740744</v>
      </c>
      <c r="K118" s="1"/>
    </row>
    <row r="119" spans="1:11" x14ac:dyDescent="0.25">
      <c r="A119" t="e">
        <f>-Lqe7dnRK50pWfNfXeSJ</f>
        <v>#NAME?</v>
      </c>
      <c r="B119">
        <v>409.375</v>
      </c>
      <c r="C119">
        <v>20.584240000000001</v>
      </c>
      <c r="D119">
        <v>38</v>
      </c>
      <c r="E119">
        <v>0</v>
      </c>
      <c r="F119">
        <v>0</v>
      </c>
      <c r="G119">
        <v>1</v>
      </c>
      <c r="H119" s="4">
        <v>1570517457029</v>
      </c>
      <c r="I119">
        <v>531.5625</v>
      </c>
      <c r="J119" s="9">
        <f t="shared" si="1"/>
        <v>43746.577048946761</v>
      </c>
      <c r="K119" s="1"/>
    </row>
    <row r="120" spans="1:11" x14ac:dyDescent="0.25">
      <c r="A120" t="e">
        <f>-Lqe7fO85g5-zrIylgcs</f>
        <v>#NAME?</v>
      </c>
      <c r="B120">
        <v>409.375</v>
      </c>
      <c r="C120">
        <v>20.584240000000001</v>
      </c>
      <c r="D120">
        <v>39</v>
      </c>
      <c r="E120">
        <v>0</v>
      </c>
      <c r="F120">
        <v>0</v>
      </c>
      <c r="G120">
        <v>1</v>
      </c>
      <c r="H120" s="4">
        <v>1570517463211</v>
      </c>
      <c r="I120">
        <v>531.5625</v>
      </c>
      <c r="J120" s="9">
        <f t="shared" si="1"/>
        <v>43746.577120497685</v>
      </c>
      <c r="K120" s="1"/>
    </row>
    <row r="121" spans="1:11" x14ac:dyDescent="0.25">
      <c r="A121" t="e">
        <f>-Lqe7h6769hnO6PWnPqd</f>
        <v>#NAME?</v>
      </c>
      <c r="B121">
        <v>409.375</v>
      </c>
      <c r="C121">
        <v>20.584240000000001</v>
      </c>
      <c r="D121">
        <v>38</v>
      </c>
      <c r="E121">
        <v>0</v>
      </c>
      <c r="F121">
        <v>0</v>
      </c>
      <c r="G121">
        <v>1</v>
      </c>
      <c r="H121" s="4">
        <v>1570517470482</v>
      </c>
      <c r="I121">
        <v>531.5625</v>
      </c>
      <c r="J121" s="9">
        <f t="shared" si="1"/>
        <v>43746.577204652778</v>
      </c>
      <c r="K121" s="1"/>
    </row>
    <row r="122" spans="1:11" x14ac:dyDescent="0.25">
      <c r="A122" t="e">
        <f>-Lqe7iu7oaHyBY_yJgx3</f>
        <v>#NAME?</v>
      </c>
      <c r="B122">
        <v>412.5</v>
      </c>
      <c r="C122">
        <v>20.584240000000001</v>
      </c>
      <c r="D122">
        <v>40</v>
      </c>
      <c r="E122">
        <v>0</v>
      </c>
      <c r="F122">
        <v>0</v>
      </c>
      <c r="G122">
        <v>1</v>
      </c>
      <c r="H122" s="4">
        <v>1570517477680</v>
      </c>
      <c r="I122">
        <v>532.3125</v>
      </c>
      <c r="J122" s="9">
        <f t="shared" si="1"/>
        <v>43746.577287962959</v>
      </c>
      <c r="K122" s="1"/>
    </row>
    <row r="123" spans="1:11" x14ac:dyDescent="0.25">
      <c r="A123" t="e">
        <f>-Lqe7kc75mXBKe3blCNT</f>
        <v>#NAME?</v>
      </c>
      <c r="B123">
        <v>412.5</v>
      </c>
      <c r="C123">
        <v>20.584240000000001</v>
      </c>
      <c r="D123">
        <v>40</v>
      </c>
      <c r="E123">
        <v>0</v>
      </c>
      <c r="F123">
        <v>0</v>
      </c>
      <c r="G123">
        <v>1</v>
      </c>
      <c r="H123" s="4">
        <v>1570517484880</v>
      </c>
      <c r="I123">
        <v>532.3125</v>
      </c>
      <c r="J123" s="9">
        <f t="shared" si="1"/>
        <v>43746.577371296291</v>
      </c>
      <c r="K123" s="1"/>
    </row>
    <row r="124" spans="1:11" x14ac:dyDescent="0.25">
      <c r="A124" t="e">
        <f>-Lqe7mQ705AEtHQzQNax</f>
        <v>#NAME?</v>
      </c>
      <c r="B124">
        <v>412.5</v>
      </c>
      <c r="C124">
        <v>20.584240000000001</v>
      </c>
      <c r="D124">
        <v>40</v>
      </c>
      <c r="E124">
        <v>0</v>
      </c>
      <c r="F124">
        <v>0</v>
      </c>
      <c r="G124">
        <v>1</v>
      </c>
      <c r="H124" s="4">
        <v>1570517492101</v>
      </c>
      <c r="I124">
        <v>532.3125</v>
      </c>
      <c r="J124" s="9">
        <f t="shared" si="1"/>
        <v>43746.577454872684</v>
      </c>
      <c r="K124" s="1"/>
    </row>
    <row r="125" spans="1:11" x14ac:dyDescent="0.25">
      <c r="A125" t="e">
        <f>-Lqe7o88AKy6OQ14vf12</f>
        <v>#NAME?</v>
      </c>
      <c r="B125">
        <v>415.625</v>
      </c>
      <c r="C125">
        <v>20.584240000000001</v>
      </c>
      <c r="D125">
        <v>38</v>
      </c>
      <c r="E125">
        <v>0</v>
      </c>
      <c r="F125">
        <v>0</v>
      </c>
      <c r="G125">
        <v>1</v>
      </c>
      <c r="H125" s="4">
        <v>1570517499280</v>
      </c>
      <c r="I125">
        <v>533.0625</v>
      </c>
      <c r="J125" s="9">
        <f t="shared" si="1"/>
        <v>43746.577537962956</v>
      </c>
      <c r="K125" s="1"/>
    </row>
    <row r="126" spans="1:11" x14ac:dyDescent="0.25">
      <c r="A126" t="e">
        <f>-Lqe7ph7TYkgYgSMfNYJ</f>
        <v>#NAME?</v>
      </c>
      <c r="B126">
        <v>412.5</v>
      </c>
      <c r="C126">
        <v>20.584240000000001</v>
      </c>
      <c r="D126">
        <v>38</v>
      </c>
      <c r="E126">
        <v>0</v>
      </c>
      <c r="F126">
        <v>0</v>
      </c>
      <c r="G126">
        <v>1</v>
      </c>
      <c r="H126" s="4">
        <v>1570517505469</v>
      </c>
      <c r="I126">
        <v>532.3125</v>
      </c>
      <c r="J126" s="9">
        <f t="shared" si="1"/>
        <v>43746.577609594904</v>
      </c>
      <c r="K126" s="1"/>
    </row>
    <row r="127" spans="1:11" x14ac:dyDescent="0.25">
      <c r="A127" t="e">
        <f>-Lqe7rix3LbjSwXFH8L8</f>
        <v>#NAME?</v>
      </c>
      <c r="B127">
        <v>415.625</v>
      </c>
      <c r="C127">
        <v>20.584240000000001</v>
      </c>
      <c r="D127">
        <v>37</v>
      </c>
      <c r="E127">
        <v>0</v>
      </c>
      <c r="F127">
        <v>0</v>
      </c>
      <c r="G127">
        <v>1</v>
      </c>
      <c r="H127" s="4">
        <v>1570517512710</v>
      </c>
      <c r="I127">
        <v>533.0625</v>
      </c>
      <c r="J127" s="9">
        <f t="shared" si="1"/>
        <v>43746.577693402774</v>
      </c>
      <c r="K127" s="1"/>
    </row>
    <row r="128" spans="1:11" x14ac:dyDescent="0.25">
      <c r="A128" t="e">
        <f>-Lqe7tRxlFg9NjMLFhx3</f>
        <v>#NAME?</v>
      </c>
      <c r="B128">
        <v>412.5</v>
      </c>
      <c r="C128">
        <v>20.531590000000001</v>
      </c>
      <c r="D128">
        <v>37</v>
      </c>
      <c r="E128">
        <v>0</v>
      </c>
      <c r="F128">
        <v>0</v>
      </c>
      <c r="G128">
        <v>1</v>
      </c>
      <c r="H128" s="4">
        <v>1570517520958</v>
      </c>
      <c r="I128">
        <v>532.5</v>
      </c>
      <c r="J128" s="9">
        <f t="shared" si="1"/>
        <v>43746.577788865739</v>
      </c>
      <c r="K128" s="1"/>
    </row>
    <row r="129" spans="1:11" x14ac:dyDescent="0.25">
      <c r="A129" t="e">
        <f>-Lqe7uvyfPINkAJsEFKu</f>
        <v>#NAME?</v>
      </c>
      <c r="B129">
        <v>412.5</v>
      </c>
      <c r="C129">
        <v>20.584240000000001</v>
      </c>
      <c r="D129">
        <v>40</v>
      </c>
      <c r="E129">
        <v>0</v>
      </c>
      <c r="F129">
        <v>0</v>
      </c>
      <c r="G129">
        <v>1</v>
      </c>
      <c r="H129" s="4">
        <v>1570517527118</v>
      </c>
      <c r="I129">
        <v>532.3125</v>
      </c>
      <c r="J129" s="9">
        <f t="shared" si="1"/>
        <v>43746.577860162033</v>
      </c>
      <c r="K129" s="1"/>
    </row>
    <row r="130" spans="1:11" x14ac:dyDescent="0.25">
      <c r="A130" t="e">
        <f>-Lqe7wV53kp1k-BLTrUi</f>
        <v>#NAME?</v>
      </c>
      <c r="B130">
        <v>412.5</v>
      </c>
      <c r="C130">
        <v>20.584240000000001</v>
      </c>
      <c r="D130">
        <v>40</v>
      </c>
      <c r="E130">
        <v>0</v>
      </c>
      <c r="F130">
        <v>0</v>
      </c>
      <c r="G130">
        <v>1</v>
      </c>
      <c r="H130" s="4">
        <v>1570517533309</v>
      </c>
      <c r="I130">
        <v>532.3125</v>
      </c>
      <c r="J130" s="9">
        <f t="shared" si="1"/>
        <v>43746.577931817126</v>
      </c>
      <c r="K130" s="1"/>
    </row>
    <row r="131" spans="1:11" x14ac:dyDescent="0.25">
      <c r="A131" t="e">
        <f>-Lqe7yD6U6fiY1qqVPYL</f>
        <v>#NAME?</v>
      </c>
      <c r="B131">
        <v>428.125</v>
      </c>
      <c r="C131">
        <v>20.584240000000001</v>
      </c>
      <c r="D131">
        <v>39</v>
      </c>
      <c r="E131">
        <v>0</v>
      </c>
      <c r="F131">
        <v>0</v>
      </c>
      <c r="G131">
        <v>1</v>
      </c>
      <c r="H131" s="4">
        <v>1570517540517</v>
      </c>
      <c r="I131">
        <v>537.1875</v>
      </c>
      <c r="J131" s="9">
        <f t="shared" ref="J131:J194" si="2">(H131/86400000)+25569+(7/24)</f>
        <v>43746.578015243053</v>
      </c>
      <c r="K131" s="1"/>
    </row>
    <row r="132" spans="1:11" x14ac:dyDescent="0.25">
      <c r="A132" t="e">
        <f>-#REF!--yJKlPublcqfHK</f>
        <v>#REF!</v>
      </c>
      <c r="B132">
        <v>409.375</v>
      </c>
      <c r="C132">
        <v>20.584240000000001</v>
      </c>
      <c r="D132">
        <v>39</v>
      </c>
      <c r="E132">
        <v>0</v>
      </c>
      <c r="F132">
        <v>0</v>
      </c>
      <c r="G132">
        <v>1</v>
      </c>
      <c r="H132" s="4">
        <v>1570517547727</v>
      </c>
      <c r="I132">
        <v>531.375</v>
      </c>
      <c r="J132" s="9">
        <f t="shared" si="2"/>
        <v>43746.578098692124</v>
      </c>
      <c r="K132" s="1"/>
    </row>
    <row r="133" spans="1:11" x14ac:dyDescent="0.25">
      <c r="A133" t="e">
        <f>-Lqe80qRORqPX_Qh-K5y</f>
        <v>#NAME?</v>
      </c>
      <c r="B133">
        <v>409.375</v>
      </c>
      <c r="C133">
        <v>20.584240000000001</v>
      </c>
      <c r="D133">
        <v>39</v>
      </c>
      <c r="E133">
        <v>0</v>
      </c>
      <c r="F133">
        <v>0</v>
      </c>
      <c r="G133">
        <v>1</v>
      </c>
      <c r="H133" s="4">
        <v>1570517554957</v>
      </c>
      <c r="I133">
        <v>531.5625</v>
      </c>
      <c r="J133" s="9">
        <f t="shared" si="2"/>
        <v>43746.578182372679</v>
      </c>
      <c r="K133" s="1"/>
    </row>
    <row r="134" spans="1:11" x14ac:dyDescent="0.25">
      <c r="A134" t="e">
        <f>-Lqe82X7y0UNFtzcsX3q</f>
        <v>#NAME?</v>
      </c>
      <c r="B134">
        <v>406.25</v>
      </c>
      <c r="C134">
        <v>20.584240000000001</v>
      </c>
      <c r="D134">
        <v>39</v>
      </c>
      <c r="E134">
        <v>0</v>
      </c>
      <c r="F134">
        <v>0</v>
      </c>
      <c r="G134">
        <v>1</v>
      </c>
      <c r="H134" s="4">
        <v>1570517562178</v>
      </c>
      <c r="I134">
        <v>530.625</v>
      </c>
      <c r="J134" s="9">
        <f t="shared" si="2"/>
        <v>43746.578265949072</v>
      </c>
      <c r="K134" s="1"/>
    </row>
    <row r="135" spans="1:11" x14ac:dyDescent="0.25">
      <c r="A135" t="e">
        <f>-Lqe84FKSk3ry7wQjLY3</f>
        <v>#NAME?</v>
      </c>
      <c r="B135">
        <v>406.25</v>
      </c>
      <c r="C135">
        <v>20.584240000000001</v>
      </c>
      <c r="D135">
        <v>39</v>
      </c>
      <c r="E135">
        <v>0</v>
      </c>
      <c r="F135">
        <v>0</v>
      </c>
      <c r="G135">
        <v>1</v>
      </c>
      <c r="H135" s="4">
        <v>1570517569358</v>
      </c>
      <c r="I135">
        <v>530.625</v>
      </c>
      <c r="J135" s="9">
        <f t="shared" si="2"/>
        <v>43746.578349050927</v>
      </c>
      <c r="K135" s="1"/>
    </row>
    <row r="136" spans="1:11" x14ac:dyDescent="0.25">
      <c r="A136" t="e">
        <f>-Lqe85o5NFa9ROW1ke6q</f>
        <v>#NAME?</v>
      </c>
      <c r="B136">
        <v>406.25</v>
      </c>
      <c r="C136">
        <v>20.584240000000001</v>
      </c>
      <c r="D136">
        <v>39</v>
      </c>
      <c r="E136">
        <v>0</v>
      </c>
      <c r="F136">
        <v>0</v>
      </c>
      <c r="G136">
        <v>1</v>
      </c>
      <c r="H136" s="4">
        <v>1570517575547</v>
      </c>
      <c r="I136">
        <v>530.8125</v>
      </c>
      <c r="J136" s="9">
        <f t="shared" si="2"/>
        <v>43746.578420682868</v>
      </c>
      <c r="K136" s="1"/>
    </row>
    <row r="137" spans="1:11" x14ac:dyDescent="0.25">
      <c r="A137" t="e">
        <f>-Lqe87X67kreZiac7Hso</f>
        <v>#NAME?</v>
      </c>
      <c r="B137">
        <v>406.25</v>
      </c>
      <c r="C137">
        <v>20.584240000000001</v>
      </c>
      <c r="D137">
        <v>37</v>
      </c>
      <c r="E137">
        <v>0</v>
      </c>
      <c r="F137">
        <v>0</v>
      </c>
      <c r="G137">
        <v>1</v>
      </c>
      <c r="H137" s="4">
        <v>1570517582796</v>
      </c>
      <c r="I137">
        <v>530.625</v>
      </c>
      <c r="J137" s="9">
        <f t="shared" si="2"/>
        <v>43746.578504583333</v>
      </c>
      <c r="K137" s="1"/>
    </row>
    <row r="138" spans="1:11" x14ac:dyDescent="0.25">
      <c r="A138" t="e">
        <f>-Lqe89Jx0GahIjzbwYlY</f>
        <v>#NAME?</v>
      </c>
      <c r="B138">
        <v>406.25</v>
      </c>
      <c r="C138">
        <v>20.584240000000001</v>
      </c>
      <c r="D138">
        <v>35</v>
      </c>
      <c r="E138">
        <v>0</v>
      </c>
      <c r="F138">
        <v>0</v>
      </c>
      <c r="G138">
        <v>1</v>
      </c>
      <c r="H138" s="4">
        <v>1570517590017</v>
      </c>
      <c r="I138">
        <v>530.625</v>
      </c>
      <c r="J138" s="9">
        <f t="shared" si="2"/>
        <v>43746.578588159718</v>
      </c>
      <c r="K138" s="1"/>
    </row>
    <row r="139" spans="1:11" x14ac:dyDescent="0.25">
      <c r="A139" t="e">
        <f>-Lqe8B24m7Qf1EQ8wSsX</f>
        <v>#NAME?</v>
      </c>
      <c r="B139">
        <v>406.25</v>
      </c>
      <c r="C139">
        <v>20.584240000000001</v>
      </c>
      <c r="D139">
        <v>36</v>
      </c>
      <c r="E139">
        <v>0</v>
      </c>
      <c r="F139">
        <v>0</v>
      </c>
      <c r="G139">
        <v>1</v>
      </c>
      <c r="H139" s="4">
        <v>1570517597198</v>
      </c>
      <c r="I139">
        <v>530.625</v>
      </c>
      <c r="J139" s="9">
        <f t="shared" si="2"/>
        <v>43746.578671273142</v>
      </c>
      <c r="K139" s="1"/>
    </row>
    <row r="140" spans="1:11" x14ac:dyDescent="0.25">
      <c r="A140" t="s">
        <v>14</v>
      </c>
      <c r="B140">
        <v>406.25</v>
      </c>
      <c r="C140">
        <v>20.584240000000001</v>
      </c>
      <c r="D140">
        <v>36</v>
      </c>
      <c r="E140">
        <v>0</v>
      </c>
      <c r="F140">
        <v>0</v>
      </c>
      <c r="G140">
        <v>1</v>
      </c>
      <c r="H140" s="4">
        <v>1570517603394</v>
      </c>
      <c r="I140">
        <v>530.625</v>
      </c>
      <c r="J140" s="9">
        <f t="shared" si="2"/>
        <v>43746.578742986108</v>
      </c>
      <c r="K140" s="1"/>
    </row>
    <row r="141" spans="1:11" x14ac:dyDescent="0.25">
      <c r="A141" t="e">
        <f>-Lqe8EKIjJogSHBRa_f7</f>
        <v>#NAME?</v>
      </c>
      <c r="B141">
        <v>428.125</v>
      </c>
      <c r="C141">
        <v>20.584240000000001</v>
      </c>
      <c r="D141">
        <v>37</v>
      </c>
      <c r="E141">
        <v>0</v>
      </c>
      <c r="F141">
        <v>0</v>
      </c>
      <c r="G141">
        <v>1</v>
      </c>
      <c r="H141" s="4">
        <v>1570517610606</v>
      </c>
      <c r="I141">
        <v>537.1875</v>
      </c>
      <c r="J141" s="9">
        <f t="shared" si="2"/>
        <v>43746.578826458332</v>
      </c>
      <c r="K141" s="1"/>
    </row>
    <row r="142" spans="1:11" x14ac:dyDescent="0.25">
      <c r="A142" t="e">
        <f>-Lqe8G76gao9Lo95DEFI</f>
        <v>#NAME?</v>
      </c>
      <c r="B142">
        <v>406.25</v>
      </c>
      <c r="C142">
        <v>20.584240000000001</v>
      </c>
      <c r="D142">
        <v>37</v>
      </c>
      <c r="E142">
        <v>0</v>
      </c>
      <c r="F142">
        <v>0</v>
      </c>
      <c r="G142">
        <v>1</v>
      </c>
      <c r="H142" s="4">
        <v>1570517617818</v>
      </c>
      <c r="I142">
        <v>530.8125</v>
      </c>
      <c r="J142" s="9">
        <f t="shared" si="2"/>
        <v>43746.578909930555</v>
      </c>
      <c r="K142" s="1"/>
    </row>
    <row r="143" spans="1:11" x14ac:dyDescent="0.25">
      <c r="A143" t="e">
        <f>-Lqe8Hq6ZjsBjdfH9N7l</f>
        <v>#NAME?</v>
      </c>
      <c r="B143">
        <v>406.25</v>
      </c>
      <c r="C143">
        <v>20.584240000000001</v>
      </c>
      <c r="D143">
        <v>37</v>
      </c>
      <c r="E143">
        <v>0</v>
      </c>
      <c r="F143">
        <v>0</v>
      </c>
      <c r="G143">
        <v>1</v>
      </c>
      <c r="H143" s="4">
        <v>1570517625037</v>
      </c>
      <c r="I143">
        <v>530.625</v>
      </c>
      <c r="J143" s="9">
        <f t="shared" si="2"/>
        <v>43746.578993483789</v>
      </c>
      <c r="K143" s="1"/>
    </row>
    <row r="144" spans="1:11" x14ac:dyDescent="0.25">
      <c r="A144" t="e">
        <f>-Lqe8JcUazuPD5TDRcLE</f>
        <v>#NAME?</v>
      </c>
      <c r="B144">
        <v>406.25</v>
      </c>
      <c r="C144">
        <v>20.584240000000001</v>
      </c>
      <c r="D144">
        <v>37</v>
      </c>
      <c r="E144">
        <v>0</v>
      </c>
      <c r="F144">
        <v>0</v>
      </c>
      <c r="G144">
        <v>1</v>
      </c>
      <c r="H144" s="4">
        <v>1570517632255</v>
      </c>
      <c r="I144">
        <v>530.8125</v>
      </c>
      <c r="J144" s="9">
        <f t="shared" si="2"/>
        <v>43746.579077025461</v>
      </c>
      <c r="K144" s="1"/>
    </row>
    <row r="145" spans="1:11" x14ac:dyDescent="0.25">
      <c r="A145" t="e">
        <f>-Lqe8LM6-AgVZ0ZRlo-h</f>
        <v>#NAME?</v>
      </c>
      <c r="B145">
        <v>406.25</v>
      </c>
      <c r="C145">
        <v>20.531590000000001</v>
      </c>
      <c r="D145">
        <v>37</v>
      </c>
      <c r="E145">
        <v>0</v>
      </c>
      <c r="F145">
        <v>0</v>
      </c>
      <c r="G145">
        <v>1</v>
      </c>
      <c r="H145" s="4">
        <v>1570517639437</v>
      </c>
      <c r="I145">
        <v>530.625</v>
      </c>
      <c r="J145" s="9">
        <f t="shared" si="2"/>
        <v>43746.579160150461</v>
      </c>
      <c r="K145" s="1"/>
    </row>
    <row r="146" spans="1:11" x14ac:dyDescent="0.25">
      <c r="A146" t="e">
        <f>-Lqe8N9jZcjzBiXsrZwd</f>
        <v>#NAME?</v>
      </c>
      <c r="B146">
        <v>406.25</v>
      </c>
      <c r="C146">
        <v>20.531590000000001</v>
      </c>
      <c r="D146">
        <v>37</v>
      </c>
      <c r="E146">
        <v>0</v>
      </c>
      <c r="F146">
        <v>0</v>
      </c>
      <c r="G146">
        <v>1</v>
      </c>
      <c r="H146" s="4">
        <v>1570517646678</v>
      </c>
      <c r="I146">
        <v>530.625</v>
      </c>
      <c r="J146" s="9">
        <f t="shared" si="2"/>
        <v>43746.579243958331</v>
      </c>
      <c r="K146" s="1"/>
    </row>
    <row r="147" spans="1:11" x14ac:dyDescent="0.25">
      <c r="A147" t="e">
        <f>-Lqe8Os5qmqqEyaxX6S9</f>
        <v>#NAME?</v>
      </c>
      <c r="B147">
        <v>406.25</v>
      </c>
      <c r="C147">
        <v>20.584240000000001</v>
      </c>
      <c r="D147">
        <v>37</v>
      </c>
      <c r="E147">
        <v>0</v>
      </c>
      <c r="F147">
        <v>0</v>
      </c>
      <c r="G147">
        <v>1</v>
      </c>
      <c r="H147" s="4">
        <v>1570517653907</v>
      </c>
      <c r="I147">
        <v>530.625</v>
      </c>
      <c r="J147" s="9">
        <f t="shared" si="2"/>
        <v>43746.579327627311</v>
      </c>
      <c r="K147" s="1"/>
    </row>
    <row r="148" spans="1:11" x14ac:dyDescent="0.25">
      <c r="A148" t="e">
        <f>-Lqe8QRG0XtvNBA5Xhws</f>
        <v>#NAME?</v>
      </c>
      <c r="B148">
        <v>443.75</v>
      </c>
      <c r="C148">
        <v>20.584240000000001</v>
      </c>
      <c r="D148">
        <v>37</v>
      </c>
      <c r="E148">
        <v>0</v>
      </c>
      <c r="F148">
        <v>0</v>
      </c>
      <c r="G148">
        <v>1</v>
      </c>
      <c r="H148" s="4">
        <v>1570517660077</v>
      </c>
      <c r="I148">
        <v>542.0625</v>
      </c>
      <c r="J148" s="9">
        <f t="shared" si="2"/>
        <v>43746.57939903935</v>
      </c>
      <c r="K148" s="1"/>
    </row>
    <row r="149" spans="1:11" x14ac:dyDescent="0.25">
      <c r="A149" t="e">
        <f>-Lqe8S9PZGw226oW4v-j</f>
        <v>#NAME?</v>
      </c>
      <c r="B149">
        <v>409.375</v>
      </c>
      <c r="C149">
        <v>20.584240000000001</v>
      </c>
      <c r="D149">
        <v>37</v>
      </c>
      <c r="E149">
        <v>0</v>
      </c>
      <c r="F149">
        <v>0</v>
      </c>
      <c r="G149">
        <v>1</v>
      </c>
      <c r="H149" s="4">
        <v>1570517667269</v>
      </c>
      <c r="I149">
        <v>531.375</v>
      </c>
      <c r="J149" s="9">
        <f t="shared" si="2"/>
        <v>43746.579482280089</v>
      </c>
      <c r="K149" s="1"/>
    </row>
    <row r="150" spans="1:11" x14ac:dyDescent="0.25">
      <c r="A150" t="e">
        <f>-Lqe8TiIuAJU3DDn-133</f>
        <v>#NAME?</v>
      </c>
      <c r="B150">
        <v>409.375</v>
      </c>
      <c r="C150">
        <v>20.584240000000001</v>
      </c>
      <c r="D150">
        <v>37</v>
      </c>
      <c r="E150">
        <v>0</v>
      </c>
      <c r="F150">
        <v>0</v>
      </c>
      <c r="G150">
        <v>1</v>
      </c>
      <c r="H150" s="4">
        <v>1570517673468</v>
      </c>
      <c r="I150">
        <v>531.5625</v>
      </c>
      <c r="J150" s="9">
        <f t="shared" si="2"/>
        <v>43746.579554027776</v>
      </c>
      <c r="K150" s="1"/>
    </row>
    <row r="151" spans="1:11" x14ac:dyDescent="0.25">
      <c r="A151" t="e">
        <f>-Lqe8VSK6Z7BPyzA60iE</f>
        <v>#NAME?</v>
      </c>
      <c r="B151">
        <v>406.25</v>
      </c>
      <c r="C151">
        <v>20.584240000000001</v>
      </c>
      <c r="D151">
        <v>38</v>
      </c>
      <c r="E151">
        <v>0</v>
      </c>
      <c r="F151">
        <v>0</v>
      </c>
      <c r="G151">
        <v>1</v>
      </c>
      <c r="H151" s="4">
        <v>1570517680677</v>
      </c>
      <c r="I151">
        <v>530.625</v>
      </c>
      <c r="J151" s="9">
        <f t="shared" si="2"/>
        <v>43746.579637465278</v>
      </c>
      <c r="K151" s="1"/>
    </row>
    <row r="152" spans="1:11" x14ac:dyDescent="0.25">
      <c r="A152" t="e">
        <f>-Lqe8XE4EacamLufHKzE</f>
        <v>#NAME?</v>
      </c>
      <c r="B152">
        <v>406.25</v>
      </c>
      <c r="C152">
        <v>20.584240000000001</v>
      </c>
      <c r="D152">
        <v>38</v>
      </c>
      <c r="E152">
        <v>0</v>
      </c>
      <c r="F152">
        <v>0</v>
      </c>
      <c r="G152">
        <v>1</v>
      </c>
      <c r="H152" s="4">
        <v>1570517687907</v>
      </c>
      <c r="I152">
        <v>530.625</v>
      </c>
      <c r="J152" s="9">
        <f t="shared" si="2"/>
        <v>43746.579721145834</v>
      </c>
      <c r="K152" s="1"/>
    </row>
    <row r="153" spans="1:11" x14ac:dyDescent="0.25">
      <c r="A153" t="e">
        <f>-Lqe8YwmkbgIeW3PgwyI</f>
        <v>#NAME?</v>
      </c>
      <c r="B153">
        <v>406.25</v>
      </c>
      <c r="C153">
        <v>20.584240000000001</v>
      </c>
      <c r="D153">
        <v>35</v>
      </c>
      <c r="E153">
        <v>0</v>
      </c>
      <c r="F153">
        <v>0</v>
      </c>
      <c r="G153">
        <v>1</v>
      </c>
      <c r="H153" s="4">
        <v>1570517695118</v>
      </c>
      <c r="I153">
        <v>530.625</v>
      </c>
      <c r="J153" s="9">
        <f t="shared" si="2"/>
        <v>43746.579804606481</v>
      </c>
      <c r="K153" s="1"/>
    </row>
    <row r="154" spans="1:11" x14ac:dyDescent="0.25">
      <c r="A154" t="e">
        <f>-Lqe8_kQSayhS23aO19N</f>
        <v>#NAME?</v>
      </c>
      <c r="B154">
        <v>406.25</v>
      </c>
      <c r="C154">
        <v>20.584240000000001</v>
      </c>
      <c r="D154">
        <v>36</v>
      </c>
      <c r="E154">
        <v>0</v>
      </c>
      <c r="F154">
        <v>0</v>
      </c>
      <c r="G154">
        <v>1</v>
      </c>
      <c r="H154" s="4">
        <v>1570517702328</v>
      </c>
      <c r="I154">
        <v>530.625</v>
      </c>
      <c r="J154" s="9">
        <f t="shared" si="2"/>
        <v>43746.579888055552</v>
      </c>
      <c r="K154" s="1"/>
    </row>
    <row r="155" spans="1:11" x14ac:dyDescent="0.25">
      <c r="A155" t="s">
        <v>15</v>
      </c>
      <c r="B155">
        <v>406.25</v>
      </c>
      <c r="C155">
        <v>20.584240000000001</v>
      </c>
      <c r="D155">
        <v>36</v>
      </c>
      <c r="E155">
        <v>0</v>
      </c>
      <c r="F155">
        <v>0</v>
      </c>
      <c r="G155">
        <v>1</v>
      </c>
      <c r="H155" s="4">
        <v>1570517709517</v>
      </c>
      <c r="I155">
        <v>530.625</v>
      </c>
      <c r="J155" s="9">
        <f t="shared" si="2"/>
        <v>43746.57997126157</v>
      </c>
      <c r="K155" s="1"/>
    </row>
    <row r="156" spans="1:11" x14ac:dyDescent="0.25">
      <c r="A156" t="e">
        <f>-Lqe8d6DBCH59-_vF4oi</f>
        <v>#NAME?</v>
      </c>
      <c r="B156">
        <v>425</v>
      </c>
      <c r="C156">
        <v>20.584240000000001</v>
      </c>
      <c r="D156">
        <v>36</v>
      </c>
      <c r="E156">
        <v>0</v>
      </c>
      <c r="F156">
        <v>0</v>
      </c>
      <c r="G156">
        <v>1</v>
      </c>
      <c r="H156" s="4">
        <v>1570517715710</v>
      </c>
      <c r="I156">
        <v>536.25</v>
      </c>
      <c r="J156" s="9">
        <f t="shared" si="2"/>
        <v>43746.580042939815</v>
      </c>
      <c r="K156" s="1"/>
    </row>
    <row r="157" spans="1:11" x14ac:dyDescent="0.25">
      <c r="A157" t="e">
        <f>-Lqe8ek6_rvfzOzDOhQV</f>
        <v>#NAME?</v>
      </c>
      <c r="B157">
        <v>406.25</v>
      </c>
      <c r="C157">
        <v>20.584240000000001</v>
      </c>
      <c r="D157">
        <v>37</v>
      </c>
      <c r="E157">
        <v>0</v>
      </c>
      <c r="F157">
        <v>0</v>
      </c>
      <c r="G157">
        <v>1</v>
      </c>
      <c r="H157" s="4">
        <v>1570517722967</v>
      </c>
      <c r="I157">
        <v>530.625</v>
      </c>
      <c r="J157" s="9">
        <f t="shared" si="2"/>
        <v>43746.580126932873</v>
      </c>
      <c r="K157" s="1"/>
    </row>
    <row r="158" spans="1:11" x14ac:dyDescent="0.25">
      <c r="A158" t="e">
        <f>-Lqe8ggy-fGKGX1Azh6B</f>
        <v>#NAME?</v>
      </c>
      <c r="B158">
        <v>406.25</v>
      </c>
      <c r="C158">
        <v>20.584240000000001</v>
      </c>
      <c r="D158">
        <v>37</v>
      </c>
      <c r="E158">
        <v>0</v>
      </c>
      <c r="F158">
        <v>0</v>
      </c>
      <c r="G158">
        <v>1</v>
      </c>
      <c r="H158" s="4">
        <v>1570517730158</v>
      </c>
      <c r="I158">
        <v>530.625</v>
      </c>
      <c r="J158" s="9">
        <f t="shared" si="2"/>
        <v>43746.580210162036</v>
      </c>
      <c r="K158" s="1"/>
    </row>
    <row r="159" spans="1:11" x14ac:dyDescent="0.25">
      <c r="A159" t="e">
        <f>-Lqe8iG6Qhu-lbx1d2uL</f>
        <v>#NAME?</v>
      </c>
      <c r="B159">
        <v>406.25</v>
      </c>
      <c r="C159">
        <v>20.584240000000001</v>
      </c>
      <c r="D159">
        <v>38</v>
      </c>
      <c r="E159">
        <v>0</v>
      </c>
      <c r="F159">
        <v>0</v>
      </c>
      <c r="G159">
        <v>1</v>
      </c>
      <c r="H159" s="4">
        <v>1570517737347</v>
      </c>
      <c r="I159">
        <v>530.625</v>
      </c>
      <c r="J159" s="9">
        <f t="shared" si="2"/>
        <v>43746.580293368053</v>
      </c>
      <c r="K159" s="1"/>
    </row>
    <row r="160" spans="1:11" x14ac:dyDescent="0.25">
      <c r="A160" t="e">
        <f>-Lqe8k8a1ZHX3f-BxCdt</f>
        <v>#NAME?</v>
      </c>
      <c r="B160">
        <v>406.25</v>
      </c>
      <c r="C160">
        <v>20.584240000000001</v>
      </c>
      <c r="D160">
        <v>38</v>
      </c>
      <c r="E160">
        <v>0</v>
      </c>
      <c r="F160">
        <v>0</v>
      </c>
      <c r="G160">
        <v>1</v>
      </c>
      <c r="H160" s="4">
        <v>1570517743546</v>
      </c>
      <c r="I160">
        <v>530.8125</v>
      </c>
      <c r="J160" s="9">
        <f t="shared" si="2"/>
        <v>43746.58036511574</v>
      </c>
      <c r="K160" s="1"/>
    </row>
    <row r="161" spans="1:11" x14ac:dyDescent="0.25">
      <c r="A161" t="e">
        <f>-Lqe8lkriPBRCjose3R_</f>
        <v>#NAME?</v>
      </c>
      <c r="B161">
        <v>406.25</v>
      </c>
      <c r="C161">
        <v>20.584240000000001</v>
      </c>
      <c r="D161">
        <v>39</v>
      </c>
      <c r="E161">
        <v>0</v>
      </c>
      <c r="F161">
        <v>0</v>
      </c>
      <c r="G161">
        <v>1</v>
      </c>
      <c r="H161" s="4">
        <v>1570517751779</v>
      </c>
      <c r="I161">
        <v>530.625</v>
      </c>
      <c r="J161" s="9">
        <f t="shared" si="2"/>
        <v>43746.580460405086</v>
      </c>
      <c r="K161" s="1"/>
    </row>
    <row r="162" spans="1:11" x14ac:dyDescent="0.25">
      <c r="A162" t="e">
        <f>-Lqe8nJGL1rQ5speiEXz</f>
        <v>#NAME?</v>
      </c>
      <c r="B162">
        <v>406.25</v>
      </c>
      <c r="C162">
        <v>20.584240000000001</v>
      </c>
      <c r="D162">
        <v>38</v>
      </c>
      <c r="E162">
        <v>0</v>
      </c>
      <c r="F162">
        <v>0</v>
      </c>
      <c r="G162">
        <v>1</v>
      </c>
      <c r="H162" s="4">
        <v>1570517757986</v>
      </c>
      <c r="I162">
        <v>530.625</v>
      </c>
      <c r="J162" s="9">
        <f t="shared" si="2"/>
        <v>43746.580532245367</v>
      </c>
      <c r="K162" s="1"/>
    </row>
    <row r="163" spans="1:11" x14ac:dyDescent="0.25">
      <c r="A163" t="e">
        <f>-Lqe8p1seqIxINMElwkY</f>
        <v>#NAME?</v>
      </c>
      <c r="B163">
        <v>406.25</v>
      </c>
      <c r="C163">
        <v>20.584240000000001</v>
      </c>
      <c r="D163">
        <v>38</v>
      </c>
      <c r="E163">
        <v>0</v>
      </c>
      <c r="F163">
        <v>0</v>
      </c>
      <c r="G163">
        <v>1</v>
      </c>
      <c r="H163" s="4">
        <v>1570517765208</v>
      </c>
      <c r="I163">
        <v>530.625</v>
      </c>
      <c r="J163" s="9">
        <f t="shared" si="2"/>
        <v>43746.580615833336</v>
      </c>
      <c r="K163" s="1"/>
    </row>
    <row r="164" spans="1:11" x14ac:dyDescent="0.25">
      <c r="A164" t="e">
        <f>-Lqe8qpjKoXFMYUtG8WE</f>
        <v>#NAME?</v>
      </c>
      <c r="B164">
        <v>406.25</v>
      </c>
      <c r="C164">
        <v>20.584240000000001</v>
      </c>
      <c r="D164">
        <v>38</v>
      </c>
      <c r="E164">
        <v>0</v>
      </c>
      <c r="F164">
        <v>0</v>
      </c>
      <c r="G164">
        <v>1</v>
      </c>
      <c r="H164" s="4">
        <v>1570517772418</v>
      </c>
      <c r="I164">
        <v>530.8125</v>
      </c>
      <c r="J164" s="9">
        <f t="shared" si="2"/>
        <v>43746.5806992824</v>
      </c>
      <c r="K164" s="1"/>
    </row>
    <row r="165" spans="1:11" x14ac:dyDescent="0.25">
      <c r="A165" t="e">
        <f>-Lqe8sYsnw-ph2nSwokg</f>
        <v>#NAME?</v>
      </c>
      <c r="B165">
        <v>409.375</v>
      </c>
      <c r="C165">
        <v>20.584240000000001</v>
      </c>
      <c r="D165">
        <v>38</v>
      </c>
      <c r="E165">
        <v>0</v>
      </c>
      <c r="F165">
        <v>0</v>
      </c>
      <c r="G165">
        <v>1</v>
      </c>
      <c r="H165" s="4">
        <v>1570517779608</v>
      </c>
      <c r="I165">
        <v>531.5625</v>
      </c>
      <c r="J165" s="9">
        <f t="shared" si="2"/>
        <v>43746.580782500001</v>
      </c>
      <c r="K165" s="1"/>
    </row>
    <row r="166" spans="1:11" x14ac:dyDescent="0.25">
      <c r="A166" t="e">
        <f>-Lqe8u2Ws-ymZpE-ELsk</f>
        <v>#NAME?</v>
      </c>
      <c r="B166">
        <v>431.25</v>
      </c>
      <c r="C166">
        <v>20.584240000000001</v>
      </c>
      <c r="D166">
        <v>38</v>
      </c>
      <c r="E166">
        <v>0</v>
      </c>
      <c r="F166">
        <v>0</v>
      </c>
      <c r="G166">
        <v>1</v>
      </c>
      <c r="H166" s="4">
        <v>1570517785789</v>
      </c>
      <c r="I166">
        <v>538.5</v>
      </c>
      <c r="J166" s="9">
        <f t="shared" si="2"/>
        <v>43746.580854039348</v>
      </c>
      <c r="K166" s="1"/>
    </row>
    <row r="167" spans="1:11" x14ac:dyDescent="0.25">
      <c r="A167" t="e">
        <f>-Lqe8vb22ePyneKKnKtt</f>
        <v>#NAME?</v>
      </c>
      <c r="B167">
        <v>409.375</v>
      </c>
      <c r="C167">
        <v>20.584240000000001</v>
      </c>
      <c r="D167">
        <v>37</v>
      </c>
      <c r="E167">
        <v>0</v>
      </c>
      <c r="F167">
        <v>0</v>
      </c>
      <c r="G167">
        <v>1</v>
      </c>
      <c r="H167" s="4">
        <v>1570517791999</v>
      </c>
      <c r="I167">
        <v>531.5625</v>
      </c>
      <c r="J167" s="9">
        <f t="shared" si="2"/>
        <v>43746.58092591435</v>
      </c>
      <c r="K167" s="1"/>
    </row>
    <row r="168" spans="1:11" x14ac:dyDescent="0.25">
      <c r="A168" t="e">
        <f>-Lqe8xQ8tCCZ36gsG4in</f>
        <v>#NAME?</v>
      </c>
      <c r="B168">
        <v>409.375</v>
      </c>
      <c r="C168">
        <v>20.584240000000001</v>
      </c>
      <c r="D168">
        <v>38</v>
      </c>
      <c r="E168">
        <v>0</v>
      </c>
      <c r="F168">
        <v>0</v>
      </c>
      <c r="G168">
        <v>1</v>
      </c>
      <c r="H168" s="4">
        <v>1570517799209</v>
      </c>
      <c r="I168">
        <v>531.5625</v>
      </c>
      <c r="J168" s="9">
        <f t="shared" si="2"/>
        <v>43746.581009363428</v>
      </c>
      <c r="K168" s="1"/>
    </row>
    <row r="169" spans="1:11" x14ac:dyDescent="0.25">
      <c r="A169" t="e">
        <f>-Lqe8z8JtwXY8jTP6I-k</f>
        <v>#NAME?</v>
      </c>
      <c r="B169">
        <v>409.375</v>
      </c>
      <c r="C169">
        <v>20.584240000000001</v>
      </c>
      <c r="D169">
        <v>36</v>
      </c>
      <c r="E169">
        <v>0</v>
      </c>
      <c r="F169">
        <v>0</v>
      </c>
      <c r="G169">
        <v>1</v>
      </c>
      <c r="H169" s="4">
        <v>1570517806419</v>
      </c>
      <c r="I169">
        <v>531.5625</v>
      </c>
      <c r="J169" s="9">
        <f t="shared" si="2"/>
        <v>43746.581092812499</v>
      </c>
      <c r="K169" s="1"/>
    </row>
    <row r="170" spans="1:11" x14ac:dyDescent="0.25">
      <c r="A170" t="e">
        <f>-#REF!-w83kFcfgQd5WS0</f>
        <v>#REF!</v>
      </c>
      <c r="B170">
        <v>409.375</v>
      </c>
      <c r="C170">
        <v>20.531590000000001</v>
      </c>
      <c r="D170">
        <v>35</v>
      </c>
      <c r="E170">
        <v>0</v>
      </c>
      <c r="F170">
        <v>0</v>
      </c>
      <c r="G170">
        <v>1</v>
      </c>
      <c r="H170" s="4">
        <v>1570517813649</v>
      </c>
      <c r="I170">
        <v>531.5625</v>
      </c>
      <c r="J170" s="9">
        <f t="shared" si="2"/>
        <v>43746.581176493048</v>
      </c>
      <c r="K170" s="1"/>
    </row>
    <row r="171" spans="1:11" x14ac:dyDescent="0.25">
      <c r="A171" t="e">
        <f>-Lqe91fMCZFtXiWVExmo</f>
        <v>#NAME?</v>
      </c>
      <c r="B171">
        <v>409.375</v>
      </c>
      <c r="C171">
        <v>20.584240000000001</v>
      </c>
      <c r="D171">
        <v>36</v>
      </c>
      <c r="E171">
        <v>0</v>
      </c>
      <c r="F171">
        <v>0</v>
      </c>
      <c r="G171">
        <v>1</v>
      </c>
      <c r="H171" s="4">
        <v>1570517820848</v>
      </c>
      <c r="I171">
        <v>531.375</v>
      </c>
      <c r="J171" s="9">
        <f t="shared" si="2"/>
        <v>43746.581259814811</v>
      </c>
      <c r="K171" s="1"/>
    </row>
    <row r="172" spans="1:11" x14ac:dyDescent="0.25">
      <c r="A172" t="e">
        <f>-Lqe93S7Kdt8eR8V2qZ2</f>
        <v>#NAME?</v>
      </c>
      <c r="B172">
        <v>409.375</v>
      </c>
      <c r="C172">
        <v>20.584240000000001</v>
      </c>
      <c r="D172">
        <v>36</v>
      </c>
      <c r="E172">
        <v>0</v>
      </c>
      <c r="F172">
        <v>0</v>
      </c>
      <c r="G172">
        <v>1</v>
      </c>
      <c r="H172" s="4">
        <v>1570517828059</v>
      </c>
      <c r="I172">
        <v>531.375</v>
      </c>
      <c r="J172" s="9">
        <f t="shared" si="2"/>
        <v>43746.581343275458</v>
      </c>
      <c r="K172" s="1"/>
    </row>
    <row r="173" spans="1:11" x14ac:dyDescent="0.25">
      <c r="A173" t="e">
        <f>-Lqe95A8nWaSOz_B6BGq</f>
        <v>#NAME?</v>
      </c>
      <c r="B173">
        <v>409.375</v>
      </c>
      <c r="C173">
        <v>20.584240000000001</v>
      </c>
      <c r="D173">
        <v>36</v>
      </c>
      <c r="E173">
        <v>0</v>
      </c>
      <c r="F173">
        <v>0</v>
      </c>
      <c r="G173">
        <v>1</v>
      </c>
      <c r="H173" s="4">
        <v>1570517835269</v>
      </c>
      <c r="I173">
        <v>531.5625</v>
      </c>
      <c r="J173" s="9">
        <f t="shared" si="2"/>
        <v>43746.581426724537</v>
      </c>
      <c r="K173" s="1"/>
    </row>
    <row r="174" spans="1:11" x14ac:dyDescent="0.25">
      <c r="A174" t="e">
        <f>-Lqe96u4AsGRKyse4v9U</f>
        <v>#NAME?</v>
      </c>
      <c r="B174">
        <v>409.375</v>
      </c>
      <c r="C174">
        <v>20.584240000000001</v>
      </c>
      <c r="D174">
        <v>36</v>
      </c>
      <c r="E174">
        <v>0</v>
      </c>
      <c r="F174">
        <v>0</v>
      </c>
      <c r="G174">
        <v>1</v>
      </c>
      <c r="H174" s="4">
        <v>1570517842489</v>
      </c>
      <c r="I174">
        <v>531.5625</v>
      </c>
      <c r="J174" s="9">
        <f t="shared" si="2"/>
        <v>43746.581510289347</v>
      </c>
      <c r="K174" s="1"/>
    </row>
    <row r="175" spans="1:11" x14ac:dyDescent="0.25">
      <c r="A175" t="e">
        <f>-Lqe98QFS_eQYIvsE_rF</f>
        <v>#NAME?</v>
      </c>
      <c r="B175">
        <v>409.375</v>
      </c>
      <c r="C175">
        <v>20.584240000000001</v>
      </c>
      <c r="D175">
        <v>36</v>
      </c>
      <c r="E175">
        <v>0</v>
      </c>
      <c r="F175">
        <v>0</v>
      </c>
      <c r="G175">
        <v>1</v>
      </c>
      <c r="H175" s="4">
        <v>1570517848681</v>
      </c>
      <c r="I175">
        <v>531.375</v>
      </c>
      <c r="J175" s="9">
        <f t="shared" si="2"/>
        <v>43746.581581956016</v>
      </c>
      <c r="K175" s="1"/>
    </row>
    <row r="176" spans="1:11" x14ac:dyDescent="0.25">
      <c r="A176" t="e">
        <f>-Lqe9AJyWnL2upABDWjQ</f>
        <v>#NAME?</v>
      </c>
      <c r="B176">
        <v>409.375</v>
      </c>
      <c r="C176">
        <v>20.584240000000001</v>
      </c>
      <c r="D176">
        <v>35</v>
      </c>
      <c r="E176">
        <v>0</v>
      </c>
      <c r="F176">
        <v>0</v>
      </c>
      <c r="G176">
        <v>1</v>
      </c>
      <c r="H176" s="4">
        <v>1570517855889</v>
      </c>
      <c r="I176">
        <v>531.5625</v>
      </c>
      <c r="J176" s="9">
        <f t="shared" si="2"/>
        <v>43746.581665381942</v>
      </c>
      <c r="K176" s="1"/>
    </row>
    <row r="177" spans="1:11" x14ac:dyDescent="0.25">
      <c r="A177" t="e">
        <f>-Lqe9BzEZeHogkkrEo2t</f>
        <v>#NAME?</v>
      </c>
      <c r="B177">
        <v>409.375</v>
      </c>
      <c r="C177">
        <v>20.584240000000001</v>
      </c>
      <c r="D177">
        <v>35</v>
      </c>
      <c r="E177">
        <v>0</v>
      </c>
      <c r="F177">
        <v>0</v>
      </c>
      <c r="G177">
        <v>1</v>
      </c>
      <c r="H177" s="4">
        <v>1570517863109</v>
      </c>
      <c r="I177">
        <v>531.5625</v>
      </c>
      <c r="J177" s="9">
        <f t="shared" si="2"/>
        <v>43746.581748946752</v>
      </c>
      <c r="K177" s="1"/>
    </row>
    <row r="178" spans="1:11" x14ac:dyDescent="0.25">
      <c r="A178" t="e">
        <f>-Lqe9DlGYZfRRaNvI7Q3</f>
        <v>#NAME?</v>
      </c>
      <c r="B178">
        <v>409.375</v>
      </c>
      <c r="C178">
        <v>20.584240000000001</v>
      </c>
      <c r="D178">
        <v>35</v>
      </c>
      <c r="E178">
        <v>0</v>
      </c>
      <c r="F178">
        <v>0</v>
      </c>
      <c r="G178">
        <v>1</v>
      </c>
      <c r="H178" s="4">
        <v>1570517870319</v>
      </c>
      <c r="I178">
        <v>531.5625</v>
      </c>
      <c r="J178" s="9">
        <f t="shared" si="2"/>
        <v>43746.58183239583</v>
      </c>
      <c r="K178" s="1"/>
    </row>
    <row r="179" spans="1:11" x14ac:dyDescent="0.25">
      <c r="A179" t="e">
        <f>-Lqe9FT1iv5XyjsV7zhi</f>
        <v>#NAME?</v>
      </c>
      <c r="B179">
        <v>428.125</v>
      </c>
      <c r="C179">
        <v>20.584240000000001</v>
      </c>
      <c r="D179">
        <v>35</v>
      </c>
      <c r="E179">
        <v>0</v>
      </c>
      <c r="F179">
        <v>0</v>
      </c>
      <c r="G179">
        <v>1</v>
      </c>
      <c r="H179" s="4">
        <v>1570517877508</v>
      </c>
      <c r="I179">
        <v>537.1875</v>
      </c>
      <c r="J179" s="9">
        <f t="shared" si="2"/>
        <v>43746.581915601848</v>
      </c>
      <c r="K179" s="1"/>
    </row>
    <row r="180" spans="1:11" x14ac:dyDescent="0.25">
      <c r="A180" t="s">
        <v>16</v>
      </c>
      <c r="B180">
        <v>409.375</v>
      </c>
      <c r="C180">
        <v>20.584240000000001</v>
      </c>
      <c r="D180">
        <v>35</v>
      </c>
      <c r="E180">
        <v>0</v>
      </c>
      <c r="F180">
        <v>0</v>
      </c>
      <c r="G180">
        <v>1</v>
      </c>
      <c r="H180" s="4">
        <v>1570517884428</v>
      </c>
      <c r="I180">
        <v>531.375</v>
      </c>
      <c r="J180" s="9">
        <f t="shared" si="2"/>
        <v>43746.58199569444</v>
      </c>
      <c r="K180" s="1"/>
    </row>
    <row r="181" spans="1:11" x14ac:dyDescent="0.25">
      <c r="A181" t="e">
        <f>-Lqe9IlHEa5Hb_ssmZmd</f>
        <v>#NAME?</v>
      </c>
      <c r="B181">
        <v>409.375</v>
      </c>
      <c r="C181">
        <v>20.584240000000001</v>
      </c>
      <c r="D181">
        <v>36</v>
      </c>
      <c r="E181">
        <v>0</v>
      </c>
      <c r="F181">
        <v>0</v>
      </c>
      <c r="G181">
        <v>1</v>
      </c>
      <c r="H181" s="4">
        <v>1570517890931</v>
      </c>
      <c r="I181">
        <v>531.5625</v>
      </c>
      <c r="J181" s="9">
        <f t="shared" si="2"/>
        <v>43746.582070960641</v>
      </c>
      <c r="K181" s="1"/>
    </row>
    <row r="182" spans="1:11" x14ac:dyDescent="0.25">
      <c r="A182" t="e">
        <f>-Lqe9KZAE4I0BLTeG1tX</f>
        <v>#NAME?</v>
      </c>
      <c r="B182">
        <v>406.25</v>
      </c>
      <c r="C182">
        <v>20.584240000000001</v>
      </c>
      <c r="D182">
        <v>38</v>
      </c>
      <c r="E182">
        <v>0</v>
      </c>
      <c r="F182">
        <v>0</v>
      </c>
      <c r="G182">
        <v>1</v>
      </c>
      <c r="H182" s="4">
        <v>1570517898139</v>
      </c>
      <c r="I182">
        <v>530.8125</v>
      </c>
      <c r="J182" s="9">
        <f t="shared" si="2"/>
        <v>43746.582154386568</v>
      </c>
      <c r="K182" s="1"/>
    </row>
    <row r="183" spans="1:11" x14ac:dyDescent="0.25">
      <c r="A183" t="e">
        <f>-Lqe9MH9gIZLOUNiu6h8</f>
        <v>#NAME?</v>
      </c>
      <c r="B183">
        <v>406.25</v>
      </c>
      <c r="C183">
        <v>20.584240000000001</v>
      </c>
      <c r="D183">
        <v>37</v>
      </c>
      <c r="E183">
        <v>0</v>
      </c>
      <c r="F183">
        <v>0</v>
      </c>
      <c r="G183">
        <v>1</v>
      </c>
      <c r="H183" s="4">
        <v>1570517905349</v>
      </c>
      <c r="I183">
        <v>530.8125</v>
      </c>
      <c r="J183" s="9">
        <f t="shared" si="2"/>
        <v>43746.582237835646</v>
      </c>
      <c r="K183" s="1"/>
    </row>
    <row r="184" spans="1:11" x14ac:dyDescent="0.25">
      <c r="A184" t="e">
        <f>-Lqe9O2itsTlGhD0Y0JX</f>
        <v>#NAME?</v>
      </c>
      <c r="B184">
        <v>425</v>
      </c>
      <c r="C184">
        <v>20.584240000000001</v>
      </c>
      <c r="D184">
        <v>37</v>
      </c>
      <c r="E184">
        <v>0</v>
      </c>
      <c r="F184">
        <v>0</v>
      </c>
      <c r="G184">
        <v>1</v>
      </c>
      <c r="H184" s="4">
        <v>1570517912568</v>
      </c>
      <c r="I184">
        <v>536.625</v>
      </c>
      <c r="J184" s="9">
        <f t="shared" si="2"/>
        <v>43746.582321388887</v>
      </c>
      <c r="K184" s="1"/>
    </row>
    <row r="185" spans="1:11" x14ac:dyDescent="0.25">
      <c r="A185" t="e">
        <f>-Lqe9Pls-tWLhsLjinpR</f>
        <v>#NAME?</v>
      </c>
      <c r="B185">
        <v>409.375</v>
      </c>
      <c r="C185">
        <v>20.584240000000001</v>
      </c>
      <c r="D185">
        <v>37</v>
      </c>
      <c r="E185">
        <v>0</v>
      </c>
      <c r="F185">
        <v>0</v>
      </c>
      <c r="G185">
        <v>1</v>
      </c>
      <c r="H185" s="4">
        <v>1570517919759</v>
      </c>
      <c r="I185">
        <v>531.5625</v>
      </c>
      <c r="J185" s="9">
        <f t="shared" si="2"/>
        <v>43746.582404618057</v>
      </c>
      <c r="K185" s="1"/>
    </row>
    <row r="186" spans="1:11" x14ac:dyDescent="0.25">
      <c r="A186" t="e">
        <f>-Lqe9RKkRtNF3Vx1elWN</f>
        <v>#NAME?</v>
      </c>
      <c r="B186">
        <v>409.375</v>
      </c>
      <c r="C186">
        <v>20.584240000000001</v>
      </c>
      <c r="D186">
        <v>37</v>
      </c>
      <c r="E186">
        <v>0</v>
      </c>
      <c r="F186">
        <v>0</v>
      </c>
      <c r="G186">
        <v>1</v>
      </c>
      <c r="H186" s="4">
        <v>1570517925949</v>
      </c>
      <c r="I186">
        <v>531.5625</v>
      </c>
      <c r="J186" s="9">
        <f t="shared" si="2"/>
        <v>43746.582476261574</v>
      </c>
      <c r="K186" s="1"/>
    </row>
    <row r="187" spans="1:11" x14ac:dyDescent="0.25">
      <c r="A187" t="e">
        <f>-Lqe9SqE3UPPiIDVvB7j</f>
        <v>#NAME?</v>
      </c>
      <c r="B187">
        <v>412.5</v>
      </c>
      <c r="C187">
        <v>20.584240000000001</v>
      </c>
      <c r="D187">
        <v>37</v>
      </c>
      <c r="E187">
        <v>0</v>
      </c>
      <c r="F187">
        <v>0</v>
      </c>
      <c r="G187">
        <v>1</v>
      </c>
      <c r="H187" s="4">
        <v>1570517932149</v>
      </c>
      <c r="I187">
        <v>532.3125</v>
      </c>
      <c r="J187" s="9">
        <f t="shared" si="2"/>
        <v>43746.58254802083</v>
      </c>
      <c r="K187" s="1"/>
    </row>
    <row r="188" spans="1:11" x14ac:dyDescent="0.25">
      <c r="A188" t="e">
        <f>-Lqe9UbtgHca4E4vowHu</f>
        <v>#NAME?</v>
      </c>
      <c r="B188">
        <v>412.5</v>
      </c>
      <c r="C188">
        <v>20.584240000000001</v>
      </c>
      <c r="D188">
        <v>37</v>
      </c>
      <c r="E188">
        <v>0</v>
      </c>
      <c r="F188">
        <v>0</v>
      </c>
      <c r="G188">
        <v>1</v>
      </c>
      <c r="H188" s="4">
        <v>1570517939369</v>
      </c>
      <c r="I188">
        <v>532.3125</v>
      </c>
      <c r="J188" s="9">
        <f t="shared" si="2"/>
        <v>43746.582631585647</v>
      </c>
      <c r="K188" s="1"/>
    </row>
    <row r="189" spans="1:11" x14ac:dyDescent="0.25">
      <c r="A189" t="e">
        <f>-Lqe9WMHGffnVBGncokP</f>
        <v>#NAME?</v>
      </c>
      <c r="B189">
        <v>412.5</v>
      </c>
      <c r="C189">
        <v>20.584240000000001</v>
      </c>
      <c r="D189">
        <v>37</v>
      </c>
      <c r="E189">
        <v>0</v>
      </c>
      <c r="F189">
        <v>0</v>
      </c>
      <c r="G189">
        <v>1</v>
      </c>
      <c r="H189" s="4">
        <v>1570517946579</v>
      </c>
      <c r="I189">
        <v>532.125</v>
      </c>
      <c r="J189" s="9">
        <f t="shared" si="2"/>
        <v>43746.582715034725</v>
      </c>
      <c r="K189" s="1"/>
    </row>
    <row r="190" spans="1:11" x14ac:dyDescent="0.25">
      <c r="A190" t="e">
        <f>-Lqe9Y9AFkwPVpEqJjZ5</f>
        <v>#NAME?</v>
      </c>
      <c r="B190">
        <v>409.375</v>
      </c>
      <c r="C190">
        <v>20.584240000000001</v>
      </c>
      <c r="D190">
        <v>36</v>
      </c>
      <c r="E190">
        <v>0</v>
      </c>
      <c r="F190">
        <v>0</v>
      </c>
      <c r="G190">
        <v>1</v>
      </c>
      <c r="H190" s="4">
        <v>1570517953790</v>
      </c>
      <c r="I190">
        <v>531.5625</v>
      </c>
      <c r="J190" s="9">
        <f t="shared" si="2"/>
        <v>43746.582798495372</v>
      </c>
      <c r="K190" s="1"/>
    </row>
    <row r="191" spans="1:11" x14ac:dyDescent="0.25">
      <c r="A191" t="e">
        <f>-Lqe9ZquC0ZLNFXm1-#REF!</f>
        <v>#NAME?</v>
      </c>
      <c r="B191">
        <v>409.375</v>
      </c>
      <c r="C191">
        <v>20.584240000000001</v>
      </c>
      <c r="D191">
        <v>36</v>
      </c>
      <c r="E191">
        <v>0</v>
      </c>
      <c r="F191">
        <v>0</v>
      </c>
      <c r="G191">
        <v>1</v>
      </c>
      <c r="H191" s="4">
        <v>1570517961009</v>
      </c>
      <c r="I191">
        <v>531.375</v>
      </c>
      <c r="J191" s="9">
        <f t="shared" si="2"/>
        <v>43746.582882048613</v>
      </c>
      <c r="K191" s="1"/>
    </row>
    <row r="192" spans="1:11" x14ac:dyDescent="0.25">
      <c r="A192" t="e">
        <f>-Lqe9af-Ge7NSgbbJ9_f</f>
        <v>#NAME?</v>
      </c>
      <c r="B192">
        <v>409.375</v>
      </c>
      <c r="C192">
        <v>20.584240000000001</v>
      </c>
      <c r="D192">
        <v>36</v>
      </c>
      <c r="E192">
        <v>0</v>
      </c>
      <c r="F192">
        <v>0</v>
      </c>
      <c r="G192">
        <v>1</v>
      </c>
      <c r="H192" s="4">
        <v>1570517968218</v>
      </c>
      <c r="I192">
        <v>531.5625</v>
      </c>
      <c r="J192" s="9">
        <f t="shared" si="2"/>
        <v>43746.582965486108</v>
      </c>
      <c r="K192" s="1"/>
    </row>
    <row r="193" spans="1:11" x14ac:dyDescent="0.25">
      <c r="A193" t="e">
        <f>-Lqe9cO8pCzp1JoRowJD</f>
        <v>#NAME?</v>
      </c>
      <c r="B193">
        <v>406.25</v>
      </c>
      <c r="C193">
        <v>20.584240000000001</v>
      </c>
      <c r="D193">
        <v>36</v>
      </c>
      <c r="E193">
        <v>0</v>
      </c>
      <c r="F193">
        <v>0</v>
      </c>
      <c r="G193">
        <v>1</v>
      </c>
      <c r="H193" s="4">
        <v>1570517975428</v>
      </c>
      <c r="I193">
        <v>530.625</v>
      </c>
      <c r="J193" s="9">
        <f t="shared" si="2"/>
        <v>43746.583048935187</v>
      </c>
      <c r="K193" s="1"/>
    </row>
    <row r="194" spans="1:11" x14ac:dyDescent="0.25">
      <c r="A194" t="s">
        <v>17</v>
      </c>
      <c r="B194">
        <v>406.25</v>
      </c>
      <c r="C194">
        <v>20.584240000000001</v>
      </c>
      <c r="D194">
        <v>37</v>
      </c>
      <c r="E194">
        <v>0</v>
      </c>
      <c r="F194">
        <v>0</v>
      </c>
      <c r="G194">
        <v>1</v>
      </c>
      <c r="H194" s="4">
        <v>1570517984025</v>
      </c>
      <c r="I194">
        <v>530.625</v>
      </c>
      <c r="J194" s="9">
        <f t="shared" si="2"/>
        <v>43746.583148437501</v>
      </c>
      <c r="K194" s="1"/>
    </row>
    <row r="195" spans="1:11" x14ac:dyDescent="0.25">
      <c r="A195" t="e">
        <f>-Lqe9g6fVmG5ASSKlr12</f>
        <v>#NAME?</v>
      </c>
      <c r="B195">
        <v>406.25</v>
      </c>
      <c r="C195">
        <v>20.584240000000001</v>
      </c>
      <c r="D195">
        <v>37</v>
      </c>
      <c r="E195">
        <v>0</v>
      </c>
      <c r="F195">
        <v>0</v>
      </c>
      <c r="G195">
        <v>1</v>
      </c>
      <c r="H195" s="4">
        <v>1570517990866</v>
      </c>
      <c r="I195">
        <v>530.625</v>
      </c>
      <c r="J195" s="9">
        <f t="shared" ref="J195:J258" si="3">(H195/86400000)+25569+(7/24)</f>
        <v>43746.583227615738</v>
      </c>
      <c r="K195" s="1"/>
    </row>
    <row r="196" spans="1:11" x14ac:dyDescent="0.25">
      <c r="A196" t="e">
        <f>-Lqe9hfpl50NDJofMwOo</f>
        <v>#NAME?</v>
      </c>
      <c r="B196">
        <v>406.25</v>
      </c>
      <c r="C196">
        <v>20.584240000000001</v>
      </c>
      <c r="D196">
        <v>37</v>
      </c>
      <c r="E196">
        <v>0</v>
      </c>
      <c r="F196">
        <v>0</v>
      </c>
      <c r="G196">
        <v>1</v>
      </c>
      <c r="H196" s="4">
        <v>1570517997046</v>
      </c>
      <c r="I196">
        <v>530.625</v>
      </c>
      <c r="J196" s="9">
        <f t="shared" si="3"/>
        <v>43746.583299143516</v>
      </c>
      <c r="K196" s="1"/>
    </row>
    <row r="197" spans="1:11" x14ac:dyDescent="0.25">
      <c r="A197" t="e">
        <f>-Lqe9jOg23KBcRl4w-Eh</f>
        <v>#NAME?</v>
      </c>
      <c r="B197">
        <v>406.25</v>
      </c>
      <c r="C197">
        <v>20.584240000000001</v>
      </c>
      <c r="D197">
        <v>38</v>
      </c>
      <c r="E197">
        <v>0</v>
      </c>
      <c r="F197">
        <v>0</v>
      </c>
      <c r="G197">
        <v>1</v>
      </c>
      <c r="H197" s="4">
        <v>1570518004304</v>
      </c>
      <c r="I197">
        <v>530.8125</v>
      </c>
      <c r="J197" s="9">
        <f t="shared" si="3"/>
        <v>43746.58338314815</v>
      </c>
      <c r="K197" s="1"/>
    </row>
    <row r="198" spans="1:11" x14ac:dyDescent="0.25">
      <c r="A198" t="e">
        <f>-Lqe9kxeVJR1oTQ_IBU1</f>
        <v>#NAME?</v>
      </c>
      <c r="B198">
        <v>406.25</v>
      </c>
      <c r="C198">
        <v>20.584240000000001</v>
      </c>
      <c r="D198">
        <v>38</v>
      </c>
      <c r="E198">
        <v>0</v>
      </c>
      <c r="F198">
        <v>0</v>
      </c>
      <c r="G198">
        <v>1</v>
      </c>
      <c r="H198" s="4">
        <v>1570518010474</v>
      </c>
      <c r="I198">
        <v>530.8125</v>
      </c>
      <c r="J198" s="9">
        <f t="shared" si="3"/>
        <v>43746.583454560183</v>
      </c>
      <c r="K198" s="1"/>
    </row>
    <row r="199" spans="1:11" x14ac:dyDescent="0.25">
      <c r="A199" t="e">
        <f>-Lqe9mh4jy6TNgZxPcSK</f>
        <v>#NAME?</v>
      </c>
      <c r="B199">
        <v>406.25</v>
      </c>
      <c r="C199">
        <v>20.584240000000001</v>
      </c>
      <c r="D199">
        <v>38</v>
      </c>
      <c r="E199">
        <v>0</v>
      </c>
      <c r="F199">
        <v>0</v>
      </c>
      <c r="G199">
        <v>1</v>
      </c>
      <c r="H199" s="4">
        <v>1570518017665</v>
      </c>
      <c r="I199">
        <v>530.625</v>
      </c>
      <c r="J199" s="9">
        <f t="shared" si="3"/>
        <v>43746.583537789345</v>
      </c>
      <c r="K199" s="1"/>
    </row>
    <row r="200" spans="1:11" x14ac:dyDescent="0.25">
      <c r="A200" t="e">
        <f>-Lqe9oEdMexSOL2GVm_R</f>
        <v>#NAME?</v>
      </c>
      <c r="B200">
        <v>406.25</v>
      </c>
      <c r="C200">
        <v>20.584240000000001</v>
      </c>
      <c r="D200">
        <v>38</v>
      </c>
      <c r="E200">
        <v>0</v>
      </c>
      <c r="F200">
        <v>0</v>
      </c>
      <c r="G200">
        <v>1</v>
      </c>
      <c r="H200" s="4">
        <v>1570518023864</v>
      </c>
      <c r="I200">
        <v>530.625</v>
      </c>
      <c r="J200" s="9">
        <f t="shared" si="3"/>
        <v>43746.58360953704</v>
      </c>
      <c r="K200" s="1"/>
    </row>
    <row r="201" spans="1:11" x14ac:dyDescent="0.25">
      <c r="A201" t="e">
        <f>-Lqe9pxpI6AhqT-nY8gA</f>
        <v>#NAME?</v>
      </c>
      <c r="B201">
        <v>409.375</v>
      </c>
      <c r="C201">
        <v>20.584240000000001</v>
      </c>
      <c r="D201">
        <v>37</v>
      </c>
      <c r="E201">
        <v>0</v>
      </c>
      <c r="F201">
        <v>0</v>
      </c>
      <c r="G201">
        <v>1</v>
      </c>
      <c r="H201" s="4">
        <v>1570518031076</v>
      </c>
      <c r="I201">
        <v>531.375</v>
      </c>
      <c r="J201" s="9">
        <f t="shared" si="3"/>
        <v>43746.583693009256</v>
      </c>
      <c r="K201" s="1"/>
    </row>
    <row r="202" spans="1:11" x14ac:dyDescent="0.25">
      <c r="A202" t="e">
        <f>-Lqe9rm34VcnxkqmCmbG</f>
        <v>#NAME?</v>
      </c>
      <c r="B202">
        <v>428.125</v>
      </c>
      <c r="C202">
        <v>20.584240000000001</v>
      </c>
      <c r="D202">
        <v>37</v>
      </c>
      <c r="E202">
        <v>0</v>
      </c>
      <c r="F202">
        <v>0</v>
      </c>
      <c r="G202">
        <v>1</v>
      </c>
      <c r="H202" s="4">
        <v>1570518038295</v>
      </c>
      <c r="I202">
        <v>537.1875</v>
      </c>
      <c r="J202" s="9">
        <f t="shared" si="3"/>
        <v>43746.583776562496</v>
      </c>
      <c r="K202" s="1"/>
    </row>
    <row r="203" spans="1:11" x14ac:dyDescent="0.25">
      <c r="A203" t="e">
        <f>-Lqe9tV6ziAumzMnC4_F</f>
        <v>#NAME?</v>
      </c>
      <c r="B203">
        <v>406.25</v>
      </c>
      <c r="C203">
        <v>20.531590000000001</v>
      </c>
      <c r="D203">
        <v>37</v>
      </c>
      <c r="E203">
        <v>0</v>
      </c>
      <c r="F203">
        <v>0</v>
      </c>
      <c r="G203">
        <v>1</v>
      </c>
      <c r="H203" s="4">
        <v>1570518045506</v>
      </c>
      <c r="I203">
        <v>530.625</v>
      </c>
      <c r="J203" s="9">
        <f t="shared" si="3"/>
        <v>43746.583860023144</v>
      </c>
      <c r="K203" s="1"/>
    </row>
    <row r="204" spans="1:11" x14ac:dyDescent="0.25">
      <c r="A204" t="e">
        <f>-Lqe9vHtUpCAmQd61W1p</f>
        <v>#NAME?</v>
      </c>
      <c r="B204">
        <v>406.25</v>
      </c>
      <c r="C204">
        <v>20.584240000000001</v>
      </c>
      <c r="D204">
        <v>38</v>
      </c>
      <c r="E204">
        <v>0</v>
      </c>
      <c r="F204">
        <v>0</v>
      </c>
      <c r="G204">
        <v>1</v>
      </c>
      <c r="H204" s="4">
        <v>1570518052726</v>
      </c>
      <c r="I204">
        <v>530.625</v>
      </c>
      <c r="J204" s="9">
        <f t="shared" si="3"/>
        <v>43746.583943587961</v>
      </c>
      <c r="K204" s="1"/>
    </row>
    <row r="205" spans="1:11" x14ac:dyDescent="0.25">
      <c r="A205" t="e">
        <f>-Lqe9x06_xswmipxFQex</f>
        <v>#NAME?</v>
      </c>
      <c r="B205">
        <v>406.25</v>
      </c>
      <c r="C205">
        <v>20.584240000000001</v>
      </c>
      <c r="D205">
        <v>37</v>
      </c>
      <c r="E205">
        <v>0</v>
      </c>
      <c r="F205">
        <v>0</v>
      </c>
      <c r="G205">
        <v>1</v>
      </c>
      <c r="H205" s="4">
        <v>1570518059924</v>
      </c>
      <c r="I205">
        <v>530.8125</v>
      </c>
      <c r="J205" s="9">
        <f t="shared" si="3"/>
        <v>43746.584026898148</v>
      </c>
      <c r="K205" s="1"/>
    </row>
    <row r="206" spans="1:11" x14ac:dyDescent="0.25">
      <c r="A206" t="e">
        <f>-Lqe9y_5eClManzhilHy</f>
        <v>#NAME?</v>
      </c>
      <c r="B206">
        <v>406.25</v>
      </c>
      <c r="C206">
        <v>20.584240000000001</v>
      </c>
      <c r="D206">
        <v>37</v>
      </c>
      <c r="E206">
        <v>0</v>
      </c>
      <c r="F206">
        <v>0</v>
      </c>
      <c r="G206">
        <v>1</v>
      </c>
      <c r="H206" s="4">
        <v>1570518066115</v>
      </c>
      <c r="I206">
        <v>530.625</v>
      </c>
      <c r="J206" s="9">
        <f t="shared" si="3"/>
        <v>43746.584098553234</v>
      </c>
      <c r="K206" s="1"/>
    </row>
    <row r="207" spans="1:11" x14ac:dyDescent="0.25">
      <c r="A207" t="e">
        <f>-LqeA-I4ctkeMEiXcsmy</f>
        <v>#NAME?</v>
      </c>
      <c r="B207">
        <v>428.125</v>
      </c>
      <c r="C207">
        <v>20.584240000000001</v>
      </c>
      <c r="D207">
        <v>39</v>
      </c>
      <c r="E207">
        <v>0</v>
      </c>
      <c r="F207">
        <v>0</v>
      </c>
      <c r="G207">
        <v>1</v>
      </c>
      <c r="H207" s="4">
        <v>1570518073345</v>
      </c>
      <c r="I207">
        <v>537.1875</v>
      </c>
      <c r="J207" s="9">
        <f t="shared" si="3"/>
        <v>43746.58418223379</v>
      </c>
      <c r="K207" s="1"/>
    </row>
    <row r="208" spans="1:11" x14ac:dyDescent="0.25">
      <c r="A208" t="e">
        <f>-LqeA13e2KmQZ8-A2qr5</f>
        <v>#NAME?</v>
      </c>
      <c r="B208">
        <v>406.25</v>
      </c>
      <c r="C208">
        <v>20.584240000000001</v>
      </c>
      <c r="D208">
        <v>38</v>
      </c>
      <c r="E208">
        <v>0</v>
      </c>
      <c r="F208">
        <v>0</v>
      </c>
      <c r="G208">
        <v>1</v>
      </c>
      <c r="H208" s="4">
        <v>1570518080555</v>
      </c>
      <c r="I208">
        <v>530.625</v>
      </c>
      <c r="J208" s="9">
        <f t="shared" si="3"/>
        <v>43746.584265682868</v>
      </c>
      <c r="K208" s="1"/>
    </row>
    <row r="209" spans="1:11" x14ac:dyDescent="0.25">
      <c r="A209" t="e">
        <f>-LqeA2cp6Qz1hfMWguBj</f>
        <v>#NAME?</v>
      </c>
      <c r="B209">
        <v>406.25</v>
      </c>
      <c r="C209">
        <v>20.584240000000001</v>
      </c>
      <c r="D209">
        <v>38</v>
      </c>
      <c r="E209">
        <v>0</v>
      </c>
      <c r="F209">
        <v>0</v>
      </c>
      <c r="G209">
        <v>1</v>
      </c>
      <c r="H209" s="4">
        <v>1570518087087</v>
      </c>
      <c r="I209">
        <v>530.625</v>
      </c>
      <c r="J209" s="9">
        <f t="shared" si="3"/>
        <v>43746.584341284724</v>
      </c>
      <c r="K209" s="1"/>
    </row>
    <row r="210" spans="1:11" x14ac:dyDescent="0.25">
      <c r="A210" t="e">
        <f>-LqeA4N45SYDEIiTjFeg</f>
        <v>#NAME?</v>
      </c>
      <c r="B210">
        <v>406.25</v>
      </c>
      <c r="C210">
        <v>20.584240000000001</v>
      </c>
      <c r="D210">
        <v>38</v>
      </c>
      <c r="E210">
        <v>0</v>
      </c>
      <c r="F210">
        <v>0</v>
      </c>
      <c r="G210">
        <v>1</v>
      </c>
      <c r="H210" s="4">
        <v>1570518093954</v>
      </c>
      <c r="I210">
        <v>530.625</v>
      </c>
      <c r="J210" s="9">
        <f t="shared" si="3"/>
        <v>43746.584420763887</v>
      </c>
      <c r="K210" s="1"/>
    </row>
    <row r="211" spans="1:11" x14ac:dyDescent="0.25">
      <c r="A211" t="e">
        <f>-LqeA655Tj9sgCJbepRB</f>
        <v>#NAME?</v>
      </c>
      <c r="B211">
        <v>406.25</v>
      </c>
      <c r="C211">
        <v>20.584240000000001</v>
      </c>
      <c r="D211">
        <v>38</v>
      </c>
      <c r="E211">
        <v>0</v>
      </c>
      <c r="F211">
        <v>0</v>
      </c>
      <c r="G211">
        <v>1</v>
      </c>
      <c r="H211" s="4">
        <v>1570518101174</v>
      </c>
      <c r="I211">
        <v>530.625</v>
      </c>
      <c r="J211" s="9">
        <f t="shared" si="3"/>
        <v>43746.584504328704</v>
      </c>
      <c r="K211" s="1"/>
    </row>
    <row r="212" spans="1:11" x14ac:dyDescent="0.25">
      <c r="A212" t="e">
        <f>-LqeA7s1mzn0JYHjX_2P</f>
        <v>#NAME?</v>
      </c>
      <c r="B212">
        <v>406.25</v>
      </c>
      <c r="C212">
        <v>20.584240000000001</v>
      </c>
      <c r="D212">
        <v>38</v>
      </c>
      <c r="E212">
        <v>0</v>
      </c>
      <c r="F212">
        <v>0</v>
      </c>
      <c r="G212">
        <v>1</v>
      </c>
      <c r="H212" s="4">
        <v>1570518108375</v>
      </c>
      <c r="I212">
        <v>530.625</v>
      </c>
      <c r="J212" s="9">
        <f t="shared" si="3"/>
        <v>43746.584587673606</v>
      </c>
      <c r="K212" s="1"/>
    </row>
    <row r="213" spans="1:11" x14ac:dyDescent="0.25">
      <c r="A213" t="e">
        <f>-LqeA9_wTUDZClg2jIbt</f>
        <v>#NAME?</v>
      </c>
      <c r="B213">
        <v>403.125</v>
      </c>
      <c r="C213">
        <v>20.584240000000001</v>
      </c>
      <c r="D213">
        <v>38</v>
      </c>
      <c r="E213">
        <v>0</v>
      </c>
      <c r="F213">
        <v>0</v>
      </c>
      <c r="G213">
        <v>1</v>
      </c>
      <c r="H213" s="4">
        <v>1570518115586</v>
      </c>
      <c r="I213">
        <v>529.875</v>
      </c>
      <c r="J213" s="9">
        <f t="shared" si="3"/>
        <v>43746.584671134253</v>
      </c>
      <c r="K213" s="1"/>
    </row>
    <row r="214" spans="1:11" x14ac:dyDescent="0.25">
      <c r="A214" t="e">
        <f>-LqeABOmQxpkcf0o3HKb</f>
        <v>#NAME?</v>
      </c>
      <c r="B214">
        <v>403.125</v>
      </c>
      <c r="C214">
        <v>20.584240000000001</v>
      </c>
      <c r="D214">
        <v>37</v>
      </c>
      <c r="E214">
        <v>0</v>
      </c>
      <c r="F214">
        <v>0</v>
      </c>
      <c r="G214">
        <v>1</v>
      </c>
      <c r="H214" s="4">
        <v>1570518122805</v>
      </c>
      <c r="I214">
        <v>529.875</v>
      </c>
      <c r="J214" s="9">
        <f t="shared" si="3"/>
        <v>43746.584754687494</v>
      </c>
      <c r="K214" s="1"/>
    </row>
    <row r="215" spans="1:11" x14ac:dyDescent="0.25">
      <c r="A215" t="s">
        <v>18</v>
      </c>
      <c r="B215">
        <v>406.25</v>
      </c>
      <c r="C215">
        <v>20.584240000000001</v>
      </c>
      <c r="D215">
        <v>37</v>
      </c>
      <c r="E215">
        <v>0</v>
      </c>
      <c r="F215">
        <v>0</v>
      </c>
      <c r="G215">
        <v>1</v>
      </c>
      <c r="H215" s="4">
        <v>1570518129996</v>
      </c>
      <c r="I215">
        <v>530.625</v>
      </c>
      <c r="J215" s="9">
        <f t="shared" si="3"/>
        <v>43746.584837916664</v>
      </c>
      <c r="K215" s="1"/>
    </row>
    <row r="216" spans="1:11" x14ac:dyDescent="0.25">
      <c r="A216" t="e">
        <f>-LqeAEg4v2pbpja_wg__</f>
        <v>#NAME?</v>
      </c>
      <c r="B216">
        <v>406.25</v>
      </c>
      <c r="C216">
        <v>20.584240000000001</v>
      </c>
      <c r="D216">
        <v>37</v>
      </c>
      <c r="E216">
        <v>0</v>
      </c>
      <c r="F216">
        <v>0</v>
      </c>
      <c r="G216">
        <v>1</v>
      </c>
      <c r="H216" s="4">
        <v>1570518136184</v>
      </c>
      <c r="I216">
        <v>530.8125</v>
      </c>
      <c r="J216" s="9">
        <f t="shared" si="3"/>
        <v>43746.584909537036</v>
      </c>
      <c r="K216" s="1"/>
    </row>
    <row r="217" spans="1:11" x14ac:dyDescent="0.25">
      <c r="A217" t="e">
        <f>-LqeAGP58W5T1001ds4u</f>
        <v>#NAME?</v>
      </c>
      <c r="B217">
        <v>409.375</v>
      </c>
      <c r="C217">
        <v>20.584240000000001</v>
      </c>
      <c r="D217">
        <v>38</v>
      </c>
      <c r="E217">
        <v>0</v>
      </c>
      <c r="F217">
        <v>0</v>
      </c>
      <c r="G217">
        <v>1</v>
      </c>
      <c r="H217" s="4">
        <v>1570518143426</v>
      </c>
      <c r="I217">
        <v>531.5625</v>
      </c>
      <c r="J217" s="9">
        <f t="shared" si="3"/>
        <v>43746.584993356482</v>
      </c>
      <c r="K217" s="1"/>
    </row>
    <row r="218" spans="1:11" x14ac:dyDescent="0.25">
      <c r="A218" t="e">
        <f>-LqeAIBvABHpef4yw3Jj</f>
        <v>#NAME?</v>
      </c>
      <c r="B218">
        <v>406.25</v>
      </c>
      <c r="C218">
        <v>20.584240000000001</v>
      </c>
      <c r="D218">
        <v>38</v>
      </c>
      <c r="E218">
        <v>0</v>
      </c>
      <c r="F218">
        <v>0</v>
      </c>
      <c r="G218">
        <v>1</v>
      </c>
      <c r="H218" s="4">
        <v>1570518150625</v>
      </c>
      <c r="I218">
        <v>530.625</v>
      </c>
      <c r="J218" s="9">
        <f t="shared" si="3"/>
        <v>43746.585076678239</v>
      </c>
      <c r="K218" s="1"/>
    </row>
    <row r="219" spans="1:11" x14ac:dyDescent="0.25">
      <c r="A219" t="e">
        <f>-LqeAJv6Kk0kYH4eKS9T</f>
        <v>#NAME?</v>
      </c>
      <c r="B219">
        <v>406.25</v>
      </c>
      <c r="C219">
        <v>20.584240000000001</v>
      </c>
      <c r="D219">
        <v>35</v>
      </c>
      <c r="E219">
        <v>0</v>
      </c>
      <c r="F219">
        <v>0</v>
      </c>
      <c r="G219">
        <v>1</v>
      </c>
      <c r="H219" s="4">
        <v>1570518157824</v>
      </c>
      <c r="I219">
        <v>530.625</v>
      </c>
      <c r="J219" s="9">
        <f t="shared" si="3"/>
        <v>43746.585159999995</v>
      </c>
      <c r="K219" s="1"/>
    </row>
    <row r="220" spans="1:11" x14ac:dyDescent="0.25">
      <c r="A220" t="e">
        <f>-LqeALSfJM4vFcznH6O7</f>
        <v>#NAME?</v>
      </c>
      <c r="B220">
        <v>406.25</v>
      </c>
      <c r="C220">
        <v>20.584240000000001</v>
      </c>
      <c r="D220">
        <v>35</v>
      </c>
      <c r="E220">
        <v>0</v>
      </c>
      <c r="F220">
        <v>0</v>
      </c>
      <c r="G220">
        <v>1</v>
      </c>
      <c r="H220" s="4">
        <v>1570518164026</v>
      </c>
      <c r="I220">
        <v>530.8125</v>
      </c>
      <c r="J220" s="9">
        <f t="shared" si="3"/>
        <v>43746.58523178241</v>
      </c>
      <c r="K220" s="1"/>
    </row>
    <row r="221" spans="1:11" x14ac:dyDescent="0.25">
      <c r="A221" t="e">
        <f>-LqeANBTSsnSkDRSP6bB</f>
        <v>#NAME?</v>
      </c>
      <c r="B221">
        <v>403.125</v>
      </c>
      <c r="C221">
        <v>20.584240000000001</v>
      </c>
      <c r="D221">
        <v>36</v>
      </c>
      <c r="E221">
        <v>0</v>
      </c>
      <c r="F221">
        <v>0</v>
      </c>
      <c r="G221">
        <v>1</v>
      </c>
      <c r="H221" s="4">
        <v>1570518171255</v>
      </c>
      <c r="I221">
        <v>529.875</v>
      </c>
      <c r="J221" s="9">
        <f t="shared" si="3"/>
        <v>43746.585315451382</v>
      </c>
      <c r="K221" s="1"/>
    </row>
    <row r="222" spans="1:11" x14ac:dyDescent="0.25">
      <c r="A222" t="s">
        <v>19</v>
      </c>
      <c r="B222">
        <v>403.125</v>
      </c>
      <c r="C222">
        <v>20.584240000000001</v>
      </c>
      <c r="D222">
        <v>36</v>
      </c>
      <c r="E222">
        <v>0</v>
      </c>
      <c r="F222">
        <v>0</v>
      </c>
      <c r="G222">
        <v>1</v>
      </c>
      <c r="H222" s="4">
        <v>1570518178454</v>
      </c>
      <c r="I222">
        <v>529.875</v>
      </c>
      <c r="J222" s="9">
        <f t="shared" si="3"/>
        <v>43746.585398773146</v>
      </c>
      <c r="K222" s="1"/>
    </row>
    <row r="223" spans="1:11" x14ac:dyDescent="0.25">
      <c r="A223" t="e">
        <f>-LqeAQgxno19hGtRV4hF</f>
        <v>#NAME?</v>
      </c>
      <c r="B223">
        <v>406.25</v>
      </c>
      <c r="C223">
        <v>20.584240000000001</v>
      </c>
      <c r="D223">
        <v>36</v>
      </c>
      <c r="E223">
        <v>0</v>
      </c>
      <c r="F223">
        <v>0</v>
      </c>
      <c r="G223">
        <v>1</v>
      </c>
      <c r="H223" s="4">
        <v>1570518185666</v>
      </c>
      <c r="I223">
        <v>530.625</v>
      </c>
      <c r="J223" s="9">
        <f t="shared" si="3"/>
        <v>43746.585482245369</v>
      </c>
      <c r="K223" s="1"/>
    </row>
    <row r="224" spans="1:11" x14ac:dyDescent="0.25">
      <c r="A224" t="e">
        <f>-LqeASW5Xp64iWdjvQHH</f>
        <v>#NAME?</v>
      </c>
      <c r="B224">
        <v>406.25</v>
      </c>
      <c r="C224">
        <v>20.584240000000001</v>
      </c>
      <c r="D224">
        <v>36</v>
      </c>
      <c r="E224">
        <v>0</v>
      </c>
      <c r="F224">
        <v>0</v>
      </c>
      <c r="G224">
        <v>1</v>
      </c>
      <c r="H224" s="4">
        <v>1570518192885</v>
      </c>
      <c r="I224">
        <v>530.625</v>
      </c>
      <c r="J224" s="9">
        <f t="shared" si="3"/>
        <v>43746.58556579861</v>
      </c>
      <c r="K224" s="1"/>
    </row>
    <row r="225" spans="1:11" x14ac:dyDescent="0.25">
      <c r="A225" t="e">
        <f>-LqeAUDw_-pU5Orq2Vxs</f>
        <v>#NAME?</v>
      </c>
      <c r="B225">
        <v>406.25</v>
      </c>
      <c r="C225">
        <v>20.584240000000001</v>
      </c>
      <c r="D225">
        <v>36</v>
      </c>
      <c r="E225">
        <v>0</v>
      </c>
      <c r="F225">
        <v>0</v>
      </c>
      <c r="G225">
        <v>1</v>
      </c>
      <c r="H225" s="4">
        <v>1570518200075</v>
      </c>
      <c r="I225">
        <v>530.625</v>
      </c>
      <c r="J225" s="9">
        <f t="shared" si="3"/>
        <v>43746.585649016204</v>
      </c>
      <c r="K225" s="1"/>
    </row>
    <row r="226" spans="1:11" x14ac:dyDescent="0.25">
      <c r="A226" t="e">
        <f>-LqeAVn4wuuhzIz3oqOr</f>
        <v>#NAME?</v>
      </c>
      <c r="B226">
        <v>406.25</v>
      </c>
      <c r="C226">
        <v>20.584240000000001</v>
      </c>
      <c r="D226">
        <v>36</v>
      </c>
      <c r="E226">
        <v>0</v>
      </c>
      <c r="F226">
        <v>0</v>
      </c>
      <c r="G226">
        <v>1</v>
      </c>
      <c r="H226" s="4">
        <v>1570518206275</v>
      </c>
      <c r="I226">
        <v>530.625</v>
      </c>
      <c r="J226" s="9">
        <f t="shared" si="3"/>
        <v>43746.58572077546</v>
      </c>
      <c r="K226" s="1"/>
    </row>
    <row r="227" spans="1:11" x14ac:dyDescent="0.25">
      <c r="A227" t="e">
        <f>-LqeAXlirkTrWw-L3oZX</f>
        <v>#NAME?</v>
      </c>
      <c r="B227">
        <v>406.25</v>
      </c>
      <c r="C227">
        <v>20.584240000000001</v>
      </c>
      <c r="D227">
        <v>36</v>
      </c>
      <c r="E227">
        <v>0</v>
      </c>
      <c r="F227">
        <v>0</v>
      </c>
      <c r="G227">
        <v>1</v>
      </c>
      <c r="H227" s="4">
        <v>1570518213504</v>
      </c>
      <c r="I227">
        <v>530.625</v>
      </c>
      <c r="J227" s="9">
        <f t="shared" si="3"/>
        <v>43746.585804444439</v>
      </c>
      <c r="K227" s="1"/>
    </row>
    <row r="228" spans="1:11" x14ac:dyDescent="0.25">
      <c r="A228" t="e">
        <f>-LqeAZJusEyqHaItB3RP</f>
        <v>#NAME?</v>
      </c>
      <c r="B228">
        <v>406.25</v>
      </c>
      <c r="C228">
        <v>20.584240000000001</v>
      </c>
      <c r="D228">
        <v>36</v>
      </c>
      <c r="E228">
        <v>0</v>
      </c>
      <c r="F228">
        <v>0</v>
      </c>
      <c r="G228">
        <v>1</v>
      </c>
      <c r="H228" s="4">
        <v>1570518220710</v>
      </c>
      <c r="I228">
        <v>530.625</v>
      </c>
      <c r="J228" s="9">
        <f t="shared" si="3"/>
        <v>43746.585887847221</v>
      </c>
      <c r="K228" s="1"/>
    </row>
    <row r="229" spans="1:11" x14ac:dyDescent="0.25">
      <c r="A229" t="e">
        <f>-LqeAa1BL79lWcdxORnz</f>
        <v>#NAME?</v>
      </c>
      <c r="B229">
        <v>406.25</v>
      </c>
      <c r="C229">
        <v>20.584240000000001</v>
      </c>
      <c r="D229">
        <v>36</v>
      </c>
      <c r="E229">
        <v>0</v>
      </c>
      <c r="F229">
        <v>0</v>
      </c>
      <c r="G229">
        <v>1</v>
      </c>
      <c r="H229" s="4">
        <v>1570518227919</v>
      </c>
      <c r="I229">
        <v>530.625</v>
      </c>
      <c r="J229" s="9">
        <f t="shared" si="3"/>
        <v>43746.585971284723</v>
      </c>
      <c r="K229" s="1"/>
    </row>
    <row r="230" spans="1:11" x14ac:dyDescent="0.25">
      <c r="A230" t="e">
        <f>-LqeAbUjfOcB3NXyqIvx</f>
        <v>#NAME?</v>
      </c>
      <c r="B230">
        <v>406.25</v>
      </c>
      <c r="C230">
        <v>20.584240000000001</v>
      </c>
      <c r="D230">
        <v>36</v>
      </c>
      <c r="E230">
        <v>0</v>
      </c>
      <c r="F230">
        <v>0</v>
      </c>
      <c r="G230">
        <v>1</v>
      </c>
      <c r="H230" s="4">
        <v>1570518234071</v>
      </c>
      <c r="I230">
        <v>530.8125</v>
      </c>
      <c r="J230" s="9">
        <f t="shared" si="3"/>
        <v>43746.586042488423</v>
      </c>
      <c r="K230" s="1"/>
    </row>
    <row r="231" spans="1:11" x14ac:dyDescent="0.25">
      <c r="A231" t="e">
        <f>-LqeAd31n_nWQLUc21qY</f>
        <v>#NAME?</v>
      </c>
      <c r="B231">
        <v>406.25</v>
      </c>
      <c r="C231">
        <v>20.584240000000001</v>
      </c>
      <c r="D231">
        <v>37</v>
      </c>
      <c r="E231">
        <v>0</v>
      </c>
      <c r="F231">
        <v>0</v>
      </c>
      <c r="G231">
        <v>1</v>
      </c>
      <c r="H231" s="4">
        <v>1570518240329</v>
      </c>
      <c r="I231">
        <v>530.625</v>
      </c>
      <c r="J231" s="9">
        <f t="shared" si="3"/>
        <v>43746.58611491898</v>
      </c>
      <c r="K231" s="1"/>
    </row>
    <row r="232" spans="1:11" x14ac:dyDescent="0.25">
      <c r="A232" t="e">
        <f>-LqeAen9ysBrlGBJ3jHb</f>
        <v>#NAME?</v>
      </c>
      <c r="B232">
        <v>403.125</v>
      </c>
      <c r="C232">
        <v>20.584240000000001</v>
      </c>
      <c r="D232">
        <v>37</v>
      </c>
      <c r="E232">
        <v>0</v>
      </c>
      <c r="F232">
        <v>0</v>
      </c>
      <c r="G232">
        <v>1</v>
      </c>
      <c r="H232" s="4">
        <v>1570518247511</v>
      </c>
      <c r="I232">
        <v>529.875</v>
      </c>
      <c r="J232" s="9">
        <f t="shared" si="3"/>
        <v>43746.58619804398</v>
      </c>
      <c r="K232" s="1"/>
    </row>
    <row r="233" spans="1:11" x14ac:dyDescent="0.25">
      <c r="A233" t="e">
        <f>-LqeAgL4HRkg_7iY0owA</f>
        <v>#NAME?</v>
      </c>
      <c r="B233">
        <v>421.875</v>
      </c>
      <c r="C233">
        <v>20.584240000000001</v>
      </c>
      <c r="D233">
        <v>37</v>
      </c>
      <c r="E233">
        <v>0</v>
      </c>
      <c r="F233">
        <v>0</v>
      </c>
      <c r="G233">
        <v>1</v>
      </c>
      <c r="H233" s="4">
        <v>1570518253691</v>
      </c>
      <c r="I233">
        <v>535.5</v>
      </c>
      <c r="J233" s="9">
        <f t="shared" si="3"/>
        <v>43746.586269571759</v>
      </c>
      <c r="K233" s="1"/>
    </row>
    <row r="234" spans="1:11" x14ac:dyDescent="0.25">
      <c r="A234" t="e">
        <f>-LqeAi2vjW5m3m4nZR5R</f>
        <v>#NAME?</v>
      </c>
      <c r="B234">
        <v>403.125</v>
      </c>
      <c r="C234">
        <v>20.531590000000001</v>
      </c>
      <c r="D234">
        <v>37</v>
      </c>
      <c r="E234">
        <v>0</v>
      </c>
      <c r="F234">
        <v>0</v>
      </c>
      <c r="G234">
        <v>1</v>
      </c>
      <c r="H234" s="4">
        <v>1570518260881</v>
      </c>
      <c r="I234">
        <v>529.875</v>
      </c>
      <c r="J234" s="9">
        <f t="shared" si="3"/>
        <v>43746.586352789345</v>
      </c>
      <c r="K234" s="1"/>
    </row>
    <row r="235" spans="1:11" x14ac:dyDescent="0.25">
      <c r="A235" t="s">
        <v>20</v>
      </c>
      <c r="B235">
        <v>403.125</v>
      </c>
      <c r="C235">
        <v>20.584240000000001</v>
      </c>
      <c r="D235">
        <v>37</v>
      </c>
      <c r="E235">
        <v>0</v>
      </c>
      <c r="F235">
        <v>0</v>
      </c>
      <c r="G235">
        <v>1</v>
      </c>
      <c r="H235" s="4">
        <v>1570518267059</v>
      </c>
      <c r="I235">
        <v>529.875</v>
      </c>
      <c r="J235" s="9">
        <f t="shared" si="3"/>
        <v>43746.586424293979</v>
      </c>
      <c r="K235" s="1"/>
    </row>
    <row r="236" spans="1:11" x14ac:dyDescent="0.25">
      <c r="A236" t="e">
        <f>-LqeAl5u2Zs_wYgGCzvo</f>
        <v>#NAME?</v>
      </c>
      <c r="B236">
        <v>406.25</v>
      </c>
      <c r="C236">
        <v>20.584240000000001</v>
      </c>
      <c r="D236">
        <v>37</v>
      </c>
      <c r="E236">
        <v>0</v>
      </c>
      <c r="F236">
        <v>0</v>
      </c>
      <c r="G236">
        <v>1</v>
      </c>
      <c r="H236" s="4">
        <v>1570518273239</v>
      </c>
      <c r="I236">
        <v>530.625</v>
      </c>
      <c r="J236" s="9">
        <f t="shared" si="3"/>
        <v>43746.586495821757</v>
      </c>
      <c r="K236" s="1"/>
    </row>
    <row r="237" spans="1:11" x14ac:dyDescent="0.25">
      <c r="A237" t="e">
        <f>-LqeAma26B69ZLcY6okd</f>
        <v>#NAME?</v>
      </c>
      <c r="B237">
        <v>403.125</v>
      </c>
      <c r="C237">
        <v>20.531590000000001</v>
      </c>
      <c r="D237">
        <v>38</v>
      </c>
      <c r="E237">
        <v>0</v>
      </c>
      <c r="F237">
        <v>0</v>
      </c>
      <c r="G237">
        <v>1</v>
      </c>
      <c r="H237" s="4">
        <v>1570518279431</v>
      </c>
      <c r="I237">
        <v>529.875</v>
      </c>
      <c r="J237" s="9">
        <f t="shared" si="3"/>
        <v>43746.586567488419</v>
      </c>
      <c r="K237" s="1"/>
    </row>
    <row r="238" spans="1:11" x14ac:dyDescent="0.25">
      <c r="A238" t="e">
        <f>-LqeAoU0og_0LrX8eZH0</f>
        <v>#NAME?</v>
      </c>
      <c r="B238">
        <v>403.125</v>
      </c>
      <c r="C238">
        <v>20.584240000000001</v>
      </c>
      <c r="D238">
        <v>38</v>
      </c>
      <c r="E238">
        <v>0</v>
      </c>
      <c r="F238">
        <v>0</v>
      </c>
      <c r="G238">
        <v>1</v>
      </c>
      <c r="H238" s="4">
        <v>1570518286907</v>
      </c>
      <c r="I238">
        <v>529.875</v>
      </c>
      <c r="J238" s="9">
        <f t="shared" si="3"/>
        <v>43746.586654016202</v>
      </c>
      <c r="K238" s="1"/>
    </row>
    <row r="239" spans="1:11" x14ac:dyDescent="0.25">
      <c r="A239" t="e">
        <f>-LqeAq7EyDxYmfEzOrOu</f>
        <v>#NAME?</v>
      </c>
      <c r="B239">
        <v>403.125</v>
      </c>
      <c r="C239">
        <v>20.584240000000001</v>
      </c>
      <c r="D239">
        <v>37</v>
      </c>
      <c r="E239">
        <v>0</v>
      </c>
      <c r="F239">
        <v>0</v>
      </c>
      <c r="G239">
        <v>1</v>
      </c>
      <c r="H239" s="4">
        <v>1570518293899</v>
      </c>
      <c r="I239">
        <v>529.875</v>
      </c>
      <c r="J239" s="9">
        <f t="shared" si="3"/>
        <v>43746.586734942124</v>
      </c>
      <c r="K239" s="1"/>
    </row>
    <row r="240" spans="1:11" x14ac:dyDescent="0.25">
      <c r="A240" t="e">
        <f>-LqeArg9tbBILzvAUnBV</f>
        <v>#NAME?</v>
      </c>
      <c r="B240">
        <v>403.125</v>
      </c>
      <c r="C240">
        <v>20.584240000000001</v>
      </c>
      <c r="D240">
        <v>36</v>
      </c>
      <c r="E240">
        <v>0</v>
      </c>
      <c r="F240">
        <v>0</v>
      </c>
      <c r="G240">
        <v>1</v>
      </c>
      <c r="H240" s="4">
        <v>1570518300060</v>
      </c>
      <c r="I240">
        <v>529.875</v>
      </c>
      <c r="J240" s="9">
        <f t="shared" si="3"/>
        <v>43746.586806250001</v>
      </c>
      <c r="K240" s="1"/>
    </row>
    <row r="241" spans="1:11" x14ac:dyDescent="0.25">
      <c r="A241" t="e">
        <f>-LqeAtP9-_2OZ8i8fpEs</f>
        <v>#NAME?</v>
      </c>
      <c r="B241">
        <v>403.125</v>
      </c>
      <c r="C241">
        <v>20.584240000000001</v>
      </c>
      <c r="D241">
        <v>38</v>
      </c>
      <c r="E241">
        <v>0</v>
      </c>
      <c r="F241">
        <v>0</v>
      </c>
      <c r="G241">
        <v>1</v>
      </c>
      <c r="H241" s="4">
        <v>1570518307281</v>
      </c>
      <c r="I241">
        <v>529.875</v>
      </c>
      <c r="J241" s="9">
        <f t="shared" si="3"/>
        <v>43746.586889826387</v>
      </c>
      <c r="K241" s="1"/>
    </row>
    <row r="242" spans="1:11" x14ac:dyDescent="0.25">
      <c r="A242" t="e">
        <f>-LqeAvAuo-qdGwkti-CA</f>
        <v>#NAME?</v>
      </c>
      <c r="B242">
        <v>403.125</v>
      </c>
      <c r="C242">
        <v>20.584240000000001</v>
      </c>
      <c r="D242">
        <v>38</v>
      </c>
      <c r="E242">
        <v>0</v>
      </c>
      <c r="F242">
        <v>0</v>
      </c>
      <c r="G242">
        <v>1</v>
      </c>
      <c r="H242" s="4">
        <v>1570518314489</v>
      </c>
      <c r="I242">
        <v>529.875</v>
      </c>
      <c r="J242" s="9">
        <f t="shared" si="3"/>
        <v>43746.586973252313</v>
      </c>
      <c r="K242" s="1"/>
    </row>
    <row r="243" spans="1:11" x14ac:dyDescent="0.25">
      <c r="A243" t="e">
        <f>-LqeAwv9gCxgFyAjQBOD</f>
        <v>#NAME?</v>
      </c>
      <c r="B243">
        <v>406.25</v>
      </c>
      <c r="C243">
        <v>20.584240000000001</v>
      </c>
      <c r="D243">
        <v>38</v>
      </c>
      <c r="E243">
        <v>0</v>
      </c>
      <c r="F243">
        <v>0</v>
      </c>
      <c r="G243">
        <v>1</v>
      </c>
      <c r="H243" s="4">
        <v>1570518321681</v>
      </c>
      <c r="I243">
        <v>530.625</v>
      </c>
      <c r="J243" s="9">
        <f t="shared" si="3"/>
        <v>43746.587056493052</v>
      </c>
      <c r="K243" s="1"/>
    </row>
    <row r="244" spans="1:11" x14ac:dyDescent="0.25">
      <c r="A244" t="e">
        <f>-LqeAyT2UcK32p4ksscc</f>
        <v>#NAME?</v>
      </c>
      <c r="B244">
        <v>406.25</v>
      </c>
      <c r="C244">
        <v>20.584240000000001</v>
      </c>
      <c r="D244">
        <v>38</v>
      </c>
      <c r="E244">
        <v>0</v>
      </c>
      <c r="F244">
        <v>0</v>
      </c>
      <c r="G244">
        <v>1</v>
      </c>
      <c r="H244" s="4">
        <v>1570518327860</v>
      </c>
      <c r="I244">
        <v>530.625</v>
      </c>
      <c r="J244" s="9">
        <f t="shared" si="3"/>
        <v>43746.587128009262</v>
      </c>
      <c r="K244" s="1"/>
    </row>
    <row r="245" spans="1:11" x14ac:dyDescent="0.25">
      <c r="A245" t="s">
        <v>21</v>
      </c>
      <c r="B245">
        <v>406.25</v>
      </c>
      <c r="C245">
        <v>20.584240000000001</v>
      </c>
      <c r="D245">
        <v>38</v>
      </c>
      <c r="E245">
        <v>0</v>
      </c>
      <c r="F245">
        <v>0</v>
      </c>
      <c r="G245">
        <v>1</v>
      </c>
      <c r="H245" s="4">
        <v>1570518335123</v>
      </c>
      <c r="I245">
        <v>530.625</v>
      </c>
      <c r="J245" s="9">
        <f t="shared" si="3"/>
        <v>43746.587212071761</v>
      </c>
      <c r="K245" s="1"/>
    </row>
    <row r="246" spans="1:11" x14ac:dyDescent="0.25">
      <c r="A246" t="e">
        <f>-LqeB1-B6ypVesrdWvJv</f>
        <v>#NAME?</v>
      </c>
      <c r="B246">
        <v>406.25</v>
      </c>
      <c r="C246">
        <v>20.584240000000001</v>
      </c>
      <c r="D246">
        <v>38</v>
      </c>
      <c r="E246">
        <v>0</v>
      </c>
      <c r="F246">
        <v>0</v>
      </c>
      <c r="G246">
        <v>1</v>
      </c>
      <c r="H246" s="4">
        <v>1570518342321</v>
      </c>
      <c r="I246">
        <v>530.625</v>
      </c>
      <c r="J246" s="9">
        <f t="shared" si="3"/>
        <v>43746.587295381942</v>
      </c>
      <c r="K246" s="1"/>
    </row>
    <row r="247" spans="1:11" x14ac:dyDescent="0.25">
      <c r="A247" t="e">
        <f>-LqeB2gj0idbUI9Wx4PB</f>
        <v>#NAME?</v>
      </c>
      <c r="B247">
        <v>406.25</v>
      </c>
      <c r="C247">
        <v>20.584240000000001</v>
      </c>
      <c r="D247">
        <v>37</v>
      </c>
      <c r="E247">
        <v>0</v>
      </c>
      <c r="F247">
        <v>0</v>
      </c>
      <c r="G247">
        <v>1</v>
      </c>
      <c r="H247" s="4">
        <v>1570518349510</v>
      </c>
      <c r="I247">
        <v>530.8125</v>
      </c>
      <c r="J247" s="9">
        <f t="shared" si="3"/>
        <v>43746.587378587959</v>
      </c>
      <c r="K247" s="1"/>
    </row>
    <row r="248" spans="1:11" x14ac:dyDescent="0.25">
      <c r="A248" t="e">
        <f>-LqeB4M9TK_pnqBOAQuU</f>
        <v>#NAME?</v>
      </c>
      <c r="B248">
        <v>406.25</v>
      </c>
      <c r="C248">
        <v>20.584240000000001</v>
      </c>
      <c r="D248">
        <v>37</v>
      </c>
      <c r="E248">
        <v>0</v>
      </c>
      <c r="F248">
        <v>0</v>
      </c>
      <c r="G248">
        <v>1</v>
      </c>
      <c r="H248" s="4">
        <v>1570518356176</v>
      </c>
      <c r="I248">
        <v>530.625</v>
      </c>
      <c r="J248" s="9">
        <f t="shared" si="3"/>
        <v>43746.587455740737</v>
      </c>
      <c r="K248" s="1"/>
    </row>
    <row r="249" spans="1:11" x14ac:dyDescent="0.25">
      <c r="A249" t="e">
        <f>-LqeB6N1bAKQmDl9Xejw</f>
        <v>#NAME?</v>
      </c>
      <c r="B249">
        <v>406.25</v>
      </c>
      <c r="C249">
        <v>20.584240000000001</v>
      </c>
      <c r="D249">
        <v>38</v>
      </c>
      <c r="E249">
        <v>0</v>
      </c>
      <c r="F249">
        <v>0</v>
      </c>
      <c r="G249">
        <v>1</v>
      </c>
      <c r="H249" s="4">
        <v>1570518364397</v>
      </c>
      <c r="I249">
        <v>530.625</v>
      </c>
      <c r="J249" s="9">
        <f t="shared" si="3"/>
        <v>43746.587550891199</v>
      </c>
      <c r="K249" s="1"/>
    </row>
    <row r="250" spans="1:11" x14ac:dyDescent="0.25">
      <c r="A250" t="e">
        <f>-LqeB81BPkm6qqgEDARN</f>
        <v>#NAME?</v>
      </c>
      <c r="B250">
        <v>406.25</v>
      </c>
      <c r="C250">
        <v>20.584240000000001</v>
      </c>
      <c r="D250">
        <v>38</v>
      </c>
      <c r="E250">
        <v>0</v>
      </c>
      <c r="F250">
        <v>0</v>
      </c>
      <c r="G250">
        <v>1</v>
      </c>
      <c r="H250" s="4">
        <v>1570518371181</v>
      </c>
      <c r="I250">
        <v>530.625</v>
      </c>
      <c r="J250" s="9">
        <f t="shared" si="3"/>
        <v>43746.587629409718</v>
      </c>
      <c r="K250" s="1"/>
    </row>
    <row r="251" spans="1:11" x14ac:dyDescent="0.25">
      <c r="A251" t="e">
        <f>-LqeB9ivkAiE-yID-jxr</f>
        <v>#NAME?</v>
      </c>
      <c r="B251">
        <v>406.25</v>
      </c>
      <c r="C251">
        <v>20.584240000000001</v>
      </c>
      <c r="D251">
        <v>38</v>
      </c>
      <c r="E251">
        <v>0</v>
      </c>
      <c r="F251">
        <v>0</v>
      </c>
      <c r="G251">
        <v>1</v>
      </c>
      <c r="H251" s="4">
        <v>1570518378389</v>
      </c>
      <c r="I251">
        <v>530.8125</v>
      </c>
      <c r="J251" s="9">
        <f t="shared" si="3"/>
        <v>43746.587712835644</v>
      </c>
      <c r="K251" s="1"/>
    </row>
    <row r="252" spans="1:11" x14ac:dyDescent="0.25">
      <c r="A252" t="e">
        <f>-LqeBBJ0ju2jyfhR63JE</f>
        <v>#NAME?</v>
      </c>
      <c r="B252">
        <v>406.25</v>
      </c>
      <c r="C252">
        <v>20.584240000000001</v>
      </c>
      <c r="D252">
        <v>38</v>
      </c>
      <c r="E252">
        <v>0</v>
      </c>
      <c r="F252">
        <v>0</v>
      </c>
      <c r="G252">
        <v>1</v>
      </c>
      <c r="H252" s="4">
        <v>1570518384571</v>
      </c>
      <c r="I252">
        <v>530.625</v>
      </c>
      <c r="J252" s="9">
        <f t="shared" si="3"/>
        <v>43746.587784386567</v>
      </c>
      <c r="K252" s="1"/>
    </row>
    <row r="253" spans="1:11" x14ac:dyDescent="0.25">
      <c r="A253" t="e">
        <f>-LqeBCzT1IDmtuAM9RCv</f>
        <v>#NAME?</v>
      </c>
      <c r="B253">
        <v>406.25</v>
      </c>
      <c r="C253">
        <v>20.584240000000001</v>
      </c>
      <c r="D253">
        <v>38</v>
      </c>
      <c r="E253">
        <v>0</v>
      </c>
      <c r="F253">
        <v>0</v>
      </c>
      <c r="G253">
        <v>1</v>
      </c>
      <c r="H253" s="4">
        <v>1570518390760</v>
      </c>
      <c r="I253">
        <v>530.625</v>
      </c>
      <c r="J253" s="9">
        <f t="shared" si="3"/>
        <v>43746.587856018516</v>
      </c>
      <c r="K253" s="1"/>
    </row>
    <row r="254" spans="1:11" x14ac:dyDescent="0.25">
      <c r="A254" t="e">
        <f>-LqeBEa7Ruck_wBYP2EC</f>
        <v>#NAME?</v>
      </c>
      <c r="B254">
        <v>406.25</v>
      </c>
      <c r="C254">
        <v>20.584240000000001</v>
      </c>
      <c r="D254">
        <v>39</v>
      </c>
      <c r="E254">
        <v>0</v>
      </c>
      <c r="F254">
        <v>0</v>
      </c>
      <c r="G254">
        <v>1</v>
      </c>
      <c r="H254" s="4">
        <v>1570518397970</v>
      </c>
      <c r="I254">
        <v>530.625</v>
      </c>
      <c r="J254" s="9">
        <f t="shared" si="3"/>
        <v>43746.587939467594</v>
      </c>
      <c r="K254" s="1"/>
    </row>
    <row r="255" spans="1:11" x14ac:dyDescent="0.25">
      <c r="A255" t="e">
        <f>-LqeBGJA5SgLQESfTYug</f>
        <v>#NAME?</v>
      </c>
      <c r="B255">
        <v>425</v>
      </c>
      <c r="C255">
        <v>20.584240000000001</v>
      </c>
      <c r="D255">
        <v>39</v>
      </c>
      <c r="E255">
        <v>0</v>
      </c>
      <c r="F255">
        <v>0</v>
      </c>
      <c r="G255">
        <v>1</v>
      </c>
      <c r="H255" s="4">
        <v>1570518405190</v>
      </c>
      <c r="I255">
        <v>536.25</v>
      </c>
      <c r="J255" s="9">
        <f t="shared" si="3"/>
        <v>43746.588023032404</v>
      </c>
      <c r="K255" s="1"/>
    </row>
    <row r="256" spans="1:11" x14ac:dyDescent="0.25">
      <c r="A256" t="e">
        <f>-LqeBI4va_YnsORAQZPf</f>
        <v>#NAME?</v>
      </c>
      <c r="B256">
        <v>406.25</v>
      </c>
      <c r="C256">
        <v>20.584240000000001</v>
      </c>
      <c r="D256">
        <v>39</v>
      </c>
      <c r="E256">
        <v>0</v>
      </c>
      <c r="F256">
        <v>0</v>
      </c>
      <c r="G256">
        <v>1</v>
      </c>
      <c r="H256" s="4">
        <v>1570518412614</v>
      </c>
      <c r="I256">
        <v>530.625</v>
      </c>
      <c r="J256" s="9">
        <f t="shared" si="3"/>
        <v>43746.588108958334</v>
      </c>
      <c r="K256" s="1"/>
    </row>
    <row r="257" spans="1:11" x14ac:dyDescent="0.25">
      <c r="A257" t="e">
        <f>-LqeBJnwzlz6pQu5Ckhf</f>
        <v>#NAME?</v>
      </c>
      <c r="B257">
        <v>406.25</v>
      </c>
      <c r="C257">
        <v>20.584240000000001</v>
      </c>
      <c r="D257">
        <v>38</v>
      </c>
      <c r="E257">
        <v>0</v>
      </c>
      <c r="F257">
        <v>0</v>
      </c>
      <c r="G257">
        <v>1</v>
      </c>
      <c r="H257" s="4">
        <v>1570518419589</v>
      </c>
      <c r="I257">
        <v>530.625</v>
      </c>
      <c r="J257" s="9">
        <f t="shared" si="3"/>
        <v>43746.5881896875</v>
      </c>
      <c r="K257" s="1"/>
    </row>
    <row r="258" spans="1:11" x14ac:dyDescent="0.25">
      <c r="A258" t="e">
        <f>-LqeBLalDRkrrTUC8LD4</f>
        <v>#NAME?</v>
      </c>
      <c r="B258">
        <v>406.25</v>
      </c>
      <c r="C258">
        <v>20.584240000000001</v>
      </c>
      <c r="D258">
        <v>37</v>
      </c>
      <c r="E258">
        <v>0</v>
      </c>
      <c r="F258">
        <v>0</v>
      </c>
      <c r="G258">
        <v>1</v>
      </c>
      <c r="H258" s="4">
        <v>1570518426831</v>
      </c>
      <c r="I258">
        <v>530.625</v>
      </c>
      <c r="J258" s="9">
        <f t="shared" si="3"/>
        <v>43746.588273506939</v>
      </c>
      <c r="K258" s="1"/>
    </row>
    <row r="259" spans="1:11" x14ac:dyDescent="0.25">
      <c r="A259" t="e">
        <f>-LqeBN6mkLBuAp1qGPdf</f>
        <v>#NAME?</v>
      </c>
      <c r="B259">
        <v>406.25</v>
      </c>
      <c r="C259">
        <v>20.584240000000001</v>
      </c>
      <c r="D259">
        <v>35</v>
      </c>
      <c r="E259">
        <v>0</v>
      </c>
      <c r="F259">
        <v>0</v>
      </c>
      <c r="G259">
        <v>1</v>
      </c>
      <c r="H259" s="4">
        <v>1570518433020</v>
      </c>
      <c r="I259">
        <v>530.8125</v>
      </c>
      <c r="J259" s="9">
        <f t="shared" ref="J259:J322" si="4">(H259/86400000)+25569+(7/24)</f>
        <v>43746.588345138887</v>
      </c>
      <c r="K259" s="1"/>
    </row>
    <row r="260" spans="1:11" x14ac:dyDescent="0.25">
      <c r="A260" t="e">
        <f>-LqeBPEnq9JoIjzP3Oys</f>
        <v>#NAME?</v>
      </c>
      <c r="B260">
        <v>440.625</v>
      </c>
      <c r="C260">
        <v>20.584240000000001</v>
      </c>
      <c r="D260">
        <v>36</v>
      </c>
      <c r="E260">
        <v>0</v>
      </c>
      <c r="F260">
        <v>0</v>
      </c>
      <c r="G260">
        <v>1</v>
      </c>
      <c r="H260" s="4">
        <v>1570518440230</v>
      </c>
      <c r="I260">
        <v>541.875</v>
      </c>
      <c r="J260" s="9">
        <f t="shared" si="4"/>
        <v>43746.588428587966</v>
      </c>
      <c r="K260" s="1"/>
    </row>
    <row r="261" spans="1:11" x14ac:dyDescent="0.25">
      <c r="A261" t="e">
        <f>-LqeBR8zCrPANhPSpAHl</f>
        <v>#NAME?</v>
      </c>
      <c r="B261">
        <v>406.25</v>
      </c>
      <c r="C261">
        <v>20.584240000000001</v>
      </c>
      <c r="D261">
        <v>40</v>
      </c>
      <c r="E261">
        <v>0</v>
      </c>
      <c r="F261">
        <v>0</v>
      </c>
      <c r="G261">
        <v>1</v>
      </c>
      <c r="H261" s="4">
        <v>1570518449538</v>
      </c>
      <c r="I261">
        <v>530.8125</v>
      </c>
      <c r="J261" s="9">
        <f t="shared" si="4"/>
        <v>43746.588536319447</v>
      </c>
      <c r="K261" s="1"/>
    </row>
    <row r="262" spans="1:11" x14ac:dyDescent="0.25">
      <c r="A262" t="e">
        <f>-LqeBT9EJlz0-g5oty0V</f>
        <v>#NAME?</v>
      </c>
      <c r="B262">
        <v>406.25</v>
      </c>
      <c r="C262">
        <v>20.584240000000001</v>
      </c>
      <c r="D262">
        <v>40</v>
      </c>
      <c r="E262">
        <v>0</v>
      </c>
      <c r="F262">
        <v>0</v>
      </c>
      <c r="G262">
        <v>1</v>
      </c>
      <c r="H262" s="4">
        <v>1570518456717</v>
      </c>
      <c r="I262">
        <v>530.625</v>
      </c>
      <c r="J262" s="9">
        <f t="shared" si="4"/>
        <v>43746.588619409718</v>
      </c>
      <c r="K262" s="1"/>
    </row>
    <row r="263" spans="1:11" x14ac:dyDescent="0.25">
      <c r="A263" t="e">
        <f>-LqeBUeqOlCJhF-nC98d</f>
        <v>#NAME?</v>
      </c>
      <c r="B263">
        <v>406.25</v>
      </c>
      <c r="C263">
        <v>20.584240000000001</v>
      </c>
      <c r="D263">
        <v>38</v>
      </c>
      <c r="E263">
        <v>0</v>
      </c>
      <c r="F263">
        <v>0</v>
      </c>
      <c r="G263">
        <v>1</v>
      </c>
      <c r="H263" s="4">
        <v>1570518463929</v>
      </c>
      <c r="I263">
        <v>530.625</v>
      </c>
      <c r="J263" s="9">
        <f t="shared" si="4"/>
        <v>43746.588702881942</v>
      </c>
      <c r="K263" s="1"/>
    </row>
    <row r="264" spans="1:11" x14ac:dyDescent="0.25">
      <c r="A264" t="e">
        <f>-LqeBWggnsB9ww0NZCLh</f>
        <v>#NAME?</v>
      </c>
      <c r="B264">
        <v>406.25</v>
      </c>
      <c r="C264">
        <v>20.584240000000001</v>
      </c>
      <c r="D264">
        <v>39</v>
      </c>
      <c r="E264">
        <v>0</v>
      </c>
      <c r="F264">
        <v>0</v>
      </c>
      <c r="G264">
        <v>1</v>
      </c>
      <c r="H264" s="4">
        <v>1570518472395</v>
      </c>
      <c r="I264">
        <v>530.625</v>
      </c>
      <c r="J264" s="9">
        <f t="shared" si="4"/>
        <v>43746.588800868056</v>
      </c>
      <c r="K264" s="1"/>
    </row>
    <row r="265" spans="1:11" x14ac:dyDescent="0.25">
      <c r="A265" t="e">
        <f>-LqeBYR66LcAds_T5-Qb</f>
        <v>#NAME?</v>
      </c>
      <c r="B265">
        <v>406.25</v>
      </c>
      <c r="C265">
        <v>20.584240000000001</v>
      </c>
      <c r="D265">
        <v>39</v>
      </c>
      <c r="E265">
        <v>0</v>
      </c>
      <c r="F265">
        <v>0</v>
      </c>
      <c r="G265">
        <v>1</v>
      </c>
      <c r="H265" s="4">
        <v>1570518479385</v>
      </c>
      <c r="I265">
        <v>530.625</v>
      </c>
      <c r="J265" s="9">
        <f t="shared" si="4"/>
        <v>43746.588881770826</v>
      </c>
      <c r="K265" s="1"/>
    </row>
    <row r="266" spans="1:11" x14ac:dyDescent="0.25">
      <c r="A266" t="e">
        <f>-LqeB_DncxbnGfmpBL3G</f>
        <v>#NAME?</v>
      </c>
      <c r="B266">
        <v>406.25</v>
      </c>
      <c r="C266">
        <v>20.584240000000001</v>
      </c>
      <c r="D266">
        <v>39</v>
      </c>
      <c r="E266">
        <v>0</v>
      </c>
      <c r="F266">
        <v>0</v>
      </c>
      <c r="G266">
        <v>1</v>
      </c>
      <c r="H266" s="4">
        <v>1570518486606</v>
      </c>
      <c r="I266">
        <v>530.8125</v>
      </c>
      <c r="J266" s="9">
        <f t="shared" si="4"/>
        <v>43746.588965347219</v>
      </c>
      <c r="K266" s="1"/>
    </row>
    <row r="267" spans="1:11" x14ac:dyDescent="0.25">
      <c r="A267" t="e">
        <f>-LqeBaw6h4bVIN87aEXL</f>
        <v>#NAME?</v>
      </c>
      <c r="B267">
        <v>406.25</v>
      </c>
      <c r="C267">
        <v>20.584240000000001</v>
      </c>
      <c r="D267">
        <v>41</v>
      </c>
      <c r="E267">
        <v>0</v>
      </c>
      <c r="F267">
        <v>0</v>
      </c>
      <c r="G267">
        <v>1</v>
      </c>
      <c r="H267" s="4">
        <v>1570518493825</v>
      </c>
      <c r="I267">
        <v>530.8125</v>
      </c>
      <c r="J267" s="9">
        <f t="shared" si="4"/>
        <v>43746.58904890046</v>
      </c>
      <c r="K267" s="1"/>
    </row>
    <row r="268" spans="1:11" x14ac:dyDescent="0.25">
      <c r="A268" t="e">
        <f>-LqeBcqBuuVRB6uPU-HZ</f>
        <v>#NAME?</v>
      </c>
      <c r="B268">
        <v>406.25</v>
      </c>
      <c r="C268">
        <v>20.584240000000001</v>
      </c>
      <c r="D268">
        <v>41</v>
      </c>
      <c r="E268">
        <v>0</v>
      </c>
      <c r="F268">
        <v>0</v>
      </c>
      <c r="G268">
        <v>1</v>
      </c>
      <c r="H268" s="4">
        <v>1570518501037</v>
      </c>
      <c r="I268">
        <v>530.625</v>
      </c>
      <c r="J268" s="9">
        <f t="shared" si="4"/>
        <v>43746.589132372683</v>
      </c>
      <c r="K268" s="1"/>
    </row>
    <row r="269" spans="1:11" x14ac:dyDescent="0.25">
      <c r="A269" t="e">
        <f>-LqeBeT4L3IO56Skjo43</f>
        <v>#NAME?</v>
      </c>
      <c r="B269">
        <v>406.25</v>
      </c>
      <c r="C269">
        <v>20.584240000000001</v>
      </c>
      <c r="D269">
        <v>40</v>
      </c>
      <c r="E269">
        <v>0</v>
      </c>
      <c r="F269">
        <v>0</v>
      </c>
      <c r="G269">
        <v>1</v>
      </c>
      <c r="H269" s="4">
        <v>1570518508227</v>
      </c>
      <c r="I269">
        <v>530.625</v>
      </c>
      <c r="J269" s="9">
        <f t="shared" si="4"/>
        <v>43746.589215590277</v>
      </c>
      <c r="K269" s="1"/>
    </row>
    <row r="270" spans="1:11" x14ac:dyDescent="0.25">
      <c r="A270" t="e">
        <f>-LqeBg-gFufyRWINUW-F</f>
        <v>#NAME?</v>
      </c>
      <c r="B270">
        <v>406.25</v>
      </c>
      <c r="C270">
        <v>20.584240000000001</v>
      </c>
      <c r="D270">
        <v>40</v>
      </c>
      <c r="E270">
        <v>0</v>
      </c>
      <c r="F270">
        <v>0</v>
      </c>
      <c r="G270">
        <v>1</v>
      </c>
      <c r="H270" s="4">
        <v>1570518514417</v>
      </c>
      <c r="I270">
        <v>530.625</v>
      </c>
      <c r="J270" s="9">
        <f t="shared" si="4"/>
        <v>43746.589287233794</v>
      </c>
      <c r="K270" s="1"/>
    </row>
    <row r="271" spans="1:11" x14ac:dyDescent="0.25">
      <c r="A271" t="e">
        <f>-LqeBhlIEveWPyZAYGZT</f>
        <v>#NAME?</v>
      </c>
      <c r="B271">
        <v>406.25</v>
      </c>
      <c r="C271">
        <v>20.584240000000001</v>
      </c>
      <c r="D271">
        <v>41</v>
      </c>
      <c r="E271">
        <v>0</v>
      </c>
      <c r="F271">
        <v>0</v>
      </c>
      <c r="G271">
        <v>1</v>
      </c>
      <c r="H271" s="4">
        <v>1570518521635</v>
      </c>
      <c r="I271">
        <v>530.625</v>
      </c>
      <c r="J271" s="9">
        <f t="shared" si="4"/>
        <v>43746.589370775466</v>
      </c>
      <c r="K271" s="1"/>
    </row>
    <row r="272" spans="1:11" x14ac:dyDescent="0.25">
      <c r="A272" t="e">
        <f>-LqeBjWgjwuq8Tof6Paw</f>
        <v>#NAME?</v>
      </c>
      <c r="B272">
        <v>406.25</v>
      </c>
      <c r="C272">
        <v>20.584240000000001</v>
      </c>
      <c r="D272">
        <v>42</v>
      </c>
      <c r="E272">
        <v>0</v>
      </c>
      <c r="F272">
        <v>0</v>
      </c>
      <c r="G272">
        <v>1</v>
      </c>
      <c r="H272" s="4">
        <v>1570518528856</v>
      </c>
      <c r="I272">
        <v>530.8125</v>
      </c>
      <c r="J272" s="9">
        <f t="shared" si="4"/>
        <v>43746.589454351844</v>
      </c>
      <c r="K272" s="1"/>
    </row>
    <row r="273" spans="1:11" x14ac:dyDescent="0.25">
      <c r="A273" t="e">
        <f>-LqeBlK540Xk1PCDFY_p</f>
        <v>#NAME?</v>
      </c>
      <c r="B273">
        <v>406.25</v>
      </c>
      <c r="C273">
        <v>20.584240000000001</v>
      </c>
      <c r="D273">
        <v>46</v>
      </c>
      <c r="E273">
        <v>0</v>
      </c>
      <c r="F273">
        <v>0</v>
      </c>
      <c r="G273">
        <v>1</v>
      </c>
      <c r="H273" s="4">
        <v>1570518536066</v>
      </c>
      <c r="I273">
        <v>530.625</v>
      </c>
      <c r="J273" s="9">
        <f t="shared" si="4"/>
        <v>43746.589537800923</v>
      </c>
      <c r="K273" s="1"/>
    </row>
    <row r="274" spans="1:11" x14ac:dyDescent="0.25">
      <c r="A274" t="e">
        <f>-LqeBn34IFAopk8WRdav</f>
        <v>#NAME?</v>
      </c>
      <c r="B274">
        <v>406.25</v>
      </c>
      <c r="C274">
        <v>20.584240000000001</v>
      </c>
      <c r="D274">
        <v>47</v>
      </c>
      <c r="E274">
        <v>0</v>
      </c>
      <c r="F274">
        <v>0</v>
      </c>
      <c r="G274">
        <v>1</v>
      </c>
      <c r="H274" s="4">
        <v>1570518543276</v>
      </c>
      <c r="I274">
        <v>530.625</v>
      </c>
      <c r="J274" s="9">
        <f t="shared" si="4"/>
        <v>43746.589621250001</v>
      </c>
      <c r="K274" s="1"/>
    </row>
    <row r="275" spans="1:11" x14ac:dyDescent="0.25">
      <c r="A275" t="e">
        <f>-LqeBom3zyJL4lCzdiMe</f>
        <v>#NAME?</v>
      </c>
      <c r="B275">
        <v>403.125</v>
      </c>
      <c r="C275">
        <v>20.584240000000001</v>
      </c>
      <c r="D275">
        <v>50</v>
      </c>
      <c r="E275">
        <v>0</v>
      </c>
      <c r="F275">
        <v>0</v>
      </c>
      <c r="G275">
        <v>1</v>
      </c>
      <c r="H275" s="4">
        <v>1570518550475</v>
      </c>
      <c r="I275">
        <v>529.875</v>
      </c>
      <c r="J275" s="9">
        <f t="shared" si="4"/>
        <v>43746.589704571757</v>
      </c>
      <c r="K275" s="1"/>
    </row>
    <row r="276" spans="1:11" x14ac:dyDescent="0.25">
      <c r="A276" t="s">
        <v>22</v>
      </c>
      <c r="B276">
        <v>403.125</v>
      </c>
      <c r="C276">
        <v>20.584240000000001</v>
      </c>
      <c r="D276">
        <v>50</v>
      </c>
      <c r="E276">
        <v>0</v>
      </c>
      <c r="F276">
        <v>0</v>
      </c>
      <c r="G276">
        <v>1</v>
      </c>
      <c r="H276" s="4">
        <v>1570518556675</v>
      </c>
      <c r="I276">
        <v>529.875</v>
      </c>
      <c r="J276" s="9">
        <f t="shared" si="4"/>
        <v>43746.589776331013</v>
      </c>
      <c r="K276" s="1"/>
    </row>
    <row r="277" spans="1:11" x14ac:dyDescent="0.25">
      <c r="A277" t="s">
        <v>23</v>
      </c>
      <c r="B277">
        <v>403.125</v>
      </c>
      <c r="C277">
        <v>20.584240000000001</v>
      </c>
      <c r="D277">
        <v>50</v>
      </c>
      <c r="E277">
        <v>0</v>
      </c>
      <c r="F277">
        <v>0</v>
      </c>
      <c r="G277">
        <v>1</v>
      </c>
      <c r="H277" s="4">
        <v>1570518563916</v>
      </c>
      <c r="I277">
        <v>529.875</v>
      </c>
      <c r="J277" s="9">
        <f t="shared" si="4"/>
        <v>43746.589860138884</v>
      </c>
      <c r="K277" s="1"/>
    </row>
    <row r="278" spans="1:11" x14ac:dyDescent="0.25">
      <c r="A278" t="e">
        <f>-LqeBtr37iJdfKF5xMM7</f>
        <v>#NAME?</v>
      </c>
      <c r="B278">
        <v>421.875</v>
      </c>
      <c r="C278">
        <v>20.584240000000001</v>
      </c>
      <c r="D278">
        <v>53</v>
      </c>
      <c r="E278">
        <v>0</v>
      </c>
      <c r="F278">
        <v>0</v>
      </c>
      <c r="G278">
        <v>1</v>
      </c>
      <c r="H278" s="4">
        <v>1570518571106</v>
      </c>
      <c r="I278">
        <v>535.875</v>
      </c>
      <c r="J278" s="9">
        <f t="shared" si="4"/>
        <v>43746.589943356477</v>
      </c>
      <c r="K278" s="1"/>
    </row>
    <row r="279" spans="1:11" x14ac:dyDescent="0.25">
      <c r="A279" t="e">
        <f>-LqeBv_4inMsk6NMF4PR</f>
        <v>#NAME?</v>
      </c>
      <c r="B279">
        <v>403.125</v>
      </c>
      <c r="C279">
        <v>20.584240000000001</v>
      </c>
      <c r="D279">
        <v>53</v>
      </c>
      <c r="E279">
        <v>0</v>
      </c>
      <c r="F279">
        <v>0</v>
      </c>
      <c r="G279">
        <v>1</v>
      </c>
      <c r="H279" s="4">
        <v>1570518578305</v>
      </c>
      <c r="I279">
        <v>529.875</v>
      </c>
      <c r="J279" s="9">
        <f t="shared" si="4"/>
        <v>43746.590026678234</v>
      </c>
      <c r="K279" s="1"/>
    </row>
    <row r="280" spans="1:11" x14ac:dyDescent="0.25">
      <c r="A280" t="e">
        <f>-LqeBxM-REzhe0jhTrCH</f>
        <v>#NAME?</v>
      </c>
      <c r="B280">
        <v>403.125</v>
      </c>
      <c r="C280">
        <v>20.584240000000001</v>
      </c>
      <c r="D280">
        <v>52</v>
      </c>
      <c r="E280">
        <v>0</v>
      </c>
      <c r="F280">
        <v>0</v>
      </c>
      <c r="G280">
        <v>1</v>
      </c>
      <c r="H280" s="4">
        <v>1570518585536</v>
      </c>
      <c r="I280">
        <v>529.875</v>
      </c>
      <c r="J280" s="9">
        <f t="shared" si="4"/>
        <v>43746.590110370373</v>
      </c>
      <c r="K280" s="1"/>
    </row>
    <row r="281" spans="1:11" x14ac:dyDescent="0.25">
      <c r="A281" t="e">
        <f>-LqeBz54tFteRp-OzD-P</f>
        <v>#NAME?</v>
      </c>
      <c r="B281">
        <v>406.25</v>
      </c>
      <c r="C281">
        <v>20.584240000000001</v>
      </c>
      <c r="D281">
        <v>51</v>
      </c>
      <c r="E281">
        <v>0</v>
      </c>
      <c r="F281">
        <v>0</v>
      </c>
      <c r="G281">
        <v>1</v>
      </c>
      <c r="H281" s="4">
        <v>1570518592716</v>
      </c>
      <c r="I281">
        <v>530.0625</v>
      </c>
      <c r="J281" s="9">
        <f t="shared" si="4"/>
        <v>43746.590193472221</v>
      </c>
      <c r="K281" s="1"/>
    </row>
    <row r="282" spans="1:11" x14ac:dyDescent="0.25">
      <c r="A282" t="s">
        <v>24</v>
      </c>
      <c r="B282">
        <v>403.125</v>
      </c>
      <c r="C282">
        <v>20.584240000000001</v>
      </c>
      <c r="D282">
        <v>51</v>
      </c>
      <c r="E282">
        <v>0</v>
      </c>
      <c r="F282">
        <v>0</v>
      </c>
      <c r="G282">
        <v>1</v>
      </c>
      <c r="H282" s="4">
        <v>1570518598905</v>
      </c>
      <c r="I282">
        <v>529.875</v>
      </c>
      <c r="J282" s="9">
        <f t="shared" si="4"/>
        <v>43746.590265104162</v>
      </c>
      <c r="K282" s="1"/>
    </row>
    <row r="283" spans="1:11" x14ac:dyDescent="0.25">
      <c r="A283" t="e">
        <f>-LqeC1N3S7BuePxi8T0G</f>
        <v>#NAME?</v>
      </c>
      <c r="B283">
        <v>421.875</v>
      </c>
      <c r="C283">
        <v>20.531590000000001</v>
      </c>
      <c r="D283">
        <v>48</v>
      </c>
      <c r="E283">
        <v>0</v>
      </c>
      <c r="F283">
        <v>0</v>
      </c>
      <c r="G283">
        <v>1</v>
      </c>
      <c r="H283" s="4">
        <v>1570518606155</v>
      </c>
      <c r="I283">
        <v>535.875</v>
      </c>
      <c r="J283" s="9">
        <f t="shared" si="4"/>
        <v>43746.590349016202</v>
      </c>
      <c r="K283" s="1"/>
    </row>
    <row r="284" spans="1:11" x14ac:dyDescent="0.25">
      <c r="A284" t="e">
        <f>-LqeC38pFJSZ45qTLl8b</f>
        <v>#NAME?</v>
      </c>
      <c r="B284">
        <v>406.25</v>
      </c>
      <c r="C284">
        <v>20.584240000000001</v>
      </c>
      <c r="D284">
        <v>49</v>
      </c>
      <c r="E284">
        <v>0</v>
      </c>
      <c r="F284">
        <v>0</v>
      </c>
      <c r="G284">
        <v>1</v>
      </c>
      <c r="H284" s="4">
        <v>1570518613356</v>
      </c>
      <c r="I284">
        <v>530.625</v>
      </c>
      <c r="J284" s="9">
        <f t="shared" si="4"/>
        <v>43746.59043236111</v>
      </c>
      <c r="K284" s="1"/>
    </row>
    <row r="285" spans="1:11" x14ac:dyDescent="0.25">
      <c r="A285" t="e">
        <f>-LqeC4t3tOl_m6Pf_YH5</f>
        <v>#NAME?</v>
      </c>
      <c r="B285">
        <v>406.25</v>
      </c>
      <c r="C285">
        <v>20.584240000000001</v>
      </c>
      <c r="D285">
        <v>49</v>
      </c>
      <c r="E285">
        <v>0</v>
      </c>
      <c r="F285">
        <v>0</v>
      </c>
      <c r="G285">
        <v>1</v>
      </c>
      <c r="H285" s="4">
        <v>1570518620546</v>
      </c>
      <c r="I285">
        <v>530.625</v>
      </c>
      <c r="J285" s="9">
        <f t="shared" si="4"/>
        <v>43746.590515578697</v>
      </c>
      <c r="K285" s="1"/>
    </row>
    <row r="286" spans="1:11" x14ac:dyDescent="0.25">
      <c r="A286" t="e">
        <f>-LqeC6N4cOP4afZNDCTV</f>
        <v>#NAME?</v>
      </c>
      <c r="B286">
        <v>406.25</v>
      </c>
      <c r="C286">
        <v>20.584240000000001</v>
      </c>
      <c r="D286">
        <v>49</v>
      </c>
      <c r="E286">
        <v>0</v>
      </c>
      <c r="F286">
        <v>0</v>
      </c>
      <c r="G286">
        <v>1</v>
      </c>
      <c r="H286" s="4">
        <v>1570518626755</v>
      </c>
      <c r="I286">
        <v>530.625</v>
      </c>
      <c r="J286" s="9">
        <f t="shared" si="4"/>
        <v>43746.590587442122</v>
      </c>
      <c r="K286" s="1"/>
    </row>
    <row r="287" spans="1:11" x14ac:dyDescent="0.25">
      <c r="A287" t="e">
        <f>-LqeC85OXKA-SlA0gFKd</f>
        <v>#NAME?</v>
      </c>
      <c r="B287">
        <v>406.25</v>
      </c>
      <c r="C287">
        <v>20.531590000000001</v>
      </c>
      <c r="D287">
        <v>47</v>
      </c>
      <c r="E287">
        <v>0</v>
      </c>
      <c r="F287">
        <v>0</v>
      </c>
      <c r="G287">
        <v>1</v>
      </c>
      <c r="H287" s="4">
        <v>1570518632945</v>
      </c>
      <c r="I287">
        <v>530.625</v>
      </c>
      <c r="J287" s="9">
        <f t="shared" si="4"/>
        <v>43746.590659085647</v>
      </c>
      <c r="K287" s="1"/>
    </row>
    <row r="288" spans="1:11" x14ac:dyDescent="0.25">
      <c r="A288" t="e">
        <f>-LqeC9jCQN6HW2B87JhP</f>
        <v>#NAME?</v>
      </c>
      <c r="B288">
        <v>406.25</v>
      </c>
      <c r="C288">
        <v>20.584240000000001</v>
      </c>
      <c r="D288">
        <v>45</v>
      </c>
      <c r="E288">
        <v>0</v>
      </c>
      <c r="F288">
        <v>0</v>
      </c>
      <c r="G288">
        <v>1</v>
      </c>
      <c r="H288" s="4">
        <v>1570518640165</v>
      </c>
      <c r="I288">
        <v>530.625</v>
      </c>
      <c r="J288" s="9">
        <f t="shared" si="4"/>
        <v>43746.590742650464</v>
      </c>
      <c r="K288" s="1"/>
    </row>
    <row r="289" spans="1:11" x14ac:dyDescent="0.25">
      <c r="A289" t="e">
        <f>-LqeCBS37fIQDagmcoPg</f>
        <v>#NAME?</v>
      </c>
      <c r="B289">
        <v>403.125</v>
      </c>
      <c r="C289">
        <v>20.584240000000001</v>
      </c>
      <c r="D289">
        <v>45</v>
      </c>
      <c r="E289">
        <v>0</v>
      </c>
      <c r="F289">
        <v>0</v>
      </c>
      <c r="G289">
        <v>1</v>
      </c>
      <c r="H289" s="4">
        <v>1570518647365</v>
      </c>
      <c r="I289">
        <v>529.875</v>
      </c>
      <c r="J289" s="9">
        <f t="shared" si="4"/>
        <v>43746.590825983796</v>
      </c>
      <c r="K289" s="1"/>
    </row>
    <row r="290" spans="1:11" x14ac:dyDescent="0.25">
      <c r="A290" t="e">
        <f>-LqeCDF4zCb9slsV9EvW</f>
        <v>#NAME?</v>
      </c>
      <c r="B290">
        <v>403.125</v>
      </c>
      <c r="C290">
        <v>20.584240000000001</v>
      </c>
      <c r="D290">
        <v>44</v>
      </c>
      <c r="E290">
        <v>0</v>
      </c>
      <c r="F290">
        <v>0</v>
      </c>
      <c r="G290">
        <v>1</v>
      </c>
      <c r="H290" s="4">
        <v>1570518654576</v>
      </c>
      <c r="I290">
        <v>529.875</v>
      </c>
      <c r="J290" s="9">
        <f t="shared" si="4"/>
        <v>43746.590909444443</v>
      </c>
      <c r="K290" s="1"/>
    </row>
    <row r="291" spans="1:11" x14ac:dyDescent="0.25">
      <c r="A291" t="e">
        <f>-LqeCEy4Mb8zckv2Vf9o</f>
        <v>#NAME?</v>
      </c>
      <c r="B291">
        <v>403.125</v>
      </c>
      <c r="C291">
        <v>20.584240000000001</v>
      </c>
      <c r="D291">
        <v>44</v>
      </c>
      <c r="E291">
        <v>0</v>
      </c>
      <c r="F291">
        <v>0</v>
      </c>
      <c r="G291">
        <v>1</v>
      </c>
      <c r="H291" s="4">
        <v>1570518661796</v>
      </c>
      <c r="I291">
        <v>529.875</v>
      </c>
      <c r="J291" s="9">
        <f t="shared" si="4"/>
        <v>43746.590993009253</v>
      </c>
      <c r="K291" s="1"/>
    </row>
    <row r="292" spans="1:11" x14ac:dyDescent="0.25">
      <c r="A292" t="e">
        <f>-LqeCGl3F0TPRyLb9jdT</f>
        <v>#NAME?</v>
      </c>
      <c r="B292">
        <v>406.25</v>
      </c>
      <c r="C292">
        <v>20.584240000000001</v>
      </c>
      <c r="D292">
        <v>44</v>
      </c>
      <c r="E292">
        <v>0</v>
      </c>
      <c r="F292">
        <v>0</v>
      </c>
      <c r="G292">
        <v>1</v>
      </c>
      <c r="H292" s="4">
        <v>1570518669006</v>
      </c>
      <c r="I292">
        <v>530.625</v>
      </c>
      <c r="J292" s="9">
        <f t="shared" si="4"/>
        <v>43746.591076458331</v>
      </c>
      <c r="K292" s="1"/>
    </row>
    <row r="293" spans="1:11" x14ac:dyDescent="0.25">
      <c r="A293" t="e">
        <f>-LqeCIR_r0XFuhQ727gT</f>
        <v>#NAME?</v>
      </c>
      <c r="B293">
        <v>406.25</v>
      </c>
      <c r="C293">
        <v>20.584240000000001</v>
      </c>
      <c r="D293">
        <v>44</v>
      </c>
      <c r="E293">
        <v>0</v>
      </c>
      <c r="F293">
        <v>0</v>
      </c>
      <c r="G293">
        <v>1</v>
      </c>
      <c r="H293" s="4">
        <v>1570518676225</v>
      </c>
      <c r="I293">
        <v>530.8125</v>
      </c>
      <c r="J293" s="9">
        <f t="shared" si="4"/>
        <v>43746.591160011572</v>
      </c>
      <c r="K293" s="1"/>
    </row>
    <row r="294" spans="1:11" x14ac:dyDescent="0.25">
      <c r="A294" t="e">
        <f>-LqeCKW9lv8VnenVdPks</f>
        <v>#NAME?</v>
      </c>
      <c r="B294">
        <v>406.25</v>
      </c>
      <c r="C294">
        <v>20.584240000000001</v>
      </c>
      <c r="D294">
        <v>43</v>
      </c>
      <c r="E294">
        <v>0</v>
      </c>
      <c r="F294">
        <v>0</v>
      </c>
      <c r="G294">
        <v>1</v>
      </c>
      <c r="H294" s="4">
        <v>1570518684530</v>
      </c>
      <c r="I294">
        <v>530.8125</v>
      </c>
      <c r="J294" s="9">
        <f t="shared" si="4"/>
        <v>43746.591256134256</v>
      </c>
      <c r="K294" s="1"/>
    </row>
    <row r="295" spans="1:11" x14ac:dyDescent="0.25">
      <c r="A295" t="e">
        <f>-LqeCME5xb6EzNImPd-i</f>
        <v>#NAME?</v>
      </c>
      <c r="B295">
        <v>425</v>
      </c>
      <c r="C295">
        <v>20.584240000000001</v>
      </c>
      <c r="D295">
        <v>44</v>
      </c>
      <c r="E295">
        <v>0</v>
      </c>
      <c r="F295">
        <v>0</v>
      </c>
      <c r="G295">
        <v>1</v>
      </c>
      <c r="H295" s="4">
        <v>1570518691668</v>
      </c>
      <c r="I295">
        <v>536.625</v>
      </c>
      <c r="J295" s="9">
        <f t="shared" si="4"/>
        <v>43746.591338749997</v>
      </c>
      <c r="K295" s="1"/>
    </row>
    <row r="296" spans="1:11" x14ac:dyDescent="0.25">
      <c r="A296" t="e">
        <f>-LqeCNkmT2kbqrH6xaqe</f>
        <v>#NAME?</v>
      </c>
      <c r="B296">
        <v>406.25</v>
      </c>
      <c r="C296">
        <v>20.584240000000001</v>
      </c>
      <c r="D296">
        <v>46</v>
      </c>
      <c r="E296">
        <v>0</v>
      </c>
      <c r="F296">
        <v>0</v>
      </c>
      <c r="G296">
        <v>1</v>
      </c>
      <c r="H296" s="4">
        <v>1570518697857</v>
      </c>
      <c r="I296">
        <v>530.625</v>
      </c>
      <c r="J296" s="9">
        <f t="shared" si="4"/>
        <v>43746.591410381945</v>
      </c>
      <c r="K296" s="1"/>
    </row>
    <row r="297" spans="1:11" x14ac:dyDescent="0.25">
      <c r="A297" t="e">
        <f>-LqeCPG0-A2ZnkA_MaV2</f>
        <v>#NAME?</v>
      </c>
      <c r="B297">
        <v>406.25</v>
      </c>
      <c r="C297">
        <v>20.584240000000001</v>
      </c>
      <c r="D297">
        <v>46</v>
      </c>
      <c r="E297">
        <v>0</v>
      </c>
      <c r="F297">
        <v>0</v>
      </c>
      <c r="G297">
        <v>1</v>
      </c>
      <c r="H297" s="4">
        <v>1570518704038</v>
      </c>
      <c r="I297">
        <v>530.8125</v>
      </c>
      <c r="J297" s="9">
        <f t="shared" si="4"/>
        <v>43746.591481921292</v>
      </c>
      <c r="K297" s="1"/>
    </row>
    <row r="298" spans="1:11" x14ac:dyDescent="0.25">
      <c r="A298" t="e">
        <f>-LqeCQn4c6LUrX2o18dY</f>
        <v>#NAME?</v>
      </c>
      <c r="B298">
        <v>406.25</v>
      </c>
      <c r="C298">
        <v>20.584240000000001</v>
      </c>
      <c r="D298">
        <v>47</v>
      </c>
      <c r="E298">
        <v>0</v>
      </c>
      <c r="F298">
        <v>0</v>
      </c>
      <c r="G298">
        <v>1</v>
      </c>
      <c r="H298" s="4">
        <v>1570518710247</v>
      </c>
      <c r="I298">
        <v>530.625</v>
      </c>
      <c r="J298" s="9">
        <f t="shared" si="4"/>
        <v>43746.591553784725</v>
      </c>
      <c r="K298" s="1"/>
    </row>
    <row r="299" spans="1:11" x14ac:dyDescent="0.25">
      <c r="A299" t="e">
        <f>-LqeCSLjeIrId6-D32pb</f>
        <v>#NAME?</v>
      </c>
      <c r="B299">
        <v>406.25</v>
      </c>
      <c r="C299">
        <v>20.584240000000001</v>
      </c>
      <c r="D299">
        <v>48</v>
      </c>
      <c r="E299">
        <v>0</v>
      </c>
      <c r="F299">
        <v>0</v>
      </c>
      <c r="G299">
        <v>1</v>
      </c>
      <c r="H299" s="4">
        <v>1570518716408</v>
      </c>
      <c r="I299">
        <v>530.8125</v>
      </c>
      <c r="J299" s="9">
        <f t="shared" si="4"/>
        <v>43746.591625092587</v>
      </c>
      <c r="K299" s="1"/>
    </row>
    <row r="300" spans="1:11" x14ac:dyDescent="0.25">
      <c r="A300" t="e">
        <f>-LqeCU3SJIZYrpeanV5k</f>
        <v>#NAME?</v>
      </c>
      <c r="B300">
        <v>406.25</v>
      </c>
      <c r="C300">
        <v>20.584240000000001</v>
      </c>
      <c r="D300">
        <v>48</v>
      </c>
      <c r="E300">
        <v>0</v>
      </c>
      <c r="F300">
        <v>0</v>
      </c>
      <c r="G300">
        <v>1</v>
      </c>
      <c r="H300" s="4">
        <v>1570518723617</v>
      </c>
      <c r="I300">
        <v>530.625</v>
      </c>
      <c r="J300" s="9">
        <f t="shared" si="4"/>
        <v>43746.59170853009</v>
      </c>
      <c r="K300" s="1"/>
    </row>
    <row r="301" spans="1:11" x14ac:dyDescent="0.25">
      <c r="A301" t="e">
        <f>-LqeCVYrevBrMAH4__vT</f>
        <v>#NAME?</v>
      </c>
      <c r="B301">
        <v>406.25</v>
      </c>
      <c r="C301">
        <v>20.584240000000001</v>
      </c>
      <c r="D301">
        <v>50</v>
      </c>
      <c r="E301">
        <v>0</v>
      </c>
      <c r="F301">
        <v>0</v>
      </c>
      <c r="G301">
        <v>1</v>
      </c>
      <c r="H301" s="4">
        <v>1570518729817</v>
      </c>
      <c r="I301">
        <v>530.8125</v>
      </c>
      <c r="J301" s="9">
        <f t="shared" si="4"/>
        <v>43746.591780289345</v>
      </c>
      <c r="K301" s="1"/>
    </row>
    <row r="302" spans="1:11" x14ac:dyDescent="0.25">
      <c r="A302" t="e">
        <f>-LqeCX3O-S-t5adxrXEs</f>
        <v>#NAME?</v>
      </c>
      <c r="B302">
        <v>421.875</v>
      </c>
      <c r="C302">
        <v>20.584240000000001</v>
      </c>
      <c r="D302">
        <v>50</v>
      </c>
      <c r="E302">
        <v>0</v>
      </c>
      <c r="F302">
        <v>0</v>
      </c>
      <c r="G302">
        <v>1</v>
      </c>
      <c r="H302" s="4">
        <v>1570518735977</v>
      </c>
      <c r="I302">
        <v>535.875</v>
      </c>
      <c r="J302" s="9">
        <f t="shared" si="4"/>
        <v>43746.591851585647</v>
      </c>
      <c r="K302" s="1"/>
    </row>
    <row r="303" spans="1:11" x14ac:dyDescent="0.25">
      <c r="A303" t="e">
        <f>-LqeCY_tKtwTzEK_oEXP</f>
        <v>#NAME?</v>
      </c>
      <c r="B303">
        <v>403.125</v>
      </c>
      <c r="C303">
        <v>20.584240000000001</v>
      </c>
      <c r="D303">
        <v>50</v>
      </c>
      <c r="E303">
        <v>0</v>
      </c>
      <c r="F303">
        <v>0</v>
      </c>
      <c r="G303">
        <v>1</v>
      </c>
      <c r="H303" s="4">
        <v>1570518742252</v>
      </c>
      <c r="I303">
        <v>529.875</v>
      </c>
      <c r="J303" s="9">
        <f t="shared" si="4"/>
        <v>43746.59192421296</v>
      </c>
      <c r="K303" s="1"/>
    </row>
    <row r="304" spans="1:11" x14ac:dyDescent="0.25">
      <c r="A304" t="e">
        <f>-LqeC_30JBZDZq7PALIq</f>
        <v>#NAME?</v>
      </c>
      <c r="B304">
        <v>403.125</v>
      </c>
      <c r="C304">
        <v>20.531590000000001</v>
      </c>
      <c r="D304">
        <v>49</v>
      </c>
      <c r="E304">
        <v>0</v>
      </c>
      <c r="F304">
        <v>0</v>
      </c>
      <c r="G304">
        <v>1</v>
      </c>
      <c r="H304" s="4">
        <v>1570518748381</v>
      </c>
      <c r="I304">
        <v>529.875</v>
      </c>
      <c r="J304" s="9">
        <f t="shared" si="4"/>
        <v>43746.591995150462</v>
      </c>
      <c r="K304" s="1"/>
    </row>
    <row r="305" spans="1:11" x14ac:dyDescent="0.25">
      <c r="A305" t="e">
        <f>-LqeCac9TNDHlU3DFNVP</f>
        <v>#NAME?</v>
      </c>
      <c r="B305">
        <v>403.125</v>
      </c>
      <c r="C305">
        <v>20.584240000000001</v>
      </c>
      <c r="D305">
        <v>49</v>
      </c>
      <c r="E305">
        <v>0</v>
      </c>
      <c r="F305">
        <v>0</v>
      </c>
      <c r="G305">
        <v>1</v>
      </c>
      <c r="H305" s="4">
        <v>1570518754541</v>
      </c>
      <c r="I305">
        <v>529.875</v>
      </c>
      <c r="J305" s="9">
        <f t="shared" si="4"/>
        <v>43746.592066446756</v>
      </c>
      <c r="K305" s="1"/>
    </row>
    <row r="306" spans="1:11" x14ac:dyDescent="0.25">
      <c r="A306" t="e">
        <f>-LqeCcLAG-MPjquscIII</f>
        <v>#NAME?</v>
      </c>
      <c r="B306">
        <v>403.125</v>
      </c>
      <c r="C306">
        <v>20.584240000000001</v>
      </c>
      <c r="D306">
        <v>49</v>
      </c>
      <c r="E306">
        <v>0</v>
      </c>
      <c r="F306">
        <v>0</v>
      </c>
      <c r="G306">
        <v>1</v>
      </c>
      <c r="H306" s="4">
        <v>1570518761761</v>
      </c>
      <c r="I306">
        <v>529.875</v>
      </c>
      <c r="J306" s="9">
        <f t="shared" si="4"/>
        <v>43746.592150011573</v>
      </c>
      <c r="K306" s="1"/>
    </row>
    <row r="307" spans="1:11" x14ac:dyDescent="0.25">
      <c r="A307" t="e">
        <f>-LqeCdu8m2SDcsZ13Q06</f>
        <v>#NAME?</v>
      </c>
      <c r="B307">
        <v>403.125</v>
      </c>
      <c r="C307">
        <v>20.584240000000001</v>
      </c>
      <c r="D307">
        <v>49</v>
      </c>
      <c r="E307">
        <v>0</v>
      </c>
      <c r="F307">
        <v>0</v>
      </c>
      <c r="G307">
        <v>1</v>
      </c>
      <c r="H307" s="4">
        <v>1570518767940</v>
      </c>
      <c r="I307">
        <v>529.125</v>
      </c>
      <c r="J307" s="9">
        <f t="shared" si="4"/>
        <v>43746.592221527775</v>
      </c>
      <c r="K307" s="1"/>
    </row>
    <row r="308" spans="1:11" x14ac:dyDescent="0.25">
      <c r="A308" t="e">
        <f>-LqeCfb5Scv_LhtA78qv</f>
        <v>#NAME?</v>
      </c>
      <c r="B308">
        <v>403.125</v>
      </c>
      <c r="C308">
        <v>20.584240000000001</v>
      </c>
      <c r="D308">
        <v>47</v>
      </c>
      <c r="E308">
        <v>0</v>
      </c>
      <c r="F308">
        <v>0</v>
      </c>
      <c r="G308">
        <v>1</v>
      </c>
      <c r="H308" s="4">
        <v>1570518775121</v>
      </c>
      <c r="I308">
        <v>529.125</v>
      </c>
      <c r="J308" s="9">
        <f t="shared" si="4"/>
        <v>43746.592304641199</v>
      </c>
      <c r="K308" s="1"/>
    </row>
    <row r="309" spans="1:11" x14ac:dyDescent="0.25">
      <c r="A309" t="e">
        <f>-LqeChQ_XBMJF234Ozql</f>
        <v>#NAME?</v>
      </c>
      <c r="B309">
        <v>418.75</v>
      </c>
      <c r="C309">
        <v>20.584240000000001</v>
      </c>
      <c r="D309">
        <v>46</v>
      </c>
      <c r="E309">
        <v>0</v>
      </c>
      <c r="F309">
        <v>0</v>
      </c>
      <c r="G309">
        <v>1</v>
      </c>
      <c r="H309" s="4">
        <v>1570518782360</v>
      </c>
      <c r="I309">
        <v>534.5625</v>
      </c>
      <c r="J309" s="9">
        <f t="shared" si="4"/>
        <v>43746.592388425925</v>
      </c>
      <c r="K309" s="1"/>
    </row>
    <row r="310" spans="1:11" x14ac:dyDescent="0.25">
      <c r="A310" t="e">
        <f>-LqeCj8BtQ6FnOQlpuZv</f>
        <v>#NAME?</v>
      </c>
      <c r="B310">
        <v>403.125</v>
      </c>
      <c r="C310">
        <v>20.584240000000001</v>
      </c>
      <c r="D310">
        <v>45</v>
      </c>
      <c r="E310">
        <v>0</v>
      </c>
      <c r="F310">
        <v>0</v>
      </c>
      <c r="G310">
        <v>1</v>
      </c>
      <c r="H310" s="4">
        <v>1570518789592</v>
      </c>
      <c r="I310">
        <v>529.125</v>
      </c>
      <c r="J310" s="9">
        <f t="shared" si="4"/>
        <v>43746.592472129625</v>
      </c>
      <c r="K310" s="1"/>
    </row>
    <row r="311" spans="1:11" x14ac:dyDescent="0.25">
      <c r="A311" t="e">
        <f>-LqeCkhAi0rLuZb3qwN1</f>
        <v>#NAME?</v>
      </c>
      <c r="B311">
        <v>403.125</v>
      </c>
      <c r="C311">
        <v>20.584240000000001</v>
      </c>
      <c r="D311">
        <v>44</v>
      </c>
      <c r="E311">
        <v>0</v>
      </c>
      <c r="F311">
        <v>0</v>
      </c>
      <c r="G311">
        <v>1</v>
      </c>
      <c r="H311" s="4">
        <v>1570518795779</v>
      </c>
      <c r="I311">
        <v>529.125</v>
      </c>
      <c r="J311" s="9">
        <f t="shared" si="4"/>
        <v>43746.592543738421</v>
      </c>
      <c r="K311" s="1"/>
    </row>
    <row r="312" spans="1:11" x14ac:dyDescent="0.25">
      <c r="A312" t="e">
        <f>-LqeCmOvxj2kdFjqtyuR</f>
        <v>#NAME?</v>
      </c>
      <c r="B312">
        <v>403.125</v>
      </c>
      <c r="C312">
        <v>20.584240000000001</v>
      </c>
      <c r="D312">
        <v>44</v>
      </c>
      <c r="E312">
        <v>0</v>
      </c>
      <c r="F312">
        <v>0</v>
      </c>
      <c r="G312">
        <v>1</v>
      </c>
      <c r="H312" s="4">
        <v>1570518802961</v>
      </c>
      <c r="I312">
        <v>529.125</v>
      </c>
      <c r="J312" s="9">
        <f t="shared" si="4"/>
        <v>43746.592626863428</v>
      </c>
      <c r="K312" s="1"/>
    </row>
    <row r="313" spans="1:11" x14ac:dyDescent="0.25">
      <c r="A313" t="e">
        <f>-LqeCnzIVvts61rXDt2t</f>
        <v>#NAME?</v>
      </c>
      <c r="B313">
        <v>403.125</v>
      </c>
      <c r="C313">
        <v>20.531590000000001</v>
      </c>
      <c r="D313">
        <v>44</v>
      </c>
      <c r="E313">
        <v>0</v>
      </c>
      <c r="F313">
        <v>0</v>
      </c>
      <c r="G313">
        <v>1</v>
      </c>
      <c r="H313" s="4">
        <v>1570518809171</v>
      </c>
      <c r="I313">
        <v>529.125</v>
      </c>
      <c r="J313" s="9">
        <f t="shared" si="4"/>
        <v>43746.592698738423</v>
      </c>
      <c r="K313" s="1"/>
    </row>
    <row r="314" spans="1:11" x14ac:dyDescent="0.25">
      <c r="A314" t="e">
        <f>-LqeCph0jkCmDZgeW-kD</f>
        <v>#NAME?</v>
      </c>
      <c r="B314">
        <v>403.125</v>
      </c>
      <c r="C314">
        <v>20.584240000000001</v>
      </c>
      <c r="D314">
        <v>44</v>
      </c>
      <c r="E314">
        <v>0</v>
      </c>
      <c r="F314">
        <v>0</v>
      </c>
      <c r="G314">
        <v>1</v>
      </c>
      <c r="H314" s="4">
        <v>1570518816372</v>
      </c>
      <c r="I314">
        <v>529.6875</v>
      </c>
      <c r="J314" s="9">
        <f t="shared" si="4"/>
        <v>43746.592782083331</v>
      </c>
      <c r="K314" s="1"/>
    </row>
    <row r="315" spans="1:11" x14ac:dyDescent="0.25">
      <c r="A315" t="e">
        <f>-LqeCrVALgFzzeQ1aMuO</f>
        <v>#NAME?</v>
      </c>
      <c r="B315">
        <v>403.125</v>
      </c>
      <c r="C315">
        <v>20.584240000000001</v>
      </c>
      <c r="D315">
        <v>43</v>
      </c>
      <c r="E315">
        <v>0</v>
      </c>
      <c r="F315">
        <v>0</v>
      </c>
      <c r="G315">
        <v>1</v>
      </c>
      <c r="H315" s="4">
        <v>1570518823580</v>
      </c>
      <c r="I315">
        <v>529.125</v>
      </c>
      <c r="J315" s="9">
        <f t="shared" si="4"/>
        <v>43746.592865509258</v>
      </c>
      <c r="K315" s="1"/>
    </row>
    <row r="316" spans="1:11" x14ac:dyDescent="0.25">
      <c r="A316" t="e">
        <f>-LqeCtC89r7Juz6su0Ym</f>
        <v>#NAME?</v>
      </c>
      <c r="B316">
        <v>403.125</v>
      </c>
      <c r="C316">
        <v>20.584240000000001</v>
      </c>
      <c r="D316">
        <v>40</v>
      </c>
      <c r="E316">
        <v>0</v>
      </c>
      <c r="F316">
        <v>0</v>
      </c>
      <c r="G316">
        <v>1</v>
      </c>
      <c r="H316" s="4">
        <v>1570518830802</v>
      </c>
      <c r="I316">
        <v>529.125</v>
      </c>
      <c r="J316" s="9">
        <f t="shared" si="4"/>
        <v>43746.592949097219</v>
      </c>
      <c r="K316" s="1"/>
    </row>
    <row r="317" spans="1:11" x14ac:dyDescent="0.25">
      <c r="A317" t="e">
        <f>-LqeCumBTPi3r5VoBS0a</f>
        <v>#NAME?</v>
      </c>
      <c r="B317">
        <v>418.75</v>
      </c>
      <c r="C317">
        <v>20.584240000000001</v>
      </c>
      <c r="D317">
        <v>42</v>
      </c>
      <c r="E317">
        <v>0</v>
      </c>
      <c r="F317">
        <v>0</v>
      </c>
      <c r="G317">
        <v>1</v>
      </c>
      <c r="H317" s="4">
        <v>1570518836981</v>
      </c>
      <c r="I317">
        <v>534.5625</v>
      </c>
      <c r="J317" s="9">
        <f t="shared" si="4"/>
        <v>43746.593020613422</v>
      </c>
      <c r="K317" s="1"/>
    </row>
    <row r="318" spans="1:11" x14ac:dyDescent="0.25">
      <c r="A318" t="e">
        <f>-LqeCwV8AzL_g8gs73zL</f>
        <v>#NAME?</v>
      </c>
      <c r="B318">
        <v>403.125</v>
      </c>
      <c r="C318">
        <v>20.584240000000001</v>
      </c>
      <c r="D318">
        <v>43</v>
      </c>
      <c r="E318">
        <v>0</v>
      </c>
      <c r="F318">
        <v>0</v>
      </c>
      <c r="G318">
        <v>1</v>
      </c>
      <c r="H318" s="4">
        <v>1570518844201</v>
      </c>
      <c r="I318">
        <v>529.125</v>
      </c>
      <c r="J318" s="9">
        <f t="shared" si="4"/>
        <v>43746.593104178239</v>
      </c>
      <c r="K318" s="1"/>
    </row>
    <row r="319" spans="1:11" x14ac:dyDescent="0.25">
      <c r="A319" t="e">
        <f>-LqeCyIIOdJmAyWs5tQg</f>
        <v>#NAME?</v>
      </c>
      <c r="B319">
        <v>403.125</v>
      </c>
      <c r="C319">
        <v>20.584240000000001</v>
      </c>
      <c r="D319">
        <v>44</v>
      </c>
      <c r="E319">
        <v>0</v>
      </c>
      <c r="F319">
        <v>0</v>
      </c>
      <c r="G319">
        <v>1</v>
      </c>
      <c r="H319" s="4">
        <v>1570518851401</v>
      </c>
      <c r="I319">
        <v>529.125</v>
      </c>
      <c r="J319" s="9">
        <f t="shared" si="4"/>
        <v>43746.593187511571</v>
      </c>
      <c r="K319" s="1"/>
    </row>
    <row r="320" spans="1:11" x14ac:dyDescent="0.25">
      <c r="A320" t="s">
        <v>25</v>
      </c>
      <c r="B320">
        <v>403.125</v>
      </c>
      <c r="C320">
        <v>20.531590000000001</v>
      </c>
      <c r="D320">
        <v>44</v>
      </c>
      <c r="E320">
        <v>0</v>
      </c>
      <c r="F320">
        <v>0</v>
      </c>
      <c r="G320">
        <v>1</v>
      </c>
      <c r="H320" s="4">
        <v>1570518858641</v>
      </c>
      <c r="I320">
        <v>529.125</v>
      </c>
      <c r="J320" s="9">
        <f t="shared" si="4"/>
        <v>43746.593271307873</v>
      </c>
      <c r="K320" s="1"/>
    </row>
    <row r="321" spans="1:11" x14ac:dyDescent="0.25">
      <c r="A321" t="e">
        <f>-LqeD0oDdIbFVljQser2</f>
        <v>#NAME?</v>
      </c>
      <c r="B321">
        <v>403.125</v>
      </c>
      <c r="C321">
        <v>20.584240000000001</v>
      </c>
      <c r="D321">
        <v>44</v>
      </c>
      <c r="E321">
        <v>0</v>
      </c>
      <c r="F321">
        <v>0</v>
      </c>
      <c r="G321">
        <v>1</v>
      </c>
      <c r="H321" s="4">
        <v>1570518865839</v>
      </c>
      <c r="I321">
        <v>529.125</v>
      </c>
      <c r="J321" s="9">
        <f t="shared" si="4"/>
        <v>43746.593354618053</v>
      </c>
      <c r="K321" s="1"/>
    </row>
    <row r="322" spans="1:11" x14ac:dyDescent="0.25">
      <c r="A322" t="e">
        <f>-LqeD2XAlZELTBCF7Xv1</f>
        <v>#NAME?</v>
      </c>
      <c r="B322">
        <v>403.125</v>
      </c>
      <c r="C322">
        <v>20.584240000000001</v>
      </c>
      <c r="D322">
        <v>42</v>
      </c>
      <c r="E322">
        <v>0</v>
      </c>
      <c r="F322">
        <v>0</v>
      </c>
      <c r="G322">
        <v>1</v>
      </c>
      <c r="H322" s="4">
        <v>1570518873042</v>
      </c>
      <c r="I322">
        <v>529.125</v>
      </c>
      <c r="J322" s="9">
        <f t="shared" si="4"/>
        <v>43746.593437986106</v>
      </c>
      <c r="K322" s="1"/>
    </row>
    <row r="323" spans="1:11" x14ac:dyDescent="0.25">
      <c r="A323" t="e">
        <f>-LqeD4K9m4qNGtEBmPDa</f>
        <v>#NAME?</v>
      </c>
      <c r="B323">
        <v>403.125</v>
      </c>
      <c r="C323">
        <v>20.584240000000001</v>
      </c>
      <c r="D323">
        <v>43</v>
      </c>
      <c r="E323">
        <v>0</v>
      </c>
      <c r="F323">
        <v>0</v>
      </c>
      <c r="G323">
        <v>1</v>
      </c>
      <c r="H323" s="4">
        <v>1570518880261</v>
      </c>
      <c r="I323">
        <v>529.125</v>
      </c>
      <c r="J323" s="9">
        <f t="shared" ref="J323:J386" si="5">(H323/86400000)+25569+(7/24)</f>
        <v>43746.593521539347</v>
      </c>
      <c r="K323" s="1"/>
    </row>
    <row r="324" spans="1:11" x14ac:dyDescent="0.25">
      <c r="A324" t="e">
        <f>-LqeD61zgW9jrB__9_1C</f>
        <v>#NAME?</v>
      </c>
      <c r="B324">
        <v>403.125</v>
      </c>
      <c r="C324">
        <v>20.584240000000001</v>
      </c>
      <c r="D324">
        <v>42</v>
      </c>
      <c r="E324">
        <v>0</v>
      </c>
      <c r="F324">
        <v>0</v>
      </c>
      <c r="G324">
        <v>1</v>
      </c>
      <c r="H324" s="4">
        <v>1570518887440</v>
      </c>
      <c r="I324">
        <v>529.125</v>
      </c>
      <c r="J324" s="9">
        <f t="shared" si="5"/>
        <v>43746.593604629626</v>
      </c>
      <c r="K324" s="1"/>
    </row>
    <row r="325" spans="1:11" x14ac:dyDescent="0.25">
      <c r="A325" t="e">
        <f>-LqeD7bHdhPczdbhb18W</f>
        <v>#NAME?</v>
      </c>
      <c r="B325">
        <v>403.125</v>
      </c>
      <c r="C325">
        <v>20.584240000000001</v>
      </c>
      <c r="D325">
        <v>42</v>
      </c>
      <c r="E325">
        <v>0</v>
      </c>
      <c r="F325">
        <v>0</v>
      </c>
      <c r="G325">
        <v>1</v>
      </c>
      <c r="H325" s="4">
        <v>1570518893630</v>
      </c>
      <c r="I325">
        <v>529.125</v>
      </c>
      <c r="J325" s="9">
        <f t="shared" si="5"/>
        <v>43746.593676273151</v>
      </c>
      <c r="K325" s="1"/>
    </row>
    <row r="326" spans="1:11" x14ac:dyDescent="0.25">
      <c r="A326" t="e">
        <f>-LqeD9K0cw9chauUfVc1</f>
        <v>#NAME?</v>
      </c>
      <c r="B326">
        <v>403.125</v>
      </c>
      <c r="C326">
        <v>20.584240000000001</v>
      </c>
      <c r="D326">
        <v>42</v>
      </c>
      <c r="E326">
        <v>0</v>
      </c>
      <c r="F326">
        <v>0</v>
      </c>
      <c r="G326">
        <v>1</v>
      </c>
      <c r="H326" s="4">
        <v>1570518900880</v>
      </c>
      <c r="I326">
        <v>529.125</v>
      </c>
      <c r="J326" s="9">
        <f t="shared" si="5"/>
        <v>43746.593760185184</v>
      </c>
      <c r="K326" s="1"/>
    </row>
    <row r="327" spans="1:11" x14ac:dyDescent="0.25">
      <c r="A327" t="e">
        <f>-LqeDBR453GL5MKOo55m</f>
        <v>#NAME?</v>
      </c>
      <c r="B327">
        <v>418.75</v>
      </c>
      <c r="C327">
        <v>20.584240000000001</v>
      </c>
      <c r="D327">
        <v>40</v>
      </c>
      <c r="E327">
        <v>0</v>
      </c>
      <c r="F327">
        <v>0</v>
      </c>
      <c r="G327">
        <v>1</v>
      </c>
      <c r="H327" s="4">
        <v>1570518908080</v>
      </c>
      <c r="I327">
        <v>534.75</v>
      </c>
      <c r="J327" s="9">
        <f t="shared" si="5"/>
        <v>43746.593843518516</v>
      </c>
      <c r="K327" s="1"/>
    </row>
    <row r="328" spans="1:11" x14ac:dyDescent="0.25">
      <c r="A328" t="e">
        <f>-LqeDD2fCzVgbPAdIb_m</f>
        <v>#NAME?</v>
      </c>
      <c r="B328">
        <v>403.125</v>
      </c>
      <c r="C328">
        <v>20.584240000000001</v>
      </c>
      <c r="D328">
        <v>39</v>
      </c>
      <c r="E328">
        <v>0</v>
      </c>
      <c r="F328">
        <v>0</v>
      </c>
      <c r="G328">
        <v>1</v>
      </c>
      <c r="H328" s="4">
        <v>1570518916313</v>
      </c>
      <c r="I328">
        <v>529.125</v>
      </c>
      <c r="J328" s="9">
        <f t="shared" si="5"/>
        <v>43746.59393880787</v>
      </c>
      <c r="K328" s="1"/>
    </row>
    <row r="329" spans="1:11" x14ac:dyDescent="0.25">
      <c r="A329" t="e">
        <f>-LqeDEd3PPWAFVOugK13</f>
        <v>#NAME?</v>
      </c>
      <c r="B329">
        <v>418.75</v>
      </c>
      <c r="C329">
        <v>20.584240000000001</v>
      </c>
      <c r="D329">
        <v>39</v>
      </c>
      <c r="E329">
        <v>0</v>
      </c>
      <c r="F329">
        <v>0</v>
      </c>
      <c r="G329">
        <v>1</v>
      </c>
      <c r="H329" s="4">
        <v>1570518922474</v>
      </c>
      <c r="I329">
        <v>534.75</v>
      </c>
      <c r="J329" s="9">
        <f t="shared" si="5"/>
        <v>43746.594010115739</v>
      </c>
      <c r="K329" s="1"/>
    </row>
    <row r="330" spans="1:11" x14ac:dyDescent="0.25">
      <c r="A330" t="e">
        <f>-LqeDGM4Ca253rx937xs</f>
        <v>#NAME?</v>
      </c>
      <c r="B330">
        <v>400</v>
      </c>
      <c r="C330">
        <v>20.584240000000001</v>
      </c>
      <c r="D330">
        <v>40</v>
      </c>
      <c r="E330">
        <v>0</v>
      </c>
      <c r="F330">
        <v>0</v>
      </c>
      <c r="G330">
        <v>1</v>
      </c>
      <c r="H330" s="4">
        <v>1570518929684</v>
      </c>
      <c r="I330">
        <v>528.9375</v>
      </c>
      <c r="J330" s="9">
        <f t="shared" si="5"/>
        <v>43746.594093564818</v>
      </c>
      <c r="K330" s="1"/>
    </row>
    <row r="331" spans="1:11" x14ac:dyDescent="0.25">
      <c r="A331" t="e">
        <f>-LqeDHvMaXPuGc0bmGAc</f>
        <v>#NAME?</v>
      </c>
      <c r="B331">
        <v>403.125</v>
      </c>
      <c r="C331">
        <v>20.584240000000001</v>
      </c>
      <c r="D331">
        <v>40</v>
      </c>
      <c r="E331">
        <v>0</v>
      </c>
      <c r="F331">
        <v>0</v>
      </c>
      <c r="G331">
        <v>1</v>
      </c>
      <c r="H331" s="4">
        <v>1570518935873</v>
      </c>
      <c r="I331">
        <v>529.125</v>
      </c>
      <c r="J331" s="9">
        <f t="shared" si="5"/>
        <v>43746.594165196751</v>
      </c>
      <c r="K331" s="1"/>
    </row>
    <row r="332" spans="1:11" x14ac:dyDescent="0.25">
      <c r="A332" t="e">
        <f>-LqeDJd5_qNvdXKI3y7M</f>
        <v>#NAME?</v>
      </c>
      <c r="B332">
        <v>418.75</v>
      </c>
      <c r="C332">
        <v>20.584240000000001</v>
      </c>
      <c r="D332">
        <v>39</v>
      </c>
      <c r="E332">
        <v>0</v>
      </c>
      <c r="F332">
        <v>0</v>
      </c>
      <c r="G332">
        <v>1</v>
      </c>
      <c r="H332" s="4">
        <v>1570518943105</v>
      </c>
      <c r="I332">
        <v>534.5625</v>
      </c>
      <c r="J332" s="9">
        <f t="shared" si="5"/>
        <v>43746.594248900459</v>
      </c>
      <c r="K332" s="1"/>
    </row>
    <row r="333" spans="1:11" x14ac:dyDescent="0.25">
      <c r="A333" t="e">
        <f>-LqeDLRCkkJ-oQcFW_gI</f>
        <v>#NAME?</v>
      </c>
      <c r="B333">
        <v>400</v>
      </c>
      <c r="C333">
        <v>20.584240000000001</v>
      </c>
      <c r="D333">
        <v>39</v>
      </c>
      <c r="E333">
        <v>0</v>
      </c>
      <c r="F333">
        <v>0</v>
      </c>
      <c r="G333">
        <v>1</v>
      </c>
      <c r="H333" s="4">
        <v>1570518950325</v>
      </c>
      <c r="I333">
        <v>528.9375</v>
      </c>
      <c r="J333" s="9">
        <f t="shared" si="5"/>
        <v>43746.594332465276</v>
      </c>
      <c r="K333" s="1"/>
    </row>
    <row r="334" spans="1:11" x14ac:dyDescent="0.25">
      <c r="A334" t="e">
        <f>-LqeDN9AYIP_Ewm0zv1J</f>
        <v>#NAME?</v>
      </c>
      <c r="B334">
        <v>403.125</v>
      </c>
      <c r="C334">
        <v>20.584240000000001</v>
      </c>
      <c r="D334">
        <v>40</v>
      </c>
      <c r="E334">
        <v>0</v>
      </c>
      <c r="F334">
        <v>0</v>
      </c>
      <c r="G334">
        <v>1</v>
      </c>
      <c r="H334" s="4">
        <v>1570518957518</v>
      </c>
      <c r="I334">
        <v>529.125</v>
      </c>
      <c r="J334" s="9">
        <f t="shared" si="5"/>
        <v>43746.594415717591</v>
      </c>
      <c r="K334" s="1"/>
    </row>
    <row r="335" spans="1:11" x14ac:dyDescent="0.25">
      <c r="A335" t="e">
        <f>-LqeDOgnxQXjYOwmZWF5</f>
        <v>#NAME?</v>
      </c>
      <c r="B335">
        <v>403.125</v>
      </c>
      <c r="C335">
        <v>20.584240000000001</v>
      </c>
      <c r="D335">
        <v>40</v>
      </c>
      <c r="E335">
        <v>0</v>
      </c>
      <c r="F335">
        <v>0</v>
      </c>
      <c r="G335">
        <v>1</v>
      </c>
      <c r="H335" s="4">
        <v>1570518963703</v>
      </c>
      <c r="I335">
        <v>529.875</v>
      </c>
      <c r="J335" s="9">
        <f t="shared" si="5"/>
        <v>43746.594487303235</v>
      </c>
      <c r="K335" s="1"/>
    </row>
    <row r="336" spans="1:11" x14ac:dyDescent="0.25">
      <c r="A336" t="e">
        <f>-LqeDQPWSKy6Hdv-FgGN</f>
        <v>#NAME?</v>
      </c>
      <c r="B336">
        <v>403.125</v>
      </c>
      <c r="C336">
        <v>20.584240000000001</v>
      </c>
      <c r="D336">
        <v>40</v>
      </c>
      <c r="E336">
        <v>0</v>
      </c>
      <c r="F336">
        <v>0</v>
      </c>
      <c r="G336">
        <v>1</v>
      </c>
      <c r="H336" s="4">
        <v>1570518970931</v>
      </c>
      <c r="I336">
        <v>529.875</v>
      </c>
      <c r="J336" s="9">
        <f t="shared" si="5"/>
        <v>43746.594570960646</v>
      </c>
      <c r="K336" s="1"/>
    </row>
    <row r="337" spans="1:11" x14ac:dyDescent="0.25">
      <c r="A337" t="e">
        <f>-LqeDSCnlf_ISgC8ARz6</f>
        <v>#NAME?</v>
      </c>
      <c r="B337">
        <v>428.125</v>
      </c>
      <c r="C337">
        <v>20.584240000000001</v>
      </c>
      <c r="D337">
        <v>40</v>
      </c>
      <c r="E337">
        <v>0</v>
      </c>
      <c r="F337">
        <v>0</v>
      </c>
      <c r="G337">
        <v>1</v>
      </c>
      <c r="H337" s="4">
        <v>1570518978152</v>
      </c>
      <c r="I337">
        <v>537.375</v>
      </c>
      <c r="J337" s="9">
        <f t="shared" si="5"/>
        <v>43746.594654537032</v>
      </c>
      <c r="K337" s="1"/>
    </row>
    <row r="338" spans="1:11" x14ac:dyDescent="0.25">
      <c r="A338" t="e">
        <f>-LqeDTvxgdB_-hUmtSFK</f>
        <v>#NAME?</v>
      </c>
      <c r="B338">
        <v>403.125</v>
      </c>
      <c r="C338">
        <v>20.584240000000001</v>
      </c>
      <c r="D338">
        <v>40</v>
      </c>
      <c r="E338">
        <v>0</v>
      </c>
      <c r="F338">
        <v>0</v>
      </c>
      <c r="G338">
        <v>1</v>
      </c>
      <c r="H338" s="4">
        <v>1570518985354</v>
      </c>
      <c r="I338">
        <v>529.875</v>
      </c>
      <c r="J338" s="9">
        <f t="shared" si="5"/>
        <v>43746.594737893516</v>
      </c>
      <c r="K338" s="1"/>
    </row>
    <row r="339" spans="1:11" x14ac:dyDescent="0.25">
      <c r="A339" t="e">
        <f>-LqeDVkBCvVxD6kiYUlb</f>
        <v>#NAME?</v>
      </c>
      <c r="B339">
        <v>406.25</v>
      </c>
      <c r="C339">
        <v>20.584240000000001</v>
      </c>
      <c r="D339">
        <v>40</v>
      </c>
      <c r="E339">
        <v>0</v>
      </c>
      <c r="F339">
        <v>0</v>
      </c>
      <c r="G339">
        <v>1</v>
      </c>
      <c r="H339" s="4">
        <v>1570518992593</v>
      </c>
      <c r="I339">
        <v>530.625</v>
      </c>
      <c r="J339" s="9">
        <f t="shared" si="5"/>
        <v>43746.594821678234</v>
      </c>
      <c r="K339" s="1"/>
    </row>
    <row r="340" spans="1:11" x14ac:dyDescent="0.25">
      <c r="A340" t="e">
        <f>-LqeDXT4NM1E65II5dfm</f>
        <v>#NAME?</v>
      </c>
      <c r="B340">
        <v>406.25</v>
      </c>
      <c r="C340">
        <v>20.531590000000001</v>
      </c>
      <c r="D340">
        <v>40</v>
      </c>
      <c r="E340">
        <v>0</v>
      </c>
      <c r="F340">
        <v>0</v>
      </c>
      <c r="G340">
        <v>1</v>
      </c>
      <c r="H340" s="4">
        <v>1570518999754</v>
      </c>
      <c r="I340">
        <v>530.8125</v>
      </c>
      <c r="J340" s="9">
        <f t="shared" si="5"/>
        <v>43746.594904560181</v>
      </c>
      <c r="K340" s="1"/>
    </row>
    <row r="341" spans="1:11" x14ac:dyDescent="0.25">
      <c r="A341" t="e">
        <f>-LqeDZ140Mvi8zUbxkpD</f>
        <v>#NAME?</v>
      </c>
      <c r="B341">
        <v>406.25</v>
      </c>
      <c r="C341">
        <v>20.584240000000001</v>
      </c>
      <c r="D341">
        <v>40</v>
      </c>
      <c r="E341">
        <v>0</v>
      </c>
      <c r="F341">
        <v>0</v>
      </c>
      <c r="G341">
        <v>1</v>
      </c>
      <c r="H341" s="4">
        <v>1570519005955</v>
      </c>
      <c r="I341">
        <v>530.625</v>
      </c>
      <c r="J341" s="9">
        <f t="shared" si="5"/>
        <v>43746.594976331013</v>
      </c>
      <c r="K341" s="1"/>
    </row>
    <row r="342" spans="1:11" x14ac:dyDescent="0.25">
      <c r="A342" t="e">
        <f>-LqeD_k2ltj2VHj-#REF!</f>
        <v>#NAME?</v>
      </c>
      <c r="B342">
        <v>434.375</v>
      </c>
      <c r="C342">
        <v>20.584240000000001</v>
      </c>
      <c r="D342">
        <v>43</v>
      </c>
      <c r="E342">
        <v>0</v>
      </c>
      <c r="F342">
        <v>0</v>
      </c>
      <c r="G342">
        <v>1</v>
      </c>
      <c r="H342" s="4">
        <v>1570519013194</v>
      </c>
      <c r="I342">
        <v>539.4375</v>
      </c>
      <c r="J342" s="9">
        <f t="shared" si="5"/>
        <v>43746.595060115738</v>
      </c>
      <c r="K342" s="1"/>
    </row>
    <row r="343" spans="1:11" x14ac:dyDescent="0.25">
      <c r="A343" t="e">
        <f>-LqeDbE3lUr-QBX7f_zS</f>
        <v>#NAME?</v>
      </c>
      <c r="B343">
        <v>406.25</v>
      </c>
      <c r="C343">
        <v>20.584240000000001</v>
      </c>
      <c r="D343">
        <v>41</v>
      </c>
      <c r="E343">
        <v>0</v>
      </c>
      <c r="F343">
        <v>0</v>
      </c>
      <c r="G343">
        <v>1</v>
      </c>
      <c r="H343" s="4">
        <v>1570519019365</v>
      </c>
      <c r="I343">
        <v>530.8125</v>
      </c>
      <c r="J343" s="9">
        <f t="shared" si="5"/>
        <v>43746.595131539354</v>
      </c>
      <c r="K343" s="1"/>
    </row>
    <row r="344" spans="1:11" x14ac:dyDescent="0.25">
      <c r="A344" t="e">
        <f>-LqeDcnE3ADQLYg48QNn</f>
        <v>#NAME?</v>
      </c>
      <c r="B344">
        <v>406.25</v>
      </c>
      <c r="C344">
        <v>20.584240000000001</v>
      </c>
      <c r="D344">
        <v>41</v>
      </c>
      <c r="E344">
        <v>0</v>
      </c>
      <c r="F344">
        <v>0</v>
      </c>
      <c r="G344">
        <v>1</v>
      </c>
      <c r="H344" s="4">
        <v>1570519025515</v>
      </c>
      <c r="I344">
        <v>530.625</v>
      </c>
      <c r="J344" s="9">
        <f t="shared" si="5"/>
        <v>43746.595202719902</v>
      </c>
      <c r="K344" s="1"/>
    </row>
    <row r="345" spans="1:11" x14ac:dyDescent="0.25">
      <c r="A345" t="e">
        <f>-LqeDeHVCXcqJr0M5xjl</f>
        <v>#NAME?</v>
      </c>
      <c r="B345">
        <v>403.125</v>
      </c>
      <c r="C345">
        <v>20.584240000000001</v>
      </c>
      <c r="D345">
        <v>41</v>
      </c>
      <c r="E345">
        <v>0</v>
      </c>
      <c r="F345">
        <v>0</v>
      </c>
      <c r="G345">
        <v>1</v>
      </c>
      <c r="H345" s="4">
        <v>1570519031724</v>
      </c>
      <c r="I345">
        <v>529.875</v>
      </c>
      <c r="J345" s="9">
        <f t="shared" si="5"/>
        <v>43746.595274583327</v>
      </c>
      <c r="K345" s="1"/>
    </row>
    <row r="346" spans="1:11" x14ac:dyDescent="0.25">
      <c r="A346" t="e">
        <f>-LqeDg3uJWxFwBb7NLrf</f>
        <v>#NAME?</v>
      </c>
      <c r="B346">
        <v>421.875</v>
      </c>
      <c r="C346">
        <v>20.584240000000001</v>
      </c>
      <c r="D346">
        <v>41</v>
      </c>
      <c r="E346">
        <v>0</v>
      </c>
      <c r="F346">
        <v>0</v>
      </c>
      <c r="G346">
        <v>1</v>
      </c>
      <c r="H346" s="4">
        <v>1570519038946</v>
      </c>
      <c r="I346">
        <v>535.5</v>
      </c>
      <c r="J346" s="9">
        <f t="shared" si="5"/>
        <v>43746.595358171289</v>
      </c>
      <c r="K346" s="1"/>
    </row>
    <row r="347" spans="1:11" x14ac:dyDescent="0.25">
      <c r="A347" t="s">
        <v>26</v>
      </c>
      <c r="B347">
        <v>403.125</v>
      </c>
      <c r="C347">
        <v>20.584240000000001</v>
      </c>
      <c r="D347">
        <v>42</v>
      </c>
      <c r="E347">
        <v>0</v>
      </c>
      <c r="F347">
        <v>0</v>
      </c>
      <c r="G347">
        <v>1</v>
      </c>
      <c r="H347" s="4">
        <v>1570519046155</v>
      </c>
      <c r="I347">
        <v>529.875</v>
      </c>
      <c r="J347" s="9">
        <f t="shared" si="5"/>
        <v>43746.595441608799</v>
      </c>
      <c r="K347" s="1"/>
    </row>
    <row r="348" spans="1:11" x14ac:dyDescent="0.25">
      <c r="A348" t="e">
        <f>-LqeDja4dQh7Tt2zss24</f>
        <v>#NAME?</v>
      </c>
      <c r="B348">
        <v>403.125</v>
      </c>
      <c r="C348">
        <v>20.584240000000001</v>
      </c>
      <c r="D348">
        <v>42</v>
      </c>
      <c r="E348">
        <v>0</v>
      </c>
      <c r="F348">
        <v>0</v>
      </c>
      <c r="G348">
        <v>1</v>
      </c>
      <c r="H348" s="4">
        <v>1570519053386</v>
      </c>
      <c r="I348">
        <v>529.875</v>
      </c>
      <c r="J348" s="9">
        <f t="shared" si="5"/>
        <v>43746.595525300923</v>
      </c>
      <c r="K348" s="1"/>
    </row>
    <row r="349" spans="1:11" x14ac:dyDescent="0.25">
      <c r="A349" t="e">
        <f>-LqeDlJ2M3eluPog9MzT</f>
        <v>#NAME?</v>
      </c>
      <c r="B349">
        <v>403.125</v>
      </c>
      <c r="C349">
        <v>20.584240000000001</v>
      </c>
      <c r="D349">
        <v>43</v>
      </c>
      <c r="E349">
        <v>0</v>
      </c>
      <c r="F349">
        <v>0</v>
      </c>
      <c r="G349">
        <v>1</v>
      </c>
      <c r="H349" s="4">
        <v>1570519060582</v>
      </c>
      <c r="I349">
        <v>529.875</v>
      </c>
      <c r="J349" s="9">
        <f t="shared" si="5"/>
        <v>43746.595608587959</v>
      </c>
      <c r="K349" s="1"/>
    </row>
    <row r="350" spans="1:11" x14ac:dyDescent="0.25">
      <c r="A350" t="e">
        <f>-LqeDmqdLWx0hKb0CePi</f>
        <v>#NAME?</v>
      </c>
      <c r="B350">
        <v>403.125</v>
      </c>
      <c r="C350">
        <v>20.531590000000001</v>
      </c>
      <c r="D350">
        <v>43</v>
      </c>
      <c r="E350">
        <v>0</v>
      </c>
      <c r="F350">
        <v>0</v>
      </c>
      <c r="G350">
        <v>1</v>
      </c>
      <c r="H350" s="4">
        <v>1570519066745</v>
      </c>
      <c r="I350">
        <v>529.875</v>
      </c>
      <c r="J350" s="9">
        <f t="shared" si="5"/>
        <v>43746.595679918981</v>
      </c>
      <c r="K350" s="1"/>
    </row>
    <row r="351" spans="1:11" x14ac:dyDescent="0.25">
      <c r="A351" t="e">
        <f>-LqeDoa3B-QilcosZskm</f>
        <v>#NAME?</v>
      </c>
      <c r="B351">
        <v>403.125</v>
      </c>
      <c r="C351">
        <v>20.584240000000001</v>
      </c>
      <c r="D351">
        <v>43</v>
      </c>
      <c r="E351">
        <v>0</v>
      </c>
      <c r="F351">
        <v>0</v>
      </c>
      <c r="G351">
        <v>1</v>
      </c>
      <c r="H351" s="4">
        <v>1570519073997</v>
      </c>
      <c r="I351">
        <v>529.875</v>
      </c>
      <c r="J351" s="9">
        <f t="shared" si="5"/>
        <v>43746.595763854166</v>
      </c>
      <c r="K351" s="1"/>
    </row>
    <row r="352" spans="1:11" x14ac:dyDescent="0.25">
      <c r="A352" t="e">
        <f>-LqeDqMeg7GCBXRERQKG</f>
        <v>#NAME?</v>
      </c>
      <c r="B352">
        <v>403.125</v>
      </c>
      <c r="C352">
        <v>20.584240000000001</v>
      </c>
      <c r="D352">
        <v>43</v>
      </c>
      <c r="E352">
        <v>0</v>
      </c>
      <c r="F352">
        <v>0</v>
      </c>
      <c r="G352">
        <v>1</v>
      </c>
      <c r="H352" s="4">
        <v>1570519081194</v>
      </c>
      <c r="I352">
        <v>529.875</v>
      </c>
      <c r="J352" s="9">
        <f t="shared" si="5"/>
        <v>43746.595847152777</v>
      </c>
      <c r="K352" s="1"/>
    </row>
    <row r="353" spans="1:11" x14ac:dyDescent="0.25">
      <c r="A353" t="e">
        <f>-LqeDs64_b82ZcDcyiT2</f>
        <v>#NAME?</v>
      </c>
      <c r="B353">
        <v>406.25</v>
      </c>
      <c r="C353">
        <v>20.584240000000001</v>
      </c>
      <c r="D353">
        <v>43</v>
      </c>
      <c r="E353">
        <v>0</v>
      </c>
      <c r="F353">
        <v>0</v>
      </c>
      <c r="G353">
        <v>1</v>
      </c>
      <c r="H353" s="4">
        <v>1570519088395</v>
      </c>
      <c r="I353">
        <v>530.625</v>
      </c>
      <c r="J353" s="9">
        <f t="shared" si="5"/>
        <v>43746.595930497679</v>
      </c>
      <c r="K353" s="1"/>
    </row>
    <row r="354" spans="1:11" x14ac:dyDescent="0.25">
      <c r="A354" t="e">
        <f>-LqeDtfCyMTtyBL2Efhw</f>
        <v>#NAME?</v>
      </c>
      <c r="B354">
        <v>406.25</v>
      </c>
      <c r="C354">
        <v>20.531590000000001</v>
      </c>
      <c r="D354">
        <v>43</v>
      </c>
      <c r="E354">
        <v>0</v>
      </c>
      <c r="F354">
        <v>0</v>
      </c>
      <c r="G354">
        <v>1</v>
      </c>
      <c r="H354" s="4">
        <v>1570519094585</v>
      </c>
      <c r="I354">
        <v>530.625</v>
      </c>
      <c r="J354" s="9">
        <f t="shared" si="5"/>
        <v>43746.596002141203</v>
      </c>
      <c r="K354" s="1"/>
    </row>
    <row r="355" spans="1:11" x14ac:dyDescent="0.25">
      <c r="A355" t="e">
        <f>-LqeDvO3-DTOX9J1Bbe3</f>
        <v>#NAME?</v>
      </c>
      <c r="B355">
        <v>406.25</v>
      </c>
      <c r="C355">
        <v>20.584240000000001</v>
      </c>
      <c r="D355">
        <v>42</v>
      </c>
      <c r="E355">
        <v>0</v>
      </c>
      <c r="F355">
        <v>0</v>
      </c>
      <c r="G355">
        <v>1</v>
      </c>
      <c r="H355" s="4">
        <v>1570519101805</v>
      </c>
      <c r="I355">
        <v>530.625</v>
      </c>
      <c r="J355" s="9">
        <f t="shared" si="5"/>
        <v>43746.59608570602</v>
      </c>
      <c r="K355" s="1"/>
    </row>
    <row r="356" spans="1:11" x14ac:dyDescent="0.25">
      <c r="A356" t="e">
        <f>-LqeDxB2e27IAc1BOKZC</f>
        <v>#NAME?</v>
      </c>
      <c r="B356">
        <v>425</v>
      </c>
      <c r="C356">
        <v>20.584240000000001</v>
      </c>
      <c r="D356">
        <v>42</v>
      </c>
      <c r="E356">
        <v>0</v>
      </c>
      <c r="F356">
        <v>0</v>
      </c>
      <c r="G356">
        <v>1</v>
      </c>
      <c r="H356" s="4">
        <v>1570519109025</v>
      </c>
      <c r="I356">
        <v>536.625</v>
      </c>
      <c r="J356" s="9">
        <f t="shared" si="5"/>
        <v>43746.59616927083</v>
      </c>
      <c r="K356" s="1"/>
    </row>
    <row r="357" spans="1:11" x14ac:dyDescent="0.25">
      <c r="A357" t="e">
        <f>-LqeDyu27TwLlxjZRmFf</f>
        <v>#NAME?</v>
      </c>
      <c r="B357">
        <v>406.25</v>
      </c>
      <c r="C357">
        <v>20.584240000000001</v>
      </c>
      <c r="D357">
        <v>43</v>
      </c>
      <c r="E357">
        <v>0</v>
      </c>
      <c r="F357">
        <v>0</v>
      </c>
      <c r="G357">
        <v>1</v>
      </c>
      <c r="H357" s="4">
        <v>1570519116235</v>
      </c>
      <c r="I357">
        <v>530.625</v>
      </c>
      <c r="J357" s="9">
        <f t="shared" si="5"/>
        <v>43746.596252719908</v>
      </c>
      <c r="K357" s="1"/>
    </row>
    <row r="358" spans="1:11" x14ac:dyDescent="0.25">
      <c r="A358" t="e">
        <f>-LqeE-#REF!-s8zRwSokZE5</f>
        <v>#NAME?</v>
      </c>
      <c r="B358">
        <v>406.25</v>
      </c>
      <c r="C358">
        <v>20.584240000000001</v>
      </c>
      <c r="D358">
        <v>43</v>
      </c>
      <c r="E358">
        <v>0</v>
      </c>
      <c r="F358">
        <v>0</v>
      </c>
      <c r="G358">
        <v>1</v>
      </c>
      <c r="H358" s="4">
        <v>1570519123444</v>
      </c>
      <c r="I358">
        <v>530.625</v>
      </c>
      <c r="J358" s="9">
        <f t="shared" si="5"/>
        <v>43746.596336157403</v>
      </c>
      <c r="K358" s="1"/>
    </row>
    <row r="359" spans="1:11" x14ac:dyDescent="0.25">
      <c r="A359" t="e">
        <f>-LqeE1Q4aTNraDKdfZXJ</f>
        <v>#NAME?</v>
      </c>
      <c r="B359">
        <v>403.125</v>
      </c>
      <c r="C359">
        <v>20.531590000000001</v>
      </c>
      <c r="D359">
        <v>44</v>
      </c>
      <c r="E359">
        <v>0</v>
      </c>
      <c r="F359">
        <v>0</v>
      </c>
      <c r="G359">
        <v>1</v>
      </c>
      <c r="H359" s="4">
        <v>1570519130636</v>
      </c>
      <c r="I359">
        <v>529.875</v>
      </c>
      <c r="J359" s="9">
        <f t="shared" si="5"/>
        <v>43746.596419398142</v>
      </c>
      <c r="K359" s="1"/>
    </row>
    <row r="360" spans="1:11" x14ac:dyDescent="0.25">
      <c r="A360" t="e">
        <f>-LqeE3XWEb7FhHkyqDSw</f>
        <v>#NAME?</v>
      </c>
      <c r="B360">
        <v>403.125</v>
      </c>
      <c r="C360">
        <v>20.584240000000001</v>
      </c>
      <c r="D360">
        <v>44</v>
      </c>
      <c r="E360">
        <v>0</v>
      </c>
      <c r="F360">
        <v>0</v>
      </c>
      <c r="G360">
        <v>1</v>
      </c>
      <c r="H360" s="4">
        <v>1570519136824</v>
      </c>
      <c r="I360">
        <v>529.875</v>
      </c>
      <c r="J360" s="9">
        <f t="shared" si="5"/>
        <v>43746.596491018521</v>
      </c>
      <c r="K360" s="1"/>
    </row>
    <row r="361" spans="1:11" x14ac:dyDescent="0.25">
      <c r="A361" t="e">
        <f>-LqeE5FBCEfpSVuUUsia</f>
        <v>#NAME?</v>
      </c>
      <c r="B361">
        <v>403.125</v>
      </c>
      <c r="C361">
        <v>20.584240000000001</v>
      </c>
      <c r="D361">
        <v>45</v>
      </c>
      <c r="E361">
        <v>0</v>
      </c>
      <c r="F361">
        <v>0</v>
      </c>
      <c r="G361">
        <v>1</v>
      </c>
      <c r="H361" s="4">
        <v>1570519146114</v>
      </c>
      <c r="I361">
        <v>529.875</v>
      </c>
      <c r="J361" s="9">
        <f t="shared" si="5"/>
        <v>43746.596598541662</v>
      </c>
      <c r="K361" s="1"/>
    </row>
    <row r="362" spans="1:11" x14ac:dyDescent="0.25">
      <c r="A362" t="e">
        <f>-LqeE6weDlHI1YdhRNGu</f>
        <v>#NAME?</v>
      </c>
      <c r="B362">
        <v>403.125</v>
      </c>
      <c r="C362">
        <v>20.584240000000001</v>
      </c>
      <c r="D362">
        <v>45</v>
      </c>
      <c r="E362">
        <v>0</v>
      </c>
      <c r="F362">
        <v>0</v>
      </c>
      <c r="G362">
        <v>1</v>
      </c>
      <c r="H362" s="4">
        <v>1570519153356</v>
      </c>
      <c r="I362">
        <v>529.875</v>
      </c>
      <c r="J362" s="9">
        <f t="shared" si="5"/>
        <v>43746.596682361109</v>
      </c>
      <c r="K362" s="1"/>
    </row>
    <row r="363" spans="1:11" x14ac:dyDescent="0.25">
      <c r="A363" t="e">
        <f>-LqeE8l5JyRgqqmdPn5w</f>
        <v>#NAME?</v>
      </c>
      <c r="B363">
        <v>403.125</v>
      </c>
      <c r="C363">
        <v>20.531590000000001</v>
      </c>
      <c r="D363">
        <v>44</v>
      </c>
      <c r="E363">
        <v>0</v>
      </c>
      <c r="F363">
        <v>0</v>
      </c>
      <c r="G363">
        <v>1</v>
      </c>
      <c r="H363" s="4">
        <v>1570519160544</v>
      </c>
      <c r="I363">
        <v>529.875</v>
      </c>
      <c r="J363" s="9">
        <f t="shared" si="5"/>
        <v>43746.596765555551</v>
      </c>
      <c r="K363" s="1"/>
    </row>
    <row r="364" spans="1:11" x14ac:dyDescent="0.25">
      <c r="A364" t="e">
        <f>-LqeEASp6McJFVmpCi2_</f>
        <v>#NAME?</v>
      </c>
      <c r="B364">
        <v>403.125</v>
      </c>
      <c r="C364">
        <v>20.584240000000001</v>
      </c>
      <c r="D364">
        <v>44</v>
      </c>
      <c r="E364">
        <v>0</v>
      </c>
      <c r="F364">
        <v>0</v>
      </c>
      <c r="G364">
        <v>1</v>
      </c>
      <c r="H364" s="4">
        <v>1570519167757</v>
      </c>
      <c r="I364">
        <v>529.875</v>
      </c>
      <c r="J364" s="9">
        <f t="shared" si="5"/>
        <v>43746.59684903935</v>
      </c>
      <c r="K364" s="1"/>
    </row>
    <row r="365" spans="1:11" x14ac:dyDescent="0.25">
      <c r="A365" t="e">
        <f>-LqeEC24nlo64FapWzHH</f>
        <v>#NAME?</v>
      </c>
      <c r="B365">
        <v>403.125</v>
      </c>
      <c r="C365">
        <v>20.584240000000001</v>
      </c>
      <c r="D365">
        <v>45</v>
      </c>
      <c r="E365">
        <v>0</v>
      </c>
      <c r="F365">
        <v>0</v>
      </c>
      <c r="G365">
        <v>1</v>
      </c>
      <c r="H365" s="4">
        <v>1570519173934</v>
      </c>
      <c r="I365">
        <v>529.875</v>
      </c>
      <c r="J365" s="9">
        <f t="shared" si="5"/>
        <v>43746.5969205324</v>
      </c>
      <c r="K365" s="1"/>
    </row>
    <row r="366" spans="1:11" x14ac:dyDescent="0.25">
      <c r="A366" t="e">
        <f>-LqeEDjqQR7vs_-ZhnDr</f>
        <v>#NAME?</v>
      </c>
      <c r="B366">
        <v>406.25</v>
      </c>
      <c r="C366">
        <v>20.584240000000001</v>
      </c>
      <c r="D366">
        <v>44</v>
      </c>
      <c r="E366">
        <v>0</v>
      </c>
      <c r="F366">
        <v>0</v>
      </c>
      <c r="G366">
        <v>1</v>
      </c>
      <c r="H366" s="4">
        <v>1570519181155</v>
      </c>
      <c r="I366">
        <v>530.0625</v>
      </c>
      <c r="J366" s="9">
        <f t="shared" si="5"/>
        <v>43746.597004108793</v>
      </c>
      <c r="K366" s="1"/>
    </row>
    <row r="367" spans="1:11" x14ac:dyDescent="0.25">
      <c r="A367" t="e">
        <f>-LqeEFZ4CnjwiTBG5wx0</f>
        <v>#NAME?</v>
      </c>
      <c r="B367">
        <v>403.125</v>
      </c>
      <c r="C367">
        <v>20.584240000000001</v>
      </c>
      <c r="D367">
        <v>44</v>
      </c>
      <c r="E367">
        <v>0</v>
      </c>
      <c r="F367">
        <v>0</v>
      </c>
      <c r="G367">
        <v>1</v>
      </c>
      <c r="H367" s="4">
        <v>1570519188364</v>
      </c>
      <c r="I367">
        <v>529.875</v>
      </c>
      <c r="J367" s="9">
        <f t="shared" si="5"/>
        <v>43746.597087546295</v>
      </c>
      <c r="K367" s="1"/>
    </row>
    <row r="368" spans="1:11" x14ac:dyDescent="0.25">
      <c r="A368" t="e">
        <f>-LqeEHGsnV4UEyfgqf9w</f>
        <v>#NAME?</v>
      </c>
      <c r="B368">
        <v>403.125</v>
      </c>
      <c r="C368">
        <v>20.584240000000001</v>
      </c>
      <c r="D368">
        <v>44</v>
      </c>
      <c r="E368">
        <v>0</v>
      </c>
      <c r="F368">
        <v>0</v>
      </c>
      <c r="G368">
        <v>1</v>
      </c>
      <c r="H368" s="4">
        <v>1570519195605</v>
      </c>
      <c r="I368">
        <v>529.875</v>
      </c>
      <c r="J368" s="9">
        <f t="shared" si="5"/>
        <v>43746.597171354166</v>
      </c>
      <c r="K368" s="1"/>
    </row>
    <row r="369" spans="1:11" x14ac:dyDescent="0.25">
      <c r="A369" t="e">
        <f>-LqeEJ44LRiM-ieRDAGY</f>
        <v>#NAME?</v>
      </c>
      <c r="B369">
        <v>403.125</v>
      </c>
      <c r="C369">
        <v>20.584240000000001</v>
      </c>
      <c r="D369">
        <v>44</v>
      </c>
      <c r="E369">
        <v>0</v>
      </c>
      <c r="F369">
        <v>0</v>
      </c>
      <c r="G369">
        <v>1</v>
      </c>
      <c r="H369" s="4">
        <v>1570519202797</v>
      </c>
      <c r="I369">
        <v>529.875</v>
      </c>
      <c r="J369" s="9">
        <f t="shared" si="5"/>
        <v>43746.597254594904</v>
      </c>
      <c r="K369" s="1"/>
    </row>
    <row r="370" spans="1:11" x14ac:dyDescent="0.25">
      <c r="A370" t="e">
        <f>-LqeEKn4AsHihaxoUGJC</f>
        <v>#NAME?</v>
      </c>
      <c r="B370">
        <v>403.125</v>
      </c>
      <c r="C370">
        <v>20.531590000000001</v>
      </c>
      <c r="D370">
        <v>43</v>
      </c>
      <c r="E370">
        <v>0</v>
      </c>
      <c r="F370">
        <v>0</v>
      </c>
      <c r="G370">
        <v>1</v>
      </c>
      <c r="H370" s="4">
        <v>1570519209994</v>
      </c>
      <c r="I370">
        <v>529.125</v>
      </c>
      <c r="J370" s="9">
        <f t="shared" si="5"/>
        <v>43746.597337893516</v>
      </c>
      <c r="K370" s="1"/>
    </row>
    <row r="371" spans="1:11" x14ac:dyDescent="0.25">
      <c r="A371" t="e">
        <f>-LqeEMa4qmpGRZuDXERw</f>
        <v>#NAME?</v>
      </c>
      <c r="B371">
        <v>403.125</v>
      </c>
      <c r="C371">
        <v>20.531590000000001</v>
      </c>
      <c r="D371">
        <v>44</v>
      </c>
      <c r="E371">
        <v>0</v>
      </c>
      <c r="F371">
        <v>0</v>
      </c>
      <c r="G371">
        <v>1</v>
      </c>
      <c r="H371" s="4">
        <v>1570519217215</v>
      </c>
      <c r="I371">
        <v>529.125</v>
      </c>
      <c r="J371" s="9">
        <f t="shared" si="5"/>
        <v>43746.597421469902</v>
      </c>
      <c r="K371" s="1"/>
    </row>
    <row r="372" spans="1:11" x14ac:dyDescent="0.25">
      <c r="A372" t="e">
        <f>-LqeEOHfHLAMBTN8tgXj</f>
        <v>#NAME?</v>
      </c>
      <c r="B372">
        <v>428.125</v>
      </c>
      <c r="C372">
        <v>20.584240000000001</v>
      </c>
      <c r="D372">
        <v>43</v>
      </c>
      <c r="E372">
        <v>0</v>
      </c>
      <c r="F372">
        <v>0</v>
      </c>
      <c r="G372">
        <v>1</v>
      </c>
      <c r="H372" s="4">
        <v>1570519224404</v>
      </c>
      <c r="I372">
        <v>537</v>
      </c>
      <c r="J372" s="9">
        <f t="shared" si="5"/>
        <v>43746.597504675919</v>
      </c>
      <c r="K372" s="1"/>
    </row>
    <row r="373" spans="1:11" x14ac:dyDescent="0.25">
      <c r="A373" t="e">
        <f>-LqeEPsWDNG06da7K2xG</f>
        <v>#NAME?</v>
      </c>
      <c r="B373">
        <v>403.125</v>
      </c>
      <c r="C373">
        <v>20.584240000000001</v>
      </c>
      <c r="D373">
        <v>43</v>
      </c>
      <c r="E373">
        <v>0</v>
      </c>
      <c r="F373">
        <v>0</v>
      </c>
      <c r="G373">
        <v>1</v>
      </c>
      <c r="H373" s="4">
        <v>1570519230585</v>
      </c>
      <c r="I373">
        <v>529.125</v>
      </c>
      <c r="J373" s="9">
        <f t="shared" si="5"/>
        <v>43746.597576215274</v>
      </c>
      <c r="K373" s="1"/>
    </row>
    <row r="374" spans="1:11" x14ac:dyDescent="0.25">
      <c r="A374" t="e">
        <f>-LqeERZfxjLiRDwLNODY</f>
        <v>#NAME?</v>
      </c>
      <c r="B374">
        <v>400</v>
      </c>
      <c r="C374">
        <v>20.584240000000001</v>
      </c>
      <c r="D374">
        <v>44</v>
      </c>
      <c r="E374">
        <v>0</v>
      </c>
      <c r="F374">
        <v>0</v>
      </c>
      <c r="G374">
        <v>1</v>
      </c>
      <c r="H374" s="4">
        <v>1570519237835</v>
      </c>
      <c r="I374">
        <v>528.9375</v>
      </c>
      <c r="J374" s="9">
        <f t="shared" si="5"/>
        <v>43746.597660127314</v>
      </c>
      <c r="K374" s="1"/>
    </row>
    <row r="375" spans="1:11" x14ac:dyDescent="0.25">
      <c r="A375" t="e">
        <f>-LqeETO3sw0Gx8nU2Uru</f>
        <v>#NAME?</v>
      </c>
      <c r="B375">
        <v>400</v>
      </c>
      <c r="C375">
        <v>20.584240000000001</v>
      </c>
      <c r="D375">
        <v>44</v>
      </c>
      <c r="E375">
        <v>0</v>
      </c>
      <c r="F375">
        <v>0</v>
      </c>
      <c r="G375">
        <v>1</v>
      </c>
      <c r="H375" s="4">
        <v>1570519245036</v>
      </c>
      <c r="I375">
        <v>528.1875</v>
      </c>
      <c r="J375" s="9">
        <f t="shared" si="5"/>
        <v>43746.597743472223</v>
      </c>
      <c r="K375" s="1"/>
    </row>
    <row r="376" spans="1:11" x14ac:dyDescent="0.25">
      <c r="A376" t="e">
        <f>-LqeEV4fMz0EATcKzqhe</f>
        <v>#NAME?</v>
      </c>
      <c r="B376">
        <v>400</v>
      </c>
      <c r="C376">
        <v>20.584240000000001</v>
      </c>
      <c r="D376">
        <v>42</v>
      </c>
      <c r="E376">
        <v>0</v>
      </c>
      <c r="F376">
        <v>0</v>
      </c>
      <c r="G376">
        <v>1</v>
      </c>
      <c r="H376" s="4">
        <v>1570519252235</v>
      </c>
      <c r="I376">
        <v>528.1875</v>
      </c>
      <c r="J376" s="9">
        <f t="shared" si="5"/>
        <v>43746.597826793979</v>
      </c>
      <c r="K376" s="1"/>
    </row>
    <row r="377" spans="1:11" x14ac:dyDescent="0.25">
      <c r="A377" t="e">
        <f>-LqeEWf4NRLT8set443x</f>
        <v>#NAME?</v>
      </c>
      <c r="B377">
        <v>400</v>
      </c>
      <c r="C377">
        <v>20.584240000000001</v>
      </c>
      <c r="D377">
        <v>42</v>
      </c>
      <c r="E377">
        <v>0</v>
      </c>
      <c r="F377">
        <v>0</v>
      </c>
      <c r="G377">
        <v>1</v>
      </c>
      <c r="H377" s="4">
        <v>1570519258427</v>
      </c>
      <c r="I377">
        <v>528.1875</v>
      </c>
      <c r="J377" s="9">
        <f t="shared" si="5"/>
        <v>43746.597898460641</v>
      </c>
      <c r="K377" s="1"/>
    </row>
    <row r="378" spans="1:11" x14ac:dyDescent="0.25">
      <c r="A378" t="e">
        <f>-LqeEYMomImov37CxnNy</f>
        <v>#NAME?</v>
      </c>
      <c r="B378">
        <v>400</v>
      </c>
      <c r="C378">
        <v>20.584240000000001</v>
      </c>
      <c r="D378">
        <v>41</v>
      </c>
      <c r="E378">
        <v>0</v>
      </c>
      <c r="F378">
        <v>0</v>
      </c>
      <c r="G378">
        <v>1</v>
      </c>
      <c r="H378" s="4">
        <v>1570519265645</v>
      </c>
      <c r="I378">
        <v>528.1875</v>
      </c>
      <c r="J378" s="9">
        <f t="shared" si="5"/>
        <v>43746.597982002313</v>
      </c>
      <c r="K378" s="1"/>
    </row>
    <row r="379" spans="1:11" x14ac:dyDescent="0.25">
      <c r="A379" t="e">
        <f>-LqeE_9yzGqlWnWs5AP_</f>
        <v>#NAME?</v>
      </c>
      <c r="B379">
        <v>400</v>
      </c>
      <c r="C379">
        <v>20.584240000000001</v>
      </c>
      <c r="D379">
        <v>40</v>
      </c>
      <c r="E379">
        <v>0</v>
      </c>
      <c r="F379">
        <v>0</v>
      </c>
      <c r="G379">
        <v>1</v>
      </c>
      <c r="H379" s="4">
        <v>1570519272854</v>
      </c>
      <c r="I379">
        <v>528.375</v>
      </c>
      <c r="J379" s="9">
        <f t="shared" si="5"/>
        <v>43746.598065439808</v>
      </c>
      <c r="K379" s="1"/>
    </row>
    <row r="380" spans="1:11" x14ac:dyDescent="0.25">
      <c r="A380" t="e">
        <f>-LqeEasehWV1LZsDj-pD</f>
        <v>#NAME?</v>
      </c>
      <c r="B380">
        <v>418.75</v>
      </c>
      <c r="C380">
        <v>20.584240000000001</v>
      </c>
      <c r="D380">
        <v>41</v>
      </c>
      <c r="E380">
        <v>0</v>
      </c>
      <c r="F380">
        <v>0</v>
      </c>
      <c r="G380">
        <v>1</v>
      </c>
      <c r="H380" s="4">
        <v>1570519280075</v>
      </c>
      <c r="I380">
        <v>534.5625</v>
      </c>
      <c r="J380" s="9">
        <f t="shared" si="5"/>
        <v>43746.598149016201</v>
      </c>
      <c r="K380" s="1"/>
    </row>
    <row r="381" spans="1:11" x14ac:dyDescent="0.25">
      <c r="A381" t="e">
        <f>-LqeEch3LizMqRs_H4Ke</f>
        <v>#NAME?</v>
      </c>
      <c r="B381">
        <v>403.125</v>
      </c>
      <c r="C381">
        <v>20.584240000000001</v>
      </c>
      <c r="D381">
        <v>40</v>
      </c>
      <c r="E381">
        <v>0</v>
      </c>
      <c r="F381">
        <v>0</v>
      </c>
      <c r="G381">
        <v>1</v>
      </c>
      <c r="H381" s="4">
        <v>1570519287286</v>
      </c>
      <c r="I381">
        <v>529.125</v>
      </c>
      <c r="J381" s="9">
        <f t="shared" si="5"/>
        <v>43746.598232476848</v>
      </c>
      <c r="K381" s="1"/>
    </row>
    <row r="382" spans="1:11" x14ac:dyDescent="0.25">
      <c r="A382" t="e">
        <f>-LqeEePuEgTvCrR7-JbJ</f>
        <v>#NAME?</v>
      </c>
      <c r="B382">
        <v>403.125</v>
      </c>
      <c r="C382">
        <v>20.584240000000001</v>
      </c>
      <c r="D382">
        <v>41</v>
      </c>
      <c r="E382">
        <v>0</v>
      </c>
      <c r="F382">
        <v>0</v>
      </c>
      <c r="G382">
        <v>1</v>
      </c>
      <c r="H382" s="4">
        <v>1570519294476</v>
      </c>
      <c r="I382">
        <v>529.125</v>
      </c>
      <c r="J382" s="9">
        <f t="shared" si="5"/>
        <v>43746.598315694442</v>
      </c>
      <c r="K382" s="1"/>
    </row>
    <row r="383" spans="1:11" x14ac:dyDescent="0.25">
      <c r="A383" t="e">
        <f>-LqeEfzDygoVPj6jhDLn</f>
        <v>#NAME?</v>
      </c>
      <c r="B383">
        <v>403.125</v>
      </c>
      <c r="C383">
        <v>20.584240000000001</v>
      </c>
      <c r="D383">
        <v>42</v>
      </c>
      <c r="E383">
        <v>0</v>
      </c>
      <c r="F383">
        <v>0</v>
      </c>
      <c r="G383">
        <v>1</v>
      </c>
      <c r="H383" s="4">
        <v>1570519300684</v>
      </c>
      <c r="I383">
        <v>529.125</v>
      </c>
      <c r="J383" s="9">
        <f t="shared" si="5"/>
        <v>43746.598387546292</v>
      </c>
      <c r="K383" s="1"/>
    </row>
    <row r="384" spans="1:11" x14ac:dyDescent="0.25">
      <c r="A384" t="e">
        <f>-LqeEhfq2P2HOpaQ83ss</f>
        <v>#NAME?</v>
      </c>
      <c r="B384">
        <v>403.125</v>
      </c>
      <c r="C384">
        <v>20.584240000000001</v>
      </c>
      <c r="D384">
        <v>41</v>
      </c>
      <c r="E384">
        <v>0</v>
      </c>
      <c r="F384">
        <v>0</v>
      </c>
      <c r="G384">
        <v>1</v>
      </c>
      <c r="H384" s="4">
        <v>1570519307917</v>
      </c>
      <c r="I384">
        <v>529.125</v>
      </c>
      <c r="J384" s="9">
        <f t="shared" si="5"/>
        <v>43746.598471261568</v>
      </c>
      <c r="K384" s="1"/>
    </row>
    <row r="385" spans="1:11" x14ac:dyDescent="0.25">
      <c r="A385" t="e">
        <f>-LqeEjB3rpz1kyJpuxFs</f>
        <v>#NAME?</v>
      </c>
      <c r="B385">
        <v>403.125</v>
      </c>
      <c r="C385">
        <v>20.584240000000001</v>
      </c>
      <c r="D385">
        <v>39</v>
      </c>
      <c r="E385">
        <v>0</v>
      </c>
      <c r="F385">
        <v>0</v>
      </c>
      <c r="G385">
        <v>1</v>
      </c>
      <c r="H385" s="4">
        <v>1570519314074</v>
      </c>
      <c r="I385">
        <v>529.125</v>
      </c>
      <c r="J385" s="9">
        <f t="shared" si="5"/>
        <v>43746.598542523141</v>
      </c>
      <c r="K385" s="1"/>
    </row>
    <row r="386" spans="1:11" x14ac:dyDescent="0.25">
      <c r="A386" t="e">
        <f>-LqeEkiiaZmD2dd4W1Vs</f>
        <v>#NAME?</v>
      </c>
      <c r="B386">
        <v>403.125</v>
      </c>
      <c r="C386">
        <v>20.584240000000001</v>
      </c>
      <c r="D386">
        <v>41</v>
      </c>
      <c r="E386">
        <v>0</v>
      </c>
      <c r="F386">
        <v>0</v>
      </c>
      <c r="G386">
        <v>1</v>
      </c>
      <c r="H386" s="4">
        <v>1570519320255</v>
      </c>
      <c r="I386">
        <v>529.125</v>
      </c>
      <c r="J386" s="9">
        <f t="shared" si="5"/>
        <v>43746.598614062495</v>
      </c>
      <c r="K386" s="1"/>
    </row>
    <row r="387" spans="1:11" x14ac:dyDescent="0.25">
      <c r="A387" t="s">
        <v>27</v>
      </c>
      <c r="B387">
        <v>403.125</v>
      </c>
      <c r="C387">
        <v>20.531590000000001</v>
      </c>
      <c r="D387">
        <v>40</v>
      </c>
      <c r="E387">
        <v>0</v>
      </c>
      <c r="F387">
        <v>0</v>
      </c>
      <c r="G387">
        <v>1</v>
      </c>
      <c r="H387" s="4">
        <v>1570519326446</v>
      </c>
      <c r="I387">
        <v>529.125</v>
      </c>
      <c r="J387" s="9">
        <f t="shared" ref="J387:J450" si="6">(H387/86400000)+25569+(7/24)</f>
        <v>43746.598685717589</v>
      </c>
      <c r="K387" s="1"/>
    </row>
    <row r="388" spans="1:11" x14ac:dyDescent="0.25">
      <c r="A388" t="s">
        <v>28</v>
      </c>
      <c r="B388">
        <v>403.125</v>
      </c>
      <c r="C388">
        <v>20.584240000000001</v>
      </c>
      <c r="D388">
        <v>40</v>
      </c>
      <c r="E388">
        <v>0</v>
      </c>
      <c r="F388">
        <v>0</v>
      </c>
      <c r="G388">
        <v>1</v>
      </c>
      <c r="H388" s="4">
        <v>1570519333654</v>
      </c>
      <c r="I388">
        <v>529.125</v>
      </c>
      <c r="J388" s="9">
        <f t="shared" si="6"/>
        <v>43746.598769143515</v>
      </c>
      <c r="K388" s="1"/>
    </row>
    <row r="389" spans="1:11" x14ac:dyDescent="0.25">
      <c r="A389" t="e">
        <f>-LqeEpkDug7gs-Yk_G4T</f>
        <v>#NAME?</v>
      </c>
      <c r="B389">
        <v>403.125</v>
      </c>
      <c r="C389">
        <v>20.531590000000001</v>
      </c>
      <c r="D389">
        <v>42</v>
      </c>
      <c r="E389">
        <v>0</v>
      </c>
      <c r="F389">
        <v>0</v>
      </c>
      <c r="G389">
        <v>1</v>
      </c>
      <c r="H389" s="4">
        <v>1570519340876</v>
      </c>
      <c r="I389">
        <v>529.125</v>
      </c>
      <c r="J389" s="9">
        <f t="shared" si="6"/>
        <v>43746.598852731484</v>
      </c>
      <c r="K389" s="1"/>
    </row>
    <row r="390" spans="1:11" x14ac:dyDescent="0.25">
      <c r="A390" t="e">
        <f>-LqeErXw0BXfgHXmJPcq</f>
        <v>#NAME?</v>
      </c>
      <c r="B390">
        <v>403.125</v>
      </c>
      <c r="C390">
        <v>20.584240000000001</v>
      </c>
      <c r="D390">
        <v>42</v>
      </c>
      <c r="E390">
        <v>0</v>
      </c>
      <c r="F390">
        <v>0</v>
      </c>
      <c r="G390">
        <v>1</v>
      </c>
      <c r="H390" s="4">
        <v>1570519348086</v>
      </c>
      <c r="I390">
        <v>529.125</v>
      </c>
      <c r="J390" s="9">
        <f t="shared" si="6"/>
        <v>43746.598936180548</v>
      </c>
      <c r="K390" s="1"/>
    </row>
    <row r="391" spans="1:11" x14ac:dyDescent="0.25">
      <c r="A391" t="e">
        <f>-LqeEtGCoEAjGO5k73Dx</f>
        <v>#NAME?</v>
      </c>
      <c r="B391">
        <v>418.75</v>
      </c>
      <c r="C391">
        <v>20.584240000000001</v>
      </c>
      <c r="D391">
        <v>41</v>
      </c>
      <c r="E391">
        <v>0</v>
      </c>
      <c r="F391">
        <v>0</v>
      </c>
      <c r="G391">
        <v>1</v>
      </c>
      <c r="H391" s="4">
        <v>1570519355285</v>
      </c>
      <c r="I391">
        <v>534.5625</v>
      </c>
      <c r="J391" s="9">
        <f t="shared" si="6"/>
        <v>43746.599019502311</v>
      </c>
      <c r="K391" s="1"/>
    </row>
    <row r="392" spans="1:11" x14ac:dyDescent="0.25">
      <c r="A392" t="e">
        <f>-LqeEup43b0PDMyptORb</f>
        <v>#NAME?</v>
      </c>
      <c r="B392">
        <v>400</v>
      </c>
      <c r="C392">
        <v>20.584240000000001</v>
      </c>
      <c r="D392">
        <v>41</v>
      </c>
      <c r="E392">
        <v>0</v>
      </c>
      <c r="F392">
        <v>0</v>
      </c>
      <c r="G392">
        <v>1</v>
      </c>
      <c r="H392" s="4">
        <v>1570519361476</v>
      </c>
      <c r="I392">
        <v>528.1875</v>
      </c>
      <c r="J392" s="9">
        <f t="shared" si="6"/>
        <v>43746.599091157404</v>
      </c>
      <c r="K392" s="1"/>
    </row>
    <row r="393" spans="1:11" x14ac:dyDescent="0.25">
      <c r="A393" t="e">
        <f>-LqeEwYPKl0AoFaTuwEF</f>
        <v>#NAME?</v>
      </c>
      <c r="B393">
        <v>400</v>
      </c>
      <c r="C393">
        <v>20.584240000000001</v>
      </c>
      <c r="D393">
        <v>39</v>
      </c>
      <c r="E393">
        <v>0</v>
      </c>
      <c r="F393">
        <v>0</v>
      </c>
      <c r="G393">
        <v>1</v>
      </c>
      <c r="H393" s="4">
        <v>1570519368715</v>
      </c>
      <c r="I393">
        <v>528.1875</v>
      </c>
      <c r="J393" s="9">
        <f t="shared" si="6"/>
        <v>43746.59917494213</v>
      </c>
      <c r="K393" s="1"/>
    </row>
    <row r="394" spans="1:11" x14ac:dyDescent="0.25">
      <c r="A394" t="e">
        <f>-LqeEye5pwtCMrKqGSWj</f>
        <v>#NAME?</v>
      </c>
      <c r="B394">
        <v>400</v>
      </c>
      <c r="C394">
        <v>20.584240000000001</v>
      </c>
      <c r="D394">
        <v>39</v>
      </c>
      <c r="E394">
        <v>0</v>
      </c>
      <c r="F394">
        <v>0</v>
      </c>
      <c r="G394">
        <v>1</v>
      </c>
      <c r="H394" s="4">
        <v>1570519377274</v>
      </c>
      <c r="I394">
        <v>528.375</v>
      </c>
      <c r="J394" s="9">
        <f t="shared" si="6"/>
        <v>43746.599274004628</v>
      </c>
      <c r="K394" s="1"/>
    </row>
    <row r="395" spans="1:11" x14ac:dyDescent="0.25">
      <c r="A395" t="e">
        <f>-LqeF-I6Xv5Jsvj37rHV</f>
        <v>#NAME?</v>
      </c>
      <c r="B395">
        <v>400</v>
      </c>
      <c r="C395">
        <v>20.584240000000001</v>
      </c>
      <c r="D395">
        <v>40</v>
      </c>
      <c r="E395">
        <v>0</v>
      </c>
      <c r="F395">
        <v>0</v>
      </c>
      <c r="G395">
        <v>1</v>
      </c>
      <c r="H395" s="4">
        <v>1570519384157</v>
      </c>
      <c r="I395">
        <v>528.1875</v>
      </c>
      <c r="J395" s="9">
        <f t="shared" si="6"/>
        <v>43746.599353668978</v>
      </c>
      <c r="K395" s="1"/>
    </row>
    <row r="396" spans="1:11" x14ac:dyDescent="0.25">
      <c r="A396" t="e">
        <f>-LqeF0r5AlYiJUEZXEHe</f>
        <v>#NAME?</v>
      </c>
      <c r="B396">
        <v>400</v>
      </c>
      <c r="C396">
        <v>20.584240000000001</v>
      </c>
      <c r="D396">
        <v>39</v>
      </c>
      <c r="E396">
        <v>0</v>
      </c>
      <c r="F396">
        <v>0</v>
      </c>
      <c r="G396">
        <v>1</v>
      </c>
      <c r="H396" s="4">
        <v>1570519390338</v>
      </c>
      <c r="I396">
        <v>528.1875</v>
      </c>
      <c r="J396" s="9">
        <f t="shared" si="6"/>
        <v>43746.599425208326</v>
      </c>
      <c r="K396" s="1"/>
    </row>
    <row r="397" spans="1:11" x14ac:dyDescent="0.25">
      <c r="A397" t="e">
        <f>-LqeF2Z-bDd3GKNoMnqG</f>
        <v>#NAME?</v>
      </c>
      <c r="B397">
        <v>400</v>
      </c>
      <c r="C397">
        <v>20.531590000000001</v>
      </c>
      <c r="D397">
        <v>39</v>
      </c>
      <c r="E397">
        <v>0</v>
      </c>
      <c r="F397">
        <v>0</v>
      </c>
      <c r="G397">
        <v>1</v>
      </c>
      <c r="H397" s="4">
        <v>1570519397526</v>
      </c>
      <c r="I397">
        <v>528.1875</v>
      </c>
      <c r="J397" s="9">
        <f t="shared" si="6"/>
        <v>43746.599508402775</v>
      </c>
      <c r="K397" s="1"/>
    </row>
    <row r="398" spans="1:11" x14ac:dyDescent="0.25">
      <c r="A398" t="e">
        <f>-LqeF46rqdtQ2jxCkow_</f>
        <v>#NAME?</v>
      </c>
      <c r="B398">
        <v>400</v>
      </c>
      <c r="C398">
        <v>20.584240000000001</v>
      </c>
      <c r="D398">
        <v>39</v>
      </c>
      <c r="E398">
        <v>0</v>
      </c>
      <c r="F398">
        <v>0</v>
      </c>
      <c r="G398">
        <v>1</v>
      </c>
      <c r="H398" s="4">
        <v>1570519403717</v>
      </c>
      <c r="I398">
        <v>528.1875</v>
      </c>
      <c r="J398" s="9">
        <f t="shared" si="6"/>
        <v>43746.599580057868</v>
      </c>
      <c r="K398" s="1"/>
    </row>
    <row r="399" spans="1:11" x14ac:dyDescent="0.25">
      <c r="A399" t="e">
        <f>-LqeF5r5RXVZj90y0r0a</f>
        <v>#NAME?</v>
      </c>
      <c r="B399">
        <v>400</v>
      </c>
      <c r="C399">
        <v>20.584240000000001</v>
      </c>
      <c r="D399">
        <v>40</v>
      </c>
      <c r="E399">
        <v>0</v>
      </c>
      <c r="F399">
        <v>0</v>
      </c>
      <c r="G399">
        <v>1</v>
      </c>
      <c r="H399" s="4">
        <v>1570519410958</v>
      </c>
      <c r="I399">
        <v>528.1875</v>
      </c>
      <c r="J399" s="9">
        <f t="shared" si="6"/>
        <v>43746.599663865738</v>
      </c>
      <c r="K399" s="1"/>
    </row>
    <row r="400" spans="1:11" x14ac:dyDescent="0.25">
      <c r="A400" t="e">
        <f>-LqeF7e5FbuRJkC254eR</f>
        <v>#NAME?</v>
      </c>
      <c r="B400">
        <v>400</v>
      </c>
      <c r="C400">
        <v>20.584240000000001</v>
      </c>
      <c r="D400">
        <v>39</v>
      </c>
      <c r="E400">
        <v>0</v>
      </c>
      <c r="F400">
        <v>0</v>
      </c>
      <c r="G400">
        <v>1</v>
      </c>
      <c r="H400" s="4">
        <v>1570519418158</v>
      </c>
      <c r="I400">
        <v>528.1875</v>
      </c>
      <c r="J400" s="9">
        <f t="shared" si="6"/>
        <v>43746.59974719907</v>
      </c>
      <c r="K400" s="1"/>
    </row>
    <row r="401" spans="1:11" x14ac:dyDescent="0.25">
      <c r="A401" t="e">
        <f>-LqeF9N3oYKOuuUyWE9t</f>
        <v>#NAME?</v>
      </c>
      <c r="B401">
        <v>403.125</v>
      </c>
      <c r="C401">
        <v>20.584240000000001</v>
      </c>
      <c r="D401">
        <v>37</v>
      </c>
      <c r="E401">
        <v>0</v>
      </c>
      <c r="F401">
        <v>0</v>
      </c>
      <c r="G401">
        <v>1</v>
      </c>
      <c r="H401" s="4">
        <v>1570519425358</v>
      </c>
      <c r="I401">
        <v>529.125</v>
      </c>
      <c r="J401" s="9">
        <f t="shared" si="6"/>
        <v>43746.59983053241</v>
      </c>
      <c r="K401" s="1"/>
    </row>
    <row r="402" spans="1:11" x14ac:dyDescent="0.25">
      <c r="A402" t="e">
        <f>-LqeFAvxSjBEUb9ccxoQ</f>
        <v>#NAME?</v>
      </c>
      <c r="B402">
        <v>403.125</v>
      </c>
      <c r="C402">
        <v>20.584240000000001</v>
      </c>
      <c r="D402">
        <v>37</v>
      </c>
      <c r="E402">
        <v>0</v>
      </c>
      <c r="F402">
        <v>0</v>
      </c>
      <c r="G402">
        <v>1</v>
      </c>
      <c r="H402" s="4">
        <v>1570519431546</v>
      </c>
      <c r="I402">
        <v>529.125</v>
      </c>
      <c r="J402" s="9">
        <f t="shared" si="6"/>
        <v>43746.599902152775</v>
      </c>
      <c r="K402" s="1"/>
    </row>
    <row r="403" spans="1:11" x14ac:dyDescent="0.25">
      <c r="A403" t="e">
        <f>-LqeFCe57-BdXUtK1dKb</f>
        <v>#NAME?</v>
      </c>
      <c r="B403">
        <v>403.125</v>
      </c>
      <c r="C403">
        <v>20.584240000000001</v>
      </c>
      <c r="D403">
        <v>38</v>
      </c>
      <c r="E403">
        <v>0</v>
      </c>
      <c r="F403">
        <v>0</v>
      </c>
      <c r="G403">
        <v>1</v>
      </c>
      <c r="H403" s="4">
        <v>1570519438766</v>
      </c>
      <c r="I403">
        <v>529.125</v>
      </c>
      <c r="J403" s="9">
        <f t="shared" si="6"/>
        <v>43746.599985717585</v>
      </c>
      <c r="K403" s="1"/>
    </row>
    <row r="404" spans="1:11" x14ac:dyDescent="0.25">
      <c r="A404" t="e">
        <f>-LqeFES5J-UKlMBsnlgZ</f>
        <v>#NAME?</v>
      </c>
      <c r="B404">
        <v>418.75</v>
      </c>
      <c r="C404">
        <v>20.584240000000001</v>
      </c>
      <c r="D404">
        <v>39</v>
      </c>
      <c r="E404">
        <v>0</v>
      </c>
      <c r="F404">
        <v>0</v>
      </c>
      <c r="G404">
        <v>1</v>
      </c>
      <c r="H404" s="4">
        <v>1570519445978</v>
      </c>
      <c r="I404">
        <v>534.5625</v>
      </c>
      <c r="J404" s="9">
        <f t="shared" si="6"/>
        <v>43746.600069189815</v>
      </c>
      <c r="K404" s="1"/>
    </row>
    <row r="405" spans="1:11" x14ac:dyDescent="0.25">
      <c r="A405" t="e">
        <f>-LqeFGA5YN4FXZQ0Hyre</f>
        <v>#NAME?</v>
      </c>
      <c r="B405">
        <v>403.125</v>
      </c>
      <c r="C405">
        <v>20.584240000000001</v>
      </c>
      <c r="D405">
        <v>39</v>
      </c>
      <c r="E405">
        <v>0</v>
      </c>
      <c r="F405">
        <v>0</v>
      </c>
      <c r="G405">
        <v>1</v>
      </c>
      <c r="H405" s="4">
        <v>1570519453198</v>
      </c>
      <c r="I405">
        <v>529.125</v>
      </c>
      <c r="J405" s="9">
        <f t="shared" si="6"/>
        <v>43746.600152754625</v>
      </c>
      <c r="K405" s="1"/>
    </row>
    <row r="406" spans="1:11" x14ac:dyDescent="0.25">
      <c r="A406" t="e">
        <f>-LqeFICC0X-MOk00bTSA</f>
        <v>#NAME?</v>
      </c>
      <c r="B406">
        <v>403.125</v>
      </c>
      <c r="C406">
        <v>20.584240000000001</v>
      </c>
      <c r="D406">
        <v>38</v>
      </c>
      <c r="E406">
        <v>0</v>
      </c>
      <c r="F406">
        <v>0</v>
      </c>
      <c r="G406">
        <v>1</v>
      </c>
      <c r="H406" s="4">
        <v>1570519461117</v>
      </c>
      <c r="I406">
        <v>529.125</v>
      </c>
      <c r="J406" s="9">
        <f t="shared" si="6"/>
        <v>43746.600244409718</v>
      </c>
      <c r="K406" s="1"/>
    </row>
    <row r="407" spans="1:11" x14ac:dyDescent="0.25">
      <c r="A407" t="e">
        <f>-LqeFJu1JqTZdSw8twEJ</f>
        <v>#NAME?</v>
      </c>
      <c r="B407">
        <v>400</v>
      </c>
      <c r="C407">
        <v>20.584240000000001</v>
      </c>
      <c r="D407">
        <v>38</v>
      </c>
      <c r="E407">
        <v>0</v>
      </c>
      <c r="F407">
        <v>0</v>
      </c>
      <c r="G407">
        <v>1</v>
      </c>
      <c r="H407" s="4">
        <v>1570519468619</v>
      </c>
      <c r="I407">
        <v>528.1875</v>
      </c>
      <c r="J407" s="9">
        <f t="shared" si="6"/>
        <v>43746.60033123842</v>
      </c>
      <c r="K407" s="1"/>
    </row>
    <row r="408" spans="1:11" x14ac:dyDescent="0.25">
      <c r="A408" t="e">
        <f>-LqeFLSrs1XoDoMtHDpi</f>
        <v>#NAME?</v>
      </c>
      <c r="B408">
        <v>400</v>
      </c>
      <c r="C408">
        <v>20.531590000000001</v>
      </c>
      <c r="D408">
        <v>39</v>
      </c>
      <c r="E408">
        <v>0</v>
      </c>
      <c r="F408">
        <v>0</v>
      </c>
      <c r="G408">
        <v>1</v>
      </c>
      <c r="H408" s="4">
        <v>1570519474838</v>
      </c>
      <c r="I408">
        <v>528.375</v>
      </c>
      <c r="J408" s="9">
        <f t="shared" si="6"/>
        <v>43746.600403217592</v>
      </c>
      <c r="K408" s="1"/>
    </row>
    <row r="409" spans="1:11" x14ac:dyDescent="0.25">
      <c r="A409" t="e">
        <f>-LqeFNH3Y_ogzl97XbYC</f>
        <v>#NAME?</v>
      </c>
      <c r="B409">
        <v>400</v>
      </c>
      <c r="C409">
        <v>20.584240000000001</v>
      </c>
      <c r="D409">
        <v>38</v>
      </c>
      <c r="E409">
        <v>0</v>
      </c>
      <c r="F409">
        <v>0</v>
      </c>
      <c r="G409">
        <v>1</v>
      </c>
      <c r="H409" s="4">
        <v>1570519482086</v>
      </c>
      <c r="I409">
        <v>528.1875</v>
      </c>
      <c r="J409" s="9">
        <f t="shared" si="6"/>
        <v>43746.60048710648</v>
      </c>
      <c r="K409" s="1"/>
    </row>
    <row r="410" spans="1:11" x14ac:dyDescent="0.25">
      <c r="A410" t="e">
        <f>-LqeFOyqqWdKRByEmYI8</f>
        <v>#NAME?</v>
      </c>
      <c r="B410">
        <v>400</v>
      </c>
      <c r="C410">
        <v>20.584240000000001</v>
      </c>
      <c r="D410">
        <v>38</v>
      </c>
      <c r="E410">
        <v>0</v>
      </c>
      <c r="F410">
        <v>0</v>
      </c>
      <c r="G410">
        <v>1</v>
      </c>
      <c r="H410" s="4">
        <v>1570519489267</v>
      </c>
      <c r="I410">
        <v>528.9375</v>
      </c>
      <c r="J410" s="9">
        <f t="shared" si="6"/>
        <v>43746.600570219904</v>
      </c>
      <c r="K410" s="1"/>
    </row>
    <row r="411" spans="1:11" x14ac:dyDescent="0.25">
      <c r="A411" t="e">
        <f>-LqeFQi3l5huanW2ZIZB</f>
        <v>#NAME?</v>
      </c>
      <c r="B411">
        <v>400</v>
      </c>
      <c r="C411">
        <v>20.584240000000001</v>
      </c>
      <c r="D411">
        <v>38</v>
      </c>
      <c r="E411">
        <v>0</v>
      </c>
      <c r="F411">
        <v>0</v>
      </c>
      <c r="G411">
        <v>1</v>
      </c>
      <c r="H411" s="4">
        <v>1570519496478</v>
      </c>
      <c r="I411">
        <v>528.9375</v>
      </c>
      <c r="J411" s="9">
        <f t="shared" si="6"/>
        <v>43746.600653680558</v>
      </c>
      <c r="K411" s="1"/>
    </row>
    <row r="412" spans="1:11" x14ac:dyDescent="0.25">
      <c r="A412" t="s">
        <v>29</v>
      </c>
      <c r="B412">
        <v>403.125</v>
      </c>
      <c r="C412">
        <v>20.584240000000001</v>
      </c>
      <c r="D412">
        <v>39</v>
      </c>
      <c r="E412">
        <v>0</v>
      </c>
      <c r="F412">
        <v>0</v>
      </c>
      <c r="G412">
        <v>1</v>
      </c>
      <c r="H412" s="4">
        <v>1570519502670</v>
      </c>
      <c r="I412">
        <v>529.125</v>
      </c>
      <c r="J412" s="9">
        <f t="shared" si="6"/>
        <v>43746.60072534722</v>
      </c>
      <c r="K412" s="1"/>
    </row>
    <row r="413" spans="1:11" x14ac:dyDescent="0.25">
      <c r="A413" t="e">
        <f>-LqeFU-OJ9C21DJ_n7gr</f>
        <v>#NAME?</v>
      </c>
      <c r="B413">
        <v>403.125</v>
      </c>
      <c r="C413">
        <v>20.531590000000001</v>
      </c>
      <c r="D413">
        <v>39</v>
      </c>
      <c r="E413">
        <v>0</v>
      </c>
      <c r="F413">
        <v>0</v>
      </c>
      <c r="G413">
        <v>1</v>
      </c>
      <c r="H413" s="4">
        <v>1570519509850</v>
      </c>
      <c r="I413">
        <v>529.125</v>
      </c>
      <c r="J413" s="9">
        <f t="shared" si="6"/>
        <v>43746.600808449068</v>
      </c>
      <c r="K413" s="1"/>
    </row>
    <row r="414" spans="1:11" x14ac:dyDescent="0.25">
      <c r="A414" t="e">
        <f>-LqeFVYMUPhv_ru91_ZH</f>
        <v>#NAME?</v>
      </c>
      <c r="B414">
        <v>403.125</v>
      </c>
      <c r="C414">
        <v>20.531590000000001</v>
      </c>
      <c r="D414">
        <v>39</v>
      </c>
      <c r="E414">
        <v>0</v>
      </c>
      <c r="F414">
        <v>0</v>
      </c>
      <c r="G414">
        <v>1</v>
      </c>
      <c r="H414" s="4">
        <v>1570519516057</v>
      </c>
      <c r="I414">
        <v>529.125</v>
      </c>
      <c r="J414" s="9">
        <f t="shared" si="6"/>
        <v>43746.600880289348</v>
      </c>
      <c r="K414" s="1"/>
    </row>
    <row r="415" spans="1:11" x14ac:dyDescent="0.25">
      <c r="A415" t="e">
        <f>-LqeFXH5VZsVJ7RI7rjV</f>
        <v>#NAME?</v>
      </c>
      <c r="B415">
        <v>403.125</v>
      </c>
      <c r="C415">
        <v>20.584240000000001</v>
      </c>
      <c r="D415">
        <v>37</v>
      </c>
      <c r="E415">
        <v>0</v>
      </c>
      <c r="F415">
        <v>0</v>
      </c>
      <c r="G415">
        <v>1</v>
      </c>
      <c r="H415" s="4">
        <v>1570519523276</v>
      </c>
      <c r="I415">
        <v>529.125</v>
      </c>
      <c r="J415" s="9">
        <f t="shared" si="6"/>
        <v>43746.600963842589</v>
      </c>
      <c r="K415" s="1"/>
    </row>
    <row r="416" spans="1:11" x14ac:dyDescent="0.25">
      <c r="A416" t="e">
        <f>-LqeFZ45SNqV0yshH-ob</f>
        <v>#NAME?</v>
      </c>
      <c r="B416">
        <v>403.125</v>
      </c>
      <c r="C416">
        <v>20.531590000000001</v>
      </c>
      <c r="D416">
        <v>38</v>
      </c>
      <c r="E416">
        <v>0</v>
      </c>
      <c r="F416">
        <v>0</v>
      </c>
      <c r="G416">
        <v>1</v>
      </c>
      <c r="H416" s="4">
        <v>1570519530486</v>
      </c>
      <c r="I416">
        <v>529.125</v>
      </c>
      <c r="J416" s="9">
        <f t="shared" si="6"/>
        <v>43746.601047291661</v>
      </c>
      <c r="K416" s="1"/>
    </row>
    <row r="417" spans="1:11" x14ac:dyDescent="0.25">
      <c r="A417" t="e">
        <f>-LqeF_n5JLUFqTvYGHkY</f>
        <v>#NAME?</v>
      </c>
      <c r="B417">
        <v>400</v>
      </c>
      <c r="C417">
        <v>20.584240000000001</v>
      </c>
      <c r="D417">
        <v>38</v>
      </c>
      <c r="E417">
        <v>0</v>
      </c>
      <c r="F417">
        <v>0</v>
      </c>
      <c r="G417">
        <v>1</v>
      </c>
      <c r="H417" s="4">
        <v>1570519537677</v>
      </c>
      <c r="I417">
        <v>528.375</v>
      </c>
      <c r="J417" s="9">
        <f t="shared" si="6"/>
        <v>43746.60113052083</v>
      </c>
      <c r="K417" s="1"/>
    </row>
    <row r="418" spans="1:11" x14ac:dyDescent="0.25">
      <c r="A418" t="e">
        <f>-LqeFbLxQeaDlYteezlj</f>
        <v>#NAME?</v>
      </c>
      <c r="B418">
        <v>400</v>
      </c>
      <c r="C418">
        <v>20.584240000000001</v>
      </c>
      <c r="D418">
        <v>38</v>
      </c>
      <c r="E418">
        <v>0</v>
      </c>
      <c r="F418">
        <v>0</v>
      </c>
      <c r="G418">
        <v>1</v>
      </c>
      <c r="H418" s="4">
        <v>1570519543867</v>
      </c>
      <c r="I418">
        <v>528.1875</v>
      </c>
      <c r="J418" s="9">
        <f t="shared" si="6"/>
        <v>43746.601202164347</v>
      </c>
      <c r="K418" s="1"/>
    </row>
    <row r="419" spans="1:11" x14ac:dyDescent="0.25">
      <c r="A419" t="e">
        <f>-LqeFd44nLAaX4CgTqUG</f>
        <v>#NAME?</v>
      </c>
      <c r="B419">
        <v>428.125</v>
      </c>
      <c r="C419">
        <v>20.584240000000001</v>
      </c>
      <c r="D419">
        <v>37</v>
      </c>
      <c r="E419">
        <v>0</v>
      </c>
      <c r="F419">
        <v>0</v>
      </c>
      <c r="G419">
        <v>1</v>
      </c>
      <c r="H419" s="4">
        <v>1570519551117</v>
      </c>
      <c r="I419">
        <v>537.75</v>
      </c>
      <c r="J419" s="9">
        <f t="shared" si="6"/>
        <v>43746.601286076388</v>
      </c>
      <c r="K419" s="1"/>
    </row>
    <row r="420" spans="1:11" x14ac:dyDescent="0.25">
      <c r="A420" t="e">
        <f>-LqeFeqsn0I1wXg89Jw7</f>
        <v>#NAME?</v>
      </c>
      <c r="B420">
        <v>400</v>
      </c>
      <c r="C420">
        <v>20.584240000000001</v>
      </c>
      <c r="D420">
        <v>38</v>
      </c>
      <c r="E420">
        <v>0</v>
      </c>
      <c r="F420">
        <v>0</v>
      </c>
      <c r="G420">
        <v>1</v>
      </c>
      <c r="H420" s="4">
        <v>1570519558307</v>
      </c>
      <c r="I420">
        <v>528.1875</v>
      </c>
      <c r="J420" s="9">
        <f t="shared" si="6"/>
        <v>43746.601369293981</v>
      </c>
      <c r="K420" s="1"/>
    </row>
    <row r="421" spans="1:11" x14ac:dyDescent="0.25">
      <c r="A421" t="e">
        <f>-LqeFga3IrddXuz9iJYV</f>
        <v>#NAME?</v>
      </c>
      <c r="B421">
        <v>400</v>
      </c>
      <c r="C421">
        <v>20.531590000000001</v>
      </c>
      <c r="D421">
        <v>38</v>
      </c>
      <c r="E421">
        <v>0</v>
      </c>
      <c r="F421">
        <v>0</v>
      </c>
      <c r="G421">
        <v>1</v>
      </c>
      <c r="H421" s="4">
        <v>1570519565518</v>
      </c>
      <c r="I421">
        <v>528.375</v>
      </c>
      <c r="J421" s="9">
        <f t="shared" si="6"/>
        <v>43746.601452754629</v>
      </c>
      <c r="K421" s="1"/>
    </row>
    <row r="422" spans="1:11" x14ac:dyDescent="0.25">
      <c r="A422" t="s">
        <v>30</v>
      </c>
      <c r="B422">
        <v>403.125</v>
      </c>
      <c r="C422">
        <v>20.584240000000001</v>
      </c>
      <c r="D422">
        <v>40</v>
      </c>
      <c r="E422">
        <v>0</v>
      </c>
      <c r="F422">
        <v>0</v>
      </c>
      <c r="G422">
        <v>1</v>
      </c>
      <c r="H422" s="4">
        <v>1570519572737</v>
      </c>
      <c r="I422">
        <v>529.125</v>
      </c>
      <c r="J422" s="9">
        <f t="shared" si="6"/>
        <v>43746.60153630787</v>
      </c>
      <c r="K422" s="1"/>
    </row>
    <row r="423" spans="1:11" x14ac:dyDescent="0.25">
      <c r="A423" t="e">
        <f>-LqeFk66PYBmfgf-PDeI</f>
        <v>#NAME?</v>
      </c>
      <c r="B423">
        <v>403.125</v>
      </c>
      <c r="C423">
        <v>20.584240000000001</v>
      </c>
      <c r="D423">
        <v>41</v>
      </c>
      <c r="E423">
        <v>0</v>
      </c>
      <c r="F423">
        <v>0</v>
      </c>
      <c r="G423">
        <v>1</v>
      </c>
      <c r="H423" s="4">
        <v>1570519579917</v>
      </c>
      <c r="I423">
        <v>529.125</v>
      </c>
      <c r="J423" s="9">
        <f t="shared" si="6"/>
        <v>43746.601619409725</v>
      </c>
      <c r="K423" s="1"/>
    </row>
    <row r="424" spans="1:11" x14ac:dyDescent="0.25">
      <c r="A424" t="e">
        <f>-LqeFlf52RWd1QljiQdI</f>
        <v>#NAME?</v>
      </c>
      <c r="B424">
        <v>400</v>
      </c>
      <c r="C424">
        <v>20.584240000000001</v>
      </c>
      <c r="D424">
        <v>41</v>
      </c>
      <c r="E424">
        <v>0</v>
      </c>
      <c r="F424">
        <v>0</v>
      </c>
      <c r="G424">
        <v>1</v>
      </c>
      <c r="H424" s="4">
        <v>1570519586120</v>
      </c>
      <c r="I424">
        <v>528.1875</v>
      </c>
      <c r="J424" s="9">
        <f t="shared" si="6"/>
        <v>43746.601691203701</v>
      </c>
      <c r="K424" s="1"/>
    </row>
    <row r="425" spans="1:11" x14ac:dyDescent="0.25">
      <c r="A425" t="e">
        <f>-LqeFnMhomCXk1K63GsJ</f>
        <v>#NAME?</v>
      </c>
      <c r="B425">
        <v>403.125</v>
      </c>
      <c r="C425">
        <v>20.584240000000001</v>
      </c>
      <c r="D425">
        <v>41</v>
      </c>
      <c r="E425">
        <v>0</v>
      </c>
      <c r="F425">
        <v>0</v>
      </c>
      <c r="G425">
        <v>1</v>
      </c>
      <c r="H425" s="4">
        <v>1570519593357</v>
      </c>
      <c r="I425">
        <v>529.125</v>
      </c>
      <c r="J425" s="9">
        <f t="shared" si="6"/>
        <v>43746.601774965275</v>
      </c>
      <c r="K425" s="1"/>
    </row>
    <row r="426" spans="1:11" x14ac:dyDescent="0.25">
      <c r="A426" t="e">
        <f>-LqeFowy7pXUEapaQOLA</f>
        <v>#NAME?</v>
      </c>
      <c r="B426">
        <v>400</v>
      </c>
      <c r="C426">
        <v>20.531590000000001</v>
      </c>
      <c r="D426">
        <v>42</v>
      </c>
      <c r="E426">
        <v>0</v>
      </c>
      <c r="F426">
        <v>0</v>
      </c>
      <c r="G426">
        <v>1</v>
      </c>
      <c r="H426" s="4">
        <v>1570519599527</v>
      </c>
      <c r="I426">
        <v>528.1875</v>
      </c>
      <c r="J426" s="9">
        <f t="shared" si="6"/>
        <v>43746.601846377314</v>
      </c>
      <c r="K426" s="1"/>
    </row>
    <row r="427" spans="1:11" x14ac:dyDescent="0.25">
      <c r="A427" t="e">
        <f>-LqeFqyy93hftyjFW9KW</f>
        <v>#NAME?</v>
      </c>
      <c r="B427">
        <v>418.75</v>
      </c>
      <c r="C427">
        <v>20.584240000000001</v>
      </c>
      <c r="D427">
        <v>43</v>
      </c>
      <c r="E427">
        <v>0</v>
      </c>
      <c r="F427">
        <v>0</v>
      </c>
      <c r="G427">
        <v>1</v>
      </c>
      <c r="H427" s="4">
        <v>1570519606717</v>
      </c>
      <c r="I427">
        <v>534</v>
      </c>
      <c r="J427" s="9">
        <f t="shared" si="6"/>
        <v>43746.601929594901</v>
      </c>
      <c r="K427" s="1"/>
    </row>
    <row r="428" spans="1:11" x14ac:dyDescent="0.25">
      <c r="A428" t="s">
        <v>31</v>
      </c>
      <c r="B428">
        <v>396.875</v>
      </c>
      <c r="C428">
        <v>20.584240000000001</v>
      </c>
      <c r="D428">
        <v>44</v>
      </c>
      <c r="E428">
        <v>0</v>
      </c>
      <c r="F428">
        <v>0</v>
      </c>
      <c r="G428">
        <v>1</v>
      </c>
      <c r="H428" s="4">
        <v>1570519614989</v>
      </c>
      <c r="I428">
        <v>527.4375</v>
      </c>
      <c r="J428" s="9">
        <f t="shared" si="6"/>
        <v>43746.602025335647</v>
      </c>
      <c r="K428" s="1"/>
    </row>
    <row r="429" spans="1:11" x14ac:dyDescent="0.25">
      <c r="A429" t="e">
        <f>-LqeFuBIiN1D-pWRuPEu</f>
        <v>#NAME?</v>
      </c>
      <c r="B429">
        <v>396.875</v>
      </c>
      <c r="C429">
        <v>20.531590000000001</v>
      </c>
      <c r="D429">
        <v>43</v>
      </c>
      <c r="E429">
        <v>0</v>
      </c>
      <c r="F429">
        <v>0</v>
      </c>
      <c r="G429">
        <v>1</v>
      </c>
      <c r="H429" s="4">
        <v>1570519621179</v>
      </c>
      <c r="I429">
        <v>527.4375</v>
      </c>
      <c r="J429" s="9">
        <f t="shared" si="6"/>
        <v>43746.602096979164</v>
      </c>
      <c r="K429" s="1"/>
    </row>
    <row r="430" spans="1:11" x14ac:dyDescent="0.25">
      <c r="A430" t="e">
        <f>-LqeFvz-TpIBPweFek1R</f>
        <v>#NAME?</v>
      </c>
      <c r="B430">
        <v>400</v>
      </c>
      <c r="C430">
        <v>20.584240000000001</v>
      </c>
      <c r="D430">
        <v>42</v>
      </c>
      <c r="E430">
        <v>0</v>
      </c>
      <c r="F430">
        <v>0</v>
      </c>
      <c r="G430">
        <v>1</v>
      </c>
      <c r="H430" s="4">
        <v>1570519628390</v>
      </c>
      <c r="I430">
        <v>528.1875</v>
      </c>
      <c r="J430" s="9">
        <f t="shared" si="6"/>
        <v>43746.602180439811</v>
      </c>
      <c r="K430" s="1"/>
    </row>
    <row r="431" spans="1:11" x14ac:dyDescent="0.25">
      <c r="A431" t="s">
        <v>32</v>
      </c>
      <c r="B431">
        <v>400</v>
      </c>
      <c r="C431">
        <v>20.531590000000001</v>
      </c>
      <c r="D431">
        <v>43</v>
      </c>
      <c r="E431">
        <v>0</v>
      </c>
      <c r="F431">
        <v>0</v>
      </c>
      <c r="G431">
        <v>1</v>
      </c>
      <c r="H431" s="4">
        <v>1570519635599</v>
      </c>
      <c r="I431">
        <v>528.375</v>
      </c>
      <c r="J431" s="9">
        <f t="shared" si="6"/>
        <v>43746.602263877314</v>
      </c>
      <c r="K431" s="1"/>
    </row>
    <row r="432" spans="1:11" x14ac:dyDescent="0.25">
      <c r="A432" t="e">
        <f>-LqeFzEtlxcWeh9Hf1Ap</f>
        <v>#NAME?</v>
      </c>
      <c r="B432">
        <v>400</v>
      </c>
      <c r="C432">
        <v>20.584240000000001</v>
      </c>
      <c r="D432">
        <v>43</v>
      </c>
      <c r="E432">
        <v>0</v>
      </c>
      <c r="F432">
        <v>0</v>
      </c>
      <c r="G432">
        <v>1</v>
      </c>
      <c r="H432" s="4">
        <v>1570519641780</v>
      </c>
      <c r="I432">
        <v>528.375</v>
      </c>
      <c r="J432" s="9">
        <f t="shared" si="6"/>
        <v>43746.602335416661</v>
      </c>
      <c r="K432" s="1"/>
    </row>
    <row r="433" spans="1:11" x14ac:dyDescent="0.25">
      <c r="A433" t="e">
        <f>-LqeG-z7a28llulkRQCg</f>
        <v>#NAME?</v>
      </c>
      <c r="B433">
        <v>400</v>
      </c>
      <c r="C433">
        <v>20.584240000000001</v>
      </c>
      <c r="D433">
        <v>42</v>
      </c>
      <c r="E433">
        <v>0</v>
      </c>
      <c r="F433">
        <v>0</v>
      </c>
      <c r="G433">
        <v>1</v>
      </c>
      <c r="H433" s="4">
        <v>1570519649000</v>
      </c>
      <c r="I433">
        <v>528.1875</v>
      </c>
      <c r="J433" s="9">
        <f t="shared" si="6"/>
        <v>43746.602418981478</v>
      </c>
      <c r="K433" s="1"/>
    </row>
    <row r="434" spans="1:11" x14ac:dyDescent="0.25">
      <c r="A434" t="e">
        <f>-LqeG1m-Xe3wSVlUkBPd</f>
        <v>#NAME?</v>
      </c>
      <c r="B434">
        <v>400</v>
      </c>
      <c r="C434">
        <v>20.531590000000001</v>
      </c>
      <c r="D434">
        <v>41</v>
      </c>
      <c r="E434">
        <v>0</v>
      </c>
      <c r="F434">
        <v>0</v>
      </c>
      <c r="G434">
        <v>1</v>
      </c>
      <c r="H434" s="4">
        <v>1570519656209</v>
      </c>
      <c r="I434">
        <v>528.1875</v>
      </c>
      <c r="J434" s="9">
        <f t="shared" si="6"/>
        <v>43746.60250241898</v>
      </c>
      <c r="K434" s="1"/>
    </row>
    <row r="435" spans="1:11" x14ac:dyDescent="0.25">
      <c r="A435" t="e">
        <f>-LqeG3VBthTNmFrK61bm</f>
        <v>#NAME?</v>
      </c>
      <c r="B435">
        <v>400</v>
      </c>
      <c r="C435">
        <v>20.531590000000001</v>
      </c>
      <c r="D435">
        <v>45</v>
      </c>
      <c r="E435">
        <v>0</v>
      </c>
      <c r="F435">
        <v>0</v>
      </c>
      <c r="G435">
        <v>1</v>
      </c>
      <c r="H435" s="4">
        <v>1570519663440</v>
      </c>
      <c r="I435">
        <v>528.1875</v>
      </c>
      <c r="J435" s="9">
        <f t="shared" si="6"/>
        <v>43746.602586111105</v>
      </c>
      <c r="K435" s="1"/>
    </row>
    <row r="436" spans="1:11" x14ac:dyDescent="0.25">
      <c r="A436" t="e">
        <f>-LqeG4zPbyZJDYHIYrO0</f>
        <v>#NAME?</v>
      </c>
      <c r="B436">
        <v>400</v>
      </c>
      <c r="C436">
        <v>20.584240000000001</v>
      </c>
      <c r="D436">
        <v>45</v>
      </c>
      <c r="E436">
        <v>0</v>
      </c>
      <c r="F436">
        <v>0</v>
      </c>
      <c r="G436">
        <v>1</v>
      </c>
      <c r="H436" s="4">
        <v>1570519669600</v>
      </c>
      <c r="I436">
        <v>528.1875</v>
      </c>
      <c r="J436" s="9">
        <f t="shared" si="6"/>
        <v>43746.602657407406</v>
      </c>
      <c r="K436" s="1"/>
    </row>
    <row r="437" spans="1:11" x14ac:dyDescent="0.25">
      <c r="A437" t="e">
        <f>-LqeG6XABXx2bmioi2Nh</f>
        <v>#NAME?</v>
      </c>
      <c r="B437">
        <v>400</v>
      </c>
      <c r="C437">
        <v>20.584240000000001</v>
      </c>
      <c r="D437">
        <v>45</v>
      </c>
      <c r="E437">
        <v>0</v>
      </c>
      <c r="F437">
        <v>0</v>
      </c>
      <c r="G437">
        <v>1</v>
      </c>
      <c r="H437" s="4">
        <v>1570519675789</v>
      </c>
      <c r="I437">
        <v>528.1875</v>
      </c>
      <c r="J437" s="9">
        <f t="shared" si="6"/>
        <v>43746.602729039347</v>
      </c>
      <c r="K437" s="1"/>
    </row>
    <row r="438" spans="1:11" x14ac:dyDescent="0.25">
      <c r="A438" t="e">
        <f>-LqeG8HEa_Fn3IwJzZ7m</f>
        <v>#NAME?</v>
      </c>
      <c r="B438">
        <v>400</v>
      </c>
      <c r="C438">
        <v>20.584240000000001</v>
      </c>
      <c r="D438">
        <v>44</v>
      </c>
      <c r="E438">
        <v>0</v>
      </c>
      <c r="F438">
        <v>0</v>
      </c>
      <c r="G438">
        <v>1</v>
      </c>
      <c r="H438" s="4">
        <v>1570519683021</v>
      </c>
      <c r="I438">
        <v>528.1875</v>
      </c>
      <c r="J438" s="9">
        <f t="shared" si="6"/>
        <v>43746.602812743055</v>
      </c>
      <c r="K438" s="1"/>
    </row>
    <row r="439" spans="1:11" x14ac:dyDescent="0.25">
      <c r="A439" t="e">
        <f>-LqeG9pA-hhCF9gq4R62</f>
        <v>#NAME?</v>
      </c>
      <c r="B439">
        <v>400</v>
      </c>
      <c r="C439">
        <v>20.584240000000001</v>
      </c>
      <c r="D439">
        <v>43</v>
      </c>
      <c r="E439">
        <v>0</v>
      </c>
      <c r="F439">
        <v>0</v>
      </c>
      <c r="G439">
        <v>1</v>
      </c>
      <c r="H439" s="4">
        <v>1570519689188</v>
      </c>
      <c r="I439">
        <v>528.1875</v>
      </c>
      <c r="J439" s="9">
        <f t="shared" si="6"/>
        <v>43746.602884120373</v>
      </c>
      <c r="K439" s="1"/>
    </row>
    <row r="440" spans="1:11" x14ac:dyDescent="0.25">
      <c r="A440" t="e">
        <f>-LqeGBWuUh7oWDrnf71N</f>
        <v>#NAME?</v>
      </c>
      <c r="B440">
        <v>400</v>
      </c>
      <c r="C440">
        <v>20.531590000000001</v>
      </c>
      <c r="D440">
        <v>42</v>
      </c>
      <c r="E440">
        <v>0</v>
      </c>
      <c r="F440">
        <v>0</v>
      </c>
      <c r="G440">
        <v>1</v>
      </c>
      <c r="H440" s="4">
        <v>1570519696401</v>
      </c>
      <c r="I440">
        <v>528.1875</v>
      </c>
      <c r="J440" s="9">
        <f t="shared" si="6"/>
        <v>43746.602967604165</v>
      </c>
      <c r="K440" s="1"/>
    </row>
    <row r="441" spans="1:11" x14ac:dyDescent="0.25">
      <c r="A441" t="e">
        <f>-LqeGDL73RCXZwvLODB9</f>
        <v>#NAME?</v>
      </c>
      <c r="B441">
        <v>396.875</v>
      </c>
      <c r="C441">
        <v>20.478950000000001</v>
      </c>
      <c r="D441">
        <v>42</v>
      </c>
      <c r="E441">
        <v>0</v>
      </c>
      <c r="F441">
        <v>0</v>
      </c>
      <c r="G441">
        <v>1</v>
      </c>
      <c r="H441" s="4">
        <v>1570519703620</v>
      </c>
      <c r="I441">
        <v>527.4375</v>
      </c>
      <c r="J441" s="9">
        <f t="shared" si="6"/>
        <v>43746.603051157406</v>
      </c>
      <c r="K441" s="1"/>
    </row>
    <row r="442" spans="1:11" x14ac:dyDescent="0.25">
      <c r="A442" t="e">
        <f>-LqeGF360HWp0S1qIPBB</f>
        <v>#NAME?</v>
      </c>
      <c r="B442">
        <v>396.875</v>
      </c>
      <c r="C442">
        <v>20.584240000000001</v>
      </c>
      <c r="D442">
        <v>42</v>
      </c>
      <c r="E442">
        <v>0</v>
      </c>
      <c r="F442">
        <v>0</v>
      </c>
      <c r="G442">
        <v>1</v>
      </c>
      <c r="H442" s="4">
        <v>1570519710800</v>
      </c>
      <c r="I442">
        <v>527.4375</v>
      </c>
      <c r="J442" s="9">
        <f t="shared" si="6"/>
        <v>43746.603134259254</v>
      </c>
      <c r="K442" s="1"/>
    </row>
    <row r="443" spans="1:11" x14ac:dyDescent="0.25">
      <c r="A443" t="e">
        <f>-LqeGGY6-E9LNx8G1mjC</f>
        <v>#NAME?</v>
      </c>
      <c r="B443">
        <v>396.875</v>
      </c>
      <c r="C443">
        <v>20.531590000000001</v>
      </c>
      <c r="D443">
        <v>42</v>
      </c>
      <c r="E443">
        <v>0</v>
      </c>
      <c r="F443">
        <v>0</v>
      </c>
      <c r="G443">
        <v>1</v>
      </c>
      <c r="H443" s="4">
        <v>1570519716999</v>
      </c>
      <c r="I443">
        <v>527.4375</v>
      </c>
      <c r="J443" s="9">
        <f t="shared" si="6"/>
        <v>43746.603206006941</v>
      </c>
      <c r="K443" s="1"/>
    </row>
    <row r="444" spans="1:11" x14ac:dyDescent="0.25">
      <c r="A444" t="e">
        <f>-LqeGI7LonQUyxJasJof</f>
        <v>#NAME?</v>
      </c>
      <c r="B444">
        <v>396.875</v>
      </c>
      <c r="C444">
        <v>20.531590000000001</v>
      </c>
      <c r="D444">
        <v>47</v>
      </c>
      <c r="E444">
        <v>0</v>
      </c>
      <c r="F444">
        <v>0</v>
      </c>
      <c r="G444">
        <v>1</v>
      </c>
      <c r="H444" s="4">
        <v>1570519723200</v>
      </c>
      <c r="I444">
        <v>527.4375</v>
      </c>
      <c r="J444" s="9">
        <f t="shared" si="6"/>
        <v>43746.60327777778</v>
      </c>
      <c r="K444" s="1"/>
    </row>
    <row r="445" spans="1:11" x14ac:dyDescent="0.25">
      <c r="A445" t="e">
        <f>-LqeGJuHu3xYSeY9Ylvb</f>
        <v>#NAME?</v>
      </c>
      <c r="B445">
        <v>396.875</v>
      </c>
      <c r="C445">
        <v>20.584240000000001</v>
      </c>
      <c r="D445">
        <v>45</v>
      </c>
      <c r="E445">
        <v>0</v>
      </c>
      <c r="F445">
        <v>0</v>
      </c>
      <c r="G445">
        <v>1</v>
      </c>
      <c r="H445" s="4">
        <v>1570519730419</v>
      </c>
      <c r="I445">
        <v>527.4375</v>
      </c>
      <c r="J445" s="9">
        <f t="shared" si="6"/>
        <v>43746.603361331021</v>
      </c>
      <c r="K445" s="1"/>
    </row>
    <row r="446" spans="1:11" x14ac:dyDescent="0.25">
      <c r="A446" t="e">
        <f>-LqeGLc0xjZEkWR00a8w</f>
        <v>#NAME?</v>
      </c>
      <c r="B446">
        <v>400</v>
      </c>
      <c r="C446">
        <v>20.584240000000001</v>
      </c>
      <c r="D446">
        <v>43</v>
      </c>
      <c r="E446">
        <v>0</v>
      </c>
      <c r="F446">
        <v>0</v>
      </c>
      <c r="G446">
        <v>1</v>
      </c>
      <c r="H446" s="4">
        <v>1570519737618</v>
      </c>
      <c r="I446">
        <v>528.375</v>
      </c>
      <c r="J446" s="9">
        <f t="shared" si="6"/>
        <v>43746.60344465277</v>
      </c>
      <c r="K446" s="1"/>
    </row>
    <row r="447" spans="1:11" x14ac:dyDescent="0.25">
      <c r="A447" t="e">
        <f>-LqeGNQHntfrMoipRoUK</f>
        <v>#NAME?</v>
      </c>
      <c r="B447">
        <v>400</v>
      </c>
      <c r="C447">
        <v>20.584240000000001</v>
      </c>
      <c r="D447">
        <v>44</v>
      </c>
      <c r="E447">
        <v>0</v>
      </c>
      <c r="F447">
        <v>0</v>
      </c>
      <c r="G447">
        <v>1</v>
      </c>
      <c r="H447" s="4">
        <v>1570519744838</v>
      </c>
      <c r="I447">
        <v>528.1875</v>
      </c>
      <c r="J447" s="9">
        <f t="shared" si="6"/>
        <v>43746.603528217594</v>
      </c>
      <c r="K447" s="1"/>
    </row>
    <row r="448" spans="1:11" x14ac:dyDescent="0.25">
      <c r="A448" t="e">
        <f>-LqeGP85N-AmK93AWFHd</f>
        <v>#NAME?</v>
      </c>
      <c r="B448">
        <v>400</v>
      </c>
      <c r="C448">
        <v>20.478950000000001</v>
      </c>
      <c r="D448">
        <v>44</v>
      </c>
      <c r="E448">
        <v>0</v>
      </c>
      <c r="F448">
        <v>0</v>
      </c>
      <c r="G448">
        <v>1</v>
      </c>
      <c r="H448" s="4">
        <v>1570519752048</v>
      </c>
      <c r="I448">
        <v>528.1875</v>
      </c>
      <c r="J448" s="9">
        <f t="shared" si="6"/>
        <v>43746.603611666666</v>
      </c>
      <c r="K448" s="1"/>
    </row>
    <row r="449" spans="1:11" x14ac:dyDescent="0.25">
      <c r="A449" t="e">
        <f>-LqeGQw8J7WNIqnnPKuc</f>
        <v>#NAME?</v>
      </c>
      <c r="B449">
        <v>400</v>
      </c>
      <c r="C449">
        <v>20.584240000000001</v>
      </c>
      <c r="D449">
        <v>45</v>
      </c>
      <c r="E449">
        <v>0</v>
      </c>
      <c r="F449">
        <v>0</v>
      </c>
      <c r="G449">
        <v>1</v>
      </c>
      <c r="H449" s="4">
        <v>1570519759258</v>
      </c>
      <c r="I449">
        <v>528.1875</v>
      </c>
      <c r="J449" s="9">
        <f t="shared" si="6"/>
        <v>43746.603695115737</v>
      </c>
      <c r="K449" s="1"/>
    </row>
    <row r="450" spans="1:11" x14ac:dyDescent="0.25">
      <c r="A450" t="e">
        <f>-LqeGSeE38HtYZSpJ-m0</f>
        <v>#NAME?</v>
      </c>
      <c r="B450">
        <v>400</v>
      </c>
      <c r="C450">
        <v>20.531590000000001</v>
      </c>
      <c r="D450">
        <v>44</v>
      </c>
      <c r="E450">
        <v>0</v>
      </c>
      <c r="F450">
        <v>0</v>
      </c>
      <c r="G450">
        <v>1</v>
      </c>
      <c r="H450" s="4">
        <v>1570519766479</v>
      </c>
      <c r="I450">
        <v>528.1875</v>
      </c>
      <c r="J450" s="9">
        <f t="shared" si="6"/>
        <v>43746.60377869213</v>
      </c>
      <c r="K450" s="1"/>
    </row>
    <row r="451" spans="1:11" x14ac:dyDescent="0.25">
      <c r="A451" t="e">
        <f>-LqeGUSIihKsGg9BO4Tl</f>
        <v>#NAME?</v>
      </c>
      <c r="B451">
        <v>400</v>
      </c>
      <c r="C451">
        <v>20.584240000000001</v>
      </c>
      <c r="D451">
        <v>44</v>
      </c>
      <c r="E451">
        <v>0</v>
      </c>
      <c r="F451">
        <v>0</v>
      </c>
      <c r="G451">
        <v>1</v>
      </c>
      <c r="H451" s="4">
        <v>1570519773690</v>
      </c>
      <c r="I451">
        <v>528.1875</v>
      </c>
      <c r="J451" s="9">
        <f t="shared" ref="J451:J514" si="7">(H451/86400000)+25569+(7/24)</f>
        <v>43746.603862152777</v>
      </c>
      <c r="K451" s="1"/>
    </row>
    <row r="452" spans="1:11" x14ac:dyDescent="0.25">
      <c r="A452" t="e">
        <f>-LqeGW8tWMinhLDeNbNa</f>
        <v>#NAME?</v>
      </c>
      <c r="B452">
        <v>400</v>
      </c>
      <c r="C452">
        <v>20.584240000000001</v>
      </c>
      <c r="D452">
        <v>44</v>
      </c>
      <c r="E452">
        <v>0</v>
      </c>
      <c r="F452">
        <v>0</v>
      </c>
      <c r="G452">
        <v>1</v>
      </c>
      <c r="H452" s="4">
        <v>1570519780880</v>
      </c>
      <c r="I452">
        <v>528.1875</v>
      </c>
      <c r="J452" s="9">
        <f t="shared" si="7"/>
        <v>43746.603945370363</v>
      </c>
      <c r="K452" s="1"/>
    </row>
    <row r="453" spans="1:11" x14ac:dyDescent="0.25">
      <c r="A453" t="e">
        <f>-LqeGXjKoOATDCyTDQ5f</f>
        <v>#NAME?</v>
      </c>
      <c r="B453">
        <v>396.875</v>
      </c>
      <c r="C453">
        <v>20.531590000000001</v>
      </c>
      <c r="D453">
        <v>44</v>
      </c>
      <c r="E453">
        <v>0</v>
      </c>
      <c r="F453">
        <v>0</v>
      </c>
      <c r="G453">
        <v>1</v>
      </c>
      <c r="H453" s="4">
        <v>1570519787079</v>
      </c>
      <c r="I453">
        <v>527.4375</v>
      </c>
      <c r="J453" s="9">
        <f t="shared" si="7"/>
        <v>43746.604017118058</v>
      </c>
      <c r="K453" s="1"/>
    </row>
    <row r="454" spans="1:11" x14ac:dyDescent="0.25">
      <c r="A454" t="e">
        <f>-LqeGZQtJn9jVxLNzeN9</f>
        <v>#NAME?</v>
      </c>
      <c r="B454">
        <v>396.875</v>
      </c>
      <c r="C454">
        <v>20.531590000000001</v>
      </c>
      <c r="D454">
        <v>43</v>
      </c>
      <c r="E454">
        <v>0</v>
      </c>
      <c r="F454">
        <v>0</v>
      </c>
      <c r="G454">
        <v>1</v>
      </c>
      <c r="H454" s="4">
        <v>1570519794326</v>
      </c>
      <c r="I454">
        <v>527.4375</v>
      </c>
      <c r="J454" s="9">
        <f t="shared" si="7"/>
        <v>43746.60410099537</v>
      </c>
      <c r="K454" s="1"/>
    </row>
    <row r="455" spans="1:11" x14ac:dyDescent="0.25">
      <c r="A455" t="e">
        <f>-LqeGaEM8snkIuvUkBDZ</f>
        <v>#NAME?</v>
      </c>
      <c r="B455">
        <v>396.875</v>
      </c>
      <c r="C455">
        <v>20.531590000000001</v>
      </c>
      <c r="D455">
        <v>43</v>
      </c>
      <c r="E455">
        <v>0</v>
      </c>
      <c r="F455">
        <v>0</v>
      </c>
      <c r="G455">
        <v>1</v>
      </c>
      <c r="H455" s="4">
        <v>1570519801511</v>
      </c>
      <c r="I455">
        <v>527.4375</v>
      </c>
      <c r="J455" s="9">
        <f t="shared" si="7"/>
        <v>43746.60418415509</v>
      </c>
      <c r="K455" s="1"/>
    </row>
    <row r="456" spans="1:11" x14ac:dyDescent="0.25">
      <c r="A456" t="e">
        <f>-LqeGbyQrbAfMsInc2aW</f>
        <v>#NAME?</v>
      </c>
      <c r="B456">
        <v>396.875</v>
      </c>
      <c r="C456">
        <v>20.584240000000001</v>
      </c>
      <c r="D456">
        <v>43</v>
      </c>
      <c r="E456">
        <v>0</v>
      </c>
      <c r="F456">
        <v>0</v>
      </c>
      <c r="G456">
        <v>1</v>
      </c>
      <c r="H456" s="4">
        <v>1570519808720</v>
      </c>
      <c r="I456">
        <v>527.4375</v>
      </c>
      <c r="J456" s="9">
        <f t="shared" si="7"/>
        <v>43746.604267592593</v>
      </c>
      <c r="K456" s="1"/>
    </row>
    <row r="457" spans="1:11" x14ac:dyDescent="0.25">
      <c r="A457" t="e">
        <f>-LqeGdk2APhZYQqgFXJJ</f>
        <v>#NAME?</v>
      </c>
      <c r="B457">
        <v>396.875</v>
      </c>
      <c r="C457">
        <v>20.531590000000001</v>
      </c>
      <c r="D457">
        <v>43</v>
      </c>
      <c r="E457">
        <v>0</v>
      </c>
      <c r="F457">
        <v>0</v>
      </c>
      <c r="G457">
        <v>1</v>
      </c>
      <c r="H457" s="4">
        <v>1570519815938</v>
      </c>
      <c r="I457">
        <v>527.4375</v>
      </c>
      <c r="J457" s="9">
        <f t="shared" si="7"/>
        <v>43746.604351134258</v>
      </c>
      <c r="K457" s="1"/>
    </row>
    <row r="458" spans="1:11" x14ac:dyDescent="0.25">
      <c r="A458" t="e">
        <f>-LqeGfU5fLtuyVje0UlU</f>
        <v>#NAME?</v>
      </c>
      <c r="B458">
        <v>396.875</v>
      </c>
      <c r="C458">
        <v>20.584240000000001</v>
      </c>
      <c r="D458">
        <v>43</v>
      </c>
      <c r="E458">
        <v>0</v>
      </c>
      <c r="F458">
        <v>0</v>
      </c>
      <c r="G458">
        <v>1</v>
      </c>
      <c r="H458" s="4">
        <v>1570519823128</v>
      </c>
      <c r="I458">
        <v>527.4375</v>
      </c>
      <c r="J458" s="9">
        <f t="shared" si="7"/>
        <v>43746.604434351852</v>
      </c>
      <c r="K458" s="1"/>
    </row>
    <row r="459" spans="1:11" x14ac:dyDescent="0.25">
      <c r="A459" t="e">
        <f>-LqeGhHHNjiwmOvp527L</f>
        <v>#NAME?</v>
      </c>
      <c r="B459">
        <v>396.875</v>
      </c>
      <c r="C459">
        <v>20.531590000000001</v>
      </c>
      <c r="D459">
        <v>43</v>
      </c>
      <c r="E459">
        <v>0</v>
      </c>
      <c r="F459">
        <v>0</v>
      </c>
      <c r="G459">
        <v>1</v>
      </c>
      <c r="H459" s="4">
        <v>1570519830369</v>
      </c>
      <c r="I459">
        <v>527.4375</v>
      </c>
      <c r="J459" s="9">
        <f t="shared" si="7"/>
        <v>43746.604518159722</v>
      </c>
      <c r="K459" s="1"/>
    </row>
    <row r="460" spans="1:11" x14ac:dyDescent="0.25">
      <c r="A460" t="e">
        <f>-LqeGjJDzwoZPZTFOQME</f>
        <v>#NAME?</v>
      </c>
      <c r="B460">
        <v>396.875</v>
      </c>
      <c r="C460">
        <v>20.584240000000001</v>
      </c>
      <c r="D460">
        <v>42</v>
      </c>
      <c r="E460">
        <v>0</v>
      </c>
      <c r="F460">
        <v>0</v>
      </c>
      <c r="G460">
        <v>1</v>
      </c>
      <c r="H460" s="4">
        <v>1570519837580</v>
      </c>
      <c r="I460">
        <v>527.4375</v>
      </c>
      <c r="J460" s="9">
        <f t="shared" si="7"/>
        <v>43746.604601620369</v>
      </c>
      <c r="K460" s="1"/>
    </row>
    <row r="461" spans="1:11" x14ac:dyDescent="0.25">
      <c r="A461" t="e">
        <f>-LqeGlDiHUJOmtnzRK8b</f>
        <v>#NAME?</v>
      </c>
      <c r="B461">
        <v>396.875</v>
      </c>
      <c r="C461">
        <v>20.584240000000001</v>
      </c>
      <c r="D461">
        <v>43</v>
      </c>
      <c r="E461">
        <v>0</v>
      </c>
      <c r="F461">
        <v>0</v>
      </c>
      <c r="G461">
        <v>1</v>
      </c>
      <c r="H461" s="4">
        <v>1570519845823</v>
      </c>
      <c r="I461">
        <v>527.4375</v>
      </c>
      <c r="J461" s="9">
        <f t="shared" si="7"/>
        <v>43746.604697025461</v>
      </c>
      <c r="K461" s="1"/>
    </row>
    <row r="462" spans="1:11" x14ac:dyDescent="0.25">
      <c r="A462" t="e">
        <f>-LqeGmnethJYVXPzU2-q</f>
        <v>#NAME?</v>
      </c>
      <c r="B462">
        <v>396.875</v>
      </c>
      <c r="C462">
        <v>20.584240000000001</v>
      </c>
      <c r="D462">
        <v>43</v>
      </c>
      <c r="E462">
        <v>0</v>
      </c>
      <c r="F462">
        <v>0</v>
      </c>
      <c r="G462">
        <v>1</v>
      </c>
      <c r="H462" s="4">
        <v>1570519853035</v>
      </c>
      <c r="I462">
        <v>527.4375</v>
      </c>
      <c r="J462" s="9">
        <f t="shared" si="7"/>
        <v>43746.604780497684</v>
      </c>
      <c r="K462" s="1"/>
    </row>
    <row r="463" spans="1:11" x14ac:dyDescent="0.25">
      <c r="A463" t="e">
        <f>-LqeGoJ1MeM19cD_8xUw</f>
        <v>#NAME?</v>
      </c>
      <c r="B463">
        <v>396.875</v>
      </c>
      <c r="C463">
        <v>20.584240000000001</v>
      </c>
      <c r="D463">
        <v>43</v>
      </c>
      <c r="E463">
        <v>0</v>
      </c>
      <c r="F463">
        <v>0</v>
      </c>
      <c r="G463">
        <v>1</v>
      </c>
      <c r="H463" s="4">
        <v>1570519859214</v>
      </c>
      <c r="I463">
        <v>527.4375</v>
      </c>
      <c r="J463" s="9">
        <f t="shared" si="7"/>
        <v>43746.604852013887</v>
      </c>
      <c r="K463" s="1"/>
    </row>
    <row r="464" spans="1:11" x14ac:dyDescent="0.25">
      <c r="A464" t="e">
        <f>-LqeGq4eSOv3qX1bNYLT</f>
        <v>#NAME?</v>
      </c>
      <c r="B464">
        <v>396.875</v>
      </c>
      <c r="C464">
        <v>20.531590000000001</v>
      </c>
      <c r="D464">
        <v>43</v>
      </c>
      <c r="E464">
        <v>0</v>
      </c>
      <c r="F464">
        <v>0</v>
      </c>
      <c r="G464">
        <v>1</v>
      </c>
      <c r="H464" s="4">
        <v>1570519866425</v>
      </c>
      <c r="I464">
        <v>527.4375</v>
      </c>
      <c r="J464" s="9">
        <f t="shared" si="7"/>
        <v>43746.604935474534</v>
      </c>
      <c r="K464" s="1"/>
    </row>
    <row r="465" spans="1:11" x14ac:dyDescent="0.25">
      <c r="A465" t="e">
        <f>-LqeGrp29zKC_F8fJpnV</f>
        <v>#NAME?</v>
      </c>
      <c r="B465">
        <v>396.875</v>
      </c>
      <c r="C465">
        <v>20.584240000000001</v>
      </c>
      <c r="D465">
        <v>43</v>
      </c>
      <c r="E465">
        <v>0</v>
      </c>
      <c r="F465">
        <v>0</v>
      </c>
      <c r="G465">
        <v>1</v>
      </c>
      <c r="H465" s="4">
        <v>1570519873646</v>
      </c>
      <c r="I465">
        <v>527.4375</v>
      </c>
      <c r="J465" s="9">
        <f t="shared" si="7"/>
        <v>43746.60501905092</v>
      </c>
      <c r="K465" s="1"/>
    </row>
    <row r="466" spans="1:11" x14ac:dyDescent="0.25">
      <c r="A466" t="e">
        <f>-LqeGtc4Ld3X5tai-rDJ</f>
        <v>#NAME?</v>
      </c>
      <c r="B466">
        <v>393.75</v>
      </c>
      <c r="C466">
        <v>20.584240000000001</v>
      </c>
      <c r="D466">
        <v>43</v>
      </c>
      <c r="E466">
        <v>0</v>
      </c>
      <c r="F466">
        <v>0</v>
      </c>
      <c r="G466">
        <v>1</v>
      </c>
      <c r="H466" s="4">
        <v>1570519880855</v>
      </c>
      <c r="I466">
        <v>526.6875</v>
      </c>
      <c r="J466" s="9">
        <f t="shared" si="7"/>
        <v>43746.605102488422</v>
      </c>
      <c r="K466" s="1"/>
    </row>
    <row r="467" spans="1:11" x14ac:dyDescent="0.25">
      <c r="A467" t="e">
        <f>-LqeGvL4IVMFqeRLUH8l</f>
        <v>#NAME?</v>
      </c>
      <c r="B467">
        <v>412.5</v>
      </c>
      <c r="C467">
        <v>20.531590000000001</v>
      </c>
      <c r="D467">
        <v>42</v>
      </c>
      <c r="E467">
        <v>0</v>
      </c>
      <c r="F467">
        <v>0</v>
      </c>
      <c r="G467">
        <v>1</v>
      </c>
      <c r="H467" s="4">
        <v>1570519888074</v>
      </c>
      <c r="I467">
        <v>532.5</v>
      </c>
      <c r="J467" s="9">
        <f t="shared" si="7"/>
        <v>43746.605186041663</v>
      </c>
      <c r="K467" s="1"/>
    </row>
    <row r="468" spans="1:11" x14ac:dyDescent="0.25">
      <c r="A468" t="e">
        <f>-LqeGx6eh5PTl88MwPwM</f>
        <v>#NAME?</v>
      </c>
      <c r="B468">
        <v>396.875</v>
      </c>
      <c r="C468">
        <v>20.531590000000001</v>
      </c>
      <c r="D468">
        <v>43</v>
      </c>
      <c r="E468">
        <v>0</v>
      </c>
      <c r="F468">
        <v>0</v>
      </c>
      <c r="G468">
        <v>1</v>
      </c>
      <c r="H468" s="4">
        <v>1570519895286</v>
      </c>
      <c r="I468">
        <v>527.4375</v>
      </c>
      <c r="J468" s="9">
        <f t="shared" si="7"/>
        <v>43746.605269513886</v>
      </c>
      <c r="K468" s="1"/>
    </row>
    <row r="469" spans="1:11" x14ac:dyDescent="0.25">
      <c r="A469" t="e">
        <f>-LqeGyr3vRZl8AuLcMqy</f>
        <v>#NAME?</v>
      </c>
      <c r="B469">
        <v>393.75</v>
      </c>
      <c r="C469">
        <v>20.584240000000001</v>
      </c>
      <c r="D469">
        <v>42</v>
      </c>
      <c r="E469">
        <v>0</v>
      </c>
      <c r="F469">
        <v>0</v>
      </c>
      <c r="G469">
        <v>1</v>
      </c>
      <c r="H469" s="4">
        <v>1570519902475</v>
      </c>
      <c r="I469">
        <v>526.6875</v>
      </c>
      <c r="J469" s="9">
        <f t="shared" si="7"/>
        <v>43746.605352719904</v>
      </c>
      <c r="K469" s="1"/>
    </row>
    <row r="470" spans="1:11" x14ac:dyDescent="0.25">
      <c r="A470" t="e">
        <f>-LqeH-Q2woangYFSaC7B</f>
        <v>#NAME?</v>
      </c>
      <c r="B470">
        <v>393.75</v>
      </c>
      <c r="C470">
        <v>20.584240000000001</v>
      </c>
      <c r="D470">
        <v>42</v>
      </c>
      <c r="E470">
        <v>0</v>
      </c>
      <c r="F470">
        <v>0</v>
      </c>
      <c r="G470">
        <v>1</v>
      </c>
      <c r="H470" s="4">
        <v>1570519908675</v>
      </c>
      <c r="I470">
        <v>526.6875</v>
      </c>
      <c r="J470" s="9">
        <f t="shared" si="7"/>
        <v>43746.605424479167</v>
      </c>
      <c r="K470" s="1"/>
    </row>
    <row r="471" spans="1:11" x14ac:dyDescent="0.25">
      <c r="A471" t="e">
        <f>-LqeH16nXTtxM1GuyNAD</f>
        <v>#NAME?</v>
      </c>
      <c r="B471">
        <v>393.75</v>
      </c>
      <c r="C471">
        <v>20.584240000000001</v>
      </c>
      <c r="D471">
        <v>44</v>
      </c>
      <c r="E471">
        <v>0</v>
      </c>
      <c r="F471">
        <v>0</v>
      </c>
      <c r="G471">
        <v>1</v>
      </c>
      <c r="H471" s="4">
        <v>1570519915894</v>
      </c>
      <c r="I471">
        <v>526.6875</v>
      </c>
      <c r="J471" s="9">
        <f t="shared" si="7"/>
        <v>43746.605508032408</v>
      </c>
      <c r="K471" s="1"/>
    </row>
    <row r="472" spans="1:11" x14ac:dyDescent="0.25">
      <c r="A472" t="e">
        <f>-LqeH2ue6r2YNgTG6qCs</f>
        <v>#NAME?</v>
      </c>
      <c r="B472">
        <v>393.75</v>
      </c>
      <c r="C472">
        <v>20.531590000000001</v>
      </c>
      <c r="D472">
        <v>43</v>
      </c>
      <c r="E472">
        <v>0</v>
      </c>
      <c r="F472">
        <v>0</v>
      </c>
      <c r="G472">
        <v>1</v>
      </c>
      <c r="H472" s="4">
        <v>1570519923105</v>
      </c>
      <c r="I472">
        <v>526.6875</v>
      </c>
      <c r="J472" s="9">
        <f t="shared" si="7"/>
        <v>43746.605591493055</v>
      </c>
      <c r="K472" s="1"/>
    </row>
    <row r="473" spans="1:11" x14ac:dyDescent="0.25">
      <c r="A473" t="e">
        <f>-LqeH4Q0TAv1oppqznJG</f>
        <v>#NAME?</v>
      </c>
      <c r="B473">
        <v>393.75</v>
      </c>
      <c r="C473">
        <v>20.584240000000001</v>
      </c>
      <c r="D473">
        <v>43</v>
      </c>
      <c r="E473">
        <v>0</v>
      </c>
      <c r="F473">
        <v>0</v>
      </c>
      <c r="G473">
        <v>1</v>
      </c>
      <c r="H473" s="4">
        <v>1570519929284</v>
      </c>
      <c r="I473">
        <v>526.6875</v>
      </c>
      <c r="J473" s="9">
        <f t="shared" si="7"/>
        <v>43746.605663009257</v>
      </c>
      <c r="K473" s="1"/>
    </row>
    <row r="474" spans="1:11" x14ac:dyDescent="0.25">
      <c r="A474" t="e">
        <f>-LqeH6Bgtg08WNOsDT9G</f>
        <v>#NAME?</v>
      </c>
      <c r="B474">
        <v>393.75</v>
      </c>
      <c r="C474">
        <v>20.584240000000001</v>
      </c>
      <c r="D474">
        <v>41</v>
      </c>
      <c r="E474">
        <v>0</v>
      </c>
      <c r="F474">
        <v>0</v>
      </c>
      <c r="G474">
        <v>1</v>
      </c>
      <c r="H474" s="4">
        <v>1570519936504</v>
      </c>
      <c r="I474">
        <v>526.6875</v>
      </c>
      <c r="J474" s="9">
        <f t="shared" si="7"/>
        <v>43746.605746574067</v>
      </c>
      <c r="K474" s="1"/>
    </row>
    <row r="475" spans="1:11" x14ac:dyDescent="0.25">
      <c r="A475" t="e">
        <f>-LqeH7w28Xl8WhbRFE5c</f>
        <v>#NAME?</v>
      </c>
      <c r="B475">
        <v>393.75</v>
      </c>
      <c r="C475">
        <v>20.584240000000001</v>
      </c>
      <c r="D475">
        <v>42</v>
      </c>
      <c r="E475">
        <v>0</v>
      </c>
      <c r="F475">
        <v>0</v>
      </c>
      <c r="G475">
        <v>1</v>
      </c>
      <c r="H475" s="4">
        <v>1570519943722</v>
      </c>
      <c r="I475">
        <v>526.6875</v>
      </c>
      <c r="J475" s="9">
        <f t="shared" si="7"/>
        <v>43746.605830115739</v>
      </c>
      <c r="K475" s="1"/>
    </row>
    <row r="476" spans="1:11" x14ac:dyDescent="0.25">
      <c r="A476" t="e">
        <f>-LqeH9j5165rrPGsc-LK</f>
        <v>#NAME?</v>
      </c>
      <c r="B476">
        <v>393.75</v>
      </c>
      <c r="C476">
        <v>20.531590000000001</v>
      </c>
      <c r="D476">
        <v>42</v>
      </c>
      <c r="E476">
        <v>0</v>
      </c>
      <c r="F476">
        <v>0</v>
      </c>
      <c r="G476">
        <v>1</v>
      </c>
      <c r="H476" s="4">
        <v>1570519950925</v>
      </c>
      <c r="I476">
        <v>526.6875</v>
      </c>
      <c r="J476" s="9">
        <f t="shared" si="7"/>
        <v>43746.605913483792</v>
      </c>
      <c r="K476" s="1"/>
    </row>
    <row r="477" spans="1:11" x14ac:dyDescent="0.25">
      <c r="A477" t="s">
        <v>33</v>
      </c>
      <c r="B477">
        <v>393.75</v>
      </c>
      <c r="C477">
        <v>20.531590000000001</v>
      </c>
      <c r="D477">
        <v>41</v>
      </c>
      <c r="E477">
        <v>0</v>
      </c>
      <c r="F477">
        <v>0</v>
      </c>
      <c r="G477">
        <v>1</v>
      </c>
      <c r="H477" s="4">
        <v>1570519958155</v>
      </c>
      <c r="I477">
        <v>526.5</v>
      </c>
      <c r="J477" s="9">
        <f t="shared" si="7"/>
        <v>43746.605997164348</v>
      </c>
      <c r="K477" s="1"/>
    </row>
    <row r="478" spans="1:11" x14ac:dyDescent="0.25">
      <c r="A478" t="e">
        <f>-LqeHDK2o9PYchwJn3hD</f>
        <v>#NAME?</v>
      </c>
      <c r="B478">
        <v>393.75</v>
      </c>
      <c r="C478">
        <v>20.584240000000001</v>
      </c>
      <c r="D478">
        <v>41</v>
      </c>
      <c r="E478">
        <v>0</v>
      </c>
      <c r="F478">
        <v>0</v>
      </c>
      <c r="G478">
        <v>1</v>
      </c>
      <c r="H478" s="4">
        <v>1570519965355</v>
      </c>
      <c r="I478">
        <v>526.6875</v>
      </c>
      <c r="J478" s="9">
        <f t="shared" si="7"/>
        <v>43746.606080497681</v>
      </c>
      <c r="K478" s="1"/>
    </row>
    <row r="479" spans="1:11" x14ac:dyDescent="0.25">
      <c r="A479" t="e">
        <f>-LqeHEy9OdE0SC0ZKhrC</f>
        <v>#NAME?</v>
      </c>
      <c r="B479">
        <v>393.75</v>
      </c>
      <c r="C479">
        <v>20.531590000000001</v>
      </c>
      <c r="D479">
        <v>41</v>
      </c>
      <c r="E479">
        <v>0</v>
      </c>
      <c r="F479">
        <v>0</v>
      </c>
      <c r="G479">
        <v>1</v>
      </c>
      <c r="H479" s="4">
        <v>1570519972562</v>
      </c>
      <c r="I479">
        <v>526.6875</v>
      </c>
      <c r="J479" s="9">
        <f t="shared" si="7"/>
        <v>43746.606163912038</v>
      </c>
      <c r="K479" s="1"/>
    </row>
    <row r="480" spans="1:11" x14ac:dyDescent="0.25">
      <c r="A480" t="e">
        <f>-LqeHGX2Z5L7_BLZALwX</f>
        <v>#NAME?</v>
      </c>
      <c r="B480">
        <v>393.75</v>
      </c>
      <c r="C480">
        <v>20.584240000000001</v>
      </c>
      <c r="D480">
        <v>41</v>
      </c>
      <c r="E480">
        <v>0</v>
      </c>
      <c r="F480">
        <v>0</v>
      </c>
      <c r="G480">
        <v>1</v>
      </c>
      <c r="H480" s="4">
        <v>1570519978754</v>
      </c>
      <c r="I480">
        <v>526.6875</v>
      </c>
      <c r="J480" s="9">
        <f t="shared" si="7"/>
        <v>43746.6062355787</v>
      </c>
      <c r="K480" s="1"/>
    </row>
    <row r="481" spans="1:11" x14ac:dyDescent="0.25">
      <c r="A481" t="e">
        <f>-LqeHIEE9V2wE6VQ8wqD</f>
        <v>#NAME?</v>
      </c>
      <c r="B481">
        <v>393.75</v>
      </c>
      <c r="C481">
        <v>20.531590000000001</v>
      </c>
      <c r="D481">
        <v>38</v>
      </c>
      <c r="E481">
        <v>0</v>
      </c>
      <c r="F481">
        <v>0</v>
      </c>
      <c r="G481">
        <v>1</v>
      </c>
      <c r="H481" s="4">
        <v>1570519985966</v>
      </c>
      <c r="I481">
        <v>526.5</v>
      </c>
      <c r="J481" s="9">
        <f t="shared" si="7"/>
        <v>43746.606319050923</v>
      </c>
      <c r="K481" s="1"/>
    </row>
    <row r="482" spans="1:11" x14ac:dyDescent="0.25">
      <c r="A482" t="e">
        <f>-LqeHJj4VU3dze_WRmFw</f>
        <v>#NAME?</v>
      </c>
      <c r="B482">
        <v>393.75</v>
      </c>
      <c r="C482">
        <v>20.584240000000001</v>
      </c>
      <c r="D482">
        <v>39</v>
      </c>
      <c r="E482">
        <v>0</v>
      </c>
      <c r="F482">
        <v>0</v>
      </c>
      <c r="G482">
        <v>1</v>
      </c>
      <c r="H482" s="4">
        <v>1570519992158</v>
      </c>
      <c r="I482">
        <v>526.5</v>
      </c>
      <c r="J482" s="9">
        <f t="shared" si="7"/>
        <v>43746.606390717592</v>
      </c>
      <c r="K482" s="1"/>
    </row>
    <row r="483" spans="1:11" x14ac:dyDescent="0.25">
      <c r="A483" t="e">
        <f>-LqeHLI1IevbVadOcN1h</f>
        <v>#NAME?</v>
      </c>
      <c r="B483">
        <v>393.75</v>
      </c>
      <c r="C483">
        <v>20.584240000000001</v>
      </c>
      <c r="D483">
        <v>39</v>
      </c>
      <c r="E483">
        <v>0</v>
      </c>
      <c r="F483">
        <v>0</v>
      </c>
      <c r="G483">
        <v>1</v>
      </c>
      <c r="H483" s="4">
        <v>1570519998304</v>
      </c>
      <c r="I483">
        <v>526.6875</v>
      </c>
      <c r="J483" s="9">
        <f t="shared" si="7"/>
        <v>43746.60646185185</v>
      </c>
      <c r="K483" s="1"/>
    </row>
    <row r="484" spans="1:11" x14ac:dyDescent="0.25">
      <c r="A484" t="e">
        <f>-LqeHN1HqnhfDnlCBDDC</f>
        <v>#NAME?</v>
      </c>
      <c r="B484">
        <v>396.875</v>
      </c>
      <c r="C484">
        <v>20.584240000000001</v>
      </c>
      <c r="D484">
        <v>41</v>
      </c>
      <c r="E484">
        <v>0</v>
      </c>
      <c r="F484">
        <v>0</v>
      </c>
      <c r="G484">
        <v>1</v>
      </c>
      <c r="H484" s="4">
        <v>1570520005516</v>
      </c>
      <c r="I484">
        <v>527.4375</v>
      </c>
      <c r="J484" s="9">
        <f t="shared" si="7"/>
        <v>43746.606545324066</v>
      </c>
      <c r="K484" s="1"/>
    </row>
    <row r="485" spans="1:11" x14ac:dyDescent="0.25">
      <c r="A485" t="e">
        <f>-LqeHOUOtx2JOjCu3MgA</f>
        <v>#NAME?</v>
      </c>
      <c r="B485">
        <v>396.875</v>
      </c>
      <c r="C485">
        <v>20.531590000000001</v>
      </c>
      <c r="D485">
        <v>41</v>
      </c>
      <c r="E485">
        <v>0</v>
      </c>
      <c r="F485">
        <v>0</v>
      </c>
      <c r="G485">
        <v>1</v>
      </c>
      <c r="H485" s="4">
        <v>1570520011698</v>
      </c>
      <c r="I485">
        <v>527.4375</v>
      </c>
      <c r="J485" s="9">
        <f t="shared" si="7"/>
        <v>43746.606616874997</v>
      </c>
      <c r="K485" s="1"/>
    </row>
    <row r="486" spans="1:11" x14ac:dyDescent="0.25">
      <c r="A486" t="e">
        <f>-LqeHQ1bARIR69Ribt47</f>
        <v>#NAME?</v>
      </c>
      <c r="B486">
        <v>396.875</v>
      </c>
      <c r="C486">
        <v>20.584240000000001</v>
      </c>
      <c r="D486">
        <v>42</v>
      </c>
      <c r="E486">
        <v>0</v>
      </c>
      <c r="F486">
        <v>0</v>
      </c>
      <c r="G486">
        <v>1</v>
      </c>
      <c r="H486" s="4">
        <v>1570520017910</v>
      </c>
      <c r="I486">
        <v>527.4375</v>
      </c>
      <c r="J486" s="9">
        <f t="shared" si="7"/>
        <v>43746.60668877315</v>
      </c>
      <c r="K486" s="1"/>
    </row>
    <row r="487" spans="1:11" x14ac:dyDescent="0.25">
      <c r="A487" t="s">
        <v>34</v>
      </c>
      <c r="B487">
        <v>393.75</v>
      </c>
      <c r="C487">
        <v>20.584240000000001</v>
      </c>
      <c r="D487">
        <v>42</v>
      </c>
      <c r="E487">
        <v>0</v>
      </c>
      <c r="F487">
        <v>0</v>
      </c>
      <c r="G487">
        <v>1</v>
      </c>
      <c r="H487" s="4">
        <v>1570520024142</v>
      </c>
      <c r="I487">
        <v>526.6875</v>
      </c>
      <c r="J487" s="9">
        <f t="shared" si="7"/>
        <v>43746.606760902774</v>
      </c>
      <c r="K487" s="1"/>
    </row>
    <row r="488" spans="1:11" x14ac:dyDescent="0.25">
      <c r="A488" t="e">
        <f>-LqeHTKUmCzvQYH-BYNb</f>
        <v>#NAME?</v>
      </c>
      <c r="B488">
        <v>393.75</v>
      </c>
      <c r="C488">
        <v>20.584240000000001</v>
      </c>
      <c r="D488">
        <v>42</v>
      </c>
      <c r="E488">
        <v>0</v>
      </c>
      <c r="F488">
        <v>0</v>
      </c>
      <c r="G488">
        <v>1</v>
      </c>
      <c r="H488" s="4">
        <v>1570520031343</v>
      </c>
      <c r="I488">
        <v>526.5</v>
      </c>
      <c r="J488" s="9">
        <f t="shared" si="7"/>
        <v>43746.606844247683</v>
      </c>
      <c r="K488" s="1"/>
    </row>
    <row r="489" spans="1:11" x14ac:dyDescent="0.25">
      <c r="A489" t="e">
        <f>-LqeHUoUmi10XGQY5gEp</f>
        <v>#NAME?</v>
      </c>
      <c r="B489">
        <v>393.75</v>
      </c>
      <c r="C489">
        <v>20.531590000000001</v>
      </c>
      <c r="D489">
        <v>42</v>
      </c>
      <c r="E489">
        <v>0</v>
      </c>
      <c r="F489">
        <v>0</v>
      </c>
      <c r="G489">
        <v>1</v>
      </c>
      <c r="H489" s="4">
        <v>1570520037527</v>
      </c>
      <c r="I489">
        <v>526.6875</v>
      </c>
      <c r="J489" s="9">
        <f t="shared" si="7"/>
        <v>43746.606915821758</v>
      </c>
      <c r="K489" s="1"/>
    </row>
    <row r="490" spans="1:11" x14ac:dyDescent="0.25">
      <c r="A490" t="e">
        <f>-LqeHWIn5cn48waluh8b</f>
        <v>#NAME?</v>
      </c>
      <c r="B490">
        <v>393.75</v>
      </c>
      <c r="C490">
        <v>20.584240000000001</v>
      </c>
      <c r="D490">
        <v>40</v>
      </c>
      <c r="E490">
        <v>0</v>
      </c>
      <c r="F490">
        <v>0</v>
      </c>
      <c r="G490">
        <v>1</v>
      </c>
      <c r="H490" s="4">
        <v>1570520043672</v>
      </c>
      <c r="I490">
        <v>526.6875</v>
      </c>
      <c r="J490" s="9">
        <f t="shared" si="7"/>
        <v>43746.60698694444</v>
      </c>
      <c r="K490" s="1"/>
    </row>
    <row r="491" spans="1:11" x14ac:dyDescent="0.25">
      <c r="A491" t="e">
        <f>-LqeHXqbnVo3NLDH58cp</f>
        <v>#NAME?</v>
      </c>
      <c r="B491">
        <v>393.75</v>
      </c>
      <c r="C491">
        <v>20.584240000000001</v>
      </c>
      <c r="D491">
        <v>40</v>
      </c>
      <c r="E491">
        <v>0</v>
      </c>
      <c r="F491">
        <v>0</v>
      </c>
      <c r="G491">
        <v>1</v>
      </c>
      <c r="H491" s="4">
        <v>1570520049902</v>
      </c>
      <c r="I491">
        <v>526.6875</v>
      </c>
      <c r="J491" s="9">
        <f t="shared" si="7"/>
        <v>43746.607059050926</v>
      </c>
      <c r="K491" s="1"/>
    </row>
    <row r="492" spans="1:11" x14ac:dyDescent="0.25">
      <c r="A492" t="e">
        <f>-LqeHZLvn1sFm2tes8fE</f>
        <v>#NAME?</v>
      </c>
      <c r="B492">
        <v>393.75</v>
      </c>
      <c r="C492">
        <v>20.584240000000001</v>
      </c>
      <c r="D492">
        <v>38</v>
      </c>
      <c r="E492">
        <v>0</v>
      </c>
      <c r="F492">
        <v>0</v>
      </c>
      <c r="G492">
        <v>1</v>
      </c>
      <c r="H492" s="4">
        <v>1570520056078</v>
      </c>
      <c r="I492">
        <v>526.6875</v>
      </c>
      <c r="J492" s="9">
        <f t="shared" si="7"/>
        <v>43746.607130532408</v>
      </c>
      <c r="K492" s="1"/>
    </row>
    <row r="493" spans="1:11" x14ac:dyDescent="0.25">
      <c r="A493" t="e">
        <f>-LqeH_rBmuEFclQFO8Y7</f>
        <v>#NAME?</v>
      </c>
      <c r="B493">
        <v>393.75</v>
      </c>
      <c r="C493">
        <v>20.584240000000001</v>
      </c>
      <c r="D493">
        <v>38</v>
      </c>
      <c r="E493">
        <v>0</v>
      </c>
      <c r="F493">
        <v>0</v>
      </c>
      <c r="G493">
        <v>1</v>
      </c>
      <c r="H493" s="4">
        <v>1570520062237</v>
      </c>
      <c r="I493">
        <v>526.5</v>
      </c>
      <c r="J493" s="9">
        <f t="shared" si="7"/>
        <v>43746.607201817133</v>
      </c>
      <c r="K493" s="1"/>
    </row>
    <row r="494" spans="1:11" x14ac:dyDescent="0.25">
      <c r="A494" t="e">
        <f>-LqeHbcwI92pFI6EF4kJ</f>
        <v>#NAME?</v>
      </c>
      <c r="B494">
        <v>412.5</v>
      </c>
      <c r="C494">
        <v>20.584240000000001</v>
      </c>
      <c r="D494">
        <v>38</v>
      </c>
      <c r="E494">
        <v>0</v>
      </c>
      <c r="F494">
        <v>0</v>
      </c>
      <c r="G494">
        <v>1</v>
      </c>
      <c r="H494" s="4">
        <v>1570520069453</v>
      </c>
      <c r="I494">
        <v>532.3125</v>
      </c>
      <c r="J494" s="9">
        <f t="shared" si="7"/>
        <v>43746.607285335645</v>
      </c>
      <c r="K494" s="1"/>
    </row>
    <row r="495" spans="1:11" x14ac:dyDescent="0.25">
      <c r="A495" t="e">
        <f>-LqeHdNCq7vmIfB4lMMc</f>
        <v>#NAME?</v>
      </c>
      <c r="B495">
        <v>393.75</v>
      </c>
      <c r="C495">
        <v>20.531590000000001</v>
      </c>
      <c r="D495">
        <v>39</v>
      </c>
      <c r="E495">
        <v>0</v>
      </c>
      <c r="F495">
        <v>0</v>
      </c>
      <c r="G495">
        <v>1</v>
      </c>
      <c r="H495" s="4">
        <v>1570520076637</v>
      </c>
      <c r="I495">
        <v>526.6875</v>
      </c>
      <c r="J495" s="9">
        <f t="shared" si="7"/>
        <v>43746.607368483797</v>
      </c>
      <c r="K495" s="1"/>
    </row>
    <row r="496" spans="1:11" x14ac:dyDescent="0.25">
      <c r="A496" t="e">
        <f>-LqeHf4gij4HtodHOvxv</f>
        <v>#NAME?</v>
      </c>
      <c r="B496">
        <v>393.75</v>
      </c>
      <c r="C496">
        <v>20.584240000000001</v>
      </c>
      <c r="D496">
        <v>40</v>
      </c>
      <c r="E496">
        <v>0</v>
      </c>
      <c r="F496">
        <v>0</v>
      </c>
      <c r="G496">
        <v>1</v>
      </c>
      <c r="H496" s="4">
        <v>1570520082877</v>
      </c>
      <c r="I496">
        <v>526.6875</v>
      </c>
      <c r="J496" s="9">
        <f t="shared" si="7"/>
        <v>43746.607440706015</v>
      </c>
      <c r="K496" s="1"/>
    </row>
    <row r="497" spans="1:11" x14ac:dyDescent="0.25">
      <c r="A497" t="e">
        <f>-LqeHgdthavuAZ6nwH9j</f>
        <v>#NAME?</v>
      </c>
      <c r="B497">
        <v>393.75</v>
      </c>
      <c r="C497">
        <v>20.584240000000001</v>
      </c>
      <c r="D497">
        <v>41</v>
      </c>
      <c r="E497">
        <v>0</v>
      </c>
      <c r="F497">
        <v>0</v>
      </c>
      <c r="G497">
        <v>1</v>
      </c>
      <c r="H497" s="4">
        <v>1570520090077</v>
      </c>
      <c r="I497">
        <v>526.6875</v>
      </c>
      <c r="J497" s="9">
        <f t="shared" si="7"/>
        <v>43746.607524039347</v>
      </c>
      <c r="K497" s="1"/>
    </row>
    <row r="498" spans="1:11" x14ac:dyDescent="0.25">
      <c r="A498" t="s">
        <v>35</v>
      </c>
      <c r="B498">
        <v>393.75</v>
      </c>
      <c r="C498">
        <v>20.584240000000001</v>
      </c>
      <c r="D498">
        <v>41</v>
      </c>
      <c r="E498">
        <v>0</v>
      </c>
      <c r="F498">
        <v>0</v>
      </c>
      <c r="G498">
        <v>1</v>
      </c>
      <c r="H498" s="4">
        <v>1570520096221</v>
      </c>
      <c r="I498">
        <v>526.5</v>
      </c>
      <c r="J498" s="9">
        <f t="shared" si="7"/>
        <v>43746.607595150461</v>
      </c>
      <c r="K498" s="1"/>
    </row>
    <row r="499" spans="1:11" x14ac:dyDescent="0.25">
      <c r="A499" t="e">
        <f>-LqeHjf6vn8xgHLjfVsd</f>
        <v>#NAME?</v>
      </c>
      <c r="B499">
        <v>393.75</v>
      </c>
      <c r="C499">
        <v>20.584240000000001</v>
      </c>
      <c r="D499">
        <v>41</v>
      </c>
      <c r="E499">
        <v>0</v>
      </c>
      <c r="F499">
        <v>0</v>
      </c>
      <c r="G499">
        <v>1</v>
      </c>
      <c r="H499" s="4">
        <v>1570520102425</v>
      </c>
      <c r="I499">
        <v>526.6875</v>
      </c>
      <c r="J499" s="9">
        <f t="shared" si="7"/>
        <v>43746.607666956021</v>
      </c>
      <c r="K499" s="1"/>
    </row>
    <row r="500" spans="1:11" x14ac:dyDescent="0.25">
      <c r="A500" t="e">
        <f>-LqeHlAMm0jdem4ajdOp</f>
        <v>#NAME?</v>
      </c>
      <c r="B500">
        <v>412.5</v>
      </c>
      <c r="C500">
        <v>20.584240000000001</v>
      </c>
      <c r="D500">
        <v>41</v>
      </c>
      <c r="E500">
        <v>0</v>
      </c>
      <c r="F500">
        <v>0</v>
      </c>
      <c r="G500">
        <v>1</v>
      </c>
      <c r="H500" s="4">
        <v>1570520108581</v>
      </c>
      <c r="I500">
        <v>532.3125</v>
      </c>
      <c r="J500" s="9">
        <f t="shared" si="7"/>
        <v>43746.607738206018</v>
      </c>
      <c r="K500" s="1"/>
    </row>
    <row r="501" spans="1:11" x14ac:dyDescent="0.25">
      <c r="A501" t="e">
        <f>-LqeHmjWbTgGyym5OY2t</f>
        <v>#NAME?</v>
      </c>
      <c r="B501">
        <v>393.75</v>
      </c>
      <c r="C501">
        <v>20.584240000000001</v>
      </c>
      <c r="D501">
        <v>41</v>
      </c>
      <c r="E501">
        <v>0</v>
      </c>
      <c r="F501">
        <v>0</v>
      </c>
      <c r="G501">
        <v>1</v>
      </c>
      <c r="H501" s="4">
        <v>1570520114973</v>
      </c>
      <c r="I501">
        <v>526.5</v>
      </c>
      <c r="J501" s="9">
        <f t="shared" si="7"/>
        <v>43746.607812187496</v>
      </c>
      <c r="K501" s="1"/>
    </row>
    <row r="502" spans="1:11" x14ac:dyDescent="0.25">
      <c r="A502" t="e">
        <f>-LqeHoTlLlAoxDpg4wQ0</f>
        <v>#NAME?</v>
      </c>
      <c r="B502">
        <v>393.75</v>
      </c>
      <c r="C502">
        <v>20.531590000000001</v>
      </c>
      <c r="D502">
        <v>41</v>
      </c>
      <c r="E502">
        <v>0</v>
      </c>
      <c r="F502">
        <v>0</v>
      </c>
      <c r="G502">
        <v>1</v>
      </c>
      <c r="H502" s="4">
        <v>1570520122031</v>
      </c>
      <c r="I502">
        <v>526.6875</v>
      </c>
      <c r="J502" s="9">
        <f t="shared" si="7"/>
        <v>43746.607893877313</v>
      </c>
      <c r="K502" s="1"/>
    </row>
    <row r="503" spans="1:11" x14ac:dyDescent="0.25">
      <c r="A503" t="e">
        <f>-LqeHqD3IgUdCU47OfYt</f>
        <v>#NAME?</v>
      </c>
      <c r="B503">
        <v>393.75</v>
      </c>
      <c r="C503">
        <v>20.584240000000001</v>
      </c>
      <c r="D503">
        <v>42</v>
      </c>
      <c r="E503">
        <v>0</v>
      </c>
      <c r="F503">
        <v>0</v>
      </c>
      <c r="G503">
        <v>1</v>
      </c>
      <c r="H503" s="4">
        <v>1570520129244</v>
      </c>
      <c r="I503">
        <v>526.6875</v>
      </c>
      <c r="J503" s="9">
        <f t="shared" si="7"/>
        <v>43746.607977361105</v>
      </c>
      <c r="K503" s="1"/>
    </row>
    <row r="504" spans="1:11" x14ac:dyDescent="0.25">
      <c r="A504" t="e">
        <f>-LqeHrh-RBEG5yfQLISl</f>
        <v>#NAME?</v>
      </c>
      <c r="B504">
        <v>393.75</v>
      </c>
      <c r="C504">
        <v>20.584240000000001</v>
      </c>
      <c r="D504">
        <v>42</v>
      </c>
      <c r="E504">
        <v>0</v>
      </c>
      <c r="F504">
        <v>0</v>
      </c>
      <c r="G504">
        <v>1</v>
      </c>
      <c r="H504" s="4">
        <v>1570520135405</v>
      </c>
      <c r="I504">
        <v>526.6875</v>
      </c>
      <c r="J504" s="9">
        <f t="shared" si="7"/>
        <v>43746.608048668983</v>
      </c>
      <c r="K504" s="1"/>
    </row>
    <row r="505" spans="1:11" x14ac:dyDescent="0.25">
      <c r="A505" t="e">
        <f>-LqeHtDiQ2XSSQ2Q9pxp</f>
        <v>#NAME?</v>
      </c>
      <c r="B505">
        <v>393.75</v>
      </c>
      <c r="C505">
        <v>20.531590000000001</v>
      </c>
      <c r="D505">
        <v>42</v>
      </c>
      <c r="E505">
        <v>0</v>
      </c>
      <c r="F505">
        <v>0</v>
      </c>
      <c r="G505">
        <v>1</v>
      </c>
      <c r="H505" s="4">
        <v>1570520141626</v>
      </c>
      <c r="I505">
        <v>526.6875</v>
      </c>
      <c r="J505" s="9">
        <f t="shared" si="7"/>
        <v>43746.608120671292</v>
      </c>
      <c r="K505" s="1"/>
    </row>
    <row r="506" spans="1:11" x14ac:dyDescent="0.25">
      <c r="A506" t="e">
        <f>-LqeHuiRogep7AuHeoND</f>
        <v>#NAME?</v>
      </c>
      <c r="B506">
        <v>393.75</v>
      </c>
      <c r="C506">
        <v>20.584240000000001</v>
      </c>
      <c r="D506">
        <v>43</v>
      </c>
      <c r="E506">
        <v>0</v>
      </c>
      <c r="F506">
        <v>0</v>
      </c>
      <c r="G506">
        <v>1</v>
      </c>
      <c r="H506" s="4">
        <v>1570520147778</v>
      </c>
      <c r="I506">
        <v>526.5</v>
      </c>
      <c r="J506" s="9">
        <f t="shared" si="7"/>
        <v>43746.608191874999</v>
      </c>
      <c r="K506" s="1"/>
    </row>
    <row r="507" spans="1:11" x14ac:dyDescent="0.25">
      <c r="A507" t="e">
        <f>-LqeHwEv1JJp-rf20ZsK</f>
        <v>#NAME?</v>
      </c>
      <c r="B507">
        <v>412.5</v>
      </c>
      <c r="C507">
        <v>20.584240000000001</v>
      </c>
      <c r="D507">
        <v>43</v>
      </c>
      <c r="E507">
        <v>0</v>
      </c>
      <c r="F507">
        <v>0</v>
      </c>
      <c r="G507">
        <v>1</v>
      </c>
      <c r="H507" s="4">
        <v>1570520153932</v>
      </c>
      <c r="I507">
        <v>532.3125</v>
      </c>
      <c r="J507" s="9">
        <f t="shared" si="7"/>
        <v>43746.608263101851</v>
      </c>
      <c r="K507" s="1"/>
    </row>
    <row r="508" spans="1:11" x14ac:dyDescent="0.25">
      <c r="A508" t="e">
        <f>-LqeHxl3_NZHf10oEckW</f>
        <v>#NAME?</v>
      </c>
      <c r="B508">
        <v>393.75</v>
      </c>
      <c r="C508">
        <v>20.584240000000001</v>
      </c>
      <c r="D508">
        <v>43</v>
      </c>
      <c r="E508">
        <v>0</v>
      </c>
      <c r="F508">
        <v>0</v>
      </c>
      <c r="G508">
        <v>1</v>
      </c>
      <c r="H508" s="4">
        <v>1570520160146</v>
      </c>
      <c r="I508">
        <v>526.6875</v>
      </c>
      <c r="J508" s="9">
        <f t="shared" si="7"/>
        <v>43746.608335023142</v>
      </c>
      <c r="K508" s="1"/>
    </row>
    <row r="509" spans="1:11" x14ac:dyDescent="0.25">
      <c r="A509" t="e">
        <f>-LqeHzKy5KsC4Tznv03X</f>
        <v>#NAME?</v>
      </c>
      <c r="B509">
        <v>393.75</v>
      </c>
      <c r="C509">
        <v>20.584240000000001</v>
      </c>
      <c r="D509">
        <v>43</v>
      </c>
      <c r="E509">
        <v>0</v>
      </c>
      <c r="F509">
        <v>0</v>
      </c>
      <c r="G509">
        <v>1</v>
      </c>
      <c r="H509" s="4">
        <v>1570520166303</v>
      </c>
      <c r="I509">
        <v>526.5</v>
      </c>
      <c r="J509" s="9">
        <f t="shared" si="7"/>
        <v>43746.608406284715</v>
      </c>
      <c r="K509" s="1"/>
    </row>
    <row r="510" spans="1:11" x14ac:dyDescent="0.25">
      <c r="A510" t="e">
        <f>-LqeI00tA1BhJwtcDwmZ</f>
        <v>#NAME?</v>
      </c>
      <c r="B510">
        <v>393.75</v>
      </c>
      <c r="C510">
        <v>20.584240000000001</v>
      </c>
      <c r="D510">
        <v>43</v>
      </c>
      <c r="E510">
        <v>0</v>
      </c>
      <c r="F510">
        <v>0</v>
      </c>
      <c r="G510">
        <v>1</v>
      </c>
      <c r="H510" s="4">
        <v>1570520173518</v>
      </c>
      <c r="I510">
        <v>526.5</v>
      </c>
      <c r="J510" s="9">
        <f t="shared" si="7"/>
        <v>43746.608489791666</v>
      </c>
      <c r="K510" s="1"/>
    </row>
    <row r="511" spans="1:11" x14ac:dyDescent="0.25">
      <c r="A511" t="e">
        <f>-LqeI1XI5ebTW83xjjIq</f>
        <v>#NAME?</v>
      </c>
      <c r="B511">
        <v>393.75</v>
      </c>
      <c r="C511">
        <v>20.584240000000001</v>
      </c>
      <c r="D511">
        <v>43</v>
      </c>
      <c r="E511">
        <v>0</v>
      </c>
      <c r="F511">
        <v>0</v>
      </c>
      <c r="G511">
        <v>1</v>
      </c>
      <c r="H511" s="4">
        <v>1570520179711</v>
      </c>
      <c r="I511">
        <v>526.6875</v>
      </c>
      <c r="J511" s="9">
        <f t="shared" si="7"/>
        <v>43746.608561469904</v>
      </c>
      <c r="K511" s="1"/>
    </row>
    <row r="512" spans="1:11" x14ac:dyDescent="0.25">
      <c r="A512" t="e">
        <f>-LqeI32SZsKk5pauR74Y</f>
        <v>#NAME?</v>
      </c>
      <c r="B512">
        <v>393.75</v>
      </c>
      <c r="C512">
        <v>20.584240000000001</v>
      </c>
      <c r="D512">
        <v>43</v>
      </c>
      <c r="E512">
        <v>0</v>
      </c>
      <c r="F512">
        <v>0</v>
      </c>
      <c r="G512">
        <v>1</v>
      </c>
      <c r="H512" s="4">
        <v>1570520185902</v>
      </c>
      <c r="I512">
        <v>526.6875</v>
      </c>
      <c r="J512" s="9">
        <f t="shared" si="7"/>
        <v>43746.608633124997</v>
      </c>
      <c r="K512" s="1"/>
    </row>
    <row r="513" spans="1:11" x14ac:dyDescent="0.25">
      <c r="A513" t="e">
        <f>-LqeI4Z2hQA5sv3Me1JY</f>
        <v>#NAME?</v>
      </c>
      <c r="B513">
        <v>393.75</v>
      </c>
      <c r="C513">
        <v>20.531590000000001</v>
      </c>
      <c r="D513">
        <v>42</v>
      </c>
      <c r="E513">
        <v>0</v>
      </c>
      <c r="F513">
        <v>0</v>
      </c>
      <c r="G513">
        <v>1</v>
      </c>
      <c r="H513" s="4">
        <v>1570520192078</v>
      </c>
      <c r="I513">
        <v>526.6875</v>
      </c>
      <c r="J513" s="9">
        <f t="shared" si="7"/>
        <v>43746.608704606479</v>
      </c>
      <c r="K513" s="1"/>
    </row>
    <row r="514" spans="1:11" x14ac:dyDescent="0.25">
      <c r="A514" t="e">
        <f>-LqeI61zGt2fnOFd-gsq</f>
        <v>#NAME?</v>
      </c>
      <c r="B514">
        <v>393.75</v>
      </c>
      <c r="C514">
        <v>20.584240000000001</v>
      </c>
      <c r="D514">
        <v>41</v>
      </c>
      <c r="E514">
        <v>0</v>
      </c>
      <c r="F514">
        <v>0</v>
      </c>
      <c r="G514">
        <v>1</v>
      </c>
      <c r="H514" s="4">
        <v>1570520198290</v>
      </c>
      <c r="I514">
        <v>526.5</v>
      </c>
      <c r="J514" s="9">
        <f t="shared" si="7"/>
        <v>43746.608776504632</v>
      </c>
      <c r="K514" s="1"/>
    </row>
    <row r="515" spans="1:11" x14ac:dyDescent="0.25">
      <c r="A515" t="e">
        <f>-LqeI7ZGz9g9mtG-Ukcl</f>
        <v>#NAME?</v>
      </c>
      <c r="B515">
        <v>393.75</v>
      </c>
      <c r="C515">
        <v>20.531590000000001</v>
      </c>
      <c r="D515">
        <v>40</v>
      </c>
      <c r="E515">
        <v>0</v>
      </c>
      <c r="F515">
        <v>0</v>
      </c>
      <c r="G515">
        <v>1</v>
      </c>
      <c r="H515" s="4">
        <v>1570520204437</v>
      </c>
      <c r="I515">
        <v>526.6875</v>
      </c>
      <c r="J515" s="9">
        <f t="shared" ref="J515:J578" si="8">(H515/86400000)+25569+(7/24)</f>
        <v>43746.608847650459</v>
      </c>
      <c r="K515" s="1"/>
    </row>
    <row r="516" spans="1:11" x14ac:dyDescent="0.25">
      <c r="A516" t="e">
        <f>-LqeI94niQTb68OEcsri</f>
        <v>#NAME?</v>
      </c>
      <c r="B516">
        <v>393.75</v>
      </c>
      <c r="C516">
        <v>20.584240000000001</v>
      </c>
      <c r="D516">
        <v>40</v>
      </c>
      <c r="E516">
        <v>0</v>
      </c>
      <c r="F516">
        <v>0</v>
      </c>
      <c r="G516">
        <v>1</v>
      </c>
      <c r="H516" s="4">
        <v>1570520210616</v>
      </c>
      <c r="I516">
        <v>526.5</v>
      </c>
      <c r="J516" s="9">
        <f t="shared" si="8"/>
        <v>43746.608919166662</v>
      </c>
      <c r="K516" s="1"/>
    </row>
    <row r="517" spans="1:11" x14ac:dyDescent="0.25">
      <c r="A517" t="e">
        <f>-LqeIAajPrCAc0IqbHvR</f>
        <v>#NAME?</v>
      </c>
      <c r="B517">
        <v>393.75</v>
      </c>
      <c r="C517">
        <v>20.584240000000001</v>
      </c>
      <c r="D517">
        <v>41</v>
      </c>
      <c r="E517">
        <v>0</v>
      </c>
      <c r="F517">
        <v>0</v>
      </c>
      <c r="G517">
        <v>1</v>
      </c>
      <c r="H517" s="4">
        <v>1570520216823</v>
      </c>
      <c r="I517">
        <v>526.5</v>
      </c>
      <c r="J517" s="9">
        <f t="shared" si="8"/>
        <v>43746.608991006942</v>
      </c>
      <c r="K517" s="1"/>
    </row>
    <row r="518" spans="1:11" x14ac:dyDescent="0.25">
      <c r="A518" t="e">
        <f>-LqeIC4Nraflu6HvKRZK</f>
        <v>#NAME?</v>
      </c>
      <c r="B518">
        <v>393.75</v>
      </c>
      <c r="C518">
        <v>20.531590000000001</v>
      </c>
      <c r="D518">
        <v>40</v>
      </c>
      <c r="E518">
        <v>0</v>
      </c>
      <c r="F518">
        <v>0</v>
      </c>
      <c r="G518">
        <v>1</v>
      </c>
      <c r="H518" s="4">
        <v>1570520222983</v>
      </c>
      <c r="I518">
        <v>526.6875</v>
      </c>
      <c r="J518" s="9">
        <f t="shared" si="8"/>
        <v>43746.609062303243</v>
      </c>
      <c r="K518" s="1"/>
    </row>
    <row r="519" spans="1:11" x14ac:dyDescent="0.25">
      <c r="A519" t="s">
        <v>36</v>
      </c>
      <c r="B519">
        <v>415.625</v>
      </c>
      <c r="C519">
        <v>20.531590000000001</v>
      </c>
      <c r="D519">
        <v>39</v>
      </c>
      <c r="E519">
        <v>0</v>
      </c>
      <c r="F519">
        <v>0</v>
      </c>
      <c r="G519">
        <v>1</v>
      </c>
      <c r="H519" s="4">
        <v>1570520229169</v>
      </c>
      <c r="I519">
        <v>533.25</v>
      </c>
      <c r="J519" s="9">
        <f t="shared" si="8"/>
        <v>43746.609133900456</v>
      </c>
      <c r="K519" s="1"/>
    </row>
    <row r="520" spans="1:11" x14ac:dyDescent="0.25">
      <c r="A520" t="e">
        <f>-LqeIF6AkDSfHziemYkx</f>
        <v>#NAME?</v>
      </c>
      <c r="B520">
        <v>393.75</v>
      </c>
      <c r="C520">
        <v>20.584240000000001</v>
      </c>
      <c r="D520">
        <v>39</v>
      </c>
      <c r="E520">
        <v>0</v>
      </c>
      <c r="F520">
        <v>0</v>
      </c>
      <c r="G520">
        <v>1</v>
      </c>
      <c r="H520" s="4">
        <v>1570520235337</v>
      </c>
      <c r="I520">
        <v>526.6875</v>
      </c>
      <c r="J520" s="9">
        <f t="shared" si="8"/>
        <v>43746.609205289351</v>
      </c>
      <c r="K520" s="1"/>
    </row>
    <row r="521" spans="1:11" x14ac:dyDescent="0.25">
      <c r="A521" t="e">
        <f>-LqeIGc8l7GnPTMF0y96</f>
        <v>#NAME?</v>
      </c>
      <c r="B521">
        <v>393.75</v>
      </c>
      <c r="C521">
        <v>20.584240000000001</v>
      </c>
      <c r="D521">
        <v>39</v>
      </c>
      <c r="E521">
        <v>0</v>
      </c>
      <c r="F521">
        <v>0</v>
      </c>
      <c r="G521">
        <v>1</v>
      </c>
      <c r="H521" s="4">
        <v>1570520241522</v>
      </c>
      <c r="I521">
        <v>526.5</v>
      </c>
      <c r="J521" s="9">
        <f t="shared" si="8"/>
        <v>43746.609276875002</v>
      </c>
      <c r="K521" s="1"/>
    </row>
    <row r="522" spans="1:11" x14ac:dyDescent="0.25">
      <c r="A522" t="e">
        <f>-LqeII7hbZABfTbP449l</f>
        <v>#NAME?</v>
      </c>
      <c r="B522">
        <v>393.75</v>
      </c>
      <c r="C522">
        <v>20.584240000000001</v>
      </c>
      <c r="D522">
        <v>38</v>
      </c>
      <c r="E522">
        <v>0</v>
      </c>
      <c r="F522">
        <v>0</v>
      </c>
      <c r="G522">
        <v>1</v>
      </c>
      <c r="H522" s="4">
        <v>1570520247718</v>
      </c>
      <c r="I522">
        <v>526.6875</v>
      </c>
      <c r="J522" s="9">
        <f t="shared" si="8"/>
        <v>43746.609348587961</v>
      </c>
      <c r="K522" s="1"/>
    </row>
    <row r="523" spans="1:11" x14ac:dyDescent="0.25">
      <c r="A523" t="e">
        <f>-LqeIJrS1pIFaNqqisVC</f>
        <v>#NAME?</v>
      </c>
      <c r="B523">
        <v>393.75</v>
      </c>
      <c r="C523">
        <v>20.584240000000001</v>
      </c>
      <c r="D523">
        <v>38</v>
      </c>
      <c r="E523">
        <v>0</v>
      </c>
      <c r="F523">
        <v>0</v>
      </c>
      <c r="G523">
        <v>1</v>
      </c>
      <c r="H523" s="4">
        <v>1570520253918</v>
      </c>
      <c r="I523">
        <v>526.6875</v>
      </c>
      <c r="J523" s="9">
        <f t="shared" si="8"/>
        <v>43746.609420347224</v>
      </c>
      <c r="K523" s="1"/>
    </row>
    <row r="524" spans="1:11" x14ac:dyDescent="0.25">
      <c r="A524" t="e">
        <f>-LqeILPmbpJOBhVcNZZR</f>
        <v>#NAME?</v>
      </c>
      <c r="B524">
        <v>393.75</v>
      </c>
      <c r="C524">
        <v>20.584240000000001</v>
      </c>
      <c r="D524">
        <v>39</v>
      </c>
      <c r="E524">
        <v>0</v>
      </c>
      <c r="F524">
        <v>0</v>
      </c>
      <c r="G524">
        <v>1</v>
      </c>
      <c r="H524" s="4">
        <v>1570520261128</v>
      </c>
      <c r="I524">
        <v>526.6875</v>
      </c>
      <c r="J524" s="9">
        <f t="shared" si="8"/>
        <v>43746.609503796295</v>
      </c>
      <c r="K524" s="1"/>
    </row>
    <row r="525" spans="1:11" x14ac:dyDescent="0.25">
      <c r="A525" t="e">
        <f>-LqeIMvyZLxxaFI0LBRe</f>
        <v>#NAME?</v>
      </c>
      <c r="B525">
        <v>393.75</v>
      </c>
      <c r="C525">
        <v>20.584240000000001</v>
      </c>
      <c r="D525">
        <v>39</v>
      </c>
      <c r="E525">
        <v>0</v>
      </c>
      <c r="F525">
        <v>0</v>
      </c>
      <c r="G525">
        <v>1</v>
      </c>
      <c r="H525" s="4">
        <v>1570520267343</v>
      </c>
      <c r="I525">
        <v>526.6875</v>
      </c>
      <c r="J525" s="9">
        <f t="shared" si="8"/>
        <v>43746.60957572917</v>
      </c>
      <c r="K525" s="1"/>
    </row>
    <row r="526" spans="1:11" x14ac:dyDescent="0.25">
      <c r="A526" t="e">
        <f>-LqeIORTLXb4R_gMy18U</f>
        <v>#NAME?</v>
      </c>
      <c r="B526">
        <v>393.75</v>
      </c>
      <c r="C526">
        <v>20.584240000000001</v>
      </c>
      <c r="D526">
        <v>40</v>
      </c>
      <c r="E526">
        <v>0</v>
      </c>
      <c r="F526">
        <v>0</v>
      </c>
      <c r="G526">
        <v>1</v>
      </c>
      <c r="H526" s="4">
        <v>1570520273523</v>
      </c>
      <c r="I526">
        <v>526.6875</v>
      </c>
      <c r="J526" s="9">
        <f t="shared" si="8"/>
        <v>43746.609647256941</v>
      </c>
      <c r="K526" s="1"/>
    </row>
    <row r="527" spans="1:11" x14ac:dyDescent="0.25">
      <c r="A527" t="e">
        <f>-LqeIQH0RTuNdR32zjSO</f>
        <v>#NAME?</v>
      </c>
      <c r="B527">
        <v>412.5</v>
      </c>
      <c r="C527">
        <v>20.584240000000001</v>
      </c>
      <c r="D527">
        <v>40</v>
      </c>
      <c r="E527">
        <v>0</v>
      </c>
      <c r="F527">
        <v>0</v>
      </c>
      <c r="G527">
        <v>1</v>
      </c>
      <c r="H527" s="4">
        <v>1570520279835</v>
      </c>
      <c r="I527">
        <v>532.3125</v>
      </c>
      <c r="J527" s="9">
        <f t="shared" si="8"/>
        <v>43746.609720312503</v>
      </c>
      <c r="K527" s="1"/>
    </row>
    <row r="528" spans="1:11" x14ac:dyDescent="0.25">
      <c r="A528" t="e">
        <f>-LqeIRv4dLadgL81kERB</f>
        <v>#NAME?</v>
      </c>
      <c r="B528">
        <v>393.75</v>
      </c>
      <c r="C528">
        <v>20.584240000000001</v>
      </c>
      <c r="D528">
        <v>39</v>
      </c>
      <c r="E528">
        <v>0</v>
      </c>
      <c r="F528">
        <v>0</v>
      </c>
      <c r="G528">
        <v>1</v>
      </c>
      <c r="H528" s="4">
        <v>1570520287911</v>
      </c>
      <c r="I528">
        <v>526.6875</v>
      </c>
      <c r="J528" s="9">
        <f t="shared" si="8"/>
        <v>43746.609813784722</v>
      </c>
      <c r="K528" s="1"/>
    </row>
    <row r="529" spans="1:11" x14ac:dyDescent="0.25">
      <c r="A529" t="e">
        <f>-LqeITT_cth-kqxt8daD</f>
        <v>#NAME?</v>
      </c>
      <c r="B529">
        <v>393.75</v>
      </c>
      <c r="C529">
        <v>20.584240000000001</v>
      </c>
      <c r="D529">
        <v>38</v>
      </c>
      <c r="E529">
        <v>0</v>
      </c>
      <c r="F529">
        <v>0</v>
      </c>
      <c r="G529">
        <v>1</v>
      </c>
      <c r="H529" s="4">
        <v>1570520294182</v>
      </c>
      <c r="I529">
        <v>526.6875</v>
      </c>
      <c r="J529" s="9">
        <f t="shared" si="8"/>
        <v>43746.609886365739</v>
      </c>
      <c r="K529" s="1"/>
    </row>
    <row r="530" spans="1:11" x14ac:dyDescent="0.25">
      <c r="A530" t="e">
        <f>-LqeIUxYU2Y68kzD61W8</f>
        <v>#NAME?</v>
      </c>
      <c r="B530">
        <v>393.75</v>
      </c>
      <c r="C530">
        <v>20.531590000000001</v>
      </c>
      <c r="D530">
        <v>39</v>
      </c>
      <c r="E530">
        <v>0</v>
      </c>
      <c r="F530">
        <v>0</v>
      </c>
      <c r="G530">
        <v>1</v>
      </c>
      <c r="H530" s="4">
        <v>1570520300271</v>
      </c>
      <c r="I530">
        <v>526.6875</v>
      </c>
      <c r="J530" s="9">
        <f t="shared" si="8"/>
        <v>43746.609956840279</v>
      </c>
      <c r="K530" s="1"/>
    </row>
    <row r="531" spans="1:11" x14ac:dyDescent="0.25">
      <c r="A531" t="e">
        <f>-LqeIWUIpbA5N3EYNjD7</f>
        <v>#NAME?</v>
      </c>
      <c r="B531">
        <v>393.75</v>
      </c>
      <c r="C531">
        <v>20.584240000000001</v>
      </c>
      <c r="D531">
        <v>40</v>
      </c>
      <c r="E531">
        <v>0</v>
      </c>
      <c r="F531">
        <v>0</v>
      </c>
      <c r="G531">
        <v>1</v>
      </c>
      <c r="H531" s="4">
        <v>1570520306522</v>
      </c>
      <c r="I531">
        <v>526.6875</v>
      </c>
      <c r="J531" s="9">
        <f t="shared" si="8"/>
        <v>43746.610029189811</v>
      </c>
      <c r="K531" s="1"/>
    </row>
    <row r="532" spans="1:11" x14ac:dyDescent="0.25">
      <c r="A532" t="e">
        <f>-LqeIY3AtnwjnNkBRZsG</f>
        <v>#NAME?</v>
      </c>
      <c r="B532">
        <v>393.75</v>
      </c>
      <c r="C532">
        <v>20.531590000000001</v>
      </c>
      <c r="D532">
        <v>39</v>
      </c>
      <c r="E532">
        <v>0</v>
      </c>
      <c r="F532">
        <v>0</v>
      </c>
      <c r="G532">
        <v>1</v>
      </c>
      <c r="H532" s="4">
        <v>1570520313001</v>
      </c>
      <c r="I532">
        <v>526.6875</v>
      </c>
      <c r="J532" s="9">
        <f t="shared" si="8"/>
        <v>43746.610104178239</v>
      </c>
      <c r="K532" s="1"/>
    </row>
    <row r="533" spans="1:11" x14ac:dyDescent="0.25">
      <c r="A533" t="e">
        <f>-LqeIZvLviZqkNLzKRuI</f>
        <v>#NAME?</v>
      </c>
      <c r="B533">
        <v>393.75</v>
      </c>
      <c r="C533">
        <v>20.584240000000001</v>
      </c>
      <c r="D533">
        <v>39</v>
      </c>
      <c r="E533">
        <v>0</v>
      </c>
      <c r="F533">
        <v>0</v>
      </c>
      <c r="G533">
        <v>1</v>
      </c>
      <c r="H533" s="4">
        <v>1570520320632</v>
      </c>
      <c r="I533">
        <v>526.5</v>
      </c>
      <c r="J533" s="9">
        <f t="shared" si="8"/>
        <v>43746.610192499997</v>
      </c>
      <c r="K533" s="1"/>
    </row>
    <row r="534" spans="1:11" x14ac:dyDescent="0.25">
      <c r="A534" t="e">
        <f>-LqeIaVJrkrbjty_lbUf</f>
        <v>#NAME?</v>
      </c>
      <c r="B534">
        <v>393.75</v>
      </c>
      <c r="C534">
        <v>20.584240000000001</v>
      </c>
      <c r="D534">
        <v>38</v>
      </c>
      <c r="E534">
        <v>0</v>
      </c>
      <c r="F534">
        <v>0</v>
      </c>
      <c r="G534">
        <v>1</v>
      </c>
      <c r="H534" s="4">
        <v>1570520327102</v>
      </c>
      <c r="I534">
        <v>526.6875</v>
      </c>
      <c r="J534" s="9">
        <f t="shared" si="8"/>
        <v>43746.610267384262</v>
      </c>
      <c r="K534" s="1"/>
    </row>
    <row r="535" spans="1:11" x14ac:dyDescent="0.25">
      <c r="A535" t="e">
        <f>-LqeIc0ZTgOapOPRlQbU</f>
        <v>#NAME?</v>
      </c>
      <c r="B535">
        <v>393.75</v>
      </c>
      <c r="C535">
        <v>20.584240000000001</v>
      </c>
      <c r="D535">
        <v>41</v>
      </c>
      <c r="E535">
        <v>0</v>
      </c>
      <c r="F535">
        <v>0</v>
      </c>
      <c r="G535">
        <v>1</v>
      </c>
      <c r="H535" s="4">
        <v>1570520333247</v>
      </c>
      <c r="I535">
        <v>526.6875</v>
      </c>
      <c r="J535" s="9">
        <f t="shared" si="8"/>
        <v>43746.610338506944</v>
      </c>
      <c r="K535" s="1"/>
    </row>
    <row r="536" spans="1:11" x14ac:dyDescent="0.25">
      <c r="A536" t="e">
        <f>-LqeIdZQuP4KMdbe21fR</f>
        <v>#NAME?</v>
      </c>
      <c r="B536">
        <v>393.75</v>
      </c>
      <c r="C536">
        <v>20.584240000000001</v>
      </c>
      <c r="D536">
        <v>42</v>
      </c>
      <c r="E536">
        <v>0</v>
      </c>
      <c r="F536">
        <v>0</v>
      </c>
      <c r="G536">
        <v>1</v>
      </c>
      <c r="H536" s="4">
        <v>1570520339621</v>
      </c>
      <c r="I536">
        <v>526.6875</v>
      </c>
      <c r="J536" s="9">
        <f t="shared" si="8"/>
        <v>43746.61041228009</v>
      </c>
      <c r="K536" s="1"/>
    </row>
    <row r="537" spans="1:11" x14ac:dyDescent="0.25">
      <c r="A537" t="e">
        <f>-LqeIfHTtMGlO0ov1GUh</f>
        <v>#NAME?</v>
      </c>
      <c r="B537">
        <v>393.75</v>
      </c>
      <c r="C537">
        <v>20.584240000000001</v>
      </c>
      <c r="D537">
        <v>41</v>
      </c>
      <c r="E537">
        <v>0</v>
      </c>
      <c r="F537">
        <v>0</v>
      </c>
      <c r="G537">
        <v>1</v>
      </c>
      <c r="H537" s="4">
        <v>1570520346687</v>
      </c>
      <c r="I537">
        <v>526.6875</v>
      </c>
      <c r="J537" s="9">
        <f t="shared" si="8"/>
        <v>43746.610494062501</v>
      </c>
      <c r="K537" s="1"/>
    </row>
    <row r="538" spans="1:11" x14ac:dyDescent="0.25">
      <c r="A538" t="e">
        <f>-LqeIgnfKk29KJtI7_rX</f>
        <v>#NAME?</v>
      </c>
      <c r="B538">
        <v>393.75</v>
      </c>
      <c r="C538">
        <v>20.584240000000001</v>
      </c>
      <c r="D538">
        <v>42</v>
      </c>
      <c r="E538">
        <v>0</v>
      </c>
      <c r="F538">
        <v>0</v>
      </c>
      <c r="G538">
        <v>1</v>
      </c>
      <c r="H538" s="4">
        <v>1570520352846</v>
      </c>
      <c r="I538">
        <v>526.6875</v>
      </c>
      <c r="J538" s="9">
        <f t="shared" si="8"/>
        <v>43746.610565347219</v>
      </c>
      <c r="K538" s="1"/>
    </row>
    <row r="539" spans="1:11" x14ac:dyDescent="0.25">
      <c r="A539" t="e">
        <f>-LqeIiKcwrRprpGesf8h</f>
        <v>#NAME?</v>
      </c>
      <c r="B539">
        <v>393.75</v>
      </c>
      <c r="C539">
        <v>20.584240000000001</v>
      </c>
      <c r="D539">
        <v>43</v>
      </c>
      <c r="E539">
        <v>0</v>
      </c>
      <c r="F539">
        <v>0</v>
      </c>
      <c r="G539">
        <v>1</v>
      </c>
      <c r="H539" s="4">
        <v>1570520359068</v>
      </c>
      <c r="I539">
        <v>526.6875</v>
      </c>
      <c r="J539" s="9">
        <f t="shared" si="8"/>
        <v>43746.610637361104</v>
      </c>
      <c r="K539" s="1"/>
    </row>
    <row r="540" spans="1:11" x14ac:dyDescent="0.25">
      <c r="A540" t="e">
        <f>-LqeIjoSSSoy03AQDVsa</f>
        <v>#NAME?</v>
      </c>
      <c r="B540">
        <v>393.75</v>
      </c>
      <c r="C540">
        <v>20.531590000000001</v>
      </c>
      <c r="D540">
        <v>43</v>
      </c>
      <c r="E540">
        <v>0</v>
      </c>
      <c r="F540">
        <v>0</v>
      </c>
      <c r="G540">
        <v>1</v>
      </c>
      <c r="H540" s="4">
        <v>1570520365228</v>
      </c>
      <c r="I540">
        <v>526.6875</v>
      </c>
      <c r="J540" s="9">
        <f t="shared" si="8"/>
        <v>43746.610708657405</v>
      </c>
      <c r="K540" s="1"/>
    </row>
    <row r="541" spans="1:11" x14ac:dyDescent="0.25">
      <c r="A541" t="e">
        <f>-LqeIlJHJ3ITZw1PWVnd</f>
        <v>#NAME?</v>
      </c>
      <c r="B541">
        <v>393.75</v>
      </c>
      <c r="C541">
        <v>20.584240000000001</v>
      </c>
      <c r="D541">
        <v>42</v>
      </c>
      <c r="E541">
        <v>0</v>
      </c>
      <c r="F541">
        <v>0</v>
      </c>
      <c r="G541">
        <v>1</v>
      </c>
      <c r="H541" s="4">
        <v>1570520371378</v>
      </c>
      <c r="I541">
        <v>526.6875</v>
      </c>
      <c r="J541" s="9">
        <f t="shared" si="8"/>
        <v>43746.61077983796</v>
      </c>
      <c r="K541" s="1"/>
    </row>
    <row r="542" spans="1:11" x14ac:dyDescent="0.25">
      <c r="A542" t="e">
        <f>-LqeImr-EWWRf3RR9LhW</f>
        <v>#NAME?</v>
      </c>
      <c r="B542">
        <v>393.75</v>
      </c>
      <c r="C542">
        <v>20.531590000000001</v>
      </c>
      <c r="D542">
        <v>41</v>
      </c>
      <c r="E542">
        <v>0</v>
      </c>
      <c r="F542">
        <v>0</v>
      </c>
      <c r="G542">
        <v>1</v>
      </c>
      <c r="H542" s="4">
        <v>1570520377636</v>
      </c>
      <c r="I542">
        <v>526.6875</v>
      </c>
      <c r="J542" s="9">
        <f t="shared" si="8"/>
        <v>43746.610852268517</v>
      </c>
      <c r="K542" s="1"/>
    </row>
    <row r="543" spans="1:11" x14ac:dyDescent="0.25">
      <c r="A543" t="e">
        <f>-LqeIoX7sO_b7nDsVhKh</f>
        <v>#NAME?</v>
      </c>
      <c r="B543">
        <v>393.75</v>
      </c>
      <c r="C543">
        <v>20.584240000000001</v>
      </c>
      <c r="D543">
        <v>36</v>
      </c>
      <c r="E543">
        <v>0</v>
      </c>
      <c r="F543">
        <v>0</v>
      </c>
      <c r="G543">
        <v>1</v>
      </c>
      <c r="H543" s="4">
        <v>1570520384448</v>
      </c>
      <c r="I543">
        <v>526.5</v>
      </c>
      <c r="J543" s="9">
        <f t="shared" si="8"/>
        <v>43746.610931111114</v>
      </c>
      <c r="K543" s="1"/>
    </row>
    <row r="544" spans="1:11" x14ac:dyDescent="0.25">
      <c r="A544" t="s">
        <v>37</v>
      </c>
      <c r="B544">
        <v>393.75</v>
      </c>
      <c r="C544">
        <v>20.531590000000001</v>
      </c>
      <c r="D544">
        <v>35</v>
      </c>
      <c r="E544">
        <v>0</v>
      </c>
      <c r="F544">
        <v>0</v>
      </c>
      <c r="G544">
        <v>1</v>
      </c>
      <c r="H544" s="4">
        <v>1570520390992</v>
      </c>
      <c r="I544">
        <v>526.6875</v>
      </c>
      <c r="J544" s="9">
        <f t="shared" si="8"/>
        <v>43746.611006851854</v>
      </c>
      <c r="K544" s="1"/>
    </row>
    <row r="545" spans="1:11" x14ac:dyDescent="0.25">
      <c r="A545" t="e">
        <f>-LqeIrc-FG9ZdSJdr29k</f>
        <v>#NAME?</v>
      </c>
      <c r="B545">
        <v>396.875</v>
      </c>
      <c r="C545">
        <v>20.584240000000001</v>
      </c>
      <c r="D545">
        <v>35</v>
      </c>
      <c r="E545">
        <v>0</v>
      </c>
      <c r="F545">
        <v>0</v>
      </c>
      <c r="G545">
        <v>1</v>
      </c>
      <c r="H545" s="4">
        <v>1570520397141</v>
      </c>
      <c r="I545">
        <v>527.4375</v>
      </c>
      <c r="J545" s="9">
        <f t="shared" si="8"/>
        <v>43746.611078020833</v>
      </c>
      <c r="K545" s="1"/>
    </row>
    <row r="546" spans="1:11" x14ac:dyDescent="0.25">
      <c r="A546" t="e">
        <f>-LqeIt5lASD9i6vuwOi_</f>
        <v>#NAME?</v>
      </c>
      <c r="B546">
        <v>396.875</v>
      </c>
      <c r="C546">
        <v>20.531590000000001</v>
      </c>
      <c r="D546">
        <v>39</v>
      </c>
      <c r="E546">
        <v>0</v>
      </c>
      <c r="F546">
        <v>0</v>
      </c>
      <c r="G546">
        <v>1</v>
      </c>
      <c r="H546" s="4">
        <v>1570520403336</v>
      </c>
      <c r="I546">
        <v>527.4375</v>
      </c>
      <c r="J546" s="9">
        <f t="shared" si="8"/>
        <v>43746.611149722223</v>
      </c>
      <c r="K546" s="1"/>
    </row>
    <row r="547" spans="1:11" x14ac:dyDescent="0.25">
      <c r="A547" t="e">
        <f>-LqeIucpjj8i5SqqMY31</f>
        <v>#NAME?</v>
      </c>
      <c r="B547">
        <v>396.875</v>
      </c>
      <c r="C547">
        <v>20.584240000000001</v>
      </c>
      <c r="D547">
        <v>39</v>
      </c>
      <c r="E547">
        <v>0</v>
      </c>
      <c r="F547">
        <v>0</v>
      </c>
      <c r="G547">
        <v>1</v>
      </c>
      <c r="H547" s="4">
        <v>1570520409537</v>
      </c>
      <c r="I547">
        <v>527.4375</v>
      </c>
      <c r="J547" s="9">
        <f t="shared" si="8"/>
        <v>43746.611221493054</v>
      </c>
      <c r="K547" s="1"/>
    </row>
    <row r="548" spans="1:11" x14ac:dyDescent="0.25">
      <c r="A548" t="e">
        <f>-LqeIw92kYZd84g34loa</f>
        <v>#NAME?</v>
      </c>
      <c r="B548">
        <v>396.875</v>
      </c>
      <c r="C548">
        <v>20.584240000000001</v>
      </c>
      <c r="D548">
        <v>38</v>
      </c>
      <c r="E548">
        <v>0</v>
      </c>
      <c r="F548">
        <v>0</v>
      </c>
      <c r="G548">
        <v>1</v>
      </c>
      <c r="H548" s="4">
        <v>1570520415702</v>
      </c>
      <c r="I548">
        <v>527.4375</v>
      </c>
      <c r="J548" s="9">
        <f t="shared" si="8"/>
        <v>43746.611292847221</v>
      </c>
      <c r="K548" s="1"/>
    </row>
    <row r="549" spans="1:11" x14ac:dyDescent="0.25">
      <c r="A549" t="e">
        <f>-LqeIxeFmTTz0xbqie41</f>
        <v>#NAME?</v>
      </c>
      <c r="B549">
        <v>396.875</v>
      </c>
      <c r="C549">
        <v>20.584240000000001</v>
      </c>
      <c r="D549">
        <v>38</v>
      </c>
      <c r="E549">
        <v>0</v>
      </c>
      <c r="F549">
        <v>0</v>
      </c>
      <c r="G549">
        <v>1</v>
      </c>
      <c r="H549" s="4">
        <v>1570520421908</v>
      </c>
      <c r="I549">
        <v>527.4375</v>
      </c>
      <c r="J549" s="9">
        <f t="shared" si="8"/>
        <v>43746.611364675926</v>
      </c>
      <c r="K549" s="1"/>
    </row>
    <row r="550" spans="1:11" x14ac:dyDescent="0.25">
      <c r="A550" t="e">
        <f>-LqeIzJHhxNriRuCRxzU</f>
        <v>#NAME?</v>
      </c>
      <c r="B550">
        <v>400</v>
      </c>
      <c r="C550">
        <v>20.584240000000001</v>
      </c>
      <c r="D550">
        <v>39</v>
      </c>
      <c r="E550">
        <v>0</v>
      </c>
      <c r="F550">
        <v>0</v>
      </c>
      <c r="G550">
        <v>1</v>
      </c>
      <c r="H550" s="4">
        <v>1570520428103</v>
      </c>
      <c r="I550">
        <v>528.375</v>
      </c>
      <c r="J550" s="9">
        <f t="shared" si="8"/>
        <v>43746.611436377316</v>
      </c>
      <c r="K550" s="1"/>
    </row>
    <row r="551" spans="1:11" x14ac:dyDescent="0.25">
      <c r="A551" t="e">
        <f>-LqeJ01GH8KwE0eoX6Au</f>
        <v>#NAME?</v>
      </c>
      <c r="B551">
        <v>400</v>
      </c>
      <c r="C551">
        <v>20.531590000000001</v>
      </c>
      <c r="D551">
        <v>38</v>
      </c>
      <c r="E551">
        <v>0</v>
      </c>
      <c r="F551">
        <v>0</v>
      </c>
      <c r="G551">
        <v>1</v>
      </c>
      <c r="H551" s="4">
        <v>1570520435431</v>
      </c>
      <c r="I551">
        <v>528.375</v>
      </c>
      <c r="J551" s="9">
        <f t="shared" si="8"/>
        <v>43746.611521192128</v>
      </c>
      <c r="K551" s="1"/>
    </row>
    <row r="552" spans="1:11" x14ac:dyDescent="0.25">
      <c r="A552" t="e">
        <f>-LqeJ1gkChaDVSJcjFFc</f>
        <v>#NAME?</v>
      </c>
      <c r="B552">
        <v>396.875</v>
      </c>
      <c r="C552">
        <v>20.584240000000001</v>
      </c>
      <c r="D552">
        <v>38</v>
      </c>
      <c r="E552">
        <v>0</v>
      </c>
      <c r="F552">
        <v>0</v>
      </c>
      <c r="G552">
        <v>1</v>
      </c>
      <c r="H552" s="4">
        <v>1570520442506</v>
      </c>
      <c r="I552">
        <v>527.4375</v>
      </c>
      <c r="J552" s="9">
        <f t="shared" si="8"/>
        <v>43746.611603078702</v>
      </c>
      <c r="K552" s="1"/>
    </row>
    <row r="553" spans="1:11" x14ac:dyDescent="0.25">
      <c r="A553" t="e">
        <f>-LqeJ3CclZDDE6S3M1Xh</f>
        <v>#NAME?</v>
      </c>
      <c r="B553">
        <v>396.875</v>
      </c>
      <c r="C553">
        <v>20.584240000000001</v>
      </c>
      <c r="D553">
        <v>39</v>
      </c>
      <c r="E553">
        <v>0</v>
      </c>
      <c r="F553">
        <v>0</v>
      </c>
      <c r="G553">
        <v>1</v>
      </c>
      <c r="H553" s="4">
        <v>1570520448696</v>
      </c>
      <c r="I553">
        <v>527.4375</v>
      </c>
      <c r="J553" s="9">
        <f t="shared" si="8"/>
        <v>43746.611674722219</v>
      </c>
      <c r="K553" s="1"/>
    </row>
    <row r="554" spans="1:11" x14ac:dyDescent="0.25">
      <c r="A554" t="e">
        <f>-LqeJ4iCOsrZc_r7Rafi</f>
        <v>#NAME?</v>
      </c>
      <c r="B554">
        <v>396.875</v>
      </c>
      <c r="C554">
        <v>20.584240000000001</v>
      </c>
      <c r="D554">
        <v>40</v>
      </c>
      <c r="E554">
        <v>0</v>
      </c>
      <c r="F554">
        <v>0</v>
      </c>
      <c r="G554">
        <v>1</v>
      </c>
      <c r="H554" s="4">
        <v>1570520454862</v>
      </c>
      <c r="I554">
        <v>527.4375</v>
      </c>
      <c r="J554" s="9">
        <f t="shared" si="8"/>
        <v>43746.611746087961</v>
      </c>
      <c r="K554" s="1"/>
    </row>
    <row r="555" spans="1:11" x14ac:dyDescent="0.25">
      <c r="A555" t="e">
        <f>-LqeJ6FhMldYyD9n1woc</f>
        <v>#NAME?</v>
      </c>
      <c r="B555">
        <v>396.875</v>
      </c>
      <c r="C555">
        <v>20.584240000000001</v>
      </c>
      <c r="D555">
        <v>40</v>
      </c>
      <c r="E555">
        <v>0</v>
      </c>
      <c r="F555">
        <v>0</v>
      </c>
      <c r="G555">
        <v>1</v>
      </c>
      <c r="H555" s="4">
        <v>1570520461111</v>
      </c>
      <c r="I555">
        <v>527.625</v>
      </c>
      <c r="J555" s="9">
        <f t="shared" si="8"/>
        <v>43746.611818414349</v>
      </c>
      <c r="K555" s="1"/>
    </row>
    <row r="556" spans="1:11" x14ac:dyDescent="0.25">
      <c r="A556" t="e">
        <f>-LqeJ7zxd1Bao6gxyEkS</f>
        <v>#NAME?</v>
      </c>
      <c r="B556">
        <v>396.875</v>
      </c>
      <c r="C556">
        <v>20.584240000000001</v>
      </c>
      <c r="D556">
        <v>40</v>
      </c>
      <c r="E556">
        <v>0</v>
      </c>
      <c r="F556">
        <v>0</v>
      </c>
      <c r="G556">
        <v>1</v>
      </c>
      <c r="H556" s="4">
        <v>1570520468301</v>
      </c>
      <c r="I556">
        <v>527.4375</v>
      </c>
      <c r="J556" s="9">
        <f t="shared" si="8"/>
        <v>43746.611901631943</v>
      </c>
      <c r="K556" s="1"/>
    </row>
    <row r="557" spans="1:11" x14ac:dyDescent="0.25">
      <c r="A557" t="e">
        <f>-LqeJ9V2HPiR67BPswxp</f>
        <v>#NAME?</v>
      </c>
      <c r="B557">
        <v>396.875</v>
      </c>
      <c r="C557">
        <v>20.531590000000001</v>
      </c>
      <c r="D557">
        <v>38</v>
      </c>
      <c r="E557">
        <v>0</v>
      </c>
      <c r="F557">
        <v>0</v>
      </c>
      <c r="G557">
        <v>1</v>
      </c>
      <c r="H557" s="4">
        <v>1570520474462</v>
      </c>
      <c r="I557">
        <v>527.4375</v>
      </c>
      <c r="J557" s="9">
        <f t="shared" si="8"/>
        <v>43746.611972939812</v>
      </c>
      <c r="K557" s="1"/>
    </row>
    <row r="558" spans="1:11" x14ac:dyDescent="0.25">
      <c r="A558" t="e">
        <f>-LqeJB263YSRBfdO__p4</f>
        <v>#NAME?</v>
      </c>
      <c r="B558">
        <v>415.625</v>
      </c>
      <c r="C558">
        <v>20.584240000000001</v>
      </c>
      <c r="D558">
        <v>39</v>
      </c>
      <c r="E558">
        <v>0</v>
      </c>
      <c r="F558">
        <v>0</v>
      </c>
      <c r="G558">
        <v>1</v>
      </c>
      <c r="H558" s="4">
        <v>1570520480621</v>
      </c>
      <c r="I558">
        <v>533.0625</v>
      </c>
      <c r="J558" s="9">
        <f t="shared" si="8"/>
        <v>43746.612044224537</v>
      </c>
      <c r="K558" s="1"/>
    </row>
    <row r="559" spans="1:11" x14ac:dyDescent="0.25">
      <c r="A559" t="e">
        <f>-LqeJCjhkgL8_AcLxHw6</f>
        <v>#NAME?</v>
      </c>
      <c r="B559">
        <v>396.875</v>
      </c>
      <c r="C559">
        <v>20.584240000000001</v>
      </c>
      <c r="D559">
        <v>39</v>
      </c>
      <c r="E559">
        <v>0</v>
      </c>
      <c r="F559">
        <v>0</v>
      </c>
      <c r="G559">
        <v>1</v>
      </c>
      <c r="H559" s="4">
        <v>1570520487841</v>
      </c>
      <c r="I559">
        <v>527.4375</v>
      </c>
      <c r="J559" s="9">
        <f t="shared" si="8"/>
        <v>43746.612127789347</v>
      </c>
      <c r="K559" s="1"/>
    </row>
    <row r="560" spans="1:11" x14ac:dyDescent="0.25">
      <c r="A560" t="e">
        <f>-LqeJEZr3LF1c0etSQBM</f>
        <v>#NAME?</v>
      </c>
      <c r="B560">
        <v>396.875</v>
      </c>
      <c r="C560">
        <v>20.584240000000001</v>
      </c>
      <c r="D560">
        <v>41</v>
      </c>
      <c r="E560">
        <v>0</v>
      </c>
      <c r="F560">
        <v>0</v>
      </c>
      <c r="G560">
        <v>1</v>
      </c>
      <c r="H560" s="4">
        <v>1570520494157</v>
      </c>
      <c r="I560">
        <v>527.4375</v>
      </c>
      <c r="J560" s="9">
        <f t="shared" si="8"/>
        <v>43746.612200891199</v>
      </c>
      <c r="K560" s="1"/>
    </row>
    <row r="561" spans="1:11" x14ac:dyDescent="0.25">
      <c r="A561" t="e">
        <f>-LqeJGIqDBAxC07oeJRI</f>
        <v>#NAME?</v>
      </c>
      <c r="B561">
        <v>396.875</v>
      </c>
      <c r="C561">
        <v>20.584240000000001</v>
      </c>
      <c r="D561">
        <v>40</v>
      </c>
      <c r="E561">
        <v>0</v>
      </c>
      <c r="F561">
        <v>0</v>
      </c>
      <c r="G561">
        <v>1</v>
      </c>
      <c r="H561" s="4">
        <v>1570520502337</v>
      </c>
      <c r="I561">
        <v>527.4375</v>
      </c>
      <c r="J561" s="9">
        <f t="shared" si="8"/>
        <v>43746.612295567124</v>
      </c>
      <c r="K561" s="1"/>
    </row>
    <row r="562" spans="1:11" x14ac:dyDescent="0.25">
      <c r="A562" t="e">
        <f>-LqeJHoy547UE3mEjJGs</f>
        <v>#NAME?</v>
      </c>
      <c r="B562">
        <v>396.875</v>
      </c>
      <c r="C562">
        <v>20.584240000000001</v>
      </c>
      <c r="D562">
        <v>40</v>
      </c>
      <c r="E562">
        <v>0</v>
      </c>
      <c r="F562">
        <v>0</v>
      </c>
      <c r="G562">
        <v>1</v>
      </c>
      <c r="H562" s="4">
        <v>1570520508559</v>
      </c>
      <c r="I562">
        <v>527.4375</v>
      </c>
      <c r="J562" s="9">
        <f t="shared" si="8"/>
        <v>43746.612367581016</v>
      </c>
      <c r="K562" s="1"/>
    </row>
    <row r="563" spans="1:11" x14ac:dyDescent="0.25">
      <c r="A563" t="e">
        <f>-LqeJJPCv4xdARVJjlxi</f>
        <v>#NAME?</v>
      </c>
      <c r="B563">
        <v>396.875</v>
      </c>
      <c r="C563">
        <v>20.584240000000001</v>
      </c>
      <c r="D563">
        <v>41</v>
      </c>
      <c r="E563">
        <v>0</v>
      </c>
      <c r="F563">
        <v>0</v>
      </c>
      <c r="G563">
        <v>1</v>
      </c>
      <c r="H563" s="4">
        <v>1570520514697</v>
      </c>
      <c r="I563">
        <v>527.4375</v>
      </c>
      <c r="J563" s="9">
        <f t="shared" si="8"/>
        <v>43746.61243862268</v>
      </c>
      <c r="K563" s="1"/>
    </row>
    <row r="564" spans="1:11" x14ac:dyDescent="0.25">
      <c r="A564" t="e">
        <f>-LqeJL5yn6syj5ctjfEP</f>
        <v>#NAME?</v>
      </c>
      <c r="B564">
        <v>396.875</v>
      </c>
      <c r="C564">
        <v>20.584240000000001</v>
      </c>
      <c r="D564">
        <v>41</v>
      </c>
      <c r="E564">
        <v>0</v>
      </c>
      <c r="F564">
        <v>0</v>
      </c>
      <c r="G564">
        <v>1</v>
      </c>
      <c r="H564" s="4">
        <v>1570520521864</v>
      </c>
      <c r="I564">
        <v>527.4375</v>
      </c>
      <c r="J564" s="9">
        <f t="shared" si="8"/>
        <v>43746.612521574069</v>
      </c>
      <c r="K564" s="1"/>
    </row>
    <row r="565" spans="1:11" x14ac:dyDescent="0.25">
      <c r="A565" t="e">
        <f>-LqeJMaGoUCbLZFkaY1e</f>
        <v>#NAME?</v>
      </c>
      <c r="B565">
        <v>393.75</v>
      </c>
      <c r="C565">
        <v>20.531590000000001</v>
      </c>
      <c r="D565">
        <v>41</v>
      </c>
      <c r="E565">
        <v>0</v>
      </c>
      <c r="F565">
        <v>0</v>
      </c>
      <c r="G565">
        <v>1</v>
      </c>
      <c r="H565" s="4">
        <v>1570520528048</v>
      </c>
      <c r="I565">
        <v>526.6875</v>
      </c>
      <c r="J565" s="9">
        <f t="shared" si="8"/>
        <v>43746.612593148144</v>
      </c>
      <c r="K565" s="1"/>
    </row>
    <row r="566" spans="1:11" x14ac:dyDescent="0.25">
      <c r="A566" t="e">
        <f>-LqeJO4GM4z5x6UxLI37</f>
        <v>#NAME?</v>
      </c>
      <c r="B566">
        <v>393.75</v>
      </c>
      <c r="C566">
        <v>20.584240000000001</v>
      </c>
      <c r="D566">
        <v>41</v>
      </c>
      <c r="E566">
        <v>0</v>
      </c>
      <c r="F566">
        <v>0</v>
      </c>
      <c r="G566">
        <v>1</v>
      </c>
      <c r="H566" s="4">
        <v>1570520534224</v>
      </c>
      <c r="I566">
        <v>526.6875</v>
      </c>
      <c r="J566" s="9">
        <f t="shared" si="8"/>
        <v>43746.612664629625</v>
      </c>
      <c r="K566" s="1"/>
    </row>
    <row r="567" spans="1:11" x14ac:dyDescent="0.25">
      <c r="A567" t="e">
        <f>-LqeJPebhybmsib4UxRs</f>
        <v>#NAME?</v>
      </c>
      <c r="B567">
        <v>393.75</v>
      </c>
      <c r="C567">
        <v>20.584240000000001</v>
      </c>
      <c r="D567">
        <v>40</v>
      </c>
      <c r="E567">
        <v>0</v>
      </c>
      <c r="F567">
        <v>0</v>
      </c>
      <c r="G567">
        <v>1</v>
      </c>
      <c r="H567" s="4">
        <v>1570520540438</v>
      </c>
      <c r="I567">
        <v>526.6875</v>
      </c>
      <c r="J567" s="9">
        <f t="shared" si="8"/>
        <v>43746.612736550924</v>
      </c>
      <c r="K567" s="1"/>
    </row>
    <row r="568" spans="1:11" x14ac:dyDescent="0.25">
      <c r="A568" t="e">
        <f>-LqeJRMD3PgjFdSaxWJe</f>
        <v>#NAME?</v>
      </c>
      <c r="B568">
        <v>393.75</v>
      </c>
      <c r="C568">
        <v>20.584240000000001</v>
      </c>
      <c r="D568">
        <v>40</v>
      </c>
      <c r="E568">
        <v>0</v>
      </c>
      <c r="F568">
        <v>0</v>
      </c>
      <c r="G568">
        <v>1</v>
      </c>
      <c r="H568" s="4">
        <v>1570520547632</v>
      </c>
      <c r="I568">
        <v>526.6875</v>
      </c>
      <c r="J568" s="9">
        <f t="shared" si="8"/>
        <v>43746.612819814814</v>
      </c>
      <c r="K568" s="1"/>
    </row>
    <row r="569" spans="1:11" x14ac:dyDescent="0.25">
      <c r="A569" t="e">
        <f>-LqeJSz1afrRZ9jAhcu7</f>
        <v>#NAME?</v>
      </c>
      <c r="B569">
        <v>393.75</v>
      </c>
      <c r="C569">
        <v>20.531590000000001</v>
      </c>
      <c r="D569">
        <v>41</v>
      </c>
      <c r="E569">
        <v>0</v>
      </c>
      <c r="F569">
        <v>0</v>
      </c>
      <c r="G569">
        <v>1</v>
      </c>
      <c r="H569" s="4">
        <v>1570520553917</v>
      </c>
      <c r="I569">
        <v>526.6875</v>
      </c>
      <c r="J569" s="9">
        <f t="shared" si="8"/>
        <v>43746.612892557867</v>
      </c>
      <c r="K569" s="1"/>
    </row>
    <row r="570" spans="1:11" x14ac:dyDescent="0.25">
      <c r="A570" t="e">
        <f>-LqeJUdbZyn9S_OcOak4</f>
        <v>#NAME?</v>
      </c>
      <c r="B570">
        <v>393.75</v>
      </c>
      <c r="C570">
        <v>20.584240000000001</v>
      </c>
      <c r="D570">
        <v>41</v>
      </c>
      <c r="E570">
        <v>0</v>
      </c>
      <c r="F570">
        <v>0</v>
      </c>
      <c r="G570">
        <v>1</v>
      </c>
      <c r="H570" s="4">
        <v>1570520561078</v>
      </c>
      <c r="I570">
        <v>526.6875</v>
      </c>
      <c r="J570" s="9">
        <f t="shared" si="8"/>
        <v>43746.612975439813</v>
      </c>
      <c r="K570" s="1"/>
    </row>
    <row r="571" spans="1:11" x14ac:dyDescent="0.25">
      <c r="A571" t="e">
        <f>-LqeJW7RhaymWRecRJ_9</f>
        <v>#NAME?</v>
      </c>
      <c r="B571">
        <v>393.75</v>
      </c>
      <c r="C571">
        <v>20.531590000000001</v>
      </c>
      <c r="D571">
        <v>41</v>
      </c>
      <c r="E571">
        <v>0</v>
      </c>
      <c r="F571">
        <v>0</v>
      </c>
      <c r="G571">
        <v>1</v>
      </c>
      <c r="H571" s="4">
        <v>1570520567208</v>
      </c>
      <c r="I571">
        <v>526.6875</v>
      </c>
      <c r="J571" s="9">
        <f t="shared" si="8"/>
        <v>43746.613046388891</v>
      </c>
      <c r="K571" s="1"/>
    </row>
    <row r="572" spans="1:11" x14ac:dyDescent="0.25">
      <c r="A572" t="e">
        <f>-LqeJXduIBBYGAfWnsBJ</f>
        <v>#NAME?</v>
      </c>
      <c r="B572">
        <v>393.75</v>
      </c>
      <c r="C572">
        <v>20.584240000000001</v>
      </c>
      <c r="D572">
        <v>39</v>
      </c>
      <c r="E572">
        <v>0</v>
      </c>
      <c r="F572">
        <v>0</v>
      </c>
      <c r="G572">
        <v>1</v>
      </c>
      <c r="H572" s="4">
        <v>1570520573398</v>
      </c>
      <c r="I572">
        <v>526.5</v>
      </c>
      <c r="J572" s="9">
        <f t="shared" si="8"/>
        <v>43746.613118032408</v>
      </c>
      <c r="K572" s="1"/>
    </row>
    <row r="573" spans="1:11" x14ac:dyDescent="0.25">
      <c r="A573" t="e">
        <f>-LqeJZWlbjMN-U3rI_K6</f>
        <v>#NAME?</v>
      </c>
      <c r="B573">
        <v>393.75</v>
      </c>
      <c r="C573">
        <v>20.531590000000001</v>
      </c>
      <c r="D573">
        <v>40</v>
      </c>
      <c r="E573">
        <v>0</v>
      </c>
      <c r="F573">
        <v>0</v>
      </c>
      <c r="G573">
        <v>1</v>
      </c>
      <c r="H573" s="4">
        <v>1570520580663</v>
      </c>
      <c r="I573">
        <v>526.6875</v>
      </c>
      <c r="J573" s="9">
        <f t="shared" si="8"/>
        <v>43746.613202118053</v>
      </c>
      <c r="K573" s="1"/>
    </row>
    <row r="574" spans="1:11" x14ac:dyDescent="0.25">
      <c r="A574" t="e">
        <f>-LqeJaA-A7aBQLYHZmFt</f>
        <v>#NAME?</v>
      </c>
      <c r="B574">
        <v>393.75</v>
      </c>
      <c r="C574">
        <v>20.531590000000001</v>
      </c>
      <c r="D574">
        <v>40</v>
      </c>
      <c r="E574">
        <v>0</v>
      </c>
      <c r="F574">
        <v>0</v>
      </c>
      <c r="G574">
        <v>1</v>
      </c>
      <c r="H574" s="4">
        <v>1570520587833</v>
      </c>
      <c r="I574">
        <v>526.6875</v>
      </c>
      <c r="J574" s="9">
        <f t="shared" si="8"/>
        <v>43746.613285104169</v>
      </c>
      <c r="K574" s="1"/>
    </row>
    <row r="575" spans="1:11" x14ac:dyDescent="0.25">
      <c r="A575" t="e">
        <f>-LqeJbeZIpDCOVfdkOyl</f>
        <v>#NAME?</v>
      </c>
      <c r="B575">
        <v>393.75</v>
      </c>
      <c r="C575">
        <v>20.584240000000001</v>
      </c>
      <c r="D575">
        <v>39</v>
      </c>
      <c r="E575">
        <v>0</v>
      </c>
      <c r="F575">
        <v>0</v>
      </c>
      <c r="G575">
        <v>1</v>
      </c>
      <c r="H575" s="4">
        <v>1570520593988</v>
      </c>
      <c r="I575">
        <v>526.6875</v>
      </c>
      <c r="J575" s="9">
        <f t="shared" si="8"/>
        <v>43746.61335634259</v>
      </c>
      <c r="K575" s="1"/>
    </row>
    <row r="576" spans="1:11" x14ac:dyDescent="0.25">
      <c r="A576" t="e">
        <f>-LqeJdBSSKypSRjOgzw0</f>
        <v>#NAME?</v>
      </c>
      <c r="B576">
        <v>393.75</v>
      </c>
      <c r="C576">
        <v>20.531590000000001</v>
      </c>
      <c r="D576">
        <v>40</v>
      </c>
      <c r="E576">
        <v>0</v>
      </c>
      <c r="F576">
        <v>0</v>
      </c>
      <c r="G576">
        <v>1</v>
      </c>
      <c r="H576" s="4">
        <v>1570520600178</v>
      </c>
      <c r="I576">
        <v>526.6875</v>
      </c>
      <c r="J576" s="9">
        <f t="shared" si="8"/>
        <v>43746.613427986107</v>
      </c>
      <c r="K576" s="1"/>
    </row>
    <row r="577" spans="1:11" x14ac:dyDescent="0.25">
      <c r="A577" t="e">
        <f>-LqeJehtx1Il2_686LQP</f>
        <v>#NAME?</v>
      </c>
      <c r="B577">
        <v>412.5</v>
      </c>
      <c r="C577">
        <v>20.584240000000001</v>
      </c>
      <c r="D577">
        <v>41</v>
      </c>
      <c r="E577">
        <v>0</v>
      </c>
      <c r="F577">
        <v>0</v>
      </c>
      <c r="G577">
        <v>1</v>
      </c>
      <c r="H577" s="4">
        <v>1570520606390</v>
      </c>
      <c r="I577">
        <v>532.3125</v>
      </c>
      <c r="J577" s="9">
        <f t="shared" si="8"/>
        <v>43746.613499884254</v>
      </c>
      <c r="K577" s="1"/>
    </row>
    <row r="578" spans="1:11" x14ac:dyDescent="0.25">
      <c r="A578" t="e">
        <f>-LqeJgDthaQdynFnoDoJ</f>
        <v>#NAME?</v>
      </c>
      <c r="B578">
        <v>393.75</v>
      </c>
      <c r="C578">
        <v>20.584240000000001</v>
      </c>
      <c r="D578">
        <v>41</v>
      </c>
      <c r="E578">
        <v>0</v>
      </c>
      <c r="F578">
        <v>0</v>
      </c>
      <c r="G578">
        <v>1</v>
      </c>
      <c r="H578" s="4">
        <v>1570520612557</v>
      </c>
      <c r="I578">
        <v>526.6875</v>
      </c>
      <c r="J578" s="9">
        <f t="shared" si="8"/>
        <v>43746.613571261572</v>
      </c>
      <c r="K578" s="1"/>
    </row>
    <row r="579" spans="1:11" x14ac:dyDescent="0.25">
      <c r="A579" t="e">
        <f>-LqeJhiC2Gd8xEm3Poy0</f>
        <v>#NAME?</v>
      </c>
      <c r="B579">
        <v>393.75</v>
      </c>
      <c r="C579">
        <v>20.584240000000001</v>
      </c>
      <c r="D579">
        <v>41</v>
      </c>
      <c r="E579">
        <v>0</v>
      </c>
      <c r="F579">
        <v>0</v>
      </c>
      <c r="G579">
        <v>1</v>
      </c>
      <c r="H579" s="4">
        <v>1570520618778</v>
      </c>
      <c r="I579">
        <v>526.5</v>
      </c>
      <c r="J579" s="9">
        <f t="shared" ref="J579:J642" si="9">(H579/86400000)+25569+(7/24)</f>
        <v>43746.613643263881</v>
      </c>
      <c r="K579" s="1"/>
    </row>
    <row r="580" spans="1:11" x14ac:dyDescent="0.25">
      <c r="A580" t="e">
        <f>-LqeJjSYCdyki28AV7db</f>
        <v>#NAME?</v>
      </c>
      <c r="B580">
        <v>393.75</v>
      </c>
      <c r="C580">
        <v>20.531590000000001</v>
      </c>
      <c r="D580">
        <v>38</v>
      </c>
      <c r="E580">
        <v>0</v>
      </c>
      <c r="F580">
        <v>0</v>
      </c>
      <c r="G580">
        <v>1</v>
      </c>
      <c r="H580" s="4">
        <v>1570520625943</v>
      </c>
      <c r="I580">
        <v>526.6875</v>
      </c>
      <c r="J580" s="9">
        <f t="shared" si="9"/>
        <v>43746.613726192132</v>
      </c>
      <c r="K580" s="1"/>
    </row>
    <row r="581" spans="1:11" x14ac:dyDescent="0.25">
      <c r="A581" t="e">
        <f>-LqeJl1KZ-AO2uNd4CQ5</f>
        <v>#NAME?</v>
      </c>
      <c r="B581">
        <v>393.75</v>
      </c>
      <c r="C581">
        <v>20.584240000000001</v>
      </c>
      <c r="D581">
        <v>38</v>
      </c>
      <c r="E581">
        <v>0</v>
      </c>
      <c r="F581">
        <v>0</v>
      </c>
      <c r="G581">
        <v>1</v>
      </c>
      <c r="H581" s="4">
        <v>1570520632153</v>
      </c>
      <c r="I581">
        <v>526.6875</v>
      </c>
      <c r="J581" s="9">
        <f t="shared" si="9"/>
        <v>43746.613798067126</v>
      </c>
      <c r="K581" s="1"/>
    </row>
    <row r="582" spans="1:11" x14ac:dyDescent="0.25">
      <c r="A582" t="e">
        <f>-LqeJmkcEX7SOVUYjh_q</f>
        <v>#NAME?</v>
      </c>
      <c r="B582">
        <v>393.75</v>
      </c>
      <c r="C582">
        <v>20.584240000000001</v>
      </c>
      <c r="D582">
        <v>39</v>
      </c>
      <c r="E582">
        <v>0</v>
      </c>
      <c r="F582">
        <v>0</v>
      </c>
      <c r="G582">
        <v>1</v>
      </c>
      <c r="H582" s="4">
        <v>1570520639367</v>
      </c>
      <c r="I582">
        <v>526.6875</v>
      </c>
      <c r="J582" s="9">
        <f t="shared" si="9"/>
        <v>43746.613881562494</v>
      </c>
      <c r="K582" s="1"/>
    </row>
    <row r="583" spans="1:11" x14ac:dyDescent="0.25">
      <c r="A583" t="s">
        <v>38</v>
      </c>
      <c r="B583">
        <v>393.75</v>
      </c>
      <c r="C583">
        <v>20.584240000000001</v>
      </c>
      <c r="D583">
        <v>40</v>
      </c>
      <c r="E583">
        <v>0</v>
      </c>
      <c r="F583">
        <v>0</v>
      </c>
      <c r="G583">
        <v>1</v>
      </c>
      <c r="H583" s="4">
        <v>1570520645728</v>
      </c>
      <c r="I583">
        <v>526.6875</v>
      </c>
      <c r="J583" s="9">
        <f t="shared" si="9"/>
        <v>43746.613955185181</v>
      </c>
      <c r="K583" s="1"/>
    </row>
    <row r="584" spans="1:11" x14ac:dyDescent="0.25">
      <c r="A584" t="e">
        <f>-LqeJq1mrzj59q9iZxQU</f>
        <v>#NAME?</v>
      </c>
      <c r="B584">
        <v>393.75</v>
      </c>
      <c r="C584">
        <v>20.584240000000001</v>
      </c>
      <c r="D584">
        <v>40</v>
      </c>
      <c r="E584">
        <v>0</v>
      </c>
      <c r="F584">
        <v>0</v>
      </c>
      <c r="G584">
        <v>1</v>
      </c>
      <c r="H584" s="4">
        <v>1570520652798</v>
      </c>
      <c r="I584">
        <v>526.6875</v>
      </c>
      <c r="J584" s="9">
        <f t="shared" si="9"/>
        <v>43746.614037013882</v>
      </c>
      <c r="K584" s="1"/>
    </row>
    <row r="585" spans="1:11" x14ac:dyDescent="0.25">
      <c r="A585" t="e">
        <f>-LqeJrXtdqK3UD12qQ7Q</f>
        <v>#NAME?</v>
      </c>
      <c r="B585">
        <v>393.75</v>
      </c>
      <c r="C585">
        <v>20.531590000000001</v>
      </c>
      <c r="D585">
        <v>40</v>
      </c>
      <c r="E585">
        <v>0</v>
      </c>
      <c r="F585">
        <v>0</v>
      </c>
      <c r="G585">
        <v>1</v>
      </c>
      <c r="H585" s="4">
        <v>1570520658943</v>
      </c>
      <c r="I585">
        <v>526.5</v>
      </c>
      <c r="J585" s="9">
        <f t="shared" si="9"/>
        <v>43746.614108136571</v>
      </c>
      <c r="K585" s="1"/>
    </row>
    <row r="586" spans="1:11" x14ac:dyDescent="0.25">
      <c r="A586" t="e">
        <f>-LqeJt29rKwjrzOPxzXl</f>
        <v>#NAME?</v>
      </c>
      <c r="B586">
        <v>393.75</v>
      </c>
      <c r="C586">
        <v>20.584240000000001</v>
      </c>
      <c r="D586">
        <v>40</v>
      </c>
      <c r="E586">
        <v>0</v>
      </c>
      <c r="F586">
        <v>0</v>
      </c>
      <c r="G586">
        <v>1</v>
      </c>
      <c r="H586" s="4">
        <v>1570520665118</v>
      </c>
      <c r="I586">
        <v>526.5</v>
      </c>
      <c r="J586" s="9">
        <f t="shared" si="9"/>
        <v>43746.614179606484</v>
      </c>
      <c r="K586" s="1"/>
    </row>
    <row r="587" spans="1:11" x14ac:dyDescent="0.25">
      <c r="A587" t="e">
        <f>-LqeJuYN-p1DPyCU-hHV</f>
        <v>#NAME?</v>
      </c>
      <c r="B587">
        <v>406.25</v>
      </c>
      <c r="C587">
        <v>20.584240000000001</v>
      </c>
      <c r="D587">
        <v>41</v>
      </c>
      <c r="E587">
        <v>0</v>
      </c>
      <c r="F587">
        <v>0</v>
      </c>
      <c r="G587">
        <v>1</v>
      </c>
      <c r="H587" s="4">
        <v>1570520671323</v>
      </c>
      <c r="I587">
        <v>530.4375</v>
      </c>
      <c r="J587" s="9">
        <f t="shared" si="9"/>
        <v>43746.614251423605</v>
      </c>
      <c r="K587" s="1"/>
    </row>
    <row r="588" spans="1:11" x14ac:dyDescent="0.25">
      <c r="A588" t="e">
        <f>-LqeJw2YqqRwDn3kADWr</f>
        <v>#NAME?</v>
      </c>
      <c r="B588">
        <v>393.75</v>
      </c>
      <c r="C588">
        <v>20.531590000000001</v>
      </c>
      <c r="D588">
        <v>42</v>
      </c>
      <c r="E588">
        <v>0</v>
      </c>
      <c r="F588">
        <v>0</v>
      </c>
      <c r="G588">
        <v>1</v>
      </c>
      <c r="H588" s="4">
        <v>1570520677503</v>
      </c>
      <c r="I588">
        <v>526.6875</v>
      </c>
      <c r="J588" s="9">
        <f t="shared" si="9"/>
        <v>43746.614322951391</v>
      </c>
      <c r="K588" s="1"/>
    </row>
    <row r="589" spans="1:11" x14ac:dyDescent="0.25">
      <c r="A589" t="e">
        <f>-LqeJx_DIX3rWiD6MAlu</f>
        <v>#NAME?</v>
      </c>
      <c r="B589">
        <v>393.75</v>
      </c>
      <c r="C589">
        <v>20.531590000000001</v>
      </c>
      <c r="D589">
        <v>42</v>
      </c>
      <c r="E589">
        <v>0</v>
      </c>
      <c r="F589">
        <v>0</v>
      </c>
      <c r="G589">
        <v>1</v>
      </c>
      <c r="H589" s="4">
        <v>1570520683663</v>
      </c>
      <c r="I589">
        <v>526.6875</v>
      </c>
      <c r="J589" s="9">
        <f t="shared" si="9"/>
        <v>43746.614394247685</v>
      </c>
      <c r="K589" s="1"/>
    </row>
    <row r="590" spans="1:11" x14ac:dyDescent="0.25">
      <c r="A590" t="e">
        <f>-LqeJz5OHHU2DYPkfK59</f>
        <v>#NAME?</v>
      </c>
      <c r="B590">
        <v>393.75</v>
      </c>
      <c r="C590">
        <v>20.584240000000001</v>
      </c>
      <c r="D590">
        <v>47</v>
      </c>
      <c r="E590">
        <v>0</v>
      </c>
      <c r="F590">
        <v>0</v>
      </c>
      <c r="G590">
        <v>1</v>
      </c>
      <c r="H590" s="4">
        <v>1570520689898</v>
      </c>
      <c r="I590">
        <v>526.5</v>
      </c>
      <c r="J590" s="9">
        <f t="shared" si="9"/>
        <v>43746.614466412029</v>
      </c>
      <c r="K590" s="1"/>
    </row>
    <row r="591" spans="1:11" x14ac:dyDescent="0.25">
      <c r="A591" t="e">
        <f>-LqeK-_Pzla-i3JETZOb</f>
        <v>#NAME?</v>
      </c>
      <c r="B591">
        <v>393.75</v>
      </c>
      <c r="C591">
        <v>20.584240000000001</v>
      </c>
      <c r="D591">
        <v>45</v>
      </c>
      <c r="E591">
        <v>0</v>
      </c>
      <c r="F591">
        <v>0</v>
      </c>
      <c r="G591">
        <v>1</v>
      </c>
      <c r="H591" s="4">
        <v>1570520696037</v>
      </c>
      <c r="I591">
        <v>526.6875</v>
      </c>
      <c r="J591" s="9">
        <f t="shared" si="9"/>
        <v>43746.614537465277</v>
      </c>
      <c r="K591" s="1"/>
    </row>
    <row r="592" spans="1:11" x14ac:dyDescent="0.25">
      <c r="A592" t="e">
        <f>-LqeK160eH3n6sNYH3wS</f>
        <v>#NAME?</v>
      </c>
      <c r="B592">
        <v>393.75</v>
      </c>
      <c r="C592">
        <v>20.584240000000001</v>
      </c>
      <c r="D592">
        <v>44</v>
      </c>
      <c r="E592">
        <v>0</v>
      </c>
      <c r="F592">
        <v>0</v>
      </c>
      <c r="G592">
        <v>1</v>
      </c>
      <c r="H592" s="4">
        <v>1570520702215</v>
      </c>
      <c r="I592">
        <v>526.6875</v>
      </c>
      <c r="J592" s="9">
        <f t="shared" si="9"/>
        <v>43746.614608969903</v>
      </c>
      <c r="K592" s="1"/>
    </row>
    <row r="593" spans="1:11" x14ac:dyDescent="0.25">
      <c r="A593" t="e">
        <f>-LqeK2b9l7FEBoD4jdCJ</f>
        <v>#NAME?</v>
      </c>
      <c r="B593">
        <v>393.75</v>
      </c>
      <c r="C593">
        <v>20.531590000000001</v>
      </c>
      <c r="D593">
        <v>44</v>
      </c>
      <c r="E593">
        <v>0</v>
      </c>
      <c r="F593">
        <v>0</v>
      </c>
      <c r="G593">
        <v>1</v>
      </c>
      <c r="H593" s="4">
        <v>1570520708438</v>
      </c>
      <c r="I593">
        <v>526.6875</v>
      </c>
      <c r="J593" s="9">
        <f t="shared" si="9"/>
        <v>43746.614680995372</v>
      </c>
      <c r="K593" s="1"/>
    </row>
    <row r="594" spans="1:11" x14ac:dyDescent="0.25">
      <c r="A594" t="e">
        <f>-LqeK4XdyH_BdbziLFZf</f>
        <v>#NAME?</v>
      </c>
      <c r="B594">
        <v>393.75</v>
      </c>
      <c r="C594">
        <v>20.584240000000001</v>
      </c>
      <c r="D594">
        <v>44</v>
      </c>
      <c r="E594">
        <v>0</v>
      </c>
      <c r="F594">
        <v>0</v>
      </c>
      <c r="G594">
        <v>1</v>
      </c>
      <c r="H594" s="4">
        <v>1570520715856</v>
      </c>
      <c r="I594">
        <v>526.6875</v>
      </c>
      <c r="J594" s="9">
        <f t="shared" si="9"/>
        <v>43746.614766851846</v>
      </c>
      <c r="K594" s="1"/>
    </row>
    <row r="595" spans="1:11" x14ac:dyDescent="0.25">
      <c r="A595" t="e">
        <f>-LqeK68XSS7t-FOzhz2D</f>
        <v>#NAME?</v>
      </c>
      <c r="B595">
        <v>393.75</v>
      </c>
      <c r="C595">
        <v>20.584240000000001</v>
      </c>
      <c r="D595">
        <v>40</v>
      </c>
      <c r="E595">
        <v>0</v>
      </c>
      <c r="F595">
        <v>0</v>
      </c>
      <c r="G595">
        <v>1</v>
      </c>
      <c r="H595" s="4">
        <v>1570520722861</v>
      </c>
      <c r="I595">
        <v>526.6875</v>
      </c>
      <c r="J595" s="9">
        <f t="shared" si="9"/>
        <v>43746.614847928235</v>
      </c>
      <c r="K595" s="1"/>
    </row>
    <row r="596" spans="1:11" x14ac:dyDescent="0.25">
      <c r="A596" t="e">
        <f>-LqeK7dg0m6T4bhYHpfy</f>
        <v>#NAME?</v>
      </c>
      <c r="B596">
        <v>393.75</v>
      </c>
      <c r="C596">
        <v>20.584240000000001</v>
      </c>
      <c r="D596">
        <v>39</v>
      </c>
      <c r="E596">
        <v>0</v>
      </c>
      <c r="F596">
        <v>0</v>
      </c>
      <c r="G596">
        <v>1</v>
      </c>
      <c r="H596" s="4">
        <v>1570520729022</v>
      </c>
      <c r="I596">
        <v>526.6875</v>
      </c>
      <c r="J596" s="9">
        <f t="shared" si="9"/>
        <v>43746.614919236112</v>
      </c>
      <c r="K596" s="1"/>
    </row>
    <row r="597" spans="1:11" x14ac:dyDescent="0.25">
      <c r="A597" t="e">
        <f>-LqeK9PCIbuY2jsbFB7H</f>
        <v>#NAME?</v>
      </c>
      <c r="B597">
        <v>393.75</v>
      </c>
      <c r="C597">
        <v>20.584240000000001</v>
      </c>
      <c r="D597">
        <v>39</v>
      </c>
      <c r="E597">
        <v>0</v>
      </c>
      <c r="F597">
        <v>0</v>
      </c>
      <c r="G597">
        <v>1</v>
      </c>
      <c r="H597" s="4">
        <v>1570520736241</v>
      </c>
      <c r="I597">
        <v>526.6875</v>
      </c>
      <c r="J597" s="9">
        <f t="shared" si="9"/>
        <v>43746.615002789353</v>
      </c>
      <c r="K597" s="1"/>
    </row>
    <row r="598" spans="1:11" x14ac:dyDescent="0.25">
      <c r="A598" t="e">
        <f>-LqeKAvO73THIT-pl1I0</f>
        <v>#NAME?</v>
      </c>
      <c r="B598">
        <v>393.75</v>
      </c>
      <c r="C598">
        <v>20.584240000000001</v>
      </c>
      <c r="D598">
        <v>39</v>
      </c>
      <c r="E598">
        <v>0</v>
      </c>
      <c r="F598">
        <v>0</v>
      </c>
      <c r="G598">
        <v>1</v>
      </c>
      <c r="H598" s="4">
        <v>1570520742457</v>
      </c>
      <c r="I598">
        <v>526.6875</v>
      </c>
      <c r="J598" s="9">
        <f t="shared" si="9"/>
        <v>43746.615074733789</v>
      </c>
      <c r="K598" s="1"/>
    </row>
    <row r="599" spans="1:11" x14ac:dyDescent="0.25">
      <c r="A599" t="e">
        <f>-LqeKCQdZqs3WC7kktUH</f>
        <v>#NAME?</v>
      </c>
      <c r="B599">
        <v>393.75</v>
      </c>
      <c r="C599">
        <v>20.584240000000001</v>
      </c>
      <c r="D599">
        <v>39</v>
      </c>
      <c r="E599">
        <v>0</v>
      </c>
      <c r="F599">
        <v>0</v>
      </c>
      <c r="G599">
        <v>1</v>
      </c>
      <c r="H599" s="4">
        <v>1570520748601</v>
      </c>
      <c r="I599">
        <v>526.6875</v>
      </c>
      <c r="J599" s="9">
        <f t="shared" si="9"/>
        <v>43746.615145844909</v>
      </c>
      <c r="K599" s="1"/>
    </row>
    <row r="600" spans="1:11" x14ac:dyDescent="0.25">
      <c r="A600" t="e">
        <f>-LqeKDx7irPalp_WtpXb</f>
        <v>#NAME?</v>
      </c>
      <c r="B600">
        <v>393.75</v>
      </c>
      <c r="C600">
        <v>20.531590000000001</v>
      </c>
      <c r="D600">
        <v>39</v>
      </c>
      <c r="E600">
        <v>0</v>
      </c>
      <c r="F600">
        <v>0</v>
      </c>
      <c r="G600">
        <v>1</v>
      </c>
      <c r="H600" s="4">
        <v>1570520754842</v>
      </c>
      <c r="I600">
        <v>526.6875</v>
      </c>
      <c r="J600" s="9">
        <f t="shared" si="9"/>
        <v>43746.615218078703</v>
      </c>
      <c r="K600" s="1"/>
    </row>
    <row r="601" spans="1:11" x14ac:dyDescent="0.25">
      <c r="A601" t="e">
        <f>-LqeKFSO2F8q-oBUHPg2</f>
        <v>#NAME?</v>
      </c>
      <c r="B601">
        <v>393.75</v>
      </c>
      <c r="C601">
        <v>20.584240000000001</v>
      </c>
      <c r="D601">
        <v>39</v>
      </c>
      <c r="E601">
        <v>0</v>
      </c>
      <c r="F601">
        <v>0</v>
      </c>
      <c r="G601">
        <v>1</v>
      </c>
      <c r="H601" s="4">
        <v>1570520761007</v>
      </c>
      <c r="I601">
        <v>526.6875</v>
      </c>
      <c r="J601" s="9">
        <f t="shared" si="9"/>
        <v>43746.61528943287</v>
      </c>
      <c r="K601" s="1"/>
    </row>
    <row r="602" spans="1:11" x14ac:dyDescent="0.25">
      <c r="A602" t="e">
        <f>-LqeKGyu3QfDzkct8UcB</f>
        <v>#NAME?</v>
      </c>
      <c r="B602">
        <v>412.5</v>
      </c>
      <c r="C602">
        <v>20.584240000000001</v>
      </c>
      <c r="D602">
        <v>40</v>
      </c>
      <c r="E602">
        <v>0</v>
      </c>
      <c r="F602">
        <v>0</v>
      </c>
      <c r="G602">
        <v>1</v>
      </c>
      <c r="H602" s="4">
        <v>1570520767290</v>
      </c>
      <c r="I602">
        <v>532.3125</v>
      </c>
      <c r="J602" s="9">
        <f t="shared" si="9"/>
        <v>43746.61536215277</v>
      </c>
      <c r="K602" s="1"/>
    </row>
    <row r="603" spans="1:11" x14ac:dyDescent="0.25">
      <c r="A603" t="e">
        <f>-LqeKIS1wkmQQCb3DnY7</f>
        <v>#NAME?</v>
      </c>
      <c r="B603">
        <v>393.75</v>
      </c>
      <c r="C603">
        <v>20.531590000000001</v>
      </c>
      <c r="D603">
        <v>40</v>
      </c>
      <c r="E603">
        <v>0</v>
      </c>
      <c r="F603">
        <v>0</v>
      </c>
      <c r="G603">
        <v>1</v>
      </c>
      <c r="H603" s="4">
        <v>1570520773322</v>
      </c>
      <c r="I603">
        <v>526.6875</v>
      </c>
      <c r="J603" s="9">
        <f t="shared" si="9"/>
        <v>43746.615431967592</v>
      </c>
      <c r="K603" s="1"/>
    </row>
    <row r="604" spans="1:11" x14ac:dyDescent="0.25">
      <c r="A604" t="e">
        <f>-LqeKJyz2PmhvV6xWlyL</f>
        <v>#NAME?</v>
      </c>
      <c r="B604">
        <v>393.75</v>
      </c>
      <c r="C604">
        <v>20.584240000000001</v>
      </c>
      <c r="D604">
        <v>40</v>
      </c>
      <c r="E604">
        <v>0</v>
      </c>
      <c r="F604">
        <v>0</v>
      </c>
      <c r="G604">
        <v>1</v>
      </c>
      <c r="H604" s="4">
        <v>1570520779521</v>
      </c>
      <c r="I604">
        <v>526.6875</v>
      </c>
      <c r="J604" s="9">
        <f t="shared" si="9"/>
        <v>43746.615503715271</v>
      </c>
      <c r="K604" s="1"/>
    </row>
    <row r="605" spans="1:11" x14ac:dyDescent="0.25">
      <c r="A605" t="e">
        <f>-LqeKLUKhefWb6cfwUTA</f>
        <v>#NAME?</v>
      </c>
      <c r="B605">
        <v>393.75</v>
      </c>
      <c r="C605">
        <v>20.584240000000001</v>
      </c>
      <c r="D605">
        <v>40</v>
      </c>
      <c r="E605">
        <v>0</v>
      </c>
      <c r="F605">
        <v>0</v>
      </c>
      <c r="G605">
        <v>1</v>
      </c>
      <c r="H605" s="4">
        <v>1570520785695</v>
      </c>
      <c r="I605">
        <v>526.6875</v>
      </c>
      <c r="J605" s="9">
        <f t="shared" si="9"/>
        <v>43746.615575173608</v>
      </c>
      <c r="K605" s="1"/>
    </row>
    <row r="606" spans="1:11" x14ac:dyDescent="0.25">
      <c r="A606" t="e">
        <f>-LqeKN4G4zuXfHnFjJd3</f>
        <v>#NAME?</v>
      </c>
      <c r="B606">
        <v>393.75</v>
      </c>
      <c r="C606">
        <v>20.531590000000001</v>
      </c>
      <c r="D606">
        <v>40</v>
      </c>
      <c r="E606">
        <v>0</v>
      </c>
      <c r="F606">
        <v>0</v>
      </c>
      <c r="G606">
        <v>1</v>
      </c>
      <c r="H606" s="4">
        <v>1570520791892</v>
      </c>
      <c r="I606">
        <v>526.6875</v>
      </c>
      <c r="J606" s="9">
        <f t="shared" si="9"/>
        <v>43746.615646898143</v>
      </c>
      <c r="K606" s="1"/>
    </row>
    <row r="607" spans="1:11" x14ac:dyDescent="0.25">
      <c r="A607" t="e">
        <f>-LqeKOjvJnnAi3d8kGae</f>
        <v>#NAME?</v>
      </c>
      <c r="B607">
        <v>393.75</v>
      </c>
      <c r="C607">
        <v>20.531590000000001</v>
      </c>
      <c r="D607">
        <v>40</v>
      </c>
      <c r="E607">
        <v>0</v>
      </c>
      <c r="F607">
        <v>0</v>
      </c>
      <c r="G607">
        <v>1</v>
      </c>
      <c r="H607" s="4">
        <v>1570520799101</v>
      </c>
      <c r="I607">
        <v>526.6875</v>
      </c>
      <c r="J607" s="9">
        <f t="shared" si="9"/>
        <v>43746.615730335645</v>
      </c>
      <c r="K607" s="1"/>
    </row>
    <row r="608" spans="1:11" x14ac:dyDescent="0.25">
      <c r="A608" t="e">
        <f>-LqeKQKGl5_KP92ls676</f>
        <v>#NAME?</v>
      </c>
      <c r="B608">
        <v>393.75</v>
      </c>
      <c r="C608">
        <v>20.584240000000001</v>
      </c>
      <c r="D608">
        <v>40</v>
      </c>
      <c r="E608">
        <v>0</v>
      </c>
      <c r="F608">
        <v>0</v>
      </c>
      <c r="G608">
        <v>1</v>
      </c>
      <c r="H608" s="4">
        <v>1570520805657</v>
      </c>
      <c r="I608">
        <v>526.6875</v>
      </c>
      <c r="J608" s="9">
        <f t="shared" si="9"/>
        <v>43746.615806215275</v>
      </c>
      <c r="K608" s="1"/>
    </row>
    <row r="609" spans="1:11" x14ac:dyDescent="0.25">
      <c r="A609" t="e">
        <f>-LqeKS1Exjmu_gyEPzXD</f>
        <v>#NAME?</v>
      </c>
      <c r="B609">
        <v>393.75</v>
      </c>
      <c r="C609">
        <v>20.584240000000001</v>
      </c>
      <c r="D609">
        <v>40</v>
      </c>
      <c r="E609">
        <v>0</v>
      </c>
      <c r="F609">
        <v>0</v>
      </c>
      <c r="G609">
        <v>1</v>
      </c>
      <c r="H609" s="4">
        <v>1570520812512</v>
      </c>
      <c r="I609">
        <v>526.6875</v>
      </c>
      <c r="J609" s="9">
        <f t="shared" si="9"/>
        <v>43746.615885555548</v>
      </c>
      <c r="K609" s="1"/>
    </row>
    <row r="610" spans="1:11" x14ac:dyDescent="0.25">
      <c r="A610" t="e">
        <f>-LqeKTXspK8yyko98o8o</f>
        <v>#NAME?</v>
      </c>
      <c r="B610">
        <v>393.75</v>
      </c>
      <c r="C610">
        <v>20.584240000000001</v>
      </c>
      <c r="D610">
        <v>40</v>
      </c>
      <c r="E610">
        <v>0</v>
      </c>
      <c r="F610">
        <v>0</v>
      </c>
      <c r="G610">
        <v>1</v>
      </c>
      <c r="H610" s="4">
        <v>1570520818667</v>
      </c>
      <c r="I610">
        <v>526.6875</v>
      </c>
      <c r="J610" s="9">
        <f t="shared" si="9"/>
        <v>43746.615956793983</v>
      </c>
      <c r="K610" s="1"/>
    </row>
    <row r="611" spans="1:11" x14ac:dyDescent="0.25">
      <c r="A611" t="e">
        <f>-LqeKV2riLdoDBzIk0Cc</f>
        <v>#NAME?</v>
      </c>
      <c r="B611">
        <v>393.75</v>
      </c>
      <c r="C611">
        <v>20.584240000000001</v>
      </c>
      <c r="D611">
        <v>40</v>
      </c>
      <c r="E611">
        <v>0</v>
      </c>
      <c r="F611">
        <v>0</v>
      </c>
      <c r="G611">
        <v>1</v>
      </c>
      <c r="H611" s="4">
        <v>1570520824918</v>
      </c>
      <c r="I611">
        <v>526.6875</v>
      </c>
      <c r="J611" s="9">
        <f t="shared" si="9"/>
        <v>43746.616029143515</v>
      </c>
      <c r="K611" s="1"/>
    </row>
    <row r="612" spans="1:11" x14ac:dyDescent="0.25">
      <c r="A612" t="e">
        <f>-LqeKW_GUE5sX3lbyC0s</f>
        <v>#NAME?</v>
      </c>
      <c r="B612">
        <v>393.75</v>
      </c>
      <c r="C612">
        <v>20.531590000000001</v>
      </c>
      <c r="D612">
        <v>40</v>
      </c>
      <c r="E612">
        <v>0</v>
      </c>
      <c r="F612">
        <v>0</v>
      </c>
      <c r="G612">
        <v>1</v>
      </c>
      <c r="H612" s="4">
        <v>1570520831035</v>
      </c>
      <c r="I612">
        <v>526.6875</v>
      </c>
      <c r="J612" s="9">
        <f t="shared" si="9"/>
        <v>43746.616099942126</v>
      </c>
      <c r="K612" s="1"/>
    </row>
    <row r="613" spans="1:11" x14ac:dyDescent="0.25">
      <c r="A613" t="e">
        <f>-LqeKY8BbxcSbgVBEOOQ</f>
        <v>#NAME?</v>
      </c>
      <c r="B613">
        <v>418.75</v>
      </c>
      <c r="C613">
        <v>20.584240000000001</v>
      </c>
      <c r="D613">
        <v>40</v>
      </c>
      <c r="E613">
        <v>0</v>
      </c>
      <c r="F613">
        <v>0</v>
      </c>
      <c r="G613">
        <v>1</v>
      </c>
      <c r="H613" s="4">
        <v>1570520837452</v>
      </c>
      <c r="I613">
        <v>534.5625</v>
      </c>
      <c r="J613" s="9">
        <f t="shared" si="9"/>
        <v>43746.616174212955</v>
      </c>
      <c r="K613" s="1"/>
    </row>
    <row r="614" spans="1:11" x14ac:dyDescent="0.25">
      <c r="A614" t="e">
        <f>-LqeKZpmODojT2Cb-YC_</f>
        <v>#NAME?</v>
      </c>
      <c r="B614">
        <v>393.75</v>
      </c>
      <c r="C614">
        <v>20.584240000000001</v>
      </c>
      <c r="D614">
        <v>42</v>
      </c>
      <c r="E614">
        <v>0</v>
      </c>
      <c r="F614">
        <v>0</v>
      </c>
      <c r="G614">
        <v>1</v>
      </c>
      <c r="H614" s="4">
        <v>1570520844436</v>
      </c>
      <c r="I614">
        <v>526.6875</v>
      </c>
      <c r="J614" s="9">
        <f t="shared" si="9"/>
        <v>43746.616255046298</v>
      </c>
      <c r="K614" s="1"/>
    </row>
    <row r="615" spans="1:11" x14ac:dyDescent="0.25">
      <c r="A615" t="e">
        <f>-LqeKaJc_SlK19inrQNJ</f>
        <v>#NAME?</v>
      </c>
      <c r="B615">
        <v>393.75</v>
      </c>
      <c r="C615">
        <v>20.584240000000001</v>
      </c>
      <c r="D615">
        <v>42</v>
      </c>
      <c r="E615">
        <v>0</v>
      </c>
      <c r="F615">
        <v>0</v>
      </c>
      <c r="G615">
        <v>1</v>
      </c>
      <c r="H615" s="4">
        <v>1570520850622</v>
      </c>
      <c r="I615">
        <v>526.6875</v>
      </c>
      <c r="J615" s="9">
        <f t="shared" si="9"/>
        <v>43746.616326643518</v>
      </c>
      <c r="K615" s="1"/>
    </row>
    <row r="616" spans="1:11" x14ac:dyDescent="0.25">
      <c r="A616" t="e">
        <f>-LqeKbq7QWKbh0DC8imr</f>
        <v>#NAME?</v>
      </c>
      <c r="B616">
        <v>393.75</v>
      </c>
      <c r="C616">
        <v>20.584240000000001</v>
      </c>
      <c r="D616">
        <v>42</v>
      </c>
      <c r="E616">
        <v>0</v>
      </c>
      <c r="F616">
        <v>0</v>
      </c>
      <c r="G616">
        <v>1</v>
      </c>
      <c r="H616" s="4">
        <v>1570520856796</v>
      </c>
      <c r="I616">
        <v>526.6875</v>
      </c>
      <c r="J616" s="9">
        <f t="shared" si="9"/>
        <v>43746.616398101854</v>
      </c>
      <c r="K616" s="1"/>
    </row>
    <row r="617" spans="1:11" x14ac:dyDescent="0.25">
      <c r="A617" t="e">
        <f>-LqeKdLNyjVLJcq9thee</f>
        <v>#NAME?</v>
      </c>
      <c r="B617">
        <v>393.75</v>
      </c>
      <c r="C617">
        <v>20.584240000000001</v>
      </c>
      <c r="D617">
        <v>41</v>
      </c>
      <c r="E617">
        <v>0</v>
      </c>
      <c r="F617">
        <v>0</v>
      </c>
      <c r="G617">
        <v>1</v>
      </c>
      <c r="H617" s="4">
        <v>1570520863022</v>
      </c>
      <c r="I617">
        <v>526.6875</v>
      </c>
      <c r="J617" s="9">
        <f t="shared" si="9"/>
        <v>43746.616470162036</v>
      </c>
      <c r="K617" s="1"/>
    </row>
    <row r="618" spans="1:11" x14ac:dyDescent="0.25">
      <c r="A618" t="e">
        <f>-LqeKetLjdt-rHWGQF9N</f>
        <v>#NAME?</v>
      </c>
      <c r="B618">
        <v>393.75</v>
      </c>
      <c r="C618">
        <v>20.531590000000001</v>
      </c>
      <c r="D618">
        <v>41</v>
      </c>
      <c r="E618">
        <v>0</v>
      </c>
      <c r="F618">
        <v>0</v>
      </c>
      <c r="G618">
        <v>1</v>
      </c>
      <c r="H618" s="4">
        <v>1570520869186</v>
      </c>
      <c r="I618">
        <v>526.6875</v>
      </c>
      <c r="J618" s="9">
        <f t="shared" si="9"/>
        <v>43746.616541504627</v>
      </c>
      <c r="K618" s="1"/>
    </row>
    <row r="619" spans="1:11" x14ac:dyDescent="0.25">
      <c r="A619" t="e">
        <f>-LqeKgcWNkRly2h6sp9J</f>
        <v>#NAME?</v>
      </c>
      <c r="B619">
        <v>393.75</v>
      </c>
      <c r="C619">
        <v>20.531590000000001</v>
      </c>
      <c r="D619">
        <v>41</v>
      </c>
      <c r="E619">
        <v>0</v>
      </c>
      <c r="F619">
        <v>0</v>
      </c>
      <c r="G619">
        <v>1</v>
      </c>
      <c r="H619" s="4">
        <v>1570520876392</v>
      </c>
      <c r="I619">
        <v>526.6875</v>
      </c>
      <c r="J619" s="9">
        <f t="shared" si="9"/>
        <v>43746.616624907409</v>
      </c>
      <c r="K619" s="1"/>
    </row>
    <row r="620" spans="1:11" x14ac:dyDescent="0.25">
      <c r="A620" t="e">
        <f>-LqeKiRuxjB8ToYd5h5B</f>
        <v>#NAME?</v>
      </c>
      <c r="B620">
        <v>415.625</v>
      </c>
      <c r="C620">
        <v>20.584240000000001</v>
      </c>
      <c r="D620">
        <v>41</v>
      </c>
      <c r="E620">
        <v>0</v>
      </c>
      <c r="F620">
        <v>0</v>
      </c>
      <c r="G620">
        <v>1</v>
      </c>
      <c r="H620" s="4">
        <v>1570520882565</v>
      </c>
      <c r="I620">
        <v>533.0625</v>
      </c>
      <c r="J620" s="9">
        <f t="shared" si="9"/>
        <v>43746.616696354169</v>
      </c>
      <c r="K620" s="1"/>
    </row>
    <row r="621" spans="1:11" x14ac:dyDescent="0.25">
      <c r="A621" t="e">
        <f>-LqeKk9QXmy2KXyrJz4b</f>
        <v>#NAME?</v>
      </c>
      <c r="B621">
        <v>393.75</v>
      </c>
      <c r="C621">
        <v>20.531590000000001</v>
      </c>
      <c r="D621">
        <v>41</v>
      </c>
      <c r="E621">
        <v>0</v>
      </c>
      <c r="F621">
        <v>0</v>
      </c>
      <c r="G621">
        <v>1</v>
      </c>
      <c r="H621" s="4">
        <v>1570520890816</v>
      </c>
      <c r="I621">
        <v>526.5</v>
      </c>
      <c r="J621" s="9">
        <f t="shared" si="9"/>
        <v>43746.616791851848</v>
      </c>
      <c r="K621" s="1"/>
    </row>
    <row r="622" spans="1:11" x14ac:dyDescent="0.25">
      <c r="A622" t="e">
        <f>-LqeKlf490l4QtFYKO7z</f>
        <v>#NAME?</v>
      </c>
      <c r="B622">
        <v>393.75</v>
      </c>
      <c r="C622">
        <v>20.584240000000001</v>
      </c>
      <c r="D622">
        <v>42</v>
      </c>
      <c r="E622">
        <v>0</v>
      </c>
      <c r="F622">
        <v>0</v>
      </c>
      <c r="G622">
        <v>1</v>
      </c>
      <c r="H622" s="4">
        <v>1570520897003</v>
      </c>
      <c r="I622">
        <v>526.6875</v>
      </c>
      <c r="J622" s="9">
        <f t="shared" si="9"/>
        <v>43746.616863460651</v>
      </c>
      <c r="K622" s="1"/>
    </row>
    <row r="623" spans="1:11" x14ac:dyDescent="0.25">
      <c r="A623" t="e">
        <f>-LqeKn9TgkUzgoUq0NVC</f>
        <v>#NAME?</v>
      </c>
      <c r="B623">
        <v>393.75</v>
      </c>
      <c r="C623">
        <v>20.584240000000001</v>
      </c>
      <c r="D623">
        <v>42</v>
      </c>
      <c r="E623">
        <v>0</v>
      </c>
      <c r="F623">
        <v>0</v>
      </c>
      <c r="G623">
        <v>1</v>
      </c>
      <c r="H623" s="4">
        <v>1570520903238</v>
      </c>
      <c r="I623">
        <v>526.6875</v>
      </c>
      <c r="J623" s="9">
        <f t="shared" si="9"/>
        <v>43746.616935624996</v>
      </c>
      <c r="K623" s="1"/>
    </row>
    <row r="624" spans="1:11" x14ac:dyDescent="0.25">
      <c r="A624" t="s">
        <v>39</v>
      </c>
      <c r="B624">
        <v>393.75</v>
      </c>
      <c r="C624">
        <v>20.531590000000001</v>
      </c>
      <c r="D624">
        <v>40</v>
      </c>
      <c r="E624">
        <v>0</v>
      </c>
      <c r="F624">
        <v>0</v>
      </c>
      <c r="G624">
        <v>1</v>
      </c>
      <c r="H624" s="4">
        <v>1570520909367</v>
      </c>
      <c r="I624">
        <v>526.6875</v>
      </c>
      <c r="J624" s="9">
        <f t="shared" si="9"/>
        <v>43746.617006562497</v>
      </c>
      <c r="K624" s="1"/>
    </row>
    <row r="625" spans="1:11" x14ac:dyDescent="0.25">
      <c r="A625" t="e">
        <f>-LqeKqBZmY5xmojrfeaW</f>
        <v>#NAME?</v>
      </c>
      <c r="B625">
        <v>393.75</v>
      </c>
      <c r="C625">
        <v>20.584240000000001</v>
      </c>
      <c r="D625">
        <v>41</v>
      </c>
      <c r="E625">
        <v>0</v>
      </c>
      <c r="F625">
        <v>0</v>
      </c>
      <c r="G625">
        <v>1</v>
      </c>
      <c r="H625" s="4">
        <v>1570520915566</v>
      </c>
      <c r="I625">
        <v>526.6875</v>
      </c>
      <c r="J625" s="9">
        <f t="shared" si="9"/>
        <v>43746.617078310184</v>
      </c>
      <c r="K625" s="1"/>
    </row>
    <row r="626" spans="1:11" x14ac:dyDescent="0.25">
      <c r="A626" t="e">
        <f>-LqeKrgj1lTvu8BaPkHq</f>
        <v>#NAME?</v>
      </c>
      <c r="B626">
        <v>393.75</v>
      </c>
      <c r="C626">
        <v>20.584240000000001</v>
      </c>
      <c r="D626">
        <v>42</v>
      </c>
      <c r="E626">
        <v>0</v>
      </c>
      <c r="F626">
        <v>0</v>
      </c>
      <c r="G626">
        <v>1</v>
      </c>
      <c r="H626" s="4">
        <v>1570520921742</v>
      </c>
      <c r="I626">
        <v>526.6875</v>
      </c>
      <c r="J626" s="9">
        <f t="shared" si="9"/>
        <v>43746.617149791666</v>
      </c>
      <c r="K626" s="1"/>
    </row>
    <row r="627" spans="1:11" x14ac:dyDescent="0.25">
      <c r="A627" t="e">
        <f>-LqeKuU2rMR0mrnBbPWX</f>
        <v>#NAME?</v>
      </c>
      <c r="B627">
        <v>412.5</v>
      </c>
      <c r="C627">
        <v>20.531590000000001</v>
      </c>
      <c r="D627">
        <v>40</v>
      </c>
      <c r="E627">
        <v>0</v>
      </c>
      <c r="F627">
        <v>0</v>
      </c>
      <c r="G627">
        <v>1</v>
      </c>
      <c r="H627" s="4">
        <v>1570520927955</v>
      </c>
      <c r="I627">
        <v>532.6875</v>
      </c>
      <c r="J627" s="9">
        <f t="shared" si="9"/>
        <v>43746.617221701388</v>
      </c>
      <c r="K627" s="1"/>
    </row>
    <row r="628" spans="1:11" x14ac:dyDescent="0.25">
      <c r="A628" t="e">
        <f>-LqeKvyOF5YwatHVLcEL</f>
        <v>#NAME?</v>
      </c>
      <c r="B628">
        <v>393.75</v>
      </c>
      <c r="C628">
        <v>20.531590000000001</v>
      </c>
      <c r="D628">
        <v>46</v>
      </c>
      <c r="E628">
        <v>0</v>
      </c>
      <c r="F628">
        <v>0</v>
      </c>
      <c r="G628">
        <v>1</v>
      </c>
      <c r="H628" s="4">
        <v>1570520939244</v>
      </c>
      <c r="I628">
        <v>526.6875</v>
      </c>
      <c r="J628" s="9">
        <f t="shared" si="9"/>
        <v>43746.617352361107</v>
      </c>
      <c r="K628" s="1"/>
    </row>
    <row r="629" spans="1:11" x14ac:dyDescent="0.25">
      <c r="A629" t="e">
        <f>-LqeKxUqtV71P250yRFG</f>
        <v>#NAME?</v>
      </c>
      <c r="B629">
        <v>393.75</v>
      </c>
      <c r="C629">
        <v>20.584240000000001</v>
      </c>
      <c r="D629">
        <v>44</v>
      </c>
      <c r="E629">
        <v>0</v>
      </c>
      <c r="F629">
        <v>0</v>
      </c>
      <c r="G629">
        <v>1</v>
      </c>
      <c r="H629" s="4">
        <v>1570520945473</v>
      </c>
      <c r="I629">
        <v>526.6875</v>
      </c>
      <c r="J629" s="9">
        <f t="shared" si="9"/>
        <v>43746.617424456017</v>
      </c>
      <c r="K629" s="1"/>
    </row>
    <row r="630" spans="1:11" x14ac:dyDescent="0.25">
      <c r="A630" t="s">
        <v>40</v>
      </c>
      <c r="B630">
        <v>393.75</v>
      </c>
      <c r="C630">
        <v>20.531590000000001</v>
      </c>
      <c r="D630">
        <v>43</v>
      </c>
      <c r="E630">
        <v>0</v>
      </c>
      <c r="F630">
        <v>0</v>
      </c>
      <c r="G630">
        <v>1</v>
      </c>
      <c r="H630" s="4">
        <v>1570520951648</v>
      </c>
      <c r="I630">
        <v>526.6875</v>
      </c>
      <c r="J630" s="9">
        <f t="shared" si="9"/>
        <v>43746.617495925922</v>
      </c>
      <c r="K630" s="1"/>
    </row>
    <row r="631" spans="1:11" x14ac:dyDescent="0.25">
      <c r="A631" t="e">
        <f>-LqeL-WifUkY7GnjPnex</f>
        <v>#NAME?</v>
      </c>
      <c r="B631">
        <v>393.75</v>
      </c>
      <c r="C631">
        <v>20.584240000000001</v>
      </c>
      <c r="D631">
        <v>42</v>
      </c>
      <c r="E631">
        <v>0</v>
      </c>
      <c r="F631">
        <v>0</v>
      </c>
      <c r="G631">
        <v>1</v>
      </c>
      <c r="H631" s="4">
        <v>1570520957881</v>
      </c>
      <c r="I631">
        <v>526.6875</v>
      </c>
      <c r="J631" s="9">
        <f t="shared" si="9"/>
        <v>43746.617568067122</v>
      </c>
      <c r="K631" s="1"/>
    </row>
    <row r="632" spans="1:11" x14ac:dyDescent="0.25">
      <c r="A632" t="e">
        <f>-LqeL0z0JMAWreH6M_zu</f>
        <v>#NAME?</v>
      </c>
      <c r="B632">
        <v>393.75</v>
      </c>
      <c r="C632">
        <v>20.584240000000001</v>
      </c>
      <c r="D632">
        <v>42</v>
      </c>
      <c r="E632">
        <v>0</v>
      </c>
      <c r="F632">
        <v>0</v>
      </c>
      <c r="G632">
        <v>1</v>
      </c>
      <c r="H632" s="4">
        <v>1570520963977</v>
      </c>
      <c r="I632">
        <v>526.6875</v>
      </c>
      <c r="J632" s="9">
        <f t="shared" si="9"/>
        <v>43746.61763862268</v>
      </c>
      <c r="K632" s="1"/>
    </row>
    <row r="633" spans="1:11" x14ac:dyDescent="0.25">
      <c r="A633" t="e">
        <f>-LqeL2Vj3YVIkpC5SJck</f>
        <v>#NAME?</v>
      </c>
      <c r="B633">
        <v>393.75</v>
      </c>
      <c r="C633">
        <v>20.584240000000001</v>
      </c>
      <c r="D633">
        <v>41</v>
      </c>
      <c r="E633">
        <v>0</v>
      </c>
      <c r="F633">
        <v>0</v>
      </c>
      <c r="G633">
        <v>1</v>
      </c>
      <c r="H633" s="4">
        <v>1570520970172</v>
      </c>
      <c r="I633">
        <v>526.6875</v>
      </c>
      <c r="J633" s="9">
        <f t="shared" si="9"/>
        <v>43746.61771032407</v>
      </c>
      <c r="K633" s="1"/>
    </row>
    <row r="634" spans="1:11" x14ac:dyDescent="0.25">
      <c r="A634" t="e">
        <f>-LqeL447-XGUG86_hIjj</f>
        <v>#NAME?</v>
      </c>
      <c r="B634">
        <v>393.75</v>
      </c>
      <c r="C634">
        <v>20.584240000000001</v>
      </c>
      <c r="D634">
        <v>41</v>
      </c>
      <c r="E634">
        <v>0</v>
      </c>
      <c r="F634">
        <v>0</v>
      </c>
      <c r="G634">
        <v>1</v>
      </c>
      <c r="H634" s="4">
        <v>1570520976363</v>
      </c>
      <c r="I634">
        <v>526.6875</v>
      </c>
      <c r="J634" s="9">
        <f t="shared" si="9"/>
        <v>43746.617781979163</v>
      </c>
      <c r="K634" s="1"/>
    </row>
    <row r="635" spans="1:11" x14ac:dyDescent="0.25">
      <c r="A635" t="e">
        <f>-LqeL5oZHP2wviu7LeKm</f>
        <v>#NAME?</v>
      </c>
      <c r="B635">
        <v>393.75</v>
      </c>
      <c r="C635">
        <v>20.584240000000001</v>
      </c>
      <c r="D635">
        <v>41</v>
      </c>
      <c r="E635">
        <v>0</v>
      </c>
      <c r="F635">
        <v>0</v>
      </c>
      <c r="G635">
        <v>1</v>
      </c>
      <c r="H635" s="4">
        <v>1570520983598</v>
      </c>
      <c r="I635">
        <v>526.6875</v>
      </c>
      <c r="J635" s="9">
        <f t="shared" si="9"/>
        <v>43746.617865717591</v>
      </c>
      <c r="K635" s="1"/>
    </row>
    <row r="636" spans="1:11" x14ac:dyDescent="0.25">
      <c r="A636" t="e">
        <f>-LqeL7YnCy88MW52vx23</f>
        <v>#NAME?</v>
      </c>
      <c r="B636">
        <v>393.75</v>
      </c>
      <c r="C636">
        <v>20.584240000000001</v>
      </c>
      <c r="D636">
        <v>41</v>
      </c>
      <c r="E636">
        <v>0</v>
      </c>
      <c r="F636">
        <v>0</v>
      </c>
      <c r="G636">
        <v>1</v>
      </c>
      <c r="H636" s="4">
        <v>1570520990796</v>
      </c>
      <c r="I636">
        <v>526.6875</v>
      </c>
      <c r="J636" s="9">
        <f t="shared" si="9"/>
        <v>43746.617949027779</v>
      </c>
      <c r="K636" s="1"/>
    </row>
    <row r="637" spans="1:11" x14ac:dyDescent="0.25">
      <c r="A637" t="e">
        <f>-LqeL932Liz6NQXFIilv</f>
        <v>#NAME?</v>
      </c>
      <c r="B637">
        <v>393.75</v>
      </c>
      <c r="C637">
        <v>20.584240000000001</v>
      </c>
      <c r="D637">
        <v>41</v>
      </c>
      <c r="E637">
        <v>0</v>
      </c>
      <c r="F637">
        <v>0</v>
      </c>
      <c r="G637">
        <v>1</v>
      </c>
      <c r="H637" s="4">
        <v>1570520996956</v>
      </c>
      <c r="I637">
        <v>526.6875</v>
      </c>
      <c r="J637" s="9">
        <f t="shared" si="9"/>
        <v>43746.618020324073</v>
      </c>
      <c r="K637" s="1"/>
    </row>
    <row r="638" spans="1:11" x14ac:dyDescent="0.25">
      <c r="A638" t="e">
        <f>-LqeLA_5deu19PJbPERB</f>
        <v>#NAME?</v>
      </c>
      <c r="B638">
        <v>421.875</v>
      </c>
      <c r="C638">
        <v>20.584240000000001</v>
      </c>
      <c r="D638">
        <v>39</v>
      </c>
      <c r="E638">
        <v>0</v>
      </c>
      <c r="F638">
        <v>0</v>
      </c>
      <c r="G638">
        <v>1</v>
      </c>
      <c r="H638" s="4">
        <v>1570521003197</v>
      </c>
      <c r="I638">
        <v>535.3125</v>
      </c>
      <c r="J638" s="9">
        <f t="shared" si="9"/>
        <v>43746.618092557866</v>
      </c>
      <c r="K638" s="1"/>
    </row>
    <row r="639" spans="1:11" x14ac:dyDescent="0.25">
      <c r="A639" t="e">
        <f>-LqeLC5A3rdgom5T5_KA</f>
        <v>#NAME?</v>
      </c>
      <c r="B639">
        <v>393.75</v>
      </c>
      <c r="C639">
        <v>20.584240000000001</v>
      </c>
      <c r="D639">
        <v>40</v>
      </c>
      <c r="E639">
        <v>0</v>
      </c>
      <c r="F639">
        <v>0</v>
      </c>
      <c r="G639">
        <v>1</v>
      </c>
      <c r="H639" s="4">
        <v>1570521009356</v>
      </c>
      <c r="I639">
        <v>526.6875</v>
      </c>
      <c r="J639" s="9">
        <f t="shared" si="9"/>
        <v>43746.618163842591</v>
      </c>
      <c r="K639" s="1"/>
    </row>
    <row r="640" spans="1:11" x14ac:dyDescent="0.25">
      <c r="A640" t="e">
        <f>-LqeLD_xhhFGfKQtGjYm</f>
        <v>#NAME?</v>
      </c>
      <c r="B640">
        <v>393.75</v>
      </c>
      <c r="C640">
        <v>20.584240000000001</v>
      </c>
      <c r="D640">
        <v>39</v>
      </c>
      <c r="E640">
        <v>0</v>
      </c>
      <c r="F640">
        <v>0</v>
      </c>
      <c r="G640">
        <v>1</v>
      </c>
      <c r="H640" s="4">
        <v>1570521015503</v>
      </c>
      <c r="I640">
        <v>526.6875</v>
      </c>
      <c r="J640" s="9">
        <f t="shared" si="9"/>
        <v>43746.618234988426</v>
      </c>
      <c r="K640" s="1"/>
    </row>
    <row r="641" spans="1:11" x14ac:dyDescent="0.25">
      <c r="A641" t="e">
        <f>-LqeLF5WEbgJ6Ql2QxZc</f>
        <v>#NAME?</v>
      </c>
      <c r="B641">
        <v>393.75</v>
      </c>
      <c r="C641">
        <v>20.584240000000001</v>
      </c>
      <c r="D641">
        <v>40</v>
      </c>
      <c r="E641">
        <v>0</v>
      </c>
      <c r="F641">
        <v>0</v>
      </c>
      <c r="G641">
        <v>1</v>
      </c>
      <c r="H641" s="4">
        <v>1570521021796</v>
      </c>
      <c r="I641">
        <v>526.6875</v>
      </c>
      <c r="J641" s="9">
        <f t="shared" si="9"/>
        <v>43746.618307824072</v>
      </c>
      <c r="K641" s="1"/>
    </row>
    <row r="642" spans="1:11" x14ac:dyDescent="0.25">
      <c r="A642" t="e">
        <f>-LqeLGali5peQx6yAP7m</f>
        <v>#NAME?</v>
      </c>
      <c r="B642">
        <v>393.75</v>
      </c>
      <c r="C642">
        <v>20.584240000000001</v>
      </c>
      <c r="D642">
        <v>40</v>
      </c>
      <c r="E642">
        <v>0</v>
      </c>
      <c r="F642">
        <v>0</v>
      </c>
      <c r="G642">
        <v>1</v>
      </c>
      <c r="H642" s="4">
        <v>1570521027878</v>
      </c>
      <c r="I642">
        <v>526.6875</v>
      </c>
      <c r="J642" s="9">
        <f t="shared" si="9"/>
        <v>43746.618378217587</v>
      </c>
      <c r="K642" s="1"/>
    </row>
    <row r="643" spans="1:11" x14ac:dyDescent="0.25">
      <c r="A643" t="s">
        <v>41</v>
      </c>
      <c r="B643">
        <v>393.75</v>
      </c>
      <c r="C643">
        <v>20.584240000000001</v>
      </c>
      <c r="D643">
        <v>40</v>
      </c>
      <c r="E643">
        <v>0</v>
      </c>
      <c r="F643">
        <v>0</v>
      </c>
      <c r="G643">
        <v>1</v>
      </c>
      <c r="H643" s="4">
        <v>1570521034057</v>
      </c>
      <c r="I643">
        <v>526.6875</v>
      </c>
      <c r="J643" s="9">
        <f t="shared" ref="J643:J706" si="10">(H643/86400000)+25569+(7/24)</f>
        <v>43746.618449733789</v>
      </c>
      <c r="K643" s="1"/>
    </row>
    <row r="644" spans="1:11" x14ac:dyDescent="0.25">
      <c r="A644" t="e">
        <f>-LqeLJdlRwoiAby45mPB</f>
        <v>#NAME?</v>
      </c>
      <c r="B644">
        <v>393.75</v>
      </c>
      <c r="C644">
        <v>20.584240000000001</v>
      </c>
      <c r="D644">
        <v>40</v>
      </c>
      <c r="E644">
        <v>0</v>
      </c>
      <c r="F644">
        <v>0</v>
      </c>
      <c r="G644">
        <v>1</v>
      </c>
      <c r="H644" s="4">
        <v>1570521040262</v>
      </c>
      <c r="I644">
        <v>526.6875</v>
      </c>
      <c r="J644" s="9">
        <f t="shared" si="10"/>
        <v>43746.618521550925</v>
      </c>
      <c r="K644" s="1"/>
    </row>
    <row r="645" spans="1:11" x14ac:dyDescent="0.25">
      <c r="A645" t="e">
        <f>-LqeLL9MXU_c-JUHyRi5</f>
        <v>#NAME?</v>
      </c>
      <c r="B645">
        <v>393.75</v>
      </c>
      <c r="C645">
        <v>20.584240000000001</v>
      </c>
      <c r="D645">
        <v>40</v>
      </c>
      <c r="E645">
        <v>0</v>
      </c>
      <c r="F645">
        <v>0</v>
      </c>
      <c r="G645">
        <v>1</v>
      </c>
      <c r="H645" s="4">
        <v>1570521046453</v>
      </c>
      <c r="I645">
        <v>526.6875</v>
      </c>
      <c r="J645" s="9">
        <f t="shared" si="10"/>
        <v>43746.618593206011</v>
      </c>
      <c r="K645" s="1"/>
    </row>
    <row r="646" spans="1:11" x14ac:dyDescent="0.25">
      <c r="A646" t="e">
        <f>-LqeLMijlHY5WTwJBU0g</f>
        <v>#NAME?</v>
      </c>
      <c r="B646">
        <v>393.75</v>
      </c>
      <c r="C646">
        <v>20.531590000000001</v>
      </c>
      <c r="D646">
        <v>41</v>
      </c>
      <c r="E646">
        <v>0</v>
      </c>
      <c r="F646">
        <v>0</v>
      </c>
      <c r="G646">
        <v>1</v>
      </c>
      <c r="H646" s="4">
        <v>1570521052642</v>
      </c>
      <c r="I646">
        <v>526.6875</v>
      </c>
      <c r="J646" s="9">
        <f t="shared" si="10"/>
        <v>43746.618664837959</v>
      </c>
      <c r="K646" s="1"/>
    </row>
    <row r="647" spans="1:11" x14ac:dyDescent="0.25">
      <c r="A647" t="e">
        <f>-LqeLORt2xyiUiTD0t0Q</f>
        <v>#NAME?</v>
      </c>
      <c r="B647">
        <v>393.75</v>
      </c>
      <c r="C647">
        <v>20.531590000000001</v>
      </c>
      <c r="D647">
        <v>40</v>
      </c>
      <c r="E647">
        <v>0</v>
      </c>
      <c r="F647">
        <v>0</v>
      </c>
      <c r="G647">
        <v>1</v>
      </c>
      <c r="H647" s="4">
        <v>1570521060027</v>
      </c>
      <c r="I647">
        <v>526.6875</v>
      </c>
      <c r="J647" s="9">
        <f t="shared" si="10"/>
        <v>43746.618750312497</v>
      </c>
      <c r="K647" s="1"/>
    </row>
    <row r="648" spans="1:11" x14ac:dyDescent="0.25">
      <c r="A648" t="e">
        <f>-LqeLQ9_FJ3ZdhURklDT</f>
        <v>#NAME?</v>
      </c>
      <c r="B648">
        <v>393.75</v>
      </c>
      <c r="C648">
        <v>20.531590000000001</v>
      </c>
      <c r="D648">
        <v>42</v>
      </c>
      <c r="E648">
        <v>0</v>
      </c>
      <c r="F648">
        <v>0</v>
      </c>
      <c r="G648">
        <v>1</v>
      </c>
      <c r="H648" s="4">
        <v>1570521067037</v>
      </c>
      <c r="I648">
        <v>526.6875</v>
      </c>
      <c r="J648" s="9">
        <f t="shared" si="10"/>
        <v>43746.618831446758</v>
      </c>
      <c r="K648" s="1"/>
    </row>
    <row r="649" spans="1:11" x14ac:dyDescent="0.25">
      <c r="A649" t="e">
        <f>-LqeLS0QCTg1dOBN6Mpc</f>
        <v>#NAME?</v>
      </c>
      <c r="B649">
        <v>393.75</v>
      </c>
      <c r="C649">
        <v>20.584240000000001</v>
      </c>
      <c r="D649">
        <v>42</v>
      </c>
      <c r="E649">
        <v>0</v>
      </c>
      <c r="F649">
        <v>0</v>
      </c>
      <c r="G649">
        <v>1</v>
      </c>
      <c r="H649" s="4">
        <v>1570521074587</v>
      </c>
      <c r="I649">
        <v>526.6875</v>
      </c>
      <c r="J649" s="9">
        <f t="shared" si="10"/>
        <v>43746.618918831016</v>
      </c>
      <c r="K649" s="1"/>
    </row>
    <row r="650" spans="1:11" x14ac:dyDescent="0.25">
      <c r="A650" t="e">
        <f>-LqeLTyUsu34_zpyI7rX</f>
        <v>#NAME?</v>
      </c>
      <c r="B650">
        <v>393.75</v>
      </c>
      <c r="C650">
        <v>20.531590000000001</v>
      </c>
      <c r="D650">
        <v>43</v>
      </c>
      <c r="E650">
        <v>0</v>
      </c>
      <c r="F650">
        <v>0</v>
      </c>
      <c r="G650">
        <v>1</v>
      </c>
      <c r="H650" s="4">
        <v>1570521081516</v>
      </c>
      <c r="I650">
        <v>526.6875</v>
      </c>
      <c r="J650" s="9">
        <f t="shared" si="10"/>
        <v>43746.618999027771</v>
      </c>
      <c r="K650" s="1"/>
    </row>
    <row r="651" spans="1:11" x14ac:dyDescent="0.25">
      <c r="A651" t="e">
        <f>-LqeLVSmyXVqH5Nyvg6f</f>
        <v>#NAME?</v>
      </c>
      <c r="B651">
        <v>412.5</v>
      </c>
      <c r="C651">
        <v>20.584240000000001</v>
      </c>
      <c r="D651">
        <v>42</v>
      </c>
      <c r="E651">
        <v>0</v>
      </c>
      <c r="F651">
        <v>0</v>
      </c>
      <c r="G651">
        <v>1</v>
      </c>
      <c r="H651" s="4">
        <v>1570521088707</v>
      </c>
      <c r="I651">
        <v>532.5</v>
      </c>
      <c r="J651" s="9">
        <f t="shared" si="10"/>
        <v>43746.619082256941</v>
      </c>
      <c r="K651" s="1"/>
    </row>
    <row r="652" spans="1:11" x14ac:dyDescent="0.25">
      <c r="A652" t="e">
        <f>-LqeLWzfLQaQ25HJfLTX</f>
        <v>#NAME?</v>
      </c>
      <c r="B652">
        <v>393.75</v>
      </c>
      <c r="C652">
        <v>20.584240000000001</v>
      </c>
      <c r="D652">
        <v>41</v>
      </c>
      <c r="E652">
        <v>0</v>
      </c>
      <c r="F652">
        <v>0</v>
      </c>
      <c r="G652">
        <v>1</v>
      </c>
      <c r="H652" s="4">
        <v>1570521094861</v>
      </c>
      <c r="I652">
        <v>526.6875</v>
      </c>
      <c r="J652" s="9">
        <f t="shared" si="10"/>
        <v>43746.619153483793</v>
      </c>
      <c r="K652" s="1"/>
    </row>
    <row r="653" spans="1:11" x14ac:dyDescent="0.25">
      <c r="A653" t="e">
        <f>-LqeLYTg4_OS4mv9O8-h</f>
        <v>#NAME?</v>
      </c>
      <c r="B653">
        <v>393.75</v>
      </c>
      <c r="C653">
        <v>20.531590000000001</v>
      </c>
      <c r="D653">
        <v>41</v>
      </c>
      <c r="E653">
        <v>0</v>
      </c>
      <c r="F653">
        <v>0</v>
      </c>
      <c r="G653">
        <v>1</v>
      </c>
      <c r="H653" s="4">
        <v>1570521101041</v>
      </c>
      <c r="I653">
        <v>526.6875</v>
      </c>
      <c r="J653" s="9">
        <f t="shared" si="10"/>
        <v>43746.619225011571</v>
      </c>
      <c r="K653" s="1"/>
    </row>
    <row r="654" spans="1:11" x14ac:dyDescent="0.25">
      <c r="A654" t="e">
        <f>-LqeLZzPcTKu2BteKOp7</f>
        <v>#NAME?</v>
      </c>
      <c r="B654">
        <v>393.75</v>
      </c>
      <c r="C654">
        <v>20.584240000000001</v>
      </c>
      <c r="D654">
        <v>41</v>
      </c>
      <c r="E654">
        <v>0</v>
      </c>
      <c r="F654">
        <v>0</v>
      </c>
      <c r="G654">
        <v>1</v>
      </c>
      <c r="H654" s="4">
        <v>1570521107261</v>
      </c>
      <c r="I654">
        <v>526.6875</v>
      </c>
      <c r="J654" s="9">
        <f t="shared" si="10"/>
        <v>43746.619297002311</v>
      </c>
      <c r="K654" s="1"/>
    </row>
    <row r="655" spans="1:11" x14ac:dyDescent="0.25">
      <c r="A655" t="e">
        <f>-LqeLasLMofh3va_FuVy</f>
        <v>#NAME?</v>
      </c>
      <c r="B655">
        <v>393.75</v>
      </c>
      <c r="C655">
        <v>20.584240000000001</v>
      </c>
      <c r="D655">
        <v>40</v>
      </c>
      <c r="E655">
        <v>0</v>
      </c>
      <c r="F655">
        <v>0</v>
      </c>
      <c r="G655">
        <v>1</v>
      </c>
      <c r="H655" s="4">
        <v>1570521113422</v>
      </c>
      <c r="I655">
        <v>526.6875</v>
      </c>
      <c r="J655" s="9">
        <f t="shared" si="10"/>
        <v>43746.619368310181</v>
      </c>
      <c r="K655" s="1"/>
    </row>
    <row r="656" spans="1:11" x14ac:dyDescent="0.25">
      <c r="A656" t="e">
        <f>-LqeLcVh4bLXs7GcpIRB</f>
        <v>#NAME?</v>
      </c>
      <c r="B656">
        <v>393.75</v>
      </c>
      <c r="C656">
        <v>20.531590000000001</v>
      </c>
      <c r="D656">
        <v>41</v>
      </c>
      <c r="E656">
        <v>0</v>
      </c>
      <c r="F656">
        <v>0</v>
      </c>
      <c r="G656">
        <v>1</v>
      </c>
      <c r="H656" s="4">
        <v>1570521121673</v>
      </c>
      <c r="I656">
        <v>526.6875</v>
      </c>
      <c r="J656" s="9">
        <f t="shared" si="10"/>
        <v>43746.619463807867</v>
      </c>
      <c r="K656" s="1"/>
    </row>
    <row r="657" spans="1:11" x14ac:dyDescent="0.25">
      <c r="A657" t="e">
        <f>-LqeLe14y09bYcOUFDxz</f>
        <v>#NAME?</v>
      </c>
      <c r="B657">
        <v>393.75</v>
      </c>
      <c r="C657">
        <v>20.531590000000001</v>
      </c>
      <c r="D657">
        <v>41</v>
      </c>
      <c r="E657">
        <v>0</v>
      </c>
      <c r="F657">
        <v>0</v>
      </c>
      <c r="G657">
        <v>1</v>
      </c>
      <c r="H657" s="4">
        <v>1570521127891</v>
      </c>
      <c r="I657">
        <v>526.6875</v>
      </c>
      <c r="J657" s="9">
        <f t="shared" si="10"/>
        <v>43746.619535775462</v>
      </c>
      <c r="K657" s="1"/>
    </row>
    <row r="658" spans="1:11" x14ac:dyDescent="0.25">
      <c r="A658" t="e">
        <f>-LqeLfXLmsNrqE82MZs8</f>
        <v>#NAME?</v>
      </c>
      <c r="B658">
        <v>412.5</v>
      </c>
      <c r="C658">
        <v>20.584240000000001</v>
      </c>
      <c r="D658">
        <v>41</v>
      </c>
      <c r="E658">
        <v>0</v>
      </c>
      <c r="F658">
        <v>0</v>
      </c>
      <c r="G658">
        <v>1</v>
      </c>
      <c r="H658" s="4">
        <v>1570521134059</v>
      </c>
      <c r="I658">
        <v>532.3125</v>
      </c>
      <c r="J658" s="9">
        <f t="shared" si="10"/>
        <v>43746.61960716435</v>
      </c>
      <c r="K658" s="1"/>
    </row>
    <row r="659" spans="1:11" x14ac:dyDescent="0.25">
      <c r="A659" t="e">
        <f>-LqeLhHncB6utC4G3tf3</f>
        <v>#NAME?</v>
      </c>
      <c r="B659">
        <v>393.75</v>
      </c>
      <c r="C659">
        <v>20.584240000000001</v>
      </c>
      <c r="D659">
        <v>39</v>
      </c>
      <c r="E659">
        <v>0</v>
      </c>
      <c r="F659">
        <v>0</v>
      </c>
      <c r="G659">
        <v>1</v>
      </c>
      <c r="H659" s="4">
        <v>1570521141271</v>
      </c>
      <c r="I659">
        <v>526.6875</v>
      </c>
      <c r="J659" s="9">
        <f t="shared" si="10"/>
        <v>43746.619690636573</v>
      </c>
      <c r="K659" s="1"/>
    </row>
    <row r="660" spans="1:11" x14ac:dyDescent="0.25">
      <c r="A660" t="e">
        <f>-LqeLj3dentBHDM3kNVQ</f>
        <v>#NAME?</v>
      </c>
      <c r="B660">
        <v>393.75</v>
      </c>
      <c r="C660">
        <v>20.584240000000001</v>
      </c>
      <c r="D660">
        <v>39</v>
      </c>
      <c r="E660">
        <v>0</v>
      </c>
      <c r="F660">
        <v>0</v>
      </c>
      <c r="G660">
        <v>1</v>
      </c>
      <c r="H660" s="4">
        <v>1570521147413</v>
      </c>
      <c r="I660">
        <v>526.6875</v>
      </c>
      <c r="J660" s="9">
        <f t="shared" si="10"/>
        <v>43746.619761724534</v>
      </c>
      <c r="K660" s="1"/>
    </row>
    <row r="661" spans="1:11" x14ac:dyDescent="0.25">
      <c r="A661" t="e">
        <f>-LqeLkaJFsopZ4jcgJL1</f>
        <v>#NAME?</v>
      </c>
      <c r="B661">
        <v>393.75</v>
      </c>
      <c r="C661">
        <v>20.584240000000001</v>
      </c>
      <c r="D661">
        <v>39</v>
      </c>
      <c r="E661">
        <v>0</v>
      </c>
      <c r="F661">
        <v>0</v>
      </c>
      <c r="G661">
        <v>1</v>
      </c>
      <c r="H661" s="4">
        <v>1570521154828</v>
      </c>
      <c r="I661">
        <v>526.6875</v>
      </c>
      <c r="J661" s="9">
        <f t="shared" si="10"/>
        <v>43746.619847546295</v>
      </c>
      <c r="K661" s="1"/>
    </row>
    <row r="662" spans="1:11" x14ac:dyDescent="0.25">
      <c r="A662" t="e">
        <f>-LqeLmONNKnpdaq8rh7l</f>
        <v>#NAME?</v>
      </c>
      <c r="B662">
        <v>393.75</v>
      </c>
      <c r="C662">
        <v>20.531590000000001</v>
      </c>
      <c r="D662">
        <v>44</v>
      </c>
      <c r="E662">
        <v>0</v>
      </c>
      <c r="F662">
        <v>0</v>
      </c>
      <c r="G662">
        <v>1</v>
      </c>
      <c r="H662" s="4">
        <v>1570521161971</v>
      </c>
      <c r="I662">
        <v>526.6875</v>
      </c>
      <c r="J662" s="9">
        <f t="shared" si="10"/>
        <v>43746.619930219902</v>
      </c>
      <c r="K662" s="1"/>
    </row>
    <row r="663" spans="1:11" x14ac:dyDescent="0.25">
      <c r="A663" t="e">
        <f>-LqeLo4mwHeT5R0GaVli</f>
        <v>#NAME?</v>
      </c>
      <c r="B663">
        <v>393.75</v>
      </c>
      <c r="C663">
        <v>20.584240000000001</v>
      </c>
      <c r="D663">
        <v>43</v>
      </c>
      <c r="E663">
        <v>0</v>
      </c>
      <c r="F663">
        <v>0</v>
      </c>
      <c r="G663">
        <v>1</v>
      </c>
      <c r="H663" s="4">
        <v>1570521169063</v>
      </c>
      <c r="I663">
        <v>526.6875</v>
      </c>
      <c r="J663" s="9">
        <f t="shared" si="10"/>
        <v>43746.620012303239</v>
      </c>
      <c r="K663" s="1"/>
    </row>
    <row r="664" spans="1:11" x14ac:dyDescent="0.25">
      <c r="A664" t="e">
        <f>-LqeLp_bf_N5F77I4o6D</f>
        <v>#NAME?</v>
      </c>
      <c r="B664">
        <v>393.75</v>
      </c>
      <c r="C664">
        <v>20.531590000000001</v>
      </c>
      <c r="D664">
        <v>42</v>
      </c>
      <c r="E664">
        <v>0</v>
      </c>
      <c r="F664">
        <v>0</v>
      </c>
      <c r="G664">
        <v>1</v>
      </c>
      <c r="H664" s="4">
        <v>1570521175252</v>
      </c>
      <c r="I664">
        <v>526.6875</v>
      </c>
      <c r="J664" s="9">
        <f t="shared" si="10"/>
        <v>43746.620083935188</v>
      </c>
      <c r="K664" s="1"/>
    </row>
    <row r="665" spans="1:11" x14ac:dyDescent="0.25">
      <c r="A665" t="e">
        <f>-LqeLr3S9e__F6V24XqL</f>
        <v>#NAME?</v>
      </c>
      <c r="B665">
        <v>393.75</v>
      </c>
      <c r="C665">
        <v>20.531590000000001</v>
      </c>
      <c r="D665">
        <v>40</v>
      </c>
      <c r="E665">
        <v>0</v>
      </c>
      <c r="F665">
        <v>0</v>
      </c>
      <c r="G665">
        <v>1</v>
      </c>
      <c r="H665" s="4">
        <v>1570521181422</v>
      </c>
      <c r="I665">
        <v>526.6875</v>
      </c>
      <c r="J665" s="9">
        <f t="shared" si="10"/>
        <v>43746.62015534722</v>
      </c>
      <c r="K665" s="1"/>
    </row>
    <row r="666" spans="1:11" x14ac:dyDescent="0.25">
      <c r="A666" t="e">
        <f>-LqeLsa5qPjkWedqZoGY</f>
        <v>#NAME?</v>
      </c>
      <c r="B666">
        <v>393.75</v>
      </c>
      <c r="C666">
        <v>20.531590000000001</v>
      </c>
      <c r="D666">
        <v>40</v>
      </c>
      <c r="E666">
        <v>0</v>
      </c>
      <c r="F666">
        <v>0</v>
      </c>
      <c r="G666">
        <v>1</v>
      </c>
      <c r="H666" s="4">
        <v>1570521187610</v>
      </c>
      <c r="I666">
        <v>526.6875</v>
      </c>
      <c r="J666" s="9">
        <f t="shared" si="10"/>
        <v>43746.620226967592</v>
      </c>
      <c r="K666" s="1"/>
    </row>
    <row r="667" spans="1:11" x14ac:dyDescent="0.25">
      <c r="A667" t="e">
        <f>-LqeLuNlRju_zEV2BvJK</f>
        <v>#NAME?</v>
      </c>
      <c r="B667">
        <v>393.75</v>
      </c>
      <c r="C667">
        <v>20.584240000000001</v>
      </c>
      <c r="D667">
        <v>40</v>
      </c>
      <c r="E667">
        <v>0</v>
      </c>
      <c r="F667">
        <v>0</v>
      </c>
      <c r="G667">
        <v>1</v>
      </c>
      <c r="H667" s="4">
        <v>1570521194841</v>
      </c>
      <c r="I667">
        <v>526.6875</v>
      </c>
      <c r="J667" s="9">
        <f t="shared" si="10"/>
        <v>43746.620310659717</v>
      </c>
      <c r="K667" s="1"/>
    </row>
    <row r="668" spans="1:11" x14ac:dyDescent="0.25">
      <c r="A668" t="s">
        <v>42</v>
      </c>
      <c r="B668">
        <v>393.75</v>
      </c>
      <c r="C668">
        <v>20.531590000000001</v>
      </c>
      <c r="D668">
        <v>40</v>
      </c>
      <c r="E668">
        <v>0</v>
      </c>
      <c r="F668">
        <v>0</v>
      </c>
      <c r="G668">
        <v>1</v>
      </c>
      <c r="H668" s="4">
        <v>1570521202052</v>
      </c>
      <c r="I668">
        <v>526.6875</v>
      </c>
      <c r="J668" s="9">
        <f t="shared" si="10"/>
        <v>43746.620394120364</v>
      </c>
      <c r="K668" s="1"/>
    </row>
    <row r="669" spans="1:11" x14ac:dyDescent="0.25">
      <c r="A669" t="e">
        <f>-LqeLxeu2k5GFScMrtK8</f>
        <v>#NAME?</v>
      </c>
      <c r="B669">
        <v>393.75</v>
      </c>
      <c r="C669">
        <v>20.584240000000001</v>
      </c>
      <c r="D669">
        <v>39</v>
      </c>
      <c r="E669">
        <v>0</v>
      </c>
      <c r="F669">
        <v>0</v>
      </c>
      <c r="G669">
        <v>1</v>
      </c>
      <c r="H669" s="4">
        <v>1570521208241</v>
      </c>
      <c r="I669">
        <v>526.6875</v>
      </c>
      <c r="J669" s="9">
        <f t="shared" si="10"/>
        <v>43746.620465752312</v>
      </c>
      <c r="K669" s="1"/>
    </row>
    <row r="670" spans="1:11" x14ac:dyDescent="0.25">
      <c r="A670" t="e">
        <f>-LqeLzOrsy3DHoXclVza</f>
        <v>#NAME?</v>
      </c>
      <c r="B670">
        <v>412.5</v>
      </c>
      <c r="C670">
        <v>20.584240000000001</v>
      </c>
      <c r="D670">
        <v>41</v>
      </c>
      <c r="E670">
        <v>0</v>
      </c>
      <c r="F670">
        <v>0</v>
      </c>
      <c r="G670">
        <v>1</v>
      </c>
      <c r="H670" s="4">
        <v>1570521215431</v>
      </c>
      <c r="I670">
        <v>532.125</v>
      </c>
      <c r="J670" s="9">
        <f t="shared" si="10"/>
        <v>43746.620548969906</v>
      </c>
      <c r="K670" s="1"/>
    </row>
    <row r="671" spans="1:11" x14ac:dyDescent="0.25">
      <c r="A671" t="e">
        <f>-LqeM-wmQcPiJ_Dvr2kp</f>
        <v>#NAME?</v>
      </c>
      <c r="B671">
        <v>393.75</v>
      </c>
      <c r="C671">
        <v>20.531590000000001</v>
      </c>
      <c r="D671">
        <v>41</v>
      </c>
      <c r="E671">
        <v>0</v>
      </c>
      <c r="F671">
        <v>0</v>
      </c>
      <c r="G671">
        <v>1</v>
      </c>
      <c r="H671" s="4">
        <v>1570521221621</v>
      </c>
      <c r="I671">
        <v>526.6875</v>
      </c>
      <c r="J671" s="9">
        <f t="shared" si="10"/>
        <v>43746.620620613423</v>
      </c>
      <c r="K671" s="1"/>
    </row>
    <row r="672" spans="1:11" x14ac:dyDescent="0.25">
      <c r="A672" t="e">
        <f>-LqeM1fqF1a0LzR9kqwa</f>
        <v>#NAME?</v>
      </c>
      <c r="B672">
        <v>393.75</v>
      </c>
      <c r="C672">
        <v>20.531590000000001</v>
      </c>
      <c r="D672">
        <v>42</v>
      </c>
      <c r="E672">
        <v>0</v>
      </c>
      <c r="F672">
        <v>0</v>
      </c>
      <c r="G672">
        <v>1</v>
      </c>
      <c r="H672" s="4">
        <v>1570521228840</v>
      </c>
      <c r="I672">
        <v>526.6875</v>
      </c>
      <c r="J672" s="9">
        <f t="shared" si="10"/>
        <v>43746.620704166664</v>
      </c>
      <c r="K672" s="1"/>
    </row>
    <row r="673" spans="1:11" x14ac:dyDescent="0.25">
      <c r="A673" t="e">
        <f>-LqeM3Trj8Y5OUsPKoDC</f>
        <v>#NAME?</v>
      </c>
      <c r="B673">
        <v>393.75</v>
      </c>
      <c r="C673">
        <v>20.584240000000001</v>
      </c>
      <c r="D673">
        <v>42</v>
      </c>
      <c r="E673">
        <v>0</v>
      </c>
      <c r="F673">
        <v>0</v>
      </c>
      <c r="G673">
        <v>1</v>
      </c>
      <c r="H673" s="4">
        <v>1570521236061</v>
      </c>
      <c r="I673">
        <v>526.6875</v>
      </c>
      <c r="J673" s="9">
        <f t="shared" si="10"/>
        <v>43746.62078774305</v>
      </c>
      <c r="K673" s="1"/>
    </row>
    <row r="674" spans="1:11" x14ac:dyDescent="0.25">
      <c r="A674" t="e">
        <f>-LqeM5All_LVs-aXOlCy</f>
        <v>#NAME?</v>
      </c>
      <c r="B674">
        <v>393.75</v>
      </c>
      <c r="C674">
        <v>20.531590000000001</v>
      </c>
      <c r="D674">
        <v>42</v>
      </c>
      <c r="E674">
        <v>0</v>
      </c>
      <c r="F674">
        <v>0</v>
      </c>
      <c r="G674">
        <v>1</v>
      </c>
      <c r="H674" s="4">
        <v>1570521243264</v>
      </c>
      <c r="I674">
        <v>526.6875</v>
      </c>
      <c r="J674" s="9">
        <f t="shared" si="10"/>
        <v>43746.62087111111</v>
      </c>
      <c r="K674" s="1"/>
    </row>
    <row r="675" spans="1:11" x14ac:dyDescent="0.25">
      <c r="A675" t="e">
        <f>-LqeM6jtnDUdj6wSjd_L</f>
        <v>#NAME?</v>
      </c>
      <c r="B675">
        <v>412.5</v>
      </c>
      <c r="C675">
        <v>20.531590000000001</v>
      </c>
      <c r="D675">
        <v>42</v>
      </c>
      <c r="E675">
        <v>0</v>
      </c>
      <c r="F675">
        <v>0</v>
      </c>
      <c r="G675">
        <v>1</v>
      </c>
      <c r="H675" s="4">
        <v>1570521249462</v>
      </c>
      <c r="I675">
        <v>532.875</v>
      </c>
      <c r="J675" s="9">
        <f t="shared" si="10"/>
        <v>43746.620942847221</v>
      </c>
      <c r="K675" s="1"/>
    </row>
    <row r="676" spans="1:11" x14ac:dyDescent="0.25">
      <c r="A676" t="e">
        <f>-LqeM8TPxVvMdNqwNM6u</f>
        <v>#NAME?</v>
      </c>
      <c r="B676">
        <v>393.75</v>
      </c>
      <c r="C676">
        <v>20.531590000000001</v>
      </c>
      <c r="D676">
        <v>42</v>
      </c>
      <c r="E676">
        <v>0</v>
      </c>
      <c r="F676">
        <v>0</v>
      </c>
      <c r="G676">
        <v>1</v>
      </c>
      <c r="H676" s="4">
        <v>1570521256671</v>
      </c>
      <c r="I676">
        <v>526.6875</v>
      </c>
      <c r="J676" s="9">
        <f t="shared" si="10"/>
        <v>43746.621026284723</v>
      </c>
      <c r="K676" s="1"/>
    </row>
    <row r="677" spans="1:11" x14ac:dyDescent="0.25">
      <c r="A677" t="e">
        <f>-LqeM9y13cY9_4nacjDd</f>
        <v>#NAME?</v>
      </c>
      <c r="B677">
        <v>393.75</v>
      </c>
      <c r="C677">
        <v>20.531590000000001</v>
      </c>
      <c r="D677">
        <v>42</v>
      </c>
      <c r="E677">
        <v>0</v>
      </c>
      <c r="F677">
        <v>0</v>
      </c>
      <c r="G677">
        <v>1</v>
      </c>
      <c r="H677" s="4">
        <v>1570521262871</v>
      </c>
      <c r="I677">
        <v>526.5</v>
      </c>
      <c r="J677" s="9">
        <f t="shared" si="10"/>
        <v>43746.621098043979</v>
      </c>
      <c r="K677" s="1"/>
    </row>
    <row r="678" spans="1:11" x14ac:dyDescent="0.25">
      <c r="A678" t="e">
        <f>-LqeMBjmliHowp1CQpxQ</f>
        <v>#NAME?</v>
      </c>
      <c r="B678">
        <v>393.75</v>
      </c>
      <c r="C678">
        <v>20.531590000000001</v>
      </c>
      <c r="D678">
        <v>40</v>
      </c>
      <c r="E678">
        <v>0</v>
      </c>
      <c r="F678">
        <v>0</v>
      </c>
      <c r="G678">
        <v>1</v>
      </c>
      <c r="H678" s="4">
        <v>1570521270072</v>
      </c>
      <c r="I678">
        <v>526.6875</v>
      </c>
      <c r="J678" s="9">
        <f t="shared" si="10"/>
        <v>43746.621181388888</v>
      </c>
      <c r="K678" s="1"/>
    </row>
    <row r="679" spans="1:11" x14ac:dyDescent="0.25">
      <c r="A679" t="e">
        <f>-LqeMDDmqpQhtf0jYrqy</f>
        <v>#NAME?</v>
      </c>
      <c r="B679">
        <v>393.75</v>
      </c>
      <c r="C679">
        <v>20.584240000000001</v>
      </c>
      <c r="D679">
        <v>40</v>
      </c>
      <c r="E679">
        <v>0</v>
      </c>
      <c r="F679">
        <v>0</v>
      </c>
      <c r="G679">
        <v>1</v>
      </c>
      <c r="H679" s="4">
        <v>1570521276232</v>
      </c>
      <c r="I679">
        <v>526.6875</v>
      </c>
      <c r="J679" s="9">
        <f t="shared" si="10"/>
        <v>43746.621252685181</v>
      </c>
      <c r="K679" s="1"/>
    </row>
    <row r="680" spans="1:11" x14ac:dyDescent="0.25">
      <c r="A680" t="e">
        <f>-LqeMEmbbZBfv7SyNokY</f>
        <v>#NAME?</v>
      </c>
      <c r="B680">
        <v>393.75</v>
      </c>
      <c r="C680">
        <v>20.584240000000001</v>
      </c>
      <c r="D680">
        <v>40</v>
      </c>
      <c r="E680">
        <v>0</v>
      </c>
      <c r="F680">
        <v>0</v>
      </c>
      <c r="G680">
        <v>1</v>
      </c>
      <c r="H680" s="4">
        <v>1570521282422</v>
      </c>
      <c r="I680">
        <v>526.6875</v>
      </c>
      <c r="J680" s="9">
        <f t="shared" si="10"/>
        <v>43746.621324328698</v>
      </c>
      <c r="K680" s="1"/>
    </row>
    <row r="681" spans="1:11" x14ac:dyDescent="0.25">
      <c r="A681" t="e">
        <f>-LqeMGX18qc33xc7MASZ</f>
        <v>#NAME?</v>
      </c>
      <c r="B681">
        <v>393.75</v>
      </c>
      <c r="C681">
        <v>20.584240000000001</v>
      </c>
      <c r="D681">
        <v>38</v>
      </c>
      <c r="E681">
        <v>0</v>
      </c>
      <c r="F681">
        <v>0</v>
      </c>
      <c r="G681">
        <v>1</v>
      </c>
      <c r="H681" s="4">
        <v>1570521289663</v>
      </c>
      <c r="I681">
        <v>526.6875</v>
      </c>
      <c r="J681" s="9">
        <f t="shared" si="10"/>
        <v>43746.621408136569</v>
      </c>
      <c r="K681" s="1"/>
    </row>
    <row r="682" spans="1:11" x14ac:dyDescent="0.25">
      <c r="A682" t="e">
        <f>-LqeMISnrb674ap8aMjy</f>
        <v>#NAME?</v>
      </c>
      <c r="B682">
        <v>393.75</v>
      </c>
      <c r="C682">
        <v>20.584240000000001</v>
      </c>
      <c r="D682">
        <v>40</v>
      </c>
      <c r="E682">
        <v>0</v>
      </c>
      <c r="F682">
        <v>0</v>
      </c>
      <c r="G682">
        <v>1</v>
      </c>
      <c r="H682" s="4">
        <v>1570521297739</v>
      </c>
      <c r="I682">
        <v>526.6875</v>
      </c>
      <c r="J682" s="9">
        <f t="shared" si="10"/>
        <v>43746.621501608795</v>
      </c>
      <c r="K682" s="1"/>
    </row>
    <row r="683" spans="1:11" x14ac:dyDescent="0.25">
      <c r="A683" t="e">
        <f>-LqeMK0mcWR3gmpcn7VJ</f>
        <v>#NAME?</v>
      </c>
      <c r="B683">
        <v>393.75</v>
      </c>
      <c r="C683">
        <v>20.584240000000001</v>
      </c>
      <c r="D683">
        <v>40</v>
      </c>
      <c r="E683">
        <v>0</v>
      </c>
      <c r="F683">
        <v>0</v>
      </c>
      <c r="G683">
        <v>1</v>
      </c>
      <c r="H683" s="4">
        <v>1570521304062</v>
      </c>
      <c r="I683">
        <v>526.6875</v>
      </c>
      <c r="J683" s="9">
        <f t="shared" si="10"/>
        <v>43746.621574791665</v>
      </c>
      <c r="K683" s="1"/>
    </row>
    <row r="684" spans="1:11" x14ac:dyDescent="0.25">
      <c r="A684" t="e">
        <f>-LqeMLb1OJMJT2Q-B3Mv</f>
        <v>#NAME?</v>
      </c>
      <c r="B684">
        <v>393.75</v>
      </c>
      <c r="C684">
        <v>20.531590000000001</v>
      </c>
      <c r="D684">
        <v>40</v>
      </c>
      <c r="E684">
        <v>0</v>
      </c>
      <c r="F684">
        <v>0</v>
      </c>
      <c r="G684">
        <v>1</v>
      </c>
      <c r="H684" s="4">
        <v>1570521310261</v>
      </c>
      <c r="I684">
        <v>526.6875</v>
      </c>
      <c r="J684" s="9">
        <f t="shared" si="10"/>
        <v>43746.621646539345</v>
      </c>
      <c r="K684" s="1"/>
    </row>
    <row r="685" spans="1:11" x14ac:dyDescent="0.25">
      <c r="A685" t="e">
        <f>-LqeMNIumBHOiJ1Gu1Ec</f>
        <v>#NAME?</v>
      </c>
      <c r="B685">
        <v>393.75</v>
      </c>
      <c r="C685">
        <v>20.531590000000001</v>
      </c>
      <c r="D685">
        <v>41</v>
      </c>
      <c r="E685">
        <v>0</v>
      </c>
      <c r="F685">
        <v>0</v>
      </c>
      <c r="G685">
        <v>1</v>
      </c>
      <c r="H685" s="4">
        <v>1570521317482</v>
      </c>
      <c r="I685">
        <v>526.6875</v>
      </c>
      <c r="J685" s="9">
        <f t="shared" si="10"/>
        <v>43746.621730115738</v>
      </c>
      <c r="K685" s="1"/>
    </row>
    <row r="686" spans="1:11" x14ac:dyDescent="0.25">
      <c r="A686" t="e">
        <f>-LqeMP6qWwzpfuAzhxPU</f>
        <v>#NAME?</v>
      </c>
      <c r="B686">
        <v>393.75</v>
      </c>
      <c r="C686">
        <v>20.584240000000001</v>
      </c>
      <c r="D686">
        <v>43</v>
      </c>
      <c r="E686">
        <v>0</v>
      </c>
      <c r="F686">
        <v>0</v>
      </c>
      <c r="G686">
        <v>1</v>
      </c>
      <c r="H686" s="4">
        <v>1570521324692</v>
      </c>
      <c r="I686">
        <v>526.6875</v>
      </c>
      <c r="J686" s="9">
        <f t="shared" si="10"/>
        <v>43746.621813564816</v>
      </c>
      <c r="K686" s="1"/>
    </row>
    <row r="687" spans="1:11" x14ac:dyDescent="0.25">
      <c r="A687" t="e">
        <f>-LqeMQomTb7Bfi1Q9U8R</f>
        <v>#NAME?</v>
      </c>
      <c r="B687">
        <v>393.75</v>
      </c>
      <c r="C687">
        <v>20.584240000000001</v>
      </c>
      <c r="D687">
        <v>43</v>
      </c>
      <c r="E687">
        <v>0</v>
      </c>
      <c r="F687">
        <v>0</v>
      </c>
      <c r="G687">
        <v>1</v>
      </c>
      <c r="H687" s="4">
        <v>1570521331902</v>
      </c>
      <c r="I687">
        <v>526.6875</v>
      </c>
      <c r="J687" s="9">
        <f t="shared" si="10"/>
        <v>43746.621897013887</v>
      </c>
      <c r="K687" s="1"/>
    </row>
    <row r="688" spans="1:11" x14ac:dyDescent="0.25">
      <c r="A688" t="e">
        <f>-LqeMSbmS7sqFA6P-#REF!</f>
        <v>#NAME?</v>
      </c>
      <c r="B688">
        <v>393.75</v>
      </c>
      <c r="C688">
        <v>20.584240000000001</v>
      </c>
      <c r="D688">
        <v>39</v>
      </c>
      <c r="E688">
        <v>0</v>
      </c>
      <c r="F688">
        <v>0</v>
      </c>
      <c r="G688">
        <v>1</v>
      </c>
      <c r="H688" s="4">
        <v>1570521339122</v>
      </c>
      <c r="I688">
        <v>526.5</v>
      </c>
      <c r="J688" s="9">
        <f t="shared" si="10"/>
        <v>43746.621980578704</v>
      </c>
      <c r="K688" s="1"/>
    </row>
    <row r="689" spans="1:11" x14ac:dyDescent="0.25">
      <c r="A689" t="s">
        <v>43</v>
      </c>
      <c r="B689">
        <v>393.75</v>
      </c>
      <c r="C689">
        <v>20.584240000000001</v>
      </c>
      <c r="D689">
        <v>39</v>
      </c>
      <c r="E689">
        <v>0</v>
      </c>
      <c r="F689">
        <v>0</v>
      </c>
      <c r="G689">
        <v>1</v>
      </c>
      <c r="H689" s="4">
        <v>1570521346312</v>
      </c>
      <c r="I689">
        <v>526.6875</v>
      </c>
      <c r="J689" s="9">
        <f t="shared" si="10"/>
        <v>43746.622063796291</v>
      </c>
      <c r="K689" s="1"/>
    </row>
    <row r="690" spans="1:11" x14ac:dyDescent="0.25">
      <c r="A690" t="e">
        <f>-LqeMVtu6Hl4q2ppHzwB</f>
        <v>#NAME?</v>
      </c>
      <c r="B690">
        <v>393.75</v>
      </c>
      <c r="C690">
        <v>20.478950000000001</v>
      </c>
      <c r="D690">
        <v>39</v>
      </c>
      <c r="E690">
        <v>0</v>
      </c>
      <c r="F690">
        <v>0</v>
      </c>
      <c r="G690">
        <v>1</v>
      </c>
      <c r="H690" s="4">
        <v>1570521352513</v>
      </c>
      <c r="I690">
        <v>526.6875</v>
      </c>
      <c r="J690" s="9">
        <f t="shared" si="10"/>
        <v>43746.622135567122</v>
      </c>
      <c r="K690" s="1"/>
    </row>
    <row r="691" spans="1:11" x14ac:dyDescent="0.25">
      <c r="A691" t="e">
        <f>-LqeMXbm7LJ_1wmX2lOB</f>
        <v>#NAME?</v>
      </c>
      <c r="B691">
        <v>393.75</v>
      </c>
      <c r="C691">
        <v>20.584240000000001</v>
      </c>
      <c r="D691">
        <v>43</v>
      </c>
      <c r="E691">
        <v>0</v>
      </c>
      <c r="F691">
        <v>0</v>
      </c>
      <c r="G691">
        <v>1</v>
      </c>
      <c r="H691" s="4">
        <v>1570521359751</v>
      </c>
      <c r="I691">
        <v>526.6875</v>
      </c>
      <c r="J691" s="9">
        <f t="shared" si="10"/>
        <v>43746.622219340272</v>
      </c>
      <c r="K691" s="1"/>
    </row>
    <row r="692" spans="1:11" x14ac:dyDescent="0.25">
      <c r="A692" t="e">
        <f>-LqeMZPv4ce_9b0tcTe_</f>
        <v>#NAME?</v>
      </c>
      <c r="B692">
        <v>393.75</v>
      </c>
      <c r="C692">
        <v>20.584240000000001</v>
      </c>
      <c r="D692">
        <v>42</v>
      </c>
      <c r="E692">
        <v>0</v>
      </c>
      <c r="F692">
        <v>0</v>
      </c>
      <c r="G692">
        <v>1</v>
      </c>
      <c r="H692" s="4">
        <v>1570521366952</v>
      </c>
      <c r="I692">
        <v>526.6875</v>
      </c>
      <c r="J692" s="9">
        <f t="shared" si="10"/>
        <v>43746.622302685188</v>
      </c>
      <c r="K692" s="1"/>
    </row>
    <row r="693" spans="1:11" x14ac:dyDescent="0.25">
      <c r="A693" t="e">
        <f>-LqeMa7mmHJ9EtFks5g5</f>
        <v>#NAME?</v>
      </c>
      <c r="B693">
        <v>393.75</v>
      </c>
      <c r="C693">
        <v>20.531590000000001</v>
      </c>
      <c r="D693">
        <v>42</v>
      </c>
      <c r="E693">
        <v>0</v>
      </c>
      <c r="F693">
        <v>0</v>
      </c>
      <c r="G693">
        <v>1</v>
      </c>
      <c r="H693" s="4">
        <v>1570521374141</v>
      </c>
      <c r="I693">
        <v>526.6875</v>
      </c>
      <c r="J693" s="9">
        <f t="shared" si="10"/>
        <v>43746.622385891205</v>
      </c>
      <c r="K693" s="1"/>
    </row>
    <row r="694" spans="1:11" x14ac:dyDescent="0.25">
      <c r="A694" t="e">
        <f>-LqeMbwtjsZ96HTY5pjN</f>
        <v>#NAME?</v>
      </c>
      <c r="B694">
        <v>412.5</v>
      </c>
      <c r="C694">
        <v>20.584240000000001</v>
      </c>
      <c r="D694">
        <v>42</v>
      </c>
      <c r="E694">
        <v>0</v>
      </c>
      <c r="F694">
        <v>0</v>
      </c>
      <c r="G694">
        <v>1</v>
      </c>
      <c r="H694" s="4">
        <v>1570521381445</v>
      </c>
      <c r="I694">
        <v>532.3125</v>
      </c>
      <c r="J694" s="9">
        <f t="shared" si="10"/>
        <v>43746.622470428243</v>
      </c>
      <c r="K694" s="1"/>
    </row>
    <row r="695" spans="1:11" x14ac:dyDescent="0.25">
      <c r="A695" t="e">
        <f>-LqeMdf2yX6-t0b3SXUm</f>
        <v>#NAME?</v>
      </c>
      <c r="B695">
        <v>393.75</v>
      </c>
      <c r="C695">
        <v>20.531590000000001</v>
      </c>
      <c r="D695">
        <v>41</v>
      </c>
      <c r="E695">
        <v>0</v>
      </c>
      <c r="F695">
        <v>0</v>
      </c>
      <c r="G695">
        <v>1</v>
      </c>
      <c r="H695" s="4">
        <v>1570521388615</v>
      </c>
      <c r="I695">
        <v>526.6875</v>
      </c>
      <c r="J695" s="9">
        <f t="shared" si="10"/>
        <v>43746.622553414352</v>
      </c>
      <c r="K695" s="1"/>
    </row>
    <row r="696" spans="1:11" x14ac:dyDescent="0.25">
      <c r="A696" t="e">
        <f>-LqeMfCe95BqnvwuyaRU</f>
        <v>#NAME?</v>
      </c>
      <c r="B696">
        <v>393.75</v>
      </c>
      <c r="C696">
        <v>20.584240000000001</v>
      </c>
      <c r="D696">
        <v>41</v>
      </c>
      <c r="E696">
        <v>0</v>
      </c>
      <c r="F696">
        <v>0</v>
      </c>
      <c r="G696">
        <v>1</v>
      </c>
      <c r="H696" s="4">
        <v>1570521394785</v>
      </c>
      <c r="I696">
        <v>526.6875</v>
      </c>
      <c r="J696" s="9">
        <f t="shared" si="10"/>
        <v>43746.622624826385</v>
      </c>
      <c r="K696" s="1"/>
    </row>
    <row r="697" spans="1:11" x14ac:dyDescent="0.25">
      <c r="A697" t="e">
        <f>-LqeMggo2g39Ex_6K79N</f>
        <v>#NAME?</v>
      </c>
      <c r="B697">
        <v>393.75</v>
      </c>
      <c r="C697">
        <v>20.531590000000001</v>
      </c>
      <c r="D697">
        <v>41</v>
      </c>
      <c r="E697">
        <v>0</v>
      </c>
      <c r="F697">
        <v>0</v>
      </c>
      <c r="G697">
        <v>1</v>
      </c>
      <c r="H697" s="4">
        <v>1570521400964</v>
      </c>
      <c r="I697">
        <v>526.6875</v>
      </c>
      <c r="J697" s="9">
        <f t="shared" si="10"/>
        <v>43746.622696342594</v>
      </c>
      <c r="K697" s="1"/>
    </row>
    <row r="698" spans="1:11" x14ac:dyDescent="0.25">
      <c r="A698" t="e">
        <f>-LqeMiR2hxjNHJUpilBW</f>
        <v>#NAME?</v>
      </c>
      <c r="B698">
        <v>393.75</v>
      </c>
      <c r="C698">
        <v>20.584240000000001</v>
      </c>
      <c r="D698">
        <v>39</v>
      </c>
      <c r="E698">
        <v>0</v>
      </c>
      <c r="F698">
        <v>0</v>
      </c>
      <c r="G698">
        <v>1</v>
      </c>
      <c r="H698" s="4">
        <v>1570521408154</v>
      </c>
      <c r="I698">
        <v>526.5</v>
      </c>
      <c r="J698" s="9">
        <f t="shared" si="10"/>
        <v>43746.622779560181</v>
      </c>
      <c r="K698" s="1"/>
    </row>
    <row r="699" spans="1:11" x14ac:dyDescent="0.25">
      <c r="A699" t="e">
        <f>-LqeMjypmsUbelvf8Pbr</f>
        <v>#NAME?</v>
      </c>
      <c r="B699">
        <v>393.75</v>
      </c>
      <c r="C699">
        <v>20.584240000000001</v>
      </c>
      <c r="D699">
        <v>41</v>
      </c>
      <c r="E699">
        <v>0</v>
      </c>
      <c r="F699">
        <v>0</v>
      </c>
      <c r="G699">
        <v>1</v>
      </c>
      <c r="H699" s="4">
        <v>1570521414365</v>
      </c>
      <c r="I699">
        <v>526.6875</v>
      </c>
      <c r="J699" s="9">
        <f t="shared" si="10"/>
        <v>43746.622851446758</v>
      </c>
      <c r="K699" s="1"/>
    </row>
    <row r="700" spans="1:11" x14ac:dyDescent="0.25">
      <c r="A700" t="e">
        <f>-LqeMliEg_1xRCu2dGSm</f>
        <v>#NAME?</v>
      </c>
      <c r="B700">
        <v>393.75</v>
      </c>
      <c r="C700">
        <v>20.531590000000001</v>
      </c>
      <c r="D700">
        <v>42</v>
      </c>
      <c r="E700">
        <v>0</v>
      </c>
      <c r="F700">
        <v>0</v>
      </c>
      <c r="G700">
        <v>1</v>
      </c>
      <c r="H700" s="4">
        <v>1570521421596</v>
      </c>
      <c r="I700">
        <v>526.6875</v>
      </c>
      <c r="J700" s="9">
        <f t="shared" si="10"/>
        <v>43746.622935138883</v>
      </c>
      <c r="K700" s="1"/>
    </row>
    <row r="701" spans="1:11" x14ac:dyDescent="0.25">
      <c r="A701" t="s">
        <v>44</v>
      </c>
      <c r="B701">
        <v>393.75</v>
      </c>
      <c r="C701">
        <v>20.531590000000001</v>
      </c>
      <c r="D701">
        <v>42</v>
      </c>
      <c r="E701">
        <v>0</v>
      </c>
      <c r="F701">
        <v>0</v>
      </c>
      <c r="G701">
        <v>1</v>
      </c>
      <c r="H701" s="4">
        <v>1570521427764</v>
      </c>
      <c r="I701">
        <v>526.6875</v>
      </c>
      <c r="J701" s="9">
        <f t="shared" si="10"/>
        <v>43746.62300652777</v>
      </c>
      <c r="K701" s="1"/>
    </row>
    <row r="702" spans="1:11" x14ac:dyDescent="0.25">
      <c r="A702" t="e">
        <f>-LqeMoypSyokA1kLBV6f</f>
        <v>#NAME?</v>
      </c>
      <c r="B702">
        <v>393.75</v>
      </c>
      <c r="C702">
        <v>20.584240000000001</v>
      </c>
      <c r="D702">
        <v>42</v>
      </c>
      <c r="E702">
        <v>0</v>
      </c>
      <c r="F702">
        <v>0</v>
      </c>
      <c r="G702">
        <v>1</v>
      </c>
      <c r="H702" s="4">
        <v>1570521434954</v>
      </c>
      <c r="I702">
        <v>526.6875</v>
      </c>
      <c r="J702" s="9">
        <f t="shared" si="10"/>
        <v>43746.623089745372</v>
      </c>
      <c r="K702" s="1"/>
    </row>
    <row r="703" spans="1:11" x14ac:dyDescent="0.25">
      <c r="A703" t="e">
        <f>-LqeMqXoEBmJTiGQbXSA</f>
        <v>#NAME?</v>
      </c>
      <c r="B703">
        <v>393.75</v>
      </c>
      <c r="C703">
        <v>20.584240000000001</v>
      </c>
      <c r="D703">
        <v>42</v>
      </c>
      <c r="E703">
        <v>0</v>
      </c>
      <c r="F703">
        <v>0</v>
      </c>
      <c r="G703">
        <v>1</v>
      </c>
      <c r="H703" s="4">
        <v>1570521441144</v>
      </c>
      <c r="I703">
        <v>526.5</v>
      </c>
      <c r="J703" s="9">
        <f t="shared" si="10"/>
        <v>43746.623161388889</v>
      </c>
      <c r="K703" s="1"/>
    </row>
    <row r="704" spans="1:11" x14ac:dyDescent="0.25">
      <c r="A704" t="e">
        <f>-LqeMsFoDBBTn7X1X3ur</f>
        <v>#NAME?</v>
      </c>
      <c r="B704">
        <v>393.75</v>
      </c>
      <c r="C704">
        <v>20.584240000000001</v>
      </c>
      <c r="D704">
        <v>41</v>
      </c>
      <c r="E704">
        <v>0</v>
      </c>
      <c r="F704">
        <v>0</v>
      </c>
      <c r="G704">
        <v>1</v>
      </c>
      <c r="H704" s="4">
        <v>1570521448384</v>
      </c>
      <c r="I704">
        <v>526.6875</v>
      </c>
      <c r="J704" s="9">
        <f t="shared" si="10"/>
        <v>43746.623245185183</v>
      </c>
      <c r="K704" s="1"/>
    </row>
    <row r="705" spans="1:11" x14ac:dyDescent="0.25">
      <c r="A705" t="e">
        <f>-LqeMu2oCSU3CMmBDo0I</f>
        <v>#NAME?</v>
      </c>
      <c r="B705">
        <v>393.75</v>
      </c>
      <c r="C705">
        <v>20.584240000000001</v>
      </c>
      <c r="D705">
        <v>41</v>
      </c>
      <c r="E705">
        <v>0</v>
      </c>
      <c r="F705">
        <v>0</v>
      </c>
      <c r="G705">
        <v>1</v>
      </c>
      <c r="H705" s="4">
        <v>1570521455594</v>
      </c>
      <c r="I705">
        <v>526.6875</v>
      </c>
      <c r="J705" s="9">
        <f t="shared" si="10"/>
        <v>43746.623328634254</v>
      </c>
      <c r="K705" s="1"/>
    </row>
    <row r="706" spans="1:11" x14ac:dyDescent="0.25">
      <c r="A706" t="e">
        <f>-LqeMvXp51UmBkGJhsBE</f>
        <v>#NAME?</v>
      </c>
      <c r="B706">
        <v>393.75</v>
      </c>
      <c r="C706">
        <v>20.584240000000001</v>
      </c>
      <c r="D706">
        <v>41</v>
      </c>
      <c r="E706">
        <v>0</v>
      </c>
      <c r="F706">
        <v>0</v>
      </c>
      <c r="G706">
        <v>1</v>
      </c>
      <c r="H706" s="4">
        <v>1570521461785</v>
      </c>
      <c r="I706">
        <v>526.6875</v>
      </c>
      <c r="J706" s="9">
        <f t="shared" si="10"/>
        <v>43746.623400289354</v>
      </c>
      <c r="K706" s="1"/>
    </row>
    <row r="707" spans="1:11" x14ac:dyDescent="0.25">
      <c r="A707" t="e">
        <f>-LqeMxKnezZD8Lawgoe3</f>
        <v>#NAME?</v>
      </c>
      <c r="B707">
        <v>393.75</v>
      </c>
      <c r="C707">
        <v>20.584240000000001</v>
      </c>
      <c r="D707">
        <v>40</v>
      </c>
      <c r="E707">
        <v>0</v>
      </c>
      <c r="F707">
        <v>0</v>
      </c>
      <c r="G707">
        <v>1</v>
      </c>
      <c r="H707" s="4">
        <v>1570521469002</v>
      </c>
      <c r="I707">
        <v>526.6875</v>
      </c>
      <c r="J707" s="9">
        <f t="shared" ref="J707:J770" si="11">(H707/86400000)+25569+(7/24)</f>
        <v>43746.623483819443</v>
      </c>
      <c r="K707" s="1"/>
    </row>
    <row r="708" spans="1:11" x14ac:dyDescent="0.25">
      <c r="A708" t="e">
        <f>-LqeMz2mYRjaZjOR4061</f>
        <v>#NAME?</v>
      </c>
      <c r="B708">
        <v>393.75</v>
      </c>
      <c r="C708">
        <v>20.584240000000001</v>
      </c>
      <c r="D708">
        <v>40</v>
      </c>
      <c r="E708">
        <v>0</v>
      </c>
      <c r="F708">
        <v>0</v>
      </c>
      <c r="G708">
        <v>1</v>
      </c>
      <c r="H708" s="4">
        <v>1570521476205</v>
      </c>
      <c r="I708">
        <v>526.6875</v>
      </c>
      <c r="J708" s="9">
        <f t="shared" si="11"/>
        <v>43746.623567187497</v>
      </c>
      <c r="K708" s="1"/>
    </row>
    <row r="709" spans="1:11" x14ac:dyDescent="0.25">
      <c r="A709" t="e">
        <f>-LqeN-qnLbjiq6Qbwcjg</f>
        <v>#NAME?</v>
      </c>
      <c r="B709">
        <v>393.75</v>
      </c>
      <c r="C709">
        <v>20.531590000000001</v>
      </c>
      <c r="D709">
        <v>40</v>
      </c>
      <c r="E709">
        <v>0</v>
      </c>
      <c r="F709">
        <v>0</v>
      </c>
      <c r="G709">
        <v>1</v>
      </c>
      <c r="H709" s="4">
        <v>1570521483425</v>
      </c>
      <c r="I709">
        <v>526.6875</v>
      </c>
      <c r="J709" s="9">
        <f t="shared" si="11"/>
        <v>43746.623650752314</v>
      </c>
      <c r="K709" s="1"/>
    </row>
    <row r="710" spans="1:11" x14ac:dyDescent="0.25">
      <c r="A710" t="e">
        <f>-LqeN1ZnCIgzZ_uC6SGw</f>
        <v>#NAME?</v>
      </c>
      <c r="B710">
        <v>393.75</v>
      </c>
      <c r="C710">
        <v>20.531590000000001</v>
      </c>
      <c r="D710">
        <v>41</v>
      </c>
      <c r="E710">
        <v>0</v>
      </c>
      <c r="F710">
        <v>0</v>
      </c>
      <c r="G710">
        <v>1</v>
      </c>
      <c r="H710" s="4">
        <v>1570521490626</v>
      </c>
      <c r="I710">
        <v>526.6875</v>
      </c>
      <c r="J710" s="9">
        <f t="shared" si="11"/>
        <v>43746.623734097222</v>
      </c>
      <c r="K710" s="1"/>
    </row>
    <row r="711" spans="1:11" x14ac:dyDescent="0.25">
      <c r="A711" t="e">
        <f>-LqeN37nWeyG2392bZFz</f>
        <v>#NAME?</v>
      </c>
      <c r="B711">
        <v>393.75</v>
      </c>
      <c r="C711">
        <v>20.584240000000001</v>
      </c>
      <c r="D711">
        <v>41</v>
      </c>
      <c r="E711">
        <v>0</v>
      </c>
      <c r="F711">
        <v>0</v>
      </c>
      <c r="G711">
        <v>1</v>
      </c>
      <c r="H711" s="4">
        <v>1570521496825</v>
      </c>
      <c r="I711">
        <v>526.6875</v>
      </c>
      <c r="J711" s="9">
        <f t="shared" si="11"/>
        <v>43746.623805844902</v>
      </c>
      <c r="K711" s="1"/>
    </row>
    <row r="712" spans="1:11" x14ac:dyDescent="0.25">
      <c r="A712" t="e">
        <f>-LqeN4qo18yz1FWEYK6m</f>
        <v>#NAME?</v>
      </c>
      <c r="B712">
        <v>393.75</v>
      </c>
      <c r="C712">
        <v>20.584240000000001</v>
      </c>
      <c r="D712">
        <v>41</v>
      </c>
      <c r="E712">
        <v>0</v>
      </c>
      <c r="F712">
        <v>0</v>
      </c>
      <c r="G712">
        <v>1</v>
      </c>
      <c r="H712" s="4">
        <v>1570521504036</v>
      </c>
      <c r="I712">
        <v>526.6875</v>
      </c>
      <c r="J712" s="9">
        <f t="shared" si="11"/>
        <v>43746.623889305549</v>
      </c>
      <c r="K712" s="1"/>
    </row>
    <row r="713" spans="1:11" x14ac:dyDescent="0.25">
      <c r="A713" t="e">
        <f>-LqeN6dn03aCU5chEj84</f>
        <v>#NAME?</v>
      </c>
      <c r="B713">
        <v>393.75</v>
      </c>
      <c r="C713">
        <v>20.531590000000001</v>
      </c>
      <c r="D713">
        <v>43</v>
      </c>
      <c r="E713">
        <v>0</v>
      </c>
      <c r="F713">
        <v>0</v>
      </c>
      <c r="G713">
        <v>1</v>
      </c>
      <c r="H713" s="4">
        <v>1570521511255</v>
      </c>
      <c r="I713">
        <v>526.6875</v>
      </c>
      <c r="J713" s="9">
        <f t="shared" si="11"/>
        <v>43746.62397285879</v>
      </c>
      <c r="K713" s="1"/>
    </row>
    <row r="714" spans="1:11" x14ac:dyDescent="0.25">
      <c r="A714" t="e">
        <f>-LqeN8MmJ1peb-QBhwVb</f>
        <v>#NAME?</v>
      </c>
      <c r="B714">
        <v>393.75</v>
      </c>
      <c r="C714">
        <v>20.531590000000001</v>
      </c>
      <c r="D714">
        <v>45</v>
      </c>
      <c r="E714">
        <v>0</v>
      </c>
      <c r="F714">
        <v>0</v>
      </c>
      <c r="G714">
        <v>1</v>
      </c>
      <c r="H714" s="4">
        <v>1570521518470</v>
      </c>
      <c r="I714">
        <v>526.5</v>
      </c>
      <c r="J714" s="9">
        <f t="shared" si="11"/>
        <v>43746.624056365741</v>
      </c>
      <c r="K714" s="1"/>
    </row>
    <row r="715" spans="1:11" x14ac:dyDescent="0.25">
      <c r="A715" t="e">
        <f>-LqeNAFuOEWlysfS-#REF!</f>
        <v>#NAME?</v>
      </c>
      <c r="B715">
        <v>393.75</v>
      </c>
      <c r="C715">
        <v>20.584240000000001</v>
      </c>
      <c r="D715">
        <v>45</v>
      </c>
      <c r="E715">
        <v>0</v>
      </c>
      <c r="F715">
        <v>0</v>
      </c>
      <c r="G715">
        <v>1</v>
      </c>
      <c r="H715" s="4">
        <v>1570521526231</v>
      </c>
      <c r="I715">
        <v>526.6875</v>
      </c>
      <c r="J715" s="9">
        <f t="shared" si="11"/>
        <v>43746.624146192124</v>
      </c>
      <c r="K715" s="1"/>
    </row>
    <row r="716" spans="1:11" x14ac:dyDescent="0.25">
      <c r="A716" t="e">
        <f>-LqeNBsmgfRzx2jc3Ox8</f>
        <v>#NAME?</v>
      </c>
      <c r="B716">
        <v>393.75</v>
      </c>
      <c r="C716">
        <v>20.584240000000001</v>
      </c>
      <c r="D716">
        <v>45</v>
      </c>
      <c r="E716">
        <v>0</v>
      </c>
      <c r="F716">
        <v>0</v>
      </c>
      <c r="G716">
        <v>1</v>
      </c>
      <c r="H716" s="4">
        <v>1570521532875</v>
      </c>
      <c r="I716">
        <v>526.6875</v>
      </c>
      <c r="J716" s="9">
        <f t="shared" si="11"/>
        <v>43746.624223090279</v>
      </c>
      <c r="K716" s="1"/>
    </row>
    <row r="717" spans="1:11" x14ac:dyDescent="0.25">
      <c r="A717" t="e">
        <f>-LqeNDStN0KNXxtmN-67</f>
        <v>#NAME?</v>
      </c>
      <c r="B717">
        <v>393.75</v>
      </c>
      <c r="C717">
        <v>20.531590000000001</v>
      </c>
      <c r="D717">
        <v>45</v>
      </c>
      <c r="E717">
        <v>0</v>
      </c>
      <c r="F717">
        <v>0</v>
      </c>
      <c r="G717">
        <v>1</v>
      </c>
      <c r="H717" s="4">
        <v>1570521539075</v>
      </c>
      <c r="I717">
        <v>526.6875</v>
      </c>
      <c r="J717" s="9">
        <f t="shared" si="11"/>
        <v>43746.624294849535</v>
      </c>
      <c r="K717" s="1"/>
    </row>
    <row r="718" spans="1:11" x14ac:dyDescent="0.25">
      <c r="A718" t="e">
        <f>-LqeNFB1stFPTwRCx4Em</f>
        <v>#NAME?</v>
      </c>
      <c r="B718">
        <v>393.75</v>
      </c>
      <c r="C718">
        <v>20.531590000000001</v>
      </c>
      <c r="D718">
        <v>45</v>
      </c>
      <c r="E718">
        <v>0</v>
      </c>
      <c r="F718">
        <v>0</v>
      </c>
      <c r="G718">
        <v>1</v>
      </c>
      <c r="H718" s="4">
        <v>1570521546304</v>
      </c>
      <c r="I718">
        <v>526.6875</v>
      </c>
      <c r="J718" s="9">
        <f t="shared" si="11"/>
        <v>43746.624378518514</v>
      </c>
      <c r="K718" s="1"/>
    </row>
    <row r="719" spans="1:11" x14ac:dyDescent="0.25">
      <c r="A719" t="e">
        <f>-LqeNGxmJi5lBhdsx_R7</f>
        <v>#NAME?</v>
      </c>
      <c r="B719">
        <v>393.75</v>
      </c>
      <c r="C719">
        <v>20.584240000000001</v>
      </c>
      <c r="D719">
        <v>43</v>
      </c>
      <c r="E719">
        <v>0</v>
      </c>
      <c r="F719">
        <v>0</v>
      </c>
      <c r="G719">
        <v>1</v>
      </c>
      <c r="H719" s="4">
        <v>1570521553516</v>
      </c>
      <c r="I719">
        <v>526.6875</v>
      </c>
      <c r="J719" s="9">
        <f t="shared" si="11"/>
        <v>43746.624461990737</v>
      </c>
      <c r="K719" s="1"/>
    </row>
    <row r="720" spans="1:11" x14ac:dyDescent="0.25">
      <c r="A720" t="e">
        <f>-LqeNIguFbh1EVBoD9n1</f>
        <v>#NAME?</v>
      </c>
      <c r="B720">
        <v>393.75</v>
      </c>
      <c r="C720">
        <v>20.584240000000001</v>
      </c>
      <c r="D720">
        <v>40</v>
      </c>
      <c r="E720">
        <v>0</v>
      </c>
      <c r="F720">
        <v>0</v>
      </c>
      <c r="G720">
        <v>1</v>
      </c>
      <c r="H720" s="4">
        <v>1570521560704</v>
      </c>
      <c r="I720">
        <v>526.6875</v>
      </c>
      <c r="J720" s="9">
        <f t="shared" si="11"/>
        <v>43746.624545185179</v>
      </c>
      <c r="K720" s="1"/>
    </row>
    <row r="721" spans="1:11" x14ac:dyDescent="0.25">
      <c r="A721" t="e">
        <f>-LqeNKV1u5DFt5OGvqKJ</f>
        <v>#NAME?</v>
      </c>
      <c r="B721">
        <v>393.75</v>
      </c>
      <c r="C721">
        <v>20.584240000000001</v>
      </c>
      <c r="D721">
        <v>35</v>
      </c>
      <c r="E721">
        <v>0</v>
      </c>
      <c r="F721">
        <v>0</v>
      </c>
      <c r="G721">
        <v>1</v>
      </c>
      <c r="H721" s="4">
        <v>1570521567944</v>
      </c>
      <c r="I721">
        <v>526.6875</v>
      </c>
      <c r="J721" s="9">
        <f t="shared" si="11"/>
        <v>43746.624628981481</v>
      </c>
      <c r="K721" s="1"/>
    </row>
    <row r="722" spans="1:11" x14ac:dyDescent="0.25">
      <c r="A722" t="e">
        <f>-LqeNMBncaq8SBei22GJ</f>
        <v>#NAME?</v>
      </c>
      <c r="B722">
        <v>393.75</v>
      </c>
      <c r="C722">
        <v>20.531590000000001</v>
      </c>
      <c r="D722">
        <v>37</v>
      </c>
      <c r="E722">
        <v>0</v>
      </c>
      <c r="F722">
        <v>0</v>
      </c>
      <c r="G722">
        <v>1</v>
      </c>
      <c r="H722" s="4">
        <v>1570521575135</v>
      </c>
      <c r="I722">
        <v>526.6875</v>
      </c>
      <c r="J722" s="9">
        <f t="shared" si="11"/>
        <v>43746.624712210651</v>
      </c>
      <c r="K722" s="1"/>
    </row>
    <row r="723" spans="1:11" x14ac:dyDescent="0.25">
      <c r="A723" t="e">
        <f>-LqeNNm5uszDzo1UM0h2</f>
        <v>#NAME?</v>
      </c>
      <c r="B723">
        <v>412.5</v>
      </c>
      <c r="C723">
        <v>20.584240000000001</v>
      </c>
      <c r="D723">
        <v>38</v>
      </c>
      <c r="E723">
        <v>0</v>
      </c>
      <c r="F723">
        <v>0</v>
      </c>
      <c r="G723">
        <v>1</v>
      </c>
      <c r="H723" s="4">
        <v>1570521581344</v>
      </c>
      <c r="I723">
        <v>532.3125</v>
      </c>
      <c r="J723" s="9">
        <f t="shared" si="11"/>
        <v>43746.624784074076</v>
      </c>
      <c r="K723" s="1"/>
    </row>
    <row r="724" spans="1:11" x14ac:dyDescent="0.25">
      <c r="A724" t="e">
        <f>-LqeNPTzPSkaK_R9gfIn</f>
        <v>#NAME?</v>
      </c>
      <c r="B724">
        <v>393.75</v>
      </c>
      <c r="C724">
        <v>20.584240000000001</v>
      </c>
      <c r="D724">
        <v>39</v>
      </c>
      <c r="E724">
        <v>0</v>
      </c>
      <c r="F724">
        <v>0</v>
      </c>
      <c r="G724">
        <v>1</v>
      </c>
      <c r="H724" s="4">
        <v>1570521588555</v>
      </c>
      <c r="I724">
        <v>526.6875</v>
      </c>
      <c r="J724" s="9">
        <f t="shared" si="11"/>
        <v>43746.624867534723</v>
      </c>
      <c r="K724" s="1"/>
    </row>
    <row r="725" spans="1:11" x14ac:dyDescent="0.25">
      <c r="A725" t="e">
        <f>-LqeNRGmlxHo7wFDHhhE</f>
        <v>#NAME?</v>
      </c>
      <c r="B725">
        <v>393.75</v>
      </c>
      <c r="C725">
        <v>20.584240000000001</v>
      </c>
      <c r="D725">
        <v>39</v>
      </c>
      <c r="E725">
        <v>0</v>
      </c>
      <c r="F725">
        <v>0</v>
      </c>
      <c r="G725">
        <v>1</v>
      </c>
      <c r="H725" s="4">
        <v>1570521595775</v>
      </c>
      <c r="I725">
        <v>526.6875</v>
      </c>
      <c r="J725" s="9">
        <f t="shared" si="11"/>
        <v>43746.624951099533</v>
      </c>
      <c r="K725" s="1"/>
    </row>
    <row r="726" spans="1:11" x14ac:dyDescent="0.25">
      <c r="A726" t="e">
        <f>-LqeNSzmuAa91Jdfsl-Z</f>
        <v>#NAME?</v>
      </c>
      <c r="B726">
        <v>393.75</v>
      </c>
      <c r="C726">
        <v>20.531590000000001</v>
      </c>
      <c r="D726">
        <v>41</v>
      </c>
      <c r="E726">
        <v>0</v>
      </c>
      <c r="F726">
        <v>0</v>
      </c>
      <c r="G726">
        <v>1</v>
      </c>
      <c r="H726" s="4">
        <v>1570521602955</v>
      </c>
      <c r="I726">
        <v>526.6875</v>
      </c>
      <c r="J726" s="9">
        <f t="shared" si="11"/>
        <v>43746.625034201388</v>
      </c>
      <c r="K726" s="1"/>
    </row>
    <row r="727" spans="1:11" x14ac:dyDescent="0.25">
      <c r="A727" t="e">
        <f>-LqeNUsspcTzM1zXOTNz</f>
        <v>#NAME?</v>
      </c>
      <c r="B727">
        <v>393.75</v>
      </c>
      <c r="C727">
        <v>20.584240000000001</v>
      </c>
      <c r="D727">
        <v>41</v>
      </c>
      <c r="E727">
        <v>0</v>
      </c>
      <c r="F727">
        <v>0</v>
      </c>
      <c r="G727">
        <v>1</v>
      </c>
      <c r="H727" s="4">
        <v>1570521609135</v>
      </c>
      <c r="I727">
        <v>526.6875</v>
      </c>
      <c r="J727" s="9">
        <f t="shared" si="11"/>
        <v>43746.625105729159</v>
      </c>
      <c r="K727" s="1"/>
    </row>
    <row r="728" spans="1:11" x14ac:dyDescent="0.25">
      <c r="A728" t="s">
        <v>45</v>
      </c>
      <c r="B728">
        <v>393.75</v>
      </c>
      <c r="C728">
        <v>20.584240000000001</v>
      </c>
      <c r="D728">
        <v>42</v>
      </c>
      <c r="E728">
        <v>0</v>
      </c>
      <c r="F728">
        <v>0</v>
      </c>
      <c r="G728">
        <v>1</v>
      </c>
      <c r="H728" s="4">
        <v>1570521617432</v>
      </c>
      <c r="I728">
        <v>526.6875</v>
      </c>
      <c r="J728" s="9">
        <f t="shared" si="11"/>
        <v>43746.625201759256</v>
      </c>
      <c r="K728" s="1"/>
    </row>
    <row r="729" spans="1:11" x14ac:dyDescent="0.25">
      <c r="A729" t="e">
        <f>-LqeNY3joorY9aMr1R0c</f>
        <v>#NAME?</v>
      </c>
      <c r="B729">
        <v>393.75</v>
      </c>
      <c r="C729">
        <v>20.584240000000001</v>
      </c>
      <c r="D729">
        <v>43</v>
      </c>
      <c r="E729">
        <v>0</v>
      </c>
      <c r="F729">
        <v>0</v>
      </c>
      <c r="G729">
        <v>1</v>
      </c>
      <c r="H729" s="4">
        <v>1570521623591</v>
      </c>
      <c r="I729">
        <v>526.5</v>
      </c>
      <c r="J729" s="9">
        <f t="shared" si="11"/>
        <v>43746.625273043981</v>
      </c>
      <c r="K729" s="1"/>
    </row>
    <row r="730" spans="1:11" x14ac:dyDescent="0.25">
      <c r="A730" t="s">
        <v>46</v>
      </c>
      <c r="B730">
        <v>393.75</v>
      </c>
      <c r="C730">
        <v>20.531590000000001</v>
      </c>
      <c r="D730">
        <v>44</v>
      </c>
      <c r="E730">
        <v>0</v>
      </c>
      <c r="F730">
        <v>0</v>
      </c>
      <c r="G730">
        <v>1</v>
      </c>
      <c r="H730" s="4">
        <v>1570521630781</v>
      </c>
      <c r="I730">
        <v>526.5</v>
      </c>
      <c r="J730" s="9">
        <f t="shared" si="11"/>
        <v>43746.625356261568</v>
      </c>
      <c r="K730" s="1"/>
    </row>
    <row r="731" spans="1:11" x14ac:dyDescent="0.25">
      <c r="A731" t="e">
        <f>-LqeNaN-BOr3Zj1GUBGj</f>
        <v>#NAME?</v>
      </c>
      <c r="B731">
        <v>393.75</v>
      </c>
      <c r="C731">
        <v>20.584240000000001</v>
      </c>
      <c r="D731">
        <v>44</v>
      </c>
      <c r="E731">
        <v>0</v>
      </c>
      <c r="F731">
        <v>0</v>
      </c>
      <c r="G731">
        <v>1</v>
      </c>
      <c r="H731" s="4">
        <v>1570521637036</v>
      </c>
      <c r="I731">
        <v>526.6875</v>
      </c>
      <c r="J731" s="9">
        <f t="shared" si="11"/>
        <v>43746.625428657404</v>
      </c>
      <c r="K731" s="1"/>
    </row>
    <row r="732" spans="1:11" x14ac:dyDescent="0.25">
      <c r="A732" t="e">
        <f>-LqeNc2ONALJLRgzIdWc</f>
        <v>#NAME?</v>
      </c>
      <c r="B732">
        <v>393.75</v>
      </c>
      <c r="C732">
        <v>20.531590000000001</v>
      </c>
      <c r="D732">
        <v>43</v>
      </c>
      <c r="E732">
        <v>0</v>
      </c>
      <c r="F732">
        <v>0</v>
      </c>
      <c r="G732">
        <v>1</v>
      </c>
      <c r="H732" s="4">
        <v>1570521644231</v>
      </c>
      <c r="I732">
        <v>526.6875</v>
      </c>
      <c r="J732" s="9">
        <f t="shared" si="11"/>
        <v>43746.625511932863</v>
      </c>
      <c r="K732" s="1"/>
    </row>
    <row r="733" spans="1:11" x14ac:dyDescent="0.25">
      <c r="A733" t="e">
        <f>-LqeNdYkYujTmPjXUIQC</f>
        <v>#NAME?</v>
      </c>
      <c r="B733">
        <v>393.75</v>
      </c>
      <c r="C733">
        <v>20.584240000000001</v>
      </c>
      <c r="D733">
        <v>43</v>
      </c>
      <c r="E733">
        <v>0</v>
      </c>
      <c r="F733">
        <v>0</v>
      </c>
      <c r="G733">
        <v>1</v>
      </c>
      <c r="H733" s="4">
        <v>1570521650390</v>
      </c>
      <c r="I733">
        <v>526.6875</v>
      </c>
      <c r="J733" s="9">
        <f t="shared" si="11"/>
        <v>43746.625583217588</v>
      </c>
      <c r="K733" s="1"/>
    </row>
    <row r="734" spans="1:11" x14ac:dyDescent="0.25">
      <c r="A734" t="e">
        <f>-LqeNf83zCKgmMNnLvW7</f>
        <v>#NAME?</v>
      </c>
      <c r="B734">
        <v>421.875</v>
      </c>
      <c r="C734">
        <v>20.531590000000001</v>
      </c>
      <c r="D734">
        <v>41</v>
      </c>
      <c r="E734">
        <v>0</v>
      </c>
      <c r="F734">
        <v>0</v>
      </c>
      <c r="G734">
        <v>1</v>
      </c>
      <c r="H734" s="4">
        <v>1570521656571</v>
      </c>
      <c r="I734">
        <v>535.5</v>
      </c>
      <c r="J734" s="9">
        <f t="shared" si="11"/>
        <v>43746.625654756943</v>
      </c>
      <c r="K734" s="1"/>
    </row>
    <row r="735" spans="1:11" x14ac:dyDescent="0.25">
      <c r="A735" t="e">
        <f>-LqeNgqrbLacUQHlhaNU</f>
        <v>#NAME?</v>
      </c>
      <c r="B735">
        <v>393.75</v>
      </c>
      <c r="C735">
        <v>20.584240000000001</v>
      </c>
      <c r="D735">
        <v>41</v>
      </c>
      <c r="E735">
        <v>0</v>
      </c>
      <c r="F735">
        <v>0</v>
      </c>
      <c r="G735">
        <v>1</v>
      </c>
      <c r="H735" s="4">
        <v>1570521663763</v>
      </c>
      <c r="I735">
        <v>526.6875</v>
      </c>
      <c r="J735" s="9">
        <f t="shared" si="11"/>
        <v>43746.625737997681</v>
      </c>
      <c r="K735" s="1"/>
    </row>
    <row r="736" spans="1:11" x14ac:dyDescent="0.25">
      <c r="A736" t="e">
        <f>-LqeNiOk0k0APf75L2Aj</f>
        <v>#NAME?</v>
      </c>
      <c r="B736">
        <v>393.75</v>
      </c>
      <c r="C736">
        <v>20.584240000000001</v>
      </c>
      <c r="D736">
        <v>42</v>
      </c>
      <c r="E736">
        <v>0</v>
      </c>
      <c r="F736">
        <v>0</v>
      </c>
      <c r="G736">
        <v>1</v>
      </c>
      <c r="H736" s="4">
        <v>1570521669971</v>
      </c>
      <c r="I736">
        <v>526.6875</v>
      </c>
      <c r="J736" s="9">
        <f t="shared" si="11"/>
        <v>43746.625809849538</v>
      </c>
      <c r="K736" s="1"/>
    </row>
    <row r="737" spans="1:11" x14ac:dyDescent="0.25">
      <c r="A737" t="e">
        <f>-LqeNk6k5JGnARqkxDsm</f>
        <v>#NAME?</v>
      </c>
      <c r="B737">
        <v>393.75</v>
      </c>
      <c r="C737">
        <v>20.531590000000001</v>
      </c>
      <c r="D737">
        <v>43</v>
      </c>
      <c r="E737">
        <v>0</v>
      </c>
      <c r="F737">
        <v>0</v>
      </c>
      <c r="G737">
        <v>1</v>
      </c>
      <c r="H737" s="4">
        <v>1570521677191</v>
      </c>
      <c r="I737">
        <v>526.6875</v>
      </c>
      <c r="J737" s="9">
        <f t="shared" si="11"/>
        <v>43746.625893414348</v>
      </c>
      <c r="K737" s="1"/>
    </row>
    <row r="738" spans="1:11" x14ac:dyDescent="0.25">
      <c r="A738" t="e">
        <f>-LqeNlup_h2R3HWzXQFh</f>
        <v>#NAME?</v>
      </c>
      <c r="B738">
        <v>393.75</v>
      </c>
      <c r="C738">
        <v>20.584240000000001</v>
      </c>
      <c r="D738">
        <v>39</v>
      </c>
      <c r="E738">
        <v>0</v>
      </c>
      <c r="F738">
        <v>0</v>
      </c>
      <c r="G738">
        <v>1</v>
      </c>
      <c r="H738" s="4">
        <v>1570521684401</v>
      </c>
      <c r="I738">
        <v>526.6875</v>
      </c>
      <c r="J738" s="9">
        <f t="shared" si="11"/>
        <v>43746.625976863426</v>
      </c>
      <c r="K738" s="1"/>
    </row>
    <row r="739" spans="1:11" x14ac:dyDescent="0.25">
      <c r="A739" t="e">
        <f>-LqeNndz2yIjy__8UhY9</f>
        <v>#NAME?</v>
      </c>
      <c r="B739">
        <v>393.75</v>
      </c>
      <c r="C739">
        <v>20.584240000000001</v>
      </c>
      <c r="D739">
        <v>40</v>
      </c>
      <c r="E739">
        <v>0</v>
      </c>
      <c r="F739">
        <v>0</v>
      </c>
      <c r="G739">
        <v>1</v>
      </c>
      <c r="H739" s="4">
        <v>1570521691591</v>
      </c>
      <c r="I739">
        <v>526.6875</v>
      </c>
      <c r="J739" s="9">
        <f t="shared" si="11"/>
        <v>43746.626060081013</v>
      </c>
      <c r="K739" s="1"/>
    </row>
    <row r="740" spans="1:11" x14ac:dyDescent="0.25">
      <c r="A740" t="e">
        <f>-LqeNpBk9-RE3Of24fOc</f>
        <v>#NAME?</v>
      </c>
      <c r="B740">
        <v>393.75</v>
      </c>
      <c r="C740">
        <v>20.584240000000001</v>
      </c>
      <c r="D740">
        <v>40</v>
      </c>
      <c r="E740">
        <v>0</v>
      </c>
      <c r="F740">
        <v>0</v>
      </c>
      <c r="G740">
        <v>1</v>
      </c>
      <c r="H740" s="4">
        <v>1570521697783</v>
      </c>
      <c r="I740">
        <v>526.6875</v>
      </c>
      <c r="J740" s="9">
        <f t="shared" si="11"/>
        <v>43746.626131747682</v>
      </c>
      <c r="K740" s="1"/>
    </row>
    <row r="741" spans="1:11" x14ac:dyDescent="0.25">
      <c r="A741" t="s">
        <v>47</v>
      </c>
      <c r="B741">
        <v>393.75</v>
      </c>
      <c r="C741">
        <v>20.584240000000001</v>
      </c>
      <c r="D741">
        <v>40</v>
      </c>
      <c r="E741">
        <v>0</v>
      </c>
      <c r="F741">
        <v>0</v>
      </c>
      <c r="G741">
        <v>1</v>
      </c>
      <c r="H741" s="4">
        <v>1570521705022</v>
      </c>
      <c r="I741">
        <v>526.6875</v>
      </c>
      <c r="J741" s="9">
        <f t="shared" si="11"/>
        <v>43746.6262155324</v>
      </c>
      <c r="K741" s="1"/>
    </row>
    <row r="742" spans="1:11" x14ac:dyDescent="0.25">
      <c r="A742" t="e">
        <f>-LqeNsdr6Q1Ti8zhJncl</f>
        <v>#NAME?</v>
      </c>
      <c r="B742">
        <v>393.75</v>
      </c>
      <c r="C742">
        <v>20.531590000000001</v>
      </c>
      <c r="D742">
        <v>40</v>
      </c>
      <c r="E742">
        <v>0</v>
      </c>
      <c r="F742">
        <v>0</v>
      </c>
      <c r="G742">
        <v>1</v>
      </c>
      <c r="H742" s="4">
        <v>1570521712222</v>
      </c>
      <c r="I742">
        <v>526.6875</v>
      </c>
      <c r="J742" s="9">
        <f t="shared" si="11"/>
        <v>43746.62629886574</v>
      </c>
      <c r="K742" s="1"/>
    </row>
    <row r="743" spans="1:11" x14ac:dyDescent="0.25">
      <c r="A743" t="e">
        <f>-LqeNuCW7yGzFuADaA2h</f>
        <v>#NAME?</v>
      </c>
      <c r="B743">
        <v>393.75</v>
      </c>
      <c r="C743">
        <v>20.584240000000001</v>
      </c>
      <c r="D743">
        <v>40</v>
      </c>
      <c r="E743">
        <v>0</v>
      </c>
      <c r="F743">
        <v>0</v>
      </c>
      <c r="G743">
        <v>1</v>
      </c>
      <c r="H743" s="4">
        <v>1570521718411</v>
      </c>
      <c r="I743">
        <v>526.6875</v>
      </c>
      <c r="J743" s="9">
        <f t="shared" si="11"/>
        <v>43746.626370497681</v>
      </c>
      <c r="K743" s="1"/>
    </row>
    <row r="744" spans="1:11" x14ac:dyDescent="0.25">
      <c r="A744" t="e">
        <f>-LqeNw20qwD07btOIrcp</f>
        <v>#NAME?</v>
      </c>
      <c r="B744">
        <v>393.75</v>
      </c>
      <c r="C744">
        <v>20.531590000000001</v>
      </c>
      <c r="D744">
        <v>40</v>
      </c>
      <c r="E744">
        <v>0</v>
      </c>
      <c r="F744">
        <v>0</v>
      </c>
      <c r="G744">
        <v>1</v>
      </c>
      <c r="H744" s="4">
        <v>1570521725622</v>
      </c>
      <c r="I744">
        <v>526.6875</v>
      </c>
      <c r="J744" s="9">
        <f t="shared" si="11"/>
        <v>43746.626453958328</v>
      </c>
      <c r="K744" s="1"/>
    </row>
    <row r="745" spans="1:11" x14ac:dyDescent="0.25">
      <c r="A745" t="s">
        <v>48</v>
      </c>
      <c r="B745">
        <v>412.5</v>
      </c>
      <c r="C745">
        <v>20.531590000000001</v>
      </c>
      <c r="D745">
        <v>39</v>
      </c>
      <c r="E745">
        <v>0</v>
      </c>
      <c r="F745">
        <v>0</v>
      </c>
      <c r="G745">
        <v>1</v>
      </c>
      <c r="H745" s="4">
        <v>1570521732849</v>
      </c>
      <c r="I745">
        <v>532.6875</v>
      </c>
      <c r="J745" s="9">
        <f t="shared" si="11"/>
        <v>43746.626537604163</v>
      </c>
      <c r="K745" s="1"/>
    </row>
    <row r="746" spans="1:11" x14ac:dyDescent="0.25">
      <c r="A746" t="e">
        <f>-LqeNzXkiojy5PNnw6oH</f>
        <v>#NAME?</v>
      </c>
      <c r="B746">
        <v>393.75</v>
      </c>
      <c r="C746">
        <v>20.584240000000001</v>
      </c>
      <c r="D746">
        <v>39</v>
      </c>
      <c r="E746">
        <v>0</v>
      </c>
      <c r="F746">
        <v>0</v>
      </c>
      <c r="G746">
        <v>1</v>
      </c>
      <c r="H746" s="4">
        <v>1570521740051</v>
      </c>
      <c r="I746">
        <v>526.6875</v>
      </c>
      <c r="J746" s="9">
        <f t="shared" si="11"/>
        <v>43746.626620960647</v>
      </c>
      <c r="K746" s="1"/>
    </row>
    <row r="747" spans="1:11" x14ac:dyDescent="0.25">
      <c r="A747" t="e">
        <f>-LqeO0DiZrYLb7VqCrZv</f>
        <v>#NAME?</v>
      </c>
      <c r="B747">
        <v>393.75</v>
      </c>
      <c r="C747">
        <v>20.584240000000001</v>
      </c>
      <c r="D747">
        <v>39</v>
      </c>
      <c r="E747">
        <v>0</v>
      </c>
      <c r="F747">
        <v>0</v>
      </c>
      <c r="G747">
        <v>1</v>
      </c>
      <c r="H747" s="4">
        <v>1570521747262</v>
      </c>
      <c r="I747">
        <v>526.6875</v>
      </c>
      <c r="J747" s="9">
        <f t="shared" si="11"/>
        <v>43746.626704421295</v>
      </c>
      <c r="K747" s="1"/>
    </row>
    <row r="748" spans="1:11" x14ac:dyDescent="0.25">
      <c r="A748" t="e">
        <f>-LqeO20v9nSlHViNQKY5</f>
        <v>#NAME?</v>
      </c>
      <c r="B748">
        <v>393.75</v>
      </c>
      <c r="C748">
        <v>20.584240000000001</v>
      </c>
      <c r="D748">
        <v>37</v>
      </c>
      <c r="E748">
        <v>0</v>
      </c>
      <c r="F748">
        <v>0</v>
      </c>
      <c r="G748">
        <v>1</v>
      </c>
      <c r="H748" s="4">
        <v>1570521754483</v>
      </c>
      <c r="I748">
        <v>526.6875</v>
      </c>
      <c r="J748" s="9">
        <f t="shared" si="11"/>
        <v>43746.626787997688</v>
      </c>
      <c r="K748" s="1"/>
    </row>
    <row r="749" spans="1:11" x14ac:dyDescent="0.25">
      <c r="A749" t="e">
        <f>-LqeO3l87wrwWHflHJGE</f>
        <v>#NAME?</v>
      </c>
      <c r="B749">
        <v>393.75</v>
      </c>
      <c r="C749">
        <v>20.531590000000001</v>
      </c>
      <c r="D749">
        <v>39</v>
      </c>
      <c r="E749">
        <v>0</v>
      </c>
      <c r="F749">
        <v>0</v>
      </c>
      <c r="G749">
        <v>1</v>
      </c>
      <c r="H749" s="4">
        <v>1570521761671</v>
      </c>
      <c r="I749">
        <v>526.6875</v>
      </c>
      <c r="J749" s="9">
        <f t="shared" si="11"/>
        <v>43746.626871192122</v>
      </c>
      <c r="K749" s="1"/>
    </row>
    <row r="750" spans="1:11" x14ac:dyDescent="0.25">
      <c r="A750" t="e">
        <f>-LqeO5IjQEwpy3Fy9kij</f>
        <v>#NAME?</v>
      </c>
      <c r="B750">
        <v>393.75</v>
      </c>
      <c r="C750">
        <v>20.531590000000001</v>
      </c>
      <c r="D750">
        <v>39</v>
      </c>
      <c r="E750">
        <v>0</v>
      </c>
      <c r="F750">
        <v>0</v>
      </c>
      <c r="G750">
        <v>1</v>
      </c>
      <c r="H750" s="4">
        <v>1570521767862</v>
      </c>
      <c r="I750">
        <v>526.6875</v>
      </c>
      <c r="J750" s="9">
        <f t="shared" si="11"/>
        <v>43746.626942847222</v>
      </c>
      <c r="K750" s="1"/>
    </row>
    <row r="751" spans="1:11" x14ac:dyDescent="0.25">
      <c r="A751" t="e">
        <f>-LqeO70k8KNT9sV7BFw9</f>
        <v>#NAME?</v>
      </c>
      <c r="B751">
        <v>393.75</v>
      </c>
      <c r="C751">
        <v>20.584240000000001</v>
      </c>
      <c r="D751">
        <v>40</v>
      </c>
      <c r="E751">
        <v>0</v>
      </c>
      <c r="F751">
        <v>0</v>
      </c>
      <c r="G751">
        <v>1</v>
      </c>
      <c r="H751" s="4">
        <v>1570521775111</v>
      </c>
      <c r="I751">
        <v>526.6875</v>
      </c>
      <c r="J751" s="9">
        <f t="shared" si="11"/>
        <v>43746.627026747687</v>
      </c>
      <c r="K751" s="1"/>
    </row>
    <row r="752" spans="1:11" x14ac:dyDescent="0.25">
      <c r="A752" t="e">
        <f>-LqeO8obY0SyVJSxoUtq</f>
        <v>#NAME?</v>
      </c>
      <c r="B752">
        <v>393.75</v>
      </c>
      <c r="C752">
        <v>20.584240000000001</v>
      </c>
      <c r="D752">
        <v>40</v>
      </c>
      <c r="E752">
        <v>0</v>
      </c>
      <c r="F752">
        <v>0</v>
      </c>
      <c r="G752">
        <v>1</v>
      </c>
      <c r="H752" s="4">
        <v>1570521782311</v>
      </c>
      <c r="I752">
        <v>526.6875</v>
      </c>
      <c r="J752" s="9">
        <f t="shared" si="11"/>
        <v>43746.627110081019</v>
      </c>
      <c r="K752" s="1"/>
    </row>
    <row r="753" spans="1:11" x14ac:dyDescent="0.25">
      <c r="A753" t="e">
        <f>-LqeOAXj6u3pLLCecFcD</f>
        <v>#NAME?</v>
      </c>
      <c r="B753">
        <v>393.75</v>
      </c>
      <c r="C753">
        <v>20.584240000000001</v>
      </c>
      <c r="D753">
        <v>41</v>
      </c>
      <c r="E753">
        <v>0</v>
      </c>
      <c r="F753">
        <v>0</v>
      </c>
      <c r="G753">
        <v>1</v>
      </c>
      <c r="H753" s="4">
        <v>1570521789510</v>
      </c>
      <c r="I753">
        <v>526.6875</v>
      </c>
      <c r="J753" s="9">
        <f t="shared" si="11"/>
        <v>43746.627193402775</v>
      </c>
      <c r="K753" s="1"/>
    </row>
    <row r="754" spans="1:11" x14ac:dyDescent="0.25">
      <c r="A754" t="e">
        <f>-LqeOC79L4cKaHGyABNi</f>
        <v>#NAME?</v>
      </c>
      <c r="B754">
        <v>393.75</v>
      </c>
      <c r="C754">
        <v>20.531590000000001</v>
      </c>
      <c r="D754">
        <v>41</v>
      </c>
      <c r="E754">
        <v>0</v>
      </c>
      <c r="F754">
        <v>0</v>
      </c>
      <c r="G754">
        <v>1</v>
      </c>
      <c r="H754" s="4">
        <v>1570521795702</v>
      </c>
      <c r="I754">
        <v>526.6875</v>
      </c>
      <c r="J754" s="9">
        <f t="shared" si="11"/>
        <v>43746.627265069437</v>
      </c>
      <c r="K754" s="1"/>
    </row>
    <row r="755" spans="1:11" x14ac:dyDescent="0.25">
      <c r="A755" t="e">
        <f>-LqeODq05y8ld3geevkz</f>
        <v>#NAME?</v>
      </c>
      <c r="B755">
        <v>393.75</v>
      </c>
      <c r="C755">
        <v>20.531590000000001</v>
      </c>
      <c r="D755">
        <v>42</v>
      </c>
      <c r="E755">
        <v>0</v>
      </c>
      <c r="F755">
        <v>0</v>
      </c>
      <c r="G755">
        <v>1</v>
      </c>
      <c r="H755" s="4">
        <v>1570521802921</v>
      </c>
      <c r="I755">
        <v>526.6875</v>
      </c>
      <c r="J755" s="9">
        <f t="shared" si="11"/>
        <v>43746.627348622678</v>
      </c>
      <c r="K755" s="1"/>
    </row>
    <row r="756" spans="1:11" x14ac:dyDescent="0.25">
      <c r="A756" t="e">
        <f>-LqeOFIkMBOJ-KMWqXHY</f>
        <v>#NAME?</v>
      </c>
      <c r="B756">
        <v>393.75</v>
      </c>
      <c r="C756">
        <v>20.531590000000001</v>
      </c>
      <c r="D756">
        <v>43</v>
      </c>
      <c r="E756">
        <v>0</v>
      </c>
      <c r="F756">
        <v>0</v>
      </c>
      <c r="G756">
        <v>1</v>
      </c>
      <c r="H756" s="4">
        <v>1570521809111</v>
      </c>
      <c r="I756">
        <v>526.6875</v>
      </c>
      <c r="J756" s="9">
        <f t="shared" si="11"/>
        <v>43746.627420266203</v>
      </c>
      <c r="K756" s="1"/>
    </row>
    <row r="757" spans="1:11" x14ac:dyDescent="0.25">
      <c r="A757" t="e">
        <f>-LqeOGt1f92rkwwJVn_Y</f>
        <v>#NAME?</v>
      </c>
      <c r="B757">
        <v>393.75</v>
      </c>
      <c r="C757">
        <v>20.531590000000001</v>
      </c>
      <c r="D757">
        <v>43</v>
      </c>
      <c r="E757">
        <v>0</v>
      </c>
      <c r="F757">
        <v>0</v>
      </c>
      <c r="G757">
        <v>1</v>
      </c>
      <c r="H757" s="4">
        <v>1570521815282</v>
      </c>
      <c r="I757">
        <v>526.6875</v>
      </c>
      <c r="J757" s="9">
        <f t="shared" si="11"/>
        <v>43746.627491689811</v>
      </c>
      <c r="K757" s="1"/>
    </row>
    <row r="758" spans="1:11" x14ac:dyDescent="0.25">
      <c r="A758" t="e">
        <f>-LqeOI_lt-OPO7FcmhCT</f>
        <v>#NAME?</v>
      </c>
      <c r="B758">
        <v>393.75</v>
      </c>
      <c r="C758">
        <v>20.584240000000001</v>
      </c>
      <c r="D758">
        <v>42</v>
      </c>
      <c r="E758">
        <v>0</v>
      </c>
      <c r="F758">
        <v>0</v>
      </c>
      <c r="G758">
        <v>1</v>
      </c>
      <c r="H758" s="4">
        <v>1570521822481</v>
      </c>
      <c r="I758">
        <v>526.6875</v>
      </c>
      <c r="J758" s="9">
        <f t="shared" si="11"/>
        <v>43746.627575011567</v>
      </c>
      <c r="K758" s="1"/>
    </row>
    <row r="759" spans="1:11" x14ac:dyDescent="0.25">
      <c r="A759" t="e">
        <f>-LqeOKA1o2-B1CAWqLLO</f>
        <v>#NAME?</v>
      </c>
      <c r="B759">
        <v>393.75</v>
      </c>
      <c r="C759">
        <v>20.531590000000001</v>
      </c>
      <c r="D759">
        <v>42</v>
      </c>
      <c r="E759">
        <v>0</v>
      </c>
      <c r="F759">
        <v>0</v>
      </c>
      <c r="G759">
        <v>1</v>
      </c>
      <c r="H759" s="4">
        <v>1570521828661</v>
      </c>
      <c r="I759">
        <v>526.6875</v>
      </c>
      <c r="J759" s="9">
        <f t="shared" si="11"/>
        <v>43746.627646539353</v>
      </c>
      <c r="K759" s="1"/>
    </row>
    <row r="760" spans="1:11" x14ac:dyDescent="0.25">
      <c r="A760" t="e">
        <f>-LqeOTO1crlZMiQ3C3pJ</f>
        <v>#NAME?</v>
      </c>
      <c r="B760">
        <v>393.75</v>
      </c>
      <c r="C760">
        <v>20.531590000000001</v>
      </c>
      <c r="D760">
        <v>44</v>
      </c>
      <c r="E760">
        <v>0</v>
      </c>
      <c r="F760">
        <v>0</v>
      </c>
      <c r="G760">
        <v>0</v>
      </c>
      <c r="H760" s="4">
        <v>1570521866606</v>
      </c>
      <c r="I760">
        <v>526.6875</v>
      </c>
      <c r="J760" s="9">
        <f t="shared" si="11"/>
        <v>43746.628085717595</v>
      </c>
      <c r="K760" s="1"/>
    </row>
    <row r="761" spans="1:11" x14ac:dyDescent="0.25">
      <c r="A761" t="e">
        <f>-LqeOV4pXqMmaGBp7nx9</f>
        <v>#NAME?</v>
      </c>
      <c r="B761">
        <v>412.5</v>
      </c>
      <c r="C761">
        <v>20.584240000000001</v>
      </c>
      <c r="D761">
        <v>43</v>
      </c>
      <c r="E761">
        <v>0</v>
      </c>
      <c r="F761">
        <v>0</v>
      </c>
      <c r="G761">
        <v>0</v>
      </c>
      <c r="H761" s="4">
        <v>1570521873634</v>
      </c>
      <c r="I761">
        <v>532.3125</v>
      </c>
      <c r="J761" s="9">
        <f t="shared" si="11"/>
        <v>43746.628167060182</v>
      </c>
      <c r="K761" s="1"/>
    </row>
    <row r="762" spans="1:11" x14ac:dyDescent="0.25">
      <c r="A762" t="e">
        <f>-LqeOWu2TtKuc28OOcFo</f>
        <v>#NAME?</v>
      </c>
      <c r="B762">
        <v>393.75</v>
      </c>
      <c r="C762">
        <v>20.584240000000001</v>
      </c>
      <c r="D762">
        <v>42</v>
      </c>
      <c r="E762">
        <v>0</v>
      </c>
      <c r="F762">
        <v>0</v>
      </c>
      <c r="G762">
        <v>0</v>
      </c>
      <c r="H762" s="4">
        <v>1570521880855</v>
      </c>
      <c r="I762">
        <v>526.6875</v>
      </c>
      <c r="J762" s="9">
        <f t="shared" si="11"/>
        <v>43746.628250636575</v>
      </c>
      <c r="K762" s="1"/>
    </row>
    <row r="763" spans="1:11" x14ac:dyDescent="0.25">
      <c r="A763" t="e">
        <f>-LqeOYc2mliprfXdrYSQ</f>
        <v>#NAME?</v>
      </c>
      <c r="B763">
        <v>393.75</v>
      </c>
      <c r="C763">
        <v>20.531590000000001</v>
      </c>
      <c r="D763">
        <v>41</v>
      </c>
      <c r="E763">
        <v>0</v>
      </c>
      <c r="F763">
        <v>0</v>
      </c>
      <c r="G763">
        <v>0</v>
      </c>
      <c r="H763" s="4">
        <v>1570521888075</v>
      </c>
      <c r="I763">
        <v>526.6875</v>
      </c>
      <c r="J763" s="9">
        <f t="shared" si="11"/>
        <v>43746.628334201385</v>
      </c>
      <c r="K763" s="1"/>
    </row>
    <row r="764" spans="1:11" x14ac:dyDescent="0.25">
      <c r="A764" t="e">
        <f>-LqeO_Q1mIoz84ULbzAI</f>
        <v>#NAME?</v>
      </c>
      <c r="B764">
        <v>393.75</v>
      </c>
      <c r="C764">
        <v>20.584240000000001</v>
      </c>
      <c r="D764">
        <v>42</v>
      </c>
      <c r="E764">
        <v>0</v>
      </c>
      <c r="F764">
        <v>0</v>
      </c>
      <c r="G764">
        <v>0</v>
      </c>
      <c r="H764" s="4">
        <v>1570521895284</v>
      </c>
      <c r="I764">
        <v>526.6875</v>
      </c>
      <c r="J764" s="9">
        <f t="shared" si="11"/>
        <v>43746.628417638887</v>
      </c>
      <c r="K764" s="1"/>
    </row>
    <row r="765" spans="1:11" x14ac:dyDescent="0.25">
      <c r="A765" t="e">
        <f>-LqeOb6pk4qrbcufmidk</f>
        <v>#NAME?</v>
      </c>
      <c r="B765">
        <v>393.75</v>
      </c>
      <c r="C765">
        <v>20.531590000000001</v>
      </c>
      <c r="D765">
        <v>42</v>
      </c>
      <c r="E765">
        <v>0</v>
      </c>
      <c r="F765">
        <v>0</v>
      </c>
      <c r="G765">
        <v>0</v>
      </c>
      <c r="H765" s="4">
        <v>1570521902476</v>
      </c>
      <c r="I765">
        <v>526.5</v>
      </c>
      <c r="J765" s="9">
        <f t="shared" si="11"/>
        <v>43746.628500879626</v>
      </c>
      <c r="K765" s="1"/>
    </row>
    <row r="766" spans="1:11" x14ac:dyDescent="0.25">
      <c r="A766" t="e">
        <f>-LqeOcg69f5L3Ys8xKmo</f>
        <v>#NAME?</v>
      </c>
      <c r="B766">
        <v>393.75</v>
      </c>
      <c r="C766">
        <v>20.531590000000001</v>
      </c>
      <c r="D766">
        <v>42</v>
      </c>
      <c r="E766">
        <v>0</v>
      </c>
      <c r="F766">
        <v>0</v>
      </c>
      <c r="G766">
        <v>0</v>
      </c>
      <c r="H766" s="4">
        <v>1570521908665</v>
      </c>
      <c r="I766">
        <v>526.6875</v>
      </c>
      <c r="J766" s="9">
        <f t="shared" si="11"/>
        <v>43746.628572511567</v>
      </c>
      <c r="K766" s="1"/>
    </row>
    <row r="767" spans="1:11" x14ac:dyDescent="0.25">
      <c r="A767" t="e">
        <f>-LqeOeQ24LlOUN1gH0Be</f>
        <v>#NAME?</v>
      </c>
      <c r="B767">
        <v>393.75</v>
      </c>
      <c r="C767">
        <v>20.584240000000001</v>
      </c>
      <c r="D767">
        <v>41</v>
      </c>
      <c r="E767">
        <v>0</v>
      </c>
      <c r="F767">
        <v>0</v>
      </c>
      <c r="G767">
        <v>0</v>
      </c>
      <c r="H767" s="4">
        <v>1570521915895</v>
      </c>
      <c r="I767">
        <v>526.6875</v>
      </c>
      <c r="J767" s="9">
        <f t="shared" si="11"/>
        <v>43746.628656192122</v>
      </c>
      <c r="K767" s="1"/>
    </row>
    <row r="768" spans="1:11" x14ac:dyDescent="0.25">
      <c r="A768" t="e">
        <f>-LqeOgBv_XXmAOIQzJ8h</f>
        <v>#NAME?</v>
      </c>
      <c r="B768">
        <v>393.75</v>
      </c>
      <c r="C768">
        <v>20.584240000000001</v>
      </c>
      <c r="D768">
        <v>39</v>
      </c>
      <c r="E768">
        <v>0</v>
      </c>
      <c r="F768">
        <v>0</v>
      </c>
      <c r="G768">
        <v>0</v>
      </c>
      <c r="H768" s="4">
        <v>1570521923105</v>
      </c>
      <c r="I768">
        <v>526.6875</v>
      </c>
      <c r="J768" s="9">
        <f t="shared" si="11"/>
        <v>43746.628739641201</v>
      </c>
      <c r="K768" s="1"/>
    </row>
    <row r="769" spans="1:11" x14ac:dyDescent="0.25">
      <c r="A769" t="e">
        <f>-LqeOhvtUTNpV08F0UNz</f>
        <v>#NAME?</v>
      </c>
      <c r="B769">
        <v>393.75</v>
      </c>
      <c r="C769">
        <v>20.531590000000001</v>
      </c>
      <c r="D769">
        <v>42</v>
      </c>
      <c r="E769">
        <v>0</v>
      </c>
      <c r="F769">
        <v>0</v>
      </c>
      <c r="G769">
        <v>0</v>
      </c>
      <c r="H769" s="4">
        <v>1570521930305</v>
      </c>
      <c r="I769">
        <v>526.6875</v>
      </c>
      <c r="J769" s="9">
        <f t="shared" si="11"/>
        <v>43746.628822974533</v>
      </c>
      <c r="K769" s="1"/>
    </row>
    <row r="770" spans="1:11" x14ac:dyDescent="0.25">
      <c r="A770" t="e">
        <f>-LqeOjUks0d_vDfAJ82c</f>
        <v>#NAME?</v>
      </c>
      <c r="B770">
        <v>393.75</v>
      </c>
      <c r="C770">
        <v>20.531590000000001</v>
      </c>
      <c r="D770">
        <v>42</v>
      </c>
      <c r="E770">
        <v>0</v>
      </c>
      <c r="F770">
        <v>0</v>
      </c>
      <c r="G770">
        <v>0</v>
      </c>
      <c r="H770" s="4">
        <v>1570521936505</v>
      </c>
      <c r="I770">
        <v>526.5</v>
      </c>
      <c r="J770" s="9">
        <f t="shared" si="11"/>
        <v>43746.628894733796</v>
      </c>
      <c r="K770" s="1"/>
    </row>
    <row r="771" spans="1:11" x14ac:dyDescent="0.25">
      <c r="A771" t="e">
        <f>-LqeOlWbOMyyznWbm8aw</f>
        <v>#NAME?</v>
      </c>
      <c r="B771">
        <v>393.75</v>
      </c>
      <c r="C771">
        <v>20.584240000000001</v>
      </c>
      <c r="D771">
        <v>41</v>
      </c>
      <c r="E771">
        <v>0</v>
      </c>
      <c r="F771">
        <v>0</v>
      </c>
      <c r="G771">
        <v>0</v>
      </c>
      <c r="H771" s="4">
        <v>1570521945010</v>
      </c>
      <c r="I771">
        <v>526.6875</v>
      </c>
      <c r="J771" s="9">
        <f t="shared" ref="J771:J834" si="12">(H771/86400000)+25569+(7/24)</f>
        <v>43746.628993171289</v>
      </c>
      <c r="K771" s="1"/>
    </row>
    <row r="772" spans="1:11" x14ac:dyDescent="0.25">
      <c r="A772" t="e">
        <f>-LqeOnFDpIEp3WhY97_m</f>
        <v>#NAME?</v>
      </c>
      <c r="B772">
        <v>393.75</v>
      </c>
      <c r="C772">
        <v>20.531590000000001</v>
      </c>
      <c r="D772">
        <v>41</v>
      </c>
      <c r="E772">
        <v>0</v>
      </c>
      <c r="F772">
        <v>0</v>
      </c>
      <c r="G772">
        <v>0</v>
      </c>
      <c r="H772" s="4">
        <v>1570521951965</v>
      </c>
      <c r="I772">
        <v>526.6875</v>
      </c>
      <c r="J772" s="9">
        <f t="shared" si="12"/>
        <v>43746.629073668977</v>
      </c>
      <c r="K772" s="1"/>
    </row>
    <row r="773" spans="1:11" x14ac:dyDescent="0.25">
      <c r="A773" t="e">
        <f>-LqeOox5H-pxdCt5AiNq</f>
        <v>#NAME?</v>
      </c>
      <c r="B773">
        <v>412.5</v>
      </c>
      <c r="C773">
        <v>20.584240000000001</v>
      </c>
      <c r="D773">
        <v>42</v>
      </c>
      <c r="E773">
        <v>0</v>
      </c>
      <c r="F773">
        <v>0</v>
      </c>
      <c r="G773">
        <v>0</v>
      </c>
      <c r="H773" s="4">
        <v>1570521959194</v>
      </c>
      <c r="I773">
        <v>532.5</v>
      </c>
      <c r="J773" s="9">
        <f t="shared" si="12"/>
        <v>43746.629157337964</v>
      </c>
      <c r="K773" s="1"/>
    </row>
    <row r="774" spans="1:11" x14ac:dyDescent="0.25">
      <c r="A774" t="e">
        <f>-LqeOqWuwIHNlHPuyCPz</f>
        <v>#NAME?</v>
      </c>
      <c r="B774">
        <v>393.75</v>
      </c>
      <c r="C774">
        <v>20.531590000000001</v>
      </c>
      <c r="D774">
        <v>43</v>
      </c>
      <c r="E774">
        <v>0</v>
      </c>
      <c r="F774">
        <v>0</v>
      </c>
      <c r="G774">
        <v>0</v>
      </c>
      <c r="H774" s="4">
        <v>1570521965366</v>
      </c>
      <c r="I774">
        <v>526.6875</v>
      </c>
      <c r="J774" s="9">
        <f t="shared" si="12"/>
        <v>43746.629228773141</v>
      </c>
      <c r="K774" s="1"/>
    </row>
    <row r="775" spans="1:11" x14ac:dyDescent="0.25">
      <c r="A775" t="e">
        <f>-LqeOsF2iBRcZMWniUch</f>
        <v>#NAME?</v>
      </c>
      <c r="B775">
        <v>393.75</v>
      </c>
      <c r="C775">
        <v>20.531590000000001</v>
      </c>
      <c r="D775">
        <v>43</v>
      </c>
      <c r="E775">
        <v>0</v>
      </c>
      <c r="F775">
        <v>0</v>
      </c>
      <c r="G775">
        <v>0</v>
      </c>
      <c r="H775" s="4">
        <v>1570521972556</v>
      </c>
      <c r="I775">
        <v>526.6875</v>
      </c>
      <c r="J775" s="9">
        <f t="shared" si="12"/>
        <v>43746.629311990742</v>
      </c>
      <c r="K775" s="1"/>
    </row>
    <row r="776" spans="1:11" x14ac:dyDescent="0.25">
      <c r="A776" t="e">
        <f>-LqeOto2ZSwMovSiuDDf</f>
        <v>#NAME?</v>
      </c>
      <c r="B776">
        <v>393.75</v>
      </c>
      <c r="C776">
        <v>20.584240000000001</v>
      </c>
      <c r="D776">
        <v>43</v>
      </c>
      <c r="E776">
        <v>0</v>
      </c>
      <c r="F776">
        <v>0</v>
      </c>
      <c r="G776">
        <v>0</v>
      </c>
      <c r="H776" s="4">
        <v>1570521978745</v>
      </c>
      <c r="I776">
        <v>526.6875</v>
      </c>
      <c r="J776" s="9">
        <f t="shared" si="12"/>
        <v>43746.629383622683</v>
      </c>
      <c r="K776" s="1"/>
    </row>
    <row r="777" spans="1:11" x14ac:dyDescent="0.25">
      <c r="A777" t="e">
        <f>-LqeOvX0H5Z1-MsCjOP6</f>
        <v>#NAME?</v>
      </c>
      <c r="B777">
        <v>393.75</v>
      </c>
      <c r="C777">
        <v>20.584240000000001</v>
      </c>
      <c r="D777">
        <v>41</v>
      </c>
      <c r="E777">
        <v>0</v>
      </c>
      <c r="F777">
        <v>0</v>
      </c>
      <c r="G777">
        <v>0</v>
      </c>
      <c r="H777" s="4">
        <v>1570521985985</v>
      </c>
      <c r="I777">
        <v>526.6875</v>
      </c>
      <c r="J777" s="9">
        <f t="shared" si="12"/>
        <v>43746.629467418978</v>
      </c>
      <c r="K777" s="1"/>
    </row>
    <row r="778" spans="1:11" x14ac:dyDescent="0.25">
      <c r="A778" t="s">
        <v>49</v>
      </c>
      <c r="B778">
        <v>393.75</v>
      </c>
      <c r="C778">
        <v>20.531590000000001</v>
      </c>
      <c r="D778">
        <v>41</v>
      </c>
      <c r="E778">
        <v>0</v>
      </c>
      <c r="F778">
        <v>0</v>
      </c>
      <c r="G778">
        <v>0</v>
      </c>
      <c r="H778" s="4">
        <v>1570521993195</v>
      </c>
      <c r="I778">
        <v>526.6875</v>
      </c>
      <c r="J778" s="9">
        <f t="shared" si="12"/>
        <v>43746.629550868056</v>
      </c>
      <c r="K778" s="1"/>
    </row>
    <row r="779" spans="1:11" x14ac:dyDescent="0.25">
      <c r="A779" t="e">
        <f>-LqeOz1vzxk3gPLHwzTc</f>
        <v>#NAME?</v>
      </c>
      <c r="B779">
        <v>393.75</v>
      </c>
      <c r="C779">
        <v>20.531590000000001</v>
      </c>
      <c r="D779">
        <v>41</v>
      </c>
      <c r="E779">
        <v>0</v>
      </c>
      <c r="F779">
        <v>0</v>
      </c>
      <c r="G779">
        <v>0</v>
      </c>
      <c r="H779" s="4">
        <v>1570522000385</v>
      </c>
      <c r="I779">
        <v>526.6875</v>
      </c>
      <c r="J779" s="9">
        <f t="shared" si="12"/>
        <v>43746.629634085642</v>
      </c>
      <c r="K779" s="1"/>
    </row>
    <row r="780" spans="1:11" x14ac:dyDescent="0.25">
      <c r="A780" t="e">
        <f>-LqeP-bALtTU_JswOSf3</f>
        <v>#NAME?</v>
      </c>
      <c r="B780">
        <v>393.75</v>
      </c>
      <c r="C780">
        <v>20.584240000000001</v>
      </c>
      <c r="D780">
        <v>41</v>
      </c>
      <c r="E780">
        <v>0</v>
      </c>
      <c r="F780">
        <v>0</v>
      </c>
      <c r="G780">
        <v>0</v>
      </c>
      <c r="H780" s="4">
        <v>1570522006575</v>
      </c>
      <c r="I780">
        <v>526.6875</v>
      </c>
      <c r="J780" s="9">
        <f t="shared" si="12"/>
        <v>43746.629705729159</v>
      </c>
      <c r="K780" s="1"/>
    </row>
    <row r="781" spans="1:11" x14ac:dyDescent="0.25">
      <c r="A781" t="e">
        <f>-LqeP1J6KbvhN2RbmzIA</f>
        <v>#NAME?</v>
      </c>
      <c r="B781">
        <v>393.75</v>
      </c>
      <c r="C781">
        <v>20.584240000000001</v>
      </c>
      <c r="D781">
        <v>42</v>
      </c>
      <c r="E781">
        <v>0</v>
      </c>
      <c r="F781">
        <v>0</v>
      </c>
      <c r="G781">
        <v>0</v>
      </c>
      <c r="H781" s="4">
        <v>1570522013805</v>
      </c>
      <c r="I781">
        <v>526.6875</v>
      </c>
      <c r="J781" s="9">
        <f t="shared" si="12"/>
        <v>43746.629789409715</v>
      </c>
      <c r="K781" s="1"/>
    </row>
    <row r="782" spans="1:11" x14ac:dyDescent="0.25">
      <c r="A782" t="e">
        <f>-LqeP374v4EOpmNEnZQj</f>
        <v>#NAME?</v>
      </c>
      <c r="B782">
        <v>393.75</v>
      </c>
      <c r="C782">
        <v>20.584240000000001</v>
      </c>
      <c r="D782">
        <v>42</v>
      </c>
      <c r="E782">
        <v>0</v>
      </c>
      <c r="F782">
        <v>0</v>
      </c>
      <c r="G782">
        <v>0</v>
      </c>
      <c r="H782" s="4">
        <v>1570522021014</v>
      </c>
      <c r="I782">
        <v>526.6875</v>
      </c>
      <c r="J782" s="9">
        <f t="shared" si="12"/>
        <v>43746.629872847225</v>
      </c>
      <c r="K782" s="1"/>
    </row>
    <row r="783" spans="1:11" x14ac:dyDescent="0.25">
      <c r="A783" t="e">
        <f>-LqeP4q2kJ4FcvNrsfCz</f>
        <v>#NAME?</v>
      </c>
      <c r="B783">
        <v>393.75</v>
      </c>
      <c r="C783">
        <v>20.531590000000001</v>
      </c>
      <c r="D783">
        <v>41</v>
      </c>
      <c r="E783">
        <v>0</v>
      </c>
      <c r="F783">
        <v>0</v>
      </c>
      <c r="G783">
        <v>0</v>
      </c>
      <c r="H783" s="4">
        <v>1570522028224</v>
      </c>
      <c r="I783">
        <v>526.6875</v>
      </c>
      <c r="J783" s="9">
        <f t="shared" si="12"/>
        <v>43746.629956296289</v>
      </c>
      <c r="K783" s="1"/>
    </row>
    <row r="784" spans="1:11" x14ac:dyDescent="0.25">
      <c r="A784" t="e">
        <f>-LqeP6byn5BgJYOxTiY5</f>
        <v>#NAME?</v>
      </c>
      <c r="B784">
        <v>393.75</v>
      </c>
      <c r="C784">
        <v>20.531590000000001</v>
      </c>
      <c r="D784">
        <v>38</v>
      </c>
      <c r="E784">
        <v>0</v>
      </c>
      <c r="F784">
        <v>0</v>
      </c>
      <c r="G784">
        <v>0</v>
      </c>
      <c r="H784" s="4">
        <v>1570522035447</v>
      </c>
      <c r="I784">
        <v>526.6875</v>
      </c>
      <c r="J784" s="9">
        <f t="shared" si="12"/>
        <v>43746.630039895834</v>
      </c>
      <c r="K784" s="1"/>
    </row>
    <row r="785" spans="1:11" x14ac:dyDescent="0.25">
      <c r="A785" t="e">
        <f>-LqeP8Lu3jLQRxz7-WEb</f>
        <v>#NAME?</v>
      </c>
      <c r="B785">
        <v>393.75</v>
      </c>
      <c r="C785">
        <v>20.584240000000001</v>
      </c>
      <c r="D785">
        <v>40</v>
      </c>
      <c r="E785">
        <v>0</v>
      </c>
      <c r="F785">
        <v>0</v>
      </c>
      <c r="G785">
        <v>0</v>
      </c>
      <c r="H785" s="4">
        <v>1570522042636</v>
      </c>
      <c r="I785">
        <v>526.6875</v>
      </c>
      <c r="J785" s="9">
        <f t="shared" si="12"/>
        <v>43746.630123101851</v>
      </c>
      <c r="K785" s="1"/>
    </row>
    <row r="786" spans="1:11" x14ac:dyDescent="0.25">
      <c r="A786" t="e">
        <f>-LqeP9v23wjsqp8Ywjco</f>
        <v>#NAME?</v>
      </c>
      <c r="B786">
        <v>412.5</v>
      </c>
      <c r="C786">
        <v>20.584240000000001</v>
      </c>
      <c r="D786">
        <v>40</v>
      </c>
      <c r="E786">
        <v>0</v>
      </c>
      <c r="F786">
        <v>0</v>
      </c>
      <c r="G786">
        <v>0</v>
      </c>
      <c r="H786" s="4">
        <v>1570522048826</v>
      </c>
      <c r="I786">
        <v>532.3125</v>
      </c>
      <c r="J786" s="9">
        <f t="shared" si="12"/>
        <v>43746.630194745368</v>
      </c>
      <c r="K786" s="1"/>
    </row>
    <row r="787" spans="1:11" x14ac:dyDescent="0.25">
      <c r="A787" t="e">
        <f>-LqePBd19N6GhDivboNP</f>
        <v>#NAME?</v>
      </c>
      <c r="B787">
        <v>393.75</v>
      </c>
      <c r="C787">
        <v>20.531590000000001</v>
      </c>
      <c r="D787">
        <v>37</v>
      </c>
      <c r="E787">
        <v>0</v>
      </c>
      <c r="F787">
        <v>0</v>
      </c>
      <c r="G787">
        <v>0</v>
      </c>
      <c r="H787" s="4">
        <v>1570522056075</v>
      </c>
      <c r="I787">
        <v>526.6875</v>
      </c>
      <c r="J787" s="9">
        <f t="shared" si="12"/>
        <v>43746.630278645833</v>
      </c>
      <c r="K787" s="1"/>
    </row>
    <row r="788" spans="1:11" x14ac:dyDescent="0.25">
      <c r="A788" t="e">
        <f>-LqePD87jF09phgImL2F</f>
        <v>#NAME?</v>
      </c>
      <c r="B788">
        <v>393.75</v>
      </c>
      <c r="C788">
        <v>20.531590000000001</v>
      </c>
      <c r="D788">
        <v>37</v>
      </c>
      <c r="E788">
        <v>0</v>
      </c>
      <c r="F788">
        <v>0</v>
      </c>
      <c r="G788">
        <v>0</v>
      </c>
      <c r="H788" s="4">
        <v>1570522062235</v>
      </c>
      <c r="I788">
        <v>526.6875</v>
      </c>
      <c r="J788" s="9">
        <f t="shared" si="12"/>
        <v>43746.630349942126</v>
      </c>
      <c r="K788" s="1"/>
    </row>
    <row r="789" spans="1:11" x14ac:dyDescent="0.25">
      <c r="A789" t="e">
        <f>-LqePEg3LZurfbV8mmWR</f>
        <v>#NAME?</v>
      </c>
      <c r="B789">
        <v>393.75</v>
      </c>
      <c r="C789">
        <v>20.584240000000001</v>
      </c>
      <c r="D789">
        <v>37</v>
      </c>
      <c r="E789">
        <v>0</v>
      </c>
      <c r="F789">
        <v>0</v>
      </c>
      <c r="G789">
        <v>0</v>
      </c>
      <c r="H789" s="4">
        <v>1570522068414</v>
      </c>
      <c r="I789">
        <v>526.6875</v>
      </c>
      <c r="J789" s="9">
        <f t="shared" si="12"/>
        <v>43746.630421458329</v>
      </c>
      <c r="K789" s="1"/>
    </row>
    <row r="790" spans="1:11" x14ac:dyDescent="0.25">
      <c r="A790" t="s">
        <v>50</v>
      </c>
      <c r="B790">
        <v>393.75</v>
      </c>
      <c r="C790">
        <v>20.584240000000001</v>
      </c>
      <c r="D790">
        <v>37</v>
      </c>
      <c r="E790">
        <v>0</v>
      </c>
      <c r="F790">
        <v>0</v>
      </c>
      <c r="G790">
        <v>0</v>
      </c>
      <c r="H790" s="4">
        <v>1570522075605</v>
      </c>
      <c r="I790">
        <v>526.6875</v>
      </c>
      <c r="J790" s="9">
        <f t="shared" si="12"/>
        <v>43746.630504687499</v>
      </c>
      <c r="K790" s="1"/>
    </row>
    <row r="791" spans="1:11" x14ac:dyDescent="0.25">
      <c r="A791" t="e">
        <f>-LqePHy34xNDysxGKKhs</f>
        <v>#NAME?</v>
      </c>
      <c r="B791">
        <v>393.75</v>
      </c>
      <c r="C791">
        <v>20.531590000000001</v>
      </c>
      <c r="D791">
        <v>37</v>
      </c>
      <c r="E791">
        <v>0</v>
      </c>
      <c r="F791">
        <v>0</v>
      </c>
      <c r="G791">
        <v>0</v>
      </c>
      <c r="H791" s="4">
        <v>1570522081794</v>
      </c>
      <c r="I791">
        <v>526.6875</v>
      </c>
      <c r="J791" s="9">
        <f t="shared" si="12"/>
        <v>43746.630576319447</v>
      </c>
      <c r="K791" s="1"/>
    </row>
    <row r="792" spans="1:11" x14ac:dyDescent="0.25">
      <c r="A792" t="e">
        <f>-LqePJfsEznthu5TWLnv</f>
        <v>#NAME?</v>
      </c>
      <c r="B792">
        <v>393.75</v>
      </c>
      <c r="C792">
        <v>20.584240000000001</v>
      </c>
      <c r="D792">
        <v>40</v>
      </c>
      <c r="E792">
        <v>0</v>
      </c>
      <c r="F792">
        <v>0</v>
      </c>
      <c r="G792">
        <v>0</v>
      </c>
      <c r="H792" s="4">
        <v>1570522089026</v>
      </c>
      <c r="I792">
        <v>526.6875</v>
      </c>
      <c r="J792" s="9">
        <f t="shared" si="12"/>
        <v>43746.630660023147</v>
      </c>
      <c r="K792" s="1"/>
    </row>
    <row r="793" spans="1:11" x14ac:dyDescent="0.25">
      <c r="A793" t="e">
        <f>-LqePLlVATTsea234MFU</f>
        <v>#NAME?</v>
      </c>
      <c r="B793">
        <v>393.75</v>
      </c>
      <c r="C793">
        <v>20.584240000000001</v>
      </c>
      <c r="D793">
        <v>39</v>
      </c>
      <c r="E793">
        <v>0</v>
      </c>
      <c r="F793">
        <v>0</v>
      </c>
      <c r="G793">
        <v>0</v>
      </c>
      <c r="H793" s="4">
        <v>1570522096235</v>
      </c>
      <c r="I793">
        <v>526.6875</v>
      </c>
      <c r="J793" s="9">
        <f t="shared" si="12"/>
        <v>43746.63074346065</v>
      </c>
      <c r="K793" s="1"/>
    </row>
    <row r="794" spans="1:11" x14ac:dyDescent="0.25">
      <c r="A794" t="e">
        <f>-LqePNW1jJaU3cnT1hGh</f>
        <v>#NAME?</v>
      </c>
      <c r="B794">
        <v>428.125</v>
      </c>
      <c r="C794">
        <v>20.531590000000001</v>
      </c>
      <c r="D794">
        <v>39</v>
      </c>
      <c r="E794">
        <v>0</v>
      </c>
      <c r="F794">
        <v>0</v>
      </c>
      <c r="G794">
        <v>0</v>
      </c>
      <c r="H794" s="4">
        <v>1570522104486</v>
      </c>
      <c r="I794">
        <v>537</v>
      </c>
      <c r="J794" s="9">
        <f t="shared" si="12"/>
        <v>43746.630838958336</v>
      </c>
      <c r="K794" s="1"/>
    </row>
    <row r="795" spans="1:11" x14ac:dyDescent="0.25">
      <c r="A795" t="e">
        <f>-LqePPY20JplJkK6xfwC</f>
        <v>#NAME?</v>
      </c>
      <c r="B795">
        <v>393.75</v>
      </c>
      <c r="C795">
        <v>20.584240000000001</v>
      </c>
      <c r="D795">
        <v>39</v>
      </c>
      <c r="E795">
        <v>0</v>
      </c>
      <c r="F795">
        <v>0</v>
      </c>
      <c r="G795">
        <v>0</v>
      </c>
      <c r="H795" s="4">
        <v>1570522111694</v>
      </c>
      <c r="I795">
        <v>526.6875</v>
      </c>
      <c r="J795" s="9">
        <f t="shared" si="12"/>
        <v>43746.630922384262</v>
      </c>
      <c r="K795" s="1"/>
    </row>
    <row r="796" spans="1:11" x14ac:dyDescent="0.25">
      <c r="A796" t="e">
        <f>-LqePRUsIebjDFRaqYaA</f>
        <v>#NAME?</v>
      </c>
      <c r="B796">
        <v>412.5</v>
      </c>
      <c r="C796">
        <v>20.584240000000001</v>
      </c>
      <c r="D796">
        <v>39</v>
      </c>
      <c r="E796">
        <v>0</v>
      </c>
      <c r="F796">
        <v>0</v>
      </c>
      <c r="G796">
        <v>0</v>
      </c>
      <c r="H796" s="4">
        <v>1570522119946</v>
      </c>
      <c r="I796">
        <v>532.3125</v>
      </c>
      <c r="J796" s="9">
        <f t="shared" si="12"/>
        <v>43746.631017893516</v>
      </c>
      <c r="K796" s="1"/>
    </row>
    <row r="797" spans="1:11" x14ac:dyDescent="0.25">
      <c r="A797" t="e">
        <f>-LqePTI2-FWEIl1hMyUe</f>
        <v>#NAME?</v>
      </c>
      <c r="B797">
        <v>393.75</v>
      </c>
      <c r="C797">
        <v>20.584240000000001</v>
      </c>
      <c r="D797">
        <v>39</v>
      </c>
      <c r="E797">
        <v>0</v>
      </c>
      <c r="F797">
        <v>0</v>
      </c>
      <c r="G797">
        <v>0</v>
      </c>
      <c r="H797" s="4">
        <v>1570522128183</v>
      </c>
      <c r="I797">
        <v>526.6875</v>
      </c>
      <c r="J797" s="9">
        <f t="shared" si="12"/>
        <v>43746.631113229167</v>
      </c>
      <c r="K797" s="1"/>
    </row>
    <row r="798" spans="1:11" x14ac:dyDescent="0.25">
      <c r="A798" t="e">
        <f>-LqePUzvPSDLLNLglwkK</f>
        <v>#NAME?</v>
      </c>
      <c r="B798">
        <v>393.75</v>
      </c>
      <c r="C798">
        <v>20.584240000000001</v>
      </c>
      <c r="D798">
        <v>38</v>
      </c>
      <c r="E798">
        <v>0</v>
      </c>
      <c r="F798">
        <v>0</v>
      </c>
      <c r="G798">
        <v>0</v>
      </c>
      <c r="H798" s="4">
        <v>1570522135397</v>
      </c>
      <c r="I798">
        <v>526.6875</v>
      </c>
      <c r="J798" s="9">
        <f t="shared" si="12"/>
        <v>43746.631196724535</v>
      </c>
      <c r="K798" s="1"/>
    </row>
    <row r="799" spans="1:11" x14ac:dyDescent="0.25">
      <c r="A799" t="e">
        <f>-LqePWo20KQ-Uq3Q7I3u</f>
        <v>#NAME?</v>
      </c>
      <c r="B799">
        <v>393.75</v>
      </c>
      <c r="C799">
        <v>20.531590000000001</v>
      </c>
      <c r="D799">
        <v>39</v>
      </c>
      <c r="E799">
        <v>0</v>
      </c>
      <c r="F799">
        <v>0</v>
      </c>
      <c r="G799">
        <v>0</v>
      </c>
      <c r="H799" s="4">
        <v>1570522142603</v>
      </c>
      <c r="I799">
        <v>526.6875</v>
      </c>
      <c r="J799" s="9">
        <f t="shared" si="12"/>
        <v>43746.631280127309</v>
      </c>
      <c r="K799" s="1"/>
    </row>
    <row r="800" spans="1:11" x14ac:dyDescent="0.25">
      <c r="A800" t="e">
        <f>-LqePYX4QXcS7P4aFiSv</f>
        <v>#NAME?</v>
      </c>
      <c r="B800">
        <v>393.75</v>
      </c>
      <c r="C800">
        <v>20.531590000000001</v>
      </c>
      <c r="D800">
        <v>39</v>
      </c>
      <c r="E800">
        <v>0</v>
      </c>
      <c r="F800">
        <v>0</v>
      </c>
      <c r="G800">
        <v>0</v>
      </c>
      <c r="H800" s="4">
        <v>1570522149841</v>
      </c>
      <c r="I800">
        <v>526.6875</v>
      </c>
      <c r="J800" s="9">
        <f t="shared" si="12"/>
        <v>43746.631363900458</v>
      </c>
      <c r="K800" s="1"/>
    </row>
    <row r="801" spans="1:11" x14ac:dyDescent="0.25">
      <c r="A801" t="e">
        <f>-LqeP_54Ln7mP30J-CgY</f>
        <v>#NAME?</v>
      </c>
      <c r="B801">
        <v>393.75</v>
      </c>
      <c r="C801">
        <v>20.584240000000001</v>
      </c>
      <c r="D801">
        <v>38</v>
      </c>
      <c r="E801">
        <v>0</v>
      </c>
      <c r="F801">
        <v>0</v>
      </c>
      <c r="G801">
        <v>0</v>
      </c>
      <c r="H801" s="4">
        <v>1570522156006</v>
      </c>
      <c r="I801">
        <v>526.6875</v>
      </c>
      <c r="J801" s="9">
        <f t="shared" si="12"/>
        <v>43746.631435254625</v>
      </c>
      <c r="K801" s="1"/>
    </row>
    <row r="802" spans="1:11" x14ac:dyDescent="0.25">
      <c r="A802" t="e">
        <f>-LqePamw5naSzD0LIuhV</f>
        <v>#NAME?</v>
      </c>
      <c r="B802">
        <v>393.75</v>
      </c>
      <c r="C802">
        <v>20.584240000000001</v>
      </c>
      <c r="D802">
        <v>41</v>
      </c>
      <c r="E802">
        <v>0</v>
      </c>
      <c r="F802">
        <v>0</v>
      </c>
      <c r="G802">
        <v>0</v>
      </c>
      <c r="H802" s="4">
        <v>1570522163213</v>
      </c>
      <c r="I802">
        <v>526.6875</v>
      </c>
      <c r="J802" s="9">
        <f t="shared" si="12"/>
        <v>43746.631518668983</v>
      </c>
      <c r="K802" s="1"/>
    </row>
    <row r="803" spans="1:11" x14ac:dyDescent="0.25">
      <c r="A803" t="e">
        <f>-LqePc_og1Uk0RFncMX9</f>
        <v>#NAME?</v>
      </c>
      <c r="B803">
        <v>412.5</v>
      </c>
      <c r="C803">
        <v>20.584240000000001</v>
      </c>
      <c r="D803">
        <v>39</v>
      </c>
      <c r="E803">
        <v>0</v>
      </c>
      <c r="F803">
        <v>0</v>
      </c>
      <c r="G803">
        <v>0</v>
      </c>
      <c r="H803" s="4">
        <v>1570522170434</v>
      </c>
      <c r="I803">
        <v>532.125</v>
      </c>
      <c r="J803" s="9">
        <f t="shared" si="12"/>
        <v>43746.631602245368</v>
      </c>
      <c r="K803" s="1"/>
    </row>
    <row r="804" spans="1:11" x14ac:dyDescent="0.25">
      <c r="A804" t="e">
        <f>-LqePeK2Iii_-OSr8BMu</f>
        <v>#NAME?</v>
      </c>
      <c r="B804">
        <v>393.75</v>
      </c>
      <c r="C804">
        <v>20.531590000000001</v>
      </c>
      <c r="D804">
        <v>39</v>
      </c>
      <c r="E804">
        <v>0</v>
      </c>
      <c r="F804">
        <v>0</v>
      </c>
      <c r="G804">
        <v>0</v>
      </c>
      <c r="H804" s="4">
        <v>1570522177644</v>
      </c>
      <c r="I804">
        <v>526.5</v>
      </c>
      <c r="J804" s="9">
        <f t="shared" si="12"/>
        <v>43746.63168569444</v>
      </c>
      <c r="K804" s="1"/>
    </row>
    <row r="805" spans="1:11" x14ac:dyDescent="0.25">
      <c r="A805" t="e">
        <f>-LqePg74CFdklLOLfYyr</f>
        <v>#NAME?</v>
      </c>
      <c r="B805">
        <v>393.75</v>
      </c>
      <c r="C805">
        <v>20.584240000000001</v>
      </c>
      <c r="D805">
        <v>40</v>
      </c>
      <c r="E805">
        <v>0</v>
      </c>
      <c r="F805">
        <v>0</v>
      </c>
      <c r="G805">
        <v>0</v>
      </c>
      <c r="H805" s="4">
        <v>1570522184855</v>
      </c>
      <c r="I805">
        <v>526.6875</v>
      </c>
      <c r="J805" s="9">
        <f t="shared" si="12"/>
        <v>43746.631769155087</v>
      </c>
      <c r="K805" s="1"/>
    </row>
    <row r="806" spans="1:11" x14ac:dyDescent="0.25">
      <c r="A806" t="e">
        <f>-LqePhq5k2Qjqt616ms5</f>
        <v>#NAME?</v>
      </c>
      <c r="B806">
        <v>393.75</v>
      </c>
      <c r="C806">
        <v>20.584240000000001</v>
      </c>
      <c r="D806">
        <v>40</v>
      </c>
      <c r="E806">
        <v>0</v>
      </c>
      <c r="F806">
        <v>0</v>
      </c>
      <c r="G806">
        <v>0</v>
      </c>
      <c r="H806" s="4">
        <v>1570522192064</v>
      </c>
      <c r="I806">
        <v>526.6875</v>
      </c>
      <c r="J806" s="9">
        <f t="shared" si="12"/>
        <v>43746.631852592589</v>
      </c>
      <c r="K806" s="1"/>
    </row>
    <row r="807" spans="1:11" x14ac:dyDescent="0.25">
      <c r="A807" t="e">
        <f>-LqePjbnMLWEFmHb5p2H</f>
        <v>#NAME?</v>
      </c>
      <c r="B807">
        <v>393.75</v>
      </c>
      <c r="C807">
        <v>20.531590000000001</v>
      </c>
      <c r="D807">
        <v>43</v>
      </c>
      <c r="E807">
        <v>0</v>
      </c>
      <c r="F807">
        <v>0</v>
      </c>
      <c r="G807">
        <v>0</v>
      </c>
      <c r="H807" s="4">
        <v>1570522199285</v>
      </c>
      <c r="I807">
        <v>526.6875</v>
      </c>
      <c r="J807" s="9">
        <f t="shared" si="12"/>
        <v>43746.631936168975</v>
      </c>
      <c r="K807" s="1"/>
    </row>
    <row r="808" spans="1:11" x14ac:dyDescent="0.25">
      <c r="A808" t="e">
        <f>-LqePlL3IkOeuc6llmCf</f>
        <v>#NAME?</v>
      </c>
      <c r="B808">
        <v>393.75</v>
      </c>
      <c r="C808">
        <v>20.584240000000001</v>
      </c>
      <c r="D808">
        <v>44</v>
      </c>
      <c r="E808">
        <v>0</v>
      </c>
      <c r="F808">
        <v>0</v>
      </c>
      <c r="G808">
        <v>0</v>
      </c>
      <c r="H808" s="4">
        <v>1570522206473</v>
      </c>
      <c r="I808">
        <v>526.6875</v>
      </c>
      <c r="J808" s="9">
        <f t="shared" si="12"/>
        <v>43746.632019363424</v>
      </c>
      <c r="K808" s="1"/>
    </row>
    <row r="809" spans="1:11" x14ac:dyDescent="0.25">
      <c r="A809" t="e">
        <f>-LqePmu7dUyViPfEy6At</f>
        <v>#NAME?</v>
      </c>
      <c r="B809">
        <v>393.75</v>
      </c>
      <c r="C809">
        <v>20.531590000000001</v>
      </c>
      <c r="D809">
        <v>44</v>
      </c>
      <c r="E809">
        <v>0</v>
      </c>
      <c r="F809">
        <v>0</v>
      </c>
      <c r="G809">
        <v>0</v>
      </c>
      <c r="H809" s="4">
        <v>1570522212665</v>
      </c>
      <c r="I809">
        <v>526.6875</v>
      </c>
      <c r="J809" s="9">
        <f t="shared" si="12"/>
        <v>43746.632091030093</v>
      </c>
      <c r="K809" s="1"/>
    </row>
    <row r="810" spans="1:11" x14ac:dyDescent="0.25">
      <c r="A810" t="e">
        <f>-LqePosDdF8HyQvB71cC</f>
        <v>#NAME?</v>
      </c>
      <c r="B810">
        <v>393.75</v>
      </c>
      <c r="C810">
        <v>20.584240000000001</v>
      </c>
      <c r="D810">
        <v>42</v>
      </c>
      <c r="E810">
        <v>0</v>
      </c>
      <c r="F810">
        <v>0</v>
      </c>
      <c r="G810">
        <v>0</v>
      </c>
      <c r="H810" s="4">
        <v>1570522219915</v>
      </c>
      <c r="I810">
        <v>526.6875</v>
      </c>
      <c r="J810" s="9">
        <f t="shared" si="12"/>
        <v>43746.632174942126</v>
      </c>
      <c r="K810" s="1"/>
    </row>
    <row r="811" spans="1:11" x14ac:dyDescent="0.25">
      <c r="A811" t="e">
        <f>-LqePqR3zz5HI0SOiLOG</f>
        <v>#NAME?</v>
      </c>
      <c r="B811">
        <v>393.75</v>
      </c>
      <c r="C811">
        <v>20.584240000000001</v>
      </c>
      <c r="D811">
        <v>42</v>
      </c>
      <c r="E811">
        <v>0</v>
      </c>
      <c r="F811">
        <v>0</v>
      </c>
      <c r="G811">
        <v>0</v>
      </c>
      <c r="H811" s="4">
        <v>1570522227104</v>
      </c>
      <c r="I811">
        <v>526.6875</v>
      </c>
      <c r="J811" s="9">
        <f t="shared" si="12"/>
        <v>43746.632258148144</v>
      </c>
      <c r="K811" s="1"/>
    </row>
    <row r="812" spans="1:11" x14ac:dyDescent="0.25">
      <c r="A812" t="e">
        <f>-LqePs92d0ytED5pv0IH</f>
        <v>#NAME?</v>
      </c>
      <c r="B812">
        <v>393.75</v>
      </c>
      <c r="C812">
        <v>20.531590000000001</v>
      </c>
      <c r="D812">
        <v>43</v>
      </c>
      <c r="E812">
        <v>0</v>
      </c>
      <c r="F812">
        <v>0</v>
      </c>
      <c r="G812">
        <v>0</v>
      </c>
      <c r="H812" s="4">
        <v>1570522234304</v>
      </c>
      <c r="I812">
        <v>526.6875</v>
      </c>
      <c r="J812" s="9">
        <f t="shared" si="12"/>
        <v>43746.632341481476</v>
      </c>
      <c r="K812" s="1"/>
    </row>
    <row r="813" spans="1:11" x14ac:dyDescent="0.25">
      <c r="A813" t="e">
        <f>-LqePtwt1RrCvktKvfIg</f>
        <v>#NAME?</v>
      </c>
      <c r="B813">
        <v>393.75</v>
      </c>
      <c r="C813">
        <v>20.584240000000001</v>
      </c>
      <c r="D813">
        <v>43</v>
      </c>
      <c r="E813">
        <v>0</v>
      </c>
      <c r="F813">
        <v>0</v>
      </c>
      <c r="G813">
        <v>0</v>
      </c>
      <c r="H813" s="4">
        <v>1570522241533</v>
      </c>
      <c r="I813">
        <v>526.6875</v>
      </c>
      <c r="J813" s="9">
        <f t="shared" si="12"/>
        <v>43746.632425150463</v>
      </c>
      <c r="K813" s="1"/>
    </row>
    <row r="814" spans="1:11" x14ac:dyDescent="0.25">
      <c r="A814" t="e">
        <f>-LqePvf30TwUf04T_CIY</f>
        <v>#NAME?</v>
      </c>
      <c r="B814">
        <v>393.75</v>
      </c>
      <c r="C814">
        <v>20.584240000000001</v>
      </c>
      <c r="D814">
        <v>42</v>
      </c>
      <c r="E814">
        <v>0</v>
      </c>
      <c r="F814">
        <v>0</v>
      </c>
      <c r="G814">
        <v>0</v>
      </c>
      <c r="H814" s="4">
        <v>1570522248715</v>
      </c>
      <c r="I814">
        <v>526.5</v>
      </c>
      <c r="J814" s="9">
        <f t="shared" si="12"/>
        <v>43746.632508275456</v>
      </c>
      <c r="K814" s="1"/>
    </row>
    <row r="815" spans="1:11" x14ac:dyDescent="0.25">
      <c r="A815" t="e">
        <f>-LqePxUS-N5RlhKpWJ9U</f>
        <v>#NAME?</v>
      </c>
      <c r="B815">
        <v>412.5</v>
      </c>
      <c r="C815">
        <v>20.584240000000001</v>
      </c>
      <c r="D815">
        <v>42</v>
      </c>
      <c r="E815">
        <v>0</v>
      </c>
      <c r="F815">
        <v>0</v>
      </c>
      <c r="G815">
        <v>0</v>
      </c>
      <c r="H815" s="4">
        <v>1570522255966</v>
      </c>
      <c r="I815">
        <v>532.3125</v>
      </c>
      <c r="J815" s="9">
        <f t="shared" si="12"/>
        <v>43746.632592199072</v>
      </c>
      <c r="K815" s="1"/>
    </row>
    <row r="816" spans="1:11" x14ac:dyDescent="0.25">
      <c r="A816" t="e">
        <f>-LqePz9nVT2O0dj1hID2</f>
        <v>#NAME?</v>
      </c>
      <c r="B816">
        <v>393.75</v>
      </c>
      <c r="C816">
        <v>20.584240000000001</v>
      </c>
      <c r="D816">
        <v>42</v>
      </c>
      <c r="E816">
        <v>0</v>
      </c>
      <c r="F816">
        <v>0</v>
      </c>
      <c r="G816">
        <v>0</v>
      </c>
      <c r="H816" s="4">
        <v>1570522263174</v>
      </c>
      <c r="I816">
        <v>526.6875</v>
      </c>
      <c r="J816" s="9">
        <f t="shared" si="12"/>
        <v>43746.632675624998</v>
      </c>
      <c r="K816" s="1"/>
    </row>
    <row r="817" spans="1:11" x14ac:dyDescent="0.25">
      <c r="A817" t="e">
        <f>-LqeQ-ovqCXVef5AWfdH</f>
        <v>#NAME?</v>
      </c>
      <c r="B817">
        <v>393.75</v>
      </c>
      <c r="C817">
        <v>20.584240000000001</v>
      </c>
      <c r="D817">
        <v>41</v>
      </c>
      <c r="E817">
        <v>0</v>
      </c>
      <c r="F817">
        <v>0</v>
      </c>
      <c r="G817">
        <v>0</v>
      </c>
      <c r="H817" s="4">
        <v>1570522269353</v>
      </c>
      <c r="I817">
        <v>526.5</v>
      </c>
      <c r="J817" s="9">
        <f t="shared" si="12"/>
        <v>43746.632747141201</v>
      </c>
      <c r="K817" s="1"/>
    </row>
    <row r="818" spans="1:11" x14ac:dyDescent="0.25">
      <c r="A818" t="e">
        <f>-LqeQ1T3-d-fJk9tmOc6</f>
        <v>#NAME?</v>
      </c>
      <c r="B818">
        <v>393.75</v>
      </c>
      <c r="C818">
        <v>20.584240000000001</v>
      </c>
      <c r="D818">
        <v>41</v>
      </c>
      <c r="E818">
        <v>0</v>
      </c>
      <c r="F818">
        <v>0</v>
      </c>
      <c r="G818">
        <v>0</v>
      </c>
      <c r="H818" s="4">
        <v>1570522276545</v>
      </c>
      <c r="I818">
        <v>526.6875</v>
      </c>
      <c r="J818" s="9">
        <f t="shared" si="12"/>
        <v>43746.632830381939</v>
      </c>
      <c r="K818" s="1"/>
    </row>
    <row r="819" spans="1:11" x14ac:dyDescent="0.25">
      <c r="A819" t="e">
        <f>-LqeQ3-wsVDOUU3ie0AI</f>
        <v>#NAME?</v>
      </c>
      <c r="B819">
        <v>393.75</v>
      </c>
      <c r="C819">
        <v>20.531590000000001</v>
      </c>
      <c r="D819">
        <v>41</v>
      </c>
      <c r="E819">
        <v>0</v>
      </c>
      <c r="F819">
        <v>0</v>
      </c>
      <c r="G819">
        <v>0</v>
      </c>
      <c r="H819" s="4">
        <v>1570522282745</v>
      </c>
      <c r="I819">
        <v>526.6875</v>
      </c>
      <c r="J819" s="9">
        <f t="shared" si="12"/>
        <v>43746.632902141202</v>
      </c>
      <c r="K819" s="1"/>
    </row>
    <row r="820" spans="1:11" x14ac:dyDescent="0.25">
      <c r="A820" t="e">
        <f>-LqeQ4k3bwIR-zxZ_qsK</f>
        <v>#NAME?</v>
      </c>
      <c r="B820">
        <v>393.75</v>
      </c>
      <c r="C820">
        <v>20.584240000000001</v>
      </c>
      <c r="D820">
        <v>37</v>
      </c>
      <c r="E820">
        <v>0</v>
      </c>
      <c r="F820">
        <v>0</v>
      </c>
      <c r="G820">
        <v>0</v>
      </c>
      <c r="H820" s="4">
        <v>1570522289964</v>
      </c>
      <c r="I820">
        <v>526.6875</v>
      </c>
      <c r="J820" s="9">
        <f t="shared" si="12"/>
        <v>43746.632985694443</v>
      </c>
      <c r="K820" s="1"/>
    </row>
    <row r="821" spans="1:11" x14ac:dyDescent="0.25">
      <c r="A821" t="e">
        <f>-LqeQ6Y2tyONVIrt8gNY</f>
        <v>#NAME?</v>
      </c>
      <c r="B821">
        <v>393.75</v>
      </c>
      <c r="C821">
        <v>20.584240000000001</v>
      </c>
      <c r="D821">
        <v>38</v>
      </c>
      <c r="E821">
        <v>0</v>
      </c>
      <c r="F821">
        <v>0</v>
      </c>
      <c r="G821">
        <v>0</v>
      </c>
      <c r="H821" s="4">
        <v>1570522297185</v>
      </c>
      <c r="I821">
        <v>526.6875</v>
      </c>
      <c r="J821" s="9">
        <f t="shared" si="12"/>
        <v>43746.633069270836</v>
      </c>
      <c r="K821" s="1"/>
    </row>
    <row r="822" spans="1:11" x14ac:dyDescent="0.25">
      <c r="A822" t="e">
        <f>-LqeQ8DQRV2cL0q8i0FS</f>
        <v>#NAME?</v>
      </c>
      <c r="B822">
        <v>393.75</v>
      </c>
      <c r="C822">
        <v>20.584240000000001</v>
      </c>
      <c r="D822">
        <v>38</v>
      </c>
      <c r="E822">
        <v>0</v>
      </c>
      <c r="F822">
        <v>0</v>
      </c>
      <c r="G822">
        <v>0</v>
      </c>
      <c r="H822" s="4">
        <v>1570522304384</v>
      </c>
      <c r="I822">
        <v>526.6875</v>
      </c>
      <c r="J822" s="9">
        <f t="shared" si="12"/>
        <v>43746.633152592585</v>
      </c>
      <c r="K822" s="1"/>
    </row>
    <row r="823" spans="1:11" x14ac:dyDescent="0.25">
      <c r="A823" t="e">
        <f>-LqeQ9nwqaIXndM9JudZ</f>
        <v>#NAME?</v>
      </c>
      <c r="B823">
        <v>412.5</v>
      </c>
      <c r="C823">
        <v>20.584240000000001</v>
      </c>
      <c r="D823">
        <v>38</v>
      </c>
      <c r="E823">
        <v>0</v>
      </c>
      <c r="F823">
        <v>0</v>
      </c>
      <c r="G823">
        <v>0</v>
      </c>
      <c r="H823" s="4">
        <v>1570522310574</v>
      </c>
      <c r="I823">
        <v>532.3125</v>
      </c>
      <c r="J823" s="9">
        <f t="shared" si="12"/>
        <v>43746.63322423611</v>
      </c>
      <c r="K823" s="1"/>
    </row>
    <row r="824" spans="1:11" x14ac:dyDescent="0.25">
      <c r="A824" t="e">
        <f>-LqeQBY02DgXjYCllAPk</f>
        <v>#NAME?</v>
      </c>
      <c r="B824">
        <v>393.75</v>
      </c>
      <c r="C824">
        <v>20.584240000000001</v>
      </c>
      <c r="D824">
        <v>39</v>
      </c>
      <c r="E824">
        <v>0</v>
      </c>
      <c r="F824">
        <v>0</v>
      </c>
      <c r="G824">
        <v>0</v>
      </c>
      <c r="H824" s="4">
        <v>1570522317784</v>
      </c>
      <c r="I824">
        <v>526.6875</v>
      </c>
      <c r="J824" s="9">
        <f t="shared" si="12"/>
        <v>43746.633307685181</v>
      </c>
      <c r="K824" s="1"/>
    </row>
    <row r="825" spans="1:11" x14ac:dyDescent="0.25">
      <c r="A825" t="e">
        <f>-LqeQDeDb51t3U4l62gw</f>
        <v>#NAME?</v>
      </c>
      <c r="B825">
        <v>393.75</v>
      </c>
      <c r="C825">
        <v>20.584240000000001</v>
      </c>
      <c r="D825">
        <v>38</v>
      </c>
      <c r="E825">
        <v>0</v>
      </c>
      <c r="F825">
        <v>0</v>
      </c>
      <c r="G825">
        <v>0</v>
      </c>
      <c r="H825" s="4">
        <v>1570522325005</v>
      </c>
      <c r="I825">
        <v>526.6875</v>
      </c>
      <c r="J825" s="9">
        <f t="shared" si="12"/>
        <v>43746.633391261574</v>
      </c>
      <c r="K825" s="1"/>
    </row>
    <row r="826" spans="1:11" x14ac:dyDescent="0.25">
      <c r="A826" t="e">
        <f>-LqeQFbVbRQbXYfptnQQ</f>
        <v>#NAME?</v>
      </c>
      <c r="B826">
        <v>393.75</v>
      </c>
      <c r="C826">
        <v>20.584240000000001</v>
      </c>
      <c r="D826">
        <v>38</v>
      </c>
      <c r="E826">
        <v>0</v>
      </c>
      <c r="F826">
        <v>0</v>
      </c>
      <c r="G826">
        <v>0</v>
      </c>
      <c r="H826" s="4">
        <v>1570522333255</v>
      </c>
      <c r="I826">
        <v>526.6875</v>
      </c>
      <c r="J826" s="9">
        <f t="shared" si="12"/>
        <v>43746.633486747683</v>
      </c>
      <c r="K826" s="1"/>
    </row>
    <row r="827" spans="1:11" x14ac:dyDescent="0.25">
      <c r="A827" t="e">
        <f>-LqeQHIjne3N1gxaDyP3</f>
        <v>#NAME?</v>
      </c>
      <c r="B827">
        <v>393.75</v>
      </c>
      <c r="C827">
        <v>20.584240000000001</v>
      </c>
      <c r="D827">
        <v>42</v>
      </c>
      <c r="E827">
        <v>0</v>
      </c>
      <c r="F827">
        <v>0</v>
      </c>
      <c r="G827">
        <v>0</v>
      </c>
      <c r="H827" s="4">
        <v>1570522341511</v>
      </c>
      <c r="I827">
        <v>526.5</v>
      </c>
      <c r="J827" s="9">
        <f t="shared" si="12"/>
        <v>43746.633582303235</v>
      </c>
      <c r="K827" s="1"/>
    </row>
    <row r="828" spans="1:11" x14ac:dyDescent="0.25">
      <c r="A828" t="e">
        <f>-LqeQJ5mi3ugkwYPEHXl</f>
        <v>#NAME?</v>
      </c>
      <c r="B828">
        <v>393.75</v>
      </c>
      <c r="C828">
        <v>20.584240000000001</v>
      </c>
      <c r="D828">
        <v>42</v>
      </c>
      <c r="E828">
        <v>0</v>
      </c>
      <c r="F828">
        <v>0</v>
      </c>
      <c r="G828">
        <v>0</v>
      </c>
      <c r="H828" s="4">
        <v>1570522348695</v>
      </c>
      <c r="I828">
        <v>526.6875</v>
      </c>
      <c r="J828" s="9">
        <f t="shared" si="12"/>
        <v>43746.633665451387</v>
      </c>
      <c r="K828" s="1"/>
    </row>
    <row r="829" spans="1:11" x14ac:dyDescent="0.25">
      <c r="A829" t="e">
        <f>-LqeQKol23jWTpnBWMUD</f>
        <v>#NAME?</v>
      </c>
      <c r="B829">
        <v>393.75</v>
      </c>
      <c r="C829">
        <v>20.584240000000001</v>
      </c>
      <c r="D829">
        <v>41</v>
      </c>
      <c r="E829">
        <v>0</v>
      </c>
      <c r="F829">
        <v>0</v>
      </c>
      <c r="G829">
        <v>0</v>
      </c>
      <c r="H829" s="4">
        <v>1570522355902</v>
      </c>
      <c r="I829">
        <v>526.6875</v>
      </c>
      <c r="J829" s="9">
        <f t="shared" si="12"/>
        <v>43746.633748865737</v>
      </c>
      <c r="K829" s="1"/>
    </row>
    <row r="830" spans="1:11" x14ac:dyDescent="0.25">
      <c r="A830" t="e">
        <f>-LqeQMbrvgM5hJtMeaJe</f>
        <v>#NAME?</v>
      </c>
      <c r="B830">
        <v>393.75</v>
      </c>
      <c r="C830">
        <v>20.584240000000001</v>
      </c>
      <c r="D830">
        <v>42</v>
      </c>
      <c r="E830">
        <v>0</v>
      </c>
      <c r="F830">
        <v>0</v>
      </c>
      <c r="G830">
        <v>0</v>
      </c>
      <c r="H830" s="4">
        <v>1570522363133</v>
      </c>
      <c r="I830">
        <v>526.6875</v>
      </c>
      <c r="J830" s="9">
        <f t="shared" si="12"/>
        <v>43746.633832557869</v>
      </c>
      <c r="K830" s="1"/>
    </row>
    <row r="831" spans="1:11" x14ac:dyDescent="0.25">
      <c r="A831" t="e">
        <f>-LqeQOJo2RNV6HXkx4sn</f>
        <v>#NAME?</v>
      </c>
      <c r="B831">
        <v>393.75</v>
      </c>
      <c r="C831">
        <v>20.584240000000001</v>
      </c>
      <c r="D831">
        <v>41</v>
      </c>
      <c r="E831">
        <v>0</v>
      </c>
      <c r="F831">
        <v>0</v>
      </c>
      <c r="G831">
        <v>0</v>
      </c>
      <c r="H831" s="4">
        <v>1570522370313</v>
      </c>
      <c r="I831">
        <v>526.6875</v>
      </c>
      <c r="J831" s="9">
        <f t="shared" si="12"/>
        <v>43746.633915659717</v>
      </c>
      <c r="K831" s="1"/>
    </row>
    <row r="832" spans="1:11" x14ac:dyDescent="0.25">
      <c r="A832" t="e">
        <f>-LqeQPtvdn9UuugTgMo2</f>
        <v>#NAME?</v>
      </c>
      <c r="B832">
        <v>393.75</v>
      </c>
      <c r="C832">
        <v>20.584240000000001</v>
      </c>
      <c r="D832">
        <v>41</v>
      </c>
      <c r="E832">
        <v>0</v>
      </c>
      <c r="F832">
        <v>0</v>
      </c>
      <c r="G832">
        <v>0</v>
      </c>
      <c r="H832" s="4">
        <v>1570522376504</v>
      </c>
      <c r="I832">
        <v>526.6875</v>
      </c>
      <c r="J832" s="9">
        <f t="shared" si="12"/>
        <v>43746.633987314817</v>
      </c>
      <c r="K832" s="1"/>
    </row>
    <row r="833" spans="1:11" x14ac:dyDescent="0.25">
      <c r="A833" t="e">
        <f>-LqeQRbyJ8Dt6m642E7o</f>
        <v>#NAME?</v>
      </c>
      <c r="B833">
        <v>393.75</v>
      </c>
      <c r="C833">
        <v>20.584240000000001</v>
      </c>
      <c r="D833">
        <v>41</v>
      </c>
      <c r="E833">
        <v>0</v>
      </c>
      <c r="F833">
        <v>0</v>
      </c>
      <c r="G833">
        <v>0</v>
      </c>
      <c r="H833" s="4">
        <v>1570522383742</v>
      </c>
      <c r="I833">
        <v>526.6875</v>
      </c>
      <c r="J833" s="9">
        <f t="shared" si="12"/>
        <v>43746.634071087959</v>
      </c>
      <c r="K833" s="1"/>
    </row>
    <row r="834" spans="1:11" x14ac:dyDescent="0.25">
      <c r="A834" t="e">
        <f>-LqeQTR-hFeauXK9vTdp</f>
        <v>#NAME?</v>
      </c>
      <c r="B834">
        <v>393.75</v>
      </c>
      <c r="C834">
        <v>20.584240000000001</v>
      </c>
      <c r="D834">
        <v>40</v>
      </c>
      <c r="E834">
        <v>0</v>
      </c>
      <c r="F834">
        <v>0</v>
      </c>
      <c r="G834">
        <v>0</v>
      </c>
      <c r="H834" s="4">
        <v>1570522390941</v>
      </c>
      <c r="I834">
        <v>526.6875</v>
      </c>
      <c r="J834" s="9">
        <f t="shared" si="12"/>
        <v>43746.634154409716</v>
      </c>
      <c r="K834" s="1"/>
    </row>
    <row r="835" spans="1:11" x14ac:dyDescent="0.25">
      <c r="A835" t="e">
        <f>-LqeQV7tnaGHkPTttI79</f>
        <v>#NAME?</v>
      </c>
      <c r="B835">
        <v>393.75</v>
      </c>
      <c r="C835">
        <v>20.584240000000001</v>
      </c>
      <c r="D835">
        <v>40</v>
      </c>
      <c r="E835">
        <v>0</v>
      </c>
      <c r="F835">
        <v>0</v>
      </c>
      <c r="G835">
        <v>0</v>
      </c>
      <c r="H835" s="4">
        <v>1570522398142</v>
      </c>
      <c r="I835">
        <v>526.6875</v>
      </c>
      <c r="J835" s="9">
        <f t="shared" ref="J835:J898" si="13">(H835/86400000)+25569+(7/24)</f>
        <v>43746.634237754632</v>
      </c>
      <c r="K835" s="1"/>
    </row>
    <row r="836" spans="1:11" x14ac:dyDescent="0.25">
      <c r="A836" t="e">
        <f>-LqeQWi0j37C2-IHVcWz</f>
        <v>#NAME?</v>
      </c>
      <c r="B836">
        <v>393.75</v>
      </c>
      <c r="C836">
        <v>20.531590000000001</v>
      </c>
      <c r="D836">
        <v>40</v>
      </c>
      <c r="E836">
        <v>0</v>
      </c>
      <c r="F836">
        <v>0</v>
      </c>
      <c r="G836">
        <v>0</v>
      </c>
      <c r="H836" s="4">
        <v>1570522404343</v>
      </c>
      <c r="I836">
        <v>526.6875</v>
      </c>
      <c r="J836" s="9">
        <f t="shared" si="13"/>
        <v>43746.634309525463</v>
      </c>
      <c r="K836" s="1"/>
    </row>
    <row r="837" spans="1:11" x14ac:dyDescent="0.25">
      <c r="A837" t="e">
        <f>-LqeQYPl0UPTMSnqPwV3</f>
        <v>#NAME?</v>
      </c>
      <c r="B837">
        <v>412.5</v>
      </c>
      <c r="C837">
        <v>20.531590000000001</v>
      </c>
      <c r="D837">
        <v>39</v>
      </c>
      <c r="E837">
        <v>0</v>
      </c>
      <c r="F837">
        <v>0</v>
      </c>
      <c r="G837">
        <v>0</v>
      </c>
      <c r="H837" s="4">
        <v>1570522411563</v>
      </c>
      <c r="I837">
        <v>532.3125</v>
      </c>
      <c r="J837" s="9">
        <f t="shared" si="13"/>
        <v>43746.634393090273</v>
      </c>
      <c r="K837" s="1"/>
    </row>
    <row r="838" spans="1:11" x14ac:dyDescent="0.25">
      <c r="A838" t="e">
        <f>-LqeQ_DpUxLPbKU94hCt</f>
        <v>#NAME?</v>
      </c>
      <c r="B838">
        <v>393.75</v>
      </c>
      <c r="C838">
        <v>20.584240000000001</v>
      </c>
      <c r="D838">
        <v>39</v>
      </c>
      <c r="E838">
        <v>0</v>
      </c>
      <c r="F838">
        <v>0</v>
      </c>
      <c r="G838">
        <v>0</v>
      </c>
      <c r="H838" s="4">
        <v>1570522418773</v>
      </c>
      <c r="I838">
        <v>526.6875</v>
      </c>
      <c r="J838" s="9">
        <f t="shared" si="13"/>
        <v>43746.634476539351</v>
      </c>
      <c r="K838" s="1"/>
    </row>
    <row r="839" spans="1:11" x14ac:dyDescent="0.25">
      <c r="A839" t="e">
        <f>-LqeQavklLuqXZJ0_j2V</f>
        <v>#NAME?</v>
      </c>
      <c r="B839">
        <v>393.75</v>
      </c>
      <c r="C839">
        <v>20.584240000000001</v>
      </c>
      <c r="D839">
        <v>40</v>
      </c>
      <c r="E839">
        <v>0</v>
      </c>
      <c r="F839">
        <v>0</v>
      </c>
      <c r="G839">
        <v>0</v>
      </c>
      <c r="H839" s="4">
        <v>1570522425983</v>
      </c>
      <c r="I839">
        <v>526.6875</v>
      </c>
      <c r="J839" s="9">
        <f t="shared" si="13"/>
        <v>43746.634559988423</v>
      </c>
      <c r="K839" s="1"/>
    </row>
    <row r="840" spans="1:11" x14ac:dyDescent="0.25">
      <c r="A840" t="e">
        <f>-LqeQcjzn5_V8oIEGm8e</f>
        <v>#NAME?</v>
      </c>
      <c r="B840">
        <v>393.75</v>
      </c>
      <c r="C840">
        <v>20.584240000000001</v>
      </c>
      <c r="D840">
        <v>40</v>
      </c>
      <c r="E840">
        <v>0</v>
      </c>
      <c r="F840">
        <v>0</v>
      </c>
      <c r="G840">
        <v>0</v>
      </c>
      <c r="H840" s="4">
        <v>1570522433193</v>
      </c>
      <c r="I840">
        <v>526.6875</v>
      </c>
      <c r="J840" s="9">
        <f t="shared" si="13"/>
        <v>43746.634643437494</v>
      </c>
      <c r="K840" s="1"/>
    </row>
    <row r="841" spans="1:11" x14ac:dyDescent="0.25">
      <c r="A841" t="e">
        <f>-LqeQeRk0rXVZYQrpnKA</f>
        <v>#NAME?</v>
      </c>
      <c r="B841">
        <v>393.75</v>
      </c>
      <c r="C841">
        <v>20.478950000000001</v>
      </c>
      <c r="D841">
        <v>38</v>
      </c>
      <c r="E841">
        <v>0</v>
      </c>
      <c r="F841">
        <v>0</v>
      </c>
      <c r="G841">
        <v>0</v>
      </c>
      <c r="H841" s="4">
        <v>1570522440382</v>
      </c>
      <c r="I841">
        <v>526.6875</v>
      </c>
      <c r="J841" s="9">
        <f t="shared" si="13"/>
        <v>43746.634726643511</v>
      </c>
      <c r="K841" s="1"/>
    </row>
    <row r="842" spans="1:11" x14ac:dyDescent="0.25">
      <c r="A842" t="e">
        <f>-LqeQfx-_r8SIQI2hLiR</f>
        <v>#NAME?</v>
      </c>
      <c r="B842">
        <v>393.75</v>
      </c>
      <c r="C842">
        <v>20.584240000000001</v>
      </c>
      <c r="D842">
        <v>38</v>
      </c>
      <c r="E842">
        <v>0</v>
      </c>
      <c r="F842">
        <v>0</v>
      </c>
      <c r="G842">
        <v>0</v>
      </c>
      <c r="H842" s="4">
        <v>1570522446551</v>
      </c>
      <c r="I842">
        <v>526.6875</v>
      </c>
      <c r="J842" s="9">
        <f t="shared" si="13"/>
        <v>43746.634798043982</v>
      </c>
      <c r="K842" s="1"/>
    </row>
    <row r="843" spans="1:11" x14ac:dyDescent="0.25">
      <c r="A843" t="e">
        <f>-LqeQhUmgO5OFs_77pOP</f>
        <v>#NAME?</v>
      </c>
      <c r="B843">
        <v>393.75</v>
      </c>
      <c r="C843">
        <v>20.584240000000001</v>
      </c>
      <c r="D843">
        <v>39</v>
      </c>
      <c r="E843">
        <v>0</v>
      </c>
      <c r="F843">
        <v>0</v>
      </c>
      <c r="G843">
        <v>0</v>
      </c>
      <c r="H843" s="4">
        <v>1570522452782</v>
      </c>
      <c r="I843">
        <v>526.5</v>
      </c>
      <c r="J843" s="9">
        <f t="shared" si="13"/>
        <v>43746.634870162037</v>
      </c>
      <c r="K843" s="1"/>
    </row>
    <row r="844" spans="1:11" x14ac:dyDescent="0.25">
      <c r="A844" t="e">
        <f>-LqeQjE0IZfP9p3zAcgQ</f>
        <v>#NAME?</v>
      </c>
      <c r="B844">
        <v>393.75</v>
      </c>
      <c r="C844">
        <v>20.584240000000001</v>
      </c>
      <c r="D844">
        <v>39</v>
      </c>
      <c r="E844">
        <v>0</v>
      </c>
      <c r="F844">
        <v>0</v>
      </c>
      <c r="G844">
        <v>0</v>
      </c>
      <c r="H844" s="4">
        <v>1570522459993</v>
      </c>
      <c r="I844">
        <v>526.6875</v>
      </c>
      <c r="J844" s="9">
        <f t="shared" si="13"/>
        <v>43746.634953622684</v>
      </c>
      <c r="K844" s="1"/>
    </row>
    <row r="845" spans="1:11" x14ac:dyDescent="0.25">
      <c r="A845" t="e">
        <f>-LqeQklvTEi3PhLBP2ub</f>
        <v>#NAME?</v>
      </c>
      <c r="B845">
        <v>412.5</v>
      </c>
      <c r="C845">
        <v>20.584240000000001</v>
      </c>
      <c r="D845">
        <v>40</v>
      </c>
      <c r="E845">
        <v>0</v>
      </c>
      <c r="F845">
        <v>0</v>
      </c>
      <c r="G845">
        <v>0</v>
      </c>
      <c r="H845" s="4">
        <v>1570522466172</v>
      </c>
      <c r="I845">
        <v>532.125</v>
      </c>
      <c r="J845" s="9">
        <f t="shared" si="13"/>
        <v>43746.635025138887</v>
      </c>
      <c r="K845" s="1"/>
    </row>
    <row r="846" spans="1:11" x14ac:dyDescent="0.25">
      <c r="A846" t="e">
        <f>-LqeQmUmHBhtTgBvcFf0</f>
        <v>#NAME?</v>
      </c>
      <c r="B846">
        <v>393.75</v>
      </c>
      <c r="C846">
        <v>20.531590000000001</v>
      </c>
      <c r="D846">
        <v>40</v>
      </c>
      <c r="E846">
        <v>0</v>
      </c>
      <c r="F846">
        <v>0</v>
      </c>
      <c r="G846">
        <v>0</v>
      </c>
      <c r="H846" s="4">
        <v>1570522473353</v>
      </c>
      <c r="I846">
        <v>526.6875</v>
      </c>
      <c r="J846" s="9">
        <f t="shared" si="13"/>
        <v>43746.635108252311</v>
      </c>
      <c r="K846" s="1"/>
    </row>
    <row r="847" spans="1:11" x14ac:dyDescent="0.25">
      <c r="A847" t="e">
        <f>-LqeQo3EHMY8mN-REoCM</f>
        <v>#NAME?</v>
      </c>
      <c r="B847">
        <v>393.75</v>
      </c>
      <c r="C847">
        <v>20.584240000000001</v>
      </c>
      <c r="D847">
        <v>40</v>
      </c>
      <c r="E847">
        <v>0</v>
      </c>
      <c r="F847">
        <v>0</v>
      </c>
      <c r="G847">
        <v>0</v>
      </c>
      <c r="H847" s="4">
        <v>1570522479541</v>
      </c>
      <c r="I847">
        <v>526.5</v>
      </c>
      <c r="J847" s="9">
        <f t="shared" si="13"/>
        <v>43746.635179872683</v>
      </c>
      <c r="K847" s="1"/>
    </row>
    <row r="848" spans="1:11" x14ac:dyDescent="0.25">
      <c r="A848" t="e">
        <f>-LqeQpkeKOktk8TvbqdI</f>
        <v>#NAME?</v>
      </c>
      <c r="B848">
        <v>418.75</v>
      </c>
      <c r="C848">
        <v>20.531590000000001</v>
      </c>
      <c r="D848">
        <v>39</v>
      </c>
      <c r="E848">
        <v>0</v>
      </c>
      <c r="F848">
        <v>0</v>
      </c>
      <c r="G848">
        <v>0</v>
      </c>
      <c r="H848" s="4">
        <v>1570522486782</v>
      </c>
      <c r="I848">
        <v>534.1875</v>
      </c>
      <c r="J848" s="9">
        <f t="shared" si="13"/>
        <v>43746.635263680553</v>
      </c>
      <c r="K848" s="1"/>
    </row>
    <row r="849" spans="1:11" x14ac:dyDescent="0.25">
      <c r="A849" t="e">
        <f>-LqeQrZmf2m7PVDDpi_r</f>
        <v>#NAME?</v>
      </c>
      <c r="B849">
        <v>393.75</v>
      </c>
      <c r="C849">
        <v>20.584240000000001</v>
      </c>
      <c r="D849">
        <v>40</v>
      </c>
      <c r="E849">
        <v>0</v>
      </c>
      <c r="F849">
        <v>0</v>
      </c>
      <c r="G849">
        <v>0</v>
      </c>
      <c r="H849" s="4">
        <v>1570522493991</v>
      </c>
      <c r="I849">
        <v>526.6875</v>
      </c>
      <c r="J849" s="9">
        <f t="shared" si="13"/>
        <v>43746.635347118056</v>
      </c>
      <c r="K849" s="1"/>
    </row>
    <row r="850" spans="1:11" x14ac:dyDescent="0.25">
      <c r="A850" t="e">
        <f>-LqeQtJ-q8ut9hDjEOHA</f>
        <v>#NAME?</v>
      </c>
      <c r="B850">
        <v>393.75</v>
      </c>
      <c r="C850">
        <v>20.584240000000001</v>
      </c>
      <c r="D850">
        <v>41</v>
      </c>
      <c r="E850">
        <v>0</v>
      </c>
      <c r="F850">
        <v>0</v>
      </c>
      <c r="G850">
        <v>0</v>
      </c>
      <c r="H850" s="4">
        <v>1570522501184</v>
      </c>
      <c r="I850">
        <v>526.5</v>
      </c>
      <c r="J850" s="9">
        <f t="shared" si="13"/>
        <v>43746.635430370363</v>
      </c>
      <c r="K850" s="1"/>
    </row>
    <row r="851" spans="1:11" x14ac:dyDescent="0.25">
      <c r="A851" t="e">
        <f>-LqeQv6-QclRgqBNGVPU</f>
        <v>#NAME?</v>
      </c>
      <c r="B851">
        <v>393.75</v>
      </c>
      <c r="C851">
        <v>20.584240000000001</v>
      </c>
      <c r="D851">
        <v>41</v>
      </c>
      <c r="E851">
        <v>0</v>
      </c>
      <c r="F851">
        <v>0</v>
      </c>
      <c r="G851">
        <v>0</v>
      </c>
      <c r="H851" s="4">
        <v>1570522507383</v>
      </c>
      <c r="I851">
        <v>526.875</v>
      </c>
      <c r="J851" s="9">
        <f t="shared" si="13"/>
        <v>43746.635502118057</v>
      </c>
      <c r="K851" s="1"/>
    </row>
    <row r="852" spans="1:11" x14ac:dyDescent="0.25">
      <c r="A852" t="e">
        <f>-LqeQwnlztbrTkMIBvde</f>
        <v>#NAME?</v>
      </c>
      <c r="B852">
        <v>393.75</v>
      </c>
      <c r="C852">
        <v>20.584240000000001</v>
      </c>
      <c r="D852">
        <v>39</v>
      </c>
      <c r="E852">
        <v>0</v>
      </c>
      <c r="F852">
        <v>0</v>
      </c>
      <c r="G852">
        <v>0</v>
      </c>
      <c r="H852" s="4">
        <v>1570522515603</v>
      </c>
      <c r="I852">
        <v>526.5</v>
      </c>
      <c r="J852" s="9">
        <f t="shared" si="13"/>
        <v>43746.635597256944</v>
      </c>
      <c r="K852" s="1"/>
    </row>
    <row r="853" spans="1:11" x14ac:dyDescent="0.25">
      <c r="A853" t="e">
        <f>-LqeQyO299ZXOuYCLoMw</f>
        <v>#NAME?</v>
      </c>
      <c r="B853">
        <v>393.75</v>
      </c>
      <c r="C853">
        <v>20.584240000000001</v>
      </c>
      <c r="D853">
        <v>39</v>
      </c>
      <c r="E853">
        <v>0</v>
      </c>
      <c r="F853">
        <v>0</v>
      </c>
      <c r="G853">
        <v>0</v>
      </c>
      <c r="H853" s="4">
        <v>1570522521782</v>
      </c>
      <c r="I853">
        <v>526.6875</v>
      </c>
      <c r="J853" s="9">
        <f t="shared" si="13"/>
        <v>43746.635668773146</v>
      </c>
      <c r="K853" s="1"/>
    </row>
    <row r="854" spans="1:11" x14ac:dyDescent="0.25">
      <c r="A854" t="s">
        <v>51</v>
      </c>
      <c r="B854">
        <v>393.75</v>
      </c>
      <c r="C854">
        <v>20.584240000000001</v>
      </c>
      <c r="D854">
        <v>42</v>
      </c>
      <c r="E854">
        <v>0</v>
      </c>
      <c r="F854">
        <v>0</v>
      </c>
      <c r="G854">
        <v>0</v>
      </c>
      <c r="H854" s="4">
        <v>1570522529023</v>
      </c>
      <c r="I854">
        <v>526.6875</v>
      </c>
      <c r="J854" s="9">
        <f t="shared" si="13"/>
        <v>43746.635752581016</v>
      </c>
      <c r="K854" s="1"/>
    </row>
    <row r="855" spans="1:11" x14ac:dyDescent="0.25">
      <c r="A855" t="e">
        <f>-LqeR0sjfHXkFTZfxW1F</f>
        <v>#NAME?</v>
      </c>
      <c r="B855">
        <v>393.75</v>
      </c>
      <c r="C855">
        <v>20.584240000000001</v>
      </c>
      <c r="D855">
        <v>41</v>
      </c>
      <c r="E855">
        <v>0</v>
      </c>
      <c r="F855">
        <v>0</v>
      </c>
      <c r="G855">
        <v>0</v>
      </c>
      <c r="H855" s="4">
        <v>1570522536231</v>
      </c>
      <c r="I855">
        <v>526.5</v>
      </c>
      <c r="J855" s="9">
        <f t="shared" si="13"/>
        <v>43746.635836006943</v>
      </c>
      <c r="K855" s="1"/>
    </row>
    <row r="856" spans="1:11" x14ac:dyDescent="0.25">
      <c r="A856" t="e">
        <f>-LqeR2bsl9xaihoonHjH</f>
        <v>#NAME?</v>
      </c>
      <c r="B856">
        <v>393.75</v>
      </c>
      <c r="C856">
        <v>20.584240000000001</v>
      </c>
      <c r="D856">
        <v>40</v>
      </c>
      <c r="E856">
        <v>0</v>
      </c>
      <c r="F856">
        <v>0</v>
      </c>
      <c r="G856">
        <v>0</v>
      </c>
      <c r="H856" s="4">
        <v>1570522543422</v>
      </c>
      <c r="I856">
        <v>526.6875</v>
      </c>
      <c r="J856" s="9">
        <f t="shared" si="13"/>
        <v>43746.635919236105</v>
      </c>
      <c r="K856" s="1"/>
    </row>
    <row r="857" spans="1:11" x14ac:dyDescent="0.25">
      <c r="A857" t="e">
        <f>-LqeR4ApK02fQkp6LRFH</f>
        <v>#NAME?</v>
      </c>
      <c r="B857">
        <v>393.75</v>
      </c>
      <c r="C857">
        <v>20.531590000000001</v>
      </c>
      <c r="D857">
        <v>40</v>
      </c>
      <c r="E857">
        <v>0</v>
      </c>
      <c r="F857">
        <v>0</v>
      </c>
      <c r="G857">
        <v>0</v>
      </c>
      <c r="H857" s="4">
        <v>1570522549629</v>
      </c>
      <c r="I857">
        <v>526.6875</v>
      </c>
      <c r="J857" s="9">
        <f t="shared" si="13"/>
        <v>43746.635991076386</v>
      </c>
      <c r="K857" s="1"/>
    </row>
    <row r="858" spans="1:11" x14ac:dyDescent="0.25">
      <c r="A858" t="e">
        <f>-LqeR6D2oGDUwQ02uB28</f>
        <v>#NAME?</v>
      </c>
      <c r="B858">
        <v>393.75</v>
      </c>
      <c r="C858">
        <v>20.584240000000001</v>
      </c>
      <c r="D858">
        <v>41</v>
      </c>
      <c r="E858">
        <v>0</v>
      </c>
      <c r="F858">
        <v>0</v>
      </c>
      <c r="G858">
        <v>0</v>
      </c>
      <c r="H858" s="4">
        <v>1570522558009</v>
      </c>
      <c r="I858">
        <v>526.6875</v>
      </c>
      <c r="J858" s="9">
        <f t="shared" si="13"/>
        <v>43746.636088067127</v>
      </c>
      <c r="K858" s="1"/>
    </row>
    <row r="859" spans="1:11" x14ac:dyDescent="0.25">
      <c r="A859" t="e">
        <f>-LqeR7vp2kYWjRUnivdp</f>
        <v>#NAME?</v>
      </c>
      <c r="B859">
        <v>393.75</v>
      </c>
      <c r="C859">
        <v>20.584240000000001</v>
      </c>
      <c r="D859">
        <v>38</v>
      </c>
      <c r="E859">
        <v>0</v>
      </c>
      <c r="F859">
        <v>0</v>
      </c>
      <c r="G859">
        <v>0</v>
      </c>
      <c r="H859" s="4">
        <v>1570522565082</v>
      </c>
      <c r="I859">
        <v>526.6875</v>
      </c>
      <c r="J859" s="9">
        <f t="shared" si="13"/>
        <v>43746.636169930549</v>
      </c>
      <c r="K859" s="1"/>
    </row>
    <row r="860" spans="1:11" x14ac:dyDescent="0.25">
      <c r="A860" t="e">
        <f>-LqeR9y0EhIZcH_4ko_r</f>
        <v>#NAME?</v>
      </c>
      <c r="B860">
        <v>418.75</v>
      </c>
      <c r="C860">
        <v>20.531590000000001</v>
      </c>
      <c r="D860">
        <v>39</v>
      </c>
      <c r="E860">
        <v>0</v>
      </c>
      <c r="F860">
        <v>0</v>
      </c>
      <c r="G860">
        <v>0</v>
      </c>
      <c r="H860" s="4">
        <v>1570522573390</v>
      </c>
      <c r="I860">
        <v>534.5625</v>
      </c>
      <c r="J860" s="9">
        <f t="shared" si="13"/>
        <v>43746.63626608796</v>
      </c>
      <c r="K860" s="1"/>
    </row>
    <row r="861" spans="1:11" x14ac:dyDescent="0.25">
      <c r="A861" t="e">
        <f>-LqeRBexQs_siC6hpWkb</f>
        <v>#NAME?</v>
      </c>
      <c r="B861">
        <v>393.75</v>
      </c>
      <c r="C861">
        <v>20.584240000000001</v>
      </c>
      <c r="D861">
        <v>39</v>
      </c>
      <c r="E861">
        <v>0</v>
      </c>
      <c r="F861">
        <v>0</v>
      </c>
      <c r="G861">
        <v>0</v>
      </c>
      <c r="H861" s="4">
        <v>1570522580545</v>
      </c>
      <c r="I861">
        <v>526.6875</v>
      </c>
      <c r="J861" s="9">
        <f t="shared" si="13"/>
        <v>43746.636348900465</v>
      </c>
      <c r="K861" s="1"/>
    </row>
    <row r="862" spans="1:11" x14ac:dyDescent="0.25">
      <c r="A862" t="e">
        <f>-LqeRDSmVJVYMX5MmYe0</f>
        <v>#NAME?</v>
      </c>
      <c r="B862">
        <v>412.5</v>
      </c>
      <c r="C862">
        <v>20.584240000000001</v>
      </c>
      <c r="D862">
        <v>39</v>
      </c>
      <c r="E862">
        <v>0</v>
      </c>
      <c r="F862">
        <v>0</v>
      </c>
      <c r="G862">
        <v>0</v>
      </c>
      <c r="H862" s="4">
        <v>1570522587753</v>
      </c>
      <c r="I862">
        <v>532.125</v>
      </c>
      <c r="J862" s="9">
        <f t="shared" si="13"/>
        <v>43746.636432326392</v>
      </c>
      <c r="K862" s="1"/>
    </row>
    <row r="863" spans="1:11" x14ac:dyDescent="0.25">
      <c r="A863" t="e">
        <f>-LqeRFS1XtuI9UNVpQ4u</f>
        <v>#NAME?</v>
      </c>
      <c r="B863">
        <v>393.75</v>
      </c>
      <c r="C863">
        <v>20.584240000000001</v>
      </c>
      <c r="D863">
        <v>39</v>
      </c>
      <c r="E863">
        <v>0</v>
      </c>
      <c r="F863">
        <v>0</v>
      </c>
      <c r="G863">
        <v>0</v>
      </c>
      <c r="H863" s="4">
        <v>1570522594943</v>
      </c>
      <c r="I863">
        <v>526.5</v>
      </c>
      <c r="J863" s="9">
        <f t="shared" si="13"/>
        <v>43746.636515543978</v>
      </c>
      <c r="K863" s="1"/>
    </row>
    <row r="864" spans="1:11" x14ac:dyDescent="0.25">
      <c r="A864" t="e">
        <f>-LqeRGywFT7sx7whjbHH</f>
        <v>#NAME?</v>
      </c>
      <c r="B864">
        <v>393.75</v>
      </c>
      <c r="C864">
        <v>20.584240000000001</v>
      </c>
      <c r="D864">
        <v>40</v>
      </c>
      <c r="E864">
        <v>0</v>
      </c>
      <c r="F864">
        <v>0</v>
      </c>
      <c r="G864">
        <v>0</v>
      </c>
      <c r="H864" s="4">
        <v>1570522602173</v>
      </c>
      <c r="I864">
        <v>526.6875</v>
      </c>
      <c r="J864" s="9">
        <f t="shared" si="13"/>
        <v>43746.636599224534</v>
      </c>
      <c r="K864" s="1"/>
    </row>
    <row r="865" spans="1:11" x14ac:dyDescent="0.25">
      <c r="A865" t="e">
        <f>-LqeRIiAFvoOFE5PJvuD</f>
        <v>#NAME?</v>
      </c>
      <c r="B865">
        <v>393.75</v>
      </c>
      <c r="C865">
        <v>20.531590000000001</v>
      </c>
      <c r="D865">
        <v>39</v>
      </c>
      <c r="E865">
        <v>0</v>
      </c>
      <c r="F865">
        <v>0</v>
      </c>
      <c r="G865">
        <v>0</v>
      </c>
      <c r="H865" s="4">
        <v>1570522609373</v>
      </c>
      <c r="I865">
        <v>526.6875</v>
      </c>
      <c r="J865" s="9">
        <f t="shared" si="13"/>
        <v>43746.636682557866</v>
      </c>
      <c r="K865" s="1"/>
    </row>
    <row r="866" spans="1:11" x14ac:dyDescent="0.25">
      <c r="A866" t="e">
        <f>-LqeRKFmkRC2stMjPQKI</f>
        <v>#NAME?</v>
      </c>
      <c r="B866">
        <v>393.75</v>
      </c>
      <c r="C866">
        <v>20.584240000000001</v>
      </c>
      <c r="D866">
        <v>39</v>
      </c>
      <c r="E866">
        <v>0</v>
      </c>
      <c r="F866">
        <v>0</v>
      </c>
      <c r="G866">
        <v>0</v>
      </c>
      <c r="H866" s="4">
        <v>1570522615553</v>
      </c>
      <c r="I866">
        <v>526.6875</v>
      </c>
      <c r="J866" s="9">
        <f t="shared" si="13"/>
        <v>43746.636754085644</v>
      </c>
      <c r="K866" s="1"/>
    </row>
    <row r="867" spans="1:11" x14ac:dyDescent="0.25">
      <c r="A867" t="s">
        <v>52</v>
      </c>
      <c r="B867">
        <v>412.5</v>
      </c>
      <c r="C867">
        <v>20.584240000000001</v>
      </c>
      <c r="D867">
        <v>41</v>
      </c>
      <c r="E867">
        <v>0</v>
      </c>
      <c r="F867">
        <v>0</v>
      </c>
      <c r="G867">
        <v>0</v>
      </c>
      <c r="H867" s="4">
        <v>1570522622784</v>
      </c>
      <c r="I867">
        <v>532.125</v>
      </c>
      <c r="J867" s="9">
        <f t="shared" si="13"/>
        <v>43746.636837777776</v>
      </c>
      <c r="K867" s="1"/>
    </row>
    <row r="868" spans="1:11" x14ac:dyDescent="0.25">
      <c r="A868" t="e">
        <f>-LqeRNlkKVC1JwnF32qd</f>
        <v>#NAME?</v>
      </c>
      <c r="B868">
        <v>393.75</v>
      </c>
      <c r="C868">
        <v>20.584240000000001</v>
      </c>
      <c r="D868">
        <v>40</v>
      </c>
      <c r="E868">
        <v>0</v>
      </c>
      <c r="F868">
        <v>0</v>
      </c>
      <c r="G868">
        <v>0</v>
      </c>
      <c r="H868" s="4">
        <v>1570522629994</v>
      </c>
      <c r="I868">
        <v>526.6875</v>
      </c>
      <c r="J868" s="9">
        <f t="shared" si="13"/>
        <v>43746.636921226855</v>
      </c>
      <c r="K868" s="1"/>
    </row>
    <row r="869" spans="1:11" x14ac:dyDescent="0.25">
      <c r="A869" t="e">
        <f>-LqeRPUw8H6rE9t_Vs10</f>
        <v>#NAME?</v>
      </c>
      <c r="B869">
        <v>393.75</v>
      </c>
      <c r="C869">
        <v>20.584240000000001</v>
      </c>
      <c r="D869">
        <v>41</v>
      </c>
      <c r="E869">
        <v>0</v>
      </c>
      <c r="F869">
        <v>0</v>
      </c>
      <c r="G869">
        <v>0</v>
      </c>
      <c r="H869" s="4">
        <v>1570522637185</v>
      </c>
      <c r="I869">
        <v>526.6875</v>
      </c>
      <c r="J869" s="9">
        <f t="shared" si="13"/>
        <v>43746.637004456017</v>
      </c>
      <c r="K869" s="1"/>
    </row>
    <row r="870" spans="1:11" x14ac:dyDescent="0.25">
      <c r="A870" t="e">
        <f>-LqeRR2eSsWJXtPrAmDt</f>
        <v>#NAME?</v>
      </c>
      <c r="B870">
        <v>393.75</v>
      </c>
      <c r="C870">
        <v>20.531590000000001</v>
      </c>
      <c r="D870">
        <v>41</v>
      </c>
      <c r="E870">
        <v>0</v>
      </c>
      <c r="F870">
        <v>0</v>
      </c>
      <c r="G870">
        <v>0</v>
      </c>
      <c r="H870" s="4">
        <v>1570522643383</v>
      </c>
      <c r="I870">
        <v>526.6875</v>
      </c>
      <c r="J870" s="9">
        <f t="shared" si="13"/>
        <v>43746.637076192128</v>
      </c>
      <c r="K870" s="1"/>
    </row>
    <row r="871" spans="1:11" x14ac:dyDescent="0.25">
      <c r="A871" t="s">
        <v>53</v>
      </c>
      <c r="B871">
        <v>393.75</v>
      </c>
      <c r="C871">
        <v>20.584240000000001</v>
      </c>
      <c r="D871">
        <v>43</v>
      </c>
      <c r="E871">
        <v>0</v>
      </c>
      <c r="F871">
        <v>0</v>
      </c>
      <c r="G871">
        <v>0</v>
      </c>
      <c r="H871" s="4">
        <v>1570522650604</v>
      </c>
      <c r="I871">
        <v>526.5</v>
      </c>
      <c r="J871" s="9">
        <f t="shared" si="13"/>
        <v>43746.637159768514</v>
      </c>
      <c r="K871" s="1"/>
    </row>
    <row r="872" spans="1:11" x14ac:dyDescent="0.25">
      <c r="A872" t="e">
        <f>-LqeRUZem8cXTo4bzD09</f>
        <v>#NAME?</v>
      </c>
      <c r="B872">
        <v>418.75</v>
      </c>
      <c r="C872">
        <v>20.531590000000001</v>
      </c>
      <c r="D872">
        <v>43</v>
      </c>
      <c r="E872">
        <v>0</v>
      </c>
      <c r="F872">
        <v>0</v>
      </c>
      <c r="G872">
        <v>0</v>
      </c>
      <c r="H872" s="4">
        <v>1570522657814</v>
      </c>
      <c r="I872">
        <v>534.375</v>
      </c>
      <c r="J872" s="9">
        <f t="shared" si="13"/>
        <v>43746.637243217592</v>
      </c>
      <c r="K872" s="1"/>
    </row>
    <row r="873" spans="1:11" x14ac:dyDescent="0.25">
      <c r="A873" t="e">
        <f>-LqeRWHwB9UGLxQrm0ja</f>
        <v>#NAME?</v>
      </c>
      <c r="B873">
        <v>393.75</v>
      </c>
      <c r="C873">
        <v>20.531590000000001</v>
      </c>
      <c r="D873">
        <v>43</v>
      </c>
      <c r="E873">
        <v>0</v>
      </c>
      <c r="F873">
        <v>0</v>
      </c>
      <c r="G873">
        <v>0</v>
      </c>
      <c r="H873" s="4">
        <v>1570522665034</v>
      </c>
      <c r="I873">
        <v>526.5</v>
      </c>
      <c r="J873" s="9">
        <f t="shared" si="13"/>
        <v>43746.637326782402</v>
      </c>
      <c r="K873" s="1"/>
    </row>
    <row r="874" spans="1:11" x14ac:dyDescent="0.25">
      <c r="A874" t="e">
        <f>-LqeRY63D9wfI7m1mzvM</f>
        <v>#NAME?</v>
      </c>
      <c r="B874">
        <v>393.75</v>
      </c>
      <c r="C874">
        <v>20.584240000000001</v>
      </c>
      <c r="D874">
        <v>41</v>
      </c>
      <c r="E874">
        <v>0</v>
      </c>
      <c r="F874">
        <v>0</v>
      </c>
      <c r="G874">
        <v>0</v>
      </c>
      <c r="H874" s="4">
        <v>1570522672243</v>
      </c>
      <c r="I874">
        <v>526.5</v>
      </c>
      <c r="J874" s="9">
        <f t="shared" si="13"/>
        <v>43746.637410219904</v>
      </c>
      <c r="K874" s="1"/>
    </row>
    <row r="875" spans="1:11" x14ac:dyDescent="0.25">
      <c r="A875" t="e">
        <f>-LqeRZoQ07ACPkbS8J0L</f>
        <v>#NAME?</v>
      </c>
      <c r="B875">
        <v>393.75</v>
      </c>
      <c r="C875">
        <v>20.584240000000001</v>
      </c>
      <c r="D875">
        <v>40</v>
      </c>
      <c r="E875">
        <v>0</v>
      </c>
      <c r="F875">
        <v>0</v>
      </c>
      <c r="G875">
        <v>0</v>
      </c>
      <c r="H875" s="4">
        <v>1570522679433</v>
      </c>
      <c r="I875">
        <v>526.5</v>
      </c>
      <c r="J875" s="9">
        <f t="shared" si="13"/>
        <v>43746.637493437498</v>
      </c>
      <c r="K875" s="1"/>
    </row>
    <row r="876" spans="1:11" x14ac:dyDescent="0.25">
      <c r="A876" t="s">
        <v>54</v>
      </c>
      <c r="B876">
        <v>393.75</v>
      </c>
      <c r="C876">
        <v>20.584240000000001</v>
      </c>
      <c r="D876">
        <v>40</v>
      </c>
      <c r="E876">
        <v>0</v>
      </c>
      <c r="F876">
        <v>0</v>
      </c>
      <c r="G876">
        <v>0</v>
      </c>
      <c r="H876" s="4">
        <v>1570522685623</v>
      </c>
      <c r="I876">
        <v>526.5</v>
      </c>
      <c r="J876" s="9">
        <f t="shared" si="13"/>
        <v>43746.637565081015</v>
      </c>
      <c r="K876" s="1"/>
    </row>
    <row r="877" spans="1:11" x14ac:dyDescent="0.25">
      <c r="A877" t="e">
        <f>-LqeRcFpT4SzXbEsXi68</f>
        <v>#NAME?</v>
      </c>
      <c r="B877">
        <v>418.75</v>
      </c>
      <c r="C877">
        <v>20.584240000000001</v>
      </c>
      <c r="D877">
        <v>39</v>
      </c>
      <c r="E877">
        <v>0</v>
      </c>
      <c r="F877">
        <v>0</v>
      </c>
      <c r="G877">
        <v>0</v>
      </c>
      <c r="H877" s="4">
        <v>1570522692857</v>
      </c>
      <c r="I877">
        <v>534.375</v>
      </c>
      <c r="J877" s="9">
        <f t="shared" si="13"/>
        <v>43746.637648807868</v>
      </c>
      <c r="K877" s="1"/>
    </row>
    <row r="878" spans="1:11" x14ac:dyDescent="0.25">
      <c r="A878" t="e">
        <f>-LqeRdso6zDJeQcXLQp5</f>
        <v>#NAME?</v>
      </c>
      <c r="B878">
        <v>393.75</v>
      </c>
      <c r="C878">
        <v>20.584240000000001</v>
      </c>
      <c r="D878">
        <v>38</v>
      </c>
      <c r="E878">
        <v>0</v>
      </c>
      <c r="F878">
        <v>0</v>
      </c>
      <c r="G878">
        <v>0</v>
      </c>
      <c r="H878" s="4">
        <v>1570522700072</v>
      </c>
      <c r="I878">
        <v>526.6875</v>
      </c>
      <c r="J878" s="9">
        <f t="shared" si="13"/>
        <v>43746.637732314812</v>
      </c>
      <c r="K878" s="1"/>
    </row>
    <row r="879" spans="1:11" x14ac:dyDescent="0.25">
      <c r="A879" t="e">
        <f>-LqeRfan83ALX1aGMHkg</f>
        <v>#NAME?</v>
      </c>
      <c r="B879">
        <v>393.75</v>
      </c>
      <c r="C879">
        <v>20.584240000000001</v>
      </c>
      <c r="D879">
        <v>38</v>
      </c>
      <c r="E879">
        <v>0</v>
      </c>
      <c r="F879">
        <v>0</v>
      </c>
      <c r="G879">
        <v>0</v>
      </c>
      <c r="H879" s="4">
        <v>1570522707263</v>
      </c>
      <c r="I879">
        <v>526.6875</v>
      </c>
      <c r="J879" s="9">
        <f t="shared" si="13"/>
        <v>43746.637815543982</v>
      </c>
      <c r="K879" s="1"/>
    </row>
    <row r="880" spans="1:11" x14ac:dyDescent="0.25">
      <c r="A880" t="e">
        <f>-LqeRhQ3h6yMFU5Pcg-e</f>
        <v>#NAME?</v>
      </c>
      <c r="B880">
        <v>393.75</v>
      </c>
      <c r="C880">
        <v>20.531590000000001</v>
      </c>
      <c r="D880">
        <v>38</v>
      </c>
      <c r="E880">
        <v>0</v>
      </c>
      <c r="F880">
        <v>0</v>
      </c>
      <c r="G880">
        <v>0</v>
      </c>
      <c r="H880" s="4">
        <v>1570522714483</v>
      </c>
      <c r="I880">
        <v>526.6875</v>
      </c>
      <c r="J880" s="9">
        <f t="shared" si="13"/>
        <v>43746.637899108791</v>
      </c>
      <c r="K880" s="1"/>
    </row>
    <row r="881" spans="1:11" x14ac:dyDescent="0.25">
      <c r="A881" t="e">
        <f>-LqeRj8BDF2oXvIQMbeI</f>
        <v>#NAME?</v>
      </c>
      <c r="B881">
        <v>393.75</v>
      </c>
      <c r="C881">
        <v>20.584240000000001</v>
      </c>
      <c r="D881">
        <v>39</v>
      </c>
      <c r="E881">
        <v>0</v>
      </c>
      <c r="F881">
        <v>0</v>
      </c>
      <c r="G881">
        <v>0</v>
      </c>
      <c r="H881" s="4">
        <v>1570522721674</v>
      </c>
      <c r="I881">
        <v>526.6875</v>
      </c>
      <c r="J881" s="9">
        <f t="shared" si="13"/>
        <v>43746.637982337961</v>
      </c>
      <c r="K881" s="1"/>
    </row>
    <row r="882" spans="1:11" x14ac:dyDescent="0.25">
      <c r="A882" t="e">
        <f>-LqeRkw3JSnzhBGK7_T6</f>
        <v>#NAME?</v>
      </c>
      <c r="B882">
        <v>393.75</v>
      </c>
      <c r="C882">
        <v>20.584240000000001</v>
      </c>
      <c r="D882">
        <v>39</v>
      </c>
      <c r="E882">
        <v>0</v>
      </c>
      <c r="F882">
        <v>0</v>
      </c>
      <c r="G882">
        <v>0</v>
      </c>
      <c r="H882" s="4">
        <v>1570522727863</v>
      </c>
      <c r="I882">
        <v>526.875</v>
      </c>
      <c r="J882" s="9">
        <f t="shared" si="13"/>
        <v>43746.638053969909</v>
      </c>
      <c r="K882" s="1"/>
    </row>
    <row r="883" spans="1:11" x14ac:dyDescent="0.25">
      <c r="A883" t="e">
        <f>-LqeRmeIGNn9cHkFRWfJ</f>
        <v>#NAME?</v>
      </c>
      <c r="B883">
        <v>393.75</v>
      </c>
      <c r="C883">
        <v>20.584240000000001</v>
      </c>
      <c r="D883">
        <v>39</v>
      </c>
      <c r="E883">
        <v>0</v>
      </c>
      <c r="F883">
        <v>0</v>
      </c>
      <c r="G883">
        <v>0</v>
      </c>
      <c r="H883" s="4">
        <v>1570522736106</v>
      </c>
      <c r="I883">
        <v>526.6875</v>
      </c>
      <c r="J883" s="9">
        <f t="shared" si="13"/>
        <v>43746.638149375001</v>
      </c>
      <c r="K883" s="1"/>
    </row>
    <row r="884" spans="1:11" x14ac:dyDescent="0.25">
      <c r="A884" t="e">
        <f>-LqeRoD5uqqo3r63QJJn</f>
        <v>#NAME?</v>
      </c>
      <c r="B884">
        <v>421.875</v>
      </c>
      <c r="C884">
        <v>20.584240000000001</v>
      </c>
      <c r="D884">
        <v>37</v>
      </c>
      <c r="E884">
        <v>0</v>
      </c>
      <c r="F884">
        <v>0</v>
      </c>
      <c r="G884">
        <v>0</v>
      </c>
      <c r="H884" s="4">
        <v>1570522742307</v>
      </c>
      <c r="I884">
        <v>535.5</v>
      </c>
      <c r="J884" s="9">
        <f t="shared" si="13"/>
        <v>43746.638221145833</v>
      </c>
      <c r="K884" s="1"/>
    </row>
    <row r="885" spans="1:11" x14ac:dyDescent="0.25">
      <c r="A885" t="e">
        <f>-LqeRpx9QvbL3lWjUvcG</f>
        <v>#NAME?</v>
      </c>
      <c r="B885">
        <v>393.75</v>
      </c>
      <c r="C885">
        <v>20.584240000000001</v>
      </c>
      <c r="D885">
        <v>38</v>
      </c>
      <c r="E885">
        <v>0</v>
      </c>
      <c r="F885">
        <v>0</v>
      </c>
      <c r="G885">
        <v>0</v>
      </c>
      <c r="H885" s="4">
        <v>1570522749509</v>
      </c>
      <c r="I885">
        <v>526.6875</v>
      </c>
      <c r="J885" s="9">
        <f t="shared" si="13"/>
        <v>43746.638304502318</v>
      </c>
      <c r="K885" s="1"/>
    </row>
    <row r="886" spans="1:11" x14ac:dyDescent="0.25">
      <c r="A886" t="s">
        <v>55</v>
      </c>
      <c r="B886">
        <v>393.75</v>
      </c>
      <c r="C886">
        <v>20.584240000000001</v>
      </c>
      <c r="D886">
        <v>38</v>
      </c>
      <c r="E886">
        <v>0</v>
      </c>
      <c r="F886">
        <v>0</v>
      </c>
      <c r="G886">
        <v>0</v>
      </c>
      <c r="H886" s="4">
        <v>1570522755706</v>
      </c>
      <c r="I886">
        <v>526.6875</v>
      </c>
      <c r="J886" s="9">
        <f t="shared" si="13"/>
        <v>43746.638376226845</v>
      </c>
      <c r="K886" s="1"/>
    </row>
    <row r="887" spans="1:11" x14ac:dyDescent="0.25">
      <c r="A887" t="e">
        <f>-LqeRtK-Swbf0ZvTunEH</f>
        <v>#NAME?</v>
      </c>
      <c r="B887">
        <v>393.75</v>
      </c>
      <c r="C887">
        <v>20.584240000000001</v>
      </c>
      <c r="D887">
        <v>40</v>
      </c>
      <c r="E887">
        <v>0</v>
      </c>
      <c r="F887">
        <v>0</v>
      </c>
      <c r="G887">
        <v>0</v>
      </c>
      <c r="H887" s="4">
        <v>1570522762917</v>
      </c>
      <c r="I887">
        <v>526.6875</v>
      </c>
      <c r="J887" s="9">
        <f t="shared" si="13"/>
        <v>43746.638459687492</v>
      </c>
      <c r="K887" s="1"/>
    </row>
    <row r="888" spans="1:11" x14ac:dyDescent="0.25">
      <c r="A888" t="e">
        <f>-LqeRv0Kc9j8BlUSCgfV</f>
        <v>#NAME?</v>
      </c>
      <c r="B888">
        <v>393.75</v>
      </c>
      <c r="C888">
        <v>20.584240000000001</v>
      </c>
      <c r="D888">
        <v>40</v>
      </c>
      <c r="E888">
        <v>0</v>
      </c>
      <c r="F888">
        <v>0</v>
      </c>
      <c r="G888">
        <v>2</v>
      </c>
      <c r="H888" s="4">
        <v>1570522770127</v>
      </c>
      <c r="I888">
        <v>526.5</v>
      </c>
      <c r="J888" s="9">
        <f t="shared" si="13"/>
        <v>43746.638543136571</v>
      </c>
      <c r="K888" s="1"/>
    </row>
    <row r="889" spans="1:11" x14ac:dyDescent="0.25">
      <c r="A889" t="s">
        <v>56</v>
      </c>
      <c r="B889">
        <v>393.75</v>
      </c>
      <c r="C889">
        <v>20.584240000000001</v>
      </c>
      <c r="D889">
        <v>40</v>
      </c>
      <c r="E889">
        <v>0</v>
      </c>
      <c r="F889">
        <v>0</v>
      </c>
      <c r="G889">
        <v>0</v>
      </c>
      <c r="H889" s="4">
        <v>1570522777356</v>
      </c>
      <c r="I889">
        <v>526.6875</v>
      </c>
      <c r="J889" s="9">
        <f t="shared" si="13"/>
        <v>43746.638626805558</v>
      </c>
      <c r="K889" s="1"/>
    </row>
    <row r="890" spans="1:11" x14ac:dyDescent="0.25">
      <c r="A890" t="e">
        <f>-LqeRyVow2brbeMIo3Uh</f>
        <v>#NAME?</v>
      </c>
      <c r="B890">
        <v>393.75</v>
      </c>
      <c r="C890">
        <v>20.584240000000001</v>
      </c>
      <c r="D890">
        <v>40</v>
      </c>
      <c r="E890">
        <v>0</v>
      </c>
      <c r="F890">
        <v>0</v>
      </c>
      <c r="G890">
        <v>0</v>
      </c>
      <c r="H890" s="4">
        <v>1570522784557</v>
      </c>
      <c r="I890">
        <v>526.6875</v>
      </c>
      <c r="J890" s="9">
        <f t="shared" si="13"/>
        <v>43746.638710150459</v>
      </c>
      <c r="K890" s="1"/>
    </row>
    <row r="891" spans="1:11" x14ac:dyDescent="0.25">
      <c r="A891" t="e">
        <f>-LqeS-EUcGbJieKTRuWb</f>
        <v>#NAME?</v>
      </c>
      <c r="B891">
        <v>393.75</v>
      </c>
      <c r="C891">
        <v>20.584240000000001</v>
      </c>
      <c r="D891">
        <v>41</v>
      </c>
      <c r="E891">
        <v>0</v>
      </c>
      <c r="F891">
        <v>0</v>
      </c>
      <c r="G891">
        <v>1</v>
      </c>
      <c r="H891" s="4">
        <v>1570522791746</v>
      </c>
      <c r="I891">
        <v>526.5</v>
      </c>
      <c r="J891" s="9">
        <f t="shared" si="13"/>
        <v>43746.638793356477</v>
      </c>
      <c r="K891" s="1"/>
    </row>
    <row r="892" spans="1:11" x14ac:dyDescent="0.25">
      <c r="A892" t="e">
        <f>-LqeS1IKZXQCrXMf0bwz</f>
        <v>#NAME?</v>
      </c>
      <c r="B892">
        <v>412.5</v>
      </c>
      <c r="C892">
        <v>20.584240000000001</v>
      </c>
      <c r="D892">
        <v>43</v>
      </c>
      <c r="E892">
        <v>0</v>
      </c>
      <c r="F892">
        <v>0</v>
      </c>
      <c r="G892">
        <v>11</v>
      </c>
      <c r="H892" s="4">
        <v>1570522799897</v>
      </c>
      <c r="I892">
        <v>532.3125</v>
      </c>
      <c r="J892" s="9">
        <f t="shared" si="13"/>
        <v>43746.638887696761</v>
      </c>
      <c r="K892" s="1"/>
    </row>
    <row r="893" spans="1:11" x14ac:dyDescent="0.25">
      <c r="A893" t="e">
        <f>-LqeS3P5KpqNHHCYtNXN</f>
        <v>#NAME?</v>
      </c>
      <c r="B893">
        <v>393.75</v>
      </c>
      <c r="C893">
        <v>20.531590000000001</v>
      </c>
      <c r="D893">
        <v>41</v>
      </c>
      <c r="E893">
        <v>0</v>
      </c>
      <c r="F893">
        <v>0</v>
      </c>
      <c r="G893">
        <v>0</v>
      </c>
      <c r="H893" s="4">
        <v>1570522807226</v>
      </c>
      <c r="I893">
        <v>526.6875</v>
      </c>
      <c r="J893" s="9">
        <f t="shared" si="13"/>
        <v>43746.638972523149</v>
      </c>
      <c r="K893" s="1"/>
    </row>
    <row r="894" spans="1:11" x14ac:dyDescent="0.25">
      <c r="A894" t="e">
        <f>-LqeS55y0S6oUB-ed0y0</f>
        <v>#NAME?</v>
      </c>
      <c r="B894">
        <v>393.75</v>
      </c>
      <c r="C894">
        <v>20.531590000000001</v>
      </c>
      <c r="D894">
        <v>41</v>
      </c>
      <c r="E894">
        <v>0</v>
      </c>
      <c r="F894">
        <v>0</v>
      </c>
      <c r="G894">
        <v>0</v>
      </c>
      <c r="H894" s="4">
        <v>1570522815431</v>
      </c>
      <c r="I894">
        <v>526.6875</v>
      </c>
      <c r="J894" s="9">
        <f t="shared" si="13"/>
        <v>43746.639067488424</v>
      </c>
      <c r="K894" s="1"/>
    </row>
    <row r="895" spans="1:11" x14ac:dyDescent="0.25">
      <c r="A895" t="e">
        <f>-LqeS6p14yQCttDbaJNG</f>
        <v>#NAME?</v>
      </c>
      <c r="B895">
        <v>393.75</v>
      </c>
      <c r="C895">
        <v>20.584240000000001</v>
      </c>
      <c r="D895">
        <v>41</v>
      </c>
      <c r="E895">
        <v>0</v>
      </c>
      <c r="F895">
        <v>0</v>
      </c>
      <c r="G895">
        <v>1</v>
      </c>
      <c r="H895" s="4">
        <v>1570522822680</v>
      </c>
      <c r="I895">
        <v>526.6875</v>
      </c>
      <c r="J895" s="9">
        <f t="shared" si="13"/>
        <v>43746.639151388888</v>
      </c>
      <c r="K895" s="1"/>
    </row>
    <row r="896" spans="1:11" x14ac:dyDescent="0.25">
      <c r="A896" t="e">
        <f>-LqeS8WabTEQLGQfYSCP</f>
        <v>#NAME?</v>
      </c>
      <c r="B896">
        <v>393.75</v>
      </c>
      <c r="C896">
        <v>20.584240000000001</v>
      </c>
      <c r="D896">
        <v>41</v>
      </c>
      <c r="E896">
        <v>0</v>
      </c>
      <c r="F896">
        <v>0</v>
      </c>
      <c r="G896">
        <v>3</v>
      </c>
      <c r="H896" s="4">
        <v>1570522829890</v>
      </c>
      <c r="I896">
        <v>526.6875</v>
      </c>
      <c r="J896" s="9">
        <f t="shared" si="13"/>
        <v>43746.63923483796</v>
      </c>
      <c r="K896" s="1"/>
    </row>
    <row r="897" spans="1:11" x14ac:dyDescent="0.25">
      <c r="A897" t="e">
        <f>-LqeSA52qegJ-niO1J4m</f>
        <v>#NAME?</v>
      </c>
      <c r="B897">
        <v>393.75</v>
      </c>
      <c r="C897">
        <v>20.584240000000001</v>
      </c>
      <c r="D897">
        <v>41</v>
      </c>
      <c r="E897">
        <v>0</v>
      </c>
      <c r="F897">
        <v>0</v>
      </c>
      <c r="G897">
        <v>9</v>
      </c>
      <c r="H897" s="4">
        <v>1570522836090</v>
      </c>
      <c r="I897">
        <v>526.6875</v>
      </c>
      <c r="J897" s="9">
        <f t="shared" si="13"/>
        <v>43746.639306597215</v>
      </c>
      <c r="K897" s="1"/>
    </row>
    <row r="898" spans="1:11" x14ac:dyDescent="0.25">
      <c r="A898" t="e">
        <f>-LqeSBnj_35L0haOq2ua</f>
        <v>#NAME?</v>
      </c>
      <c r="B898">
        <v>393.75</v>
      </c>
      <c r="C898">
        <v>20.584240000000001</v>
      </c>
      <c r="D898">
        <v>41</v>
      </c>
      <c r="E898">
        <v>0</v>
      </c>
      <c r="F898">
        <v>0</v>
      </c>
      <c r="G898">
        <v>9</v>
      </c>
      <c r="H898" s="4">
        <v>1570522843262</v>
      </c>
      <c r="I898">
        <v>526.6875</v>
      </c>
      <c r="J898" s="9">
        <f t="shared" si="13"/>
        <v>43746.639389606476</v>
      </c>
      <c r="K898" s="1"/>
    </row>
    <row r="899" spans="1:11" x14ac:dyDescent="0.25">
      <c r="A899" t="e">
        <f>-LqeSDNqNAlZMtb4Og4R</f>
        <v>#NAME?</v>
      </c>
      <c r="B899">
        <v>393.75</v>
      </c>
      <c r="C899">
        <v>20.531590000000001</v>
      </c>
      <c r="D899">
        <v>41</v>
      </c>
      <c r="E899">
        <v>0</v>
      </c>
      <c r="F899">
        <v>0</v>
      </c>
      <c r="G899">
        <v>11</v>
      </c>
      <c r="H899" s="4">
        <v>1570522849463</v>
      </c>
      <c r="I899">
        <v>526.5</v>
      </c>
      <c r="J899" s="9">
        <f t="shared" ref="J899:J962" si="14">(H899/86400000)+25569+(7/24)</f>
        <v>43746.639461377308</v>
      </c>
      <c r="K899" s="1"/>
    </row>
    <row r="900" spans="1:11" x14ac:dyDescent="0.25">
      <c r="A900" t="e">
        <f>-LqeSF60L_C-uibt59GB</f>
        <v>#NAME?</v>
      </c>
      <c r="B900">
        <v>393.75</v>
      </c>
      <c r="C900">
        <v>20.584240000000001</v>
      </c>
      <c r="D900">
        <v>41</v>
      </c>
      <c r="E900">
        <v>0</v>
      </c>
      <c r="F900">
        <v>0</v>
      </c>
      <c r="G900">
        <v>8</v>
      </c>
      <c r="H900" s="4">
        <v>1570522856680</v>
      </c>
      <c r="I900">
        <v>526.6875</v>
      </c>
      <c r="J900" s="9">
        <f t="shared" si="14"/>
        <v>43746.639544907404</v>
      </c>
      <c r="K900" s="1"/>
    </row>
    <row r="901" spans="1:11" x14ac:dyDescent="0.25">
      <c r="A901" t="e">
        <f>-LqeSGshKLGc_0oBLtDX</f>
        <v>#NAME?</v>
      </c>
      <c r="B901">
        <v>421.875</v>
      </c>
      <c r="C901">
        <v>20.584240000000001</v>
      </c>
      <c r="D901">
        <v>40</v>
      </c>
      <c r="E901">
        <v>0</v>
      </c>
      <c r="F901">
        <v>0</v>
      </c>
      <c r="G901">
        <v>5</v>
      </c>
      <c r="H901" s="4">
        <v>1570522863892</v>
      </c>
      <c r="I901">
        <v>535.125</v>
      </c>
      <c r="J901" s="9">
        <f t="shared" si="14"/>
        <v>43746.639628379628</v>
      </c>
      <c r="K901" s="1"/>
    </row>
    <row r="902" spans="1:11" x14ac:dyDescent="0.25">
      <c r="A902" t="e">
        <f>-LqeSIajqUaiuqRbGIe2</f>
        <v>#NAME?</v>
      </c>
      <c r="B902">
        <v>393.75</v>
      </c>
      <c r="C902">
        <v>20.584240000000001</v>
      </c>
      <c r="D902">
        <v>40</v>
      </c>
      <c r="E902">
        <v>0</v>
      </c>
      <c r="F902">
        <v>0</v>
      </c>
      <c r="G902">
        <v>1</v>
      </c>
      <c r="H902" s="4">
        <v>1570522871101</v>
      </c>
      <c r="I902">
        <v>526.5</v>
      </c>
      <c r="J902" s="9">
        <f t="shared" si="14"/>
        <v>43746.639711817123</v>
      </c>
      <c r="K902" s="1"/>
    </row>
    <row r="903" spans="1:11" x14ac:dyDescent="0.25">
      <c r="A903" t="e">
        <f>-LqeSKAr6JAyTa3I40cw</f>
        <v>#NAME?</v>
      </c>
      <c r="B903">
        <v>393.75</v>
      </c>
      <c r="C903">
        <v>20.584240000000001</v>
      </c>
      <c r="D903">
        <v>39</v>
      </c>
      <c r="E903">
        <v>0</v>
      </c>
      <c r="F903">
        <v>0</v>
      </c>
      <c r="G903">
        <v>6</v>
      </c>
      <c r="H903" s="4">
        <v>1570522877290</v>
      </c>
      <c r="I903">
        <v>526.6875</v>
      </c>
      <c r="J903" s="9">
        <f t="shared" si="14"/>
        <v>43746.639783449071</v>
      </c>
      <c r="K903" s="1"/>
    </row>
    <row r="904" spans="1:11" x14ac:dyDescent="0.25">
      <c r="A904" t="e">
        <f>-LqeSLtqnVGkPBxyp-62</f>
        <v>#NAME?</v>
      </c>
      <c r="B904">
        <v>393.75</v>
      </c>
      <c r="C904">
        <v>20.531590000000001</v>
      </c>
      <c r="D904">
        <v>40</v>
      </c>
      <c r="E904">
        <v>0</v>
      </c>
      <c r="F904">
        <v>0</v>
      </c>
      <c r="G904">
        <v>0</v>
      </c>
      <c r="H904" s="4">
        <v>1570522884500</v>
      </c>
      <c r="I904">
        <v>526.6875</v>
      </c>
      <c r="J904" s="9">
        <f t="shared" si="14"/>
        <v>43746.639866898149</v>
      </c>
      <c r="K904" s="1"/>
    </row>
    <row r="905" spans="1:11" x14ac:dyDescent="0.25">
      <c r="A905" t="e">
        <f>-LqeSNfuqy2d4RfnZXTM</f>
        <v>#NAME?</v>
      </c>
      <c r="B905">
        <v>393.75</v>
      </c>
      <c r="C905">
        <v>20.531590000000001</v>
      </c>
      <c r="D905">
        <v>39</v>
      </c>
      <c r="E905">
        <v>0</v>
      </c>
      <c r="F905">
        <v>0</v>
      </c>
      <c r="G905">
        <v>16</v>
      </c>
      <c r="H905" s="4">
        <v>1570522891713</v>
      </c>
      <c r="I905">
        <v>526.6875</v>
      </c>
      <c r="J905" s="9">
        <f t="shared" si="14"/>
        <v>43746.639950381941</v>
      </c>
      <c r="K905" s="1"/>
    </row>
    <row r="906" spans="1:11" x14ac:dyDescent="0.25">
      <c r="A906" t="e">
        <f>-LqeSPQ-NQSWeR0zXT0E</f>
        <v>#NAME?</v>
      </c>
      <c r="B906">
        <v>418.75</v>
      </c>
      <c r="C906">
        <v>20.584240000000001</v>
      </c>
      <c r="D906">
        <v>39</v>
      </c>
      <c r="E906">
        <v>0</v>
      </c>
      <c r="F906">
        <v>0</v>
      </c>
      <c r="G906">
        <v>12</v>
      </c>
      <c r="H906" s="4">
        <v>1570522898921</v>
      </c>
      <c r="I906">
        <v>534.5625</v>
      </c>
      <c r="J906" s="9">
        <f t="shared" si="14"/>
        <v>43746.640033807867</v>
      </c>
      <c r="K906" s="1"/>
    </row>
    <row r="907" spans="1:11" x14ac:dyDescent="0.25">
      <c r="A907" t="e">
        <f>-LqeSRBl3HcN--dYdJTg</f>
        <v>#NAME?</v>
      </c>
      <c r="B907">
        <v>393.75</v>
      </c>
      <c r="C907">
        <v>20.531590000000001</v>
      </c>
      <c r="D907">
        <v>39</v>
      </c>
      <c r="E907">
        <v>0</v>
      </c>
      <c r="F907">
        <v>0</v>
      </c>
      <c r="G907">
        <v>10</v>
      </c>
      <c r="H907" s="4">
        <v>1570522906141</v>
      </c>
      <c r="I907">
        <v>526.6875</v>
      </c>
      <c r="J907" s="9">
        <f t="shared" si="14"/>
        <v>43746.640117372684</v>
      </c>
      <c r="K907" s="1"/>
    </row>
    <row r="908" spans="1:11" x14ac:dyDescent="0.25">
      <c r="A908" t="e">
        <f>-LqeSSwd8fWUPYnFSJKQ</f>
        <v>#NAME?</v>
      </c>
      <c r="B908">
        <v>393.75</v>
      </c>
      <c r="C908">
        <v>20.584240000000001</v>
      </c>
      <c r="D908">
        <v>39</v>
      </c>
      <c r="E908">
        <v>0</v>
      </c>
      <c r="F908">
        <v>0</v>
      </c>
      <c r="G908">
        <v>17</v>
      </c>
      <c r="H908" s="4">
        <v>1570522913351</v>
      </c>
      <c r="I908">
        <v>526.6875</v>
      </c>
      <c r="J908" s="9">
        <f t="shared" si="14"/>
        <v>43746.640200821756</v>
      </c>
      <c r="K908" s="1"/>
    </row>
    <row r="909" spans="1:11" x14ac:dyDescent="0.25">
      <c r="A909" t="e">
        <f>-LqeSUj3M4dEfEMIwGfQ</f>
        <v>#NAME?</v>
      </c>
      <c r="B909">
        <v>393.75</v>
      </c>
      <c r="C909">
        <v>20.584240000000001</v>
      </c>
      <c r="D909">
        <v>39</v>
      </c>
      <c r="E909">
        <v>0</v>
      </c>
      <c r="F909">
        <v>0</v>
      </c>
      <c r="G909">
        <v>8</v>
      </c>
      <c r="H909" s="4">
        <v>1570522920561</v>
      </c>
      <c r="I909">
        <v>526.6875</v>
      </c>
      <c r="J909" s="9">
        <f t="shared" si="14"/>
        <v>43746.640284270827</v>
      </c>
      <c r="K909" s="1"/>
    </row>
    <row r="910" spans="1:11" x14ac:dyDescent="0.25">
      <c r="A910" t="e">
        <f>-LqeSWS0hYLDQpHzYsJF</f>
        <v>#NAME?</v>
      </c>
      <c r="B910">
        <v>393.75</v>
      </c>
      <c r="C910">
        <v>20.584240000000001</v>
      </c>
      <c r="D910">
        <v>38</v>
      </c>
      <c r="E910">
        <v>0</v>
      </c>
      <c r="F910">
        <v>0</v>
      </c>
      <c r="G910">
        <v>7</v>
      </c>
      <c r="H910" s="4">
        <v>1570522927752</v>
      </c>
      <c r="I910">
        <v>526.6875</v>
      </c>
      <c r="J910" s="9">
        <f t="shared" si="14"/>
        <v>43746.640367499997</v>
      </c>
      <c r="K910" s="1"/>
    </row>
    <row r="911" spans="1:11" x14ac:dyDescent="0.25">
      <c r="A911" t="e">
        <f>-LqeSY-qdf7XLu1_Y24h</f>
        <v>#NAME?</v>
      </c>
      <c r="B911">
        <v>393.75</v>
      </c>
      <c r="C911">
        <v>20.584240000000001</v>
      </c>
      <c r="D911">
        <v>38</v>
      </c>
      <c r="E911">
        <v>0</v>
      </c>
      <c r="F911">
        <v>0</v>
      </c>
      <c r="G911">
        <v>8</v>
      </c>
      <c r="H911" s="4">
        <v>1570522933940</v>
      </c>
      <c r="I911">
        <v>526.6875</v>
      </c>
      <c r="J911" s="9">
        <f t="shared" si="14"/>
        <v>43746.640439120369</v>
      </c>
      <c r="K911" s="1"/>
    </row>
    <row r="912" spans="1:11" x14ac:dyDescent="0.25">
      <c r="A912" t="e">
        <f>-LqeSZj8F9vM5_nNxDSP</f>
        <v>#NAME?</v>
      </c>
      <c r="B912">
        <v>393.75</v>
      </c>
      <c r="C912">
        <v>20.584240000000001</v>
      </c>
      <c r="D912">
        <v>40</v>
      </c>
      <c r="E912">
        <v>0</v>
      </c>
      <c r="F912">
        <v>0</v>
      </c>
      <c r="G912">
        <v>12</v>
      </c>
      <c r="H912" s="4">
        <v>1570522941190</v>
      </c>
      <c r="I912">
        <v>526.6875</v>
      </c>
      <c r="J912" s="9">
        <f t="shared" si="14"/>
        <v>43746.640523032409</v>
      </c>
      <c r="K912" s="1"/>
    </row>
    <row r="913" spans="1:11" x14ac:dyDescent="0.25">
      <c r="A913" t="e">
        <f>-LqeSal7POLYnswMvhUh</f>
        <v>#NAME?</v>
      </c>
      <c r="B913">
        <v>393.75</v>
      </c>
      <c r="C913">
        <v>20.584240000000001</v>
      </c>
      <c r="D913">
        <v>44</v>
      </c>
      <c r="E913">
        <v>0</v>
      </c>
      <c r="F913">
        <v>0</v>
      </c>
      <c r="G913">
        <v>4</v>
      </c>
      <c r="H913" s="4">
        <v>1570522948412</v>
      </c>
      <c r="I913">
        <v>526.6875</v>
      </c>
      <c r="J913" s="9">
        <f t="shared" si="14"/>
        <v>43746.640606620371</v>
      </c>
      <c r="K913" s="1"/>
    </row>
    <row r="914" spans="1:11" x14ac:dyDescent="0.25">
      <c r="A914" t="e">
        <f>-LqeScSsX9diO7u-WQkn</f>
        <v>#NAME?</v>
      </c>
      <c r="B914">
        <v>393.75</v>
      </c>
      <c r="C914">
        <v>20.584240000000001</v>
      </c>
      <c r="D914">
        <v>44</v>
      </c>
      <c r="E914">
        <v>0</v>
      </c>
      <c r="F914">
        <v>0</v>
      </c>
      <c r="G914">
        <v>10</v>
      </c>
      <c r="H914" s="4">
        <v>1570522956621</v>
      </c>
      <c r="I914">
        <v>526.5</v>
      </c>
      <c r="J914" s="9">
        <f t="shared" si="14"/>
        <v>43746.640701631943</v>
      </c>
      <c r="K914" s="1"/>
    </row>
    <row r="915" spans="1:11" x14ac:dyDescent="0.25">
      <c r="A915" t="e">
        <f>-LqeSe1z6PPlsyMOcDOc</f>
        <v>#NAME?</v>
      </c>
      <c r="B915">
        <v>393.75</v>
      </c>
      <c r="C915">
        <v>20.584240000000001</v>
      </c>
      <c r="D915">
        <v>44</v>
      </c>
      <c r="E915">
        <v>0</v>
      </c>
      <c r="F915">
        <v>0</v>
      </c>
      <c r="G915">
        <v>10</v>
      </c>
      <c r="H915" s="4">
        <v>1570522962800</v>
      </c>
      <c r="I915">
        <v>526.6875</v>
      </c>
      <c r="J915" s="9">
        <f t="shared" si="14"/>
        <v>43746.640773148145</v>
      </c>
      <c r="K915" s="1"/>
    </row>
    <row r="916" spans="1:11" x14ac:dyDescent="0.25">
      <c r="A916" t="e">
        <f>-LqeSfXKOr8Rx1bBNPKi</f>
        <v>#NAME?</v>
      </c>
      <c r="B916">
        <v>393.75</v>
      </c>
      <c r="C916">
        <v>20.584240000000001</v>
      </c>
      <c r="D916">
        <v>44</v>
      </c>
      <c r="E916">
        <v>0</v>
      </c>
      <c r="F916">
        <v>0</v>
      </c>
      <c r="G916">
        <v>9</v>
      </c>
      <c r="H916" s="4">
        <v>1570522968992</v>
      </c>
      <c r="I916">
        <v>526.6875</v>
      </c>
      <c r="J916" s="9">
        <f t="shared" si="14"/>
        <v>43746.640844814814</v>
      </c>
      <c r="K916" s="1"/>
    </row>
    <row r="917" spans="1:11" x14ac:dyDescent="0.25">
      <c r="A917" t="e">
        <f>-LqeShItjemIf_v631hQ</f>
        <v>#NAME?</v>
      </c>
      <c r="B917">
        <v>393.75</v>
      </c>
      <c r="C917">
        <v>20.584240000000001</v>
      </c>
      <c r="D917">
        <v>44</v>
      </c>
      <c r="E917">
        <v>0</v>
      </c>
      <c r="F917">
        <v>0</v>
      </c>
      <c r="G917">
        <v>17</v>
      </c>
      <c r="H917" s="4">
        <v>1570522976199</v>
      </c>
      <c r="I917">
        <v>526.6875</v>
      </c>
      <c r="J917" s="9">
        <f t="shared" si="14"/>
        <v>43746.640928229164</v>
      </c>
      <c r="K917" s="1"/>
    </row>
    <row r="918" spans="1:11" x14ac:dyDescent="0.25">
      <c r="A918" t="e">
        <f>-LqeSjAl4UgvtNdbx42Q</f>
        <v>#NAME?</v>
      </c>
      <c r="B918">
        <v>393.75</v>
      </c>
      <c r="C918">
        <v>20.584240000000001</v>
      </c>
      <c r="D918">
        <v>42</v>
      </c>
      <c r="E918">
        <v>0</v>
      </c>
      <c r="F918">
        <v>0</v>
      </c>
      <c r="G918">
        <v>13</v>
      </c>
      <c r="H918" s="4">
        <v>1570522984041</v>
      </c>
      <c r="I918">
        <v>526.6875</v>
      </c>
      <c r="J918" s="9">
        <f t="shared" si="14"/>
        <v>43746.641018993054</v>
      </c>
      <c r="K918" s="1"/>
    </row>
    <row r="919" spans="1:11" x14ac:dyDescent="0.25">
      <c r="A919" t="e">
        <f>-LqeSkq-xCoaJJW1KsNr</f>
        <v>#NAME?</v>
      </c>
      <c r="B919">
        <v>393.75</v>
      </c>
      <c r="C919">
        <v>20.584240000000001</v>
      </c>
      <c r="D919">
        <v>42</v>
      </c>
      <c r="E919">
        <v>0</v>
      </c>
      <c r="F919">
        <v>0</v>
      </c>
      <c r="G919">
        <v>7</v>
      </c>
      <c r="H919" s="4">
        <v>1570522990630</v>
      </c>
      <c r="I919">
        <v>526.5</v>
      </c>
      <c r="J919" s="9">
        <f t="shared" si="14"/>
        <v>43746.641095254628</v>
      </c>
      <c r="K919" s="1"/>
    </row>
    <row r="920" spans="1:11" x14ac:dyDescent="0.25">
      <c r="A920" t="e">
        <f>-LqeSmmnUtmbQe4-P91B</f>
        <v>#NAME?</v>
      </c>
      <c r="B920">
        <v>393.75</v>
      </c>
      <c r="C920">
        <v>20.584240000000001</v>
      </c>
      <c r="D920">
        <v>43</v>
      </c>
      <c r="E920">
        <v>0</v>
      </c>
      <c r="F920">
        <v>0</v>
      </c>
      <c r="G920">
        <v>13</v>
      </c>
      <c r="H920" s="4">
        <v>1570522997820</v>
      </c>
      <c r="I920">
        <v>526.6875</v>
      </c>
      <c r="J920" s="9">
        <f t="shared" si="14"/>
        <v>43746.641178472222</v>
      </c>
      <c r="K920" s="1"/>
    </row>
    <row r="921" spans="1:11" x14ac:dyDescent="0.25">
      <c r="A921" t="e">
        <f>-LqeSoM-ABcOTfct6UUY</f>
        <v>#NAME?</v>
      </c>
      <c r="B921">
        <v>393.75</v>
      </c>
      <c r="C921">
        <v>20.584240000000001</v>
      </c>
      <c r="D921">
        <v>43</v>
      </c>
      <c r="E921">
        <v>0</v>
      </c>
      <c r="F921">
        <v>0</v>
      </c>
      <c r="G921">
        <v>0</v>
      </c>
      <c r="H921" s="4">
        <v>1570523005053</v>
      </c>
      <c r="I921">
        <v>526.6875</v>
      </c>
      <c r="J921" s="9">
        <f t="shared" si="14"/>
        <v>43746.641262187499</v>
      </c>
      <c r="K921" s="1"/>
    </row>
    <row r="922" spans="1:11" x14ac:dyDescent="0.25">
      <c r="A922" t="e">
        <f>-LqeSq40K79zsyU07BUI</f>
        <v>#NAME?</v>
      </c>
      <c r="B922">
        <v>393.75</v>
      </c>
      <c r="C922">
        <v>20.584240000000001</v>
      </c>
      <c r="D922">
        <v>44</v>
      </c>
      <c r="E922">
        <v>0</v>
      </c>
      <c r="F922">
        <v>0</v>
      </c>
      <c r="G922">
        <v>11</v>
      </c>
      <c r="H922" s="4">
        <v>1570523012232</v>
      </c>
      <c r="I922">
        <v>526.6875</v>
      </c>
      <c r="J922" s="9">
        <f t="shared" si="14"/>
        <v>43746.641345277771</v>
      </c>
      <c r="K922" s="1"/>
    </row>
    <row r="923" spans="1:11" x14ac:dyDescent="0.25">
      <c r="A923" t="e">
        <f>-LqeSrryf7aJ3b4EC4st</f>
        <v>#NAME?</v>
      </c>
      <c r="B923">
        <v>393.75</v>
      </c>
      <c r="C923">
        <v>20.584240000000001</v>
      </c>
      <c r="D923">
        <v>43</v>
      </c>
      <c r="E923">
        <v>0</v>
      </c>
      <c r="F923">
        <v>0</v>
      </c>
      <c r="G923">
        <v>19</v>
      </c>
      <c r="H923" s="4">
        <v>1570523019486</v>
      </c>
      <c r="I923">
        <v>526.6875</v>
      </c>
      <c r="J923" s="9">
        <f t="shared" si="14"/>
        <v>43746.641429236108</v>
      </c>
      <c r="K923" s="1"/>
    </row>
    <row r="924" spans="1:11" x14ac:dyDescent="0.25">
      <c r="A924" t="s">
        <v>57</v>
      </c>
      <c r="B924">
        <v>393.75</v>
      </c>
      <c r="C924">
        <v>20.584240000000001</v>
      </c>
      <c r="D924">
        <v>43</v>
      </c>
      <c r="E924">
        <v>0</v>
      </c>
      <c r="F924">
        <v>0</v>
      </c>
      <c r="G924">
        <v>21</v>
      </c>
      <c r="H924" s="4">
        <v>1570523026660</v>
      </c>
      <c r="I924">
        <v>526.6875</v>
      </c>
      <c r="J924" s="9">
        <f t="shared" si="14"/>
        <v>43746.641512268521</v>
      </c>
      <c r="K924" s="1"/>
    </row>
    <row r="925" spans="1:11" x14ac:dyDescent="0.25">
      <c r="A925" t="e">
        <f>-LqeSv7lQJid_18JmYV6</f>
        <v>#NAME?</v>
      </c>
      <c r="B925">
        <v>393.75</v>
      </c>
      <c r="C925">
        <v>20.584240000000001</v>
      </c>
      <c r="D925">
        <v>43</v>
      </c>
      <c r="E925">
        <v>0</v>
      </c>
      <c r="F925">
        <v>0</v>
      </c>
      <c r="G925">
        <v>15</v>
      </c>
      <c r="H925" s="4">
        <v>1570523032871</v>
      </c>
      <c r="I925">
        <v>526.6875</v>
      </c>
      <c r="J925" s="9">
        <f t="shared" si="14"/>
        <v>43746.641584155092</v>
      </c>
      <c r="K925" s="1"/>
    </row>
    <row r="926" spans="1:11" x14ac:dyDescent="0.25">
      <c r="A926" t="e">
        <f>-LqeSxBKNrVl8eJq7EqB</f>
        <v>#NAME?</v>
      </c>
      <c r="B926">
        <v>393.75</v>
      </c>
      <c r="C926">
        <v>20.584240000000001</v>
      </c>
      <c r="D926">
        <v>43</v>
      </c>
      <c r="E926">
        <v>0</v>
      </c>
      <c r="F926">
        <v>0</v>
      </c>
      <c r="G926">
        <v>5</v>
      </c>
      <c r="H926" s="4">
        <v>1570523040061</v>
      </c>
      <c r="I926">
        <v>526.6875</v>
      </c>
      <c r="J926" s="9">
        <f t="shared" si="14"/>
        <v>43746.641667372685</v>
      </c>
      <c r="K926" s="1"/>
    </row>
    <row r="927" spans="1:11" x14ac:dyDescent="0.25">
      <c r="A927" t="e">
        <f>-LqeSysoV2sQB8xvkRIt</f>
        <v>#NAME?</v>
      </c>
      <c r="B927">
        <v>393.75</v>
      </c>
      <c r="C927">
        <v>20.584240000000001</v>
      </c>
      <c r="D927">
        <v>43</v>
      </c>
      <c r="E927">
        <v>0</v>
      </c>
      <c r="F927">
        <v>0</v>
      </c>
      <c r="G927">
        <v>8</v>
      </c>
      <c r="H927" s="4">
        <v>1570523048333</v>
      </c>
      <c r="I927">
        <v>526.6875</v>
      </c>
      <c r="J927" s="9">
        <f t="shared" si="14"/>
        <v>43746.641763113425</v>
      </c>
      <c r="K927" s="1"/>
    </row>
    <row r="928" spans="1:11" x14ac:dyDescent="0.25">
      <c r="A928" t="e">
        <f>-LqeT-gtm6zx9TiZxBG9</f>
        <v>#NAME?</v>
      </c>
      <c r="B928">
        <v>393.75</v>
      </c>
      <c r="C928">
        <v>20.531590000000001</v>
      </c>
      <c r="D928">
        <v>43</v>
      </c>
      <c r="E928">
        <v>0</v>
      </c>
      <c r="F928">
        <v>0</v>
      </c>
      <c r="G928">
        <v>5</v>
      </c>
      <c r="H928" s="4">
        <v>1570523055543</v>
      </c>
      <c r="I928">
        <v>526.6875</v>
      </c>
      <c r="J928" s="9">
        <f t="shared" si="14"/>
        <v>43746.641846562496</v>
      </c>
      <c r="K928" s="1"/>
    </row>
    <row r="929" spans="1:11" x14ac:dyDescent="0.25">
      <c r="A929" t="e">
        <f>-LqeT1Q1vPeqR_6Wieg6</f>
        <v>#NAME?</v>
      </c>
      <c r="B929">
        <v>393.75</v>
      </c>
      <c r="C929">
        <v>20.584240000000001</v>
      </c>
      <c r="D929">
        <v>43</v>
      </c>
      <c r="E929">
        <v>0</v>
      </c>
      <c r="F929">
        <v>0</v>
      </c>
      <c r="G929">
        <v>16</v>
      </c>
      <c r="H929" s="4">
        <v>1570523062755</v>
      </c>
      <c r="I929">
        <v>526.5</v>
      </c>
      <c r="J929" s="9">
        <f t="shared" si="14"/>
        <v>43746.641930034719</v>
      </c>
      <c r="K929" s="1"/>
    </row>
    <row r="930" spans="1:11" x14ac:dyDescent="0.25">
      <c r="A930" t="e">
        <f>-LqeT3D1v-yuf4uToyyw</f>
        <v>#NAME?</v>
      </c>
      <c r="B930">
        <v>425</v>
      </c>
      <c r="C930">
        <v>20.584240000000001</v>
      </c>
      <c r="D930">
        <v>38</v>
      </c>
      <c r="E930">
        <v>0</v>
      </c>
      <c r="F930">
        <v>0</v>
      </c>
      <c r="G930">
        <v>9</v>
      </c>
      <c r="H930" s="4">
        <v>1570523069964</v>
      </c>
      <c r="I930">
        <v>536.0625</v>
      </c>
      <c r="J930" s="9">
        <f t="shared" si="14"/>
        <v>43746.642013472221</v>
      </c>
      <c r="K930" s="1"/>
    </row>
    <row r="931" spans="1:11" x14ac:dyDescent="0.25">
      <c r="A931" t="e">
        <f>-LqeT4ulpqKv9cO8JJuJ</f>
        <v>#NAME?</v>
      </c>
      <c r="B931">
        <v>393.75</v>
      </c>
      <c r="C931">
        <v>20.584240000000001</v>
      </c>
      <c r="D931">
        <v>38</v>
      </c>
      <c r="E931">
        <v>0</v>
      </c>
      <c r="F931">
        <v>0</v>
      </c>
      <c r="G931">
        <v>16</v>
      </c>
      <c r="H931" s="4">
        <v>1570523077195</v>
      </c>
      <c r="I931">
        <v>526.6875</v>
      </c>
      <c r="J931" s="9">
        <f t="shared" si="14"/>
        <v>43746.642097164346</v>
      </c>
      <c r="K931" s="1"/>
    </row>
    <row r="932" spans="1:11" x14ac:dyDescent="0.25">
      <c r="A932" t="e">
        <f>-LqeT6j1ZcD7-u95CaVe</f>
        <v>#NAME?</v>
      </c>
      <c r="B932">
        <v>393.75</v>
      </c>
      <c r="C932">
        <v>20.584240000000001</v>
      </c>
      <c r="D932">
        <v>39</v>
      </c>
      <c r="E932">
        <v>0</v>
      </c>
      <c r="F932">
        <v>0</v>
      </c>
      <c r="G932">
        <v>13</v>
      </c>
      <c r="H932" s="4">
        <v>1570523084394</v>
      </c>
      <c r="I932">
        <v>526.6875</v>
      </c>
      <c r="J932" s="9">
        <f t="shared" si="14"/>
        <v>43746.642180486109</v>
      </c>
      <c r="K932" s="1"/>
    </row>
    <row r="933" spans="1:11" x14ac:dyDescent="0.25">
      <c r="A933" t="e">
        <f>-LqeT8QnnQjyJzVGXdhY</f>
        <v>#NAME?</v>
      </c>
      <c r="B933">
        <v>393.75</v>
      </c>
      <c r="C933">
        <v>20.584240000000001</v>
      </c>
      <c r="D933">
        <v>39</v>
      </c>
      <c r="E933">
        <v>0</v>
      </c>
      <c r="F933">
        <v>0</v>
      </c>
      <c r="G933">
        <v>15</v>
      </c>
      <c r="H933" s="4">
        <v>1570523091585</v>
      </c>
      <c r="I933">
        <v>526.6875</v>
      </c>
      <c r="J933" s="9">
        <f t="shared" si="14"/>
        <v>43746.642263715279</v>
      </c>
      <c r="K933" s="1"/>
    </row>
    <row r="934" spans="1:11" x14ac:dyDescent="0.25">
      <c r="A934" t="e">
        <f>-LqeTADl7wta3dpQBYul</f>
        <v>#NAME?</v>
      </c>
      <c r="B934">
        <v>393.75</v>
      </c>
      <c r="C934">
        <v>20.531590000000001</v>
      </c>
      <c r="D934">
        <v>39</v>
      </c>
      <c r="E934">
        <v>0</v>
      </c>
      <c r="F934">
        <v>0</v>
      </c>
      <c r="G934">
        <v>16</v>
      </c>
      <c r="H934" s="4">
        <v>1570523098824</v>
      </c>
      <c r="I934">
        <v>526.6875</v>
      </c>
      <c r="J934" s="9">
        <f t="shared" si="14"/>
        <v>43746.642347499997</v>
      </c>
      <c r="K934" s="1"/>
    </row>
    <row r="935" spans="1:11" x14ac:dyDescent="0.25">
      <c r="A935" t="e">
        <f>-LqeTBy0--itpiF9iRfE</f>
        <v>#NAME?</v>
      </c>
      <c r="B935">
        <v>393.75</v>
      </c>
      <c r="C935">
        <v>20.584240000000001</v>
      </c>
      <c r="D935">
        <v>39</v>
      </c>
      <c r="E935">
        <v>0</v>
      </c>
      <c r="F935">
        <v>0</v>
      </c>
      <c r="G935">
        <v>17</v>
      </c>
      <c r="H935" s="4">
        <v>1570523106013</v>
      </c>
      <c r="I935">
        <v>526.6875</v>
      </c>
      <c r="J935" s="9">
        <f t="shared" si="14"/>
        <v>43746.642430706015</v>
      </c>
      <c r="K935" s="1"/>
    </row>
    <row r="936" spans="1:11" x14ac:dyDescent="0.25">
      <c r="A936" t="e">
        <f>-LqeTDX-stE-ad1hoZv_</f>
        <v>#NAME?</v>
      </c>
      <c r="B936">
        <v>393.75</v>
      </c>
      <c r="C936">
        <v>20.584240000000001</v>
      </c>
      <c r="D936">
        <v>38</v>
      </c>
      <c r="E936">
        <v>0</v>
      </c>
      <c r="F936">
        <v>0</v>
      </c>
      <c r="G936">
        <v>19</v>
      </c>
      <c r="H936" s="4">
        <v>1570523112214</v>
      </c>
      <c r="I936">
        <v>526.5</v>
      </c>
      <c r="J936" s="9">
        <f t="shared" si="14"/>
        <v>43746.642502476847</v>
      </c>
      <c r="K936" s="1"/>
    </row>
    <row r="937" spans="1:11" x14ac:dyDescent="0.25">
      <c r="A937" t="e">
        <f>-LqeTFE4bWJv6sTUrdhY</f>
        <v>#NAME?</v>
      </c>
      <c r="B937">
        <v>393.75</v>
      </c>
      <c r="C937">
        <v>20.584240000000001</v>
      </c>
      <c r="D937">
        <v>38</v>
      </c>
      <c r="E937">
        <v>0</v>
      </c>
      <c r="F937">
        <v>0</v>
      </c>
      <c r="G937">
        <v>18</v>
      </c>
      <c r="H937" s="4">
        <v>1570523119424</v>
      </c>
      <c r="I937">
        <v>526.6875</v>
      </c>
      <c r="J937" s="9">
        <f t="shared" si="14"/>
        <v>43746.642585925925</v>
      </c>
      <c r="K937" s="1"/>
    </row>
    <row r="938" spans="1:11" x14ac:dyDescent="0.25">
      <c r="A938" t="e">
        <f>-LqeTGoAExrPofyQ3X8R</f>
        <v>#NAME?</v>
      </c>
      <c r="B938">
        <v>393.75</v>
      </c>
      <c r="C938">
        <v>20.584240000000001</v>
      </c>
      <c r="D938">
        <v>37</v>
      </c>
      <c r="E938">
        <v>0</v>
      </c>
      <c r="F938">
        <v>0</v>
      </c>
      <c r="G938">
        <v>17</v>
      </c>
      <c r="H938" s="4">
        <v>1570523125615</v>
      </c>
      <c r="I938">
        <v>526.6875</v>
      </c>
      <c r="J938" s="9">
        <f t="shared" si="14"/>
        <v>43746.642657581011</v>
      </c>
      <c r="K938" s="1"/>
    </row>
    <row r="939" spans="1:11" x14ac:dyDescent="0.25">
      <c r="A939" t="e">
        <f>-LqeTIVlgjEjx4Id_2d6</f>
        <v>#NAME?</v>
      </c>
      <c r="B939">
        <v>393.75</v>
      </c>
      <c r="C939">
        <v>20.531590000000001</v>
      </c>
      <c r="D939">
        <v>37</v>
      </c>
      <c r="E939">
        <v>0</v>
      </c>
      <c r="F939">
        <v>0</v>
      </c>
      <c r="G939">
        <v>13</v>
      </c>
      <c r="H939" s="4">
        <v>1570523132824</v>
      </c>
      <c r="I939">
        <v>526.6875</v>
      </c>
      <c r="J939" s="9">
        <f t="shared" si="14"/>
        <v>43746.642741018521</v>
      </c>
      <c r="K939" s="1"/>
    </row>
    <row r="940" spans="1:11" x14ac:dyDescent="0.25">
      <c r="A940" t="e">
        <f>-LqeTKIeM5_Kg_eXNWjv</f>
        <v>#NAME?</v>
      </c>
      <c r="B940">
        <v>393.75</v>
      </c>
      <c r="C940">
        <v>20.584240000000001</v>
      </c>
      <c r="D940">
        <v>36</v>
      </c>
      <c r="E940">
        <v>0</v>
      </c>
      <c r="F940">
        <v>0</v>
      </c>
      <c r="G940">
        <v>14</v>
      </c>
      <c r="H940" s="4">
        <v>1570523140034</v>
      </c>
      <c r="I940">
        <v>526.6875</v>
      </c>
      <c r="J940" s="9">
        <f t="shared" si="14"/>
        <v>43746.642824467592</v>
      </c>
      <c r="K940" s="1"/>
    </row>
    <row r="941" spans="1:11" x14ac:dyDescent="0.25">
      <c r="A941" t="e">
        <f>-LqeTM1s4vNfQ3CU0RjU</f>
        <v>#NAME?</v>
      </c>
      <c r="B941">
        <v>393.75</v>
      </c>
      <c r="C941">
        <v>20.584240000000001</v>
      </c>
      <c r="D941">
        <v>37</v>
      </c>
      <c r="E941">
        <v>0</v>
      </c>
      <c r="F941">
        <v>0</v>
      </c>
      <c r="G941">
        <v>22</v>
      </c>
      <c r="H941" s="4">
        <v>1570523147255</v>
      </c>
      <c r="I941">
        <v>526.6875</v>
      </c>
      <c r="J941" s="9">
        <f t="shared" si="14"/>
        <v>43746.642908043978</v>
      </c>
      <c r="K941" s="1"/>
    </row>
    <row r="942" spans="1:11" x14ac:dyDescent="0.25">
      <c r="A942" t="e">
        <f>-LqeTNq-Jjger2V96BfT</f>
        <v>#NAME?</v>
      </c>
      <c r="B942">
        <v>393.75</v>
      </c>
      <c r="C942">
        <v>20.584240000000001</v>
      </c>
      <c r="D942">
        <v>36</v>
      </c>
      <c r="E942">
        <v>0</v>
      </c>
      <c r="F942">
        <v>0</v>
      </c>
      <c r="G942">
        <v>9</v>
      </c>
      <c r="H942" s="4">
        <v>1570523154463</v>
      </c>
      <c r="I942">
        <v>526.6875</v>
      </c>
      <c r="J942" s="9">
        <f t="shared" si="14"/>
        <v>43746.642991469904</v>
      </c>
      <c r="K942" s="1"/>
    </row>
    <row r="943" spans="1:11" x14ac:dyDescent="0.25">
      <c r="A943" t="e">
        <f>-LqeTPZ1lmtRGq90s28Y</f>
        <v>#NAME?</v>
      </c>
      <c r="B943">
        <v>393.75</v>
      </c>
      <c r="C943">
        <v>20.584240000000001</v>
      </c>
      <c r="D943">
        <v>37</v>
      </c>
      <c r="E943">
        <v>0</v>
      </c>
      <c r="F943">
        <v>0</v>
      </c>
      <c r="G943">
        <v>17</v>
      </c>
      <c r="H943" s="4">
        <v>1570523161665</v>
      </c>
      <c r="I943">
        <v>526.6875</v>
      </c>
      <c r="J943" s="9">
        <f t="shared" si="14"/>
        <v>43746.643074826388</v>
      </c>
      <c r="K943" s="1"/>
    </row>
    <row r="944" spans="1:11" x14ac:dyDescent="0.25">
      <c r="A944" t="e">
        <f>-LqeTRM0MA9IttCJ8yir</f>
        <v>#NAME?</v>
      </c>
      <c r="B944">
        <v>393.75</v>
      </c>
      <c r="C944">
        <v>20.584240000000001</v>
      </c>
      <c r="D944">
        <v>38</v>
      </c>
      <c r="E944">
        <v>0</v>
      </c>
      <c r="F944">
        <v>0</v>
      </c>
      <c r="G944">
        <v>19</v>
      </c>
      <c r="H944" s="4">
        <v>1570523168893</v>
      </c>
      <c r="I944">
        <v>526.6875</v>
      </c>
      <c r="J944" s="9">
        <f t="shared" si="14"/>
        <v>43746.643158483792</v>
      </c>
      <c r="K944" s="1"/>
    </row>
    <row r="945" spans="1:11" x14ac:dyDescent="0.25">
      <c r="A945" t="e">
        <f>-LqeTTIsphLqCN1fisn5</f>
        <v>#NAME?</v>
      </c>
      <c r="B945">
        <v>393.75</v>
      </c>
      <c r="C945">
        <v>20.531590000000001</v>
      </c>
      <c r="D945">
        <v>38</v>
      </c>
      <c r="E945">
        <v>0</v>
      </c>
      <c r="F945">
        <v>0</v>
      </c>
      <c r="G945">
        <v>21</v>
      </c>
      <c r="H945" s="4">
        <v>1570523176073</v>
      </c>
      <c r="I945">
        <v>526.6875</v>
      </c>
      <c r="J945" s="9">
        <f t="shared" si="14"/>
        <v>43746.643241585647</v>
      </c>
      <c r="K945" s="1"/>
    </row>
    <row r="946" spans="1:11" x14ac:dyDescent="0.25">
      <c r="A946" t="e">
        <f>-LqeTUqldqPp2G8xoWFV</f>
        <v>#NAME?</v>
      </c>
      <c r="B946">
        <v>393.75</v>
      </c>
      <c r="C946">
        <v>20.531590000000001</v>
      </c>
      <c r="D946">
        <v>39</v>
      </c>
      <c r="E946">
        <v>0</v>
      </c>
      <c r="F946">
        <v>0</v>
      </c>
      <c r="G946">
        <v>14</v>
      </c>
      <c r="H946" s="4">
        <v>1570523183314</v>
      </c>
      <c r="I946">
        <v>526.5</v>
      </c>
      <c r="J946" s="9">
        <f t="shared" si="14"/>
        <v>43746.643325393517</v>
      </c>
      <c r="K946" s="1"/>
    </row>
    <row r="947" spans="1:11" x14ac:dyDescent="0.25">
      <c r="A947" t="e">
        <f>-LqeTWZwUGc1aBrWSU_0</f>
        <v>#NAME?</v>
      </c>
      <c r="B947">
        <v>428.125</v>
      </c>
      <c r="C947">
        <v>20.584240000000001</v>
      </c>
      <c r="D947">
        <v>37</v>
      </c>
      <c r="E947">
        <v>0</v>
      </c>
      <c r="F947">
        <v>0</v>
      </c>
      <c r="G947">
        <v>9</v>
      </c>
      <c r="H947" s="4">
        <v>1570523190503</v>
      </c>
      <c r="I947">
        <v>537</v>
      </c>
      <c r="J947" s="9">
        <f t="shared" si="14"/>
        <v>43746.643408599535</v>
      </c>
      <c r="K947" s="1"/>
    </row>
    <row r="948" spans="1:11" x14ac:dyDescent="0.25">
      <c r="A948" t="e">
        <f>-LqeTY7vmGSh3ed92voR</f>
        <v>#NAME?</v>
      </c>
      <c r="B948">
        <v>393.75</v>
      </c>
      <c r="C948">
        <v>20.531590000000001</v>
      </c>
      <c r="D948">
        <v>37</v>
      </c>
      <c r="E948">
        <v>0</v>
      </c>
      <c r="F948">
        <v>0</v>
      </c>
      <c r="G948">
        <v>13</v>
      </c>
      <c r="H948" s="4">
        <v>1570523196712</v>
      </c>
      <c r="I948">
        <v>526.6875</v>
      </c>
      <c r="J948" s="9">
        <f t="shared" si="14"/>
        <v>43746.643480462961</v>
      </c>
      <c r="K948" s="1"/>
    </row>
    <row r="949" spans="1:11" x14ac:dyDescent="0.25">
      <c r="A949" t="e">
        <f>-LqeTZqbAJVSvkp8Sbwj</f>
        <v>#NAME?</v>
      </c>
      <c r="B949">
        <v>393.75</v>
      </c>
      <c r="C949">
        <v>20.584240000000001</v>
      </c>
      <c r="D949">
        <v>37</v>
      </c>
      <c r="E949">
        <v>0</v>
      </c>
      <c r="F949">
        <v>0</v>
      </c>
      <c r="G949">
        <v>13</v>
      </c>
      <c r="H949" s="4">
        <v>1570523203903</v>
      </c>
      <c r="I949">
        <v>526.6875</v>
      </c>
      <c r="J949" s="9">
        <f t="shared" si="14"/>
        <v>43746.643563692131</v>
      </c>
      <c r="K949" s="1"/>
    </row>
    <row r="950" spans="1:11" x14ac:dyDescent="0.25">
      <c r="A950" t="e">
        <f>-LqeTabt6EGoUeBn6A3i</f>
        <v>#NAME?</v>
      </c>
      <c r="B950">
        <v>412.5</v>
      </c>
      <c r="C950">
        <v>20.584240000000001</v>
      </c>
      <c r="D950">
        <v>37</v>
      </c>
      <c r="E950">
        <v>0</v>
      </c>
      <c r="F950">
        <v>0</v>
      </c>
      <c r="G950">
        <v>15</v>
      </c>
      <c r="H950" s="4">
        <v>1570523210103</v>
      </c>
      <c r="I950">
        <v>532.3125</v>
      </c>
      <c r="J950" s="9">
        <f t="shared" si="14"/>
        <v>43746.643635451386</v>
      </c>
      <c r="K950" s="1"/>
    </row>
    <row r="951" spans="1:11" x14ac:dyDescent="0.25">
      <c r="A951" t="e">
        <f>-LqeTc8qmZeQGFTOXI1t</f>
        <v>#NAME?</v>
      </c>
      <c r="B951">
        <v>393.75</v>
      </c>
      <c r="C951">
        <v>20.584240000000001</v>
      </c>
      <c r="D951">
        <v>37</v>
      </c>
      <c r="E951">
        <v>0</v>
      </c>
      <c r="F951">
        <v>0</v>
      </c>
      <c r="G951">
        <v>6</v>
      </c>
      <c r="H951" s="4">
        <v>1570523217322</v>
      </c>
      <c r="I951">
        <v>526.6875</v>
      </c>
      <c r="J951" s="9">
        <f t="shared" si="14"/>
        <v>43746.643719004627</v>
      </c>
      <c r="K951" s="1"/>
    </row>
    <row r="952" spans="1:11" x14ac:dyDescent="0.25">
      <c r="A952" t="e">
        <f>-LqeTdwqZRxSi9JouN6Z</f>
        <v>#NAME?</v>
      </c>
      <c r="B952">
        <v>393.75</v>
      </c>
      <c r="C952">
        <v>20.584240000000001</v>
      </c>
      <c r="D952">
        <v>37</v>
      </c>
      <c r="E952">
        <v>0</v>
      </c>
      <c r="F952">
        <v>0</v>
      </c>
      <c r="G952">
        <v>23</v>
      </c>
      <c r="H952" s="4">
        <v>1570523224534</v>
      </c>
      <c r="I952">
        <v>526.6875</v>
      </c>
      <c r="J952" s="9">
        <f t="shared" si="14"/>
        <v>43746.64380247685</v>
      </c>
      <c r="K952" s="1"/>
    </row>
    <row r="953" spans="1:11" x14ac:dyDescent="0.25">
      <c r="A953" t="e">
        <f>-LqeTff1lRWQFTQ0ceQG</f>
        <v>#NAME?</v>
      </c>
      <c r="B953">
        <v>393.75</v>
      </c>
      <c r="C953">
        <v>20.584240000000001</v>
      </c>
      <c r="D953">
        <v>38</v>
      </c>
      <c r="E953">
        <v>0</v>
      </c>
      <c r="F953">
        <v>0</v>
      </c>
      <c r="G953">
        <v>19</v>
      </c>
      <c r="H953" s="4">
        <v>1570523231744</v>
      </c>
      <c r="I953">
        <v>526.5</v>
      </c>
      <c r="J953" s="9">
        <f t="shared" si="14"/>
        <v>43746.643885925929</v>
      </c>
      <c r="K953" s="1"/>
    </row>
    <row r="954" spans="1:11" x14ac:dyDescent="0.25">
      <c r="A954" t="e">
        <f>-LqeThRe9TtH-KnsVirQ</f>
        <v>#NAME?</v>
      </c>
      <c r="B954">
        <v>393.75</v>
      </c>
      <c r="C954">
        <v>20.584240000000001</v>
      </c>
      <c r="D954">
        <v>39</v>
      </c>
      <c r="E954">
        <v>0</v>
      </c>
      <c r="F954">
        <v>0</v>
      </c>
      <c r="G954">
        <v>18</v>
      </c>
      <c r="H954" s="4">
        <v>1570523238954</v>
      </c>
      <c r="I954">
        <v>526.5</v>
      </c>
      <c r="J954" s="9">
        <f t="shared" si="14"/>
        <v>43746.643969374993</v>
      </c>
      <c r="K954" s="1"/>
    </row>
    <row r="955" spans="1:11" x14ac:dyDescent="0.25">
      <c r="A955" t="e">
        <f>-LqeTjQ0fg0AqWTKpu9h</f>
        <v>#NAME?</v>
      </c>
      <c r="B955">
        <v>412.5</v>
      </c>
      <c r="C955">
        <v>20.531590000000001</v>
      </c>
      <c r="D955">
        <v>38</v>
      </c>
      <c r="E955">
        <v>0</v>
      </c>
      <c r="F955">
        <v>0</v>
      </c>
      <c r="G955">
        <v>11</v>
      </c>
      <c r="H955" s="4">
        <v>1570523246983</v>
      </c>
      <c r="I955">
        <v>532.125</v>
      </c>
      <c r="J955" s="9">
        <f t="shared" si="14"/>
        <v>43746.644062303239</v>
      </c>
      <c r="K955" s="1"/>
    </row>
    <row r="956" spans="1:11" x14ac:dyDescent="0.25">
      <c r="A956" t="e">
        <f>-LqeTkyZZnOaLlMRnNOa</f>
        <v>#NAME?</v>
      </c>
      <c r="B956">
        <v>393.75</v>
      </c>
      <c r="C956">
        <v>20.584240000000001</v>
      </c>
      <c r="D956">
        <v>39</v>
      </c>
      <c r="E956">
        <v>0</v>
      </c>
      <c r="F956">
        <v>0</v>
      </c>
      <c r="G956">
        <v>10</v>
      </c>
      <c r="H956" s="4">
        <v>1570523253383</v>
      </c>
      <c r="I956">
        <v>526.6875</v>
      </c>
      <c r="J956" s="9">
        <f t="shared" si="14"/>
        <v>43746.644136377312</v>
      </c>
      <c r="K956" s="1"/>
    </row>
    <row r="957" spans="1:11" x14ac:dyDescent="0.25">
      <c r="A957" t="e">
        <f>-LqeTmfxxrkwUpoTxNmu</f>
        <v>#NAME?</v>
      </c>
      <c r="B957">
        <v>393.75</v>
      </c>
      <c r="C957">
        <v>20.478950000000001</v>
      </c>
      <c r="D957">
        <v>39</v>
      </c>
      <c r="E957">
        <v>0</v>
      </c>
      <c r="F957">
        <v>0</v>
      </c>
      <c r="G957">
        <v>15</v>
      </c>
      <c r="H957" s="4">
        <v>1570523260615</v>
      </c>
      <c r="I957">
        <v>526.6875</v>
      </c>
      <c r="J957" s="9">
        <f t="shared" si="14"/>
        <v>43746.64422008102</v>
      </c>
      <c r="K957" s="1"/>
    </row>
    <row r="958" spans="1:11" x14ac:dyDescent="0.25">
      <c r="A958" t="e">
        <f>-LqeToV1Pr52SiDvLMk0</f>
        <v>#NAME?</v>
      </c>
      <c r="B958">
        <v>393.75</v>
      </c>
      <c r="C958">
        <v>20.584240000000001</v>
      </c>
      <c r="D958">
        <v>39</v>
      </c>
      <c r="E958">
        <v>0</v>
      </c>
      <c r="F958">
        <v>0</v>
      </c>
      <c r="G958">
        <v>12</v>
      </c>
      <c r="H958" s="4">
        <v>1570523267803</v>
      </c>
      <c r="I958">
        <v>526.6875</v>
      </c>
      <c r="J958" s="9">
        <f t="shared" si="14"/>
        <v>43746.644303275461</v>
      </c>
      <c r="K958" s="1"/>
    </row>
    <row r="959" spans="1:11" x14ac:dyDescent="0.25">
      <c r="A959" t="e">
        <f>-LqeTqBoH2IZjnTVDsqR</f>
        <v>#NAME?</v>
      </c>
      <c r="B959">
        <v>393.75</v>
      </c>
      <c r="C959">
        <v>20.584240000000001</v>
      </c>
      <c r="D959">
        <v>40</v>
      </c>
      <c r="E959">
        <v>0</v>
      </c>
      <c r="F959">
        <v>0</v>
      </c>
      <c r="G959">
        <v>12</v>
      </c>
      <c r="H959" s="4">
        <v>1570523275033</v>
      </c>
      <c r="I959">
        <v>526.6875</v>
      </c>
      <c r="J959" s="9">
        <f t="shared" si="14"/>
        <v>43746.644386956017</v>
      </c>
      <c r="K959" s="1"/>
    </row>
    <row r="960" spans="1:11" x14ac:dyDescent="0.25">
      <c r="A960" t="e">
        <f>-LqeTsK6YxUrdWaOS6Ot</f>
        <v>#NAME?</v>
      </c>
      <c r="B960">
        <v>393.75</v>
      </c>
      <c r="C960">
        <v>20.531590000000001</v>
      </c>
      <c r="D960">
        <v>39</v>
      </c>
      <c r="E960">
        <v>0</v>
      </c>
      <c r="F960">
        <v>0</v>
      </c>
      <c r="G960">
        <v>20</v>
      </c>
      <c r="H960" s="4">
        <v>1570523283557</v>
      </c>
      <c r="I960">
        <v>526.6875</v>
      </c>
      <c r="J960" s="9">
        <f t="shared" si="14"/>
        <v>43746.644485613426</v>
      </c>
      <c r="K960" s="1"/>
    </row>
    <row r="961" spans="1:11" x14ac:dyDescent="0.25">
      <c r="A961" t="e">
        <f>-LqeTu233UiVixyEh7LS</f>
        <v>#NAME?</v>
      </c>
      <c r="B961">
        <v>393.75</v>
      </c>
      <c r="C961">
        <v>20.584240000000001</v>
      </c>
      <c r="D961">
        <v>40</v>
      </c>
      <c r="E961">
        <v>0</v>
      </c>
      <c r="F961">
        <v>0</v>
      </c>
      <c r="G961">
        <v>17</v>
      </c>
      <c r="H961" s="4">
        <v>1570523290479</v>
      </c>
      <c r="I961">
        <v>526.6875</v>
      </c>
      <c r="J961" s="9">
        <f t="shared" si="14"/>
        <v>43746.644565729162</v>
      </c>
      <c r="K961" s="1"/>
    </row>
    <row r="962" spans="1:11" x14ac:dyDescent="0.25">
      <c r="A962" t="e">
        <f>-LqeTvku-u5zUylJp5Bs</f>
        <v>#NAME?</v>
      </c>
      <c r="B962">
        <v>393.75</v>
      </c>
      <c r="C962">
        <v>20.584240000000001</v>
      </c>
      <c r="D962">
        <v>40</v>
      </c>
      <c r="E962">
        <v>0</v>
      </c>
      <c r="F962">
        <v>0</v>
      </c>
      <c r="G962">
        <v>15</v>
      </c>
      <c r="H962" s="4">
        <v>1570523297668</v>
      </c>
      <c r="I962">
        <v>526.6875</v>
      </c>
      <c r="J962" s="9">
        <f t="shared" si="14"/>
        <v>43746.644648935187</v>
      </c>
      <c r="K962" s="1"/>
    </row>
    <row r="963" spans="1:11" x14ac:dyDescent="0.25">
      <c r="A963" t="e">
        <f>-LqeTxKEpntZQ1efyTot</f>
        <v>#NAME?</v>
      </c>
      <c r="B963">
        <v>393.75</v>
      </c>
      <c r="C963">
        <v>20.531590000000001</v>
      </c>
      <c r="D963">
        <v>40</v>
      </c>
      <c r="E963">
        <v>0</v>
      </c>
      <c r="F963">
        <v>0</v>
      </c>
      <c r="G963">
        <v>14</v>
      </c>
      <c r="H963" s="4">
        <v>1570523303867</v>
      </c>
      <c r="I963">
        <v>526.6875</v>
      </c>
      <c r="J963" s="9">
        <f t="shared" ref="J963:J1026" si="15">(H963/86400000)+25569+(7/24)</f>
        <v>43746.644720682867</v>
      </c>
      <c r="K963" s="1"/>
    </row>
    <row r="964" spans="1:11" x14ac:dyDescent="0.25">
      <c r="A964" t="e">
        <f>-LqeTz1nzSl969tMTTZZ</f>
        <v>#NAME?</v>
      </c>
      <c r="B964">
        <v>428.125</v>
      </c>
      <c r="C964">
        <v>20.531590000000001</v>
      </c>
      <c r="D964">
        <v>39</v>
      </c>
      <c r="E964">
        <v>0</v>
      </c>
      <c r="F964">
        <v>0</v>
      </c>
      <c r="G964">
        <v>17</v>
      </c>
      <c r="H964" s="4">
        <v>1570523311086</v>
      </c>
      <c r="I964">
        <v>537.375</v>
      </c>
      <c r="J964" s="9">
        <f t="shared" si="15"/>
        <v>43746.644804236108</v>
      </c>
      <c r="K964" s="1"/>
    </row>
    <row r="965" spans="1:11" x14ac:dyDescent="0.25">
      <c r="A965" t="e">
        <f>-LqeU0-n2CXuILGWuzof</f>
        <v>#NAME?</v>
      </c>
      <c r="B965">
        <v>393.75</v>
      </c>
      <c r="C965">
        <v>20.584240000000001</v>
      </c>
      <c r="D965">
        <v>36</v>
      </c>
      <c r="E965">
        <v>0</v>
      </c>
      <c r="F965">
        <v>0</v>
      </c>
      <c r="G965">
        <v>12</v>
      </c>
      <c r="H965" s="4">
        <v>1570523318296</v>
      </c>
      <c r="I965">
        <v>526.5</v>
      </c>
      <c r="J965" s="9">
        <f t="shared" si="15"/>
        <v>43746.644887685186</v>
      </c>
      <c r="K965" s="1"/>
    </row>
    <row r="966" spans="1:11" x14ac:dyDescent="0.25">
      <c r="A966" t="e">
        <f>-LqeU1Z7zqW_gEi2sTfW</f>
        <v>#NAME?</v>
      </c>
      <c r="B966">
        <v>437.5</v>
      </c>
      <c r="C966">
        <v>20.584240000000001</v>
      </c>
      <c r="D966">
        <v>37</v>
      </c>
      <c r="E966">
        <v>0</v>
      </c>
      <c r="F966">
        <v>0</v>
      </c>
      <c r="G966">
        <v>12</v>
      </c>
      <c r="H966" s="4">
        <v>1570523325506</v>
      </c>
      <c r="I966">
        <v>540.1875</v>
      </c>
      <c r="J966" s="9">
        <f t="shared" si="15"/>
        <v>43746.644971134258</v>
      </c>
      <c r="K966" s="1"/>
    </row>
    <row r="967" spans="1:11" x14ac:dyDescent="0.25">
      <c r="A967" t="e">
        <f>-LqeU3MCpA-myaR54Rro</f>
        <v>#NAME?</v>
      </c>
      <c r="B967">
        <v>393.75</v>
      </c>
      <c r="C967">
        <v>20.584240000000001</v>
      </c>
      <c r="D967">
        <v>42</v>
      </c>
      <c r="E967">
        <v>0</v>
      </c>
      <c r="F967">
        <v>0</v>
      </c>
      <c r="G967">
        <v>17</v>
      </c>
      <c r="H967" s="4">
        <v>1570523332726</v>
      </c>
      <c r="I967">
        <v>526.6875</v>
      </c>
      <c r="J967" s="9">
        <f t="shared" si="15"/>
        <v>43746.645054699075</v>
      </c>
      <c r="K967" s="1"/>
    </row>
    <row r="968" spans="1:11" x14ac:dyDescent="0.25">
      <c r="A968" t="e">
        <f>-LqeU542rH-bNIkr-m9u</f>
        <v>#NAME?</v>
      </c>
      <c r="B968">
        <v>393.75</v>
      </c>
      <c r="C968">
        <v>20.584240000000001</v>
      </c>
      <c r="D968">
        <v>42</v>
      </c>
      <c r="E968">
        <v>0</v>
      </c>
      <c r="F968">
        <v>0</v>
      </c>
      <c r="G968">
        <v>14</v>
      </c>
      <c r="H968" s="4">
        <v>1570523339916</v>
      </c>
      <c r="I968">
        <v>526.5</v>
      </c>
      <c r="J968" s="9">
        <f t="shared" si="15"/>
        <v>43746.645137916661</v>
      </c>
      <c r="K968" s="1"/>
    </row>
    <row r="969" spans="1:11" x14ac:dyDescent="0.25">
      <c r="A969" t="e">
        <f>-LqeU6dECpg1-K6GxJJW</f>
        <v>#NAME?</v>
      </c>
      <c r="B969">
        <v>393.75</v>
      </c>
      <c r="C969">
        <v>20.584240000000001</v>
      </c>
      <c r="D969">
        <v>42</v>
      </c>
      <c r="E969">
        <v>0</v>
      </c>
      <c r="F969">
        <v>0</v>
      </c>
      <c r="G969">
        <v>21</v>
      </c>
      <c r="H969" s="4">
        <v>1570523346107</v>
      </c>
      <c r="I969">
        <v>526.6875</v>
      </c>
      <c r="J969" s="9">
        <f t="shared" si="15"/>
        <v>43746.645209571761</v>
      </c>
      <c r="K969" s="1"/>
    </row>
    <row r="970" spans="1:11" x14ac:dyDescent="0.25">
      <c r="A970" t="e">
        <f>-LqeU8La_r_Bl-GeQjD6</f>
        <v>#NAME?</v>
      </c>
      <c r="B970">
        <v>393.75</v>
      </c>
      <c r="C970">
        <v>20.531590000000001</v>
      </c>
      <c r="D970">
        <v>41</v>
      </c>
      <c r="E970">
        <v>0</v>
      </c>
      <c r="F970">
        <v>0</v>
      </c>
      <c r="G970">
        <v>16</v>
      </c>
      <c r="H970" s="4">
        <v>1570523353327</v>
      </c>
      <c r="I970">
        <v>526.6875</v>
      </c>
      <c r="J970" s="9">
        <f t="shared" si="15"/>
        <v>43746.645293136571</v>
      </c>
      <c r="K970" s="1"/>
    </row>
    <row r="971" spans="1:11" x14ac:dyDescent="0.25">
      <c r="A971" t="e">
        <f>-LqeUA980GYf5oXgXT-N</f>
        <v>#NAME?</v>
      </c>
      <c r="B971">
        <v>393.75</v>
      </c>
      <c r="C971">
        <v>20.584240000000001</v>
      </c>
      <c r="D971">
        <v>40</v>
      </c>
      <c r="E971">
        <v>0</v>
      </c>
      <c r="F971">
        <v>0</v>
      </c>
      <c r="G971">
        <v>20</v>
      </c>
      <c r="H971" s="4">
        <v>1570523360546</v>
      </c>
      <c r="I971">
        <v>526.6875</v>
      </c>
      <c r="J971" s="9">
        <f t="shared" si="15"/>
        <v>43746.645376689812</v>
      </c>
      <c r="K971" s="1"/>
    </row>
    <row r="972" spans="1:11" x14ac:dyDescent="0.25">
      <c r="A972" t="e">
        <f>-LqeUBsDa2U02mdVOSoU</f>
        <v>#NAME?</v>
      </c>
      <c r="B972">
        <v>393.75</v>
      </c>
      <c r="C972">
        <v>20.531590000000001</v>
      </c>
      <c r="D972">
        <v>41</v>
      </c>
      <c r="E972">
        <v>0</v>
      </c>
      <c r="F972">
        <v>0</v>
      </c>
      <c r="G972">
        <v>17</v>
      </c>
      <c r="H972" s="4">
        <v>1570523367757</v>
      </c>
      <c r="I972">
        <v>526.6875</v>
      </c>
      <c r="J972" s="9">
        <f t="shared" si="15"/>
        <v>43746.645460150459</v>
      </c>
      <c r="K972" s="1"/>
    </row>
    <row r="973" spans="1:11" x14ac:dyDescent="0.25">
      <c r="A973" t="e">
        <f>-LqeUDfrtyui1O9cC7lx</f>
        <v>#NAME?</v>
      </c>
      <c r="B973">
        <v>393.75</v>
      </c>
      <c r="C973">
        <v>20.584240000000001</v>
      </c>
      <c r="D973">
        <v>41</v>
      </c>
      <c r="E973">
        <v>0</v>
      </c>
      <c r="F973">
        <v>0</v>
      </c>
      <c r="G973">
        <v>18</v>
      </c>
      <c r="H973" s="4">
        <v>1570523374977</v>
      </c>
      <c r="I973">
        <v>526.6875</v>
      </c>
      <c r="J973" s="9">
        <f t="shared" si="15"/>
        <v>43746.645543715276</v>
      </c>
      <c r="K973" s="1"/>
    </row>
    <row r="974" spans="1:11" x14ac:dyDescent="0.25">
      <c r="A974" t="e">
        <f>-LqeUFO3-XDWQIYJTsQR</f>
        <v>#NAME?</v>
      </c>
      <c r="B974">
        <v>393.75</v>
      </c>
      <c r="C974">
        <v>20.584240000000001</v>
      </c>
      <c r="D974">
        <v>42</v>
      </c>
      <c r="E974">
        <v>0</v>
      </c>
      <c r="F974">
        <v>0</v>
      </c>
      <c r="G974">
        <v>31</v>
      </c>
      <c r="H974" s="4">
        <v>1570523382158</v>
      </c>
      <c r="I974">
        <v>526.6875</v>
      </c>
      <c r="J974" s="9">
        <f t="shared" si="15"/>
        <v>43746.6456268287</v>
      </c>
      <c r="K974" s="1"/>
    </row>
    <row r="975" spans="1:11" x14ac:dyDescent="0.25">
      <c r="A975" t="e">
        <f>-LqeUHB6dCqVk7ayg6ny</f>
        <v>#NAME?</v>
      </c>
      <c r="B975">
        <v>393.75</v>
      </c>
      <c r="C975">
        <v>20.584240000000001</v>
      </c>
      <c r="D975">
        <v>42</v>
      </c>
      <c r="E975">
        <v>0</v>
      </c>
      <c r="F975">
        <v>0</v>
      </c>
      <c r="G975">
        <v>19</v>
      </c>
      <c r="H975" s="4">
        <v>1570523389396</v>
      </c>
      <c r="I975">
        <v>526.5</v>
      </c>
      <c r="J975" s="9">
        <f t="shared" si="15"/>
        <v>43746.64571060185</v>
      </c>
      <c r="K975" s="1"/>
    </row>
    <row r="976" spans="1:11" x14ac:dyDescent="0.25">
      <c r="A976" t="e">
        <f>-LqeUItxyor0Otl1Y23J</f>
        <v>#NAME?</v>
      </c>
      <c r="B976">
        <v>431.25</v>
      </c>
      <c r="C976">
        <v>20.584240000000001</v>
      </c>
      <c r="D976">
        <v>40</v>
      </c>
      <c r="E976">
        <v>0</v>
      </c>
      <c r="F976">
        <v>0</v>
      </c>
      <c r="G976">
        <v>19</v>
      </c>
      <c r="H976" s="4">
        <v>1570523396587</v>
      </c>
      <c r="I976">
        <v>538.3125</v>
      </c>
      <c r="J976" s="9">
        <f t="shared" si="15"/>
        <v>43746.645793831012</v>
      </c>
      <c r="K976" s="1"/>
    </row>
    <row r="977" spans="1:11" x14ac:dyDescent="0.25">
      <c r="A977" t="e">
        <f>-LqeUKT4mLHK7cnF1Y85</f>
        <v>#NAME?</v>
      </c>
      <c r="B977">
        <v>393.75</v>
      </c>
      <c r="C977">
        <v>20.584240000000001</v>
      </c>
      <c r="D977">
        <v>40</v>
      </c>
      <c r="E977">
        <v>0</v>
      </c>
      <c r="F977">
        <v>0</v>
      </c>
      <c r="G977">
        <v>28</v>
      </c>
      <c r="H977" s="4">
        <v>1570523402787</v>
      </c>
      <c r="I977">
        <v>526.6875</v>
      </c>
      <c r="J977" s="9">
        <f t="shared" si="15"/>
        <v>43746.645865590275</v>
      </c>
      <c r="K977" s="1"/>
    </row>
    <row r="978" spans="1:11" x14ac:dyDescent="0.25">
      <c r="A978" t="e">
        <f>-LqeUMAw6eP5FrclGinH</f>
        <v>#NAME?</v>
      </c>
      <c r="B978">
        <v>393.75</v>
      </c>
      <c r="C978">
        <v>20.531590000000001</v>
      </c>
      <c r="D978">
        <v>38</v>
      </c>
      <c r="E978">
        <v>0</v>
      </c>
      <c r="F978">
        <v>0</v>
      </c>
      <c r="G978">
        <v>14</v>
      </c>
      <c r="H978" s="4">
        <v>1570523409987</v>
      </c>
      <c r="I978">
        <v>526.6875</v>
      </c>
      <c r="J978" s="9">
        <f t="shared" si="15"/>
        <v>43746.645948923608</v>
      </c>
      <c r="K978" s="1"/>
    </row>
    <row r="979" spans="1:11" x14ac:dyDescent="0.25">
      <c r="A979" t="e">
        <f>-LqeUNk7mCSUjlqFXhnA</f>
        <v>#NAME?</v>
      </c>
      <c r="B979">
        <v>412.5</v>
      </c>
      <c r="C979">
        <v>20.584240000000001</v>
      </c>
      <c r="D979">
        <v>38</v>
      </c>
      <c r="E979">
        <v>0</v>
      </c>
      <c r="F979">
        <v>0</v>
      </c>
      <c r="G979">
        <v>23</v>
      </c>
      <c r="H979" s="4">
        <v>1570523416187</v>
      </c>
      <c r="I979">
        <v>532.3125</v>
      </c>
      <c r="J979" s="9">
        <f t="shared" si="15"/>
        <v>43746.646020682871</v>
      </c>
      <c r="K979" s="1"/>
    </row>
    <row r="980" spans="1:11" x14ac:dyDescent="0.25">
      <c r="A980" t="e">
        <f>-LqeUPSxqUK9A83UTjxE</f>
        <v>#NAME?</v>
      </c>
      <c r="B980">
        <v>393.75</v>
      </c>
      <c r="C980">
        <v>20.584240000000001</v>
      </c>
      <c r="D980">
        <v>44</v>
      </c>
      <c r="E980">
        <v>0</v>
      </c>
      <c r="F980">
        <v>0</v>
      </c>
      <c r="G980">
        <v>28</v>
      </c>
      <c r="H980" s="4">
        <v>1570523423396</v>
      </c>
      <c r="I980">
        <v>526.6875</v>
      </c>
      <c r="J980" s="9">
        <f t="shared" si="15"/>
        <v>43746.646104120366</v>
      </c>
      <c r="K980" s="1"/>
    </row>
    <row r="981" spans="1:11" x14ac:dyDescent="0.25">
      <c r="A981" t="e">
        <f>-LqeURGWfrcLWY4FQpua</f>
        <v>#NAME?</v>
      </c>
      <c r="B981">
        <v>393.75</v>
      </c>
      <c r="C981">
        <v>20.584240000000001</v>
      </c>
      <c r="D981">
        <v>43</v>
      </c>
      <c r="E981">
        <v>0</v>
      </c>
      <c r="F981">
        <v>0</v>
      </c>
      <c r="G981">
        <v>15</v>
      </c>
      <c r="H981" s="4">
        <v>1570523430617</v>
      </c>
      <c r="I981">
        <v>526.6875</v>
      </c>
      <c r="J981" s="9">
        <f t="shared" si="15"/>
        <v>43746.646187696759</v>
      </c>
      <c r="K981" s="1"/>
    </row>
    <row r="982" spans="1:11" x14ac:dyDescent="0.25">
      <c r="A982" t="e">
        <f>-LqeUSynxmZySh2qUHvf</f>
        <v>#NAME?</v>
      </c>
      <c r="B982">
        <v>393.75</v>
      </c>
      <c r="C982">
        <v>20.584240000000001</v>
      </c>
      <c r="D982">
        <v>42</v>
      </c>
      <c r="E982">
        <v>0</v>
      </c>
      <c r="F982">
        <v>0</v>
      </c>
      <c r="G982">
        <v>25</v>
      </c>
      <c r="H982" s="4">
        <v>1570523437839</v>
      </c>
      <c r="I982">
        <v>526.6875</v>
      </c>
      <c r="J982" s="9">
        <f t="shared" si="15"/>
        <v>43746.646271284721</v>
      </c>
      <c r="K982" s="1"/>
    </row>
    <row r="983" spans="1:11" x14ac:dyDescent="0.25">
      <c r="A983" t="e">
        <f>-LqeUUlH7CNuM__ZMr2X</f>
        <v>#NAME?</v>
      </c>
      <c r="B983">
        <v>393.75</v>
      </c>
      <c r="C983">
        <v>20.584240000000001</v>
      </c>
      <c r="D983">
        <v>41</v>
      </c>
      <c r="E983">
        <v>0</v>
      </c>
      <c r="F983">
        <v>0</v>
      </c>
      <c r="G983">
        <v>20</v>
      </c>
      <c r="H983" s="4">
        <v>1570523445037</v>
      </c>
      <c r="I983">
        <v>526.6875</v>
      </c>
      <c r="J983" s="9">
        <f t="shared" si="15"/>
        <v>43746.646354594901</v>
      </c>
      <c r="K983" s="1"/>
    </row>
    <row r="984" spans="1:11" x14ac:dyDescent="0.25">
      <c r="A984" t="e">
        <f>-LqeUWUn5-AgNQVD3ZYp</f>
        <v>#NAME?</v>
      </c>
      <c r="B984">
        <v>412.5</v>
      </c>
      <c r="C984">
        <v>20.584240000000001</v>
      </c>
      <c r="D984">
        <v>40</v>
      </c>
      <c r="E984">
        <v>0</v>
      </c>
      <c r="F984">
        <v>0</v>
      </c>
      <c r="G984">
        <v>24</v>
      </c>
      <c r="H984" s="4">
        <v>1570523452227</v>
      </c>
      <c r="I984">
        <v>532.3125</v>
      </c>
      <c r="J984" s="9">
        <f t="shared" si="15"/>
        <v>43746.646437812502</v>
      </c>
      <c r="K984" s="1"/>
    </row>
    <row r="985" spans="1:11" x14ac:dyDescent="0.25">
      <c r="A985" t="e">
        <f>-LqeUY37mHV1ntPUtafd</f>
        <v>#NAME?</v>
      </c>
      <c r="B985">
        <v>393.75</v>
      </c>
      <c r="C985">
        <v>20.531590000000001</v>
      </c>
      <c r="D985">
        <v>40</v>
      </c>
      <c r="E985">
        <v>0</v>
      </c>
      <c r="F985">
        <v>0</v>
      </c>
      <c r="G985">
        <v>26</v>
      </c>
      <c r="H985" s="4">
        <v>1570523458427</v>
      </c>
      <c r="I985">
        <v>526.6875</v>
      </c>
      <c r="J985" s="9">
        <f t="shared" si="15"/>
        <v>43746.646509571758</v>
      </c>
      <c r="K985" s="1"/>
    </row>
    <row r="986" spans="1:11" x14ac:dyDescent="0.25">
      <c r="A986" t="e">
        <f>-LqeUZm57CgFveT_eWcB</f>
        <v>#NAME?</v>
      </c>
      <c r="B986">
        <v>393.75</v>
      </c>
      <c r="C986">
        <v>20.531590000000001</v>
      </c>
      <c r="D986">
        <v>40</v>
      </c>
      <c r="E986">
        <v>0</v>
      </c>
      <c r="F986">
        <v>0</v>
      </c>
      <c r="G986">
        <v>22</v>
      </c>
      <c r="H986" s="4">
        <v>1570523465647</v>
      </c>
      <c r="I986">
        <v>526.5</v>
      </c>
      <c r="J986" s="9">
        <f t="shared" si="15"/>
        <v>43746.646593136575</v>
      </c>
      <c r="K986" s="1"/>
    </row>
    <row r="987" spans="1:11" x14ac:dyDescent="0.25">
      <c r="A987" t="e">
        <f>-LqeUa_5zO-oDTLXq-sn</f>
        <v>#NAME?</v>
      </c>
      <c r="B987">
        <v>393.75</v>
      </c>
      <c r="C987">
        <v>20.584240000000001</v>
      </c>
      <c r="D987">
        <v>39</v>
      </c>
      <c r="E987">
        <v>0</v>
      </c>
      <c r="F987">
        <v>0</v>
      </c>
      <c r="G987">
        <v>23</v>
      </c>
      <c r="H987" s="4">
        <v>1570523472857</v>
      </c>
      <c r="I987">
        <v>526.6875</v>
      </c>
      <c r="J987" s="9">
        <f t="shared" si="15"/>
        <v>43746.646676585646</v>
      </c>
      <c r="K987" s="1"/>
    </row>
    <row r="988" spans="1:11" x14ac:dyDescent="0.25">
      <c r="A988" t="e">
        <f>-LqeUcI3qGwaXy56zeIE</f>
        <v>#NAME?</v>
      </c>
      <c r="B988">
        <v>393.75</v>
      </c>
      <c r="C988">
        <v>20.584240000000001</v>
      </c>
      <c r="D988">
        <v>35</v>
      </c>
      <c r="E988">
        <v>0</v>
      </c>
      <c r="F988">
        <v>0</v>
      </c>
      <c r="G988">
        <v>17</v>
      </c>
      <c r="H988" s="4">
        <v>1570523480077</v>
      </c>
      <c r="I988">
        <v>526.6875</v>
      </c>
      <c r="J988" s="9">
        <f t="shared" si="15"/>
        <v>43746.646760150463</v>
      </c>
      <c r="K988" s="1"/>
    </row>
    <row r="989" spans="1:11" x14ac:dyDescent="0.25">
      <c r="A989" t="s">
        <v>58</v>
      </c>
      <c r="B989">
        <v>415.625</v>
      </c>
      <c r="C989">
        <v>20.584240000000001</v>
      </c>
      <c r="D989">
        <v>37</v>
      </c>
      <c r="E989">
        <v>0</v>
      </c>
      <c r="F989">
        <v>0</v>
      </c>
      <c r="G989">
        <v>22</v>
      </c>
      <c r="H989" s="4">
        <v>1570523488443</v>
      </c>
      <c r="I989">
        <v>533.8125</v>
      </c>
      <c r="J989" s="9">
        <f t="shared" si="15"/>
        <v>43746.646856979169</v>
      </c>
      <c r="K989" s="1"/>
    </row>
    <row r="990" spans="1:11" x14ac:dyDescent="0.25">
      <c r="A990" t="e">
        <f>-LqeUg8KvnVoaGLAbtao</f>
        <v>#NAME?</v>
      </c>
      <c r="B990">
        <v>393.75</v>
      </c>
      <c r="C990">
        <v>20.531590000000001</v>
      </c>
      <c r="D990">
        <v>38</v>
      </c>
      <c r="E990">
        <v>0</v>
      </c>
      <c r="F990">
        <v>0</v>
      </c>
      <c r="G990">
        <v>18</v>
      </c>
      <c r="H990" s="4">
        <v>1570523495527</v>
      </c>
      <c r="I990">
        <v>526.6875</v>
      </c>
      <c r="J990" s="9">
        <f t="shared" si="15"/>
        <v>43746.646938969905</v>
      </c>
      <c r="K990" s="1"/>
    </row>
    <row r="991" spans="1:11" x14ac:dyDescent="0.25">
      <c r="A991" t="e">
        <f>-LqeUhq4B3BI_iP38Bqr</f>
        <v>#NAME?</v>
      </c>
      <c r="B991">
        <v>393.75</v>
      </c>
      <c r="C991">
        <v>20.531590000000001</v>
      </c>
      <c r="D991">
        <v>39</v>
      </c>
      <c r="E991">
        <v>0</v>
      </c>
      <c r="F991">
        <v>0</v>
      </c>
      <c r="G991">
        <v>19</v>
      </c>
      <c r="H991" s="4">
        <v>1570523502737</v>
      </c>
      <c r="I991">
        <v>526.6875</v>
      </c>
      <c r="J991" s="9">
        <f t="shared" si="15"/>
        <v>43746.647022418976</v>
      </c>
      <c r="K991" s="1"/>
    </row>
    <row r="992" spans="1:11" x14ac:dyDescent="0.25">
      <c r="A992" t="e">
        <f>-LqeUjK46B110gtX9xX2</f>
        <v>#NAME?</v>
      </c>
      <c r="B992">
        <v>393.75</v>
      </c>
      <c r="C992">
        <v>20.584240000000001</v>
      </c>
      <c r="D992">
        <v>39</v>
      </c>
      <c r="E992">
        <v>0</v>
      </c>
      <c r="F992">
        <v>0</v>
      </c>
      <c r="G992">
        <v>25</v>
      </c>
      <c r="H992" s="4">
        <v>1570523508936</v>
      </c>
      <c r="I992">
        <v>526.6875</v>
      </c>
      <c r="J992" s="9">
        <f t="shared" si="15"/>
        <v>43746.647094166663</v>
      </c>
      <c r="K992" s="1"/>
    </row>
    <row r="993" spans="1:11" x14ac:dyDescent="0.25">
      <c r="A993" t="e">
        <f>-LqeUlBsVf5Omds5uEz8</f>
        <v>#NAME?</v>
      </c>
      <c r="B993">
        <v>393.75</v>
      </c>
      <c r="C993">
        <v>20.584240000000001</v>
      </c>
      <c r="D993">
        <v>39</v>
      </c>
      <c r="E993">
        <v>0</v>
      </c>
      <c r="F993">
        <v>0</v>
      </c>
      <c r="G993">
        <v>29</v>
      </c>
      <c r="H993" s="4">
        <v>1570523515077</v>
      </c>
      <c r="I993">
        <v>526.6875</v>
      </c>
      <c r="J993" s="9">
        <f t="shared" si="15"/>
        <v>43746.647165243055</v>
      </c>
      <c r="K993" s="1"/>
    </row>
    <row r="994" spans="1:11" x14ac:dyDescent="0.25">
      <c r="A994" t="e">
        <f>-LqeUmq-tIlu2X9_kdoF</f>
        <v>#NAME?</v>
      </c>
      <c r="B994">
        <v>393.75</v>
      </c>
      <c r="C994">
        <v>20.584240000000001</v>
      </c>
      <c r="D994">
        <v>39</v>
      </c>
      <c r="E994">
        <v>0</v>
      </c>
      <c r="F994">
        <v>0</v>
      </c>
      <c r="G994">
        <v>23</v>
      </c>
      <c r="H994" s="4">
        <v>1570523523354</v>
      </c>
      <c r="I994">
        <v>526.6875</v>
      </c>
      <c r="J994" s="9">
        <f t="shared" si="15"/>
        <v>43746.64726104166</v>
      </c>
      <c r="K994" s="1"/>
    </row>
    <row r="995" spans="1:11" x14ac:dyDescent="0.25">
      <c r="A995" t="e">
        <f>-LqeUoP0CR795e0Q5rTu</f>
        <v>#NAME?</v>
      </c>
      <c r="B995">
        <v>393.75</v>
      </c>
      <c r="C995">
        <v>20.584240000000001</v>
      </c>
      <c r="D995">
        <v>39</v>
      </c>
      <c r="E995">
        <v>0</v>
      </c>
      <c r="F995">
        <v>0</v>
      </c>
      <c r="G995">
        <v>23</v>
      </c>
      <c r="H995" s="4">
        <v>1570523529523</v>
      </c>
      <c r="I995">
        <v>526.6875</v>
      </c>
      <c r="J995" s="9">
        <f t="shared" si="15"/>
        <v>43746.647332442131</v>
      </c>
      <c r="K995" s="1"/>
    </row>
    <row r="996" spans="1:11" x14ac:dyDescent="0.25">
      <c r="A996" t="e">
        <f>-LqeUq70OCZ16yIujMKb</f>
        <v>#NAME?</v>
      </c>
      <c r="B996">
        <v>393.75</v>
      </c>
      <c r="C996">
        <v>20.584240000000001</v>
      </c>
      <c r="D996">
        <v>39</v>
      </c>
      <c r="E996">
        <v>0</v>
      </c>
      <c r="F996">
        <v>0</v>
      </c>
      <c r="G996">
        <v>20</v>
      </c>
      <c r="H996" s="4">
        <v>1570523536704</v>
      </c>
      <c r="I996">
        <v>526.6875</v>
      </c>
      <c r="J996" s="9">
        <f t="shared" si="15"/>
        <v>43746.647415555555</v>
      </c>
      <c r="K996" s="1"/>
    </row>
    <row r="997" spans="1:11" x14ac:dyDescent="0.25">
      <c r="A997" t="e">
        <f>-LqeUsCCiMRoDINqvC9c</f>
        <v>#NAME?</v>
      </c>
      <c r="B997">
        <v>393.75</v>
      </c>
      <c r="C997">
        <v>20.584240000000001</v>
      </c>
      <c r="D997">
        <v>39</v>
      </c>
      <c r="E997">
        <v>0</v>
      </c>
      <c r="F997">
        <v>0</v>
      </c>
      <c r="G997">
        <v>18</v>
      </c>
      <c r="H997" s="4">
        <v>1570523543942</v>
      </c>
      <c r="I997">
        <v>526.6875</v>
      </c>
      <c r="J997" s="9">
        <f t="shared" si="15"/>
        <v>43746.647499328705</v>
      </c>
      <c r="K997" s="1"/>
    </row>
    <row r="998" spans="1:11" x14ac:dyDescent="0.25">
      <c r="A998" t="e">
        <f>-LqeUtvkqB29_yS4iUOP</f>
        <v>#NAME?</v>
      </c>
      <c r="B998">
        <v>415.625</v>
      </c>
      <c r="C998">
        <v>20.531590000000001</v>
      </c>
      <c r="D998">
        <v>39</v>
      </c>
      <c r="E998">
        <v>0</v>
      </c>
      <c r="F998">
        <v>0</v>
      </c>
      <c r="G998">
        <v>24</v>
      </c>
      <c r="H998" s="4">
        <v>1570523552182</v>
      </c>
      <c r="I998">
        <v>533.8125</v>
      </c>
      <c r="J998" s="9">
        <f t="shared" si="15"/>
        <v>43746.647594699076</v>
      </c>
      <c r="K998" s="1"/>
    </row>
    <row r="999" spans="1:11" x14ac:dyDescent="0.25">
      <c r="A999" t="e">
        <f>-LqeUvfAGQqX-BPKdo4L</f>
        <v>#NAME?</v>
      </c>
      <c r="B999">
        <v>393.75</v>
      </c>
      <c r="C999">
        <v>20.584240000000001</v>
      </c>
      <c r="D999">
        <v>38</v>
      </c>
      <c r="E999">
        <v>0</v>
      </c>
      <c r="F999">
        <v>0</v>
      </c>
      <c r="G999">
        <v>20</v>
      </c>
      <c r="H999" s="4">
        <v>1570523559403</v>
      </c>
      <c r="I999">
        <v>526.6875</v>
      </c>
      <c r="J999" s="9">
        <f t="shared" si="15"/>
        <v>43746.647678275462</v>
      </c>
      <c r="K999" s="1"/>
    </row>
    <row r="1000" spans="1:11" x14ac:dyDescent="0.25">
      <c r="A1000" t="e">
        <f>-LqeUxRkQtIE2lObqjoG</f>
        <v>#NAME?</v>
      </c>
      <c r="B1000">
        <v>393.75</v>
      </c>
      <c r="C1000">
        <v>20.531590000000001</v>
      </c>
      <c r="D1000">
        <v>39</v>
      </c>
      <c r="E1000">
        <v>0</v>
      </c>
      <c r="F1000">
        <v>0</v>
      </c>
      <c r="G1000">
        <v>26</v>
      </c>
      <c r="H1000" s="4">
        <v>1570523566612</v>
      </c>
      <c r="I1000">
        <v>526.6875</v>
      </c>
      <c r="J1000" s="9">
        <f t="shared" si="15"/>
        <v>43746.647761712964</v>
      </c>
      <c r="K1000" s="1"/>
    </row>
    <row r="1001" spans="1:11" x14ac:dyDescent="0.25">
      <c r="A1001" t="e">
        <f>-LqeUzB-EtV0btaIuAvY</f>
        <v>#NAME?</v>
      </c>
      <c r="B1001">
        <v>393.75</v>
      </c>
      <c r="C1001">
        <v>20.584240000000001</v>
      </c>
      <c r="D1001">
        <v>39</v>
      </c>
      <c r="E1001">
        <v>0</v>
      </c>
      <c r="F1001">
        <v>0</v>
      </c>
      <c r="G1001">
        <v>22</v>
      </c>
      <c r="H1001" s="4">
        <v>1570523573822</v>
      </c>
      <c r="I1001">
        <v>526.6875</v>
      </c>
      <c r="J1001" s="9">
        <f t="shared" si="15"/>
        <v>43746.647845162035</v>
      </c>
      <c r="K1001" s="1"/>
    </row>
    <row r="1002" spans="1:11" x14ac:dyDescent="0.25">
      <c r="A1002" t="e">
        <f>-LqeV-xwV5QJMYCZdCxy</f>
        <v>#NAME?</v>
      </c>
      <c r="B1002">
        <v>393.75</v>
      </c>
      <c r="C1002">
        <v>20.584240000000001</v>
      </c>
      <c r="D1002">
        <v>39</v>
      </c>
      <c r="E1002">
        <v>0</v>
      </c>
      <c r="F1002">
        <v>0</v>
      </c>
      <c r="G1002">
        <v>18</v>
      </c>
      <c r="H1002" s="4">
        <v>1570523581042</v>
      </c>
      <c r="I1002">
        <v>526.5</v>
      </c>
      <c r="J1002" s="9">
        <f t="shared" si="15"/>
        <v>43746.647928726852</v>
      </c>
      <c r="K1002" s="1"/>
    </row>
    <row r="1003" spans="1:11" x14ac:dyDescent="0.25">
      <c r="A1003" t="e">
        <f>-LqeV1h07NQr9DedO3bU</f>
        <v>#NAME?</v>
      </c>
      <c r="B1003">
        <v>393.75</v>
      </c>
      <c r="C1003">
        <v>20.584240000000001</v>
      </c>
      <c r="D1003">
        <v>41</v>
      </c>
      <c r="E1003">
        <v>0</v>
      </c>
      <c r="F1003">
        <v>0</v>
      </c>
      <c r="G1003">
        <v>26</v>
      </c>
      <c r="H1003" s="4">
        <v>1570523588224</v>
      </c>
      <c r="I1003">
        <v>526.6875</v>
      </c>
      <c r="J1003" s="9">
        <f t="shared" si="15"/>
        <v>43746.648011851845</v>
      </c>
      <c r="K1003" s="1"/>
    </row>
    <row r="1004" spans="1:11" x14ac:dyDescent="0.25">
      <c r="A1004" t="e">
        <f>-LqeV3Ele4W_Eo9V38Of</f>
        <v>#NAME?</v>
      </c>
      <c r="B1004">
        <v>393.75</v>
      </c>
      <c r="C1004">
        <v>20.584240000000001</v>
      </c>
      <c r="D1004">
        <v>41</v>
      </c>
      <c r="E1004">
        <v>0</v>
      </c>
      <c r="F1004">
        <v>0</v>
      </c>
      <c r="G1004">
        <v>24</v>
      </c>
      <c r="H1004" s="4">
        <v>1570523594454</v>
      </c>
      <c r="I1004">
        <v>526.6875</v>
      </c>
      <c r="J1004" s="9">
        <f t="shared" si="15"/>
        <v>43746.648083958331</v>
      </c>
      <c r="K1004" s="1"/>
    </row>
    <row r="1005" spans="1:11" x14ac:dyDescent="0.25">
      <c r="A1005" t="e">
        <f>-LqeV4xkW89l8Kvitz9P</f>
        <v>#NAME?</v>
      </c>
      <c r="B1005">
        <v>393.75</v>
      </c>
      <c r="C1005">
        <v>20.531590000000001</v>
      </c>
      <c r="D1005">
        <v>38</v>
      </c>
      <c r="E1005">
        <v>0</v>
      </c>
      <c r="F1005">
        <v>0</v>
      </c>
      <c r="G1005">
        <v>23</v>
      </c>
      <c r="H1005" s="4">
        <v>1570523601642</v>
      </c>
      <c r="I1005">
        <v>526.6875</v>
      </c>
      <c r="J1005" s="9">
        <f t="shared" si="15"/>
        <v>43746.64816715278</v>
      </c>
      <c r="K1005" s="1"/>
    </row>
    <row r="1006" spans="1:11" x14ac:dyDescent="0.25">
      <c r="A1006" t="e">
        <f>-LqeV6ktKnYKlb1OTyZ4</f>
        <v>#NAME?</v>
      </c>
      <c r="B1006">
        <v>393.75</v>
      </c>
      <c r="C1006">
        <v>20.531590000000001</v>
      </c>
      <c r="D1006">
        <v>38</v>
      </c>
      <c r="E1006">
        <v>0</v>
      </c>
      <c r="F1006">
        <v>0</v>
      </c>
      <c r="G1006">
        <v>16</v>
      </c>
      <c r="H1006" s="4">
        <v>1570523608852</v>
      </c>
      <c r="I1006">
        <v>526.6875</v>
      </c>
      <c r="J1006" s="9">
        <f t="shared" si="15"/>
        <v>43746.648250601851</v>
      </c>
      <c r="K1006" s="1"/>
    </row>
    <row r="1007" spans="1:11" x14ac:dyDescent="0.25">
      <c r="A1007" t="e">
        <f>-LqeV8Tt2A8IX85d0YZe</f>
        <v>#NAME?</v>
      </c>
      <c r="B1007">
        <v>393.75</v>
      </c>
      <c r="C1007">
        <v>20.584240000000001</v>
      </c>
      <c r="D1007">
        <v>38</v>
      </c>
      <c r="E1007">
        <v>0</v>
      </c>
      <c r="F1007">
        <v>0</v>
      </c>
      <c r="G1007">
        <v>20</v>
      </c>
      <c r="H1007" s="4">
        <v>1570523616072</v>
      </c>
      <c r="I1007">
        <v>526.6875</v>
      </c>
      <c r="J1007" s="9">
        <f t="shared" si="15"/>
        <v>43746.648334166668</v>
      </c>
      <c r="K1007" s="1"/>
    </row>
    <row r="1008" spans="1:11" x14ac:dyDescent="0.25">
      <c r="A1008" t="e">
        <f>-LqeVAHq3zFJCJMihkXn</f>
        <v>#NAME?</v>
      </c>
      <c r="B1008">
        <v>412.5</v>
      </c>
      <c r="C1008">
        <v>20.584240000000001</v>
      </c>
      <c r="D1008">
        <v>38</v>
      </c>
      <c r="E1008">
        <v>0</v>
      </c>
      <c r="F1008">
        <v>0</v>
      </c>
      <c r="G1008">
        <v>21</v>
      </c>
      <c r="H1008" s="4">
        <v>1570523623285</v>
      </c>
      <c r="I1008">
        <v>532.3125</v>
      </c>
      <c r="J1008" s="9">
        <f t="shared" si="15"/>
        <v>43746.64841765046</v>
      </c>
      <c r="K1008" s="1"/>
    </row>
    <row r="1009" spans="1:11" x14ac:dyDescent="0.25">
      <c r="A1009" t="e">
        <f>-LqeVC-r_CEiMvh16FvE</f>
        <v>#NAME?</v>
      </c>
      <c r="B1009">
        <v>393.75</v>
      </c>
      <c r="C1009">
        <v>20.531590000000001</v>
      </c>
      <c r="D1009">
        <v>38</v>
      </c>
      <c r="E1009">
        <v>0</v>
      </c>
      <c r="F1009">
        <v>0</v>
      </c>
      <c r="G1009">
        <v>25</v>
      </c>
      <c r="H1009" s="4">
        <v>1570523630473</v>
      </c>
      <c r="I1009">
        <v>526.6875</v>
      </c>
      <c r="J1009" s="9">
        <f t="shared" si="15"/>
        <v>43746.648500844902</v>
      </c>
      <c r="K1009" s="1"/>
    </row>
    <row r="1010" spans="1:11" x14ac:dyDescent="0.25">
      <c r="A1010" t="e">
        <f>-LqeVDvDeP1QPbsEYXSI</f>
        <v>#NAME?</v>
      </c>
      <c r="B1010">
        <v>393.75</v>
      </c>
      <c r="C1010">
        <v>20.584240000000001</v>
      </c>
      <c r="D1010">
        <v>38</v>
      </c>
      <c r="E1010">
        <v>0</v>
      </c>
      <c r="F1010">
        <v>0</v>
      </c>
      <c r="G1010">
        <v>20</v>
      </c>
      <c r="H1010" s="4">
        <v>1570523636662</v>
      </c>
      <c r="I1010">
        <v>526.6875</v>
      </c>
      <c r="J1010" s="9">
        <f t="shared" si="15"/>
        <v>43746.64857247685</v>
      </c>
      <c r="K1010" s="1"/>
    </row>
    <row r="1011" spans="1:11" x14ac:dyDescent="0.25">
      <c r="A1011" t="e">
        <f>-LqeVFX06SDBEJKCJPvE</f>
        <v>#NAME?</v>
      </c>
      <c r="B1011">
        <v>393.75</v>
      </c>
      <c r="C1011">
        <v>20.584240000000001</v>
      </c>
      <c r="D1011">
        <v>39</v>
      </c>
      <c r="E1011">
        <v>0</v>
      </c>
      <c r="F1011">
        <v>0</v>
      </c>
      <c r="G1011">
        <v>24</v>
      </c>
      <c r="H1011" s="4">
        <v>1570523644902</v>
      </c>
      <c r="I1011">
        <v>526.6875</v>
      </c>
      <c r="J1011" s="9">
        <f t="shared" si="15"/>
        <v>43746.648667847221</v>
      </c>
      <c r="K1011" s="1"/>
    </row>
    <row r="1012" spans="1:11" x14ac:dyDescent="0.25">
      <c r="A1012" t="e">
        <f>-LqeVH3mFfGRSwHWLvmi</f>
        <v>#NAME?</v>
      </c>
      <c r="B1012">
        <v>393.75</v>
      </c>
      <c r="C1012">
        <v>20.584240000000001</v>
      </c>
      <c r="D1012">
        <v>38</v>
      </c>
      <c r="E1012">
        <v>0</v>
      </c>
      <c r="F1012">
        <v>0</v>
      </c>
      <c r="G1012">
        <v>22</v>
      </c>
      <c r="H1012" s="4">
        <v>1570523651104</v>
      </c>
      <c r="I1012">
        <v>526.6875</v>
      </c>
      <c r="J1012" s="9">
        <f t="shared" si="15"/>
        <v>43746.648739629629</v>
      </c>
      <c r="K1012" s="1"/>
    </row>
    <row r="1013" spans="1:11" x14ac:dyDescent="0.25">
      <c r="A1013" t="e">
        <f>-LqeVJ2oOragMKqPNWgQ</f>
        <v>#NAME?</v>
      </c>
      <c r="B1013">
        <v>412.5</v>
      </c>
      <c r="C1013">
        <v>20.584240000000001</v>
      </c>
      <c r="D1013">
        <v>38</v>
      </c>
      <c r="E1013">
        <v>0</v>
      </c>
      <c r="F1013">
        <v>0</v>
      </c>
      <c r="G1013">
        <v>19</v>
      </c>
      <c r="H1013" s="4">
        <v>1570523658313</v>
      </c>
      <c r="I1013">
        <v>532.3125</v>
      </c>
      <c r="J1013" s="9">
        <f t="shared" si="15"/>
        <v>43746.648823067131</v>
      </c>
      <c r="K1013" s="1"/>
    </row>
    <row r="1014" spans="1:11" x14ac:dyDescent="0.25">
      <c r="A1014" t="e">
        <f>-LqeVKb-fNQxgRsA_yzs</f>
        <v>#NAME?</v>
      </c>
      <c r="B1014">
        <v>393.75</v>
      </c>
      <c r="C1014">
        <v>20.584240000000001</v>
      </c>
      <c r="D1014">
        <v>38</v>
      </c>
      <c r="E1014">
        <v>0</v>
      </c>
      <c r="F1014">
        <v>0</v>
      </c>
      <c r="G1014">
        <v>17</v>
      </c>
      <c r="H1014" s="4">
        <v>1570523665502</v>
      </c>
      <c r="I1014">
        <v>526.6875</v>
      </c>
      <c r="J1014" s="9">
        <f t="shared" si="15"/>
        <v>43746.648906273149</v>
      </c>
      <c r="K1014" s="1"/>
    </row>
    <row r="1015" spans="1:11" x14ac:dyDescent="0.25">
      <c r="A1015" t="e">
        <f>-LqeVMK10FrgO051JsKx</f>
        <v>#NAME?</v>
      </c>
      <c r="B1015">
        <v>393.75</v>
      </c>
      <c r="C1015">
        <v>20.584240000000001</v>
      </c>
      <c r="D1015">
        <v>37</v>
      </c>
      <c r="E1015">
        <v>0</v>
      </c>
      <c r="F1015">
        <v>0</v>
      </c>
      <c r="G1015">
        <v>26</v>
      </c>
      <c r="H1015" s="4">
        <v>1570523672712</v>
      </c>
      <c r="I1015">
        <v>526.6875</v>
      </c>
      <c r="J1015" s="9">
        <f t="shared" si="15"/>
        <v>43746.64898972222</v>
      </c>
      <c r="K1015" s="1"/>
    </row>
    <row r="1016" spans="1:11" x14ac:dyDescent="0.25">
      <c r="A1016" t="e">
        <f>-LqeVNt0CgmMOzNsEimd</f>
        <v>#NAME?</v>
      </c>
      <c r="B1016">
        <v>393.75</v>
      </c>
      <c r="C1016">
        <v>20.531590000000001</v>
      </c>
      <c r="D1016">
        <v>37</v>
      </c>
      <c r="E1016">
        <v>0</v>
      </c>
      <c r="F1016">
        <v>0</v>
      </c>
      <c r="G1016">
        <v>25</v>
      </c>
      <c r="H1016" s="4">
        <v>1570523678913</v>
      </c>
      <c r="I1016">
        <v>526.6875</v>
      </c>
      <c r="J1016" s="9">
        <f t="shared" si="15"/>
        <v>43746.649061493052</v>
      </c>
      <c r="K1016" s="1"/>
    </row>
    <row r="1017" spans="1:11" x14ac:dyDescent="0.25">
      <c r="A1017" t="e">
        <f>-LqeVPare3a3e2YSiBga</f>
        <v>#NAME?</v>
      </c>
      <c r="B1017">
        <v>393.75</v>
      </c>
      <c r="C1017">
        <v>20.584240000000001</v>
      </c>
      <c r="D1017">
        <v>37</v>
      </c>
      <c r="E1017">
        <v>0</v>
      </c>
      <c r="F1017">
        <v>0</v>
      </c>
      <c r="G1017">
        <v>22</v>
      </c>
      <c r="H1017" s="4">
        <v>1570523686142</v>
      </c>
      <c r="I1017">
        <v>526.5</v>
      </c>
      <c r="J1017" s="9">
        <f t="shared" si="15"/>
        <v>43746.649145162031</v>
      </c>
      <c r="K1017" s="1"/>
    </row>
    <row r="1018" spans="1:11" x14ac:dyDescent="0.25">
      <c r="A1018" t="e">
        <f>-LqeVRP9bFVz4ZSKprTH</f>
        <v>#NAME?</v>
      </c>
      <c r="B1018">
        <v>418.75</v>
      </c>
      <c r="C1018">
        <v>20.584240000000001</v>
      </c>
      <c r="D1018">
        <v>37</v>
      </c>
      <c r="E1018">
        <v>0</v>
      </c>
      <c r="F1018">
        <v>0</v>
      </c>
      <c r="G1018">
        <v>23</v>
      </c>
      <c r="H1018" s="4">
        <v>1570523693352</v>
      </c>
      <c r="I1018">
        <v>534.9375</v>
      </c>
      <c r="J1018" s="9">
        <f t="shared" si="15"/>
        <v>43746.64922861111</v>
      </c>
      <c r="K1018" s="1"/>
    </row>
    <row r="1019" spans="1:11" x14ac:dyDescent="0.25">
      <c r="A1019" t="e">
        <f>-LqeVT5l6todQ4zuvrpo</f>
        <v>#NAME?</v>
      </c>
      <c r="B1019">
        <v>393.75</v>
      </c>
      <c r="C1019">
        <v>20.584240000000001</v>
      </c>
      <c r="D1019">
        <v>38</v>
      </c>
      <c r="E1019">
        <v>0</v>
      </c>
      <c r="F1019">
        <v>0</v>
      </c>
      <c r="G1019">
        <v>17</v>
      </c>
      <c r="H1019" s="4">
        <v>1570523700542</v>
      </c>
      <c r="I1019">
        <v>526.6875</v>
      </c>
      <c r="J1019" s="9">
        <f t="shared" si="15"/>
        <v>43746.649311828696</v>
      </c>
      <c r="K1019" s="1"/>
    </row>
    <row r="1020" spans="1:11" x14ac:dyDescent="0.25">
      <c r="A1020" t="e">
        <f>-LqeVUfqZDiSJgKAhigV</f>
        <v>#NAME?</v>
      </c>
      <c r="B1020">
        <v>393.75</v>
      </c>
      <c r="C1020">
        <v>20.584240000000001</v>
      </c>
      <c r="D1020">
        <v>38</v>
      </c>
      <c r="E1020">
        <v>0</v>
      </c>
      <c r="F1020">
        <v>0</v>
      </c>
      <c r="G1020">
        <v>23</v>
      </c>
      <c r="H1020" s="4">
        <v>1570523706775</v>
      </c>
      <c r="I1020">
        <v>526.6875</v>
      </c>
      <c r="J1020" s="9">
        <f t="shared" si="15"/>
        <v>43746.649383969903</v>
      </c>
      <c r="K1020" s="1"/>
    </row>
    <row r="1021" spans="1:11" x14ac:dyDescent="0.25">
      <c r="A1021" t="e">
        <f>-LqeVWTqt9U9u3cJYTzP</f>
        <v>#NAME?</v>
      </c>
      <c r="B1021">
        <v>393.75</v>
      </c>
      <c r="C1021">
        <v>20.531590000000001</v>
      </c>
      <c r="D1021">
        <v>38</v>
      </c>
      <c r="E1021">
        <v>0</v>
      </c>
      <c r="F1021">
        <v>0</v>
      </c>
      <c r="G1021">
        <v>23</v>
      </c>
      <c r="H1021" s="4">
        <v>1570523713964</v>
      </c>
      <c r="I1021">
        <v>526.6875</v>
      </c>
      <c r="J1021" s="9">
        <f t="shared" si="15"/>
        <v>43746.649467175921</v>
      </c>
      <c r="K1021" s="1"/>
    </row>
    <row r="1022" spans="1:11" x14ac:dyDescent="0.25">
      <c r="A1022" t="e">
        <f>-LqeVYLqxg5pwta54AL3</f>
        <v>#NAME?</v>
      </c>
      <c r="B1022">
        <v>393.75</v>
      </c>
      <c r="C1022">
        <v>20.584240000000001</v>
      </c>
      <c r="D1022">
        <v>38</v>
      </c>
      <c r="E1022">
        <v>0</v>
      </c>
      <c r="F1022">
        <v>0</v>
      </c>
      <c r="G1022">
        <v>23</v>
      </c>
      <c r="H1022" s="4">
        <v>1570523721980</v>
      </c>
      <c r="I1022">
        <v>526.6875</v>
      </c>
      <c r="J1022" s="9">
        <f t="shared" si="15"/>
        <v>43746.649559953701</v>
      </c>
      <c r="K1022" s="1"/>
    </row>
    <row r="1023" spans="1:11" x14ac:dyDescent="0.25">
      <c r="A1023" t="e">
        <f>-LqeVZv1TGIBssNqDGOL</f>
        <v>#NAME?</v>
      </c>
      <c r="B1023">
        <v>393.75</v>
      </c>
      <c r="C1023">
        <v>20.584240000000001</v>
      </c>
      <c r="D1023">
        <v>39</v>
      </c>
      <c r="E1023">
        <v>0</v>
      </c>
      <c r="F1023">
        <v>0</v>
      </c>
      <c r="G1023">
        <v>24</v>
      </c>
      <c r="H1023" s="4">
        <v>1570523728382</v>
      </c>
      <c r="I1023">
        <v>526.6875</v>
      </c>
      <c r="J1023" s="9">
        <f t="shared" si="15"/>
        <v>43746.649634050926</v>
      </c>
      <c r="K1023" s="1"/>
    </row>
    <row r="1024" spans="1:11" x14ac:dyDescent="0.25">
      <c r="A1024" t="e">
        <f>-LqeVagtrWOnHraR5k0t</f>
        <v>#NAME?</v>
      </c>
      <c r="B1024">
        <v>393.75</v>
      </c>
      <c r="C1024">
        <v>20.584240000000001</v>
      </c>
      <c r="D1024">
        <v>41</v>
      </c>
      <c r="E1024">
        <v>0</v>
      </c>
      <c r="F1024">
        <v>0</v>
      </c>
      <c r="G1024">
        <v>29</v>
      </c>
      <c r="H1024" s="4">
        <v>1570523735593</v>
      </c>
      <c r="I1024">
        <v>526.5</v>
      </c>
      <c r="J1024" s="9">
        <f t="shared" si="15"/>
        <v>43746.649717511573</v>
      </c>
      <c r="K1024" s="1"/>
    </row>
    <row r="1025" spans="1:11" x14ac:dyDescent="0.25">
      <c r="A1025" t="e">
        <f>-LqeVcOA305ERfh1sUBk</f>
        <v>#NAME?</v>
      </c>
      <c r="B1025">
        <v>393.75</v>
      </c>
      <c r="C1025">
        <v>20.584240000000001</v>
      </c>
      <c r="D1025">
        <v>40</v>
      </c>
      <c r="E1025">
        <v>0</v>
      </c>
      <c r="F1025">
        <v>0</v>
      </c>
      <c r="G1025">
        <v>31</v>
      </c>
      <c r="H1025" s="4">
        <v>1570523742763</v>
      </c>
      <c r="I1025">
        <v>526.6875</v>
      </c>
      <c r="J1025" s="9">
        <f t="shared" si="15"/>
        <v>43746.649800497682</v>
      </c>
      <c r="K1025" s="1"/>
    </row>
    <row r="1026" spans="1:11" x14ac:dyDescent="0.25">
      <c r="A1026" t="e">
        <f>-LqeVe8SeJaHZBASRkpO</f>
        <v>#NAME?</v>
      </c>
      <c r="B1026">
        <v>393.75</v>
      </c>
      <c r="C1026">
        <v>20.584240000000001</v>
      </c>
      <c r="D1026">
        <v>41</v>
      </c>
      <c r="E1026">
        <v>0</v>
      </c>
      <c r="F1026">
        <v>0</v>
      </c>
      <c r="G1026">
        <v>15</v>
      </c>
      <c r="H1026" s="4">
        <v>1570523748963</v>
      </c>
      <c r="I1026">
        <v>526.6875</v>
      </c>
      <c r="J1026" s="9">
        <f t="shared" si="15"/>
        <v>43746.649872256945</v>
      </c>
      <c r="K1026" s="1"/>
    </row>
    <row r="1027" spans="1:11" x14ac:dyDescent="0.25">
      <c r="A1027" t="e">
        <f>-LqeVfeihw6qKgM6yQUm</f>
        <v>#NAME?</v>
      </c>
      <c r="B1027">
        <v>393.75</v>
      </c>
      <c r="C1027">
        <v>20.531590000000001</v>
      </c>
      <c r="D1027">
        <v>41</v>
      </c>
      <c r="E1027">
        <v>0</v>
      </c>
      <c r="F1027">
        <v>0</v>
      </c>
      <c r="G1027">
        <v>20</v>
      </c>
      <c r="H1027" s="4">
        <v>1570523756165</v>
      </c>
      <c r="I1027">
        <v>526.6875</v>
      </c>
      <c r="J1027" s="9">
        <f t="shared" ref="J1027:J1090" si="16">(H1027/86400000)+25569+(7/24)</f>
        <v>43746.649955613422</v>
      </c>
      <c r="K1027" s="1"/>
    </row>
    <row r="1028" spans="1:11" x14ac:dyDescent="0.25">
      <c r="A1028" t="e">
        <f>-LqeVhBiO2UEpDQVLwl3</f>
        <v>#NAME?</v>
      </c>
      <c r="B1028">
        <v>393.75</v>
      </c>
      <c r="C1028">
        <v>20.584240000000001</v>
      </c>
      <c r="D1028">
        <v>39</v>
      </c>
      <c r="E1028">
        <v>0</v>
      </c>
      <c r="F1028">
        <v>0</v>
      </c>
      <c r="G1028">
        <v>27</v>
      </c>
      <c r="H1028" s="4">
        <v>1570523762344</v>
      </c>
      <c r="I1028">
        <v>526.6875</v>
      </c>
      <c r="J1028" s="9">
        <f t="shared" si="16"/>
        <v>43746.650027129632</v>
      </c>
      <c r="K1028" s="1"/>
    </row>
    <row r="1029" spans="1:11" x14ac:dyDescent="0.25">
      <c r="A1029" t="e">
        <f>-LqeVikm2eph8IiuTVvd</f>
        <v>#NAME?</v>
      </c>
      <c r="B1029">
        <v>393.75</v>
      </c>
      <c r="C1029">
        <v>20.531590000000001</v>
      </c>
      <c r="D1029">
        <v>40</v>
      </c>
      <c r="E1029">
        <v>0</v>
      </c>
      <c r="F1029">
        <v>0</v>
      </c>
      <c r="G1029">
        <v>21</v>
      </c>
      <c r="H1029" s="4">
        <v>1570523768556</v>
      </c>
      <c r="I1029">
        <v>526.6875</v>
      </c>
      <c r="J1029" s="9">
        <f t="shared" si="16"/>
        <v>43746.650099027778</v>
      </c>
      <c r="K1029" s="1"/>
    </row>
    <row r="1030" spans="1:11" x14ac:dyDescent="0.25">
      <c r="A1030" t="e">
        <f>-LqeVkYtl4BSvxlb0aM6</f>
        <v>#NAME?</v>
      </c>
      <c r="B1030">
        <v>393.75</v>
      </c>
      <c r="C1030">
        <v>20.584240000000001</v>
      </c>
      <c r="D1030">
        <v>39</v>
      </c>
      <c r="E1030">
        <v>0</v>
      </c>
      <c r="F1030">
        <v>0</v>
      </c>
      <c r="G1030">
        <v>22</v>
      </c>
      <c r="H1030" s="4">
        <v>1570523775744</v>
      </c>
      <c r="I1030">
        <v>526.6875</v>
      </c>
      <c r="J1030" s="9">
        <f t="shared" si="16"/>
        <v>43746.65018222222</v>
      </c>
      <c r="K1030" s="1"/>
    </row>
    <row r="1031" spans="1:11" x14ac:dyDescent="0.25">
      <c r="A1031" t="e">
        <f>-LqeVmH1fZwCyusofRt0</f>
        <v>#NAME?</v>
      </c>
      <c r="B1031">
        <v>393.75</v>
      </c>
      <c r="C1031">
        <v>20.584240000000001</v>
      </c>
      <c r="D1031">
        <v>39</v>
      </c>
      <c r="E1031">
        <v>0</v>
      </c>
      <c r="F1031">
        <v>0</v>
      </c>
      <c r="G1031">
        <v>25</v>
      </c>
      <c r="H1031" s="4">
        <v>1570523782975</v>
      </c>
      <c r="I1031">
        <v>526.6875</v>
      </c>
      <c r="J1031" s="9">
        <f t="shared" si="16"/>
        <v>43746.650265914352</v>
      </c>
      <c r="K1031" s="1"/>
    </row>
    <row r="1032" spans="1:11" x14ac:dyDescent="0.25">
      <c r="A1032" t="e">
        <f>-LqeVnzkLCaHvh3iVq99</f>
        <v>#NAME?</v>
      </c>
      <c r="B1032">
        <v>393.75</v>
      </c>
      <c r="C1032">
        <v>20.584240000000001</v>
      </c>
      <c r="D1032">
        <v>38</v>
      </c>
      <c r="E1032">
        <v>0</v>
      </c>
      <c r="F1032">
        <v>0</v>
      </c>
      <c r="G1032">
        <v>27</v>
      </c>
      <c r="H1032" s="4">
        <v>1570523790166</v>
      </c>
      <c r="I1032">
        <v>526.5</v>
      </c>
      <c r="J1032" s="9">
        <f t="shared" si="16"/>
        <v>43746.650349143521</v>
      </c>
      <c r="K1032" s="1"/>
    </row>
    <row r="1033" spans="1:11" x14ac:dyDescent="0.25">
      <c r="A1033" t="e">
        <f>-LqeVpZCib3pT2muQguH</f>
        <v>#NAME?</v>
      </c>
      <c r="B1033">
        <v>393.75</v>
      </c>
      <c r="C1033">
        <v>20.584240000000001</v>
      </c>
      <c r="D1033">
        <v>38</v>
      </c>
      <c r="E1033">
        <v>0</v>
      </c>
      <c r="F1033">
        <v>0</v>
      </c>
      <c r="G1033">
        <v>26</v>
      </c>
      <c r="H1033" s="4">
        <v>1570523796354</v>
      </c>
      <c r="I1033">
        <v>526.5</v>
      </c>
      <c r="J1033" s="9">
        <f t="shared" si="16"/>
        <v>43746.650420763886</v>
      </c>
      <c r="K1033" s="1"/>
    </row>
    <row r="1034" spans="1:11" x14ac:dyDescent="0.25">
      <c r="A1034" t="e">
        <f>-LqeVrI9pIxECqx9z9Y0</f>
        <v>#NAME?</v>
      </c>
      <c r="B1034">
        <v>393.75</v>
      </c>
      <c r="C1034">
        <v>20.584240000000001</v>
      </c>
      <c r="D1034">
        <v>37</v>
      </c>
      <c r="E1034">
        <v>0</v>
      </c>
      <c r="F1034">
        <v>0</v>
      </c>
      <c r="G1034">
        <v>23</v>
      </c>
      <c r="H1034" s="4">
        <v>1570523803595</v>
      </c>
      <c r="I1034">
        <v>526.6875</v>
      </c>
      <c r="J1034" s="9">
        <f t="shared" si="16"/>
        <v>43746.650504571757</v>
      </c>
      <c r="K1034" s="1"/>
    </row>
    <row r="1035" spans="1:11" x14ac:dyDescent="0.25">
      <c r="A1035" t="e">
        <f>-LqeVsl2g0bkiY3mB_nS</f>
        <v>#NAME?</v>
      </c>
      <c r="B1035">
        <v>393.75</v>
      </c>
      <c r="C1035">
        <v>20.531590000000001</v>
      </c>
      <c r="D1035">
        <v>37</v>
      </c>
      <c r="E1035">
        <v>0</v>
      </c>
      <c r="F1035">
        <v>0</v>
      </c>
      <c r="G1035">
        <v>22</v>
      </c>
      <c r="H1035" s="4">
        <v>1570523809751</v>
      </c>
      <c r="I1035">
        <v>526.6875</v>
      </c>
      <c r="J1035" s="9">
        <f t="shared" si="16"/>
        <v>43746.650575821761</v>
      </c>
      <c r="K1035" s="1"/>
    </row>
    <row r="1036" spans="1:11" x14ac:dyDescent="0.25">
      <c r="A1036" t="e">
        <f>-LqeVuK0eCTIhYiDGTTr</f>
        <v>#NAME?</v>
      </c>
      <c r="B1036">
        <v>393.75</v>
      </c>
      <c r="C1036">
        <v>20.531590000000001</v>
      </c>
      <c r="D1036">
        <v>39</v>
      </c>
      <c r="E1036">
        <v>0</v>
      </c>
      <c r="F1036">
        <v>0</v>
      </c>
      <c r="G1036">
        <v>27</v>
      </c>
      <c r="H1036" s="4">
        <v>1570523815966</v>
      </c>
      <c r="I1036">
        <v>526.5</v>
      </c>
      <c r="J1036" s="9">
        <f t="shared" si="16"/>
        <v>43746.650647754628</v>
      </c>
      <c r="K1036" s="1"/>
    </row>
    <row r="1037" spans="1:11" x14ac:dyDescent="0.25">
      <c r="A1037" t="e">
        <f>-LqeVw1u7mJLk4AF4ylI</f>
        <v>#NAME?</v>
      </c>
      <c r="B1037">
        <v>393.75</v>
      </c>
      <c r="C1037">
        <v>20.584240000000001</v>
      </c>
      <c r="D1037">
        <v>39</v>
      </c>
      <c r="E1037">
        <v>0</v>
      </c>
      <c r="F1037">
        <v>0</v>
      </c>
      <c r="G1037">
        <v>33</v>
      </c>
      <c r="H1037" s="4">
        <v>1570523823175</v>
      </c>
      <c r="I1037">
        <v>526.6875</v>
      </c>
      <c r="J1037" s="9">
        <f t="shared" si="16"/>
        <v>43746.650731192123</v>
      </c>
      <c r="K1037" s="1"/>
    </row>
    <row r="1038" spans="1:11" x14ac:dyDescent="0.25">
      <c r="A1038" t="e">
        <f>-LqeVxauw2R2iQJ2T0vp</f>
        <v>#NAME?</v>
      </c>
      <c r="B1038">
        <v>393.75</v>
      </c>
      <c r="C1038">
        <v>20.584240000000001</v>
      </c>
      <c r="D1038">
        <v>38</v>
      </c>
      <c r="E1038">
        <v>0</v>
      </c>
      <c r="F1038">
        <v>0</v>
      </c>
      <c r="G1038">
        <v>32</v>
      </c>
      <c r="H1038" s="4">
        <v>1570523829345</v>
      </c>
      <c r="I1038">
        <v>526.6875</v>
      </c>
      <c r="J1038" s="9">
        <f t="shared" si="16"/>
        <v>43746.650802604163</v>
      </c>
      <c r="K1038" s="1"/>
    </row>
    <row r="1039" spans="1:11" x14ac:dyDescent="0.25">
      <c r="A1039" t="e">
        <f>-LqeVzKo0jgssvYovgYf</f>
        <v>#NAME?</v>
      </c>
      <c r="B1039">
        <v>393.75</v>
      </c>
      <c r="C1039">
        <v>20.531590000000001</v>
      </c>
      <c r="D1039">
        <v>39</v>
      </c>
      <c r="E1039">
        <v>0</v>
      </c>
      <c r="F1039">
        <v>0</v>
      </c>
      <c r="G1039">
        <v>31</v>
      </c>
      <c r="H1039" s="4">
        <v>1570523836555</v>
      </c>
      <c r="I1039">
        <v>526.6875</v>
      </c>
      <c r="J1039" s="9">
        <f t="shared" si="16"/>
        <v>43746.650886053241</v>
      </c>
      <c r="K1039" s="1"/>
    </row>
    <row r="1040" spans="1:11" x14ac:dyDescent="0.25">
      <c r="A1040" t="e">
        <f>-LqeW06t4IYg_Kc8cDFc</f>
        <v>#NAME?</v>
      </c>
      <c r="B1040">
        <v>393.75</v>
      </c>
      <c r="C1040">
        <v>20.584240000000001</v>
      </c>
      <c r="D1040">
        <v>41</v>
      </c>
      <c r="E1040">
        <v>0</v>
      </c>
      <c r="F1040">
        <v>0</v>
      </c>
      <c r="G1040">
        <v>28</v>
      </c>
      <c r="H1040" s="4">
        <v>1570523843765</v>
      </c>
      <c r="I1040">
        <v>526.6875</v>
      </c>
      <c r="J1040" s="9">
        <f t="shared" si="16"/>
        <v>43746.650969502312</v>
      </c>
      <c r="K1040" s="1"/>
    </row>
    <row r="1041" spans="1:11" x14ac:dyDescent="0.25">
      <c r="A1041" t="e">
        <f>-LqeW1pwHTkakP9RuN3o</f>
        <v>#NAME?</v>
      </c>
      <c r="B1041">
        <v>393.75</v>
      </c>
      <c r="C1041">
        <v>20.584240000000001</v>
      </c>
      <c r="D1041">
        <v>40</v>
      </c>
      <c r="E1041">
        <v>0</v>
      </c>
      <c r="F1041">
        <v>0</v>
      </c>
      <c r="G1041">
        <v>22</v>
      </c>
      <c r="H1041" s="4">
        <v>1570523850955</v>
      </c>
      <c r="I1041">
        <v>526.6875</v>
      </c>
      <c r="J1041" s="9">
        <f t="shared" si="16"/>
        <v>43746.651052719906</v>
      </c>
      <c r="K1041" s="1"/>
    </row>
    <row r="1042" spans="1:11" x14ac:dyDescent="0.25">
      <c r="A1042" t="e">
        <f>-LqeW3d2agJ_io6mIXp0</f>
        <v>#NAME?</v>
      </c>
      <c r="B1042">
        <v>393.75</v>
      </c>
      <c r="C1042">
        <v>20.531590000000001</v>
      </c>
      <c r="D1042">
        <v>41</v>
      </c>
      <c r="E1042">
        <v>0</v>
      </c>
      <c r="F1042">
        <v>0</v>
      </c>
      <c r="G1042">
        <v>21</v>
      </c>
      <c r="H1042" s="4">
        <v>1570523858194</v>
      </c>
      <c r="I1042">
        <v>526.6875</v>
      </c>
      <c r="J1042" s="9">
        <f t="shared" si="16"/>
        <v>43746.651136504624</v>
      </c>
      <c r="K1042" s="1"/>
    </row>
    <row r="1043" spans="1:11" x14ac:dyDescent="0.25">
      <c r="A1043" t="e">
        <f>-LqeW5LtdNU_3BPUzfUg</f>
        <v>#NAME?</v>
      </c>
      <c r="B1043">
        <v>393.75</v>
      </c>
      <c r="C1043">
        <v>20.584240000000001</v>
      </c>
      <c r="D1043">
        <v>41</v>
      </c>
      <c r="E1043">
        <v>0</v>
      </c>
      <c r="F1043">
        <v>0</v>
      </c>
      <c r="G1043">
        <v>16</v>
      </c>
      <c r="H1043" s="4">
        <v>1570523865424</v>
      </c>
      <c r="I1043">
        <v>526.6875</v>
      </c>
      <c r="J1043" s="9">
        <f t="shared" si="16"/>
        <v>43746.65122018518</v>
      </c>
      <c r="K1043" s="1"/>
    </row>
    <row r="1044" spans="1:11" x14ac:dyDescent="0.25">
      <c r="A1044" t="e">
        <f>-LqeW6uk-Ci6pcFfTxSZ</f>
        <v>#NAME?</v>
      </c>
      <c r="B1044">
        <v>393.75</v>
      </c>
      <c r="C1044">
        <v>20.584240000000001</v>
      </c>
      <c r="D1044">
        <v>41</v>
      </c>
      <c r="E1044">
        <v>0</v>
      </c>
      <c r="F1044">
        <v>0</v>
      </c>
      <c r="G1044">
        <v>30</v>
      </c>
      <c r="H1044" s="4">
        <v>1570523871585</v>
      </c>
      <c r="I1044">
        <v>526.6875</v>
      </c>
      <c r="J1044" s="9">
        <f t="shared" si="16"/>
        <v>43746.651291493057</v>
      </c>
      <c r="K1044" s="1"/>
    </row>
    <row r="1045" spans="1:11" x14ac:dyDescent="0.25">
      <c r="A1045" t="e">
        <f>-LqeW8cs2gE7dp1mfbLu</f>
        <v>#NAME?</v>
      </c>
      <c r="B1045">
        <v>393.75</v>
      </c>
      <c r="C1045">
        <v>20.584240000000001</v>
      </c>
      <c r="D1045">
        <v>42</v>
      </c>
      <c r="E1045">
        <v>0</v>
      </c>
      <c r="F1045">
        <v>0</v>
      </c>
      <c r="G1045">
        <v>34</v>
      </c>
      <c r="H1045" s="4">
        <v>1570523878785</v>
      </c>
      <c r="I1045">
        <v>526.6875</v>
      </c>
      <c r="J1045" s="9">
        <f t="shared" si="16"/>
        <v>43746.65137482639</v>
      </c>
      <c r="K1045" s="1"/>
    </row>
    <row r="1046" spans="1:11" x14ac:dyDescent="0.25">
      <c r="A1046" t="s">
        <v>59</v>
      </c>
      <c r="B1046">
        <v>393.75</v>
      </c>
      <c r="C1046">
        <v>20.584240000000001</v>
      </c>
      <c r="D1046">
        <v>42</v>
      </c>
      <c r="E1046">
        <v>0</v>
      </c>
      <c r="F1046">
        <v>0</v>
      </c>
      <c r="G1046">
        <v>30</v>
      </c>
      <c r="H1046" s="4">
        <v>1570523886016</v>
      </c>
      <c r="I1046">
        <v>526.6875</v>
      </c>
      <c r="J1046" s="9">
        <f t="shared" si="16"/>
        <v>43746.651458518514</v>
      </c>
      <c r="K1046" s="1"/>
    </row>
    <row r="1047" spans="1:11" x14ac:dyDescent="0.25">
      <c r="A1047" t="e">
        <f>-LqeWCT3f4yn9_GgLtwp</f>
        <v>#NAME?</v>
      </c>
      <c r="B1047">
        <v>415.625</v>
      </c>
      <c r="C1047">
        <v>20.531590000000001</v>
      </c>
      <c r="D1047">
        <v>42</v>
      </c>
      <c r="E1047">
        <v>0</v>
      </c>
      <c r="F1047">
        <v>0</v>
      </c>
      <c r="G1047">
        <v>34</v>
      </c>
      <c r="H1047" s="4">
        <v>1570523894256</v>
      </c>
      <c r="I1047">
        <v>533.25</v>
      </c>
      <c r="J1047" s="9">
        <f t="shared" si="16"/>
        <v>43746.651553888885</v>
      </c>
      <c r="K1047" s="1"/>
    </row>
    <row r="1048" spans="1:11" x14ac:dyDescent="0.25">
      <c r="A1048" t="e">
        <f>-LqeWEAuboNHAL8EzOGS</f>
        <v>#NAME?</v>
      </c>
      <c r="B1048">
        <v>393.75</v>
      </c>
      <c r="C1048">
        <v>20.531590000000001</v>
      </c>
      <c r="D1048">
        <v>42</v>
      </c>
      <c r="E1048">
        <v>0</v>
      </c>
      <c r="F1048">
        <v>0</v>
      </c>
      <c r="G1048">
        <v>23</v>
      </c>
      <c r="H1048" s="4">
        <v>1570523901465</v>
      </c>
      <c r="I1048">
        <v>526.6875</v>
      </c>
      <c r="J1048" s="9">
        <f t="shared" si="16"/>
        <v>43746.651637326388</v>
      </c>
      <c r="K1048" s="1"/>
    </row>
    <row r="1049" spans="1:11" x14ac:dyDescent="0.25">
      <c r="A1049" t="e">
        <f>-LqeWFesfw_G11bGZuWE</f>
        <v>#NAME?</v>
      </c>
      <c r="B1049">
        <v>393.75</v>
      </c>
      <c r="C1049">
        <v>20.584240000000001</v>
      </c>
      <c r="D1049">
        <v>41</v>
      </c>
      <c r="E1049">
        <v>0</v>
      </c>
      <c r="F1049">
        <v>0</v>
      </c>
      <c r="G1049">
        <v>28</v>
      </c>
      <c r="H1049" s="4">
        <v>1570523907654</v>
      </c>
      <c r="I1049">
        <v>526.6875</v>
      </c>
      <c r="J1049" s="9">
        <f t="shared" si="16"/>
        <v>43746.651708958329</v>
      </c>
      <c r="K1049" s="1"/>
    </row>
    <row r="1050" spans="1:11" x14ac:dyDescent="0.25">
      <c r="A1050" t="e">
        <f>-LqeWHDsT3LKHh-rTbCA</f>
        <v>#NAME?</v>
      </c>
      <c r="B1050">
        <v>412.5</v>
      </c>
      <c r="C1050">
        <v>20.584240000000001</v>
      </c>
      <c r="D1050">
        <v>40</v>
      </c>
      <c r="E1050">
        <v>0</v>
      </c>
      <c r="F1050">
        <v>0</v>
      </c>
      <c r="G1050">
        <v>23</v>
      </c>
      <c r="H1050" s="4">
        <v>1570523913826</v>
      </c>
      <c r="I1050">
        <v>532.125</v>
      </c>
      <c r="J1050" s="9">
        <f t="shared" si="16"/>
        <v>43746.65178039352</v>
      </c>
      <c r="K1050" s="1"/>
    </row>
    <row r="1051" spans="1:11" x14ac:dyDescent="0.25">
      <c r="A1051" t="e">
        <f>-LqeWIx35BVbQUyYDv0m</f>
        <v>#NAME?</v>
      </c>
      <c r="B1051">
        <v>393.75</v>
      </c>
      <c r="C1051">
        <v>20.584240000000001</v>
      </c>
      <c r="D1051">
        <v>41</v>
      </c>
      <c r="E1051">
        <v>0</v>
      </c>
      <c r="F1051">
        <v>0</v>
      </c>
      <c r="G1051">
        <v>23</v>
      </c>
      <c r="H1051" s="4">
        <v>1570523921024</v>
      </c>
      <c r="I1051">
        <v>526.6875</v>
      </c>
      <c r="J1051" s="9">
        <f t="shared" si="16"/>
        <v>43746.651863703701</v>
      </c>
      <c r="K1051" s="1"/>
    </row>
    <row r="1052" spans="1:11" x14ac:dyDescent="0.25">
      <c r="A1052" t="e">
        <f>-LqeWKz3aPyeQU7EJSBS</f>
        <v>#NAME?</v>
      </c>
      <c r="B1052">
        <v>393.75</v>
      </c>
      <c r="C1052">
        <v>20.584240000000001</v>
      </c>
      <c r="D1052">
        <v>38</v>
      </c>
      <c r="E1052">
        <v>0</v>
      </c>
      <c r="F1052">
        <v>0</v>
      </c>
      <c r="G1052">
        <v>24</v>
      </c>
      <c r="H1052" s="4">
        <v>1570523929401</v>
      </c>
      <c r="I1052">
        <v>526.6875</v>
      </c>
      <c r="J1052" s="9">
        <f t="shared" si="16"/>
        <v>43746.651960659721</v>
      </c>
      <c r="K1052" s="1"/>
    </row>
    <row r="1053" spans="1:11" x14ac:dyDescent="0.25">
      <c r="A1053" t="e">
        <f>-LqeWN19mafmPTVlgLMk</f>
        <v>#NAME?</v>
      </c>
      <c r="B1053">
        <v>393.75</v>
      </c>
      <c r="C1053">
        <v>20.584240000000001</v>
      </c>
      <c r="D1053">
        <v>38</v>
      </c>
      <c r="E1053">
        <v>0</v>
      </c>
      <c r="F1053">
        <v>0</v>
      </c>
      <c r="G1053">
        <v>28</v>
      </c>
      <c r="H1053" s="4">
        <v>1570523936494</v>
      </c>
      <c r="I1053">
        <v>526.6875</v>
      </c>
      <c r="J1053" s="9">
        <f t="shared" si="16"/>
        <v>43746.652042754627</v>
      </c>
      <c r="K1053" s="1"/>
    </row>
    <row r="1054" spans="1:11" x14ac:dyDescent="0.25">
      <c r="A1054" t="e">
        <f>-LqeWOit_6Tkk76hidwK</f>
        <v>#NAME?</v>
      </c>
      <c r="B1054">
        <v>412.5</v>
      </c>
      <c r="C1054">
        <v>20.531590000000001</v>
      </c>
      <c r="D1054">
        <v>39</v>
      </c>
      <c r="E1054">
        <v>0</v>
      </c>
      <c r="F1054">
        <v>0</v>
      </c>
      <c r="G1054">
        <v>23</v>
      </c>
      <c r="H1054" s="4">
        <v>1570523944716</v>
      </c>
      <c r="I1054">
        <v>532.3125</v>
      </c>
      <c r="J1054" s="9">
        <f t="shared" si="16"/>
        <v>43746.652137916659</v>
      </c>
      <c r="K1054" s="1"/>
    </row>
    <row r="1055" spans="1:11" x14ac:dyDescent="0.25">
      <c r="A1055" t="e">
        <f>-LqeWQHtZREm483Da_v2</f>
        <v>#NAME?</v>
      </c>
      <c r="B1055">
        <v>393.75</v>
      </c>
      <c r="C1055">
        <v>20.584240000000001</v>
      </c>
      <c r="D1055">
        <v>39</v>
      </c>
      <c r="E1055">
        <v>0</v>
      </c>
      <c r="F1055">
        <v>0</v>
      </c>
      <c r="G1055">
        <v>32</v>
      </c>
      <c r="H1055" s="4">
        <v>1570523950906</v>
      </c>
      <c r="I1055">
        <v>526.6875</v>
      </c>
      <c r="J1055" s="9">
        <f t="shared" si="16"/>
        <v>43746.652209560183</v>
      </c>
      <c r="K1055" s="1"/>
    </row>
    <row r="1056" spans="1:11" x14ac:dyDescent="0.25">
      <c r="A1056" t="e">
        <f>-LqeWS-skEkrfIaRxrX1</f>
        <v>#NAME?</v>
      </c>
      <c r="B1056">
        <v>393.75</v>
      </c>
      <c r="C1056">
        <v>20.531590000000001</v>
      </c>
      <c r="D1056">
        <v>39</v>
      </c>
      <c r="E1056">
        <v>0</v>
      </c>
      <c r="F1056">
        <v>0</v>
      </c>
      <c r="G1056">
        <v>24</v>
      </c>
      <c r="H1056" s="4">
        <v>1570523958124</v>
      </c>
      <c r="I1056">
        <v>526.6875</v>
      </c>
      <c r="J1056" s="9">
        <f t="shared" si="16"/>
        <v>43746.652293101848</v>
      </c>
      <c r="K1056" s="1"/>
    </row>
    <row r="1057" spans="1:11" x14ac:dyDescent="0.25">
      <c r="A1057" t="e">
        <f>-LqeWTn6QQzU79kM-IEO</f>
        <v>#NAME?</v>
      </c>
      <c r="B1057">
        <v>393.75</v>
      </c>
      <c r="C1057">
        <v>20.584240000000001</v>
      </c>
      <c r="D1057">
        <v>39</v>
      </c>
      <c r="E1057">
        <v>0</v>
      </c>
      <c r="F1057">
        <v>0</v>
      </c>
      <c r="G1057">
        <v>20</v>
      </c>
      <c r="H1057" s="4">
        <v>1570523965337</v>
      </c>
      <c r="I1057">
        <v>526.6875</v>
      </c>
      <c r="J1057" s="9">
        <f t="shared" si="16"/>
        <v>43746.652376585647</v>
      </c>
      <c r="K1057" s="1"/>
    </row>
    <row r="1058" spans="1:11" x14ac:dyDescent="0.25">
      <c r="A1058" t="e">
        <f>-LqeWVX3HhBnLMeBD5nb</f>
        <v>#NAME?</v>
      </c>
      <c r="B1058">
        <v>393.75</v>
      </c>
      <c r="C1058">
        <v>20.531590000000001</v>
      </c>
      <c r="D1058">
        <v>40</v>
      </c>
      <c r="E1058">
        <v>0</v>
      </c>
      <c r="F1058">
        <v>0</v>
      </c>
      <c r="G1058">
        <v>34</v>
      </c>
      <c r="H1058" s="4">
        <v>1570523972547</v>
      </c>
      <c r="I1058">
        <v>526.6875</v>
      </c>
      <c r="J1058" s="9">
        <f t="shared" si="16"/>
        <v>43746.652460034718</v>
      </c>
      <c r="K1058" s="1"/>
    </row>
    <row r="1059" spans="1:11" x14ac:dyDescent="0.25">
      <c r="A1059" t="e">
        <f>-LqeWXIxMp2F7CHX5aQk</f>
        <v>#NAME?</v>
      </c>
      <c r="B1059">
        <v>393.75</v>
      </c>
      <c r="C1059">
        <v>20.584240000000001</v>
      </c>
      <c r="D1059">
        <v>41</v>
      </c>
      <c r="E1059">
        <v>0</v>
      </c>
      <c r="F1059">
        <v>0</v>
      </c>
      <c r="G1059">
        <v>31</v>
      </c>
      <c r="H1059" s="4">
        <v>1570523979763</v>
      </c>
      <c r="I1059">
        <v>526.6875</v>
      </c>
      <c r="J1059" s="9">
        <f t="shared" si="16"/>
        <v>43746.652543553239</v>
      </c>
      <c r="K1059" s="1"/>
    </row>
    <row r="1060" spans="1:11" x14ac:dyDescent="0.25">
      <c r="A1060" t="e">
        <f>-LqeWZLppgvEo9TVL7mp</f>
        <v>#NAME?</v>
      </c>
      <c r="B1060">
        <v>393.75</v>
      </c>
      <c r="C1060">
        <v>20.531590000000001</v>
      </c>
      <c r="D1060">
        <v>40</v>
      </c>
      <c r="E1060">
        <v>0</v>
      </c>
      <c r="F1060">
        <v>0</v>
      </c>
      <c r="G1060">
        <v>26</v>
      </c>
      <c r="H1060" s="4">
        <v>1570523988328</v>
      </c>
      <c r="I1060">
        <v>526.6875</v>
      </c>
      <c r="J1060" s="9">
        <f t="shared" si="16"/>
        <v>43746.652642685185</v>
      </c>
      <c r="K1060" s="1"/>
    </row>
    <row r="1061" spans="1:11" x14ac:dyDescent="0.25">
      <c r="A1061" t="e">
        <f>-LqeWa3sXjf28VyY5Wlu</f>
        <v>#NAME?</v>
      </c>
      <c r="B1061">
        <v>393.75</v>
      </c>
      <c r="C1061">
        <v>20.584240000000001</v>
      </c>
      <c r="D1061">
        <v>38</v>
      </c>
      <c r="E1061">
        <v>0</v>
      </c>
      <c r="F1061">
        <v>0</v>
      </c>
      <c r="G1061">
        <v>29</v>
      </c>
      <c r="H1061" s="4">
        <v>1570523995201</v>
      </c>
      <c r="I1061">
        <v>526.6875</v>
      </c>
      <c r="J1061" s="9">
        <f t="shared" si="16"/>
        <v>43746.652722233797</v>
      </c>
      <c r="K1061" s="1"/>
    </row>
    <row r="1062" spans="1:11" x14ac:dyDescent="0.25">
      <c r="A1062" t="e">
        <f>-LqeWbYpKww6Sb951dj6</f>
        <v>#NAME?</v>
      </c>
      <c r="B1062">
        <v>393.75</v>
      </c>
      <c r="C1062">
        <v>20.584240000000001</v>
      </c>
      <c r="D1062">
        <v>39</v>
      </c>
      <c r="E1062">
        <v>0</v>
      </c>
      <c r="F1062">
        <v>0</v>
      </c>
      <c r="G1062">
        <v>28</v>
      </c>
      <c r="H1062" s="4">
        <v>1570524001369</v>
      </c>
      <c r="I1062">
        <v>526.6875</v>
      </c>
      <c r="J1062" s="9">
        <f t="shared" si="16"/>
        <v>43746.652793622685</v>
      </c>
      <c r="K1062" s="1"/>
    </row>
    <row r="1063" spans="1:11" x14ac:dyDescent="0.25">
      <c r="A1063" t="e">
        <f>-LqeWd6q3FoaWDaMRX5D</f>
        <v>#NAME?</v>
      </c>
      <c r="B1063">
        <v>393.75</v>
      </c>
      <c r="C1063">
        <v>20.584240000000001</v>
      </c>
      <c r="D1063">
        <v>39</v>
      </c>
      <c r="E1063">
        <v>0</v>
      </c>
      <c r="F1063">
        <v>0</v>
      </c>
      <c r="G1063">
        <v>27</v>
      </c>
      <c r="H1063" s="4">
        <v>1570524007552</v>
      </c>
      <c r="I1063">
        <v>526.6875</v>
      </c>
      <c r="J1063" s="9">
        <f t="shared" si="16"/>
        <v>43746.652865185184</v>
      </c>
      <c r="K1063" s="1"/>
    </row>
    <row r="1064" spans="1:11" x14ac:dyDescent="0.25">
      <c r="A1064" t="e">
        <f>-LqeWeohp70TJ7b77b0w</f>
        <v>#NAME?</v>
      </c>
      <c r="B1064">
        <v>393.75</v>
      </c>
      <c r="C1064">
        <v>20.584240000000001</v>
      </c>
      <c r="D1064">
        <v>37</v>
      </c>
      <c r="E1064">
        <v>0</v>
      </c>
      <c r="F1064">
        <v>0</v>
      </c>
      <c r="G1064">
        <v>35</v>
      </c>
      <c r="H1064" s="4">
        <v>1570524014781</v>
      </c>
      <c r="I1064">
        <v>526.6875</v>
      </c>
      <c r="J1064" s="9">
        <f t="shared" si="16"/>
        <v>43746.652948854164</v>
      </c>
      <c r="K1064" s="1"/>
    </row>
    <row r="1065" spans="1:11" x14ac:dyDescent="0.25">
      <c r="A1065" t="s">
        <v>60</v>
      </c>
      <c r="B1065">
        <v>393.75</v>
      </c>
      <c r="C1065">
        <v>20.531590000000001</v>
      </c>
      <c r="D1065">
        <v>36</v>
      </c>
      <c r="E1065">
        <v>0</v>
      </c>
      <c r="F1065">
        <v>0</v>
      </c>
      <c r="G1065">
        <v>30</v>
      </c>
      <c r="H1065" s="4">
        <v>1570524022000</v>
      </c>
      <c r="I1065">
        <v>526.6875</v>
      </c>
      <c r="J1065" s="9">
        <f t="shared" si="16"/>
        <v>43746.653032407405</v>
      </c>
      <c r="K1065" s="1"/>
    </row>
    <row r="1066" spans="1:11" x14ac:dyDescent="0.25">
      <c r="A1066" t="e">
        <f>-LqeWiLz8VnkbFMt6d6F</f>
        <v>#NAME?</v>
      </c>
      <c r="B1066">
        <v>393.75</v>
      </c>
      <c r="C1066">
        <v>20.531590000000001</v>
      </c>
      <c r="D1066">
        <v>36</v>
      </c>
      <c r="E1066">
        <v>0</v>
      </c>
      <c r="F1066">
        <v>0</v>
      </c>
      <c r="G1066">
        <v>32</v>
      </c>
      <c r="H1066" s="4">
        <v>1570524029191</v>
      </c>
      <c r="I1066">
        <v>526.6875</v>
      </c>
      <c r="J1066" s="9">
        <f t="shared" si="16"/>
        <v>43746.653115636575</v>
      </c>
      <c r="K1066" s="1"/>
    </row>
    <row r="1067" spans="1:11" x14ac:dyDescent="0.25">
      <c r="A1067" t="e">
        <f>-LqeWk8zt3SHKjzuVeSl</f>
        <v>#NAME?</v>
      </c>
      <c r="B1067">
        <v>393.75</v>
      </c>
      <c r="C1067">
        <v>20.584240000000001</v>
      </c>
      <c r="D1067">
        <v>37</v>
      </c>
      <c r="E1067">
        <v>0</v>
      </c>
      <c r="F1067">
        <v>0</v>
      </c>
      <c r="G1067">
        <v>26</v>
      </c>
      <c r="H1067" s="4">
        <v>1570524036420</v>
      </c>
      <c r="I1067">
        <v>526.6875</v>
      </c>
      <c r="J1067" s="9">
        <f t="shared" si="16"/>
        <v>43746.653199305554</v>
      </c>
      <c r="K1067" s="1"/>
    </row>
    <row r="1068" spans="1:11" x14ac:dyDescent="0.25">
      <c r="A1068" t="e">
        <f>-LqeWlrw078_ahYm77r8</f>
        <v>#NAME?</v>
      </c>
      <c r="B1068">
        <v>393.75</v>
      </c>
      <c r="C1068">
        <v>20.584240000000001</v>
      </c>
      <c r="D1068">
        <v>37</v>
      </c>
      <c r="E1068">
        <v>0</v>
      </c>
      <c r="F1068">
        <v>0</v>
      </c>
      <c r="G1068">
        <v>30</v>
      </c>
      <c r="H1068" s="4">
        <v>1570524043611</v>
      </c>
      <c r="I1068">
        <v>526.6875</v>
      </c>
      <c r="J1068" s="9">
        <f t="shared" si="16"/>
        <v>43746.653282534717</v>
      </c>
      <c r="K1068" s="1"/>
    </row>
    <row r="1069" spans="1:11" x14ac:dyDescent="0.25">
      <c r="A1069" t="e">
        <f>-LqeWnQxqI0FnKmMndZ6</f>
        <v>#NAME?</v>
      </c>
      <c r="B1069">
        <v>393.75</v>
      </c>
      <c r="C1069">
        <v>20.584240000000001</v>
      </c>
      <c r="D1069">
        <v>37</v>
      </c>
      <c r="E1069">
        <v>0</v>
      </c>
      <c r="F1069">
        <v>0</v>
      </c>
      <c r="G1069">
        <v>26</v>
      </c>
      <c r="H1069" s="4">
        <v>1570524049801</v>
      </c>
      <c r="I1069">
        <v>526.6875</v>
      </c>
      <c r="J1069" s="9">
        <f t="shared" si="16"/>
        <v>43746.653354178234</v>
      </c>
      <c r="K1069" s="1"/>
    </row>
    <row r="1070" spans="1:11" x14ac:dyDescent="0.25">
      <c r="A1070" t="e">
        <f>-LqeWp8q8tuWQT0nfa_d</f>
        <v>#NAME?</v>
      </c>
      <c r="B1070">
        <v>393.75</v>
      </c>
      <c r="C1070">
        <v>20.584240000000001</v>
      </c>
      <c r="D1070">
        <v>37</v>
      </c>
      <c r="E1070">
        <v>0</v>
      </c>
      <c r="F1070">
        <v>0</v>
      </c>
      <c r="G1070">
        <v>29</v>
      </c>
      <c r="H1070" s="4">
        <v>1570524057008</v>
      </c>
      <c r="I1070">
        <v>526.6875</v>
      </c>
      <c r="J1070" s="9">
        <f t="shared" si="16"/>
        <v>43746.653437592591</v>
      </c>
      <c r="K1070" s="1"/>
    </row>
    <row r="1071" spans="1:11" x14ac:dyDescent="0.25">
      <c r="A1071" t="e">
        <f>-LqeWqwdxxkxSjMQo7OE</f>
        <v>#NAME?</v>
      </c>
      <c r="B1071">
        <v>393.75</v>
      </c>
      <c r="C1071">
        <v>20.531590000000001</v>
      </c>
      <c r="D1071">
        <v>38</v>
      </c>
      <c r="E1071">
        <v>0</v>
      </c>
      <c r="F1071">
        <v>0</v>
      </c>
      <c r="G1071">
        <v>35</v>
      </c>
      <c r="H1071" s="4">
        <v>1570524064238</v>
      </c>
      <c r="I1071">
        <v>526.6875</v>
      </c>
      <c r="J1071" s="9">
        <f t="shared" si="16"/>
        <v>43746.653521273147</v>
      </c>
      <c r="K1071" s="1"/>
    </row>
    <row r="1072" spans="1:11" x14ac:dyDescent="0.25">
      <c r="A1072" t="e">
        <f>-LqeWsezIVVJK1sQeWv0</f>
        <v>#NAME?</v>
      </c>
      <c r="B1072">
        <v>393.75</v>
      </c>
      <c r="C1072">
        <v>20.584240000000001</v>
      </c>
      <c r="D1072">
        <v>38</v>
      </c>
      <c r="E1072">
        <v>0</v>
      </c>
      <c r="F1072">
        <v>0</v>
      </c>
      <c r="G1072">
        <v>35</v>
      </c>
      <c r="H1072" s="4">
        <v>1570524071420</v>
      </c>
      <c r="I1072">
        <v>526.6875</v>
      </c>
      <c r="J1072" s="9">
        <f t="shared" si="16"/>
        <v>43746.653604398147</v>
      </c>
      <c r="K1072" s="1"/>
    </row>
    <row r="1073" spans="1:11" x14ac:dyDescent="0.25">
      <c r="A1073" t="e">
        <f>-LqeWuDpKMr3MgEd0Vva</f>
        <v>#NAME?</v>
      </c>
      <c r="B1073">
        <v>393.75</v>
      </c>
      <c r="C1073">
        <v>20.584240000000001</v>
      </c>
      <c r="D1073">
        <v>38</v>
      </c>
      <c r="E1073">
        <v>0</v>
      </c>
      <c r="F1073">
        <v>0</v>
      </c>
      <c r="G1073">
        <v>28</v>
      </c>
      <c r="H1073" s="4">
        <v>1570524077622</v>
      </c>
      <c r="I1073">
        <v>526.6875</v>
      </c>
      <c r="J1073" s="9">
        <f t="shared" si="16"/>
        <v>43746.653676180555</v>
      </c>
      <c r="K1073" s="1"/>
    </row>
    <row r="1074" spans="1:11" x14ac:dyDescent="0.25">
      <c r="A1074" t="e">
        <f>-LqeWvvi8FcGQ97uvnmD</f>
        <v>#NAME?</v>
      </c>
      <c r="B1074">
        <v>393.75</v>
      </c>
      <c r="C1074">
        <v>20.584240000000001</v>
      </c>
      <c r="D1074">
        <v>42</v>
      </c>
      <c r="E1074">
        <v>0</v>
      </c>
      <c r="F1074">
        <v>0</v>
      </c>
      <c r="G1074">
        <v>25</v>
      </c>
      <c r="H1074" s="4">
        <v>1570524084840</v>
      </c>
      <c r="I1074">
        <v>526.5</v>
      </c>
      <c r="J1074" s="9">
        <f t="shared" si="16"/>
        <v>43746.65375972222</v>
      </c>
      <c r="K1074" s="1"/>
    </row>
    <row r="1075" spans="1:11" x14ac:dyDescent="0.25">
      <c r="A1075" t="e">
        <f>-LqeWxir7J5D51lkhBJy</f>
        <v>#NAME?</v>
      </c>
      <c r="B1075">
        <v>393.75</v>
      </c>
      <c r="C1075">
        <v>20.584240000000001</v>
      </c>
      <c r="D1075">
        <v>40</v>
      </c>
      <c r="E1075">
        <v>0</v>
      </c>
      <c r="F1075">
        <v>0</v>
      </c>
      <c r="G1075">
        <v>24</v>
      </c>
      <c r="H1075" s="4">
        <v>1570524092051</v>
      </c>
      <c r="I1075">
        <v>526.6875</v>
      </c>
      <c r="J1075" s="9">
        <f t="shared" si="16"/>
        <v>43746.653843182867</v>
      </c>
      <c r="K1075" s="1"/>
    </row>
    <row r="1076" spans="1:11" x14ac:dyDescent="0.25">
      <c r="A1076" t="e">
        <f>-LqeWzSzIl7MphhMk6z4</f>
        <v>#NAME?</v>
      </c>
      <c r="B1076">
        <v>393.75</v>
      </c>
      <c r="C1076">
        <v>20.584240000000001</v>
      </c>
      <c r="D1076">
        <v>39</v>
      </c>
      <c r="E1076">
        <v>0</v>
      </c>
      <c r="F1076">
        <v>0</v>
      </c>
      <c r="G1076">
        <v>28</v>
      </c>
      <c r="H1076" s="4">
        <v>1570524099262</v>
      </c>
      <c r="I1076">
        <v>526.6875</v>
      </c>
      <c r="J1076" s="9">
        <f t="shared" si="16"/>
        <v>43746.653926643521</v>
      </c>
      <c r="K1076" s="1"/>
    </row>
    <row r="1077" spans="1:11" x14ac:dyDescent="0.25">
      <c r="A1077" t="e">
        <f>-LqeX0EiYCOIPKXUxnAB</f>
        <v>#NAME?</v>
      </c>
      <c r="B1077">
        <v>393.75</v>
      </c>
      <c r="C1077">
        <v>20.584240000000001</v>
      </c>
      <c r="D1077">
        <v>39</v>
      </c>
      <c r="E1077">
        <v>0</v>
      </c>
      <c r="F1077">
        <v>0</v>
      </c>
      <c r="G1077">
        <v>25</v>
      </c>
      <c r="H1077" s="4">
        <v>1570524106463</v>
      </c>
      <c r="I1077">
        <v>526.6875</v>
      </c>
      <c r="J1077" s="9">
        <f t="shared" si="16"/>
        <v>43746.654009988422</v>
      </c>
      <c r="K1077" s="1"/>
    </row>
    <row r="1078" spans="1:11" x14ac:dyDescent="0.25">
      <c r="A1078" t="e">
        <f>-LqeX1xbd6hoeGMZ8JZm</f>
        <v>#NAME?</v>
      </c>
      <c r="B1078">
        <v>393.75</v>
      </c>
      <c r="C1078">
        <v>20.584240000000001</v>
      </c>
      <c r="D1078">
        <v>38</v>
      </c>
      <c r="E1078">
        <v>0</v>
      </c>
      <c r="F1078">
        <v>0</v>
      </c>
      <c r="G1078">
        <v>25</v>
      </c>
      <c r="H1078" s="4">
        <v>1570524113669</v>
      </c>
      <c r="I1078">
        <v>526.6875</v>
      </c>
      <c r="J1078" s="9">
        <f t="shared" si="16"/>
        <v>43746.654093391197</v>
      </c>
      <c r="K1078" s="1"/>
    </row>
    <row r="1079" spans="1:11" x14ac:dyDescent="0.25">
      <c r="A1079" t="e">
        <f>-LqeX3WsiogLn9GD67rO</f>
        <v>#NAME?</v>
      </c>
      <c r="B1079">
        <v>412.5</v>
      </c>
      <c r="C1079">
        <v>20.584240000000001</v>
      </c>
      <c r="D1079">
        <v>38</v>
      </c>
      <c r="E1079">
        <v>0</v>
      </c>
      <c r="F1079">
        <v>0</v>
      </c>
      <c r="G1079">
        <v>28</v>
      </c>
      <c r="H1079" s="4">
        <v>1570524119862</v>
      </c>
      <c r="I1079">
        <v>532.3125</v>
      </c>
      <c r="J1079" s="9">
        <f t="shared" si="16"/>
        <v>43746.654165069442</v>
      </c>
      <c r="K1079" s="1"/>
    </row>
    <row r="1080" spans="1:11" x14ac:dyDescent="0.25">
      <c r="A1080" t="e">
        <f>-LqeX5Fxp0WB0ZA3SU2h</f>
        <v>#NAME?</v>
      </c>
      <c r="B1080">
        <v>393.75</v>
      </c>
      <c r="C1080">
        <v>20.531590000000001</v>
      </c>
      <c r="D1080">
        <v>39</v>
      </c>
      <c r="E1080">
        <v>0</v>
      </c>
      <c r="F1080">
        <v>0</v>
      </c>
      <c r="G1080">
        <v>28</v>
      </c>
      <c r="H1080" s="4">
        <v>1570524127081</v>
      </c>
      <c r="I1080">
        <v>526.6875</v>
      </c>
      <c r="J1080" s="9">
        <f t="shared" si="16"/>
        <v>43746.654248622683</v>
      </c>
      <c r="K1080" s="1"/>
    </row>
    <row r="1081" spans="1:11" x14ac:dyDescent="0.25">
      <c r="A1081" t="e">
        <f>-LqeX72295d1I_54KExf</f>
        <v>#NAME?</v>
      </c>
      <c r="B1081">
        <v>393.75</v>
      </c>
      <c r="C1081">
        <v>20.531590000000001</v>
      </c>
      <c r="D1081">
        <v>38</v>
      </c>
      <c r="E1081">
        <v>0</v>
      </c>
      <c r="F1081">
        <v>0</v>
      </c>
      <c r="G1081">
        <v>25</v>
      </c>
      <c r="H1081" s="4">
        <v>1570524134291</v>
      </c>
      <c r="I1081">
        <v>526.6875</v>
      </c>
      <c r="J1081" s="9">
        <f t="shared" si="16"/>
        <v>43746.654332071754</v>
      </c>
      <c r="K1081" s="1"/>
    </row>
    <row r="1082" spans="1:11" x14ac:dyDescent="0.25">
      <c r="A1082" t="e">
        <f>-LqeX8m6rfVUDvu3WggB</f>
        <v>#NAME?</v>
      </c>
      <c r="B1082">
        <v>393.75</v>
      </c>
      <c r="C1082">
        <v>20.584240000000001</v>
      </c>
      <c r="D1082">
        <v>38</v>
      </c>
      <c r="E1082">
        <v>0</v>
      </c>
      <c r="F1082">
        <v>0</v>
      </c>
      <c r="G1082">
        <v>23</v>
      </c>
      <c r="H1082" s="4">
        <v>1570524141501</v>
      </c>
      <c r="I1082">
        <v>526.6875</v>
      </c>
      <c r="J1082" s="9">
        <f t="shared" si="16"/>
        <v>43746.654415520832</v>
      </c>
      <c r="K1082" s="1"/>
    </row>
    <row r="1083" spans="1:11" x14ac:dyDescent="0.25">
      <c r="A1083" t="e">
        <f>-LqeXAZo-AbBz8vM-UH_</f>
        <v>#NAME?</v>
      </c>
      <c r="B1083">
        <v>393.75</v>
      </c>
      <c r="C1083">
        <v>20.584240000000001</v>
      </c>
      <c r="D1083">
        <v>38</v>
      </c>
      <c r="E1083">
        <v>0</v>
      </c>
      <c r="F1083">
        <v>0</v>
      </c>
      <c r="G1083">
        <v>23</v>
      </c>
      <c r="H1083" s="4">
        <v>1570524148681</v>
      </c>
      <c r="I1083">
        <v>526.6875</v>
      </c>
      <c r="J1083" s="9">
        <f t="shared" si="16"/>
        <v>43746.654498622687</v>
      </c>
      <c r="K1083" s="1"/>
    </row>
    <row r="1084" spans="1:11" x14ac:dyDescent="0.25">
      <c r="A1084" t="e">
        <f>-LqeXCGbiK09FxjXz3RN</f>
        <v>#NAME?</v>
      </c>
      <c r="B1084">
        <v>412.5</v>
      </c>
      <c r="C1084">
        <v>20.584240000000001</v>
      </c>
      <c r="D1084">
        <v>39</v>
      </c>
      <c r="E1084">
        <v>0</v>
      </c>
      <c r="F1084">
        <v>0</v>
      </c>
      <c r="G1084">
        <v>22</v>
      </c>
      <c r="H1084" s="4">
        <v>1570524155901</v>
      </c>
      <c r="I1084">
        <v>532.6875</v>
      </c>
      <c r="J1084" s="9">
        <f t="shared" si="16"/>
        <v>43746.654582187497</v>
      </c>
      <c r="K1084" s="1"/>
    </row>
    <row r="1085" spans="1:11" x14ac:dyDescent="0.25">
      <c r="A1085" t="e">
        <f>-LqeXDpj1sL-ua2eL7Ag</f>
        <v>#NAME?</v>
      </c>
      <c r="B1085">
        <v>393.75</v>
      </c>
      <c r="C1085">
        <v>20.584240000000001</v>
      </c>
      <c r="D1085">
        <v>39</v>
      </c>
      <c r="E1085">
        <v>0</v>
      </c>
      <c r="F1085">
        <v>0</v>
      </c>
      <c r="G1085">
        <v>27</v>
      </c>
      <c r="H1085" s="4">
        <v>1570524162100</v>
      </c>
      <c r="I1085">
        <v>526.875</v>
      </c>
      <c r="J1085" s="9">
        <f t="shared" si="16"/>
        <v>43746.654653935184</v>
      </c>
      <c r="K1085" s="1"/>
    </row>
    <row r="1086" spans="1:11" x14ac:dyDescent="0.25">
      <c r="A1086" t="e">
        <f>-LqeXF_7Vd6x0K3LS0C2</f>
        <v>#NAME?</v>
      </c>
      <c r="B1086">
        <v>393.75</v>
      </c>
      <c r="C1086">
        <v>20.531590000000001</v>
      </c>
      <c r="D1086">
        <v>40</v>
      </c>
      <c r="E1086">
        <v>0</v>
      </c>
      <c r="F1086">
        <v>0</v>
      </c>
      <c r="G1086">
        <v>28</v>
      </c>
      <c r="H1086" s="4">
        <v>1570524169341</v>
      </c>
      <c r="I1086">
        <v>526.6875</v>
      </c>
      <c r="J1086" s="9">
        <f t="shared" si="16"/>
        <v>43746.654737743054</v>
      </c>
      <c r="K1086" s="1"/>
    </row>
    <row r="1087" spans="1:11" x14ac:dyDescent="0.25">
      <c r="A1087" t="e">
        <f>-LqeXHxA5MNuwN0po3Bv</f>
        <v>#NAME?</v>
      </c>
      <c r="B1087">
        <v>393.75</v>
      </c>
      <c r="C1087">
        <v>20.531590000000001</v>
      </c>
      <c r="D1087">
        <v>40</v>
      </c>
      <c r="E1087">
        <v>0</v>
      </c>
      <c r="F1087">
        <v>0</v>
      </c>
      <c r="G1087">
        <v>24</v>
      </c>
      <c r="H1087" s="4">
        <v>1570524176530</v>
      </c>
      <c r="I1087">
        <v>526.6875</v>
      </c>
      <c r="J1087" s="9">
        <f t="shared" si="16"/>
        <v>43746.654820949072</v>
      </c>
      <c r="K1087" s="1"/>
    </row>
    <row r="1088" spans="1:11" x14ac:dyDescent="0.25">
      <c r="A1088" t="e">
        <f>-LqeXK2DwsF4OYBaGOZ0</f>
        <v>#NAME?</v>
      </c>
      <c r="B1088">
        <v>412.5</v>
      </c>
      <c r="C1088">
        <v>20.584240000000001</v>
      </c>
      <c r="D1088">
        <v>40</v>
      </c>
      <c r="E1088">
        <v>0</v>
      </c>
      <c r="F1088">
        <v>0</v>
      </c>
      <c r="G1088">
        <v>38</v>
      </c>
      <c r="H1088" s="4">
        <v>1570524185800</v>
      </c>
      <c r="I1088">
        <v>532.3125</v>
      </c>
      <c r="J1088" s="9">
        <f t="shared" si="16"/>
        <v>43746.654928240743</v>
      </c>
      <c r="K1088" s="1"/>
    </row>
    <row r="1089" spans="1:11" x14ac:dyDescent="0.25">
      <c r="A1089" t="e">
        <f>-LqeXLZ_WCPxcKCaOD0I</f>
        <v>#NAME?</v>
      </c>
      <c r="B1089">
        <v>393.75</v>
      </c>
      <c r="C1089">
        <v>20.584240000000001</v>
      </c>
      <c r="D1089">
        <v>40</v>
      </c>
      <c r="E1089">
        <v>0</v>
      </c>
      <c r="F1089">
        <v>0</v>
      </c>
      <c r="G1089">
        <v>35</v>
      </c>
      <c r="H1089" s="4">
        <v>1570524194020</v>
      </c>
      <c r="I1089">
        <v>526.6875</v>
      </c>
      <c r="J1089" s="9">
        <f t="shared" si="16"/>
        <v>43746.655023379622</v>
      </c>
      <c r="K1089" s="1"/>
    </row>
    <row r="1090" spans="1:11" x14ac:dyDescent="0.25">
      <c r="A1090" t="e">
        <f>-LqeXNMiREXtT1UVBV4Q</f>
        <v>#NAME?</v>
      </c>
      <c r="B1090">
        <v>412.5</v>
      </c>
      <c r="C1090">
        <v>20.584240000000001</v>
      </c>
      <c r="D1090">
        <v>41</v>
      </c>
      <c r="E1090">
        <v>0</v>
      </c>
      <c r="F1090">
        <v>0</v>
      </c>
      <c r="G1090">
        <v>32</v>
      </c>
      <c r="H1090" s="4">
        <v>1570524201252</v>
      </c>
      <c r="I1090">
        <v>532.3125</v>
      </c>
      <c r="J1090" s="9">
        <f t="shared" si="16"/>
        <v>43746.65510708333</v>
      </c>
      <c r="K1090" s="1"/>
    </row>
    <row r="1091" spans="1:11" x14ac:dyDescent="0.25">
      <c r="A1091" t="e">
        <f>-LqeXPAo7CfTl83IuUhA</f>
        <v>#NAME?</v>
      </c>
      <c r="B1091">
        <v>393.75</v>
      </c>
      <c r="C1091">
        <v>20.531590000000001</v>
      </c>
      <c r="D1091">
        <v>40</v>
      </c>
      <c r="E1091">
        <v>0</v>
      </c>
      <c r="F1091">
        <v>0</v>
      </c>
      <c r="G1091">
        <v>30</v>
      </c>
      <c r="H1091" s="4">
        <v>1570524208462</v>
      </c>
      <c r="I1091">
        <v>526.6875</v>
      </c>
      <c r="J1091" s="9">
        <f t="shared" ref="J1091:J1154" si="17">(H1091/86400000)+25569+(7/24)</f>
        <v>43746.655190532409</v>
      </c>
      <c r="K1091" s="1"/>
    </row>
    <row r="1092" spans="1:11" x14ac:dyDescent="0.25">
      <c r="A1092" t="e">
        <f>-LqeXQtr87Yb_xmsHEpO</f>
        <v>#NAME?</v>
      </c>
      <c r="B1092">
        <v>393.75</v>
      </c>
      <c r="C1092">
        <v>20.584240000000001</v>
      </c>
      <c r="D1092">
        <v>42</v>
      </c>
      <c r="E1092">
        <v>0</v>
      </c>
      <c r="F1092">
        <v>0</v>
      </c>
      <c r="G1092">
        <v>32</v>
      </c>
      <c r="H1092" s="4">
        <v>1570524215682</v>
      </c>
      <c r="I1092">
        <v>526.6875</v>
      </c>
      <c r="J1092" s="9">
        <f t="shared" si="17"/>
        <v>43746.655274097218</v>
      </c>
      <c r="K1092" s="1"/>
    </row>
    <row r="1093" spans="1:11" x14ac:dyDescent="0.25">
      <c r="A1093" t="e">
        <f>-LqeXTL-Xvq4Qnd171OO</f>
        <v>#NAME?</v>
      </c>
      <c r="B1093">
        <v>393.75</v>
      </c>
      <c r="C1093">
        <v>20.531590000000001</v>
      </c>
      <c r="D1093">
        <v>42</v>
      </c>
      <c r="E1093">
        <v>0</v>
      </c>
      <c r="F1093">
        <v>0</v>
      </c>
      <c r="G1093">
        <v>27</v>
      </c>
      <c r="H1093" s="4">
        <v>1570524222890</v>
      </c>
      <c r="I1093">
        <v>526.6875</v>
      </c>
      <c r="J1093" s="9">
        <f t="shared" si="17"/>
        <v>43746.655357523145</v>
      </c>
      <c r="K1093" s="1"/>
    </row>
    <row r="1094" spans="1:11" x14ac:dyDescent="0.25">
      <c r="A1094" t="e">
        <f>-LqeXUwsU6T9ouijk3hS</f>
        <v>#NAME?</v>
      </c>
      <c r="B1094">
        <v>393.75</v>
      </c>
      <c r="C1094">
        <v>20.584240000000001</v>
      </c>
      <c r="D1094">
        <v>39</v>
      </c>
      <c r="E1094">
        <v>0</v>
      </c>
      <c r="F1094">
        <v>0</v>
      </c>
      <c r="G1094">
        <v>37</v>
      </c>
      <c r="H1094" s="4">
        <v>1570524232165</v>
      </c>
      <c r="I1094">
        <v>526.6875</v>
      </c>
      <c r="J1094" s="9">
        <f t="shared" si="17"/>
        <v>43746.655464872681</v>
      </c>
      <c r="K1094" s="1"/>
    </row>
    <row r="1095" spans="1:11" x14ac:dyDescent="0.25">
      <c r="A1095" t="e">
        <f>-LqeXWey5Rj1u3hsWv42</f>
        <v>#NAME?</v>
      </c>
      <c r="B1095">
        <v>393.75</v>
      </c>
      <c r="C1095">
        <v>20.531590000000001</v>
      </c>
      <c r="D1095">
        <v>39</v>
      </c>
      <c r="E1095">
        <v>0</v>
      </c>
      <c r="F1095">
        <v>0</v>
      </c>
      <c r="G1095">
        <v>35</v>
      </c>
      <c r="H1095" s="4">
        <v>1570524239374</v>
      </c>
      <c r="I1095">
        <v>526.6875</v>
      </c>
      <c r="J1095" s="9">
        <f t="shared" si="17"/>
        <v>43746.655548310184</v>
      </c>
      <c r="K1095" s="1"/>
    </row>
    <row r="1096" spans="1:11" x14ac:dyDescent="0.25">
      <c r="A1096" t="e">
        <f>-LqeXYTv6j6z-aLP1NaX</f>
        <v>#NAME?</v>
      </c>
      <c r="B1096">
        <v>412.5</v>
      </c>
      <c r="C1096">
        <v>20.584240000000001</v>
      </c>
      <c r="D1096">
        <v>40</v>
      </c>
      <c r="E1096">
        <v>0</v>
      </c>
      <c r="F1096">
        <v>0</v>
      </c>
      <c r="G1096">
        <v>39</v>
      </c>
      <c r="H1096" s="4">
        <v>1570524246564</v>
      </c>
      <c r="I1096">
        <v>532.3125</v>
      </c>
      <c r="J1096" s="9">
        <f t="shared" si="17"/>
        <v>43746.655631527778</v>
      </c>
      <c r="K1096" s="1"/>
    </row>
    <row r="1097" spans="1:11" x14ac:dyDescent="0.25">
      <c r="A1097" t="e">
        <f>-LqeX_Brlk-TSRcF-p0X</f>
        <v>#NAME?</v>
      </c>
      <c r="B1097">
        <v>393.75</v>
      </c>
      <c r="C1097">
        <v>20.584240000000001</v>
      </c>
      <c r="D1097">
        <v>40</v>
      </c>
      <c r="E1097">
        <v>0</v>
      </c>
      <c r="F1097">
        <v>0</v>
      </c>
      <c r="G1097">
        <v>34</v>
      </c>
      <c r="H1097" s="4">
        <v>1570524253793</v>
      </c>
      <c r="I1097">
        <v>526.6875</v>
      </c>
      <c r="J1097" s="9">
        <f t="shared" si="17"/>
        <v>43746.655715196757</v>
      </c>
      <c r="K1097" s="1"/>
    </row>
    <row r="1098" spans="1:11" x14ac:dyDescent="0.25">
      <c r="A1098" t="s">
        <v>61</v>
      </c>
      <c r="B1098">
        <v>393.75</v>
      </c>
      <c r="C1098">
        <v>20.584240000000001</v>
      </c>
      <c r="D1098">
        <v>40</v>
      </c>
      <c r="E1098">
        <v>0</v>
      </c>
      <c r="F1098">
        <v>0</v>
      </c>
      <c r="G1098">
        <v>39</v>
      </c>
      <c r="H1098" s="4">
        <v>1570524261013</v>
      </c>
      <c r="I1098">
        <v>526.5</v>
      </c>
      <c r="J1098" s="9">
        <f t="shared" si="17"/>
        <v>43746.655798761574</v>
      </c>
      <c r="K1098" s="1"/>
    </row>
    <row r="1099" spans="1:11" x14ac:dyDescent="0.25">
      <c r="A1099" t="e">
        <f>-LqeXcidZoLcp7qMD1AA</f>
        <v>#NAME?</v>
      </c>
      <c r="B1099">
        <v>393.75</v>
      </c>
      <c r="C1099">
        <v>20.531590000000001</v>
      </c>
      <c r="D1099">
        <v>40</v>
      </c>
      <c r="E1099">
        <v>0</v>
      </c>
      <c r="F1099">
        <v>0</v>
      </c>
      <c r="G1099">
        <v>39</v>
      </c>
      <c r="H1099" s="4">
        <v>1570524268224</v>
      </c>
      <c r="I1099">
        <v>526.6875</v>
      </c>
      <c r="J1099" s="9">
        <f t="shared" si="17"/>
        <v>43746.655882222221</v>
      </c>
      <c r="K1099" s="1"/>
    </row>
    <row r="1100" spans="1:11" x14ac:dyDescent="0.25">
      <c r="A1100" t="e">
        <f>-LqeXeW0miRbI4z2OPAX</f>
        <v>#NAME?</v>
      </c>
      <c r="B1100">
        <v>393.75</v>
      </c>
      <c r="C1100">
        <v>20.531590000000001</v>
      </c>
      <c r="D1100">
        <v>39</v>
      </c>
      <c r="E1100">
        <v>0</v>
      </c>
      <c r="F1100">
        <v>0</v>
      </c>
      <c r="G1100">
        <v>37</v>
      </c>
      <c r="H1100" s="4">
        <v>1570524275434</v>
      </c>
      <c r="I1100">
        <v>526.6875</v>
      </c>
      <c r="J1100" s="9">
        <f t="shared" si="17"/>
        <v>43746.655965671293</v>
      </c>
      <c r="K1100" s="1"/>
    </row>
    <row r="1101" spans="1:11" x14ac:dyDescent="0.25">
      <c r="A1101" t="e">
        <f>-LqeXgDr7JoEk0N3WTe3</f>
        <v>#NAME?</v>
      </c>
      <c r="B1101">
        <v>393.75</v>
      </c>
      <c r="C1101">
        <v>20.584240000000001</v>
      </c>
      <c r="D1101">
        <v>39</v>
      </c>
      <c r="E1101">
        <v>0</v>
      </c>
      <c r="F1101">
        <v>0</v>
      </c>
      <c r="G1101">
        <v>38</v>
      </c>
      <c r="H1101" s="4">
        <v>1570524282625</v>
      </c>
      <c r="I1101">
        <v>526.6875</v>
      </c>
      <c r="J1101" s="9">
        <f t="shared" si="17"/>
        <v>43746.656048900462</v>
      </c>
      <c r="K1101" s="1"/>
    </row>
    <row r="1102" spans="1:11" x14ac:dyDescent="0.25">
      <c r="A1102" t="e">
        <f>-LqeXi110p9Hbh8BpYUm</f>
        <v>#NAME?</v>
      </c>
      <c r="B1102">
        <v>393.75</v>
      </c>
      <c r="C1102">
        <v>20.584240000000001</v>
      </c>
      <c r="D1102">
        <v>39</v>
      </c>
      <c r="E1102">
        <v>0</v>
      </c>
      <c r="F1102">
        <v>0</v>
      </c>
      <c r="G1102">
        <v>31</v>
      </c>
      <c r="H1102" s="4">
        <v>1570524289853</v>
      </c>
      <c r="I1102">
        <v>526.6875</v>
      </c>
      <c r="J1102" s="9">
        <f t="shared" si="17"/>
        <v>43746.656132557873</v>
      </c>
      <c r="K1102" s="1"/>
    </row>
    <row r="1103" spans="1:11" x14ac:dyDescent="0.25">
      <c r="A1103" t="e">
        <f>-LqeXjiekbWVsYc7DTHb</f>
        <v>#NAME?</v>
      </c>
      <c r="B1103">
        <v>393.75</v>
      </c>
      <c r="C1103">
        <v>20.531590000000001</v>
      </c>
      <c r="D1103">
        <v>40</v>
      </c>
      <c r="E1103">
        <v>0</v>
      </c>
      <c r="F1103">
        <v>0</v>
      </c>
      <c r="G1103">
        <v>43</v>
      </c>
      <c r="H1103" s="4">
        <v>1570524297033</v>
      </c>
      <c r="I1103">
        <v>526.6875</v>
      </c>
      <c r="J1103" s="9">
        <f t="shared" si="17"/>
        <v>43746.656215659721</v>
      </c>
      <c r="K1103" s="1"/>
    </row>
    <row r="1104" spans="1:11" x14ac:dyDescent="0.25">
      <c r="A1104" t="e">
        <f>-LqeXlHlQZACajrgxGFJ</f>
        <v>#NAME?</v>
      </c>
      <c r="B1104">
        <v>393.75</v>
      </c>
      <c r="C1104">
        <v>20.584240000000001</v>
      </c>
      <c r="D1104">
        <v>40</v>
      </c>
      <c r="E1104">
        <v>0</v>
      </c>
      <c r="F1104">
        <v>0</v>
      </c>
      <c r="G1104">
        <v>38</v>
      </c>
      <c r="H1104" s="4">
        <v>1570524303223</v>
      </c>
      <c r="I1104">
        <v>526.6875</v>
      </c>
      <c r="J1104" s="9">
        <f t="shared" si="17"/>
        <v>43746.656287303238</v>
      </c>
      <c r="K1104" s="1"/>
    </row>
    <row r="1105" spans="1:11" x14ac:dyDescent="0.25">
      <c r="A1105" t="e">
        <f>-LqeXn-modE7bE0uiGzI</f>
        <v>#NAME?</v>
      </c>
      <c r="B1105">
        <v>393.75</v>
      </c>
      <c r="C1105">
        <v>20.584240000000001</v>
      </c>
      <c r="D1105">
        <v>38</v>
      </c>
      <c r="E1105">
        <v>0</v>
      </c>
      <c r="F1105">
        <v>0</v>
      </c>
      <c r="G1105">
        <v>36</v>
      </c>
      <c r="H1105" s="4">
        <v>1570524310464</v>
      </c>
      <c r="I1105">
        <v>526.6875</v>
      </c>
      <c r="J1105" s="9">
        <f t="shared" si="17"/>
        <v>43746.656371111108</v>
      </c>
      <c r="K1105" s="1"/>
    </row>
    <row r="1106" spans="1:11" x14ac:dyDescent="0.25">
      <c r="A1106" t="e">
        <f>-LqeXop1peNFknZHtwNo</f>
        <v>#NAME?</v>
      </c>
      <c r="B1106">
        <v>393.75</v>
      </c>
      <c r="C1106">
        <v>20.584240000000001</v>
      </c>
      <c r="D1106">
        <v>38</v>
      </c>
      <c r="E1106">
        <v>0</v>
      </c>
      <c r="F1106">
        <v>0</v>
      </c>
      <c r="G1106">
        <v>39</v>
      </c>
      <c r="H1106" s="4">
        <v>1570524317664</v>
      </c>
      <c r="I1106">
        <v>526.6875</v>
      </c>
      <c r="J1106" s="9">
        <f t="shared" si="17"/>
        <v>43746.656454444441</v>
      </c>
      <c r="K1106" s="1"/>
    </row>
    <row r="1107" spans="1:11" x14ac:dyDescent="0.25">
      <c r="A1107" t="e">
        <f>-LqeXqWnBsmmM3Eg429N</f>
        <v>#NAME?</v>
      </c>
      <c r="B1107">
        <v>393.75</v>
      </c>
      <c r="C1107">
        <v>20.584240000000001</v>
      </c>
      <c r="D1107">
        <v>37</v>
      </c>
      <c r="E1107">
        <v>0</v>
      </c>
      <c r="F1107">
        <v>0</v>
      </c>
      <c r="G1107">
        <v>39</v>
      </c>
      <c r="H1107" s="4">
        <v>1570524324863</v>
      </c>
      <c r="I1107">
        <v>526.6875</v>
      </c>
      <c r="J1107" s="9">
        <f t="shared" si="17"/>
        <v>43746.656537766197</v>
      </c>
      <c r="K1107" s="1"/>
    </row>
    <row r="1108" spans="1:11" x14ac:dyDescent="0.25">
      <c r="A1108" t="e">
        <f>-LqeXsL2bJHF-LhQnruY</f>
        <v>#NAME?</v>
      </c>
      <c r="B1108">
        <v>412.5</v>
      </c>
      <c r="C1108">
        <v>20.584240000000001</v>
      </c>
      <c r="D1108">
        <v>37</v>
      </c>
      <c r="E1108">
        <v>0</v>
      </c>
      <c r="F1108">
        <v>0</v>
      </c>
      <c r="G1108">
        <v>45</v>
      </c>
      <c r="H1108" s="4">
        <v>1570524332093</v>
      </c>
      <c r="I1108">
        <v>532.3125</v>
      </c>
      <c r="J1108" s="9">
        <f t="shared" si="17"/>
        <v>43746.656621446753</v>
      </c>
      <c r="K1108" s="1"/>
    </row>
    <row r="1109" spans="1:11" x14ac:dyDescent="0.25">
      <c r="A1109" t="e">
        <f>-LqeXu31ITOUvsQx1J-F</f>
        <v>#NAME?</v>
      </c>
      <c r="B1109">
        <v>393.75</v>
      </c>
      <c r="C1109">
        <v>20.584240000000001</v>
      </c>
      <c r="D1109">
        <v>38</v>
      </c>
      <c r="E1109">
        <v>0</v>
      </c>
      <c r="F1109">
        <v>0</v>
      </c>
      <c r="G1109">
        <v>42</v>
      </c>
      <c r="H1109" s="4">
        <v>1570524339273</v>
      </c>
      <c r="I1109">
        <v>526.5</v>
      </c>
      <c r="J1109" s="9">
        <f t="shared" si="17"/>
        <v>43746.656704548608</v>
      </c>
      <c r="K1109" s="1"/>
    </row>
    <row r="1110" spans="1:11" x14ac:dyDescent="0.25">
      <c r="A1110" t="e">
        <f>-LqeXvawadnlDVuLoh9M</f>
        <v>#NAME?</v>
      </c>
      <c r="B1110">
        <v>393.75</v>
      </c>
      <c r="C1110">
        <v>20.584240000000001</v>
      </c>
      <c r="D1110">
        <v>38</v>
      </c>
      <c r="E1110">
        <v>0</v>
      </c>
      <c r="F1110">
        <v>0</v>
      </c>
      <c r="G1110">
        <v>47</v>
      </c>
      <c r="H1110" s="4">
        <v>1570524345473</v>
      </c>
      <c r="I1110">
        <v>526.5</v>
      </c>
      <c r="J1110" s="9">
        <f t="shared" si="17"/>
        <v>43746.656776307871</v>
      </c>
      <c r="K1110" s="1"/>
    </row>
    <row r="1111" spans="1:11" x14ac:dyDescent="0.25">
      <c r="A1111" t="e">
        <f>-LqeXxL1z6UJv16kfWu0</f>
        <v>#NAME?</v>
      </c>
      <c r="B1111">
        <v>393.75</v>
      </c>
      <c r="C1111">
        <v>20.531590000000001</v>
      </c>
      <c r="D1111">
        <v>40</v>
      </c>
      <c r="E1111">
        <v>0</v>
      </c>
      <c r="F1111">
        <v>0</v>
      </c>
      <c r="G1111">
        <v>39</v>
      </c>
      <c r="H1111" s="4">
        <v>1570524352705</v>
      </c>
      <c r="I1111">
        <v>526.6875</v>
      </c>
      <c r="J1111" s="9">
        <f t="shared" si="17"/>
        <v>43746.656860011572</v>
      </c>
      <c r="K1111" s="1"/>
    </row>
    <row r="1112" spans="1:11" x14ac:dyDescent="0.25">
      <c r="A1112" t="e">
        <f>-LqeXz81DTeaQX50E5Uk</f>
        <v>#NAME?</v>
      </c>
      <c r="B1112">
        <v>393.75</v>
      </c>
      <c r="C1112">
        <v>20.531590000000001</v>
      </c>
      <c r="D1112">
        <v>39</v>
      </c>
      <c r="E1112">
        <v>0</v>
      </c>
      <c r="F1112">
        <v>0</v>
      </c>
      <c r="G1112">
        <v>42</v>
      </c>
      <c r="H1112" s="4">
        <v>1570524359903</v>
      </c>
      <c r="I1112">
        <v>526.6875</v>
      </c>
      <c r="J1112" s="9">
        <f t="shared" si="17"/>
        <v>43746.656943321759</v>
      </c>
      <c r="K1112" s="1"/>
    </row>
    <row r="1113" spans="1:11" x14ac:dyDescent="0.25">
      <c r="A1113" t="e">
        <f>-LqeY0F3V_bRH_9z3W6l</f>
        <v>#NAME?</v>
      </c>
      <c r="B1113">
        <v>412.5</v>
      </c>
      <c r="C1113">
        <v>20.584240000000001</v>
      </c>
      <c r="D1113">
        <v>38</v>
      </c>
      <c r="E1113">
        <v>0</v>
      </c>
      <c r="F1113">
        <v>0</v>
      </c>
      <c r="G1113">
        <v>44</v>
      </c>
      <c r="H1113" s="4">
        <v>1570524368263</v>
      </c>
      <c r="I1113">
        <v>532.125</v>
      </c>
      <c r="J1113" s="9">
        <f t="shared" si="17"/>
        <v>43746.657040081016</v>
      </c>
      <c r="K1113" s="1"/>
    </row>
    <row r="1114" spans="1:11" x14ac:dyDescent="0.25">
      <c r="A1114" t="e">
        <f>-LqeY1tC2h9Y1ww351y4</f>
        <v>#NAME?</v>
      </c>
      <c r="B1114">
        <v>393.75</v>
      </c>
      <c r="C1114">
        <v>20.531590000000001</v>
      </c>
      <c r="D1114">
        <v>38</v>
      </c>
      <c r="E1114">
        <v>0</v>
      </c>
      <c r="F1114">
        <v>0</v>
      </c>
      <c r="G1114">
        <v>39</v>
      </c>
      <c r="H1114" s="4">
        <v>1570524375363</v>
      </c>
      <c r="I1114">
        <v>526.6875</v>
      </c>
      <c r="J1114" s="9">
        <f t="shared" si="17"/>
        <v>43746.65712225694</v>
      </c>
      <c r="K1114" s="1"/>
    </row>
    <row r="1115" spans="1:11" x14ac:dyDescent="0.25">
      <c r="A1115" t="e">
        <f>-LqeY3ewID8RKYMiGrAz</f>
        <v>#NAME?</v>
      </c>
      <c r="B1115">
        <v>393.75</v>
      </c>
      <c r="C1115">
        <v>20.584240000000001</v>
      </c>
      <c r="D1115">
        <v>39</v>
      </c>
      <c r="E1115">
        <v>0</v>
      </c>
      <c r="F1115">
        <v>0</v>
      </c>
      <c r="G1115">
        <v>38</v>
      </c>
      <c r="H1115" s="4">
        <v>1570524382574</v>
      </c>
      <c r="I1115">
        <v>526.6875</v>
      </c>
      <c r="J1115" s="9">
        <f t="shared" si="17"/>
        <v>43746.657205717587</v>
      </c>
      <c r="K1115" s="1"/>
    </row>
    <row r="1116" spans="1:11" x14ac:dyDescent="0.25">
      <c r="A1116" t="e">
        <f>-LqeY5PB3mUyUPofSCVR</f>
        <v>#NAME?</v>
      </c>
      <c r="B1116">
        <v>393.75</v>
      </c>
      <c r="C1116">
        <v>20.584240000000001</v>
      </c>
      <c r="D1116">
        <v>39</v>
      </c>
      <c r="E1116">
        <v>0</v>
      </c>
      <c r="F1116">
        <v>0</v>
      </c>
      <c r="G1116">
        <v>43</v>
      </c>
      <c r="H1116" s="4">
        <v>1570524389784</v>
      </c>
      <c r="I1116">
        <v>526.6875</v>
      </c>
      <c r="J1116" s="9">
        <f t="shared" si="17"/>
        <v>43746.657289166666</v>
      </c>
      <c r="K1116" s="1"/>
    </row>
    <row r="1117" spans="1:11" x14ac:dyDescent="0.25">
      <c r="A1117" t="e">
        <f>-LqeY7BthhPw3sPjzMII</f>
        <v>#NAME?</v>
      </c>
      <c r="B1117">
        <v>431.25</v>
      </c>
      <c r="C1117">
        <v>20.584240000000001</v>
      </c>
      <c r="D1117">
        <v>39</v>
      </c>
      <c r="E1117">
        <v>0</v>
      </c>
      <c r="F1117">
        <v>0</v>
      </c>
      <c r="G1117">
        <v>46</v>
      </c>
      <c r="H1117" s="4">
        <v>1570524397006</v>
      </c>
      <c r="I1117">
        <v>538.5</v>
      </c>
      <c r="J1117" s="9">
        <f t="shared" si="17"/>
        <v>43746.657372754627</v>
      </c>
      <c r="K1117" s="1"/>
    </row>
    <row r="1118" spans="1:11" x14ac:dyDescent="0.25">
      <c r="A1118" t="e">
        <f>-LqeY8uuzN3dDgvXjFJZ</f>
        <v>#NAME?</v>
      </c>
      <c r="B1118">
        <v>393.75</v>
      </c>
      <c r="C1118">
        <v>20.584240000000001</v>
      </c>
      <c r="D1118">
        <v>40</v>
      </c>
      <c r="E1118">
        <v>0</v>
      </c>
      <c r="F1118">
        <v>0</v>
      </c>
      <c r="G1118">
        <v>36</v>
      </c>
      <c r="H1118" s="4">
        <v>1570524404204</v>
      </c>
      <c r="I1118">
        <v>526.6875</v>
      </c>
      <c r="J1118" s="9">
        <f t="shared" si="17"/>
        <v>43746.657456064808</v>
      </c>
      <c r="K1118" s="1"/>
    </row>
    <row r="1119" spans="1:11" x14ac:dyDescent="0.25">
      <c r="A1119" t="e">
        <f>-LqeYAi1W68R9VCwPqPv</f>
        <v>#NAME?</v>
      </c>
      <c r="B1119">
        <v>393.75</v>
      </c>
      <c r="C1119">
        <v>20.584240000000001</v>
      </c>
      <c r="D1119">
        <v>40</v>
      </c>
      <c r="E1119">
        <v>0</v>
      </c>
      <c r="F1119">
        <v>0</v>
      </c>
      <c r="G1119">
        <v>36</v>
      </c>
      <c r="H1119" s="4">
        <v>1570524411423</v>
      </c>
      <c r="I1119">
        <v>526.5</v>
      </c>
      <c r="J1119" s="9">
        <f t="shared" si="17"/>
        <v>43746.657539618049</v>
      </c>
      <c r="K1119" s="1"/>
    </row>
    <row r="1120" spans="1:11" x14ac:dyDescent="0.25">
      <c r="A1120" t="e">
        <f>-LqeYCPwnTfXWvRNADq_</f>
        <v>#NAME?</v>
      </c>
      <c r="B1120">
        <v>393.75</v>
      </c>
      <c r="C1120">
        <v>20.584240000000001</v>
      </c>
      <c r="D1120">
        <v>40</v>
      </c>
      <c r="E1120">
        <v>0</v>
      </c>
      <c r="F1120">
        <v>0</v>
      </c>
      <c r="G1120">
        <v>41</v>
      </c>
      <c r="H1120" s="4">
        <v>1570524418624</v>
      </c>
      <c r="I1120">
        <v>526.6875</v>
      </c>
      <c r="J1120" s="9">
        <f t="shared" si="17"/>
        <v>43746.657622962965</v>
      </c>
      <c r="K1120" s="1"/>
    </row>
    <row r="1121" spans="1:11" x14ac:dyDescent="0.25">
      <c r="A1121" t="e">
        <f>-LqeYEWlDoTnVa7ljpeT</f>
        <v>#NAME?</v>
      </c>
      <c r="B1121">
        <v>393.75</v>
      </c>
      <c r="C1121">
        <v>20.531590000000001</v>
      </c>
      <c r="D1121">
        <v>40</v>
      </c>
      <c r="E1121">
        <v>0</v>
      </c>
      <c r="F1121">
        <v>0</v>
      </c>
      <c r="G1121">
        <v>38</v>
      </c>
      <c r="H1121" s="4">
        <v>1570524427174</v>
      </c>
      <c r="I1121">
        <v>526.6875</v>
      </c>
      <c r="J1121" s="9">
        <f t="shared" si="17"/>
        <v>43746.657721921292</v>
      </c>
      <c r="K1121" s="1"/>
    </row>
    <row r="1122" spans="1:11" x14ac:dyDescent="0.25">
      <c r="A1122" t="e">
        <f>-LqeYGG1XFrMqrEZ7E6_</f>
        <v>#NAME?</v>
      </c>
      <c r="B1122">
        <v>393.75</v>
      </c>
      <c r="C1122">
        <v>20.584240000000001</v>
      </c>
      <c r="D1122">
        <v>39</v>
      </c>
      <c r="E1122">
        <v>0</v>
      </c>
      <c r="F1122">
        <v>0</v>
      </c>
      <c r="G1122">
        <v>35</v>
      </c>
      <c r="H1122" s="4">
        <v>1570524434084</v>
      </c>
      <c r="I1122">
        <v>526.6875</v>
      </c>
      <c r="J1122" s="9">
        <f t="shared" si="17"/>
        <v>43746.657801898145</v>
      </c>
      <c r="K1122" s="1"/>
    </row>
    <row r="1123" spans="1:11" x14ac:dyDescent="0.25">
      <c r="A1123" t="e">
        <f>-LqeYHythbKV2XUXCQRk</f>
        <v>#NAME?</v>
      </c>
      <c r="B1123">
        <v>393.75</v>
      </c>
      <c r="C1123">
        <v>20.584240000000001</v>
      </c>
      <c r="D1123">
        <v>39</v>
      </c>
      <c r="E1123">
        <v>0</v>
      </c>
      <c r="F1123">
        <v>0</v>
      </c>
      <c r="G1123">
        <v>41</v>
      </c>
      <c r="H1123" s="4">
        <v>1570524441295</v>
      </c>
      <c r="I1123">
        <v>526.6875</v>
      </c>
      <c r="J1123" s="9">
        <f t="shared" si="17"/>
        <v>43746.657885358793</v>
      </c>
      <c r="K1123" s="1"/>
    </row>
    <row r="1124" spans="1:11" x14ac:dyDescent="0.25">
      <c r="A1124" t="s">
        <v>62</v>
      </c>
      <c r="B1124">
        <v>393.75</v>
      </c>
      <c r="C1124">
        <v>20.584240000000001</v>
      </c>
      <c r="D1124">
        <v>39</v>
      </c>
      <c r="E1124">
        <v>0</v>
      </c>
      <c r="F1124">
        <v>0</v>
      </c>
      <c r="G1124">
        <v>39</v>
      </c>
      <c r="H1124" s="4">
        <v>1570524448514</v>
      </c>
      <c r="I1124">
        <v>526.6875</v>
      </c>
      <c r="J1124" s="9">
        <f t="shared" si="17"/>
        <v>43746.657968912034</v>
      </c>
      <c r="K1124" s="1"/>
    </row>
    <row r="1125" spans="1:11" x14ac:dyDescent="0.25">
      <c r="A1125" t="e">
        <f>-LqeYLTwW4ayBqje4-#REF!</f>
        <v>#NAME?</v>
      </c>
      <c r="B1125">
        <v>393.75</v>
      </c>
      <c r="C1125">
        <v>20.531590000000001</v>
      </c>
      <c r="D1125">
        <v>40</v>
      </c>
      <c r="E1125">
        <v>0</v>
      </c>
      <c r="F1125">
        <v>0</v>
      </c>
      <c r="G1125">
        <v>40</v>
      </c>
      <c r="H1125" s="4">
        <v>1570524455724</v>
      </c>
      <c r="I1125">
        <v>526.6875</v>
      </c>
      <c r="J1125" s="9">
        <f t="shared" si="17"/>
        <v>43746.658052361112</v>
      </c>
      <c r="K1125" s="1"/>
    </row>
    <row r="1126" spans="1:11" x14ac:dyDescent="0.25">
      <c r="A1126" t="e">
        <f>-LqeYNVu5c-ScxQMwhrm</f>
        <v>#NAME?</v>
      </c>
      <c r="B1126">
        <v>393.75</v>
      </c>
      <c r="C1126">
        <v>20.584240000000001</v>
      </c>
      <c r="D1126">
        <v>39</v>
      </c>
      <c r="E1126">
        <v>0</v>
      </c>
      <c r="F1126">
        <v>0</v>
      </c>
      <c r="G1126">
        <v>34</v>
      </c>
      <c r="H1126" s="4">
        <v>1570524462935</v>
      </c>
      <c r="I1126">
        <v>526.6875</v>
      </c>
      <c r="J1126" s="9">
        <f t="shared" si="17"/>
        <v>43746.658135821759</v>
      </c>
      <c r="K1126" s="1"/>
    </row>
    <row r="1127" spans="1:11" x14ac:dyDescent="0.25">
      <c r="A1127" t="e">
        <f>-LqeYPDuh9fz0BYXYvvr</f>
        <v>#NAME?</v>
      </c>
      <c r="B1127">
        <v>393.75</v>
      </c>
      <c r="C1127">
        <v>20.584240000000001</v>
      </c>
      <c r="D1127">
        <v>39</v>
      </c>
      <c r="E1127">
        <v>0</v>
      </c>
      <c r="F1127">
        <v>0</v>
      </c>
      <c r="G1127">
        <v>40</v>
      </c>
      <c r="H1127" s="4">
        <v>1570524471171</v>
      </c>
      <c r="I1127">
        <v>526.5</v>
      </c>
      <c r="J1127" s="9">
        <f t="shared" si="17"/>
        <v>43746.658231145826</v>
      </c>
      <c r="K1127" s="1"/>
    </row>
    <row r="1128" spans="1:11" x14ac:dyDescent="0.25">
      <c r="A1128" t="e">
        <f>-LqeYR7-bslIkmdY8eZf</f>
        <v>#NAME?</v>
      </c>
      <c r="B1128">
        <v>393.75</v>
      </c>
      <c r="C1128">
        <v>20.584240000000001</v>
      </c>
      <c r="D1128">
        <v>38</v>
      </c>
      <c r="E1128">
        <v>0</v>
      </c>
      <c r="F1128">
        <v>0</v>
      </c>
      <c r="G1128">
        <v>40</v>
      </c>
      <c r="H1128" s="4">
        <v>1570524478611</v>
      </c>
      <c r="I1128">
        <v>526.6875</v>
      </c>
      <c r="J1128" s="9">
        <f t="shared" si="17"/>
        <v>43746.658317256944</v>
      </c>
      <c r="K1128" s="1"/>
    </row>
    <row r="1129" spans="1:11" x14ac:dyDescent="0.25">
      <c r="A1129" t="e">
        <f>-LqeYT-nd_NcBaSlTdI8</f>
        <v>#NAME?</v>
      </c>
      <c r="B1129">
        <v>393.75</v>
      </c>
      <c r="C1129">
        <v>20.531590000000001</v>
      </c>
      <c r="D1129">
        <v>38</v>
      </c>
      <c r="E1129">
        <v>0</v>
      </c>
      <c r="F1129">
        <v>0</v>
      </c>
      <c r="G1129">
        <v>37</v>
      </c>
      <c r="H1129" s="4">
        <v>1570524485592</v>
      </c>
      <c r="I1129">
        <v>526.6875</v>
      </c>
      <c r="J1129" s="9">
        <f t="shared" si="17"/>
        <v>43746.658398055552</v>
      </c>
      <c r="K1129" s="1"/>
    </row>
    <row r="1130" spans="1:11" x14ac:dyDescent="0.25">
      <c r="A1130" t="e">
        <f>-LqeYUXjTpZpxeyqfh1C</f>
        <v>#NAME?</v>
      </c>
      <c r="B1130">
        <v>393.75</v>
      </c>
      <c r="C1130">
        <v>20.531590000000001</v>
      </c>
      <c r="D1130">
        <v>38</v>
      </c>
      <c r="E1130">
        <v>0</v>
      </c>
      <c r="F1130">
        <v>0</v>
      </c>
      <c r="G1130">
        <v>38</v>
      </c>
      <c r="H1130" s="4">
        <v>1570524492801</v>
      </c>
      <c r="I1130">
        <v>526.6875</v>
      </c>
      <c r="J1130" s="9">
        <f t="shared" si="17"/>
        <v>43746.658481493054</v>
      </c>
      <c r="K1130" s="1"/>
    </row>
    <row r="1131" spans="1:11" x14ac:dyDescent="0.25">
      <c r="A1131" t="e">
        <f>-LqeYWLye8HH8V4avzjU</f>
        <v>#NAME?</v>
      </c>
      <c r="B1131">
        <v>393.75</v>
      </c>
      <c r="C1131">
        <v>20.584240000000001</v>
      </c>
      <c r="D1131">
        <v>38</v>
      </c>
      <c r="E1131">
        <v>0</v>
      </c>
      <c r="F1131">
        <v>0</v>
      </c>
      <c r="G1131">
        <v>31</v>
      </c>
      <c r="H1131" s="4">
        <v>1570524500011</v>
      </c>
      <c r="I1131">
        <v>526.6875</v>
      </c>
      <c r="J1131" s="9">
        <f t="shared" si="17"/>
        <v>43746.658564942125</v>
      </c>
      <c r="K1131" s="1"/>
    </row>
    <row r="1132" spans="1:11" x14ac:dyDescent="0.25">
      <c r="A1132" t="e">
        <f>-LqeYY3yLFtEJpZUA8AG</f>
        <v>#NAME?</v>
      </c>
      <c r="B1132">
        <v>393.75</v>
      </c>
      <c r="C1132">
        <v>20.584240000000001</v>
      </c>
      <c r="D1132">
        <v>38</v>
      </c>
      <c r="E1132">
        <v>0</v>
      </c>
      <c r="F1132">
        <v>0</v>
      </c>
      <c r="G1132">
        <v>35</v>
      </c>
      <c r="H1132" s="4">
        <v>1570524507230</v>
      </c>
      <c r="I1132">
        <v>526.6875</v>
      </c>
      <c r="J1132" s="9">
        <f t="shared" si="17"/>
        <v>43746.658648495366</v>
      </c>
      <c r="K1132" s="1"/>
    </row>
    <row r="1133" spans="1:11" x14ac:dyDescent="0.25">
      <c r="A1133" t="e">
        <f>-LqeYZqjkbv48KO_EOOa</f>
        <v>#NAME?</v>
      </c>
      <c r="B1133">
        <v>393.75</v>
      </c>
      <c r="C1133">
        <v>20.584240000000001</v>
      </c>
      <c r="D1133">
        <v>39</v>
      </c>
      <c r="E1133">
        <v>0</v>
      </c>
      <c r="F1133">
        <v>0</v>
      </c>
      <c r="G1133">
        <v>37</v>
      </c>
      <c r="H1133" s="4">
        <v>1570524514442</v>
      </c>
      <c r="I1133">
        <v>526.6875</v>
      </c>
      <c r="J1133" s="9">
        <f t="shared" si="17"/>
        <v>43746.658731967589</v>
      </c>
      <c r="K1133" s="1"/>
    </row>
    <row r="1134" spans="1:11" x14ac:dyDescent="0.25">
      <c r="A1134" t="e">
        <f>-LqeYaZsOulFiAxxVxsX</f>
        <v>#NAME?</v>
      </c>
      <c r="B1134">
        <v>393.75</v>
      </c>
      <c r="C1134">
        <v>20.584240000000001</v>
      </c>
      <c r="D1134">
        <v>39</v>
      </c>
      <c r="E1134">
        <v>0</v>
      </c>
      <c r="F1134">
        <v>0</v>
      </c>
      <c r="G1134">
        <v>40</v>
      </c>
      <c r="H1134" s="4">
        <v>1570524521671</v>
      </c>
      <c r="I1134">
        <v>526.6875</v>
      </c>
      <c r="J1134" s="9">
        <f t="shared" si="17"/>
        <v>43746.658815636569</v>
      </c>
      <c r="K1134" s="1"/>
    </row>
    <row r="1135" spans="1:11" x14ac:dyDescent="0.25">
      <c r="A1135" t="e">
        <f>-LqeYcMkqC6QdCs-LqND</f>
        <v>#NAME?</v>
      </c>
      <c r="B1135">
        <v>393.75</v>
      </c>
      <c r="C1135">
        <v>20.531590000000001</v>
      </c>
      <c r="D1135">
        <v>39</v>
      </c>
      <c r="E1135">
        <v>0</v>
      </c>
      <c r="F1135">
        <v>0</v>
      </c>
      <c r="G1135">
        <v>33</v>
      </c>
      <c r="H1135" s="4">
        <v>1570524528862</v>
      </c>
      <c r="I1135">
        <v>526.6875</v>
      </c>
      <c r="J1135" s="9">
        <f t="shared" si="17"/>
        <v>43746.658898865739</v>
      </c>
      <c r="K1135" s="1"/>
    </row>
    <row r="1136" spans="1:11" x14ac:dyDescent="0.25">
      <c r="A1136" t="e">
        <f>-LqeYe74RmGoK3AmQPP6</f>
        <v>#NAME?</v>
      </c>
      <c r="B1136">
        <v>393.75</v>
      </c>
      <c r="C1136">
        <v>20.584240000000001</v>
      </c>
      <c r="D1136">
        <v>40</v>
      </c>
      <c r="E1136">
        <v>0</v>
      </c>
      <c r="F1136">
        <v>0</v>
      </c>
      <c r="G1136">
        <v>39</v>
      </c>
      <c r="H1136" s="4">
        <v>1570524536072</v>
      </c>
      <c r="I1136">
        <v>526.6875</v>
      </c>
      <c r="J1136" s="9">
        <f t="shared" si="17"/>
        <v>43746.658982314817</v>
      </c>
      <c r="K1136" s="1"/>
    </row>
    <row r="1137" spans="1:11" x14ac:dyDescent="0.25">
      <c r="A1137" t="e">
        <f>-LqeYftzZyH99h4l-AFE</f>
        <v>#NAME?</v>
      </c>
      <c r="B1137">
        <v>412.5</v>
      </c>
      <c r="C1137">
        <v>20.584240000000001</v>
      </c>
      <c r="D1137">
        <v>40</v>
      </c>
      <c r="E1137">
        <v>0</v>
      </c>
      <c r="F1137">
        <v>0</v>
      </c>
      <c r="G1137">
        <v>33</v>
      </c>
      <c r="H1137" s="4">
        <v>1570524543281</v>
      </c>
      <c r="I1137">
        <v>532.3125</v>
      </c>
      <c r="J1137" s="9">
        <f t="shared" si="17"/>
        <v>43746.659065752312</v>
      </c>
      <c r="K1137" s="1"/>
    </row>
    <row r="1138" spans="1:11" x14ac:dyDescent="0.25">
      <c r="A1138" t="e">
        <f>-LqeYhatn4XEy5VeB5BQ</f>
        <v>#NAME?</v>
      </c>
      <c r="B1138">
        <v>393.75</v>
      </c>
      <c r="C1138">
        <v>20.531590000000001</v>
      </c>
      <c r="D1138">
        <v>40</v>
      </c>
      <c r="E1138">
        <v>0</v>
      </c>
      <c r="F1138">
        <v>0</v>
      </c>
      <c r="G1138">
        <v>33</v>
      </c>
      <c r="H1138" s="4">
        <v>1570524550471</v>
      </c>
      <c r="I1138">
        <v>526.6875</v>
      </c>
      <c r="J1138" s="9">
        <f t="shared" si="17"/>
        <v>43746.659148969906</v>
      </c>
      <c r="K1138" s="1"/>
    </row>
    <row r="1139" spans="1:11" x14ac:dyDescent="0.25">
      <c r="A1139" t="e">
        <f>-LqeYjAzvOdEcq_jbTlw</f>
        <v>#NAME?</v>
      </c>
      <c r="B1139">
        <v>393.75</v>
      </c>
      <c r="C1139">
        <v>20.531590000000001</v>
      </c>
      <c r="D1139">
        <v>40</v>
      </c>
      <c r="E1139">
        <v>0</v>
      </c>
      <c r="F1139">
        <v>0</v>
      </c>
      <c r="G1139">
        <v>32</v>
      </c>
      <c r="H1139" s="4">
        <v>1570524556660</v>
      </c>
      <c r="I1139">
        <v>526.5</v>
      </c>
      <c r="J1139" s="9">
        <f t="shared" si="17"/>
        <v>43746.659220601847</v>
      </c>
      <c r="K1139" s="1"/>
    </row>
    <row r="1140" spans="1:11" x14ac:dyDescent="0.25">
      <c r="A1140" t="e">
        <f>-LqeYkstmDAy9Rc_1pgh</f>
        <v>#NAME?</v>
      </c>
      <c r="B1140">
        <v>393.75</v>
      </c>
      <c r="C1140">
        <v>20.531590000000001</v>
      </c>
      <c r="D1140">
        <v>39</v>
      </c>
      <c r="E1140">
        <v>0</v>
      </c>
      <c r="F1140">
        <v>0</v>
      </c>
      <c r="G1140">
        <v>30</v>
      </c>
      <c r="H1140" s="4">
        <v>1570524563881</v>
      </c>
      <c r="I1140">
        <v>526.6875</v>
      </c>
      <c r="J1140" s="9">
        <f t="shared" si="17"/>
        <v>43746.65930417824</v>
      </c>
      <c r="K1140" s="1"/>
    </row>
    <row r="1141" spans="1:11" x14ac:dyDescent="0.25">
      <c r="A1141" t="e">
        <f>-LqeYmfls3ODLx9L6FkA</f>
        <v>#NAME?</v>
      </c>
      <c r="B1141">
        <v>393.75</v>
      </c>
      <c r="C1141">
        <v>20.531590000000001</v>
      </c>
      <c r="D1141">
        <v>39</v>
      </c>
      <c r="E1141">
        <v>0</v>
      </c>
      <c r="F1141">
        <v>0</v>
      </c>
      <c r="G1141">
        <v>31</v>
      </c>
      <c r="H1141" s="4">
        <v>1570524571102</v>
      </c>
      <c r="I1141">
        <v>526.6875</v>
      </c>
      <c r="J1141" s="9">
        <f t="shared" si="17"/>
        <v>43746.659387754626</v>
      </c>
      <c r="K1141" s="1"/>
    </row>
    <row r="1142" spans="1:11" x14ac:dyDescent="0.25">
      <c r="A1142" t="e">
        <f>-LqeYoQ-d68T1KanL53T</f>
        <v>#NAME?</v>
      </c>
      <c r="B1142">
        <v>406.25</v>
      </c>
      <c r="C1142">
        <v>20.584240000000001</v>
      </c>
      <c r="D1142">
        <v>38</v>
      </c>
      <c r="E1142">
        <v>0</v>
      </c>
      <c r="F1142">
        <v>0</v>
      </c>
      <c r="G1142">
        <v>35</v>
      </c>
      <c r="H1142" s="4">
        <v>1570524578312</v>
      </c>
      <c r="I1142">
        <v>530.625</v>
      </c>
      <c r="J1142" s="9">
        <f t="shared" si="17"/>
        <v>43746.659471203697</v>
      </c>
      <c r="K1142" s="1"/>
    </row>
    <row r="1143" spans="1:11" x14ac:dyDescent="0.25">
      <c r="A1143" t="e">
        <f>-LqeYqBjvZSlwwr19EMi</f>
        <v>#NAME?</v>
      </c>
      <c r="B1143">
        <v>393.75</v>
      </c>
      <c r="C1143">
        <v>20.531590000000001</v>
      </c>
      <c r="D1143">
        <v>38</v>
      </c>
      <c r="E1143">
        <v>0</v>
      </c>
      <c r="F1143">
        <v>0</v>
      </c>
      <c r="G1143">
        <v>37</v>
      </c>
      <c r="H1143" s="4">
        <v>1570524585523</v>
      </c>
      <c r="I1143">
        <v>526.5</v>
      </c>
      <c r="J1143" s="9">
        <f t="shared" si="17"/>
        <v>43746.659554664351</v>
      </c>
      <c r="K1143" s="1"/>
    </row>
    <row r="1144" spans="1:11" x14ac:dyDescent="0.25">
      <c r="A1144" t="e">
        <f>-LqeYrukk-s2CxIjJOMl</f>
        <v>#NAME?</v>
      </c>
      <c r="B1144">
        <v>393.75</v>
      </c>
      <c r="C1144">
        <v>20.584240000000001</v>
      </c>
      <c r="D1144">
        <v>37</v>
      </c>
      <c r="E1144">
        <v>0</v>
      </c>
      <c r="F1144">
        <v>0</v>
      </c>
      <c r="G1144">
        <v>34</v>
      </c>
      <c r="H1144" s="4">
        <v>1570524592712</v>
      </c>
      <c r="I1144">
        <v>526.5</v>
      </c>
      <c r="J1144" s="9">
        <f t="shared" si="17"/>
        <v>43746.659637870369</v>
      </c>
      <c r="K1144" s="1"/>
    </row>
    <row r="1145" spans="1:11" x14ac:dyDescent="0.25">
      <c r="A1145" t="e">
        <f>-LqeYtTuJGFKanoxhuWm</f>
        <v>#NAME?</v>
      </c>
      <c r="B1145">
        <v>393.75</v>
      </c>
      <c r="C1145">
        <v>20.531590000000001</v>
      </c>
      <c r="D1145">
        <v>37</v>
      </c>
      <c r="E1145">
        <v>0</v>
      </c>
      <c r="F1145">
        <v>0</v>
      </c>
      <c r="G1145">
        <v>32</v>
      </c>
      <c r="H1145" s="4">
        <v>1570524598912</v>
      </c>
      <c r="I1145">
        <v>526.6875</v>
      </c>
      <c r="J1145" s="9">
        <f t="shared" si="17"/>
        <v>43746.659709629625</v>
      </c>
      <c r="K1145" s="1"/>
    </row>
    <row r="1146" spans="1:11" x14ac:dyDescent="0.25">
      <c r="A1146" t="e">
        <f>-LqeYvCzFZDBkD06UAT9</f>
        <v>#NAME?</v>
      </c>
      <c r="B1146">
        <v>393.75</v>
      </c>
      <c r="C1146">
        <v>20.584240000000001</v>
      </c>
      <c r="D1146">
        <v>38</v>
      </c>
      <c r="E1146">
        <v>0</v>
      </c>
      <c r="F1146">
        <v>0</v>
      </c>
      <c r="G1146">
        <v>37</v>
      </c>
      <c r="H1146" s="4">
        <v>1570524606140</v>
      </c>
      <c r="I1146">
        <v>526.6875</v>
      </c>
      <c r="J1146" s="9">
        <f t="shared" si="17"/>
        <v>43746.659793287035</v>
      </c>
      <c r="K1146" s="1"/>
    </row>
    <row r="1147" spans="1:11" x14ac:dyDescent="0.25">
      <c r="A1147" t="e">
        <f>-LqeYx090TIjVi_Ndidk</f>
        <v>#NAME?</v>
      </c>
      <c r="B1147">
        <v>412.5</v>
      </c>
      <c r="C1147">
        <v>20.531590000000001</v>
      </c>
      <c r="D1147">
        <v>38</v>
      </c>
      <c r="E1147">
        <v>0</v>
      </c>
      <c r="F1147">
        <v>0</v>
      </c>
      <c r="G1147">
        <v>40</v>
      </c>
      <c r="H1147" s="4">
        <v>1570524613342</v>
      </c>
      <c r="I1147">
        <v>532.6875</v>
      </c>
      <c r="J1147" s="9">
        <f t="shared" si="17"/>
        <v>43746.659876643513</v>
      </c>
      <c r="K1147" s="1"/>
    </row>
    <row r="1148" spans="1:11" x14ac:dyDescent="0.25">
      <c r="A1148" t="e">
        <f>-LqeYykt-FWLwW6OybnU</f>
        <v>#NAME?</v>
      </c>
      <c r="B1148">
        <v>393.75</v>
      </c>
      <c r="C1148">
        <v>20.531590000000001</v>
      </c>
      <c r="D1148">
        <v>37</v>
      </c>
      <c r="E1148">
        <v>0</v>
      </c>
      <c r="F1148">
        <v>0</v>
      </c>
      <c r="G1148">
        <v>43</v>
      </c>
      <c r="H1148" s="4">
        <v>1570524620542</v>
      </c>
      <c r="I1148">
        <v>526.6875</v>
      </c>
      <c r="J1148" s="9">
        <f t="shared" si="17"/>
        <v>43746.659959976845</v>
      </c>
      <c r="K1148" s="1"/>
    </row>
    <row r="1149" spans="1:11" x14ac:dyDescent="0.25">
      <c r="A1149" t="e">
        <f>-LqeZ-x-egpZy418z6pq</f>
        <v>#NAME?</v>
      </c>
      <c r="B1149">
        <v>393.75</v>
      </c>
      <c r="C1149">
        <v>20.531590000000001</v>
      </c>
      <c r="D1149">
        <v>38</v>
      </c>
      <c r="E1149">
        <v>0</v>
      </c>
      <c r="F1149">
        <v>0</v>
      </c>
      <c r="G1149">
        <v>38</v>
      </c>
      <c r="H1149" s="4">
        <v>1570524627761</v>
      </c>
      <c r="I1149">
        <v>526.6875</v>
      </c>
      <c r="J1149" s="9">
        <f t="shared" si="17"/>
        <v>43746.660043530086</v>
      </c>
      <c r="K1149" s="1"/>
    </row>
    <row r="1150" spans="1:11" x14ac:dyDescent="0.25">
      <c r="A1150" t="e">
        <f>-LqeZ1EzTUXfWYFfD0B6</f>
        <v>#NAME?</v>
      </c>
      <c r="B1150">
        <v>393.75</v>
      </c>
      <c r="C1150">
        <v>20.584240000000001</v>
      </c>
      <c r="D1150">
        <v>39</v>
      </c>
      <c r="E1150">
        <v>0</v>
      </c>
      <c r="F1150">
        <v>0</v>
      </c>
      <c r="G1150">
        <v>35</v>
      </c>
      <c r="H1150" s="4">
        <v>1570524634941</v>
      </c>
      <c r="I1150">
        <v>526.875</v>
      </c>
      <c r="J1150" s="9">
        <f t="shared" si="17"/>
        <v>43746.660126631941</v>
      </c>
      <c r="K1150" s="1"/>
    </row>
    <row r="1151" spans="1:11" x14ac:dyDescent="0.25">
      <c r="A1151" t="s">
        <v>63</v>
      </c>
      <c r="B1151">
        <v>393.75</v>
      </c>
      <c r="C1151">
        <v>20.531590000000001</v>
      </c>
      <c r="D1151">
        <v>39</v>
      </c>
      <c r="E1151">
        <v>0</v>
      </c>
      <c r="F1151">
        <v>0</v>
      </c>
      <c r="G1151">
        <v>35</v>
      </c>
      <c r="H1151" s="4">
        <v>1570524641142</v>
      </c>
      <c r="I1151">
        <v>526.6875</v>
      </c>
      <c r="J1151" s="9">
        <f t="shared" si="17"/>
        <v>43746.660198402773</v>
      </c>
      <c r="K1151" s="1"/>
    </row>
    <row r="1152" spans="1:11" x14ac:dyDescent="0.25">
      <c r="A1152" t="e">
        <f>-LqeZ4X1DbBBsU91CF2m</f>
        <v>#NAME?</v>
      </c>
      <c r="B1152">
        <v>393.75</v>
      </c>
      <c r="C1152">
        <v>20.531590000000001</v>
      </c>
      <c r="D1152">
        <v>39</v>
      </c>
      <c r="E1152">
        <v>0</v>
      </c>
      <c r="F1152">
        <v>0</v>
      </c>
      <c r="G1152">
        <v>37</v>
      </c>
      <c r="H1152" s="4">
        <v>1570524648352</v>
      </c>
      <c r="I1152">
        <v>526.6875</v>
      </c>
      <c r="J1152" s="9">
        <f t="shared" si="17"/>
        <v>43746.660281851851</v>
      </c>
      <c r="K1152" s="1"/>
    </row>
    <row r="1153" spans="1:11" x14ac:dyDescent="0.25">
      <c r="A1153" t="e">
        <f>-LqeZ6Jqb0DxKMLYoR_K</f>
        <v>#NAME?</v>
      </c>
      <c r="B1153">
        <v>393.75</v>
      </c>
      <c r="C1153">
        <v>20.531590000000001</v>
      </c>
      <c r="D1153">
        <v>39</v>
      </c>
      <c r="E1153">
        <v>0</v>
      </c>
      <c r="F1153">
        <v>0</v>
      </c>
      <c r="G1153">
        <v>34</v>
      </c>
      <c r="H1153" s="4">
        <v>1570524655572</v>
      </c>
      <c r="I1153">
        <v>526.6875</v>
      </c>
      <c r="J1153" s="9">
        <f t="shared" si="17"/>
        <v>43746.660365416661</v>
      </c>
      <c r="K1153" s="1"/>
    </row>
    <row r="1154" spans="1:11" x14ac:dyDescent="0.25">
      <c r="A1154" t="e">
        <f>-LqeZ828BaYwJ8U8AkQJ</f>
        <v>#NAME?</v>
      </c>
      <c r="B1154">
        <v>393.75</v>
      </c>
      <c r="C1154">
        <v>20.584240000000001</v>
      </c>
      <c r="D1154">
        <v>39</v>
      </c>
      <c r="E1154">
        <v>0</v>
      </c>
      <c r="F1154">
        <v>0</v>
      </c>
      <c r="G1154">
        <v>36</v>
      </c>
      <c r="H1154" s="4">
        <v>1570524662781</v>
      </c>
      <c r="I1154">
        <v>526.6875</v>
      </c>
      <c r="J1154" s="9">
        <f t="shared" si="17"/>
        <v>43746.660448854163</v>
      </c>
      <c r="K1154" s="1"/>
    </row>
    <row r="1155" spans="1:11" x14ac:dyDescent="0.25">
      <c r="A1155" t="e">
        <f>-LqeZ9q8-MvGoVzKuQVC</f>
        <v>#NAME?</v>
      </c>
      <c r="B1155">
        <v>393.75</v>
      </c>
      <c r="C1155">
        <v>20.531590000000001</v>
      </c>
      <c r="D1155">
        <v>39</v>
      </c>
      <c r="E1155">
        <v>0</v>
      </c>
      <c r="F1155">
        <v>0</v>
      </c>
      <c r="G1155">
        <v>41</v>
      </c>
      <c r="H1155" s="4">
        <v>1570524670001</v>
      </c>
      <c r="I1155">
        <v>526.6875</v>
      </c>
      <c r="J1155" s="9">
        <f t="shared" ref="J1155:J1218" si="18">(H1155/86400000)+25569+(7/24)</f>
        <v>43746.66053241898</v>
      </c>
      <c r="K1155" s="1"/>
    </row>
    <row r="1156" spans="1:11" x14ac:dyDescent="0.25">
      <c r="A1156" t="e">
        <f>-LqeZBXvzq8wJ_8vnUaV</f>
        <v>#NAME?</v>
      </c>
      <c r="B1156">
        <v>393.75</v>
      </c>
      <c r="C1156">
        <v>20.584240000000001</v>
      </c>
      <c r="D1156">
        <v>40</v>
      </c>
      <c r="E1156">
        <v>0</v>
      </c>
      <c r="F1156">
        <v>0</v>
      </c>
      <c r="G1156">
        <v>38</v>
      </c>
      <c r="H1156" s="4">
        <v>1570524677182</v>
      </c>
      <c r="I1156">
        <v>526.5</v>
      </c>
      <c r="J1156" s="9">
        <f t="shared" si="18"/>
        <v>43746.660615532404</v>
      </c>
      <c r="K1156" s="1"/>
    </row>
    <row r="1157" spans="1:11" x14ac:dyDescent="0.25">
      <c r="A1157" t="e">
        <f>-LqeZDBzWeZzeNI7boNp</f>
        <v>#NAME?</v>
      </c>
      <c r="B1157">
        <v>393.75</v>
      </c>
      <c r="C1157">
        <v>20.584240000000001</v>
      </c>
      <c r="D1157">
        <v>40</v>
      </c>
      <c r="E1157">
        <v>0</v>
      </c>
      <c r="F1157">
        <v>0</v>
      </c>
      <c r="G1157">
        <v>29</v>
      </c>
      <c r="H1157" s="4">
        <v>1570524683381</v>
      </c>
      <c r="I1157">
        <v>526.6875</v>
      </c>
      <c r="J1157" s="9">
        <f t="shared" si="18"/>
        <v>43746.660687280091</v>
      </c>
      <c r="K1157" s="1"/>
    </row>
    <row r="1158" spans="1:11" x14ac:dyDescent="0.25">
      <c r="A1158" t="s">
        <v>64</v>
      </c>
      <c r="B1158">
        <v>393.75</v>
      </c>
      <c r="C1158">
        <v>20.584240000000001</v>
      </c>
      <c r="D1158">
        <v>35</v>
      </c>
      <c r="E1158">
        <v>0</v>
      </c>
      <c r="F1158">
        <v>0</v>
      </c>
      <c r="G1158">
        <v>29</v>
      </c>
      <c r="H1158" s="4">
        <v>1570524690602</v>
      </c>
      <c r="I1158">
        <v>526.5</v>
      </c>
      <c r="J1158" s="9">
        <f t="shared" si="18"/>
        <v>43746.660770856477</v>
      </c>
      <c r="K1158" s="1"/>
    </row>
    <row r="1159" spans="1:11" x14ac:dyDescent="0.25">
      <c r="A1159" t="e">
        <f>-LqeZGcyc40rn69hgHUj</f>
        <v>#NAME?</v>
      </c>
      <c r="B1159">
        <v>393.75</v>
      </c>
      <c r="C1159">
        <v>20.531590000000001</v>
      </c>
      <c r="D1159">
        <v>36</v>
      </c>
      <c r="E1159">
        <v>0</v>
      </c>
      <c r="F1159">
        <v>0</v>
      </c>
      <c r="G1159">
        <v>39</v>
      </c>
      <c r="H1159" s="4">
        <v>1570524697811</v>
      </c>
      <c r="I1159">
        <v>526.6875</v>
      </c>
      <c r="J1159" s="9">
        <f t="shared" si="18"/>
        <v>43746.660854293979</v>
      </c>
      <c r="K1159" s="1"/>
    </row>
    <row r="1160" spans="1:11" x14ac:dyDescent="0.25">
      <c r="A1160" t="e">
        <f>-LqeZIez5C6uGm2Jnb08</f>
        <v>#NAME?</v>
      </c>
      <c r="B1160">
        <v>393.75</v>
      </c>
      <c r="C1160">
        <v>20.531590000000001</v>
      </c>
      <c r="D1160">
        <v>36</v>
      </c>
      <c r="E1160">
        <v>0</v>
      </c>
      <c r="F1160">
        <v>0</v>
      </c>
      <c r="G1160">
        <v>34</v>
      </c>
      <c r="H1160" s="4">
        <v>1570524706260</v>
      </c>
      <c r="I1160">
        <v>526.6875</v>
      </c>
      <c r="J1160" s="9">
        <f t="shared" si="18"/>
        <v>43746.66095208333</v>
      </c>
      <c r="K1160" s="1"/>
    </row>
    <row r="1161" spans="1:11" x14ac:dyDescent="0.25">
      <c r="A1161" t="e">
        <f>-LqeZKXTAhMQZ13vZcLw</f>
        <v>#NAME?</v>
      </c>
      <c r="B1161">
        <v>393.75</v>
      </c>
      <c r="C1161">
        <v>20.584240000000001</v>
      </c>
      <c r="D1161">
        <v>36</v>
      </c>
      <c r="E1161">
        <v>0</v>
      </c>
      <c r="F1161">
        <v>0</v>
      </c>
      <c r="G1161">
        <v>35</v>
      </c>
      <c r="H1161" s="4">
        <v>1570524713270</v>
      </c>
      <c r="I1161">
        <v>526.6875</v>
      </c>
      <c r="J1161" s="9">
        <f t="shared" si="18"/>
        <v>43746.661033217591</v>
      </c>
      <c r="K1161" s="1"/>
    </row>
    <row r="1162" spans="1:11" x14ac:dyDescent="0.25">
      <c r="A1162" t="e">
        <f>-LqeZMBHtjvueD3gLCZe</f>
        <v>#NAME?</v>
      </c>
      <c r="B1162">
        <v>393.75</v>
      </c>
      <c r="C1162">
        <v>20.584240000000001</v>
      </c>
      <c r="D1162">
        <v>36</v>
      </c>
      <c r="E1162">
        <v>0</v>
      </c>
      <c r="F1162">
        <v>0</v>
      </c>
      <c r="G1162">
        <v>38</v>
      </c>
      <c r="H1162" s="4">
        <v>1570524720481</v>
      </c>
      <c r="I1162">
        <v>526.6875</v>
      </c>
      <c r="J1162" s="9">
        <f t="shared" si="18"/>
        <v>43746.661116678239</v>
      </c>
      <c r="K1162" s="1"/>
    </row>
    <row r="1163" spans="1:11" x14ac:dyDescent="0.25">
      <c r="A1163" t="e">
        <f>-LqeZNsjy2ciTiAEx28x</f>
        <v>#NAME?</v>
      </c>
      <c r="B1163">
        <v>393.75</v>
      </c>
      <c r="C1163">
        <v>20.531590000000001</v>
      </c>
      <c r="D1163">
        <v>37</v>
      </c>
      <c r="E1163">
        <v>0</v>
      </c>
      <c r="F1163">
        <v>0</v>
      </c>
      <c r="G1163">
        <v>25</v>
      </c>
      <c r="H1163" s="4">
        <v>1570524727693</v>
      </c>
      <c r="I1163">
        <v>526.6875</v>
      </c>
      <c r="J1163" s="9">
        <f t="shared" si="18"/>
        <v>43746.661200150462</v>
      </c>
      <c r="K1163" s="1"/>
    </row>
    <row r="1164" spans="1:11" x14ac:dyDescent="0.25">
      <c r="A1164" t="e">
        <f>-LqeZPfkhFa1h9LGRClH</f>
        <v>#NAME?</v>
      </c>
      <c r="B1164">
        <v>393.75</v>
      </c>
      <c r="C1164">
        <v>20.584240000000001</v>
      </c>
      <c r="D1164">
        <v>37</v>
      </c>
      <c r="E1164">
        <v>0</v>
      </c>
      <c r="F1164">
        <v>0</v>
      </c>
      <c r="G1164">
        <v>31</v>
      </c>
      <c r="H1164" s="4">
        <v>1570524734900</v>
      </c>
      <c r="I1164">
        <v>526.5</v>
      </c>
      <c r="J1164" s="9">
        <f t="shared" si="18"/>
        <v>43746.661283564812</v>
      </c>
      <c r="K1164" s="1"/>
    </row>
    <row r="1165" spans="1:11" x14ac:dyDescent="0.25">
      <c r="A1165" t="e">
        <f>-LqeZRQ8b96mk1yh1jhr</f>
        <v>#NAME?</v>
      </c>
      <c r="B1165">
        <v>393.75</v>
      </c>
      <c r="C1165">
        <v>20.584240000000001</v>
      </c>
      <c r="D1165">
        <v>38</v>
      </c>
      <c r="E1165">
        <v>0</v>
      </c>
      <c r="F1165">
        <v>0</v>
      </c>
      <c r="G1165">
        <v>33</v>
      </c>
      <c r="H1165" s="4">
        <v>1570524742111</v>
      </c>
      <c r="I1165">
        <v>526.6875</v>
      </c>
      <c r="J1165" s="9">
        <f t="shared" si="18"/>
        <v>43746.661367025459</v>
      </c>
      <c r="K1165" s="1"/>
    </row>
    <row r="1166" spans="1:11" x14ac:dyDescent="0.25">
      <c r="A1166" t="e">
        <f>-LqeZTD6xky40gVlj1Rp</f>
        <v>#NAME?</v>
      </c>
      <c r="B1166">
        <v>412.5</v>
      </c>
      <c r="C1166">
        <v>20.531590000000001</v>
      </c>
      <c r="D1166">
        <v>40</v>
      </c>
      <c r="E1166">
        <v>0</v>
      </c>
      <c r="F1166">
        <v>0</v>
      </c>
      <c r="G1166">
        <v>31</v>
      </c>
      <c r="H1166" s="4">
        <v>1570524749330</v>
      </c>
      <c r="I1166">
        <v>532.3125</v>
      </c>
      <c r="J1166" s="9">
        <f t="shared" si="18"/>
        <v>43746.6614505787</v>
      </c>
      <c r="K1166" s="1"/>
    </row>
    <row r="1167" spans="1:11" x14ac:dyDescent="0.25">
      <c r="A1167" t="e">
        <f>-LqeZUui0fILNlQQwS-0</f>
        <v>#NAME?</v>
      </c>
      <c r="B1167">
        <v>393.75</v>
      </c>
      <c r="C1167">
        <v>20.584240000000001</v>
      </c>
      <c r="D1167">
        <v>40</v>
      </c>
      <c r="E1167">
        <v>0</v>
      </c>
      <c r="F1167">
        <v>0</v>
      </c>
      <c r="G1167">
        <v>34</v>
      </c>
      <c r="H1167" s="4">
        <v>1570524756550</v>
      </c>
      <c r="I1167">
        <v>526.6875</v>
      </c>
      <c r="J1167" s="9">
        <f t="shared" si="18"/>
        <v>43746.661534143517</v>
      </c>
      <c r="K1167" s="1"/>
    </row>
    <row r="1168" spans="1:11" x14ac:dyDescent="0.25">
      <c r="A1168" t="e">
        <f>-LqeZWhjxohd5MqGqXmc</f>
        <v>#NAME?</v>
      </c>
      <c r="B1168">
        <v>393.75</v>
      </c>
      <c r="C1168">
        <v>20.584240000000001</v>
      </c>
      <c r="D1168">
        <v>39</v>
      </c>
      <c r="E1168">
        <v>0</v>
      </c>
      <c r="F1168">
        <v>0</v>
      </c>
      <c r="G1168">
        <v>34</v>
      </c>
      <c r="H1168" s="4">
        <v>1570524763751</v>
      </c>
      <c r="I1168">
        <v>526.6875</v>
      </c>
      <c r="J1168" s="9">
        <f t="shared" si="18"/>
        <v>43746.661617488418</v>
      </c>
      <c r="K1168" s="1"/>
    </row>
    <row r="1169" spans="1:11" x14ac:dyDescent="0.25">
      <c r="A1169" t="s">
        <v>65</v>
      </c>
      <c r="B1169">
        <v>393.75</v>
      </c>
      <c r="C1169">
        <v>20.531590000000001</v>
      </c>
      <c r="D1169">
        <v>39</v>
      </c>
      <c r="E1169">
        <v>0</v>
      </c>
      <c r="F1169">
        <v>0</v>
      </c>
      <c r="G1169">
        <v>38</v>
      </c>
      <c r="H1169" s="4">
        <v>1570524770941</v>
      </c>
      <c r="I1169">
        <v>526.6875</v>
      </c>
      <c r="J1169" s="9">
        <f t="shared" si="18"/>
        <v>43746.661700706019</v>
      </c>
      <c r="K1169" s="1"/>
    </row>
    <row r="1170" spans="1:11" x14ac:dyDescent="0.25">
      <c r="A1170" t="e">
        <f>-LqeZ_Eyz1MUaH5DYFQe</f>
        <v>#NAME?</v>
      </c>
      <c r="B1170">
        <v>393.75</v>
      </c>
      <c r="C1170">
        <v>20.584240000000001</v>
      </c>
      <c r="D1170">
        <v>39</v>
      </c>
      <c r="E1170">
        <v>0</v>
      </c>
      <c r="F1170">
        <v>0</v>
      </c>
      <c r="G1170">
        <v>43</v>
      </c>
      <c r="H1170" s="4">
        <v>1570524778170</v>
      </c>
      <c r="I1170">
        <v>526.6875</v>
      </c>
      <c r="J1170" s="9">
        <f t="shared" si="18"/>
        <v>43746.661784374999</v>
      </c>
      <c r="K1170" s="1"/>
    </row>
    <row r="1171" spans="1:11" x14ac:dyDescent="0.25">
      <c r="A1171" t="e">
        <f>-LqeZawjXJBh7GPpRhzT</f>
        <v>#NAME?</v>
      </c>
      <c r="B1171">
        <v>393.75</v>
      </c>
      <c r="C1171">
        <v>20.531590000000001</v>
      </c>
      <c r="D1171">
        <v>38</v>
      </c>
      <c r="E1171">
        <v>0</v>
      </c>
      <c r="F1171">
        <v>0</v>
      </c>
      <c r="G1171">
        <v>39</v>
      </c>
      <c r="H1171" s="4">
        <v>1570524785362</v>
      </c>
      <c r="I1171">
        <v>526.6875</v>
      </c>
      <c r="J1171" s="9">
        <f t="shared" si="18"/>
        <v>43746.661867615738</v>
      </c>
      <c r="K1171" s="1"/>
    </row>
    <row r="1172" spans="1:11" x14ac:dyDescent="0.25">
      <c r="A1172" t="e">
        <f>-LqeZcVihqp3nqI0M_OU</f>
        <v>#NAME?</v>
      </c>
      <c r="B1172">
        <v>393.75</v>
      </c>
      <c r="C1172">
        <v>20.531590000000001</v>
      </c>
      <c r="D1172">
        <v>38</v>
      </c>
      <c r="E1172">
        <v>0</v>
      </c>
      <c r="F1172">
        <v>0</v>
      </c>
      <c r="G1172">
        <v>36</v>
      </c>
      <c r="H1172" s="4">
        <v>1570524791541</v>
      </c>
      <c r="I1172">
        <v>526.5</v>
      </c>
      <c r="J1172" s="9">
        <f t="shared" si="18"/>
        <v>43746.661939131947</v>
      </c>
      <c r="K1172" s="1"/>
    </row>
    <row r="1173" spans="1:11" x14ac:dyDescent="0.25">
      <c r="A1173" t="e">
        <f>-LqeZeEytsKB50rTCu-b</f>
        <v>#NAME?</v>
      </c>
      <c r="B1173">
        <v>393.75</v>
      </c>
      <c r="C1173">
        <v>20.584240000000001</v>
      </c>
      <c r="D1173">
        <v>38</v>
      </c>
      <c r="E1173">
        <v>0</v>
      </c>
      <c r="F1173">
        <v>0</v>
      </c>
      <c r="G1173">
        <v>32</v>
      </c>
      <c r="H1173" s="4">
        <v>1570524798790</v>
      </c>
      <c r="I1173">
        <v>526.6875</v>
      </c>
      <c r="J1173" s="9">
        <f t="shared" si="18"/>
        <v>43746.662023032404</v>
      </c>
      <c r="K1173" s="1"/>
    </row>
    <row r="1174" spans="1:11" x14ac:dyDescent="0.25">
      <c r="A1174" t="e">
        <f>-LqeZg1zj5QEIGSHcGFE</f>
        <v>#NAME?</v>
      </c>
      <c r="B1174">
        <v>393.75</v>
      </c>
      <c r="C1174">
        <v>20.584240000000001</v>
      </c>
      <c r="D1174">
        <v>38</v>
      </c>
      <c r="E1174">
        <v>0</v>
      </c>
      <c r="F1174">
        <v>0</v>
      </c>
      <c r="G1174">
        <v>35</v>
      </c>
      <c r="H1174" s="4">
        <v>1570524805991</v>
      </c>
      <c r="I1174">
        <v>526.6875</v>
      </c>
      <c r="J1174" s="9">
        <f t="shared" si="18"/>
        <v>43746.662106377313</v>
      </c>
      <c r="K1174" s="1"/>
    </row>
    <row r="1175" spans="1:11" x14ac:dyDescent="0.25">
      <c r="A1175" t="e">
        <f>-LqeZi2swUwSeeQa2p6G</f>
        <v>#NAME?</v>
      </c>
      <c r="B1175">
        <v>393.75</v>
      </c>
      <c r="C1175">
        <v>20.478950000000001</v>
      </c>
      <c r="D1175">
        <v>40</v>
      </c>
      <c r="E1175">
        <v>0</v>
      </c>
      <c r="F1175">
        <v>0</v>
      </c>
      <c r="G1175">
        <v>45</v>
      </c>
      <c r="H1175" s="4">
        <v>1570524813181</v>
      </c>
      <c r="I1175">
        <v>526.6875</v>
      </c>
      <c r="J1175" s="9">
        <f t="shared" si="18"/>
        <v>43746.662189594907</v>
      </c>
      <c r="K1175" s="1"/>
    </row>
    <row r="1176" spans="1:11" x14ac:dyDescent="0.25">
      <c r="A1176" t="e">
        <f>-LqeZjltgyXYznguYrSh</f>
        <v>#NAME?</v>
      </c>
      <c r="B1176">
        <v>393.75</v>
      </c>
      <c r="C1176">
        <v>20.531590000000001</v>
      </c>
      <c r="D1176">
        <v>39</v>
      </c>
      <c r="E1176">
        <v>0</v>
      </c>
      <c r="F1176">
        <v>0</v>
      </c>
      <c r="G1176">
        <v>37</v>
      </c>
      <c r="H1176" s="4">
        <v>1570524821440</v>
      </c>
      <c r="I1176">
        <v>526.5</v>
      </c>
      <c r="J1176" s="9">
        <f t="shared" si="18"/>
        <v>43746.662285185179</v>
      </c>
      <c r="K1176" s="1"/>
    </row>
    <row r="1177" spans="1:11" x14ac:dyDescent="0.25">
      <c r="A1177" t="e">
        <f>-LqeZlZisFXncsiSYt4u</f>
        <v>#NAME?</v>
      </c>
      <c r="B1177">
        <v>393.75</v>
      </c>
      <c r="C1177">
        <v>20.531590000000001</v>
      </c>
      <c r="D1177">
        <v>39</v>
      </c>
      <c r="E1177">
        <v>0</v>
      </c>
      <c r="F1177">
        <v>0</v>
      </c>
      <c r="G1177">
        <v>32</v>
      </c>
      <c r="H1177" s="4">
        <v>1570524828661</v>
      </c>
      <c r="I1177">
        <v>526.6875</v>
      </c>
      <c r="J1177" s="9">
        <f t="shared" si="18"/>
        <v>43746.662368761572</v>
      </c>
      <c r="K1177" s="1"/>
    </row>
    <row r="1178" spans="1:11" x14ac:dyDescent="0.25">
      <c r="A1178" t="e">
        <f>-LqeZnHlhCuQxnvYEGdA</f>
        <v>#NAME?</v>
      </c>
      <c r="B1178">
        <v>393.75</v>
      </c>
      <c r="C1178">
        <v>20.584240000000001</v>
      </c>
      <c r="D1178">
        <v>38</v>
      </c>
      <c r="E1178">
        <v>0</v>
      </c>
      <c r="F1178">
        <v>0</v>
      </c>
      <c r="G1178">
        <v>38</v>
      </c>
      <c r="H1178" s="4">
        <v>1570524835871</v>
      </c>
      <c r="I1178">
        <v>526.6875</v>
      </c>
      <c r="J1178" s="9">
        <f t="shared" si="18"/>
        <v>43746.66245221065</v>
      </c>
      <c r="K1178" s="1"/>
    </row>
    <row r="1179" spans="1:11" x14ac:dyDescent="0.25">
      <c r="A1179" t="e">
        <f>-LqeZp4s0bhy0ekW4F0B</f>
        <v>#NAME?</v>
      </c>
      <c r="B1179">
        <v>393.75</v>
      </c>
      <c r="C1179">
        <v>20.531590000000001</v>
      </c>
      <c r="D1179">
        <v>37</v>
      </c>
      <c r="E1179">
        <v>0</v>
      </c>
      <c r="F1179">
        <v>0</v>
      </c>
      <c r="G1179">
        <v>45</v>
      </c>
      <c r="H1179" s="4">
        <v>1570524843081</v>
      </c>
      <c r="I1179">
        <v>526.6875</v>
      </c>
      <c r="J1179" s="9">
        <f t="shared" si="18"/>
        <v>43746.662535659721</v>
      </c>
      <c r="K1179" s="1"/>
    </row>
    <row r="1180" spans="1:11" x14ac:dyDescent="0.25">
      <c r="A1180" t="e">
        <f>-LqeZqnbb3uhdS1pkRT9</f>
        <v>#NAME?</v>
      </c>
      <c r="B1180">
        <v>393.75</v>
      </c>
      <c r="C1180">
        <v>20.531590000000001</v>
      </c>
      <c r="D1180">
        <v>37</v>
      </c>
      <c r="E1180">
        <v>0</v>
      </c>
      <c r="F1180">
        <v>0</v>
      </c>
      <c r="G1180">
        <v>36</v>
      </c>
      <c r="H1180" s="4">
        <v>1570524850301</v>
      </c>
      <c r="I1180">
        <v>526.6875</v>
      </c>
      <c r="J1180" s="9">
        <f t="shared" si="18"/>
        <v>43746.662619224539</v>
      </c>
      <c r="K1180" s="1"/>
    </row>
    <row r="1181" spans="1:11" x14ac:dyDescent="0.25">
      <c r="A1181" t="e">
        <f>-LqeZsc--uP5FE79t8Ys</f>
        <v>#NAME?</v>
      </c>
      <c r="B1181">
        <v>393.75</v>
      </c>
      <c r="C1181">
        <v>20.584240000000001</v>
      </c>
      <c r="D1181">
        <v>38</v>
      </c>
      <c r="E1181">
        <v>0</v>
      </c>
      <c r="F1181">
        <v>0</v>
      </c>
      <c r="G1181">
        <v>37</v>
      </c>
      <c r="H1181" s="4">
        <v>1570524857503</v>
      </c>
      <c r="I1181">
        <v>526.6875</v>
      </c>
      <c r="J1181" s="9">
        <f t="shared" si="18"/>
        <v>43746.662702581016</v>
      </c>
      <c r="K1181" s="1"/>
    </row>
    <row r="1182" spans="1:11" x14ac:dyDescent="0.25">
      <c r="A1182" t="e">
        <f>-LqeZuKywUnLQ7IjMfyE</f>
        <v>#NAME?</v>
      </c>
      <c r="B1182">
        <v>412.5</v>
      </c>
      <c r="C1182">
        <v>20.531590000000001</v>
      </c>
      <c r="D1182">
        <v>39</v>
      </c>
      <c r="E1182">
        <v>0</v>
      </c>
      <c r="F1182">
        <v>0</v>
      </c>
      <c r="G1182">
        <v>30</v>
      </c>
      <c r="H1182" s="4">
        <v>1570524864708</v>
      </c>
      <c r="I1182">
        <v>532.125</v>
      </c>
      <c r="J1182" s="9">
        <f t="shared" si="18"/>
        <v>43746.662785972221</v>
      </c>
      <c r="K1182" s="1"/>
    </row>
    <row r="1183" spans="1:11" x14ac:dyDescent="0.25">
      <c r="A1183" t="e">
        <f>-LqeZw8-StfO11Rlyr4T</f>
        <v>#NAME?</v>
      </c>
      <c r="B1183">
        <v>393.75</v>
      </c>
      <c r="C1183">
        <v>20.531590000000001</v>
      </c>
      <c r="D1183">
        <v>40</v>
      </c>
      <c r="E1183">
        <v>0</v>
      </c>
      <c r="F1183">
        <v>0</v>
      </c>
      <c r="G1183">
        <v>41</v>
      </c>
      <c r="H1183" s="4">
        <v>1570524871920</v>
      </c>
      <c r="I1183">
        <v>526.6875</v>
      </c>
      <c r="J1183" s="9">
        <f t="shared" si="18"/>
        <v>43746.662869444444</v>
      </c>
      <c r="K1183" s="1"/>
    </row>
    <row r="1184" spans="1:11" x14ac:dyDescent="0.25">
      <c r="A1184" t="e">
        <f>-LqeZxqzu94E0rDNDYOu</f>
        <v>#NAME?</v>
      </c>
      <c r="B1184">
        <v>393.75</v>
      </c>
      <c r="C1184">
        <v>20.584240000000001</v>
      </c>
      <c r="D1184">
        <v>39</v>
      </c>
      <c r="E1184">
        <v>0</v>
      </c>
      <c r="F1184">
        <v>0</v>
      </c>
      <c r="G1184">
        <v>32</v>
      </c>
      <c r="H1184" s="4">
        <v>1570524879111</v>
      </c>
      <c r="I1184">
        <v>526.6875</v>
      </c>
      <c r="J1184" s="9">
        <f t="shared" si="18"/>
        <v>43746.662952673607</v>
      </c>
      <c r="K1184" s="1"/>
    </row>
    <row r="1185" spans="1:11" x14ac:dyDescent="0.25">
      <c r="A1185" t="e">
        <f>-LqeZzp4ywB9-EYSlFly</f>
        <v>#NAME?</v>
      </c>
      <c r="B1185">
        <v>393.75</v>
      </c>
      <c r="C1185">
        <v>20.531590000000001</v>
      </c>
      <c r="D1185">
        <v>39</v>
      </c>
      <c r="E1185">
        <v>0</v>
      </c>
      <c r="F1185">
        <v>0</v>
      </c>
      <c r="G1185">
        <v>34</v>
      </c>
      <c r="H1185" s="4">
        <v>1570524885301</v>
      </c>
      <c r="I1185">
        <v>526.6875</v>
      </c>
      <c r="J1185" s="9">
        <f t="shared" si="18"/>
        <v>43746.663024317131</v>
      </c>
      <c r="K1185" s="1"/>
    </row>
    <row r="1186" spans="1:11" x14ac:dyDescent="0.25">
      <c r="A1186" t="e">
        <f>-Lqe_0N-sJz98puxQe8G</f>
        <v>#NAME?</v>
      </c>
      <c r="B1186">
        <v>393.75</v>
      </c>
      <c r="C1186">
        <v>20.584240000000001</v>
      </c>
      <c r="D1186">
        <v>38</v>
      </c>
      <c r="E1186">
        <v>0</v>
      </c>
      <c r="F1186">
        <v>0</v>
      </c>
      <c r="G1186">
        <v>31</v>
      </c>
      <c r="H1186" s="4">
        <v>1570524893584</v>
      </c>
      <c r="I1186">
        <v>526.6875</v>
      </c>
      <c r="J1186" s="9">
        <f t="shared" si="18"/>
        <v>43746.663120185178</v>
      </c>
      <c r="K1186" s="1"/>
    </row>
    <row r="1187" spans="1:11" x14ac:dyDescent="0.25">
      <c r="A1187" t="e">
        <f>-Lqe_1ujq9uphDK_SiLY</f>
        <v>#NAME?</v>
      </c>
      <c r="B1187">
        <v>393.75</v>
      </c>
      <c r="C1187">
        <v>20.531590000000001</v>
      </c>
      <c r="D1187">
        <v>39</v>
      </c>
      <c r="E1187">
        <v>0</v>
      </c>
      <c r="F1187">
        <v>0</v>
      </c>
      <c r="G1187">
        <v>38</v>
      </c>
      <c r="H1187" s="4">
        <v>1570524899740</v>
      </c>
      <c r="I1187">
        <v>526.6875</v>
      </c>
      <c r="J1187" s="9">
        <f t="shared" si="18"/>
        <v>43746.663191435182</v>
      </c>
      <c r="K1187" s="1"/>
    </row>
    <row r="1188" spans="1:11" x14ac:dyDescent="0.25">
      <c r="A1188" t="e">
        <f>-Lqe_3do4-cUGubMXI4u</f>
        <v>#NAME?</v>
      </c>
      <c r="B1188">
        <v>393.75</v>
      </c>
      <c r="C1188">
        <v>20.531590000000001</v>
      </c>
      <c r="D1188">
        <v>39</v>
      </c>
      <c r="E1188">
        <v>0</v>
      </c>
      <c r="F1188">
        <v>0</v>
      </c>
      <c r="G1188">
        <v>40</v>
      </c>
      <c r="H1188" s="4">
        <v>1570524906940</v>
      </c>
      <c r="I1188">
        <v>526.6875</v>
      </c>
      <c r="J1188" s="9">
        <f t="shared" si="18"/>
        <v>43746.663274768514</v>
      </c>
      <c r="K1188" s="1"/>
    </row>
    <row r="1189" spans="1:11" x14ac:dyDescent="0.25">
      <c r="A1189" t="e">
        <f>-Lqe_5tkF_0qxDM0vgM4</f>
        <v>#NAME?</v>
      </c>
      <c r="B1189">
        <v>393.75</v>
      </c>
      <c r="C1189">
        <v>20.584240000000001</v>
      </c>
      <c r="D1189">
        <v>39</v>
      </c>
      <c r="E1189">
        <v>0</v>
      </c>
      <c r="F1189">
        <v>0</v>
      </c>
      <c r="G1189">
        <v>33</v>
      </c>
      <c r="H1189" s="4">
        <v>1570524916294</v>
      </c>
      <c r="I1189">
        <v>526.6875</v>
      </c>
      <c r="J1189" s="9">
        <f t="shared" si="18"/>
        <v>43746.663383032406</v>
      </c>
      <c r="K1189" s="1"/>
    </row>
    <row r="1190" spans="1:11" x14ac:dyDescent="0.25">
      <c r="A1190" t="e">
        <f>-Lqe_7gs26zVzDf9XWch</f>
        <v>#NAME?</v>
      </c>
      <c r="B1190">
        <v>393.75</v>
      </c>
      <c r="C1190">
        <v>20.584240000000001</v>
      </c>
      <c r="D1190">
        <v>39</v>
      </c>
      <c r="E1190">
        <v>0</v>
      </c>
      <c r="F1190">
        <v>0</v>
      </c>
      <c r="G1190">
        <v>40</v>
      </c>
      <c r="H1190" s="4">
        <v>1570524923442</v>
      </c>
      <c r="I1190">
        <v>526.6875</v>
      </c>
      <c r="J1190" s="9">
        <f t="shared" si="18"/>
        <v>43746.663465763886</v>
      </c>
      <c r="K1190" s="1"/>
    </row>
    <row r="1191" spans="1:11" x14ac:dyDescent="0.25">
      <c r="A1191" t="e">
        <f>-Lqe_9PifuZdTiT5JC30</f>
        <v>#NAME?</v>
      </c>
      <c r="B1191">
        <v>393.75</v>
      </c>
      <c r="C1191">
        <v>20.531590000000001</v>
      </c>
      <c r="D1191">
        <v>38</v>
      </c>
      <c r="E1191">
        <v>0</v>
      </c>
      <c r="F1191">
        <v>0</v>
      </c>
      <c r="G1191">
        <v>44</v>
      </c>
      <c r="H1191" s="4">
        <v>1570524930630</v>
      </c>
      <c r="I1191">
        <v>526.6875</v>
      </c>
      <c r="J1191" s="9">
        <f t="shared" si="18"/>
        <v>43746.663548958335</v>
      </c>
      <c r="K1191" s="1"/>
    </row>
    <row r="1192" spans="1:11" x14ac:dyDescent="0.25">
      <c r="A1192" t="e">
        <f>-Lqe_AytBoYXJqe_iOEX</f>
        <v>#NAME?</v>
      </c>
      <c r="B1192">
        <v>393.75</v>
      </c>
      <c r="C1192">
        <v>20.584240000000001</v>
      </c>
      <c r="D1192">
        <v>38</v>
      </c>
      <c r="E1192">
        <v>0</v>
      </c>
      <c r="F1192">
        <v>0</v>
      </c>
      <c r="G1192">
        <v>45</v>
      </c>
      <c r="H1192" s="4">
        <v>1570524936821</v>
      </c>
      <c r="I1192">
        <v>526.6875</v>
      </c>
      <c r="J1192" s="9">
        <f t="shared" si="18"/>
        <v>43746.663620613421</v>
      </c>
      <c r="K1192" s="1"/>
    </row>
    <row r="1193" spans="1:11" x14ac:dyDescent="0.25">
      <c r="A1193" t="e">
        <f>-Lqe_D0jJJBkQG4GEPcZ</f>
        <v>#NAME?</v>
      </c>
      <c r="B1193">
        <v>393.75</v>
      </c>
      <c r="C1193">
        <v>20.531590000000001</v>
      </c>
      <c r="D1193">
        <v>37</v>
      </c>
      <c r="E1193">
        <v>0</v>
      </c>
      <c r="F1193">
        <v>0</v>
      </c>
      <c r="G1193">
        <v>37</v>
      </c>
      <c r="H1193" s="4">
        <v>1570524944040</v>
      </c>
      <c r="I1193">
        <v>526.6875</v>
      </c>
      <c r="J1193" s="9">
        <f t="shared" si="18"/>
        <v>43746.663704166662</v>
      </c>
      <c r="K1193" s="1"/>
    </row>
    <row r="1194" spans="1:11" x14ac:dyDescent="0.25">
      <c r="A1194" t="e">
        <f>-Lqe_Ek2b5vVyHEeO_Bg</f>
        <v>#NAME?</v>
      </c>
      <c r="B1194">
        <v>393.75</v>
      </c>
      <c r="C1194">
        <v>20.584240000000001</v>
      </c>
      <c r="D1194">
        <v>37</v>
      </c>
      <c r="E1194">
        <v>0</v>
      </c>
      <c r="F1194">
        <v>0</v>
      </c>
      <c r="G1194">
        <v>37</v>
      </c>
      <c r="H1194" s="4">
        <v>1570524952293</v>
      </c>
      <c r="I1194">
        <v>526.6875</v>
      </c>
      <c r="J1194" s="9">
        <f t="shared" si="18"/>
        <v>43746.6637996875</v>
      </c>
      <c r="K1194" s="1"/>
    </row>
    <row r="1195" spans="1:11" x14ac:dyDescent="0.25">
      <c r="A1195" t="e">
        <f>-Lqe_GRc8Lja7zAgCCvX</f>
        <v>#NAME?</v>
      </c>
      <c r="B1195">
        <v>393.75</v>
      </c>
      <c r="C1195">
        <v>20.531590000000001</v>
      </c>
      <c r="D1195">
        <v>38</v>
      </c>
      <c r="E1195">
        <v>0</v>
      </c>
      <c r="F1195">
        <v>0</v>
      </c>
      <c r="G1195">
        <v>40</v>
      </c>
      <c r="H1195" s="4">
        <v>1570524959511</v>
      </c>
      <c r="I1195">
        <v>526.6875</v>
      </c>
      <c r="J1195" s="9">
        <f t="shared" si="18"/>
        <v>43746.663883229165</v>
      </c>
      <c r="K1195" s="1"/>
    </row>
    <row r="1196" spans="1:11" x14ac:dyDescent="0.25">
      <c r="A1196" t="e">
        <f>-Lqe_IEkHXn9GTXMKOa2</f>
        <v>#NAME?</v>
      </c>
      <c r="B1196">
        <v>393.75</v>
      </c>
      <c r="C1196">
        <v>20.531590000000001</v>
      </c>
      <c r="D1196">
        <v>37</v>
      </c>
      <c r="E1196">
        <v>0</v>
      </c>
      <c r="F1196">
        <v>0</v>
      </c>
      <c r="G1196">
        <v>40</v>
      </c>
      <c r="H1196" s="4">
        <v>1570524966712</v>
      </c>
      <c r="I1196">
        <v>526.6875</v>
      </c>
      <c r="J1196" s="9">
        <f t="shared" si="18"/>
        <v>43746.663966574073</v>
      </c>
      <c r="K1196" s="1"/>
    </row>
    <row r="1197" spans="1:11" x14ac:dyDescent="0.25">
      <c r="A1197" t="e">
        <f>-Lqe_K30GunV85QIrGZz</f>
        <v>#NAME?</v>
      </c>
      <c r="B1197">
        <v>393.75</v>
      </c>
      <c r="C1197">
        <v>20.531590000000001</v>
      </c>
      <c r="D1197">
        <v>36</v>
      </c>
      <c r="E1197">
        <v>0</v>
      </c>
      <c r="F1197">
        <v>0</v>
      </c>
      <c r="G1197">
        <v>52</v>
      </c>
      <c r="H1197" s="4">
        <v>1570524973922</v>
      </c>
      <c r="I1197">
        <v>526.5</v>
      </c>
      <c r="J1197" s="9">
        <f t="shared" si="18"/>
        <v>43746.664050023144</v>
      </c>
      <c r="K1197" s="1"/>
    </row>
    <row r="1198" spans="1:11" x14ac:dyDescent="0.25">
      <c r="A1198" t="e">
        <f>-Lqe_LkfMmW2iZuDfB1J</f>
        <v>#NAME?</v>
      </c>
      <c r="B1198">
        <v>393.75</v>
      </c>
      <c r="C1198">
        <v>20.584240000000001</v>
      </c>
      <c r="D1198">
        <v>36</v>
      </c>
      <c r="E1198">
        <v>0</v>
      </c>
      <c r="F1198">
        <v>0</v>
      </c>
      <c r="G1198">
        <v>49</v>
      </c>
      <c r="H1198" s="4">
        <v>1570524981132</v>
      </c>
      <c r="I1198">
        <v>526.6875</v>
      </c>
      <c r="J1198" s="9">
        <f t="shared" si="18"/>
        <v>43746.664133472215</v>
      </c>
      <c r="K1198" s="1"/>
    </row>
    <row r="1199" spans="1:11" x14ac:dyDescent="0.25">
      <c r="A1199" t="e">
        <f>-Lqe_NEkfApFHUKJzbo3</f>
        <v>#NAME?</v>
      </c>
      <c r="B1199">
        <v>393.75</v>
      </c>
      <c r="C1199">
        <v>20.531590000000001</v>
      </c>
      <c r="D1199">
        <v>37</v>
      </c>
      <c r="E1199">
        <v>0</v>
      </c>
      <c r="F1199">
        <v>0</v>
      </c>
      <c r="G1199">
        <v>47</v>
      </c>
      <c r="H1199" s="4">
        <v>1570524987332</v>
      </c>
      <c r="I1199">
        <v>526.6875</v>
      </c>
      <c r="J1199" s="9">
        <f t="shared" si="18"/>
        <v>43746.664205231478</v>
      </c>
      <c r="K1199" s="1"/>
    </row>
    <row r="1200" spans="1:11" x14ac:dyDescent="0.25">
      <c r="A1200" t="e">
        <f>-Lqe_Oq6T6v3KfgFmJVt</f>
        <v>#NAME?</v>
      </c>
      <c r="B1200">
        <v>393.75</v>
      </c>
      <c r="C1200">
        <v>20.584240000000001</v>
      </c>
      <c r="D1200">
        <v>37</v>
      </c>
      <c r="E1200">
        <v>0</v>
      </c>
      <c r="F1200">
        <v>0</v>
      </c>
      <c r="G1200">
        <v>46</v>
      </c>
      <c r="H1200" s="4">
        <v>1570524993502</v>
      </c>
      <c r="I1200">
        <v>526.6875</v>
      </c>
      <c r="J1200" s="9">
        <f t="shared" si="18"/>
        <v>43746.664276643518</v>
      </c>
      <c r="K1200" s="1"/>
    </row>
    <row r="1201" spans="1:11" x14ac:dyDescent="0.25">
      <c r="A1201" t="e">
        <f>-Lqe_QY1-TAEWMl_eFYj</f>
        <v>#NAME?</v>
      </c>
      <c r="B1201">
        <v>393.75</v>
      </c>
      <c r="C1201">
        <v>20.584240000000001</v>
      </c>
      <c r="D1201">
        <v>37</v>
      </c>
      <c r="E1201">
        <v>0</v>
      </c>
      <c r="F1201">
        <v>0</v>
      </c>
      <c r="G1201">
        <v>43</v>
      </c>
      <c r="H1201" s="4">
        <v>1570525000712</v>
      </c>
      <c r="I1201">
        <v>526.6875</v>
      </c>
      <c r="J1201" s="9">
        <f t="shared" si="18"/>
        <v>43746.664360092589</v>
      </c>
      <c r="K1201" s="1"/>
    </row>
    <row r="1202" spans="1:11" x14ac:dyDescent="0.25">
      <c r="A1202" t="e">
        <f>-Lqe_SJkvvE0IbBarglJ</f>
        <v>#NAME?</v>
      </c>
      <c r="B1202">
        <v>393.75</v>
      </c>
      <c r="C1202">
        <v>20.584240000000001</v>
      </c>
      <c r="D1202">
        <v>37</v>
      </c>
      <c r="E1202">
        <v>0</v>
      </c>
      <c r="F1202">
        <v>0</v>
      </c>
      <c r="G1202">
        <v>38</v>
      </c>
      <c r="H1202" s="4">
        <v>1570525007922</v>
      </c>
      <c r="I1202">
        <v>526.5</v>
      </c>
      <c r="J1202" s="9">
        <f t="shared" si="18"/>
        <v>43746.66444354166</v>
      </c>
      <c r="K1202" s="1"/>
    </row>
    <row r="1203" spans="1:11" x14ac:dyDescent="0.25">
      <c r="A1203" t="e">
        <f>-Lqe_U1ms5SmEQDxrd1N</f>
        <v>#NAME?</v>
      </c>
      <c r="B1203">
        <v>393.75</v>
      </c>
      <c r="C1203">
        <v>20.584240000000001</v>
      </c>
      <c r="D1203">
        <v>38</v>
      </c>
      <c r="E1203">
        <v>0</v>
      </c>
      <c r="F1203">
        <v>0</v>
      </c>
      <c r="G1203">
        <v>46</v>
      </c>
      <c r="H1203" s="4">
        <v>1570525015114</v>
      </c>
      <c r="I1203">
        <v>526.6875</v>
      </c>
      <c r="J1203" s="9">
        <f t="shared" si="18"/>
        <v>43746.664526782406</v>
      </c>
      <c r="K1203" s="1"/>
    </row>
    <row r="1204" spans="1:11" x14ac:dyDescent="0.25">
      <c r="A1204" t="e">
        <f>-Lqe_ValMcc_H7Zs7fgd</f>
        <v>#NAME?</v>
      </c>
      <c r="B1204">
        <v>393.75</v>
      </c>
      <c r="C1204">
        <v>20.584240000000001</v>
      </c>
      <c r="D1204">
        <v>38</v>
      </c>
      <c r="E1204">
        <v>0</v>
      </c>
      <c r="F1204">
        <v>0</v>
      </c>
      <c r="G1204">
        <v>45</v>
      </c>
      <c r="H1204" s="4">
        <v>1570525021302</v>
      </c>
      <c r="I1204">
        <v>526.6875</v>
      </c>
      <c r="J1204" s="9">
        <f t="shared" si="18"/>
        <v>43746.664598402778</v>
      </c>
      <c r="K1204" s="1"/>
    </row>
    <row r="1205" spans="1:11" x14ac:dyDescent="0.25">
      <c r="A1205" t="e">
        <f>-Lqe_XJms0iWzxG4hqQd</f>
        <v>#NAME?</v>
      </c>
      <c r="B1205">
        <v>393.75</v>
      </c>
      <c r="C1205">
        <v>20.584240000000001</v>
      </c>
      <c r="D1205">
        <v>38</v>
      </c>
      <c r="E1205">
        <v>0</v>
      </c>
      <c r="F1205">
        <v>0</v>
      </c>
      <c r="G1205">
        <v>38</v>
      </c>
      <c r="H1205" s="4">
        <v>1570525028553</v>
      </c>
      <c r="I1205">
        <v>526.6875</v>
      </c>
      <c r="J1205" s="9">
        <f t="shared" si="18"/>
        <v>43746.664682326387</v>
      </c>
      <c r="K1205" s="1"/>
    </row>
    <row r="1206" spans="1:11" x14ac:dyDescent="0.25">
      <c r="A1206" t="e">
        <f>-Lqe_Z80ZuE49sh3fI6d</f>
        <v>#NAME?</v>
      </c>
      <c r="B1206">
        <v>412.5</v>
      </c>
      <c r="C1206">
        <v>20.531590000000001</v>
      </c>
      <c r="D1206">
        <v>38</v>
      </c>
      <c r="E1206">
        <v>0</v>
      </c>
      <c r="F1206">
        <v>0</v>
      </c>
      <c r="G1206">
        <v>35</v>
      </c>
      <c r="H1206" s="4">
        <v>1570525035743</v>
      </c>
      <c r="I1206">
        <v>532.125</v>
      </c>
      <c r="J1206" s="9">
        <f t="shared" si="18"/>
        <v>43746.664765543981</v>
      </c>
      <c r="K1206" s="1"/>
    </row>
    <row r="1207" spans="1:11" x14ac:dyDescent="0.25">
      <c r="A1207" t="e">
        <f>-Lqe__r0spmfcXhP8vPT</f>
        <v>#NAME?</v>
      </c>
      <c r="B1207">
        <v>393.75</v>
      </c>
      <c r="C1207">
        <v>20.531590000000001</v>
      </c>
      <c r="D1207">
        <v>37</v>
      </c>
      <c r="E1207">
        <v>0</v>
      </c>
      <c r="F1207">
        <v>0</v>
      </c>
      <c r="G1207">
        <v>46</v>
      </c>
      <c r="H1207" s="4">
        <v>1570525042953</v>
      </c>
      <c r="I1207">
        <v>526.6875</v>
      </c>
      <c r="J1207" s="9">
        <f t="shared" si="18"/>
        <v>43746.664848993052</v>
      </c>
      <c r="K1207" s="1"/>
    </row>
    <row r="1208" spans="1:11" x14ac:dyDescent="0.25">
      <c r="A1208" t="e">
        <f>-Lqe_beAu2G2Kl07OzKa</f>
        <v>#NAME?</v>
      </c>
      <c r="B1208">
        <v>393.75</v>
      </c>
      <c r="C1208">
        <v>20.531590000000001</v>
      </c>
      <c r="D1208">
        <v>37</v>
      </c>
      <c r="E1208">
        <v>0</v>
      </c>
      <c r="F1208">
        <v>0</v>
      </c>
      <c r="G1208">
        <v>38</v>
      </c>
      <c r="H1208" s="4">
        <v>1570525050163</v>
      </c>
      <c r="I1208">
        <v>526.5</v>
      </c>
      <c r="J1208" s="9">
        <f t="shared" si="18"/>
        <v>43746.664932442123</v>
      </c>
      <c r="K1208" s="1"/>
    </row>
    <row r="1209" spans="1:11" x14ac:dyDescent="0.25">
      <c r="A1209" t="s">
        <v>66</v>
      </c>
      <c r="B1209">
        <v>393.75</v>
      </c>
      <c r="C1209">
        <v>20.584240000000001</v>
      </c>
      <c r="D1209">
        <v>36</v>
      </c>
      <c r="E1209">
        <v>0</v>
      </c>
      <c r="F1209">
        <v>0</v>
      </c>
      <c r="G1209">
        <v>43</v>
      </c>
      <c r="H1209" s="4">
        <v>1570525057353</v>
      </c>
      <c r="I1209">
        <v>526.6875</v>
      </c>
      <c r="J1209" s="9">
        <f t="shared" si="18"/>
        <v>43746.665015659724</v>
      </c>
      <c r="K1209" s="1"/>
    </row>
    <row r="1210" spans="1:11" x14ac:dyDescent="0.25">
      <c r="A1210" t="e">
        <f>-Lqe_ew-lU0BigLUWhZW</f>
        <v>#NAME?</v>
      </c>
      <c r="B1210">
        <v>393.75</v>
      </c>
      <c r="C1210">
        <v>20.531590000000001</v>
      </c>
      <c r="D1210">
        <v>36</v>
      </c>
      <c r="E1210">
        <v>0</v>
      </c>
      <c r="F1210">
        <v>0</v>
      </c>
      <c r="G1210">
        <v>46</v>
      </c>
      <c r="H1210" s="4">
        <v>1570525063554</v>
      </c>
      <c r="I1210">
        <v>526.6875</v>
      </c>
      <c r="J1210" s="9">
        <f t="shared" si="18"/>
        <v>43746.665087430556</v>
      </c>
      <c r="K1210" s="1"/>
    </row>
    <row r="1211" spans="1:11" x14ac:dyDescent="0.25">
      <c r="A1211" t="s">
        <v>67</v>
      </c>
      <c r="B1211">
        <v>412.5</v>
      </c>
      <c r="C1211">
        <v>20.531590000000001</v>
      </c>
      <c r="D1211">
        <v>36</v>
      </c>
      <c r="E1211">
        <v>0</v>
      </c>
      <c r="F1211">
        <v>0</v>
      </c>
      <c r="G1211">
        <v>38</v>
      </c>
      <c r="H1211" s="4">
        <v>1570525071245</v>
      </c>
      <c r="I1211">
        <v>532.3125</v>
      </c>
      <c r="J1211" s="9">
        <f t="shared" si="18"/>
        <v>43746.665176446761</v>
      </c>
      <c r="K1211" s="1"/>
    </row>
    <row r="1212" spans="1:11" x14ac:dyDescent="0.25">
      <c r="A1212" t="e">
        <f>-Lqe_iQkLt2FMJ8qwj4j</f>
        <v>#NAME?</v>
      </c>
      <c r="B1212">
        <v>393.75</v>
      </c>
      <c r="C1212">
        <v>20.531590000000001</v>
      </c>
      <c r="D1212">
        <v>37</v>
      </c>
      <c r="E1212">
        <v>0</v>
      </c>
      <c r="F1212">
        <v>0</v>
      </c>
      <c r="G1212">
        <v>42</v>
      </c>
      <c r="H1212" s="4">
        <v>1570525077983</v>
      </c>
      <c r="I1212">
        <v>526.6875</v>
      </c>
      <c r="J1212" s="9">
        <f t="shared" si="18"/>
        <v>43746.665254432868</v>
      </c>
      <c r="K1212" s="1"/>
    </row>
    <row r="1213" spans="1:11" x14ac:dyDescent="0.25">
      <c r="A1213" t="e">
        <f>-Lqe_k8vuQEjOEuEBmpu</f>
        <v>#NAME?</v>
      </c>
      <c r="B1213">
        <v>393.75</v>
      </c>
      <c r="C1213">
        <v>20.584240000000001</v>
      </c>
      <c r="D1213">
        <v>37</v>
      </c>
      <c r="E1213">
        <v>0</v>
      </c>
      <c r="F1213">
        <v>0</v>
      </c>
      <c r="G1213">
        <v>41</v>
      </c>
      <c r="H1213" s="4">
        <v>1570525085183</v>
      </c>
      <c r="I1213">
        <v>526.6875</v>
      </c>
      <c r="J1213" s="9">
        <f t="shared" si="18"/>
        <v>43746.665337766201</v>
      </c>
      <c r="K1213" s="1"/>
    </row>
    <row r="1214" spans="1:11" x14ac:dyDescent="0.25">
      <c r="A1214" t="e">
        <f>-Lqe_lwlqpZmkRlg5NeU</f>
        <v>#NAME?</v>
      </c>
      <c r="B1214">
        <v>393.75</v>
      </c>
      <c r="C1214">
        <v>20.584240000000001</v>
      </c>
      <c r="D1214">
        <v>38</v>
      </c>
      <c r="E1214">
        <v>0</v>
      </c>
      <c r="F1214">
        <v>0</v>
      </c>
      <c r="G1214">
        <v>41</v>
      </c>
      <c r="H1214" s="4">
        <v>1570525092412</v>
      </c>
      <c r="I1214">
        <v>526.6875</v>
      </c>
      <c r="J1214" s="9">
        <f t="shared" si="18"/>
        <v>43746.66542143518</v>
      </c>
      <c r="K1214" s="1"/>
    </row>
    <row r="1215" spans="1:11" x14ac:dyDescent="0.25">
      <c r="A1215" t="e">
        <f>-Lqe_nel5sw21mZeMTPE</f>
        <v>#NAME?</v>
      </c>
      <c r="B1215">
        <v>393.75</v>
      </c>
      <c r="C1215">
        <v>20.584240000000001</v>
      </c>
      <c r="D1215">
        <v>38</v>
      </c>
      <c r="E1215">
        <v>0</v>
      </c>
      <c r="F1215">
        <v>0</v>
      </c>
      <c r="G1215">
        <v>49</v>
      </c>
      <c r="H1215" s="4">
        <v>1570525099592</v>
      </c>
      <c r="I1215">
        <v>526.6875</v>
      </c>
      <c r="J1215" s="9">
        <f t="shared" si="18"/>
        <v>43746.665504537035</v>
      </c>
      <c r="K1215" s="1"/>
    </row>
    <row r="1216" spans="1:11" x14ac:dyDescent="0.25">
      <c r="A1216" t="e">
        <f>-Lqe_pDkeTSne84-fNpD</f>
        <v>#NAME?</v>
      </c>
      <c r="B1216">
        <v>393.75</v>
      </c>
      <c r="C1216">
        <v>20.584240000000001</v>
      </c>
      <c r="D1216">
        <v>38</v>
      </c>
      <c r="E1216">
        <v>0</v>
      </c>
      <c r="F1216">
        <v>0</v>
      </c>
      <c r="G1216">
        <v>42</v>
      </c>
      <c r="H1216" s="4">
        <v>1570525105774</v>
      </c>
      <c r="I1216">
        <v>526.5</v>
      </c>
      <c r="J1216" s="9">
        <f t="shared" si="18"/>
        <v>43746.665576087958</v>
      </c>
      <c r="K1216" s="1"/>
    </row>
    <row r="1217" spans="1:11" x14ac:dyDescent="0.25">
      <c r="A1217" t="e">
        <f>-Lqe_qy-bvrLalmhBzr3</f>
        <v>#NAME?</v>
      </c>
      <c r="B1217">
        <v>393.75</v>
      </c>
      <c r="C1217">
        <v>20.478950000000001</v>
      </c>
      <c r="D1217">
        <v>36</v>
      </c>
      <c r="E1217">
        <v>0</v>
      </c>
      <c r="F1217">
        <v>0</v>
      </c>
      <c r="G1217">
        <v>41</v>
      </c>
      <c r="H1217" s="4">
        <v>1570525113023</v>
      </c>
      <c r="I1217">
        <v>526.6875</v>
      </c>
      <c r="J1217" s="9">
        <f t="shared" si="18"/>
        <v>43746.665659988423</v>
      </c>
      <c r="K1217" s="1"/>
    </row>
    <row r="1218" spans="1:11" x14ac:dyDescent="0.25">
      <c r="A1218" t="e">
        <f>-Lqe_sl0rwy3FmCFIuAu</f>
        <v>#NAME?</v>
      </c>
      <c r="B1218">
        <v>393.75</v>
      </c>
      <c r="C1218">
        <v>20.531590000000001</v>
      </c>
      <c r="D1218">
        <v>35</v>
      </c>
      <c r="E1218">
        <v>0</v>
      </c>
      <c r="F1218">
        <v>0</v>
      </c>
      <c r="G1218">
        <v>47</v>
      </c>
      <c r="H1218" s="4">
        <v>1570525120222</v>
      </c>
      <c r="I1218">
        <v>526.6875</v>
      </c>
      <c r="J1218" s="9">
        <f t="shared" si="18"/>
        <v>43746.665743310186</v>
      </c>
      <c r="K1218" s="1"/>
    </row>
    <row r="1219" spans="1:11" x14ac:dyDescent="0.25">
      <c r="A1219" t="s">
        <v>68</v>
      </c>
      <c r="B1219">
        <v>393.75</v>
      </c>
      <c r="C1219">
        <v>20.531590000000001</v>
      </c>
      <c r="D1219">
        <v>37</v>
      </c>
      <c r="E1219">
        <v>0</v>
      </c>
      <c r="F1219">
        <v>0</v>
      </c>
      <c r="G1219">
        <v>34</v>
      </c>
      <c r="H1219" s="4">
        <v>1570525127441</v>
      </c>
      <c r="I1219">
        <v>526.6875</v>
      </c>
      <c r="J1219" s="9">
        <f t="shared" ref="J1219:J1282" si="19">(H1219/86400000)+25569+(7/24)</f>
        <v>43746.665826863427</v>
      </c>
      <c r="K1219" s="1"/>
    </row>
    <row r="1220" spans="1:11" x14ac:dyDescent="0.25">
      <c r="A1220" t="e">
        <f>-Lqe_x6uYXDW0EC6-u3g</f>
        <v>#NAME?</v>
      </c>
      <c r="B1220">
        <v>393.75</v>
      </c>
      <c r="C1220">
        <v>20.531590000000001</v>
      </c>
      <c r="D1220">
        <v>36</v>
      </c>
      <c r="E1220">
        <v>0</v>
      </c>
      <c r="F1220">
        <v>0</v>
      </c>
      <c r="G1220">
        <v>46</v>
      </c>
      <c r="H1220" s="4">
        <v>1570525138094</v>
      </c>
      <c r="I1220">
        <v>526.6875</v>
      </c>
      <c r="J1220" s="9">
        <f t="shared" si="19"/>
        <v>43746.665950162038</v>
      </c>
      <c r="K1220" s="1"/>
    </row>
    <row r="1221" spans="1:11" x14ac:dyDescent="0.25">
      <c r="A1221" t="e">
        <f>-Lqe_ykk01i0OdFMCq-P</f>
        <v>#NAME?</v>
      </c>
      <c r="B1221">
        <v>393.75</v>
      </c>
      <c r="C1221">
        <v>20.478950000000001</v>
      </c>
      <c r="D1221">
        <v>36</v>
      </c>
      <c r="E1221">
        <v>0</v>
      </c>
      <c r="F1221">
        <v>0</v>
      </c>
      <c r="G1221">
        <v>44</v>
      </c>
      <c r="H1221" s="4">
        <v>1570525144953</v>
      </c>
      <c r="I1221">
        <v>526.6875</v>
      </c>
      <c r="J1221" s="9">
        <f t="shared" si="19"/>
        <v>43746.666029548607</v>
      </c>
      <c r="K1221" s="1"/>
    </row>
    <row r="1222" spans="1:11" x14ac:dyDescent="0.25">
      <c r="A1222" t="e">
        <f>-LqeA-_-iCq9x86SNN2r</f>
        <v>#NAME?</v>
      </c>
      <c r="B1222">
        <v>393.75</v>
      </c>
      <c r="C1222">
        <v>20.584240000000001</v>
      </c>
      <c r="D1222">
        <v>36</v>
      </c>
      <c r="E1222">
        <v>0</v>
      </c>
      <c r="F1222">
        <v>0</v>
      </c>
      <c r="G1222">
        <v>46</v>
      </c>
      <c r="H1222" s="4">
        <v>1570525152162</v>
      </c>
      <c r="I1222">
        <v>526.6875</v>
      </c>
      <c r="J1222" s="9">
        <f t="shared" si="19"/>
        <v>43746.66611298611</v>
      </c>
      <c r="K1222" s="1"/>
    </row>
    <row r="1223" spans="1:11" x14ac:dyDescent="0.25">
      <c r="A1223" t="e">
        <f>-Lqea1rPLLV0mAKpYjbv</f>
        <v>#NAME?</v>
      </c>
      <c r="B1223">
        <v>393.75</v>
      </c>
      <c r="C1223">
        <v>20.531590000000001</v>
      </c>
      <c r="D1223">
        <v>38</v>
      </c>
      <c r="E1223">
        <v>0</v>
      </c>
      <c r="F1223">
        <v>0</v>
      </c>
      <c r="G1223">
        <v>45</v>
      </c>
      <c r="H1223" s="4">
        <v>1570525159373</v>
      </c>
      <c r="I1223">
        <v>526.6875</v>
      </c>
      <c r="J1223" s="9">
        <f t="shared" si="19"/>
        <v>43746.666196446757</v>
      </c>
      <c r="K1223" s="1"/>
    </row>
    <row r="1224" spans="1:11" x14ac:dyDescent="0.25">
      <c r="A1224" t="e">
        <f>-Lqea3Z133iSr0qcfDnC</f>
        <v>#NAME?</v>
      </c>
      <c r="B1224">
        <v>393.75</v>
      </c>
      <c r="C1224">
        <v>20.531590000000001</v>
      </c>
      <c r="D1224">
        <v>36</v>
      </c>
      <c r="E1224">
        <v>0</v>
      </c>
      <c r="F1224">
        <v>0</v>
      </c>
      <c r="G1224">
        <v>40</v>
      </c>
      <c r="H1224" s="4">
        <v>1570525168652</v>
      </c>
      <c r="I1224">
        <v>526.6875</v>
      </c>
      <c r="J1224" s="9">
        <f t="shared" si="19"/>
        <v>43746.66630384259</v>
      </c>
      <c r="K1224" s="1"/>
    </row>
    <row r="1225" spans="1:11" x14ac:dyDescent="0.25">
      <c r="A1225" t="e">
        <f>-Lqea5KmgUs5q70dyBsd</f>
        <v>#NAME?</v>
      </c>
      <c r="B1225">
        <v>393.75</v>
      </c>
      <c r="C1225">
        <v>20.478950000000001</v>
      </c>
      <c r="D1225">
        <v>36</v>
      </c>
      <c r="E1225">
        <v>0</v>
      </c>
      <c r="F1225">
        <v>0</v>
      </c>
      <c r="G1225">
        <v>43</v>
      </c>
      <c r="H1225" s="4">
        <v>1570525175862</v>
      </c>
      <c r="I1225">
        <v>526.6875</v>
      </c>
      <c r="J1225" s="9">
        <f t="shared" si="19"/>
        <v>43746.666387291662</v>
      </c>
      <c r="K1225" s="1"/>
    </row>
    <row r="1226" spans="1:11" x14ac:dyDescent="0.25">
      <c r="A1226" t="e">
        <f>-Lqea7JSSgE67nIufLu7</f>
        <v>#NAME?</v>
      </c>
      <c r="B1226">
        <v>393.75</v>
      </c>
      <c r="C1226">
        <v>20.584240000000001</v>
      </c>
      <c r="D1226">
        <v>36</v>
      </c>
      <c r="E1226">
        <v>0</v>
      </c>
      <c r="F1226">
        <v>0</v>
      </c>
      <c r="G1226">
        <v>44</v>
      </c>
      <c r="H1226" s="4">
        <v>1570525183073</v>
      </c>
      <c r="I1226">
        <v>526.6875</v>
      </c>
      <c r="J1226" s="9">
        <f t="shared" si="19"/>
        <v>43746.666470752309</v>
      </c>
      <c r="K1226" s="1"/>
    </row>
    <row r="1227" spans="1:11" x14ac:dyDescent="0.25">
      <c r="A1227" t="e">
        <f>-Lqea8qiUAkUC9AbC771</f>
        <v>#NAME?</v>
      </c>
      <c r="B1227">
        <v>428.125</v>
      </c>
      <c r="C1227">
        <v>20.584240000000001</v>
      </c>
      <c r="D1227">
        <v>36</v>
      </c>
      <c r="E1227">
        <v>0</v>
      </c>
      <c r="F1227">
        <v>0</v>
      </c>
      <c r="G1227">
        <v>47</v>
      </c>
      <c r="H1227" s="4">
        <v>1570525190263</v>
      </c>
      <c r="I1227">
        <v>537.5625</v>
      </c>
      <c r="J1227" s="9">
        <f t="shared" si="19"/>
        <v>43746.66655396991</v>
      </c>
      <c r="K1227" s="1"/>
    </row>
    <row r="1228" spans="1:11" x14ac:dyDescent="0.25">
      <c r="A1228" t="e">
        <f>-LqeaAZuEBNjGO66e7wc</f>
        <v>#NAME?</v>
      </c>
      <c r="B1228">
        <v>393.75</v>
      </c>
      <c r="C1228">
        <v>20.584240000000001</v>
      </c>
      <c r="D1228">
        <v>38</v>
      </c>
      <c r="E1228">
        <v>0</v>
      </c>
      <c r="F1228">
        <v>0</v>
      </c>
      <c r="G1228">
        <v>43</v>
      </c>
      <c r="H1228" s="4">
        <v>1570525197504</v>
      </c>
      <c r="I1228">
        <v>526.5</v>
      </c>
      <c r="J1228" s="9">
        <f t="shared" si="19"/>
        <v>43746.66663777778</v>
      </c>
      <c r="K1228" s="1"/>
    </row>
    <row r="1229" spans="1:11" x14ac:dyDescent="0.25">
      <c r="A1229" t="e">
        <f>-LqeaCMtXaA2k_vuGRQc</f>
        <v>#NAME?</v>
      </c>
      <c r="B1229">
        <v>393.75</v>
      </c>
      <c r="C1229">
        <v>20.531590000000001</v>
      </c>
      <c r="D1229">
        <v>38</v>
      </c>
      <c r="E1229">
        <v>0</v>
      </c>
      <c r="F1229">
        <v>0</v>
      </c>
      <c r="G1229">
        <v>46</v>
      </c>
      <c r="H1229" s="4">
        <v>1570525204710</v>
      </c>
      <c r="I1229">
        <v>526.6875</v>
      </c>
      <c r="J1229" s="9">
        <f t="shared" si="19"/>
        <v>43746.666721180554</v>
      </c>
      <c r="K1229" s="1"/>
    </row>
    <row r="1230" spans="1:11" x14ac:dyDescent="0.25">
      <c r="A1230" t="e">
        <f>-LqeaE4jHu3iIohojqNH</f>
        <v>#NAME?</v>
      </c>
      <c r="B1230">
        <v>393.75</v>
      </c>
      <c r="C1230">
        <v>20.478950000000001</v>
      </c>
      <c r="D1230">
        <v>39</v>
      </c>
      <c r="E1230">
        <v>0</v>
      </c>
      <c r="F1230">
        <v>0</v>
      </c>
      <c r="G1230">
        <v>50</v>
      </c>
      <c r="H1230" s="4">
        <v>1570525211902</v>
      </c>
      <c r="I1230">
        <v>526.6875</v>
      </c>
      <c r="J1230" s="9">
        <f t="shared" si="19"/>
        <v>43746.666804421293</v>
      </c>
      <c r="K1230" s="1"/>
    </row>
    <row r="1231" spans="1:11" x14ac:dyDescent="0.25">
      <c r="A1231" t="e">
        <f>-LqeaFeyUfBABeffpZeb</f>
        <v>#NAME?</v>
      </c>
      <c r="B1231">
        <v>393.75</v>
      </c>
      <c r="C1231">
        <v>20.478950000000001</v>
      </c>
      <c r="D1231">
        <v>39</v>
      </c>
      <c r="E1231">
        <v>0</v>
      </c>
      <c r="F1231">
        <v>0</v>
      </c>
      <c r="G1231">
        <v>43</v>
      </c>
      <c r="H1231" s="4">
        <v>1570525218100</v>
      </c>
      <c r="I1231">
        <v>526.6875</v>
      </c>
      <c r="J1231" s="9">
        <f t="shared" si="19"/>
        <v>43746.666876157404</v>
      </c>
      <c r="K1231" s="1"/>
    </row>
    <row r="1232" spans="1:11" x14ac:dyDescent="0.25">
      <c r="A1232" t="e">
        <f>-LqeaHMatg24GOvZmoqw</f>
        <v>#NAME?</v>
      </c>
      <c r="B1232">
        <v>393.75</v>
      </c>
      <c r="C1232">
        <v>20.531590000000001</v>
      </c>
      <c r="D1232">
        <v>39</v>
      </c>
      <c r="E1232">
        <v>0</v>
      </c>
      <c r="F1232">
        <v>0</v>
      </c>
      <c r="G1232">
        <v>52</v>
      </c>
      <c r="H1232" s="4">
        <v>1570525225311</v>
      </c>
      <c r="I1232">
        <v>526.6875</v>
      </c>
      <c r="J1232" s="9">
        <f t="shared" si="19"/>
        <v>43746.666959618051</v>
      </c>
      <c r="K1232" s="1"/>
    </row>
    <row r="1233" spans="1:11" x14ac:dyDescent="0.25">
      <c r="A1233" t="e">
        <f>-LqeaJAyp3xLjtDo8VnB</f>
        <v>#NAME?</v>
      </c>
      <c r="B1233">
        <v>393.75</v>
      </c>
      <c r="C1233">
        <v>20.584240000000001</v>
      </c>
      <c r="D1233">
        <v>39</v>
      </c>
      <c r="E1233">
        <v>0</v>
      </c>
      <c r="F1233">
        <v>0</v>
      </c>
      <c r="G1233">
        <v>47</v>
      </c>
      <c r="H1233" s="4">
        <v>1570525232531</v>
      </c>
      <c r="I1233">
        <v>526.6875</v>
      </c>
      <c r="J1233" s="9">
        <f t="shared" si="19"/>
        <v>43746.667043182868</v>
      </c>
      <c r="K1233" s="1"/>
    </row>
    <row r="1234" spans="1:11" x14ac:dyDescent="0.25">
      <c r="A1234" t="e">
        <f>-LqeaKtzvkNv4Hpm-yMg</f>
        <v>#NAME?</v>
      </c>
      <c r="B1234">
        <v>393.75</v>
      </c>
      <c r="C1234">
        <v>20.584240000000001</v>
      </c>
      <c r="D1234">
        <v>39</v>
      </c>
      <c r="E1234">
        <v>0</v>
      </c>
      <c r="F1234">
        <v>0</v>
      </c>
      <c r="G1234">
        <v>46</v>
      </c>
      <c r="H1234" s="4">
        <v>1570525239741</v>
      </c>
      <c r="I1234">
        <v>526.6875</v>
      </c>
      <c r="J1234" s="9">
        <f t="shared" si="19"/>
        <v>43746.667126631939</v>
      </c>
      <c r="K1234" s="1"/>
    </row>
    <row r="1235" spans="1:11" x14ac:dyDescent="0.25">
      <c r="A1235" t="e">
        <f>-LqeaMtrycj5SIkDqbER</f>
        <v>#NAME?</v>
      </c>
      <c r="B1235">
        <v>412.5</v>
      </c>
      <c r="C1235">
        <v>20.584240000000001</v>
      </c>
      <c r="D1235">
        <v>39</v>
      </c>
      <c r="E1235">
        <v>0</v>
      </c>
      <c r="F1235">
        <v>0</v>
      </c>
      <c r="G1235">
        <v>52</v>
      </c>
      <c r="H1235" s="4">
        <v>1570525246951</v>
      </c>
      <c r="I1235">
        <v>532.3125</v>
      </c>
      <c r="J1235" s="9">
        <f t="shared" si="19"/>
        <v>43746.667210081017</v>
      </c>
      <c r="K1235" s="1"/>
    </row>
    <row r="1236" spans="1:11" x14ac:dyDescent="0.25">
      <c r="A1236" t="e">
        <f>-LqeaOcaAclvS73aXNXJ</f>
        <v>#NAME?</v>
      </c>
      <c r="B1236">
        <v>393.75</v>
      </c>
      <c r="C1236">
        <v>20.584240000000001</v>
      </c>
      <c r="D1236">
        <v>39</v>
      </c>
      <c r="E1236">
        <v>0</v>
      </c>
      <c r="F1236">
        <v>0</v>
      </c>
      <c r="G1236">
        <v>44</v>
      </c>
      <c r="H1236" s="4">
        <v>1570525255192</v>
      </c>
      <c r="I1236">
        <v>526.6875</v>
      </c>
      <c r="J1236" s="9">
        <f t="shared" si="19"/>
        <v>43746.667305462957</v>
      </c>
      <c r="K1236" s="1"/>
    </row>
    <row r="1237" spans="1:11" x14ac:dyDescent="0.25">
      <c r="A1237" t="e">
        <f>-LqeaQRzlJBlYFnptFMu</f>
        <v>#NAME?</v>
      </c>
      <c r="B1237">
        <v>393.75</v>
      </c>
      <c r="C1237">
        <v>20.531590000000001</v>
      </c>
      <c r="D1237">
        <v>40</v>
      </c>
      <c r="E1237">
        <v>0</v>
      </c>
      <c r="F1237">
        <v>0</v>
      </c>
      <c r="G1237">
        <v>46</v>
      </c>
      <c r="H1237" s="4">
        <v>1570525262410</v>
      </c>
      <c r="I1237">
        <v>526.6875</v>
      </c>
      <c r="J1237" s="9">
        <f t="shared" si="19"/>
        <v>43746.66738900463</v>
      </c>
      <c r="K1237" s="1"/>
    </row>
    <row r="1238" spans="1:11" x14ac:dyDescent="0.25">
      <c r="A1238" t="e">
        <f>-LqeaSEzJdmYcx68s7CE</f>
        <v>#NAME?</v>
      </c>
      <c r="B1238">
        <v>393.75</v>
      </c>
      <c r="C1238">
        <v>20.531590000000001</v>
      </c>
      <c r="D1238">
        <v>39</v>
      </c>
      <c r="E1238">
        <v>0</v>
      </c>
      <c r="F1238">
        <v>0</v>
      </c>
      <c r="G1238">
        <v>46</v>
      </c>
      <c r="H1238" s="4">
        <v>1570525269620</v>
      </c>
      <c r="I1238">
        <v>526.6875</v>
      </c>
      <c r="J1238" s="9">
        <f t="shared" si="19"/>
        <v>43746.667472453701</v>
      </c>
      <c r="K1238" s="1"/>
    </row>
    <row r="1239" spans="1:11" x14ac:dyDescent="0.25">
      <c r="A1239" t="e">
        <f>-LqeaTwicjI9bPQ-rLFP</f>
        <v>#NAME?</v>
      </c>
      <c r="B1239">
        <v>412.5</v>
      </c>
      <c r="C1239">
        <v>20.584240000000001</v>
      </c>
      <c r="D1239">
        <v>39</v>
      </c>
      <c r="E1239">
        <v>0</v>
      </c>
      <c r="F1239">
        <v>0</v>
      </c>
      <c r="G1239">
        <v>52</v>
      </c>
      <c r="H1239" s="4">
        <v>1570525276831</v>
      </c>
      <c r="I1239">
        <v>532.3125</v>
      </c>
      <c r="J1239" s="9">
        <f t="shared" si="19"/>
        <v>43746.667555914348</v>
      </c>
      <c r="K1239" s="1"/>
    </row>
    <row r="1240" spans="1:11" x14ac:dyDescent="0.25">
      <c r="A1240" t="e">
        <f>-LqeaVm48TmON5AD6NlX</f>
        <v>#NAME?</v>
      </c>
      <c r="B1240">
        <v>393.75</v>
      </c>
      <c r="C1240">
        <v>20.584240000000001</v>
      </c>
      <c r="D1240">
        <v>40</v>
      </c>
      <c r="E1240">
        <v>0</v>
      </c>
      <c r="F1240">
        <v>0</v>
      </c>
      <c r="G1240">
        <v>52</v>
      </c>
      <c r="H1240" s="4">
        <v>1570525284041</v>
      </c>
      <c r="I1240">
        <v>526.6875</v>
      </c>
      <c r="J1240" s="9">
        <f t="shared" si="19"/>
        <v>43746.667639363419</v>
      </c>
      <c r="K1240" s="1"/>
    </row>
    <row r="1241" spans="1:11" x14ac:dyDescent="0.25">
      <c r="A1241" t="e">
        <f>-LqeaXSiBnL2LJbtkfSo</f>
        <v>#NAME?</v>
      </c>
      <c r="B1241">
        <v>393.75</v>
      </c>
      <c r="C1241">
        <v>20.531590000000001</v>
      </c>
      <c r="D1241">
        <v>39</v>
      </c>
      <c r="E1241">
        <v>0</v>
      </c>
      <c r="F1241">
        <v>0</v>
      </c>
      <c r="G1241">
        <v>53</v>
      </c>
      <c r="H1241" s="4">
        <v>1570525291269</v>
      </c>
      <c r="I1241">
        <v>526.6875</v>
      </c>
      <c r="J1241" s="9">
        <f t="shared" si="19"/>
        <v>43746.66772302083</v>
      </c>
      <c r="K1241" s="1"/>
    </row>
    <row r="1242" spans="1:11" x14ac:dyDescent="0.25">
      <c r="A1242" t="e">
        <f>-LqeaZGzB9osi2galN-N</f>
        <v>#NAME?</v>
      </c>
      <c r="B1242">
        <v>393.75</v>
      </c>
      <c r="C1242">
        <v>20.478950000000001</v>
      </c>
      <c r="D1242">
        <v>39</v>
      </c>
      <c r="E1242">
        <v>0</v>
      </c>
      <c r="F1242">
        <v>0</v>
      </c>
      <c r="G1242">
        <v>49</v>
      </c>
      <c r="H1242" s="4">
        <v>1570525298471</v>
      </c>
      <c r="I1242">
        <v>526.5</v>
      </c>
      <c r="J1242" s="9">
        <f t="shared" si="19"/>
        <v>43746.667806377307</v>
      </c>
      <c r="K1242" s="1"/>
    </row>
    <row r="1243" spans="1:11" x14ac:dyDescent="0.25">
      <c r="A1243" t="e">
        <f>-Lqea_yim6YPDCwVcgnl</f>
        <v>#NAME?</v>
      </c>
      <c r="B1243">
        <v>393.75</v>
      </c>
      <c r="C1243">
        <v>20.584240000000001</v>
      </c>
      <c r="D1243">
        <v>39</v>
      </c>
      <c r="E1243">
        <v>0</v>
      </c>
      <c r="F1243">
        <v>0</v>
      </c>
      <c r="G1243">
        <v>41</v>
      </c>
      <c r="H1243" s="4">
        <v>1570525305661</v>
      </c>
      <c r="I1243">
        <v>526.6875</v>
      </c>
      <c r="J1243" s="9">
        <f t="shared" si="19"/>
        <v>43746.667889594908</v>
      </c>
      <c r="K1243" s="1"/>
    </row>
    <row r="1244" spans="1:11" x14ac:dyDescent="0.25">
      <c r="A1244" t="s">
        <v>69</v>
      </c>
      <c r="B1244">
        <v>393.75</v>
      </c>
      <c r="C1244">
        <v>20.584240000000001</v>
      </c>
      <c r="D1244">
        <v>39</v>
      </c>
      <c r="E1244">
        <v>0</v>
      </c>
      <c r="F1244">
        <v>0</v>
      </c>
      <c r="G1244">
        <v>50</v>
      </c>
      <c r="H1244" s="4">
        <v>1570525312891</v>
      </c>
      <c r="I1244">
        <v>526.6875</v>
      </c>
      <c r="J1244" s="9">
        <f t="shared" si="19"/>
        <v>43746.667973275464</v>
      </c>
      <c r="K1244" s="1"/>
    </row>
    <row r="1245" spans="1:11" x14ac:dyDescent="0.25">
      <c r="A1245" t="e">
        <f>-LqeadUiOQv5gmBlXokN</f>
        <v>#NAME?</v>
      </c>
      <c r="B1245">
        <v>393.75</v>
      </c>
      <c r="C1245">
        <v>20.584240000000001</v>
      </c>
      <c r="D1245">
        <v>40</v>
      </c>
      <c r="E1245">
        <v>0</v>
      </c>
      <c r="F1245">
        <v>0</v>
      </c>
      <c r="G1245">
        <v>46</v>
      </c>
      <c r="H1245" s="4">
        <v>1570525320070</v>
      </c>
      <c r="I1245">
        <v>526.5</v>
      </c>
      <c r="J1245" s="9">
        <f t="shared" si="19"/>
        <v>43746.668056365736</v>
      </c>
      <c r="K1245" s="1"/>
    </row>
    <row r="1246" spans="1:11" x14ac:dyDescent="0.25">
      <c r="A1246" t="e">
        <f>-Lqeaf2ip03CFQ-g4_HV</f>
        <v>#NAME?</v>
      </c>
      <c r="B1246">
        <v>412.5</v>
      </c>
      <c r="C1246">
        <v>20.531590000000001</v>
      </c>
      <c r="D1246">
        <v>40</v>
      </c>
      <c r="E1246">
        <v>0</v>
      </c>
      <c r="F1246">
        <v>0</v>
      </c>
      <c r="G1246">
        <v>42</v>
      </c>
      <c r="H1246" s="4">
        <v>1570525326261</v>
      </c>
      <c r="I1246">
        <v>532.3125</v>
      </c>
      <c r="J1246" s="9">
        <f t="shared" si="19"/>
        <v>43746.668128020836</v>
      </c>
      <c r="K1246" s="1"/>
    </row>
    <row r="1247" spans="1:11" x14ac:dyDescent="0.25">
      <c r="A1247" t="e">
        <f>-Lqeagn5klucxk_pSMr3</f>
        <v>#NAME?</v>
      </c>
      <c r="B1247">
        <v>393.75</v>
      </c>
      <c r="C1247">
        <v>20.531590000000001</v>
      </c>
      <c r="D1247">
        <v>40</v>
      </c>
      <c r="E1247">
        <v>0</v>
      </c>
      <c r="F1247">
        <v>0</v>
      </c>
      <c r="G1247">
        <v>55</v>
      </c>
      <c r="H1247" s="4">
        <v>1570525333512</v>
      </c>
      <c r="I1247">
        <v>526.6875</v>
      </c>
      <c r="J1247" s="9">
        <f t="shared" si="19"/>
        <v>43746.668211944438</v>
      </c>
      <c r="K1247" s="1"/>
    </row>
    <row r="1248" spans="1:11" x14ac:dyDescent="0.25">
      <c r="A1248" t="e">
        <f>-LqeaiZtZCw5F2WpBfWo</f>
        <v>#NAME?</v>
      </c>
      <c r="B1248">
        <v>393.75</v>
      </c>
      <c r="C1248">
        <v>20.584240000000001</v>
      </c>
      <c r="D1248">
        <v>39</v>
      </c>
      <c r="E1248">
        <v>0</v>
      </c>
      <c r="F1248">
        <v>0</v>
      </c>
      <c r="G1248">
        <v>46</v>
      </c>
      <c r="H1248" s="4">
        <v>1570525340717</v>
      </c>
      <c r="I1248">
        <v>526.6875</v>
      </c>
      <c r="J1248" s="9">
        <f t="shared" si="19"/>
        <v>43746.668295335643</v>
      </c>
      <c r="K1248" s="1"/>
    </row>
    <row r="1249" spans="1:11" x14ac:dyDescent="0.25">
      <c r="A1249" t="e">
        <f>-LqeakIzDeYfqc-y2G2a</f>
        <v>#NAME?</v>
      </c>
      <c r="B1249">
        <v>393.75</v>
      </c>
      <c r="C1249">
        <v>20.584240000000001</v>
      </c>
      <c r="D1249">
        <v>36</v>
      </c>
      <c r="E1249">
        <v>0</v>
      </c>
      <c r="F1249">
        <v>0</v>
      </c>
      <c r="G1249">
        <v>49</v>
      </c>
      <c r="H1249" s="4">
        <v>1570525347899</v>
      </c>
      <c r="I1249">
        <v>526.6875</v>
      </c>
      <c r="J1249" s="9">
        <f t="shared" si="19"/>
        <v>43746.66837846065</v>
      </c>
      <c r="K1249" s="1"/>
    </row>
    <row r="1250" spans="1:11" x14ac:dyDescent="0.25">
      <c r="A1250" t="e">
        <f>-Lqeals0Fv6LnUCiI1ie</f>
        <v>#NAME?</v>
      </c>
      <c r="B1250">
        <v>393.75</v>
      </c>
      <c r="C1250">
        <v>20.584240000000001</v>
      </c>
      <c r="D1250">
        <v>36</v>
      </c>
      <c r="E1250">
        <v>0</v>
      </c>
      <c r="F1250">
        <v>0</v>
      </c>
      <c r="G1250">
        <v>55</v>
      </c>
      <c r="H1250" s="4">
        <v>1570525354131</v>
      </c>
      <c r="I1250">
        <v>526.6875</v>
      </c>
      <c r="J1250" s="9">
        <f t="shared" si="19"/>
        <v>43746.668450590274</v>
      </c>
      <c r="K1250" s="1"/>
    </row>
    <row r="1251" spans="1:11" x14ac:dyDescent="0.25">
      <c r="A1251" t="e">
        <f>-LqeanZiYDNkK7aTgNCf</f>
        <v>#NAME?</v>
      </c>
      <c r="B1251">
        <v>393.75</v>
      </c>
      <c r="C1251">
        <v>20.584240000000001</v>
      </c>
      <c r="D1251">
        <v>37</v>
      </c>
      <c r="E1251">
        <v>0</v>
      </c>
      <c r="F1251">
        <v>0</v>
      </c>
      <c r="G1251">
        <v>54</v>
      </c>
      <c r="H1251" s="4">
        <v>1570525361320</v>
      </c>
      <c r="I1251">
        <v>526.6875</v>
      </c>
      <c r="J1251" s="9">
        <f t="shared" si="19"/>
        <v>43746.668533796292</v>
      </c>
      <c r="K1251" s="1"/>
    </row>
    <row r="1252" spans="1:11" x14ac:dyDescent="0.25">
      <c r="A1252" t="e">
        <f>-LqeapMkayNxK3rhSB5v</f>
        <v>#NAME?</v>
      </c>
      <c r="B1252">
        <v>393.75</v>
      </c>
      <c r="C1252">
        <v>20.531590000000001</v>
      </c>
      <c r="D1252">
        <v>41</v>
      </c>
      <c r="E1252">
        <v>0</v>
      </c>
      <c r="F1252">
        <v>0</v>
      </c>
      <c r="G1252">
        <v>47</v>
      </c>
      <c r="H1252" s="4">
        <v>1570525368531</v>
      </c>
      <c r="I1252">
        <v>526.5</v>
      </c>
      <c r="J1252" s="9">
        <f t="shared" si="19"/>
        <v>43746.668617256939</v>
      </c>
      <c r="K1252" s="1"/>
    </row>
    <row r="1253" spans="1:11" x14ac:dyDescent="0.25">
      <c r="A1253" t="e">
        <f>-Lqear4jluIhdvataNEt</f>
        <v>#NAME?</v>
      </c>
      <c r="B1253">
        <v>393.75</v>
      </c>
      <c r="C1253">
        <v>20.584240000000001</v>
      </c>
      <c r="D1253">
        <v>40</v>
      </c>
      <c r="E1253">
        <v>0</v>
      </c>
      <c r="F1253">
        <v>0</v>
      </c>
      <c r="G1253">
        <v>52</v>
      </c>
      <c r="H1253" s="4">
        <v>1570525375740</v>
      </c>
      <c r="I1253">
        <v>526.6875</v>
      </c>
      <c r="J1253" s="9">
        <f t="shared" si="19"/>
        <v>43746.668700694441</v>
      </c>
      <c r="K1253" s="1"/>
    </row>
    <row r="1254" spans="1:11" x14ac:dyDescent="0.25">
      <c r="A1254" t="e">
        <f>-LqeassssgRW9jF__81v</f>
        <v>#NAME?</v>
      </c>
      <c r="B1254">
        <v>393.75</v>
      </c>
      <c r="C1254">
        <v>20.531590000000001</v>
      </c>
      <c r="D1254">
        <v>40</v>
      </c>
      <c r="E1254">
        <v>0</v>
      </c>
      <c r="F1254">
        <v>0</v>
      </c>
      <c r="G1254">
        <v>56</v>
      </c>
      <c r="H1254" s="4">
        <v>1570525382961</v>
      </c>
      <c r="I1254">
        <v>526.6875</v>
      </c>
      <c r="J1254" s="9">
        <f t="shared" si="19"/>
        <v>43746.668784270827</v>
      </c>
      <c r="K1254" s="1"/>
    </row>
    <row r="1255" spans="1:11" x14ac:dyDescent="0.25">
      <c r="A1255" t="e">
        <f>-LqeauajVEeFCrRU6Rh3</f>
        <v>#NAME?</v>
      </c>
      <c r="B1255">
        <v>393.75</v>
      </c>
      <c r="C1255">
        <v>20.478950000000001</v>
      </c>
      <c r="D1255">
        <v>39</v>
      </c>
      <c r="E1255">
        <v>0</v>
      </c>
      <c r="F1255">
        <v>0</v>
      </c>
      <c r="G1255">
        <v>51</v>
      </c>
      <c r="H1255" s="4">
        <v>1570525390151</v>
      </c>
      <c r="I1255">
        <v>526.6875</v>
      </c>
      <c r="J1255" s="9">
        <f t="shared" si="19"/>
        <v>43746.668867488428</v>
      </c>
      <c r="K1255" s="1"/>
    </row>
    <row r="1256" spans="1:11" x14ac:dyDescent="0.25">
      <c r="A1256" t="e">
        <f>-LqeawTY5dgSFkx84KT6</f>
        <v>#NAME?</v>
      </c>
      <c r="B1256">
        <v>434.375</v>
      </c>
      <c r="C1256">
        <v>20.531590000000001</v>
      </c>
      <c r="D1256">
        <v>39</v>
      </c>
      <c r="E1256">
        <v>0</v>
      </c>
      <c r="F1256">
        <v>0</v>
      </c>
      <c r="G1256">
        <v>50</v>
      </c>
      <c r="H1256" s="4">
        <v>1570525396350</v>
      </c>
      <c r="I1256">
        <v>539.4375</v>
      </c>
      <c r="J1256" s="9">
        <f t="shared" si="19"/>
        <v>43746.668939236108</v>
      </c>
      <c r="K1256" s="1"/>
    </row>
    <row r="1257" spans="1:11" x14ac:dyDescent="0.25">
      <c r="A1257" t="e">
        <f>-Lqeay7yyNPAwHNmJHGC</f>
        <v>#NAME?</v>
      </c>
      <c r="B1257">
        <v>393.75</v>
      </c>
      <c r="C1257">
        <v>20.531590000000001</v>
      </c>
      <c r="D1257">
        <v>39</v>
      </c>
      <c r="E1257">
        <v>0</v>
      </c>
      <c r="F1257">
        <v>0</v>
      </c>
      <c r="G1257">
        <v>45</v>
      </c>
      <c r="H1257" s="4">
        <v>1570525404611</v>
      </c>
      <c r="I1257">
        <v>526.6875</v>
      </c>
      <c r="J1257" s="9">
        <f t="shared" si="19"/>
        <v>43746.669034849539</v>
      </c>
      <c r="K1257" s="1"/>
    </row>
    <row r="1258" spans="1:11" x14ac:dyDescent="0.25">
      <c r="A1258" t="e">
        <f>-LqeazfjGVF04J7Y0CkR</f>
        <v>#NAME?</v>
      </c>
      <c r="B1258">
        <v>393.75</v>
      </c>
      <c r="C1258">
        <v>20.584240000000001</v>
      </c>
      <c r="D1258">
        <v>41</v>
      </c>
      <c r="E1258">
        <v>0</v>
      </c>
      <c r="F1258">
        <v>0</v>
      </c>
      <c r="G1258">
        <v>52</v>
      </c>
      <c r="H1258" s="4">
        <v>1570525410782</v>
      </c>
      <c r="I1258">
        <v>526.5</v>
      </c>
      <c r="J1258" s="9">
        <f t="shared" si="19"/>
        <v>43746.669106273148</v>
      </c>
      <c r="K1258" s="1"/>
    </row>
    <row r="1259" spans="1:11" x14ac:dyDescent="0.25">
      <c r="A1259" t="e">
        <f>-Lqeb0CD3K9_ew65YAK2</f>
        <v>#NAME?</v>
      </c>
      <c r="B1259">
        <v>412.5</v>
      </c>
      <c r="C1259">
        <v>20.584240000000001</v>
      </c>
      <c r="D1259">
        <v>41</v>
      </c>
      <c r="E1259">
        <v>0</v>
      </c>
      <c r="F1259">
        <v>0</v>
      </c>
      <c r="G1259">
        <v>50</v>
      </c>
      <c r="H1259" s="4">
        <v>1570525416961</v>
      </c>
      <c r="I1259">
        <v>532.125</v>
      </c>
      <c r="J1259" s="9">
        <f t="shared" si="19"/>
        <v>43746.66917778935</v>
      </c>
      <c r="K1259" s="1"/>
    </row>
    <row r="1260" spans="1:11" x14ac:dyDescent="0.25">
      <c r="A1260" t="e">
        <f>-Lqeb2D3RFFdCZ5_DfM9</f>
        <v>#NAME?</v>
      </c>
      <c r="B1260">
        <v>393.75</v>
      </c>
      <c r="C1260">
        <v>20.531590000000001</v>
      </c>
      <c r="D1260">
        <v>41</v>
      </c>
      <c r="E1260">
        <v>0</v>
      </c>
      <c r="F1260">
        <v>0</v>
      </c>
      <c r="G1260">
        <v>55</v>
      </c>
      <c r="H1260" s="4">
        <v>1570525425317</v>
      </c>
      <c r="I1260">
        <v>526.6875</v>
      </c>
      <c r="J1260" s="9">
        <f t="shared" si="19"/>
        <v>43746.66927450231</v>
      </c>
      <c r="K1260" s="1"/>
    </row>
    <row r="1261" spans="1:11" x14ac:dyDescent="0.25">
      <c r="A1261" t="e">
        <f>-Lqeb3w3ugOxgvX-uXgk</f>
        <v>#NAME?</v>
      </c>
      <c r="B1261">
        <v>431.25</v>
      </c>
      <c r="C1261">
        <v>20.584240000000001</v>
      </c>
      <c r="D1261">
        <v>40</v>
      </c>
      <c r="E1261">
        <v>0</v>
      </c>
      <c r="F1261">
        <v>0</v>
      </c>
      <c r="G1261">
        <v>60</v>
      </c>
      <c r="H1261" s="4">
        <v>1570525432397</v>
      </c>
      <c r="I1261">
        <v>538.125</v>
      </c>
      <c r="J1261" s="9">
        <f t="shared" si="19"/>
        <v>43746.669356446757</v>
      </c>
      <c r="K1261" s="1"/>
    </row>
    <row r="1262" spans="1:11" x14ac:dyDescent="0.25">
      <c r="A1262" t="e">
        <f>-Lqeb5TpGhAmhyKi-#REF!</f>
        <v>#NAME?</v>
      </c>
      <c r="B1262">
        <v>393.75</v>
      </c>
      <c r="C1262">
        <v>20.584240000000001</v>
      </c>
      <c r="D1262">
        <v>40</v>
      </c>
      <c r="E1262">
        <v>0</v>
      </c>
      <c r="F1262">
        <v>0</v>
      </c>
      <c r="G1262">
        <v>47</v>
      </c>
      <c r="H1262" s="4">
        <v>1570525438586</v>
      </c>
      <c r="I1262">
        <v>526.6875</v>
      </c>
      <c r="J1262" s="9">
        <f t="shared" si="19"/>
        <v>43746.669428078698</v>
      </c>
      <c r="K1262" s="1"/>
    </row>
    <row r="1263" spans="1:11" x14ac:dyDescent="0.25">
      <c r="A1263" t="e">
        <f>-Lqeb7D3mLTgjEvQYDeg</f>
        <v>#NAME?</v>
      </c>
      <c r="B1263">
        <v>393.75</v>
      </c>
      <c r="C1263">
        <v>20.531590000000001</v>
      </c>
      <c r="D1263">
        <v>40</v>
      </c>
      <c r="E1263">
        <v>0</v>
      </c>
      <c r="F1263">
        <v>0</v>
      </c>
      <c r="G1263">
        <v>55</v>
      </c>
      <c r="H1263" s="4">
        <v>1570525445827</v>
      </c>
      <c r="I1263">
        <v>526.6875</v>
      </c>
      <c r="J1263" s="9">
        <f t="shared" si="19"/>
        <v>43746.669511886568</v>
      </c>
      <c r="K1263" s="1"/>
    </row>
    <row r="1264" spans="1:11" x14ac:dyDescent="0.25">
      <c r="A1264" t="e">
        <f>-Lqeb8zi6vNaPHYYtEVI</f>
        <v>#NAME?</v>
      </c>
      <c r="B1264">
        <v>412.5</v>
      </c>
      <c r="C1264">
        <v>20.531590000000001</v>
      </c>
      <c r="D1264">
        <v>39</v>
      </c>
      <c r="E1264">
        <v>0</v>
      </c>
      <c r="F1264">
        <v>0</v>
      </c>
      <c r="G1264">
        <v>55</v>
      </c>
      <c r="H1264" s="4">
        <v>1570525453037</v>
      </c>
      <c r="I1264">
        <v>532.3125</v>
      </c>
      <c r="J1264" s="9">
        <f t="shared" si="19"/>
        <v>43746.669595335647</v>
      </c>
      <c r="K1264" s="1"/>
    </row>
    <row r="1265" spans="1:11" x14ac:dyDescent="0.25">
      <c r="A1265" t="e">
        <f>-LqebAV2q8nA1bnaXxtM</f>
        <v>#NAME?</v>
      </c>
      <c r="B1265">
        <v>393.75</v>
      </c>
      <c r="C1265">
        <v>20.584240000000001</v>
      </c>
      <c r="D1265">
        <v>39</v>
      </c>
      <c r="E1265">
        <v>0</v>
      </c>
      <c r="F1265">
        <v>0</v>
      </c>
      <c r="G1265">
        <v>60</v>
      </c>
      <c r="H1265" s="4">
        <v>1570525459217</v>
      </c>
      <c r="I1265">
        <v>526.6875</v>
      </c>
      <c r="J1265" s="9">
        <f t="shared" si="19"/>
        <v>43746.669666863425</v>
      </c>
      <c r="K1265" s="1"/>
    </row>
    <row r="1266" spans="1:11" x14ac:dyDescent="0.25">
      <c r="A1266" t="e">
        <f>-LqebCJ87zl_gT3bpF4Z</f>
        <v>#NAME?</v>
      </c>
      <c r="B1266">
        <v>393.75</v>
      </c>
      <c r="C1266">
        <v>20.531590000000001</v>
      </c>
      <c r="D1266">
        <v>37</v>
      </c>
      <c r="E1266">
        <v>0</v>
      </c>
      <c r="F1266">
        <v>0</v>
      </c>
      <c r="G1266">
        <v>54</v>
      </c>
      <c r="H1266" s="4">
        <v>1570525466455</v>
      </c>
      <c r="I1266">
        <v>526.6875</v>
      </c>
      <c r="J1266" s="9">
        <f t="shared" si="19"/>
        <v>43746.669750636567</v>
      </c>
      <c r="K1266" s="1"/>
    </row>
    <row r="1267" spans="1:11" x14ac:dyDescent="0.25">
      <c r="A1267" t="e">
        <f>-LqebE03GMiODfnPf5Z4</f>
        <v>#NAME?</v>
      </c>
      <c r="B1267">
        <v>393.75</v>
      </c>
      <c r="C1267">
        <v>20.531590000000001</v>
      </c>
      <c r="D1267">
        <v>38</v>
      </c>
      <c r="E1267">
        <v>0</v>
      </c>
      <c r="F1267">
        <v>0</v>
      </c>
      <c r="G1267">
        <v>51</v>
      </c>
      <c r="H1267" s="4">
        <v>1570525473637</v>
      </c>
      <c r="I1267">
        <v>526.6875</v>
      </c>
      <c r="J1267" s="9">
        <f t="shared" si="19"/>
        <v>43746.669833761574</v>
      </c>
      <c r="K1267" s="1"/>
    </row>
    <row r="1268" spans="1:11" x14ac:dyDescent="0.25">
      <c r="A1268" t="e">
        <f>-LqebFo3pdClDaLNuOLZ</f>
        <v>#NAME?</v>
      </c>
      <c r="B1268">
        <v>393.75</v>
      </c>
      <c r="C1268">
        <v>20.584240000000001</v>
      </c>
      <c r="D1268">
        <v>39</v>
      </c>
      <c r="E1268">
        <v>0</v>
      </c>
      <c r="F1268">
        <v>0</v>
      </c>
      <c r="G1268">
        <v>58</v>
      </c>
      <c r="H1268" s="4">
        <v>1570525480848</v>
      </c>
      <c r="I1268">
        <v>526.6875</v>
      </c>
      <c r="J1268" s="9">
        <f t="shared" si="19"/>
        <v>43746.669917222222</v>
      </c>
      <c r="K1268" s="1"/>
    </row>
    <row r="1269" spans="1:11" x14ac:dyDescent="0.25">
      <c r="A1269" t="e">
        <f>-LqebHVrXR-#REF!-NtB</f>
        <v>#NAME?</v>
      </c>
      <c r="B1269">
        <v>412.5</v>
      </c>
      <c r="C1269">
        <v>20.584240000000001</v>
      </c>
      <c r="D1269">
        <v>39</v>
      </c>
      <c r="E1269">
        <v>0</v>
      </c>
      <c r="F1269">
        <v>0</v>
      </c>
      <c r="G1269">
        <v>51</v>
      </c>
      <c r="H1269" s="4">
        <v>1570525488066</v>
      </c>
      <c r="I1269">
        <v>532.3125</v>
      </c>
      <c r="J1269" s="9">
        <f t="shared" si="19"/>
        <v>43746.670000763886</v>
      </c>
      <c r="K1269" s="1"/>
    </row>
    <row r="1270" spans="1:11" x14ac:dyDescent="0.25">
      <c r="A1270" t="e">
        <f>-LqebJK4ld6Cz42bdCQM</f>
        <v>#NAME?</v>
      </c>
      <c r="B1270">
        <v>393.75</v>
      </c>
      <c r="C1270">
        <v>20.478950000000001</v>
      </c>
      <c r="D1270">
        <v>39</v>
      </c>
      <c r="E1270">
        <v>0</v>
      </c>
      <c r="F1270">
        <v>0</v>
      </c>
      <c r="G1270">
        <v>55</v>
      </c>
      <c r="H1270" s="4">
        <v>1570525495268</v>
      </c>
      <c r="I1270">
        <v>526.5</v>
      </c>
      <c r="J1270" s="9">
        <f t="shared" si="19"/>
        <v>43746.670084120364</v>
      </c>
      <c r="K1270" s="1"/>
    </row>
    <row r="1271" spans="1:11" x14ac:dyDescent="0.25">
      <c r="A1271" t="e">
        <f>-LqebL2331_mlwVxBoaS</f>
        <v>#NAME?</v>
      </c>
      <c r="B1271">
        <v>393.75</v>
      </c>
      <c r="C1271">
        <v>20.584240000000001</v>
      </c>
      <c r="D1271">
        <v>39</v>
      </c>
      <c r="E1271">
        <v>0</v>
      </c>
      <c r="F1271">
        <v>0</v>
      </c>
      <c r="G1271">
        <v>55</v>
      </c>
      <c r="H1271" s="4">
        <v>1570525502470</v>
      </c>
      <c r="I1271">
        <v>526.6875</v>
      </c>
      <c r="J1271" s="9">
        <f t="shared" si="19"/>
        <v>43746.670167476848</v>
      </c>
      <c r="K1271" s="1"/>
    </row>
    <row r="1272" spans="1:11" x14ac:dyDescent="0.25">
      <c r="A1272" t="e">
        <f>-LqebMrmc1Kk-QTbSAeE</f>
        <v>#NAME?</v>
      </c>
      <c r="B1272">
        <v>393.75</v>
      </c>
      <c r="C1272">
        <v>20.531590000000001</v>
      </c>
      <c r="D1272">
        <v>39</v>
      </c>
      <c r="E1272">
        <v>0</v>
      </c>
      <c r="F1272">
        <v>0</v>
      </c>
      <c r="G1272">
        <v>58</v>
      </c>
      <c r="H1272" s="4">
        <v>1570525508658</v>
      </c>
      <c r="I1272">
        <v>526.6875</v>
      </c>
      <c r="J1272" s="9">
        <f t="shared" si="19"/>
        <v>43746.67023909722</v>
      </c>
      <c r="K1272" s="1"/>
    </row>
    <row r="1273" spans="1:11" x14ac:dyDescent="0.25">
      <c r="A1273" t="e">
        <f>-LqebOZ3A87N0xZdGALT</f>
        <v>#NAME?</v>
      </c>
      <c r="B1273">
        <v>393.75</v>
      </c>
      <c r="C1273">
        <v>20.584240000000001</v>
      </c>
      <c r="D1273">
        <v>39</v>
      </c>
      <c r="E1273">
        <v>0</v>
      </c>
      <c r="F1273">
        <v>0</v>
      </c>
      <c r="G1273">
        <v>59</v>
      </c>
      <c r="H1273" s="4">
        <v>1570525516876</v>
      </c>
      <c r="I1273">
        <v>526.6875</v>
      </c>
      <c r="J1273" s="9">
        <f t="shared" si="19"/>
        <v>43746.670334212962</v>
      </c>
      <c r="K1273" s="1"/>
    </row>
    <row r="1274" spans="1:11" x14ac:dyDescent="0.25">
      <c r="A1274" t="e">
        <f>-LqebQ5zG-U0sIGpLEJf</f>
        <v>#NAME?</v>
      </c>
      <c r="B1274">
        <v>393.75</v>
      </c>
      <c r="C1274">
        <v>20.584240000000001</v>
      </c>
      <c r="D1274">
        <v>39</v>
      </c>
      <c r="E1274">
        <v>0</v>
      </c>
      <c r="F1274">
        <v>0</v>
      </c>
      <c r="G1274">
        <v>66</v>
      </c>
      <c r="H1274" s="4">
        <v>1570525523066</v>
      </c>
      <c r="I1274">
        <v>526.6875</v>
      </c>
      <c r="J1274" s="9">
        <f t="shared" si="19"/>
        <v>43746.670405856479</v>
      </c>
      <c r="K1274" s="1"/>
    </row>
    <row r="1275" spans="1:11" x14ac:dyDescent="0.25">
      <c r="A1275" t="e">
        <f>-LqebRp-JmuOXok7O1bw</f>
        <v>#NAME?</v>
      </c>
      <c r="B1275">
        <v>393.75</v>
      </c>
      <c r="C1275">
        <v>20.584240000000001</v>
      </c>
      <c r="D1275">
        <v>40</v>
      </c>
      <c r="E1275">
        <v>0</v>
      </c>
      <c r="F1275">
        <v>0</v>
      </c>
      <c r="G1275">
        <v>58</v>
      </c>
      <c r="H1275" s="4">
        <v>1570525530307</v>
      </c>
      <c r="I1275">
        <v>526.6875</v>
      </c>
      <c r="J1275" s="9">
        <f t="shared" si="19"/>
        <v>43746.67048966435</v>
      </c>
      <c r="K1275" s="1"/>
    </row>
    <row r="1276" spans="1:11" x14ac:dyDescent="0.25">
      <c r="A1276" t="e">
        <f>-LqebTd3SdHhY76JK8oq</f>
        <v>#NAME?</v>
      </c>
      <c r="B1276">
        <v>393.75</v>
      </c>
      <c r="C1276">
        <v>20.531590000000001</v>
      </c>
      <c r="D1276">
        <v>40</v>
      </c>
      <c r="E1276">
        <v>0</v>
      </c>
      <c r="F1276">
        <v>0</v>
      </c>
      <c r="G1276">
        <v>63</v>
      </c>
      <c r="H1276" s="4">
        <v>1570525537517</v>
      </c>
      <c r="I1276">
        <v>526.6875</v>
      </c>
      <c r="J1276" s="9">
        <f t="shared" si="19"/>
        <v>43746.670573113421</v>
      </c>
      <c r="K1276" s="1"/>
    </row>
    <row r="1277" spans="1:11" x14ac:dyDescent="0.25">
      <c r="A1277" t="e">
        <f>-LqebVKxX6-GrLMqKetE</f>
        <v>#NAME?</v>
      </c>
      <c r="B1277">
        <v>393.75</v>
      </c>
      <c r="C1277">
        <v>20.584240000000001</v>
      </c>
      <c r="D1277">
        <v>40</v>
      </c>
      <c r="E1277">
        <v>0</v>
      </c>
      <c r="F1277">
        <v>0</v>
      </c>
      <c r="G1277">
        <v>57</v>
      </c>
      <c r="H1277" s="4">
        <v>1570525544707</v>
      </c>
      <c r="I1277">
        <v>526.6875</v>
      </c>
      <c r="J1277" s="9">
        <f t="shared" si="19"/>
        <v>43746.670656331014</v>
      </c>
      <c r="K1277" s="1"/>
    </row>
    <row r="1278" spans="1:11" x14ac:dyDescent="0.25">
      <c r="A1278" t="e">
        <f>-LqebWwA90Gvcm_YkTNS</f>
        <v>#NAME?</v>
      </c>
      <c r="B1278">
        <v>393.75</v>
      </c>
      <c r="C1278">
        <v>20.584240000000001</v>
      </c>
      <c r="D1278">
        <v>40</v>
      </c>
      <c r="E1278">
        <v>0</v>
      </c>
      <c r="F1278">
        <v>0</v>
      </c>
      <c r="G1278">
        <v>55</v>
      </c>
      <c r="H1278" s="4">
        <v>1570525550907</v>
      </c>
      <c r="I1278">
        <v>526.6875</v>
      </c>
      <c r="J1278" s="9">
        <f t="shared" si="19"/>
        <v>43746.67072809027</v>
      </c>
      <c r="K1278" s="1"/>
    </row>
    <row r="1279" spans="1:11" x14ac:dyDescent="0.25">
      <c r="A1279" t="e">
        <f>-LqebYd4J4vvg7iVdhG_</f>
        <v>#NAME?</v>
      </c>
      <c r="B1279">
        <v>415.625</v>
      </c>
      <c r="C1279">
        <v>20.531590000000001</v>
      </c>
      <c r="D1279">
        <v>40</v>
      </c>
      <c r="E1279">
        <v>0</v>
      </c>
      <c r="F1279">
        <v>0</v>
      </c>
      <c r="G1279">
        <v>55</v>
      </c>
      <c r="H1279" s="4">
        <v>1570525558120</v>
      </c>
      <c r="I1279">
        <v>533.8125</v>
      </c>
      <c r="J1279" s="9">
        <f t="shared" si="19"/>
        <v>43746.670811574069</v>
      </c>
      <c r="K1279" s="1"/>
    </row>
    <row r="1280" spans="1:11" x14ac:dyDescent="0.25">
      <c r="A1280" t="e">
        <f>-Lqeb_Ppgjrp05ezlZ0F</f>
        <v>#NAME?</v>
      </c>
      <c r="B1280">
        <v>393.75</v>
      </c>
      <c r="C1280">
        <v>20.584240000000001</v>
      </c>
      <c r="D1280">
        <v>39</v>
      </c>
      <c r="E1280">
        <v>0</v>
      </c>
      <c r="F1280">
        <v>0</v>
      </c>
      <c r="G1280">
        <v>61</v>
      </c>
      <c r="H1280" s="4">
        <v>1570525565337</v>
      </c>
      <c r="I1280">
        <v>526.6875</v>
      </c>
      <c r="J1280" s="9">
        <f t="shared" si="19"/>
        <v>43746.670895104166</v>
      </c>
      <c r="K1280" s="1"/>
    </row>
    <row r="1281" spans="1:11" x14ac:dyDescent="0.25">
      <c r="A1281" t="e">
        <f>-Lqebb7psGbtjjv-eo0g</f>
        <v>#NAME?</v>
      </c>
      <c r="B1281">
        <v>393.75</v>
      </c>
      <c r="C1281">
        <v>20.584240000000001</v>
      </c>
      <c r="D1281">
        <v>39</v>
      </c>
      <c r="E1281">
        <v>0</v>
      </c>
      <c r="F1281">
        <v>0</v>
      </c>
      <c r="G1281">
        <v>59</v>
      </c>
      <c r="H1281" s="4">
        <v>1570525572547</v>
      </c>
      <c r="I1281">
        <v>526.6875</v>
      </c>
      <c r="J1281" s="9">
        <f t="shared" si="19"/>
        <v>43746.670978553237</v>
      </c>
      <c r="K1281" s="1"/>
    </row>
    <row r="1282" spans="1:11" x14ac:dyDescent="0.25">
      <c r="A1282" t="e">
        <f>-Lqebcx5iGXc31Q3OiEN</f>
        <v>#NAME?</v>
      </c>
      <c r="B1282">
        <v>393.75</v>
      </c>
      <c r="C1282">
        <v>20.531590000000001</v>
      </c>
      <c r="D1282">
        <v>41</v>
      </c>
      <c r="E1282">
        <v>0</v>
      </c>
      <c r="F1282">
        <v>0</v>
      </c>
      <c r="G1282">
        <v>55</v>
      </c>
      <c r="H1282" s="4">
        <v>1570525579766</v>
      </c>
      <c r="I1282">
        <v>526.6875</v>
      </c>
      <c r="J1282" s="9">
        <f t="shared" si="19"/>
        <v>43746.671062106478</v>
      </c>
      <c r="K1282" s="1"/>
    </row>
    <row r="1283" spans="1:11" x14ac:dyDescent="0.25">
      <c r="A1283" t="e">
        <f>-LqebeszguGGboVeUWnE</f>
        <v>#NAME?</v>
      </c>
      <c r="B1283">
        <v>393.75</v>
      </c>
      <c r="C1283">
        <v>20.584240000000001</v>
      </c>
      <c r="D1283">
        <v>39</v>
      </c>
      <c r="E1283">
        <v>0</v>
      </c>
      <c r="F1283">
        <v>0</v>
      </c>
      <c r="G1283">
        <v>52</v>
      </c>
      <c r="H1283" s="4">
        <v>1570525587719</v>
      </c>
      <c r="I1283">
        <v>526.6875</v>
      </c>
      <c r="J1283" s="9">
        <f t="shared" ref="J1283:J1346" si="20">(H1283/86400000)+25569+(7/24)</f>
        <v>43746.67115415509</v>
      </c>
      <c r="K1283" s="1"/>
    </row>
    <row r="1284" spans="1:11" x14ac:dyDescent="0.25">
      <c r="A1284" t="e">
        <f>-LqebgRx0TA6WrBOeE5K</f>
        <v>#NAME?</v>
      </c>
      <c r="B1284">
        <v>393.75</v>
      </c>
      <c r="C1284">
        <v>20.584240000000001</v>
      </c>
      <c r="D1284">
        <v>40</v>
      </c>
      <c r="E1284">
        <v>0</v>
      </c>
      <c r="F1284">
        <v>0</v>
      </c>
      <c r="G1284">
        <v>57</v>
      </c>
      <c r="H1284" s="4">
        <v>1570525594187</v>
      </c>
      <c r="I1284">
        <v>526.6875</v>
      </c>
      <c r="J1284" s="9">
        <f t="shared" si="20"/>
        <v>43746.671229016203</v>
      </c>
      <c r="K1284" s="1"/>
    </row>
    <row r="1285" spans="1:11" x14ac:dyDescent="0.25">
      <c r="A1285" t="e">
        <f>-LqebiB3IMuIts1llsXT</f>
        <v>#NAME?</v>
      </c>
      <c r="B1285">
        <v>393.75</v>
      </c>
      <c r="C1285">
        <v>20.584240000000001</v>
      </c>
      <c r="D1285">
        <v>40</v>
      </c>
      <c r="E1285">
        <v>0</v>
      </c>
      <c r="F1285">
        <v>0</v>
      </c>
      <c r="G1285">
        <v>56</v>
      </c>
      <c r="H1285" s="4">
        <v>1570525601416</v>
      </c>
      <c r="I1285">
        <v>526.5</v>
      </c>
      <c r="J1285" s="9">
        <f t="shared" si="20"/>
        <v>43746.671312685183</v>
      </c>
      <c r="K1285" s="1"/>
    </row>
    <row r="1286" spans="1:11" x14ac:dyDescent="0.25">
      <c r="A1286" t="e">
        <f>-Lqebjk3kvLDx_xk9God</f>
        <v>#NAME?</v>
      </c>
      <c r="B1286">
        <v>418.75</v>
      </c>
      <c r="C1286">
        <v>20.584240000000001</v>
      </c>
      <c r="D1286">
        <v>40</v>
      </c>
      <c r="E1286">
        <v>0</v>
      </c>
      <c r="F1286">
        <v>0</v>
      </c>
      <c r="G1286">
        <v>54</v>
      </c>
      <c r="H1286" s="4">
        <v>1570525607546</v>
      </c>
      <c r="I1286">
        <v>534.375</v>
      </c>
      <c r="J1286" s="9">
        <f t="shared" si="20"/>
        <v>43746.671383634261</v>
      </c>
      <c r="K1286" s="1"/>
    </row>
    <row r="1287" spans="1:11" x14ac:dyDescent="0.25">
      <c r="A1287" t="e">
        <f>-LqeblT3_8e73dorFQmo</f>
        <v>#NAME?</v>
      </c>
      <c r="B1287">
        <v>393.75</v>
      </c>
      <c r="C1287">
        <v>20.584240000000001</v>
      </c>
      <c r="D1287">
        <v>40</v>
      </c>
      <c r="E1287">
        <v>0</v>
      </c>
      <c r="F1287">
        <v>0</v>
      </c>
      <c r="G1287">
        <v>51</v>
      </c>
      <c r="H1287" s="4">
        <v>1570525614787</v>
      </c>
      <c r="I1287">
        <v>526.6875</v>
      </c>
      <c r="J1287" s="9">
        <f t="shared" si="20"/>
        <v>43746.671467442131</v>
      </c>
      <c r="K1287" s="1"/>
    </row>
    <row r="1288" spans="1:11" x14ac:dyDescent="0.25">
      <c r="A1288" t="e">
        <f>-LqebnEhC9ovNKXfI7Lq</f>
        <v>#NAME?</v>
      </c>
      <c r="B1288">
        <v>393.75</v>
      </c>
      <c r="C1288">
        <v>20.584240000000001</v>
      </c>
      <c r="D1288">
        <v>38</v>
      </c>
      <c r="E1288">
        <v>0</v>
      </c>
      <c r="F1288">
        <v>0</v>
      </c>
      <c r="G1288">
        <v>69</v>
      </c>
      <c r="H1288" s="4">
        <v>1570525622010</v>
      </c>
      <c r="I1288">
        <v>526.5</v>
      </c>
      <c r="J1288" s="9">
        <f t="shared" si="20"/>
        <v>43746.671551041662</v>
      </c>
      <c r="K1288" s="1"/>
    </row>
    <row r="1289" spans="1:11" x14ac:dyDescent="0.25">
      <c r="A1289" t="e">
        <f>-LqebojuSHKiwoQGDfpY</f>
        <v>#NAME?</v>
      </c>
      <c r="B1289">
        <v>393.75</v>
      </c>
      <c r="C1289">
        <v>20.584240000000001</v>
      </c>
      <c r="D1289">
        <v>35</v>
      </c>
      <c r="E1289">
        <v>0</v>
      </c>
      <c r="F1289">
        <v>0</v>
      </c>
      <c r="G1289">
        <v>58</v>
      </c>
      <c r="H1289" s="4">
        <v>1570525628187</v>
      </c>
      <c r="I1289">
        <v>526.6875</v>
      </c>
      <c r="J1289" s="9">
        <f t="shared" si="20"/>
        <v>43746.671622534719</v>
      </c>
      <c r="K1289" s="1"/>
    </row>
    <row r="1290" spans="1:11" x14ac:dyDescent="0.25">
      <c r="A1290" t="e">
        <f>-LqebqY3VlHn0PymA_hk</f>
        <v>#NAME?</v>
      </c>
      <c r="B1290">
        <v>393.75</v>
      </c>
      <c r="C1290">
        <v>20.584240000000001</v>
      </c>
      <c r="D1290">
        <v>37</v>
      </c>
      <c r="E1290">
        <v>0</v>
      </c>
      <c r="F1290">
        <v>0</v>
      </c>
      <c r="G1290">
        <v>61</v>
      </c>
      <c r="H1290" s="4">
        <v>1570525635397</v>
      </c>
      <c r="I1290">
        <v>526.5</v>
      </c>
      <c r="J1290" s="9">
        <f t="shared" si="20"/>
        <v>43746.67170598379</v>
      </c>
      <c r="K1290" s="1"/>
    </row>
    <row r="1291" spans="1:11" x14ac:dyDescent="0.25">
      <c r="A1291" t="e">
        <f>-LqebsG2sNv8qSGPqpR0</f>
        <v>#NAME?</v>
      </c>
      <c r="B1291">
        <v>393.75</v>
      </c>
      <c r="C1291">
        <v>20.584240000000001</v>
      </c>
      <c r="D1291">
        <v>39</v>
      </c>
      <c r="E1291">
        <v>0</v>
      </c>
      <c r="F1291">
        <v>0</v>
      </c>
      <c r="G1291">
        <v>61</v>
      </c>
      <c r="H1291" s="4">
        <v>1570525642606</v>
      </c>
      <c r="I1291">
        <v>526.6875</v>
      </c>
      <c r="J1291" s="9">
        <f t="shared" si="20"/>
        <v>43746.671789421292</v>
      </c>
      <c r="K1291" s="1"/>
    </row>
    <row r="1292" spans="1:11" x14ac:dyDescent="0.25">
      <c r="A1292" t="e">
        <f>-Lqebu34k1Rrt9zi07Tq</f>
        <v>#NAME?</v>
      </c>
      <c r="B1292">
        <v>393.75</v>
      </c>
      <c r="C1292">
        <v>20.584240000000001</v>
      </c>
      <c r="D1292">
        <v>35</v>
      </c>
      <c r="E1292">
        <v>0</v>
      </c>
      <c r="F1292">
        <v>0</v>
      </c>
      <c r="G1292">
        <v>56</v>
      </c>
      <c r="H1292" s="4">
        <v>1570525649815</v>
      </c>
      <c r="I1292">
        <v>526.6875</v>
      </c>
      <c r="J1292" s="9">
        <f t="shared" si="20"/>
        <v>43746.671872858795</v>
      </c>
      <c r="K1292" s="1"/>
    </row>
    <row r="1293" spans="1:11" x14ac:dyDescent="0.25">
      <c r="A1293" t="e">
        <f>-Lqebw4ts6K-XYCflpKn</f>
        <v>#NAME?</v>
      </c>
      <c r="B1293">
        <v>393.75</v>
      </c>
      <c r="C1293">
        <v>20.531590000000001</v>
      </c>
      <c r="D1293">
        <v>34</v>
      </c>
      <c r="E1293">
        <v>0</v>
      </c>
      <c r="F1293">
        <v>0</v>
      </c>
      <c r="G1293">
        <v>56</v>
      </c>
      <c r="H1293" s="4">
        <v>1570525657038</v>
      </c>
      <c r="I1293">
        <v>526.6875</v>
      </c>
      <c r="J1293" s="9">
        <f t="shared" si="20"/>
        <v>43746.671956458333</v>
      </c>
      <c r="K1293" s="1"/>
    </row>
    <row r="1294" spans="1:11" x14ac:dyDescent="0.25">
      <c r="A1294" t="e">
        <f>-Lqebxo-PSJ08fg-#REF!</f>
        <v>#NAME?</v>
      </c>
      <c r="B1294">
        <v>393.75</v>
      </c>
      <c r="C1294">
        <v>20.531590000000001</v>
      </c>
      <c r="D1294">
        <v>35</v>
      </c>
      <c r="E1294">
        <v>0</v>
      </c>
      <c r="F1294">
        <v>0</v>
      </c>
      <c r="G1294">
        <v>55</v>
      </c>
      <c r="H1294" s="4">
        <v>1570525665274</v>
      </c>
      <c r="I1294">
        <v>526.6875</v>
      </c>
      <c r="J1294" s="9">
        <f t="shared" si="20"/>
        <v>43746.672051782407</v>
      </c>
      <c r="K1294" s="1"/>
    </row>
    <row r="1295" spans="1:11" x14ac:dyDescent="0.25">
      <c r="A1295" t="e">
        <f>-Lqebzb076EjxQglByVh</f>
        <v>#NAME?</v>
      </c>
      <c r="B1295">
        <v>393.75</v>
      </c>
      <c r="C1295">
        <v>20.584240000000001</v>
      </c>
      <c r="D1295">
        <v>35</v>
      </c>
      <c r="E1295">
        <v>0</v>
      </c>
      <c r="F1295">
        <v>0</v>
      </c>
      <c r="G1295">
        <v>61</v>
      </c>
      <c r="H1295" s="4">
        <v>1570525672482</v>
      </c>
      <c r="I1295">
        <v>526.5</v>
      </c>
      <c r="J1295" s="9">
        <f t="shared" si="20"/>
        <v>43746.672135208333</v>
      </c>
      <c r="K1295" s="1"/>
    </row>
    <row r="1296" spans="1:11" x14ac:dyDescent="0.25">
      <c r="A1296" t="e">
        <f>-Lqec0MMkOUVv6GQhuzG</f>
        <v>#NAME?</v>
      </c>
      <c r="B1296">
        <v>393.75</v>
      </c>
      <c r="C1296">
        <v>20.584240000000001</v>
      </c>
      <c r="D1296">
        <v>35</v>
      </c>
      <c r="E1296">
        <v>0</v>
      </c>
      <c r="F1296">
        <v>0</v>
      </c>
      <c r="G1296">
        <v>48</v>
      </c>
      <c r="H1296" s="4">
        <v>1570525679693</v>
      </c>
      <c r="I1296">
        <v>526.6875</v>
      </c>
      <c r="J1296" s="9">
        <f t="shared" si="20"/>
        <v>43746.67221866898</v>
      </c>
      <c r="K1296" s="1"/>
    </row>
    <row r="1297" spans="1:11" x14ac:dyDescent="0.25">
      <c r="A1297" t="e">
        <f>-Lqec270rdZhPIUFkHgg</f>
        <v>#NAME?</v>
      </c>
      <c r="B1297">
        <v>393.75</v>
      </c>
      <c r="C1297">
        <v>20.584240000000001</v>
      </c>
      <c r="D1297">
        <v>35</v>
      </c>
      <c r="E1297">
        <v>0</v>
      </c>
      <c r="F1297">
        <v>0</v>
      </c>
      <c r="G1297">
        <v>57</v>
      </c>
      <c r="H1297" s="4">
        <v>1570525686913</v>
      </c>
      <c r="I1297">
        <v>526.5</v>
      </c>
      <c r="J1297" s="9">
        <f t="shared" si="20"/>
        <v>43746.67230223379</v>
      </c>
      <c r="K1297" s="1"/>
    </row>
    <row r="1298" spans="1:11" x14ac:dyDescent="0.25">
      <c r="A1298" t="e">
        <f>-Lqec3q2tpaciI_Ut8o4</f>
        <v>#NAME?</v>
      </c>
      <c r="B1298">
        <v>412.5</v>
      </c>
      <c r="C1298">
        <v>20.531590000000001</v>
      </c>
      <c r="D1298">
        <v>35</v>
      </c>
      <c r="E1298">
        <v>0</v>
      </c>
      <c r="F1298">
        <v>0</v>
      </c>
      <c r="G1298">
        <v>55</v>
      </c>
      <c r="H1298" s="4">
        <v>1570525694122</v>
      </c>
      <c r="I1298">
        <v>532.125</v>
      </c>
      <c r="J1298" s="9">
        <f t="shared" si="20"/>
        <v>43746.672385671292</v>
      </c>
      <c r="K1298" s="1"/>
    </row>
    <row r="1299" spans="1:11" x14ac:dyDescent="0.25">
      <c r="A1299" t="e">
        <f>-Lqec5d-toAcVg0aYc3R</f>
        <v>#NAME?</v>
      </c>
      <c r="B1299">
        <v>393.75</v>
      </c>
      <c r="C1299">
        <v>20.584240000000001</v>
      </c>
      <c r="D1299">
        <v>38</v>
      </c>
      <c r="E1299">
        <v>0</v>
      </c>
      <c r="F1299">
        <v>0</v>
      </c>
      <c r="G1299">
        <v>56</v>
      </c>
      <c r="H1299" s="4">
        <v>1570525701332</v>
      </c>
      <c r="I1299">
        <v>526.6875</v>
      </c>
      <c r="J1299" s="9">
        <f t="shared" si="20"/>
        <v>43746.672469120364</v>
      </c>
      <c r="K1299" s="1"/>
    </row>
    <row r="1300" spans="1:11" x14ac:dyDescent="0.25">
      <c r="A1300" t="e">
        <f>-Lqec7VrKu-x0HfWDz6g</f>
        <v>#NAME?</v>
      </c>
      <c r="B1300">
        <v>393.75</v>
      </c>
      <c r="C1300">
        <v>20.584240000000001</v>
      </c>
      <c r="D1300">
        <v>39</v>
      </c>
      <c r="E1300">
        <v>0</v>
      </c>
      <c r="F1300">
        <v>0</v>
      </c>
      <c r="G1300">
        <v>65</v>
      </c>
      <c r="H1300" s="4">
        <v>1570525709075</v>
      </c>
      <c r="I1300">
        <v>526.6875</v>
      </c>
      <c r="J1300" s="9">
        <f t="shared" si="20"/>
        <v>43746.672558738421</v>
      </c>
      <c r="K1300" s="1"/>
    </row>
    <row r="1301" spans="1:11" x14ac:dyDescent="0.25">
      <c r="A1301" t="e">
        <f>-Lqec990qAnvmDIA6m1P</f>
        <v>#NAME?</v>
      </c>
      <c r="B1301">
        <v>393.75</v>
      </c>
      <c r="C1301">
        <v>20.531590000000001</v>
      </c>
      <c r="D1301">
        <v>38</v>
      </c>
      <c r="E1301">
        <v>0</v>
      </c>
      <c r="F1301">
        <v>0</v>
      </c>
      <c r="G1301">
        <v>63</v>
      </c>
      <c r="H1301" s="4">
        <v>1570525715771</v>
      </c>
      <c r="I1301">
        <v>526.6875</v>
      </c>
      <c r="J1301" s="9">
        <f t="shared" si="20"/>
        <v>43746.672636238429</v>
      </c>
      <c r="K1301" s="1"/>
    </row>
    <row r="1302" spans="1:11" x14ac:dyDescent="0.25">
      <c r="A1302" t="e">
        <f>-LqecAs0t7qIs76rG6iL</f>
        <v>#NAME?</v>
      </c>
      <c r="B1302">
        <v>393.75</v>
      </c>
      <c r="C1302">
        <v>20.531590000000001</v>
      </c>
      <c r="D1302">
        <v>38</v>
      </c>
      <c r="E1302">
        <v>0</v>
      </c>
      <c r="F1302">
        <v>0</v>
      </c>
      <c r="G1302">
        <v>56</v>
      </c>
      <c r="H1302" s="4">
        <v>1570525722952</v>
      </c>
      <c r="I1302">
        <v>526.6875</v>
      </c>
      <c r="J1302" s="9">
        <f t="shared" si="20"/>
        <v>43746.672719351853</v>
      </c>
      <c r="K1302" s="1"/>
    </row>
    <row r="1303" spans="1:11" x14ac:dyDescent="0.25">
      <c r="A1303" t="e">
        <f>-LqecCW1rtprlc907fZW</f>
        <v>#NAME?</v>
      </c>
      <c r="B1303">
        <v>393.75</v>
      </c>
      <c r="C1303">
        <v>20.584240000000001</v>
      </c>
      <c r="D1303">
        <v>38</v>
      </c>
      <c r="E1303">
        <v>0</v>
      </c>
      <c r="F1303">
        <v>0</v>
      </c>
      <c r="G1303">
        <v>62</v>
      </c>
      <c r="H1303" s="4">
        <v>1570525729142</v>
      </c>
      <c r="I1303">
        <v>526.6875</v>
      </c>
      <c r="J1303" s="9">
        <f t="shared" si="20"/>
        <v>43746.67279099537</v>
      </c>
      <c r="K1303" s="1"/>
    </row>
    <row r="1304" spans="1:11" x14ac:dyDescent="0.25">
      <c r="A1304" t="e">
        <f>-LqecE90d42Xwj0D1x6N</f>
        <v>#NAME?</v>
      </c>
      <c r="B1304">
        <v>393.75</v>
      </c>
      <c r="C1304">
        <v>20.584240000000001</v>
      </c>
      <c r="D1304">
        <v>36</v>
      </c>
      <c r="E1304">
        <v>0</v>
      </c>
      <c r="F1304">
        <v>0</v>
      </c>
      <c r="G1304">
        <v>57</v>
      </c>
      <c r="H1304" s="4">
        <v>1570525736362</v>
      </c>
      <c r="I1304">
        <v>526.6875</v>
      </c>
      <c r="J1304" s="9">
        <f t="shared" si="20"/>
        <v>43746.672874560179</v>
      </c>
      <c r="K1304" s="1"/>
    </row>
    <row r="1305" spans="1:11" x14ac:dyDescent="0.25">
      <c r="A1305" t="e">
        <f>-LqecFx2UyDWHSDhDAvK</f>
        <v>#NAME?</v>
      </c>
      <c r="B1305">
        <v>393.75</v>
      </c>
      <c r="C1305">
        <v>20.584240000000001</v>
      </c>
      <c r="D1305">
        <v>36</v>
      </c>
      <c r="E1305">
        <v>0</v>
      </c>
      <c r="F1305">
        <v>0</v>
      </c>
      <c r="G1305">
        <v>62</v>
      </c>
      <c r="H1305" s="4">
        <v>1570525743576</v>
      </c>
      <c r="I1305">
        <v>526.6875</v>
      </c>
      <c r="J1305" s="9">
        <f t="shared" si="20"/>
        <v>43746.672958055555</v>
      </c>
      <c r="K1305" s="1"/>
    </row>
    <row r="1306" spans="1:11" x14ac:dyDescent="0.25">
      <c r="A1306" t="e">
        <f>-LqecHf1xN0y2o07_p1o</f>
        <v>#NAME?</v>
      </c>
      <c r="B1306">
        <v>393.75</v>
      </c>
      <c r="C1306">
        <v>20.531590000000001</v>
      </c>
      <c r="D1306">
        <v>36</v>
      </c>
      <c r="E1306">
        <v>0</v>
      </c>
      <c r="F1306">
        <v>0</v>
      </c>
      <c r="G1306">
        <v>62</v>
      </c>
      <c r="H1306" s="4">
        <v>1570525750794</v>
      </c>
      <c r="I1306">
        <v>526.6875</v>
      </c>
      <c r="J1306" s="9">
        <f t="shared" si="20"/>
        <v>43746.67304159722</v>
      </c>
      <c r="K1306" s="1"/>
    </row>
    <row r="1307" spans="1:11" x14ac:dyDescent="0.25">
      <c r="A1307" t="e">
        <f>-LqecJT2A9Y14vhtALZM</f>
        <v>#NAME?</v>
      </c>
      <c r="B1307">
        <v>393.75</v>
      </c>
      <c r="C1307">
        <v>20.531590000000001</v>
      </c>
      <c r="D1307">
        <v>36</v>
      </c>
      <c r="E1307">
        <v>0</v>
      </c>
      <c r="F1307">
        <v>0</v>
      </c>
      <c r="G1307">
        <v>62</v>
      </c>
      <c r="H1307" s="4">
        <v>1570525758002</v>
      </c>
      <c r="I1307">
        <v>526.6875</v>
      </c>
      <c r="J1307" s="9">
        <f t="shared" si="20"/>
        <v>43746.673125023146</v>
      </c>
      <c r="K1307" s="1"/>
    </row>
    <row r="1308" spans="1:11" x14ac:dyDescent="0.25">
      <c r="A1308" t="e">
        <f>-LqecLB32bF9KkDBXmIK</f>
        <v>#NAME?</v>
      </c>
      <c r="B1308">
        <v>393.75</v>
      </c>
      <c r="C1308">
        <v>20.584240000000001</v>
      </c>
      <c r="D1308">
        <v>39</v>
      </c>
      <c r="E1308">
        <v>0</v>
      </c>
      <c r="F1308">
        <v>0</v>
      </c>
      <c r="G1308">
        <v>57</v>
      </c>
      <c r="H1308" s="4">
        <v>1570525765196</v>
      </c>
      <c r="I1308">
        <v>526.6875</v>
      </c>
      <c r="J1308" s="9">
        <f t="shared" si="20"/>
        <v>43746.673208287037</v>
      </c>
      <c r="K1308" s="1"/>
    </row>
    <row r="1309" spans="1:11" x14ac:dyDescent="0.25">
      <c r="A1309" t="e">
        <f>-LqecMk11V3SzsESJhIf</f>
        <v>#NAME?</v>
      </c>
      <c r="B1309">
        <v>393.75</v>
      </c>
      <c r="C1309">
        <v>20.584240000000001</v>
      </c>
      <c r="D1309">
        <v>39</v>
      </c>
      <c r="E1309">
        <v>0</v>
      </c>
      <c r="F1309">
        <v>0</v>
      </c>
      <c r="G1309">
        <v>59</v>
      </c>
      <c r="H1309" s="4">
        <v>1570525771383</v>
      </c>
      <c r="I1309">
        <v>526.6875</v>
      </c>
      <c r="J1309" s="9">
        <f t="shared" si="20"/>
        <v>43746.673279895833</v>
      </c>
      <c r="K1309" s="1"/>
    </row>
    <row r="1310" spans="1:11" x14ac:dyDescent="0.25">
      <c r="A1310" t="e">
        <f>-LqecOT1TAb_MIP0BodD</f>
        <v>#NAME?</v>
      </c>
      <c r="B1310">
        <v>393.75</v>
      </c>
      <c r="C1310">
        <v>20.531590000000001</v>
      </c>
      <c r="D1310">
        <v>35</v>
      </c>
      <c r="E1310">
        <v>0</v>
      </c>
      <c r="F1310">
        <v>0</v>
      </c>
      <c r="G1310">
        <v>62</v>
      </c>
      <c r="H1310" s="4">
        <v>1570525778632</v>
      </c>
      <c r="I1310">
        <v>526.6875</v>
      </c>
      <c r="J1310" s="9">
        <f t="shared" si="20"/>
        <v>43746.673363796297</v>
      </c>
      <c r="K1310" s="1"/>
    </row>
    <row r="1311" spans="1:11" x14ac:dyDescent="0.25">
      <c r="A1311" t="e">
        <f>-LqecQG1kiJcebBC0q5U</f>
        <v>#NAME?</v>
      </c>
      <c r="B1311">
        <v>393.75</v>
      </c>
      <c r="C1311">
        <v>20.531590000000001</v>
      </c>
      <c r="D1311">
        <v>35</v>
      </c>
      <c r="E1311">
        <v>0</v>
      </c>
      <c r="F1311">
        <v>0</v>
      </c>
      <c r="G1311">
        <v>59</v>
      </c>
      <c r="H1311" s="4">
        <v>1570525785822</v>
      </c>
      <c r="I1311">
        <v>526.5</v>
      </c>
      <c r="J1311" s="9">
        <f t="shared" si="20"/>
        <v>43746.673447013884</v>
      </c>
      <c r="K1311" s="1"/>
    </row>
    <row r="1312" spans="1:11" x14ac:dyDescent="0.25">
      <c r="A1312" t="e">
        <f>-LqecRz-WzB_gRn1ULqW</f>
        <v>#NAME?</v>
      </c>
      <c r="B1312">
        <v>393.75</v>
      </c>
      <c r="C1312">
        <v>20.584240000000001</v>
      </c>
      <c r="D1312">
        <v>38</v>
      </c>
      <c r="E1312">
        <v>0</v>
      </c>
      <c r="F1312">
        <v>0</v>
      </c>
      <c r="G1312">
        <v>59</v>
      </c>
      <c r="H1312" s="4">
        <v>1570525793046</v>
      </c>
      <c r="I1312">
        <v>526.5</v>
      </c>
      <c r="J1312" s="9">
        <f t="shared" si="20"/>
        <v>43746.673530624998</v>
      </c>
      <c r="K1312" s="1"/>
    </row>
    <row r="1313" spans="1:11" x14ac:dyDescent="0.25">
      <c r="A1313" t="e">
        <f>-LqecU0-oIUT1q0PpW94</f>
        <v>#NAME?</v>
      </c>
      <c r="B1313">
        <v>393.75</v>
      </c>
      <c r="C1313">
        <v>20.584240000000001</v>
      </c>
      <c r="D1313">
        <v>39</v>
      </c>
      <c r="E1313">
        <v>0</v>
      </c>
      <c r="F1313">
        <v>0</v>
      </c>
      <c r="G1313">
        <v>59</v>
      </c>
      <c r="H1313" s="4">
        <v>1570525801356</v>
      </c>
      <c r="I1313">
        <v>526.6875</v>
      </c>
      <c r="J1313" s="9">
        <f t="shared" si="20"/>
        <v>43746.673626805554</v>
      </c>
      <c r="K1313" s="1"/>
    </row>
    <row r="1314" spans="1:11" x14ac:dyDescent="0.25">
      <c r="A1314" t="e">
        <f>-LqecVo-ECa-Zkr9q04L</f>
        <v>#NAME?</v>
      </c>
      <c r="B1314">
        <v>393.75</v>
      </c>
      <c r="C1314">
        <v>20.531590000000001</v>
      </c>
      <c r="D1314">
        <v>38</v>
      </c>
      <c r="E1314">
        <v>0</v>
      </c>
      <c r="F1314">
        <v>0</v>
      </c>
      <c r="G1314">
        <v>62</v>
      </c>
      <c r="H1314" s="4">
        <v>1570525808493</v>
      </c>
      <c r="I1314">
        <v>526.6875</v>
      </c>
      <c r="J1314" s="9">
        <f t="shared" si="20"/>
        <v>43746.673709409719</v>
      </c>
      <c r="K1314" s="1"/>
    </row>
    <row r="1315" spans="1:11" x14ac:dyDescent="0.25">
      <c r="A1315" t="e">
        <f>-LqecXX-v88wYsyVus4O</f>
        <v>#NAME?</v>
      </c>
      <c r="B1315">
        <v>393.75</v>
      </c>
      <c r="C1315">
        <v>20.584240000000001</v>
      </c>
      <c r="D1315">
        <v>38</v>
      </c>
      <c r="E1315">
        <v>0</v>
      </c>
      <c r="F1315">
        <v>0</v>
      </c>
      <c r="G1315">
        <v>57</v>
      </c>
      <c r="H1315" s="4">
        <v>1570525815693</v>
      </c>
      <c r="I1315">
        <v>526.6875</v>
      </c>
      <c r="J1315" s="9">
        <f t="shared" si="20"/>
        <v>43746.673792743059</v>
      </c>
      <c r="K1315" s="1"/>
    </row>
    <row r="1316" spans="1:11" x14ac:dyDescent="0.25">
      <c r="A1316" t="e">
        <f>-LqecZJtN3HmkHwX8IWk</f>
        <v>#NAME?</v>
      </c>
      <c r="B1316">
        <v>393.75</v>
      </c>
      <c r="C1316">
        <v>20.584240000000001</v>
      </c>
      <c r="D1316">
        <v>37</v>
      </c>
      <c r="E1316">
        <v>0</v>
      </c>
      <c r="F1316">
        <v>0</v>
      </c>
      <c r="G1316">
        <v>64</v>
      </c>
      <c r="H1316" s="4">
        <v>1570525822913</v>
      </c>
      <c r="I1316">
        <v>526.6875</v>
      </c>
      <c r="J1316" s="9">
        <f t="shared" si="20"/>
        <v>43746.673876307868</v>
      </c>
      <c r="K1316" s="1"/>
    </row>
    <row r="1317" spans="1:11" x14ac:dyDescent="0.25">
      <c r="A1317" t="e">
        <f>-Lqeca22q-vd6DLCjSDi</f>
        <v>#NAME?</v>
      </c>
      <c r="B1317">
        <v>393.75</v>
      </c>
      <c r="C1317">
        <v>20.584240000000001</v>
      </c>
      <c r="D1317">
        <v>37</v>
      </c>
      <c r="E1317">
        <v>0</v>
      </c>
      <c r="F1317">
        <v>0</v>
      </c>
      <c r="G1317">
        <v>65</v>
      </c>
      <c r="H1317" s="4">
        <v>1570525830123</v>
      </c>
      <c r="I1317">
        <v>526.6875</v>
      </c>
      <c r="J1317" s="9">
        <f t="shared" si="20"/>
        <v>43746.673959756947</v>
      </c>
      <c r="K1317" s="1"/>
    </row>
    <row r="1318" spans="1:11" x14ac:dyDescent="0.25">
      <c r="A1318" t="e">
        <f>-LqecbyJHizjMnTMtdpP</f>
        <v>#NAME?</v>
      </c>
      <c r="B1318">
        <v>393.75</v>
      </c>
      <c r="C1318">
        <v>20.531590000000001</v>
      </c>
      <c r="D1318">
        <v>38</v>
      </c>
      <c r="E1318">
        <v>0</v>
      </c>
      <c r="F1318">
        <v>0</v>
      </c>
      <c r="G1318">
        <v>65</v>
      </c>
      <c r="H1318" s="4">
        <v>1570525837334</v>
      </c>
      <c r="I1318">
        <v>526.6875</v>
      </c>
      <c r="J1318" s="9">
        <f t="shared" si="20"/>
        <v>43746.674043217594</v>
      </c>
      <c r="K1318" s="1"/>
    </row>
    <row r="1319" spans="1:11" x14ac:dyDescent="0.25">
      <c r="A1319" t="e">
        <f>-LqecdZ1FXcHF3TT43jw</f>
        <v>#NAME?</v>
      </c>
      <c r="B1319">
        <v>393.75</v>
      </c>
      <c r="C1319">
        <v>20.531590000000001</v>
      </c>
      <c r="D1319">
        <v>38</v>
      </c>
      <c r="E1319">
        <v>0</v>
      </c>
      <c r="F1319">
        <v>0</v>
      </c>
      <c r="G1319">
        <v>61</v>
      </c>
      <c r="H1319" s="4">
        <v>1570525844553</v>
      </c>
      <c r="I1319">
        <v>526.6875</v>
      </c>
      <c r="J1319" s="9">
        <f t="shared" si="20"/>
        <v>43746.674126770835</v>
      </c>
      <c r="K1319" s="1"/>
    </row>
    <row r="1320" spans="1:11" x14ac:dyDescent="0.25">
      <c r="A1320" t="e">
        <f>-LqecfMAa9vlXIxnM1Rb</f>
        <v>#NAME?</v>
      </c>
      <c r="B1320">
        <v>393.75</v>
      </c>
      <c r="C1320">
        <v>20.584240000000001</v>
      </c>
      <c r="D1320">
        <v>38</v>
      </c>
      <c r="E1320">
        <v>0</v>
      </c>
      <c r="F1320">
        <v>0</v>
      </c>
      <c r="G1320">
        <v>60</v>
      </c>
      <c r="H1320" s="4">
        <v>1570525851764</v>
      </c>
      <c r="I1320">
        <v>526.6875</v>
      </c>
      <c r="J1320" s="9">
        <f t="shared" si="20"/>
        <v>43746.674210231482</v>
      </c>
      <c r="K1320" s="1"/>
    </row>
    <row r="1321" spans="1:11" x14ac:dyDescent="0.25">
      <c r="A1321" t="e">
        <f>-Lqech47cYcTdnKJBlQ1</f>
        <v>#NAME?</v>
      </c>
      <c r="B1321">
        <v>393.75</v>
      </c>
      <c r="C1321">
        <v>20.531590000000001</v>
      </c>
      <c r="D1321">
        <v>38</v>
      </c>
      <c r="E1321">
        <v>0</v>
      </c>
      <c r="F1321">
        <v>0</v>
      </c>
      <c r="G1321">
        <v>63</v>
      </c>
      <c r="H1321" s="4">
        <v>1570525858953</v>
      </c>
      <c r="I1321">
        <v>526.5</v>
      </c>
      <c r="J1321" s="9">
        <f t="shared" si="20"/>
        <v>43746.6742934375</v>
      </c>
      <c r="K1321" s="1"/>
    </row>
    <row r="1322" spans="1:11" x14ac:dyDescent="0.25">
      <c r="A1322" t="e">
        <f>-Lqecid0Rya7bjI1riHJ</f>
        <v>#NAME?</v>
      </c>
      <c r="B1322">
        <v>393.75</v>
      </c>
      <c r="C1322">
        <v>20.584240000000001</v>
      </c>
      <c r="D1322">
        <v>38</v>
      </c>
      <c r="E1322">
        <v>0</v>
      </c>
      <c r="F1322">
        <v>0</v>
      </c>
      <c r="G1322">
        <v>66</v>
      </c>
      <c r="H1322" s="4">
        <v>1570525865152</v>
      </c>
      <c r="I1322">
        <v>526.6875</v>
      </c>
      <c r="J1322" s="9">
        <f t="shared" si="20"/>
        <v>43746.674365185179</v>
      </c>
      <c r="K1322" s="1"/>
    </row>
    <row r="1323" spans="1:11" x14ac:dyDescent="0.25">
      <c r="A1323" t="s">
        <v>70</v>
      </c>
      <c r="B1323">
        <v>393.75</v>
      </c>
      <c r="C1323">
        <v>20.531590000000001</v>
      </c>
      <c r="D1323">
        <v>31</v>
      </c>
      <c r="E1323">
        <v>0</v>
      </c>
      <c r="F1323">
        <v>0</v>
      </c>
      <c r="G1323">
        <v>59</v>
      </c>
      <c r="H1323" s="4">
        <v>1570525872392</v>
      </c>
      <c r="I1323">
        <v>526.6875</v>
      </c>
      <c r="J1323" s="9">
        <f t="shared" si="20"/>
        <v>43746.674448981481</v>
      </c>
      <c r="K1323" s="1"/>
    </row>
    <row r="1324" spans="1:11" x14ac:dyDescent="0.25">
      <c r="A1324" t="e">
        <f>-Lqecm92do7L5f0ld4AC</f>
        <v>#NAME?</v>
      </c>
      <c r="B1324">
        <v>393.75</v>
      </c>
      <c r="C1324">
        <v>20.584240000000001</v>
      </c>
      <c r="D1324">
        <v>33</v>
      </c>
      <c r="E1324">
        <v>0</v>
      </c>
      <c r="F1324">
        <v>0</v>
      </c>
      <c r="G1324">
        <v>67</v>
      </c>
      <c r="H1324" s="4">
        <v>1570525879583</v>
      </c>
      <c r="I1324">
        <v>526.6875</v>
      </c>
      <c r="J1324" s="9">
        <f t="shared" si="20"/>
        <v>43746.674532210651</v>
      </c>
      <c r="K1324" s="1"/>
    </row>
    <row r="1325" spans="1:11" x14ac:dyDescent="0.25">
      <c r="A1325" t="e">
        <f>-Lqecns-hTINKIWVDRzl</f>
        <v>#NAME?</v>
      </c>
      <c r="B1325">
        <v>393.75</v>
      </c>
      <c r="C1325">
        <v>20.531590000000001</v>
      </c>
      <c r="D1325">
        <v>36</v>
      </c>
      <c r="E1325">
        <v>0</v>
      </c>
      <c r="F1325">
        <v>0</v>
      </c>
      <c r="G1325">
        <v>57</v>
      </c>
      <c r="H1325" s="4">
        <v>1570525886783</v>
      </c>
      <c r="I1325">
        <v>526.6875</v>
      </c>
      <c r="J1325" s="9">
        <f t="shared" si="20"/>
        <v>43746.674615543983</v>
      </c>
      <c r="K1325" s="1"/>
    </row>
    <row r="1326" spans="1:11" x14ac:dyDescent="0.25">
      <c r="A1326" t="e">
        <f>-Lqecq3g3b983_o-JPz_</f>
        <v>#NAME?</v>
      </c>
      <c r="B1326">
        <v>393.75</v>
      </c>
      <c r="C1326">
        <v>20.584240000000001</v>
      </c>
      <c r="D1326">
        <v>36</v>
      </c>
      <c r="E1326">
        <v>0</v>
      </c>
      <c r="F1326">
        <v>0</v>
      </c>
      <c r="G1326">
        <v>65</v>
      </c>
      <c r="H1326" s="4">
        <v>1570525894012</v>
      </c>
      <c r="I1326">
        <v>526.6875</v>
      </c>
      <c r="J1326" s="9">
        <f t="shared" si="20"/>
        <v>43746.674699212956</v>
      </c>
      <c r="K1326" s="1"/>
    </row>
    <row r="1327" spans="1:11" x14ac:dyDescent="0.25">
      <c r="A1327" t="e">
        <f>-LqecrfnfRREC6bfuXGd</f>
        <v>#NAME?</v>
      </c>
      <c r="B1327">
        <v>393.75</v>
      </c>
      <c r="C1327">
        <v>20.531590000000001</v>
      </c>
      <c r="D1327">
        <v>38</v>
      </c>
      <c r="E1327">
        <v>0</v>
      </c>
      <c r="F1327">
        <v>0</v>
      </c>
      <c r="G1327">
        <v>70</v>
      </c>
      <c r="H1327" s="4">
        <v>1570525902255</v>
      </c>
      <c r="I1327">
        <v>526.6875</v>
      </c>
      <c r="J1327" s="9">
        <f t="shared" si="20"/>
        <v>43746.674794618055</v>
      </c>
      <c r="K1327" s="1"/>
    </row>
    <row r="1328" spans="1:11" x14ac:dyDescent="0.25">
      <c r="A1328" t="e">
        <f>-LqectQCWVhnvULwJvOj</f>
        <v>#NAME?</v>
      </c>
      <c r="B1328">
        <v>393.75</v>
      </c>
      <c r="C1328">
        <v>20.531590000000001</v>
      </c>
      <c r="D1328">
        <v>38</v>
      </c>
      <c r="E1328">
        <v>0</v>
      </c>
      <c r="F1328">
        <v>0</v>
      </c>
      <c r="G1328">
        <v>64</v>
      </c>
      <c r="H1328" s="4">
        <v>1570525909504</v>
      </c>
      <c r="I1328">
        <v>526.5</v>
      </c>
      <c r="J1328" s="9">
        <f t="shared" si="20"/>
        <v>43746.674878518512</v>
      </c>
      <c r="K1328" s="1"/>
    </row>
    <row r="1329" spans="1:11" x14ac:dyDescent="0.25">
      <c r="A1329" t="e">
        <f>-LqecvD2o821SJutsiiT</f>
        <v>#NAME?</v>
      </c>
      <c r="B1329">
        <v>393.75</v>
      </c>
      <c r="C1329">
        <v>20.531590000000001</v>
      </c>
      <c r="D1329">
        <v>38</v>
      </c>
      <c r="E1329">
        <v>0</v>
      </c>
      <c r="F1329">
        <v>0</v>
      </c>
      <c r="G1329">
        <v>68</v>
      </c>
      <c r="H1329" s="4">
        <v>1570525916675</v>
      </c>
      <c r="I1329">
        <v>526.6875</v>
      </c>
      <c r="J1329" s="9">
        <f t="shared" si="20"/>
        <v>43746.674961516204</v>
      </c>
      <c r="K1329" s="1"/>
    </row>
    <row r="1330" spans="1:11" x14ac:dyDescent="0.25">
      <c r="A1330" t="e">
        <f>-LqecwvuydSwJWwuH_uO</f>
        <v>#NAME?</v>
      </c>
      <c r="B1330">
        <v>393.75</v>
      </c>
      <c r="C1330">
        <v>20.584240000000001</v>
      </c>
      <c r="D1330">
        <v>38</v>
      </c>
      <c r="E1330">
        <v>0</v>
      </c>
      <c r="F1330">
        <v>0</v>
      </c>
      <c r="G1330">
        <v>69</v>
      </c>
      <c r="H1330" s="4">
        <v>1570525923916</v>
      </c>
      <c r="I1330">
        <v>526.6875</v>
      </c>
      <c r="J1330" s="9">
        <f t="shared" si="20"/>
        <v>43746.675045324075</v>
      </c>
      <c r="K1330" s="1"/>
    </row>
    <row r="1331" spans="1:11" x14ac:dyDescent="0.25">
      <c r="A1331" t="e">
        <f>-Lqecye18hQJem_MYzKp</f>
        <v>#NAME?</v>
      </c>
      <c r="B1331">
        <v>393.75</v>
      </c>
      <c r="C1331">
        <v>20.531590000000001</v>
      </c>
      <c r="D1331">
        <v>38</v>
      </c>
      <c r="E1331">
        <v>0</v>
      </c>
      <c r="F1331">
        <v>0</v>
      </c>
      <c r="G1331">
        <v>62</v>
      </c>
      <c r="H1331" s="4">
        <v>1570525931104</v>
      </c>
      <c r="I1331">
        <v>526.6875</v>
      </c>
      <c r="J1331" s="9">
        <f t="shared" si="20"/>
        <v>43746.675128518516</v>
      </c>
      <c r="K1331" s="1"/>
    </row>
    <row r="1332" spans="1:11" x14ac:dyDescent="0.25">
      <c r="A1332" t="e">
        <f>-LqeD-BmMrn8khVxqrGo</f>
        <v>#NAME?</v>
      </c>
      <c r="B1332">
        <v>393.75</v>
      </c>
      <c r="C1332">
        <v>20.584240000000001</v>
      </c>
      <c r="D1332">
        <v>36</v>
      </c>
      <c r="E1332">
        <v>0</v>
      </c>
      <c r="F1332">
        <v>0</v>
      </c>
      <c r="G1332">
        <v>65</v>
      </c>
      <c r="H1332" s="4">
        <v>1570525937284</v>
      </c>
      <c r="I1332">
        <v>526.6875</v>
      </c>
      <c r="J1332" s="9">
        <f t="shared" si="20"/>
        <v>43746.675200046295</v>
      </c>
      <c r="K1332" s="1"/>
    </row>
    <row r="1333" spans="1:11" x14ac:dyDescent="0.25">
      <c r="A1333" t="e">
        <f>-Lqed1-ur7bLZhiqoict</f>
        <v>#NAME?</v>
      </c>
      <c r="B1333">
        <v>393.75</v>
      </c>
      <c r="C1333">
        <v>20.531590000000001</v>
      </c>
      <c r="D1333">
        <v>36</v>
      </c>
      <c r="E1333">
        <v>0</v>
      </c>
      <c r="F1333">
        <v>0</v>
      </c>
      <c r="G1333">
        <v>72</v>
      </c>
      <c r="H1333" s="4">
        <v>1570525944494</v>
      </c>
      <c r="I1333">
        <v>526.6875</v>
      </c>
      <c r="J1333" s="9">
        <f t="shared" si="20"/>
        <v>43746.675283495373</v>
      </c>
      <c r="K1333" s="1"/>
    </row>
    <row r="1334" spans="1:11" x14ac:dyDescent="0.25">
      <c r="A1334" t="e">
        <f>-Lqed2hfNzPcYRkzf8nX</f>
        <v>#NAME?</v>
      </c>
      <c r="B1334">
        <v>393.75</v>
      </c>
      <c r="C1334">
        <v>20.584240000000001</v>
      </c>
      <c r="D1334">
        <v>36</v>
      </c>
      <c r="E1334">
        <v>0</v>
      </c>
      <c r="F1334">
        <v>0</v>
      </c>
      <c r="G1334">
        <v>63</v>
      </c>
      <c r="H1334" s="4">
        <v>1570525951714</v>
      </c>
      <c r="I1334">
        <v>526.6875</v>
      </c>
      <c r="J1334" s="9">
        <f t="shared" si="20"/>
        <v>43746.675367060183</v>
      </c>
      <c r="K1334" s="1"/>
    </row>
    <row r="1335" spans="1:11" x14ac:dyDescent="0.25">
      <c r="A1335" t="e">
        <f>-Lqed4X1rfBoEa4ze47y</f>
        <v>#NAME?</v>
      </c>
      <c r="B1335">
        <v>393.75</v>
      </c>
      <c r="C1335">
        <v>20.584240000000001</v>
      </c>
      <c r="D1335">
        <v>36</v>
      </c>
      <c r="E1335">
        <v>0</v>
      </c>
      <c r="F1335">
        <v>0</v>
      </c>
      <c r="G1335">
        <v>60</v>
      </c>
      <c r="H1335" s="4">
        <v>1570525958924</v>
      </c>
      <c r="I1335">
        <v>526.6875</v>
      </c>
      <c r="J1335" s="9">
        <f t="shared" si="20"/>
        <v>43746.675450509261</v>
      </c>
      <c r="K1335" s="1"/>
    </row>
    <row r="1336" spans="1:11" x14ac:dyDescent="0.25">
      <c r="A1336" t="e">
        <f>-Lqed6F2Rzub99NEuTuX</f>
        <v>#NAME?</v>
      </c>
      <c r="B1336">
        <v>393.75</v>
      </c>
      <c r="C1336">
        <v>20.584240000000001</v>
      </c>
      <c r="D1336">
        <v>37</v>
      </c>
      <c r="E1336">
        <v>0</v>
      </c>
      <c r="F1336">
        <v>0</v>
      </c>
      <c r="G1336">
        <v>55</v>
      </c>
      <c r="H1336" s="4">
        <v>1570525966225</v>
      </c>
      <c r="I1336">
        <v>526.6875</v>
      </c>
      <c r="J1336" s="9">
        <f t="shared" si="20"/>
        <v>43746.675535011571</v>
      </c>
      <c r="K1336" s="1"/>
    </row>
    <row r="1337" spans="1:11" x14ac:dyDescent="0.25">
      <c r="A1337" t="e">
        <f>-Lqed80mc5YGrYKZH4Ni</f>
        <v>#NAME?</v>
      </c>
      <c r="B1337">
        <v>393.75</v>
      </c>
      <c r="C1337">
        <v>20.584240000000001</v>
      </c>
      <c r="D1337">
        <v>36</v>
      </c>
      <c r="E1337">
        <v>0</v>
      </c>
      <c r="F1337">
        <v>0</v>
      </c>
      <c r="G1337">
        <v>65</v>
      </c>
      <c r="H1337" s="4">
        <v>1570525973355</v>
      </c>
      <c r="I1337">
        <v>526.6875</v>
      </c>
      <c r="J1337" s="9">
        <f t="shared" si="20"/>
        <v>43746.675617534718</v>
      </c>
      <c r="K1337" s="1"/>
    </row>
    <row r="1338" spans="1:11" x14ac:dyDescent="0.25">
      <c r="A1338" t="s">
        <v>71</v>
      </c>
      <c r="B1338">
        <v>412.5</v>
      </c>
      <c r="C1338">
        <v>20.584240000000001</v>
      </c>
      <c r="D1338">
        <v>36</v>
      </c>
      <c r="E1338">
        <v>0</v>
      </c>
      <c r="F1338">
        <v>0</v>
      </c>
      <c r="G1338">
        <v>67</v>
      </c>
      <c r="H1338" s="4">
        <v>1570525980544</v>
      </c>
      <c r="I1338">
        <v>532.3125</v>
      </c>
      <c r="J1338" s="9">
        <f t="shared" si="20"/>
        <v>43746.675700740736</v>
      </c>
      <c r="K1338" s="1"/>
    </row>
    <row r="1339" spans="1:11" x14ac:dyDescent="0.25">
      <c r="A1339" t="e">
        <f>-LqedBZ1LB4tJb1OYm8D</f>
        <v>#NAME?</v>
      </c>
      <c r="B1339">
        <v>393.75</v>
      </c>
      <c r="C1339">
        <v>20.584240000000001</v>
      </c>
      <c r="D1339">
        <v>36</v>
      </c>
      <c r="E1339">
        <v>0</v>
      </c>
      <c r="F1339">
        <v>0</v>
      </c>
      <c r="G1339">
        <v>66</v>
      </c>
      <c r="H1339" s="4">
        <v>1570525987775</v>
      </c>
      <c r="I1339">
        <v>526.6875</v>
      </c>
      <c r="J1339" s="9">
        <f t="shared" si="20"/>
        <v>43746.675784432868</v>
      </c>
      <c r="K1339" s="1"/>
    </row>
    <row r="1340" spans="1:11" x14ac:dyDescent="0.25">
      <c r="A1340" t="e">
        <f>-LqedDUkQ3zbQWFzQwSs</f>
        <v>#NAME?</v>
      </c>
      <c r="B1340">
        <v>393.75</v>
      </c>
      <c r="C1340">
        <v>20.584240000000001</v>
      </c>
      <c r="D1340">
        <v>38</v>
      </c>
      <c r="E1340">
        <v>0</v>
      </c>
      <c r="F1340">
        <v>0</v>
      </c>
      <c r="G1340">
        <v>70</v>
      </c>
      <c r="H1340" s="4">
        <v>1570525994966</v>
      </c>
      <c r="I1340">
        <v>526.6875</v>
      </c>
      <c r="J1340" s="9">
        <f t="shared" si="20"/>
        <v>43746.67586766203</v>
      </c>
      <c r="K1340" s="1"/>
    </row>
    <row r="1341" spans="1:11" x14ac:dyDescent="0.25">
      <c r="A1341" t="e">
        <f>-LqedF2nIPd9afIaNTav</f>
        <v>#NAME?</v>
      </c>
      <c r="B1341">
        <v>393.75</v>
      </c>
      <c r="C1341">
        <v>20.531590000000001</v>
      </c>
      <c r="D1341">
        <v>38</v>
      </c>
      <c r="E1341">
        <v>0</v>
      </c>
      <c r="F1341">
        <v>0</v>
      </c>
      <c r="G1341">
        <v>67</v>
      </c>
      <c r="H1341" s="4">
        <v>1570526002184</v>
      </c>
      <c r="I1341">
        <v>526.6875</v>
      </c>
      <c r="J1341" s="9">
        <f t="shared" si="20"/>
        <v>43746.675951203702</v>
      </c>
      <c r="K1341" s="1"/>
    </row>
    <row r="1342" spans="1:11" x14ac:dyDescent="0.25">
      <c r="A1342" t="e">
        <f>-LqedGs2ExrU1VbXQqc4</f>
        <v>#NAME?</v>
      </c>
      <c r="B1342">
        <v>393.75</v>
      </c>
      <c r="C1342">
        <v>20.584240000000001</v>
      </c>
      <c r="D1342">
        <v>38</v>
      </c>
      <c r="E1342">
        <v>0</v>
      </c>
      <c r="F1342">
        <v>0</v>
      </c>
      <c r="G1342">
        <v>67</v>
      </c>
      <c r="H1342" s="4">
        <v>1570526009414</v>
      </c>
      <c r="I1342">
        <v>526.6875</v>
      </c>
      <c r="J1342" s="9">
        <f t="shared" si="20"/>
        <v>43746.676034884258</v>
      </c>
      <c r="K1342" s="1"/>
    </row>
    <row r="1343" spans="1:11" x14ac:dyDescent="0.25">
      <c r="A1343" t="s">
        <v>72</v>
      </c>
      <c r="B1343">
        <v>393.75</v>
      </c>
      <c r="C1343">
        <v>20.584240000000001</v>
      </c>
      <c r="D1343">
        <v>38</v>
      </c>
      <c r="E1343">
        <v>0</v>
      </c>
      <c r="F1343">
        <v>0</v>
      </c>
      <c r="G1343">
        <v>57</v>
      </c>
      <c r="H1343" s="4">
        <v>1570526016625</v>
      </c>
      <c r="I1343">
        <v>526.6875</v>
      </c>
      <c r="J1343" s="9">
        <f t="shared" si="20"/>
        <v>43746.676118344905</v>
      </c>
      <c r="K1343" s="1"/>
    </row>
    <row r="1344" spans="1:11" x14ac:dyDescent="0.25">
      <c r="A1344" t="e">
        <f>-LqedKJ3bVDtmUrdVGe5</f>
        <v>#NAME?</v>
      </c>
      <c r="B1344">
        <v>393.75</v>
      </c>
      <c r="C1344">
        <v>20.584240000000001</v>
      </c>
      <c r="D1344">
        <v>39</v>
      </c>
      <c r="E1344">
        <v>0</v>
      </c>
      <c r="F1344">
        <v>0</v>
      </c>
      <c r="G1344">
        <v>67</v>
      </c>
      <c r="H1344" s="4">
        <v>1570526023836</v>
      </c>
      <c r="I1344">
        <v>526.6875</v>
      </c>
      <c r="J1344" s="9">
        <f t="shared" si="20"/>
        <v>43746.676201805552</v>
      </c>
      <c r="K1344" s="1"/>
    </row>
    <row r="1345" spans="1:11" x14ac:dyDescent="0.25">
      <c r="A1345" t="e">
        <f>-LqedLnDzDxp7bfZ2jVC</f>
        <v>#NAME?</v>
      </c>
      <c r="B1345">
        <v>412.5</v>
      </c>
      <c r="C1345">
        <v>20.531590000000001</v>
      </c>
      <c r="D1345">
        <v>39</v>
      </c>
      <c r="E1345">
        <v>0</v>
      </c>
      <c r="F1345">
        <v>0</v>
      </c>
      <c r="G1345">
        <v>65</v>
      </c>
      <c r="H1345" s="4">
        <v>1570526030023</v>
      </c>
      <c r="I1345">
        <v>532.5</v>
      </c>
      <c r="J1345" s="9">
        <f t="shared" si="20"/>
        <v>43746.676273414349</v>
      </c>
      <c r="K1345" s="1"/>
    </row>
    <row r="1346" spans="1:11" x14ac:dyDescent="0.25">
      <c r="A1346" t="e">
        <f>-LqedNc_0KmcEj3Oyf09</f>
        <v>#NAME?</v>
      </c>
      <c r="B1346">
        <v>393.75</v>
      </c>
      <c r="C1346">
        <v>20.584240000000001</v>
      </c>
      <c r="D1346">
        <v>39</v>
      </c>
      <c r="E1346">
        <v>0</v>
      </c>
      <c r="F1346">
        <v>0</v>
      </c>
      <c r="G1346">
        <v>74</v>
      </c>
      <c r="H1346" s="4">
        <v>1570526036173</v>
      </c>
      <c r="I1346">
        <v>526.6875</v>
      </c>
      <c r="J1346" s="9">
        <f t="shared" si="20"/>
        <v>43746.676344594904</v>
      </c>
      <c r="K1346" s="1"/>
    </row>
    <row r="1347" spans="1:11" x14ac:dyDescent="0.25">
      <c r="A1347" t="e">
        <f>-LqedP7mIoaN2oGI0WfA</f>
        <v>#NAME?</v>
      </c>
      <c r="B1347">
        <v>393.75</v>
      </c>
      <c r="C1347">
        <v>20.584240000000001</v>
      </c>
      <c r="D1347">
        <v>39</v>
      </c>
      <c r="E1347">
        <v>0</v>
      </c>
      <c r="F1347">
        <v>0</v>
      </c>
      <c r="G1347">
        <v>75</v>
      </c>
      <c r="H1347" s="4">
        <v>1570526043422</v>
      </c>
      <c r="I1347">
        <v>526.5</v>
      </c>
      <c r="J1347" s="9">
        <f t="shared" ref="J1347:J1410" si="21">(H1347/86400000)+25569+(7/24)</f>
        <v>43746.676428495368</v>
      </c>
      <c r="K1347" s="1"/>
    </row>
    <row r="1348" spans="1:11" x14ac:dyDescent="0.25">
      <c r="A1348" t="e">
        <f>-LqedQrkkVqX1UllopTc</f>
        <v>#NAME?</v>
      </c>
      <c r="B1348">
        <v>425</v>
      </c>
      <c r="C1348">
        <v>20.584240000000001</v>
      </c>
      <c r="D1348">
        <v>39</v>
      </c>
      <c r="E1348">
        <v>0</v>
      </c>
      <c r="F1348">
        <v>0</v>
      </c>
      <c r="G1348">
        <v>66</v>
      </c>
      <c r="H1348" s="4">
        <v>1570526050624</v>
      </c>
      <c r="I1348">
        <v>536.625</v>
      </c>
      <c r="J1348" s="9">
        <f t="shared" si="21"/>
        <v>43746.676511851845</v>
      </c>
      <c r="K1348" s="1"/>
    </row>
    <row r="1349" spans="1:11" x14ac:dyDescent="0.25">
      <c r="A1349" t="e">
        <f>-LqedSdnAez1qDvXCpZL</f>
        <v>#NAME?</v>
      </c>
      <c r="B1349">
        <v>393.75</v>
      </c>
      <c r="C1349">
        <v>20.531590000000001</v>
      </c>
      <c r="D1349">
        <v>38</v>
      </c>
      <c r="E1349">
        <v>0</v>
      </c>
      <c r="F1349">
        <v>0</v>
      </c>
      <c r="G1349">
        <v>68</v>
      </c>
      <c r="H1349" s="4">
        <v>1570526057834</v>
      </c>
      <c r="I1349">
        <v>526.6875</v>
      </c>
      <c r="J1349" s="9">
        <f t="shared" si="21"/>
        <v>43746.676595300924</v>
      </c>
      <c r="K1349" s="1"/>
    </row>
    <row r="1350" spans="1:11" x14ac:dyDescent="0.25">
      <c r="A1350" t="e">
        <f>-LqedUMn8STTvrK1v7ph</f>
        <v>#NAME?</v>
      </c>
      <c r="B1350">
        <v>393.75</v>
      </c>
      <c r="C1350">
        <v>20.531590000000001</v>
      </c>
      <c r="D1350">
        <v>39</v>
      </c>
      <c r="E1350">
        <v>0</v>
      </c>
      <c r="F1350">
        <v>0</v>
      </c>
      <c r="G1350">
        <v>66</v>
      </c>
      <c r="H1350" s="4">
        <v>1570526065025</v>
      </c>
      <c r="I1350">
        <v>526.6875</v>
      </c>
      <c r="J1350" s="9">
        <f t="shared" si="21"/>
        <v>43746.676678530093</v>
      </c>
      <c r="K1350" s="1"/>
    </row>
    <row r="1351" spans="1:11" x14ac:dyDescent="0.25">
      <c r="A1351" t="e">
        <f>-LqedVvxneNUwLJxUv4S</f>
        <v>#NAME?</v>
      </c>
      <c r="B1351">
        <v>393.75</v>
      </c>
      <c r="C1351">
        <v>20.531590000000001</v>
      </c>
      <c r="D1351">
        <v>39</v>
      </c>
      <c r="E1351">
        <v>0</v>
      </c>
      <c r="F1351">
        <v>0</v>
      </c>
      <c r="G1351">
        <v>70</v>
      </c>
      <c r="H1351" s="4">
        <v>1570526071225</v>
      </c>
      <c r="I1351">
        <v>526.6875</v>
      </c>
      <c r="J1351" s="9">
        <f t="shared" si="21"/>
        <v>43746.676750289349</v>
      </c>
      <c r="K1351" s="1"/>
    </row>
    <row r="1352" spans="1:11" x14ac:dyDescent="0.25">
      <c r="A1352" t="e">
        <f>-LqedXdpsMEELp7KOV77</f>
        <v>#NAME?</v>
      </c>
      <c r="B1352">
        <v>393.75</v>
      </c>
      <c r="C1352">
        <v>20.531590000000001</v>
      </c>
      <c r="D1352">
        <v>34</v>
      </c>
      <c r="E1352">
        <v>0</v>
      </c>
      <c r="F1352">
        <v>0</v>
      </c>
      <c r="G1352">
        <v>73</v>
      </c>
      <c r="H1352" s="4">
        <v>1570526078453</v>
      </c>
      <c r="I1352">
        <v>526.6875</v>
      </c>
      <c r="J1352" s="9">
        <f t="shared" si="21"/>
        <v>43746.67683394676</v>
      </c>
      <c r="K1352" s="1"/>
    </row>
    <row r="1353" spans="1:11" x14ac:dyDescent="0.25">
      <c r="A1353" t="e">
        <f>-LqedZSjDgGHMDqE5bkS</f>
        <v>#NAME?</v>
      </c>
      <c r="B1353">
        <v>393.75</v>
      </c>
      <c r="C1353">
        <v>20.584240000000001</v>
      </c>
      <c r="D1353">
        <v>36</v>
      </c>
      <c r="E1353">
        <v>0</v>
      </c>
      <c r="F1353">
        <v>0</v>
      </c>
      <c r="G1353">
        <v>60</v>
      </c>
      <c r="H1353" s="4">
        <v>1570526085665</v>
      </c>
      <c r="I1353">
        <v>526.6875</v>
      </c>
      <c r="J1353" s="9">
        <f t="shared" si="21"/>
        <v>43746.676917418976</v>
      </c>
      <c r="K1353" s="1"/>
    </row>
    <row r="1354" spans="1:11" x14ac:dyDescent="0.25">
      <c r="A1354" t="e">
        <f>-LqedaBCqPa1RiKJmzWl</f>
        <v>#NAME?</v>
      </c>
      <c r="B1354">
        <v>393.75</v>
      </c>
      <c r="C1354">
        <v>20.531590000000001</v>
      </c>
      <c r="D1354">
        <v>37</v>
      </c>
      <c r="E1354">
        <v>0</v>
      </c>
      <c r="F1354">
        <v>0</v>
      </c>
      <c r="G1354">
        <v>66</v>
      </c>
      <c r="H1354" s="4">
        <v>1570526092883</v>
      </c>
      <c r="I1354">
        <v>526.6875</v>
      </c>
      <c r="J1354" s="9">
        <f t="shared" si="21"/>
        <v>43746.677000960648</v>
      </c>
      <c r="K1354" s="1"/>
    </row>
    <row r="1355" spans="1:11" x14ac:dyDescent="0.25">
      <c r="A1355" t="e">
        <f>-Lqedbytcp6VEAK_n8Fg</f>
        <v>#NAME?</v>
      </c>
      <c r="B1355">
        <v>393.75</v>
      </c>
      <c r="C1355">
        <v>20.584240000000001</v>
      </c>
      <c r="D1355">
        <v>37</v>
      </c>
      <c r="E1355">
        <v>0</v>
      </c>
      <c r="F1355">
        <v>0</v>
      </c>
      <c r="G1355">
        <v>69</v>
      </c>
      <c r="H1355" s="4">
        <v>1570526100084</v>
      </c>
      <c r="I1355">
        <v>526.6875</v>
      </c>
      <c r="J1355" s="9">
        <f t="shared" si="21"/>
        <v>43746.677084305549</v>
      </c>
      <c r="K1355" s="1"/>
    </row>
    <row r="1356" spans="1:11" x14ac:dyDescent="0.25">
      <c r="A1356" t="e">
        <f>-LqeddhDSu9ahWIIRfuF</f>
        <v>#NAME?</v>
      </c>
      <c r="B1356">
        <v>393.75</v>
      </c>
      <c r="C1356">
        <v>20.531590000000001</v>
      </c>
      <c r="D1356">
        <v>38</v>
      </c>
      <c r="E1356">
        <v>0</v>
      </c>
      <c r="F1356">
        <v>0</v>
      </c>
      <c r="G1356">
        <v>72</v>
      </c>
      <c r="H1356" s="4">
        <v>1570526107284</v>
      </c>
      <c r="I1356">
        <v>526.6875</v>
      </c>
      <c r="J1356" s="9">
        <f t="shared" si="21"/>
        <v>43746.677167638882</v>
      </c>
      <c r="K1356" s="1"/>
    </row>
    <row r="1357" spans="1:11" x14ac:dyDescent="0.25">
      <c r="A1357" t="e">
        <f>-LqedfG5UUlTYYK6Coej</f>
        <v>#NAME?</v>
      </c>
      <c r="B1357">
        <v>393.75</v>
      </c>
      <c r="C1357">
        <v>20.584240000000001</v>
      </c>
      <c r="D1357">
        <v>38</v>
      </c>
      <c r="E1357">
        <v>0</v>
      </c>
      <c r="F1357">
        <v>0</v>
      </c>
      <c r="G1357">
        <v>65</v>
      </c>
      <c r="H1357" s="4">
        <v>1570526113464</v>
      </c>
      <c r="I1357">
        <v>526.6875</v>
      </c>
      <c r="J1357" s="9">
        <f t="shared" si="21"/>
        <v>43746.677239166667</v>
      </c>
      <c r="K1357" s="1"/>
    </row>
    <row r="1358" spans="1:11" x14ac:dyDescent="0.25">
      <c r="A1358" t="s">
        <v>73</v>
      </c>
      <c r="B1358">
        <v>393.75</v>
      </c>
      <c r="C1358">
        <v>20.531590000000001</v>
      </c>
      <c r="D1358">
        <v>36</v>
      </c>
      <c r="E1358">
        <v>0</v>
      </c>
      <c r="F1358">
        <v>0</v>
      </c>
      <c r="G1358">
        <v>69</v>
      </c>
      <c r="H1358" s="4">
        <v>1570526120704</v>
      </c>
      <c r="I1358">
        <v>526.5</v>
      </c>
      <c r="J1358" s="9">
        <f t="shared" si="21"/>
        <v>43746.677322962962</v>
      </c>
      <c r="K1358" s="1"/>
    </row>
    <row r="1359" spans="1:11" x14ac:dyDescent="0.25">
      <c r="A1359" t="e">
        <f>-Lqedj016RSOWpnKtuPD</f>
        <v>#NAME?</v>
      </c>
      <c r="B1359">
        <v>393.75</v>
      </c>
      <c r="C1359">
        <v>20.584240000000001</v>
      </c>
      <c r="D1359">
        <v>38</v>
      </c>
      <c r="E1359">
        <v>0</v>
      </c>
      <c r="F1359">
        <v>0</v>
      </c>
      <c r="G1359">
        <v>65</v>
      </c>
      <c r="H1359" s="4">
        <v>1570526127904</v>
      </c>
      <c r="I1359">
        <v>526.6875</v>
      </c>
      <c r="J1359" s="9">
        <f t="shared" si="21"/>
        <v>43746.677406296294</v>
      </c>
      <c r="K1359" s="1"/>
    </row>
    <row r="1360" spans="1:11" x14ac:dyDescent="0.25">
      <c r="A1360" t="e">
        <f>-Lqedl1rCtqnGDqp8p7y</f>
        <v>#NAME?</v>
      </c>
      <c r="B1360">
        <v>393.75</v>
      </c>
      <c r="C1360">
        <v>20.584240000000001</v>
      </c>
      <c r="D1360">
        <v>39</v>
      </c>
      <c r="E1360">
        <v>0</v>
      </c>
      <c r="F1360">
        <v>0</v>
      </c>
      <c r="G1360">
        <v>68</v>
      </c>
      <c r="H1360" s="4">
        <v>1570526137263</v>
      </c>
      <c r="I1360">
        <v>526.6875</v>
      </c>
      <c r="J1360" s="9">
        <f t="shared" si="21"/>
        <v>43746.677514618052</v>
      </c>
      <c r="K1360" s="1"/>
    </row>
    <row r="1361" spans="1:11" x14ac:dyDescent="0.25">
      <c r="A1361" t="e">
        <f>-Lqedmki2QJEm8kP9ppI</f>
        <v>#NAME?</v>
      </c>
      <c r="B1361">
        <v>393.75</v>
      </c>
      <c r="C1361">
        <v>20.531590000000001</v>
      </c>
      <c r="D1361">
        <v>37</v>
      </c>
      <c r="E1361">
        <v>0</v>
      </c>
      <c r="F1361">
        <v>0</v>
      </c>
      <c r="G1361">
        <v>62</v>
      </c>
      <c r="H1361" s="4">
        <v>1570526144401</v>
      </c>
      <c r="I1361">
        <v>526.6875</v>
      </c>
      <c r="J1361" s="9">
        <f t="shared" si="21"/>
        <v>43746.677597233793</v>
      </c>
      <c r="K1361" s="1"/>
    </row>
    <row r="1362" spans="1:11" x14ac:dyDescent="0.25">
      <c r="A1362" t="e">
        <f>-LqedoK0yjNZ_nN_QcQZ</f>
        <v>#NAME?</v>
      </c>
      <c r="B1362">
        <v>421.875</v>
      </c>
      <c r="C1362">
        <v>20.584240000000001</v>
      </c>
      <c r="D1362">
        <v>38</v>
      </c>
      <c r="E1362">
        <v>0</v>
      </c>
      <c r="F1362">
        <v>0</v>
      </c>
      <c r="G1362">
        <v>68</v>
      </c>
      <c r="H1362" s="4">
        <v>1570526150593</v>
      </c>
      <c r="I1362">
        <v>535.125</v>
      </c>
      <c r="J1362" s="9">
        <f t="shared" si="21"/>
        <v>43746.677668900462</v>
      </c>
      <c r="K1362" s="1"/>
    </row>
    <row r="1363" spans="1:11" x14ac:dyDescent="0.25">
      <c r="A1363" t="e">
        <f>-Lqedq3IS2Vk2c60PPHx</f>
        <v>#NAME?</v>
      </c>
      <c r="B1363">
        <v>393.75</v>
      </c>
      <c r="C1363">
        <v>20.584240000000001</v>
      </c>
      <c r="D1363">
        <v>37</v>
      </c>
      <c r="E1363">
        <v>0</v>
      </c>
      <c r="F1363">
        <v>0</v>
      </c>
      <c r="G1363">
        <v>76</v>
      </c>
      <c r="H1363" s="4">
        <v>1570526157802</v>
      </c>
      <c r="I1363">
        <v>526.6875</v>
      </c>
      <c r="J1363" s="9">
        <f t="shared" si="21"/>
        <v>43746.677752337964</v>
      </c>
      <c r="K1363" s="1"/>
    </row>
    <row r="1364" spans="1:11" x14ac:dyDescent="0.25">
      <c r="A1364" t="s">
        <v>74</v>
      </c>
      <c r="B1364">
        <v>393.75</v>
      </c>
      <c r="C1364">
        <v>20.531590000000001</v>
      </c>
      <c r="D1364">
        <v>37</v>
      </c>
      <c r="E1364">
        <v>0</v>
      </c>
      <c r="F1364">
        <v>0</v>
      </c>
      <c r="G1364">
        <v>64</v>
      </c>
      <c r="H1364" s="4">
        <v>1570526165013</v>
      </c>
      <c r="I1364">
        <v>526.5</v>
      </c>
      <c r="J1364" s="9">
        <f t="shared" si="21"/>
        <v>43746.677835798611</v>
      </c>
      <c r="K1364" s="1"/>
    </row>
    <row r="1365" spans="1:11" x14ac:dyDescent="0.25">
      <c r="A1365" t="e">
        <f>-LqedtZ035v8RHWNe2Cx</f>
        <v>#NAME?</v>
      </c>
      <c r="B1365">
        <v>393.75</v>
      </c>
      <c r="C1365">
        <v>20.584240000000001</v>
      </c>
      <c r="D1365">
        <v>37</v>
      </c>
      <c r="E1365">
        <v>0</v>
      </c>
      <c r="F1365">
        <v>0</v>
      </c>
      <c r="G1365">
        <v>77</v>
      </c>
      <c r="H1365" s="4">
        <v>1570526172236</v>
      </c>
      <c r="I1365">
        <v>526.6875</v>
      </c>
      <c r="J1365" s="9">
        <f t="shared" si="21"/>
        <v>43746.677919398142</v>
      </c>
      <c r="K1365" s="1"/>
    </row>
    <row r="1366" spans="1:11" x14ac:dyDescent="0.25">
      <c r="A1366" t="e">
        <f>-LqedvKcUYUzdXs6soR9</f>
        <v>#NAME?</v>
      </c>
      <c r="B1366">
        <v>393.75</v>
      </c>
      <c r="C1366">
        <v>20.531590000000001</v>
      </c>
      <c r="D1366">
        <v>37</v>
      </c>
      <c r="E1366">
        <v>0</v>
      </c>
      <c r="F1366">
        <v>0</v>
      </c>
      <c r="G1366">
        <v>64</v>
      </c>
      <c r="H1366" s="4">
        <v>1570526179433</v>
      </c>
      <c r="I1366">
        <v>526.6875</v>
      </c>
      <c r="J1366" s="9">
        <f t="shared" si="21"/>
        <v>43746.678002696754</v>
      </c>
      <c r="K1366" s="1"/>
    </row>
    <row r="1367" spans="1:11" x14ac:dyDescent="0.25">
      <c r="A1367" t="e">
        <f>-Lqedwq09PUEsFjbXBbx</f>
        <v>#NAME?</v>
      </c>
      <c r="B1367">
        <v>431.25</v>
      </c>
      <c r="C1367">
        <v>20.584240000000001</v>
      </c>
      <c r="D1367">
        <v>38</v>
      </c>
      <c r="E1367">
        <v>0</v>
      </c>
      <c r="F1367">
        <v>0</v>
      </c>
      <c r="G1367">
        <v>66</v>
      </c>
      <c r="H1367" s="4">
        <v>1570526185623</v>
      </c>
      <c r="I1367">
        <v>538.875</v>
      </c>
      <c r="J1367" s="9">
        <f t="shared" si="21"/>
        <v>43746.678074340271</v>
      </c>
      <c r="K1367" s="1"/>
    </row>
    <row r="1368" spans="1:11" x14ac:dyDescent="0.25">
      <c r="A1368" t="e">
        <f>-Lqedyrlr6Ao8l0Gt4kr</f>
        <v>#NAME?</v>
      </c>
      <c r="B1368">
        <v>393.75</v>
      </c>
      <c r="C1368">
        <v>20.584240000000001</v>
      </c>
      <c r="D1368">
        <v>37</v>
      </c>
      <c r="E1368">
        <v>0</v>
      </c>
      <c r="F1368">
        <v>0</v>
      </c>
      <c r="G1368">
        <v>70</v>
      </c>
      <c r="H1368" s="4">
        <v>1570526192832</v>
      </c>
      <c r="I1368">
        <v>526.5</v>
      </c>
      <c r="J1368" s="9">
        <f t="shared" si="21"/>
        <v>43746.67815777778</v>
      </c>
      <c r="K1368" s="1"/>
    </row>
    <row r="1369" spans="1:11" x14ac:dyDescent="0.25">
      <c r="A1369" t="e">
        <f>-LqeE-j6rybmnMH1-#REF!</f>
        <v>#NAME?</v>
      </c>
      <c r="B1369">
        <v>393.75</v>
      </c>
      <c r="C1369">
        <v>20.584240000000001</v>
      </c>
      <c r="D1369">
        <v>37</v>
      </c>
      <c r="E1369">
        <v>0</v>
      </c>
      <c r="F1369">
        <v>0</v>
      </c>
      <c r="G1369">
        <v>60</v>
      </c>
      <c r="H1369" s="4">
        <v>1570526201079</v>
      </c>
      <c r="I1369">
        <v>526.6875</v>
      </c>
      <c r="J1369" s="9">
        <f t="shared" si="21"/>
        <v>43746.678253229162</v>
      </c>
      <c r="K1369" s="1"/>
    </row>
    <row r="1370" spans="1:11" x14ac:dyDescent="0.25">
      <c r="A1370" t="e">
        <f>-Lqee1_YqFqzq2_wEFVU</f>
        <v>#NAME?</v>
      </c>
      <c r="B1370">
        <v>393.75</v>
      </c>
      <c r="C1370">
        <v>20.531590000000001</v>
      </c>
      <c r="D1370">
        <v>37</v>
      </c>
      <c r="E1370">
        <v>0</v>
      </c>
      <c r="F1370">
        <v>0</v>
      </c>
      <c r="G1370">
        <v>68</v>
      </c>
      <c r="H1370" s="4">
        <v>1570526209321</v>
      </c>
      <c r="I1370">
        <v>526.6875</v>
      </c>
      <c r="J1370" s="9">
        <f t="shared" si="21"/>
        <v>43746.678348622685</v>
      </c>
      <c r="K1370" s="1"/>
    </row>
    <row r="1371" spans="1:11" x14ac:dyDescent="0.25">
      <c r="A1371" t="e">
        <f>-Lqee3OxT7vPFZbfqBeG</f>
        <v>#NAME?</v>
      </c>
      <c r="B1371">
        <v>393.75</v>
      </c>
      <c r="C1371">
        <v>20.584240000000001</v>
      </c>
      <c r="D1371">
        <v>38</v>
      </c>
      <c r="E1371">
        <v>0</v>
      </c>
      <c r="F1371">
        <v>0</v>
      </c>
      <c r="G1371">
        <v>64</v>
      </c>
      <c r="H1371" s="4">
        <v>1570526216534</v>
      </c>
      <c r="I1371">
        <v>526.6875</v>
      </c>
      <c r="J1371" s="9">
        <f t="shared" si="21"/>
        <v>43746.678432106484</v>
      </c>
      <c r="K1371" s="1"/>
    </row>
    <row r="1372" spans="1:11" x14ac:dyDescent="0.25">
      <c r="A1372" t="e">
        <f>-Lqee56rlePWJHkRrmYP</f>
        <v>#NAME?</v>
      </c>
      <c r="B1372">
        <v>393.75</v>
      </c>
      <c r="C1372">
        <v>20.584240000000001</v>
      </c>
      <c r="D1372">
        <v>38</v>
      </c>
      <c r="E1372">
        <v>0</v>
      </c>
      <c r="F1372">
        <v>0</v>
      </c>
      <c r="G1372">
        <v>68</v>
      </c>
      <c r="H1372" s="4">
        <v>1570526223743</v>
      </c>
      <c r="I1372">
        <v>526.5</v>
      </c>
      <c r="J1372" s="9">
        <f t="shared" si="21"/>
        <v>43746.678515543979</v>
      </c>
      <c r="K1372" s="1"/>
    </row>
    <row r="1373" spans="1:11" x14ac:dyDescent="0.25">
      <c r="A1373" t="e">
        <f>-Lqee6w1d0p1mj9VwBtD</f>
        <v>#NAME?</v>
      </c>
      <c r="B1373">
        <v>393.75</v>
      </c>
      <c r="C1373">
        <v>20.584240000000001</v>
      </c>
      <c r="D1373">
        <v>38</v>
      </c>
      <c r="E1373">
        <v>0</v>
      </c>
      <c r="F1373">
        <v>0</v>
      </c>
      <c r="G1373">
        <v>70</v>
      </c>
      <c r="H1373" s="4">
        <v>1570526230954</v>
      </c>
      <c r="I1373">
        <v>526.6875</v>
      </c>
      <c r="J1373" s="9">
        <f t="shared" si="21"/>
        <v>43746.678599004626</v>
      </c>
      <c r="K1373" s="1"/>
    </row>
    <row r="1374" spans="1:11" x14ac:dyDescent="0.25">
      <c r="A1374" t="e">
        <f>-Lqee8bYFzs2zrin2yf8</f>
        <v>#NAME?</v>
      </c>
      <c r="B1374">
        <v>393.75</v>
      </c>
      <c r="C1374">
        <v>20.584240000000001</v>
      </c>
      <c r="D1374">
        <v>39</v>
      </c>
      <c r="E1374">
        <v>0</v>
      </c>
      <c r="F1374">
        <v>0</v>
      </c>
      <c r="G1374">
        <v>72</v>
      </c>
      <c r="H1374" s="4">
        <v>1570526238146</v>
      </c>
      <c r="I1374">
        <v>526.6875</v>
      </c>
      <c r="J1374" s="9">
        <f t="shared" si="21"/>
        <v>43746.678682245365</v>
      </c>
      <c r="K1374" s="1"/>
    </row>
    <row r="1375" spans="1:11" x14ac:dyDescent="0.25">
      <c r="A1375" t="e">
        <f>-LqeeA7t5C57HhozktHL</f>
        <v>#NAME?</v>
      </c>
      <c r="B1375">
        <v>393.75</v>
      </c>
      <c r="C1375">
        <v>20.584240000000001</v>
      </c>
      <c r="D1375">
        <v>39</v>
      </c>
      <c r="E1375">
        <v>0</v>
      </c>
      <c r="F1375">
        <v>0</v>
      </c>
      <c r="G1375">
        <v>71</v>
      </c>
      <c r="H1375" s="4">
        <v>1570526244314</v>
      </c>
      <c r="I1375">
        <v>526.5</v>
      </c>
      <c r="J1375" s="9">
        <f t="shared" si="21"/>
        <v>43746.678753634253</v>
      </c>
      <c r="K1375" s="1"/>
    </row>
    <row r="1376" spans="1:11" x14ac:dyDescent="0.25">
      <c r="A1376" t="e">
        <f>-LqeeBgt42xb4Mo0Uv3u</f>
        <v>#NAME?</v>
      </c>
      <c r="B1376">
        <v>393.75</v>
      </c>
      <c r="C1376">
        <v>20.531590000000001</v>
      </c>
      <c r="D1376">
        <v>40</v>
      </c>
      <c r="E1376">
        <v>0</v>
      </c>
      <c r="F1376">
        <v>0</v>
      </c>
      <c r="G1376">
        <v>66</v>
      </c>
      <c r="H1376" s="4">
        <v>1570526250543</v>
      </c>
      <c r="I1376">
        <v>526.6875</v>
      </c>
      <c r="J1376" s="9">
        <f t="shared" si="21"/>
        <v>43746.678825729163</v>
      </c>
      <c r="K1376" s="1"/>
    </row>
    <row r="1377" spans="1:11" x14ac:dyDescent="0.25">
      <c r="A1377" t="e">
        <f>-LqeeDQobuvFWsKZZhu9</f>
        <v>#NAME?</v>
      </c>
      <c r="B1377">
        <v>393.75</v>
      </c>
      <c r="C1377">
        <v>20.584240000000001</v>
      </c>
      <c r="D1377">
        <v>40</v>
      </c>
      <c r="E1377">
        <v>0</v>
      </c>
      <c r="F1377">
        <v>0</v>
      </c>
      <c r="G1377">
        <v>65</v>
      </c>
      <c r="H1377" s="4">
        <v>1570526257745</v>
      </c>
      <c r="I1377">
        <v>526.6875</v>
      </c>
      <c r="J1377" s="9">
        <f t="shared" si="21"/>
        <v>43746.678909085647</v>
      </c>
      <c r="K1377" s="1"/>
    </row>
    <row r="1378" spans="1:11" x14ac:dyDescent="0.25">
      <c r="A1378" t="e">
        <f>-LqeeExfbKR3k8JzRYvp</f>
        <v>#NAME?</v>
      </c>
      <c r="B1378">
        <v>393.75</v>
      </c>
      <c r="C1378">
        <v>20.531590000000001</v>
      </c>
      <c r="D1378">
        <v>38</v>
      </c>
      <c r="E1378">
        <v>0</v>
      </c>
      <c r="F1378">
        <v>0</v>
      </c>
      <c r="G1378">
        <v>62</v>
      </c>
      <c r="H1378" s="4">
        <v>1570526263925</v>
      </c>
      <c r="I1378">
        <v>526.5</v>
      </c>
      <c r="J1378" s="9">
        <f t="shared" si="21"/>
        <v>43746.678980613426</v>
      </c>
      <c r="K1378" s="1"/>
    </row>
    <row r="1379" spans="1:11" x14ac:dyDescent="0.25">
      <c r="A1379" t="e">
        <f>-LqeeGflDKciqfI6WOaW</f>
        <v>#NAME?</v>
      </c>
      <c r="B1379">
        <v>393.75</v>
      </c>
      <c r="C1379">
        <v>20.584240000000001</v>
      </c>
      <c r="D1379">
        <v>39</v>
      </c>
      <c r="E1379">
        <v>0</v>
      </c>
      <c r="F1379">
        <v>0</v>
      </c>
      <c r="G1379">
        <v>65</v>
      </c>
      <c r="H1379" s="4">
        <v>1570526271114</v>
      </c>
      <c r="I1379">
        <v>526.6875</v>
      </c>
      <c r="J1379" s="9">
        <f t="shared" si="21"/>
        <v>43746.679063819443</v>
      </c>
      <c r="K1379" s="1"/>
    </row>
    <row r="1380" spans="1:11" x14ac:dyDescent="0.25">
      <c r="A1380" t="e">
        <f>-LqeeIVpglV_Ggmr5I87</f>
        <v>#NAME?</v>
      </c>
      <c r="B1380">
        <v>393.75</v>
      </c>
      <c r="C1380">
        <v>20.584240000000001</v>
      </c>
      <c r="D1380">
        <v>39</v>
      </c>
      <c r="E1380">
        <v>0</v>
      </c>
      <c r="F1380">
        <v>0</v>
      </c>
      <c r="G1380">
        <v>68</v>
      </c>
      <c r="H1380" s="4">
        <v>1570526277293</v>
      </c>
      <c r="I1380">
        <v>526.6875</v>
      </c>
      <c r="J1380" s="9">
        <f t="shared" si="21"/>
        <v>43746.679135335646</v>
      </c>
      <c r="K1380" s="1"/>
    </row>
    <row r="1381" spans="1:11" x14ac:dyDescent="0.25">
      <c r="A1381" t="e">
        <f>-LqeeKCtoOXrAo4lAF1F</f>
        <v>#NAME?</v>
      </c>
      <c r="B1381">
        <v>393.75</v>
      </c>
      <c r="C1381">
        <v>20.584240000000001</v>
      </c>
      <c r="D1381">
        <v>39</v>
      </c>
      <c r="E1381">
        <v>0</v>
      </c>
      <c r="F1381">
        <v>0</v>
      </c>
      <c r="G1381">
        <v>76</v>
      </c>
      <c r="H1381" s="4">
        <v>1570526285545</v>
      </c>
      <c r="I1381">
        <v>526.6875</v>
      </c>
      <c r="J1381" s="9">
        <f t="shared" si="21"/>
        <v>43746.6792308449</v>
      </c>
      <c r="K1381" s="1"/>
    </row>
    <row r="1382" spans="1:11" x14ac:dyDescent="0.25">
      <c r="A1382" t="e">
        <f>-LqeeLm2XFLLXA-NRcAf</f>
        <v>#NAME?</v>
      </c>
      <c r="B1382">
        <v>393.75</v>
      </c>
      <c r="C1382">
        <v>20.584240000000001</v>
      </c>
      <c r="D1382">
        <v>39</v>
      </c>
      <c r="E1382">
        <v>0</v>
      </c>
      <c r="F1382">
        <v>0</v>
      </c>
      <c r="G1382">
        <v>64</v>
      </c>
      <c r="H1382" s="4">
        <v>1570526291745</v>
      </c>
      <c r="I1382">
        <v>526.6875</v>
      </c>
      <c r="J1382" s="9">
        <f t="shared" si="21"/>
        <v>43746.679302604163</v>
      </c>
      <c r="K1382" s="1"/>
    </row>
    <row r="1383" spans="1:11" x14ac:dyDescent="0.25">
      <c r="A1383" t="e">
        <f>-LqeeNUrh5ku66n7YEO2</f>
        <v>#NAME?</v>
      </c>
      <c r="B1383">
        <v>393.75</v>
      </c>
      <c r="C1383">
        <v>20.584240000000001</v>
      </c>
      <c r="D1383">
        <v>39</v>
      </c>
      <c r="E1383">
        <v>0</v>
      </c>
      <c r="F1383">
        <v>0</v>
      </c>
      <c r="G1383">
        <v>75</v>
      </c>
      <c r="H1383" s="4">
        <v>1570526298953</v>
      </c>
      <c r="I1383">
        <v>526.6875</v>
      </c>
      <c r="J1383" s="9">
        <f t="shared" si="21"/>
        <v>43746.67938603009</v>
      </c>
      <c r="K1383" s="1"/>
    </row>
    <row r="1384" spans="1:11" x14ac:dyDescent="0.25">
      <c r="A1384" t="e">
        <f>-LqeePHssUT7IAzd_IhA</f>
        <v>#NAME?</v>
      </c>
      <c r="B1384">
        <v>393.75</v>
      </c>
      <c r="C1384">
        <v>20.531590000000001</v>
      </c>
      <c r="D1384">
        <v>39</v>
      </c>
      <c r="E1384">
        <v>0</v>
      </c>
      <c r="F1384">
        <v>0</v>
      </c>
      <c r="G1384">
        <v>71</v>
      </c>
      <c r="H1384" s="4">
        <v>1570526306163</v>
      </c>
      <c r="I1384">
        <v>526.6875</v>
      </c>
      <c r="J1384" s="9">
        <f t="shared" si="21"/>
        <v>43746.679469479168</v>
      </c>
      <c r="K1384" s="1"/>
    </row>
    <row r="1385" spans="1:11" x14ac:dyDescent="0.25">
      <c r="A1385" t="e">
        <f>-LqeeR1QFLa-L7XLrcWl</f>
        <v>#NAME?</v>
      </c>
      <c r="B1385">
        <v>393.75</v>
      </c>
      <c r="C1385">
        <v>20.584240000000001</v>
      </c>
      <c r="D1385">
        <v>41</v>
      </c>
      <c r="E1385">
        <v>0</v>
      </c>
      <c r="F1385">
        <v>0</v>
      </c>
      <c r="G1385">
        <v>66</v>
      </c>
      <c r="H1385" s="4">
        <v>1570526313356</v>
      </c>
      <c r="I1385">
        <v>526.6875</v>
      </c>
      <c r="J1385" s="9">
        <f t="shared" si="21"/>
        <v>43746.679552731475</v>
      </c>
      <c r="K1385" s="1"/>
    </row>
    <row r="1386" spans="1:11" x14ac:dyDescent="0.25">
      <c r="A1386" t="e">
        <f>-LqeeSTvGWrrdP6PvaUj</f>
        <v>#NAME?</v>
      </c>
      <c r="B1386">
        <v>393.75</v>
      </c>
      <c r="C1386">
        <v>20.531590000000001</v>
      </c>
      <c r="D1386">
        <v>41</v>
      </c>
      <c r="E1386">
        <v>0</v>
      </c>
      <c r="F1386">
        <v>0</v>
      </c>
      <c r="G1386">
        <v>64</v>
      </c>
      <c r="H1386" s="4">
        <v>1570526319505</v>
      </c>
      <c r="I1386">
        <v>526.6875</v>
      </c>
      <c r="J1386" s="9">
        <f t="shared" si="21"/>
        <v>43746.679623900462</v>
      </c>
      <c r="K1386" s="1"/>
    </row>
    <row r="1387" spans="1:11" x14ac:dyDescent="0.25">
      <c r="A1387" t="e">
        <f>-LqeeU1oSoO4YlJrhvNU</f>
        <v>#NAME?</v>
      </c>
      <c r="B1387">
        <v>393.75</v>
      </c>
      <c r="C1387">
        <v>20.531590000000001</v>
      </c>
      <c r="D1387">
        <v>35</v>
      </c>
      <c r="E1387">
        <v>0</v>
      </c>
      <c r="F1387">
        <v>0</v>
      </c>
      <c r="G1387">
        <v>72</v>
      </c>
      <c r="H1387" s="4">
        <v>1570526325745</v>
      </c>
      <c r="I1387">
        <v>526.6875</v>
      </c>
      <c r="J1387" s="9">
        <f t="shared" si="21"/>
        <v>43746.679696122686</v>
      </c>
      <c r="K1387" s="1"/>
    </row>
    <row r="1388" spans="1:11" x14ac:dyDescent="0.25">
      <c r="A1388" t="e">
        <f>-LqeeVqk1Q84TW5O93tm</f>
        <v>#NAME?</v>
      </c>
      <c r="B1388">
        <v>393.75</v>
      </c>
      <c r="C1388">
        <v>20.584240000000001</v>
      </c>
      <c r="D1388">
        <v>35</v>
      </c>
      <c r="E1388">
        <v>0</v>
      </c>
      <c r="F1388">
        <v>0</v>
      </c>
      <c r="G1388">
        <v>76</v>
      </c>
      <c r="H1388" s="4">
        <v>1570526332975</v>
      </c>
      <c r="I1388">
        <v>526.5</v>
      </c>
      <c r="J1388" s="9">
        <f t="shared" si="21"/>
        <v>43746.679779803242</v>
      </c>
      <c r="K1388" s="1"/>
    </row>
    <row r="1389" spans="1:11" x14ac:dyDescent="0.25">
      <c r="A1389" t="s">
        <v>75</v>
      </c>
      <c r="B1389">
        <v>393.75</v>
      </c>
      <c r="C1389">
        <v>20.584240000000001</v>
      </c>
      <c r="D1389">
        <v>36</v>
      </c>
      <c r="E1389">
        <v>0</v>
      </c>
      <c r="F1389">
        <v>0</v>
      </c>
      <c r="G1389">
        <v>71</v>
      </c>
      <c r="H1389" s="4">
        <v>1570526340165</v>
      </c>
      <c r="I1389">
        <v>526.5</v>
      </c>
      <c r="J1389" s="9">
        <f t="shared" si="21"/>
        <v>43746.679863020829</v>
      </c>
      <c r="K1389" s="1"/>
    </row>
    <row r="1390" spans="1:11" x14ac:dyDescent="0.25">
      <c r="A1390" t="e">
        <f>-LqeeZNEWetezKO8tzyg</f>
        <v>#NAME?</v>
      </c>
      <c r="B1390">
        <v>425</v>
      </c>
      <c r="C1390">
        <v>20.584240000000001</v>
      </c>
      <c r="D1390">
        <v>36</v>
      </c>
      <c r="E1390">
        <v>0</v>
      </c>
      <c r="F1390">
        <v>0</v>
      </c>
      <c r="G1390">
        <v>78</v>
      </c>
      <c r="H1390" s="4">
        <v>1570526347385</v>
      </c>
      <c r="I1390">
        <v>536.625</v>
      </c>
      <c r="J1390" s="9">
        <f t="shared" si="21"/>
        <v>43746.679946585646</v>
      </c>
      <c r="K1390" s="1"/>
    </row>
    <row r="1391" spans="1:11" x14ac:dyDescent="0.25">
      <c r="A1391" t="e">
        <f>-Lqeea4s5oYYdZEawWEG</f>
        <v>#NAME?</v>
      </c>
      <c r="B1391">
        <v>393.75</v>
      </c>
      <c r="C1391">
        <v>20.584240000000001</v>
      </c>
      <c r="D1391">
        <v>36</v>
      </c>
      <c r="E1391">
        <v>0</v>
      </c>
      <c r="F1391">
        <v>0</v>
      </c>
      <c r="G1391">
        <v>74</v>
      </c>
      <c r="H1391" s="4">
        <v>1570526354603</v>
      </c>
      <c r="I1391">
        <v>526.5</v>
      </c>
      <c r="J1391" s="9">
        <f t="shared" si="21"/>
        <v>43746.680030127311</v>
      </c>
      <c r="K1391" s="1"/>
    </row>
    <row r="1392" spans="1:11" x14ac:dyDescent="0.25">
      <c r="A1392" t="e">
        <f>-Lqeebz1NPU3U-RAAWSA</f>
        <v>#NAME?</v>
      </c>
      <c r="B1392">
        <v>393.75</v>
      </c>
      <c r="C1392">
        <v>20.531590000000001</v>
      </c>
      <c r="D1392">
        <v>37</v>
      </c>
      <c r="E1392">
        <v>0</v>
      </c>
      <c r="F1392">
        <v>0</v>
      </c>
      <c r="G1392">
        <v>75</v>
      </c>
      <c r="H1392" s="4">
        <v>1570526361823</v>
      </c>
      <c r="I1392">
        <v>526.6875</v>
      </c>
      <c r="J1392" s="9">
        <f t="shared" si="21"/>
        <v>43746.680113692128</v>
      </c>
      <c r="K1392" s="1"/>
    </row>
    <row r="1393" spans="1:11" x14ac:dyDescent="0.25">
      <c r="A1393" t="e">
        <f>-LqeedtUmLZkIboX2Ecw</f>
        <v>#NAME?</v>
      </c>
      <c r="B1393">
        <v>393.75</v>
      </c>
      <c r="C1393">
        <v>20.584240000000001</v>
      </c>
      <c r="D1393">
        <v>40</v>
      </c>
      <c r="E1393">
        <v>0</v>
      </c>
      <c r="F1393">
        <v>0</v>
      </c>
      <c r="G1393">
        <v>73</v>
      </c>
      <c r="H1393" s="4">
        <v>1570526369023</v>
      </c>
      <c r="I1393">
        <v>526.6875</v>
      </c>
      <c r="J1393" s="9">
        <f t="shared" si="21"/>
        <v>43746.68019702546</v>
      </c>
      <c r="K1393" s="1"/>
    </row>
    <row r="1394" spans="1:11" x14ac:dyDescent="0.25">
      <c r="A1394" t="s">
        <v>76</v>
      </c>
      <c r="B1394">
        <v>393.75</v>
      </c>
      <c r="C1394">
        <v>20.584240000000001</v>
      </c>
      <c r="D1394">
        <v>40</v>
      </c>
      <c r="E1394">
        <v>0</v>
      </c>
      <c r="F1394">
        <v>0</v>
      </c>
      <c r="G1394">
        <v>67</v>
      </c>
      <c r="H1394" s="4">
        <v>1570526377253</v>
      </c>
      <c r="I1394">
        <v>526.6875</v>
      </c>
      <c r="J1394" s="9">
        <f t="shared" si="21"/>
        <v>43746.680292280093</v>
      </c>
      <c r="K1394" s="1"/>
    </row>
    <row r="1395" spans="1:11" x14ac:dyDescent="0.25">
      <c r="A1395" t="e">
        <f>-LqeehLs97lI5fzjJtg7</f>
        <v>#NAME?</v>
      </c>
      <c r="B1395">
        <v>393.75</v>
      </c>
      <c r="C1395">
        <v>20.584240000000001</v>
      </c>
      <c r="D1395">
        <v>39</v>
      </c>
      <c r="E1395">
        <v>0</v>
      </c>
      <c r="F1395">
        <v>0</v>
      </c>
      <c r="G1395">
        <v>82</v>
      </c>
      <c r="H1395" s="4">
        <v>1570526384474</v>
      </c>
      <c r="I1395">
        <v>526.6875</v>
      </c>
      <c r="J1395" s="9">
        <f t="shared" si="21"/>
        <v>43746.680375856478</v>
      </c>
      <c r="K1395" s="1"/>
    </row>
    <row r="1396" spans="1:11" x14ac:dyDescent="0.25">
      <c r="A1396" t="e">
        <f>-LqeeiusijH70mzwR9Uv</f>
        <v>#NAME?</v>
      </c>
      <c r="B1396">
        <v>393.75</v>
      </c>
      <c r="C1396">
        <v>20.584240000000001</v>
      </c>
      <c r="D1396">
        <v>40</v>
      </c>
      <c r="E1396">
        <v>0</v>
      </c>
      <c r="F1396">
        <v>0</v>
      </c>
      <c r="G1396">
        <v>69</v>
      </c>
      <c r="H1396" s="4">
        <v>1570526390653</v>
      </c>
      <c r="I1396">
        <v>526.5</v>
      </c>
      <c r="J1396" s="9">
        <f t="shared" si="21"/>
        <v>43746.680447372688</v>
      </c>
      <c r="K1396" s="1"/>
    </row>
    <row r="1397" spans="1:11" x14ac:dyDescent="0.25">
      <c r="A1397" t="e">
        <f>-LqeekaWY8NMe9ZB5u8t</f>
        <v>#NAME?</v>
      </c>
      <c r="B1397">
        <v>412.5</v>
      </c>
      <c r="C1397">
        <v>20.584240000000001</v>
      </c>
      <c r="D1397">
        <v>40</v>
      </c>
      <c r="E1397">
        <v>0</v>
      </c>
      <c r="F1397">
        <v>0</v>
      </c>
      <c r="G1397">
        <v>74</v>
      </c>
      <c r="H1397" s="4">
        <v>1570526397833</v>
      </c>
      <c r="I1397">
        <v>532.3125</v>
      </c>
      <c r="J1397" s="9">
        <f t="shared" si="21"/>
        <v>43746.680530474536</v>
      </c>
      <c r="K1397" s="1"/>
    </row>
    <row r="1398" spans="1:11" x14ac:dyDescent="0.25">
      <c r="A1398" t="e">
        <f>-LqeemAkoKyVzOsFrKMq</f>
        <v>#NAME?</v>
      </c>
      <c r="B1398">
        <v>393.75</v>
      </c>
      <c r="C1398">
        <v>20.531590000000001</v>
      </c>
      <c r="D1398">
        <v>40</v>
      </c>
      <c r="E1398">
        <v>0</v>
      </c>
      <c r="F1398">
        <v>0</v>
      </c>
      <c r="G1398">
        <v>76</v>
      </c>
      <c r="H1398" s="4">
        <v>1570526404024</v>
      </c>
      <c r="I1398">
        <v>526.6875</v>
      </c>
      <c r="J1398" s="9">
        <f t="shared" si="21"/>
        <v>43746.680602129629</v>
      </c>
      <c r="K1398" s="1"/>
    </row>
    <row r="1399" spans="1:11" x14ac:dyDescent="0.25">
      <c r="A1399" t="e">
        <f>-LqeensofcryiOx0X62a</f>
        <v>#NAME?</v>
      </c>
      <c r="B1399">
        <v>393.75</v>
      </c>
      <c r="C1399">
        <v>20.584240000000001</v>
      </c>
      <c r="D1399">
        <v>40</v>
      </c>
      <c r="E1399">
        <v>0</v>
      </c>
      <c r="F1399">
        <v>0</v>
      </c>
      <c r="G1399">
        <v>72</v>
      </c>
      <c r="H1399" s="4">
        <v>1570526411264</v>
      </c>
      <c r="I1399">
        <v>526.6875</v>
      </c>
      <c r="J1399" s="9">
        <f t="shared" si="21"/>
        <v>43746.680685925923</v>
      </c>
      <c r="K1399" s="1"/>
    </row>
    <row r="1400" spans="1:11" x14ac:dyDescent="0.25">
      <c r="A1400" t="e">
        <f>-LqeephtDtf1IRbt8O0T</f>
        <v>#NAME?</v>
      </c>
      <c r="B1400">
        <v>393.75</v>
      </c>
      <c r="C1400">
        <v>20.584240000000001</v>
      </c>
      <c r="D1400">
        <v>40</v>
      </c>
      <c r="E1400">
        <v>0</v>
      </c>
      <c r="F1400">
        <v>0</v>
      </c>
      <c r="G1400">
        <v>68</v>
      </c>
      <c r="H1400" s="4">
        <v>1570526418440</v>
      </c>
      <c r="I1400">
        <v>526.6875</v>
      </c>
      <c r="J1400" s="9">
        <f t="shared" si="21"/>
        <v>43746.680768981481</v>
      </c>
      <c r="K1400" s="1"/>
    </row>
    <row r="1401" spans="1:11" x14ac:dyDescent="0.25">
      <c r="A1401" t="e">
        <f>-LqeerPu-U9Wiq0EEge8</f>
        <v>#NAME?</v>
      </c>
      <c r="B1401">
        <v>393.75</v>
      </c>
      <c r="C1401">
        <v>20.531590000000001</v>
      </c>
      <c r="D1401">
        <v>40</v>
      </c>
      <c r="E1401">
        <v>0</v>
      </c>
      <c r="F1401">
        <v>0</v>
      </c>
      <c r="G1401">
        <v>76</v>
      </c>
      <c r="H1401" s="4">
        <v>1570526425665</v>
      </c>
      <c r="I1401">
        <v>526.6875</v>
      </c>
      <c r="J1401" s="9">
        <f t="shared" si="21"/>
        <v>43746.680852604164</v>
      </c>
      <c r="K1401" s="1"/>
    </row>
    <row r="1402" spans="1:11" x14ac:dyDescent="0.25">
      <c r="A1402" t="e">
        <f>-LqeesylFZ59GmrAYcBj</f>
        <v>#NAME?</v>
      </c>
      <c r="B1402">
        <v>431.25</v>
      </c>
      <c r="C1402">
        <v>20.531590000000001</v>
      </c>
      <c r="D1402">
        <v>40</v>
      </c>
      <c r="E1402">
        <v>0</v>
      </c>
      <c r="F1402">
        <v>0</v>
      </c>
      <c r="G1402">
        <v>65</v>
      </c>
      <c r="H1402" s="4">
        <v>1570526431862</v>
      </c>
      <c r="I1402">
        <v>538.5</v>
      </c>
      <c r="J1402" s="9">
        <f t="shared" si="21"/>
        <v>43746.680924328706</v>
      </c>
      <c r="K1402" s="1"/>
    </row>
    <row r="1403" spans="1:11" x14ac:dyDescent="0.25">
      <c r="A1403" t="e">
        <f>-Lqeeuff4PqulXHwy9Pm</f>
        <v>#NAME?</v>
      </c>
      <c r="B1403">
        <v>393.75</v>
      </c>
      <c r="C1403">
        <v>20.584240000000001</v>
      </c>
      <c r="D1403">
        <v>39</v>
      </c>
      <c r="E1403">
        <v>0</v>
      </c>
      <c r="F1403">
        <v>0</v>
      </c>
      <c r="G1403">
        <v>78</v>
      </c>
      <c r="H1403" s="4">
        <v>1570526439080</v>
      </c>
      <c r="I1403">
        <v>526.6875</v>
      </c>
      <c r="J1403" s="9">
        <f t="shared" si="21"/>
        <v>43746.681007870364</v>
      </c>
      <c r="K1403" s="1"/>
    </row>
    <row r="1404" spans="1:11" x14ac:dyDescent="0.25">
      <c r="A1404" t="e">
        <f>-LqeewUv22WTr63_JWnT</f>
        <v>#NAME?</v>
      </c>
      <c r="B1404">
        <v>393.75</v>
      </c>
      <c r="C1404">
        <v>20.584240000000001</v>
      </c>
      <c r="D1404">
        <v>40</v>
      </c>
      <c r="E1404">
        <v>0</v>
      </c>
      <c r="F1404">
        <v>0</v>
      </c>
      <c r="G1404">
        <v>64</v>
      </c>
      <c r="H1404" s="4">
        <v>1570526446284</v>
      </c>
      <c r="I1404">
        <v>526.6875</v>
      </c>
      <c r="J1404" s="9">
        <f t="shared" si="21"/>
        <v>43746.68109125</v>
      </c>
      <c r="K1404" s="1"/>
    </row>
    <row r="1405" spans="1:11" x14ac:dyDescent="0.25">
      <c r="A1405" t="e">
        <f>-LqeeyDrY81sPCuPmxNi</f>
        <v>#NAME?</v>
      </c>
      <c r="B1405">
        <v>393.75</v>
      </c>
      <c r="C1405">
        <v>20.531590000000001</v>
      </c>
      <c r="D1405">
        <v>39</v>
      </c>
      <c r="E1405">
        <v>0</v>
      </c>
      <c r="F1405">
        <v>0</v>
      </c>
      <c r="G1405">
        <v>70</v>
      </c>
      <c r="H1405" s="4">
        <v>1570526453510</v>
      </c>
      <c r="I1405">
        <v>526.6875</v>
      </c>
      <c r="J1405" s="9">
        <f t="shared" si="21"/>
        <v>43746.681174884252</v>
      </c>
      <c r="K1405" s="1"/>
    </row>
    <row r="1406" spans="1:11" x14ac:dyDescent="0.25">
      <c r="A1406" t="s">
        <v>77</v>
      </c>
      <c r="B1406">
        <v>393.75</v>
      </c>
      <c r="C1406">
        <v>20.584240000000001</v>
      </c>
      <c r="D1406">
        <v>40</v>
      </c>
      <c r="E1406">
        <v>0</v>
      </c>
      <c r="F1406">
        <v>0</v>
      </c>
      <c r="G1406">
        <v>72</v>
      </c>
      <c r="H1406" s="4">
        <v>1570526460718</v>
      </c>
      <c r="I1406">
        <v>526.6875</v>
      </c>
      <c r="J1406" s="9">
        <f t="shared" si="21"/>
        <v>43746.681258310178</v>
      </c>
      <c r="K1406" s="1"/>
    </row>
    <row r="1407" spans="1:11" x14ac:dyDescent="0.25">
      <c r="A1407" t="e">
        <f>-Lqef146gREwHTc83m9N</f>
        <v>#NAME?</v>
      </c>
      <c r="B1407">
        <v>412.5</v>
      </c>
      <c r="C1407">
        <v>20.584240000000001</v>
      </c>
      <c r="D1407">
        <v>40</v>
      </c>
      <c r="E1407">
        <v>0</v>
      </c>
      <c r="F1407">
        <v>0</v>
      </c>
      <c r="G1407">
        <v>65</v>
      </c>
      <c r="H1407" s="4">
        <v>1570526469177</v>
      </c>
      <c r="I1407">
        <v>532.3125</v>
      </c>
      <c r="J1407" s="9">
        <f t="shared" si="21"/>
        <v>43746.681356215275</v>
      </c>
      <c r="K1407" s="1"/>
    </row>
    <row r="1408" spans="1:11" x14ac:dyDescent="0.25">
      <c r="A1408" t="e">
        <f>-Lqef2kly6qhWR0e57oa</f>
        <v>#NAME?</v>
      </c>
      <c r="B1408">
        <v>393.75</v>
      </c>
      <c r="C1408">
        <v>20.584240000000001</v>
      </c>
      <c r="D1408">
        <v>40</v>
      </c>
      <c r="E1408">
        <v>0</v>
      </c>
      <c r="F1408">
        <v>0</v>
      </c>
      <c r="G1408">
        <v>70</v>
      </c>
      <c r="H1408" s="4">
        <v>1570526476164</v>
      </c>
      <c r="I1408">
        <v>526.5</v>
      </c>
      <c r="J1408" s="9">
        <f t="shared" si="21"/>
        <v>43746.681437083331</v>
      </c>
      <c r="K1408" s="1"/>
    </row>
    <row r="1409" spans="1:11" x14ac:dyDescent="0.25">
      <c r="A1409" t="e">
        <f>-Lqef4YlqtdwBv-QHxuR</f>
        <v>#NAME?</v>
      </c>
      <c r="B1409">
        <v>412.5</v>
      </c>
      <c r="C1409">
        <v>20.584240000000001</v>
      </c>
      <c r="D1409">
        <v>39</v>
      </c>
      <c r="E1409">
        <v>0</v>
      </c>
      <c r="F1409">
        <v>0</v>
      </c>
      <c r="G1409">
        <v>78</v>
      </c>
      <c r="H1409" s="4">
        <v>1570526483382</v>
      </c>
      <c r="I1409">
        <v>532.3125</v>
      </c>
      <c r="J1409" s="9">
        <f t="shared" si="21"/>
        <v>43746.681520624996</v>
      </c>
      <c r="K1409" s="1"/>
    </row>
    <row r="1410" spans="1:11" x14ac:dyDescent="0.25">
      <c r="A1410" t="e">
        <f>-Lqef6GbtXb2B8mAC2pA</f>
        <v>#NAME?</v>
      </c>
      <c r="B1410">
        <v>393.75</v>
      </c>
      <c r="C1410">
        <v>20.584240000000001</v>
      </c>
      <c r="D1410">
        <v>37</v>
      </c>
      <c r="E1410">
        <v>0</v>
      </c>
      <c r="F1410">
        <v>0</v>
      </c>
      <c r="G1410">
        <v>68</v>
      </c>
      <c r="H1410" s="4">
        <v>1570526490585</v>
      </c>
      <c r="I1410">
        <v>526.6875</v>
      </c>
      <c r="J1410" s="9">
        <f t="shared" si="21"/>
        <v>43746.681603993049</v>
      </c>
      <c r="K1410" s="1"/>
    </row>
    <row r="1411" spans="1:11" x14ac:dyDescent="0.25">
      <c r="A1411" t="e">
        <f>-Lqef7lhkRkHLUvXfpoz</f>
        <v>#NAME?</v>
      </c>
      <c r="B1411">
        <v>393.75</v>
      </c>
      <c r="C1411">
        <v>20.584240000000001</v>
      </c>
      <c r="D1411">
        <v>38</v>
      </c>
      <c r="E1411">
        <v>0</v>
      </c>
      <c r="F1411">
        <v>0</v>
      </c>
      <c r="G1411">
        <v>71</v>
      </c>
      <c r="H1411" s="4">
        <v>1570526496851</v>
      </c>
      <c r="I1411">
        <v>526.6875</v>
      </c>
      <c r="J1411" s="9">
        <f t="shared" ref="J1411:J1474" si="22">(H1411/86400000)+25569+(7/24)</f>
        <v>43746.6816765162</v>
      </c>
      <c r="K1411" s="1"/>
    </row>
    <row r="1412" spans="1:11" x14ac:dyDescent="0.25">
      <c r="A1412" t="e">
        <f>-Lqef9O1-qfIMk6DseU3</f>
        <v>#NAME?</v>
      </c>
      <c r="B1412">
        <v>393.75</v>
      </c>
      <c r="C1412">
        <v>20.531590000000001</v>
      </c>
      <c r="D1412">
        <v>37</v>
      </c>
      <c r="E1412">
        <v>0</v>
      </c>
      <c r="F1412">
        <v>0</v>
      </c>
      <c r="G1412">
        <v>71</v>
      </c>
      <c r="H1412" s="4">
        <v>1570526502954</v>
      </c>
      <c r="I1412">
        <v>526.6875</v>
      </c>
      <c r="J1412" s="9">
        <f t="shared" si="22"/>
        <v>43746.681747152776</v>
      </c>
      <c r="K1412" s="1"/>
    </row>
    <row r="1413" spans="1:11" x14ac:dyDescent="0.25">
      <c r="A1413" t="e">
        <f>-LqefB0f7LsKtrvRG_E_</f>
        <v>#NAME?</v>
      </c>
      <c r="B1413">
        <v>393.75</v>
      </c>
      <c r="C1413">
        <v>20.531590000000001</v>
      </c>
      <c r="D1413">
        <v>38</v>
      </c>
      <c r="E1413">
        <v>0</v>
      </c>
      <c r="F1413">
        <v>0</v>
      </c>
      <c r="G1413">
        <v>76</v>
      </c>
      <c r="H1413" s="4">
        <v>1570526510142</v>
      </c>
      <c r="I1413">
        <v>526.6875</v>
      </c>
      <c r="J1413" s="9">
        <f t="shared" si="22"/>
        <v>43746.681830347217</v>
      </c>
      <c r="K1413" s="1"/>
    </row>
    <row r="1414" spans="1:11" x14ac:dyDescent="0.25">
      <c r="A1414" t="e">
        <f>-LqefCWbJZko-CFoDq-v</f>
        <v>#NAME?</v>
      </c>
      <c r="B1414">
        <v>393.75</v>
      </c>
      <c r="C1414">
        <v>20.584240000000001</v>
      </c>
      <c r="D1414">
        <v>38</v>
      </c>
      <c r="E1414">
        <v>0</v>
      </c>
      <c r="F1414">
        <v>0</v>
      </c>
      <c r="G1414">
        <v>72</v>
      </c>
      <c r="H1414" s="4">
        <v>1570526516301</v>
      </c>
      <c r="I1414">
        <v>526.6875</v>
      </c>
      <c r="J1414" s="9">
        <f t="shared" si="22"/>
        <v>43746.681901631942</v>
      </c>
      <c r="K1414" s="1"/>
    </row>
    <row r="1415" spans="1:11" x14ac:dyDescent="0.25">
      <c r="A1415" t="e">
        <f>-LqefE2rj8ItkOxmr1Wq</f>
        <v>#NAME?</v>
      </c>
      <c r="B1415">
        <v>393.75</v>
      </c>
      <c r="C1415">
        <v>20.531590000000001</v>
      </c>
      <c r="D1415">
        <v>38</v>
      </c>
      <c r="E1415">
        <v>0</v>
      </c>
      <c r="F1415">
        <v>0</v>
      </c>
      <c r="G1415">
        <v>62</v>
      </c>
      <c r="H1415" s="4">
        <v>1570526522543</v>
      </c>
      <c r="I1415">
        <v>526.6875</v>
      </c>
      <c r="J1415" s="9">
        <f t="shared" si="22"/>
        <v>43746.681973877312</v>
      </c>
      <c r="K1415" s="1"/>
    </row>
    <row r="1416" spans="1:11" x14ac:dyDescent="0.25">
      <c r="A1416" t="e">
        <f>-LqefFi8Kur-uq9pxDLs</f>
        <v>#NAME?</v>
      </c>
      <c r="B1416">
        <v>393.75</v>
      </c>
      <c r="C1416">
        <v>20.584240000000001</v>
      </c>
      <c r="D1416">
        <v>38</v>
      </c>
      <c r="E1416">
        <v>0</v>
      </c>
      <c r="F1416">
        <v>0</v>
      </c>
      <c r="G1416">
        <v>70</v>
      </c>
      <c r="H1416" s="4">
        <v>1570526528712</v>
      </c>
      <c r="I1416">
        <v>526.6875</v>
      </c>
      <c r="J1416" s="9">
        <f t="shared" si="22"/>
        <v>43746.682045277776</v>
      </c>
      <c r="K1416" s="1"/>
    </row>
    <row r="1417" spans="1:11" x14ac:dyDescent="0.25">
      <c r="A1417" t="e">
        <f>-LqefHNrkeljgBoHd-qg</f>
        <v>#NAME?</v>
      </c>
      <c r="B1417">
        <v>393.75</v>
      </c>
      <c r="C1417">
        <v>20.584240000000001</v>
      </c>
      <c r="D1417">
        <v>39</v>
      </c>
      <c r="E1417">
        <v>0</v>
      </c>
      <c r="F1417">
        <v>0</v>
      </c>
      <c r="G1417">
        <v>72</v>
      </c>
      <c r="H1417" s="4">
        <v>1570526535932</v>
      </c>
      <c r="I1417">
        <v>526.6875</v>
      </c>
      <c r="J1417" s="9">
        <f t="shared" si="22"/>
        <v>43746.682128842593</v>
      </c>
      <c r="K1417" s="1"/>
    </row>
    <row r="1418" spans="1:11" x14ac:dyDescent="0.25">
      <c r="A1418" t="e">
        <f>-LqefJ4UPHgq9J7XnXau</f>
        <v>#NAME?</v>
      </c>
      <c r="B1418">
        <v>393.75</v>
      </c>
      <c r="C1418">
        <v>20.584240000000001</v>
      </c>
      <c r="D1418">
        <v>39</v>
      </c>
      <c r="E1418">
        <v>0</v>
      </c>
      <c r="F1418">
        <v>0</v>
      </c>
      <c r="G1418">
        <v>71</v>
      </c>
      <c r="H1418" s="4">
        <v>1570526543113</v>
      </c>
      <c r="I1418">
        <v>526.6875</v>
      </c>
      <c r="J1418" s="9">
        <f t="shared" si="22"/>
        <v>43746.682211956017</v>
      </c>
      <c r="K1418" s="1"/>
    </row>
    <row r="1419" spans="1:11" x14ac:dyDescent="0.25">
      <c r="A1419" t="e">
        <f>-LqefKf1LtlQLsvpJ4Gn</f>
        <v>#NAME?</v>
      </c>
      <c r="B1419">
        <v>393.75</v>
      </c>
      <c r="C1419">
        <v>20.531590000000001</v>
      </c>
      <c r="D1419">
        <v>38</v>
      </c>
      <c r="E1419">
        <v>0</v>
      </c>
      <c r="F1419">
        <v>0</v>
      </c>
      <c r="G1419">
        <v>77</v>
      </c>
      <c r="H1419" s="4">
        <v>1570526549332</v>
      </c>
      <c r="I1419">
        <v>526.6875</v>
      </c>
      <c r="J1419" s="9">
        <f t="shared" si="22"/>
        <v>43746.682283935188</v>
      </c>
      <c r="K1419" s="1"/>
    </row>
    <row r="1420" spans="1:11" x14ac:dyDescent="0.25">
      <c r="A1420" t="e">
        <f>-LqefMMkvUUuDc53gSHJ</f>
        <v>#NAME?</v>
      </c>
      <c r="B1420">
        <v>393.75</v>
      </c>
      <c r="C1420">
        <v>20.584240000000001</v>
      </c>
      <c r="D1420">
        <v>38</v>
      </c>
      <c r="E1420">
        <v>0</v>
      </c>
      <c r="F1420">
        <v>0</v>
      </c>
      <c r="G1420">
        <v>71</v>
      </c>
      <c r="H1420" s="4">
        <v>1570526556550</v>
      </c>
      <c r="I1420">
        <v>526.6875</v>
      </c>
      <c r="J1420" s="9">
        <f t="shared" si="22"/>
        <v>43746.682367476846</v>
      </c>
      <c r="K1420" s="1"/>
    </row>
    <row r="1421" spans="1:11" x14ac:dyDescent="0.25">
      <c r="A1421" t="s">
        <v>78</v>
      </c>
      <c r="B1421">
        <v>412.5</v>
      </c>
      <c r="C1421">
        <v>20.584240000000001</v>
      </c>
      <c r="D1421">
        <v>40</v>
      </c>
      <c r="E1421">
        <v>0</v>
      </c>
      <c r="F1421">
        <v>0</v>
      </c>
      <c r="G1421">
        <v>76</v>
      </c>
      <c r="H1421" s="4">
        <v>1570526563752</v>
      </c>
      <c r="I1421">
        <v>532.5</v>
      </c>
      <c r="J1421" s="9">
        <f t="shared" si="22"/>
        <v>43746.68245083333</v>
      </c>
      <c r="K1421" s="1"/>
    </row>
    <row r="1422" spans="1:11" x14ac:dyDescent="0.25">
      <c r="A1422" t="s">
        <v>79</v>
      </c>
      <c r="B1422">
        <v>393.75</v>
      </c>
      <c r="C1422">
        <v>20.584240000000001</v>
      </c>
      <c r="D1422">
        <v>40</v>
      </c>
      <c r="E1422">
        <v>0</v>
      </c>
      <c r="F1422">
        <v>0</v>
      </c>
      <c r="G1422">
        <v>74</v>
      </c>
      <c r="H1422" s="4">
        <v>1570526570945</v>
      </c>
      <c r="I1422">
        <v>526.6875</v>
      </c>
      <c r="J1422" s="9">
        <f t="shared" si="22"/>
        <v>43746.682534085645</v>
      </c>
      <c r="K1422" s="1"/>
    </row>
    <row r="1423" spans="1:11" x14ac:dyDescent="0.25">
      <c r="A1423" t="e">
        <f>-LqefRh0OypcYRWMg_rq</f>
        <v>#NAME?</v>
      </c>
      <c r="B1423">
        <v>393.75</v>
      </c>
      <c r="C1423">
        <v>20.584240000000001</v>
      </c>
      <c r="D1423">
        <v>39</v>
      </c>
      <c r="E1423">
        <v>0</v>
      </c>
      <c r="F1423">
        <v>0</v>
      </c>
      <c r="G1423">
        <v>71</v>
      </c>
      <c r="H1423" s="4">
        <v>1570526578192</v>
      </c>
      <c r="I1423">
        <v>526.6875</v>
      </c>
      <c r="J1423" s="9">
        <f t="shared" si="22"/>
        <v>43746.682617962964</v>
      </c>
      <c r="K1423" s="1"/>
    </row>
    <row r="1424" spans="1:11" x14ac:dyDescent="0.25">
      <c r="A1424" t="e">
        <f>-LqefTQ1YjO0xH0ySRvR</f>
        <v>#NAME?</v>
      </c>
      <c r="B1424">
        <v>393.75</v>
      </c>
      <c r="C1424">
        <v>20.531590000000001</v>
      </c>
      <c r="D1424">
        <v>39</v>
      </c>
      <c r="E1424">
        <v>0</v>
      </c>
      <c r="F1424">
        <v>0</v>
      </c>
      <c r="G1424">
        <v>72</v>
      </c>
      <c r="H1424" s="4">
        <v>1570526585360</v>
      </c>
      <c r="I1424">
        <v>526.6875</v>
      </c>
      <c r="J1424" s="9">
        <f t="shared" si="22"/>
        <v>43746.682700925921</v>
      </c>
      <c r="K1424" s="1"/>
    </row>
    <row r="1425" spans="1:11" x14ac:dyDescent="0.25">
      <c r="A1425" t="e">
        <f>-LqefV96DDLzEvUl7Ur7</f>
        <v>#NAME?</v>
      </c>
      <c r="B1425">
        <v>393.75</v>
      </c>
      <c r="C1425">
        <v>20.584240000000001</v>
      </c>
      <c r="D1425">
        <v>39</v>
      </c>
      <c r="E1425">
        <v>0</v>
      </c>
      <c r="F1425">
        <v>0</v>
      </c>
      <c r="G1425">
        <v>71</v>
      </c>
      <c r="H1425" s="4">
        <v>1570526591543</v>
      </c>
      <c r="I1425">
        <v>526.6875</v>
      </c>
      <c r="J1425" s="9">
        <f t="shared" si="22"/>
        <v>43746.682772488428</v>
      </c>
      <c r="K1425" s="1"/>
    </row>
    <row r="1426" spans="1:11" x14ac:dyDescent="0.25">
      <c r="A1426" t="e">
        <f>-LqefWxZcLVxMi8ueSqM</f>
        <v>#NAME?</v>
      </c>
      <c r="B1426">
        <v>393.75</v>
      </c>
      <c r="C1426">
        <v>20.584240000000001</v>
      </c>
      <c r="D1426">
        <v>38</v>
      </c>
      <c r="E1426">
        <v>0</v>
      </c>
      <c r="F1426">
        <v>0</v>
      </c>
      <c r="G1426">
        <v>78</v>
      </c>
      <c r="H1426" s="4">
        <v>1570526598792</v>
      </c>
      <c r="I1426">
        <v>526.6875</v>
      </c>
      <c r="J1426" s="9">
        <f t="shared" si="22"/>
        <v>43746.682856388885</v>
      </c>
      <c r="K1426" s="1"/>
    </row>
    <row r="1427" spans="1:11" x14ac:dyDescent="0.25">
      <c r="A1427" t="e">
        <f>-LqefYTkipLIY1_LnW21</f>
        <v>#NAME?</v>
      </c>
      <c r="B1427">
        <v>393.75</v>
      </c>
      <c r="C1427">
        <v>20.584240000000001</v>
      </c>
      <c r="D1427">
        <v>38</v>
      </c>
      <c r="E1427">
        <v>0</v>
      </c>
      <c r="F1427">
        <v>0</v>
      </c>
      <c r="G1427">
        <v>77</v>
      </c>
      <c r="H1427" s="4">
        <v>1570526605982</v>
      </c>
      <c r="I1427">
        <v>526.5</v>
      </c>
      <c r="J1427" s="9">
        <f t="shared" si="22"/>
        <v>43746.682939606479</v>
      </c>
      <c r="K1427" s="1"/>
    </row>
    <row r="1428" spans="1:11" x14ac:dyDescent="0.25">
      <c r="A1428" t="e">
        <f>-Lqef_D8VOJG44H36GHK</f>
        <v>#NAME?</v>
      </c>
      <c r="B1428">
        <v>393.75</v>
      </c>
      <c r="C1428">
        <v>20.584240000000001</v>
      </c>
      <c r="D1428">
        <v>38</v>
      </c>
      <c r="E1428">
        <v>0</v>
      </c>
      <c r="F1428">
        <v>0</v>
      </c>
      <c r="G1428">
        <v>73</v>
      </c>
      <c r="H1428" s="4">
        <v>1570526613181</v>
      </c>
      <c r="I1428">
        <v>526.6875</v>
      </c>
      <c r="J1428" s="9">
        <f t="shared" si="22"/>
        <v>43746.683022928242</v>
      </c>
      <c r="K1428" s="1"/>
    </row>
    <row r="1429" spans="1:11" x14ac:dyDescent="0.25">
      <c r="A1429" t="e">
        <f>-Lqefaku3rx8bRSV19jU</f>
        <v>#NAME?</v>
      </c>
      <c r="B1429">
        <v>393.75</v>
      </c>
      <c r="C1429">
        <v>20.584240000000001</v>
      </c>
      <c r="D1429">
        <v>38</v>
      </c>
      <c r="E1429">
        <v>0</v>
      </c>
      <c r="F1429">
        <v>0</v>
      </c>
      <c r="G1429">
        <v>78</v>
      </c>
      <c r="H1429" s="4">
        <v>1570526619381</v>
      </c>
      <c r="I1429">
        <v>526.6875</v>
      </c>
      <c r="J1429" s="9">
        <f t="shared" si="22"/>
        <v>43746.683094687498</v>
      </c>
      <c r="K1429" s="1"/>
    </row>
    <row r="1430" spans="1:11" x14ac:dyDescent="0.25">
      <c r="A1430" t="e">
        <f>-LqefcUqpoXWkBpdgT6f</f>
        <v>#NAME?</v>
      </c>
      <c r="B1430">
        <v>393.75</v>
      </c>
      <c r="C1430">
        <v>20.584240000000001</v>
      </c>
      <c r="D1430">
        <v>38</v>
      </c>
      <c r="E1430">
        <v>0</v>
      </c>
      <c r="F1430">
        <v>0</v>
      </c>
      <c r="G1430">
        <v>73</v>
      </c>
      <c r="H1430" s="4">
        <v>1570526626601</v>
      </c>
      <c r="I1430">
        <v>526.6875</v>
      </c>
      <c r="J1430" s="9">
        <f t="shared" si="22"/>
        <v>43746.683178252315</v>
      </c>
      <c r="K1430" s="1"/>
    </row>
    <row r="1431" spans="1:11" x14ac:dyDescent="0.25">
      <c r="A1431" t="s">
        <v>80</v>
      </c>
      <c r="B1431">
        <v>393.75</v>
      </c>
      <c r="C1431">
        <v>20.584240000000001</v>
      </c>
      <c r="D1431">
        <v>38</v>
      </c>
      <c r="E1431">
        <v>0</v>
      </c>
      <c r="F1431">
        <v>0</v>
      </c>
      <c r="G1431">
        <v>80</v>
      </c>
      <c r="H1431" s="4">
        <v>1570526633811</v>
      </c>
      <c r="I1431">
        <v>526.6875</v>
      </c>
      <c r="J1431" s="9">
        <f t="shared" si="22"/>
        <v>43746.683261701386</v>
      </c>
      <c r="K1431" s="1"/>
    </row>
    <row r="1432" spans="1:11" x14ac:dyDescent="0.25">
      <c r="A1432" t="e">
        <f>-Lqefg0IeOQ_ahPXF3O9</f>
        <v>#NAME?</v>
      </c>
      <c r="B1432">
        <v>393.75</v>
      </c>
      <c r="C1432">
        <v>20.584240000000001</v>
      </c>
      <c r="D1432">
        <v>38</v>
      </c>
      <c r="E1432">
        <v>0</v>
      </c>
      <c r="F1432">
        <v>0</v>
      </c>
      <c r="G1432">
        <v>69</v>
      </c>
      <c r="H1432" s="4">
        <v>1570526641022</v>
      </c>
      <c r="I1432">
        <v>526.6875</v>
      </c>
      <c r="J1432" s="9">
        <f t="shared" si="22"/>
        <v>43746.683345162033</v>
      </c>
      <c r="K1432" s="1"/>
    </row>
    <row r="1433" spans="1:11" x14ac:dyDescent="0.25">
      <c r="A1433" t="e">
        <f>-LqefhuIzOAU3pL-FHU1</f>
        <v>#NAME?</v>
      </c>
      <c r="B1433">
        <v>393.75</v>
      </c>
      <c r="C1433">
        <v>20.531590000000001</v>
      </c>
      <c r="D1433">
        <v>37</v>
      </c>
      <c r="E1433">
        <v>0</v>
      </c>
      <c r="F1433">
        <v>0</v>
      </c>
      <c r="G1433">
        <v>76</v>
      </c>
      <c r="H1433" s="4">
        <v>1570526648244</v>
      </c>
      <c r="I1433">
        <v>526.6875</v>
      </c>
      <c r="J1433" s="9">
        <f t="shared" si="22"/>
        <v>43746.683428750002</v>
      </c>
      <c r="K1433" s="1"/>
    </row>
    <row r="1434" spans="1:11" x14ac:dyDescent="0.25">
      <c r="A1434" t="e">
        <f>-LqefjVjLSXiNsxT-Hul</f>
        <v>#NAME?</v>
      </c>
      <c r="B1434">
        <v>393.75</v>
      </c>
      <c r="C1434">
        <v>20.584240000000001</v>
      </c>
      <c r="D1434">
        <v>35</v>
      </c>
      <c r="E1434">
        <v>0</v>
      </c>
      <c r="F1434">
        <v>0</v>
      </c>
      <c r="G1434">
        <v>76</v>
      </c>
      <c r="H1434" s="4">
        <v>1570526655425</v>
      </c>
      <c r="I1434">
        <v>526.6875</v>
      </c>
      <c r="J1434" s="9">
        <f t="shared" si="22"/>
        <v>43746.683511863426</v>
      </c>
      <c r="K1434" s="1"/>
    </row>
    <row r="1435" spans="1:11" x14ac:dyDescent="0.25">
      <c r="A1435" t="e">
        <f>-Lqefl4zIiiBkOL2q5Jm</f>
        <v>#NAME?</v>
      </c>
      <c r="B1435">
        <v>393.75</v>
      </c>
      <c r="C1435">
        <v>20.584240000000001</v>
      </c>
      <c r="D1435">
        <v>35</v>
      </c>
      <c r="E1435">
        <v>0</v>
      </c>
      <c r="F1435">
        <v>0</v>
      </c>
      <c r="G1435">
        <v>76</v>
      </c>
      <c r="H1435" s="4">
        <v>1570526661621</v>
      </c>
      <c r="I1435">
        <v>526.6875</v>
      </c>
      <c r="J1435" s="9">
        <f t="shared" si="22"/>
        <v>43746.683583576385</v>
      </c>
      <c r="K1435" s="1"/>
    </row>
    <row r="1436" spans="1:11" x14ac:dyDescent="0.25">
      <c r="A1436" t="e">
        <f>-LqefmmjQrQwPuqaDmaK</f>
        <v>#NAME?</v>
      </c>
      <c r="B1436">
        <v>393.75</v>
      </c>
      <c r="C1436">
        <v>20.584240000000001</v>
      </c>
      <c r="D1436">
        <v>36</v>
      </c>
      <c r="E1436">
        <v>0</v>
      </c>
      <c r="F1436">
        <v>0</v>
      </c>
      <c r="G1436">
        <v>76</v>
      </c>
      <c r="H1436" s="4">
        <v>1570526668842</v>
      </c>
      <c r="I1436">
        <v>526.6875</v>
      </c>
      <c r="J1436" s="9">
        <f t="shared" si="22"/>
        <v>43746.683667152778</v>
      </c>
      <c r="K1436" s="1"/>
    </row>
    <row r="1437" spans="1:11" x14ac:dyDescent="0.25">
      <c r="A1437" t="e">
        <f>-Lqefo_kvYfv7YGbGiZn</f>
        <v>#NAME?</v>
      </c>
      <c r="B1437">
        <v>393.75</v>
      </c>
      <c r="C1437">
        <v>20.531590000000001</v>
      </c>
      <c r="D1437">
        <v>38</v>
      </c>
      <c r="E1437">
        <v>0</v>
      </c>
      <c r="F1437">
        <v>0</v>
      </c>
      <c r="G1437">
        <v>78</v>
      </c>
      <c r="H1437" s="4">
        <v>1570526676052</v>
      </c>
      <c r="I1437">
        <v>526.6875</v>
      </c>
      <c r="J1437" s="9">
        <f t="shared" si="22"/>
        <v>43746.683750601849</v>
      </c>
      <c r="K1437" s="1"/>
    </row>
    <row r="1438" spans="1:11" x14ac:dyDescent="0.25">
      <c r="A1438" t="e">
        <f>-LqefqIj8Q9R_YJvCKD1</f>
        <v>#NAME?</v>
      </c>
      <c r="B1438">
        <v>393.75</v>
      </c>
      <c r="C1438">
        <v>20.531590000000001</v>
      </c>
      <c r="D1438">
        <v>37</v>
      </c>
      <c r="E1438">
        <v>0</v>
      </c>
      <c r="F1438">
        <v>0</v>
      </c>
      <c r="G1438">
        <v>80</v>
      </c>
      <c r="H1438" s="4">
        <v>1570526683271</v>
      </c>
      <c r="I1438">
        <v>526.6875</v>
      </c>
      <c r="J1438" s="9">
        <f t="shared" si="22"/>
        <v>43746.68383415509</v>
      </c>
      <c r="K1438" s="1"/>
    </row>
    <row r="1439" spans="1:11" x14ac:dyDescent="0.25">
      <c r="A1439" t="e">
        <f>-Lqefs7-uWhJd38kEgFE</f>
        <v>#NAME?</v>
      </c>
      <c r="B1439">
        <v>393.75</v>
      </c>
      <c r="C1439">
        <v>20.584240000000001</v>
      </c>
      <c r="D1439">
        <v>37</v>
      </c>
      <c r="E1439">
        <v>0</v>
      </c>
      <c r="F1439">
        <v>0</v>
      </c>
      <c r="G1439">
        <v>76</v>
      </c>
      <c r="H1439" s="4">
        <v>1570526690483</v>
      </c>
      <c r="I1439">
        <v>526.6875</v>
      </c>
      <c r="J1439" s="9">
        <f t="shared" si="22"/>
        <v>43746.683917627313</v>
      </c>
      <c r="K1439" s="1"/>
    </row>
    <row r="1440" spans="1:11" x14ac:dyDescent="0.25">
      <c r="A1440" t="e">
        <f>-Lqeftq0rxGHZhRqLywh</f>
        <v>#NAME?</v>
      </c>
      <c r="B1440">
        <v>393.75</v>
      </c>
      <c r="C1440">
        <v>20.531590000000001</v>
      </c>
      <c r="D1440">
        <v>37</v>
      </c>
      <c r="E1440">
        <v>0</v>
      </c>
      <c r="F1440">
        <v>0</v>
      </c>
      <c r="G1440">
        <v>71</v>
      </c>
      <c r="H1440" s="4">
        <v>1570526697671</v>
      </c>
      <c r="I1440">
        <v>526.6875</v>
      </c>
      <c r="J1440" s="9">
        <f t="shared" si="22"/>
        <v>43746.684000821755</v>
      </c>
      <c r="K1440" s="1"/>
    </row>
    <row r="1441" spans="1:11" x14ac:dyDescent="0.25">
      <c r="A1441" t="e">
        <f>-LqefvNj1FN_0VqI1-#REF!</f>
        <v>#NAME?</v>
      </c>
      <c r="B1441">
        <v>393.75</v>
      </c>
      <c r="C1441">
        <v>20.584240000000001</v>
      </c>
      <c r="D1441">
        <v>37</v>
      </c>
      <c r="E1441">
        <v>0</v>
      </c>
      <c r="F1441">
        <v>0</v>
      </c>
      <c r="G1441">
        <v>78</v>
      </c>
      <c r="H1441" s="4">
        <v>1570526703862</v>
      </c>
      <c r="I1441">
        <v>526.6875</v>
      </c>
      <c r="J1441" s="9">
        <f t="shared" si="22"/>
        <v>43746.684072476848</v>
      </c>
      <c r="K1441" s="1"/>
    </row>
    <row r="1442" spans="1:11" x14ac:dyDescent="0.25">
      <c r="A1442" t="e">
        <f>-Lqefx5dgQPdzw26erTa</f>
        <v>#NAME?</v>
      </c>
      <c r="B1442">
        <v>393.75</v>
      </c>
      <c r="C1442">
        <v>20.584240000000001</v>
      </c>
      <c r="D1442">
        <v>36</v>
      </c>
      <c r="E1442">
        <v>0</v>
      </c>
      <c r="F1442">
        <v>0</v>
      </c>
      <c r="G1442">
        <v>77</v>
      </c>
      <c r="H1442" s="4">
        <v>1570526711102</v>
      </c>
      <c r="I1442">
        <v>526.6875</v>
      </c>
      <c r="J1442" s="9">
        <f t="shared" si="22"/>
        <v>43746.68415627315</v>
      </c>
      <c r="K1442" s="1"/>
    </row>
    <row r="1443" spans="1:11" x14ac:dyDescent="0.25">
      <c r="A1443" t="e">
        <f>-LqefytG1_W1tYpcgyye</f>
        <v>#NAME?</v>
      </c>
      <c r="B1443">
        <v>393.75</v>
      </c>
      <c r="C1443">
        <v>20.584240000000001</v>
      </c>
      <c r="D1443">
        <v>36</v>
      </c>
      <c r="E1443">
        <v>0</v>
      </c>
      <c r="F1443">
        <v>0</v>
      </c>
      <c r="G1443">
        <v>78</v>
      </c>
      <c r="H1443" s="4">
        <v>1570526718301</v>
      </c>
      <c r="I1443">
        <v>526.6875</v>
      </c>
      <c r="J1443" s="9">
        <f t="shared" si="22"/>
        <v>43746.684239594906</v>
      </c>
      <c r="K1443" s="1"/>
    </row>
    <row r="1444" spans="1:11" x14ac:dyDescent="0.25">
      <c r="A1444" t="e">
        <f>-LqeG-NkKB4lqwI2hLhq</f>
        <v>#NAME?</v>
      </c>
      <c r="B1444">
        <v>393.75</v>
      </c>
      <c r="C1444">
        <v>20.584240000000001</v>
      </c>
      <c r="D1444">
        <v>37</v>
      </c>
      <c r="E1444">
        <v>0</v>
      </c>
      <c r="F1444">
        <v>0</v>
      </c>
      <c r="G1444">
        <v>83</v>
      </c>
      <c r="H1444" s="4">
        <v>1570526724482</v>
      </c>
      <c r="I1444">
        <v>526.6875</v>
      </c>
      <c r="J1444" s="9">
        <f t="shared" si="22"/>
        <v>43746.684311134253</v>
      </c>
      <c r="K1444" s="1"/>
    </row>
    <row r="1445" spans="1:11" x14ac:dyDescent="0.25">
      <c r="A1445" t="e">
        <f>-Lqeg1AjcxhrlJ-G_KXW</f>
        <v>#NAME?</v>
      </c>
      <c r="B1445">
        <v>393.75</v>
      </c>
      <c r="C1445">
        <v>20.584240000000001</v>
      </c>
      <c r="D1445">
        <v>37</v>
      </c>
      <c r="E1445">
        <v>0</v>
      </c>
      <c r="F1445">
        <v>0</v>
      </c>
      <c r="G1445">
        <v>82</v>
      </c>
      <c r="H1445" s="4">
        <v>1570526731701</v>
      </c>
      <c r="I1445">
        <v>526.6875</v>
      </c>
      <c r="J1445" s="9">
        <f t="shared" si="22"/>
        <v>43746.684394687494</v>
      </c>
      <c r="K1445" s="1"/>
    </row>
    <row r="1446" spans="1:11" x14ac:dyDescent="0.25">
      <c r="A1446" t="e">
        <f>-Lqeg2tm1aHZ9JICAoGs</f>
        <v>#NAME?</v>
      </c>
      <c r="B1446">
        <v>393.75</v>
      </c>
      <c r="C1446">
        <v>20.584240000000001</v>
      </c>
      <c r="D1446">
        <v>37</v>
      </c>
      <c r="E1446">
        <v>0</v>
      </c>
      <c r="F1446">
        <v>0</v>
      </c>
      <c r="G1446">
        <v>74</v>
      </c>
      <c r="H1446" s="4">
        <v>1570526738912</v>
      </c>
      <c r="I1446">
        <v>526.6875</v>
      </c>
      <c r="J1446" s="9">
        <f t="shared" si="22"/>
        <v>43746.684478148141</v>
      </c>
      <c r="K1446" s="1"/>
    </row>
    <row r="1447" spans="1:11" x14ac:dyDescent="0.25">
      <c r="A1447" t="e">
        <f>-Lqeg4hzPVkJfB0IpnEg</f>
        <v>#NAME?</v>
      </c>
      <c r="B1447">
        <v>393.75</v>
      </c>
      <c r="C1447">
        <v>20.584240000000001</v>
      </c>
      <c r="D1447">
        <v>38</v>
      </c>
      <c r="E1447">
        <v>0</v>
      </c>
      <c r="F1447">
        <v>0</v>
      </c>
      <c r="G1447">
        <v>72</v>
      </c>
      <c r="H1447" s="4">
        <v>1570526746141</v>
      </c>
      <c r="I1447">
        <v>526.6875</v>
      </c>
      <c r="J1447" s="9">
        <f t="shared" si="22"/>
        <v>43746.684561817128</v>
      </c>
      <c r="K1447" s="1"/>
    </row>
    <row r="1448" spans="1:11" x14ac:dyDescent="0.25">
      <c r="A1448" t="e">
        <f>-Lqeg6Ub0x_XA4ZPNgBf</f>
        <v>#NAME?</v>
      </c>
      <c r="B1448">
        <v>393.75</v>
      </c>
      <c r="C1448">
        <v>20.584240000000001</v>
      </c>
      <c r="D1448">
        <v>38</v>
      </c>
      <c r="E1448">
        <v>0</v>
      </c>
      <c r="F1448">
        <v>0</v>
      </c>
      <c r="G1448">
        <v>73</v>
      </c>
      <c r="H1448" s="4">
        <v>1570526753647</v>
      </c>
      <c r="I1448">
        <v>526.6875</v>
      </c>
      <c r="J1448" s="9">
        <f t="shared" si="22"/>
        <v>43746.684648692128</v>
      </c>
      <c r="K1448" s="1"/>
    </row>
    <row r="1449" spans="1:11" x14ac:dyDescent="0.25">
      <c r="A1449" t="e">
        <f>-Lqeg8FHiL5Db08IkDmo</f>
        <v>#NAME?</v>
      </c>
      <c r="B1449">
        <v>393.75</v>
      </c>
      <c r="C1449">
        <v>20.531590000000001</v>
      </c>
      <c r="D1449">
        <v>39</v>
      </c>
      <c r="E1449">
        <v>0</v>
      </c>
      <c r="F1449">
        <v>0</v>
      </c>
      <c r="G1449">
        <v>72</v>
      </c>
      <c r="H1449" s="4">
        <v>1570526760512</v>
      </c>
      <c r="I1449">
        <v>526.6875</v>
      </c>
      <c r="J1449" s="9">
        <f t="shared" si="22"/>
        <v>43746.684728148146</v>
      </c>
      <c r="K1449" s="1"/>
    </row>
    <row r="1450" spans="1:11" x14ac:dyDescent="0.25">
      <c r="A1450" t="e">
        <f>-Lqeg9wrWMMwFeDgdzkV</f>
        <v>#NAME?</v>
      </c>
      <c r="B1450">
        <v>393.75</v>
      </c>
      <c r="C1450">
        <v>20.531590000000001</v>
      </c>
      <c r="D1450">
        <v>38</v>
      </c>
      <c r="E1450">
        <v>0</v>
      </c>
      <c r="F1450">
        <v>0</v>
      </c>
      <c r="G1450">
        <v>74</v>
      </c>
      <c r="H1450" s="4">
        <v>1570526767742</v>
      </c>
      <c r="I1450">
        <v>526.5</v>
      </c>
      <c r="J1450" s="9">
        <f t="shared" si="22"/>
        <v>43746.684811828702</v>
      </c>
      <c r="K1450" s="1"/>
    </row>
    <row r="1451" spans="1:11" x14ac:dyDescent="0.25">
      <c r="A1451" t="e">
        <f>-LqegBW-ShatC5yb0YHR</f>
        <v>#NAME?</v>
      </c>
      <c r="B1451">
        <v>412.5</v>
      </c>
      <c r="C1451">
        <v>20.584240000000001</v>
      </c>
      <c r="D1451">
        <v>38</v>
      </c>
      <c r="E1451">
        <v>0</v>
      </c>
      <c r="F1451">
        <v>0</v>
      </c>
      <c r="G1451">
        <v>84</v>
      </c>
      <c r="H1451" s="4">
        <v>1570526773941</v>
      </c>
      <c r="I1451">
        <v>532.3125</v>
      </c>
      <c r="J1451" s="9">
        <f t="shared" si="22"/>
        <v>43746.684883576389</v>
      </c>
      <c r="K1451" s="1"/>
    </row>
    <row r="1452" spans="1:11" x14ac:dyDescent="0.25">
      <c r="A1452" t="e">
        <f>-LqegDAaZuQdP7RA9ZMT</f>
        <v>#NAME?</v>
      </c>
      <c r="B1452">
        <v>393.75</v>
      </c>
      <c r="C1452">
        <v>20.584240000000001</v>
      </c>
      <c r="D1452">
        <v>38</v>
      </c>
      <c r="E1452">
        <v>0</v>
      </c>
      <c r="F1452">
        <v>0</v>
      </c>
      <c r="G1452">
        <v>78</v>
      </c>
      <c r="H1452" s="4">
        <v>1570526781153</v>
      </c>
      <c r="I1452">
        <v>526.6875</v>
      </c>
      <c r="J1452" s="9">
        <f t="shared" si="22"/>
        <v>43746.684967048604</v>
      </c>
      <c r="K1452" s="1"/>
    </row>
    <row r="1453" spans="1:11" x14ac:dyDescent="0.25">
      <c r="A1453" t="e">
        <f>-LqegEgtE1D_lrQPmYck</f>
        <v>#NAME?</v>
      </c>
      <c r="B1453">
        <v>393.75</v>
      </c>
      <c r="C1453">
        <v>20.584240000000001</v>
      </c>
      <c r="D1453">
        <v>38</v>
      </c>
      <c r="E1453">
        <v>0</v>
      </c>
      <c r="F1453">
        <v>0</v>
      </c>
      <c r="G1453">
        <v>71</v>
      </c>
      <c r="H1453" s="4">
        <v>1570526787309</v>
      </c>
      <c r="I1453">
        <v>526.6875</v>
      </c>
      <c r="J1453" s="9">
        <f t="shared" si="22"/>
        <v>43746.685038298609</v>
      </c>
      <c r="K1453" s="1"/>
    </row>
    <row r="1454" spans="1:11" x14ac:dyDescent="0.25">
      <c r="A1454" t="e">
        <f>-LqegGGpiMBQkW1WcOlf</f>
        <v>#NAME?</v>
      </c>
      <c r="B1454">
        <v>393.75</v>
      </c>
      <c r="C1454">
        <v>20.584240000000001</v>
      </c>
      <c r="D1454">
        <v>35</v>
      </c>
      <c r="E1454">
        <v>0</v>
      </c>
      <c r="F1454">
        <v>0</v>
      </c>
      <c r="G1454">
        <v>71</v>
      </c>
      <c r="H1454" s="4">
        <v>1570526793512</v>
      </c>
      <c r="I1454">
        <v>526.6875</v>
      </c>
      <c r="J1454" s="9">
        <f t="shared" si="22"/>
        <v>43746.685110092592</v>
      </c>
      <c r="K1454" s="1"/>
    </row>
    <row r="1455" spans="1:11" x14ac:dyDescent="0.25">
      <c r="A1455" t="e">
        <f>-LqegHyjZ5JrFcDfyI0L</f>
        <v>#NAME?</v>
      </c>
      <c r="B1455">
        <v>393.75</v>
      </c>
      <c r="C1455">
        <v>20.584240000000001</v>
      </c>
      <c r="D1455">
        <v>35</v>
      </c>
      <c r="E1455">
        <v>0</v>
      </c>
      <c r="F1455">
        <v>0</v>
      </c>
      <c r="G1455">
        <v>80</v>
      </c>
      <c r="H1455" s="4">
        <v>1570526800712</v>
      </c>
      <c r="I1455">
        <v>526.6875</v>
      </c>
      <c r="J1455" s="9">
        <f t="shared" si="22"/>
        <v>43746.685193425925</v>
      </c>
      <c r="K1455" s="1"/>
    </row>
    <row r="1456" spans="1:11" x14ac:dyDescent="0.25">
      <c r="A1456" t="e">
        <f>-LqegJXksiNhu2wJnkds</f>
        <v>#NAME?</v>
      </c>
      <c r="B1456">
        <v>393.75</v>
      </c>
      <c r="C1456">
        <v>20.531590000000001</v>
      </c>
      <c r="D1456">
        <v>35</v>
      </c>
      <c r="E1456">
        <v>0</v>
      </c>
      <c r="F1456">
        <v>0</v>
      </c>
      <c r="G1456">
        <v>81</v>
      </c>
      <c r="H1456" s="4">
        <v>1570526806911</v>
      </c>
      <c r="I1456">
        <v>526.6875</v>
      </c>
      <c r="J1456" s="9">
        <f t="shared" si="22"/>
        <v>43746.685265173604</v>
      </c>
      <c r="K1456" s="1"/>
    </row>
    <row r="1457" spans="1:11" x14ac:dyDescent="0.25">
      <c r="A1457" t="e">
        <f>-LqegLFjTltUUS7vas5M</f>
        <v>#NAME?</v>
      </c>
      <c r="B1457">
        <v>393.75</v>
      </c>
      <c r="C1457">
        <v>20.584240000000001</v>
      </c>
      <c r="D1457">
        <v>34</v>
      </c>
      <c r="E1457">
        <v>0</v>
      </c>
      <c r="F1457">
        <v>0</v>
      </c>
      <c r="G1457">
        <v>77</v>
      </c>
      <c r="H1457" s="4">
        <v>1570526814152</v>
      </c>
      <c r="I1457">
        <v>526.6875</v>
      </c>
      <c r="J1457" s="9">
        <f t="shared" si="22"/>
        <v>43746.685348981475</v>
      </c>
      <c r="K1457" s="1"/>
    </row>
    <row r="1458" spans="1:11" x14ac:dyDescent="0.25">
      <c r="A1458" t="s">
        <v>81</v>
      </c>
      <c r="B1458">
        <v>393.75</v>
      </c>
      <c r="C1458">
        <v>20.531590000000001</v>
      </c>
      <c r="D1458">
        <v>35</v>
      </c>
      <c r="E1458">
        <v>0</v>
      </c>
      <c r="F1458">
        <v>0</v>
      </c>
      <c r="G1458">
        <v>83</v>
      </c>
      <c r="H1458" s="4">
        <v>1570526821350</v>
      </c>
      <c r="I1458">
        <v>526.6875</v>
      </c>
      <c r="J1458" s="9">
        <f t="shared" si="22"/>
        <v>43746.685432291662</v>
      </c>
      <c r="K1458" s="1"/>
    </row>
    <row r="1459" spans="1:11" x14ac:dyDescent="0.25">
      <c r="A1459" t="e">
        <f>-LqegOlkRqyZEZlkkz6I</f>
        <v>#NAME?</v>
      </c>
      <c r="B1459">
        <v>393.75</v>
      </c>
      <c r="C1459">
        <v>20.531590000000001</v>
      </c>
      <c r="D1459">
        <v>36</v>
      </c>
      <c r="E1459">
        <v>0</v>
      </c>
      <c r="F1459">
        <v>0</v>
      </c>
      <c r="G1459">
        <v>89</v>
      </c>
      <c r="H1459" s="4">
        <v>1570526828552</v>
      </c>
      <c r="I1459">
        <v>526.6875</v>
      </c>
      <c r="J1459" s="9">
        <f t="shared" si="22"/>
        <v>43746.685515648147</v>
      </c>
      <c r="K1459" s="1"/>
    </row>
    <row r="1460" spans="1:11" x14ac:dyDescent="0.25">
      <c r="A1460" t="e">
        <f>-LqegQtZtfVFuIFw-XA1</f>
        <v>#NAME?</v>
      </c>
      <c r="B1460">
        <v>393.75</v>
      </c>
      <c r="C1460">
        <v>20.584240000000001</v>
      </c>
      <c r="D1460">
        <v>38</v>
      </c>
      <c r="E1460">
        <v>0</v>
      </c>
      <c r="F1460">
        <v>0</v>
      </c>
      <c r="G1460">
        <v>78</v>
      </c>
      <c r="H1460" s="4">
        <v>1570526837153</v>
      </c>
      <c r="I1460">
        <v>526.6875</v>
      </c>
      <c r="J1460" s="9">
        <f t="shared" si="22"/>
        <v>43746.685615196759</v>
      </c>
      <c r="K1460" s="1"/>
    </row>
    <row r="1461" spans="1:11" x14ac:dyDescent="0.25">
      <c r="A1461" t="e">
        <f>-LqegSdGyFb6sxZJc9fC</f>
        <v>#NAME?</v>
      </c>
      <c r="B1461">
        <v>393.75</v>
      </c>
      <c r="C1461">
        <v>20.584240000000001</v>
      </c>
      <c r="D1461">
        <v>40</v>
      </c>
      <c r="E1461">
        <v>0</v>
      </c>
      <c r="F1461">
        <v>0</v>
      </c>
      <c r="G1461">
        <v>83</v>
      </c>
      <c r="H1461" s="4">
        <v>1570526844012</v>
      </c>
      <c r="I1461">
        <v>526.6875</v>
      </c>
      <c r="J1461" s="9">
        <f t="shared" si="22"/>
        <v>43746.685694583335</v>
      </c>
      <c r="K1461" s="1"/>
    </row>
    <row r="1462" spans="1:11" x14ac:dyDescent="0.25">
      <c r="A1462" t="e">
        <f>-LqegUdrIM-q3MFzc10O</f>
        <v>#NAME?</v>
      </c>
      <c r="B1462">
        <v>393.75</v>
      </c>
      <c r="C1462">
        <v>20.531590000000001</v>
      </c>
      <c r="D1462">
        <v>39</v>
      </c>
      <c r="E1462">
        <v>0</v>
      </c>
      <c r="F1462">
        <v>0</v>
      </c>
      <c r="G1462">
        <v>74</v>
      </c>
      <c r="H1462" s="4">
        <v>1570526851221</v>
      </c>
      <c r="I1462">
        <v>526.6875</v>
      </c>
      <c r="J1462" s="9">
        <f t="shared" si="22"/>
        <v>43746.68577802083</v>
      </c>
      <c r="K1462" s="1"/>
    </row>
    <row r="1463" spans="1:11" x14ac:dyDescent="0.25">
      <c r="A1463" t="e">
        <f>-LqegWNAZUjNDhFa3tVr</f>
        <v>#NAME?</v>
      </c>
      <c r="B1463">
        <v>393.75</v>
      </c>
      <c r="C1463">
        <v>20.531590000000001</v>
      </c>
      <c r="D1463">
        <v>38</v>
      </c>
      <c r="E1463">
        <v>0</v>
      </c>
      <c r="F1463">
        <v>0</v>
      </c>
      <c r="G1463">
        <v>84</v>
      </c>
      <c r="H1463" s="4">
        <v>1570526859465</v>
      </c>
      <c r="I1463">
        <v>526.6875</v>
      </c>
      <c r="J1463" s="9">
        <f t="shared" si="22"/>
        <v>43746.685873437498</v>
      </c>
      <c r="K1463" s="1"/>
    </row>
    <row r="1464" spans="1:11" x14ac:dyDescent="0.25">
      <c r="A1464" t="e">
        <f>-LqegY3nKAnEjjoK9qGR</f>
        <v>#NAME?</v>
      </c>
      <c r="B1464">
        <v>393.75</v>
      </c>
      <c r="C1464">
        <v>20.584240000000001</v>
      </c>
      <c r="D1464">
        <v>37</v>
      </c>
      <c r="E1464">
        <v>0</v>
      </c>
      <c r="F1464">
        <v>0</v>
      </c>
      <c r="G1464">
        <v>83</v>
      </c>
      <c r="H1464" s="4">
        <v>1570526866655</v>
      </c>
      <c r="I1464">
        <v>526.6875</v>
      </c>
      <c r="J1464" s="9">
        <f t="shared" si="22"/>
        <v>43746.685956655092</v>
      </c>
      <c r="K1464" s="1"/>
    </row>
    <row r="1465" spans="1:11" x14ac:dyDescent="0.25">
      <c r="A1465" t="e">
        <f>-LqegZdB4HROBu2If2j9</f>
        <v>#NAME?</v>
      </c>
      <c r="B1465">
        <v>393.75</v>
      </c>
      <c r="C1465">
        <v>20.584240000000001</v>
      </c>
      <c r="D1465">
        <v>37</v>
      </c>
      <c r="E1465">
        <v>0</v>
      </c>
      <c r="F1465">
        <v>0</v>
      </c>
      <c r="G1465">
        <v>84</v>
      </c>
      <c r="H1465" s="4">
        <v>1570526872834</v>
      </c>
      <c r="I1465">
        <v>526.6875</v>
      </c>
      <c r="J1465" s="9">
        <f t="shared" si="22"/>
        <v>43746.686028171294</v>
      </c>
      <c r="K1465" s="1"/>
    </row>
    <row r="1466" spans="1:11" x14ac:dyDescent="0.25">
      <c r="A1466" t="e">
        <f>-LqegaLlZa5RQjH1X3-e</f>
        <v>#NAME?</v>
      </c>
      <c r="B1466">
        <v>434.375</v>
      </c>
      <c r="C1466">
        <v>20.584240000000001</v>
      </c>
      <c r="D1466">
        <v>38</v>
      </c>
      <c r="E1466">
        <v>0</v>
      </c>
      <c r="F1466">
        <v>0</v>
      </c>
      <c r="G1466">
        <v>72</v>
      </c>
      <c r="H1466" s="4">
        <v>1570526880075</v>
      </c>
      <c r="I1466">
        <v>539.8125</v>
      </c>
      <c r="J1466" s="9">
        <f t="shared" si="22"/>
        <v>43746.686111979165</v>
      </c>
      <c r="K1466" s="1"/>
    </row>
    <row r="1467" spans="1:11" x14ac:dyDescent="0.25">
      <c r="A1467" t="e">
        <f>-Lqegc8mh7bUCWWdVxgM</f>
        <v>#NAME?</v>
      </c>
      <c r="B1467">
        <v>393.75</v>
      </c>
      <c r="C1467">
        <v>20.531590000000001</v>
      </c>
      <c r="D1467">
        <v>38</v>
      </c>
      <c r="E1467">
        <v>0</v>
      </c>
      <c r="F1467">
        <v>0</v>
      </c>
      <c r="G1467">
        <v>81</v>
      </c>
      <c r="H1467" s="4">
        <v>1570526887294</v>
      </c>
      <c r="I1467">
        <v>526.6875</v>
      </c>
      <c r="J1467" s="9">
        <f t="shared" si="22"/>
        <v>43746.686195532406</v>
      </c>
      <c r="K1467" s="1"/>
    </row>
    <row r="1468" spans="1:11" x14ac:dyDescent="0.25">
      <c r="A1468" t="e">
        <f>-LqegdrnpzHVkVVtUtQ0</f>
        <v>#NAME?</v>
      </c>
      <c r="B1468">
        <v>393.75</v>
      </c>
      <c r="C1468">
        <v>20.584240000000001</v>
      </c>
      <c r="D1468">
        <v>37</v>
      </c>
      <c r="E1468">
        <v>0</v>
      </c>
      <c r="F1468">
        <v>0</v>
      </c>
      <c r="G1468">
        <v>80</v>
      </c>
      <c r="H1468" s="4">
        <v>1570526894474</v>
      </c>
      <c r="I1468">
        <v>526.6875</v>
      </c>
      <c r="J1468" s="9">
        <f t="shared" si="22"/>
        <v>43746.686278634261</v>
      </c>
      <c r="K1468" s="1"/>
    </row>
    <row r="1469" spans="1:11" x14ac:dyDescent="0.25">
      <c r="A1469" t="e">
        <f>-LqegfQlpD_CkzpHbC5y</f>
        <v>#NAME?</v>
      </c>
      <c r="B1469">
        <v>393.75</v>
      </c>
      <c r="C1469">
        <v>20.584240000000001</v>
      </c>
      <c r="D1469">
        <v>37</v>
      </c>
      <c r="E1469">
        <v>0</v>
      </c>
      <c r="F1469">
        <v>0</v>
      </c>
      <c r="G1469">
        <v>75</v>
      </c>
      <c r="H1469" s="4">
        <v>1570526900664</v>
      </c>
      <c r="I1469">
        <v>526.6875</v>
      </c>
      <c r="J1469" s="9">
        <f t="shared" si="22"/>
        <v>43746.686350277778</v>
      </c>
      <c r="K1469" s="1"/>
    </row>
    <row r="1470" spans="1:11" x14ac:dyDescent="0.25">
      <c r="A1470" t="e">
        <f>-Lqegh8nZEeZDo0UG2E9</f>
        <v>#NAME?</v>
      </c>
      <c r="B1470">
        <v>393.75</v>
      </c>
      <c r="C1470">
        <v>20.584240000000001</v>
      </c>
      <c r="D1470">
        <v>38</v>
      </c>
      <c r="E1470">
        <v>0</v>
      </c>
      <c r="F1470">
        <v>0</v>
      </c>
      <c r="G1470">
        <v>82</v>
      </c>
      <c r="H1470" s="4">
        <v>1570526907911</v>
      </c>
      <c r="I1470">
        <v>526.6875</v>
      </c>
      <c r="J1470" s="9">
        <f t="shared" si="22"/>
        <v>43746.68643415509</v>
      </c>
      <c r="K1470" s="1"/>
    </row>
    <row r="1471" spans="1:11" x14ac:dyDescent="0.25">
      <c r="A1471" t="e">
        <f>-Lqegiwo9O2Va61M2KyV</f>
        <v>#NAME?</v>
      </c>
      <c r="B1471">
        <v>393.75</v>
      </c>
      <c r="C1471">
        <v>20.531590000000001</v>
      </c>
      <c r="D1471">
        <v>38</v>
      </c>
      <c r="E1471">
        <v>0</v>
      </c>
      <c r="F1471">
        <v>0</v>
      </c>
      <c r="G1471">
        <v>89</v>
      </c>
      <c r="H1471" s="4">
        <v>1570526915104</v>
      </c>
      <c r="I1471">
        <v>526.6875</v>
      </c>
      <c r="J1471" s="9">
        <f t="shared" si="22"/>
        <v>43746.686517407405</v>
      </c>
      <c r="K1471" s="1"/>
    </row>
    <row r="1472" spans="1:11" x14ac:dyDescent="0.25">
      <c r="A1472" t="e">
        <f>-Lqegkfp_YGL4HGwEKpX</f>
        <v>#NAME?</v>
      </c>
      <c r="B1472">
        <v>393.75</v>
      </c>
      <c r="C1472">
        <v>20.584240000000001</v>
      </c>
      <c r="D1472">
        <v>38</v>
      </c>
      <c r="E1472">
        <v>0</v>
      </c>
      <c r="F1472">
        <v>0</v>
      </c>
      <c r="G1472">
        <v>91</v>
      </c>
      <c r="H1472" s="4">
        <v>1570526922314</v>
      </c>
      <c r="I1472">
        <v>526.6875</v>
      </c>
      <c r="J1472" s="9">
        <f t="shared" si="22"/>
        <v>43746.686600856476</v>
      </c>
      <c r="K1472" s="1"/>
    </row>
    <row r="1473" spans="1:11" x14ac:dyDescent="0.25">
      <c r="A1473" t="e">
        <f>-LqegmSvkAAyw1ky-eoI</f>
        <v>#NAME?</v>
      </c>
      <c r="B1473">
        <v>393.75</v>
      </c>
      <c r="C1473">
        <v>20.584240000000001</v>
      </c>
      <c r="D1473">
        <v>37</v>
      </c>
      <c r="E1473">
        <v>0</v>
      </c>
      <c r="F1473">
        <v>0</v>
      </c>
      <c r="G1473">
        <v>79</v>
      </c>
      <c r="H1473" s="4">
        <v>1570526929525</v>
      </c>
      <c r="I1473">
        <v>526.6875</v>
      </c>
      <c r="J1473" s="9">
        <f t="shared" si="22"/>
        <v>43746.686684317123</v>
      </c>
      <c r="K1473" s="1"/>
    </row>
    <row r="1474" spans="1:11" x14ac:dyDescent="0.25">
      <c r="A1474" t="e">
        <f>-LqegoAl6WgMHQoiPsWO</f>
        <v>#NAME?</v>
      </c>
      <c r="B1474">
        <v>393.75</v>
      </c>
      <c r="C1474">
        <v>20.584240000000001</v>
      </c>
      <c r="D1474">
        <v>37</v>
      </c>
      <c r="E1474">
        <v>0</v>
      </c>
      <c r="F1474">
        <v>0</v>
      </c>
      <c r="G1474">
        <v>77</v>
      </c>
      <c r="H1474" s="4">
        <v>1570526936716</v>
      </c>
      <c r="I1474">
        <v>526.6875</v>
      </c>
      <c r="J1474" s="9">
        <f t="shared" si="22"/>
        <v>43746.686767546293</v>
      </c>
      <c r="K1474" s="1"/>
    </row>
    <row r="1475" spans="1:11" x14ac:dyDescent="0.25">
      <c r="A1475" t="e">
        <f>-Lqegpjn0593BXtPIae8</f>
        <v>#NAME?</v>
      </c>
      <c r="B1475">
        <v>393.75</v>
      </c>
      <c r="C1475">
        <v>20.584240000000001</v>
      </c>
      <c r="D1475">
        <v>37</v>
      </c>
      <c r="E1475">
        <v>0</v>
      </c>
      <c r="F1475">
        <v>0</v>
      </c>
      <c r="G1475">
        <v>78</v>
      </c>
      <c r="H1475" s="4">
        <v>1570526942905</v>
      </c>
      <c r="I1475">
        <v>526.6875</v>
      </c>
      <c r="J1475" s="9">
        <f t="shared" ref="J1475:J1538" si="23">(H1475/86400000)+25569+(7/24)</f>
        <v>43746.686839178241</v>
      </c>
      <c r="K1475" s="1"/>
    </row>
    <row r="1476" spans="1:11" x14ac:dyDescent="0.25">
      <c r="A1476" t="e">
        <f>-LqegrSw21Mg_crBhEe6</f>
        <v>#NAME?</v>
      </c>
      <c r="B1476">
        <v>393.75</v>
      </c>
      <c r="C1476">
        <v>20.584240000000001</v>
      </c>
      <c r="D1476">
        <v>38</v>
      </c>
      <c r="E1476">
        <v>0</v>
      </c>
      <c r="F1476">
        <v>0</v>
      </c>
      <c r="G1476">
        <v>78</v>
      </c>
      <c r="H1476" s="4">
        <v>1570526950152</v>
      </c>
      <c r="I1476">
        <v>526.5</v>
      </c>
      <c r="J1476" s="9">
        <f t="shared" si="23"/>
        <v>43746.686923055553</v>
      </c>
      <c r="K1476" s="1"/>
    </row>
    <row r="1477" spans="1:11" x14ac:dyDescent="0.25">
      <c r="A1477" t="e">
        <f>-LqegtFm2t_AIkfC4wCw</f>
        <v>#NAME?</v>
      </c>
      <c r="B1477">
        <v>393.75</v>
      </c>
      <c r="C1477">
        <v>20.531590000000001</v>
      </c>
      <c r="D1477">
        <v>39</v>
      </c>
      <c r="E1477">
        <v>0</v>
      </c>
      <c r="F1477">
        <v>0</v>
      </c>
      <c r="G1477">
        <v>80</v>
      </c>
      <c r="H1477" s="4">
        <v>1570526957343</v>
      </c>
      <c r="I1477">
        <v>526.6875</v>
      </c>
      <c r="J1477" s="9">
        <f t="shared" si="23"/>
        <v>43746.687006284723</v>
      </c>
      <c r="K1477" s="1"/>
    </row>
    <row r="1478" spans="1:11" x14ac:dyDescent="0.25">
      <c r="A1478" t="e">
        <f>-LqeguylAn5JdvAXqPSA</f>
        <v>#NAME?</v>
      </c>
      <c r="B1478">
        <v>393.75</v>
      </c>
      <c r="C1478">
        <v>20.531590000000001</v>
      </c>
      <c r="D1478">
        <v>38</v>
      </c>
      <c r="E1478">
        <v>0</v>
      </c>
      <c r="F1478">
        <v>0</v>
      </c>
      <c r="G1478">
        <v>87</v>
      </c>
      <c r="H1478" s="4">
        <v>1570526964543</v>
      </c>
      <c r="I1478">
        <v>526.6875</v>
      </c>
      <c r="J1478" s="9">
        <f t="shared" si="23"/>
        <v>43746.687089618055</v>
      </c>
      <c r="K1478" s="1"/>
    </row>
    <row r="1479" spans="1:11" x14ac:dyDescent="0.25">
      <c r="A1479" t="e">
        <f>-Lqegwn2lTIqeUW1EWaK</f>
        <v>#NAME?</v>
      </c>
      <c r="B1479">
        <v>393.75</v>
      </c>
      <c r="C1479">
        <v>20.584240000000001</v>
      </c>
      <c r="D1479">
        <v>38</v>
      </c>
      <c r="E1479">
        <v>0</v>
      </c>
      <c r="F1479">
        <v>0</v>
      </c>
      <c r="G1479">
        <v>88</v>
      </c>
      <c r="H1479" s="4">
        <v>1570526971765</v>
      </c>
      <c r="I1479">
        <v>526.6875</v>
      </c>
      <c r="J1479" s="9">
        <f t="shared" si="23"/>
        <v>43746.687173206017</v>
      </c>
      <c r="K1479" s="1"/>
    </row>
    <row r="1480" spans="1:11" x14ac:dyDescent="0.25">
      <c r="A1480" t="e">
        <f>-LqegyUly6VNGRKpAcCT</f>
        <v>#NAME?</v>
      </c>
      <c r="B1480">
        <v>393.75</v>
      </c>
      <c r="C1480">
        <v>20.584240000000001</v>
      </c>
      <c r="D1480">
        <v>39</v>
      </c>
      <c r="E1480">
        <v>0</v>
      </c>
      <c r="F1480">
        <v>0</v>
      </c>
      <c r="G1480">
        <v>87</v>
      </c>
      <c r="H1480" s="4">
        <v>1570526978954</v>
      </c>
      <c r="I1480">
        <v>526.6875</v>
      </c>
      <c r="J1480" s="9">
        <f t="shared" si="23"/>
        <v>43746.687256412035</v>
      </c>
      <c r="K1480" s="1"/>
    </row>
    <row r="1481" spans="1:11" x14ac:dyDescent="0.25">
      <c r="A1481" t="s">
        <v>82</v>
      </c>
      <c r="B1481">
        <v>412.5</v>
      </c>
      <c r="C1481">
        <v>20.584240000000001</v>
      </c>
      <c r="D1481">
        <v>39</v>
      </c>
      <c r="E1481">
        <v>0</v>
      </c>
      <c r="F1481">
        <v>0</v>
      </c>
      <c r="G1481">
        <v>80</v>
      </c>
      <c r="H1481" s="4">
        <v>1570526985143</v>
      </c>
      <c r="I1481">
        <v>532.3125</v>
      </c>
      <c r="J1481" s="9">
        <f t="shared" si="23"/>
        <v>43746.687328043983</v>
      </c>
      <c r="K1481" s="1"/>
    </row>
    <row r="1482" spans="1:11" x14ac:dyDescent="0.25">
      <c r="A1482" t="e">
        <f>-Lqeh0n1tWGbKOSyGZWJ</f>
        <v>#NAME?</v>
      </c>
      <c r="B1482">
        <v>393.75</v>
      </c>
      <c r="C1482">
        <v>20.531590000000001</v>
      </c>
      <c r="D1482">
        <v>39</v>
      </c>
      <c r="E1482">
        <v>0</v>
      </c>
      <c r="F1482">
        <v>0</v>
      </c>
      <c r="G1482">
        <v>91</v>
      </c>
      <c r="H1482" s="4">
        <v>1570526992393</v>
      </c>
      <c r="I1482">
        <v>526.6875</v>
      </c>
      <c r="J1482" s="9">
        <f t="shared" si="23"/>
        <v>43746.687411956016</v>
      </c>
      <c r="K1482" s="1"/>
    </row>
    <row r="1483" spans="1:11" x14ac:dyDescent="0.25">
      <c r="A1483" t="e">
        <f>-Lqeh2_C-ysj-Wo2tKLk</f>
        <v>#NAME?</v>
      </c>
      <c r="B1483">
        <v>393.75</v>
      </c>
      <c r="C1483">
        <v>20.531590000000001</v>
      </c>
      <c r="D1483">
        <v>36</v>
      </c>
      <c r="E1483">
        <v>0</v>
      </c>
      <c r="F1483">
        <v>0</v>
      </c>
      <c r="G1483">
        <v>79</v>
      </c>
      <c r="H1483" s="4">
        <v>1570526999583</v>
      </c>
      <c r="I1483">
        <v>526.6875</v>
      </c>
      <c r="J1483" s="9">
        <f t="shared" si="23"/>
        <v>43746.68749517361</v>
      </c>
      <c r="K1483" s="1"/>
    </row>
    <row r="1484" spans="1:11" x14ac:dyDescent="0.25">
      <c r="A1484" t="e">
        <f>-Lqeh4I2sZmbgCT_X3XV</f>
        <v>#NAME?</v>
      </c>
      <c r="B1484">
        <v>393.75</v>
      </c>
      <c r="C1484">
        <v>20.584240000000001</v>
      </c>
      <c r="D1484">
        <v>35</v>
      </c>
      <c r="E1484">
        <v>0</v>
      </c>
      <c r="F1484">
        <v>0</v>
      </c>
      <c r="G1484">
        <v>83</v>
      </c>
      <c r="H1484" s="4">
        <v>1570527006783</v>
      </c>
      <c r="I1484">
        <v>526.6875</v>
      </c>
      <c r="J1484" s="9">
        <f t="shared" si="23"/>
        <v>43746.687578506942</v>
      </c>
      <c r="K1484" s="1"/>
    </row>
    <row r="1485" spans="1:11" x14ac:dyDescent="0.25">
      <c r="A1485" t="e">
        <f>-Lqeh64tXDTo_sJdm5BS</f>
        <v>#NAME?</v>
      </c>
      <c r="B1485">
        <v>393.75</v>
      </c>
      <c r="C1485">
        <v>20.531590000000001</v>
      </c>
      <c r="D1485">
        <v>36</v>
      </c>
      <c r="E1485">
        <v>0</v>
      </c>
      <c r="F1485">
        <v>0</v>
      </c>
      <c r="G1485">
        <v>86</v>
      </c>
      <c r="H1485" s="4">
        <v>1570527014014</v>
      </c>
      <c r="I1485">
        <v>526.6875</v>
      </c>
      <c r="J1485" s="9">
        <f t="shared" si="23"/>
        <v>43746.687662199074</v>
      </c>
      <c r="K1485" s="1"/>
    </row>
    <row r="1486" spans="1:11" x14ac:dyDescent="0.25">
      <c r="A1486" t="e">
        <f>-Lqeh7nn77MG8cgcbxit</f>
        <v>#NAME?</v>
      </c>
      <c r="B1486">
        <v>412.5</v>
      </c>
      <c r="C1486">
        <v>20.584240000000001</v>
      </c>
      <c r="D1486">
        <v>36</v>
      </c>
      <c r="E1486">
        <v>0</v>
      </c>
      <c r="F1486">
        <v>0</v>
      </c>
      <c r="G1486">
        <v>76</v>
      </c>
      <c r="H1486" s="4">
        <v>1570527021203</v>
      </c>
      <c r="I1486">
        <v>532.3125</v>
      </c>
      <c r="J1486" s="9">
        <f t="shared" si="23"/>
        <v>43746.687745405092</v>
      </c>
      <c r="K1486" s="1"/>
    </row>
    <row r="1487" spans="1:11" x14ac:dyDescent="0.25">
      <c r="A1487" t="e">
        <f>-Lqeh9MnQfMYljlFUBwi</f>
        <v>#NAME?</v>
      </c>
      <c r="B1487">
        <v>393.75</v>
      </c>
      <c r="C1487">
        <v>20.584240000000001</v>
      </c>
      <c r="D1487">
        <v>36</v>
      </c>
      <c r="E1487">
        <v>0</v>
      </c>
      <c r="F1487">
        <v>0</v>
      </c>
      <c r="G1487">
        <v>81</v>
      </c>
      <c r="H1487" s="4">
        <v>1570527027384</v>
      </c>
      <c r="I1487">
        <v>526.6875</v>
      </c>
      <c r="J1487" s="9">
        <f t="shared" si="23"/>
        <v>43746.687816944446</v>
      </c>
      <c r="K1487" s="1"/>
    </row>
    <row r="1488" spans="1:11" x14ac:dyDescent="0.25">
      <c r="A1488" t="e">
        <f>-LqehB5r9k1z29P7gN5Y</f>
        <v>#NAME?</v>
      </c>
      <c r="B1488">
        <v>393.75</v>
      </c>
      <c r="C1488">
        <v>20.584240000000001</v>
      </c>
      <c r="D1488">
        <v>36</v>
      </c>
      <c r="E1488">
        <v>0</v>
      </c>
      <c r="F1488">
        <v>0</v>
      </c>
      <c r="G1488">
        <v>85</v>
      </c>
      <c r="H1488" s="4">
        <v>1570527034624</v>
      </c>
      <c r="I1488">
        <v>526.6875</v>
      </c>
      <c r="J1488" s="9">
        <f t="shared" si="23"/>
        <v>43746.687900740733</v>
      </c>
      <c r="K1488" s="1"/>
    </row>
    <row r="1489" spans="1:11" x14ac:dyDescent="0.25">
      <c r="A1489" t="e">
        <f>-LqehCsely5ldwWmLtSp</f>
        <v>#NAME?</v>
      </c>
      <c r="B1489">
        <v>393.75</v>
      </c>
      <c r="C1489">
        <v>20.584240000000001</v>
      </c>
      <c r="D1489">
        <v>36</v>
      </c>
      <c r="E1489">
        <v>0</v>
      </c>
      <c r="F1489">
        <v>0</v>
      </c>
      <c r="G1489">
        <v>75</v>
      </c>
      <c r="H1489" s="4">
        <v>1570527041836</v>
      </c>
      <c r="I1489">
        <v>526.6875</v>
      </c>
      <c r="J1489" s="9">
        <f t="shared" si="23"/>
        <v>43746.687984212964</v>
      </c>
      <c r="K1489" s="1"/>
    </row>
    <row r="1490" spans="1:11" x14ac:dyDescent="0.25">
      <c r="A1490" t="e">
        <f>-LqehEc0GDGAS1lyz1I1</f>
        <v>#NAME?</v>
      </c>
      <c r="B1490">
        <v>393.75</v>
      </c>
      <c r="C1490">
        <v>20.531590000000001</v>
      </c>
      <c r="D1490">
        <v>38</v>
      </c>
      <c r="E1490">
        <v>0</v>
      </c>
      <c r="F1490">
        <v>0</v>
      </c>
      <c r="G1490">
        <v>74</v>
      </c>
      <c r="H1490" s="4">
        <v>1570527049025</v>
      </c>
      <c r="I1490">
        <v>526.6875</v>
      </c>
      <c r="J1490" s="9">
        <f t="shared" si="23"/>
        <v>43746.688067418982</v>
      </c>
      <c r="K1490" s="1"/>
    </row>
    <row r="1491" spans="1:11" x14ac:dyDescent="0.25">
      <c r="A1491" t="e">
        <f>-LqehGOxS1dCs1TA6EDc</f>
        <v>#NAME?</v>
      </c>
      <c r="B1491">
        <v>418.75</v>
      </c>
      <c r="C1491">
        <v>20.584240000000001</v>
      </c>
      <c r="D1491">
        <v>37</v>
      </c>
      <c r="E1491">
        <v>0</v>
      </c>
      <c r="F1491">
        <v>0</v>
      </c>
      <c r="G1491">
        <v>89</v>
      </c>
      <c r="H1491" s="4">
        <v>1570527056264</v>
      </c>
      <c r="I1491">
        <v>534.5625</v>
      </c>
      <c r="J1491" s="9">
        <f t="shared" si="23"/>
        <v>43746.6881512037</v>
      </c>
      <c r="K1491" s="1"/>
    </row>
    <row r="1492" spans="1:11" x14ac:dyDescent="0.25">
      <c r="A1492" t="s">
        <v>83</v>
      </c>
      <c r="B1492">
        <v>393.75</v>
      </c>
      <c r="C1492">
        <v>20.584240000000001</v>
      </c>
      <c r="D1492">
        <v>40</v>
      </c>
      <c r="E1492">
        <v>0</v>
      </c>
      <c r="F1492">
        <v>0</v>
      </c>
      <c r="G1492">
        <v>79</v>
      </c>
      <c r="H1492" s="4">
        <v>1570527063445</v>
      </c>
      <c r="I1492">
        <v>526.6875</v>
      </c>
      <c r="J1492" s="9">
        <f t="shared" si="23"/>
        <v>43746.688234317124</v>
      </c>
      <c r="K1492" s="1"/>
    </row>
    <row r="1493" spans="1:11" x14ac:dyDescent="0.25">
      <c r="A1493" t="e">
        <f>-LqehK-uJ5JWnfO6HKZe</f>
        <v>#NAME?</v>
      </c>
      <c r="B1493">
        <v>393.75</v>
      </c>
      <c r="C1493">
        <v>20.584240000000001</v>
      </c>
      <c r="D1493">
        <v>40</v>
      </c>
      <c r="E1493">
        <v>0</v>
      </c>
      <c r="F1493">
        <v>0</v>
      </c>
      <c r="G1493">
        <v>79</v>
      </c>
      <c r="H1493" s="4">
        <v>1570527069625</v>
      </c>
      <c r="I1493">
        <v>526.6875</v>
      </c>
      <c r="J1493" s="9">
        <f t="shared" si="23"/>
        <v>43746.688305844909</v>
      </c>
      <c r="K1493" s="1"/>
    </row>
    <row r="1494" spans="1:11" x14ac:dyDescent="0.25">
      <c r="A1494" t="e">
        <f>-LqehLdtkMQrRDkBVIvF</f>
        <v>#NAME?</v>
      </c>
      <c r="B1494">
        <v>393.75</v>
      </c>
      <c r="C1494">
        <v>20.584240000000001</v>
      </c>
      <c r="D1494">
        <v>38</v>
      </c>
      <c r="E1494">
        <v>0</v>
      </c>
      <c r="F1494">
        <v>0</v>
      </c>
      <c r="G1494">
        <v>79</v>
      </c>
      <c r="H1494" s="4">
        <v>1570527077866</v>
      </c>
      <c r="I1494">
        <v>526.6875</v>
      </c>
      <c r="J1494" s="9">
        <f t="shared" si="23"/>
        <v>43746.688401226849</v>
      </c>
      <c r="K1494" s="1"/>
    </row>
    <row r="1495" spans="1:11" x14ac:dyDescent="0.25">
      <c r="A1495" t="e">
        <f>-LqehNBoFekLuj7AU0Ng</f>
        <v>#NAME?</v>
      </c>
      <c r="B1495">
        <v>393.75</v>
      </c>
      <c r="C1495">
        <v>20.584240000000001</v>
      </c>
      <c r="D1495">
        <v>37</v>
      </c>
      <c r="E1495">
        <v>0</v>
      </c>
      <c r="F1495">
        <v>0</v>
      </c>
      <c r="G1495">
        <v>83</v>
      </c>
      <c r="H1495" s="4">
        <v>1570527084086</v>
      </c>
      <c r="I1495">
        <v>526.6875</v>
      </c>
      <c r="J1495" s="9">
        <f t="shared" si="23"/>
        <v>43746.688473217589</v>
      </c>
      <c r="K1495" s="1"/>
    </row>
    <row r="1496" spans="1:11" x14ac:dyDescent="0.25">
      <c r="A1496" t="e">
        <f>-LqehOuwvYifmXiNp4Du</f>
        <v>#NAME?</v>
      </c>
      <c r="B1496">
        <v>418.75</v>
      </c>
      <c r="C1496">
        <v>20.584240000000001</v>
      </c>
      <c r="D1496">
        <v>36</v>
      </c>
      <c r="E1496">
        <v>0</v>
      </c>
      <c r="F1496">
        <v>0</v>
      </c>
      <c r="G1496">
        <v>79</v>
      </c>
      <c r="H1496" s="4">
        <v>1570527091266</v>
      </c>
      <c r="I1496">
        <v>534.5625</v>
      </c>
      <c r="J1496" s="9">
        <f t="shared" si="23"/>
        <v>43746.688556319445</v>
      </c>
      <c r="K1496" s="1"/>
    </row>
    <row r="1497" spans="1:11" x14ac:dyDescent="0.25">
      <c r="A1497" t="e">
        <f>-LqehQjBr9jh5RDXrOsN</f>
        <v>#NAME?</v>
      </c>
      <c r="B1497">
        <v>393.75</v>
      </c>
      <c r="C1497">
        <v>20.531590000000001</v>
      </c>
      <c r="D1497">
        <v>36</v>
      </c>
      <c r="E1497">
        <v>0</v>
      </c>
      <c r="F1497">
        <v>0</v>
      </c>
      <c r="G1497">
        <v>84</v>
      </c>
      <c r="H1497" s="4">
        <v>1570527098505</v>
      </c>
      <c r="I1497">
        <v>526.6875</v>
      </c>
      <c r="J1497" s="9">
        <f t="shared" si="23"/>
        <v>43746.688640104163</v>
      </c>
      <c r="K1497" s="1"/>
    </row>
    <row r="1498" spans="1:11" x14ac:dyDescent="0.25">
      <c r="A1498" t="e">
        <f>-LqehSS1uHefryFz0Zjk</f>
        <v>#NAME?</v>
      </c>
      <c r="B1498">
        <v>393.75</v>
      </c>
      <c r="C1498">
        <v>20.584240000000001</v>
      </c>
      <c r="D1498">
        <v>36</v>
      </c>
      <c r="E1498">
        <v>0</v>
      </c>
      <c r="F1498">
        <v>0</v>
      </c>
      <c r="G1498">
        <v>85</v>
      </c>
      <c r="H1498" s="4">
        <v>1570527105736</v>
      </c>
      <c r="I1498">
        <v>526.6875</v>
      </c>
      <c r="J1498" s="9">
        <f t="shared" si="23"/>
        <v>43746.688723796295</v>
      </c>
      <c r="K1498" s="1"/>
    </row>
    <row r="1499" spans="1:11" x14ac:dyDescent="0.25">
      <c r="A1499" t="e">
        <f>-LqehU02V3xPI5EaZKjr</f>
        <v>#NAME?</v>
      </c>
      <c r="B1499">
        <v>393.75</v>
      </c>
      <c r="C1499">
        <v>20.584240000000001</v>
      </c>
      <c r="D1499">
        <v>36</v>
      </c>
      <c r="E1499">
        <v>0</v>
      </c>
      <c r="F1499">
        <v>0</v>
      </c>
      <c r="G1499">
        <v>88</v>
      </c>
      <c r="H1499" s="4">
        <v>1570527111895</v>
      </c>
      <c r="I1499">
        <v>526.6875</v>
      </c>
      <c r="J1499" s="9">
        <f t="shared" si="23"/>
        <v>43746.688795081012</v>
      </c>
      <c r="K1499" s="1"/>
    </row>
    <row r="1500" spans="1:11" x14ac:dyDescent="0.25">
      <c r="A1500" t="e">
        <f>-LqehVhyGejb_70e6C_F</f>
        <v>#NAME?</v>
      </c>
      <c r="B1500">
        <v>393.75</v>
      </c>
      <c r="C1500">
        <v>20.584240000000001</v>
      </c>
      <c r="D1500">
        <v>36</v>
      </c>
      <c r="E1500">
        <v>0</v>
      </c>
      <c r="F1500">
        <v>0</v>
      </c>
      <c r="G1500">
        <v>82</v>
      </c>
      <c r="H1500" s="4">
        <v>1570527119104</v>
      </c>
      <c r="I1500">
        <v>526.6875</v>
      </c>
      <c r="J1500" s="9">
        <f t="shared" si="23"/>
        <v>43746.688878518515</v>
      </c>
      <c r="K1500" s="1"/>
    </row>
    <row r="1501" spans="1:11" x14ac:dyDescent="0.25">
      <c r="A1501" t="e">
        <f>-LqehXX1bKFPalGYPGCP</f>
        <v>#NAME?</v>
      </c>
      <c r="B1501">
        <v>393.75</v>
      </c>
      <c r="C1501">
        <v>20.584240000000001</v>
      </c>
      <c r="D1501">
        <v>37</v>
      </c>
      <c r="E1501">
        <v>0</v>
      </c>
      <c r="F1501">
        <v>0</v>
      </c>
      <c r="G1501">
        <v>81</v>
      </c>
      <c r="H1501" s="4">
        <v>1570527126326</v>
      </c>
      <c r="I1501">
        <v>526.6875</v>
      </c>
      <c r="J1501" s="9">
        <f t="shared" si="23"/>
        <v>43746.688962106484</v>
      </c>
      <c r="K1501" s="1"/>
    </row>
    <row r="1502" spans="1:11" x14ac:dyDescent="0.25">
      <c r="A1502" t="e">
        <f>-LqehZDdW4P1u2H_eaj8</f>
        <v>#NAME?</v>
      </c>
      <c r="B1502">
        <v>393.75</v>
      </c>
      <c r="C1502">
        <v>20.584240000000001</v>
      </c>
      <c r="D1502">
        <v>37</v>
      </c>
      <c r="E1502">
        <v>0</v>
      </c>
      <c r="F1502">
        <v>0</v>
      </c>
      <c r="G1502">
        <v>83</v>
      </c>
      <c r="H1502" s="4">
        <v>1570527133513</v>
      </c>
      <c r="I1502">
        <v>526.6875</v>
      </c>
      <c r="J1502" s="9">
        <f t="shared" si="23"/>
        <v>43746.689045289349</v>
      </c>
      <c r="K1502" s="1"/>
    </row>
    <row r="1503" spans="1:11" x14ac:dyDescent="0.25">
      <c r="A1503" t="s">
        <v>84</v>
      </c>
      <c r="B1503">
        <v>393.75</v>
      </c>
      <c r="C1503">
        <v>20.531590000000001</v>
      </c>
      <c r="D1503">
        <v>37</v>
      </c>
      <c r="E1503">
        <v>0</v>
      </c>
      <c r="F1503">
        <v>0</v>
      </c>
      <c r="G1503">
        <v>93</v>
      </c>
      <c r="H1503" s="4">
        <v>1570527139709</v>
      </c>
      <c r="I1503">
        <v>526.6875</v>
      </c>
      <c r="J1503" s="9">
        <f t="shared" si="23"/>
        <v>43746.689117002308</v>
      </c>
      <c r="K1503" s="1"/>
    </row>
    <row r="1504" spans="1:11" x14ac:dyDescent="0.25">
      <c r="A1504" t="e">
        <f>-LqehbW_HpiBXGUu0UYo</f>
        <v>#NAME?</v>
      </c>
      <c r="B1504">
        <v>412.5</v>
      </c>
      <c r="C1504">
        <v>20.584240000000001</v>
      </c>
      <c r="D1504">
        <v>39</v>
      </c>
      <c r="E1504">
        <v>0</v>
      </c>
      <c r="F1504">
        <v>0</v>
      </c>
      <c r="G1504">
        <v>90</v>
      </c>
      <c r="H1504" s="4">
        <v>1570527146953</v>
      </c>
      <c r="I1504">
        <v>532.3125</v>
      </c>
      <c r="J1504" s="9">
        <f t="shared" si="23"/>
        <v>43746.689200844907</v>
      </c>
      <c r="K1504" s="1"/>
    </row>
    <row r="1505" spans="1:11" x14ac:dyDescent="0.25">
      <c r="A1505" t="e">
        <f>-LqehdK0sXmQjXqjmmos</f>
        <v>#NAME?</v>
      </c>
      <c r="B1505">
        <v>393.75</v>
      </c>
      <c r="C1505">
        <v>20.531590000000001</v>
      </c>
      <c r="D1505">
        <v>39</v>
      </c>
      <c r="E1505">
        <v>0</v>
      </c>
      <c r="F1505">
        <v>0</v>
      </c>
      <c r="G1505">
        <v>82</v>
      </c>
      <c r="H1505" s="4">
        <v>1570527154142</v>
      </c>
      <c r="I1505">
        <v>526.6875</v>
      </c>
      <c r="J1505" s="9">
        <f t="shared" si="23"/>
        <v>43746.689284050924</v>
      </c>
      <c r="K1505" s="1"/>
    </row>
    <row r="1506" spans="1:11" x14ac:dyDescent="0.25">
      <c r="A1506" t="e">
        <f>-Lqehf0eUx-JDq77Hq_d</f>
        <v>#NAME?</v>
      </c>
      <c r="B1506">
        <v>393.75</v>
      </c>
      <c r="C1506">
        <v>20.531590000000001</v>
      </c>
      <c r="D1506">
        <v>39</v>
      </c>
      <c r="E1506">
        <v>0</v>
      </c>
      <c r="F1506">
        <v>0</v>
      </c>
      <c r="G1506">
        <v>88</v>
      </c>
      <c r="H1506" s="4">
        <v>1570527161351</v>
      </c>
      <c r="I1506">
        <v>526.6875</v>
      </c>
      <c r="J1506" s="9">
        <f t="shared" si="23"/>
        <v>43746.689367488427</v>
      </c>
      <c r="K1506" s="1"/>
    </row>
    <row r="1507" spans="1:11" x14ac:dyDescent="0.25">
      <c r="A1507" t="e">
        <f>-Lqehgovff1cyXgIe-cI</f>
        <v>#NAME?</v>
      </c>
      <c r="B1507">
        <v>393.75</v>
      </c>
      <c r="C1507">
        <v>20.584240000000001</v>
      </c>
      <c r="D1507">
        <v>39</v>
      </c>
      <c r="E1507">
        <v>0</v>
      </c>
      <c r="F1507">
        <v>0</v>
      </c>
      <c r="G1507">
        <v>78</v>
      </c>
      <c r="H1507" s="4">
        <v>1570527168595</v>
      </c>
      <c r="I1507">
        <v>526.6875</v>
      </c>
      <c r="J1507" s="9">
        <f t="shared" si="23"/>
        <v>43746.689451331018</v>
      </c>
      <c r="K1507" s="1"/>
    </row>
    <row r="1508" spans="1:11" x14ac:dyDescent="0.25">
      <c r="A1508" t="e">
        <f>-LqehiXlXxRXmm4Y4h2a</f>
        <v>#NAME?</v>
      </c>
      <c r="B1508">
        <v>393.75</v>
      </c>
      <c r="C1508">
        <v>20.584240000000001</v>
      </c>
      <c r="D1508">
        <v>37</v>
      </c>
      <c r="E1508">
        <v>0</v>
      </c>
      <c r="F1508">
        <v>0</v>
      </c>
      <c r="G1508">
        <v>75</v>
      </c>
      <c r="H1508" s="4">
        <v>1570527175752</v>
      </c>
      <c r="I1508">
        <v>526.5</v>
      </c>
      <c r="J1508" s="9">
        <f t="shared" si="23"/>
        <v>43746.68953416666</v>
      </c>
      <c r="K1508" s="1"/>
    </row>
    <row r="1509" spans="1:11" x14ac:dyDescent="0.25">
      <c r="A1509" t="e">
        <f>-LqehkC-D5ql-wMaR5NH</f>
        <v>#NAME?</v>
      </c>
      <c r="B1509">
        <v>393.75</v>
      </c>
      <c r="C1509">
        <v>20.584240000000001</v>
      </c>
      <c r="D1509">
        <v>37</v>
      </c>
      <c r="E1509">
        <v>0</v>
      </c>
      <c r="F1509">
        <v>0</v>
      </c>
      <c r="G1509">
        <v>80</v>
      </c>
      <c r="H1509" s="4">
        <v>1570527182467</v>
      </c>
      <c r="I1509">
        <v>526.6875</v>
      </c>
      <c r="J1509" s="9">
        <f t="shared" si="23"/>
        <v>43746.689611886577</v>
      </c>
      <c r="K1509" s="1"/>
    </row>
    <row r="1510" spans="1:11" x14ac:dyDescent="0.25">
      <c r="A1510" t="e">
        <f>-Lqehlw14qVd9OmNNm97</f>
        <v>#NAME?</v>
      </c>
      <c r="B1510">
        <v>393.75</v>
      </c>
      <c r="C1510">
        <v>20.584240000000001</v>
      </c>
      <c r="D1510">
        <v>36</v>
      </c>
      <c r="E1510">
        <v>0</v>
      </c>
      <c r="F1510">
        <v>0</v>
      </c>
      <c r="G1510">
        <v>90</v>
      </c>
      <c r="H1510" s="4">
        <v>1570527189182</v>
      </c>
      <c r="I1510">
        <v>526.6875</v>
      </c>
      <c r="J1510" s="9">
        <f t="shared" si="23"/>
        <v>43746.689689606479</v>
      </c>
      <c r="K1510" s="1"/>
    </row>
    <row r="1511" spans="1:11" x14ac:dyDescent="0.25">
      <c r="A1511" t="e">
        <f>-Lqehnbt6riJHACf2X4d</f>
        <v>#NAME?</v>
      </c>
      <c r="B1511">
        <v>393.75</v>
      </c>
      <c r="C1511">
        <v>20.584240000000001</v>
      </c>
      <c r="D1511">
        <v>36</v>
      </c>
      <c r="E1511">
        <v>0</v>
      </c>
      <c r="F1511">
        <v>0</v>
      </c>
      <c r="G1511">
        <v>87</v>
      </c>
      <c r="H1511" s="4">
        <v>1570527196381</v>
      </c>
      <c r="I1511">
        <v>526.6875</v>
      </c>
      <c r="J1511" s="9">
        <f t="shared" si="23"/>
        <v>43746.689772928243</v>
      </c>
      <c r="K1511" s="1"/>
    </row>
    <row r="1512" spans="1:11" x14ac:dyDescent="0.25">
      <c r="A1512" t="e">
        <f>-LqehpJUDQBMsu0IxS4t</f>
        <v>#NAME?</v>
      </c>
      <c r="B1512">
        <v>393.75</v>
      </c>
      <c r="C1512">
        <v>20.584240000000001</v>
      </c>
      <c r="D1512">
        <v>38</v>
      </c>
      <c r="E1512">
        <v>0</v>
      </c>
      <c r="F1512">
        <v>0</v>
      </c>
      <c r="G1512">
        <v>83</v>
      </c>
      <c r="H1512" s="4">
        <v>1570527203583</v>
      </c>
      <c r="I1512">
        <v>526.5</v>
      </c>
      <c r="J1512" s="9">
        <f t="shared" si="23"/>
        <v>43746.68985628472</v>
      </c>
      <c r="K1512" s="1"/>
    </row>
    <row r="1513" spans="1:11" x14ac:dyDescent="0.25">
      <c r="A1513" t="e">
        <f>-Lqehr9-poMZWhZL9lDw</f>
        <v>#NAME?</v>
      </c>
      <c r="B1513">
        <v>393.75</v>
      </c>
      <c r="C1513">
        <v>20.584240000000001</v>
      </c>
      <c r="D1513">
        <v>37</v>
      </c>
      <c r="E1513">
        <v>0</v>
      </c>
      <c r="F1513">
        <v>0</v>
      </c>
      <c r="G1513">
        <v>90</v>
      </c>
      <c r="H1513" s="4">
        <v>1570527210812</v>
      </c>
      <c r="I1513">
        <v>526.6875</v>
      </c>
      <c r="J1513" s="9">
        <f t="shared" si="23"/>
        <v>43746.6899399537</v>
      </c>
      <c r="K1513" s="1"/>
    </row>
    <row r="1514" spans="1:11" x14ac:dyDescent="0.25">
      <c r="A1514" t="e">
        <f>-Lqehss-owlzKeI9jSV5</f>
        <v>#NAME?</v>
      </c>
      <c r="B1514">
        <v>393.75</v>
      </c>
      <c r="C1514">
        <v>20.584240000000001</v>
      </c>
      <c r="D1514">
        <v>38</v>
      </c>
      <c r="E1514">
        <v>0</v>
      </c>
      <c r="F1514">
        <v>0</v>
      </c>
      <c r="G1514">
        <v>97</v>
      </c>
      <c r="H1514" s="4">
        <v>1570527218001</v>
      </c>
      <c r="I1514">
        <v>526.6875</v>
      </c>
      <c r="J1514" s="9">
        <f t="shared" si="23"/>
        <v>43746.690023159717</v>
      </c>
      <c r="K1514" s="1"/>
    </row>
    <row r="1515" spans="1:11" x14ac:dyDescent="0.25">
      <c r="A1515" t="e">
        <f>-LqehuPjn75wCY6aTJUU</f>
        <v>#NAME?</v>
      </c>
      <c r="B1515">
        <v>393.75</v>
      </c>
      <c r="C1515">
        <v>20.584240000000001</v>
      </c>
      <c r="D1515">
        <v>38</v>
      </c>
      <c r="E1515">
        <v>0</v>
      </c>
      <c r="F1515">
        <v>0</v>
      </c>
      <c r="G1515">
        <v>86</v>
      </c>
      <c r="H1515" s="4">
        <v>1570527224184</v>
      </c>
      <c r="I1515">
        <v>526.6875</v>
      </c>
      <c r="J1515" s="9">
        <f t="shared" si="23"/>
        <v>43746.690094722224</v>
      </c>
      <c r="K1515" s="1"/>
    </row>
    <row r="1516" spans="1:11" x14ac:dyDescent="0.25">
      <c r="A1516" t="e">
        <f>-Lqehw7dchR8Ou0U66yW</f>
        <v>#NAME?</v>
      </c>
      <c r="B1516">
        <v>393.75</v>
      </c>
      <c r="C1516">
        <v>20.531590000000001</v>
      </c>
      <c r="D1516">
        <v>40</v>
      </c>
      <c r="E1516">
        <v>0</v>
      </c>
      <c r="F1516">
        <v>0</v>
      </c>
      <c r="G1516">
        <v>83</v>
      </c>
      <c r="H1516" s="4">
        <v>1570527231422</v>
      </c>
      <c r="I1516">
        <v>526.6875</v>
      </c>
      <c r="J1516" s="9">
        <f t="shared" si="23"/>
        <v>43746.690178495366</v>
      </c>
      <c r="K1516" s="1"/>
    </row>
    <row r="1517" spans="1:11" x14ac:dyDescent="0.25">
      <c r="A1517" t="s">
        <v>85</v>
      </c>
      <c r="B1517">
        <v>393.75</v>
      </c>
      <c r="C1517">
        <v>20.584240000000001</v>
      </c>
      <c r="D1517">
        <v>40</v>
      </c>
      <c r="E1517">
        <v>0</v>
      </c>
      <c r="F1517">
        <v>0</v>
      </c>
      <c r="G1517">
        <v>85</v>
      </c>
      <c r="H1517" s="4">
        <v>1570527238623</v>
      </c>
      <c r="I1517">
        <v>526.6875</v>
      </c>
      <c r="J1517" s="9">
        <f t="shared" si="23"/>
        <v>43746.690261840275</v>
      </c>
      <c r="K1517" s="1"/>
    </row>
    <row r="1518" spans="1:11" x14ac:dyDescent="0.25">
      <c r="A1518" t="e">
        <f>-LqehzddBTzInmG0VQqr</f>
        <v>#NAME?</v>
      </c>
      <c r="B1518">
        <v>393.75</v>
      </c>
      <c r="C1518">
        <v>20.584240000000001</v>
      </c>
      <c r="D1518">
        <v>40</v>
      </c>
      <c r="E1518">
        <v>0</v>
      </c>
      <c r="F1518">
        <v>0</v>
      </c>
      <c r="G1518">
        <v>89</v>
      </c>
      <c r="H1518" s="4">
        <v>1570527245823</v>
      </c>
      <c r="I1518">
        <v>526.6875</v>
      </c>
      <c r="J1518" s="9">
        <f t="shared" si="23"/>
        <v>43746.690345173607</v>
      </c>
      <c r="K1518" s="1"/>
    </row>
    <row r="1519" spans="1:11" x14ac:dyDescent="0.25">
      <c r="A1519" t="e">
        <f>-Lqei0DtsptlZGh5yKTH</f>
        <v>#NAME?</v>
      </c>
      <c r="B1519">
        <v>393.75</v>
      </c>
      <c r="C1519">
        <v>20.584240000000001</v>
      </c>
      <c r="D1519">
        <v>40</v>
      </c>
      <c r="E1519">
        <v>0</v>
      </c>
      <c r="F1519">
        <v>0</v>
      </c>
      <c r="G1519">
        <v>87</v>
      </c>
      <c r="H1519" s="4">
        <v>1570527252023</v>
      </c>
      <c r="I1519">
        <v>526.6875</v>
      </c>
      <c r="J1519" s="9">
        <f t="shared" si="23"/>
        <v>43746.69041693287</v>
      </c>
      <c r="K1519" s="1"/>
    </row>
    <row r="1520" spans="1:11" x14ac:dyDescent="0.25">
      <c r="A1520" t="e">
        <f>-Lqei2H6SJq5PbyDpnfg</f>
        <v>#NAME?</v>
      </c>
      <c r="B1520">
        <v>393.75</v>
      </c>
      <c r="C1520">
        <v>20.584240000000001</v>
      </c>
      <c r="D1520">
        <v>39</v>
      </c>
      <c r="E1520">
        <v>0</v>
      </c>
      <c r="F1520">
        <v>0</v>
      </c>
      <c r="G1520">
        <v>87</v>
      </c>
      <c r="H1520" s="4">
        <v>1570527259233</v>
      </c>
      <c r="I1520">
        <v>526.6875</v>
      </c>
      <c r="J1520" s="9">
        <f t="shared" si="23"/>
        <v>43746.690500381941</v>
      </c>
      <c r="K1520" s="1"/>
    </row>
    <row r="1521" spans="1:11" x14ac:dyDescent="0.25">
      <c r="A1521" t="s">
        <v>86</v>
      </c>
      <c r="B1521">
        <v>412.5</v>
      </c>
      <c r="C1521">
        <v>20.531590000000001</v>
      </c>
      <c r="D1521">
        <v>36</v>
      </c>
      <c r="E1521">
        <v>0</v>
      </c>
      <c r="F1521">
        <v>0</v>
      </c>
      <c r="G1521">
        <v>85</v>
      </c>
      <c r="H1521" s="4">
        <v>1570527267473</v>
      </c>
      <c r="I1521">
        <v>532.125</v>
      </c>
      <c r="J1521" s="9">
        <f t="shared" si="23"/>
        <v>43746.690595752312</v>
      </c>
      <c r="K1521" s="1"/>
    </row>
    <row r="1522" spans="1:11" x14ac:dyDescent="0.25">
      <c r="A1522" t="s">
        <v>87</v>
      </c>
      <c r="B1522">
        <v>393.75</v>
      </c>
      <c r="C1522">
        <v>20.531590000000001</v>
      </c>
      <c r="D1522">
        <v>39</v>
      </c>
      <c r="E1522">
        <v>0</v>
      </c>
      <c r="F1522">
        <v>0</v>
      </c>
      <c r="G1522">
        <v>84</v>
      </c>
      <c r="H1522" s="4">
        <v>1570527274693</v>
      </c>
      <c r="I1522">
        <v>526.6875</v>
      </c>
      <c r="J1522" s="9">
        <f t="shared" si="23"/>
        <v>43746.690679317129</v>
      </c>
      <c r="K1522" s="1"/>
    </row>
    <row r="1523" spans="1:11" x14ac:dyDescent="0.25">
      <c r="A1523" t="e">
        <f>-Lqei7Ekvyg-pe1vgeLk</f>
        <v>#NAME?</v>
      </c>
      <c r="B1523">
        <v>393.75</v>
      </c>
      <c r="C1523">
        <v>20.584240000000001</v>
      </c>
      <c r="D1523">
        <v>39</v>
      </c>
      <c r="E1523">
        <v>0</v>
      </c>
      <c r="F1523">
        <v>0</v>
      </c>
      <c r="G1523">
        <v>84</v>
      </c>
      <c r="H1523" s="4">
        <v>1570527280873</v>
      </c>
      <c r="I1523">
        <v>526.6875</v>
      </c>
      <c r="J1523" s="9">
        <f t="shared" si="23"/>
        <v>43746.6907508449</v>
      </c>
      <c r="K1523" s="1"/>
    </row>
    <row r="1524" spans="1:11" x14ac:dyDescent="0.25">
      <c r="A1524" t="e">
        <f>-Lqei8xja6eHMmkFbpyZ</f>
        <v>#NAME?</v>
      </c>
      <c r="B1524">
        <v>393.75</v>
      </c>
      <c r="C1524">
        <v>20.584240000000001</v>
      </c>
      <c r="D1524">
        <v>39</v>
      </c>
      <c r="E1524">
        <v>0</v>
      </c>
      <c r="F1524">
        <v>0</v>
      </c>
      <c r="G1524">
        <v>87</v>
      </c>
      <c r="H1524" s="4">
        <v>1570527288063</v>
      </c>
      <c r="I1524">
        <v>526.6875</v>
      </c>
      <c r="J1524" s="9">
        <f t="shared" si="23"/>
        <v>43746.690834062501</v>
      </c>
      <c r="K1524" s="1"/>
    </row>
    <row r="1525" spans="1:11" x14ac:dyDescent="0.25">
      <c r="A1525" t="e">
        <f>-LqeiAm0wcmDhHQtSdmx</f>
        <v>#NAME?</v>
      </c>
      <c r="B1525">
        <v>393.75</v>
      </c>
      <c r="C1525">
        <v>20.584240000000001</v>
      </c>
      <c r="D1525">
        <v>38</v>
      </c>
      <c r="E1525">
        <v>0</v>
      </c>
      <c r="F1525">
        <v>0</v>
      </c>
      <c r="G1525">
        <v>86</v>
      </c>
      <c r="H1525" s="4">
        <v>1570527295292</v>
      </c>
      <c r="I1525">
        <v>526.6875</v>
      </c>
      <c r="J1525" s="9">
        <f t="shared" si="23"/>
        <v>43746.690917731474</v>
      </c>
      <c r="K1525" s="1"/>
    </row>
    <row r="1526" spans="1:11" x14ac:dyDescent="0.25">
      <c r="A1526" t="e">
        <f>-LqeiCp_aCwi3cmzI7Hn</f>
        <v>#NAME?</v>
      </c>
      <c r="B1526">
        <v>415.625</v>
      </c>
      <c r="C1526">
        <v>20.584240000000001</v>
      </c>
      <c r="D1526">
        <v>38</v>
      </c>
      <c r="E1526">
        <v>0</v>
      </c>
      <c r="F1526">
        <v>0</v>
      </c>
      <c r="G1526">
        <v>89</v>
      </c>
      <c r="H1526" s="4">
        <v>1570527302482</v>
      </c>
      <c r="I1526">
        <v>533.0625</v>
      </c>
      <c r="J1526" s="9">
        <f t="shared" si="23"/>
        <v>43746.691000949075</v>
      </c>
      <c r="K1526" s="1"/>
    </row>
    <row r="1527" spans="1:11" x14ac:dyDescent="0.25">
      <c r="A1527" t="e">
        <f>-LqeiEVw2lJVcTvzP5qb</f>
        <v>#NAME?</v>
      </c>
      <c r="B1527">
        <v>393.75</v>
      </c>
      <c r="C1527">
        <v>20.584240000000001</v>
      </c>
      <c r="D1527">
        <v>37</v>
      </c>
      <c r="E1527">
        <v>0</v>
      </c>
      <c r="F1527">
        <v>0</v>
      </c>
      <c r="G1527">
        <v>95</v>
      </c>
      <c r="H1527" s="4">
        <v>1570527310753</v>
      </c>
      <c r="I1527">
        <v>526.6875</v>
      </c>
      <c r="J1527" s="9">
        <f t="shared" si="23"/>
        <v>43746.691096678238</v>
      </c>
      <c r="K1527" s="1"/>
    </row>
    <row r="1528" spans="1:11" x14ac:dyDescent="0.25">
      <c r="A1528" t="e">
        <f>-LqeiGK1TIn5Zt4GfGOH</f>
        <v>#NAME?</v>
      </c>
      <c r="B1528">
        <v>400</v>
      </c>
      <c r="C1528">
        <v>20.531590000000001</v>
      </c>
      <c r="D1528">
        <v>37</v>
      </c>
      <c r="E1528">
        <v>0</v>
      </c>
      <c r="F1528">
        <v>0</v>
      </c>
      <c r="G1528">
        <v>88</v>
      </c>
      <c r="H1528" s="4">
        <v>1570527317964</v>
      </c>
      <c r="I1528">
        <v>528</v>
      </c>
      <c r="J1528" s="9">
        <f t="shared" si="23"/>
        <v>43746.691180138885</v>
      </c>
      <c r="K1528" s="1"/>
    </row>
    <row r="1529" spans="1:11" x14ac:dyDescent="0.25">
      <c r="A1529" t="e">
        <f>-LqeiI0l_SRE-dmwWm9m</f>
        <v>#NAME?</v>
      </c>
      <c r="B1529">
        <v>393.75</v>
      </c>
      <c r="C1529">
        <v>20.584240000000001</v>
      </c>
      <c r="D1529">
        <v>36</v>
      </c>
      <c r="E1529">
        <v>0</v>
      </c>
      <c r="F1529">
        <v>0</v>
      </c>
      <c r="G1529">
        <v>87</v>
      </c>
      <c r="H1529" s="4">
        <v>1570527325183</v>
      </c>
      <c r="I1529">
        <v>526.5</v>
      </c>
      <c r="J1529" s="9">
        <f t="shared" si="23"/>
        <v>43746.691263692126</v>
      </c>
      <c r="K1529" s="1"/>
    </row>
    <row r="1530" spans="1:11" x14ac:dyDescent="0.25">
      <c r="A1530" t="e">
        <f>-LqeiJoe613N5G-enFK6</f>
        <v>#NAME?</v>
      </c>
      <c r="B1530">
        <v>393.75</v>
      </c>
      <c r="C1530">
        <v>20.584240000000001</v>
      </c>
      <c r="D1530">
        <v>37</v>
      </c>
      <c r="E1530">
        <v>0</v>
      </c>
      <c r="F1530">
        <v>0</v>
      </c>
      <c r="G1530">
        <v>90</v>
      </c>
      <c r="H1530" s="4">
        <v>1570527332384</v>
      </c>
      <c r="I1530">
        <v>526.6875</v>
      </c>
      <c r="J1530" s="9">
        <f t="shared" si="23"/>
        <v>43746.691347037035</v>
      </c>
      <c r="K1530" s="1"/>
    </row>
    <row r="1531" spans="1:11" x14ac:dyDescent="0.25">
      <c r="A1531" t="e">
        <f>-LqeiLXlKvJbaQnS-vXi</f>
        <v>#NAME?</v>
      </c>
      <c r="B1531">
        <v>393.75</v>
      </c>
      <c r="C1531">
        <v>20.531590000000001</v>
      </c>
      <c r="D1531">
        <v>37</v>
      </c>
      <c r="E1531">
        <v>0</v>
      </c>
      <c r="F1531">
        <v>0</v>
      </c>
      <c r="G1531">
        <v>93</v>
      </c>
      <c r="H1531" s="4">
        <v>1570527339583</v>
      </c>
      <c r="I1531">
        <v>526.6875</v>
      </c>
      <c r="J1531" s="9">
        <f t="shared" si="23"/>
        <v>43746.691430358791</v>
      </c>
      <c r="K1531" s="1"/>
    </row>
    <row r="1532" spans="1:11" x14ac:dyDescent="0.25">
      <c r="A1532" t="e">
        <f>-LqeiN1Hlb7r_FrIXXZL</f>
        <v>#NAME?</v>
      </c>
      <c r="B1532">
        <v>393.75</v>
      </c>
      <c r="C1532">
        <v>20.584240000000001</v>
      </c>
      <c r="D1532">
        <v>37</v>
      </c>
      <c r="E1532">
        <v>0</v>
      </c>
      <c r="F1532">
        <v>0</v>
      </c>
      <c r="G1532">
        <v>93</v>
      </c>
      <c r="H1532" s="4">
        <v>1570527345785</v>
      </c>
      <c r="I1532">
        <v>526.6875</v>
      </c>
      <c r="J1532" s="9">
        <f t="shared" si="23"/>
        <v>43746.691502141206</v>
      </c>
      <c r="K1532" s="1"/>
    </row>
    <row r="1533" spans="1:11" x14ac:dyDescent="0.25">
      <c r="A1533" t="s">
        <v>88</v>
      </c>
      <c r="B1533">
        <v>415.625</v>
      </c>
      <c r="C1533">
        <v>20.531590000000001</v>
      </c>
      <c r="D1533">
        <v>37</v>
      </c>
      <c r="E1533">
        <v>0</v>
      </c>
      <c r="F1533">
        <v>0</v>
      </c>
      <c r="G1533">
        <v>86</v>
      </c>
      <c r="H1533" s="4">
        <v>1570527352805</v>
      </c>
      <c r="I1533">
        <v>533.625</v>
      </c>
      <c r="J1533" s="9">
        <f t="shared" si="23"/>
        <v>43746.691583391199</v>
      </c>
      <c r="K1533" s="1"/>
    </row>
    <row r="1534" spans="1:11" x14ac:dyDescent="0.25">
      <c r="A1534" t="e">
        <f>-LqeiQbm9_ghj7z_bpf5</f>
        <v>#NAME?</v>
      </c>
      <c r="B1534">
        <v>393.75</v>
      </c>
      <c r="C1534">
        <v>20.531590000000001</v>
      </c>
      <c r="D1534">
        <v>37</v>
      </c>
      <c r="E1534">
        <v>0</v>
      </c>
      <c r="F1534">
        <v>0</v>
      </c>
      <c r="G1534">
        <v>86</v>
      </c>
      <c r="H1534" s="4">
        <v>1570527360213</v>
      </c>
      <c r="I1534">
        <v>526.5</v>
      </c>
      <c r="J1534" s="9">
        <f t="shared" si="23"/>
        <v>43746.691669131942</v>
      </c>
      <c r="K1534" s="1"/>
    </row>
    <row r="1535" spans="1:11" x14ac:dyDescent="0.25">
      <c r="A1535" t="e">
        <f>-LqeiSKn6dZC5LoqyLoe</f>
        <v>#NAME?</v>
      </c>
      <c r="B1535">
        <v>393.75</v>
      </c>
      <c r="C1535">
        <v>20.478950000000001</v>
      </c>
      <c r="D1535">
        <v>37</v>
      </c>
      <c r="E1535">
        <v>0</v>
      </c>
      <c r="F1535">
        <v>0</v>
      </c>
      <c r="G1535">
        <v>84</v>
      </c>
      <c r="H1535" s="4">
        <v>1570527367433</v>
      </c>
      <c r="I1535">
        <v>526.6875</v>
      </c>
      <c r="J1535" s="9">
        <f t="shared" si="23"/>
        <v>43746.691752696752</v>
      </c>
      <c r="K1535" s="1"/>
    </row>
    <row r="1536" spans="1:11" x14ac:dyDescent="0.25">
      <c r="A1536" t="e">
        <f>-LqeiU7lr1j0eLn-frbZ</f>
        <v>#NAME?</v>
      </c>
      <c r="B1536">
        <v>393.75</v>
      </c>
      <c r="C1536">
        <v>20.584240000000001</v>
      </c>
      <c r="D1536">
        <v>37</v>
      </c>
      <c r="E1536">
        <v>0</v>
      </c>
      <c r="F1536">
        <v>0</v>
      </c>
      <c r="G1536">
        <v>90</v>
      </c>
      <c r="H1536" s="4">
        <v>1570527374633</v>
      </c>
      <c r="I1536">
        <v>526.6875</v>
      </c>
      <c r="J1536" s="9">
        <f t="shared" si="23"/>
        <v>43746.691836030092</v>
      </c>
      <c r="K1536" s="1"/>
    </row>
    <row r="1537" spans="1:11" x14ac:dyDescent="0.25">
      <c r="A1537" t="e">
        <f>-LqeiWB1hWn9QzCigMC4</f>
        <v>#NAME?</v>
      </c>
      <c r="B1537">
        <v>393.75</v>
      </c>
      <c r="C1537">
        <v>20.584240000000001</v>
      </c>
      <c r="D1537">
        <v>37</v>
      </c>
      <c r="E1537">
        <v>0</v>
      </c>
      <c r="F1537">
        <v>0</v>
      </c>
      <c r="G1537">
        <v>93</v>
      </c>
      <c r="H1537" s="4">
        <v>1570527382926</v>
      </c>
      <c r="I1537">
        <v>526.6875</v>
      </c>
      <c r="J1537" s="9">
        <f t="shared" si="23"/>
        <v>43746.691932013891</v>
      </c>
      <c r="K1537" s="1"/>
    </row>
    <row r="1538" spans="1:11" x14ac:dyDescent="0.25">
      <c r="A1538" t="e">
        <f>-LqeiXsmXg-EspHkVCtv</f>
        <v>#NAME?</v>
      </c>
      <c r="B1538">
        <v>393.75</v>
      </c>
      <c r="C1538">
        <v>20.584240000000001</v>
      </c>
      <c r="D1538">
        <v>37</v>
      </c>
      <c r="E1538">
        <v>0</v>
      </c>
      <c r="F1538">
        <v>0</v>
      </c>
      <c r="G1538">
        <v>84</v>
      </c>
      <c r="H1538" s="4">
        <v>1570527390094</v>
      </c>
      <c r="I1538">
        <v>526.6875</v>
      </c>
      <c r="J1538" s="9">
        <f t="shared" si="23"/>
        <v>43746.692014976848</v>
      </c>
      <c r="K1538" s="1"/>
    </row>
    <row r="1539" spans="1:11" x14ac:dyDescent="0.25">
      <c r="A1539" t="e">
        <f>-LqeiZfvNwHNZy3_W3eX</f>
        <v>#NAME?</v>
      </c>
      <c r="B1539">
        <v>393.75</v>
      </c>
      <c r="C1539">
        <v>20.531590000000001</v>
      </c>
      <c r="D1539">
        <v>39</v>
      </c>
      <c r="E1539">
        <v>0</v>
      </c>
      <c r="F1539">
        <v>0</v>
      </c>
      <c r="G1539">
        <v>88</v>
      </c>
      <c r="H1539" s="4">
        <v>1570527397302</v>
      </c>
      <c r="I1539">
        <v>526.6875</v>
      </c>
      <c r="J1539" s="9">
        <f t="shared" ref="J1539:J1602" si="24">(H1539/86400000)+25569+(7/24)</f>
        <v>43746.692098402775</v>
      </c>
      <c r="K1539" s="1"/>
    </row>
    <row r="1540" spans="1:11" x14ac:dyDescent="0.25">
      <c r="A1540" t="e">
        <f>-LqeiaOmEtSCBX3BhiWa</f>
        <v>#NAME?</v>
      </c>
      <c r="B1540">
        <v>393.75</v>
      </c>
      <c r="C1540">
        <v>20.584240000000001</v>
      </c>
      <c r="D1540">
        <v>39</v>
      </c>
      <c r="E1540">
        <v>0</v>
      </c>
      <c r="F1540">
        <v>0</v>
      </c>
      <c r="G1540">
        <v>79</v>
      </c>
      <c r="H1540" s="4">
        <v>1570527404514</v>
      </c>
      <c r="I1540">
        <v>526.6875</v>
      </c>
      <c r="J1540" s="9">
        <f t="shared" si="24"/>
        <v>43746.692181874998</v>
      </c>
      <c r="K1540" s="1"/>
    </row>
    <row r="1541" spans="1:11" x14ac:dyDescent="0.25">
      <c r="A1541" t="e">
        <f>-Lqeic8KED-HUO7B5SjX</f>
        <v>#NAME?</v>
      </c>
      <c r="B1541">
        <v>393.75</v>
      </c>
      <c r="C1541">
        <v>20.531590000000001</v>
      </c>
      <c r="D1541">
        <v>39</v>
      </c>
      <c r="E1541">
        <v>0</v>
      </c>
      <c r="F1541">
        <v>0</v>
      </c>
      <c r="G1541">
        <v>88</v>
      </c>
      <c r="H1541" s="4">
        <v>1570527411724</v>
      </c>
      <c r="I1541">
        <v>526.6875</v>
      </c>
      <c r="J1541" s="9">
        <f t="shared" si="24"/>
        <v>43746.692265324069</v>
      </c>
      <c r="K1541" s="1"/>
    </row>
    <row r="1542" spans="1:11" x14ac:dyDescent="0.25">
      <c r="A1542" t="e">
        <f>-LqeidfvqEEIOoes00-e</f>
        <v>#NAME?</v>
      </c>
      <c r="B1542">
        <v>393.75</v>
      </c>
      <c r="C1542">
        <v>20.584240000000001</v>
      </c>
      <c r="D1542">
        <v>38</v>
      </c>
      <c r="E1542">
        <v>0</v>
      </c>
      <c r="F1542">
        <v>0</v>
      </c>
      <c r="G1542">
        <v>90</v>
      </c>
      <c r="H1542" s="4">
        <v>1570527417904</v>
      </c>
      <c r="I1542">
        <v>526.6875</v>
      </c>
      <c r="J1542" s="9">
        <f t="shared" si="24"/>
        <v>43746.692336851855</v>
      </c>
      <c r="K1542" s="1"/>
    </row>
    <row r="1543" spans="1:11" x14ac:dyDescent="0.25">
      <c r="A1543" t="e">
        <f>-LqeifQ1YRKAc66fUNoo</f>
        <v>#NAME?</v>
      </c>
      <c r="B1543">
        <v>393.75</v>
      </c>
      <c r="C1543">
        <v>20.531590000000001</v>
      </c>
      <c r="D1543">
        <v>34</v>
      </c>
      <c r="E1543">
        <v>0</v>
      </c>
      <c r="F1543">
        <v>0</v>
      </c>
      <c r="G1543">
        <v>85</v>
      </c>
      <c r="H1543" s="4">
        <v>1570527425114</v>
      </c>
      <c r="I1543">
        <v>526.6875</v>
      </c>
      <c r="J1543" s="9">
        <f t="shared" si="24"/>
        <v>43746.692420300918</v>
      </c>
      <c r="K1543" s="1"/>
    </row>
    <row r="1544" spans="1:11" x14ac:dyDescent="0.25">
      <c r="A1544" t="e">
        <f>-Lqeigy3D3okJrGpvJC0</f>
        <v>#NAME?</v>
      </c>
      <c r="B1544">
        <v>393.75</v>
      </c>
      <c r="C1544">
        <v>20.584240000000001</v>
      </c>
      <c r="D1544">
        <v>34</v>
      </c>
      <c r="E1544">
        <v>0</v>
      </c>
      <c r="F1544">
        <v>0</v>
      </c>
      <c r="G1544">
        <v>96</v>
      </c>
      <c r="H1544" s="4">
        <v>1570527431295</v>
      </c>
      <c r="I1544">
        <v>526.5</v>
      </c>
      <c r="J1544" s="9">
        <f t="shared" si="24"/>
        <v>43746.692491840273</v>
      </c>
      <c r="K1544" s="1"/>
    </row>
    <row r="1545" spans="1:11" x14ac:dyDescent="0.25">
      <c r="A1545" t="e">
        <f>-LqeiifmOUpvzu42ut7P</f>
        <v>#NAME?</v>
      </c>
      <c r="B1545">
        <v>412.5</v>
      </c>
      <c r="C1545">
        <v>20.584240000000001</v>
      </c>
      <c r="D1545">
        <v>35</v>
      </c>
      <c r="E1545">
        <v>0</v>
      </c>
      <c r="F1545">
        <v>0</v>
      </c>
      <c r="G1545">
        <v>91</v>
      </c>
      <c r="H1545" s="4">
        <v>1570527438534</v>
      </c>
      <c r="I1545">
        <v>532.125</v>
      </c>
      <c r="J1545" s="9">
        <f t="shared" si="24"/>
        <v>43746.692575624998</v>
      </c>
      <c r="K1545" s="1"/>
    </row>
    <row r="1546" spans="1:11" x14ac:dyDescent="0.25">
      <c r="A1546" t="e">
        <f>-LqeikEn5CYWTjX5E1jL</f>
        <v>#NAME?</v>
      </c>
      <c r="B1546">
        <v>393.75</v>
      </c>
      <c r="C1546">
        <v>20.584240000000001</v>
      </c>
      <c r="D1546">
        <v>36</v>
      </c>
      <c r="E1546">
        <v>0</v>
      </c>
      <c r="F1546">
        <v>0</v>
      </c>
      <c r="G1546">
        <v>95</v>
      </c>
      <c r="H1546" s="4">
        <v>1570527444694</v>
      </c>
      <c r="I1546">
        <v>526.6875</v>
      </c>
      <c r="J1546" s="9">
        <f t="shared" si="24"/>
        <v>43746.692646921292</v>
      </c>
      <c r="K1546" s="1"/>
    </row>
    <row r="1547" spans="1:11" x14ac:dyDescent="0.25">
      <c r="A1547" t="e">
        <f>-Lqeilxkq2Qw04gQD6zA</f>
        <v>#NAME?</v>
      </c>
      <c r="B1547">
        <v>393.75</v>
      </c>
      <c r="C1547">
        <v>20.584240000000001</v>
      </c>
      <c r="D1547">
        <v>36</v>
      </c>
      <c r="E1547">
        <v>0</v>
      </c>
      <c r="F1547">
        <v>0</v>
      </c>
      <c r="G1547">
        <v>98</v>
      </c>
      <c r="H1547" s="4">
        <v>1570527451909</v>
      </c>
      <c r="I1547">
        <v>526.6875</v>
      </c>
      <c r="J1547" s="9">
        <f t="shared" si="24"/>
        <v>43746.692730428236</v>
      </c>
      <c r="K1547" s="1"/>
    </row>
    <row r="1548" spans="1:11" x14ac:dyDescent="0.25">
      <c r="A1548" t="e">
        <f>-Lqeinm1Bmn13XXNTcxG</f>
        <v>#NAME?</v>
      </c>
      <c r="B1548">
        <v>393.75</v>
      </c>
      <c r="C1548">
        <v>20.584240000000001</v>
      </c>
      <c r="D1548">
        <v>34</v>
      </c>
      <c r="E1548">
        <v>0</v>
      </c>
      <c r="F1548">
        <v>0</v>
      </c>
      <c r="G1548">
        <v>95</v>
      </c>
      <c r="H1548" s="4">
        <v>1570527459124</v>
      </c>
      <c r="I1548">
        <v>526.6875</v>
      </c>
      <c r="J1548" s="9">
        <f t="shared" si="24"/>
        <v>43746.692813935188</v>
      </c>
      <c r="K1548" s="1"/>
    </row>
    <row r="1549" spans="1:11" x14ac:dyDescent="0.25">
      <c r="A1549" t="e">
        <f>-LqeipmmcPNNu6UslKGH</f>
        <v>#NAME?</v>
      </c>
      <c r="B1549">
        <v>393.75</v>
      </c>
      <c r="C1549">
        <v>20.584240000000001</v>
      </c>
      <c r="D1549">
        <v>35</v>
      </c>
      <c r="E1549">
        <v>0</v>
      </c>
      <c r="F1549">
        <v>0</v>
      </c>
      <c r="G1549">
        <v>91</v>
      </c>
      <c r="H1549" s="4">
        <v>1570527467447</v>
      </c>
      <c r="I1549">
        <v>526.6875</v>
      </c>
      <c r="J1549" s="9">
        <f t="shared" si="24"/>
        <v>43746.692910266203</v>
      </c>
      <c r="K1549" s="1"/>
    </row>
    <row r="1550" spans="1:11" x14ac:dyDescent="0.25">
      <c r="A1550" t="e">
        <f>-LqeirX1F5U8jhdNU-WJ</f>
        <v>#NAME?</v>
      </c>
      <c r="B1550">
        <v>393.75</v>
      </c>
      <c r="C1550">
        <v>20.584240000000001</v>
      </c>
      <c r="D1550">
        <v>36</v>
      </c>
      <c r="E1550">
        <v>0</v>
      </c>
      <c r="F1550">
        <v>0</v>
      </c>
      <c r="G1550">
        <v>84</v>
      </c>
      <c r="H1550" s="4">
        <v>1570527474574</v>
      </c>
      <c r="I1550">
        <v>526.5</v>
      </c>
      <c r="J1550" s="9">
        <f t="shared" si="24"/>
        <v>43746.692992754623</v>
      </c>
      <c r="K1550" s="1"/>
    </row>
    <row r="1551" spans="1:11" x14ac:dyDescent="0.25">
      <c r="A1551" t="e">
        <f>-LqeitImktFwcldIPxPx</f>
        <v>#NAME?</v>
      </c>
      <c r="B1551">
        <v>393.75</v>
      </c>
      <c r="C1551">
        <v>20.531590000000001</v>
      </c>
      <c r="D1551">
        <v>38</v>
      </c>
      <c r="E1551">
        <v>0</v>
      </c>
      <c r="F1551">
        <v>0</v>
      </c>
      <c r="G1551">
        <v>99</v>
      </c>
      <c r="H1551" s="4">
        <v>1570527481787</v>
      </c>
      <c r="I1551">
        <v>526.6875</v>
      </c>
      <c r="J1551" s="9">
        <f t="shared" si="24"/>
        <v>43746.693076238422</v>
      </c>
      <c r="K1551" s="1"/>
    </row>
    <row r="1552" spans="1:11" x14ac:dyDescent="0.25">
      <c r="A1552" t="e">
        <f>-Lqeiv0l6JYPLa1YTe7y</f>
        <v>#NAME?</v>
      </c>
      <c r="B1552">
        <v>393.75</v>
      </c>
      <c r="C1552">
        <v>20.584240000000001</v>
      </c>
      <c r="D1552">
        <v>38</v>
      </c>
      <c r="E1552">
        <v>0</v>
      </c>
      <c r="F1552">
        <v>0</v>
      </c>
      <c r="G1552">
        <v>86</v>
      </c>
      <c r="H1552" s="4">
        <v>1570527489003</v>
      </c>
      <c r="I1552">
        <v>526.6875</v>
      </c>
      <c r="J1552" s="9">
        <f t="shared" si="24"/>
        <v>43746.693159756942</v>
      </c>
      <c r="K1552" s="1"/>
    </row>
    <row r="1553" spans="1:11" x14ac:dyDescent="0.25">
      <c r="A1553" t="e">
        <f>-LqeiwqC0RraMAOsJpCX</f>
        <v>#NAME?</v>
      </c>
      <c r="B1553">
        <v>393.75</v>
      </c>
      <c r="C1553">
        <v>20.531590000000001</v>
      </c>
      <c r="D1553">
        <v>38</v>
      </c>
      <c r="E1553">
        <v>0</v>
      </c>
      <c r="F1553">
        <v>0</v>
      </c>
      <c r="G1553">
        <v>91</v>
      </c>
      <c r="H1553" s="4">
        <v>1570527496213</v>
      </c>
      <c r="I1553">
        <v>526.6875</v>
      </c>
      <c r="J1553" s="9">
        <f t="shared" si="24"/>
        <v>43746.69324320602</v>
      </c>
      <c r="K1553" s="1"/>
    </row>
    <row r="1554" spans="1:11" x14ac:dyDescent="0.25">
      <c r="A1554" t="e">
        <f>-LqeiyY3fIfgANYj6azy</f>
        <v>#NAME?</v>
      </c>
      <c r="B1554">
        <v>428.125</v>
      </c>
      <c r="C1554">
        <v>20.584240000000001</v>
      </c>
      <c r="D1554">
        <v>39</v>
      </c>
      <c r="E1554">
        <v>0</v>
      </c>
      <c r="F1554">
        <v>0</v>
      </c>
      <c r="G1554">
        <v>94</v>
      </c>
      <c r="H1554" s="4">
        <v>1570527503423</v>
      </c>
      <c r="I1554">
        <v>537.5625</v>
      </c>
      <c r="J1554" s="9">
        <f t="shared" si="24"/>
        <v>43746.693326655091</v>
      </c>
      <c r="K1554" s="1"/>
    </row>
    <row r="1555" spans="1:11" x14ac:dyDescent="0.25">
      <c r="A1555" t="e">
        <f>-Lqej-EE7nxfi9DvPADE</f>
        <v>#NAME?</v>
      </c>
      <c r="B1555">
        <v>393.75</v>
      </c>
      <c r="C1555">
        <v>20.584240000000001</v>
      </c>
      <c r="D1555">
        <v>39</v>
      </c>
      <c r="E1555">
        <v>0</v>
      </c>
      <c r="F1555">
        <v>0</v>
      </c>
      <c r="G1555">
        <v>91</v>
      </c>
      <c r="H1555" s="4">
        <v>1570527509619</v>
      </c>
      <c r="I1555">
        <v>526.6875</v>
      </c>
      <c r="J1555" s="9">
        <f t="shared" si="24"/>
        <v>43746.693398368057</v>
      </c>
      <c r="K1555" s="1"/>
    </row>
    <row r="1556" spans="1:11" x14ac:dyDescent="0.25">
      <c r="A1556" t="e">
        <f>-Lqej0p3ZOjI721X--rK</f>
        <v>#NAME?</v>
      </c>
      <c r="B1556">
        <v>393.75</v>
      </c>
      <c r="C1556">
        <v>20.531590000000001</v>
      </c>
      <c r="D1556">
        <v>39</v>
      </c>
      <c r="E1556">
        <v>0</v>
      </c>
      <c r="F1556">
        <v>0</v>
      </c>
      <c r="G1556">
        <v>84</v>
      </c>
      <c r="H1556" s="4">
        <v>1570527516830</v>
      </c>
      <c r="I1556">
        <v>526.6875</v>
      </c>
      <c r="J1556" s="9">
        <f t="shared" si="24"/>
        <v>43746.693481828705</v>
      </c>
      <c r="K1556" s="1"/>
    </row>
    <row r="1557" spans="1:11" x14ac:dyDescent="0.25">
      <c r="A1557" t="e">
        <f>-Lqej2KSRx5ZdhGypFjD</f>
        <v>#NAME?</v>
      </c>
      <c r="B1557">
        <v>412.5</v>
      </c>
      <c r="C1557">
        <v>20.531590000000001</v>
      </c>
      <c r="D1557">
        <v>39</v>
      </c>
      <c r="E1557">
        <v>0</v>
      </c>
      <c r="F1557">
        <v>0</v>
      </c>
      <c r="G1557">
        <v>99</v>
      </c>
      <c r="H1557" s="4">
        <v>1570527522989</v>
      </c>
      <c r="I1557">
        <v>532.3125</v>
      </c>
      <c r="J1557" s="9">
        <f t="shared" si="24"/>
        <v>43746.693553113422</v>
      </c>
      <c r="K1557" s="1"/>
    </row>
    <row r="1558" spans="1:11" x14ac:dyDescent="0.25">
      <c r="A1558" t="e">
        <f>-Lqej3pYPWgmSZurMCp_</f>
        <v>#NAME?</v>
      </c>
      <c r="B1558">
        <v>393.75</v>
      </c>
      <c r="C1558">
        <v>20.584240000000001</v>
      </c>
      <c r="D1558">
        <v>38</v>
      </c>
      <c r="E1558">
        <v>0</v>
      </c>
      <c r="F1558">
        <v>0</v>
      </c>
      <c r="G1558">
        <v>91</v>
      </c>
      <c r="H1558" s="4">
        <v>1570527529170</v>
      </c>
      <c r="I1558">
        <v>526.6875</v>
      </c>
      <c r="J1558" s="9">
        <f t="shared" si="24"/>
        <v>43746.693624652777</v>
      </c>
      <c r="K1558" s="1"/>
    </row>
    <row r="1559" spans="1:11" x14ac:dyDescent="0.25">
      <c r="A1559" t="e">
        <f>-Lqej5Ky_f1OKAWtlo_B</f>
        <v>#NAME?</v>
      </c>
      <c r="B1559">
        <v>393.75</v>
      </c>
      <c r="C1559">
        <v>20.584240000000001</v>
      </c>
      <c r="D1559">
        <v>39</v>
      </c>
      <c r="E1559">
        <v>0</v>
      </c>
      <c r="F1559">
        <v>0</v>
      </c>
      <c r="G1559">
        <v>100</v>
      </c>
      <c r="H1559" s="4">
        <v>1570527535349</v>
      </c>
      <c r="I1559">
        <v>526.6875</v>
      </c>
      <c r="J1559" s="9">
        <f t="shared" si="24"/>
        <v>43746.693696168979</v>
      </c>
      <c r="K1559" s="1"/>
    </row>
    <row r="1560" spans="1:11" x14ac:dyDescent="0.25">
      <c r="A1560" t="e">
        <f>-Lqej76h7BWSEp4WJwng</f>
        <v>#NAME?</v>
      </c>
      <c r="B1560">
        <v>393.75</v>
      </c>
      <c r="C1560">
        <v>20.531590000000001</v>
      </c>
      <c r="D1560">
        <v>40</v>
      </c>
      <c r="E1560">
        <v>0</v>
      </c>
      <c r="F1560">
        <v>0</v>
      </c>
      <c r="G1560">
        <v>93</v>
      </c>
      <c r="H1560" s="4">
        <v>1570527542598</v>
      </c>
      <c r="I1560">
        <v>526.6875</v>
      </c>
      <c r="J1560" s="9">
        <f t="shared" si="24"/>
        <v>43746.693780069443</v>
      </c>
      <c r="K1560" s="1"/>
    </row>
    <row r="1561" spans="1:11" x14ac:dyDescent="0.25">
      <c r="A1561" t="e">
        <f>-Lqej8dCucmo_e-r0SEk</f>
        <v>#NAME?</v>
      </c>
      <c r="B1561">
        <v>393.75</v>
      </c>
      <c r="C1561">
        <v>20.531590000000001</v>
      </c>
      <c r="D1561">
        <v>39</v>
      </c>
      <c r="E1561">
        <v>0</v>
      </c>
      <c r="F1561">
        <v>0</v>
      </c>
      <c r="G1561">
        <v>92</v>
      </c>
      <c r="H1561" s="4">
        <v>1570527548778</v>
      </c>
      <c r="I1561">
        <v>526.6875</v>
      </c>
      <c r="J1561" s="9">
        <f t="shared" si="24"/>
        <v>43746.693851597222</v>
      </c>
      <c r="K1561" s="1"/>
    </row>
    <row r="1562" spans="1:11" x14ac:dyDescent="0.25">
      <c r="A1562" t="e">
        <f>-LqejA5wpHavB6bnIOQ2</f>
        <v>#NAME?</v>
      </c>
      <c r="B1562">
        <v>393.75</v>
      </c>
      <c r="C1562">
        <v>20.584240000000001</v>
      </c>
      <c r="D1562">
        <v>39</v>
      </c>
      <c r="E1562">
        <v>0</v>
      </c>
      <c r="F1562">
        <v>0</v>
      </c>
      <c r="G1562">
        <v>92</v>
      </c>
      <c r="H1562" s="4">
        <v>1570527554908</v>
      </c>
      <c r="I1562">
        <v>526.6875</v>
      </c>
      <c r="J1562" s="9">
        <f t="shared" si="24"/>
        <v>43746.693922546292</v>
      </c>
      <c r="K1562" s="1"/>
    </row>
    <row r="1563" spans="1:11" x14ac:dyDescent="0.25">
      <c r="A1563" t="e">
        <f>-LqejBcQvdeAACU8LGzs</f>
        <v>#NAME?</v>
      </c>
      <c r="B1563">
        <v>393.75</v>
      </c>
      <c r="C1563">
        <v>20.584240000000001</v>
      </c>
      <c r="D1563">
        <v>37</v>
      </c>
      <c r="E1563">
        <v>0</v>
      </c>
      <c r="F1563">
        <v>0</v>
      </c>
      <c r="G1563">
        <v>94</v>
      </c>
      <c r="H1563" s="4">
        <v>1570527561107</v>
      </c>
      <c r="I1563">
        <v>526.6875</v>
      </c>
      <c r="J1563" s="9">
        <f t="shared" si="24"/>
        <v>43746.693994293979</v>
      </c>
      <c r="K1563" s="1"/>
    </row>
    <row r="1564" spans="1:11" x14ac:dyDescent="0.25">
      <c r="A1564" t="e">
        <f>-LqejDAl6C-T3oPkGte1</f>
        <v>#NAME?</v>
      </c>
      <c r="B1564">
        <v>393.75</v>
      </c>
      <c r="C1564">
        <v>20.584240000000001</v>
      </c>
      <c r="D1564">
        <v>38</v>
      </c>
      <c r="E1564">
        <v>0</v>
      </c>
      <c r="F1564">
        <v>0</v>
      </c>
      <c r="G1564">
        <v>100</v>
      </c>
      <c r="H1564" s="4">
        <v>1570527567323</v>
      </c>
      <c r="I1564">
        <v>526.6875</v>
      </c>
      <c r="J1564" s="9">
        <f t="shared" si="24"/>
        <v>43746.694066238422</v>
      </c>
      <c r="K1564" s="1"/>
    </row>
    <row r="1565" spans="1:11" x14ac:dyDescent="0.25">
      <c r="A1565" t="e">
        <f>-LqejEdntuPVZe4DsYh5</f>
        <v>#NAME?</v>
      </c>
      <c r="B1565">
        <v>393.75</v>
      </c>
      <c r="C1565">
        <v>20.584240000000001</v>
      </c>
      <c r="D1565">
        <v>38</v>
      </c>
      <c r="E1565">
        <v>0</v>
      </c>
      <c r="F1565">
        <v>0</v>
      </c>
      <c r="G1565">
        <v>99</v>
      </c>
      <c r="H1565" s="4">
        <v>1570527573456</v>
      </c>
      <c r="I1565">
        <v>526.6875</v>
      </c>
      <c r="J1565" s="9">
        <f t="shared" si="24"/>
        <v>43746.694137222221</v>
      </c>
      <c r="K1565" s="1"/>
    </row>
    <row r="1566" spans="1:11" x14ac:dyDescent="0.25">
      <c r="A1566" t="e">
        <f>-LqejGStTr5htdY8Aq23</f>
        <v>#NAME?</v>
      </c>
      <c r="B1566">
        <v>393.75</v>
      </c>
      <c r="C1566">
        <v>20.531590000000001</v>
      </c>
      <c r="D1566">
        <v>39</v>
      </c>
      <c r="E1566">
        <v>0</v>
      </c>
      <c r="F1566">
        <v>0</v>
      </c>
      <c r="G1566">
        <v>85</v>
      </c>
      <c r="H1566" s="4">
        <v>1570527580665</v>
      </c>
      <c r="I1566">
        <v>526.5</v>
      </c>
      <c r="J1566" s="9">
        <f t="shared" si="24"/>
        <v>43746.694220659723</v>
      </c>
      <c r="K1566" s="1"/>
    </row>
    <row r="1567" spans="1:11" x14ac:dyDescent="0.25">
      <c r="A1567" t="e">
        <f>-LqejIB1ofr9lATsEZqB</f>
        <v>#NAME?</v>
      </c>
      <c r="B1567">
        <v>393.75</v>
      </c>
      <c r="C1567">
        <v>20.531590000000001</v>
      </c>
      <c r="D1567">
        <v>39</v>
      </c>
      <c r="E1567">
        <v>0</v>
      </c>
      <c r="F1567">
        <v>0</v>
      </c>
      <c r="G1567">
        <v>91</v>
      </c>
      <c r="H1567" s="4">
        <v>1570527587896</v>
      </c>
      <c r="I1567">
        <v>526.5</v>
      </c>
      <c r="J1567" s="9">
        <f t="shared" si="24"/>
        <v>43746.694304351848</v>
      </c>
      <c r="K1567" s="1"/>
    </row>
    <row r="1568" spans="1:11" x14ac:dyDescent="0.25">
      <c r="A1568" t="e">
        <f>-LqejJxcWE1Yy6qhnBvy</f>
        <v>#NAME?</v>
      </c>
      <c r="B1568">
        <v>393.75</v>
      </c>
      <c r="C1568">
        <v>20.584240000000001</v>
      </c>
      <c r="D1568">
        <v>39</v>
      </c>
      <c r="E1568">
        <v>0</v>
      </c>
      <c r="F1568">
        <v>0</v>
      </c>
      <c r="G1568">
        <v>89</v>
      </c>
      <c r="H1568" s="4">
        <v>1570527595116</v>
      </c>
      <c r="I1568">
        <v>526.6875</v>
      </c>
      <c r="J1568" s="9">
        <f t="shared" si="24"/>
        <v>43746.694387916665</v>
      </c>
      <c r="K1568" s="1"/>
    </row>
    <row r="1569" spans="1:11" x14ac:dyDescent="0.25">
      <c r="A1569" t="e">
        <f>-LqejLfceaf_IDkzkRuA</f>
        <v>#NAME?</v>
      </c>
      <c r="B1569">
        <v>393.75</v>
      </c>
      <c r="C1569">
        <v>20.531590000000001</v>
      </c>
      <c r="D1569">
        <v>39</v>
      </c>
      <c r="E1569">
        <v>0</v>
      </c>
      <c r="F1569">
        <v>0</v>
      </c>
      <c r="G1569">
        <v>93</v>
      </c>
      <c r="H1569" s="4">
        <v>1570527602294</v>
      </c>
      <c r="I1569">
        <v>526.6875</v>
      </c>
      <c r="J1569" s="9">
        <f t="shared" si="24"/>
        <v>43746.694470995368</v>
      </c>
      <c r="K1569" s="1"/>
    </row>
    <row r="1570" spans="1:11" x14ac:dyDescent="0.25">
      <c r="A1570" t="e">
        <f>-LqejNUiqT75uAMF3YZv</f>
        <v>#NAME?</v>
      </c>
      <c r="B1570">
        <v>412.5</v>
      </c>
      <c r="C1570">
        <v>20.584240000000001</v>
      </c>
      <c r="D1570">
        <v>39</v>
      </c>
      <c r="E1570">
        <v>0</v>
      </c>
      <c r="F1570">
        <v>0</v>
      </c>
      <c r="G1570">
        <v>101</v>
      </c>
      <c r="H1570" s="4">
        <v>1570527609536</v>
      </c>
      <c r="I1570">
        <v>532.3125</v>
      </c>
      <c r="J1570" s="9">
        <f t="shared" si="24"/>
        <v>43746.694554814814</v>
      </c>
      <c r="K1570" s="1"/>
    </row>
    <row r="1571" spans="1:11" x14ac:dyDescent="0.25">
      <c r="A1571" t="e">
        <f>-LqejPBXJ_5Ax2tyXaDV</f>
        <v>#NAME?</v>
      </c>
      <c r="B1571">
        <v>393.75</v>
      </c>
      <c r="C1571">
        <v>20.531590000000001</v>
      </c>
      <c r="D1571">
        <v>38</v>
      </c>
      <c r="E1571">
        <v>0</v>
      </c>
      <c r="F1571">
        <v>0</v>
      </c>
      <c r="G1571">
        <v>92</v>
      </c>
      <c r="H1571" s="4">
        <v>1570527616726</v>
      </c>
      <c r="I1571">
        <v>526.6875</v>
      </c>
      <c r="J1571" s="9">
        <f t="shared" si="24"/>
        <v>43746.694638032401</v>
      </c>
      <c r="K1571" s="1"/>
    </row>
    <row r="1572" spans="1:11" x14ac:dyDescent="0.25">
      <c r="A1572" t="e">
        <f>-LqejQs--xAXeJUvkjOi</f>
        <v>#NAME?</v>
      </c>
      <c r="B1572">
        <v>393.75</v>
      </c>
      <c r="C1572">
        <v>20.584240000000001</v>
      </c>
      <c r="D1572">
        <v>38</v>
      </c>
      <c r="E1572">
        <v>0</v>
      </c>
      <c r="F1572">
        <v>0</v>
      </c>
      <c r="G1572">
        <v>95</v>
      </c>
      <c r="H1572" s="4">
        <v>1570527622927</v>
      </c>
      <c r="I1572">
        <v>526.6875</v>
      </c>
      <c r="J1572" s="9">
        <f t="shared" si="24"/>
        <v>43746.69470980324</v>
      </c>
      <c r="K1572" s="1"/>
    </row>
    <row r="1573" spans="1:11" x14ac:dyDescent="0.25">
      <c r="A1573" t="e">
        <f>-LqejSdk17LYHWSt8i6W</f>
        <v>#NAME?</v>
      </c>
      <c r="B1573">
        <v>393.75</v>
      </c>
      <c r="C1573">
        <v>20.584240000000001</v>
      </c>
      <c r="D1573">
        <v>38</v>
      </c>
      <c r="E1573">
        <v>0</v>
      </c>
      <c r="F1573">
        <v>0</v>
      </c>
      <c r="G1573">
        <v>102</v>
      </c>
      <c r="H1573" s="4">
        <v>1570527630835</v>
      </c>
      <c r="I1573">
        <v>526.6875</v>
      </c>
      <c r="J1573" s="9">
        <f t="shared" si="24"/>
        <v>43746.694801331018</v>
      </c>
      <c r="K1573" s="1"/>
    </row>
    <row r="1574" spans="1:11" x14ac:dyDescent="0.25">
      <c r="A1574" t="e">
        <f>-LqejUGeW8qoTFHogU9I</f>
        <v>#NAME?</v>
      </c>
      <c r="B1574">
        <v>393.75</v>
      </c>
      <c r="C1574">
        <v>20.584240000000001</v>
      </c>
      <c r="D1574">
        <v>39</v>
      </c>
      <c r="E1574">
        <v>0</v>
      </c>
      <c r="F1574">
        <v>0</v>
      </c>
      <c r="G1574">
        <v>95</v>
      </c>
      <c r="H1574" s="4">
        <v>1570527637354</v>
      </c>
      <c r="I1574">
        <v>526.6875</v>
      </c>
      <c r="J1574" s="9">
        <f t="shared" si="24"/>
        <v>43746.6948767824</v>
      </c>
      <c r="K1574" s="1"/>
    </row>
    <row r="1575" spans="1:11" x14ac:dyDescent="0.25">
      <c r="A1575" t="e">
        <f>-LqejVzcHI5DtD50oCXL</f>
        <v>#NAME?</v>
      </c>
      <c r="B1575">
        <v>412.5</v>
      </c>
      <c r="C1575">
        <v>20.531590000000001</v>
      </c>
      <c r="D1575">
        <v>38</v>
      </c>
      <c r="E1575">
        <v>0</v>
      </c>
      <c r="F1575">
        <v>0</v>
      </c>
      <c r="G1575">
        <v>98</v>
      </c>
      <c r="H1575" s="4">
        <v>1570527644544</v>
      </c>
      <c r="I1575">
        <v>532.125</v>
      </c>
      <c r="J1575" s="9">
        <f t="shared" si="24"/>
        <v>43746.694960000001</v>
      </c>
      <c r="K1575" s="1"/>
    </row>
    <row r="1576" spans="1:11" x14ac:dyDescent="0.25">
      <c r="A1576" t="e">
        <f>-LqejXYXFTnDbZwLY_n9</f>
        <v>#NAME?</v>
      </c>
      <c r="B1576">
        <v>393.75</v>
      </c>
      <c r="C1576">
        <v>20.584240000000001</v>
      </c>
      <c r="D1576">
        <v>38</v>
      </c>
      <c r="E1576">
        <v>0</v>
      </c>
      <c r="F1576">
        <v>0</v>
      </c>
      <c r="G1576">
        <v>94</v>
      </c>
      <c r="H1576" s="4">
        <v>1570527650745</v>
      </c>
      <c r="I1576">
        <v>526.6875</v>
      </c>
      <c r="J1576" s="9">
        <f t="shared" si="24"/>
        <v>43746.695031770832</v>
      </c>
      <c r="K1576" s="1"/>
    </row>
    <row r="1577" spans="1:11" x14ac:dyDescent="0.25">
      <c r="A1577" t="e">
        <f>-LqejZHi0wtGRsrfVrN6</f>
        <v>#NAME?</v>
      </c>
      <c r="B1577">
        <v>393.75</v>
      </c>
      <c r="C1577">
        <v>20.584240000000001</v>
      </c>
      <c r="D1577">
        <v>37</v>
      </c>
      <c r="E1577">
        <v>0</v>
      </c>
      <c r="F1577">
        <v>0</v>
      </c>
      <c r="G1577">
        <v>103</v>
      </c>
      <c r="H1577" s="4">
        <v>1570527657976</v>
      </c>
      <c r="I1577">
        <v>526.6875</v>
      </c>
      <c r="J1577" s="9">
        <f t="shared" si="24"/>
        <v>43746.695115462957</v>
      </c>
      <c r="K1577" s="1"/>
    </row>
    <row r="1578" spans="1:11" x14ac:dyDescent="0.25">
      <c r="A1578" t="e">
        <f>-Lqeja05P-eOYH7OwOxV</f>
        <v>#NAME?</v>
      </c>
      <c r="B1578">
        <v>393.75</v>
      </c>
      <c r="C1578">
        <v>20.584240000000001</v>
      </c>
      <c r="D1578">
        <v>38</v>
      </c>
      <c r="E1578">
        <v>0</v>
      </c>
      <c r="F1578">
        <v>0</v>
      </c>
      <c r="G1578">
        <v>95</v>
      </c>
      <c r="H1578" s="4">
        <v>1570527665165</v>
      </c>
      <c r="I1578">
        <v>526.6875</v>
      </c>
      <c r="J1578" s="9">
        <f t="shared" si="24"/>
        <v>43746.695198668975</v>
      </c>
      <c r="K1578" s="1"/>
    </row>
    <row r="1579" spans="1:11" x14ac:dyDescent="0.25">
      <c r="A1579" t="s">
        <v>89</v>
      </c>
      <c r="B1579">
        <v>393.75</v>
      </c>
      <c r="C1579">
        <v>20.584240000000001</v>
      </c>
      <c r="D1579">
        <v>38</v>
      </c>
      <c r="E1579">
        <v>0</v>
      </c>
      <c r="F1579">
        <v>0</v>
      </c>
      <c r="G1579">
        <v>95</v>
      </c>
      <c r="H1579" s="4">
        <v>1570527671344</v>
      </c>
      <c r="I1579">
        <v>526.5</v>
      </c>
      <c r="J1579" s="9">
        <f t="shared" si="24"/>
        <v>43746.695270185184</v>
      </c>
      <c r="K1579" s="1"/>
    </row>
    <row r="1580" spans="1:11" x14ac:dyDescent="0.25">
      <c r="A1580" t="e">
        <f>-Lqejd2bevz1FEalb93q</f>
        <v>#NAME?</v>
      </c>
      <c r="B1580">
        <v>393.75</v>
      </c>
      <c r="C1580">
        <v>20.584240000000001</v>
      </c>
      <c r="D1580">
        <v>37</v>
      </c>
      <c r="E1580">
        <v>0</v>
      </c>
      <c r="F1580">
        <v>0</v>
      </c>
      <c r="G1580">
        <v>92</v>
      </c>
      <c r="H1580" s="4">
        <v>1570527677506</v>
      </c>
      <c r="I1580">
        <v>526.6875</v>
      </c>
      <c r="J1580" s="9">
        <f t="shared" si="24"/>
        <v>43746.695341504623</v>
      </c>
      <c r="K1580" s="1"/>
    </row>
    <row r="1581" spans="1:11" x14ac:dyDescent="0.25">
      <c r="A1581" t="e">
        <f>-Lqejeuo7nAM1wuuezkh</f>
        <v>#NAME?</v>
      </c>
      <c r="B1581">
        <v>412.5</v>
      </c>
      <c r="C1581">
        <v>20.531590000000001</v>
      </c>
      <c r="D1581">
        <v>37</v>
      </c>
      <c r="E1581">
        <v>0</v>
      </c>
      <c r="F1581">
        <v>0</v>
      </c>
      <c r="G1581">
        <v>99</v>
      </c>
      <c r="H1581" s="4">
        <v>1570527684987</v>
      </c>
      <c r="I1581">
        <v>532.6875</v>
      </c>
      <c r="J1581" s="9">
        <f t="shared" si="24"/>
        <v>43746.695428090279</v>
      </c>
      <c r="K1581" s="1"/>
    </row>
    <row r="1582" spans="1:11" x14ac:dyDescent="0.25">
      <c r="A1582" t="e">
        <f>-LqejgZk0tvwTbDZzFJF</f>
        <v>#NAME?</v>
      </c>
      <c r="B1582">
        <v>393.75</v>
      </c>
      <c r="C1582">
        <v>20.584240000000001</v>
      </c>
      <c r="D1582">
        <v>34</v>
      </c>
      <c r="E1582">
        <v>0</v>
      </c>
      <c r="F1582">
        <v>0</v>
      </c>
      <c r="G1582">
        <v>96</v>
      </c>
      <c r="H1582" s="4">
        <v>1570527691966</v>
      </c>
      <c r="I1582">
        <v>526.6875</v>
      </c>
      <c r="J1582" s="9">
        <f t="shared" si="24"/>
        <v>43746.695508865734</v>
      </c>
      <c r="K1582" s="1"/>
    </row>
    <row r="1583" spans="1:11" x14ac:dyDescent="0.25">
      <c r="A1583" t="e">
        <f>-Lqeji6dJ1Bjw3w8uO2g</f>
        <v>#NAME?</v>
      </c>
      <c r="B1583">
        <v>393.75</v>
      </c>
      <c r="C1583">
        <v>20.584240000000001</v>
      </c>
      <c r="D1583">
        <v>36</v>
      </c>
      <c r="E1583">
        <v>0</v>
      </c>
      <c r="F1583">
        <v>0</v>
      </c>
      <c r="G1583">
        <v>91</v>
      </c>
      <c r="H1583" s="4">
        <v>1570527698136</v>
      </c>
      <c r="I1583">
        <v>526.6875</v>
      </c>
      <c r="J1583" s="9">
        <f t="shared" si="24"/>
        <v>43746.695580277774</v>
      </c>
      <c r="K1583" s="1"/>
    </row>
    <row r="1584" spans="1:11" x14ac:dyDescent="0.25">
      <c r="A1584" t="e">
        <f>-LqejjpgKAIhnWrpgDy_</f>
        <v>#NAME?</v>
      </c>
      <c r="B1584">
        <v>393.75</v>
      </c>
      <c r="C1584">
        <v>20.584240000000001</v>
      </c>
      <c r="D1584">
        <v>36</v>
      </c>
      <c r="E1584">
        <v>0</v>
      </c>
      <c r="F1584">
        <v>0</v>
      </c>
      <c r="G1584">
        <v>97</v>
      </c>
      <c r="H1584" s="4">
        <v>1570527705334</v>
      </c>
      <c r="I1584">
        <v>526.6875</v>
      </c>
      <c r="J1584" s="9">
        <f t="shared" si="24"/>
        <v>43746.695663587961</v>
      </c>
      <c r="K1584" s="1"/>
    </row>
    <row r="1585" spans="1:11" x14ac:dyDescent="0.25">
      <c r="A1585" t="e">
        <f>-LqejldsVa4DOx2CEVS3</f>
        <v>#NAME?</v>
      </c>
      <c r="B1585">
        <v>393.75</v>
      </c>
      <c r="C1585">
        <v>20.584240000000001</v>
      </c>
      <c r="D1585">
        <v>36</v>
      </c>
      <c r="E1585">
        <v>0</v>
      </c>
      <c r="F1585">
        <v>0</v>
      </c>
      <c r="G1585">
        <v>95</v>
      </c>
      <c r="H1585" s="4">
        <v>1570527712554</v>
      </c>
      <c r="I1585">
        <v>526.6875</v>
      </c>
      <c r="J1585" s="9">
        <f t="shared" si="24"/>
        <v>43746.695747152778</v>
      </c>
      <c r="K1585" s="1"/>
    </row>
    <row r="1586" spans="1:11" x14ac:dyDescent="0.25">
      <c r="A1586" t="e">
        <f>-LqejnLcJ9p1SMbby5qv</f>
        <v>#NAME?</v>
      </c>
      <c r="B1586">
        <v>412.5</v>
      </c>
      <c r="C1586">
        <v>20.531590000000001</v>
      </c>
      <c r="D1586">
        <v>36</v>
      </c>
      <c r="E1586">
        <v>0</v>
      </c>
      <c r="F1586">
        <v>0</v>
      </c>
      <c r="G1586">
        <v>95</v>
      </c>
      <c r="H1586" s="4">
        <v>1570527719736</v>
      </c>
      <c r="I1586">
        <v>532.6875</v>
      </c>
      <c r="J1586" s="9">
        <f t="shared" si="24"/>
        <v>43746.695830277771</v>
      </c>
      <c r="K1586" s="1"/>
    </row>
    <row r="1587" spans="1:11" x14ac:dyDescent="0.25">
      <c r="A1587" t="e">
        <f>-LqejovkfF27--pnkhb2</f>
        <v>#NAME?</v>
      </c>
      <c r="B1587">
        <v>393.75</v>
      </c>
      <c r="C1587">
        <v>20.584240000000001</v>
      </c>
      <c r="D1587">
        <v>36</v>
      </c>
      <c r="E1587">
        <v>0</v>
      </c>
      <c r="F1587">
        <v>0</v>
      </c>
      <c r="G1587">
        <v>96</v>
      </c>
      <c r="H1587" s="4">
        <v>1570527725926</v>
      </c>
      <c r="I1587">
        <v>526.6875</v>
      </c>
      <c r="J1587" s="9">
        <f t="shared" si="24"/>
        <v>43746.695901921295</v>
      </c>
      <c r="K1587" s="1"/>
    </row>
    <row r="1588" spans="1:11" x14ac:dyDescent="0.25">
      <c r="A1588" t="e">
        <f>-LqejqdsiLsTUSJnYIwU</f>
        <v>#NAME?</v>
      </c>
      <c r="B1588">
        <v>393.75</v>
      </c>
      <c r="C1588">
        <v>20.531590000000001</v>
      </c>
      <c r="D1588">
        <v>38</v>
      </c>
      <c r="E1588">
        <v>0</v>
      </c>
      <c r="F1588">
        <v>0</v>
      </c>
      <c r="G1588">
        <v>91</v>
      </c>
      <c r="H1588" s="4">
        <v>1570527733175</v>
      </c>
      <c r="I1588">
        <v>526.6875</v>
      </c>
      <c r="J1588" s="9">
        <f t="shared" si="24"/>
        <v>43746.695985821752</v>
      </c>
      <c r="K1588" s="1"/>
    </row>
    <row r="1589" spans="1:11" x14ac:dyDescent="0.25">
      <c r="A1589" t="e">
        <f>-LqejsRmDlGH_kZLrVHs</f>
        <v>#NAME?</v>
      </c>
      <c r="B1589">
        <v>393.75</v>
      </c>
      <c r="C1589">
        <v>20.531590000000001</v>
      </c>
      <c r="D1589">
        <v>37</v>
      </c>
      <c r="E1589">
        <v>0</v>
      </c>
      <c r="F1589">
        <v>0</v>
      </c>
      <c r="G1589">
        <v>88</v>
      </c>
      <c r="H1589" s="4">
        <v>1570527740512</v>
      </c>
      <c r="I1589">
        <v>526.6875</v>
      </c>
      <c r="J1589" s="9">
        <f t="shared" si="24"/>
        <v>43746.696070740734</v>
      </c>
      <c r="K1589" s="1"/>
    </row>
    <row r="1590" spans="1:11" x14ac:dyDescent="0.25">
      <c r="A1590" t="e">
        <f>-Lqeju9jr2ZHroPdzsYg</f>
        <v>#NAME?</v>
      </c>
      <c r="B1590">
        <v>393.75</v>
      </c>
      <c r="C1590">
        <v>20.584240000000001</v>
      </c>
      <c r="D1590">
        <v>38</v>
      </c>
      <c r="E1590">
        <v>0</v>
      </c>
      <c r="F1590">
        <v>0</v>
      </c>
      <c r="G1590">
        <v>92</v>
      </c>
      <c r="H1590" s="4">
        <v>1570527747584</v>
      </c>
      <c r="I1590">
        <v>526.6875</v>
      </c>
      <c r="J1590" s="9">
        <f t="shared" si="24"/>
        <v>43746.696152592594</v>
      </c>
      <c r="K1590" s="1"/>
    </row>
    <row r="1591" spans="1:11" x14ac:dyDescent="0.25">
      <c r="A1591" t="e">
        <f>-LqejvxiUOroLktYs-SK</f>
        <v>#NAME?</v>
      </c>
      <c r="B1591">
        <v>393.75</v>
      </c>
      <c r="C1591">
        <v>20.531590000000001</v>
      </c>
      <c r="D1591">
        <v>38</v>
      </c>
      <c r="E1591">
        <v>0</v>
      </c>
      <c r="F1591">
        <v>0</v>
      </c>
      <c r="G1591">
        <v>92</v>
      </c>
      <c r="H1591" s="4">
        <v>1570527754795</v>
      </c>
      <c r="I1591">
        <v>526.6875</v>
      </c>
      <c r="J1591" s="9">
        <f t="shared" si="24"/>
        <v>43746.696236053242</v>
      </c>
      <c r="K1591" s="1"/>
    </row>
    <row r="1592" spans="1:11" x14ac:dyDescent="0.25">
      <c r="A1592" t="e">
        <f>-LqejxeXI28n2-iRdzVY</f>
        <v>#NAME?</v>
      </c>
      <c r="B1592">
        <v>393.75</v>
      </c>
      <c r="C1592">
        <v>20.584240000000001</v>
      </c>
      <c r="D1592">
        <v>37</v>
      </c>
      <c r="E1592">
        <v>0</v>
      </c>
      <c r="F1592">
        <v>0</v>
      </c>
      <c r="G1592">
        <v>99</v>
      </c>
      <c r="H1592" s="4">
        <v>1570527761975</v>
      </c>
      <c r="I1592">
        <v>526.6875</v>
      </c>
      <c r="J1592" s="9">
        <f t="shared" si="24"/>
        <v>43746.696319155089</v>
      </c>
      <c r="K1592" s="1"/>
    </row>
    <row r="1593" spans="1:11" x14ac:dyDescent="0.25">
      <c r="A1593" t="e">
        <f>-LqejzYaq0fGUd2KW6Fw</f>
        <v>#NAME?</v>
      </c>
      <c r="B1593">
        <v>393.75</v>
      </c>
      <c r="C1593">
        <v>20.584240000000001</v>
      </c>
      <c r="D1593">
        <v>37</v>
      </c>
      <c r="E1593">
        <v>0</v>
      </c>
      <c r="F1593">
        <v>0</v>
      </c>
      <c r="G1593">
        <v>98</v>
      </c>
      <c r="H1593" s="4">
        <v>1570527768185</v>
      </c>
      <c r="I1593">
        <v>526.6875</v>
      </c>
      <c r="J1593" s="9">
        <f t="shared" si="24"/>
        <v>43746.696391030091</v>
      </c>
      <c r="K1593" s="1"/>
    </row>
    <row r="1594" spans="1:11" x14ac:dyDescent="0.25">
      <c r="A1594" t="s">
        <v>90</v>
      </c>
      <c r="B1594">
        <v>393.75</v>
      </c>
      <c r="C1594">
        <v>20.584240000000001</v>
      </c>
      <c r="D1594">
        <v>39</v>
      </c>
      <c r="E1594">
        <v>0</v>
      </c>
      <c r="F1594">
        <v>0</v>
      </c>
      <c r="G1594">
        <v>96</v>
      </c>
      <c r="H1594" s="4">
        <v>1570527776444</v>
      </c>
      <c r="I1594">
        <v>526.6875</v>
      </c>
      <c r="J1594" s="9">
        <f t="shared" si="24"/>
        <v>43746.696486620371</v>
      </c>
      <c r="K1594" s="1"/>
    </row>
    <row r="1595" spans="1:11" x14ac:dyDescent="0.25">
      <c r="A1595" t="e">
        <f>-Lqek1kjqbaFB2aYH19s</f>
        <v>#NAME?</v>
      </c>
      <c r="B1595">
        <v>393.75</v>
      </c>
      <c r="C1595">
        <v>20.531590000000001</v>
      </c>
      <c r="D1595">
        <v>39</v>
      </c>
      <c r="E1595">
        <v>0</v>
      </c>
      <c r="F1595">
        <v>0</v>
      </c>
      <c r="G1595">
        <v>91</v>
      </c>
      <c r="H1595" s="4">
        <v>1570527782615</v>
      </c>
      <c r="I1595">
        <v>526.6875</v>
      </c>
      <c r="J1595" s="9">
        <f t="shared" si="24"/>
        <v>43746.696558043979</v>
      </c>
      <c r="K1595" s="1"/>
    </row>
    <row r="1596" spans="1:11" x14ac:dyDescent="0.25">
      <c r="A1596" t="e">
        <f>-Lqek3TkA5qVxJzf5L_F</f>
        <v>#NAME?</v>
      </c>
      <c r="B1596">
        <v>393.75</v>
      </c>
      <c r="C1596">
        <v>20.531590000000001</v>
      </c>
      <c r="D1596">
        <v>38</v>
      </c>
      <c r="E1596">
        <v>0</v>
      </c>
      <c r="F1596">
        <v>0</v>
      </c>
      <c r="G1596">
        <v>95</v>
      </c>
      <c r="H1596" s="4">
        <v>1570527789814</v>
      </c>
      <c r="I1596">
        <v>526.6875</v>
      </c>
      <c r="J1596" s="9">
        <f t="shared" si="24"/>
        <v>43746.696641365743</v>
      </c>
      <c r="K1596" s="1"/>
    </row>
    <row r="1597" spans="1:11" x14ac:dyDescent="0.25">
      <c r="A1597" t="e">
        <f>-Lqek5SIIhlILITy97ci</f>
        <v>#NAME?</v>
      </c>
      <c r="B1597">
        <v>393.75</v>
      </c>
      <c r="C1597">
        <v>20.584240000000001</v>
      </c>
      <c r="D1597">
        <v>37</v>
      </c>
      <c r="E1597">
        <v>0</v>
      </c>
      <c r="F1597">
        <v>0</v>
      </c>
      <c r="G1597">
        <v>96</v>
      </c>
      <c r="H1597" s="4">
        <v>1570527797036</v>
      </c>
      <c r="I1597">
        <v>526.6875</v>
      </c>
      <c r="J1597" s="9">
        <f t="shared" si="24"/>
        <v>43746.696724953705</v>
      </c>
      <c r="K1597" s="1"/>
    </row>
    <row r="1598" spans="1:11" x14ac:dyDescent="0.25">
      <c r="A1598" t="e">
        <f>-Lqek6ztPlOqTtMVhgLB</f>
        <v>#NAME?</v>
      </c>
      <c r="B1598">
        <v>393.75</v>
      </c>
      <c r="C1598">
        <v>20.584240000000001</v>
      </c>
      <c r="D1598">
        <v>37</v>
      </c>
      <c r="E1598">
        <v>0</v>
      </c>
      <c r="F1598">
        <v>0</v>
      </c>
      <c r="G1598">
        <v>100</v>
      </c>
      <c r="H1598" s="4">
        <v>1570527804216</v>
      </c>
      <c r="I1598">
        <v>526.6875</v>
      </c>
      <c r="J1598" s="9">
        <f t="shared" si="24"/>
        <v>43746.696808055553</v>
      </c>
      <c r="K1598" s="1"/>
    </row>
    <row r="1599" spans="1:11" x14ac:dyDescent="0.25">
      <c r="A1599" t="e">
        <f>-Lqek8YjzifkiKxLoJTW</f>
        <v>#NAME?</v>
      </c>
      <c r="B1599">
        <v>393.75</v>
      </c>
      <c r="C1599">
        <v>20.584240000000001</v>
      </c>
      <c r="D1599">
        <v>37</v>
      </c>
      <c r="E1599">
        <v>0</v>
      </c>
      <c r="F1599">
        <v>0</v>
      </c>
      <c r="G1599">
        <v>97</v>
      </c>
      <c r="H1599" s="4">
        <v>1570527810414</v>
      </c>
      <c r="I1599">
        <v>526.5</v>
      </c>
      <c r="J1599" s="9">
        <f t="shared" si="24"/>
        <v>43746.696879791663</v>
      </c>
      <c r="K1599" s="1"/>
    </row>
    <row r="1600" spans="1:11" x14ac:dyDescent="0.25">
      <c r="A1600" t="e">
        <f>-LqekAGt5HWfhXis_NxB</f>
        <v>#NAME?</v>
      </c>
      <c r="B1600">
        <v>393.75</v>
      </c>
      <c r="C1600">
        <v>20.531590000000001</v>
      </c>
      <c r="D1600">
        <v>38</v>
      </c>
      <c r="E1600">
        <v>0</v>
      </c>
      <c r="F1600">
        <v>0</v>
      </c>
      <c r="G1600">
        <v>101</v>
      </c>
      <c r="H1600" s="4">
        <v>1570527817654</v>
      </c>
      <c r="I1600">
        <v>526.6875</v>
      </c>
      <c r="J1600" s="9">
        <f t="shared" si="24"/>
        <v>43746.696963587958</v>
      </c>
      <c r="K1600" s="1"/>
    </row>
    <row r="1601" spans="1:11" x14ac:dyDescent="0.25">
      <c r="A1601" t="e">
        <f>-LqekC3lN4RnIOZr5KqB</f>
        <v>#NAME?</v>
      </c>
      <c r="B1601">
        <v>393.75</v>
      </c>
      <c r="C1601">
        <v>20.531590000000001</v>
      </c>
      <c r="D1601">
        <v>38</v>
      </c>
      <c r="E1601">
        <v>0</v>
      </c>
      <c r="F1601">
        <v>0</v>
      </c>
      <c r="G1601">
        <v>101</v>
      </c>
      <c r="H1601" s="4">
        <v>1570527824845</v>
      </c>
      <c r="I1601">
        <v>526.6875</v>
      </c>
      <c r="J1601" s="9">
        <f t="shared" si="24"/>
        <v>43746.697046817128</v>
      </c>
      <c r="K1601" s="1"/>
    </row>
    <row r="1602" spans="1:11" x14ac:dyDescent="0.25">
      <c r="A1602" t="e">
        <f>-LqekDmkUmA-fGMDYQJG</f>
        <v>#NAME?</v>
      </c>
      <c r="B1602">
        <v>393.75</v>
      </c>
      <c r="C1602">
        <v>20.531590000000001</v>
      </c>
      <c r="D1602">
        <v>38</v>
      </c>
      <c r="E1602">
        <v>0</v>
      </c>
      <c r="F1602">
        <v>0</v>
      </c>
      <c r="G1602">
        <v>98</v>
      </c>
      <c r="H1602" s="4">
        <v>1570527832055</v>
      </c>
      <c r="I1602">
        <v>526.6875</v>
      </c>
      <c r="J1602" s="9">
        <f t="shared" si="24"/>
        <v>43746.697130266206</v>
      </c>
      <c r="K1602" s="1"/>
    </row>
    <row r="1603" spans="1:11" x14ac:dyDescent="0.25">
      <c r="A1603" t="e">
        <f>-LqekF_jBogfU2SxV87L</f>
        <v>#NAME?</v>
      </c>
      <c r="B1603">
        <v>393.75</v>
      </c>
      <c r="C1603">
        <v>20.584240000000001</v>
      </c>
      <c r="D1603">
        <v>38</v>
      </c>
      <c r="E1603">
        <v>0</v>
      </c>
      <c r="F1603">
        <v>0</v>
      </c>
      <c r="G1603">
        <v>106</v>
      </c>
      <c r="H1603" s="4">
        <v>1570527839266</v>
      </c>
      <c r="I1603">
        <v>526.6875</v>
      </c>
      <c r="J1603" s="9">
        <f t="shared" ref="J1603:J1666" si="25">(H1603/86400000)+25569+(7/24)</f>
        <v>43746.697213726853</v>
      </c>
      <c r="K1603" s="1"/>
    </row>
    <row r="1604" spans="1:11" x14ac:dyDescent="0.25">
      <c r="A1604" t="e">
        <f>-LqekHIjrpxLuwxJVfX_</f>
        <v>#NAME?</v>
      </c>
      <c r="B1604">
        <v>393.75</v>
      </c>
      <c r="C1604">
        <v>20.584240000000001</v>
      </c>
      <c r="D1604">
        <v>38</v>
      </c>
      <c r="E1604">
        <v>0</v>
      </c>
      <c r="F1604">
        <v>0</v>
      </c>
      <c r="G1604">
        <v>102</v>
      </c>
      <c r="H1604" s="4">
        <v>1570527846453</v>
      </c>
      <c r="I1604">
        <v>526.6875</v>
      </c>
      <c r="J1604" s="9">
        <f t="shared" si="25"/>
        <v>43746.697296909719</v>
      </c>
      <c r="K1604" s="1"/>
    </row>
    <row r="1605" spans="1:11" x14ac:dyDescent="0.25">
      <c r="A1605" t="e">
        <f>-LqekIritCAvH2kQTHCC</f>
        <v>#NAME?</v>
      </c>
      <c r="B1605">
        <v>393.75</v>
      </c>
      <c r="C1605">
        <v>20.584240000000001</v>
      </c>
      <c r="D1605">
        <v>38</v>
      </c>
      <c r="E1605">
        <v>0</v>
      </c>
      <c r="F1605">
        <v>0</v>
      </c>
      <c r="G1605">
        <v>96</v>
      </c>
      <c r="H1605" s="4">
        <v>1570527852644</v>
      </c>
      <c r="I1605">
        <v>526.5</v>
      </c>
      <c r="J1605" s="9">
        <f t="shared" si="25"/>
        <v>43746.697368564812</v>
      </c>
      <c r="K1605" s="1"/>
    </row>
    <row r="1606" spans="1:11" x14ac:dyDescent="0.25">
      <c r="A1606" t="e">
        <f>-LqekKojFX2mLKFLIvJB</f>
        <v>#NAME?</v>
      </c>
      <c r="B1606">
        <v>393.75</v>
      </c>
      <c r="C1606">
        <v>20.584240000000001</v>
      </c>
      <c r="D1606">
        <v>38</v>
      </c>
      <c r="E1606">
        <v>0</v>
      </c>
      <c r="F1606">
        <v>0</v>
      </c>
      <c r="G1606">
        <v>98</v>
      </c>
      <c r="H1606" s="4">
        <v>1570527860891</v>
      </c>
      <c r="I1606">
        <v>526.6875</v>
      </c>
      <c r="J1606" s="9">
        <f t="shared" si="25"/>
        <v>43746.697464016201</v>
      </c>
      <c r="K1606" s="1"/>
    </row>
    <row r="1607" spans="1:11" x14ac:dyDescent="0.25">
      <c r="A1607" t="e">
        <f>-LqekMNkjJnF4IRgJX7C</f>
        <v>#NAME?</v>
      </c>
      <c r="B1607">
        <v>393.75</v>
      </c>
      <c r="C1607">
        <v>20.584240000000001</v>
      </c>
      <c r="D1607">
        <v>38</v>
      </c>
      <c r="E1607">
        <v>0</v>
      </c>
      <c r="F1607">
        <v>0</v>
      </c>
      <c r="G1607">
        <v>95</v>
      </c>
      <c r="H1607" s="4">
        <v>1570527867063</v>
      </c>
      <c r="I1607">
        <v>526.6875</v>
      </c>
      <c r="J1607" s="9">
        <f t="shared" si="25"/>
        <v>43746.697535451385</v>
      </c>
      <c r="K1607" s="1"/>
    </row>
    <row r="1608" spans="1:11" x14ac:dyDescent="0.25">
      <c r="A1608" t="e">
        <f>-LqekOAj2p8fTkOU3qth</f>
        <v>#NAME?</v>
      </c>
      <c r="B1608">
        <v>393.75</v>
      </c>
      <c r="C1608">
        <v>20.531590000000001</v>
      </c>
      <c r="D1608">
        <v>40</v>
      </c>
      <c r="E1608">
        <v>0</v>
      </c>
      <c r="F1608">
        <v>0</v>
      </c>
      <c r="G1608">
        <v>90</v>
      </c>
      <c r="H1608" s="4">
        <v>1570527874294</v>
      </c>
      <c r="I1608">
        <v>526.6875</v>
      </c>
      <c r="J1608" s="9">
        <f t="shared" si="25"/>
        <v>43746.697619143517</v>
      </c>
      <c r="K1608" s="1"/>
    </row>
    <row r="1609" spans="1:11" x14ac:dyDescent="0.25">
      <c r="A1609" t="s">
        <v>91</v>
      </c>
      <c r="B1609">
        <v>393.75</v>
      </c>
      <c r="C1609">
        <v>20.584240000000001</v>
      </c>
      <c r="D1609">
        <v>40</v>
      </c>
      <c r="E1609">
        <v>0</v>
      </c>
      <c r="F1609">
        <v>0</v>
      </c>
      <c r="G1609">
        <v>96</v>
      </c>
      <c r="H1609" s="4">
        <v>1570527881515</v>
      </c>
      <c r="I1609">
        <v>526.6875</v>
      </c>
      <c r="J1609" s="9">
        <f t="shared" si="25"/>
        <v>43746.69770271991</v>
      </c>
      <c r="K1609" s="1"/>
    </row>
    <row r="1610" spans="1:11" x14ac:dyDescent="0.25">
      <c r="A1610" t="e">
        <f>-LqekRbifRkYlo_OV9t6</f>
        <v>#NAME?</v>
      </c>
      <c r="B1610">
        <v>393.75</v>
      </c>
      <c r="C1610">
        <v>20.584240000000001</v>
      </c>
      <c r="D1610">
        <v>39</v>
      </c>
      <c r="E1610">
        <v>0</v>
      </c>
      <c r="F1610">
        <v>0</v>
      </c>
      <c r="G1610">
        <v>101</v>
      </c>
      <c r="H1610" s="4">
        <v>1570527888705</v>
      </c>
      <c r="I1610">
        <v>526.6875</v>
      </c>
      <c r="J1610" s="9">
        <f t="shared" si="25"/>
        <v>43746.697785937497</v>
      </c>
      <c r="K1610" s="1"/>
    </row>
    <row r="1611" spans="1:11" x14ac:dyDescent="0.25">
      <c r="A1611" t="e">
        <f>-LqekTAlshEED8XaHLD3</f>
        <v>#NAME?</v>
      </c>
      <c r="B1611">
        <v>412.5</v>
      </c>
      <c r="C1611">
        <v>20.584240000000001</v>
      </c>
      <c r="D1611">
        <v>39</v>
      </c>
      <c r="E1611">
        <v>0</v>
      </c>
      <c r="F1611">
        <v>0</v>
      </c>
      <c r="G1611">
        <v>94</v>
      </c>
      <c r="H1611" s="4">
        <v>1570527894894</v>
      </c>
      <c r="I1611">
        <v>532.3125</v>
      </c>
      <c r="J1611" s="9">
        <f t="shared" si="25"/>
        <v>43746.697857569445</v>
      </c>
      <c r="K1611" s="1"/>
    </row>
    <row r="1612" spans="1:11" x14ac:dyDescent="0.25">
      <c r="A1612" t="e">
        <f>-LqekUthjYVLS6C2FILX</f>
        <v>#NAME?</v>
      </c>
      <c r="B1612">
        <v>393.75</v>
      </c>
      <c r="C1612">
        <v>20.531590000000001</v>
      </c>
      <c r="D1612">
        <v>39</v>
      </c>
      <c r="E1612">
        <v>0</v>
      </c>
      <c r="F1612">
        <v>0</v>
      </c>
      <c r="G1612">
        <v>99</v>
      </c>
      <c r="H1612" s="4">
        <v>1570527902134</v>
      </c>
      <c r="I1612">
        <v>526.6875</v>
      </c>
      <c r="J1612" s="9">
        <f t="shared" si="25"/>
        <v>43746.697941365739</v>
      </c>
      <c r="K1612" s="1"/>
    </row>
    <row r="1613" spans="1:11" x14ac:dyDescent="0.25">
      <c r="A1613" t="e">
        <f>-LqekWgsgVeZnfjNp4UH</f>
        <v>#NAME?</v>
      </c>
      <c r="B1613">
        <v>393.75</v>
      </c>
      <c r="C1613">
        <v>20.531590000000001</v>
      </c>
      <c r="D1613">
        <v>39</v>
      </c>
      <c r="E1613">
        <v>0</v>
      </c>
      <c r="F1613">
        <v>0</v>
      </c>
      <c r="G1613">
        <v>98</v>
      </c>
      <c r="H1613" s="4">
        <v>1570527909335</v>
      </c>
      <c r="I1613">
        <v>526.6875</v>
      </c>
      <c r="J1613" s="9">
        <f t="shared" si="25"/>
        <v>43746.698024710648</v>
      </c>
      <c r="K1613" s="1"/>
    </row>
    <row r="1614" spans="1:11" x14ac:dyDescent="0.25">
      <c r="A1614" t="e">
        <f>-LqekYPsH8am1BxH8JEX</f>
        <v>#NAME?</v>
      </c>
      <c r="B1614">
        <v>393.75</v>
      </c>
      <c r="C1614">
        <v>20.584240000000001</v>
      </c>
      <c r="D1614">
        <v>39</v>
      </c>
      <c r="E1614">
        <v>0</v>
      </c>
      <c r="F1614">
        <v>0</v>
      </c>
      <c r="G1614">
        <v>100</v>
      </c>
      <c r="H1614" s="4">
        <v>1570527916536</v>
      </c>
      <c r="I1614">
        <v>526.6875</v>
      </c>
      <c r="J1614" s="9">
        <f t="shared" si="25"/>
        <v>43746.698108055549</v>
      </c>
      <c r="K1614" s="1"/>
    </row>
    <row r="1615" spans="1:11" x14ac:dyDescent="0.25">
      <c r="A1615" t="e">
        <f>-Lqek_CifT_5xLD_zGen</f>
        <v>#NAME?</v>
      </c>
      <c r="B1615">
        <v>393.75</v>
      </c>
      <c r="C1615">
        <v>20.584240000000001</v>
      </c>
      <c r="D1615">
        <v>39</v>
      </c>
      <c r="E1615">
        <v>0</v>
      </c>
      <c r="F1615">
        <v>0</v>
      </c>
      <c r="G1615">
        <v>97</v>
      </c>
      <c r="H1615" s="4">
        <v>1570527923754</v>
      </c>
      <c r="I1615">
        <v>526.6875</v>
      </c>
      <c r="J1615" s="9">
        <f t="shared" si="25"/>
        <v>43746.698191597221</v>
      </c>
      <c r="K1615" s="1"/>
    </row>
    <row r="1616" spans="1:11" x14ac:dyDescent="0.25">
      <c r="A1616" t="e">
        <f>-Lqekavj0517eeBM4GcM</f>
        <v>#NAME?</v>
      </c>
      <c r="B1616">
        <v>412.5</v>
      </c>
      <c r="C1616">
        <v>20.584240000000001</v>
      </c>
      <c r="D1616">
        <v>40</v>
      </c>
      <c r="E1616">
        <v>0</v>
      </c>
      <c r="F1616">
        <v>0</v>
      </c>
      <c r="G1616">
        <v>102</v>
      </c>
      <c r="H1616" s="4">
        <v>1570527930945</v>
      </c>
      <c r="I1616">
        <v>532.3125</v>
      </c>
      <c r="J1616" s="9">
        <f t="shared" si="25"/>
        <v>43746.698274826391</v>
      </c>
      <c r="K1616" s="1"/>
    </row>
    <row r="1617" spans="1:11" x14ac:dyDescent="0.25">
      <c r="A1617" t="e">
        <f>-LqekciiT2CSdorm133L</f>
        <v>#NAME?</v>
      </c>
      <c r="B1617">
        <v>393.75</v>
      </c>
      <c r="C1617">
        <v>20.531590000000001</v>
      </c>
      <c r="D1617">
        <v>38</v>
      </c>
      <c r="E1617">
        <v>0</v>
      </c>
      <c r="F1617">
        <v>0</v>
      </c>
      <c r="G1617">
        <v>112</v>
      </c>
      <c r="H1617" s="4">
        <v>1570527938185</v>
      </c>
      <c r="I1617">
        <v>526.6875</v>
      </c>
      <c r="J1617" s="9">
        <f t="shared" si="25"/>
        <v>43746.698358622678</v>
      </c>
      <c r="K1617" s="1"/>
    </row>
    <row r="1618" spans="1:11" x14ac:dyDescent="0.25">
      <c r="A1618" t="e">
        <f>-LqekeRjMZJjdqgj4pfC</f>
        <v>#NAME?</v>
      </c>
      <c r="B1618">
        <v>393.75</v>
      </c>
      <c r="C1618">
        <v>20.478950000000001</v>
      </c>
      <c r="D1618">
        <v>37</v>
      </c>
      <c r="E1618">
        <v>0</v>
      </c>
      <c r="F1618">
        <v>0</v>
      </c>
      <c r="G1618">
        <v>100</v>
      </c>
      <c r="H1618" s="4">
        <v>1570527945396</v>
      </c>
      <c r="I1618">
        <v>526.6875</v>
      </c>
      <c r="J1618" s="9">
        <f t="shared" si="25"/>
        <v>43746.698442083332</v>
      </c>
      <c r="K1618" s="1"/>
    </row>
    <row r="1619" spans="1:11" x14ac:dyDescent="0.25">
      <c r="A1619" t="e">
        <f>-Lqekg-wIk7UXGXZXN2d</f>
        <v>#NAME?</v>
      </c>
      <c r="B1619">
        <v>393.75</v>
      </c>
      <c r="C1619">
        <v>20.531590000000001</v>
      </c>
      <c r="D1619">
        <v>37</v>
      </c>
      <c r="E1619">
        <v>0</v>
      </c>
      <c r="F1619">
        <v>0</v>
      </c>
      <c r="G1619">
        <v>97</v>
      </c>
      <c r="H1619" s="4">
        <v>1570527951583</v>
      </c>
      <c r="I1619">
        <v>526.6875</v>
      </c>
      <c r="J1619" s="9">
        <f t="shared" si="25"/>
        <v>43746.698513692128</v>
      </c>
      <c r="K1619" s="1"/>
    </row>
    <row r="1620" spans="1:11" x14ac:dyDescent="0.25">
      <c r="A1620" t="e">
        <f>-LqekhiigOh_4_d_kYWS</f>
        <v>#NAME?</v>
      </c>
      <c r="B1620">
        <v>393.75</v>
      </c>
      <c r="C1620">
        <v>20.584240000000001</v>
      </c>
      <c r="D1620">
        <v>37</v>
      </c>
      <c r="E1620">
        <v>0</v>
      </c>
      <c r="F1620">
        <v>0</v>
      </c>
      <c r="G1620">
        <v>102</v>
      </c>
      <c r="H1620" s="4">
        <v>1570527958774</v>
      </c>
      <c r="I1620">
        <v>526.6875</v>
      </c>
      <c r="J1620" s="9">
        <f t="shared" si="25"/>
        <v>43746.698596921291</v>
      </c>
      <c r="K1620" s="1"/>
    </row>
    <row r="1621" spans="1:11" x14ac:dyDescent="0.25">
      <c r="A1621" t="e">
        <f>-LqekjWmtBVzGXqCtRSr</f>
        <v>#NAME?</v>
      </c>
      <c r="B1621">
        <v>393.75</v>
      </c>
      <c r="C1621">
        <v>20.584240000000001</v>
      </c>
      <c r="D1621">
        <v>41</v>
      </c>
      <c r="E1621">
        <v>0</v>
      </c>
      <c r="F1621">
        <v>0</v>
      </c>
      <c r="G1621">
        <v>98</v>
      </c>
      <c r="H1621" s="4">
        <v>1570527966005</v>
      </c>
      <c r="I1621">
        <v>526.6875</v>
      </c>
      <c r="J1621" s="9">
        <f t="shared" si="25"/>
        <v>43746.698680613423</v>
      </c>
      <c r="K1621" s="1"/>
    </row>
    <row r="1622" spans="1:11" x14ac:dyDescent="0.25">
      <c r="A1622" t="e">
        <f>-LqeklEaoizl-F-AQ3AQ</f>
        <v>#NAME?</v>
      </c>
      <c r="B1622">
        <v>393.75</v>
      </c>
      <c r="C1622">
        <v>20.531590000000001</v>
      </c>
      <c r="D1622">
        <v>39</v>
      </c>
      <c r="E1622">
        <v>0</v>
      </c>
      <c r="F1622">
        <v>0</v>
      </c>
      <c r="G1622">
        <v>104</v>
      </c>
      <c r="H1622" s="4">
        <v>1570527973177</v>
      </c>
      <c r="I1622">
        <v>526.6875</v>
      </c>
      <c r="J1622" s="9">
        <f t="shared" si="25"/>
        <v>43746.698763622684</v>
      </c>
      <c r="K1622" s="1"/>
    </row>
    <row r="1623" spans="1:11" x14ac:dyDescent="0.25">
      <c r="A1623" t="e">
        <f>-Lqekmni51PwexOwQDi7</f>
        <v>#NAME?</v>
      </c>
      <c r="B1623">
        <v>393.75</v>
      </c>
      <c r="C1623">
        <v>20.584240000000001</v>
      </c>
      <c r="D1623">
        <v>39</v>
      </c>
      <c r="E1623">
        <v>0</v>
      </c>
      <c r="F1623">
        <v>0</v>
      </c>
      <c r="G1623">
        <v>99</v>
      </c>
      <c r="H1623" s="4">
        <v>1570527979347</v>
      </c>
      <c r="I1623">
        <v>526.6875</v>
      </c>
      <c r="J1623" s="9">
        <f t="shared" si="25"/>
        <v>43746.698835034716</v>
      </c>
      <c r="K1623" s="1"/>
    </row>
    <row r="1624" spans="1:11" x14ac:dyDescent="0.25">
      <c r="A1624" t="e">
        <f>-LqekoWilE2bDP-kaC_D</f>
        <v>#NAME?</v>
      </c>
      <c r="B1624">
        <v>393.75</v>
      </c>
      <c r="C1624">
        <v>20.584240000000001</v>
      </c>
      <c r="D1624">
        <v>42</v>
      </c>
      <c r="E1624">
        <v>0</v>
      </c>
      <c r="F1624">
        <v>0</v>
      </c>
      <c r="G1624">
        <v>104</v>
      </c>
      <c r="H1624" s="4">
        <v>1570527986615</v>
      </c>
      <c r="I1624">
        <v>526.6875</v>
      </c>
      <c r="J1624" s="9">
        <f t="shared" si="25"/>
        <v>43746.698919155089</v>
      </c>
      <c r="K1624" s="1"/>
    </row>
    <row r="1625" spans="1:11" x14ac:dyDescent="0.25">
      <c r="A1625" t="e">
        <f>-LqekqJt64wgX6X_ekQB</f>
        <v>#NAME?</v>
      </c>
      <c r="B1625">
        <v>393.75</v>
      </c>
      <c r="C1625">
        <v>20.531590000000001</v>
      </c>
      <c r="D1625">
        <v>41</v>
      </c>
      <c r="E1625">
        <v>0</v>
      </c>
      <c r="F1625">
        <v>0</v>
      </c>
      <c r="G1625">
        <v>90</v>
      </c>
      <c r="H1625" s="4">
        <v>1570527993814</v>
      </c>
      <c r="I1625">
        <v>526.5</v>
      </c>
      <c r="J1625" s="9">
        <f t="shared" si="25"/>
        <v>43746.699002476853</v>
      </c>
      <c r="K1625" s="1"/>
    </row>
    <row r="1626" spans="1:11" x14ac:dyDescent="0.25">
      <c r="A1626" t="e">
        <f>-Lqeksn1ANct5a9pi9tY</f>
        <v>#NAME?</v>
      </c>
      <c r="B1626">
        <v>393.75</v>
      </c>
      <c r="C1626">
        <v>20.584240000000001</v>
      </c>
      <c r="D1626">
        <v>40</v>
      </c>
      <c r="E1626">
        <v>0</v>
      </c>
      <c r="F1626">
        <v>0</v>
      </c>
      <c r="G1626">
        <v>104</v>
      </c>
      <c r="H1626" s="4">
        <v>1570528001015</v>
      </c>
      <c r="I1626">
        <v>526.6875</v>
      </c>
      <c r="J1626" s="9">
        <f t="shared" si="25"/>
        <v>43746.699085821754</v>
      </c>
      <c r="K1626" s="1"/>
    </row>
    <row r="1627" spans="1:11" x14ac:dyDescent="0.25">
      <c r="A1627" t="e">
        <f>-LqekuXl_ns0HJBt5Dv7</f>
        <v>#NAME?</v>
      </c>
      <c r="B1627">
        <v>412.5</v>
      </c>
      <c r="C1627">
        <v>20.478950000000001</v>
      </c>
      <c r="D1627">
        <v>40</v>
      </c>
      <c r="E1627">
        <v>0</v>
      </c>
      <c r="F1627">
        <v>0</v>
      </c>
      <c r="G1627">
        <v>101</v>
      </c>
      <c r="H1627" s="4">
        <v>1570528011326</v>
      </c>
      <c r="I1627">
        <v>532.875</v>
      </c>
      <c r="J1627" s="9">
        <f t="shared" si="25"/>
        <v>43746.69920516204</v>
      </c>
      <c r="K1627" s="1"/>
    </row>
    <row r="1628" spans="1:11" x14ac:dyDescent="0.25">
      <c r="A1628" t="e">
        <f>-Lqekw5cZgahQ56OWdap</f>
        <v>#NAME?</v>
      </c>
      <c r="B1628">
        <v>393.75</v>
      </c>
      <c r="C1628">
        <v>20.531590000000001</v>
      </c>
      <c r="D1628">
        <v>39</v>
      </c>
      <c r="E1628">
        <v>0</v>
      </c>
      <c r="F1628">
        <v>0</v>
      </c>
      <c r="G1628">
        <v>100</v>
      </c>
      <c r="H1628" s="4">
        <v>1570528017506</v>
      </c>
      <c r="I1628">
        <v>526.6875</v>
      </c>
      <c r="J1628" s="9">
        <f t="shared" si="25"/>
        <v>43746.699276689811</v>
      </c>
      <c r="K1628" s="1"/>
    </row>
    <row r="1629" spans="1:11" x14ac:dyDescent="0.25">
      <c r="A1629" t="e">
        <f>-LqekxokeDoHwbzNykXA</f>
        <v>#NAME?</v>
      </c>
      <c r="B1629">
        <v>393.75</v>
      </c>
      <c r="C1629">
        <v>20.584240000000001</v>
      </c>
      <c r="D1629">
        <v>39</v>
      </c>
      <c r="E1629">
        <v>0</v>
      </c>
      <c r="F1629">
        <v>0</v>
      </c>
      <c r="G1629">
        <v>106</v>
      </c>
      <c r="H1629" s="4">
        <v>1570528024696</v>
      </c>
      <c r="I1629">
        <v>526.6875</v>
      </c>
      <c r="J1629" s="9">
        <f t="shared" si="25"/>
        <v>43746.699359907405</v>
      </c>
      <c r="K1629" s="1"/>
    </row>
    <row r="1630" spans="1:11" x14ac:dyDescent="0.25">
      <c r="A1630" t="e">
        <f>-LqekzbjfhPVmFVcze0v</f>
        <v>#NAME?</v>
      </c>
      <c r="B1630">
        <v>393.75</v>
      </c>
      <c r="C1630">
        <v>20.584240000000001</v>
      </c>
      <c r="D1630">
        <v>39</v>
      </c>
      <c r="E1630">
        <v>0</v>
      </c>
      <c r="F1630">
        <v>0</v>
      </c>
      <c r="G1630">
        <v>99</v>
      </c>
      <c r="H1630" s="4">
        <v>1570528030897</v>
      </c>
      <c r="I1630">
        <v>526.6875</v>
      </c>
      <c r="J1630" s="9">
        <f t="shared" si="25"/>
        <v>43746.699431678237</v>
      </c>
      <c r="K1630" s="1"/>
    </row>
    <row r="1631" spans="1:11" x14ac:dyDescent="0.25">
      <c r="A1631" t="e">
        <f>-Lqel0KlFaTHxyEpD2I7</f>
        <v>#NAME?</v>
      </c>
      <c r="B1631">
        <v>393.75</v>
      </c>
      <c r="C1631">
        <v>20.584240000000001</v>
      </c>
      <c r="D1631">
        <v>39</v>
      </c>
      <c r="E1631">
        <v>0</v>
      </c>
      <c r="F1631">
        <v>0</v>
      </c>
      <c r="G1631">
        <v>105</v>
      </c>
      <c r="H1631" s="4">
        <v>1570528039106</v>
      </c>
      <c r="I1631">
        <v>526.6875</v>
      </c>
      <c r="J1631" s="9">
        <f t="shared" si="25"/>
        <v>43746.699526689808</v>
      </c>
      <c r="K1631" s="1"/>
    </row>
    <row r="1632" spans="1:11" x14ac:dyDescent="0.25">
      <c r="A1632" t="e">
        <f>-Lqel1t9smmWTdFhV_Hn</f>
        <v>#NAME?</v>
      </c>
      <c r="B1632">
        <v>393.75</v>
      </c>
      <c r="C1632">
        <v>20.531590000000001</v>
      </c>
      <c r="D1632">
        <v>39</v>
      </c>
      <c r="E1632">
        <v>0</v>
      </c>
      <c r="F1632">
        <v>0</v>
      </c>
      <c r="G1632">
        <v>103</v>
      </c>
      <c r="H1632" s="4">
        <v>1570528045285</v>
      </c>
      <c r="I1632">
        <v>526.6875</v>
      </c>
      <c r="J1632" s="9">
        <f t="shared" si="25"/>
        <v>43746.699598206011</v>
      </c>
      <c r="K1632" s="1"/>
    </row>
    <row r="1633" spans="1:11" x14ac:dyDescent="0.25">
      <c r="A1633" t="e">
        <f>-Lqel3bjd8d3auxN5U6Y</f>
        <v>#NAME?</v>
      </c>
      <c r="B1633">
        <v>393.75</v>
      </c>
      <c r="C1633">
        <v>20.531590000000001</v>
      </c>
      <c r="D1633">
        <v>37</v>
      </c>
      <c r="E1633">
        <v>0</v>
      </c>
      <c r="F1633">
        <v>0</v>
      </c>
      <c r="G1633">
        <v>101</v>
      </c>
      <c r="H1633" s="4">
        <v>1570528052536</v>
      </c>
      <c r="I1633">
        <v>526.6875</v>
      </c>
      <c r="J1633" s="9">
        <f t="shared" si="25"/>
        <v>43746.699682129627</v>
      </c>
      <c r="K1633" s="1"/>
    </row>
    <row r="1634" spans="1:11" x14ac:dyDescent="0.25">
      <c r="A1634" t="e">
        <f>-Lqel5AvtXrVLgjh3GHk</f>
        <v>#NAME?</v>
      </c>
      <c r="B1634">
        <v>393.75</v>
      </c>
      <c r="C1634">
        <v>20.531590000000001</v>
      </c>
      <c r="D1634">
        <v>39</v>
      </c>
      <c r="E1634">
        <v>0</v>
      </c>
      <c r="F1634">
        <v>0</v>
      </c>
      <c r="G1634">
        <v>103</v>
      </c>
      <c r="H1634" s="4">
        <v>1570528058707</v>
      </c>
      <c r="I1634">
        <v>526.6875</v>
      </c>
      <c r="J1634" s="9">
        <f t="shared" si="25"/>
        <v>43746.699753553235</v>
      </c>
      <c r="K1634" s="1"/>
    </row>
    <row r="1635" spans="1:11" x14ac:dyDescent="0.25">
      <c r="A1635" t="e">
        <f>-Lqel6tjt4-WTk3RGw9H</f>
        <v>#NAME?</v>
      </c>
      <c r="B1635">
        <v>393.75</v>
      </c>
      <c r="C1635">
        <v>20.531590000000001</v>
      </c>
      <c r="D1635">
        <v>39</v>
      </c>
      <c r="E1635">
        <v>0</v>
      </c>
      <c r="F1635">
        <v>0</v>
      </c>
      <c r="G1635">
        <v>107</v>
      </c>
      <c r="H1635" s="4">
        <v>1570528065927</v>
      </c>
      <c r="I1635">
        <v>526.6875</v>
      </c>
      <c r="J1635" s="9">
        <f t="shared" si="25"/>
        <v>43746.699837118053</v>
      </c>
      <c r="K1635" s="1"/>
    </row>
    <row r="1636" spans="1:11" x14ac:dyDescent="0.25">
      <c r="A1636" t="e">
        <f>-Lqel8gl_LmMZ_9klF7Q</f>
        <v>#NAME?</v>
      </c>
      <c r="B1636">
        <v>393.75</v>
      </c>
      <c r="C1636">
        <v>20.584240000000001</v>
      </c>
      <c r="D1636">
        <v>40</v>
      </c>
      <c r="E1636">
        <v>0</v>
      </c>
      <c r="F1636">
        <v>0</v>
      </c>
      <c r="G1636">
        <v>106</v>
      </c>
      <c r="H1636" s="4">
        <v>1570528073125</v>
      </c>
      <c r="I1636">
        <v>526.6875</v>
      </c>
      <c r="J1636" s="9">
        <f t="shared" si="25"/>
        <v>43746.69992042824</v>
      </c>
      <c r="K1636" s="1"/>
    </row>
    <row r="1637" spans="1:11" x14ac:dyDescent="0.25">
      <c r="A1637" t="e">
        <f>-LqelAPkQNn7sCYF2djj</f>
        <v>#NAME?</v>
      </c>
      <c r="B1637">
        <v>393.75</v>
      </c>
      <c r="C1637">
        <v>20.531590000000001</v>
      </c>
      <c r="D1637">
        <v>38</v>
      </c>
      <c r="E1637">
        <v>0</v>
      </c>
      <c r="F1637">
        <v>0</v>
      </c>
      <c r="G1637">
        <v>104</v>
      </c>
      <c r="H1637" s="4">
        <v>1570528080346</v>
      </c>
      <c r="I1637">
        <v>526.6875</v>
      </c>
      <c r="J1637" s="9">
        <f t="shared" si="25"/>
        <v>43746.700004004626</v>
      </c>
      <c r="K1637" s="1"/>
    </row>
    <row r="1638" spans="1:11" x14ac:dyDescent="0.25">
      <c r="A1638" t="e">
        <f>-LqelCWjYtaKPJozFHM8</f>
        <v>#NAME?</v>
      </c>
      <c r="B1638">
        <v>393.75</v>
      </c>
      <c r="C1638">
        <v>20.584240000000001</v>
      </c>
      <c r="D1638">
        <v>38</v>
      </c>
      <c r="E1638">
        <v>0</v>
      </c>
      <c r="F1638">
        <v>0</v>
      </c>
      <c r="G1638">
        <v>116</v>
      </c>
      <c r="H1638" s="4">
        <v>1570528087557</v>
      </c>
      <c r="I1638">
        <v>526.6875</v>
      </c>
      <c r="J1638" s="9">
        <f t="shared" si="25"/>
        <v>43746.70008746528</v>
      </c>
      <c r="K1638" s="1"/>
    </row>
    <row r="1639" spans="1:11" x14ac:dyDescent="0.25">
      <c r="A1639" t="e">
        <f>-LqelE8dn79HIk2ixqcW</f>
        <v>#NAME?</v>
      </c>
      <c r="B1639">
        <v>393.75</v>
      </c>
      <c r="C1639">
        <v>20.584240000000001</v>
      </c>
      <c r="D1639">
        <v>37</v>
      </c>
      <c r="E1639">
        <v>0</v>
      </c>
      <c r="F1639">
        <v>0</v>
      </c>
      <c r="G1639">
        <v>100</v>
      </c>
      <c r="H1639" s="4">
        <v>1570528095805</v>
      </c>
      <c r="I1639">
        <v>526.6875</v>
      </c>
      <c r="J1639" s="9">
        <f t="shared" si="25"/>
        <v>43746.700182928238</v>
      </c>
      <c r="K1639" s="1"/>
    </row>
    <row r="1640" spans="1:11" x14ac:dyDescent="0.25">
      <c r="A1640" t="e">
        <f>-LqelFjHfrKBtTlJ3932</f>
        <v>#NAME?</v>
      </c>
      <c r="B1640">
        <v>393.75</v>
      </c>
      <c r="C1640">
        <v>20.531590000000001</v>
      </c>
      <c r="D1640">
        <v>38</v>
      </c>
      <c r="E1640">
        <v>0</v>
      </c>
      <c r="F1640">
        <v>0</v>
      </c>
      <c r="G1640">
        <v>108</v>
      </c>
      <c r="H1640" s="4">
        <v>1570528101977</v>
      </c>
      <c r="I1640">
        <v>526.6875</v>
      </c>
      <c r="J1640" s="9">
        <f t="shared" si="25"/>
        <v>43746.700254363423</v>
      </c>
      <c r="K1640" s="1"/>
    </row>
    <row r="1641" spans="1:11" x14ac:dyDescent="0.25">
      <c r="A1641" t="e">
        <f>-LqelHRuqr0X5tp2pzfu</f>
        <v>#NAME?</v>
      </c>
      <c r="B1641">
        <v>393.75</v>
      </c>
      <c r="C1641">
        <v>20.584240000000001</v>
      </c>
      <c r="D1641">
        <v>38</v>
      </c>
      <c r="E1641">
        <v>0</v>
      </c>
      <c r="F1641">
        <v>0</v>
      </c>
      <c r="G1641">
        <v>104</v>
      </c>
      <c r="H1641" s="4">
        <v>1570528109177</v>
      </c>
      <c r="I1641">
        <v>526.6875</v>
      </c>
      <c r="J1641" s="9">
        <f t="shared" si="25"/>
        <v>43746.700337696755</v>
      </c>
      <c r="K1641" s="1"/>
    </row>
    <row r="1642" spans="1:11" x14ac:dyDescent="0.25">
      <c r="A1642" t="e">
        <f>-LqelJAExU2cfI7jJdMR</f>
        <v>#NAME?</v>
      </c>
      <c r="B1642">
        <v>393.75</v>
      </c>
      <c r="C1642">
        <v>20.584240000000001</v>
      </c>
      <c r="D1642">
        <v>37</v>
      </c>
      <c r="E1642">
        <v>0</v>
      </c>
      <c r="F1642">
        <v>0</v>
      </c>
      <c r="G1642">
        <v>103</v>
      </c>
      <c r="H1642" s="4">
        <v>1570528116377</v>
      </c>
      <c r="I1642">
        <v>526.6875</v>
      </c>
      <c r="J1642" s="9">
        <f t="shared" si="25"/>
        <v>43746.700421030087</v>
      </c>
      <c r="K1642" s="1"/>
    </row>
    <row r="1643" spans="1:11" x14ac:dyDescent="0.25">
      <c r="A1643" t="e">
        <f>-LqelKix27qvg7lPKdgj</f>
        <v>#NAME?</v>
      </c>
      <c r="B1643">
        <v>393.75</v>
      </c>
      <c r="C1643">
        <v>20.584240000000001</v>
      </c>
      <c r="D1643">
        <v>37</v>
      </c>
      <c r="E1643">
        <v>0</v>
      </c>
      <c r="F1643">
        <v>0</v>
      </c>
      <c r="G1643">
        <v>101</v>
      </c>
      <c r="H1643" s="4">
        <v>1570528122587</v>
      </c>
      <c r="I1643">
        <v>526.6875</v>
      </c>
      <c r="J1643" s="9">
        <f t="shared" si="25"/>
        <v>43746.700492905089</v>
      </c>
      <c r="K1643" s="1"/>
    </row>
    <row r="1644" spans="1:11" x14ac:dyDescent="0.25">
      <c r="A1644" t="e">
        <f>-LqelMWkLjV3e2rgrfNh</f>
        <v>#NAME?</v>
      </c>
      <c r="B1644">
        <v>393.75</v>
      </c>
      <c r="C1644">
        <v>20.584240000000001</v>
      </c>
      <c r="D1644">
        <v>36</v>
      </c>
      <c r="E1644">
        <v>0</v>
      </c>
      <c r="F1644">
        <v>0</v>
      </c>
      <c r="G1644">
        <v>102</v>
      </c>
      <c r="H1644" s="4">
        <v>1570528129793</v>
      </c>
      <c r="I1644">
        <v>526.6875</v>
      </c>
      <c r="J1644" s="9">
        <f t="shared" si="25"/>
        <v>43746.700576307871</v>
      </c>
      <c r="K1644" s="1"/>
    </row>
    <row r="1645" spans="1:11" x14ac:dyDescent="0.25">
      <c r="A1645" t="e">
        <f>-LqelOEufsKG1v9rc4Ld</f>
        <v>#NAME?</v>
      </c>
      <c r="B1645">
        <v>412.5</v>
      </c>
      <c r="C1645">
        <v>20.584240000000001</v>
      </c>
      <c r="D1645">
        <v>37</v>
      </c>
      <c r="E1645">
        <v>0</v>
      </c>
      <c r="F1645">
        <v>0</v>
      </c>
      <c r="G1645">
        <v>107</v>
      </c>
      <c r="H1645" s="4">
        <v>1570528137017</v>
      </c>
      <c r="I1645">
        <v>532.3125</v>
      </c>
      <c r="J1645" s="9">
        <f t="shared" si="25"/>
        <v>43746.700659918984</v>
      </c>
      <c r="K1645" s="1"/>
    </row>
    <row r="1646" spans="1:11" x14ac:dyDescent="0.25">
      <c r="A1646" t="e">
        <f>-LqelQL5_gwADHdvu3lq</f>
        <v>#NAME?</v>
      </c>
      <c r="B1646">
        <v>393.75</v>
      </c>
      <c r="C1646">
        <v>20.584240000000001</v>
      </c>
      <c r="D1646">
        <v>37</v>
      </c>
      <c r="E1646">
        <v>0</v>
      </c>
      <c r="F1646">
        <v>0</v>
      </c>
      <c r="G1646">
        <v>106</v>
      </c>
      <c r="H1646" s="4">
        <v>1570528144216</v>
      </c>
      <c r="I1646">
        <v>526.6875</v>
      </c>
      <c r="J1646" s="9">
        <f t="shared" si="25"/>
        <v>43746.700743240734</v>
      </c>
      <c r="K1646" s="1"/>
    </row>
    <row r="1647" spans="1:11" x14ac:dyDescent="0.25">
      <c r="A1647" t="e">
        <f>-LqelRzvU2st_8Pa7RnJ</f>
        <v>#NAME?</v>
      </c>
      <c r="B1647">
        <v>393.75</v>
      </c>
      <c r="C1647">
        <v>20.531590000000001</v>
      </c>
      <c r="D1647">
        <v>36</v>
      </c>
      <c r="E1647">
        <v>0</v>
      </c>
      <c r="F1647">
        <v>0</v>
      </c>
      <c r="G1647">
        <v>114</v>
      </c>
      <c r="H1647" s="4">
        <v>1570528152457</v>
      </c>
      <c r="I1647">
        <v>526.6875</v>
      </c>
      <c r="J1647" s="9">
        <f t="shared" si="25"/>
        <v>43746.700838622688</v>
      </c>
      <c r="K1647" s="1"/>
    </row>
    <row r="1648" spans="1:11" x14ac:dyDescent="0.25">
      <c r="A1648" t="e">
        <f>-LqelTYjCZ7n_pYoyVun</f>
        <v>#NAME?</v>
      </c>
      <c r="B1648">
        <v>393.75</v>
      </c>
      <c r="C1648">
        <v>20.531590000000001</v>
      </c>
      <c r="D1648">
        <v>37</v>
      </c>
      <c r="E1648">
        <v>0</v>
      </c>
      <c r="F1648">
        <v>0</v>
      </c>
      <c r="G1648">
        <v>108</v>
      </c>
      <c r="H1648" s="4">
        <v>1570528158636</v>
      </c>
      <c r="I1648">
        <v>526.6875</v>
      </c>
      <c r="J1648" s="9">
        <f t="shared" si="25"/>
        <v>43746.70091013889</v>
      </c>
      <c r="K1648" s="1"/>
    </row>
    <row r="1649" spans="1:11" x14ac:dyDescent="0.25">
      <c r="A1649" t="e">
        <f>-LqelVGc1AyYdkUtXF_N</f>
        <v>#NAME?</v>
      </c>
      <c r="B1649">
        <v>393.75</v>
      </c>
      <c r="C1649">
        <v>20.531590000000001</v>
      </c>
      <c r="D1649">
        <v>38</v>
      </c>
      <c r="E1649">
        <v>0</v>
      </c>
      <c r="F1649">
        <v>0</v>
      </c>
      <c r="G1649">
        <v>113</v>
      </c>
      <c r="H1649" s="4">
        <v>1570528165817</v>
      </c>
      <c r="I1649">
        <v>526.6875</v>
      </c>
      <c r="J1649" s="9">
        <f t="shared" si="25"/>
        <v>43746.700993252314</v>
      </c>
      <c r="K1649" s="1"/>
    </row>
    <row r="1650" spans="1:11" x14ac:dyDescent="0.25">
      <c r="A1650" t="e">
        <f>-LqelWpbfp7JRkqLTYDk</f>
        <v>#NAME?</v>
      </c>
      <c r="B1650">
        <v>393.75</v>
      </c>
      <c r="C1650">
        <v>20.584240000000001</v>
      </c>
      <c r="D1650">
        <v>38</v>
      </c>
      <c r="E1650">
        <v>0</v>
      </c>
      <c r="F1650">
        <v>0</v>
      </c>
      <c r="G1650">
        <v>104</v>
      </c>
      <c r="H1650" s="4">
        <v>1570528171985</v>
      </c>
      <c r="I1650">
        <v>526.6875</v>
      </c>
      <c r="J1650" s="9">
        <f t="shared" si="25"/>
        <v>43746.701064641202</v>
      </c>
      <c r="K1650" s="1"/>
    </row>
    <row r="1651" spans="1:11" x14ac:dyDescent="0.25">
      <c r="A1651" t="e">
        <f>-LqelYYkUFOtZ_FcrimH</f>
        <v>#NAME?</v>
      </c>
      <c r="B1651">
        <v>393.75</v>
      </c>
      <c r="C1651">
        <v>20.584240000000001</v>
      </c>
      <c r="D1651">
        <v>40</v>
      </c>
      <c r="E1651">
        <v>0</v>
      </c>
      <c r="F1651">
        <v>0</v>
      </c>
      <c r="G1651">
        <v>107</v>
      </c>
      <c r="H1651" s="4">
        <v>1570528179255</v>
      </c>
      <c r="I1651">
        <v>526.6875</v>
      </c>
      <c r="J1651" s="9">
        <f t="shared" si="25"/>
        <v>43746.701148784719</v>
      </c>
      <c r="K1651" s="1"/>
    </row>
    <row r="1652" spans="1:11" x14ac:dyDescent="0.25">
      <c r="A1652" t="e">
        <f>-Lqel_LuxDSu74VMvhOv</f>
        <v>#NAME?</v>
      </c>
      <c r="B1652">
        <v>393.75</v>
      </c>
      <c r="C1652">
        <v>20.584240000000001</v>
      </c>
      <c r="D1652">
        <v>40</v>
      </c>
      <c r="E1652">
        <v>0</v>
      </c>
      <c r="F1652">
        <v>0</v>
      </c>
      <c r="G1652">
        <v>106</v>
      </c>
      <c r="H1652" s="4">
        <v>1570528186457</v>
      </c>
      <c r="I1652">
        <v>526.5</v>
      </c>
      <c r="J1652" s="9">
        <f t="shared" si="25"/>
        <v>43746.701232141197</v>
      </c>
      <c r="K1652" s="1"/>
    </row>
    <row r="1653" spans="1:11" x14ac:dyDescent="0.25">
      <c r="A1653" t="e">
        <f>-Lqelb3k92y1y56hEd6v</f>
        <v>#NAME?</v>
      </c>
      <c r="B1653">
        <v>393.75</v>
      </c>
      <c r="C1653">
        <v>20.478950000000001</v>
      </c>
      <c r="D1653">
        <v>40</v>
      </c>
      <c r="E1653">
        <v>0</v>
      </c>
      <c r="F1653">
        <v>0</v>
      </c>
      <c r="G1653">
        <v>104</v>
      </c>
      <c r="H1653" s="4">
        <v>1570528193656</v>
      </c>
      <c r="I1653">
        <v>526.6875</v>
      </c>
      <c r="J1653" s="9">
        <f t="shared" si="25"/>
        <v>43746.70131546296</v>
      </c>
      <c r="K1653" s="1"/>
    </row>
    <row r="1654" spans="1:11" x14ac:dyDescent="0.25">
      <c r="A1654" t="e">
        <f>-LqeldFkXEBNhr6V5t5f</f>
        <v>#NAME?</v>
      </c>
      <c r="B1654">
        <v>393.75</v>
      </c>
      <c r="C1654">
        <v>20.584240000000001</v>
      </c>
      <c r="D1654">
        <v>40</v>
      </c>
      <c r="E1654">
        <v>0</v>
      </c>
      <c r="F1654">
        <v>0</v>
      </c>
      <c r="G1654">
        <v>116</v>
      </c>
      <c r="H1654" s="4">
        <v>1570528200867</v>
      </c>
      <c r="I1654">
        <v>526.6875</v>
      </c>
      <c r="J1654" s="9">
        <f t="shared" si="25"/>
        <v>43746.701398923607</v>
      </c>
      <c r="K1654" s="1"/>
    </row>
    <row r="1655" spans="1:11" x14ac:dyDescent="0.25">
      <c r="A1655" t="e">
        <f>-LqelettOVh7cGRmlVYU</f>
        <v>#NAME?</v>
      </c>
      <c r="B1655">
        <v>393.75</v>
      </c>
      <c r="C1655">
        <v>20.584240000000001</v>
      </c>
      <c r="D1655">
        <v>40</v>
      </c>
      <c r="E1655">
        <v>0</v>
      </c>
      <c r="F1655">
        <v>0</v>
      </c>
      <c r="G1655">
        <v>106</v>
      </c>
      <c r="H1655" s="4">
        <v>1570528209105</v>
      </c>
      <c r="I1655">
        <v>526.6875</v>
      </c>
      <c r="J1655" s="9">
        <f t="shared" si="25"/>
        <v>43746.701494270827</v>
      </c>
      <c r="K1655" s="1"/>
    </row>
    <row r="1656" spans="1:11" x14ac:dyDescent="0.25">
      <c r="A1656" t="e">
        <f>-LqelgbvhEUn54awwSUU</f>
        <v>#NAME?</v>
      </c>
      <c r="B1656">
        <v>393.75</v>
      </c>
      <c r="C1656">
        <v>20.531590000000001</v>
      </c>
      <c r="D1656">
        <v>40</v>
      </c>
      <c r="E1656">
        <v>0</v>
      </c>
      <c r="F1656">
        <v>0</v>
      </c>
      <c r="G1656">
        <v>109</v>
      </c>
      <c r="H1656" s="4">
        <v>1570528216325</v>
      </c>
      <c r="I1656">
        <v>526.5</v>
      </c>
      <c r="J1656" s="9">
        <f t="shared" si="25"/>
        <v>43746.701577835651</v>
      </c>
      <c r="K1656" s="1"/>
    </row>
    <row r="1657" spans="1:11" x14ac:dyDescent="0.25">
      <c r="A1657" t="e">
        <f>-LqeliPveN_RYsfPt7jO</f>
        <v>#NAME?</v>
      </c>
      <c r="B1657">
        <v>393.75</v>
      </c>
      <c r="C1657">
        <v>20.531590000000001</v>
      </c>
      <c r="D1657">
        <v>40</v>
      </c>
      <c r="E1657">
        <v>0</v>
      </c>
      <c r="F1657">
        <v>0</v>
      </c>
      <c r="G1657">
        <v>108</v>
      </c>
      <c r="H1657" s="4">
        <v>1570528223536</v>
      </c>
      <c r="I1657">
        <v>526.6875</v>
      </c>
      <c r="J1657" s="9">
        <f t="shared" si="25"/>
        <v>43746.701661296298</v>
      </c>
      <c r="K1657" s="1"/>
    </row>
    <row r="1658" spans="1:11" x14ac:dyDescent="0.25">
      <c r="A1658" t="e">
        <f>-LqelkRjgHqntr6PFdMs</f>
        <v>#NAME?</v>
      </c>
      <c r="B1658">
        <v>393.75</v>
      </c>
      <c r="C1658">
        <v>20.584240000000001</v>
      </c>
      <c r="D1658">
        <v>40</v>
      </c>
      <c r="E1658">
        <v>0</v>
      </c>
      <c r="F1658">
        <v>0</v>
      </c>
      <c r="G1658">
        <v>98</v>
      </c>
      <c r="H1658" s="4">
        <v>1570528231960</v>
      </c>
      <c r="I1658">
        <v>526.6875</v>
      </c>
      <c r="J1658" s="9">
        <f t="shared" si="25"/>
        <v>43746.701758796298</v>
      </c>
      <c r="K1658" s="1"/>
    </row>
    <row r="1659" spans="1:11" x14ac:dyDescent="0.25">
      <c r="A1659" t="e">
        <f>-Lqelm9kT0p1i2w3sMbU</f>
        <v>#NAME?</v>
      </c>
      <c r="B1659">
        <v>393.75</v>
      </c>
      <c r="C1659">
        <v>20.584240000000001</v>
      </c>
      <c r="D1659">
        <v>37</v>
      </c>
      <c r="E1659">
        <v>0</v>
      </c>
      <c r="F1659">
        <v>0</v>
      </c>
      <c r="G1659">
        <v>105</v>
      </c>
      <c r="H1659" s="4">
        <v>1570528238985</v>
      </c>
      <c r="I1659">
        <v>526.5</v>
      </c>
      <c r="J1659" s="9">
        <f t="shared" si="25"/>
        <v>43746.701840104164</v>
      </c>
      <c r="K1659" s="1"/>
    </row>
    <row r="1660" spans="1:11" x14ac:dyDescent="0.25">
      <c r="A1660" t="e">
        <f>-LqelsEmqc6ZnaFKo0ET</f>
        <v>#NAME?</v>
      </c>
      <c r="B1660">
        <v>393.75</v>
      </c>
      <c r="C1660">
        <v>20.531590000000001</v>
      </c>
      <c r="D1660">
        <v>47</v>
      </c>
      <c r="E1660">
        <v>0</v>
      </c>
      <c r="F1660">
        <v>0</v>
      </c>
      <c r="G1660">
        <v>0</v>
      </c>
      <c r="H1660" s="4">
        <v>1570528263953</v>
      </c>
      <c r="I1660">
        <v>526.5</v>
      </c>
      <c r="J1660" s="9">
        <f t="shared" si="25"/>
        <v>43746.702129085643</v>
      </c>
      <c r="K1660" s="1"/>
    </row>
    <row r="1661" spans="1:11" x14ac:dyDescent="0.25">
      <c r="A1661" t="e">
        <f>-Lqeltxcj-v07lj8HvQE</f>
        <v>#NAME?</v>
      </c>
      <c r="B1661">
        <v>393.75</v>
      </c>
      <c r="C1661">
        <v>20.531590000000001</v>
      </c>
      <c r="D1661">
        <v>43</v>
      </c>
      <c r="E1661">
        <v>0</v>
      </c>
      <c r="F1661">
        <v>0</v>
      </c>
      <c r="G1661">
        <v>0</v>
      </c>
      <c r="H1661" s="4">
        <v>1570528271063</v>
      </c>
      <c r="I1661">
        <v>526.6875</v>
      </c>
      <c r="J1661" s="9">
        <f t="shared" si="25"/>
        <v>43746.702211377313</v>
      </c>
      <c r="K1661" s="1"/>
    </row>
    <row r="1662" spans="1:11" x14ac:dyDescent="0.25">
      <c r="A1662" t="e">
        <f>-LqelvkkV6GbVR0gxMCu</f>
        <v>#NAME?</v>
      </c>
      <c r="B1662">
        <v>393.75</v>
      </c>
      <c r="C1662">
        <v>20.584240000000001</v>
      </c>
      <c r="D1662">
        <v>41</v>
      </c>
      <c r="E1662">
        <v>0</v>
      </c>
      <c r="F1662">
        <v>0</v>
      </c>
      <c r="G1662">
        <v>0</v>
      </c>
      <c r="H1662" s="4">
        <v>1570528278264</v>
      </c>
      <c r="I1662">
        <v>526.6875</v>
      </c>
      <c r="J1662" s="9">
        <f t="shared" si="25"/>
        <v>43746.702294722221</v>
      </c>
      <c r="K1662" s="1"/>
    </row>
    <row r="1663" spans="1:11" x14ac:dyDescent="0.25">
      <c r="A1663" t="e">
        <f>-LqelxTdqgJtU_YjenZb</f>
        <v>#NAME?</v>
      </c>
      <c r="B1663">
        <v>393.75</v>
      </c>
      <c r="C1663">
        <v>20.584240000000001</v>
      </c>
      <c r="D1663">
        <v>41</v>
      </c>
      <c r="E1663">
        <v>0</v>
      </c>
      <c r="F1663">
        <v>0</v>
      </c>
      <c r="G1663">
        <v>0</v>
      </c>
      <c r="H1663" s="4">
        <v>1570528285503</v>
      </c>
      <c r="I1663">
        <v>526.6875</v>
      </c>
      <c r="J1663" s="9">
        <f t="shared" si="25"/>
        <v>43746.70237850694</v>
      </c>
      <c r="K1663" s="1"/>
    </row>
    <row r="1664" spans="1:11" x14ac:dyDescent="0.25">
      <c r="A1664" t="e">
        <f>-LqelzGbbCGY25PhMe2J</f>
        <v>#NAME?</v>
      </c>
      <c r="B1664">
        <v>393.75</v>
      </c>
      <c r="C1664">
        <v>20.584240000000001</v>
      </c>
      <c r="D1664">
        <v>39</v>
      </c>
      <c r="E1664">
        <v>0</v>
      </c>
      <c r="F1664">
        <v>0</v>
      </c>
      <c r="G1664">
        <v>5</v>
      </c>
      <c r="H1664" s="4">
        <v>1570528292704</v>
      </c>
      <c r="I1664">
        <v>526.6875</v>
      </c>
      <c r="J1664" s="9">
        <f t="shared" si="25"/>
        <v>43746.702461851848</v>
      </c>
      <c r="K1664" s="1"/>
    </row>
    <row r="1665" spans="1:11" x14ac:dyDescent="0.25">
      <c r="A1665" t="e">
        <f>-LqeM-yLXZqlYVvomn-b</f>
        <v>#NAME?</v>
      </c>
      <c r="B1665">
        <v>393.75</v>
      </c>
      <c r="C1665">
        <v>20.584240000000001</v>
      </c>
      <c r="D1665">
        <v>39</v>
      </c>
      <c r="E1665">
        <v>0</v>
      </c>
      <c r="F1665">
        <v>0</v>
      </c>
      <c r="G1665">
        <v>11</v>
      </c>
      <c r="H1665" s="4">
        <v>1570528299893</v>
      </c>
      <c r="I1665">
        <v>526.6875</v>
      </c>
      <c r="J1665" s="9">
        <f t="shared" si="25"/>
        <v>43746.702545057873</v>
      </c>
      <c r="K1665" s="1"/>
    </row>
    <row r="1666" spans="1:11" x14ac:dyDescent="0.25">
      <c r="A1666" t="e">
        <f>-Lqem1e7bDKPjDXIRt09</f>
        <v>#NAME?</v>
      </c>
      <c r="B1666">
        <v>393.75</v>
      </c>
      <c r="C1666">
        <v>20.531590000000001</v>
      </c>
      <c r="D1666">
        <v>39</v>
      </c>
      <c r="E1666">
        <v>0</v>
      </c>
      <c r="F1666">
        <v>0</v>
      </c>
      <c r="G1666">
        <v>8</v>
      </c>
      <c r="H1666" s="4">
        <v>1570528306084</v>
      </c>
      <c r="I1666">
        <v>526.6875</v>
      </c>
      <c r="J1666" s="9">
        <f t="shared" si="25"/>
        <v>43746.702616712959</v>
      </c>
      <c r="K1666" s="1"/>
    </row>
    <row r="1667" spans="1:11" x14ac:dyDescent="0.25">
      <c r="A1667" t="e">
        <f>-Lqem3GcBcHK_aMu8n5j</f>
        <v>#NAME?</v>
      </c>
      <c r="B1667">
        <v>393.75</v>
      </c>
      <c r="C1667">
        <v>20.584240000000001</v>
      </c>
      <c r="D1667">
        <v>39</v>
      </c>
      <c r="E1667">
        <v>0</v>
      </c>
      <c r="F1667">
        <v>0</v>
      </c>
      <c r="G1667">
        <v>5</v>
      </c>
      <c r="H1667" s="4">
        <v>1570528313303</v>
      </c>
      <c r="I1667">
        <v>526.6875</v>
      </c>
      <c r="J1667" s="9">
        <f t="shared" ref="J1667:J1730" si="26">(H1667/86400000)+25569+(7/24)</f>
        <v>43746.7027002662</v>
      </c>
      <c r="K1667" s="1"/>
    </row>
    <row r="1668" spans="1:11" x14ac:dyDescent="0.25">
      <c r="A1668" t="e">
        <f>-Lqem54hiQC6_K9w6Hfm</f>
        <v>#NAME?</v>
      </c>
      <c r="B1668">
        <v>393.75</v>
      </c>
      <c r="C1668">
        <v>20.584240000000001</v>
      </c>
      <c r="D1668">
        <v>39</v>
      </c>
      <c r="E1668">
        <v>0</v>
      </c>
      <c r="F1668">
        <v>0</v>
      </c>
      <c r="G1668">
        <v>6</v>
      </c>
      <c r="H1668" s="4">
        <v>1570528320514</v>
      </c>
      <c r="I1668">
        <v>526.5</v>
      </c>
      <c r="J1668" s="9">
        <f t="shared" si="26"/>
        <v>43746.702783726847</v>
      </c>
      <c r="K1668" s="1"/>
    </row>
    <row r="1669" spans="1:11" x14ac:dyDescent="0.25">
      <c r="A1669" t="e">
        <f>-Lqem6mbaqevhbNMBDaH</f>
        <v>#NAME?</v>
      </c>
      <c r="B1669">
        <v>393.75</v>
      </c>
      <c r="C1669">
        <v>20.584240000000001</v>
      </c>
      <c r="D1669">
        <v>39</v>
      </c>
      <c r="E1669">
        <v>0</v>
      </c>
      <c r="F1669">
        <v>0</v>
      </c>
      <c r="G1669">
        <v>10</v>
      </c>
      <c r="H1669" s="4">
        <v>1570528327734</v>
      </c>
      <c r="I1669">
        <v>526.6875</v>
      </c>
      <c r="J1669" s="9">
        <f t="shared" si="26"/>
        <v>43746.702867291664</v>
      </c>
      <c r="K1669" s="1"/>
    </row>
    <row r="1670" spans="1:11" x14ac:dyDescent="0.25">
      <c r="A1670" t="e">
        <f>-Lqem8_U2_ntRcLK_qSu</f>
        <v>#NAME?</v>
      </c>
      <c r="B1670">
        <v>393.75</v>
      </c>
      <c r="C1670">
        <v>20.584240000000001</v>
      </c>
      <c r="D1670">
        <v>38</v>
      </c>
      <c r="E1670">
        <v>0</v>
      </c>
      <c r="F1670">
        <v>0</v>
      </c>
      <c r="G1670">
        <v>5</v>
      </c>
      <c r="H1670" s="4">
        <v>1570528334934</v>
      </c>
      <c r="I1670">
        <v>526.5</v>
      </c>
      <c r="J1670" s="9">
        <f t="shared" si="26"/>
        <v>43746.702950624996</v>
      </c>
      <c r="K1670" s="1"/>
    </row>
    <row r="1671" spans="1:11" x14ac:dyDescent="0.25">
      <c r="A1671" t="e">
        <f>-LqemAJseOhW1geSY8X6</f>
        <v>#NAME?</v>
      </c>
      <c r="B1671">
        <v>393.75</v>
      </c>
      <c r="C1671">
        <v>20.584240000000001</v>
      </c>
      <c r="D1671">
        <v>37</v>
      </c>
      <c r="E1671">
        <v>0</v>
      </c>
      <c r="F1671">
        <v>0</v>
      </c>
      <c r="G1671">
        <v>3</v>
      </c>
      <c r="H1671" s="4">
        <v>1570528342141</v>
      </c>
      <c r="I1671">
        <v>526.6875</v>
      </c>
      <c r="J1671" s="9">
        <f t="shared" si="26"/>
        <v>43746.703034039347</v>
      </c>
      <c r="K1671" s="1"/>
    </row>
    <row r="1672" spans="1:11" x14ac:dyDescent="0.25">
      <c r="A1672" t="e">
        <f>-LqemBrdylezFHxBPrGU</f>
        <v>#NAME?</v>
      </c>
      <c r="B1672">
        <v>393.75</v>
      </c>
      <c r="C1672">
        <v>20.531590000000001</v>
      </c>
      <c r="D1672">
        <v>37</v>
      </c>
      <c r="E1672">
        <v>0</v>
      </c>
      <c r="F1672">
        <v>0</v>
      </c>
      <c r="G1672">
        <v>15</v>
      </c>
      <c r="H1672" s="4">
        <v>1570528348323</v>
      </c>
      <c r="I1672">
        <v>526.6875</v>
      </c>
      <c r="J1672" s="9">
        <f t="shared" si="26"/>
        <v>43746.703105590277</v>
      </c>
      <c r="K1672" s="1"/>
    </row>
    <row r="1673" spans="1:11" x14ac:dyDescent="0.25">
      <c r="A1673" t="e">
        <f>-LqemD_c-cWwOm6UztPD</f>
        <v>#NAME?</v>
      </c>
      <c r="B1673">
        <v>393.75</v>
      </c>
      <c r="C1673">
        <v>20.584240000000001</v>
      </c>
      <c r="D1673">
        <v>39</v>
      </c>
      <c r="E1673">
        <v>0</v>
      </c>
      <c r="F1673">
        <v>0</v>
      </c>
      <c r="G1673">
        <v>4</v>
      </c>
      <c r="H1673" s="4">
        <v>1570528355573</v>
      </c>
      <c r="I1673">
        <v>526.6875</v>
      </c>
      <c r="J1673" s="9">
        <f t="shared" si="26"/>
        <v>43746.703189502317</v>
      </c>
      <c r="K1673" s="1"/>
    </row>
    <row r="1674" spans="1:11" x14ac:dyDescent="0.25">
      <c r="A1674" t="e">
        <f>-LqemFNkNP3Xt5m3h5X5</f>
        <v>#NAME?</v>
      </c>
      <c r="B1674">
        <v>393.75</v>
      </c>
      <c r="C1674">
        <v>20.584240000000001</v>
      </c>
      <c r="D1674">
        <v>40</v>
      </c>
      <c r="E1674">
        <v>0</v>
      </c>
      <c r="F1674">
        <v>0</v>
      </c>
      <c r="G1674">
        <v>1</v>
      </c>
      <c r="H1674" s="4">
        <v>1570528362754</v>
      </c>
      <c r="I1674">
        <v>526.6875</v>
      </c>
      <c r="J1674" s="9">
        <f t="shared" si="26"/>
        <v>43746.703272615741</v>
      </c>
      <c r="K1674" s="1"/>
    </row>
    <row r="1675" spans="1:11" x14ac:dyDescent="0.25">
      <c r="A1675" t="e">
        <f>-LqemH5cdyhhUi7bgvzK</f>
        <v>#NAME?</v>
      </c>
      <c r="B1675">
        <v>393.75</v>
      </c>
      <c r="C1675">
        <v>20.531590000000001</v>
      </c>
      <c r="D1675">
        <v>40</v>
      </c>
      <c r="E1675">
        <v>0</v>
      </c>
      <c r="F1675">
        <v>0</v>
      </c>
      <c r="G1675">
        <v>4</v>
      </c>
      <c r="H1675" s="4">
        <v>1570528369975</v>
      </c>
      <c r="I1675">
        <v>526.6875</v>
      </c>
      <c r="J1675" s="9">
        <f t="shared" si="26"/>
        <v>43746.703356192127</v>
      </c>
      <c r="K1675" s="1"/>
    </row>
    <row r="1676" spans="1:11" x14ac:dyDescent="0.25">
      <c r="A1676" t="e">
        <f>-LqemIpsYCKcCMs06y6L</f>
        <v>#NAME?</v>
      </c>
      <c r="B1676">
        <v>393.75</v>
      </c>
      <c r="C1676">
        <v>20.584240000000001</v>
      </c>
      <c r="D1676">
        <v>40</v>
      </c>
      <c r="E1676">
        <v>0</v>
      </c>
      <c r="F1676">
        <v>0</v>
      </c>
      <c r="G1676">
        <v>6</v>
      </c>
      <c r="H1676" s="4">
        <v>1570528377174</v>
      </c>
      <c r="I1676">
        <v>526.6875</v>
      </c>
      <c r="J1676" s="9">
        <f t="shared" si="26"/>
        <v>43746.703439513883</v>
      </c>
      <c r="K1676" s="1"/>
    </row>
    <row r="1677" spans="1:11" x14ac:dyDescent="0.25">
      <c r="A1677" t="e">
        <f>-LqemKMMnfCxL10SskPf</f>
        <v>#NAME?</v>
      </c>
      <c r="B1677">
        <v>393.75</v>
      </c>
      <c r="C1677">
        <v>20.584240000000001</v>
      </c>
      <c r="D1677">
        <v>39</v>
      </c>
      <c r="E1677">
        <v>0</v>
      </c>
      <c r="F1677">
        <v>0</v>
      </c>
      <c r="G1677">
        <v>9</v>
      </c>
      <c r="H1677" s="4">
        <v>1570528383354</v>
      </c>
      <c r="I1677">
        <v>526.6875</v>
      </c>
      <c r="J1677" s="9">
        <f t="shared" si="26"/>
        <v>43746.703511041669</v>
      </c>
      <c r="K1677" s="1"/>
    </row>
    <row r="1678" spans="1:11" x14ac:dyDescent="0.25">
      <c r="A1678" t="e">
        <f>-LqemMBtoU8BGX72h0zL</f>
        <v>#NAME?</v>
      </c>
      <c r="B1678">
        <v>393.75</v>
      </c>
      <c r="C1678">
        <v>20.584240000000001</v>
      </c>
      <c r="D1678">
        <v>40</v>
      </c>
      <c r="E1678">
        <v>0</v>
      </c>
      <c r="F1678">
        <v>0</v>
      </c>
      <c r="G1678">
        <v>9</v>
      </c>
      <c r="H1678" s="4">
        <v>1570528390564</v>
      </c>
      <c r="I1678">
        <v>526.6875</v>
      </c>
      <c r="J1678" s="9">
        <f t="shared" si="26"/>
        <v>43746.703594490733</v>
      </c>
      <c r="K1678" s="1"/>
    </row>
    <row r="1679" spans="1:11" x14ac:dyDescent="0.25">
      <c r="A1679" t="s">
        <v>92</v>
      </c>
      <c r="B1679">
        <v>393.75</v>
      </c>
      <c r="C1679">
        <v>20.584240000000001</v>
      </c>
      <c r="D1679">
        <v>40</v>
      </c>
      <c r="E1679">
        <v>0</v>
      </c>
      <c r="F1679">
        <v>0</v>
      </c>
      <c r="G1679">
        <v>12</v>
      </c>
      <c r="H1679" s="4">
        <v>1570528397774</v>
      </c>
      <c r="I1679">
        <v>526.6875</v>
      </c>
      <c r="J1679" s="9">
        <f t="shared" si="26"/>
        <v>43746.703677939811</v>
      </c>
      <c r="K1679" s="1"/>
    </row>
    <row r="1680" spans="1:11" x14ac:dyDescent="0.25">
      <c r="A1680" t="e">
        <f>-LqemPhsGMmtPDIeYGIA</f>
        <v>#NAME?</v>
      </c>
      <c r="B1680">
        <v>393.75</v>
      </c>
      <c r="C1680">
        <v>20.584240000000001</v>
      </c>
      <c r="D1680">
        <v>40</v>
      </c>
      <c r="E1680">
        <v>0</v>
      </c>
      <c r="F1680">
        <v>0</v>
      </c>
      <c r="G1680">
        <v>9</v>
      </c>
      <c r="H1680" s="4">
        <v>1570528404984</v>
      </c>
      <c r="I1680">
        <v>526.6875</v>
      </c>
      <c r="J1680" s="9">
        <f t="shared" si="26"/>
        <v>43746.70376138889</v>
      </c>
      <c r="K1680" s="1"/>
    </row>
    <row r="1681" spans="1:11" x14ac:dyDescent="0.25">
      <c r="A1681" t="e">
        <f>-LqemRPc_jBiiCJu5d6i</f>
        <v>#NAME?</v>
      </c>
      <c r="B1681">
        <v>393.75</v>
      </c>
      <c r="C1681">
        <v>20.531590000000001</v>
      </c>
      <c r="D1681">
        <v>40</v>
      </c>
      <c r="E1681">
        <v>0</v>
      </c>
      <c r="F1681">
        <v>0</v>
      </c>
      <c r="G1681">
        <v>6</v>
      </c>
      <c r="H1681" s="4">
        <v>1570528412213</v>
      </c>
      <c r="I1681">
        <v>526.6875</v>
      </c>
      <c r="J1681" s="9">
        <f t="shared" si="26"/>
        <v>43746.703845057869</v>
      </c>
      <c r="K1681" s="1"/>
    </row>
    <row r="1682" spans="1:11" x14ac:dyDescent="0.25">
      <c r="A1682" t="e">
        <f>-LqemTCcVHhMxLfpqXH8</f>
        <v>#NAME?</v>
      </c>
      <c r="B1682">
        <v>393.75</v>
      </c>
      <c r="C1682">
        <v>20.584240000000001</v>
      </c>
      <c r="D1682">
        <v>40</v>
      </c>
      <c r="E1682">
        <v>0</v>
      </c>
      <c r="F1682">
        <v>0</v>
      </c>
      <c r="G1682">
        <v>8</v>
      </c>
      <c r="H1682" s="4">
        <v>1570528419403</v>
      </c>
      <c r="I1682">
        <v>526.6875</v>
      </c>
      <c r="J1682" s="9">
        <f t="shared" si="26"/>
        <v>43746.703928275463</v>
      </c>
      <c r="K1682" s="1"/>
    </row>
    <row r="1683" spans="1:11" x14ac:dyDescent="0.25">
      <c r="A1683" t="e">
        <f>-LqemUxL6OxD7BcE1qSh</f>
        <v>#NAME?</v>
      </c>
      <c r="B1683">
        <v>393.75</v>
      </c>
      <c r="C1683">
        <v>20.584240000000001</v>
      </c>
      <c r="D1683">
        <v>40</v>
      </c>
      <c r="E1683">
        <v>0</v>
      </c>
      <c r="F1683">
        <v>0</v>
      </c>
      <c r="G1683">
        <v>4</v>
      </c>
      <c r="H1683" s="4">
        <v>1570528426613</v>
      </c>
      <c r="I1683">
        <v>526.6875</v>
      </c>
      <c r="J1683" s="9">
        <f t="shared" si="26"/>
        <v>43746.704011724534</v>
      </c>
      <c r="K1683" s="1"/>
    </row>
    <row r="1684" spans="1:11" x14ac:dyDescent="0.25">
      <c r="A1684" t="e">
        <f>-LqemWjjcb5I4vavkWR9</f>
        <v>#NAME?</v>
      </c>
      <c r="B1684">
        <v>412.5</v>
      </c>
      <c r="C1684">
        <v>20.531590000000001</v>
      </c>
      <c r="D1684">
        <v>40</v>
      </c>
      <c r="E1684">
        <v>0</v>
      </c>
      <c r="F1684">
        <v>0</v>
      </c>
      <c r="G1684">
        <v>14</v>
      </c>
      <c r="H1684" s="4">
        <v>1570528433834</v>
      </c>
      <c r="I1684">
        <v>532.3125</v>
      </c>
      <c r="J1684" s="9">
        <f t="shared" si="26"/>
        <v>43746.70409530092</v>
      </c>
      <c r="K1684" s="1"/>
    </row>
    <row r="1685" spans="1:11" x14ac:dyDescent="0.25">
      <c r="A1685" t="e">
        <f>-LqemYRg2cRX7ce4zRIB</f>
        <v>#NAME?</v>
      </c>
      <c r="B1685">
        <v>393.75</v>
      </c>
      <c r="C1685">
        <v>20.584240000000001</v>
      </c>
      <c r="D1685">
        <v>40</v>
      </c>
      <c r="E1685">
        <v>0</v>
      </c>
      <c r="F1685">
        <v>0</v>
      </c>
      <c r="G1685">
        <v>10</v>
      </c>
      <c r="H1685" s="4">
        <v>1570528441015</v>
      </c>
      <c r="I1685">
        <v>526.6875</v>
      </c>
      <c r="J1685" s="9">
        <f t="shared" si="26"/>
        <v>43746.704178414351</v>
      </c>
      <c r="K1685" s="1"/>
    </row>
    <row r="1686" spans="1:11" x14ac:dyDescent="0.25">
      <c r="A1686" t="e">
        <f>-Lqem_-cyEu_DLvqtCl0</f>
        <v>#NAME?</v>
      </c>
      <c r="B1686">
        <v>393.75</v>
      </c>
      <c r="C1686">
        <v>20.584240000000001</v>
      </c>
      <c r="D1686">
        <v>40</v>
      </c>
      <c r="E1686">
        <v>0</v>
      </c>
      <c r="F1686">
        <v>0</v>
      </c>
      <c r="G1686">
        <v>0</v>
      </c>
      <c r="H1686" s="4">
        <v>1570528447214</v>
      </c>
      <c r="I1686">
        <v>526.6875</v>
      </c>
      <c r="J1686" s="9">
        <f t="shared" si="26"/>
        <v>43746.704250162038</v>
      </c>
      <c r="K1686" s="1"/>
    </row>
    <row r="1687" spans="1:11" x14ac:dyDescent="0.25">
      <c r="A1687" t="e">
        <f>-LqemazvCSepap7jVfv4</f>
        <v>#NAME?</v>
      </c>
      <c r="B1687">
        <v>393.75</v>
      </c>
      <c r="C1687">
        <v>20.531590000000001</v>
      </c>
      <c r="D1687">
        <v>43</v>
      </c>
      <c r="E1687">
        <v>0</v>
      </c>
      <c r="F1687">
        <v>0</v>
      </c>
      <c r="G1687">
        <v>8</v>
      </c>
      <c r="H1687" s="4">
        <v>1570528454454</v>
      </c>
      <c r="I1687">
        <v>526.6875</v>
      </c>
      <c r="J1687" s="9">
        <f t="shared" si="26"/>
        <v>43746.704333958332</v>
      </c>
      <c r="K1687" s="1"/>
    </row>
    <row r="1688" spans="1:11" x14ac:dyDescent="0.25">
      <c r="A1688" t="e">
        <f>-LqemcWmCPPB5_RGNnxL</f>
        <v>#NAME?</v>
      </c>
      <c r="B1688">
        <v>393.75</v>
      </c>
      <c r="C1688">
        <v>20.584240000000001</v>
      </c>
      <c r="D1688">
        <v>43</v>
      </c>
      <c r="E1688">
        <v>0</v>
      </c>
      <c r="F1688">
        <v>0</v>
      </c>
      <c r="G1688">
        <v>15</v>
      </c>
      <c r="H1688" s="4">
        <v>1570528461654</v>
      </c>
      <c r="I1688">
        <v>526.6875</v>
      </c>
      <c r="J1688" s="9">
        <f t="shared" si="26"/>
        <v>43746.704417291665</v>
      </c>
      <c r="K1688" s="1"/>
    </row>
    <row r="1689" spans="1:11" x14ac:dyDescent="0.25">
      <c r="A1689" t="e">
        <f>-LqemeEaiDUzT-jWtqtv</f>
        <v>#NAME?</v>
      </c>
      <c r="B1689">
        <v>412.5</v>
      </c>
      <c r="C1689">
        <v>20.584240000000001</v>
      </c>
      <c r="D1689">
        <v>41</v>
      </c>
      <c r="E1689">
        <v>0</v>
      </c>
      <c r="F1689">
        <v>0</v>
      </c>
      <c r="G1689">
        <v>5</v>
      </c>
      <c r="H1689" s="4">
        <v>1570528468853</v>
      </c>
      <c r="I1689">
        <v>532.3125</v>
      </c>
      <c r="J1689" s="9">
        <f t="shared" si="26"/>
        <v>43746.704500613421</v>
      </c>
      <c r="K1689" s="1"/>
    </row>
    <row r="1690" spans="1:11" x14ac:dyDescent="0.25">
      <c r="A1690" t="e">
        <f>-LqemfncwPBTDDV-yO2t</f>
        <v>#NAME?</v>
      </c>
      <c r="B1690">
        <v>393.75</v>
      </c>
      <c r="C1690">
        <v>20.584240000000001</v>
      </c>
      <c r="D1690">
        <v>42</v>
      </c>
      <c r="E1690">
        <v>0</v>
      </c>
      <c r="F1690">
        <v>0</v>
      </c>
      <c r="G1690">
        <v>6</v>
      </c>
      <c r="H1690" s="4">
        <v>1570528475044</v>
      </c>
      <c r="I1690">
        <v>526.6875</v>
      </c>
      <c r="J1690" s="9">
        <f t="shared" si="26"/>
        <v>43746.704572268514</v>
      </c>
      <c r="K1690" s="1"/>
    </row>
    <row r="1691" spans="1:11" x14ac:dyDescent="0.25">
      <c r="A1691" t="s">
        <v>93</v>
      </c>
      <c r="B1691">
        <v>393.75</v>
      </c>
      <c r="C1691">
        <v>20.584240000000001</v>
      </c>
      <c r="D1691">
        <v>41</v>
      </c>
      <c r="E1691">
        <v>0</v>
      </c>
      <c r="F1691">
        <v>0</v>
      </c>
      <c r="G1691">
        <v>7</v>
      </c>
      <c r="H1691" s="4">
        <v>1570528482254</v>
      </c>
      <c r="I1691">
        <v>526.6875</v>
      </c>
      <c r="J1691" s="9">
        <f t="shared" si="26"/>
        <v>43746.704655717585</v>
      </c>
      <c r="K1691" s="1"/>
    </row>
    <row r="1692" spans="1:11" x14ac:dyDescent="0.25">
      <c r="A1692" t="e">
        <f>-LqemjJcCllexEJERrPZ</f>
        <v>#NAME?</v>
      </c>
      <c r="B1692">
        <v>393.75</v>
      </c>
      <c r="C1692">
        <v>20.531590000000001</v>
      </c>
      <c r="D1692">
        <v>41</v>
      </c>
      <c r="E1692">
        <v>0</v>
      </c>
      <c r="F1692">
        <v>0</v>
      </c>
      <c r="G1692">
        <v>9</v>
      </c>
      <c r="H1692" s="4">
        <v>1570528489463</v>
      </c>
      <c r="I1692">
        <v>526.6875</v>
      </c>
      <c r="J1692" s="9">
        <f t="shared" si="26"/>
        <v>43746.704739155095</v>
      </c>
      <c r="K1692" s="1"/>
    </row>
    <row r="1693" spans="1:11" x14ac:dyDescent="0.25">
      <c r="A1693" t="e">
        <f>-LqemlLYM1nnx8ugXDxH</f>
        <v>#NAME?</v>
      </c>
      <c r="B1693">
        <v>393.75</v>
      </c>
      <c r="C1693">
        <v>20.531590000000001</v>
      </c>
      <c r="D1693">
        <v>39</v>
      </c>
      <c r="E1693">
        <v>0</v>
      </c>
      <c r="F1693">
        <v>0</v>
      </c>
      <c r="G1693">
        <v>5</v>
      </c>
      <c r="H1693" s="4">
        <v>1570528496673</v>
      </c>
      <c r="I1693">
        <v>526.6875</v>
      </c>
      <c r="J1693" s="9">
        <f t="shared" si="26"/>
        <v>43746.704822604159</v>
      </c>
      <c r="K1693" s="1"/>
    </row>
    <row r="1694" spans="1:11" x14ac:dyDescent="0.25">
      <c r="A1694" t="e">
        <f>-Lqemn42scW_Nnpucb6m</f>
        <v>#NAME?</v>
      </c>
      <c r="B1694">
        <v>393.75</v>
      </c>
      <c r="C1694">
        <v>20.584240000000001</v>
      </c>
      <c r="D1694">
        <v>39</v>
      </c>
      <c r="E1694">
        <v>0</v>
      </c>
      <c r="F1694">
        <v>0</v>
      </c>
      <c r="G1694">
        <v>6</v>
      </c>
      <c r="H1694" s="4">
        <v>1570528504918</v>
      </c>
      <c r="I1694">
        <v>526.5</v>
      </c>
      <c r="J1694" s="9">
        <f t="shared" si="26"/>
        <v>43746.704918032403</v>
      </c>
      <c r="K1694" s="1"/>
    </row>
    <row r="1695" spans="1:11" x14ac:dyDescent="0.25">
      <c r="A1695" t="e">
        <f>-LqemonmDRurMoR_-#REF!</f>
        <v>#NAME?</v>
      </c>
      <c r="B1695">
        <v>393.75</v>
      </c>
      <c r="C1695">
        <v>20.531590000000001</v>
      </c>
      <c r="D1695">
        <v>38</v>
      </c>
      <c r="E1695">
        <v>0</v>
      </c>
      <c r="F1695">
        <v>0</v>
      </c>
      <c r="G1695">
        <v>12</v>
      </c>
      <c r="H1695" s="4">
        <v>1570528512129</v>
      </c>
      <c r="I1695">
        <v>526.6875</v>
      </c>
      <c r="J1695" s="9">
        <f t="shared" si="26"/>
        <v>43746.70500149305</v>
      </c>
      <c r="K1695" s="1"/>
    </row>
    <row r="1696" spans="1:11" x14ac:dyDescent="0.25">
      <c r="A1696" t="e">
        <f>-LqemqMwFgkhX0p-VIif</f>
        <v>#NAME?</v>
      </c>
      <c r="B1696">
        <v>412.5</v>
      </c>
      <c r="C1696">
        <v>20.584240000000001</v>
      </c>
      <c r="D1696">
        <v>37</v>
      </c>
      <c r="E1696">
        <v>0</v>
      </c>
      <c r="F1696">
        <v>0</v>
      </c>
      <c r="G1696">
        <v>11</v>
      </c>
      <c r="H1696" s="4">
        <v>1570528518307</v>
      </c>
      <c r="I1696">
        <v>532.3125</v>
      </c>
      <c r="J1696" s="9">
        <f t="shared" si="26"/>
        <v>43746.705072997684</v>
      </c>
      <c r="K1696" s="1"/>
    </row>
    <row r="1697" spans="1:11" x14ac:dyDescent="0.25">
      <c r="A1697" t="e">
        <f>-Lqems56n8a_QYQJtF06</f>
        <v>#NAME?</v>
      </c>
      <c r="B1697">
        <v>393.75</v>
      </c>
      <c r="C1697">
        <v>20.584240000000001</v>
      </c>
      <c r="D1697">
        <v>37</v>
      </c>
      <c r="E1697">
        <v>0</v>
      </c>
      <c r="F1697">
        <v>0</v>
      </c>
      <c r="G1697">
        <v>11</v>
      </c>
      <c r="H1697" s="4">
        <v>1570528525498</v>
      </c>
      <c r="I1697">
        <v>526.6875</v>
      </c>
      <c r="J1697" s="9">
        <f t="shared" si="26"/>
        <v>43746.705156226853</v>
      </c>
      <c r="K1697" s="1"/>
    </row>
    <row r="1698" spans="1:11" x14ac:dyDescent="0.25">
      <c r="A1698" t="e">
        <f>-LqemtsdiIZzu99k7Jho</f>
        <v>#NAME?</v>
      </c>
      <c r="B1698">
        <v>393.75</v>
      </c>
      <c r="C1698">
        <v>20.531590000000001</v>
      </c>
      <c r="D1698">
        <v>38</v>
      </c>
      <c r="E1698">
        <v>0</v>
      </c>
      <c r="F1698">
        <v>0</v>
      </c>
      <c r="G1698">
        <v>18</v>
      </c>
      <c r="H1698" s="4">
        <v>1570528532736</v>
      </c>
      <c r="I1698">
        <v>526.6875</v>
      </c>
      <c r="J1698" s="9">
        <f t="shared" si="26"/>
        <v>43746.705240000003</v>
      </c>
      <c r="K1698" s="1"/>
    </row>
    <row r="1699" spans="1:11" x14ac:dyDescent="0.25">
      <c r="A1699" t="e">
        <f>-Lqemvamky9LqjX4RraJ</f>
        <v>#NAME?</v>
      </c>
      <c r="B1699">
        <v>393.75</v>
      </c>
      <c r="C1699">
        <v>20.584240000000001</v>
      </c>
      <c r="D1699">
        <v>38</v>
      </c>
      <c r="E1699">
        <v>0</v>
      </c>
      <c r="F1699">
        <v>0</v>
      </c>
      <c r="G1699">
        <v>7</v>
      </c>
      <c r="H1699" s="4">
        <v>1570528539957</v>
      </c>
      <c r="I1699">
        <v>526.6875</v>
      </c>
      <c r="J1699" s="9">
        <f t="shared" si="26"/>
        <v>43746.705323576381</v>
      </c>
      <c r="K1699" s="1"/>
    </row>
    <row r="1700" spans="1:11" x14ac:dyDescent="0.25">
      <c r="A1700" t="e">
        <f>-Lqemx8RzqpquW2E-rwT</f>
        <v>#NAME?</v>
      </c>
      <c r="B1700">
        <v>393.75</v>
      </c>
      <c r="C1700">
        <v>20.584240000000001</v>
      </c>
      <c r="D1700">
        <v>38</v>
      </c>
      <c r="E1700">
        <v>0</v>
      </c>
      <c r="F1700">
        <v>0</v>
      </c>
      <c r="G1700">
        <v>11</v>
      </c>
      <c r="H1700" s="4">
        <v>1570528546128</v>
      </c>
      <c r="I1700">
        <v>526.6875</v>
      </c>
      <c r="J1700" s="9">
        <f t="shared" si="26"/>
        <v>43746.705394999997</v>
      </c>
      <c r="K1700" s="1"/>
    </row>
    <row r="1701" spans="1:11" x14ac:dyDescent="0.25">
      <c r="A1701" t="e">
        <f>-LqemydkTbmqw_KMiJFZ</f>
        <v>#NAME?</v>
      </c>
      <c r="B1701">
        <v>393.75</v>
      </c>
      <c r="C1701">
        <v>20.531590000000001</v>
      </c>
      <c r="D1701">
        <v>38</v>
      </c>
      <c r="E1701">
        <v>0</v>
      </c>
      <c r="F1701">
        <v>0</v>
      </c>
      <c r="G1701">
        <v>8</v>
      </c>
      <c r="H1701" s="4">
        <v>1570528552308</v>
      </c>
      <c r="I1701">
        <v>526.6875</v>
      </c>
      <c r="J1701" s="9">
        <f t="shared" si="26"/>
        <v>43746.705466527776</v>
      </c>
      <c r="K1701" s="1"/>
    </row>
    <row r="1702" spans="1:11" x14ac:dyDescent="0.25">
      <c r="A1702" t="e">
        <f>-LqeN-Rm-K3WsGW9Dy3d</f>
        <v>#NAME?</v>
      </c>
      <c r="B1702">
        <v>412.5</v>
      </c>
      <c r="C1702">
        <v>20.531590000000001</v>
      </c>
      <c r="D1702">
        <v>38</v>
      </c>
      <c r="E1702">
        <v>0</v>
      </c>
      <c r="F1702">
        <v>0</v>
      </c>
      <c r="G1702">
        <v>13</v>
      </c>
      <c r="H1702" s="4">
        <v>1570528559520</v>
      </c>
      <c r="I1702">
        <v>532.3125</v>
      </c>
      <c r="J1702" s="9">
        <f t="shared" si="26"/>
        <v>43746.705549999999</v>
      </c>
      <c r="K1702" s="1"/>
    </row>
    <row r="1703" spans="1:11" x14ac:dyDescent="0.25">
      <c r="A1703" t="e">
        <f>-Lqen19wR6tDeu6ccdTu</f>
        <v>#NAME?</v>
      </c>
      <c r="B1703">
        <v>393.75</v>
      </c>
      <c r="C1703">
        <v>20.584240000000001</v>
      </c>
      <c r="D1703">
        <v>36</v>
      </c>
      <c r="E1703">
        <v>0</v>
      </c>
      <c r="F1703">
        <v>0</v>
      </c>
      <c r="G1703">
        <v>8</v>
      </c>
      <c r="H1703" s="4">
        <v>1570528566730</v>
      </c>
      <c r="I1703">
        <v>526.6875</v>
      </c>
      <c r="J1703" s="9">
        <f t="shared" si="26"/>
        <v>43746.70563344907</v>
      </c>
      <c r="K1703" s="1"/>
    </row>
    <row r="1704" spans="1:11" x14ac:dyDescent="0.25">
      <c r="A1704" t="e">
        <f>-Lqen3BlAMOoBKaAKLll</f>
        <v>#NAME?</v>
      </c>
      <c r="B1704">
        <v>393.75</v>
      </c>
      <c r="C1704">
        <v>20.584240000000001</v>
      </c>
      <c r="D1704">
        <v>42</v>
      </c>
      <c r="E1704">
        <v>0</v>
      </c>
      <c r="F1704">
        <v>0</v>
      </c>
      <c r="G1704">
        <v>12</v>
      </c>
      <c r="H1704" s="4">
        <v>1570528574970</v>
      </c>
      <c r="I1704">
        <v>526.5</v>
      </c>
      <c r="J1704" s="9">
        <f t="shared" si="26"/>
        <v>43746.705728819441</v>
      </c>
      <c r="K1704" s="1"/>
    </row>
    <row r="1705" spans="1:11" x14ac:dyDescent="0.25">
      <c r="A1705" t="s">
        <v>94</v>
      </c>
      <c r="B1705">
        <v>393.75</v>
      </c>
      <c r="C1705">
        <v>20.584240000000001</v>
      </c>
      <c r="D1705">
        <v>41</v>
      </c>
      <c r="E1705">
        <v>0</v>
      </c>
      <c r="F1705">
        <v>0</v>
      </c>
      <c r="G1705">
        <v>14</v>
      </c>
      <c r="H1705" s="4">
        <v>1570528582198</v>
      </c>
      <c r="I1705">
        <v>526.6875</v>
      </c>
      <c r="J1705" s="9">
        <f t="shared" si="26"/>
        <v>43746.705812476845</v>
      </c>
      <c r="K1705" s="1"/>
    </row>
    <row r="1706" spans="1:11" x14ac:dyDescent="0.25">
      <c r="A1706" t="e">
        <f>-Lqen6TlR3aKad9TtaEa</f>
        <v>#NAME?</v>
      </c>
      <c r="B1706">
        <v>393.75</v>
      </c>
      <c r="C1706">
        <v>20.531590000000001</v>
      </c>
      <c r="D1706">
        <v>40</v>
      </c>
      <c r="E1706">
        <v>0</v>
      </c>
      <c r="F1706">
        <v>0</v>
      </c>
      <c r="G1706">
        <v>8</v>
      </c>
      <c r="H1706" s="4">
        <v>1570528588358</v>
      </c>
      <c r="I1706">
        <v>526.6875</v>
      </c>
      <c r="J1706" s="9">
        <f t="shared" si="26"/>
        <v>43746.705883773146</v>
      </c>
      <c r="K1706" s="1"/>
    </row>
    <row r="1707" spans="1:11" x14ac:dyDescent="0.25">
      <c r="A1707" t="e">
        <f>-Lqen8BnyByVrfKaqXrN</f>
        <v>#NAME?</v>
      </c>
      <c r="B1707">
        <v>393.75</v>
      </c>
      <c r="C1707">
        <v>20.584240000000001</v>
      </c>
      <c r="D1707">
        <v>39</v>
      </c>
      <c r="E1707">
        <v>0</v>
      </c>
      <c r="F1707">
        <v>0</v>
      </c>
      <c r="G1707">
        <v>10</v>
      </c>
      <c r="H1707" s="4">
        <v>1570528595577</v>
      </c>
      <c r="I1707">
        <v>526.5</v>
      </c>
      <c r="J1707" s="9">
        <f t="shared" si="26"/>
        <v>43746.705967326387</v>
      </c>
      <c r="K1707" s="1"/>
    </row>
    <row r="1708" spans="1:11" x14ac:dyDescent="0.25">
      <c r="A1708" t="e">
        <f>-Lqen9zmiOJdgcpYQnso</f>
        <v>#NAME?</v>
      </c>
      <c r="B1708">
        <v>393.75</v>
      </c>
      <c r="C1708">
        <v>20.584240000000001</v>
      </c>
      <c r="D1708">
        <v>39</v>
      </c>
      <c r="E1708">
        <v>0</v>
      </c>
      <c r="F1708">
        <v>0</v>
      </c>
      <c r="G1708">
        <v>7</v>
      </c>
      <c r="H1708" s="4">
        <v>1570528602789</v>
      </c>
      <c r="I1708">
        <v>526.5</v>
      </c>
      <c r="J1708" s="9">
        <f t="shared" si="26"/>
        <v>43746.70605079861</v>
      </c>
      <c r="K1708" s="1"/>
    </row>
    <row r="1709" spans="1:11" x14ac:dyDescent="0.25">
      <c r="A1709" t="e">
        <f>-LqenBhm3roeUeylE1Z_</f>
        <v>#NAME?</v>
      </c>
      <c r="B1709">
        <v>393.75</v>
      </c>
      <c r="C1709">
        <v>20.531590000000001</v>
      </c>
      <c r="D1709">
        <v>39</v>
      </c>
      <c r="E1709">
        <v>0</v>
      </c>
      <c r="F1709">
        <v>0</v>
      </c>
      <c r="G1709">
        <v>8</v>
      </c>
      <c r="H1709" s="4">
        <v>1570528609979</v>
      </c>
      <c r="I1709">
        <v>526.5</v>
      </c>
      <c r="J1709" s="9">
        <f t="shared" si="26"/>
        <v>43746.706134016196</v>
      </c>
      <c r="K1709" s="1"/>
    </row>
    <row r="1710" spans="1:11" x14ac:dyDescent="0.25">
      <c r="A1710" t="e">
        <f>-LqenDGvfii0eAwdLXCz</f>
        <v>#NAME?</v>
      </c>
      <c r="B1710">
        <v>393.75</v>
      </c>
      <c r="C1710">
        <v>20.584240000000001</v>
      </c>
      <c r="D1710">
        <v>39</v>
      </c>
      <c r="E1710">
        <v>0</v>
      </c>
      <c r="F1710">
        <v>0</v>
      </c>
      <c r="G1710">
        <v>11</v>
      </c>
      <c r="H1710" s="4">
        <v>1570528616177</v>
      </c>
      <c r="I1710">
        <v>526.6875</v>
      </c>
      <c r="J1710" s="9">
        <f t="shared" si="26"/>
        <v>43746.706205752307</v>
      </c>
      <c r="K1710" s="1"/>
    </row>
    <row r="1711" spans="1:11" x14ac:dyDescent="0.25">
      <c r="A1711" t="e">
        <f>-LqenEzlQ6o5QGDriz5V</f>
        <v>#NAME?</v>
      </c>
      <c r="B1711">
        <v>393.75</v>
      </c>
      <c r="C1711">
        <v>20.531590000000001</v>
      </c>
      <c r="D1711">
        <v>39</v>
      </c>
      <c r="E1711">
        <v>0</v>
      </c>
      <c r="F1711">
        <v>0</v>
      </c>
      <c r="G1711">
        <v>7</v>
      </c>
      <c r="H1711" s="4">
        <v>1570528623398</v>
      </c>
      <c r="I1711">
        <v>526.5</v>
      </c>
      <c r="J1711" s="9">
        <f t="shared" si="26"/>
        <v>43746.7062893287</v>
      </c>
      <c r="K1711" s="1"/>
    </row>
    <row r="1712" spans="1:11" x14ac:dyDescent="0.25">
      <c r="A1712" t="e">
        <f>-LqenGmmBBCytERh9tw8</f>
        <v>#NAME?</v>
      </c>
      <c r="B1712">
        <v>393.75</v>
      </c>
      <c r="C1712">
        <v>20.584240000000001</v>
      </c>
      <c r="D1712">
        <v>39</v>
      </c>
      <c r="E1712">
        <v>0</v>
      </c>
      <c r="F1712">
        <v>0</v>
      </c>
      <c r="G1712">
        <v>11</v>
      </c>
      <c r="H1712" s="4">
        <v>1570528630598</v>
      </c>
      <c r="I1712">
        <v>526.6875</v>
      </c>
      <c r="J1712" s="9">
        <f t="shared" si="26"/>
        <v>43746.706372662033</v>
      </c>
      <c r="K1712" s="1"/>
    </row>
    <row r="1713" spans="1:11" x14ac:dyDescent="0.25">
      <c r="A1713" t="e">
        <f>-LqenIVlGh5i9ym19xLH</f>
        <v>#NAME?</v>
      </c>
      <c r="B1713">
        <v>393.75</v>
      </c>
      <c r="C1713">
        <v>20.531590000000001</v>
      </c>
      <c r="D1713">
        <v>39</v>
      </c>
      <c r="E1713">
        <v>0</v>
      </c>
      <c r="F1713">
        <v>0</v>
      </c>
      <c r="G1713">
        <v>13</v>
      </c>
      <c r="H1713" s="4">
        <v>1570528637819</v>
      </c>
      <c r="I1713">
        <v>526.6875</v>
      </c>
      <c r="J1713" s="9">
        <f t="shared" si="26"/>
        <v>43746.706456238426</v>
      </c>
      <c r="K1713" s="1"/>
    </row>
    <row r="1714" spans="1:11" x14ac:dyDescent="0.25">
      <c r="A1714" t="e">
        <f>-LqenKImOrw8V0rL0jjb</f>
        <v>#NAME?</v>
      </c>
      <c r="B1714">
        <v>412.5</v>
      </c>
      <c r="C1714">
        <v>20.531590000000001</v>
      </c>
      <c r="D1714">
        <v>39</v>
      </c>
      <c r="E1714">
        <v>0</v>
      </c>
      <c r="F1714">
        <v>0</v>
      </c>
      <c r="G1714">
        <v>18</v>
      </c>
      <c r="H1714" s="4">
        <v>1570528645028</v>
      </c>
      <c r="I1714">
        <v>532.3125</v>
      </c>
      <c r="J1714" s="9">
        <f t="shared" si="26"/>
        <v>43746.706539675921</v>
      </c>
      <c r="K1714" s="1"/>
    </row>
    <row r="1715" spans="1:11" x14ac:dyDescent="0.25">
      <c r="A1715" t="e">
        <f>-LqenM0lhlbGy-Ab3eql</f>
        <v>#NAME?</v>
      </c>
      <c r="B1715">
        <v>393.75</v>
      </c>
      <c r="C1715">
        <v>20.584240000000001</v>
      </c>
      <c r="D1715">
        <v>37</v>
      </c>
      <c r="E1715">
        <v>0</v>
      </c>
      <c r="F1715">
        <v>0</v>
      </c>
      <c r="G1715">
        <v>12</v>
      </c>
      <c r="H1715" s="4">
        <v>1570528652218</v>
      </c>
      <c r="I1715">
        <v>526.5</v>
      </c>
      <c r="J1715" s="9">
        <f t="shared" si="26"/>
        <v>43746.706622893515</v>
      </c>
      <c r="K1715" s="1"/>
    </row>
    <row r="1716" spans="1:11" x14ac:dyDescent="0.25">
      <c r="A1716" t="e">
        <f>-LqenN_uxMpdUttP-qOr</f>
        <v>#NAME?</v>
      </c>
      <c r="B1716">
        <v>393.75</v>
      </c>
      <c r="C1716">
        <v>20.531590000000001</v>
      </c>
      <c r="D1716">
        <v>37</v>
      </c>
      <c r="E1716">
        <v>0</v>
      </c>
      <c r="F1716">
        <v>0</v>
      </c>
      <c r="G1716">
        <v>22</v>
      </c>
      <c r="H1716" s="4">
        <v>1570528658418</v>
      </c>
      <c r="I1716">
        <v>526.6875</v>
      </c>
      <c r="J1716" s="9">
        <f t="shared" si="26"/>
        <v>43746.70669465277</v>
      </c>
      <c r="K1716" s="1"/>
    </row>
    <row r="1717" spans="1:11" x14ac:dyDescent="0.25">
      <c r="A1717" t="e">
        <f>-LqenPHp50lhukjadcDV</f>
        <v>#NAME?</v>
      </c>
      <c r="B1717">
        <v>393.75</v>
      </c>
      <c r="C1717">
        <v>20.531590000000001</v>
      </c>
      <c r="D1717">
        <v>37</v>
      </c>
      <c r="E1717">
        <v>0</v>
      </c>
      <c r="F1717">
        <v>0</v>
      </c>
      <c r="G1717">
        <v>17</v>
      </c>
      <c r="H1717" s="4">
        <v>1570528665630</v>
      </c>
      <c r="I1717">
        <v>526.6875</v>
      </c>
      <c r="J1717" s="9">
        <f t="shared" si="26"/>
        <v>43746.706778125001</v>
      </c>
      <c r="K1717" s="1"/>
    </row>
    <row r="1718" spans="1:11" x14ac:dyDescent="0.25">
      <c r="A1718" t="e">
        <f>-LqenR5w1XRjI0SRGeky</f>
        <v>#NAME?</v>
      </c>
      <c r="B1718">
        <v>393.75</v>
      </c>
      <c r="C1718">
        <v>20.584240000000001</v>
      </c>
      <c r="D1718">
        <v>37</v>
      </c>
      <c r="E1718">
        <v>0</v>
      </c>
      <c r="F1718">
        <v>0</v>
      </c>
      <c r="G1718">
        <v>9</v>
      </c>
      <c r="H1718" s="4">
        <v>1570528672846</v>
      </c>
      <c r="I1718">
        <v>526.6875</v>
      </c>
      <c r="J1718" s="9">
        <f t="shared" si="26"/>
        <v>43746.706861643521</v>
      </c>
      <c r="K1718" s="1"/>
    </row>
    <row r="1719" spans="1:11" x14ac:dyDescent="0.25">
      <c r="A1719" t="e">
        <f>-LqenT3NWOiPBXi6W-uI</f>
        <v>#NAME?</v>
      </c>
      <c r="B1719">
        <v>412.5</v>
      </c>
      <c r="C1719">
        <v>20.531590000000001</v>
      </c>
      <c r="D1719">
        <v>35</v>
      </c>
      <c r="E1719">
        <v>0</v>
      </c>
      <c r="F1719">
        <v>0</v>
      </c>
      <c r="G1719">
        <v>16</v>
      </c>
      <c r="H1719" s="4">
        <v>1570528680058</v>
      </c>
      <c r="I1719">
        <v>532.125</v>
      </c>
      <c r="J1719" s="9">
        <f t="shared" si="26"/>
        <v>43746.706945115737</v>
      </c>
      <c r="K1719" s="1"/>
    </row>
    <row r="1720" spans="1:11" x14ac:dyDescent="0.25">
      <c r="A1720" t="e">
        <f>-LqenUbl-VNV67kJogSf</f>
        <v>#NAME?</v>
      </c>
      <c r="B1720">
        <v>393.75</v>
      </c>
      <c r="C1720">
        <v>20.531590000000001</v>
      </c>
      <c r="D1720">
        <v>37</v>
      </c>
      <c r="E1720">
        <v>0</v>
      </c>
      <c r="F1720">
        <v>0</v>
      </c>
      <c r="G1720">
        <v>14</v>
      </c>
      <c r="H1720" s="4">
        <v>1570528687238</v>
      </c>
      <c r="I1720">
        <v>526.6875</v>
      </c>
      <c r="J1720" s="9">
        <f t="shared" si="26"/>
        <v>43746.707028217592</v>
      </c>
      <c r="K1720" s="1"/>
    </row>
    <row r="1721" spans="1:11" x14ac:dyDescent="0.25">
      <c r="A1721" t="e">
        <f>-LqenWKwmWVMrir9NzHU</f>
        <v>#NAME?</v>
      </c>
      <c r="B1721">
        <v>393.75</v>
      </c>
      <c r="C1721">
        <v>20.584240000000001</v>
      </c>
      <c r="D1721">
        <v>38</v>
      </c>
      <c r="E1721">
        <v>0</v>
      </c>
      <c r="F1721">
        <v>0</v>
      </c>
      <c r="G1721">
        <v>6</v>
      </c>
      <c r="H1721" s="4">
        <v>1570528694458</v>
      </c>
      <c r="I1721">
        <v>526.6875</v>
      </c>
      <c r="J1721" s="9">
        <f t="shared" si="26"/>
        <v>43746.707111782402</v>
      </c>
      <c r="K1721" s="1"/>
    </row>
    <row r="1722" spans="1:11" x14ac:dyDescent="0.25">
      <c r="A1722" t="e">
        <f>-LqenXokujsaq8P8vG-S</f>
        <v>#NAME?</v>
      </c>
      <c r="B1722">
        <v>393.75</v>
      </c>
      <c r="C1722">
        <v>20.584240000000001</v>
      </c>
      <c r="D1722">
        <v>38</v>
      </c>
      <c r="E1722">
        <v>0</v>
      </c>
      <c r="F1722">
        <v>0</v>
      </c>
      <c r="G1722">
        <v>11</v>
      </c>
      <c r="H1722" s="4">
        <v>1570528700617</v>
      </c>
      <c r="I1722">
        <v>526.6875</v>
      </c>
      <c r="J1722" s="9">
        <f t="shared" si="26"/>
        <v>43746.707183067127</v>
      </c>
      <c r="K1722" s="1"/>
    </row>
    <row r="1723" spans="1:11" x14ac:dyDescent="0.25">
      <c r="A1723" t="e">
        <f>-LqenZNos0CFNiiHddes</f>
        <v>#NAME?</v>
      </c>
      <c r="B1723">
        <v>393.75</v>
      </c>
      <c r="C1723">
        <v>20.584240000000001</v>
      </c>
      <c r="D1723">
        <v>39</v>
      </c>
      <c r="E1723">
        <v>0</v>
      </c>
      <c r="F1723">
        <v>0</v>
      </c>
      <c r="G1723">
        <v>6</v>
      </c>
      <c r="H1723" s="4">
        <v>1570528706839</v>
      </c>
      <c r="I1723">
        <v>526.6875</v>
      </c>
      <c r="J1723" s="9">
        <f t="shared" si="26"/>
        <v>43746.707255081019</v>
      </c>
      <c r="K1723" s="1"/>
    </row>
    <row r="1724" spans="1:11" x14ac:dyDescent="0.25">
      <c r="A1724" t="e">
        <f>-Lqena5uz2Yt8q5WbDSa</f>
        <v>#NAME?</v>
      </c>
      <c r="B1724">
        <v>393.75</v>
      </c>
      <c r="C1724">
        <v>20.584240000000001</v>
      </c>
      <c r="D1724">
        <v>40</v>
      </c>
      <c r="E1724">
        <v>0</v>
      </c>
      <c r="F1724">
        <v>0</v>
      </c>
      <c r="G1724">
        <v>8</v>
      </c>
      <c r="H1724" s="4">
        <v>1570528714048</v>
      </c>
      <c r="I1724">
        <v>526.6875</v>
      </c>
      <c r="J1724" s="9">
        <f t="shared" si="26"/>
        <v>43746.707338518514</v>
      </c>
      <c r="K1724" s="1"/>
    </row>
    <row r="1725" spans="1:11" x14ac:dyDescent="0.25">
      <c r="A1725" t="e">
        <f>-LqenbemqOWLR0MvnT8r</f>
        <v>#NAME?</v>
      </c>
      <c r="B1725">
        <v>393.75</v>
      </c>
      <c r="C1725">
        <v>20.584240000000001</v>
      </c>
      <c r="D1725">
        <v>40</v>
      </c>
      <c r="E1725">
        <v>0</v>
      </c>
      <c r="F1725">
        <v>0</v>
      </c>
      <c r="G1725">
        <v>15</v>
      </c>
      <c r="H1725" s="4">
        <v>1570528720229</v>
      </c>
      <c r="I1725">
        <v>526.6875</v>
      </c>
      <c r="J1725" s="9">
        <f t="shared" si="26"/>
        <v>43746.707410057868</v>
      </c>
      <c r="K1725" s="1"/>
    </row>
    <row r="1726" spans="1:11" x14ac:dyDescent="0.25">
      <c r="A1726" t="e">
        <f>-LqendiKhBZn2pzO74yV</f>
        <v>#NAME?</v>
      </c>
      <c r="B1726">
        <v>393.75</v>
      </c>
      <c r="C1726">
        <v>20.584240000000001</v>
      </c>
      <c r="D1726">
        <v>39</v>
      </c>
      <c r="E1726">
        <v>0</v>
      </c>
      <c r="F1726">
        <v>0</v>
      </c>
      <c r="G1726">
        <v>16</v>
      </c>
      <c r="H1726" s="4">
        <v>1570528727417</v>
      </c>
      <c r="I1726">
        <v>526.6875</v>
      </c>
      <c r="J1726" s="9">
        <f t="shared" si="26"/>
        <v>43746.707493252317</v>
      </c>
      <c r="K1726" s="1"/>
    </row>
    <row r="1727" spans="1:11" x14ac:dyDescent="0.25">
      <c r="A1727" t="e">
        <f>-LqenfPk7KEebFo9SzvV</f>
        <v>#NAME?</v>
      </c>
      <c r="B1727">
        <v>393.75</v>
      </c>
      <c r="C1727">
        <v>20.584240000000001</v>
      </c>
      <c r="D1727">
        <v>38</v>
      </c>
      <c r="E1727">
        <v>0</v>
      </c>
      <c r="F1727">
        <v>0</v>
      </c>
      <c r="G1727">
        <v>12</v>
      </c>
      <c r="H1727" s="4">
        <v>1570528735684</v>
      </c>
      <c r="I1727">
        <v>526.6875</v>
      </c>
      <c r="J1727" s="9">
        <f t="shared" si="26"/>
        <v>43746.707588935184</v>
      </c>
      <c r="K1727" s="1"/>
    </row>
    <row r="1728" spans="1:11" x14ac:dyDescent="0.25">
      <c r="A1728" t="e">
        <f>-LqenhCjP_1xtGdZN_Ol</f>
        <v>#NAME?</v>
      </c>
      <c r="B1728">
        <v>393.75</v>
      </c>
      <c r="C1728">
        <v>20.584240000000001</v>
      </c>
      <c r="D1728">
        <v>38</v>
      </c>
      <c r="E1728">
        <v>0</v>
      </c>
      <c r="F1728">
        <v>0</v>
      </c>
      <c r="G1728">
        <v>8</v>
      </c>
      <c r="H1728" s="4">
        <v>1570528742896</v>
      </c>
      <c r="I1728">
        <v>526.5</v>
      </c>
      <c r="J1728" s="9">
        <f t="shared" si="26"/>
        <v>43746.707672407407</v>
      </c>
      <c r="K1728" s="1"/>
    </row>
    <row r="1729" spans="1:11" x14ac:dyDescent="0.25">
      <c r="A1729" t="e">
        <f>-Lqenivjeu2vgNHeWF6q</f>
        <v>#NAME?</v>
      </c>
      <c r="B1729">
        <v>418.75</v>
      </c>
      <c r="C1729">
        <v>20.584240000000001</v>
      </c>
      <c r="D1729">
        <v>41</v>
      </c>
      <c r="E1729">
        <v>0</v>
      </c>
      <c r="F1729">
        <v>0</v>
      </c>
      <c r="G1729">
        <v>13</v>
      </c>
      <c r="H1729" s="4">
        <v>1570528750105</v>
      </c>
      <c r="I1729">
        <v>534</v>
      </c>
      <c r="J1729" s="9">
        <f t="shared" si="26"/>
        <v>43746.707755844902</v>
      </c>
      <c r="K1729" s="1"/>
    </row>
    <row r="1730" spans="1:11" x14ac:dyDescent="0.25">
      <c r="A1730" t="e">
        <f>-LqenkiuwKrS1sB3KhlP</f>
        <v>#NAME?</v>
      </c>
      <c r="B1730">
        <v>393.75</v>
      </c>
      <c r="C1730">
        <v>20.584240000000001</v>
      </c>
      <c r="D1730">
        <v>40</v>
      </c>
      <c r="E1730">
        <v>0</v>
      </c>
      <c r="F1730">
        <v>0</v>
      </c>
      <c r="G1730">
        <v>12</v>
      </c>
      <c r="H1730" s="4">
        <v>1570528757315</v>
      </c>
      <c r="I1730">
        <v>526.6875</v>
      </c>
      <c r="J1730" s="9">
        <f t="shared" si="26"/>
        <v>43746.70783929398</v>
      </c>
      <c r="K1730" s="1"/>
    </row>
    <row r="1731" spans="1:11" x14ac:dyDescent="0.25">
      <c r="A1731" t="e">
        <f>-LqenmQeoG9vWNo5QCRh</f>
        <v>#NAME?</v>
      </c>
      <c r="B1731">
        <v>393.75</v>
      </c>
      <c r="C1731">
        <v>20.584240000000001</v>
      </c>
      <c r="D1731">
        <v>40</v>
      </c>
      <c r="E1731">
        <v>0</v>
      </c>
      <c r="F1731">
        <v>0</v>
      </c>
      <c r="G1731">
        <v>9</v>
      </c>
      <c r="H1731" s="4">
        <v>1570528764536</v>
      </c>
      <c r="I1731">
        <v>526.6875</v>
      </c>
      <c r="J1731" s="9">
        <f t="shared" ref="J1731:J1794" si="27">(H1731/86400000)+25569+(7/24)</f>
        <v>43746.707922870373</v>
      </c>
      <c r="K1731" s="1"/>
    </row>
    <row r="1732" spans="1:11" x14ac:dyDescent="0.25">
      <c r="A1732" t="e">
        <f>-LqenoDgq_sWV1ql0itJ</f>
        <v>#NAME?</v>
      </c>
      <c r="B1732">
        <v>393.75</v>
      </c>
      <c r="C1732">
        <v>20.584240000000001</v>
      </c>
      <c r="D1732">
        <v>40</v>
      </c>
      <c r="E1732">
        <v>0</v>
      </c>
      <c r="F1732">
        <v>0</v>
      </c>
      <c r="G1732">
        <v>18</v>
      </c>
      <c r="H1732" s="4">
        <v>1570528771736</v>
      </c>
      <c r="I1732">
        <v>526.6875</v>
      </c>
      <c r="J1732" s="9">
        <f t="shared" si="27"/>
        <v>43746.708006203706</v>
      </c>
      <c r="K1732" s="1"/>
    </row>
    <row r="1733" spans="1:11" x14ac:dyDescent="0.25">
      <c r="A1733" t="e">
        <f>-LqenpxjO7Qt6iBOuJAU</f>
        <v>#NAME?</v>
      </c>
      <c r="B1733">
        <v>393.75</v>
      </c>
      <c r="C1733">
        <v>20.531590000000001</v>
      </c>
      <c r="D1733">
        <v>44</v>
      </c>
      <c r="E1733">
        <v>0</v>
      </c>
      <c r="F1733">
        <v>0</v>
      </c>
      <c r="G1733">
        <v>14</v>
      </c>
      <c r="H1733" s="4">
        <v>1570528778935</v>
      </c>
      <c r="I1733">
        <v>526.5</v>
      </c>
      <c r="J1733" s="9">
        <f t="shared" si="27"/>
        <v>43746.708089525462</v>
      </c>
      <c r="K1733" s="1"/>
    </row>
    <row r="1734" spans="1:11" x14ac:dyDescent="0.25">
      <c r="A1734" t="e">
        <f>-LqenrWiwJs3kLa7h187</f>
        <v>#NAME?</v>
      </c>
      <c r="B1734">
        <v>393.75</v>
      </c>
      <c r="C1734">
        <v>20.531590000000001</v>
      </c>
      <c r="D1734">
        <v>44</v>
      </c>
      <c r="E1734">
        <v>0</v>
      </c>
      <c r="F1734">
        <v>0</v>
      </c>
      <c r="G1734">
        <v>18</v>
      </c>
      <c r="H1734" s="4">
        <v>1570528785151</v>
      </c>
      <c r="I1734">
        <v>526.6875</v>
      </c>
      <c r="J1734" s="9">
        <f t="shared" si="27"/>
        <v>43746.708161469905</v>
      </c>
      <c r="K1734" s="1"/>
    </row>
    <row r="1735" spans="1:11" x14ac:dyDescent="0.25">
      <c r="A1735" t="e">
        <f>-LqentEkAM0LahUUSo7d</f>
        <v>#NAME?</v>
      </c>
      <c r="B1735">
        <v>393.75</v>
      </c>
      <c r="C1735">
        <v>20.584240000000001</v>
      </c>
      <c r="D1735">
        <v>44</v>
      </c>
      <c r="E1735">
        <v>0</v>
      </c>
      <c r="F1735">
        <v>0</v>
      </c>
      <c r="G1735">
        <v>20</v>
      </c>
      <c r="H1735" s="4">
        <v>1570528792375</v>
      </c>
      <c r="I1735">
        <v>526.6875</v>
      </c>
      <c r="J1735" s="9">
        <f t="shared" si="27"/>
        <v>43746.708245081019</v>
      </c>
      <c r="K1735" s="1"/>
    </row>
    <row r="1736" spans="1:11" x14ac:dyDescent="0.25">
      <c r="A1736" t="e">
        <f>-Lqenv23cSyaQfT1WESo</f>
        <v>#NAME?</v>
      </c>
      <c r="B1736">
        <v>393.75</v>
      </c>
      <c r="C1736">
        <v>20.531590000000001</v>
      </c>
      <c r="D1736">
        <v>43</v>
      </c>
      <c r="E1736">
        <v>0</v>
      </c>
      <c r="F1736">
        <v>0</v>
      </c>
      <c r="G1736">
        <v>16</v>
      </c>
      <c r="H1736" s="4">
        <v>1570528799554</v>
      </c>
      <c r="I1736">
        <v>526.6875</v>
      </c>
      <c r="J1736" s="9">
        <f t="shared" si="27"/>
        <v>43746.708328171291</v>
      </c>
      <c r="K1736" s="1"/>
    </row>
    <row r="1737" spans="1:11" x14ac:dyDescent="0.25">
      <c r="A1737" t="e">
        <f>-Lqenwkk4cez-JBxRkZB</f>
        <v>#NAME?</v>
      </c>
      <c r="B1737">
        <v>393.75</v>
      </c>
      <c r="C1737">
        <v>20.584240000000001</v>
      </c>
      <c r="D1737">
        <v>41</v>
      </c>
      <c r="E1737">
        <v>0</v>
      </c>
      <c r="F1737">
        <v>0</v>
      </c>
      <c r="G1737">
        <v>15</v>
      </c>
      <c r="H1737" s="4">
        <v>1570528806775</v>
      </c>
      <c r="I1737">
        <v>526.6875</v>
      </c>
      <c r="J1737" s="9">
        <f t="shared" si="27"/>
        <v>43746.708411747684</v>
      </c>
      <c r="K1737" s="1"/>
    </row>
    <row r="1738" spans="1:11" x14ac:dyDescent="0.25">
      <c r="A1738" t="e">
        <f>-LqenyXdkItJSjST_93w</f>
        <v>#NAME?</v>
      </c>
      <c r="B1738">
        <v>393.75</v>
      </c>
      <c r="C1738">
        <v>20.584240000000001</v>
      </c>
      <c r="D1738">
        <v>42</v>
      </c>
      <c r="E1738">
        <v>0</v>
      </c>
      <c r="F1738">
        <v>0</v>
      </c>
      <c r="G1738">
        <v>16</v>
      </c>
      <c r="H1738" s="4">
        <v>1570528813985</v>
      </c>
      <c r="I1738">
        <v>526.6875</v>
      </c>
      <c r="J1738" s="9">
        <f t="shared" si="27"/>
        <v>43746.708495196755</v>
      </c>
      <c r="K1738" s="1"/>
    </row>
    <row r="1739" spans="1:11" x14ac:dyDescent="0.25">
      <c r="A1739" t="e">
        <f>-Lqeo-_cbZi3EpRHbCcp</f>
        <v>#NAME?</v>
      </c>
      <c r="B1739">
        <v>393.75</v>
      </c>
      <c r="C1739">
        <v>20.531590000000001</v>
      </c>
      <c r="D1739">
        <v>42</v>
      </c>
      <c r="E1739">
        <v>0</v>
      </c>
      <c r="F1739">
        <v>0</v>
      </c>
      <c r="G1739">
        <v>12</v>
      </c>
      <c r="H1739" s="4">
        <v>1570528822411</v>
      </c>
      <c r="I1739">
        <v>526.6875</v>
      </c>
      <c r="J1739" s="9">
        <f t="shared" si="27"/>
        <v>43746.7085927199</v>
      </c>
      <c r="K1739" s="1"/>
    </row>
    <row r="1740" spans="1:11" x14ac:dyDescent="0.25">
      <c r="A1740" t="e">
        <f>-Lqeo1He1JZFEGW22Q5h</f>
        <v>#NAME?</v>
      </c>
      <c r="B1740">
        <v>393.75</v>
      </c>
      <c r="C1740">
        <v>20.531590000000001</v>
      </c>
      <c r="D1740">
        <v>42</v>
      </c>
      <c r="E1740">
        <v>0</v>
      </c>
      <c r="F1740">
        <v>0</v>
      </c>
      <c r="G1740">
        <v>12</v>
      </c>
      <c r="H1740" s="4">
        <v>1570528829436</v>
      </c>
      <c r="I1740">
        <v>526.6875</v>
      </c>
      <c r="J1740" s="9">
        <f t="shared" si="27"/>
        <v>43746.708674027774</v>
      </c>
      <c r="K1740" s="1"/>
    </row>
    <row r="1741" spans="1:11" x14ac:dyDescent="0.25">
      <c r="A1741" t="e">
        <f>-Lqeo2muuow5l8MoqFiA</f>
        <v>#NAME?</v>
      </c>
      <c r="B1741">
        <v>393.75</v>
      </c>
      <c r="C1741">
        <v>20.584240000000001</v>
      </c>
      <c r="D1741">
        <v>43</v>
      </c>
      <c r="E1741">
        <v>0</v>
      </c>
      <c r="F1741">
        <v>0</v>
      </c>
      <c r="G1741">
        <v>21</v>
      </c>
      <c r="H1741" s="4">
        <v>1570528835593</v>
      </c>
      <c r="I1741">
        <v>526.6875</v>
      </c>
      <c r="J1741" s="9">
        <f t="shared" si="27"/>
        <v>43746.708745289354</v>
      </c>
      <c r="K1741" s="1"/>
    </row>
    <row r="1742" spans="1:11" x14ac:dyDescent="0.25">
      <c r="A1742" t="e">
        <f>-Lqeo4Gc-v7sO7WTG2Q6</f>
        <v>#NAME?</v>
      </c>
      <c r="B1742">
        <v>393.75</v>
      </c>
      <c r="C1742">
        <v>20.531590000000001</v>
      </c>
      <c r="D1742">
        <v>43</v>
      </c>
      <c r="E1742">
        <v>0</v>
      </c>
      <c r="F1742">
        <v>0</v>
      </c>
      <c r="G1742">
        <v>8</v>
      </c>
      <c r="H1742" s="4">
        <v>1570528841765</v>
      </c>
      <c r="I1742">
        <v>526.5</v>
      </c>
      <c r="J1742" s="9">
        <f t="shared" si="27"/>
        <v>43746.708816724531</v>
      </c>
      <c r="K1742" s="1"/>
    </row>
    <row r="1743" spans="1:11" x14ac:dyDescent="0.25">
      <c r="A1743" t="e">
        <f>-Lqeo5of3gXG2ZshyUXj</f>
        <v>#NAME?</v>
      </c>
      <c r="B1743">
        <v>393.75</v>
      </c>
      <c r="C1743">
        <v>20.584240000000001</v>
      </c>
      <c r="D1743">
        <v>42</v>
      </c>
      <c r="E1743">
        <v>0</v>
      </c>
      <c r="F1743">
        <v>0</v>
      </c>
      <c r="G1743">
        <v>11</v>
      </c>
      <c r="H1743" s="4">
        <v>1570528847976</v>
      </c>
      <c r="I1743">
        <v>526.6875</v>
      </c>
      <c r="J1743" s="9">
        <f t="shared" si="27"/>
        <v>43746.708888611109</v>
      </c>
      <c r="K1743" s="1"/>
    </row>
    <row r="1744" spans="1:11" x14ac:dyDescent="0.25">
      <c r="A1744" t="e">
        <f>-Lqeo7cjII9ecpf_rfKl</f>
        <v>#NAME?</v>
      </c>
      <c r="B1744">
        <v>393.75</v>
      </c>
      <c r="C1744">
        <v>20.584240000000001</v>
      </c>
      <c r="D1744">
        <v>42</v>
      </c>
      <c r="E1744">
        <v>0</v>
      </c>
      <c r="F1744">
        <v>0</v>
      </c>
      <c r="G1744">
        <v>10</v>
      </c>
      <c r="H1744" s="4">
        <v>1570528855197</v>
      </c>
      <c r="I1744">
        <v>526.6875</v>
      </c>
      <c r="J1744" s="9">
        <f t="shared" si="27"/>
        <v>43746.708972187502</v>
      </c>
      <c r="K1744" s="1"/>
    </row>
    <row r="1745" spans="1:11" x14ac:dyDescent="0.25">
      <c r="A1745" t="e">
        <f>-Lqeo9Kd8C70ecy3w4_r</f>
        <v>#NAME?</v>
      </c>
      <c r="B1745">
        <v>393.75</v>
      </c>
      <c r="C1745">
        <v>20.584240000000001</v>
      </c>
      <c r="D1745">
        <v>42</v>
      </c>
      <c r="E1745">
        <v>0</v>
      </c>
      <c r="F1745">
        <v>0</v>
      </c>
      <c r="G1745">
        <v>19</v>
      </c>
      <c r="H1745" s="4">
        <v>1570528862407</v>
      </c>
      <c r="I1745">
        <v>526.6875</v>
      </c>
      <c r="J1745" s="9">
        <f t="shared" si="27"/>
        <v>43746.709055636573</v>
      </c>
      <c r="K1745" s="1"/>
    </row>
    <row r="1746" spans="1:11" x14ac:dyDescent="0.25">
      <c r="A1746" t="e">
        <f>-LqeoBStUqCMfSShJDSQ</f>
        <v>#NAME?</v>
      </c>
      <c r="B1746">
        <v>393.75</v>
      </c>
      <c r="C1746">
        <v>20.584240000000001</v>
      </c>
      <c r="D1746">
        <v>41</v>
      </c>
      <c r="E1746">
        <v>0</v>
      </c>
      <c r="F1746">
        <v>0</v>
      </c>
      <c r="G1746">
        <v>16</v>
      </c>
      <c r="H1746" s="4">
        <v>1570528869617</v>
      </c>
      <c r="I1746">
        <v>526.6875</v>
      </c>
      <c r="J1746" s="9">
        <f t="shared" si="27"/>
        <v>43746.709139085644</v>
      </c>
      <c r="K1746" s="1"/>
    </row>
    <row r="1747" spans="1:11" x14ac:dyDescent="0.25">
      <c r="A1747" t="e">
        <f>-LqeoD788UjZ9OJLJL60</f>
        <v>#NAME?</v>
      </c>
      <c r="B1747">
        <v>393.75</v>
      </c>
      <c r="C1747">
        <v>20.531590000000001</v>
      </c>
      <c r="D1747">
        <v>41</v>
      </c>
      <c r="E1747">
        <v>0</v>
      </c>
      <c r="F1747">
        <v>0</v>
      </c>
      <c r="G1747">
        <v>9</v>
      </c>
      <c r="H1747" s="4">
        <v>1570528877849</v>
      </c>
      <c r="I1747">
        <v>526.6875</v>
      </c>
      <c r="J1747" s="9">
        <f t="shared" si="27"/>
        <v>43746.709234363421</v>
      </c>
      <c r="K1747" s="1"/>
    </row>
    <row r="1748" spans="1:11" x14ac:dyDescent="0.25">
      <c r="A1748" t="e">
        <f>-LqeoEcTgTcD1y7RT9Jg</f>
        <v>#NAME?</v>
      </c>
      <c r="B1748">
        <v>393.75</v>
      </c>
      <c r="C1748">
        <v>20.584240000000001</v>
      </c>
      <c r="D1748">
        <v>42</v>
      </c>
      <c r="E1748">
        <v>0</v>
      </c>
      <c r="F1748">
        <v>0</v>
      </c>
      <c r="G1748">
        <v>19</v>
      </c>
      <c r="H1748" s="4">
        <v>1570528884043</v>
      </c>
      <c r="I1748">
        <v>526.6875</v>
      </c>
      <c r="J1748" s="9">
        <f t="shared" si="27"/>
        <v>43746.709306053242</v>
      </c>
      <c r="K1748" s="1"/>
    </row>
    <row r="1749" spans="1:11" x14ac:dyDescent="0.25">
      <c r="A1749" t="e">
        <f>-LqeoGGcOtN0-BJcqG8O</f>
        <v>#NAME?</v>
      </c>
      <c r="B1749">
        <v>412.5</v>
      </c>
      <c r="C1749">
        <v>20.584240000000001</v>
      </c>
      <c r="D1749">
        <v>42</v>
      </c>
      <c r="E1749">
        <v>0</v>
      </c>
      <c r="F1749">
        <v>0</v>
      </c>
      <c r="G1749">
        <v>8</v>
      </c>
      <c r="H1749" s="4">
        <v>1570528890258</v>
      </c>
      <c r="I1749">
        <v>532.3125</v>
      </c>
      <c r="J1749" s="9">
        <f t="shared" si="27"/>
        <v>43746.70937798611</v>
      </c>
      <c r="K1749" s="1"/>
    </row>
    <row r="1750" spans="1:11" x14ac:dyDescent="0.25">
      <c r="A1750" t="e">
        <f>-LqeoHs7VA6vuJKXsI9Y</f>
        <v>#NAME?</v>
      </c>
      <c r="B1750">
        <v>393.75</v>
      </c>
      <c r="C1750">
        <v>20.531590000000001</v>
      </c>
      <c r="D1750">
        <v>42</v>
      </c>
      <c r="E1750">
        <v>0</v>
      </c>
      <c r="F1750">
        <v>0</v>
      </c>
      <c r="G1750">
        <v>13</v>
      </c>
      <c r="H1750" s="4">
        <v>1570528897434</v>
      </c>
      <c r="I1750">
        <v>526.6875</v>
      </c>
      <c r="J1750" s="9">
        <f t="shared" si="27"/>
        <v>43746.709461041661</v>
      </c>
      <c r="K1750" s="1"/>
    </row>
    <row r="1751" spans="1:11" x14ac:dyDescent="0.25">
      <c r="A1751" t="e">
        <f>-LqeoJgluC__9USChyYn</f>
        <v>#NAME?</v>
      </c>
      <c r="B1751">
        <v>393.75</v>
      </c>
      <c r="C1751">
        <v>20.584240000000001</v>
      </c>
      <c r="D1751">
        <v>40</v>
      </c>
      <c r="E1751">
        <v>0</v>
      </c>
      <c r="F1751">
        <v>0</v>
      </c>
      <c r="G1751">
        <v>17</v>
      </c>
      <c r="H1751" s="4">
        <v>1570528903611</v>
      </c>
      <c r="I1751">
        <v>526.6875</v>
      </c>
      <c r="J1751" s="9">
        <f t="shared" si="27"/>
        <v>43746.709532534718</v>
      </c>
      <c r="K1751" s="1"/>
    </row>
    <row r="1752" spans="1:11" x14ac:dyDescent="0.25">
      <c r="A1752" t="e">
        <f>-LqeoLPIntbXTg68AK7v</f>
        <v>#NAME?</v>
      </c>
      <c r="B1752">
        <v>393.75</v>
      </c>
      <c r="C1752">
        <v>20.584240000000001</v>
      </c>
      <c r="D1752">
        <v>43</v>
      </c>
      <c r="E1752">
        <v>0</v>
      </c>
      <c r="F1752">
        <v>0</v>
      </c>
      <c r="G1752">
        <v>16</v>
      </c>
      <c r="H1752" s="4">
        <v>1570528911848</v>
      </c>
      <c r="I1752">
        <v>526.6875</v>
      </c>
      <c r="J1752" s="9">
        <f t="shared" si="27"/>
        <v>43746.709627870368</v>
      </c>
      <c r="K1752" s="1"/>
    </row>
    <row r="1753" spans="1:11" x14ac:dyDescent="0.25">
      <c r="A1753" t="e">
        <f>-LqeoNTswbMQtEkFnNDZ</f>
        <v>#NAME?</v>
      </c>
      <c r="B1753">
        <v>393.75</v>
      </c>
      <c r="C1753">
        <v>20.584240000000001</v>
      </c>
      <c r="D1753">
        <v>42</v>
      </c>
      <c r="E1753">
        <v>0</v>
      </c>
      <c r="F1753">
        <v>0</v>
      </c>
      <c r="G1753">
        <v>22</v>
      </c>
      <c r="H1753" s="4">
        <v>1570528919059</v>
      </c>
      <c r="I1753">
        <v>526.6875</v>
      </c>
      <c r="J1753" s="9">
        <f t="shared" si="27"/>
        <v>43746.709711331016</v>
      </c>
      <c r="K1753" s="1"/>
    </row>
    <row r="1754" spans="1:11" x14ac:dyDescent="0.25">
      <c r="A1754" t="e">
        <f>-LqeoPCoPQCQtid0QC1_</f>
        <v>#NAME?</v>
      </c>
      <c r="B1754">
        <v>393.75</v>
      </c>
      <c r="C1754">
        <v>20.584240000000001</v>
      </c>
      <c r="D1754">
        <v>42</v>
      </c>
      <c r="E1754">
        <v>0</v>
      </c>
      <c r="F1754">
        <v>0</v>
      </c>
      <c r="G1754">
        <v>17</v>
      </c>
      <c r="H1754" s="4">
        <v>1570528927368</v>
      </c>
      <c r="I1754">
        <v>526.6875</v>
      </c>
      <c r="J1754" s="9">
        <f t="shared" si="27"/>
        <v>43746.709807499996</v>
      </c>
      <c r="K1754" s="1"/>
    </row>
    <row r="1755" spans="1:11" x14ac:dyDescent="0.25">
      <c r="A1755" t="e">
        <f>-LqeoQfmiSa1I6Tl7JQ5</f>
        <v>#NAME?</v>
      </c>
      <c r="B1755">
        <v>393.75</v>
      </c>
      <c r="C1755">
        <v>20.478950000000001</v>
      </c>
      <c r="D1755">
        <v>42</v>
      </c>
      <c r="E1755">
        <v>0</v>
      </c>
      <c r="F1755">
        <v>0</v>
      </c>
      <c r="G1755">
        <v>22</v>
      </c>
      <c r="H1755" s="4">
        <v>1570528933459</v>
      </c>
      <c r="I1755">
        <v>526.6875</v>
      </c>
      <c r="J1755" s="9">
        <f t="shared" si="27"/>
        <v>43746.709877997688</v>
      </c>
      <c r="K1755" s="1"/>
    </row>
    <row r="1756" spans="1:11" x14ac:dyDescent="0.25">
      <c r="A1756" t="e">
        <f>-LqeoSCTgSYjaJfAXYpC</f>
        <v>#NAME?</v>
      </c>
      <c r="B1756">
        <v>393.75</v>
      </c>
      <c r="C1756">
        <v>20.531590000000001</v>
      </c>
      <c r="D1756">
        <v>42</v>
      </c>
      <c r="E1756">
        <v>0</v>
      </c>
      <c r="F1756">
        <v>0</v>
      </c>
      <c r="G1756">
        <v>15</v>
      </c>
      <c r="H1756" s="4">
        <v>1570528939689</v>
      </c>
      <c r="I1756">
        <v>526.6875</v>
      </c>
      <c r="J1756" s="9">
        <f t="shared" si="27"/>
        <v>43746.709950104159</v>
      </c>
      <c r="K1756" s="1"/>
    </row>
    <row r="1757" spans="1:11" x14ac:dyDescent="0.25">
      <c r="A1757" t="e">
        <f>-LqeoThdi-_v_gpA0kLB</f>
        <v>#NAME?</v>
      </c>
      <c r="B1757">
        <v>393.75</v>
      </c>
      <c r="C1757">
        <v>20.584240000000001</v>
      </c>
      <c r="D1757">
        <v>42</v>
      </c>
      <c r="E1757">
        <v>0</v>
      </c>
      <c r="F1757">
        <v>0</v>
      </c>
      <c r="G1757">
        <v>13</v>
      </c>
      <c r="H1757" s="4">
        <v>1570528945850</v>
      </c>
      <c r="I1757">
        <v>526.6875</v>
      </c>
      <c r="J1757" s="9">
        <f t="shared" si="27"/>
        <v>43746.710021412036</v>
      </c>
      <c r="K1757" s="1"/>
    </row>
    <row r="1758" spans="1:11" x14ac:dyDescent="0.25">
      <c r="A1758" t="e">
        <f>-LqeoVECIokvVDQ7KOIT</f>
        <v>#NAME?</v>
      </c>
      <c r="B1758">
        <v>393.75</v>
      </c>
      <c r="C1758">
        <v>20.584240000000001</v>
      </c>
      <c r="D1758">
        <v>42</v>
      </c>
      <c r="E1758">
        <v>0</v>
      </c>
      <c r="F1758">
        <v>0</v>
      </c>
      <c r="G1758">
        <v>18</v>
      </c>
      <c r="H1758" s="4">
        <v>1570528952089</v>
      </c>
      <c r="I1758">
        <v>526.6875</v>
      </c>
      <c r="J1758" s="9">
        <f t="shared" si="27"/>
        <v>43746.710093622685</v>
      </c>
      <c r="K1758" s="1"/>
    </row>
    <row r="1759" spans="1:11" x14ac:dyDescent="0.25">
      <c r="A1759" t="e">
        <f>-LqeoWjOqp2qe1ZnikZq</f>
        <v>#NAME?</v>
      </c>
      <c r="B1759">
        <v>393.75</v>
      </c>
      <c r="C1759">
        <v>20.531590000000001</v>
      </c>
      <c r="D1759">
        <v>41</v>
      </c>
      <c r="E1759">
        <v>0</v>
      </c>
      <c r="F1759">
        <v>0</v>
      </c>
      <c r="G1759">
        <v>17</v>
      </c>
      <c r="H1759" s="4">
        <v>1570528958251</v>
      </c>
      <c r="I1759">
        <v>526.6875</v>
      </c>
      <c r="J1759" s="9">
        <f t="shared" si="27"/>
        <v>43746.710164942131</v>
      </c>
      <c r="K1759" s="1"/>
    </row>
    <row r="1760" spans="1:11" x14ac:dyDescent="0.25">
      <c r="A1760" t="e">
        <f>-LqeoYW6iBADIC896N1M</f>
        <v>#NAME?</v>
      </c>
      <c r="B1760">
        <v>393.75</v>
      </c>
      <c r="C1760">
        <v>20.584240000000001</v>
      </c>
      <c r="D1760">
        <v>41</v>
      </c>
      <c r="E1760">
        <v>0</v>
      </c>
      <c r="F1760">
        <v>0</v>
      </c>
      <c r="G1760">
        <v>12</v>
      </c>
      <c r="H1760" s="4">
        <v>1570528965537</v>
      </c>
      <c r="I1760">
        <v>526.6875</v>
      </c>
      <c r="J1760" s="9">
        <f t="shared" si="27"/>
        <v>43746.710249270829</v>
      </c>
      <c r="K1760" s="1"/>
    </row>
    <row r="1761" spans="1:11" x14ac:dyDescent="0.25">
      <c r="A1761" t="e">
        <f>-Lqeo_FQmos_JOTmgP1f</f>
        <v>#NAME?</v>
      </c>
      <c r="B1761">
        <v>393.75</v>
      </c>
      <c r="C1761">
        <v>20.531590000000001</v>
      </c>
      <c r="D1761">
        <v>41</v>
      </c>
      <c r="E1761">
        <v>0</v>
      </c>
      <c r="F1761">
        <v>0</v>
      </c>
      <c r="G1761">
        <v>16</v>
      </c>
      <c r="H1761" s="4">
        <v>1570528972646</v>
      </c>
      <c r="I1761">
        <v>526.6875</v>
      </c>
      <c r="J1761" s="9">
        <f t="shared" si="27"/>
        <v>43746.710331550923</v>
      </c>
      <c r="K1761" s="1"/>
    </row>
    <row r="1762" spans="1:11" x14ac:dyDescent="0.25">
      <c r="A1762" t="e">
        <f>-Lqeoakan0PZ7kMYYZCV</f>
        <v>#NAME?</v>
      </c>
      <c r="B1762">
        <v>393.75</v>
      </c>
      <c r="C1762">
        <v>20.584240000000001</v>
      </c>
      <c r="D1762">
        <v>42</v>
      </c>
      <c r="E1762">
        <v>0</v>
      </c>
      <c r="F1762">
        <v>0</v>
      </c>
      <c r="G1762">
        <v>11</v>
      </c>
      <c r="H1762" s="4">
        <v>1570528978837</v>
      </c>
      <c r="I1762">
        <v>526.6875</v>
      </c>
      <c r="J1762" s="9">
        <f t="shared" si="27"/>
        <v>43746.710403206016</v>
      </c>
      <c r="K1762" s="1"/>
    </row>
    <row r="1763" spans="1:11" x14ac:dyDescent="0.25">
      <c r="A1763" t="e">
        <f>-LqeocHBMVpmtB7GApvn</f>
        <v>#NAME?</v>
      </c>
      <c r="B1763">
        <v>393.75</v>
      </c>
      <c r="C1763">
        <v>20.531590000000001</v>
      </c>
      <c r="D1763">
        <v>42</v>
      </c>
      <c r="E1763">
        <v>0</v>
      </c>
      <c r="F1763">
        <v>0</v>
      </c>
      <c r="G1763">
        <v>16</v>
      </c>
      <c r="H1763" s="4">
        <v>1570528985052</v>
      </c>
      <c r="I1763">
        <v>526.6875</v>
      </c>
      <c r="J1763" s="9">
        <f t="shared" si="27"/>
        <v>43746.710475138891</v>
      </c>
      <c r="K1763" s="1"/>
    </row>
    <row r="1764" spans="1:11" x14ac:dyDescent="0.25">
      <c r="A1764" t="e">
        <f>-LqeodlBycgbOdlTlflI</f>
        <v>#NAME?</v>
      </c>
      <c r="B1764">
        <v>393.75</v>
      </c>
      <c r="C1764">
        <v>20.584240000000001</v>
      </c>
      <c r="D1764">
        <v>41</v>
      </c>
      <c r="E1764">
        <v>0</v>
      </c>
      <c r="F1764">
        <v>0</v>
      </c>
      <c r="G1764">
        <v>11</v>
      </c>
      <c r="H1764" s="4">
        <v>1570528991200</v>
      </c>
      <c r="I1764">
        <v>526.6875</v>
      </c>
      <c r="J1764" s="9">
        <f t="shared" si="27"/>
        <v>43746.710546296294</v>
      </c>
      <c r="K1764" s="1"/>
    </row>
    <row r="1765" spans="1:11" x14ac:dyDescent="0.25">
      <c r="A1765" t="e">
        <f>-LqeofK9EX_tf7PrrBqJ</f>
        <v>#NAME?</v>
      </c>
      <c r="B1765">
        <v>393.75</v>
      </c>
      <c r="C1765">
        <v>20.584240000000001</v>
      </c>
      <c r="D1765">
        <v>41</v>
      </c>
      <c r="E1765">
        <v>0</v>
      </c>
      <c r="F1765">
        <v>0</v>
      </c>
      <c r="G1765">
        <v>15</v>
      </c>
      <c r="H1765" s="4">
        <v>1570528997343</v>
      </c>
      <c r="I1765">
        <v>526.6875</v>
      </c>
      <c r="J1765" s="9">
        <f t="shared" si="27"/>
        <v>43746.710617395831</v>
      </c>
      <c r="K1765" s="1"/>
    </row>
    <row r="1766" spans="1:11" x14ac:dyDescent="0.25">
      <c r="A1766" t="e">
        <f>-Lqeoh145IvgpQM0aUEb</f>
        <v>#NAME?</v>
      </c>
      <c r="B1766">
        <v>393.75</v>
      </c>
      <c r="C1766">
        <v>20.584240000000001</v>
      </c>
      <c r="D1766">
        <v>42</v>
      </c>
      <c r="E1766">
        <v>0</v>
      </c>
      <c r="F1766">
        <v>0</v>
      </c>
      <c r="G1766">
        <v>12</v>
      </c>
      <c r="H1766" s="4">
        <v>1570529004562</v>
      </c>
      <c r="I1766">
        <v>526.6875</v>
      </c>
      <c r="J1766" s="9">
        <f t="shared" si="27"/>
        <v>43746.710700949072</v>
      </c>
      <c r="K1766" s="1"/>
    </row>
    <row r="1767" spans="1:11" x14ac:dyDescent="0.25">
      <c r="A1767" t="e">
        <f>-LqeoiqA-O4PZkWbiqKA</f>
        <v>#NAME?</v>
      </c>
      <c r="B1767">
        <v>412.5</v>
      </c>
      <c r="C1767">
        <v>20.531590000000001</v>
      </c>
      <c r="D1767">
        <v>41</v>
      </c>
      <c r="E1767">
        <v>0</v>
      </c>
      <c r="F1767">
        <v>0</v>
      </c>
      <c r="G1767">
        <v>19</v>
      </c>
      <c r="H1767" s="4">
        <v>1570529011803</v>
      </c>
      <c r="I1767">
        <v>532.5</v>
      </c>
      <c r="J1767" s="9">
        <f t="shared" si="27"/>
        <v>43746.710784756942</v>
      </c>
      <c r="K1767" s="1"/>
    </row>
    <row r="1768" spans="1:11" x14ac:dyDescent="0.25">
      <c r="A1768" t="e">
        <f>-LqeokLSqXxzTrDrCFV7</f>
        <v>#NAME?</v>
      </c>
      <c r="B1768">
        <v>393.75</v>
      </c>
      <c r="C1768">
        <v>20.531590000000001</v>
      </c>
      <c r="D1768">
        <v>41</v>
      </c>
      <c r="E1768">
        <v>0</v>
      </c>
      <c r="F1768">
        <v>0</v>
      </c>
      <c r="G1768">
        <v>18</v>
      </c>
      <c r="H1768" s="4">
        <v>1570529017963</v>
      </c>
      <c r="I1768">
        <v>526.6875</v>
      </c>
      <c r="J1768" s="9">
        <f t="shared" si="27"/>
        <v>43746.710856053243</v>
      </c>
      <c r="K1768" s="1"/>
    </row>
    <row r="1769" spans="1:11" x14ac:dyDescent="0.25">
      <c r="A1769" t="e">
        <f>-Lqeom7KomwuIsoHZBqT</f>
        <v>#NAME?</v>
      </c>
      <c r="B1769">
        <v>393.75</v>
      </c>
      <c r="C1769">
        <v>20.531590000000001</v>
      </c>
      <c r="D1769">
        <v>41</v>
      </c>
      <c r="E1769">
        <v>0</v>
      </c>
      <c r="F1769">
        <v>0</v>
      </c>
      <c r="G1769">
        <v>19</v>
      </c>
      <c r="H1769" s="4">
        <v>1570529025181</v>
      </c>
      <c r="I1769">
        <v>526.6875</v>
      </c>
      <c r="J1769" s="9">
        <f t="shared" si="27"/>
        <v>43746.710939594901</v>
      </c>
      <c r="K1769" s="1"/>
    </row>
    <row r="1770" spans="1:11" x14ac:dyDescent="0.25">
      <c r="A1770" t="e">
        <f>-Lqeonq2FYHj4sQ18EC5</f>
        <v>#NAME?</v>
      </c>
      <c r="B1770">
        <v>393.75</v>
      </c>
      <c r="C1770">
        <v>20.584240000000001</v>
      </c>
      <c r="D1770">
        <v>40</v>
      </c>
      <c r="E1770">
        <v>0</v>
      </c>
      <c r="F1770">
        <v>0</v>
      </c>
      <c r="G1770">
        <v>9</v>
      </c>
      <c r="H1770" s="4">
        <v>1570529032403</v>
      </c>
      <c r="I1770">
        <v>526.6875</v>
      </c>
      <c r="J1770" s="9">
        <f t="shared" si="27"/>
        <v>43746.711023182863</v>
      </c>
      <c r="K1770" s="1"/>
    </row>
    <row r="1771" spans="1:11" x14ac:dyDescent="0.25">
      <c r="A1771" t="e">
        <f>-Lqeopc4aHEL3KmwD2fd</f>
        <v>#NAME?</v>
      </c>
      <c r="B1771">
        <v>393.75</v>
      </c>
      <c r="C1771">
        <v>20.584240000000001</v>
      </c>
      <c r="D1771">
        <v>40</v>
      </c>
      <c r="E1771">
        <v>0</v>
      </c>
      <c r="F1771">
        <v>0</v>
      </c>
      <c r="G1771">
        <v>9</v>
      </c>
      <c r="H1771" s="4">
        <v>1570529039612</v>
      </c>
      <c r="I1771">
        <v>526.6875</v>
      </c>
      <c r="J1771" s="9">
        <f t="shared" si="27"/>
        <v>43746.711106620372</v>
      </c>
      <c r="K1771" s="1"/>
    </row>
    <row r="1772" spans="1:11" x14ac:dyDescent="0.25">
      <c r="A1772" t="e">
        <f>-LqeorKxZXxV53d5AubE</f>
        <v>#NAME?</v>
      </c>
      <c r="B1772">
        <v>412.5</v>
      </c>
      <c r="C1772">
        <v>20.584240000000001</v>
      </c>
      <c r="D1772">
        <v>40</v>
      </c>
      <c r="E1772">
        <v>0</v>
      </c>
      <c r="F1772">
        <v>0</v>
      </c>
      <c r="G1772">
        <v>11</v>
      </c>
      <c r="H1772" s="4">
        <v>1570529046802</v>
      </c>
      <c r="I1772">
        <v>532.5</v>
      </c>
      <c r="J1772" s="9">
        <f t="shared" si="27"/>
        <v>43746.711189837959</v>
      </c>
      <c r="K1772" s="1"/>
    </row>
    <row r="1773" spans="1:11" x14ac:dyDescent="0.25">
      <c r="A1773" t="s">
        <v>95</v>
      </c>
      <c r="B1773">
        <v>393.75</v>
      </c>
      <c r="C1773">
        <v>20.584240000000001</v>
      </c>
      <c r="D1773">
        <v>40</v>
      </c>
      <c r="E1773">
        <v>0</v>
      </c>
      <c r="F1773">
        <v>0</v>
      </c>
      <c r="G1773">
        <v>16</v>
      </c>
      <c r="H1773" s="4">
        <v>1570529053003</v>
      </c>
      <c r="I1773">
        <v>526.6875</v>
      </c>
      <c r="J1773" s="9">
        <f t="shared" si="27"/>
        <v>43746.711261608791</v>
      </c>
      <c r="K1773" s="1"/>
    </row>
    <row r="1774" spans="1:11" x14ac:dyDescent="0.25">
      <c r="A1774" t="e">
        <f>-LqeousBE6ylEOX4l9cY</f>
        <v>#NAME?</v>
      </c>
      <c r="B1774">
        <v>393.75</v>
      </c>
      <c r="C1774">
        <v>20.531590000000001</v>
      </c>
      <c r="D1774">
        <v>42</v>
      </c>
      <c r="E1774">
        <v>0</v>
      </c>
      <c r="F1774">
        <v>0</v>
      </c>
      <c r="G1774">
        <v>19</v>
      </c>
      <c r="H1774" s="4">
        <v>1570529061270</v>
      </c>
      <c r="I1774">
        <v>526.6875</v>
      </c>
      <c r="J1774" s="9">
        <f t="shared" si="27"/>
        <v>43746.711357291664</v>
      </c>
      <c r="K1774" s="1"/>
    </row>
    <row r="1775" spans="1:11" x14ac:dyDescent="0.25">
      <c r="A1775" t="e">
        <f>-LqeowQ53iJA_BlBVOuO</f>
        <v>#NAME?</v>
      </c>
      <c r="B1775">
        <v>393.75</v>
      </c>
      <c r="C1775">
        <v>20.584240000000001</v>
      </c>
      <c r="D1775">
        <v>42</v>
      </c>
      <c r="E1775">
        <v>0</v>
      </c>
      <c r="F1775">
        <v>0</v>
      </c>
      <c r="G1775">
        <v>20</v>
      </c>
      <c r="H1775" s="4">
        <v>1570529067433</v>
      </c>
      <c r="I1775">
        <v>526.6875</v>
      </c>
      <c r="J1775" s="9">
        <f t="shared" si="27"/>
        <v>43746.711428622679</v>
      </c>
      <c r="K1775" s="1"/>
    </row>
    <row r="1776" spans="1:11" x14ac:dyDescent="0.25">
      <c r="A1776" t="e">
        <f>-Lqeoy85YE3Vsv5DbKCV</f>
        <v>#NAME?</v>
      </c>
      <c r="B1776">
        <v>393.75</v>
      </c>
      <c r="C1776">
        <v>20.584240000000001</v>
      </c>
      <c r="D1776">
        <v>42</v>
      </c>
      <c r="E1776">
        <v>0</v>
      </c>
      <c r="F1776">
        <v>0</v>
      </c>
      <c r="G1776">
        <v>13</v>
      </c>
      <c r="H1776" s="4">
        <v>1570529074641</v>
      </c>
      <c r="I1776">
        <v>526.6875</v>
      </c>
      <c r="J1776" s="9">
        <f t="shared" si="27"/>
        <v>43746.711512048605</v>
      </c>
      <c r="K1776" s="1"/>
    </row>
    <row r="1777" spans="1:11" x14ac:dyDescent="0.25">
      <c r="A1777" t="e">
        <f>-LqeoziVOIkQJQehFhIn</f>
        <v>#NAME?</v>
      </c>
      <c r="B1777">
        <v>393.75</v>
      </c>
      <c r="C1777">
        <v>20.584240000000001</v>
      </c>
      <c r="D1777">
        <v>42</v>
      </c>
      <c r="E1777">
        <v>0</v>
      </c>
      <c r="F1777">
        <v>0</v>
      </c>
      <c r="G1777">
        <v>18</v>
      </c>
      <c r="H1777" s="4">
        <v>1570529080823</v>
      </c>
      <c r="I1777">
        <v>526.6875</v>
      </c>
      <c r="J1777" s="9">
        <f t="shared" si="27"/>
        <v>43746.711583599536</v>
      </c>
      <c r="K1777" s="1"/>
    </row>
    <row r="1778" spans="1:11" x14ac:dyDescent="0.25">
      <c r="A1778" t="e">
        <f>-Lqep0Q3vuawBqyAyFM7</f>
        <v>#NAME?</v>
      </c>
      <c r="B1778">
        <v>393.75</v>
      </c>
      <c r="C1778">
        <v>20.584240000000001</v>
      </c>
      <c r="D1778">
        <v>42</v>
      </c>
      <c r="E1778">
        <v>0</v>
      </c>
      <c r="F1778">
        <v>0</v>
      </c>
      <c r="G1778">
        <v>22</v>
      </c>
      <c r="H1778" s="4">
        <v>1570529088032</v>
      </c>
      <c r="I1778">
        <v>526.6875</v>
      </c>
      <c r="J1778" s="9">
        <f t="shared" si="27"/>
        <v>43746.711667037038</v>
      </c>
      <c r="K1778" s="1"/>
    </row>
    <row r="1779" spans="1:11" x14ac:dyDescent="0.25">
      <c r="A1779" t="e">
        <f>-Lqep2EAStAci1aQXRl3</f>
        <v>#NAME?</v>
      </c>
      <c r="B1779">
        <v>393.75</v>
      </c>
      <c r="C1779">
        <v>20.531590000000001</v>
      </c>
      <c r="D1779">
        <v>42</v>
      </c>
      <c r="E1779">
        <v>0</v>
      </c>
      <c r="F1779">
        <v>0</v>
      </c>
      <c r="G1779">
        <v>19</v>
      </c>
      <c r="H1779" s="4">
        <v>1570529095241</v>
      </c>
      <c r="I1779">
        <v>526.5</v>
      </c>
      <c r="J1779" s="9">
        <f t="shared" si="27"/>
        <v>43746.711750474533</v>
      </c>
      <c r="K1779" s="1"/>
    </row>
    <row r="1780" spans="1:11" x14ac:dyDescent="0.25">
      <c r="A1780" t="e">
        <f>-Lqep3xAxECIhyesG_en</f>
        <v>#NAME?</v>
      </c>
      <c r="B1780">
        <v>393.75</v>
      </c>
      <c r="C1780">
        <v>20.584240000000001</v>
      </c>
      <c r="D1780">
        <v>43</v>
      </c>
      <c r="E1780">
        <v>0</v>
      </c>
      <c r="F1780">
        <v>0</v>
      </c>
      <c r="G1780">
        <v>12</v>
      </c>
      <c r="H1780" s="4">
        <v>1570529102463</v>
      </c>
      <c r="I1780">
        <v>526.6875</v>
      </c>
      <c r="J1780" s="9">
        <f t="shared" si="27"/>
        <v>43746.711834062495</v>
      </c>
      <c r="K1780" s="1"/>
    </row>
    <row r="1781" spans="1:11" x14ac:dyDescent="0.25">
      <c r="A1781" t="e">
        <f>-Lqep5fU0XlN9eyPYsI8</f>
        <v>#NAME?</v>
      </c>
      <c r="B1781">
        <v>393.75</v>
      </c>
      <c r="C1781">
        <v>20.584240000000001</v>
      </c>
      <c r="D1781">
        <v>43</v>
      </c>
      <c r="E1781">
        <v>0</v>
      </c>
      <c r="F1781">
        <v>0</v>
      </c>
      <c r="G1781">
        <v>16</v>
      </c>
      <c r="H1781" s="4">
        <v>1570529109671</v>
      </c>
      <c r="I1781">
        <v>526.6875</v>
      </c>
      <c r="J1781" s="9">
        <f t="shared" si="27"/>
        <v>43746.711917488421</v>
      </c>
      <c r="K1781" s="1"/>
    </row>
    <row r="1782" spans="1:11" x14ac:dyDescent="0.25">
      <c r="A1782" t="e">
        <f>-Lqep7D32gua29DvGyZX</f>
        <v>#NAME?</v>
      </c>
      <c r="B1782">
        <v>393.75</v>
      </c>
      <c r="C1782">
        <v>20.584240000000001</v>
      </c>
      <c r="D1782">
        <v>42</v>
      </c>
      <c r="E1782">
        <v>0</v>
      </c>
      <c r="F1782">
        <v>0</v>
      </c>
      <c r="G1782">
        <v>25</v>
      </c>
      <c r="H1782" s="4">
        <v>1570529115853</v>
      </c>
      <c r="I1782">
        <v>526.6875</v>
      </c>
      <c r="J1782" s="9">
        <f t="shared" si="27"/>
        <v>43746.711989039344</v>
      </c>
      <c r="K1782" s="1"/>
    </row>
    <row r="1783" spans="1:11" x14ac:dyDescent="0.25">
      <c r="A1783" t="e">
        <f>-Lqep91BIsnPtVFs00NJ</f>
        <v>#NAME?</v>
      </c>
      <c r="B1783">
        <v>393.75</v>
      </c>
      <c r="C1783">
        <v>20.584240000000001</v>
      </c>
      <c r="D1783">
        <v>42</v>
      </c>
      <c r="E1783">
        <v>0</v>
      </c>
      <c r="F1783">
        <v>0</v>
      </c>
      <c r="G1783">
        <v>28</v>
      </c>
      <c r="H1783" s="4">
        <v>1570529123111</v>
      </c>
      <c r="I1783">
        <v>526.6875</v>
      </c>
      <c r="J1783" s="9">
        <f t="shared" si="27"/>
        <v>43746.712073043978</v>
      </c>
      <c r="K1783" s="1"/>
    </row>
    <row r="1784" spans="1:11" x14ac:dyDescent="0.25">
      <c r="A1784" t="e">
        <f>-LqepAkB_ChbD68L1zA1</f>
        <v>#NAME?</v>
      </c>
      <c r="B1784">
        <v>393.75</v>
      </c>
      <c r="C1784">
        <v>20.531590000000001</v>
      </c>
      <c r="D1784">
        <v>42</v>
      </c>
      <c r="E1784">
        <v>0</v>
      </c>
      <c r="F1784">
        <v>0</v>
      </c>
      <c r="G1784">
        <v>18</v>
      </c>
      <c r="H1784" s="4">
        <v>1570529130272</v>
      </c>
      <c r="I1784">
        <v>526.6875</v>
      </c>
      <c r="J1784" s="9">
        <f t="shared" si="27"/>
        <v>43746.712155925925</v>
      </c>
      <c r="K1784" s="1"/>
    </row>
    <row r="1785" spans="1:11" x14ac:dyDescent="0.25">
      <c r="A1785" t="e">
        <f>-LqepCX5YWJ2_PWG5gvD</f>
        <v>#NAME?</v>
      </c>
      <c r="B1785">
        <v>412.5</v>
      </c>
      <c r="C1785">
        <v>20.584240000000001</v>
      </c>
      <c r="D1785">
        <v>42</v>
      </c>
      <c r="E1785">
        <v>0</v>
      </c>
      <c r="F1785">
        <v>0</v>
      </c>
      <c r="G1785">
        <v>20</v>
      </c>
      <c r="H1785" s="4">
        <v>1570529137483</v>
      </c>
      <c r="I1785">
        <v>532.3125</v>
      </c>
      <c r="J1785" s="9">
        <f t="shared" si="27"/>
        <v>43746.712239386572</v>
      </c>
      <c r="K1785" s="1"/>
    </row>
    <row r="1786" spans="1:11" x14ac:dyDescent="0.25">
      <c r="A1786" t="e">
        <f>-LqepEF5LJCHFiJ9jQNn</f>
        <v>#NAME?</v>
      </c>
      <c r="B1786">
        <v>393.75</v>
      </c>
      <c r="C1786">
        <v>20.531590000000001</v>
      </c>
      <c r="D1786">
        <v>43</v>
      </c>
      <c r="E1786">
        <v>0</v>
      </c>
      <c r="F1786">
        <v>0</v>
      </c>
      <c r="G1786">
        <v>13</v>
      </c>
      <c r="H1786" s="4">
        <v>1570529144704</v>
      </c>
      <c r="I1786">
        <v>526.6875</v>
      </c>
      <c r="J1786" s="9">
        <f t="shared" si="27"/>
        <v>43746.712322962958</v>
      </c>
      <c r="K1786" s="1"/>
    </row>
    <row r="1787" spans="1:11" x14ac:dyDescent="0.25">
      <c r="A1787" t="e">
        <f>-LqepG39l0u_M-ZSQS__</f>
        <v>#NAME?</v>
      </c>
      <c r="B1787">
        <v>393.75</v>
      </c>
      <c r="C1787">
        <v>20.584240000000001</v>
      </c>
      <c r="D1787">
        <v>43</v>
      </c>
      <c r="E1787">
        <v>0</v>
      </c>
      <c r="F1787">
        <v>0</v>
      </c>
      <c r="G1787">
        <v>25</v>
      </c>
      <c r="H1787" s="4">
        <v>1570529151912</v>
      </c>
      <c r="I1787">
        <v>526.6875</v>
      </c>
      <c r="J1787" s="9">
        <f t="shared" si="27"/>
        <v>43746.712406388884</v>
      </c>
      <c r="K1787" s="1"/>
    </row>
    <row r="1788" spans="1:11" x14ac:dyDescent="0.25">
      <c r="A1788" t="e">
        <f>-LqepHmBqGUYivFHL9vy</f>
        <v>#NAME?</v>
      </c>
      <c r="B1788">
        <v>393.75</v>
      </c>
      <c r="C1788">
        <v>20.584240000000001</v>
      </c>
      <c r="D1788">
        <v>39</v>
      </c>
      <c r="E1788">
        <v>0</v>
      </c>
      <c r="F1788">
        <v>0</v>
      </c>
      <c r="G1788">
        <v>10</v>
      </c>
      <c r="H1788" s="4">
        <v>1570529159124</v>
      </c>
      <c r="I1788">
        <v>526.6875</v>
      </c>
      <c r="J1788" s="9">
        <f t="shared" si="27"/>
        <v>43746.712489861107</v>
      </c>
      <c r="K1788" s="1"/>
    </row>
    <row r="1789" spans="1:11" x14ac:dyDescent="0.25">
      <c r="A1789" t="e">
        <f>-LqepJYxoUu_huq7VldS</f>
        <v>#NAME?</v>
      </c>
      <c r="B1789">
        <v>393.75</v>
      </c>
      <c r="C1789">
        <v>20.531590000000001</v>
      </c>
      <c r="D1789">
        <v>40</v>
      </c>
      <c r="E1789">
        <v>0</v>
      </c>
      <c r="F1789">
        <v>0</v>
      </c>
      <c r="G1789">
        <v>12</v>
      </c>
      <c r="H1789" s="4">
        <v>1570529166332</v>
      </c>
      <c r="I1789">
        <v>526.6875</v>
      </c>
      <c r="J1789" s="9">
        <f t="shared" si="27"/>
        <v>43746.712573287034</v>
      </c>
      <c r="K1789" s="1"/>
    </row>
    <row r="1790" spans="1:11" x14ac:dyDescent="0.25">
      <c r="A1790" t="e">
        <f>-LqepL3CwiLgEzbp30nl</f>
        <v>#NAME?</v>
      </c>
      <c r="B1790">
        <v>393.75</v>
      </c>
      <c r="C1790">
        <v>20.584240000000001</v>
      </c>
      <c r="D1790">
        <v>41</v>
      </c>
      <c r="E1790">
        <v>0</v>
      </c>
      <c r="F1790">
        <v>0</v>
      </c>
      <c r="G1790">
        <v>13</v>
      </c>
      <c r="H1790" s="4">
        <v>1570529172512</v>
      </c>
      <c r="I1790">
        <v>526.6875</v>
      </c>
      <c r="J1790" s="9">
        <f t="shared" si="27"/>
        <v>43746.712644814812</v>
      </c>
      <c r="K1790" s="1"/>
    </row>
    <row r="1791" spans="1:11" x14ac:dyDescent="0.25">
      <c r="A1791" t="e">
        <f>-LqepN0B5eRjtdpijR_b</f>
        <v>#NAME?</v>
      </c>
      <c r="B1791">
        <v>393.75</v>
      </c>
      <c r="C1791">
        <v>20.531590000000001</v>
      </c>
      <c r="D1791">
        <v>39</v>
      </c>
      <c r="E1791">
        <v>0</v>
      </c>
      <c r="F1791">
        <v>0</v>
      </c>
      <c r="G1791">
        <v>18</v>
      </c>
      <c r="H1791" s="4">
        <v>1570529180599</v>
      </c>
      <c r="I1791">
        <v>526.6875</v>
      </c>
      <c r="J1791" s="9">
        <f t="shared" si="27"/>
        <v>43746.712738414346</v>
      </c>
      <c r="K1791" s="1"/>
    </row>
    <row r="1792" spans="1:11" x14ac:dyDescent="0.25">
      <c r="A1792" t="e">
        <f>-LqepOYmztGP7RMbrD-e</f>
        <v>#NAME?</v>
      </c>
      <c r="B1792">
        <v>412.5</v>
      </c>
      <c r="C1792">
        <v>20.531590000000001</v>
      </c>
      <c r="D1792">
        <v>39</v>
      </c>
      <c r="E1792">
        <v>0</v>
      </c>
      <c r="F1792">
        <v>0</v>
      </c>
      <c r="G1792">
        <v>25</v>
      </c>
      <c r="H1792" s="4">
        <v>1570529186943</v>
      </c>
      <c r="I1792">
        <v>532.3125</v>
      </c>
      <c r="J1792" s="9">
        <f t="shared" si="27"/>
        <v>43746.712811840276</v>
      </c>
      <c r="K1792" s="1"/>
    </row>
    <row r="1793" spans="1:11" x14ac:dyDescent="0.25">
      <c r="A1793" t="e">
        <f>-LqepQg4iQTuW19sy4N1</f>
        <v>#NAME?</v>
      </c>
      <c r="B1793">
        <v>393.75</v>
      </c>
      <c r="C1793">
        <v>20.584240000000001</v>
      </c>
      <c r="D1793">
        <v>39</v>
      </c>
      <c r="E1793">
        <v>0</v>
      </c>
      <c r="F1793">
        <v>0</v>
      </c>
      <c r="G1793">
        <v>22</v>
      </c>
      <c r="H1793" s="4">
        <v>1570529194151</v>
      </c>
      <c r="I1793">
        <v>526.6875</v>
      </c>
      <c r="J1793" s="9">
        <f t="shared" si="27"/>
        <v>43746.712895266202</v>
      </c>
      <c r="K1793" s="1"/>
    </row>
    <row r="1794" spans="1:11" x14ac:dyDescent="0.25">
      <c r="A1794" t="e">
        <f>-LqepSKFHchu1RIVruQ5</f>
        <v>#NAME?</v>
      </c>
      <c r="B1794">
        <v>412.5</v>
      </c>
      <c r="C1794">
        <v>20.584240000000001</v>
      </c>
      <c r="D1794">
        <v>41</v>
      </c>
      <c r="E1794">
        <v>0</v>
      </c>
      <c r="F1794">
        <v>0</v>
      </c>
      <c r="G1794">
        <v>20</v>
      </c>
      <c r="H1794" s="4">
        <v>1570529202396</v>
      </c>
      <c r="I1794">
        <v>532.5</v>
      </c>
      <c r="J1794" s="9">
        <f t="shared" si="27"/>
        <v>43746.712990694439</v>
      </c>
      <c r="K1794" s="1"/>
    </row>
    <row r="1795" spans="1:11" x14ac:dyDescent="0.25">
      <c r="A1795" t="e">
        <f>-LqepU7E9Cq1x8R99BYP</f>
        <v>#NAME?</v>
      </c>
      <c r="B1795">
        <v>393.75</v>
      </c>
      <c r="C1795">
        <v>20.584240000000001</v>
      </c>
      <c r="D1795">
        <v>41</v>
      </c>
      <c r="E1795">
        <v>0</v>
      </c>
      <c r="F1795">
        <v>0</v>
      </c>
      <c r="G1795">
        <v>13</v>
      </c>
      <c r="H1795" s="4">
        <v>1570529209606</v>
      </c>
      <c r="I1795">
        <v>526.5</v>
      </c>
      <c r="J1795" s="9">
        <f t="shared" ref="J1795:J1858" si="28">(H1795/86400000)+25569+(7/24)</f>
        <v>43746.713074143518</v>
      </c>
      <c r="K1795" s="1"/>
    </row>
    <row r="1796" spans="1:11" x14ac:dyDescent="0.25">
      <c r="A1796" t="e">
        <f>-LqepVq43cqtWFZkH4dg</f>
        <v>#NAME?</v>
      </c>
      <c r="B1796">
        <v>393.75</v>
      </c>
      <c r="C1796">
        <v>20.531590000000001</v>
      </c>
      <c r="D1796">
        <v>41</v>
      </c>
      <c r="E1796">
        <v>0</v>
      </c>
      <c r="F1796">
        <v>0</v>
      </c>
      <c r="G1796">
        <v>9</v>
      </c>
      <c r="H1796" s="4">
        <v>1570529216815</v>
      </c>
      <c r="I1796">
        <v>526.6875</v>
      </c>
      <c r="J1796" s="9">
        <f t="shared" si="28"/>
        <v>43746.713157581013</v>
      </c>
      <c r="K1796" s="1"/>
    </row>
    <row r="1797" spans="1:11" x14ac:dyDescent="0.25">
      <c r="A1797" t="e">
        <f>-LqepXPDQYrRwli30YWg</f>
        <v>#NAME?</v>
      </c>
      <c r="B1797">
        <v>393.75</v>
      </c>
      <c r="C1797">
        <v>20.531590000000001</v>
      </c>
      <c r="D1797">
        <v>42</v>
      </c>
      <c r="E1797">
        <v>0</v>
      </c>
      <c r="F1797">
        <v>0</v>
      </c>
      <c r="G1797">
        <v>15</v>
      </c>
      <c r="H1797" s="4">
        <v>1570529222995</v>
      </c>
      <c r="I1797">
        <v>526.6875</v>
      </c>
      <c r="J1797" s="9">
        <f t="shared" si="28"/>
        <v>43746.713229108798</v>
      </c>
      <c r="K1797" s="1"/>
    </row>
    <row r="1798" spans="1:11" x14ac:dyDescent="0.25">
      <c r="A1798" t="e">
        <f>-LqepZ8UCl0ScqTzFX30</f>
        <v>#NAME?</v>
      </c>
      <c r="B1798">
        <v>393.75</v>
      </c>
      <c r="C1798">
        <v>20.531590000000001</v>
      </c>
      <c r="D1798">
        <v>42</v>
      </c>
      <c r="E1798">
        <v>0</v>
      </c>
      <c r="F1798">
        <v>0</v>
      </c>
      <c r="G1798">
        <v>10</v>
      </c>
      <c r="H1798" s="4">
        <v>1570529230225</v>
      </c>
      <c r="I1798">
        <v>526.6875</v>
      </c>
      <c r="J1798" s="9">
        <f t="shared" si="28"/>
        <v>43746.713312789354</v>
      </c>
      <c r="K1798" s="1"/>
    </row>
    <row r="1799" spans="1:11" x14ac:dyDescent="0.25">
      <c r="A1799" t="e">
        <f>-Lqep_u3dSrwjGKM17-0</f>
        <v>#NAME?</v>
      </c>
      <c r="B1799">
        <v>393.75</v>
      </c>
      <c r="C1799">
        <v>20.584240000000001</v>
      </c>
      <c r="D1799">
        <v>42</v>
      </c>
      <c r="E1799">
        <v>0</v>
      </c>
      <c r="F1799">
        <v>0</v>
      </c>
      <c r="G1799">
        <v>12</v>
      </c>
      <c r="H1799" s="4">
        <v>1570529236386</v>
      </c>
      <c r="I1799">
        <v>526.6875</v>
      </c>
      <c r="J1799" s="9">
        <f t="shared" si="28"/>
        <v>43746.713384097216</v>
      </c>
      <c r="K1799" s="1"/>
    </row>
    <row r="1800" spans="1:11" x14ac:dyDescent="0.25">
      <c r="A1800" t="e">
        <f>-LqepbdD08Te3QP6u0KT</f>
        <v>#NAME?</v>
      </c>
      <c r="B1800">
        <v>393.75</v>
      </c>
      <c r="C1800">
        <v>20.531590000000001</v>
      </c>
      <c r="D1800">
        <v>41</v>
      </c>
      <c r="E1800">
        <v>0</v>
      </c>
      <c r="F1800">
        <v>0</v>
      </c>
      <c r="G1800">
        <v>18</v>
      </c>
      <c r="H1800" s="4">
        <v>1570529244636</v>
      </c>
      <c r="I1800">
        <v>526.6875</v>
      </c>
      <c r="J1800" s="9">
        <f t="shared" si="28"/>
        <v>43746.713479583334</v>
      </c>
      <c r="K1800" s="1"/>
    </row>
    <row r="1801" spans="1:11" x14ac:dyDescent="0.25">
      <c r="A1801" t="e">
        <f>-LqepdCNT0JMqlGI6clI</f>
        <v>#NAME?</v>
      </c>
      <c r="B1801">
        <v>393.75</v>
      </c>
      <c r="C1801">
        <v>20.584240000000001</v>
      </c>
      <c r="D1801">
        <v>41</v>
      </c>
      <c r="E1801">
        <v>0</v>
      </c>
      <c r="F1801">
        <v>0</v>
      </c>
      <c r="G1801">
        <v>17</v>
      </c>
      <c r="H1801" s="4">
        <v>1570529250817</v>
      </c>
      <c r="I1801">
        <v>526.6875</v>
      </c>
      <c r="J1801" s="9">
        <f t="shared" si="28"/>
        <v>43746.713551122688</v>
      </c>
      <c r="K1801" s="1"/>
    </row>
    <row r="1802" spans="1:11" x14ac:dyDescent="0.25">
      <c r="A1802" t="e">
        <f>-LqepevEXuvRGg30XbIo</f>
        <v>#NAME?</v>
      </c>
      <c r="B1802">
        <v>412.5</v>
      </c>
      <c r="C1802">
        <v>20.584240000000001</v>
      </c>
      <c r="D1802">
        <v>42</v>
      </c>
      <c r="E1802">
        <v>0</v>
      </c>
      <c r="F1802">
        <v>0</v>
      </c>
      <c r="G1802">
        <v>16</v>
      </c>
      <c r="H1802" s="4">
        <v>1570529258006</v>
      </c>
      <c r="I1802">
        <v>532.3125</v>
      </c>
      <c r="J1802" s="9">
        <f t="shared" si="28"/>
        <v>43746.713634328706</v>
      </c>
      <c r="K1802" s="1"/>
    </row>
    <row r="1803" spans="1:11" x14ac:dyDescent="0.25">
      <c r="A1803" t="e">
        <f>-LqepgTLUcIopxu7Y9qD</f>
        <v>#NAME?</v>
      </c>
      <c r="B1803">
        <v>393.75</v>
      </c>
      <c r="C1803">
        <v>20.584240000000001</v>
      </c>
      <c r="D1803">
        <v>42</v>
      </c>
      <c r="E1803">
        <v>0</v>
      </c>
      <c r="F1803">
        <v>0</v>
      </c>
      <c r="G1803">
        <v>16</v>
      </c>
      <c r="H1803" s="4">
        <v>1570529264195</v>
      </c>
      <c r="I1803">
        <v>526.6875</v>
      </c>
      <c r="J1803" s="9">
        <f t="shared" si="28"/>
        <v>43746.713705960647</v>
      </c>
      <c r="K1803" s="1"/>
    </row>
    <row r="1804" spans="1:11" x14ac:dyDescent="0.25">
      <c r="A1804" t="s">
        <v>96</v>
      </c>
      <c r="B1804">
        <v>393.75</v>
      </c>
      <c r="C1804">
        <v>20.531590000000001</v>
      </c>
      <c r="D1804">
        <v>41</v>
      </c>
      <c r="E1804">
        <v>0</v>
      </c>
      <c r="F1804">
        <v>0</v>
      </c>
      <c r="G1804">
        <v>25</v>
      </c>
      <c r="H1804" s="4">
        <v>1570529271415</v>
      </c>
      <c r="I1804">
        <v>526.6875</v>
      </c>
      <c r="J1804" s="9">
        <f t="shared" si="28"/>
        <v>43746.713789525464</v>
      </c>
      <c r="K1804" s="1"/>
    </row>
    <row r="1805" spans="1:11" x14ac:dyDescent="0.25">
      <c r="A1805" t="e">
        <f>-Lqepk-EEIPVn3YBfB3B</f>
        <v>#NAME?</v>
      </c>
      <c r="B1805">
        <v>393.75</v>
      </c>
      <c r="C1805">
        <v>20.478950000000001</v>
      </c>
      <c r="D1805">
        <v>41</v>
      </c>
      <c r="E1805">
        <v>0</v>
      </c>
      <c r="F1805">
        <v>0</v>
      </c>
      <c r="G1805">
        <v>19</v>
      </c>
      <c r="H1805" s="4">
        <v>1570529278625</v>
      </c>
      <c r="I1805">
        <v>526.6875</v>
      </c>
      <c r="J1805" s="9">
        <f t="shared" si="28"/>
        <v>43746.713872974535</v>
      </c>
      <c r="K1805" s="1"/>
    </row>
    <row r="1806" spans="1:11" x14ac:dyDescent="0.25">
      <c r="A1806" t="e">
        <f>-LqepliDbT96R73V_RCk</f>
        <v>#NAME?</v>
      </c>
      <c r="B1806">
        <v>393.75</v>
      </c>
      <c r="C1806">
        <v>20.584240000000001</v>
      </c>
      <c r="D1806">
        <v>40</v>
      </c>
      <c r="E1806">
        <v>0</v>
      </c>
      <c r="F1806">
        <v>0</v>
      </c>
      <c r="G1806">
        <v>15</v>
      </c>
      <c r="H1806" s="4">
        <v>1570529285836</v>
      </c>
      <c r="I1806">
        <v>526.5</v>
      </c>
      <c r="J1806" s="9">
        <f t="shared" si="28"/>
        <v>43746.713956435182</v>
      </c>
      <c r="K1806" s="1"/>
    </row>
    <row r="1807" spans="1:11" x14ac:dyDescent="0.25">
      <c r="A1807" t="e">
        <f>-LqepnWEGewcPQZb-H_n</f>
        <v>#NAME?</v>
      </c>
      <c r="B1807">
        <v>393.75</v>
      </c>
      <c r="C1807">
        <v>20.584240000000001</v>
      </c>
      <c r="D1807">
        <v>35</v>
      </c>
      <c r="E1807">
        <v>0</v>
      </c>
      <c r="F1807">
        <v>0</v>
      </c>
      <c r="G1807">
        <v>22</v>
      </c>
      <c r="H1807" s="4">
        <v>1570529293057</v>
      </c>
      <c r="I1807">
        <v>526.6875</v>
      </c>
      <c r="J1807" s="9">
        <f t="shared" si="28"/>
        <v>43746.714040011568</v>
      </c>
      <c r="K1807" s="1"/>
    </row>
    <row r="1808" spans="1:11" x14ac:dyDescent="0.25">
      <c r="A1808" t="e">
        <f>-LqeppEFQw_9x0j1oAHs</f>
        <v>#NAME?</v>
      </c>
      <c r="B1808">
        <v>393.75</v>
      </c>
      <c r="C1808">
        <v>20.584240000000001</v>
      </c>
      <c r="D1808">
        <v>37</v>
      </c>
      <c r="E1808">
        <v>0</v>
      </c>
      <c r="F1808">
        <v>0</v>
      </c>
      <c r="G1808">
        <v>24</v>
      </c>
      <c r="H1808" s="4">
        <v>1570529300247</v>
      </c>
      <c r="I1808">
        <v>526.6875</v>
      </c>
      <c r="J1808" s="9">
        <f t="shared" si="28"/>
        <v>43746.714123229169</v>
      </c>
      <c r="K1808" s="1"/>
    </row>
    <row r="1809" spans="1:11" x14ac:dyDescent="0.25">
      <c r="A1809" t="e">
        <f>-LqepqnEdH5Ay71XtlJA</f>
        <v>#NAME?</v>
      </c>
      <c r="B1809">
        <v>393.75</v>
      </c>
      <c r="C1809">
        <v>20.584240000000001</v>
      </c>
      <c r="D1809">
        <v>37</v>
      </c>
      <c r="E1809">
        <v>0</v>
      </c>
      <c r="F1809">
        <v>0</v>
      </c>
      <c r="G1809">
        <v>19</v>
      </c>
      <c r="H1809" s="4">
        <v>1570529306437</v>
      </c>
      <c r="I1809">
        <v>526.5</v>
      </c>
      <c r="J1809" s="9">
        <f t="shared" si="28"/>
        <v>43746.714194872686</v>
      </c>
      <c r="K1809" s="1"/>
    </row>
    <row r="1810" spans="1:11" x14ac:dyDescent="0.25">
      <c r="A1810" t="e">
        <f>-LqepsWZYIxW9AiF4KOY</f>
        <v>#NAME?</v>
      </c>
      <c r="B1810">
        <v>393.75</v>
      </c>
      <c r="C1810">
        <v>20.584240000000001</v>
      </c>
      <c r="D1810">
        <v>40</v>
      </c>
      <c r="E1810">
        <v>0</v>
      </c>
      <c r="F1810">
        <v>0</v>
      </c>
      <c r="G1810">
        <v>17</v>
      </c>
      <c r="H1810" s="4">
        <v>1570529313656</v>
      </c>
      <c r="I1810">
        <v>526.6875</v>
      </c>
      <c r="J1810" s="9">
        <f t="shared" si="28"/>
        <v>43746.714278425927</v>
      </c>
      <c r="K1810" s="1"/>
    </row>
    <row r="1811" spans="1:11" x14ac:dyDescent="0.25">
      <c r="A1811" t="e">
        <f>-LqepuJDFhxY3Le8dcfP</f>
        <v>#NAME?</v>
      </c>
      <c r="B1811">
        <v>393.75</v>
      </c>
      <c r="C1811">
        <v>20.584240000000001</v>
      </c>
      <c r="D1811">
        <v>40</v>
      </c>
      <c r="E1811">
        <v>0</v>
      </c>
      <c r="F1811">
        <v>0</v>
      </c>
      <c r="G1811">
        <v>15</v>
      </c>
      <c r="H1811" s="4">
        <v>1570529320866</v>
      </c>
      <c r="I1811">
        <v>526.6875</v>
      </c>
      <c r="J1811" s="9">
        <f t="shared" si="28"/>
        <v>43746.714361874998</v>
      </c>
      <c r="K1811" s="1"/>
    </row>
    <row r="1812" spans="1:11" x14ac:dyDescent="0.25">
      <c r="A1812" t="e">
        <f>-Lqepw1FQCwThUugcaDg</f>
        <v>#NAME?</v>
      </c>
      <c r="B1812">
        <v>440.625</v>
      </c>
      <c r="C1812">
        <v>20.584240000000001</v>
      </c>
      <c r="D1812">
        <v>42</v>
      </c>
      <c r="E1812">
        <v>0</v>
      </c>
      <c r="F1812">
        <v>0</v>
      </c>
      <c r="G1812">
        <v>27</v>
      </c>
      <c r="H1812" s="4">
        <v>1570529328087</v>
      </c>
      <c r="I1812">
        <v>541.125</v>
      </c>
      <c r="J1812" s="9">
        <f t="shared" si="28"/>
        <v>43746.714445451384</v>
      </c>
      <c r="K1812" s="1"/>
    </row>
    <row r="1813" spans="1:11" x14ac:dyDescent="0.25">
      <c r="A1813" t="s">
        <v>97</v>
      </c>
      <c r="B1813">
        <v>393.75</v>
      </c>
      <c r="C1813">
        <v>20.584240000000001</v>
      </c>
      <c r="D1813">
        <v>41</v>
      </c>
      <c r="E1813">
        <v>0</v>
      </c>
      <c r="F1813">
        <v>0</v>
      </c>
      <c r="G1813">
        <v>17</v>
      </c>
      <c r="H1813" s="4">
        <v>1570529335298</v>
      </c>
      <c r="I1813">
        <v>526.6875</v>
      </c>
      <c r="J1813" s="9">
        <f t="shared" si="28"/>
        <v>43746.714528912031</v>
      </c>
      <c r="K1813" s="1"/>
    </row>
    <row r="1814" spans="1:11" x14ac:dyDescent="0.25">
      <c r="A1814" t="e">
        <f>-LqepzYEGaFCf4XUKtfY</f>
        <v>#NAME?</v>
      </c>
      <c r="B1814">
        <v>393.75</v>
      </c>
      <c r="C1814">
        <v>20.584240000000001</v>
      </c>
      <c r="D1814">
        <v>40</v>
      </c>
      <c r="E1814">
        <v>0</v>
      </c>
      <c r="F1814">
        <v>0</v>
      </c>
      <c r="G1814">
        <v>16</v>
      </c>
      <c r="H1814" s="4">
        <v>1570529342487</v>
      </c>
      <c r="I1814">
        <v>526.6875</v>
      </c>
      <c r="J1814" s="9">
        <f t="shared" si="28"/>
        <v>43746.714612118049</v>
      </c>
      <c r="K1814" s="1"/>
    </row>
    <row r="1815" spans="1:11" x14ac:dyDescent="0.25">
      <c r="A1815" t="e">
        <f>-Lqeq0LDLeWFeOBYTT-_</f>
        <v>#NAME?</v>
      </c>
      <c r="B1815">
        <v>393.75</v>
      </c>
      <c r="C1815">
        <v>20.584240000000001</v>
      </c>
      <c r="D1815">
        <v>41</v>
      </c>
      <c r="E1815">
        <v>0</v>
      </c>
      <c r="F1815">
        <v>0</v>
      </c>
      <c r="G1815">
        <v>17</v>
      </c>
      <c r="H1815" s="4">
        <v>1570529349715</v>
      </c>
      <c r="I1815">
        <v>526.6875</v>
      </c>
      <c r="J1815" s="9">
        <f t="shared" si="28"/>
        <v>43746.714695775459</v>
      </c>
      <c r="K1815" s="1"/>
    </row>
    <row r="1816" spans="1:11" x14ac:dyDescent="0.25">
      <c r="A1816" t="e">
        <f>-Lqeq23NcdggJM_9o5Vt</f>
        <v>#NAME?</v>
      </c>
      <c r="B1816">
        <v>393.75</v>
      </c>
      <c r="C1816">
        <v>20.531590000000001</v>
      </c>
      <c r="D1816">
        <v>41</v>
      </c>
      <c r="E1816">
        <v>0</v>
      </c>
      <c r="F1816">
        <v>0</v>
      </c>
      <c r="G1816">
        <v>24</v>
      </c>
      <c r="H1816" s="4">
        <v>1570529356896</v>
      </c>
      <c r="I1816">
        <v>526.6875</v>
      </c>
      <c r="J1816" s="9">
        <f t="shared" si="28"/>
        <v>43746.714778888891</v>
      </c>
      <c r="K1816" s="1"/>
    </row>
    <row r="1817" spans="1:11" x14ac:dyDescent="0.25">
      <c r="A1817" t="e">
        <f>-Lqeq3cNKy6AA6il_Tto</f>
        <v>#NAME?</v>
      </c>
      <c r="B1817">
        <v>393.75</v>
      </c>
      <c r="C1817">
        <v>20.531590000000001</v>
      </c>
      <c r="D1817">
        <v>41</v>
      </c>
      <c r="E1817">
        <v>0</v>
      </c>
      <c r="F1817">
        <v>0</v>
      </c>
      <c r="G1817">
        <v>13</v>
      </c>
      <c r="H1817" s="4">
        <v>1570529363077</v>
      </c>
      <c r="I1817">
        <v>526.6875</v>
      </c>
      <c r="J1817" s="9">
        <f t="shared" si="28"/>
        <v>43746.714850428238</v>
      </c>
      <c r="K1817" s="1"/>
    </row>
    <row r="1818" spans="1:11" x14ac:dyDescent="0.25">
      <c r="A1818" t="e">
        <f>-Lqeq5LDr2fGEYtGK6Lx</f>
        <v>#NAME?</v>
      </c>
      <c r="B1818">
        <v>393.75</v>
      </c>
      <c r="C1818">
        <v>20.584240000000001</v>
      </c>
      <c r="D1818">
        <v>39</v>
      </c>
      <c r="E1818">
        <v>0</v>
      </c>
      <c r="F1818">
        <v>0</v>
      </c>
      <c r="G1818">
        <v>20</v>
      </c>
      <c r="H1818" s="4">
        <v>1570529370326</v>
      </c>
      <c r="I1818">
        <v>526.6875</v>
      </c>
      <c r="J1818" s="9">
        <f t="shared" si="28"/>
        <v>43746.714934328702</v>
      </c>
      <c r="K1818" s="1"/>
    </row>
    <row r="1819" spans="1:11" x14ac:dyDescent="0.25">
      <c r="A1819" t="e">
        <f>-Lqeq7UBvAeOcZCWQSLM</f>
        <v>#NAME?</v>
      </c>
      <c r="B1819">
        <v>393.75</v>
      </c>
      <c r="C1819">
        <v>20.584240000000001</v>
      </c>
      <c r="D1819">
        <v>40</v>
      </c>
      <c r="E1819">
        <v>0</v>
      </c>
      <c r="F1819">
        <v>0</v>
      </c>
      <c r="G1819">
        <v>22</v>
      </c>
      <c r="H1819" s="4">
        <v>1570529377535</v>
      </c>
      <c r="I1819">
        <v>526.6875</v>
      </c>
      <c r="J1819" s="9">
        <f t="shared" si="28"/>
        <v>43746.715017766204</v>
      </c>
      <c r="K1819" s="1"/>
    </row>
    <row r="1820" spans="1:11" x14ac:dyDescent="0.25">
      <c r="A1820" t="e">
        <f>-Lqeq954m9TKeCfqAww3</f>
        <v>#NAME?</v>
      </c>
      <c r="B1820">
        <v>393.75</v>
      </c>
      <c r="C1820">
        <v>20.531590000000001</v>
      </c>
      <c r="D1820">
        <v>40</v>
      </c>
      <c r="E1820">
        <v>0</v>
      </c>
      <c r="F1820">
        <v>0</v>
      </c>
      <c r="G1820">
        <v>15</v>
      </c>
      <c r="H1820" s="4">
        <v>1570529385776</v>
      </c>
      <c r="I1820">
        <v>526.6875</v>
      </c>
      <c r="J1820" s="9">
        <f t="shared" si="28"/>
        <v>43746.715113148144</v>
      </c>
      <c r="K1820" s="1"/>
    </row>
    <row r="1821" spans="1:11" x14ac:dyDescent="0.25">
      <c r="A1821" t="e">
        <f>-LqeqAeNo0Fx2-HxzMfQ</f>
        <v>#NAME?</v>
      </c>
      <c r="B1821">
        <v>393.75</v>
      </c>
      <c r="C1821">
        <v>20.584240000000001</v>
      </c>
      <c r="D1821">
        <v>41</v>
      </c>
      <c r="E1821">
        <v>0</v>
      </c>
      <c r="F1821">
        <v>0</v>
      </c>
      <c r="G1821">
        <v>24</v>
      </c>
      <c r="H1821" s="4">
        <v>1570529391956</v>
      </c>
      <c r="I1821">
        <v>526.6875</v>
      </c>
      <c r="J1821" s="9">
        <f t="shared" si="28"/>
        <v>43746.715184675923</v>
      </c>
      <c r="K1821" s="1"/>
    </row>
    <row r="1822" spans="1:11" x14ac:dyDescent="0.25">
      <c r="A1822" t="e">
        <f>-LqeqCNEBzBfKz06dxUx</f>
        <v>#NAME?</v>
      </c>
      <c r="B1822">
        <v>393.75</v>
      </c>
      <c r="C1822">
        <v>20.531590000000001</v>
      </c>
      <c r="D1822">
        <v>41</v>
      </c>
      <c r="E1822">
        <v>0</v>
      </c>
      <c r="F1822">
        <v>0</v>
      </c>
      <c r="G1822">
        <v>13</v>
      </c>
      <c r="H1822" s="4">
        <v>1570529399187</v>
      </c>
      <c r="I1822">
        <v>526.6875</v>
      </c>
      <c r="J1822" s="9">
        <f t="shared" si="28"/>
        <v>43746.715268368054</v>
      </c>
      <c r="K1822" s="1"/>
    </row>
    <row r="1823" spans="1:11" x14ac:dyDescent="0.25">
      <c r="A1823" t="e">
        <f>-LqeqDwDlM10eYaOpaQd</f>
        <v>#NAME?</v>
      </c>
      <c r="B1823">
        <v>393.75</v>
      </c>
      <c r="C1823">
        <v>20.584240000000001</v>
      </c>
      <c r="D1823">
        <v>41</v>
      </c>
      <c r="E1823">
        <v>0</v>
      </c>
      <c r="F1823">
        <v>0</v>
      </c>
      <c r="G1823">
        <v>18</v>
      </c>
      <c r="H1823" s="4">
        <v>1570529405325</v>
      </c>
      <c r="I1823">
        <v>526.6875</v>
      </c>
      <c r="J1823" s="9">
        <f t="shared" si="28"/>
        <v>43746.715339409719</v>
      </c>
      <c r="K1823" s="1"/>
    </row>
    <row r="1824" spans="1:11" x14ac:dyDescent="0.25">
      <c r="A1824" t="e">
        <f>-LqeqFeFCa0Rn82gu2RT</f>
        <v>#NAME?</v>
      </c>
      <c r="B1824">
        <v>393.75</v>
      </c>
      <c r="C1824">
        <v>20.584240000000001</v>
      </c>
      <c r="D1824">
        <v>42</v>
      </c>
      <c r="E1824">
        <v>0</v>
      </c>
      <c r="F1824">
        <v>0</v>
      </c>
      <c r="G1824">
        <v>15</v>
      </c>
      <c r="H1824" s="4">
        <v>1570529412565</v>
      </c>
      <c r="I1824">
        <v>526.5</v>
      </c>
      <c r="J1824" s="9">
        <f t="shared" si="28"/>
        <v>43746.71542320602</v>
      </c>
      <c r="K1824" s="1"/>
    </row>
    <row r="1825" spans="1:11" x14ac:dyDescent="0.25">
      <c r="A1825" t="e">
        <f>-LqeqHSDfVRHIUs_lQMX</f>
        <v>#NAME?</v>
      </c>
      <c r="B1825">
        <v>393.75</v>
      </c>
      <c r="C1825">
        <v>20.584240000000001</v>
      </c>
      <c r="D1825">
        <v>43</v>
      </c>
      <c r="E1825">
        <v>0</v>
      </c>
      <c r="F1825">
        <v>0</v>
      </c>
      <c r="G1825">
        <v>20</v>
      </c>
      <c r="H1825" s="4">
        <v>1570529419775</v>
      </c>
      <c r="I1825">
        <v>526.6875</v>
      </c>
      <c r="J1825" s="9">
        <f t="shared" si="28"/>
        <v>43746.715506655091</v>
      </c>
      <c r="K1825" s="1"/>
    </row>
    <row r="1826" spans="1:11" x14ac:dyDescent="0.25">
      <c r="A1826" t="e">
        <f>-LqeqJU17BQnS3Jndkfc</f>
        <v>#NAME?</v>
      </c>
      <c r="B1826">
        <v>393.75</v>
      </c>
      <c r="C1826">
        <v>20.584240000000001</v>
      </c>
      <c r="D1826">
        <v>43</v>
      </c>
      <c r="E1826">
        <v>0</v>
      </c>
      <c r="F1826">
        <v>0</v>
      </c>
      <c r="G1826">
        <v>20</v>
      </c>
      <c r="H1826" s="4">
        <v>1570529427014</v>
      </c>
      <c r="I1826">
        <v>526.6875</v>
      </c>
      <c r="J1826" s="9">
        <f t="shared" si="28"/>
        <v>43746.715590439817</v>
      </c>
      <c r="K1826" s="1"/>
    </row>
    <row r="1827" spans="1:11" x14ac:dyDescent="0.25">
      <c r="A1827" t="e">
        <f>-LqeqLCBfu7qmIML3S0C</f>
        <v>#NAME?</v>
      </c>
      <c r="B1827">
        <v>393.75</v>
      </c>
      <c r="C1827">
        <v>20.584240000000001</v>
      </c>
      <c r="D1827">
        <v>38</v>
      </c>
      <c r="E1827">
        <v>0</v>
      </c>
      <c r="F1827">
        <v>0</v>
      </c>
      <c r="G1827">
        <v>19</v>
      </c>
      <c r="H1827" s="4">
        <v>1570529435233</v>
      </c>
      <c r="I1827">
        <v>526.6875</v>
      </c>
      <c r="J1827" s="9">
        <f t="shared" si="28"/>
        <v>43746.715685567127</v>
      </c>
      <c r="K1827" s="1"/>
    </row>
    <row r="1828" spans="1:11" x14ac:dyDescent="0.25">
      <c r="A1828" t="s">
        <v>98</v>
      </c>
      <c r="B1828">
        <v>393.75</v>
      </c>
      <c r="C1828">
        <v>20.531590000000001</v>
      </c>
      <c r="D1828">
        <v>38</v>
      </c>
      <c r="E1828">
        <v>0</v>
      </c>
      <c r="F1828">
        <v>0</v>
      </c>
      <c r="G1828">
        <v>21</v>
      </c>
      <c r="H1828" s="4">
        <v>1570529442445</v>
      </c>
      <c r="I1828">
        <v>526.6875</v>
      </c>
      <c r="J1828" s="9">
        <f t="shared" si="28"/>
        <v>43746.715769039351</v>
      </c>
      <c r="K1828" s="1"/>
    </row>
    <row r="1829" spans="1:11" x14ac:dyDescent="0.25">
      <c r="A1829" t="e">
        <f>-LqeqOiCVSR8ezMcguJX</f>
        <v>#NAME?</v>
      </c>
      <c r="B1829">
        <v>393.75</v>
      </c>
      <c r="C1829">
        <v>20.584240000000001</v>
      </c>
      <c r="D1829">
        <v>39</v>
      </c>
      <c r="E1829">
        <v>0</v>
      </c>
      <c r="F1829">
        <v>0</v>
      </c>
      <c r="G1829">
        <v>22</v>
      </c>
      <c r="H1829" s="4">
        <v>1570529449654</v>
      </c>
      <c r="I1829">
        <v>526.6875</v>
      </c>
      <c r="J1829" s="9">
        <f t="shared" si="28"/>
        <v>43746.715852476853</v>
      </c>
      <c r="K1829" s="1"/>
    </row>
    <row r="1830" spans="1:11" x14ac:dyDescent="0.25">
      <c r="A1830" t="e">
        <f>-LqeqQRCpGKUPt8Zwaxr</f>
        <v>#NAME?</v>
      </c>
      <c r="B1830">
        <v>393.75</v>
      </c>
      <c r="C1830">
        <v>20.584240000000001</v>
      </c>
      <c r="D1830">
        <v>39</v>
      </c>
      <c r="E1830">
        <v>0</v>
      </c>
      <c r="F1830">
        <v>0</v>
      </c>
      <c r="G1830">
        <v>19</v>
      </c>
      <c r="H1830" s="4">
        <v>1570529456864</v>
      </c>
      <c r="I1830">
        <v>526.6875</v>
      </c>
      <c r="J1830" s="9">
        <f t="shared" si="28"/>
        <v>43746.715935925924</v>
      </c>
      <c r="K1830" s="1"/>
    </row>
    <row r="1831" spans="1:11" x14ac:dyDescent="0.25">
      <c r="A1831" t="e">
        <f>-LqeqS-NYfxw4oL8FfpW</f>
        <v>#NAME?</v>
      </c>
      <c r="B1831">
        <v>393.75</v>
      </c>
      <c r="C1831">
        <v>20.584240000000001</v>
      </c>
      <c r="D1831">
        <v>40</v>
      </c>
      <c r="E1831">
        <v>0</v>
      </c>
      <c r="F1831">
        <v>0</v>
      </c>
      <c r="G1831">
        <v>21</v>
      </c>
      <c r="H1831" s="4">
        <v>1570529463045</v>
      </c>
      <c r="I1831">
        <v>526.6875</v>
      </c>
      <c r="J1831" s="9">
        <f t="shared" si="28"/>
        <v>43746.716007465271</v>
      </c>
      <c r="K1831" s="1"/>
    </row>
    <row r="1832" spans="1:11" x14ac:dyDescent="0.25">
      <c r="A1832" t="e">
        <f>-LqeqTiCUvl5gq2_p2cJ</f>
        <v>#NAME?</v>
      </c>
      <c r="B1832">
        <v>393.75</v>
      </c>
      <c r="C1832">
        <v>20.531590000000001</v>
      </c>
      <c r="D1832">
        <v>41</v>
      </c>
      <c r="E1832">
        <v>0</v>
      </c>
      <c r="F1832">
        <v>0</v>
      </c>
      <c r="G1832">
        <v>20</v>
      </c>
      <c r="H1832" s="4">
        <v>1570529470254</v>
      </c>
      <c r="I1832">
        <v>526.6875</v>
      </c>
      <c r="J1832" s="9">
        <f t="shared" si="28"/>
        <v>43746.716090902781</v>
      </c>
      <c r="K1832" s="1"/>
    </row>
    <row r="1833" spans="1:11" x14ac:dyDescent="0.25">
      <c r="A1833" t="e">
        <f>-LqeqVHLbPNx-WEH-eKt</f>
        <v>#NAME?</v>
      </c>
      <c r="B1833">
        <v>393.75</v>
      </c>
      <c r="C1833">
        <v>20.584240000000001</v>
      </c>
      <c r="D1833">
        <v>42</v>
      </c>
      <c r="E1833">
        <v>0</v>
      </c>
      <c r="F1833">
        <v>0</v>
      </c>
      <c r="G1833">
        <v>24</v>
      </c>
      <c r="H1833" s="4">
        <v>1570529476444</v>
      </c>
      <c r="I1833">
        <v>526.6875</v>
      </c>
      <c r="J1833" s="9">
        <f t="shared" si="28"/>
        <v>43746.716162546298</v>
      </c>
      <c r="K1833" s="1"/>
    </row>
    <row r="1834" spans="1:11" x14ac:dyDescent="0.25">
      <c r="A1834" t="e">
        <f>-LqeqX-Bh-mC3aGTIBJ_</f>
        <v>#NAME?</v>
      </c>
      <c r="B1834">
        <v>393.75</v>
      </c>
      <c r="C1834">
        <v>20.584240000000001</v>
      </c>
      <c r="D1834">
        <v>42</v>
      </c>
      <c r="E1834">
        <v>0</v>
      </c>
      <c r="F1834">
        <v>0</v>
      </c>
      <c r="G1834">
        <v>22</v>
      </c>
      <c r="H1834" s="4">
        <v>1570529483665</v>
      </c>
      <c r="I1834">
        <v>526.6875</v>
      </c>
      <c r="J1834" s="9">
        <f t="shared" si="28"/>
        <v>43746.716246122684</v>
      </c>
      <c r="K1834" s="1"/>
    </row>
    <row r="1835" spans="1:11" x14ac:dyDescent="0.25">
      <c r="A1835" t="e">
        <f>-LqeqYY6wOH1gyW5Pjiw</f>
        <v>#NAME?</v>
      </c>
      <c r="B1835">
        <v>393.75</v>
      </c>
      <c r="C1835">
        <v>20.584240000000001</v>
      </c>
      <c r="D1835">
        <v>42</v>
      </c>
      <c r="E1835">
        <v>0</v>
      </c>
      <c r="F1835">
        <v>0</v>
      </c>
      <c r="G1835">
        <v>23</v>
      </c>
      <c r="H1835" s="4">
        <v>1570529489833</v>
      </c>
      <c r="I1835">
        <v>526.6875</v>
      </c>
      <c r="J1835" s="9">
        <f t="shared" si="28"/>
        <v>43746.716317511571</v>
      </c>
      <c r="K1835" s="1"/>
    </row>
    <row r="1836" spans="1:11" x14ac:dyDescent="0.25">
      <c r="A1836" t="e">
        <f>-Lqeq_HD6ujawgBtpbQ6</f>
        <v>#NAME?</v>
      </c>
      <c r="B1836">
        <v>393.75</v>
      </c>
      <c r="C1836">
        <v>20.584240000000001</v>
      </c>
      <c r="D1836">
        <v>41</v>
      </c>
      <c r="E1836">
        <v>0</v>
      </c>
      <c r="F1836">
        <v>0</v>
      </c>
      <c r="G1836">
        <v>21</v>
      </c>
      <c r="H1836" s="4">
        <v>1570529497045</v>
      </c>
      <c r="I1836">
        <v>526.6875</v>
      </c>
      <c r="J1836" s="9">
        <f t="shared" si="28"/>
        <v>43746.716400983794</v>
      </c>
      <c r="K1836" s="1"/>
    </row>
    <row r="1837" spans="1:11" x14ac:dyDescent="0.25">
      <c r="A1837" t="e">
        <f>-LqeqaqD12diYFdtTwHc</f>
        <v>#NAME?</v>
      </c>
      <c r="B1837">
        <v>393.75</v>
      </c>
      <c r="C1837">
        <v>20.584240000000001</v>
      </c>
      <c r="D1837">
        <v>41</v>
      </c>
      <c r="E1837">
        <v>0</v>
      </c>
      <c r="F1837">
        <v>0</v>
      </c>
      <c r="G1837">
        <v>14</v>
      </c>
      <c r="H1837" s="4">
        <v>1570529503227</v>
      </c>
      <c r="I1837">
        <v>526.6875</v>
      </c>
      <c r="J1837" s="9">
        <f t="shared" si="28"/>
        <v>43746.716472534717</v>
      </c>
      <c r="K1837" s="1"/>
    </row>
    <row r="1838" spans="1:11" x14ac:dyDescent="0.25">
      <c r="A1838" t="e">
        <f>-LqeqcZDZDhu5IZpGS8x</f>
        <v>#NAME?</v>
      </c>
      <c r="B1838">
        <v>393.75</v>
      </c>
      <c r="C1838">
        <v>20.584240000000001</v>
      </c>
      <c r="D1838">
        <v>43</v>
      </c>
      <c r="E1838">
        <v>0</v>
      </c>
      <c r="F1838">
        <v>0</v>
      </c>
      <c r="G1838">
        <v>23</v>
      </c>
      <c r="H1838" s="4">
        <v>1570529510452</v>
      </c>
      <c r="I1838">
        <v>526.6875</v>
      </c>
      <c r="J1838" s="9">
        <f t="shared" si="28"/>
        <v>43746.7165561574</v>
      </c>
      <c r="K1838" s="1"/>
    </row>
    <row r="1839" spans="1:11" x14ac:dyDescent="0.25">
      <c r="A1839" t="e">
        <f>-LqeqeMP-kuqh23kRE0n</f>
        <v>#NAME?</v>
      </c>
      <c r="B1839">
        <v>393.75</v>
      </c>
      <c r="C1839">
        <v>20.531590000000001</v>
      </c>
      <c r="D1839">
        <v>41</v>
      </c>
      <c r="E1839">
        <v>0</v>
      </c>
      <c r="F1839">
        <v>0</v>
      </c>
      <c r="G1839">
        <v>15</v>
      </c>
      <c r="H1839" s="4">
        <v>1570529517653</v>
      </c>
      <c r="I1839">
        <v>526.6875</v>
      </c>
      <c r="J1839" s="9">
        <f t="shared" si="28"/>
        <v>43746.716639502316</v>
      </c>
      <c r="K1839" s="1"/>
    </row>
    <row r="1840" spans="1:11" x14ac:dyDescent="0.25">
      <c r="A1840" t="s">
        <v>99</v>
      </c>
      <c r="B1840">
        <v>393.75</v>
      </c>
      <c r="C1840">
        <v>20.584240000000001</v>
      </c>
      <c r="D1840">
        <v>41</v>
      </c>
      <c r="E1840">
        <v>0</v>
      </c>
      <c r="F1840">
        <v>0</v>
      </c>
      <c r="G1840">
        <v>19</v>
      </c>
      <c r="H1840" s="4">
        <v>1570529524883</v>
      </c>
      <c r="I1840">
        <v>526.6875</v>
      </c>
      <c r="J1840" s="9">
        <f t="shared" si="28"/>
        <v>43746.716723182872</v>
      </c>
      <c r="K1840" s="1"/>
    </row>
    <row r="1841" spans="1:11" x14ac:dyDescent="0.25">
      <c r="A1841" t="e">
        <f>-LqeqiBE16sC2hMxwebS</f>
        <v>#NAME?</v>
      </c>
      <c r="B1841">
        <v>393.75</v>
      </c>
      <c r="C1841">
        <v>20.584240000000001</v>
      </c>
      <c r="D1841">
        <v>41</v>
      </c>
      <c r="E1841">
        <v>0</v>
      </c>
      <c r="F1841">
        <v>0</v>
      </c>
      <c r="G1841">
        <v>21</v>
      </c>
      <c r="H1841" s="4">
        <v>1570529533593</v>
      </c>
      <c r="I1841">
        <v>526.6875</v>
      </c>
      <c r="J1841" s="9">
        <f t="shared" si="28"/>
        <v>43746.716823993054</v>
      </c>
      <c r="K1841" s="1"/>
    </row>
    <row r="1842" spans="1:11" x14ac:dyDescent="0.25">
      <c r="A1842" t="e">
        <f>-LqeqjpXmR9pLUz_0Ao3</f>
        <v>#NAME?</v>
      </c>
      <c r="B1842">
        <v>393.75</v>
      </c>
      <c r="C1842">
        <v>20.531590000000001</v>
      </c>
      <c r="D1842">
        <v>41</v>
      </c>
      <c r="E1842">
        <v>0</v>
      </c>
      <c r="F1842">
        <v>0</v>
      </c>
      <c r="G1842">
        <v>12</v>
      </c>
      <c r="H1842" s="4">
        <v>1570529540313</v>
      </c>
      <c r="I1842">
        <v>526.6875</v>
      </c>
      <c r="J1842" s="9">
        <f t="shared" si="28"/>
        <v>43746.716901770829</v>
      </c>
      <c r="K1842" s="1"/>
    </row>
    <row r="1843" spans="1:11" x14ac:dyDescent="0.25">
      <c r="A1843" t="e">
        <f>-LqeqlOByww0zbwj5FAW</f>
        <v>#NAME?</v>
      </c>
      <c r="B1843">
        <v>393.75</v>
      </c>
      <c r="C1843">
        <v>20.584240000000001</v>
      </c>
      <c r="D1843">
        <v>42</v>
      </c>
      <c r="E1843">
        <v>0</v>
      </c>
      <c r="F1843">
        <v>0</v>
      </c>
      <c r="G1843">
        <v>20</v>
      </c>
      <c r="H1843" s="4">
        <v>1570529546503</v>
      </c>
      <c r="I1843">
        <v>526.6875</v>
      </c>
      <c r="J1843" s="9">
        <f t="shared" si="28"/>
        <v>43746.716973414346</v>
      </c>
      <c r="K1843" s="1"/>
    </row>
    <row r="1844" spans="1:11" x14ac:dyDescent="0.25">
      <c r="A1844" t="e">
        <f>-Lqeqn6BnYLNjDgtDFF_</f>
        <v>#NAME?</v>
      </c>
      <c r="B1844">
        <v>393.75</v>
      </c>
      <c r="C1844">
        <v>20.584240000000001</v>
      </c>
      <c r="D1844">
        <v>42</v>
      </c>
      <c r="E1844">
        <v>0</v>
      </c>
      <c r="F1844">
        <v>0</v>
      </c>
      <c r="G1844">
        <v>20</v>
      </c>
      <c r="H1844" s="4">
        <v>1570529553685</v>
      </c>
      <c r="I1844">
        <v>526.5</v>
      </c>
      <c r="J1844" s="9">
        <f t="shared" si="28"/>
        <v>43746.717056539354</v>
      </c>
      <c r="K1844" s="1"/>
    </row>
    <row r="1845" spans="1:11" x14ac:dyDescent="0.25">
      <c r="A1845" t="e">
        <f>-Lqeqoe7DuC4tdMS0mmn</f>
        <v>#NAME?</v>
      </c>
      <c r="B1845">
        <v>393.75</v>
      </c>
      <c r="C1845">
        <v>20.531590000000001</v>
      </c>
      <c r="D1845">
        <v>42</v>
      </c>
      <c r="E1845">
        <v>0</v>
      </c>
      <c r="F1845">
        <v>0</v>
      </c>
      <c r="G1845">
        <v>23</v>
      </c>
      <c r="H1845" s="4">
        <v>1570529559885</v>
      </c>
      <c r="I1845">
        <v>526.6875</v>
      </c>
      <c r="J1845" s="9">
        <f t="shared" si="28"/>
        <v>43746.717128298609</v>
      </c>
      <c r="K1845" s="1"/>
    </row>
    <row r="1846" spans="1:11" x14ac:dyDescent="0.25">
      <c r="A1846" t="e">
        <f>-LqeqqOCcE6Ptfr8nmXM</f>
        <v>#NAME?</v>
      </c>
      <c r="B1846">
        <v>393.75</v>
      </c>
      <c r="C1846">
        <v>20.584240000000001</v>
      </c>
      <c r="D1846">
        <v>42</v>
      </c>
      <c r="E1846">
        <v>0</v>
      </c>
      <c r="F1846">
        <v>0</v>
      </c>
      <c r="G1846">
        <v>26</v>
      </c>
      <c r="H1846" s="4">
        <v>1570529567123</v>
      </c>
      <c r="I1846">
        <v>526.5</v>
      </c>
      <c r="J1846" s="9">
        <f t="shared" si="28"/>
        <v>43746.717212071751</v>
      </c>
      <c r="K1846" s="1"/>
    </row>
    <row r="1847" spans="1:11" x14ac:dyDescent="0.25">
      <c r="A1847" t="e">
        <f>-LqeqsBDI42m7sapzjj6</f>
        <v>#NAME?</v>
      </c>
      <c r="B1847">
        <v>393.75</v>
      </c>
      <c r="C1847">
        <v>20.531590000000001</v>
      </c>
      <c r="D1847">
        <v>42</v>
      </c>
      <c r="E1847">
        <v>0</v>
      </c>
      <c r="F1847">
        <v>0</v>
      </c>
      <c r="G1847">
        <v>27</v>
      </c>
      <c r="H1847" s="4">
        <v>1570529574324</v>
      </c>
      <c r="I1847">
        <v>526.6875</v>
      </c>
      <c r="J1847" s="9">
        <f t="shared" si="28"/>
        <v>43746.717295416667</v>
      </c>
      <c r="K1847" s="1"/>
    </row>
    <row r="1848" spans="1:11" x14ac:dyDescent="0.25">
      <c r="A1848" t="e">
        <f>-Lqequ8tiwmrMoTYfbME</f>
        <v>#NAME?</v>
      </c>
      <c r="B1848">
        <v>393.75</v>
      </c>
      <c r="C1848">
        <v>20.584240000000001</v>
      </c>
      <c r="D1848">
        <v>42</v>
      </c>
      <c r="E1848">
        <v>0</v>
      </c>
      <c r="F1848">
        <v>0</v>
      </c>
      <c r="G1848">
        <v>18</v>
      </c>
      <c r="H1848" s="4">
        <v>1570529581523</v>
      </c>
      <c r="I1848">
        <v>526.6875</v>
      </c>
      <c r="J1848" s="9">
        <f t="shared" si="28"/>
        <v>43746.717378738424</v>
      </c>
      <c r="K1848" s="1"/>
    </row>
    <row r="1849" spans="1:11" x14ac:dyDescent="0.25">
      <c r="A1849" t="e">
        <f>-LqeqvhBtKI3wLvo9oVo</f>
        <v>#NAME?</v>
      </c>
      <c r="B1849">
        <v>421.875</v>
      </c>
      <c r="C1849">
        <v>20.584240000000001</v>
      </c>
      <c r="D1849">
        <v>42</v>
      </c>
      <c r="E1849">
        <v>0</v>
      </c>
      <c r="F1849">
        <v>0</v>
      </c>
      <c r="G1849">
        <v>22</v>
      </c>
      <c r="H1849" s="4">
        <v>1570529588745</v>
      </c>
      <c r="I1849">
        <v>535.3125</v>
      </c>
      <c r="J1849" s="9">
        <f t="shared" si="28"/>
        <v>43746.717462326385</v>
      </c>
      <c r="K1849" s="1"/>
    </row>
    <row r="1850" spans="1:11" x14ac:dyDescent="0.25">
      <c r="A1850" t="e">
        <f>-LqeqxQBVMS76KvjX4VY</f>
        <v>#NAME?</v>
      </c>
      <c r="B1850">
        <v>393.75</v>
      </c>
      <c r="C1850">
        <v>20.531590000000001</v>
      </c>
      <c r="D1850">
        <v>42</v>
      </c>
      <c r="E1850">
        <v>0</v>
      </c>
      <c r="F1850">
        <v>0</v>
      </c>
      <c r="G1850">
        <v>14</v>
      </c>
      <c r="H1850" s="4">
        <v>1570529595924</v>
      </c>
      <c r="I1850">
        <v>526.6875</v>
      </c>
      <c r="J1850" s="9">
        <f t="shared" si="28"/>
        <v>43746.717545416665</v>
      </c>
      <c r="K1850" s="1"/>
    </row>
    <row r="1851" spans="1:11" x14ac:dyDescent="0.25">
      <c r="A1851" t="e">
        <f>-Lqeqyy5-hWbEVpmMVae</f>
        <v>#NAME?</v>
      </c>
      <c r="B1851">
        <v>393.75</v>
      </c>
      <c r="C1851">
        <v>20.584240000000001</v>
      </c>
      <c r="D1851">
        <v>42</v>
      </c>
      <c r="E1851">
        <v>0</v>
      </c>
      <c r="F1851">
        <v>0</v>
      </c>
      <c r="G1851">
        <v>8</v>
      </c>
      <c r="H1851" s="4">
        <v>1570529602122</v>
      </c>
      <c r="I1851">
        <v>526.6875</v>
      </c>
      <c r="J1851" s="9">
        <f t="shared" si="28"/>
        <v>43746.717617152775</v>
      </c>
      <c r="K1851" s="1"/>
    </row>
    <row r="1852" spans="1:11" x14ac:dyDescent="0.25">
      <c r="A1852" t="e">
        <f>-LqeR-hC7aA6oGvQHYW9</f>
        <v>#NAME?</v>
      </c>
      <c r="B1852">
        <v>393.75</v>
      </c>
      <c r="C1852">
        <v>20.584240000000001</v>
      </c>
      <c r="D1852">
        <v>43</v>
      </c>
      <c r="E1852">
        <v>0</v>
      </c>
      <c r="F1852">
        <v>0</v>
      </c>
      <c r="G1852">
        <v>15</v>
      </c>
      <c r="H1852" s="4">
        <v>1570529609363</v>
      </c>
      <c r="I1852">
        <v>526.6875</v>
      </c>
      <c r="J1852" s="9">
        <f t="shared" si="28"/>
        <v>43746.717700960646</v>
      </c>
      <c r="K1852" s="1"/>
    </row>
    <row r="1853" spans="1:11" x14ac:dyDescent="0.25">
      <c r="A1853" t="e">
        <f>-Lqer1BCIZx4v7u3Q8_i</f>
        <v>#NAME?</v>
      </c>
      <c r="B1853">
        <v>393.75</v>
      </c>
      <c r="C1853">
        <v>20.584240000000001</v>
      </c>
      <c r="D1853">
        <v>43</v>
      </c>
      <c r="E1853">
        <v>0</v>
      </c>
      <c r="F1853">
        <v>0</v>
      </c>
      <c r="G1853">
        <v>20</v>
      </c>
      <c r="H1853" s="4">
        <v>1570529615533</v>
      </c>
      <c r="I1853">
        <v>526.6875</v>
      </c>
      <c r="J1853" s="9">
        <f t="shared" si="28"/>
        <v>43746.717772372685</v>
      </c>
      <c r="K1853" s="1"/>
    </row>
    <row r="1854" spans="1:11" x14ac:dyDescent="0.25">
      <c r="A1854" t="e">
        <f>-Lqer2kCfLOaB8PzN5_B</f>
        <v>#NAME?</v>
      </c>
      <c r="B1854">
        <v>393.75</v>
      </c>
      <c r="C1854">
        <v>20.584240000000001</v>
      </c>
      <c r="D1854">
        <v>42</v>
      </c>
      <c r="E1854">
        <v>0</v>
      </c>
      <c r="F1854">
        <v>0</v>
      </c>
      <c r="G1854">
        <v>28</v>
      </c>
      <c r="H1854" s="4">
        <v>1570529621714</v>
      </c>
      <c r="I1854">
        <v>526.6875</v>
      </c>
      <c r="J1854" s="9">
        <f t="shared" si="28"/>
        <v>43746.71784391204</v>
      </c>
      <c r="K1854" s="1"/>
    </row>
    <row r="1855" spans="1:11" x14ac:dyDescent="0.25">
      <c r="A1855" t="e">
        <f>-Lqer4mL3wULdUCiG3qy</f>
        <v>#NAME?</v>
      </c>
      <c r="B1855">
        <v>393.75</v>
      </c>
      <c r="C1855">
        <v>20.584240000000001</v>
      </c>
      <c r="D1855">
        <v>42</v>
      </c>
      <c r="E1855">
        <v>0</v>
      </c>
      <c r="F1855">
        <v>0</v>
      </c>
      <c r="G1855">
        <v>21</v>
      </c>
      <c r="H1855" s="4">
        <v>1570529628904</v>
      </c>
      <c r="I1855">
        <v>526.6875</v>
      </c>
      <c r="J1855" s="9">
        <f t="shared" si="28"/>
        <v>43746.717927129626</v>
      </c>
      <c r="K1855" s="1"/>
    </row>
    <row r="1856" spans="1:11" x14ac:dyDescent="0.25">
      <c r="A1856" t="e">
        <f>-Lqer6U5uV8JrgTsM8nD</f>
        <v>#NAME?</v>
      </c>
      <c r="B1856">
        <v>393.75</v>
      </c>
      <c r="C1856">
        <v>20.584240000000001</v>
      </c>
      <c r="D1856">
        <v>42</v>
      </c>
      <c r="E1856">
        <v>0</v>
      </c>
      <c r="F1856">
        <v>0</v>
      </c>
      <c r="G1856">
        <v>20</v>
      </c>
      <c r="H1856" s="4">
        <v>1570529637166</v>
      </c>
      <c r="I1856">
        <v>526.6875</v>
      </c>
      <c r="J1856" s="9">
        <f t="shared" si="28"/>
        <v>43746.718022754627</v>
      </c>
      <c r="K1856" s="1"/>
    </row>
    <row r="1857" spans="1:11" x14ac:dyDescent="0.25">
      <c r="A1857" t="e">
        <f>-Lqer8H7-mhxj29fb7ST</f>
        <v>#NAME?</v>
      </c>
      <c r="B1857">
        <v>393.75</v>
      </c>
      <c r="C1857">
        <v>20.531590000000001</v>
      </c>
      <c r="D1857">
        <v>41</v>
      </c>
      <c r="E1857">
        <v>0</v>
      </c>
      <c r="F1857">
        <v>0</v>
      </c>
      <c r="G1857">
        <v>25</v>
      </c>
      <c r="H1857" s="4">
        <v>1570529644385</v>
      </c>
      <c r="I1857">
        <v>526.6875</v>
      </c>
      <c r="J1857" s="9">
        <f t="shared" si="28"/>
        <v>43746.718106307868</v>
      </c>
      <c r="K1857" s="1"/>
    </row>
    <row r="1858" spans="1:11" x14ac:dyDescent="0.25">
      <c r="A1858" t="e">
        <f>-Lqer9yZ_4aHhzwD-j_g</f>
        <v>#NAME?</v>
      </c>
      <c r="B1858">
        <v>393.75</v>
      </c>
      <c r="C1858">
        <v>20.584240000000001</v>
      </c>
      <c r="D1858">
        <v>41</v>
      </c>
      <c r="E1858">
        <v>0</v>
      </c>
      <c r="F1858">
        <v>0</v>
      </c>
      <c r="G1858">
        <v>18</v>
      </c>
      <c r="H1858" s="4">
        <v>1570529651606</v>
      </c>
      <c r="I1858">
        <v>526.6875</v>
      </c>
      <c r="J1858" s="9">
        <f t="shared" si="28"/>
        <v>43746.718189884261</v>
      </c>
      <c r="K1858" s="1"/>
    </row>
    <row r="1859" spans="1:11" x14ac:dyDescent="0.25">
      <c r="A1859" t="e">
        <f>-LqerBWSjS46S98obKiU</f>
        <v>#NAME?</v>
      </c>
      <c r="B1859">
        <v>393.75</v>
      </c>
      <c r="C1859">
        <v>20.584240000000001</v>
      </c>
      <c r="D1859">
        <v>42</v>
      </c>
      <c r="E1859">
        <v>0</v>
      </c>
      <c r="F1859">
        <v>0</v>
      </c>
      <c r="G1859">
        <v>20</v>
      </c>
      <c r="H1859" s="4">
        <v>1570529657773</v>
      </c>
      <c r="I1859">
        <v>526.6875</v>
      </c>
      <c r="J1859" s="9">
        <f t="shared" ref="J1859:J1922" si="29">(H1859/86400000)+25569+(7/24)</f>
        <v>43746.718261261572</v>
      </c>
      <c r="K1859" s="1"/>
    </row>
    <row r="1860" spans="1:11" x14ac:dyDescent="0.25">
      <c r="A1860" t="s">
        <v>100</v>
      </c>
      <c r="B1860">
        <v>393.75</v>
      </c>
      <c r="C1860">
        <v>20.584240000000001</v>
      </c>
      <c r="D1860">
        <v>42</v>
      </c>
      <c r="E1860">
        <v>0</v>
      </c>
      <c r="F1860">
        <v>0</v>
      </c>
      <c r="G1860">
        <v>13</v>
      </c>
      <c r="H1860" s="4">
        <v>1570529665266</v>
      </c>
      <c r="I1860">
        <v>526.6875</v>
      </c>
      <c r="J1860" s="9">
        <f t="shared" si="29"/>
        <v>43746.718347986105</v>
      </c>
      <c r="K1860" s="1"/>
    </row>
    <row r="1861" spans="1:11" x14ac:dyDescent="0.25">
      <c r="A1861" t="e">
        <f>-LqerF5FiGgFvThXRxd6</f>
        <v>#NAME?</v>
      </c>
      <c r="B1861">
        <v>393.75</v>
      </c>
      <c r="C1861">
        <v>20.584240000000001</v>
      </c>
      <c r="D1861">
        <v>42</v>
      </c>
      <c r="E1861">
        <v>0</v>
      </c>
      <c r="F1861">
        <v>0</v>
      </c>
      <c r="G1861">
        <v>15</v>
      </c>
      <c r="H1861" s="4">
        <v>1570529672218</v>
      </c>
      <c r="I1861">
        <v>526.6875</v>
      </c>
      <c r="J1861" s="9">
        <f t="shared" si="29"/>
        <v>43746.718428449072</v>
      </c>
      <c r="K1861" s="1"/>
    </row>
    <row r="1862" spans="1:11" x14ac:dyDescent="0.25">
      <c r="A1862" t="e">
        <f>-LqerGoElHqzT-HqaGOA</f>
        <v>#NAME?</v>
      </c>
      <c r="B1862">
        <v>393.75</v>
      </c>
      <c r="C1862">
        <v>20.531590000000001</v>
      </c>
      <c r="D1862">
        <v>43</v>
      </c>
      <c r="E1862">
        <v>0</v>
      </c>
      <c r="F1862">
        <v>0</v>
      </c>
      <c r="G1862">
        <v>22</v>
      </c>
      <c r="H1862" s="4">
        <v>1570529679408</v>
      </c>
      <c r="I1862">
        <v>526.6875</v>
      </c>
      <c r="J1862" s="9">
        <f t="shared" si="29"/>
        <v>43746.718511666666</v>
      </c>
      <c r="K1862" s="1"/>
    </row>
    <row r="1863" spans="1:11" x14ac:dyDescent="0.25">
      <c r="A1863" t="e">
        <f>-LqerINFJkWi_sbAKk45</f>
        <v>#NAME?</v>
      </c>
      <c r="B1863">
        <v>393.75</v>
      </c>
      <c r="C1863">
        <v>20.584240000000001</v>
      </c>
      <c r="D1863">
        <v>43</v>
      </c>
      <c r="E1863">
        <v>0</v>
      </c>
      <c r="F1863">
        <v>0</v>
      </c>
      <c r="G1863">
        <v>23</v>
      </c>
      <c r="H1863" s="4">
        <v>1570529685687</v>
      </c>
      <c r="I1863">
        <v>526.6875</v>
      </c>
      <c r="J1863" s="9">
        <f t="shared" si="29"/>
        <v>43746.718584340277</v>
      </c>
      <c r="K1863" s="1"/>
    </row>
    <row r="1864" spans="1:11" x14ac:dyDescent="0.25">
      <c r="A1864" t="e">
        <f>-LqerK5FO1SFvtjQv88i</f>
        <v>#NAME?</v>
      </c>
      <c r="B1864">
        <v>393.75</v>
      </c>
      <c r="C1864">
        <v>20.584240000000001</v>
      </c>
      <c r="D1864">
        <v>42</v>
      </c>
      <c r="E1864">
        <v>0</v>
      </c>
      <c r="F1864">
        <v>0</v>
      </c>
      <c r="G1864">
        <v>19</v>
      </c>
      <c r="H1864" s="4">
        <v>1570529692807</v>
      </c>
      <c r="I1864">
        <v>526.6875</v>
      </c>
      <c r="J1864" s="9">
        <f t="shared" si="29"/>
        <v>43746.718666747685</v>
      </c>
      <c r="K1864" s="1"/>
    </row>
    <row r="1865" spans="1:11" x14ac:dyDescent="0.25">
      <c r="A1865" t="e">
        <f>-LqerL_FAbkQd3OYbu_P</f>
        <v>#NAME?</v>
      </c>
      <c r="B1865">
        <v>393.75</v>
      </c>
      <c r="C1865">
        <v>20.584240000000001</v>
      </c>
      <c r="D1865">
        <v>41</v>
      </c>
      <c r="E1865">
        <v>0</v>
      </c>
      <c r="F1865">
        <v>0</v>
      </c>
      <c r="G1865">
        <v>19</v>
      </c>
      <c r="H1865" s="4">
        <v>1570529698968</v>
      </c>
      <c r="I1865">
        <v>526.6875</v>
      </c>
      <c r="J1865" s="9">
        <f t="shared" si="29"/>
        <v>43746.718738055548</v>
      </c>
      <c r="K1865" s="1"/>
    </row>
    <row r="1866" spans="1:11" x14ac:dyDescent="0.25">
      <c r="A1866" t="e">
        <f>-LqerN85531tc2nzC-HA</f>
        <v>#NAME?</v>
      </c>
      <c r="B1866">
        <v>393.75</v>
      </c>
      <c r="C1866">
        <v>20.584240000000001</v>
      </c>
      <c r="D1866">
        <v>41</v>
      </c>
      <c r="E1866">
        <v>0</v>
      </c>
      <c r="F1866">
        <v>0</v>
      </c>
      <c r="G1866">
        <v>26</v>
      </c>
      <c r="H1866" s="4">
        <v>1570529705159</v>
      </c>
      <c r="I1866">
        <v>526.6875</v>
      </c>
      <c r="J1866" s="9">
        <f t="shared" si="29"/>
        <v>43746.718809710648</v>
      </c>
      <c r="K1866" s="1"/>
    </row>
    <row r="1867" spans="1:11" x14ac:dyDescent="0.25">
      <c r="A1867" t="e">
        <f>-LqerOr7-fGdqvR-x5f4</f>
        <v>#NAME?</v>
      </c>
      <c r="B1867">
        <v>393.75</v>
      </c>
      <c r="C1867">
        <v>20.584240000000001</v>
      </c>
      <c r="D1867">
        <v>42</v>
      </c>
      <c r="E1867">
        <v>0</v>
      </c>
      <c r="F1867">
        <v>0</v>
      </c>
      <c r="G1867">
        <v>28</v>
      </c>
      <c r="H1867" s="4">
        <v>1570529712387</v>
      </c>
      <c r="I1867">
        <v>526.6875</v>
      </c>
      <c r="J1867" s="9">
        <f t="shared" si="29"/>
        <v>43746.718893368052</v>
      </c>
      <c r="K1867" s="1"/>
    </row>
    <row r="1868" spans="1:11" x14ac:dyDescent="0.25">
      <c r="A1868" t="e">
        <f>-LqerQQFeksxxz41FNpx</f>
        <v>#NAME?</v>
      </c>
      <c r="B1868">
        <v>393.75</v>
      </c>
      <c r="C1868">
        <v>20.531590000000001</v>
      </c>
      <c r="D1868">
        <v>41</v>
      </c>
      <c r="E1868">
        <v>0</v>
      </c>
      <c r="F1868">
        <v>0</v>
      </c>
      <c r="G1868">
        <v>24</v>
      </c>
      <c r="H1868" s="4">
        <v>1570529718577</v>
      </c>
      <c r="I1868">
        <v>526.6875</v>
      </c>
      <c r="J1868" s="9">
        <f t="shared" si="29"/>
        <v>43746.718965011569</v>
      </c>
      <c r="K1868" s="1"/>
    </row>
    <row r="1869" spans="1:11" x14ac:dyDescent="0.25">
      <c r="A1869" t="e">
        <f>-LqerS8GYlnGiwFwtqcU</f>
        <v>#NAME?</v>
      </c>
      <c r="B1869">
        <v>393.75</v>
      </c>
      <c r="C1869">
        <v>20.531590000000001</v>
      </c>
      <c r="D1869">
        <v>43</v>
      </c>
      <c r="E1869">
        <v>0</v>
      </c>
      <c r="F1869">
        <v>0</v>
      </c>
      <c r="G1869">
        <v>21</v>
      </c>
      <c r="H1869" s="4">
        <v>1570529725779</v>
      </c>
      <c r="I1869">
        <v>526.6875</v>
      </c>
      <c r="J1869" s="9">
        <f t="shared" si="29"/>
        <v>43746.719048368053</v>
      </c>
      <c r="K1869" s="1"/>
    </row>
    <row r="1870" spans="1:11" x14ac:dyDescent="0.25">
      <c r="A1870" t="e">
        <f>-LqerTuuZrcuDlJGLiY6</f>
        <v>#NAME?</v>
      </c>
      <c r="B1870">
        <v>393.75</v>
      </c>
      <c r="C1870">
        <v>20.531590000000001</v>
      </c>
      <c r="D1870">
        <v>43</v>
      </c>
      <c r="E1870">
        <v>0</v>
      </c>
      <c r="F1870">
        <v>0</v>
      </c>
      <c r="G1870">
        <v>27</v>
      </c>
      <c r="H1870" s="4">
        <v>1570529732988</v>
      </c>
      <c r="I1870">
        <v>526.5</v>
      </c>
      <c r="J1870" s="9">
        <f t="shared" si="29"/>
        <v>43746.719131805548</v>
      </c>
      <c r="K1870" s="1"/>
    </row>
    <row r="1871" spans="1:11" x14ac:dyDescent="0.25">
      <c r="A1871" t="e">
        <f>-LqerVQTVrirkiZNL0JH</f>
        <v>#NAME?</v>
      </c>
      <c r="B1871">
        <v>393.75</v>
      </c>
      <c r="C1871">
        <v>20.531590000000001</v>
      </c>
      <c r="D1871">
        <v>43</v>
      </c>
      <c r="E1871">
        <v>0</v>
      </c>
      <c r="F1871">
        <v>0</v>
      </c>
      <c r="G1871">
        <v>23</v>
      </c>
      <c r="H1871" s="4">
        <v>1570529739167</v>
      </c>
      <c r="I1871">
        <v>526.6875</v>
      </c>
      <c r="J1871" s="9">
        <f t="shared" si="29"/>
        <v>43746.719203321758</v>
      </c>
      <c r="K1871" s="1"/>
    </row>
    <row r="1872" spans="1:11" x14ac:dyDescent="0.25">
      <c r="A1872" t="e">
        <f>-LqerX8QOoDDl2oGLPMY</f>
        <v>#NAME?</v>
      </c>
      <c r="B1872">
        <v>393.75</v>
      </c>
      <c r="C1872">
        <v>20.584240000000001</v>
      </c>
      <c r="D1872">
        <v>43</v>
      </c>
      <c r="E1872">
        <v>0</v>
      </c>
      <c r="F1872">
        <v>0</v>
      </c>
      <c r="G1872">
        <v>21</v>
      </c>
      <c r="H1872" s="4">
        <v>1570529746398</v>
      </c>
      <c r="I1872">
        <v>526.6875</v>
      </c>
      <c r="J1872" s="9">
        <f t="shared" si="29"/>
        <v>43746.71928701389</v>
      </c>
      <c r="K1872" s="1"/>
    </row>
    <row r="1873" spans="1:11" x14ac:dyDescent="0.25">
      <c r="A1873" t="e">
        <f>-LqerYhGGH8m53IIij9d</f>
        <v>#NAME?</v>
      </c>
      <c r="B1873">
        <v>393.75</v>
      </c>
      <c r="C1873">
        <v>20.584240000000001</v>
      </c>
      <c r="D1873">
        <v>43</v>
      </c>
      <c r="E1873">
        <v>0</v>
      </c>
      <c r="F1873">
        <v>0</v>
      </c>
      <c r="G1873">
        <v>19</v>
      </c>
      <c r="H1873" s="4">
        <v>1570529752567</v>
      </c>
      <c r="I1873">
        <v>526.6875</v>
      </c>
      <c r="J1873" s="9">
        <f t="shared" si="29"/>
        <v>43746.719358414346</v>
      </c>
      <c r="K1873" s="1"/>
    </row>
    <row r="1874" spans="1:11" x14ac:dyDescent="0.25">
      <c r="A1874" t="e">
        <f>-Lqer_SQRT0xSQst-#REF!</f>
        <v>#NAME?</v>
      </c>
      <c r="B1874">
        <v>393.75</v>
      </c>
      <c r="C1874">
        <v>20.584240000000001</v>
      </c>
      <c r="D1874">
        <v>48</v>
      </c>
      <c r="E1874">
        <v>0</v>
      </c>
      <c r="F1874">
        <v>0</v>
      </c>
      <c r="G1874">
        <v>25</v>
      </c>
      <c r="H1874" s="4">
        <v>1570529759768</v>
      </c>
      <c r="I1874">
        <v>526.6875</v>
      </c>
      <c r="J1874" s="9">
        <f t="shared" si="29"/>
        <v>43746.719441759262</v>
      </c>
      <c r="K1874" s="1"/>
    </row>
    <row r="1875" spans="1:11" x14ac:dyDescent="0.25">
      <c r="A1875" t="e">
        <f>-LqerbXKnzib-kVLkbk8</f>
        <v>#NAME?</v>
      </c>
      <c r="B1875">
        <v>393.75</v>
      </c>
      <c r="C1875">
        <v>20.531590000000001</v>
      </c>
      <c r="D1875">
        <v>47</v>
      </c>
      <c r="E1875">
        <v>0</v>
      </c>
      <c r="F1875">
        <v>0</v>
      </c>
      <c r="G1875">
        <v>23</v>
      </c>
      <c r="H1875" s="4">
        <v>1570529766987</v>
      </c>
      <c r="I1875">
        <v>526.6875</v>
      </c>
      <c r="J1875" s="9">
        <f t="shared" si="29"/>
        <v>43746.719525312503</v>
      </c>
      <c r="K1875" s="1"/>
    </row>
    <row r="1876" spans="1:11" x14ac:dyDescent="0.25">
      <c r="A1876" t="e">
        <f>-LqerdnTpukLW5hFz5ta</f>
        <v>#NAME?</v>
      </c>
      <c r="B1876">
        <v>440.625</v>
      </c>
      <c r="C1876">
        <v>20.584240000000001</v>
      </c>
      <c r="D1876">
        <v>44</v>
      </c>
      <c r="E1876">
        <v>0</v>
      </c>
      <c r="F1876">
        <v>0</v>
      </c>
      <c r="G1876">
        <v>23</v>
      </c>
      <c r="H1876" s="4">
        <v>1570529775227</v>
      </c>
      <c r="I1876">
        <v>541.125</v>
      </c>
      <c r="J1876" s="9">
        <f t="shared" si="29"/>
        <v>43746.719620682867</v>
      </c>
      <c r="K1876" s="1"/>
    </row>
    <row r="1877" spans="1:11" x14ac:dyDescent="0.25">
      <c r="A1877" t="e">
        <f>-LqerfpGKKAdosnCbi7W</f>
        <v>#NAME?</v>
      </c>
      <c r="B1877">
        <v>393.75</v>
      </c>
      <c r="C1877">
        <v>20.584240000000001</v>
      </c>
      <c r="D1877">
        <v>44</v>
      </c>
      <c r="E1877">
        <v>0</v>
      </c>
      <c r="F1877">
        <v>0</v>
      </c>
      <c r="G1877">
        <v>20</v>
      </c>
      <c r="H1877" s="4">
        <v>1570529786060</v>
      </c>
      <c r="I1877">
        <v>526.6875</v>
      </c>
      <c r="J1877" s="9">
        <f t="shared" si="29"/>
        <v>43746.719746064809</v>
      </c>
      <c r="K1877" s="1"/>
    </row>
    <row r="1878" spans="1:11" x14ac:dyDescent="0.25">
      <c r="A1878" t="e">
        <f>-LqerhT6DQMq3DFfNAzL</f>
        <v>#NAME?</v>
      </c>
      <c r="B1878">
        <v>393.75</v>
      </c>
      <c r="C1878">
        <v>20.584240000000001</v>
      </c>
      <c r="D1878">
        <v>43</v>
      </c>
      <c r="E1878">
        <v>0</v>
      </c>
      <c r="F1878">
        <v>0</v>
      </c>
      <c r="G1878">
        <v>23</v>
      </c>
      <c r="H1878" s="4">
        <v>1570529792736</v>
      </c>
      <c r="I1878">
        <v>526.6875</v>
      </c>
      <c r="J1878" s="9">
        <f t="shared" si="29"/>
        <v>43746.719823333326</v>
      </c>
      <c r="K1878" s="1"/>
    </row>
    <row r="1879" spans="1:11" x14ac:dyDescent="0.25">
      <c r="A1879" t="e">
        <f>-Lqerj1Ggo7Fh1rVRibX</f>
        <v>#NAME?</v>
      </c>
      <c r="B1879">
        <v>393.75</v>
      </c>
      <c r="C1879">
        <v>20.531590000000001</v>
      </c>
      <c r="D1879">
        <v>42</v>
      </c>
      <c r="E1879">
        <v>0</v>
      </c>
      <c r="F1879">
        <v>0</v>
      </c>
      <c r="G1879">
        <v>22</v>
      </c>
      <c r="H1879" s="4">
        <v>1570529798937</v>
      </c>
      <c r="I1879">
        <v>526.6875</v>
      </c>
      <c r="J1879" s="9">
        <f t="shared" si="29"/>
        <v>43746.719895104165</v>
      </c>
      <c r="K1879" s="1"/>
    </row>
    <row r="1880" spans="1:11" x14ac:dyDescent="0.25">
      <c r="A1880" t="e">
        <f>-LqerkkFi0YFqUG1PZms</f>
        <v>#NAME?</v>
      </c>
      <c r="B1880">
        <v>393.75</v>
      </c>
      <c r="C1880">
        <v>20.531590000000001</v>
      </c>
      <c r="D1880">
        <v>42</v>
      </c>
      <c r="E1880">
        <v>0</v>
      </c>
      <c r="F1880">
        <v>0</v>
      </c>
      <c r="G1880">
        <v>12</v>
      </c>
      <c r="H1880" s="4">
        <v>1570529806147</v>
      </c>
      <c r="I1880">
        <v>526.6875</v>
      </c>
      <c r="J1880" s="9">
        <f t="shared" si="29"/>
        <v>43746.719978553236</v>
      </c>
      <c r="K1880" s="1"/>
    </row>
    <row r="1881" spans="1:11" x14ac:dyDescent="0.25">
      <c r="A1881" t="e">
        <f>-LqermEBi5Zi30LrAyWq</f>
        <v>#NAME?</v>
      </c>
      <c r="B1881">
        <v>393.75</v>
      </c>
      <c r="C1881">
        <v>20.584240000000001</v>
      </c>
      <c r="D1881">
        <v>42</v>
      </c>
      <c r="E1881">
        <v>0</v>
      </c>
      <c r="F1881">
        <v>0</v>
      </c>
      <c r="G1881">
        <v>22</v>
      </c>
      <c r="H1881" s="4">
        <v>1570529812327</v>
      </c>
      <c r="I1881">
        <v>526.6875</v>
      </c>
      <c r="J1881" s="9">
        <f t="shared" si="29"/>
        <v>43746.720050081021</v>
      </c>
      <c r="K1881" s="1"/>
    </row>
    <row r="1882" spans="1:11" x14ac:dyDescent="0.25">
      <c r="A1882" t="e">
        <f>-LqernnE-zovu8IgtvsJ</f>
        <v>#NAME?</v>
      </c>
      <c r="B1882">
        <v>393.75</v>
      </c>
      <c r="C1882">
        <v>20.584240000000001</v>
      </c>
      <c r="D1882">
        <v>43</v>
      </c>
      <c r="E1882">
        <v>0</v>
      </c>
      <c r="F1882">
        <v>0</v>
      </c>
      <c r="G1882">
        <v>23</v>
      </c>
      <c r="H1882" s="4">
        <v>1570529818506</v>
      </c>
      <c r="I1882">
        <v>526.6875</v>
      </c>
      <c r="J1882" s="9">
        <f t="shared" si="29"/>
        <v>43746.720121597224</v>
      </c>
      <c r="K1882" s="1"/>
    </row>
    <row r="1883" spans="1:11" x14ac:dyDescent="0.25">
      <c r="A1883" t="e">
        <f>-LqerpWFE-hK-JEVG1DL</f>
        <v>#NAME?</v>
      </c>
      <c r="B1883">
        <v>393.75</v>
      </c>
      <c r="C1883">
        <v>20.584240000000001</v>
      </c>
      <c r="D1883">
        <v>44</v>
      </c>
      <c r="E1883">
        <v>0</v>
      </c>
      <c r="F1883">
        <v>0</v>
      </c>
      <c r="G1883">
        <v>26</v>
      </c>
      <c r="H1883" s="4">
        <v>1570529825699</v>
      </c>
      <c r="I1883">
        <v>526.6875</v>
      </c>
      <c r="J1883" s="9">
        <f t="shared" si="29"/>
        <v>43746.720204849531</v>
      </c>
      <c r="K1883" s="1"/>
    </row>
    <row r="1884" spans="1:11" x14ac:dyDescent="0.25">
      <c r="A1884" t="e">
        <f>-Lqerr4GanBvUkY_-nTZ</f>
        <v>#NAME?</v>
      </c>
      <c r="B1884">
        <v>393.75</v>
      </c>
      <c r="C1884">
        <v>20.584240000000001</v>
      </c>
      <c r="D1884">
        <v>44</v>
      </c>
      <c r="E1884">
        <v>0</v>
      </c>
      <c r="F1884">
        <v>0</v>
      </c>
      <c r="G1884">
        <v>29</v>
      </c>
      <c r="H1884" s="4">
        <v>1570529831961</v>
      </c>
      <c r="I1884">
        <v>526.6875</v>
      </c>
      <c r="J1884" s="9">
        <f t="shared" si="29"/>
        <v>43746.720277326385</v>
      </c>
      <c r="K1884" s="1"/>
    </row>
    <row r="1885" spans="1:11" x14ac:dyDescent="0.25">
      <c r="A1885" t="e">
        <f>-LqersnHv6nSU9NvEgru</f>
        <v>#NAME?</v>
      </c>
      <c r="B1885">
        <v>393.75</v>
      </c>
      <c r="C1885">
        <v>20.584240000000001</v>
      </c>
      <c r="D1885">
        <v>45</v>
      </c>
      <c r="E1885">
        <v>0</v>
      </c>
      <c r="F1885">
        <v>0</v>
      </c>
      <c r="G1885">
        <v>22</v>
      </c>
      <c r="H1885" s="4">
        <v>1570529839134</v>
      </c>
      <c r="I1885">
        <v>526.6875</v>
      </c>
      <c r="J1885" s="9">
        <f t="shared" si="29"/>
        <v>43746.720360347223</v>
      </c>
      <c r="K1885" s="1"/>
    </row>
    <row r="1886" spans="1:11" x14ac:dyDescent="0.25">
      <c r="A1886" t="e">
        <f>-LqeruaPVeXctJAifDEr</f>
        <v>#NAME?</v>
      </c>
      <c r="B1886">
        <v>412.5</v>
      </c>
      <c r="C1886">
        <v>20.584240000000001</v>
      </c>
      <c r="D1886">
        <v>44</v>
      </c>
      <c r="E1886">
        <v>0</v>
      </c>
      <c r="F1886">
        <v>0</v>
      </c>
      <c r="G1886">
        <v>20</v>
      </c>
      <c r="H1886" s="4">
        <v>1570529846328</v>
      </c>
      <c r="I1886">
        <v>532.3125</v>
      </c>
      <c r="J1886" s="9">
        <f t="shared" si="29"/>
        <v>43746.720443611113</v>
      </c>
      <c r="K1886" s="1"/>
    </row>
    <row r="1887" spans="1:11" x14ac:dyDescent="0.25">
      <c r="A1887" t="e">
        <f>-LqerwJFFfG_AfiTlFXm</f>
        <v>#NAME?</v>
      </c>
      <c r="B1887">
        <v>393.75</v>
      </c>
      <c r="C1887">
        <v>20.584240000000001</v>
      </c>
      <c r="D1887">
        <v>46</v>
      </c>
      <c r="E1887">
        <v>0</v>
      </c>
      <c r="F1887">
        <v>0</v>
      </c>
      <c r="G1887">
        <v>24</v>
      </c>
      <c r="H1887" s="4">
        <v>1570529853529</v>
      </c>
      <c r="I1887">
        <v>526.5</v>
      </c>
      <c r="J1887" s="9">
        <f t="shared" si="29"/>
        <v>43746.720526956015</v>
      </c>
      <c r="K1887" s="1"/>
    </row>
    <row r="1888" spans="1:11" x14ac:dyDescent="0.25">
      <c r="A1888" t="e">
        <f>-Lqerxs8R2Jl-RfFhGsi</f>
        <v>#NAME?</v>
      </c>
      <c r="B1888">
        <v>393.75</v>
      </c>
      <c r="C1888">
        <v>20.584240000000001</v>
      </c>
      <c r="D1888">
        <v>49</v>
      </c>
      <c r="E1888">
        <v>0</v>
      </c>
      <c r="F1888">
        <v>0</v>
      </c>
      <c r="G1888">
        <v>20</v>
      </c>
      <c r="H1888" s="4">
        <v>1570529859728</v>
      </c>
      <c r="I1888">
        <v>526.6875</v>
      </c>
      <c r="J1888" s="9">
        <f t="shared" si="29"/>
        <v>43746.720598703701</v>
      </c>
      <c r="K1888" s="1"/>
    </row>
    <row r="1889" spans="1:11" x14ac:dyDescent="0.25">
      <c r="A1889" t="e">
        <f>-Lqerza7ExrpxZN4h4lf</f>
        <v>#NAME?</v>
      </c>
      <c r="B1889">
        <v>393.75</v>
      </c>
      <c r="C1889">
        <v>20.584240000000001</v>
      </c>
      <c r="D1889">
        <v>46</v>
      </c>
      <c r="E1889">
        <v>0</v>
      </c>
      <c r="F1889">
        <v>0</v>
      </c>
      <c r="G1889">
        <v>11</v>
      </c>
      <c r="H1889" s="4">
        <v>1570529866948</v>
      </c>
      <c r="I1889">
        <v>526.5</v>
      </c>
      <c r="J1889" s="9">
        <f t="shared" si="29"/>
        <v>43746.720682268518</v>
      </c>
      <c r="K1889" s="1"/>
    </row>
    <row r="1890" spans="1:11" x14ac:dyDescent="0.25">
      <c r="A1890" t="e">
        <f>-Lqes03BNQu5XVzxkDsD</f>
        <v>#NAME?</v>
      </c>
      <c r="B1890">
        <v>393.75</v>
      </c>
      <c r="C1890">
        <v>20.584240000000001</v>
      </c>
      <c r="D1890">
        <v>46</v>
      </c>
      <c r="E1890">
        <v>0</v>
      </c>
      <c r="F1890">
        <v>0</v>
      </c>
      <c r="G1890">
        <v>23</v>
      </c>
      <c r="H1890" s="4">
        <v>1570529873118</v>
      </c>
      <c r="I1890">
        <v>526.6875</v>
      </c>
      <c r="J1890" s="9">
        <f t="shared" si="29"/>
        <v>43746.720753680558</v>
      </c>
      <c r="K1890" s="1"/>
    </row>
    <row r="1891" spans="1:11" x14ac:dyDescent="0.25">
      <c r="A1891" t="e">
        <f>-Lqes1c1Dntw6TC0lHib</f>
        <v>#NAME?</v>
      </c>
      <c r="B1891">
        <v>393.75</v>
      </c>
      <c r="C1891">
        <v>20.531590000000001</v>
      </c>
      <c r="D1891">
        <v>47</v>
      </c>
      <c r="E1891">
        <v>0</v>
      </c>
      <c r="F1891">
        <v>0</v>
      </c>
      <c r="G1891">
        <v>19</v>
      </c>
      <c r="H1891" s="4">
        <v>1570529879297</v>
      </c>
      <c r="I1891">
        <v>526.6875</v>
      </c>
      <c r="J1891" s="9">
        <f t="shared" si="29"/>
        <v>43746.72082519676</v>
      </c>
      <c r="K1891" s="1"/>
    </row>
    <row r="1892" spans="1:11" x14ac:dyDescent="0.25">
      <c r="A1892" t="e">
        <f>-Lqes379cqOFRinSNGDJ</f>
        <v>#NAME?</v>
      </c>
      <c r="B1892">
        <v>412.5</v>
      </c>
      <c r="C1892">
        <v>20.584240000000001</v>
      </c>
      <c r="D1892">
        <v>47</v>
      </c>
      <c r="E1892">
        <v>0</v>
      </c>
      <c r="F1892">
        <v>0</v>
      </c>
      <c r="G1892">
        <v>21</v>
      </c>
      <c r="H1892" s="4">
        <v>1570529885479</v>
      </c>
      <c r="I1892">
        <v>532.3125</v>
      </c>
      <c r="J1892" s="9">
        <f t="shared" si="29"/>
        <v>43746.720896747684</v>
      </c>
      <c r="K1892" s="1"/>
    </row>
    <row r="1893" spans="1:11" x14ac:dyDescent="0.25">
      <c r="A1893" t="e">
        <f>-Lqes4sZbTvdq12ntATJ</f>
        <v>#NAME?</v>
      </c>
      <c r="B1893">
        <v>393.75</v>
      </c>
      <c r="C1893">
        <v>20.584240000000001</v>
      </c>
      <c r="D1893">
        <v>47</v>
      </c>
      <c r="E1893">
        <v>0</v>
      </c>
      <c r="F1893">
        <v>0</v>
      </c>
      <c r="G1893">
        <v>17</v>
      </c>
      <c r="H1893" s="4">
        <v>1570529891688</v>
      </c>
      <c r="I1893">
        <v>526.6875</v>
      </c>
      <c r="J1893" s="9">
        <f t="shared" si="29"/>
        <v>43746.720968611109</v>
      </c>
      <c r="K1893" s="1"/>
    </row>
    <row r="1894" spans="1:11" x14ac:dyDescent="0.25">
      <c r="A1894" t="e">
        <f>-Lqes6P3VOsm0zy1Krco</f>
        <v>#NAME?</v>
      </c>
      <c r="B1894">
        <v>393.75</v>
      </c>
      <c r="C1894">
        <v>20.531590000000001</v>
      </c>
      <c r="D1894">
        <v>46</v>
      </c>
      <c r="E1894">
        <v>0</v>
      </c>
      <c r="F1894">
        <v>0</v>
      </c>
      <c r="G1894">
        <v>19</v>
      </c>
      <c r="H1894" s="4">
        <v>1570529898874</v>
      </c>
      <c r="I1894">
        <v>526.6875</v>
      </c>
      <c r="J1894" s="9">
        <f t="shared" si="29"/>
        <v>43746.721051782406</v>
      </c>
      <c r="K1894" s="1"/>
    </row>
    <row r="1895" spans="1:11" x14ac:dyDescent="0.25">
      <c r="A1895" t="e">
        <f>-Lqes7tCGhIXEdiXYSYV</f>
        <v>#NAME?</v>
      </c>
      <c r="B1895">
        <v>393.75</v>
      </c>
      <c r="C1895">
        <v>20.531590000000001</v>
      </c>
      <c r="D1895">
        <v>45</v>
      </c>
      <c r="E1895">
        <v>0</v>
      </c>
      <c r="F1895">
        <v>0</v>
      </c>
      <c r="G1895">
        <v>24</v>
      </c>
      <c r="H1895" s="4">
        <v>1570529905045</v>
      </c>
      <c r="I1895">
        <v>526.6875</v>
      </c>
      <c r="J1895" s="9">
        <f t="shared" si="29"/>
        <v>43746.721123206014</v>
      </c>
      <c r="K1895" s="1"/>
    </row>
    <row r="1896" spans="1:11" x14ac:dyDescent="0.25">
      <c r="A1896" t="e">
        <f>-Lqes9SHMBNGvGMez8ET</f>
        <v>#NAME?</v>
      </c>
      <c r="B1896">
        <v>393.75</v>
      </c>
      <c r="C1896">
        <v>20.584240000000001</v>
      </c>
      <c r="D1896">
        <v>45</v>
      </c>
      <c r="E1896">
        <v>0</v>
      </c>
      <c r="F1896">
        <v>0</v>
      </c>
      <c r="G1896">
        <v>11</v>
      </c>
      <c r="H1896" s="4">
        <v>1570529911232</v>
      </c>
      <c r="I1896">
        <v>526.6875</v>
      </c>
      <c r="J1896" s="9">
        <f t="shared" si="29"/>
        <v>43746.721194814811</v>
      </c>
      <c r="K1896" s="1"/>
    </row>
    <row r="1897" spans="1:11" x14ac:dyDescent="0.25">
      <c r="A1897" t="e">
        <f>-LqesBJtnyOARN4rBk7f</f>
        <v>#NAME?</v>
      </c>
      <c r="B1897">
        <v>393.75</v>
      </c>
      <c r="C1897">
        <v>20.584240000000001</v>
      </c>
      <c r="D1897">
        <v>45</v>
      </c>
      <c r="E1897">
        <v>0</v>
      </c>
      <c r="F1897">
        <v>0</v>
      </c>
      <c r="G1897">
        <v>23</v>
      </c>
      <c r="H1897" s="4">
        <v>1570529918453</v>
      </c>
      <c r="I1897">
        <v>526.6875</v>
      </c>
      <c r="J1897" s="9">
        <f t="shared" si="29"/>
        <v>43746.721278391204</v>
      </c>
      <c r="K1897" s="1"/>
    </row>
    <row r="1898" spans="1:11" x14ac:dyDescent="0.25">
      <c r="A1898" t="e">
        <f>-LqesCyCnLoMvKnYCsEV</f>
        <v>#NAME?</v>
      </c>
      <c r="B1898">
        <v>437.5</v>
      </c>
      <c r="C1898">
        <v>20.584240000000001</v>
      </c>
      <c r="D1898">
        <v>44</v>
      </c>
      <c r="E1898">
        <v>0</v>
      </c>
      <c r="F1898">
        <v>0</v>
      </c>
      <c r="G1898">
        <v>28</v>
      </c>
      <c r="H1898" s="4">
        <v>1570529925664</v>
      </c>
      <c r="I1898">
        <v>540.75</v>
      </c>
      <c r="J1898" s="9">
        <f t="shared" si="29"/>
        <v>43746.721361851851</v>
      </c>
      <c r="K1898" s="1"/>
    </row>
    <row r="1899" spans="1:11" x14ac:dyDescent="0.25">
      <c r="A1899" t="e">
        <f>-LqesEdyEeIkhmorXQP_</f>
        <v>#NAME?</v>
      </c>
      <c r="B1899">
        <v>393.75</v>
      </c>
      <c r="C1899">
        <v>20.531590000000001</v>
      </c>
      <c r="D1899">
        <v>41</v>
      </c>
      <c r="E1899">
        <v>0</v>
      </c>
      <c r="F1899">
        <v>0</v>
      </c>
      <c r="G1899">
        <v>24</v>
      </c>
      <c r="H1899" s="4">
        <v>1570529932884</v>
      </c>
      <c r="I1899">
        <v>526.6875</v>
      </c>
      <c r="J1899" s="9">
        <f t="shared" si="29"/>
        <v>43746.721445416661</v>
      </c>
      <c r="K1899" s="1"/>
    </row>
    <row r="1900" spans="1:11" x14ac:dyDescent="0.25">
      <c r="A1900" t="e">
        <f>-LqesGUC0mxysumfjKLD</f>
        <v>#NAME?</v>
      </c>
      <c r="B1900">
        <v>393.75</v>
      </c>
      <c r="C1900">
        <v>20.584240000000001</v>
      </c>
      <c r="D1900">
        <v>42</v>
      </c>
      <c r="E1900">
        <v>0</v>
      </c>
      <c r="F1900">
        <v>0</v>
      </c>
      <c r="G1900">
        <v>21</v>
      </c>
      <c r="H1900" s="4">
        <v>1570529940084</v>
      </c>
      <c r="I1900">
        <v>526.6875</v>
      </c>
      <c r="J1900" s="9">
        <f t="shared" si="29"/>
        <v>43746.721528749993</v>
      </c>
      <c r="K1900" s="1"/>
    </row>
    <row r="1901" spans="1:11" x14ac:dyDescent="0.25">
      <c r="A1901" t="e">
        <f>-LqesIRBr7kp8mgdBUDb</f>
        <v>#NAME?</v>
      </c>
      <c r="B1901">
        <v>393.75</v>
      </c>
      <c r="C1901">
        <v>20.531590000000001</v>
      </c>
      <c r="D1901">
        <v>43</v>
      </c>
      <c r="E1901">
        <v>0</v>
      </c>
      <c r="F1901">
        <v>0</v>
      </c>
      <c r="G1901">
        <v>30</v>
      </c>
      <c r="H1901" s="4">
        <v>1570529948218</v>
      </c>
      <c r="I1901">
        <v>526.6875</v>
      </c>
      <c r="J1901" s="9">
        <f t="shared" si="29"/>
        <v>43746.721622893521</v>
      </c>
      <c r="K1901" s="1"/>
    </row>
    <row r="1902" spans="1:11" x14ac:dyDescent="0.25">
      <c r="A1902" t="s">
        <v>101</v>
      </c>
      <c r="B1902">
        <v>393.75</v>
      </c>
      <c r="C1902">
        <v>20.584240000000001</v>
      </c>
      <c r="D1902">
        <v>45</v>
      </c>
      <c r="E1902">
        <v>0</v>
      </c>
      <c r="F1902">
        <v>0</v>
      </c>
      <c r="G1902">
        <v>20</v>
      </c>
      <c r="H1902" s="4">
        <v>1570529954513</v>
      </c>
      <c r="I1902">
        <v>526.5</v>
      </c>
      <c r="J1902" s="9">
        <f t="shared" si="29"/>
        <v>43746.721695752312</v>
      </c>
      <c r="K1902" s="1"/>
    </row>
    <row r="1903" spans="1:11" x14ac:dyDescent="0.25">
      <c r="A1903" t="e">
        <f>-LqesLT-D5NlEst971R8</f>
        <v>#NAME?</v>
      </c>
      <c r="B1903">
        <v>415.625</v>
      </c>
      <c r="C1903">
        <v>20.584240000000001</v>
      </c>
      <c r="D1903">
        <v>45</v>
      </c>
      <c r="E1903">
        <v>0</v>
      </c>
      <c r="F1903">
        <v>0</v>
      </c>
      <c r="G1903">
        <v>27</v>
      </c>
      <c r="H1903" s="4">
        <v>1570529960683</v>
      </c>
      <c r="I1903">
        <v>533.625</v>
      </c>
      <c r="J1903" s="9">
        <f t="shared" si="29"/>
        <v>43746.721767164352</v>
      </c>
      <c r="K1903" s="1"/>
    </row>
    <row r="1904" spans="1:11" x14ac:dyDescent="0.25">
      <c r="A1904" t="e">
        <f>-LqesMy37JDGdoyve5Ic</f>
        <v>#NAME?</v>
      </c>
      <c r="B1904">
        <v>393.75</v>
      </c>
      <c r="C1904">
        <v>20.531590000000001</v>
      </c>
      <c r="D1904">
        <v>47</v>
      </c>
      <c r="E1904">
        <v>0</v>
      </c>
      <c r="F1904">
        <v>0</v>
      </c>
      <c r="G1904">
        <v>22</v>
      </c>
      <c r="H1904" s="4">
        <v>1570529966885</v>
      </c>
      <c r="I1904">
        <v>526.6875</v>
      </c>
      <c r="J1904" s="9">
        <f t="shared" si="29"/>
        <v>43746.721838946753</v>
      </c>
      <c r="K1904" s="1"/>
    </row>
    <row r="1905" spans="1:11" x14ac:dyDescent="0.25">
      <c r="A1905" t="e">
        <f>-LqesOX2xfKSdaHFlkvR</f>
        <v>#NAME?</v>
      </c>
      <c r="B1905">
        <v>393.75</v>
      </c>
      <c r="C1905">
        <v>20.584240000000001</v>
      </c>
      <c r="D1905">
        <v>49</v>
      </c>
      <c r="E1905">
        <v>0</v>
      </c>
      <c r="F1905">
        <v>0</v>
      </c>
      <c r="G1905">
        <v>31</v>
      </c>
      <c r="H1905" s="4">
        <v>1570529973054</v>
      </c>
      <c r="I1905">
        <v>526.6875</v>
      </c>
      <c r="J1905" s="9">
        <f t="shared" si="29"/>
        <v>43746.721910347223</v>
      </c>
      <c r="K1905" s="1"/>
    </row>
    <row r="1906" spans="1:11" x14ac:dyDescent="0.25">
      <c r="A1906" t="e">
        <f>-LqesQ0BKcQvRivwjZ2F</f>
        <v>#NAME?</v>
      </c>
      <c r="B1906">
        <v>393.75</v>
      </c>
      <c r="C1906">
        <v>20.584240000000001</v>
      </c>
      <c r="D1906">
        <v>49</v>
      </c>
      <c r="E1906">
        <v>0</v>
      </c>
      <c r="F1906">
        <v>0</v>
      </c>
      <c r="G1906">
        <v>29</v>
      </c>
      <c r="H1906" s="4">
        <v>1570529979234</v>
      </c>
      <c r="I1906">
        <v>526.6875</v>
      </c>
      <c r="J1906" s="9">
        <f t="shared" si="29"/>
        <v>43746.721981874995</v>
      </c>
      <c r="K1906" s="1"/>
    </row>
    <row r="1907" spans="1:11" x14ac:dyDescent="0.25">
      <c r="A1907" t="e">
        <f>-LqesRpSKDiMWN54-oFe</f>
        <v>#NAME?</v>
      </c>
      <c r="B1907">
        <v>393.75</v>
      </c>
      <c r="C1907">
        <v>20.531590000000001</v>
      </c>
      <c r="D1907">
        <v>50</v>
      </c>
      <c r="E1907">
        <v>0</v>
      </c>
      <c r="F1907">
        <v>0</v>
      </c>
      <c r="G1907">
        <v>31</v>
      </c>
      <c r="H1907" s="4">
        <v>1570529986454</v>
      </c>
      <c r="I1907">
        <v>526.5</v>
      </c>
      <c r="J1907" s="9">
        <f t="shared" si="29"/>
        <v>43746.722065439812</v>
      </c>
      <c r="K1907" s="1"/>
    </row>
    <row r="1908" spans="1:11" x14ac:dyDescent="0.25">
      <c r="A1908" t="e">
        <f>-LqesTXBTvDizbx4dgEB</f>
        <v>#NAME?</v>
      </c>
      <c r="B1908">
        <v>393.75</v>
      </c>
      <c r="C1908">
        <v>20.584240000000001</v>
      </c>
      <c r="D1908">
        <v>49</v>
      </c>
      <c r="E1908">
        <v>0</v>
      </c>
      <c r="F1908">
        <v>0</v>
      </c>
      <c r="G1908">
        <v>26</v>
      </c>
      <c r="H1908" s="4">
        <v>1570529993664</v>
      </c>
      <c r="I1908">
        <v>526.6875</v>
      </c>
      <c r="J1908" s="9">
        <f t="shared" si="29"/>
        <v>43746.722148888883</v>
      </c>
      <c r="K1908" s="1"/>
    </row>
    <row r="1909" spans="1:11" x14ac:dyDescent="0.25">
      <c r="A1909" t="e">
        <f>-LqesVKBADmFXjPBaB23</f>
        <v>#NAME?</v>
      </c>
      <c r="B1909">
        <v>393.75</v>
      </c>
      <c r="C1909">
        <v>20.584240000000001</v>
      </c>
      <c r="D1909">
        <v>48</v>
      </c>
      <c r="E1909">
        <v>0</v>
      </c>
      <c r="F1909">
        <v>0</v>
      </c>
      <c r="G1909">
        <v>32</v>
      </c>
      <c r="H1909" s="4">
        <v>1570530000884</v>
      </c>
      <c r="I1909">
        <v>526.5</v>
      </c>
      <c r="J1909" s="9">
        <f t="shared" si="29"/>
        <v>43746.7222324537</v>
      </c>
      <c r="K1909" s="1"/>
    </row>
    <row r="1910" spans="1:11" x14ac:dyDescent="0.25">
      <c r="A1910" t="e">
        <f>-LqesX2MWwsJLufVqLnI</f>
        <v>#NAME?</v>
      </c>
      <c r="B1910">
        <v>393.75</v>
      </c>
      <c r="C1910">
        <v>20.584240000000001</v>
      </c>
      <c r="D1910">
        <v>48</v>
      </c>
      <c r="E1910">
        <v>0</v>
      </c>
      <c r="F1910">
        <v>0</v>
      </c>
      <c r="G1910">
        <v>23</v>
      </c>
      <c r="H1910" s="4">
        <v>1570530008083</v>
      </c>
      <c r="I1910">
        <v>526.6875</v>
      </c>
      <c r="J1910" s="9">
        <f t="shared" si="29"/>
        <v>43746.722315775456</v>
      </c>
      <c r="K1910" s="1"/>
    </row>
    <row r="1911" spans="1:11" x14ac:dyDescent="0.25">
      <c r="A1911" t="e">
        <f>-LqesYqBsct4qI0wskHY</f>
        <v>#NAME?</v>
      </c>
      <c r="B1911">
        <v>393.75</v>
      </c>
      <c r="C1911">
        <v>20.584240000000001</v>
      </c>
      <c r="D1911">
        <v>48</v>
      </c>
      <c r="E1911">
        <v>0</v>
      </c>
      <c r="F1911">
        <v>0</v>
      </c>
      <c r="G1911">
        <v>31</v>
      </c>
      <c r="H1911" s="4">
        <v>1570530015304</v>
      </c>
      <c r="I1911">
        <v>526.6875</v>
      </c>
      <c r="J1911" s="9">
        <f t="shared" si="29"/>
        <v>43746.722399351849</v>
      </c>
      <c r="K1911" s="1"/>
    </row>
    <row r="1912" spans="1:11" x14ac:dyDescent="0.25">
      <c r="A1912" t="e">
        <f>-Lqes_ZC3xq50anQSAyD</f>
        <v>#NAME?</v>
      </c>
      <c r="B1912">
        <v>393.75</v>
      </c>
      <c r="C1912">
        <v>20.584240000000001</v>
      </c>
      <c r="D1912">
        <v>48</v>
      </c>
      <c r="E1912">
        <v>0</v>
      </c>
      <c r="F1912">
        <v>0</v>
      </c>
      <c r="G1912">
        <v>21</v>
      </c>
      <c r="H1912" s="4">
        <v>1570530022483</v>
      </c>
      <c r="I1912">
        <v>526.5</v>
      </c>
      <c r="J1912" s="9">
        <f t="shared" si="29"/>
        <v>43746.722482442128</v>
      </c>
      <c r="K1912" s="1"/>
    </row>
    <row r="1913" spans="1:11" x14ac:dyDescent="0.25">
      <c r="A1913" t="e">
        <f>-Lqesb7xUyZkyUskAoSE</f>
        <v>#NAME?</v>
      </c>
      <c r="B1913">
        <v>393.75</v>
      </c>
      <c r="C1913">
        <v>20.531590000000001</v>
      </c>
      <c r="D1913">
        <v>48</v>
      </c>
      <c r="E1913">
        <v>0</v>
      </c>
      <c r="F1913">
        <v>0</v>
      </c>
      <c r="G1913">
        <v>27</v>
      </c>
      <c r="H1913" s="4">
        <v>1570530028674</v>
      </c>
      <c r="I1913">
        <v>526.6875</v>
      </c>
      <c r="J1913" s="9">
        <f t="shared" si="29"/>
        <v>43746.722554097221</v>
      </c>
      <c r="K1913" s="1"/>
    </row>
    <row r="1914" spans="1:11" x14ac:dyDescent="0.25">
      <c r="A1914" t="e">
        <f>-Lqescq2QBFlRETMTTWC</f>
        <v>#NAME?</v>
      </c>
      <c r="B1914">
        <v>393.75</v>
      </c>
      <c r="C1914">
        <v>20.584240000000001</v>
      </c>
      <c r="D1914">
        <v>48</v>
      </c>
      <c r="E1914">
        <v>0</v>
      </c>
      <c r="F1914">
        <v>0</v>
      </c>
      <c r="G1914">
        <v>23</v>
      </c>
      <c r="H1914" s="4">
        <v>1570530035924</v>
      </c>
      <c r="I1914">
        <v>526.6875</v>
      </c>
      <c r="J1914" s="9">
        <f t="shared" si="29"/>
        <v>43746.722638009254</v>
      </c>
      <c r="K1914" s="1"/>
    </row>
    <row r="1915" spans="1:11" x14ac:dyDescent="0.25">
      <c r="A1915" t="e">
        <f>-LqeseK45acKXLj5JYog</f>
        <v>#NAME?</v>
      </c>
      <c r="B1915">
        <v>393.75</v>
      </c>
      <c r="C1915">
        <v>20.531590000000001</v>
      </c>
      <c r="D1915">
        <v>48</v>
      </c>
      <c r="E1915">
        <v>0</v>
      </c>
      <c r="F1915">
        <v>0</v>
      </c>
      <c r="G1915">
        <v>20</v>
      </c>
      <c r="H1915" s="4">
        <v>1570530042055</v>
      </c>
      <c r="I1915">
        <v>526.6875</v>
      </c>
      <c r="J1915" s="9">
        <f t="shared" si="29"/>
        <v>43746.722708969908</v>
      </c>
      <c r="K1915" s="1"/>
    </row>
    <row r="1916" spans="1:11" x14ac:dyDescent="0.25">
      <c r="A1916" t="e">
        <f>-Lqesft33_8NyrqNWCjq</f>
        <v>#NAME?</v>
      </c>
      <c r="B1916">
        <v>393.75</v>
      </c>
      <c r="C1916">
        <v>20.584240000000001</v>
      </c>
      <c r="D1916">
        <v>47</v>
      </c>
      <c r="E1916">
        <v>0</v>
      </c>
      <c r="F1916">
        <v>0</v>
      </c>
      <c r="G1916">
        <v>27</v>
      </c>
      <c r="H1916" s="4">
        <v>1570530048274</v>
      </c>
      <c r="I1916">
        <v>526.5</v>
      </c>
      <c r="J1916" s="9">
        <f t="shared" si="29"/>
        <v>43746.722780949072</v>
      </c>
      <c r="K1916" s="1"/>
    </row>
    <row r="1917" spans="1:11" x14ac:dyDescent="0.25">
      <c r="A1917" t="e">
        <f>-LqeshNL3AXgk3hRTTAn</f>
        <v>#NAME?</v>
      </c>
      <c r="B1917">
        <v>393.75</v>
      </c>
      <c r="C1917">
        <v>20.584240000000001</v>
      </c>
      <c r="D1917">
        <v>47</v>
      </c>
      <c r="E1917">
        <v>0</v>
      </c>
      <c r="F1917">
        <v>0</v>
      </c>
      <c r="G1917">
        <v>22</v>
      </c>
      <c r="H1917" s="4">
        <v>1570530054444</v>
      </c>
      <c r="I1917">
        <v>526.6875</v>
      </c>
      <c r="J1917" s="9">
        <f t="shared" si="29"/>
        <v>43746.722852361105</v>
      </c>
      <c r="K1917" s="1"/>
    </row>
    <row r="1918" spans="1:11" x14ac:dyDescent="0.25">
      <c r="A1918" t="e">
        <f>-LqesjABjZHYQk0uMiBZ</f>
        <v>#NAME?</v>
      </c>
      <c r="B1918">
        <v>393.75</v>
      </c>
      <c r="C1918">
        <v>20.584240000000001</v>
      </c>
      <c r="D1918">
        <v>46</v>
      </c>
      <c r="E1918">
        <v>0</v>
      </c>
      <c r="F1918">
        <v>0</v>
      </c>
      <c r="G1918">
        <v>16</v>
      </c>
      <c r="H1918" s="4">
        <v>1570530061663</v>
      </c>
      <c r="I1918">
        <v>526.6875</v>
      </c>
      <c r="J1918" s="9">
        <f t="shared" si="29"/>
        <v>43746.722935914346</v>
      </c>
      <c r="K1918" s="1"/>
    </row>
    <row r="1919" spans="1:11" x14ac:dyDescent="0.25">
      <c r="A1919" t="e">
        <f>-Lqeskt3QkrFzoR_KCma</f>
        <v>#NAME?</v>
      </c>
      <c r="B1919">
        <v>393.75</v>
      </c>
      <c r="C1919">
        <v>20.584240000000001</v>
      </c>
      <c r="D1919">
        <v>45</v>
      </c>
      <c r="E1919">
        <v>0</v>
      </c>
      <c r="F1919">
        <v>0</v>
      </c>
      <c r="G1919">
        <v>18</v>
      </c>
      <c r="H1919" s="4">
        <v>1570530068882</v>
      </c>
      <c r="I1919">
        <v>526.6875</v>
      </c>
      <c r="J1919" s="9">
        <f t="shared" si="29"/>
        <v>43746.723019467587</v>
      </c>
      <c r="K1919" s="1"/>
    </row>
    <row r="1920" spans="1:11" x14ac:dyDescent="0.25">
      <c r="A1920" t="e">
        <f>-LqesmSASICpbEfFfU9O</f>
        <v>#NAME?</v>
      </c>
      <c r="B1920">
        <v>393.75</v>
      </c>
      <c r="C1920">
        <v>20.531590000000001</v>
      </c>
      <c r="D1920">
        <v>45</v>
      </c>
      <c r="E1920">
        <v>0</v>
      </c>
      <c r="F1920">
        <v>0</v>
      </c>
      <c r="G1920">
        <v>21</v>
      </c>
      <c r="H1920" s="4">
        <v>1570530075055</v>
      </c>
      <c r="I1920">
        <v>526.6875</v>
      </c>
      <c r="J1920" s="9">
        <f t="shared" si="29"/>
        <v>43746.723090914347</v>
      </c>
      <c r="K1920" s="1"/>
    </row>
    <row r="1921" spans="1:11" x14ac:dyDescent="0.25">
      <c r="A1921" t="e">
        <f>-Lqeso9rq-PVFocsJLzy</f>
        <v>#NAME?</v>
      </c>
      <c r="B1921">
        <v>415.625</v>
      </c>
      <c r="C1921">
        <v>20.584240000000001</v>
      </c>
      <c r="D1921">
        <v>46</v>
      </c>
      <c r="E1921">
        <v>0</v>
      </c>
      <c r="F1921">
        <v>0</v>
      </c>
      <c r="G1921">
        <v>21</v>
      </c>
      <c r="H1921" s="4">
        <v>1570530082263</v>
      </c>
      <c r="I1921">
        <v>533.4375</v>
      </c>
      <c r="J1921" s="9">
        <f t="shared" si="29"/>
        <v>43746.723174340274</v>
      </c>
      <c r="K1921" s="1"/>
    </row>
    <row r="1922" spans="1:11" x14ac:dyDescent="0.25">
      <c r="A1922" t="e">
        <f>-Lqespy30W2rCaomyG2x</f>
        <v>#NAME?</v>
      </c>
      <c r="B1922">
        <v>393.75</v>
      </c>
      <c r="C1922">
        <v>20.531590000000001</v>
      </c>
      <c r="D1922">
        <v>46</v>
      </c>
      <c r="E1922">
        <v>0</v>
      </c>
      <c r="F1922">
        <v>0</v>
      </c>
      <c r="G1922">
        <v>27</v>
      </c>
      <c r="H1922" s="4">
        <v>1570530089484</v>
      </c>
      <c r="I1922">
        <v>526.6875</v>
      </c>
      <c r="J1922" s="9">
        <f t="shared" si="29"/>
        <v>43746.723257916667</v>
      </c>
      <c r="K1922" s="1"/>
    </row>
    <row r="1923" spans="1:11" x14ac:dyDescent="0.25">
      <c r="A1923" t="e">
        <f>-LqesrgAR0QSUYdBDyGX</f>
        <v>#NAME?</v>
      </c>
      <c r="B1923">
        <v>393.75</v>
      </c>
      <c r="C1923">
        <v>20.531590000000001</v>
      </c>
      <c r="D1923">
        <v>46</v>
      </c>
      <c r="E1923">
        <v>0</v>
      </c>
      <c r="F1923">
        <v>0</v>
      </c>
      <c r="G1923">
        <v>25</v>
      </c>
      <c r="H1923" s="4">
        <v>1570530096693</v>
      </c>
      <c r="I1923">
        <v>526.6875</v>
      </c>
      <c r="J1923" s="9">
        <f t="shared" ref="J1923:J1986" si="30">(H1923/86400000)+25569+(7/24)</f>
        <v>43746.723341354162</v>
      </c>
      <c r="K1923" s="1"/>
    </row>
    <row r="1924" spans="1:11" x14ac:dyDescent="0.25">
      <c r="A1924" t="e">
        <f>-LqestABtMrxuO52ncrh</f>
        <v>#NAME?</v>
      </c>
      <c r="B1924">
        <v>393.75</v>
      </c>
      <c r="C1924">
        <v>20.531590000000001</v>
      </c>
      <c r="D1924">
        <v>45</v>
      </c>
      <c r="E1924">
        <v>0</v>
      </c>
      <c r="F1924">
        <v>0</v>
      </c>
      <c r="G1924">
        <v>19</v>
      </c>
      <c r="H1924" s="4">
        <v>1570530102873</v>
      </c>
      <c r="I1924">
        <v>526.6875</v>
      </c>
      <c r="J1924" s="9">
        <f t="shared" si="30"/>
        <v>43746.723412881947</v>
      </c>
      <c r="K1924" s="1"/>
    </row>
    <row r="1925" spans="1:11" x14ac:dyDescent="0.25">
      <c r="A1925" t="e">
        <f>-LqesujBE5kBWr1UCPJx</f>
        <v>#NAME?</v>
      </c>
      <c r="B1925">
        <v>393.75</v>
      </c>
      <c r="C1925">
        <v>20.531590000000001</v>
      </c>
      <c r="D1925">
        <v>45</v>
      </c>
      <c r="E1925">
        <v>0</v>
      </c>
      <c r="F1925">
        <v>0</v>
      </c>
      <c r="G1925">
        <v>22</v>
      </c>
      <c r="H1925" s="4">
        <v>1570530109054</v>
      </c>
      <c r="I1925">
        <v>526.6875</v>
      </c>
      <c r="J1925" s="9">
        <f t="shared" si="30"/>
        <v>43746.723484421294</v>
      </c>
      <c r="K1925" s="1"/>
    </row>
    <row r="1926" spans="1:11" x14ac:dyDescent="0.25">
      <c r="A1926" t="e">
        <f>-LqeswnQO5o-dS6RTgTJ</f>
        <v>#NAME?</v>
      </c>
      <c r="B1926">
        <v>393.75</v>
      </c>
      <c r="C1926">
        <v>20.584240000000001</v>
      </c>
      <c r="D1926">
        <v>44</v>
      </c>
      <c r="E1926">
        <v>0</v>
      </c>
      <c r="F1926">
        <v>0</v>
      </c>
      <c r="G1926">
        <v>27</v>
      </c>
      <c r="H1926" s="4">
        <v>1570530116245</v>
      </c>
      <c r="I1926">
        <v>526.6875</v>
      </c>
      <c r="J1926" s="9">
        <f t="shared" si="30"/>
        <v>43746.723567650457</v>
      </c>
      <c r="K1926" s="1"/>
    </row>
    <row r="1927" spans="1:11" x14ac:dyDescent="0.25">
      <c r="A1927" t="e">
        <f>-LqesybmSZZ7Br0DSoH8</f>
        <v>#NAME?</v>
      </c>
      <c r="B1927">
        <v>393.75</v>
      </c>
      <c r="C1927">
        <v>20.584240000000001</v>
      </c>
      <c r="D1927">
        <v>44</v>
      </c>
      <c r="E1927">
        <v>0</v>
      </c>
      <c r="F1927">
        <v>0</v>
      </c>
      <c r="G1927">
        <v>26</v>
      </c>
      <c r="H1927" s="4">
        <v>1570530124517</v>
      </c>
      <c r="I1927">
        <v>526.6875</v>
      </c>
      <c r="J1927" s="9">
        <f t="shared" si="30"/>
        <v>43746.723663391203</v>
      </c>
      <c r="K1927" s="1"/>
    </row>
    <row r="1928" spans="1:11" x14ac:dyDescent="0.25">
      <c r="A1928" t="e">
        <f>-LqeT-HEn8hm3WjI_SQw</f>
        <v>#NAME?</v>
      </c>
      <c r="B1928">
        <v>393.75</v>
      </c>
      <c r="C1928">
        <v>20.584240000000001</v>
      </c>
      <c r="D1928">
        <v>45</v>
      </c>
      <c r="E1928">
        <v>0</v>
      </c>
      <c r="F1928">
        <v>0</v>
      </c>
      <c r="G1928">
        <v>27</v>
      </c>
      <c r="H1928" s="4">
        <v>1570530131728</v>
      </c>
      <c r="I1928">
        <v>526.5</v>
      </c>
      <c r="J1928" s="9">
        <f t="shared" si="30"/>
        <v>43746.723746851851</v>
      </c>
      <c r="K1928" s="1"/>
    </row>
    <row r="1929" spans="1:11" x14ac:dyDescent="0.25">
      <c r="A1929" t="e">
        <f>-Lqet1KTzE9fD50Iz1dR</f>
        <v>#NAME?</v>
      </c>
      <c r="B1929">
        <v>393.75</v>
      </c>
      <c r="C1929">
        <v>20.584240000000001</v>
      </c>
      <c r="D1929">
        <v>45</v>
      </c>
      <c r="E1929">
        <v>0</v>
      </c>
      <c r="F1929">
        <v>0</v>
      </c>
      <c r="G1929">
        <v>25</v>
      </c>
      <c r="H1929" s="4">
        <v>1570530138946</v>
      </c>
      <c r="I1929">
        <v>526.6875</v>
      </c>
      <c r="J1929" s="9">
        <f t="shared" si="30"/>
        <v>43746.723830393516</v>
      </c>
      <c r="K1929" s="1"/>
    </row>
    <row r="1930" spans="1:11" x14ac:dyDescent="0.25">
      <c r="A1930" t="e">
        <f>-Lqet31K6D0eTerN_WCM</f>
        <v>#NAME?</v>
      </c>
      <c r="B1930">
        <v>393.75</v>
      </c>
      <c r="C1930">
        <v>20.531590000000001</v>
      </c>
      <c r="D1930">
        <v>45</v>
      </c>
      <c r="E1930">
        <v>0</v>
      </c>
      <c r="F1930">
        <v>0</v>
      </c>
      <c r="G1930">
        <v>31</v>
      </c>
      <c r="H1930" s="4">
        <v>1570530147185</v>
      </c>
      <c r="I1930">
        <v>526.6875</v>
      </c>
      <c r="J1930" s="9">
        <f t="shared" si="30"/>
        <v>43746.723925752311</v>
      </c>
      <c r="K1930" s="1"/>
    </row>
    <row r="1931" spans="1:11" x14ac:dyDescent="0.25">
      <c r="A1931" t="e">
        <f>-Lqet4z5y-l2AMpr971L</f>
        <v>#NAME?</v>
      </c>
      <c r="B1931">
        <v>393.75</v>
      </c>
      <c r="C1931">
        <v>20.531590000000001</v>
      </c>
      <c r="D1931">
        <v>45</v>
      </c>
      <c r="E1931">
        <v>0</v>
      </c>
      <c r="F1931">
        <v>0</v>
      </c>
      <c r="G1931">
        <v>29</v>
      </c>
      <c r="H1931" s="4">
        <v>1570530155241</v>
      </c>
      <c r="I1931">
        <v>526.6875</v>
      </c>
      <c r="J1931" s="9">
        <f t="shared" si="30"/>
        <v>43746.724018993053</v>
      </c>
      <c r="K1931" s="1"/>
    </row>
    <row r="1932" spans="1:11" x14ac:dyDescent="0.25">
      <c r="A1932" t="s">
        <v>102</v>
      </c>
      <c r="B1932">
        <v>393.75</v>
      </c>
      <c r="C1932">
        <v>20.531590000000001</v>
      </c>
      <c r="D1932">
        <v>45</v>
      </c>
      <c r="E1932">
        <v>0</v>
      </c>
      <c r="F1932">
        <v>0</v>
      </c>
      <c r="G1932">
        <v>32</v>
      </c>
      <c r="H1932" s="4">
        <v>1570530161606</v>
      </c>
      <c r="I1932">
        <v>526.5</v>
      </c>
      <c r="J1932" s="9">
        <f t="shared" si="30"/>
        <v>43746.724092662036</v>
      </c>
      <c r="K1932" s="1"/>
    </row>
    <row r="1933" spans="1:11" x14ac:dyDescent="0.25">
      <c r="A1933" t="e">
        <f>-Lqet81GCpXLt6XcimEG</f>
        <v>#NAME?</v>
      </c>
      <c r="B1933">
        <v>393.75</v>
      </c>
      <c r="C1933">
        <v>20.584240000000001</v>
      </c>
      <c r="D1933">
        <v>45</v>
      </c>
      <c r="E1933">
        <v>0</v>
      </c>
      <c r="F1933">
        <v>0</v>
      </c>
      <c r="G1933">
        <v>30</v>
      </c>
      <c r="H1933" s="4">
        <v>1570530167767</v>
      </c>
      <c r="I1933">
        <v>526.6875</v>
      </c>
      <c r="J1933" s="9">
        <f t="shared" si="30"/>
        <v>43746.724163969906</v>
      </c>
      <c r="K1933" s="1"/>
    </row>
    <row r="1934" spans="1:11" x14ac:dyDescent="0.25">
      <c r="A1934" t="e">
        <f>-Lqet9p7LUYsgFv5XRRr</f>
        <v>#NAME?</v>
      </c>
      <c r="B1934">
        <v>393.75</v>
      </c>
      <c r="C1934">
        <v>20.584240000000001</v>
      </c>
      <c r="D1934">
        <v>45</v>
      </c>
      <c r="E1934">
        <v>0</v>
      </c>
      <c r="F1934">
        <v>0</v>
      </c>
      <c r="G1934">
        <v>36</v>
      </c>
      <c r="H1934" s="4">
        <v>1570530174999</v>
      </c>
      <c r="I1934">
        <v>526.6875</v>
      </c>
      <c r="J1934" s="9">
        <f t="shared" si="30"/>
        <v>43746.724247673606</v>
      </c>
      <c r="K1934" s="1"/>
    </row>
    <row r="1935" spans="1:11" x14ac:dyDescent="0.25">
      <c r="A1935" t="e">
        <f>-LqetBdLixawyEtqXJnw</f>
        <v>#NAME?</v>
      </c>
      <c r="B1935">
        <v>393.75</v>
      </c>
      <c r="C1935">
        <v>20.531590000000001</v>
      </c>
      <c r="D1935">
        <v>45</v>
      </c>
      <c r="E1935">
        <v>0</v>
      </c>
      <c r="F1935">
        <v>0</v>
      </c>
      <c r="G1935">
        <v>31</v>
      </c>
      <c r="H1935" s="4">
        <v>1570530181165</v>
      </c>
      <c r="I1935">
        <v>526.6875</v>
      </c>
      <c r="J1935" s="9">
        <f t="shared" si="30"/>
        <v>43746.724319039349</v>
      </c>
      <c r="K1935" s="1"/>
    </row>
    <row r="1936" spans="1:11" x14ac:dyDescent="0.25">
      <c r="A1936" t="e">
        <f>-LqetDL58pcXx5_HkvFI</f>
        <v>#NAME?</v>
      </c>
      <c r="B1936">
        <v>393.75</v>
      </c>
      <c r="C1936">
        <v>20.584240000000001</v>
      </c>
      <c r="D1936">
        <v>49</v>
      </c>
      <c r="E1936">
        <v>0</v>
      </c>
      <c r="F1936">
        <v>0</v>
      </c>
      <c r="G1936">
        <v>27</v>
      </c>
      <c r="H1936" s="4">
        <v>1570530189425</v>
      </c>
      <c r="I1936">
        <v>526.6875</v>
      </c>
      <c r="J1936" s="9">
        <f t="shared" si="30"/>
        <v>43746.724414641205</v>
      </c>
      <c r="K1936" s="1"/>
    </row>
    <row r="1937" spans="1:11" x14ac:dyDescent="0.25">
      <c r="A1937" t="e">
        <f>-LqetEpDsU9HMFXzJYKi</f>
        <v>#NAME?</v>
      </c>
      <c r="B1937">
        <v>393.75</v>
      </c>
      <c r="C1937">
        <v>20.531590000000001</v>
      </c>
      <c r="D1937">
        <v>50</v>
      </c>
      <c r="E1937">
        <v>0</v>
      </c>
      <c r="F1937">
        <v>0</v>
      </c>
      <c r="G1937">
        <v>23</v>
      </c>
      <c r="H1937" s="4">
        <v>1570530195606</v>
      </c>
      <c r="I1937">
        <v>526.5</v>
      </c>
      <c r="J1937" s="9">
        <f t="shared" si="30"/>
        <v>43746.724486180552</v>
      </c>
      <c r="K1937" s="1"/>
    </row>
    <row r="1938" spans="1:11" x14ac:dyDescent="0.25">
      <c r="A1938" t="e">
        <f>-LqetGhE-jlh1n6qiTlv</f>
        <v>#NAME?</v>
      </c>
      <c r="B1938">
        <v>393.75</v>
      </c>
      <c r="C1938">
        <v>20.584240000000001</v>
      </c>
      <c r="D1938">
        <v>49</v>
      </c>
      <c r="E1938">
        <v>0</v>
      </c>
      <c r="F1938">
        <v>0</v>
      </c>
      <c r="G1938">
        <v>29</v>
      </c>
      <c r="H1938" s="4">
        <v>1570530202826</v>
      </c>
      <c r="I1938">
        <v>526.6875</v>
      </c>
      <c r="J1938" s="9">
        <f t="shared" si="30"/>
        <v>43746.724569745369</v>
      </c>
      <c r="K1938" s="1"/>
    </row>
    <row r="1939" spans="1:11" x14ac:dyDescent="0.25">
      <c r="A1939" t="e">
        <f>-LqetIVOtDFvz03_hhTp</f>
        <v>#NAME?</v>
      </c>
      <c r="B1939">
        <v>393.75</v>
      </c>
      <c r="C1939">
        <v>20.584240000000001</v>
      </c>
      <c r="D1939">
        <v>50</v>
      </c>
      <c r="E1939">
        <v>0</v>
      </c>
      <c r="F1939">
        <v>0</v>
      </c>
      <c r="G1939">
        <v>36</v>
      </c>
      <c r="H1939" s="4">
        <v>1570530210603</v>
      </c>
      <c r="I1939">
        <v>526.6875</v>
      </c>
      <c r="J1939" s="9">
        <f t="shared" si="30"/>
        <v>43746.724659756939</v>
      </c>
      <c r="K1939" s="1"/>
    </row>
    <row r="1940" spans="1:11" x14ac:dyDescent="0.25">
      <c r="A1940" t="e">
        <f>-LqetK8EATJ5Z5mp1Gwb</f>
        <v>#NAME?</v>
      </c>
      <c r="B1940">
        <v>393.75</v>
      </c>
      <c r="C1940">
        <v>20.584240000000001</v>
      </c>
      <c r="D1940">
        <v>50</v>
      </c>
      <c r="E1940">
        <v>0</v>
      </c>
      <c r="F1940">
        <v>0</v>
      </c>
      <c r="G1940">
        <v>28</v>
      </c>
      <c r="H1940" s="4">
        <v>1570530217246</v>
      </c>
      <c r="I1940">
        <v>526.6875</v>
      </c>
      <c r="J1940" s="9">
        <f t="shared" si="30"/>
        <v>43746.724736643511</v>
      </c>
      <c r="K1940" s="1"/>
    </row>
    <row r="1941" spans="1:11" x14ac:dyDescent="0.25">
      <c r="A1941" t="e">
        <f>-LqetLrD6IHsmtpNj14G</f>
        <v>#NAME?</v>
      </c>
      <c r="B1941">
        <v>393.75</v>
      </c>
      <c r="C1941">
        <v>20.584240000000001</v>
      </c>
      <c r="D1941">
        <v>50</v>
      </c>
      <c r="E1941">
        <v>0</v>
      </c>
      <c r="F1941">
        <v>0</v>
      </c>
      <c r="G1941">
        <v>31</v>
      </c>
      <c r="H1941" s="4">
        <v>1570530224476</v>
      </c>
      <c r="I1941">
        <v>526.6875</v>
      </c>
      <c r="J1941" s="9">
        <f t="shared" si="30"/>
        <v>43746.724820324067</v>
      </c>
      <c r="K1941" s="1"/>
    </row>
    <row r="1942" spans="1:11" x14ac:dyDescent="0.25">
      <c r="A1942" t="e">
        <f>-LqetNP0Sc5KgNqH1MvD</f>
        <v>#NAME?</v>
      </c>
      <c r="B1942">
        <v>393.75</v>
      </c>
      <c r="C1942">
        <v>20.584240000000001</v>
      </c>
      <c r="D1942">
        <v>49</v>
      </c>
      <c r="E1942">
        <v>0</v>
      </c>
      <c r="F1942">
        <v>0</v>
      </c>
      <c r="G1942">
        <v>34</v>
      </c>
      <c r="H1942" s="4">
        <v>1570530230637</v>
      </c>
      <c r="I1942">
        <v>526.6875</v>
      </c>
      <c r="J1942" s="9">
        <f t="shared" si="30"/>
        <v>43746.724891631944</v>
      </c>
      <c r="K1942" s="1"/>
    </row>
    <row r="1943" spans="1:11" x14ac:dyDescent="0.25">
      <c r="A1943" t="e">
        <f>-LqetP8E1XeVW7Nl59se</f>
        <v>#NAME?</v>
      </c>
      <c r="B1943">
        <v>393.75</v>
      </c>
      <c r="C1943">
        <v>20.584240000000001</v>
      </c>
      <c r="D1943">
        <v>48</v>
      </c>
      <c r="E1943">
        <v>0</v>
      </c>
      <c r="F1943">
        <v>0</v>
      </c>
      <c r="G1943">
        <v>28</v>
      </c>
      <c r="H1943" s="4">
        <v>1570530237848</v>
      </c>
      <c r="I1943">
        <v>526.6875</v>
      </c>
      <c r="J1943" s="9">
        <f t="shared" si="30"/>
        <v>43746.724975092591</v>
      </c>
      <c r="K1943" s="1"/>
    </row>
    <row r="1944" spans="1:11" x14ac:dyDescent="0.25">
      <c r="A1944" t="e">
        <f>-LqetQwHt5nWtS9JtreI</f>
        <v>#NAME?</v>
      </c>
      <c r="B1944">
        <v>393.75</v>
      </c>
      <c r="C1944">
        <v>20.584240000000001</v>
      </c>
      <c r="D1944">
        <v>48</v>
      </c>
      <c r="E1944">
        <v>0</v>
      </c>
      <c r="F1944">
        <v>0</v>
      </c>
      <c r="G1944">
        <v>26</v>
      </c>
      <c r="H1944" s="4">
        <v>1570530245066</v>
      </c>
      <c r="I1944">
        <v>526.6875</v>
      </c>
      <c r="J1944" s="9">
        <f t="shared" si="30"/>
        <v>43746.725058634256</v>
      </c>
      <c r="K1944" s="1"/>
    </row>
    <row r="1945" spans="1:11" x14ac:dyDescent="0.25">
      <c r="A1945" t="e">
        <f>-LqetSeFPkrftxdNERQ1</f>
        <v>#NAME?</v>
      </c>
      <c r="B1945">
        <v>393.75</v>
      </c>
      <c r="C1945">
        <v>20.584240000000001</v>
      </c>
      <c r="D1945">
        <v>50</v>
      </c>
      <c r="E1945">
        <v>0</v>
      </c>
      <c r="F1945">
        <v>0</v>
      </c>
      <c r="G1945">
        <v>28</v>
      </c>
      <c r="H1945" s="4">
        <v>1570530252256</v>
      </c>
      <c r="I1945">
        <v>526.6875</v>
      </c>
      <c r="J1945" s="9">
        <f t="shared" si="30"/>
        <v>43746.72514185185</v>
      </c>
      <c r="K1945" s="1"/>
    </row>
    <row r="1946" spans="1:11" x14ac:dyDescent="0.25">
      <c r="A1946" t="e">
        <f>-LqetU8sPCG3vLD3oY8h</f>
        <v>#NAME?</v>
      </c>
      <c r="B1946">
        <v>393.75</v>
      </c>
      <c r="C1946">
        <v>20.584240000000001</v>
      </c>
      <c r="D1946">
        <v>50</v>
      </c>
      <c r="E1946">
        <v>0</v>
      </c>
      <c r="F1946">
        <v>0</v>
      </c>
      <c r="G1946">
        <v>25</v>
      </c>
      <c r="H1946" s="4">
        <v>1570530258437</v>
      </c>
      <c r="I1946">
        <v>526.6875</v>
      </c>
      <c r="J1946" s="9">
        <f t="shared" si="30"/>
        <v>43746.725213391204</v>
      </c>
      <c r="K1946" s="1"/>
    </row>
    <row r="1947" spans="1:11" x14ac:dyDescent="0.25">
      <c r="A1947" t="e">
        <f>-LqetVhY2rE9E7HOIWWY</f>
        <v>#NAME?</v>
      </c>
      <c r="B1947">
        <v>393.75</v>
      </c>
      <c r="C1947">
        <v>20.584240000000001</v>
      </c>
      <c r="D1947">
        <v>48</v>
      </c>
      <c r="E1947">
        <v>0</v>
      </c>
      <c r="F1947">
        <v>0</v>
      </c>
      <c r="G1947">
        <v>34</v>
      </c>
      <c r="H1947" s="4">
        <v>1570530264637</v>
      </c>
      <c r="I1947">
        <v>526.5</v>
      </c>
      <c r="J1947" s="9">
        <f t="shared" si="30"/>
        <v>43746.72528515046</v>
      </c>
      <c r="K1947" s="1"/>
    </row>
    <row r="1948" spans="1:11" x14ac:dyDescent="0.25">
      <c r="A1948" t="e">
        <f>-LqetXP08nGOXRl5spGg</f>
        <v>#NAME?</v>
      </c>
      <c r="B1948">
        <v>393.75</v>
      </c>
      <c r="C1948">
        <v>20.584240000000001</v>
      </c>
      <c r="D1948">
        <v>44</v>
      </c>
      <c r="E1948">
        <v>0</v>
      </c>
      <c r="F1948">
        <v>0</v>
      </c>
      <c r="G1948">
        <v>33</v>
      </c>
      <c r="H1948" s="4">
        <v>1570530271846</v>
      </c>
      <c r="I1948">
        <v>526.6875</v>
      </c>
      <c r="J1948" s="9">
        <f t="shared" si="30"/>
        <v>43746.725368587962</v>
      </c>
      <c r="K1948" s="1"/>
    </row>
    <row r="1949" spans="1:11" x14ac:dyDescent="0.25">
      <c r="A1949" t="e">
        <f>-LqetYzFtZg1c_y8ETud</f>
        <v>#NAME?</v>
      </c>
      <c r="B1949">
        <v>393.75</v>
      </c>
      <c r="C1949">
        <v>20.584240000000001</v>
      </c>
      <c r="D1949">
        <v>44</v>
      </c>
      <c r="E1949">
        <v>0</v>
      </c>
      <c r="F1949">
        <v>0</v>
      </c>
      <c r="G1949">
        <v>24</v>
      </c>
      <c r="H1949" s="4">
        <v>1570530278027</v>
      </c>
      <c r="I1949">
        <v>526.6875</v>
      </c>
      <c r="J1949" s="9">
        <f t="shared" si="30"/>
        <v>43746.725440127317</v>
      </c>
      <c r="K1949" s="1"/>
    </row>
    <row r="1950" spans="1:11" x14ac:dyDescent="0.25">
      <c r="A1950" t="e">
        <f>-Lqet_hDACDTfDdjerRd</f>
        <v>#NAME?</v>
      </c>
      <c r="B1950">
        <v>393.75</v>
      </c>
      <c r="C1950">
        <v>20.531590000000001</v>
      </c>
      <c r="D1950">
        <v>46</v>
      </c>
      <c r="E1950">
        <v>0</v>
      </c>
      <c r="F1950">
        <v>0</v>
      </c>
      <c r="G1950">
        <v>32</v>
      </c>
      <c r="H1950" s="4">
        <v>1570530285216</v>
      </c>
      <c r="I1950">
        <v>526.6875</v>
      </c>
      <c r="J1950" s="9">
        <f t="shared" si="30"/>
        <v>43746.725523333334</v>
      </c>
      <c r="K1950" s="1"/>
    </row>
    <row r="1951" spans="1:11" x14ac:dyDescent="0.25">
      <c r="A1951" t="e">
        <f>-LqetbVDQ3vceoTSkGcq</f>
        <v>#NAME?</v>
      </c>
      <c r="B1951">
        <v>393.75</v>
      </c>
      <c r="C1951">
        <v>20.584240000000001</v>
      </c>
      <c r="D1951">
        <v>46</v>
      </c>
      <c r="E1951">
        <v>0</v>
      </c>
      <c r="F1951">
        <v>0</v>
      </c>
      <c r="G1951">
        <v>30</v>
      </c>
      <c r="H1951" s="4">
        <v>1570530292401</v>
      </c>
      <c r="I1951">
        <v>526.6875</v>
      </c>
      <c r="J1951" s="9">
        <f t="shared" si="30"/>
        <v>43746.725606493048</v>
      </c>
      <c r="K1951" s="1"/>
    </row>
    <row r="1952" spans="1:11" x14ac:dyDescent="0.25">
      <c r="A1952" t="e">
        <f>-LqetdDPs9nwxa_0qmFw</f>
        <v>#NAME?</v>
      </c>
      <c r="B1952">
        <v>393.75</v>
      </c>
      <c r="C1952">
        <v>20.584240000000001</v>
      </c>
      <c r="D1952">
        <v>50</v>
      </c>
      <c r="E1952">
        <v>0</v>
      </c>
      <c r="F1952">
        <v>0</v>
      </c>
      <c r="G1952">
        <v>25</v>
      </c>
      <c r="H1952" s="4">
        <v>1570530299687</v>
      </c>
      <c r="I1952">
        <v>526.6875</v>
      </c>
      <c r="J1952" s="9">
        <f t="shared" si="30"/>
        <v>43746.725690821761</v>
      </c>
      <c r="K1952" s="1"/>
    </row>
    <row r="1953" spans="1:11" x14ac:dyDescent="0.25">
      <c r="A1953" t="e">
        <f>-LqeterFUCOsJ56an4wM</f>
        <v>#NAME?</v>
      </c>
      <c r="B1953">
        <v>393.75</v>
      </c>
      <c r="C1953">
        <v>20.584240000000001</v>
      </c>
      <c r="D1953">
        <v>50</v>
      </c>
      <c r="E1953">
        <v>0</v>
      </c>
      <c r="F1953">
        <v>0</v>
      </c>
      <c r="G1953">
        <v>22</v>
      </c>
      <c r="H1953" s="4">
        <v>1570530305847</v>
      </c>
      <c r="I1953">
        <v>526.6875</v>
      </c>
      <c r="J1953" s="9">
        <f t="shared" si="30"/>
        <v>43746.725762118054</v>
      </c>
      <c r="K1953" s="1"/>
    </row>
    <row r="1954" spans="1:11" x14ac:dyDescent="0.25">
      <c r="A1954" t="s">
        <v>103</v>
      </c>
      <c r="B1954">
        <v>418.75</v>
      </c>
      <c r="C1954">
        <v>20.584240000000001</v>
      </c>
      <c r="D1954">
        <v>50</v>
      </c>
      <c r="E1954">
        <v>0</v>
      </c>
      <c r="F1954">
        <v>0</v>
      </c>
      <c r="G1954">
        <v>22</v>
      </c>
      <c r="H1954" s="4">
        <v>1570530313046</v>
      </c>
      <c r="I1954">
        <v>534</v>
      </c>
      <c r="J1954" s="9">
        <f t="shared" si="30"/>
        <v>43746.725845439811</v>
      </c>
      <c r="K1954" s="1"/>
    </row>
    <row r="1955" spans="1:11" x14ac:dyDescent="0.25">
      <c r="A1955" t="e">
        <f>-Lqeti3N28-miJlJhqE_</f>
        <v>#NAME?</v>
      </c>
      <c r="B1955">
        <v>393.75</v>
      </c>
      <c r="C1955">
        <v>20.584240000000001</v>
      </c>
      <c r="D1955">
        <v>50</v>
      </c>
      <c r="E1955">
        <v>0</v>
      </c>
      <c r="F1955">
        <v>0</v>
      </c>
      <c r="G1955">
        <v>28</v>
      </c>
      <c r="H1955" s="4">
        <v>1570530319235</v>
      </c>
      <c r="I1955">
        <v>526.6875</v>
      </c>
      <c r="J1955" s="9">
        <f t="shared" si="30"/>
        <v>43746.725917071752</v>
      </c>
      <c r="K1955" s="1"/>
    </row>
    <row r="1956" spans="1:11" x14ac:dyDescent="0.25">
      <c r="A1956" t="e">
        <f>-Lqetjm5hxb9eUHykugk</f>
        <v>#NAME?</v>
      </c>
      <c r="B1956">
        <v>393.75</v>
      </c>
      <c r="C1956">
        <v>20.584240000000001</v>
      </c>
      <c r="D1956">
        <v>49</v>
      </c>
      <c r="E1956">
        <v>0</v>
      </c>
      <c r="F1956">
        <v>0</v>
      </c>
      <c r="G1956">
        <v>25</v>
      </c>
      <c r="H1956" s="4">
        <v>1570530326467</v>
      </c>
      <c r="I1956">
        <v>526.6875</v>
      </c>
      <c r="J1956" s="9">
        <f t="shared" si="30"/>
        <v>43746.726000775459</v>
      </c>
      <c r="K1956" s="1"/>
    </row>
    <row r="1957" spans="1:11" x14ac:dyDescent="0.25">
      <c r="A1957" t="e">
        <f>-LqetlGFelELrkJOX93l</f>
        <v>#NAME?</v>
      </c>
      <c r="B1957">
        <v>440.625</v>
      </c>
      <c r="C1957">
        <v>20.531590000000001</v>
      </c>
      <c r="D1957">
        <v>49</v>
      </c>
      <c r="E1957">
        <v>0</v>
      </c>
      <c r="F1957">
        <v>0</v>
      </c>
      <c r="G1957">
        <v>24</v>
      </c>
      <c r="H1957" s="4">
        <v>1570530332648</v>
      </c>
      <c r="I1957">
        <v>541.3125</v>
      </c>
      <c r="J1957" s="9">
        <f t="shared" si="30"/>
        <v>43746.726072314814</v>
      </c>
      <c r="K1957" s="1"/>
    </row>
    <row r="1958" spans="1:11" x14ac:dyDescent="0.25">
      <c r="A1958" t="e">
        <f>-LqetmpEAy99SVgbZzLc</f>
        <v>#NAME?</v>
      </c>
      <c r="B1958">
        <v>393.75</v>
      </c>
      <c r="C1958">
        <v>20.584240000000001</v>
      </c>
      <c r="D1958">
        <v>45</v>
      </c>
      <c r="E1958">
        <v>0</v>
      </c>
      <c r="F1958">
        <v>0</v>
      </c>
      <c r="G1958">
        <v>24</v>
      </c>
      <c r="H1958" s="4">
        <v>1570530338826</v>
      </c>
      <c r="I1958">
        <v>526.6875</v>
      </c>
      <c r="J1958" s="9">
        <f t="shared" si="30"/>
        <v>43746.726143819447</v>
      </c>
      <c r="K1958" s="1"/>
    </row>
    <row r="1959" spans="1:11" x14ac:dyDescent="0.25">
      <c r="A1959" t="e">
        <f>-LqetoYMMIpD34uuZJWc</f>
        <v>#NAME?</v>
      </c>
      <c r="B1959">
        <v>393.75</v>
      </c>
      <c r="C1959">
        <v>20.531590000000001</v>
      </c>
      <c r="D1959">
        <v>48</v>
      </c>
      <c r="E1959">
        <v>0</v>
      </c>
      <c r="F1959">
        <v>0</v>
      </c>
      <c r="G1959">
        <v>30</v>
      </c>
      <c r="H1959" s="4">
        <v>1570530346006</v>
      </c>
      <c r="I1959">
        <v>526.6875</v>
      </c>
      <c r="J1959" s="9">
        <f t="shared" si="30"/>
        <v>43746.726226921295</v>
      </c>
      <c r="K1959" s="1"/>
    </row>
    <row r="1960" spans="1:11" x14ac:dyDescent="0.25">
      <c r="A1960" t="e">
        <f>-LqetqLMbA8kouP_rW3r</f>
        <v>#NAME?</v>
      </c>
      <c r="B1960">
        <v>393.75</v>
      </c>
      <c r="C1960">
        <v>20.584240000000001</v>
      </c>
      <c r="D1960">
        <v>48</v>
      </c>
      <c r="E1960">
        <v>0</v>
      </c>
      <c r="F1960">
        <v>0</v>
      </c>
      <c r="G1960">
        <v>27</v>
      </c>
      <c r="H1960" s="4">
        <v>1570530353273</v>
      </c>
      <c r="I1960">
        <v>526.6875</v>
      </c>
      <c r="J1960" s="9">
        <f t="shared" si="30"/>
        <v>43746.726311030092</v>
      </c>
      <c r="K1960" s="1"/>
    </row>
    <row r="1961" spans="1:11" x14ac:dyDescent="0.25">
      <c r="A1961" t="e">
        <f>-Lqets3BDcB5ykKLTd6k</f>
        <v>#NAME?</v>
      </c>
      <c r="B1961">
        <v>393.75</v>
      </c>
      <c r="C1961">
        <v>20.584240000000001</v>
      </c>
      <c r="D1961">
        <v>51</v>
      </c>
      <c r="E1961">
        <v>0</v>
      </c>
      <c r="F1961">
        <v>0</v>
      </c>
      <c r="G1961">
        <v>23</v>
      </c>
      <c r="H1961" s="4">
        <v>1570530360483</v>
      </c>
      <c r="I1961">
        <v>526.6875</v>
      </c>
      <c r="J1961" s="9">
        <f t="shared" si="30"/>
        <v>43746.726394479163</v>
      </c>
      <c r="K1961" s="1"/>
    </row>
    <row r="1962" spans="1:11" x14ac:dyDescent="0.25">
      <c r="A1962" t="e">
        <f>-LqettYK7eN_oA6SMLAL</f>
        <v>#NAME?</v>
      </c>
      <c r="B1962">
        <v>393.75</v>
      </c>
      <c r="C1962">
        <v>20.584240000000001</v>
      </c>
      <c r="D1962">
        <v>51</v>
      </c>
      <c r="E1962">
        <v>0</v>
      </c>
      <c r="F1962">
        <v>0</v>
      </c>
      <c r="G1962">
        <v>26</v>
      </c>
      <c r="H1962" s="4">
        <v>1570530366649</v>
      </c>
      <c r="I1962">
        <v>526.6875</v>
      </c>
      <c r="J1962" s="9">
        <f t="shared" si="30"/>
        <v>43746.726465844906</v>
      </c>
      <c r="K1962" s="1"/>
    </row>
    <row r="1963" spans="1:11" x14ac:dyDescent="0.25">
      <c r="A1963" t="e">
        <f>-Lqetv6Do9D-PTGwj5TD</f>
        <v>#NAME?</v>
      </c>
      <c r="B1963">
        <v>437.5</v>
      </c>
      <c r="C1963">
        <v>20.531590000000001</v>
      </c>
      <c r="D1963">
        <v>51</v>
      </c>
      <c r="E1963">
        <v>0</v>
      </c>
      <c r="F1963">
        <v>0</v>
      </c>
      <c r="G1963">
        <v>28</v>
      </c>
      <c r="H1963" s="4">
        <v>1570530372824</v>
      </c>
      <c r="I1963">
        <v>540.1875</v>
      </c>
      <c r="J1963" s="9">
        <f t="shared" si="30"/>
        <v>43746.726537314811</v>
      </c>
      <c r="K1963" s="1"/>
    </row>
    <row r="1964" spans="1:11" x14ac:dyDescent="0.25">
      <c r="A1964" t="e">
        <f>-LqetwaL1OyrxuOTCibU</f>
        <v>#NAME?</v>
      </c>
      <c r="B1964">
        <v>393.75</v>
      </c>
      <c r="C1964">
        <v>20.531590000000001</v>
      </c>
      <c r="D1964">
        <v>51</v>
      </c>
      <c r="E1964">
        <v>0</v>
      </c>
      <c r="F1964">
        <v>0</v>
      </c>
      <c r="G1964">
        <v>25</v>
      </c>
      <c r="H1964" s="4">
        <v>1570530378983</v>
      </c>
      <c r="I1964">
        <v>526.6875</v>
      </c>
      <c r="J1964" s="9">
        <f t="shared" si="30"/>
        <v>43746.726608599536</v>
      </c>
      <c r="K1964" s="1"/>
    </row>
    <row r="1965" spans="1:11" x14ac:dyDescent="0.25">
      <c r="A1965" t="e">
        <f>-Lqety92SzfdHI1h0P56</f>
        <v>#NAME?</v>
      </c>
      <c r="B1965">
        <v>393.75</v>
      </c>
      <c r="C1965">
        <v>20.478950000000001</v>
      </c>
      <c r="D1965">
        <v>50</v>
      </c>
      <c r="E1965">
        <v>0</v>
      </c>
      <c r="F1965">
        <v>0</v>
      </c>
      <c r="G1965">
        <v>33</v>
      </c>
      <c r="H1965" s="4">
        <v>1570530385194</v>
      </c>
      <c r="I1965">
        <v>526.6875</v>
      </c>
      <c r="J1965" s="9">
        <f t="shared" si="30"/>
        <v>43746.726680486106</v>
      </c>
      <c r="K1965" s="1"/>
    </row>
    <row r="1966" spans="1:11" x14ac:dyDescent="0.25">
      <c r="A1966" t="e">
        <f>-LqetzsDMp1-DFpKSEDA</f>
        <v>#NAME?</v>
      </c>
      <c r="B1966">
        <v>393.75</v>
      </c>
      <c r="C1966">
        <v>20.584240000000001</v>
      </c>
      <c r="D1966">
        <v>51</v>
      </c>
      <c r="E1966">
        <v>0</v>
      </c>
      <c r="F1966">
        <v>0</v>
      </c>
      <c r="G1966">
        <v>28</v>
      </c>
      <c r="H1966" s="4">
        <v>1570530392404</v>
      </c>
      <c r="I1966">
        <v>526.6875</v>
      </c>
      <c r="J1966" s="9">
        <f t="shared" si="30"/>
        <v>43746.726763935185</v>
      </c>
      <c r="K1966" s="1"/>
    </row>
    <row r="1967" spans="1:11" x14ac:dyDescent="0.25">
      <c r="A1967" t="e">
        <f>-Lqeu0RDJUZvwarpYITt</f>
        <v>#NAME?</v>
      </c>
      <c r="B1967">
        <v>393.75</v>
      </c>
      <c r="C1967">
        <v>20.584240000000001</v>
      </c>
      <c r="D1967">
        <v>50</v>
      </c>
      <c r="E1967">
        <v>0</v>
      </c>
      <c r="F1967">
        <v>0</v>
      </c>
      <c r="G1967">
        <v>23</v>
      </c>
      <c r="H1967" s="4">
        <v>1570530398584</v>
      </c>
      <c r="I1967">
        <v>526.6875</v>
      </c>
      <c r="J1967" s="9">
        <f t="shared" si="30"/>
        <v>43746.726835462956</v>
      </c>
      <c r="K1967" s="1"/>
    </row>
    <row r="1968" spans="1:11" x14ac:dyDescent="0.25">
      <c r="A1968" t="e">
        <f>-Lqeu29CvNKBTnu86J2R</f>
        <v>#NAME?</v>
      </c>
      <c r="B1968">
        <v>393.75</v>
      </c>
      <c r="C1968">
        <v>20.531590000000001</v>
      </c>
      <c r="D1968">
        <v>47</v>
      </c>
      <c r="E1968">
        <v>0</v>
      </c>
      <c r="F1968">
        <v>0</v>
      </c>
      <c r="G1968">
        <v>24</v>
      </c>
      <c r="H1968" s="4">
        <v>1570530405804</v>
      </c>
      <c r="I1968">
        <v>526.6875</v>
      </c>
      <c r="J1968" s="9">
        <f t="shared" si="30"/>
        <v>43746.72691902778</v>
      </c>
      <c r="K1968" s="1"/>
    </row>
    <row r="1969" spans="1:11" x14ac:dyDescent="0.25">
      <c r="A1969" t="e">
        <f>-Lqeu3xB4uMFVXqbYp-a</f>
        <v>#NAME?</v>
      </c>
      <c r="B1969">
        <v>393.75</v>
      </c>
      <c r="C1969">
        <v>20.584240000000001</v>
      </c>
      <c r="D1969">
        <v>48</v>
      </c>
      <c r="E1969">
        <v>0</v>
      </c>
      <c r="F1969">
        <v>0</v>
      </c>
      <c r="G1969">
        <v>31</v>
      </c>
      <c r="H1969" s="4">
        <v>1570530413016</v>
      </c>
      <c r="I1969">
        <v>526.6875</v>
      </c>
      <c r="J1969" s="9">
        <f t="shared" si="30"/>
        <v>43746.727002499996</v>
      </c>
      <c r="K1969" s="1"/>
    </row>
    <row r="1970" spans="1:11" x14ac:dyDescent="0.25">
      <c r="A1970" t="e">
        <f>-Lqeu5fBpzfVSN48Mg1j</f>
        <v>#NAME?</v>
      </c>
      <c r="B1970">
        <v>393.75</v>
      </c>
      <c r="C1970">
        <v>20.584240000000001</v>
      </c>
      <c r="D1970">
        <v>47</v>
      </c>
      <c r="E1970">
        <v>0</v>
      </c>
      <c r="F1970">
        <v>0</v>
      </c>
      <c r="G1970">
        <v>36</v>
      </c>
      <c r="H1970" s="4">
        <v>1570530420243</v>
      </c>
      <c r="I1970">
        <v>526.6875</v>
      </c>
      <c r="J1970" s="9">
        <f t="shared" si="30"/>
        <v>43746.727086145831</v>
      </c>
      <c r="K1970" s="1"/>
    </row>
    <row r="1971" spans="1:11" x14ac:dyDescent="0.25">
      <c r="A1971" t="e">
        <f>-Lqeu7TBLI5cCoEOwp4O</f>
        <v>#NAME?</v>
      </c>
      <c r="B1971">
        <v>393.75</v>
      </c>
      <c r="C1971">
        <v>20.531590000000001</v>
      </c>
      <c r="D1971">
        <v>48</v>
      </c>
      <c r="E1971">
        <v>0</v>
      </c>
      <c r="F1971">
        <v>0</v>
      </c>
      <c r="G1971">
        <v>23</v>
      </c>
      <c r="H1971" s="4">
        <v>1570530427444</v>
      </c>
      <c r="I1971">
        <v>526.6875</v>
      </c>
      <c r="J1971" s="9">
        <f t="shared" si="30"/>
        <v>43746.727169490739</v>
      </c>
      <c r="K1971" s="1"/>
    </row>
    <row r="1972" spans="1:11" x14ac:dyDescent="0.25">
      <c r="A1972" t="e">
        <f>-Lqeu9BAqIyDMYicOyll</f>
        <v>#NAME?</v>
      </c>
      <c r="B1972">
        <v>393.75</v>
      </c>
      <c r="C1972">
        <v>20.531590000000001</v>
      </c>
      <c r="D1972">
        <v>48</v>
      </c>
      <c r="E1972">
        <v>0</v>
      </c>
      <c r="F1972">
        <v>0</v>
      </c>
      <c r="G1972">
        <v>29</v>
      </c>
      <c r="H1972" s="4">
        <v>1570530434643</v>
      </c>
      <c r="I1972">
        <v>526.6875</v>
      </c>
      <c r="J1972" s="9">
        <f t="shared" si="30"/>
        <v>43746.727252812496</v>
      </c>
      <c r="K1972" s="1"/>
    </row>
    <row r="1973" spans="1:11" x14ac:dyDescent="0.25">
      <c r="A1973" t="e">
        <f>-LqeuAzCZFSeKYFFIkJL</f>
        <v>#NAME?</v>
      </c>
      <c r="B1973">
        <v>393.75</v>
      </c>
      <c r="C1973">
        <v>20.478950000000001</v>
      </c>
      <c r="D1973">
        <v>47</v>
      </c>
      <c r="E1973">
        <v>0</v>
      </c>
      <c r="F1973">
        <v>0</v>
      </c>
      <c r="G1973">
        <v>20</v>
      </c>
      <c r="H1973" s="4">
        <v>1570530442017</v>
      </c>
      <c r="I1973">
        <v>526.6875</v>
      </c>
      <c r="J1973" s="9">
        <f t="shared" si="30"/>
        <v>43746.727338159719</v>
      </c>
      <c r="K1973" s="1"/>
    </row>
    <row r="1974" spans="1:11" x14ac:dyDescent="0.25">
      <c r="A1974" t="e">
        <f>-LqeuChDOPPA3C9HRsx2</f>
        <v>#NAME?</v>
      </c>
      <c r="B1974">
        <v>421.875</v>
      </c>
      <c r="C1974">
        <v>20.584240000000001</v>
      </c>
      <c r="D1974">
        <v>47</v>
      </c>
      <c r="E1974">
        <v>0</v>
      </c>
      <c r="F1974">
        <v>0</v>
      </c>
      <c r="G1974">
        <v>33</v>
      </c>
      <c r="H1974" s="4">
        <v>1570530449105</v>
      </c>
      <c r="I1974">
        <v>535.3125</v>
      </c>
      <c r="J1974" s="9">
        <f t="shared" si="30"/>
        <v>43746.727420196759</v>
      </c>
      <c r="K1974" s="1"/>
    </row>
    <row r="1975" spans="1:11" x14ac:dyDescent="0.25">
      <c r="A1975" t="e">
        <f>-LqeuEGBZGVRKJu1MYlX</f>
        <v>#NAME?</v>
      </c>
      <c r="B1975">
        <v>393.75</v>
      </c>
      <c r="C1975">
        <v>20.584240000000001</v>
      </c>
      <c r="D1975">
        <v>47</v>
      </c>
      <c r="E1975">
        <v>0</v>
      </c>
      <c r="F1975">
        <v>0</v>
      </c>
      <c r="G1975">
        <v>27</v>
      </c>
      <c r="H1975" s="4">
        <v>1570530455234</v>
      </c>
      <c r="I1975">
        <v>526.6875</v>
      </c>
      <c r="J1975" s="9">
        <f t="shared" si="30"/>
        <v>43746.727491134261</v>
      </c>
      <c r="K1975" s="1"/>
    </row>
    <row r="1976" spans="1:11" x14ac:dyDescent="0.25">
      <c r="A1976" t="e">
        <f>-LqeuFzJAHQzdGxr9zWV</f>
        <v>#NAME?</v>
      </c>
      <c r="B1976">
        <v>393.75</v>
      </c>
      <c r="C1976">
        <v>20.584240000000001</v>
      </c>
      <c r="D1976">
        <v>50</v>
      </c>
      <c r="E1976">
        <v>0</v>
      </c>
      <c r="F1976">
        <v>0</v>
      </c>
      <c r="G1976">
        <v>34</v>
      </c>
      <c r="H1976" s="4">
        <v>1570530462483</v>
      </c>
      <c r="I1976">
        <v>526.6875</v>
      </c>
      <c r="J1976" s="9">
        <f t="shared" si="30"/>
        <v>43746.727575034718</v>
      </c>
      <c r="K1976" s="1"/>
    </row>
    <row r="1977" spans="1:11" x14ac:dyDescent="0.25">
      <c r="A1977" t="e">
        <f>-LqeuHmChuaTHTNMckk2</f>
        <v>#NAME?</v>
      </c>
      <c r="B1977">
        <v>393.75</v>
      </c>
      <c r="C1977">
        <v>20.584240000000001</v>
      </c>
      <c r="D1977">
        <v>51</v>
      </c>
      <c r="E1977">
        <v>0</v>
      </c>
      <c r="F1977">
        <v>0</v>
      </c>
      <c r="G1977">
        <v>27</v>
      </c>
      <c r="H1977" s="4">
        <v>1570530469683</v>
      </c>
      <c r="I1977">
        <v>526.6875</v>
      </c>
      <c r="J1977" s="9">
        <f t="shared" si="30"/>
        <v>43746.727658368058</v>
      </c>
      <c r="K1977" s="1"/>
    </row>
    <row r="1978" spans="1:11" x14ac:dyDescent="0.25">
      <c r="A1978" t="e">
        <f>-LqeuJV4sG9uJCsroSKZ</f>
        <v>#NAME?</v>
      </c>
      <c r="B1978">
        <v>393.75</v>
      </c>
      <c r="C1978">
        <v>20.584240000000001</v>
      </c>
      <c r="D1978">
        <v>51</v>
      </c>
      <c r="E1978">
        <v>0</v>
      </c>
      <c r="F1978">
        <v>0</v>
      </c>
      <c r="G1978">
        <v>36</v>
      </c>
      <c r="H1978" s="4">
        <v>1570530476884</v>
      </c>
      <c r="I1978">
        <v>526.6875</v>
      </c>
      <c r="J1978" s="9">
        <f t="shared" si="30"/>
        <v>43746.727741712959</v>
      </c>
      <c r="K1978" s="1"/>
    </row>
    <row r="1979" spans="1:11" x14ac:dyDescent="0.25">
      <c r="A1979" t="e">
        <f>-LqeuL3DVI18Y0lII7ze</f>
        <v>#NAME?</v>
      </c>
      <c r="B1979">
        <v>393.75</v>
      </c>
      <c r="C1979">
        <v>20.531590000000001</v>
      </c>
      <c r="D1979">
        <v>49</v>
      </c>
      <c r="E1979">
        <v>0</v>
      </c>
      <c r="F1979">
        <v>0</v>
      </c>
      <c r="G1979">
        <v>28</v>
      </c>
      <c r="H1979" s="4">
        <v>1570530483085</v>
      </c>
      <c r="I1979">
        <v>526.6875</v>
      </c>
      <c r="J1979" s="9">
        <f t="shared" si="30"/>
        <v>43746.727813483791</v>
      </c>
      <c r="K1979" s="1"/>
    </row>
    <row r="1980" spans="1:11" x14ac:dyDescent="0.25">
      <c r="A1980" t="e">
        <f>-LqeuMmBQyOaLs7yUiHL</f>
        <v>#NAME?</v>
      </c>
      <c r="B1980">
        <v>393.75</v>
      </c>
      <c r="C1980">
        <v>20.584240000000001</v>
      </c>
      <c r="D1980">
        <v>49</v>
      </c>
      <c r="E1980">
        <v>0</v>
      </c>
      <c r="F1980">
        <v>0</v>
      </c>
      <c r="G1980">
        <v>31</v>
      </c>
      <c r="H1980" s="4">
        <v>1570530490294</v>
      </c>
      <c r="I1980">
        <v>526.6875</v>
      </c>
      <c r="J1980" s="9">
        <f t="shared" si="30"/>
        <v>43746.727896921293</v>
      </c>
      <c r="K1980" s="1"/>
    </row>
    <row r="1981" spans="1:11" x14ac:dyDescent="0.25">
      <c r="A1981" t="e">
        <f>-LqeuO_CoO-Mcc_MbtQr</f>
        <v>#NAME?</v>
      </c>
      <c r="B1981">
        <v>393.75</v>
      </c>
      <c r="C1981">
        <v>20.584240000000001</v>
      </c>
      <c r="D1981">
        <v>50</v>
      </c>
      <c r="E1981">
        <v>0</v>
      </c>
      <c r="F1981">
        <v>0</v>
      </c>
      <c r="G1981">
        <v>31</v>
      </c>
      <c r="H1981" s="4">
        <v>1570530497505</v>
      </c>
      <c r="I1981">
        <v>526.6875</v>
      </c>
      <c r="J1981" s="9">
        <f t="shared" si="30"/>
        <v>43746.727980381947</v>
      </c>
      <c r="K1981" s="1"/>
    </row>
    <row r="1982" spans="1:11" x14ac:dyDescent="0.25">
      <c r="A1982" t="e">
        <f>-LqeuQIBqKweWITT76m4</f>
        <v>#NAME?</v>
      </c>
      <c r="B1982">
        <v>412.5</v>
      </c>
      <c r="C1982">
        <v>20.531590000000001</v>
      </c>
      <c r="D1982">
        <v>51</v>
      </c>
      <c r="E1982">
        <v>0</v>
      </c>
      <c r="F1982">
        <v>0</v>
      </c>
      <c r="G1982">
        <v>29</v>
      </c>
      <c r="H1982" s="4">
        <v>1570530504727</v>
      </c>
      <c r="I1982">
        <v>532.3125</v>
      </c>
      <c r="J1982" s="9">
        <f t="shared" si="30"/>
        <v>43746.728063969909</v>
      </c>
      <c r="K1982" s="1"/>
    </row>
    <row r="1983" spans="1:11" x14ac:dyDescent="0.25">
      <c r="A1983" t="e">
        <f>-LqeuS03Xnl7iNmRwDCL</f>
        <v>#NAME?</v>
      </c>
      <c r="B1983">
        <v>393.75</v>
      </c>
      <c r="C1983">
        <v>20.584240000000001</v>
      </c>
      <c r="D1983">
        <v>50</v>
      </c>
      <c r="E1983">
        <v>0</v>
      </c>
      <c r="F1983">
        <v>0</v>
      </c>
      <c r="G1983">
        <v>35</v>
      </c>
      <c r="H1983" s="4">
        <v>1570530511924</v>
      </c>
      <c r="I1983">
        <v>526.6875</v>
      </c>
      <c r="J1983" s="9">
        <f t="shared" si="30"/>
        <v>43746.728147268521</v>
      </c>
      <c r="K1983" s="1"/>
    </row>
    <row r="1984" spans="1:11" x14ac:dyDescent="0.25">
      <c r="A1984" t="e">
        <f>-LqeuT_LFTNeld6mpoma</f>
        <v>#NAME?</v>
      </c>
      <c r="B1984">
        <v>393.75</v>
      </c>
      <c r="C1984">
        <v>20.531590000000001</v>
      </c>
      <c r="D1984">
        <v>50</v>
      </c>
      <c r="E1984">
        <v>0</v>
      </c>
      <c r="F1984">
        <v>0</v>
      </c>
      <c r="G1984">
        <v>35</v>
      </c>
      <c r="H1984" s="4">
        <v>1570530518113</v>
      </c>
      <c r="I1984">
        <v>526.6875</v>
      </c>
      <c r="J1984" s="9">
        <f t="shared" si="30"/>
        <v>43746.728218900462</v>
      </c>
      <c r="K1984" s="1"/>
    </row>
    <row r="1985" spans="1:11" x14ac:dyDescent="0.25">
      <c r="A1985" t="e">
        <f>-LqeuVmBAXH9aCnAs-nh</f>
        <v>#NAME?</v>
      </c>
      <c r="B1985">
        <v>393.75</v>
      </c>
      <c r="C1985">
        <v>20.584240000000001</v>
      </c>
      <c r="D1985">
        <v>49</v>
      </c>
      <c r="E1985">
        <v>0</v>
      </c>
      <c r="F1985">
        <v>0</v>
      </c>
      <c r="G1985">
        <v>28</v>
      </c>
      <c r="H1985" s="4">
        <v>1570530525325</v>
      </c>
      <c r="I1985">
        <v>526.6875</v>
      </c>
      <c r="J1985" s="9">
        <f t="shared" si="30"/>
        <v>43746.728302372685</v>
      </c>
      <c r="K1985" s="1"/>
    </row>
    <row r="1986" spans="1:11" x14ac:dyDescent="0.25">
      <c r="A1986" t="e">
        <f>-LqeuXKKM_ayEgd0nnpz</f>
        <v>#NAME?</v>
      </c>
      <c r="B1986">
        <v>393.75</v>
      </c>
      <c r="C1986">
        <v>20.584240000000001</v>
      </c>
      <c r="D1986">
        <v>46</v>
      </c>
      <c r="E1986">
        <v>0</v>
      </c>
      <c r="F1986">
        <v>0</v>
      </c>
      <c r="G1986">
        <v>27</v>
      </c>
      <c r="H1986" s="4">
        <v>1570530533537</v>
      </c>
      <c r="I1986">
        <v>526.6875</v>
      </c>
      <c r="J1986" s="9">
        <f t="shared" si="30"/>
        <v>43746.728397418978</v>
      </c>
      <c r="K1986" s="1"/>
    </row>
    <row r="1987" spans="1:11" x14ac:dyDescent="0.25">
      <c r="A1987" t="e">
        <f>-LqeuYtV7_W2acJRrUfO</f>
        <v>#NAME?</v>
      </c>
      <c r="B1987">
        <v>393.75</v>
      </c>
      <c r="C1987">
        <v>20.584240000000001</v>
      </c>
      <c r="D1987">
        <v>46</v>
      </c>
      <c r="E1987">
        <v>0</v>
      </c>
      <c r="F1987">
        <v>0</v>
      </c>
      <c r="G1987">
        <v>21</v>
      </c>
      <c r="H1987" s="4">
        <v>1570530539723</v>
      </c>
      <c r="I1987">
        <v>526.6875</v>
      </c>
      <c r="J1987" s="9">
        <f t="shared" ref="J1987:J2050" si="31">(H1987/86400000)+25569+(7/24)</f>
        <v>43746.728469016198</v>
      </c>
      <c r="K1987" s="1"/>
    </row>
    <row r="1988" spans="1:11" x14ac:dyDescent="0.25">
      <c r="A1988" t="e">
        <f>-Lqeu_b3Yf_zYJe3i3oI</f>
        <v>#NAME?</v>
      </c>
      <c r="B1988">
        <v>393.75</v>
      </c>
      <c r="C1988">
        <v>20.531590000000001</v>
      </c>
      <c r="D1988">
        <v>47</v>
      </c>
      <c r="E1988">
        <v>0</v>
      </c>
      <c r="F1988">
        <v>0</v>
      </c>
      <c r="G1988">
        <v>29</v>
      </c>
      <c r="H1988" s="4">
        <v>1570530546964</v>
      </c>
      <c r="I1988">
        <v>526.6875</v>
      </c>
      <c r="J1988" s="9">
        <f t="shared" si="31"/>
        <v>43746.728552824068</v>
      </c>
      <c r="K1988" s="1"/>
    </row>
    <row r="1989" spans="1:11" x14ac:dyDescent="0.25">
      <c r="A1989" t="e">
        <f>-LqeubPAQmCEtnSH2i58</f>
        <v>#NAME?</v>
      </c>
      <c r="B1989">
        <v>393.75</v>
      </c>
      <c r="C1989">
        <v>20.584240000000001</v>
      </c>
      <c r="D1989">
        <v>48</v>
      </c>
      <c r="E1989">
        <v>0</v>
      </c>
      <c r="F1989">
        <v>0</v>
      </c>
      <c r="G1989">
        <v>34</v>
      </c>
      <c r="H1989" s="4">
        <v>1570530554163</v>
      </c>
      <c r="I1989">
        <v>526.6875</v>
      </c>
      <c r="J1989" s="9">
        <f t="shared" si="31"/>
        <v>43746.728636145832</v>
      </c>
      <c r="K1989" s="1"/>
    </row>
    <row r="1990" spans="1:11" x14ac:dyDescent="0.25">
      <c r="A1990" t="e">
        <f>-LqeudMCh1tCRKcAAXTy</f>
        <v>#NAME?</v>
      </c>
      <c r="B1990">
        <v>393.75</v>
      </c>
      <c r="C1990">
        <v>20.584240000000001</v>
      </c>
      <c r="D1990">
        <v>48</v>
      </c>
      <c r="E1990">
        <v>0</v>
      </c>
      <c r="F1990">
        <v>0</v>
      </c>
      <c r="G1990">
        <v>25</v>
      </c>
      <c r="H1990" s="4">
        <v>1570530562378</v>
      </c>
      <c r="I1990">
        <v>526.6875</v>
      </c>
      <c r="J1990" s="9">
        <f t="shared" si="31"/>
        <v>43746.728731226853</v>
      </c>
      <c r="K1990" s="1"/>
    </row>
    <row r="1991" spans="1:11" x14ac:dyDescent="0.25">
      <c r="A1991" t="s">
        <v>104</v>
      </c>
      <c r="B1991">
        <v>393.75</v>
      </c>
      <c r="C1991">
        <v>20.584240000000001</v>
      </c>
      <c r="D1991">
        <v>49</v>
      </c>
      <c r="E1991">
        <v>0</v>
      </c>
      <c r="F1991">
        <v>0</v>
      </c>
      <c r="G1991">
        <v>23</v>
      </c>
      <c r="H1991" s="4">
        <v>1570530568594</v>
      </c>
      <c r="I1991">
        <v>526.6875</v>
      </c>
      <c r="J1991" s="9">
        <f t="shared" si="31"/>
        <v>43746.728803171289</v>
      </c>
      <c r="K1991" s="1"/>
    </row>
    <row r="1992" spans="1:11" x14ac:dyDescent="0.25">
      <c r="A1992" t="e">
        <f>-Lqeugx8gqhe76LzoAAk</f>
        <v>#NAME?</v>
      </c>
      <c r="B1992">
        <v>393.75</v>
      </c>
      <c r="C1992">
        <v>20.584240000000001</v>
      </c>
      <c r="D1992">
        <v>48</v>
      </c>
      <c r="E1992">
        <v>0</v>
      </c>
      <c r="F1992">
        <v>0</v>
      </c>
      <c r="G1992">
        <v>31</v>
      </c>
      <c r="H1992" s="4">
        <v>1570530575773</v>
      </c>
      <c r="I1992">
        <v>526.6875</v>
      </c>
      <c r="J1992" s="9">
        <f t="shared" si="31"/>
        <v>43746.728886261575</v>
      </c>
      <c r="K1992" s="1"/>
    </row>
    <row r="1993" spans="1:11" x14ac:dyDescent="0.25">
      <c r="A1993" t="e">
        <f>-LqeuiwOhSFWXbKkPns1</f>
        <v>#NAME?</v>
      </c>
      <c r="B1993">
        <v>393.75</v>
      </c>
      <c r="C1993">
        <v>20.531590000000001</v>
      </c>
      <c r="D1993">
        <v>48</v>
      </c>
      <c r="E1993">
        <v>0</v>
      </c>
      <c r="F1993">
        <v>0</v>
      </c>
      <c r="G1993">
        <v>23</v>
      </c>
      <c r="H1993" s="4">
        <v>1570530584053</v>
      </c>
      <c r="I1993">
        <v>526.6875</v>
      </c>
      <c r="J1993" s="9">
        <f t="shared" si="31"/>
        <v>43746.728982094901</v>
      </c>
      <c r="K1993" s="1"/>
    </row>
    <row r="1994" spans="1:11" x14ac:dyDescent="0.25">
      <c r="A1994" t="e">
        <f>-LqeukTBa7MEJSQQZf9c</f>
        <v>#NAME?</v>
      </c>
      <c r="B1994">
        <v>393.75</v>
      </c>
      <c r="C1994">
        <v>20.531590000000001</v>
      </c>
      <c r="D1994">
        <v>48</v>
      </c>
      <c r="E1994">
        <v>0</v>
      </c>
      <c r="F1994">
        <v>0</v>
      </c>
      <c r="G1994">
        <v>23</v>
      </c>
      <c r="H1994" s="4">
        <v>1570530591250</v>
      </c>
      <c r="I1994">
        <v>526.6875</v>
      </c>
      <c r="J1994" s="9">
        <f t="shared" si="31"/>
        <v>43746.729065393512</v>
      </c>
      <c r="K1994" s="1"/>
    </row>
    <row r="1995" spans="1:11" x14ac:dyDescent="0.25">
      <c r="A1995" t="e">
        <f>-LqeumKF3LHDbXvHiRxm</f>
        <v>#NAME?</v>
      </c>
      <c r="B1995">
        <v>393.75</v>
      </c>
      <c r="C1995">
        <v>20.531590000000001</v>
      </c>
      <c r="D1995">
        <v>49</v>
      </c>
      <c r="E1995">
        <v>0</v>
      </c>
      <c r="F1995">
        <v>0</v>
      </c>
      <c r="G1995">
        <v>29</v>
      </c>
      <c r="H1995" s="4">
        <v>1570530598483</v>
      </c>
      <c r="I1995">
        <v>526.6875</v>
      </c>
      <c r="J1995" s="9">
        <f t="shared" si="31"/>
        <v>43746.729149108789</v>
      </c>
      <c r="K1995" s="1"/>
    </row>
    <row r="1996" spans="1:11" x14ac:dyDescent="0.25">
      <c r="A1996" t="e">
        <f>-LqeunzBy2wavRPPWe-a</f>
        <v>#NAME?</v>
      </c>
      <c r="B1996">
        <v>393.75</v>
      </c>
      <c r="C1996">
        <v>20.584240000000001</v>
      </c>
      <c r="D1996">
        <v>49</v>
      </c>
      <c r="E1996">
        <v>0</v>
      </c>
      <c r="F1996">
        <v>0</v>
      </c>
      <c r="G1996">
        <v>31</v>
      </c>
      <c r="H1996" s="4">
        <v>1570530605684</v>
      </c>
      <c r="I1996">
        <v>526.6875</v>
      </c>
      <c r="J1996" s="9">
        <f t="shared" si="31"/>
        <v>43746.729232453705</v>
      </c>
      <c r="K1996" s="1"/>
    </row>
    <row r="1997" spans="1:11" x14ac:dyDescent="0.25">
      <c r="A1997" t="e">
        <f>-LqeuphBTZmkznL6zWrN</f>
        <v>#NAME?</v>
      </c>
      <c r="B1997">
        <v>393.75</v>
      </c>
      <c r="C1997">
        <v>20.584240000000001</v>
      </c>
      <c r="D1997">
        <v>50</v>
      </c>
      <c r="E1997">
        <v>0</v>
      </c>
      <c r="F1997">
        <v>0</v>
      </c>
      <c r="G1997">
        <v>28</v>
      </c>
      <c r="H1997" s="4">
        <v>1570530612882</v>
      </c>
      <c r="I1997">
        <v>526.6875</v>
      </c>
      <c r="J1997" s="9">
        <f t="shared" si="31"/>
        <v>43746.729315763885</v>
      </c>
      <c r="K1997" s="1"/>
    </row>
    <row r="1998" spans="1:11" x14ac:dyDescent="0.25">
      <c r="A1998" t="e">
        <f>-LqeurVApSHOGunrkbCN</f>
        <v>#NAME?</v>
      </c>
      <c r="B1998">
        <v>421.875</v>
      </c>
      <c r="C1998">
        <v>20.584240000000001</v>
      </c>
      <c r="D1998">
        <v>51</v>
      </c>
      <c r="E1998">
        <v>0</v>
      </c>
      <c r="F1998">
        <v>0</v>
      </c>
      <c r="G1998">
        <v>28</v>
      </c>
      <c r="H1998" s="4">
        <v>1570530620103</v>
      </c>
      <c r="I1998">
        <v>535.875</v>
      </c>
      <c r="J1998" s="9">
        <f t="shared" si="31"/>
        <v>43746.729399340278</v>
      </c>
      <c r="K1998" s="1"/>
    </row>
    <row r="1999" spans="1:11" x14ac:dyDescent="0.25">
      <c r="A1999" t="e">
        <f>-LqeutSBXyH4a1FGKKmd</f>
        <v>#NAME?</v>
      </c>
      <c r="B1999">
        <v>393.75</v>
      </c>
      <c r="C1999">
        <v>20.531590000000001</v>
      </c>
      <c r="D1999">
        <v>51</v>
      </c>
      <c r="E1999">
        <v>0</v>
      </c>
      <c r="F1999">
        <v>0</v>
      </c>
      <c r="G1999">
        <v>29</v>
      </c>
      <c r="H1999" s="4">
        <v>1570530627290</v>
      </c>
      <c r="I1999">
        <v>526.6875</v>
      </c>
      <c r="J1999" s="9">
        <f t="shared" si="31"/>
        <v>43746.729482523144</v>
      </c>
      <c r="K1999" s="1"/>
    </row>
    <row r="2000" spans="1:11" x14ac:dyDescent="0.25">
      <c r="A2000" t="e">
        <f>-Lqeuv0LZnEzLZgGUUCi</f>
        <v>#NAME?</v>
      </c>
      <c r="B2000">
        <v>412.5</v>
      </c>
      <c r="C2000">
        <v>20.531590000000001</v>
      </c>
      <c r="D2000">
        <v>49</v>
      </c>
      <c r="E2000">
        <v>0</v>
      </c>
      <c r="F2000">
        <v>0</v>
      </c>
      <c r="G2000">
        <v>27</v>
      </c>
      <c r="H2000" s="4">
        <v>1570530634534</v>
      </c>
      <c r="I2000">
        <v>532.3125</v>
      </c>
      <c r="J2000" s="9">
        <f t="shared" si="31"/>
        <v>43746.729566365735</v>
      </c>
      <c r="K2000" s="1"/>
    </row>
    <row r="2001" spans="1:11" x14ac:dyDescent="0.25">
      <c r="A2001" t="e">
        <f>-LqeuwjBW8quqy7ahlC4</f>
        <v>#NAME?</v>
      </c>
      <c r="B2001">
        <v>393.75</v>
      </c>
      <c r="C2001">
        <v>20.584240000000001</v>
      </c>
      <c r="D2001">
        <v>50</v>
      </c>
      <c r="E2001">
        <v>0</v>
      </c>
      <c r="F2001">
        <v>0</v>
      </c>
      <c r="G2001">
        <v>40</v>
      </c>
      <c r="H2001" s="4">
        <v>1570530641752</v>
      </c>
      <c r="I2001">
        <v>526.6875</v>
      </c>
      <c r="J2001" s="9">
        <f t="shared" si="31"/>
        <v>43746.729649907407</v>
      </c>
      <c r="K2001" s="1"/>
    </row>
    <row r="2002" spans="1:11" x14ac:dyDescent="0.25">
      <c r="A2002" t="e">
        <f>-LqeuyGvO7Ug5i6K6qlj</f>
        <v>#NAME?</v>
      </c>
      <c r="B2002">
        <v>393.75</v>
      </c>
      <c r="C2002">
        <v>20.584240000000001</v>
      </c>
      <c r="D2002">
        <v>47</v>
      </c>
      <c r="E2002">
        <v>0</v>
      </c>
      <c r="F2002">
        <v>0</v>
      </c>
      <c r="G2002">
        <v>26</v>
      </c>
      <c r="H2002" s="4">
        <v>1570530647924</v>
      </c>
      <c r="I2002">
        <v>526.6875</v>
      </c>
      <c r="J2002" s="9">
        <f t="shared" si="31"/>
        <v>43746.729721342592</v>
      </c>
      <c r="K2002" s="1"/>
    </row>
    <row r="2003" spans="1:11" x14ac:dyDescent="0.25">
      <c r="A2003" t="s">
        <v>105</v>
      </c>
      <c r="B2003">
        <v>418.75</v>
      </c>
      <c r="C2003">
        <v>20.584240000000001</v>
      </c>
      <c r="D2003">
        <v>47</v>
      </c>
      <c r="E2003">
        <v>0</v>
      </c>
      <c r="F2003">
        <v>0</v>
      </c>
      <c r="G2003">
        <v>25</v>
      </c>
      <c r="H2003" s="4">
        <v>1570530655123</v>
      </c>
      <c r="I2003">
        <v>534.75</v>
      </c>
      <c r="J2003" s="9">
        <f t="shared" si="31"/>
        <v>43746.729804664348</v>
      </c>
      <c r="K2003" s="1"/>
    </row>
    <row r="2004" spans="1:11" x14ac:dyDescent="0.25">
      <c r="A2004" t="e">
        <f>-Lqev0nF8ZMijv4QXHgi</f>
        <v>#NAME?</v>
      </c>
      <c r="B2004">
        <v>393.75</v>
      </c>
      <c r="C2004">
        <v>20.531590000000001</v>
      </c>
      <c r="D2004">
        <v>47</v>
      </c>
      <c r="E2004">
        <v>0</v>
      </c>
      <c r="F2004">
        <v>0</v>
      </c>
      <c r="G2004">
        <v>25</v>
      </c>
      <c r="H2004" s="4">
        <v>1570530662343</v>
      </c>
      <c r="I2004">
        <v>526.6875</v>
      </c>
      <c r="J2004" s="9">
        <f t="shared" si="31"/>
        <v>43746.729888229165</v>
      </c>
      <c r="K2004" s="1"/>
    </row>
    <row r="2005" spans="1:11" x14ac:dyDescent="0.25">
      <c r="A2005" t="e">
        <f>-Lqev34BYcVKPGNlzXLq</f>
        <v>#NAME?</v>
      </c>
      <c r="B2005">
        <v>412.5</v>
      </c>
      <c r="C2005">
        <v>20.531590000000001</v>
      </c>
      <c r="D2005">
        <v>49</v>
      </c>
      <c r="E2005">
        <v>0</v>
      </c>
      <c r="F2005">
        <v>0</v>
      </c>
      <c r="G2005">
        <v>32</v>
      </c>
      <c r="H2005" s="4">
        <v>1570530671598</v>
      </c>
      <c r="I2005">
        <v>532.3125</v>
      </c>
      <c r="J2005" s="9">
        <f t="shared" si="31"/>
        <v>43746.729995347217</v>
      </c>
      <c r="K2005" s="1"/>
    </row>
    <row r="2006" spans="1:11" x14ac:dyDescent="0.25">
      <c r="A2006" t="e">
        <f>-Lqev4n9IlBUvYQ2lvna</f>
        <v>#NAME?</v>
      </c>
      <c r="B2006">
        <v>393.75</v>
      </c>
      <c r="C2006">
        <v>20.531590000000001</v>
      </c>
      <c r="D2006">
        <v>45</v>
      </c>
      <c r="E2006">
        <v>0</v>
      </c>
      <c r="F2006">
        <v>0</v>
      </c>
      <c r="G2006">
        <v>28</v>
      </c>
      <c r="H2006" s="4">
        <v>1570530678803</v>
      </c>
      <c r="I2006">
        <v>526.6875</v>
      </c>
      <c r="J2006" s="9">
        <f t="shared" si="31"/>
        <v>43746.730078738423</v>
      </c>
      <c r="K2006" s="1"/>
    </row>
    <row r="2007" spans="1:11" x14ac:dyDescent="0.25">
      <c r="A2007" t="e">
        <f>-Lqev6MLwgTDLnht_0ub</f>
        <v>#NAME?</v>
      </c>
      <c r="B2007">
        <v>393.75</v>
      </c>
      <c r="C2007">
        <v>20.584240000000001</v>
      </c>
      <c r="D2007">
        <v>45</v>
      </c>
      <c r="E2007">
        <v>0</v>
      </c>
      <c r="F2007">
        <v>0</v>
      </c>
      <c r="G2007">
        <v>35</v>
      </c>
      <c r="H2007" s="4">
        <v>1570530685002</v>
      </c>
      <c r="I2007">
        <v>526.6875</v>
      </c>
      <c r="J2007" s="9">
        <f t="shared" si="31"/>
        <v>43746.73015048611</v>
      </c>
      <c r="K2007" s="1"/>
    </row>
    <row r="2008" spans="1:11" x14ac:dyDescent="0.25">
      <c r="A2008" t="e">
        <f>-Lqev81Y48pjNBtLSPlP</f>
        <v>#NAME?</v>
      </c>
      <c r="B2008">
        <v>393.75</v>
      </c>
      <c r="C2008">
        <v>20.531590000000001</v>
      </c>
      <c r="D2008">
        <v>45</v>
      </c>
      <c r="E2008">
        <v>0</v>
      </c>
      <c r="F2008">
        <v>0</v>
      </c>
      <c r="G2008">
        <v>27</v>
      </c>
      <c r="H2008" s="4">
        <v>1570530692242</v>
      </c>
      <c r="I2008">
        <v>526.6875</v>
      </c>
      <c r="J2008" s="9">
        <f t="shared" si="31"/>
        <v>43746.730234282404</v>
      </c>
      <c r="K2008" s="1"/>
    </row>
    <row r="2009" spans="1:11" x14ac:dyDescent="0.25">
      <c r="A2009" t="s">
        <v>106</v>
      </c>
      <c r="B2009">
        <v>393.75</v>
      </c>
      <c r="C2009">
        <v>20.584240000000001</v>
      </c>
      <c r="D2009">
        <v>45</v>
      </c>
      <c r="E2009">
        <v>0</v>
      </c>
      <c r="F2009">
        <v>0</v>
      </c>
      <c r="G2009">
        <v>33</v>
      </c>
      <c r="H2009" s="4">
        <v>1570530698403</v>
      </c>
      <c r="I2009">
        <v>526.6875</v>
      </c>
      <c r="J2009" s="9">
        <f t="shared" si="31"/>
        <v>43746.730305590274</v>
      </c>
      <c r="K2009" s="1"/>
    </row>
    <row r="2010" spans="1:11" x14ac:dyDescent="0.25">
      <c r="A2010" t="e">
        <f>-LqevB7Bj4Wq6dEyEleD</f>
        <v>#NAME?</v>
      </c>
      <c r="B2010">
        <v>421.875</v>
      </c>
      <c r="C2010">
        <v>20.584240000000001</v>
      </c>
      <c r="D2010">
        <v>46</v>
      </c>
      <c r="E2010">
        <v>0</v>
      </c>
      <c r="F2010">
        <v>0</v>
      </c>
      <c r="G2010">
        <v>31</v>
      </c>
      <c r="H2010" s="4">
        <v>1570530704582</v>
      </c>
      <c r="I2010">
        <v>535.6875</v>
      </c>
      <c r="J2010" s="9">
        <f t="shared" si="31"/>
        <v>43746.730377106484</v>
      </c>
      <c r="K2010" s="1"/>
    </row>
    <row r="2011" spans="1:11" x14ac:dyDescent="0.25">
      <c r="A2011" t="e">
        <f>-LqevCbElQK0Z-aUtLzu</f>
        <v>#NAME?</v>
      </c>
      <c r="B2011">
        <v>393.75</v>
      </c>
      <c r="C2011">
        <v>20.584240000000001</v>
      </c>
      <c r="D2011">
        <v>46</v>
      </c>
      <c r="E2011">
        <v>0</v>
      </c>
      <c r="F2011">
        <v>0</v>
      </c>
      <c r="G2011">
        <v>33</v>
      </c>
      <c r="H2011" s="4">
        <v>1570530710761</v>
      </c>
      <c r="I2011">
        <v>526.6875</v>
      </c>
      <c r="J2011" s="9">
        <f t="shared" si="31"/>
        <v>43746.730448622686</v>
      </c>
      <c r="K2011" s="1"/>
    </row>
    <row r="2012" spans="1:11" x14ac:dyDescent="0.25">
      <c r="A2012" t="e">
        <f>-LqevEO4HJSS3V7R4L0Q</f>
        <v>#NAME?</v>
      </c>
      <c r="B2012">
        <v>393.75</v>
      </c>
      <c r="C2012">
        <v>20.584240000000001</v>
      </c>
      <c r="D2012">
        <v>49</v>
      </c>
      <c r="E2012">
        <v>0</v>
      </c>
      <c r="F2012">
        <v>0</v>
      </c>
      <c r="G2012">
        <v>23</v>
      </c>
      <c r="H2012" s="4">
        <v>1570530717972</v>
      </c>
      <c r="I2012">
        <v>526.6875</v>
      </c>
      <c r="J2012" s="9">
        <f t="shared" si="31"/>
        <v>43746.730532083333</v>
      </c>
      <c r="K2012" s="1"/>
    </row>
    <row r="2013" spans="1:11" x14ac:dyDescent="0.25">
      <c r="A2013" t="e">
        <f>-LqevG4qfbx_irw_V-QD</f>
        <v>#NAME?</v>
      </c>
      <c r="B2013">
        <v>393.75</v>
      </c>
      <c r="C2013">
        <v>20.531590000000001</v>
      </c>
      <c r="D2013">
        <v>50</v>
      </c>
      <c r="E2013">
        <v>0</v>
      </c>
      <c r="F2013">
        <v>0</v>
      </c>
      <c r="G2013">
        <v>28</v>
      </c>
      <c r="H2013" s="4">
        <v>1570530725203</v>
      </c>
      <c r="I2013">
        <v>526.5</v>
      </c>
      <c r="J2013" s="9">
        <f t="shared" si="31"/>
        <v>43746.730615775457</v>
      </c>
      <c r="K2013" s="1"/>
    </row>
    <row r="2014" spans="1:11" x14ac:dyDescent="0.25">
      <c r="A2014" t="e">
        <f>-LqevHvBqn8ifqLpXBg3</f>
        <v>#NAME?</v>
      </c>
      <c r="B2014">
        <v>393.75</v>
      </c>
      <c r="C2014">
        <v>20.584240000000001</v>
      </c>
      <c r="D2014">
        <v>44</v>
      </c>
      <c r="E2014">
        <v>0</v>
      </c>
      <c r="F2014">
        <v>0</v>
      </c>
      <c r="G2014">
        <v>28</v>
      </c>
      <c r="H2014" s="4">
        <v>1570530732403</v>
      </c>
      <c r="I2014">
        <v>526.6875</v>
      </c>
      <c r="J2014" s="9">
        <f t="shared" si="31"/>
        <v>43746.73069910879</v>
      </c>
      <c r="K2014" s="1"/>
    </row>
    <row r="2015" spans="1:11" x14ac:dyDescent="0.25">
      <c r="A2015" t="e">
        <f>-LqevJd3YuM5oOZ8_jtD</f>
        <v>#NAME?</v>
      </c>
      <c r="B2015">
        <v>393.75</v>
      </c>
      <c r="C2015">
        <v>20.531590000000001</v>
      </c>
      <c r="D2015">
        <v>46</v>
      </c>
      <c r="E2015">
        <v>0</v>
      </c>
      <c r="F2015">
        <v>0</v>
      </c>
      <c r="G2015">
        <v>30</v>
      </c>
      <c r="H2015" s="4">
        <v>1570530739603</v>
      </c>
      <c r="I2015">
        <v>526.6875</v>
      </c>
      <c r="J2015" s="9">
        <f t="shared" si="31"/>
        <v>43746.730782442122</v>
      </c>
      <c r="K2015" s="1"/>
    </row>
    <row r="2016" spans="1:11" x14ac:dyDescent="0.25">
      <c r="A2016" t="e">
        <f>-LqevLRAoadV-sa1IBKL</f>
        <v>#NAME?</v>
      </c>
      <c r="B2016">
        <v>393.75</v>
      </c>
      <c r="C2016">
        <v>20.584240000000001</v>
      </c>
      <c r="D2016">
        <v>50</v>
      </c>
      <c r="E2016">
        <v>0</v>
      </c>
      <c r="F2016">
        <v>0</v>
      </c>
      <c r="G2016">
        <v>35</v>
      </c>
      <c r="H2016" s="4">
        <v>1570530746823</v>
      </c>
      <c r="I2016">
        <v>526.5</v>
      </c>
      <c r="J2016" s="9">
        <f t="shared" si="31"/>
        <v>43746.730866006947</v>
      </c>
      <c r="K2016" s="1"/>
    </row>
    <row r="2017" spans="1:11" x14ac:dyDescent="0.25">
      <c r="A2017" t="e">
        <f>-LqevMuFekt5yM6pz1_7</f>
        <v>#NAME?</v>
      </c>
      <c r="B2017">
        <v>393.75</v>
      </c>
      <c r="C2017">
        <v>20.531590000000001</v>
      </c>
      <c r="D2017">
        <v>50</v>
      </c>
      <c r="E2017">
        <v>0</v>
      </c>
      <c r="F2017">
        <v>0</v>
      </c>
      <c r="G2017">
        <v>26</v>
      </c>
      <c r="H2017" s="4">
        <v>1570530752992</v>
      </c>
      <c r="I2017">
        <v>526.5</v>
      </c>
      <c r="J2017" s="9">
        <f t="shared" si="31"/>
        <v>43746.730937407403</v>
      </c>
      <c r="K2017" s="1"/>
    </row>
    <row r="2018" spans="1:11" x14ac:dyDescent="0.25">
      <c r="A2018" t="e">
        <f>-LqevOiLvZFy0PnrxyFr</f>
        <v>#NAME?</v>
      </c>
      <c r="B2018">
        <v>393.75</v>
      </c>
      <c r="C2018">
        <v>20.584240000000001</v>
      </c>
      <c r="D2018">
        <v>49</v>
      </c>
      <c r="E2018">
        <v>0</v>
      </c>
      <c r="F2018">
        <v>0</v>
      </c>
      <c r="G2018">
        <v>28</v>
      </c>
      <c r="H2018" s="4">
        <v>1570530760223</v>
      </c>
      <c r="I2018">
        <v>526.5</v>
      </c>
      <c r="J2018" s="9">
        <f t="shared" si="31"/>
        <v>43746.731021099535</v>
      </c>
      <c r="K2018" s="1"/>
    </row>
    <row r="2019" spans="1:11" x14ac:dyDescent="0.25">
      <c r="A2019" t="e">
        <f>-LqevQRDNBpQcGrY5Rpc</f>
        <v>#NAME?</v>
      </c>
      <c r="B2019">
        <v>393.75</v>
      </c>
      <c r="C2019">
        <v>20.584240000000001</v>
      </c>
      <c r="D2019">
        <v>49</v>
      </c>
      <c r="E2019">
        <v>0</v>
      </c>
      <c r="F2019">
        <v>0</v>
      </c>
      <c r="G2019">
        <v>23</v>
      </c>
      <c r="H2019" s="4">
        <v>1570530767443</v>
      </c>
      <c r="I2019">
        <v>526.6875</v>
      </c>
      <c r="J2019" s="9">
        <f t="shared" si="31"/>
        <v>43746.731104664352</v>
      </c>
      <c r="K2019" s="1"/>
    </row>
    <row r="2020" spans="1:11" x14ac:dyDescent="0.25">
      <c r="A2020" t="e">
        <f>-LqevSEDImIk4HGxJj2x</f>
        <v>#NAME?</v>
      </c>
      <c r="B2020">
        <v>393.75</v>
      </c>
      <c r="C2020">
        <v>20.584240000000001</v>
      </c>
      <c r="D2020">
        <v>49</v>
      </c>
      <c r="E2020">
        <v>0</v>
      </c>
      <c r="F2020">
        <v>0</v>
      </c>
      <c r="G2020">
        <v>30</v>
      </c>
      <c r="H2020" s="4">
        <v>1570530774642</v>
      </c>
      <c r="I2020">
        <v>526.6875</v>
      </c>
      <c r="J2020" s="9">
        <f t="shared" si="31"/>
        <v>43746.731187986108</v>
      </c>
      <c r="K2020" s="1"/>
    </row>
    <row r="2021" spans="1:11" x14ac:dyDescent="0.25">
      <c r="A2021" t="e">
        <f>-LqevTxAXBZw9sExlBhu</f>
        <v>#NAME?</v>
      </c>
      <c r="B2021">
        <v>393.75</v>
      </c>
      <c r="C2021">
        <v>20.531590000000001</v>
      </c>
      <c r="D2021">
        <v>48</v>
      </c>
      <c r="E2021">
        <v>0</v>
      </c>
      <c r="F2021">
        <v>0</v>
      </c>
      <c r="G2021">
        <v>31</v>
      </c>
      <c r="H2021" s="4">
        <v>1570530781843</v>
      </c>
      <c r="I2021">
        <v>526.6875</v>
      </c>
      <c r="J2021" s="9">
        <f t="shared" si="31"/>
        <v>43746.731271331017</v>
      </c>
      <c r="K2021" s="1"/>
    </row>
    <row r="2022" spans="1:11" x14ac:dyDescent="0.25">
      <c r="A2022" t="e">
        <f>-LqevVWBP8mkStx6gN6A</f>
        <v>#NAME?</v>
      </c>
      <c r="B2022">
        <v>393.75</v>
      </c>
      <c r="C2022">
        <v>20.531590000000001</v>
      </c>
      <c r="D2022">
        <v>48</v>
      </c>
      <c r="E2022">
        <v>0</v>
      </c>
      <c r="F2022">
        <v>0</v>
      </c>
      <c r="G2022">
        <v>31</v>
      </c>
      <c r="H2022" s="4">
        <v>1570530788042</v>
      </c>
      <c r="I2022">
        <v>526.6875</v>
      </c>
      <c r="J2022" s="9">
        <f t="shared" si="31"/>
        <v>43746.731343078696</v>
      </c>
      <c r="K2022" s="1"/>
    </row>
    <row r="2023" spans="1:11" x14ac:dyDescent="0.25">
      <c r="A2023" t="e">
        <f>-LqevXE9xaETZvyTwDIK</f>
        <v>#NAME?</v>
      </c>
      <c r="B2023">
        <v>393.75</v>
      </c>
      <c r="C2023">
        <v>20.584240000000001</v>
      </c>
      <c r="D2023">
        <v>47</v>
      </c>
      <c r="E2023">
        <v>0</v>
      </c>
      <c r="F2023">
        <v>0</v>
      </c>
      <c r="G2023">
        <v>30</v>
      </c>
      <c r="H2023" s="4">
        <v>1570530795252</v>
      </c>
      <c r="I2023">
        <v>526.6875</v>
      </c>
      <c r="J2023" s="9">
        <f t="shared" si="31"/>
        <v>43746.731426527775</v>
      </c>
      <c r="K2023" s="1"/>
    </row>
    <row r="2024" spans="1:11" x14ac:dyDescent="0.25">
      <c r="A2024" t="e">
        <f>-LqevYiBg3u5haXGOX4Z</f>
        <v>#NAME?</v>
      </c>
      <c r="B2024">
        <v>393.75</v>
      </c>
      <c r="C2024">
        <v>20.531590000000001</v>
      </c>
      <c r="D2024">
        <v>48</v>
      </c>
      <c r="E2024">
        <v>0</v>
      </c>
      <c r="F2024">
        <v>0</v>
      </c>
      <c r="G2024">
        <v>31</v>
      </c>
      <c r="H2024" s="4">
        <v>1570530801434</v>
      </c>
      <c r="I2024">
        <v>526.6875</v>
      </c>
      <c r="J2024" s="9">
        <f t="shared" si="31"/>
        <v>43746.731498078698</v>
      </c>
      <c r="K2024" s="1"/>
    </row>
    <row r="2025" spans="1:11" x14ac:dyDescent="0.25">
      <c r="A2025" t="e">
        <f>-Lqev_HALTVU-keQDMHo</f>
        <v>#NAME?</v>
      </c>
      <c r="B2025">
        <v>393.75</v>
      </c>
      <c r="C2025">
        <v>20.531590000000001</v>
      </c>
      <c r="D2025">
        <v>47</v>
      </c>
      <c r="E2025">
        <v>0</v>
      </c>
      <c r="F2025">
        <v>0</v>
      </c>
      <c r="G2025">
        <v>31</v>
      </c>
      <c r="H2025" s="4">
        <v>1570530807613</v>
      </c>
      <c r="I2025">
        <v>526.6875</v>
      </c>
      <c r="J2025" s="9">
        <f t="shared" si="31"/>
        <v>43746.7315695949</v>
      </c>
      <c r="K2025" s="1"/>
    </row>
    <row r="2026" spans="1:11" x14ac:dyDescent="0.25">
      <c r="A2026" t="e">
        <f>-LqevbAxxraNMkZDRShV</f>
        <v>#NAME?</v>
      </c>
      <c r="B2026">
        <v>393.75</v>
      </c>
      <c r="C2026">
        <v>20.531590000000001</v>
      </c>
      <c r="D2026">
        <v>47</v>
      </c>
      <c r="E2026">
        <v>0</v>
      </c>
      <c r="F2026">
        <v>0</v>
      </c>
      <c r="G2026">
        <v>31</v>
      </c>
      <c r="H2026" s="4">
        <v>1570530814803</v>
      </c>
      <c r="I2026">
        <v>526.6875</v>
      </c>
      <c r="J2026" s="9">
        <f t="shared" si="31"/>
        <v>43746.731652812501</v>
      </c>
      <c r="K2026" s="1"/>
    </row>
    <row r="2027" spans="1:11" x14ac:dyDescent="0.25">
      <c r="A2027" t="e">
        <f>-LqevcnFf6egWmKkNGeb</f>
        <v>#NAME?</v>
      </c>
      <c r="B2027">
        <v>393.75</v>
      </c>
      <c r="C2027">
        <v>20.584240000000001</v>
      </c>
      <c r="D2027">
        <v>48</v>
      </c>
      <c r="E2027">
        <v>0</v>
      </c>
      <c r="F2027">
        <v>0</v>
      </c>
      <c r="G2027">
        <v>30</v>
      </c>
      <c r="H2027" s="4">
        <v>1570530822047</v>
      </c>
      <c r="I2027">
        <v>526.5</v>
      </c>
      <c r="J2027" s="9">
        <f t="shared" si="31"/>
        <v>43746.731736655092</v>
      </c>
      <c r="K2027" s="1"/>
    </row>
    <row r="2028" spans="1:11" x14ac:dyDescent="0.25">
      <c r="A2028" t="e">
        <f>-LqeveWEb_E5rfBG_29B</f>
        <v>#NAME?</v>
      </c>
      <c r="B2028">
        <v>393.75</v>
      </c>
      <c r="C2028">
        <v>20.584240000000001</v>
      </c>
      <c r="D2028">
        <v>47</v>
      </c>
      <c r="E2028">
        <v>0</v>
      </c>
      <c r="F2028">
        <v>0</v>
      </c>
      <c r="G2028">
        <v>39</v>
      </c>
      <c r="H2028" s="4">
        <v>1570530829270</v>
      </c>
      <c r="I2028">
        <v>526.6875</v>
      </c>
      <c r="J2028" s="9">
        <f t="shared" si="31"/>
        <v>43746.731820254623</v>
      </c>
      <c r="K2028" s="1"/>
    </row>
    <row r="2029" spans="1:11" x14ac:dyDescent="0.25">
      <c r="A2029" t="e">
        <f>-Lqevg4E89HWQhwD0bX8</f>
        <v>#NAME?</v>
      </c>
      <c r="B2029">
        <v>412.5</v>
      </c>
      <c r="C2029">
        <v>20.584240000000001</v>
      </c>
      <c r="D2029">
        <v>47</v>
      </c>
      <c r="E2029">
        <v>0</v>
      </c>
      <c r="F2029">
        <v>0</v>
      </c>
      <c r="G2029">
        <v>28</v>
      </c>
      <c r="H2029" s="4">
        <v>1570530835436</v>
      </c>
      <c r="I2029">
        <v>532.3125</v>
      </c>
      <c r="J2029" s="9">
        <f t="shared" si="31"/>
        <v>43746.731891620373</v>
      </c>
      <c r="K2029" s="1"/>
    </row>
    <row r="2030" spans="1:11" x14ac:dyDescent="0.25">
      <c r="A2030" t="e">
        <f>-LqevhnEX8jPoQyV3iVd</f>
        <v>#NAME?</v>
      </c>
      <c r="B2030">
        <v>393.75</v>
      </c>
      <c r="C2030">
        <v>20.584240000000001</v>
      </c>
      <c r="D2030">
        <v>47</v>
      </c>
      <c r="E2030">
        <v>0</v>
      </c>
      <c r="F2030">
        <v>0</v>
      </c>
      <c r="G2030">
        <v>31</v>
      </c>
      <c r="H2030" s="4">
        <v>1570530842647</v>
      </c>
      <c r="I2030">
        <v>526.6875</v>
      </c>
      <c r="J2030" s="9">
        <f t="shared" si="31"/>
        <v>43746.73197508102</v>
      </c>
      <c r="K2030" s="1"/>
    </row>
    <row r="2031" spans="1:11" x14ac:dyDescent="0.25">
      <c r="A2031" t="e">
        <f>-LqevjpWcWZ3IULk23o5</f>
        <v>#NAME?</v>
      </c>
      <c r="B2031">
        <v>393.75</v>
      </c>
      <c r="C2031">
        <v>20.584240000000001</v>
      </c>
      <c r="D2031">
        <v>50</v>
      </c>
      <c r="E2031">
        <v>0</v>
      </c>
      <c r="F2031">
        <v>0</v>
      </c>
      <c r="G2031">
        <v>31</v>
      </c>
      <c r="H2031" s="4">
        <v>1570530849867</v>
      </c>
      <c r="I2031">
        <v>526.5</v>
      </c>
      <c r="J2031" s="9">
        <f t="shared" si="31"/>
        <v>43746.73205864583</v>
      </c>
      <c r="K2031" s="1"/>
    </row>
    <row r="2032" spans="1:11" x14ac:dyDescent="0.25">
      <c r="A2032" t="e">
        <f>-LqevlcEYjLdcIT2AMYO</f>
        <v>#NAME?</v>
      </c>
      <c r="B2032">
        <v>393.75</v>
      </c>
      <c r="C2032">
        <v>20.584240000000001</v>
      </c>
      <c r="D2032">
        <v>50</v>
      </c>
      <c r="E2032">
        <v>0</v>
      </c>
      <c r="F2032">
        <v>0</v>
      </c>
      <c r="G2032">
        <v>33</v>
      </c>
      <c r="H2032" s="4">
        <v>1570530858106</v>
      </c>
      <c r="I2032">
        <v>526.6875</v>
      </c>
      <c r="J2032" s="9">
        <f t="shared" si="31"/>
        <v>43746.732154004632</v>
      </c>
      <c r="K2032" s="1"/>
    </row>
    <row r="2033" spans="1:11" x14ac:dyDescent="0.25">
      <c r="A2033" t="s">
        <v>107</v>
      </c>
      <c r="B2033">
        <v>393.75</v>
      </c>
      <c r="C2033">
        <v>20.531590000000001</v>
      </c>
      <c r="D2033">
        <v>50</v>
      </c>
      <c r="E2033">
        <v>0</v>
      </c>
      <c r="F2033">
        <v>0</v>
      </c>
      <c r="G2033">
        <v>31</v>
      </c>
      <c r="H2033" s="4">
        <v>1570530865316</v>
      </c>
      <c r="I2033">
        <v>526.6875</v>
      </c>
      <c r="J2033" s="9">
        <f t="shared" si="31"/>
        <v>43746.732237453696</v>
      </c>
      <c r="K2033" s="1"/>
    </row>
    <row r="2034" spans="1:11" x14ac:dyDescent="0.25">
      <c r="A2034" t="e">
        <f>-Lqevp8EM4Yc06vmM02u</f>
        <v>#NAME?</v>
      </c>
      <c r="B2034">
        <v>393.75</v>
      </c>
      <c r="C2034">
        <v>20.584240000000001</v>
      </c>
      <c r="D2034">
        <v>50</v>
      </c>
      <c r="E2034">
        <v>0</v>
      </c>
      <c r="F2034">
        <v>0</v>
      </c>
      <c r="G2034">
        <v>36</v>
      </c>
      <c r="H2034" s="4">
        <v>1570530872527</v>
      </c>
      <c r="I2034">
        <v>526.6875</v>
      </c>
      <c r="J2034" s="9">
        <f t="shared" si="31"/>
        <v>43746.732320914351</v>
      </c>
      <c r="K2034" s="1"/>
    </row>
    <row r="2035" spans="1:11" x14ac:dyDescent="0.25">
      <c r="A2035" t="e">
        <f>-LqevqrQG1jptJNAmcgN</f>
        <v>#NAME?</v>
      </c>
      <c r="B2035">
        <v>393.75</v>
      </c>
      <c r="C2035">
        <v>20.584240000000001</v>
      </c>
      <c r="D2035">
        <v>50</v>
      </c>
      <c r="E2035">
        <v>0</v>
      </c>
      <c r="F2035">
        <v>0</v>
      </c>
      <c r="G2035">
        <v>33</v>
      </c>
      <c r="H2035" s="4">
        <v>1570530879747</v>
      </c>
      <c r="I2035">
        <v>526.6875</v>
      </c>
      <c r="J2035" s="9">
        <f t="shared" si="31"/>
        <v>43746.732404479168</v>
      </c>
      <c r="K2035" s="1"/>
    </row>
    <row r="2036" spans="1:11" x14ac:dyDescent="0.25">
      <c r="A2036" t="e">
        <f>-LqevseFD7T7o_bsMwcH</f>
        <v>#NAME?</v>
      </c>
      <c r="B2036">
        <v>393.75</v>
      </c>
      <c r="C2036">
        <v>20.584240000000001</v>
      </c>
      <c r="D2036">
        <v>50</v>
      </c>
      <c r="E2036">
        <v>0</v>
      </c>
      <c r="F2036">
        <v>0</v>
      </c>
      <c r="G2036">
        <v>30</v>
      </c>
      <c r="H2036" s="4">
        <v>1570530886956</v>
      </c>
      <c r="I2036">
        <v>526.6875</v>
      </c>
      <c r="J2036" s="9">
        <f t="shared" si="31"/>
        <v>43746.732487916663</v>
      </c>
      <c r="K2036" s="1"/>
    </row>
    <row r="2037" spans="1:11" x14ac:dyDescent="0.25">
      <c r="A2037" t="e">
        <f>-LqevuNFXwC0d4oYH9y8</f>
        <v>#NAME?</v>
      </c>
      <c r="B2037">
        <v>393.75</v>
      </c>
      <c r="C2037">
        <v>20.531590000000001</v>
      </c>
      <c r="D2037">
        <v>48</v>
      </c>
      <c r="E2037">
        <v>0</v>
      </c>
      <c r="F2037">
        <v>0</v>
      </c>
      <c r="G2037">
        <v>36</v>
      </c>
      <c r="H2037" s="4">
        <v>1570530894167</v>
      </c>
      <c r="I2037">
        <v>526.6875</v>
      </c>
      <c r="J2037" s="9">
        <f t="shared" si="31"/>
        <v>43746.73257137731</v>
      </c>
      <c r="K2037" s="1"/>
    </row>
    <row r="2038" spans="1:11" x14ac:dyDescent="0.25">
      <c r="A2038" t="e">
        <f>-LqevwAGn8AnVDyDCK9u</f>
        <v>#NAME?</v>
      </c>
      <c r="B2038">
        <v>393.75</v>
      </c>
      <c r="C2038">
        <v>20.531590000000001</v>
      </c>
      <c r="D2038">
        <v>50</v>
      </c>
      <c r="E2038">
        <v>0</v>
      </c>
      <c r="F2038">
        <v>0</v>
      </c>
      <c r="G2038">
        <v>31</v>
      </c>
      <c r="H2038" s="4">
        <v>1570530901377</v>
      </c>
      <c r="I2038">
        <v>526.6875</v>
      </c>
      <c r="J2038" s="9">
        <f t="shared" si="31"/>
        <v>43746.732654826388</v>
      </c>
      <c r="K2038" s="1"/>
    </row>
    <row r="2039" spans="1:11" x14ac:dyDescent="0.25">
      <c r="A2039" t="e">
        <f>-Lqevxt61EfTedJ_h9Tp</f>
        <v>#NAME?</v>
      </c>
      <c r="B2039">
        <v>393.75</v>
      </c>
      <c r="C2039">
        <v>20.584240000000001</v>
      </c>
      <c r="D2039">
        <v>50</v>
      </c>
      <c r="E2039">
        <v>0</v>
      </c>
      <c r="F2039">
        <v>0</v>
      </c>
      <c r="G2039">
        <v>33</v>
      </c>
      <c r="H2039" s="4">
        <v>1570530908566</v>
      </c>
      <c r="I2039">
        <v>526.6875</v>
      </c>
      <c r="J2039" s="9">
        <f t="shared" si="31"/>
        <v>43746.732738032406</v>
      </c>
      <c r="K2039" s="1"/>
    </row>
    <row r="2040" spans="1:11" x14ac:dyDescent="0.25">
      <c r="A2040" t="e">
        <f>-LqevzRmB1IqWuq8gF2l</f>
        <v>#NAME?</v>
      </c>
      <c r="B2040">
        <v>393.75</v>
      </c>
      <c r="C2040">
        <v>20.584240000000001</v>
      </c>
      <c r="D2040">
        <v>49</v>
      </c>
      <c r="E2040">
        <v>0</v>
      </c>
      <c r="F2040">
        <v>0</v>
      </c>
      <c r="G2040">
        <v>35</v>
      </c>
      <c r="H2040" s="4">
        <v>1570530914767</v>
      </c>
      <c r="I2040">
        <v>526.6875</v>
      </c>
      <c r="J2040" s="9">
        <f t="shared" si="31"/>
        <v>43746.732809803238</v>
      </c>
      <c r="K2040" s="1"/>
    </row>
    <row r="2041" spans="1:11" x14ac:dyDescent="0.25">
      <c r="A2041" t="e">
        <f>-Lqew0AFuJ-P1SCeWJuT</f>
        <v>#NAME?</v>
      </c>
      <c r="B2041">
        <v>412.5</v>
      </c>
      <c r="C2041">
        <v>20.531590000000001</v>
      </c>
      <c r="D2041">
        <v>49</v>
      </c>
      <c r="E2041">
        <v>0</v>
      </c>
      <c r="F2041">
        <v>0</v>
      </c>
      <c r="G2041">
        <v>30</v>
      </c>
      <c r="H2041" s="4">
        <v>1570530922006</v>
      </c>
      <c r="I2041">
        <v>532.125</v>
      </c>
      <c r="J2041" s="9">
        <f t="shared" si="31"/>
        <v>43746.732893587956</v>
      </c>
      <c r="K2041" s="1"/>
    </row>
    <row r="2042" spans="1:11" x14ac:dyDescent="0.25">
      <c r="A2042" t="e">
        <f>-Lqew1yEkyXX438jn064</f>
        <v>#NAME?</v>
      </c>
      <c r="B2042">
        <v>393.75</v>
      </c>
      <c r="C2042">
        <v>20.584240000000001</v>
      </c>
      <c r="D2042">
        <v>49</v>
      </c>
      <c r="E2042">
        <v>0</v>
      </c>
      <c r="F2042">
        <v>0</v>
      </c>
      <c r="G2042">
        <v>37</v>
      </c>
      <c r="H2042" s="4">
        <v>1570530929199</v>
      </c>
      <c r="I2042">
        <v>526.6875</v>
      </c>
      <c r="J2042" s="9">
        <f t="shared" si="31"/>
        <v>43746.732976840278</v>
      </c>
      <c r="K2042" s="1"/>
    </row>
    <row r="2043" spans="1:11" x14ac:dyDescent="0.25">
      <c r="A2043" t="e">
        <f>-Lqew3gFsgHn5SdrjLHM</f>
        <v>#NAME?</v>
      </c>
      <c r="B2043">
        <v>393.75</v>
      </c>
      <c r="C2043">
        <v>20.584240000000001</v>
      </c>
      <c r="D2043">
        <v>49</v>
      </c>
      <c r="E2043">
        <v>0</v>
      </c>
      <c r="F2043">
        <v>0</v>
      </c>
      <c r="G2043">
        <v>34</v>
      </c>
      <c r="H2043" s="4">
        <v>1570530936407</v>
      </c>
      <c r="I2043">
        <v>526.6875</v>
      </c>
      <c r="J2043" s="9">
        <f t="shared" si="31"/>
        <v>43746.733060266204</v>
      </c>
      <c r="K2043" s="1"/>
    </row>
    <row r="2044" spans="1:11" x14ac:dyDescent="0.25">
      <c r="A2044" t="e">
        <f>-Lqew5TJRmN8SM_sRhvT</f>
        <v>#NAME?</v>
      </c>
      <c r="B2044">
        <v>393.75</v>
      </c>
      <c r="C2044">
        <v>20.584240000000001</v>
      </c>
      <c r="D2044">
        <v>49</v>
      </c>
      <c r="E2044">
        <v>0</v>
      </c>
      <c r="F2044">
        <v>0</v>
      </c>
      <c r="G2044">
        <v>31</v>
      </c>
      <c r="H2044" s="4">
        <v>1570530943626</v>
      </c>
      <c r="I2044">
        <v>526.6875</v>
      </c>
      <c r="J2044" s="9">
        <f t="shared" si="31"/>
        <v>43746.733143819445</v>
      </c>
      <c r="K2044" s="1"/>
    </row>
    <row r="2045" spans="1:11" x14ac:dyDescent="0.25">
      <c r="A2045" t="e">
        <f>-Lqew7CEoK6bgDvUGXt2</f>
        <v>#NAME?</v>
      </c>
      <c r="B2045">
        <v>393.75</v>
      </c>
      <c r="C2045">
        <v>20.584240000000001</v>
      </c>
      <c r="D2045">
        <v>48</v>
      </c>
      <c r="E2045">
        <v>0</v>
      </c>
      <c r="F2045">
        <v>0</v>
      </c>
      <c r="G2045">
        <v>36</v>
      </c>
      <c r="H2045" s="4">
        <v>1570530950807</v>
      </c>
      <c r="I2045">
        <v>526.5</v>
      </c>
      <c r="J2045" s="9">
        <f t="shared" si="31"/>
        <v>43746.733226932869</v>
      </c>
      <c r="K2045" s="1"/>
    </row>
    <row r="2046" spans="1:11" x14ac:dyDescent="0.25">
      <c r="A2046" t="e">
        <f>-Lqew8lFX9h7YcxA1FfG</f>
        <v>#NAME?</v>
      </c>
      <c r="B2046">
        <v>393.75</v>
      </c>
      <c r="C2046">
        <v>20.584240000000001</v>
      </c>
      <c r="D2046">
        <v>48</v>
      </c>
      <c r="E2046">
        <v>0</v>
      </c>
      <c r="F2046">
        <v>0</v>
      </c>
      <c r="G2046">
        <v>40</v>
      </c>
      <c r="H2046" s="4">
        <v>1570530957006</v>
      </c>
      <c r="I2046">
        <v>526.6875</v>
      </c>
      <c r="J2046" s="9">
        <f t="shared" si="31"/>
        <v>43746.733298680549</v>
      </c>
      <c r="K2046" s="1"/>
    </row>
    <row r="2047" spans="1:11" x14ac:dyDescent="0.25">
      <c r="A2047" t="e">
        <f>-LqewAUEE7zIZw_Xp2Lr</f>
        <v>#NAME?</v>
      </c>
      <c r="B2047">
        <v>393.75</v>
      </c>
      <c r="C2047">
        <v>20.531590000000001</v>
      </c>
      <c r="D2047">
        <v>46</v>
      </c>
      <c r="E2047">
        <v>0</v>
      </c>
      <c r="F2047">
        <v>0</v>
      </c>
      <c r="G2047">
        <v>30</v>
      </c>
      <c r="H2047" s="4">
        <v>1570530964227</v>
      </c>
      <c r="I2047">
        <v>526.6875</v>
      </c>
      <c r="J2047" s="9">
        <f t="shared" si="31"/>
        <v>43746.733382256942</v>
      </c>
      <c r="K2047" s="1"/>
    </row>
    <row r="2048" spans="1:11" x14ac:dyDescent="0.25">
      <c r="A2048" t="e">
        <f>-LqewCH7ijv9dc3e1a5N</f>
        <v>#NAME?</v>
      </c>
      <c r="B2048">
        <v>393.75</v>
      </c>
      <c r="C2048">
        <v>20.584240000000001</v>
      </c>
      <c r="D2048">
        <v>50</v>
      </c>
      <c r="E2048">
        <v>0</v>
      </c>
      <c r="F2048">
        <v>0</v>
      </c>
      <c r="G2048">
        <v>33</v>
      </c>
      <c r="H2048" s="4">
        <v>1570530971436</v>
      </c>
      <c r="I2048">
        <v>526.6875</v>
      </c>
      <c r="J2048" s="9">
        <f t="shared" si="31"/>
        <v>43746.733465694437</v>
      </c>
      <c r="K2048" s="1"/>
    </row>
    <row r="2049" spans="1:11" x14ac:dyDescent="0.25">
      <c r="A2049" t="e">
        <f>-LqewDzdwdsVktNley_m</f>
        <v>#NAME?</v>
      </c>
      <c r="B2049">
        <v>393.75</v>
      </c>
      <c r="C2049">
        <v>20.584240000000001</v>
      </c>
      <c r="D2049">
        <v>50</v>
      </c>
      <c r="E2049">
        <v>0</v>
      </c>
      <c r="F2049">
        <v>0</v>
      </c>
      <c r="G2049">
        <v>39</v>
      </c>
      <c r="H2049" s="4">
        <v>1570530978646</v>
      </c>
      <c r="I2049">
        <v>526.6875</v>
      </c>
      <c r="J2049" s="9">
        <f t="shared" si="31"/>
        <v>43746.733549143515</v>
      </c>
      <c r="K2049" s="1"/>
    </row>
    <row r="2050" spans="1:11" x14ac:dyDescent="0.25">
      <c r="A2050" t="e">
        <f>-LqewFnDAJzX67Kx1CPD</f>
        <v>#NAME?</v>
      </c>
      <c r="B2050">
        <v>393.75</v>
      </c>
      <c r="C2050">
        <v>20.584240000000001</v>
      </c>
      <c r="D2050">
        <v>49</v>
      </c>
      <c r="E2050">
        <v>0</v>
      </c>
      <c r="F2050">
        <v>0</v>
      </c>
      <c r="G2050">
        <v>39</v>
      </c>
      <c r="H2050" s="4">
        <v>1570530985867</v>
      </c>
      <c r="I2050">
        <v>526.6875</v>
      </c>
      <c r="J2050" s="9">
        <f t="shared" si="31"/>
        <v>43746.733632719908</v>
      </c>
      <c r="K2050" s="1"/>
    </row>
    <row r="2051" spans="1:11" x14ac:dyDescent="0.25">
      <c r="A2051" t="e">
        <f>-LqewHWEzX4mWytLkSka</f>
        <v>#NAME?</v>
      </c>
      <c r="B2051">
        <v>393.75</v>
      </c>
      <c r="C2051">
        <v>20.531590000000001</v>
      </c>
      <c r="D2051">
        <v>47</v>
      </c>
      <c r="E2051">
        <v>0</v>
      </c>
      <c r="F2051">
        <v>0</v>
      </c>
      <c r="G2051">
        <v>23</v>
      </c>
      <c r="H2051" s="4">
        <v>1570530993046</v>
      </c>
      <c r="I2051">
        <v>526.6875</v>
      </c>
      <c r="J2051" s="9">
        <f t="shared" ref="J2051:J2114" si="32">(H2051/86400000)+25569+(7/24)</f>
        <v>43746.73371581018</v>
      </c>
      <c r="K2051" s="1"/>
    </row>
    <row r="2052" spans="1:11" x14ac:dyDescent="0.25">
      <c r="A2052" t="e">
        <f>-LqewJ5T8ddU_iHqJQyb</f>
        <v>#NAME?</v>
      </c>
      <c r="B2052">
        <v>393.75</v>
      </c>
      <c r="C2052">
        <v>20.531590000000001</v>
      </c>
      <c r="D2052">
        <v>47</v>
      </c>
      <c r="E2052">
        <v>0</v>
      </c>
      <c r="F2052">
        <v>0</v>
      </c>
      <c r="G2052">
        <v>31</v>
      </c>
      <c r="H2052" s="4">
        <v>1570530999238</v>
      </c>
      <c r="I2052">
        <v>526.6875</v>
      </c>
      <c r="J2052" s="9">
        <f t="shared" si="32"/>
        <v>43746.733787476849</v>
      </c>
      <c r="K2052" s="1"/>
    </row>
    <row r="2053" spans="1:11" x14ac:dyDescent="0.25">
      <c r="A2053" t="e">
        <f>-LqewKnFzRJqRXnwbxOI</f>
        <v>#NAME?</v>
      </c>
      <c r="B2053">
        <v>393.75</v>
      </c>
      <c r="C2053">
        <v>20.584240000000001</v>
      </c>
      <c r="D2053">
        <v>48</v>
      </c>
      <c r="E2053">
        <v>0</v>
      </c>
      <c r="F2053">
        <v>0</v>
      </c>
      <c r="G2053">
        <v>35</v>
      </c>
      <c r="H2053" s="4">
        <v>1570531006487</v>
      </c>
      <c r="I2053">
        <v>526.5</v>
      </c>
      <c r="J2053" s="9">
        <f t="shared" si="32"/>
        <v>43746.733871377313</v>
      </c>
      <c r="K2053" s="1"/>
    </row>
    <row r="2054" spans="1:11" x14ac:dyDescent="0.25">
      <c r="A2054" t="e">
        <f>-LqewMaHNOBQNRpszMIL</f>
        <v>#NAME?</v>
      </c>
      <c r="B2054">
        <v>393.75</v>
      </c>
      <c r="C2054">
        <v>20.584240000000001</v>
      </c>
      <c r="D2054">
        <v>48</v>
      </c>
      <c r="E2054">
        <v>0</v>
      </c>
      <c r="F2054">
        <v>0</v>
      </c>
      <c r="G2054">
        <v>31</v>
      </c>
      <c r="H2054" s="4">
        <v>1570531013677</v>
      </c>
      <c r="I2054">
        <v>526.6875</v>
      </c>
      <c r="J2054" s="9">
        <f t="shared" si="32"/>
        <v>43746.7339545949</v>
      </c>
      <c r="K2054" s="1"/>
    </row>
    <row r="2055" spans="1:11" x14ac:dyDescent="0.25">
      <c r="A2055" t="e">
        <f>-LqewOJNsWI5SBVefyRM</f>
        <v>#NAME?</v>
      </c>
      <c r="B2055">
        <v>393.75</v>
      </c>
      <c r="C2055">
        <v>20.531590000000001</v>
      </c>
      <c r="D2055">
        <v>49</v>
      </c>
      <c r="E2055">
        <v>0</v>
      </c>
      <c r="F2055">
        <v>0</v>
      </c>
      <c r="G2055">
        <v>38</v>
      </c>
      <c r="H2055" s="4">
        <v>1570531020886</v>
      </c>
      <c r="I2055">
        <v>526.6875</v>
      </c>
      <c r="J2055" s="9">
        <f t="shared" si="32"/>
        <v>43746.734038032409</v>
      </c>
      <c r="K2055" s="1"/>
    </row>
    <row r="2056" spans="1:11" x14ac:dyDescent="0.25">
      <c r="A2056" t="e">
        <f>-LqewQ6FpdGfcSTcJTiE</f>
        <v>#NAME?</v>
      </c>
      <c r="B2056">
        <v>393.75</v>
      </c>
      <c r="C2056">
        <v>20.584240000000001</v>
      </c>
      <c r="D2056">
        <v>49</v>
      </c>
      <c r="E2056">
        <v>0</v>
      </c>
      <c r="F2056">
        <v>0</v>
      </c>
      <c r="G2056">
        <v>35</v>
      </c>
      <c r="H2056" s="4">
        <v>1570531028097</v>
      </c>
      <c r="I2056">
        <v>526.6875</v>
      </c>
      <c r="J2056" s="9">
        <f t="shared" si="32"/>
        <v>43746.734121493057</v>
      </c>
      <c r="K2056" s="1"/>
    </row>
    <row r="2057" spans="1:11" x14ac:dyDescent="0.25">
      <c r="A2057" t="e">
        <f>-LqewRpEfFzCP_3Lu54p</f>
        <v>#NAME?</v>
      </c>
      <c r="B2057">
        <v>393.75</v>
      </c>
      <c r="C2057">
        <v>20.584240000000001</v>
      </c>
      <c r="D2057">
        <v>48</v>
      </c>
      <c r="E2057">
        <v>0</v>
      </c>
      <c r="F2057">
        <v>0</v>
      </c>
      <c r="G2057">
        <v>31</v>
      </c>
      <c r="H2057" s="4">
        <v>1570531035295</v>
      </c>
      <c r="I2057">
        <v>526.6875</v>
      </c>
      <c r="J2057" s="9">
        <f t="shared" si="32"/>
        <v>43746.734204803237</v>
      </c>
      <c r="K2057" s="1"/>
    </row>
    <row r="2058" spans="1:11" x14ac:dyDescent="0.25">
      <c r="A2058" t="e">
        <f>-LqewTccXbjbWm0h9FDG</f>
        <v>#NAME?</v>
      </c>
      <c r="B2058">
        <v>412.5</v>
      </c>
      <c r="C2058">
        <v>20.531590000000001</v>
      </c>
      <c r="D2058">
        <v>47</v>
      </c>
      <c r="E2058">
        <v>0</v>
      </c>
      <c r="F2058">
        <v>0</v>
      </c>
      <c r="G2058">
        <v>23</v>
      </c>
      <c r="H2058" s="4">
        <v>1570531042526</v>
      </c>
      <c r="I2058">
        <v>532.3125</v>
      </c>
      <c r="J2058" s="9">
        <f t="shared" si="32"/>
        <v>43746.734288495369</v>
      </c>
      <c r="K2058" s="1"/>
    </row>
    <row r="2059" spans="1:11" x14ac:dyDescent="0.25">
      <c r="A2059" t="e">
        <f>-LqewVLEiDlfHl1zsmFK</f>
        <v>#NAME?</v>
      </c>
      <c r="B2059">
        <v>393.75</v>
      </c>
      <c r="C2059">
        <v>20.584240000000001</v>
      </c>
      <c r="D2059">
        <v>48</v>
      </c>
      <c r="E2059">
        <v>0</v>
      </c>
      <c r="F2059">
        <v>0</v>
      </c>
      <c r="G2059">
        <v>29</v>
      </c>
      <c r="H2059" s="4">
        <v>1570531049706</v>
      </c>
      <c r="I2059">
        <v>526.6875</v>
      </c>
      <c r="J2059" s="9">
        <f t="shared" si="32"/>
        <v>43746.734371597217</v>
      </c>
      <c r="K2059" s="1"/>
    </row>
    <row r="2060" spans="1:11" x14ac:dyDescent="0.25">
      <c r="A2060" t="s">
        <v>108</v>
      </c>
      <c r="B2060">
        <v>393.75</v>
      </c>
      <c r="C2060">
        <v>20.531590000000001</v>
      </c>
      <c r="D2060">
        <v>48</v>
      </c>
      <c r="E2060">
        <v>0</v>
      </c>
      <c r="F2060">
        <v>0</v>
      </c>
      <c r="G2060">
        <v>37</v>
      </c>
      <c r="H2060" s="4">
        <v>1570531058267</v>
      </c>
      <c r="I2060">
        <v>526.6875</v>
      </c>
      <c r="J2060" s="9">
        <f t="shared" si="32"/>
        <v>43746.734470682866</v>
      </c>
      <c r="K2060" s="1"/>
    </row>
    <row r="2061" spans="1:11" x14ac:dyDescent="0.25">
      <c r="A2061" t="e">
        <f>-LqewZAQN713_cEo08Iw</f>
        <v>#NAME?</v>
      </c>
      <c r="B2061">
        <v>393.75</v>
      </c>
      <c r="C2061">
        <v>20.584240000000001</v>
      </c>
      <c r="D2061">
        <v>54</v>
      </c>
      <c r="E2061">
        <v>0</v>
      </c>
      <c r="F2061">
        <v>0</v>
      </c>
      <c r="G2061">
        <v>39</v>
      </c>
      <c r="H2061" s="4">
        <v>1570531065188</v>
      </c>
      <c r="I2061">
        <v>526.5</v>
      </c>
      <c r="J2061" s="9">
        <f t="shared" si="32"/>
        <v>43746.734550787034</v>
      </c>
      <c r="K2061" s="1"/>
    </row>
    <row r="2062" spans="1:11" x14ac:dyDescent="0.25">
      <c r="A2062" t="e">
        <f>-Lqewa5u-jKjWCe4cfBb</f>
        <v>#NAME?</v>
      </c>
      <c r="B2062">
        <v>412.5</v>
      </c>
      <c r="C2062">
        <v>20.531590000000001</v>
      </c>
      <c r="D2062">
        <v>50</v>
      </c>
      <c r="E2062">
        <v>0</v>
      </c>
      <c r="F2062">
        <v>0</v>
      </c>
      <c r="G2062">
        <v>28</v>
      </c>
      <c r="H2062" s="4">
        <v>1570531072407</v>
      </c>
      <c r="I2062">
        <v>532.5</v>
      </c>
      <c r="J2062" s="9">
        <f t="shared" si="32"/>
        <v>43746.734634340275</v>
      </c>
      <c r="K2062" s="1"/>
    </row>
    <row r="2063" spans="1:11" x14ac:dyDescent="0.25">
      <c r="A2063" t="e">
        <f>-LqewbgHDHnVQs_f2Lp_</f>
        <v>#NAME?</v>
      </c>
      <c r="B2063">
        <v>393.75</v>
      </c>
      <c r="C2063">
        <v>20.584240000000001</v>
      </c>
      <c r="D2063">
        <v>53</v>
      </c>
      <c r="E2063">
        <v>0</v>
      </c>
      <c r="F2063">
        <v>0</v>
      </c>
      <c r="G2063">
        <v>37</v>
      </c>
      <c r="H2063" s="4">
        <v>1570531079610</v>
      </c>
      <c r="I2063">
        <v>526.6875</v>
      </c>
      <c r="J2063" s="9">
        <f t="shared" si="32"/>
        <v>43746.734717708336</v>
      </c>
      <c r="K2063" s="1"/>
    </row>
    <row r="2064" spans="1:11" x14ac:dyDescent="0.25">
      <c r="A2064" t="e">
        <f>-LqewdPL7bX4LR99ELPv</f>
        <v>#NAME?</v>
      </c>
      <c r="B2064">
        <v>393.75</v>
      </c>
      <c r="C2064">
        <v>20.584240000000001</v>
      </c>
      <c r="D2064">
        <v>54</v>
      </c>
      <c r="E2064">
        <v>0</v>
      </c>
      <c r="F2064">
        <v>0</v>
      </c>
      <c r="G2064">
        <v>37</v>
      </c>
      <c r="H2064" s="4">
        <v>1570531086809</v>
      </c>
      <c r="I2064">
        <v>526.5</v>
      </c>
      <c r="J2064" s="9">
        <f t="shared" si="32"/>
        <v>43746.734801030085</v>
      </c>
      <c r="K2064" s="1"/>
    </row>
    <row r="2065" spans="1:11" x14ac:dyDescent="0.25">
      <c r="A2065" t="e">
        <f>-LqeweyF2aeXl5fIagzl</f>
        <v>#NAME?</v>
      </c>
      <c r="B2065">
        <v>393.75</v>
      </c>
      <c r="C2065">
        <v>20.584240000000001</v>
      </c>
      <c r="D2065">
        <v>54</v>
      </c>
      <c r="E2065">
        <v>0</v>
      </c>
      <c r="F2065">
        <v>0</v>
      </c>
      <c r="G2065">
        <v>27</v>
      </c>
      <c r="H2065" s="4">
        <v>1570531093008</v>
      </c>
      <c r="I2065">
        <v>526.6875</v>
      </c>
      <c r="J2065" s="9">
        <f t="shared" si="32"/>
        <v>43746.734872777779</v>
      </c>
      <c r="K2065" s="1"/>
    </row>
    <row r="2066" spans="1:11" x14ac:dyDescent="0.25">
      <c r="A2066" t="e">
        <f>-LqewggNNBPdeiHsrgKT</f>
        <v>#NAME?</v>
      </c>
      <c r="B2066">
        <v>393.75</v>
      </c>
      <c r="C2066">
        <v>20.584240000000001</v>
      </c>
      <c r="D2066">
        <v>53</v>
      </c>
      <c r="E2066">
        <v>0</v>
      </c>
      <c r="F2066">
        <v>0</v>
      </c>
      <c r="G2066">
        <v>37</v>
      </c>
      <c r="H2066" s="4">
        <v>1570531100217</v>
      </c>
      <c r="I2066">
        <v>526.6875</v>
      </c>
      <c r="J2066" s="9">
        <f t="shared" si="32"/>
        <v>43746.734956215274</v>
      </c>
      <c r="K2066" s="1"/>
    </row>
    <row r="2067" spans="1:11" x14ac:dyDescent="0.25">
      <c r="A2067" t="e">
        <f>-LqewiUEpjq6dgJyFmBM</f>
        <v>#NAME?</v>
      </c>
      <c r="B2067">
        <v>393.75</v>
      </c>
      <c r="C2067">
        <v>20.531590000000001</v>
      </c>
      <c r="D2067">
        <v>52</v>
      </c>
      <c r="E2067">
        <v>0</v>
      </c>
      <c r="F2067">
        <v>0</v>
      </c>
      <c r="G2067">
        <v>36</v>
      </c>
      <c r="H2067" s="4">
        <v>1570531107437</v>
      </c>
      <c r="I2067">
        <v>526.6875</v>
      </c>
      <c r="J2067" s="9">
        <f t="shared" si="32"/>
        <v>43746.735039780091</v>
      </c>
      <c r="K2067" s="1"/>
    </row>
    <row r="2068" spans="1:11" x14ac:dyDescent="0.25">
      <c r="A2068" t="e">
        <f>-LqewkCFNbcyukOwOTtj</f>
        <v>#NAME?</v>
      </c>
      <c r="B2068">
        <v>393.75</v>
      </c>
      <c r="C2068">
        <v>20.584240000000001</v>
      </c>
      <c r="D2068">
        <v>52</v>
      </c>
      <c r="E2068">
        <v>0</v>
      </c>
      <c r="F2068">
        <v>0</v>
      </c>
      <c r="G2068">
        <v>30</v>
      </c>
      <c r="H2068" s="4">
        <v>1570531114647</v>
      </c>
      <c r="I2068">
        <v>526.6875</v>
      </c>
      <c r="J2068" s="9">
        <f t="shared" si="32"/>
        <v>43746.735123229162</v>
      </c>
      <c r="K2068" s="1"/>
    </row>
    <row r="2069" spans="1:11" x14ac:dyDescent="0.25">
      <c r="A2069" t="e">
        <f>-Lqewm-GUBIv8wdGY3j1</f>
        <v>#NAME?</v>
      </c>
      <c r="B2069">
        <v>393.75</v>
      </c>
      <c r="C2069">
        <v>20.531590000000001</v>
      </c>
      <c r="D2069">
        <v>52</v>
      </c>
      <c r="E2069">
        <v>0</v>
      </c>
      <c r="F2069">
        <v>0</v>
      </c>
      <c r="G2069">
        <v>36</v>
      </c>
      <c r="H2069" s="4">
        <v>1570531121858</v>
      </c>
      <c r="I2069">
        <v>526.6875</v>
      </c>
      <c r="J2069" s="9">
        <f t="shared" si="32"/>
        <v>43746.735206689809</v>
      </c>
      <c r="K2069" s="1"/>
    </row>
    <row r="2070" spans="1:11" x14ac:dyDescent="0.25">
      <c r="A2070" t="e">
        <f>-Lqewnh8lVNwoW03lpey</f>
        <v>#NAME?</v>
      </c>
      <c r="B2070">
        <v>393.75</v>
      </c>
      <c r="C2070">
        <v>20.531590000000001</v>
      </c>
      <c r="D2070">
        <v>53</v>
      </c>
      <c r="E2070">
        <v>0</v>
      </c>
      <c r="F2070">
        <v>0</v>
      </c>
      <c r="G2070">
        <v>41</v>
      </c>
      <c r="H2070" s="4">
        <v>1570531129048</v>
      </c>
      <c r="I2070">
        <v>526.6875</v>
      </c>
      <c r="J2070" s="9">
        <f t="shared" si="32"/>
        <v>43746.73528990741</v>
      </c>
      <c r="K2070" s="1"/>
    </row>
    <row r="2071" spans="1:11" x14ac:dyDescent="0.25">
      <c r="A2071" t="e">
        <f>-LqewpHGjyrqbDuNn4W9</f>
        <v>#NAME?</v>
      </c>
      <c r="B2071">
        <v>393.75</v>
      </c>
      <c r="C2071">
        <v>20.584240000000001</v>
      </c>
      <c r="D2071">
        <v>53</v>
      </c>
      <c r="E2071">
        <v>0</v>
      </c>
      <c r="F2071">
        <v>0</v>
      </c>
      <c r="G2071">
        <v>37</v>
      </c>
      <c r="H2071" s="4">
        <v>1570531135247</v>
      </c>
      <c r="I2071">
        <v>526.5</v>
      </c>
      <c r="J2071" s="9">
        <f t="shared" si="32"/>
        <v>43746.73536165509</v>
      </c>
      <c r="K2071" s="1"/>
    </row>
    <row r="2072" spans="1:11" x14ac:dyDescent="0.25">
      <c r="A2072" t="e">
        <f>-Lqewr-GhX0dGcNdFKkb</f>
        <v>#NAME?</v>
      </c>
      <c r="B2072">
        <v>393.75</v>
      </c>
      <c r="C2072">
        <v>20.584240000000001</v>
      </c>
      <c r="D2072">
        <v>56</v>
      </c>
      <c r="E2072">
        <v>0</v>
      </c>
      <c r="F2072">
        <v>0</v>
      </c>
      <c r="G2072">
        <v>31</v>
      </c>
      <c r="H2072" s="4">
        <v>1570531142468</v>
      </c>
      <c r="I2072">
        <v>526.6875</v>
      </c>
      <c r="J2072" s="9">
        <f t="shared" si="32"/>
        <v>43746.735445231483</v>
      </c>
      <c r="K2072" s="1"/>
    </row>
    <row r="2073" spans="1:11" x14ac:dyDescent="0.25">
      <c r="A2073" t="s">
        <v>109</v>
      </c>
      <c r="B2073">
        <v>393.75</v>
      </c>
      <c r="C2073">
        <v>20.531590000000001</v>
      </c>
      <c r="D2073">
        <v>54</v>
      </c>
      <c r="E2073">
        <v>0</v>
      </c>
      <c r="F2073">
        <v>0</v>
      </c>
      <c r="G2073">
        <v>31</v>
      </c>
      <c r="H2073" s="4">
        <v>1570531149677</v>
      </c>
      <c r="I2073">
        <v>526.5</v>
      </c>
      <c r="J2073" s="9">
        <f t="shared" si="32"/>
        <v>43746.735528668978</v>
      </c>
      <c r="K2073" s="1"/>
    </row>
    <row r="2074" spans="1:11" x14ac:dyDescent="0.25">
      <c r="A2074" t="e">
        <f>-LqewulWFax14NLlFyb4</f>
        <v>#NAME?</v>
      </c>
      <c r="B2074">
        <v>393.75</v>
      </c>
      <c r="C2074">
        <v>20.584240000000001</v>
      </c>
      <c r="D2074">
        <v>52</v>
      </c>
      <c r="E2074">
        <v>0</v>
      </c>
      <c r="F2074">
        <v>0</v>
      </c>
      <c r="G2074">
        <v>28</v>
      </c>
      <c r="H2074" s="4">
        <v>1570531157918</v>
      </c>
      <c r="I2074">
        <v>526.6875</v>
      </c>
      <c r="J2074" s="9">
        <f t="shared" si="32"/>
        <v>43746.735624050925</v>
      </c>
      <c r="K2074" s="1"/>
    </row>
    <row r="2075" spans="1:11" x14ac:dyDescent="0.25">
      <c r="A2075" t="e">
        <f>-LqewwJ6UNpcVqmZdSfQ</f>
        <v>#NAME?</v>
      </c>
      <c r="B2075">
        <v>393.75</v>
      </c>
      <c r="C2075">
        <v>20.584240000000001</v>
      </c>
      <c r="D2075">
        <v>52</v>
      </c>
      <c r="E2075">
        <v>0</v>
      </c>
      <c r="F2075">
        <v>0</v>
      </c>
      <c r="G2075">
        <v>32</v>
      </c>
      <c r="H2075" s="4">
        <v>1570531164097</v>
      </c>
      <c r="I2075">
        <v>526.6875</v>
      </c>
      <c r="J2075" s="9">
        <f t="shared" si="32"/>
        <v>43746.735695567128</v>
      </c>
      <c r="K2075" s="1"/>
    </row>
    <row r="2076" spans="1:11" x14ac:dyDescent="0.25">
      <c r="A2076" t="e">
        <f>-LqewxnF9ZQKBOUhmBPJ</f>
        <v>#NAME?</v>
      </c>
      <c r="B2076">
        <v>393.75</v>
      </c>
      <c r="C2076">
        <v>20.584240000000001</v>
      </c>
      <c r="D2076">
        <v>52</v>
      </c>
      <c r="E2076">
        <v>0</v>
      </c>
      <c r="F2076">
        <v>0</v>
      </c>
      <c r="G2076">
        <v>32</v>
      </c>
      <c r="H2076" s="4">
        <v>1570531170278</v>
      </c>
      <c r="I2076">
        <v>526.6875</v>
      </c>
      <c r="J2076" s="9">
        <f t="shared" si="32"/>
        <v>43746.735767106475</v>
      </c>
      <c r="K2076" s="1"/>
    </row>
    <row r="2077" spans="1:11" x14ac:dyDescent="0.25">
      <c r="A2077" t="e">
        <f>-LqewzaFiq8vbmnawp93</f>
        <v>#NAME?</v>
      </c>
      <c r="B2077">
        <v>393.75</v>
      </c>
      <c r="C2077">
        <v>20.584240000000001</v>
      </c>
      <c r="D2077">
        <v>52</v>
      </c>
      <c r="E2077">
        <v>0</v>
      </c>
      <c r="F2077">
        <v>0</v>
      </c>
      <c r="G2077">
        <v>41</v>
      </c>
      <c r="H2077" s="4">
        <v>1570531177488</v>
      </c>
      <c r="I2077">
        <v>526.6875</v>
      </c>
      <c r="J2077" s="9">
        <f t="shared" si="32"/>
        <v>43746.735850555553</v>
      </c>
      <c r="K2077" s="1"/>
    </row>
    <row r="2078" spans="1:11" x14ac:dyDescent="0.25">
      <c r="A2078" t="e">
        <f>-Lqex0cPTkyc1HdMarQw</f>
        <v>#NAME?</v>
      </c>
      <c r="B2078">
        <v>393.75</v>
      </c>
      <c r="C2078">
        <v>20.584240000000001</v>
      </c>
      <c r="D2078">
        <v>52</v>
      </c>
      <c r="E2078">
        <v>0</v>
      </c>
      <c r="F2078">
        <v>0</v>
      </c>
      <c r="G2078">
        <v>37</v>
      </c>
      <c r="H2078" s="4">
        <v>1570531184727</v>
      </c>
      <c r="I2078">
        <v>526.6875</v>
      </c>
      <c r="J2078" s="9">
        <f t="shared" si="32"/>
        <v>43746.735934340271</v>
      </c>
      <c r="K2078" s="1"/>
    </row>
    <row r="2079" spans="1:11" x14ac:dyDescent="0.25">
      <c r="A2079" t="e">
        <f>-Lqex2LRRtiXk3a9hDGD</f>
        <v>#NAME?</v>
      </c>
      <c r="B2079">
        <v>412.5</v>
      </c>
      <c r="C2079">
        <v>20.584240000000001</v>
      </c>
      <c r="D2079">
        <v>52</v>
      </c>
      <c r="E2079">
        <v>0</v>
      </c>
      <c r="F2079">
        <v>0</v>
      </c>
      <c r="G2079">
        <v>40</v>
      </c>
      <c r="H2079" s="4">
        <v>1570531192948</v>
      </c>
      <c r="I2079">
        <v>532.5</v>
      </c>
      <c r="J2079" s="9">
        <f t="shared" si="32"/>
        <v>43746.736029490734</v>
      </c>
      <c r="K2079" s="1"/>
    </row>
    <row r="2080" spans="1:11" x14ac:dyDescent="0.25">
      <c r="A2080" t="e">
        <f>-Lqex43Fxbt3WiNA2bxi</f>
        <v>#NAME?</v>
      </c>
      <c r="B2080">
        <v>393.75</v>
      </c>
      <c r="C2080">
        <v>20.584240000000001</v>
      </c>
      <c r="D2080">
        <v>52</v>
      </c>
      <c r="E2080">
        <v>0</v>
      </c>
      <c r="F2080">
        <v>0</v>
      </c>
      <c r="G2080">
        <v>30</v>
      </c>
      <c r="H2080" s="4">
        <v>1570531200167</v>
      </c>
      <c r="I2080">
        <v>526.6875</v>
      </c>
      <c r="J2080" s="9">
        <f t="shared" si="32"/>
        <v>43746.736113043975</v>
      </c>
      <c r="K2080" s="1"/>
    </row>
    <row r="2081" spans="1:11" x14ac:dyDescent="0.25">
      <c r="A2081" t="e">
        <f>-Lqex5cHeKr87bLb7b56</f>
        <v>#NAME?</v>
      </c>
      <c r="B2081">
        <v>393.75</v>
      </c>
      <c r="C2081">
        <v>20.531590000000001</v>
      </c>
      <c r="D2081">
        <v>52</v>
      </c>
      <c r="E2081">
        <v>0</v>
      </c>
      <c r="F2081">
        <v>0</v>
      </c>
      <c r="G2081">
        <v>33</v>
      </c>
      <c r="H2081" s="4">
        <v>1570531206347</v>
      </c>
      <c r="I2081">
        <v>526.6875</v>
      </c>
      <c r="J2081" s="9">
        <f t="shared" si="32"/>
        <v>43746.736184571761</v>
      </c>
      <c r="K2081" s="1"/>
    </row>
    <row r="2082" spans="1:11" x14ac:dyDescent="0.25">
      <c r="A2082" t="e">
        <f>-Lqex7LFfPPfRaFCVZ67</f>
        <v>#NAME?</v>
      </c>
      <c r="B2082">
        <v>393.75</v>
      </c>
      <c r="C2082">
        <v>20.584240000000001</v>
      </c>
      <c r="D2082">
        <v>51</v>
      </c>
      <c r="E2082">
        <v>0</v>
      </c>
      <c r="F2082">
        <v>0</v>
      </c>
      <c r="G2082">
        <v>42</v>
      </c>
      <c r="H2082" s="4">
        <v>1570531213528</v>
      </c>
      <c r="I2082">
        <v>526.6875</v>
      </c>
      <c r="J2082" s="9">
        <f t="shared" si="32"/>
        <v>43746.736267685184</v>
      </c>
      <c r="K2082" s="1"/>
    </row>
    <row r="2083" spans="1:11" x14ac:dyDescent="0.25">
      <c r="A2083" t="e">
        <f>-Lqex8uGWplLw-efZdSM</f>
        <v>#NAME?</v>
      </c>
      <c r="B2083">
        <v>393.75</v>
      </c>
      <c r="C2083">
        <v>20.584240000000001</v>
      </c>
      <c r="D2083">
        <v>51</v>
      </c>
      <c r="E2083">
        <v>0</v>
      </c>
      <c r="F2083">
        <v>0</v>
      </c>
      <c r="G2083">
        <v>32</v>
      </c>
      <c r="H2083" s="4">
        <v>1570531219748</v>
      </c>
      <c r="I2083">
        <v>526.6875</v>
      </c>
      <c r="J2083" s="9">
        <f t="shared" si="32"/>
        <v>43746.736339675925</v>
      </c>
      <c r="K2083" s="1"/>
    </row>
    <row r="2084" spans="1:11" x14ac:dyDescent="0.25">
      <c r="A2084" t="e">
        <f>-LqexAcFIy491vRlEM8n</f>
        <v>#NAME?</v>
      </c>
      <c r="B2084">
        <v>393.75</v>
      </c>
      <c r="C2084">
        <v>20.531590000000001</v>
      </c>
      <c r="D2084">
        <v>50</v>
      </c>
      <c r="E2084">
        <v>0</v>
      </c>
      <c r="F2084">
        <v>0</v>
      </c>
      <c r="G2084">
        <v>38</v>
      </c>
      <c r="H2084" s="4">
        <v>1570531226968</v>
      </c>
      <c r="I2084">
        <v>526.6875</v>
      </c>
      <c r="J2084" s="9">
        <f t="shared" si="32"/>
        <v>43746.736423240734</v>
      </c>
      <c r="K2084" s="1"/>
    </row>
    <row r="2085" spans="1:11" x14ac:dyDescent="0.25">
      <c r="A2085" t="e">
        <f>-LqexCfM1OYmwJgpWNlv</f>
        <v>#NAME?</v>
      </c>
      <c r="B2085">
        <v>393.75</v>
      </c>
      <c r="C2085">
        <v>20.584240000000001</v>
      </c>
      <c r="D2085">
        <v>51</v>
      </c>
      <c r="E2085">
        <v>0</v>
      </c>
      <c r="F2085">
        <v>0</v>
      </c>
      <c r="G2085">
        <v>29</v>
      </c>
      <c r="H2085" s="4">
        <v>1570531234167</v>
      </c>
      <c r="I2085">
        <v>526.6875</v>
      </c>
      <c r="J2085" s="9">
        <f t="shared" si="32"/>
        <v>43746.736506562498</v>
      </c>
      <c r="K2085" s="1"/>
    </row>
    <row r="2086" spans="1:11" x14ac:dyDescent="0.25">
      <c r="A2086" t="e">
        <f>-LqexENRzg5ZhF3hZwrt</f>
        <v>#NAME?</v>
      </c>
      <c r="B2086">
        <v>393.75</v>
      </c>
      <c r="C2086">
        <v>20.584240000000001</v>
      </c>
      <c r="D2086">
        <v>51</v>
      </c>
      <c r="E2086">
        <v>0</v>
      </c>
      <c r="F2086">
        <v>0</v>
      </c>
      <c r="G2086">
        <v>41</v>
      </c>
      <c r="H2086" s="4">
        <v>1570531242407</v>
      </c>
      <c r="I2086">
        <v>526.6875</v>
      </c>
      <c r="J2086" s="9">
        <f t="shared" si="32"/>
        <v>43746.736601932869</v>
      </c>
      <c r="K2086" s="1"/>
    </row>
    <row r="2087" spans="1:11" x14ac:dyDescent="0.25">
      <c r="A2087" t="e">
        <f>-LqexFwGs-FnvJ_6weB0</f>
        <v>#NAME?</v>
      </c>
      <c r="B2087">
        <v>393.75</v>
      </c>
      <c r="C2087">
        <v>20.584240000000001</v>
      </c>
      <c r="D2087">
        <v>51</v>
      </c>
      <c r="E2087">
        <v>0</v>
      </c>
      <c r="F2087">
        <v>0</v>
      </c>
      <c r="G2087">
        <v>38</v>
      </c>
      <c r="H2087" s="4">
        <v>1570531248588</v>
      </c>
      <c r="I2087">
        <v>526.6875</v>
      </c>
      <c r="J2087" s="9">
        <f t="shared" si="32"/>
        <v>43746.736673472224</v>
      </c>
      <c r="K2087" s="1"/>
    </row>
    <row r="2088" spans="1:11" x14ac:dyDescent="0.25">
      <c r="A2088" t="e">
        <f>-LqexHeEmhBF1CI51BdT</f>
        <v>#NAME?</v>
      </c>
      <c r="B2088">
        <v>393.75</v>
      </c>
      <c r="C2088">
        <v>20.584240000000001</v>
      </c>
      <c r="D2088">
        <v>52</v>
      </c>
      <c r="E2088">
        <v>0</v>
      </c>
      <c r="F2088">
        <v>0</v>
      </c>
      <c r="G2088">
        <v>39</v>
      </c>
      <c r="H2088" s="4">
        <v>1570531255778</v>
      </c>
      <c r="I2088">
        <v>526.6875</v>
      </c>
      <c r="J2088" s="9">
        <f t="shared" si="32"/>
        <v>43746.73675668981</v>
      </c>
      <c r="K2088" s="1"/>
    </row>
    <row r="2089" spans="1:11" x14ac:dyDescent="0.25">
      <c r="A2089" t="e">
        <f>-LqexJQsLJiCurzpMnH4</f>
        <v>#NAME?</v>
      </c>
      <c r="B2089">
        <v>393.75</v>
      </c>
      <c r="C2089">
        <v>20.531590000000001</v>
      </c>
      <c r="D2089">
        <v>52</v>
      </c>
      <c r="E2089">
        <v>0</v>
      </c>
      <c r="F2089">
        <v>0</v>
      </c>
      <c r="G2089">
        <v>35</v>
      </c>
      <c r="H2089" s="4">
        <v>1570531261960</v>
      </c>
      <c r="I2089">
        <v>526.6875</v>
      </c>
      <c r="J2089" s="9">
        <f t="shared" si="32"/>
        <v>43746.736828240733</v>
      </c>
      <c r="K2089" s="1"/>
    </row>
    <row r="2090" spans="1:11" x14ac:dyDescent="0.25">
      <c r="A2090" t="s">
        <v>110</v>
      </c>
      <c r="B2090">
        <v>393.75</v>
      </c>
      <c r="C2090">
        <v>20.584240000000001</v>
      </c>
      <c r="D2090">
        <v>52</v>
      </c>
      <c r="E2090">
        <v>0</v>
      </c>
      <c r="F2090">
        <v>0</v>
      </c>
      <c r="G2090">
        <v>31</v>
      </c>
      <c r="H2090" s="4">
        <v>1570531270227</v>
      </c>
      <c r="I2090">
        <v>526.6875</v>
      </c>
      <c r="J2090" s="9">
        <f t="shared" si="32"/>
        <v>43746.736923923607</v>
      </c>
      <c r="K2090" s="1"/>
    </row>
    <row r="2091" spans="1:11" x14ac:dyDescent="0.25">
      <c r="A2091" t="e">
        <f>-LqexMjEeHNbzbPBqldC</f>
        <v>#NAME?</v>
      </c>
      <c r="B2091">
        <v>393.75</v>
      </c>
      <c r="C2091">
        <v>20.584240000000001</v>
      </c>
      <c r="D2091">
        <v>52</v>
      </c>
      <c r="E2091">
        <v>0</v>
      </c>
      <c r="F2091">
        <v>0</v>
      </c>
      <c r="G2091">
        <v>35</v>
      </c>
      <c r="H2091" s="4">
        <v>1570531276406</v>
      </c>
      <c r="I2091">
        <v>526.6875</v>
      </c>
      <c r="J2091" s="9">
        <f t="shared" si="32"/>
        <v>43746.736995439809</v>
      </c>
      <c r="K2091" s="1"/>
    </row>
    <row r="2092" spans="1:11" x14ac:dyDescent="0.25">
      <c r="A2092" t="e">
        <f>-LqexOSGzmsAS9NOUW2l</f>
        <v>#NAME?</v>
      </c>
      <c r="B2092">
        <v>412.5</v>
      </c>
      <c r="C2092">
        <v>20.531590000000001</v>
      </c>
      <c r="D2092">
        <v>51</v>
      </c>
      <c r="E2092">
        <v>0</v>
      </c>
      <c r="F2092">
        <v>0</v>
      </c>
      <c r="G2092">
        <v>30</v>
      </c>
      <c r="H2092" s="4">
        <v>1570531283611</v>
      </c>
      <c r="I2092">
        <v>532.3125</v>
      </c>
      <c r="J2092" s="9">
        <f t="shared" si="32"/>
        <v>43746.737078831015</v>
      </c>
      <c r="K2092" s="1"/>
    </row>
    <row r="2093" spans="1:11" x14ac:dyDescent="0.25">
      <c r="A2093" t="e">
        <f>-LqexQZ5JJN9Dxpzu3hK</f>
        <v>#NAME?</v>
      </c>
      <c r="B2093">
        <v>393.75</v>
      </c>
      <c r="C2093">
        <v>20.584240000000001</v>
      </c>
      <c r="D2093">
        <v>52</v>
      </c>
      <c r="E2093">
        <v>0</v>
      </c>
      <c r="F2093">
        <v>0</v>
      </c>
      <c r="G2093">
        <v>32</v>
      </c>
      <c r="H2093" s="4">
        <v>1570531290838</v>
      </c>
      <c r="I2093">
        <v>526.6875</v>
      </c>
      <c r="J2093" s="9">
        <f t="shared" si="32"/>
        <v>43746.737162476849</v>
      </c>
      <c r="K2093" s="1"/>
    </row>
    <row r="2094" spans="1:11" x14ac:dyDescent="0.25">
      <c r="A2094" t="e">
        <f>-LqexSHEhnAaHfSHFfcV</f>
        <v>#NAME?</v>
      </c>
      <c r="B2094">
        <v>393.75</v>
      </c>
      <c r="C2094">
        <v>20.584240000000001</v>
      </c>
      <c r="D2094">
        <v>52</v>
      </c>
      <c r="E2094">
        <v>0</v>
      </c>
      <c r="F2094">
        <v>0</v>
      </c>
      <c r="G2094">
        <v>34</v>
      </c>
      <c r="H2094" s="4">
        <v>1570531299077</v>
      </c>
      <c r="I2094">
        <v>526.6875</v>
      </c>
      <c r="J2094" s="9">
        <f t="shared" si="32"/>
        <v>43746.737257835644</v>
      </c>
      <c r="K2094" s="1"/>
    </row>
    <row r="2095" spans="1:11" x14ac:dyDescent="0.25">
      <c r="A2095" t="e">
        <f>-LqexU-F5kRwXdN5JpOe</f>
        <v>#NAME?</v>
      </c>
      <c r="B2095">
        <v>393.75</v>
      </c>
      <c r="C2095">
        <v>20.584240000000001</v>
      </c>
      <c r="D2095">
        <v>52</v>
      </c>
      <c r="E2095">
        <v>0</v>
      </c>
      <c r="F2095">
        <v>0</v>
      </c>
      <c r="G2095">
        <v>39</v>
      </c>
      <c r="H2095" s="4">
        <v>1570531306286</v>
      </c>
      <c r="I2095">
        <v>526.6875</v>
      </c>
      <c r="J2095" s="9">
        <f t="shared" si="32"/>
        <v>43746.737341273147</v>
      </c>
      <c r="K2095" s="1"/>
    </row>
    <row r="2096" spans="1:11" x14ac:dyDescent="0.25">
      <c r="A2096" t="e">
        <f>-LqexVn5pGKQ5lJOI-#REF!</f>
        <v>#NAME?</v>
      </c>
      <c r="B2096">
        <v>393.75</v>
      </c>
      <c r="C2096">
        <v>20.531590000000001</v>
      </c>
      <c r="D2096">
        <v>49</v>
      </c>
      <c r="E2096">
        <v>0</v>
      </c>
      <c r="F2096">
        <v>0</v>
      </c>
      <c r="G2096">
        <v>33</v>
      </c>
      <c r="H2096" s="4">
        <v>1570531313496</v>
      </c>
      <c r="I2096">
        <v>526.6875</v>
      </c>
      <c r="J2096" s="9">
        <f t="shared" si="32"/>
        <v>43746.737424722225</v>
      </c>
      <c r="K2096" s="1"/>
    </row>
    <row r="2097" spans="1:11" x14ac:dyDescent="0.25">
      <c r="A2097" t="e">
        <f>-LqexXpYXAKDmoL35csc</f>
        <v>#NAME?</v>
      </c>
      <c r="B2097">
        <v>393.75</v>
      </c>
      <c r="C2097">
        <v>20.531590000000001</v>
      </c>
      <c r="D2097">
        <v>49</v>
      </c>
      <c r="E2097">
        <v>0</v>
      </c>
      <c r="F2097">
        <v>0</v>
      </c>
      <c r="G2097">
        <v>35</v>
      </c>
      <c r="H2097" s="4">
        <v>1570531322061</v>
      </c>
      <c r="I2097">
        <v>526.6875</v>
      </c>
      <c r="J2097" s="9">
        <f t="shared" si="32"/>
        <v>43746.737523854164</v>
      </c>
      <c r="K2097" s="1"/>
    </row>
    <row r="2098" spans="1:11" x14ac:dyDescent="0.25">
      <c r="A2098" t="e">
        <f>-LqexZY58mLOZMyrum19</f>
        <v>#NAME?</v>
      </c>
      <c r="B2098">
        <v>400</v>
      </c>
      <c r="C2098">
        <v>20.584240000000001</v>
      </c>
      <c r="D2098">
        <v>51</v>
      </c>
      <c r="E2098">
        <v>0</v>
      </c>
      <c r="F2098">
        <v>0</v>
      </c>
      <c r="G2098">
        <v>36</v>
      </c>
      <c r="H2098" s="4">
        <v>1570531328958</v>
      </c>
      <c r="I2098">
        <v>528.5625</v>
      </c>
      <c r="J2098" s="9">
        <f t="shared" si="32"/>
        <v>43746.737603680558</v>
      </c>
      <c r="K2098" s="1"/>
    </row>
    <row r="2099" spans="1:11" x14ac:dyDescent="0.25">
      <c r="A2099" t="e">
        <f>-LqexaLEzwfOw_zjsJpx</f>
        <v>#NAME?</v>
      </c>
      <c r="B2099">
        <v>393.75</v>
      </c>
      <c r="C2099">
        <v>20.584240000000001</v>
      </c>
      <c r="D2099">
        <v>51</v>
      </c>
      <c r="E2099">
        <v>0</v>
      </c>
      <c r="F2099">
        <v>0</v>
      </c>
      <c r="G2099">
        <v>35</v>
      </c>
      <c r="H2099" s="4">
        <v>1570531336276</v>
      </c>
      <c r="I2099">
        <v>526.6875</v>
      </c>
      <c r="J2099" s="9">
        <f t="shared" si="32"/>
        <v>43746.737688379631</v>
      </c>
      <c r="K2099" s="1"/>
    </row>
    <row r="2100" spans="1:11" x14ac:dyDescent="0.25">
      <c r="A2100" t="e">
        <f>-Lqexc3EEeKx8JDf6nwU</f>
        <v>#NAME?</v>
      </c>
      <c r="B2100">
        <v>393.75</v>
      </c>
      <c r="C2100">
        <v>20.584240000000001</v>
      </c>
      <c r="D2100">
        <v>50</v>
      </c>
      <c r="E2100">
        <v>0</v>
      </c>
      <c r="F2100">
        <v>0</v>
      </c>
      <c r="G2100">
        <v>36</v>
      </c>
      <c r="H2100" s="4">
        <v>1570531343380</v>
      </c>
      <c r="I2100">
        <v>526.6875</v>
      </c>
      <c r="J2100" s="9">
        <f t="shared" si="32"/>
        <v>43746.737770601852</v>
      </c>
      <c r="K2100" s="1"/>
    </row>
    <row r="2101" spans="1:11" x14ac:dyDescent="0.25">
      <c r="A2101" t="e">
        <f>-LqexdZCymI91uDO-VgO</f>
        <v>#NAME?</v>
      </c>
      <c r="B2101">
        <v>393.75</v>
      </c>
      <c r="C2101">
        <v>20.584240000000001</v>
      </c>
      <c r="D2101">
        <v>52</v>
      </c>
      <c r="E2101">
        <v>0</v>
      </c>
      <c r="F2101">
        <v>0</v>
      </c>
      <c r="G2101">
        <v>38</v>
      </c>
      <c r="H2101" s="4">
        <v>1570531349536</v>
      </c>
      <c r="I2101">
        <v>526.5</v>
      </c>
      <c r="J2101" s="9">
        <f t="shared" si="32"/>
        <v>43746.737841851849</v>
      </c>
      <c r="K2101" s="1"/>
    </row>
    <row r="2102" spans="1:11" x14ac:dyDescent="0.25">
      <c r="A2102" t="e">
        <f>-Lqexf6FmmYXBuvg3vUO</f>
        <v>#NAME?</v>
      </c>
      <c r="B2102">
        <v>393.75</v>
      </c>
      <c r="C2102">
        <v>20.584240000000001</v>
      </c>
      <c r="D2102">
        <v>52</v>
      </c>
      <c r="E2102">
        <v>0</v>
      </c>
      <c r="F2102">
        <v>0</v>
      </c>
      <c r="G2102">
        <v>36</v>
      </c>
      <c r="H2102" s="4">
        <v>1570531355717</v>
      </c>
      <c r="I2102">
        <v>526.6875</v>
      </c>
      <c r="J2102" s="9">
        <f t="shared" si="32"/>
        <v>43746.737913391196</v>
      </c>
      <c r="K2102" s="1"/>
    </row>
    <row r="2103" spans="1:11" x14ac:dyDescent="0.25">
      <c r="A2103" t="e">
        <f>-Lqexgp8cC4YG519VFdH</f>
        <v>#NAME?</v>
      </c>
      <c r="B2103">
        <v>393.75</v>
      </c>
      <c r="C2103">
        <v>20.584240000000001</v>
      </c>
      <c r="D2103">
        <v>51</v>
      </c>
      <c r="E2103">
        <v>0</v>
      </c>
      <c r="F2103">
        <v>0</v>
      </c>
      <c r="G2103">
        <v>33</v>
      </c>
      <c r="H2103" s="4">
        <v>1570531362966</v>
      </c>
      <c r="I2103">
        <v>526.6875</v>
      </c>
      <c r="J2103" s="9">
        <f t="shared" si="32"/>
        <v>43746.737997291661</v>
      </c>
      <c r="K2103" s="1"/>
    </row>
    <row r="2104" spans="1:11" x14ac:dyDescent="0.25">
      <c r="A2104" t="s">
        <v>111</v>
      </c>
      <c r="B2104">
        <v>393.75</v>
      </c>
      <c r="C2104">
        <v>20.584240000000001</v>
      </c>
      <c r="D2104">
        <v>50</v>
      </c>
      <c r="E2104">
        <v>0</v>
      </c>
      <c r="F2104">
        <v>0</v>
      </c>
      <c r="G2104">
        <v>31</v>
      </c>
      <c r="H2104" s="4">
        <v>1570531369138</v>
      </c>
      <c r="I2104">
        <v>526.6875</v>
      </c>
      <c r="J2104" s="9">
        <f t="shared" si="32"/>
        <v>43746.738068726852</v>
      </c>
      <c r="K2104" s="1"/>
    </row>
    <row r="2105" spans="1:11" x14ac:dyDescent="0.25">
      <c r="A2105" t="e">
        <f>-Lqexk6QhGwDvyPk_z6D</f>
        <v>#NAME?</v>
      </c>
      <c r="B2105">
        <v>393.75</v>
      </c>
      <c r="C2105">
        <v>20.531590000000001</v>
      </c>
      <c r="D2105">
        <v>50</v>
      </c>
      <c r="E2105">
        <v>0</v>
      </c>
      <c r="F2105">
        <v>0</v>
      </c>
      <c r="G2105">
        <v>31</v>
      </c>
      <c r="H2105" s="4">
        <v>1570531376346</v>
      </c>
      <c r="I2105">
        <v>526.6875</v>
      </c>
      <c r="J2105" s="9">
        <f t="shared" si="32"/>
        <v>43746.738152152779</v>
      </c>
      <c r="K2105" s="1"/>
    </row>
    <row r="2106" spans="1:11" x14ac:dyDescent="0.25">
      <c r="A2106" t="e">
        <f>-LqexluEKboQxznucedr</f>
        <v>#NAME?</v>
      </c>
      <c r="B2106">
        <v>393.75</v>
      </c>
      <c r="C2106">
        <v>20.584240000000001</v>
      </c>
      <c r="D2106">
        <v>49</v>
      </c>
      <c r="E2106">
        <v>0</v>
      </c>
      <c r="F2106">
        <v>0</v>
      </c>
      <c r="G2106">
        <v>42</v>
      </c>
      <c r="H2106" s="4">
        <v>1570531383558</v>
      </c>
      <c r="I2106">
        <v>526.6875</v>
      </c>
      <c r="J2106" s="9">
        <f t="shared" si="32"/>
        <v>43746.738235624995</v>
      </c>
      <c r="K2106" s="1"/>
    </row>
    <row r="2107" spans="1:11" x14ac:dyDescent="0.25">
      <c r="A2107" t="e">
        <f>-Lqexnc5AqnTiETTAWkS</f>
        <v>#NAME?</v>
      </c>
      <c r="B2107">
        <v>393.75</v>
      </c>
      <c r="C2107">
        <v>20.584240000000001</v>
      </c>
      <c r="D2107">
        <v>49</v>
      </c>
      <c r="E2107">
        <v>0</v>
      </c>
      <c r="F2107">
        <v>0</v>
      </c>
      <c r="G2107">
        <v>40</v>
      </c>
      <c r="H2107" s="4">
        <v>1570531390778</v>
      </c>
      <c r="I2107">
        <v>526.6875</v>
      </c>
      <c r="J2107" s="9">
        <f t="shared" si="32"/>
        <v>43746.738319189812</v>
      </c>
      <c r="K2107" s="1"/>
    </row>
    <row r="2108" spans="1:11" x14ac:dyDescent="0.25">
      <c r="A2108" t="e">
        <f>-Lqexp7UKx1F1CuL2heV</f>
        <v>#NAME?</v>
      </c>
      <c r="B2108">
        <v>393.75</v>
      </c>
      <c r="C2108">
        <v>20.531590000000001</v>
      </c>
      <c r="D2108">
        <v>49</v>
      </c>
      <c r="E2108">
        <v>0</v>
      </c>
      <c r="F2108">
        <v>0</v>
      </c>
      <c r="G2108">
        <v>40</v>
      </c>
      <c r="H2108" s="4">
        <v>1570531396955</v>
      </c>
      <c r="I2108">
        <v>526.6875</v>
      </c>
      <c r="J2108" s="9">
        <f t="shared" si="32"/>
        <v>43746.738390682869</v>
      </c>
      <c r="K2108" s="1"/>
    </row>
    <row r="2109" spans="1:11" x14ac:dyDescent="0.25">
      <c r="A2109" t="e">
        <f>-LqexqfEnuLdcoL3342Z</f>
        <v>#NAME?</v>
      </c>
      <c r="B2109">
        <v>393.75</v>
      </c>
      <c r="C2109">
        <v>20.584240000000001</v>
      </c>
      <c r="D2109">
        <v>49</v>
      </c>
      <c r="E2109">
        <v>0</v>
      </c>
      <c r="F2109">
        <v>0</v>
      </c>
      <c r="G2109">
        <v>37</v>
      </c>
      <c r="H2109" s="4">
        <v>1570531403138</v>
      </c>
      <c r="I2109">
        <v>526.6875</v>
      </c>
      <c r="J2109" s="9">
        <f t="shared" si="32"/>
        <v>43746.738462245368</v>
      </c>
      <c r="K2109" s="1"/>
    </row>
    <row r="2110" spans="1:11" x14ac:dyDescent="0.25">
      <c r="A2110" t="e">
        <f>-LqexsPLJJxs2EVMu95u</f>
        <v>#NAME?</v>
      </c>
      <c r="B2110">
        <v>393.75</v>
      </c>
      <c r="C2110">
        <v>20.584240000000001</v>
      </c>
      <c r="D2110">
        <v>49</v>
      </c>
      <c r="E2110">
        <v>0</v>
      </c>
      <c r="F2110">
        <v>0</v>
      </c>
      <c r="G2110">
        <v>46</v>
      </c>
      <c r="H2110" s="4">
        <v>1570531410326</v>
      </c>
      <c r="I2110">
        <v>526.6875</v>
      </c>
      <c r="J2110" s="9">
        <f t="shared" si="32"/>
        <v>43746.73854543981</v>
      </c>
      <c r="K2110" s="1"/>
    </row>
    <row r="2111" spans="1:11" x14ac:dyDescent="0.25">
      <c r="A2111" t="e">
        <f>-LqextxEn-WOGP-Bb77d</f>
        <v>#NAME?</v>
      </c>
      <c r="B2111">
        <v>393.75</v>
      </c>
      <c r="C2111">
        <v>20.584240000000001</v>
      </c>
      <c r="D2111">
        <v>51</v>
      </c>
      <c r="E2111">
        <v>0</v>
      </c>
      <c r="F2111">
        <v>0</v>
      </c>
      <c r="G2111">
        <v>40</v>
      </c>
      <c r="H2111" s="4">
        <v>1570531416526</v>
      </c>
      <c r="I2111">
        <v>526.6875</v>
      </c>
      <c r="J2111" s="9">
        <f t="shared" si="32"/>
        <v>43746.738617199073</v>
      </c>
      <c r="K2111" s="1"/>
    </row>
    <row r="2112" spans="1:11" x14ac:dyDescent="0.25">
      <c r="A2112" t="e">
        <f>-LqexvkFZ1ZD_22XdZO8</f>
        <v>#NAME?</v>
      </c>
      <c r="B2112">
        <v>393.75</v>
      </c>
      <c r="C2112">
        <v>20.584240000000001</v>
      </c>
      <c r="D2112">
        <v>50</v>
      </c>
      <c r="E2112">
        <v>0</v>
      </c>
      <c r="F2112">
        <v>0</v>
      </c>
      <c r="G2112">
        <v>36</v>
      </c>
      <c r="H2112" s="4">
        <v>1570531423746</v>
      </c>
      <c r="I2112">
        <v>526.6875</v>
      </c>
      <c r="J2112" s="9">
        <f t="shared" si="32"/>
        <v>43746.738700763883</v>
      </c>
      <c r="K2112" s="1"/>
    </row>
    <row r="2113" spans="1:11" x14ac:dyDescent="0.25">
      <c r="A2113" t="e">
        <f>-LqexxTEa7pKSd0fz4jp</f>
        <v>#NAME?</v>
      </c>
      <c r="B2113">
        <v>393.75</v>
      </c>
      <c r="C2113">
        <v>20.584240000000001</v>
      </c>
      <c r="D2113">
        <v>51</v>
      </c>
      <c r="E2113">
        <v>0</v>
      </c>
      <c r="F2113">
        <v>0</v>
      </c>
      <c r="G2113">
        <v>34</v>
      </c>
      <c r="H2113" s="4">
        <v>1570531430957</v>
      </c>
      <c r="I2113">
        <v>526.6875</v>
      </c>
      <c r="J2113" s="9">
        <f t="shared" si="32"/>
        <v>43746.73878422453</v>
      </c>
      <c r="K2113" s="1"/>
    </row>
    <row r="2114" spans="1:11" x14ac:dyDescent="0.25">
      <c r="A2114" t="e">
        <f>-LqexzBFtpDHgHCzQuuf</f>
        <v>#NAME?</v>
      </c>
      <c r="B2114">
        <v>393.75</v>
      </c>
      <c r="C2114">
        <v>20.531590000000001</v>
      </c>
      <c r="D2114">
        <v>51</v>
      </c>
      <c r="E2114">
        <v>0</v>
      </c>
      <c r="F2114">
        <v>0</v>
      </c>
      <c r="G2114">
        <v>37</v>
      </c>
      <c r="H2114" s="4">
        <v>1570531438168</v>
      </c>
      <c r="I2114">
        <v>526.6875</v>
      </c>
      <c r="J2114" s="9">
        <f t="shared" si="32"/>
        <v>43746.738867685184</v>
      </c>
      <c r="K2114" s="1"/>
    </row>
    <row r="2115" spans="1:11" x14ac:dyDescent="0.25">
      <c r="A2115" t="e">
        <f>-Lqey-zFCJs74JnOBddX</f>
        <v>#NAME?</v>
      </c>
      <c r="B2115">
        <v>393.75</v>
      </c>
      <c r="C2115">
        <v>20.584240000000001</v>
      </c>
      <c r="D2115">
        <v>51</v>
      </c>
      <c r="E2115">
        <v>0</v>
      </c>
      <c r="F2115">
        <v>0</v>
      </c>
      <c r="G2115">
        <v>32</v>
      </c>
      <c r="H2115" s="4">
        <v>1570531445377</v>
      </c>
      <c r="I2115">
        <v>526.6875</v>
      </c>
      <c r="J2115" s="9">
        <f t="shared" ref="J2115:J2178" si="33">(H2115/86400000)+25569+(7/24)</f>
        <v>43746.738951122687</v>
      </c>
      <c r="K2115" s="1"/>
    </row>
    <row r="2116" spans="1:11" x14ac:dyDescent="0.25">
      <c r="A2116" t="e">
        <f>-Lqey1hOeKnzhEr6FcVi</f>
        <v>#NAME?</v>
      </c>
      <c r="B2116">
        <v>393.75</v>
      </c>
      <c r="C2116">
        <v>20.584240000000001</v>
      </c>
      <c r="D2116">
        <v>52</v>
      </c>
      <c r="E2116">
        <v>0</v>
      </c>
      <c r="F2116">
        <v>0</v>
      </c>
      <c r="G2116">
        <v>35</v>
      </c>
      <c r="H2116" s="4">
        <v>1570531452568</v>
      </c>
      <c r="I2116">
        <v>526.6875</v>
      </c>
      <c r="J2116" s="9">
        <f t="shared" si="33"/>
        <v>43746.739034351849</v>
      </c>
      <c r="K2116" s="1"/>
    </row>
    <row r="2117" spans="1:11" x14ac:dyDescent="0.25">
      <c r="A2117" t="s">
        <v>112</v>
      </c>
      <c r="B2117">
        <v>412.5</v>
      </c>
      <c r="C2117">
        <v>20.584240000000001</v>
      </c>
      <c r="D2117">
        <v>52</v>
      </c>
      <c r="E2117">
        <v>0</v>
      </c>
      <c r="F2117">
        <v>0</v>
      </c>
      <c r="G2117">
        <v>42</v>
      </c>
      <c r="H2117" s="4">
        <v>1570531458768</v>
      </c>
      <c r="I2117">
        <v>532.125</v>
      </c>
      <c r="J2117" s="9">
        <f t="shared" si="33"/>
        <v>43746.739106111105</v>
      </c>
      <c r="K2117" s="1"/>
    </row>
    <row r="2118" spans="1:11" x14ac:dyDescent="0.25">
      <c r="A2118" t="e">
        <f>-Lqey4gN1OBUwCIGPcEX</f>
        <v>#NAME?</v>
      </c>
      <c r="B2118">
        <v>393.75</v>
      </c>
      <c r="C2118">
        <v>20.584240000000001</v>
      </c>
      <c r="D2118">
        <v>52</v>
      </c>
      <c r="E2118">
        <v>0</v>
      </c>
      <c r="F2118">
        <v>0</v>
      </c>
      <c r="G2118">
        <v>37</v>
      </c>
      <c r="H2118" s="4">
        <v>1570531464956</v>
      </c>
      <c r="I2118">
        <v>526.6875</v>
      </c>
      <c r="J2118" s="9">
        <f t="shared" si="33"/>
        <v>43746.739177731484</v>
      </c>
      <c r="K2118" s="1"/>
    </row>
    <row r="2119" spans="1:11" x14ac:dyDescent="0.25">
      <c r="A2119" t="s">
        <v>113</v>
      </c>
      <c r="B2119">
        <v>393.75</v>
      </c>
      <c r="C2119">
        <v>20.584240000000001</v>
      </c>
      <c r="D2119">
        <v>52</v>
      </c>
      <c r="E2119">
        <v>0</v>
      </c>
      <c r="F2119">
        <v>0</v>
      </c>
      <c r="G2119">
        <v>41</v>
      </c>
      <c r="H2119" s="4">
        <v>1570531471128</v>
      </c>
      <c r="I2119">
        <v>526.6875</v>
      </c>
      <c r="J2119" s="9">
        <f t="shared" si="33"/>
        <v>43746.739249166661</v>
      </c>
      <c r="K2119" s="1"/>
    </row>
    <row r="2120" spans="1:11" x14ac:dyDescent="0.25">
      <c r="A2120" t="e">
        <f>-Lqey816_XSD4YTsw8fK</f>
        <v>#NAME?</v>
      </c>
      <c r="B2120">
        <v>393.75</v>
      </c>
      <c r="C2120">
        <v>20.584240000000001</v>
      </c>
      <c r="D2120">
        <v>52</v>
      </c>
      <c r="E2120">
        <v>0</v>
      </c>
      <c r="F2120">
        <v>0</v>
      </c>
      <c r="G2120">
        <v>39</v>
      </c>
      <c r="H2120" s="4">
        <v>1570531478347</v>
      </c>
      <c r="I2120">
        <v>526.6875</v>
      </c>
      <c r="J2120" s="9">
        <f t="shared" si="33"/>
        <v>43746.739332719902</v>
      </c>
      <c r="K2120" s="1"/>
    </row>
    <row r="2121" spans="1:11" x14ac:dyDescent="0.25">
      <c r="A2121" t="e">
        <f>-Lqey9WGkDaJvvzjQTNE</f>
        <v>#NAME?</v>
      </c>
      <c r="B2121">
        <v>393.75</v>
      </c>
      <c r="C2121">
        <v>20.531590000000001</v>
      </c>
      <c r="D2121">
        <v>52</v>
      </c>
      <c r="E2121">
        <v>0</v>
      </c>
      <c r="F2121">
        <v>0</v>
      </c>
      <c r="G2121">
        <v>39</v>
      </c>
      <c r="H2121" s="4">
        <v>1570531484527</v>
      </c>
      <c r="I2121">
        <v>526.6875</v>
      </c>
      <c r="J2121" s="9">
        <f t="shared" si="33"/>
        <v>43746.739404247688</v>
      </c>
      <c r="K2121" s="1"/>
    </row>
    <row r="2122" spans="1:11" x14ac:dyDescent="0.25">
      <c r="A2122" t="e">
        <f>-LqeyBJFjsDq5o4pDmEz</f>
        <v>#NAME?</v>
      </c>
      <c r="B2122">
        <v>393.75</v>
      </c>
      <c r="C2122">
        <v>20.584240000000001</v>
      </c>
      <c r="D2122">
        <v>52</v>
      </c>
      <c r="E2122">
        <v>0</v>
      </c>
      <c r="F2122">
        <v>0</v>
      </c>
      <c r="G2122">
        <v>34</v>
      </c>
      <c r="H2122" s="4">
        <v>1570531491738</v>
      </c>
      <c r="I2122">
        <v>526.6875</v>
      </c>
      <c r="J2122" s="9">
        <f t="shared" si="33"/>
        <v>43746.739487708335</v>
      </c>
      <c r="K2122" s="1"/>
    </row>
    <row r="2123" spans="1:11" x14ac:dyDescent="0.25">
      <c r="A2123" t="e">
        <f>-LqeyD1FfHEGwsFrskVG</f>
        <v>#NAME?</v>
      </c>
      <c r="B2123">
        <v>393.75</v>
      </c>
      <c r="C2123">
        <v>20.531590000000001</v>
      </c>
      <c r="D2123">
        <v>53</v>
      </c>
      <c r="E2123">
        <v>0</v>
      </c>
      <c r="F2123">
        <v>0</v>
      </c>
      <c r="G2123">
        <v>41</v>
      </c>
      <c r="H2123" s="4">
        <v>1570531498966</v>
      </c>
      <c r="I2123">
        <v>526.6875</v>
      </c>
      <c r="J2123" s="9">
        <f t="shared" si="33"/>
        <v>43746.739571365739</v>
      </c>
      <c r="K2123" s="1"/>
    </row>
    <row r="2124" spans="1:11" x14ac:dyDescent="0.25">
      <c r="A2124" t="e">
        <f>-LqeyEpY67YLL6v8c_Cd</f>
        <v>#NAME?</v>
      </c>
      <c r="B2124">
        <v>393.75</v>
      </c>
      <c r="C2124">
        <v>20.584240000000001</v>
      </c>
      <c r="D2124">
        <v>53</v>
      </c>
      <c r="E2124">
        <v>0</v>
      </c>
      <c r="F2124">
        <v>0</v>
      </c>
      <c r="G2124">
        <v>38</v>
      </c>
      <c r="H2124" s="4">
        <v>1570531506167</v>
      </c>
      <c r="I2124">
        <v>526.5</v>
      </c>
      <c r="J2124" s="9">
        <f t="shared" si="33"/>
        <v>43746.739654710647</v>
      </c>
      <c r="K2124" s="1"/>
    </row>
    <row r="2125" spans="1:11" x14ac:dyDescent="0.25">
      <c r="A2125" t="e">
        <f>-LqeyGYPjoJ_LoCD291h</f>
        <v>#NAME?</v>
      </c>
      <c r="B2125">
        <v>393.75</v>
      </c>
      <c r="C2125">
        <v>20.584240000000001</v>
      </c>
      <c r="D2125">
        <v>52</v>
      </c>
      <c r="E2125">
        <v>0</v>
      </c>
      <c r="F2125">
        <v>0</v>
      </c>
      <c r="G2125">
        <v>36</v>
      </c>
      <c r="H2125" s="4">
        <v>1570531513368</v>
      </c>
      <c r="I2125">
        <v>526.6875</v>
      </c>
      <c r="J2125" s="9">
        <f t="shared" si="33"/>
        <v>43746.739738055556</v>
      </c>
      <c r="K2125" s="1"/>
    </row>
    <row r="2126" spans="1:11" x14ac:dyDescent="0.25">
      <c r="A2126" t="e">
        <f>-LqeyIdwHISpK9bNdmBO</f>
        <v>#NAME?</v>
      </c>
      <c r="B2126">
        <v>393.75</v>
      </c>
      <c r="C2126">
        <v>20.584240000000001</v>
      </c>
      <c r="D2126">
        <v>52</v>
      </c>
      <c r="E2126">
        <v>0</v>
      </c>
      <c r="F2126">
        <v>0</v>
      </c>
      <c r="G2126">
        <v>41</v>
      </c>
      <c r="H2126" s="4">
        <v>1570531520586</v>
      </c>
      <c r="I2126">
        <v>526.6875</v>
      </c>
      <c r="J2126" s="9">
        <f t="shared" si="33"/>
        <v>43746.739821597221</v>
      </c>
      <c r="K2126" s="1"/>
    </row>
    <row r="2127" spans="1:11" x14ac:dyDescent="0.25">
      <c r="A2127" t="e">
        <f>-LqeyK_ToF3EuqzdhKzt</f>
        <v>#NAME?</v>
      </c>
      <c r="B2127">
        <v>393.75</v>
      </c>
      <c r="C2127">
        <v>20.584240000000001</v>
      </c>
      <c r="D2127">
        <v>53</v>
      </c>
      <c r="E2127">
        <v>0</v>
      </c>
      <c r="F2127">
        <v>0</v>
      </c>
      <c r="G2127">
        <v>42</v>
      </c>
      <c r="H2127" s="4">
        <v>1570531528829</v>
      </c>
      <c r="I2127">
        <v>526.6875</v>
      </c>
      <c r="J2127" s="9">
        <f t="shared" si="33"/>
        <v>43746.739917002313</v>
      </c>
      <c r="K2127" s="1"/>
    </row>
    <row r="2128" spans="1:11" x14ac:dyDescent="0.25">
      <c r="A2128" t="e">
        <f>-LqeyMKAk7DrUT_FDsdJ</f>
        <v>#NAME?</v>
      </c>
      <c r="B2128">
        <v>393.75</v>
      </c>
      <c r="C2128">
        <v>20.584240000000001</v>
      </c>
      <c r="D2128">
        <v>53</v>
      </c>
      <c r="E2128">
        <v>0</v>
      </c>
      <c r="F2128">
        <v>0</v>
      </c>
      <c r="G2128">
        <v>40</v>
      </c>
      <c r="H2128" s="4">
        <v>1570531537047</v>
      </c>
      <c r="I2128">
        <v>526.6875</v>
      </c>
      <c r="J2128" s="9">
        <f t="shared" si="33"/>
        <v>43746.740012118054</v>
      </c>
      <c r="K2128" s="1"/>
    </row>
    <row r="2129" spans="1:11" x14ac:dyDescent="0.25">
      <c r="A2129" t="e">
        <f>-LqeyNtG9goMJWjbmvpE</f>
        <v>#NAME?</v>
      </c>
      <c r="B2129">
        <v>393.75</v>
      </c>
      <c r="C2129">
        <v>20.531590000000001</v>
      </c>
      <c r="D2129">
        <v>53</v>
      </c>
      <c r="E2129">
        <v>0</v>
      </c>
      <c r="F2129">
        <v>0</v>
      </c>
      <c r="G2129">
        <v>44</v>
      </c>
      <c r="H2129" s="4">
        <v>1570531543259</v>
      </c>
      <c r="I2129">
        <v>526.6875</v>
      </c>
      <c r="J2129" s="9">
        <f t="shared" si="33"/>
        <v>43746.740084016201</v>
      </c>
      <c r="K2129" s="1"/>
    </row>
    <row r="2130" spans="1:11" x14ac:dyDescent="0.25">
      <c r="A2130" t="e">
        <f>-LqeyPapn2pnRfenEcl4</f>
        <v>#NAME?</v>
      </c>
      <c r="B2130">
        <v>393.75</v>
      </c>
      <c r="C2130">
        <v>20.584240000000001</v>
      </c>
      <c r="D2130">
        <v>51</v>
      </c>
      <c r="E2130">
        <v>0</v>
      </c>
      <c r="F2130">
        <v>0</v>
      </c>
      <c r="G2130">
        <v>44</v>
      </c>
      <c r="H2130" s="4">
        <v>1570531550488</v>
      </c>
      <c r="I2130">
        <v>526.6875</v>
      </c>
      <c r="J2130" s="9">
        <f t="shared" si="33"/>
        <v>43746.74016768518</v>
      </c>
      <c r="K2130" s="1"/>
    </row>
    <row r="2131" spans="1:11" x14ac:dyDescent="0.25">
      <c r="A2131" t="e">
        <f>-LqeyRPFNkVitX0D43Yg</f>
        <v>#NAME?</v>
      </c>
      <c r="B2131">
        <v>393.75</v>
      </c>
      <c r="C2131">
        <v>20.584240000000001</v>
      </c>
      <c r="D2131">
        <v>51</v>
      </c>
      <c r="E2131">
        <v>0</v>
      </c>
      <c r="F2131">
        <v>0</v>
      </c>
      <c r="G2131">
        <v>34</v>
      </c>
      <c r="H2131" s="4">
        <v>1570531557678</v>
      </c>
      <c r="I2131">
        <v>526.6875</v>
      </c>
      <c r="J2131" s="9">
        <f t="shared" si="33"/>
        <v>43746.740250902774</v>
      </c>
      <c r="K2131" s="1"/>
    </row>
    <row r="2132" spans="1:11" x14ac:dyDescent="0.25">
      <c r="A2132" t="e">
        <f>-LqeyT7GXzwccTCkgdyz</f>
        <v>#NAME?</v>
      </c>
      <c r="B2132">
        <v>418.75</v>
      </c>
      <c r="C2132">
        <v>20.531590000000001</v>
      </c>
      <c r="D2132">
        <v>51</v>
      </c>
      <c r="E2132">
        <v>0</v>
      </c>
      <c r="F2132">
        <v>0</v>
      </c>
      <c r="G2132">
        <v>31</v>
      </c>
      <c r="H2132" s="4">
        <v>1570531564887</v>
      </c>
      <c r="I2132">
        <v>534</v>
      </c>
      <c r="J2132" s="9">
        <f t="shared" si="33"/>
        <v>43746.740334340277</v>
      </c>
      <c r="K2132" s="1"/>
    </row>
    <row r="2133" spans="1:11" x14ac:dyDescent="0.25">
      <c r="A2133" t="e">
        <f>-LqeyUvHDNkh4DYML6Rb</f>
        <v>#NAME?</v>
      </c>
      <c r="B2133">
        <v>393.75</v>
      </c>
      <c r="C2133">
        <v>20.584240000000001</v>
      </c>
      <c r="D2133">
        <v>51</v>
      </c>
      <c r="E2133">
        <v>0</v>
      </c>
      <c r="F2133">
        <v>0</v>
      </c>
      <c r="G2133">
        <v>45</v>
      </c>
      <c r="H2133" s="4">
        <v>1570531572097</v>
      </c>
      <c r="I2133">
        <v>526.6875</v>
      </c>
      <c r="J2133" s="9">
        <f t="shared" si="33"/>
        <v>43746.740417789348</v>
      </c>
      <c r="K2133" s="1"/>
    </row>
    <row r="2134" spans="1:11" x14ac:dyDescent="0.25">
      <c r="A2134" t="e">
        <f>-LqeyWdFRz11F4eReKmA</f>
        <v>#NAME?</v>
      </c>
      <c r="B2134">
        <v>393.75</v>
      </c>
      <c r="C2134">
        <v>20.584240000000001</v>
      </c>
      <c r="D2134">
        <v>50</v>
      </c>
      <c r="E2134">
        <v>0</v>
      </c>
      <c r="F2134">
        <v>0</v>
      </c>
      <c r="G2134">
        <v>49</v>
      </c>
      <c r="H2134" s="4">
        <v>1570531579289</v>
      </c>
      <c r="I2134">
        <v>526.6875</v>
      </c>
      <c r="J2134" s="9">
        <f t="shared" si="33"/>
        <v>43746.740501030094</v>
      </c>
      <c r="K2134" s="1"/>
    </row>
    <row r="2135" spans="1:11" x14ac:dyDescent="0.25">
      <c r="A2135" t="s">
        <v>114</v>
      </c>
      <c r="B2135">
        <v>393.75</v>
      </c>
      <c r="C2135">
        <v>20.531590000000001</v>
      </c>
      <c r="D2135">
        <v>50</v>
      </c>
      <c r="E2135">
        <v>0</v>
      </c>
      <c r="F2135">
        <v>0</v>
      </c>
      <c r="G2135">
        <v>44</v>
      </c>
      <c r="H2135" s="4">
        <v>1570531585479</v>
      </c>
      <c r="I2135">
        <v>526.6875</v>
      </c>
      <c r="J2135" s="9">
        <f t="shared" si="33"/>
        <v>43746.740572673611</v>
      </c>
      <c r="K2135" s="1"/>
    </row>
    <row r="2136" spans="1:11" x14ac:dyDescent="0.25">
      <c r="A2136" t="e">
        <f>-LqeyZvFhKbJlxnYS6iF</f>
        <v>#NAME?</v>
      </c>
      <c r="B2136">
        <v>393.75</v>
      </c>
      <c r="C2136">
        <v>20.584240000000001</v>
      </c>
      <c r="D2136">
        <v>52</v>
      </c>
      <c r="E2136">
        <v>0</v>
      </c>
      <c r="F2136">
        <v>0</v>
      </c>
      <c r="G2136">
        <v>42</v>
      </c>
      <c r="H2136" s="4">
        <v>1570531592728</v>
      </c>
      <c r="I2136">
        <v>526.6875</v>
      </c>
      <c r="J2136" s="9">
        <f t="shared" si="33"/>
        <v>43746.740656574075</v>
      </c>
      <c r="K2136" s="1"/>
    </row>
    <row r="2137" spans="1:11" x14ac:dyDescent="0.25">
      <c r="A2137" t="e">
        <f>-LqeyaiFp7yYLflpR3j7</f>
        <v>#NAME?</v>
      </c>
      <c r="B2137">
        <v>393.75</v>
      </c>
      <c r="C2137">
        <v>20.584240000000001</v>
      </c>
      <c r="D2137">
        <v>53</v>
      </c>
      <c r="E2137">
        <v>0</v>
      </c>
      <c r="F2137">
        <v>0</v>
      </c>
      <c r="G2137">
        <v>37</v>
      </c>
      <c r="H2137" s="4">
        <v>1570531599920</v>
      </c>
      <c r="I2137">
        <v>526.6875</v>
      </c>
      <c r="J2137" s="9">
        <f t="shared" si="33"/>
        <v>43746.740739814813</v>
      </c>
      <c r="K2137" s="1"/>
    </row>
    <row r="2138" spans="1:11" x14ac:dyDescent="0.25">
      <c r="A2138" t="e">
        <f>-LqeycRc_42thneLg29o</f>
        <v>#NAME?</v>
      </c>
      <c r="B2138">
        <v>393.75</v>
      </c>
      <c r="C2138">
        <v>20.531590000000001</v>
      </c>
      <c r="D2138">
        <v>52</v>
      </c>
      <c r="E2138">
        <v>0</v>
      </c>
      <c r="F2138">
        <v>0</v>
      </c>
      <c r="G2138">
        <v>43</v>
      </c>
      <c r="H2138" s="4">
        <v>1570531607129</v>
      </c>
      <c r="I2138">
        <v>526.6875</v>
      </c>
      <c r="J2138" s="9">
        <f t="shared" si="33"/>
        <v>43746.740823252308</v>
      </c>
      <c r="K2138" s="1"/>
    </row>
    <row r="2139" spans="1:11" x14ac:dyDescent="0.25">
      <c r="A2139" t="e">
        <f>-LqeyeEF1lGeU2LLo4kh</f>
        <v>#NAME?</v>
      </c>
      <c r="B2139">
        <v>393.75</v>
      </c>
      <c r="C2139">
        <v>20.531590000000001</v>
      </c>
      <c r="D2139">
        <v>51</v>
      </c>
      <c r="E2139">
        <v>0</v>
      </c>
      <c r="F2139">
        <v>0</v>
      </c>
      <c r="G2139">
        <v>43</v>
      </c>
      <c r="H2139" s="4">
        <v>1570531614348</v>
      </c>
      <c r="I2139">
        <v>526.6875</v>
      </c>
      <c r="J2139" s="9">
        <f t="shared" si="33"/>
        <v>43746.740906805549</v>
      </c>
      <c r="K2139" s="1"/>
    </row>
    <row r="2140" spans="1:11" x14ac:dyDescent="0.25">
      <c r="A2140" t="e">
        <f>-LqeyfucYuU5WNGh4hw6</f>
        <v>#NAME?</v>
      </c>
      <c r="B2140">
        <v>393.75</v>
      </c>
      <c r="C2140">
        <v>20.584240000000001</v>
      </c>
      <c r="D2140">
        <v>51</v>
      </c>
      <c r="E2140">
        <v>0</v>
      </c>
      <c r="F2140">
        <v>0</v>
      </c>
      <c r="G2140">
        <v>45</v>
      </c>
      <c r="H2140" s="4">
        <v>1570531621529</v>
      </c>
      <c r="I2140">
        <v>526.6875</v>
      </c>
      <c r="J2140" s="9">
        <f t="shared" si="33"/>
        <v>43746.740989918981</v>
      </c>
      <c r="K2140" s="1"/>
    </row>
    <row r="2141" spans="1:11" x14ac:dyDescent="0.25">
      <c r="A2141" t="s">
        <v>115</v>
      </c>
      <c r="B2141">
        <v>393.75</v>
      </c>
      <c r="C2141">
        <v>20.531590000000001</v>
      </c>
      <c r="D2141">
        <v>50</v>
      </c>
      <c r="E2141">
        <v>0</v>
      </c>
      <c r="F2141">
        <v>0</v>
      </c>
      <c r="G2141">
        <v>44</v>
      </c>
      <c r="H2141" s="4">
        <v>1570531628318</v>
      </c>
      <c r="I2141">
        <v>526.6875</v>
      </c>
      <c r="J2141" s="9">
        <f t="shared" si="33"/>
        <v>43746.741068495372</v>
      </c>
      <c r="K2141" s="1"/>
    </row>
    <row r="2142" spans="1:11" x14ac:dyDescent="0.25">
      <c r="A2142" t="e">
        <f>-LqeyjEQPM5sF6JJmPHp</f>
        <v>#NAME?</v>
      </c>
      <c r="B2142">
        <v>415.625</v>
      </c>
      <c r="C2142">
        <v>20.584240000000001</v>
      </c>
      <c r="D2142">
        <v>50</v>
      </c>
      <c r="E2142">
        <v>0</v>
      </c>
      <c r="F2142">
        <v>0</v>
      </c>
      <c r="G2142">
        <v>42</v>
      </c>
      <c r="H2142" s="4">
        <v>1570531634968</v>
      </c>
      <c r="I2142">
        <v>533.0625</v>
      </c>
      <c r="J2142" s="9">
        <f t="shared" si="33"/>
        <v>43746.741145462962</v>
      </c>
      <c r="K2142" s="1"/>
    </row>
    <row r="2143" spans="1:11" x14ac:dyDescent="0.25">
      <c r="A2143" t="s">
        <v>116</v>
      </c>
      <c r="B2143">
        <v>393.75</v>
      </c>
      <c r="C2143">
        <v>20.584240000000001</v>
      </c>
      <c r="D2143">
        <v>51</v>
      </c>
      <c r="E2143">
        <v>0</v>
      </c>
      <c r="F2143">
        <v>0</v>
      </c>
      <c r="G2143">
        <v>51</v>
      </c>
      <c r="H2143" s="4">
        <v>1570531642169</v>
      </c>
      <c r="I2143">
        <v>526.6875</v>
      </c>
      <c r="J2143" s="9">
        <f t="shared" si="33"/>
        <v>43746.74122880787</v>
      </c>
      <c r="K2143" s="1"/>
    </row>
    <row r="2144" spans="1:11" x14ac:dyDescent="0.25">
      <c r="A2144" t="e">
        <f>-LqeymkFwU1Sr7801u9m</f>
        <v>#NAME?</v>
      </c>
      <c r="B2144">
        <v>393.75</v>
      </c>
      <c r="C2144">
        <v>20.584240000000001</v>
      </c>
      <c r="D2144">
        <v>52</v>
      </c>
      <c r="E2144">
        <v>0</v>
      </c>
      <c r="F2144">
        <v>0</v>
      </c>
      <c r="G2144">
        <v>34</v>
      </c>
      <c r="H2144" s="4">
        <v>1570531649367</v>
      </c>
      <c r="I2144">
        <v>526.6875</v>
      </c>
      <c r="J2144" s="9">
        <f t="shared" si="33"/>
        <v>43746.741312118051</v>
      </c>
      <c r="K2144" s="1"/>
    </row>
    <row r="2145" spans="1:11" x14ac:dyDescent="0.25">
      <c r="A2145" t="e">
        <f>-LqeyoYIDUIIXBDvHfTN</f>
        <v>#NAME?</v>
      </c>
      <c r="B2145">
        <v>393.75</v>
      </c>
      <c r="C2145">
        <v>20.531590000000001</v>
      </c>
      <c r="D2145">
        <v>52</v>
      </c>
      <c r="E2145">
        <v>0</v>
      </c>
      <c r="F2145">
        <v>0</v>
      </c>
      <c r="G2145">
        <v>43</v>
      </c>
      <c r="H2145" s="4">
        <v>1570531656613</v>
      </c>
      <c r="I2145">
        <v>526.6875</v>
      </c>
      <c r="J2145" s="9">
        <f t="shared" si="33"/>
        <v>43746.741395983794</v>
      </c>
      <c r="K2145" s="1"/>
    </row>
    <row r="2146" spans="1:11" x14ac:dyDescent="0.25">
      <c r="A2146" t="e">
        <f>-LqeyqGFIaMZmVK-mjjp</f>
        <v>#NAME?</v>
      </c>
      <c r="B2146">
        <v>393.75</v>
      </c>
      <c r="C2146">
        <v>20.531590000000001</v>
      </c>
      <c r="D2146">
        <v>52</v>
      </c>
      <c r="E2146">
        <v>0</v>
      </c>
      <c r="F2146">
        <v>0</v>
      </c>
      <c r="G2146">
        <v>48</v>
      </c>
      <c r="H2146" s="4">
        <v>1570531663767</v>
      </c>
      <c r="I2146">
        <v>526.5</v>
      </c>
      <c r="J2146" s="9">
        <f t="shared" si="33"/>
        <v>43746.741478784716</v>
      </c>
      <c r="K2146" s="1"/>
    </row>
    <row r="2147" spans="1:11" x14ac:dyDescent="0.25">
      <c r="A2147" t="e">
        <f>-LqeyrpHmOxsdweM1qJO</f>
        <v>#NAME?</v>
      </c>
      <c r="B2147">
        <v>412.5</v>
      </c>
      <c r="C2147">
        <v>20.584240000000001</v>
      </c>
      <c r="D2147">
        <v>52</v>
      </c>
      <c r="E2147">
        <v>0</v>
      </c>
      <c r="F2147">
        <v>0</v>
      </c>
      <c r="G2147">
        <v>49</v>
      </c>
      <c r="H2147" s="4">
        <v>1570531669959</v>
      </c>
      <c r="I2147">
        <v>532.125</v>
      </c>
      <c r="J2147" s="9">
        <f t="shared" si="33"/>
        <v>43746.741550451385</v>
      </c>
      <c r="K2147" s="1"/>
    </row>
    <row r="2148" spans="1:11" x14ac:dyDescent="0.25">
      <c r="A2148" t="e">
        <f>-LqeytYFeoOrFWDvmc1e</f>
        <v>#NAME?</v>
      </c>
      <c r="B2148">
        <v>393.75</v>
      </c>
      <c r="C2148">
        <v>20.584240000000001</v>
      </c>
      <c r="D2148">
        <v>50</v>
      </c>
      <c r="E2148">
        <v>0</v>
      </c>
      <c r="F2148">
        <v>0</v>
      </c>
      <c r="G2148">
        <v>43</v>
      </c>
      <c r="H2148" s="4">
        <v>1570531677207</v>
      </c>
      <c r="I2148">
        <v>526.6875</v>
      </c>
      <c r="J2148" s="9">
        <f t="shared" si="33"/>
        <v>43746.74163434028</v>
      </c>
      <c r="K2148" s="1"/>
    </row>
    <row r="2149" spans="1:11" x14ac:dyDescent="0.25">
      <c r="A2149" t="e">
        <f>-LqeyvLFkFJ8KU5uRmzk</f>
        <v>#NAME?</v>
      </c>
      <c r="B2149">
        <v>393.75</v>
      </c>
      <c r="C2149">
        <v>20.531590000000001</v>
      </c>
      <c r="D2149">
        <v>51</v>
      </c>
      <c r="E2149">
        <v>0</v>
      </c>
      <c r="F2149">
        <v>0</v>
      </c>
      <c r="G2149">
        <v>49</v>
      </c>
      <c r="H2149" s="4">
        <v>1570531684409</v>
      </c>
      <c r="I2149">
        <v>526.6875</v>
      </c>
      <c r="J2149" s="9">
        <f t="shared" si="33"/>
        <v>43746.741717696757</v>
      </c>
      <c r="K2149" s="1"/>
    </row>
    <row r="2150" spans="1:11" x14ac:dyDescent="0.25">
      <c r="A2150" t="s">
        <v>117</v>
      </c>
      <c r="B2150">
        <v>393.75</v>
      </c>
      <c r="C2150">
        <v>20.584240000000001</v>
      </c>
      <c r="D2150">
        <v>51</v>
      </c>
      <c r="E2150">
        <v>0</v>
      </c>
      <c r="F2150">
        <v>0</v>
      </c>
      <c r="G2150">
        <v>47</v>
      </c>
      <c r="H2150" s="4">
        <v>1570531691608</v>
      </c>
      <c r="I2150">
        <v>526.6875</v>
      </c>
      <c r="J2150" s="9">
        <f t="shared" si="33"/>
        <v>43746.741801018514</v>
      </c>
      <c r="K2150" s="1"/>
    </row>
    <row r="2151" spans="1:11" x14ac:dyDescent="0.25">
      <c r="A2151" t="e">
        <f>-LqeyzDHVflL1N48V7jN</f>
        <v>#NAME?</v>
      </c>
      <c r="B2151">
        <v>393.75</v>
      </c>
      <c r="C2151">
        <v>20.531590000000001</v>
      </c>
      <c r="D2151">
        <v>51</v>
      </c>
      <c r="E2151">
        <v>0</v>
      </c>
      <c r="F2151">
        <v>0</v>
      </c>
      <c r="G2151">
        <v>49</v>
      </c>
      <c r="H2151" s="4">
        <v>1570531698827</v>
      </c>
      <c r="I2151">
        <v>526.6875</v>
      </c>
      <c r="J2151" s="9">
        <f t="shared" si="33"/>
        <v>43746.741884571755</v>
      </c>
      <c r="K2151" s="1"/>
    </row>
    <row r="2152" spans="1:11" x14ac:dyDescent="0.25">
      <c r="A2152" t="e">
        <f>-LqeZ-tIzQ-zrOxkJ029</f>
        <v>#NAME?</v>
      </c>
      <c r="B2152">
        <v>393.75</v>
      </c>
      <c r="C2152">
        <v>20.584240000000001</v>
      </c>
      <c r="D2152">
        <v>51</v>
      </c>
      <c r="E2152">
        <v>0</v>
      </c>
      <c r="F2152">
        <v>0</v>
      </c>
      <c r="G2152">
        <v>46</v>
      </c>
      <c r="H2152" s="4">
        <v>1570531707080</v>
      </c>
      <c r="I2152">
        <v>526.6875</v>
      </c>
      <c r="J2152" s="9">
        <f t="shared" si="33"/>
        <v>43746.741980092593</v>
      </c>
      <c r="K2152" s="1"/>
    </row>
    <row r="2153" spans="1:11" x14ac:dyDescent="0.25">
      <c r="A2153" t="e">
        <f>-Lqez1bHfHux-AhoV4bj</f>
        <v>#NAME?</v>
      </c>
      <c r="B2153">
        <v>393.75</v>
      </c>
      <c r="C2153">
        <v>20.531590000000001</v>
      </c>
      <c r="D2153">
        <v>51</v>
      </c>
      <c r="E2153">
        <v>0</v>
      </c>
      <c r="F2153">
        <v>0</v>
      </c>
      <c r="G2153">
        <v>48</v>
      </c>
      <c r="H2153" s="4">
        <v>1570531714288</v>
      </c>
      <c r="I2153">
        <v>526.6875</v>
      </c>
      <c r="J2153" s="9">
        <f t="shared" si="33"/>
        <v>43746.742063518519</v>
      </c>
      <c r="K2153" s="1"/>
    </row>
    <row r="2154" spans="1:11" x14ac:dyDescent="0.25">
      <c r="A2154" t="e">
        <f>-Lqez3P7g3q4xGmL3Ryp</f>
        <v>#NAME?</v>
      </c>
      <c r="B2154">
        <v>393.75</v>
      </c>
      <c r="C2154">
        <v>20.531590000000001</v>
      </c>
      <c r="D2154">
        <v>51</v>
      </c>
      <c r="E2154">
        <v>0</v>
      </c>
      <c r="F2154">
        <v>0</v>
      </c>
      <c r="G2154">
        <v>46</v>
      </c>
      <c r="H2154" s="4">
        <v>1570531721497</v>
      </c>
      <c r="I2154">
        <v>526.5</v>
      </c>
      <c r="J2154" s="9">
        <f t="shared" si="33"/>
        <v>43746.742146956014</v>
      </c>
      <c r="K2154" s="1"/>
    </row>
    <row r="2155" spans="1:11" x14ac:dyDescent="0.25">
      <c r="A2155" t="e">
        <f>-Lqez5CMShxKG0lr5RaX</f>
        <v>#NAME?</v>
      </c>
      <c r="B2155">
        <v>393.75</v>
      </c>
      <c r="C2155">
        <v>20.531590000000001</v>
      </c>
      <c r="D2155">
        <v>50</v>
      </c>
      <c r="E2155">
        <v>0</v>
      </c>
      <c r="F2155">
        <v>0</v>
      </c>
      <c r="G2155">
        <v>48</v>
      </c>
      <c r="H2155" s="4">
        <v>1570531729129</v>
      </c>
      <c r="I2155">
        <v>526.6875</v>
      </c>
      <c r="J2155" s="9">
        <f t="shared" si="33"/>
        <v>43746.742235289348</v>
      </c>
      <c r="K2155" s="1"/>
    </row>
    <row r="2156" spans="1:11" x14ac:dyDescent="0.25">
      <c r="A2156" t="e">
        <f>-Lqez6vF8wQXYxwko3be</f>
        <v>#NAME?</v>
      </c>
      <c r="B2156">
        <v>412.5</v>
      </c>
      <c r="C2156">
        <v>20.531590000000001</v>
      </c>
      <c r="D2156">
        <v>49</v>
      </c>
      <c r="E2156">
        <v>0</v>
      </c>
      <c r="F2156">
        <v>0</v>
      </c>
      <c r="G2156">
        <v>49</v>
      </c>
      <c r="H2156" s="4">
        <v>1570531735918</v>
      </c>
      <c r="I2156">
        <v>532.125</v>
      </c>
      <c r="J2156" s="9">
        <f t="shared" si="33"/>
        <v>43746.74231386574</v>
      </c>
      <c r="K2156" s="1"/>
    </row>
    <row r="2157" spans="1:11" x14ac:dyDescent="0.25">
      <c r="A2157" t="e">
        <f>-Lqez8dFgxKXlhB53ly2</f>
        <v>#NAME?</v>
      </c>
      <c r="B2157">
        <v>393.75</v>
      </c>
      <c r="C2157">
        <v>20.584240000000001</v>
      </c>
      <c r="D2157">
        <v>49</v>
      </c>
      <c r="E2157">
        <v>0</v>
      </c>
      <c r="F2157">
        <v>0</v>
      </c>
      <c r="G2157">
        <v>42</v>
      </c>
      <c r="H2157" s="4">
        <v>1570531743128</v>
      </c>
      <c r="I2157">
        <v>526.6875</v>
      </c>
      <c r="J2157" s="9">
        <f t="shared" si="33"/>
        <v>43746.742397314811</v>
      </c>
      <c r="K2157" s="1"/>
    </row>
    <row r="2158" spans="1:11" x14ac:dyDescent="0.25">
      <c r="A2158" t="e">
        <f>-LqezAQ08egglTLqzwqB</f>
        <v>#NAME?</v>
      </c>
      <c r="B2158">
        <v>393.75</v>
      </c>
      <c r="C2158">
        <v>20.531590000000001</v>
      </c>
      <c r="D2158">
        <v>49</v>
      </c>
      <c r="E2158">
        <v>0</v>
      </c>
      <c r="F2158">
        <v>0</v>
      </c>
      <c r="G2158">
        <v>37</v>
      </c>
      <c r="H2158" s="4">
        <v>1570531750339</v>
      </c>
      <c r="I2158">
        <v>526.6875</v>
      </c>
      <c r="J2158" s="9">
        <f t="shared" si="33"/>
        <v>43746.742480775465</v>
      </c>
      <c r="K2158" s="1"/>
    </row>
    <row r="2159" spans="1:11" x14ac:dyDescent="0.25">
      <c r="A2159" t="e">
        <f>-LqezCFB58jO0hFETqu7</f>
        <v>#NAME?</v>
      </c>
      <c r="B2159">
        <v>393.75</v>
      </c>
      <c r="C2159">
        <v>20.584240000000001</v>
      </c>
      <c r="D2159">
        <v>50</v>
      </c>
      <c r="E2159">
        <v>0</v>
      </c>
      <c r="F2159">
        <v>0</v>
      </c>
      <c r="G2159">
        <v>39</v>
      </c>
      <c r="H2159" s="4">
        <v>1570531757528</v>
      </c>
      <c r="I2159">
        <v>526.5</v>
      </c>
      <c r="J2159" s="9">
        <f t="shared" si="33"/>
        <v>43746.742563981483</v>
      </c>
      <c r="K2159" s="1"/>
    </row>
    <row r="2160" spans="1:11" x14ac:dyDescent="0.25">
      <c r="A2160" t="e">
        <f>-LqezEBCX8_O_JmYGsPH</f>
        <v>#NAME?</v>
      </c>
      <c r="B2160">
        <v>393.75</v>
      </c>
      <c r="C2160">
        <v>20.584240000000001</v>
      </c>
      <c r="D2160">
        <v>50</v>
      </c>
      <c r="E2160">
        <v>0</v>
      </c>
      <c r="F2160">
        <v>0</v>
      </c>
      <c r="G2160">
        <v>41</v>
      </c>
      <c r="H2160" s="4">
        <v>1570531765873</v>
      </c>
      <c r="I2160">
        <v>526.6875</v>
      </c>
      <c r="J2160" s="9">
        <f t="shared" si="33"/>
        <v>43746.742660567128</v>
      </c>
      <c r="K2160" s="1"/>
    </row>
    <row r="2161" spans="1:11" x14ac:dyDescent="0.25">
      <c r="A2161" t="e">
        <f>-LqezFzD_r4ZXq8oUNPK</f>
        <v>#NAME?</v>
      </c>
      <c r="B2161">
        <v>393.75</v>
      </c>
      <c r="C2161">
        <v>20.531590000000001</v>
      </c>
      <c r="D2161">
        <v>50</v>
      </c>
      <c r="E2161">
        <v>0</v>
      </c>
      <c r="F2161">
        <v>0</v>
      </c>
      <c r="G2161">
        <v>50</v>
      </c>
      <c r="H2161" s="4">
        <v>1570531773005</v>
      </c>
      <c r="I2161">
        <v>526.6875</v>
      </c>
      <c r="J2161" s="9">
        <f t="shared" si="33"/>
        <v>43746.74274311342</v>
      </c>
      <c r="K2161" s="1"/>
    </row>
    <row r="2162" spans="1:11" x14ac:dyDescent="0.25">
      <c r="A2162" t="e">
        <f>-LqezHhC4vDAX8dQsgDH</f>
        <v>#NAME?</v>
      </c>
      <c r="B2162">
        <v>393.75</v>
      </c>
      <c r="C2162">
        <v>20.584240000000001</v>
      </c>
      <c r="D2162">
        <v>50</v>
      </c>
      <c r="E2162">
        <v>0</v>
      </c>
      <c r="F2162">
        <v>0</v>
      </c>
      <c r="G2162">
        <v>47</v>
      </c>
      <c r="H2162" s="4">
        <v>1570531780214</v>
      </c>
      <c r="I2162">
        <v>526.5</v>
      </c>
      <c r="J2162" s="9">
        <f t="shared" si="33"/>
        <v>43746.742826550922</v>
      </c>
      <c r="K2162" s="1"/>
    </row>
    <row r="2163" spans="1:11" x14ac:dyDescent="0.25">
      <c r="A2163" t="e">
        <f>-LqezJTLH9P04kjBe98B</f>
        <v>#NAME?</v>
      </c>
      <c r="B2163">
        <v>393.75</v>
      </c>
      <c r="C2163">
        <v>20.584240000000001</v>
      </c>
      <c r="D2163">
        <v>51</v>
      </c>
      <c r="E2163">
        <v>0</v>
      </c>
      <c r="F2163">
        <v>0</v>
      </c>
      <c r="G2163">
        <v>54</v>
      </c>
      <c r="H2163" s="4">
        <v>1570531786395</v>
      </c>
      <c r="I2163">
        <v>526.6875</v>
      </c>
      <c r="J2163" s="9">
        <f t="shared" si="33"/>
        <v>43746.742898090277</v>
      </c>
      <c r="K2163" s="1"/>
    </row>
    <row r="2164" spans="1:11" x14ac:dyDescent="0.25">
      <c r="A2164" t="e">
        <f>-LqezLDD_wrXo9Jqg7c7</f>
        <v>#NAME?</v>
      </c>
      <c r="B2164">
        <v>393.75</v>
      </c>
      <c r="C2164">
        <v>20.531590000000001</v>
      </c>
      <c r="D2164">
        <v>52</v>
      </c>
      <c r="E2164">
        <v>0</v>
      </c>
      <c r="F2164">
        <v>0</v>
      </c>
      <c r="G2164">
        <v>46</v>
      </c>
      <c r="H2164" s="4">
        <v>1570531794645</v>
      </c>
      <c r="I2164">
        <v>526.6875</v>
      </c>
      <c r="J2164" s="9">
        <f t="shared" si="33"/>
        <v>43746.742993576387</v>
      </c>
      <c r="K2164" s="1"/>
    </row>
    <row r="2165" spans="1:11" x14ac:dyDescent="0.25">
      <c r="A2165" t="e">
        <f>-LqezMmD_yiTqaRop87M</f>
        <v>#NAME?</v>
      </c>
      <c r="B2165">
        <v>393.75</v>
      </c>
      <c r="C2165">
        <v>20.531590000000001</v>
      </c>
      <c r="D2165">
        <v>53</v>
      </c>
      <c r="E2165">
        <v>0</v>
      </c>
      <c r="F2165">
        <v>0</v>
      </c>
      <c r="G2165">
        <v>54</v>
      </c>
      <c r="H2165" s="4">
        <v>1570531800825</v>
      </c>
      <c r="I2165">
        <v>526.6875</v>
      </c>
      <c r="J2165" s="9">
        <f t="shared" si="33"/>
        <v>43746.743065104165</v>
      </c>
      <c r="K2165" s="1"/>
    </row>
    <row r="2166" spans="1:11" x14ac:dyDescent="0.25">
      <c r="A2166" t="e">
        <f>-LqezOVBHbbhttTpLODG</f>
        <v>#NAME?</v>
      </c>
      <c r="B2166">
        <v>393.75</v>
      </c>
      <c r="C2166">
        <v>20.531590000000001</v>
      </c>
      <c r="D2166">
        <v>52</v>
      </c>
      <c r="E2166">
        <v>0</v>
      </c>
      <c r="F2166">
        <v>0</v>
      </c>
      <c r="G2166">
        <v>45</v>
      </c>
      <c r="H2166" s="4">
        <v>1570531808033</v>
      </c>
      <c r="I2166">
        <v>526.5</v>
      </c>
      <c r="J2166" s="9">
        <f t="shared" si="33"/>
        <v>43746.743148530091</v>
      </c>
      <c r="K2166" s="1"/>
    </row>
    <row r="2167" spans="1:11" x14ac:dyDescent="0.25">
      <c r="A2167" t="e">
        <f>-LqezPzDScBd_yV78hAy</f>
        <v>#NAME?</v>
      </c>
      <c r="B2167">
        <v>393.75</v>
      </c>
      <c r="C2167">
        <v>20.531590000000001</v>
      </c>
      <c r="D2167">
        <v>52</v>
      </c>
      <c r="E2167">
        <v>0</v>
      </c>
      <c r="F2167">
        <v>0</v>
      </c>
      <c r="G2167">
        <v>41</v>
      </c>
      <c r="H2167" s="4">
        <v>1570531814225</v>
      </c>
      <c r="I2167">
        <v>526.6875</v>
      </c>
      <c r="J2167" s="9">
        <f t="shared" si="33"/>
        <v>43746.743220196753</v>
      </c>
      <c r="K2167" s="1"/>
    </row>
    <row r="2168" spans="1:11" x14ac:dyDescent="0.25">
      <c r="A2168" t="e">
        <f>-LqezRhMvl2kTV84mhnk</f>
        <v>#NAME?</v>
      </c>
      <c r="B2168">
        <v>421.875</v>
      </c>
      <c r="C2168">
        <v>20.584240000000001</v>
      </c>
      <c r="D2168">
        <v>52</v>
      </c>
      <c r="E2168">
        <v>0</v>
      </c>
      <c r="F2168">
        <v>0</v>
      </c>
      <c r="G2168">
        <v>40</v>
      </c>
      <c r="H2168" s="4">
        <v>1570531821161</v>
      </c>
      <c r="I2168">
        <v>535.125</v>
      </c>
      <c r="J2168" s="9">
        <f t="shared" si="33"/>
        <v>43746.743300474533</v>
      </c>
      <c r="K2168" s="1"/>
    </row>
    <row r="2169" spans="1:11" x14ac:dyDescent="0.25">
      <c r="A2169" t="s">
        <v>118</v>
      </c>
      <c r="B2169">
        <v>393.75</v>
      </c>
      <c r="C2169">
        <v>20.584240000000001</v>
      </c>
      <c r="D2169">
        <v>52</v>
      </c>
      <c r="E2169">
        <v>0</v>
      </c>
      <c r="F2169">
        <v>0</v>
      </c>
      <c r="G2169">
        <v>44</v>
      </c>
      <c r="H2169" s="4">
        <v>1570531827606</v>
      </c>
      <c r="I2169">
        <v>526.6875</v>
      </c>
      <c r="J2169" s="9">
        <f t="shared" si="33"/>
        <v>43746.74337506944</v>
      </c>
      <c r="K2169" s="1"/>
    </row>
    <row r="2170" spans="1:11" x14ac:dyDescent="0.25">
      <c r="A2170" t="e">
        <f>-LqezV32m6W97cAO_t_R</f>
        <v>#NAME?</v>
      </c>
      <c r="B2170">
        <v>393.75</v>
      </c>
      <c r="C2170">
        <v>20.584240000000001</v>
      </c>
      <c r="D2170">
        <v>52</v>
      </c>
      <c r="E2170">
        <v>0</v>
      </c>
      <c r="F2170">
        <v>0</v>
      </c>
      <c r="G2170">
        <v>43</v>
      </c>
      <c r="H2170" s="4">
        <v>1570531834826</v>
      </c>
      <c r="I2170">
        <v>526.6875</v>
      </c>
      <c r="J2170" s="9">
        <f t="shared" si="33"/>
        <v>43746.743458634257</v>
      </c>
      <c r="K2170" s="1"/>
    </row>
    <row r="2171" spans="1:11" x14ac:dyDescent="0.25">
      <c r="A2171" t="e">
        <f>-LqezWYESd_2Vnu0z1bg</f>
        <v>#NAME?</v>
      </c>
      <c r="B2171">
        <v>393.75</v>
      </c>
      <c r="C2171">
        <v>20.531590000000001</v>
      </c>
      <c r="D2171">
        <v>52</v>
      </c>
      <c r="E2171">
        <v>0</v>
      </c>
      <c r="F2171">
        <v>0</v>
      </c>
      <c r="G2171">
        <v>48</v>
      </c>
      <c r="H2171" s="4">
        <v>1570531840994</v>
      </c>
      <c r="I2171">
        <v>526.6875</v>
      </c>
      <c r="J2171" s="9">
        <f t="shared" si="33"/>
        <v>43746.743530023145</v>
      </c>
      <c r="K2171" s="1"/>
    </row>
    <row r="2172" spans="1:11" x14ac:dyDescent="0.25">
      <c r="A2172" t="e">
        <f>-LqezY14buFAIkvtRib3</f>
        <v>#NAME?</v>
      </c>
      <c r="B2172">
        <v>393.75</v>
      </c>
      <c r="C2172">
        <v>20.584240000000001</v>
      </c>
      <c r="D2172">
        <v>52</v>
      </c>
      <c r="E2172">
        <v>0</v>
      </c>
      <c r="F2172">
        <v>0</v>
      </c>
      <c r="G2172">
        <v>44</v>
      </c>
      <c r="H2172" s="4">
        <v>1570531847133</v>
      </c>
      <c r="I2172">
        <v>526.6875</v>
      </c>
      <c r="J2172" s="9">
        <f t="shared" si="33"/>
        <v>43746.743601076385</v>
      </c>
      <c r="K2172" s="1"/>
    </row>
    <row r="2173" spans="1:11" x14ac:dyDescent="0.25">
      <c r="A2173" t="e">
        <f>-LqezZaBZYOKZ0j81zJ6</f>
        <v>#NAME?</v>
      </c>
      <c r="B2173">
        <v>393.75</v>
      </c>
      <c r="C2173">
        <v>20.531590000000001</v>
      </c>
      <c r="D2173">
        <v>54</v>
      </c>
      <c r="E2173">
        <v>0</v>
      </c>
      <c r="F2173">
        <v>0</v>
      </c>
      <c r="G2173">
        <v>41</v>
      </c>
      <c r="H2173" s="4">
        <v>1570531853365</v>
      </c>
      <c r="I2173">
        <v>526.6875</v>
      </c>
      <c r="J2173" s="9">
        <f t="shared" si="33"/>
        <v>43746.743673206016</v>
      </c>
      <c r="K2173" s="1"/>
    </row>
    <row r="2174" spans="1:11" x14ac:dyDescent="0.25">
      <c r="A2174" t="e">
        <f>-LqezaIsjc4R5NjBb6aS</f>
        <v>#NAME?</v>
      </c>
      <c r="B2174">
        <v>393.75</v>
      </c>
      <c r="C2174">
        <v>20.584240000000001</v>
      </c>
      <c r="D2174">
        <v>54</v>
      </c>
      <c r="E2174">
        <v>0</v>
      </c>
      <c r="F2174">
        <v>0</v>
      </c>
      <c r="G2174">
        <v>44</v>
      </c>
      <c r="H2174" s="4">
        <v>1570531860565</v>
      </c>
      <c r="I2174">
        <v>526.5</v>
      </c>
      <c r="J2174" s="9">
        <f t="shared" si="33"/>
        <v>43746.743756539348</v>
      </c>
      <c r="K2174" s="1"/>
    </row>
    <row r="2175" spans="1:11" x14ac:dyDescent="0.25">
      <c r="A2175" t="e">
        <f>-LqezbsDCIIhixbNXCDx</f>
        <v>#NAME?</v>
      </c>
      <c r="B2175">
        <v>393.75</v>
      </c>
      <c r="C2175">
        <v>20.584240000000001</v>
      </c>
      <c r="D2175">
        <v>54</v>
      </c>
      <c r="E2175">
        <v>0</v>
      </c>
      <c r="F2175">
        <v>0</v>
      </c>
      <c r="G2175">
        <v>40</v>
      </c>
      <c r="H2175" s="4">
        <v>1570531866755</v>
      </c>
      <c r="I2175">
        <v>526.6875</v>
      </c>
      <c r="J2175" s="9">
        <f t="shared" si="33"/>
        <v>43746.743828182873</v>
      </c>
      <c r="K2175" s="1"/>
    </row>
    <row r="2176" spans="1:11" x14ac:dyDescent="0.25">
      <c r="A2176" t="e">
        <f>-LqezdaBGYHx7xre_jsW</f>
        <v>#NAME?</v>
      </c>
      <c r="B2176">
        <v>393.75</v>
      </c>
      <c r="C2176">
        <v>20.584240000000001</v>
      </c>
      <c r="D2176">
        <v>54</v>
      </c>
      <c r="E2176">
        <v>0</v>
      </c>
      <c r="F2176">
        <v>0</v>
      </c>
      <c r="G2176">
        <v>44</v>
      </c>
      <c r="H2176" s="4">
        <v>1570531873974</v>
      </c>
      <c r="I2176">
        <v>526.6875</v>
      </c>
      <c r="J2176" s="9">
        <f t="shared" si="33"/>
        <v>43746.743911736114</v>
      </c>
      <c r="K2176" s="1"/>
    </row>
    <row r="2177" spans="1:11" x14ac:dyDescent="0.25">
      <c r="A2177" t="e">
        <f>-Lqezf4LTLrz1Ic4x_cx</f>
        <v>#NAME?</v>
      </c>
      <c r="B2177">
        <v>393.75</v>
      </c>
      <c r="C2177">
        <v>20.584240000000001</v>
      </c>
      <c r="D2177">
        <v>54</v>
      </c>
      <c r="E2177">
        <v>0</v>
      </c>
      <c r="F2177">
        <v>0</v>
      </c>
      <c r="G2177">
        <v>47</v>
      </c>
      <c r="H2177" s="4">
        <v>1570531880155</v>
      </c>
      <c r="I2177">
        <v>526.6875</v>
      </c>
      <c r="J2177" s="9">
        <f t="shared" si="33"/>
        <v>43746.743983275461</v>
      </c>
      <c r="K2177" s="1"/>
    </row>
    <row r="2178" spans="1:11" x14ac:dyDescent="0.25">
      <c r="A2178" t="e">
        <f>-Lqezgd2hyIEDvqpMzCC</f>
        <v>#NAME?</v>
      </c>
      <c r="B2178">
        <v>393.75</v>
      </c>
      <c r="C2178">
        <v>20.584240000000001</v>
      </c>
      <c r="D2178">
        <v>54</v>
      </c>
      <c r="E2178">
        <v>0</v>
      </c>
      <c r="F2178">
        <v>0</v>
      </c>
      <c r="G2178">
        <v>40</v>
      </c>
      <c r="H2178" s="4">
        <v>1570531886339</v>
      </c>
      <c r="I2178">
        <v>526.6875</v>
      </c>
      <c r="J2178" s="9">
        <f t="shared" si="33"/>
        <v>43746.744054849536</v>
      </c>
      <c r="K2178" s="1"/>
    </row>
    <row r="2179" spans="1:11" x14ac:dyDescent="0.25">
      <c r="A2179" t="e">
        <f>-LqeziMDu4RawCgm852x</f>
        <v>#NAME?</v>
      </c>
      <c r="B2179">
        <v>393.75</v>
      </c>
      <c r="C2179">
        <v>20.531590000000001</v>
      </c>
      <c r="D2179">
        <v>54</v>
      </c>
      <c r="E2179">
        <v>0</v>
      </c>
      <c r="F2179">
        <v>0</v>
      </c>
      <c r="G2179">
        <v>47</v>
      </c>
      <c r="H2179" s="4">
        <v>1570531893525</v>
      </c>
      <c r="I2179">
        <v>526.6875</v>
      </c>
      <c r="J2179" s="9">
        <f t="shared" ref="J2179:J2242" si="34">(H2179/86400000)+25569+(7/24)</f>
        <v>43746.744138020826</v>
      </c>
      <c r="K2179" s="1"/>
    </row>
    <row r="2180" spans="1:11" x14ac:dyDescent="0.25">
      <c r="A2180" t="e">
        <f>-LqezjwTFEppk11DCkzP</f>
        <v>#NAME?</v>
      </c>
      <c r="B2180">
        <v>393.75</v>
      </c>
      <c r="C2180">
        <v>20.584240000000001</v>
      </c>
      <c r="D2180">
        <v>54</v>
      </c>
      <c r="E2180">
        <v>0</v>
      </c>
      <c r="F2180">
        <v>0</v>
      </c>
      <c r="G2180">
        <v>45</v>
      </c>
      <c r="H2180" s="4">
        <v>1570531899714</v>
      </c>
      <c r="I2180">
        <v>526.5</v>
      </c>
      <c r="J2180" s="9">
        <f t="shared" si="34"/>
        <v>43746.744209652774</v>
      </c>
      <c r="K2180" s="1"/>
    </row>
    <row r="2181" spans="1:11" x14ac:dyDescent="0.25">
      <c r="A2181" t="e">
        <f>-LqezldDhaUh-CF30wU1</f>
        <v>#NAME?</v>
      </c>
      <c r="B2181">
        <v>412.5</v>
      </c>
      <c r="C2181">
        <v>20.584240000000001</v>
      </c>
      <c r="D2181">
        <v>54</v>
      </c>
      <c r="E2181">
        <v>0</v>
      </c>
      <c r="F2181">
        <v>0</v>
      </c>
      <c r="G2181">
        <v>49</v>
      </c>
      <c r="H2181" s="4">
        <v>1570531906965</v>
      </c>
      <c r="I2181">
        <v>532.3125</v>
      </c>
      <c r="J2181" s="9">
        <f t="shared" si="34"/>
        <v>43746.74429357639</v>
      </c>
      <c r="K2181" s="1"/>
    </row>
    <row r="2182" spans="1:11" x14ac:dyDescent="0.25">
      <c r="A2182" t="e">
        <f>-LqeznRBvOkCgT7aLw8e</f>
        <v>#NAME?</v>
      </c>
      <c r="B2182">
        <v>393.75</v>
      </c>
      <c r="C2182">
        <v>20.584240000000001</v>
      </c>
      <c r="D2182">
        <v>54</v>
      </c>
      <c r="E2182">
        <v>0</v>
      </c>
      <c r="F2182">
        <v>0</v>
      </c>
      <c r="G2182">
        <v>38</v>
      </c>
      <c r="H2182" s="4">
        <v>1570531914154</v>
      </c>
      <c r="I2182">
        <v>526.5</v>
      </c>
      <c r="J2182" s="9">
        <f t="shared" si="34"/>
        <v>43746.744376782408</v>
      </c>
      <c r="K2182" s="1"/>
    </row>
    <row r="2183" spans="1:11" x14ac:dyDescent="0.25">
      <c r="A2183" t="e">
        <f>-Lqezp9MGVANNI7aBx67</f>
        <v>#NAME?</v>
      </c>
      <c r="B2183">
        <v>393.75</v>
      </c>
      <c r="C2183">
        <v>20.531590000000001</v>
      </c>
      <c r="D2183">
        <v>54</v>
      </c>
      <c r="E2183">
        <v>0</v>
      </c>
      <c r="F2183">
        <v>0</v>
      </c>
      <c r="G2183">
        <v>42</v>
      </c>
      <c r="H2183" s="4">
        <v>1570531921365</v>
      </c>
      <c r="I2183">
        <v>526.6875</v>
      </c>
      <c r="J2183" s="9">
        <f t="shared" si="34"/>
        <v>43746.744460243055</v>
      </c>
      <c r="K2183" s="1"/>
    </row>
    <row r="2184" spans="1:11" x14ac:dyDescent="0.25">
      <c r="A2184" t="e">
        <f>-LqezqxEWKar3ftT19k4</f>
        <v>#NAME?</v>
      </c>
      <c r="B2184">
        <v>393.75</v>
      </c>
      <c r="C2184">
        <v>20.584240000000001</v>
      </c>
      <c r="D2184">
        <v>53</v>
      </c>
      <c r="E2184">
        <v>0</v>
      </c>
      <c r="F2184">
        <v>0</v>
      </c>
      <c r="G2184">
        <v>44</v>
      </c>
      <c r="H2184" s="4">
        <v>1570531928585</v>
      </c>
      <c r="I2184">
        <v>526.6875</v>
      </c>
      <c r="J2184" s="9">
        <f t="shared" si="34"/>
        <v>43746.744543807865</v>
      </c>
      <c r="K2184" s="1"/>
    </row>
    <row r="2185" spans="1:11" x14ac:dyDescent="0.25">
      <c r="A2185" t="e">
        <f>-LqezsfC3G5aZNSgyyKf</f>
        <v>#NAME?</v>
      </c>
      <c r="B2185">
        <v>393.75</v>
      </c>
      <c r="C2185">
        <v>20.584240000000001</v>
      </c>
      <c r="D2185">
        <v>53</v>
      </c>
      <c r="E2185">
        <v>0</v>
      </c>
      <c r="F2185">
        <v>0</v>
      </c>
      <c r="G2185">
        <v>43</v>
      </c>
      <c r="H2185" s="4">
        <v>1570531935767</v>
      </c>
      <c r="I2185">
        <v>526.6875</v>
      </c>
      <c r="J2185" s="9">
        <f t="shared" si="34"/>
        <v>43746.744626932872</v>
      </c>
      <c r="K2185" s="1"/>
    </row>
    <row r="2186" spans="1:11" x14ac:dyDescent="0.25">
      <c r="A2186" t="e">
        <f>-LqezuECv4NeBtEsidrJ</f>
        <v>#NAME?</v>
      </c>
      <c r="B2186">
        <v>393.75</v>
      </c>
      <c r="C2186">
        <v>20.531590000000001</v>
      </c>
      <c r="D2186">
        <v>53</v>
      </c>
      <c r="E2186">
        <v>0</v>
      </c>
      <c r="F2186">
        <v>0</v>
      </c>
      <c r="G2186">
        <v>45</v>
      </c>
      <c r="H2186" s="4">
        <v>1570531941975</v>
      </c>
      <c r="I2186">
        <v>526.5</v>
      </c>
      <c r="J2186" s="9">
        <f t="shared" si="34"/>
        <v>43746.744698784722</v>
      </c>
      <c r="K2186" s="1"/>
    </row>
    <row r="2187" spans="1:11" x14ac:dyDescent="0.25">
      <c r="A2187" t="e">
        <f>-LqezvxDVumu3q_XzW0C</f>
        <v>#NAME?</v>
      </c>
      <c r="B2187">
        <v>393.75</v>
      </c>
      <c r="C2187">
        <v>20.584240000000001</v>
      </c>
      <c r="D2187">
        <v>53</v>
      </c>
      <c r="E2187">
        <v>0</v>
      </c>
      <c r="F2187">
        <v>0</v>
      </c>
      <c r="G2187">
        <v>46</v>
      </c>
      <c r="H2187" s="4">
        <v>1570531949205</v>
      </c>
      <c r="I2187">
        <v>526.6875</v>
      </c>
      <c r="J2187" s="9">
        <f t="shared" si="34"/>
        <v>43746.74478246527</v>
      </c>
      <c r="K2187" s="1"/>
    </row>
    <row r="2188" spans="1:11" x14ac:dyDescent="0.25">
      <c r="A2188" t="e">
        <f>-LqezxR4N2lKlBWxBkyl</f>
        <v>#NAME?</v>
      </c>
      <c r="B2188">
        <v>393.75</v>
      </c>
      <c r="C2188">
        <v>20.584240000000001</v>
      </c>
      <c r="D2188">
        <v>53</v>
      </c>
      <c r="E2188">
        <v>0</v>
      </c>
      <c r="F2188">
        <v>0</v>
      </c>
      <c r="G2188">
        <v>40</v>
      </c>
      <c r="H2188" s="4">
        <v>1570531955374</v>
      </c>
      <c r="I2188">
        <v>526.6875</v>
      </c>
      <c r="J2188" s="9">
        <f t="shared" si="34"/>
        <v>43746.744853865741</v>
      </c>
      <c r="K2188" s="1"/>
    </row>
    <row r="2189" spans="1:11" x14ac:dyDescent="0.25">
      <c r="A2189" t="e">
        <f>-Lqezz-BAZbhXxXa2PT1</f>
        <v>#NAME?</v>
      </c>
      <c r="B2189">
        <v>412.5</v>
      </c>
      <c r="C2189">
        <v>20.531590000000001</v>
      </c>
      <c r="D2189">
        <v>54</v>
      </c>
      <c r="E2189">
        <v>0</v>
      </c>
      <c r="F2189">
        <v>0</v>
      </c>
      <c r="G2189">
        <v>41</v>
      </c>
      <c r="H2189" s="4">
        <v>1570531961554</v>
      </c>
      <c r="I2189">
        <v>532.3125</v>
      </c>
      <c r="J2189" s="9">
        <f t="shared" si="34"/>
        <v>43746.744925393512</v>
      </c>
      <c r="K2189" s="1"/>
    </row>
    <row r="2190" spans="1:11" x14ac:dyDescent="0.25">
      <c r="A2190" t="e">
        <f>-Lqf--iDJRQqJYfqgQ8u</f>
        <v>#NAME?</v>
      </c>
      <c r="B2190">
        <v>393.75</v>
      </c>
      <c r="C2190">
        <v>20.531590000000001</v>
      </c>
      <c r="D2190">
        <v>53</v>
      </c>
      <c r="E2190">
        <v>0</v>
      </c>
      <c r="F2190">
        <v>0</v>
      </c>
      <c r="G2190">
        <v>43</v>
      </c>
      <c r="H2190" s="4">
        <v>1570531968745</v>
      </c>
      <c r="I2190">
        <v>526.6875</v>
      </c>
      <c r="J2190" s="9">
        <f t="shared" si="34"/>
        <v>43746.745008622682</v>
      </c>
      <c r="K2190" s="1"/>
    </row>
    <row r="2191" spans="1:11" x14ac:dyDescent="0.25">
      <c r="A2191" t="s">
        <v>119</v>
      </c>
      <c r="B2191">
        <v>393.75</v>
      </c>
      <c r="C2191">
        <v>20.531590000000001</v>
      </c>
      <c r="D2191">
        <v>53</v>
      </c>
      <c r="E2191">
        <v>0</v>
      </c>
      <c r="F2191">
        <v>0</v>
      </c>
      <c r="G2191">
        <v>47</v>
      </c>
      <c r="H2191" s="4">
        <v>1570531974914</v>
      </c>
      <c r="I2191">
        <v>526.6875</v>
      </c>
      <c r="J2191" s="9">
        <f t="shared" si="34"/>
        <v>43746.745080023145</v>
      </c>
      <c r="K2191" s="1"/>
    </row>
    <row r="2192" spans="1:11" x14ac:dyDescent="0.25">
      <c r="A2192" t="s">
        <v>120</v>
      </c>
      <c r="B2192">
        <v>412.5</v>
      </c>
      <c r="C2192">
        <v>20.584240000000001</v>
      </c>
      <c r="D2192">
        <v>54</v>
      </c>
      <c r="E2192">
        <v>0</v>
      </c>
      <c r="F2192">
        <v>0</v>
      </c>
      <c r="G2192">
        <v>48</v>
      </c>
      <c r="H2192" s="4">
        <v>1570531982164</v>
      </c>
      <c r="I2192">
        <v>532.125</v>
      </c>
      <c r="J2192" s="9">
        <f t="shared" si="34"/>
        <v>43746.745163935186</v>
      </c>
      <c r="K2192" s="1"/>
    </row>
    <row r="2193" spans="1:11" x14ac:dyDescent="0.25">
      <c r="A2193" t="s">
        <v>121</v>
      </c>
      <c r="B2193">
        <v>393.75</v>
      </c>
      <c r="C2193">
        <v>20.584240000000001</v>
      </c>
      <c r="D2193">
        <v>54</v>
      </c>
      <c r="E2193">
        <v>0</v>
      </c>
      <c r="F2193">
        <v>0</v>
      </c>
      <c r="G2193">
        <v>55</v>
      </c>
      <c r="H2193" s="4">
        <v>1570531988334</v>
      </c>
      <c r="I2193">
        <v>526.5</v>
      </c>
      <c r="J2193" s="9">
        <f t="shared" si="34"/>
        <v>43746.745235347218</v>
      </c>
      <c r="K2193" s="1"/>
    </row>
    <row r="2194" spans="1:11" x14ac:dyDescent="0.25">
      <c r="A2194" t="s">
        <v>122</v>
      </c>
      <c r="B2194">
        <v>393.75</v>
      </c>
      <c r="C2194">
        <v>20.584240000000001</v>
      </c>
      <c r="D2194">
        <v>54</v>
      </c>
      <c r="E2194">
        <v>0</v>
      </c>
      <c r="F2194">
        <v>0</v>
      </c>
      <c r="G2194">
        <v>47</v>
      </c>
      <c r="H2194" s="4">
        <v>1570531998286</v>
      </c>
      <c r="I2194">
        <v>526.6875</v>
      </c>
      <c r="J2194" s="9">
        <f t="shared" si="34"/>
        <v>43746.745350532401</v>
      </c>
      <c r="K2194" s="1"/>
    </row>
    <row r="2195" spans="1:11" x14ac:dyDescent="0.25">
      <c r="A2195" t="s">
        <v>123</v>
      </c>
      <c r="B2195">
        <v>393.75</v>
      </c>
      <c r="C2195">
        <v>20.584240000000001</v>
      </c>
      <c r="D2195">
        <v>55</v>
      </c>
      <c r="E2195">
        <v>0</v>
      </c>
      <c r="F2195">
        <v>0</v>
      </c>
      <c r="G2195">
        <v>51</v>
      </c>
      <c r="H2195" s="4">
        <v>1570532006853</v>
      </c>
      <c r="I2195">
        <v>526.5</v>
      </c>
      <c r="J2195" s="9">
        <f t="shared" si="34"/>
        <v>43746.745449687493</v>
      </c>
      <c r="K2195" s="1"/>
    </row>
    <row r="2196" spans="1:11" x14ac:dyDescent="0.25">
      <c r="A2196" t="e">
        <f>-Lqf-A_9pIRvicwBFcYy</f>
        <v>#NAME?</v>
      </c>
      <c r="B2196">
        <v>393.75</v>
      </c>
      <c r="C2196">
        <v>20.584240000000001</v>
      </c>
      <c r="D2196">
        <v>55</v>
      </c>
      <c r="E2196">
        <v>0</v>
      </c>
      <c r="F2196">
        <v>0</v>
      </c>
      <c r="G2196">
        <v>42</v>
      </c>
      <c r="H2196" s="4">
        <v>1570532013064</v>
      </c>
      <c r="I2196">
        <v>526.6875</v>
      </c>
      <c r="J2196" s="9">
        <f t="shared" si="34"/>
        <v>43746.74552157407</v>
      </c>
      <c r="K2196" s="1"/>
    </row>
    <row r="2197" spans="1:11" x14ac:dyDescent="0.25">
      <c r="A2197" t="s">
        <v>124</v>
      </c>
      <c r="B2197">
        <v>393.75</v>
      </c>
      <c r="C2197">
        <v>20.584240000000001</v>
      </c>
      <c r="D2197">
        <v>55</v>
      </c>
      <c r="E2197">
        <v>0</v>
      </c>
      <c r="F2197">
        <v>0</v>
      </c>
      <c r="G2197">
        <v>47</v>
      </c>
      <c r="H2197" s="4">
        <v>1570532019243</v>
      </c>
      <c r="I2197">
        <v>526.6875</v>
      </c>
      <c r="J2197" s="9">
        <f t="shared" si="34"/>
        <v>43746.745593090272</v>
      </c>
      <c r="K2197" s="1"/>
    </row>
    <row r="2198" spans="1:11" x14ac:dyDescent="0.25">
      <c r="A2198" t="e">
        <f>-Lqf-DY1LfB7ydcQZyMU</f>
        <v>#NAME?</v>
      </c>
      <c r="B2198">
        <v>393.75</v>
      </c>
      <c r="C2198">
        <v>20.584240000000001</v>
      </c>
      <c r="D2198">
        <v>54</v>
      </c>
      <c r="E2198">
        <v>0</v>
      </c>
      <c r="F2198">
        <v>0</v>
      </c>
      <c r="G2198">
        <v>41</v>
      </c>
      <c r="H2198" s="4">
        <v>1570532025433</v>
      </c>
      <c r="I2198">
        <v>526.6875</v>
      </c>
      <c r="J2198" s="9">
        <f t="shared" si="34"/>
        <v>43746.745664733789</v>
      </c>
      <c r="K2198" s="1"/>
    </row>
    <row r="2199" spans="1:11" x14ac:dyDescent="0.25">
      <c r="A2199" t="e">
        <f>-Lqf-F6BpBaa6wYtFZL6</f>
        <v>#NAME?</v>
      </c>
      <c r="B2199">
        <v>434.375</v>
      </c>
      <c r="C2199">
        <v>20.584240000000001</v>
      </c>
      <c r="D2199">
        <v>54</v>
      </c>
      <c r="E2199">
        <v>0</v>
      </c>
      <c r="F2199">
        <v>0</v>
      </c>
      <c r="G2199">
        <v>51</v>
      </c>
      <c r="H2199" s="4">
        <v>1570532031611</v>
      </c>
      <c r="I2199">
        <v>539.4375</v>
      </c>
      <c r="J2199" s="9">
        <f t="shared" si="34"/>
        <v>43746.745736238423</v>
      </c>
      <c r="K2199" s="1"/>
    </row>
    <row r="2200" spans="1:11" x14ac:dyDescent="0.25">
      <c r="A2200" t="e">
        <f>-Lqf-GmfhGvuxoYq3ir8</f>
        <v>#NAME?</v>
      </c>
      <c r="B2200">
        <v>393.75</v>
      </c>
      <c r="C2200">
        <v>20.584240000000001</v>
      </c>
      <c r="D2200">
        <v>56</v>
      </c>
      <c r="E2200">
        <v>0</v>
      </c>
      <c r="F2200">
        <v>0</v>
      </c>
      <c r="G2200">
        <v>46</v>
      </c>
      <c r="H2200" s="4">
        <v>1570532038802</v>
      </c>
      <c r="I2200">
        <v>526.6875</v>
      </c>
      <c r="J2200" s="9">
        <f t="shared" si="34"/>
        <v>43746.745819467593</v>
      </c>
      <c r="K2200" s="1"/>
    </row>
    <row r="2201" spans="1:11" x14ac:dyDescent="0.25">
      <c r="A2201" t="e">
        <f>-Lqf-IOIH5PULO1fuXBP</f>
        <v>#NAME?</v>
      </c>
      <c r="B2201">
        <v>393.75</v>
      </c>
      <c r="C2201">
        <v>20.584240000000001</v>
      </c>
      <c r="D2201">
        <v>56</v>
      </c>
      <c r="E2201">
        <v>0</v>
      </c>
      <c r="F2201">
        <v>0</v>
      </c>
      <c r="G2201">
        <v>49</v>
      </c>
      <c r="H2201" s="4">
        <v>1570532045001</v>
      </c>
      <c r="I2201">
        <v>526.6875</v>
      </c>
      <c r="J2201" s="9">
        <f t="shared" si="34"/>
        <v>43746.745891215272</v>
      </c>
      <c r="K2201" s="1"/>
    </row>
    <row r="2202" spans="1:11" x14ac:dyDescent="0.25">
      <c r="A2202" t="e">
        <f>-Lqf-K696gAAj6PeAzgZ</f>
        <v>#NAME?</v>
      </c>
      <c r="B2202">
        <v>393.75</v>
      </c>
      <c r="C2202">
        <v>20.531590000000001</v>
      </c>
      <c r="D2202">
        <v>55</v>
      </c>
      <c r="E2202">
        <v>0</v>
      </c>
      <c r="F2202">
        <v>0</v>
      </c>
      <c r="G2202">
        <v>51</v>
      </c>
      <c r="H2202" s="4">
        <v>1570532052222</v>
      </c>
      <c r="I2202">
        <v>526.6875</v>
      </c>
      <c r="J2202" s="9">
        <f t="shared" si="34"/>
        <v>43746.745974791666</v>
      </c>
      <c r="K2202" s="1"/>
    </row>
    <row r="2203" spans="1:11" x14ac:dyDescent="0.25">
      <c r="A2203" t="e">
        <f>-Lqf-LZwrGOoYbnrSmUA</f>
        <v>#NAME?</v>
      </c>
      <c r="B2203">
        <v>393.75</v>
      </c>
      <c r="C2203">
        <v>20.584240000000001</v>
      </c>
      <c r="D2203">
        <v>55</v>
      </c>
      <c r="E2203">
        <v>0</v>
      </c>
      <c r="F2203">
        <v>0</v>
      </c>
      <c r="G2203">
        <v>48</v>
      </c>
      <c r="H2203" s="4">
        <v>1570532058403</v>
      </c>
      <c r="I2203">
        <v>526.6875</v>
      </c>
      <c r="J2203" s="9">
        <f t="shared" si="34"/>
        <v>43746.74604633102</v>
      </c>
      <c r="K2203" s="1"/>
    </row>
    <row r="2204" spans="1:11" x14ac:dyDescent="0.25">
      <c r="A2204" t="e">
        <f>-Lqf-N9J_DUqYEF3XloJ</f>
        <v>#NAME?</v>
      </c>
      <c r="B2204">
        <v>393.75</v>
      </c>
      <c r="C2204">
        <v>20.584240000000001</v>
      </c>
      <c r="D2204">
        <v>55</v>
      </c>
      <c r="E2204">
        <v>0</v>
      </c>
      <c r="F2204">
        <v>0</v>
      </c>
      <c r="G2204">
        <v>49</v>
      </c>
      <c r="H2204" s="4">
        <v>1570532064584</v>
      </c>
      <c r="I2204">
        <v>526.6875</v>
      </c>
      <c r="J2204" s="9">
        <f t="shared" si="34"/>
        <v>43746.746117870367</v>
      </c>
      <c r="K2204" s="1"/>
    </row>
    <row r="2205" spans="1:11" x14ac:dyDescent="0.25">
      <c r="A2205" t="e">
        <f>-Lqf-OsKCbwn7QCfmWLb</f>
        <v>#NAME?</v>
      </c>
      <c r="B2205">
        <v>393.75</v>
      </c>
      <c r="C2205">
        <v>20.584240000000001</v>
      </c>
      <c r="D2205">
        <v>54</v>
      </c>
      <c r="E2205">
        <v>0</v>
      </c>
      <c r="F2205">
        <v>0</v>
      </c>
      <c r="G2205">
        <v>48</v>
      </c>
      <c r="H2205" s="4">
        <v>1570532071763</v>
      </c>
      <c r="I2205">
        <v>526.6875</v>
      </c>
      <c r="J2205" s="9">
        <f t="shared" si="34"/>
        <v>43746.746200960646</v>
      </c>
      <c r="K2205" s="1"/>
    </row>
    <row r="2206" spans="1:11" x14ac:dyDescent="0.25">
      <c r="A2206" t="e">
        <f>-Lqf-QRBY56KyA1V0X_o</f>
        <v>#NAME?</v>
      </c>
      <c r="B2206">
        <v>393.75</v>
      </c>
      <c r="C2206">
        <v>20.531590000000001</v>
      </c>
      <c r="D2206">
        <v>54</v>
      </c>
      <c r="E2206">
        <v>0</v>
      </c>
      <c r="F2206">
        <v>0</v>
      </c>
      <c r="G2206">
        <v>50</v>
      </c>
      <c r="H2206" s="4">
        <v>1570532077963</v>
      </c>
      <c r="I2206">
        <v>526.6875</v>
      </c>
      <c r="J2206" s="9">
        <f t="shared" si="34"/>
        <v>43746.746272719909</v>
      </c>
      <c r="K2206" s="1"/>
    </row>
    <row r="2207" spans="1:11" x14ac:dyDescent="0.25">
      <c r="A2207" t="e">
        <f>-Lqf-S98gDnIfls0jqVA</f>
        <v>#NAME?</v>
      </c>
      <c r="B2207">
        <v>393.75</v>
      </c>
      <c r="C2207">
        <v>20.584240000000001</v>
      </c>
      <c r="D2207">
        <v>56</v>
      </c>
      <c r="E2207">
        <v>0</v>
      </c>
      <c r="F2207">
        <v>0</v>
      </c>
      <c r="G2207">
        <v>54</v>
      </c>
      <c r="H2207" s="4">
        <v>1570532085202</v>
      </c>
      <c r="I2207">
        <v>526.6875</v>
      </c>
      <c r="J2207" s="9">
        <f t="shared" si="34"/>
        <v>43746.746356504627</v>
      </c>
      <c r="K2207" s="1"/>
    </row>
    <row r="2208" spans="1:11" x14ac:dyDescent="0.25">
      <c r="A2208" t="e">
        <f>-Lqf-Td1e-U5uAxBt0sj</f>
        <v>#NAME?</v>
      </c>
      <c r="B2208">
        <v>393.75</v>
      </c>
      <c r="C2208">
        <v>20.584240000000001</v>
      </c>
      <c r="D2208">
        <v>55</v>
      </c>
      <c r="E2208">
        <v>0</v>
      </c>
      <c r="F2208">
        <v>0</v>
      </c>
      <c r="G2208">
        <v>46</v>
      </c>
      <c r="H2208" s="4">
        <v>1570532091372</v>
      </c>
      <c r="I2208">
        <v>526.6875</v>
      </c>
      <c r="J2208" s="9">
        <f t="shared" si="34"/>
        <v>43746.746427916667</v>
      </c>
      <c r="K2208" s="1"/>
    </row>
    <row r="2209" spans="1:11" x14ac:dyDescent="0.25">
      <c r="A2209" t="e">
        <f>-Lqf-VCAmNibzhKoTJ82</f>
        <v>#NAME?</v>
      </c>
      <c r="B2209">
        <v>393.75</v>
      </c>
      <c r="C2209">
        <v>20.584240000000001</v>
      </c>
      <c r="D2209">
        <v>57</v>
      </c>
      <c r="E2209">
        <v>0</v>
      </c>
      <c r="F2209">
        <v>0</v>
      </c>
      <c r="G2209">
        <v>42</v>
      </c>
      <c r="H2209" s="4">
        <v>1570532097552</v>
      </c>
      <c r="I2209">
        <v>526.6875</v>
      </c>
      <c r="J2209" s="9">
        <f t="shared" si="34"/>
        <v>43746.746499444438</v>
      </c>
      <c r="K2209" s="1"/>
    </row>
    <row r="2210" spans="1:11" x14ac:dyDescent="0.25">
      <c r="A2210" t="e">
        <f>-Lqf-Wg8XtVTj0j5a-#REF!</f>
        <v>#NAME?</v>
      </c>
      <c r="B2210">
        <v>393.75</v>
      </c>
      <c r="C2210">
        <v>20.584240000000001</v>
      </c>
      <c r="D2210">
        <v>57</v>
      </c>
      <c r="E2210">
        <v>0</v>
      </c>
      <c r="F2210">
        <v>0</v>
      </c>
      <c r="G2210">
        <v>55</v>
      </c>
      <c r="H2210" s="4">
        <v>1570532103732</v>
      </c>
      <c r="I2210">
        <v>526.6875</v>
      </c>
      <c r="J2210" s="9">
        <f t="shared" si="34"/>
        <v>43746.746570972224</v>
      </c>
      <c r="K2210" s="1"/>
    </row>
    <row r="2211" spans="1:11" x14ac:dyDescent="0.25">
      <c r="A2211" t="e">
        <f>-Lqf-YADOstEBa1-WkoF</f>
        <v>#NAME?</v>
      </c>
      <c r="B2211">
        <v>393.75</v>
      </c>
      <c r="C2211">
        <v>20.531590000000001</v>
      </c>
      <c r="D2211">
        <v>57</v>
      </c>
      <c r="E2211">
        <v>0</v>
      </c>
      <c r="F2211">
        <v>0</v>
      </c>
      <c r="G2211">
        <v>41</v>
      </c>
      <c r="H2211" s="4">
        <v>1570532109921</v>
      </c>
      <c r="I2211">
        <v>526.6875</v>
      </c>
      <c r="J2211" s="9">
        <f t="shared" si="34"/>
        <v>43746.746642604165</v>
      </c>
      <c r="K2211" s="1"/>
    </row>
    <row r="2212" spans="1:11" x14ac:dyDescent="0.25">
      <c r="A2212" t="e">
        <f>-Lqf-Zj0mx641BXMYsWX</f>
        <v>#NAME?</v>
      </c>
      <c r="B2212">
        <v>393.75</v>
      </c>
      <c r="C2212">
        <v>20.531590000000001</v>
      </c>
      <c r="D2212">
        <v>55</v>
      </c>
      <c r="E2212">
        <v>0</v>
      </c>
      <c r="F2212">
        <v>0</v>
      </c>
      <c r="G2212">
        <v>43</v>
      </c>
      <c r="H2212" s="4">
        <v>1570532116095</v>
      </c>
      <c r="I2212">
        <v>526.6875</v>
      </c>
      <c r="J2212" s="9">
        <f t="shared" si="34"/>
        <v>43746.746714062501</v>
      </c>
      <c r="K2212" s="1"/>
    </row>
    <row r="2213" spans="1:11" x14ac:dyDescent="0.25">
      <c r="A2213" t="e">
        <f>-Lqf-aC5JZITvc7-orAL</f>
        <v>#NAME?</v>
      </c>
      <c r="B2213">
        <v>412.5</v>
      </c>
      <c r="C2213">
        <v>20.584240000000001</v>
      </c>
      <c r="D2213">
        <v>55</v>
      </c>
      <c r="E2213">
        <v>0</v>
      </c>
      <c r="F2213">
        <v>0</v>
      </c>
      <c r="G2213">
        <v>44</v>
      </c>
      <c r="H2213" s="4">
        <v>1570532122271</v>
      </c>
      <c r="I2213">
        <v>532.3125</v>
      </c>
      <c r="J2213" s="9">
        <f t="shared" si="34"/>
        <v>43746.746785543983</v>
      </c>
      <c r="K2213" s="1"/>
    </row>
    <row r="2214" spans="1:11" x14ac:dyDescent="0.25">
      <c r="A2214" t="e">
        <f>-Lqf-cBIh1VRnNaR6iCY</f>
        <v>#NAME?</v>
      </c>
      <c r="B2214">
        <v>393.75</v>
      </c>
      <c r="C2214">
        <v>20.584240000000001</v>
      </c>
      <c r="D2214">
        <v>54</v>
      </c>
      <c r="E2214">
        <v>0</v>
      </c>
      <c r="F2214">
        <v>0</v>
      </c>
      <c r="G2214">
        <v>45</v>
      </c>
      <c r="H2214" s="4">
        <v>1570532129492</v>
      </c>
      <c r="I2214">
        <v>526.6875</v>
      </c>
      <c r="J2214" s="9">
        <f t="shared" si="34"/>
        <v>43746.746869120369</v>
      </c>
      <c r="K2214" s="1"/>
    </row>
    <row r="2215" spans="1:11" x14ac:dyDescent="0.25">
      <c r="A2215" t="e">
        <f>-Lqf-djBdOzx3VX8PWmm</f>
        <v>#NAME?</v>
      </c>
      <c r="B2215">
        <v>393.75</v>
      </c>
      <c r="C2215">
        <v>20.584240000000001</v>
      </c>
      <c r="D2215">
        <v>54</v>
      </c>
      <c r="E2215">
        <v>0</v>
      </c>
      <c r="F2215">
        <v>0</v>
      </c>
      <c r="G2215">
        <v>39</v>
      </c>
      <c r="H2215" s="4">
        <v>1570532136722</v>
      </c>
      <c r="I2215">
        <v>526.6875</v>
      </c>
      <c r="J2215" s="9">
        <f t="shared" si="34"/>
        <v>43746.746952800924</v>
      </c>
      <c r="K2215" s="1"/>
    </row>
    <row r="2216" spans="1:11" x14ac:dyDescent="0.25">
      <c r="A2216" t="e">
        <f>-Lqf-fD1s3wayKkn6P_q</f>
        <v>#NAME?</v>
      </c>
      <c r="B2216">
        <v>393.75</v>
      </c>
      <c r="C2216">
        <v>20.584240000000001</v>
      </c>
      <c r="D2216">
        <v>54</v>
      </c>
      <c r="E2216">
        <v>0</v>
      </c>
      <c r="F2216">
        <v>0</v>
      </c>
      <c r="G2216">
        <v>48</v>
      </c>
      <c r="H2216" s="4">
        <v>1570532142881</v>
      </c>
      <c r="I2216">
        <v>526.6875</v>
      </c>
      <c r="J2216" s="9">
        <f t="shared" si="34"/>
        <v>43746.747024085642</v>
      </c>
      <c r="K2216" s="1"/>
    </row>
    <row r="2217" spans="1:11" x14ac:dyDescent="0.25">
      <c r="A2217" t="e">
        <f>-Lqf-gmBjxQmfnndrTp8</f>
        <v>#NAME?</v>
      </c>
      <c r="B2217">
        <v>393.75</v>
      </c>
      <c r="C2217">
        <v>20.584240000000001</v>
      </c>
      <c r="D2217">
        <v>53</v>
      </c>
      <c r="E2217">
        <v>0</v>
      </c>
      <c r="F2217">
        <v>0</v>
      </c>
      <c r="G2217">
        <v>46</v>
      </c>
      <c r="H2217" s="4">
        <v>1570532149071</v>
      </c>
      <c r="I2217">
        <v>526.6875</v>
      </c>
      <c r="J2217" s="9">
        <f t="shared" si="34"/>
        <v>43746.747095729159</v>
      </c>
      <c r="K2217" s="1"/>
    </row>
    <row r="2218" spans="1:11" x14ac:dyDescent="0.25">
      <c r="A2218" t="e">
        <f>-Lqf-iVKWXxKXN8opkkT</f>
        <v>#NAME?</v>
      </c>
      <c r="B2218">
        <v>393.75</v>
      </c>
      <c r="C2218">
        <v>20.531590000000001</v>
      </c>
      <c r="D2218">
        <v>53</v>
      </c>
      <c r="E2218">
        <v>0</v>
      </c>
      <c r="F2218">
        <v>0</v>
      </c>
      <c r="G2218">
        <v>53</v>
      </c>
      <c r="H2218" s="4">
        <v>1570532156242</v>
      </c>
      <c r="I2218">
        <v>526.6875</v>
      </c>
      <c r="J2218" s="9">
        <f t="shared" si="34"/>
        <v>43746.747178726851</v>
      </c>
      <c r="K2218" s="1"/>
    </row>
    <row r="2219" spans="1:11" x14ac:dyDescent="0.25">
      <c r="A2219" t="e">
        <f>-Lqf-k39qZSq0oacXARl</f>
        <v>#NAME?</v>
      </c>
      <c r="B2219">
        <v>412.5</v>
      </c>
      <c r="C2219">
        <v>20.584240000000001</v>
      </c>
      <c r="D2219">
        <v>53</v>
      </c>
      <c r="E2219">
        <v>0</v>
      </c>
      <c r="F2219">
        <v>0</v>
      </c>
      <c r="G2219">
        <v>51</v>
      </c>
      <c r="H2219" s="4">
        <v>1570532162442</v>
      </c>
      <c r="I2219">
        <v>532.3125</v>
      </c>
      <c r="J2219" s="9">
        <f t="shared" si="34"/>
        <v>43746.747250486107</v>
      </c>
      <c r="K2219" s="1"/>
    </row>
    <row r="2220" spans="1:11" x14ac:dyDescent="0.25">
      <c r="A2220" t="e">
        <f>-Lqf-lmJ2Ji3esF41cpI</f>
        <v>#NAME?</v>
      </c>
      <c r="B2220">
        <v>393.75</v>
      </c>
      <c r="C2220">
        <v>20.531590000000001</v>
      </c>
      <c r="D2220">
        <v>54</v>
      </c>
      <c r="E2220">
        <v>0</v>
      </c>
      <c r="F2220">
        <v>0</v>
      </c>
      <c r="G2220">
        <v>49</v>
      </c>
      <c r="H2220" s="4">
        <v>1570532169681</v>
      </c>
      <c r="I2220">
        <v>526.5</v>
      </c>
      <c r="J2220" s="9">
        <f t="shared" si="34"/>
        <v>43746.747334270833</v>
      </c>
      <c r="K2220" s="1"/>
    </row>
    <row r="2221" spans="1:11" x14ac:dyDescent="0.25">
      <c r="A2221" t="e">
        <f>-Lqf-n_1bDIvAFBHod5H</f>
        <v>#NAME?</v>
      </c>
      <c r="B2221">
        <v>393.75</v>
      </c>
      <c r="C2221">
        <v>20.584240000000001</v>
      </c>
      <c r="D2221">
        <v>54</v>
      </c>
      <c r="E2221">
        <v>0</v>
      </c>
      <c r="F2221">
        <v>0</v>
      </c>
      <c r="G2221">
        <v>46</v>
      </c>
      <c r="H2221" s="4">
        <v>1570532176892</v>
      </c>
      <c r="I2221">
        <v>526.6875</v>
      </c>
      <c r="J2221" s="9">
        <f t="shared" si="34"/>
        <v>43746.74741773148</v>
      </c>
      <c r="K2221" s="1"/>
    </row>
    <row r="2222" spans="1:11" x14ac:dyDescent="0.25">
      <c r="A2222" t="e">
        <f>-Lqf-pICfwoXelTGd6wF</f>
        <v>#NAME?</v>
      </c>
      <c r="B2222">
        <v>393.75</v>
      </c>
      <c r="C2222">
        <v>20.531590000000001</v>
      </c>
      <c r="D2222">
        <v>54</v>
      </c>
      <c r="E2222">
        <v>0</v>
      </c>
      <c r="F2222">
        <v>0</v>
      </c>
      <c r="G2222">
        <v>38</v>
      </c>
      <c r="H2222" s="4">
        <v>1570532184082</v>
      </c>
      <c r="I2222">
        <v>526.6875</v>
      </c>
      <c r="J2222" s="9">
        <f t="shared" si="34"/>
        <v>43746.747500949066</v>
      </c>
      <c r="K2222" s="1"/>
    </row>
    <row r="2223" spans="1:11" x14ac:dyDescent="0.25">
      <c r="A2223" t="e">
        <f>-Lqf-qpv0Wgg7and_-Gx</f>
        <v>#NAME?</v>
      </c>
      <c r="B2223">
        <v>393.75</v>
      </c>
      <c r="C2223">
        <v>20.584240000000001</v>
      </c>
      <c r="D2223">
        <v>54</v>
      </c>
      <c r="E2223">
        <v>0</v>
      </c>
      <c r="F2223">
        <v>0</v>
      </c>
      <c r="G2223">
        <v>52</v>
      </c>
      <c r="H2223" s="4">
        <v>1570532190282</v>
      </c>
      <c r="I2223">
        <v>526.6875</v>
      </c>
      <c r="J2223" s="9">
        <f t="shared" si="34"/>
        <v>43746.747572708329</v>
      </c>
      <c r="K2223" s="1"/>
    </row>
    <row r="2224" spans="1:11" x14ac:dyDescent="0.25">
      <c r="A2224" t="e">
        <f>-Lqf-sL1Bc5KRyg67jV8</f>
        <v>#NAME?</v>
      </c>
      <c r="B2224">
        <v>393.75</v>
      </c>
      <c r="C2224">
        <v>20.584240000000001</v>
      </c>
      <c r="D2224">
        <v>54</v>
      </c>
      <c r="E2224">
        <v>0</v>
      </c>
      <c r="F2224">
        <v>0</v>
      </c>
      <c r="G2224">
        <v>48</v>
      </c>
      <c r="H2224" s="4">
        <v>1570532196442</v>
      </c>
      <c r="I2224">
        <v>526.6875</v>
      </c>
      <c r="J2224" s="9">
        <f t="shared" si="34"/>
        <v>43746.747644004623</v>
      </c>
      <c r="K2224" s="1"/>
    </row>
    <row r="2225" spans="1:11" x14ac:dyDescent="0.25">
      <c r="A2225" t="e">
        <f>-Lqf-tp19ETp_C-U0J-d</f>
        <v>#NAME?</v>
      </c>
      <c r="B2225">
        <v>412.5</v>
      </c>
      <c r="C2225">
        <v>20.531590000000001</v>
      </c>
      <c r="D2225">
        <v>53</v>
      </c>
      <c r="E2225">
        <v>0</v>
      </c>
      <c r="F2225">
        <v>0</v>
      </c>
      <c r="G2225">
        <v>46</v>
      </c>
      <c r="H2225" s="4">
        <v>1570532202643</v>
      </c>
      <c r="I2225">
        <v>532.125</v>
      </c>
      <c r="J2225" s="9">
        <f t="shared" si="34"/>
        <v>43746.747715775462</v>
      </c>
      <c r="K2225" s="1"/>
    </row>
    <row r="2226" spans="1:11" x14ac:dyDescent="0.25">
      <c r="A2226" t="e">
        <f>-Lqf-vhVhsV5bd4-xYwo</f>
        <v>#NAME?</v>
      </c>
      <c r="B2226">
        <v>393.75</v>
      </c>
      <c r="C2226">
        <v>20.584240000000001</v>
      </c>
      <c r="D2226">
        <v>53</v>
      </c>
      <c r="E2226">
        <v>0</v>
      </c>
      <c r="F2226">
        <v>0</v>
      </c>
      <c r="G2226">
        <v>46</v>
      </c>
      <c r="H2226" s="4">
        <v>1570532208832</v>
      </c>
      <c r="I2226">
        <v>526.6875</v>
      </c>
      <c r="J2226" s="9">
        <f t="shared" si="34"/>
        <v>43746.747787407403</v>
      </c>
      <c r="K2226" s="1"/>
    </row>
    <row r="2227" spans="1:11" x14ac:dyDescent="0.25">
      <c r="A2227" t="e">
        <f>-Lqf-x_BUbLe1o9tObDE</f>
        <v>#NAME?</v>
      </c>
      <c r="B2227">
        <v>393.75</v>
      </c>
      <c r="C2227">
        <v>20.584240000000001</v>
      </c>
      <c r="D2227">
        <v>56</v>
      </c>
      <c r="E2227">
        <v>0</v>
      </c>
      <c r="F2227">
        <v>0</v>
      </c>
      <c r="G2227">
        <v>60</v>
      </c>
      <c r="H2227" s="4">
        <v>1570532217910</v>
      </c>
      <c r="I2227">
        <v>526.6875</v>
      </c>
      <c r="J2227" s="9">
        <f t="shared" si="34"/>
        <v>43746.747892476851</v>
      </c>
      <c r="K2227" s="1"/>
    </row>
    <row r="2228" spans="1:11" x14ac:dyDescent="0.25">
      <c r="A2228" t="e">
        <f>-Lqf-z8BTxOHYjaESD_j</f>
        <v>#NAME?</v>
      </c>
      <c r="B2228">
        <v>393.75</v>
      </c>
      <c r="C2228">
        <v>20.584240000000001</v>
      </c>
      <c r="D2228">
        <v>56</v>
      </c>
      <c r="E2228">
        <v>0</v>
      </c>
      <c r="F2228">
        <v>0</v>
      </c>
      <c r="G2228">
        <v>45</v>
      </c>
      <c r="H2228" s="4">
        <v>1570532224293</v>
      </c>
      <c r="I2228">
        <v>526.5</v>
      </c>
      <c r="J2228" s="9">
        <f t="shared" si="34"/>
        <v>43746.747966354167</v>
      </c>
      <c r="K2228" s="1"/>
    </row>
    <row r="2229" spans="1:11" x14ac:dyDescent="0.25">
      <c r="A2229" t="e">
        <f>-Lqf0-cDgMcPewxq1ad1</f>
        <v>#NAME?</v>
      </c>
      <c r="B2229">
        <v>393.75</v>
      </c>
      <c r="C2229">
        <v>20.584240000000001</v>
      </c>
      <c r="D2229">
        <v>56</v>
      </c>
      <c r="E2229">
        <v>0</v>
      </c>
      <c r="F2229">
        <v>0</v>
      </c>
      <c r="G2229">
        <v>46</v>
      </c>
      <c r="H2229" s="4">
        <v>1570532230443</v>
      </c>
      <c r="I2229">
        <v>526.6875</v>
      </c>
      <c r="J2229" s="9">
        <f t="shared" si="34"/>
        <v>43746.748037534715</v>
      </c>
      <c r="K2229" s="1"/>
    </row>
    <row r="2230" spans="1:11" x14ac:dyDescent="0.25">
      <c r="A2230" t="e">
        <f>-Lqf01QGamp7YM2SaZH8</f>
        <v>#NAME?</v>
      </c>
      <c r="B2230">
        <v>393.75</v>
      </c>
      <c r="C2230">
        <v>20.584240000000001</v>
      </c>
      <c r="D2230">
        <v>56</v>
      </c>
      <c r="E2230">
        <v>0</v>
      </c>
      <c r="F2230">
        <v>0</v>
      </c>
      <c r="G2230">
        <v>49</v>
      </c>
      <c r="H2230" s="4">
        <v>1570532237686</v>
      </c>
      <c r="I2230">
        <v>526.5</v>
      </c>
      <c r="J2230" s="9">
        <f t="shared" si="34"/>
        <v>43746.748121365737</v>
      </c>
      <c r="K2230" s="1"/>
    </row>
    <row r="2231" spans="1:11" x14ac:dyDescent="0.25">
      <c r="A2231" t="e">
        <f>-Lqf038EGUV5n13y3Xlo</f>
        <v>#NAME?</v>
      </c>
      <c r="B2231">
        <v>393.75</v>
      </c>
      <c r="C2231">
        <v>20.584240000000001</v>
      </c>
      <c r="D2231">
        <v>56</v>
      </c>
      <c r="E2231">
        <v>0</v>
      </c>
      <c r="F2231">
        <v>0</v>
      </c>
      <c r="G2231">
        <v>40</v>
      </c>
      <c r="H2231" s="4">
        <v>1570532244885</v>
      </c>
      <c r="I2231">
        <v>526.5</v>
      </c>
      <c r="J2231" s="9">
        <f t="shared" si="34"/>
        <v>43746.748204687501</v>
      </c>
      <c r="K2231" s="1"/>
    </row>
    <row r="2232" spans="1:11" x14ac:dyDescent="0.25">
      <c r="A2232" t="e">
        <f>-Lqf04hqUJSG92q1tpxi</f>
        <v>#NAME?</v>
      </c>
      <c r="B2232">
        <v>393.75</v>
      </c>
      <c r="C2232">
        <v>20.584240000000001</v>
      </c>
      <c r="D2232">
        <v>56</v>
      </c>
      <c r="E2232">
        <v>0</v>
      </c>
      <c r="F2232">
        <v>0</v>
      </c>
      <c r="G2232">
        <v>46</v>
      </c>
      <c r="H2232" s="4">
        <v>1570532251074</v>
      </c>
      <c r="I2232">
        <v>526.6875</v>
      </c>
      <c r="J2232" s="9">
        <f t="shared" si="34"/>
        <v>43746.748276319442</v>
      </c>
      <c r="K2232" s="1"/>
    </row>
    <row r="2233" spans="1:11" x14ac:dyDescent="0.25">
      <c r="A2233" t="e">
        <f>-Lqf06P6rw_H3G2aXeel</f>
        <v>#NAME?</v>
      </c>
      <c r="B2233">
        <v>393.75</v>
      </c>
      <c r="C2233">
        <v>20.584240000000001</v>
      </c>
      <c r="D2233">
        <v>57</v>
      </c>
      <c r="E2233">
        <v>0</v>
      </c>
      <c r="F2233">
        <v>0</v>
      </c>
      <c r="G2233">
        <v>44</v>
      </c>
      <c r="H2233" s="4">
        <v>1570532258293</v>
      </c>
      <c r="I2233">
        <v>526.5</v>
      </c>
      <c r="J2233" s="9">
        <f t="shared" si="34"/>
        <v>43746.748359872683</v>
      </c>
      <c r="K2233" s="1"/>
    </row>
    <row r="2234" spans="1:11" x14ac:dyDescent="0.25">
      <c r="A2234" t="e">
        <f>-Lqf07sTCR4K32u2COPr</f>
        <v>#NAME?</v>
      </c>
      <c r="B2234">
        <v>393.75</v>
      </c>
      <c r="C2234">
        <v>20.584240000000001</v>
      </c>
      <c r="D2234">
        <v>57</v>
      </c>
      <c r="E2234">
        <v>0</v>
      </c>
      <c r="F2234">
        <v>0</v>
      </c>
      <c r="G2234">
        <v>55</v>
      </c>
      <c r="H2234" s="4">
        <v>1570532264483</v>
      </c>
      <c r="I2234">
        <v>526.6875</v>
      </c>
      <c r="J2234" s="9">
        <f t="shared" si="34"/>
        <v>43746.7484315162</v>
      </c>
      <c r="K2234" s="1"/>
    </row>
    <row r="2235" spans="1:11" x14ac:dyDescent="0.25">
      <c r="A2235" t="e">
        <f>-Lqf09T2EzkQd1DlCuwF</f>
        <v>#NAME?</v>
      </c>
      <c r="B2235">
        <v>393.75</v>
      </c>
      <c r="C2235">
        <v>20.584240000000001</v>
      </c>
      <c r="D2235">
        <v>57</v>
      </c>
      <c r="E2235">
        <v>0</v>
      </c>
      <c r="F2235">
        <v>0</v>
      </c>
      <c r="G2235">
        <v>55</v>
      </c>
      <c r="H2235" s="4">
        <v>1570532270654</v>
      </c>
      <c r="I2235">
        <v>526.6875</v>
      </c>
      <c r="J2235" s="9">
        <f t="shared" si="34"/>
        <v>43746.748502939816</v>
      </c>
      <c r="K2235" s="1"/>
    </row>
    <row r="2236" spans="1:11" x14ac:dyDescent="0.25">
      <c r="A2236" t="e">
        <f>-Lqf0AuYzOSTEr0v_1mC</f>
        <v>#NAME?</v>
      </c>
      <c r="B2236">
        <v>393.75</v>
      </c>
      <c r="C2236">
        <v>20.584240000000001</v>
      </c>
      <c r="D2236">
        <v>57</v>
      </c>
      <c r="E2236">
        <v>0</v>
      </c>
      <c r="F2236">
        <v>0</v>
      </c>
      <c r="G2236">
        <v>46</v>
      </c>
      <c r="H2236" s="4">
        <v>1570532276835</v>
      </c>
      <c r="I2236">
        <v>526.6875</v>
      </c>
      <c r="J2236" s="9">
        <f t="shared" si="34"/>
        <v>43746.748574479163</v>
      </c>
      <c r="K2236" s="1"/>
    </row>
    <row r="2237" spans="1:11" x14ac:dyDescent="0.25">
      <c r="A2237" t="e">
        <f>-Lqf0CRCZSMY3kvt3Hef</f>
        <v>#NAME?</v>
      </c>
      <c r="B2237">
        <v>428.125</v>
      </c>
      <c r="C2237">
        <v>20.584240000000001</v>
      </c>
      <c r="D2237">
        <v>58</v>
      </c>
      <c r="E2237">
        <v>0</v>
      </c>
      <c r="F2237">
        <v>0</v>
      </c>
      <c r="G2237">
        <v>50</v>
      </c>
      <c r="H2237" s="4">
        <v>1570532283034</v>
      </c>
      <c r="I2237">
        <v>537.1875</v>
      </c>
      <c r="J2237" s="9">
        <f t="shared" si="34"/>
        <v>43746.74864622685</v>
      </c>
      <c r="K2237" s="1"/>
    </row>
    <row r="2238" spans="1:11" x14ac:dyDescent="0.25">
      <c r="A2238" t="s">
        <v>125</v>
      </c>
      <c r="B2238">
        <v>393.75</v>
      </c>
      <c r="C2238">
        <v>20.584240000000001</v>
      </c>
      <c r="D2238">
        <v>58</v>
      </c>
      <c r="E2238">
        <v>0</v>
      </c>
      <c r="F2238">
        <v>0</v>
      </c>
      <c r="G2238">
        <v>44</v>
      </c>
      <c r="H2238" s="4">
        <v>1570532289204</v>
      </c>
      <c r="I2238">
        <v>526.6875</v>
      </c>
      <c r="J2238" s="9">
        <f t="shared" si="34"/>
        <v>43746.74871763889</v>
      </c>
      <c r="K2238" s="1"/>
    </row>
    <row r="2239" spans="1:11" x14ac:dyDescent="0.25">
      <c r="A2239" t="e">
        <f>-Lqf0Fj_QY73gcHhV9uW</f>
        <v>#NAME?</v>
      </c>
      <c r="B2239">
        <v>393.75</v>
      </c>
      <c r="C2239">
        <v>20.584240000000001</v>
      </c>
      <c r="D2239">
        <v>58</v>
      </c>
      <c r="E2239">
        <v>0</v>
      </c>
      <c r="F2239">
        <v>0</v>
      </c>
      <c r="G2239">
        <v>51</v>
      </c>
      <c r="H2239" s="4">
        <v>1570532296405</v>
      </c>
      <c r="I2239">
        <v>526.5</v>
      </c>
      <c r="J2239" s="9">
        <f t="shared" si="34"/>
        <v>43746.748800983791</v>
      </c>
      <c r="K2239" s="1"/>
    </row>
    <row r="2240" spans="1:11" x14ac:dyDescent="0.25">
      <c r="A2240" t="e">
        <f>-Lqf0HFxJY2dWS3LHjY4</f>
        <v>#NAME?</v>
      </c>
      <c r="B2240">
        <v>393.75</v>
      </c>
      <c r="C2240">
        <v>20.584240000000001</v>
      </c>
      <c r="D2240">
        <v>58</v>
      </c>
      <c r="E2240">
        <v>0</v>
      </c>
      <c r="F2240">
        <v>0</v>
      </c>
      <c r="G2240">
        <v>44</v>
      </c>
      <c r="H2240" s="4">
        <v>1570532302597</v>
      </c>
      <c r="I2240">
        <v>526.6875</v>
      </c>
      <c r="J2240" s="9">
        <f t="shared" si="34"/>
        <v>43746.74887265046</v>
      </c>
      <c r="K2240" s="1"/>
    </row>
    <row r="2241" spans="1:11" x14ac:dyDescent="0.25">
      <c r="A2241" t="e">
        <f>-Lqf0Il3E2nPzEokn7Ox</f>
        <v>#NAME?</v>
      </c>
      <c r="B2241">
        <v>393.75</v>
      </c>
      <c r="C2241">
        <v>20.584240000000001</v>
      </c>
      <c r="D2241">
        <v>58</v>
      </c>
      <c r="E2241">
        <v>0</v>
      </c>
      <c r="F2241">
        <v>0</v>
      </c>
      <c r="G2241">
        <v>46</v>
      </c>
      <c r="H2241" s="4">
        <v>1570532308765</v>
      </c>
      <c r="I2241">
        <v>526.6875</v>
      </c>
      <c r="J2241" s="9">
        <f t="shared" si="34"/>
        <v>43746.748944039347</v>
      </c>
      <c r="K2241" s="1"/>
    </row>
    <row r="2242" spans="1:11" x14ac:dyDescent="0.25">
      <c r="A2242" t="e">
        <f>-Lqf0KFDUOYMDTvlrA1L</f>
        <v>#NAME?</v>
      </c>
      <c r="B2242">
        <v>393.75</v>
      </c>
      <c r="C2242">
        <v>20.584240000000001</v>
      </c>
      <c r="D2242">
        <v>56</v>
      </c>
      <c r="E2242">
        <v>0</v>
      </c>
      <c r="F2242">
        <v>0</v>
      </c>
      <c r="G2242">
        <v>53</v>
      </c>
      <c r="H2242" s="4">
        <v>1570532314965</v>
      </c>
      <c r="I2242">
        <v>526.6875</v>
      </c>
      <c r="J2242" s="9">
        <f t="shared" si="34"/>
        <v>43746.74901579861</v>
      </c>
      <c r="K2242" s="1"/>
    </row>
    <row r="2243" spans="1:11" x14ac:dyDescent="0.25">
      <c r="A2243" t="e">
        <f>-Lqf0M2F0JMIyjbU0kov</f>
        <v>#NAME?</v>
      </c>
      <c r="B2243">
        <v>393.75</v>
      </c>
      <c r="C2243">
        <v>20.584240000000001</v>
      </c>
      <c r="D2243">
        <v>56</v>
      </c>
      <c r="E2243">
        <v>0</v>
      </c>
      <c r="F2243">
        <v>0</v>
      </c>
      <c r="G2243">
        <v>43</v>
      </c>
      <c r="H2243" s="4">
        <v>1570532322173</v>
      </c>
      <c r="I2243">
        <v>526.6875</v>
      </c>
      <c r="J2243" s="9">
        <f t="shared" ref="J2243:J2306" si="35">(H2243/86400000)+25569+(7/24)</f>
        <v>43746.749099224537</v>
      </c>
      <c r="K2243" s="1"/>
    </row>
    <row r="2244" spans="1:11" x14ac:dyDescent="0.25">
      <c r="A2244" t="e">
        <f>-Lqf0NlAqKLXAbUaFSS0</f>
        <v>#NAME?</v>
      </c>
      <c r="B2244">
        <v>393.75</v>
      </c>
      <c r="C2244">
        <v>20.584240000000001</v>
      </c>
      <c r="D2244">
        <v>57</v>
      </c>
      <c r="E2244">
        <v>0</v>
      </c>
      <c r="F2244">
        <v>0</v>
      </c>
      <c r="G2244">
        <v>44</v>
      </c>
      <c r="H2244" s="4">
        <v>1570532329367</v>
      </c>
      <c r="I2244">
        <v>526.6875</v>
      </c>
      <c r="J2244" s="9">
        <f t="shared" si="35"/>
        <v>43746.749182488427</v>
      </c>
      <c r="K2244" s="1"/>
    </row>
    <row r="2245" spans="1:11" x14ac:dyDescent="0.25">
      <c r="A2245" t="e">
        <f>-Lqf0PKLMNagwL4pxA1J</f>
        <v>#NAME?</v>
      </c>
      <c r="B2245">
        <v>393.75</v>
      </c>
      <c r="C2245">
        <v>20.584240000000001</v>
      </c>
      <c r="D2245">
        <v>57</v>
      </c>
      <c r="E2245">
        <v>0</v>
      </c>
      <c r="F2245">
        <v>0</v>
      </c>
      <c r="G2245">
        <v>52</v>
      </c>
      <c r="H2245" s="4">
        <v>1570532335573</v>
      </c>
      <c r="I2245">
        <v>526.5</v>
      </c>
      <c r="J2245" s="9">
        <f t="shared" si="35"/>
        <v>43746.749254317132</v>
      </c>
      <c r="K2245" s="1"/>
    </row>
    <row r="2246" spans="1:11" x14ac:dyDescent="0.25">
      <c r="A2246" t="e">
        <f>-Lqf0R23WvkRhQShZFYu</f>
        <v>#NAME?</v>
      </c>
      <c r="B2246">
        <v>393.75</v>
      </c>
      <c r="C2246">
        <v>20.531590000000001</v>
      </c>
      <c r="D2246">
        <v>56</v>
      </c>
      <c r="E2246">
        <v>0</v>
      </c>
      <c r="F2246">
        <v>0</v>
      </c>
      <c r="G2246">
        <v>56</v>
      </c>
      <c r="H2246" s="4">
        <v>1570532342803</v>
      </c>
      <c r="I2246">
        <v>526.6875</v>
      </c>
      <c r="J2246" s="9">
        <f t="shared" si="35"/>
        <v>43746.749337997688</v>
      </c>
      <c r="K2246" s="1"/>
    </row>
    <row r="2247" spans="1:11" x14ac:dyDescent="0.25">
      <c r="A2247" t="e">
        <f>-Lqf0SXASkZ7iSV4xywR</f>
        <v>#NAME?</v>
      </c>
      <c r="B2247">
        <v>393.75</v>
      </c>
      <c r="C2247">
        <v>20.531590000000001</v>
      </c>
      <c r="D2247">
        <v>57</v>
      </c>
      <c r="E2247">
        <v>0</v>
      </c>
      <c r="F2247">
        <v>0</v>
      </c>
      <c r="G2247">
        <v>49</v>
      </c>
      <c r="H2247" s="4">
        <v>1570532348963</v>
      </c>
      <c r="I2247">
        <v>526.6875</v>
      </c>
      <c r="J2247" s="9">
        <f t="shared" si="35"/>
        <v>43746.749409293981</v>
      </c>
      <c r="K2247" s="1"/>
    </row>
    <row r="2248" spans="1:11" x14ac:dyDescent="0.25">
      <c r="A2248" t="e">
        <f>-Lqf0U53J9lU693gjog2</f>
        <v>#NAME?</v>
      </c>
      <c r="B2248">
        <v>393.75</v>
      </c>
      <c r="C2248">
        <v>20.531590000000001</v>
      </c>
      <c r="D2248">
        <v>56</v>
      </c>
      <c r="E2248">
        <v>0</v>
      </c>
      <c r="F2248">
        <v>0</v>
      </c>
      <c r="G2248">
        <v>43</v>
      </c>
      <c r="H2248" s="4">
        <v>1570532355154</v>
      </c>
      <c r="I2248">
        <v>526.6875</v>
      </c>
      <c r="J2248" s="9">
        <f t="shared" si="35"/>
        <v>43746.749480949067</v>
      </c>
      <c r="K2248" s="1"/>
    </row>
    <row r="2249" spans="1:11" x14ac:dyDescent="0.25">
      <c r="A2249" t="e">
        <f>-Lqf0V_3FgbSWp1bTUci</f>
        <v>#NAME?</v>
      </c>
      <c r="B2249">
        <v>393.75</v>
      </c>
      <c r="C2249">
        <v>20.584240000000001</v>
      </c>
      <c r="D2249">
        <v>56</v>
      </c>
      <c r="E2249">
        <v>0</v>
      </c>
      <c r="F2249">
        <v>0</v>
      </c>
      <c r="G2249">
        <v>43</v>
      </c>
      <c r="H2249" s="4">
        <v>1570532361324</v>
      </c>
      <c r="I2249">
        <v>526.6875</v>
      </c>
      <c r="J2249" s="9">
        <f t="shared" si="35"/>
        <v>43746.749552361107</v>
      </c>
      <c r="K2249" s="1"/>
    </row>
    <row r="2250" spans="1:11" x14ac:dyDescent="0.25">
      <c r="A2250" t="e">
        <f>-Lqf0X33LcSJBfl9sFG9</f>
        <v>#NAME?</v>
      </c>
      <c r="B2250">
        <v>393.75</v>
      </c>
      <c r="C2250">
        <v>20.531590000000001</v>
      </c>
      <c r="D2250">
        <v>54</v>
      </c>
      <c r="E2250">
        <v>0</v>
      </c>
      <c r="F2250">
        <v>0</v>
      </c>
      <c r="G2250">
        <v>48</v>
      </c>
      <c r="H2250" s="4">
        <v>1570532367513</v>
      </c>
      <c r="I2250">
        <v>526.6875</v>
      </c>
      <c r="J2250" s="9">
        <f t="shared" si="35"/>
        <v>43746.749623993055</v>
      </c>
      <c r="K2250" s="1"/>
    </row>
    <row r="2251" spans="1:11" x14ac:dyDescent="0.25">
      <c r="A2251" t="e">
        <f>-Lqf0Yax9AtR1uTZFkAw</f>
        <v>#NAME?</v>
      </c>
      <c r="B2251">
        <v>412.5</v>
      </c>
      <c r="C2251">
        <v>20.584240000000001</v>
      </c>
      <c r="D2251">
        <v>55</v>
      </c>
      <c r="E2251">
        <v>0</v>
      </c>
      <c r="F2251">
        <v>0</v>
      </c>
      <c r="G2251">
        <v>48</v>
      </c>
      <c r="H2251" s="4">
        <v>1570532373694</v>
      </c>
      <c r="I2251">
        <v>532.3125</v>
      </c>
      <c r="J2251" s="9">
        <f t="shared" si="35"/>
        <v>43746.74969553241</v>
      </c>
      <c r="K2251" s="1"/>
    </row>
    <row r="2252" spans="1:11" x14ac:dyDescent="0.25">
      <c r="A2252" t="e">
        <f>-Lqf0_63x_deOXKrvnXH</f>
        <v>#NAME?</v>
      </c>
      <c r="B2252">
        <v>393.75</v>
      </c>
      <c r="C2252">
        <v>20.584240000000001</v>
      </c>
      <c r="D2252">
        <v>55</v>
      </c>
      <c r="E2252">
        <v>0</v>
      </c>
      <c r="F2252">
        <v>0</v>
      </c>
      <c r="G2252">
        <v>52</v>
      </c>
      <c r="H2252" s="4">
        <v>1570532379874</v>
      </c>
      <c r="I2252">
        <v>526.6875</v>
      </c>
      <c r="J2252" s="9">
        <f t="shared" si="35"/>
        <v>43746.749767060181</v>
      </c>
      <c r="K2252" s="1"/>
    </row>
    <row r="2253" spans="1:11" x14ac:dyDescent="0.25">
      <c r="A2253" t="e">
        <f>-Lqf0aaC-taYIbAHNrUW</f>
        <v>#NAME?</v>
      </c>
      <c r="B2253">
        <v>393.75</v>
      </c>
      <c r="C2253">
        <v>20.531590000000001</v>
      </c>
      <c r="D2253">
        <v>56</v>
      </c>
      <c r="E2253">
        <v>0</v>
      </c>
      <c r="F2253">
        <v>0</v>
      </c>
      <c r="G2253">
        <v>41</v>
      </c>
      <c r="H2253" s="4">
        <v>1570532386074</v>
      </c>
      <c r="I2253">
        <v>526.6875</v>
      </c>
      <c r="J2253" s="9">
        <f t="shared" si="35"/>
        <v>43746.749838819444</v>
      </c>
      <c r="K2253" s="1"/>
    </row>
    <row r="2254" spans="1:11" x14ac:dyDescent="0.25">
      <c r="A2254" t="e">
        <f>-Lqf0c9Bo7b-ufm_LhCT</f>
        <v>#NAME?</v>
      </c>
      <c r="B2254">
        <v>393.75</v>
      </c>
      <c r="C2254">
        <v>20.531590000000001</v>
      </c>
      <c r="D2254">
        <v>56</v>
      </c>
      <c r="E2254">
        <v>0</v>
      </c>
      <c r="F2254">
        <v>0</v>
      </c>
      <c r="G2254">
        <v>48</v>
      </c>
      <c r="H2254" s="4">
        <v>1570532392244</v>
      </c>
      <c r="I2254">
        <v>526.6875</v>
      </c>
      <c r="J2254" s="9">
        <f t="shared" si="35"/>
        <v>43746.749910231483</v>
      </c>
      <c r="K2254" s="1"/>
    </row>
    <row r="2255" spans="1:11" x14ac:dyDescent="0.25">
      <c r="A2255" t="s">
        <v>126</v>
      </c>
      <c r="B2255">
        <v>412.5</v>
      </c>
      <c r="C2255">
        <v>20.531590000000001</v>
      </c>
      <c r="D2255">
        <v>57</v>
      </c>
      <c r="E2255">
        <v>0</v>
      </c>
      <c r="F2255">
        <v>0</v>
      </c>
      <c r="G2255">
        <v>50</v>
      </c>
      <c r="H2255" s="4">
        <v>1570532399445</v>
      </c>
      <c r="I2255">
        <v>532.3125</v>
      </c>
      <c r="J2255" s="9">
        <f t="shared" si="35"/>
        <v>43746.749993576384</v>
      </c>
      <c r="K2255" s="1"/>
    </row>
    <row r="2256" spans="1:11" x14ac:dyDescent="0.25">
      <c r="A2256" t="e">
        <f>-Lqf0fRKPOHEOzsi97jD</f>
        <v>#NAME?</v>
      </c>
      <c r="B2256">
        <v>393.75</v>
      </c>
      <c r="C2256">
        <v>20.531590000000001</v>
      </c>
      <c r="D2256">
        <v>57</v>
      </c>
      <c r="E2256">
        <v>0</v>
      </c>
      <c r="F2256">
        <v>0</v>
      </c>
      <c r="G2256">
        <v>50</v>
      </c>
      <c r="H2256" s="4">
        <v>1570532405662</v>
      </c>
      <c r="I2256">
        <v>526.6875</v>
      </c>
      <c r="J2256" s="9">
        <f t="shared" si="35"/>
        <v>43746.750065532404</v>
      </c>
      <c r="K2256" s="1"/>
    </row>
    <row r="2257" spans="1:11" x14ac:dyDescent="0.25">
      <c r="A2257" t="e">
        <f>-Lqf0h9J1jNZjl0lENhy</f>
        <v>#NAME?</v>
      </c>
      <c r="B2257">
        <v>393.75</v>
      </c>
      <c r="C2257">
        <v>20.531590000000001</v>
      </c>
      <c r="D2257">
        <v>57</v>
      </c>
      <c r="E2257">
        <v>0</v>
      </c>
      <c r="F2257">
        <v>0</v>
      </c>
      <c r="G2257">
        <v>42</v>
      </c>
      <c r="H2257" s="4">
        <v>1570532412854</v>
      </c>
      <c r="I2257">
        <v>526.6875</v>
      </c>
      <c r="J2257" s="9">
        <f t="shared" si="35"/>
        <v>43746.750148773142</v>
      </c>
      <c r="K2257" s="1"/>
    </row>
    <row r="2258" spans="1:11" x14ac:dyDescent="0.25">
      <c r="A2258" t="e">
        <f>-Lqf0is4Zy7jUbalr20n</f>
        <v>#NAME?</v>
      </c>
      <c r="B2258">
        <v>393.75</v>
      </c>
      <c r="C2258">
        <v>20.584240000000001</v>
      </c>
      <c r="D2258">
        <v>58</v>
      </c>
      <c r="E2258">
        <v>0</v>
      </c>
      <c r="F2258">
        <v>0</v>
      </c>
      <c r="G2258">
        <v>50</v>
      </c>
      <c r="H2258" s="4">
        <v>1570532420065</v>
      </c>
      <c r="I2258">
        <v>526.5</v>
      </c>
      <c r="J2258" s="9">
        <f t="shared" si="35"/>
        <v>43746.75023223379</v>
      </c>
      <c r="K2258" s="1"/>
    </row>
    <row r="2259" spans="1:11" x14ac:dyDescent="0.25">
      <c r="A2259" t="e">
        <f>-Lqf0kRKA9D_F9nUQrYh</f>
        <v>#NAME?</v>
      </c>
      <c r="B2259">
        <v>393.75</v>
      </c>
      <c r="C2259">
        <v>20.584240000000001</v>
      </c>
      <c r="D2259">
        <v>58</v>
      </c>
      <c r="E2259">
        <v>0</v>
      </c>
      <c r="F2259">
        <v>0</v>
      </c>
      <c r="G2259">
        <v>51</v>
      </c>
      <c r="H2259" s="4">
        <v>1570532426245</v>
      </c>
      <c r="I2259">
        <v>526.6875</v>
      </c>
      <c r="J2259" s="9">
        <f t="shared" si="35"/>
        <v>43746.750303761575</v>
      </c>
      <c r="K2259" s="1"/>
    </row>
    <row r="2260" spans="1:11" x14ac:dyDescent="0.25">
      <c r="A2260" t="e">
        <f>-Lqf0mm1M7RJTbUMSFXp</f>
        <v>#NAME?</v>
      </c>
      <c r="B2260">
        <v>393.75</v>
      </c>
      <c r="C2260">
        <v>20.584240000000001</v>
      </c>
      <c r="D2260">
        <v>57</v>
      </c>
      <c r="E2260">
        <v>0</v>
      </c>
      <c r="F2260">
        <v>0</v>
      </c>
      <c r="G2260">
        <v>54</v>
      </c>
      <c r="H2260" s="4">
        <v>1570532435976</v>
      </c>
      <c r="I2260">
        <v>526.6875</v>
      </c>
      <c r="J2260" s="9">
        <f t="shared" si="35"/>
        <v>43746.750416388888</v>
      </c>
      <c r="K2260" s="1"/>
    </row>
    <row r="2261" spans="1:11" x14ac:dyDescent="0.25">
      <c r="A2261" t="e">
        <f>-Lqf0oQ1i9TIpOVWwPM9</f>
        <v>#NAME?</v>
      </c>
      <c r="B2261">
        <v>393.75</v>
      </c>
      <c r="C2261">
        <v>20.584240000000001</v>
      </c>
      <c r="D2261">
        <v>58</v>
      </c>
      <c r="E2261">
        <v>0</v>
      </c>
      <c r="F2261">
        <v>0</v>
      </c>
      <c r="G2261">
        <v>54</v>
      </c>
      <c r="H2261" s="4">
        <v>1570532442734</v>
      </c>
      <c r="I2261">
        <v>526.6875</v>
      </c>
      <c r="J2261" s="9">
        <f t="shared" si="35"/>
        <v>43746.75049460648</v>
      </c>
      <c r="K2261" s="1"/>
    </row>
    <row r="2262" spans="1:11" x14ac:dyDescent="0.25">
      <c r="A2262" t="e">
        <f>-Lqf0pz9VMGQU7nrU_MU</f>
        <v>#NAME?</v>
      </c>
      <c r="B2262">
        <v>418.75</v>
      </c>
      <c r="C2262">
        <v>20.531590000000001</v>
      </c>
      <c r="D2262">
        <v>59</v>
      </c>
      <c r="E2262">
        <v>0</v>
      </c>
      <c r="F2262">
        <v>0</v>
      </c>
      <c r="G2262">
        <v>47</v>
      </c>
      <c r="H2262" s="4">
        <v>1570532448912</v>
      </c>
      <c r="I2262">
        <v>534.75</v>
      </c>
      <c r="J2262" s="9">
        <f t="shared" si="35"/>
        <v>43746.750566111114</v>
      </c>
      <c r="K2262" s="1"/>
    </row>
    <row r="2263" spans="1:11" x14ac:dyDescent="0.25">
      <c r="A2263" t="e">
        <f>-Lqf0rT8zS4vmNPIStD7</f>
        <v>#NAME?</v>
      </c>
      <c r="B2263">
        <v>393.75</v>
      </c>
      <c r="C2263">
        <v>20.584240000000001</v>
      </c>
      <c r="D2263">
        <v>59</v>
      </c>
      <c r="E2263">
        <v>0</v>
      </c>
      <c r="F2263">
        <v>0</v>
      </c>
      <c r="G2263">
        <v>49</v>
      </c>
      <c r="H2263" s="4">
        <v>1570532455083</v>
      </c>
      <c r="I2263">
        <v>526.6875</v>
      </c>
      <c r="J2263" s="9">
        <f t="shared" si="35"/>
        <v>43746.750637534722</v>
      </c>
      <c r="K2263" s="1"/>
    </row>
    <row r="2264" spans="1:11" x14ac:dyDescent="0.25">
      <c r="A2264" t="e">
        <f>-Lqf0swhMeup65NHJk7j</f>
        <v>#NAME?</v>
      </c>
      <c r="B2264">
        <v>393.75</v>
      </c>
      <c r="C2264">
        <v>20.531590000000001</v>
      </c>
      <c r="D2264">
        <v>58</v>
      </c>
      <c r="E2264">
        <v>0</v>
      </c>
      <c r="F2264">
        <v>0</v>
      </c>
      <c r="G2264">
        <v>52</v>
      </c>
      <c r="H2264" s="4">
        <v>1570532461281</v>
      </c>
      <c r="I2264">
        <v>526.6875</v>
      </c>
      <c r="J2264" s="9">
        <f t="shared" si="35"/>
        <v>43746.750709270833</v>
      </c>
      <c r="K2264" s="1"/>
    </row>
    <row r="2265" spans="1:11" x14ac:dyDescent="0.25">
      <c r="A2265" t="e">
        <f>-Lqf0uV228vBmBq0TCmr</f>
        <v>#NAME?</v>
      </c>
      <c r="B2265">
        <v>393.75</v>
      </c>
      <c r="C2265">
        <v>20.584240000000001</v>
      </c>
      <c r="D2265">
        <v>57</v>
      </c>
      <c r="E2265">
        <v>0</v>
      </c>
      <c r="F2265">
        <v>0</v>
      </c>
      <c r="G2265">
        <v>45</v>
      </c>
      <c r="H2265" s="4">
        <v>1570532467462</v>
      </c>
      <c r="I2265">
        <v>526.6875</v>
      </c>
      <c r="J2265" s="9">
        <f t="shared" si="35"/>
        <v>43746.750780810187</v>
      </c>
      <c r="K2265" s="1"/>
    </row>
    <row r="2266" spans="1:11" x14ac:dyDescent="0.25">
      <c r="A2266" t="e">
        <f>-Lqf0wEBajwKjHPxJotl</f>
        <v>#NAME?</v>
      </c>
      <c r="B2266">
        <v>418.75</v>
      </c>
      <c r="C2266">
        <v>20.584240000000001</v>
      </c>
      <c r="D2266">
        <v>57</v>
      </c>
      <c r="E2266">
        <v>0</v>
      </c>
      <c r="F2266">
        <v>0</v>
      </c>
      <c r="G2266">
        <v>51</v>
      </c>
      <c r="H2266" s="4">
        <v>1570532474645</v>
      </c>
      <c r="I2266">
        <v>534.75</v>
      </c>
      <c r="J2266" s="9">
        <f t="shared" si="35"/>
        <v>43746.750863946756</v>
      </c>
      <c r="K2266" s="1"/>
    </row>
    <row r="2267" spans="1:11" x14ac:dyDescent="0.25">
      <c r="A2267" t="e">
        <f>-Lqf0xnARy1-Ik0YOTxz</f>
        <v>#NAME?</v>
      </c>
      <c r="B2267">
        <v>393.75</v>
      </c>
      <c r="C2267">
        <v>20.584240000000001</v>
      </c>
      <c r="D2267">
        <v>57</v>
      </c>
      <c r="E2267">
        <v>0</v>
      </c>
      <c r="F2267">
        <v>0</v>
      </c>
      <c r="G2267">
        <v>57</v>
      </c>
      <c r="H2267" s="4">
        <v>1570532480831</v>
      </c>
      <c r="I2267">
        <v>526.6875</v>
      </c>
      <c r="J2267" s="9">
        <f t="shared" si="35"/>
        <v>43746.750935543976</v>
      </c>
      <c r="K2267" s="1"/>
    </row>
    <row r="2268" spans="1:11" x14ac:dyDescent="0.25">
      <c r="A2268" t="e">
        <f>-Lqf0zW8JJUV0ioNgcSS</f>
        <v>#NAME?</v>
      </c>
      <c r="B2268">
        <v>393.75</v>
      </c>
      <c r="C2268">
        <v>20.584240000000001</v>
      </c>
      <c r="D2268">
        <v>58</v>
      </c>
      <c r="E2268">
        <v>0</v>
      </c>
      <c r="F2268">
        <v>0</v>
      </c>
      <c r="G2268">
        <v>50</v>
      </c>
      <c r="H2268" s="4">
        <v>1570532488081</v>
      </c>
      <c r="I2268">
        <v>526.6875</v>
      </c>
      <c r="J2268" s="9">
        <f t="shared" si="35"/>
        <v>43746.751019456016</v>
      </c>
      <c r="K2268" s="1"/>
    </row>
    <row r="2269" spans="1:11" x14ac:dyDescent="0.25">
      <c r="A2269" t="s">
        <v>127</v>
      </c>
      <c r="B2269">
        <v>412.5</v>
      </c>
      <c r="C2269">
        <v>20.584240000000001</v>
      </c>
      <c r="D2269">
        <v>56</v>
      </c>
      <c r="E2269">
        <v>0</v>
      </c>
      <c r="F2269">
        <v>0</v>
      </c>
      <c r="G2269">
        <v>49</v>
      </c>
      <c r="H2269" s="4">
        <v>1570532494251</v>
      </c>
      <c r="I2269">
        <v>532.3125</v>
      </c>
      <c r="J2269" s="9">
        <f t="shared" si="35"/>
        <v>43746.751090868049</v>
      </c>
      <c r="K2269" s="1"/>
    </row>
    <row r="2270" spans="1:11" x14ac:dyDescent="0.25">
      <c r="A2270" t="e">
        <f>-Lqf11Z9VOZ3LOd3sRJJ</f>
        <v>#NAME?</v>
      </c>
      <c r="B2270">
        <v>393.75</v>
      </c>
      <c r="C2270">
        <v>20.584240000000001</v>
      </c>
      <c r="D2270">
        <v>55</v>
      </c>
      <c r="E2270">
        <v>0</v>
      </c>
      <c r="F2270">
        <v>0</v>
      </c>
      <c r="G2270">
        <v>50</v>
      </c>
      <c r="H2270" s="4">
        <v>1570532500433</v>
      </c>
      <c r="I2270">
        <v>526.6875</v>
      </c>
      <c r="J2270" s="9">
        <f t="shared" si="35"/>
        <v>43746.751162418979</v>
      </c>
      <c r="K2270" s="1"/>
    </row>
    <row r="2271" spans="1:11" x14ac:dyDescent="0.25">
      <c r="A2271" t="e">
        <f>-Lqf133P2lABuk90cFtE</f>
        <v>#NAME?</v>
      </c>
      <c r="B2271">
        <v>393.75</v>
      </c>
      <c r="C2271">
        <v>20.531590000000001</v>
      </c>
      <c r="D2271">
        <v>55</v>
      </c>
      <c r="E2271">
        <v>0</v>
      </c>
      <c r="F2271">
        <v>0</v>
      </c>
      <c r="G2271">
        <v>47</v>
      </c>
      <c r="H2271" s="4">
        <v>1570532506611</v>
      </c>
      <c r="I2271">
        <v>526.6875</v>
      </c>
      <c r="J2271" s="9">
        <f t="shared" si="35"/>
        <v>43746.751233923605</v>
      </c>
      <c r="K2271" s="1"/>
    </row>
    <row r="2272" spans="1:11" x14ac:dyDescent="0.25">
      <c r="A2272" t="e">
        <f>-Lqf14X8f2nfmVHhTXgQ</f>
        <v>#NAME?</v>
      </c>
      <c r="B2272">
        <v>393.75</v>
      </c>
      <c r="C2272">
        <v>20.531590000000001</v>
      </c>
      <c r="D2272">
        <v>54</v>
      </c>
      <c r="E2272">
        <v>0</v>
      </c>
      <c r="F2272">
        <v>0</v>
      </c>
      <c r="G2272">
        <v>63</v>
      </c>
      <c r="H2272" s="4">
        <v>1570532512791</v>
      </c>
      <c r="I2272">
        <v>526.6875</v>
      </c>
      <c r="J2272" s="9">
        <f t="shared" si="35"/>
        <v>43746.751305451391</v>
      </c>
      <c r="K2272" s="1"/>
    </row>
    <row r="2273" spans="1:11" x14ac:dyDescent="0.25">
      <c r="A2273" t="e">
        <f>-Lqf16BW5mYw17DoNkqC</f>
        <v>#NAME?</v>
      </c>
      <c r="B2273">
        <v>393.75</v>
      </c>
      <c r="C2273">
        <v>20.584240000000001</v>
      </c>
      <c r="D2273">
        <v>55</v>
      </c>
      <c r="E2273">
        <v>0</v>
      </c>
      <c r="F2273">
        <v>0</v>
      </c>
      <c r="G2273">
        <v>47</v>
      </c>
      <c r="H2273" s="4">
        <v>1570532519356</v>
      </c>
      <c r="I2273">
        <v>526.6875</v>
      </c>
      <c r="J2273" s="9">
        <f t="shared" si="35"/>
        <v>43746.751381435184</v>
      </c>
      <c r="K2273" s="1"/>
    </row>
    <row r="2274" spans="1:11" x14ac:dyDescent="0.25">
      <c r="A2274" t="e">
        <f>-Lqf17oA5KVKBTkfoFS3</f>
        <v>#NAME?</v>
      </c>
      <c r="B2274">
        <v>393.75</v>
      </c>
      <c r="C2274">
        <v>20.584240000000001</v>
      </c>
      <c r="D2274">
        <v>56</v>
      </c>
      <c r="E2274">
        <v>0</v>
      </c>
      <c r="F2274">
        <v>0</v>
      </c>
      <c r="G2274">
        <v>53</v>
      </c>
      <c r="H2274" s="4">
        <v>1570532526169</v>
      </c>
      <c r="I2274">
        <v>526.6875</v>
      </c>
      <c r="J2274" s="9">
        <f t="shared" si="35"/>
        <v>43746.75146028935</v>
      </c>
      <c r="K2274" s="1"/>
    </row>
    <row r="2275" spans="1:11" x14ac:dyDescent="0.25">
      <c r="A2275" t="e">
        <f>-Lqf19NTK9krySktaEr0</f>
        <v>#NAME?</v>
      </c>
      <c r="B2275">
        <v>393.75</v>
      </c>
      <c r="C2275">
        <v>20.584240000000001</v>
      </c>
      <c r="D2275">
        <v>53</v>
      </c>
      <c r="E2275">
        <v>0</v>
      </c>
      <c r="F2275">
        <v>0</v>
      </c>
      <c r="G2275">
        <v>48</v>
      </c>
      <c r="H2275" s="4">
        <v>1570532532372</v>
      </c>
      <c r="I2275">
        <v>526.5</v>
      </c>
      <c r="J2275" s="9">
        <f t="shared" si="35"/>
        <v>43746.751532083326</v>
      </c>
      <c r="K2275" s="1"/>
    </row>
    <row r="2276" spans="1:11" x14ac:dyDescent="0.25">
      <c r="A2276" t="e">
        <f>-Lqf1B5HCqrtHSQRBRRV</f>
        <v>#NAME?</v>
      </c>
      <c r="B2276">
        <v>393.75</v>
      </c>
      <c r="C2276">
        <v>20.584240000000001</v>
      </c>
      <c r="D2276">
        <v>53</v>
      </c>
      <c r="E2276">
        <v>0</v>
      </c>
      <c r="F2276">
        <v>0</v>
      </c>
      <c r="G2276">
        <v>47</v>
      </c>
      <c r="H2276" s="4">
        <v>1570532539601</v>
      </c>
      <c r="I2276">
        <v>526.6875</v>
      </c>
      <c r="J2276" s="9">
        <f t="shared" si="35"/>
        <v>43746.751615752313</v>
      </c>
      <c r="K2276" s="1"/>
    </row>
    <row r="2277" spans="1:11" x14ac:dyDescent="0.25">
      <c r="A2277" t="e">
        <f>-Lqf1Ct8kS1jdfenW1X_</f>
        <v>#NAME?</v>
      </c>
      <c r="B2277">
        <v>393.75</v>
      </c>
      <c r="C2277">
        <v>20.584240000000001</v>
      </c>
      <c r="D2277">
        <v>56</v>
      </c>
      <c r="E2277">
        <v>0</v>
      </c>
      <c r="F2277">
        <v>0</v>
      </c>
      <c r="G2277">
        <v>46</v>
      </c>
      <c r="H2277" s="4">
        <v>1570532546804</v>
      </c>
      <c r="I2277">
        <v>526.6875</v>
      </c>
      <c r="J2277" s="9">
        <f t="shared" si="35"/>
        <v>43746.751699120367</v>
      </c>
      <c r="K2277" s="1"/>
    </row>
    <row r="2278" spans="1:11" x14ac:dyDescent="0.25">
      <c r="A2278" t="e">
        <f>-Lqf1EqJz7u7C7w-tTYM</f>
        <v>#NAME?</v>
      </c>
      <c r="B2278">
        <v>393.75</v>
      </c>
      <c r="C2278">
        <v>20.584240000000001</v>
      </c>
      <c r="D2278">
        <v>54</v>
      </c>
      <c r="E2278">
        <v>0</v>
      </c>
      <c r="F2278">
        <v>0</v>
      </c>
      <c r="G2278">
        <v>55</v>
      </c>
      <c r="H2278" s="4">
        <v>1570532555007</v>
      </c>
      <c r="I2278">
        <v>526.6875</v>
      </c>
      <c r="J2278" s="9">
        <f t="shared" si="35"/>
        <v>43746.751794062497</v>
      </c>
      <c r="K2278" s="1"/>
    </row>
    <row r="2279" spans="1:11" x14ac:dyDescent="0.25">
      <c r="A2279" t="e">
        <f>-Lqf1Gi9eaG_DAa7ampp</f>
        <v>#NAME?</v>
      </c>
      <c r="B2279">
        <v>393.75</v>
      </c>
      <c r="C2279">
        <v>20.584240000000001</v>
      </c>
      <c r="D2279">
        <v>49</v>
      </c>
      <c r="E2279">
        <v>0</v>
      </c>
      <c r="F2279">
        <v>0</v>
      </c>
      <c r="G2279">
        <v>56</v>
      </c>
      <c r="H2279" s="4">
        <v>1570532562412</v>
      </c>
      <c r="I2279">
        <v>526.6875</v>
      </c>
      <c r="J2279" s="9">
        <f t="shared" si="35"/>
        <v>43746.751879768512</v>
      </c>
      <c r="K2279" s="1"/>
    </row>
    <row r="2280" spans="1:11" x14ac:dyDescent="0.25">
      <c r="A2280" t="e">
        <f>-Lqf1IRAwhcn1HAf9qBC</f>
        <v>#NAME?</v>
      </c>
      <c r="B2280">
        <v>393.75</v>
      </c>
      <c r="C2280">
        <v>20.584240000000001</v>
      </c>
      <c r="D2280">
        <v>49</v>
      </c>
      <c r="E2280">
        <v>0</v>
      </c>
      <c r="F2280">
        <v>0</v>
      </c>
      <c r="G2280">
        <v>47</v>
      </c>
      <c r="H2280" s="4">
        <v>1570532569464</v>
      </c>
      <c r="I2280">
        <v>526.6875</v>
      </c>
      <c r="J2280" s="9">
        <f t="shared" si="35"/>
        <v>43746.751961388887</v>
      </c>
      <c r="K2280" s="1"/>
    </row>
    <row r="2281" spans="1:11" x14ac:dyDescent="0.25">
      <c r="A2281" t="e">
        <f>-Lqf1K90ZZhKrSbCrq2N</f>
        <v>#NAME?</v>
      </c>
      <c r="B2281">
        <v>393.75</v>
      </c>
      <c r="C2281">
        <v>20.531590000000001</v>
      </c>
      <c r="D2281">
        <v>50</v>
      </c>
      <c r="E2281">
        <v>0</v>
      </c>
      <c r="F2281">
        <v>0</v>
      </c>
      <c r="G2281">
        <v>50</v>
      </c>
      <c r="H2281" s="4">
        <v>1570532576672</v>
      </c>
      <c r="I2281">
        <v>526.6875</v>
      </c>
      <c r="J2281" s="9">
        <f t="shared" si="35"/>
        <v>43746.752044814813</v>
      </c>
      <c r="K2281" s="1"/>
    </row>
    <row r="2282" spans="1:11" x14ac:dyDescent="0.25">
      <c r="A2282" t="e">
        <f>-Lqf1LdL08mLqIfpW5KB</f>
        <v>#NAME?</v>
      </c>
      <c r="B2282">
        <v>393.75</v>
      </c>
      <c r="C2282">
        <v>20.584240000000001</v>
      </c>
      <c r="D2282">
        <v>50</v>
      </c>
      <c r="E2282">
        <v>0</v>
      </c>
      <c r="F2282">
        <v>0</v>
      </c>
      <c r="G2282">
        <v>50</v>
      </c>
      <c r="H2282" s="4">
        <v>1570532582872</v>
      </c>
      <c r="I2282">
        <v>526.6875</v>
      </c>
      <c r="J2282" s="9">
        <f t="shared" si="35"/>
        <v>43746.752116574069</v>
      </c>
      <c r="K2282" s="1"/>
    </row>
    <row r="2283" spans="1:11" x14ac:dyDescent="0.25">
      <c r="A2283" t="e">
        <f>-Lqf1N7KhCSQ5RexqhUr</f>
        <v>#NAME?</v>
      </c>
      <c r="B2283">
        <v>393.75</v>
      </c>
      <c r="C2283">
        <v>20.584240000000001</v>
      </c>
      <c r="D2283">
        <v>53</v>
      </c>
      <c r="E2283">
        <v>0</v>
      </c>
      <c r="F2283">
        <v>0</v>
      </c>
      <c r="G2283">
        <v>51</v>
      </c>
      <c r="H2283" s="4">
        <v>1570532589043</v>
      </c>
      <c r="I2283">
        <v>526.5</v>
      </c>
      <c r="J2283" s="9">
        <f t="shared" si="35"/>
        <v>43746.752187997678</v>
      </c>
      <c r="K2283" s="1"/>
    </row>
    <row r="2284" spans="1:11" x14ac:dyDescent="0.25">
      <c r="A2284" t="e">
        <f>-Lqf1Og114mmGJMqkl1L</f>
        <v>#NAME?</v>
      </c>
      <c r="B2284">
        <v>393.75</v>
      </c>
      <c r="C2284">
        <v>20.584240000000001</v>
      </c>
      <c r="D2284">
        <v>54</v>
      </c>
      <c r="E2284">
        <v>0</v>
      </c>
      <c r="F2284">
        <v>0</v>
      </c>
      <c r="G2284">
        <v>52</v>
      </c>
      <c r="H2284" s="4">
        <v>1570532595221</v>
      </c>
      <c r="I2284">
        <v>526.6875</v>
      </c>
      <c r="J2284" s="9">
        <f t="shared" si="35"/>
        <v>43746.752259502311</v>
      </c>
      <c r="K2284" s="1"/>
    </row>
    <row r="2285" spans="1:11" x14ac:dyDescent="0.25">
      <c r="A2285" t="e">
        <f>-Lqf1QAAHElWjBSOXQZh</f>
        <v>#NAME?</v>
      </c>
      <c r="B2285">
        <v>393.75</v>
      </c>
      <c r="C2285">
        <v>20.584240000000001</v>
      </c>
      <c r="D2285">
        <v>54</v>
      </c>
      <c r="E2285">
        <v>0</v>
      </c>
      <c r="F2285">
        <v>0</v>
      </c>
      <c r="G2285">
        <v>53</v>
      </c>
      <c r="H2285" s="4">
        <v>1570532601421</v>
      </c>
      <c r="I2285">
        <v>526.6875</v>
      </c>
      <c r="J2285" s="9">
        <f t="shared" si="35"/>
        <v>43746.752331261574</v>
      </c>
      <c r="K2285" s="1"/>
    </row>
    <row r="2286" spans="1:11" x14ac:dyDescent="0.25">
      <c r="A2286" t="e">
        <f>-Lqf1RjBPFSAmZcdOK7T</f>
        <v>#NAME?</v>
      </c>
      <c r="B2286">
        <v>393.75</v>
      </c>
      <c r="C2286">
        <v>20.584240000000001</v>
      </c>
      <c r="D2286">
        <v>55</v>
      </c>
      <c r="E2286">
        <v>0</v>
      </c>
      <c r="F2286">
        <v>0</v>
      </c>
      <c r="G2286">
        <v>53</v>
      </c>
      <c r="H2286" s="4">
        <v>1570532607593</v>
      </c>
      <c r="I2286">
        <v>526.6875</v>
      </c>
      <c r="J2286" s="9">
        <f t="shared" si="35"/>
        <v>43746.752402696759</v>
      </c>
      <c r="K2286" s="1"/>
    </row>
    <row r="2287" spans="1:11" x14ac:dyDescent="0.25">
      <c r="A2287" t="e">
        <f>-Lqf1TS9GmJ7NoCSypcy</f>
        <v>#NAME?</v>
      </c>
      <c r="B2287">
        <v>393.75</v>
      </c>
      <c r="C2287">
        <v>20.531590000000001</v>
      </c>
      <c r="D2287">
        <v>55</v>
      </c>
      <c r="E2287">
        <v>0</v>
      </c>
      <c r="F2287">
        <v>0</v>
      </c>
      <c r="G2287">
        <v>51</v>
      </c>
      <c r="H2287" s="4">
        <v>1570532614802</v>
      </c>
      <c r="I2287">
        <v>526.6875</v>
      </c>
      <c r="J2287" s="9">
        <f t="shared" si="35"/>
        <v>43746.752486134261</v>
      </c>
      <c r="K2287" s="1"/>
    </row>
    <row r="2288" spans="1:11" x14ac:dyDescent="0.25">
      <c r="A2288" t="e">
        <f>-Lqf1V0KUvkGyBKGvy8t</f>
        <v>#NAME?</v>
      </c>
      <c r="B2288">
        <v>393.75</v>
      </c>
      <c r="C2288">
        <v>20.584240000000001</v>
      </c>
      <c r="D2288">
        <v>56</v>
      </c>
      <c r="E2288">
        <v>0</v>
      </c>
      <c r="F2288">
        <v>0</v>
      </c>
      <c r="G2288">
        <v>58</v>
      </c>
      <c r="H2288" s="4">
        <v>1570532620983</v>
      </c>
      <c r="I2288">
        <v>526.6875</v>
      </c>
      <c r="J2288" s="9">
        <f t="shared" si="35"/>
        <v>43746.752557673608</v>
      </c>
      <c r="K2288" s="1"/>
    </row>
    <row r="2289" spans="1:11" x14ac:dyDescent="0.25">
      <c r="A2289" t="e">
        <f>-Lqf1WjAR7joS6f_kR66</f>
        <v>#NAME?</v>
      </c>
      <c r="B2289">
        <v>393.75</v>
      </c>
      <c r="C2289">
        <v>20.584240000000001</v>
      </c>
      <c r="D2289">
        <v>55</v>
      </c>
      <c r="E2289">
        <v>0</v>
      </c>
      <c r="F2289">
        <v>0</v>
      </c>
      <c r="G2289">
        <v>52</v>
      </c>
      <c r="H2289" s="4">
        <v>1570532628201</v>
      </c>
      <c r="I2289">
        <v>526.6875</v>
      </c>
      <c r="J2289" s="9">
        <f t="shared" si="35"/>
        <v>43746.752641215273</v>
      </c>
      <c r="K2289" s="1"/>
    </row>
    <row r="2290" spans="1:11" x14ac:dyDescent="0.25">
      <c r="A2290" t="e">
        <f>-Lqf1YDBdHXJdeWubTuk</f>
        <v>#NAME?</v>
      </c>
      <c r="B2290">
        <v>393.75</v>
      </c>
      <c r="C2290">
        <v>20.584240000000001</v>
      </c>
      <c r="D2290">
        <v>56</v>
      </c>
      <c r="E2290">
        <v>0</v>
      </c>
      <c r="F2290">
        <v>0</v>
      </c>
      <c r="G2290">
        <v>51</v>
      </c>
      <c r="H2290" s="4">
        <v>1570532634394</v>
      </c>
      <c r="I2290">
        <v>526.6875</v>
      </c>
      <c r="J2290" s="9">
        <f t="shared" si="35"/>
        <v>43746.752712893511</v>
      </c>
      <c r="K2290" s="1"/>
    </row>
    <row r="2291" spans="1:11" x14ac:dyDescent="0.25">
      <c r="A2291" t="e">
        <f>-Lqf1ZmHvReLXQFImAhn</f>
        <v>#NAME?</v>
      </c>
      <c r="B2291">
        <v>393.75</v>
      </c>
      <c r="C2291">
        <v>20.531590000000001</v>
      </c>
      <c r="D2291">
        <v>56</v>
      </c>
      <c r="E2291">
        <v>0</v>
      </c>
      <c r="F2291">
        <v>0</v>
      </c>
      <c r="G2291">
        <v>54</v>
      </c>
      <c r="H2291" s="4">
        <v>1570532640563</v>
      </c>
      <c r="I2291">
        <v>526.6875</v>
      </c>
      <c r="J2291" s="9">
        <f t="shared" si="35"/>
        <v>43746.752784293982</v>
      </c>
      <c r="K2291" s="1"/>
    </row>
    <row r="2292" spans="1:11" x14ac:dyDescent="0.25">
      <c r="A2292" t="e">
        <f>-Lqf1aV9GceNwiHNcG0N</f>
        <v>#NAME?</v>
      </c>
      <c r="B2292">
        <v>393.75</v>
      </c>
      <c r="C2292">
        <v>20.531590000000001</v>
      </c>
      <c r="D2292">
        <v>56</v>
      </c>
      <c r="E2292">
        <v>0</v>
      </c>
      <c r="F2292">
        <v>0</v>
      </c>
      <c r="G2292">
        <v>54</v>
      </c>
      <c r="H2292" s="4">
        <v>1570532647762</v>
      </c>
      <c r="I2292">
        <v>526.6875</v>
      </c>
      <c r="J2292" s="9">
        <f t="shared" si="35"/>
        <v>43746.752867615738</v>
      </c>
      <c r="K2292" s="1"/>
    </row>
    <row r="2293" spans="1:11" x14ac:dyDescent="0.25">
      <c r="A2293" t="e">
        <f>-Lqf1cKrypBgGuguxy9x</f>
        <v>#NAME?</v>
      </c>
      <c r="B2293">
        <v>393.75</v>
      </c>
      <c r="C2293">
        <v>20.531590000000001</v>
      </c>
      <c r="D2293">
        <v>57</v>
      </c>
      <c r="E2293">
        <v>0</v>
      </c>
      <c r="F2293">
        <v>0</v>
      </c>
      <c r="G2293">
        <v>50</v>
      </c>
      <c r="H2293" s="4">
        <v>1570532653961</v>
      </c>
      <c r="I2293">
        <v>526.6875</v>
      </c>
      <c r="J2293" s="9">
        <f t="shared" si="35"/>
        <v>43746.752939363425</v>
      </c>
      <c r="K2293" s="1"/>
    </row>
    <row r="2294" spans="1:11" x14ac:dyDescent="0.25">
      <c r="A2294" t="e">
        <f>-Lqf1e04CplTgcczI0_T</f>
        <v>#NAME?</v>
      </c>
      <c r="B2294">
        <v>393.75</v>
      </c>
      <c r="C2294">
        <v>20.584240000000001</v>
      </c>
      <c r="D2294">
        <v>57</v>
      </c>
      <c r="E2294">
        <v>0</v>
      </c>
      <c r="F2294">
        <v>0</v>
      </c>
      <c r="G2294">
        <v>62</v>
      </c>
      <c r="H2294" s="4">
        <v>1570532662176</v>
      </c>
      <c r="I2294">
        <v>526.6875</v>
      </c>
      <c r="J2294" s="9">
        <f t="shared" si="35"/>
        <v>43746.753034444446</v>
      </c>
      <c r="K2294" s="1"/>
    </row>
    <row r="2295" spans="1:11" x14ac:dyDescent="0.25">
      <c r="A2295" t="e">
        <f>-Lqf1fj5-vjDzId5GWfW</f>
        <v>#NAME?</v>
      </c>
      <c r="B2295">
        <v>393.75</v>
      </c>
      <c r="C2295">
        <v>20.584240000000001</v>
      </c>
      <c r="D2295">
        <v>57</v>
      </c>
      <c r="E2295">
        <v>0</v>
      </c>
      <c r="F2295">
        <v>0</v>
      </c>
      <c r="G2295">
        <v>44</v>
      </c>
      <c r="H2295" s="4">
        <v>1570532668355</v>
      </c>
      <c r="I2295">
        <v>526.6875</v>
      </c>
      <c r="J2295" s="9">
        <f t="shared" si="35"/>
        <v>43746.753105960648</v>
      </c>
      <c r="K2295" s="1"/>
    </row>
    <row r="2296" spans="1:11" x14ac:dyDescent="0.25">
      <c r="A2296" t="s">
        <v>128</v>
      </c>
      <c r="B2296">
        <v>412.5</v>
      </c>
      <c r="C2296">
        <v>20.584240000000001</v>
      </c>
      <c r="D2296">
        <v>56</v>
      </c>
      <c r="E2296">
        <v>0</v>
      </c>
      <c r="F2296">
        <v>0</v>
      </c>
      <c r="G2296">
        <v>43</v>
      </c>
      <c r="H2296" s="4">
        <v>1570532675606</v>
      </c>
      <c r="I2296">
        <v>532.3125</v>
      </c>
      <c r="J2296" s="9">
        <f t="shared" si="35"/>
        <v>43746.753189884257</v>
      </c>
      <c r="K2296" s="1"/>
    </row>
    <row r="2297" spans="1:11" x14ac:dyDescent="0.25">
      <c r="A2297" t="e">
        <f>-Lqf1j5DyWNTA-sybmKV</f>
        <v>#NAME?</v>
      </c>
      <c r="B2297">
        <v>393.75</v>
      </c>
      <c r="C2297">
        <v>20.584240000000001</v>
      </c>
      <c r="D2297">
        <v>56</v>
      </c>
      <c r="E2297">
        <v>0</v>
      </c>
      <c r="F2297">
        <v>0</v>
      </c>
      <c r="G2297">
        <v>54</v>
      </c>
      <c r="H2297" s="4">
        <v>1570532682806</v>
      </c>
      <c r="I2297">
        <v>526.6875</v>
      </c>
      <c r="J2297" s="9">
        <f t="shared" si="35"/>
        <v>43746.75327321759</v>
      </c>
      <c r="K2297" s="1"/>
    </row>
    <row r="2298" spans="1:11" x14ac:dyDescent="0.25">
      <c r="A2298" t="e">
        <f>-Lqf1koC2zE9utSDGzFZ</f>
        <v>#NAME?</v>
      </c>
      <c r="B2298">
        <v>393.75</v>
      </c>
      <c r="C2298">
        <v>20.531590000000001</v>
      </c>
      <c r="D2298">
        <v>55</v>
      </c>
      <c r="E2298">
        <v>0</v>
      </c>
      <c r="F2298">
        <v>0</v>
      </c>
      <c r="G2298">
        <v>53</v>
      </c>
      <c r="H2298" s="4">
        <v>1570532690006</v>
      </c>
      <c r="I2298">
        <v>526.6875</v>
      </c>
      <c r="J2298" s="9">
        <f t="shared" si="35"/>
        <v>43746.753356550922</v>
      </c>
      <c r="K2298" s="1"/>
    </row>
    <row r="2299" spans="1:11" x14ac:dyDescent="0.25">
      <c r="A2299" t="e">
        <f>-Lqf1mND5vUNhTcyWZew</f>
        <v>#NAME?</v>
      </c>
      <c r="B2299">
        <v>393.75</v>
      </c>
      <c r="C2299">
        <v>20.584240000000001</v>
      </c>
      <c r="D2299">
        <v>52</v>
      </c>
      <c r="E2299">
        <v>0</v>
      </c>
      <c r="F2299">
        <v>0</v>
      </c>
      <c r="G2299">
        <v>50</v>
      </c>
      <c r="H2299" s="4">
        <v>1570532696206</v>
      </c>
      <c r="I2299">
        <v>526.6875</v>
      </c>
      <c r="J2299" s="9">
        <f t="shared" si="35"/>
        <v>43746.753428310178</v>
      </c>
      <c r="K2299" s="1"/>
    </row>
    <row r="2300" spans="1:11" x14ac:dyDescent="0.25">
      <c r="A2300" t="e">
        <f>-Lqf1o54PD-fEEC8hAzA</f>
        <v>#NAME?</v>
      </c>
      <c r="B2300">
        <v>393.75</v>
      </c>
      <c r="C2300">
        <v>20.584240000000001</v>
      </c>
      <c r="D2300">
        <v>54</v>
      </c>
      <c r="E2300">
        <v>0</v>
      </c>
      <c r="F2300">
        <v>0</v>
      </c>
      <c r="G2300">
        <v>56</v>
      </c>
      <c r="H2300" s="4">
        <v>1570532703415</v>
      </c>
      <c r="I2300">
        <v>526.6875</v>
      </c>
      <c r="J2300" s="9">
        <f t="shared" si="35"/>
        <v>43746.753511747687</v>
      </c>
      <c r="K2300" s="1"/>
    </row>
    <row r="2301" spans="1:11" x14ac:dyDescent="0.25">
      <c r="A2301" t="e">
        <f>-Lqf1p_5xrNBss1lHNAX</f>
        <v>#NAME?</v>
      </c>
      <c r="B2301">
        <v>393.75</v>
      </c>
      <c r="C2301">
        <v>20.584240000000001</v>
      </c>
      <c r="D2301">
        <v>56</v>
      </c>
      <c r="E2301">
        <v>0</v>
      </c>
      <c r="F2301">
        <v>0</v>
      </c>
      <c r="G2301">
        <v>45</v>
      </c>
      <c r="H2301" s="4">
        <v>1570532709595</v>
      </c>
      <c r="I2301">
        <v>526.6875</v>
      </c>
      <c r="J2301" s="9">
        <f t="shared" si="35"/>
        <v>43746.753583275458</v>
      </c>
      <c r="K2301" s="1"/>
    </row>
    <row r="2302" spans="1:11" x14ac:dyDescent="0.25">
      <c r="A2302" t="e">
        <f>-Lqf1r3MkhvaMsfYa3_k</f>
        <v>#NAME?</v>
      </c>
      <c r="B2302">
        <v>393.75</v>
      </c>
      <c r="C2302">
        <v>20.584240000000001</v>
      </c>
      <c r="D2302">
        <v>57</v>
      </c>
      <c r="E2302">
        <v>0</v>
      </c>
      <c r="F2302">
        <v>0</v>
      </c>
      <c r="G2302">
        <v>54</v>
      </c>
      <c r="H2302" s="4">
        <v>1570532715775</v>
      </c>
      <c r="I2302">
        <v>526.6875</v>
      </c>
      <c r="J2302" s="9">
        <f t="shared" si="35"/>
        <v>43746.753654803237</v>
      </c>
      <c r="K2302" s="1"/>
    </row>
    <row r="2303" spans="1:11" x14ac:dyDescent="0.25">
      <c r="A2303" t="e">
        <f>-Lqf1scC6EcxlNVPOMzY</f>
        <v>#NAME?</v>
      </c>
      <c r="B2303">
        <v>393.75</v>
      </c>
      <c r="C2303">
        <v>20.584240000000001</v>
      </c>
      <c r="D2303">
        <v>56</v>
      </c>
      <c r="E2303">
        <v>0</v>
      </c>
      <c r="F2303">
        <v>0</v>
      </c>
      <c r="G2303">
        <v>42</v>
      </c>
      <c r="H2303" s="4">
        <v>1570532721966</v>
      </c>
      <c r="I2303">
        <v>526.6875</v>
      </c>
      <c r="J2303" s="9">
        <f t="shared" si="35"/>
        <v>43746.75372645833</v>
      </c>
      <c r="K2303" s="1"/>
    </row>
    <row r="2304" spans="1:11" x14ac:dyDescent="0.25">
      <c r="A2304" t="e">
        <f>-Lqf1u6CszOkqKiBRXV8</f>
        <v>#NAME?</v>
      </c>
      <c r="B2304">
        <v>393.75</v>
      </c>
      <c r="C2304">
        <v>20.531590000000001</v>
      </c>
      <c r="D2304">
        <v>55</v>
      </c>
      <c r="E2304">
        <v>0</v>
      </c>
      <c r="F2304">
        <v>0</v>
      </c>
      <c r="G2304">
        <v>55</v>
      </c>
      <c r="H2304" s="4">
        <v>1570532728148</v>
      </c>
      <c r="I2304">
        <v>526.6875</v>
      </c>
      <c r="J2304" s="9">
        <f t="shared" si="35"/>
        <v>43746.753798009253</v>
      </c>
      <c r="K2304" s="1"/>
    </row>
    <row r="2305" spans="1:11" x14ac:dyDescent="0.25">
      <c r="A2305" t="e">
        <f>-Lqf1vgSTRYpS6gNHtpe</f>
        <v>#NAME?</v>
      </c>
      <c r="B2305">
        <v>393.75</v>
      </c>
      <c r="C2305">
        <v>20.584240000000001</v>
      </c>
      <c r="D2305">
        <v>55</v>
      </c>
      <c r="E2305">
        <v>0</v>
      </c>
      <c r="F2305">
        <v>0</v>
      </c>
      <c r="G2305">
        <v>47</v>
      </c>
      <c r="H2305" s="4">
        <v>1570532734328</v>
      </c>
      <c r="I2305">
        <v>526.6875</v>
      </c>
      <c r="J2305" s="9">
        <f t="shared" si="35"/>
        <v>43746.753869537039</v>
      </c>
      <c r="K2305" s="1"/>
    </row>
    <row r="2306" spans="1:11" x14ac:dyDescent="0.25">
      <c r="A2306" t="e">
        <f>-Lqf1xOCirf94Mhj79cb</f>
        <v>#NAME?</v>
      </c>
      <c r="B2306">
        <v>412.5</v>
      </c>
      <c r="C2306">
        <v>20.584240000000001</v>
      </c>
      <c r="D2306">
        <v>55</v>
      </c>
      <c r="E2306">
        <v>0</v>
      </c>
      <c r="F2306">
        <v>0</v>
      </c>
      <c r="G2306">
        <v>53</v>
      </c>
      <c r="H2306" s="4">
        <v>1570532741526</v>
      </c>
      <c r="I2306">
        <v>532.3125</v>
      </c>
      <c r="J2306" s="9">
        <f t="shared" si="35"/>
        <v>43746.753952847219</v>
      </c>
      <c r="K2306" s="1"/>
    </row>
    <row r="2307" spans="1:11" x14ac:dyDescent="0.25">
      <c r="A2307" t="e">
        <f>-Lqf1yxNi9lGIpetVUEO</f>
        <v>#NAME?</v>
      </c>
      <c r="B2307">
        <v>393.75</v>
      </c>
      <c r="C2307">
        <v>20.584240000000001</v>
      </c>
      <c r="D2307">
        <v>55</v>
      </c>
      <c r="E2307">
        <v>0</v>
      </c>
      <c r="F2307">
        <v>0</v>
      </c>
      <c r="G2307">
        <v>57</v>
      </c>
      <c r="H2307" s="4">
        <v>1570532747717</v>
      </c>
      <c r="I2307">
        <v>526.6875</v>
      </c>
      <c r="J2307" s="9">
        <f t="shared" ref="J2307:J2370" si="36">(H2307/86400000)+25569+(7/24)</f>
        <v>43746.754024502312</v>
      </c>
      <c r="K2307" s="1"/>
    </row>
    <row r="2308" spans="1:11" x14ac:dyDescent="0.25">
      <c r="A2308" t="s">
        <v>129</v>
      </c>
      <c r="B2308">
        <v>393.75</v>
      </c>
      <c r="C2308">
        <v>20.584240000000001</v>
      </c>
      <c r="D2308">
        <v>57</v>
      </c>
      <c r="E2308">
        <v>0</v>
      </c>
      <c r="F2308">
        <v>0</v>
      </c>
      <c r="G2308">
        <v>53</v>
      </c>
      <c r="H2308" s="4">
        <v>1570532754936</v>
      </c>
      <c r="I2308">
        <v>526.6875</v>
      </c>
      <c r="J2308" s="9">
        <f t="shared" si="36"/>
        <v>43746.754108055553</v>
      </c>
      <c r="K2308" s="1"/>
    </row>
    <row r="2309" spans="1:11" x14ac:dyDescent="0.25">
      <c r="A2309" t="e">
        <f>-Lqf219D5U84uhESAqaR</f>
        <v>#NAME?</v>
      </c>
      <c r="B2309">
        <v>393.75</v>
      </c>
      <c r="C2309">
        <v>20.584240000000001</v>
      </c>
      <c r="D2309">
        <v>57</v>
      </c>
      <c r="E2309">
        <v>0</v>
      </c>
      <c r="F2309">
        <v>0</v>
      </c>
      <c r="G2309">
        <v>54</v>
      </c>
      <c r="H2309" s="4">
        <v>1570532761126</v>
      </c>
      <c r="I2309">
        <v>526.6875</v>
      </c>
      <c r="J2309" s="9">
        <f t="shared" si="36"/>
        <v>43746.75417969907</v>
      </c>
      <c r="K2309" s="1"/>
    </row>
    <row r="2310" spans="1:11" x14ac:dyDescent="0.25">
      <c r="A2310" t="e">
        <f>-Lqf22iC0s1XWNI6NhXA</f>
        <v>#NAME?</v>
      </c>
      <c r="B2310">
        <v>393.75</v>
      </c>
      <c r="C2310">
        <v>20.531590000000001</v>
      </c>
      <c r="D2310">
        <v>55</v>
      </c>
      <c r="E2310">
        <v>0</v>
      </c>
      <c r="F2310">
        <v>0</v>
      </c>
      <c r="G2310">
        <v>48</v>
      </c>
      <c r="H2310" s="4">
        <v>1570532767303</v>
      </c>
      <c r="I2310">
        <v>526.6875</v>
      </c>
      <c r="J2310" s="9">
        <f t="shared" si="36"/>
        <v>43746.754251192127</v>
      </c>
      <c r="K2310" s="1"/>
    </row>
    <row r="2311" spans="1:11" x14ac:dyDescent="0.25">
      <c r="A2311" t="e">
        <f>-Lqf24RCuZx39FLS1MCT</f>
        <v>#NAME?</v>
      </c>
      <c r="B2311">
        <v>393.75</v>
      </c>
      <c r="C2311">
        <v>20.584240000000001</v>
      </c>
      <c r="D2311">
        <v>56</v>
      </c>
      <c r="E2311">
        <v>0</v>
      </c>
      <c r="F2311">
        <v>0</v>
      </c>
      <c r="G2311">
        <v>60</v>
      </c>
      <c r="H2311" s="4">
        <v>1570532774486</v>
      </c>
      <c r="I2311">
        <v>526.6875</v>
      </c>
      <c r="J2311" s="9">
        <f t="shared" si="36"/>
        <v>43746.754334328703</v>
      </c>
      <c r="K2311" s="1"/>
    </row>
    <row r="2312" spans="1:11" x14ac:dyDescent="0.25">
      <c r="A2312" t="e">
        <f>-#REF!-E0eMq78DIvTk8</f>
        <v>#REF!</v>
      </c>
      <c r="B2312">
        <v>412.5</v>
      </c>
      <c r="C2312">
        <v>20.584240000000001</v>
      </c>
      <c r="D2312">
        <v>57</v>
      </c>
      <c r="E2312">
        <v>0</v>
      </c>
      <c r="F2312">
        <v>0</v>
      </c>
      <c r="G2312">
        <v>56</v>
      </c>
      <c r="H2312" s="4">
        <v>1570532780696</v>
      </c>
      <c r="I2312">
        <v>532.6875</v>
      </c>
      <c r="J2312" s="9">
        <f t="shared" si="36"/>
        <v>43746.754406203698</v>
      </c>
      <c r="K2312" s="1"/>
    </row>
    <row r="2313" spans="1:11" x14ac:dyDescent="0.25">
      <c r="A2313" t="e">
        <f>-Lqf27iDmq2mG5huSGqY</f>
        <v>#NAME?</v>
      </c>
      <c r="B2313">
        <v>393.75</v>
      </c>
      <c r="C2313">
        <v>20.584240000000001</v>
      </c>
      <c r="D2313">
        <v>57</v>
      </c>
      <c r="E2313">
        <v>0</v>
      </c>
      <c r="F2313">
        <v>0</v>
      </c>
      <c r="G2313">
        <v>56</v>
      </c>
      <c r="H2313" s="4">
        <v>1570532787926</v>
      </c>
      <c r="I2313">
        <v>526.6875</v>
      </c>
      <c r="J2313" s="9">
        <f t="shared" si="36"/>
        <v>43746.754489884253</v>
      </c>
      <c r="K2313" s="1"/>
    </row>
    <row r="2314" spans="1:11" x14ac:dyDescent="0.25">
      <c r="A2314" t="e">
        <f>-Lqf29CMmLcDOFf03kwN</f>
        <v>#NAME?</v>
      </c>
      <c r="B2314">
        <v>393.75</v>
      </c>
      <c r="C2314">
        <v>20.584240000000001</v>
      </c>
      <c r="D2314">
        <v>60</v>
      </c>
      <c r="E2314">
        <v>0</v>
      </c>
      <c r="F2314">
        <v>0</v>
      </c>
      <c r="G2314">
        <v>57</v>
      </c>
      <c r="H2314" s="4">
        <v>1570532794085</v>
      </c>
      <c r="I2314">
        <v>526.6875</v>
      </c>
      <c r="J2314" s="9">
        <f t="shared" si="36"/>
        <v>43746.754561168978</v>
      </c>
      <c r="K2314" s="1"/>
    </row>
    <row r="2315" spans="1:11" x14ac:dyDescent="0.25">
      <c r="A2315" t="e">
        <f>-Lqf2AlDvka1KhFpoHpG</f>
        <v>#NAME?</v>
      </c>
      <c r="B2315">
        <v>393.75</v>
      </c>
      <c r="C2315">
        <v>20.584240000000001</v>
      </c>
      <c r="D2315">
        <v>59</v>
      </c>
      <c r="E2315">
        <v>0</v>
      </c>
      <c r="F2315">
        <v>0</v>
      </c>
      <c r="G2315">
        <v>57</v>
      </c>
      <c r="H2315" s="4">
        <v>1570532800276</v>
      </c>
      <c r="I2315">
        <v>526.6875</v>
      </c>
      <c r="J2315" s="9">
        <f t="shared" si="36"/>
        <v>43746.754632824071</v>
      </c>
      <c r="K2315" s="1"/>
    </row>
    <row r="2316" spans="1:11" x14ac:dyDescent="0.25">
      <c r="A2316" t="e">
        <f>-Lqf2CFCYPk028Y0p_5Y</f>
        <v>#NAME?</v>
      </c>
      <c r="B2316">
        <v>393.75</v>
      </c>
      <c r="C2316">
        <v>20.584240000000001</v>
      </c>
      <c r="D2316">
        <v>59</v>
      </c>
      <c r="E2316">
        <v>0</v>
      </c>
      <c r="F2316">
        <v>0</v>
      </c>
      <c r="G2316">
        <v>58</v>
      </c>
      <c r="H2316" s="4">
        <v>1570532806447</v>
      </c>
      <c r="I2316">
        <v>526.6875</v>
      </c>
      <c r="J2316" s="9">
        <f t="shared" si="36"/>
        <v>43746.754704247687</v>
      </c>
      <c r="K2316" s="1"/>
    </row>
    <row r="2317" spans="1:11" x14ac:dyDescent="0.25">
      <c r="A2317" t="e">
        <f>-Lqf2E2CsZywjO_r_kPB</f>
        <v>#NAME?</v>
      </c>
      <c r="B2317">
        <v>393.75</v>
      </c>
      <c r="C2317">
        <v>20.584240000000001</v>
      </c>
      <c r="D2317">
        <v>57</v>
      </c>
      <c r="E2317">
        <v>0</v>
      </c>
      <c r="F2317">
        <v>0</v>
      </c>
      <c r="G2317">
        <v>52</v>
      </c>
      <c r="H2317" s="4">
        <v>1570532812636</v>
      </c>
      <c r="I2317">
        <v>526.6875</v>
      </c>
      <c r="J2317" s="9">
        <f t="shared" si="36"/>
        <v>43746.754775879628</v>
      </c>
      <c r="K2317" s="1"/>
    </row>
    <row r="2318" spans="1:11" x14ac:dyDescent="0.25">
      <c r="A2318" t="e">
        <f>-Lqf2Fl57-lf_prJ9zhN</f>
        <v>#NAME?</v>
      </c>
      <c r="B2318">
        <v>393.75</v>
      </c>
      <c r="C2318">
        <v>20.531590000000001</v>
      </c>
      <c r="D2318">
        <v>57</v>
      </c>
      <c r="E2318">
        <v>0</v>
      </c>
      <c r="F2318">
        <v>0</v>
      </c>
      <c r="G2318">
        <v>48</v>
      </c>
      <c r="H2318" s="4">
        <v>1570532820885</v>
      </c>
      <c r="I2318">
        <v>526.6875</v>
      </c>
      <c r="J2318" s="9">
        <f t="shared" si="36"/>
        <v>43746.754871354169</v>
      </c>
      <c r="K2318" s="1"/>
    </row>
    <row r="2319" spans="1:11" x14ac:dyDescent="0.25">
      <c r="A2319" t="e">
        <f>-Lqf2HK5nxGRgoOdFkNn</f>
        <v>#NAME?</v>
      </c>
      <c r="B2319">
        <v>393.75</v>
      </c>
      <c r="C2319">
        <v>20.584240000000001</v>
      </c>
      <c r="D2319">
        <v>57</v>
      </c>
      <c r="E2319">
        <v>0</v>
      </c>
      <c r="F2319">
        <v>0</v>
      </c>
      <c r="G2319">
        <v>58</v>
      </c>
      <c r="H2319" s="4">
        <v>1570532827066</v>
      </c>
      <c r="I2319">
        <v>526.6875</v>
      </c>
      <c r="J2319" s="9">
        <f t="shared" si="36"/>
        <v>43746.754942893516</v>
      </c>
      <c r="K2319" s="1"/>
    </row>
    <row r="2320" spans="1:11" x14ac:dyDescent="0.25">
      <c r="A2320" t="e">
        <f>-Lqf2J2FoXqEoLUf1_W2</f>
        <v>#NAME?</v>
      </c>
      <c r="B2320">
        <v>393.75</v>
      </c>
      <c r="C2320">
        <v>20.584240000000001</v>
      </c>
      <c r="D2320">
        <v>58</v>
      </c>
      <c r="E2320">
        <v>0</v>
      </c>
      <c r="F2320">
        <v>0</v>
      </c>
      <c r="G2320">
        <v>64</v>
      </c>
      <c r="H2320" s="4">
        <v>1570532834276</v>
      </c>
      <c r="I2320">
        <v>526.6875</v>
      </c>
      <c r="J2320" s="9">
        <f t="shared" si="36"/>
        <v>43746.755026342587</v>
      </c>
      <c r="K2320" s="1"/>
    </row>
    <row r="2321" spans="1:11" x14ac:dyDescent="0.25">
      <c r="A2321" t="e">
        <f>-Lqf2Kq6ccoBqcv53czO</f>
        <v>#NAME?</v>
      </c>
      <c r="B2321">
        <v>393.75</v>
      </c>
      <c r="C2321">
        <v>20.584240000000001</v>
      </c>
      <c r="D2321">
        <v>58</v>
      </c>
      <c r="E2321">
        <v>0</v>
      </c>
      <c r="F2321">
        <v>0</v>
      </c>
      <c r="G2321">
        <v>52</v>
      </c>
      <c r="H2321" s="4">
        <v>1570532841496</v>
      </c>
      <c r="I2321">
        <v>526.6875</v>
      </c>
      <c r="J2321" s="9">
        <f t="shared" si="36"/>
        <v>43746.755109907404</v>
      </c>
      <c r="K2321" s="1"/>
    </row>
    <row r="2322" spans="1:11" x14ac:dyDescent="0.25">
      <c r="A2322" t="e">
        <f>-Lqf2MZCsGTGSw9OnW0p</f>
        <v>#NAME?</v>
      </c>
      <c r="B2322">
        <v>393.75</v>
      </c>
      <c r="C2322">
        <v>20.584240000000001</v>
      </c>
      <c r="D2322">
        <v>58</v>
      </c>
      <c r="E2322">
        <v>0</v>
      </c>
      <c r="F2322">
        <v>0</v>
      </c>
      <c r="G2322">
        <v>64</v>
      </c>
      <c r="H2322" s="4">
        <v>1570532848705</v>
      </c>
      <c r="I2322">
        <v>526.6875</v>
      </c>
      <c r="J2322" s="9">
        <f t="shared" si="36"/>
        <v>43746.755193344907</v>
      </c>
      <c r="K2322" s="1"/>
    </row>
    <row r="2323" spans="1:11" x14ac:dyDescent="0.25">
      <c r="A2323" t="e">
        <f>-Lqf2O2DCH1muoZcp-F1</f>
        <v>#NAME?</v>
      </c>
      <c r="B2323">
        <v>393.75</v>
      </c>
      <c r="C2323">
        <v>20.584240000000001</v>
      </c>
      <c r="D2323">
        <v>58</v>
      </c>
      <c r="E2323">
        <v>0</v>
      </c>
      <c r="F2323">
        <v>0</v>
      </c>
      <c r="G2323">
        <v>57</v>
      </c>
      <c r="H2323" s="4">
        <v>1570532854888</v>
      </c>
      <c r="I2323">
        <v>526.5</v>
      </c>
      <c r="J2323" s="9">
        <f t="shared" si="36"/>
        <v>43746.755264907406</v>
      </c>
      <c r="K2323" s="1"/>
    </row>
    <row r="2324" spans="1:11" x14ac:dyDescent="0.25">
      <c r="A2324" t="e">
        <f>-Lqf2PbDbu1E05IJq1PS</f>
        <v>#NAME?</v>
      </c>
      <c r="B2324">
        <v>412.5</v>
      </c>
      <c r="C2324">
        <v>20.584240000000001</v>
      </c>
      <c r="D2324">
        <v>58</v>
      </c>
      <c r="E2324">
        <v>0</v>
      </c>
      <c r="F2324">
        <v>0</v>
      </c>
      <c r="G2324">
        <v>58</v>
      </c>
      <c r="H2324" s="4">
        <v>1570532861065</v>
      </c>
      <c r="I2324">
        <v>532.5</v>
      </c>
      <c r="J2324" s="9">
        <f t="shared" si="36"/>
        <v>43746.755336400463</v>
      </c>
      <c r="K2324" s="1"/>
    </row>
    <row r="2325" spans="1:11" x14ac:dyDescent="0.25">
      <c r="A2325" t="e">
        <f>-Lqf2RKCaulmM-QPlESh</f>
        <v>#NAME?</v>
      </c>
      <c r="B2325">
        <v>393.75</v>
      </c>
      <c r="C2325">
        <v>20.531590000000001</v>
      </c>
      <c r="D2325">
        <v>56</v>
      </c>
      <c r="E2325">
        <v>0</v>
      </c>
      <c r="F2325">
        <v>0</v>
      </c>
      <c r="G2325">
        <v>52</v>
      </c>
      <c r="H2325" s="4">
        <v>1570532868257</v>
      </c>
      <c r="I2325">
        <v>526.6875</v>
      </c>
      <c r="J2325" s="9">
        <f t="shared" si="36"/>
        <v>43746.755419641202</v>
      </c>
      <c r="K2325" s="1"/>
    </row>
    <row r="2326" spans="1:11" x14ac:dyDescent="0.25">
      <c r="A2326" t="e">
        <f>-Lqf2TDg7oMhWv12CZds</f>
        <v>#NAME?</v>
      </c>
      <c r="B2326">
        <v>393.75</v>
      </c>
      <c r="C2326">
        <v>20.584240000000001</v>
      </c>
      <c r="D2326">
        <v>57</v>
      </c>
      <c r="E2326">
        <v>0</v>
      </c>
      <c r="F2326">
        <v>0</v>
      </c>
      <c r="G2326">
        <v>52</v>
      </c>
      <c r="H2326" s="4">
        <v>1570532874465</v>
      </c>
      <c r="I2326">
        <v>526.6875</v>
      </c>
      <c r="J2326" s="9">
        <f t="shared" si="36"/>
        <v>43746.755491493052</v>
      </c>
      <c r="K2326" s="1"/>
    </row>
    <row r="2327" spans="1:11" x14ac:dyDescent="0.25">
      <c r="A2327" t="e">
        <f>-Lqf2UoyhJQH_s0BeNff</f>
        <v>#NAME?</v>
      </c>
      <c r="B2327">
        <v>393.75</v>
      </c>
      <c r="C2327">
        <v>20.584240000000001</v>
      </c>
      <c r="D2327">
        <v>57</v>
      </c>
      <c r="E2327">
        <v>0</v>
      </c>
      <c r="F2327">
        <v>0</v>
      </c>
      <c r="G2327">
        <v>61</v>
      </c>
      <c r="H2327" s="4">
        <v>1570532882723</v>
      </c>
      <c r="I2327">
        <v>526.6875</v>
      </c>
      <c r="J2327" s="9">
        <f t="shared" si="36"/>
        <v>43746.755587071755</v>
      </c>
      <c r="K2327" s="1"/>
    </row>
    <row r="2328" spans="1:11" x14ac:dyDescent="0.25">
      <c r="A2328" t="e">
        <f>-Lqf2WP4OsMa4HN3eMIQ</f>
        <v>#NAME?</v>
      </c>
      <c r="B2328">
        <v>393.75</v>
      </c>
      <c r="C2328">
        <v>20.584240000000001</v>
      </c>
      <c r="D2328">
        <v>59</v>
      </c>
      <c r="E2328">
        <v>0</v>
      </c>
      <c r="F2328">
        <v>0</v>
      </c>
      <c r="G2328">
        <v>52</v>
      </c>
      <c r="H2328" s="4">
        <v>1570532888893</v>
      </c>
      <c r="I2328">
        <v>526.6875</v>
      </c>
      <c r="J2328" s="9">
        <f t="shared" si="36"/>
        <v>43746.755658483795</v>
      </c>
      <c r="K2328" s="1"/>
    </row>
    <row r="2329" spans="1:11" x14ac:dyDescent="0.25">
      <c r="A2329" t="e">
        <f>-Lqf2Y77U7iOTz4HLqEo</f>
        <v>#NAME?</v>
      </c>
      <c r="B2329">
        <v>393.75</v>
      </c>
      <c r="C2329">
        <v>20.584240000000001</v>
      </c>
      <c r="D2329">
        <v>59</v>
      </c>
      <c r="E2329">
        <v>0</v>
      </c>
      <c r="F2329">
        <v>0</v>
      </c>
      <c r="G2329">
        <v>56</v>
      </c>
      <c r="H2329" s="4">
        <v>1570532896085</v>
      </c>
      <c r="I2329">
        <v>526.6875</v>
      </c>
      <c r="J2329" s="9">
        <f t="shared" si="36"/>
        <v>43746.755741724533</v>
      </c>
      <c r="K2329" s="1"/>
    </row>
    <row r="2330" spans="1:11" x14ac:dyDescent="0.25">
      <c r="A2330" t="e">
        <f>-Lqf2Zg3u1cojocA8hjo</f>
        <v>#NAME?</v>
      </c>
      <c r="B2330">
        <v>393.75</v>
      </c>
      <c r="C2330">
        <v>20.584240000000001</v>
      </c>
      <c r="D2330">
        <v>59</v>
      </c>
      <c r="E2330">
        <v>0</v>
      </c>
      <c r="F2330">
        <v>0</v>
      </c>
      <c r="G2330">
        <v>53</v>
      </c>
      <c r="H2330" s="4">
        <v>1570532902274</v>
      </c>
      <c r="I2330">
        <v>526.6875</v>
      </c>
      <c r="J2330" s="9">
        <f t="shared" si="36"/>
        <v>43746.755813356482</v>
      </c>
      <c r="K2330" s="1"/>
    </row>
    <row r="2331" spans="1:11" x14ac:dyDescent="0.25">
      <c r="A2331" t="e">
        <f>-Lqf2akc0ubUXmMZiQhQ</f>
        <v>#NAME?</v>
      </c>
      <c r="B2331">
        <v>393.75</v>
      </c>
      <c r="C2331">
        <v>20.531590000000001</v>
      </c>
      <c r="D2331">
        <v>59</v>
      </c>
      <c r="E2331">
        <v>0</v>
      </c>
      <c r="F2331">
        <v>0</v>
      </c>
      <c r="G2331">
        <v>57</v>
      </c>
      <c r="H2331" s="4">
        <v>1570532909495</v>
      </c>
      <c r="I2331">
        <v>526.6875</v>
      </c>
      <c r="J2331" s="9">
        <f t="shared" si="36"/>
        <v>43746.755896932867</v>
      </c>
      <c r="K2331" s="1"/>
    </row>
    <row r="2332" spans="1:11" x14ac:dyDescent="0.25">
      <c r="A2332" t="e">
        <f>-Lqf2cPqbnmxW_5wdDQA</f>
        <v>#NAME?</v>
      </c>
      <c r="B2332">
        <v>393.75</v>
      </c>
      <c r="C2332">
        <v>20.584240000000001</v>
      </c>
      <c r="D2332">
        <v>59</v>
      </c>
      <c r="E2332">
        <v>0</v>
      </c>
      <c r="F2332">
        <v>0</v>
      </c>
      <c r="G2332">
        <v>51</v>
      </c>
      <c r="H2332" s="4">
        <v>1570532917753</v>
      </c>
      <c r="I2332">
        <v>526.6875</v>
      </c>
      <c r="J2332" s="9">
        <f t="shared" si="36"/>
        <v>43746.755992511571</v>
      </c>
      <c r="K2332" s="1"/>
    </row>
    <row r="2333" spans="1:11" x14ac:dyDescent="0.25">
      <c r="A2333" t="e">
        <f>-Lqf2dvCM6OFrlEijKCt</f>
        <v>#NAME?</v>
      </c>
      <c r="B2333">
        <v>393.75</v>
      </c>
      <c r="C2333">
        <v>20.584240000000001</v>
      </c>
      <c r="D2333">
        <v>59</v>
      </c>
      <c r="E2333">
        <v>0</v>
      </c>
      <c r="F2333">
        <v>0</v>
      </c>
      <c r="G2333">
        <v>50</v>
      </c>
      <c r="H2333" s="4">
        <v>1570532923925</v>
      </c>
      <c r="I2333">
        <v>526.6875</v>
      </c>
      <c r="J2333" s="9">
        <f t="shared" si="36"/>
        <v>43746.756063946756</v>
      </c>
      <c r="K2333" s="1"/>
    </row>
    <row r="2334" spans="1:11" x14ac:dyDescent="0.25">
      <c r="A2334" t="e">
        <f>-Lqf2fU4JgyVRSNVsO14</f>
        <v>#NAME?</v>
      </c>
      <c r="B2334">
        <v>393.75</v>
      </c>
      <c r="C2334">
        <v>20.584240000000001</v>
      </c>
      <c r="D2334">
        <v>58</v>
      </c>
      <c r="E2334">
        <v>0</v>
      </c>
      <c r="F2334">
        <v>0</v>
      </c>
      <c r="G2334">
        <v>53</v>
      </c>
      <c r="H2334" s="4">
        <v>1570532930104</v>
      </c>
      <c r="I2334">
        <v>526.6875</v>
      </c>
      <c r="J2334" s="9">
        <f t="shared" si="36"/>
        <v>43746.756135462965</v>
      </c>
      <c r="K2334" s="1"/>
    </row>
    <row r="2335" spans="1:11" x14ac:dyDescent="0.25">
      <c r="A2335" t="e">
        <f>-Lqf2hCChhGkqCUJ_Qxz</f>
        <v>#NAME?</v>
      </c>
      <c r="B2335">
        <v>412.5</v>
      </c>
      <c r="C2335">
        <v>20.531590000000001</v>
      </c>
      <c r="D2335">
        <v>58</v>
      </c>
      <c r="E2335">
        <v>0</v>
      </c>
      <c r="F2335">
        <v>0</v>
      </c>
      <c r="G2335">
        <v>56</v>
      </c>
      <c r="H2335" s="4">
        <v>1570532937315</v>
      </c>
      <c r="I2335">
        <v>532.6875</v>
      </c>
      <c r="J2335" s="9">
        <f t="shared" si="36"/>
        <v>43746.756218923612</v>
      </c>
      <c r="K2335" s="1"/>
    </row>
    <row r="2336" spans="1:11" x14ac:dyDescent="0.25">
      <c r="A2336" t="e">
        <f>-Lqf2igGSPk-SQgNW0Ww</f>
        <v>#NAME?</v>
      </c>
      <c r="B2336">
        <v>393.75</v>
      </c>
      <c r="C2336">
        <v>20.531590000000001</v>
      </c>
      <c r="D2336">
        <v>59</v>
      </c>
      <c r="E2336">
        <v>0</v>
      </c>
      <c r="F2336">
        <v>0</v>
      </c>
      <c r="G2336">
        <v>54</v>
      </c>
      <c r="H2336" s="4">
        <v>1570532943516</v>
      </c>
      <c r="I2336">
        <v>526.6875</v>
      </c>
      <c r="J2336" s="9">
        <f t="shared" si="36"/>
        <v>43746.756290694444</v>
      </c>
      <c r="K2336" s="1"/>
    </row>
    <row r="2337" spans="1:11" x14ac:dyDescent="0.25">
      <c r="A2337" t="e">
        <f>-Lqf2kFCLoNzXavQ18eI</f>
        <v>#NAME?</v>
      </c>
      <c r="B2337">
        <v>393.75</v>
      </c>
      <c r="C2337">
        <v>20.584240000000001</v>
      </c>
      <c r="D2337">
        <v>59</v>
      </c>
      <c r="E2337">
        <v>0</v>
      </c>
      <c r="F2337">
        <v>0</v>
      </c>
      <c r="G2337">
        <v>58</v>
      </c>
      <c r="H2337" s="4">
        <v>1570532949654</v>
      </c>
      <c r="I2337">
        <v>526.6875</v>
      </c>
      <c r="J2337" s="9">
        <f t="shared" si="36"/>
        <v>43746.756361736108</v>
      </c>
      <c r="K2337" s="1"/>
    </row>
    <row r="2338" spans="1:11" x14ac:dyDescent="0.25">
      <c r="A2338" t="e">
        <f>-Lqf2lyX9GBZ8Su7pdyc</f>
        <v>#NAME?</v>
      </c>
      <c r="B2338">
        <v>393.75</v>
      </c>
      <c r="C2338">
        <v>20.584240000000001</v>
      </c>
      <c r="D2338">
        <v>59</v>
      </c>
      <c r="E2338">
        <v>0</v>
      </c>
      <c r="F2338">
        <v>0</v>
      </c>
      <c r="G2338">
        <v>60</v>
      </c>
      <c r="H2338" s="4">
        <v>1570532956885</v>
      </c>
      <c r="I2338">
        <v>526.6875</v>
      </c>
      <c r="J2338" s="9">
        <f t="shared" si="36"/>
        <v>43746.75644542824</v>
      </c>
      <c r="K2338" s="1"/>
    </row>
    <row r="2339" spans="1:11" x14ac:dyDescent="0.25">
      <c r="A2339" t="e">
        <f>-Lqf2nXDay7XcDrBzqp9</f>
        <v>#NAME?</v>
      </c>
      <c r="B2339">
        <v>393.75</v>
      </c>
      <c r="C2339">
        <v>20.584240000000001</v>
      </c>
      <c r="D2339">
        <v>59</v>
      </c>
      <c r="E2339">
        <v>0</v>
      </c>
      <c r="F2339">
        <v>0</v>
      </c>
      <c r="G2339">
        <v>47</v>
      </c>
      <c r="H2339" s="4">
        <v>1570532963076</v>
      </c>
      <c r="I2339">
        <v>526.5</v>
      </c>
      <c r="J2339" s="9">
        <f t="shared" si="36"/>
        <v>43746.756517083333</v>
      </c>
      <c r="K2339" s="1"/>
    </row>
    <row r="2340" spans="1:11" x14ac:dyDescent="0.25">
      <c r="A2340" t="e">
        <f>-Lqf2pFDkill22Ttr27p</f>
        <v>#NAME?</v>
      </c>
      <c r="B2340">
        <v>393.75</v>
      </c>
      <c r="C2340">
        <v>20.584240000000001</v>
      </c>
      <c r="D2340">
        <v>61</v>
      </c>
      <c r="E2340">
        <v>0</v>
      </c>
      <c r="F2340">
        <v>0</v>
      </c>
      <c r="G2340">
        <v>58</v>
      </c>
      <c r="H2340" s="4">
        <v>1570532970284</v>
      </c>
      <c r="I2340">
        <v>526.6875</v>
      </c>
      <c r="J2340" s="9">
        <f t="shared" si="36"/>
        <v>43746.756600509259</v>
      </c>
      <c r="K2340" s="1"/>
    </row>
    <row r="2341" spans="1:11" x14ac:dyDescent="0.25">
      <c r="A2341" t="e">
        <f>-Lqf2qrASrT3W4SXdUH1</f>
        <v>#NAME?</v>
      </c>
      <c r="B2341">
        <v>393.75</v>
      </c>
      <c r="C2341">
        <v>20.584240000000001</v>
      </c>
      <c r="D2341">
        <v>61</v>
      </c>
      <c r="E2341">
        <v>0</v>
      </c>
      <c r="F2341">
        <v>0</v>
      </c>
      <c r="G2341">
        <v>54</v>
      </c>
      <c r="H2341" s="4">
        <v>1570532976475</v>
      </c>
      <c r="I2341">
        <v>526.5</v>
      </c>
      <c r="J2341" s="9">
        <f t="shared" si="36"/>
        <v>43746.756672164345</v>
      </c>
      <c r="K2341" s="1"/>
    </row>
    <row r="2342" spans="1:11" x14ac:dyDescent="0.25">
      <c r="A2342" t="e">
        <f>-Lqf2sTJBKtPrSUUtzhB</f>
        <v>#NAME?</v>
      </c>
      <c r="B2342">
        <v>393.75</v>
      </c>
      <c r="C2342">
        <v>20.531590000000001</v>
      </c>
      <c r="D2342">
        <v>61</v>
      </c>
      <c r="E2342">
        <v>0</v>
      </c>
      <c r="F2342">
        <v>0</v>
      </c>
      <c r="G2342">
        <v>55</v>
      </c>
      <c r="H2342" s="4">
        <v>1570532983686</v>
      </c>
      <c r="I2342">
        <v>526.6875</v>
      </c>
      <c r="J2342" s="9">
        <f t="shared" si="36"/>
        <v>43746.756755624992</v>
      </c>
      <c r="K2342" s="1"/>
    </row>
    <row r="2343" spans="1:11" x14ac:dyDescent="0.25">
      <c r="A2343" t="e">
        <f>-Lqf2u0N_VJEwEGhyUIv</f>
        <v>#NAME?</v>
      </c>
      <c r="B2343">
        <v>393.75</v>
      </c>
      <c r="C2343">
        <v>20.531590000000001</v>
      </c>
      <c r="D2343">
        <v>59</v>
      </c>
      <c r="E2343">
        <v>0</v>
      </c>
      <c r="F2343">
        <v>0</v>
      </c>
      <c r="G2343">
        <v>54</v>
      </c>
      <c r="H2343" s="4">
        <v>1570532989846</v>
      </c>
      <c r="I2343">
        <v>526.6875</v>
      </c>
      <c r="J2343" s="9">
        <f t="shared" si="36"/>
        <v>43746.756826921293</v>
      </c>
      <c r="K2343" s="1"/>
    </row>
    <row r="2344" spans="1:11" x14ac:dyDescent="0.25">
      <c r="A2344" t="e">
        <f>-Lqf2v_DrDGk8_KYdFo4</f>
        <v>#NAME?</v>
      </c>
      <c r="B2344">
        <v>393.75</v>
      </c>
      <c r="C2344">
        <v>20.584240000000001</v>
      </c>
      <c r="D2344">
        <v>59</v>
      </c>
      <c r="E2344">
        <v>0</v>
      </c>
      <c r="F2344">
        <v>0</v>
      </c>
      <c r="G2344">
        <v>60</v>
      </c>
      <c r="H2344" s="4">
        <v>1570532996034</v>
      </c>
      <c r="I2344">
        <v>526.5</v>
      </c>
      <c r="J2344" s="9">
        <f t="shared" si="36"/>
        <v>43746.756898541666</v>
      </c>
      <c r="K2344" s="1"/>
    </row>
    <row r="2345" spans="1:11" x14ac:dyDescent="0.25">
      <c r="A2345" t="e">
        <f>-Lqf2xICrVJcYQZyj-fy</f>
        <v>#NAME?</v>
      </c>
      <c r="B2345">
        <v>393.75</v>
      </c>
      <c r="C2345">
        <v>20.531590000000001</v>
      </c>
      <c r="D2345">
        <v>58</v>
      </c>
      <c r="E2345">
        <v>0</v>
      </c>
      <c r="F2345">
        <v>0</v>
      </c>
      <c r="G2345">
        <v>55</v>
      </c>
      <c r="H2345" s="4">
        <v>1570533003268</v>
      </c>
      <c r="I2345">
        <v>526.6875</v>
      </c>
      <c r="J2345" s="9">
        <f t="shared" si="36"/>
        <v>43746.756982268511</v>
      </c>
      <c r="K2345" s="1"/>
    </row>
    <row r="2346" spans="1:11" x14ac:dyDescent="0.25">
      <c r="A2346" t="e">
        <f>-Lqf2z1_tUGGlwIYUzmC</f>
        <v>#NAME?</v>
      </c>
      <c r="B2346">
        <v>393.75</v>
      </c>
      <c r="C2346">
        <v>20.531590000000001</v>
      </c>
      <c r="D2346">
        <v>57</v>
      </c>
      <c r="E2346">
        <v>0</v>
      </c>
      <c r="F2346">
        <v>0</v>
      </c>
      <c r="G2346">
        <v>60</v>
      </c>
      <c r="H2346" s="4">
        <v>1570533009446</v>
      </c>
      <c r="I2346">
        <v>526.6875</v>
      </c>
      <c r="J2346" s="9">
        <f t="shared" si="36"/>
        <v>43746.757053773144</v>
      </c>
      <c r="K2346" s="1"/>
    </row>
    <row r="2347" spans="1:11" x14ac:dyDescent="0.25">
      <c r="A2347" t="e">
        <f>-#REF!-eCOzBFjTkBRNku</f>
        <v>#REF!</v>
      </c>
      <c r="B2347">
        <v>393.75</v>
      </c>
      <c r="C2347">
        <v>20.531590000000001</v>
      </c>
      <c r="D2347">
        <v>55</v>
      </c>
      <c r="E2347">
        <v>0</v>
      </c>
      <c r="F2347">
        <v>0</v>
      </c>
      <c r="G2347">
        <v>57</v>
      </c>
      <c r="H2347" s="4">
        <v>1570533016930</v>
      </c>
      <c r="I2347">
        <v>526.6875</v>
      </c>
      <c r="J2347" s="9">
        <f t="shared" si="36"/>
        <v>43746.757140393514</v>
      </c>
      <c r="K2347" s="1"/>
    </row>
    <row r="2348" spans="1:11" x14ac:dyDescent="0.25">
      <c r="A2348" t="e">
        <f>-Lqf31NCjN_Cm6cpu4Dc</f>
        <v>#NAME?</v>
      </c>
      <c r="B2348">
        <v>393.75</v>
      </c>
      <c r="C2348">
        <v>20.584240000000001</v>
      </c>
      <c r="D2348">
        <v>58</v>
      </c>
      <c r="E2348">
        <v>0</v>
      </c>
      <c r="F2348">
        <v>0</v>
      </c>
      <c r="G2348">
        <v>54</v>
      </c>
      <c r="H2348" s="4">
        <v>1570533023865</v>
      </c>
      <c r="I2348">
        <v>526.6875</v>
      </c>
      <c r="J2348" s="9">
        <f t="shared" si="36"/>
        <v>43746.757220659718</v>
      </c>
      <c r="K2348" s="1"/>
    </row>
    <row r="2349" spans="1:11" x14ac:dyDescent="0.25">
      <c r="A2349" t="e">
        <f>-Lqf33KCiaQygTZ3rKPq</f>
        <v>#NAME?</v>
      </c>
      <c r="B2349">
        <v>393.75</v>
      </c>
      <c r="C2349">
        <v>20.584240000000001</v>
      </c>
      <c r="D2349">
        <v>58</v>
      </c>
      <c r="E2349">
        <v>0</v>
      </c>
      <c r="F2349">
        <v>0</v>
      </c>
      <c r="G2349">
        <v>54</v>
      </c>
      <c r="H2349" s="4">
        <v>1570533031085</v>
      </c>
      <c r="I2349">
        <v>526.6875</v>
      </c>
      <c r="J2349" s="9">
        <f t="shared" si="36"/>
        <v>43746.757304224535</v>
      </c>
      <c r="K2349" s="1"/>
    </row>
    <row r="2350" spans="1:11" x14ac:dyDescent="0.25">
      <c r="A2350" t="e">
        <f>-Lqf34roVBUoAuxQ0FCV</f>
        <v>#NAME?</v>
      </c>
      <c r="B2350">
        <v>393.75</v>
      </c>
      <c r="C2350">
        <v>20.584240000000001</v>
      </c>
      <c r="D2350">
        <v>58</v>
      </c>
      <c r="E2350">
        <v>0</v>
      </c>
      <c r="F2350">
        <v>0</v>
      </c>
      <c r="G2350">
        <v>49</v>
      </c>
      <c r="H2350" s="4">
        <v>1570533038260</v>
      </c>
      <c r="I2350">
        <v>526.6875</v>
      </c>
      <c r="J2350" s="9">
        <f t="shared" si="36"/>
        <v>43746.757387268517</v>
      </c>
      <c r="K2350" s="1"/>
    </row>
    <row r="2351" spans="1:11" x14ac:dyDescent="0.25">
      <c r="A2351" t="e">
        <f>-Lqf36N44T5itQRe_vUr</f>
        <v>#NAME?</v>
      </c>
      <c r="B2351">
        <v>393.75</v>
      </c>
      <c r="C2351">
        <v>20.584240000000001</v>
      </c>
      <c r="D2351">
        <v>58</v>
      </c>
      <c r="E2351">
        <v>0</v>
      </c>
      <c r="F2351">
        <v>0</v>
      </c>
      <c r="G2351">
        <v>48</v>
      </c>
      <c r="H2351" s="4">
        <v>1570533044475</v>
      </c>
      <c r="I2351">
        <v>526.6875</v>
      </c>
      <c r="J2351" s="9">
        <f t="shared" si="36"/>
        <v>43746.757459201392</v>
      </c>
      <c r="K2351" s="1"/>
    </row>
    <row r="2352" spans="1:11" x14ac:dyDescent="0.25">
      <c r="A2352" t="e">
        <f>-Lqf37rDVbDWR14drZl6</f>
        <v>#NAME?</v>
      </c>
      <c r="B2352">
        <v>393.75</v>
      </c>
      <c r="C2352">
        <v>20.531590000000001</v>
      </c>
      <c r="D2352">
        <v>58</v>
      </c>
      <c r="E2352">
        <v>0</v>
      </c>
      <c r="F2352">
        <v>0</v>
      </c>
      <c r="G2352">
        <v>62</v>
      </c>
      <c r="H2352" s="4">
        <v>1570533050646</v>
      </c>
      <c r="I2352">
        <v>526.6875</v>
      </c>
      <c r="J2352" s="9">
        <f t="shared" si="36"/>
        <v>43746.757530625</v>
      </c>
      <c r="K2352" s="1"/>
    </row>
    <row r="2353" spans="1:11" x14ac:dyDescent="0.25">
      <c r="A2353" t="e">
        <f>-Lqf39LC-tTNSWyikniz</f>
        <v>#NAME?</v>
      </c>
      <c r="B2353">
        <v>393.75</v>
      </c>
      <c r="C2353">
        <v>20.531590000000001</v>
      </c>
      <c r="D2353">
        <v>58</v>
      </c>
      <c r="E2353">
        <v>0</v>
      </c>
      <c r="F2353">
        <v>0</v>
      </c>
      <c r="G2353">
        <v>58</v>
      </c>
      <c r="H2353" s="4">
        <v>1570533056835</v>
      </c>
      <c r="I2353">
        <v>526.6875</v>
      </c>
      <c r="J2353" s="9">
        <f t="shared" si="36"/>
        <v>43746.757602256941</v>
      </c>
      <c r="K2353" s="1"/>
    </row>
    <row r="2354" spans="1:11" x14ac:dyDescent="0.25">
      <c r="A2354" t="e">
        <f>-Lqf3AuBsH70zUBsqdQb</f>
        <v>#NAME?</v>
      </c>
      <c r="B2354">
        <v>393.75</v>
      </c>
      <c r="C2354">
        <v>20.584240000000001</v>
      </c>
      <c r="D2354">
        <v>58</v>
      </c>
      <c r="E2354">
        <v>0</v>
      </c>
      <c r="F2354">
        <v>0</v>
      </c>
      <c r="G2354">
        <v>60</v>
      </c>
      <c r="H2354" s="4">
        <v>1570533063025</v>
      </c>
      <c r="I2354">
        <v>526.5</v>
      </c>
      <c r="J2354" s="9">
        <f t="shared" si="36"/>
        <v>43746.757673900465</v>
      </c>
      <c r="K2354" s="1"/>
    </row>
    <row r="2355" spans="1:11" x14ac:dyDescent="0.25">
      <c r="A2355" t="e">
        <f>-Lqf3COcZyqptoZ530bq</f>
        <v>#NAME?</v>
      </c>
      <c r="B2355">
        <v>393.75</v>
      </c>
      <c r="C2355">
        <v>20.584240000000001</v>
      </c>
      <c r="D2355">
        <v>58</v>
      </c>
      <c r="E2355">
        <v>0</v>
      </c>
      <c r="F2355">
        <v>0</v>
      </c>
      <c r="G2355">
        <v>54</v>
      </c>
      <c r="H2355" s="4">
        <v>1570533069204</v>
      </c>
      <c r="I2355">
        <v>526.6875</v>
      </c>
      <c r="J2355" s="9">
        <f t="shared" si="36"/>
        <v>43746.757745416668</v>
      </c>
      <c r="K2355" s="1"/>
    </row>
    <row r="2356" spans="1:11" x14ac:dyDescent="0.25">
      <c r="A2356" t="e">
        <f>-Lqf3ERDu9dlQ5-RYVDv</f>
        <v>#NAME?</v>
      </c>
      <c r="B2356">
        <v>393.75</v>
      </c>
      <c r="C2356">
        <v>20.531590000000001</v>
      </c>
      <c r="D2356">
        <v>61</v>
      </c>
      <c r="E2356">
        <v>0</v>
      </c>
      <c r="F2356">
        <v>0</v>
      </c>
      <c r="G2356">
        <v>48</v>
      </c>
      <c r="H2356" s="4">
        <v>1570533076424</v>
      </c>
      <c r="I2356">
        <v>526.6875</v>
      </c>
      <c r="J2356" s="9">
        <f t="shared" si="36"/>
        <v>43746.757828981477</v>
      </c>
      <c r="K2356" s="1"/>
    </row>
    <row r="2357" spans="1:11" x14ac:dyDescent="0.25">
      <c r="A2357" t="e">
        <f>-Lqf3GDLjVyGxUDxXzG8</f>
        <v>#NAME?</v>
      </c>
      <c r="B2357">
        <v>393.75</v>
      </c>
      <c r="C2357">
        <v>20.584240000000001</v>
      </c>
      <c r="D2357">
        <v>61</v>
      </c>
      <c r="E2357">
        <v>0</v>
      </c>
      <c r="F2357">
        <v>0</v>
      </c>
      <c r="G2357">
        <v>57</v>
      </c>
      <c r="H2357" s="4">
        <v>1570533084666</v>
      </c>
      <c r="I2357">
        <v>526.6875</v>
      </c>
      <c r="J2357" s="9">
        <f t="shared" si="36"/>
        <v>43746.757924375001</v>
      </c>
      <c r="K2357" s="1"/>
    </row>
    <row r="2358" spans="1:11" x14ac:dyDescent="0.25">
      <c r="A2358" t="e">
        <f>-Lqf3HwCFhrpkoUi_buB</f>
        <v>#NAME?</v>
      </c>
      <c r="B2358">
        <v>393.75</v>
      </c>
      <c r="C2358">
        <v>20.584240000000001</v>
      </c>
      <c r="D2358">
        <v>61</v>
      </c>
      <c r="E2358">
        <v>0</v>
      </c>
      <c r="F2358">
        <v>0</v>
      </c>
      <c r="G2358">
        <v>50</v>
      </c>
      <c r="H2358" s="4">
        <v>1570533091874</v>
      </c>
      <c r="I2358">
        <v>526.6875</v>
      </c>
      <c r="J2358" s="9">
        <f t="shared" si="36"/>
        <v>43746.758007800927</v>
      </c>
      <c r="K2358" s="1"/>
    </row>
    <row r="2359" spans="1:11" x14ac:dyDescent="0.25">
      <c r="A2359" t="e">
        <f>-Lqf3JQB9iZ7txkFKv3K</f>
        <v>#NAME?</v>
      </c>
      <c r="B2359">
        <v>393.75</v>
      </c>
      <c r="C2359">
        <v>20.531590000000001</v>
      </c>
      <c r="D2359">
        <v>63</v>
      </c>
      <c r="E2359">
        <v>0</v>
      </c>
      <c r="F2359">
        <v>0</v>
      </c>
      <c r="G2359">
        <v>61</v>
      </c>
      <c r="H2359" s="4">
        <v>1570533098025</v>
      </c>
      <c r="I2359">
        <v>526.6875</v>
      </c>
      <c r="J2359" s="9">
        <f t="shared" si="36"/>
        <v>43746.758078993058</v>
      </c>
      <c r="K2359" s="1"/>
    </row>
    <row r="2360" spans="1:11" x14ac:dyDescent="0.25">
      <c r="A2360" t="e">
        <f>-Lqf3LDAmgb77ZQf0zeG</f>
        <v>#NAME?</v>
      </c>
      <c r="B2360">
        <v>393.75</v>
      </c>
      <c r="C2360">
        <v>20.584240000000001</v>
      </c>
      <c r="D2360">
        <v>63</v>
      </c>
      <c r="E2360">
        <v>0</v>
      </c>
      <c r="F2360">
        <v>0</v>
      </c>
      <c r="G2360">
        <v>55</v>
      </c>
      <c r="H2360" s="4">
        <v>1570533105305</v>
      </c>
      <c r="I2360">
        <v>526.6875</v>
      </c>
      <c r="J2360" s="9">
        <f t="shared" si="36"/>
        <v>43746.758163252314</v>
      </c>
      <c r="K2360" s="1"/>
    </row>
    <row r="2361" spans="1:11" x14ac:dyDescent="0.25">
      <c r="A2361" t="e">
        <f>-Lqf3Mh22vmLAzJwqwAL</f>
        <v>#NAME?</v>
      </c>
      <c r="B2361">
        <v>393.75</v>
      </c>
      <c r="C2361">
        <v>20.584240000000001</v>
      </c>
      <c r="D2361">
        <v>63</v>
      </c>
      <c r="E2361">
        <v>0</v>
      </c>
      <c r="F2361">
        <v>0</v>
      </c>
      <c r="G2361">
        <v>50</v>
      </c>
      <c r="H2361" s="4">
        <v>1570533111443</v>
      </c>
      <c r="I2361">
        <v>526.6875</v>
      </c>
      <c r="J2361" s="9">
        <f t="shared" si="36"/>
        <v>43746.758234293979</v>
      </c>
      <c r="K2361" s="1"/>
    </row>
    <row r="2362" spans="1:11" x14ac:dyDescent="0.25">
      <c r="A2362" t="e">
        <f>-Lqf3OG13PPIVAWBmIQO</f>
        <v>#NAME?</v>
      </c>
      <c r="B2362">
        <v>412.5</v>
      </c>
      <c r="C2362">
        <v>20.584240000000001</v>
      </c>
      <c r="D2362">
        <v>63</v>
      </c>
      <c r="E2362">
        <v>0</v>
      </c>
      <c r="F2362">
        <v>0</v>
      </c>
      <c r="G2362">
        <v>49</v>
      </c>
      <c r="H2362" s="4">
        <v>1570533117634</v>
      </c>
      <c r="I2362">
        <v>532.3125</v>
      </c>
      <c r="J2362" s="9">
        <f t="shared" si="36"/>
        <v>43746.758305949072</v>
      </c>
      <c r="K2362" s="1"/>
    </row>
    <row r="2363" spans="1:11" x14ac:dyDescent="0.25">
      <c r="A2363" t="e">
        <f>-Lqf3Pz2iq_2KNqPujyx</f>
        <v>#NAME?</v>
      </c>
      <c r="B2363">
        <v>393.75</v>
      </c>
      <c r="C2363">
        <v>20.531590000000001</v>
      </c>
      <c r="D2363">
        <v>63</v>
      </c>
      <c r="E2363">
        <v>0</v>
      </c>
      <c r="F2363">
        <v>0</v>
      </c>
      <c r="G2363">
        <v>54</v>
      </c>
      <c r="H2363" s="4">
        <v>1570533124853</v>
      </c>
      <c r="I2363">
        <v>526.6875</v>
      </c>
      <c r="J2363" s="9">
        <f t="shared" si="36"/>
        <v>43746.758389502313</v>
      </c>
      <c r="K2363" s="1"/>
    </row>
    <row r="2364" spans="1:11" x14ac:dyDescent="0.25">
      <c r="A2364" t="e">
        <f>-Lqf3RT1YjS74JDJmdkp</f>
        <v>#NAME?</v>
      </c>
      <c r="B2364">
        <v>393.75</v>
      </c>
      <c r="C2364">
        <v>20.584240000000001</v>
      </c>
      <c r="D2364">
        <v>61</v>
      </c>
      <c r="E2364">
        <v>0</v>
      </c>
      <c r="F2364">
        <v>0</v>
      </c>
      <c r="G2364">
        <v>55</v>
      </c>
      <c r="H2364" s="4">
        <v>1570533131044</v>
      </c>
      <c r="I2364">
        <v>526.6875</v>
      </c>
      <c r="J2364" s="9">
        <f t="shared" si="36"/>
        <v>43746.758461157406</v>
      </c>
      <c r="K2364" s="1"/>
    </row>
    <row r="2365" spans="1:11" x14ac:dyDescent="0.25">
      <c r="A2365" t="e">
        <f>-Lqf3TFs0pmi1G3cjbP6</f>
        <v>#NAME?</v>
      </c>
      <c r="B2365">
        <v>393.75</v>
      </c>
      <c r="C2365">
        <v>20.584240000000001</v>
      </c>
      <c r="D2365">
        <v>61</v>
      </c>
      <c r="E2365">
        <v>0</v>
      </c>
      <c r="F2365">
        <v>0</v>
      </c>
      <c r="G2365">
        <v>55</v>
      </c>
      <c r="H2365" s="4">
        <v>1570533137214</v>
      </c>
      <c r="I2365">
        <v>526.6875</v>
      </c>
      <c r="J2365" s="9">
        <f t="shared" si="36"/>
        <v>43746.758532569445</v>
      </c>
      <c r="K2365" s="1"/>
    </row>
    <row r="2366" spans="1:11" x14ac:dyDescent="0.25">
      <c r="A2366" t="e">
        <f>-Lqf3UkB2OVyQ2OZvT4m</f>
        <v>#NAME?</v>
      </c>
      <c r="B2366">
        <v>390.625</v>
      </c>
      <c r="C2366">
        <v>20.531590000000001</v>
      </c>
      <c r="D2366">
        <v>60</v>
      </c>
      <c r="E2366">
        <v>0</v>
      </c>
      <c r="F2366">
        <v>0</v>
      </c>
      <c r="G2366">
        <v>47</v>
      </c>
      <c r="H2366" s="4">
        <v>1570533144403</v>
      </c>
      <c r="I2366">
        <v>525.75</v>
      </c>
      <c r="J2366" s="9">
        <f t="shared" si="36"/>
        <v>43746.758615775463</v>
      </c>
      <c r="K2366" s="1"/>
    </row>
    <row r="2367" spans="1:11" x14ac:dyDescent="0.25">
      <c r="A2367" t="e">
        <f>-Lqf3WJCSuqO3omkQLNV</f>
        <v>#NAME?</v>
      </c>
      <c r="B2367">
        <v>393.75</v>
      </c>
      <c r="C2367">
        <v>20.584240000000001</v>
      </c>
      <c r="D2367">
        <v>60</v>
      </c>
      <c r="E2367">
        <v>0</v>
      </c>
      <c r="F2367">
        <v>0</v>
      </c>
      <c r="G2367">
        <v>54</v>
      </c>
      <c r="H2367" s="4">
        <v>1570533150603</v>
      </c>
      <c r="I2367">
        <v>526.5</v>
      </c>
      <c r="J2367" s="9">
        <f t="shared" si="36"/>
        <v>43746.758687534719</v>
      </c>
      <c r="K2367" s="1"/>
    </row>
    <row r="2368" spans="1:11" x14ac:dyDescent="0.25">
      <c r="A2368" t="e">
        <f>-Lqf3Y1KJvqYk1kWlB62</f>
        <v>#NAME?</v>
      </c>
      <c r="B2368">
        <v>393.75</v>
      </c>
      <c r="C2368">
        <v>20.584240000000001</v>
      </c>
      <c r="D2368">
        <v>55</v>
      </c>
      <c r="E2368">
        <v>0</v>
      </c>
      <c r="F2368">
        <v>0</v>
      </c>
      <c r="G2368">
        <v>52</v>
      </c>
      <c r="H2368" s="4">
        <v>1570533157813</v>
      </c>
      <c r="I2368">
        <v>526.6875</v>
      </c>
      <c r="J2368" s="9">
        <f t="shared" si="36"/>
        <v>43746.75877098379</v>
      </c>
      <c r="K2368" s="1"/>
    </row>
    <row r="2369" spans="1:11" x14ac:dyDescent="0.25">
      <c r="A2369" t="e">
        <f>-Lqf3Zp2MwKcJhvagCrc</f>
        <v>#NAME?</v>
      </c>
      <c r="B2369">
        <v>393.75</v>
      </c>
      <c r="C2369">
        <v>20.584240000000001</v>
      </c>
      <c r="D2369">
        <v>63</v>
      </c>
      <c r="E2369">
        <v>0</v>
      </c>
      <c r="F2369">
        <v>0</v>
      </c>
      <c r="G2369">
        <v>58</v>
      </c>
      <c r="H2369" s="4">
        <v>1570533165029</v>
      </c>
      <c r="I2369">
        <v>526.6875</v>
      </c>
      <c r="J2369" s="9">
        <f t="shared" si="36"/>
        <v>43746.75885450231</v>
      </c>
      <c r="K2369" s="1"/>
    </row>
    <row r="2370" spans="1:11" x14ac:dyDescent="0.25">
      <c r="A2370" t="e">
        <f>-Lqf3aYC1Soe65caQlWP</f>
        <v>#NAME?</v>
      </c>
      <c r="B2370">
        <v>393.75</v>
      </c>
      <c r="C2370">
        <v>20.584240000000001</v>
      </c>
      <c r="D2370">
        <v>62</v>
      </c>
      <c r="E2370">
        <v>0</v>
      </c>
      <c r="F2370">
        <v>0</v>
      </c>
      <c r="G2370">
        <v>64</v>
      </c>
      <c r="H2370" s="4">
        <v>1570533172242</v>
      </c>
      <c r="I2370">
        <v>526.5</v>
      </c>
      <c r="J2370" s="9">
        <f t="shared" si="36"/>
        <v>43746.758937986109</v>
      </c>
      <c r="K2370" s="1"/>
    </row>
    <row r="2371" spans="1:11" x14ac:dyDescent="0.25">
      <c r="A2371" t="e">
        <f>-Lqf3c6B0O_wnKBHx4LE</f>
        <v>#NAME?</v>
      </c>
      <c r="B2371">
        <v>393.75</v>
      </c>
      <c r="C2371">
        <v>20.584240000000001</v>
      </c>
      <c r="D2371">
        <v>62</v>
      </c>
      <c r="E2371">
        <v>0</v>
      </c>
      <c r="F2371">
        <v>0</v>
      </c>
      <c r="G2371">
        <v>53</v>
      </c>
      <c r="H2371" s="4">
        <v>1570533178422</v>
      </c>
      <c r="I2371">
        <v>526.6875</v>
      </c>
      <c r="J2371" s="9">
        <f t="shared" ref="J2371:J2434" si="37">(H2371/86400000)+25569+(7/24)</f>
        <v>43746.759009513888</v>
      </c>
      <c r="K2371" s="1"/>
    </row>
    <row r="2372" spans="1:11" x14ac:dyDescent="0.25">
      <c r="A2372" t="e">
        <f>-Lqf3dpBlFo3FHzwyUFG</f>
        <v>#NAME?</v>
      </c>
      <c r="B2372">
        <v>393.75</v>
      </c>
      <c r="C2372">
        <v>20.531590000000001</v>
      </c>
      <c r="D2372">
        <v>62</v>
      </c>
      <c r="E2372">
        <v>0</v>
      </c>
      <c r="F2372">
        <v>0</v>
      </c>
      <c r="G2372">
        <v>56</v>
      </c>
      <c r="H2372" s="4">
        <v>1570533185633</v>
      </c>
      <c r="I2372">
        <v>526.5</v>
      </c>
      <c r="J2372" s="9">
        <f t="shared" si="37"/>
        <v>43746.759092974535</v>
      </c>
      <c r="K2372" s="1"/>
    </row>
    <row r="2373" spans="1:11" x14ac:dyDescent="0.25">
      <c r="A2373" t="e">
        <f>-Lqf3fcBJD_Oy7WfgLc7</f>
        <v>#NAME?</v>
      </c>
      <c r="B2373">
        <v>393.75</v>
      </c>
      <c r="C2373">
        <v>20.531590000000001</v>
      </c>
      <c r="D2373">
        <v>61</v>
      </c>
      <c r="E2373">
        <v>0</v>
      </c>
      <c r="F2373">
        <v>0</v>
      </c>
      <c r="G2373">
        <v>57</v>
      </c>
      <c r="H2373" s="4">
        <v>1570533192844</v>
      </c>
      <c r="I2373">
        <v>526.6875</v>
      </c>
      <c r="J2373" s="9">
        <f t="shared" si="37"/>
        <v>43746.759176435182</v>
      </c>
      <c r="K2373" s="1"/>
    </row>
    <row r="2374" spans="1:11" x14ac:dyDescent="0.25">
      <c r="A2374" t="e">
        <f>-Lqf3hLAKW-x5gQmnzWZ</f>
        <v>#NAME?</v>
      </c>
      <c r="B2374">
        <v>393.75</v>
      </c>
      <c r="C2374">
        <v>20.584240000000001</v>
      </c>
      <c r="D2374">
        <v>63</v>
      </c>
      <c r="E2374">
        <v>0</v>
      </c>
      <c r="F2374">
        <v>0</v>
      </c>
      <c r="G2374">
        <v>52</v>
      </c>
      <c r="H2374" s="4">
        <v>1570533200062</v>
      </c>
      <c r="I2374">
        <v>526.6875</v>
      </c>
      <c r="J2374" s="9">
        <f t="shared" si="37"/>
        <v>43746.759259976847</v>
      </c>
      <c r="K2374" s="1"/>
    </row>
    <row r="2375" spans="1:11" x14ac:dyDescent="0.25">
      <c r="A2375" t="e">
        <f>-Lqf3ip3TLOaH5AQ5RE9</f>
        <v>#NAME?</v>
      </c>
      <c r="B2375">
        <v>393.75</v>
      </c>
      <c r="C2375">
        <v>20.584240000000001</v>
      </c>
      <c r="D2375">
        <v>65</v>
      </c>
      <c r="E2375">
        <v>0</v>
      </c>
      <c r="F2375">
        <v>0</v>
      </c>
      <c r="G2375">
        <v>55</v>
      </c>
      <c r="H2375" s="4">
        <v>1570533206243</v>
      </c>
      <c r="I2375">
        <v>526.6875</v>
      </c>
      <c r="J2375" s="9">
        <f t="shared" si="37"/>
        <v>43746.759331516201</v>
      </c>
      <c r="K2375" s="1"/>
    </row>
    <row r="2376" spans="1:11" x14ac:dyDescent="0.25">
      <c r="A2376" t="e">
        <f>-Lqf3kN_Tqa2GqcF2x_p</f>
        <v>#NAME?</v>
      </c>
      <c r="B2376">
        <v>393.75</v>
      </c>
      <c r="C2376">
        <v>20.478950000000001</v>
      </c>
      <c r="D2376">
        <v>63</v>
      </c>
      <c r="E2376">
        <v>0</v>
      </c>
      <c r="F2376">
        <v>0</v>
      </c>
      <c r="G2376">
        <v>57</v>
      </c>
      <c r="H2376" s="4">
        <v>1570533212424</v>
      </c>
      <c r="I2376">
        <v>526.6875</v>
      </c>
      <c r="J2376" s="9">
        <f t="shared" si="37"/>
        <v>43746.759403055556</v>
      </c>
      <c r="K2376" s="1"/>
    </row>
    <row r="2377" spans="1:11" x14ac:dyDescent="0.25">
      <c r="A2377" t="e">
        <f>-Lqf3ls3N-D7xGgPyvRf</f>
        <v>#NAME?</v>
      </c>
      <c r="B2377">
        <v>393.75</v>
      </c>
      <c r="C2377">
        <v>20.584240000000001</v>
      </c>
      <c r="D2377">
        <v>63</v>
      </c>
      <c r="E2377">
        <v>0</v>
      </c>
      <c r="F2377">
        <v>0</v>
      </c>
      <c r="G2377">
        <v>52</v>
      </c>
      <c r="H2377" s="4">
        <v>1570533218604</v>
      </c>
      <c r="I2377">
        <v>526.6875</v>
      </c>
      <c r="J2377" s="9">
        <f t="shared" si="37"/>
        <v>43746.759474583327</v>
      </c>
      <c r="K2377" s="1"/>
    </row>
    <row r="2378" spans="1:11" x14ac:dyDescent="0.25">
      <c r="A2378" t="e">
        <f>-Lqf3nMClbMgryByieMN</f>
        <v>#NAME?</v>
      </c>
      <c r="B2378">
        <v>393.75</v>
      </c>
      <c r="C2378">
        <v>20.584240000000001</v>
      </c>
      <c r="D2378">
        <v>57</v>
      </c>
      <c r="E2378">
        <v>0</v>
      </c>
      <c r="F2378">
        <v>0</v>
      </c>
      <c r="G2378">
        <v>57</v>
      </c>
      <c r="H2378" s="4">
        <v>1570533224783</v>
      </c>
      <c r="I2378">
        <v>526.6875</v>
      </c>
      <c r="J2378" s="9">
        <f t="shared" si="37"/>
        <v>43746.759546099536</v>
      </c>
      <c r="K2378" s="1"/>
    </row>
    <row r="2379" spans="1:11" x14ac:dyDescent="0.25">
      <c r="A2379" t="e">
        <f>-Lqf3ovKB4ZRP8kCQ80n</f>
        <v>#NAME?</v>
      </c>
      <c r="B2379">
        <v>393.75</v>
      </c>
      <c r="C2379">
        <v>20.584240000000001</v>
      </c>
      <c r="D2379">
        <v>57</v>
      </c>
      <c r="E2379">
        <v>0</v>
      </c>
      <c r="F2379">
        <v>0</v>
      </c>
      <c r="G2379">
        <v>61</v>
      </c>
      <c r="H2379" s="4">
        <v>1570533230972</v>
      </c>
      <c r="I2379">
        <v>526.5</v>
      </c>
      <c r="J2379" s="9">
        <f t="shared" si="37"/>
        <v>43746.759617731477</v>
      </c>
      <c r="K2379" s="1"/>
    </row>
    <row r="2380" spans="1:11" x14ac:dyDescent="0.25">
      <c r="A2380" t="e">
        <f>-Lqf3qagq3uecyi2mt1m</f>
        <v>#NAME?</v>
      </c>
      <c r="B2380">
        <v>393.75</v>
      </c>
      <c r="C2380">
        <v>20.584240000000001</v>
      </c>
      <c r="D2380">
        <v>58</v>
      </c>
      <c r="E2380">
        <v>0</v>
      </c>
      <c r="F2380">
        <v>0</v>
      </c>
      <c r="G2380">
        <v>60</v>
      </c>
      <c r="H2380" s="4">
        <v>1570533238162</v>
      </c>
      <c r="I2380">
        <v>526.6875</v>
      </c>
      <c r="J2380" s="9">
        <f t="shared" si="37"/>
        <v>43746.759700949071</v>
      </c>
      <c r="K2380" s="1"/>
    </row>
    <row r="2381" spans="1:11" x14ac:dyDescent="0.25">
      <c r="A2381" t="e">
        <f>-Lqf3sCAiK-Vyv8btemF</f>
        <v>#NAME?</v>
      </c>
      <c r="B2381">
        <v>393.75</v>
      </c>
      <c r="C2381">
        <v>20.584240000000001</v>
      </c>
      <c r="D2381">
        <v>58</v>
      </c>
      <c r="E2381">
        <v>0</v>
      </c>
      <c r="F2381">
        <v>0</v>
      </c>
      <c r="G2381">
        <v>57</v>
      </c>
      <c r="H2381" s="4">
        <v>1570533244362</v>
      </c>
      <c r="I2381">
        <v>526.6875</v>
      </c>
      <c r="J2381" s="9">
        <f t="shared" si="37"/>
        <v>43746.759772708327</v>
      </c>
      <c r="K2381" s="1"/>
    </row>
    <row r="2382" spans="1:11" x14ac:dyDescent="0.25">
      <c r="A2382" t="e">
        <f>-Lqf3ttwf_V6F__0cJmW</f>
        <v>#NAME?</v>
      </c>
      <c r="B2382">
        <v>393.75</v>
      </c>
      <c r="C2382">
        <v>20.584240000000001</v>
      </c>
      <c r="D2382">
        <v>58</v>
      </c>
      <c r="E2382">
        <v>0</v>
      </c>
      <c r="F2382">
        <v>0</v>
      </c>
      <c r="G2382">
        <v>62</v>
      </c>
      <c r="H2382" s="4">
        <v>1570533251574</v>
      </c>
      <c r="I2382">
        <v>526.6875</v>
      </c>
      <c r="J2382" s="9">
        <f t="shared" si="37"/>
        <v>43746.759856180557</v>
      </c>
      <c r="K2382" s="1"/>
    </row>
    <row r="2383" spans="1:11" x14ac:dyDescent="0.25">
      <c r="A2383" t="e">
        <f>-Lqf3vPCljBWnVttI10f</f>
        <v>#NAME?</v>
      </c>
      <c r="B2383">
        <v>393.75</v>
      </c>
      <c r="C2383">
        <v>20.584240000000001</v>
      </c>
      <c r="D2383">
        <v>58</v>
      </c>
      <c r="E2383">
        <v>0</v>
      </c>
      <c r="F2383">
        <v>0</v>
      </c>
      <c r="G2383">
        <v>60</v>
      </c>
      <c r="H2383" s="4">
        <v>1570533257755</v>
      </c>
      <c r="I2383">
        <v>526.6875</v>
      </c>
      <c r="J2383" s="9">
        <f t="shared" si="37"/>
        <v>43746.759927719904</v>
      </c>
      <c r="K2383" s="1"/>
    </row>
    <row r="2384" spans="1:11" x14ac:dyDescent="0.25">
      <c r="A2384" t="e">
        <f>-Lqf3wzPBojFp18c42FV</f>
        <v>#NAME?</v>
      </c>
      <c r="B2384">
        <v>393.75</v>
      </c>
      <c r="C2384">
        <v>20.531590000000001</v>
      </c>
      <c r="D2384">
        <v>59</v>
      </c>
      <c r="E2384">
        <v>0</v>
      </c>
      <c r="F2384">
        <v>0</v>
      </c>
      <c r="G2384">
        <v>56</v>
      </c>
      <c r="H2384" s="4">
        <v>1570533263925</v>
      </c>
      <c r="I2384">
        <v>526.6875</v>
      </c>
      <c r="J2384" s="9">
        <f t="shared" si="37"/>
        <v>43746.759999131937</v>
      </c>
      <c r="K2384" s="1"/>
    </row>
    <row r="2385" spans="1:11" x14ac:dyDescent="0.25">
      <c r="A2385" t="e">
        <f>-Lqf3ygK6pNZOhgG4n0v</f>
        <v>#NAME?</v>
      </c>
      <c r="B2385">
        <v>393.75</v>
      </c>
      <c r="C2385">
        <v>20.531590000000001</v>
      </c>
      <c r="D2385">
        <v>59</v>
      </c>
      <c r="E2385">
        <v>0</v>
      </c>
      <c r="F2385">
        <v>0</v>
      </c>
      <c r="G2385">
        <v>56</v>
      </c>
      <c r="H2385" s="4">
        <v>1570533271124</v>
      </c>
      <c r="I2385">
        <v>526.5</v>
      </c>
      <c r="J2385" s="9">
        <f t="shared" si="37"/>
        <v>43746.7600824537</v>
      </c>
      <c r="K2385" s="1"/>
    </row>
    <row r="2386" spans="1:11" x14ac:dyDescent="0.25">
      <c r="A2386" t="e">
        <f>-#REF!-FD-f3Q9GhJG0aG</f>
        <v>#REF!</v>
      </c>
      <c r="B2386">
        <v>393.75</v>
      </c>
      <c r="C2386">
        <v>20.531590000000001</v>
      </c>
      <c r="D2386">
        <v>59</v>
      </c>
      <c r="E2386">
        <v>0</v>
      </c>
      <c r="F2386">
        <v>0</v>
      </c>
      <c r="G2386">
        <v>54</v>
      </c>
      <c r="H2386" s="4">
        <v>1570533277324</v>
      </c>
      <c r="I2386">
        <v>526.6875</v>
      </c>
      <c r="J2386" s="9">
        <f t="shared" si="37"/>
        <v>43746.760154212963</v>
      </c>
      <c r="K2386" s="1"/>
    </row>
    <row r="2387" spans="1:11" x14ac:dyDescent="0.25">
      <c r="A2387" t="e">
        <f>-Lqf40yAaviPS-grnjCK</f>
        <v>#NAME?</v>
      </c>
      <c r="B2387">
        <v>393.75</v>
      </c>
      <c r="C2387">
        <v>20.531590000000001</v>
      </c>
      <c r="D2387">
        <v>59</v>
      </c>
      <c r="E2387">
        <v>0</v>
      </c>
      <c r="F2387">
        <v>0</v>
      </c>
      <c r="G2387">
        <v>56</v>
      </c>
      <c r="H2387" s="4">
        <v>1570533284564</v>
      </c>
      <c r="I2387">
        <v>526.6875</v>
      </c>
      <c r="J2387" s="9">
        <f t="shared" si="37"/>
        <v>43746.760238009258</v>
      </c>
      <c r="K2387" s="1"/>
    </row>
    <row r="2388" spans="1:11" x14ac:dyDescent="0.25">
      <c r="A2388" t="s">
        <v>130</v>
      </c>
      <c r="B2388">
        <v>393.75</v>
      </c>
      <c r="C2388">
        <v>20.584240000000001</v>
      </c>
      <c r="D2388">
        <v>61</v>
      </c>
      <c r="E2388">
        <v>0</v>
      </c>
      <c r="F2388">
        <v>0</v>
      </c>
      <c r="G2388">
        <v>58</v>
      </c>
      <c r="H2388" s="4">
        <v>1570533290724</v>
      </c>
      <c r="I2388">
        <v>526.6875</v>
      </c>
      <c r="J2388" s="9">
        <f t="shared" si="37"/>
        <v>43746.760309305551</v>
      </c>
      <c r="K2388" s="1"/>
    </row>
    <row r="2389" spans="1:11" x14ac:dyDescent="0.25">
      <c r="A2389" t="s">
        <v>131</v>
      </c>
      <c r="B2389">
        <v>393.75</v>
      </c>
      <c r="C2389">
        <v>20.584240000000001</v>
      </c>
      <c r="D2389">
        <v>61</v>
      </c>
      <c r="E2389">
        <v>0</v>
      </c>
      <c r="F2389">
        <v>0</v>
      </c>
      <c r="G2389">
        <v>56</v>
      </c>
      <c r="H2389" s="4">
        <v>1570533296903</v>
      </c>
      <c r="I2389">
        <v>526.6875</v>
      </c>
      <c r="J2389" s="9">
        <f t="shared" si="37"/>
        <v>43746.760380821761</v>
      </c>
      <c r="K2389" s="1"/>
    </row>
    <row r="2390" spans="1:11" x14ac:dyDescent="0.25">
      <c r="A2390" t="e">
        <f>-Lqf45fXsSVmiQaOMoC0</f>
        <v>#NAME?</v>
      </c>
      <c r="B2390">
        <v>393.75</v>
      </c>
      <c r="C2390">
        <v>20.531590000000001</v>
      </c>
      <c r="D2390">
        <v>61</v>
      </c>
      <c r="E2390">
        <v>0</v>
      </c>
      <c r="F2390">
        <v>0</v>
      </c>
      <c r="G2390">
        <v>60</v>
      </c>
      <c r="H2390" s="4">
        <v>1570533303074</v>
      </c>
      <c r="I2390">
        <v>526.6875</v>
      </c>
      <c r="J2390" s="9">
        <f t="shared" si="37"/>
        <v>43746.760452245369</v>
      </c>
      <c r="K2390" s="1"/>
    </row>
    <row r="2391" spans="1:11" x14ac:dyDescent="0.25">
      <c r="A2391" t="e">
        <f>-Lqf47IKeyGXswp3qi4X</f>
        <v>#NAME?</v>
      </c>
      <c r="B2391">
        <v>393.75</v>
      </c>
      <c r="C2391">
        <v>20.584240000000001</v>
      </c>
      <c r="D2391">
        <v>61</v>
      </c>
      <c r="E2391">
        <v>0</v>
      </c>
      <c r="F2391">
        <v>0</v>
      </c>
      <c r="G2391">
        <v>58</v>
      </c>
      <c r="H2391" s="4">
        <v>1570533310294</v>
      </c>
      <c r="I2391">
        <v>526.6875</v>
      </c>
      <c r="J2391" s="9">
        <f t="shared" si="37"/>
        <v>43746.760535810179</v>
      </c>
      <c r="K2391" s="1"/>
    </row>
    <row r="2392" spans="1:11" x14ac:dyDescent="0.25">
      <c r="A2392" t="e">
        <f>-Lqf4909xXKAkuTPXNzZ</f>
        <v>#NAME?</v>
      </c>
      <c r="B2392">
        <v>393.75</v>
      </c>
      <c r="C2392">
        <v>20.531590000000001</v>
      </c>
      <c r="D2392">
        <v>61</v>
      </c>
      <c r="E2392">
        <v>0</v>
      </c>
      <c r="F2392">
        <v>0</v>
      </c>
      <c r="G2392">
        <v>48</v>
      </c>
      <c r="H2392" s="4">
        <v>1570533317523</v>
      </c>
      <c r="I2392">
        <v>526.6875</v>
      </c>
      <c r="J2392" s="9">
        <f t="shared" si="37"/>
        <v>43746.760619479166</v>
      </c>
      <c r="K2392" s="1"/>
    </row>
    <row r="2393" spans="1:11" x14ac:dyDescent="0.25">
      <c r="A2393" t="e">
        <f>-Lqf4AmtQeALx8khNYjV</f>
        <v>#NAME?</v>
      </c>
      <c r="B2393">
        <v>412.5</v>
      </c>
      <c r="C2393">
        <v>20.584240000000001</v>
      </c>
      <c r="D2393">
        <v>61</v>
      </c>
      <c r="E2393">
        <v>0</v>
      </c>
      <c r="F2393">
        <v>0</v>
      </c>
      <c r="G2393">
        <v>59</v>
      </c>
      <c r="H2393" s="4">
        <v>1570533323692</v>
      </c>
      <c r="I2393">
        <v>532.125</v>
      </c>
      <c r="J2393" s="9">
        <f t="shared" si="37"/>
        <v>43746.760690879622</v>
      </c>
      <c r="K2393" s="1"/>
    </row>
    <row r="2394" spans="1:11" x14ac:dyDescent="0.25">
      <c r="A2394" t="e">
        <f>-Lqf4CGvULxV5xnLoLuo</f>
        <v>#NAME?</v>
      </c>
      <c r="B2394">
        <v>393.75</v>
      </c>
      <c r="C2394">
        <v>20.584240000000001</v>
      </c>
      <c r="D2394">
        <v>61</v>
      </c>
      <c r="E2394">
        <v>0</v>
      </c>
      <c r="F2394">
        <v>0</v>
      </c>
      <c r="G2394">
        <v>54</v>
      </c>
      <c r="H2394" s="4">
        <v>1570533330910</v>
      </c>
      <c r="I2394">
        <v>526.6875</v>
      </c>
      <c r="J2394" s="9">
        <f t="shared" si="37"/>
        <v>43746.760774421295</v>
      </c>
      <c r="K2394" s="1"/>
    </row>
    <row r="2395" spans="1:11" x14ac:dyDescent="0.25">
      <c r="A2395" t="s">
        <v>132</v>
      </c>
      <c r="B2395">
        <v>393.75</v>
      </c>
      <c r="C2395">
        <v>20.531590000000001</v>
      </c>
      <c r="D2395">
        <v>61</v>
      </c>
      <c r="E2395">
        <v>0</v>
      </c>
      <c r="F2395">
        <v>0</v>
      </c>
      <c r="G2395">
        <v>59</v>
      </c>
      <c r="H2395" s="4">
        <v>1570533337062</v>
      </c>
      <c r="I2395">
        <v>526.6875</v>
      </c>
      <c r="J2395" s="9">
        <f t="shared" si="37"/>
        <v>43746.760845624995</v>
      </c>
      <c r="K2395" s="1"/>
    </row>
    <row r="2396" spans="1:11" x14ac:dyDescent="0.25">
      <c r="A2396" t="e">
        <f>-Lqf4FJm1sax8ub4141I</f>
        <v>#NAME?</v>
      </c>
      <c r="B2396">
        <v>393.75</v>
      </c>
      <c r="C2396">
        <v>20.584240000000001</v>
      </c>
      <c r="D2396">
        <v>60</v>
      </c>
      <c r="E2396">
        <v>0</v>
      </c>
      <c r="F2396">
        <v>0</v>
      </c>
      <c r="G2396">
        <v>52</v>
      </c>
      <c r="H2396" s="4">
        <v>1570533343272</v>
      </c>
      <c r="I2396">
        <v>526.6875</v>
      </c>
      <c r="J2396" s="9">
        <f t="shared" si="37"/>
        <v>43746.760917499996</v>
      </c>
      <c r="K2396" s="1"/>
    </row>
    <row r="2397" spans="1:11" x14ac:dyDescent="0.25">
      <c r="A2397" t="e">
        <f>-Lqf4Gp0s71xxZMUsz1W</f>
        <v>#NAME?</v>
      </c>
      <c r="B2397">
        <v>393.75</v>
      </c>
      <c r="C2397">
        <v>20.531590000000001</v>
      </c>
      <c r="D2397">
        <v>61</v>
      </c>
      <c r="E2397">
        <v>0</v>
      </c>
      <c r="F2397">
        <v>0</v>
      </c>
      <c r="G2397">
        <v>55</v>
      </c>
      <c r="H2397" s="4">
        <v>1570533349451</v>
      </c>
      <c r="I2397">
        <v>526.6875</v>
      </c>
      <c r="J2397" s="9">
        <f t="shared" si="37"/>
        <v>43746.760989016206</v>
      </c>
      <c r="K2397" s="1"/>
    </row>
    <row r="2398" spans="1:11" x14ac:dyDescent="0.25">
      <c r="A2398" t="e">
        <f>-Lqf4IJ2RckjgDhGB96r</f>
        <v>#NAME?</v>
      </c>
      <c r="B2398">
        <v>393.75</v>
      </c>
      <c r="C2398">
        <v>20.584240000000001</v>
      </c>
      <c r="D2398">
        <v>60</v>
      </c>
      <c r="E2398">
        <v>0</v>
      </c>
      <c r="F2398">
        <v>0</v>
      </c>
      <c r="G2398">
        <v>54</v>
      </c>
      <c r="H2398" s="4">
        <v>1570533355604</v>
      </c>
      <c r="I2398">
        <v>526.6875</v>
      </c>
      <c r="J2398" s="9">
        <f t="shared" si="37"/>
        <v>43746.761060231474</v>
      </c>
      <c r="K2398" s="1"/>
    </row>
    <row r="2399" spans="1:11" x14ac:dyDescent="0.25">
      <c r="A2399" t="e">
        <f>-Lqf4K90VboSRpm2M-xZ</f>
        <v>#NAME?</v>
      </c>
      <c r="B2399">
        <v>393.75</v>
      </c>
      <c r="C2399">
        <v>20.584240000000001</v>
      </c>
      <c r="D2399">
        <v>60</v>
      </c>
      <c r="E2399">
        <v>0</v>
      </c>
      <c r="F2399">
        <v>0</v>
      </c>
      <c r="G2399">
        <v>61</v>
      </c>
      <c r="H2399" s="4">
        <v>1570533361812</v>
      </c>
      <c r="I2399">
        <v>526.5</v>
      </c>
      <c r="J2399" s="9">
        <f t="shared" si="37"/>
        <v>43746.761132083331</v>
      </c>
      <c r="K2399" s="1"/>
    </row>
    <row r="2400" spans="1:11" x14ac:dyDescent="0.25">
      <c r="A2400" t="e">
        <f>-Lqf4Lnmvl97HcxJXtGM</f>
        <v>#NAME?</v>
      </c>
      <c r="B2400">
        <v>393.75</v>
      </c>
      <c r="C2400">
        <v>20.584240000000001</v>
      </c>
      <c r="D2400">
        <v>60</v>
      </c>
      <c r="E2400">
        <v>0</v>
      </c>
      <c r="F2400">
        <v>0</v>
      </c>
      <c r="G2400">
        <v>59</v>
      </c>
      <c r="H2400" s="4">
        <v>1570533370072</v>
      </c>
      <c r="I2400">
        <v>526.6875</v>
      </c>
      <c r="J2400" s="9">
        <f t="shared" si="37"/>
        <v>43746.76122768518</v>
      </c>
      <c r="K2400" s="1"/>
    </row>
    <row r="2401" spans="1:11" x14ac:dyDescent="0.25">
      <c r="A2401" t="e">
        <f>-Lqf4NRwbrs4Vjl8oxoE</f>
        <v>#NAME?</v>
      </c>
      <c r="B2401">
        <v>393.75</v>
      </c>
      <c r="C2401">
        <v>20.584240000000001</v>
      </c>
      <c r="D2401">
        <v>58</v>
      </c>
      <c r="E2401">
        <v>0</v>
      </c>
      <c r="F2401">
        <v>0</v>
      </c>
      <c r="G2401">
        <v>54</v>
      </c>
      <c r="H2401" s="4">
        <v>1570533376619</v>
      </c>
      <c r="I2401">
        <v>526.6875</v>
      </c>
      <c r="J2401" s="9">
        <f t="shared" si="37"/>
        <v>43746.761303460647</v>
      </c>
      <c r="K2401" s="1"/>
    </row>
    <row r="2402" spans="1:11" x14ac:dyDescent="0.25">
      <c r="A2402" t="e">
        <f>-Lqf4P3gelRoOOtdQtzW</f>
        <v>#NAME?</v>
      </c>
      <c r="B2402">
        <v>393.75</v>
      </c>
      <c r="C2402">
        <v>20.584240000000001</v>
      </c>
      <c r="D2402">
        <v>60</v>
      </c>
      <c r="E2402">
        <v>0</v>
      </c>
      <c r="F2402">
        <v>0</v>
      </c>
      <c r="G2402">
        <v>65</v>
      </c>
      <c r="H2402" s="4">
        <v>1570533383441</v>
      </c>
      <c r="I2402">
        <v>526.6875</v>
      </c>
      <c r="J2402" s="9">
        <f t="shared" si="37"/>
        <v>43746.761382418983</v>
      </c>
      <c r="K2402" s="1"/>
    </row>
    <row r="2403" spans="1:11" x14ac:dyDescent="0.25">
      <c r="A2403" t="e">
        <f>-Lqf4Qe6Cc6n4zRLPfy6</f>
        <v>#NAME?</v>
      </c>
      <c r="B2403">
        <v>393.75</v>
      </c>
      <c r="C2403">
        <v>20.584240000000001</v>
      </c>
      <c r="D2403">
        <v>60</v>
      </c>
      <c r="E2403">
        <v>0</v>
      </c>
      <c r="F2403">
        <v>0</v>
      </c>
      <c r="G2403">
        <v>69</v>
      </c>
      <c r="H2403" s="4">
        <v>1570533389631</v>
      </c>
      <c r="I2403">
        <v>526.6875</v>
      </c>
      <c r="J2403" s="9">
        <f t="shared" si="37"/>
        <v>43746.7614540625</v>
      </c>
      <c r="K2403" s="1"/>
    </row>
    <row r="2404" spans="1:11" x14ac:dyDescent="0.25">
      <c r="A2404" t="e">
        <f>-Lqf4SN5KuzK21XeXLTw</f>
        <v>#NAME?</v>
      </c>
      <c r="B2404">
        <v>393.75</v>
      </c>
      <c r="C2404">
        <v>20.531590000000001</v>
      </c>
      <c r="D2404">
        <v>60</v>
      </c>
      <c r="E2404">
        <v>0</v>
      </c>
      <c r="F2404">
        <v>0</v>
      </c>
      <c r="G2404">
        <v>59</v>
      </c>
      <c r="H2404" s="4">
        <v>1570533396842</v>
      </c>
      <c r="I2404">
        <v>526.6875</v>
      </c>
      <c r="J2404" s="9">
        <f t="shared" si="37"/>
        <v>43746.761537523147</v>
      </c>
      <c r="K2404" s="1"/>
    </row>
    <row r="2405" spans="1:11" x14ac:dyDescent="0.25">
      <c r="A2405" t="e">
        <f>-Lqf4TqxM41K_FIiKvtO</f>
        <v>#NAME?</v>
      </c>
      <c r="B2405">
        <v>393.75</v>
      </c>
      <c r="C2405">
        <v>20.478950000000001</v>
      </c>
      <c r="D2405">
        <v>61</v>
      </c>
      <c r="E2405">
        <v>0</v>
      </c>
      <c r="F2405">
        <v>0</v>
      </c>
      <c r="G2405">
        <v>60</v>
      </c>
      <c r="H2405" s="4">
        <v>1570533403021</v>
      </c>
      <c r="I2405">
        <v>526.6875</v>
      </c>
      <c r="J2405" s="9">
        <f t="shared" si="37"/>
        <v>43746.761609039349</v>
      </c>
      <c r="K2405" s="1"/>
    </row>
    <row r="2406" spans="1:11" x14ac:dyDescent="0.25">
      <c r="A2406" t="e">
        <f>-Lqf4VRB-rFA7Q7CMYrE</f>
        <v>#NAME?</v>
      </c>
      <c r="B2406">
        <v>412.5</v>
      </c>
      <c r="C2406">
        <v>20.531590000000001</v>
      </c>
      <c r="D2406">
        <v>61</v>
      </c>
      <c r="E2406">
        <v>0</v>
      </c>
      <c r="F2406">
        <v>0</v>
      </c>
      <c r="G2406">
        <v>53</v>
      </c>
      <c r="H2406" s="4">
        <v>1570533409204</v>
      </c>
      <c r="I2406">
        <v>532.3125</v>
      </c>
      <c r="J2406" s="9">
        <f t="shared" si="37"/>
        <v>43746.761680601849</v>
      </c>
      <c r="K2406" s="1"/>
    </row>
    <row r="2407" spans="1:11" x14ac:dyDescent="0.25">
      <c r="A2407" t="e">
        <f>-Lqf4XAHHbxSkFSb32TB</f>
        <v>#NAME?</v>
      </c>
      <c r="B2407">
        <v>393.75</v>
      </c>
      <c r="C2407">
        <v>20.584240000000001</v>
      </c>
      <c r="D2407">
        <v>61</v>
      </c>
      <c r="E2407">
        <v>0</v>
      </c>
      <c r="F2407">
        <v>0</v>
      </c>
      <c r="G2407">
        <v>61</v>
      </c>
      <c r="H2407" s="4">
        <v>1570533416403</v>
      </c>
      <c r="I2407">
        <v>526.6875</v>
      </c>
      <c r="J2407" s="9">
        <f t="shared" si="37"/>
        <v>43746.761763923605</v>
      </c>
      <c r="K2407" s="1"/>
    </row>
    <row r="2408" spans="1:11" x14ac:dyDescent="0.25">
      <c r="A2408" t="e">
        <f>-Lqf4Yi0h0T_eZ8Kqrin</f>
        <v>#NAME?</v>
      </c>
      <c r="B2408">
        <v>393.75</v>
      </c>
      <c r="C2408">
        <v>20.531590000000001</v>
      </c>
      <c r="D2408">
        <v>61</v>
      </c>
      <c r="E2408">
        <v>0</v>
      </c>
      <c r="F2408">
        <v>0</v>
      </c>
      <c r="G2408">
        <v>58</v>
      </c>
      <c r="H2408" s="4">
        <v>1570533422603</v>
      </c>
      <c r="I2408">
        <v>526.6875</v>
      </c>
      <c r="J2408" s="9">
        <f t="shared" si="37"/>
        <v>43746.761835682868</v>
      </c>
      <c r="K2408" s="1"/>
    </row>
    <row r="2409" spans="1:11" x14ac:dyDescent="0.25">
      <c r="A2409" t="e">
        <f>-Lqf4_Q1iqw9wWjqW3rK</f>
        <v>#NAME?</v>
      </c>
      <c r="B2409">
        <v>425</v>
      </c>
      <c r="C2409">
        <v>20.584240000000001</v>
      </c>
      <c r="D2409">
        <v>62</v>
      </c>
      <c r="E2409">
        <v>0</v>
      </c>
      <c r="F2409">
        <v>0</v>
      </c>
      <c r="G2409">
        <v>61</v>
      </c>
      <c r="H2409" s="4">
        <v>1570533429813</v>
      </c>
      <c r="I2409">
        <v>536.0625</v>
      </c>
      <c r="J2409" s="9">
        <f t="shared" si="37"/>
        <v>43746.761919131946</v>
      </c>
      <c r="K2409" s="1"/>
    </row>
    <row r="2410" spans="1:11" x14ac:dyDescent="0.25">
      <c r="A2410" t="e">
        <f>-Lqf4awH142DPHeurCBO</f>
        <v>#NAME?</v>
      </c>
      <c r="B2410">
        <v>393.75</v>
      </c>
      <c r="C2410">
        <v>20.584240000000001</v>
      </c>
      <c r="D2410">
        <v>61</v>
      </c>
      <c r="E2410">
        <v>0</v>
      </c>
      <c r="F2410">
        <v>0</v>
      </c>
      <c r="G2410">
        <v>54</v>
      </c>
      <c r="H2410" s="4">
        <v>1570533435991</v>
      </c>
      <c r="I2410">
        <v>526.5</v>
      </c>
      <c r="J2410" s="9">
        <f t="shared" si="37"/>
        <v>43746.761990636573</v>
      </c>
      <c r="K2410" s="1"/>
    </row>
    <row r="2411" spans="1:11" x14ac:dyDescent="0.25">
      <c r="A2411" t="e">
        <f>-Lqf4cU2fsqAIstenYIZ</f>
        <v>#NAME?</v>
      </c>
      <c r="B2411">
        <v>393.75</v>
      </c>
      <c r="C2411">
        <v>20.584240000000001</v>
      </c>
      <c r="D2411">
        <v>60</v>
      </c>
      <c r="E2411">
        <v>0</v>
      </c>
      <c r="F2411">
        <v>0</v>
      </c>
      <c r="G2411">
        <v>57</v>
      </c>
      <c r="H2411" s="4">
        <v>1570533442172</v>
      </c>
      <c r="I2411">
        <v>526.6875</v>
      </c>
      <c r="J2411" s="9">
        <f t="shared" si="37"/>
        <v>43746.76206217592</v>
      </c>
      <c r="K2411" s="1"/>
    </row>
    <row r="2412" spans="1:11" x14ac:dyDescent="0.25">
      <c r="A2412" t="e">
        <f>-Lqf4dyCfDHa2QwwAZtg</f>
        <v>#NAME?</v>
      </c>
      <c r="B2412">
        <v>393.75</v>
      </c>
      <c r="C2412">
        <v>20.531590000000001</v>
      </c>
      <c r="D2412">
        <v>60</v>
      </c>
      <c r="E2412">
        <v>0</v>
      </c>
      <c r="F2412">
        <v>0</v>
      </c>
      <c r="G2412">
        <v>58</v>
      </c>
      <c r="H2412" s="4">
        <v>1570533448352</v>
      </c>
      <c r="I2412">
        <v>526.6875</v>
      </c>
      <c r="J2412" s="9">
        <f t="shared" si="37"/>
        <v>43746.762133703705</v>
      </c>
      <c r="K2412" s="1"/>
    </row>
    <row r="2413" spans="1:11" x14ac:dyDescent="0.25">
      <c r="A2413" t="e">
        <f>-Lqf4fQnNtnH2UcW5SBB</f>
        <v>#NAME?</v>
      </c>
      <c r="B2413">
        <v>393.75</v>
      </c>
      <c r="C2413">
        <v>20.584240000000001</v>
      </c>
      <c r="D2413">
        <v>60</v>
      </c>
      <c r="E2413">
        <v>0</v>
      </c>
      <c r="F2413">
        <v>0</v>
      </c>
      <c r="G2413">
        <v>64</v>
      </c>
      <c r="H2413" s="4">
        <v>1570533454551</v>
      </c>
      <c r="I2413">
        <v>526.6875</v>
      </c>
      <c r="J2413" s="9">
        <f t="shared" si="37"/>
        <v>43746.762205451385</v>
      </c>
      <c r="K2413" s="1"/>
    </row>
    <row r="2414" spans="1:11" x14ac:dyDescent="0.25">
      <c r="A2414" t="e">
        <f>-Lqf4gwB8Wt0P40tkTVB</f>
        <v>#NAME?</v>
      </c>
      <c r="B2414">
        <v>393.75</v>
      </c>
      <c r="C2414">
        <v>20.531590000000001</v>
      </c>
      <c r="D2414">
        <v>60</v>
      </c>
      <c r="E2414">
        <v>0</v>
      </c>
      <c r="F2414">
        <v>0</v>
      </c>
      <c r="G2414">
        <v>55</v>
      </c>
      <c r="H2414" s="4">
        <v>1570533460722</v>
      </c>
      <c r="I2414">
        <v>526.6875</v>
      </c>
      <c r="J2414" s="9">
        <f t="shared" si="37"/>
        <v>43746.762276874993</v>
      </c>
      <c r="K2414" s="1"/>
    </row>
    <row r="2415" spans="1:11" x14ac:dyDescent="0.25">
      <c r="A2415" t="e">
        <f>-Lqf4iU39smsR5d0CP7J</f>
        <v>#NAME?</v>
      </c>
      <c r="B2415">
        <v>393.75</v>
      </c>
      <c r="C2415">
        <v>20.584240000000001</v>
      </c>
      <c r="D2415">
        <v>58</v>
      </c>
      <c r="E2415">
        <v>0</v>
      </c>
      <c r="F2415">
        <v>0</v>
      </c>
      <c r="G2415">
        <v>65</v>
      </c>
      <c r="H2415" s="4">
        <v>1570533466926</v>
      </c>
      <c r="I2415">
        <v>526.6875</v>
      </c>
      <c r="J2415" s="9">
        <f t="shared" si="37"/>
        <v>43746.762348680553</v>
      </c>
      <c r="K2415" s="1"/>
    </row>
    <row r="2416" spans="1:11" x14ac:dyDescent="0.25">
      <c r="A2416" t="e">
        <f>-Lqf4kI1y1jg5kPZ-GAM</f>
        <v>#NAME?</v>
      </c>
      <c r="B2416">
        <v>393.75</v>
      </c>
      <c r="C2416">
        <v>20.584240000000001</v>
      </c>
      <c r="D2416">
        <v>58</v>
      </c>
      <c r="E2416">
        <v>0</v>
      </c>
      <c r="F2416">
        <v>0</v>
      </c>
      <c r="G2416">
        <v>52</v>
      </c>
      <c r="H2416" s="4">
        <v>1570533474112</v>
      </c>
      <c r="I2416">
        <v>526.6875</v>
      </c>
      <c r="J2416" s="9">
        <f t="shared" si="37"/>
        <v>43746.76243185185</v>
      </c>
      <c r="K2416" s="1"/>
    </row>
    <row r="2417" spans="1:11" x14ac:dyDescent="0.25">
      <c r="A2417" t="e">
        <f>-Lqf4m09UZgSU2AglNwu</f>
        <v>#NAME?</v>
      </c>
      <c r="B2417">
        <v>393.75</v>
      </c>
      <c r="C2417">
        <v>20.584240000000001</v>
      </c>
      <c r="D2417">
        <v>58</v>
      </c>
      <c r="E2417">
        <v>0</v>
      </c>
      <c r="F2417">
        <v>0</v>
      </c>
      <c r="G2417">
        <v>63</v>
      </c>
      <c r="H2417" s="4">
        <v>1570533481323</v>
      </c>
      <c r="I2417">
        <v>526.6875</v>
      </c>
      <c r="J2417" s="9">
        <f t="shared" si="37"/>
        <v>43746.762515312497</v>
      </c>
      <c r="K2417" s="1"/>
    </row>
    <row r="2418" spans="1:11" x14ac:dyDescent="0.25">
      <c r="A2418" t="e">
        <f>-Lqf4nU7IkwrvXeHkqEh</f>
        <v>#NAME?</v>
      </c>
      <c r="B2418">
        <v>393.75</v>
      </c>
      <c r="C2418">
        <v>20.584240000000001</v>
      </c>
      <c r="D2418">
        <v>57</v>
      </c>
      <c r="E2418">
        <v>0</v>
      </c>
      <c r="F2418">
        <v>0</v>
      </c>
      <c r="G2418">
        <v>53</v>
      </c>
      <c r="H2418" s="4">
        <v>1570533487512</v>
      </c>
      <c r="I2418">
        <v>526.6875</v>
      </c>
      <c r="J2418" s="9">
        <f t="shared" si="37"/>
        <v>43746.762586944438</v>
      </c>
      <c r="K2418" s="1"/>
    </row>
    <row r="2419" spans="1:11" x14ac:dyDescent="0.25">
      <c r="A2419" t="e">
        <f>-Lqf4p32XSZANpvXU4BN</f>
        <v>#NAME?</v>
      </c>
      <c r="B2419">
        <v>393.75</v>
      </c>
      <c r="C2419">
        <v>20.531590000000001</v>
      </c>
      <c r="D2419">
        <v>56</v>
      </c>
      <c r="E2419">
        <v>0</v>
      </c>
      <c r="F2419">
        <v>0</v>
      </c>
      <c r="G2419">
        <v>57</v>
      </c>
      <c r="H2419" s="4">
        <v>1570533493694</v>
      </c>
      <c r="I2419">
        <v>526.6875</v>
      </c>
      <c r="J2419" s="9">
        <f t="shared" si="37"/>
        <v>43746.762658495369</v>
      </c>
      <c r="K2419" s="1"/>
    </row>
    <row r="2420" spans="1:11" x14ac:dyDescent="0.25">
      <c r="A2420" t="e">
        <f>-Lqf4qm0JP0qgJBSEnUu</f>
        <v>#NAME?</v>
      </c>
      <c r="B2420">
        <v>393.75</v>
      </c>
      <c r="C2420">
        <v>20.531590000000001</v>
      </c>
      <c r="D2420">
        <v>56</v>
      </c>
      <c r="E2420">
        <v>0</v>
      </c>
      <c r="F2420">
        <v>0</v>
      </c>
      <c r="G2420">
        <v>58</v>
      </c>
      <c r="H2420" s="4">
        <v>1570533500883</v>
      </c>
      <c r="I2420">
        <v>526.6875</v>
      </c>
      <c r="J2420" s="9">
        <f t="shared" si="37"/>
        <v>43746.762741701386</v>
      </c>
      <c r="K2420" s="1"/>
    </row>
    <row r="2421" spans="1:11" x14ac:dyDescent="0.25">
      <c r="A2421" t="e">
        <f>-Lqf4sK7HjvIdSU9LfYX</f>
        <v>#NAME?</v>
      </c>
      <c r="B2421">
        <v>393.75</v>
      </c>
      <c r="C2421">
        <v>20.584240000000001</v>
      </c>
      <c r="D2421">
        <v>56</v>
      </c>
      <c r="E2421">
        <v>0</v>
      </c>
      <c r="F2421">
        <v>0</v>
      </c>
      <c r="G2421">
        <v>57</v>
      </c>
      <c r="H2421" s="4">
        <v>1570533507084</v>
      </c>
      <c r="I2421">
        <v>526.6875</v>
      </c>
      <c r="J2421" s="9">
        <f t="shared" si="37"/>
        <v>43746.762813472218</v>
      </c>
      <c r="K2421" s="1"/>
    </row>
    <row r="2422" spans="1:11" x14ac:dyDescent="0.25">
      <c r="A2422" t="e">
        <f>-Lqf4uLi796ctxkpvTSM</f>
        <v>#NAME?</v>
      </c>
      <c r="B2422">
        <v>393.75</v>
      </c>
      <c r="C2422">
        <v>20.584240000000001</v>
      </c>
      <c r="D2422">
        <v>57</v>
      </c>
      <c r="E2422">
        <v>0</v>
      </c>
      <c r="F2422">
        <v>0</v>
      </c>
      <c r="G2422">
        <v>63</v>
      </c>
      <c r="H2422" s="4">
        <v>1570533514296</v>
      </c>
      <c r="I2422">
        <v>526.6875</v>
      </c>
      <c r="J2422" s="9">
        <f t="shared" si="37"/>
        <v>43746.762896944441</v>
      </c>
      <c r="K2422" s="1"/>
    </row>
    <row r="2423" spans="1:11" x14ac:dyDescent="0.25">
      <c r="A2423" t="e">
        <f>-Lqf4w3w8z74OqjxNzmv</f>
        <v>#NAME?</v>
      </c>
      <c r="B2423">
        <v>393.75</v>
      </c>
      <c r="C2423">
        <v>20.584240000000001</v>
      </c>
      <c r="D2423">
        <v>56</v>
      </c>
      <c r="E2423">
        <v>0</v>
      </c>
      <c r="F2423">
        <v>0</v>
      </c>
      <c r="G2423">
        <v>63</v>
      </c>
      <c r="H2423" s="4">
        <v>1570533522543</v>
      </c>
      <c r="I2423">
        <v>526.6875</v>
      </c>
      <c r="J2423" s="9">
        <f t="shared" si="37"/>
        <v>43746.76299239583</v>
      </c>
      <c r="K2423" s="1"/>
    </row>
    <row r="2424" spans="1:11" x14ac:dyDescent="0.25">
      <c r="A2424" t="s">
        <v>133</v>
      </c>
      <c r="B2424">
        <v>393.75</v>
      </c>
      <c r="C2424">
        <v>20.584240000000001</v>
      </c>
      <c r="D2424">
        <v>59</v>
      </c>
      <c r="E2424">
        <v>0</v>
      </c>
      <c r="F2424">
        <v>0</v>
      </c>
      <c r="G2424">
        <v>68</v>
      </c>
      <c r="H2424" s="4">
        <v>1570533528722</v>
      </c>
      <c r="I2424">
        <v>526.6875</v>
      </c>
      <c r="J2424" s="9">
        <f t="shared" si="37"/>
        <v>43746.76306391204</v>
      </c>
      <c r="K2424" s="1"/>
    </row>
    <row r="2425" spans="1:11" x14ac:dyDescent="0.25">
      <c r="A2425" t="e">
        <f>-Lqf4zN0WZ9KTMlONWQC</f>
        <v>#NAME?</v>
      </c>
      <c r="B2425">
        <v>393.75</v>
      </c>
      <c r="C2425">
        <v>20.531590000000001</v>
      </c>
      <c r="D2425">
        <v>58</v>
      </c>
      <c r="E2425">
        <v>0</v>
      </c>
      <c r="F2425">
        <v>0</v>
      </c>
      <c r="G2425">
        <v>66</v>
      </c>
      <c r="H2425" s="4">
        <v>1570533535931</v>
      </c>
      <c r="I2425">
        <v>526.6875</v>
      </c>
      <c r="J2425" s="9">
        <f t="shared" si="37"/>
        <v>43746.763147349535</v>
      </c>
      <c r="K2425" s="1"/>
    </row>
    <row r="2426" spans="1:11" x14ac:dyDescent="0.25">
      <c r="A2426" t="e">
        <f>-Lqf50PS3vO3XbkcRfH8</f>
        <v>#NAME?</v>
      </c>
      <c r="B2426">
        <v>393.75</v>
      </c>
      <c r="C2426">
        <v>20.531590000000001</v>
      </c>
      <c r="D2426">
        <v>57</v>
      </c>
      <c r="E2426">
        <v>0</v>
      </c>
      <c r="F2426">
        <v>0</v>
      </c>
      <c r="G2426">
        <v>70</v>
      </c>
      <c r="H2426" s="4">
        <v>1570533543123</v>
      </c>
      <c r="I2426">
        <v>526.6875</v>
      </c>
      <c r="J2426" s="9">
        <f t="shared" si="37"/>
        <v>43746.763230590273</v>
      </c>
      <c r="K2426" s="1"/>
    </row>
    <row r="2427" spans="1:11" x14ac:dyDescent="0.25">
      <c r="A2427" t="e">
        <f>-Lqf525w96AG_pE-Vb_6</f>
        <v>#NAME?</v>
      </c>
      <c r="B2427">
        <v>393.75</v>
      </c>
      <c r="C2427">
        <v>20.584240000000001</v>
      </c>
      <c r="D2427">
        <v>59</v>
      </c>
      <c r="E2427">
        <v>0</v>
      </c>
      <c r="F2427">
        <v>0</v>
      </c>
      <c r="G2427">
        <v>64</v>
      </c>
      <c r="H2427" s="4">
        <v>1570533551390</v>
      </c>
      <c r="I2427">
        <v>526.6875</v>
      </c>
      <c r="J2427" s="9">
        <f t="shared" si="37"/>
        <v>43746.763326273147</v>
      </c>
      <c r="K2427" s="1"/>
    </row>
    <row r="2428" spans="1:11" x14ac:dyDescent="0.25">
      <c r="A2428" t="s">
        <v>134</v>
      </c>
      <c r="B2428">
        <v>393.75</v>
      </c>
      <c r="C2428">
        <v>20.584240000000001</v>
      </c>
      <c r="D2428">
        <v>59</v>
      </c>
      <c r="E2428">
        <v>0</v>
      </c>
      <c r="F2428">
        <v>0</v>
      </c>
      <c r="G2428">
        <v>57</v>
      </c>
      <c r="H2428" s="4">
        <v>1570533557581</v>
      </c>
      <c r="I2428">
        <v>526.6875</v>
      </c>
      <c r="J2428" s="9">
        <f t="shared" si="37"/>
        <v>43746.76339792824</v>
      </c>
      <c r="K2428" s="1"/>
    </row>
    <row r="2429" spans="1:11" x14ac:dyDescent="0.25">
      <c r="A2429" t="e">
        <f>-Lqf558woKloQJ9JE-#REF!</f>
        <v>#NAME?</v>
      </c>
      <c r="B2429">
        <v>393.75</v>
      </c>
      <c r="C2429">
        <v>20.584240000000001</v>
      </c>
      <c r="D2429">
        <v>59</v>
      </c>
      <c r="E2429">
        <v>0</v>
      </c>
      <c r="F2429">
        <v>0</v>
      </c>
      <c r="G2429">
        <v>61</v>
      </c>
      <c r="H2429" s="4">
        <v>1570533563752</v>
      </c>
      <c r="I2429">
        <v>526.6875</v>
      </c>
      <c r="J2429" s="9">
        <f t="shared" si="37"/>
        <v>43746.763469351848</v>
      </c>
      <c r="K2429" s="1"/>
    </row>
    <row r="2430" spans="1:11" x14ac:dyDescent="0.25">
      <c r="A2430" t="e">
        <f>-Lqf56aKZyP2Tk2sorJc</f>
        <v>#NAME?</v>
      </c>
      <c r="B2430">
        <v>412.5</v>
      </c>
      <c r="C2430">
        <v>20.584240000000001</v>
      </c>
      <c r="D2430">
        <v>59</v>
      </c>
      <c r="E2430">
        <v>0</v>
      </c>
      <c r="F2430">
        <v>0</v>
      </c>
      <c r="G2430">
        <v>56</v>
      </c>
      <c r="H2430" s="4">
        <v>1570533569931</v>
      </c>
      <c r="I2430">
        <v>532.3125</v>
      </c>
      <c r="J2430" s="9">
        <f t="shared" si="37"/>
        <v>43746.763540868058</v>
      </c>
      <c r="K2430" s="1"/>
    </row>
    <row r="2431" spans="1:11" x14ac:dyDescent="0.25">
      <c r="A2431" t="e">
        <f>-Lqf5881BC9oiReViFhB</f>
        <v>#NAME?</v>
      </c>
      <c r="B2431">
        <v>393.75</v>
      </c>
      <c r="C2431">
        <v>20.584240000000001</v>
      </c>
      <c r="D2431">
        <v>58</v>
      </c>
      <c r="E2431">
        <v>0</v>
      </c>
      <c r="F2431">
        <v>0</v>
      </c>
      <c r="G2431">
        <v>61</v>
      </c>
      <c r="H2431" s="4">
        <v>1570533576081</v>
      </c>
      <c r="I2431">
        <v>526.6875</v>
      </c>
      <c r="J2431" s="9">
        <f t="shared" si="37"/>
        <v>43746.763612048606</v>
      </c>
      <c r="K2431" s="1"/>
    </row>
    <row r="2432" spans="1:11" x14ac:dyDescent="0.25">
      <c r="A2432" t="e">
        <f>-Lqf59fvEf3iz53yiqaa</f>
        <v>#NAME?</v>
      </c>
      <c r="B2432">
        <v>393.75</v>
      </c>
      <c r="C2432">
        <v>20.584240000000001</v>
      </c>
      <c r="D2432">
        <v>58</v>
      </c>
      <c r="E2432">
        <v>0</v>
      </c>
      <c r="F2432">
        <v>0</v>
      </c>
      <c r="G2432">
        <v>61</v>
      </c>
      <c r="H2432" s="4">
        <v>1570533582291</v>
      </c>
      <c r="I2432">
        <v>526.6875</v>
      </c>
      <c r="J2432" s="9">
        <f t="shared" si="37"/>
        <v>43746.763683923607</v>
      </c>
      <c r="K2432" s="1"/>
    </row>
    <row r="2433" spans="1:11" x14ac:dyDescent="0.25">
      <c r="A2433" t="e">
        <f>-Lqf5B7G_n3iexrzbrd6</f>
        <v>#NAME?</v>
      </c>
      <c r="B2433">
        <v>393.75</v>
      </c>
      <c r="C2433">
        <v>20.584240000000001</v>
      </c>
      <c r="D2433">
        <v>58</v>
      </c>
      <c r="E2433">
        <v>0</v>
      </c>
      <c r="F2433">
        <v>0</v>
      </c>
      <c r="G2433">
        <v>53</v>
      </c>
      <c r="H2433" s="4">
        <v>1570533588482</v>
      </c>
      <c r="I2433">
        <v>526.5</v>
      </c>
      <c r="J2433" s="9">
        <f t="shared" si="37"/>
        <v>43746.763755578701</v>
      </c>
      <c r="K2433" s="1"/>
    </row>
    <row r="2434" spans="1:11" x14ac:dyDescent="0.25">
      <c r="A2434" t="e">
        <f>-Lqf5CcfCjh2l__1i6aP</f>
        <v>#NAME?</v>
      </c>
      <c r="B2434">
        <v>393.75</v>
      </c>
      <c r="C2434">
        <v>20.584240000000001</v>
      </c>
      <c r="D2434">
        <v>59</v>
      </c>
      <c r="E2434">
        <v>0</v>
      </c>
      <c r="F2434">
        <v>0</v>
      </c>
      <c r="G2434">
        <v>53</v>
      </c>
      <c r="H2434" s="4">
        <v>1570533594642</v>
      </c>
      <c r="I2434">
        <v>526.6875</v>
      </c>
      <c r="J2434" s="9">
        <f t="shared" si="37"/>
        <v>43746.763826874994</v>
      </c>
      <c r="K2434" s="1"/>
    </row>
    <row r="2435" spans="1:11" x14ac:dyDescent="0.25">
      <c r="A2435" t="e">
        <f>-Lqf5E99LezhmMP1hnLU</f>
        <v>#NAME?</v>
      </c>
      <c r="B2435">
        <v>393.75</v>
      </c>
      <c r="C2435">
        <v>20.584240000000001</v>
      </c>
      <c r="D2435">
        <v>59</v>
      </c>
      <c r="E2435">
        <v>0</v>
      </c>
      <c r="F2435">
        <v>0</v>
      </c>
      <c r="G2435">
        <v>59</v>
      </c>
      <c r="H2435" s="4">
        <v>1570533600832</v>
      </c>
      <c r="I2435">
        <v>526.6875</v>
      </c>
      <c r="J2435" s="9">
        <f t="shared" ref="J2435:J2498" si="38">(H2435/86400000)+25569+(7/24)</f>
        <v>43746.763898518511</v>
      </c>
      <c r="K2435" s="1"/>
    </row>
    <row r="2436" spans="1:11" x14ac:dyDescent="0.25">
      <c r="A2436" t="e">
        <f>-Lqf5Fh4OHmVuh3b2qk_</f>
        <v>#NAME?</v>
      </c>
      <c r="B2436">
        <v>393.75</v>
      </c>
      <c r="C2436">
        <v>20.584240000000001</v>
      </c>
      <c r="D2436">
        <v>58</v>
      </c>
      <c r="E2436">
        <v>0</v>
      </c>
      <c r="F2436">
        <v>0</v>
      </c>
      <c r="G2436">
        <v>58</v>
      </c>
      <c r="H2436" s="4">
        <v>1570533607021</v>
      </c>
      <c r="I2436">
        <v>526.6875</v>
      </c>
      <c r="J2436" s="9">
        <f t="shared" si="38"/>
        <v>43746.763970150459</v>
      </c>
      <c r="K2436" s="1"/>
    </row>
    <row r="2437" spans="1:11" x14ac:dyDescent="0.25">
      <c r="A2437" t="e">
        <f>-Lqf5HQ2EM4sAtRR93eC</f>
        <v>#NAME?</v>
      </c>
      <c r="B2437">
        <v>393.75</v>
      </c>
      <c r="C2437">
        <v>20.584240000000001</v>
      </c>
      <c r="D2437">
        <v>58</v>
      </c>
      <c r="E2437">
        <v>0</v>
      </c>
      <c r="F2437">
        <v>0</v>
      </c>
      <c r="G2437">
        <v>52</v>
      </c>
      <c r="H2437" s="4">
        <v>1570533614232</v>
      </c>
      <c r="I2437">
        <v>526.6875</v>
      </c>
      <c r="J2437" s="9">
        <f t="shared" si="38"/>
        <v>43746.764053611107</v>
      </c>
      <c r="K2437" s="1"/>
    </row>
    <row r="2438" spans="1:11" x14ac:dyDescent="0.25">
      <c r="A2438" t="s">
        <v>135</v>
      </c>
      <c r="B2438">
        <v>393.75</v>
      </c>
      <c r="C2438">
        <v>20.478950000000001</v>
      </c>
      <c r="D2438">
        <v>58</v>
      </c>
      <c r="E2438">
        <v>0</v>
      </c>
      <c r="F2438">
        <v>0</v>
      </c>
      <c r="G2438">
        <v>56</v>
      </c>
      <c r="H2438" s="4">
        <v>1570533620422</v>
      </c>
      <c r="I2438">
        <v>526.5</v>
      </c>
      <c r="J2438" s="9">
        <f t="shared" si="38"/>
        <v>43746.764125254624</v>
      </c>
      <c r="K2438" s="1"/>
    </row>
    <row r="2439" spans="1:11" x14ac:dyDescent="0.25">
      <c r="A2439" t="e">
        <f>-Lqf5KUBhKXH0YjWu6kT</f>
        <v>#NAME?</v>
      </c>
      <c r="B2439">
        <v>393.75</v>
      </c>
      <c r="C2439">
        <v>20.584240000000001</v>
      </c>
      <c r="D2439">
        <v>58</v>
      </c>
      <c r="E2439">
        <v>0</v>
      </c>
      <c r="F2439">
        <v>0</v>
      </c>
      <c r="G2439">
        <v>57</v>
      </c>
      <c r="H2439" s="4">
        <v>1570533626600</v>
      </c>
      <c r="I2439">
        <v>526.6875</v>
      </c>
      <c r="J2439" s="9">
        <f t="shared" si="38"/>
        <v>43746.764196759257</v>
      </c>
      <c r="K2439" s="1"/>
    </row>
    <row r="2440" spans="1:11" x14ac:dyDescent="0.25">
      <c r="A2440" t="e">
        <f>-Lqf5LwuZp22a4ClhQK7</f>
        <v>#NAME?</v>
      </c>
      <c r="B2440">
        <v>393.75</v>
      </c>
      <c r="C2440">
        <v>20.584240000000001</v>
      </c>
      <c r="D2440">
        <v>59</v>
      </c>
      <c r="E2440">
        <v>0</v>
      </c>
      <c r="F2440">
        <v>0</v>
      </c>
      <c r="G2440">
        <v>64</v>
      </c>
      <c r="H2440" s="4">
        <v>1570533632791</v>
      </c>
      <c r="I2440">
        <v>526.5</v>
      </c>
      <c r="J2440" s="9">
        <f t="shared" si="38"/>
        <v>43746.76426841435</v>
      </c>
      <c r="K2440" s="1"/>
    </row>
    <row r="2441" spans="1:11" x14ac:dyDescent="0.25">
      <c r="A2441" t="e">
        <f>-Lqf5NcruAMfu3CJ2_OW</f>
        <v>#NAME?</v>
      </c>
      <c r="B2441">
        <v>393.75</v>
      </c>
      <c r="C2441">
        <v>20.584240000000001</v>
      </c>
      <c r="D2441">
        <v>60</v>
      </c>
      <c r="E2441">
        <v>0</v>
      </c>
      <c r="F2441">
        <v>0</v>
      </c>
      <c r="G2441">
        <v>60</v>
      </c>
      <c r="H2441" s="4">
        <v>1570533638962</v>
      </c>
      <c r="I2441">
        <v>526.6875</v>
      </c>
      <c r="J2441" s="9">
        <f t="shared" si="38"/>
        <v>43746.764339837966</v>
      </c>
      <c r="K2441" s="1"/>
    </row>
    <row r="2442" spans="1:11" x14ac:dyDescent="0.25">
      <c r="A2442" t="e">
        <f>-Lqf5PCoKEgcdUI2Rxjs</f>
        <v>#NAME?</v>
      </c>
      <c r="B2442">
        <v>393.75</v>
      </c>
      <c r="C2442">
        <v>20.584240000000001</v>
      </c>
      <c r="D2442">
        <v>60</v>
      </c>
      <c r="E2442">
        <v>0</v>
      </c>
      <c r="F2442">
        <v>0</v>
      </c>
      <c r="G2442">
        <v>59</v>
      </c>
      <c r="H2442" s="4">
        <v>1570533646163</v>
      </c>
      <c r="I2442">
        <v>526.6875</v>
      </c>
      <c r="J2442" s="9">
        <f t="shared" si="38"/>
        <v>43746.764423182867</v>
      </c>
      <c r="K2442" s="1"/>
    </row>
    <row r="2443" spans="1:11" x14ac:dyDescent="0.25">
      <c r="A2443" t="e">
        <f>-Lqf5R0vDd8NPVZxO5Tn</f>
        <v>#NAME?</v>
      </c>
      <c r="B2443">
        <v>393.75</v>
      </c>
      <c r="C2443">
        <v>20.531590000000001</v>
      </c>
      <c r="D2443">
        <v>60</v>
      </c>
      <c r="E2443">
        <v>0</v>
      </c>
      <c r="F2443">
        <v>0</v>
      </c>
      <c r="G2443">
        <v>59</v>
      </c>
      <c r="H2443" s="4">
        <v>1570533653409</v>
      </c>
      <c r="I2443">
        <v>526.6875</v>
      </c>
      <c r="J2443" s="9">
        <f t="shared" si="38"/>
        <v>43746.764507048611</v>
      </c>
      <c r="K2443" s="1"/>
    </row>
    <row r="2444" spans="1:11" x14ac:dyDescent="0.25">
      <c r="A2444" t="e">
        <f>-Lqf5SVw7R6d9KOQxQZP</f>
        <v>#NAME?</v>
      </c>
      <c r="B2444">
        <v>393.75</v>
      </c>
      <c r="C2444">
        <v>20.478950000000001</v>
      </c>
      <c r="D2444">
        <v>61</v>
      </c>
      <c r="E2444">
        <v>0</v>
      </c>
      <c r="F2444">
        <v>0</v>
      </c>
      <c r="G2444">
        <v>58</v>
      </c>
      <c r="H2444" s="4">
        <v>1570533659573</v>
      </c>
      <c r="I2444">
        <v>526.6875</v>
      </c>
      <c r="J2444" s="9">
        <f t="shared" si="38"/>
        <v>43746.764578391201</v>
      </c>
      <c r="K2444" s="1"/>
    </row>
    <row r="2445" spans="1:11" x14ac:dyDescent="0.25">
      <c r="A2445" t="e">
        <f>-Lqf5Tzwl7Mowsrhmx7u</f>
        <v>#NAME?</v>
      </c>
      <c r="B2445">
        <v>393.75</v>
      </c>
      <c r="C2445">
        <v>20.584240000000001</v>
      </c>
      <c r="D2445">
        <v>61</v>
      </c>
      <c r="E2445">
        <v>0</v>
      </c>
      <c r="F2445">
        <v>0</v>
      </c>
      <c r="G2445">
        <v>60</v>
      </c>
      <c r="H2445" s="4">
        <v>1570533665751</v>
      </c>
      <c r="I2445">
        <v>526.6875</v>
      </c>
      <c r="J2445" s="9">
        <f t="shared" si="38"/>
        <v>43746.764649895827</v>
      </c>
      <c r="K2445" s="1"/>
    </row>
    <row r="2446" spans="1:11" x14ac:dyDescent="0.25">
      <c r="A2446" t="e">
        <f>-Lqf5V_0IZZ8yrDqbXRZ</f>
        <v>#NAME?</v>
      </c>
      <c r="B2446">
        <v>393.75</v>
      </c>
      <c r="C2446">
        <v>20.584240000000001</v>
      </c>
      <c r="D2446">
        <v>61</v>
      </c>
      <c r="E2446">
        <v>0</v>
      </c>
      <c r="F2446">
        <v>0</v>
      </c>
      <c r="G2446">
        <v>63</v>
      </c>
      <c r="H2446" s="4">
        <v>1570533671931</v>
      </c>
      <c r="I2446">
        <v>526.6875</v>
      </c>
      <c r="J2446" s="9">
        <f t="shared" si="38"/>
        <v>43746.764721423613</v>
      </c>
      <c r="K2446" s="1"/>
    </row>
    <row r="2447" spans="1:11" x14ac:dyDescent="0.25">
      <c r="A2447" t="e">
        <f>-Lqf5X1wOcpsso2-#REF!</f>
        <v>#NAME?</v>
      </c>
      <c r="B2447">
        <v>393.75</v>
      </c>
      <c r="C2447">
        <v>20.584240000000001</v>
      </c>
      <c r="D2447">
        <v>61</v>
      </c>
      <c r="E2447">
        <v>0</v>
      </c>
      <c r="F2447">
        <v>0</v>
      </c>
      <c r="G2447">
        <v>59</v>
      </c>
      <c r="H2447" s="4">
        <v>1570533678111</v>
      </c>
      <c r="I2447">
        <v>526.6875</v>
      </c>
      <c r="J2447" s="9">
        <f t="shared" si="38"/>
        <v>43746.764792951384</v>
      </c>
      <c r="K2447" s="1"/>
    </row>
    <row r="2448" spans="1:11" x14ac:dyDescent="0.25">
      <c r="A2448" t="e">
        <f>-Lqf5YY-MBwOBGTtGC03</f>
        <v>#NAME?</v>
      </c>
      <c r="B2448">
        <v>393.75</v>
      </c>
      <c r="C2448">
        <v>20.584240000000001</v>
      </c>
      <c r="D2448">
        <v>61</v>
      </c>
      <c r="E2448">
        <v>0</v>
      </c>
      <c r="F2448">
        <v>0</v>
      </c>
      <c r="G2448">
        <v>56</v>
      </c>
      <c r="H2448" s="4">
        <v>1570533684311</v>
      </c>
      <c r="I2448">
        <v>526.6875</v>
      </c>
      <c r="J2448" s="9">
        <f t="shared" si="38"/>
        <v>43746.764864710647</v>
      </c>
      <c r="K2448" s="1"/>
    </row>
    <row r="2449" spans="1:11" x14ac:dyDescent="0.25">
      <c r="A2449" t="e">
        <f>-Lqf5_60cBpYTtwE2yl1</f>
        <v>#NAME?</v>
      </c>
      <c r="B2449">
        <v>418.75</v>
      </c>
      <c r="C2449">
        <v>20.584240000000001</v>
      </c>
      <c r="D2449">
        <v>61</v>
      </c>
      <c r="E2449">
        <v>0</v>
      </c>
      <c r="F2449">
        <v>0</v>
      </c>
      <c r="G2449">
        <v>63</v>
      </c>
      <c r="H2449" s="4">
        <v>1570533690470</v>
      </c>
      <c r="I2449">
        <v>534.1875</v>
      </c>
      <c r="J2449" s="9">
        <f t="shared" si="38"/>
        <v>43746.764935995372</v>
      </c>
      <c r="K2449" s="1"/>
    </row>
    <row r="2450" spans="1:11" x14ac:dyDescent="0.25">
      <c r="A2450" t="e">
        <f>-Lqf5ap2yRXnWKBAnnhi</f>
        <v>#NAME?</v>
      </c>
      <c r="B2450">
        <v>393.75</v>
      </c>
      <c r="C2450">
        <v>20.584240000000001</v>
      </c>
      <c r="D2450">
        <v>61</v>
      </c>
      <c r="E2450">
        <v>0</v>
      </c>
      <c r="F2450">
        <v>0</v>
      </c>
      <c r="G2450">
        <v>59</v>
      </c>
      <c r="H2450" s="4">
        <v>1570533697681</v>
      </c>
      <c r="I2450">
        <v>526.6875</v>
      </c>
      <c r="J2450" s="9">
        <f t="shared" si="38"/>
        <v>43746.765019456019</v>
      </c>
      <c r="K2450" s="1"/>
    </row>
    <row r="2451" spans="1:11" x14ac:dyDescent="0.25">
      <c r="A2451" t="e">
        <f>-Lqf5cO1GFQC0sb4mBiN</f>
        <v>#NAME?</v>
      </c>
      <c r="B2451">
        <v>393.75</v>
      </c>
      <c r="C2451">
        <v>20.584240000000001</v>
      </c>
      <c r="D2451">
        <v>61</v>
      </c>
      <c r="E2451">
        <v>0</v>
      </c>
      <c r="F2451">
        <v>0</v>
      </c>
      <c r="G2451">
        <v>64</v>
      </c>
      <c r="H2451" s="4">
        <v>1570533703860</v>
      </c>
      <c r="I2451">
        <v>526.6875</v>
      </c>
      <c r="J2451" s="9">
        <f t="shared" si="38"/>
        <v>43746.765090972222</v>
      </c>
      <c r="K2451" s="1"/>
    </row>
    <row r="2452" spans="1:11" x14ac:dyDescent="0.25">
      <c r="A2452" t="e">
        <f>-Lqf5e60LJ6C30BychCq</f>
        <v>#NAME?</v>
      </c>
      <c r="B2452">
        <v>393.75</v>
      </c>
      <c r="C2452">
        <v>20.584240000000001</v>
      </c>
      <c r="D2452">
        <v>62</v>
      </c>
      <c r="E2452">
        <v>0</v>
      </c>
      <c r="F2452">
        <v>0</v>
      </c>
      <c r="G2452">
        <v>63</v>
      </c>
      <c r="H2452" s="4">
        <v>1570533711082</v>
      </c>
      <c r="I2452">
        <v>526.6875</v>
      </c>
      <c r="J2452" s="9">
        <f t="shared" si="38"/>
        <v>43746.765174560183</v>
      </c>
      <c r="K2452" s="1"/>
    </row>
    <row r="2453" spans="1:11" x14ac:dyDescent="0.25">
      <c r="A2453" t="e">
        <f>-Lqf5fZl2PxWA4zbPlFB</f>
        <v>#NAME?</v>
      </c>
      <c r="B2453">
        <v>393.75</v>
      </c>
      <c r="C2453">
        <v>20.584240000000001</v>
      </c>
      <c r="D2453">
        <v>61</v>
      </c>
      <c r="E2453">
        <v>0</v>
      </c>
      <c r="F2453">
        <v>0</v>
      </c>
      <c r="G2453">
        <v>61</v>
      </c>
      <c r="H2453" s="4">
        <v>1570533717272</v>
      </c>
      <c r="I2453">
        <v>526.6875</v>
      </c>
      <c r="J2453" s="9">
        <f t="shared" si="38"/>
        <v>43746.7652462037</v>
      </c>
      <c r="K2453" s="1"/>
    </row>
    <row r="2454" spans="1:11" x14ac:dyDescent="0.25">
      <c r="A2454" t="e">
        <f>-Lqf5h4AzmxQMrQAH-oc</f>
        <v>#NAME?</v>
      </c>
      <c r="B2454">
        <v>393.75</v>
      </c>
      <c r="C2454">
        <v>20.584240000000001</v>
      </c>
      <c r="D2454">
        <v>61</v>
      </c>
      <c r="E2454">
        <v>0</v>
      </c>
      <c r="F2454">
        <v>0</v>
      </c>
      <c r="G2454">
        <v>57</v>
      </c>
      <c r="H2454" s="4">
        <v>1570533723442</v>
      </c>
      <c r="I2454">
        <v>526.6875</v>
      </c>
      <c r="J2454" s="9">
        <f t="shared" si="38"/>
        <v>43746.76531761574</v>
      </c>
      <c r="K2454" s="1"/>
    </row>
    <row r="2455" spans="1:11" x14ac:dyDescent="0.25">
      <c r="A2455" t="e">
        <f>-Lqf5ix0DlQnT0OecjmN</f>
        <v>#NAME?</v>
      </c>
      <c r="B2455">
        <v>393.75</v>
      </c>
      <c r="C2455">
        <v>20.584240000000001</v>
      </c>
      <c r="D2455">
        <v>60</v>
      </c>
      <c r="E2455">
        <v>0</v>
      </c>
      <c r="F2455">
        <v>0</v>
      </c>
      <c r="G2455">
        <v>70</v>
      </c>
      <c r="H2455" s="4">
        <v>1570533729621</v>
      </c>
      <c r="I2455">
        <v>526.5</v>
      </c>
      <c r="J2455" s="9">
        <f t="shared" si="38"/>
        <v>43746.765389131942</v>
      </c>
      <c r="K2455" s="1"/>
    </row>
    <row r="2456" spans="1:11" x14ac:dyDescent="0.25">
      <c r="A2456" t="e">
        <f>-Lqf5ke4fNWnyK8qfqcw</f>
        <v>#NAME?</v>
      </c>
      <c r="B2456">
        <v>393.75</v>
      </c>
      <c r="C2456">
        <v>20.584240000000001</v>
      </c>
      <c r="D2456">
        <v>63</v>
      </c>
      <c r="E2456">
        <v>0</v>
      </c>
      <c r="F2456">
        <v>0</v>
      </c>
      <c r="G2456">
        <v>74</v>
      </c>
      <c r="H2456" s="4">
        <v>1570533737872</v>
      </c>
      <c r="I2456">
        <v>526.6875</v>
      </c>
      <c r="J2456" s="9">
        <f t="shared" si="38"/>
        <v>43746.765484629628</v>
      </c>
      <c r="K2456" s="1"/>
    </row>
    <row r="2457" spans="1:11" x14ac:dyDescent="0.25">
      <c r="A2457" t="e">
        <f>-Lqf5m91wR3jju6qDvKG</f>
        <v>#NAME?</v>
      </c>
      <c r="B2457">
        <v>393.75</v>
      </c>
      <c r="C2457">
        <v>20.531590000000001</v>
      </c>
      <c r="D2457">
        <v>62</v>
      </c>
      <c r="E2457">
        <v>0</v>
      </c>
      <c r="F2457">
        <v>0</v>
      </c>
      <c r="G2457">
        <v>63</v>
      </c>
      <c r="H2457" s="4">
        <v>1570533744051</v>
      </c>
      <c r="I2457">
        <v>526.6875</v>
      </c>
      <c r="J2457" s="9">
        <f t="shared" si="38"/>
        <v>43746.76555614583</v>
      </c>
      <c r="K2457" s="1"/>
    </row>
    <row r="2458" spans="1:11" x14ac:dyDescent="0.25">
      <c r="A2458" t="e">
        <f>-Lqf5nbmuiN_HlSGGqua</f>
        <v>#NAME?</v>
      </c>
      <c r="B2458">
        <v>393.75</v>
      </c>
      <c r="C2458">
        <v>20.531590000000001</v>
      </c>
      <c r="D2458">
        <v>63</v>
      </c>
      <c r="E2458">
        <v>0</v>
      </c>
      <c r="F2458">
        <v>0</v>
      </c>
      <c r="G2458">
        <v>62</v>
      </c>
      <c r="H2458" s="4">
        <v>1570533750232</v>
      </c>
      <c r="I2458">
        <v>526.6875</v>
      </c>
      <c r="J2458" s="9">
        <f t="shared" si="38"/>
        <v>43746.765627685185</v>
      </c>
      <c r="K2458" s="1"/>
    </row>
    <row r="2459" spans="1:11" x14ac:dyDescent="0.25">
      <c r="A2459" t="e">
        <f>-Lqf5pB3aRuykL2riYrE</f>
        <v>#NAME?</v>
      </c>
      <c r="B2459">
        <v>393.75</v>
      </c>
      <c r="C2459">
        <v>20.584240000000001</v>
      </c>
      <c r="D2459">
        <v>63</v>
      </c>
      <c r="E2459">
        <v>0</v>
      </c>
      <c r="F2459">
        <v>0</v>
      </c>
      <c r="G2459">
        <v>64</v>
      </c>
      <c r="H2459" s="4">
        <v>1570533756422</v>
      </c>
      <c r="I2459">
        <v>526.6875</v>
      </c>
      <c r="J2459" s="9">
        <f t="shared" si="38"/>
        <v>43746.765699328702</v>
      </c>
      <c r="K2459" s="1"/>
    </row>
    <row r="2460" spans="1:11" x14ac:dyDescent="0.25">
      <c r="A2460" t="s">
        <v>136</v>
      </c>
      <c r="B2460">
        <v>393.75</v>
      </c>
      <c r="C2460">
        <v>20.584240000000001</v>
      </c>
      <c r="D2460">
        <v>63</v>
      </c>
      <c r="E2460">
        <v>0</v>
      </c>
      <c r="F2460">
        <v>0</v>
      </c>
      <c r="G2460">
        <v>59</v>
      </c>
      <c r="H2460" s="4">
        <v>1570533763887</v>
      </c>
      <c r="I2460">
        <v>526.6875</v>
      </c>
      <c r="J2460" s="9">
        <f t="shared" si="38"/>
        <v>43746.765785729163</v>
      </c>
      <c r="K2460" s="1"/>
    </row>
    <row r="2461" spans="1:11" x14ac:dyDescent="0.25">
      <c r="A2461" t="e">
        <f>-Lqf5siOLD_7F6rWEDMw</f>
        <v>#NAME?</v>
      </c>
      <c r="B2461">
        <v>393.75</v>
      </c>
      <c r="C2461">
        <v>20.584240000000001</v>
      </c>
      <c r="D2461">
        <v>62</v>
      </c>
      <c r="E2461">
        <v>0</v>
      </c>
      <c r="F2461">
        <v>0</v>
      </c>
      <c r="G2461">
        <v>58</v>
      </c>
      <c r="H2461" s="4">
        <v>1570533770850</v>
      </c>
      <c r="I2461">
        <v>526.6875</v>
      </c>
      <c r="J2461" s="9">
        <f t="shared" si="38"/>
        <v>43746.765866319438</v>
      </c>
      <c r="K2461" s="1"/>
    </row>
    <row r="2462" spans="1:11" x14ac:dyDescent="0.25">
      <c r="A2462" t="e">
        <f>-Lqf5uRGWxlSUS_wuFTI</f>
        <v>#NAME?</v>
      </c>
      <c r="B2462">
        <v>393.75</v>
      </c>
      <c r="C2462">
        <v>20.584240000000001</v>
      </c>
      <c r="D2462">
        <v>61</v>
      </c>
      <c r="E2462">
        <v>0</v>
      </c>
      <c r="F2462">
        <v>0</v>
      </c>
      <c r="G2462">
        <v>65</v>
      </c>
      <c r="H2462" s="4">
        <v>1570533778077</v>
      </c>
      <c r="I2462">
        <v>526.6875</v>
      </c>
      <c r="J2462" s="9">
        <f t="shared" si="38"/>
        <v>43746.765949965273</v>
      </c>
      <c r="K2462" s="1"/>
    </row>
    <row r="2463" spans="1:11" x14ac:dyDescent="0.25">
      <c r="A2463" t="s">
        <v>137</v>
      </c>
      <c r="B2463">
        <v>393.75</v>
      </c>
      <c r="C2463">
        <v>20.584240000000001</v>
      </c>
      <c r="D2463">
        <v>59</v>
      </c>
      <c r="E2463">
        <v>0</v>
      </c>
      <c r="F2463">
        <v>0</v>
      </c>
      <c r="G2463">
        <v>66</v>
      </c>
      <c r="H2463" s="4">
        <v>1570533784238</v>
      </c>
      <c r="I2463">
        <v>526.6875</v>
      </c>
      <c r="J2463" s="9">
        <f t="shared" si="38"/>
        <v>43746.76602127315</v>
      </c>
      <c r="K2463" s="1"/>
    </row>
    <row r="2464" spans="1:11" x14ac:dyDescent="0.25">
      <c r="A2464" t="e">
        <f>-Lqf5xi9pOlCR-g9dUHP</f>
        <v>#NAME?</v>
      </c>
      <c r="B2464">
        <v>393.75</v>
      </c>
      <c r="C2464">
        <v>20.531590000000001</v>
      </c>
      <c r="D2464">
        <v>59</v>
      </c>
      <c r="E2464">
        <v>0</v>
      </c>
      <c r="F2464">
        <v>0</v>
      </c>
      <c r="G2464">
        <v>56</v>
      </c>
      <c r="H2464" s="4">
        <v>1570533791448</v>
      </c>
      <c r="I2464">
        <v>526.6875</v>
      </c>
      <c r="J2464" s="9">
        <f t="shared" si="38"/>
        <v>43746.766104722221</v>
      </c>
      <c r="K2464" s="1"/>
    </row>
    <row r="2465" spans="1:11" x14ac:dyDescent="0.25">
      <c r="A2465" t="e">
        <f>-Lqf5zHGnjMULFcic9rG</f>
        <v>#NAME?</v>
      </c>
      <c r="B2465">
        <v>393.75</v>
      </c>
      <c r="C2465">
        <v>20.584240000000001</v>
      </c>
      <c r="D2465">
        <v>59</v>
      </c>
      <c r="E2465">
        <v>0</v>
      </c>
      <c r="F2465">
        <v>0</v>
      </c>
      <c r="G2465">
        <v>61</v>
      </c>
      <c r="H2465" s="4">
        <v>1570533797638</v>
      </c>
      <c r="I2465">
        <v>526.6875</v>
      </c>
      <c r="J2465" s="9">
        <f t="shared" si="38"/>
        <v>43746.766176365738</v>
      </c>
      <c r="K2465" s="1"/>
    </row>
    <row r="2466" spans="1:11" x14ac:dyDescent="0.25">
      <c r="A2466" t="s">
        <v>138</v>
      </c>
      <c r="B2466">
        <v>393.75</v>
      </c>
      <c r="C2466">
        <v>20.584240000000001</v>
      </c>
      <c r="D2466">
        <v>60</v>
      </c>
      <c r="E2466">
        <v>0</v>
      </c>
      <c r="F2466">
        <v>0</v>
      </c>
      <c r="G2466">
        <v>61</v>
      </c>
      <c r="H2466" s="4">
        <v>1570533804857</v>
      </c>
      <c r="I2466">
        <v>526.6875</v>
      </c>
      <c r="J2466" s="9">
        <f t="shared" si="38"/>
        <v>43746.766259918979</v>
      </c>
      <c r="K2466" s="1"/>
    </row>
    <row r="2467" spans="1:11" x14ac:dyDescent="0.25">
      <c r="A2467" t="e">
        <f>-Lqf61U7wbAM4xHt_tlY</f>
        <v>#NAME?</v>
      </c>
      <c r="B2467">
        <v>418.75</v>
      </c>
      <c r="C2467">
        <v>20.531590000000001</v>
      </c>
      <c r="D2467">
        <v>62</v>
      </c>
      <c r="E2467">
        <v>0</v>
      </c>
      <c r="F2467">
        <v>0</v>
      </c>
      <c r="G2467">
        <v>62</v>
      </c>
      <c r="H2467" s="4">
        <v>1570533811036</v>
      </c>
      <c r="I2467">
        <v>534.375</v>
      </c>
      <c r="J2467" s="9">
        <f t="shared" si="38"/>
        <v>43746.766331435181</v>
      </c>
      <c r="K2467" s="1"/>
    </row>
    <row r="2468" spans="1:11" x14ac:dyDescent="0.25">
      <c r="A2468" t="e">
        <f>-Lqf632EXuZcXeypZ6pG</f>
        <v>#NAME?</v>
      </c>
      <c r="B2468">
        <v>393.75</v>
      </c>
      <c r="C2468">
        <v>20.584240000000001</v>
      </c>
      <c r="D2468">
        <v>61</v>
      </c>
      <c r="E2468">
        <v>0</v>
      </c>
      <c r="F2468">
        <v>0</v>
      </c>
      <c r="G2468">
        <v>57</v>
      </c>
      <c r="H2468" s="4">
        <v>1570533817218</v>
      </c>
      <c r="I2468">
        <v>526.6875</v>
      </c>
      <c r="J2468" s="9">
        <f t="shared" si="38"/>
        <v>43746.766402986112</v>
      </c>
      <c r="K2468" s="1"/>
    </row>
    <row r="2469" spans="1:11" x14ac:dyDescent="0.25">
      <c r="A2469" t="e">
        <f>-Lqf64lGsggUL601XHOa</f>
        <v>#NAME?</v>
      </c>
      <c r="B2469">
        <v>393.75</v>
      </c>
      <c r="C2469">
        <v>20.584240000000001</v>
      </c>
      <c r="D2469">
        <v>61</v>
      </c>
      <c r="E2469">
        <v>0</v>
      </c>
      <c r="F2469">
        <v>0</v>
      </c>
      <c r="G2469">
        <v>64</v>
      </c>
      <c r="H2469" s="4">
        <v>1570533824407</v>
      </c>
      <c r="I2469">
        <v>526.6875</v>
      </c>
      <c r="J2469" s="9">
        <f t="shared" si="38"/>
        <v>43746.766486192129</v>
      </c>
      <c r="K2469" s="1"/>
    </row>
    <row r="2470" spans="1:11" x14ac:dyDescent="0.25">
      <c r="A2470" t="e">
        <f>-Lqf66LW9tFFUomqGj48</f>
        <v>#NAME?</v>
      </c>
      <c r="B2470">
        <v>393.75</v>
      </c>
      <c r="C2470">
        <v>20.531590000000001</v>
      </c>
      <c r="D2470">
        <v>61</v>
      </c>
      <c r="E2470">
        <v>0</v>
      </c>
      <c r="F2470">
        <v>0</v>
      </c>
      <c r="G2470">
        <v>57</v>
      </c>
      <c r="H2470" s="4">
        <v>1570533830596</v>
      </c>
      <c r="I2470">
        <v>526.6875</v>
      </c>
      <c r="J2470" s="9">
        <f t="shared" si="38"/>
        <v>43746.76655782407</v>
      </c>
      <c r="K2470" s="1"/>
    </row>
    <row r="2471" spans="1:11" x14ac:dyDescent="0.25">
      <c r="A2471" t="e">
        <f>-Lqf682EtdO5GpaHxE7T</f>
        <v>#NAME?</v>
      </c>
      <c r="B2471">
        <v>393.75</v>
      </c>
      <c r="C2471">
        <v>20.584240000000001</v>
      </c>
      <c r="D2471">
        <v>61</v>
      </c>
      <c r="E2471">
        <v>0</v>
      </c>
      <c r="F2471">
        <v>0</v>
      </c>
      <c r="G2471">
        <v>57</v>
      </c>
      <c r="H2471" s="4">
        <v>1570533837826</v>
      </c>
      <c r="I2471">
        <v>526.6875</v>
      </c>
      <c r="J2471" s="9">
        <f t="shared" si="38"/>
        <v>43746.766641504626</v>
      </c>
      <c r="K2471" s="1"/>
    </row>
    <row r="2472" spans="1:11" x14ac:dyDescent="0.25">
      <c r="A2472" t="e">
        <f>-Lqf69uEUfYVeBEG92Eu</f>
        <v>#NAME?</v>
      </c>
      <c r="B2472">
        <v>393.75</v>
      </c>
      <c r="C2472">
        <v>20.584240000000001</v>
      </c>
      <c r="D2472">
        <v>61</v>
      </c>
      <c r="E2472">
        <v>0</v>
      </c>
      <c r="F2472">
        <v>0</v>
      </c>
      <c r="G2472">
        <v>55</v>
      </c>
      <c r="H2472" s="4">
        <v>1570533845048</v>
      </c>
      <c r="I2472">
        <v>526.5</v>
      </c>
      <c r="J2472" s="9">
        <f t="shared" si="38"/>
        <v>43746.766725092595</v>
      </c>
      <c r="K2472" s="1"/>
    </row>
    <row r="2473" spans="1:11" x14ac:dyDescent="0.25">
      <c r="A2473" t="e">
        <f>-Lqf6BZE8aKvcNut3sOD</f>
        <v>#NAME?</v>
      </c>
      <c r="B2473">
        <v>393.75</v>
      </c>
      <c r="C2473">
        <v>20.531590000000001</v>
      </c>
      <c r="D2473">
        <v>61</v>
      </c>
      <c r="E2473">
        <v>0</v>
      </c>
      <c r="F2473">
        <v>0</v>
      </c>
      <c r="G2473">
        <v>57</v>
      </c>
      <c r="H2473" s="4">
        <v>1570533852248</v>
      </c>
      <c r="I2473">
        <v>526.6875</v>
      </c>
      <c r="J2473" s="9">
        <f t="shared" si="38"/>
        <v>43746.766808425928</v>
      </c>
      <c r="K2473" s="1"/>
    </row>
    <row r="2474" spans="1:11" x14ac:dyDescent="0.25">
      <c r="A2474" t="e">
        <f>-Lqf6DLm2yMM0ZPsBiI3</f>
        <v>#NAME?</v>
      </c>
      <c r="B2474">
        <v>393.75</v>
      </c>
      <c r="C2474">
        <v>20.584240000000001</v>
      </c>
      <c r="D2474">
        <v>60</v>
      </c>
      <c r="E2474">
        <v>0</v>
      </c>
      <c r="F2474">
        <v>0</v>
      </c>
      <c r="G2474">
        <v>57</v>
      </c>
      <c r="H2474" s="4">
        <v>1570533859466</v>
      </c>
      <c r="I2474">
        <v>526.6875</v>
      </c>
      <c r="J2474" s="9">
        <f t="shared" si="38"/>
        <v>43746.766891967585</v>
      </c>
      <c r="K2474" s="1"/>
    </row>
    <row r="2475" spans="1:11" x14ac:dyDescent="0.25">
      <c r="A2475" t="e">
        <f>-Lqf6EqEIqQPyni40yv3</f>
        <v>#NAME?</v>
      </c>
      <c r="B2475">
        <v>393.75</v>
      </c>
      <c r="C2475">
        <v>20.531590000000001</v>
      </c>
      <c r="D2475">
        <v>60</v>
      </c>
      <c r="E2475">
        <v>0</v>
      </c>
      <c r="F2475">
        <v>0</v>
      </c>
      <c r="G2475">
        <v>67</v>
      </c>
      <c r="H2475" s="4">
        <v>1570533865618</v>
      </c>
      <c r="I2475">
        <v>526.6875</v>
      </c>
      <c r="J2475" s="9">
        <f t="shared" si="38"/>
        <v>43746.766963171292</v>
      </c>
      <c r="K2475" s="1"/>
    </row>
    <row r="2476" spans="1:11" x14ac:dyDescent="0.25">
      <c r="A2476" t="e">
        <f>-Lqf6GdE4eOtjoY-aAJo</f>
        <v>#NAME?</v>
      </c>
      <c r="B2476">
        <v>393.75</v>
      </c>
      <c r="C2476">
        <v>20.584240000000001</v>
      </c>
      <c r="D2476">
        <v>60</v>
      </c>
      <c r="E2476">
        <v>0</v>
      </c>
      <c r="F2476">
        <v>0</v>
      </c>
      <c r="G2476">
        <v>63</v>
      </c>
      <c r="H2476" s="4">
        <v>1570533872856</v>
      </c>
      <c r="I2476">
        <v>526.6875</v>
      </c>
      <c r="J2476" s="9">
        <f t="shared" si="38"/>
        <v>43746.767046944442</v>
      </c>
      <c r="K2476" s="1"/>
    </row>
    <row r="2477" spans="1:11" x14ac:dyDescent="0.25">
      <c r="A2477" t="e">
        <f>-Lqf6If8MnTWqzZqvmqD</f>
        <v>#NAME?</v>
      </c>
      <c r="B2477">
        <v>393.75</v>
      </c>
      <c r="C2477">
        <v>20.584240000000001</v>
      </c>
      <c r="D2477">
        <v>62</v>
      </c>
      <c r="E2477">
        <v>0</v>
      </c>
      <c r="F2477">
        <v>0</v>
      </c>
      <c r="G2477">
        <v>68</v>
      </c>
      <c r="H2477" s="4">
        <v>1570533881384</v>
      </c>
      <c r="I2477">
        <v>526.6875</v>
      </c>
      <c r="J2477" s="9">
        <f t="shared" si="38"/>
        <v>43746.76714564814</v>
      </c>
      <c r="K2477" s="1"/>
    </row>
    <row r="2478" spans="1:11" x14ac:dyDescent="0.25">
      <c r="A2478" t="e">
        <f>-Lqf6KO7CzeE87qB_MOm</f>
        <v>#NAME?</v>
      </c>
      <c r="B2478">
        <v>393.75</v>
      </c>
      <c r="C2478">
        <v>20.584240000000001</v>
      </c>
      <c r="D2478">
        <v>63</v>
      </c>
      <c r="E2478">
        <v>0</v>
      </c>
      <c r="F2478">
        <v>0</v>
      </c>
      <c r="G2478">
        <v>63</v>
      </c>
      <c r="H2478" s="4">
        <v>1570533888318</v>
      </c>
      <c r="I2478">
        <v>526.6875</v>
      </c>
      <c r="J2478" s="9">
        <f t="shared" si="38"/>
        <v>43746.767225902775</v>
      </c>
      <c r="K2478" s="1"/>
    </row>
    <row r="2479" spans="1:11" x14ac:dyDescent="0.25">
      <c r="A2479" t="s">
        <v>139</v>
      </c>
      <c r="B2479">
        <v>393.75</v>
      </c>
      <c r="C2479">
        <v>20.531590000000001</v>
      </c>
      <c r="D2479">
        <v>63</v>
      </c>
      <c r="E2479">
        <v>0</v>
      </c>
      <c r="F2479">
        <v>0</v>
      </c>
      <c r="G2479">
        <v>67</v>
      </c>
      <c r="H2479" s="4">
        <v>1570533894486</v>
      </c>
      <c r="I2479">
        <v>526.6875</v>
      </c>
      <c r="J2479" s="9">
        <f t="shared" si="38"/>
        <v>43746.767297291663</v>
      </c>
      <c r="K2479" s="1"/>
    </row>
    <row r="2480" spans="1:11" x14ac:dyDescent="0.25">
      <c r="A2480" t="e">
        <f>-Lqf6NRHp-q8l5qhOSnd</f>
        <v>#NAME?</v>
      </c>
      <c r="B2480">
        <v>393.75</v>
      </c>
      <c r="C2480">
        <v>20.584240000000001</v>
      </c>
      <c r="D2480">
        <v>63</v>
      </c>
      <c r="E2480">
        <v>0</v>
      </c>
      <c r="F2480">
        <v>0</v>
      </c>
      <c r="G2480">
        <v>58</v>
      </c>
      <c r="H2480" s="4">
        <v>1570533900682</v>
      </c>
      <c r="I2480">
        <v>526.6875</v>
      </c>
      <c r="J2480" s="9">
        <f t="shared" si="38"/>
        <v>43746.767369004629</v>
      </c>
      <c r="K2480" s="1"/>
    </row>
    <row r="2481" spans="1:11" x14ac:dyDescent="0.25">
      <c r="A2481" t="e">
        <f>-Lqf6PPUAqDOCgM-dYcv</f>
        <v>#NAME?</v>
      </c>
      <c r="B2481">
        <v>393.75</v>
      </c>
      <c r="C2481">
        <v>20.584240000000001</v>
      </c>
      <c r="D2481">
        <v>63</v>
      </c>
      <c r="E2481">
        <v>0</v>
      </c>
      <c r="F2481">
        <v>0</v>
      </c>
      <c r="G2481">
        <v>58</v>
      </c>
      <c r="H2481" s="4">
        <v>1570533907898</v>
      </c>
      <c r="I2481">
        <v>526.6875</v>
      </c>
      <c r="J2481" s="9">
        <f t="shared" si="38"/>
        <v>43746.767452523149</v>
      </c>
      <c r="K2481" s="1"/>
    </row>
    <row r="2482" spans="1:11" x14ac:dyDescent="0.25">
      <c r="A2482" t="e">
        <f>-Lqf6QxNNqBy-E6MsjIW</f>
        <v>#NAME?</v>
      </c>
      <c r="B2482">
        <v>393.75</v>
      </c>
      <c r="C2482">
        <v>20.584240000000001</v>
      </c>
      <c r="D2482">
        <v>63</v>
      </c>
      <c r="E2482">
        <v>0</v>
      </c>
      <c r="F2482">
        <v>0</v>
      </c>
      <c r="G2482">
        <v>57</v>
      </c>
      <c r="H2482" s="4">
        <v>1570533915087</v>
      </c>
      <c r="I2482">
        <v>526.6875</v>
      </c>
      <c r="J2482" s="9">
        <f t="shared" si="38"/>
        <v>43746.767535729166</v>
      </c>
      <c r="K2482" s="1"/>
    </row>
    <row r="2483" spans="1:11" x14ac:dyDescent="0.25">
      <c r="A2483" t="e">
        <f>-Lqf6SfFNV8JcFRe7l2D</f>
        <v>#NAME?</v>
      </c>
      <c r="B2483">
        <v>421.875</v>
      </c>
      <c r="C2483">
        <v>20.531590000000001</v>
      </c>
      <c r="D2483">
        <v>63</v>
      </c>
      <c r="E2483">
        <v>0</v>
      </c>
      <c r="F2483">
        <v>0</v>
      </c>
      <c r="G2483">
        <v>57</v>
      </c>
      <c r="H2483" s="4">
        <v>1570533922328</v>
      </c>
      <c r="I2483">
        <v>535.5</v>
      </c>
      <c r="J2483" s="9">
        <f t="shared" si="38"/>
        <v>43746.767619537037</v>
      </c>
      <c r="K2483" s="1"/>
    </row>
    <row r="2484" spans="1:11" x14ac:dyDescent="0.25">
      <c r="A2484" t="e">
        <f>-Lqf6UT7gjjtgyzpAvNP</f>
        <v>#NAME?</v>
      </c>
      <c r="B2484">
        <v>393.75</v>
      </c>
      <c r="C2484">
        <v>20.584240000000001</v>
      </c>
      <c r="D2484">
        <v>64</v>
      </c>
      <c r="E2484">
        <v>0</v>
      </c>
      <c r="F2484">
        <v>0</v>
      </c>
      <c r="G2484">
        <v>49</v>
      </c>
      <c r="H2484" s="4">
        <v>1570533929538</v>
      </c>
      <c r="I2484">
        <v>526.6875</v>
      </c>
      <c r="J2484" s="9">
        <f t="shared" si="38"/>
        <v>43746.767702986108</v>
      </c>
      <c r="K2484" s="1"/>
    </row>
    <row r="2485" spans="1:11" x14ac:dyDescent="0.25">
      <c r="A2485" t="e">
        <f>-Lqf6WBF824rBN2JLq1x</f>
        <v>#NAME?</v>
      </c>
      <c r="B2485">
        <v>393.75</v>
      </c>
      <c r="C2485">
        <v>20.584240000000001</v>
      </c>
      <c r="D2485">
        <v>63</v>
      </c>
      <c r="E2485">
        <v>0</v>
      </c>
      <c r="F2485">
        <v>0</v>
      </c>
      <c r="G2485">
        <v>66</v>
      </c>
      <c r="H2485" s="4">
        <v>1570533936726</v>
      </c>
      <c r="I2485">
        <v>526.6875</v>
      </c>
      <c r="J2485" s="9">
        <f t="shared" si="38"/>
        <v>43746.76778618055</v>
      </c>
      <c r="K2485" s="1"/>
    </row>
    <row r="2486" spans="1:11" x14ac:dyDescent="0.25">
      <c r="A2486" t="e">
        <f>-Lqf6XkIkA4QNQ6XiQds</f>
        <v>#NAME?</v>
      </c>
      <c r="B2486">
        <v>393.75</v>
      </c>
      <c r="C2486">
        <v>20.531590000000001</v>
      </c>
      <c r="D2486">
        <v>63</v>
      </c>
      <c r="E2486">
        <v>0</v>
      </c>
      <c r="F2486">
        <v>0</v>
      </c>
      <c r="G2486">
        <v>59</v>
      </c>
      <c r="H2486" s="4">
        <v>1570533942917</v>
      </c>
      <c r="I2486">
        <v>526.6875</v>
      </c>
      <c r="J2486" s="9">
        <f t="shared" si="38"/>
        <v>43746.76785783565</v>
      </c>
      <c r="K2486" s="1"/>
    </row>
    <row r="2487" spans="1:11" x14ac:dyDescent="0.25">
      <c r="A2487" t="e">
        <f>-Lqf6ZT752bJH4AJlnux</f>
        <v>#NAME?</v>
      </c>
      <c r="B2487">
        <v>393.75</v>
      </c>
      <c r="C2487">
        <v>20.584240000000001</v>
      </c>
      <c r="D2487">
        <v>63</v>
      </c>
      <c r="E2487">
        <v>0</v>
      </c>
      <c r="F2487">
        <v>0</v>
      </c>
      <c r="G2487">
        <v>69</v>
      </c>
      <c r="H2487" s="4">
        <v>1570533950137</v>
      </c>
      <c r="I2487">
        <v>526.6875</v>
      </c>
      <c r="J2487" s="9">
        <f t="shared" si="38"/>
        <v>43746.76794140046</v>
      </c>
      <c r="K2487" s="1"/>
    </row>
    <row r="2488" spans="1:11" x14ac:dyDescent="0.25">
      <c r="A2488" t="e">
        <f>-Lqf6_x5kaD84TLX4JUC</f>
        <v>#NAME?</v>
      </c>
      <c r="B2488">
        <v>393.75</v>
      </c>
      <c r="C2488">
        <v>20.584240000000001</v>
      </c>
      <c r="D2488">
        <v>60</v>
      </c>
      <c r="E2488">
        <v>0</v>
      </c>
      <c r="F2488">
        <v>0</v>
      </c>
      <c r="G2488">
        <v>59</v>
      </c>
      <c r="H2488" s="4">
        <v>1570533956327</v>
      </c>
      <c r="I2488">
        <v>526.6875</v>
      </c>
      <c r="J2488" s="9">
        <f t="shared" si="38"/>
        <v>43746.768013043977</v>
      </c>
      <c r="K2488" s="1"/>
    </row>
    <row r="2489" spans="1:11" x14ac:dyDescent="0.25">
      <c r="A2489" t="e">
        <f>-Lqf6bW6yBoY7hP1emzB</f>
        <v>#NAME?</v>
      </c>
      <c r="B2489">
        <v>393.75</v>
      </c>
      <c r="C2489">
        <v>20.584240000000001</v>
      </c>
      <c r="D2489">
        <v>60</v>
      </c>
      <c r="E2489">
        <v>0</v>
      </c>
      <c r="F2489">
        <v>0</v>
      </c>
      <c r="G2489">
        <v>56</v>
      </c>
      <c r="H2489" s="4">
        <v>1570533962508</v>
      </c>
      <c r="I2489">
        <v>526.6875</v>
      </c>
      <c r="J2489" s="9">
        <f t="shared" si="38"/>
        <v>43746.768084583331</v>
      </c>
      <c r="K2489" s="1"/>
    </row>
    <row r="2490" spans="1:11" x14ac:dyDescent="0.25">
      <c r="A2490" t="e">
        <f>-Lqf6d-F0ZhF-Mbb4ofS</f>
        <v>#NAME?</v>
      </c>
      <c r="B2490">
        <v>393.75</v>
      </c>
      <c r="C2490">
        <v>20.531590000000001</v>
      </c>
      <c r="D2490">
        <v>60</v>
      </c>
      <c r="E2490">
        <v>0</v>
      </c>
      <c r="F2490">
        <v>0</v>
      </c>
      <c r="G2490">
        <v>65</v>
      </c>
      <c r="H2490" s="4">
        <v>1570533968689</v>
      </c>
      <c r="I2490">
        <v>526.6875</v>
      </c>
      <c r="J2490" s="9">
        <f t="shared" si="38"/>
        <v>43746.768156122685</v>
      </c>
      <c r="K2490" s="1"/>
    </row>
    <row r="2491" spans="1:11" x14ac:dyDescent="0.25">
      <c r="A2491" t="e">
        <f>-Lqf6enGN4tiZnehE2tp</f>
        <v>#NAME?</v>
      </c>
      <c r="B2491">
        <v>393.75</v>
      </c>
      <c r="C2491">
        <v>20.584240000000001</v>
      </c>
      <c r="D2491">
        <v>62</v>
      </c>
      <c r="E2491">
        <v>0</v>
      </c>
      <c r="F2491">
        <v>0</v>
      </c>
      <c r="G2491">
        <v>63</v>
      </c>
      <c r="H2491" s="4">
        <v>1570533975896</v>
      </c>
      <c r="I2491">
        <v>526.6875</v>
      </c>
      <c r="J2491" s="9">
        <f t="shared" si="38"/>
        <v>43746.768239537036</v>
      </c>
      <c r="K2491" s="1"/>
    </row>
    <row r="2492" spans="1:11" x14ac:dyDescent="0.25">
      <c r="A2492" t="e">
        <f>-Lqf6gWGy4rLFW51hTyv</f>
        <v>#NAME?</v>
      </c>
      <c r="B2492">
        <v>393.75</v>
      </c>
      <c r="C2492">
        <v>20.584240000000001</v>
      </c>
      <c r="D2492">
        <v>63</v>
      </c>
      <c r="E2492">
        <v>0</v>
      </c>
      <c r="F2492">
        <v>0</v>
      </c>
      <c r="G2492">
        <v>51</v>
      </c>
      <c r="H2492" s="4">
        <v>1570533983128</v>
      </c>
      <c r="I2492">
        <v>526.6875</v>
      </c>
      <c r="J2492" s="9">
        <f t="shared" si="38"/>
        <v>43746.768323240736</v>
      </c>
      <c r="K2492" s="1"/>
    </row>
    <row r="2493" spans="1:11" x14ac:dyDescent="0.25">
      <c r="A2493" t="e">
        <f>-Lqf6iY6e4x3cUyvDbQ9</f>
        <v>#NAME?</v>
      </c>
      <c r="B2493">
        <v>393.75</v>
      </c>
      <c r="C2493">
        <v>20.531590000000001</v>
      </c>
      <c r="D2493">
        <v>63</v>
      </c>
      <c r="E2493">
        <v>0</v>
      </c>
      <c r="F2493">
        <v>0</v>
      </c>
      <c r="G2493">
        <v>63</v>
      </c>
      <c r="H2493" s="4">
        <v>1570533990328</v>
      </c>
      <c r="I2493">
        <v>526.6875</v>
      </c>
      <c r="J2493" s="9">
        <f t="shared" si="38"/>
        <v>43746.768406574069</v>
      </c>
      <c r="K2493" s="1"/>
    </row>
    <row r="2494" spans="1:11" x14ac:dyDescent="0.25">
      <c r="A2494" t="e">
        <f>-Lqf6kGQTBF3_JfUR9Hb</f>
        <v>#NAME?</v>
      </c>
      <c r="B2494">
        <v>393.75</v>
      </c>
      <c r="C2494">
        <v>20.584240000000001</v>
      </c>
      <c r="D2494">
        <v>63</v>
      </c>
      <c r="E2494">
        <v>0</v>
      </c>
      <c r="F2494">
        <v>0</v>
      </c>
      <c r="G2494">
        <v>60</v>
      </c>
      <c r="H2494" s="4">
        <v>1570533997527</v>
      </c>
      <c r="I2494">
        <v>526.6875</v>
      </c>
      <c r="J2494" s="9">
        <f t="shared" si="38"/>
        <v>43746.768489895832</v>
      </c>
      <c r="K2494" s="1"/>
    </row>
    <row r="2495" spans="1:11" x14ac:dyDescent="0.25">
      <c r="A2495" t="e">
        <f>-Lqf6lp6vIujPfmWYItE</f>
        <v>#NAME?</v>
      </c>
      <c r="B2495">
        <v>393.75</v>
      </c>
      <c r="C2495">
        <v>20.584240000000001</v>
      </c>
      <c r="D2495">
        <v>63</v>
      </c>
      <c r="E2495">
        <v>0</v>
      </c>
      <c r="F2495">
        <v>0</v>
      </c>
      <c r="G2495">
        <v>57</v>
      </c>
      <c r="H2495" s="4">
        <v>1570534004758</v>
      </c>
      <c r="I2495">
        <v>526.6875</v>
      </c>
      <c r="J2495" s="9">
        <f t="shared" si="38"/>
        <v>43746.768573587957</v>
      </c>
      <c r="K2495" s="1"/>
    </row>
    <row r="2496" spans="1:11" x14ac:dyDescent="0.25">
      <c r="A2496" t="e">
        <f>-Lqf6nJFZLdQv69yqxA5</f>
        <v>#NAME?</v>
      </c>
      <c r="B2496">
        <v>393.75</v>
      </c>
      <c r="C2496">
        <v>20.584240000000001</v>
      </c>
      <c r="D2496">
        <v>63</v>
      </c>
      <c r="E2496">
        <v>0</v>
      </c>
      <c r="F2496">
        <v>0</v>
      </c>
      <c r="G2496">
        <v>55</v>
      </c>
      <c r="H2496" s="4">
        <v>1570534010917</v>
      </c>
      <c r="I2496">
        <v>526.6875</v>
      </c>
      <c r="J2496" s="9">
        <f t="shared" si="38"/>
        <v>43746.768644872682</v>
      </c>
      <c r="K2496" s="1"/>
    </row>
    <row r="2497" spans="1:11" x14ac:dyDescent="0.25">
      <c r="A2497" t="e">
        <f>-Lqf6onG28lO9pZ3FqEp</f>
        <v>#NAME?</v>
      </c>
      <c r="B2497">
        <v>418.75</v>
      </c>
      <c r="C2497">
        <v>20.584240000000001</v>
      </c>
      <c r="D2497">
        <v>64</v>
      </c>
      <c r="E2497">
        <v>0</v>
      </c>
      <c r="F2497">
        <v>0</v>
      </c>
      <c r="G2497">
        <v>63</v>
      </c>
      <c r="H2497" s="4">
        <v>1570534017117</v>
      </c>
      <c r="I2497">
        <v>534.9375</v>
      </c>
      <c r="J2497" s="9">
        <f t="shared" si="38"/>
        <v>43746.768716631945</v>
      </c>
      <c r="K2497" s="1"/>
    </row>
    <row r="2498" spans="1:11" x14ac:dyDescent="0.25">
      <c r="A2498" t="e">
        <f>-Lqf6qM7qsVNrqFFTZ8o</f>
        <v>#NAME?</v>
      </c>
      <c r="B2498">
        <v>393.75</v>
      </c>
      <c r="C2498">
        <v>20.584240000000001</v>
      </c>
      <c r="D2498">
        <v>63</v>
      </c>
      <c r="E2498">
        <v>0</v>
      </c>
      <c r="F2498">
        <v>0</v>
      </c>
      <c r="G2498">
        <v>60</v>
      </c>
      <c r="H2498" s="4">
        <v>1570534023308</v>
      </c>
      <c r="I2498">
        <v>526.6875</v>
      </c>
      <c r="J2498" s="9">
        <f t="shared" si="38"/>
        <v>43746.76878828703</v>
      </c>
      <c r="K2498" s="1"/>
    </row>
    <row r="2499" spans="1:11" x14ac:dyDescent="0.25">
      <c r="A2499" t="e">
        <f>-Lqf6rqR-QUV0TiuD_AQ</f>
        <v>#NAME?</v>
      </c>
      <c r="B2499">
        <v>393.75</v>
      </c>
      <c r="C2499">
        <v>20.584240000000001</v>
      </c>
      <c r="D2499">
        <v>63</v>
      </c>
      <c r="E2499">
        <v>0</v>
      </c>
      <c r="F2499">
        <v>0</v>
      </c>
      <c r="G2499">
        <v>55</v>
      </c>
      <c r="H2499" s="4">
        <v>1570534029491</v>
      </c>
      <c r="I2499">
        <v>526.6875</v>
      </c>
      <c r="J2499" s="9">
        <f t="shared" ref="J2499:J2562" si="39">(H2499/86400000)+25569+(7/24)</f>
        <v>43746.768859849537</v>
      </c>
      <c r="K2499" s="1"/>
    </row>
    <row r="2500" spans="1:11" x14ac:dyDescent="0.25">
      <c r="A2500" t="e">
        <f>-Lqf6tKFlJnHwK3f4O4K</f>
        <v>#NAME?</v>
      </c>
      <c r="B2500">
        <v>393.75</v>
      </c>
      <c r="C2500">
        <v>20.584240000000001</v>
      </c>
      <c r="D2500">
        <v>63</v>
      </c>
      <c r="E2500">
        <v>0</v>
      </c>
      <c r="F2500">
        <v>0</v>
      </c>
      <c r="G2500">
        <v>64</v>
      </c>
      <c r="H2500" s="4">
        <v>1570534035668</v>
      </c>
      <c r="I2500">
        <v>526.6875</v>
      </c>
      <c r="J2500" s="9">
        <f t="shared" si="39"/>
        <v>43746.768931342587</v>
      </c>
      <c r="K2500" s="1"/>
    </row>
    <row r="2501" spans="1:11" x14ac:dyDescent="0.25">
      <c r="A2501" t="e">
        <f>-Lqf6utFxK-HjPYaZER6</f>
        <v>#NAME?</v>
      </c>
      <c r="B2501">
        <v>393.75</v>
      </c>
      <c r="C2501">
        <v>20.531590000000001</v>
      </c>
      <c r="D2501">
        <v>63</v>
      </c>
      <c r="E2501">
        <v>0</v>
      </c>
      <c r="F2501">
        <v>0</v>
      </c>
      <c r="G2501">
        <v>55</v>
      </c>
      <c r="H2501" s="4">
        <v>1570534041856</v>
      </c>
      <c r="I2501">
        <v>526.6875</v>
      </c>
      <c r="J2501" s="9">
        <f t="shared" si="39"/>
        <v>43746.769002962959</v>
      </c>
      <c r="K2501" s="1"/>
    </row>
    <row r="2502" spans="1:11" x14ac:dyDescent="0.25">
      <c r="A2502" t="e">
        <f>-Lqf6wbExjlAzqPwdf-G</f>
        <v>#NAME?</v>
      </c>
      <c r="B2502">
        <v>393.75</v>
      </c>
      <c r="C2502">
        <v>20.584240000000001</v>
      </c>
      <c r="D2502">
        <v>64</v>
      </c>
      <c r="E2502">
        <v>0</v>
      </c>
      <c r="F2502">
        <v>0</v>
      </c>
      <c r="G2502">
        <v>55</v>
      </c>
      <c r="H2502" s="4">
        <v>1570534049048</v>
      </c>
      <c r="I2502">
        <v>526.6875</v>
      </c>
      <c r="J2502" s="9">
        <f t="shared" si="39"/>
        <v>43746.769086203705</v>
      </c>
      <c r="K2502" s="1"/>
    </row>
    <row r="2503" spans="1:11" x14ac:dyDescent="0.25">
      <c r="A2503" t="e">
        <f>-Lqf6yA5xrbwfmFuic_Y</f>
        <v>#NAME?</v>
      </c>
      <c r="B2503">
        <v>393.75</v>
      </c>
      <c r="C2503">
        <v>20.584240000000001</v>
      </c>
      <c r="D2503">
        <v>63</v>
      </c>
      <c r="E2503">
        <v>0</v>
      </c>
      <c r="F2503">
        <v>0</v>
      </c>
      <c r="G2503">
        <v>58</v>
      </c>
      <c r="H2503" s="4">
        <v>1570534055258</v>
      </c>
      <c r="I2503">
        <v>526.6875</v>
      </c>
      <c r="J2503" s="9">
        <f t="shared" si="39"/>
        <v>43746.7691580787</v>
      </c>
      <c r="K2503" s="1"/>
    </row>
    <row r="2504" spans="1:11" x14ac:dyDescent="0.25">
      <c r="A2504" t="e">
        <f>-Lqf6ztFZwZG9E6pEIdD</f>
        <v>#NAME?</v>
      </c>
      <c r="B2504">
        <v>393.75</v>
      </c>
      <c r="C2504">
        <v>20.531590000000001</v>
      </c>
      <c r="D2504">
        <v>63</v>
      </c>
      <c r="E2504">
        <v>0</v>
      </c>
      <c r="F2504">
        <v>0</v>
      </c>
      <c r="G2504">
        <v>63</v>
      </c>
      <c r="H2504" s="4">
        <v>1570534062458</v>
      </c>
      <c r="I2504">
        <v>526.6875</v>
      </c>
      <c r="J2504" s="9">
        <f t="shared" si="39"/>
        <v>43746.769241412032</v>
      </c>
      <c r="K2504" s="1"/>
    </row>
    <row r="2505" spans="1:11" x14ac:dyDescent="0.25">
      <c r="A2505" t="e">
        <f>-Lqf70gEnrJ9VHG9OwqB</f>
        <v>#NAME?</v>
      </c>
      <c r="B2505">
        <v>393.75</v>
      </c>
      <c r="C2505">
        <v>20.584240000000001</v>
      </c>
      <c r="D2505">
        <v>64</v>
      </c>
      <c r="E2505">
        <v>0</v>
      </c>
      <c r="F2505">
        <v>0</v>
      </c>
      <c r="G2505">
        <v>64</v>
      </c>
      <c r="H2505" s="4">
        <v>1570534069677</v>
      </c>
      <c r="I2505">
        <v>526.6875</v>
      </c>
      <c r="J2505" s="9">
        <f t="shared" si="39"/>
        <v>43746.769324965273</v>
      </c>
      <c r="K2505" s="1"/>
    </row>
    <row r="2506" spans="1:11" x14ac:dyDescent="0.25">
      <c r="A2506" t="s">
        <v>140</v>
      </c>
      <c r="B2506">
        <v>393.75</v>
      </c>
      <c r="C2506">
        <v>20.531590000000001</v>
      </c>
      <c r="D2506">
        <v>62</v>
      </c>
      <c r="E2506">
        <v>0</v>
      </c>
      <c r="F2506">
        <v>0</v>
      </c>
      <c r="G2506">
        <v>54</v>
      </c>
      <c r="H2506" s="4">
        <v>1570534076887</v>
      </c>
      <c r="I2506">
        <v>526.6875</v>
      </c>
      <c r="J2506" s="9">
        <f t="shared" si="39"/>
        <v>43746.769408414351</v>
      </c>
      <c r="K2506" s="1"/>
    </row>
    <row r="2507" spans="1:11" x14ac:dyDescent="0.25">
      <c r="A2507" t="e">
        <f>-Lqf74CFo5Lm3mm12q37</f>
        <v>#NAME?</v>
      </c>
      <c r="B2507">
        <v>393.75</v>
      </c>
      <c r="C2507">
        <v>20.531590000000001</v>
      </c>
      <c r="D2507">
        <v>62</v>
      </c>
      <c r="E2507">
        <v>0</v>
      </c>
      <c r="F2507">
        <v>0</v>
      </c>
      <c r="G2507">
        <v>51</v>
      </c>
      <c r="H2507" s="4">
        <v>1570534084097</v>
      </c>
      <c r="I2507">
        <v>526.5</v>
      </c>
      <c r="J2507" s="9">
        <f t="shared" si="39"/>
        <v>43746.769491863422</v>
      </c>
      <c r="K2507" s="1"/>
    </row>
    <row r="2508" spans="1:11" x14ac:dyDescent="0.25">
      <c r="A2508" t="e">
        <f>-Lqf75vEAWoLh085EZ-j</f>
        <v>#NAME?</v>
      </c>
      <c r="B2508">
        <v>393.75</v>
      </c>
      <c r="C2508">
        <v>20.531590000000001</v>
      </c>
      <c r="D2508">
        <v>62</v>
      </c>
      <c r="E2508">
        <v>0</v>
      </c>
      <c r="F2508">
        <v>0</v>
      </c>
      <c r="G2508">
        <v>64</v>
      </c>
      <c r="H2508" s="4">
        <v>1570534091288</v>
      </c>
      <c r="I2508">
        <v>526.6875</v>
      </c>
      <c r="J2508" s="9">
        <f t="shared" si="39"/>
        <v>43746.769575092585</v>
      </c>
      <c r="K2508" s="1"/>
    </row>
    <row r="2509" spans="1:11" x14ac:dyDescent="0.25">
      <c r="A2509" t="e">
        <f>-Lqf77e2KEO8CpsBB-oa</f>
        <v>#NAME?</v>
      </c>
      <c r="B2509">
        <v>412.5</v>
      </c>
      <c r="C2509">
        <v>20.584240000000001</v>
      </c>
      <c r="D2509">
        <v>64</v>
      </c>
      <c r="E2509">
        <v>0</v>
      </c>
      <c r="F2509">
        <v>0</v>
      </c>
      <c r="G2509">
        <v>56</v>
      </c>
      <c r="H2509" s="4">
        <v>1570534098528</v>
      </c>
      <c r="I2509">
        <v>532.5</v>
      </c>
      <c r="J2509" s="9">
        <f t="shared" si="39"/>
        <v>43746.769658888887</v>
      </c>
      <c r="K2509" s="1"/>
    </row>
    <row r="2510" spans="1:11" x14ac:dyDescent="0.25">
      <c r="A2510" t="e">
        <f>-Lqf79CHZszz6XH5x2Q2</f>
        <v>#NAME?</v>
      </c>
      <c r="B2510">
        <v>393.75</v>
      </c>
      <c r="C2510">
        <v>20.584240000000001</v>
      </c>
      <c r="D2510">
        <v>64</v>
      </c>
      <c r="E2510">
        <v>0</v>
      </c>
      <c r="F2510">
        <v>0</v>
      </c>
      <c r="G2510">
        <v>58</v>
      </c>
      <c r="H2510" s="4">
        <v>1570534104726</v>
      </c>
      <c r="I2510">
        <v>526.6875</v>
      </c>
      <c r="J2510" s="9">
        <f t="shared" si="39"/>
        <v>43746.769730624997</v>
      </c>
      <c r="K2510" s="1"/>
    </row>
    <row r="2511" spans="1:11" x14ac:dyDescent="0.25">
      <c r="A2511" t="e">
        <f>-Lqf7B-FaWqWO1sG5xUV</f>
        <v>#NAME?</v>
      </c>
      <c r="B2511">
        <v>393.75</v>
      </c>
      <c r="C2511">
        <v>20.584240000000001</v>
      </c>
      <c r="D2511">
        <v>64</v>
      </c>
      <c r="E2511">
        <v>0</v>
      </c>
      <c r="F2511">
        <v>0</v>
      </c>
      <c r="G2511">
        <v>65</v>
      </c>
      <c r="H2511" s="4">
        <v>1570534111917</v>
      </c>
      <c r="I2511">
        <v>526.6875</v>
      </c>
      <c r="J2511" s="9">
        <f t="shared" si="39"/>
        <v>43746.769813854167</v>
      </c>
      <c r="K2511" s="1"/>
    </row>
    <row r="2512" spans="1:11" x14ac:dyDescent="0.25">
      <c r="A2512" t="e">
        <f>-Lqf7Ci62tjVYciZlJux</f>
        <v>#NAME?</v>
      </c>
      <c r="B2512">
        <v>393.75</v>
      </c>
      <c r="C2512">
        <v>20.584240000000001</v>
      </c>
      <c r="D2512">
        <v>63</v>
      </c>
      <c r="E2512">
        <v>0</v>
      </c>
      <c r="F2512">
        <v>0</v>
      </c>
      <c r="G2512">
        <v>64</v>
      </c>
      <c r="H2512" s="4">
        <v>1570534119127</v>
      </c>
      <c r="I2512">
        <v>526.6875</v>
      </c>
      <c r="J2512" s="9">
        <f t="shared" si="39"/>
        <v>43746.769897303238</v>
      </c>
      <c r="K2512" s="1"/>
    </row>
    <row r="2513" spans="1:11" x14ac:dyDescent="0.25">
      <c r="A2513" t="e">
        <f>-Lqf7ECF-ZNzZZyJaTwH</f>
        <v>#NAME?</v>
      </c>
      <c r="B2513">
        <v>393.75</v>
      </c>
      <c r="C2513">
        <v>20.584240000000001</v>
      </c>
      <c r="D2513">
        <v>64</v>
      </c>
      <c r="E2513">
        <v>0</v>
      </c>
      <c r="F2513">
        <v>0</v>
      </c>
      <c r="G2513">
        <v>56</v>
      </c>
      <c r="H2513" s="4">
        <v>1570534125317</v>
      </c>
      <c r="I2513">
        <v>526.6875</v>
      </c>
      <c r="J2513" s="9">
        <f t="shared" si="39"/>
        <v>43746.769968946755</v>
      </c>
      <c r="K2513" s="1"/>
    </row>
    <row r="2514" spans="1:11" x14ac:dyDescent="0.25">
      <c r="A2514" t="e">
        <f>-Lqf7Fl7TPoycl4uDJGv</f>
        <v>#NAME?</v>
      </c>
      <c r="B2514">
        <v>393.75</v>
      </c>
      <c r="C2514">
        <v>20.584240000000001</v>
      </c>
      <c r="D2514">
        <v>64</v>
      </c>
      <c r="E2514">
        <v>0</v>
      </c>
      <c r="F2514">
        <v>0</v>
      </c>
      <c r="G2514">
        <v>58</v>
      </c>
      <c r="H2514" s="4">
        <v>1570534131498</v>
      </c>
      <c r="I2514">
        <v>526.6875</v>
      </c>
      <c r="J2514" s="9">
        <f t="shared" si="39"/>
        <v>43746.77004048611</v>
      </c>
      <c r="K2514" s="1"/>
    </row>
    <row r="2515" spans="1:11" x14ac:dyDescent="0.25">
      <c r="A2515" t="e">
        <f>-Lqf7HF7pG81H070hFH7</f>
        <v>#NAME?</v>
      </c>
      <c r="B2515">
        <v>421.875</v>
      </c>
      <c r="C2515">
        <v>20.531590000000001</v>
      </c>
      <c r="D2515">
        <v>63</v>
      </c>
      <c r="E2515">
        <v>0</v>
      </c>
      <c r="F2515">
        <v>0</v>
      </c>
      <c r="G2515">
        <v>66</v>
      </c>
      <c r="H2515" s="4">
        <v>1570534137687</v>
      </c>
      <c r="I2515">
        <v>535.5</v>
      </c>
      <c r="J2515" s="9">
        <f t="shared" si="39"/>
        <v>43746.770112118051</v>
      </c>
      <c r="K2515" s="1"/>
    </row>
    <row r="2516" spans="1:11" x14ac:dyDescent="0.25">
      <c r="A2516" t="e">
        <f>-Lqf7IoGUtoK7k1tdsbo</f>
        <v>#NAME?</v>
      </c>
      <c r="B2516">
        <v>393.75</v>
      </c>
      <c r="C2516">
        <v>20.584240000000001</v>
      </c>
      <c r="D2516">
        <v>63</v>
      </c>
      <c r="E2516">
        <v>0</v>
      </c>
      <c r="F2516">
        <v>0</v>
      </c>
      <c r="G2516">
        <v>54</v>
      </c>
      <c r="H2516" s="4">
        <v>1570534143868</v>
      </c>
      <c r="I2516">
        <v>526.6875</v>
      </c>
      <c r="J2516" s="9">
        <f t="shared" si="39"/>
        <v>43746.770183657405</v>
      </c>
      <c r="K2516" s="1"/>
    </row>
    <row r="2517" spans="1:11" x14ac:dyDescent="0.25">
      <c r="A2517" t="e">
        <f>-Lqf7Kg6R5nsG79f2vFf</f>
        <v>#NAME?</v>
      </c>
      <c r="B2517">
        <v>393.75</v>
      </c>
      <c r="C2517">
        <v>20.531590000000001</v>
      </c>
      <c r="D2517">
        <v>62</v>
      </c>
      <c r="E2517">
        <v>0</v>
      </c>
      <c r="F2517">
        <v>0</v>
      </c>
      <c r="G2517">
        <v>67</v>
      </c>
      <c r="H2517" s="4">
        <v>1570534151529</v>
      </c>
      <c r="I2517">
        <v>526.6875</v>
      </c>
      <c r="J2517" s="9">
        <f t="shared" si="39"/>
        <v>43746.770272326386</v>
      </c>
      <c r="K2517" s="1"/>
    </row>
    <row r="2518" spans="1:11" x14ac:dyDescent="0.25">
      <c r="A2518" t="e">
        <f>-Lqf7MK7WxxDuiAWgZQn</f>
        <v>#NAME?</v>
      </c>
      <c r="B2518">
        <v>415.625</v>
      </c>
      <c r="C2518">
        <v>20.584240000000001</v>
      </c>
      <c r="D2518">
        <v>62</v>
      </c>
      <c r="E2518">
        <v>0</v>
      </c>
      <c r="F2518">
        <v>0</v>
      </c>
      <c r="G2518">
        <v>56</v>
      </c>
      <c r="H2518" s="4">
        <v>1570534158297</v>
      </c>
      <c r="I2518">
        <v>533.625</v>
      </c>
      <c r="J2518" s="9">
        <f t="shared" si="39"/>
        <v>43746.770350659724</v>
      </c>
      <c r="K2518" s="1"/>
    </row>
    <row r="2519" spans="1:11" x14ac:dyDescent="0.25">
      <c r="A2519" t="e">
        <f>-Lqf7O26f-S7U4uhVIEa</f>
        <v>#NAME?</v>
      </c>
      <c r="B2519">
        <v>393.75</v>
      </c>
      <c r="C2519">
        <v>20.584240000000001</v>
      </c>
      <c r="D2519">
        <v>61</v>
      </c>
      <c r="E2519">
        <v>0</v>
      </c>
      <c r="F2519">
        <v>0</v>
      </c>
      <c r="G2519">
        <v>57</v>
      </c>
      <c r="H2519" s="4">
        <v>1570534165517</v>
      </c>
      <c r="I2519">
        <v>526.6875</v>
      </c>
      <c r="J2519" s="9">
        <f t="shared" si="39"/>
        <v>43746.770434224534</v>
      </c>
      <c r="K2519" s="1"/>
    </row>
    <row r="2520" spans="1:11" x14ac:dyDescent="0.25">
      <c r="A2520" t="e">
        <f>-Lqf7PX5nsTDspdghD0c</f>
        <v>#NAME?</v>
      </c>
      <c r="B2520">
        <v>393.75</v>
      </c>
      <c r="C2520">
        <v>20.584240000000001</v>
      </c>
      <c r="D2520">
        <v>62</v>
      </c>
      <c r="E2520">
        <v>0</v>
      </c>
      <c r="F2520">
        <v>0</v>
      </c>
      <c r="G2520">
        <v>67</v>
      </c>
      <c r="H2520" s="4">
        <v>1570534171687</v>
      </c>
      <c r="I2520">
        <v>526.6875</v>
      </c>
      <c r="J2520" s="9">
        <f t="shared" si="39"/>
        <v>43746.770505636574</v>
      </c>
      <c r="K2520" s="1"/>
    </row>
    <row r="2521" spans="1:11" x14ac:dyDescent="0.25">
      <c r="A2521" t="e">
        <f>-Lqf7RK7cxAl6cWqneWz</f>
        <v>#NAME?</v>
      </c>
      <c r="B2521">
        <v>393.75</v>
      </c>
      <c r="C2521">
        <v>20.531590000000001</v>
      </c>
      <c r="D2521">
        <v>62</v>
      </c>
      <c r="E2521">
        <v>0</v>
      </c>
      <c r="F2521">
        <v>0</v>
      </c>
      <c r="G2521">
        <v>60</v>
      </c>
      <c r="H2521" s="4">
        <v>1570534177868</v>
      </c>
      <c r="I2521">
        <v>526.5</v>
      </c>
      <c r="J2521" s="9">
        <f t="shared" si="39"/>
        <v>43746.770577175928</v>
      </c>
      <c r="K2521" s="1"/>
    </row>
    <row r="2522" spans="1:11" x14ac:dyDescent="0.25">
      <c r="A2522" t="e">
        <f>-Lqf7So7g7yHY21imxAx</f>
        <v>#NAME?</v>
      </c>
      <c r="B2522">
        <v>393.75</v>
      </c>
      <c r="C2522">
        <v>20.584240000000001</v>
      </c>
      <c r="D2522">
        <v>63</v>
      </c>
      <c r="E2522">
        <v>0</v>
      </c>
      <c r="F2522">
        <v>0</v>
      </c>
      <c r="G2522">
        <v>65</v>
      </c>
      <c r="H2522" s="4">
        <v>1570534185057</v>
      </c>
      <c r="I2522">
        <v>526.6875</v>
      </c>
      <c r="J2522" s="9">
        <f t="shared" si="39"/>
        <v>43746.770660381946</v>
      </c>
      <c r="K2522" s="1"/>
    </row>
    <row r="2523" spans="1:11" x14ac:dyDescent="0.25">
      <c r="A2523" t="e">
        <f>-Lqf7UN6PP3hXCNjB1JT</f>
        <v>#NAME?</v>
      </c>
      <c r="B2523">
        <v>393.75</v>
      </c>
      <c r="C2523">
        <v>20.584240000000001</v>
      </c>
      <c r="D2523">
        <v>63</v>
      </c>
      <c r="E2523">
        <v>0</v>
      </c>
      <c r="F2523">
        <v>0</v>
      </c>
      <c r="G2523">
        <v>56</v>
      </c>
      <c r="H2523" s="4">
        <v>1570534191267</v>
      </c>
      <c r="I2523">
        <v>526.6875</v>
      </c>
      <c r="J2523" s="9">
        <f t="shared" si="39"/>
        <v>43746.77073225694</v>
      </c>
      <c r="K2523" s="1"/>
    </row>
    <row r="2524" spans="1:11" x14ac:dyDescent="0.25">
      <c r="A2524" t="e">
        <f>-Lqf7W57KadefC9r1zcQ</f>
        <v>#NAME?</v>
      </c>
      <c r="B2524">
        <v>393.75</v>
      </c>
      <c r="C2524">
        <v>20.531590000000001</v>
      </c>
      <c r="D2524">
        <v>63</v>
      </c>
      <c r="E2524">
        <v>0</v>
      </c>
      <c r="F2524">
        <v>0</v>
      </c>
      <c r="G2524">
        <v>61</v>
      </c>
      <c r="H2524" s="4">
        <v>1570534198487</v>
      </c>
      <c r="I2524">
        <v>526.6875</v>
      </c>
      <c r="J2524" s="9">
        <f t="shared" si="39"/>
        <v>43746.770815821757</v>
      </c>
      <c r="K2524" s="1"/>
    </row>
    <row r="2525" spans="1:11" x14ac:dyDescent="0.25">
      <c r="A2525" t="e">
        <f>-Lqf7Xt6oc7srdZSQ1_l</f>
        <v>#NAME?</v>
      </c>
      <c r="B2525">
        <v>393.75</v>
      </c>
      <c r="C2525">
        <v>20.584240000000001</v>
      </c>
      <c r="D2525">
        <v>63</v>
      </c>
      <c r="E2525">
        <v>0</v>
      </c>
      <c r="F2525">
        <v>0</v>
      </c>
      <c r="G2525">
        <v>68</v>
      </c>
      <c r="H2525" s="4">
        <v>1570534204657</v>
      </c>
      <c r="I2525">
        <v>526.6875</v>
      </c>
      <c r="J2525" s="9">
        <f t="shared" si="39"/>
        <v>43746.77088723379</v>
      </c>
      <c r="K2525" s="1"/>
    </row>
    <row r="2526" spans="1:11" x14ac:dyDescent="0.25">
      <c r="A2526" t="e">
        <f>-Lqf7ZuvvkhcK3lhFktN</f>
        <v>#NAME?</v>
      </c>
      <c r="B2526">
        <v>393.75</v>
      </c>
      <c r="C2526">
        <v>20.584240000000001</v>
      </c>
      <c r="D2526">
        <v>62</v>
      </c>
      <c r="E2526">
        <v>0</v>
      </c>
      <c r="F2526">
        <v>0</v>
      </c>
      <c r="G2526">
        <v>51</v>
      </c>
      <c r="H2526" s="4">
        <v>1570534212887</v>
      </c>
      <c r="I2526">
        <v>526.6875</v>
      </c>
      <c r="J2526" s="9">
        <f t="shared" si="39"/>
        <v>43746.770982488422</v>
      </c>
      <c r="K2526" s="1"/>
    </row>
    <row r="2527" spans="1:11" x14ac:dyDescent="0.25">
      <c r="A2527" t="s">
        <v>141</v>
      </c>
      <c r="B2527">
        <v>393.75</v>
      </c>
      <c r="C2527">
        <v>20.584240000000001</v>
      </c>
      <c r="D2527">
        <v>62</v>
      </c>
      <c r="E2527">
        <v>0</v>
      </c>
      <c r="F2527">
        <v>0</v>
      </c>
      <c r="G2527">
        <v>48</v>
      </c>
      <c r="H2527" s="4">
        <v>1570534222159</v>
      </c>
      <c r="I2527">
        <v>526.5</v>
      </c>
      <c r="J2527" s="9">
        <f t="shared" si="39"/>
        <v>43746.771089803238</v>
      </c>
      <c r="K2527" s="1"/>
    </row>
    <row r="2528" spans="1:11" x14ac:dyDescent="0.25">
      <c r="A2528" t="e">
        <f>-Lqf7cRCx8qhNls5y3o4</f>
        <v>#NAME?</v>
      </c>
      <c r="B2528">
        <v>415.625</v>
      </c>
      <c r="C2528">
        <v>20.531590000000001</v>
      </c>
      <c r="D2528">
        <v>64</v>
      </c>
      <c r="E2528">
        <v>0</v>
      </c>
      <c r="F2528">
        <v>0</v>
      </c>
      <c r="G2528">
        <v>65</v>
      </c>
      <c r="H2528" s="4">
        <v>1570534228354</v>
      </c>
      <c r="I2528">
        <v>533.0625</v>
      </c>
      <c r="J2528" s="9">
        <f t="shared" si="39"/>
        <v>43746.771161504628</v>
      </c>
      <c r="K2528" s="1"/>
    </row>
    <row r="2529" spans="1:11" x14ac:dyDescent="0.25">
      <c r="A2529" t="e">
        <f>-Lqf7e9CelBY2mdGOFem</f>
        <v>#NAME?</v>
      </c>
      <c r="B2529">
        <v>393.75</v>
      </c>
      <c r="C2529">
        <v>20.584240000000001</v>
      </c>
      <c r="D2529">
        <v>63</v>
      </c>
      <c r="E2529">
        <v>0</v>
      </c>
      <c r="F2529">
        <v>0</v>
      </c>
      <c r="G2529">
        <v>54</v>
      </c>
      <c r="H2529" s="4">
        <v>1570534235575</v>
      </c>
      <c r="I2529">
        <v>526.6875</v>
      </c>
      <c r="J2529" s="9">
        <f t="shared" si="39"/>
        <v>43746.771245081014</v>
      </c>
      <c r="K2529" s="1"/>
    </row>
    <row r="2530" spans="1:11" x14ac:dyDescent="0.25">
      <c r="A2530" t="e">
        <f>-Lqf7fdEnBRT64vvzGaf</f>
        <v>#NAME?</v>
      </c>
      <c r="B2530">
        <v>393.75</v>
      </c>
      <c r="C2530">
        <v>20.584240000000001</v>
      </c>
      <c r="D2530">
        <v>62</v>
      </c>
      <c r="E2530">
        <v>0</v>
      </c>
      <c r="F2530">
        <v>0</v>
      </c>
      <c r="G2530">
        <v>54</v>
      </c>
      <c r="H2530" s="4">
        <v>1570534241757</v>
      </c>
      <c r="I2530">
        <v>526.6875</v>
      </c>
      <c r="J2530" s="9">
        <f t="shared" si="39"/>
        <v>43746.771316631937</v>
      </c>
      <c r="K2530" s="1"/>
    </row>
    <row r="2531" spans="1:11" x14ac:dyDescent="0.25">
      <c r="A2531" t="e">
        <f>-Lqf7hCDJOErkY-FqrTo</f>
        <v>#NAME?</v>
      </c>
      <c r="B2531">
        <v>393.75</v>
      </c>
      <c r="C2531">
        <v>20.531590000000001</v>
      </c>
      <c r="D2531">
        <v>61</v>
      </c>
      <c r="E2531">
        <v>0</v>
      </c>
      <c r="F2531">
        <v>0</v>
      </c>
      <c r="G2531">
        <v>57</v>
      </c>
      <c r="H2531" s="4">
        <v>1570534247935</v>
      </c>
      <c r="I2531">
        <v>526.6875</v>
      </c>
      <c r="J2531" s="9">
        <f t="shared" si="39"/>
        <v>43746.771388136571</v>
      </c>
      <c r="K2531" s="1"/>
    </row>
    <row r="2532" spans="1:11" x14ac:dyDescent="0.25">
      <c r="A2532" t="e">
        <f>-Lqf7ivEhmN1q6eyg58j</f>
        <v>#NAME?</v>
      </c>
      <c r="B2532">
        <v>393.75</v>
      </c>
      <c r="C2532">
        <v>20.531590000000001</v>
      </c>
      <c r="D2532">
        <v>61</v>
      </c>
      <c r="E2532">
        <v>0</v>
      </c>
      <c r="F2532">
        <v>0</v>
      </c>
      <c r="G2532">
        <v>52</v>
      </c>
      <c r="H2532" s="4">
        <v>1570534255126</v>
      </c>
      <c r="I2532">
        <v>526.5</v>
      </c>
      <c r="J2532" s="9">
        <f t="shared" si="39"/>
        <v>43746.771471365741</v>
      </c>
      <c r="K2532" s="1"/>
    </row>
    <row r="2533" spans="1:11" x14ac:dyDescent="0.25">
      <c r="A2533" t="e">
        <f>-Lqf7kZCZYypxjx8T1lR</f>
        <v>#NAME?</v>
      </c>
      <c r="B2533">
        <v>393.75</v>
      </c>
      <c r="C2533">
        <v>20.584240000000001</v>
      </c>
      <c r="D2533">
        <v>61</v>
      </c>
      <c r="E2533">
        <v>0</v>
      </c>
      <c r="F2533">
        <v>0</v>
      </c>
      <c r="G2533">
        <v>58</v>
      </c>
      <c r="H2533" s="4">
        <v>1570534261710</v>
      </c>
      <c r="I2533">
        <v>526.6875</v>
      </c>
      <c r="J2533" s="9">
        <f t="shared" si="39"/>
        <v>43746.771547569442</v>
      </c>
      <c r="K2533" s="1"/>
    </row>
    <row r="2534" spans="1:11" x14ac:dyDescent="0.25">
      <c r="A2534" t="e">
        <f>-Lqf7mCMSfIHlR06A6KC</f>
        <v>#NAME?</v>
      </c>
      <c r="B2534">
        <v>393.75</v>
      </c>
      <c r="C2534">
        <v>20.584240000000001</v>
      </c>
      <c r="D2534">
        <v>62</v>
      </c>
      <c r="E2534">
        <v>0</v>
      </c>
      <c r="F2534">
        <v>0</v>
      </c>
      <c r="G2534">
        <v>56</v>
      </c>
      <c r="H2534" s="4">
        <v>1570534268565</v>
      </c>
      <c r="I2534">
        <v>526.6875</v>
      </c>
      <c r="J2534" s="9">
        <f t="shared" si="39"/>
        <v>43746.771626909722</v>
      </c>
      <c r="K2534" s="1"/>
    </row>
    <row r="2535" spans="1:11" x14ac:dyDescent="0.25">
      <c r="A2535" t="e">
        <f>-Lqf7o-GzQV5U6H4Ifjz</f>
        <v>#NAME?</v>
      </c>
      <c r="B2535">
        <v>393.75</v>
      </c>
      <c r="C2535">
        <v>20.584240000000001</v>
      </c>
      <c r="D2535">
        <v>61</v>
      </c>
      <c r="E2535">
        <v>0</v>
      </c>
      <c r="F2535">
        <v>0</v>
      </c>
      <c r="G2535">
        <v>54</v>
      </c>
      <c r="H2535" s="4">
        <v>1570534275755</v>
      </c>
      <c r="I2535">
        <v>526.6875</v>
      </c>
      <c r="J2535" s="9">
        <f t="shared" si="39"/>
        <v>43746.771710127308</v>
      </c>
      <c r="K2535" s="1"/>
    </row>
    <row r="2536" spans="1:11" x14ac:dyDescent="0.25">
      <c r="A2536" t="e">
        <f>-Lqf7piC6HAfEst2WjST</f>
        <v>#NAME?</v>
      </c>
      <c r="B2536">
        <v>393.75</v>
      </c>
      <c r="C2536">
        <v>20.584240000000001</v>
      </c>
      <c r="D2536">
        <v>62</v>
      </c>
      <c r="E2536">
        <v>0</v>
      </c>
      <c r="F2536">
        <v>0</v>
      </c>
      <c r="G2536">
        <v>65</v>
      </c>
      <c r="H2536" s="4">
        <v>1570534282966</v>
      </c>
      <c r="I2536">
        <v>526.6875</v>
      </c>
      <c r="J2536" s="9">
        <f t="shared" si="39"/>
        <v>43746.771793587955</v>
      </c>
      <c r="K2536" s="1"/>
    </row>
    <row r="2537" spans="1:11" x14ac:dyDescent="0.25">
      <c r="A2537" t="e">
        <f>-Lqf7rHE_1yIQJ8N3FzI</f>
        <v>#NAME?</v>
      </c>
      <c r="B2537">
        <v>393.75</v>
      </c>
      <c r="C2537">
        <v>20.584240000000001</v>
      </c>
      <c r="D2537">
        <v>63</v>
      </c>
      <c r="E2537">
        <v>0</v>
      </c>
      <c r="F2537">
        <v>0</v>
      </c>
      <c r="G2537">
        <v>58</v>
      </c>
      <c r="H2537" s="4">
        <v>1570534289155</v>
      </c>
      <c r="I2537">
        <v>526.6875</v>
      </c>
      <c r="J2537" s="9">
        <f t="shared" si="39"/>
        <v>43746.771865219904</v>
      </c>
      <c r="K2537" s="1"/>
    </row>
    <row r="2538" spans="1:11" x14ac:dyDescent="0.25">
      <c r="A2538" t="e">
        <f>-Lqf7t0KtJvQvQn2gZsa</f>
        <v>#NAME?</v>
      </c>
      <c r="B2538">
        <v>393.75</v>
      </c>
      <c r="C2538">
        <v>20.584240000000001</v>
      </c>
      <c r="D2538">
        <v>63</v>
      </c>
      <c r="E2538">
        <v>0</v>
      </c>
      <c r="F2538">
        <v>0</v>
      </c>
      <c r="G2538">
        <v>59</v>
      </c>
      <c r="H2538" s="4">
        <v>1570534296375</v>
      </c>
      <c r="I2538">
        <v>526.5</v>
      </c>
      <c r="J2538" s="9">
        <f t="shared" si="39"/>
        <v>43746.771948784721</v>
      </c>
      <c r="K2538" s="1"/>
    </row>
    <row r="2539" spans="1:11" x14ac:dyDescent="0.25">
      <c r="A2539" t="e">
        <f>-Lqf7uT-mDQQM18SSFCo</f>
        <v>#NAME?</v>
      </c>
      <c r="B2539">
        <v>393.75</v>
      </c>
      <c r="C2539">
        <v>20.584240000000001</v>
      </c>
      <c r="D2539">
        <v>62</v>
      </c>
      <c r="E2539">
        <v>0</v>
      </c>
      <c r="F2539">
        <v>0</v>
      </c>
      <c r="G2539">
        <v>60</v>
      </c>
      <c r="H2539" s="4">
        <v>1570534302557</v>
      </c>
      <c r="I2539">
        <v>526.6875</v>
      </c>
      <c r="J2539" s="9">
        <f t="shared" si="39"/>
        <v>43746.772020335651</v>
      </c>
      <c r="K2539" s="1"/>
    </row>
    <row r="2540" spans="1:11" x14ac:dyDescent="0.25">
      <c r="A2540" t="e">
        <f>-Lqf7w24zOZkyHLzV9i7</f>
        <v>#NAME?</v>
      </c>
      <c r="B2540">
        <v>428.125</v>
      </c>
      <c r="C2540">
        <v>20.584240000000001</v>
      </c>
      <c r="D2540">
        <v>62</v>
      </c>
      <c r="E2540">
        <v>0</v>
      </c>
      <c r="F2540">
        <v>0</v>
      </c>
      <c r="G2540">
        <v>55</v>
      </c>
      <c r="H2540" s="4">
        <v>1570534308737</v>
      </c>
      <c r="I2540">
        <v>537.75</v>
      </c>
      <c r="J2540" s="9">
        <f t="shared" si="39"/>
        <v>43746.772091863422</v>
      </c>
      <c r="K2540" s="1"/>
    </row>
    <row r="2541" spans="1:11" x14ac:dyDescent="0.25">
      <c r="A2541" t="e">
        <f>-Lqf7xXHOe847SfxGQiB</f>
        <v>#NAME?</v>
      </c>
      <c r="B2541">
        <v>393.75</v>
      </c>
      <c r="C2541">
        <v>20.584240000000001</v>
      </c>
      <c r="D2541">
        <v>62</v>
      </c>
      <c r="E2541">
        <v>0</v>
      </c>
      <c r="F2541">
        <v>0</v>
      </c>
      <c r="G2541">
        <v>55</v>
      </c>
      <c r="H2541" s="4">
        <v>1570534314921</v>
      </c>
      <c r="I2541">
        <v>526.6875</v>
      </c>
      <c r="J2541" s="9">
        <f t="shared" si="39"/>
        <v>43746.772163437498</v>
      </c>
      <c r="K2541" s="1"/>
    </row>
    <row r="2542" spans="1:11" x14ac:dyDescent="0.25">
      <c r="A2542" t="e">
        <f>-Lqf7zXb1JeOcaweieD2</f>
        <v>#NAME?</v>
      </c>
      <c r="B2542">
        <v>393.75</v>
      </c>
      <c r="C2542">
        <v>20.584240000000001</v>
      </c>
      <c r="D2542">
        <v>62</v>
      </c>
      <c r="E2542">
        <v>0</v>
      </c>
      <c r="F2542">
        <v>0</v>
      </c>
      <c r="G2542">
        <v>58</v>
      </c>
      <c r="H2542" s="4">
        <v>1570534322134</v>
      </c>
      <c r="I2542">
        <v>526.6875</v>
      </c>
      <c r="J2542" s="9">
        <f t="shared" si="39"/>
        <v>43746.772246921297</v>
      </c>
      <c r="K2542" s="1"/>
    </row>
    <row r="2543" spans="1:11" x14ac:dyDescent="0.25">
      <c r="A2543" t="e">
        <f>-Lqf80HDVxeaMw-Kchrh</f>
        <v>#NAME?</v>
      </c>
      <c r="B2543">
        <v>393.75</v>
      </c>
      <c r="C2543">
        <v>20.584240000000001</v>
      </c>
      <c r="D2543">
        <v>62</v>
      </c>
      <c r="E2543">
        <v>0</v>
      </c>
      <c r="F2543">
        <v>0</v>
      </c>
      <c r="G2543">
        <v>66</v>
      </c>
      <c r="H2543" s="4">
        <v>1570534330394</v>
      </c>
      <c r="I2543">
        <v>526.6875</v>
      </c>
      <c r="J2543" s="9">
        <f t="shared" si="39"/>
        <v>43746.772342523145</v>
      </c>
      <c r="K2543" s="1"/>
    </row>
    <row r="2544" spans="1:11" x14ac:dyDescent="0.25">
      <c r="A2544" t="e">
        <f>-Lqf81qDOQk8HQLyFter</f>
        <v>#NAME?</v>
      </c>
      <c r="B2544">
        <v>393.75</v>
      </c>
      <c r="C2544">
        <v>20.531590000000001</v>
      </c>
      <c r="D2544">
        <v>63</v>
      </c>
      <c r="E2544">
        <v>0</v>
      </c>
      <c r="F2544">
        <v>0</v>
      </c>
      <c r="G2544">
        <v>60</v>
      </c>
      <c r="H2544" s="4">
        <v>1570534336565</v>
      </c>
      <c r="I2544">
        <v>526.6875</v>
      </c>
      <c r="J2544" s="9">
        <f t="shared" si="39"/>
        <v>43746.772413946754</v>
      </c>
      <c r="K2544" s="1"/>
    </row>
    <row r="2545" spans="1:11" x14ac:dyDescent="0.25">
      <c r="A2545" t="e">
        <f>-Lqf83ZC2AT81rpsXxnr</f>
        <v>#NAME?</v>
      </c>
      <c r="B2545">
        <v>393.75</v>
      </c>
      <c r="C2545">
        <v>20.584240000000001</v>
      </c>
      <c r="D2545">
        <v>63</v>
      </c>
      <c r="E2545">
        <v>0</v>
      </c>
      <c r="F2545">
        <v>0</v>
      </c>
      <c r="G2545">
        <v>66</v>
      </c>
      <c r="H2545" s="4">
        <v>1570534343765</v>
      </c>
      <c r="I2545">
        <v>526.6875</v>
      </c>
      <c r="J2545" s="9">
        <f t="shared" si="39"/>
        <v>43746.772497280086</v>
      </c>
      <c r="K2545" s="1"/>
    </row>
    <row r="2546" spans="1:11" x14ac:dyDescent="0.25">
      <c r="A2546" t="e">
        <f>-Lqf857FJFjROCL_8_mu</f>
        <v>#NAME?</v>
      </c>
      <c r="B2546">
        <v>393.75</v>
      </c>
      <c r="C2546">
        <v>20.584240000000001</v>
      </c>
      <c r="D2546">
        <v>63</v>
      </c>
      <c r="E2546">
        <v>0</v>
      </c>
      <c r="F2546">
        <v>0</v>
      </c>
      <c r="G2546">
        <v>67</v>
      </c>
      <c r="H2546" s="4">
        <v>1570534349955</v>
      </c>
      <c r="I2546">
        <v>526.6875</v>
      </c>
      <c r="J2546" s="9">
        <f t="shared" si="39"/>
        <v>43746.77256892361</v>
      </c>
      <c r="K2546" s="1"/>
    </row>
    <row r="2547" spans="1:11" x14ac:dyDescent="0.25">
      <c r="A2547" t="e">
        <f>-Lqf86p7yaGy5jE1B-75</f>
        <v>#NAME?</v>
      </c>
      <c r="B2547">
        <v>393.75</v>
      </c>
      <c r="C2547">
        <v>20.584240000000001</v>
      </c>
      <c r="D2547">
        <v>62</v>
      </c>
      <c r="E2547">
        <v>0</v>
      </c>
      <c r="F2547">
        <v>0</v>
      </c>
      <c r="G2547">
        <v>70</v>
      </c>
      <c r="H2547" s="4">
        <v>1570534357174</v>
      </c>
      <c r="I2547">
        <v>526.6875</v>
      </c>
      <c r="J2547" s="9">
        <f t="shared" si="39"/>
        <v>43746.772652476844</v>
      </c>
      <c r="K2547" s="1"/>
    </row>
    <row r="2548" spans="1:11" x14ac:dyDescent="0.25">
      <c r="A2548" t="e">
        <f>-Lqf88d3cZnXXOTsh4wg</f>
        <v>#NAME?</v>
      </c>
      <c r="B2548">
        <v>393.75</v>
      </c>
      <c r="C2548">
        <v>20.584240000000001</v>
      </c>
      <c r="D2548">
        <v>62</v>
      </c>
      <c r="E2548">
        <v>0</v>
      </c>
      <c r="F2548">
        <v>0</v>
      </c>
      <c r="G2548">
        <v>66</v>
      </c>
      <c r="H2548" s="4">
        <v>1570534364387</v>
      </c>
      <c r="I2548">
        <v>526.6875</v>
      </c>
      <c r="J2548" s="9">
        <f t="shared" si="39"/>
        <v>43746.772735960643</v>
      </c>
      <c r="K2548" s="1"/>
    </row>
    <row r="2549" spans="1:11" x14ac:dyDescent="0.25">
      <c r="A2549" t="e">
        <f>-Lqf8AJkXXKUov9dE2pt</f>
        <v>#NAME?</v>
      </c>
      <c r="B2549">
        <v>393.75</v>
      </c>
      <c r="C2549">
        <v>20.584240000000001</v>
      </c>
      <c r="D2549">
        <v>60</v>
      </c>
      <c r="E2549">
        <v>0</v>
      </c>
      <c r="F2549">
        <v>0</v>
      </c>
      <c r="G2549">
        <v>61</v>
      </c>
      <c r="H2549" s="4">
        <v>1570534371605</v>
      </c>
      <c r="I2549">
        <v>526.6875</v>
      </c>
      <c r="J2549" s="9">
        <f t="shared" si="39"/>
        <v>43746.772819502316</v>
      </c>
      <c r="K2549" s="1"/>
    </row>
    <row r="2550" spans="1:11" x14ac:dyDescent="0.25">
      <c r="A2550" t="e">
        <f>-Lqf8BvM81xd5QnTML3z</f>
        <v>#NAME?</v>
      </c>
      <c r="B2550">
        <v>393.75</v>
      </c>
      <c r="C2550">
        <v>20.531590000000001</v>
      </c>
      <c r="D2550">
        <v>61</v>
      </c>
      <c r="E2550">
        <v>0</v>
      </c>
      <c r="F2550">
        <v>0</v>
      </c>
      <c r="G2550">
        <v>53</v>
      </c>
      <c r="H2550" s="4">
        <v>1570534377784</v>
      </c>
      <c r="I2550">
        <v>526.6875</v>
      </c>
      <c r="J2550" s="9">
        <f t="shared" si="39"/>
        <v>43746.772891018518</v>
      </c>
      <c r="K2550" s="1"/>
    </row>
    <row r="2551" spans="1:11" x14ac:dyDescent="0.25">
      <c r="A2551" t="e">
        <f>-Lqf8Dd3vAA8OKNY6V4c</f>
        <v>#NAME?</v>
      </c>
      <c r="B2551">
        <v>412.5</v>
      </c>
      <c r="C2551">
        <v>20.584240000000001</v>
      </c>
      <c r="D2551">
        <v>60</v>
      </c>
      <c r="E2551">
        <v>0</v>
      </c>
      <c r="F2551">
        <v>0</v>
      </c>
      <c r="G2551">
        <v>66</v>
      </c>
      <c r="H2551" s="4">
        <v>1570534384994</v>
      </c>
      <c r="I2551">
        <v>532.3125</v>
      </c>
      <c r="J2551" s="9">
        <f t="shared" si="39"/>
        <v>43746.772974467589</v>
      </c>
      <c r="K2551" s="1"/>
    </row>
    <row r="2552" spans="1:11" x14ac:dyDescent="0.25">
      <c r="A2552" t="e">
        <f>-Lqf8F74fWoSuw1x0l0_</f>
        <v>#NAME?</v>
      </c>
      <c r="B2552">
        <v>393.75</v>
      </c>
      <c r="C2552">
        <v>20.584240000000001</v>
      </c>
      <c r="D2552">
        <v>60</v>
      </c>
      <c r="E2552">
        <v>0</v>
      </c>
      <c r="F2552">
        <v>0</v>
      </c>
      <c r="G2552">
        <v>64</v>
      </c>
      <c r="H2552" s="4">
        <v>1570534391195</v>
      </c>
      <c r="I2552">
        <v>526.6875</v>
      </c>
      <c r="J2552" s="9">
        <f t="shared" si="39"/>
        <v>43746.773046238428</v>
      </c>
      <c r="K2552" s="1"/>
    </row>
    <row r="2553" spans="1:11" x14ac:dyDescent="0.25">
      <c r="A2553" t="e">
        <f>-Lqf8Gg53Xp7XalTRyRU</f>
        <v>#NAME?</v>
      </c>
      <c r="B2553">
        <v>393.75</v>
      </c>
      <c r="C2553">
        <v>20.531590000000001</v>
      </c>
      <c r="D2553">
        <v>61</v>
      </c>
      <c r="E2553">
        <v>0</v>
      </c>
      <c r="F2553">
        <v>0</v>
      </c>
      <c r="G2553">
        <v>62</v>
      </c>
      <c r="H2553" s="4">
        <v>1570534397390</v>
      </c>
      <c r="I2553">
        <v>526.6875</v>
      </c>
      <c r="J2553" s="9">
        <f t="shared" si="39"/>
        <v>43746.773117939811</v>
      </c>
      <c r="K2553" s="1"/>
    </row>
    <row r="2554" spans="1:11" x14ac:dyDescent="0.25">
      <c r="A2554" t="e">
        <f>-Lqf8IPNnS8y09Y3YPVR</f>
        <v>#NAME?</v>
      </c>
      <c r="B2554">
        <v>393.75</v>
      </c>
      <c r="C2554">
        <v>20.584240000000001</v>
      </c>
      <c r="D2554">
        <v>60</v>
      </c>
      <c r="E2554">
        <v>0</v>
      </c>
      <c r="F2554">
        <v>0</v>
      </c>
      <c r="G2554">
        <v>54</v>
      </c>
      <c r="H2554" s="4">
        <v>1570534404565</v>
      </c>
      <c r="I2554">
        <v>526.6875</v>
      </c>
      <c r="J2554" s="9">
        <f t="shared" si="39"/>
        <v>43746.773200983793</v>
      </c>
      <c r="K2554" s="1"/>
    </row>
    <row r="2555" spans="1:11" x14ac:dyDescent="0.25">
      <c r="A2555" t="e">
        <f>-Lqf8Jy62KhhxUQ1Cggt</f>
        <v>#NAME?</v>
      </c>
      <c r="B2555">
        <v>393.75</v>
      </c>
      <c r="C2555">
        <v>20.584240000000001</v>
      </c>
      <c r="D2555">
        <v>61</v>
      </c>
      <c r="E2555">
        <v>0</v>
      </c>
      <c r="F2555">
        <v>0</v>
      </c>
      <c r="G2555">
        <v>55</v>
      </c>
      <c r="H2555" s="4">
        <v>1570534410755</v>
      </c>
      <c r="I2555">
        <v>526.6875</v>
      </c>
      <c r="J2555" s="9">
        <f t="shared" si="39"/>
        <v>43746.773272627317</v>
      </c>
      <c r="K2555" s="1"/>
    </row>
    <row r="2556" spans="1:11" x14ac:dyDescent="0.25">
      <c r="A2556" t="e">
        <f>-Lqf8LgCQx31dA8FoZuh</f>
        <v>#NAME?</v>
      </c>
      <c r="B2556">
        <v>393.75</v>
      </c>
      <c r="C2556">
        <v>20.584240000000001</v>
      </c>
      <c r="D2556">
        <v>61</v>
      </c>
      <c r="E2556">
        <v>0</v>
      </c>
      <c r="F2556">
        <v>0</v>
      </c>
      <c r="G2556">
        <v>65</v>
      </c>
      <c r="H2556" s="4">
        <v>1570534417976</v>
      </c>
      <c r="I2556">
        <v>526.6875</v>
      </c>
      <c r="J2556" s="9">
        <f t="shared" si="39"/>
        <v>43746.773356203703</v>
      </c>
      <c r="K2556" s="1"/>
    </row>
    <row r="2557" spans="1:11" x14ac:dyDescent="0.25">
      <c r="A2557" t="s">
        <v>142</v>
      </c>
      <c r="B2557">
        <v>393.75</v>
      </c>
      <c r="C2557">
        <v>20.584240000000001</v>
      </c>
      <c r="D2557">
        <v>61</v>
      </c>
      <c r="E2557">
        <v>0</v>
      </c>
      <c r="F2557">
        <v>0</v>
      </c>
      <c r="G2557">
        <v>58</v>
      </c>
      <c r="H2557" s="4">
        <v>1570534424156</v>
      </c>
      <c r="I2557">
        <v>526.6875</v>
      </c>
      <c r="J2557" s="9">
        <f t="shared" si="39"/>
        <v>43746.773427731481</v>
      </c>
      <c r="K2557" s="1"/>
    </row>
    <row r="2558" spans="1:11" x14ac:dyDescent="0.25">
      <c r="A2558" t="e">
        <f>-Lqf8OkTmTDjmzWAbzcZ</f>
        <v>#NAME?</v>
      </c>
      <c r="B2558">
        <v>393.75</v>
      </c>
      <c r="C2558">
        <v>20.584240000000001</v>
      </c>
      <c r="D2558">
        <v>61</v>
      </c>
      <c r="E2558">
        <v>0</v>
      </c>
      <c r="F2558">
        <v>0</v>
      </c>
      <c r="G2558">
        <v>61</v>
      </c>
      <c r="H2558" s="4">
        <v>1570534430338</v>
      </c>
      <c r="I2558">
        <v>526.6875</v>
      </c>
      <c r="J2558" s="9">
        <f t="shared" si="39"/>
        <v>43746.773499282404</v>
      </c>
      <c r="K2558" s="1"/>
    </row>
    <row r="2559" spans="1:11" x14ac:dyDescent="0.25">
      <c r="A2559" t="e">
        <f>-Lqf8QSFMDuRlBNXu9td</f>
        <v>#NAME?</v>
      </c>
      <c r="B2559">
        <v>393.75</v>
      </c>
      <c r="C2559">
        <v>20.584240000000001</v>
      </c>
      <c r="D2559">
        <v>62</v>
      </c>
      <c r="E2559">
        <v>0</v>
      </c>
      <c r="F2559">
        <v>0</v>
      </c>
      <c r="G2559">
        <v>70</v>
      </c>
      <c r="H2559" s="4">
        <v>1570534437526</v>
      </c>
      <c r="I2559">
        <v>526.6875</v>
      </c>
      <c r="J2559" s="9">
        <f t="shared" si="39"/>
        <v>43746.773582476853</v>
      </c>
      <c r="K2559" s="1"/>
    </row>
    <row r="2560" spans="1:11" x14ac:dyDescent="0.25">
      <c r="A2560" t="e">
        <f>-Lqf8SFFyT1N0AIkSkt4</f>
        <v>#NAME?</v>
      </c>
      <c r="B2560">
        <v>393.75</v>
      </c>
      <c r="C2560">
        <v>20.584240000000001</v>
      </c>
      <c r="D2560">
        <v>62</v>
      </c>
      <c r="E2560">
        <v>0</v>
      </c>
      <c r="F2560">
        <v>0</v>
      </c>
      <c r="G2560">
        <v>70</v>
      </c>
      <c r="H2560" s="4">
        <v>1570534444797</v>
      </c>
      <c r="I2560">
        <v>526.6875</v>
      </c>
      <c r="J2560" s="9">
        <f t="shared" si="39"/>
        <v>43746.773666631947</v>
      </c>
      <c r="K2560" s="1"/>
    </row>
    <row r="2561" spans="1:11" x14ac:dyDescent="0.25">
      <c r="A2561" t="e">
        <f>-Lqf8Ty4fELZ_4IEy_0m</f>
        <v>#NAME?</v>
      </c>
      <c r="B2561">
        <v>393.75</v>
      </c>
      <c r="C2561">
        <v>20.584240000000001</v>
      </c>
      <c r="D2561">
        <v>61</v>
      </c>
      <c r="E2561">
        <v>0</v>
      </c>
      <c r="F2561">
        <v>0</v>
      </c>
      <c r="G2561">
        <v>63</v>
      </c>
      <c r="H2561" s="4">
        <v>1570534451996</v>
      </c>
      <c r="I2561">
        <v>526.6875</v>
      </c>
      <c r="J2561" s="9">
        <f t="shared" si="39"/>
        <v>43746.773749953696</v>
      </c>
      <c r="K2561" s="1"/>
    </row>
    <row r="2562" spans="1:11" x14ac:dyDescent="0.25">
      <c r="A2562" t="e">
        <f>-Lqf8VXDH9LmsVRpca4w</f>
        <v>#NAME?</v>
      </c>
      <c r="B2562">
        <v>393.75</v>
      </c>
      <c r="C2562">
        <v>20.584240000000001</v>
      </c>
      <c r="D2562">
        <v>61</v>
      </c>
      <c r="E2562">
        <v>0</v>
      </c>
      <c r="F2562">
        <v>0</v>
      </c>
      <c r="G2562">
        <v>60</v>
      </c>
      <c r="H2562" s="4">
        <v>1570534458166</v>
      </c>
      <c r="I2562">
        <v>526.6875</v>
      </c>
      <c r="J2562" s="9">
        <f t="shared" si="39"/>
        <v>43746.773821365736</v>
      </c>
      <c r="K2562" s="1"/>
    </row>
    <row r="2563" spans="1:11" x14ac:dyDescent="0.25">
      <c r="A2563" t="e">
        <f>-Lqf8XCk-EsEj5znQaxC</f>
        <v>#NAME?</v>
      </c>
      <c r="B2563">
        <v>425</v>
      </c>
      <c r="C2563">
        <v>20.584240000000001</v>
      </c>
      <c r="D2563">
        <v>62</v>
      </c>
      <c r="E2563">
        <v>0</v>
      </c>
      <c r="F2563">
        <v>0</v>
      </c>
      <c r="G2563">
        <v>63</v>
      </c>
      <c r="H2563" s="4">
        <v>1570534465366</v>
      </c>
      <c r="I2563">
        <v>536.4375</v>
      </c>
      <c r="J2563" s="9">
        <f t="shared" ref="J2563:J2626" si="40">(H2563/86400000)+25569+(7/24)</f>
        <v>43746.773904699068</v>
      </c>
      <c r="K2563" s="1"/>
    </row>
    <row r="2564" spans="1:11" x14ac:dyDescent="0.25">
      <c r="A2564" t="e">
        <f>-Lqf8Z25_Vtsck_bv4gF</f>
        <v>#NAME?</v>
      </c>
      <c r="B2564">
        <v>393.75</v>
      </c>
      <c r="C2564">
        <v>20.584240000000001</v>
      </c>
      <c r="D2564">
        <v>61</v>
      </c>
      <c r="E2564">
        <v>0</v>
      </c>
      <c r="F2564">
        <v>0</v>
      </c>
      <c r="G2564">
        <v>61</v>
      </c>
      <c r="H2564" s="4">
        <v>1570534472596</v>
      </c>
      <c r="I2564">
        <v>526.5</v>
      </c>
      <c r="J2564" s="9">
        <f t="shared" si="40"/>
        <v>43746.773988379624</v>
      </c>
      <c r="K2564" s="1"/>
    </row>
    <row r="2565" spans="1:11" x14ac:dyDescent="0.25">
      <c r="A2565" t="e">
        <f>-Lqf8_XCzEtOu4iuOTXF</f>
        <v>#NAME?</v>
      </c>
      <c r="B2565">
        <v>393.75</v>
      </c>
      <c r="C2565">
        <v>20.584240000000001</v>
      </c>
      <c r="D2565">
        <v>61</v>
      </c>
      <c r="E2565">
        <v>0</v>
      </c>
      <c r="F2565">
        <v>0</v>
      </c>
      <c r="G2565">
        <v>62</v>
      </c>
      <c r="H2565" s="4">
        <v>1570534478754</v>
      </c>
      <c r="I2565">
        <v>526.6875</v>
      </c>
      <c r="J2565" s="9">
        <f t="shared" si="40"/>
        <v>43746.77405965278</v>
      </c>
      <c r="K2565" s="1"/>
    </row>
    <row r="2566" spans="1:11" x14ac:dyDescent="0.25">
      <c r="A2566" t="e">
        <f>-Lqf8azy1vto46Ja3njf</f>
        <v>#NAME?</v>
      </c>
      <c r="B2566">
        <v>412.5</v>
      </c>
      <c r="C2566">
        <v>20.584240000000001</v>
      </c>
      <c r="D2566">
        <v>61</v>
      </c>
      <c r="E2566">
        <v>0</v>
      </c>
      <c r="F2566">
        <v>0</v>
      </c>
      <c r="G2566">
        <v>64</v>
      </c>
      <c r="H2566" s="4">
        <v>1570534484956</v>
      </c>
      <c r="I2566">
        <v>532.3125</v>
      </c>
      <c r="J2566" s="9">
        <f t="shared" si="40"/>
        <v>43746.774131435181</v>
      </c>
      <c r="K2566" s="1"/>
    </row>
    <row r="2567" spans="1:11" x14ac:dyDescent="0.25">
      <c r="A2567" t="e">
        <f>-Lqf8c_VSPnBJnRIwrFr</f>
        <v>#NAME?</v>
      </c>
      <c r="B2567">
        <v>393.75</v>
      </c>
      <c r="C2567">
        <v>20.584240000000001</v>
      </c>
      <c r="D2567">
        <v>59</v>
      </c>
      <c r="E2567">
        <v>0</v>
      </c>
      <c r="F2567">
        <v>0</v>
      </c>
      <c r="G2567">
        <v>56</v>
      </c>
      <c r="H2567" s="4">
        <v>1570534491146</v>
      </c>
      <c r="I2567">
        <v>526.6875</v>
      </c>
      <c r="J2567" s="9">
        <f t="shared" si="40"/>
        <v>43746.774203078698</v>
      </c>
      <c r="K2567" s="1"/>
    </row>
    <row r="2568" spans="1:11" x14ac:dyDescent="0.25">
      <c r="A2568" t="e">
        <f>-Lqf8eIBtBnzV8_grjkQ</f>
        <v>#NAME?</v>
      </c>
      <c r="B2568">
        <v>393.75</v>
      </c>
      <c r="C2568">
        <v>20.584240000000001</v>
      </c>
      <c r="D2568">
        <v>60</v>
      </c>
      <c r="E2568">
        <v>0</v>
      </c>
      <c r="F2568">
        <v>0</v>
      </c>
      <c r="G2568">
        <v>61</v>
      </c>
      <c r="H2568" s="4">
        <v>1570534498324</v>
      </c>
      <c r="I2568">
        <v>526.6875</v>
      </c>
      <c r="J2568" s="9">
        <f t="shared" si="40"/>
        <v>43746.774286157401</v>
      </c>
      <c r="K2568" s="1"/>
    </row>
    <row r="2569" spans="1:11" x14ac:dyDescent="0.25">
      <c r="A2569" t="e">
        <f>-Lqf8gA5TWtvbeJKlZ2a</f>
        <v>#NAME?</v>
      </c>
      <c r="B2569">
        <v>393.75</v>
      </c>
      <c r="C2569">
        <v>20.531590000000001</v>
      </c>
      <c r="D2569">
        <v>60</v>
      </c>
      <c r="E2569">
        <v>0</v>
      </c>
      <c r="F2569">
        <v>0</v>
      </c>
      <c r="G2569">
        <v>55</v>
      </c>
      <c r="H2569" s="4">
        <v>1570534504540</v>
      </c>
      <c r="I2569">
        <v>526.6875</v>
      </c>
      <c r="J2569" s="9">
        <f t="shared" si="40"/>
        <v>43746.774358101851</v>
      </c>
      <c r="K2569" s="1"/>
    </row>
    <row r="2570" spans="1:11" x14ac:dyDescent="0.25">
      <c r="A2570" t="e">
        <f>-Lqf8hoCze5xQJtrUJqH</f>
        <v>#NAME?</v>
      </c>
      <c r="B2570">
        <v>393.75</v>
      </c>
      <c r="C2570">
        <v>20.584240000000001</v>
      </c>
      <c r="D2570">
        <v>59</v>
      </c>
      <c r="E2570">
        <v>0</v>
      </c>
      <c r="F2570">
        <v>0</v>
      </c>
      <c r="G2570">
        <v>62</v>
      </c>
      <c r="H2570" s="4">
        <v>1570534512794</v>
      </c>
      <c r="I2570">
        <v>526.6875</v>
      </c>
      <c r="J2570" s="9">
        <f t="shared" si="40"/>
        <v>43746.774453634258</v>
      </c>
      <c r="K2570" s="1"/>
    </row>
    <row r="2571" spans="1:11" x14ac:dyDescent="0.25">
      <c r="A2571" t="e">
        <f>-Lqf8jN4YYFE13F3P7wA</f>
        <v>#NAME?</v>
      </c>
      <c r="B2571">
        <v>393.75</v>
      </c>
      <c r="C2571">
        <v>20.531590000000001</v>
      </c>
      <c r="D2571">
        <v>60</v>
      </c>
      <c r="E2571">
        <v>0</v>
      </c>
      <c r="F2571">
        <v>0</v>
      </c>
      <c r="G2571">
        <v>62</v>
      </c>
      <c r="H2571" s="4">
        <v>1570534518966</v>
      </c>
      <c r="I2571">
        <v>526.6875</v>
      </c>
      <c r="J2571" s="9">
        <f t="shared" si="40"/>
        <v>43746.774525069442</v>
      </c>
      <c r="K2571" s="1"/>
    </row>
    <row r="2572" spans="1:11" x14ac:dyDescent="0.25">
      <c r="A2572" t="e">
        <f>-Lqf8l5B9C-HPp1wtMH3</f>
        <v>#NAME?</v>
      </c>
      <c r="B2572">
        <v>393.75</v>
      </c>
      <c r="C2572">
        <v>20.584240000000001</v>
      </c>
      <c r="D2572">
        <v>60</v>
      </c>
      <c r="E2572">
        <v>0</v>
      </c>
      <c r="F2572">
        <v>0</v>
      </c>
      <c r="G2572">
        <v>64</v>
      </c>
      <c r="H2572" s="4">
        <v>1570534526165</v>
      </c>
      <c r="I2572">
        <v>526.6875</v>
      </c>
      <c r="J2572" s="9">
        <f t="shared" si="40"/>
        <v>43746.774608391199</v>
      </c>
      <c r="K2572" s="1"/>
    </row>
    <row r="2573" spans="1:11" x14ac:dyDescent="0.25">
      <c r="A2573" t="e">
        <f>-Lqf8meETEv17Xcs5KxU</f>
        <v>#NAME?</v>
      </c>
      <c r="B2573">
        <v>393.75</v>
      </c>
      <c r="C2573">
        <v>20.531590000000001</v>
      </c>
      <c r="D2573">
        <v>60</v>
      </c>
      <c r="E2573">
        <v>0</v>
      </c>
      <c r="F2573">
        <v>0</v>
      </c>
      <c r="G2573">
        <v>65</v>
      </c>
      <c r="H2573" s="4">
        <v>1570534532366</v>
      </c>
      <c r="I2573">
        <v>526.6875</v>
      </c>
      <c r="J2573" s="9">
        <f t="shared" si="40"/>
        <v>43746.774680162031</v>
      </c>
      <c r="K2573" s="1"/>
    </row>
    <row r="2574" spans="1:11" x14ac:dyDescent="0.25">
      <c r="A2574" t="e">
        <f>-Lqf8oNN-Bn39Bgx_5ri</f>
        <v>#NAME?</v>
      </c>
      <c r="B2574">
        <v>393.75</v>
      </c>
      <c r="C2574">
        <v>20.584240000000001</v>
      </c>
      <c r="D2574">
        <v>60</v>
      </c>
      <c r="E2574">
        <v>0</v>
      </c>
      <c r="F2574">
        <v>0</v>
      </c>
      <c r="G2574">
        <v>60</v>
      </c>
      <c r="H2574" s="4">
        <v>1570534539576</v>
      </c>
      <c r="I2574">
        <v>526.6875</v>
      </c>
      <c r="J2574" s="9">
        <f t="shared" si="40"/>
        <v>43746.774763611109</v>
      </c>
      <c r="K2574" s="1"/>
    </row>
    <row r="2575" spans="1:11" x14ac:dyDescent="0.25">
      <c r="A2575" t="e">
        <f>-Lqf8qADQvBo2IKJRdpF</f>
        <v>#NAME?</v>
      </c>
      <c r="B2575">
        <v>393.75</v>
      </c>
      <c r="C2575">
        <v>20.584240000000001</v>
      </c>
      <c r="D2575">
        <v>61</v>
      </c>
      <c r="E2575">
        <v>0</v>
      </c>
      <c r="F2575">
        <v>0</v>
      </c>
      <c r="G2575">
        <v>64</v>
      </c>
      <c r="H2575" s="4">
        <v>1570534546794</v>
      </c>
      <c r="I2575">
        <v>526.6875</v>
      </c>
      <c r="J2575" s="9">
        <f t="shared" si="40"/>
        <v>43746.774847152774</v>
      </c>
      <c r="K2575" s="1"/>
    </row>
    <row r="2576" spans="1:11" x14ac:dyDescent="0.25">
      <c r="A2576" t="e">
        <f>-Lqf8rtB8BMvW_ILwXA0</f>
        <v>#NAME?</v>
      </c>
      <c r="B2576">
        <v>393.75</v>
      </c>
      <c r="C2576">
        <v>20.584240000000001</v>
      </c>
      <c r="D2576">
        <v>63</v>
      </c>
      <c r="E2576">
        <v>0</v>
      </c>
      <c r="F2576">
        <v>0</v>
      </c>
      <c r="G2576">
        <v>56</v>
      </c>
      <c r="H2576" s="4">
        <v>1570534554007</v>
      </c>
      <c r="I2576">
        <v>526.6875</v>
      </c>
      <c r="J2576" s="9">
        <f t="shared" si="40"/>
        <v>43746.774930636573</v>
      </c>
      <c r="K2576" s="1"/>
    </row>
    <row r="2577" spans="1:11" x14ac:dyDescent="0.25">
      <c r="A2577" t="e">
        <f>-Lqf8u4Lhb1ZMPVV5wPB</f>
        <v>#NAME?</v>
      </c>
      <c r="B2577">
        <v>412.5</v>
      </c>
      <c r="C2577">
        <v>20.531590000000001</v>
      </c>
      <c r="D2577">
        <v>63</v>
      </c>
      <c r="E2577">
        <v>0</v>
      </c>
      <c r="F2577">
        <v>0</v>
      </c>
      <c r="G2577">
        <v>61</v>
      </c>
      <c r="H2577" s="4">
        <v>1570534562774</v>
      </c>
      <c r="I2577">
        <v>532.3125</v>
      </c>
      <c r="J2577" s="9">
        <f t="shared" si="40"/>
        <v>43746.775032106474</v>
      </c>
      <c r="K2577" s="1"/>
    </row>
    <row r="2578" spans="1:11" x14ac:dyDescent="0.25">
      <c r="A2578" t="e">
        <f>-Lqf8viENfFU4yL3tvoX</f>
        <v>#NAME?</v>
      </c>
      <c r="B2578">
        <v>393.75</v>
      </c>
      <c r="C2578">
        <v>20.584240000000001</v>
      </c>
      <c r="D2578">
        <v>63</v>
      </c>
      <c r="E2578">
        <v>0</v>
      </c>
      <c r="F2578">
        <v>0</v>
      </c>
      <c r="G2578">
        <v>63</v>
      </c>
      <c r="H2578" s="4">
        <v>1570534569465</v>
      </c>
      <c r="I2578">
        <v>526.6875</v>
      </c>
      <c r="J2578" s="9">
        <f t="shared" si="40"/>
        <v>43746.775109548609</v>
      </c>
      <c r="K2578" s="1"/>
    </row>
    <row r="2579" spans="1:11" x14ac:dyDescent="0.25">
      <c r="A2579" t="e">
        <f>-Lqf8xRLzl8aQIQOre4o</f>
        <v>#NAME?</v>
      </c>
      <c r="B2579">
        <v>393.75</v>
      </c>
      <c r="C2579">
        <v>20.584240000000001</v>
      </c>
      <c r="D2579">
        <v>63</v>
      </c>
      <c r="E2579">
        <v>0</v>
      </c>
      <c r="F2579">
        <v>0</v>
      </c>
      <c r="G2579">
        <v>66</v>
      </c>
      <c r="H2579" s="4">
        <v>1570534576676</v>
      </c>
      <c r="I2579">
        <v>526.6875</v>
      </c>
      <c r="J2579" s="9">
        <f t="shared" si="40"/>
        <v>43746.775193009256</v>
      </c>
      <c r="K2579" s="1"/>
    </row>
    <row r="2580" spans="1:11" x14ac:dyDescent="0.25">
      <c r="A2580" t="e">
        <f>-Lqf8yvDv1nynGW-v2JG</f>
        <v>#NAME?</v>
      </c>
      <c r="B2580">
        <v>393.75</v>
      </c>
      <c r="C2580">
        <v>20.584240000000001</v>
      </c>
      <c r="D2580">
        <v>62</v>
      </c>
      <c r="E2580">
        <v>0</v>
      </c>
      <c r="F2580">
        <v>0</v>
      </c>
      <c r="G2580">
        <v>62</v>
      </c>
      <c r="H2580" s="4">
        <v>1570534582876</v>
      </c>
      <c r="I2580">
        <v>526.6875</v>
      </c>
      <c r="J2580" s="9">
        <f t="shared" si="40"/>
        <v>43746.775264768519</v>
      </c>
      <c r="K2580" s="1"/>
    </row>
    <row r="2581" spans="1:11" x14ac:dyDescent="0.25">
      <c r="A2581" t="s">
        <v>143</v>
      </c>
      <c r="B2581">
        <v>393.75</v>
      </c>
      <c r="C2581">
        <v>20.584240000000001</v>
      </c>
      <c r="D2581">
        <v>62</v>
      </c>
      <c r="E2581">
        <v>0</v>
      </c>
      <c r="F2581">
        <v>0</v>
      </c>
      <c r="G2581">
        <v>59</v>
      </c>
      <c r="H2581" s="4">
        <v>1570534589036</v>
      </c>
      <c r="I2581">
        <v>526.5</v>
      </c>
      <c r="J2581" s="9">
        <f t="shared" si="40"/>
        <v>43746.775336064813</v>
      </c>
      <c r="K2581" s="1"/>
    </row>
    <row r="2582" spans="1:11" x14ac:dyDescent="0.25">
      <c r="A2582" t="s">
        <v>144</v>
      </c>
      <c r="B2582">
        <v>412.5</v>
      </c>
      <c r="C2582">
        <v>20.531590000000001</v>
      </c>
      <c r="D2582">
        <v>62</v>
      </c>
      <c r="E2582">
        <v>0</v>
      </c>
      <c r="F2582">
        <v>0</v>
      </c>
      <c r="G2582">
        <v>63</v>
      </c>
      <c r="H2582" s="4">
        <v>1570534596246</v>
      </c>
      <c r="I2582">
        <v>532.3125</v>
      </c>
      <c r="J2582" s="9">
        <f t="shared" si="40"/>
        <v>43746.775419513891</v>
      </c>
      <c r="K2582" s="1"/>
    </row>
    <row r="2583" spans="1:11" x14ac:dyDescent="0.25">
      <c r="A2583" t="e">
        <f>-Lqf930TtV6YS_lTIdMI</f>
        <v>#NAME?</v>
      </c>
      <c r="B2583">
        <v>393.75</v>
      </c>
      <c r="C2583">
        <v>20.584240000000001</v>
      </c>
      <c r="D2583">
        <v>62</v>
      </c>
      <c r="E2583">
        <v>0</v>
      </c>
      <c r="F2583">
        <v>0</v>
      </c>
      <c r="G2583">
        <v>65</v>
      </c>
      <c r="H2583" s="4">
        <v>1570534603464</v>
      </c>
      <c r="I2583">
        <v>526.6875</v>
      </c>
      <c r="J2583" s="9">
        <f t="shared" si="40"/>
        <v>43746.775503055549</v>
      </c>
      <c r="K2583" s="1"/>
    </row>
    <row r="2584" spans="1:11" x14ac:dyDescent="0.25">
      <c r="A2584" t="e">
        <f>-Lqf94iBrMtQTj74dzyY</f>
        <v>#NAME?</v>
      </c>
      <c r="B2584">
        <v>393.75</v>
      </c>
      <c r="C2584">
        <v>20.584240000000001</v>
      </c>
      <c r="D2584">
        <v>62</v>
      </c>
      <c r="E2584">
        <v>0</v>
      </c>
      <c r="F2584">
        <v>0</v>
      </c>
      <c r="G2584">
        <v>59</v>
      </c>
      <c r="H2584" s="4">
        <v>1570534610646</v>
      </c>
      <c r="I2584">
        <v>526.6875</v>
      </c>
      <c r="J2584" s="9">
        <f t="shared" si="40"/>
        <v>43746.775586180556</v>
      </c>
      <c r="K2584" s="1"/>
    </row>
    <row r="2585" spans="1:11" x14ac:dyDescent="0.25">
      <c r="A2585" t="e">
        <f>-Lqf96H3q68weyVR5ioa</f>
        <v>#NAME?</v>
      </c>
      <c r="B2585">
        <v>393.75</v>
      </c>
      <c r="C2585">
        <v>20.584240000000001</v>
      </c>
      <c r="D2585">
        <v>62</v>
      </c>
      <c r="E2585">
        <v>0</v>
      </c>
      <c r="F2585">
        <v>0</v>
      </c>
      <c r="G2585">
        <v>68</v>
      </c>
      <c r="H2585" s="4">
        <v>1570534616866</v>
      </c>
      <c r="I2585">
        <v>526.6875</v>
      </c>
      <c r="J2585" s="9">
        <f t="shared" si="40"/>
        <v>43746.775658171297</v>
      </c>
      <c r="K2585" s="1"/>
    </row>
    <row r="2586" spans="1:11" x14ac:dyDescent="0.25">
      <c r="A2586" t="e">
        <f>-Lqf98BwuGmSo3ejZ9OX</f>
        <v>#NAME?</v>
      </c>
      <c r="B2586">
        <v>393.75</v>
      </c>
      <c r="C2586">
        <v>20.584240000000001</v>
      </c>
      <c r="D2586">
        <v>62</v>
      </c>
      <c r="E2586">
        <v>0</v>
      </c>
      <c r="F2586">
        <v>0</v>
      </c>
      <c r="G2586">
        <v>61</v>
      </c>
      <c r="H2586" s="4">
        <v>1570534624084</v>
      </c>
      <c r="I2586">
        <v>526.6875</v>
      </c>
      <c r="J2586" s="9">
        <f t="shared" si="40"/>
        <v>43746.775741712961</v>
      </c>
      <c r="K2586" s="1"/>
    </row>
    <row r="2587" spans="1:11" x14ac:dyDescent="0.25">
      <c r="A2587" t="e">
        <f>-Lqf99oRQUMCod22yX8i</f>
        <v>#NAME?</v>
      </c>
      <c r="B2587">
        <v>393.75</v>
      </c>
      <c r="C2587">
        <v>20.531590000000001</v>
      </c>
      <c r="D2587">
        <v>61</v>
      </c>
      <c r="E2587">
        <v>0</v>
      </c>
      <c r="F2587">
        <v>0</v>
      </c>
      <c r="G2587">
        <v>64</v>
      </c>
      <c r="H2587" s="4">
        <v>1570534631285</v>
      </c>
      <c r="I2587">
        <v>526.6875</v>
      </c>
      <c r="J2587" s="9">
        <f t="shared" si="40"/>
        <v>43746.77582505787</v>
      </c>
      <c r="K2587" s="1"/>
    </row>
    <row r="2588" spans="1:11" x14ac:dyDescent="0.25">
      <c r="A2588" t="e">
        <f>-Lqf9BWD9zOpLS3FGtyI</f>
        <v>#NAME?</v>
      </c>
      <c r="B2588">
        <v>393.75</v>
      </c>
      <c r="C2588">
        <v>20.584240000000001</v>
      </c>
      <c r="D2588">
        <v>60</v>
      </c>
      <c r="E2588">
        <v>0</v>
      </c>
      <c r="F2588">
        <v>0</v>
      </c>
      <c r="G2588">
        <v>59</v>
      </c>
      <c r="H2588" s="4">
        <v>1570534638489</v>
      </c>
      <c r="I2588">
        <v>526.6875</v>
      </c>
      <c r="J2588" s="9">
        <f t="shared" si="40"/>
        <v>43746.775908437499</v>
      </c>
      <c r="K2588" s="1"/>
    </row>
    <row r="2589" spans="1:11" x14ac:dyDescent="0.25">
      <c r="A2589" t="e">
        <f>-Lqf9D4TeR9ou_CdJgOM</f>
        <v>#NAME?</v>
      </c>
      <c r="B2589">
        <v>393.75</v>
      </c>
      <c r="C2589">
        <v>20.584240000000001</v>
      </c>
      <c r="D2589">
        <v>62</v>
      </c>
      <c r="E2589">
        <v>0</v>
      </c>
      <c r="F2589">
        <v>0</v>
      </c>
      <c r="G2589">
        <v>57</v>
      </c>
      <c r="H2589" s="4">
        <v>1570534644685</v>
      </c>
      <c r="I2589">
        <v>526.6875</v>
      </c>
      <c r="J2589" s="9">
        <f t="shared" si="40"/>
        <v>43746.775980150465</v>
      </c>
      <c r="K2589" s="1"/>
    </row>
    <row r="2590" spans="1:11" x14ac:dyDescent="0.25">
      <c r="A2590" t="e">
        <f>-Lqf9EnNxCr0aO-bc8vM</f>
        <v>#NAME?</v>
      </c>
      <c r="B2590">
        <v>393.75</v>
      </c>
      <c r="C2590">
        <v>20.584240000000001</v>
      </c>
      <c r="D2590">
        <v>62</v>
      </c>
      <c r="E2590">
        <v>0</v>
      </c>
      <c r="F2590">
        <v>0</v>
      </c>
      <c r="G2590">
        <v>62</v>
      </c>
      <c r="H2590" s="4">
        <v>1570534651894</v>
      </c>
      <c r="I2590">
        <v>526.6875</v>
      </c>
      <c r="J2590" s="9">
        <f t="shared" si="40"/>
        <v>43746.77606358796</v>
      </c>
      <c r="K2590" s="1"/>
    </row>
    <row r="2591" spans="1:11" x14ac:dyDescent="0.25">
      <c r="A2591" t="e">
        <f>-Lqf9Ga6pHdcmwBGnQhA</f>
        <v>#NAME?</v>
      </c>
      <c r="B2591">
        <v>393.75</v>
      </c>
      <c r="C2591">
        <v>20.584240000000001</v>
      </c>
      <c r="D2591">
        <v>62</v>
      </c>
      <c r="E2591">
        <v>0</v>
      </c>
      <c r="F2591">
        <v>0</v>
      </c>
      <c r="G2591">
        <v>63</v>
      </c>
      <c r="H2591" s="4">
        <v>1570534659115</v>
      </c>
      <c r="I2591">
        <v>526.6875</v>
      </c>
      <c r="J2591" s="9">
        <f t="shared" si="40"/>
        <v>43746.776147164353</v>
      </c>
      <c r="K2591" s="1"/>
    </row>
    <row r="2592" spans="1:11" x14ac:dyDescent="0.25">
      <c r="A2592" t="e">
        <f>-Lqf9IJ4hqlOKzvcV51l</f>
        <v>#NAME?</v>
      </c>
      <c r="B2592">
        <v>393.75</v>
      </c>
      <c r="C2592">
        <v>20.584240000000001</v>
      </c>
      <c r="D2592">
        <v>61</v>
      </c>
      <c r="E2592">
        <v>0</v>
      </c>
      <c r="F2592">
        <v>0</v>
      </c>
      <c r="G2592">
        <v>66</v>
      </c>
      <c r="H2592" s="4">
        <v>1570534666326</v>
      </c>
      <c r="I2592">
        <v>526.6875</v>
      </c>
      <c r="J2592" s="9">
        <f t="shared" si="40"/>
        <v>43746.776230625001</v>
      </c>
      <c r="K2592" s="1"/>
    </row>
    <row r="2593" spans="1:11" x14ac:dyDescent="0.25">
      <c r="A2593" t="e">
        <f>-Lqf9K9peQBNCVxn1x2k</f>
        <v>#NAME?</v>
      </c>
      <c r="B2593">
        <v>393.75</v>
      </c>
      <c r="C2593">
        <v>20.584240000000001</v>
      </c>
      <c r="D2593">
        <v>60</v>
      </c>
      <c r="E2593">
        <v>0</v>
      </c>
      <c r="F2593">
        <v>0</v>
      </c>
      <c r="G2593">
        <v>61</v>
      </c>
      <c r="H2593" s="4">
        <v>1570534672506</v>
      </c>
      <c r="I2593">
        <v>526.6875</v>
      </c>
      <c r="J2593" s="9">
        <f t="shared" si="40"/>
        <v>43746.776302152772</v>
      </c>
      <c r="K2593" s="1"/>
    </row>
    <row r="2594" spans="1:11" x14ac:dyDescent="0.25">
      <c r="A2594" t="e">
        <f>-Lqf9Lp2vWS15BA0n8Zj</f>
        <v>#NAME?</v>
      </c>
      <c r="B2594">
        <v>393.75</v>
      </c>
      <c r="C2594">
        <v>20.584240000000001</v>
      </c>
      <c r="D2594">
        <v>61</v>
      </c>
      <c r="E2594">
        <v>0</v>
      </c>
      <c r="F2594">
        <v>0</v>
      </c>
      <c r="G2594">
        <v>62</v>
      </c>
      <c r="H2594" s="4">
        <v>1570534680724</v>
      </c>
      <c r="I2594">
        <v>526.6875</v>
      </c>
      <c r="J2594" s="9">
        <f t="shared" si="40"/>
        <v>43746.776397268513</v>
      </c>
      <c r="K2594" s="1"/>
    </row>
    <row r="2595" spans="1:11" x14ac:dyDescent="0.25">
      <c r="A2595" t="e">
        <f>-Lqf9NOKRx_ULd9wkXLU</f>
        <v>#NAME?</v>
      </c>
      <c r="B2595">
        <v>393.75</v>
      </c>
      <c r="C2595">
        <v>20.584240000000001</v>
      </c>
      <c r="D2595">
        <v>62</v>
      </c>
      <c r="E2595">
        <v>0</v>
      </c>
      <c r="F2595">
        <v>0</v>
      </c>
      <c r="G2595">
        <v>56</v>
      </c>
      <c r="H2595" s="4">
        <v>1570534686936</v>
      </c>
      <c r="I2595">
        <v>526.6875</v>
      </c>
      <c r="J2595" s="9">
        <f t="shared" si="40"/>
        <v>43746.77646916666</v>
      </c>
      <c r="K2595" s="1"/>
    </row>
    <row r="2596" spans="1:11" x14ac:dyDescent="0.25">
      <c r="A2596" t="e">
        <f>-Lqf9P6C-pLIJolJSO0L</f>
        <v>#NAME?</v>
      </c>
      <c r="B2596">
        <v>393.75</v>
      </c>
      <c r="C2596">
        <v>20.584240000000001</v>
      </c>
      <c r="D2596">
        <v>63</v>
      </c>
      <c r="E2596">
        <v>0</v>
      </c>
      <c r="F2596">
        <v>0</v>
      </c>
      <c r="G2596">
        <v>59</v>
      </c>
      <c r="H2596" s="4">
        <v>1570534694144</v>
      </c>
      <c r="I2596">
        <v>526.6875</v>
      </c>
      <c r="J2596" s="9">
        <f t="shared" si="40"/>
        <v>43746.776552592586</v>
      </c>
      <c r="K2596" s="1"/>
    </row>
    <row r="2597" spans="1:11" x14ac:dyDescent="0.25">
      <c r="A2597" t="e">
        <f>-Lqf9Q_4aY57jGj6HsfE</f>
        <v>#NAME?</v>
      </c>
      <c r="B2597">
        <v>393.75</v>
      </c>
      <c r="C2597">
        <v>20.584240000000001</v>
      </c>
      <c r="D2597">
        <v>63</v>
      </c>
      <c r="E2597">
        <v>0</v>
      </c>
      <c r="F2597">
        <v>0</v>
      </c>
      <c r="G2597">
        <v>64</v>
      </c>
      <c r="H2597" s="4">
        <v>1570534700325</v>
      </c>
      <c r="I2597">
        <v>526.6875</v>
      </c>
      <c r="J2597" s="9">
        <f t="shared" si="40"/>
        <v>43746.77662413194</v>
      </c>
      <c r="K2597" s="1"/>
    </row>
    <row r="2598" spans="1:11" x14ac:dyDescent="0.25">
      <c r="A2598" t="e">
        <f>-Lqf9S92setZEUf2-ZAM</f>
        <v>#NAME?</v>
      </c>
      <c r="B2598">
        <v>393.75</v>
      </c>
      <c r="C2598">
        <v>20.584240000000001</v>
      </c>
      <c r="D2598">
        <v>62</v>
      </c>
      <c r="E2598">
        <v>0</v>
      </c>
      <c r="F2598">
        <v>0</v>
      </c>
      <c r="G2598">
        <v>58</v>
      </c>
      <c r="H2598" s="4">
        <v>1570534706504</v>
      </c>
      <c r="I2598">
        <v>526.6875</v>
      </c>
      <c r="J2598" s="9">
        <f t="shared" si="40"/>
        <v>43746.776695648143</v>
      </c>
      <c r="K2598" s="1"/>
    </row>
    <row r="2599" spans="1:11" x14ac:dyDescent="0.25">
      <c r="A2599" t="e">
        <f>-Lqf9TdA2jLK2O62ltrT</f>
        <v>#NAME?</v>
      </c>
      <c r="B2599">
        <v>393.75</v>
      </c>
      <c r="C2599">
        <v>20.584240000000001</v>
      </c>
      <c r="D2599">
        <v>62</v>
      </c>
      <c r="E2599">
        <v>0</v>
      </c>
      <c r="F2599">
        <v>0</v>
      </c>
      <c r="G2599">
        <v>62</v>
      </c>
      <c r="H2599" s="4">
        <v>1570534712673</v>
      </c>
      <c r="I2599">
        <v>526.5</v>
      </c>
      <c r="J2599" s="9">
        <f t="shared" si="40"/>
        <v>43746.776767048614</v>
      </c>
      <c r="K2599" s="1"/>
    </row>
    <row r="2600" spans="1:11" x14ac:dyDescent="0.25">
      <c r="A2600" t="e">
        <f>-Lqf9V64wnCxz5EbpsTW</f>
        <v>#NAME?</v>
      </c>
      <c r="B2600">
        <v>393.75</v>
      </c>
      <c r="C2600">
        <v>20.531590000000001</v>
      </c>
      <c r="D2600">
        <v>63</v>
      </c>
      <c r="E2600">
        <v>0</v>
      </c>
      <c r="F2600">
        <v>0</v>
      </c>
      <c r="G2600">
        <v>59</v>
      </c>
      <c r="H2600" s="4">
        <v>1570534718873</v>
      </c>
      <c r="I2600">
        <v>526.6875</v>
      </c>
      <c r="J2600" s="9">
        <f t="shared" si="40"/>
        <v>43746.776838807869</v>
      </c>
      <c r="K2600" s="1"/>
    </row>
    <row r="2601" spans="1:11" x14ac:dyDescent="0.25">
      <c r="A2601" t="e">
        <f>-Lqf9WgC7PxANKPVVgTg</f>
        <v>#NAME?</v>
      </c>
      <c r="B2601">
        <v>393.75</v>
      </c>
      <c r="C2601">
        <v>20.584240000000001</v>
      </c>
      <c r="D2601">
        <v>62</v>
      </c>
      <c r="E2601">
        <v>0</v>
      </c>
      <c r="F2601">
        <v>0</v>
      </c>
      <c r="G2601">
        <v>64</v>
      </c>
      <c r="H2601" s="4">
        <v>1570534725055</v>
      </c>
      <c r="I2601">
        <v>526.6875</v>
      </c>
      <c r="J2601" s="9">
        <f t="shared" si="40"/>
        <v>43746.776910358793</v>
      </c>
      <c r="K2601" s="1"/>
    </row>
    <row r="2602" spans="1:11" x14ac:dyDescent="0.25">
      <c r="A2602" t="e">
        <f>-Lqf9YMpiuy0HS6tCYWX</f>
        <v>#NAME?</v>
      </c>
      <c r="B2602">
        <v>393.75</v>
      </c>
      <c r="C2602">
        <v>20.584240000000001</v>
      </c>
      <c r="D2602">
        <v>67</v>
      </c>
      <c r="E2602">
        <v>0</v>
      </c>
      <c r="F2602">
        <v>0</v>
      </c>
      <c r="G2602">
        <v>62</v>
      </c>
      <c r="H2602" s="4">
        <v>1570534732243</v>
      </c>
      <c r="I2602">
        <v>526.6875</v>
      </c>
      <c r="J2602" s="9">
        <f t="shared" si="40"/>
        <v>43746.776993553234</v>
      </c>
      <c r="K2602" s="1"/>
    </row>
    <row r="2603" spans="1:11" x14ac:dyDescent="0.25">
      <c r="A2603" t="e">
        <f>-Lqf9ZyBfQZHjkRMOjHg</f>
        <v>#NAME?</v>
      </c>
      <c r="B2603">
        <v>393.75</v>
      </c>
      <c r="C2603">
        <v>20.584240000000001</v>
      </c>
      <c r="D2603">
        <v>67</v>
      </c>
      <c r="E2603">
        <v>0</v>
      </c>
      <c r="F2603">
        <v>0</v>
      </c>
      <c r="G2603">
        <v>66</v>
      </c>
      <c r="H2603" s="4">
        <v>1570534738444</v>
      </c>
      <c r="I2603">
        <v>526.5</v>
      </c>
      <c r="J2603" s="9">
        <f t="shared" si="40"/>
        <v>43746.777065324073</v>
      </c>
      <c r="K2603" s="1"/>
    </row>
    <row r="2604" spans="1:11" x14ac:dyDescent="0.25">
      <c r="A2604" t="e">
        <f>-Lqf9agA5MlBUENpEymh</f>
        <v>#NAME?</v>
      </c>
      <c r="B2604">
        <v>393.75</v>
      </c>
      <c r="C2604">
        <v>20.584240000000001</v>
      </c>
      <c r="D2604">
        <v>60</v>
      </c>
      <c r="E2604">
        <v>0</v>
      </c>
      <c r="F2604">
        <v>0</v>
      </c>
      <c r="G2604">
        <v>60</v>
      </c>
      <c r="H2604" s="4">
        <v>1570534745685</v>
      </c>
      <c r="I2604">
        <v>526.6875</v>
      </c>
      <c r="J2604" s="9">
        <f t="shared" si="40"/>
        <v>43746.777149131944</v>
      </c>
      <c r="K2604" s="1"/>
    </row>
    <row r="2605" spans="1:11" x14ac:dyDescent="0.25">
      <c r="A2605" t="e">
        <f>-Lqf9cAKsixri-Kt_xla</f>
        <v>#NAME?</v>
      </c>
      <c r="B2605">
        <v>393.75</v>
      </c>
      <c r="C2605">
        <v>20.584240000000001</v>
      </c>
      <c r="D2605">
        <v>60</v>
      </c>
      <c r="E2605">
        <v>0</v>
      </c>
      <c r="F2605">
        <v>0</v>
      </c>
      <c r="G2605">
        <v>45</v>
      </c>
      <c r="H2605" s="4">
        <v>1570534751854</v>
      </c>
      <c r="I2605">
        <v>526.6875</v>
      </c>
      <c r="J2605" s="9">
        <f t="shared" si="40"/>
        <v>43746.777220532407</v>
      </c>
      <c r="K2605" s="1"/>
    </row>
    <row r="2606" spans="1:11" x14ac:dyDescent="0.25">
      <c r="A2606" t="e">
        <f>-Lqf9djEWwYzH9B8PW6O</f>
        <v>#NAME?</v>
      </c>
      <c r="B2606">
        <v>393.75</v>
      </c>
      <c r="C2606">
        <v>20.584240000000001</v>
      </c>
      <c r="D2606">
        <v>60</v>
      </c>
      <c r="E2606">
        <v>0</v>
      </c>
      <c r="F2606">
        <v>0</v>
      </c>
      <c r="G2606">
        <v>68</v>
      </c>
      <c r="H2606" s="4">
        <v>1570534758034</v>
      </c>
      <c r="I2606">
        <v>526.5</v>
      </c>
      <c r="J2606" s="9">
        <f t="shared" si="40"/>
        <v>43746.777292060178</v>
      </c>
      <c r="K2606" s="1"/>
    </row>
    <row r="2607" spans="1:11" x14ac:dyDescent="0.25">
      <c r="A2607" t="s">
        <v>145</v>
      </c>
      <c r="B2607">
        <v>393.75</v>
      </c>
      <c r="C2607">
        <v>20.531590000000001</v>
      </c>
      <c r="D2607">
        <v>62</v>
      </c>
      <c r="E2607">
        <v>0</v>
      </c>
      <c r="F2607">
        <v>0</v>
      </c>
      <c r="G2607">
        <v>72</v>
      </c>
      <c r="H2607" s="4">
        <v>1570534765264</v>
      </c>
      <c r="I2607">
        <v>526.6875</v>
      </c>
      <c r="J2607" s="9">
        <f t="shared" si="40"/>
        <v>43746.777375740734</v>
      </c>
      <c r="K2607" s="1"/>
    </row>
    <row r="2608" spans="1:11" x14ac:dyDescent="0.25">
      <c r="A2608" t="e">
        <f>-Lqf9h02fc5ijfhkDNGf</f>
        <v>#NAME?</v>
      </c>
      <c r="B2608">
        <v>412.5</v>
      </c>
      <c r="C2608">
        <v>20.584240000000001</v>
      </c>
      <c r="D2608">
        <v>61</v>
      </c>
      <c r="E2608">
        <v>0</v>
      </c>
      <c r="F2608">
        <v>0</v>
      </c>
      <c r="G2608">
        <v>61</v>
      </c>
      <c r="H2608" s="4">
        <v>1570534771424</v>
      </c>
      <c r="I2608">
        <v>532.5</v>
      </c>
      <c r="J2608" s="9">
        <f t="shared" si="40"/>
        <v>43746.777447037035</v>
      </c>
      <c r="K2608" s="1"/>
    </row>
    <row r="2609" spans="1:11" x14ac:dyDescent="0.25">
      <c r="A2609" t="e">
        <f>-Lqf9ijCDyIjr_-fSDub</f>
        <v>#NAME?</v>
      </c>
      <c r="B2609">
        <v>393.75</v>
      </c>
      <c r="C2609">
        <v>20.584240000000001</v>
      </c>
      <c r="D2609">
        <v>61</v>
      </c>
      <c r="E2609">
        <v>0</v>
      </c>
      <c r="F2609">
        <v>0</v>
      </c>
      <c r="G2609">
        <v>59</v>
      </c>
      <c r="H2609" s="4">
        <v>1570534778644</v>
      </c>
      <c r="I2609">
        <v>526.6875</v>
      </c>
      <c r="J2609" s="9">
        <f t="shared" si="40"/>
        <v>43746.777530601852</v>
      </c>
      <c r="K2609" s="1"/>
    </row>
    <row r="2610" spans="1:11" x14ac:dyDescent="0.25">
      <c r="A2610" t="e">
        <f>-Lqf9kbCZ2rUDP0SaycR</f>
        <v>#NAME?</v>
      </c>
      <c r="B2610">
        <v>393.75</v>
      </c>
      <c r="C2610">
        <v>20.531590000000001</v>
      </c>
      <c r="D2610">
        <v>62</v>
      </c>
      <c r="E2610">
        <v>0</v>
      </c>
      <c r="F2610">
        <v>0</v>
      </c>
      <c r="G2610">
        <v>59</v>
      </c>
      <c r="H2610" s="4">
        <v>1570534786101</v>
      </c>
      <c r="I2610">
        <v>526.6875</v>
      </c>
      <c r="J2610" s="9">
        <f t="shared" si="40"/>
        <v>43746.77761690972</v>
      </c>
      <c r="K2610" s="1"/>
    </row>
    <row r="2611" spans="1:11" x14ac:dyDescent="0.25">
      <c r="A2611" t="e">
        <f>-Lqf9mFCU2J-dqhgwe75</f>
        <v>#NAME?</v>
      </c>
      <c r="B2611">
        <v>393.75</v>
      </c>
      <c r="C2611">
        <v>20.584240000000001</v>
      </c>
      <c r="D2611">
        <v>63</v>
      </c>
      <c r="E2611">
        <v>0</v>
      </c>
      <c r="F2611">
        <v>0</v>
      </c>
      <c r="G2611">
        <v>57</v>
      </c>
      <c r="H2611" s="4">
        <v>1570534793044</v>
      </c>
      <c r="I2611">
        <v>526.6875</v>
      </c>
      <c r="J2611" s="9">
        <f t="shared" si="40"/>
        <v>43746.777697268517</v>
      </c>
      <c r="K2611" s="1"/>
    </row>
    <row r="2612" spans="1:11" x14ac:dyDescent="0.25">
      <c r="A2612" t="e">
        <f>-Lqf9noCKU4RL75S9Hs2</f>
        <v>#NAME?</v>
      </c>
      <c r="B2612">
        <v>393.75</v>
      </c>
      <c r="C2612">
        <v>20.531590000000001</v>
      </c>
      <c r="D2612">
        <v>62</v>
      </c>
      <c r="E2612">
        <v>0</v>
      </c>
      <c r="F2612">
        <v>0</v>
      </c>
      <c r="G2612">
        <v>64</v>
      </c>
      <c r="H2612" s="4">
        <v>1570534799254</v>
      </c>
      <c r="I2612">
        <v>526.5</v>
      </c>
      <c r="J2612" s="9">
        <f t="shared" si="40"/>
        <v>43746.777769143511</v>
      </c>
      <c r="K2612" s="1"/>
    </row>
    <row r="2613" spans="1:11" x14ac:dyDescent="0.25">
      <c r="A2613" t="e">
        <f>-Lqf9prTg5MvakvGL4Vn</f>
        <v>#NAME?</v>
      </c>
      <c r="B2613">
        <v>393.75</v>
      </c>
      <c r="C2613">
        <v>20.584240000000001</v>
      </c>
      <c r="D2613">
        <v>62</v>
      </c>
      <c r="E2613">
        <v>0</v>
      </c>
      <c r="F2613">
        <v>0</v>
      </c>
      <c r="G2613">
        <v>65</v>
      </c>
      <c r="H2613" s="4">
        <v>1570534806465</v>
      </c>
      <c r="I2613">
        <v>526.5</v>
      </c>
      <c r="J2613" s="9">
        <f t="shared" si="40"/>
        <v>43746.777852604166</v>
      </c>
      <c r="K2613" s="1"/>
    </row>
    <row r="2614" spans="1:11" x14ac:dyDescent="0.25">
      <c r="A2614" t="e">
        <f>-Lqf9rY7dt2Bdo07ybiS</f>
        <v>#NAME?</v>
      </c>
      <c r="B2614">
        <v>393.75</v>
      </c>
      <c r="C2614">
        <v>20.584240000000001</v>
      </c>
      <c r="D2614">
        <v>62</v>
      </c>
      <c r="E2614">
        <v>0</v>
      </c>
      <c r="F2614">
        <v>0</v>
      </c>
      <c r="G2614">
        <v>64</v>
      </c>
      <c r="H2614" s="4">
        <v>1570534814703</v>
      </c>
      <c r="I2614">
        <v>526.6875</v>
      </c>
      <c r="J2614" s="9">
        <f t="shared" si="40"/>
        <v>43746.777947951385</v>
      </c>
      <c r="K2614" s="1"/>
    </row>
    <row r="2615" spans="1:11" x14ac:dyDescent="0.25">
      <c r="A2615" t="e">
        <f>-Lqf9tHCvHIbCOvi8c0l</f>
        <v>#NAME?</v>
      </c>
      <c r="B2615">
        <v>393.75</v>
      </c>
      <c r="C2615">
        <v>20.584240000000001</v>
      </c>
      <c r="D2615">
        <v>62</v>
      </c>
      <c r="E2615">
        <v>0</v>
      </c>
      <c r="F2615">
        <v>0</v>
      </c>
      <c r="G2615">
        <v>56</v>
      </c>
      <c r="H2615" s="4">
        <v>1570534821923</v>
      </c>
      <c r="I2615">
        <v>526.5</v>
      </c>
      <c r="J2615" s="9">
        <f t="shared" si="40"/>
        <v>43746.778031516202</v>
      </c>
      <c r="K2615" s="1"/>
    </row>
    <row r="2616" spans="1:11" x14ac:dyDescent="0.25">
      <c r="A2616" t="e">
        <f>-Lqf9uqCxQOZm89HQEqU</f>
        <v>#NAME?</v>
      </c>
      <c r="B2616">
        <v>393.75</v>
      </c>
      <c r="C2616">
        <v>20.584240000000001</v>
      </c>
      <c r="D2616">
        <v>60</v>
      </c>
      <c r="E2616">
        <v>0</v>
      </c>
      <c r="F2616">
        <v>0</v>
      </c>
      <c r="G2616">
        <v>59</v>
      </c>
      <c r="H2616" s="4">
        <v>1570534828104</v>
      </c>
      <c r="I2616">
        <v>526.6875</v>
      </c>
      <c r="J2616" s="9">
        <f t="shared" si="40"/>
        <v>43746.778103055556</v>
      </c>
      <c r="K2616" s="1"/>
    </row>
    <row r="2617" spans="1:11" x14ac:dyDescent="0.25">
      <c r="A2617" t="e">
        <f>-Lqf9wZCElx8G2RI6cq7</f>
        <v>#NAME?</v>
      </c>
      <c r="B2617">
        <v>393.75</v>
      </c>
      <c r="C2617">
        <v>20.584240000000001</v>
      </c>
      <c r="D2617">
        <v>60</v>
      </c>
      <c r="E2617">
        <v>0</v>
      </c>
      <c r="F2617">
        <v>0</v>
      </c>
      <c r="G2617">
        <v>63</v>
      </c>
      <c r="H2617" s="4">
        <v>1570534835284</v>
      </c>
      <c r="I2617">
        <v>526.6875</v>
      </c>
      <c r="J2617" s="9">
        <f t="shared" si="40"/>
        <v>43746.778186157404</v>
      </c>
      <c r="K2617" s="1"/>
    </row>
    <row r="2618" spans="1:11" x14ac:dyDescent="0.25">
      <c r="A2618" t="e">
        <f>-Lqf9y75XdxzyTLIDRsX</f>
        <v>#NAME?</v>
      </c>
      <c r="B2618">
        <v>437.5</v>
      </c>
      <c r="C2618">
        <v>20.584240000000001</v>
      </c>
      <c r="D2618">
        <v>61</v>
      </c>
      <c r="E2618">
        <v>0</v>
      </c>
      <c r="F2618">
        <v>0</v>
      </c>
      <c r="G2618">
        <v>59</v>
      </c>
      <c r="H2618" s="4">
        <v>1570534841495</v>
      </c>
      <c r="I2618">
        <v>540.375</v>
      </c>
      <c r="J2618" s="9">
        <f t="shared" si="40"/>
        <v>43746.778258043974</v>
      </c>
      <c r="K2618" s="1"/>
    </row>
    <row r="2619" spans="1:11" x14ac:dyDescent="0.25">
      <c r="A2619" t="e">
        <f>-Lqf9znrWo8dHun7jeWv</f>
        <v>#NAME?</v>
      </c>
      <c r="B2619">
        <v>393.75</v>
      </c>
      <c r="C2619">
        <v>20.584240000000001</v>
      </c>
      <c r="D2619">
        <v>60</v>
      </c>
      <c r="E2619">
        <v>0</v>
      </c>
      <c r="F2619">
        <v>0</v>
      </c>
      <c r="G2619">
        <v>64</v>
      </c>
      <c r="H2619" s="4">
        <v>1570534848723</v>
      </c>
      <c r="I2619">
        <v>526.6875</v>
      </c>
      <c r="J2619" s="9">
        <f t="shared" si="40"/>
        <v>43746.778341701385</v>
      </c>
      <c r="K2619" s="1"/>
    </row>
    <row r="2620" spans="1:11" x14ac:dyDescent="0.25">
      <c r="A2620" t="e">
        <f>-LqfA0d38pw_UKaH5M2c</f>
        <v>#NAME?</v>
      </c>
      <c r="B2620">
        <v>393.75</v>
      </c>
      <c r="C2620">
        <v>20.584240000000001</v>
      </c>
      <c r="D2620">
        <v>60</v>
      </c>
      <c r="E2620">
        <v>0</v>
      </c>
      <c r="F2620">
        <v>0</v>
      </c>
      <c r="G2620">
        <v>60</v>
      </c>
      <c r="H2620" s="4">
        <v>1570534855929</v>
      </c>
      <c r="I2620">
        <v>526.6875</v>
      </c>
      <c r="J2620" s="9">
        <f t="shared" si="40"/>
        <v>43746.778425104167</v>
      </c>
      <c r="K2620" s="1"/>
    </row>
    <row r="2621" spans="1:11" x14ac:dyDescent="0.25">
      <c r="A2621" t="e">
        <f>-LqfA2MC007vjqY1V7qd</f>
        <v>#NAME?</v>
      </c>
      <c r="B2621">
        <v>393.75</v>
      </c>
      <c r="C2621">
        <v>20.531590000000001</v>
      </c>
      <c r="D2621">
        <v>61</v>
      </c>
      <c r="E2621">
        <v>0</v>
      </c>
      <c r="F2621">
        <v>0</v>
      </c>
      <c r="G2621">
        <v>67</v>
      </c>
      <c r="H2621" s="4">
        <v>1570534863128</v>
      </c>
      <c r="I2621">
        <v>526.6875</v>
      </c>
      <c r="J2621" s="9">
        <f t="shared" si="40"/>
        <v>43746.778508425923</v>
      </c>
      <c r="K2621" s="1"/>
    </row>
    <row r="2622" spans="1:11" x14ac:dyDescent="0.25">
      <c r="A2622" t="e">
        <f>-LqfA3uG_PcilP8zneJv</f>
        <v>#NAME?</v>
      </c>
      <c r="B2622">
        <v>393.75</v>
      </c>
      <c r="C2622">
        <v>20.584240000000001</v>
      </c>
      <c r="D2622">
        <v>62</v>
      </c>
      <c r="E2622">
        <v>0</v>
      </c>
      <c r="F2622">
        <v>0</v>
      </c>
      <c r="G2622">
        <v>67</v>
      </c>
      <c r="H2622" s="4">
        <v>1570534869315</v>
      </c>
      <c r="I2622">
        <v>526.6875</v>
      </c>
      <c r="J2622" s="9">
        <f t="shared" si="40"/>
        <v>43746.778580034719</v>
      </c>
      <c r="K2622" s="1"/>
    </row>
    <row r="2623" spans="1:11" x14ac:dyDescent="0.25">
      <c r="A2623" t="e">
        <f>-LqfA5c6e8EI9Jt0YpZG</f>
        <v>#NAME?</v>
      </c>
      <c r="B2623">
        <v>393.75</v>
      </c>
      <c r="C2623">
        <v>20.584240000000001</v>
      </c>
      <c r="D2623">
        <v>62</v>
      </c>
      <c r="E2623">
        <v>0</v>
      </c>
      <c r="F2623">
        <v>0</v>
      </c>
      <c r="G2623">
        <v>74</v>
      </c>
      <c r="H2623" s="4">
        <v>1570534876534</v>
      </c>
      <c r="I2623">
        <v>526.6875</v>
      </c>
      <c r="J2623" s="9">
        <f t="shared" si="40"/>
        <v>43746.77866358796</v>
      </c>
      <c r="K2623" s="1"/>
    </row>
    <row r="2624" spans="1:11" x14ac:dyDescent="0.25">
      <c r="A2624" t="e">
        <f>-LqfA7R5QkFv7wAMO_pu</f>
        <v>#NAME?</v>
      </c>
      <c r="B2624">
        <v>393.75</v>
      </c>
      <c r="C2624">
        <v>20.584240000000001</v>
      </c>
      <c r="D2624">
        <v>62</v>
      </c>
      <c r="E2624">
        <v>0</v>
      </c>
      <c r="F2624">
        <v>0</v>
      </c>
      <c r="G2624">
        <v>59</v>
      </c>
      <c r="H2624" s="4">
        <v>1570534883744</v>
      </c>
      <c r="I2624">
        <v>526.6875</v>
      </c>
      <c r="J2624" s="9">
        <f t="shared" si="40"/>
        <v>43746.778747037031</v>
      </c>
      <c r="K2624" s="1"/>
    </row>
    <row r="2625" spans="1:11" x14ac:dyDescent="0.25">
      <c r="A2625" t="e">
        <f>-LqfA96qBP-iE22vBvYY</f>
        <v>#NAME?</v>
      </c>
      <c r="B2625">
        <v>393.75</v>
      </c>
      <c r="C2625">
        <v>20.584240000000001</v>
      </c>
      <c r="D2625">
        <v>63</v>
      </c>
      <c r="E2625">
        <v>0</v>
      </c>
      <c r="F2625">
        <v>0</v>
      </c>
      <c r="G2625">
        <v>58</v>
      </c>
      <c r="H2625" s="4">
        <v>1570534890963</v>
      </c>
      <c r="I2625">
        <v>526.6875</v>
      </c>
      <c r="J2625" s="9">
        <f t="shared" si="40"/>
        <v>43746.778830590272</v>
      </c>
      <c r="K2625" s="1"/>
    </row>
    <row r="2626" spans="1:11" x14ac:dyDescent="0.25">
      <c r="A2626" t="e">
        <f>-LqfAAxXVqO2rzOY469B</f>
        <v>#NAME?</v>
      </c>
      <c r="B2626">
        <v>412.5</v>
      </c>
      <c r="C2626">
        <v>20.584240000000001</v>
      </c>
      <c r="D2626">
        <v>63</v>
      </c>
      <c r="E2626">
        <v>0</v>
      </c>
      <c r="F2626">
        <v>0</v>
      </c>
      <c r="G2626">
        <v>64</v>
      </c>
      <c r="H2626" s="4">
        <v>1570534897135</v>
      </c>
      <c r="I2626">
        <v>532.3125</v>
      </c>
      <c r="J2626" s="9">
        <f t="shared" si="40"/>
        <v>43746.778902025464</v>
      </c>
      <c r="K2626" s="1"/>
    </row>
    <row r="2627" spans="1:11" x14ac:dyDescent="0.25">
      <c r="A2627" t="e">
        <f>-LqfACgSiOd-_5KnVwJx</f>
        <v>#NAME?</v>
      </c>
      <c r="B2627">
        <v>393.75</v>
      </c>
      <c r="C2627">
        <v>20.584240000000001</v>
      </c>
      <c r="D2627">
        <v>64</v>
      </c>
      <c r="E2627">
        <v>0</v>
      </c>
      <c r="F2627">
        <v>0</v>
      </c>
      <c r="G2627">
        <v>66</v>
      </c>
      <c r="H2627" s="4">
        <v>1570534905366</v>
      </c>
      <c r="I2627">
        <v>526.6875</v>
      </c>
      <c r="J2627" s="9">
        <f t="shared" ref="J2627:J2690" si="41">(H2627/86400000)+25569+(7/24)</f>
        <v>43746.778997291665</v>
      </c>
      <c r="K2627" s="1"/>
    </row>
    <row r="2628" spans="1:11" x14ac:dyDescent="0.25">
      <c r="A2628" t="e">
        <f>-LqfAEECnBtXi7XWkq96</f>
        <v>#NAME?</v>
      </c>
      <c r="B2628">
        <v>393.75</v>
      </c>
      <c r="C2628">
        <v>20.584240000000001</v>
      </c>
      <c r="D2628">
        <v>64</v>
      </c>
      <c r="E2628">
        <v>0</v>
      </c>
      <c r="F2628">
        <v>0</v>
      </c>
      <c r="G2628">
        <v>65</v>
      </c>
      <c r="H2628" s="4">
        <v>1570534911565</v>
      </c>
      <c r="I2628">
        <v>526.5</v>
      </c>
      <c r="J2628" s="9">
        <f t="shared" si="41"/>
        <v>43746.779069039352</v>
      </c>
      <c r="K2628" s="1"/>
    </row>
    <row r="2629" spans="1:11" x14ac:dyDescent="0.25">
      <c r="A2629" t="e">
        <f>-LqfAFxCT_BOzTJZB7mY</f>
        <v>#NAME?</v>
      </c>
      <c r="B2629">
        <v>393.75</v>
      </c>
      <c r="C2629">
        <v>20.531590000000001</v>
      </c>
      <c r="D2629">
        <v>64</v>
      </c>
      <c r="E2629">
        <v>0</v>
      </c>
      <c r="F2629">
        <v>0</v>
      </c>
      <c r="G2629">
        <v>57</v>
      </c>
      <c r="H2629" s="4">
        <v>1570534918776</v>
      </c>
      <c r="I2629">
        <v>526.6875</v>
      </c>
      <c r="J2629" s="9">
        <f t="shared" si="41"/>
        <v>43746.779152499999</v>
      </c>
      <c r="K2629" s="1"/>
    </row>
    <row r="2630" spans="1:11" x14ac:dyDescent="0.25">
      <c r="A2630" t="e">
        <f>-LqfAHRCurMoiZsEyACH</f>
        <v>#NAME?</v>
      </c>
      <c r="B2630">
        <v>393.75</v>
      </c>
      <c r="C2630">
        <v>20.584240000000001</v>
      </c>
      <c r="D2630">
        <v>64</v>
      </c>
      <c r="E2630">
        <v>0</v>
      </c>
      <c r="F2630">
        <v>0</v>
      </c>
      <c r="G2630">
        <v>59</v>
      </c>
      <c r="H2630" s="4">
        <v>1570534924965</v>
      </c>
      <c r="I2630">
        <v>526.5</v>
      </c>
      <c r="J2630" s="9">
        <f t="shared" si="41"/>
        <v>43746.77922413194</v>
      </c>
      <c r="K2630" s="1"/>
    </row>
    <row r="2631" spans="1:11" x14ac:dyDescent="0.25">
      <c r="A2631" t="e">
        <f>-LqfAJ-DobFvMj0QN3QZ</f>
        <v>#NAME?</v>
      </c>
      <c r="B2631">
        <v>393.75</v>
      </c>
      <c r="C2631">
        <v>20.584240000000001</v>
      </c>
      <c r="D2631">
        <v>65</v>
      </c>
      <c r="E2631">
        <v>0</v>
      </c>
      <c r="F2631">
        <v>0</v>
      </c>
      <c r="G2631">
        <v>54</v>
      </c>
      <c r="H2631" s="4">
        <v>1570534931146</v>
      </c>
      <c r="I2631">
        <v>526.6875</v>
      </c>
      <c r="J2631" s="9">
        <f t="shared" si="41"/>
        <v>43746.779295671295</v>
      </c>
      <c r="K2631" s="1"/>
    </row>
    <row r="2632" spans="1:11" x14ac:dyDescent="0.25">
      <c r="A2632" t="e">
        <f>-LqfAKUNre_vAo8jxoVb</f>
        <v>#NAME?</v>
      </c>
      <c r="B2632">
        <v>400</v>
      </c>
      <c r="C2632">
        <v>20.584240000000001</v>
      </c>
      <c r="D2632">
        <v>65</v>
      </c>
      <c r="E2632">
        <v>0</v>
      </c>
      <c r="F2632">
        <v>0</v>
      </c>
      <c r="G2632">
        <v>58</v>
      </c>
      <c r="H2632" s="4">
        <v>1570534937325</v>
      </c>
      <c r="I2632">
        <v>528.75</v>
      </c>
      <c r="J2632" s="9">
        <f t="shared" si="41"/>
        <v>43746.779367187497</v>
      </c>
      <c r="K2632" s="1"/>
    </row>
    <row r="2633" spans="1:11" x14ac:dyDescent="0.25">
      <c r="A2633" t="e">
        <f>-LqfAMHCv0euB5Jz-Tns</f>
        <v>#NAME?</v>
      </c>
      <c r="B2633">
        <v>393.75</v>
      </c>
      <c r="C2633">
        <v>20.584240000000001</v>
      </c>
      <c r="D2633">
        <v>64</v>
      </c>
      <c r="E2633">
        <v>0</v>
      </c>
      <c r="F2633">
        <v>0</v>
      </c>
      <c r="G2633">
        <v>63</v>
      </c>
      <c r="H2633" s="4">
        <v>1570534944544</v>
      </c>
      <c r="I2633">
        <v>526.6875</v>
      </c>
      <c r="J2633" s="9">
        <f t="shared" si="41"/>
        <v>43746.779450740738</v>
      </c>
      <c r="K2633" s="1"/>
    </row>
    <row r="2634" spans="1:11" x14ac:dyDescent="0.25">
      <c r="A2634" t="s">
        <v>146</v>
      </c>
      <c r="B2634">
        <v>393.75</v>
      </c>
      <c r="C2634">
        <v>20.531590000000001</v>
      </c>
      <c r="D2634">
        <v>64</v>
      </c>
      <c r="E2634">
        <v>0</v>
      </c>
      <c r="F2634">
        <v>0</v>
      </c>
      <c r="G2634">
        <v>56</v>
      </c>
      <c r="H2634" s="4">
        <v>1570534951835</v>
      </c>
      <c r="I2634">
        <v>526.6875</v>
      </c>
      <c r="J2634" s="9">
        <f t="shared" si="41"/>
        <v>43746.779535127316</v>
      </c>
      <c r="K2634" s="1"/>
    </row>
    <row r="2635" spans="1:11" x14ac:dyDescent="0.25">
      <c r="A2635" t="e">
        <f>-LqfAPU461u8RbJvAHqi</f>
        <v>#NAME?</v>
      </c>
      <c r="B2635">
        <v>393.75</v>
      </c>
      <c r="C2635">
        <v>20.584240000000001</v>
      </c>
      <c r="D2635">
        <v>61</v>
      </c>
      <c r="E2635">
        <v>0</v>
      </c>
      <c r="F2635">
        <v>0</v>
      </c>
      <c r="G2635">
        <v>59</v>
      </c>
      <c r="H2635" s="4">
        <v>1570534957937</v>
      </c>
      <c r="I2635">
        <v>526.6875</v>
      </c>
      <c r="J2635" s="9">
        <f t="shared" si="41"/>
        <v>43746.779605752316</v>
      </c>
      <c r="K2635" s="1"/>
    </row>
    <row r="2636" spans="1:11" x14ac:dyDescent="0.25">
      <c r="A2636" t="e">
        <f>-LqfAR2EbHKBl8El8-kY</f>
        <v>#NAME?</v>
      </c>
      <c r="B2636">
        <v>393.75</v>
      </c>
      <c r="C2636">
        <v>20.584240000000001</v>
      </c>
      <c r="D2636">
        <v>62</v>
      </c>
      <c r="E2636">
        <v>0</v>
      </c>
      <c r="F2636">
        <v>0</v>
      </c>
      <c r="G2636">
        <v>60</v>
      </c>
      <c r="H2636" s="4">
        <v>1570534964116</v>
      </c>
      <c r="I2636">
        <v>526.6875</v>
      </c>
      <c r="J2636" s="9">
        <f t="shared" si="41"/>
        <v>43746.779677268518</v>
      </c>
      <c r="K2636" s="1"/>
    </row>
    <row r="2637" spans="1:11" x14ac:dyDescent="0.25">
      <c r="A2637" t="e">
        <f>-LqfASXCc01leRojEjGw</f>
        <v>#NAME?</v>
      </c>
      <c r="B2637">
        <v>393.75</v>
      </c>
      <c r="C2637">
        <v>20.584240000000001</v>
      </c>
      <c r="D2637">
        <v>62</v>
      </c>
      <c r="E2637">
        <v>0</v>
      </c>
      <c r="F2637">
        <v>0</v>
      </c>
      <c r="G2637">
        <v>62</v>
      </c>
      <c r="H2637" s="4">
        <v>1570534970294</v>
      </c>
      <c r="I2637">
        <v>526.6875</v>
      </c>
      <c r="J2637" s="9">
        <f t="shared" si="41"/>
        <v>43746.779748773144</v>
      </c>
      <c r="K2637" s="1"/>
    </row>
    <row r="2638" spans="1:11" x14ac:dyDescent="0.25">
      <c r="A2638" t="e">
        <f>-LqfAU0MNJJmlRCCDW7k</f>
        <v>#NAME?</v>
      </c>
      <c r="B2638">
        <v>393.75</v>
      </c>
      <c r="C2638">
        <v>20.584240000000001</v>
      </c>
      <c r="D2638">
        <v>61</v>
      </c>
      <c r="E2638">
        <v>0</v>
      </c>
      <c r="F2638">
        <v>0</v>
      </c>
      <c r="G2638">
        <v>63</v>
      </c>
      <c r="H2638" s="4">
        <v>1570534976486</v>
      </c>
      <c r="I2638">
        <v>526.5</v>
      </c>
      <c r="J2638" s="9">
        <f t="shared" si="41"/>
        <v>43746.779820439813</v>
      </c>
      <c r="K2638" s="1"/>
    </row>
    <row r="2639" spans="1:11" x14ac:dyDescent="0.25">
      <c r="A2639" t="e">
        <f>-LqfAV_DOiwvcU531mzb</f>
        <v>#NAME?</v>
      </c>
      <c r="B2639">
        <v>393.75</v>
      </c>
      <c r="C2639">
        <v>20.584240000000001</v>
      </c>
      <c r="D2639">
        <v>61</v>
      </c>
      <c r="E2639">
        <v>0</v>
      </c>
      <c r="F2639">
        <v>0</v>
      </c>
      <c r="G2639">
        <v>58</v>
      </c>
      <c r="H2639" s="4">
        <v>1570534982665</v>
      </c>
      <c r="I2639">
        <v>526.6875</v>
      </c>
      <c r="J2639" s="9">
        <f t="shared" si="41"/>
        <v>43746.779891956015</v>
      </c>
      <c r="K2639" s="1"/>
    </row>
    <row r="2640" spans="1:11" x14ac:dyDescent="0.25">
      <c r="A2640" t="e">
        <f>-LqfAXINrskIe4dukODD</f>
        <v>#NAME?</v>
      </c>
      <c r="B2640">
        <v>393.75</v>
      </c>
      <c r="C2640">
        <v>20.584240000000001</v>
      </c>
      <c r="D2640">
        <v>63</v>
      </c>
      <c r="E2640">
        <v>0</v>
      </c>
      <c r="F2640">
        <v>0</v>
      </c>
      <c r="G2640">
        <v>62</v>
      </c>
      <c r="H2640" s="4">
        <v>1570534989845</v>
      </c>
      <c r="I2640">
        <v>526.6875</v>
      </c>
      <c r="J2640" s="9">
        <f t="shared" si="41"/>
        <v>43746.779975057863</v>
      </c>
      <c r="K2640" s="1"/>
    </row>
    <row r="2641" spans="1:11" x14ac:dyDescent="0.25">
      <c r="A2641" t="e">
        <f>-LqfAYrCMbicexKmTfZq</f>
        <v>#NAME?</v>
      </c>
      <c r="B2641">
        <v>393.75</v>
      </c>
      <c r="C2641">
        <v>20.584240000000001</v>
      </c>
      <c r="D2641">
        <v>63</v>
      </c>
      <c r="E2641">
        <v>0</v>
      </c>
      <c r="F2641">
        <v>0</v>
      </c>
      <c r="G2641">
        <v>56</v>
      </c>
      <c r="H2641" s="4">
        <v>1570534996034</v>
      </c>
      <c r="I2641">
        <v>526.6875</v>
      </c>
      <c r="J2641" s="9">
        <f t="shared" si="41"/>
        <v>43746.780046689812</v>
      </c>
      <c r="K2641" s="1"/>
    </row>
    <row r="2642" spans="1:11" x14ac:dyDescent="0.25">
      <c r="A2642" t="e">
        <f>-LqfA__Ex6hty76luaIB</f>
        <v>#NAME?</v>
      </c>
      <c r="B2642">
        <v>418.75</v>
      </c>
      <c r="C2642">
        <v>20.584240000000001</v>
      </c>
      <c r="D2642">
        <v>62</v>
      </c>
      <c r="E2642">
        <v>0</v>
      </c>
      <c r="F2642">
        <v>0</v>
      </c>
      <c r="G2642">
        <v>62</v>
      </c>
      <c r="H2642" s="4">
        <v>1570535003285</v>
      </c>
      <c r="I2642">
        <v>534</v>
      </c>
      <c r="J2642" s="9">
        <f t="shared" si="41"/>
        <v>43746.780130613428</v>
      </c>
      <c r="K2642" s="1"/>
    </row>
    <row r="2643" spans="1:11" x14ac:dyDescent="0.25">
      <c r="A2643" t="e">
        <f>-LqfAb8DW5wc4AnGTVZv</f>
        <v>#NAME?</v>
      </c>
      <c r="B2643">
        <v>393.75</v>
      </c>
      <c r="C2643">
        <v>20.584240000000001</v>
      </c>
      <c r="D2643">
        <v>62</v>
      </c>
      <c r="E2643">
        <v>0</v>
      </c>
      <c r="F2643">
        <v>0</v>
      </c>
      <c r="G2643">
        <v>61</v>
      </c>
      <c r="H2643" s="4">
        <v>1570535009456</v>
      </c>
      <c r="I2643">
        <v>526.6875</v>
      </c>
      <c r="J2643" s="9">
        <f t="shared" si="41"/>
        <v>43746.780202037036</v>
      </c>
      <c r="K2643" s="1"/>
    </row>
    <row r="2644" spans="1:11" x14ac:dyDescent="0.25">
      <c r="A2644" t="e">
        <f>-LqfAcrMR0rrJD_B78WS</f>
        <v>#NAME?</v>
      </c>
      <c r="B2644">
        <v>393.75</v>
      </c>
      <c r="C2644">
        <v>20.584240000000001</v>
      </c>
      <c r="D2644">
        <v>65</v>
      </c>
      <c r="E2644">
        <v>0</v>
      </c>
      <c r="F2644">
        <v>0</v>
      </c>
      <c r="G2644">
        <v>54</v>
      </c>
      <c r="H2644" s="4">
        <v>1570535016674</v>
      </c>
      <c r="I2644">
        <v>526.5</v>
      </c>
      <c r="J2644" s="9">
        <f t="shared" si="41"/>
        <v>43746.780285578701</v>
      </c>
      <c r="K2644" s="1"/>
    </row>
    <row r="2645" spans="1:11" x14ac:dyDescent="0.25">
      <c r="A2645" t="e">
        <f>-LqfAeeCD4y3bTH-ss3j</f>
        <v>#NAME?</v>
      </c>
      <c r="B2645">
        <v>393.75</v>
      </c>
      <c r="C2645">
        <v>20.584240000000001</v>
      </c>
      <c r="D2645">
        <v>64</v>
      </c>
      <c r="E2645">
        <v>0</v>
      </c>
      <c r="F2645">
        <v>0</v>
      </c>
      <c r="G2645">
        <v>63</v>
      </c>
      <c r="H2645" s="4">
        <v>1570535023886</v>
      </c>
      <c r="I2645">
        <v>526.6875</v>
      </c>
      <c r="J2645" s="9">
        <f t="shared" si="41"/>
        <v>43746.780369050924</v>
      </c>
      <c r="K2645" s="1"/>
    </row>
    <row r="2646" spans="1:11" x14ac:dyDescent="0.25">
      <c r="A2646" t="e">
        <f>-LqfAgNCiH52yzVPhyem</f>
        <v>#NAME?</v>
      </c>
      <c r="B2646">
        <v>393.75</v>
      </c>
      <c r="C2646">
        <v>20.531590000000001</v>
      </c>
      <c r="D2646">
        <v>64</v>
      </c>
      <c r="E2646">
        <v>0</v>
      </c>
      <c r="F2646">
        <v>0</v>
      </c>
      <c r="G2646">
        <v>59</v>
      </c>
      <c r="H2646" s="4">
        <v>1570535031097</v>
      </c>
      <c r="I2646">
        <v>526.6875</v>
      </c>
      <c r="J2646" s="9">
        <f t="shared" si="41"/>
        <v>43746.780452511572</v>
      </c>
      <c r="K2646" s="1"/>
    </row>
    <row r="2647" spans="1:11" x14ac:dyDescent="0.25">
      <c r="A2647" t="e">
        <f>-LqfAhrCKsQBh-s0Uwcz</f>
        <v>#NAME?</v>
      </c>
      <c r="B2647">
        <v>393.75</v>
      </c>
      <c r="C2647">
        <v>20.584240000000001</v>
      </c>
      <c r="D2647">
        <v>64</v>
      </c>
      <c r="E2647">
        <v>0</v>
      </c>
      <c r="F2647">
        <v>0</v>
      </c>
      <c r="G2647">
        <v>60</v>
      </c>
      <c r="H2647" s="4">
        <v>1570535037274</v>
      </c>
      <c r="I2647">
        <v>526.6875</v>
      </c>
      <c r="J2647" s="9">
        <f t="shared" si="41"/>
        <v>43746.780524004622</v>
      </c>
      <c r="K2647" s="1"/>
    </row>
    <row r="2648" spans="1:11" x14ac:dyDescent="0.25">
      <c r="A2648" t="e">
        <f>-LqfAjQEgIE3lFOGKgfK</f>
        <v>#NAME?</v>
      </c>
      <c r="B2648">
        <v>393.75</v>
      </c>
      <c r="C2648">
        <v>20.531590000000001</v>
      </c>
      <c r="D2648">
        <v>64</v>
      </c>
      <c r="E2648">
        <v>0</v>
      </c>
      <c r="F2648">
        <v>0</v>
      </c>
      <c r="G2648">
        <v>59</v>
      </c>
      <c r="H2648" s="4">
        <v>1570535043465</v>
      </c>
      <c r="I2648">
        <v>526.6875</v>
      </c>
      <c r="J2648" s="9">
        <f t="shared" si="41"/>
        <v>43746.780595659722</v>
      </c>
      <c r="K2648" s="1"/>
    </row>
    <row r="2649" spans="1:11" x14ac:dyDescent="0.25">
      <c r="A2649" t="e">
        <f>-LqfAkvbXiJ1D7PVGse7</f>
        <v>#NAME?</v>
      </c>
      <c r="B2649">
        <v>393.75</v>
      </c>
      <c r="C2649">
        <v>20.584240000000001</v>
      </c>
      <c r="D2649">
        <v>64</v>
      </c>
      <c r="E2649">
        <v>0</v>
      </c>
      <c r="F2649">
        <v>0</v>
      </c>
      <c r="G2649">
        <v>68</v>
      </c>
      <c r="H2649" s="4">
        <v>1570535049646</v>
      </c>
      <c r="I2649">
        <v>526.6875</v>
      </c>
      <c r="J2649" s="9">
        <f t="shared" si="41"/>
        <v>43746.780667199077</v>
      </c>
      <c r="K2649" s="1"/>
    </row>
    <row r="2650" spans="1:11" x14ac:dyDescent="0.25">
      <c r="A2650" t="e">
        <f>-LqfAmhDGsPl19pChE6n</f>
        <v>#NAME?</v>
      </c>
      <c r="B2650">
        <v>393.75</v>
      </c>
      <c r="C2650">
        <v>20.584240000000001</v>
      </c>
      <c r="D2650">
        <v>63</v>
      </c>
      <c r="E2650">
        <v>0</v>
      </c>
      <c r="F2650">
        <v>0</v>
      </c>
      <c r="G2650">
        <v>57</v>
      </c>
      <c r="H2650" s="4">
        <v>1570535056866</v>
      </c>
      <c r="I2650">
        <v>526.6875</v>
      </c>
      <c r="J2650" s="9">
        <f t="shared" si="41"/>
        <v>43746.780750763886</v>
      </c>
      <c r="K2650" s="1"/>
    </row>
    <row r="2651" spans="1:11" x14ac:dyDescent="0.25">
      <c r="A2651" t="e">
        <f>-LqfAoQEmjy5Ifz-#REF!</f>
        <v>#NAME?</v>
      </c>
      <c r="B2651">
        <v>393.75</v>
      </c>
      <c r="C2651">
        <v>20.584240000000001</v>
      </c>
      <c r="D2651">
        <v>63</v>
      </c>
      <c r="E2651">
        <v>0</v>
      </c>
      <c r="F2651">
        <v>0</v>
      </c>
      <c r="G2651">
        <v>60</v>
      </c>
      <c r="H2651" s="4">
        <v>1570535064094</v>
      </c>
      <c r="I2651">
        <v>526.6875</v>
      </c>
      <c r="J2651" s="9">
        <f t="shared" si="41"/>
        <v>43746.78083442129</v>
      </c>
      <c r="K2651" s="1"/>
    </row>
    <row r="2652" spans="1:11" x14ac:dyDescent="0.25">
      <c r="A2652" t="e">
        <f>-LqfApu54ndB7WJr45kM</f>
        <v>#NAME?</v>
      </c>
      <c r="B2652">
        <v>393.75</v>
      </c>
      <c r="C2652">
        <v>20.584240000000001</v>
      </c>
      <c r="D2652">
        <v>63</v>
      </c>
      <c r="E2652">
        <v>0</v>
      </c>
      <c r="F2652">
        <v>0</v>
      </c>
      <c r="G2652">
        <v>55</v>
      </c>
      <c r="H2652" s="4">
        <v>1570535070255</v>
      </c>
      <c r="I2652">
        <v>526.6875</v>
      </c>
      <c r="J2652" s="9">
        <f t="shared" si="41"/>
        <v>43746.780905729167</v>
      </c>
      <c r="K2652" s="1"/>
    </row>
    <row r="2653" spans="1:11" x14ac:dyDescent="0.25">
      <c r="A2653" t="e">
        <f>-LqfArT37PhkdX9ovnYe</f>
        <v>#NAME?</v>
      </c>
      <c r="B2653">
        <v>393.75</v>
      </c>
      <c r="C2653">
        <v>20.584240000000001</v>
      </c>
      <c r="D2653">
        <v>64</v>
      </c>
      <c r="E2653">
        <v>0</v>
      </c>
      <c r="F2653">
        <v>0</v>
      </c>
      <c r="G2653">
        <v>63</v>
      </c>
      <c r="H2653" s="4">
        <v>1570535076436</v>
      </c>
      <c r="I2653">
        <v>526.6875</v>
      </c>
      <c r="J2653" s="9">
        <f t="shared" si="41"/>
        <v>43746.780977268521</v>
      </c>
      <c r="K2653" s="1"/>
    </row>
    <row r="2654" spans="1:11" x14ac:dyDescent="0.25">
      <c r="A2654" t="e">
        <f>-LqfAt7GcJweOJpj34_V</f>
        <v>#NAME?</v>
      </c>
      <c r="B2654">
        <v>400</v>
      </c>
      <c r="C2654">
        <v>20.584240000000001</v>
      </c>
      <c r="D2654">
        <v>64</v>
      </c>
      <c r="E2654">
        <v>0</v>
      </c>
      <c r="F2654">
        <v>0</v>
      </c>
      <c r="G2654">
        <v>59</v>
      </c>
      <c r="H2654" s="4">
        <v>1570535082594</v>
      </c>
      <c r="I2654">
        <v>528.375</v>
      </c>
      <c r="J2654" s="9">
        <f t="shared" si="41"/>
        <v>43746.781048541663</v>
      </c>
      <c r="K2654" s="1"/>
    </row>
    <row r="2655" spans="1:11" x14ac:dyDescent="0.25">
      <c r="A2655" t="e">
        <f>-LqfAukEJjRZceE5METE</f>
        <v>#NAME?</v>
      </c>
      <c r="B2655">
        <v>393.75</v>
      </c>
      <c r="C2655">
        <v>20.584240000000001</v>
      </c>
      <c r="D2655">
        <v>63</v>
      </c>
      <c r="E2655">
        <v>0</v>
      </c>
      <c r="F2655">
        <v>0</v>
      </c>
      <c r="G2655">
        <v>63</v>
      </c>
      <c r="H2655" s="4">
        <v>1570535089834</v>
      </c>
      <c r="I2655">
        <v>526.5</v>
      </c>
      <c r="J2655" s="9">
        <f t="shared" si="41"/>
        <v>43746.781132337965</v>
      </c>
      <c r="K2655" s="1"/>
    </row>
    <row r="2656" spans="1:11" x14ac:dyDescent="0.25">
      <c r="A2656" t="e">
        <f>-LqfAwTCtP3b2PTuWft6</f>
        <v>#NAME?</v>
      </c>
      <c r="B2656">
        <v>393.75</v>
      </c>
      <c r="C2656">
        <v>20.531590000000001</v>
      </c>
      <c r="D2656">
        <v>63</v>
      </c>
      <c r="E2656">
        <v>0</v>
      </c>
      <c r="F2656">
        <v>0</v>
      </c>
      <c r="G2656">
        <v>64</v>
      </c>
      <c r="H2656" s="4">
        <v>1570535097046</v>
      </c>
      <c r="I2656">
        <v>526.6875</v>
      </c>
      <c r="J2656" s="9">
        <f t="shared" si="41"/>
        <v>43746.781215810181</v>
      </c>
      <c r="K2656" s="1"/>
    </row>
    <row r="2657" spans="1:11" x14ac:dyDescent="0.25">
      <c r="A2657" t="e">
        <f>-LqfAy1Oh9HFDDJky4ff</f>
        <v>#NAME?</v>
      </c>
      <c r="B2657">
        <v>412.5</v>
      </c>
      <c r="C2657">
        <v>20.584240000000001</v>
      </c>
      <c r="D2657">
        <v>61</v>
      </c>
      <c r="E2657">
        <v>0</v>
      </c>
      <c r="F2657">
        <v>0</v>
      </c>
      <c r="G2657">
        <v>60</v>
      </c>
      <c r="H2657" s="4">
        <v>1570535103236</v>
      </c>
      <c r="I2657">
        <v>532.3125</v>
      </c>
      <c r="J2657" s="9">
        <f t="shared" si="41"/>
        <v>43746.781287453698</v>
      </c>
      <c r="K2657" s="1"/>
    </row>
    <row r="2658" spans="1:11" x14ac:dyDescent="0.25">
      <c r="A2658" t="e">
        <f>-LqfAzkEwoJbwT7bqnWZ</f>
        <v>#NAME?</v>
      </c>
      <c r="B2658">
        <v>393.75</v>
      </c>
      <c r="C2658">
        <v>20.584240000000001</v>
      </c>
      <c r="D2658">
        <v>62</v>
      </c>
      <c r="E2658">
        <v>0</v>
      </c>
      <c r="F2658">
        <v>0</v>
      </c>
      <c r="G2658">
        <v>66</v>
      </c>
      <c r="H2658" s="4">
        <v>1570535110445</v>
      </c>
      <c r="I2658">
        <v>526.6875</v>
      </c>
      <c r="J2658" s="9">
        <f t="shared" si="41"/>
        <v>43746.7813708912</v>
      </c>
      <c r="K2658" s="1"/>
    </row>
    <row r="2659" spans="1:11" x14ac:dyDescent="0.25">
      <c r="A2659" t="e">
        <f>-LqfB0ECkkSQUB2LjVie</f>
        <v>#NAME?</v>
      </c>
      <c r="B2659">
        <v>393.75</v>
      </c>
      <c r="C2659">
        <v>20.531590000000001</v>
      </c>
      <c r="D2659">
        <v>65</v>
      </c>
      <c r="E2659">
        <v>0</v>
      </c>
      <c r="F2659">
        <v>0</v>
      </c>
      <c r="G2659">
        <v>58</v>
      </c>
      <c r="H2659" s="4">
        <v>1570535116636</v>
      </c>
      <c r="I2659">
        <v>526.6875</v>
      </c>
      <c r="J2659" s="9">
        <f t="shared" si="41"/>
        <v>43746.781442546293</v>
      </c>
      <c r="K2659" s="1"/>
    </row>
    <row r="2660" spans="1:11" x14ac:dyDescent="0.25">
      <c r="A2660" t="e">
        <f>-LqfB26D4dkhKEZqj6Lo</f>
        <v>#NAME?</v>
      </c>
      <c r="B2660">
        <v>393.75</v>
      </c>
      <c r="C2660">
        <v>20.584240000000001</v>
      </c>
      <c r="D2660">
        <v>65</v>
      </c>
      <c r="E2660">
        <v>0</v>
      </c>
      <c r="F2660">
        <v>0</v>
      </c>
      <c r="G2660">
        <v>60</v>
      </c>
      <c r="H2660" s="4">
        <v>1570535124151</v>
      </c>
      <c r="I2660">
        <v>526.6875</v>
      </c>
      <c r="J2660" s="9">
        <f t="shared" si="41"/>
        <v>43746.781529525462</v>
      </c>
      <c r="K2660" s="1"/>
    </row>
    <row r="2661" spans="1:11" x14ac:dyDescent="0.25">
      <c r="A2661" t="e">
        <f>-LqfB3o6aKgFVEevgeUL</f>
        <v>#NAME?</v>
      </c>
      <c r="B2661">
        <v>393.75</v>
      </c>
      <c r="C2661">
        <v>20.584240000000001</v>
      </c>
      <c r="D2661">
        <v>64</v>
      </c>
      <c r="E2661">
        <v>0</v>
      </c>
      <c r="F2661">
        <v>0</v>
      </c>
      <c r="G2661">
        <v>64</v>
      </c>
      <c r="H2661" s="4">
        <v>1570535131057</v>
      </c>
      <c r="I2661">
        <v>526.6875</v>
      </c>
      <c r="J2661" s="9">
        <f t="shared" si="41"/>
        <v>43746.781609456018</v>
      </c>
      <c r="K2661" s="1"/>
    </row>
    <row r="2662" spans="1:11" x14ac:dyDescent="0.25">
      <c r="A2662" t="e">
        <f>-LqfB5YB91QtOHOtk52O</f>
        <v>#NAME?</v>
      </c>
      <c r="B2662">
        <v>393.75</v>
      </c>
      <c r="C2662">
        <v>20.584240000000001</v>
      </c>
      <c r="D2662">
        <v>65</v>
      </c>
      <c r="E2662">
        <v>0</v>
      </c>
      <c r="F2662">
        <v>0</v>
      </c>
      <c r="G2662">
        <v>61</v>
      </c>
      <c r="H2662" s="4">
        <v>1570535138263</v>
      </c>
      <c r="I2662">
        <v>526.6875</v>
      </c>
      <c r="J2662" s="9">
        <f t="shared" si="41"/>
        <v>43746.781692858793</v>
      </c>
      <c r="K2662" s="1"/>
    </row>
    <row r="2663" spans="1:11" x14ac:dyDescent="0.25">
      <c r="A2663" t="e">
        <f>-LqfB71AgM2254Ih2EF8</f>
        <v>#NAME?</v>
      </c>
      <c r="B2663">
        <v>393.75</v>
      </c>
      <c r="C2663">
        <v>20.584240000000001</v>
      </c>
      <c r="D2663">
        <v>65</v>
      </c>
      <c r="E2663">
        <v>0</v>
      </c>
      <c r="F2663">
        <v>0</v>
      </c>
      <c r="G2663">
        <v>63</v>
      </c>
      <c r="H2663" s="4">
        <v>1570535144423</v>
      </c>
      <c r="I2663">
        <v>526.6875</v>
      </c>
      <c r="J2663" s="9">
        <f t="shared" si="41"/>
        <v>43746.781764155086</v>
      </c>
      <c r="K2663" s="1"/>
    </row>
    <row r="2664" spans="1:11" x14ac:dyDescent="0.25">
      <c r="A2664" t="e">
        <f>-LqfB8aAIVFOJxnuzAV7</f>
        <v>#NAME?</v>
      </c>
      <c r="B2664">
        <v>393.75</v>
      </c>
      <c r="C2664">
        <v>20.584240000000001</v>
      </c>
      <c r="D2664">
        <v>65</v>
      </c>
      <c r="E2664">
        <v>0</v>
      </c>
      <c r="F2664">
        <v>0</v>
      </c>
      <c r="G2664">
        <v>59</v>
      </c>
      <c r="H2664" s="4">
        <v>1570535150633</v>
      </c>
      <c r="I2664">
        <v>526.6875</v>
      </c>
      <c r="J2664" s="9">
        <f t="shared" si="41"/>
        <v>43746.781836030095</v>
      </c>
      <c r="K2664" s="1"/>
    </row>
    <row r="2665" spans="1:11" x14ac:dyDescent="0.25">
      <c r="A2665" t="e">
        <f>-LqfBAJCIJpLJHsGRkJ3</f>
        <v>#NAME?</v>
      </c>
      <c r="B2665">
        <v>393.75</v>
      </c>
      <c r="C2665">
        <v>20.584240000000001</v>
      </c>
      <c r="D2665">
        <v>65</v>
      </c>
      <c r="E2665">
        <v>0</v>
      </c>
      <c r="F2665">
        <v>0</v>
      </c>
      <c r="G2665">
        <v>63</v>
      </c>
      <c r="H2665" s="4">
        <v>1570535157842</v>
      </c>
      <c r="I2665">
        <v>526.6875</v>
      </c>
      <c r="J2665" s="9">
        <f t="shared" si="41"/>
        <v>43746.78191946759</v>
      </c>
      <c r="K2665" s="1"/>
    </row>
    <row r="2666" spans="1:11" x14ac:dyDescent="0.25">
      <c r="A2666" t="e">
        <f>-LqfBC2TOcO2P01oxRkg</f>
        <v>#NAME?</v>
      </c>
      <c r="B2666">
        <v>393.75</v>
      </c>
      <c r="C2666">
        <v>20.584240000000001</v>
      </c>
      <c r="D2666">
        <v>65</v>
      </c>
      <c r="E2666">
        <v>0</v>
      </c>
      <c r="F2666">
        <v>0</v>
      </c>
      <c r="G2666">
        <v>61</v>
      </c>
      <c r="H2666" s="4">
        <v>1570535165064</v>
      </c>
      <c r="I2666">
        <v>526.6875</v>
      </c>
      <c r="J2666" s="9">
        <f t="shared" si="41"/>
        <v>43746.782003055552</v>
      </c>
      <c r="K2666" s="1"/>
    </row>
    <row r="2667" spans="1:11" x14ac:dyDescent="0.25">
      <c r="A2667" t="e">
        <f>-LqfBDZxK7ks2oMRwbvF</f>
        <v>#NAME?</v>
      </c>
      <c r="B2667">
        <v>393.75</v>
      </c>
      <c r="C2667">
        <v>20.584240000000001</v>
      </c>
      <c r="D2667">
        <v>65</v>
      </c>
      <c r="E2667">
        <v>0</v>
      </c>
      <c r="F2667">
        <v>0</v>
      </c>
      <c r="G2667">
        <v>59</v>
      </c>
      <c r="H2667" s="4">
        <v>1570535171242</v>
      </c>
      <c r="I2667">
        <v>526.6875</v>
      </c>
      <c r="J2667" s="9">
        <f t="shared" si="41"/>
        <v>43746.782074560186</v>
      </c>
      <c r="K2667" s="1"/>
    </row>
    <row r="2668" spans="1:11" x14ac:dyDescent="0.25">
      <c r="A2668" t="e">
        <f>-LqfBF3603VQixgo_YKT</f>
        <v>#NAME?</v>
      </c>
      <c r="B2668">
        <v>393.75</v>
      </c>
      <c r="C2668">
        <v>20.584240000000001</v>
      </c>
      <c r="D2668">
        <v>65</v>
      </c>
      <c r="E2668">
        <v>0</v>
      </c>
      <c r="F2668">
        <v>0</v>
      </c>
      <c r="G2668">
        <v>66</v>
      </c>
      <c r="H2668" s="4">
        <v>1570535177422</v>
      </c>
      <c r="I2668">
        <v>526.5</v>
      </c>
      <c r="J2668" s="9">
        <f t="shared" si="41"/>
        <v>43746.782146087957</v>
      </c>
      <c r="K2668" s="1"/>
    </row>
    <row r="2669" spans="1:11" x14ac:dyDescent="0.25">
      <c r="A2669" t="e">
        <f>-LqfBGxB5Fi4NdpSXoJf</f>
        <v>#NAME?</v>
      </c>
      <c r="B2669">
        <v>412.5</v>
      </c>
      <c r="C2669">
        <v>20.584240000000001</v>
      </c>
      <c r="D2669">
        <v>63</v>
      </c>
      <c r="E2669">
        <v>0</v>
      </c>
      <c r="F2669">
        <v>0</v>
      </c>
      <c r="G2669">
        <v>53</v>
      </c>
      <c r="H2669" s="4">
        <v>1570535184923</v>
      </c>
      <c r="I2669">
        <v>532.125</v>
      </c>
      <c r="J2669" s="9">
        <f t="shared" si="41"/>
        <v>43746.78223290509</v>
      </c>
      <c r="K2669" s="1"/>
    </row>
    <row r="2670" spans="1:11" x14ac:dyDescent="0.25">
      <c r="A2670" t="e">
        <f>-LqfBIaCjysPAtxpXsDE</f>
        <v>#NAME?</v>
      </c>
      <c r="B2670">
        <v>393.75</v>
      </c>
      <c r="C2670">
        <v>20.584240000000001</v>
      </c>
      <c r="D2670">
        <v>63</v>
      </c>
      <c r="E2670">
        <v>0</v>
      </c>
      <c r="F2670">
        <v>0</v>
      </c>
      <c r="G2670">
        <v>59</v>
      </c>
      <c r="H2670" s="4">
        <v>1570535191853</v>
      </c>
      <c r="I2670">
        <v>526.6875</v>
      </c>
      <c r="J2670" s="9">
        <f t="shared" si="41"/>
        <v>43746.782313113428</v>
      </c>
      <c r="K2670" s="1"/>
    </row>
    <row r="2671" spans="1:11" x14ac:dyDescent="0.25">
      <c r="A2671" t="e">
        <f>-LqfBK9DQcGR_1No_ud3</f>
        <v>#NAME?</v>
      </c>
      <c r="B2671">
        <v>393.75</v>
      </c>
      <c r="C2671">
        <v>20.584240000000001</v>
      </c>
      <c r="D2671">
        <v>63</v>
      </c>
      <c r="E2671">
        <v>0</v>
      </c>
      <c r="F2671">
        <v>0</v>
      </c>
      <c r="G2671">
        <v>57</v>
      </c>
      <c r="H2671" s="4">
        <v>1570535198034</v>
      </c>
      <c r="I2671">
        <v>526.6875</v>
      </c>
      <c r="J2671" s="9">
        <f t="shared" si="41"/>
        <v>43746.782384652775</v>
      </c>
      <c r="K2671" s="1"/>
    </row>
    <row r="2672" spans="1:11" x14ac:dyDescent="0.25">
      <c r="A2672" t="e">
        <f>-LqfBLcGH_1Le_nwQN-_</f>
        <v>#NAME?</v>
      </c>
      <c r="B2672">
        <v>393.75</v>
      </c>
      <c r="C2672">
        <v>20.584240000000001</v>
      </c>
      <c r="D2672">
        <v>63</v>
      </c>
      <c r="E2672">
        <v>0</v>
      </c>
      <c r="F2672">
        <v>0</v>
      </c>
      <c r="G2672">
        <v>60</v>
      </c>
      <c r="H2672" s="4">
        <v>1570535204203</v>
      </c>
      <c r="I2672">
        <v>526.6875</v>
      </c>
      <c r="J2672" s="9">
        <f t="shared" si="41"/>
        <v>43746.782456053239</v>
      </c>
      <c r="K2672" s="1"/>
    </row>
    <row r="2673" spans="1:11" x14ac:dyDescent="0.25">
      <c r="A2673" t="e">
        <f>-LqfBNQ60faxYyEC6Dwe</f>
        <v>#NAME?</v>
      </c>
      <c r="B2673">
        <v>393.75</v>
      </c>
      <c r="C2673">
        <v>20.584240000000001</v>
      </c>
      <c r="D2673">
        <v>63</v>
      </c>
      <c r="E2673">
        <v>0</v>
      </c>
      <c r="F2673">
        <v>0</v>
      </c>
      <c r="G2673">
        <v>59</v>
      </c>
      <c r="H2673" s="4">
        <v>1570535211434</v>
      </c>
      <c r="I2673">
        <v>526.6875</v>
      </c>
      <c r="J2673" s="9">
        <f t="shared" si="41"/>
        <v>43746.782539745363</v>
      </c>
      <c r="K2673" s="1"/>
    </row>
    <row r="2674" spans="1:11" x14ac:dyDescent="0.25">
      <c r="A2674" t="e">
        <f>-LqfBP6Palp3VLXvyqdw</f>
        <v>#NAME?</v>
      </c>
      <c r="B2674">
        <v>393.75</v>
      </c>
      <c r="C2674">
        <v>20.584240000000001</v>
      </c>
      <c r="D2674">
        <v>63</v>
      </c>
      <c r="E2674">
        <v>0</v>
      </c>
      <c r="F2674">
        <v>0</v>
      </c>
      <c r="G2674">
        <v>65</v>
      </c>
      <c r="H2674" s="4">
        <v>1570535218643</v>
      </c>
      <c r="I2674">
        <v>526.6875</v>
      </c>
      <c r="J2674" s="9">
        <f t="shared" si="41"/>
        <v>43746.782623182873</v>
      </c>
      <c r="K2674" s="1"/>
    </row>
    <row r="2675" spans="1:11" x14ac:dyDescent="0.25">
      <c r="A2675" t="e">
        <f>-LqfBQd3zom4lkf_BDZs</f>
        <v>#NAME?</v>
      </c>
      <c r="B2675">
        <v>393.75</v>
      </c>
      <c r="C2675">
        <v>20.584240000000001</v>
      </c>
      <c r="D2675">
        <v>62</v>
      </c>
      <c r="E2675">
        <v>0</v>
      </c>
      <c r="F2675">
        <v>0</v>
      </c>
      <c r="G2675">
        <v>60</v>
      </c>
      <c r="H2675" s="4">
        <v>1570535224824</v>
      </c>
      <c r="I2675">
        <v>526.6875</v>
      </c>
      <c r="J2675" s="9">
        <f t="shared" si="41"/>
        <v>43746.78269472222</v>
      </c>
      <c r="K2675" s="1"/>
    </row>
    <row r="2676" spans="1:11" x14ac:dyDescent="0.25">
      <c r="A2676" t="e">
        <f>-LqfBSB6rGoq3Ml7CZOS</f>
        <v>#NAME?</v>
      </c>
      <c r="B2676">
        <v>393.75</v>
      </c>
      <c r="C2676">
        <v>20.584240000000001</v>
      </c>
      <c r="D2676">
        <v>62</v>
      </c>
      <c r="E2676">
        <v>0</v>
      </c>
      <c r="F2676">
        <v>0</v>
      </c>
      <c r="G2676">
        <v>63</v>
      </c>
      <c r="H2676" s="4">
        <v>1570535231024</v>
      </c>
      <c r="I2676">
        <v>526.5</v>
      </c>
      <c r="J2676" s="9">
        <f t="shared" si="41"/>
        <v>43746.782766481476</v>
      </c>
      <c r="K2676" s="1"/>
    </row>
    <row r="2677" spans="1:11" x14ac:dyDescent="0.25">
      <c r="A2677" t="e">
        <f>-LqfBTuGIiqHHWu6bQnb</f>
        <v>#NAME?</v>
      </c>
      <c r="B2677">
        <v>393.75</v>
      </c>
      <c r="C2677">
        <v>20.584240000000001</v>
      </c>
      <c r="D2677">
        <v>62</v>
      </c>
      <c r="E2677">
        <v>0</v>
      </c>
      <c r="F2677">
        <v>0</v>
      </c>
      <c r="G2677">
        <v>62</v>
      </c>
      <c r="H2677" s="4">
        <v>1570535238224</v>
      </c>
      <c r="I2677">
        <v>526.6875</v>
      </c>
      <c r="J2677" s="9">
        <f t="shared" si="41"/>
        <v>43746.782849814808</v>
      </c>
      <c r="K2677" s="1"/>
    </row>
    <row r="2678" spans="1:11" x14ac:dyDescent="0.25">
      <c r="A2678" t="e">
        <f>-LqfBVVJo1o14-gFK5Nb</f>
        <v>#NAME?</v>
      </c>
      <c r="B2678">
        <v>393.75</v>
      </c>
      <c r="C2678">
        <v>20.584240000000001</v>
      </c>
      <c r="D2678">
        <v>62</v>
      </c>
      <c r="E2678">
        <v>0</v>
      </c>
      <c r="F2678">
        <v>0</v>
      </c>
      <c r="G2678">
        <v>60</v>
      </c>
      <c r="H2678" s="4">
        <v>1570535244416</v>
      </c>
      <c r="I2678">
        <v>526.6875</v>
      </c>
      <c r="J2678" s="9">
        <f t="shared" si="41"/>
        <v>43746.782921481477</v>
      </c>
      <c r="K2678" s="1"/>
    </row>
    <row r="2679" spans="1:11" x14ac:dyDescent="0.25">
      <c r="A2679" t="e">
        <f>-LqfBXCMZrdvaVSxWGLu</f>
        <v>#NAME?</v>
      </c>
      <c r="B2679">
        <v>393.75</v>
      </c>
      <c r="C2679">
        <v>20.584240000000001</v>
      </c>
      <c r="D2679">
        <v>62</v>
      </c>
      <c r="E2679">
        <v>0</v>
      </c>
      <c r="F2679">
        <v>0</v>
      </c>
      <c r="G2679">
        <v>60</v>
      </c>
      <c r="H2679" s="4">
        <v>1570535251603</v>
      </c>
      <c r="I2679">
        <v>526.6875</v>
      </c>
      <c r="J2679" s="9">
        <f t="shared" si="41"/>
        <v>43746.78300466435</v>
      </c>
      <c r="K2679" s="1"/>
    </row>
    <row r="2680" spans="1:11" x14ac:dyDescent="0.25">
      <c r="A2680" t="e">
        <f>-LqfBZ-BOwWS-dlk3hgP</f>
        <v>#NAME?</v>
      </c>
      <c r="B2680">
        <v>393.75</v>
      </c>
      <c r="C2680">
        <v>20.584240000000001</v>
      </c>
      <c r="D2680">
        <v>63</v>
      </c>
      <c r="E2680">
        <v>0</v>
      </c>
      <c r="F2680">
        <v>0</v>
      </c>
      <c r="G2680">
        <v>61</v>
      </c>
      <c r="H2680" s="4">
        <v>1570535258833</v>
      </c>
      <c r="I2680">
        <v>526.6875</v>
      </c>
      <c r="J2680" s="9">
        <f t="shared" si="41"/>
        <v>43746.783088344906</v>
      </c>
      <c r="K2680" s="1"/>
    </row>
    <row r="2681" spans="1:11" x14ac:dyDescent="0.25">
      <c r="A2681" t="e">
        <f>-LqfB_UCT4FBvh74IJEz</f>
        <v>#NAME?</v>
      </c>
      <c r="B2681">
        <v>393.75</v>
      </c>
      <c r="C2681">
        <v>20.584240000000001</v>
      </c>
      <c r="D2681">
        <v>63</v>
      </c>
      <c r="E2681">
        <v>0</v>
      </c>
      <c r="F2681">
        <v>0</v>
      </c>
      <c r="G2681">
        <v>63</v>
      </c>
      <c r="H2681" s="4">
        <v>1570535264994</v>
      </c>
      <c r="I2681">
        <v>526.6875</v>
      </c>
      <c r="J2681" s="9">
        <f t="shared" si="41"/>
        <v>43746.783159652776</v>
      </c>
      <c r="K2681" s="1"/>
    </row>
    <row r="2682" spans="1:11" x14ac:dyDescent="0.25">
      <c r="A2682" t="e">
        <f>-LqfBayCxECgWndvzWCy</f>
        <v>#NAME?</v>
      </c>
      <c r="B2682">
        <v>393.75</v>
      </c>
      <c r="C2682">
        <v>20.531590000000001</v>
      </c>
      <c r="D2682">
        <v>63</v>
      </c>
      <c r="E2682">
        <v>0</v>
      </c>
      <c r="F2682">
        <v>0</v>
      </c>
      <c r="G2682">
        <v>65</v>
      </c>
      <c r="H2682" s="4">
        <v>1570535271194</v>
      </c>
      <c r="I2682">
        <v>526.5</v>
      </c>
      <c r="J2682" s="9">
        <f t="shared" si="41"/>
        <v>43746.783231412039</v>
      </c>
      <c r="K2682" s="1"/>
    </row>
    <row r="2683" spans="1:11" x14ac:dyDescent="0.25">
      <c r="A2683" t="e">
        <f>-LqfBcW6IhR3dycMqf4d</f>
        <v>#NAME?</v>
      </c>
      <c r="B2683">
        <v>393.75</v>
      </c>
      <c r="C2683">
        <v>20.584240000000001</v>
      </c>
      <c r="D2683">
        <v>65</v>
      </c>
      <c r="E2683">
        <v>0</v>
      </c>
      <c r="F2683">
        <v>0</v>
      </c>
      <c r="G2683">
        <v>60</v>
      </c>
      <c r="H2683" s="4">
        <v>1570535277385</v>
      </c>
      <c r="I2683">
        <v>526.5</v>
      </c>
      <c r="J2683" s="9">
        <f t="shared" si="41"/>
        <v>43746.783303067125</v>
      </c>
      <c r="K2683" s="1"/>
    </row>
    <row r="2684" spans="1:11" x14ac:dyDescent="0.25">
      <c r="A2684" t="e">
        <f>-LqfBeKConrx2y6VhRhz</f>
        <v>#NAME?</v>
      </c>
      <c r="B2684">
        <v>425</v>
      </c>
      <c r="C2684">
        <v>20.584240000000001</v>
      </c>
      <c r="D2684">
        <v>64</v>
      </c>
      <c r="E2684">
        <v>0</v>
      </c>
      <c r="F2684">
        <v>0</v>
      </c>
      <c r="G2684">
        <v>59</v>
      </c>
      <c r="H2684" s="4">
        <v>1570535284746</v>
      </c>
      <c r="I2684">
        <v>536.4375</v>
      </c>
      <c r="J2684" s="9">
        <f t="shared" si="41"/>
        <v>43746.783388263888</v>
      </c>
      <c r="K2684" s="1"/>
    </row>
    <row r="2685" spans="1:11" x14ac:dyDescent="0.25">
      <c r="A2685" t="e">
        <f>-LqfBg23reVnAXxOOkDv</f>
        <v>#NAME?</v>
      </c>
      <c r="B2685">
        <v>393.75</v>
      </c>
      <c r="C2685">
        <v>20.584240000000001</v>
      </c>
      <c r="D2685">
        <v>63</v>
      </c>
      <c r="E2685">
        <v>0</v>
      </c>
      <c r="F2685">
        <v>0</v>
      </c>
      <c r="G2685">
        <v>66</v>
      </c>
      <c r="H2685" s="4">
        <v>1570535291812</v>
      </c>
      <c r="I2685">
        <v>526.6875</v>
      </c>
      <c r="J2685" s="9">
        <f t="shared" si="41"/>
        <v>43746.783470046292</v>
      </c>
      <c r="K2685" s="1"/>
    </row>
    <row r="2686" spans="1:11" x14ac:dyDescent="0.25">
      <c r="A2686" t="e">
        <f>-LqfBhXE4t8WLQ8383UK</f>
        <v>#NAME?</v>
      </c>
      <c r="B2686">
        <v>393.75</v>
      </c>
      <c r="C2686">
        <v>20.584240000000001</v>
      </c>
      <c r="D2686">
        <v>62</v>
      </c>
      <c r="E2686">
        <v>0</v>
      </c>
      <c r="F2686">
        <v>0</v>
      </c>
      <c r="G2686">
        <v>61</v>
      </c>
      <c r="H2686" s="4">
        <v>1570535298004</v>
      </c>
      <c r="I2686">
        <v>526.6875</v>
      </c>
      <c r="J2686" s="9">
        <f t="shared" si="41"/>
        <v>43746.783541712961</v>
      </c>
      <c r="K2686" s="1"/>
    </row>
    <row r="2687" spans="1:11" x14ac:dyDescent="0.25">
      <c r="A2687" t="s">
        <v>147</v>
      </c>
      <c r="B2687">
        <v>412.5</v>
      </c>
      <c r="C2687">
        <v>20.584240000000001</v>
      </c>
      <c r="D2687">
        <v>61</v>
      </c>
      <c r="E2687">
        <v>0</v>
      </c>
      <c r="F2687">
        <v>0</v>
      </c>
      <c r="G2687">
        <v>67</v>
      </c>
      <c r="H2687" s="4">
        <v>1570535304172</v>
      </c>
      <c r="I2687">
        <v>532.3125</v>
      </c>
      <c r="J2687" s="9">
        <f t="shared" si="41"/>
        <v>43746.783613101848</v>
      </c>
      <c r="K2687" s="1"/>
    </row>
    <row r="2688" spans="1:11" x14ac:dyDescent="0.25">
      <c r="A2688" t="e">
        <f>-LqfBkZ55bhVGkLGtMRq</f>
        <v>#NAME?</v>
      </c>
      <c r="B2688">
        <v>393.75</v>
      </c>
      <c r="C2688">
        <v>20.584240000000001</v>
      </c>
      <c r="D2688">
        <v>60</v>
      </c>
      <c r="E2688">
        <v>0</v>
      </c>
      <c r="F2688">
        <v>0</v>
      </c>
      <c r="G2688">
        <v>59</v>
      </c>
      <c r="H2688" s="4">
        <v>1570535310354</v>
      </c>
      <c r="I2688">
        <v>526.6875</v>
      </c>
      <c r="J2688" s="9">
        <f t="shared" si="41"/>
        <v>43746.783684652772</v>
      </c>
      <c r="K2688" s="1"/>
    </row>
    <row r="2689" spans="1:11" x14ac:dyDescent="0.25">
      <c r="A2689" t="e">
        <f>-LqfBmIIbYAUoG5o1LE1</f>
        <v>#NAME?</v>
      </c>
      <c r="B2689">
        <v>393.75</v>
      </c>
      <c r="C2689">
        <v>20.584240000000001</v>
      </c>
      <c r="D2689">
        <v>61</v>
      </c>
      <c r="E2689">
        <v>0</v>
      </c>
      <c r="F2689">
        <v>0</v>
      </c>
      <c r="G2689">
        <v>63</v>
      </c>
      <c r="H2689" s="4">
        <v>1570535317584</v>
      </c>
      <c r="I2689">
        <v>526.6875</v>
      </c>
      <c r="J2689" s="9">
        <f t="shared" si="41"/>
        <v>43746.783768333327</v>
      </c>
      <c r="K2689" s="1"/>
    </row>
    <row r="2690" spans="1:11" x14ac:dyDescent="0.25">
      <c r="A2690" t="e">
        <f>-LqfBnrBhik8NNr79j0o</f>
        <v>#NAME?</v>
      </c>
      <c r="B2690">
        <v>393.75</v>
      </c>
      <c r="C2690">
        <v>20.584240000000001</v>
      </c>
      <c r="D2690">
        <v>59</v>
      </c>
      <c r="E2690">
        <v>0</v>
      </c>
      <c r="F2690">
        <v>0</v>
      </c>
      <c r="G2690">
        <v>57</v>
      </c>
      <c r="H2690" s="4">
        <v>1570535323755</v>
      </c>
      <c r="I2690">
        <v>526.6875</v>
      </c>
      <c r="J2690" s="9">
        <f t="shared" si="41"/>
        <v>43746.783839756943</v>
      </c>
      <c r="K2690" s="1"/>
    </row>
    <row r="2691" spans="1:11" x14ac:dyDescent="0.25">
      <c r="A2691" t="e">
        <f>-LqfBp_2GLE70rnKCRmi</f>
        <v>#NAME?</v>
      </c>
      <c r="B2691">
        <v>393.75</v>
      </c>
      <c r="C2691">
        <v>20.584240000000001</v>
      </c>
      <c r="D2691">
        <v>62</v>
      </c>
      <c r="E2691">
        <v>0</v>
      </c>
      <c r="F2691">
        <v>0</v>
      </c>
      <c r="G2691">
        <v>60</v>
      </c>
      <c r="H2691" s="4">
        <v>1570535330964</v>
      </c>
      <c r="I2691">
        <v>526.6875</v>
      </c>
      <c r="J2691" s="9">
        <f t="shared" ref="J2691:J2754" si="42">(H2691/86400000)+25569+(7/24)</f>
        <v>43746.783923194445</v>
      </c>
      <c r="K2691" s="1"/>
    </row>
    <row r="2692" spans="1:11" x14ac:dyDescent="0.25">
      <c r="A2692" t="e">
        <f>-LqfBrSCBDT4QHJey-Uw</f>
        <v>#NAME?</v>
      </c>
      <c r="B2692">
        <v>393.75</v>
      </c>
      <c r="C2692">
        <v>20.584240000000001</v>
      </c>
      <c r="D2692">
        <v>61</v>
      </c>
      <c r="E2692">
        <v>0</v>
      </c>
      <c r="F2692">
        <v>0</v>
      </c>
      <c r="G2692">
        <v>63</v>
      </c>
      <c r="H2692" s="4">
        <v>1570535337153</v>
      </c>
      <c r="I2692">
        <v>526.6875</v>
      </c>
      <c r="J2692" s="9">
        <f t="shared" si="42"/>
        <v>43746.783994826386</v>
      </c>
      <c r="K2692" s="1"/>
    </row>
    <row r="2693" spans="1:11" x14ac:dyDescent="0.25">
      <c r="A2693" t="e">
        <f>-LqfBtP6WiJHIILM-J1R</f>
        <v>#NAME?</v>
      </c>
      <c r="B2693">
        <v>393.75</v>
      </c>
      <c r="C2693">
        <v>20.584240000000001</v>
      </c>
      <c r="D2693">
        <v>63</v>
      </c>
      <c r="E2693">
        <v>0</v>
      </c>
      <c r="F2693">
        <v>0</v>
      </c>
      <c r="G2693">
        <v>61</v>
      </c>
      <c r="H2693" s="4">
        <v>1570535345364</v>
      </c>
      <c r="I2693">
        <v>526.5</v>
      </c>
      <c r="J2693" s="9">
        <f t="shared" si="42"/>
        <v>43746.78408986111</v>
      </c>
      <c r="K2693" s="1"/>
    </row>
    <row r="2694" spans="1:11" x14ac:dyDescent="0.25">
      <c r="A2694" t="e">
        <f>-LqfBv7WCFfgisde_nzY</f>
        <v>#NAME?</v>
      </c>
      <c r="B2694">
        <v>393.75</v>
      </c>
      <c r="C2694">
        <v>20.584240000000001</v>
      </c>
      <c r="D2694">
        <v>62</v>
      </c>
      <c r="E2694">
        <v>0</v>
      </c>
      <c r="F2694">
        <v>0</v>
      </c>
      <c r="G2694">
        <v>59</v>
      </c>
      <c r="H2694" s="4">
        <v>1570535353636</v>
      </c>
      <c r="I2694">
        <v>526.6875</v>
      </c>
      <c r="J2694" s="9">
        <f t="shared" si="42"/>
        <v>43746.784185601849</v>
      </c>
      <c r="K2694" s="1"/>
    </row>
    <row r="2695" spans="1:11" x14ac:dyDescent="0.25">
      <c r="A2695" t="e">
        <f>-LqfBwvCHLG4iDqqp2g2</f>
        <v>#NAME?</v>
      </c>
      <c r="B2695">
        <v>393.75</v>
      </c>
      <c r="C2695">
        <v>20.584240000000001</v>
      </c>
      <c r="D2695">
        <v>60</v>
      </c>
      <c r="E2695">
        <v>0</v>
      </c>
      <c r="F2695">
        <v>0</v>
      </c>
      <c r="G2695">
        <v>51</v>
      </c>
      <c r="H2695" s="4">
        <v>1570535360854</v>
      </c>
      <c r="I2695">
        <v>526.6875</v>
      </c>
      <c r="J2695" s="9">
        <f t="shared" si="42"/>
        <v>43746.784269143514</v>
      </c>
      <c r="K2695" s="1"/>
    </row>
    <row r="2696" spans="1:11" x14ac:dyDescent="0.25">
      <c r="A2696" t="e">
        <f>-LqfBytbl2fjj1mnLZb6</f>
        <v>#NAME?</v>
      </c>
      <c r="B2696">
        <v>393.75</v>
      </c>
      <c r="C2696">
        <v>20.584240000000001</v>
      </c>
      <c r="D2696">
        <v>62</v>
      </c>
      <c r="E2696">
        <v>0</v>
      </c>
      <c r="F2696">
        <v>0</v>
      </c>
      <c r="G2696">
        <v>61</v>
      </c>
      <c r="H2696" s="4">
        <v>1570535368075</v>
      </c>
      <c r="I2696">
        <v>526.6875</v>
      </c>
      <c r="J2696" s="9">
        <f t="shared" si="42"/>
        <v>43746.784352719907</v>
      </c>
      <c r="K2696" s="1"/>
    </row>
    <row r="2697" spans="1:11" x14ac:dyDescent="0.25">
      <c r="A2697" t="e">
        <f>-LqfC-aCsdm6-m7vya9w</f>
        <v>#NAME?</v>
      </c>
      <c r="B2697">
        <v>393.75</v>
      </c>
      <c r="C2697">
        <v>20.531590000000001</v>
      </c>
      <c r="D2697">
        <v>59</v>
      </c>
      <c r="E2697">
        <v>0</v>
      </c>
      <c r="F2697">
        <v>0</v>
      </c>
      <c r="G2697">
        <v>68</v>
      </c>
      <c r="H2697" s="4">
        <v>1570535376056</v>
      </c>
      <c r="I2697">
        <v>526.5</v>
      </c>
      <c r="J2697" s="9">
        <f t="shared" si="42"/>
        <v>43746.784445092591</v>
      </c>
      <c r="K2697" s="1"/>
    </row>
    <row r="2698" spans="1:11" x14ac:dyDescent="0.25">
      <c r="A2698" t="e">
        <f>-LqfC19CRV7Dqq8JhonQ</f>
        <v>#NAME?</v>
      </c>
      <c r="B2698">
        <v>393.75</v>
      </c>
      <c r="C2698">
        <v>20.584240000000001</v>
      </c>
      <c r="D2698">
        <v>59</v>
      </c>
      <c r="E2698">
        <v>0</v>
      </c>
      <c r="F2698">
        <v>0</v>
      </c>
      <c r="G2698">
        <v>55</v>
      </c>
      <c r="H2698" s="4">
        <v>1570535382485</v>
      </c>
      <c r="I2698">
        <v>526.5</v>
      </c>
      <c r="J2698" s="9">
        <f t="shared" si="42"/>
        <v>43746.784519502311</v>
      </c>
      <c r="K2698" s="1"/>
    </row>
    <row r="2699" spans="1:11" x14ac:dyDescent="0.25">
      <c r="A2699" t="e">
        <f>-LqfC31C3C4ILlaxGOES</f>
        <v>#NAME?</v>
      </c>
      <c r="B2699">
        <v>393.75</v>
      </c>
      <c r="C2699">
        <v>20.531590000000001</v>
      </c>
      <c r="D2699">
        <v>59</v>
      </c>
      <c r="E2699">
        <v>0</v>
      </c>
      <c r="F2699">
        <v>0</v>
      </c>
      <c r="G2699">
        <v>54</v>
      </c>
      <c r="H2699" s="4">
        <v>1570535388674</v>
      </c>
      <c r="I2699">
        <v>526.6875</v>
      </c>
      <c r="J2699" s="9">
        <f t="shared" si="42"/>
        <v>43746.784591134252</v>
      </c>
      <c r="K2699" s="1"/>
    </row>
    <row r="2700" spans="1:11" x14ac:dyDescent="0.25">
      <c r="A2700" t="e">
        <f>-LqfC4fCp-SJCLZq01Db</f>
        <v>#NAME?</v>
      </c>
      <c r="B2700">
        <v>393.75</v>
      </c>
      <c r="C2700">
        <v>20.584240000000001</v>
      </c>
      <c r="D2700">
        <v>58</v>
      </c>
      <c r="E2700">
        <v>0</v>
      </c>
      <c r="F2700">
        <v>0</v>
      </c>
      <c r="G2700">
        <v>59</v>
      </c>
      <c r="H2700" s="4">
        <v>1570535396884</v>
      </c>
      <c r="I2700">
        <v>526.5</v>
      </c>
      <c r="J2700" s="9">
        <f t="shared" si="42"/>
        <v>43746.7846861574</v>
      </c>
      <c r="K2700" s="1"/>
    </row>
    <row r="2701" spans="1:11" x14ac:dyDescent="0.25">
      <c r="A2701" t="e">
        <f>-LqfC6E3J-vLPuvzcwFT</f>
        <v>#NAME?</v>
      </c>
      <c r="B2701">
        <v>393.75</v>
      </c>
      <c r="C2701">
        <v>20.584240000000001</v>
      </c>
      <c r="D2701">
        <v>59</v>
      </c>
      <c r="E2701">
        <v>0</v>
      </c>
      <c r="F2701">
        <v>0</v>
      </c>
      <c r="G2701">
        <v>63</v>
      </c>
      <c r="H2701" s="4">
        <v>1570535403096</v>
      </c>
      <c r="I2701">
        <v>526.6875</v>
      </c>
      <c r="J2701" s="9">
        <f t="shared" si="42"/>
        <v>43746.784758055554</v>
      </c>
      <c r="K2701" s="1"/>
    </row>
    <row r="2702" spans="1:11" x14ac:dyDescent="0.25">
      <c r="A2702" t="e">
        <f>-LqfC7us-ACs50lAPxbQ</f>
        <v>#NAME?</v>
      </c>
      <c r="B2702">
        <v>393.75</v>
      </c>
      <c r="C2702">
        <v>20.531590000000001</v>
      </c>
      <c r="D2702">
        <v>59</v>
      </c>
      <c r="E2702">
        <v>0</v>
      </c>
      <c r="F2702">
        <v>0</v>
      </c>
      <c r="G2702">
        <v>68</v>
      </c>
      <c r="H2702" s="4">
        <v>1570535410326</v>
      </c>
      <c r="I2702">
        <v>526.6875</v>
      </c>
      <c r="J2702" s="9">
        <f t="shared" si="42"/>
        <v>43746.784841736109</v>
      </c>
      <c r="K2702" s="1"/>
    </row>
    <row r="2703" spans="1:11" x14ac:dyDescent="0.25">
      <c r="A2703" t="e">
        <f>-LqfC9kC19wcPJ3iXjLW</f>
        <v>#NAME?</v>
      </c>
      <c r="B2703">
        <v>393.75</v>
      </c>
      <c r="C2703">
        <v>20.584240000000001</v>
      </c>
      <c r="D2703">
        <v>66</v>
      </c>
      <c r="E2703">
        <v>0</v>
      </c>
      <c r="F2703">
        <v>0</v>
      </c>
      <c r="G2703">
        <v>57</v>
      </c>
      <c r="H2703" s="4">
        <v>1570535417526</v>
      </c>
      <c r="I2703">
        <v>526.5</v>
      </c>
      <c r="J2703" s="9">
        <f t="shared" si="42"/>
        <v>43746.784925069442</v>
      </c>
      <c r="K2703" s="1"/>
    </row>
    <row r="2704" spans="1:11" x14ac:dyDescent="0.25">
      <c r="A2704" t="e">
        <f>-LqfCBTCkG5d9JugsYqr</f>
        <v>#NAME?</v>
      </c>
      <c r="B2704">
        <v>393.75</v>
      </c>
      <c r="C2704">
        <v>20.584240000000001</v>
      </c>
      <c r="D2704">
        <v>64</v>
      </c>
      <c r="E2704">
        <v>0</v>
      </c>
      <c r="F2704">
        <v>0</v>
      </c>
      <c r="G2704">
        <v>59</v>
      </c>
      <c r="H2704" s="4">
        <v>1570535424725</v>
      </c>
      <c r="I2704">
        <v>526.6875</v>
      </c>
      <c r="J2704" s="9">
        <f t="shared" si="42"/>
        <v>43746.785008391198</v>
      </c>
      <c r="K2704" s="1"/>
    </row>
    <row r="2705" spans="1:11" x14ac:dyDescent="0.25">
      <c r="A2705" t="e">
        <f>-LqfCD1NwC3EszHOYPyc</f>
        <v>#NAME?</v>
      </c>
      <c r="B2705">
        <v>393.75</v>
      </c>
      <c r="C2705">
        <v>20.584240000000001</v>
      </c>
      <c r="D2705">
        <v>64</v>
      </c>
      <c r="E2705">
        <v>0</v>
      </c>
      <c r="F2705">
        <v>0</v>
      </c>
      <c r="G2705">
        <v>55</v>
      </c>
      <c r="H2705" s="4">
        <v>1570535430915</v>
      </c>
      <c r="I2705">
        <v>526.6875</v>
      </c>
      <c r="J2705" s="9">
        <f t="shared" si="42"/>
        <v>43746.785080034715</v>
      </c>
      <c r="K2705" s="1"/>
    </row>
    <row r="2706" spans="1:11" x14ac:dyDescent="0.25">
      <c r="A2706" t="e">
        <f>-LqfCEkHtrtKA6KsXReE</f>
        <v>#NAME?</v>
      </c>
      <c r="B2706">
        <v>393.75</v>
      </c>
      <c r="C2706">
        <v>20.584240000000001</v>
      </c>
      <c r="D2706">
        <v>63</v>
      </c>
      <c r="E2706">
        <v>0</v>
      </c>
      <c r="F2706">
        <v>0</v>
      </c>
      <c r="G2706">
        <v>61</v>
      </c>
      <c r="H2706" s="4">
        <v>1570535438137</v>
      </c>
      <c r="I2706">
        <v>526.6875</v>
      </c>
      <c r="J2706" s="9">
        <f t="shared" si="42"/>
        <v>43746.785163622684</v>
      </c>
      <c r="K2706" s="1"/>
    </row>
    <row r="2707" spans="1:11" x14ac:dyDescent="0.25">
      <c r="A2707" t="e">
        <f>-LqfCGYEf6ZBrRT5BL9v</f>
        <v>#NAME?</v>
      </c>
      <c r="B2707">
        <v>393.75</v>
      </c>
      <c r="C2707">
        <v>20.584240000000001</v>
      </c>
      <c r="D2707">
        <v>63</v>
      </c>
      <c r="E2707">
        <v>0</v>
      </c>
      <c r="F2707">
        <v>0</v>
      </c>
      <c r="G2707">
        <v>60</v>
      </c>
      <c r="H2707" s="4">
        <v>1570535445344</v>
      </c>
      <c r="I2707">
        <v>526.6875</v>
      </c>
      <c r="J2707" s="9">
        <f t="shared" si="42"/>
        <v>43746.785247037034</v>
      </c>
      <c r="K2707" s="1"/>
    </row>
    <row r="2708" spans="1:11" x14ac:dyDescent="0.25">
      <c r="A2708" t="e">
        <f>-LqfCIGCCLj57w6zO3KV</f>
        <v>#NAME?</v>
      </c>
      <c r="B2708">
        <v>393.75</v>
      </c>
      <c r="C2708">
        <v>20.584240000000001</v>
      </c>
      <c r="D2708">
        <v>63</v>
      </c>
      <c r="E2708">
        <v>0</v>
      </c>
      <c r="F2708">
        <v>0</v>
      </c>
      <c r="G2708">
        <v>55</v>
      </c>
      <c r="H2708" s="4">
        <v>1570535452565</v>
      </c>
      <c r="I2708">
        <v>526.6875</v>
      </c>
      <c r="J2708" s="9">
        <f t="shared" si="42"/>
        <v>43746.785330613428</v>
      </c>
      <c r="K2708" s="1"/>
    </row>
    <row r="2709" spans="1:11" x14ac:dyDescent="0.25">
      <c r="A2709" t="e">
        <f>-LqfCJpOogSptvryj9FW</f>
        <v>#NAME?</v>
      </c>
      <c r="B2709">
        <v>393.75</v>
      </c>
      <c r="C2709">
        <v>20.584240000000001</v>
      </c>
      <c r="D2709">
        <v>63</v>
      </c>
      <c r="E2709">
        <v>0</v>
      </c>
      <c r="F2709">
        <v>0</v>
      </c>
      <c r="G2709">
        <v>67</v>
      </c>
      <c r="H2709" s="4">
        <v>1570535458744</v>
      </c>
      <c r="I2709">
        <v>526.6875</v>
      </c>
      <c r="J2709" s="9">
        <f t="shared" si="42"/>
        <v>43746.78540212963</v>
      </c>
      <c r="K2709" s="1"/>
    </row>
    <row r="2710" spans="1:11" x14ac:dyDescent="0.25">
      <c r="A2710" t="e">
        <f>-LqfCLY4KTQOH9B_hzeV</f>
        <v>#NAME?</v>
      </c>
      <c r="B2710">
        <v>393.75</v>
      </c>
      <c r="C2710">
        <v>20.584240000000001</v>
      </c>
      <c r="D2710">
        <v>63</v>
      </c>
      <c r="E2710">
        <v>0</v>
      </c>
      <c r="F2710">
        <v>0</v>
      </c>
      <c r="G2710">
        <v>64</v>
      </c>
      <c r="H2710" s="4">
        <v>1570535465956</v>
      </c>
      <c r="I2710">
        <v>526.6875</v>
      </c>
      <c r="J2710" s="9">
        <f t="shared" si="42"/>
        <v>43746.785485601846</v>
      </c>
      <c r="K2710" s="1"/>
    </row>
    <row r="2711" spans="1:11" x14ac:dyDescent="0.25">
      <c r="A2711" t="e">
        <f>-LqfCN1EHdh8Chn_Lzq2</f>
        <v>#NAME?</v>
      </c>
      <c r="B2711">
        <v>393.75</v>
      </c>
      <c r="C2711">
        <v>20.584240000000001</v>
      </c>
      <c r="D2711">
        <v>63</v>
      </c>
      <c r="E2711">
        <v>0</v>
      </c>
      <c r="F2711">
        <v>0</v>
      </c>
      <c r="G2711">
        <v>53</v>
      </c>
      <c r="H2711" s="4">
        <v>1570535472156</v>
      </c>
      <c r="I2711">
        <v>526.6875</v>
      </c>
      <c r="J2711" s="9">
        <f t="shared" si="42"/>
        <v>43746.785557361109</v>
      </c>
      <c r="K2711" s="1"/>
    </row>
    <row r="2712" spans="1:11" x14ac:dyDescent="0.25">
      <c r="A2712" t="e">
        <f>-LqfCOaEpBvDGJdXAKM6</f>
        <v>#NAME?</v>
      </c>
      <c r="B2712">
        <v>393.75</v>
      </c>
      <c r="C2712">
        <v>20.584240000000001</v>
      </c>
      <c r="D2712">
        <v>66</v>
      </c>
      <c r="E2712">
        <v>0</v>
      </c>
      <c r="F2712">
        <v>0</v>
      </c>
      <c r="G2712">
        <v>57</v>
      </c>
      <c r="H2712" s="4">
        <v>1570535478314</v>
      </c>
      <c r="I2712">
        <v>526.6875</v>
      </c>
      <c r="J2712" s="9">
        <f t="shared" si="42"/>
        <v>43746.785628634258</v>
      </c>
      <c r="K2712" s="1"/>
    </row>
    <row r="2713" spans="1:11" x14ac:dyDescent="0.25">
      <c r="A2713" t="e">
        <f>-LqfCQJPQkTPlrxptazg</f>
        <v>#NAME?</v>
      </c>
      <c r="B2713">
        <v>393.75</v>
      </c>
      <c r="C2713">
        <v>20.584240000000001</v>
      </c>
      <c r="D2713">
        <v>63</v>
      </c>
      <c r="E2713">
        <v>0</v>
      </c>
      <c r="F2713">
        <v>0</v>
      </c>
      <c r="G2713">
        <v>57</v>
      </c>
      <c r="H2713" s="4">
        <v>1570535485526</v>
      </c>
      <c r="I2713">
        <v>526.6875</v>
      </c>
      <c r="J2713" s="9">
        <f t="shared" si="42"/>
        <v>43746.785712106481</v>
      </c>
      <c r="K2713" s="1"/>
    </row>
    <row r="2714" spans="1:11" x14ac:dyDescent="0.25">
      <c r="A2714" t="e">
        <f>-LqfCS63zzJdXmyiNChv</f>
        <v>#NAME?</v>
      </c>
      <c r="B2714">
        <v>393.75</v>
      </c>
      <c r="C2714">
        <v>20.531590000000001</v>
      </c>
      <c r="D2714">
        <v>64</v>
      </c>
      <c r="E2714">
        <v>0</v>
      </c>
      <c r="F2714">
        <v>0</v>
      </c>
      <c r="G2714">
        <v>53</v>
      </c>
      <c r="H2714" s="4">
        <v>1570535492746</v>
      </c>
      <c r="I2714">
        <v>526.6875</v>
      </c>
      <c r="J2714" s="9">
        <f t="shared" si="42"/>
        <v>43746.785795671291</v>
      </c>
      <c r="K2714" s="1"/>
    </row>
    <row r="2715" spans="1:11" x14ac:dyDescent="0.25">
      <c r="A2715" t="e">
        <f>-LqfCTaNwsxis18JreoD</f>
        <v>#NAME?</v>
      </c>
      <c r="B2715">
        <v>393.75</v>
      </c>
      <c r="C2715">
        <v>20.584240000000001</v>
      </c>
      <c r="D2715">
        <v>64</v>
      </c>
      <c r="E2715">
        <v>0</v>
      </c>
      <c r="F2715">
        <v>0</v>
      </c>
      <c r="G2715">
        <v>64</v>
      </c>
      <c r="H2715" s="4">
        <v>1570535498916</v>
      </c>
      <c r="I2715">
        <v>526.6875</v>
      </c>
      <c r="J2715" s="9">
        <f t="shared" si="42"/>
        <v>43746.78586708333</v>
      </c>
      <c r="K2715" s="1"/>
    </row>
    <row r="2716" spans="1:11" x14ac:dyDescent="0.25">
      <c r="A2716" t="e">
        <f>-LqfCVODjYbu0APuS7At</f>
        <v>#NAME?</v>
      </c>
      <c r="B2716">
        <v>412.5</v>
      </c>
      <c r="C2716">
        <v>20.584240000000001</v>
      </c>
      <c r="D2716">
        <v>63</v>
      </c>
      <c r="E2716">
        <v>0</v>
      </c>
      <c r="F2716">
        <v>0</v>
      </c>
      <c r="G2716">
        <v>58</v>
      </c>
      <c r="H2716" s="4">
        <v>1570535506134</v>
      </c>
      <c r="I2716">
        <v>532.3125</v>
      </c>
      <c r="J2716" s="9">
        <f t="shared" si="42"/>
        <v>43746.785950625002</v>
      </c>
      <c r="K2716" s="1"/>
    </row>
    <row r="2717" spans="1:11" x14ac:dyDescent="0.25">
      <c r="A2717" t="e">
        <f>-LqfCX6E5lmjPPAD5JTz</f>
        <v>#NAME?</v>
      </c>
      <c r="B2717">
        <v>393.75</v>
      </c>
      <c r="C2717">
        <v>20.584240000000001</v>
      </c>
      <c r="D2717">
        <v>63</v>
      </c>
      <c r="E2717">
        <v>0</v>
      </c>
      <c r="F2717">
        <v>0</v>
      </c>
      <c r="G2717">
        <v>63</v>
      </c>
      <c r="H2717" s="4">
        <v>1570535513364</v>
      </c>
      <c r="I2717">
        <v>526.6875</v>
      </c>
      <c r="J2717" s="9">
        <f t="shared" si="42"/>
        <v>43746.786034305558</v>
      </c>
      <c r="K2717" s="1"/>
    </row>
    <row r="2718" spans="1:11" x14ac:dyDescent="0.25">
      <c r="A2718" t="e">
        <f>-LqfCYuCuOr6iYhtMBmM</f>
        <v>#NAME?</v>
      </c>
      <c r="B2718">
        <v>393.75</v>
      </c>
      <c r="C2718">
        <v>20.584240000000001</v>
      </c>
      <c r="D2718">
        <v>62</v>
      </c>
      <c r="E2718">
        <v>0</v>
      </c>
      <c r="F2718">
        <v>0</v>
      </c>
      <c r="G2718">
        <v>65</v>
      </c>
      <c r="H2718" s="4">
        <v>1570535520565</v>
      </c>
      <c r="I2718">
        <v>526.6875</v>
      </c>
      <c r="J2718" s="9">
        <f t="shared" si="42"/>
        <v>43746.786117650459</v>
      </c>
      <c r="K2718" s="1"/>
    </row>
    <row r="2719" spans="1:11" x14ac:dyDescent="0.25">
      <c r="A2719" t="e">
        <f>-LqfC__hwdn66K5p8H0D</f>
        <v>#NAME?</v>
      </c>
      <c r="B2719">
        <v>393.75</v>
      </c>
      <c r="C2719">
        <v>20.531590000000001</v>
      </c>
      <c r="D2719">
        <v>62</v>
      </c>
      <c r="E2719">
        <v>0</v>
      </c>
      <c r="F2719">
        <v>0</v>
      </c>
      <c r="G2719">
        <v>64</v>
      </c>
      <c r="H2719" s="4">
        <v>1570535527764</v>
      </c>
      <c r="I2719">
        <v>526.6875</v>
      </c>
      <c r="J2719" s="9">
        <f t="shared" si="42"/>
        <v>43746.786200972223</v>
      </c>
      <c r="K2719" s="1"/>
    </row>
    <row r="2720" spans="1:11" x14ac:dyDescent="0.25">
      <c r="A2720" t="e">
        <f>-LqfCbLFWtK1r9rXRady</f>
        <v>#NAME?</v>
      </c>
      <c r="B2720">
        <v>393.75</v>
      </c>
      <c r="C2720">
        <v>20.531590000000001</v>
      </c>
      <c r="D2720">
        <v>62</v>
      </c>
      <c r="E2720">
        <v>0</v>
      </c>
      <c r="F2720">
        <v>0</v>
      </c>
      <c r="G2720">
        <v>64</v>
      </c>
      <c r="H2720" s="4">
        <v>1570535534722</v>
      </c>
      <c r="I2720">
        <v>526.6875</v>
      </c>
      <c r="J2720" s="9">
        <f t="shared" si="42"/>
        <v>43746.786281504632</v>
      </c>
      <c r="K2720" s="1"/>
    </row>
    <row r="2721" spans="1:11" x14ac:dyDescent="0.25">
      <c r="A2721" t="e">
        <f>-LqfCcrY6CIV0p4ajMsV</f>
        <v>#NAME?</v>
      </c>
      <c r="B2721">
        <v>393.75</v>
      </c>
      <c r="C2721">
        <v>20.584240000000001</v>
      </c>
      <c r="D2721">
        <v>62</v>
      </c>
      <c r="E2721">
        <v>0</v>
      </c>
      <c r="F2721">
        <v>0</v>
      </c>
      <c r="G2721">
        <v>62</v>
      </c>
      <c r="H2721" s="4">
        <v>1570535541174</v>
      </c>
      <c r="I2721">
        <v>526.6875</v>
      </c>
      <c r="J2721" s="9">
        <f t="shared" si="42"/>
        <v>43746.78635618055</v>
      </c>
      <c r="K2721" s="1"/>
    </row>
    <row r="2722" spans="1:11" x14ac:dyDescent="0.25">
      <c r="A2722" t="e">
        <f>-LqfCeOEZyT6HU2C2KOY</f>
        <v>#NAME?</v>
      </c>
      <c r="B2722">
        <v>393.75</v>
      </c>
      <c r="C2722">
        <v>20.531590000000001</v>
      </c>
      <c r="D2722">
        <v>65</v>
      </c>
      <c r="E2722">
        <v>0</v>
      </c>
      <c r="F2722">
        <v>0</v>
      </c>
      <c r="G2722">
        <v>61</v>
      </c>
      <c r="H2722" s="4">
        <v>1570535547356</v>
      </c>
      <c r="I2722">
        <v>526.6875</v>
      </c>
      <c r="J2722" s="9">
        <f t="shared" si="42"/>
        <v>43746.78642773148</v>
      </c>
      <c r="K2722" s="1"/>
    </row>
    <row r="2723" spans="1:11" x14ac:dyDescent="0.25">
      <c r="A2723" t="e">
        <f>-LqfCfxDyhw9EPZx7IQj</f>
        <v>#NAME?</v>
      </c>
      <c r="B2723">
        <v>393.75</v>
      </c>
      <c r="C2723">
        <v>20.584240000000001</v>
      </c>
      <c r="D2723">
        <v>64</v>
      </c>
      <c r="E2723">
        <v>0</v>
      </c>
      <c r="F2723">
        <v>0</v>
      </c>
      <c r="G2723">
        <v>68</v>
      </c>
      <c r="H2723" s="4">
        <v>1570535553534</v>
      </c>
      <c r="I2723">
        <v>526.6875</v>
      </c>
      <c r="J2723" s="9">
        <f t="shared" si="42"/>
        <v>43746.786499236106</v>
      </c>
      <c r="K2723" s="1"/>
    </row>
    <row r="2724" spans="1:11" x14ac:dyDescent="0.25">
      <c r="A2724" t="e">
        <f>-LqfChckres4xob9wGwP</f>
        <v>#NAME?</v>
      </c>
      <c r="B2724">
        <v>393.75</v>
      </c>
      <c r="C2724">
        <v>20.584240000000001</v>
      </c>
      <c r="D2724">
        <v>64</v>
      </c>
      <c r="E2724">
        <v>0</v>
      </c>
      <c r="F2724">
        <v>0</v>
      </c>
      <c r="G2724">
        <v>56</v>
      </c>
      <c r="H2724" s="4">
        <v>1570535560724</v>
      </c>
      <c r="I2724">
        <v>526.6875</v>
      </c>
      <c r="J2724" s="9">
        <f t="shared" si="42"/>
        <v>43746.7865824537</v>
      </c>
      <c r="K2724" s="1"/>
    </row>
    <row r="2725" spans="1:11" x14ac:dyDescent="0.25">
      <c r="A2725" t="e">
        <f>-LqfCjE57YBepKyxi3Ox</f>
        <v>#NAME?</v>
      </c>
      <c r="B2725">
        <v>393.75</v>
      </c>
      <c r="C2725">
        <v>20.584240000000001</v>
      </c>
      <c r="D2725">
        <v>64</v>
      </c>
      <c r="E2725">
        <v>0</v>
      </c>
      <c r="F2725">
        <v>0</v>
      </c>
      <c r="G2725">
        <v>65</v>
      </c>
      <c r="H2725" s="4">
        <v>1570535566914</v>
      </c>
      <c r="I2725">
        <v>526.6875</v>
      </c>
      <c r="J2725" s="9">
        <f t="shared" si="42"/>
        <v>43746.786654097225</v>
      </c>
      <c r="K2725" s="1"/>
    </row>
    <row r="2726" spans="1:11" x14ac:dyDescent="0.25">
      <c r="A2726" t="e">
        <f>-LqfClGitxwEVOks8fMN</f>
        <v>#NAME?</v>
      </c>
      <c r="B2726">
        <v>393.75</v>
      </c>
      <c r="C2726">
        <v>20.584240000000001</v>
      </c>
      <c r="D2726">
        <v>62</v>
      </c>
      <c r="E2726">
        <v>0</v>
      </c>
      <c r="F2726">
        <v>0</v>
      </c>
      <c r="G2726">
        <v>60</v>
      </c>
      <c r="H2726" s="4">
        <v>1570535574166</v>
      </c>
      <c r="I2726">
        <v>526.6875</v>
      </c>
      <c r="J2726" s="9">
        <f t="shared" si="42"/>
        <v>43746.78673803241</v>
      </c>
      <c r="K2726" s="1"/>
    </row>
    <row r="2727" spans="1:11" x14ac:dyDescent="0.25">
      <c r="A2727" t="e">
        <f>-LqfCn370pTc8ddzEpLC</f>
        <v>#NAME?</v>
      </c>
      <c r="B2727">
        <v>393.75</v>
      </c>
      <c r="C2727">
        <v>20.584240000000001</v>
      </c>
      <c r="D2727">
        <v>68</v>
      </c>
      <c r="E2727">
        <v>0</v>
      </c>
      <c r="F2727">
        <v>0</v>
      </c>
      <c r="G2727">
        <v>67</v>
      </c>
      <c r="H2727" s="4">
        <v>1570535582726</v>
      </c>
      <c r="I2727">
        <v>526.6875</v>
      </c>
      <c r="J2727" s="9">
        <f t="shared" si="42"/>
        <v>43746.786837106476</v>
      </c>
      <c r="K2727" s="1"/>
    </row>
    <row r="2728" spans="1:11" x14ac:dyDescent="0.25">
      <c r="A2728" t="s">
        <v>148</v>
      </c>
      <c r="B2728">
        <v>393.75</v>
      </c>
      <c r="C2728">
        <v>20.531590000000001</v>
      </c>
      <c r="D2728">
        <v>68</v>
      </c>
      <c r="E2728">
        <v>0</v>
      </c>
      <c r="F2728">
        <v>0</v>
      </c>
      <c r="G2728">
        <v>55</v>
      </c>
      <c r="H2728" s="4">
        <v>1570535589609</v>
      </c>
      <c r="I2728">
        <v>526.5</v>
      </c>
      <c r="J2728" s="9">
        <f t="shared" si="42"/>
        <v>43746.786916770834</v>
      </c>
      <c r="K2728" s="1"/>
    </row>
    <row r="2729" spans="1:11" x14ac:dyDescent="0.25">
      <c r="A2729" t="e">
        <f>-LqfCqGG3Pzhl8unsHIf</f>
        <v>#NAME?</v>
      </c>
      <c r="B2729">
        <v>412.5</v>
      </c>
      <c r="C2729">
        <v>20.584240000000001</v>
      </c>
      <c r="D2729">
        <v>67</v>
      </c>
      <c r="E2729">
        <v>0</v>
      </c>
      <c r="F2729">
        <v>0</v>
      </c>
      <c r="G2729">
        <v>67</v>
      </c>
      <c r="H2729" s="4">
        <v>1570535595788</v>
      </c>
      <c r="I2729">
        <v>532.3125</v>
      </c>
      <c r="J2729" s="9">
        <f t="shared" si="42"/>
        <v>43746.786988287036</v>
      </c>
      <c r="K2729" s="1"/>
    </row>
    <row r="2730" spans="1:11" x14ac:dyDescent="0.25">
      <c r="A2730" t="e">
        <f>-LqfCrzQQpsoqPfM4pEE</f>
        <v>#NAME?</v>
      </c>
      <c r="B2730">
        <v>393.75</v>
      </c>
      <c r="C2730">
        <v>20.584240000000001</v>
      </c>
      <c r="D2730">
        <v>68</v>
      </c>
      <c r="E2730">
        <v>0</v>
      </c>
      <c r="F2730">
        <v>0</v>
      </c>
      <c r="G2730">
        <v>62</v>
      </c>
      <c r="H2730" s="4">
        <v>1570535602978</v>
      </c>
      <c r="I2730">
        <v>526.6875</v>
      </c>
      <c r="J2730" s="9">
        <f t="shared" si="42"/>
        <v>43746.787071504623</v>
      </c>
      <c r="K2730" s="1"/>
    </row>
    <row r="2731" spans="1:11" x14ac:dyDescent="0.25">
      <c r="A2731" t="e">
        <f>-LqfCtYF1sLnmhGkMV6a</f>
        <v>#NAME?</v>
      </c>
      <c r="B2731">
        <v>393.75</v>
      </c>
      <c r="C2731">
        <v>20.584240000000001</v>
      </c>
      <c r="D2731">
        <v>68</v>
      </c>
      <c r="E2731">
        <v>0</v>
      </c>
      <c r="F2731">
        <v>0</v>
      </c>
      <c r="G2731">
        <v>61</v>
      </c>
      <c r="H2731" s="4">
        <v>1570535609166</v>
      </c>
      <c r="I2731">
        <v>526.6875</v>
      </c>
      <c r="J2731" s="9">
        <f t="shared" si="42"/>
        <v>43746.787143125002</v>
      </c>
      <c r="K2731" s="1"/>
    </row>
    <row r="2732" spans="1:11" x14ac:dyDescent="0.25">
      <c r="A2732" t="e">
        <f>-LqfCvGGp6cTcYZBe7HD</f>
        <v>#NAME?</v>
      </c>
      <c r="B2732">
        <v>415.625</v>
      </c>
      <c r="C2732">
        <v>20.584240000000001</v>
      </c>
      <c r="D2732">
        <v>66</v>
      </c>
      <c r="E2732">
        <v>0</v>
      </c>
      <c r="F2732">
        <v>0</v>
      </c>
      <c r="G2732">
        <v>62</v>
      </c>
      <c r="H2732" s="4">
        <v>1570535616408</v>
      </c>
      <c r="I2732">
        <v>533.4375</v>
      </c>
      <c r="J2732" s="9">
        <f t="shared" si="42"/>
        <v>43746.787226944441</v>
      </c>
      <c r="K2732" s="1"/>
    </row>
    <row r="2733" spans="1:11" x14ac:dyDescent="0.25">
      <c r="A2733" t="e">
        <f>-LqfCx3G4W1vqsrdfPE0</f>
        <v>#NAME?</v>
      </c>
      <c r="B2733">
        <v>393.75</v>
      </c>
      <c r="C2733">
        <v>20.584240000000001</v>
      </c>
      <c r="D2733">
        <v>65</v>
      </c>
      <c r="E2733">
        <v>0</v>
      </c>
      <c r="F2733">
        <v>0</v>
      </c>
      <c r="G2733">
        <v>53</v>
      </c>
      <c r="H2733" s="4">
        <v>1570535623620</v>
      </c>
      <c r="I2733">
        <v>526.6875</v>
      </c>
      <c r="J2733" s="9">
        <f t="shared" si="42"/>
        <v>43746.787310416665</v>
      </c>
      <c r="K2733" s="1"/>
    </row>
    <row r="2734" spans="1:11" x14ac:dyDescent="0.25">
      <c r="A2734" t="e">
        <f>-LqfCymPYCz4-PQFzr0t</f>
        <v>#NAME?</v>
      </c>
      <c r="B2734">
        <v>393.75</v>
      </c>
      <c r="C2734">
        <v>20.584240000000001</v>
      </c>
      <c r="D2734">
        <v>65</v>
      </c>
      <c r="E2734">
        <v>0</v>
      </c>
      <c r="F2734">
        <v>0</v>
      </c>
      <c r="G2734">
        <v>69</v>
      </c>
      <c r="H2734" s="4">
        <v>1570535630809</v>
      </c>
      <c r="I2734">
        <v>526.6875</v>
      </c>
      <c r="J2734" s="9">
        <f t="shared" si="42"/>
        <v>43746.787393622682</v>
      </c>
      <c r="K2734" s="1"/>
    </row>
    <row r="2735" spans="1:11" x14ac:dyDescent="0.25">
      <c r="A2735" t="e">
        <f>-LqfD-LGhzdGSkc1mEHL</f>
        <v>#NAME?</v>
      </c>
      <c r="B2735">
        <v>393.75</v>
      </c>
      <c r="C2735">
        <v>20.584240000000001</v>
      </c>
      <c r="D2735">
        <v>65</v>
      </c>
      <c r="E2735">
        <v>0</v>
      </c>
      <c r="F2735">
        <v>0</v>
      </c>
      <c r="G2735">
        <v>68</v>
      </c>
      <c r="H2735" s="4">
        <v>1570535636997</v>
      </c>
      <c r="I2735">
        <v>526.6875</v>
      </c>
      <c r="J2735" s="9">
        <f t="shared" si="42"/>
        <v>43746.787465243055</v>
      </c>
      <c r="K2735" s="1"/>
    </row>
    <row r="2736" spans="1:11" x14ac:dyDescent="0.25">
      <c r="A2736" t="e">
        <f>-LqfD13FD0XoREZ1xkDi</f>
        <v>#NAME?</v>
      </c>
      <c r="B2736">
        <v>393.75</v>
      </c>
      <c r="C2736">
        <v>20.584240000000001</v>
      </c>
      <c r="D2736">
        <v>66</v>
      </c>
      <c r="E2736">
        <v>0</v>
      </c>
      <c r="F2736">
        <v>0</v>
      </c>
      <c r="G2736">
        <v>60</v>
      </c>
      <c r="H2736" s="4">
        <v>1570535644228</v>
      </c>
      <c r="I2736">
        <v>526.6875</v>
      </c>
      <c r="J2736" s="9">
        <f t="shared" si="42"/>
        <v>43746.787548935179</v>
      </c>
      <c r="K2736" s="1"/>
    </row>
    <row r="2737" spans="1:11" x14ac:dyDescent="0.25">
      <c r="A2737" t="e">
        <f>-LqfD2rG3Xksl-UNrS1D</f>
        <v>#NAME?</v>
      </c>
      <c r="B2737">
        <v>393.75</v>
      </c>
      <c r="C2737">
        <v>20.584240000000001</v>
      </c>
      <c r="D2737">
        <v>67</v>
      </c>
      <c r="E2737">
        <v>0</v>
      </c>
      <c r="F2737">
        <v>0</v>
      </c>
      <c r="G2737">
        <v>61</v>
      </c>
      <c r="H2737" s="4">
        <v>1570535651437</v>
      </c>
      <c r="I2737">
        <v>526.5</v>
      </c>
      <c r="J2737" s="9">
        <f t="shared" si="42"/>
        <v>43746.787632372681</v>
      </c>
      <c r="K2737" s="1"/>
    </row>
    <row r="2738" spans="1:11" x14ac:dyDescent="0.25">
      <c r="A2738" t="e">
        <f>-LqfD4_GVpeGe27juvqa</f>
        <v>#NAME?</v>
      </c>
      <c r="B2738">
        <v>393.75</v>
      </c>
      <c r="C2738">
        <v>20.584240000000001</v>
      </c>
      <c r="D2738">
        <v>67</v>
      </c>
      <c r="E2738">
        <v>0</v>
      </c>
      <c r="F2738">
        <v>0</v>
      </c>
      <c r="G2738">
        <v>61</v>
      </c>
      <c r="H2738" s="4">
        <v>1570535658647</v>
      </c>
      <c r="I2738">
        <v>526.6875</v>
      </c>
      <c r="J2738" s="9">
        <f t="shared" si="42"/>
        <v>43746.787715821752</v>
      </c>
      <c r="K2738" s="1"/>
    </row>
    <row r="2739" spans="1:11" x14ac:dyDescent="0.25">
      <c r="A2739" t="e">
        <f>-LqfD6N7XR7z6WCbH8te</f>
        <v>#NAME?</v>
      </c>
      <c r="B2739">
        <v>393.75</v>
      </c>
      <c r="C2739">
        <v>20.584240000000001</v>
      </c>
      <c r="D2739">
        <v>67</v>
      </c>
      <c r="E2739">
        <v>0</v>
      </c>
      <c r="F2739">
        <v>0</v>
      </c>
      <c r="G2739">
        <v>61</v>
      </c>
      <c r="H2739" s="4">
        <v>1570535665869</v>
      </c>
      <c r="I2739">
        <v>526.6875</v>
      </c>
      <c r="J2739" s="9">
        <f t="shared" si="42"/>
        <v>43746.787799409714</v>
      </c>
      <c r="K2739" s="1"/>
    </row>
    <row r="2740" spans="1:11" x14ac:dyDescent="0.25">
      <c r="A2740" t="e">
        <f>-LqfD8FGEBDw9cAKTMgW</f>
        <v>#NAME?</v>
      </c>
      <c r="B2740">
        <v>393.75</v>
      </c>
      <c r="C2740">
        <v>20.584240000000001</v>
      </c>
      <c r="D2740">
        <v>67</v>
      </c>
      <c r="E2740">
        <v>0</v>
      </c>
      <c r="F2740">
        <v>0</v>
      </c>
      <c r="G2740">
        <v>52</v>
      </c>
      <c r="H2740" s="4">
        <v>1570535672052</v>
      </c>
      <c r="I2740">
        <v>526.6875</v>
      </c>
      <c r="J2740" s="9">
        <f t="shared" si="42"/>
        <v>43746.787870972221</v>
      </c>
      <c r="K2740" s="1"/>
    </row>
    <row r="2741" spans="1:11" x14ac:dyDescent="0.25">
      <c r="A2741" t="e">
        <f>-LqfD9tRnKXgPJ1yfS2Y</f>
        <v>#NAME?</v>
      </c>
      <c r="B2741">
        <v>393.75</v>
      </c>
      <c r="C2741">
        <v>20.584240000000001</v>
      </c>
      <c r="D2741">
        <v>66</v>
      </c>
      <c r="E2741">
        <v>0</v>
      </c>
      <c r="F2741">
        <v>0</v>
      </c>
      <c r="G2741">
        <v>55</v>
      </c>
      <c r="H2741" s="4">
        <v>1570535680299</v>
      </c>
      <c r="I2741">
        <v>526.6875</v>
      </c>
      <c r="J2741" s="9">
        <f t="shared" si="42"/>
        <v>43746.78796642361</v>
      </c>
      <c r="K2741" s="1"/>
    </row>
    <row r="2742" spans="1:11" x14ac:dyDescent="0.25">
      <c r="A2742" t="e">
        <f>-LqfDBb80R5MLb9F3iOa</f>
        <v>#NAME?</v>
      </c>
      <c r="B2742">
        <v>393.75</v>
      </c>
      <c r="C2742">
        <v>20.584240000000001</v>
      </c>
      <c r="D2742">
        <v>66</v>
      </c>
      <c r="E2742">
        <v>0</v>
      </c>
      <c r="F2742">
        <v>0</v>
      </c>
      <c r="G2742">
        <v>63</v>
      </c>
      <c r="H2742" s="4">
        <v>1570535687507</v>
      </c>
      <c r="I2742">
        <v>526.6875</v>
      </c>
      <c r="J2742" s="9">
        <f t="shared" si="42"/>
        <v>43746.788049849536</v>
      </c>
      <c r="K2742" s="1"/>
    </row>
    <row r="2743" spans="1:11" x14ac:dyDescent="0.25">
      <c r="A2743" t="e">
        <f>-LqfDDG3W7fRsA-mFBBT</f>
        <v>#NAME?</v>
      </c>
      <c r="B2743">
        <v>393.75</v>
      </c>
      <c r="C2743">
        <v>20.584240000000001</v>
      </c>
      <c r="D2743">
        <v>66</v>
      </c>
      <c r="E2743">
        <v>0</v>
      </c>
      <c r="F2743">
        <v>0</v>
      </c>
      <c r="G2743">
        <v>62</v>
      </c>
      <c r="H2743" s="4">
        <v>1570535693697</v>
      </c>
      <c r="I2743">
        <v>526.6875</v>
      </c>
      <c r="J2743" s="9">
        <f t="shared" si="42"/>
        <v>43746.788121493053</v>
      </c>
      <c r="K2743" s="1"/>
    </row>
    <row r="2744" spans="1:11" x14ac:dyDescent="0.25">
      <c r="A2744" t="e">
        <f>-LqfDEtHsJJHpxMk8xE4</f>
        <v>#NAME?</v>
      </c>
      <c r="B2744">
        <v>393.75</v>
      </c>
      <c r="C2744">
        <v>20.531590000000001</v>
      </c>
      <c r="D2744">
        <v>66</v>
      </c>
      <c r="E2744">
        <v>0</v>
      </c>
      <c r="F2744">
        <v>0</v>
      </c>
      <c r="G2744">
        <v>69</v>
      </c>
      <c r="H2744" s="4">
        <v>1570535700889</v>
      </c>
      <c r="I2744">
        <v>526.6875</v>
      </c>
      <c r="J2744" s="9">
        <f t="shared" si="42"/>
        <v>43746.788204733799</v>
      </c>
      <c r="K2744" s="1"/>
    </row>
    <row r="2745" spans="1:11" x14ac:dyDescent="0.25">
      <c r="A2745" t="e">
        <f>-LqfDGS8TcgqvNWm4jRb</f>
        <v>#NAME?</v>
      </c>
      <c r="B2745">
        <v>393.75</v>
      </c>
      <c r="C2745">
        <v>20.584240000000001</v>
      </c>
      <c r="D2745">
        <v>66</v>
      </c>
      <c r="E2745">
        <v>0</v>
      </c>
      <c r="F2745">
        <v>0</v>
      </c>
      <c r="G2745">
        <v>66</v>
      </c>
      <c r="H2745" s="4">
        <v>1570535707079</v>
      </c>
      <c r="I2745">
        <v>526.6875</v>
      </c>
      <c r="J2745" s="9">
        <f t="shared" si="42"/>
        <v>43746.788276377316</v>
      </c>
      <c r="K2745" s="1"/>
    </row>
    <row r="2746" spans="1:11" x14ac:dyDescent="0.25">
      <c r="A2746" t="e">
        <f>-LqfDIAFF2ScWMea6nhZ</f>
        <v>#NAME?</v>
      </c>
      <c r="B2746">
        <v>393.75</v>
      </c>
      <c r="C2746">
        <v>20.584240000000001</v>
      </c>
      <c r="D2746">
        <v>68</v>
      </c>
      <c r="E2746">
        <v>0</v>
      </c>
      <c r="F2746">
        <v>0</v>
      </c>
      <c r="G2746">
        <v>63</v>
      </c>
      <c r="H2746" s="4">
        <v>1570535714299</v>
      </c>
      <c r="I2746">
        <v>526.6875</v>
      </c>
      <c r="J2746" s="9">
        <f t="shared" si="42"/>
        <v>43746.788359942126</v>
      </c>
      <c r="K2746" s="1"/>
    </row>
    <row r="2747" spans="1:11" x14ac:dyDescent="0.25">
      <c r="A2747" t="e">
        <f>-LqfDJyFwsYZPWKhLQhb</f>
        <v>#NAME?</v>
      </c>
      <c r="B2747">
        <v>393.75</v>
      </c>
      <c r="C2747">
        <v>20.584240000000001</v>
      </c>
      <c r="D2747">
        <v>67</v>
      </c>
      <c r="E2747">
        <v>0</v>
      </c>
      <c r="F2747">
        <v>0</v>
      </c>
      <c r="G2747">
        <v>48</v>
      </c>
      <c r="H2747" s="4">
        <v>1570535721519</v>
      </c>
      <c r="I2747">
        <v>526.6875</v>
      </c>
      <c r="J2747" s="9">
        <f t="shared" si="42"/>
        <v>43746.788443506943</v>
      </c>
      <c r="K2747" s="1"/>
    </row>
    <row r="2748" spans="1:11" x14ac:dyDescent="0.25">
      <c r="A2748" t="e">
        <f>-LqfDLgHZMuqaPw95-lr</f>
        <v>#NAME?</v>
      </c>
      <c r="B2748">
        <v>393.75</v>
      </c>
      <c r="C2748">
        <v>20.584240000000001</v>
      </c>
      <c r="D2748">
        <v>65</v>
      </c>
      <c r="E2748">
        <v>0</v>
      </c>
      <c r="F2748">
        <v>0</v>
      </c>
      <c r="G2748">
        <v>67</v>
      </c>
      <c r="H2748" s="4">
        <v>1570535728729</v>
      </c>
      <c r="I2748">
        <v>526.6875</v>
      </c>
      <c r="J2748" s="9">
        <f t="shared" si="42"/>
        <v>43746.788526956014</v>
      </c>
      <c r="K2748" s="1"/>
    </row>
    <row r="2749" spans="1:11" x14ac:dyDescent="0.25">
      <c r="A2749" t="e">
        <f>-LqfDNUI8OLhy1sDOR2j</f>
        <v>#NAME?</v>
      </c>
      <c r="B2749">
        <v>393.75</v>
      </c>
      <c r="C2749">
        <v>20.584240000000001</v>
      </c>
      <c r="D2749">
        <v>70</v>
      </c>
      <c r="E2749">
        <v>0</v>
      </c>
      <c r="F2749">
        <v>0</v>
      </c>
      <c r="G2749">
        <v>70</v>
      </c>
      <c r="H2749" s="4">
        <v>1570535735939</v>
      </c>
      <c r="I2749">
        <v>526.6875</v>
      </c>
      <c r="J2749" s="9">
        <f t="shared" si="42"/>
        <v>43746.788610405092</v>
      </c>
      <c r="K2749" s="1"/>
    </row>
    <row r="2750" spans="1:11" x14ac:dyDescent="0.25">
      <c r="A2750" t="e">
        <f>-LqfDPCGlj8Dr5yi8BNH</f>
        <v>#NAME?</v>
      </c>
      <c r="B2750">
        <v>393.75</v>
      </c>
      <c r="C2750">
        <v>20.584240000000001</v>
      </c>
      <c r="D2750">
        <v>72</v>
      </c>
      <c r="E2750">
        <v>0</v>
      </c>
      <c r="F2750">
        <v>0</v>
      </c>
      <c r="G2750">
        <v>57</v>
      </c>
      <c r="H2750" s="4">
        <v>1570535743127</v>
      </c>
      <c r="I2750">
        <v>526.6875</v>
      </c>
      <c r="J2750" s="9">
        <f t="shared" si="42"/>
        <v>43746.788693599534</v>
      </c>
      <c r="K2750" s="1"/>
    </row>
    <row r="2751" spans="1:11" x14ac:dyDescent="0.25">
      <c r="A2751" t="e">
        <f>-LqfDR6_twP53MD9LNzs</f>
        <v>#NAME?</v>
      </c>
      <c r="B2751">
        <v>393.75</v>
      </c>
      <c r="C2751">
        <v>20.584240000000001</v>
      </c>
      <c r="D2751">
        <v>72</v>
      </c>
      <c r="E2751">
        <v>0</v>
      </c>
      <c r="F2751">
        <v>0</v>
      </c>
      <c r="G2751">
        <v>62</v>
      </c>
      <c r="H2751" s="4">
        <v>1570535749318</v>
      </c>
      <c r="I2751">
        <v>526.6875</v>
      </c>
      <c r="J2751" s="9">
        <f t="shared" si="42"/>
        <v>43746.788765254627</v>
      </c>
      <c r="K2751" s="1"/>
    </row>
    <row r="2752" spans="1:11" x14ac:dyDescent="0.25">
      <c r="A2752" t="e">
        <f>-LqfDSiGpNh9uQEbIBla</f>
        <v>#NAME?</v>
      </c>
      <c r="B2752">
        <v>393.75</v>
      </c>
      <c r="C2752">
        <v>20.584240000000001</v>
      </c>
      <c r="D2752">
        <v>72</v>
      </c>
      <c r="E2752">
        <v>0</v>
      </c>
      <c r="F2752">
        <v>0</v>
      </c>
      <c r="G2752">
        <v>63</v>
      </c>
      <c r="H2752" s="4">
        <v>1570535757601</v>
      </c>
      <c r="I2752">
        <v>526.6875</v>
      </c>
      <c r="J2752" s="9">
        <f t="shared" si="42"/>
        <v>43746.788861122688</v>
      </c>
      <c r="K2752" s="1"/>
    </row>
    <row r="2753" spans="1:11" x14ac:dyDescent="0.25">
      <c r="A2753" t="e">
        <f>-LqfDUHH9XGZyxQgHid0</f>
        <v>#NAME?</v>
      </c>
      <c r="B2753">
        <v>393.75</v>
      </c>
      <c r="C2753">
        <v>20.531590000000001</v>
      </c>
      <c r="D2753">
        <v>71</v>
      </c>
      <c r="E2753">
        <v>0</v>
      </c>
      <c r="F2753">
        <v>0</v>
      </c>
      <c r="G2753">
        <v>63</v>
      </c>
      <c r="H2753" s="4">
        <v>1570535763769</v>
      </c>
      <c r="I2753">
        <v>526.6875</v>
      </c>
      <c r="J2753" s="9">
        <f t="shared" si="42"/>
        <v>43746.788932511576</v>
      </c>
      <c r="K2753" s="1"/>
    </row>
    <row r="2754" spans="1:11" x14ac:dyDescent="0.25">
      <c r="A2754" t="e">
        <f>-LqfDW-H7Z8O_NoIH7T0</f>
        <v>#NAME?</v>
      </c>
      <c r="B2754">
        <v>393.75</v>
      </c>
      <c r="C2754">
        <v>20.584240000000001</v>
      </c>
      <c r="D2754">
        <v>70</v>
      </c>
      <c r="E2754">
        <v>0</v>
      </c>
      <c r="F2754">
        <v>0</v>
      </c>
      <c r="G2754">
        <v>57</v>
      </c>
      <c r="H2754" s="4">
        <v>1570535770968</v>
      </c>
      <c r="I2754">
        <v>526.6875</v>
      </c>
      <c r="J2754" s="9">
        <f t="shared" si="42"/>
        <v>43746.789015833332</v>
      </c>
      <c r="K2754" s="1"/>
    </row>
    <row r="2755" spans="1:11" x14ac:dyDescent="0.25">
      <c r="A2755" t="e">
        <f>-LqfDXnF1szbQ9tCoQo3</f>
        <v>#NAME?</v>
      </c>
      <c r="B2755">
        <v>393.75</v>
      </c>
      <c r="C2755">
        <v>20.584240000000001</v>
      </c>
      <c r="D2755">
        <v>70</v>
      </c>
      <c r="E2755">
        <v>0</v>
      </c>
      <c r="F2755">
        <v>0</v>
      </c>
      <c r="G2755">
        <v>66</v>
      </c>
      <c r="H2755" s="4">
        <v>1570535778199</v>
      </c>
      <c r="I2755">
        <v>526.6875</v>
      </c>
      <c r="J2755" s="9">
        <f t="shared" ref="J2755:J2818" si="43">(H2755/86400000)+25569+(7/24)</f>
        <v>43746.789099525464</v>
      </c>
      <c r="K2755" s="1"/>
    </row>
    <row r="2756" spans="1:11" x14ac:dyDescent="0.25">
      <c r="A2756" t="e">
        <f>-LqfDZWHWyAy2JnaFt91</f>
        <v>#NAME?</v>
      </c>
      <c r="B2756">
        <v>393.75</v>
      </c>
      <c r="C2756">
        <v>20.584240000000001</v>
      </c>
      <c r="D2756">
        <v>67</v>
      </c>
      <c r="E2756">
        <v>0</v>
      </c>
      <c r="F2756">
        <v>0</v>
      </c>
      <c r="G2756">
        <v>64</v>
      </c>
      <c r="H2756" s="4">
        <v>1570535785379</v>
      </c>
      <c r="I2756">
        <v>526.6875</v>
      </c>
      <c r="J2756" s="9">
        <f t="shared" si="43"/>
        <v>43746.789182627312</v>
      </c>
      <c r="K2756" s="1"/>
    </row>
    <row r="2757" spans="1:11" x14ac:dyDescent="0.25">
      <c r="A2757" t="e">
        <f>-LqfDa47tIxmelmi12cM</f>
        <v>#NAME?</v>
      </c>
      <c r="B2757">
        <v>412.5</v>
      </c>
      <c r="C2757">
        <v>20.584240000000001</v>
      </c>
      <c r="D2757">
        <v>67</v>
      </c>
      <c r="E2757">
        <v>0</v>
      </c>
      <c r="F2757">
        <v>0</v>
      </c>
      <c r="G2757">
        <v>61</v>
      </c>
      <c r="H2757" s="4">
        <v>1570535791599</v>
      </c>
      <c r="I2757">
        <v>532.6875</v>
      </c>
      <c r="J2757" s="9">
        <f t="shared" si="43"/>
        <v>43746.789254618052</v>
      </c>
      <c r="K2757" s="1"/>
    </row>
    <row r="2758" spans="1:11" x14ac:dyDescent="0.25">
      <c r="A2758" t="e">
        <f>-LqfDc3bEy8GPuIsH2Pm</f>
        <v>#NAME?</v>
      </c>
      <c r="B2758">
        <v>393.75</v>
      </c>
      <c r="C2758">
        <v>20.584240000000001</v>
      </c>
      <c r="D2758">
        <v>67</v>
      </c>
      <c r="E2758">
        <v>0</v>
      </c>
      <c r="F2758">
        <v>0</v>
      </c>
      <c r="G2758">
        <v>56</v>
      </c>
      <c r="H2758" s="4">
        <v>1570535798809</v>
      </c>
      <c r="I2758">
        <v>526.5</v>
      </c>
      <c r="J2758" s="9">
        <f t="shared" si="43"/>
        <v>43746.789338067123</v>
      </c>
      <c r="K2758" s="1"/>
    </row>
    <row r="2759" spans="1:11" x14ac:dyDescent="0.25">
      <c r="A2759" t="e">
        <f>-LqfDdaGd-x7KpfSSv1Y</f>
        <v>#NAME?</v>
      </c>
      <c r="B2759">
        <v>393.75</v>
      </c>
      <c r="C2759">
        <v>20.584240000000001</v>
      </c>
      <c r="D2759">
        <v>67</v>
      </c>
      <c r="E2759">
        <v>0</v>
      </c>
      <c r="F2759">
        <v>0</v>
      </c>
      <c r="G2759">
        <v>62</v>
      </c>
      <c r="H2759" s="4">
        <v>1570535806018</v>
      </c>
      <c r="I2759">
        <v>526.5</v>
      </c>
      <c r="J2759" s="9">
        <f t="shared" si="43"/>
        <v>43746.789421504633</v>
      </c>
      <c r="K2759" s="1"/>
    </row>
    <row r="2760" spans="1:11" x14ac:dyDescent="0.25">
      <c r="A2760" t="e">
        <f>-LqfDfcC8yC53qRNa_Uz</f>
        <v>#NAME?</v>
      </c>
      <c r="B2760">
        <v>393.75</v>
      </c>
      <c r="C2760">
        <v>20.531590000000001</v>
      </c>
      <c r="D2760">
        <v>67</v>
      </c>
      <c r="E2760">
        <v>0</v>
      </c>
      <c r="F2760">
        <v>0</v>
      </c>
      <c r="G2760">
        <v>66</v>
      </c>
      <c r="H2760" s="4">
        <v>1570535814383</v>
      </c>
      <c r="I2760">
        <v>526.6875</v>
      </c>
      <c r="J2760" s="9">
        <f t="shared" si="43"/>
        <v>43746.789518321755</v>
      </c>
      <c r="K2760" s="1"/>
    </row>
    <row r="2761" spans="1:11" x14ac:dyDescent="0.25">
      <c r="A2761" t="e">
        <f>-LqfDhL3C84GbYKq50oY</f>
        <v>#NAME?</v>
      </c>
      <c r="B2761">
        <v>393.75</v>
      </c>
      <c r="C2761">
        <v>20.584240000000001</v>
      </c>
      <c r="D2761">
        <v>65</v>
      </c>
      <c r="E2761">
        <v>0</v>
      </c>
      <c r="F2761">
        <v>0</v>
      </c>
      <c r="G2761">
        <v>60</v>
      </c>
      <c r="H2761" s="4">
        <v>1570535821474</v>
      </c>
      <c r="I2761">
        <v>526.5</v>
      </c>
      <c r="J2761" s="9">
        <f t="shared" si="43"/>
        <v>43746.789600393517</v>
      </c>
      <c r="K2761" s="1"/>
    </row>
    <row r="2762" spans="1:11" x14ac:dyDescent="0.25">
      <c r="A2762" t="e">
        <f>-LqfDipC7R9w717N5v4N</f>
        <v>#NAME?</v>
      </c>
      <c r="B2762">
        <v>393.75</v>
      </c>
      <c r="C2762">
        <v>20.584240000000001</v>
      </c>
      <c r="D2762">
        <v>64</v>
      </c>
      <c r="E2762">
        <v>0</v>
      </c>
      <c r="F2762">
        <v>0</v>
      </c>
      <c r="G2762">
        <v>52</v>
      </c>
      <c r="H2762" s="4">
        <v>1570535827663</v>
      </c>
      <c r="I2762">
        <v>526.6875</v>
      </c>
      <c r="J2762" s="9">
        <f t="shared" si="43"/>
        <v>43746.789672025458</v>
      </c>
      <c r="K2762" s="1"/>
    </row>
    <row r="2763" spans="1:11" x14ac:dyDescent="0.25">
      <c r="A2763" t="e">
        <f>-LqfDkOD9WXU905SMi00</f>
        <v>#NAME?</v>
      </c>
      <c r="B2763">
        <v>393.75</v>
      </c>
      <c r="C2763">
        <v>20.584240000000001</v>
      </c>
      <c r="D2763">
        <v>64</v>
      </c>
      <c r="E2763">
        <v>0</v>
      </c>
      <c r="F2763">
        <v>0</v>
      </c>
      <c r="G2763">
        <v>61</v>
      </c>
      <c r="H2763" s="4">
        <v>1570535833832</v>
      </c>
      <c r="I2763">
        <v>526.6875</v>
      </c>
      <c r="J2763" s="9">
        <f t="shared" si="43"/>
        <v>43746.789743425928</v>
      </c>
      <c r="K2763" s="1"/>
    </row>
    <row r="2764" spans="1:11" x14ac:dyDescent="0.25">
      <c r="A2764" t="e">
        <f>-LqfDm5620t_pRIapL94</f>
        <v>#NAME?</v>
      </c>
      <c r="B2764">
        <v>393.75</v>
      </c>
      <c r="C2764">
        <v>20.584240000000001</v>
      </c>
      <c r="D2764">
        <v>65</v>
      </c>
      <c r="E2764">
        <v>0</v>
      </c>
      <c r="F2764">
        <v>0</v>
      </c>
      <c r="G2764">
        <v>58</v>
      </c>
      <c r="H2764" s="4">
        <v>1570535841043</v>
      </c>
      <c r="I2764">
        <v>526.6875</v>
      </c>
      <c r="J2764" s="9">
        <f t="shared" si="43"/>
        <v>43746.789826886576</v>
      </c>
      <c r="K2764" s="1"/>
    </row>
    <row r="2765" spans="1:11" x14ac:dyDescent="0.25">
      <c r="A2765" t="e">
        <f>-LqfDnt5Sbt213VoBB10</f>
        <v>#NAME?</v>
      </c>
      <c r="B2765">
        <v>393.75</v>
      </c>
      <c r="C2765">
        <v>20.584240000000001</v>
      </c>
      <c r="D2765">
        <v>65</v>
      </c>
      <c r="E2765">
        <v>0</v>
      </c>
      <c r="F2765">
        <v>0</v>
      </c>
      <c r="G2765">
        <v>63</v>
      </c>
      <c r="H2765" s="4">
        <v>1570535848264</v>
      </c>
      <c r="I2765">
        <v>526.6875</v>
      </c>
      <c r="J2765" s="9">
        <f t="shared" si="43"/>
        <v>43746.789910462961</v>
      </c>
      <c r="K2765" s="1"/>
    </row>
    <row r="2766" spans="1:11" x14ac:dyDescent="0.25">
      <c r="A2766" t="e">
        <f>-LqfDp_pnshEdM4HdY1n</f>
        <v>#NAME?</v>
      </c>
      <c r="B2766">
        <v>393.75</v>
      </c>
      <c r="C2766">
        <v>20.584240000000001</v>
      </c>
      <c r="D2766">
        <v>66</v>
      </c>
      <c r="E2766">
        <v>0</v>
      </c>
      <c r="F2766">
        <v>0</v>
      </c>
      <c r="G2766">
        <v>64</v>
      </c>
      <c r="H2766" s="4">
        <v>1570535855444</v>
      </c>
      <c r="I2766">
        <v>526.6875</v>
      </c>
      <c r="J2766" s="9">
        <f t="shared" si="43"/>
        <v>43746.789993564809</v>
      </c>
      <c r="K2766" s="1"/>
    </row>
    <row r="2767" spans="1:11" x14ac:dyDescent="0.25">
      <c r="A2767" t="e">
        <f>-LqfDrCRH6N05zzweq9x</f>
        <v>#NAME?</v>
      </c>
      <c r="B2767">
        <v>393.75</v>
      </c>
      <c r="C2767">
        <v>20.584240000000001</v>
      </c>
      <c r="D2767">
        <v>67</v>
      </c>
      <c r="E2767">
        <v>0</v>
      </c>
      <c r="F2767">
        <v>0</v>
      </c>
      <c r="G2767">
        <v>59</v>
      </c>
      <c r="H2767" s="4">
        <v>1570535861632</v>
      </c>
      <c r="I2767">
        <v>526.6875</v>
      </c>
      <c r="J2767" s="9">
        <f t="shared" si="43"/>
        <v>43746.790065185181</v>
      </c>
      <c r="K2767" s="1"/>
    </row>
    <row r="2768" spans="1:11" x14ac:dyDescent="0.25">
      <c r="A2768" t="e">
        <f>-LqfDsuLfNqUbdBks4oK</f>
        <v>#NAME?</v>
      </c>
      <c r="B2768">
        <v>393.75</v>
      </c>
      <c r="C2768">
        <v>20.584240000000001</v>
      </c>
      <c r="D2768">
        <v>66</v>
      </c>
      <c r="E2768">
        <v>0</v>
      </c>
      <c r="F2768">
        <v>0</v>
      </c>
      <c r="G2768">
        <v>60</v>
      </c>
      <c r="H2768" s="4">
        <v>1570535868884</v>
      </c>
      <c r="I2768">
        <v>526.6875</v>
      </c>
      <c r="J2768" s="9">
        <f t="shared" si="43"/>
        <v>43746.790149120367</v>
      </c>
      <c r="K2768" s="1"/>
    </row>
    <row r="2769" spans="1:11" x14ac:dyDescent="0.25">
      <c r="A2769" t="e">
        <f>-LqfDuhL-ivArxL1dgEo</f>
        <v>#NAME?</v>
      </c>
      <c r="B2769">
        <v>393.75</v>
      </c>
      <c r="C2769">
        <v>20.531590000000001</v>
      </c>
      <c r="D2769">
        <v>64</v>
      </c>
      <c r="E2769">
        <v>0</v>
      </c>
      <c r="F2769">
        <v>0</v>
      </c>
      <c r="G2769">
        <v>59</v>
      </c>
      <c r="H2769" s="4">
        <v>1570535876092</v>
      </c>
      <c r="I2769">
        <v>526.6875</v>
      </c>
      <c r="J2769" s="9">
        <f t="shared" si="43"/>
        <v>43746.790232546293</v>
      </c>
      <c r="K2769" s="1"/>
    </row>
    <row r="2770" spans="1:11" x14ac:dyDescent="0.25">
      <c r="A2770" t="e">
        <f>-LqfDwNpqATBVxWNpq4P</f>
        <v>#NAME?</v>
      </c>
      <c r="B2770">
        <v>393.75</v>
      </c>
      <c r="C2770">
        <v>20.531590000000001</v>
      </c>
      <c r="D2770">
        <v>64</v>
      </c>
      <c r="E2770">
        <v>0</v>
      </c>
      <c r="F2770">
        <v>0</v>
      </c>
      <c r="G2770">
        <v>64</v>
      </c>
      <c r="H2770" s="4">
        <v>1570535883282</v>
      </c>
      <c r="I2770">
        <v>526.6875</v>
      </c>
      <c r="J2770" s="9">
        <f t="shared" si="43"/>
        <v>43746.790315763887</v>
      </c>
      <c r="K2770" s="1"/>
    </row>
    <row r="2771" spans="1:11" x14ac:dyDescent="0.25">
      <c r="A2771" t="e">
        <f>-LqfDxzUBeb0F4uu2odj</f>
        <v>#NAME?</v>
      </c>
      <c r="B2771">
        <v>393.75</v>
      </c>
      <c r="C2771">
        <v>20.584240000000001</v>
      </c>
      <c r="D2771">
        <v>64</v>
      </c>
      <c r="E2771">
        <v>0</v>
      </c>
      <c r="F2771">
        <v>0</v>
      </c>
      <c r="G2771">
        <v>56</v>
      </c>
      <c r="H2771" s="4">
        <v>1570535889473</v>
      </c>
      <c r="I2771">
        <v>526.6875</v>
      </c>
      <c r="J2771" s="9">
        <f t="shared" si="43"/>
        <v>43746.79038741898</v>
      </c>
      <c r="K2771" s="1"/>
    </row>
    <row r="2772" spans="1:11" x14ac:dyDescent="0.25">
      <c r="A2772" t="e">
        <f>-LqfDzg4tiuJXJyA2lk4</f>
        <v>#NAME?</v>
      </c>
      <c r="B2772">
        <v>393.75</v>
      </c>
      <c r="C2772">
        <v>20.584240000000001</v>
      </c>
      <c r="D2772">
        <v>65</v>
      </c>
      <c r="E2772">
        <v>0</v>
      </c>
      <c r="F2772">
        <v>0</v>
      </c>
      <c r="G2772">
        <v>63</v>
      </c>
      <c r="H2772" s="4">
        <v>1570535896692</v>
      </c>
      <c r="I2772">
        <v>526.5</v>
      </c>
      <c r="J2772" s="9">
        <f t="shared" si="43"/>
        <v>43746.790470972221</v>
      </c>
      <c r="K2772" s="1"/>
    </row>
    <row r="2773" spans="1:11" x14ac:dyDescent="0.25">
      <c r="A2773" t="e">
        <f>-LqfE0Wh3HgNZUHT666X</f>
        <v>#NAME?</v>
      </c>
      <c r="B2773">
        <v>393.75</v>
      </c>
      <c r="C2773">
        <v>20.584240000000001</v>
      </c>
      <c r="D2773">
        <v>65</v>
      </c>
      <c r="E2773">
        <v>0</v>
      </c>
      <c r="F2773">
        <v>0</v>
      </c>
      <c r="G2773">
        <v>62</v>
      </c>
      <c r="H2773" s="4">
        <v>1570535903903</v>
      </c>
      <c r="I2773">
        <v>526.6875</v>
      </c>
      <c r="J2773" s="9">
        <f t="shared" si="43"/>
        <v>43746.790554432868</v>
      </c>
      <c r="K2773" s="1"/>
    </row>
    <row r="2774" spans="1:11" x14ac:dyDescent="0.25">
      <c r="A2774" t="e">
        <f>-LqfE2DAspfCbO6FUcbq</f>
        <v>#NAME?</v>
      </c>
      <c r="B2774">
        <v>393.75</v>
      </c>
      <c r="C2774">
        <v>20.584240000000001</v>
      </c>
      <c r="D2774">
        <v>66</v>
      </c>
      <c r="E2774">
        <v>0</v>
      </c>
      <c r="F2774">
        <v>0</v>
      </c>
      <c r="G2774">
        <v>55</v>
      </c>
      <c r="H2774" s="4">
        <v>1570535911125</v>
      </c>
      <c r="I2774">
        <v>526.5</v>
      </c>
      <c r="J2774" s="9">
        <f t="shared" si="43"/>
        <v>43746.79063802083</v>
      </c>
      <c r="K2774" s="1"/>
    </row>
    <row r="2775" spans="1:11" x14ac:dyDescent="0.25">
      <c r="A2775" t="e">
        <f>-LqfE3l5uJKoBLVNl-ON</f>
        <v>#NAME?</v>
      </c>
      <c r="B2775">
        <v>415.625</v>
      </c>
      <c r="C2775">
        <v>20.531590000000001</v>
      </c>
      <c r="D2775">
        <v>65</v>
      </c>
      <c r="E2775">
        <v>0</v>
      </c>
      <c r="F2775">
        <v>0</v>
      </c>
      <c r="G2775">
        <v>56</v>
      </c>
      <c r="H2775" s="4">
        <v>1570535917304</v>
      </c>
      <c r="I2775">
        <v>533.25</v>
      </c>
      <c r="J2775" s="9">
        <f t="shared" si="43"/>
        <v>43746.790709537039</v>
      </c>
      <c r="K2775" s="1"/>
    </row>
    <row r="2776" spans="1:11" x14ac:dyDescent="0.25">
      <c r="A2776" t="e">
        <f>-LqfE5ULloXa2vbE-NCC</f>
        <v>#NAME?</v>
      </c>
      <c r="B2776">
        <v>393.75</v>
      </c>
      <c r="C2776">
        <v>20.584240000000001</v>
      </c>
      <c r="D2776">
        <v>65</v>
      </c>
      <c r="E2776">
        <v>0</v>
      </c>
      <c r="F2776">
        <v>0</v>
      </c>
      <c r="G2776">
        <v>62</v>
      </c>
      <c r="H2776" s="4">
        <v>1570535924513</v>
      </c>
      <c r="I2776">
        <v>526.6875</v>
      </c>
      <c r="J2776" s="9">
        <f t="shared" si="43"/>
        <v>43746.790792974534</v>
      </c>
      <c r="K2776" s="1"/>
    </row>
    <row r="2777" spans="1:11" x14ac:dyDescent="0.25">
      <c r="A2777" t="e">
        <f>-LqfE7GxbpnKHm9lY4Mu</f>
        <v>#NAME?</v>
      </c>
      <c r="B2777">
        <v>393.75</v>
      </c>
      <c r="C2777">
        <v>20.584240000000001</v>
      </c>
      <c r="D2777">
        <v>65</v>
      </c>
      <c r="E2777">
        <v>0</v>
      </c>
      <c r="F2777">
        <v>0</v>
      </c>
      <c r="G2777">
        <v>57</v>
      </c>
      <c r="H2777" s="4">
        <v>1570535931732</v>
      </c>
      <c r="I2777">
        <v>526.6875</v>
      </c>
      <c r="J2777" s="9">
        <f t="shared" si="43"/>
        <v>43746.790876527775</v>
      </c>
      <c r="K2777" s="1"/>
    </row>
    <row r="2778" spans="1:11" x14ac:dyDescent="0.25">
      <c r="A2778" t="s">
        <v>149</v>
      </c>
      <c r="B2778">
        <v>393.75</v>
      </c>
      <c r="C2778">
        <v>20.584240000000001</v>
      </c>
      <c r="D2778">
        <v>62</v>
      </c>
      <c r="E2778">
        <v>0</v>
      </c>
      <c r="F2778">
        <v>0</v>
      </c>
      <c r="G2778">
        <v>61</v>
      </c>
      <c r="H2778" s="4">
        <v>1570535937914</v>
      </c>
      <c r="I2778">
        <v>526.5</v>
      </c>
      <c r="J2778" s="9">
        <f t="shared" si="43"/>
        <v>43746.790948078698</v>
      </c>
      <c r="K2778" s="1"/>
    </row>
    <row r="2779" spans="1:11" x14ac:dyDescent="0.25">
      <c r="A2779" t="e">
        <f>-LqfEAVBjmUfxibBXJUo</f>
        <v>#NAME?</v>
      </c>
      <c r="B2779">
        <v>393.75</v>
      </c>
      <c r="C2779">
        <v>20.584240000000001</v>
      </c>
      <c r="D2779">
        <v>64</v>
      </c>
      <c r="E2779">
        <v>0</v>
      </c>
      <c r="F2779">
        <v>0</v>
      </c>
      <c r="G2779">
        <v>62</v>
      </c>
      <c r="H2779" s="4">
        <v>1570535945122</v>
      </c>
      <c r="I2779">
        <v>526.6875</v>
      </c>
      <c r="J2779" s="9">
        <f t="shared" si="43"/>
        <v>43746.791031504625</v>
      </c>
      <c r="K2779" s="1"/>
    </row>
    <row r="2780" spans="1:11" x14ac:dyDescent="0.25">
      <c r="A2780" t="e">
        <f>-LqfEC3Vj_gSTsaKvt6p</f>
        <v>#NAME?</v>
      </c>
      <c r="B2780">
        <v>393.75</v>
      </c>
      <c r="C2780">
        <v>20.584240000000001</v>
      </c>
      <c r="D2780">
        <v>64</v>
      </c>
      <c r="E2780">
        <v>0</v>
      </c>
      <c r="F2780">
        <v>0</v>
      </c>
      <c r="G2780">
        <v>65</v>
      </c>
      <c r="H2780" s="4">
        <v>1570535951314</v>
      </c>
      <c r="I2780">
        <v>526.6875</v>
      </c>
      <c r="J2780" s="9">
        <f t="shared" si="43"/>
        <v>43746.791103171294</v>
      </c>
      <c r="K2780" s="1"/>
    </row>
    <row r="2781" spans="1:11" x14ac:dyDescent="0.25">
      <c r="A2781" t="e">
        <f>-LqfEDjgL3Xll6n6Nzwl</f>
        <v>#NAME?</v>
      </c>
      <c r="B2781">
        <v>412.5</v>
      </c>
      <c r="C2781">
        <v>20.584240000000001</v>
      </c>
      <c r="D2781">
        <v>65</v>
      </c>
      <c r="E2781">
        <v>0</v>
      </c>
      <c r="F2781">
        <v>0</v>
      </c>
      <c r="G2781">
        <v>66</v>
      </c>
      <c r="H2781" s="4">
        <v>1570535958494</v>
      </c>
      <c r="I2781">
        <v>532.125</v>
      </c>
      <c r="J2781" s="9">
        <f t="shared" si="43"/>
        <v>43746.791186273149</v>
      </c>
      <c r="K2781" s="1"/>
    </row>
    <row r="2782" spans="1:11" x14ac:dyDescent="0.25">
      <c r="A2782" t="e">
        <f>-LqfEFLCNtniWVmFNFwv</f>
        <v>#NAME?</v>
      </c>
      <c r="B2782">
        <v>393.75</v>
      </c>
      <c r="C2782">
        <v>20.584240000000001</v>
      </c>
      <c r="D2782">
        <v>65</v>
      </c>
      <c r="E2782">
        <v>0</v>
      </c>
      <c r="F2782">
        <v>0</v>
      </c>
      <c r="G2782">
        <v>56</v>
      </c>
      <c r="H2782" s="4">
        <v>1570535964704</v>
      </c>
      <c r="I2782">
        <v>526.6875</v>
      </c>
      <c r="J2782" s="9">
        <f t="shared" si="43"/>
        <v>43746.791258148143</v>
      </c>
      <c r="K2782" s="1"/>
    </row>
    <row r="2783" spans="1:11" x14ac:dyDescent="0.25">
      <c r="A2783" t="e">
        <f>-LqfEH3A3zW2u0PY9CM7</f>
        <v>#NAME?</v>
      </c>
      <c r="B2783">
        <v>393.75</v>
      </c>
      <c r="C2783">
        <v>20.584240000000001</v>
      </c>
      <c r="D2783">
        <v>65</v>
      </c>
      <c r="E2783">
        <v>0</v>
      </c>
      <c r="F2783">
        <v>0</v>
      </c>
      <c r="G2783">
        <v>58</v>
      </c>
      <c r="H2783" s="4">
        <v>1570535971924</v>
      </c>
      <c r="I2783">
        <v>526.6875</v>
      </c>
      <c r="J2783" s="9">
        <f t="shared" si="43"/>
        <v>43746.79134171296</v>
      </c>
      <c r="K2783" s="1"/>
    </row>
    <row r="2784" spans="1:11" x14ac:dyDescent="0.25">
      <c r="A2784" t="e">
        <f>-LqfEIb5PblTjWH6Bra7</f>
        <v>#NAME?</v>
      </c>
      <c r="B2784">
        <v>393.75</v>
      </c>
      <c r="C2784">
        <v>20.584240000000001</v>
      </c>
      <c r="D2784">
        <v>65</v>
      </c>
      <c r="E2784">
        <v>0</v>
      </c>
      <c r="F2784">
        <v>0</v>
      </c>
      <c r="G2784">
        <v>53</v>
      </c>
      <c r="H2784" s="4">
        <v>1570535978112</v>
      </c>
      <c r="I2784">
        <v>526.6875</v>
      </c>
      <c r="J2784" s="9">
        <f t="shared" si="43"/>
        <v>43746.791413333332</v>
      </c>
      <c r="K2784" s="1"/>
    </row>
    <row r="2785" spans="1:11" x14ac:dyDescent="0.25">
      <c r="A2785" t="e">
        <f>-LqfEKL1qkdDkn4Edl51</f>
        <v>#NAME?</v>
      </c>
      <c r="B2785">
        <v>393.75</v>
      </c>
      <c r="C2785">
        <v>20.584240000000001</v>
      </c>
      <c r="D2785">
        <v>64</v>
      </c>
      <c r="E2785">
        <v>0</v>
      </c>
      <c r="F2785">
        <v>0</v>
      </c>
      <c r="G2785">
        <v>58</v>
      </c>
      <c r="H2785" s="4">
        <v>1570535985314</v>
      </c>
      <c r="I2785">
        <v>526.6875</v>
      </c>
      <c r="J2785" s="9">
        <f t="shared" si="43"/>
        <v>43746.791496689817</v>
      </c>
      <c r="K2785" s="1"/>
    </row>
    <row r="2786" spans="1:11" x14ac:dyDescent="0.25">
      <c r="A2786" t="e">
        <f>-LqfELnxr-YPNNWow9V3</f>
        <v>#NAME?</v>
      </c>
      <c r="B2786">
        <v>393.75</v>
      </c>
      <c r="C2786">
        <v>20.584240000000001</v>
      </c>
      <c r="D2786">
        <v>65</v>
      </c>
      <c r="E2786">
        <v>0</v>
      </c>
      <c r="F2786">
        <v>0</v>
      </c>
      <c r="G2786">
        <v>68</v>
      </c>
      <c r="H2786" s="4">
        <v>1570535991514</v>
      </c>
      <c r="I2786">
        <v>526.6875</v>
      </c>
      <c r="J2786" s="9">
        <f t="shared" si="43"/>
        <v>43746.791568449073</v>
      </c>
      <c r="K2786" s="1"/>
    </row>
    <row r="2787" spans="1:11" x14ac:dyDescent="0.25">
      <c r="A2787" t="e">
        <f>-LqfENJKGuyrEZ0nBz0_</f>
        <v>#NAME?</v>
      </c>
      <c r="B2787">
        <v>393.75</v>
      </c>
      <c r="C2787">
        <v>20.584240000000001</v>
      </c>
      <c r="D2787">
        <v>65</v>
      </c>
      <c r="E2787">
        <v>0</v>
      </c>
      <c r="F2787">
        <v>0</v>
      </c>
      <c r="G2787">
        <v>62</v>
      </c>
      <c r="H2787" s="4">
        <v>1570535997684</v>
      </c>
      <c r="I2787">
        <v>526.6875</v>
      </c>
      <c r="J2787" s="9">
        <f t="shared" si="43"/>
        <v>43746.791639861105</v>
      </c>
      <c r="K2787" s="1"/>
    </row>
    <row r="2788" spans="1:11" x14ac:dyDescent="0.25">
      <c r="A2788" t="e">
        <f>-LqfEOr6VJS-vgbjFpzF</f>
        <v>#NAME?</v>
      </c>
      <c r="B2788">
        <v>393.75</v>
      </c>
      <c r="C2788">
        <v>20.584240000000001</v>
      </c>
      <c r="D2788">
        <v>65</v>
      </c>
      <c r="E2788">
        <v>0</v>
      </c>
      <c r="F2788">
        <v>0</v>
      </c>
      <c r="G2788">
        <v>58</v>
      </c>
      <c r="H2788" s="4">
        <v>1570536003863</v>
      </c>
      <c r="I2788">
        <v>526.6875</v>
      </c>
      <c r="J2788" s="9">
        <f t="shared" si="43"/>
        <v>43746.791711377307</v>
      </c>
      <c r="K2788" s="1"/>
    </row>
    <row r="2789" spans="1:11" x14ac:dyDescent="0.25">
      <c r="A2789" t="e">
        <f>-LqfEQf2p3xInX6Vq05K</f>
        <v>#NAME?</v>
      </c>
      <c r="B2789">
        <v>393.75</v>
      </c>
      <c r="C2789">
        <v>20.584240000000001</v>
      </c>
      <c r="D2789">
        <v>65</v>
      </c>
      <c r="E2789">
        <v>0</v>
      </c>
      <c r="F2789">
        <v>0</v>
      </c>
      <c r="G2789">
        <v>62</v>
      </c>
      <c r="H2789" s="4">
        <v>1570536011073</v>
      </c>
      <c r="I2789">
        <v>526.6875</v>
      </c>
      <c r="J2789" s="9">
        <f t="shared" si="43"/>
        <v>43746.791794826386</v>
      </c>
      <c r="K2789" s="1"/>
    </row>
    <row r="2790" spans="1:11" x14ac:dyDescent="0.25">
      <c r="A2790" t="e">
        <f>-LqfESLpDVcXjz6k0ElL</f>
        <v>#NAME?</v>
      </c>
      <c r="B2790">
        <v>393.75</v>
      </c>
      <c r="C2790">
        <v>20.584240000000001</v>
      </c>
      <c r="D2790">
        <v>65</v>
      </c>
      <c r="E2790">
        <v>0</v>
      </c>
      <c r="F2790">
        <v>0</v>
      </c>
      <c r="G2790">
        <v>62</v>
      </c>
      <c r="H2790" s="4">
        <v>1570536018324</v>
      </c>
      <c r="I2790">
        <v>526.6875</v>
      </c>
      <c r="J2790" s="9">
        <f t="shared" si="43"/>
        <v>43746.791878750002</v>
      </c>
      <c r="K2790" s="1"/>
    </row>
    <row r="2791" spans="1:11" x14ac:dyDescent="0.25">
      <c r="A2791" t="e">
        <f>-LqfEUBCUEo-CTJffAAj</f>
        <v>#NAME?</v>
      </c>
      <c r="B2791">
        <v>393.75</v>
      </c>
      <c r="C2791">
        <v>20.531590000000001</v>
      </c>
      <c r="D2791">
        <v>64</v>
      </c>
      <c r="E2791">
        <v>0</v>
      </c>
      <c r="F2791">
        <v>0</v>
      </c>
      <c r="G2791">
        <v>59</v>
      </c>
      <c r="H2791" s="4">
        <v>1570536025502</v>
      </c>
      <c r="I2791">
        <v>526.6875</v>
      </c>
      <c r="J2791" s="9">
        <f t="shared" si="43"/>
        <v>43746.791961828705</v>
      </c>
      <c r="K2791" s="1"/>
    </row>
    <row r="2792" spans="1:11" x14ac:dyDescent="0.25">
      <c r="A2792" t="e">
        <f>-LqfEVu2ij3EghSqAmPA</f>
        <v>#NAME?</v>
      </c>
      <c r="B2792">
        <v>393.75</v>
      </c>
      <c r="C2792">
        <v>20.584240000000001</v>
      </c>
      <c r="D2792">
        <v>64</v>
      </c>
      <c r="E2792">
        <v>0</v>
      </c>
      <c r="F2792">
        <v>0</v>
      </c>
      <c r="G2792">
        <v>62</v>
      </c>
      <c r="H2792" s="4">
        <v>1570536032722</v>
      </c>
      <c r="I2792">
        <v>526.6875</v>
      </c>
      <c r="J2792" s="9">
        <f t="shared" si="43"/>
        <v>43746.792045393515</v>
      </c>
      <c r="K2792" s="1"/>
    </row>
    <row r="2793" spans="1:11" x14ac:dyDescent="0.25">
      <c r="A2793" t="e">
        <f>-LqfEXfpf-Rmhtjl-834</f>
        <v>#NAME?</v>
      </c>
      <c r="B2793">
        <v>393.75</v>
      </c>
      <c r="C2793">
        <v>20.584240000000001</v>
      </c>
      <c r="D2793">
        <v>65</v>
      </c>
      <c r="E2793">
        <v>0</v>
      </c>
      <c r="F2793">
        <v>0</v>
      </c>
      <c r="G2793">
        <v>63</v>
      </c>
      <c r="H2793" s="4">
        <v>1570536038893</v>
      </c>
      <c r="I2793">
        <v>526.6875</v>
      </c>
      <c r="J2793" s="9">
        <f t="shared" si="43"/>
        <v>43746.792116817123</v>
      </c>
      <c r="K2793" s="1"/>
    </row>
    <row r="2794" spans="1:11" x14ac:dyDescent="0.25">
      <c r="A2794" t="e">
        <f>-LqfEZBN3xjCJfaWJZ8y</f>
        <v>#NAME?</v>
      </c>
      <c r="B2794">
        <v>393.75</v>
      </c>
      <c r="C2794">
        <v>20.584240000000001</v>
      </c>
      <c r="D2794">
        <v>64</v>
      </c>
      <c r="E2794">
        <v>0</v>
      </c>
      <c r="F2794">
        <v>0</v>
      </c>
      <c r="G2794">
        <v>62</v>
      </c>
      <c r="H2794" s="4">
        <v>1570536046117</v>
      </c>
      <c r="I2794">
        <v>526.5</v>
      </c>
      <c r="J2794" s="9">
        <f t="shared" si="43"/>
        <v>43746.792200428237</v>
      </c>
      <c r="K2794" s="1"/>
    </row>
    <row r="2795" spans="1:11" x14ac:dyDescent="0.25">
      <c r="A2795" t="e">
        <f>-LqfE_z7-D5cVbF533BB</f>
        <v>#NAME?</v>
      </c>
      <c r="B2795">
        <v>393.75</v>
      </c>
      <c r="C2795">
        <v>20.584240000000001</v>
      </c>
      <c r="D2795">
        <v>63</v>
      </c>
      <c r="E2795">
        <v>0</v>
      </c>
      <c r="F2795">
        <v>0</v>
      </c>
      <c r="G2795">
        <v>60</v>
      </c>
      <c r="H2795" s="4">
        <v>1570536053335</v>
      </c>
      <c r="I2795">
        <v>526.5</v>
      </c>
      <c r="J2795" s="9">
        <f t="shared" si="43"/>
        <v>43746.792283969909</v>
      </c>
      <c r="K2795" s="1"/>
    </row>
    <row r="2796" spans="1:11" x14ac:dyDescent="0.25">
      <c r="A2796" t="e">
        <f>-LqfEbhEX3nKqsxtpTEk</f>
        <v>#NAME?</v>
      </c>
      <c r="B2796">
        <v>393.75</v>
      </c>
      <c r="C2796">
        <v>20.531590000000001</v>
      </c>
      <c r="D2796">
        <v>65</v>
      </c>
      <c r="E2796">
        <v>0</v>
      </c>
      <c r="F2796">
        <v>0</v>
      </c>
      <c r="G2796">
        <v>66</v>
      </c>
      <c r="H2796" s="4">
        <v>1570536060567</v>
      </c>
      <c r="I2796">
        <v>526.6875</v>
      </c>
      <c r="J2796" s="9">
        <f t="shared" si="43"/>
        <v>43746.79236767361</v>
      </c>
      <c r="K2796" s="1"/>
    </row>
    <row r="2797" spans="1:11" x14ac:dyDescent="0.25">
      <c r="A2797" t="e">
        <f>-LqfEdNQPHkGz987F0Li</f>
        <v>#NAME?</v>
      </c>
      <c r="B2797">
        <v>393.75</v>
      </c>
      <c r="C2797">
        <v>20.584240000000001</v>
      </c>
      <c r="D2797">
        <v>65</v>
      </c>
      <c r="E2797">
        <v>0</v>
      </c>
      <c r="F2797">
        <v>0</v>
      </c>
      <c r="G2797">
        <v>60</v>
      </c>
      <c r="H2797" s="4">
        <v>1570536066727</v>
      </c>
      <c r="I2797">
        <v>526.6875</v>
      </c>
      <c r="J2797" s="9">
        <f t="shared" si="43"/>
        <v>43746.792438969904</v>
      </c>
      <c r="K2797" s="1"/>
    </row>
    <row r="2798" spans="1:11" x14ac:dyDescent="0.25">
      <c r="A2798" t="e">
        <f>-LqfEez4zF1XAuBVkFmL</f>
        <v>#NAME?</v>
      </c>
      <c r="B2798">
        <v>393.75</v>
      </c>
      <c r="C2798">
        <v>20.584240000000001</v>
      </c>
      <c r="D2798">
        <v>64</v>
      </c>
      <c r="E2798">
        <v>0</v>
      </c>
      <c r="F2798">
        <v>0</v>
      </c>
      <c r="G2798">
        <v>67</v>
      </c>
      <c r="H2798" s="4">
        <v>1570536073937</v>
      </c>
      <c r="I2798">
        <v>526.6875</v>
      </c>
      <c r="J2798" s="9">
        <f t="shared" si="43"/>
        <v>43746.792522418975</v>
      </c>
      <c r="K2798" s="1"/>
    </row>
    <row r="2799" spans="1:11" x14ac:dyDescent="0.25">
      <c r="A2799" t="e">
        <f>-LqfEgTGpSznWGnhw5P5</f>
        <v>#NAME?</v>
      </c>
      <c r="B2799">
        <v>393.75</v>
      </c>
      <c r="C2799">
        <v>20.584240000000001</v>
      </c>
      <c r="D2799">
        <v>64</v>
      </c>
      <c r="E2799">
        <v>0</v>
      </c>
      <c r="F2799">
        <v>0</v>
      </c>
      <c r="G2799">
        <v>64</v>
      </c>
      <c r="H2799" s="4">
        <v>1570536080097</v>
      </c>
      <c r="I2799">
        <v>526.6875</v>
      </c>
      <c r="J2799" s="9">
        <f t="shared" si="43"/>
        <v>43746.792593715276</v>
      </c>
      <c r="K2799" s="1"/>
    </row>
    <row r="2800" spans="1:11" x14ac:dyDescent="0.25">
      <c r="A2800" t="e">
        <f>-LqfEi2V5NiriITK9o6N</f>
        <v>#NAME?</v>
      </c>
      <c r="B2800">
        <v>393.75</v>
      </c>
      <c r="C2800">
        <v>20.584240000000001</v>
      </c>
      <c r="D2800">
        <v>64</v>
      </c>
      <c r="E2800">
        <v>0</v>
      </c>
      <c r="F2800">
        <v>0</v>
      </c>
      <c r="G2800">
        <v>62</v>
      </c>
      <c r="H2800" s="4">
        <v>1570536086276</v>
      </c>
      <c r="I2800">
        <v>526.6875</v>
      </c>
      <c r="J2800" s="9">
        <f t="shared" si="43"/>
        <v>43746.792665231478</v>
      </c>
      <c r="K2800" s="1"/>
    </row>
    <row r="2801" spans="1:11" x14ac:dyDescent="0.25">
      <c r="A2801" t="e">
        <f>-LqfEjlUe2Xy_i8FqV4d</f>
        <v>#NAME?</v>
      </c>
      <c r="B2801">
        <v>393.75</v>
      </c>
      <c r="C2801">
        <v>20.584240000000001</v>
      </c>
      <c r="D2801">
        <v>61</v>
      </c>
      <c r="E2801">
        <v>0</v>
      </c>
      <c r="F2801">
        <v>0</v>
      </c>
      <c r="G2801">
        <v>55</v>
      </c>
      <c r="H2801" s="4">
        <v>1570536093528</v>
      </c>
      <c r="I2801">
        <v>526.6875</v>
      </c>
      <c r="J2801" s="9">
        <f t="shared" si="43"/>
        <v>43746.792749166663</v>
      </c>
      <c r="K2801" s="1"/>
    </row>
    <row r="2802" spans="1:11" x14ac:dyDescent="0.25">
      <c r="A2802" t="e">
        <f>-LqfElJEp6ciZivqZT08</f>
        <v>#NAME?</v>
      </c>
      <c r="B2802">
        <v>393.75</v>
      </c>
      <c r="C2802">
        <v>20.584240000000001</v>
      </c>
      <c r="D2802">
        <v>61</v>
      </c>
      <c r="E2802">
        <v>0</v>
      </c>
      <c r="F2802">
        <v>0</v>
      </c>
      <c r="G2802">
        <v>62</v>
      </c>
      <c r="H2802" s="4">
        <v>1570536099707</v>
      </c>
      <c r="I2802">
        <v>526.6875</v>
      </c>
      <c r="J2802" s="9">
        <f t="shared" si="43"/>
        <v>43746.792820682873</v>
      </c>
      <c r="K2802" s="1"/>
    </row>
    <row r="2803" spans="1:11" x14ac:dyDescent="0.25">
      <c r="A2803" t="e">
        <f>-LqfEn1EQ36baDqmz_Gj</f>
        <v>#NAME?</v>
      </c>
      <c r="B2803">
        <v>393.75</v>
      </c>
      <c r="C2803">
        <v>20.584240000000001</v>
      </c>
      <c r="D2803">
        <v>61</v>
      </c>
      <c r="E2803">
        <v>0</v>
      </c>
      <c r="F2803">
        <v>0</v>
      </c>
      <c r="G2803">
        <v>59</v>
      </c>
      <c r="H2803" s="4">
        <v>1570536106920</v>
      </c>
      <c r="I2803">
        <v>526.6875</v>
      </c>
      <c r="J2803" s="9">
        <f t="shared" si="43"/>
        <v>43746.792904166665</v>
      </c>
      <c r="K2803" s="1"/>
    </row>
    <row r="2804" spans="1:11" x14ac:dyDescent="0.25">
      <c r="A2804" t="s">
        <v>150</v>
      </c>
      <c r="B2804">
        <v>393.75</v>
      </c>
      <c r="C2804">
        <v>20.584240000000001</v>
      </c>
      <c r="D2804">
        <v>62</v>
      </c>
      <c r="E2804">
        <v>0</v>
      </c>
      <c r="F2804">
        <v>0</v>
      </c>
      <c r="G2804">
        <v>60</v>
      </c>
      <c r="H2804" s="4">
        <v>1570536113116</v>
      </c>
      <c r="I2804">
        <v>526.6875</v>
      </c>
      <c r="J2804" s="9">
        <f t="shared" si="43"/>
        <v>43746.792975879631</v>
      </c>
      <c r="K2804" s="1"/>
    </row>
    <row r="2805" spans="1:11" x14ac:dyDescent="0.25">
      <c r="A2805" t="e">
        <f>-LqfEq4LQa-rMbncUXa6</f>
        <v>#NAME?</v>
      </c>
      <c r="B2805">
        <v>393.75</v>
      </c>
      <c r="C2805">
        <v>20.584240000000001</v>
      </c>
      <c r="D2805">
        <v>62</v>
      </c>
      <c r="E2805">
        <v>0</v>
      </c>
      <c r="F2805">
        <v>0</v>
      </c>
      <c r="G2805">
        <v>63</v>
      </c>
      <c r="H2805" s="4">
        <v>1570536119276</v>
      </c>
      <c r="I2805">
        <v>526.6875</v>
      </c>
      <c r="J2805" s="9">
        <f t="shared" si="43"/>
        <v>43746.793047175925</v>
      </c>
      <c r="K2805" s="1"/>
    </row>
    <row r="2806" spans="1:11" x14ac:dyDescent="0.25">
      <c r="A2806" t="e">
        <f>-LqfErkuQ9dcwF4crq50</f>
        <v>#NAME?</v>
      </c>
      <c r="B2806">
        <v>393.75</v>
      </c>
      <c r="C2806">
        <v>20.531590000000001</v>
      </c>
      <c r="D2806">
        <v>63</v>
      </c>
      <c r="E2806">
        <v>0</v>
      </c>
      <c r="F2806">
        <v>0</v>
      </c>
      <c r="G2806">
        <v>58</v>
      </c>
      <c r="H2806" s="4">
        <v>1570536126486</v>
      </c>
      <c r="I2806">
        <v>526.5</v>
      </c>
      <c r="J2806" s="9">
        <f t="shared" si="43"/>
        <v>43746.793130625003</v>
      </c>
      <c r="K2806" s="1"/>
    </row>
    <row r="2807" spans="1:11" x14ac:dyDescent="0.25">
      <c r="A2807" t="e">
        <f>-LqfEtuDHg2czMFMypYp</f>
        <v>#NAME?</v>
      </c>
      <c r="B2807">
        <v>393.75</v>
      </c>
      <c r="C2807">
        <v>20.584240000000001</v>
      </c>
      <c r="D2807">
        <v>65</v>
      </c>
      <c r="E2807">
        <v>0</v>
      </c>
      <c r="F2807">
        <v>0</v>
      </c>
      <c r="G2807">
        <v>57</v>
      </c>
      <c r="H2807" s="4">
        <v>1570536135127</v>
      </c>
      <c r="I2807">
        <v>526.6875</v>
      </c>
      <c r="J2807" s="9">
        <f t="shared" si="43"/>
        <v>43746.793230636576</v>
      </c>
      <c r="K2807" s="1"/>
    </row>
    <row r="2808" spans="1:11" x14ac:dyDescent="0.25">
      <c r="A2808" t="e">
        <f>-LqfEvc5LJxdyZnwaM1S</f>
        <v>#NAME?</v>
      </c>
      <c r="B2808">
        <v>393.75</v>
      </c>
      <c r="C2808">
        <v>20.531590000000001</v>
      </c>
      <c r="D2808">
        <v>66</v>
      </c>
      <c r="E2808">
        <v>0</v>
      </c>
      <c r="F2808">
        <v>0</v>
      </c>
      <c r="G2808">
        <v>58</v>
      </c>
      <c r="H2808" s="4">
        <v>1570536141957</v>
      </c>
      <c r="I2808">
        <v>526.5</v>
      </c>
      <c r="J2808" s="9">
        <f t="shared" si="43"/>
        <v>43746.793309687499</v>
      </c>
      <c r="K2808" s="1"/>
    </row>
    <row r="2809" spans="1:11" x14ac:dyDescent="0.25">
      <c r="A2809" t="e">
        <f>-LqfExK8kmbgNPy3e8oT</f>
        <v>#NAME?</v>
      </c>
      <c r="B2809">
        <v>393.75</v>
      </c>
      <c r="C2809">
        <v>20.584240000000001</v>
      </c>
      <c r="D2809">
        <v>65</v>
      </c>
      <c r="E2809">
        <v>0</v>
      </c>
      <c r="F2809">
        <v>0</v>
      </c>
      <c r="G2809">
        <v>62</v>
      </c>
      <c r="H2809" s="4">
        <v>1570536149167</v>
      </c>
      <c r="I2809">
        <v>526.6875</v>
      </c>
      <c r="J2809" s="9">
        <f t="shared" si="43"/>
        <v>43746.793393136577</v>
      </c>
      <c r="K2809" s="1"/>
    </row>
    <row r="2810" spans="1:11" x14ac:dyDescent="0.25">
      <c r="A2810" t="e">
        <f>-LqfEzNF1Z51ZsJZFJxp</f>
        <v>#NAME?</v>
      </c>
      <c r="B2810">
        <v>393.75</v>
      </c>
      <c r="C2810">
        <v>20.531590000000001</v>
      </c>
      <c r="D2810">
        <v>66</v>
      </c>
      <c r="E2810">
        <v>0</v>
      </c>
      <c r="F2810">
        <v>0</v>
      </c>
      <c r="G2810">
        <v>57</v>
      </c>
      <c r="H2810" s="4">
        <v>1570536157358</v>
      </c>
      <c r="I2810">
        <v>526.6875</v>
      </c>
      <c r="J2810" s="9">
        <f t="shared" si="43"/>
        <v>43746.793487939816</v>
      </c>
      <c r="K2810" s="1"/>
    </row>
    <row r="2811" spans="1:11" x14ac:dyDescent="0.25">
      <c r="A2811" t="e">
        <f>-LqfF05OQsLf2Pee6n4a</f>
        <v>#NAME?</v>
      </c>
      <c r="B2811">
        <v>412.5</v>
      </c>
      <c r="C2811">
        <v>20.584240000000001</v>
      </c>
      <c r="D2811">
        <v>66</v>
      </c>
      <c r="E2811">
        <v>0</v>
      </c>
      <c r="F2811">
        <v>0</v>
      </c>
      <c r="G2811">
        <v>64</v>
      </c>
      <c r="H2811" s="4">
        <v>1570536164635</v>
      </c>
      <c r="I2811">
        <v>532.125</v>
      </c>
      <c r="J2811" s="9">
        <f t="shared" si="43"/>
        <v>43746.793572164352</v>
      </c>
      <c r="K2811" s="1"/>
    </row>
    <row r="2812" spans="1:11" x14ac:dyDescent="0.25">
      <c r="A2812" t="e">
        <f>-LqfF1eFELwz5T6aLmYa</f>
        <v>#NAME?</v>
      </c>
      <c r="B2812">
        <v>393.75</v>
      </c>
      <c r="C2812">
        <v>20.531590000000001</v>
      </c>
      <c r="D2812">
        <v>63</v>
      </c>
      <c r="E2812">
        <v>0</v>
      </c>
      <c r="F2812">
        <v>0</v>
      </c>
      <c r="G2812">
        <v>62</v>
      </c>
      <c r="H2812" s="4">
        <v>1570536170796</v>
      </c>
      <c r="I2812">
        <v>526.6875</v>
      </c>
      <c r="J2812" s="9">
        <f t="shared" si="43"/>
        <v>43746.793643472221</v>
      </c>
      <c r="K2812" s="1"/>
    </row>
    <row r="2813" spans="1:11" x14ac:dyDescent="0.25">
      <c r="A2813" t="e">
        <f>-LqfF3NDKLCYj2LkTEgd</f>
        <v>#NAME?</v>
      </c>
      <c r="B2813">
        <v>393.75</v>
      </c>
      <c r="C2813">
        <v>20.584240000000001</v>
      </c>
      <c r="D2813">
        <v>65</v>
      </c>
      <c r="E2813">
        <v>0</v>
      </c>
      <c r="F2813">
        <v>0</v>
      </c>
      <c r="G2813">
        <v>59</v>
      </c>
      <c r="H2813" s="4">
        <v>1570536178008</v>
      </c>
      <c r="I2813">
        <v>526.6875</v>
      </c>
      <c r="J2813" s="9">
        <f t="shared" si="43"/>
        <v>43746.793726944445</v>
      </c>
      <c r="K2813" s="1"/>
    </row>
    <row r="2814" spans="1:11" x14ac:dyDescent="0.25">
      <c r="A2814" t="e">
        <f>-LqfF4wEMyPDM3_IxDI7</f>
        <v>#NAME?</v>
      </c>
      <c r="B2814">
        <v>393.75</v>
      </c>
      <c r="C2814">
        <v>20.584240000000001</v>
      </c>
      <c r="D2814">
        <v>65</v>
      </c>
      <c r="E2814">
        <v>0</v>
      </c>
      <c r="F2814">
        <v>0</v>
      </c>
      <c r="G2814">
        <v>67</v>
      </c>
      <c r="H2814" s="4">
        <v>1570536184196</v>
      </c>
      <c r="I2814">
        <v>526.6875</v>
      </c>
      <c r="J2814" s="9">
        <f t="shared" si="43"/>
        <v>43746.79379856481</v>
      </c>
      <c r="K2814" s="1"/>
    </row>
    <row r="2815" spans="1:11" x14ac:dyDescent="0.25">
      <c r="A2815" t="e">
        <f>-LqfF6eNvwloWuEfNyaf</f>
        <v>#NAME?</v>
      </c>
      <c r="B2815">
        <v>393.75</v>
      </c>
      <c r="C2815">
        <v>20.531590000000001</v>
      </c>
      <c r="D2815">
        <v>65</v>
      </c>
      <c r="E2815">
        <v>0</v>
      </c>
      <c r="F2815">
        <v>0</v>
      </c>
      <c r="G2815">
        <v>59</v>
      </c>
      <c r="H2815" s="4">
        <v>1570536191417</v>
      </c>
      <c r="I2815">
        <v>526.6875</v>
      </c>
      <c r="J2815" s="9">
        <f t="shared" si="43"/>
        <v>43746.793882141203</v>
      </c>
      <c r="K2815" s="1"/>
    </row>
    <row r="2816" spans="1:11" x14ac:dyDescent="0.25">
      <c r="A2816" t="e">
        <f>-LqfF8NHjLSFm7-mAmKm</f>
        <v>#NAME?</v>
      </c>
      <c r="B2816">
        <v>393.75</v>
      </c>
      <c r="C2816">
        <v>20.584240000000001</v>
      </c>
      <c r="D2816">
        <v>63</v>
      </c>
      <c r="E2816">
        <v>0</v>
      </c>
      <c r="F2816">
        <v>0</v>
      </c>
      <c r="G2816">
        <v>60</v>
      </c>
      <c r="H2816" s="4">
        <v>1570536198627</v>
      </c>
      <c r="I2816">
        <v>526.6875</v>
      </c>
      <c r="J2816" s="9">
        <f t="shared" si="43"/>
        <v>43746.793965590274</v>
      </c>
      <c r="K2816" s="1"/>
    </row>
    <row r="2817" spans="1:11" x14ac:dyDescent="0.25">
      <c r="A2817" t="e">
        <f>-LqfFAEmMnJcCpzU5ail</f>
        <v>#NAME?</v>
      </c>
      <c r="B2817">
        <v>393.75</v>
      </c>
      <c r="C2817">
        <v>20.584240000000001</v>
      </c>
      <c r="D2817">
        <v>64</v>
      </c>
      <c r="E2817">
        <v>0</v>
      </c>
      <c r="F2817">
        <v>0</v>
      </c>
      <c r="G2817">
        <v>63</v>
      </c>
      <c r="H2817" s="4">
        <v>1570536204806</v>
      </c>
      <c r="I2817">
        <v>526.6875</v>
      </c>
      <c r="J2817" s="9">
        <f t="shared" si="43"/>
        <v>43746.794037106483</v>
      </c>
      <c r="K2817" s="1"/>
    </row>
    <row r="2818" spans="1:11" x14ac:dyDescent="0.25">
      <c r="A2818" t="e">
        <f>-LqfFBtih1hgcxIRIPQ_</f>
        <v>#NAME?</v>
      </c>
      <c r="B2818">
        <v>393.75</v>
      </c>
      <c r="C2818">
        <v>20.584240000000001</v>
      </c>
      <c r="D2818">
        <v>65</v>
      </c>
      <c r="E2818">
        <v>0</v>
      </c>
      <c r="F2818">
        <v>0</v>
      </c>
      <c r="G2818">
        <v>57</v>
      </c>
      <c r="H2818" s="4">
        <v>1570536213055</v>
      </c>
      <c r="I2818">
        <v>526.6875</v>
      </c>
      <c r="J2818" s="9">
        <f t="shared" si="43"/>
        <v>43746.794132581017</v>
      </c>
      <c r="K2818" s="1"/>
    </row>
    <row r="2819" spans="1:11" x14ac:dyDescent="0.25">
      <c r="A2819" t="s">
        <v>151</v>
      </c>
      <c r="B2819">
        <v>412.5</v>
      </c>
      <c r="C2819">
        <v>20.584240000000001</v>
      </c>
      <c r="D2819">
        <v>63</v>
      </c>
      <c r="E2819">
        <v>0</v>
      </c>
      <c r="F2819">
        <v>0</v>
      </c>
      <c r="G2819">
        <v>65</v>
      </c>
      <c r="H2819" s="4">
        <v>1570536219235</v>
      </c>
      <c r="I2819">
        <v>532.3125</v>
      </c>
      <c r="J2819" s="9">
        <f t="shared" ref="J2819:J2882" si="44">(H2819/86400000)+25569+(7/24)</f>
        <v>43746.794204108795</v>
      </c>
      <c r="K2819" s="1"/>
    </row>
    <row r="2820" spans="1:11" x14ac:dyDescent="0.25">
      <c r="A2820" t="e">
        <f>-LqfFFFhxqRQhHj0DYtu</f>
        <v>#NAME?</v>
      </c>
      <c r="B2820">
        <v>393.75</v>
      </c>
      <c r="C2820">
        <v>20.584240000000001</v>
      </c>
      <c r="D2820">
        <v>63</v>
      </c>
      <c r="E2820">
        <v>0</v>
      </c>
      <c r="F2820">
        <v>0</v>
      </c>
      <c r="G2820">
        <v>67</v>
      </c>
      <c r="H2820" s="4">
        <v>1570536226446</v>
      </c>
      <c r="I2820">
        <v>526.6875</v>
      </c>
      <c r="J2820" s="9">
        <f t="shared" si="44"/>
        <v>43746.794287569443</v>
      </c>
      <c r="K2820" s="1"/>
    </row>
    <row r="2821" spans="1:11" x14ac:dyDescent="0.25">
      <c r="A2821" t="e">
        <f>-LqfFGyGliGOPqxRXID1</f>
        <v>#NAME?</v>
      </c>
      <c r="B2821">
        <v>393.75</v>
      </c>
      <c r="C2821">
        <v>20.584240000000001</v>
      </c>
      <c r="D2821">
        <v>64</v>
      </c>
      <c r="E2821">
        <v>0</v>
      </c>
      <c r="F2821">
        <v>0</v>
      </c>
      <c r="G2821">
        <v>65</v>
      </c>
      <c r="H2821" s="4">
        <v>1570536233666</v>
      </c>
      <c r="I2821">
        <v>526.6875</v>
      </c>
      <c r="J2821" s="9">
        <f t="shared" si="44"/>
        <v>43746.79437113426</v>
      </c>
      <c r="K2821" s="1"/>
    </row>
    <row r="2822" spans="1:11" x14ac:dyDescent="0.25">
      <c r="A2822" t="e">
        <f>-LqfFIlDTMRLRu040OF6</f>
        <v>#NAME?</v>
      </c>
      <c r="B2822">
        <v>393.75</v>
      </c>
      <c r="C2822">
        <v>20.584240000000001</v>
      </c>
      <c r="D2822">
        <v>67</v>
      </c>
      <c r="E2822">
        <v>0</v>
      </c>
      <c r="F2822">
        <v>0</v>
      </c>
      <c r="G2822">
        <v>66</v>
      </c>
      <c r="H2822" s="4">
        <v>1570536240877</v>
      </c>
      <c r="I2822">
        <v>526.6875</v>
      </c>
      <c r="J2822" s="9">
        <f t="shared" si="44"/>
        <v>43746.794454594907</v>
      </c>
      <c r="K2822" s="1"/>
    </row>
    <row r="2823" spans="1:11" x14ac:dyDescent="0.25">
      <c r="A2823" t="e">
        <f>-LqfFKV424j66BhvIkeo</f>
        <v>#NAME?</v>
      </c>
      <c r="B2823">
        <v>393.75</v>
      </c>
      <c r="C2823">
        <v>20.584240000000001</v>
      </c>
      <c r="D2823">
        <v>66</v>
      </c>
      <c r="E2823">
        <v>0</v>
      </c>
      <c r="F2823">
        <v>0</v>
      </c>
      <c r="G2823">
        <v>63</v>
      </c>
      <c r="H2823" s="4">
        <v>1570536248087</v>
      </c>
      <c r="I2823">
        <v>526.6875</v>
      </c>
      <c r="J2823" s="9">
        <f t="shared" si="44"/>
        <v>43746.794538043978</v>
      </c>
      <c r="K2823" s="1"/>
    </row>
    <row r="2824" spans="1:11" x14ac:dyDescent="0.25">
      <c r="A2824" t="s">
        <v>152</v>
      </c>
      <c r="B2824">
        <v>412.5</v>
      </c>
      <c r="C2824">
        <v>20.584240000000001</v>
      </c>
      <c r="D2824">
        <v>66</v>
      </c>
      <c r="E2824">
        <v>0</v>
      </c>
      <c r="F2824">
        <v>0</v>
      </c>
      <c r="G2824">
        <v>69</v>
      </c>
      <c r="H2824" s="4">
        <v>1570536255296</v>
      </c>
      <c r="I2824">
        <v>532.125</v>
      </c>
      <c r="J2824" s="9">
        <f t="shared" si="44"/>
        <v>43746.79462148148</v>
      </c>
      <c r="K2824" s="1"/>
    </row>
    <row r="2825" spans="1:11" x14ac:dyDescent="0.25">
      <c r="A2825" t="e">
        <f>-LqfFNikH7X_I9pSw8Ta</f>
        <v>#NAME?</v>
      </c>
      <c r="B2825">
        <v>393.75</v>
      </c>
      <c r="C2825">
        <v>20.584240000000001</v>
      </c>
      <c r="D2825">
        <v>66</v>
      </c>
      <c r="E2825">
        <v>0</v>
      </c>
      <c r="F2825">
        <v>0</v>
      </c>
      <c r="G2825">
        <v>63</v>
      </c>
      <c r="H2825" s="4">
        <v>1570536261475</v>
      </c>
      <c r="I2825">
        <v>526.6875</v>
      </c>
      <c r="J2825" s="9">
        <f t="shared" si="44"/>
        <v>43746.794692997682</v>
      </c>
      <c r="K2825" s="1"/>
    </row>
    <row r="2826" spans="1:11" x14ac:dyDescent="0.25">
      <c r="A2826" t="e">
        <f>-LqfFPYuQ9og5OXwgV8f</f>
        <v>#NAME?</v>
      </c>
      <c r="B2826">
        <v>393.75</v>
      </c>
      <c r="C2826">
        <v>20.584240000000001</v>
      </c>
      <c r="D2826">
        <v>66</v>
      </c>
      <c r="E2826">
        <v>0</v>
      </c>
      <c r="F2826">
        <v>0</v>
      </c>
      <c r="G2826">
        <v>57</v>
      </c>
      <c r="H2826" s="4">
        <v>1570536267676</v>
      </c>
      <c r="I2826">
        <v>526.6875</v>
      </c>
      <c r="J2826" s="9">
        <f t="shared" si="44"/>
        <v>43746.794764768514</v>
      </c>
      <c r="K2826" s="1"/>
    </row>
    <row r="2827" spans="1:11" x14ac:dyDescent="0.25">
      <c r="A2827" t="e">
        <f>-LqfFRHCtmL9ClxhuAY1</f>
        <v>#NAME?</v>
      </c>
      <c r="B2827">
        <v>393.75</v>
      </c>
      <c r="C2827">
        <v>20.584240000000001</v>
      </c>
      <c r="D2827">
        <v>65</v>
      </c>
      <c r="E2827">
        <v>0</v>
      </c>
      <c r="F2827">
        <v>0</v>
      </c>
      <c r="G2827">
        <v>62</v>
      </c>
      <c r="H2827" s="4">
        <v>1570536275924</v>
      </c>
      <c r="I2827">
        <v>526.6875</v>
      </c>
      <c r="J2827" s="9">
        <f t="shared" si="44"/>
        <v>43746.794860231479</v>
      </c>
      <c r="K2827" s="1"/>
    </row>
    <row r="2828" spans="1:11" x14ac:dyDescent="0.25">
      <c r="A2828" t="e">
        <f>-LqfFT4DCcv5vGOMgtF0</f>
        <v>#NAME?</v>
      </c>
      <c r="B2828">
        <v>393.75</v>
      </c>
      <c r="C2828">
        <v>20.584240000000001</v>
      </c>
      <c r="D2828">
        <v>65</v>
      </c>
      <c r="E2828">
        <v>0</v>
      </c>
      <c r="F2828">
        <v>0</v>
      </c>
      <c r="G2828">
        <v>53</v>
      </c>
      <c r="H2828" s="4">
        <v>1570536283125</v>
      </c>
      <c r="I2828">
        <v>526.6875</v>
      </c>
      <c r="J2828" s="9">
        <f t="shared" si="44"/>
        <v>43746.794943576388</v>
      </c>
      <c r="K2828" s="1"/>
    </row>
    <row r="2829" spans="1:11" x14ac:dyDescent="0.25">
      <c r="A2829" t="e">
        <f>-LqfFUnC7aFGxW0351pF</f>
        <v>#NAME?</v>
      </c>
      <c r="B2829">
        <v>412.5</v>
      </c>
      <c r="C2829">
        <v>20.584240000000001</v>
      </c>
      <c r="D2829">
        <v>65</v>
      </c>
      <c r="E2829">
        <v>0</v>
      </c>
      <c r="F2829">
        <v>0</v>
      </c>
      <c r="G2829">
        <v>54</v>
      </c>
      <c r="H2829" s="4">
        <v>1570536290324</v>
      </c>
      <c r="I2829">
        <v>532.3125</v>
      </c>
      <c r="J2829" s="9">
        <f t="shared" si="44"/>
        <v>43746.795026898144</v>
      </c>
      <c r="K2829" s="1"/>
    </row>
    <row r="2830" spans="1:11" x14ac:dyDescent="0.25">
      <c r="A2830" t="e">
        <f>-LqfFWMCJssi01Nb21Mq</f>
        <v>#NAME?</v>
      </c>
      <c r="B2830">
        <v>393.75</v>
      </c>
      <c r="C2830">
        <v>20.584240000000001</v>
      </c>
      <c r="D2830">
        <v>65</v>
      </c>
      <c r="E2830">
        <v>0</v>
      </c>
      <c r="F2830">
        <v>0</v>
      </c>
      <c r="G2830">
        <v>59</v>
      </c>
      <c r="H2830" s="4">
        <v>1570536296514</v>
      </c>
      <c r="I2830">
        <v>526.6875</v>
      </c>
      <c r="J2830" s="9">
        <f t="shared" si="44"/>
        <v>43746.795098541661</v>
      </c>
      <c r="K2830" s="1"/>
    </row>
    <row r="2831" spans="1:11" x14ac:dyDescent="0.25">
      <c r="A2831" t="e">
        <f>-LqfFY4D5fMOtbdEo4f8</f>
        <v>#NAME?</v>
      </c>
      <c r="B2831">
        <v>393.75</v>
      </c>
      <c r="C2831">
        <v>20.584240000000001</v>
      </c>
      <c r="D2831">
        <v>65</v>
      </c>
      <c r="E2831">
        <v>0</v>
      </c>
      <c r="F2831">
        <v>0</v>
      </c>
      <c r="G2831">
        <v>56</v>
      </c>
      <c r="H2831" s="4">
        <v>1570536303736</v>
      </c>
      <c r="I2831">
        <v>526.6875</v>
      </c>
      <c r="J2831" s="9">
        <f t="shared" si="44"/>
        <v>43746.795182129623</v>
      </c>
      <c r="K2831" s="1"/>
    </row>
    <row r="2832" spans="1:11" x14ac:dyDescent="0.25">
      <c r="A2832" t="e">
        <f>-LqfFZxEWdgPCdVGk1Ix</f>
        <v>#NAME?</v>
      </c>
      <c r="B2832">
        <v>393.75</v>
      </c>
      <c r="C2832">
        <v>20.584240000000001</v>
      </c>
      <c r="D2832">
        <v>64</v>
      </c>
      <c r="E2832">
        <v>0</v>
      </c>
      <c r="F2832">
        <v>0</v>
      </c>
      <c r="G2832">
        <v>62</v>
      </c>
      <c r="H2832" s="4">
        <v>1570536310945</v>
      </c>
      <c r="I2832">
        <v>526.6875</v>
      </c>
      <c r="J2832" s="9">
        <f t="shared" si="44"/>
        <v>43746.795265567132</v>
      </c>
      <c r="K2832" s="1"/>
    </row>
    <row r="2833" spans="1:11" x14ac:dyDescent="0.25">
      <c r="A2833" t="e">
        <f>-LqfFaaCSIS1MAvH6Ik1</f>
        <v>#NAME?</v>
      </c>
      <c r="B2833">
        <v>393.75</v>
      </c>
      <c r="C2833">
        <v>20.584240000000001</v>
      </c>
      <c r="D2833">
        <v>64</v>
      </c>
      <c r="E2833">
        <v>0</v>
      </c>
      <c r="F2833">
        <v>0</v>
      </c>
      <c r="G2833">
        <v>60</v>
      </c>
      <c r="H2833" s="4">
        <v>1570536318165</v>
      </c>
      <c r="I2833">
        <v>526.6875</v>
      </c>
      <c r="J2833" s="9">
        <f t="shared" si="44"/>
        <v>43746.795349131942</v>
      </c>
      <c r="K2833" s="1"/>
    </row>
    <row r="2834" spans="1:11" x14ac:dyDescent="0.25">
      <c r="A2834" t="e">
        <f>-LqfFcO3tFQyFNZgGchK</f>
        <v>#NAME?</v>
      </c>
      <c r="B2834">
        <v>415.625</v>
      </c>
      <c r="C2834">
        <v>20.531590000000001</v>
      </c>
      <c r="D2834">
        <v>65</v>
      </c>
      <c r="E2834">
        <v>0</v>
      </c>
      <c r="F2834">
        <v>0</v>
      </c>
      <c r="G2834">
        <v>66</v>
      </c>
      <c r="H2834" s="4">
        <v>1570536325375</v>
      </c>
      <c r="I2834">
        <v>533.0625</v>
      </c>
      <c r="J2834" s="9">
        <f t="shared" si="44"/>
        <v>43746.795432581021</v>
      </c>
      <c r="K2834" s="1"/>
    </row>
    <row r="2835" spans="1:11" x14ac:dyDescent="0.25">
      <c r="A2835" t="e">
        <f>-LqfFe6DIYEMVwzKbSQo</f>
        <v>#NAME?</v>
      </c>
      <c r="B2835">
        <v>393.75</v>
      </c>
      <c r="C2835">
        <v>20.584240000000001</v>
      </c>
      <c r="D2835">
        <v>63</v>
      </c>
      <c r="E2835">
        <v>0</v>
      </c>
      <c r="F2835">
        <v>0</v>
      </c>
      <c r="G2835">
        <v>68</v>
      </c>
      <c r="H2835" s="4">
        <v>1570536332565</v>
      </c>
      <c r="I2835">
        <v>526.6875</v>
      </c>
      <c r="J2835" s="9">
        <f t="shared" si="44"/>
        <v>43746.795515798607</v>
      </c>
      <c r="K2835" s="1"/>
    </row>
    <row r="2836" spans="1:11" x14ac:dyDescent="0.25">
      <c r="A2836" t="e">
        <f>-LqfFfff15yxgHonfobu</f>
        <v>#NAME?</v>
      </c>
      <c r="B2836">
        <v>393.75</v>
      </c>
      <c r="C2836">
        <v>20.584240000000001</v>
      </c>
      <c r="D2836">
        <v>63</v>
      </c>
      <c r="E2836">
        <v>0</v>
      </c>
      <c r="F2836">
        <v>0</v>
      </c>
      <c r="G2836">
        <v>57</v>
      </c>
      <c r="H2836" s="4">
        <v>1570536338764</v>
      </c>
      <c r="I2836">
        <v>526.6875</v>
      </c>
      <c r="J2836" s="9">
        <f t="shared" si="44"/>
        <v>43746.795587546294</v>
      </c>
      <c r="K2836" s="1"/>
    </row>
    <row r="2837" spans="1:11" x14ac:dyDescent="0.25">
      <c r="A2837" t="e">
        <f>-LqfFhOD3cpAP6qwW0xG</f>
        <v>#NAME?</v>
      </c>
      <c r="B2837">
        <v>393.75</v>
      </c>
      <c r="C2837">
        <v>20.584240000000001</v>
      </c>
      <c r="D2837">
        <v>63</v>
      </c>
      <c r="E2837">
        <v>0</v>
      </c>
      <c r="F2837">
        <v>0</v>
      </c>
      <c r="G2837">
        <v>66</v>
      </c>
      <c r="H2837" s="4">
        <v>1570536345987</v>
      </c>
      <c r="I2837">
        <v>526.6875</v>
      </c>
      <c r="J2837" s="9">
        <f t="shared" si="44"/>
        <v>43746.795671145832</v>
      </c>
      <c r="K2837" s="1"/>
    </row>
    <row r="2838" spans="1:11" x14ac:dyDescent="0.25">
      <c r="A2838" t="e">
        <f>-LqfFjBNprz0eOoDU1wm</f>
        <v>#NAME?</v>
      </c>
      <c r="B2838">
        <v>393.75</v>
      </c>
      <c r="C2838">
        <v>20.584240000000001</v>
      </c>
      <c r="D2838">
        <v>63</v>
      </c>
      <c r="E2838">
        <v>0</v>
      </c>
      <c r="F2838">
        <v>0</v>
      </c>
      <c r="G2838">
        <v>71</v>
      </c>
      <c r="H2838" s="4">
        <v>1570536353194</v>
      </c>
      <c r="I2838">
        <v>526.6875</v>
      </c>
      <c r="J2838" s="9">
        <f t="shared" si="44"/>
        <v>43746.795754560182</v>
      </c>
      <c r="K2838" s="1"/>
    </row>
    <row r="2839" spans="1:11" x14ac:dyDescent="0.25">
      <c r="A2839" t="s">
        <v>153</v>
      </c>
      <c r="B2839">
        <v>412.5</v>
      </c>
      <c r="C2839">
        <v>20.584240000000001</v>
      </c>
      <c r="D2839">
        <v>63</v>
      </c>
      <c r="E2839">
        <v>0</v>
      </c>
      <c r="F2839">
        <v>0</v>
      </c>
      <c r="G2839">
        <v>60</v>
      </c>
      <c r="H2839" s="4">
        <v>1570536360406</v>
      </c>
      <c r="I2839">
        <v>532.875</v>
      </c>
      <c r="J2839" s="9">
        <f t="shared" si="44"/>
        <v>43746.795838032405</v>
      </c>
      <c r="K2839" s="1"/>
    </row>
    <row r="2840" spans="1:11" x14ac:dyDescent="0.25">
      <c r="A2840" t="e">
        <f>-LqfFmhWnlhEMXX6ycTK</f>
        <v>#NAME?</v>
      </c>
      <c r="B2840">
        <v>393.75</v>
      </c>
      <c r="C2840">
        <v>20.584240000000001</v>
      </c>
      <c r="D2840">
        <v>63</v>
      </c>
      <c r="E2840">
        <v>0</v>
      </c>
      <c r="F2840">
        <v>0</v>
      </c>
      <c r="G2840">
        <v>60</v>
      </c>
      <c r="H2840" s="4">
        <v>1570536367616</v>
      </c>
      <c r="I2840">
        <v>526.6875</v>
      </c>
      <c r="J2840" s="9">
        <f t="shared" si="44"/>
        <v>43746.795921481484</v>
      </c>
      <c r="K2840" s="1"/>
    </row>
    <row r="2841" spans="1:11" x14ac:dyDescent="0.25">
      <c r="A2841" t="e">
        <f>-LqfFoQO_5yEG7pH97ge</f>
        <v>#NAME?</v>
      </c>
      <c r="B2841">
        <v>393.75</v>
      </c>
      <c r="C2841">
        <v>20.584240000000001</v>
      </c>
      <c r="D2841">
        <v>62</v>
      </c>
      <c r="E2841">
        <v>0</v>
      </c>
      <c r="F2841">
        <v>0</v>
      </c>
      <c r="G2841">
        <v>60</v>
      </c>
      <c r="H2841" s="4">
        <v>1570536374804</v>
      </c>
      <c r="I2841">
        <v>526.6875</v>
      </c>
      <c r="J2841" s="9">
        <f t="shared" si="44"/>
        <v>43746.796004675918</v>
      </c>
      <c r="K2841" s="1"/>
    </row>
    <row r="2842" spans="1:11" x14ac:dyDescent="0.25">
      <c r="A2842" t="e">
        <f>-LqfFqID4kHzyyJKYBgV</f>
        <v>#NAME?</v>
      </c>
      <c r="B2842">
        <v>393.75</v>
      </c>
      <c r="C2842">
        <v>20.584240000000001</v>
      </c>
      <c r="D2842">
        <v>62</v>
      </c>
      <c r="E2842">
        <v>0</v>
      </c>
      <c r="F2842">
        <v>0</v>
      </c>
      <c r="G2842">
        <v>63</v>
      </c>
      <c r="H2842" s="4">
        <v>1570536380994</v>
      </c>
      <c r="I2842">
        <v>526.6875</v>
      </c>
      <c r="J2842" s="9">
        <f t="shared" si="44"/>
        <v>43746.796076319442</v>
      </c>
      <c r="K2842" s="1"/>
    </row>
    <row r="2843" spans="1:11" x14ac:dyDescent="0.25">
      <c r="A2843" t="e">
        <f>-LqfFrw3ssWPWqCSrEmd</f>
        <v>#NAME?</v>
      </c>
      <c r="B2843">
        <v>393.75</v>
      </c>
      <c r="C2843">
        <v>20.584240000000001</v>
      </c>
      <c r="D2843">
        <v>63</v>
      </c>
      <c r="E2843">
        <v>0</v>
      </c>
      <c r="F2843">
        <v>0</v>
      </c>
      <c r="G2843">
        <v>63</v>
      </c>
      <c r="H2843" s="4">
        <v>1570536389274</v>
      </c>
      <c r="I2843">
        <v>526.6875</v>
      </c>
      <c r="J2843" s="9">
        <f t="shared" si="44"/>
        <v>43746.796172152775</v>
      </c>
      <c r="K2843" s="1"/>
    </row>
    <row r="2844" spans="1:11" x14ac:dyDescent="0.25">
      <c r="A2844" t="e">
        <f>-LqfFtV58rwBpL543uhY</f>
        <v>#NAME?</v>
      </c>
      <c r="B2844">
        <v>393.75</v>
      </c>
      <c r="C2844">
        <v>20.584240000000001</v>
      </c>
      <c r="D2844">
        <v>65</v>
      </c>
      <c r="E2844">
        <v>0</v>
      </c>
      <c r="F2844">
        <v>0</v>
      </c>
      <c r="G2844">
        <v>66</v>
      </c>
      <c r="H2844" s="4">
        <v>1570536395446</v>
      </c>
      <c r="I2844">
        <v>526.6875</v>
      </c>
      <c r="J2844" s="9">
        <f t="shared" si="44"/>
        <v>43746.79624358796</v>
      </c>
      <c r="K2844" s="1"/>
    </row>
    <row r="2845" spans="1:11" x14ac:dyDescent="0.25">
      <c r="A2845" t="e">
        <f>-LqfFvD4YIL8Z-VYK2JJ</f>
        <v>#NAME?</v>
      </c>
      <c r="B2845">
        <v>393.75</v>
      </c>
      <c r="C2845">
        <v>20.531590000000001</v>
      </c>
      <c r="D2845">
        <v>63</v>
      </c>
      <c r="E2845">
        <v>0</v>
      </c>
      <c r="F2845">
        <v>0</v>
      </c>
      <c r="G2845">
        <v>60</v>
      </c>
      <c r="H2845" s="4">
        <v>1570536402645</v>
      </c>
      <c r="I2845">
        <v>526.6875</v>
      </c>
      <c r="J2845" s="9">
        <f t="shared" si="44"/>
        <v>43746.796326909716</v>
      </c>
      <c r="K2845" s="1"/>
    </row>
    <row r="2846" spans="1:11" x14ac:dyDescent="0.25">
      <c r="A2846" t="e">
        <f>-LqfFwmDhahD9Unl0JRk</f>
        <v>#NAME?</v>
      </c>
      <c r="B2846">
        <v>393.75</v>
      </c>
      <c r="C2846">
        <v>20.584240000000001</v>
      </c>
      <c r="D2846">
        <v>62</v>
      </c>
      <c r="E2846">
        <v>0</v>
      </c>
      <c r="F2846">
        <v>0</v>
      </c>
      <c r="G2846">
        <v>65</v>
      </c>
      <c r="H2846" s="4">
        <v>1570536408835</v>
      </c>
      <c r="I2846">
        <v>526.6875</v>
      </c>
      <c r="J2846" s="9">
        <f t="shared" si="44"/>
        <v>43746.796398553233</v>
      </c>
      <c r="K2846" s="1"/>
    </row>
    <row r="2847" spans="1:11" x14ac:dyDescent="0.25">
      <c r="A2847" t="e">
        <f>-LqfFyUI0tJZMbcaFuzQ</f>
        <v>#NAME?</v>
      </c>
      <c r="B2847">
        <v>393.75</v>
      </c>
      <c r="C2847">
        <v>20.584240000000001</v>
      </c>
      <c r="D2847">
        <v>63</v>
      </c>
      <c r="E2847">
        <v>0</v>
      </c>
      <c r="F2847">
        <v>0</v>
      </c>
      <c r="G2847">
        <v>52</v>
      </c>
      <c r="H2847" s="4">
        <v>1570536416055</v>
      </c>
      <c r="I2847">
        <v>526.6875</v>
      </c>
      <c r="J2847" s="9">
        <f t="shared" si="44"/>
        <v>43746.796482118058</v>
      </c>
      <c r="K2847" s="1"/>
    </row>
    <row r="2848" spans="1:11" x14ac:dyDescent="0.25">
      <c r="A2848" t="e">
        <f>-LqfG-H6bUBKP3Z9Fb0i</f>
        <v>#NAME?</v>
      </c>
      <c r="B2848">
        <v>393.75</v>
      </c>
      <c r="C2848">
        <v>20.584240000000001</v>
      </c>
      <c r="D2848">
        <v>64</v>
      </c>
      <c r="E2848">
        <v>0</v>
      </c>
      <c r="F2848">
        <v>0</v>
      </c>
      <c r="G2848">
        <v>61</v>
      </c>
      <c r="H2848" s="4">
        <v>1570536423266</v>
      </c>
      <c r="I2848">
        <v>526.6875</v>
      </c>
      <c r="J2848" s="9">
        <f t="shared" si="44"/>
        <v>43746.796565578705</v>
      </c>
      <c r="K2848" s="1"/>
    </row>
    <row r="2849" spans="1:11" x14ac:dyDescent="0.25">
      <c r="A2849" t="e">
        <f>-LqfG1PDBX5hrwyYGj2R</f>
        <v>#NAME?</v>
      </c>
      <c r="B2849">
        <v>393.75</v>
      </c>
      <c r="C2849">
        <v>20.584240000000001</v>
      </c>
      <c r="D2849">
        <v>64</v>
      </c>
      <c r="E2849">
        <v>0</v>
      </c>
      <c r="F2849">
        <v>0</v>
      </c>
      <c r="G2849">
        <v>69</v>
      </c>
      <c r="H2849" s="4">
        <v>1570536430485</v>
      </c>
      <c r="I2849">
        <v>526.6875</v>
      </c>
      <c r="J2849" s="9">
        <f t="shared" si="44"/>
        <v>43746.796649131946</v>
      </c>
      <c r="K2849" s="1"/>
    </row>
    <row r="2850" spans="1:11" x14ac:dyDescent="0.25">
      <c r="A2850" t="e">
        <f>-LqfG32gdKcriKssuMSz</f>
        <v>#NAME?</v>
      </c>
      <c r="B2850">
        <v>393.75</v>
      </c>
      <c r="C2850">
        <v>20.584240000000001</v>
      </c>
      <c r="D2850">
        <v>65</v>
      </c>
      <c r="E2850">
        <v>0</v>
      </c>
      <c r="F2850">
        <v>0</v>
      </c>
      <c r="G2850">
        <v>69</v>
      </c>
      <c r="H2850" s="4">
        <v>1570536438725</v>
      </c>
      <c r="I2850">
        <v>526.6875</v>
      </c>
      <c r="J2850" s="9">
        <f t="shared" si="44"/>
        <v>43746.796744502317</v>
      </c>
      <c r="K2850" s="1"/>
    </row>
    <row r="2851" spans="1:11" x14ac:dyDescent="0.25">
      <c r="A2851" t="e">
        <f>-LqfG4qPK3UwfoWYH_Xt</f>
        <v>#NAME?</v>
      </c>
      <c r="B2851">
        <v>415.625</v>
      </c>
      <c r="C2851">
        <v>20.584240000000001</v>
      </c>
      <c r="D2851">
        <v>66</v>
      </c>
      <c r="E2851">
        <v>0</v>
      </c>
      <c r="F2851">
        <v>0</v>
      </c>
      <c r="G2851">
        <v>64</v>
      </c>
      <c r="H2851" s="4">
        <v>1570536445935</v>
      </c>
      <c r="I2851">
        <v>533.0625</v>
      </c>
      <c r="J2851" s="9">
        <f t="shared" si="44"/>
        <v>43746.796827951388</v>
      </c>
      <c r="K2851" s="1"/>
    </row>
    <row r="2852" spans="1:11" x14ac:dyDescent="0.25">
      <c r="A2852" t="e">
        <f>-LqfG6ZY4xpDQNWm_Rjm</f>
        <v>#NAME?</v>
      </c>
      <c r="B2852">
        <v>393.75</v>
      </c>
      <c r="C2852">
        <v>20.584240000000001</v>
      </c>
      <c r="D2852">
        <v>66</v>
      </c>
      <c r="E2852">
        <v>0</v>
      </c>
      <c r="F2852">
        <v>0</v>
      </c>
      <c r="G2852">
        <v>60</v>
      </c>
      <c r="H2852" s="4">
        <v>1570536453144</v>
      </c>
      <c r="I2852">
        <v>526.6875</v>
      </c>
      <c r="J2852" s="9">
        <f t="shared" si="44"/>
        <v>43746.79691138889</v>
      </c>
      <c r="K2852" s="1"/>
    </row>
    <row r="2853" spans="1:11" x14ac:dyDescent="0.25">
      <c r="A2853" t="e">
        <f>-LqfG8MMtusbCVHWDmAw</f>
        <v>#NAME?</v>
      </c>
      <c r="B2853">
        <v>393.75</v>
      </c>
      <c r="C2853">
        <v>20.584240000000001</v>
      </c>
      <c r="D2853">
        <v>66</v>
      </c>
      <c r="E2853">
        <v>0</v>
      </c>
      <c r="F2853">
        <v>0</v>
      </c>
      <c r="G2853">
        <v>64</v>
      </c>
      <c r="H2853" s="4">
        <v>1570536460365</v>
      </c>
      <c r="I2853">
        <v>526.6875</v>
      </c>
      <c r="J2853" s="9">
        <f t="shared" si="44"/>
        <v>43746.796994965276</v>
      </c>
      <c r="K2853" s="1"/>
    </row>
    <row r="2854" spans="1:11" x14ac:dyDescent="0.25">
      <c r="A2854" t="e">
        <f>-LqfGA4D3Uxjtq8Xj6nn</f>
        <v>#NAME?</v>
      </c>
      <c r="B2854">
        <v>393.75</v>
      </c>
      <c r="C2854">
        <v>20.584240000000001</v>
      </c>
      <c r="D2854">
        <v>62</v>
      </c>
      <c r="E2854">
        <v>0</v>
      </c>
      <c r="F2854">
        <v>0</v>
      </c>
      <c r="G2854">
        <v>65</v>
      </c>
      <c r="H2854" s="4">
        <v>1570536467605</v>
      </c>
      <c r="I2854">
        <v>526.6875</v>
      </c>
      <c r="J2854" s="9">
        <f t="shared" si="44"/>
        <v>43746.79707876157</v>
      </c>
      <c r="K2854" s="1"/>
    </row>
    <row r="2855" spans="1:11" x14ac:dyDescent="0.25">
      <c r="A2855" t="e">
        <f>-LqfGBsCtf199GF6Ka5Z</f>
        <v>#NAME?</v>
      </c>
      <c r="B2855">
        <v>393.75</v>
      </c>
      <c r="C2855">
        <v>20.584240000000001</v>
      </c>
      <c r="D2855">
        <v>61</v>
      </c>
      <c r="E2855">
        <v>0</v>
      </c>
      <c r="F2855">
        <v>0</v>
      </c>
      <c r="G2855">
        <v>63</v>
      </c>
      <c r="H2855" s="4">
        <v>1570536474786</v>
      </c>
      <c r="I2855">
        <v>526.875</v>
      </c>
      <c r="J2855" s="9">
        <f t="shared" si="44"/>
        <v>43746.797161874994</v>
      </c>
      <c r="K2855" s="1"/>
    </row>
    <row r="2856" spans="1:11" x14ac:dyDescent="0.25">
      <c r="A2856" t="e">
        <f>-LqfGDkcD8w-KQuYoW3O</f>
        <v>#NAME?</v>
      </c>
      <c r="B2856">
        <v>393.75</v>
      </c>
      <c r="C2856">
        <v>20.531590000000001</v>
      </c>
      <c r="D2856">
        <v>62</v>
      </c>
      <c r="E2856">
        <v>0</v>
      </c>
      <c r="F2856">
        <v>0</v>
      </c>
      <c r="G2856">
        <v>66</v>
      </c>
      <c r="H2856" s="4">
        <v>1570536482005</v>
      </c>
      <c r="I2856">
        <v>526.6875</v>
      </c>
      <c r="J2856" s="9">
        <f t="shared" si="44"/>
        <v>43746.797245428235</v>
      </c>
      <c r="K2856" s="1"/>
    </row>
    <row r="2857" spans="1:11" x14ac:dyDescent="0.25">
      <c r="A2857" t="e">
        <f>-LqfGFOEK6xe9t2NMsCp</f>
        <v>#NAME?</v>
      </c>
      <c r="B2857">
        <v>393.75</v>
      </c>
      <c r="C2857">
        <v>20.584240000000001</v>
      </c>
      <c r="D2857">
        <v>62</v>
      </c>
      <c r="E2857">
        <v>0</v>
      </c>
      <c r="F2857">
        <v>0</v>
      </c>
      <c r="G2857">
        <v>66</v>
      </c>
      <c r="H2857" s="4">
        <v>1570536489215</v>
      </c>
      <c r="I2857">
        <v>526.6875</v>
      </c>
      <c r="J2857" s="9">
        <f t="shared" si="44"/>
        <v>43746.797328877314</v>
      </c>
      <c r="K2857" s="1"/>
    </row>
    <row r="2858" spans="1:11" x14ac:dyDescent="0.25">
      <c r="A2858" t="e">
        <f>-LqfGH6Cu8dqaKIF4GXd</f>
        <v>#NAME?</v>
      </c>
      <c r="B2858">
        <v>412.5</v>
      </c>
      <c r="C2858">
        <v>20.584240000000001</v>
      </c>
      <c r="D2858">
        <v>61</v>
      </c>
      <c r="E2858">
        <v>0</v>
      </c>
      <c r="F2858">
        <v>0</v>
      </c>
      <c r="G2858">
        <v>65</v>
      </c>
      <c r="H2858" s="4">
        <v>1570536496405</v>
      </c>
      <c r="I2858">
        <v>532.3125</v>
      </c>
      <c r="J2858" s="9">
        <f t="shared" si="44"/>
        <v>43746.7974120949</v>
      </c>
      <c r="K2858" s="1"/>
    </row>
    <row r="2859" spans="1:11" x14ac:dyDescent="0.25">
      <c r="A2859" t="e">
        <f>-LqfGIfDBMTfalEA6m26</f>
        <v>#NAME?</v>
      </c>
      <c r="B2859">
        <v>393.75</v>
      </c>
      <c r="C2859">
        <v>20.584240000000001</v>
      </c>
      <c r="D2859">
        <v>61</v>
      </c>
      <c r="E2859">
        <v>0</v>
      </c>
      <c r="F2859">
        <v>0</v>
      </c>
      <c r="G2859">
        <v>64</v>
      </c>
      <c r="H2859" s="4">
        <v>1570536502615</v>
      </c>
      <c r="I2859">
        <v>526.6875</v>
      </c>
      <c r="J2859" s="9">
        <f t="shared" si="44"/>
        <v>43746.797483969909</v>
      </c>
      <c r="K2859" s="1"/>
    </row>
    <row r="2860" spans="1:11" x14ac:dyDescent="0.25">
      <c r="A2860" t="e">
        <f>-LqfGKdPBTcrkjdgmPCq</f>
        <v>#NAME?</v>
      </c>
      <c r="B2860">
        <v>393.75</v>
      </c>
      <c r="C2860">
        <v>20.584240000000001</v>
      </c>
      <c r="D2860">
        <v>63</v>
      </c>
      <c r="E2860">
        <v>0</v>
      </c>
      <c r="F2860">
        <v>0</v>
      </c>
      <c r="G2860">
        <v>65</v>
      </c>
      <c r="H2860" s="4">
        <v>1570536511023</v>
      </c>
      <c r="I2860">
        <v>526.6875</v>
      </c>
      <c r="J2860" s="9">
        <f t="shared" si="44"/>
        <v>43746.797581284722</v>
      </c>
      <c r="K2860" s="1"/>
    </row>
    <row r="2861" spans="1:11" x14ac:dyDescent="0.25">
      <c r="A2861" t="e">
        <f>-LqfGMBANEeP0NUxN3WY</f>
        <v>#NAME?</v>
      </c>
      <c r="B2861">
        <v>393.75</v>
      </c>
      <c r="C2861">
        <v>20.584240000000001</v>
      </c>
      <c r="D2861">
        <v>64</v>
      </c>
      <c r="E2861">
        <v>0</v>
      </c>
      <c r="F2861">
        <v>0</v>
      </c>
      <c r="G2861">
        <v>62</v>
      </c>
      <c r="H2861" s="4">
        <v>1570536517032</v>
      </c>
      <c r="I2861">
        <v>526.6875</v>
      </c>
      <c r="J2861" s="9">
        <f t="shared" si="44"/>
        <v>43746.79765083333</v>
      </c>
      <c r="K2861" s="1"/>
    </row>
    <row r="2862" spans="1:11" x14ac:dyDescent="0.25">
      <c r="A2862" t="e">
        <f>-LqfGNuDlvb-bWIJoIyL</f>
        <v>#NAME?</v>
      </c>
      <c r="B2862">
        <v>393.75</v>
      </c>
      <c r="C2862">
        <v>20.584240000000001</v>
      </c>
      <c r="D2862">
        <v>68</v>
      </c>
      <c r="E2862">
        <v>0</v>
      </c>
      <c r="F2862">
        <v>0</v>
      </c>
      <c r="G2862">
        <v>60</v>
      </c>
      <c r="H2862" s="4">
        <v>1570536524245</v>
      </c>
      <c r="I2862">
        <v>526.6875</v>
      </c>
      <c r="J2862" s="9">
        <f t="shared" si="44"/>
        <v>43746.79773431713</v>
      </c>
      <c r="K2862" s="1"/>
    </row>
    <row r="2863" spans="1:11" x14ac:dyDescent="0.25">
      <c r="A2863" t="e">
        <f>-LqfGPhB93zR-Oo4wx7X</f>
        <v>#NAME?</v>
      </c>
      <c r="B2863">
        <v>415.625</v>
      </c>
      <c r="C2863">
        <v>20.584240000000001</v>
      </c>
      <c r="D2863">
        <v>70</v>
      </c>
      <c r="E2863">
        <v>0</v>
      </c>
      <c r="F2863">
        <v>0</v>
      </c>
      <c r="G2863">
        <v>63</v>
      </c>
      <c r="H2863" s="4">
        <v>1570536531461</v>
      </c>
      <c r="I2863">
        <v>533.25</v>
      </c>
      <c r="J2863" s="9">
        <f t="shared" si="44"/>
        <v>43746.79781783565</v>
      </c>
      <c r="K2863" s="1"/>
    </row>
    <row r="2864" spans="1:11" x14ac:dyDescent="0.25">
      <c r="A2864" t="e">
        <f>-LqfGRQdCYMtvRQwZ0bK</f>
        <v>#NAME?</v>
      </c>
      <c r="B2864">
        <v>393.75</v>
      </c>
      <c r="C2864">
        <v>20.584240000000001</v>
      </c>
      <c r="D2864">
        <v>70</v>
      </c>
      <c r="E2864">
        <v>0</v>
      </c>
      <c r="F2864">
        <v>0</v>
      </c>
      <c r="G2864">
        <v>59</v>
      </c>
      <c r="H2864" s="4">
        <v>1570536538643</v>
      </c>
      <c r="I2864">
        <v>526.6875</v>
      </c>
      <c r="J2864" s="9">
        <f t="shared" si="44"/>
        <v>43746.797900960642</v>
      </c>
      <c r="K2864" s="1"/>
    </row>
    <row r="2865" spans="1:11" x14ac:dyDescent="0.25">
      <c r="A2865" t="e">
        <f>-LqfGSzCjSClPv8hkCEj</f>
        <v>#NAME?</v>
      </c>
      <c r="B2865">
        <v>393.75</v>
      </c>
      <c r="C2865">
        <v>20.584240000000001</v>
      </c>
      <c r="D2865">
        <v>70</v>
      </c>
      <c r="E2865">
        <v>0</v>
      </c>
      <c r="F2865">
        <v>0</v>
      </c>
      <c r="G2865">
        <v>70</v>
      </c>
      <c r="H2865" s="4">
        <v>1570536544832</v>
      </c>
      <c r="I2865">
        <v>526.6875</v>
      </c>
      <c r="J2865" s="9">
        <f t="shared" si="44"/>
        <v>43746.797972592591</v>
      </c>
      <c r="K2865" s="1"/>
    </row>
    <row r="2866" spans="1:11" x14ac:dyDescent="0.25">
      <c r="A2866" t="e">
        <f>-LqfGUhBUv1bB9XGD14q</f>
        <v>#NAME?</v>
      </c>
      <c r="B2866">
        <v>393.75</v>
      </c>
      <c r="C2866">
        <v>20.584240000000001</v>
      </c>
      <c r="D2866">
        <v>69</v>
      </c>
      <c r="E2866">
        <v>0</v>
      </c>
      <c r="F2866">
        <v>0</v>
      </c>
      <c r="G2866">
        <v>59</v>
      </c>
      <c r="H2866" s="4">
        <v>1570536552083</v>
      </c>
      <c r="I2866">
        <v>526.6875</v>
      </c>
      <c r="J2866" s="9">
        <f t="shared" si="44"/>
        <v>43746.7980565162</v>
      </c>
      <c r="K2866" s="1"/>
    </row>
    <row r="2867" spans="1:11" x14ac:dyDescent="0.25">
      <c r="A2867" t="e">
        <f>-LqfGWBLdCgnOOZUJwF1</f>
        <v>#NAME?</v>
      </c>
      <c r="B2867">
        <v>393.75</v>
      </c>
      <c r="C2867">
        <v>20.584240000000001</v>
      </c>
      <c r="D2867">
        <v>67</v>
      </c>
      <c r="E2867">
        <v>0</v>
      </c>
      <c r="F2867">
        <v>0</v>
      </c>
      <c r="G2867">
        <v>65</v>
      </c>
      <c r="H2867" s="4">
        <v>1570536558251</v>
      </c>
      <c r="I2867">
        <v>526.6875</v>
      </c>
      <c r="J2867" s="9">
        <f t="shared" si="44"/>
        <v>43746.798127905095</v>
      </c>
      <c r="K2867" s="1"/>
    </row>
    <row r="2868" spans="1:11" x14ac:dyDescent="0.25">
      <c r="A2868" t="s">
        <v>154</v>
      </c>
      <c r="B2868">
        <v>393.75</v>
      </c>
      <c r="C2868">
        <v>20.584240000000001</v>
      </c>
      <c r="D2868">
        <v>67</v>
      </c>
      <c r="E2868">
        <v>0</v>
      </c>
      <c r="F2868">
        <v>0</v>
      </c>
      <c r="G2868">
        <v>58</v>
      </c>
      <c r="H2868" s="4">
        <v>1570536564433</v>
      </c>
      <c r="I2868">
        <v>526.6875</v>
      </c>
      <c r="J2868" s="9">
        <f t="shared" si="44"/>
        <v>43746.798199456018</v>
      </c>
      <c r="K2868" s="1"/>
    </row>
    <row r="2869" spans="1:11" x14ac:dyDescent="0.25">
      <c r="A2869" t="e">
        <f>-LqfGZE2bWsTrcP8vqhE</f>
        <v>#NAME?</v>
      </c>
      <c r="B2869">
        <v>418.75</v>
      </c>
      <c r="C2869">
        <v>20.584240000000001</v>
      </c>
      <c r="D2869">
        <v>67</v>
      </c>
      <c r="E2869">
        <v>0</v>
      </c>
      <c r="F2869">
        <v>0</v>
      </c>
      <c r="G2869">
        <v>59</v>
      </c>
      <c r="H2869" s="4">
        <v>1570536570593</v>
      </c>
      <c r="I2869">
        <v>534.9375</v>
      </c>
      <c r="J2869" s="9">
        <f t="shared" si="44"/>
        <v>43746.798270752312</v>
      </c>
      <c r="K2869" s="1"/>
    </row>
    <row r="2870" spans="1:11" x14ac:dyDescent="0.25">
      <c r="A2870" t="e">
        <f>-LqfG_iLWLZPHFHjYKUY</f>
        <v>#NAME?</v>
      </c>
      <c r="B2870">
        <v>393.75</v>
      </c>
      <c r="C2870">
        <v>20.584240000000001</v>
      </c>
      <c r="D2870">
        <v>67</v>
      </c>
      <c r="E2870">
        <v>0</v>
      </c>
      <c r="F2870">
        <v>0</v>
      </c>
      <c r="G2870">
        <v>58</v>
      </c>
      <c r="H2870" s="4">
        <v>1570536576802</v>
      </c>
      <c r="I2870">
        <v>526.6875</v>
      </c>
      <c r="J2870" s="9">
        <f t="shared" si="44"/>
        <v>43746.798342615737</v>
      </c>
      <c r="K2870" s="1"/>
    </row>
    <row r="2871" spans="1:11" x14ac:dyDescent="0.25">
      <c r="A2871" t="e">
        <f>-LqfGbHBHGIITveCLTeH</f>
        <v>#NAME?</v>
      </c>
      <c r="B2871">
        <v>393.75</v>
      </c>
      <c r="C2871">
        <v>20.584240000000001</v>
      </c>
      <c r="D2871">
        <v>66</v>
      </c>
      <c r="E2871">
        <v>0</v>
      </c>
      <c r="F2871">
        <v>0</v>
      </c>
      <c r="G2871">
        <v>65</v>
      </c>
      <c r="H2871" s="4">
        <v>1570536583033</v>
      </c>
      <c r="I2871">
        <v>526.6875</v>
      </c>
      <c r="J2871" s="9">
        <f t="shared" si="44"/>
        <v>43746.798414733792</v>
      </c>
      <c r="K2871" s="1"/>
    </row>
    <row r="2872" spans="1:11" x14ac:dyDescent="0.25">
      <c r="A2872" t="e">
        <f>-LqfGcjwoHuABoE8_x58</f>
        <v>#NAME?</v>
      </c>
      <c r="B2872">
        <v>393.75</v>
      </c>
      <c r="C2872">
        <v>20.584240000000001</v>
      </c>
      <c r="D2872">
        <v>66</v>
      </c>
      <c r="E2872">
        <v>0</v>
      </c>
      <c r="F2872">
        <v>0</v>
      </c>
      <c r="G2872">
        <v>60</v>
      </c>
      <c r="H2872" s="4">
        <v>1570536589153</v>
      </c>
      <c r="I2872">
        <v>526.6875</v>
      </c>
      <c r="J2872" s="9">
        <f t="shared" si="44"/>
        <v>43746.798485567131</v>
      </c>
      <c r="K2872" s="1"/>
    </row>
    <row r="2873" spans="1:11" x14ac:dyDescent="0.25">
      <c r="A2873" t="e">
        <f>-LqfGeF2W6k6N72YchQj</f>
        <v>#NAME?</v>
      </c>
      <c r="B2873">
        <v>393.75</v>
      </c>
      <c r="C2873">
        <v>20.584240000000001</v>
      </c>
      <c r="D2873">
        <v>66</v>
      </c>
      <c r="E2873">
        <v>0</v>
      </c>
      <c r="F2873">
        <v>0</v>
      </c>
      <c r="G2873">
        <v>64</v>
      </c>
      <c r="H2873" s="4">
        <v>1570536595352</v>
      </c>
      <c r="I2873">
        <v>526.6875</v>
      </c>
      <c r="J2873" s="9">
        <f t="shared" si="44"/>
        <v>43746.798557314811</v>
      </c>
      <c r="K2873" s="1"/>
    </row>
    <row r="2874" spans="1:11" x14ac:dyDescent="0.25">
      <c r="A2874" t="e">
        <f>-LqfGfo0C0zPWPMD6cUl</f>
        <v>#NAME?</v>
      </c>
      <c r="B2874">
        <v>393.75</v>
      </c>
      <c r="C2874">
        <v>20.531590000000001</v>
      </c>
      <c r="D2874">
        <v>66</v>
      </c>
      <c r="E2874">
        <v>0</v>
      </c>
      <c r="F2874">
        <v>0</v>
      </c>
      <c r="G2874">
        <v>64</v>
      </c>
      <c r="H2874" s="4">
        <v>1570536601532</v>
      </c>
      <c r="I2874">
        <v>526.6875</v>
      </c>
      <c r="J2874" s="9">
        <f t="shared" si="44"/>
        <v>43746.798628842589</v>
      </c>
      <c r="K2874" s="1"/>
    </row>
    <row r="2875" spans="1:11" x14ac:dyDescent="0.25">
      <c r="A2875" t="e">
        <f>-LqfGhGxo7TvBtq83ZpN</f>
        <v>#NAME?</v>
      </c>
      <c r="B2875">
        <v>393.75</v>
      </c>
      <c r="C2875">
        <v>20.531590000000001</v>
      </c>
      <c r="D2875">
        <v>66</v>
      </c>
      <c r="E2875">
        <v>0</v>
      </c>
      <c r="F2875">
        <v>0</v>
      </c>
      <c r="G2875">
        <v>61</v>
      </c>
      <c r="H2875" s="4">
        <v>1570536607712</v>
      </c>
      <c r="I2875">
        <v>526.6875</v>
      </c>
      <c r="J2875" s="9">
        <f t="shared" si="44"/>
        <v>43746.798700370367</v>
      </c>
      <c r="K2875" s="1"/>
    </row>
    <row r="2876" spans="1:11" x14ac:dyDescent="0.25">
      <c r="A2876" t="e">
        <f>-LqfGimBjngrZteRI2ie</f>
        <v>#NAME?</v>
      </c>
      <c r="B2876">
        <v>393.75</v>
      </c>
      <c r="C2876">
        <v>20.584240000000001</v>
      </c>
      <c r="D2876">
        <v>64</v>
      </c>
      <c r="E2876">
        <v>0</v>
      </c>
      <c r="F2876">
        <v>0</v>
      </c>
      <c r="G2876">
        <v>58</v>
      </c>
      <c r="H2876" s="4">
        <v>1570536613911</v>
      </c>
      <c r="I2876">
        <v>526.5</v>
      </c>
      <c r="J2876" s="9">
        <f t="shared" si="44"/>
        <v>43746.798772118054</v>
      </c>
      <c r="K2876" s="1"/>
    </row>
    <row r="2877" spans="1:11" x14ac:dyDescent="0.25">
      <c r="A2877" t="e">
        <f>-LqfGkLAofulWx9bsCj3</f>
        <v>#NAME?</v>
      </c>
      <c r="B2877">
        <v>393.75</v>
      </c>
      <c r="C2877">
        <v>20.584240000000001</v>
      </c>
      <c r="D2877">
        <v>65</v>
      </c>
      <c r="E2877">
        <v>0</v>
      </c>
      <c r="F2877">
        <v>0</v>
      </c>
      <c r="G2877">
        <v>67</v>
      </c>
      <c r="H2877" s="4">
        <v>1570536620084</v>
      </c>
      <c r="I2877">
        <v>526.6875</v>
      </c>
      <c r="J2877" s="9">
        <f t="shared" si="44"/>
        <v>43746.798843564808</v>
      </c>
      <c r="K2877" s="1"/>
    </row>
    <row r="2878" spans="1:11" x14ac:dyDescent="0.25">
      <c r="A2878" t="e">
        <f>-LqfGm3NhAEvdo09Spxu</f>
        <v>#NAME?</v>
      </c>
      <c r="B2878">
        <v>412.5</v>
      </c>
      <c r="C2878">
        <v>20.584240000000001</v>
      </c>
      <c r="D2878">
        <v>67</v>
      </c>
      <c r="E2878">
        <v>0</v>
      </c>
      <c r="F2878">
        <v>0</v>
      </c>
      <c r="G2878">
        <v>68</v>
      </c>
      <c r="H2878" s="4">
        <v>1570536627282</v>
      </c>
      <c r="I2878">
        <v>532.125</v>
      </c>
      <c r="J2878" s="9">
        <f t="shared" si="44"/>
        <v>43746.798926875003</v>
      </c>
      <c r="K2878" s="1"/>
    </row>
    <row r="2879" spans="1:11" x14ac:dyDescent="0.25">
      <c r="A2879" t="e">
        <f>-LqfGnc9ONg69Trk_8uF</f>
        <v>#NAME?</v>
      </c>
      <c r="B2879">
        <v>393.75</v>
      </c>
      <c r="C2879">
        <v>20.584240000000001</v>
      </c>
      <c r="D2879">
        <v>66</v>
      </c>
      <c r="E2879">
        <v>0</v>
      </c>
      <c r="F2879">
        <v>0</v>
      </c>
      <c r="G2879">
        <v>63</v>
      </c>
      <c r="H2879" s="4">
        <v>1570536633483</v>
      </c>
      <c r="I2879">
        <v>526.6875</v>
      </c>
      <c r="J2879" s="9">
        <f t="shared" si="44"/>
        <v>43746.798998645834</v>
      </c>
      <c r="K2879" s="1"/>
    </row>
    <row r="2880" spans="1:11" x14ac:dyDescent="0.25">
      <c r="A2880" t="e">
        <f>-LqfGpLBVY1u52u1RlIX</f>
        <v>#NAME?</v>
      </c>
      <c r="B2880">
        <v>393.75</v>
      </c>
      <c r="C2880">
        <v>20.584240000000001</v>
      </c>
      <c r="D2880">
        <v>63</v>
      </c>
      <c r="E2880">
        <v>0</v>
      </c>
      <c r="F2880">
        <v>0</v>
      </c>
      <c r="G2880">
        <v>66</v>
      </c>
      <c r="H2880" s="4">
        <v>1570536640692</v>
      </c>
      <c r="I2880">
        <v>526.6875</v>
      </c>
      <c r="J2880" s="9">
        <f t="shared" si="44"/>
        <v>43746.799082083329</v>
      </c>
      <c r="K2880" s="1"/>
    </row>
    <row r="2881" spans="1:11" x14ac:dyDescent="0.25">
      <c r="A2881" t="e">
        <f>-LqfGqnny4Vj9b3A6_vT</f>
        <v>#NAME?</v>
      </c>
      <c r="B2881">
        <v>393.75</v>
      </c>
      <c r="C2881">
        <v>20.584240000000001</v>
      </c>
      <c r="D2881">
        <v>63</v>
      </c>
      <c r="E2881">
        <v>0</v>
      </c>
      <c r="F2881">
        <v>0</v>
      </c>
      <c r="G2881">
        <v>65</v>
      </c>
      <c r="H2881" s="4">
        <v>1570536646873</v>
      </c>
      <c r="I2881">
        <v>526.6875</v>
      </c>
      <c r="J2881" s="9">
        <f t="shared" si="44"/>
        <v>43746.799153622684</v>
      </c>
      <c r="K2881" s="1"/>
    </row>
    <row r="2882" spans="1:11" x14ac:dyDescent="0.25">
      <c r="A2882" t="e">
        <f>-LqfGsO9gwcyOvg3DvTd</f>
        <v>#NAME?</v>
      </c>
      <c r="B2882">
        <v>393.75</v>
      </c>
      <c r="C2882">
        <v>20.584240000000001</v>
      </c>
      <c r="D2882">
        <v>64</v>
      </c>
      <c r="E2882">
        <v>0</v>
      </c>
      <c r="F2882">
        <v>0</v>
      </c>
      <c r="G2882">
        <v>62</v>
      </c>
      <c r="H2882" s="4">
        <v>1570536653062</v>
      </c>
      <c r="I2882">
        <v>526.6875</v>
      </c>
      <c r="J2882" s="9">
        <f t="shared" si="44"/>
        <v>43746.799225254632</v>
      </c>
      <c r="K2882" s="1"/>
    </row>
    <row r="2883" spans="1:11" x14ac:dyDescent="0.25">
      <c r="A2883" t="e">
        <f>-LqfGts9cshDhtFmwyrL</f>
        <v>#NAME?</v>
      </c>
      <c r="B2883">
        <v>393.75</v>
      </c>
      <c r="C2883">
        <v>20.531590000000001</v>
      </c>
      <c r="D2883">
        <v>64</v>
      </c>
      <c r="E2883">
        <v>0</v>
      </c>
      <c r="F2883">
        <v>0</v>
      </c>
      <c r="G2883">
        <v>67</v>
      </c>
      <c r="H2883" s="4">
        <v>1570536659241</v>
      </c>
      <c r="I2883">
        <v>526.6875</v>
      </c>
      <c r="J2883" s="9">
        <f t="shared" ref="J2883:J2946" si="45">(H2883/86400000)+25569+(7/24)</f>
        <v>43746.799296770834</v>
      </c>
      <c r="K2883" s="1"/>
    </row>
    <row r="2884" spans="1:11" x14ac:dyDescent="0.25">
      <c r="A2884" t="s">
        <v>155</v>
      </c>
      <c r="B2884">
        <v>393.75</v>
      </c>
      <c r="C2884">
        <v>20.584240000000001</v>
      </c>
      <c r="D2884">
        <v>64</v>
      </c>
      <c r="E2884">
        <v>0</v>
      </c>
      <c r="F2884">
        <v>0</v>
      </c>
      <c r="G2884">
        <v>66</v>
      </c>
      <c r="H2884" s="4">
        <v>1570536665429</v>
      </c>
      <c r="I2884">
        <v>526.6875</v>
      </c>
      <c r="J2884" s="9">
        <f t="shared" si="45"/>
        <v>43746.799368391199</v>
      </c>
      <c r="K2884" s="1"/>
    </row>
    <row r="2885" spans="1:11" x14ac:dyDescent="0.25">
      <c r="A2885" t="e">
        <f>-LqfGwvAG-dEoVJbO6OL</f>
        <v>#NAME?</v>
      </c>
      <c r="B2885">
        <v>412.5</v>
      </c>
      <c r="C2885">
        <v>20.584240000000001</v>
      </c>
      <c r="D2885">
        <v>65</v>
      </c>
      <c r="E2885">
        <v>0</v>
      </c>
      <c r="F2885">
        <v>0</v>
      </c>
      <c r="G2885">
        <v>59</v>
      </c>
      <c r="H2885" s="4">
        <v>1570536671613</v>
      </c>
      <c r="I2885">
        <v>532.125</v>
      </c>
      <c r="J2885" s="9">
        <f t="shared" si="45"/>
        <v>43746.799439965274</v>
      </c>
      <c r="K2885" s="1"/>
    </row>
    <row r="2886" spans="1:11" x14ac:dyDescent="0.25">
      <c r="A2886" t="e">
        <f>-LqfGyarPvh2Z_wfkmsq</f>
        <v>#NAME?</v>
      </c>
      <c r="B2886">
        <v>393.75</v>
      </c>
      <c r="C2886">
        <v>20.584240000000001</v>
      </c>
      <c r="D2886">
        <v>64</v>
      </c>
      <c r="E2886">
        <v>0</v>
      </c>
      <c r="F2886">
        <v>0</v>
      </c>
      <c r="G2886">
        <v>64</v>
      </c>
      <c r="H2886" s="4">
        <v>1570536678803</v>
      </c>
      <c r="I2886">
        <v>526.6875</v>
      </c>
      <c r="J2886" s="9">
        <f t="shared" si="45"/>
        <v>43746.799523182868</v>
      </c>
      <c r="K2886" s="1"/>
    </row>
    <row r="2887" spans="1:11" x14ac:dyDescent="0.25">
      <c r="A2887" t="e">
        <f>-LqfH-CDOoAWbenIQPAs</f>
        <v>#NAME?</v>
      </c>
      <c r="B2887">
        <v>393.75</v>
      </c>
      <c r="C2887">
        <v>20.584240000000001</v>
      </c>
      <c r="D2887">
        <v>64</v>
      </c>
      <c r="E2887">
        <v>0</v>
      </c>
      <c r="F2887">
        <v>0</v>
      </c>
      <c r="G2887">
        <v>60</v>
      </c>
      <c r="H2887" s="4">
        <v>1570536685003</v>
      </c>
      <c r="I2887">
        <v>526.6875</v>
      </c>
      <c r="J2887" s="9">
        <f t="shared" si="45"/>
        <v>43746.799594942124</v>
      </c>
      <c r="K2887" s="1"/>
    </row>
    <row r="2888" spans="1:11" x14ac:dyDescent="0.25">
      <c r="A2888" t="e">
        <f>-LqfH0vAWO9eObe-w1Kl</f>
        <v>#NAME?</v>
      </c>
      <c r="B2888">
        <v>412.5</v>
      </c>
      <c r="C2888">
        <v>20.584240000000001</v>
      </c>
      <c r="D2888">
        <v>65</v>
      </c>
      <c r="E2888">
        <v>0</v>
      </c>
      <c r="F2888">
        <v>0</v>
      </c>
      <c r="G2888">
        <v>65</v>
      </c>
      <c r="H2888" s="4">
        <v>1570536692242</v>
      </c>
      <c r="I2888">
        <v>532.3125</v>
      </c>
      <c r="J2888" s="9">
        <f t="shared" si="45"/>
        <v>43746.799678726849</v>
      </c>
      <c r="K2888" s="1"/>
    </row>
    <row r="2889" spans="1:11" x14ac:dyDescent="0.25">
      <c r="A2889" t="e">
        <f>-LqfH2PKCyyxG2TUh_fb</f>
        <v>#NAME?</v>
      </c>
      <c r="B2889">
        <v>393.75</v>
      </c>
      <c r="C2889">
        <v>20.584240000000001</v>
      </c>
      <c r="D2889">
        <v>65</v>
      </c>
      <c r="E2889">
        <v>0</v>
      </c>
      <c r="F2889">
        <v>0</v>
      </c>
      <c r="G2889">
        <v>63</v>
      </c>
      <c r="H2889" s="4">
        <v>1570536698401</v>
      </c>
      <c r="I2889">
        <v>526.6875</v>
      </c>
      <c r="J2889" s="9">
        <f t="shared" si="45"/>
        <v>43746.799750011567</v>
      </c>
      <c r="K2889" s="1"/>
    </row>
    <row r="2890" spans="1:11" x14ac:dyDescent="0.25">
      <c r="A2890" t="e">
        <f>-LqfH3yB3strZL1hniAx</f>
        <v>#NAME?</v>
      </c>
      <c r="B2890">
        <v>393.75</v>
      </c>
      <c r="C2890">
        <v>20.584240000000001</v>
      </c>
      <c r="D2890">
        <v>65</v>
      </c>
      <c r="E2890">
        <v>0</v>
      </c>
      <c r="F2890">
        <v>0</v>
      </c>
      <c r="G2890">
        <v>55</v>
      </c>
      <c r="H2890" s="4">
        <v>1570536704563</v>
      </c>
      <c r="I2890">
        <v>526.6875</v>
      </c>
      <c r="J2890" s="9">
        <f t="shared" si="45"/>
        <v>43746.799821331013</v>
      </c>
      <c r="K2890" s="1"/>
    </row>
    <row r="2891" spans="1:11" x14ac:dyDescent="0.25">
      <c r="A2891" t="e">
        <f>-LqfH5S21P7ndBvXks5J</f>
        <v>#NAME?</v>
      </c>
      <c r="B2891">
        <v>393.75</v>
      </c>
      <c r="C2891">
        <v>20.584240000000001</v>
      </c>
      <c r="D2891">
        <v>65</v>
      </c>
      <c r="E2891">
        <v>0</v>
      </c>
      <c r="F2891">
        <v>0</v>
      </c>
      <c r="G2891">
        <v>62</v>
      </c>
      <c r="H2891" s="4">
        <v>1570536710762</v>
      </c>
      <c r="I2891">
        <v>526.6875</v>
      </c>
      <c r="J2891" s="9">
        <f t="shared" si="45"/>
        <v>43746.7998930787</v>
      </c>
      <c r="K2891" s="1"/>
    </row>
    <row r="2892" spans="1:11" x14ac:dyDescent="0.25">
      <c r="A2892" t="e">
        <f>-LqfH6wDvziAIgIzrDcb</f>
        <v>#NAME?</v>
      </c>
      <c r="B2892">
        <v>393.75</v>
      </c>
      <c r="C2892">
        <v>20.584240000000001</v>
      </c>
      <c r="D2892">
        <v>66</v>
      </c>
      <c r="E2892">
        <v>0</v>
      </c>
      <c r="F2892">
        <v>0</v>
      </c>
      <c r="G2892">
        <v>64</v>
      </c>
      <c r="H2892" s="4">
        <v>1570536716952</v>
      </c>
      <c r="I2892">
        <v>526.5</v>
      </c>
      <c r="J2892" s="9">
        <f t="shared" si="45"/>
        <v>43746.799964722224</v>
      </c>
      <c r="K2892" s="1"/>
    </row>
    <row r="2893" spans="1:11" x14ac:dyDescent="0.25">
      <c r="A2893" t="e">
        <f>-LqfH8j3rHl0Ubm7d6jr</f>
        <v>#NAME?</v>
      </c>
      <c r="B2893">
        <v>393.75</v>
      </c>
      <c r="C2893">
        <v>20.584240000000001</v>
      </c>
      <c r="D2893">
        <v>66</v>
      </c>
      <c r="E2893">
        <v>0</v>
      </c>
      <c r="F2893">
        <v>0</v>
      </c>
      <c r="G2893">
        <v>65</v>
      </c>
      <c r="H2893" s="4">
        <v>1570536723131</v>
      </c>
      <c r="I2893">
        <v>526.6875</v>
      </c>
      <c r="J2893" s="9">
        <f t="shared" si="45"/>
        <v>43746.800036238426</v>
      </c>
      <c r="K2893" s="1"/>
    </row>
    <row r="2894" spans="1:11" x14ac:dyDescent="0.25">
      <c r="A2894" t="e">
        <f>-LqfHAAkxD3PGJKE4mog</f>
        <v>#NAME?</v>
      </c>
      <c r="B2894">
        <v>393.75</v>
      </c>
      <c r="C2894">
        <v>20.584240000000001</v>
      </c>
      <c r="D2894">
        <v>67</v>
      </c>
      <c r="E2894">
        <v>0</v>
      </c>
      <c r="F2894">
        <v>0</v>
      </c>
      <c r="G2894">
        <v>71</v>
      </c>
      <c r="H2894" s="4">
        <v>1570536730325</v>
      </c>
      <c r="I2894">
        <v>526.6875</v>
      </c>
      <c r="J2894" s="9">
        <f t="shared" si="45"/>
        <v>43746.800119502317</v>
      </c>
      <c r="K2894" s="1"/>
    </row>
    <row r="2895" spans="1:11" x14ac:dyDescent="0.25">
      <c r="A2895" t="e">
        <f>-LqfHBmEVFAdvX6KblYQ</f>
        <v>#NAME?</v>
      </c>
      <c r="B2895">
        <v>393.75</v>
      </c>
      <c r="C2895">
        <v>20.584240000000001</v>
      </c>
      <c r="D2895">
        <v>66</v>
      </c>
      <c r="E2895">
        <v>0</v>
      </c>
      <c r="F2895">
        <v>0</v>
      </c>
      <c r="G2895">
        <v>65</v>
      </c>
      <c r="H2895" s="4">
        <v>1570536736535</v>
      </c>
      <c r="I2895">
        <v>526.6875</v>
      </c>
      <c r="J2895" s="9">
        <f t="shared" si="45"/>
        <v>43746.800191377311</v>
      </c>
      <c r="K2895" s="1"/>
    </row>
    <row r="2896" spans="1:11" x14ac:dyDescent="0.25">
      <c r="A2896" t="e">
        <f>-LqfHDVCb78polExQD6k</f>
        <v>#NAME?</v>
      </c>
      <c r="B2896">
        <v>393.75</v>
      </c>
      <c r="C2896">
        <v>20.584240000000001</v>
      </c>
      <c r="D2896">
        <v>65</v>
      </c>
      <c r="E2896">
        <v>0</v>
      </c>
      <c r="F2896">
        <v>0</v>
      </c>
      <c r="G2896">
        <v>61</v>
      </c>
      <c r="H2896" s="4">
        <v>1570536743746</v>
      </c>
      <c r="I2896">
        <v>526.5</v>
      </c>
      <c r="J2896" s="9">
        <f t="shared" si="45"/>
        <v>43746.800274837959</v>
      </c>
      <c r="K2896" s="1"/>
    </row>
    <row r="2897" spans="1:11" x14ac:dyDescent="0.25">
      <c r="A2897" t="e">
        <f>-LqfHEy8G67irAAxw-rv</f>
        <v>#NAME?</v>
      </c>
      <c r="B2897">
        <v>393.75</v>
      </c>
      <c r="C2897">
        <v>20.584240000000001</v>
      </c>
      <c r="D2897">
        <v>65</v>
      </c>
      <c r="E2897">
        <v>0</v>
      </c>
      <c r="F2897">
        <v>0</v>
      </c>
      <c r="G2897">
        <v>62</v>
      </c>
      <c r="H2897" s="4">
        <v>1570536749926</v>
      </c>
      <c r="I2897">
        <v>526.6875</v>
      </c>
      <c r="J2897" s="9">
        <f t="shared" si="45"/>
        <v>43746.800346365737</v>
      </c>
      <c r="K2897" s="1"/>
    </row>
    <row r="2898" spans="1:11" x14ac:dyDescent="0.25">
      <c r="A2898" t="e">
        <f>-LqfHGYH_8-gKW-se5wO</f>
        <v>#NAME?</v>
      </c>
      <c r="B2898">
        <v>393.75</v>
      </c>
      <c r="C2898">
        <v>20.531590000000001</v>
      </c>
      <c r="D2898">
        <v>65</v>
      </c>
      <c r="E2898">
        <v>0</v>
      </c>
      <c r="F2898">
        <v>0</v>
      </c>
      <c r="G2898">
        <v>68</v>
      </c>
      <c r="H2898" s="4">
        <v>1570536756116</v>
      </c>
      <c r="I2898">
        <v>526.6875</v>
      </c>
      <c r="J2898" s="9">
        <f t="shared" si="45"/>
        <v>43746.800418009261</v>
      </c>
      <c r="K2898" s="1"/>
    </row>
    <row r="2899" spans="1:11" x14ac:dyDescent="0.25">
      <c r="A2899" t="e">
        <f>-LqfHIGabYKVxNpT82HK</f>
        <v>#NAME?</v>
      </c>
      <c r="B2899">
        <v>393.75</v>
      </c>
      <c r="C2899">
        <v>20.584240000000001</v>
      </c>
      <c r="D2899">
        <v>69</v>
      </c>
      <c r="E2899">
        <v>0</v>
      </c>
      <c r="F2899">
        <v>0</v>
      </c>
      <c r="G2899">
        <v>69</v>
      </c>
      <c r="H2899" s="4">
        <v>1570536763296</v>
      </c>
      <c r="I2899">
        <v>526.6875</v>
      </c>
      <c r="J2899" s="9">
        <f t="shared" si="45"/>
        <v>43746.800501111109</v>
      </c>
      <c r="K2899" s="1"/>
    </row>
    <row r="2900" spans="1:11" x14ac:dyDescent="0.25">
      <c r="A2900" t="s">
        <v>156</v>
      </c>
      <c r="B2900">
        <v>393.75</v>
      </c>
      <c r="C2900">
        <v>20.584240000000001</v>
      </c>
      <c r="D2900">
        <v>69</v>
      </c>
      <c r="E2900">
        <v>0</v>
      </c>
      <c r="F2900">
        <v>0</v>
      </c>
      <c r="G2900">
        <v>60</v>
      </c>
      <c r="H2900" s="4">
        <v>1570536769486</v>
      </c>
      <c r="I2900">
        <v>526.6875</v>
      </c>
      <c r="J2900" s="9">
        <f t="shared" si="45"/>
        <v>43746.800572754626</v>
      </c>
      <c r="K2900" s="1"/>
    </row>
    <row r="2901" spans="1:11" x14ac:dyDescent="0.25">
      <c r="A2901" t="e">
        <f>-LqfHLYEaEKMPO3uQ2KV</f>
        <v>#NAME?</v>
      </c>
      <c r="B2901">
        <v>393.75</v>
      </c>
      <c r="C2901">
        <v>20.584240000000001</v>
      </c>
      <c r="D2901">
        <v>66</v>
      </c>
      <c r="E2901">
        <v>0</v>
      </c>
      <c r="F2901">
        <v>0</v>
      </c>
      <c r="G2901">
        <v>67</v>
      </c>
      <c r="H2901" s="4">
        <v>1570536776725</v>
      </c>
      <c r="I2901">
        <v>526.6875</v>
      </c>
      <c r="J2901" s="9">
        <f t="shared" si="45"/>
        <v>43746.800656539352</v>
      </c>
      <c r="K2901" s="1"/>
    </row>
    <row r="2902" spans="1:11" x14ac:dyDescent="0.25">
      <c r="A2902" t="e">
        <f>-LqfHNLDDuvUzCwLFp6h</f>
        <v>#NAME?</v>
      </c>
      <c r="B2902">
        <v>393.75</v>
      </c>
      <c r="C2902">
        <v>20.584240000000001</v>
      </c>
      <c r="D2902">
        <v>67</v>
      </c>
      <c r="E2902">
        <v>0</v>
      </c>
      <c r="F2902">
        <v>0</v>
      </c>
      <c r="G2902">
        <v>63</v>
      </c>
      <c r="H2902" s="4">
        <v>1570536783934</v>
      </c>
      <c r="I2902">
        <v>526.5</v>
      </c>
      <c r="J2902" s="9">
        <f t="shared" si="45"/>
        <v>43746.800739976847</v>
      </c>
      <c r="K2902" s="1"/>
    </row>
    <row r="2903" spans="1:11" x14ac:dyDescent="0.25">
      <c r="A2903" t="e">
        <f>-LqfHP3CVhSsu-ox9FVX</f>
        <v>#NAME?</v>
      </c>
      <c r="B2903">
        <v>393.75</v>
      </c>
      <c r="C2903">
        <v>20.584240000000001</v>
      </c>
      <c r="D2903">
        <v>64</v>
      </c>
      <c r="E2903">
        <v>0</v>
      </c>
      <c r="F2903">
        <v>0</v>
      </c>
      <c r="G2903">
        <v>63</v>
      </c>
      <c r="H2903" s="4">
        <v>1570536791124</v>
      </c>
      <c r="I2903">
        <v>526.6875</v>
      </c>
      <c r="J2903" s="9">
        <f t="shared" si="45"/>
        <v>43746.80082319444</v>
      </c>
      <c r="K2903" s="1"/>
    </row>
    <row r="2904" spans="1:11" x14ac:dyDescent="0.25">
      <c r="A2904" t="e">
        <f>-LqfHQcCesbd8L19l3oz</f>
        <v>#NAME?</v>
      </c>
      <c r="B2904">
        <v>393.75</v>
      </c>
      <c r="C2904">
        <v>20.584240000000001</v>
      </c>
      <c r="D2904">
        <v>64</v>
      </c>
      <c r="E2904">
        <v>0</v>
      </c>
      <c r="F2904">
        <v>0</v>
      </c>
      <c r="G2904">
        <v>71</v>
      </c>
      <c r="H2904" s="4">
        <v>1570536797324</v>
      </c>
      <c r="I2904">
        <v>526.6875</v>
      </c>
      <c r="J2904" s="9">
        <f t="shared" si="45"/>
        <v>43746.800894953696</v>
      </c>
      <c r="K2904" s="1"/>
    </row>
    <row r="2905" spans="1:11" x14ac:dyDescent="0.25">
      <c r="A2905" t="e">
        <f>-LqfHSLCxS8ev0Z7XcO6</f>
        <v>#NAME?</v>
      </c>
      <c r="B2905">
        <v>393.75</v>
      </c>
      <c r="C2905">
        <v>20.584240000000001</v>
      </c>
      <c r="D2905">
        <v>65</v>
      </c>
      <c r="E2905">
        <v>0</v>
      </c>
      <c r="F2905">
        <v>0</v>
      </c>
      <c r="G2905">
        <v>70</v>
      </c>
      <c r="H2905" s="4">
        <v>1570536804565</v>
      </c>
      <c r="I2905">
        <v>526.6875</v>
      </c>
      <c r="J2905" s="9">
        <f t="shared" si="45"/>
        <v>43746.800978761567</v>
      </c>
      <c r="K2905" s="1"/>
    </row>
    <row r="2906" spans="1:11" x14ac:dyDescent="0.25">
      <c r="A2906" t="e">
        <f>-LqfHTpEcBiipuLnzpvc</f>
        <v>#NAME?</v>
      </c>
      <c r="B2906">
        <v>393.75</v>
      </c>
      <c r="C2906">
        <v>20.584240000000001</v>
      </c>
      <c r="D2906">
        <v>65</v>
      </c>
      <c r="E2906">
        <v>0</v>
      </c>
      <c r="F2906">
        <v>0</v>
      </c>
      <c r="G2906">
        <v>77</v>
      </c>
      <c r="H2906" s="4">
        <v>1570536810724</v>
      </c>
      <c r="I2906">
        <v>526.6875</v>
      </c>
      <c r="J2906" s="9">
        <f t="shared" si="45"/>
        <v>43746.801050046291</v>
      </c>
      <c r="K2906" s="1"/>
    </row>
    <row r="2907" spans="1:11" x14ac:dyDescent="0.25">
      <c r="A2907" t="e">
        <f>-LqfHVOEqgv5dBcEYNaN</f>
        <v>#NAME?</v>
      </c>
      <c r="B2907">
        <v>434.375</v>
      </c>
      <c r="C2907">
        <v>20.584240000000001</v>
      </c>
      <c r="D2907">
        <v>65</v>
      </c>
      <c r="E2907">
        <v>0</v>
      </c>
      <c r="F2907">
        <v>0</v>
      </c>
      <c r="G2907">
        <v>71</v>
      </c>
      <c r="H2907" s="4">
        <v>1570536816916</v>
      </c>
      <c r="I2907">
        <v>539.25</v>
      </c>
      <c r="J2907" s="9">
        <f t="shared" si="45"/>
        <v>43746.801121712961</v>
      </c>
      <c r="K2907" s="1"/>
    </row>
    <row r="2908" spans="1:11" x14ac:dyDescent="0.25">
      <c r="A2908" t="e">
        <f>-LqfHX6Cy1Q0viAIyVxZ</f>
        <v>#NAME?</v>
      </c>
      <c r="B2908">
        <v>393.75</v>
      </c>
      <c r="C2908">
        <v>20.584240000000001</v>
      </c>
      <c r="D2908">
        <v>66</v>
      </c>
      <c r="E2908">
        <v>0</v>
      </c>
      <c r="F2908">
        <v>0</v>
      </c>
      <c r="G2908">
        <v>71</v>
      </c>
      <c r="H2908" s="4">
        <v>1570536824096</v>
      </c>
      <c r="I2908">
        <v>526.6875</v>
      </c>
      <c r="J2908" s="9">
        <f t="shared" si="45"/>
        <v>43746.801204814816</v>
      </c>
      <c r="K2908" s="1"/>
    </row>
    <row r="2909" spans="1:11" x14ac:dyDescent="0.25">
      <c r="A2909" t="e">
        <f>-LqfHYfN7IXzfWmbPkRw</f>
        <v>#NAME?</v>
      </c>
      <c r="B2909">
        <v>393.75</v>
      </c>
      <c r="C2909">
        <v>20.584240000000001</v>
      </c>
      <c r="D2909">
        <v>66</v>
      </c>
      <c r="E2909">
        <v>0</v>
      </c>
      <c r="F2909">
        <v>0</v>
      </c>
      <c r="G2909">
        <v>74</v>
      </c>
      <c r="H2909" s="4">
        <v>1570536830296</v>
      </c>
      <c r="I2909">
        <v>526.6875</v>
      </c>
      <c r="J2909" s="9">
        <f t="shared" si="45"/>
        <v>43746.801276574071</v>
      </c>
      <c r="K2909" s="1"/>
    </row>
    <row r="2910" spans="1:11" x14ac:dyDescent="0.25">
      <c r="A2910" t="e">
        <f>-LqfH_OM5lWm99BFWjuS</f>
        <v>#NAME?</v>
      </c>
      <c r="B2910">
        <v>393.75</v>
      </c>
      <c r="C2910">
        <v>20.531590000000001</v>
      </c>
      <c r="D2910">
        <v>66</v>
      </c>
      <c r="E2910">
        <v>0</v>
      </c>
      <c r="F2910">
        <v>0</v>
      </c>
      <c r="G2910">
        <v>67</v>
      </c>
      <c r="H2910" s="4">
        <v>1570536837524</v>
      </c>
      <c r="I2910">
        <v>526.6875</v>
      </c>
      <c r="J2910" s="9">
        <f t="shared" si="45"/>
        <v>43746.801360231482</v>
      </c>
      <c r="K2910" s="1"/>
    </row>
    <row r="2911" spans="1:11" x14ac:dyDescent="0.25">
      <c r="A2911" t="s">
        <v>157</v>
      </c>
      <c r="B2911">
        <v>393.75</v>
      </c>
      <c r="C2911">
        <v>20.584240000000001</v>
      </c>
      <c r="D2911">
        <v>67</v>
      </c>
      <c r="E2911">
        <v>0</v>
      </c>
      <c r="F2911">
        <v>0</v>
      </c>
      <c r="G2911">
        <v>72</v>
      </c>
      <c r="H2911" s="4">
        <v>1570536844735</v>
      </c>
      <c r="I2911">
        <v>526.6875</v>
      </c>
      <c r="J2911" s="9">
        <f t="shared" si="45"/>
        <v>43746.801443692129</v>
      </c>
      <c r="K2911" s="1"/>
    </row>
    <row r="2912" spans="1:11" x14ac:dyDescent="0.25">
      <c r="A2912" t="e">
        <f>-LqfHcuEzZMOMqUbUBnm</f>
        <v>#NAME?</v>
      </c>
      <c r="B2912">
        <v>393.75</v>
      </c>
      <c r="C2912">
        <v>20.584240000000001</v>
      </c>
      <c r="D2912">
        <v>65</v>
      </c>
      <c r="E2912">
        <v>0</v>
      </c>
      <c r="F2912">
        <v>0</v>
      </c>
      <c r="G2912">
        <v>74</v>
      </c>
      <c r="H2912" s="4">
        <v>1570536851926</v>
      </c>
      <c r="I2912">
        <v>526.6875</v>
      </c>
      <c r="J2912" s="9">
        <f t="shared" si="45"/>
        <v>43746.801526921299</v>
      </c>
      <c r="K2912" s="1"/>
    </row>
    <row r="2913" spans="1:11" x14ac:dyDescent="0.25">
      <c r="A2913" t="e">
        <f>-LqfHehEUERYZ0VxqPWC</f>
        <v>#NAME?</v>
      </c>
      <c r="B2913">
        <v>393.75</v>
      </c>
      <c r="C2913">
        <v>20.584240000000001</v>
      </c>
      <c r="D2913">
        <v>66</v>
      </c>
      <c r="E2913">
        <v>0</v>
      </c>
      <c r="F2913">
        <v>0</v>
      </c>
      <c r="G2913">
        <v>61</v>
      </c>
      <c r="H2913" s="4">
        <v>1570536859156</v>
      </c>
      <c r="I2913">
        <v>526.6875</v>
      </c>
      <c r="J2913" s="9">
        <f t="shared" si="45"/>
        <v>43746.801610601848</v>
      </c>
      <c r="K2913" s="1"/>
    </row>
    <row r="2914" spans="1:11" x14ac:dyDescent="0.25">
      <c r="A2914" t="e">
        <f>-LqfHgQCrc4IHbEMUElb</f>
        <v>#NAME?</v>
      </c>
      <c r="B2914">
        <v>393.75</v>
      </c>
      <c r="C2914">
        <v>20.584240000000001</v>
      </c>
      <c r="D2914">
        <v>66</v>
      </c>
      <c r="E2914">
        <v>0</v>
      </c>
      <c r="F2914">
        <v>0</v>
      </c>
      <c r="G2914">
        <v>67</v>
      </c>
      <c r="H2914" s="4">
        <v>1570536866385</v>
      </c>
      <c r="I2914">
        <v>526.5</v>
      </c>
      <c r="J2914" s="9">
        <f t="shared" si="45"/>
        <v>43746.801694270827</v>
      </c>
      <c r="K2914" s="1"/>
    </row>
    <row r="2915" spans="1:11" x14ac:dyDescent="0.25">
      <c r="A2915" t="e">
        <f>-LqfHhzErlSVwp-pYENa</f>
        <v>#NAME?</v>
      </c>
      <c r="B2915">
        <v>412.5</v>
      </c>
      <c r="C2915">
        <v>20.584240000000001</v>
      </c>
      <c r="D2915">
        <v>66</v>
      </c>
      <c r="E2915">
        <v>0</v>
      </c>
      <c r="F2915">
        <v>0</v>
      </c>
      <c r="G2915">
        <v>68</v>
      </c>
      <c r="H2915" s="4">
        <v>1570536872555</v>
      </c>
      <c r="I2915">
        <v>532.3125</v>
      </c>
      <c r="J2915" s="9">
        <f t="shared" si="45"/>
        <v>43746.801765682867</v>
      </c>
      <c r="K2915" s="1"/>
    </row>
    <row r="2916" spans="1:11" x14ac:dyDescent="0.25">
      <c r="A2916" t="e">
        <f>-LqfHjhEFb8H0TsBsGg3</f>
        <v>#NAME?</v>
      </c>
      <c r="B2916">
        <v>393.75</v>
      </c>
      <c r="C2916">
        <v>20.584240000000001</v>
      </c>
      <c r="D2916">
        <v>65</v>
      </c>
      <c r="E2916">
        <v>0</v>
      </c>
      <c r="F2916">
        <v>0</v>
      </c>
      <c r="G2916">
        <v>65</v>
      </c>
      <c r="H2916" s="4">
        <v>1570536879765</v>
      </c>
      <c r="I2916">
        <v>526.6875</v>
      </c>
      <c r="J2916" s="9">
        <f t="shared" si="45"/>
        <v>43746.801849131945</v>
      </c>
      <c r="K2916" s="1"/>
    </row>
    <row r="2917" spans="1:11" x14ac:dyDescent="0.25">
      <c r="A2917" t="e">
        <f>-LqfHlVEJqJ4Rvs-wW0L</f>
        <v>#NAME?</v>
      </c>
      <c r="B2917">
        <v>393.75</v>
      </c>
      <c r="C2917">
        <v>20.584240000000001</v>
      </c>
      <c r="D2917">
        <v>65</v>
      </c>
      <c r="E2917">
        <v>0</v>
      </c>
      <c r="F2917">
        <v>0</v>
      </c>
      <c r="G2917">
        <v>69</v>
      </c>
      <c r="H2917" s="4">
        <v>1570536886974</v>
      </c>
      <c r="I2917">
        <v>526.6875</v>
      </c>
      <c r="J2917" s="9">
        <f t="shared" si="45"/>
        <v>43746.80193256944</v>
      </c>
      <c r="K2917" s="1"/>
    </row>
    <row r="2918" spans="1:11" x14ac:dyDescent="0.25">
      <c r="A2918" t="e">
        <f>-LqfHnDNJEjSMCZAQp5z</f>
        <v>#NAME?</v>
      </c>
      <c r="B2918">
        <v>393.75</v>
      </c>
      <c r="C2918">
        <v>20.584240000000001</v>
      </c>
      <c r="D2918">
        <v>66</v>
      </c>
      <c r="E2918">
        <v>0</v>
      </c>
      <c r="F2918">
        <v>0</v>
      </c>
      <c r="G2918">
        <v>69</v>
      </c>
      <c r="H2918" s="4">
        <v>1570536894166</v>
      </c>
      <c r="I2918">
        <v>526.6875</v>
      </c>
      <c r="J2918" s="9">
        <f t="shared" si="45"/>
        <v>43746.802015810179</v>
      </c>
      <c r="K2918" s="1"/>
    </row>
    <row r="2919" spans="1:11" x14ac:dyDescent="0.25">
      <c r="A2919" t="e">
        <f>-LqfHp3zBKmfezT4jP24</f>
        <v>#NAME?</v>
      </c>
      <c r="B2919">
        <v>393.75</v>
      </c>
      <c r="C2919">
        <v>20.584240000000001</v>
      </c>
      <c r="D2919">
        <v>66</v>
      </c>
      <c r="E2919">
        <v>0</v>
      </c>
      <c r="F2919">
        <v>0</v>
      </c>
      <c r="G2919">
        <v>64</v>
      </c>
      <c r="H2919" s="4">
        <v>1570536901736</v>
      </c>
      <c r="I2919">
        <v>526.6875</v>
      </c>
      <c r="J2919" s="9">
        <f t="shared" si="45"/>
        <v>43746.802103425922</v>
      </c>
      <c r="K2919" s="1"/>
    </row>
    <row r="2920" spans="1:11" x14ac:dyDescent="0.25">
      <c r="A2920" t="e">
        <f>-LqfHqjEZqUvraZKCVDl</f>
        <v>#NAME?</v>
      </c>
      <c r="B2920">
        <v>393.75</v>
      </c>
      <c r="C2920">
        <v>20.584240000000001</v>
      </c>
      <c r="D2920">
        <v>65</v>
      </c>
      <c r="E2920">
        <v>0</v>
      </c>
      <c r="F2920">
        <v>0</v>
      </c>
      <c r="G2920">
        <v>66</v>
      </c>
      <c r="H2920" s="4">
        <v>1570536908624</v>
      </c>
      <c r="I2920">
        <v>526.6875</v>
      </c>
      <c r="J2920" s="9">
        <f t="shared" si="45"/>
        <v>43746.802183148146</v>
      </c>
      <c r="K2920" s="1"/>
    </row>
    <row r="2921" spans="1:11" x14ac:dyDescent="0.25">
      <c r="A2921" t="e">
        <f>-LqfHsIEy0K_J9ROTzYy</f>
        <v>#NAME?</v>
      </c>
      <c r="B2921">
        <v>393.75</v>
      </c>
      <c r="C2921">
        <v>20.531590000000001</v>
      </c>
      <c r="D2921">
        <v>65</v>
      </c>
      <c r="E2921">
        <v>0</v>
      </c>
      <c r="F2921">
        <v>0</v>
      </c>
      <c r="G2921">
        <v>61</v>
      </c>
      <c r="H2921" s="4">
        <v>1570536914795</v>
      </c>
      <c r="I2921">
        <v>526.6875</v>
      </c>
      <c r="J2921" s="9">
        <f t="shared" si="45"/>
        <v>43746.802254571761</v>
      </c>
      <c r="K2921" s="1"/>
    </row>
    <row r="2922" spans="1:11" x14ac:dyDescent="0.25">
      <c r="A2922" t="e">
        <f>-LqfHu0E0q96mCyMIPMo</f>
        <v>#NAME?</v>
      </c>
      <c r="B2922">
        <v>393.75</v>
      </c>
      <c r="C2922">
        <v>20.584240000000001</v>
      </c>
      <c r="D2922">
        <v>66</v>
      </c>
      <c r="E2922">
        <v>0</v>
      </c>
      <c r="F2922">
        <v>0</v>
      </c>
      <c r="G2922">
        <v>66</v>
      </c>
      <c r="H2922" s="4">
        <v>1570536922005</v>
      </c>
      <c r="I2922">
        <v>526.5</v>
      </c>
      <c r="J2922" s="9">
        <f t="shared" si="45"/>
        <v>43746.802338020832</v>
      </c>
      <c r="K2922" s="1"/>
    </row>
    <row r="2923" spans="1:11" x14ac:dyDescent="0.25">
      <c r="A2923" t="e">
        <f>-LqfHvoEeyu6oZoG-aCP</f>
        <v>#NAME?</v>
      </c>
      <c r="B2923">
        <v>393.75</v>
      </c>
      <c r="C2923">
        <v>20.584240000000001</v>
      </c>
      <c r="D2923">
        <v>66</v>
      </c>
      <c r="E2923">
        <v>0</v>
      </c>
      <c r="F2923">
        <v>0</v>
      </c>
      <c r="G2923">
        <v>63</v>
      </c>
      <c r="H2923" s="4">
        <v>1570536929225</v>
      </c>
      <c r="I2923">
        <v>526.6875</v>
      </c>
      <c r="J2923" s="9">
        <f t="shared" si="45"/>
        <v>43746.802421585649</v>
      </c>
      <c r="K2923" s="1"/>
    </row>
    <row r="2924" spans="1:11" x14ac:dyDescent="0.25">
      <c r="A2924" t="e">
        <f>-LqfHxXESvOx4AXCf0cU</f>
        <v>#NAME?</v>
      </c>
      <c r="B2924">
        <v>393.75</v>
      </c>
      <c r="C2924">
        <v>20.531590000000001</v>
      </c>
      <c r="D2924">
        <v>66</v>
      </c>
      <c r="E2924">
        <v>0</v>
      </c>
      <c r="F2924">
        <v>0</v>
      </c>
      <c r="G2924">
        <v>59</v>
      </c>
      <c r="H2924" s="4">
        <v>1570536936475</v>
      </c>
      <c r="I2924">
        <v>526.6875</v>
      </c>
      <c r="J2924" s="9">
        <f t="shared" si="45"/>
        <v>43746.802505497682</v>
      </c>
      <c r="K2924" s="1"/>
    </row>
    <row r="2925" spans="1:11" x14ac:dyDescent="0.25">
      <c r="A2925" t="e">
        <f>-LqfHz5CTmtPoBihgEYQ</f>
        <v>#NAME?</v>
      </c>
      <c r="B2925">
        <v>418.75</v>
      </c>
      <c r="C2925">
        <v>20.584240000000001</v>
      </c>
      <c r="D2925">
        <v>66</v>
      </c>
      <c r="E2925">
        <v>0</v>
      </c>
      <c r="F2925">
        <v>0</v>
      </c>
      <c r="G2925">
        <v>70</v>
      </c>
      <c r="H2925" s="4">
        <v>1570536942594</v>
      </c>
      <c r="I2925">
        <v>534</v>
      </c>
      <c r="J2925" s="9">
        <f t="shared" si="45"/>
        <v>43746.802576319438</v>
      </c>
      <c r="K2925" s="1"/>
    </row>
    <row r="2926" spans="1:11" x14ac:dyDescent="0.25">
      <c r="A2926" t="e">
        <f>-LqfI06ztyQwfg2I5I4h</f>
        <v>#NAME?</v>
      </c>
      <c r="B2926">
        <v>393.75</v>
      </c>
      <c r="C2926">
        <v>20.584240000000001</v>
      </c>
      <c r="D2926">
        <v>65</v>
      </c>
      <c r="E2926">
        <v>0</v>
      </c>
      <c r="F2926">
        <v>0</v>
      </c>
      <c r="G2926">
        <v>69</v>
      </c>
      <c r="H2926" s="4">
        <v>1570536949845</v>
      </c>
      <c r="I2926">
        <v>526.6875</v>
      </c>
      <c r="J2926" s="9">
        <f t="shared" si="45"/>
        <v>43746.802660243055</v>
      </c>
      <c r="K2926" s="1"/>
    </row>
    <row r="2927" spans="1:11" x14ac:dyDescent="0.25">
      <c r="A2927" t="e">
        <f>-LqfI1qJFWrSmY13M7sr</f>
        <v>#NAME?</v>
      </c>
      <c r="B2927">
        <v>393.75</v>
      </c>
      <c r="C2927">
        <v>20.584240000000001</v>
      </c>
      <c r="D2927">
        <v>64</v>
      </c>
      <c r="E2927">
        <v>0</v>
      </c>
      <c r="F2927">
        <v>0</v>
      </c>
      <c r="G2927">
        <v>65</v>
      </c>
      <c r="H2927" s="4">
        <v>1570536958079</v>
      </c>
      <c r="I2927">
        <v>526.6875</v>
      </c>
      <c r="J2927" s="9">
        <f t="shared" si="45"/>
        <v>43746.802755543984</v>
      </c>
      <c r="K2927" s="1"/>
    </row>
    <row r="2928" spans="1:11" x14ac:dyDescent="0.25">
      <c r="A2928" t="e">
        <f>-LqfI3cKfH1VpvGHjUmT</f>
        <v>#NAME?</v>
      </c>
      <c r="B2928">
        <v>393.75</v>
      </c>
      <c r="C2928">
        <v>20.584240000000001</v>
      </c>
      <c r="D2928">
        <v>64</v>
      </c>
      <c r="E2928">
        <v>0</v>
      </c>
      <c r="F2928">
        <v>0</v>
      </c>
      <c r="G2928">
        <v>60</v>
      </c>
      <c r="H2928" s="4">
        <v>1570536965543</v>
      </c>
      <c r="I2928">
        <v>526.6875</v>
      </c>
      <c r="J2928" s="9">
        <f t="shared" si="45"/>
        <v>43746.802841932869</v>
      </c>
      <c r="K2928" s="1"/>
    </row>
    <row r="2929" spans="1:11" x14ac:dyDescent="0.25">
      <c r="A2929" t="e">
        <f>-LqfI5MQsBA9b_zWJ_Dz</f>
        <v>#NAME?</v>
      </c>
      <c r="B2929">
        <v>393.75</v>
      </c>
      <c r="C2929">
        <v>20.584240000000001</v>
      </c>
      <c r="D2929">
        <v>64</v>
      </c>
      <c r="E2929">
        <v>0</v>
      </c>
      <c r="F2929">
        <v>0</v>
      </c>
      <c r="G2929">
        <v>70</v>
      </c>
      <c r="H2929" s="4">
        <v>1570536972510</v>
      </c>
      <c r="I2929">
        <v>526.5</v>
      </c>
      <c r="J2929" s="9">
        <f t="shared" si="45"/>
        <v>43746.802922569441</v>
      </c>
      <c r="K2929" s="1"/>
    </row>
    <row r="2930" spans="1:11" x14ac:dyDescent="0.25">
      <c r="A2930" t="e">
        <f>-LqfI74ILJX5e8GAFFzS</f>
        <v>#NAME?</v>
      </c>
      <c r="B2930">
        <v>393.75</v>
      </c>
      <c r="C2930">
        <v>20.584240000000001</v>
      </c>
      <c r="D2930">
        <v>61</v>
      </c>
      <c r="E2930">
        <v>0</v>
      </c>
      <c r="F2930">
        <v>0</v>
      </c>
      <c r="G2930">
        <v>62</v>
      </c>
      <c r="H2930" s="4">
        <v>1570536979720</v>
      </c>
      <c r="I2930">
        <v>526.6875</v>
      </c>
      <c r="J2930" s="9">
        <f t="shared" si="45"/>
        <v>43746.803006018519</v>
      </c>
      <c r="K2930" s="1"/>
    </row>
    <row r="2931" spans="1:11" x14ac:dyDescent="0.25">
      <c r="A2931" t="e">
        <f>-LqfI8dKKbuJ1atax8dn</f>
        <v>#NAME?</v>
      </c>
      <c r="B2931">
        <v>393.75</v>
      </c>
      <c r="C2931">
        <v>20.584240000000001</v>
      </c>
      <c r="D2931">
        <v>61</v>
      </c>
      <c r="E2931">
        <v>0</v>
      </c>
      <c r="F2931">
        <v>0</v>
      </c>
      <c r="G2931">
        <v>58</v>
      </c>
      <c r="H2931" s="4">
        <v>1570536985901</v>
      </c>
      <c r="I2931">
        <v>526.5</v>
      </c>
      <c r="J2931" s="9">
        <f t="shared" si="45"/>
        <v>43746.803077557866</v>
      </c>
      <c r="K2931" s="1"/>
    </row>
    <row r="2932" spans="1:11" x14ac:dyDescent="0.25">
      <c r="A2932" t="e">
        <f>-LqfIAN-DdmTcK-NSUcZ</f>
        <v>#NAME?</v>
      </c>
      <c r="B2932">
        <v>393.75</v>
      </c>
      <c r="C2932">
        <v>20.584240000000001</v>
      </c>
      <c r="D2932">
        <v>62</v>
      </c>
      <c r="E2932">
        <v>0</v>
      </c>
      <c r="F2932">
        <v>0</v>
      </c>
      <c r="G2932">
        <v>64</v>
      </c>
      <c r="H2932" s="4">
        <v>1570536993119</v>
      </c>
      <c r="I2932">
        <v>526.6875</v>
      </c>
      <c r="J2932" s="9">
        <f t="shared" si="45"/>
        <v>43746.803161099531</v>
      </c>
      <c r="K2932" s="1"/>
    </row>
    <row r="2933" spans="1:11" x14ac:dyDescent="0.25">
      <c r="A2933" t="e">
        <f>-LqfIBvIBApSalOQYv25</f>
        <v>#NAME?</v>
      </c>
      <c r="B2933">
        <v>393.75</v>
      </c>
      <c r="C2933">
        <v>20.584240000000001</v>
      </c>
      <c r="D2933">
        <v>63</v>
      </c>
      <c r="E2933">
        <v>0</v>
      </c>
      <c r="F2933">
        <v>0</v>
      </c>
      <c r="G2933">
        <v>71</v>
      </c>
      <c r="H2933" s="4">
        <v>1570536999299</v>
      </c>
      <c r="I2933">
        <v>526.6875</v>
      </c>
      <c r="J2933" s="9">
        <f t="shared" si="45"/>
        <v>43746.803232627317</v>
      </c>
      <c r="K2933" s="1"/>
    </row>
    <row r="2934" spans="1:11" x14ac:dyDescent="0.25">
      <c r="A2934" t="e">
        <f>-LqfIDdG9SJZNGClTYSP</f>
        <v>#NAME?</v>
      </c>
      <c r="B2934">
        <v>393.75</v>
      </c>
      <c r="C2934">
        <v>20.584240000000001</v>
      </c>
      <c r="D2934">
        <v>62</v>
      </c>
      <c r="E2934">
        <v>0</v>
      </c>
      <c r="F2934">
        <v>0</v>
      </c>
      <c r="G2934">
        <v>64</v>
      </c>
      <c r="H2934" s="4">
        <v>1570537006490</v>
      </c>
      <c r="I2934">
        <v>526.6875</v>
      </c>
      <c r="J2934" s="9">
        <f t="shared" si="45"/>
        <v>43746.803315856479</v>
      </c>
      <c r="K2934" s="1"/>
    </row>
    <row r="2935" spans="1:11" x14ac:dyDescent="0.25">
      <c r="A2935" t="e">
        <f>-LqfIFCkHA7Suyhsqomb</f>
        <v>#NAME?</v>
      </c>
      <c r="B2935">
        <v>393.75</v>
      </c>
      <c r="C2935">
        <v>20.584240000000001</v>
      </c>
      <c r="D2935">
        <v>62</v>
      </c>
      <c r="E2935">
        <v>0</v>
      </c>
      <c r="F2935">
        <v>0</v>
      </c>
      <c r="G2935">
        <v>63</v>
      </c>
      <c r="H2935" s="4">
        <v>1570537012688</v>
      </c>
      <c r="I2935">
        <v>526.6875</v>
      </c>
      <c r="J2935" s="9">
        <f t="shared" si="45"/>
        <v>43746.80338759259</v>
      </c>
      <c r="K2935" s="1"/>
    </row>
    <row r="2936" spans="1:11" x14ac:dyDescent="0.25">
      <c r="A2936" t="e">
        <f>-LqfIGt4k6BfVEtMRArz</f>
        <v>#NAME?</v>
      </c>
      <c r="B2936">
        <v>393.75</v>
      </c>
      <c r="C2936">
        <v>20.584240000000001</v>
      </c>
      <c r="D2936">
        <v>64</v>
      </c>
      <c r="E2936">
        <v>0</v>
      </c>
      <c r="F2936">
        <v>0</v>
      </c>
      <c r="G2936">
        <v>57</v>
      </c>
      <c r="H2936" s="4">
        <v>1570537019908</v>
      </c>
      <c r="I2936">
        <v>526.6875</v>
      </c>
      <c r="J2936" s="9">
        <f t="shared" si="45"/>
        <v>43746.803471157407</v>
      </c>
      <c r="K2936" s="1"/>
    </row>
    <row r="2937" spans="1:11" x14ac:dyDescent="0.25">
      <c r="A2937" t="e">
        <f>-LqfIIiR_RbUFQNCqvBk</f>
        <v>#NAME?</v>
      </c>
      <c r="B2937">
        <v>393.75</v>
      </c>
      <c r="C2937">
        <v>20.584240000000001</v>
      </c>
      <c r="D2937">
        <v>64</v>
      </c>
      <c r="E2937">
        <v>0</v>
      </c>
      <c r="F2937">
        <v>0</v>
      </c>
      <c r="G2937">
        <v>62</v>
      </c>
      <c r="H2937" s="4">
        <v>1570537027119</v>
      </c>
      <c r="I2937">
        <v>526.6875</v>
      </c>
      <c r="J2937" s="9">
        <f t="shared" si="45"/>
        <v>43746.803554618054</v>
      </c>
      <c r="K2937" s="1"/>
    </row>
    <row r="2938" spans="1:11" x14ac:dyDescent="0.25">
      <c r="A2938" t="e">
        <f>-LqfIKRI2myOFq2CCkDK</f>
        <v>#NAME?</v>
      </c>
      <c r="B2938">
        <v>393.75</v>
      </c>
      <c r="C2938">
        <v>20.584240000000001</v>
      </c>
      <c r="D2938">
        <v>63</v>
      </c>
      <c r="E2938">
        <v>0</v>
      </c>
      <c r="F2938">
        <v>0</v>
      </c>
      <c r="G2938">
        <v>68</v>
      </c>
      <c r="H2938" s="4">
        <v>1570537034329</v>
      </c>
      <c r="I2938">
        <v>526.5</v>
      </c>
      <c r="J2938" s="9">
        <f t="shared" si="45"/>
        <v>43746.803638067126</v>
      </c>
      <c r="K2938" s="1"/>
    </row>
    <row r="2939" spans="1:11" x14ac:dyDescent="0.25">
      <c r="A2939" t="e">
        <f>-LqfIMEGvlAxE4sjeMdF</f>
        <v>#NAME?</v>
      </c>
      <c r="B2939">
        <v>393.75</v>
      </c>
      <c r="C2939">
        <v>20.584240000000001</v>
      </c>
      <c r="D2939">
        <v>62</v>
      </c>
      <c r="E2939">
        <v>0</v>
      </c>
      <c r="F2939">
        <v>0</v>
      </c>
      <c r="G2939">
        <v>64</v>
      </c>
      <c r="H2939" s="4">
        <v>1570537041550</v>
      </c>
      <c r="I2939">
        <v>526.6875</v>
      </c>
      <c r="J2939" s="9">
        <f t="shared" si="45"/>
        <v>43746.803721643511</v>
      </c>
      <c r="K2939" s="1"/>
    </row>
    <row r="2940" spans="1:11" x14ac:dyDescent="0.25">
      <c r="A2940" t="e">
        <f>-LqfIO6HtYBre8hG5BpA</f>
        <v>#NAME?</v>
      </c>
      <c r="B2940">
        <v>393.75</v>
      </c>
      <c r="C2940">
        <v>20.584240000000001</v>
      </c>
      <c r="D2940">
        <v>63</v>
      </c>
      <c r="E2940">
        <v>0</v>
      </c>
      <c r="F2940">
        <v>0</v>
      </c>
      <c r="G2940">
        <v>68</v>
      </c>
      <c r="H2940" s="4">
        <v>1570537049395</v>
      </c>
      <c r="I2940">
        <v>526.6875</v>
      </c>
      <c r="J2940" s="9">
        <f t="shared" si="45"/>
        <v>43746.803812442122</v>
      </c>
      <c r="K2940" s="1"/>
    </row>
    <row r="2941" spans="1:11" x14ac:dyDescent="0.25">
      <c r="A2941" t="e">
        <f>-LqfIPkHz6Lfb9445cbg</f>
        <v>#NAME?</v>
      </c>
      <c r="B2941">
        <v>393.75</v>
      </c>
      <c r="C2941">
        <v>20.584240000000001</v>
      </c>
      <c r="D2941">
        <v>63</v>
      </c>
      <c r="E2941">
        <v>0</v>
      </c>
      <c r="F2941">
        <v>0</v>
      </c>
      <c r="G2941">
        <v>69</v>
      </c>
      <c r="H2941" s="4">
        <v>1570537055970</v>
      </c>
      <c r="I2941">
        <v>526.6875</v>
      </c>
      <c r="J2941" s="9">
        <f t="shared" si="45"/>
        <v>43746.803888541668</v>
      </c>
      <c r="K2941" s="1"/>
    </row>
    <row r="2942" spans="1:11" x14ac:dyDescent="0.25">
      <c r="A2942" t="e">
        <f>-LqfIRTH_8v3vR9gt9L1</f>
        <v>#NAME?</v>
      </c>
      <c r="B2942">
        <v>393.75</v>
      </c>
      <c r="C2942">
        <v>20.584240000000001</v>
      </c>
      <c r="D2942">
        <v>63</v>
      </c>
      <c r="E2942">
        <v>0</v>
      </c>
      <c r="F2942">
        <v>0</v>
      </c>
      <c r="G2942">
        <v>62</v>
      </c>
      <c r="H2942" s="4">
        <v>1570537063199</v>
      </c>
      <c r="I2942">
        <v>526.6875</v>
      </c>
      <c r="J2942" s="9">
        <f t="shared" si="45"/>
        <v>43746.80397221064</v>
      </c>
      <c r="K2942" s="1"/>
    </row>
    <row r="2943" spans="1:11" x14ac:dyDescent="0.25">
      <c r="A2943" t="e">
        <f>-LqfIT1IhW8SU8BfjCPp</f>
        <v>#NAME?</v>
      </c>
      <c r="B2943">
        <v>393.75</v>
      </c>
      <c r="C2943">
        <v>20.584240000000001</v>
      </c>
      <c r="D2943">
        <v>65</v>
      </c>
      <c r="E2943">
        <v>0</v>
      </c>
      <c r="F2943">
        <v>0</v>
      </c>
      <c r="G2943">
        <v>62</v>
      </c>
      <c r="H2943" s="4">
        <v>1570537069369</v>
      </c>
      <c r="I2943">
        <v>526.6875</v>
      </c>
      <c r="J2943" s="9">
        <f t="shared" si="45"/>
        <v>43746.80404362268</v>
      </c>
      <c r="K2943" s="1"/>
    </row>
    <row r="2944" spans="1:11" x14ac:dyDescent="0.25">
      <c r="A2944" t="e">
        <f>-LqfIUi6kMv0GMO-iTPB</f>
        <v>#NAME?</v>
      </c>
      <c r="B2944">
        <v>393.75</v>
      </c>
      <c r="C2944">
        <v>20.584240000000001</v>
      </c>
      <c r="D2944">
        <v>66</v>
      </c>
      <c r="E2944">
        <v>0</v>
      </c>
      <c r="F2944">
        <v>0</v>
      </c>
      <c r="G2944">
        <v>66</v>
      </c>
      <c r="H2944" s="4">
        <v>1570537076572</v>
      </c>
      <c r="I2944">
        <v>526.6875</v>
      </c>
      <c r="J2944" s="9">
        <f t="shared" si="45"/>
        <v>43746.804126990733</v>
      </c>
      <c r="K2944" s="1"/>
    </row>
    <row r="2945" spans="1:11" x14ac:dyDescent="0.25">
      <c r="A2945" t="e">
        <f>-LqfIWJ7BxQCC_Z2FIIx</f>
        <v>#NAME?</v>
      </c>
      <c r="B2945">
        <v>393.75</v>
      </c>
      <c r="C2945">
        <v>20.584240000000001</v>
      </c>
      <c r="D2945">
        <v>65</v>
      </c>
      <c r="E2945">
        <v>0</v>
      </c>
      <c r="F2945">
        <v>0</v>
      </c>
      <c r="G2945">
        <v>63</v>
      </c>
      <c r="H2945" s="4">
        <v>1570537082758</v>
      </c>
      <c r="I2945">
        <v>526.6875</v>
      </c>
      <c r="J2945" s="9">
        <f t="shared" si="45"/>
        <v>43746.804198587961</v>
      </c>
      <c r="K2945" s="1"/>
    </row>
    <row r="2946" spans="1:11" x14ac:dyDescent="0.25">
      <c r="A2946" t="e">
        <f>-LqfIY1RcMJj8bU61lTr</f>
        <v>#NAME?</v>
      </c>
      <c r="B2946">
        <v>393.75</v>
      </c>
      <c r="C2946">
        <v>20.584240000000001</v>
      </c>
      <c r="D2946">
        <v>64</v>
      </c>
      <c r="E2946">
        <v>0</v>
      </c>
      <c r="F2946">
        <v>0</v>
      </c>
      <c r="G2946">
        <v>69</v>
      </c>
      <c r="H2946" s="4">
        <v>1570537089969</v>
      </c>
      <c r="I2946">
        <v>526.6875</v>
      </c>
      <c r="J2946" s="9">
        <f t="shared" si="45"/>
        <v>43746.804282048608</v>
      </c>
      <c r="K2946" s="1"/>
    </row>
    <row r="2947" spans="1:11" x14ac:dyDescent="0.25">
      <c r="A2947" t="e">
        <f>-LqfIZpIaR3xJchAEls3</f>
        <v>#NAME?</v>
      </c>
      <c r="B2947">
        <v>393.75</v>
      </c>
      <c r="C2947">
        <v>20.584240000000001</v>
      </c>
      <c r="D2947">
        <v>64</v>
      </c>
      <c r="E2947">
        <v>0</v>
      </c>
      <c r="F2947">
        <v>0</v>
      </c>
      <c r="G2947">
        <v>67</v>
      </c>
      <c r="H2947" s="4">
        <v>1570537097189</v>
      </c>
      <c r="I2947">
        <v>526.6875</v>
      </c>
      <c r="J2947" s="9">
        <f t="shared" ref="J2947:J3010" si="46">(H2947/86400000)+25569+(7/24)</f>
        <v>43746.804365613425</v>
      </c>
      <c r="K2947" s="1"/>
    </row>
    <row r="2948" spans="1:11" x14ac:dyDescent="0.25">
      <c r="A2948" t="e">
        <f>-LqfIaYHAu-_vWWQ_Lw2</f>
        <v>#NAME?</v>
      </c>
      <c r="B2948">
        <v>412.5</v>
      </c>
      <c r="C2948">
        <v>20.531590000000001</v>
      </c>
      <c r="D2948">
        <v>64</v>
      </c>
      <c r="E2948">
        <v>0</v>
      </c>
      <c r="F2948">
        <v>0</v>
      </c>
      <c r="G2948">
        <v>66</v>
      </c>
      <c r="H2948" s="4">
        <v>1570537104491</v>
      </c>
      <c r="I2948">
        <v>532.5</v>
      </c>
      <c r="J2948" s="9">
        <f t="shared" si="46"/>
        <v>43746.804450127311</v>
      </c>
      <c r="K2948" s="1"/>
    </row>
    <row r="2949" spans="1:11" x14ac:dyDescent="0.25">
      <c r="A2949" t="e">
        <f>-LqfIcLFNNI_B16oMY4M</f>
        <v>#NAME?</v>
      </c>
      <c r="B2949">
        <v>393.75</v>
      </c>
      <c r="C2949">
        <v>20.584240000000001</v>
      </c>
      <c r="D2949">
        <v>63</v>
      </c>
      <c r="E2949">
        <v>0</v>
      </c>
      <c r="F2949">
        <v>0</v>
      </c>
      <c r="G2949">
        <v>64</v>
      </c>
      <c r="H2949" s="4">
        <v>1570537111609</v>
      </c>
      <c r="I2949">
        <v>526.6875</v>
      </c>
      <c r="J2949" s="9">
        <f t="shared" si="46"/>
        <v>43746.804532511575</v>
      </c>
      <c r="K2949" s="1"/>
    </row>
    <row r="2950" spans="1:11" x14ac:dyDescent="0.25">
      <c r="A2950" t="e">
        <f>-LqfIe3I9DhsfZxoIPpQ</f>
        <v>#NAME?</v>
      </c>
      <c r="B2950">
        <v>393.75</v>
      </c>
      <c r="C2950">
        <v>20.584240000000001</v>
      </c>
      <c r="D2950">
        <v>64</v>
      </c>
      <c r="E2950">
        <v>0</v>
      </c>
      <c r="F2950">
        <v>0</v>
      </c>
      <c r="G2950">
        <v>61</v>
      </c>
      <c r="H2950" s="4">
        <v>1570537118808</v>
      </c>
      <c r="I2950">
        <v>526.6875</v>
      </c>
      <c r="J2950" s="9">
        <f t="shared" si="46"/>
        <v>43746.804615833331</v>
      </c>
      <c r="K2950" s="1"/>
    </row>
    <row r="2951" spans="1:11" x14ac:dyDescent="0.25">
      <c r="A2951" t="e">
        <f>-LqfIfrHCInAtuF8A54D</f>
        <v>#NAME?</v>
      </c>
      <c r="B2951">
        <v>393.75</v>
      </c>
      <c r="C2951">
        <v>20.584240000000001</v>
      </c>
      <c r="D2951">
        <v>64</v>
      </c>
      <c r="E2951">
        <v>0</v>
      </c>
      <c r="F2951">
        <v>0</v>
      </c>
      <c r="G2951">
        <v>66</v>
      </c>
      <c r="H2951" s="4">
        <v>1570537126039</v>
      </c>
      <c r="I2951">
        <v>526.5</v>
      </c>
      <c r="J2951" s="9">
        <f t="shared" si="46"/>
        <v>43746.804699525463</v>
      </c>
      <c r="K2951" s="1"/>
    </row>
    <row r="2952" spans="1:11" x14ac:dyDescent="0.25">
      <c r="A2952" t="e">
        <f>-LqfIhtFDDmSt6KQ0jDK</f>
        <v>#NAME?</v>
      </c>
      <c r="B2952">
        <v>393.75</v>
      </c>
      <c r="C2952">
        <v>20.584240000000001</v>
      </c>
      <c r="D2952">
        <v>60</v>
      </c>
      <c r="E2952">
        <v>0</v>
      </c>
      <c r="F2952">
        <v>0</v>
      </c>
      <c r="G2952">
        <v>62</v>
      </c>
      <c r="H2952" s="4">
        <v>1570537134263</v>
      </c>
      <c r="I2952">
        <v>526.6875</v>
      </c>
      <c r="J2952" s="9">
        <f t="shared" si="46"/>
        <v>43746.804794710646</v>
      </c>
      <c r="K2952" s="1"/>
    </row>
    <row r="2953" spans="1:11" x14ac:dyDescent="0.25">
      <c r="A2953" t="e">
        <f>-LqfIjb9xQfMYXDyVv1M</f>
        <v>#NAME?</v>
      </c>
      <c r="B2953">
        <v>393.75</v>
      </c>
      <c r="C2953">
        <v>20.584240000000001</v>
      </c>
      <c r="D2953">
        <v>61</v>
      </c>
      <c r="E2953">
        <v>0</v>
      </c>
      <c r="F2953">
        <v>0</v>
      </c>
      <c r="G2953">
        <v>64</v>
      </c>
      <c r="H2953" s="4">
        <v>1570537141530</v>
      </c>
      <c r="I2953">
        <v>526.6875</v>
      </c>
      <c r="J2953" s="9">
        <f t="shared" si="46"/>
        <v>43746.804878819443</v>
      </c>
      <c r="K2953" s="1"/>
    </row>
    <row r="2954" spans="1:11" x14ac:dyDescent="0.25">
      <c r="A2954" t="e">
        <f>-LqfIl57YpKAXx8YPyHB</f>
        <v>#NAME?</v>
      </c>
      <c r="B2954">
        <v>393.75</v>
      </c>
      <c r="C2954">
        <v>20.531590000000001</v>
      </c>
      <c r="D2954">
        <v>62</v>
      </c>
      <c r="E2954">
        <v>0</v>
      </c>
      <c r="F2954">
        <v>0</v>
      </c>
      <c r="G2954">
        <v>68</v>
      </c>
      <c r="H2954" s="4">
        <v>1570537147678</v>
      </c>
      <c r="I2954">
        <v>526.6875</v>
      </c>
      <c r="J2954" s="9">
        <f t="shared" si="46"/>
        <v>43746.804949976846</v>
      </c>
      <c r="K2954" s="1"/>
    </row>
    <row r="2955" spans="1:11" x14ac:dyDescent="0.25">
      <c r="A2955" t="e">
        <f>-LqfIme7CWwgCzqDjnrC</f>
        <v>#NAME?</v>
      </c>
      <c r="B2955">
        <v>428.125</v>
      </c>
      <c r="C2955">
        <v>20.584240000000001</v>
      </c>
      <c r="D2955">
        <v>61</v>
      </c>
      <c r="E2955">
        <v>0</v>
      </c>
      <c r="F2955">
        <v>0</v>
      </c>
      <c r="G2955">
        <v>68</v>
      </c>
      <c r="H2955" s="4">
        <v>1570537153860</v>
      </c>
      <c r="I2955">
        <v>537.9375</v>
      </c>
      <c r="J2955" s="9">
        <f t="shared" si="46"/>
        <v>43746.805021527776</v>
      </c>
      <c r="K2955" s="1"/>
    </row>
    <row r="2956" spans="1:11" x14ac:dyDescent="0.25">
      <c r="A2956" t="e">
        <f>-LqfIoN8io4bs3tk9MiX</f>
        <v>#NAME?</v>
      </c>
      <c r="B2956">
        <v>393.75</v>
      </c>
      <c r="C2956">
        <v>20.584240000000001</v>
      </c>
      <c r="D2956">
        <v>61</v>
      </c>
      <c r="E2956">
        <v>0</v>
      </c>
      <c r="F2956">
        <v>0</v>
      </c>
      <c r="G2956">
        <v>59</v>
      </c>
      <c r="H2956" s="4">
        <v>1570537161050</v>
      </c>
      <c r="I2956">
        <v>526.875</v>
      </c>
      <c r="J2956" s="9">
        <f t="shared" si="46"/>
        <v>43746.80510474537</v>
      </c>
      <c r="K2956" s="1"/>
    </row>
    <row r="2957" spans="1:11" x14ac:dyDescent="0.25">
      <c r="A2957" t="e">
        <f>-LqfIpwIVFQszpasylHK</f>
        <v>#NAME?</v>
      </c>
      <c r="B2957">
        <v>393.75</v>
      </c>
      <c r="C2957">
        <v>20.584240000000001</v>
      </c>
      <c r="D2957">
        <v>61</v>
      </c>
      <c r="E2957">
        <v>0</v>
      </c>
      <c r="F2957">
        <v>0</v>
      </c>
      <c r="G2957">
        <v>62</v>
      </c>
      <c r="H2957" s="4">
        <v>1570537167258</v>
      </c>
      <c r="I2957">
        <v>526.5</v>
      </c>
      <c r="J2957" s="9">
        <f t="shared" si="46"/>
        <v>43746.80517659722</v>
      </c>
      <c r="K2957" s="1"/>
    </row>
    <row r="2958" spans="1:11" x14ac:dyDescent="0.25">
      <c r="A2958" t="e">
        <f>-LqfIreJSagL6v0lckTU</f>
        <v>#NAME?</v>
      </c>
      <c r="B2958">
        <v>393.75</v>
      </c>
      <c r="C2958">
        <v>20.584240000000001</v>
      </c>
      <c r="D2958">
        <v>61</v>
      </c>
      <c r="E2958">
        <v>0</v>
      </c>
      <c r="F2958">
        <v>0</v>
      </c>
      <c r="G2958">
        <v>67</v>
      </c>
      <c r="H2958" s="4">
        <v>1570537174489</v>
      </c>
      <c r="I2958">
        <v>526.6875</v>
      </c>
      <c r="J2958" s="9">
        <f t="shared" si="46"/>
        <v>43746.805260289351</v>
      </c>
      <c r="K2958" s="1"/>
    </row>
    <row r="2959" spans="1:11" x14ac:dyDescent="0.25">
      <c r="A2959" t="e">
        <f>-LqfItS7FX3Mu3cTqZ30</f>
        <v>#NAME?</v>
      </c>
      <c r="B2959">
        <v>393.75</v>
      </c>
      <c r="C2959">
        <v>20.584240000000001</v>
      </c>
      <c r="D2959">
        <v>60</v>
      </c>
      <c r="E2959">
        <v>0</v>
      </c>
      <c r="F2959">
        <v>0</v>
      </c>
      <c r="G2959">
        <v>62</v>
      </c>
      <c r="H2959" s="4">
        <v>1570537181682</v>
      </c>
      <c r="I2959">
        <v>526.6875</v>
      </c>
      <c r="J2959" s="9">
        <f t="shared" si="46"/>
        <v>43746.805343541666</v>
      </c>
      <c r="K2959" s="1"/>
    </row>
    <row r="2960" spans="1:11" x14ac:dyDescent="0.25">
      <c r="A2960" t="e">
        <f>-LqfIvZHof19Z4wFvGCF</f>
        <v>#NAME?</v>
      </c>
      <c r="B2960">
        <v>393.75</v>
      </c>
      <c r="C2960">
        <v>20.584240000000001</v>
      </c>
      <c r="D2960">
        <v>60</v>
      </c>
      <c r="E2960">
        <v>0</v>
      </c>
      <c r="F2960">
        <v>0</v>
      </c>
      <c r="G2960">
        <v>69</v>
      </c>
      <c r="H2960" s="4">
        <v>1570537190441</v>
      </c>
      <c r="I2960">
        <v>526.5</v>
      </c>
      <c r="J2960" s="9">
        <f t="shared" si="46"/>
        <v>43746.80544491898</v>
      </c>
      <c r="K2960" s="1"/>
    </row>
    <row r="2961" spans="1:11" x14ac:dyDescent="0.25">
      <c r="A2961" t="e">
        <f>-LqfIxCGb1R9ytxr8dJu</f>
        <v>#NAME?</v>
      </c>
      <c r="B2961">
        <v>393.75</v>
      </c>
      <c r="C2961">
        <v>20.584240000000001</v>
      </c>
      <c r="D2961">
        <v>60</v>
      </c>
      <c r="E2961">
        <v>0</v>
      </c>
      <c r="F2961">
        <v>0</v>
      </c>
      <c r="G2961">
        <v>64</v>
      </c>
      <c r="H2961" s="4">
        <v>1570537197137</v>
      </c>
      <c r="I2961">
        <v>526.6875</v>
      </c>
      <c r="J2961" s="9">
        <f t="shared" si="46"/>
        <v>43746.805522418981</v>
      </c>
      <c r="K2961" s="1"/>
    </row>
    <row r="2962" spans="1:11" x14ac:dyDescent="0.25">
      <c r="A2962" t="e">
        <f>-LqfIz-QdLsU8fyEt1TU</f>
        <v>#NAME?</v>
      </c>
      <c r="B2962">
        <v>393.75</v>
      </c>
      <c r="C2962">
        <v>20.584240000000001</v>
      </c>
      <c r="D2962">
        <v>62</v>
      </c>
      <c r="E2962">
        <v>0</v>
      </c>
      <c r="F2962">
        <v>0</v>
      </c>
      <c r="G2962">
        <v>73</v>
      </c>
      <c r="H2962" s="4">
        <v>1570537204347</v>
      </c>
      <c r="I2962">
        <v>526.6875</v>
      </c>
      <c r="J2962" s="9">
        <f t="shared" si="46"/>
        <v>43746.805605868052</v>
      </c>
      <c r="K2962" s="1"/>
    </row>
    <row r="2963" spans="1:11" x14ac:dyDescent="0.25">
      <c r="A2963" t="e">
        <f>-LqfJ-iEsEXerwRHvzVP</f>
        <v>#NAME?</v>
      </c>
      <c r="B2963">
        <v>393.75</v>
      </c>
      <c r="C2963">
        <v>20.584240000000001</v>
      </c>
      <c r="D2963">
        <v>62</v>
      </c>
      <c r="E2963">
        <v>0</v>
      </c>
      <c r="F2963">
        <v>0</v>
      </c>
      <c r="G2963">
        <v>61</v>
      </c>
      <c r="H2963" s="4">
        <v>1570537211566</v>
      </c>
      <c r="I2963">
        <v>526.5</v>
      </c>
      <c r="J2963" s="9">
        <f t="shared" si="46"/>
        <v>43746.805689421293</v>
      </c>
      <c r="K2963" s="1"/>
    </row>
    <row r="2964" spans="1:11" x14ac:dyDescent="0.25">
      <c r="A2964" t="e">
        <f>-LqfJ1WFghRrHZxWv2qO</f>
        <v>#NAME?</v>
      </c>
      <c r="B2964">
        <v>393.75</v>
      </c>
      <c r="C2964">
        <v>20.584240000000001</v>
      </c>
      <c r="D2964">
        <v>62</v>
      </c>
      <c r="E2964">
        <v>0</v>
      </c>
      <c r="F2964">
        <v>0</v>
      </c>
      <c r="G2964">
        <v>70</v>
      </c>
      <c r="H2964" s="4">
        <v>1570537219029</v>
      </c>
      <c r="I2964">
        <v>526.6875</v>
      </c>
      <c r="J2964" s="9">
        <f t="shared" si="46"/>
        <v>43746.80577579861</v>
      </c>
      <c r="K2964" s="1"/>
    </row>
    <row r="2965" spans="1:11" x14ac:dyDescent="0.25">
      <c r="A2965" t="s">
        <v>158</v>
      </c>
      <c r="B2965">
        <v>393.75</v>
      </c>
      <c r="C2965">
        <v>20.584240000000001</v>
      </c>
      <c r="D2965">
        <v>63</v>
      </c>
      <c r="E2965">
        <v>0</v>
      </c>
      <c r="F2965">
        <v>0</v>
      </c>
      <c r="G2965">
        <v>58</v>
      </c>
      <c r="H2965" s="4">
        <v>1570537226015</v>
      </c>
      <c r="I2965">
        <v>526.6875</v>
      </c>
      <c r="J2965" s="9">
        <f t="shared" si="46"/>
        <v>43746.80585665509</v>
      </c>
      <c r="K2965" s="1"/>
    </row>
    <row r="2966" spans="1:11" x14ac:dyDescent="0.25">
      <c r="A2966" t="e">
        <f>-LqfJ4x_o0PmgBEIN0jv</f>
        <v>#NAME?</v>
      </c>
      <c r="B2966">
        <v>393.75</v>
      </c>
      <c r="C2966">
        <v>20.584240000000001</v>
      </c>
      <c r="D2966">
        <v>63</v>
      </c>
      <c r="E2966">
        <v>0</v>
      </c>
      <c r="F2966">
        <v>0</v>
      </c>
      <c r="G2966">
        <v>65</v>
      </c>
      <c r="H2966" s="4">
        <v>1570537233207</v>
      </c>
      <c r="I2966">
        <v>526.6875</v>
      </c>
      <c r="J2966" s="9">
        <f t="shared" si="46"/>
        <v>43746.805939895836</v>
      </c>
      <c r="K2966" s="1"/>
    </row>
    <row r="2967" spans="1:11" x14ac:dyDescent="0.25">
      <c r="A2967" t="e">
        <f>-LqfJ6WIsTR4-LhnLV81</f>
        <v>#NAME?</v>
      </c>
      <c r="B2967">
        <v>412.5</v>
      </c>
      <c r="C2967">
        <v>20.584240000000001</v>
      </c>
      <c r="D2967">
        <v>63</v>
      </c>
      <c r="E2967">
        <v>0</v>
      </c>
      <c r="F2967">
        <v>0</v>
      </c>
      <c r="G2967">
        <v>61</v>
      </c>
      <c r="H2967" s="4">
        <v>1570537239387</v>
      </c>
      <c r="I2967">
        <v>532.6875</v>
      </c>
      <c r="J2967" s="9">
        <f t="shared" si="46"/>
        <v>43746.806011423607</v>
      </c>
      <c r="K2967" s="1"/>
    </row>
    <row r="2968" spans="1:11" x14ac:dyDescent="0.25">
      <c r="A2968" t="e">
        <f>-LqfJ8JGpaVJg0ZXohOI</f>
        <v>#NAME?</v>
      </c>
      <c r="B2968">
        <v>393.75</v>
      </c>
      <c r="C2968">
        <v>20.584240000000001</v>
      </c>
      <c r="D2968">
        <v>63</v>
      </c>
      <c r="E2968">
        <v>0</v>
      </c>
      <c r="F2968">
        <v>0</v>
      </c>
      <c r="G2968">
        <v>67</v>
      </c>
      <c r="H2968" s="4">
        <v>1570537246597</v>
      </c>
      <c r="I2968">
        <v>526.6875</v>
      </c>
      <c r="J2968" s="9">
        <f t="shared" si="46"/>
        <v>43746.806094872685</v>
      </c>
      <c r="K2968" s="1"/>
    </row>
    <row r="2969" spans="1:11" x14ac:dyDescent="0.25">
      <c r="A2969" t="s">
        <v>159</v>
      </c>
      <c r="B2969">
        <v>393.75</v>
      </c>
      <c r="C2969">
        <v>20.584240000000001</v>
      </c>
      <c r="D2969">
        <v>63</v>
      </c>
      <c r="E2969">
        <v>0</v>
      </c>
      <c r="F2969">
        <v>0</v>
      </c>
      <c r="G2969">
        <v>72</v>
      </c>
      <c r="H2969" s="4">
        <v>1570537253857</v>
      </c>
      <c r="I2969">
        <v>526.6875</v>
      </c>
      <c r="J2969" s="9">
        <f t="shared" si="46"/>
        <v>43746.806178900464</v>
      </c>
      <c r="K2969" s="1"/>
    </row>
    <row r="2970" spans="1:11" x14ac:dyDescent="0.25">
      <c r="A2970" t="e">
        <f>-LqfJBpF3MgerYNjBfSd</f>
        <v>#NAME?</v>
      </c>
      <c r="B2970">
        <v>393.75</v>
      </c>
      <c r="C2970">
        <v>20.531590000000001</v>
      </c>
      <c r="D2970">
        <v>64</v>
      </c>
      <c r="E2970">
        <v>0</v>
      </c>
      <c r="F2970">
        <v>0</v>
      </c>
      <c r="G2970">
        <v>72</v>
      </c>
      <c r="H2970" s="4">
        <v>1570537261027</v>
      </c>
      <c r="I2970">
        <v>526.6875</v>
      </c>
      <c r="J2970" s="9">
        <f t="shared" si="46"/>
        <v>43746.806261886573</v>
      </c>
      <c r="K2970" s="1"/>
    </row>
    <row r="2971" spans="1:11" x14ac:dyDescent="0.25">
      <c r="A2971" t="e">
        <f>-LqfJDoA3L9awjhvGTlv</f>
        <v>#NAME?</v>
      </c>
      <c r="B2971">
        <v>393.75</v>
      </c>
      <c r="C2971">
        <v>20.584240000000001</v>
      </c>
      <c r="D2971">
        <v>64</v>
      </c>
      <c r="E2971">
        <v>0</v>
      </c>
      <c r="F2971">
        <v>0</v>
      </c>
      <c r="G2971">
        <v>64</v>
      </c>
      <c r="H2971" s="4">
        <v>1570537268249</v>
      </c>
      <c r="I2971">
        <v>526.6875</v>
      </c>
      <c r="J2971" s="9">
        <f t="shared" si="46"/>
        <v>43746.806345474535</v>
      </c>
      <c r="K2971" s="1"/>
    </row>
    <row r="2972" spans="1:11" x14ac:dyDescent="0.25">
      <c r="A2972" t="e">
        <f>-LqfJFLPODEe0Pz7iYRd</f>
        <v>#NAME?</v>
      </c>
      <c r="B2972">
        <v>393.75</v>
      </c>
      <c r="C2972">
        <v>20.584240000000001</v>
      </c>
      <c r="D2972">
        <v>64</v>
      </c>
      <c r="E2972">
        <v>0</v>
      </c>
      <c r="F2972">
        <v>0</v>
      </c>
      <c r="G2972">
        <v>76</v>
      </c>
      <c r="H2972" s="4">
        <v>1570537275449</v>
      </c>
      <c r="I2972">
        <v>526.6875</v>
      </c>
      <c r="J2972" s="9">
        <f t="shared" si="46"/>
        <v>43746.806428807868</v>
      </c>
      <c r="K2972" s="1"/>
    </row>
    <row r="2973" spans="1:11" x14ac:dyDescent="0.25">
      <c r="A2973" t="e">
        <f>-LqfJH0ksrcFWvUxJW8V</f>
        <v>#NAME?</v>
      </c>
      <c r="B2973">
        <v>393.75</v>
      </c>
      <c r="C2973">
        <v>20.584240000000001</v>
      </c>
      <c r="D2973">
        <v>64</v>
      </c>
      <c r="E2973">
        <v>0</v>
      </c>
      <c r="F2973">
        <v>0</v>
      </c>
      <c r="G2973">
        <v>69</v>
      </c>
      <c r="H2973" s="4">
        <v>1570537282648</v>
      </c>
      <c r="I2973">
        <v>526.6875</v>
      </c>
      <c r="J2973" s="9">
        <f t="shared" si="46"/>
        <v>43746.806512129631</v>
      </c>
      <c r="K2973" s="1"/>
    </row>
    <row r="2974" spans="1:11" x14ac:dyDescent="0.25">
      <c r="A2974" t="e">
        <f>-LqfJIcFzRDR5KYXGpPn</f>
        <v>#NAME?</v>
      </c>
      <c r="B2974">
        <v>393.75</v>
      </c>
      <c r="C2974">
        <v>20.584240000000001</v>
      </c>
      <c r="D2974">
        <v>64</v>
      </c>
      <c r="E2974">
        <v>0</v>
      </c>
      <c r="F2974">
        <v>0</v>
      </c>
      <c r="G2974">
        <v>62</v>
      </c>
      <c r="H2974" s="4">
        <v>1570537288848</v>
      </c>
      <c r="I2974">
        <v>526.5</v>
      </c>
      <c r="J2974" s="9">
        <f t="shared" si="46"/>
        <v>43746.806583888887</v>
      </c>
      <c r="K2974" s="1"/>
    </row>
    <row r="2975" spans="1:11" x14ac:dyDescent="0.25">
      <c r="A2975" t="e">
        <f>-LqfJKK8PsSAwCFYeWvp</f>
        <v>#NAME?</v>
      </c>
      <c r="B2975">
        <v>393.75</v>
      </c>
      <c r="C2975">
        <v>20.584240000000001</v>
      </c>
      <c r="D2975">
        <v>65</v>
      </c>
      <c r="E2975">
        <v>0</v>
      </c>
      <c r="F2975">
        <v>0</v>
      </c>
      <c r="G2975">
        <v>71</v>
      </c>
      <c r="H2975" s="4">
        <v>1570537296068</v>
      </c>
      <c r="I2975">
        <v>526.5</v>
      </c>
      <c r="J2975" s="9">
        <f t="shared" si="46"/>
        <v>43746.806667453704</v>
      </c>
      <c r="K2975" s="1"/>
    </row>
    <row r="2976" spans="1:11" x14ac:dyDescent="0.25">
      <c r="A2976" t="e">
        <f>-LqfJM89yxnqCwrWAvK9</f>
        <v>#NAME?</v>
      </c>
      <c r="B2976">
        <v>393.75</v>
      </c>
      <c r="C2976">
        <v>20.584240000000001</v>
      </c>
      <c r="D2976">
        <v>66</v>
      </c>
      <c r="E2976">
        <v>0</v>
      </c>
      <c r="F2976">
        <v>0</v>
      </c>
      <c r="G2976">
        <v>66</v>
      </c>
      <c r="H2976" s="4">
        <v>1570537303280</v>
      </c>
      <c r="I2976">
        <v>526.6875</v>
      </c>
      <c r="J2976" s="9">
        <f t="shared" si="46"/>
        <v>43746.80675092592</v>
      </c>
      <c r="K2976" s="1"/>
    </row>
    <row r="2977" spans="1:11" x14ac:dyDescent="0.25">
      <c r="A2977" t="e">
        <f>-LqfJNrO22SvY5kUySih</f>
        <v>#NAME?</v>
      </c>
      <c r="B2977">
        <v>425</v>
      </c>
      <c r="C2977">
        <v>20.584240000000001</v>
      </c>
      <c r="D2977">
        <v>66</v>
      </c>
      <c r="E2977">
        <v>0</v>
      </c>
      <c r="F2977">
        <v>0</v>
      </c>
      <c r="G2977">
        <v>61</v>
      </c>
      <c r="H2977" s="4">
        <v>1570537310488</v>
      </c>
      <c r="I2977">
        <v>536.25</v>
      </c>
      <c r="J2977" s="9">
        <f t="shared" si="46"/>
        <v>43746.806834351846</v>
      </c>
      <c r="K2977" s="1"/>
    </row>
    <row r="2978" spans="1:11" x14ac:dyDescent="0.25">
      <c r="A2978" t="e">
        <f>-LqfJPeED5RaZR-LJMge</f>
        <v>#NAME?</v>
      </c>
      <c r="B2978">
        <v>393.75</v>
      </c>
      <c r="C2978">
        <v>20.584240000000001</v>
      </c>
      <c r="D2978">
        <v>66</v>
      </c>
      <c r="E2978">
        <v>0</v>
      </c>
      <c r="F2978">
        <v>0</v>
      </c>
      <c r="G2978">
        <v>67</v>
      </c>
      <c r="H2978" s="4">
        <v>1570537317698</v>
      </c>
      <c r="I2978">
        <v>526.6875</v>
      </c>
      <c r="J2978" s="9">
        <f t="shared" si="46"/>
        <v>43746.806917800925</v>
      </c>
      <c r="K2978" s="1"/>
    </row>
    <row r="2979" spans="1:11" x14ac:dyDescent="0.25">
      <c r="A2979" t="e">
        <f>-LqfJRNg3zblUTHbGNep</f>
        <v>#NAME?</v>
      </c>
      <c r="B2979">
        <v>393.75</v>
      </c>
      <c r="C2979">
        <v>20.584240000000001</v>
      </c>
      <c r="D2979">
        <v>65</v>
      </c>
      <c r="E2979">
        <v>0</v>
      </c>
      <c r="F2979">
        <v>0</v>
      </c>
      <c r="G2979">
        <v>66</v>
      </c>
      <c r="H2979" s="4">
        <v>1570537324897</v>
      </c>
      <c r="I2979">
        <v>526.6875</v>
      </c>
      <c r="J2979" s="9">
        <f t="shared" si="46"/>
        <v>43746.807001122681</v>
      </c>
      <c r="K2979" s="1"/>
    </row>
    <row r="2980" spans="1:11" x14ac:dyDescent="0.25">
      <c r="A2980" t="e">
        <f>-LqfJSwFjKOeL8_M2Muz</f>
        <v>#NAME?</v>
      </c>
      <c r="B2980">
        <v>393.75</v>
      </c>
      <c r="C2980">
        <v>20.584240000000001</v>
      </c>
      <c r="D2980">
        <v>65</v>
      </c>
      <c r="E2980">
        <v>0</v>
      </c>
      <c r="F2980">
        <v>0</v>
      </c>
      <c r="G2980">
        <v>60</v>
      </c>
      <c r="H2980" s="4">
        <v>1570537331115</v>
      </c>
      <c r="I2980">
        <v>526.6875</v>
      </c>
      <c r="J2980" s="9">
        <f t="shared" si="46"/>
        <v>43746.807073090276</v>
      </c>
      <c r="K2980" s="1"/>
    </row>
    <row r="2981" spans="1:11" x14ac:dyDescent="0.25">
      <c r="A2981" t="e">
        <f>-LqfJUeNNW79R2n9BqNW</f>
        <v>#NAME?</v>
      </c>
      <c r="B2981">
        <v>393.75</v>
      </c>
      <c r="C2981">
        <v>20.531590000000001</v>
      </c>
      <c r="D2981">
        <v>66</v>
      </c>
      <c r="E2981">
        <v>0</v>
      </c>
      <c r="F2981">
        <v>0</v>
      </c>
      <c r="G2981">
        <v>73</v>
      </c>
      <c r="H2981" s="4">
        <v>1570537338327</v>
      </c>
      <c r="I2981">
        <v>526.6875</v>
      </c>
      <c r="J2981" s="9">
        <f t="shared" si="46"/>
        <v>43746.807156562492</v>
      </c>
      <c r="K2981" s="1"/>
    </row>
    <row r="2982" spans="1:11" x14ac:dyDescent="0.25">
      <c r="A2982" t="e">
        <f>-LqfJWSZuZM4h_0Ep8WD</f>
        <v>#NAME?</v>
      </c>
      <c r="B2982">
        <v>393.75</v>
      </c>
      <c r="C2982">
        <v>20.584240000000001</v>
      </c>
      <c r="D2982">
        <v>66</v>
      </c>
      <c r="E2982">
        <v>0</v>
      </c>
      <c r="F2982">
        <v>0</v>
      </c>
      <c r="G2982">
        <v>69</v>
      </c>
      <c r="H2982" s="4">
        <v>1570537345528</v>
      </c>
      <c r="I2982">
        <v>526.6875</v>
      </c>
      <c r="J2982" s="9">
        <f t="shared" si="46"/>
        <v>43746.807239907408</v>
      </c>
      <c r="K2982" s="1"/>
    </row>
    <row r="2983" spans="1:11" x14ac:dyDescent="0.25">
      <c r="A2983" t="e">
        <f>-LqfJYAPaS1Tz9DbuNBD</f>
        <v>#NAME?</v>
      </c>
      <c r="B2983">
        <v>393.75</v>
      </c>
      <c r="C2983">
        <v>20.584240000000001</v>
      </c>
      <c r="D2983">
        <v>65</v>
      </c>
      <c r="E2983">
        <v>0</v>
      </c>
      <c r="F2983">
        <v>0</v>
      </c>
      <c r="G2983">
        <v>60</v>
      </c>
      <c r="H2983" s="4">
        <v>1570537352728</v>
      </c>
      <c r="I2983">
        <v>526.6875</v>
      </c>
      <c r="J2983" s="9">
        <f t="shared" si="46"/>
        <v>43746.807323240741</v>
      </c>
      <c r="K2983" s="1"/>
    </row>
    <row r="2984" spans="1:11" x14ac:dyDescent="0.25">
      <c r="A2984" t="e">
        <f>-LqfJ_2D1oHRUhvKSg3B</f>
        <v>#NAME?</v>
      </c>
      <c r="B2984">
        <v>393.75</v>
      </c>
      <c r="C2984">
        <v>20.584240000000001</v>
      </c>
      <c r="D2984">
        <v>65</v>
      </c>
      <c r="E2984">
        <v>0</v>
      </c>
      <c r="F2984">
        <v>0</v>
      </c>
      <c r="G2984">
        <v>65</v>
      </c>
      <c r="H2984" s="4">
        <v>1570537360414</v>
      </c>
      <c r="I2984">
        <v>526.6875</v>
      </c>
      <c r="J2984" s="9">
        <f t="shared" si="46"/>
        <v>43746.807412199072</v>
      </c>
      <c r="K2984" s="1"/>
    </row>
    <row r="2985" spans="1:11" x14ac:dyDescent="0.25">
      <c r="A2985" t="e">
        <f>-LqfJagPmj99fybj-#REF!</f>
        <v>#NAME?</v>
      </c>
      <c r="B2985">
        <v>393.75</v>
      </c>
      <c r="C2985">
        <v>20.531590000000001</v>
      </c>
      <c r="D2985">
        <v>65</v>
      </c>
      <c r="E2985">
        <v>0</v>
      </c>
      <c r="F2985">
        <v>0</v>
      </c>
      <c r="G2985">
        <v>60</v>
      </c>
      <c r="H2985" s="4">
        <v>1570537367136</v>
      </c>
      <c r="I2985">
        <v>526.6875</v>
      </c>
      <c r="J2985" s="9">
        <f t="shared" si="46"/>
        <v>43746.807489999999</v>
      </c>
      <c r="K2985" s="1"/>
    </row>
    <row r="2986" spans="1:11" x14ac:dyDescent="0.25">
      <c r="A2986" t="e">
        <f>-LqfJcF7XAiJMTnPunvZ</f>
        <v>#NAME?</v>
      </c>
      <c r="B2986">
        <v>393.75</v>
      </c>
      <c r="C2986">
        <v>20.584240000000001</v>
      </c>
      <c r="D2986">
        <v>65</v>
      </c>
      <c r="E2986">
        <v>0</v>
      </c>
      <c r="F2986">
        <v>0</v>
      </c>
      <c r="G2986">
        <v>63</v>
      </c>
      <c r="H2986" s="4">
        <v>1570537373319</v>
      </c>
      <c r="I2986">
        <v>526.6875</v>
      </c>
      <c r="J2986" s="9">
        <f t="shared" si="46"/>
        <v>43746.807561562498</v>
      </c>
      <c r="K2986" s="1"/>
    </row>
    <row r="2987" spans="1:11" x14ac:dyDescent="0.25">
      <c r="A2987" t="e">
        <f>-LqfJdyFpF1LaGruFhJc</f>
        <v>#NAME?</v>
      </c>
      <c r="B2987">
        <v>393.75</v>
      </c>
      <c r="C2987">
        <v>20.584240000000001</v>
      </c>
      <c r="D2987">
        <v>64</v>
      </c>
      <c r="E2987">
        <v>0</v>
      </c>
      <c r="F2987">
        <v>0</v>
      </c>
      <c r="G2987">
        <v>64</v>
      </c>
      <c r="H2987" s="4">
        <v>1570537380568</v>
      </c>
      <c r="I2987">
        <v>526.6875</v>
      </c>
      <c r="J2987" s="9">
        <f t="shared" si="46"/>
        <v>43746.807645462955</v>
      </c>
      <c r="K2987" s="1"/>
    </row>
    <row r="2988" spans="1:11" x14ac:dyDescent="0.25">
      <c r="A2988" t="s">
        <v>160</v>
      </c>
      <c r="B2988">
        <v>393.75</v>
      </c>
      <c r="C2988">
        <v>20.584240000000001</v>
      </c>
      <c r="D2988">
        <v>64</v>
      </c>
      <c r="E2988">
        <v>0</v>
      </c>
      <c r="F2988">
        <v>0</v>
      </c>
      <c r="G2988">
        <v>69</v>
      </c>
      <c r="H2988" s="4">
        <v>1570537388186</v>
      </c>
      <c r="I2988">
        <v>526.6875</v>
      </c>
      <c r="J2988" s="9">
        <f t="shared" si="46"/>
        <v>43746.807733634261</v>
      </c>
      <c r="K2988" s="1"/>
    </row>
    <row r="2989" spans="1:11" x14ac:dyDescent="0.25">
      <c r="A2989" t="e">
        <f>-LqfJhUDWmO6NhN1CZ83</f>
        <v>#NAME?</v>
      </c>
      <c r="B2989">
        <v>393.75</v>
      </c>
      <c r="C2989">
        <v>20.584240000000001</v>
      </c>
      <c r="D2989">
        <v>64</v>
      </c>
      <c r="E2989">
        <v>0</v>
      </c>
      <c r="F2989">
        <v>0</v>
      </c>
      <c r="G2989">
        <v>65</v>
      </c>
      <c r="H2989" s="4">
        <v>1570537394968</v>
      </c>
      <c r="I2989">
        <v>526.6875</v>
      </c>
      <c r="J2989" s="9">
        <f t="shared" si="46"/>
        <v>43746.807812129628</v>
      </c>
      <c r="K2989" s="1"/>
    </row>
    <row r="2990" spans="1:11" x14ac:dyDescent="0.25">
      <c r="A2990" t="e">
        <f>-LqfJj2zMN4zjuhI5Ppd</f>
        <v>#NAME?</v>
      </c>
      <c r="B2990">
        <v>393.75</v>
      </c>
      <c r="C2990">
        <v>20.584240000000001</v>
      </c>
      <c r="D2990">
        <v>65</v>
      </c>
      <c r="E2990">
        <v>0</v>
      </c>
      <c r="F2990">
        <v>0</v>
      </c>
      <c r="G2990">
        <v>65</v>
      </c>
      <c r="H2990" s="4">
        <v>1570537401138</v>
      </c>
      <c r="I2990">
        <v>526.6875</v>
      </c>
      <c r="J2990" s="9">
        <f t="shared" si="46"/>
        <v>43746.80788354166</v>
      </c>
      <c r="K2990" s="1"/>
    </row>
    <row r="2991" spans="1:11" x14ac:dyDescent="0.25">
      <c r="A2991" t="e">
        <f>-LqfJklF3sPO47bI6kj6</f>
        <v>#NAME?</v>
      </c>
      <c r="B2991">
        <v>393.75</v>
      </c>
      <c r="C2991">
        <v>20.584240000000001</v>
      </c>
      <c r="D2991">
        <v>65</v>
      </c>
      <c r="E2991">
        <v>0</v>
      </c>
      <c r="F2991">
        <v>0</v>
      </c>
      <c r="G2991">
        <v>67</v>
      </c>
      <c r="H2991" s="4">
        <v>1570537408378</v>
      </c>
      <c r="I2991">
        <v>526.6875</v>
      </c>
      <c r="J2991" s="9">
        <f t="shared" si="46"/>
        <v>43746.807967337962</v>
      </c>
      <c r="K2991" s="1"/>
    </row>
    <row r="2992" spans="1:11" x14ac:dyDescent="0.25">
      <c r="A2992" t="e">
        <f>-LqfJmFEWjSZGZieJPsy</f>
        <v>#NAME?</v>
      </c>
      <c r="B2992">
        <v>393.75</v>
      </c>
      <c r="C2992">
        <v>20.584240000000001</v>
      </c>
      <c r="D2992">
        <v>65</v>
      </c>
      <c r="E2992">
        <v>0</v>
      </c>
      <c r="F2992">
        <v>0</v>
      </c>
      <c r="G2992">
        <v>66</v>
      </c>
      <c r="H2992" s="4">
        <v>1570537414569</v>
      </c>
      <c r="I2992">
        <v>526.6875</v>
      </c>
      <c r="J2992" s="9">
        <f t="shared" si="46"/>
        <v>43746.808038993055</v>
      </c>
      <c r="K2992" s="1"/>
    </row>
    <row r="2993" spans="1:11" x14ac:dyDescent="0.25">
      <c r="A2993" t="e">
        <f>-LqfJo4ZzNuPG0HQV6w0</f>
        <v>#NAME?</v>
      </c>
      <c r="B2993">
        <v>393.75</v>
      </c>
      <c r="C2993">
        <v>20.584240000000001</v>
      </c>
      <c r="D2993">
        <v>65</v>
      </c>
      <c r="E2993">
        <v>0</v>
      </c>
      <c r="F2993">
        <v>0</v>
      </c>
      <c r="G2993">
        <v>63</v>
      </c>
      <c r="H2993" s="4">
        <v>1570537420748</v>
      </c>
      <c r="I2993">
        <v>526.6875</v>
      </c>
      <c r="J2993" s="9">
        <f t="shared" si="46"/>
        <v>43746.808110509257</v>
      </c>
      <c r="K2993" s="1"/>
    </row>
    <row r="2994" spans="1:11" x14ac:dyDescent="0.25">
      <c r="A2994" t="e">
        <f>-LqfJpqCYevldw6h7ZN4</f>
        <v>#NAME?</v>
      </c>
      <c r="B2994">
        <v>393.75</v>
      </c>
      <c r="C2994">
        <v>20.584240000000001</v>
      </c>
      <c r="D2994">
        <v>64</v>
      </c>
      <c r="E2994">
        <v>0</v>
      </c>
      <c r="F2994">
        <v>0</v>
      </c>
      <c r="G2994">
        <v>65</v>
      </c>
      <c r="H2994" s="4">
        <v>1570537428985</v>
      </c>
      <c r="I2994">
        <v>526.6875</v>
      </c>
      <c r="J2994" s="9">
        <f t="shared" si="46"/>
        <v>43746.8082058449</v>
      </c>
      <c r="K2994" s="1"/>
    </row>
    <row r="2995" spans="1:11" x14ac:dyDescent="0.25">
      <c r="A2995" t="e">
        <f>-LqfJrXvScV_M1mqr_Sg</f>
        <v>#NAME?</v>
      </c>
      <c r="B2995">
        <v>412.5</v>
      </c>
      <c r="C2995">
        <v>20.584240000000001</v>
      </c>
      <c r="D2995">
        <v>65</v>
      </c>
      <c r="E2995">
        <v>0</v>
      </c>
      <c r="F2995">
        <v>0</v>
      </c>
      <c r="G2995">
        <v>63</v>
      </c>
      <c r="H2995" s="4">
        <v>1570537436206</v>
      </c>
      <c r="I2995">
        <v>532.3125</v>
      </c>
      <c r="J2995" s="9">
        <f t="shared" si="46"/>
        <v>43746.808289421293</v>
      </c>
      <c r="K2995" s="1"/>
    </row>
    <row r="2996" spans="1:11" x14ac:dyDescent="0.25">
      <c r="A2996" t="e">
        <f>-LqfJt2BZtgTP_ixk3zb</f>
        <v>#NAME?</v>
      </c>
      <c r="B2996">
        <v>393.75</v>
      </c>
      <c r="C2996">
        <v>20.584240000000001</v>
      </c>
      <c r="D2996">
        <v>65</v>
      </c>
      <c r="E2996">
        <v>0</v>
      </c>
      <c r="F2996">
        <v>0</v>
      </c>
      <c r="G2996">
        <v>65</v>
      </c>
      <c r="H2996" s="4">
        <v>1570537442384</v>
      </c>
      <c r="I2996">
        <v>526.6875</v>
      </c>
      <c r="J2996" s="9">
        <f t="shared" si="46"/>
        <v>43746.808360925927</v>
      </c>
      <c r="K2996" s="1"/>
    </row>
    <row r="2997" spans="1:11" x14ac:dyDescent="0.25">
      <c r="A2997" t="e">
        <f>-LqfJubKq8t9_Xx7WS5f</f>
        <v>#NAME?</v>
      </c>
      <c r="B2997">
        <v>393.75</v>
      </c>
      <c r="C2997">
        <v>20.584240000000001</v>
      </c>
      <c r="D2997">
        <v>65</v>
      </c>
      <c r="E2997">
        <v>0</v>
      </c>
      <c r="F2997">
        <v>0</v>
      </c>
      <c r="G2997">
        <v>73</v>
      </c>
      <c r="H2997" s="4">
        <v>1570537448575</v>
      </c>
      <c r="I2997">
        <v>526.6875</v>
      </c>
      <c r="J2997" s="9">
        <f t="shared" si="46"/>
        <v>43746.808432581012</v>
      </c>
      <c r="K2997" s="1"/>
    </row>
    <row r="2998" spans="1:11" x14ac:dyDescent="0.25">
      <c r="A2998" t="e">
        <f>-LqfJwHa-AVJlEruatPv</f>
        <v>#NAME?</v>
      </c>
      <c r="B2998">
        <v>393.75</v>
      </c>
      <c r="C2998">
        <v>20.584240000000001</v>
      </c>
      <c r="D2998">
        <v>66</v>
      </c>
      <c r="E2998">
        <v>0</v>
      </c>
      <c r="F2998">
        <v>0</v>
      </c>
      <c r="G2998">
        <v>67</v>
      </c>
      <c r="H2998" s="4">
        <v>1570537455763</v>
      </c>
      <c r="I2998">
        <v>526.6875</v>
      </c>
      <c r="J2998" s="9">
        <f t="shared" si="46"/>
        <v>43746.808515775461</v>
      </c>
      <c r="K2998" s="1"/>
    </row>
    <row r="2999" spans="1:11" x14ac:dyDescent="0.25">
      <c r="A2999" t="s">
        <v>161</v>
      </c>
      <c r="B2999">
        <v>393.75</v>
      </c>
      <c r="C2999">
        <v>20.584240000000001</v>
      </c>
      <c r="D2999">
        <v>66</v>
      </c>
      <c r="E2999">
        <v>0</v>
      </c>
      <c r="F2999">
        <v>0</v>
      </c>
      <c r="G2999">
        <v>68</v>
      </c>
      <c r="H2999" s="4">
        <v>1570537461964</v>
      </c>
      <c r="I2999">
        <v>526.6875</v>
      </c>
      <c r="J2999" s="9">
        <f t="shared" si="46"/>
        <v>43746.808587546293</v>
      </c>
      <c r="K2999" s="1"/>
    </row>
    <row r="3000" spans="1:11" x14ac:dyDescent="0.25">
      <c r="A3000" t="e">
        <f>-LqfJzNL77BDna4Y3PFZ</f>
        <v>#NAME?</v>
      </c>
      <c r="B3000">
        <v>393.75</v>
      </c>
      <c r="C3000">
        <v>20.584240000000001</v>
      </c>
      <c r="D3000">
        <v>65</v>
      </c>
      <c r="E3000">
        <v>0</v>
      </c>
      <c r="F3000">
        <v>0</v>
      </c>
      <c r="G3000">
        <v>67</v>
      </c>
      <c r="H3000" s="4">
        <v>1570537468145</v>
      </c>
      <c r="I3000">
        <v>526.6875</v>
      </c>
      <c r="J3000" s="9">
        <f t="shared" si="46"/>
        <v>43746.808659085647</v>
      </c>
      <c r="K3000" s="1"/>
    </row>
    <row r="3001" spans="1:11" x14ac:dyDescent="0.25">
      <c r="A3001" t="e">
        <f>-LqfK05BNzWibEFO38eZ</f>
        <v>#NAME?</v>
      </c>
      <c r="B3001">
        <v>393.75</v>
      </c>
      <c r="C3001">
        <v>20.584240000000001</v>
      </c>
      <c r="D3001">
        <v>65</v>
      </c>
      <c r="E3001">
        <v>0</v>
      </c>
      <c r="F3001">
        <v>0</v>
      </c>
      <c r="G3001">
        <v>69</v>
      </c>
      <c r="H3001" s="4">
        <v>1570537475354</v>
      </c>
      <c r="I3001">
        <v>526.5</v>
      </c>
      <c r="J3001" s="9">
        <f t="shared" si="46"/>
        <v>43746.808742523142</v>
      </c>
      <c r="K3001" s="1"/>
    </row>
    <row r="3002" spans="1:11" x14ac:dyDescent="0.25">
      <c r="A3002" t="e">
        <f>-LqfK1yCAbaWFg9sftE4</f>
        <v>#NAME?</v>
      </c>
      <c r="B3002">
        <v>393.75</v>
      </c>
      <c r="C3002">
        <v>20.584240000000001</v>
      </c>
      <c r="D3002">
        <v>65</v>
      </c>
      <c r="E3002">
        <v>0</v>
      </c>
      <c r="F3002">
        <v>0</v>
      </c>
      <c r="G3002">
        <v>57</v>
      </c>
      <c r="H3002" s="4">
        <v>1570537482744</v>
      </c>
      <c r="I3002">
        <v>526.6875</v>
      </c>
      <c r="J3002" s="9">
        <f t="shared" si="46"/>
        <v>43746.808828055553</v>
      </c>
      <c r="K3002" s="1"/>
    </row>
    <row r="3003" spans="1:11" x14ac:dyDescent="0.25">
      <c r="A3003" t="e">
        <f>-LqfK3f45inVqwgEqcSs</f>
        <v>#NAME?</v>
      </c>
      <c r="B3003">
        <v>393.75</v>
      </c>
      <c r="C3003">
        <v>20.584240000000001</v>
      </c>
      <c r="D3003">
        <v>63</v>
      </c>
      <c r="E3003">
        <v>0</v>
      </c>
      <c r="F3003">
        <v>0</v>
      </c>
      <c r="G3003">
        <v>61</v>
      </c>
      <c r="H3003" s="4">
        <v>1570537489784</v>
      </c>
      <c r="I3003">
        <v>526.6875</v>
      </c>
      <c r="J3003" s="9">
        <f t="shared" si="46"/>
        <v>43746.808909537031</v>
      </c>
      <c r="K3003" s="1"/>
    </row>
    <row r="3004" spans="1:11" x14ac:dyDescent="0.25">
      <c r="A3004" t="e">
        <f>-LqfK5P2A--RnufeWHfF</f>
        <v>#NAME?</v>
      </c>
      <c r="B3004">
        <v>393.75</v>
      </c>
      <c r="C3004">
        <v>20.584240000000001</v>
      </c>
      <c r="D3004">
        <v>61</v>
      </c>
      <c r="E3004">
        <v>0</v>
      </c>
      <c r="F3004">
        <v>0</v>
      </c>
      <c r="G3004">
        <v>68</v>
      </c>
      <c r="H3004" s="4">
        <v>1570537497004</v>
      </c>
      <c r="I3004">
        <v>526.6875</v>
      </c>
      <c r="J3004" s="9">
        <f t="shared" si="46"/>
        <v>43746.808993101855</v>
      </c>
      <c r="K3004" s="1"/>
    </row>
    <row r="3005" spans="1:11" x14ac:dyDescent="0.25">
      <c r="A3005" t="e">
        <f>-LqfK6y2UOiL1a6CJJTW</f>
        <v>#NAME?</v>
      </c>
      <c r="B3005">
        <v>393.75</v>
      </c>
      <c r="C3005">
        <v>20.584240000000001</v>
      </c>
      <c r="D3005">
        <v>62</v>
      </c>
      <c r="E3005">
        <v>0</v>
      </c>
      <c r="F3005">
        <v>0</v>
      </c>
      <c r="G3005">
        <v>67</v>
      </c>
      <c r="H3005" s="4">
        <v>1570537503293</v>
      </c>
      <c r="I3005">
        <v>526.6875</v>
      </c>
      <c r="J3005" s="9">
        <f t="shared" si="46"/>
        <v>43746.809065891204</v>
      </c>
      <c r="K3005" s="1"/>
    </row>
    <row r="3006" spans="1:11" x14ac:dyDescent="0.25">
      <c r="A3006" t="e">
        <f>-LqfK8gKDU6U57PPFdou</f>
        <v>#NAME?</v>
      </c>
      <c r="B3006">
        <v>393.75</v>
      </c>
      <c r="C3006">
        <v>20.584240000000001</v>
      </c>
      <c r="D3006">
        <v>63</v>
      </c>
      <c r="E3006">
        <v>0</v>
      </c>
      <c r="F3006">
        <v>0</v>
      </c>
      <c r="G3006">
        <v>65</v>
      </c>
      <c r="H3006" s="4">
        <v>1570537510393</v>
      </c>
      <c r="I3006">
        <v>526.6875</v>
      </c>
      <c r="J3006" s="9">
        <f t="shared" si="46"/>
        <v>43746.809148067128</v>
      </c>
      <c r="K3006" s="1"/>
    </row>
    <row r="3007" spans="1:11" x14ac:dyDescent="0.25">
      <c r="A3007" t="e">
        <f>-LqfKANvrhg1ICQcLZiI</f>
        <v>#NAME?</v>
      </c>
      <c r="B3007">
        <v>393.75</v>
      </c>
      <c r="C3007">
        <v>20.584240000000001</v>
      </c>
      <c r="D3007">
        <v>65</v>
      </c>
      <c r="E3007">
        <v>0</v>
      </c>
      <c r="F3007">
        <v>0</v>
      </c>
      <c r="G3007">
        <v>62</v>
      </c>
      <c r="H3007" s="4">
        <v>1570537517603</v>
      </c>
      <c r="I3007">
        <v>526.6875</v>
      </c>
      <c r="J3007" s="9">
        <f t="shared" si="46"/>
        <v>43746.809231516199</v>
      </c>
      <c r="K3007" s="1"/>
    </row>
    <row r="3008" spans="1:11" x14ac:dyDescent="0.25">
      <c r="A3008" t="e">
        <f>-LqfKBtp2FYec_u9obWq</f>
        <v>#NAME?</v>
      </c>
      <c r="B3008">
        <v>393.75</v>
      </c>
      <c r="C3008">
        <v>20.584240000000001</v>
      </c>
      <c r="D3008">
        <v>65</v>
      </c>
      <c r="E3008">
        <v>0</v>
      </c>
      <c r="F3008">
        <v>0</v>
      </c>
      <c r="G3008">
        <v>63</v>
      </c>
      <c r="H3008" s="4">
        <v>1570537523784</v>
      </c>
      <c r="I3008">
        <v>526.6875</v>
      </c>
      <c r="J3008" s="9">
        <f t="shared" si="46"/>
        <v>43746.809303055554</v>
      </c>
      <c r="K3008" s="1"/>
    </row>
    <row r="3009" spans="1:11" x14ac:dyDescent="0.25">
      <c r="A3009" t="e">
        <f>-LqfKDVwMO7JupgYKFQc</f>
        <v>#NAME?</v>
      </c>
      <c r="B3009">
        <v>393.75</v>
      </c>
      <c r="C3009">
        <v>20.584240000000001</v>
      </c>
      <c r="D3009">
        <v>65</v>
      </c>
      <c r="E3009">
        <v>0</v>
      </c>
      <c r="F3009">
        <v>0</v>
      </c>
      <c r="G3009">
        <v>61</v>
      </c>
      <c r="H3009" s="4">
        <v>1570537530266</v>
      </c>
      <c r="I3009">
        <v>526.6875</v>
      </c>
      <c r="J3009" s="9">
        <f t="shared" si="46"/>
        <v>43746.809378078702</v>
      </c>
      <c r="K3009" s="1"/>
    </row>
    <row r="3010" spans="1:11" x14ac:dyDescent="0.25">
      <c r="A3010" t="e">
        <f>-LqfKFGKfzB8WWFKnlEv</f>
        <v>#NAME?</v>
      </c>
      <c r="B3010">
        <v>393.75</v>
      </c>
      <c r="C3010">
        <v>20.584240000000001</v>
      </c>
      <c r="D3010">
        <v>66</v>
      </c>
      <c r="E3010">
        <v>0</v>
      </c>
      <c r="F3010">
        <v>0</v>
      </c>
      <c r="G3010">
        <v>67</v>
      </c>
      <c r="H3010" s="4">
        <v>1570537537184</v>
      </c>
      <c r="I3010">
        <v>526.6875</v>
      </c>
      <c r="J3010" s="9">
        <f t="shared" si="46"/>
        <v>43746.809458148149</v>
      </c>
      <c r="K3010" s="1"/>
    </row>
    <row r="3011" spans="1:11" x14ac:dyDescent="0.25">
      <c r="A3011" t="e">
        <f>-LqfKGyBthx45_0qgrEF</f>
        <v>#NAME?</v>
      </c>
      <c r="B3011">
        <v>393.75</v>
      </c>
      <c r="C3011">
        <v>20.531590000000001</v>
      </c>
      <c r="D3011">
        <v>66</v>
      </c>
      <c r="E3011">
        <v>0</v>
      </c>
      <c r="F3011">
        <v>0</v>
      </c>
      <c r="G3011">
        <v>72</v>
      </c>
      <c r="H3011" s="4">
        <v>1570537544404</v>
      </c>
      <c r="I3011">
        <v>526.6875</v>
      </c>
      <c r="J3011" s="9">
        <f t="shared" ref="J3011:J3074" si="47">(H3011/86400000)+25569+(7/24)</f>
        <v>43746.809541712959</v>
      </c>
      <c r="K3011" s="1"/>
    </row>
    <row r="3012" spans="1:11" x14ac:dyDescent="0.25">
      <c r="A3012" t="e">
        <f>-LqfKIk6yC1Z8Pca1DKg</f>
        <v>#NAME?</v>
      </c>
      <c r="B3012">
        <v>393.75</v>
      </c>
      <c r="C3012">
        <v>20.584240000000001</v>
      </c>
      <c r="D3012">
        <v>67</v>
      </c>
      <c r="E3012">
        <v>0</v>
      </c>
      <c r="F3012">
        <v>0</v>
      </c>
      <c r="G3012">
        <v>67</v>
      </c>
      <c r="H3012" s="4">
        <v>1570537551614</v>
      </c>
      <c r="I3012">
        <v>526.6875</v>
      </c>
      <c r="J3012" s="9">
        <f t="shared" si="47"/>
        <v>43746.809625162037</v>
      </c>
      <c r="K3012" s="1"/>
    </row>
    <row r="3013" spans="1:11" x14ac:dyDescent="0.25">
      <c r="A3013" t="e">
        <f>-LqfKKb1DPC0QTq8XLVG</f>
        <v>#NAME?</v>
      </c>
      <c r="B3013">
        <v>393.75</v>
      </c>
      <c r="C3013">
        <v>20.584240000000001</v>
      </c>
      <c r="D3013">
        <v>67</v>
      </c>
      <c r="E3013">
        <v>0</v>
      </c>
      <c r="F3013">
        <v>0</v>
      </c>
      <c r="G3013">
        <v>67</v>
      </c>
      <c r="H3013" s="4">
        <v>1570537558804</v>
      </c>
      <c r="I3013">
        <v>526.6875</v>
      </c>
      <c r="J3013" s="9">
        <f t="shared" si="47"/>
        <v>43746.809708379624</v>
      </c>
      <c r="K3013" s="1"/>
    </row>
    <row r="3014" spans="1:11" x14ac:dyDescent="0.25">
      <c r="A3014" t="e">
        <f>-LqfKMHCCP5VKvkCW844</f>
        <v>#NAME?</v>
      </c>
      <c r="B3014">
        <v>393.75</v>
      </c>
      <c r="C3014">
        <v>20.584240000000001</v>
      </c>
      <c r="D3014">
        <v>66</v>
      </c>
      <c r="E3014">
        <v>0</v>
      </c>
      <c r="F3014">
        <v>0</v>
      </c>
      <c r="G3014">
        <v>62</v>
      </c>
      <c r="H3014" s="4">
        <v>1570537566038</v>
      </c>
      <c r="I3014">
        <v>526.6875</v>
      </c>
      <c r="J3014" s="9">
        <f t="shared" si="47"/>
        <v>43746.809792106484</v>
      </c>
      <c r="K3014" s="1"/>
    </row>
    <row r="3015" spans="1:11" x14ac:dyDescent="0.25">
      <c r="A3015" t="e">
        <f>-LqfKO-Mrn3iQbw7eL9i</f>
        <v>#NAME?</v>
      </c>
      <c r="B3015">
        <v>393.75</v>
      </c>
      <c r="C3015">
        <v>20.531590000000001</v>
      </c>
      <c r="D3015">
        <v>65</v>
      </c>
      <c r="E3015">
        <v>0</v>
      </c>
      <c r="F3015">
        <v>0</v>
      </c>
      <c r="G3015">
        <v>64</v>
      </c>
      <c r="H3015" s="4">
        <v>1570537573263</v>
      </c>
      <c r="I3015">
        <v>526.5</v>
      </c>
      <c r="J3015" s="9">
        <f t="shared" si="47"/>
        <v>43746.809875729166</v>
      </c>
      <c r="K3015" s="1"/>
    </row>
    <row r="3016" spans="1:11" x14ac:dyDescent="0.25">
      <c r="A3016" t="e">
        <f>-LqfKPZCsh_k9kVaXVBW</f>
        <v>#NAME?</v>
      </c>
      <c r="B3016">
        <v>393.75</v>
      </c>
      <c r="C3016">
        <v>20.584240000000001</v>
      </c>
      <c r="D3016">
        <v>63</v>
      </c>
      <c r="E3016">
        <v>0</v>
      </c>
      <c r="F3016">
        <v>0</v>
      </c>
      <c r="G3016">
        <v>68</v>
      </c>
      <c r="H3016" s="4">
        <v>1570537579434</v>
      </c>
      <c r="I3016">
        <v>526.6875</v>
      </c>
      <c r="J3016" s="9">
        <f t="shared" si="47"/>
        <v>43746.809947152775</v>
      </c>
      <c r="K3016" s="1"/>
    </row>
    <row r="3017" spans="1:11" x14ac:dyDescent="0.25">
      <c r="A3017" t="e">
        <f>-LqfKRHB3I6b5dRT-km0</f>
        <v>#NAME?</v>
      </c>
      <c r="B3017">
        <v>393.75</v>
      </c>
      <c r="C3017">
        <v>20.584240000000001</v>
      </c>
      <c r="D3017">
        <v>63</v>
      </c>
      <c r="E3017">
        <v>0</v>
      </c>
      <c r="F3017">
        <v>0</v>
      </c>
      <c r="G3017">
        <v>65</v>
      </c>
      <c r="H3017" s="4">
        <v>1570537586644</v>
      </c>
      <c r="I3017">
        <v>526.6875</v>
      </c>
      <c r="J3017" s="9">
        <f t="shared" si="47"/>
        <v>43746.810030601853</v>
      </c>
      <c r="K3017" s="1"/>
    </row>
    <row r="3018" spans="1:11" x14ac:dyDescent="0.25">
      <c r="A3018" t="e">
        <f>-LqfKTOCso2TxjhR0kms</f>
        <v>#NAME?</v>
      </c>
      <c r="B3018">
        <v>393.75</v>
      </c>
      <c r="C3018">
        <v>20.531590000000001</v>
      </c>
      <c r="D3018">
        <v>64</v>
      </c>
      <c r="E3018">
        <v>0</v>
      </c>
      <c r="F3018">
        <v>0</v>
      </c>
      <c r="G3018">
        <v>72</v>
      </c>
      <c r="H3018" s="4">
        <v>1570537595284</v>
      </c>
      <c r="I3018">
        <v>526.6875</v>
      </c>
      <c r="J3018" s="9">
        <f t="shared" si="47"/>
        <v>43746.810130601851</v>
      </c>
      <c r="K3018" s="1"/>
    </row>
    <row r="3019" spans="1:11" x14ac:dyDescent="0.25">
      <c r="A3019" t="e">
        <f>-LqfKV6D6KyNWkkPP-FD</f>
        <v>#NAME?</v>
      </c>
      <c r="B3019">
        <v>400</v>
      </c>
      <c r="C3019">
        <v>20.584240000000001</v>
      </c>
      <c r="D3019">
        <v>65</v>
      </c>
      <c r="E3019">
        <v>0</v>
      </c>
      <c r="F3019">
        <v>0</v>
      </c>
      <c r="G3019">
        <v>63</v>
      </c>
      <c r="H3019" s="4">
        <v>1570537602103</v>
      </c>
      <c r="I3019">
        <v>528.1875</v>
      </c>
      <c r="J3019" s="9">
        <f t="shared" si="47"/>
        <v>43746.810209525465</v>
      </c>
      <c r="K3019" s="1"/>
    </row>
    <row r="3020" spans="1:11" x14ac:dyDescent="0.25">
      <c r="A3020" t="e">
        <f>-LqfKWpCAXXYfoDzixNn</f>
        <v>#NAME?</v>
      </c>
      <c r="B3020">
        <v>393.75</v>
      </c>
      <c r="C3020">
        <v>20.584240000000001</v>
      </c>
      <c r="D3020">
        <v>67</v>
      </c>
      <c r="E3020">
        <v>0</v>
      </c>
      <c r="F3020">
        <v>0</v>
      </c>
      <c r="G3020">
        <v>66</v>
      </c>
      <c r="H3020" s="4">
        <v>1570537609316</v>
      </c>
      <c r="I3020">
        <v>526.5</v>
      </c>
      <c r="J3020" s="9">
        <f t="shared" si="47"/>
        <v>43746.810293009257</v>
      </c>
      <c r="K3020" s="1"/>
    </row>
    <row r="3021" spans="1:11" x14ac:dyDescent="0.25">
      <c r="A3021" t="e">
        <f>-LqfKYb6MIKv2_F_6Rzm</f>
        <v>#NAME?</v>
      </c>
      <c r="B3021">
        <v>393.75</v>
      </c>
      <c r="C3021">
        <v>20.584240000000001</v>
      </c>
      <c r="D3021">
        <v>65</v>
      </c>
      <c r="E3021">
        <v>0</v>
      </c>
      <c r="F3021">
        <v>0</v>
      </c>
      <c r="G3021">
        <v>65</v>
      </c>
      <c r="H3021" s="4">
        <v>1570537616536</v>
      </c>
      <c r="I3021">
        <v>526.6875</v>
      </c>
      <c r="J3021" s="9">
        <f t="shared" si="47"/>
        <v>43746.810376574074</v>
      </c>
      <c r="K3021" s="1"/>
    </row>
    <row r="3022" spans="1:11" x14ac:dyDescent="0.25">
      <c r="A3022" t="e">
        <f>-LqfK_L2GYFo130AVLAx</f>
        <v>#NAME?</v>
      </c>
      <c r="B3022">
        <v>393.75</v>
      </c>
      <c r="C3022">
        <v>20.584240000000001</v>
      </c>
      <c r="D3022">
        <v>65</v>
      </c>
      <c r="E3022">
        <v>0</v>
      </c>
      <c r="F3022">
        <v>0</v>
      </c>
      <c r="G3022">
        <v>74</v>
      </c>
      <c r="H3022" s="4">
        <v>1570537623743</v>
      </c>
      <c r="I3022">
        <v>526.6875</v>
      </c>
      <c r="J3022" s="9">
        <f t="shared" si="47"/>
        <v>43746.810459988425</v>
      </c>
      <c r="K3022" s="1"/>
    </row>
    <row r="3023" spans="1:11" x14ac:dyDescent="0.25">
      <c r="A3023" t="e">
        <f>-LqfKapCyDCEFxezup5Z</f>
        <v>#NAME?</v>
      </c>
      <c r="B3023">
        <v>393.75</v>
      </c>
      <c r="C3023">
        <v>20.584240000000001</v>
      </c>
      <c r="D3023">
        <v>69</v>
      </c>
      <c r="E3023">
        <v>0</v>
      </c>
      <c r="F3023">
        <v>0</v>
      </c>
      <c r="G3023">
        <v>67</v>
      </c>
      <c r="H3023" s="4">
        <v>1570537629924</v>
      </c>
      <c r="I3023">
        <v>526.5</v>
      </c>
      <c r="J3023" s="9">
        <f t="shared" si="47"/>
        <v>43746.810531527772</v>
      </c>
      <c r="K3023" s="1"/>
    </row>
    <row r="3024" spans="1:11" x14ac:dyDescent="0.25">
      <c r="A3024" t="e">
        <f>-LqfKcO2VSYjqKzXWwDa</f>
        <v>#NAME?</v>
      </c>
      <c r="B3024">
        <v>393.75</v>
      </c>
      <c r="C3024">
        <v>20.584240000000001</v>
      </c>
      <c r="D3024">
        <v>69</v>
      </c>
      <c r="E3024">
        <v>0</v>
      </c>
      <c r="F3024">
        <v>0</v>
      </c>
      <c r="G3024">
        <v>64</v>
      </c>
      <c r="H3024" s="4">
        <v>1570537636105</v>
      </c>
      <c r="I3024">
        <v>526.6875</v>
      </c>
      <c r="J3024" s="9">
        <f t="shared" si="47"/>
        <v>43746.810603067126</v>
      </c>
      <c r="K3024" s="1"/>
    </row>
    <row r="3025" spans="1:11" x14ac:dyDescent="0.25">
      <c r="A3025" t="e">
        <f>-LqfKdsKBhG1mGT2CMAE</f>
        <v>#NAME?</v>
      </c>
      <c r="B3025">
        <v>393.75</v>
      </c>
      <c r="C3025">
        <v>20.584240000000001</v>
      </c>
      <c r="D3025">
        <v>69</v>
      </c>
      <c r="E3025">
        <v>0</v>
      </c>
      <c r="F3025">
        <v>0</v>
      </c>
      <c r="G3025">
        <v>66</v>
      </c>
      <c r="H3025" s="4">
        <v>1570537642284</v>
      </c>
      <c r="I3025">
        <v>526.6875</v>
      </c>
      <c r="J3025" s="9">
        <f t="shared" si="47"/>
        <v>43746.810674583328</v>
      </c>
      <c r="K3025" s="1"/>
    </row>
    <row r="3026" spans="1:11" x14ac:dyDescent="0.25">
      <c r="A3026" t="e">
        <f>-LqfKfzeCOE5t09i-YYn</f>
        <v>#NAME?</v>
      </c>
      <c r="B3026">
        <v>393.75</v>
      </c>
      <c r="C3026">
        <v>20.584240000000001</v>
      </c>
      <c r="D3026">
        <v>67</v>
      </c>
      <c r="E3026">
        <v>0</v>
      </c>
      <c r="F3026">
        <v>0</v>
      </c>
      <c r="G3026">
        <v>71</v>
      </c>
      <c r="H3026" s="4">
        <v>1570537649504</v>
      </c>
      <c r="I3026">
        <v>526.6875</v>
      </c>
      <c r="J3026" s="9">
        <f t="shared" si="47"/>
        <v>43746.810758148145</v>
      </c>
      <c r="K3026" s="1"/>
    </row>
    <row r="3027" spans="1:11" x14ac:dyDescent="0.25">
      <c r="A3027" t="e">
        <f>-LqfKhb4FLHWVvOU4eea</f>
        <v>#NAME?</v>
      </c>
      <c r="B3027">
        <v>393.75</v>
      </c>
      <c r="C3027">
        <v>20.584240000000001</v>
      </c>
      <c r="D3027">
        <v>67</v>
      </c>
      <c r="E3027">
        <v>0</v>
      </c>
      <c r="F3027">
        <v>0</v>
      </c>
      <c r="G3027">
        <v>68</v>
      </c>
      <c r="H3027" s="4">
        <v>1570537657743</v>
      </c>
      <c r="I3027">
        <v>526.6875</v>
      </c>
      <c r="J3027" s="9">
        <f t="shared" si="47"/>
        <v>43746.81085350694</v>
      </c>
      <c r="K3027" s="1"/>
    </row>
    <row r="3028" spans="1:11" x14ac:dyDescent="0.25">
      <c r="A3028" t="e">
        <f>-LqfKjB0IsYYYV4UbfWq</f>
        <v>#NAME?</v>
      </c>
      <c r="B3028">
        <v>393.75</v>
      </c>
      <c r="C3028">
        <v>20.584240000000001</v>
      </c>
      <c r="D3028">
        <v>67</v>
      </c>
      <c r="E3028">
        <v>0</v>
      </c>
      <c r="F3028">
        <v>0</v>
      </c>
      <c r="G3028">
        <v>70</v>
      </c>
      <c r="H3028" s="4">
        <v>1570537663932</v>
      </c>
      <c r="I3028">
        <v>526.6875</v>
      </c>
      <c r="J3028" s="9">
        <f t="shared" si="47"/>
        <v>43746.810925138889</v>
      </c>
      <c r="K3028" s="1"/>
    </row>
    <row r="3029" spans="1:11" x14ac:dyDescent="0.25">
      <c r="A3029" t="e">
        <f>-LqfKkrnhXhjVu6zOpQ6</f>
        <v>#NAME?</v>
      </c>
      <c r="B3029">
        <v>393.75</v>
      </c>
      <c r="C3029">
        <v>20.584240000000001</v>
      </c>
      <c r="D3029">
        <v>67</v>
      </c>
      <c r="E3029">
        <v>0</v>
      </c>
      <c r="F3029">
        <v>0</v>
      </c>
      <c r="G3029">
        <v>67</v>
      </c>
      <c r="H3029" s="4">
        <v>1570537671121</v>
      </c>
      <c r="I3029">
        <v>526.6875</v>
      </c>
      <c r="J3029" s="9">
        <f t="shared" si="47"/>
        <v>43746.811008344906</v>
      </c>
      <c r="K3029" s="1"/>
    </row>
    <row r="3030" spans="1:11" x14ac:dyDescent="0.25">
      <c r="A3030" t="e">
        <f>-LqfKmTI8yhPNk4aoi8C</f>
        <v>#NAME?</v>
      </c>
      <c r="B3030">
        <v>393.75</v>
      </c>
      <c r="C3030">
        <v>20.584240000000001</v>
      </c>
      <c r="D3030">
        <v>67</v>
      </c>
      <c r="E3030">
        <v>0</v>
      </c>
      <c r="F3030">
        <v>0</v>
      </c>
      <c r="G3030">
        <v>68</v>
      </c>
      <c r="H3030" s="4">
        <v>1570537677322</v>
      </c>
      <c r="I3030">
        <v>526.6875</v>
      </c>
      <c r="J3030" s="9">
        <f t="shared" si="47"/>
        <v>43746.811080115738</v>
      </c>
      <c r="K3030" s="1"/>
    </row>
    <row r="3031" spans="1:11" x14ac:dyDescent="0.25">
      <c r="A3031" t="e">
        <f>-LqfKoBBr8dz5bT5yPmJ</f>
        <v>#NAME?</v>
      </c>
      <c r="B3031">
        <v>393.75</v>
      </c>
      <c r="C3031">
        <v>20.584240000000001</v>
      </c>
      <c r="D3031">
        <v>66</v>
      </c>
      <c r="E3031">
        <v>0</v>
      </c>
      <c r="F3031">
        <v>0</v>
      </c>
      <c r="G3031">
        <v>62</v>
      </c>
      <c r="H3031" s="4">
        <v>1570537684543</v>
      </c>
      <c r="I3031">
        <v>526.6875</v>
      </c>
      <c r="J3031" s="9">
        <f t="shared" si="47"/>
        <v>43746.811163692131</v>
      </c>
      <c r="K3031" s="1"/>
    </row>
    <row r="3032" spans="1:11" x14ac:dyDescent="0.25">
      <c r="A3032" t="e">
        <f>-LqfKpdu_TxIYnzUCrti</f>
        <v>#NAME?</v>
      </c>
      <c r="B3032">
        <v>393.75</v>
      </c>
      <c r="C3032">
        <v>20.584240000000001</v>
      </c>
      <c r="D3032">
        <v>66</v>
      </c>
      <c r="E3032">
        <v>0</v>
      </c>
      <c r="F3032">
        <v>0</v>
      </c>
      <c r="G3032">
        <v>61</v>
      </c>
      <c r="H3032" s="4">
        <v>1570537690723</v>
      </c>
      <c r="I3032">
        <v>526.6875</v>
      </c>
      <c r="J3032" s="9">
        <f t="shared" si="47"/>
        <v>43746.811235219902</v>
      </c>
      <c r="K3032" s="1"/>
    </row>
    <row r="3033" spans="1:11" x14ac:dyDescent="0.25">
      <c r="A3033" t="e">
        <f>-LqfKrE9Gew_WC7u4KJs</f>
        <v>#NAME?</v>
      </c>
      <c r="B3033">
        <v>415.625</v>
      </c>
      <c r="C3033">
        <v>20.584240000000001</v>
      </c>
      <c r="D3033">
        <v>66</v>
      </c>
      <c r="E3033">
        <v>0</v>
      </c>
      <c r="F3033">
        <v>0</v>
      </c>
      <c r="G3033">
        <v>59</v>
      </c>
      <c r="H3033" s="4">
        <v>1570537696911</v>
      </c>
      <c r="I3033">
        <v>533.625</v>
      </c>
      <c r="J3033" s="9">
        <f t="shared" si="47"/>
        <v>43746.811306840274</v>
      </c>
      <c r="K3033" s="1"/>
    </row>
    <row r="3034" spans="1:11" x14ac:dyDescent="0.25">
      <c r="A3034" t="e">
        <f>-LqfKsuXz8zLZ3bMOyit</f>
        <v>#NAME?</v>
      </c>
      <c r="B3034">
        <v>393.75</v>
      </c>
      <c r="C3034">
        <v>20.584240000000001</v>
      </c>
      <c r="D3034">
        <v>67</v>
      </c>
      <c r="E3034">
        <v>0</v>
      </c>
      <c r="F3034">
        <v>0</v>
      </c>
      <c r="G3034">
        <v>63</v>
      </c>
      <c r="H3034" s="4">
        <v>1570537704082</v>
      </c>
      <c r="I3034">
        <v>526.6875</v>
      </c>
      <c r="J3034" s="9">
        <f t="shared" si="47"/>
        <v>43746.81138983796</v>
      </c>
      <c r="K3034" s="1"/>
    </row>
    <row r="3035" spans="1:11" x14ac:dyDescent="0.25">
      <c r="A3035" t="e">
        <f>-LqfKuRI_eif4FkQMdIX</f>
        <v>#NAME?</v>
      </c>
      <c r="B3035">
        <v>393.75</v>
      </c>
      <c r="C3035">
        <v>20.584240000000001</v>
      </c>
      <c r="D3035">
        <v>67</v>
      </c>
      <c r="E3035">
        <v>0</v>
      </c>
      <c r="F3035">
        <v>0</v>
      </c>
      <c r="G3035">
        <v>69</v>
      </c>
      <c r="H3035" s="4">
        <v>1570537710319</v>
      </c>
      <c r="I3035">
        <v>526.6875</v>
      </c>
      <c r="J3035" s="9">
        <f t="shared" si="47"/>
        <v>43746.811462025456</v>
      </c>
      <c r="K3035" s="1"/>
    </row>
    <row r="3036" spans="1:11" x14ac:dyDescent="0.25">
      <c r="A3036" t="e">
        <f>-LqfKw-AsevIfsxbZNTj</f>
        <v>#NAME?</v>
      </c>
      <c r="B3036">
        <v>393.75</v>
      </c>
      <c r="C3036">
        <v>20.584240000000001</v>
      </c>
      <c r="D3036">
        <v>67</v>
      </c>
      <c r="E3036">
        <v>0</v>
      </c>
      <c r="F3036">
        <v>0</v>
      </c>
      <c r="G3036">
        <v>66</v>
      </c>
      <c r="H3036" s="4">
        <v>1570537716491</v>
      </c>
      <c r="I3036">
        <v>526.6875</v>
      </c>
      <c r="J3036" s="9">
        <f t="shared" si="47"/>
        <v>43746.811533460648</v>
      </c>
      <c r="K3036" s="1"/>
    </row>
    <row r="3037" spans="1:11" x14ac:dyDescent="0.25">
      <c r="A3037" t="e">
        <f>-LqfKxRdYI_t9yB3gJuV</f>
        <v>#NAME?</v>
      </c>
      <c r="B3037">
        <v>393.75</v>
      </c>
      <c r="C3037">
        <v>20.584240000000001</v>
      </c>
      <c r="D3037">
        <v>67</v>
      </c>
      <c r="E3037">
        <v>0</v>
      </c>
      <c r="F3037">
        <v>0</v>
      </c>
      <c r="G3037">
        <v>71</v>
      </c>
      <c r="H3037" s="4">
        <v>1570537722642</v>
      </c>
      <c r="I3037">
        <v>526.6875</v>
      </c>
      <c r="J3037" s="9">
        <f t="shared" si="47"/>
        <v>43746.811604652779</v>
      </c>
      <c r="K3037" s="1"/>
    </row>
    <row r="3038" spans="1:11" x14ac:dyDescent="0.25">
      <c r="A3038" t="e">
        <f>-LqfKz28Dc-G24Vkf40O</f>
        <v>#NAME?</v>
      </c>
      <c r="B3038">
        <v>393.75</v>
      </c>
      <c r="C3038">
        <v>20.584240000000001</v>
      </c>
      <c r="D3038">
        <v>67</v>
      </c>
      <c r="E3038">
        <v>0</v>
      </c>
      <c r="F3038">
        <v>0</v>
      </c>
      <c r="G3038">
        <v>65</v>
      </c>
      <c r="H3038" s="4">
        <v>1570537728843</v>
      </c>
      <c r="I3038">
        <v>526.6875</v>
      </c>
      <c r="J3038" s="9">
        <f t="shared" si="47"/>
        <v>43746.811676423611</v>
      </c>
      <c r="K3038" s="1"/>
    </row>
    <row r="3039" spans="1:11" x14ac:dyDescent="0.25">
      <c r="A3039" t="e">
        <f>-LqfL-mPxcKfTyaemZxf</f>
        <v>#NAME?</v>
      </c>
      <c r="B3039">
        <v>393.75</v>
      </c>
      <c r="C3039">
        <v>20.584240000000001</v>
      </c>
      <c r="D3039">
        <v>67</v>
      </c>
      <c r="E3039">
        <v>0</v>
      </c>
      <c r="F3039">
        <v>0</v>
      </c>
      <c r="G3039">
        <v>66</v>
      </c>
      <c r="H3039" s="4">
        <v>1570537736143</v>
      </c>
      <c r="I3039">
        <v>526.6875</v>
      </c>
      <c r="J3039" s="9">
        <f t="shared" si="47"/>
        <v>43746.811760914345</v>
      </c>
      <c r="K3039" s="1"/>
    </row>
    <row r="3040" spans="1:11" x14ac:dyDescent="0.25">
      <c r="A3040" t="e">
        <f>-LqfL1FGd_OnX9O72W4Y</f>
        <v>#NAME?</v>
      </c>
      <c r="B3040">
        <v>412.5</v>
      </c>
      <c r="C3040">
        <v>20.584240000000001</v>
      </c>
      <c r="D3040">
        <v>67</v>
      </c>
      <c r="E3040">
        <v>0</v>
      </c>
      <c r="F3040">
        <v>0</v>
      </c>
      <c r="G3040">
        <v>68</v>
      </c>
      <c r="H3040" s="4">
        <v>1570537742242</v>
      </c>
      <c r="I3040">
        <v>532.125</v>
      </c>
      <c r="J3040" s="9">
        <f t="shared" si="47"/>
        <v>43746.811831504623</v>
      </c>
      <c r="K3040" s="1"/>
    </row>
    <row r="3041" spans="1:11" x14ac:dyDescent="0.25">
      <c r="A3041" t="e">
        <f>-LqfL2o94c5YbBT-xdkt</f>
        <v>#NAME?</v>
      </c>
      <c r="B3041">
        <v>393.75</v>
      </c>
      <c r="C3041">
        <v>20.584240000000001</v>
      </c>
      <c r="D3041">
        <v>67</v>
      </c>
      <c r="E3041">
        <v>0</v>
      </c>
      <c r="F3041">
        <v>0</v>
      </c>
      <c r="G3041">
        <v>67</v>
      </c>
      <c r="H3041" s="4">
        <v>1570537748422</v>
      </c>
      <c r="I3041">
        <v>526.6875</v>
      </c>
      <c r="J3041" s="9">
        <f t="shared" si="47"/>
        <v>43746.811903032409</v>
      </c>
      <c r="K3041" s="1"/>
    </row>
    <row r="3042" spans="1:11" x14ac:dyDescent="0.25">
      <c r="A3042" t="e">
        <f>-LqfL4I9yDTuEmKbekiX</f>
        <v>#NAME?</v>
      </c>
      <c r="B3042">
        <v>393.75</v>
      </c>
      <c r="C3042">
        <v>20.584240000000001</v>
      </c>
      <c r="D3042">
        <v>67</v>
      </c>
      <c r="E3042">
        <v>0</v>
      </c>
      <c r="F3042">
        <v>0</v>
      </c>
      <c r="G3042">
        <v>74</v>
      </c>
      <c r="H3042" s="4">
        <v>1570537754602</v>
      </c>
      <c r="I3042">
        <v>526.6875</v>
      </c>
      <c r="J3042" s="9">
        <f t="shared" si="47"/>
        <v>43746.81197456018</v>
      </c>
      <c r="K3042" s="1"/>
    </row>
    <row r="3043" spans="1:11" x14ac:dyDescent="0.25">
      <c r="A3043" t="e">
        <f>-LqfL6FjrkaxSpvtdJCJ</f>
        <v>#NAME?</v>
      </c>
      <c r="B3043">
        <v>393.75</v>
      </c>
      <c r="C3043">
        <v>20.584240000000001</v>
      </c>
      <c r="D3043">
        <v>68</v>
      </c>
      <c r="E3043">
        <v>0</v>
      </c>
      <c r="F3043">
        <v>0</v>
      </c>
      <c r="G3043">
        <v>69</v>
      </c>
      <c r="H3043" s="4">
        <v>1570537761821</v>
      </c>
      <c r="I3043">
        <v>526.6875</v>
      </c>
      <c r="J3043" s="9">
        <f t="shared" si="47"/>
        <v>43746.812058113421</v>
      </c>
      <c r="K3043" s="1"/>
    </row>
    <row r="3044" spans="1:11" x14ac:dyDescent="0.25">
      <c r="A3044" t="e">
        <f>-LqfL7lnovuHOuVwu8vs</f>
        <v>#NAME?</v>
      </c>
      <c r="B3044">
        <v>393.75</v>
      </c>
      <c r="C3044">
        <v>20.584240000000001</v>
      </c>
      <c r="D3044">
        <v>68</v>
      </c>
      <c r="E3044">
        <v>0</v>
      </c>
      <c r="F3044">
        <v>0</v>
      </c>
      <c r="G3044">
        <v>67</v>
      </c>
      <c r="H3044" s="4">
        <v>1570537769041</v>
      </c>
      <c r="I3044">
        <v>526.6875</v>
      </c>
      <c r="J3044" s="9">
        <f t="shared" si="47"/>
        <v>43746.812141678238</v>
      </c>
      <c r="K3044" s="1"/>
    </row>
    <row r="3045" spans="1:11" x14ac:dyDescent="0.25">
      <c r="A3045" t="e">
        <f>-LqfL9XIGtB_Jk3L1phP</f>
        <v>#NAME?</v>
      </c>
      <c r="B3045">
        <v>393.75</v>
      </c>
      <c r="C3045">
        <v>20.584240000000001</v>
      </c>
      <c r="D3045">
        <v>68</v>
      </c>
      <c r="E3045">
        <v>0</v>
      </c>
      <c r="F3045">
        <v>0</v>
      </c>
      <c r="G3045">
        <v>66</v>
      </c>
      <c r="H3045" s="4">
        <v>1570537776242</v>
      </c>
      <c r="I3045">
        <v>526.6875</v>
      </c>
      <c r="J3045" s="9">
        <f t="shared" si="47"/>
        <v>43746.812225023146</v>
      </c>
      <c r="K3045" s="1"/>
    </row>
    <row r="3046" spans="1:11" x14ac:dyDescent="0.25">
      <c r="A3046" t="e">
        <f>-LqfLB58rxplNw2Or_-2</f>
        <v>#NAME?</v>
      </c>
      <c r="B3046">
        <v>412.5</v>
      </c>
      <c r="C3046">
        <v>20.584240000000001</v>
      </c>
      <c r="D3046">
        <v>67</v>
      </c>
      <c r="E3046">
        <v>0</v>
      </c>
      <c r="F3046">
        <v>0</v>
      </c>
      <c r="G3046">
        <v>60</v>
      </c>
      <c r="H3046" s="4">
        <v>1570537782433</v>
      </c>
      <c r="I3046">
        <v>532.3125</v>
      </c>
      <c r="J3046" s="9">
        <f t="shared" si="47"/>
        <v>43746.812296678239</v>
      </c>
      <c r="K3046" s="1"/>
    </row>
    <row r="3047" spans="1:11" x14ac:dyDescent="0.25">
      <c r="A3047" t="e">
        <f>-LqfLCn4exAFv4N_1WmW</f>
        <v>#NAME?</v>
      </c>
      <c r="B3047">
        <v>393.75</v>
      </c>
      <c r="C3047">
        <v>20.531590000000001</v>
      </c>
      <c r="D3047">
        <v>66</v>
      </c>
      <c r="E3047">
        <v>0</v>
      </c>
      <c r="F3047">
        <v>0</v>
      </c>
      <c r="G3047">
        <v>65</v>
      </c>
      <c r="H3047" s="4">
        <v>1570537789304</v>
      </c>
      <c r="I3047">
        <v>526.5</v>
      </c>
      <c r="J3047" s="9">
        <f t="shared" si="47"/>
        <v>43746.812376203707</v>
      </c>
      <c r="K3047" s="1"/>
    </row>
    <row r="3048" spans="1:11" x14ac:dyDescent="0.25">
      <c r="A3048" t="e">
        <f>-LqfLEN9irKC9nMoyF-v</f>
        <v>#NAME?</v>
      </c>
      <c r="B3048">
        <v>393.75</v>
      </c>
      <c r="C3048">
        <v>20.584240000000001</v>
      </c>
      <c r="D3048">
        <v>66</v>
      </c>
      <c r="E3048">
        <v>0</v>
      </c>
      <c r="F3048">
        <v>0</v>
      </c>
      <c r="G3048">
        <v>66</v>
      </c>
      <c r="H3048" s="4">
        <v>1570537795801</v>
      </c>
      <c r="I3048">
        <v>526.6875</v>
      </c>
      <c r="J3048" s="9">
        <f t="shared" si="47"/>
        <v>43746.812451400459</v>
      </c>
      <c r="K3048" s="1"/>
    </row>
    <row r="3049" spans="1:11" x14ac:dyDescent="0.25">
      <c r="A3049" t="e">
        <f>-LqfLFp04g6esgVpjVsl</f>
        <v>#NAME?</v>
      </c>
      <c r="B3049">
        <v>393.75</v>
      </c>
      <c r="C3049">
        <v>20.584240000000001</v>
      </c>
      <c r="D3049">
        <v>66</v>
      </c>
      <c r="E3049">
        <v>0</v>
      </c>
      <c r="F3049">
        <v>0</v>
      </c>
      <c r="G3049">
        <v>66</v>
      </c>
      <c r="H3049" s="4">
        <v>1570537802003</v>
      </c>
      <c r="I3049">
        <v>526.5</v>
      </c>
      <c r="J3049" s="9">
        <f t="shared" si="47"/>
        <v>43746.812523182867</v>
      </c>
      <c r="K3049" s="1"/>
    </row>
    <row r="3050" spans="1:11" x14ac:dyDescent="0.25">
      <c r="A3050" t="e">
        <f>-LqfLHd2h1uuDUlK_cwq</f>
        <v>#NAME?</v>
      </c>
      <c r="B3050">
        <v>393.75</v>
      </c>
      <c r="C3050">
        <v>20.584240000000001</v>
      </c>
      <c r="D3050">
        <v>67</v>
      </c>
      <c r="E3050">
        <v>0</v>
      </c>
      <c r="F3050">
        <v>0</v>
      </c>
      <c r="G3050">
        <v>62</v>
      </c>
      <c r="H3050" s="4">
        <v>1570537809223</v>
      </c>
      <c r="I3050">
        <v>526.6875</v>
      </c>
      <c r="J3050" s="9">
        <f t="shared" si="47"/>
        <v>43746.812606747684</v>
      </c>
      <c r="K3050" s="1"/>
    </row>
    <row r="3051" spans="1:11" x14ac:dyDescent="0.25">
      <c r="A3051" t="s">
        <v>162</v>
      </c>
      <c r="B3051">
        <v>393.75</v>
      </c>
      <c r="C3051">
        <v>20.584240000000001</v>
      </c>
      <c r="D3051">
        <v>67</v>
      </c>
      <c r="E3051">
        <v>0</v>
      </c>
      <c r="F3051">
        <v>0</v>
      </c>
      <c r="G3051">
        <v>64</v>
      </c>
      <c r="H3051" s="4">
        <v>1570537816402</v>
      </c>
      <c r="I3051">
        <v>526.6875</v>
      </c>
      <c r="J3051" s="9">
        <f t="shared" si="47"/>
        <v>43746.812689837963</v>
      </c>
      <c r="K3051" s="1"/>
    </row>
    <row r="3052" spans="1:11" x14ac:dyDescent="0.25">
      <c r="A3052" t="e">
        <f>-LqfLKw9VmjNsBRAkp9l</f>
        <v>#NAME?</v>
      </c>
      <c r="B3052">
        <v>415.625</v>
      </c>
      <c r="C3052">
        <v>20.531590000000001</v>
      </c>
      <c r="D3052">
        <v>68</v>
      </c>
      <c r="E3052">
        <v>0</v>
      </c>
      <c r="F3052">
        <v>0</v>
      </c>
      <c r="G3052">
        <v>63</v>
      </c>
      <c r="H3052" s="4">
        <v>1570537822622</v>
      </c>
      <c r="I3052">
        <v>533.4375</v>
      </c>
      <c r="J3052" s="9">
        <f t="shared" si="47"/>
        <v>43746.812761828704</v>
      </c>
      <c r="K3052" s="1"/>
    </row>
    <row r="3053" spans="1:11" x14ac:dyDescent="0.25">
      <c r="A3053" t="e">
        <f>-LqfLMbn4o9N870zwmzc</f>
        <v>#NAME?</v>
      </c>
      <c r="B3053">
        <v>393.75</v>
      </c>
      <c r="C3053">
        <v>20.531590000000001</v>
      </c>
      <c r="D3053">
        <v>67</v>
      </c>
      <c r="E3053">
        <v>0</v>
      </c>
      <c r="F3053">
        <v>0</v>
      </c>
      <c r="G3053">
        <v>59</v>
      </c>
      <c r="H3053" s="4">
        <v>1570537829845</v>
      </c>
      <c r="I3053">
        <v>526.6875</v>
      </c>
      <c r="J3053" s="9">
        <f t="shared" si="47"/>
        <v>43746.812845428234</v>
      </c>
      <c r="K3053" s="1"/>
    </row>
    <row r="3054" spans="1:11" x14ac:dyDescent="0.25">
      <c r="A3054" t="e">
        <f>-LqfLOS8HFzwKxY_0TRE</f>
        <v>#NAME?</v>
      </c>
      <c r="B3054">
        <v>393.75</v>
      </c>
      <c r="C3054">
        <v>20.584240000000001</v>
      </c>
      <c r="D3054">
        <v>66</v>
      </c>
      <c r="E3054">
        <v>0</v>
      </c>
      <c r="F3054">
        <v>0</v>
      </c>
      <c r="G3054">
        <v>72</v>
      </c>
      <c r="H3054" s="4">
        <v>1570537837044</v>
      </c>
      <c r="I3054">
        <v>526.6875</v>
      </c>
      <c r="J3054" s="9">
        <f t="shared" si="47"/>
        <v>43746.812928749998</v>
      </c>
      <c r="K3054" s="1"/>
    </row>
    <row r="3055" spans="1:11" x14ac:dyDescent="0.25">
      <c r="A3055" t="e">
        <f>-LqfLQAAk0ytKcd5RndW</f>
        <v>#NAME?</v>
      </c>
      <c r="B3055">
        <v>393.75</v>
      </c>
      <c r="C3055">
        <v>20.584240000000001</v>
      </c>
      <c r="D3055">
        <v>66</v>
      </c>
      <c r="E3055">
        <v>0</v>
      </c>
      <c r="F3055">
        <v>0</v>
      </c>
      <c r="G3055">
        <v>73</v>
      </c>
      <c r="H3055" s="4">
        <v>1570537844243</v>
      </c>
      <c r="I3055">
        <v>526.6875</v>
      </c>
      <c r="J3055" s="9">
        <f t="shared" si="47"/>
        <v>43746.813012071761</v>
      </c>
      <c r="K3055" s="1"/>
    </row>
    <row r="3056" spans="1:11" x14ac:dyDescent="0.25">
      <c r="A3056" t="e">
        <f>-LqfLRhwZdM6ySmRcJ4U</f>
        <v>#NAME?</v>
      </c>
      <c r="B3056">
        <v>393.75</v>
      </c>
      <c r="C3056">
        <v>20.584240000000001</v>
      </c>
      <c r="D3056">
        <v>66</v>
      </c>
      <c r="E3056">
        <v>0</v>
      </c>
      <c r="F3056">
        <v>0</v>
      </c>
      <c r="G3056">
        <v>68</v>
      </c>
      <c r="H3056" s="4">
        <v>1570537850441</v>
      </c>
      <c r="I3056">
        <v>526.6875</v>
      </c>
      <c r="J3056" s="9">
        <f t="shared" si="47"/>
        <v>43746.813083807872</v>
      </c>
      <c r="K3056" s="1"/>
    </row>
    <row r="3057" spans="1:11" x14ac:dyDescent="0.25">
      <c r="A3057" t="e">
        <f>-LqfLTBwx3HWsWJZCms6</f>
        <v>#NAME?</v>
      </c>
      <c r="B3057">
        <v>393.75</v>
      </c>
      <c r="C3057">
        <v>20.584240000000001</v>
      </c>
      <c r="D3057">
        <v>66</v>
      </c>
      <c r="E3057">
        <v>0</v>
      </c>
      <c r="F3057">
        <v>0</v>
      </c>
      <c r="G3057">
        <v>73</v>
      </c>
      <c r="H3057" s="4">
        <v>1570537856615</v>
      </c>
      <c r="I3057">
        <v>526.6875</v>
      </c>
      <c r="J3057" s="9">
        <f t="shared" si="47"/>
        <v>43746.813155266202</v>
      </c>
      <c r="K3057" s="1"/>
    </row>
    <row r="3058" spans="1:11" x14ac:dyDescent="0.25">
      <c r="A3058" t="e">
        <f>-LqfLUenxwSu9Hf8e_aQ</f>
        <v>#NAME?</v>
      </c>
      <c r="B3058">
        <v>412.5</v>
      </c>
      <c r="C3058">
        <v>20.584240000000001</v>
      </c>
      <c r="D3058">
        <v>65</v>
      </c>
      <c r="E3058">
        <v>0</v>
      </c>
      <c r="F3058">
        <v>0</v>
      </c>
      <c r="G3058">
        <v>68</v>
      </c>
      <c r="H3058" s="4">
        <v>1570537862803</v>
      </c>
      <c r="I3058">
        <v>532.3125</v>
      </c>
      <c r="J3058" s="9">
        <f t="shared" si="47"/>
        <v>43746.813226886567</v>
      </c>
      <c r="K3058" s="1"/>
    </row>
    <row r="3059" spans="1:11" x14ac:dyDescent="0.25">
      <c r="A3059" t="e">
        <f>-LqfLWU2cuiKxt9LHIff</f>
        <v>#NAME?</v>
      </c>
      <c r="B3059">
        <v>393.75</v>
      </c>
      <c r="C3059">
        <v>20.584240000000001</v>
      </c>
      <c r="D3059">
        <v>64</v>
      </c>
      <c r="E3059">
        <v>0</v>
      </c>
      <c r="F3059">
        <v>0</v>
      </c>
      <c r="G3059">
        <v>66</v>
      </c>
      <c r="H3059" s="4">
        <v>1570537870023</v>
      </c>
      <c r="I3059">
        <v>526.6875</v>
      </c>
      <c r="J3059" s="9">
        <f t="shared" si="47"/>
        <v>43746.813310451391</v>
      </c>
      <c r="K3059" s="1"/>
    </row>
    <row r="3060" spans="1:11" x14ac:dyDescent="0.25">
      <c r="A3060" t="e">
        <f>-LqfLcNAzXUO7t4kIGIG</f>
        <v>#NAME?</v>
      </c>
      <c r="B3060">
        <v>393.75</v>
      </c>
      <c r="C3060">
        <v>20.584240000000001</v>
      </c>
      <c r="D3060">
        <v>54</v>
      </c>
      <c r="E3060">
        <v>0</v>
      </c>
      <c r="F3060">
        <v>0</v>
      </c>
      <c r="G3060">
        <v>0</v>
      </c>
      <c r="H3060" s="4">
        <v>1570537898233</v>
      </c>
      <c r="I3060">
        <v>526.6875</v>
      </c>
      <c r="J3060" s="9">
        <f t="shared" si="47"/>
        <v>43746.813636956016</v>
      </c>
      <c r="K3060" s="1"/>
    </row>
    <row r="3061" spans="1:11" x14ac:dyDescent="0.25">
      <c r="A3061" t="e">
        <f>-LqfLdqEYvj3QTfc4DiO</f>
        <v>#NAME?</v>
      </c>
      <c r="B3061">
        <v>393.75</v>
      </c>
      <c r="C3061">
        <v>20.531590000000001</v>
      </c>
      <c r="D3061">
        <v>54</v>
      </c>
      <c r="E3061">
        <v>0</v>
      </c>
      <c r="F3061">
        <v>0</v>
      </c>
      <c r="G3061">
        <v>0</v>
      </c>
      <c r="H3061" s="4">
        <v>1570537904373</v>
      </c>
      <c r="I3061">
        <v>526.6875</v>
      </c>
      <c r="J3061" s="9">
        <f t="shared" si="47"/>
        <v>43746.813708020833</v>
      </c>
      <c r="K3061" s="1"/>
    </row>
    <row r="3062" spans="1:11" x14ac:dyDescent="0.25">
      <c r="A3062" t="e">
        <f>-LqfLf_3OgMNfcUHo1r_</f>
        <v>#NAME?</v>
      </c>
      <c r="B3062">
        <v>393.75</v>
      </c>
      <c r="C3062">
        <v>20.584240000000001</v>
      </c>
      <c r="D3062">
        <v>56</v>
      </c>
      <c r="E3062">
        <v>0</v>
      </c>
      <c r="F3062">
        <v>0</v>
      </c>
      <c r="G3062">
        <v>0</v>
      </c>
      <c r="H3062" s="4">
        <v>1570537911592</v>
      </c>
      <c r="I3062">
        <v>526.6875</v>
      </c>
      <c r="J3062" s="9">
        <f t="shared" si="47"/>
        <v>43746.813791574074</v>
      </c>
      <c r="K3062" s="1"/>
    </row>
    <row r="3063" spans="1:11" x14ac:dyDescent="0.25">
      <c r="A3063" t="e">
        <f>-LqfLhMOWZ-fc0Y9ngx8</f>
        <v>#NAME?</v>
      </c>
      <c r="B3063">
        <v>393.75</v>
      </c>
      <c r="C3063">
        <v>20.531590000000001</v>
      </c>
      <c r="D3063">
        <v>57</v>
      </c>
      <c r="E3063">
        <v>0</v>
      </c>
      <c r="F3063">
        <v>0</v>
      </c>
      <c r="G3063">
        <v>0</v>
      </c>
      <c r="H3063" s="4">
        <v>1570537917772</v>
      </c>
      <c r="I3063">
        <v>526.5</v>
      </c>
      <c r="J3063" s="9">
        <f t="shared" si="47"/>
        <v>43746.813863101845</v>
      </c>
      <c r="K3063" s="1"/>
    </row>
    <row r="3064" spans="1:11" x14ac:dyDescent="0.25">
      <c r="A3064" t="e">
        <f>-LqfLj96IB90JHVMhowL</f>
        <v>#NAME?</v>
      </c>
      <c r="B3064">
        <v>393.75</v>
      </c>
      <c r="C3064">
        <v>20.584240000000001</v>
      </c>
      <c r="D3064">
        <v>61</v>
      </c>
      <c r="E3064">
        <v>0</v>
      </c>
      <c r="F3064">
        <v>0</v>
      </c>
      <c r="G3064">
        <v>1</v>
      </c>
      <c r="H3064" s="4">
        <v>1570537926022</v>
      </c>
      <c r="I3064">
        <v>526.6875</v>
      </c>
      <c r="J3064" s="9">
        <f t="shared" si="47"/>
        <v>43746.813958587962</v>
      </c>
      <c r="K3064" s="1"/>
    </row>
    <row r="3065" spans="1:11" x14ac:dyDescent="0.25">
      <c r="A3065" t="s">
        <v>163</v>
      </c>
      <c r="B3065">
        <v>393.75</v>
      </c>
      <c r="C3065">
        <v>20.531590000000001</v>
      </c>
      <c r="D3065">
        <v>62</v>
      </c>
      <c r="E3065">
        <v>0</v>
      </c>
      <c r="F3065">
        <v>0</v>
      </c>
      <c r="G3065">
        <v>3</v>
      </c>
      <c r="H3065" s="4">
        <v>1570537933203</v>
      </c>
      <c r="I3065">
        <v>526.6875</v>
      </c>
      <c r="J3065" s="9">
        <f t="shared" si="47"/>
        <v>43746.814041701386</v>
      </c>
      <c r="K3065" s="1"/>
    </row>
    <row r="3066" spans="1:11" x14ac:dyDescent="0.25">
      <c r="A3066" t="e">
        <f>-LqfLmRN5B1rdBbpYLL5</f>
        <v>#NAME?</v>
      </c>
      <c r="B3066">
        <v>393.75</v>
      </c>
      <c r="C3066">
        <v>20.584240000000001</v>
      </c>
      <c r="D3066">
        <v>62</v>
      </c>
      <c r="E3066">
        <v>0</v>
      </c>
      <c r="F3066">
        <v>0</v>
      </c>
      <c r="G3066">
        <v>5</v>
      </c>
      <c r="H3066" s="4">
        <v>1570537939414</v>
      </c>
      <c r="I3066">
        <v>526.5</v>
      </c>
      <c r="J3066" s="9">
        <f t="shared" si="47"/>
        <v>43746.814113587963</v>
      </c>
      <c r="K3066" s="1"/>
    </row>
    <row r="3067" spans="1:11" x14ac:dyDescent="0.25">
      <c r="A3067" t="e">
        <f>-LqfLoP0ZAf_TiaJqBzW</f>
        <v>#NAME?</v>
      </c>
      <c r="B3067">
        <v>393.75</v>
      </c>
      <c r="C3067">
        <v>20.584240000000001</v>
      </c>
      <c r="D3067">
        <v>64</v>
      </c>
      <c r="E3067">
        <v>0</v>
      </c>
      <c r="F3067">
        <v>0</v>
      </c>
      <c r="G3067">
        <v>0</v>
      </c>
      <c r="H3067" s="4">
        <v>1570537947738</v>
      </c>
      <c r="I3067">
        <v>526.6875</v>
      </c>
      <c r="J3067" s="9">
        <f t="shared" si="47"/>
        <v>43746.814209930548</v>
      </c>
      <c r="K3067" s="1"/>
    </row>
    <row r="3068" spans="1:11" x14ac:dyDescent="0.25">
      <c r="A3068" t="e">
        <f>-LqfLptJlLYvYn7ha2nU</f>
        <v>#NAME?</v>
      </c>
      <c r="B3068">
        <v>393.75</v>
      </c>
      <c r="C3068">
        <v>20.584240000000001</v>
      </c>
      <c r="D3068">
        <v>66</v>
      </c>
      <c r="E3068">
        <v>0</v>
      </c>
      <c r="F3068">
        <v>0</v>
      </c>
      <c r="G3068">
        <v>1</v>
      </c>
      <c r="H3068" s="4">
        <v>1570537953851</v>
      </c>
      <c r="I3068">
        <v>526.5</v>
      </c>
      <c r="J3068" s="9">
        <f t="shared" si="47"/>
        <v>43746.814280682869</v>
      </c>
      <c r="K3068" s="1"/>
    </row>
    <row r="3069" spans="1:11" x14ac:dyDescent="0.25">
      <c r="A3069" t="e">
        <f>-LqfLrSCDkXm6rEWHaG8</f>
        <v>#NAME?</v>
      </c>
      <c r="B3069">
        <v>393.75</v>
      </c>
      <c r="C3069">
        <v>20.584240000000001</v>
      </c>
      <c r="D3069">
        <v>66</v>
      </c>
      <c r="E3069">
        <v>0</v>
      </c>
      <c r="F3069">
        <v>0</v>
      </c>
      <c r="G3069">
        <v>4</v>
      </c>
      <c r="H3069" s="4">
        <v>1570537960004</v>
      </c>
      <c r="I3069">
        <v>526.6875</v>
      </c>
      <c r="J3069" s="9">
        <f t="shared" si="47"/>
        <v>43746.814351898145</v>
      </c>
      <c r="K3069" s="1"/>
    </row>
    <row r="3070" spans="1:11" x14ac:dyDescent="0.25">
      <c r="A3070" t="e">
        <f>-LqfLsv4QgAN1km1c0qp</f>
        <v>#NAME?</v>
      </c>
      <c r="B3070">
        <v>393.75</v>
      </c>
      <c r="C3070">
        <v>20.584240000000001</v>
      </c>
      <c r="D3070">
        <v>67</v>
      </c>
      <c r="E3070">
        <v>0</v>
      </c>
      <c r="F3070">
        <v>0</v>
      </c>
      <c r="G3070">
        <v>0</v>
      </c>
      <c r="H3070" s="4">
        <v>1570537966224</v>
      </c>
      <c r="I3070">
        <v>526.6875</v>
      </c>
      <c r="J3070" s="9">
        <f t="shared" si="47"/>
        <v>43746.814423888885</v>
      </c>
      <c r="K3070" s="1"/>
    </row>
    <row r="3071" spans="1:11" x14ac:dyDescent="0.25">
      <c r="A3071" t="e">
        <f>-LqfLunC1laa5fYpTATB</f>
        <v>#NAME?</v>
      </c>
      <c r="B3071">
        <v>393.75</v>
      </c>
      <c r="C3071">
        <v>20.584240000000001</v>
      </c>
      <c r="D3071">
        <v>67</v>
      </c>
      <c r="E3071">
        <v>0</v>
      </c>
      <c r="F3071">
        <v>0</v>
      </c>
      <c r="G3071">
        <v>0</v>
      </c>
      <c r="H3071" s="4">
        <v>1570537973860</v>
      </c>
      <c r="I3071">
        <v>526.6875</v>
      </c>
      <c r="J3071" s="9">
        <f t="shared" si="47"/>
        <v>43746.814512268516</v>
      </c>
      <c r="K3071" s="1"/>
    </row>
    <row r="3072" spans="1:11" x14ac:dyDescent="0.25">
      <c r="A3072" t="e">
        <f>-LqfLwQmlaQ-DbuyhTuc</f>
        <v>#NAME?</v>
      </c>
      <c r="B3072">
        <v>393.75</v>
      </c>
      <c r="C3072">
        <v>20.584240000000001</v>
      </c>
      <c r="D3072">
        <v>65</v>
      </c>
      <c r="E3072">
        <v>0</v>
      </c>
      <c r="F3072">
        <v>0</v>
      </c>
      <c r="G3072">
        <v>0</v>
      </c>
      <c r="H3072" s="4">
        <v>1570537980632</v>
      </c>
      <c r="I3072">
        <v>526.6875</v>
      </c>
      <c r="J3072" s="9">
        <f t="shared" si="47"/>
        <v>43746.814590648144</v>
      </c>
      <c r="K3072" s="1"/>
    </row>
    <row r="3073" spans="1:11" x14ac:dyDescent="0.25">
      <c r="A3073" t="s">
        <v>164</v>
      </c>
      <c r="B3073">
        <v>393.75</v>
      </c>
      <c r="C3073">
        <v>20.584240000000001</v>
      </c>
      <c r="D3073">
        <v>66</v>
      </c>
      <c r="E3073">
        <v>0</v>
      </c>
      <c r="F3073">
        <v>0</v>
      </c>
      <c r="G3073">
        <v>9</v>
      </c>
      <c r="H3073" s="4">
        <v>1570537986823</v>
      </c>
      <c r="I3073">
        <v>526.6875</v>
      </c>
      <c r="J3073" s="9">
        <f t="shared" si="47"/>
        <v>43746.814662303237</v>
      </c>
      <c r="K3073" s="1"/>
    </row>
    <row r="3074" spans="1:11" x14ac:dyDescent="0.25">
      <c r="A3074" t="e">
        <f>-LqfLzgp_TaDYhYcgPr7</f>
        <v>#NAME?</v>
      </c>
      <c r="B3074">
        <v>415.625</v>
      </c>
      <c r="C3074">
        <v>20.478950000000001</v>
      </c>
      <c r="D3074">
        <v>64</v>
      </c>
      <c r="E3074">
        <v>0</v>
      </c>
      <c r="F3074">
        <v>0</v>
      </c>
      <c r="G3074">
        <v>0</v>
      </c>
      <c r="H3074" s="4">
        <v>1570537994004</v>
      </c>
      <c r="I3074">
        <v>533.625</v>
      </c>
      <c r="J3074" s="9">
        <f t="shared" si="47"/>
        <v>43746.814745416668</v>
      </c>
      <c r="K3074" s="1"/>
    </row>
    <row r="3075" spans="1:11" x14ac:dyDescent="0.25">
      <c r="A3075" t="e">
        <f>-LqfM0GvP-k9CI95poK0</f>
        <v>#NAME?</v>
      </c>
      <c r="B3075">
        <v>393.75</v>
      </c>
      <c r="C3075">
        <v>20.531590000000001</v>
      </c>
      <c r="D3075">
        <v>64</v>
      </c>
      <c r="E3075">
        <v>0</v>
      </c>
      <c r="F3075">
        <v>0</v>
      </c>
      <c r="G3075">
        <v>5</v>
      </c>
      <c r="H3075" s="4">
        <v>1570538000193</v>
      </c>
      <c r="I3075">
        <v>526.6875</v>
      </c>
      <c r="J3075" s="9">
        <f t="shared" ref="J3075:J3138" si="48">(H3075/86400000)+25569+(7/24)</f>
        <v>43746.814817048609</v>
      </c>
      <c r="K3075" s="1"/>
    </row>
    <row r="3076" spans="1:11" x14ac:dyDescent="0.25">
      <c r="A3076" t="e">
        <f>-LqfM1mBwXqd55TH9FcD</f>
        <v>#NAME?</v>
      </c>
      <c r="B3076">
        <v>393.75</v>
      </c>
      <c r="C3076">
        <v>20.584240000000001</v>
      </c>
      <c r="D3076">
        <v>64</v>
      </c>
      <c r="E3076">
        <v>0</v>
      </c>
      <c r="F3076">
        <v>0</v>
      </c>
      <c r="G3076">
        <v>9</v>
      </c>
      <c r="H3076" s="4">
        <v>1570538006404</v>
      </c>
      <c r="I3076">
        <v>526.6875</v>
      </c>
      <c r="J3076" s="9">
        <f t="shared" si="48"/>
        <v>43746.81488893518</v>
      </c>
      <c r="K3076" s="1"/>
    </row>
    <row r="3077" spans="1:11" x14ac:dyDescent="0.25">
      <c r="A3077" t="e">
        <f>-LqfM3GBWbZmVOQ3h-RI</f>
        <v>#NAME?</v>
      </c>
      <c r="B3077">
        <v>393.75</v>
      </c>
      <c r="C3077">
        <v>20.584240000000001</v>
      </c>
      <c r="D3077">
        <v>65</v>
      </c>
      <c r="E3077">
        <v>0</v>
      </c>
      <c r="F3077">
        <v>0</v>
      </c>
      <c r="G3077">
        <v>0</v>
      </c>
      <c r="H3077" s="4">
        <v>1570538012571</v>
      </c>
      <c r="I3077">
        <v>526.5</v>
      </c>
      <c r="J3077" s="9">
        <f t="shared" si="48"/>
        <v>43746.814960312498</v>
      </c>
      <c r="K3077" s="1"/>
    </row>
    <row r="3078" spans="1:11" x14ac:dyDescent="0.25">
      <c r="A3078" t="e">
        <f>-LqfM4o7KBySViUsxT4s</f>
        <v>#NAME?</v>
      </c>
      <c r="B3078">
        <v>412.5</v>
      </c>
      <c r="C3078">
        <v>20.584240000000001</v>
      </c>
      <c r="D3078">
        <v>65</v>
      </c>
      <c r="E3078">
        <v>0</v>
      </c>
      <c r="F3078">
        <v>0</v>
      </c>
      <c r="G3078">
        <v>0</v>
      </c>
      <c r="H3078" s="4">
        <v>1570538018763</v>
      </c>
      <c r="I3078">
        <v>532.3125</v>
      </c>
      <c r="J3078" s="9">
        <f t="shared" si="48"/>
        <v>43746.815031979168</v>
      </c>
      <c r="K3078" s="1"/>
    </row>
    <row r="3079" spans="1:11" x14ac:dyDescent="0.25">
      <c r="A3079" t="e">
        <f>-LqfM6Vp15wVR69fwR7Q</f>
        <v>#NAME?</v>
      </c>
      <c r="B3079">
        <v>393.75</v>
      </c>
      <c r="C3079">
        <v>20.584240000000001</v>
      </c>
      <c r="D3079">
        <v>67</v>
      </c>
      <c r="E3079">
        <v>0</v>
      </c>
      <c r="F3079">
        <v>0</v>
      </c>
      <c r="G3079">
        <v>7</v>
      </c>
      <c r="H3079" s="4">
        <v>1570538025983</v>
      </c>
      <c r="I3079">
        <v>526.5</v>
      </c>
      <c r="J3079" s="9">
        <f t="shared" si="48"/>
        <v>43746.815115543977</v>
      </c>
      <c r="K3079" s="1"/>
    </row>
    <row r="3080" spans="1:11" x14ac:dyDescent="0.25">
      <c r="A3080" t="e">
        <f>-LqfM8K4CJ6lodN12i9m</f>
        <v>#NAME?</v>
      </c>
      <c r="B3080">
        <v>393.75</v>
      </c>
      <c r="C3080">
        <v>20.584240000000001</v>
      </c>
      <c r="D3080">
        <v>66</v>
      </c>
      <c r="E3080">
        <v>0</v>
      </c>
      <c r="F3080">
        <v>0</v>
      </c>
      <c r="G3080">
        <v>11</v>
      </c>
      <c r="H3080" s="4">
        <v>1570538033192</v>
      </c>
      <c r="I3080">
        <v>526.6875</v>
      </c>
      <c r="J3080" s="9">
        <f t="shared" si="48"/>
        <v>43746.81519898148</v>
      </c>
      <c r="K3080" s="1"/>
    </row>
    <row r="3081" spans="1:11" x14ac:dyDescent="0.25">
      <c r="A3081" t="e">
        <f>-LqfMA0qpsSuRjIFjhmI</f>
        <v>#NAME?</v>
      </c>
      <c r="B3081">
        <v>393.75</v>
      </c>
      <c r="C3081">
        <v>20.584240000000001</v>
      </c>
      <c r="D3081">
        <v>65</v>
      </c>
      <c r="E3081">
        <v>0</v>
      </c>
      <c r="F3081">
        <v>0</v>
      </c>
      <c r="G3081">
        <v>6</v>
      </c>
      <c r="H3081" s="4">
        <v>1570538040404</v>
      </c>
      <c r="I3081">
        <v>526.6875</v>
      </c>
      <c r="J3081" s="9">
        <f t="shared" si="48"/>
        <v>43746.815282453703</v>
      </c>
      <c r="K3081" s="1"/>
    </row>
    <row r="3082" spans="1:11" x14ac:dyDescent="0.25">
      <c r="A3082" t="e">
        <f>-LqfMBsR_WH6Bk8g8JR2</f>
        <v>#NAME?</v>
      </c>
      <c r="B3082">
        <v>393.75</v>
      </c>
      <c r="C3082">
        <v>20.584240000000001</v>
      </c>
      <c r="D3082">
        <v>65</v>
      </c>
      <c r="E3082">
        <v>0</v>
      </c>
      <c r="F3082">
        <v>0</v>
      </c>
      <c r="G3082">
        <v>14</v>
      </c>
      <c r="H3082" s="4">
        <v>1570538047622</v>
      </c>
      <c r="I3082">
        <v>526.5</v>
      </c>
      <c r="J3082" s="9">
        <f t="shared" si="48"/>
        <v>43746.815365995368</v>
      </c>
      <c r="K3082" s="1"/>
    </row>
    <row r="3083" spans="1:11" x14ac:dyDescent="0.25">
      <c r="A3083" t="e">
        <f>-LqfMD_ClpU3lvREBbeE</f>
        <v>#NAME?</v>
      </c>
      <c r="B3083">
        <v>393.75</v>
      </c>
      <c r="C3083">
        <v>20.584240000000001</v>
      </c>
      <c r="D3083">
        <v>65</v>
      </c>
      <c r="E3083">
        <v>0</v>
      </c>
      <c r="F3083">
        <v>0</v>
      </c>
      <c r="G3083">
        <v>7</v>
      </c>
      <c r="H3083" s="4">
        <v>1570538054806</v>
      </c>
      <c r="I3083">
        <v>526.6875</v>
      </c>
      <c r="J3083" s="9">
        <f t="shared" si="48"/>
        <v>43746.81544914352</v>
      </c>
      <c r="K3083" s="1"/>
    </row>
    <row r="3084" spans="1:11" x14ac:dyDescent="0.25">
      <c r="A3084" t="e">
        <f>-LqfMF7BYwOpg3AkOTLK</f>
        <v>#NAME?</v>
      </c>
      <c r="B3084">
        <v>393.75</v>
      </c>
      <c r="C3084">
        <v>20.584240000000001</v>
      </c>
      <c r="D3084">
        <v>65</v>
      </c>
      <c r="E3084">
        <v>0</v>
      </c>
      <c r="F3084">
        <v>0</v>
      </c>
      <c r="G3084">
        <v>15</v>
      </c>
      <c r="H3084" s="4">
        <v>1570538061013</v>
      </c>
      <c r="I3084">
        <v>526.6875</v>
      </c>
      <c r="J3084" s="9">
        <f t="shared" si="48"/>
        <v>43746.815520983793</v>
      </c>
      <c r="K3084" s="1"/>
    </row>
    <row r="3085" spans="1:11" x14ac:dyDescent="0.25">
      <c r="A3085" t="e">
        <f>-LqfMGrJoTzvxPWN0iAx</f>
        <v>#NAME?</v>
      </c>
      <c r="B3085">
        <v>393.75</v>
      </c>
      <c r="C3085">
        <v>20.531590000000001</v>
      </c>
      <c r="D3085">
        <v>66</v>
      </c>
      <c r="E3085">
        <v>0</v>
      </c>
      <c r="F3085">
        <v>0</v>
      </c>
      <c r="G3085">
        <v>6</v>
      </c>
      <c r="H3085" s="4">
        <v>1570538068251</v>
      </c>
      <c r="I3085">
        <v>526.6875</v>
      </c>
      <c r="J3085" s="9">
        <f t="shared" si="48"/>
        <v>43746.815604756943</v>
      </c>
      <c r="K3085" s="1"/>
    </row>
    <row r="3086" spans="1:11" x14ac:dyDescent="0.25">
      <c r="A3086" t="e">
        <f>-LqfMIe8j8lzs5ZIh1A2</f>
        <v>#NAME?</v>
      </c>
      <c r="B3086">
        <v>393.75</v>
      </c>
      <c r="C3086">
        <v>20.531590000000001</v>
      </c>
      <c r="D3086">
        <v>66</v>
      </c>
      <c r="E3086">
        <v>0</v>
      </c>
      <c r="F3086">
        <v>0</v>
      </c>
      <c r="G3086">
        <v>9</v>
      </c>
      <c r="H3086" s="4">
        <v>1570538075443</v>
      </c>
      <c r="I3086">
        <v>526.6875</v>
      </c>
      <c r="J3086" s="9">
        <f t="shared" si="48"/>
        <v>43746.815687997681</v>
      </c>
      <c r="K3086" s="1"/>
    </row>
    <row r="3087" spans="1:11" x14ac:dyDescent="0.25">
      <c r="A3087" t="e">
        <f>-LqfMKhObwq76sH8XEKs</f>
        <v>#NAME?</v>
      </c>
      <c r="B3087">
        <v>393.75</v>
      </c>
      <c r="C3087">
        <v>20.584240000000001</v>
      </c>
      <c r="D3087">
        <v>66</v>
      </c>
      <c r="E3087">
        <v>0</v>
      </c>
      <c r="F3087">
        <v>0</v>
      </c>
      <c r="G3087">
        <v>8</v>
      </c>
      <c r="H3087" s="4">
        <v>1570538082642</v>
      </c>
      <c r="I3087">
        <v>526.6875</v>
      </c>
      <c r="J3087" s="9">
        <f t="shared" si="48"/>
        <v>43746.815771319445</v>
      </c>
      <c r="K3087" s="1"/>
    </row>
    <row r="3088" spans="1:11" x14ac:dyDescent="0.25">
      <c r="A3088" t="e">
        <f>-LqfMMOALKsZOiAOSpxL</f>
        <v>#NAME?</v>
      </c>
      <c r="B3088">
        <v>393.75</v>
      </c>
      <c r="C3088">
        <v>20.584240000000001</v>
      </c>
      <c r="D3088">
        <v>65</v>
      </c>
      <c r="E3088">
        <v>0</v>
      </c>
      <c r="F3088">
        <v>0</v>
      </c>
      <c r="G3088">
        <v>7</v>
      </c>
      <c r="H3088" s="4">
        <v>1570538090903</v>
      </c>
      <c r="I3088">
        <v>526.6875</v>
      </c>
      <c r="J3088" s="9">
        <f t="shared" si="48"/>
        <v>43746.81586693287</v>
      </c>
      <c r="K3088" s="1"/>
    </row>
    <row r="3089" spans="1:11" x14ac:dyDescent="0.25">
      <c r="A3089" t="e">
        <f>-LqfMO7AIse53hYVtky6</f>
        <v>#NAME?</v>
      </c>
      <c r="B3089">
        <v>393.75</v>
      </c>
      <c r="C3089">
        <v>20.584240000000001</v>
      </c>
      <c r="D3089">
        <v>65</v>
      </c>
      <c r="E3089">
        <v>0</v>
      </c>
      <c r="F3089">
        <v>0</v>
      </c>
      <c r="G3089">
        <v>9</v>
      </c>
      <c r="H3089" s="4">
        <v>1570538098113</v>
      </c>
      <c r="I3089">
        <v>526.6875</v>
      </c>
      <c r="J3089" s="9">
        <f t="shared" si="48"/>
        <v>43746.815950381941</v>
      </c>
      <c r="K3089" s="1"/>
    </row>
    <row r="3090" spans="1:11" x14ac:dyDescent="0.25">
      <c r="A3090" t="e">
        <f>-LqfMPgI6C3AWnnDvwrB</f>
        <v>#NAME?</v>
      </c>
      <c r="B3090">
        <v>412.5</v>
      </c>
      <c r="C3090">
        <v>20.584240000000001</v>
      </c>
      <c r="D3090">
        <v>65</v>
      </c>
      <c r="E3090">
        <v>0</v>
      </c>
      <c r="F3090">
        <v>0</v>
      </c>
      <c r="G3090">
        <v>9</v>
      </c>
      <c r="H3090" s="4">
        <v>1570538104292</v>
      </c>
      <c r="I3090">
        <v>532.125</v>
      </c>
      <c r="J3090" s="9">
        <f t="shared" si="48"/>
        <v>43746.816021898143</v>
      </c>
      <c r="K3090" s="1"/>
    </row>
    <row r="3091" spans="1:11" x14ac:dyDescent="0.25">
      <c r="A3091" t="e">
        <f>-LqfMRPAwcxUptc7YOgC</f>
        <v>#NAME?</v>
      </c>
      <c r="B3091">
        <v>393.75</v>
      </c>
      <c r="C3091">
        <v>20.531590000000001</v>
      </c>
      <c r="D3091">
        <v>67</v>
      </c>
      <c r="E3091">
        <v>0</v>
      </c>
      <c r="F3091">
        <v>0</v>
      </c>
      <c r="G3091">
        <v>9</v>
      </c>
      <c r="H3091" s="4">
        <v>1570538111514</v>
      </c>
      <c r="I3091">
        <v>526.6875</v>
      </c>
      <c r="J3091" s="9">
        <f t="shared" si="48"/>
        <v>43746.816105486105</v>
      </c>
      <c r="K3091" s="1"/>
    </row>
    <row r="3092" spans="1:11" x14ac:dyDescent="0.25">
      <c r="A3092" t="e">
        <f>-LqfMSyJ5ECwcRQHWUfQ</f>
        <v>#NAME?</v>
      </c>
      <c r="B3092">
        <v>393.75</v>
      </c>
      <c r="C3092">
        <v>20.584240000000001</v>
      </c>
      <c r="D3092">
        <v>65</v>
      </c>
      <c r="E3092">
        <v>0</v>
      </c>
      <c r="F3092">
        <v>0</v>
      </c>
      <c r="G3092">
        <v>9</v>
      </c>
      <c r="H3092" s="4">
        <v>1570538117664</v>
      </c>
      <c r="I3092">
        <v>526.6875</v>
      </c>
      <c r="J3092" s="9">
        <f t="shared" si="48"/>
        <v>43746.816176666667</v>
      </c>
      <c r="K3092" s="1"/>
    </row>
    <row r="3093" spans="1:11" x14ac:dyDescent="0.25">
      <c r="A3093" t="s">
        <v>165</v>
      </c>
      <c r="B3093">
        <v>412.5</v>
      </c>
      <c r="C3093">
        <v>20.531590000000001</v>
      </c>
      <c r="D3093">
        <v>65</v>
      </c>
      <c r="E3093">
        <v>0</v>
      </c>
      <c r="F3093">
        <v>0</v>
      </c>
      <c r="G3093">
        <v>13</v>
      </c>
      <c r="H3093" s="4">
        <v>1570538124882</v>
      </c>
      <c r="I3093">
        <v>532.3125</v>
      </c>
      <c r="J3093" s="9">
        <f t="shared" si="48"/>
        <v>43746.816260208332</v>
      </c>
      <c r="K3093" s="1"/>
    </row>
    <row r="3094" spans="1:11" x14ac:dyDescent="0.25">
      <c r="A3094" t="e">
        <f>-LqfMWhIiZPqcxSRVkcD</f>
        <v>#NAME?</v>
      </c>
      <c r="B3094">
        <v>393.75</v>
      </c>
      <c r="C3094">
        <v>20.584240000000001</v>
      </c>
      <c r="D3094">
        <v>66</v>
      </c>
      <c r="E3094">
        <v>0</v>
      </c>
      <c r="F3094">
        <v>0</v>
      </c>
      <c r="G3094">
        <v>0</v>
      </c>
      <c r="H3094" s="4">
        <v>1570538133157</v>
      </c>
      <c r="I3094">
        <v>526.6875</v>
      </c>
      <c r="J3094" s="9">
        <f t="shared" si="48"/>
        <v>43746.816355983792</v>
      </c>
      <c r="K3094" s="1"/>
    </row>
    <row r="3095" spans="1:11" x14ac:dyDescent="0.25">
      <c r="A3095" t="e">
        <f>-LqfMYkO4UmN6AhzyOvj</f>
        <v>#NAME?</v>
      </c>
      <c r="B3095">
        <v>393.75</v>
      </c>
      <c r="C3095">
        <v>20.531590000000001</v>
      </c>
      <c r="D3095">
        <v>65</v>
      </c>
      <c r="E3095">
        <v>0</v>
      </c>
      <c r="F3095">
        <v>0</v>
      </c>
      <c r="G3095">
        <v>8</v>
      </c>
      <c r="H3095" s="4">
        <v>1570538140367</v>
      </c>
      <c r="I3095">
        <v>526.6875</v>
      </c>
      <c r="J3095" s="9">
        <f t="shared" si="48"/>
        <v>43746.816439432871</v>
      </c>
      <c r="K3095" s="1"/>
    </row>
    <row r="3096" spans="1:11" x14ac:dyDescent="0.25">
      <c r="A3096" t="e">
        <f>-LqfM_TCK1rweY2q2ZW_</f>
        <v>#NAME?</v>
      </c>
      <c r="B3096">
        <v>393.75</v>
      </c>
      <c r="C3096">
        <v>20.584240000000001</v>
      </c>
      <c r="D3096">
        <v>64</v>
      </c>
      <c r="E3096">
        <v>0</v>
      </c>
      <c r="F3096">
        <v>0</v>
      </c>
      <c r="G3096">
        <v>6</v>
      </c>
      <c r="H3096" s="4">
        <v>1570538148587</v>
      </c>
      <c r="I3096">
        <v>526.6875</v>
      </c>
      <c r="J3096" s="9">
        <f t="shared" si="48"/>
        <v>43746.816534571757</v>
      </c>
      <c r="K3096" s="1"/>
    </row>
    <row r="3097" spans="1:11" x14ac:dyDescent="0.25">
      <c r="A3097" t="e">
        <f>-LqfMb2NdluAzwA8Xzec</f>
        <v>#NAME?</v>
      </c>
      <c r="B3097">
        <v>393.75</v>
      </c>
      <c r="C3097">
        <v>20.584240000000001</v>
      </c>
      <c r="D3097">
        <v>65</v>
      </c>
      <c r="E3097">
        <v>0</v>
      </c>
      <c r="F3097">
        <v>0</v>
      </c>
      <c r="G3097">
        <v>11</v>
      </c>
      <c r="H3097" s="4">
        <v>1570538154797</v>
      </c>
      <c r="I3097">
        <v>526.6875</v>
      </c>
      <c r="J3097" s="9">
        <f t="shared" si="48"/>
        <v>43746.816606446759</v>
      </c>
      <c r="K3097" s="1"/>
    </row>
    <row r="3098" spans="1:11" x14ac:dyDescent="0.25">
      <c r="A3098" t="e">
        <f>-LqfMckFOCZS6NG3HhRu</f>
        <v>#NAME?</v>
      </c>
      <c r="B3098">
        <v>393.75</v>
      </c>
      <c r="C3098">
        <v>20.584240000000001</v>
      </c>
      <c r="D3098">
        <v>65</v>
      </c>
      <c r="E3098">
        <v>0</v>
      </c>
      <c r="F3098">
        <v>0</v>
      </c>
      <c r="G3098">
        <v>2</v>
      </c>
      <c r="H3098" s="4">
        <v>1570538162006</v>
      </c>
      <c r="I3098">
        <v>526.6875</v>
      </c>
      <c r="J3098" s="9">
        <f t="shared" si="48"/>
        <v>43746.816689884254</v>
      </c>
      <c r="K3098" s="1"/>
    </row>
    <row r="3099" spans="1:11" x14ac:dyDescent="0.25">
      <c r="A3099" t="e">
        <f>-LqfMeYEzdoAGOQsBPBU</f>
        <v>#NAME?</v>
      </c>
      <c r="B3099">
        <v>393.75</v>
      </c>
      <c r="C3099">
        <v>20.584240000000001</v>
      </c>
      <c r="D3099">
        <v>65</v>
      </c>
      <c r="E3099">
        <v>0</v>
      </c>
      <c r="F3099">
        <v>0</v>
      </c>
      <c r="G3099">
        <v>11</v>
      </c>
      <c r="H3099" s="4">
        <v>1570538169225</v>
      </c>
      <c r="I3099">
        <v>526.6875</v>
      </c>
      <c r="J3099" s="9">
        <f t="shared" si="48"/>
        <v>43746.816773437495</v>
      </c>
      <c r="K3099" s="1"/>
    </row>
    <row r="3100" spans="1:11" x14ac:dyDescent="0.25">
      <c r="A3100" t="e">
        <f>-LqfMgGCOKxXcUFp1Zco</f>
        <v>#NAME?</v>
      </c>
      <c r="B3100">
        <v>393.75</v>
      </c>
      <c r="C3100">
        <v>20.584240000000001</v>
      </c>
      <c r="D3100">
        <v>64</v>
      </c>
      <c r="E3100">
        <v>0</v>
      </c>
      <c r="F3100">
        <v>0</v>
      </c>
      <c r="G3100">
        <v>7</v>
      </c>
      <c r="H3100" s="4">
        <v>1570538176407</v>
      </c>
      <c r="I3100">
        <v>526.6875</v>
      </c>
      <c r="J3100" s="9">
        <f t="shared" si="48"/>
        <v>43746.816856562502</v>
      </c>
      <c r="K3100" s="1"/>
    </row>
    <row r="3101" spans="1:11" x14ac:dyDescent="0.25">
      <c r="A3101" t="e">
        <f>-LqfMhpEhyxmpFf-_U9k</f>
        <v>#NAME?</v>
      </c>
      <c r="B3101">
        <v>393.75</v>
      </c>
      <c r="C3101">
        <v>20.584240000000001</v>
      </c>
      <c r="D3101">
        <v>64</v>
      </c>
      <c r="E3101">
        <v>0</v>
      </c>
      <c r="F3101">
        <v>0</v>
      </c>
      <c r="G3101">
        <v>6</v>
      </c>
      <c r="H3101" s="4">
        <v>1570538182605</v>
      </c>
      <c r="I3101">
        <v>526.5</v>
      </c>
      <c r="J3101" s="9">
        <f t="shared" si="48"/>
        <v>43746.816928298613</v>
      </c>
      <c r="K3101" s="1"/>
    </row>
    <row r="3102" spans="1:11" x14ac:dyDescent="0.25">
      <c r="A3102" t="e">
        <f>-LqfMjmMu4Rb0o9vx9wo</f>
        <v>#NAME?</v>
      </c>
      <c r="B3102">
        <v>393.75</v>
      </c>
      <c r="C3102">
        <v>20.531590000000001</v>
      </c>
      <c r="D3102">
        <v>64</v>
      </c>
      <c r="E3102">
        <v>0</v>
      </c>
      <c r="F3102">
        <v>0</v>
      </c>
      <c r="G3102">
        <v>2</v>
      </c>
      <c r="H3102" s="4">
        <v>1570538190744</v>
      </c>
      <c r="I3102">
        <v>526.6875</v>
      </c>
      <c r="J3102" s="9">
        <f t="shared" si="48"/>
        <v>43746.817022499999</v>
      </c>
      <c r="K3102" s="1"/>
    </row>
    <row r="3103" spans="1:11" x14ac:dyDescent="0.25">
      <c r="A3103" t="e">
        <f>-LqfMlLE10IzTWG3QhFb</f>
        <v>#NAME?</v>
      </c>
      <c r="B3103">
        <v>393.75</v>
      </c>
      <c r="C3103">
        <v>20.584240000000001</v>
      </c>
      <c r="D3103">
        <v>65</v>
      </c>
      <c r="E3103">
        <v>0</v>
      </c>
      <c r="F3103">
        <v>0</v>
      </c>
      <c r="G3103">
        <v>12</v>
      </c>
      <c r="H3103" s="4">
        <v>1570538197045</v>
      </c>
      <c r="I3103">
        <v>526.6875</v>
      </c>
      <c r="J3103" s="9">
        <f t="shared" si="48"/>
        <v>43746.81709542824</v>
      </c>
      <c r="K3103" s="1"/>
    </row>
    <row r="3104" spans="1:11" x14ac:dyDescent="0.25">
      <c r="A3104" t="e">
        <f>-LqfMn3D1ojXGrTabdGU</f>
        <v>#NAME?</v>
      </c>
      <c r="B3104">
        <v>393.75</v>
      </c>
      <c r="C3104">
        <v>20.584240000000001</v>
      </c>
      <c r="D3104">
        <v>65</v>
      </c>
      <c r="E3104">
        <v>0</v>
      </c>
      <c r="F3104">
        <v>0</v>
      </c>
      <c r="G3104">
        <v>10</v>
      </c>
      <c r="H3104" s="4">
        <v>1570538204247</v>
      </c>
      <c r="I3104">
        <v>526.6875</v>
      </c>
      <c r="J3104" s="9">
        <f t="shared" si="48"/>
        <v>43746.817178784717</v>
      </c>
      <c r="K3104" s="1"/>
    </row>
    <row r="3105" spans="1:11" x14ac:dyDescent="0.25">
      <c r="A3105" t="e">
        <f>-LqfMorCdYMOfSiMB5Ke</f>
        <v>#NAME?</v>
      </c>
      <c r="B3105">
        <v>393.75</v>
      </c>
      <c r="C3105">
        <v>20.584240000000001</v>
      </c>
      <c r="D3105">
        <v>65</v>
      </c>
      <c r="E3105">
        <v>0</v>
      </c>
      <c r="F3105">
        <v>0</v>
      </c>
      <c r="G3105">
        <v>11</v>
      </c>
      <c r="H3105" s="4">
        <v>1570538211467</v>
      </c>
      <c r="I3105">
        <v>526.6875</v>
      </c>
      <c r="J3105" s="9">
        <f t="shared" si="48"/>
        <v>43746.817262349534</v>
      </c>
      <c r="K3105" s="1"/>
    </row>
    <row r="3106" spans="1:11" x14ac:dyDescent="0.25">
      <c r="A3106" t="e">
        <f>-LqfMqL6eY5iTmba5dEE</f>
        <v>#NAME?</v>
      </c>
      <c r="B3106">
        <v>393.75</v>
      </c>
      <c r="C3106">
        <v>20.584240000000001</v>
      </c>
      <c r="D3106">
        <v>65</v>
      </c>
      <c r="E3106">
        <v>0</v>
      </c>
      <c r="F3106">
        <v>0</v>
      </c>
      <c r="G3106">
        <v>9</v>
      </c>
      <c r="H3106" s="4">
        <v>1570538217647</v>
      </c>
      <c r="I3106">
        <v>526.6875</v>
      </c>
      <c r="J3106" s="9">
        <f t="shared" si="48"/>
        <v>43746.817333877312</v>
      </c>
      <c r="K3106" s="1"/>
    </row>
    <row r="3107" spans="1:11" x14ac:dyDescent="0.25">
      <c r="A3107" t="e">
        <f>-LqfMrpM2H4Ab7k3K59Q</f>
        <v>#NAME?</v>
      </c>
      <c r="B3107">
        <v>393.75</v>
      </c>
      <c r="C3107">
        <v>20.531590000000001</v>
      </c>
      <c r="D3107">
        <v>64</v>
      </c>
      <c r="E3107">
        <v>0</v>
      </c>
      <c r="F3107">
        <v>0</v>
      </c>
      <c r="G3107">
        <v>13</v>
      </c>
      <c r="H3107" s="4">
        <v>1570538223837</v>
      </c>
      <c r="I3107">
        <v>526.6875</v>
      </c>
      <c r="J3107" s="9">
        <f t="shared" si="48"/>
        <v>43746.817405520829</v>
      </c>
      <c r="K3107" s="1"/>
    </row>
    <row r="3108" spans="1:11" x14ac:dyDescent="0.25">
      <c r="A3108" t="s">
        <v>166</v>
      </c>
      <c r="B3108">
        <v>393.75</v>
      </c>
      <c r="C3108">
        <v>20.584240000000001</v>
      </c>
      <c r="D3108">
        <v>64</v>
      </c>
      <c r="E3108">
        <v>0</v>
      </c>
      <c r="F3108">
        <v>0</v>
      </c>
      <c r="G3108">
        <v>8</v>
      </c>
      <c r="H3108" s="4">
        <v>1570538230015</v>
      </c>
      <c r="I3108">
        <v>526.6875</v>
      </c>
      <c r="J3108" s="9">
        <f t="shared" si="48"/>
        <v>43746.817477025463</v>
      </c>
      <c r="K3108" s="1"/>
    </row>
    <row r="3109" spans="1:11" x14ac:dyDescent="0.25">
      <c r="A3109" t="e">
        <f>-LqfMv64uY8tSKmxIdQG</f>
        <v>#NAME?</v>
      </c>
      <c r="B3109">
        <v>393.75</v>
      </c>
      <c r="C3109">
        <v>20.478950000000001</v>
      </c>
      <c r="D3109">
        <v>64</v>
      </c>
      <c r="E3109">
        <v>0</v>
      </c>
      <c r="F3109">
        <v>0</v>
      </c>
      <c r="G3109">
        <v>10</v>
      </c>
      <c r="H3109" s="4">
        <v>1570538237207</v>
      </c>
      <c r="I3109">
        <v>526.5</v>
      </c>
      <c r="J3109" s="9">
        <f t="shared" si="48"/>
        <v>43746.817560266201</v>
      </c>
      <c r="K3109" s="1"/>
    </row>
    <row r="3110" spans="1:11" x14ac:dyDescent="0.25">
      <c r="A3110" t="e">
        <f>-LqfMwpEH9fYj-a6_cJ5</f>
        <v>#NAME?</v>
      </c>
      <c r="B3110">
        <v>393.75</v>
      </c>
      <c r="C3110">
        <v>20.584240000000001</v>
      </c>
      <c r="D3110">
        <v>63</v>
      </c>
      <c r="E3110">
        <v>0</v>
      </c>
      <c r="F3110">
        <v>0</v>
      </c>
      <c r="G3110">
        <v>7</v>
      </c>
      <c r="H3110" s="4">
        <v>1570538244306</v>
      </c>
      <c r="I3110">
        <v>526.6875</v>
      </c>
      <c r="J3110" s="9">
        <f t="shared" si="48"/>
        <v>43746.817642430549</v>
      </c>
      <c r="K3110" s="1"/>
    </row>
    <row r="3111" spans="1:11" x14ac:dyDescent="0.25">
      <c r="A3111" t="e">
        <f>-LqfMyLj-MuZjnTeKB9s</f>
        <v>#NAME?</v>
      </c>
      <c r="B3111">
        <v>393.75</v>
      </c>
      <c r="C3111">
        <v>20.531590000000001</v>
      </c>
      <c r="D3111">
        <v>63</v>
      </c>
      <c r="E3111">
        <v>0</v>
      </c>
      <c r="F3111">
        <v>0</v>
      </c>
      <c r="G3111">
        <v>9</v>
      </c>
      <c r="H3111" s="4">
        <v>1570538250616</v>
      </c>
      <c r="I3111">
        <v>526.6875</v>
      </c>
      <c r="J3111" s="9">
        <f t="shared" si="48"/>
        <v>43746.817715462959</v>
      </c>
      <c r="K3111" s="1"/>
    </row>
    <row r="3112" spans="1:11" x14ac:dyDescent="0.25">
      <c r="A3112" t="s">
        <v>167</v>
      </c>
      <c r="B3112">
        <v>393.75</v>
      </c>
      <c r="C3112">
        <v>20.584240000000001</v>
      </c>
      <c r="D3112">
        <v>62</v>
      </c>
      <c r="E3112">
        <v>0</v>
      </c>
      <c r="F3112">
        <v>0</v>
      </c>
      <c r="G3112">
        <v>3</v>
      </c>
      <c r="H3112" s="4">
        <v>1570538257836</v>
      </c>
      <c r="I3112">
        <v>526.6875</v>
      </c>
      <c r="J3112" s="9">
        <f t="shared" si="48"/>
        <v>43746.817799027776</v>
      </c>
      <c r="K3112" s="1"/>
    </row>
    <row r="3113" spans="1:11" x14ac:dyDescent="0.25">
      <c r="A3113" t="e">
        <f>-LqfN0uGNsTN3B7YR_xS</f>
        <v>#NAME?</v>
      </c>
      <c r="B3113">
        <v>393.75</v>
      </c>
      <c r="C3113">
        <v>20.584240000000001</v>
      </c>
      <c r="D3113">
        <v>63</v>
      </c>
      <c r="E3113">
        <v>0</v>
      </c>
      <c r="F3113">
        <v>0</v>
      </c>
      <c r="G3113">
        <v>17</v>
      </c>
      <c r="H3113" s="4">
        <v>1570538265052</v>
      </c>
      <c r="I3113">
        <v>526.5</v>
      </c>
      <c r="J3113" s="9">
        <f t="shared" si="48"/>
        <v>43746.817882546289</v>
      </c>
      <c r="K3113" s="1"/>
    </row>
    <row r="3114" spans="1:11" x14ac:dyDescent="0.25">
      <c r="A3114" t="e">
        <f>-LqfN2TEAAO-CF85BFyh</f>
        <v>#NAME?</v>
      </c>
      <c r="B3114">
        <v>393.75</v>
      </c>
      <c r="C3114">
        <v>20.531590000000001</v>
      </c>
      <c r="D3114">
        <v>63</v>
      </c>
      <c r="E3114">
        <v>0</v>
      </c>
      <c r="F3114">
        <v>0</v>
      </c>
      <c r="G3114">
        <v>1</v>
      </c>
      <c r="H3114" s="4">
        <v>1570538271236</v>
      </c>
      <c r="I3114">
        <v>526.6875</v>
      </c>
      <c r="J3114" s="9">
        <f t="shared" si="48"/>
        <v>43746.817954120364</v>
      </c>
      <c r="K3114" s="1"/>
    </row>
    <row r="3115" spans="1:11" x14ac:dyDescent="0.25">
      <c r="A3115" t="e">
        <f>-LqfN4BCtFW5_75R1h4o</f>
        <v>#NAME?</v>
      </c>
      <c r="B3115">
        <v>393.75</v>
      </c>
      <c r="C3115">
        <v>20.584240000000001</v>
      </c>
      <c r="D3115">
        <v>64</v>
      </c>
      <c r="E3115">
        <v>0</v>
      </c>
      <c r="F3115">
        <v>0</v>
      </c>
      <c r="G3115">
        <v>4</v>
      </c>
      <c r="H3115" s="4">
        <v>1570538278445</v>
      </c>
      <c r="I3115">
        <v>526.6875</v>
      </c>
      <c r="J3115" s="9">
        <f t="shared" si="48"/>
        <v>43746.818037557867</v>
      </c>
      <c r="K3115" s="1"/>
    </row>
    <row r="3116" spans="1:11" x14ac:dyDescent="0.25">
      <c r="A3116" t="e">
        <f>-LqfN5zhIE9guU3JbJxH</f>
        <v>#NAME?</v>
      </c>
      <c r="B3116">
        <v>418.75</v>
      </c>
      <c r="C3116">
        <v>20.531590000000001</v>
      </c>
      <c r="D3116">
        <v>65</v>
      </c>
      <c r="E3116">
        <v>0</v>
      </c>
      <c r="F3116">
        <v>0</v>
      </c>
      <c r="G3116">
        <v>9</v>
      </c>
      <c r="H3116" s="4">
        <v>1570538285669</v>
      </c>
      <c r="I3116">
        <v>534.75</v>
      </c>
      <c r="J3116" s="9">
        <f t="shared" si="48"/>
        <v>43746.818121168981</v>
      </c>
      <c r="K3116" s="1"/>
    </row>
    <row r="3117" spans="1:11" x14ac:dyDescent="0.25">
      <c r="A3117" t="e">
        <f>-LqfN7hCS0YjNHcbDT2E</f>
        <v>#NAME?</v>
      </c>
      <c r="B3117">
        <v>393.75</v>
      </c>
      <c r="C3117">
        <v>20.584240000000001</v>
      </c>
      <c r="D3117">
        <v>65</v>
      </c>
      <c r="E3117">
        <v>0</v>
      </c>
      <c r="F3117">
        <v>0</v>
      </c>
      <c r="G3117">
        <v>3</v>
      </c>
      <c r="H3117" s="4">
        <v>1570538292886</v>
      </c>
      <c r="I3117">
        <v>526.6875</v>
      </c>
      <c r="J3117" s="9">
        <f t="shared" si="48"/>
        <v>43746.818204699077</v>
      </c>
      <c r="K3117" s="1"/>
    </row>
    <row r="3118" spans="1:11" x14ac:dyDescent="0.25">
      <c r="A3118" t="e">
        <f>-LqfN9QMCH7qAQkWe6hN</f>
        <v>#NAME?</v>
      </c>
      <c r="B3118">
        <v>393.75</v>
      </c>
      <c r="C3118">
        <v>20.584240000000001</v>
      </c>
      <c r="D3118">
        <v>65</v>
      </c>
      <c r="E3118">
        <v>0</v>
      </c>
      <c r="F3118">
        <v>0</v>
      </c>
      <c r="G3118">
        <v>9</v>
      </c>
      <c r="H3118" s="4">
        <v>1570538300088</v>
      </c>
      <c r="I3118">
        <v>526.6875</v>
      </c>
      <c r="J3118" s="9">
        <f t="shared" si="48"/>
        <v>43746.818288055554</v>
      </c>
      <c r="K3118" s="1"/>
    </row>
    <row r="3119" spans="1:11" x14ac:dyDescent="0.25">
      <c r="A3119" t="e">
        <f>-LqfNAy67ll76f4evr0D</f>
        <v>#NAME?</v>
      </c>
      <c r="B3119">
        <v>393.75</v>
      </c>
      <c r="C3119">
        <v>20.584240000000001</v>
      </c>
      <c r="D3119">
        <v>65</v>
      </c>
      <c r="E3119">
        <v>0</v>
      </c>
      <c r="F3119">
        <v>0</v>
      </c>
      <c r="G3119">
        <v>2</v>
      </c>
      <c r="H3119" s="4">
        <v>1570538306268</v>
      </c>
      <c r="I3119">
        <v>526.5</v>
      </c>
      <c r="J3119" s="9">
        <f t="shared" si="48"/>
        <v>43746.818359583332</v>
      </c>
      <c r="K3119" s="1"/>
    </row>
    <row r="3120" spans="1:11" x14ac:dyDescent="0.25">
      <c r="A3120" t="e">
        <f>-LqfNCmDzMNibAzER6ZY</f>
        <v>#NAME?</v>
      </c>
      <c r="B3120">
        <v>393.75</v>
      </c>
      <c r="C3120">
        <v>20.584240000000001</v>
      </c>
      <c r="D3120">
        <v>66</v>
      </c>
      <c r="E3120">
        <v>0</v>
      </c>
      <c r="F3120">
        <v>0</v>
      </c>
      <c r="G3120">
        <v>10</v>
      </c>
      <c r="H3120" s="4">
        <v>1570538313486</v>
      </c>
      <c r="I3120">
        <v>526.6875</v>
      </c>
      <c r="J3120" s="9">
        <f t="shared" si="48"/>
        <v>43746.818443124997</v>
      </c>
      <c r="K3120" s="1"/>
    </row>
    <row r="3121" spans="1:11" x14ac:dyDescent="0.25">
      <c r="A3121" t="e">
        <f>-LqfNEVMA7uZERWGaOGh</f>
        <v>#NAME?</v>
      </c>
      <c r="B3121">
        <v>393.75</v>
      </c>
      <c r="C3121">
        <v>20.531590000000001</v>
      </c>
      <c r="D3121">
        <v>67</v>
      </c>
      <c r="E3121">
        <v>0</v>
      </c>
      <c r="F3121">
        <v>0</v>
      </c>
      <c r="G3121">
        <v>5</v>
      </c>
      <c r="H3121" s="4">
        <v>1570538320697</v>
      </c>
      <c r="I3121">
        <v>526.6875</v>
      </c>
      <c r="J3121" s="9">
        <f t="shared" si="48"/>
        <v>43746.818526585645</v>
      </c>
      <c r="K3121" s="1"/>
    </row>
    <row r="3122" spans="1:11" x14ac:dyDescent="0.25">
      <c r="A3122" t="e">
        <f>-LqfNGH-oqQiM2dm2ghc</f>
        <v>#NAME?</v>
      </c>
      <c r="B3122">
        <v>393.75</v>
      </c>
      <c r="C3122">
        <v>20.584240000000001</v>
      </c>
      <c r="D3122">
        <v>67</v>
      </c>
      <c r="E3122">
        <v>0</v>
      </c>
      <c r="F3122">
        <v>0</v>
      </c>
      <c r="G3122">
        <v>3</v>
      </c>
      <c r="H3122" s="4">
        <v>1570538327905</v>
      </c>
      <c r="I3122">
        <v>526.6875</v>
      </c>
      <c r="J3122" s="9">
        <f t="shared" si="48"/>
        <v>43746.818610011571</v>
      </c>
      <c r="K3122" s="1"/>
    </row>
    <row r="3123" spans="1:11" x14ac:dyDescent="0.25">
      <c r="A3123" t="e">
        <f>-LqfNI0E52Bw2Gm7u4VB</f>
        <v>#NAME?</v>
      </c>
      <c r="B3123">
        <v>393.75</v>
      </c>
      <c r="C3123">
        <v>20.584240000000001</v>
      </c>
      <c r="D3123">
        <v>67</v>
      </c>
      <c r="E3123">
        <v>0</v>
      </c>
      <c r="F3123">
        <v>0</v>
      </c>
      <c r="G3123">
        <v>11</v>
      </c>
      <c r="H3123" s="4">
        <v>1570538335125</v>
      </c>
      <c r="I3123">
        <v>526.5</v>
      </c>
      <c r="J3123" s="9">
        <f t="shared" si="48"/>
        <v>43746.818693576388</v>
      </c>
      <c r="K3123" s="1"/>
    </row>
    <row r="3124" spans="1:11" x14ac:dyDescent="0.25">
      <c r="A3124" t="e">
        <f>-LqfNJoE7wKq8WiR9tw6</f>
        <v>#NAME?</v>
      </c>
      <c r="B3124">
        <v>393.75</v>
      </c>
      <c r="C3124">
        <v>20.584240000000001</v>
      </c>
      <c r="D3124">
        <v>68</v>
      </c>
      <c r="E3124">
        <v>0</v>
      </c>
      <c r="F3124">
        <v>0</v>
      </c>
      <c r="G3124">
        <v>7</v>
      </c>
      <c r="H3124" s="4">
        <v>1570538342337</v>
      </c>
      <c r="I3124">
        <v>526.5</v>
      </c>
      <c r="J3124" s="9">
        <f t="shared" si="48"/>
        <v>43746.818777048604</v>
      </c>
      <c r="K3124" s="1"/>
    </row>
    <row r="3125" spans="1:11" x14ac:dyDescent="0.25">
      <c r="A3125" t="e">
        <f>-LqfNLXOGRlT9S3XafJh</f>
        <v>#NAME?</v>
      </c>
      <c r="B3125">
        <v>393.75</v>
      </c>
      <c r="C3125">
        <v>20.531590000000001</v>
      </c>
      <c r="D3125">
        <v>63</v>
      </c>
      <c r="E3125">
        <v>0</v>
      </c>
      <c r="F3125">
        <v>0</v>
      </c>
      <c r="G3125">
        <v>14</v>
      </c>
      <c r="H3125" s="4">
        <v>1570538349527</v>
      </c>
      <c r="I3125">
        <v>526.6875</v>
      </c>
      <c r="J3125" s="9">
        <f t="shared" si="48"/>
        <v>43746.818860266205</v>
      </c>
      <c r="K3125" s="1"/>
    </row>
    <row r="3126" spans="1:11" x14ac:dyDescent="0.25">
      <c r="A3126" t="e">
        <f>-LqfNS0ALgVrNMMZ8NKd</f>
        <v>#NAME?</v>
      </c>
      <c r="B3126">
        <v>393.75</v>
      </c>
      <c r="C3126">
        <v>20.584240000000001</v>
      </c>
      <c r="D3126">
        <v>62</v>
      </c>
      <c r="E3126">
        <v>0</v>
      </c>
      <c r="F3126">
        <v>0</v>
      </c>
      <c r="G3126">
        <v>0</v>
      </c>
      <c r="H3126" s="4">
        <v>1570538376042</v>
      </c>
      <c r="I3126">
        <v>526.6875</v>
      </c>
      <c r="J3126" s="9">
        <f t="shared" si="48"/>
        <v>43746.819167152775</v>
      </c>
      <c r="K3126" s="1"/>
    </row>
    <row r="3127" spans="1:11" x14ac:dyDescent="0.25">
      <c r="A3127" t="e">
        <f>-LqfNTjLqPOm8W6wp5nJ</f>
        <v>#NAME?</v>
      </c>
      <c r="B3127">
        <v>393.75</v>
      </c>
      <c r="C3127">
        <v>20.584240000000001</v>
      </c>
      <c r="D3127">
        <v>63</v>
      </c>
      <c r="E3127">
        <v>0</v>
      </c>
      <c r="F3127">
        <v>0</v>
      </c>
      <c r="G3127">
        <v>0</v>
      </c>
      <c r="H3127" s="4">
        <v>1570538382983</v>
      </c>
      <c r="I3127">
        <v>526.6875</v>
      </c>
      <c r="J3127" s="9">
        <f t="shared" si="48"/>
        <v>43746.81924748842</v>
      </c>
      <c r="K3127" s="1"/>
    </row>
    <row r="3128" spans="1:11" x14ac:dyDescent="0.25">
      <c r="A3128" t="e">
        <f>-LqfNVR3pgy8Q-qBJgWm</f>
        <v>#NAME?</v>
      </c>
      <c r="B3128">
        <v>393.75</v>
      </c>
      <c r="C3128">
        <v>20.584240000000001</v>
      </c>
      <c r="D3128">
        <v>63</v>
      </c>
      <c r="E3128">
        <v>0</v>
      </c>
      <c r="F3128">
        <v>0</v>
      </c>
      <c r="G3128">
        <v>0</v>
      </c>
      <c r="H3128" s="4">
        <v>1570538390163</v>
      </c>
      <c r="I3128">
        <v>526.6875</v>
      </c>
      <c r="J3128" s="9">
        <f t="shared" si="48"/>
        <v>43746.819330590275</v>
      </c>
      <c r="K3128" s="1"/>
    </row>
    <row r="3129" spans="1:11" x14ac:dyDescent="0.25">
      <c r="A3129" t="e">
        <f>-LqfNX0Bb3kXIzIJIRvQ</f>
        <v>#NAME?</v>
      </c>
      <c r="B3129">
        <v>393.75</v>
      </c>
      <c r="C3129">
        <v>20.531590000000001</v>
      </c>
      <c r="D3129">
        <v>63</v>
      </c>
      <c r="E3129">
        <v>0</v>
      </c>
      <c r="F3129">
        <v>0</v>
      </c>
      <c r="G3129">
        <v>0</v>
      </c>
      <c r="H3129" s="4">
        <v>1570538396352</v>
      </c>
      <c r="I3129">
        <v>526.6875</v>
      </c>
      <c r="J3129" s="9">
        <f t="shared" si="48"/>
        <v>43746.819402222223</v>
      </c>
      <c r="K3129" s="1"/>
    </row>
    <row r="3130" spans="1:11" x14ac:dyDescent="0.25">
      <c r="A3130" t="e">
        <f>-LqfNYgz2j1WW3f--i9m</f>
        <v>#NAME?</v>
      </c>
      <c r="B3130">
        <v>393.75</v>
      </c>
      <c r="C3130">
        <v>20.531590000000001</v>
      </c>
      <c r="D3130">
        <v>63</v>
      </c>
      <c r="E3130">
        <v>0</v>
      </c>
      <c r="F3130">
        <v>0</v>
      </c>
      <c r="G3130">
        <v>3</v>
      </c>
      <c r="H3130" s="4">
        <v>1570538403605</v>
      </c>
      <c r="I3130">
        <v>526.5</v>
      </c>
      <c r="J3130" s="9">
        <f t="shared" si="48"/>
        <v>43746.819486168977</v>
      </c>
      <c r="K3130" s="1"/>
    </row>
    <row r="3131" spans="1:11" x14ac:dyDescent="0.25">
      <c r="A3131" t="e">
        <f>-LqfN_XA4Xs9IVbQ3Gj6</f>
        <v>#NAME?</v>
      </c>
      <c r="B3131">
        <v>393.75</v>
      </c>
      <c r="C3131">
        <v>20.584240000000001</v>
      </c>
      <c r="D3131">
        <v>64</v>
      </c>
      <c r="E3131">
        <v>0</v>
      </c>
      <c r="F3131">
        <v>0</v>
      </c>
      <c r="G3131">
        <v>6</v>
      </c>
      <c r="H3131" s="4">
        <v>1570538410803</v>
      </c>
      <c r="I3131">
        <v>526.6875</v>
      </c>
      <c r="J3131" s="9">
        <f t="shared" si="48"/>
        <v>43746.819569479165</v>
      </c>
      <c r="K3131" s="1"/>
    </row>
    <row r="3132" spans="1:11" x14ac:dyDescent="0.25">
      <c r="A3132" t="e">
        <f>-LqfNbFBO5LeY7CQOSMG</f>
        <v>#NAME?</v>
      </c>
      <c r="B3132">
        <v>393.75</v>
      </c>
      <c r="C3132">
        <v>20.531590000000001</v>
      </c>
      <c r="D3132">
        <v>64</v>
      </c>
      <c r="E3132">
        <v>0</v>
      </c>
      <c r="F3132">
        <v>0</v>
      </c>
      <c r="G3132">
        <v>1</v>
      </c>
      <c r="H3132" s="4">
        <v>1570538418005</v>
      </c>
      <c r="I3132">
        <v>526.6875</v>
      </c>
      <c r="J3132" s="9">
        <f t="shared" si="48"/>
        <v>43746.819652835642</v>
      </c>
      <c r="K3132" s="1"/>
    </row>
    <row r="3133" spans="1:11" x14ac:dyDescent="0.25">
      <c r="A3133" t="e">
        <f>-LqfNcmos_QCrfmgv3o5</f>
        <v>#NAME?</v>
      </c>
      <c r="B3133">
        <v>393.75</v>
      </c>
      <c r="C3133">
        <v>20.584240000000001</v>
      </c>
      <c r="D3133">
        <v>65</v>
      </c>
      <c r="E3133">
        <v>0</v>
      </c>
      <c r="F3133">
        <v>0</v>
      </c>
      <c r="G3133">
        <v>4</v>
      </c>
      <c r="H3133" s="4">
        <v>1570538424201</v>
      </c>
      <c r="I3133">
        <v>526.6875</v>
      </c>
      <c r="J3133" s="9">
        <f t="shared" si="48"/>
        <v>43746.819724548608</v>
      </c>
      <c r="K3133" s="1"/>
    </row>
    <row r="3134" spans="1:11" x14ac:dyDescent="0.25">
      <c r="A3134" t="e">
        <f>-LqfNeIBvrzuohBkXkPh</f>
        <v>#NAME?</v>
      </c>
      <c r="B3134">
        <v>434.375</v>
      </c>
      <c r="C3134">
        <v>20.584240000000001</v>
      </c>
      <c r="D3134">
        <v>65</v>
      </c>
      <c r="E3134">
        <v>0</v>
      </c>
      <c r="F3134">
        <v>0</v>
      </c>
      <c r="G3134">
        <v>6</v>
      </c>
      <c r="H3134" s="4">
        <v>1570538430354</v>
      </c>
      <c r="I3134">
        <v>539.625</v>
      </c>
      <c r="J3134" s="9">
        <f t="shared" si="48"/>
        <v>43746.819795763884</v>
      </c>
      <c r="K3134" s="1"/>
    </row>
    <row r="3135" spans="1:11" x14ac:dyDescent="0.25">
      <c r="A3135" t="e">
        <f>-LqfNfmBrgMHdzR2JcPs</f>
        <v>#NAME?</v>
      </c>
      <c r="B3135">
        <v>393.75</v>
      </c>
      <c r="C3135">
        <v>20.531590000000001</v>
      </c>
      <c r="D3135">
        <v>66</v>
      </c>
      <c r="E3135">
        <v>0</v>
      </c>
      <c r="F3135">
        <v>0</v>
      </c>
      <c r="G3135">
        <v>2</v>
      </c>
      <c r="H3135" s="4">
        <v>1570538436563</v>
      </c>
      <c r="I3135">
        <v>526.6875</v>
      </c>
      <c r="J3135" s="9">
        <f t="shared" si="48"/>
        <v>43746.81986762731</v>
      </c>
      <c r="K3135" s="1"/>
    </row>
    <row r="3136" spans="1:11" x14ac:dyDescent="0.25">
      <c r="A3136" t="e">
        <f>-LqfNh_AAt0JC2qUPAUo</f>
        <v>#NAME?</v>
      </c>
      <c r="B3136">
        <v>393.75</v>
      </c>
      <c r="C3136">
        <v>20.531590000000001</v>
      </c>
      <c r="D3136">
        <v>66</v>
      </c>
      <c r="E3136">
        <v>0</v>
      </c>
      <c r="F3136">
        <v>0</v>
      </c>
      <c r="G3136">
        <v>3</v>
      </c>
      <c r="H3136" s="4">
        <v>1570538442743</v>
      </c>
      <c r="I3136">
        <v>526.5</v>
      </c>
      <c r="J3136" s="9">
        <f t="shared" si="48"/>
        <v>43746.819939155095</v>
      </c>
      <c r="K3136" s="1"/>
    </row>
    <row r="3137" spans="1:11" x14ac:dyDescent="0.25">
      <c r="A3137" t="s">
        <v>168</v>
      </c>
      <c r="B3137">
        <v>393.75</v>
      </c>
      <c r="C3137">
        <v>20.584240000000001</v>
      </c>
      <c r="D3137">
        <v>65</v>
      </c>
      <c r="E3137">
        <v>0</v>
      </c>
      <c r="F3137">
        <v>0</v>
      </c>
      <c r="G3137">
        <v>0</v>
      </c>
      <c r="H3137" s="4">
        <v>1570538450963</v>
      </c>
      <c r="I3137">
        <v>526.6875</v>
      </c>
      <c r="J3137" s="9">
        <f t="shared" si="48"/>
        <v>43746.820034293974</v>
      </c>
      <c r="K3137" s="1"/>
    </row>
    <row r="3138" spans="1:11" x14ac:dyDescent="0.25">
      <c r="A3138" t="e">
        <f>-LqfNkrDqHOg5vjmsjz3</f>
        <v>#NAME?</v>
      </c>
      <c r="B3138">
        <v>393.75</v>
      </c>
      <c r="C3138">
        <v>20.584240000000001</v>
      </c>
      <c r="D3138">
        <v>65</v>
      </c>
      <c r="E3138">
        <v>0</v>
      </c>
      <c r="F3138">
        <v>0</v>
      </c>
      <c r="G3138">
        <v>1</v>
      </c>
      <c r="H3138" s="4">
        <v>1570538457174</v>
      </c>
      <c r="I3138">
        <v>526.5</v>
      </c>
      <c r="J3138" s="9">
        <f t="shared" si="48"/>
        <v>43746.820106180552</v>
      </c>
      <c r="K3138" s="1"/>
    </row>
    <row r="3139" spans="1:11" x14ac:dyDescent="0.25">
      <c r="A3139" t="e">
        <f>-LqfNm_9_8Hywp2pFZHd</f>
        <v>#NAME?</v>
      </c>
      <c r="B3139">
        <v>393.75</v>
      </c>
      <c r="C3139">
        <v>20.531590000000001</v>
      </c>
      <c r="D3139">
        <v>65</v>
      </c>
      <c r="E3139">
        <v>0</v>
      </c>
      <c r="F3139">
        <v>0</v>
      </c>
      <c r="G3139">
        <v>1</v>
      </c>
      <c r="H3139" s="4">
        <v>1570538464403</v>
      </c>
      <c r="I3139">
        <v>526.6875</v>
      </c>
      <c r="J3139" s="9">
        <f t="shared" ref="J3139:J3202" si="49">(H3139/86400000)+25569+(7/24)</f>
        <v>43746.820189849539</v>
      </c>
      <c r="K3139" s="1"/>
    </row>
    <row r="3140" spans="1:11" x14ac:dyDescent="0.25">
      <c r="A3140" t="e">
        <f>-LqfNo74OoHYFc2mJmHY</f>
        <v>#NAME?</v>
      </c>
      <c r="B3140">
        <v>393.75</v>
      </c>
      <c r="C3140">
        <v>20.584240000000001</v>
      </c>
      <c r="D3140">
        <v>65</v>
      </c>
      <c r="E3140">
        <v>0</v>
      </c>
      <c r="F3140">
        <v>0</v>
      </c>
      <c r="G3140">
        <v>2</v>
      </c>
      <c r="H3140" s="4">
        <v>1570538470780</v>
      </c>
      <c r="I3140">
        <v>526.6875</v>
      </c>
      <c r="J3140" s="9">
        <f t="shared" si="49"/>
        <v>43746.820263657406</v>
      </c>
      <c r="K3140" s="1"/>
    </row>
    <row r="3141" spans="1:11" x14ac:dyDescent="0.25">
      <c r="A3141" t="s">
        <v>169</v>
      </c>
      <c r="B3141">
        <v>393.75</v>
      </c>
      <c r="C3141">
        <v>20.531590000000001</v>
      </c>
      <c r="D3141">
        <v>66</v>
      </c>
      <c r="E3141">
        <v>0</v>
      </c>
      <c r="F3141">
        <v>0</v>
      </c>
      <c r="G3141">
        <v>1</v>
      </c>
      <c r="H3141" s="4">
        <v>1570538477783</v>
      </c>
      <c r="I3141">
        <v>526.5</v>
      </c>
      <c r="J3141" s="9">
        <f t="shared" si="49"/>
        <v>43746.820344710643</v>
      </c>
      <c r="K3141" s="1"/>
    </row>
    <row r="3142" spans="1:11" x14ac:dyDescent="0.25">
      <c r="A3142" t="e">
        <f>-LqfNrK_MGUA47lxl3Hq</f>
        <v>#NAME?</v>
      </c>
      <c r="B3142">
        <v>393.75</v>
      </c>
      <c r="C3142">
        <v>20.584240000000001</v>
      </c>
      <c r="D3142">
        <v>66</v>
      </c>
      <c r="E3142">
        <v>0</v>
      </c>
      <c r="F3142">
        <v>0</v>
      </c>
      <c r="G3142">
        <v>8</v>
      </c>
      <c r="H3142" s="4">
        <v>1570538483932</v>
      </c>
      <c r="I3142">
        <v>526.6875</v>
      </c>
      <c r="J3142" s="9">
        <f t="shared" si="49"/>
        <v>43746.820415879629</v>
      </c>
      <c r="K3142" s="1"/>
    </row>
    <row r="3143" spans="1:11" x14ac:dyDescent="0.25">
      <c r="A3143" t="e">
        <f>-LqfNsuDmnDMuW5a_0ab</f>
        <v>#NAME?</v>
      </c>
      <c r="B3143">
        <v>393.75</v>
      </c>
      <c r="C3143">
        <v>20.584240000000001</v>
      </c>
      <c r="D3143">
        <v>66</v>
      </c>
      <c r="E3143">
        <v>0</v>
      </c>
      <c r="F3143">
        <v>0</v>
      </c>
      <c r="G3143">
        <v>0</v>
      </c>
      <c r="H3143" s="4">
        <v>1570538490144</v>
      </c>
      <c r="I3143">
        <v>526.6875</v>
      </c>
      <c r="J3143" s="9">
        <f t="shared" si="49"/>
        <v>43746.820487777775</v>
      </c>
      <c r="K3143" s="1"/>
    </row>
    <row r="3144" spans="1:11" x14ac:dyDescent="0.25">
      <c r="A3144" t="e">
        <f>-LqfNufjO3iWCZGYFdgD</f>
        <v>#NAME?</v>
      </c>
      <c r="B3144">
        <v>393.75</v>
      </c>
      <c r="C3144">
        <v>20.584240000000001</v>
      </c>
      <c r="D3144">
        <v>67</v>
      </c>
      <c r="E3144">
        <v>0</v>
      </c>
      <c r="F3144">
        <v>0</v>
      </c>
      <c r="G3144">
        <v>0</v>
      </c>
      <c r="H3144" s="4">
        <v>1570538497364</v>
      </c>
      <c r="I3144">
        <v>526.6875</v>
      </c>
      <c r="J3144" s="9">
        <f t="shared" si="49"/>
        <v>43746.820571342592</v>
      </c>
      <c r="K3144" s="1"/>
    </row>
    <row r="3145" spans="1:11" x14ac:dyDescent="0.25">
      <c r="A3145" t="e">
        <f>-LqfNwQBHm06NePhmxDr</f>
        <v>#NAME?</v>
      </c>
      <c r="B3145">
        <v>393.75</v>
      </c>
      <c r="C3145">
        <v>20.584240000000001</v>
      </c>
      <c r="D3145">
        <v>70</v>
      </c>
      <c r="E3145">
        <v>0</v>
      </c>
      <c r="F3145">
        <v>0</v>
      </c>
      <c r="G3145">
        <v>0</v>
      </c>
      <c r="H3145" s="4">
        <v>1570538504574</v>
      </c>
      <c r="I3145">
        <v>526.6875</v>
      </c>
      <c r="J3145" s="9">
        <f t="shared" si="49"/>
        <v>43746.820654791663</v>
      </c>
      <c r="K3145" s="1"/>
    </row>
    <row r="3146" spans="1:11" x14ac:dyDescent="0.25">
      <c r="A3146" t="e">
        <f>-LqfNy8AAcZ6L8cTSPNp</f>
        <v>#NAME?</v>
      </c>
      <c r="B3146">
        <v>393.75</v>
      </c>
      <c r="C3146">
        <v>20.531590000000001</v>
      </c>
      <c r="D3146">
        <v>71</v>
      </c>
      <c r="E3146">
        <v>0</v>
      </c>
      <c r="F3146">
        <v>0</v>
      </c>
      <c r="G3146">
        <v>4</v>
      </c>
      <c r="H3146" s="4">
        <v>1570538511764</v>
      </c>
      <c r="I3146">
        <v>526.6875</v>
      </c>
      <c r="J3146" s="9">
        <f t="shared" si="49"/>
        <v>43746.820738009257</v>
      </c>
      <c r="K3146" s="1"/>
    </row>
    <row r="3147" spans="1:11" x14ac:dyDescent="0.25">
      <c r="A3147" t="e">
        <f>-LqfNzcIPp3YAmS-uWNm</f>
        <v>#NAME?</v>
      </c>
      <c r="B3147">
        <v>393.75</v>
      </c>
      <c r="C3147">
        <v>20.584240000000001</v>
      </c>
      <c r="D3147">
        <v>70</v>
      </c>
      <c r="E3147">
        <v>0</v>
      </c>
      <c r="F3147">
        <v>0</v>
      </c>
      <c r="G3147">
        <v>5</v>
      </c>
      <c r="H3147" s="4">
        <v>1570538517973</v>
      </c>
      <c r="I3147">
        <v>526.6875</v>
      </c>
      <c r="J3147" s="9">
        <f t="shared" si="49"/>
        <v>43746.820809872683</v>
      </c>
      <c r="K3147" s="1"/>
    </row>
    <row r="3148" spans="1:11" x14ac:dyDescent="0.25">
      <c r="A3148" t="e">
        <f>-LqfO0S5KCXFAM8ip7NM</f>
        <v>#NAME?</v>
      </c>
      <c r="B3148">
        <v>393.75</v>
      </c>
      <c r="C3148">
        <v>20.584240000000001</v>
      </c>
      <c r="D3148">
        <v>70</v>
      </c>
      <c r="E3148">
        <v>0</v>
      </c>
      <c r="F3148">
        <v>0</v>
      </c>
      <c r="G3148">
        <v>2</v>
      </c>
      <c r="H3148" s="4">
        <v>1570538524153</v>
      </c>
      <c r="I3148">
        <v>526.6875</v>
      </c>
      <c r="J3148" s="9">
        <f t="shared" si="49"/>
        <v>43746.820881400461</v>
      </c>
      <c r="K3148" s="1"/>
    </row>
    <row r="3149" spans="1:11" x14ac:dyDescent="0.25">
      <c r="A3149" t="e">
        <f>-LqfO2DAmpxjSmnXBoFl</f>
        <v>#NAME?</v>
      </c>
      <c r="B3149">
        <v>393.75</v>
      </c>
      <c r="C3149">
        <v>20.531590000000001</v>
      </c>
      <c r="D3149">
        <v>69</v>
      </c>
      <c r="E3149">
        <v>0</v>
      </c>
      <c r="F3149">
        <v>0</v>
      </c>
      <c r="G3149">
        <v>2</v>
      </c>
      <c r="H3149" s="4">
        <v>1570538532393</v>
      </c>
      <c r="I3149">
        <v>526.5</v>
      </c>
      <c r="J3149" s="9">
        <f t="shared" si="49"/>
        <v>43746.820976770832</v>
      </c>
      <c r="K3149" s="1"/>
    </row>
    <row r="3150" spans="1:11" x14ac:dyDescent="0.25">
      <c r="A3150" t="e">
        <f>-LqfO3wAZWTo9mEd2WcE</f>
        <v>#NAME?</v>
      </c>
      <c r="B3150">
        <v>393.75</v>
      </c>
      <c r="C3150">
        <v>20.584240000000001</v>
      </c>
      <c r="D3150">
        <v>69</v>
      </c>
      <c r="E3150">
        <v>0</v>
      </c>
      <c r="F3150">
        <v>0</v>
      </c>
      <c r="G3150">
        <v>0</v>
      </c>
      <c r="H3150" s="4">
        <v>1570538539604</v>
      </c>
      <c r="I3150">
        <v>526.6875</v>
      </c>
      <c r="J3150" s="9">
        <f t="shared" si="49"/>
        <v>43746.821060231479</v>
      </c>
      <c r="K3150" s="1"/>
    </row>
    <row r="3151" spans="1:11" x14ac:dyDescent="0.25">
      <c r="A3151" t="e">
        <f>-LqfO5U45QGA24vIzbIc</f>
        <v>#NAME?</v>
      </c>
      <c r="B3151">
        <v>393.75</v>
      </c>
      <c r="C3151">
        <v>20.584240000000001</v>
      </c>
      <c r="D3151">
        <v>69</v>
      </c>
      <c r="E3151">
        <v>0</v>
      </c>
      <c r="F3151">
        <v>0</v>
      </c>
      <c r="G3151">
        <v>7</v>
      </c>
      <c r="H3151" s="4">
        <v>1570538545794</v>
      </c>
      <c r="I3151">
        <v>526.6875</v>
      </c>
      <c r="J3151" s="9">
        <f t="shared" si="49"/>
        <v>43746.821131874996</v>
      </c>
      <c r="K3151" s="1"/>
    </row>
    <row r="3152" spans="1:11" x14ac:dyDescent="0.25">
      <c r="A3152" t="e">
        <f>-LqfO7O2-lvLO-vp7e1I</f>
        <v>#NAME?</v>
      </c>
      <c r="B3152">
        <v>393.75</v>
      </c>
      <c r="C3152">
        <v>20.531590000000001</v>
      </c>
      <c r="D3152">
        <v>69</v>
      </c>
      <c r="E3152">
        <v>0</v>
      </c>
      <c r="F3152">
        <v>0</v>
      </c>
      <c r="G3152">
        <v>5</v>
      </c>
      <c r="H3152" s="4">
        <v>1570538553014</v>
      </c>
      <c r="I3152">
        <v>526.6875</v>
      </c>
      <c r="J3152" s="9">
        <f t="shared" si="49"/>
        <v>43746.821215439813</v>
      </c>
      <c r="K3152" s="1"/>
    </row>
    <row r="3153" spans="1:11" x14ac:dyDescent="0.25">
      <c r="A3153" t="e">
        <f>-LqfO90kG0Tc4n3GjjWs</f>
        <v>#NAME?</v>
      </c>
      <c r="B3153">
        <v>393.75</v>
      </c>
      <c r="C3153">
        <v>20.584240000000001</v>
      </c>
      <c r="D3153">
        <v>68</v>
      </c>
      <c r="E3153">
        <v>0</v>
      </c>
      <c r="F3153">
        <v>0</v>
      </c>
      <c r="G3153">
        <v>7</v>
      </c>
      <c r="H3153" s="4">
        <v>1570538560224</v>
      </c>
      <c r="I3153">
        <v>526.5</v>
      </c>
      <c r="J3153" s="9">
        <f t="shared" si="49"/>
        <v>43746.821298888892</v>
      </c>
      <c r="K3153" s="1"/>
    </row>
    <row r="3154" spans="1:11" x14ac:dyDescent="0.25">
      <c r="A3154" t="e">
        <f>-LqfOAi3lFcYwpX2-tck</f>
        <v>#NAME?</v>
      </c>
      <c r="B3154">
        <v>393.75</v>
      </c>
      <c r="C3154">
        <v>20.584240000000001</v>
      </c>
      <c r="D3154">
        <v>67</v>
      </c>
      <c r="E3154">
        <v>0</v>
      </c>
      <c r="F3154">
        <v>0</v>
      </c>
      <c r="G3154">
        <v>16</v>
      </c>
      <c r="H3154" s="4">
        <v>1570538567444</v>
      </c>
      <c r="I3154">
        <v>526.6875</v>
      </c>
      <c r="J3154" s="9">
        <f t="shared" si="49"/>
        <v>43746.821382453702</v>
      </c>
      <c r="K3154" s="1"/>
    </row>
    <row r="3155" spans="1:11" x14ac:dyDescent="0.25">
      <c r="A3155" t="e">
        <f>-LqfOCXB7vJm3ckDCh_Q</f>
        <v>#NAME?</v>
      </c>
      <c r="B3155">
        <v>393.75</v>
      </c>
      <c r="C3155">
        <v>20.584240000000001</v>
      </c>
      <c r="D3155">
        <v>67</v>
      </c>
      <c r="E3155">
        <v>0</v>
      </c>
      <c r="F3155">
        <v>0</v>
      </c>
      <c r="G3155">
        <v>13</v>
      </c>
      <c r="H3155" s="4">
        <v>1570538574653</v>
      </c>
      <c r="I3155">
        <v>526.6875</v>
      </c>
      <c r="J3155" s="9">
        <f t="shared" si="49"/>
        <v>43746.821465891197</v>
      </c>
      <c r="K3155" s="1"/>
    </row>
    <row r="3156" spans="1:11" x14ac:dyDescent="0.25">
      <c r="A3156" t="e">
        <f>-LqfOEFA3YR7cKdFyOE5</f>
        <v>#NAME?</v>
      </c>
      <c r="B3156">
        <v>393.75</v>
      </c>
      <c r="C3156">
        <v>20.584240000000001</v>
      </c>
      <c r="D3156">
        <v>67</v>
      </c>
      <c r="E3156">
        <v>0</v>
      </c>
      <c r="F3156">
        <v>0</v>
      </c>
      <c r="G3156">
        <v>6</v>
      </c>
      <c r="H3156" s="4">
        <v>1570538581844</v>
      </c>
      <c r="I3156">
        <v>526.6875</v>
      </c>
      <c r="J3156" s="9">
        <f t="shared" si="49"/>
        <v>43746.821549120366</v>
      </c>
      <c r="K3156" s="1"/>
    </row>
    <row r="3157" spans="1:11" x14ac:dyDescent="0.25">
      <c r="A3157" t="e">
        <f>-LqfOFoMewUQBSeOcI4Q</f>
        <v>#NAME?</v>
      </c>
      <c r="B3157">
        <v>393.75</v>
      </c>
      <c r="C3157">
        <v>20.584240000000001</v>
      </c>
      <c r="D3157">
        <v>67</v>
      </c>
      <c r="E3157">
        <v>0</v>
      </c>
      <c r="F3157">
        <v>0</v>
      </c>
      <c r="G3157">
        <v>11</v>
      </c>
      <c r="H3157" s="4">
        <v>1570538588043</v>
      </c>
      <c r="I3157">
        <v>526.6875</v>
      </c>
      <c r="J3157" s="9">
        <f t="shared" si="49"/>
        <v>43746.821620868053</v>
      </c>
      <c r="K3157" s="1"/>
    </row>
    <row r="3158" spans="1:11" x14ac:dyDescent="0.25">
      <c r="A3158" t="e">
        <f>-LqfOHXA-Hroj9v4RltV</f>
        <v>#NAME?</v>
      </c>
      <c r="B3158">
        <v>393.75</v>
      </c>
      <c r="C3158">
        <v>20.531590000000001</v>
      </c>
      <c r="D3158">
        <v>68</v>
      </c>
      <c r="E3158">
        <v>0</v>
      </c>
      <c r="F3158">
        <v>0</v>
      </c>
      <c r="G3158">
        <v>4</v>
      </c>
      <c r="H3158" s="4">
        <v>1570538595264</v>
      </c>
      <c r="I3158">
        <v>526.6875</v>
      </c>
      <c r="J3158" s="9">
        <f t="shared" si="49"/>
        <v>43746.821704444439</v>
      </c>
      <c r="K3158" s="1"/>
    </row>
    <row r="3159" spans="1:11" x14ac:dyDescent="0.25">
      <c r="A3159" t="e">
        <f>-LqfOJK2VxUpRQ983bQd</f>
        <v>#NAME?</v>
      </c>
      <c r="B3159">
        <v>425</v>
      </c>
      <c r="C3159">
        <v>20.584240000000001</v>
      </c>
      <c r="D3159">
        <v>68</v>
      </c>
      <c r="E3159">
        <v>0</v>
      </c>
      <c r="F3159">
        <v>0</v>
      </c>
      <c r="G3159">
        <v>10</v>
      </c>
      <c r="H3159" s="4">
        <v>1570538601444</v>
      </c>
      <c r="I3159">
        <v>536.0625</v>
      </c>
      <c r="J3159" s="9">
        <f t="shared" si="49"/>
        <v>43746.821775972225</v>
      </c>
      <c r="K3159" s="1"/>
    </row>
    <row r="3160" spans="1:11" x14ac:dyDescent="0.25">
      <c r="A3160" t="e">
        <f>-LqfOL-gtHY4TOnSTxVb</f>
        <v>#NAME?</v>
      </c>
      <c r="B3160">
        <v>393.75</v>
      </c>
      <c r="C3160">
        <v>20.584240000000001</v>
      </c>
      <c r="D3160">
        <v>67</v>
      </c>
      <c r="E3160">
        <v>0</v>
      </c>
      <c r="F3160">
        <v>0</v>
      </c>
      <c r="G3160">
        <v>5</v>
      </c>
      <c r="H3160" s="4">
        <v>1570538609683</v>
      </c>
      <c r="I3160">
        <v>526.6875</v>
      </c>
      <c r="J3160" s="9">
        <f t="shared" si="49"/>
        <v>43746.821871331013</v>
      </c>
      <c r="K3160" s="1"/>
    </row>
    <row r="3161" spans="1:11" x14ac:dyDescent="0.25">
      <c r="A3161" t="e">
        <f>-LqfOMbBW2m7GTh2GZl0</f>
        <v>#NAME?</v>
      </c>
      <c r="B3161">
        <v>393.75</v>
      </c>
      <c r="C3161">
        <v>20.584240000000001</v>
      </c>
      <c r="D3161">
        <v>67</v>
      </c>
      <c r="E3161">
        <v>0</v>
      </c>
      <c r="F3161">
        <v>0</v>
      </c>
      <c r="G3161">
        <v>11</v>
      </c>
      <c r="H3161" s="4">
        <v>1570538615873</v>
      </c>
      <c r="I3161">
        <v>526.5</v>
      </c>
      <c r="J3161" s="9">
        <f t="shared" si="49"/>
        <v>43746.82194297453</v>
      </c>
      <c r="K3161" s="1"/>
    </row>
    <row r="3162" spans="1:11" x14ac:dyDescent="0.25">
      <c r="A3162" t="e">
        <f>-LqfOOKM86czp6Kh2YsY</f>
        <v>#NAME?</v>
      </c>
      <c r="B3162">
        <v>393.75</v>
      </c>
      <c r="C3162">
        <v>20.584240000000001</v>
      </c>
      <c r="D3162">
        <v>68</v>
      </c>
      <c r="E3162">
        <v>0</v>
      </c>
      <c r="F3162">
        <v>0</v>
      </c>
      <c r="G3162">
        <v>14</v>
      </c>
      <c r="H3162" s="4">
        <v>1570538623084</v>
      </c>
      <c r="I3162">
        <v>526.6875</v>
      </c>
      <c r="J3162" s="9">
        <f t="shared" si="49"/>
        <v>43746.822026435184</v>
      </c>
      <c r="K3162" s="1"/>
    </row>
    <row r="3163" spans="1:11" x14ac:dyDescent="0.25">
      <c r="A3163" t="e">
        <f>-LqfOQ732deqO5fo6GQN</f>
        <v>#NAME?</v>
      </c>
      <c r="B3163">
        <v>393.75</v>
      </c>
      <c r="C3163">
        <v>20.531590000000001</v>
      </c>
      <c r="D3163">
        <v>67</v>
      </c>
      <c r="E3163">
        <v>0</v>
      </c>
      <c r="F3163">
        <v>0</v>
      </c>
      <c r="G3163">
        <v>12</v>
      </c>
      <c r="H3163" s="4">
        <v>1570538630303</v>
      </c>
      <c r="I3163">
        <v>526.6875</v>
      </c>
      <c r="J3163" s="9">
        <f t="shared" si="49"/>
        <v>43746.822109988425</v>
      </c>
      <c r="K3163" s="1"/>
    </row>
    <row r="3164" spans="1:11" x14ac:dyDescent="0.25">
      <c r="A3164" t="e">
        <f>-LqfORnqJfnyvCdPd42t</f>
        <v>#NAME?</v>
      </c>
      <c r="B3164">
        <v>421.875</v>
      </c>
      <c r="C3164">
        <v>20.531590000000001</v>
      </c>
      <c r="D3164">
        <v>67</v>
      </c>
      <c r="E3164">
        <v>0</v>
      </c>
      <c r="F3164">
        <v>0</v>
      </c>
      <c r="G3164">
        <v>6</v>
      </c>
      <c r="H3164" s="4">
        <v>1570538637523</v>
      </c>
      <c r="I3164">
        <v>535.3125</v>
      </c>
      <c r="J3164" s="9">
        <f t="shared" si="49"/>
        <v>43746.822193553242</v>
      </c>
      <c r="K3164" s="1"/>
    </row>
    <row r="3165" spans="1:11" x14ac:dyDescent="0.25">
      <c r="A3165" t="e">
        <f>-LqfOTdCXQWIz6GJMBop</f>
        <v>#NAME?</v>
      </c>
      <c r="B3165">
        <v>393.75</v>
      </c>
      <c r="C3165">
        <v>20.531590000000001</v>
      </c>
      <c r="D3165">
        <v>67</v>
      </c>
      <c r="E3165">
        <v>0</v>
      </c>
      <c r="F3165">
        <v>0</v>
      </c>
      <c r="G3165">
        <v>15</v>
      </c>
      <c r="H3165" s="4">
        <v>1570538644723</v>
      </c>
      <c r="I3165">
        <v>526.6875</v>
      </c>
      <c r="J3165" s="9">
        <f t="shared" si="49"/>
        <v>43746.822276886574</v>
      </c>
      <c r="K3165" s="1"/>
    </row>
    <row r="3166" spans="1:11" x14ac:dyDescent="0.25">
      <c r="A3166" t="e">
        <f>-LqfOVJpny9tHMXPUHPl</f>
        <v>#NAME?</v>
      </c>
      <c r="B3166">
        <v>393.75</v>
      </c>
      <c r="C3166">
        <v>20.584240000000001</v>
      </c>
      <c r="D3166">
        <v>67</v>
      </c>
      <c r="E3166">
        <v>0</v>
      </c>
      <c r="F3166">
        <v>0</v>
      </c>
      <c r="G3166">
        <v>8</v>
      </c>
      <c r="H3166" s="4">
        <v>1570538651924</v>
      </c>
      <c r="I3166">
        <v>526.6875</v>
      </c>
      <c r="J3166" s="9">
        <f t="shared" si="49"/>
        <v>43746.822360231476</v>
      </c>
      <c r="K3166" s="1"/>
    </row>
    <row r="3167" spans="1:11" x14ac:dyDescent="0.25">
      <c r="A3167" t="e">
        <f>-LqfOWvCPvB29iAlmlWZ</f>
        <v>#NAME?</v>
      </c>
      <c r="B3167">
        <v>393.75</v>
      </c>
      <c r="C3167">
        <v>20.584240000000001</v>
      </c>
      <c r="D3167">
        <v>67</v>
      </c>
      <c r="E3167">
        <v>0</v>
      </c>
      <c r="F3167">
        <v>0</v>
      </c>
      <c r="G3167">
        <v>11</v>
      </c>
      <c r="H3167" s="4">
        <v>1570538658113</v>
      </c>
      <c r="I3167">
        <v>526.6875</v>
      </c>
      <c r="J3167" s="9">
        <f t="shared" si="49"/>
        <v>43746.822431863424</v>
      </c>
      <c r="K3167" s="1"/>
    </row>
    <row r="3168" spans="1:11" x14ac:dyDescent="0.25">
      <c r="A3168" t="e">
        <f>-LqfOYsXYlq4ueq3tVua</f>
        <v>#NAME?</v>
      </c>
      <c r="B3168">
        <v>393.75</v>
      </c>
      <c r="C3168">
        <v>20.584240000000001</v>
      </c>
      <c r="D3168">
        <v>65</v>
      </c>
      <c r="E3168">
        <v>0</v>
      </c>
      <c r="F3168">
        <v>0</v>
      </c>
      <c r="G3168">
        <v>6</v>
      </c>
      <c r="H3168" s="4">
        <v>1570538665333</v>
      </c>
      <c r="I3168">
        <v>526.5</v>
      </c>
      <c r="J3168" s="9">
        <f t="shared" si="49"/>
        <v>43746.822515428234</v>
      </c>
      <c r="K3168" s="1"/>
    </row>
    <row r="3169" spans="1:11" x14ac:dyDescent="0.25">
      <c r="A3169" t="e">
        <f>-LqfO_RfqdXSzVpIAO6e</f>
        <v>#NAME?</v>
      </c>
      <c r="B3169">
        <v>393.75</v>
      </c>
      <c r="C3169">
        <v>20.584240000000001</v>
      </c>
      <c r="D3169">
        <v>65</v>
      </c>
      <c r="E3169">
        <v>0</v>
      </c>
      <c r="F3169">
        <v>0</v>
      </c>
      <c r="G3169">
        <v>3</v>
      </c>
      <c r="H3169" s="4">
        <v>1570538672515</v>
      </c>
      <c r="I3169">
        <v>526.6875</v>
      </c>
      <c r="J3169" s="9">
        <f t="shared" si="49"/>
        <v>43746.822598553241</v>
      </c>
      <c r="K3169" s="1"/>
    </row>
    <row r="3170" spans="1:11" x14ac:dyDescent="0.25">
      <c r="A3170" t="e">
        <f>-LqfOb9CHKtaQTeRLsST</f>
        <v>#NAME?</v>
      </c>
      <c r="B3170">
        <v>393.75</v>
      </c>
      <c r="C3170">
        <v>20.584240000000001</v>
      </c>
      <c r="D3170">
        <v>65</v>
      </c>
      <c r="E3170">
        <v>0</v>
      </c>
      <c r="F3170">
        <v>0</v>
      </c>
      <c r="G3170">
        <v>12</v>
      </c>
      <c r="H3170" s="4">
        <v>1570538679765</v>
      </c>
      <c r="I3170">
        <v>526.5</v>
      </c>
      <c r="J3170" s="9">
        <f t="shared" si="49"/>
        <v>43746.822682465274</v>
      </c>
      <c r="K3170" s="1"/>
    </row>
    <row r="3171" spans="1:11" x14ac:dyDescent="0.25">
      <c r="A3171" t="e">
        <f>-LqfOchC6thDXsAnIYop</f>
        <v>#NAME?</v>
      </c>
      <c r="B3171">
        <v>393.75</v>
      </c>
      <c r="C3171">
        <v>20.584240000000001</v>
      </c>
      <c r="D3171">
        <v>65</v>
      </c>
      <c r="E3171">
        <v>0</v>
      </c>
      <c r="F3171">
        <v>0</v>
      </c>
      <c r="G3171">
        <v>15</v>
      </c>
      <c r="H3171" s="4">
        <v>1570538685944</v>
      </c>
      <c r="I3171">
        <v>526.6875</v>
      </c>
      <c r="J3171" s="9">
        <f t="shared" si="49"/>
        <v>43746.822753981476</v>
      </c>
      <c r="K3171" s="1"/>
    </row>
    <row r="3172" spans="1:11" x14ac:dyDescent="0.25">
      <c r="A3172" t="e">
        <f>-LqfOeOgDuhQWH4THToK</f>
        <v>#NAME?</v>
      </c>
      <c r="B3172">
        <v>393.75</v>
      </c>
      <c r="C3172">
        <v>20.531590000000001</v>
      </c>
      <c r="D3172">
        <v>65</v>
      </c>
      <c r="E3172">
        <v>0</v>
      </c>
      <c r="F3172">
        <v>0</v>
      </c>
      <c r="G3172">
        <v>13</v>
      </c>
      <c r="H3172" s="4">
        <v>1570538693162</v>
      </c>
      <c r="I3172">
        <v>526.6875</v>
      </c>
      <c r="J3172" s="9">
        <f t="shared" si="49"/>
        <v>43746.822837523148</v>
      </c>
      <c r="K3172" s="1"/>
    </row>
    <row r="3173" spans="1:11" x14ac:dyDescent="0.25">
      <c r="A3173" t="e">
        <f>-LqfOfu5IkT-mZt8a4ty</f>
        <v>#NAME?</v>
      </c>
      <c r="B3173">
        <v>393.75</v>
      </c>
      <c r="C3173">
        <v>20.531590000000001</v>
      </c>
      <c r="D3173">
        <v>66</v>
      </c>
      <c r="E3173">
        <v>0</v>
      </c>
      <c r="F3173">
        <v>0</v>
      </c>
      <c r="G3173">
        <v>19</v>
      </c>
      <c r="H3173" s="4">
        <v>1570538699352</v>
      </c>
      <c r="I3173">
        <v>526.6875</v>
      </c>
      <c r="J3173" s="9">
        <f t="shared" si="49"/>
        <v>43746.822909166665</v>
      </c>
      <c r="K3173" s="1"/>
    </row>
    <row r="3174" spans="1:11" x14ac:dyDescent="0.25">
      <c r="A3174" t="e">
        <f>-LqfOhPLQuzV20Lu3CG8</f>
        <v>#NAME?</v>
      </c>
      <c r="B3174">
        <v>393.75</v>
      </c>
      <c r="C3174">
        <v>20.584240000000001</v>
      </c>
      <c r="D3174">
        <v>65</v>
      </c>
      <c r="E3174">
        <v>0</v>
      </c>
      <c r="F3174">
        <v>0</v>
      </c>
      <c r="G3174">
        <v>0</v>
      </c>
      <c r="H3174" s="4">
        <v>1570538705522</v>
      </c>
      <c r="I3174">
        <v>526.6875</v>
      </c>
      <c r="J3174" s="9">
        <f t="shared" si="49"/>
        <v>43746.822980578705</v>
      </c>
      <c r="K3174" s="1"/>
    </row>
    <row r="3175" spans="1:11" x14ac:dyDescent="0.25">
      <c r="A3175" t="e">
        <f>-LqfOiyLE33vJbOvKglA</f>
        <v>#NAME?</v>
      </c>
      <c r="B3175">
        <v>393.75</v>
      </c>
      <c r="C3175">
        <v>20.531590000000001</v>
      </c>
      <c r="D3175">
        <v>64</v>
      </c>
      <c r="E3175">
        <v>0</v>
      </c>
      <c r="F3175">
        <v>0</v>
      </c>
      <c r="G3175">
        <v>7</v>
      </c>
      <c r="H3175" s="4">
        <v>1570538711704</v>
      </c>
      <c r="I3175">
        <v>526.6875</v>
      </c>
      <c r="J3175" s="9">
        <f t="shared" si="49"/>
        <v>43746.823052129628</v>
      </c>
      <c r="K3175" s="1"/>
    </row>
    <row r="3176" spans="1:11" x14ac:dyDescent="0.25">
      <c r="A3176" t="e">
        <f>-LqfOklBtNvin98N5bPo</f>
        <v>#NAME?</v>
      </c>
      <c r="B3176">
        <v>393.75</v>
      </c>
      <c r="C3176">
        <v>20.478950000000001</v>
      </c>
      <c r="D3176">
        <v>65</v>
      </c>
      <c r="E3176">
        <v>0</v>
      </c>
      <c r="F3176">
        <v>0</v>
      </c>
      <c r="G3176">
        <v>4</v>
      </c>
      <c r="H3176" s="4">
        <v>1570538718922</v>
      </c>
      <c r="I3176">
        <v>526.6875</v>
      </c>
      <c r="J3176" s="9">
        <f t="shared" si="49"/>
        <v>43746.823135671293</v>
      </c>
      <c r="K3176" s="1"/>
    </row>
    <row r="3177" spans="1:11" x14ac:dyDescent="0.25">
      <c r="A3177" t="e">
        <f>-LqfOmUBckcFmJn4MBrL</f>
        <v>#NAME?</v>
      </c>
      <c r="B3177">
        <v>393.75</v>
      </c>
      <c r="C3177">
        <v>20.584240000000001</v>
      </c>
      <c r="D3177">
        <v>65</v>
      </c>
      <c r="E3177">
        <v>0</v>
      </c>
      <c r="F3177">
        <v>0</v>
      </c>
      <c r="G3177">
        <v>8</v>
      </c>
      <c r="H3177" s="4">
        <v>1570538726133</v>
      </c>
      <c r="I3177">
        <v>526.5</v>
      </c>
      <c r="J3177" s="9">
        <f t="shared" si="49"/>
        <v>43746.82321913194</v>
      </c>
      <c r="K3177" s="1"/>
    </row>
    <row r="3178" spans="1:11" x14ac:dyDescent="0.25">
      <c r="A3178" t="e">
        <f>-LqfOnx6ADuF-ek_XVQm</f>
        <v>#NAME?</v>
      </c>
      <c r="B3178">
        <v>412.5</v>
      </c>
      <c r="C3178">
        <v>20.531590000000001</v>
      </c>
      <c r="D3178">
        <v>65</v>
      </c>
      <c r="E3178">
        <v>0</v>
      </c>
      <c r="F3178">
        <v>0</v>
      </c>
      <c r="G3178">
        <v>8</v>
      </c>
      <c r="H3178" s="4">
        <v>1570538732312</v>
      </c>
      <c r="I3178">
        <v>532.5</v>
      </c>
      <c r="J3178" s="9">
        <f t="shared" si="49"/>
        <v>43746.82329064815</v>
      </c>
      <c r="K3178" s="1"/>
    </row>
    <row r="3179" spans="1:11" x14ac:dyDescent="0.25">
      <c r="A3179" t="e">
        <f>-LqfOpW5yPSNS_ZHHilI</f>
        <v>#NAME?</v>
      </c>
      <c r="B3179">
        <v>393.75</v>
      </c>
      <c r="C3179">
        <v>20.584240000000001</v>
      </c>
      <c r="D3179">
        <v>65</v>
      </c>
      <c r="E3179">
        <v>0</v>
      </c>
      <c r="F3179">
        <v>0</v>
      </c>
      <c r="G3179">
        <v>13</v>
      </c>
      <c r="H3179" s="4">
        <v>1570538738503</v>
      </c>
      <c r="I3179">
        <v>526.6875</v>
      </c>
      <c r="J3179" s="9">
        <f t="shared" si="49"/>
        <v>43746.823362303236</v>
      </c>
      <c r="K3179" s="1"/>
    </row>
    <row r="3180" spans="1:11" x14ac:dyDescent="0.25">
      <c r="A3180" t="e">
        <f>-LqfOrCqoleLqZ0rpdHQ</f>
        <v>#NAME?</v>
      </c>
      <c r="B3180">
        <v>393.75</v>
      </c>
      <c r="C3180">
        <v>20.584240000000001</v>
      </c>
      <c r="D3180">
        <v>65</v>
      </c>
      <c r="E3180">
        <v>0</v>
      </c>
      <c r="F3180">
        <v>0</v>
      </c>
      <c r="G3180">
        <v>10</v>
      </c>
      <c r="H3180" s="4">
        <v>1570538745682</v>
      </c>
      <c r="I3180">
        <v>526.5</v>
      </c>
      <c r="J3180" s="9">
        <f t="shared" si="49"/>
        <v>43746.823445393515</v>
      </c>
      <c r="K3180" s="1"/>
    </row>
    <row r="3181" spans="1:11" x14ac:dyDescent="0.25">
      <c r="A3181" t="e">
        <f>-LqfOsoEyz8pRISMihKs</f>
        <v>#NAME?</v>
      </c>
      <c r="B3181">
        <v>393.75</v>
      </c>
      <c r="C3181">
        <v>20.584240000000001</v>
      </c>
      <c r="D3181">
        <v>65</v>
      </c>
      <c r="E3181">
        <v>0</v>
      </c>
      <c r="F3181">
        <v>0</v>
      </c>
      <c r="G3181">
        <v>4</v>
      </c>
      <c r="H3181" s="4">
        <v>1570538751884</v>
      </c>
      <c r="I3181">
        <v>526.6875</v>
      </c>
      <c r="J3181" s="9">
        <f t="shared" si="49"/>
        <v>43746.823517175922</v>
      </c>
      <c r="K3181" s="1"/>
    </row>
    <row r="3182" spans="1:11" x14ac:dyDescent="0.25">
      <c r="A3182" t="e">
        <f>-LqfOulfhane0cr61biS</f>
        <v>#NAME?</v>
      </c>
      <c r="B3182">
        <v>393.75</v>
      </c>
      <c r="C3182">
        <v>20.531590000000001</v>
      </c>
      <c r="D3182">
        <v>66</v>
      </c>
      <c r="E3182">
        <v>0</v>
      </c>
      <c r="F3182">
        <v>0</v>
      </c>
      <c r="G3182">
        <v>17</v>
      </c>
      <c r="H3182" s="4">
        <v>1570538759122</v>
      </c>
      <c r="I3182">
        <v>526.6875</v>
      </c>
      <c r="J3182" s="9">
        <f t="shared" si="49"/>
        <v>43746.823600949072</v>
      </c>
      <c r="K3182" s="1"/>
    </row>
    <row r="3183" spans="1:11" x14ac:dyDescent="0.25">
      <c r="A3183" t="e">
        <f>-LqfOwKCwdcUhUsJwELZ</f>
        <v>#NAME?</v>
      </c>
      <c r="B3183">
        <v>393.75</v>
      </c>
      <c r="C3183">
        <v>20.531590000000001</v>
      </c>
      <c r="D3183">
        <v>66</v>
      </c>
      <c r="E3183">
        <v>0</v>
      </c>
      <c r="F3183">
        <v>0</v>
      </c>
      <c r="G3183">
        <v>11</v>
      </c>
      <c r="H3183" s="4">
        <v>1570538766324</v>
      </c>
      <c r="I3183">
        <v>526.6875</v>
      </c>
      <c r="J3183" s="9">
        <f t="shared" si="49"/>
        <v>43746.823684305557</v>
      </c>
      <c r="K3183" s="1"/>
    </row>
    <row r="3184" spans="1:11" x14ac:dyDescent="0.25">
      <c r="A3184" t="e">
        <f>-LqfOy2BYNDH2i4hvEsm</f>
        <v>#NAME?</v>
      </c>
      <c r="B3184">
        <v>412.5</v>
      </c>
      <c r="C3184">
        <v>20.531590000000001</v>
      </c>
      <c r="D3184">
        <v>66</v>
      </c>
      <c r="E3184">
        <v>0</v>
      </c>
      <c r="F3184">
        <v>0</v>
      </c>
      <c r="G3184">
        <v>7</v>
      </c>
      <c r="H3184" s="4">
        <v>1570538773523</v>
      </c>
      <c r="I3184">
        <v>532.3125</v>
      </c>
      <c r="J3184" s="9">
        <f t="shared" si="49"/>
        <v>43746.823767627313</v>
      </c>
      <c r="K3184" s="1"/>
    </row>
    <row r="3185" spans="1:11" x14ac:dyDescent="0.25">
      <c r="A3185" t="e">
        <f>-LqfOzbTOVHrXxoDoQ5t</f>
        <v>#NAME?</v>
      </c>
      <c r="B3185">
        <v>393.75</v>
      </c>
      <c r="C3185">
        <v>20.584240000000001</v>
      </c>
      <c r="D3185">
        <v>71</v>
      </c>
      <c r="E3185">
        <v>0</v>
      </c>
      <c r="F3185">
        <v>0</v>
      </c>
      <c r="G3185">
        <v>10</v>
      </c>
      <c r="H3185" s="4">
        <v>1570538779723</v>
      </c>
      <c r="I3185">
        <v>526.6875</v>
      </c>
      <c r="J3185" s="9">
        <f t="shared" si="49"/>
        <v>43746.823839386569</v>
      </c>
      <c r="K3185" s="1"/>
    </row>
    <row r="3186" spans="1:11" x14ac:dyDescent="0.25">
      <c r="A3186" t="e">
        <f>-LqfP0J4Q-pQkophcrlI</f>
        <v>#NAME?</v>
      </c>
      <c r="B3186">
        <v>393.75</v>
      </c>
      <c r="C3186">
        <v>20.531590000000001</v>
      </c>
      <c r="D3186">
        <v>69</v>
      </c>
      <c r="E3186">
        <v>0</v>
      </c>
      <c r="F3186">
        <v>0</v>
      </c>
      <c r="G3186">
        <v>5</v>
      </c>
      <c r="H3186" s="4">
        <v>1570538786934</v>
      </c>
      <c r="I3186">
        <v>526.6875</v>
      </c>
      <c r="J3186" s="9">
        <f t="shared" si="49"/>
        <v>43746.823922847216</v>
      </c>
      <c r="K3186" s="1"/>
    </row>
    <row r="3187" spans="1:11" x14ac:dyDescent="0.25">
      <c r="A3187" t="e">
        <f>-LqfP27ALgtSUKsmm5HT</f>
        <v>#NAME?</v>
      </c>
      <c r="B3187">
        <v>393.75</v>
      </c>
      <c r="C3187">
        <v>20.584240000000001</v>
      </c>
      <c r="D3187">
        <v>67</v>
      </c>
      <c r="E3187">
        <v>0</v>
      </c>
      <c r="F3187">
        <v>0</v>
      </c>
      <c r="G3187">
        <v>6</v>
      </c>
      <c r="H3187" s="4">
        <v>1570538794145</v>
      </c>
      <c r="I3187">
        <v>526.6875</v>
      </c>
      <c r="J3187" s="9">
        <f t="shared" si="49"/>
        <v>43746.824006307863</v>
      </c>
      <c r="K3187" s="1"/>
    </row>
    <row r="3188" spans="1:11" x14ac:dyDescent="0.25">
      <c r="A3188" t="e">
        <f>-LqfP3rJgkiP5kxMrRZv</f>
        <v>#NAME?</v>
      </c>
      <c r="B3188">
        <v>393.75</v>
      </c>
      <c r="C3188">
        <v>20.584240000000001</v>
      </c>
      <c r="D3188">
        <v>64</v>
      </c>
      <c r="E3188">
        <v>0</v>
      </c>
      <c r="F3188">
        <v>0</v>
      </c>
      <c r="G3188">
        <v>5</v>
      </c>
      <c r="H3188" s="4">
        <v>1570538801363</v>
      </c>
      <c r="I3188">
        <v>526.5</v>
      </c>
      <c r="J3188" s="9">
        <f t="shared" si="49"/>
        <v>43746.824089849535</v>
      </c>
      <c r="K3188" s="1"/>
    </row>
    <row r="3189" spans="1:11" x14ac:dyDescent="0.25">
      <c r="A3189" t="e">
        <f>-LqfP5PB_PnGMuluajTS</f>
        <v>#NAME?</v>
      </c>
      <c r="B3189">
        <v>415.625</v>
      </c>
      <c r="C3189">
        <v>20.584240000000001</v>
      </c>
      <c r="D3189">
        <v>64</v>
      </c>
      <c r="E3189">
        <v>0</v>
      </c>
      <c r="F3189">
        <v>0</v>
      </c>
      <c r="G3189">
        <v>12</v>
      </c>
      <c r="H3189" s="4">
        <v>1570538807542</v>
      </c>
      <c r="I3189">
        <v>533.4375</v>
      </c>
      <c r="J3189" s="9">
        <f t="shared" si="49"/>
        <v>43746.824161365737</v>
      </c>
      <c r="K3189" s="1"/>
    </row>
    <row r="3190" spans="1:11" x14ac:dyDescent="0.25">
      <c r="A3190" t="e">
        <f>-LqfP764NP2hrrrqUbc1</f>
        <v>#NAME?</v>
      </c>
      <c r="B3190">
        <v>393.75</v>
      </c>
      <c r="C3190">
        <v>20.584240000000001</v>
      </c>
      <c r="D3190">
        <v>65</v>
      </c>
      <c r="E3190">
        <v>0</v>
      </c>
      <c r="F3190">
        <v>0</v>
      </c>
      <c r="G3190">
        <v>4</v>
      </c>
      <c r="H3190" s="4">
        <v>1570538814754</v>
      </c>
      <c r="I3190">
        <v>526.6875</v>
      </c>
      <c r="J3190" s="9">
        <f t="shared" si="49"/>
        <v>43746.824244837961</v>
      </c>
      <c r="K3190" s="1"/>
    </row>
    <row r="3191" spans="1:11" x14ac:dyDescent="0.25">
      <c r="A3191" t="e">
        <f>-LqfP8u6DE4aW4FCawac</f>
        <v>#NAME?</v>
      </c>
      <c r="B3191">
        <v>393.75</v>
      </c>
      <c r="C3191">
        <v>20.531590000000001</v>
      </c>
      <c r="D3191">
        <v>66</v>
      </c>
      <c r="E3191">
        <v>0</v>
      </c>
      <c r="F3191">
        <v>0</v>
      </c>
      <c r="G3191">
        <v>14</v>
      </c>
      <c r="H3191" s="4">
        <v>1570538821972</v>
      </c>
      <c r="I3191">
        <v>526.6875</v>
      </c>
      <c r="J3191" s="9">
        <f t="shared" si="49"/>
        <v>43746.824328379626</v>
      </c>
      <c r="K3191" s="1"/>
    </row>
    <row r="3192" spans="1:11" x14ac:dyDescent="0.25">
      <c r="A3192" t="e">
        <f>-LqfPAwlQVDnP6F6kx26</f>
        <v>#NAME?</v>
      </c>
      <c r="B3192">
        <v>393.75</v>
      </c>
      <c r="C3192">
        <v>20.584240000000001</v>
      </c>
      <c r="D3192">
        <v>66</v>
      </c>
      <c r="E3192">
        <v>0</v>
      </c>
      <c r="F3192">
        <v>0</v>
      </c>
      <c r="G3192">
        <v>9</v>
      </c>
      <c r="H3192" s="4">
        <v>1570538829183</v>
      </c>
      <c r="I3192">
        <v>526.6875</v>
      </c>
      <c r="J3192" s="9">
        <f t="shared" si="49"/>
        <v>43746.824411840273</v>
      </c>
      <c r="K3192" s="1"/>
    </row>
    <row r="3193" spans="1:11" x14ac:dyDescent="0.25">
      <c r="A3193" t="e">
        <f>-LqfPCfFIUMSolSvzD-b</f>
        <v>#NAME?</v>
      </c>
      <c r="B3193">
        <v>393.75</v>
      </c>
      <c r="C3193">
        <v>20.584240000000001</v>
      </c>
      <c r="D3193">
        <v>66</v>
      </c>
      <c r="E3193">
        <v>0</v>
      </c>
      <c r="F3193">
        <v>0</v>
      </c>
      <c r="G3193">
        <v>10</v>
      </c>
      <c r="H3193" s="4">
        <v>1570538837486</v>
      </c>
      <c r="I3193">
        <v>526.6875</v>
      </c>
      <c r="J3193" s="9">
        <f t="shared" si="49"/>
        <v>43746.824507939811</v>
      </c>
      <c r="K3193" s="1"/>
    </row>
    <row r="3194" spans="1:11" x14ac:dyDescent="0.25">
      <c r="A3194" t="e">
        <f>-LqfPEODoZj6FfK3WKkk</f>
        <v>#NAME?</v>
      </c>
      <c r="B3194">
        <v>393.75</v>
      </c>
      <c r="C3194">
        <v>20.584240000000001</v>
      </c>
      <c r="D3194">
        <v>67</v>
      </c>
      <c r="E3194">
        <v>0</v>
      </c>
      <c r="F3194">
        <v>0</v>
      </c>
      <c r="G3194">
        <v>14</v>
      </c>
      <c r="H3194" s="4">
        <v>1570538844650</v>
      </c>
      <c r="I3194">
        <v>526.6875</v>
      </c>
      <c r="J3194" s="9">
        <f t="shared" si="49"/>
        <v>43746.824590856479</v>
      </c>
      <c r="K3194" s="1"/>
    </row>
    <row r="3195" spans="1:11" x14ac:dyDescent="0.25">
      <c r="A3195" t="e">
        <f>-LqfPFxHrnsC9gC1Xgar</f>
        <v>#NAME?</v>
      </c>
      <c r="B3195">
        <v>393.75</v>
      </c>
      <c r="C3195">
        <v>20.531590000000001</v>
      </c>
      <c r="D3195">
        <v>68</v>
      </c>
      <c r="E3195">
        <v>0</v>
      </c>
      <c r="F3195">
        <v>0</v>
      </c>
      <c r="G3195">
        <v>2</v>
      </c>
      <c r="H3195" s="4">
        <v>1570538851005</v>
      </c>
      <c r="I3195">
        <v>526.6875</v>
      </c>
      <c r="J3195" s="9">
        <f t="shared" si="49"/>
        <v>43746.824664409716</v>
      </c>
      <c r="K3195" s="1"/>
    </row>
    <row r="3196" spans="1:11" x14ac:dyDescent="0.25">
      <c r="A3196" t="e">
        <f>-LqfPHf65QzkgYBW1zAG</f>
        <v>#NAME?</v>
      </c>
      <c r="B3196">
        <v>393.75</v>
      </c>
      <c r="C3196">
        <v>20.531590000000001</v>
      </c>
      <c r="D3196">
        <v>67</v>
      </c>
      <c r="E3196">
        <v>0</v>
      </c>
      <c r="F3196">
        <v>0</v>
      </c>
      <c r="G3196">
        <v>4</v>
      </c>
      <c r="H3196" s="4">
        <v>1570538858015</v>
      </c>
      <c r="I3196">
        <v>526.6875</v>
      </c>
      <c r="J3196" s="9">
        <f t="shared" si="49"/>
        <v>43746.824745543978</v>
      </c>
      <c r="K3196" s="1"/>
    </row>
    <row r="3197" spans="1:11" x14ac:dyDescent="0.25">
      <c r="A3197" t="e">
        <f>-LqfPJEFTZYlaIp6rjC7</f>
        <v>#NAME?</v>
      </c>
      <c r="B3197">
        <v>393.75</v>
      </c>
      <c r="C3197">
        <v>20.584240000000001</v>
      </c>
      <c r="D3197">
        <v>68</v>
      </c>
      <c r="E3197">
        <v>0</v>
      </c>
      <c r="F3197">
        <v>0</v>
      </c>
      <c r="G3197">
        <v>11</v>
      </c>
      <c r="H3197" s="4">
        <v>1570538864226</v>
      </c>
      <c r="I3197">
        <v>526.6875</v>
      </c>
      <c r="J3197" s="9">
        <f t="shared" si="49"/>
        <v>43746.824817430555</v>
      </c>
      <c r="K3197" s="1"/>
    </row>
    <row r="3198" spans="1:11" x14ac:dyDescent="0.25">
      <c r="A3198" t="e">
        <f>-LqfPKxEge1f_ej1e4wr</f>
        <v>#NAME?</v>
      </c>
      <c r="B3198">
        <v>393.75</v>
      </c>
      <c r="C3198">
        <v>20.531590000000001</v>
      </c>
      <c r="D3198">
        <v>64</v>
      </c>
      <c r="E3198">
        <v>0</v>
      </c>
      <c r="F3198">
        <v>0</v>
      </c>
      <c r="G3198">
        <v>14</v>
      </c>
      <c r="H3198" s="4">
        <v>1570538871446</v>
      </c>
      <c r="I3198">
        <v>526.6875</v>
      </c>
      <c r="J3198" s="9">
        <f t="shared" si="49"/>
        <v>43746.824900995365</v>
      </c>
      <c r="K3198" s="1"/>
    </row>
    <row r="3199" spans="1:11" x14ac:dyDescent="0.25">
      <c r="A3199" t="e">
        <f>-LqfPMWE2JysznEb_ziU</f>
        <v>#NAME?</v>
      </c>
      <c r="B3199">
        <v>393.75</v>
      </c>
      <c r="C3199">
        <v>20.531590000000001</v>
      </c>
      <c r="D3199">
        <v>69</v>
      </c>
      <c r="E3199">
        <v>0</v>
      </c>
      <c r="F3199">
        <v>0</v>
      </c>
      <c r="G3199">
        <v>2</v>
      </c>
      <c r="H3199" s="4">
        <v>1570538877626</v>
      </c>
      <c r="I3199">
        <v>526.6875</v>
      </c>
      <c r="J3199" s="9">
        <f t="shared" si="49"/>
        <v>43746.824972523151</v>
      </c>
      <c r="K3199" s="1"/>
    </row>
    <row r="3200" spans="1:11" x14ac:dyDescent="0.25">
      <c r="A3200" t="e">
        <f>-LqfPOEYZUAuAP-dvxAK</f>
        <v>#NAME?</v>
      </c>
      <c r="B3200">
        <v>393.75</v>
      </c>
      <c r="C3200">
        <v>20.531590000000001</v>
      </c>
      <c r="D3200">
        <v>69</v>
      </c>
      <c r="E3200">
        <v>0</v>
      </c>
      <c r="F3200">
        <v>0</v>
      </c>
      <c r="G3200">
        <v>4</v>
      </c>
      <c r="H3200" s="4">
        <v>1570538884838</v>
      </c>
      <c r="I3200">
        <v>526.6875</v>
      </c>
      <c r="J3200" s="9">
        <f t="shared" si="49"/>
        <v>43746.825055995367</v>
      </c>
      <c r="K3200" s="1"/>
    </row>
    <row r="3201" spans="1:11" x14ac:dyDescent="0.25">
      <c r="A3201" t="e">
        <f>-LqfPQFqFKZMOD2ePoMG</f>
        <v>#NAME?</v>
      </c>
      <c r="B3201">
        <v>393.75</v>
      </c>
      <c r="C3201">
        <v>20.531590000000001</v>
      </c>
      <c r="D3201">
        <v>67</v>
      </c>
      <c r="E3201">
        <v>0</v>
      </c>
      <c r="F3201">
        <v>0</v>
      </c>
      <c r="G3201">
        <v>7</v>
      </c>
      <c r="H3201" s="4">
        <v>1570538892047</v>
      </c>
      <c r="I3201">
        <v>526.6875</v>
      </c>
      <c r="J3201" s="9">
        <f t="shared" si="49"/>
        <v>43746.825139432869</v>
      </c>
      <c r="K3201" s="1"/>
    </row>
    <row r="3202" spans="1:11" x14ac:dyDescent="0.25">
      <c r="A3202" t="e">
        <f>-LqfPRzEoYQV6WtUjNtj</f>
        <v>#NAME?</v>
      </c>
      <c r="B3202">
        <v>393.75</v>
      </c>
      <c r="C3202">
        <v>20.584240000000001</v>
      </c>
      <c r="D3202">
        <v>67</v>
      </c>
      <c r="E3202">
        <v>0</v>
      </c>
      <c r="F3202">
        <v>0</v>
      </c>
      <c r="G3202">
        <v>10</v>
      </c>
      <c r="H3202" s="4">
        <v>1570538900305</v>
      </c>
      <c r="I3202">
        <v>526.6875</v>
      </c>
      <c r="J3202" s="9">
        <f t="shared" si="49"/>
        <v>43746.825235011573</v>
      </c>
      <c r="K3202" s="1"/>
    </row>
    <row r="3203" spans="1:11" x14ac:dyDescent="0.25">
      <c r="A3203" t="e">
        <f>-LqfPTYEXD69i5B2f8Pz</f>
        <v>#NAME?</v>
      </c>
      <c r="B3203">
        <v>393.75</v>
      </c>
      <c r="C3203">
        <v>20.584240000000001</v>
      </c>
      <c r="D3203">
        <v>66</v>
      </c>
      <c r="E3203">
        <v>0</v>
      </c>
      <c r="F3203">
        <v>0</v>
      </c>
      <c r="G3203">
        <v>10</v>
      </c>
      <c r="H3203" s="4">
        <v>1570538906477</v>
      </c>
      <c r="I3203">
        <v>526.6875</v>
      </c>
      <c r="J3203" s="9">
        <f t="shared" ref="J3203:J3266" si="50">(H3203/86400000)+25569+(7/24)</f>
        <v>43746.825306446757</v>
      </c>
      <c r="K3203" s="1"/>
    </row>
    <row r="3204" spans="1:11" x14ac:dyDescent="0.25">
      <c r="A3204" t="e">
        <f>-LqfPVGDcvXa94_DpKWr</f>
        <v>#NAME?</v>
      </c>
      <c r="B3204">
        <v>393.75</v>
      </c>
      <c r="C3204">
        <v>20.584240000000001</v>
      </c>
      <c r="D3204">
        <v>68</v>
      </c>
      <c r="E3204">
        <v>0</v>
      </c>
      <c r="F3204">
        <v>0</v>
      </c>
      <c r="G3204">
        <v>6</v>
      </c>
      <c r="H3204" s="4">
        <v>1570538913686</v>
      </c>
      <c r="I3204">
        <v>526.6875</v>
      </c>
      <c r="J3204" s="9">
        <f t="shared" si="50"/>
        <v>43746.825389884259</v>
      </c>
      <c r="K3204" s="1"/>
    </row>
    <row r="3205" spans="1:11" x14ac:dyDescent="0.25">
      <c r="A3205" t="e">
        <f>-LqfPX6zAir262gt30Dn</f>
        <v>#NAME?</v>
      </c>
      <c r="B3205">
        <v>393.75</v>
      </c>
      <c r="C3205">
        <v>20.584240000000001</v>
      </c>
      <c r="D3205">
        <v>65</v>
      </c>
      <c r="E3205">
        <v>0</v>
      </c>
      <c r="F3205">
        <v>0</v>
      </c>
      <c r="G3205">
        <v>1</v>
      </c>
      <c r="H3205" s="4">
        <v>1570538921257</v>
      </c>
      <c r="I3205">
        <v>526.6875</v>
      </c>
      <c r="J3205" s="9">
        <f t="shared" si="50"/>
        <v>43746.825477511571</v>
      </c>
      <c r="K3205" s="1"/>
    </row>
    <row r="3206" spans="1:11" x14ac:dyDescent="0.25">
      <c r="A3206" t="e">
        <f>-LqfPYmDjrXkgJJLrMbS</f>
        <v>#NAME?</v>
      </c>
      <c r="B3206">
        <v>393.75</v>
      </c>
      <c r="C3206">
        <v>20.584240000000001</v>
      </c>
      <c r="D3206">
        <v>66</v>
      </c>
      <c r="E3206">
        <v>0</v>
      </c>
      <c r="F3206">
        <v>0</v>
      </c>
      <c r="G3206">
        <v>0</v>
      </c>
      <c r="H3206" s="4">
        <v>1570538928086</v>
      </c>
      <c r="I3206">
        <v>526.6875</v>
      </c>
      <c r="J3206" s="9">
        <f t="shared" si="50"/>
        <v>43746.825556550924</v>
      </c>
      <c r="K3206" s="1"/>
    </row>
    <row r="3207" spans="1:11" x14ac:dyDescent="0.25">
      <c r="A3207" t="e">
        <f>-LqfP_LE42alKa2uG8IR</f>
        <v>#NAME?</v>
      </c>
      <c r="B3207">
        <v>393.75</v>
      </c>
      <c r="C3207">
        <v>20.584240000000001</v>
      </c>
      <c r="D3207">
        <v>66</v>
      </c>
      <c r="E3207">
        <v>0</v>
      </c>
      <c r="F3207">
        <v>0</v>
      </c>
      <c r="G3207">
        <v>9</v>
      </c>
      <c r="H3207" s="4">
        <v>1570538934275</v>
      </c>
      <c r="I3207">
        <v>526.6875</v>
      </c>
      <c r="J3207" s="9">
        <f t="shared" si="50"/>
        <v>43746.825628182873</v>
      </c>
      <c r="K3207" s="1"/>
    </row>
    <row r="3208" spans="1:11" x14ac:dyDescent="0.25">
      <c r="A3208" t="e">
        <f>-LqfPbNDORfvL0Ljc9l9</f>
        <v>#NAME?</v>
      </c>
      <c r="B3208">
        <v>393.75</v>
      </c>
      <c r="C3208">
        <v>20.584240000000001</v>
      </c>
      <c r="D3208">
        <v>65</v>
      </c>
      <c r="E3208">
        <v>0</v>
      </c>
      <c r="F3208">
        <v>0</v>
      </c>
      <c r="G3208">
        <v>4</v>
      </c>
      <c r="H3208" s="4">
        <v>1570538942885</v>
      </c>
      <c r="I3208">
        <v>526.6875</v>
      </c>
      <c r="J3208" s="9">
        <f t="shared" si="50"/>
        <v>43746.825727835647</v>
      </c>
      <c r="K3208" s="1"/>
    </row>
    <row r="3209" spans="1:11" x14ac:dyDescent="0.25">
      <c r="A3209" t="e">
        <f>-LqfPd54Njucq8oj9D0v</f>
        <v>#NAME?</v>
      </c>
      <c r="B3209">
        <v>393.75</v>
      </c>
      <c r="C3209">
        <v>20.531590000000001</v>
      </c>
      <c r="D3209">
        <v>68</v>
      </c>
      <c r="E3209">
        <v>0</v>
      </c>
      <c r="F3209">
        <v>0</v>
      </c>
      <c r="G3209">
        <v>10</v>
      </c>
      <c r="H3209" s="4">
        <v>1570538949755</v>
      </c>
      <c r="I3209">
        <v>526.5</v>
      </c>
      <c r="J3209" s="9">
        <f t="shared" si="50"/>
        <v>43746.825807349531</v>
      </c>
      <c r="K3209" s="1"/>
    </row>
    <row r="3210" spans="1:11" x14ac:dyDescent="0.25">
      <c r="A3210" t="e">
        <f>-LqfPeoFPP4bSXMFlRaQ</f>
        <v>#NAME?</v>
      </c>
      <c r="B3210">
        <v>393.75</v>
      </c>
      <c r="C3210">
        <v>20.584240000000001</v>
      </c>
      <c r="D3210">
        <v>70</v>
      </c>
      <c r="E3210">
        <v>0</v>
      </c>
      <c r="F3210">
        <v>0</v>
      </c>
      <c r="G3210">
        <v>7</v>
      </c>
      <c r="H3210" s="4">
        <v>1570538956967</v>
      </c>
      <c r="I3210">
        <v>526.5</v>
      </c>
      <c r="J3210" s="9">
        <f t="shared" si="50"/>
        <v>43746.825890821761</v>
      </c>
      <c r="K3210" s="1"/>
    </row>
    <row r="3211" spans="1:11" x14ac:dyDescent="0.25">
      <c r="A3211" t="e">
        <f>-LqfPgNETHOXjz2QsD_u</f>
        <v>#NAME?</v>
      </c>
      <c r="B3211">
        <v>393.75</v>
      </c>
      <c r="C3211">
        <v>20.531590000000001</v>
      </c>
      <c r="D3211">
        <v>69</v>
      </c>
      <c r="E3211">
        <v>0</v>
      </c>
      <c r="F3211">
        <v>0</v>
      </c>
      <c r="G3211">
        <v>20</v>
      </c>
      <c r="H3211" s="4">
        <v>1570538963157</v>
      </c>
      <c r="I3211">
        <v>526.6875</v>
      </c>
      <c r="J3211" s="9">
        <f t="shared" si="50"/>
        <v>43746.825962465278</v>
      </c>
      <c r="K3211" s="1"/>
    </row>
    <row r="3212" spans="1:11" x14ac:dyDescent="0.25">
      <c r="A3212" t="e">
        <f>-LqfPi40C3d3NLCuMRL7</f>
        <v>#NAME?</v>
      </c>
      <c r="B3212">
        <v>393.75</v>
      </c>
      <c r="C3212">
        <v>20.531590000000001</v>
      </c>
      <c r="D3212">
        <v>66</v>
      </c>
      <c r="E3212">
        <v>0</v>
      </c>
      <c r="F3212">
        <v>0</v>
      </c>
      <c r="G3212">
        <v>11</v>
      </c>
      <c r="H3212" s="4">
        <v>1570538970341</v>
      </c>
      <c r="I3212">
        <v>526.6875</v>
      </c>
      <c r="J3212" s="9">
        <f t="shared" si="50"/>
        <v>43746.826045613423</v>
      </c>
      <c r="K3212" s="1"/>
    </row>
    <row r="3213" spans="1:11" x14ac:dyDescent="0.25">
      <c r="A3213" t="e">
        <f>-LqfPjeDjGZOAHwHdcY9</f>
        <v>#NAME?</v>
      </c>
      <c r="B3213">
        <v>393.75</v>
      </c>
      <c r="C3213">
        <v>20.531590000000001</v>
      </c>
      <c r="D3213">
        <v>66</v>
      </c>
      <c r="E3213">
        <v>0</v>
      </c>
      <c r="F3213">
        <v>0</v>
      </c>
      <c r="G3213">
        <v>6</v>
      </c>
      <c r="H3213" s="4">
        <v>1570538976525</v>
      </c>
      <c r="I3213">
        <v>526.6875</v>
      </c>
      <c r="J3213" s="9">
        <f t="shared" si="50"/>
        <v>43746.826117187498</v>
      </c>
      <c r="K3213" s="1"/>
    </row>
    <row r="3214" spans="1:11" x14ac:dyDescent="0.25">
      <c r="A3214" t="e">
        <f>-LqfPlNEaN0B2f-lbrVK</f>
        <v>#NAME?</v>
      </c>
      <c r="B3214">
        <v>393.75</v>
      </c>
      <c r="C3214">
        <v>20.531590000000001</v>
      </c>
      <c r="D3214">
        <v>66</v>
      </c>
      <c r="E3214">
        <v>0</v>
      </c>
      <c r="F3214">
        <v>0</v>
      </c>
      <c r="G3214">
        <v>9</v>
      </c>
      <c r="H3214" s="4">
        <v>1570538983766</v>
      </c>
      <c r="I3214">
        <v>526.6875</v>
      </c>
      <c r="J3214" s="9">
        <f t="shared" si="50"/>
        <v>43746.826200995369</v>
      </c>
      <c r="K3214" s="1"/>
    </row>
    <row r="3215" spans="1:11" x14ac:dyDescent="0.25">
      <c r="A3215" t="e">
        <f>-LqfPnFD7dAC3W7NSmhq</f>
        <v>#NAME?</v>
      </c>
      <c r="B3215">
        <v>393.75</v>
      </c>
      <c r="C3215">
        <v>20.584240000000001</v>
      </c>
      <c r="D3215">
        <v>66</v>
      </c>
      <c r="E3215">
        <v>0</v>
      </c>
      <c r="F3215">
        <v>0</v>
      </c>
      <c r="G3215">
        <v>1</v>
      </c>
      <c r="H3215" s="4">
        <v>1570538991207</v>
      </c>
      <c r="I3215">
        <v>526.5</v>
      </c>
      <c r="J3215" s="9">
        <f t="shared" si="50"/>
        <v>43746.826287118056</v>
      </c>
      <c r="K3215" s="1"/>
    </row>
    <row r="3216" spans="1:11" x14ac:dyDescent="0.25">
      <c r="A3216" t="e">
        <f>-LqfPot4nxg0jd6qlhgL</f>
        <v>#NAME?</v>
      </c>
      <c r="B3216">
        <v>393.75</v>
      </c>
      <c r="C3216">
        <v>20.584240000000001</v>
      </c>
      <c r="D3216">
        <v>66</v>
      </c>
      <c r="E3216">
        <v>0</v>
      </c>
      <c r="F3216">
        <v>0</v>
      </c>
      <c r="G3216">
        <v>11</v>
      </c>
      <c r="H3216" s="4">
        <v>1570538998166</v>
      </c>
      <c r="I3216">
        <v>526.6875</v>
      </c>
      <c r="J3216" s="9">
        <f t="shared" si="50"/>
        <v>43746.826367662034</v>
      </c>
      <c r="K3216" s="1"/>
    </row>
    <row r="3217" spans="1:11" x14ac:dyDescent="0.25">
      <c r="A3217" t="e">
        <f>-LqfPqSD7qs_yrwvvJNS</f>
        <v>#NAME?</v>
      </c>
      <c r="B3217">
        <v>393.75</v>
      </c>
      <c r="C3217">
        <v>20.584240000000001</v>
      </c>
      <c r="D3217">
        <v>66</v>
      </c>
      <c r="E3217">
        <v>0</v>
      </c>
      <c r="F3217">
        <v>0</v>
      </c>
      <c r="G3217">
        <v>15</v>
      </c>
      <c r="H3217" s="4">
        <v>1570539004377</v>
      </c>
      <c r="I3217">
        <v>526.6875</v>
      </c>
      <c r="J3217" s="9">
        <f t="shared" si="50"/>
        <v>43746.826439548611</v>
      </c>
      <c r="K3217" s="1"/>
    </row>
    <row r="3218" spans="1:11" x14ac:dyDescent="0.25">
      <c r="A3218" t="s">
        <v>170</v>
      </c>
      <c r="B3218">
        <v>393.75</v>
      </c>
      <c r="C3218">
        <v>20.531590000000001</v>
      </c>
      <c r="D3218">
        <v>65</v>
      </c>
      <c r="E3218">
        <v>0</v>
      </c>
      <c r="F3218">
        <v>0</v>
      </c>
      <c r="G3218">
        <v>12</v>
      </c>
      <c r="H3218" s="4">
        <v>1570539011587</v>
      </c>
      <c r="I3218">
        <v>526.6875</v>
      </c>
      <c r="J3218" s="9">
        <f t="shared" si="50"/>
        <v>43746.826522997682</v>
      </c>
      <c r="K3218" s="1"/>
    </row>
    <row r="3219" spans="1:11" x14ac:dyDescent="0.25">
      <c r="A3219" t="e">
        <f>-LqfPte44MAJZCcO2euF</f>
        <v>#NAME?</v>
      </c>
      <c r="B3219">
        <v>393.75</v>
      </c>
      <c r="C3219">
        <v>20.584240000000001</v>
      </c>
      <c r="D3219">
        <v>64</v>
      </c>
      <c r="E3219">
        <v>0</v>
      </c>
      <c r="F3219">
        <v>0</v>
      </c>
      <c r="G3219">
        <v>10</v>
      </c>
      <c r="H3219" s="4">
        <v>1570539017766</v>
      </c>
      <c r="I3219">
        <v>526.6875</v>
      </c>
      <c r="J3219" s="9">
        <f t="shared" si="50"/>
        <v>43746.826594513892</v>
      </c>
      <c r="K3219" s="1"/>
    </row>
    <row r="3220" spans="1:11" x14ac:dyDescent="0.25">
      <c r="A3220" t="e">
        <f>-LqfPvXDRIExTmA7dNGo</f>
        <v>#NAME?</v>
      </c>
      <c r="B3220">
        <v>412.5</v>
      </c>
      <c r="C3220">
        <v>20.531590000000001</v>
      </c>
      <c r="D3220">
        <v>64</v>
      </c>
      <c r="E3220">
        <v>0</v>
      </c>
      <c r="F3220">
        <v>0</v>
      </c>
      <c r="G3220">
        <v>10</v>
      </c>
      <c r="H3220" s="4">
        <v>1570539025338</v>
      </c>
      <c r="I3220">
        <v>532.5</v>
      </c>
      <c r="J3220" s="9">
        <f t="shared" si="50"/>
        <v>43746.826682152772</v>
      </c>
      <c r="K3220" s="1"/>
    </row>
    <row r="3221" spans="1:11" x14ac:dyDescent="0.25">
      <c r="A3221" t="e">
        <f>-LqfPxUZ9AaFFUIzgrIN</f>
        <v>#NAME?</v>
      </c>
      <c r="B3221">
        <v>393.75</v>
      </c>
      <c r="C3221">
        <v>20.584240000000001</v>
      </c>
      <c r="D3221">
        <v>65</v>
      </c>
      <c r="E3221">
        <v>0</v>
      </c>
      <c r="F3221">
        <v>0</v>
      </c>
      <c r="G3221">
        <v>10</v>
      </c>
      <c r="H3221" s="4">
        <v>1570539033377</v>
      </c>
      <c r="I3221">
        <v>526.5</v>
      </c>
      <c r="J3221" s="9">
        <f t="shared" si="50"/>
        <v>43746.826775196758</v>
      </c>
      <c r="K3221" s="1"/>
    </row>
    <row r="3222" spans="1:11" x14ac:dyDescent="0.25">
      <c r="A3222" t="e">
        <f>-LqfPzCFV0gZBxZwvNJ0</f>
        <v>#NAME?</v>
      </c>
      <c r="B3222">
        <v>393.75</v>
      </c>
      <c r="C3222">
        <v>20.584240000000001</v>
      </c>
      <c r="D3222">
        <v>65</v>
      </c>
      <c r="E3222">
        <v>0</v>
      </c>
      <c r="F3222">
        <v>0</v>
      </c>
      <c r="G3222">
        <v>12</v>
      </c>
      <c r="H3222" s="4">
        <v>1570539040417</v>
      </c>
      <c r="I3222">
        <v>526.6875</v>
      </c>
      <c r="J3222" s="9">
        <f t="shared" si="50"/>
        <v>43746.826856678243</v>
      </c>
      <c r="K3222" s="1"/>
    </row>
    <row r="3223" spans="1:11" x14ac:dyDescent="0.25">
      <c r="A3223" t="e">
        <f>-LqfQ0HsnY7Vq4DsVh3n</f>
        <v>#NAME?</v>
      </c>
      <c r="B3223">
        <v>393.75</v>
      </c>
      <c r="C3223">
        <v>20.531590000000001</v>
      </c>
      <c r="D3223">
        <v>67</v>
      </c>
      <c r="E3223">
        <v>0</v>
      </c>
      <c r="F3223">
        <v>0</v>
      </c>
      <c r="G3223">
        <v>5</v>
      </c>
      <c r="H3223" s="4">
        <v>1570539047656</v>
      </c>
      <c r="I3223">
        <v>526.6875</v>
      </c>
      <c r="J3223" s="9">
        <f t="shared" si="50"/>
        <v>43746.826940462961</v>
      </c>
      <c r="K3223" s="1"/>
    </row>
    <row r="3224" spans="1:11" x14ac:dyDescent="0.25">
      <c r="A3224" t="e">
        <f>-LqfQ21DoWiikHTDpnq1</f>
        <v>#NAME?</v>
      </c>
      <c r="B3224">
        <v>393.75</v>
      </c>
      <c r="C3224">
        <v>20.531590000000001</v>
      </c>
      <c r="D3224">
        <v>67</v>
      </c>
      <c r="E3224">
        <v>0</v>
      </c>
      <c r="F3224">
        <v>0</v>
      </c>
      <c r="G3224">
        <v>2</v>
      </c>
      <c r="H3224" s="4">
        <v>1570539055906</v>
      </c>
      <c r="I3224">
        <v>526.6875</v>
      </c>
      <c r="J3224" s="9">
        <f t="shared" si="50"/>
        <v>43746.827035949071</v>
      </c>
      <c r="K3224" s="1"/>
    </row>
    <row r="3225" spans="1:11" x14ac:dyDescent="0.25">
      <c r="A3225" t="e">
        <f>-LqfQ3kDJkmVfbTxN9Yh</f>
        <v>#NAME?</v>
      </c>
      <c r="B3225">
        <v>393.75</v>
      </c>
      <c r="C3225">
        <v>20.584240000000001</v>
      </c>
      <c r="D3225">
        <v>68</v>
      </c>
      <c r="E3225">
        <v>0</v>
      </c>
      <c r="F3225">
        <v>0</v>
      </c>
      <c r="G3225">
        <v>5</v>
      </c>
      <c r="H3225" s="4">
        <v>1570539063128</v>
      </c>
      <c r="I3225">
        <v>526.6875</v>
      </c>
      <c r="J3225" s="9">
        <f t="shared" si="50"/>
        <v>43746.82711953704</v>
      </c>
      <c r="K3225" s="1"/>
    </row>
    <row r="3226" spans="1:11" x14ac:dyDescent="0.25">
      <c r="A3226" t="e">
        <f>-LqfQ9b89T-kJlwEbl7K</f>
        <v>#NAME?</v>
      </c>
      <c r="B3226">
        <v>393.75</v>
      </c>
      <c r="C3226">
        <v>20.531590000000001</v>
      </c>
      <c r="D3226">
        <v>61</v>
      </c>
      <c r="E3226">
        <v>0</v>
      </c>
      <c r="F3226">
        <v>0</v>
      </c>
      <c r="G3226">
        <v>0</v>
      </c>
      <c r="H3226" s="4">
        <v>1570539087051</v>
      </c>
      <c r="I3226">
        <v>526.6875</v>
      </c>
      <c r="J3226" s="9">
        <f t="shared" si="50"/>
        <v>43746.827396423607</v>
      </c>
      <c r="K3226" s="1"/>
    </row>
    <row r="3227" spans="1:11" x14ac:dyDescent="0.25">
      <c r="A3227" t="e">
        <f>-LqfQBGcrJDlheVsx5V9</f>
        <v>#NAME?</v>
      </c>
      <c r="B3227">
        <v>393.75</v>
      </c>
      <c r="C3227">
        <v>20.584240000000001</v>
      </c>
      <c r="D3227">
        <v>61</v>
      </c>
      <c r="E3227">
        <v>0</v>
      </c>
      <c r="F3227">
        <v>0</v>
      </c>
      <c r="G3227">
        <v>0</v>
      </c>
      <c r="H3227" s="4">
        <v>1570539094054</v>
      </c>
      <c r="I3227">
        <v>526.6875</v>
      </c>
      <c r="J3227" s="9">
        <f t="shared" si="50"/>
        <v>43746.827477476851</v>
      </c>
      <c r="K3227" s="1"/>
    </row>
    <row r="3228" spans="1:11" x14ac:dyDescent="0.25">
      <c r="A3228" t="e">
        <f>-LqfQD2AMmBuQiVNJwC7</f>
        <v>#NAME?</v>
      </c>
      <c r="B3228">
        <v>393.75</v>
      </c>
      <c r="C3228">
        <v>20.584240000000001</v>
      </c>
      <c r="D3228">
        <v>61</v>
      </c>
      <c r="E3228">
        <v>0</v>
      </c>
      <c r="F3228">
        <v>0</v>
      </c>
      <c r="G3228">
        <v>0</v>
      </c>
      <c r="H3228" s="4">
        <v>1570539101080</v>
      </c>
      <c r="I3228">
        <v>526.6875</v>
      </c>
      <c r="J3228" s="9">
        <f t="shared" si="50"/>
        <v>43746.827558796293</v>
      </c>
      <c r="K3228" s="1"/>
    </row>
    <row r="3229" spans="1:11" x14ac:dyDescent="0.25">
      <c r="A3229" t="e">
        <f>-LqfQEbBADXlXV8a9cuX</f>
        <v>#NAME?</v>
      </c>
      <c r="B3229">
        <v>393.75</v>
      </c>
      <c r="C3229">
        <v>20.584240000000001</v>
      </c>
      <c r="D3229">
        <v>62</v>
      </c>
      <c r="E3229">
        <v>0</v>
      </c>
      <c r="F3229">
        <v>0</v>
      </c>
      <c r="G3229">
        <v>0</v>
      </c>
      <c r="H3229" s="4">
        <v>1570539107447</v>
      </c>
      <c r="I3229">
        <v>526.6875</v>
      </c>
      <c r="J3229" s="9">
        <f t="shared" si="50"/>
        <v>43746.827632488428</v>
      </c>
      <c r="K3229" s="1"/>
    </row>
    <row r="3230" spans="1:11" x14ac:dyDescent="0.25">
      <c r="A3230" t="e">
        <f>-LqfQGHhjtKHIda2XdaF</f>
        <v>#NAME?</v>
      </c>
      <c r="B3230">
        <v>393.75</v>
      </c>
      <c r="C3230">
        <v>20.584240000000001</v>
      </c>
      <c r="D3230">
        <v>62</v>
      </c>
      <c r="E3230">
        <v>0</v>
      </c>
      <c r="F3230">
        <v>0</v>
      </c>
      <c r="G3230">
        <v>2</v>
      </c>
      <c r="H3230" s="4">
        <v>1570539114654</v>
      </c>
      <c r="I3230">
        <v>526.6875</v>
      </c>
      <c r="J3230" s="9">
        <f t="shared" si="50"/>
        <v>43746.827715902771</v>
      </c>
      <c r="K3230" s="1"/>
    </row>
    <row r="3231" spans="1:11" x14ac:dyDescent="0.25">
      <c r="A3231" t="e">
        <f>-LqfQHoJeYHIZ2b_DSTt</f>
        <v>#NAME?</v>
      </c>
      <c r="B3231">
        <v>393.75</v>
      </c>
      <c r="C3231">
        <v>20.584240000000001</v>
      </c>
      <c r="D3231">
        <v>63</v>
      </c>
      <c r="E3231">
        <v>0</v>
      </c>
      <c r="F3231">
        <v>0</v>
      </c>
      <c r="G3231">
        <v>3</v>
      </c>
      <c r="H3231" s="4">
        <v>1570539120843</v>
      </c>
      <c r="I3231">
        <v>526.6875</v>
      </c>
      <c r="J3231" s="9">
        <f t="shared" si="50"/>
        <v>43746.827787534719</v>
      </c>
      <c r="K3231" s="1"/>
    </row>
    <row r="3232" spans="1:11" x14ac:dyDescent="0.25">
      <c r="A3232" t="e">
        <f>-LqfQJNC4AP7CwnvfqGp</f>
        <v>#NAME?</v>
      </c>
      <c r="B3232">
        <v>393.75</v>
      </c>
      <c r="C3232">
        <v>20.584240000000001</v>
      </c>
      <c r="D3232">
        <v>63</v>
      </c>
      <c r="E3232">
        <v>0</v>
      </c>
      <c r="F3232">
        <v>0</v>
      </c>
      <c r="G3232">
        <v>0</v>
      </c>
      <c r="H3232" s="4">
        <v>1570539127035</v>
      </c>
      <c r="I3232">
        <v>526.6875</v>
      </c>
      <c r="J3232" s="9">
        <f t="shared" si="50"/>
        <v>43746.827859201388</v>
      </c>
      <c r="K3232" s="1"/>
    </row>
    <row r="3233" spans="1:11" x14ac:dyDescent="0.25">
      <c r="A3233" t="e">
        <f>-LqfQLAiC1ZoG-Cq8opI</f>
        <v>#NAME?</v>
      </c>
      <c r="B3233">
        <v>393.75</v>
      </c>
      <c r="C3233">
        <v>20.584240000000001</v>
      </c>
      <c r="D3233">
        <v>63</v>
      </c>
      <c r="E3233">
        <v>0</v>
      </c>
      <c r="F3233">
        <v>0</v>
      </c>
      <c r="G3233">
        <v>0</v>
      </c>
      <c r="H3233" s="4">
        <v>1570539134250</v>
      </c>
      <c r="I3233">
        <v>526.6875</v>
      </c>
      <c r="J3233" s="9">
        <f t="shared" si="50"/>
        <v>43746.827942708333</v>
      </c>
      <c r="K3233" s="1"/>
    </row>
    <row r="3234" spans="1:11" x14ac:dyDescent="0.25">
      <c r="A3234" t="e">
        <f>-LqfQMtI15gEAtHCvJcP</f>
        <v>#NAME?</v>
      </c>
      <c r="B3234">
        <v>393.75</v>
      </c>
      <c r="C3234">
        <v>20.531590000000001</v>
      </c>
      <c r="D3234">
        <v>64</v>
      </c>
      <c r="E3234">
        <v>0</v>
      </c>
      <c r="F3234">
        <v>0</v>
      </c>
      <c r="G3234">
        <v>16</v>
      </c>
      <c r="H3234" s="4">
        <v>1570539141442</v>
      </c>
      <c r="I3234">
        <v>526.6875</v>
      </c>
      <c r="J3234" s="9">
        <f t="shared" si="50"/>
        <v>43746.828025949071</v>
      </c>
      <c r="K3234" s="1"/>
    </row>
    <row r="3235" spans="1:11" x14ac:dyDescent="0.25">
      <c r="A3235" t="e">
        <f>-LqfQOgF6Shd6LwOf5rA</f>
        <v>#NAME?</v>
      </c>
      <c r="B3235">
        <v>393.75</v>
      </c>
      <c r="C3235">
        <v>20.531590000000001</v>
      </c>
      <c r="D3235">
        <v>66</v>
      </c>
      <c r="E3235">
        <v>0</v>
      </c>
      <c r="F3235">
        <v>0</v>
      </c>
      <c r="G3235">
        <v>10</v>
      </c>
      <c r="H3235" s="4">
        <v>1570539148658</v>
      </c>
      <c r="I3235">
        <v>526.6875</v>
      </c>
      <c r="J3235" s="9">
        <f t="shared" si="50"/>
        <v>43746.828109467591</v>
      </c>
      <c r="K3235" s="1"/>
    </row>
    <row r="3236" spans="1:11" x14ac:dyDescent="0.25">
      <c r="A3236" t="e">
        <f>-LqfQQPNYYIE_lN2Y4CR</f>
        <v>#NAME?</v>
      </c>
      <c r="B3236">
        <v>393.75</v>
      </c>
      <c r="C3236">
        <v>20.584240000000001</v>
      </c>
      <c r="D3236">
        <v>63</v>
      </c>
      <c r="E3236">
        <v>0</v>
      </c>
      <c r="F3236">
        <v>0</v>
      </c>
      <c r="G3236">
        <v>5</v>
      </c>
      <c r="H3236" s="4">
        <v>1570539155873</v>
      </c>
      <c r="I3236">
        <v>526.6875</v>
      </c>
      <c r="J3236" s="9">
        <f t="shared" si="50"/>
        <v>43746.828192974535</v>
      </c>
      <c r="K3236" s="1"/>
    </row>
    <row r="3237" spans="1:11" x14ac:dyDescent="0.25">
      <c r="A3237" t="e">
        <f>-LqfQRtDFrkK6kXjfoxF</f>
        <v>#NAME?</v>
      </c>
      <c r="B3237">
        <v>393.75</v>
      </c>
      <c r="C3237">
        <v>20.584240000000001</v>
      </c>
      <c r="D3237">
        <v>63</v>
      </c>
      <c r="E3237">
        <v>0</v>
      </c>
      <c r="F3237">
        <v>0</v>
      </c>
      <c r="G3237">
        <v>13</v>
      </c>
      <c r="H3237" s="4">
        <v>1570539162067</v>
      </c>
      <c r="I3237">
        <v>526.6875</v>
      </c>
      <c r="J3237" s="9">
        <f t="shared" si="50"/>
        <v>43746.828264664349</v>
      </c>
      <c r="K3237" s="1"/>
    </row>
    <row r="3238" spans="1:11" x14ac:dyDescent="0.25">
      <c r="A3238" t="e">
        <f>-LqfQTS_ggpok5By4b47</f>
        <v>#NAME?</v>
      </c>
      <c r="B3238">
        <v>393.75</v>
      </c>
      <c r="C3238">
        <v>20.584240000000001</v>
      </c>
      <c r="D3238">
        <v>63</v>
      </c>
      <c r="E3238">
        <v>0</v>
      </c>
      <c r="F3238">
        <v>0</v>
      </c>
      <c r="G3238">
        <v>4</v>
      </c>
      <c r="H3238" s="4">
        <v>1570539168257</v>
      </c>
      <c r="I3238">
        <v>526.6875</v>
      </c>
      <c r="J3238" s="9">
        <f t="shared" si="50"/>
        <v>43746.828336307866</v>
      </c>
      <c r="K3238" s="1"/>
    </row>
    <row r="3239" spans="1:11" x14ac:dyDescent="0.25">
      <c r="A3239" t="e">
        <f>-LqfQVKIA6QELWT0l1ii</f>
        <v>#NAME?</v>
      </c>
      <c r="B3239">
        <v>412.5</v>
      </c>
      <c r="C3239">
        <v>20.584240000000001</v>
      </c>
      <c r="D3239">
        <v>64</v>
      </c>
      <c r="E3239">
        <v>0</v>
      </c>
      <c r="F3239">
        <v>0</v>
      </c>
      <c r="G3239">
        <v>7</v>
      </c>
      <c r="H3239" s="4">
        <v>1570539176131</v>
      </c>
      <c r="I3239">
        <v>532.125</v>
      </c>
      <c r="J3239" s="9">
        <f t="shared" si="50"/>
        <v>43746.828427442124</v>
      </c>
      <c r="K3239" s="1"/>
    </row>
    <row r="3240" spans="1:11" x14ac:dyDescent="0.25">
      <c r="A3240" t="e">
        <f>-LqfQWy9YmpwqsogoCzA</f>
        <v>#NAME?</v>
      </c>
      <c r="B3240">
        <v>393.75</v>
      </c>
      <c r="C3240">
        <v>20.584240000000001</v>
      </c>
      <c r="D3240">
        <v>66</v>
      </c>
      <c r="E3240">
        <v>0</v>
      </c>
      <c r="F3240">
        <v>0</v>
      </c>
      <c r="G3240">
        <v>8</v>
      </c>
      <c r="H3240" s="4">
        <v>1570539182676</v>
      </c>
      <c r="I3240">
        <v>526.5</v>
      </c>
      <c r="J3240" s="9">
        <f t="shared" si="50"/>
        <v>43746.828503194447</v>
      </c>
      <c r="K3240" s="1"/>
    </row>
    <row r="3241" spans="1:11" x14ac:dyDescent="0.25">
      <c r="A3241" t="e">
        <f>-LqfQYg4z1yT5N8_oMif</f>
        <v>#NAME?</v>
      </c>
      <c r="B3241">
        <v>393.75</v>
      </c>
      <c r="C3241">
        <v>20.584240000000001</v>
      </c>
      <c r="D3241">
        <v>65</v>
      </c>
      <c r="E3241">
        <v>0</v>
      </c>
      <c r="F3241">
        <v>0</v>
      </c>
      <c r="G3241">
        <v>15</v>
      </c>
      <c r="H3241" s="4">
        <v>1570539189858</v>
      </c>
      <c r="I3241">
        <v>526.6875</v>
      </c>
      <c r="J3241" s="9">
        <f t="shared" si="50"/>
        <v>43746.82858631944</v>
      </c>
      <c r="K3241" s="1"/>
    </row>
    <row r="3242" spans="1:11" x14ac:dyDescent="0.25">
      <c r="A3242" t="s">
        <v>171</v>
      </c>
      <c r="B3242">
        <v>393.75</v>
      </c>
      <c r="C3242">
        <v>20.584240000000001</v>
      </c>
      <c r="D3242">
        <v>63</v>
      </c>
      <c r="E3242">
        <v>0</v>
      </c>
      <c r="F3242">
        <v>0</v>
      </c>
      <c r="G3242">
        <v>8</v>
      </c>
      <c r="H3242" s="4">
        <v>1570539196067</v>
      </c>
      <c r="I3242">
        <v>526.6875</v>
      </c>
      <c r="J3242" s="9">
        <f t="shared" si="50"/>
        <v>43746.828658182865</v>
      </c>
      <c r="K3242" s="1"/>
    </row>
    <row r="3243" spans="1:11" x14ac:dyDescent="0.25">
      <c r="A3243" t="e">
        <f>-LqfQayLnB1V2_tVVGgD</f>
        <v>#NAME?</v>
      </c>
      <c r="B3243">
        <v>393.75</v>
      </c>
      <c r="C3243">
        <v>20.531590000000001</v>
      </c>
      <c r="D3243">
        <v>64</v>
      </c>
      <c r="E3243">
        <v>0</v>
      </c>
      <c r="F3243">
        <v>0</v>
      </c>
      <c r="G3243">
        <v>7</v>
      </c>
      <c r="H3243" s="4">
        <v>1570539203291</v>
      </c>
      <c r="I3243">
        <v>526.6875</v>
      </c>
      <c r="J3243" s="9">
        <f t="shared" si="50"/>
        <v>43746.828741793979</v>
      </c>
      <c r="K3243" s="1"/>
    </row>
    <row r="3244" spans="1:11" x14ac:dyDescent="0.25">
      <c r="A3244" t="e">
        <f>-LqfQclPlndOs-AEORfp</f>
        <v>#NAME?</v>
      </c>
      <c r="B3244">
        <v>418.75</v>
      </c>
      <c r="C3244">
        <v>20.584240000000001</v>
      </c>
      <c r="D3244">
        <v>63</v>
      </c>
      <c r="E3244">
        <v>0</v>
      </c>
      <c r="F3244">
        <v>0</v>
      </c>
      <c r="G3244">
        <v>8</v>
      </c>
      <c r="H3244" s="4">
        <v>1570539210614</v>
      </c>
      <c r="I3244">
        <v>534.375</v>
      </c>
      <c r="J3244" s="9">
        <f t="shared" si="50"/>
        <v>43746.828826550925</v>
      </c>
      <c r="K3244" s="1"/>
    </row>
    <row r="3245" spans="1:11" x14ac:dyDescent="0.25">
      <c r="A3245" t="e">
        <f>-LqfQeURgCNbPryqcw-l</f>
        <v>#NAME?</v>
      </c>
      <c r="B3245">
        <v>393.75</v>
      </c>
      <c r="C3245">
        <v>20.531590000000001</v>
      </c>
      <c r="D3245">
        <v>63</v>
      </c>
      <c r="E3245">
        <v>0</v>
      </c>
      <c r="F3245">
        <v>0</v>
      </c>
      <c r="G3245">
        <v>13</v>
      </c>
      <c r="H3245" s="4">
        <v>1570539217691</v>
      </c>
      <c r="I3245">
        <v>526.6875</v>
      </c>
      <c r="J3245" s="9">
        <f t="shared" si="50"/>
        <v>43746.828908460644</v>
      </c>
      <c r="K3245" s="1"/>
    </row>
    <row r="3246" spans="1:11" x14ac:dyDescent="0.25">
      <c r="A3246" t="e">
        <f>-LqfQg2HmOlIYr3Ay3kT</f>
        <v>#NAME?</v>
      </c>
      <c r="B3246">
        <v>393.75</v>
      </c>
      <c r="C3246">
        <v>20.531590000000001</v>
      </c>
      <c r="D3246">
        <v>63</v>
      </c>
      <c r="E3246">
        <v>0</v>
      </c>
      <c r="F3246">
        <v>0</v>
      </c>
      <c r="G3246">
        <v>11</v>
      </c>
      <c r="H3246" s="4">
        <v>1570539223902</v>
      </c>
      <c r="I3246">
        <v>526.6875</v>
      </c>
      <c r="J3246" s="9">
        <f t="shared" si="50"/>
        <v>43746.828980347222</v>
      </c>
      <c r="K3246" s="1"/>
    </row>
    <row r="3247" spans="1:11" x14ac:dyDescent="0.25">
      <c r="A3247" t="e">
        <f>-LqfQhlEB6RjFdrLkjad</f>
        <v>#NAME?</v>
      </c>
      <c r="B3247">
        <v>393.75</v>
      </c>
      <c r="C3247">
        <v>20.531590000000001</v>
      </c>
      <c r="D3247">
        <v>64</v>
      </c>
      <c r="E3247">
        <v>0</v>
      </c>
      <c r="F3247">
        <v>0</v>
      </c>
      <c r="G3247">
        <v>8</v>
      </c>
      <c r="H3247" s="4">
        <v>1570539231114</v>
      </c>
      <c r="I3247">
        <v>526.6875</v>
      </c>
      <c r="J3247" s="9">
        <f t="shared" si="50"/>
        <v>43746.829063819438</v>
      </c>
      <c r="K3247" s="1"/>
    </row>
    <row r="3248" spans="1:11" x14ac:dyDescent="0.25">
      <c r="A3248" t="e">
        <f>-LqfQjZRymm3f9iJKV8p</f>
        <v>#NAME?</v>
      </c>
      <c r="B3248">
        <v>393.75</v>
      </c>
      <c r="C3248">
        <v>20.584240000000001</v>
      </c>
      <c r="D3248">
        <v>66</v>
      </c>
      <c r="E3248">
        <v>0</v>
      </c>
      <c r="F3248">
        <v>0</v>
      </c>
      <c r="G3248">
        <v>6</v>
      </c>
      <c r="H3248" s="4">
        <v>1570539238337</v>
      </c>
      <c r="I3248">
        <v>526.6875</v>
      </c>
      <c r="J3248" s="9">
        <f t="shared" si="50"/>
        <v>43746.829147418983</v>
      </c>
      <c r="K3248" s="1"/>
    </row>
    <row r="3249" spans="1:11" x14ac:dyDescent="0.25">
      <c r="A3249" t="e">
        <f>-LqfQlHZIQYHli5flHjK</f>
        <v>#NAME?</v>
      </c>
      <c r="B3249">
        <v>428.125</v>
      </c>
      <c r="C3249">
        <v>20.531590000000001</v>
      </c>
      <c r="D3249">
        <v>67</v>
      </c>
      <c r="E3249">
        <v>0</v>
      </c>
      <c r="F3249">
        <v>0</v>
      </c>
      <c r="G3249">
        <v>5</v>
      </c>
      <c r="H3249" s="4">
        <v>1570539245525</v>
      </c>
      <c r="I3249">
        <v>537.9375</v>
      </c>
      <c r="J3249" s="9">
        <f t="shared" si="50"/>
        <v>43746.829230613424</v>
      </c>
      <c r="K3249" s="1"/>
    </row>
    <row r="3250" spans="1:11" x14ac:dyDescent="0.25">
      <c r="A3250" t="e">
        <f>-LqfQn4QcQd2Skt4QF94</f>
        <v>#NAME?</v>
      </c>
      <c r="B3250">
        <v>393.75</v>
      </c>
      <c r="C3250">
        <v>20.531590000000001</v>
      </c>
      <c r="D3250">
        <v>66</v>
      </c>
      <c r="E3250">
        <v>0</v>
      </c>
      <c r="F3250">
        <v>0</v>
      </c>
      <c r="G3250">
        <v>4</v>
      </c>
      <c r="H3250" s="4">
        <v>1570539252760</v>
      </c>
      <c r="I3250">
        <v>526.6875</v>
      </c>
      <c r="J3250" s="9">
        <f t="shared" si="50"/>
        <v>43746.829314351846</v>
      </c>
      <c r="K3250" s="1"/>
    </row>
    <row r="3251" spans="1:11" x14ac:dyDescent="0.25">
      <c r="A3251" t="e">
        <f>-LqfQpLVXKg1EEkKdTvB</f>
        <v>#NAME?</v>
      </c>
      <c r="B3251">
        <v>393.75</v>
      </c>
      <c r="C3251">
        <v>20.531590000000001</v>
      </c>
      <c r="D3251">
        <v>66</v>
      </c>
      <c r="E3251">
        <v>0</v>
      </c>
      <c r="F3251">
        <v>0</v>
      </c>
      <c r="G3251">
        <v>8</v>
      </c>
      <c r="H3251" s="4">
        <v>1570539262170</v>
      </c>
      <c r="I3251">
        <v>526.5</v>
      </c>
      <c r="J3251" s="9">
        <f t="shared" si="50"/>
        <v>43746.829423263887</v>
      </c>
      <c r="K3251" s="1"/>
    </row>
    <row r="3252" spans="1:11" x14ac:dyDescent="0.25">
      <c r="A3252" t="e">
        <f>-LqfQr332z864AH7STwx</f>
        <v>#NAME?</v>
      </c>
      <c r="B3252">
        <v>393.75</v>
      </c>
      <c r="C3252">
        <v>20.531590000000001</v>
      </c>
      <c r="D3252">
        <v>63</v>
      </c>
      <c r="E3252">
        <v>0</v>
      </c>
      <c r="F3252">
        <v>0</v>
      </c>
      <c r="G3252">
        <v>11</v>
      </c>
      <c r="H3252" s="4">
        <v>1570539269209</v>
      </c>
      <c r="I3252">
        <v>526.6875</v>
      </c>
      <c r="J3252" s="9">
        <f t="shared" si="50"/>
        <v>43746.829504733796</v>
      </c>
      <c r="K3252" s="1"/>
    </row>
    <row r="3253" spans="1:11" x14ac:dyDescent="0.25">
      <c r="A3253" t="e">
        <f>-LqfQscPmsNxc_T2E_7Q</f>
        <v>#NAME?</v>
      </c>
      <c r="B3253">
        <v>412.5</v>
      </c>
      <c r="C3253">
        <v>20.531590000000001</v>
      </c>
      <c r="D3253">
        <v>64</v>
      </c>
      <c r="E3253">
        <v>0</v>
      </c>
      <c r="F3253">
        <v>0</v>
      </c>
      <c r="G3253">
        <v>9</v>
      </c>
      <c r="H3253" s="4">
        <v>1570539275419</v>
      </c>
      <c r="I3253">
        <v>532.3125</v>
      </c>
      <c r="J3253" s="9">
        <f t="shared" si="50"/>
        <v>43746.82957660879</v>
      </c>
      <c r="K3253" s="1"/>
    </row>
    <row r="3254" spans="1:11" x14ac:dyDescent="0.25">
      <c r="A3254" t="e">
        <f>-LqfQuKMZyO-RxCo4OLw</f>
        <v>#NAME?</v>
      </c>
      <c r="B3254">
        <v>393.75</v>
      </c>
      <c r="C3254">
        <v>20.584240000000001</v>
      </c>
      <c r="D3254">
        <v>64</v>
      </c>
      <c r="E3254">
        <v>0</v>
      </c>
      <c r="F3254">
        <v>0</v>
      </c>
      <c r="G3254">
        <v>12</v>
      </c>
      <c r="H3254" s="4">
        <v>1570539282649</v>
      </c>
      <c r="I3254">
        <v>526.6875</v>
      </c>
      <c r="J3254" s="9">
        <f t="shared" si="50"/>
        <v>43746.829660289346</v>
      </c>
      <c r="K3254" s="1"/>
    </row>
    <row r="3255" spans="1:11" x14ac:dyDescent="0.25">
      <c r="A3255" t="e">
        <f>-LqfQw8DXl8d6QWAzHix</f>
        <v>#NAME?</v>
      </c>
      <c r="B3255">
        <v>393.75</v>
      </c>
      <c r="C3255">
        <v>20.584240000000001</v>
      </c>
      <c r="D3255">
        <v>65</v>
      </c>
      <c r="E3255">
        <v>0</v>
      </c>
      <c r="F3255">
        <v>0</v>
      </c>
      <c r="G3255">
        <v>6</v>
      </c>
      <c r="H3255" s="4">
        <v>1570539289839</v>
      </c>
      <c r="I3255">
        <v>526.6875</v>
      </c>
      <c r="J3255" s="9">
        <f t="shared" si="50"/>
        <v>43746.829743506947</v>
      </c>
      <c r="K3255" s="1"/>
    </row>
    <row r="3256" spans="1:11" x14ac:dyDescent="0.25">
      <c r="A3256" t="e">
        <f>-LqfQxrCg1WOmE3YYF0f</f>
        <v>#NAME?</v>
      </c>
      <c r="B3256">
        <v>393.75</v>
      </c>
      <c r="C3256">
        <v>20.531590000000001</v>
      </c>
      <c r="D3256">
        <v>66</v>
      </c>
      <c r="E3256">
        <v>0</v>
      </c>
      <c r="F3256">
        <v>0</v>
      </c>
      <c r="G3256">
        <v>10</v>
      </c>
      <c r="H3256" s="4">
        <v>1570539297050</v>
      </c>
      <c r="I3256">
        <v>526.6875</v>
      </c>
      <c r="J3256" s="9">
        <f t="shared" si="50"/>
        <v>43746.829826967594</v>
      </c>
      <c r="K3256" s="1"/>
    </row>
    <row r="3257" spans="1:11" x14ac:dyDescent="0.25">
      <c r="A3257" t="e">
        <f>-LqfQzQQaGKlwxu3wE4R</f>
        <v>#NAME?</v>
      </c>
      <c r="B3257">
        <v>393.75</v>
      </c>
      <c r="C3257">
        <v>20.584240000000001</v>
      </c>
      <c r="D3257">
        <v>66</v>
      </c>
      <c r="E3257">
        <v>0</v>
      </c>
      <c r="F3257">
        <v>0</v>
      </c>
      <c r="G3257">
        <v>11</v>
      </c>
      <c r="H3257" s="4">
        <v>1570539303459</v>
      </c>
      <c r="I3257">
        <v>526.6875</v>
      </c>
      <c r="J3257" s="9">
        <f t="shared" si="50"/>
        <v>43746.829901145829</v>
      </c>
      <c r="K3257" s="1"/>
    </row>
    <row r="3258" spans="1:11" x14ac:dyDescent="0.25">
      <c r="A3258" t="e">
        <f>-LqfR09X13xibmpPm4PJ</f>
        <v>#NAME?</v>
      </c>
      <c r="B3258">
        <v>393.75</v>
      </c>
      <c r="C3258">
        <v>20.584240000000001</v>
      </c>
      <c r="D3258">
        <v>66</v>
      </c>
      <c r="E3258">
        <v>0</v>
      </c>
      <c r="F3258">
        <v>0</v>
      </c>
      <c r="G3258">
        <v>8</v>
      </c>
      <c r="H3258" s="4">
        <v>1570539310444</v>
      </c>
      <c r="I3258">
        <v>526.6875</v>
      </c>
      <c r="J3258" s="9">
        <f t="shared" si="50"/>
        <v>43746.829981990733</v>
      </c>
      <c r="K3258" s="1"/>
    </row>
    <row r="3259" spans="1:11" x14ac:dyDescent="0.25">
      <c r="A3259" t="e">
        <f>-LqfR2F2Xz0Sbd-NMVDJ</f>
        <v>#NAME?</v>
      </c>
      <c r="B3259">
        <v>393.75</v>
      </c>
      <c r="C3259">
        <v>20.584240000000001</v>
      </c>
      <c r="D3259">
        <v>66</v>
      </c>
      <c r="E3259">
        <v>0</v>
      </c>
      <c r="F3259">
        <v>0</v>
      </c>
      <c r="G3259">
        <v>2</v>
      </c>
      <c r="H3259" s="4">
        <v>1570539317680</v>
      </c>
      <c r="I3259">
        <v>526.6875</v>
      </c>
      <c r="J3259" s="9">
        <f t="shared" si="50"/>
        <v>43746.830065740738</v>
      </c>
      <c r="K3259" s="1"/>
    </row>
    <row r="3260" spans="1:11" x14ac:dyDescent="0.25">
      <c r="A3260" t="e">
        <f>-LqfR3tCF6o6n5FTQ0O5</f>
        <v>#NAME?</v>
      </c>
      <c r="B3260">
        <v>418.75</v>
      </c>
      <c r="C3260">
        <v>20.584240000000001</v>
      </c>
      <c r="D3260">
        <v>64</v>
      </c>
      <c r="E3260">
        <v>0</v>
      </c>
      <c r="F3260">
        <v>0</v>
      </c>
      <c r="G3260">
        <v>8</v>
      </c>
      <c r="H3260" s="4">
        <v>1570539325904</v>
      </c>
      <c r="I3260">
        <v>534.375</v>
      </c>
      <c r="J3260" s="9">
        <f t="shared" si="50"/>
        <v>43746.830160925929</v>
      </c>
      <c r="K3260" s="1"/>
    </row>
    <row r="3261" spans="1:11" x14ac:dyDescent="0.25">
      <c r="A3261" t="e">
        <f>-LqfR5SBucwRWPPzfjJt</f>
        <v>#NAME?</v>
      </c>
      <c r="B3261">
        <v>393.75</v>
      </c>
      <c r="C3261">
        <v>20.584240000000001</v>
      </c>
      <c r="D3261">
        <v>64</v>
      </c>
      <c r="E3261">
        <v>0</v>
      </c>
      <c r="F3261">
        <v>0</v>
      </c>
      <c r="G3261">
        <v>4</v>
      </c>
      <c r="H3261" s="4">
        <v>1570539332086</v>
      </c>
      <c r="I3261">
        <v>526.6875</v>
      </c>
      <c r="J3261" s="9">
        <f t="shared" si="50"/>
        <v>43746.830232476852</v>
      </c>
      <c r="K3261" s="1"/>
    </row>
    <row r="3262" spans="1:11" x14ac:dyDescent="0.25">
      <c r="A3262" t="e">
        <f>-LqfR7ACEdXvVv2rJeaq</f>
        <v>#NAME?</v>
      </c>
      <c r="B3262">
        <v>393.75</v>
      </c>
      <c r="C3262">
        <v>20.531590000000001</v>
      </c>
      <c r="D3262">
        <v>65</v>
      </c>
      <c r="E3262">
        <v>0</v>
      </c>
      <c r="F3262">
        <v>0</v>
      </c>
      <c r="G3262">
        <v>6</v>
      </c>
      <c r="H3262" s="4">
        <v>1570539339285</v>
      </c>
      <c r="I3262">
        <v>526.6875</v>
      </c>
      <c r="J3262" s="9">
        <f t="shared" si="50"/>
        <v>43746.830315798608</v>
      </c>
      <c r="K3262" s="1"/>
    </row>
    <row r="3263" spans="1:11" x14ac:dyDescent="0.25">
      <c r="A3263" t="e">
        <f>-LqfR8jApslEuPYV6KEU</f>
        <v>#NAME?</v>
      </c>
      <c r="B3263">
        <v>412.5</v>
      </c>
      <c r="C3263">
        <v>20.584240000000001</v>
      </c>
      <c r="D3263">
        <v>65</v>
      </c>
      <c r="E3263">
        <v>0</v>
      </c>
      <c r="F3263">
        <v>0</v>
      </c>
      <c r="G3263">
        <v>13</v>
      </c>
      <c r="H3263" s="4">
        <v>1570539345483</v>
      </c>
      <c r="I3263">
        <v>532.125</v>
      </c>
      <c r="J3263" s="9">
        <f t="shared" si="50"/>
        <v>43746.830387534719</v>
      </c>
      <c r="K3263" s="1"/>
    </row>
    <row r="3264" spans="1:11" x14ac:dyDescent="0.25">
      <c r="A3264" t="e">
        <f>-LqfRAS2dCZH5z3WD2et</f>
        <v>#NAME?</v>
      </c>
      <c r="B3264">
        <v>393.75</v>
      </c>
      <c r="C3264">
        <v>20.531590000000001</v>
      </c>
      <c r="D3264">
        <v>71</v>
      </c>
      <c r="E3264">
        <v>0</v>
      </c>
      <c r="F3264">
        <v>0</v>
      </c>
      <c r="G3264">
        <v>10</v>
      </c>
      <c r="H3264" s="4">
        <v>1570539352704</v>
      </c>
      <c r="I3264">
        <v>526.5</v>
      </c>
      <c r="J3264" s="9">
        <f t="shared" si="50"/>
        <v>43746.830471111105</v>
      </c>
      <c r="K3264" s="1"/>
    </row>
    <row r="3265" spans="1:11" x14ac:dyDescent="0.25">
      <c r="A3265" t="e">
        <f>-LqfRCF3OuGkvjjWX_OY</f>
        <v>#NAME?</v>
      </c>
      <c r="B3265">
        <v>393.75</v>
      </c>
      <c r="C3265">
        <v>20.584240000000001</v>
      </c>
      <c r="D3265">
        <v>69</v>
      </c>
      <c r="E3265">
        <v>0</v>
      </c>
      <c r="F3265">
        <v>0</v>
      </c>
      <c r="G3265">
        <v>15</v>
      </c>
      <c r="H3265" s="4">
        <v>1570539359913</v>
      </c>
      <c r="I3265">
        <v>526.6875</v>
      </c>
      <c r="J3265" s="9">
        <f t="shared" si="50"/>
        <v>43746.830554548607</v>
      </c>
      <c r="K3265" s="1"/>
    </row>
    <row r="3266" spans="1:11" x14ac:dyDescent="0.25">
      <c r="A3266" t="e">
        <f>-LqfRDyBOUf6P844qYFc</f>
        <v>#NAME?</v>
      </c>
      <c r="B3266">
        <v>393.75</v>
      </c>
      <c r="C3266">
        <v>20.531590000000001</v>
      </c>
      <c r="D3266">
        <v>69</v>
      </c>
      <c r="E3266">
        <v>0</v>
      </c>
      <c r="F3266">
        <v>0</v>
      </c>
      <c r="G3266">
        <v>18</v>
      </c>
      <c r="H3266" s="4">
        <v>1570539367124</v>
      </c>
      <c r="I3266">
        <v>526.5</v>
      </c>
      <c r="J3266" s="9">
        <f t="shared" si="50"/>
        <v>43746.830638009262</v>
      </c>
      <c r="K3266" s="1"/>
    </row>
    <row r="3267" spans="1:11" x14ac:dyDescent="0.25">
      <c r="A3267" t="e">
        <f>-LqfRFkGz3UtkVACzRZl</f>
        <v>#NAME?</v>
      </c>
      <c r="B3267">
        <v>393.75</v>
      </c>
      <c r="C3267">
        <v>20.584240000000001</v>
      </c>
      <c r="D3267">
        <v>69</v>
      </c>
      <c r="E3267">
        <v>0</v>
      </c>
      <c r="F3267">
        <v>0</v>
      </c>
      <c r="G3267">
        <v>1</v>
      </c>
      <c r="H3267" s="4">
        <v>1570539374325</v>
      </c>
      <c r="I3267">
        <v>526.6875</v>
      </c>
      <c r="J3267" s="9">
        <f t="shared" ref="J3267:J3330" si="51">(H3267/86400000)+25569+(7/24)</f>
        <v>43746.830721354163</v>
      </c>
      <c r="K3267" s="1"/>
    </row>
    <row r="3268" spans="1:11" x14ac:dyDescent="0.25">
      <c r="A3268" t="e">
        <f>-LqfRHUBAXkSinjw_cbL</f>
        <v>#NAME?</v>
      </c>
      <c r="B3268">
        <v>412.5</v>
      </c>
      <c r="C3268">
        <v>20.584240000000001</v>
      </c>
      <c r="D3268">
        <v>68</v>
      </c>
      <c r="E3268">
        <v>0</v>
      </c>
      <c r="F3268">
        <v>0</v>
      </c>
      <c r="G3268">
        <v>6</v>
      </c>
      <c r="H3268" s="4">
        <v>1570539381523</v>
      </c>
      <c r="I3268">
        <v>532.3125</v>
      </c>
      <c r="J3268" s="9">
        <f t="shared" si="51"/>
        <v>43746.830804664351</v>
      </c>
      <c r="K3268" s="1"/>
    </row>
    <row r="3269" spans="1:11" x14ac:dyDescent="0.25">
      <c r="A3269" t="e">
        <f>-LqfRJ2B689C-M8IT84u</f>
        <v>#NAME?</v>
      </c>
      <c r="B3269">
        <v>393.75</v>
      </c>
      <c r="C3269">
        <v>20.531590000000001</v>
      </c>
      <c r="D3269">
        <v>68</v>
      </c>
      <c r="E3269">
        <v>0</v>
      </c>
      <c r="F3269">
        <v>0</v>
      </c>
      <c r="G3269">
        <v>3</v>
      </c>
      <c r="H3269" s="4">
        <v>1570539387830</v>
      </c>
      <c r="I3269">
        <v>526.5</v>
      </c>
      <c r="J3269" s="9">
        <f t="shared" si="51"/>
        <v>43746.830877662032</v>
      </c>
      <c r="K3269" s="1"/>
    </row>
    <row r="3270" spans="1:11" x14ac:dyDescent="0.25">
      <c r="A3270" t="e">
        <f>-LqfRKlBDmB3vEOO-e6f</f>
        <v>#NAME?</v>
      </c>
      <c r="B3270">
        <v>393.75</v>
      </c>
      <c r="C3270">
        <v>20.531590000000001</v>
      </c>
      <c r="D3270">
        <v>68</v>
      </c>
      <c r="E3270">
        <v>0</v>
      </c>
      <c r="F3270">
        <v>0</v>
      </c>
      <c r="G3270">
        <v>6</v>
      </c>
      <c r="H3270" s="4">
        <v>1570539394964</v>
      </c>
      <c r="I3270">
        <v>526.6875</v>
      </c>
      <c r="J3270" s="9">
        <f t="shared" si="51"/>
        <v>43746.830960231477</v>
      </c>
      <c r="K3270" s="1"/>
    </row>
    <row r="3271" spans="1:11" x14ac:dyDescent="0.25">
      <c r="A3271" t="e">
        <f>-LqfRMZCwiuHb41PkL_d</f>
        <v>#NAME?</v>
      </c>
      <c r="B3271">
        <v>393.75</v>
      </c>
      <c r="C3271">
        <v>20.531590000000001</v>
      </c>
      <c r="D3271">
        <v>67</v>
      </c>
      <c r="E3271">
        <v>0</v>
      </c>
      <c r="F3271">
        <v>0</v>
      </c>
      <c r="G3271">
        <v>8</v>
      </c>
      <c r="H3271" s="4">
        <v>1570539402164</v>
      </c>
      <c r="I3271">
        <v>526.6875</v>
      </c>
      <c r="J3271" s="9">
        <f t="shared" si="51"/>
        <v>43746.831043564809</v>
      </c>
      <c r="K3271" s="1"/>
    </row>
    <row r="3272" spans="1:11" x14ac:dyDescent="0.25">
      <c r="A3272" t="e">
        <f>-LqfROH4DwmjHkd3IVnf</f>
        <v>#NAME?</v>
      </c>
      <c r="B3272">
        <v>393.75</v>
      </c>
      <c r="C3272">
        <v>20.584240000000001</v>
      </c>
      <c r="D3272">
        <v>68</v>
      </c>
      <c r="E3272">
        <v>0</v>
      </c>
      <c r="F3272">
        <v>0</v>
      </c>
      <c r="G3272">
        <v>11</v>
      </c>
      <c r="H3272" s="4">
        <v>1570539409364</v>
      </c>
      <c r="I3272">
        <v>526.6875</v>
      </c>
      <c r="J3272" s="9">
        <f t="shared" si="51"/>
        <v>43746.831126898142</v>
      </c>
      <c r="K3272" s="1"/>
    </row>
    <row r="3273" spans="1:11" x14ac:dyDescent="0.25">
      <c r="A3273" t="e">
        <f>-LqfRQE_8Poywmsnh0_Z</f>
        <v>#NAME?</v>
      </c>
      <c r="B3273">
        <v>431.25</v>
      </c>
      <c r="C3273">
        <v>20.584240000000001</v>
      </c>
      <c r="D3273">
        <v>67</v>
      </c>
      <c r="E3273">
        <v>0</v>
      </c>
      <c r="F3273">
        <v>0</v>
      </c>
      <c r="G3273">
        <v>10</v>
      </c>
      <c r="H3273" s="4">
        <v>1570539416593</v>
      </c>
      <c r="I3273">
        <v>538.5</v>
      </c>
      <c r="J3273" s="9">
        <f t="shared" si="51"/>
        <v>43746.831210567128</v>
      </c>
      <c r="K3273" s="1"/>
    </row>
    <row r="3274" spans="1:11" x14ac:dyDescent="0.25">
      <c r="A3274" t="e">
        <f>-LqfRRnCkouIS0yjx5E1</f>
        <v>#NAME?</v>
      </c>
      <c r="B3274">
        <v>393.75</v>
      </c>
      <c r="C3274">
        <v>20.531590000000001</v>
      </c>
      <c r="D3274">
        <v>69</v>
      </c>
      <c r="E3274">
        <v>0</v>
      </c>
      <c r="F3274">
        <v>0</v>
      </c>
      <c r="G3274">
        <v>10</v>
      </c>
      <c r="H3274" s="4">
        <v>1570539423825</v>
      </c>
      <c r="I3274">
        <v>526.6875</v>
      </c>
      <c r="J3274" s="9">
        <f t="shared" si="51"/>
        <v>43746.831294270836</v>
      </c>
      <c r="K3274" s="1"/>
    </row>
    <row r="3275" spans="1:11" x14ac:dyDescent="0.25">
      <c r="A3275" t="e">
        <f>-LqfRTMIrzL4FlShPK4H</f>
        <v>#NAME?</v>
      </c>
      <c r="B3275">
        <v>393.75</v>
      </c>
      <c r="C3275">
        <v>20.584240000000001</v>
      </c>
      <c r="D3275">
        <v>69</v>
      </c>
      <c r="E3275">
        <v>0</v>
      </c>
      <c r="F3275">
        <v>0</v>
      </c>
      <c r="G3275">
        <v>4</v>
      </c>
      <c r="H3275" s="4">
        <v>1570539430005</v>
      </c>
      <c r="I3275">
        <v>526.6875</v>
      </c>
      <c r="J3275" s="9">
        <f t="shared" si="51"/>
        <v>43746.831365798607</v>
      </c>
      <c r="K3275" s="1"/>
    </row>
    <row r="3276" spans="1:11" x14ac:dyDescent="0.25">
      <c r="A3276" t="e">
        <f>-LqfRV3Q84MiVPj-bLqg</f>
        <v>#NAME?</v>
      </c>
      <c r="B3276">
        <v>393.75</v>
      </c>
      <c r="C3276">
        <v>20.531590000000001</v>
      </c>
      <c r="D3276">
        <v>70</v>
      </c>
      <c r="E3276">
        <v>0</v>
      </c>
      <c r="F3276">
        <v>0</v>
      </c>
      <c r="G3276">
        <v>11</v>
      </c>
      <c r="H3276" s="4">
        <v>1570539437206</v>
      </c>
      <c r="I3276">
        <v>526.6875</v>
      </c>
      <c r="J3276" s="9">
        <f t="shared" si="51"/>
        <v>43746.831449143516</v>
      </c>
      <c r="K3276" s="1"/>
    </row>
    <row r="3277" spans="1:11" x14ac:dyDescent="0.25">
      <c r="A3277" t="e">
        <f>-LqfRWsKG7m1QutTD0xY</f>
        <v>#NAME?</v>
      </c>
      <c r="B3277">
        <v>393.75</v>
      </c>
      <c r="C3277">
        <v>20.584240000000001</v>
      </c>
      <c r="D3277">
        <v>70</v>
      </c>
      <c r="E3277">
        <v>0</v>
      </c>
      <c r="F3277">
        <v>0</v>
      </c>
      <c r="G3277">
        <v>11</v>
      </c>
      <c r="H3277" s="4">
        <v>1570539444425</v>
      </c>
      <c r="I3277">
        <v>526.6875</v>
      </c>
      <c r="J3277" s="9">
        <f t="shared" si="51"/>
        <v>43746.831532696757</v>
      </c>
      <c r="K3277" s="1"/>
    </row>
    <row r="3278" spans="1:11" x14ac:dyDescent="0.25">
      <c r="A3278" t="e">
        <f>-LqfRYaKWR3fcl11G7-v</f>
        <v>#NAME?</v>
      </c>
      <c r="B3278">
        <v>428.125</v>
      </c>
      <c r="C3278">
        <v>20.531590000000001</v>
      </c>
      <c r="D3278">
        <v>68</v>
      </c>
      <c r="E3278">
        <v>0</v>
      </c>
      <c r="F3278">
        <v>0</v>
      </c>
      <c r="G3278">
        <v>3</v>
      </c>
      <c r="H3278" s="4">
        <v>1570539451605</v>
      </c>
      <c r="I3278">
        <v>537.5625</v>
      </c>
      <c r="J3278" s="9">
        <f t="shared" si="51"/>
        <v>43746.831615798605</v>
      </c>
      <c r="K3278" s="1"/>
    </row>
    <row r="3279" spans="1:11" x14ac:dyDescent="0.25">
      <c r="A3279" t="e">
        <f>-LqfR_9DY6Y285m_Ki83</f>
        <v>#NAME?</v>
      </c>
      <c r="B3279">
        <v>393.75</v>
      </c>
      <c r="C3279">
        <v>20.584240000000001</v>
      </c>
      <c r="D3279">
        <v>68</v>
      </c>
      <c r="E3279">
        <v>0</v>
      </c>
      <c r="F3279">
        <v>0</v>
      </c>
      <c r="G3279">
        <v>9</v>
      </c>
      <c r="H3279" s="4">
        <v>1570539457795</v>
      </c>
      <c r="I3279">
        <v>526.6875</v>
      </c>
      <c r="J3279" s="9">
        <f t="shared" si="51"/>
        <v>43746.831687442129</v>
      </c>
      <c r="K3279" s="1"/>
    </row>
    <row r="3280" spans="1:11" x14ac:dyDescent="0.25">
      <c r="A3280" t="e">
        <f>-LqfRatGaJwXAhEgoxQT</f>
        <v>#NAME?</v>
      </c>
      <c r="B3280">
        <v>393.75</v>
      </c>
      <c r="C3280">
        <v>20.531590000000001</v>
      </c>
      <c r="D3280">
        <v>67</v>
      </c>
      <c r="E3280">
        <v>0</v>
      </c>
      <c r="F3280">
        <v>0</v>
      </c>
      <c r="G3280">
        <v>10</v>
      </c>
      <c r="H3280" s="4">
        <v>1570539465045</v>
      </c>
      <c r="I3280">
        <v>526.6875</v>
      </c>
      <c r="J3280" s="9">
        <f t="shared" si="51"/>
        <v>43746.831771354169</v>
      </c>
      <c r="K3280" s="1"/>
    </row>
    <row r="3281" spans="1:11" x14ac:dyDescent="0.25">
      <c r="A3281" t="e">
        <f>-LqfRcaLz4rR34VHAgML</f>
        <v>#NAME?</v>
      </c>
      <c r="B3281">
        <v>412.5</v>
      </c>
      <c r="C3281">
        <v>20.584240000000001</v>
      </c>
      <c r="D3281">
        <v>68</v>
      </c>
      <c r="E3281">
        <v>0</v>
      </c>
      <c r="F3281">
        <v>0</v>
      </c>
      <c r="G3281">
        <v>16</v>
      </c>
      <c r="H3281" s="4">
        <v>1570539472243</v>
      </c>
      <c r="I3281">
        <v>532.3125</v>
      </c>
      <c r="J3281" s="9">
        <f t="shared" si="51"/>
        <v>43746.83185466435</v>
      </c>
      <c r="K3281" s="1"/>
    </row>
    <row r="3282" spans="1:11" x14ac:dyDescent="0.25">
      <c r="A3282" t="e">
        <f>-LqfRe9BVDZu1lD8is3q</f>
        <v>#NAME?</v>
      </c>
      <c r="B3282">
        <v>393.75</v>
      </c>
      <c r="C3282">
        <v>20.584240000000001</v>
      </c>
      <c r="D3282">
        <v>68</v>
      </c>
      <c r="E3282">
        <v>0</v>
      </c>
      <c r="F3282">
        <v>0</v>
      </c>
      <c r="G3282">
        <v>10</v>
      </c>
      <c r="H3282" s="4">
        <v>1570539478426</v>
      </c>
      <c r="I3282">
        <v>526.6875</v>
      </c>
      <c r="J3282" s="9">
        <f t="shared" si="51"/>
        <v>43746.831926226849</v>
      </c>
      <c r="K3282" s="1"/>
    </row>
    <row r="3283" spans="1:11" x14ac:dyDescent="0.25">
      <c r="A3283" t="s">
        <v>172</v>
      </c>
      <c r="B3283">
        <v>393.75</v>
      </c>
      <c r="C3283">
        <v>20.584240000000001</v>
      </c>
      <c r="D3283">
        <v>68</v>
      </c>
      <c r="E3283">
        <v>0</v>
      </c>
      <c r="F3283">
        <v>0</v>
      </c>
      <c r="G3283">
        <v>0</v>
      </c>
      <c r="H3283" s="4">
        <v>1570539485687</v>
      </c>
      <c r="I3283">
        <v>526.6875</v>
      </c>
      <c r="J3283" s="9">
        <f t="shared" si="51"/>
        <v>43746.832010266204</v>
      </c>
      <c r="K3283" s="1"/>
    </row>
    <row r="3284" spans="1:11" x14ac:dyDescent="0.25">
      <c r="A3284" t="e">
        <f>-LqfRhRCidtg_ZrBa9VR</f>
        <v>#NAME?</v>
      </c>
      <c r="B3284">
        <v>393.75</v>
      </c>
      <c r="C3284">
        <v>20.478950000000001</v>
      </c>
      <c r="D3284">
        <v>68</v>
      </c>
      <c r="E3284">
        <v>0</v>
      </c>
      <c r="F3284">
        <v>0</v>
      </c>
      <c r="G3284">
        <v>8</v>
      </c>
      <c r="H3284" s="4">
        <v>1570539491815</v>
      </c>
      <c r="I3284">
        <v>526.6875</v>
      </c>
      <c r="J3284" s="9">
        <f t="shared" si="51"/>
        <v>43746.832081192122</v>
      </c>
      <c r="K3284" s="1"/>
    </row>
    <row r="3285" spans="1:11" x14ac:dyDescent="0.25">
      <c r="A3285" t="e">
        <f>-LqfRivMMNl6MJqiEmZD</f>
        <v>#NAME?</v>
      </c>
      <c r="B3285">
        <v>393.75</v>
      </c>
      <c r="C3285">
        <v>20.584240000000001</v>
      </c>
      <c r="D3285">
        <v>68</v>
      </c>
      <c r="E3285">
        <v>0</v>
      </c>
      <c r="F3285">
        <v>0</v>
      </c>
      <c r="G3285">
        <v>10</v>
      </c>
      <c r="H3285" s="4">
        <v>1570539498005</v>
      </c>
      <c r="I3285">
        <v>526.6875</v>
      </c>
      <c r="J3285" s="9">
        <f t="shared" si="51"/>
        <v>43746.832152835646</v>
      </c>
      <c r="K3285" s="1"/>
    </row>
    <row r="3286" spans="1:11" x14ac:dyDescent="0.25">
      <c r="A3286" t="e">
        <f>-LqfRki2PZgXVhRz7vGu</f>
        <v>#NAME?</v>
      </c>
      <c r="B3286">
        <v>393.75</v>
      </c>
      <c r="C3286">
        <v>20.584240000000001</v>
      </c>
      <c r="D3286">
        <v>69</v>
      </c>
      <c r="E3286">
        <v>0</v>
      </c>
      <c r="F3286">
        <v>0</v>
      </c>
      <c r="G3286">
        <v>2</v>
      </c>
      <c r="H3286" s="4">
        <v>1570539505213</v>
      </c>
      <c r="I3286">
        <v>526.6875</v>
      </c>
      <c r="J3286" s="9">
        <f t="shared" si="51"/>
        <v>43746.832236261573</v>
      </c>
      <c r="K3286" s="1"/>
    </row>
    <row r="3287" spans="1:11" x14ac:dyDescent="0.25">
      <c r="A3287" t="e">
        <f>-LqfRmCCmrsbmMb70nKE</f>
        <v>#NAME?</v>
      </c>
      <c r="B3287">
        <v>412.5</v>
      </c>
      <c r="C3287">
        <v>20.584240000000001</v>
      </c>
      <c r="D3287">
        <v>69</v>
      </c>
      <c r="E3287">
        <v>0</v>
      </c>
      <c r="F3287">
        <v>0</v>
      </c>
      <c r="G3287">
        <v>1</v>
      </c>
      <c r="H3287" s="4">
        <v>1570539511395</v>
      </c>
      <c r="I3287">
        <v>532.3125</v>
      </c>
      <c r="J3287" s="9">
        <f t="shared" si="51"/>
        <v>43746.832307812496</v>
      </c>
      <c r="K3287" s="1"/>
    </row>
    <row r="3288" spans="1:11" x14ac:dyDescent="0.25">
      <c r="A3288" t="e">
        <f>-LqfRng3YBqfclC5k3ES</f>
        <v>#NAME?</v>
      </c>
      <c r="B3288">
        <v>393.75</v>
      </c>
      <c r="C3288">
        <v>20.584240000000001</v>
      </c>
      <c r="D3288">
        <v>67</v>
      </c>
      <c r="E3288">
        <v>0</v>
      </c>
      <c r="F3288">
        <v>0</v>
      </c>
      <c r="G3288">
        <v>8</v>
      </c>
      <c r="H3288" s="4">
        <v>1570539517603</v>
      </c>
      <c r="I3288">
        <v>526.6875</v>
      </c>
      <c r="J3288" s="9">
        <f t="shared" si="51"/>
        <v>43746.832379664345</v>
      </c>
      <c r="K3288" s="1"/>
    </row>
    <row r="3289" spans="1:11" x14ac:dyDescent="0.25">
      <c r="A3289" t="e">
        <f>-LqfRpFAg0CkXhALqerU</f>
        <v>#NAME?</v>
      </c>
      <c r="B3289">
        <v>393.75</v>
      </c>
      <c r="C3289">
        <v>20.531590000000001</v>
      </c>
      <c r="D3289">
        <v>66</v>
      </c>
      <c r="E3289">
        <v>0</v>
      </c>
      <c r="F3289">
        <v>0</v>
      </c>
      <c r="G3289">
        <v>6</v>
      </c>
      <c r="H3289" s="4">
        <v>1570539523765</v>
      </c>
      <c r="I3289">
        <v>526.6875</v>
      </c>
      <c r="J3289" s="9">
        <f t="shared" si="51"/>
        <v>43746.832450983791</v>
      </c>
      <c r="K3289" s="1"/>
    </row>
    <row r="3290" spans="1:11" x14ac:dyDescent="0.25">
      <c r="A3290" t="e">
        <f>-LqfRqyAITn3K0TVwBaT</f>
        <v>#NAME?</v>
      </c>
      <c r="B3290">
        <v>393.75</v>
      </c>
      <c r="C3290">
        <v>20.531590000000001</v>
      </c>
      <c r="D3290">
        <v>65</v>
      </c>
      <c r="E3290">
        <v>0</v>
      </c>
      <c r="F3290">
        <v>0</v>
      </c>
      <c r="G3290">
        <v>10</v>
      </c>
      <c r="H3290" s="4">
        <v>1570539530964</v>
      </c>
      <c r="I3290">
        <v>526.6875</v>
      </c>
      <c r="J3290" s="9">
        <f t="shared" si="51"/>
        <v>43746.832534305555</v>
      </c>
      <c r="K3290" s="1"/>
    </row>
    <row r="3291" spans="1:11" x14ac:dyDescent="0.25">
      <c r="A3291" t="e">
        <f>-LqfRsXB7IfYUGepLgX_</f>
        <v>#NAME?</v>
      </c>
      <c r="B3291">
        <v>393.75</v>
      </c>
      <c r="C3291">
        <v>20.531590000000001</v>
      </c>
      <c r="D3291">
        <v>65</v>
      </c>
      <c r="E3291">
        <v>0</v>
      </c>
      <c r="F3291">
        <v>0</v>
      </c>
      <c r="G3291">
        <v>8</v>
      </c>
      <c r="H3291" s="4">
        <v>1570539537155</v>
      </c>
      <c r="I3291">
        <v>526.6875</v>
      </c>
      <c r="J3291" s="9">
        <f t="shared" si="51"/>
        <v>43746.832605960641</v>
      </c>
      <c r="K3291" s="1"/>
    </row>
    <row r="3292" spans="1:11" x14ac:dyDescent="0.25">
      <c r="A3292" t="e">
        <f>-LqfRuYv3iXDqGIYLJpO</f>
        <v>#NAME?</v>
      </c>
      <c r="B3292">
        <v>393.75</v>
      </c>
      <c r="C3292">
        <v>20.584240000000001</v>
      </c>
      <c r="D3292">
        <v>65</v>
      </c>
      <c r="E3292">
        <v>0</v>
      </c>
      <c r="F3292">
        <v>0</v>
      </c>
      <c r="G3292">
        <v>1</v>
      </c>
      <c r="H3292" s="4">
        <v>1570539544375</v>
      </c>
      <c r="I3292">
        <v>526.5</v>
      </c>
      <c r="J3292" s="9">
        <f t="shared" si="51"/>
        <v>43746.832689525465</v>
      </c>
      <c r="K3292" s="1"/>
    </row>
    <row r="3293" spans="1:11" x14ac:dyDescent="0.25">
      <c r="A3293" t="e">
        <f>-LqfRwHFysj_uF5z8Trk</f>
        <v>#NAME?</v>
      </c>
      <c r="B3293">
        <v>393.75</v>
      </c>
      <c r="C3293">
        <v>20.584240000000001</v>
      </c>
      <c r="D3293">
        <v>64</v>
      </c>
      <c r="E3293">
        <v>0</v>
      </c>
      <c r="F3293">
        <v>0</v>
      </c>
      <c r="G3293">
        <v>15</v>
      </c>
      <c r="H3293" s="4">
        <v>1570539552628</v>
      </c>
      <c r="I3293">
        <v>526.6875</v>
      </c>
      <c r="J3293" s="9">
        <f t="shared" si="51"/>
        <v>43746.832785046296</v>
      </c>
      <c r="K3293" s="1"/>
    </row>
    <row r="3294" spans="1:11" x14ac:dyDescent="0.25">
      <c r="A3294" t="e">
        <f>-LqfRyAY7SecfbA7IRYK</f>
        <v>#NAME?</v>
      </c>
      <c r="B3294">
        <v>393.75</v>
      </c>
      <c r="C3294">
        <v>20.584240000000001</v>
      </c>
      <c r="D3294">
        <v>63</v>
      </c>
      <c r="E3294">
        <v>0</v>
      </c>
      <c r="F3294">
        <v>0</v>
      </c>
      <c r="G3294">
        <v>6</v>
      </c>
      <c r="H3294" s="4">
        <v>1570539559840</v>
      </c>
      <c r="I3294">
        <v>526.6875</v>
      </c>
      <c r="J3294" s="9">
        <f t="shared" si="51"/>
        <v>43746.832868518519</v>
      </c>
      <c r="K3294" s="1"/>
    </row>
    <row r="3295" spans="1:11" x14ac:dyDescent="0.25">
      <c r="A3295" t="e">
        <f>-LqfRznFeanshfESM-il</f>
        <v>#NAME?</v>
      </c>
      <c r="B3295">
        <v>412.5</v>
      </c>
      <c r="C3295">
        <v>20.531590000000001</v>
      </c>
      <c r="D3295">
        <v>63</v>
      </c>
      <c r="E3295">
        <v>0</v>
      </c>
      <c r="F3295">
        <v>0</v>
      </c>
      <c r="G3295">
        <v>13</v>
      </c>
      <c r="H3295" s="4">
        <v>1570539567048</v>
      </c>
      <c r="I3295">
        <v>532.3125</v>
      </c>
      <c r="J3295" s="9">
        <f t="shared" si="51"/>
        <v>43746.832951944445</v>
      </c>
      <c r="K3295" s="1"/>
    </row>
    <row r="3296" spans="1:11" x14ac:dyDescent="0.25">
      <c r="A3296" t="e">
        <f>-LqfS0aPC7O3aMEbhwjR</f>
        <v>#NAME?</v>
      </c>
      <c r="B3296">
        <v>393.75</v>
      </c>
      <c r="C3296">
        <v>20.531590000000001</v>
      </c>
      <c r="D3296">
        <v>64</v>
      </c>
      <c r="E3296">
        <v>0</v>
      </c>
      <c r="F3296">
        <v>0</v>
      </c>
      <c r="G3296">
        <v>2</v>
      </c>
      <c r="H3296" s="4">
        <v>1570539574269</v>
      </c>
      <c r="I3296">
        <v>526.6875</v>
      </c>
      <c r="J3296" s="9">
        <f t="shared" si="51"/>
        <v>43746.833035520831</v>
      </c>
      <c r="K3296" s="1"/>
    </row>
    <row r="3297" spans="1:11" x14ac:dyDescent="0.25">
      <c r="A3297" t="s">
        <v>173</v>
      </c>
      <c r="B3297">
        <v>393.75</v>
      </c>
      <c r="C3297">
        <v>20.584240000000001</v>
      </c>
      <c r="D3297">
        <v>68</v>
      </c>
      <c r="E3297">
        <v>0</v>
      </c>
      <c r="F3297">
        <v>0</v>
      </c>
      <c r="G3297">
        <v>9</v>
      </c>
      <c r="H3297" s="4">
        <v>1570539581478</v>
      </c>
      <c r="I3297">
        <v>526.5</v>
      </c>
      <c r="J3297" s="9">
        <f t="shared" si="51"/>
        <v>43746.833118958333</v>
      </c>
      <c r="K3297" s="1"/>
    </row>
    <row r="3298" spans="1:11" x14ac:dyDescent="0.25">
      <c r="A3298" t="e">
        <f>-LqfS4GHev9Yd9HgkPPm</f>
        <v>#NAME?</v>
      </c>
      <c r="B3298">
        <v>393.75</v>
      </c>
      <c r="C3298">
        <v>20.584240000000001</v>
      </c>
      <c r="D3298">
        <v>68</v>
      </c>
      <c r="E3298">
        <v>0</v>
      </c>
      <c r="F3298">
        <v>0</v>
      </c>
      <c r="G3298">
        <v>0</v>
      </c>
      <c r="H3298" s="4">
        <v>1570539589445</v>
      </c>
      <c r="I3298">
        <v>526.6875</v>
      </c>
      <c r="J3298" s="9">
        <f t="shared" si="51"/>
        <v>43746.833211168974</v>
      </c>
      <c r="K3298" s="1"/>
    </row>
    <row r="3299" spans="1:11" x14ac:dyDescent="0.25">
      <c r="A3299" t="e">
        <f>-LqfS5pGWamggQFU9QuL</f>
        <v>#NAME?</v>
      </c>
      <c r="B3299">
        <v>393.75</v>
      </c>
      <c r="C3299">
        <v>20.584240000000001</v>
      </c>
      <c r="D3299">
        <v>67</v>
      </c>
      <c r="E3299">
        <v>0</v>
      </c>
      <c r="F3299">
        <v>0</v>
      </c>
      <c r="G3299">
        <v>8</v>
      </c>
      <c r="H3299" s="4">
        <v>1570539595898</v>
      </c>
      <c r="I3299">
        <v>526.6875</v>
      </c>
      <c r="J3299" s="9">
        <f t="shared" si="51"/>
        <v>43746.833285856475</v>
      </c>
      <c r="K3299" s="1"/>
    </row>
    <row r="3300" spans="1:11" x14ac:dyDescent="0.25">
      <c r="A3300" t="e">
        <f>-LqfS7cF4DPgck0kspKv</f>
        <v>#NAME?</v>
      </c>
      <c r="B3300">
        <v>393.75</v>
      </c>
      <c r="C3300">
        <v>20.531590000000001</v>
      </c>
      <c r="D3300">
        <v>67</v>
      </c>
      <c r="E3300">
        <v>0</v>
      </c>
      <c r="F3300">
        <v>0</v>
      </c>
      <c r="G3300">
        <v>16</v>
      </c>
      <c r="H3300" s="4">
        <v>1570539603108</v>
      </c>
      <c r="I3300">
        <v>526.6875</v>
      </c>
      <c r="J3300" s="9">
        <f t="shared" si="51"/>
        <v>43746.833369305554</v>
      </c>
      <c r="K3300" s="1"/>
    </row>
    <row r="3301" spans="1:11" x14ac:dyDescent="0.25">
      <c r="A3301" t="e">
        <f>-LqfS9LOGGJxm3NkeOOX</f>
        <v>#NAME?</v>
      </c>
      <c r="B3301">
        <v>393.75</v>
      </c>
      <c r="C3301">
        <v>20.584240000000001</v>
      </c>
      <c r="D3301">
        <v>68</v>
      </c>
      <c r="E3301">
        <v>0</v>
      </c>
      <c r="F3301">
        <v>0</v>
      </c>
      <c r="G3301">
        <v>4</v>
      </c>
      <c r="H3301" s="4">
        <v>1570539610329</v>
      </c>
      <c r="I3301">
        <v>526.6875</v>
      </c>
      <c r="J3301" s="9">
        <f t="shared" si="51"/>
        <v>43746.833452881947</v>
      </c>
      <c r="K3301" s="1"/>
    </row>
    <row r="3302" spans="1:11" x14ac:dyDescent="0.25">
      <c r="A3302" t="e">
        <f>-LqfSB8FMUh0XjAmDEmu</f>
        <v>#NAME?</v>
      </c>
      <c r="B3302">
        <v>437.5</v>
      </c>
      <c r="C3302">
        <v>20.531590000000001</v>
      </c>
      <c r="D3302">
        <v>68</v>
      </c>
      <c r="E3302">
        <v>0</v>
      </c>
      <c r="F3302">
        <v>0</v>
      </c>
      <c r="G3302">
        <v>9</v>
      </c>
      <c r="H3302" s="4">
        <v>1570539617550</v>
      </c>
      <c r="I3302">
        <v>540.9375</v>
      </c>
      <c r="J3302" s="9">
        <f t="shared" si="51"/>
        <v>43746.833536458333</v>
      </c>
      <c r="K3302" s="1"/>
    </row>
    <row r="3303" spans="1:11" x14ac:dyDescent="0.25">
      <c r="A3303" t="e">
        <f>-LqfSCrTZFbgvd7Tyfsy</f>
        <v>#NAME?</v>
      </c>
      <c r="B3303">
        <v>393.75</v>
      </c>
      <c r="C3303">
        <v>20.584240000000001</v>
      </c>
      <c r="D3303">
        <v>67</v>
      </c>
      <c r="E3303">
        <v>0</v>
      </c>
      <c r="F3303">
        <v>0</v>
      </c>
      <c r="G3303">
        <v>7</v>
      </c>
      <c r="H3303" s="4">
        <v>1570539624728</v>
      </c>
      <c r="I3303">
        <v>526.6875</v>
      </c>
      <c r="J3303" s="9">
        <f t="shared" si="51"/>
        <v>43746.833619537036</v>
      </c>
      <c r="K3303" s="1"/>
    </row>
    <row r="3304" spans="1:11" x14ac:dyDescent="0.25">
      <c r="A3304" t="e">
        <f>-LqfSEQQX3M6u7AYP8dA</f>
        <v>#NAME?</v>
      </c>
      <c r="B3304">
        <v>393.75</v>
      </c>
      <c r="C3304">
        <v>20.584240000000001</v>
      </c>
      <c r="D3304">
        <v>67</v>
      </c>
      <c r="E3304">
        <v>0</v>
      </c>
      <c r="F3304">
        <v>0</v>
      </c>
      <c r="G3304">
        <v>10</v>
      </c>
      <c r="H3304" s="4">
        <v>1570539630918</v>
      </c>
      <c r="I3304">
        <v>526.6875</v>
      </c>
      <c r="J3304" s="9">
        <f t="shared" si="51"/>
        <v>43746.833691180553</v>
      </c>
      <c r="K3304" s="1"/>
    </row>
    <row r="3305" spans="1:11" x14ac:dyDescent="0.25">
      <c r="A3305" t="e">
        <f>-LqfSG8FZelKlmiJzH-F</f>
        <v>#NAME?</v>
      </c>
      <c r="B3305">
        <v>393.75</v>
      </c>
      <c r="C3305">
        <v>20.531590000000001</v>
      </c>
      <c r="D3305">
        <v>67</v>
      </c>
      <c r="E3305">
        <v>0</v>
      </c>
      <c r="F3305">
        <v>0</v>
      </c>
      <c r="G3305">
        <v>7</v>
      </c>
      <c r="H3305" s="4">
        <v>1570539638170</v>
      </c>
      <c r="I3305">
        <v>526.6875</v>
      </c>
      <c r="J3305" s="9">
        <f t="shared" si="51"/>
        <v>43746.833775115738</v>
      </c>
      <c r="K3305" s="1"/>
    </row>
    <row r="3306" spans="1:11" x14ac:dyDescent="0.25">
      <c r="A3306" t="e">
        <f>-LqfSHwGG7yWj1x24zQU</f>
        <v>#NAME?</v>
      </c>
      <c r="B3306">
        <v>393.75</v>
      </c>
      <c r="C3306">
        <v>20.584240000000001</v>
      </c>
      <c r="D3306">
        <v>67</v>
      </c>
      <c r="E3306">
        <v>0</v>
      </c>
      <c r="F3306">
        <v>0</v>
      </c>
      <c r="G3306">
        <v>4</v>
      </c>
      <c r="H3306" s="4">
        <v>1570539645369</v>
      </c>
      <c r="I3306">
        <v>526.6875</v>
      </c>
      <c r="J3306" s="9">
        <f t="shared" si="51"/>
        <v>43746.833858437494</v>
      </c>
      <c r="K3306" s="1"/>
    </row>
    <row r="3307" spans="1:11" x14ac:dyDescent="0.25">
      <c r="A3307" t="e">
        <f>-LqfSJeGoygl_E7bQjCd</f>
        <v>#NAME?</v>
      </c>
      <c r="B3307">
        <v>393.75</v>
      </c>
      <c r="C3307">
        <v>20.531590000000001</v>
      </c>
      <c r="D3307">
        <v>68</v>
      </c>
      <c r="E3307">
        <v>0</v>
      </c>
      <c r="F3307">
        <v>0</v>
      </c>
      <c r="G3307">
        <v>9</v>
      </c>
      <c r="H3307" s="4">
        <v>1570539652568</v>
      </c>
      <c r="I3307">
        <v>526.6875</v>
      </c>
      <c r="J3307" s="9">
        <f t="shared" si="51"/>
        <v>43746.833941759258</v>
      </c>
      <c r="K3307" s="1"/>
    </row>
    <row r="3308" spans="1:11" x14ac:dyDescent="0.25">
      <c r="A3308" t="e">
        <f>-LqfSLDFRdYkuQHbNMX8</f>
        <v>#NAME?</v>
      </c>
      <c r="B3308">
        <v>393.75</v>
      </c>
      <c r="C3308">
        <v>20.584240000000001</v>
      </c>
      <c r="D3308">
        <v>68</v>
      </c>
      <c r="E3308">
        <v>0</v>
      </c>
      <c r="F3308">
        <v>0</v>
      </c>
      <c r="G3308">
        <v>4</v>
      </c>
      <c r="H3308" s="4">
        <v>1570539658759</v>
      </c>
      <c r="I3308">
        <v>526.6875</v>
      </c>
      <c r="J3308" s="9">
        <f t="shared" si="51"/>
        <v>43746.834013414351</v>
      </c>
      <c r="K3308" s="1"/>
    </row>
    <row r="3309" spans="1:11" x14ac:dyDescent="0.25">
      <c r="A3309" t="e">
        <f>-LqfSN5QcTD0avWbiKcR</f>
        <v>#NAME?</v>
      </c>
      <c r="B3309">
        <v>393.75</v>
      </c>
      <c r="C3309">
        <v>20.584240000000001</v>
      </c>
      <c r="D3309">
        <v>67</v>
      </c>
      <c r="E3309">
        <v>0</v>
      </c>
      <c r="F3309">
        <v>0</v>
      </c>
      <c r="G3309">
        <v>10</v>
      </c>
      <c r="H3309" s="4">
        <v>1570539666499</v>
      </c>
      <c r="I3309">
        <v>526.6875</v>
      </c>
      <c r="J3309" s="9">
        <f t="shared" si="51"/>
        <v>43746.83410299768</v>
      </c>
      <c r="K3309" s="1"/>
    </row>
    <row r="3310" spans="1:11" x14ac:dyDescent="0.25">
      <c r="A3310" t="e">
        <f>-LqfSOeIDQzr3CfuWrzz</f>
        <v>#NAME?</v>
      </c>
      <c r="B3310">
        <v>393.75</v>
      </c>
      <c r="C3310">
        <v>20.584240000000001</v>
      </c>
      <c r="D3310">
        <v>66</v>
      </c>
      <c r="E3310">
        <v>0</v>
      </c>
      <c r="F3310">
        <v>0</v>
      </c>
      <c r="G3310">
        <v>4</v>
      </c>
      <c r="H3310" s="4">
        <v>1570539673202</v>
      </c>
      <c r="I3310">
        <v>526.6875</v>
      </c>
      <c r="J3310" s="9">
        <f t="shared" si="51"/>
        <v>43746.834180578699</v>
      </c>
      <c r="K3310" s="1"/>
    </row>
    <row r="3311" spans="1:11" x14ac:dyDescent="0.25">
      <c r="A3311" t="e">
        <f>-LqfSQDPdtesg41H7pGb</f>
        <v>#NAME?</v>
      </c>
      <c r="B3311">
        <v>393.75</v>
      </c>
      <c r="C3311">
        <v>20.584240000000001</v>
      </c>
      <c r="D3311">
        <v>67</v>
      </c>
      <c r="E3311">
        <v>0</v>
      </c>
      <c r="F3311">
        <v>0</v>
      </c>
      <c r="G3311">
        <v>0</v>
      </c>
      <c r="H3311" s="4">
        <v>1570539679378</v>
      </c>
      <c r="I3311">
        <v>526.6875</v>
      </c>
      <c r="J3311" s="9">
        <f t="shared" si="51"/>
        <v>43746.83425206018</v>
      </c>
      <c r="K3311" s="1"/>
    </row>
    <row r="3312" spans="1:11" x14ac:dyDescent="0.25">
      <c r="A3312" t="e">
        <f>-LqfSS08wzG1KO1uCwAK</f>
        <v>#NAME?</v>
      </c>
      <c r="B3312">
        <v>393.75</v>
      </c>
      <c r="C3312">
        <v>20.584240000000001</v>
      </c>
      <c r="D3312">
        <v>68</v>
      </c>
      <c r="E3312">
        <v>0</v>
      </c>
      <c r="F3312">
        <v>0</v>
      </c>
      <c r="G3312">
        <v>7</v>
      </c>
      <c r="H3312" s="4">
        <v>1570539686588</v>
      </c>
      <c r="I3312">
        <v>526.6875</v>
      </c>
      <c r="J3312" s="9">
        <f t="shared" si="51"/>
        <v>43746.834335509258</v>
      </c>
      <c r="K3312" s="1"/>
    </row>
    <row r="3313" spans="1:11" x14ac:dyDescent="0.25">
      <c r="A3313" t="e">
        <f>-LqfSTyGc04W6-GBYobL</f>
        <v>#NAME?</v>
      </c>
      <c r="B3313">
        <v>393.75</v>
      </c>
      <c r="C3313">
        <v>20.584240000000001</v>
      </c>
      <c r="D3313">
        <v>68</v>
      </c>
      <c r="E3313">
        <v>0</v>
      </c>
      <c r="F3313">
        <v>0</v>
      </c>
      <c r="G3313">
        <v>5</v>
      </c>
      <c r="H3313" s="4">
        <v>1570539694632</v>
      </c>
      <c r="I3313">
        <v>526.6875</v>
      </c>
      <c r="J3313" s="9">
        <f t="shared" si="51"/>
        <v>43746.83442861111</v>
      </c>
      <c r="K3313" s="1"/>
    </row>
    <row r="3314" spans="1:11" x14ac:dyDescent="0.25">
      <c r="A3314" t="e">
        <f>-LqfSVXHyYBWBXdlY1AV</f>
        <v>#NAME?</v>
      </c>
      <c r="B3314">
        <v>393.75</v>
      </c>
      <c r="C3314">
        <v>20.584240000000001</v>
      </c>
      <c r="D3314">
        <v>68</v>
      </c>
      <c r="E3314">
        <v>0</v>
      </c>
      <c r="F3314">
        <v>0</v>
      </c>
      <c r="G3314">
        <v>7</v>
      </c>
      <c r="H3314" s="4">
        <v>1570539701008</v>
      </c>
      <c r="I3314">
        <v>526.6875</v>
      </c>
      <c r="J3314" s="9">
        <f t="shared" si="51"/>
        <v>43746.834502407401</v>
      </c>
      <c r="K3314" s="1"/>
    </row>
    <row r="3315" spans="1:11" x14ac:dyDescent="0.25">
      <c r="A3315" t="e">
        <f>-LqfSXE0wtYw_--hABFv</f>
        <v>#NAME?</v>
      </c>
      <c r="B3315">
        <v>412.5</v>
      </c>
      <c r="C3315">
        <v>20.584240000000001</v>
      </c>
      <c r="D3315">
        <v>69</v>
      </c>
      <c r="E3315">
        <v>0</v>
      </c>
      <c r="F3315">
        <v>0</v>
      </c>
      <c r="G3315">
        <v>10</v>
      </c>
      <c r="H3315" s="4">
        <v>1570539708250</v>
      </c>
      <c r="I3315">
        <v>532.3125</v>
      </c>
      <c r="J3315" s="9">
        <f t="shared" si="51"/>
        <v>43746.834586226854</v>
      </c>
      <c r="K3315" s="1"/>
    </row>
    <row r="3316" spans="1:11" x14ac:dyDescent="0.25">
      <c r="A3316" t="e">
        <f>-LqfSZ2F6bcaNaMRTZIF</f>
        <v>#NAME?</v>
      </c>
      <c r="B3316">
        <v>393.75</v>
      </c>
      <c r="C3316">
        <v>20.531590000000001</v>
      </c>
      <c r="D3316">
        <v>65</v>
      </c>
      <c r="E3316">
        <v>0</v>
      </c>
      <c r="F3316">
        <v>0</v>
      </c>
      <c r="G3316">
        <v>9</v>
      </c>
      <c r="H3316" s="4">
        <v>1570539715448</v>
      </c>
      <c r="I3316">
        <v>526.6875</v>
      </c>
      <c r="J3316" s="9">
        <f t="shared" si="51"/>
        <v>43746.834669537035</v>
      </c>
      <c r="K3316" s="1"/>
    </row>
    <row r="3317" spans="1:11" x14ac:dyDescent="0.25">
      <c r="A3317" t="e">
        <f>-LqfS_lR_C_SFaXonj8T</f>
        <v>#NAME?</v>
      </c>
      <c r="B3317">
        <v>393.75</v>
      </c>
      <c r="C3317">
        <v>20.584240000000001</v>
      </c>
      <c r="D3317">
        <v>64</v>
      </c>
      <c r="E3317">
        <v>0</v>
      </c>
      <c r="F3317">
        <v>0</v>
      </c>
      <c r="G3317">
        <v>6</v>
      </c>
      <c r="H3317" s="4">
        <v>1570539722649</v>
      </c>
      <c r="I3317">
        <v>526.6875</v>
      </c>
      <c r="J3317" s="9">
        <f t="shared" si="51"/>
        <v>43746.834752881943</v>
      </c>
      <c r="K3317" s="1"/>
    </row>
    <row r="3318" spans="1:11" x14ac:dyDescent="0.25">
      <c r="A3318" t="e">
        <f>-LqfSbLNRMvpfKkKHr79</f>
        <v>#NAME?</v>
      </c>
      <c r="B3318">
        <v>393.75</v>
      </c>
      <c r="C3318">
        <v>20.531590000000001</v>
      </c>
      <c r="D3318">
        <v>64</v>
      </c>
      <c r="E3318">
        <v>0</v>
      </c>
      <c r="F3318">
        <v>0</v>
      </c>
      <c r="G3318">
        <v>6</v>
      </c>
      <c r="H3318" s="4">
        <v>1570539728838</v>
      </c>
      <c r="I3318">
        <v>526.6875</v>
      </c>
      <c r="J3318" s="9">
        <f t="shared" si="51"/>
        <v>43746.834824513884</v>
      </c>
      <c r="K3318" s="1"/>
    </row>
    <row r="3319" spans="1:11" x14ac:dyDescent="0.25">
      <c r="A3319" t="e">
        <f>-LqfSd2Jz4-MPNCXRhNs</f>
        <v>#NAME?</v>
      </c>
      <c r="B3319">
        <v>393.75</v>
      </c>
      <c r="C3319">
        <v>20.584240000000001</v>
      </c>
      <c r="D3319">
        <v>63</v>
      </c>
      <c r="E3319">
        <v>0</v>
      </c>
      <c r="F3319">
        <v>0</v>
      </c>
      <c r="G3319">
        <v>10</v>
      </c>
      <c r="H3319" s="4">
        <v>1570539736063</v>
      </c>
      <c r="I3319">
        <v>526.6875</v>
      </c>
      <c r="J3319" s="9">
        <f t="shared" si="51"/>
        <v>43746.834908136567</v>
      </c>
      <c r="K3319" s="1"/>
    </row>
    <row r="3320" spans="1:11" x14ac:dyDescent="0.25">
      <c r="A3320" t="e">
        <f>-LqfSeX9Ap5_-Nsvr-lP</f>
        <v>#NAME?</v>
      </c>
      <c r="B3320">
        <v>393.75</v>
      </c>
      <c r="C3320">
        <v>20.584240000000001</v>
      </c>
      <c r="D3320">
        <v>63</v>
      </c>
      <c r="E3320">
        <v>0</v>
      </c>
      <c r="F3320">
        <v>0</v>
      </c>
      <c r="G3320">
        <v>9</v>
      </c>
      <c r="H3320" s="4">
        <v>1570539742240</v>
      </c>
      <c r="I3320">
        <v>526.6875</v>
      </c>
      <c r="J3320" s="9">
        <f t="shared" si="51"/>
        <v>43746.834979629632</v>
      </c>
      <c r="K3320" s="1"/>
    </row>
    <row r="3321" spans="1:11" x14ac:dyDescent="0.25">
      <c r="A3321" t="e">
        <f>-LqfSg58weBSQvMBrLZ2</f>
        <v>#NAME?</v>
      </c>
      <c r="B3321">
        <v>393.75</v>
      </c>
      <c r="C3321">
        <v>20.531590000000001</v>
      </c>
      <c r="D3321">
        <v>63</v>
      </c>
      <c r="E3321">
        <v>0</v>
      </c>
      <c r="F3321">
        <v>0</v>
      </c>
      <c r="G3321">
        <v>6</v>
      </c>
      <c r="H3321" s="4">
        <v>1570539748420</v>
      </c>
      <c r="I3321">
        <v>526.6875</v>
      </c>
      <c r="J3321" s="9">
        <f t="shared" si="51"/>
        <v>43746.835051157403</v>
      </c>
      <c r="K3321" s="1"/>
    </row>
    <row r="3322" spans="1:11" x14ac:dyDescent="0.25">
      <c r="A3322" t="e">
        <f>-LqfShoHYYp7jF8cjHe8</f>
        <v>#NAME?</v>
      </c>
      <c r="B3322">
        <v>393.75</v>
      </c>
      <c r="C3322">
        <v>20.531590000000001</v>
      </c>
      <c r="D3322">
        <v>65</v>
      </c>
      <c r="E3322">
        <v>0</v>
      </c>
      <c r="F3322">
        <v>0</v>
      </c>
      <c r="G3322">
        <v>2</v>
      </c>
      <c r="H3322" s="4">
        <v>1570539755608</v>
      </c>
      <c r="I3322">
        <v>526.6875</v>
      </c>
      <c r="J3322" s="9">
        <f t="shared" si="51"/>
        <v>43746.835134351852</v>
      </c>
      <c r="K3322" s="1"/>
    </row>
    <row r="3323" spans="1:11" x14ac:dyDescent="0.25">
      <c r="A3323" t="e">
        <f>-LqfSjbHPtubI8WdDmq4</f>
        <v>#NAME?</v>
      </c>
      <c r="B3323">
        <v>393.75</v>
      </c>
      <c r="C3323">
        <v>20.584240000000001</v>
      </c>
      <c r="D3323">
        <v>65</v>
      </c>
      <c r="E3323">
        <v>0</v>
      </c>
      <c r="F3323">
        <v>0</v>
      </c>
      <c r="G3323">
        <v>8</v>
      </c>
      <c r="H3323" s="4">
        <v>1570539762851</v>
      </c>
      <c r="I3323">
        <v>526.6875</v>
      </c>
      <c r="J3323" s="9">
        <f t="shared" si="51"/>
        <v>43746.835218182867</v>
      </c>
      <c r="K3323" s="1"/>
    </row>
    <row r="3324" spans="1:11" x14ac:dyDescent="0.25">
      <c r="A3324" t="e">
        <f>-LqfSlKF-xhE4qu4Gw6I</f>
        <v>#NAME?</v>
      </c>
      <c r="B3324">
        <v>393.75</v>
      </c>
      <c r="C3324">
        <v>20.531590000000001</v>
      </c>
      <c r="D3324">
        <v>65</v>
      </c>
      <c r="E3324">
        <v>0</v>
      </c>
      <c r="F3324">
        <v>0</v>
      </c>
      <c r="G3324">
        <v>10</v>
      </c>
      <c r="H3324" s="4">
        <v>1570539770080</v>
      </c>
      <c r="I3324">
        <v>526.6875</v>
      </c>
      <c r="J3324" s="9">
        <f t="shared" si="51"/>
        <v>43746.835301851846</v>
      </c>
      <c r="K3324" s="1"/>
    </row>
    <row r="3325" spans="1:11" x14ac:dyDescent="0.25">
      <c r="A3325" t="e">
        <f>-LqfSmt73tBjqWTTXKqj</f>
        <v>#NAME?</v>
      </c>
      <c r="B3325">
        <v>393.75</v>
      </c>
      <c r="C3325">
        <v>20.584240000000001</v>
      </c>
      <c r="D3325">
        <v>65</v>
      </c>
      <c r="E3325">
        <v>0</v>
      </c>
      <c r="F3325">
        <v>0</v>
      </c>
      <c r="G3325">
        <v>11</v>
      </c>
      <c r="H3325" s="4">
        <v>1570539776238</v>
      </c>
      <c r="I3325">
        <v>526.6875</v>
      </c>
      <c r="J3325" s="9">
        <f t="shared" si="51"/>
        <v>43746.835373125003</v>
      </c>
      <c r="K3325" s="1"/>
    </row>
    <row r="3326" spans="1:11" x14ac:dyDescent="0.25">
      <c r="A3326" t="e">
        <f>-LqfSovLdq_Vxc_z4L5g</f>
        <v>#NAME?</v>
      </c>
      <c r="B3326">
        <v>437.5</v>
      </c>
      <c r="C3326">
        <v>20.584240000000001</v>
      </c>
      <c r="D3326">
        <v>66</v>
      </c>
      <c r="E3326">
        <v>0</v>
      </c>
      <c r="F3326">
        <v>0</v>
      </c>
      <c r="G3326">
        <v>8</v>
      </c>
      <c r="H3326" s="4">
        <v>1570539784665</v>
      </c>
      <c r="I3326">
        <v>540.1875</v>
      </c>
      <c r="J3326" s="9">
        <f t="shared" si="51"/>
        <v>43746.835470659724</v>
      </c>
      <c r="K3326" s="1"/>
    </row>
    <row r="3327" spans="1:11" x14ac:dyDescent="0.25">
      <c r="A3327" t="e">
        <f>-LqfSqdDawXBeV7MT3No</f>
        <v>#NAME?</v>
      </c>
      <c r="B3327">
        <v>393.75</v>
      </c>
      <c r="C3327">
        <v>20.584240000000001</v>
      </c>
      <c r="D3327">
        <v>67</v>
      </c>
      <c r="E3327">
        <v>0</v>
      </c>
      <c r="F3327">
        <v>0</v>
      </c>
      <c r="G3327">
        <v>7</v>
      </c>
      <c r="H3327" s="4">
        <v>1570539791705</v>
      </c>
      <c r="I3327">
        <v>526.6875</v>
      </c>
      <c r="J3327" s="9">
        <f t="shared" si="51"/>
        <v>43746.835552141201</v>
      </c>
      <c r="K3327" s="1"/>
    </row>
    <row r="3328" spans="1:11" x14ac:dyDescent="0.25">
      <c r="A3328" t="e">
        <f>-LqfSsSa_A93bYhE4gKK</f>
        <v>#NAME?</v>
      </c>
      <c r="B3328">
        <v>412.5</v>
      </c>
      <c r="C3328">
        <v>20.584240000000001</v>
      </c>
      <c r="D3328">
        <v>67</v>
      </c>
      <c r="E3328">
        <v>0</v>
      </c>
      <c r="F3328">
        <v>0</v>
      </c>
      <c r="G3328">
        <v>11</v>
      </c>
      <c r="H3328" s="4">
        <v>1570539798915</v>
      </c>
      <c r="I3328">
        <v>532.3125</v>
      </c>
      <c r="J3328" s="9">
        <f t="shared" si="51"/>
        <v>43746.835635590272</v>
      </c>
      <c r="K3328" s="1"/>
    </row>
    <row r="3329" spans="1:11" x14ac:dyDescent="0.25">
      <c r="A3329" t="e">
        <f>-LqfSu9BtjoFye2NzAJ9</f>
        <v>#NAME?</v>
      </c>
      <c r="B3329">
        <v>393.75</v>
      </c>
      <c r="C3329">
        <v>20.531590000000001</v>
      </c>
      <c r="D3329">
        <v>67</v>
      </c>
      <c r="E3329">
        <v>0</v>
      </c>
      <c r="F3329">
        <v>0</v>
      </c>
      <c r="G3329">
        <v>7</v>
      </c>
      <c r="H3329" s="4">
        <v>1570539806125</v>
      </c>
      <c r="I3329">
        <v>526.6875</v>
      </c>
      <c r="J3329" s="9">
        <f t="shared" si="51"/>
        <v>43746.835719039351</v>
      </c>
      <c r="K3329" s="1"/>
    </row>
    <row r="3330" spans="1:11" x14ac:dyDescent="0.25">
      <c r="A3330" t="e">
        <f>-LqfSvd4MUfaddBY2HSE</f>
        <v>#NAME?</v>
      </c>
      <c r="B3330">
        <v>393.75</v>
      </c>
      <c r="C3330">
        <v>20.531590000000001</v>
      </c>
      <c r="D3330">
        <v>68</v>
      </c>
      <c r="E3330">
        <v>0</v>
      </c>
      <c r="F3330">
        <v>0</v>
      </c>
      <c r="G3330">
        <v>8</v>
      </c>
      <c r="H3330" s="4">
        <v>1570539812305</v>
      </c>
      <c r="I3330">
        <v>526.6875</v>
      </c>
      <c r="J3330" s="9">
        <f t="shared" si="51"/>
        <v>43746.835790567122</v>
      </c>
      <c r="K3330" s="1"/>
    </row>
    <row r="3331" spans="1:11" x14ac:dyDescent="0.25">
      <c r="A3331" t="e">
        <f>-LqfSxCNOzQqscYjjNP3</f>
        <v>#NAME?</v>
      </c>
      <c r="B3331">
        <v>393.75</v>
      </c>
      <c r="C3331">
        <v>20.584240000000001</v>
      </c>
      <c r="D3331">
        <v>68</v>
      </c>
      <c r="E3331">
        <v>0</v>
      </c>
      <c r="F3331">
        <v>0</v>
      </c>
      <c r="G3331">
        <v>10</v>
      </c>
      <c r="H3331" s="4">
        <v>1570539818494</v>
      </c>
      <c r="I3331">
        <v>526.6875</v>
      </c>
      <c r="J3331" s="9">
        <f t="shared" ref="J3331:J3394" si="52">(H3331/86400000)+25569+(7/24)</f>
        <v>43746.83586219907</v>
      </c>
      <c r="K3331" s="1"/>
    </row>
    <row r="3332" spans="1:11" x14ac:dyDescent="0.25">
      <c r="A3332" t="e">
        <f>-LqfSyvM_XrNChQGwA9v</f>
        <v>#NAME?</v>
      </c>
      <c r="B3332">
        <v>393.75</v>
      </c>
      <c r="C3332">
        <v>20.584240000000001</v>
      </c>
      <c r="D3332">
        <v>67</v>
      </c>
      <c r="E3332">
        <v>0</v>
      </c>
      <c r="F3332">
        <v>0</v>
      </c>
      <c r="G3332">
        <v>6</v>
      </c>
      <c r="H3332" s="4">
        <v>1570539825684</v>
      </c>
      <c r="I3332">
        <v>526.6875</v>
      </c>
      <c r="J3332" s="9">
        <f t="shared" si="52"/>
        <v>43746.835945416664</v>
      </c>
      <c r="K3332" s="1"/>
    </row>
    <row r="3333" spans="1:11" x14ac:dyDescent="0.25">
      <c r="A3333" t="e">
        <f>-LqfT-iLF9R51w759XrO</f>
        <v>#NAME?</v>
      </c>
      <c r="B3333">
        <v>393.75</v>
      </c>
      <c r="C3333">
        <v>20.584240000000001</v>
      </c>
      <c r="D3333">
        <v>67</v>
      </c>
      <c r="E3333">
        <v>0</v>
      </c>
      <c r="F3333">
        <v>0</v>
      </c>
      <c r="G3333">
        <v>0</v>
      </c>
      <c r="H3333" s="4">
        <v>1570539831886</v>
      </c>
      <c r="I3333">
        <v>526.6875</v>
      </c>
      <c r="J3333" s="9">
        <f t="shared" si="52"/>
        <v>43746.836017199072</v>
      </c>
      <c r="K3333" s="1"/>
    </row>
    <row r="3334" spans="1:11" x14ac:dyDescent="0.25">
      <c r="A3334" t="e">
        <f>-LqfT1RDascTdq0543KL</f>
        <v>#NAME?</v>
      </c>
      <c r="B3334">
        <v>393.75</v>
      </c>
      <c r="C3334">
        <v>20.584240000000001</v>
      </c>
      <c r="D3334">
        <v>67</v>
      </c>
      <c r="E3334">
        <v>0</v>
      </c>
      <c r="F3334">
        <v>0</v>
      </c>
      <c r="G3334">
        <v>8</v>
      </c>
      <c r="H3334" s="4">
        <v>1570539840145</v>
      </c>
      <c r="I3334">
        <v>526.5</v>
      </c>
      <c r="J3334" s="9">
        <f t="shared" si="52"/>
        <v>43746.836112789351</v>
      </c>
      <c r="K3334" s="1"/>
    </row>
    <row r="3335" spans="1:11" x14ac:dyDescent="0.25">
      <c r="A3335" t="e">
        <f>-LqfT3-Wd1A9U7G6-268</f>
        <v>#NAME?</v>
      </c>
      <c r="B3335">
        <v>393.75</v>
      </c>
      <c r="C3335">
        <v>20.584240000000001</v>
      </c>
      <c r="D3335">
        <v>66</v>
      </c>
      <c r="E3335">
        <v>0</v>
      </c>
      <c r="F3335">
        <v>0</v>
      </c>
      <c r="G3335">
        <v>8</v>
      </c>
      <c r="H3335" s="4">
        <v>1570539846314</v>
      </c>
      <c r="I3335">
        <v>526.5</v>
      </c>
      <c r="J3335" s="9">
        <f t="shared" si="52"/>
        <v>43746.836184189808</v>
      </c>
      <c r="K3335" s="1"/>
    </row>
    <row r="3336" spans="1:11" x14ac:dyDescent="0.25">
      <c r="A3336" t="s">
        <v>174</v>
      </c>
      <c r="B3336">
        <v>393.75</v>
      </c>
      <c r="C3336">
        <v>20.584240000000001</v>
      </c>
      <c r="D3336">
        <v>65</v>
      </c>
      <c r="E3336">
        <v>0</v>
      </c>
      <c r="F3336">
        <v>0</v>
      </c>
      <c r="G3336">
        <v>15</v>
      </c>
      <c r="H3336" s="4">
        <v>1570539853526</v>
      </c>
      <c r="I3336">
        <v>526.6875</v>
      </c>
      <c r="J3336" s="9">
        <f t="shared" si="52"/>
        <v>43746.836267662038</v>
      </c>
      <c r="K3336" s="1"/>
    </row>
    <row r="3337" spans="1:11" x14ac:dyDescent="0.25">
      <c r="A3337" t="e">
        <f>-LqfT6S2VHd0zUY5hRb2</f>
        <v>#NAME?</v>
      </c>
      <c r="B3337">
        <v>393.75</v>
      </c>
      <c r="C3337">
        <v>20.584240000000001</v>
      </c>
      <c r="D3337">
        <v>63</v>
      </c>
      <c r="E3337">
        <v>0</v>
      </c>
      <c r="F3337">
        <v>0</v>
      </c>
      <c r="G3337">
        <v>0</v>
      </c>
      <c r="H3337" s="4">
        <v>1570539859715</v>
      </c>
      <c r="I3337">
        <v>526.6875</v>
      </c>
      <c r="J3337" s="9">
        <f t="shared" si="52"/>
        <v>43746.836339293979</v>
      </c>
      <c r="K3337" s="1"/>
    </row>
    <row r="3338" spans="1:11" x14ac:dyDescent="0.25">
      <c r="A3338" t="e">
        <f>-LqfT8-LEDRLQGc2_76a</f>
        <v>#NAME?</v>
      </c>
      <c r="B3338">
        <v>393.75</v>
      </c>
      <c r="C3338">
        <v>20.531590000000001</v>
      </c>
      <c r="D3338">
        <v>63</v>
      </c>
      <c r="E3338">
        <v>0</v>
      </c>
      <c r="F3338">
        <v>0</v>
      </c>
      <c r="G3338">
        <v>7</v>
      </c>
      <c r="H3338" s="4">
        <v>1570539866925</v>
      </c>
      <c r="I3338">
        <v>526.6875</v>
      </c>
      <c r="J3338" s="9">
        <f t="shared" si="52"/>
        <v>43746.83642274305</v>
      </c>
      <c r="K3338" s="1"/>
    </row>
    <row r="3339" spans="1:11" x14ac:dyDescent="0.25">
      <c r="A3339" t="e">
        <f>-LqfT9nDaik_1kGomp26</f>
        <v>#NAME?</v>
      </c>
      <c r="B3339">
        <v>412.5</v>
      </c>
      <c r="C3339">
        <v>20.584240000000001</v>
      </c>
      <c r="D3339">
        <v>63</v>
      </c>
      <c r="E3339">
        <v>0</v>
      </c>
      <c r="F3339">
        <v>0</v>
      </c>
      <c r="G3339">
        <v>12</v>
      </c>
      <c r="H3339" s="4">
        <v>1570539874153</v>
      </c>
      <c r="I3339">
        <v>532.5</v>
      </c>
      <c r="J3339" s="9">
        <f t="shared" si="52"/>
        <v>43746.836506400461</v>
      </c>
      <c r="K3339" s="1"/>
    </row>
    <row r="3340" spans="1:11" x14ac:dyDescent="0.25">
      <c r="A3340" t="e">
        <f>-LqfTBUyByCZEbjkV-#REF!</f>
        <v>#NAME?</v>
      </c>
      <c r="B3340">
        <v>393.75</v>
      </c>
      <c r="C3340">
        <v>20.584240000000001</v>
      </c>
      <c r="D3340">
        <v>64</v>
      </c>
      <c r="E3340">
        <v>0</v>
      </c>
      <c r="F3340">
        <v>0</v>
      </c>
      <c r="G3340">
        <v>13</v>
      </c>
      <c r="H3340" s="4">
        <v>1570539881365</v>
      </c>
      <c r="I3340">
        <v>526.6875</v>
      </c>
      <c r="J3340" s="9">
        <f t="shared" si="52"/>
        <v>43746.836589872684</v>
      </c>
      <c r="K3340" s="1"/>
    </row>
    <row r="3341" spans="1:11" x14ac:dyDescent="0.25">
      <c r="A3341" t="e">
        <f>-LqfTD4B2fyaV9al0E1t</f>
        <v>#NAME?</v>
      </c>
      <c r="B3341">
        <v>393.75</v>
      </c>
      <c r="C3341">
        <v>20.584240000000001</v>
      </c>
      <c r="D3341">
        <v>63</v>
      </c>
      <c r="E3341">
        <v>0</v>
      </c>
      <c r="F3341">
        <v>0</v>
      </c>
      <c r="G3341">
        <v>9</v>
      </c>
      <c r="H3341" s="4">
        <v>1570539887546</v>
      </c>
      <c r="I3341">
        <v>526.6875</v>
      </c>
      <c r="J3341" s="9">
        <f t="shared" si="52"/>
        <v>43746.836661412039</v>
      </c>
      <c r="K3341" s="1"/>
    </row>
    <row r="3342" spans="1:11" x14ac:dyDescent="0.25">
      <c r="A3342" t="e">
        <f>-LqfTEnI_z10mODTnvrg</f>
        <v>#NAME?</v>
      </c>
      <c r="B3342">
        <v>393.75</v>
      </c>
      <c r="C3342">
        <v>20.584240000000001</v>
      </c>
      <c r="D3342">
        <v>61</v>
      </c>
      <c r="E3342">
        <v>0</v>
      </c>
      <c r="F3342">
        <v>0</v>
      </c>
      <c r="G3342">
        <v>13</v>
      </c>
      <c r="H3342" s="4">
        <v>1570539894755</v>
      </c>
      <c r="I3342">
        <v>526.6875</v>
      </c>
      <c r="J3342" s="9">
        <f t="shared" si="52"/>
        <v>43746.836744849534</v>
      </c>
      <c r="K3342" s="1"/>
    </row>
    <row r="3343" spans="1:11" x14ac:dyDescent="0.25">
      <c r="A3343" t="e">
        <f>-LqfTGaBAdLmrDighwDo</f>
        <v>#NAME?</v>
      </c>
      <c r="B3343">
        <v>393.75</v>
      </c>
      <c r="C3343">
        <v>20.584240000000001</v>
      </c>
      <c r="D3343">
        <v>62</v>
      </c>
      <c r="E3343">
        <v>0</v>
      </c>
      <c r="F3343">
        <v>0</v>
      </c>
      <c r="G3343">
        <v>8</v>
      </c>
      <c r="H3343" s="4">
        <v>1570539901965</v>
      </c>
      <c r="I3343">
        <v>526.5</v>
      </c>
      <c r="J3343" s="9">
        <f t="shared" si="52"/>
        <v>43746.836828298612</v>
      </c>
      <c r="K3343" s="1"/>
    </row>
    <row r="3344" spans="1:11" x14ac:dyDescent="0.25">
      <c r="A3344" t="e">
        <f>-LqfTIJ3BiFU7_WcslPZ</f>
        <v>#NAME?</v>
      </c>
      <c r="B3344">
        <v>418.75</v>
      </c>
      <c r="C3344">
        <v>20.531590000000001</v>
      </c>
      <c r="D3344">
        <v>62</v>
      </c>
      <c r="E3344">
        <v>0</v>
      </c>
      <c r="F3344">
        <v>0</v>
      </c>
      <c r="G3344">
        <v>9</v>
      </c>
      <c r="H3344" s="4">
        <v>1570539909185</v>
      </c>
      <c r="I3344">
        <v>534.5625</v>
      </c>
      <c r="J3344" s="9">
        <f t="shared" si="52"/>
        <v>43746.836911863422</v>
      </c>
      <c r="K3344" s="1"/>
    </row>
    <row r="3345" spans="1:11" x14ac:dyDescent="0.25">
      <c r="A3345" t="e">
        <f>-LqfTJnC1dws3TFbgnBO</f>
        <v>#NAME?</v>
      </c>
      <c r="B3345">
        <v>393.75</v>
      </c>
      <c r="C3345">
        <v>20.584240000000001</v>
      </c>
      <c r="D3345">
        <v>63</v>
      </c>
      <c r="E3345">
        <v>0</v>
      </c>
      <c r="F3345">
        <v>0</v>
      </c>
      <c r="G3345">
        <v>0</v>
      </c>
      <c r="H3345" s="4">
        <v>1570539915365</v>
      </c>
      <c r="I3345">
        <v>526.6875</v>
      </c>
      <c r="J3345" s="9">
        <f t="shared" si="52"/>
        <v>43746.8369833912</v>
      </c>
      <c r="K3345" s="1"/>
    </row>
    <row r="3346" spans="1:11" x14ac:dyDescent="0.25">
      <c r="A3346" t="e">
        <f>-LqfTLL6Xhki4AR2FGAz</f>
        <v>#NAME?</v>
      </c>
      <c r="B3346">
        <v>393.75</v>
      </c>
      <c r="C3346">
        <v>20.584240000000001</v>
      </c>
      <c r="D3346">
        <v>62</v>
      </c>
      <c r="E3346">
        <v>0</v>
      </c>
      <c r="F3346">
        <v>0</v>
      </c>
      <c r="G3346">
        <v>9</v>
      </c>
      <c r="H3346" s="4">
        <v>1570539921554</v>
      </c>
      <c r="I3346">
        <v>526.5</v>
      </c>
      <c r="J3346" s="9">
        <f t="shared" si="52"/>
        <v>43746.837055023141</v>
      </c>
      <c r="K3346" s="1"/>
    </row>
    <row r="3347" spans="1:11" x14ac:dyDescent="0.25">
      <c r="A3347" t="e">
        <f>-LqfTMqDABLhHpek0G_t</f>
        <v>#NAME?</v>
      </c>
      <c r="B3347">
        <v>393.75</v>
      </c>
      <c r="C3347">
        <v>20.531590000000001</v>
      </c>
      <c r="D3347">
        <v>62</v>
      </c>
      <c r="E3347">
        <v>0</v>
      </c>
      <c r="F3347">
        <v>0</v>
      </c>
      <c r="G3347">
        <v>11</v>
      </c>
      <c r="H3347" s="4">
        <v>1570539927724</v>
      </c>
      <c r="I3347">
        <v>526.6875</v>
      </c>
      <c r="J3347" s="9">
        <f t="shared" si="52"/>
        <v>43746.837126435181</v>
      </c>
      <c r="K3347" s="1"/>
    </row>
    <row r="3348" spans="1:11" x14ac:dyDescent="0.25">
      <c r="A3348" t="e">
        <f>-LqfTOdD_j0cA_2p22V7</f>
        <v>#NAME?</v>
      </c>
      <c r="B3348">
        <v>393.75</v>
      </c>
      <c r="C3348">
        <v>20.584240000000001</v>
      </c>
      <c r="D3348">
        <v>65</v>
      </c>
      <c r="E3348">
        <v>0</v>
      </c>
      <c r="F3348">
        <v>0</v>
      </c>
      <c r="G3348">
        <v>3</v>
      </c>
      <c r="H3348" s="4">
        <v>1570539934946</v>
      </c>
      <c r="I3348">
        <v>526.5</v>
      </c>
      <c r="J3348" s="9">
        <f t="shared" si="52"/>
        <v>43746.837210023143</v>
      </c>
      <c r="K3348" s="1"/>
    </row>
    <row r="3349" spans="1:11" x14ac:dyDescent="0.25">
      <c r="A3349" t="e">
        <f>-LqfTQMMkB7EWuRplihy</f>
        <v>#NAME?</v>
      </c>
      <c r="B3349">
        <v>393.75</v>
      </c>
      <c r="C3349">
        <v>20.584240000000001</v>
      </c>
      <c r="D3349">
        <v>68</v>
      </c>
      <c r="E3349">
        <v>0</v>
      </c>
      <c r="F3349">
        <v>0</v>
      </c>
      <c r="G3349">
        <v>4</v>
      </c>
      <c r="H3349" s="4">
        <v>1570539942172</v>
      </c>
      <c r="I3349">
        <v>526.6875</v>
      </c>
      <c r="J3349" s="9">
        <f t="shared" si="52"/>
        <v>43746.837293657409</v>
      </c>
      <c r="K3349" s="1"/>
    </row>
    <row r="3350" spans="1:11" x14ac:dyDescent="0.25">
      <c r="A3350" t="e">
        <f>-LqfTS7qjyJk5NB0nqaq</f>
        <v>#NAME?</v>
      </c>
      <c r="B3350">
        <v>431.25</v>
      </c>
      <c r="C3350">
        <v>20.584240000000001</v>
      </c>
      <c r="D3350">
        <v>66</v>
      </c>
      <c r="E3350">
        <v>0</v>
      </c>
      <c r="F3350">
        <v>0</v>
      </c>
      <c r="G3350">
        <v>4</v>
      </c>
      <c r="H3350" s="4">
        <v>1570539949384</v>
      </c>
      <c r="I3350">
        <v>538.6875</v>
      </c>
      <c r="J3350" s="9">
        <f t="shared" si="52"/>
        <v>43746.837377129625</v>
      </c>
      <c r="K3350" s="1"/>
    </row>
    <row r="3351" spans="1:11" x14ac:dyDescent="0.25">
      <c r="A3351" t="e">
        <f>-LqfTTdVsla3djJJSIlY</f>
        <v>#NAME?</v>
      </c>
      <c r="B3351">
        <v>393.75</v>
      </c>
      <c r="C3351">
        <v>20.584240000000001</v>
      </c>
      <c r="D3351">
        <v>66</v>
      </c>
      <c r="E3351">
        <v>0</v>
      </c>
      <c r="F3351">
        <v>0</v>
      </c>
      <c r="G3351">
        <v>6</v>
      </c>
      <c r="H3351" s="4">
        <v>1570539955563</v>
      </c>
      <c r="I3351">
        <v>526.6875</v>
      </c>
      <c r="J3351" s="9">
        <f t="shared" si="52"/>
        <v>43746.837448645827</v>
      </c>
      <c r="K3351" s="1"/>
    </row>
    <row r="3352" spans="1:11" x14ac:dyDescent="0.25">
      <c r="A3352" t="e">
        <f>-LqfTVuDWIlAWCWxnI4F</f>
        <v>#NAME?</v>
      </c>
      <c r="B3352">
        <v>393.75</v>
      </c>
      <c r="C3352">
        <v>20.531590000000001</v>
      </c>
      <c r="D3352">
        <v>66</v>
      </c>
      <c r="E3352">
        <v>0</v>
      </c>
      <c r="F3352">
        <v>0</v>
      </c>
      <c r="G3352">
        <v>3</v>
      </c>
      <c r="H3352" s="4">
        <v>1570539962772</v>
      </c>
      <c r="I3352">
        <v>526.6875</v>
      </c>
      <c r="J3352" s="9">
        <f t="shared" si="52"/>
        <v>43746.837532083329</v>
      </c>
      <c r="K3352" s="1"/>
    </row>
    <row r="3353" spans="1:11" x14ac:dyDescent="0.25">
      <c r="A3353" t="e">
        <f>-LqfTXiSvC9HlGxiXftr</f>
        <v>#NAME?</v>
      </c>
      <c r="B3353">
        <v>393.75</v>
      </c>
      <c r="C3353">
        <v>20.584240000000001</v>
      </c>
      <c r="D3353">
        <v>66</v>
      </c>
      <c r="E3353">
        <v>0</v>
      </c>
      <c r="F3353">
        <v>0</v>
      </c>
      <c r="G3353">
        <v>11</v>
      </c>
      <c r="H3353" s="4">
        <v>1570539972047</v>
      </c>
      <c r="I3353">
        <v>526.6875</v>
      </c>
      <c r="J3353" s="9">
        <f t="shared" si="52"/>
        <v>43746.837639432866</v>
      </c>
      <c r="K3353" s="1"/>
    </row>
    <row r="3354" spans="1:11" x14ac:dyDescent="0.25">
      <c r="A3354" t="e">
        <f>-LqfTZQDtuJC75qXHAbd</f>
        <v>#NAME?</v>
      </c>
      <c r="B3354">
        <v>393.75</v>
      </c>
      <c r="C3354">
        <v>20.584240000000001</v>
      </c>
      <c r="D3354">
        <v>64</v>
      </c>
      <c r="E3354">
        <v>0</v>
      </c>
      <c r="F3354">
        <v>0</v>
      </c>
      <c r="G3354">
        <v>9</v>
      </c>
      <c r="H3354" s="4">
        <v>1570539979265</v>
      </c>
      <c r="I3354">
        <v>526.6875</v>
      </c>
      <c r="J3354" s="9">
        <f t="shared" si="52"/>
        <v>43746.837722974531</v>
      </c>
      <c r="K3354" s="1"/>
    </row>
    <row r="3355" spans="1:11" x14ac:dyDescent="0.25">
      <c r="A3355" t="e">
        <f>-LqfTaGAexs9jifuNwcd</f>
        <v>#NAME?</v>
      </c>
      <c r="B3355">
        <v>393.75</v>
      </c>
      <c r="C3355">
        <v>20.584240000000001</v>
      </c>
      <c r="D3355">
        <v>63</v>
      </c>
      <c r="E3355">
        <v>0</v>
      </c>
      <c r="F3355">
        <v>0</v>
      </c>
      <c r="G3355">
        <v>15</v>
      </c>
      <c r="H3355" s="4">
        <v>1570539985446</v>
      </c>
      <c r="I3355">
        <v>526.6875</v>
      </c>
      <c r="J3355" s="9">
        <f t="shared" si="52"/>
        <v>43746.837794513885</v>
      </c>
      <c r="K3355" s="1"/>
    </row>
    <row r="3356" spans="1:11" x14ac:dyDescent="0.25">
      <c r="A3356" t="e">
        <f>-LqfTbwC91upq8tqfCn6</f>
        <v>#NAME?</v>
      </c>
      <c r="B3356">
        <v>393.75</v>
      </c>
      <c r="C3356">
        <v>20.531590000000001</v>
      </c>
      <c r="D3356">
        <v>63</v>
      </c>
      <c r="E3356">
        <v>0</v>
      </c>
      <c r="F3356">
        <v>0</v>
      </c>
      <c r="G3356">
        <v>8</v>
      </c>
      <c r="H3356" s="4">
        <v>1570539993684</v>
      </c>
      <c r="I3356">
        <v>526.6875</v>
      </c>
      <c r="J3356" s="9">
        <f t="shared" si="52"/>
        <v>43746.837889861104</v>
      </c>
      <c r="K3356" s="1"/>
    </row>
    <row r="3357" spans="1:11" x14ac:dyDescent="0.25">
      <c r="A3357" t="e">
        <f>-LqfTdVDGk80JBQvMeyM</f>
        <v>#NAME?</v>
      </c>
      <c r="B3357">
        <v>393.75</v>
      </c>
      <c r="C3357">
        <v>20.584240000000001</v>
      </c>
      <c r="D3357">
        <v>63</v>
      </c>
      <c r="E3357">
        <v>0</v>
      </c>
      <c r="F3357">
        <v>0</v>
      </c>
      <c r="G3357">
        <v>6</v>
      </c>
      <c r="H3357" s="4">
        <v>1570539999866</v>
      </c>
      <c r="I3357">
        <v>526.6875</v>
      </c>
      <c r="J3357" s="9">
        <f t="shared" si="52"/>
        <v>43746.837961412035</v>
      </c>
      <c r="K3357" s="1"/>
    </row>
    <row r="3358" spans="1:11" x14ac:dyDescent="0.25">
      <c r="A3358" t="e">
        <f>-LqfTfC77RCyOhV-VKqo</f>
        <v>#NAME?</v>
      </c>
      <c r="B3358">
        <v>393.75</v>
      </c>
      <c r="C3358">
        <v>20.531590000000001</v>
      </c>
      <c r="D3358">
        <v>64</v>
      </c>
      <c r="E3358">
        <v>0</v>
      </c>
      <c r="F3358">
        <v>0</v>
      </c>
      <c r="G3358">
        <v>5</v>
      </c>
      <c r="H3358" s="4">
        <v>1570540007085</v>
      </c>
      <c r="I3358">
        <v>526.6875</v>
      </c>
      <c r="J3358" s="9">
        <f t="shared" si="52"/>
        <v>43746.838044965276</v>
      </c>
      <c r="K3358" s="1"/>
    </row>
    <row r="3359" spans="1:11" x14ac:dyDescent="0.25">
      <c r="A3359" t="e">
        <f>-LqfThK15gQwcd8pNbmc</f>
        <v>#NAME?</v>
      </c>
      <c r="B3359">
        <v>393.75</v>
      </c>
      <c r="C3359">
        <v>20.584240000000001</v>
      </c>
      <c r="D3359">
        <v>65</v>
      </c>
      <c r="E3359">
        <v>0</v>
      </c>
      <c r="F3359">
        <v>0</v>
      </c>
      <c r="G3359">
        <v>10</v>
      </c>
      <c r="H3359" s="4">
        <v>1570540014295</v>
      </c>
      <c r="I3359">
        <v>526.6875</v>
      </c>
      <c r="J3359" s="9">
        <f t="shared" si="52"/>
        <v>43746.838128414347</v>
      </c>
      <c r="K3359" s="1"/>
    </row>
    <row r="3360" spans="1:11" x14ac:dyDescent="0.25">
      <c r="A3360" t="e">
        <f>-LqfTiwpmmpfXm5gT5OI</f>
        <v>#NAME?</v>
      </c>
      <c r="B3360">
        <v>393.75</v>
      </c>
      <c r="C3360">
        <v>20.584240000000001</v>
      </c>
      <c r="D3360">
        <v>64</v>
      </c>
      <c r="E3360">
        <v>0</v>
      </c>
      <c r="F3360">
        <v>0</v>
      </c>
      <c r="G3360">
        <v>5</v>
      </c>
      <c r="H3360" s="4">
        <v>1570540022555</v>
      </c>
      <c r="I3360">
        <v>526.6875</v>
      </c>
      <c r="J3360" s="9">
        <f t="shared" si="52"/>
        <v>43746.838224016203</v>
      </c>
      <c r="K3360" s="1"/>
    </row>
    <row r="3361" spans="1:11" x14ac:dyDescent="0.25">
      <c r="A3361" t="e">
        <f>-LqfTkYRIXwDl6nfVCt8</f>
        <v>#NAME?</v>
      </c>
      <c r="B3361">
        <v>393.75</v>
      </c>
      <c r="C3361">
        <v>20.584240000000001</v>
      </c>
      <c r="D3361">
        <v>65</v>
      </c>
      <c r="E3361">
        <v>0</v>
      </c>
      <c r="F3361">
        <v>0</v>
      </c>
      <c r="G3361">
        <v>11</v>
      </c>
      <c r="H3361" s="4">
        <v>1570540028722</v>
      </c>
      <c r="I3361">
        <v>526.6875</v>
      </c>
      <c r="J3361" s="9">
        <f t="shared" si="52"/>
        <v>43746.838295393514</v>
      </c>
      <c r="K3361" s="1"/>
    </row>
    <row r="3362" spans="1:11" x14ac:dyDescent="0.25">
      <c r="A3362" t="e">
        <f>-LqfTmRz0QDkIDjRlODf</f>
        <v>#NAME?</v>
      </c>
      <c r="B3362">
        <v>393.75</v>
      </c>
      <c r="C3362">
        <v>20.584240000000001</v>
      </c>
      <c r="D3362">
        <v>64</v>
      </c>
      <c r="E3362">
        <v>0</v>
      </c>
      <c r="F3362">
        <v>0</v>
      </c>
      <c r="G3362">
        <v>14</v>
      </c>
      <c r="H3362" s="4">
        <v>1570540036870</v>
      </c>
      <c r="I3362">
        <v>526.6875</v>
      </c>
      <c r="J3362" s="9">
        <f t="shared" si="52"/>
        <v>43746.838389699071</v>
      </c>
      <c r="K3362" s="1"/>
    </row>
    <row r="3363" spans="1:11" x14ac:dyDescent="0.25">
      <c r="A3363" t="e">
        <f>-LqfTo24yAeiXH_HnOVw</f>
        <v>#NAME?</v>
      </c>
      <c r="B3363">
        <v>393.75</v>
      </c>
      <c r="C3363">
        <v>20.531590000000001</v>
      </c>
      <c r="D3363">
        <v>66</v>
      </c>
      <c r="E3363">
        <v>0</v>
      </c>
      <c r="F3363">
        <v>0</v>
      </c>
      <c r="G3363">
        <v>15</v>
      </c>
      <c r="H3363" s="4">
        <v>1570540043157</v>
      </c>
      <c r="I3363">
        <v>526.6875</v>
      </c>
      <c r="J3363" s="9">
        <f t="shared" si="52"/>
        <v>43746.838462465275</v>
      </c>
      <c r="K3363" s="1"/>
    </row>
    <row r="3364" spans="1:11" x14ac:dyDescent="0.25">
      <c r="A3364" t="e">
        <f>-LqfTq-AUt5hkbvK_a1I</f>
        <v>#NAME?</v>
      </c>
      <c r="B3364">
        <v>412.5</v>
      </c>
      <c r="C3364">
        <v>20.531590000000001</v>
      </c>
      <c r="D3364">
        <v>66</v>
      </c>
      <c r="E3364">
        <v>0</v>
      </c>
      <c r="F3364">
        <v>0</v>
      </c>
      <c r="G3364">
        <v>9</v>
      </c>
      <c r="H3364" s="4">
        <v>1570540051103</v>
      </c>
      <c r="I3364">
        <v>532.125</v>
      </c>
      <c r="J3364" s="9">
        <f t="shared" si="52"/>
        <v>43746.83855443287</v>
      </c>
      <c r="K3364" s="1"/>
    </row>
    <row r="3365" spans="1:11" x14ac:dyDescent="0.25">
      <c r="A3365" t="e">
        <f>-LqfTrY38Tq7N2YeqtOK</f>
        <v>#NAME?</v>
      </c>
      <c r="B3365">
        <v>393.75</v>
      </c>
      <c r="C3365">
        <v>20.584240000000001</v>
      </c>
      <c r="D3365">
        <v>66</v>
      </c>
      <c r="E3365">
        <v>0</v>
      </c>
      <c r="F3365">
        <v>0</v>
      </c>
      <c r="G3365">
        <v>10</v>
      </c>
      <c r="H3365" s="4">
        <v>1570540057584</v>
      </c>
      <c r="I3365">
        <v>526.5</v>
      </c>
      <c r="J3365" s="9">
        <f t="shared" si="52"/>
        <v>43746.838629444443</v>
      </c>
      <c r="K3365" s="1"/>
    </row>
    <row r="3366" spans="1:11" x14ac:dyDescent="0.25">
      <c r="A3366" t="e">
        <f>-LqfTtMBwFcEMuRvX7c2</f>
        <v>#NAME?</v>
      </c>
      <c r="B3366">
        <v>393.75</v>
      </c>
      <c r="C3366">
        <v>20.584240000000001</v>
      </c>
      <c r="D3366">
        <v>64</v>
      </c>
      <c r="E3366">
        <v>0</v>
      </c>
      <c r="F3366">
        <v>0</v>
      </c>
      <c r="G3366">
        <v>10</v>
      </c>
      <c r="H3366" s="4">
        <v>1570540065084</v>
      </c>
      <c r="I3366">
        <v>526.6875</v>
      </c>
      <c r="J3366" s="9">
        <f t="shared" si="52"/>
        <v>43746.838716249993</v>
      </c>
      <c r="K3366" s="1"/>
    </row>
    <row r="3367" spans="1:11" x14ac:dyDescent="0.25">
      <c r="A3367" t="e">
        <f>-LqfTv49puFrS-RbK-QL</f>
        <v>#NAME?</v>
      </c>
      <c r="B3367">
        <v>393.75</v>
      </c>
      <c r="C3367">
        <v>20.584240000000001</v>
      </c>
      <c r="D3367">
        <v>64</v>
      </c>
      <c r="E3367">
        <v>0</v>
      </c>
      <c r="F3367">
        <v>0</v>
      </c>
      <c r="G3367">
        <v>16</v>
      </c>
      <c r="H3367" s="4">
        <v>1570540072004</v>
      </c>
      <c r="I3367">
        <v>526.6875</v>
      </c>
      <c r="J3367" s="9">
        <f t="shared" si="52"/>
        <v>43746.838796342585</v>
      </c>
      <c r="K3367" s="1"/>
    </row>
    <row r="3368" spans="1:11" x14ac:dyDescent="0.25">
      <c r="A3368" t="s">
        <v>175</v>
      </c>
      <c r="B3368">
        <v>393.75</v>
      </c>
      <c r="C3368">
        <v>20.531590000000001</v>
      </c>
      <c r="D3368">
        <v>64</v>
      </c>
      <c r="E3368">
        <v>0</v>
      </c>
      <c r="F3368">
        <v>0</v>
      </c>
      <c r="G3368">
        <v>8</v>
      </c>
      <c r="H3368" s="4">
        <v>1570540078163</v>
      </c>
      <c r="I3368">
        <v>526.6875</v>
      </c>
      <c r="J3368" s="9">
        <f t="shared" si="52"/>
        <v>43746.83886762731</v>
      </c>
      <c r="K3368" s="1"/>
    </row>
    <row r="3369" spans="1:11" x14ac:dyDescent="0.25">
      <c r="A3369" t="s">
        <v>176</v>
      </c>
      <c r="B3369">
        <v>415.625</v>
      </c>
      <c r="C3369">
        <v>20.584240000000001</v>
      </c>
      <c r="D3369">
        <v>64</v>
      </c>
      <c r="E3369">
        <v>0</v>
      </c>
      <c r="F3369">
        <v>0</v>
      </c>
      <c r="G3369">
        <v>3</v>
      </c>
      <c r="H3369" s="4">
        <v>1570540084372</v>
      </c>
      <c r="I3369">
        <v>533.0625</v>
      </c>
      <c r="J3369" s="9">
        <f t="shared" si="52"/>
        <v>43746.838939490735</v>
      </c>
      <c r="K3369" s="1"/>
    </row>
    <row r="3370" spans="1:11" x14ac:dyDescent="0.25">
      <c r="A3370" t="s">
        <v>177</v>
      </c>
      <c r="B3370">
        <v>393.75</v>
      </c>
      <c r="C3370">
        <v>20.584240000000001</v>
      </c>
      <c r="D3370">
        <v>64</v>
      </c>
      <c r="E3370">
        <v>0</v>
      </c>
      <c r="F3370">
        <v>0</v>
      </c>
      <c r="G3370">
        <v>15</v>
      </c>
      <c r="H3370" s="4">
        <v>1570540091603</v>
      </c>
      <c r="I3370">
        <v>526.6875</v>
      </c>
      <c r="J3370" s="9">
        <f t="shared" si="52"/>
        <v>43746.839023182867</v>
      </c>
      <c r="K3370" s="1"/>
    </row>
    <row r="3371" spans="1:11" x14ac:dyDescent="0.25">
      <c r="A3371" t="e">
        <f>-LqfU0r9vAKKq0_UDCS1</f>
        <v>#NAME?</v>
      </c>
      <c r="B3371">
        <v>393.75</v>
      </c>
      <c r="C3371">
        <v>20.531590000000001</v>
      </c>
      <c r="D3371">
        <v>64</v>
      </c>
      <c r="E3371">
        <v>0</v>
      </c>
      <c r="F3371">
        <v>0</v>
      </c>
      <c r="G3371">
        <v>13</v>
      </c>
      <c r="H3371" s="4">
        <v>1570540099832</v>
      </c>
      <c r="I3371">
        <v>526.6875</v>
      </c>
      <c r="J3371" s="9">
        <f t="shared" si="52"/>
        <v>43746.839118425924</v>
      </c>
      <c r="K3371" s="1"/>
    </row>
    <row r="3372" spans="1:11" x14ac:dyDescent="0.25">
      <c r="A3372" t="e">
        <f>-LqfU2ZxxjagmMPnoP1l</f>
        <v>#NAME?</v>
      </c>
      <c r="B3372">
        <v>393.75</v>
      </c>
      <c r="C3372">
        <v>20.584240000000001</v>
      </c>
      <c r="D3372">
        <v>63</v>
      </c>
      <c r="E3372">
        <v>0</v>
      </c>
      <c r="F3372">
        <v>0</v>
      </c>
      <c r="G3372">
        <v>11</v>
      </c>
      <c r="H3372" s="4">
        <v>1570540107042</v>
      </c>
      <c r="I3372">
        <v>526.6875</v>
      </c>
      <c r="J3372" s="9">
        <f t="shared" si="52"/>
        <v>43746.839201874995</v>
      </c>
      <c r="K3372" s="1"/>
    </row>
    <row r="3373" spans="1:11" x14ac:dyDescent="0.25">
      <c r="A3373" t="e">
        <f>-LqfU44BFgFOBm8q5Erz</f>
        <v>#NAME?</v>
      </c>
      <c r="B3373">
        <v>393.75</v>
      </c>
      <c r="C3373">
        <v>20.584240000000001</v>
      </c>
      <c r="D3373">
        <v>64</v>
      </c>
      <c r="E3373">
        <v>0</v>
      </c>
      <c r="F3373">
        <v>0</v>
      </c>
      <c r="G3373">
        <v>8</v>
      </c>
      <c r="H3373" s="4">
        <v>1570540113234</v>
      </c>
      <c r="I3373">
        <v>526.6875</v>
      </c>
      <c r="J3373" s="9">
        <f t="shared" si="52"/>
        <v>43746.839273541664</v>
      </c>
      <c r="K3373" s="1"/>
    </row>
    <row r="3374" spans="1:11" x14ac:dyDescent="0.25">
      <c r="A3374" t="e">
        <f>-LqfU5mqfbQYscFLgfyG</f>
        <v>#NAME?</v>
      </c>
      <c r="B3374">
        <v>393.75</v>
      </c>
      <c r="C3374">
        <v>20.584240000000001</v>
      </c>
      <c r="D3374">
        <v>63</v>
      </c>
      <c r="E3374">
        <v>0</v>
      </c>
      <c r="F3374">
        <v>0</v>
      </c>
      <c r="G3374">
        <v>8</v>
      </c>
      <c r="H3374" s="4">
        <v>1570540119404</v>
      </c>
      <c r="I3374">
        <v>526.6875</v>
      </c>
      <c r="J3374" s="9">
        <f t="shared" si="52"/>
        <v>43746.839344953703</v>
      </c>
      <c r="K3374" s="1"/>
    </row>
    <row r="3375" spans="1:11" x14ac:dyDescent="0.25">
      <c r="A3375" t="e">
        <f>-LqfU7RBct5hGY30AUdd</f>
        <v>#NAME?</v>
      </c>
      <c r="B3375">
        <v>393.75</v>
      </c>
      <c r="C3375">
        <v>20.584240000000001</v>
      </c>
      <c r="D3375">
        <v>63</v>
      </c>
      <c r="E3375">
        <v>0</v>
      </c>
      <c r="F3375">
        <v>0</v>
      </c>
      <c r="G3375">
        <v>13</v>
      </c>
      <c r="H3375" s="4">
        <v>1570540126623</v>
      </c>
      <c r="I3375">
        <v>526.6875</v>
      </c>
      <c r="J3375" s="9">
        <f t="shared" si="52"/>
        <v>43746.839428506944</v>
      </c>
      <c r="K3375" s="1"/>
    </row>
    <row r="3376" spans="1:11" x14ac:dyDescent="0.25">
      <c r="A3376" t="e">
        <f>-LqfU99Ju_B7lX7mK9On</f>
        <v>#NAME?</v>
      </c>
      <c r="B3376">
        <v>393.75</v>
      </c>
      <c r="C3376">
        <v>20.584240000000001</v>
      </c>
      <c r="D3376">
        <v>64</v>
      </c>
      <c r="E3376">
        <v>0</v>
      </c>
      <c r="F3376">
        <v>0</v>
      </c>
      <c r="G3376">
        <v>10</v>
      </c>
      <c r="H3376" s="4">
        <v>1570540133843</v>
      </c>
      <c r="I3376">
        <v>526.6875</v>
      </c>
      <c r="J3376" s="9">
        <f t="shared" si="52"/>
        <v>43746.839512071754</v>
      </c>
      <c r="K3376" s="1"/>
    </row>
    <row r="3377" spans="1:11" x14ac:dyDescent="0.25">
      <c r="A3377" t="e">
        <f>-LqfUAsTFNfuVh1JnxpT</f>
        <v>#NAME?</v>
      </c>
      <c r="B3377">
        <v>393.75</v>
      </c>
      <c r="C3377">
        <v>20.478950000000001</v>
      </c>
      <c r="D3377">
        <v>63</v>
      </c>
      <c r="E3377">
        <v>0</v>
      </c>
      <c r="F3377">
        <v>0</v>
      </c>
      <c r="G3377">
        <v>6</v>
      </c>
      <c r="H3377" s="4">
        <v>1570540141050</v>
      </c>
      <c r="I3377">
        <v>526.6875</v>
      </c>
      <c r="J3377" s="9">
        <f t="shared" si="52"/>
        <v>43746.839595486112</v>
      </c>
      <c r="K3377" s="1"/>
    </row>
    <row r="3378" spans="1:11" x14ac:dyDescent="0.25">
      <c r="A3378" t="e">
        <f>-LqfUCaOKSg2ZYhkDbUQ</f>
        <v>#NAME?</v>
      </c>
      <c r="B3378">
        <v>393.75</v>
      </c>
      <c r="C3378">
        <v>20.584240000000001</v>
      </c>
      <c r="D3378">
        <v>67</v>
      </c>
      <c r="E3378">
        <v>0</v>
      </c>
      <c r="F3378">
        <v>0</v>
      </c>
      <c r="G3378">
        <v>7</v>
      </c>
      <c r="H3378" s="4">
        <v>1570540147232</v>
      </c>
      <c r="I3378">
        <v>526.6875</v>
      </c>
      <c r="J3378" s="9">
        <f t="shared" si="52"/>
        <v>43746.839667037035</v>
      </c>
      <c r="K3378" s="1"/>
    </row>
    <row r="3379" spans="1:11" x14ac:dyDescent="0.25">
      <c r="A3379" t="e">
        <f>-LqfUEJANtTnaS22TSrH</f>
        <v>#NAME?</v>
      </c>
      <c r="B3379">
        <v>393.75</v>
      </c>
      <c r="C3379">
        <v>20.584240000000001</v>
      </c>
      <c r="D3379">
        <v>67</v>
      </c>
      <c r="E3379">
        <v>0</v>
      </c>
      <c r="F3379">
        <v>0</v>
      </c>
      <c r="G3379">
        <v>13</v>
      </c>
      <c r="H3379" s="4">
        <v>1570540154443</v>
      </c>
      <c r="I3379">
        <v>526.5</v>
      </c>
      <c r="J3379" s="9">
        <f t="shared" si="52"/>
        <v>43746.839750497682</v>
      </c>
      <c r="K3379" s="1"/>
    </row>
    <row r="3380" spans="1:11" x14ac:dyDescent="0.25">
      <c r="A3380" t="e">
        <f>-LqfUFx9ruYHLkmwK0t2</f>
        <v>#NAME?</v>
      </c>
      <c r="B3380">
        <v>393.75</v>
      </c>
      <c r="C3380">
        <v>20.584240000000001</v>
      </c>
      <c r="D3380">
        <v>66</v>
      </c>
      <c r="E3380">
        <v>0</v>
      </c>
      <c r="F3380">
        <v>0</v>
      </c>
      <c r="G3380">
        <v>5</v>
      </c>
      <c r="H3380" s="4">
        <v>1570540161692</v>
      </c>
      <c r="I3380">
        <v>526.6875</v>
      </c>
      <c r="J3380" s="9">
        <f t="shared" si="52"/>
        <v>43746.839834398146</v>
      </c>
      <c r="K3380" s="1"/>
    </row>
    <row r="3381" spans="1:11" x14ac:dyDescent="0.25">
      <c r="A3381" t="e">
        <f>-LqfUHRCsrfmy8zyLptI</f>
        <v>#NAME?</v>
      </c>
      <c r="B3381">
        <v>393.75</v>
      </c>
      <c r="C3381">
        <v>20.584240000000001</v>
      </c>
      <c r="D3381">
        <v>66</v>
      </c>
      <c r="E3381">
        <v>0</v>
      </c>
      <c r="F3381">
        <v>0</v>
      </c>
      <c r="G3381">
        <v>4</v>
      </c>
      <c r="H3381" s="4">
        <v>1570540167842</v>
      </c>
      <c r="I3381">
        <v>526.6875</v>
      </c>
      <c r="J3381" s="9">
        <f t="shared" si="52"/>
        <v>43746.839905578701</v>
      </c>
      <c r="K3381" s="1"/>
    </row>
    <row r="3382" spans="1:11" x14ac:dyDescent="0.25">
      <c r="A3382" t="e">
        <f>-LqfUIz63wKy8_nrmZCm</f>
        <v>#NAME?</v>
      </c>
      <c r="B3382">
        <v>393.75</v>
      </c>
      <c r="C3382">
        <v>20.531590000000001</v>
      </c>
      <c r="D3382">
        <v>67</v>
      </c>
      <c r="E3382">
        <v>0</v>
      </c>
      <c r="F3382">
        <v>0</v>
      </c>
      <c r="G3382">
        <v>15</v>
      </c>
      <c r="H3382" s="4">
        <v>1570540174023</v>
      </c>
      <c r="I3382">
        <v>526.5</v>
      </c>
      <c r="J3382" s="9">
        <f t="shared" si="52"/>
        <v>43746.839977118048</v>
      </c>
      <c r="K3382" s="1"/>
    </row>
    <row r="3383" spans="1:11" x14ac:dyDescent="0.25">
      <c r="A3383" t="e">
        <f>-LqfUKh6x_xGm-lgEEMy</f>
        <v>#NAME?</v>
      </c>
      <c r="B3383">
        <v>393.75</v>
      </c>
      <c r="C3383">
        <v>20.584240000000001</v>
      </c>
      <c r="D3383">
        <v>68</v>
      </c>
      <c r="E3383">
        <v>0</v>
      </c>
      <c r="F3383">
        <v>0</v>
      </c>
      <c r="G3383">
        <v>12</v>
      </c>
      <c r="H3383" s="4">
        <v>1570540181222</v>
      </c>
      <c r="I3383">
        <v>526.6875</v>
      </c>
      <c r="J3383" s="9">
        <f t="shared" si="52"/>
        <v>43746.840060439812</v>
      </c>
      <c r="K3383" s="1"/>
    </row>
    <row r="3384" spans="1:11" x14ac:dyDescent="0.25">
      <c r="A3384" t="e">
        <f>-LqfUMHApFK_J9gFqZMJ</f>
        <v>#NAME?</v>
      </c>
      <c r="B3384">
        <v>393.75</v>
      </c>
      <c r="C3384">
        <v>20.584240000000001</v>
      </c>
      <c r="D3384">
        <v>68</v>
      </c>
      <c r="E3384">
        <v>0</v>
      </c>
      <c r="F3384">
        <v>0</v>
      </c>
      <c r="G3384">
        <v>7</v>
      </c>
      <c r="H3384" s="4">
        <v>1570540187394</v>
      </c>
      <c r="I3384">
        <v>526.6875</v>
      </c>
      <c r="J3384" s="9">
        <f t="shared" si="52"/>
        <v>43746.840131874997</v>
      </c>
      <c r="K3384" s="1"/>
    </row>
    <row r="3385" spans="1:11" x14ac:dyDescent="0.25">
      <c r="A3385" t="e">
        <f>-LqfUO-CU7oQ7oICJaM4</f>
        <v>#NAME?</v>
      </c>
      <c r="B3385">
        <v>393.75</v>
      </c>
      <c r="C3385">
        <v>20.584240000000001</v>
      </c>
      <c r="D3385">
        <v>70</v>
      </c>
      <c r="E3385">
        <v>0</v>
      </c>
      <c r="F3385">
        <v>0</v>
      </c>
      <c r="G3385">
        <v>6</v>
      </c>
      <c r="H3385" s="4">
        <v>1570540194644</v>
      </c>
      <c r="I3385">
        <v>526.6875</v>
      </c>
      <c r="J3385" s="9">
        <f t="shared" si="52"/>
        <v>43746.840215787037</v>
      </c>
      <c r="K3385" s="1"/>
    </row>
    <row r="3386" spans="1:11" x14ac:dyDescent="0.25">
      <c r="A3386" t="e">
        <f>-LqfUPZBXXrs3q22ZZdu</f>
        <v>#NAME?</v>
      </c>
      <c r="B3386">
        <v>393.75</v>
      </c>
      <c r="C3386">
        <v>20.531590000000001</v>
      </c>
      <c r="D3386">
        <v>70</v>
      </c>
      <c r="E3386">
        <v>0</v>
      </c>
      <c r="F3386">
        <v>0</v>
      </c>
      <c r="G3386">
        <v>13</v>
      </c>
      <c r="H3386" s="4">
        <v>1570540200821</v>
      </c>
      <c r="I3386">
        <v>526.6875</v>
      </c>
      <c r="J3386" s="9">
        <f t="shared" si="52"/>
        <v>43746.840287280087</v>
      </c>
      <c r="K3386" s="1"/>
    </row>
    <row r="3387" spans="1:11" x14ac:dyDescent="0.25">
      <c r="A3387" t="e">
        <f>-LqfURH91iGKK5WRAiIw</f>
        <v>#NAME?</v>
      </c>
      <c r="B3387">
        <v>393.75</v>
      </c>
      <c r="C3387">
        <v>20.531590000000001</v>
      </c>
      <c r="D3387">
        <v>70</v>
      </c>
      <c r="E3387">
        <v>0</v>
      </c>
      <c r="F3387">
        <v>0</v>
      </c>
      <c r="G3387">
        <v>9</v>
      </c>
      <c r="H3387" s="4">
        <v>1570540208032</v>
      </c>
      <c r="I3387">
        <v>526.6875</v>
      </c>
      <c r="J3387" s="9">
        <f t="shared" si="52"/>
        <v>43746.840370740734</v>
      </c>
      <c r="K3387" s="1"/>
    </row>
    <row r="3388" spans="1:11" x14ac:dyDescent="0.25">
      <c r="A3388" t="e">
        <f>-LqfUSlBwBv2hVp5VhPx</f>
        <v>#NAME?</v>
      </c>
      <c r="B3388">
        <v>393.75</v>
      </c>
      <c r="C3388">
        <v>20.584240000000001</v>
      </c>
      <c r="D3388">
        <v>69</v>
      </c>
      <c r="E3388">
        <v>0</v>
      </c>
      <c r="F3388">
        <v>0</v>
      </c>
      <c r="G3388">
        <v>6</v>
      </c>
      <c r="H3388" s="4">
        <v>1570540214242</v>
      </c>
      <c r="I3388">
        <v>526.6875</v>
      </c>
      <c r="J3388" s="9">
        <f t="shared" si="52"/>
        <v>43746.840442615743</v>
      </c>
      <c r="K3388" s="1"/>
    </row>
    <row r="3389" spans="1:11" x14ac:dyDescent="0.25">
      <c r="A3389" t="e">
        <f>-LqfUUKAbCbf80DaHTFY</f>
        <v>#NAME?</v>
      </c>
      <c r="B3389">
        <v>412.5</v>
      </c>
      <c r="C3389">
        <v>20.584240000000001</v>
      </c>
      <c r="D3389">
        <v>67</v>
      </c>
      <c r="E3389">
        <v>0</v>
      </c>
      <c r="F3389">
        <v>0</v>
      </c>
      <c r="G3389">
        <v>1</v>
      </c>
      <c r="H3389" s="4">
        <v>1570540220404</v>
      </c>
      <c r="I3389">
        <v>532.3125</v>
      </c>
      <c r="J3389" s="9">
        <f t="shared" si="52"/>
        <v>43746.840513935182</v>
      </c>
      <c r="K3389" s="1"/>
    </row>
    <row r="3390" spans="1:11" x14ac:dyDescent="0.25">
      <c r="A3390" t="e">
        <f>-LqfUW2Bq--zVbEXwfgj</f>
        <v>#NAME?</v>
      </c>
      <c r="B3390">
        <v>393.75</v>
      </c>
      <c r="C3390">
        <v>20.531590000000001</v>
      </c>
      <c r="D3390">
        <v>67</v>
      </c>
      <c r="E3390">
        <v>0</v>
      </c>
      <c r="F3390">
        <v>0</v>
      </c>
      <c r="G3390">
        <v>15</v>
      </c>
      <c r="H3390" s="4">
        <v>1570540227602</v>
      </c>
      <c r="I3390">
        <v>526.6875</v>
      </c>
      <c r="J3390" s="9">
        <f t="shared" si="52"/>
        <v>43746.840597245369</v>
      </c>
      <c r="K3390" s="1"/>
    </row>
    <row r="3391" spans="1:11" x14ac:dyDescent="0.25">
      <c r="A3391" t="e">
        <f>-LqfUXqBDncrnsgBQPfX</f>
        <v>#NAME?</v>
      </c>
      <c r="B3391">
        <v>393.75</v>
      </c>
      <c r="C3391">
        <v>20.584240000000001</v>
      </c>
      <c r="D3391">
        <v>67</v>
      </c>
      <c r="E3391">
        <v>0</v>
      </c>
      <c r="F3391">
        <v>0</v>
      </c>
      <c r="G3391">
        <v>4</v>
      </c>
      <c r="H3391" s="4">
        <v>1570540234825</v>
      </c>
      <c r="I3391">
        <v>526.6875</v>
      </c>
      <c r="J3391" s="9">
        <f t="shared" si="52"/>
        <v>43746.8406808449</v>
      </c>
      <c r="K3391" s="1"/>
    </row>
    <row r="3392" spans="1:11" x14ac:dyDescent="0.25">
      <c r="A3392" t="e">
        <f>-LqfUZdYb5LkQ7aRDXMt</f>
        <v>#NAME?</v>
      </c>
      <c r="B3392">
        <v>393.75</v>
      </c>
      <c r="C3392">
        <v>20.531590000000001</v>
      </c>
      <c r="D3392">
        <v>67</v>
      </c>
      <c r="E3392">
        <v>0</v>
      </c>
      <c r="F3392">
        <v>0</v>
      </c>
      <c r="G3392">
        <v>8</v>
      </c>
      <c r="H3392" s="4">
        <v>1570540241002</v>
      </c>
      <c r="I3392">
        <v>526.6875</v>
      </c>
      <c r="J3392" s="9">
        <f t="shared" si="52"/>
        <v>43746.840752337965</v>
      </c>
      <c r="K3392" s="1"/>
    </row>
    <row r="3393" spans="1:11" x14ac:dyDescent="0.25">
      <c r="A3393" t="e">
        <f>-LqfUaMNNZRD9DJqhxoC</f>
        <v>#NAME?</v>
      </c>
      <c r="B3393">
        <v>393.75</v>
      </c>
      <c r="C3393">
        <v>20.584240000000001</v>
      </c>
      <c r="D3393">
        <v>68</v>
      </c>
      <c r="E3393">
        <v>0</v>
      </c>
      <c r="F3393">
        <v>0</v>
      </c>
      <c r="G3393">
        <v>4</v>
      </c>
      <c r="H3393" s="4">
        <v>1570540249254</v>
      </c>
      <c r="I3393">
        <v>526.6875</v>
      </c>
      <c r="J3393" s="9">
        <f t="shared" si="52"/>
        <v>43746.840847847219</v>
      </c>
      <c r="K3393" s="1"/>
    </row>
    <row r="3394" spans="1:11" x14ac:dyDescent="0.25">
      <c r="A3394" t="e">
        <f>-LqfUcTOw0pt34YTgCXP</f>
        <v>#NAME?</v>
      </c>
      <c r="B3394">
        <v>393.75</v>
      </c>
      <c r="C3394">
        <v>20.584240000000001</v>
      </c>
      <c r="D3394">
        <v>68</v>
      </c>
      <c r="E3394">
        <v>0</v>
      </c>
      <c r="F3394">
        <v>0</v>
      </c>
      <c r="G3394">
        <v>2</v>
      </c>
      <c r="H3394" s="4">
        <v>1570540257832</v>
      </c>
      <c r="I3394">
        <v>526.6875</v>
      </c>
      <c r="J3394" s="9">
        <f t="shared" si="52"/>
        <v>43746.840947129625</v>
      </c>
      <c r="K3394" s="1"/>
    </row>
    <row r="3395" spans="1:11" x14ac:dyDescent="0.25">
      <c r="A3395" t="e">
        <f>-LqfUe6C6oCKGu_BxoKV</f>
        <v>#NAME?</v>
      </c>
      <c r="B3395">
        <v>393.75</v>
      </c>
      <c r="C3395">
        <v>20.531590000000001</v>
      </c>
      <c r="D3395">
        <v>68</v>
      </c>
      <c r="E3395">
        <v>0</v>
      </c>
      <c r="F3395">
        <v>0</v>
      </c>
      <c r="G3395">
        <v>10</v>
      </c>
      <c r="H3395" s="4">
        <v>1570540264730</v>
      </c>
      <c r="I3395">
        <v>526.6875</v>
      </c>
      <c r="J3395" s="9">
        <f t="shared" ref="J3395:J3458" si="53">(H3395/86400000)+25569+(7/24)</f>
        <v>43746.841026967588</v>
      </c>
      <c r="K3395" s="1"/>
    </row>
    <row r="3396" spans="1:11" x14ac:dyDescent="0.25">
      <c r="A3396" t="e">
        <f>-LqfUfkF7CwsLT5RtBPv</f>
        <v>#NAME?</v>
      </c>
      <c r="B3396">
        <v>393.75</v>
      </c>
      <c r="C3396">
        <v>20.531590000000001</v>
      </c>
      <c r="D3396">
        <v>67</v>
      </c>
      <c r="E3396">
        <v>0</v>
      </c>
      <c r="F3396">
        <v>0</v>
      </c>
      <c r="G3396">
        <v>5</v>
      </c>
      <c r="H3396" s="4">
        <v>1570540270907</v>
      </c>
      <c r="I3396">
        <v>526.6875</v>
      </c>
      <c r="J3396" s="9">
        <f t="shared" si="53"/>
        <v>43746.841098460645</v>
      </c>
      <c r="K3396" s="1"/>
    </row>
    <row r="3397" spans="1:11" x14ac:dyDescent="0.25">
      <c r="A3397" t="e">
        <f>-LqfUhOCNp6JnxIE4rMG</f>
        <v>#NAME?</v>
      </c>
      <c r="B3397">
        <v>393.75</v>
      </c>
      <c r="C3397">
        <v>20.531590000000001</v>
      </c>
      <c r="D3397">
        <v>67</v>
      </c>
      <c r="E3397">
        <v>0</v>
      </c>
      <c r="F3397">
        <v>0</v>
      </c>
      <c r="G3397">
        <v>1</v>
      </c>
      <c r="H3397" s="4">
        <v>1570540278118</v>
      </c>
      <c r="I3397">
        <v>526.6875</v>
      </c>
      <c r="J3397" s="9">
        <f t="shared" si="53"/>
        <v>43746.841181921292</v>
      </c>
      <c r="K3397" s="1"/>
    </row>
    <row r="3398" spans="1:11" x14ac:dyDescent="0.25">
      <c r="A3398" t="e">
        <f>-LqfUjFbm7zM4T_DAtXG</f>
        <v>#NAME?</v>
      </c>
      <c r="B3398">
        <v>393.75</v>
      </c>
      <c r="C3398">
        <v>20.531590000000001</v>
      </c>
      <c r="D3398">
        <v>67</v>
      </c>
      <c r="E3398">
        <v>0</v>
      </c>
      <c r="F3398">
        <v>0</v>
      </c>
      <c r="G3398">
        <v>6</v>
      </c>
      <c r="H3398" s="4">
        <v>1570540285637</v>
      </c>
      <c r="I3398">
        <v>526.5</v>
      </c>
      <c r="J3398" s="9">
        <f t="shared" si="53"/>
        <v>43746.841268946759</v>
      </c>
      <c r="K3398" s="1"/>
    </row>
    <row r="3399" spans="1:11" x14ac:dyDescent="0.25">
      <c r="A3399" t="e">
        <f>-LqfUkuD4l1Nt_jBgkf3</f>
        <v>#NAME?</v>
      </c>
      <c r="B3399">
        <v>393.75</v>
      </c>
      <c r="C3399">
        <v>20.531590000000001</v>
      </c>
      <c r="D3399">
        <v>67</v>
      </c>
      <c r="E3399">
        <v>0</v>
      </c>
      <c r="F3399">
        <v>0</v>
      </c>
      <c r="G3399">
        <v>2</v>
      </c>
      <c r="H3399" s="4">
        <v>1570540292575</v>
      </c>
      <c r="I3399">
        <v>526.6875</v>
      </c>
      <c r="J3399" s="9">
        <f t="shared" si="53"/>
        <v>43746.841349247683</v>
      </c>
      <c r="K3399" s="1"/>
    </row>
    <row r="3400" spans="1:11" x14ac:dyDescent="0.25">
      <c r="A3400" t="e">
        <f>-LqfUmOOhFmfMtLpADoj</f>
        <v>#NAME?</v>
      </c>
      <c r="B3400">
        <v>393.75</v>
      </c>
      <c r="C3400">
        <v>20.531590000000001</v>
      </c>
      <c r="D3400">
        <v>65</v>
      </c>
      <c r="E3400">
        <v>0</v>
      </c>
      <c r="F3400">
        <v>0</v>
      </c>
      <c r="G3400">
        <v>4</v>
      </c>
      <c r="H3400" s="4">
        <v>1570540298727</v>
      </c>
      <c r="I3400">
        <v>526.6875</v>
      </c>
      <c r="J3400" s="9">
        <f t="shared" si="53"/>
        <v>43746.84142045139</v>
      </c>
      <c r="K3400" s="1"/>
    </row>
    <row r="3401" spans="1:11" x14ac:dyDescent="0.25">
      <c r="A3401" t="e">
        <f>-LqfUnxCsankk1tyzC3r</f>
        <v>#NAME?</v>
      </c>
      <c r="B3401">
        <v>393.75</v>
      </c>
      <c r="C3401">
        <v>20.531590000000001</v>
      </c>
      <c r="D3401">
        <v>66</v>
      </c>
      <c r="E3401">
        <v>0</v>
      </c>
      <c r="F3401">
        <v>0</v>
      </c>
      <c r="G3401">
        <v>9</v>
      </c>
      <c r="H3401" s="4">
        <v>1570540304906</v>
      </c>
      <c r="I3401">
        <v>526.6875</v>
      </c>
      <c r="J3401" s="9">
        <f t="shared" si="53"/>
        <v>43746.841491967592</v>
      </c>
      <c r="K3401" s="1"/>
    </row>
    <row r="3402" spans="1:11" x14ac:dyDescent="0.25">
      <c r="A3402" t="e">
        <f>-LqfUpRNZl6XdyIfQUEE</f>
        <v>#NAME?</v>
      </c>
      <c r="B3402">
        <v>393.75</v>
      </c>
      <c r="C3402">
        <v>20.531590000000001</v>
      </c>
      <c r="D3402">
        <v>66</v>
      </c>
      <c r="E3402">
        <v>0</v>
      </c>
      <c r="F3402">
        <v>0</v>
      </c>
      <c r="G3402">
        <v>10</v>
      </c>
      <c r="H3402" s="4">
        <v>1570540311084</v>
      </c>
      <c r="I3402">
        <v>526.6875</v>
      </c>
      <c r="J3402" s="9">
        <f t="shared" si="53"/>
        <v>43746.841563472219</v>
      </c>
      <c r="K3402" s="1"/>
    </row>
    <row r="3403" spans="1:11" x14ac:dyDescent="0.25">
      <c r="A3403" t="e">
        <f>-LqfUrELO35dgU77MDYv</f>
        <v>#NAME?</v>
      </c>
      <c r="B3403">
        <v>393.75</v>
      </c>
      <c r="C3403">
        <v>20.584240000000001</v>
      </c>
      <c r="D3403">
        <v>68</v>
      </c>
      <c r="E3403">
        <v>0</v>
      </c>
      <c r="F3403">
        <v>0</v>
      </c>
      <c r="G3403">
        <v>1</v>
      </c>
      <c r="H3403" s="4">
        <v>1570540318309</v>
      </c>
      <c r="I3403">
        <v>526.6875</v>
      </c>
      <c r="J3403" s="9">
        <f t="shared" si="53"/>
        <v>43746.841647094909</v>
      </c>
      <c r="K3403" s="1"/>
    </row>
    <row r="3404" spans="1:11" x14ac:dyDescent="0.25">
      <c r="A3404" t="e">
        <f>-LqfUswlM-rtb2n0tQWX</f>
        <v>#NAME?</v>
      </c>
      <c r="B3404">
        <v>393.75</v>
      </c>
      <c r="C3404">
        <v>20.531590000000001</v>
      </c>
      <c r="D3404">
        <v>67</v>
      </c>
      <c r="E3404">
        <v>0</v>
      </c>
      <c r="F3404">
        <v>0</v>
      </c>
      <c r="G3404">
        <v>5</v>
      </c>
      <c r="H3404" s="4">
        <v>1570540325526</v>
      </c>
      <c r="I3404">
        <v>526.6875</v>
      </c>
      <c r="J3404" s="9">
        <f t="shared" si="53"/>
        <v>43746.841730624998</v>
      </c>
      <c r="K3404" s="1"/>
    </row>
    <row r="3405" spans="1:11" x14ac:dyDescent="0.25">
      <c r="A3405" t="e">
        <f>-LqfUukGDCpCYcRuLoof</f>
        <v>#NAME?</v>
      </c>
      <c r="B3405">
        <v>393.75</v>
      </c>
      <c r="C3405">
        <v>20.531590000000001</v>
      </c>
      <c r="D3405">
        <v>67</v>
      </c>
      <c r="E3405">
        <v>0</v>
      </c>
      <c r="F3405">
        <v>0</v>
      </c>
      <c r="G3405">
        <v>0</v>
      </c>
      <c r="H3405" s="4">
        <v>1570540332745</v>
      </c>
      <c r="I3405">
        <v>526.6875</v>
      </c>
      <c r="J3405" s="9">
        <f t="shared" si="53"/>
        <v>43746.841814178239</v>
      </c>
      <c r="K3405" s="1"/>
    </row>
    <row r="3406" spans="1:11" x14ac:dyDescent="0.25">
      <c r="A3406" t="e">
        <f>-LqfUwcPr7JI004_J_t0</f>
        <v>#NAME?</v>
      </c>
      <c r="B3406">
        <v>393.75</v>
      </c>
      <c r="C3406">
        <v>20.584240000000001</v>
      </c>
      <c r="D3406">
        <v>67</v>
      </c>
      <c r="E3406">
        <v>0</v>
      </c>
      <c r="F3406">
        <v>0</v>
      </c>
      <c r="G3406">
        <v>2</v>
      </c>
      <c r="H3406" s="4">
        <v>1570540340441</v>
      </c>
      <c r="I3406">
        <v>526.6875</v>
      </c>
      <c r="J3406" s="9">
        <f t="shared" si="53"/>
        <v>43746.841903252316</v>
      </c>
      <c r="K3406" s="1"/>
    </row>
    <row r="3407" spans="1:11" x14ac:dyDescent="0.25">
      <c r="A3407" t="s">
        <v>178</v>
      </c>
      <c r="B3407">
        <v>393.75</v>
      </c>
      <c r="C3407">
        <v>20.584240000000001</v>
      </c>
      <c r="D3407">
        <v>67</v>
      </c>
      <c r="E3407">
        <v>0</v>
      </c>
      <c r="F3407">
        <v>0</v>
      </c>
      <c r="G3407">
        <v>3</v>
      </c>
      <c r="H3407" s="4">
        <v>1570540347166</v>
      </c>
      <c r="I3407">
        <v>526.6875</v>
      </c>
      <c r="J3407" s="9">
        <f t="shared" si="53"/>
        <v>43746.841981087964</v>
      </c>
      <c r="K3407" s="1"/>
    </row>
    <row r="3408" spans="1:11" x14ac:dyDescent="0.25">
      <c r="A3408" t="e">
        <f>-LqfUzkCq1igjxR36CGm</f>
        <v>#NAME?</v>
      </c>
      <c r="B3408">
        <v>393.75</v>
      </c>
      <c r="C3408">
        <v>20.531590000000001</v>
      </c>
      <c r="D3408">
        <v>67</v>
      </c>
      <c r="E3408">
        <v>0</v>
      </c>
      <c r="F3408">
        <v>0</v>
      </c>
      <c r="G3408">
        <v>8</v>
      </c>
      <c r="H3408" s="4">
        <v>1570540353327</v>
      </c>
      <c r="I3408">
        <v>526.6875</v>
      </c>
      <c r="J3408" s="9">
        <f t="shared" si="53"/>
        <v>43746.842052395827</v>
      </c>
      <c r="K3408" s="1"/>
    </row>
    <row r="3409" spans="1:11" x14ac:dyDescent="0.25">
      <c r="A3409" t="e">
        <f>-LqfV0UxFbIDnrO0ySpR</f>
        <v>#NAME?</v>
      </c>
      <c r="B3409">
        <v>393.75</v>
      </c>
      <c r="C3409">
        <v>20.584240000000001</v>
      </c>
      <c r="D3409">
        <v>66</v>
      </c>
      <c r="E3409">
        <v>0</v>
      </c>
      <c r="F3409">
        <v>0</v>
      </c>
      <c r="G3409">
        <v>10</v>
      </c>
      <c r="H3409" s="4">
        <v>1570540359537</v>
      </c>
      <c r="I3409">
        <v>526.6875</v>
      </c>
      <c r="J3409" s="9">
        <f t="shared" si="53"/>
        <v>43746.842124270835</v>
      </c>
      <c r="K3409" s="1"/>
    </row>
    <row r="3410" spans="1:11" x14ac:dyDescent="0.25">
      <c r="A3410" t="s">
        <v>179</v>
      </c>
      <c r="B3410">
        <v>393.75</v>
      </c>
      <c r="C3410">
        <v>20.531590000000001</v>
      </c>
      <c r="D3410">
        <v>66</v>
      </c>
      <c r="E3410">
        <v>0</v>
      </c>
      <c r="F3410">
        <v>0</v>
      </c>
      <c r="G3410">
        <v>6</v>
      </c>
      <c r="H3410" s="4">
        <v>1570540366745</v>
      </c>
      <c r="I3410">
        <v>526.6875</v>
      </c>
      <c r="J3410" s="9">
        <f t="shared" si="53"/>
        <v>43746.842207696762</v>
      </c>
      <c r="K3410" s="1"/>
    </row>
    <row r="3411" spans="1:11" x14ac:dyDescent="0.25">
      <c r="A3411" t="e">
        <f>-LqfV3WGcPwiRqm60Rtn</f>
        <v>#NAME?</v>
      </c>
      <c r="B3411">
        <v>393.75</v>
      </c>
      <c r="C3411">
        <v>20.531590000000001</v>
      </c>
      <c r="D3411">
        <v>66</v>
      </c>
      <c r="E3411">
        <v>0</v>
      </c>
      <c r="F3411">
        <v>0</v>
      </c>
      <c r="G3411">
        <v>0</v>
      </c>
      <c r="H3411" s="4">
        <v>1570540372906</v>
      </c>
      <c r="I3411">
        <v>526.6875</v>
      </c>
      <c r="J3411" s="9">
        <f t="shared" si="53"/>
        <v>43746.842279004624</v>
      </c>
      <c r="K3411" s="1"/>
    </row>
    <row r="3412" spans="1:11" x14ac:dyDescent="0.25">
      <c r="A3412" t="e">
        <f>-LqfV5EC-gYNGWHXa1pX</f>
        <v>#NAME?</v>
      </c>
      <c r="B3412">
        <v>393.75</v>
      </c>
      <c r="C3412">
        <v>20.584240000000001</v>
      </c>
      <c r="D3412">
        <v>65</v>
      </c>
      <c r="E3412">
        <v>0</v>
      </c>
      <c r="F3412">
        <v>0</v>
      </c>
      <c r="G3412">
        <v>5</v>
      </c>
      <c r="H3412" s="4">
        <v>1570540379705</v>
      </c>
      <c r="I3412">
        <v>526.6875</v>
      </c>
      <c r="J3412" s="9">
        <f t="shared" si="53"/>
        <v>43746.842357696754</v>
      </c>
      <c r="K3412" s="1"/>
    </row>
    <row r="3413" spans="1:11" x14ac:dyDescent="0.25">
      <c r="A3413" t="e">
        <f>-LqfV76NMR2gUhxlvWFX</f>
        <v>#NAME?</v>
      </c>
      <c r="B3413">
        <v>412.5</v>
      </c>
      <c r="C3413">
        <v>20.531590000000001</v>
      </c>
      <c r="D3413">
        <v>65</v>
      </c>
      <c r="E3413">
        <v>0</v>
      </c>
      <c r="F3413">
        <v>0</v>
      </c>
      <c r="G3413">
        <v>4</v>
      </c>
      <c r="H3413" s="4">
        <v>1570540387639</v>
      </c>
      <c r="I3413">
        <v>532.3125</v>
      </c>
      <c r="J3413" s="9">
        <f t="shared" si="53"/>
        <v>43746.842449525466</v>
      </c>
      <c r="K3413" s="1"/>
    </row>
    <row r="3414" spans="1:11" x14ac:dyDescent="0.25">
      <c r="A3414" t="e">
        <f>-LqfV92mO_crX5s4w0wd</f>
        <v>#NAME?</v>
      </c>
      <c r="B3414">
        <v>393.75</v>
      </c>
      <c r="C3414">
        <v>20.584240000000001</v>
      </c>
      <c r="D3414">
        <v>66</v>
      </c>
      <c r="E3414">
        <v>0</v>
      </c>
      <c r="F3414">
        <v>0</v>
      </c>
      <c r="G3414">
        <v>7</v>
      </c>
      <c r="H3414" s="4">
        <v>1570540395503</v>
      </c>
      <c r="I3414">
        <v>526.6875</v>
      </c>
      <c r="J3414" s="9">
        <f t="shared" si="53"/>
        <v>43746.842540543978</v>
      </c>
      <c r="K3414" s="1"/>
    </row>
    <row r="3415" spans="1:11" x14ac:dyDescent="0.25">
      <c r="A3415" t="e">
        <f>-LqfVAc_DY_Ym2NxFP-v</f>
        <v>#NAME?</v>
      </c>
      <c r="B3415">
        <v>393.75</v>
      </c>
      <c r="C3415">
        <v>20.584240000000001</v>
      </c>
      <c r="D3415">
        <v>65</v>
      </c>
      <c r="E3415">
        <v>0</v>
      </c>
      <c r="F3415">
        <v>0</v>
      </c>
      <c r="G3415">
        <v>3</v>
      </c>
      <c r="H3415" s="4">
        <v>1570540401786</v>
      </c>
      <c r="I3415">
        <v>526.6875</v>
      </c>
      <c r="J3415" s="9">
        <f t="shared" si="53"/>
        <v>43746.842613263885</v>
      </c>
      <c r="K3415" s="1"/>
    </row>
    <row r="3416" spans="1:11" x14ac:dyDescent="0.25">
      <c r="A3416" t="e">
        <f>-LqfVCLDrp-BKIpoMm9g</f>
        <v>#NAME?</v>
      </c>
      <c r="B3416">
        <v>393.75</v>
      </c>
      <c r="C3416">
        <v>20.531590000000001</v>
      </c>
      <c r="D3416">
        <v>65</v>
      </c>
      <c r="E3416">
        <v>0</v>
      </c>
      <c r="F3416">
        <v>0</v>
      </c>
      <c r="G3416">
        <v>8</v>
      </c>
      <c r="H3416" s="4">
        <v>1570540409015</v>
      </c>
      <c r="I3416">
        <v>526.6875</v>
      </c>
      <c r="J3416" s="9">
        <f t="shared" si="53"/>
        <v>43746.842696932865</v>
      </c>
      <c r="K3416" s="1"/>
    </row>
    <row r="3417" spans="1:11" x14ac:dyDescent="0.25">
      <c r="A3417" t="e">
        <f>-LqfVDpY1DBFXA3Slc7o</f>
        <v>#NAME?</v>
      </c>
      <c r="B3417">
        <v>393.75</v>
      </c>
      <c r="C3417">
        <v>20.584240000000001</v>
      </c>
      <c r="D3417">
        <v>66</v>
      </c>
      <c r="E3417">
        <v>0</v>
      </c>
      <c r="F3417">
        <v>0</v>
      </c>
      <c r="G3417">
        <v>6</v>
      </c>
      <c r="H3417" s="4">
        <v>1570540415184</v>
      </c>
      <c r="I3417">
        <v>526.5</v>
      </c>
      <c r="J3417" s="9">
        <f t="shared" si="53"/>
        <v>43746.842768333336</v>
      </c>
      <c r="K3417" s="1"/>
    </row>
    <row r="3418" spans="1:11" x14ac:dyDescent="0.25">
      <c r="A3418" t="e">
        <f>-LqfVFOBJvnWlohFKYtX</f>
        <v>#NAME?</v>
      </c>
      <c r="B3418">
        <v>409.375</v>
      </c>
      <c r="C3418">
        <v>20.531590000000001</v>
      </c>
      <c r="D3418">
        <v>65</v>
      </c>
      <c r="E3418">
        <v>0</v>
      </c>
      <c r="F3418">
        <v>0</v>
      </c>
      <c r="G3418">
        <v>5</v>
      </c>
      <c r="H3418" s="4">
        <v>1570540421368</v>
      </c>
      <c r="I3418">
        <v>531.75</v>
      </c>
      <c r="J3418" s="9">
        <f t="shared" si="53"/>
        <v>43746.842839907404</v>
      </c>
      <c r="K3418" s="1"/>
    </row>
    <row r="3419" spans="1:11" x14ac:dyDescent="0.25">
      <c r="A3419" t="e">
        <f>-LqfVH6DWLWr-tueOTW2</f>
        <v>#NAME?</v>
      </c>
      <c r="B3419">
        <v>393.75</v>
      </c>
      <c r="C3419">
        <v>20.531590000000001</v>
      </c>
      <c r="D3419">
        <v>64</v>
      </c>
      <c r="E3419">
        <v>0</v>
      </c>
      <c r="F3419">
        <v>0</v>
      </c>
      <c r="G3419">
        <v>1</v>
      </c>
      <c r="H3419" s="4">
        <v>1570540428566</v>
      </c>
      <c r="I3419">
        <v>526.6875</v>
      </c>
      <c r="J3419" s="9">
        <f t="shared" si="53"/>
        <v>43746.842923217591</v>
      </c>
      <c r="K3419" s="1"/>
    </row>
    <row r="3420" spans="1:11" x14ac:dyDescent="0.25">
      <c r="A3420" t="e">
        <f>-LqfVIfCbwt3glxB9lER</f>
        <v>#NAME?</v>
      </c>
      <c r="B3420">
        <v>393.75</v>
      </c>
      <c r="C3420">
        <v>20.531590000000001</v>
      </c>
      <c r="D3420">
        <v>65</v>
      </c>
      <c r="E3420">
        <v>0</v>
      </c>
      <c r="F3420">
        <v>0</v>
      </c>
      <c r="G3420">
        <v>2</v>
      </c>
      <c r="H3420" s="4">
        <v>1570540434766</v>
      </c>
      <c r="I3420">
        <v>526.6875</v>
      </c>
      <c r="J3420" s="9">
        <f t="shared" si="53"/>
        <v>43746.842994976854</v>
      </c>
      <c r="K3420" s="1"/>
    </row>
    <row r="3421" spans="1:11" x14ac:dyDescent="0.25">
      <c r="A3421" t="e">
        <f>-LqfVKOFp7j1VTv6HcKv</f>
        <v>#NAME?</v>
      </c>
      <c r="B3421">
        <v>421.875</v>
      </c>
      <c r="C3421">
        <v>20.531590000000001</v>
      </c>
      <c r="D3421">
        <v>66</v>
      </c>
      <c r="E3421">
        <v>0</v>
      </c>
      <c r="F3421">
        <v>0</v>
      </c>
      <c r="G3421">
        <v>0</v>
      </c>
      <c r="H3421" s="4">
        <v>1570540441976</v>
      </c>
      <c r="I3421">
        <v>535.3125</v>
      </c>
      <c r="J3421" s="9">
        <f t="shared" si="53"/>
        <v>43746.843078425918</v>
      </c>
      <c r="K3421" s="1"/>
    </row>
    <row r="3422" spans="1:11" x14ac:dyDescent="0.25">
      <c r="A3422" t="e">
        <f>-LqfVMCW6bcH0uzvoSTL</f>
        <v>#NAME?</v>
      </c>
      <c r="B3422">
        <v>393.75</v>
      </c>
      <c r="C3422">
        <v>20.531590000000001</v>
      </c>
      <c r="D3422">
        <v>67</v>
      </c>
      <c r="E3422">
        <v>0</v>
      </c>
      <c r="F3422">
        <v>0</v>
      </c>
      <c r="G3422">
        <v>9</v>
      </c>
      <c r="H3422" s="4">
        <v>1570540449205</v>
      </c>
      <c r="I3422">
        <v>526.6875</v>
      </c>
      <c r="J3422" s="9">
        <f t="shared" si="53"/>
        <v>43746.843162094905</v>
      </c>
      <c r="K3422" s="1"/>
    </row>
    <row r="3423" spans="1:11" x14ac:dyDescent="0.25">
      <c r="A3423" t="e">
        <f>-LqfVNvSPU0NWhcYBL0I</f>
        <v>#NAME?</v>
      </c>
      <c r="B3423">
        <v>393.75</v>
      </c>
      <c r="C3423">
        <v>20.478950000000001</v>
      </c>
      <c r="D3423">
        <v>67</v>
      </c>
      <c r="E3423">
        <v>0</v>
      </c>
      <c r="F3423">
        <v>0</v>
      </c>
      <c r="G3423">
        <v>13</v>
      </c>
      <c r="H3423" s="4">
        <v>1570540456408</v>
      </c>
      <c r="I3423">
        <v>526.6875</v>
      </c>
      <c r="J3423" s="9">
        <f t="shared" si="53"/>
        <v>43746.843245462958</v>
      </c>
      <c r="K3423" s="1"/>
    </row>
    <row r="3424" spans="1:11" x14ac:dyDescent="0.25">
      <c r="A3424" t="e">
        <f>-LqfVPS1dnLLGAA6WrMu</f>
        <v>#NAME?</v>
      </c>
      <c r="B3424">
        <v>393.75</v>
      </c>
      <c r="C3424">
        <v>20.531590000000001</v>
      </c>
      <c r="D3424">
        <v>67</v>
      </c>
      <c r="E3424">
        <v>0</v>
      </c>
      <c r="F3424">
        <v>0</v>
      </c>
      <c r="G3424">
        <v>9</v>
      </c>
      <c r="H3424" s="4">
        <v>1570540462588</v>
      </c>
      <c r="I3424">
        <v>526.6875</v>
      </c>
      <c r="J3424" s="9">
        <f t="shared" si="53"/>
        <v>43746.843316990737</v>
      </c>
      <c r="K3424" s="1"/>
    </row>
    <row r="3425" spans="1:11" x14ac:dyDescent="0.25">
      <c r="A3425" t="e">
        <f>-LqfVRA7XSmNOqBIpOTv</f>
        <v>#NAME?</v>
      </c>
      <c r="B3425">
        <v>393.75</v>
      </c>
      <c r="C3425">
        <v>20.584240000000001</v>
      </c>
      <c r="D3425">
        <v>67</v>
      </c>
      <c r="E3425">
        <v>0</v>
      </c>
      <c r="F3425">
        <v>0</v>
      </c>
      <c r="G3425">
        <v>10</v>
      </c>
      <c r="H3425" s="4">
        <v>1570540469796</v>
      </c>
      <c r="I3425">
        <v>526.6875</v>
      </c>
      <c r="J3425" s="9">
        <f t="shared" si="53"/>
        <v>43746.843400416663</v>
      </c>
      <c r="K3425" s="1"/>
    </row>
    <row r="3426" spans="1:11" x14ac:dyDescent="0.25">
      <c r="A3426" t="e">
        <f>-LqfVT205HGddlQPmYOu</f>
        <v>#NAME?</v>
      </c>
      <c r="B3426">
        <v>393.75</v>
      </c>
      <c r="C3426">
        <v>20.531590000000001</v>
      </c>
      <c r="D3426">
        <v>67</v>
      </c>
      <c r="E3426">
        <v>0</v>
      </c>
      <c r="F3426">
        <v>0</v>
      </c>
      <c r="G3426">
        <v>14</v>
      </c>
      <c r="H3426" s="4">
        <v>1570540477305</v>
      </c>
      <c r="I3426">
        <v>526.6875</v>
      </c>
      <c r="J3426" s="9">
        <f t="shared" si="53"/>
        <v>43746.843487326383</v>
      </c>
      <c r="K3426" s="1"/>
    </row>
    <row r="3427" spans="1:11" x14ac:dyDescent="0.25">
      <c r="A3427" t="e">
        <f>-LqfVUh8IriBhgmNtwKx</f>
        <v>#NAME?</v>
      </c>
      <c r="B3427">
        <v>393.75</v>
      </c>
      <c r="C3427">
        <v>20.584240000000001</v>
      </c>
      <c r="D3427">
        <v>67</v>
      </c>
      <c r="E3427">
        <v>0</v>
      </c>
      <c r="F3427">
        <v>0</v>
      </c>
      <c r="G3427">
        <v>7</v>
      </c>
      <c r="H3427" s="4">
        <v>1570540484247</v>
      </c>
      <c r="I3427">
        <v>526.6875</v>
      </c>
      <c r="J3427" s="9">
        <f t="shared" si="53"/>
        <v>43746.843567673604</v>
      </c>
      <c r="K3427" s="1"/>
    </row>
    <row r="3428" spans="1:11" x14ac:dyDescent="0.25">
      <c r="A3428" t="e">
        <f>-LqfVWBOR0CxmMs4G7f3</f>
        <v>#NAME?</v>
      </c>
      <c r="B3428">
        <v>393.75</v>
      </c>
      <c r="C3428">
        <v>20.531590000000001</v>
      </c>
      <c r="D3428">
        <v>68</v>
      </c>
      <c r="E3428">
        <v>0</v>
      </c>
      <c r="F3428">
        <v>0</v>
      </c>
      <c r="G3428">
        <v>5</v>
      </c>
      <c r="H3428" s="4">
        <v>1570540490388</v>
      </c>
      <c r="I3428">
        <v>526.6875</v>
      </c>
      <c r="J3428" s="9">
        <f t="shared" si="53"/>
        <v>43746.843638749997</v>
      </c>
      <c r="K3428" s="1"/>
    </row>
    <row r="3429" spans="1:11" x14ac:dyDescent="0.25">
      <c r="A3429" t="e">
        <f>-LqfVXkFSfVG_c_pcmJz</f>
        <v>#NAME?</v>
      </c>
      <c r="B3429">
        <v>412.5</v>
      </c>
      <c r="C3429">
        <v>20.531590000000001</v>
      </c>
      <c r="D3429">
        <v>67</v>
      </c>
      <c r="E3429">
        <v>0</v>
      </c>
      <c r="F3429">
        <v>0</v>
      </c>
      <c r="G3429">
        <v>8</v>
      </c>
      <c r="H3429" s="4">
        <v>1570540496597</v>
      </c>
      <c r="I3429">
        <v>532.3125</v>
      </c>
      <c r="J3429" s="9">
        <f t="shared" si="53"/>
        <v>43746.843710613422</v>
      </c>
      <c r="K3429" s="1"/>
    </row>
    <row r="3430" spans="1:11" x14ac:dyDescent="0.25">
      <c r="A3430" t="e">
        <f>-LqfVZTEHQyafDq9qegG</f>
        <v>#NAME?</v>
      </c>
      <c r="B3430">
        <v>393.75</v>
      </c>
      <c r="C3430">
        <v>20.531590000000001</v>
      </c>
      <c r="D3430">
        <v>67</v>
      </c>
      <c r="E3430">
        <v>0</v>
      </c>
      <c r="F3430">
        <v>0</v>
      </c>
      <c r="G3430">
        <v>9</v>
      </c>
      <c r="H3430" s="4">
        <v>1570540503787</v>
      </c>
      <c r="I3430">
        <v>526.5</v>
      </c>
      <c r="J3430" s="9">
        <f t="shared" si="53"/>
        <v>43746.843793831016</v>
      </c>
      <c r="K3430" s="1"/>
    </row>
    <row r="3431" spans="1:11" x14ac:dyDescent="0.25">
      <c r="A3431" t="e">
        <f>-LqfVa1ETHP87-jxBnWR</f>
        <v>#NAME?</v>
      </c>
      <c r="B3431">
        <v>393.75</v>
      </c>
      <c r="C3431">
        <v>20.531590000000001</v>
      </c>
      <c r="D3431">
        <v>68</v>
      </c>
      <c r="E3431">
        <v>0</v>
      </c>
      <c r="F3431">
        <v>0</v>
      </c>
      <c r="G3431">
        <v>6</v>
      </c>
      <c r="H3431" s="4">
        <v>1570540509988</v>
      </c>
      <c r="I3431">
        <v>526.5</v>
      </c>
      <c r="J3431" s="9">
        <f t="shared" si="53"/>
        <v>43746.843865601848</v>
      </c>
      <c r="K3431" s="1"/>
    </row>
    <row r="3432" spans="1:11" x14ac:dyDescent="0.25">
      <c r="A3432" t="e">
        <f>-LqfVbkETnJOib45zbEC</f>
        <v>#NAME?</v>
      </c>
      <c r="B3432">
        <v>418.75</v>
      </c>
      <c r="C3432">
        <v>20.584240000000001</v>
      </c>
      <c r="D3432">
        <v>67</v>
      </c>
      <c r="E3432">
        <v>0</v>
      </c>
      <c r="F3432">
        <v>0</v>
      </c>
      <c r="G3432">
        <v>0</v>
      </c>
      <c r="H3432" s="4">
        <v>1570540517211</v>
      </c>
      <c r="I3432">
        <v>534.1875</v>
      </c>
      <c r="J3432" s="9">
        <f t="shared" si="53"/>
        <v>43746.843949201386</v>
      </c>
      <c r="K3432" s="1"/>
    </row>
    <row r="3433" spans="1:11" x14ac:dyDescent="0.25">
      <c r="A3433" t="e">
        <f>-LqfVdYFQs2PlZayPF74</f>
        <v>#NAME?</v>
      </c>
      <c r="B3433">
        <v>393.75</v>
      </c>
      <c r="C3433">
        <v>20.584240000000001</v>
      </c>
      <c r="D3433">
        <v>70</v>
      </c>
      <c r="E3433">
        <v>0</v>
      </c>
      <c r="F3433">
        <v>0</v>
      </c>
      <c r="G3433">
        <v>6</v>
      </c>
      <c r="H3433" s="4">
        <v>1570540524418</v>
      </c>
      <c r="I3433">
        <v>526.5</v>
      </c>
      <c r="J3433" s="9">
        <f t="shared" si="53"/>
        <v>43746.844032615736</v>
      </c>
      <c r="K3433" s="1"/>
    </row>
    <row r="3434" spans="1:11" x14ac:dyDescent="0.25">
      <c r="A3434" t="e">
        <f>-LqfVfGNYtJCo40LOGzu</f>
        <v>#NAME?</v>
      </c>
      <c r="B3434">
        <v>393.75</v>
      </c>
      <c r="C3434">
        <v>20.531590000000001</v>
      </c>
      <c r="D3434">
        <v>72</v>
      </c>
      <c r="E3434">
        <v>0</v>
      </c>
      <c r="F3434">
        <v>0</v>
      </c>
      <c r="G3434">
        <v>11</v>
      </c>
      <c r="H3434" s="4">
        <v>1570540531607</v>
      </c>
      <c r="I3434">
        <v>526.5</v>
      </c>
      <c r="J3434" s="9">
        <f t="shared" si="53"/>
        <v>43746.844115821754</v>
      </c>
      <c r="K3434" s="1"/>
    </row>
    <row r="3435" spans="1:11" x14ac:dyDescent="0.25">
      <c r="A3435" t="e">
        <f>-LqfVgpE1-L0vDZfmCEc</f>
        <v>#NAME?</v>
      </c>
      <c r="B3435">
        <v>393.75</v>
      </c>
      <c r="C3435">
        <v>20.531590000000001</v>
      </c>
      <c r="D3435">
        <v>72</v>
      </c>
      <c r="E3435">
        <v>0</v>
      </c>
      <c r="F3435">
        <v>0</v>
      </c>
      <c r="G3435">
        <v>6</v>
      </c>
      <c r="H3435" s="4">
        <v>1570540537797</v>
      </c>
      <c r="I3435">
        <v>526.6875</v>
      </c>
      <c r="J3435" s="9">
        <f t="shared" si="53"/>
        <v>43746.844187465271</v>
      </c>
      <c r="K3435" s="1"/>
    </row>
    <row r="3436" spans="1:11" x14ac:dyDescent="0.25">
      <c r="A3436" t="e">
        <f>-LqfViYEJkveAvS7OqXn</f>
        <v>#NAME?</v>
      </c>
      <c r="B3436">
        <v>393.75</v>
      </c>
      <c r="C3436">
        <v>20.584240000000001</v>
      </c>
      <c r="D3436">
        <v>65</v>
      </c>
      <c r="E3436">
        <v>0</v>
      </c>
      <c r="F3436">
        <v>0</v>
      </c>
      <c r="G3436">
        <v>3</v>
      </c>
      <c r="H3436" s="4">
        <v>1570540545046</v>
      </c>
      <c r="I3436">
        <v>526.6875</v>
      </c>
      <c r="J3436" s="9">
        <f t="shared" si="53"/>
        <v>43746.844271365735</v>
      </c>
      <c r="K3436" s="1"/>
    </row>
    <row r="3437" spans="1:11" x14ac:dyDescent="0.25">
      <c r="A3437" t="e">
        <f>-LqfVkLFvguESvZB63bM</f>
        <v>#NAME?</v>
      </c>
      <c r="B3437">
        <v>393.75</v>
      </c>
      <c r="C3437">
        <v>20.478950000000001</v>
      </c>
      <c r="D3437">
        <v>63</v>
      </c>
      <c r="E3437">
        <v>0</v>
      </c>
      <c r="F3437">
        <v>0</v>
      </c>
      <c r="G3437">
        <v>9</v>
      </c>
      <c r="H3437" s="4">
        <v>1570540552240</v>
      </c>
      <c r="I3437">
        <v>526.6875</v>
      </c>
      <c r="J3437" s="9">
        <f t="shared" si="53"/>
        <v>43746.844354629626</v>
      </c>
      <c r="K3437" s="1"/>
    </row>
    <row r="3438" spans="1:11" x14ac:dyDescent="0.25">
      <c r="A3438" t="e">
        <f>-LqfVm3FwqMV73BsU6CG</f>
        <v>#NAME?</v>
      </c>
      <c r="B3438">
        <v>393.75</v>
      </c>
      <c r="C3438">
        <v>20.478950000000001</v>
      </c>
      <c r="D3438">
        <v>63</v>
      </c>
      <c r="E3438">
        <v>0</v>
      </c>
      <c r="F3438">
        <v>0</v>
      </c>
      <c r="G3438">
        <v>3</v>
      </c>
      <c r="H3438" s="4">
        <v>1570540559448</v>
      </c>
      <c r="I3438">
        <v>526.6875</v>
      </c>
      <c r="J3438" s="9">
        <f t="shared" si="53"/>
        <v>43746.844438055552</v>
      </c>
      <c r="K3438" s="1"/>
    </row>
    <row r="3439" spans="1:11" x14ac:dyDescent="0.25">
      <c r="A3439" t="e">
        <f>-LqfVnrE2OkZGhQZYgDr</f>
        <v>#NAME?</v>
      </c>
      <c r="B3439">
        <v>393.75</v>
      </c>
      <c r="C3439">
        <v>20.584240000000001</v>
      </c>
      <c r="D3439">
        <v>64</v>
      </c>
      <c r="E3439">
        <v>0</v>
      </c>
      <c r="F3439">
        <v>0</v>
      </c>
      <c r="G3439">
        <v>11</v>
      </c>
      <c r="H3439" s="4">
        <v>1570540566667</v>
      </c>
      <c r="I3439">
        <v>526.5</v>
      </c>
      <c r="J3439" s="9">
        <f t="shared" si="53"/>
        <v>43746.844521608793</v>
      </c>
      <c r="K3439" s="1"/>
    </row>
    <row r="3440" spans="1:11" x14ac:dyDescent="0.25">
      <c r="A3440" t="e">
        <f>-LqfVp_Fb_UbztaUnNV2</f>
        <v>#NAME?</v>
      </c>
      <c r="B3440">
        <v>393.75</v>
      </c>
      <c r="C3440">
        <v>20.584240000000001</v>
      </c>
      <c r="D3440">
        <v>66</v>
      </c>
      <c r="E3440">
        <v>0</v>
      </c>
      <c r="F3440">
        <v>0</v>
      </c>
      <c r="G3440">
        <v>0</v>
      </c>
      <c r="H3440" s="4">
        <v>1570540573857</v>
      </c>
      <c r="I3440">
        <v>526.6875</v>
      </c>
      <c r="J3440" s="9">
        <f t="shared" si="53"/>
        <v>43746.844604826387</v>
      </c>
      <c r="K3440" s="1"/>
    </row>
    <row r="3441" spans="1:11" x14ac:dyDescent="0.25">
      <c r="A3441" t="e">
        <f>-LqfVr88BtlcWv8_D4Vx</f>
        <v>#NAME?</v>
      </c>
      <c r="B3441">
        <v>393.75</v>
      </c>
      <c r="C3441">
        <v>20.584240000000001</v>
      </c>
      <c r="D3441">
        <v>66</v>
      </c>
      <c r="E3441">
        <v>0</v>
      </c>
      <c r="F3441">
        <v>0</v>
      </c>
      <c r="G3441">
        <v>6</v>
      </c>
      <c r="H3441" s="4">
        <v>1570540580076</v>
      </c>
      <c r="I3441">
        <v>526.6875</v>
      </c>
      <c r="J3441" s="9">
        <f t="shared" si="53"/>
        <v>43746.844676805551</v>
      </c>
      <c r="K3441" s="1"/>
    </row>
    <row r="3442" spans="1:11" x14ac:dyDescent="0.25">
      <c r="A3442" t="e">
        <f>-LqfVt3r80lK2_Uhkdlj</f>
        <v>#NAME?</v>
      </c>
      <c r="B3442">
        <v>393.75</v>
      </c>
      <c r="C3442">
        <v>20.531590000000001</v>
      </c>
      <c r="D3442">
        <v>68</v>
      </c>
      <c r="E3442">
        <v>0</v>
      </c>
      <c r="F3442">
        <v>0</v>
      </c>
      <c r="G3442">
        <v>10</v>
      </c>
      <c r="H3442" s="4">
        <v>1570540588106</v>
      </c>
      <c r="I3442">
        <v>526.6875</v>
      </c>
      <c r="J3442" s="9">
        <f t="shared" si="53"/>
        <v>43746.844769745367</v>
      </c>
      <c r="K3442" s="1"/>
    </row>
    <row r="3443" spans="1:11" x14ac:dyDescent="0.25">
      <c r="A3443" t="e">
        <f>-LqfVueh1VZ_LayGBPCI</f>
        <v>#NAME?</v>
      </c>
      <c r="B3443">
        <v>393.75</v>
      </c>
      <c r="C3443">
        <v>20.531590000000001</v>
      </c>
      <c r="D3443">
        <v>68</v>
      </c>
      <c r="E3443">
        <v>0</v>
      </c>
      <c r="F3443">
        <v>0</v>
      </c>
      <c r="G3443">
        <v>4</v>
      </c>
      <c r="H3443" s="4">
        <v>1570540594497</v>
      </c>
      <c r="I3443">
        <v>526.6875</v>
      </c>
      <c r="J3443" s="9">
        <f t="shared" si="53"/>
        <v>43746.844843715277</v>
      </c>
      <c r="K3443" s="1"/>
    </row>
    <row r="3444" spans="1:11" x14ac:dyDescent="0.25">
      <c r="A3444" t="e">
        <f>-LqfVwNE_lAkIIbKfYY6</f>
        <v>#NAME?</v>
      </c>
      <c r="B3444">
        <v>393.75</v>
      </c>
      <c r="C3444">
        <v>20.531590000000001</v>
      </c>
      <c r="D3444">
        <v>68</v>
      </c>
      <c r="E3444">
        <v>0</v>
      </c>
      <c r="F3444">
        <v>0</v>
      </c>
      <c r="G3444">
        <v>10</v>
      </c>
      <c r="H3444" s="4">
        <v>1570540601687</v>
      </c>
      <c r="I3444">
        <v>526.5</v>
      </c>
      <c r="J3444" s="9">
        <f t="shared" si="53"/>
        <v>43746.844926932863</v>
      </c>
      <c r="K3444" s="1"/>
    </row>
    <row r="3445" spans="1:11" x14ac:dyDescent="0.25">
      <c r="A3445" t="e">
        <f>-LqfVyHd4KFMUXe2xy6K</f>
        <v>#NAME?</v>
      </c>
      <c r="B3445">
        <v>393.75</v>
      </c>
      <c r="C3445">
        <v>20.584240000000001</v>
      </c>
      <c r="D3445">
        <v>68</v>
      </c>
      <c r="E3445">
        <v>0</v>
      </c>
      <c r="F3445">
        <v>0</v>
      </c>
      <c r="G3445">
        <v>13</v>
      </c>
      <c r="H3445" s="4">
        <v>1570540607878</v>
      </c>
      <c r="I3445">
        <v>526.6875</v>
      </c>
      <c r="J3445" s="9">
        <f t="shared" si="53"/>
        <v>43746.844998587963</v>
      </c>
      <c r="K3445" s="1"/>
    </row>
    <row r="3446" spans="1:11" x14ac:dyDescent="0.25">
      <c r="A3446" t="e">
        <f>-LqfVztFbC5OMFTYM5v5</f>
        <v>#NAME?</v>
      </c>
      <c r="B3446">
        <v>393.75</v>
      </c>
      <c r="C3446">
        <v>20.531590000000001</v>
      </c>
      <c r="D3446">
        <v>68</v>
      </c>
      <c r="E3446">
        <v>0</v>
      </c>
      <c r="F3446">
        <v>0</v>
      </c>
      <c r="G3446">
        <v>3</v>
      </c>
      <c r="H3446" s="4">
        <v>1570540616148</v>
      </c>
      <c r="I3446">
        <v>526.6875</v>
      </c>
      <c r="J3446" s="9">
        <f t="shared" si="53"/>
        <v>43746.845094305558</v>
      </c>
      <c r="K3446" s="1"/>
    </row>
    <row r="3447" spans="1:11" x14ac:dyDescent="0.25">
      <c r="A3447" t="e">
        <f>-LqfW0TWfvcSa-DrbCLk</f>
        <v>#NAME?</v>
      </c>
      <c r="B3447">
        <v>412.5</v>
      </c>
      <c r="C3447">
        <v>20.531590000000001</v>
      </c>
      <c r="D3447">
        <v>68</v>
      </c>
      <c r="E3447">
        <v>0</v>
      </c>
      <c r="F3447">
        <v>0</v>
      </c>
      <c r="G3447">
        <v>0</v>
      </c>
      <c r="H3447" s="4">
        <v>1570540622329</v>
      </c>
      <c r="I3447">
        <v>532.3125</v>
      </c>
      <c r="J3447" s="9">
        <f t="shared" si="53"/>
        <v>43746.845165844905</v>
      </c>
      <c r="K3447" s="1"/>
    </row>
    <row r="3448" spans="1:11" x14ac:dyDescent="0.25">
      <c r="A3448" t="e">
        <f>-LqfW2APTFad2E--gmrK</f>
        <v>#NAME?</v>
      </c>
      <c r="B3448">
        <v>393.75</v>
      </c>
      <c r="C3448">
        <v>20.531590000000001</v>
      </c>
      <c r="D3448">
        <v>67</v>
      </c>
      <c r="E3448">
        <v>0</v>
      </c>
      <c r="F3448">
        <v>0</v>
      </c>
      <c r="G3448">
        <v>9</v>
      </c>
      <c r="H3448" s="4">
        <v>1570540629528</v>
      </c>
      <c r="I3448">
        <v>526.6875</v>
      </c>
      <c r="J3448" s="9">
        <f t="shared" si="53"/>
        <v>43746.845249166661</v>
      </c>
      <c r="K3448" s="1"/>
    </row>
    <row r="3449" spans="1:11" x14ac:dyDescent="0.25">
      <c r="A3449" t="e">
        <f>-LqfW4DD38GatmQ61ln8</f>
        <v>#NAME?</v>
      </c>
      <c r="B3449">
        <v>393.75</v>
      </c>
      <c r="C3449">
        <v>20.478950000000001</v>
      </c>
      <c r="D3449">
        <v>66</v>
      </c>
      <c r="E3449">
        <v>0</v>
      </c>
      <c r="F3449">
        <v>0</v>
      </c>
      <c r="G3449">
        <v>4</v>
      </c>
      <c r="H3449" s="4">
        <v>1570540636737</v>
      </c>
      <c r="I3449">
        <v>526.6875</v>
      </c>
      <c r="J3449" s="9">
        <f t="shared" si="53"/>
        <v>43746.845332604164</v>
      </c>
      <c r="K3449" s="1"/>
    </row>
    <row r="3450" spans="1:11" x14ac:dyDescent="0.25">
      <c r="A3450" t="e">
        <f>-LqfW6-IjNiFjLyXbixA</f>
        <v>#NAME?</v>
      </c>
      <c r="B3450">
        <v>393.75</v>
      </c>
      <c r="C3450">
        <v>20.531590000000001</v>
      </c>
      <c r="D3450">
        <v>66</v>
      </c>
      <c r="E3450">
        <v>0</v>
      </c>
      <c r="F3450">
        <v>0</v>
      </c>
      <c r="G3450">
        <v>15</v>
      </c>
      <c r="H3450" s="4">
        <v>1570540644988</v>
      </c>
      <c r="I3450">
        <v>526.5</v>
      </c>
      <c r="J3450" s="9">
        <f t="shared" si="53"/>
        <v>43746.845428101849</v>
      </c>
      <c r="K3450" s="1"/>
    </row>
    <row r="3451" spans="1:11" x14ac:dyDescent="0.25">
      <c r="A3451" t="e">
        <f>-LqfW7iFqqTNswpJ9EkV</f>
        <v>#NAME?</v>
      </c>
      <c r="B3451">
        <v>393.75</v>
      </c>
      <c r="C3451">
        <v>20.531590000000001</v>
      </c>
      <c r="D3451">
        <v>66</v>
      </c>
      <c r="E3451">
        <v>0</v>
      </c>
      <c r="F3451">
        <v>0</v>
      </c>
      <c r="G3451">
        <v>10</v>
      </c>
      <c r="H3451" s="4">
        <v>1570540652207</v>
      </c>
      <c r="I3451">
        <v>526.6875</v>
      </c>
      <c r="J3451" s="9">
        <f t="shared" si="53"/>
        <v>43746.84551165509</v>
      </c>
      <c r="K3451" s="1"/>
    </row>
    <row r="3452" spans="1:11" x14ac:dyDescent="0.25">
      <c r="A3452" t="e">
        <f>-LqfW9WGwK7f1Vr_nRXk</f>
        <v>#NAME?</v>
      </c>
      <c r="B3452">
        <v>393.75</v>
      </c>
      <c r="C3452">
        <v>20.531590000000001</v>
      </c>
      <c r="D3452">
        <v>67</v>
      </c>
      <c r="E3452">
        <v>0</v>
      </c>
      <c r="F3452">
        <v>0</v>
      </c>
      <c r="G3452">
        <v>8</v>
      </c>
      <c r="H3452" s="4">
        <v>1570540659388</v>
      </c>
      <c r="I3452">
        <v>526.6875</v>
      </c>
      <c r="J3452" s="9">
        <f t="shared" si="53"/>
        <v>43746.845594768514</v>
      </c>
      <c r="K3452" s="1"/>
    </row>
    <row r="3453" spans="1:11" x14ac:dyDescent="0.25">
      <c r="A3453" t="e">
        <f>-LqfWBE8qCUQDrol8_yM</f>
        <v>#NAME?</v>
      </c>
      <c r="B3453">
        <v>393.75</v>
      </c>
      <c r="C3453">
        <v>20.584240000000001</v>
      </c>
      <c r="D3453">
        <v>66</v>
      </c>
      <c r="E3453">
        <v>0</v>
      </c>
      <c r="F3453">
        <v>0</v>
      </c>
      <c r="G3453">
        <v>11</v>
      </c>
      <c r="H3453" s="4">
        <v>1570540666648</v>
      </c>
      <c r="I3453">
        <v>526.6875</v>
      </c>
      <c r="J3453" s="9">
        <f t="shared" si="53"/>
        <v>43746.845678796293</v>
      </c>
      <c r="K3453" s="1"/>
    </row>
    <row r="3454" spans="1:11" x14ac:dyDescent="0.25">
      <c r="A3454" t="e">
        <f>-LqfWCnEZMcsY0UypEs0</f>
        <v>#NAME?</v>
      </c>
      <c r="B3454">
        <v>393.75</v>
      </c>
      <c r="C3454">
        <v>20.584240000000001</v>
      </c>
      <c r="D3454">
        <v>67</v>
      </c>
      <c r="E3454">
        <v>0</v>
      </c>
      <c r="F3454">
        <v>0</v>
      </c>
      <c r="G3454">
        <v>6</v>
      </c>
      <c r="H3454" s="4">
        <v>1570540672818</v>
      </c>
      <c r="I3454">
        <v>526.6875</v>
      </c>
      <c r="J3454" s="9">
        <f t="shared" si="53"/>
        <v>43746.845750208326</v>
      </c>
      <c r="K3454" s="1"/>
    </row>
    <row r="3455" spans="1:11" x14ac:dyDescent="0.25">
      <c r="A3455" t="e">
        <f>-LqfWEWEMWvVlOgHiADQ</f>
        <v>#NAME?</v>
      </c>
      <c r="B3455">
        <v>393.75</v>
      </c>
      <c r="C3455">
        <v>20.584240000000001</v>
      </c>
      <c r="D3455">
        <v>67</v>
      </c>
      <c r="E3455">
        <v>0</v>
      </c>
      <c r="F3455">
        <v>0</v>
      </c>
      <c r="G3455">
        <v>9</v>
      </c>
      <c r="H3455" s="4">
        <v>1570540680028</v>
      </c>
      <c r="I3455">
        <v>526.6875</v>
      </c>
      <c r="J3455" s="9">
        <f t="shared" si="53"/>
        <v>43746.845833657404</v>
      </c>
      <c r="K3455" s="1"/>
    </row>
    <row r="3456" spans="1:11" x14ac:dyDescent="0.25">
      <c r="A3456" t="e">
        <f>-LqfWGcP1IECdQkN1uRB</f>
        <v>#NAME?</v>
      </c>
      <c r="B3456">
        <v>393.75</v>
      </c>
      <c r="C3456">
        <v>20.584240000000001</v>
      </c>
      <c r="D3456">
        <v>67</v>
      </c>
      <c r="E3456">
        <v>0</v>
      </c>
      <c r="F3456">
        <v>0</v>
      </c>
      <c r="G3456">
        <v>10</v>
      </c>
      <c r="H3456" s="4">
        <v>1570540687247</v>
      </c>
      <c r="I3456">
        <v>526.6875</v>
      </c>
      <c r="J3456" s="9">
        <f t="shared" si="53"/>
        <v>43746.845917210645</v>
      </c>
      <c r="K3456" s="1"/>
    </row>
    <row r="3457" spans="1:11" x14ac:dyDescent="0.25">
      <c r="A3457" t="e">
        <f>-LqfWIGEwDJLdeDZR9ap</f>
        <v>#NAME?</v>
      </c>
      <c r="B3457">
        <v>393.75</v>
      </c>
      <c r="C3457">
        <v>20.478950000000001</v>
      </c>
      <c r="D3457">
        <v>68</v>
      </c>
      <c r="E3457">
        <v>0</v>
      </c>
      <c r="F3457">
        <v>0</v>
      </c>
      <c r="G3457">
        <v>8</v>
      </c>
      <c r="H3457" s="4">
        <v>1570540695461</v>
      </c>
      <c r="I3457">
        <v>526.6875</v>
      </c>
      <c r="J3457" s="9">
        <f t="shared" si="53"/>
        <v>43746.84601228009</v>
      </c>
      <c r="K3457" s="1"/>
    </row>
    <row r="3458" spans="1:11" x14ac:dyDescent="0.25">
      <c r="A3458" t="e">
        <f>-LqfWJoKqI9kNpxXdvI_</f>
        <v>#NAME?</v>
      </c>
      <c r="B3458">
        <v>393.75</v>
      </c>
      <c r="C3458">
        <v>20.584240000000001</v>
      </c>
      <c r="D3458">
        <v>68</v>
      </c>
      <c r="E3458">
        <v>0</v>
      </c>
      <c r="F3458">
        <v>0</v>
      </c>
      <c r="G3458">
        <v>1</v>
      </c>
      <c r="H3458" s="4">
        <v>1570540701637</v>
      </c>
      <c r="I3458">
        <v>526.5</v>
      </c>
      <c r="J3458" s="9">
        <f t="shared" si="53"/>
        <v>43746.846083761571</v>
      </c>
      <c r="K3458" s="1"/>
    </row>
    <row r="3459" spans="1:11" x14ac:dyDescent="0.25">
      <c r="A3459" t="e">
        <f>-LqfWLobcjm1HJxcGjZq</f>
        <v>#NAME?</v>
      </c>
      <c r="B3459">
        <v>393.75</v>
      </c>
      <c r="C3459">
        <v>20.584240000000001</v>
      </c>
      <c r="D3459">
        <v>70</v>
      </c>
      <c r="E3459">
        <v>0</v>
      </c>
      <c r="F3459">
        <v>0</v>
      </c>
      <c r="G3459">
        <v>15</v>
      </c>
      <c r="H3459" s="4">
        <v>1570540708887</v>
      </c>
      <c r="I3459">
        <v>526.6875</v>
      </c>
      <c r="J3459" s="9">
        <f t="shared" ref="J3459:J3522" si="54">(H3459/86400000)+25569+(7/24)</f>
        <v>43746.846167673611</v>
      </c>
      <c r="K3459" s="1"/>
    </row>
    <row r="3460" spans="1:11" x14ac:dyDescent="0.25">
      <c r="A3460" t="e">
        <f>-LqfWNLFy5H23V5gOhmJ</f>
        <v>#NAME?</v>
      </c>
      <c r="B3460">
        <v>393.75</v>
      </c>
      <c r="C3460">
        <v>20.584240000000001</v>
      </c>
      <c r="D3460">
        <v>70</v>
      </c>
      <c r="E3460">
        <v>0</v>
      </c>
      <c r="F3460">
        <v>0</v>
      </c>
      <c r="G3460">
        <v>7</v>
      </c>
      <c r="H3460" s="4">
        <v>1570540716096</v>
      </c>
      <c r="I3460">
        <v>526.6875</v>
      </c>
      <c r="J3460" s="9">
        <f t="shared" si="54"/>
        <v>43746.846251111107</v>
      </c>
      <c r="K3460" s="1"/>
    </row>
    <row r="3461" spans="1:11" x14ac:dyDescent="0.25">
      <c r="A3461" t="e">
        <f>-LqfWP3D3J7tmsvZm21A</f>
        <v>#NAME?</v>
      </c>
      <c r="B3461">
        <v>434.375</v>
      </c>
      <c r="C3461">
        <v>20.531590000000001</v>
      </c>
      <c r="D3461">
        <v>70</v>
      </c>
      <c r="E3461">
        <v>0</v>
      </c>
      <c r="F3461">
        <v>0</v>
      </c>
      <c r="G3461">
        <v>10</v>
      </c>
      <c r="H3461" s="4">
        <v>1570540723289</v>
      </c>
      <c r="I3461">
        <v>539.0625</v>
      </c>
      <c r="J3461" s="9">
        <f t="shared" si="54"/>
        <v>43746.846334363428</v>
      </c>
      <c r="K3461" s="1"/>
    </row>
    <row r="3462" spans="1:11" x14ac:dyDescent="0.25">
      <c r="A3462" t="e">
        <f>-LqfWQcDjRG3IAGYTHU5</f>
        <v>#NAME?</v>
      </c>
      <c r="B3462">
        <v>393.75</v>
      </c>
      <c r="C3462">
        <v>20.531590000000001</v>
      </c>
      <c r="D3462">
        <v>69</v>
      </c>
      <c r="E3462">
        <v>0</v>
      </c>
      <c r="F3462">
        <v>0</v>
      </c>
      <c r="G3462">
        <v>14</v>
      </c>
      <c r="H3462" s="4">
        <v>1570540729526</v>
      </c>
      <c r="I3462">
        <v>526.6875</v>
      </c>
      <c r="J3462" s="9">
        <f t="shared" si="54"/>
        <v>43746.846406550925</v>
      </c>
      <c r="K3462" s="1"/>
    </row>
    <row r="3463" spans="1:11" x14ac:dyDescent="0.25">
      <c r="A3463" t="e">
        <f>-LqfWSLEvxJ8CsCrxVVj</f>
        <v>#NAME?</v>
      </c>
      <c r="B3463">
        <v>393.75</v>
      </c>
      <c r="C3463">
        <v>20.478950000000001</v>
      </c>
      <c r="D3463">
        <v>70</v>
      </c>
      <c r="E3463">
        <v>0</v>
      </c>
      <c r="F3463">
        <v>0</v>
      </c>
      <c r="G3463">
        <v>1</v>
      </c>
      <c r="H3463" s="4">
        <v>1570540736727</v>
      </c>
      <c r="I3463">
        <v>526.6875</v>
      </c>
      <c r="J3463" s="9">
        <f t="shared" si="54"/>
        <v>43746.846489895826</v>
      </c>
      <c r="K3463" s="1"/>
    </row>
    <row r="3464" spans="1:11" x14ac:dyDescent="0.25">
      <c r="A3464" t="e">
        <f>-LqfWTyk1mndb4GbkW5x</f>
        <v>#NAME?</v>
      </c>
      <c r="B3464">
        <v>412.5</v>
      </c>
      <c r="C3464">
        <v>20.584240000000001</v>
      </c>
      <c r="D3464">
        <v>70</v>
      </c>
      <c r="E3464">
        <v>0</v>
      </c>
      <c r="F3464">
        <v>0</v>
      </c>
      <c r="G3464">
        <v>11</v>
      </c>
      <c r="H3464" s="4">
        <v>1570540743491</v>
      </c>
      <c r="I3464">
        <v>532.3125</v>
      </c>
      <c r="J3464" s="9">
        <f t="shared" si="54"/>
        <v>43746.846568182867</v>
      </c>
      <c r="K3464" s="1"/>
    </row>
    <row r="3465" spans="1:11" x14ac:dyDescent="0.25">
      <c r="A3465" t="e">
        <f>-LqfWVcE7rBxppDnAlYg</f>
        <v>#NAME?</v>
      </c>
      <c r="B3465">
        <v>393.75</v>
      </c>
      <c r="C3465">
        <v>20.584240000000001</v>
      </c>
      <c r="D3465">
        <v>69</v>
      </c>
      <c r="E3465">
        <v>0</v>
      </c>
      <c r="F3465">
        <v>0</v>
      </c>
      <c r="G3465">
        <v>11</v>
      </c>
      <c r="H3465" s="4">
        <v>1570540750107</v>
      </c>
      <c r="I3465">
        <v>526.5</v>
      </c>
      <c r="J3465" s="9">
        <f t="shared" si="54"/>
        <v>43746.846644756944</v>
      </c>
      <c r="K3465" s="1"/>
    </row>
    <row r="3466" spans="1:11" x14ac:dyDescent="0.25">
      <c r="A3466" t="e">
        <f>-LqfWX6FBRsMZ2ubnbRL</f>
        <v>#NAME?</v>
      </c>
      <c r="B3466">
        <v>393.75</v>
      </c>
      <c r="C3466">
        <v>20.531590000000001</v>
      </c>
      <c r="D3466">
        <v>68</v>
      </c>
      <c r="E3466">
        <v>0</v>
      </c>
      <c r="F3466">
        <v>0</v>
      </c>
      <c r="G3466">
        <v>5</v>
      </c>
      <c r="H3466" s="4">
        <v>1570540756257</v>
      </c>
      <c r="I3466">
        <v>526.6875</v>
      </c>
      <c r="J3466" s="9">
        <f t="shared" si="54"/>
        <v>43746.846715937492</v>
      </c>
      <c r="K3466" s="1"/>
    </row>
    <row r="3467" spans="1:11" x14ac:dyDescent="0.25">
      <c r="A3467" t="e">
        <f>-LqfWYfEpSA6M-FNT04f</f>
        <v>#NAME?</v>
      </c>
      <c r="B3467">
        <v>393.75</v>
      </c>
      <c r="C3467">
        <v>20.584240000000001</v>
      </c>
      <c r="D3467">
        <v>68</v>
      </c>
      <c r="E3467">
        <v>0</v>
      </c>
      <c r="F3467">
        <v>0</v>
      </c>
      <c r="G3467">
        <v>8</v>
      </c>
      <c r="H3467" s="4">
        <v>1570540762438</v>
      </c>
      <c r="I3467">
        <v>526.6875</v>
      </c>
      <c r="J3467" s="9">
        <f t="shared" si="54"/>
        <v>43746.846787476847</v>
      </c>
      <c r="K3467" s="1"/>
    </row>
    <row r="3468" spans="1:11" x14ac:dyDescent="0.25">
      <c r="A3468" t="e">
        <f>-LqfW_dT6JL7DopCpSGp</f>
        <v>#NAME?</v>
      </c>
      <c r="B3468">
        <v>393.75</v>
      </c>
      <c r="C3468">
        <v>20.531590000000001</v>
      </c>
      <c r="D3468">
        <v>68</v>
      </c>
      <c r="E3468">
        <v>0</v>
      </c>
      <c r="F3468">
        <v>0</v>
      </c>
      <c r="G3468">
        <v>12</v>
      </c>
      <c r="H3468" s="4">
        <v>1570540770584</v>
      </c>
      <c r="I3468">
        <v>526.6875</v>
      </c>
      <c r="J3468" s="9">
        <f t="shared" si="54"/>
        <v>43746.846881759258</v>
      </c>
      <c r="K3468" s="1"/>
    </row>
    <row r="3469" spans="1:11" x14ac:dyDescent="0.25">
      <c r="A3469" t="e">
        <f>-LqfWbBFc5kh8xGFxKMg</f>
        <v>#NAME?</v>
      </c>
      <c r="B3469">
        <v>393.75</v>
      </c>
      <c r="C3469">
        <v>20.584240000000001</v>
      </c>
      <c r="D3469">
        <v>69</v>
      </c>
      <c r="E3469">
        <v>0</v>
      </c>
      <c r="F3469">
        <v>0</v>
      </c>
      <c r="G3469">
        <v>5</v>
      </c>
      <c r="H3469" s="4">
        <v>1570540776888</v>
      </c>
      <c r="I3469">
        <v>526.6875</v>
      </c>
      <c r="J3469" s="9">
        <f t="shared" si="54"/>
        <v>43746.846954722219</v>
      </c>
      <c r="K3469" s="1"/>
    </row>
    <row r="3470" spans="1:11" x14ac:dyDescent="0.25">
      <c r="A3470" t="e">
        <f>-LqfWcuDYBHkm0Rl89_7</f>
        <v>#NAME?</v>
      </c>
      <c r="B3470">
        <v>393.75</v>
      </c>
      <c r="C3470">
        <v>20.584240000000001</v>
      </c>
      <c r="D3470">
        <v>68</v>
      </c>
      <c r="E3470">
        <v>0</v>
      </c>
      <c r="F3470">
        <v>0</v>
      </c>
      <c r="G3470">
        <v>11</v>
      </c>
      <c r="H3470" s="4">
        <v>1570540784086</v>
      </c>
      <c r="I3470">
        <v>526.6875</v>
      </c>
      <c r="J3470" s="9">
        <f t="shared" si="54"/>
        <v>43746.847038032407</v>
      </c>
      <c r="K3470" s="1"/>
    </row>
    <row r="3471" spans="1:11" x14ac:dyDescent="0.25">
      <c r="A3471" t="e">
        <f>-LqfWeTD58RNrdyrB7Vx</f>
        <v>#NAME?</v>
      </c>
      <c r="B3471">
        <v>393.75</v>
      </c>
      <c r="C3471">
        <v>20.584240000000001</v>
      </c>
      <c r="D3471">
        <v>67</v>
      </c>
      <c r="E3471">
        <v>0</v>
      </c>
      <c r="F3471">
        <v>0</v>
      </c>
      <c r="G3471">
        <v>10</v>
      </c>
      <c r="H3471" s="4">
        <v>1570540790287</v>
      </c>
      <c r="I3471">
        <v>526.6875</v>
      </c>
      <c r="J3471" s="9">
        <f t="shared" si="54"/>
        <v>43746.847109803239</v>
      </c>
      <c r="K3471" s="1"/>
    </row>
    <row r="3472" spans="1:11" x14ac:dyDescent="0.25">
      <c r="A3472" t="e">
        <f>-LqfWgK7bOLNkF47ZaeJ</f>
        <v>#NAME?</v>
      </c>
      <c r="B3472">
        <v>393.75</v>
      </c>
      <c r="C3472">
        <v>20.584240000000001</v>
      </c>
      <c r="D3472">
        <v>68</v>
      </c>
      <c r="E3472">
        <v>0</v>
      </c>
      <c r="F3472">
        <v>0</v>
      </c>
      <c r="G3472">
        <v>6</v>
      </c>
      <c r="H3472" s="4">
        <v>1570540798011</v>
      </c>
      <c r="I3472">
        <v>526.5</v>
      </c>
      <c r="J3472" s="9">
        <f t="shared" si="54"/>
        <v>43746.847199201387</v>
      </c>
      <c r="K3472" s="1"/>
    </row>
    <row r="3473" spans="1:11" x14ac:dyDescent="0.25">
      <c r="A3473" t="e">
        <f>-LqfWhzQUcvl8cjBzqta</f>
        <v>#NAME?</v>
      </c>
      <c r="B3473">
        <v>393.75</v>
      </c>
      <c r="C3473">
        <v>20.531590000000001</v>
      </c>
      <c r="D3473">
        <v>68</v>
      </c>
      <c r="E3473">
        <v>0</v>
      </c>
      <c r="F3473">
        <v>0</v>
      </c>
      <c r="G3473">
        <v>7</v>
      </c>
      <c r="H3473" s="4">
        <v>1570540804707</v>
      </c>
      <c r="I3473">
        <v>526.6875</v>
      </c>
      <c r="J3473" s="9">
        <f t="shared" si="54"/>
        <v>43746.847276701388</v>
      </c>
      <c r="K3473" s="1"/>
    </row>
    <row r="3474" spans="1:11" x14ac:dyDescent="0.25">
      <c r="A3474" t="e">
        <f>-LqfWjhDlPq_ysjMIHos</f>
        <v>#NAME?</v>
      </c>
      <c r="B3474">
        <v>393.75</v>
      </c>
      <c r="C3474">
        <v>20.584240000000001</v>
      </c>
      <c r="D3474">
        <v>68</v>
      </c>
      <c r="E3474">
        <v>0</v>
      </c>
      <c r="F3474">
        <v>0</v>
      </c>
      <c r="G3474">
        <v>7</v>
      </c>
      <c r="H3474" s="4">
        <v>1570540811927</v>
      </c>
      <c r="I3474">
        <v>526.6875</v>
      </c>
      <c r="J3474" s="9">
        <f t="shared" si="54"/>
        <v>43746.847360266205</v>
      </c>
      <c r="K3474" s="1"/>
    </row>
    <row r="3475" spans="1:11" x14ac:dyDescent="0.25">
      <c r="A3475" t="s">
        <v>180</v>
      </c>
      <c r="B3475">
        <v>412.5</v>
      </c>
      <c r="C3475">
        <v>20.531590000000001</v>
      </c>
      <c r="D3475">
        <v>68</v>
      </c>
      <c r="E3475">
        <v>0</v>
      </c>
      <c r="F3475">
        <v>0</v>
      </c>
      <c r="G3475">
        <v>3</v>
      </c>
      <c r="H3475" s="4">
        <v>1570540819138</v>
      </c>
      <c r="I3475">
        <v>532.5</v>
      </c>
      <c r="J3475" s="9">
        <f t="shared" si="54"/>
        <v>43746.847443726852</v>
      </c>
      <c r="K3475" s="1"/>
    </row>
    <row r="3476" spans="1:11" x14ac:dyDescent="0.25">
      <c r="A3476" t="e">
        <f>-LqfWnXP1fJDkMgQInyu</f>
        <v>#NAME?</v>
      </c>
      <c r="B3476">
        <v>393.75</v>
      </c>
      <c r="C3476">
        <v>20.531590000000001</v>
      </c>
      <c r="D3476">
        <v>66</v>
      </c>
      <c r="E3476">
        <v>0</v>
      </c>
      <c r="F3476">
        <v>0</v>
      </c>
      <c r="G3476">
        <v>9</v>
      </c>
      <c r="H3476" s="4">
        <v>1570540827388</v>
      </c>
      <c r="I3476">
        <v>526.6875</v>
      </c>
      <c r="J3476" s="9">
        <f t="shared" si="54"/>
        <v>43746.847539212962</v>
      </c>
      <c r="K3476" s="1"/>
    </row>
    <row r="3477" spans="1:11" x14ac:dyDescent="0.25">
      <c r="A3477" t="e">
        <f>-LqfWpFF03gMxAWVA1Ff</f>
        <v>#NAME?</v>
      </c>
      <c r="B3477">
        <v>393.75</v>
      </c>
      <c r="C3477">
        <v>20.531590000000001</v>
      </c>
      <c r="D3477">
        <v>65</v>
      </c>
      <c r="E3477">
        <v>0</v>
      </c>
      <c r="F3477">
        <v>0</v>
      </c>
      <c r="G3477">
        <v>11</v>
      </c>
      <c r="H3477" s="4">
        <v>1570540834598</v>
      </c>
      <c r="I3477">
        <v>526.6875</v>
      </c>
      <c r="J3477" s="9">
        <f t="shared" si="54"/>
        <v>43746.847622662033</v>
      </c>
      <c r="K3477" s="1"/>
    </row>
    <row r="3478" spans="1:11" x14ac:dyDescent="0.25">
      <c r="A3478" t="e">
        <f>-LqfWrarFQPV17XbS4_4</f>
        <v>#NAME?</v>
      </c>
      <c r="B3478">
        <v>393.75</v>
      </c>
      <c r="C3478">
        <v>20.531590000000001</v>
      </c>
      <c r="D3478">
        <v>65</v>
      </c>
      <c r="E3478">
        <v>0</v>
      </c>
      <c r="F3478">
        <v>0</v>
      </c>
      <c r="G3478">
        <v>8</v>
      </c>
      <c r="H3478" s="4">
        <v>1570540844128</v>
      </c>
      <c r="I3478">
        <v>526.6875</v>
      </c>
      <c r="J3478" s="9">
        <f t="shared" si="54"/>
        <v>43746.84773296296</v>
      </c>
      <c r="K3478" s="1"/>
    </row>
    <row r="3479" spans="1:11" x14ac:dyDescent="0.25">
      <c r="A3479" t="s">
        <v>181</v>
      </c>
      <c r="B3479">
        <v>393.75</v>
      </c>
      <c r="C3479">
        <v>20.531590000000001</v>
      </c>
      <c r="D3479">
        <v>67</v>
      </c>
      <c r="E3479">
        <v>0</v>
      </c>
      <c r="F3479">
        <v>0</v>
      </c>
      <c r="G3479">
        <v>8</v>
      </c>
      <c r="H3479" s="4">
        <v>1570540851088</v>
      </c>
      <c r="I3479">
        <v>526.6875</v>
      </c>
      <c r="J3479" s="9">
        <f t="shared" si="54"/>
        <v>43746.847813518521</v>
      </c>
      <c r="K3479" s="1"/>
    </row>
    <row r="3480" spans="1:11" x14ac:dyDescent="0.25">
      <c r="A3480" t="e">
        <f>-LqfWv1FxkOYJ7LgRjxz</f>
        <v>#NAME?</v>
      </c>
      <c r="B3480">
        <v>393.75</v>
      </c>
      <c r="C3480">
        <v>20.531590000000001</v>
      </c>
      <c r="D3480">
        <v>66</v>
      </c>
      <c r="E3480">
        <v>0</v>
      </c>
      <c r="F3480">
        <v>0</v>
      </c>
      <c r="G3480">
        <v>10</v>
      </c>
      <c r="H3480" s="4">
        <v>1570540858298</v>
      </c>
      <c r="I3480">
        <v>526.6875</v>
      </c>
      <c r="J3480" s="9">
        <f t="shared" si="54"/>
        <v>43746.847896967585</v>
      </c>
      <c r="K3480" s="1"/>
    </row>
    <row r="3481" spans="1:11" x14ac:dyDescent="0.25">
      <c r="A3481" t="e">
        <f>-LqfWwkEaKgB6quCWjVN</f>
        <v>#NAME?</v>
      </c>
      <c r="B3481">
        <v>393.75</v>
      </c>
      <c r="C3481">
        <v>20.531590000000001</v>
      </c>
      <c r="D3481">
        <v>67</v>
      </c>
      <c r="E3481">
        <v>0</v>
      </c>
      <c r="F3481">
        <v>0</v>
      </c>
      <c r="G3481">
        <v>7</v>
      </c>
      <c r="H3481" s="4">
        <v>1570540865506</v>
      </c>
      <c r="I3481">
        <v>526.5</v>
      </c>
      <c r="J3481" s="9">
        <f t="shared" si="54"/>
        <v>43746.847980393512</v>
      </c>
      <c r="K3481" s="1"/>
    </row>
    <row r="3482" spans="1:11" x14ac:dyDescent="0.25">
      <c r="A3482" t="e">
        <f>-LqfWyJFwC89OPciRz8S</f>
        <v>#NAME?</v>
      </c>
      <c r="B3482">
        <v>393.75</v>
      </c>
      <c r="C3482">
        <v>20.584240000000001</v>
      </c>
      <c r="D3482">
        <v>66</v>
      </c>
      <c r="E3482">
        <v>0</v>
      </c>
      <c r="F3482">
        <v>0</v>
      </c>
      <c r="G3482">
        <v>4</v>
      </c>
      <c r="H3482" s="4">
        <v>1570540871686</v>
      </c>
      <c r="I3482">
        <v>526.6875</v>
      </c>
      <c r="J3482" s="9">
        <f t="shared" si="54"/>
        <v>43746.848051921297</v>
      </c>
      <c r="K3482" s="1"/>
    </row>
    <row r="3483" spans="1:11" x14ac:dyDescent="0.25">
      <c r="A3483" t="s">
        <v>182</v>
      </c>
      <c r="B3483">
        <v>393.75</v>
      </c>
      <c r="C3483">
        <v>20.531590000000001</v>
      </c>
      <c r="D3483">
        <v>66</v>
      </c>
      <c r="E3483">
        <v>0</v>
      </c>
      <c r="F3483">
        <v>0</v>
      </c>
      <c r="G3483">
        <v>3</v>
      </c>
      <c r="H3483" s="4">
        <v>1570540878898</v>
      </c>
      <c r="I3483">
        <v>526.6875</v>
      </c>
      <c r="J3483" s="9">
        <f t="shared" si="54"/>
        <v>43746.848135393513</v>
      </c>
      <c r="K3483" s="1"/>
    </row>
    <row r="3484" spans="1:11" x14ac:dyDescent="0.25">
      <c r="A3484" t="e">
        <f>-LqfX0pGuI2v93Ot2crW</f>
        <v>#NAME?</v>
      </c>
      <c r="B3484">
        <v>393.75</v>
      </c>
      <c r="C3484">
        <v>20.531590000000001</v>
      </c>
      <c r="D3484">
        <v>66</v>
      </c>
      <c r="E3484">
        <v>0</v>
      </c>
      <c r="F3484">
        <v>0</v>
      </c>
      <c r="G3484">
        <v>1</v>
      </c>
      <c r="H3484" s="4">
        <v>1570540886117</v>
      </c>
      <c r="I3484">
        <v>526.6875</v>
      </c>
      <c r="J3484" s="9">
        <f t="shared" si="54"/>
        <v>43746.848218946754</v>
      </c>
      <c r="K3484" s="1"/>
    </row>
    <row r="3485" spans="1:11" x14ac:dyDescent="0.25">
      <c r="A3485" t="e">
        <f>-LqfX2rF2z9gcf9oORJu</f>
        <v>#NAME?</v>
      </c>
      <c r="B3485">
        <v>393.75</v>
      </c>
      <c r="C3485">
        <v>20.584240000000001</v>
      </c>
      <c r="D3485">
        <v>65</v>
      </c>
      <c r="E3485">
        <v>0</v>
      </c>
      <c r="F3485">
        <v>0</v>
      </c>
      <c r="G3485">
        <v>2</v>
      </c>
      <c r="H3485" s="4">
        <v>1570540893327</v>
      </c>
      <c r="I3485">
        <v>526.6875</v>
      </c>
      <c r="J3485" s="9">
        <f t="shared" si="54"/>
        <v>43746.848302395832</v>
      </c>
      <c r="K3485" s="1"/>
    </row>
    <row r="3486" spans="1:11" x14ac:dyDescent="0.25">
      <c r="A3486" t="e">
        <f>-LqfX4_Ei9iOYIr_QBVL</f>
        <v>#NAME?</v>
      </c>
      <c r="B3486">
        <v>393.75</v>
      </c>
      <c r="C3486">
        <v>20.531590000000001</v>
      </c>
      <c r="D3486">
        <v>65</v>
      </c>
      <c r="E3486">
        <v>0</v>
      </c>
      <c r="F3486">
        <v>0</v>
      </c>
      <c r="G3486">
        <v>2</v>
      </c>
      <c r="H3486" s="4">
        <v>1570540901586</v>
      </c>
      <c r="I3486">
        <v>526.6875</v>
      </c>
      <c r="J3486" s="9">
        <f t="shared" si="54"/>
        <v>43746.848397986112</v>
      </c>
      <c r="K3486" s="1"/>
    </row>
    <row r="3487" spans="1:11" x14ac:dyDescent="0.25">
      <c r="A3487" t="e">
        <f>-LqfX68Dg1C335DmQJ_e</f>
        <v>#NAME?</v>
      </c>
      <c r="B3487">
        <v>393.75</v>
      </c>
      <c r="C3487">
        <v>20.584240000000001</v>
      </c>
      <c r="D3487">
        <v>65</v>
      </c>
      <c r="E3487">
        <v>0</v>
      </c>
      <c r="F3487">
        <v>0</v>
      </c>
      <c r="G3487">
        <v>5</v>
      </c>
      <c r="H3487" s="4">
        <v>1570540907758</v>
      </c>
      <c r="I3487">
        <v>526.6875</v>
      </c>
      <c r="J3487" s="9">
        <f t="shared" si="54"/>
        <v>43746.848469421289</v>
      </c>
      <c r="K3487" s="1"/>
    </row>
    <row r="3488" spans="1:11" x14ac:dyDescent="0.25">
      <c r="A3488" t="e">
        <f>-LqfX7owWSNrD9YZeKW_</f>
        <v>#NAME?</v>
      </c>
      <c r="B3488">
        <v>393.75</v>
      </c>
      <c r="C3488">
        <v>20.531590000000001</v>
      </c>
      <c r="D3488">
        <v>64</v>
      </c>
      <c r="E3488">
        <v>0</v>
      </c>
      <c r="F3488">
        <v>0</v>
      </c>
      <c r="G3488">
        <v>0</v>
      </c>
      <c r="H3488" s="4">
        <v>1570540914967</v>
      </c>
      <c r="I3488">
        <v>526.6875</v>
      </c>
      <c r="J3488" s="9">
        <f t="shared" si="54"/>
        <v>43746.848552858799</v>
      </c>
      <c r="K3488" s="1"/>
    </row>
    <row r="3489" spans="1:11" x14ac:dyDescent="0.25">
      <c r="A3489" t="e">
        <f>-LqfX9oDOgLkdqkhZUjg</f>
        <v>#NAME?</v>
      </c>
      <c r="B3489">
        <v>393.75</v>
      </c>
      <c r="C3489">
        <v>20.531590000000001</v>
      </c>
      <c r="D3489">
        <v>63</v>
      </c>
      <c r="E3489">
        <v>0</v>
      </c>
      <c r="F3489">
        <v>0</v>
      </c>
      <c r="G3489">
        <v>0</v>
      </c>
      <c r="H3489" s="4">
        <v>1570540922757</v>
      </c>
      <c r="I3489">
        <v>526.6875</v>
      </c>
      <c r="J3489" s="9">
        <f t="shared" si="54"/>
        <v>43746.848643020836</v>
      </c>
      <c r="K3489" s="1"/>
    </row>
    <row r="3490" spans="1:11" x14ac:dyDescent="0.25">
      <c r="A3490" t="e">
        <f>-LqfXBNGCo_J9stIGGpw</f>
        <v>#NAME?</v>
      </c>
      <c r="B3490">
        <v>393.75</v>
      </c>
      <c r="C3490">
        <v>20.584240000000001</v>
      </c>
      <c r="D3490">
        <v>65</v>
      </c>
      <c r="E3490">
        <v>0</v>
      </c>
      <c r="F3490">
        <v>0</v>
      </c>
      <c r="G3490">
        <v>1</v>
      </c>
      <c r="H3490" s="4">
        <v>1570540929366</v>
      </c>
      <c r="I3490">
        <v>526.6875</v>
      </c>
      <c r="J3490" s="9">
        <f t="shared" si="54"/>
        <v>43746.848719513888</v>
      </c>
      <c r="K3490" s="1"/>
    </row>
    <row r="3491" spans="1:11" x14ac:dyDescent="0.25">
      <c r="A3491" t="e">
        <f>-LqfXCwDrUzz6M_Hn7LD</f>
        <v>#NAME?</v>
      </c>
      <c r="B3491">
        <v>393.75</v>
      </c>
      <c r="C3491">
        <v>20.531590000000001</v>
      </c>
      <c r="D3491">
        <v>65</v>
      </c>
      <c r="E3491">
        <v>0</v>
      </c>
      <c r="F3491">
        <v>0</v>
      </c>
      <c r="G3491">
        <v>14</v>
      </c>
      <c r="H3491" s="4">
        <v>1570540935559</v>
      </c>
      <c r="I3491">
        <v>526.6875</v>
      </c>
      <c r="J3491" s="9">
        <f t="shared" si="54"/>
        <v>43746.848791192126</v>
      </c>
      <c r="K3491" s="1"/>
    </row>
    <row r="3492" spans="1:11" x14ac:dyDescent="0.25">
      <c r="A3492" t="e">
        <f>-LqfXF-VLT347XVupOLe</f>
        <v>#NAME?</v>
      </c>
      <c r="B3492">
        <v>393.75</v>
      </c>
      <c r="C3492">
        <v>20.531590000000001</v>
      </c>
      <c r="D3492">
        <v>67</v>
      </c>
      <c r="E3492">
        <v>0</v>
      </c>
      <c r="F3492">
        <v>0</v>
      </c>
      <c r="G3492">
        <v>5</v>
      </c>
      <c r="H3492" s="4">
        <v>1570540942808</v>
      </c>
      <c r="I3492">
        <v>526.6875</v>
      </c>
      <c r="J3492" s="9">
        <f t="shared" si="54"/>
        <v>43746.84887509259</v>
      </c>
      <c r="K3492" s="1"/>
    </row>
    <row r="3493" spans="1:11" x14ac:dyDescent="0.25">
      <c r="A3493" t="e">
        <f>-LqfXGghKWw7HFolYFKk</f>
        <v>#NAME?</v>
      </c>
      <c r="B3493">
        <v>393.75</v>
      </c>
      <c r="C3493">
        <v>20.584240000000001</v>
      </c>
      <c r="D3493">
        <v>68</v>
      </c>
      <c r="E3493">
        <v>0</v>
      </c>
      <c r="F3493">
        <v>0</v>
      </c>
      <c r="G3493">
        <v>8</v>
      </c>
      <c r="H3493" s="4">
        <v>1570540951090</v>
      </c>
      <c r="I3493">
        <v>526.6875</v>
      </c>
      <c r="J3493" s="9">
        <f t="shared" si="54"/>
        <v>43746.848970949075</v>
      </c>
      <c r="K3493" s="1"/>
    </row>
    <row r="3494" spans="1:11" x14ac:dyDescent="0.25">
      <c r="A3494" t="e">
        <f>-LqfXIUbvHk7UYDZIJ3T</f>
        <v>#NAME?</v>
      </c>
      <c r="B3494">
        <v>393.75</v>
      </c>
      <c r="C3494">
        <v>20.478950000000001</v>
      </c>
      <c r="D3494">
        <v>68</v>
      </c>
      <c r="E3494">
        <v>0</v>
      </c>
      <c r="F3494">
        <v>0</v>
      </c>
      <c r="G3494">
        <v>7</v>
      </c>
      <c r="H3494" s="4">
        <v>1570540958299</v>
      </c>
      <c r="I3494">
        <v>526.6875</v>
      </c>
      <c r="J3494" s="9">
        <f t="shared" si="54"/>
        <v>43746.84905438657</v>
      </c>
      <c r="K3494" s="1"/>
    </row>
    <row r="3495" spans="1:11" x14ac:dyDescent="0.25">
      <c r="A3495" t="e">
        <f>-LqfXKD08zRVijTFqMJb</f>
        <v>#NAME?</v>
      </c>
      <c r="B3495">
        <v>393.75</v>
      </c>
      <c r="C3495">
        <v>20.531590000000001</v>
      </c>
      <c r="D3495">
        <v>67</v>
      </c>
      <c r="E3495">
        <v>0</v>
      </c>
      <c r="F3495">
        <v>0</v>
      </c>
      <c r="G3495">
        <v>10</v>
      </c>
      <c r="H3495" s="4">
        <v>1570540965517</v>
      </c>
      <c r="I3495">
        <v>526.6875</v>
      </c>
      <c r="J3495" s="9">
        <f t="shared" si="54"/>
        <v>43746.849137928242</v>
      </c>
      <c r="K3495" s="1"/>
    </row>
    <row r="3496" spans="1:11" x14ac:dyDescent="0.25">
      <c r="A3496" t="e">
        <f>-LqfXMF-rQPAZu9SvPnL</f>
        <v>#NAME?</v>
      </c>
      <c r="B3496">
        <v>393.75</v>
      </c>
      <c r="C3496">
        <v>20.531590000000001</v>
      </c>
      <c r="D3496">
        <v>67</v>
      </c>
      <c r="E3496">
        <v>0</v>
      </c>
      <c r="F3496">
        <v>0</v>
      </c>
      <c r="G3496">
        <v>8</v>
      </c>
      <c r="H3496" s="4">
        <v>1570540972725</v>
      </c>
      <c r="I3496">
        <v>526.6875</v>
      </c>
      <c r="J3496" s="9">
        <f t="shared" si="54"/>
        <v>43746.849221354169</v>
      </c>
      <c r="K3496" s="1"/>
    </row>
    <row r="3497" spans="1:11" x14ac:dyDescent="0.25">
      <c r="A3497" t="e">
        <f>-LqfXO2-mgAyXAjh2zOw</f>
        <v>#NAME?</v>
      </c>
      <c r="B3497">
        <v>393.75</v>
      </c>
      <c r="C3497">
        <v>20.584240000000001</v>
      </c>
      <c r="D3497">
        <v>66</v>
      </c>
      <c r="E3497">
        <v>0</v>
      </c>
      <c r="F3497">
        <v>0</v>
      </c>
      <c r="G3497">
        <v>3</v>
      </c>
      <c r="H3497" s="4">
        <v>1570540980943</v>
      </c>
      <c r="I3497">
        <v>526.6875</v>
      </c>
      <c r="J3497" s="9">
        <f t="shared" si="54"/>
        <v>43746.84931646991</v>
      </c>
      <c r="K3497" s="1"/>
    </row>
    <row r="3498" spans="1:11" x14ac:dyDescent="0.25">
      <c r="A3498" t="s">
        <v>183</v>
      </c>
      <c r="B3498">
        <v>393.75</v>
      </c>
      <c r="C3498">
        <v>20.584240000000001</v>
      </c>
      <c r="D3498">
        <v>69</v>
      </c>
      <c r="E3498">
        <v>0</v>
      </c>
      <c r="F3498">
        <v>0</v>
      </c>
      <c r="G3498">
        <v>0</v>
      </c>
      <c r="H3498" s="4">
        <v>1570540988185</v>
      </c>
      <c r="I3498">
        <v>526.5</v>
      </c>
      <c r="J3498" s="9">
        <f t="shared" si="54"/>
        <v>43746.849400289349</v>
      </c>
      <c r="K3498" s="1"/>
    </row>
    <row r="3499" spans="1:11" x14ac:dyDescent="0.25">
      <c r="A3499" t="e">
        <f>-LqfXRd8YzsBs5H7uWjJ</f>
        <v>#NAME?</v>
      </c>
      <c r="B3499">
        <v>393.75</v>
      </c>
      <c r="C3499">
        <v>20.531590000000001</v>
      </c>
      <c r="D3499">
        <v>63</v>
      </c>
      <c r="E3499">
        <v>0</v>
      </c>
      <c r="F3499">
        <v>0</v>
      </c>
      <c r="G3499">
        <v>1</v>
      </c>
      <c r="H3499" s="4">
        <v>1570540995415</v>
      </c>
      <c r="I3499">
        <v>526.6875</v>
      </c>
      <c r="J3499" s="9">
        <f t="shared" si="54"/>
        <v>43746.849483969905</v>
      </c>
      <c r="K3499" s="1"/>
    </row>
    <row r="3500" spans="1:11" x14ac:dyDescent="0.25">
      <c r="A3500" t="e">
        <f>-LqfXTLrDd_YhexZKa7t</f>
        <v>#NAME?</v>
      </c>
      <c r="B3500">
        <v>393.75</v>
      </c>
      <c r="C3500">
        <v>20.531590000000001</v>
      </c>
      <c r="D3500">
        <v>63</v>
      </c>
      <c r="E3500">
        <v>0</v>
      </c>
      <c r="F3500">
        <v>0</v>
      </c>
      <c r="G3500">
        <v>7</v>
      </c>
      <c r="H3500" s="4">
        <v>1570541002615</v>
      </c>
      <c r="I3500">
        <v>526.6875</v>
      </c>
      <c r="J3500" s="9">
        <f t="shared" si="54"/>
        <v>43746.849567303238</v>
      </c>
      <c r="K3500" s="1"/>
    </row>
    <row r="3501" spans="1:11" x14ac:dyDescent="0.25">
      <c r="A3501" t="e">
        <f>-LqfXVAAUXk9_cElqPZe</f>
        <v>#NAME?</v>
      </c>
      <c r="B3501">
        <v>412.5</v>
      </c>
      <c r="C3501">
        <v>20.531590000000001</v>
      </c>
      <c r="D3501">
        <v>63</v>
      </c>
      <c r="E3501">
        <v>0</v>
      </c>
      <c r="F3501">
        <v>0</v>
      </c>
      <c r="G3501">
        <v>12</v>
      </c>
      <c r="H3501" s="4">
        <v>1570541009822</v>
      </c>
      <c r="I3501">
        <v>532.3125</v>
      </c>
      <c r="J3501" s="9">
        <f t="shared" si="54"/>
        <v>43746.849650717595</v>
      </c>
      <c r="K3501" s="1"/>
    </row>
    <row r="3502" spans="1:11" x14ac:dyDescent="0.25">
      <c r="A3502" t="e">
        <f>-LqfXWn0frLqln9pU5Ik</f>
        <v>#NAME?</v>
      </c>
      <c r="B3502">
        <v>393.75</v>
      </c>
      <c r="C3502">
        <v>20.531590000000001</v>
      </c>
      <c r="D3502">
        <v>65</v>
      </c>
      <c r="E3502">
        <v>0</v>
      </c>
      <c r="F3502">
        <v>0</v>
      </c>
      <c r="G3502">
        <v>13</v>
      </c>
      <c r="H3502" s="4">
        <v>1570541017044</v>
      </c>
      <c r="I3502">
        <v>526.6875</v>
      </c>
      <c r="J3502" s="9">
        <f t="shared" si="54"/>
        <v>43746.849734305557</v>
      </c>
      <c r="K3502" s="1"/>
    </row>
    <row r="3503" spans="1:11" x14ac:dyDescent="0.25">
      <c r="A3503" t="e">
        <f>-LqfXY_nJwKatygWkqAp</f>
        <v>#NAME?</v>
      </c>
      <c r="B3503">
        <v>393.75</v>
      </c>
      <c r="C3503">
        <v>20.531590000000001</v>
      </c>
      <c r="D3503">
        <v>65</v>
      </c>
      <c r="E3503">
        <v>0</v>
      </c>
      <c r="F3503">
        <v>0</v>
      </c>
      <c r="G3503">
        <v>6</v>
      </c>
      <c r="H3503" s="4">
        <v>1570541024258</v>
      </c>
      <c r="I3503">
        <v>526.6875</v>
      </c>
      <c r="J3503" s="9">
        <f t="shared" si="54"/>
        <v>43746.849817800925</v>
      </c>
      <c r="K3503" s="1"/>
    </row>
    <row r="3504" spans="1:11" x14ac:dyDescent="0.25">
      <c r="A3504" t="e">
        <f>-LqfX_JWZ4PjCCe-NmPg</f>
        <v>#NAME?</v>
      </c>
      <c r="B3504">
        <v>393.75</v>
      </c>
      <c r="C3504">
        <v>20.584240000000001</v>
      </c>
      <c r="D3504">
        <v>64</v>
      </c>
      <c r="E3504">
        <v>0</v>
      </c>
      <c r="F3504">
        <v>0</v>
      </c>
      <c r="G3504">
        <v>8</v>
      </c>
      <c r="H3504" s="4">
        <v>1570541031481</v>
      </c>
      <c r="I3504">
        <v>526.6875</v>
      </c>
      <c r="J3504" s="9">
        <f t="shared" si="54"/>
        <v>43746.849901400456</v>
      </c>
      <c r="K3504" s="1"/>
    </row>
    <row r="3505" spans="1:11" x14ac:dyDescent="0.25">
      <c r="A3505" t="e">
        <f>-LqfXb69WSnPwsJEZoZv</f>
        <v>#NAME?</v>
      </c>
      <c r="B3505">
        <v>393.75</v>
      </c>
      <c r="C3505">
        <v>20.531590000000001</v>
      </c>
      <c r="D3505">
        <v>63</v>
      </c>
      <c r="E3505">
        <v>0</v>
      </c>
      <c r="F3505">
        <v>0</v>
      </c>
      <c r="G3505">
        <v>0</v>
      </c>
      <c r="H3505" s="4">
        <v>1570541038687</v>
      </c>
      <c r="I3505">
        <v>526.6875</v>
      </c>
      <c r="J3505" s="9">
        <f t="shared" si="54"/>
        <v>43746.849984803237</v>
      </c>
      <c r="K3505" s="1"/>
    </row>
    <row r="3506" spans="1:11" x14ac:dyDescent="0.25">
      <c r="A3506" t="e">
        <f>-LqfXcoquBj2ZYT73Z4j</f>
        <v>#NAME?</v>
      </c>
      <c r="B3506">
        <v>393.75</v>
      </c>
      <c r="C3506">
        <v>20.584240000000001</v>
      </c>
      <c r="D3506">
        <v>63</v>
      </c>
      <c r="E3506">
        <v>0</v>
      </c>
      <c r="F3506">
        <v>0</v>
      </c>
      <c r="G3506">
        <v>5</v>
      </c>
      <c r="H3506" s="4">
        <v>1570541045881</v>
      </c>
      <c r="I3506">
        <v>526.6875</v>
      </c>
      <c r="J3506" s="9">
        <f t="shared" si="54"/>
        <v>43746.850068067128</v>
      </c>
      <c r="K3506" s="1"/>
    </row>
    <row r="3507" spans="1:11" x14ac:dyDescent="0.25">
      <c r="A3507" t="e">
        <f>-LqfXec1IW1mMOHpUaU6</f>
        <v>#NAME?</v>
      </c>
      <c r="B3507">
        <v>393.75</v>
      </c>
      <c r="C3507">
        <v>20.584240000000001</v>
      </c>
      <c r="D3507">
        <v>63</v>
      </c>
      <c r="E3507">
        <v>0</v>
      </c>
      <c r="F3507">
        <v>0</v>
      </c>
      <c r="G3507">
        <v>7</v>
      </c>
      <c r="H3507" s="4">
        <v>1570541053117</v>
      </c>
      <c r="I3507">
        <v>526.6875</v>
      </c>
      <c r="J3507" s="9">
        <f t="shared" si="54"/>
        <v>43746.850151817132</v>
      </c>
      <c r="K3507" s="1"/>
    </row>
    <row r="3508" spans="1:11" x14ac:dyDescent="0.25">
      <c r="A3508" t="e">
        <f>-LqfXgQ-lEeR9uGBdvKi</f>
        <v>#NAME?</v>
      </c>
      <c r="B3508">
        <v>412.5</v>
      </c>
      <c r="C3508">
        <v>20.531590000000001</v>
      </c>
      <c r="D3508">
        <v>61</v>
      </c>
      <c r="E3508">
        <v>0</v>
      </c>
      <c r="F3508">
        <v>0</v>
      </c>
      <c r="G3508">
        <v>10</v>
      </c>
      <c r="H3508" s="4">
        <v>1570541060293</v>
      </c>
      <c r="I3508">
        <v>532.5</v>
      </c>
      <c r="J3508" s="9">
        <f t="shared" si="54"/>
        <v>43746.850234872683</v>
      </c>
      <c r="K3508" s="1"/>
    </row>
    <row r="3509" spans="1:11" x14ac:dyDescent="0.25">
      <c r="A3509" t="e">
        <f>-LqfXi807vmhjSqzhVDL</f>
        <v>#NAME?</v>
      </c>
      <c r="B3509">
        <v>393.75</v>
      </c>
      <c r="C3509">
        <v>20.584240000000001</v>
      </c>
      <c r="D3509">
        <v>63</v>
      </c>
      <c r="E3509">
        <v>0</v>
      </c>
      <c r="F3509">
        <v>0</v>
      </c>
      <c r="G3509">
        <v>6</v>
      </c>
      <c r="H3509" s="4">
        <v>1570541067528</v>
      </c>
      <c r="I3509">
        <v>526.6875</v>
      </c>
      <c r="J3509" s="9">
        <f t="shared" si="54"/>
        <v>43746.850318611112</v>
      </c>
      <c r="K3509" s="1"/>
    </row>
    <row r="3510" spans="1:11" x14ac:dyDescent="0.25">
      <c r="A3510" t="e">
        <f>-LqfXjw6noEJmpyt93p9</f>
        <v>#NAME?</v>
      </c>
      <c r="B3510">
        <v>393.75</v>
      </c>
      <c r="C3510">
        <v>20.531590000000001</v>
      </c>
      <c r="D3510">
        <v>61</v>
      </c>
      <c r="E3510">
        <v>0</v>
      </c>
      <c r="F3510">
        <v>0</v>
      </c>
      <c r="G3510">
        <v>9</v>
      </c>
      <c r="H3510" s="4">
        <v>1570541074772</v>
      </c>
      <c r="I3510">
        <v>526.6875</v>
      </c>
      <c r="J3510" s="9">
        <f t="shared" si="54"/>
        <v>43746.850402453703</v>
      </c>
      <c r="K3510" s="1"/>
    </row>
    <row r="3511" spans="1:11" x14ac:dyDescent="0.25">
      <c r="A3511" t="e">
        <f>-LqfXle4NY8qlj5__ZBA</f>
        <v>#NAME?</v>
      </c>
      <c r="B3511">
        <v>393.75</v>
      </c>
      <c r="C3511">
        <v>20.584240000000001</v>
      </c>
      <c r="D3511">
        <v>61</v>
      </c>
      <c r="E3511">
        <v>0</v>
      </c>
      <c r="F3511">
        <v>0</v>
      </c>
      <c r="G3511">
        <v>6</v>
      </c>
      <c r="H3511" s="4">
        <v>1570541081966</v>
      </c>
      <c r="I3511">
        <v>526.6875</v>
      </c>
      <c r="J3511" s="9">
        <f t="shared" si="54"/>
        <v>43746.850485717594</v>
      </c>
      <c r="K3511" s="1"/>
    </row>
    <row r="3512" spans="1:11" x14ac:dyDescent="0.25">
      <c r="A3512" t="s">
        <v>184</v>
      </c>
      <c r="B3512">
        <v>393.75</v>
      </c>
      <c r="C3512">
        <v>20.584240000000001</v>
      </c>
      <c r="D3512">
        <v>62</v>
      </c>
      <c r="E3512">
        <v>0</v>
      </c>
      <c r="F3512">
        <v>0</v>
      </c>
      <c r="G3512">
        <v>9</v>
      </c>
      <c r="H3512" s="4">
        <v>1570541089177</v>
      </c>
      <c r="I3512">
        <v>526.6875</v>
      </c>
      <c r="J3512" s="9">
        <f t="shared" si="54"/>
        <v>43746.850569178241</v>
      </c>
      <c r="K3512" s="1"/>
    </row>
    <row r="3513" spans="1:11" x14ac:dyDescent="0.25">
      <c r="A3513" t="e">
        <f>-LqfXp9xhIJb4pfLRCiJ</f>
        <v>#NAME?</v>
      </c>
      <c r="B3513">
        <v>393.75</v>
      </c>
      <c r="C3513">
        <v>20.584240000000001</v>
      </c>
      <c r="D3513">
        <v>65</v>
      </c>
      <c r="E3513">
        <v>0</v>
      </c>
      <c r="F3513">
        <v>0</v>
      </c>
      <c r="G3513">
        <v>0</v>
      </c>
      <c r="H3513" s="4">
        <v>1570541096391</v>
      </c>
      <c r="I3513">
        <v>526.6875</v>
      </c>
      <c r="J3513" s="9">
        <f t="shared" si="54"/>
        <v>43746.850652673609</v>
      </c>
      <c r="K3513" s="1"/>
    </row>
    <row r="3514" spans="1:11" x14ac:dyDescent="0.25">
      <c r="A3514" t="e">
        <f>-LqfXqy6rjVeuRWHHm1Z</f>
        <v>#NAME?</v>
      </c>
      <c r="B3514">
        <v>393.75</v>
      </c>
      <c r="C3514">
        <v>20.531590000000001</v>
      </c>
      <c r="D3514">
        <v>65</v>
      </c>
      <c r="E3514">
        <v>0</v>
      </c>
      <c r="F3514">
        <v>0</v>
      </c>
      <c r="G3514">
        <v>6</v>
      </c>
      <c r="H3514" s="4">
        <v>1570541103605</v>
      </c>
      <c r="I3514">
        <v>526.6875</v>
      </c>
      <c r="J3514" s="9">
        <f t="shared" si="54"/>
        <v>43746.850736168977</v>
      </c>
      <c r="K3514" s="1"/>
    </row>
    <row r="3515" spans="1:11" x14ac:dyDescent="0.25">
      <c r="A3515" t="e">
        <f>-LqfXsuwUn2pztLSRJ2d</f>
        <v>#NAME?</v>
      </c>
      <c r="B3515">
        <v>393.75</v>
      </c>
      <c r="C3515">
        <v>20.531590000000001</v>
      </c>
      <c r="D3515">
        <v>65</v>
      </c>
      <c r="E3515">
        <v>0</v>
      </c>
      <c r="F3515">
        <v>0</v>
      </c>
      <c r="G3515">
        <v>12</v>
      </c>
      <c r="H3515" s="4">
        <v>1570541111560</v>
      </c>
      <c r="I3515">
        <v>526.6875</v>
      </c>
      <c r="J3515" s="9">
        <f t="shared" si="54"/>
        <v>43746.850828240735</v>
      </c>
      <c r="K3515" s="1"/>
    </row>
    <row r="3516" spans="1:11" x14ac:dyDescent="0.25">
      <c r="A3516" t="e">
        <f>-LqfXuTvJ7V9WqH4oVHk</f>
        <v>#NAME?</v>
      </c>
      <c r="B3516">
        <v>393.75</v>
      </c>
      <c r="C3516">
        <v>20.584240000000001</v>
      </c>
      <c r="D3516">
        <v>65</v>
      </c>
      <c r="E3516">
        <v>0</v>
      </c>
      <c r="F3516">
        <v>0</v>
      </c>
      <c r="G3516">
        <v>6</v>
      </c>
      <c r="H3516" s="4">
        <v>1570541118006</v>
      </c>
      <c r="I3516">
        <v>526.5</v>
      </c>
      <c r="J3516" s="9">
        <f t="shared" si="54"/>
        <v>43746.850902847218</v>
      </c>
      <c r="K3516" s="1"/>
    </row>
    <row r="3517" spans="1:11" x14ac:dyDescent="0.25">
      <c r="A3517" t="e">
        <f>-LqfXwH-sCeojxcu21VY</f>
        <v>#NAME?</v>
      </c>
      <c r="B3517">
        <v>393.75</v>
      </c>
      <c r="C3517">
        <v>20.584240000000001</v>
      </c>
      <c r="D3517">
        <v>66</v>
      </c>
      <c r="E3517">
        <v>0</v>
      </c>
      <c r="F3517">
        <v>0</v>
      </c>
      <c r="G3517">
        <v>7</v>
      </c>
      <c r="H3517" s="4">
        <v>1570541125255</v>
      </c>
      <c r="I3517">
        <v>526.6875</v>
      </c>
      <c r="J3517" s="9">
        <f t="shared" si="54"/>
        <v>43746.850986747682</v>
      </c>
      <c r="K3517" s="1"/>
    </row>
    <row r="3518" spans="1:11" x14ac:dyDescent="0.25">
      <c r="A3518" t="s">
        <v>185</v>
      </c>
      <c r="B3518">
        <v>393.75</v>
      </c>
      <c r="C3518">
        <v>20.584240000000001</v>
      </c>
      <c r="D3518">
        <v>66</v>
      </c>
      <c r="E3518">
        <v>0</v>
      </c>
      <c r="F3518">
        <v>0</v>
      </c>
      <c r="G3518">
        <v>7</v>
      </c>
      <c r="H3518" s="4">
        <v>1570541132467</v>
      </c>
      <c r="I3518">
        <v>526.6875</v>
      </c>
      <c r="J3518" s="9">
        <f t="shared" si="54"/>
        <v>43746.851070219906</v>
      </c>
      <c r="K3518" s="1"/>
    </row>
    <row r="3519" spans="1:11" x14ac:dyDescent="0.25">
      <c r="A3519" t="e">
        <f>-LqfXzhyyRbE_C3AwgNK</f>
        <v>#NAME?</v>
      </c>
      <c r="B3519">
        <v>393.75</v>
      </c>
      <c r="C3519">
        <v>20.584240000000001</v>
      </c>
      <c r="D3519">
        <v>66</v>
      </c>
      <c r="E3519">
        <v>0</v>
      </c>
      <c r="F3519">
        <v>0</v>
      </c>
      <c r="G3519">
        <v>10</v>
      </c>
      <c r="H3519" s="4">
        <v>1570541139627</v>
      </c>
      <c r="I3519">
        <v>526.5</v>
      </c>
      <c r="J3519" s="9">
        <f t="shared" si="54"/>
        <v>43746.851153090276</v>
      </c>
      <c r="K3519" s="1"/>
    </row>
    <row r="3520" spans="1:11" x14ac:dyDescent="0.25">
      <c r="A3520" t="e">
        <f>-LqfY0GoCIVi8-O5vFK2</f>
        <v>#NAME?</v>
      </c>
      <c r="B3520">
        <v>393.75</v>
      </c>
      <c r="C3520">
        <v>20.531590000000001</v>
      </c>
      <c r="D3520">
        <v>66</v>
      </c>
      <c r="E3520">
        <v>0</v>
      </c>
      <c r="F3520">
        <v>0</v>
      </c>
      <c r="G3520">
        <v>0</v>
      </c>
      <c r="H3520" s="4">
        <v>1570541145843</v>
      </c>
      <c r="I3520">
        <v>526.6875</v>
      </c>
      <c r="J3520" s="9">
        <f t="shared" si="54"/>
        <v>43746.851225034719</v>
      </c>
      <c r="K3520" s="1"/>
    </row>
    <row r="3521" spans="1:11" x14ac:dyDescent="0.25">
      <c r="A3521" t="e">
        <f>-LqfY1zupKlF8YX2RsIJ</f>
        <v>#NAME?</v>
      </c>
      <c r="B3521">
        <v>393.75</v>
      </c>
      <c r="C3521">
        <v>20.531590000000001</v>
      </c>
      <c r="D3521">
        <v>66</v>
      </c>
      <c r="E3521">
        <v>0</v>
      </c>
      <c r="F3521">
        <v>0</v>
      </c>
      <c r="G3521">
        <v>5</v>
      </c>
      <c r="H3521" s="4">
        <v>1570541153066</v>
      </c>
      <c r="I3521">
        <v>526.6875</v>
      </c>
      <c r="J3521" s="9">
        <f t="shared" si="54"/>
        <v>43746.851308634257</v>
      </c>
      <c r="K3521" s="1"/>
    </row>
    <row r="3522" spans="1:11" x14ac:dyDescent="0.25">
      <c r="A3522" t="e">
        <f>-LqfY3wj7Szo5wc3dRGe</f>
        <v>#NAME?</v>
      </c>
      <c r="B3522">
        <v>393.75</v>
      </c>
      <c r="C3522">
        <v>20.584240000000001</v>
      </c>
      <c r="D3522">
        <v>64</v>
      </c>
      <c r="E3522">
        <v>0</v>
      </c>
      <c r="F3522">
        <v>0</v>
      </c>
      <c r="G3522">
        <v>7</v>
      </c>
      <c r="H3522" s="4">
        <v>1570541160258</v>
      </c>
      <c r="I3522">
        <v>526.5</v>
      </c>
      <c r="J3522" s="9">
        <f t="shared" si="54"/>
        <v>43746.851391874996</v>
      </c>
      <c r="K3522" s="1"/>
    </row>
    <row r="3523" spans="1:11" x14ac:dyDescent="0.25">
      <c r="A3523" t="e">
        <f>-LqfY5a-qHGaiYWQuviK</f>
        <v>#NAME?</v>
      </c>
      <c r="B3523">
        <v>393.75</v>
      </c>
      <c r="C3523">
        <v>20.584240000000001</v>
      </c>
      <c r="D3523">
        <v>64</v>
      </c>
      <c r="E3523">
        <v>0</v>
      </c>
      <c r="F3523">
        <v>0</v>
      </c>
      <c r="G3523">
        <v>7</v>
      </c>
      <c r="H3523" s="4">
        <v>1570541167494</v>
      </c>
      <c r="I3523">
        <v>526.6875</v>
      </c>
      <c r="J3523" s="9">
        <f t="shared" ref="J3523:J3586" si="55">(H3523/86400000)+25569+(7/24)</f>
        <v>43746.851475625001</v>
      </c>
      <c r="K3523" s="1"/>
    </row>
    <row r="3524" spans="1:11" x14ac:dyDescent="0.25">
      <c r="A3524" t="e">
        <f>-LqfY7J1HUok1rn2aXfu</f>
        <v>#NAME?</v>
      </c>
      <c r="B3524">
        <v>393.75</v>
      </c>
      <c r="C3524">
        <v>20.584240000000001</v>
      </c>
      <c r="D3524">
        <v>64</v>
      </c>
      <c r="E3524">
        <v>0</v>
      </c>
      <c r="F3524">
        <v>0</v>
      </c>
      <c r="G3524">
        <v>5</v>
      </c>
      <c r="H3524" s="4">
        <v>1570541174716</v>
      </c>
      <c r="I3524">
        <v>526.6875</v>
      </c>
      <c r="J3524" s="9">
        <f t="shared" si="55"/>
        <v>43746.851559212962</v>
      </c>
      <c r="K3524" s="1"/>
    </row>
    <row r="3525" spans="1:11" x14ac:dyDescent="0.25">
      <c r="A3525" t="e">
        <f>-LqfY9xvPPnqLt9UxWfU</f>
        <v>#NAME?</v>
      </c>
      <c r="B3525">
        <v>393.75</v>
      </c>
      <c r="C3525">
        <v>20.584240000000001</v>
      </c>
      <c r="D3525">
        <v>66</v>
      </c>
      <c r="E3525">
        <v>0</v>
      </c>
      <c r="F3525">
        <v>0</v>
      </c>
      <c r="G3525">
        <v>14</v>
      </c>
      <c r="H3525" s="4">
        <v>1570541184191</v>
      </c>
      <c r="I3525">
        <v>526.6875</v>
      </c>
      <c r="J3525" s="9">
        <f t="shared" si="55"/>
        <v>43746.851668877316</v>
      </c>
      <c r="K3525" s="1"/>
    </row>
    <row r="3526" spans="1:11" x14ac:dyDescent="0.25">
      <c r="A3526" t="e">
        <f>-LqfYBpDou1hDh4JyTep</f>
        <v>#NAME?</v>
      </c>
      <c r="B3526">
        <v>393.75</v>
      </c>
      <c r="C3526">
        <v>20.584240000000001</v>
      </c>
      <c r="D3526">
        <v>66</v>
      </c>
      <c r="E3526">
        <v>0</v>
      </c>
      <c r="F3526">
        <v>0</v>
      </c>
      <c r="G3526">
        <v>7</v>
      </c>
      <c r="H3526" s="4">
        <v>1570541193395</v>
      </c>
      <c r="I3526">
        <v>526.6875</v>
      </c>
      <c r="J3526" s="9">
        <f t="shared" si="55"/>
        <v>43746.851775405092</v>
      </c>
      <c r="K3526" s="1"/>
    </row>
    <row r="3527" spans="1:11" x14ac:dyDescent="0.25">
      <c r="A3527" t="e">
        <f>-LqfYDYEM9a35k62VvKn</f>
        <v>#NAME?</v>
      </c>
      <c r="B3527">
        <v>393.75</v>
      </c>
      <c r="C3527">
        <v>20.531590000000001</v>
      </c>
      <c r="D3527">
        <v>66</v>
      </c>
      <c r="E3527">
        <v>0</v>
      </c>
      <c r="F3527">
        <v>0</v>
      </c>
      <c r="G3527">
        <v>19</v>
      </c>
      <c r="H3527" s="4">
        <v>1570541200407</v>
      </c>
      <c r="I3527">
        <v>526.6875</v>
      </c>
      <c r="J3527" s="9">
        <f t="shared" si="55"/>
        <v>43746.851856562498</v>
      </c>
      <c r="K3527" s="1"/>
    </row>
    <row r="3528" spans="1:11" x14ac:dyDescent="0.25">
      <c r="A3528" t="e">
        <f>-LqfYF6Etkiiw6BMLtTp</f>
        <v>#NAME?</v>
      </c>
      <c r="B3528">
        <v>393.75</v>
      </c>
      <c r="C3528">
        <v>20.531590000000001</v>
      </c>
      <c r="D3528">
        <v>66</v>
      </c>
      <c r="E3528">
        <v>0</v>
      </c>
      <c r="F3528">
        <v>0</v>
      </c>
      <c r="G3528">
        <v>6</v>
      </c>
      <c r="H3528" s="4">
        <v>1570541206606</v>
      </c>
      <c r="I3528">
        <v>526.6875</v>
      </c>
      <c r="J3528" s="9">
        <f t="shared" si="55"/>
        <v>43746.851928310185</v>
      </c>
      <c r="K3528" s="1"/>
    </row>
    <row r="3529" spans="1:11" x14ac:dyDescent="0.25">
      <c r="A3529" t="e">
        <f>-LqfYH863UWpPAsZv_dl</f>
        <v>#NAME?</v>
      </c>
      <c r="B3529">
        <v>393.75</v>
      </c>
      <c r="C3529">
        <v>20.531590000000001</v>
      </c>
      <c r="D3529">
        <v>67</v>
      </c>
      <c r="E3529">
        <v>0</v>
      </c>
      <c r="F3529">
        <v>0</v>
      </c>
      <c r="G3529">
        <v>8</v>
      </c>
      <c r="H3529" s="4">
        <v>1570541215022</v>
      </c>
      <c r="I3529">
        <v>526.6875</v>
      </c>
      <c r="J3529" s="9">
        <f t="shared" si="55"/>
        <v>43746.852025717591</v>
      </c>
      <c r="K3529" s="1"/>
    </row>
    <row r="3530" spans="1:11" x14ac:dyDescent="0.25">
      <c r="A3530" t="e">
        <f>-LqfYIrOvCekptq5ZzdW</f>
        <v>#NAME?</v>
      </c>
      <c r="B3530">
        <v>393.75</v>
      </c>
      <c r="C3530">
        <v>20.531590000000001</v>
      </c>
      <c r="D3530">
        <v>67</v>
      </c>
      <c r="E3530">
        <v>0</v>
      </c>
      <c r="F3530">
        <v>0</v>
      </c>
      <c r="G3530">
        <v>9</v>
      </c>
      <c r="H3530" s="4">
        <v>1570541222066</v>
      </c>
      <c r="I3530">
        <v>526.6875</v>
      </c>
      <c r="J3530" s="9">
        <f t="shared" si="55"/>
        <v>43746.852107245366</v>
      </c>
      <c r="K3530" s="1"/>
    </row>
    <row r="3531" spans="1:11" x14ac:dyDescent="0.25">
      <c r="A3531" t="e">
        <f>-LqfYK_CAQM4G0SDJXg0</f>
        <v>#NAME?</v>
      </c>
      <c r="B3531">
        <v>393.75</v>
      </c>
      <c r="C3531">
        <v>20.531590000000001</v>
      </c>
      <c r="D3531">
        <v>67</v>
      </c>
      <c r="E3531">
        <v>0</v>
      </c>
      <c r="F3531">
        <v>0</v>
      </c>
      <c r="G3531">
        <v>11</v>
      </c>
      <c r="H3531" s="4">
        <v>1570541229285</v>
      </c>
      <c r="I3531">
        <v>526.6875</v>
      </c>
      <c r="J3531" s="9">
        <f t="shared" si="55"/>
        <v>43746.852190798607</v>
      </c>
      <c r="K3531" s="1"/>
    </row>
    <row r="3532" spans="1:11" x14ac:dyDescent="0.25">
      <c r="A3532" t="e">
        <f>-LqfYM8Ekyg7i-F6MTW7</f>
        <v>#NAME?</v>
      </c>
      <c r="B3532">
        <v>412.5</v>
      </c>
      <c r="C3532">
        <v>20.584240000000001</v>
      </c>
      <c r="D3532">
        <v>66</v>
      </c>
      <c r="E3532">
        <v>0</v>
      </c>
      <c r="F3532">
        <v>0</v>
      </c>
      <c r="G3532">
        <v>8</v>
      </c>
      <c r="H3532" s="4">
        <v>1570541235465</v>
      </c>
      <c r="I3532">
        <v>532.3125</v>
      </c>
      <c r="J3532" s="9">
        <f t="shared" si="55"/>
        <v>43746.852262326385</v>
      </c>
      <c r="K3532" s="1"/>
    </row>
    <row r="3533" spans="1:11" x14ac:dyDescent="0.25">
      <c r="A3533" t="e">
        <f>-LqfYNrFcplSSfoOlfQZ</f>
        <v>#NAME?</v>
      </c>
      <c r="B3533">
        <v>393.75</v>
      </c>
      <c r="C3533">
        <v>20.531590000000001</v>
      </c>
      <c r="D3533">
        <v>66</v>
      </c>
      <c r="E3533">
        <v>0</v>
      </c>
      <c r="F3533">
        <v>0</v>
      </c>
      <c r="G3533">
        <v>13</v>
      </c>
      <c r="H3533" s="4">
        <v>1570541242657</v>
      </c>
      <c r="I3533">
        <v>526.6875</v>
      </c>
      <c r="J3533" s="9">
        <f t="shared" si="55"/>
        <v>43746.852345567131</v>
      </c>
      <c r="K3533" s="1"/>
    </row>
    <row r="3534" spans="1:11" x14ac:dyDescent="0.25">
      <c r="A3534" t="e">
        <f>-LqfYPaMgSKeopQ8I4sG</f>
        <v>#NAME?</v>
      </c>
      <c r="B3534">
        <v>393.75</v>
      </c>
      <c r="C3534">
        <v>20.531590000000001</v>
      </c>
      <c r="D3534">
        <v>66</v>
      </c>
      <c r="E3534">
        <v>0</v>
      </c>
      <c r="F3534">
        <v>0</v>
      </c>
      <c r="G3534">
        <v>7</v>
      </c>
      <c r="H3534" s="4">
        <v>1570541249887</v>
      </c>
      <c r="I3534">
        <v>526.6875</v>
      </c>
      <c r="J3534" s="9">
        <f t="shared" si="55"/>
        <v>43746.852429247687</v>
      </c>
      <c r="K3534" s="1"/>
    </row>
    <row r="3535" spans="1:11" x14ac:dyDescent="0.25">
      <c r="A3535" t="e">
        <f>-LqfYR8rklMDiOx9n47j</f>
        <v>#NAME?</v>
      </c>
      <c r="B3535">
        <v>393.75</v>
      </c>
      <c r="C3535">
        <v>20.584240000000001</v>
      </c>
      <c r="D3535">
        <v>67</v>
      </c>
      <c r="E3535">
        <v>0</v>
      </c>
      <c r="F3535">
        <v>0</v>
      </c>
      <c r="G3535">
        <v>15</v>
      </c>
      <c r="H3535" s="4">
        <v>1570541256086</v>
      </c>
      <c r="I3535">
        <v>526.6875</v>
      </c>
      <c r="J3535" s="9">
        <f t="shared" si="55"/>
        <v>43746.852500995366</v>
      </c>
      <c r="K3535" s="1"/>
    </row>
    <row r="3536" spans="1:11" x14ac:dyDescent="0.25">
      <c r="A3536" t="e">
        <f>-LqfYSwDrHEgVE1OKXN5</f>
        <v>#NAME?</v>
      </c>
      <c r="B3536">
        <v>393.75</v>
      </c>
      <c r="C3536">
        <v>20.584240000000001</v>
      </c>
      <c r="D3536">
        <v>67</v>
      </c>
      <c r="E3536">
        <v>0</v>
      </c>
      <c r="F3536">
        <v>0</v>
      </c>
      <c r="G3536">
        <v>5</v>
      </c>
      <c r="H3536" s="4">
        <v>1570541263287</v>
      </c>
      <c r="I3536">
        <v>526.6875</v>
      </c>
      <c r="J3536" s="9">
        <f t="shared" si="55"/>
        <v>43746.852584340275</v>
      </c>
      <c r="K3536" s="1"/>
    </row>
    <row r="3537" spans="1:11" x14ac:dyDescent="0.25">
      <c r="A3537" t="e">
        <f>-LqfYUeDiKuJ_Wyw9Qi5</f>
        <v>#NAME?</v>
      </c>
      <c r="B3537">
        <v>393.75</v>
      </c>
      <c r="C3537">
        <v>20.584240000000001</v>
      </c>
      <c r="D3537">
        <v>66</v>
      </c>
      <c r="E3537">
        <v>0</v>
      </c>
      <c r="F3537">
        <v>0</v>
      </c>
      <c r="G3537">
        <v>12</v>
      </c>
      <c r="H3537" s="4">
        <v>1570541270487</v>
      </c>
      <c r="I3537">
        <v>526.6875</v>
      </c>
      <c r="J3537" s="9">
        <f t="shared" si="55"/>
        <v>43746.852667673607</v>
      </c>
      <c r="K3537" s="1"/>
    </row>
    <row r="3538" spans="1:11" x14ac:dyDescent="0.25">
      <c r="A3538" t="s">
        <v>186</v>
      </c>
      <c r="B3538">
        <v>393.75</v>
      </c>
      <c r="C3538">
        <v>20.531590000000001</v>
      </c>
      <c r="D3538">
        <v>66</v>
      </c>
      <c r="E3538">
        <v>0</v>
      </c>
      <c r="F3538">
        <v>0</v>
      </c>
      <c r="G3538">
        <v>12</v>
      </c>
      <c r="H3538" s="4">
        <v>1570541277530</v>
      </c>
      <c r="I3538">
        <v>526.6875</v>
      </c>
      <c r="J3538" s="9">
        <f t="shared" si="55"/>
        <v>43746.852749189813</v>
      </c>
      <c r="K3538" s="1"/>
    </row>
    <row r="3539" spans="1:11" x14ac:dyDescent="0.25">
      <c r="A3539" t="e">
        <f>-LqfYXwCwHkiMp850qps</f>
        <v>#NAME?</v>
      </c>
      <c r="B3539">
        <v>393.75</v>
      </c>
      <c r="C3539">
        <v>20.531590000000001</v>
      </c>
      <c r="D3539">
        <v>67</v>
      </c>
      <c r="E3539">
        <v>0</v>
      </c>
      <c r="F3539">
        <v>0</v>
      </c>
      <c r="G3539">
        <v>4</v>
      </c>
      <c r="H3539" s="4">
        <v>1570541283896</v>
      </c>
      <c r="I3539">
        <v>526.6875</v>
      </c>
      <c r="J3539" s="9">
        <f t="shared" si="55"/>
        <v>43746.852822870373</v>
      </c>
      <c r="K3539" s="1"/>
    </row>
    <row r="3540" spans="1:11" x14ac:dyDescent="0.25">
      <c r="A3540" t="e">
        <f>-LqfYZjCJHqlCjT0HEiR</f>
        <v>#NAME?</v>
      </c>
      <c r="B3540">
        <v>393.75</v>
      </c>
      <c r="C3540">
        <v>20.531590000000001</v>
      </c>
      <c r="D3540">
        <v>67</v>
      </c>
      <c r="E3540">
        <v>0</v>
      </c>
      <c r="F3540">
        <v>0</v>
      </c>
      <c r="G3540">
        <v>6</v>
      </c>
      <c r="H3540" s="4">
        <v>1570541291126</v>
      </c>
      <c r="I3540">
        <v>526.6875</v>
      </c>
      <c r="J3540" s="9">
        <f t="shared" si="55"/>
        <v>43746.852906550928</v>
      </c>
      <c r="K3540" s="1"/>
    </row>
    <row r="3541" spans="1:11" x14ac:dyDescent="0.25">
      <c r="A3541" t="e">
        <f>-LqfYaTV5vqZxp8Z-sNv</f>
        <v>#NAME?</v>
      </c>
      <c r="B3541">
        <v>393.75</v>
      </c>
      <c r="C3541">
        <v>20.531590000000001</v>
      </c>
      <c r="D3541">
        <v>67</v>
      </c>
      <c r="E3541">
        <v>0</v>
      </c>
      <c r="F3541">
        <v>0</v>
      </c>
      <c r="G3541">
        <v>0</v>
      </c>
      <c r="H3541" s="4">
        <v>1570541298327</v>
      </c>
      <c r="I3541">
        <v>526.6875</v>
      </c>
      <c r="J3541" s="9">
        <f t="shared" si="55"/>
        <v>43746.85298989583</v>
      </c>
      <c r="K3541" s="1"/>
    </row>
    <row r="3542" spans="1:11" x14ac:dyDescent="0.25">
      <c r="A3542" t="e">
        <f>-LqfYcFDY64mivmcOv51</f>
        <v>#NAME?</v>
      </c>
      <c r="B3542">
        <v>393.75</v>
      </c>
      <c r="C3542">
        <v>20.584240000000001</v>
      </c>
      <c r="D3542">
        <v>66</v>
      </c>
      <c r="E3542">
        <v>0</v>
      </c>
      <c r="F3542">
        <v>0</v>
      </c>
      <c r="G3542">
        <v>12</v>
      </c>
      <c r="H3542" s="4">
        <v>1570541305536</v>
      </c>
      <c r="I3542">
        <v>526.6875</v>
      </c>
      <c r="J3542" s="9">
        <f t="shared" si="55"/>
        <v>43746.853073333332</v>
      </c>
      <c r="K3542" s="1"/>
    </row>
    <row r="3543" spans="1:11" x14ac:dyDescent="0.25">
      <c r="A3543" t="e">
        <f>-LqfYdyEfR43O2VqHL9t</f>
        <v>#NAME?</v>
      </c>
      <c r="B3543">
        <v>393.75</v>
      </c>
      <c r="C3543">
        <v>20.531590000000001</v>
      </c>
      <c r="D3543">
        <v>67</v>
      </c>
      <c r="E3543">
        <v>0</v>
      </c>
      <c r="F3543">
        <v>0</v>
      </c>
      <c r="G3543">
        <v>9</v>
      </c>
      <c r="H3543" s="4">
        <v>1570541312726</v>
      </c>
      <c r="I3543">
        <v>526.6875</v>
      </c>
      <c r="J3543" s="9">
        <f t="shared" si="55"/>
        <v>43746.853156550926</v>
      </c>
      <c r="K3543" s="1"/>
    </row>
    <row r="3544" spans="1:11" x14ac:dyDescent="0.25">
      <c r="A3544" t="e">
        <f>-LqfYfYUG6LbO_KT8nAN</f>
        <v>#NAME?</v>
      </c>
      <c r="B3544">
        <v>393.75</v>
      </c>
      <c r="C3544">
        <v>20.584240000000001</v>
      </c>
      <c r="D3544">
        <v>67</v>
      </c>
      <c r="E3544">
        <v>0</v>
      </c>
      <c r="F3544">
        <v>0</v>
      </c>
      <c r="G3544">
        <v>9</v>
      </c>
      <c r="H3544" s="4">
        <v>1570541318935</v>
      </c>
      <c r="I3544">
        <v>526.6875</v>
      </c>
      <c r="J3544" s="9">
        <f t="shared" si="55"/>
        <v>43746.853228414351</v>
      </c>
      <c r="K3544" s="1"/>
    </row>
    <row r="3545" spans="1:11" x14ac:dyDescent="0.25">
      <c r="A3545" t="e">
        <f>-LqfYhF4K7ULWdCoZ9l_</f>
        <v>#NAME?</v>
      </c>
      <c r="B3545">
        <v>393.75</v>
      </c>
      <c r="C3545">
        <v>20.531590000000001</v>
      </c>
      <c r="D3545">
        <v>66</v>
      </c>
      <c r="E3545">
        <v>0</v>
      </c>
      <c r="F3545">
        <v>0</v>
      </c>
      <c r="G3545">
        <v>11</v>
      </c>
      <c r="H3545" s="4">
        <v>1570541326166</v>
      </c>
      <c r="I3545">
        <v>526.6875</v>
      </c>
      <c r="J3545" s="9">
        <f t="shared" si="55"/>
        <v>43746.853312106476</v>
      </c>
      <c r="K3545" s="1"/>
    </row>
    <row r="3546" spans="1:11" x14ac:dyDescent="0.25">
      <c r="A3546" t="e">
        <f>-LqfYijE7ycqQ1kkUcd3</f>
        <v>#NAME?</v>
      </c>
      <c r="B3546">
        <v>393.75</v>
      </c>
      <c r="C3546">
        <v>20.531590000000001</v>
      </c>
      <c r="D3546">
        <v>66</v>
      </c>
      <c r="E3546">
        <v>0</v>
      </c>
      <c r="F3546">
        <v>0</v>
      </c>
      <c r="G3546">
        <v>10</v>
      </c>
      <c r="H3546" s="4">
        <v>1570541332326</v>
      </c>
      <c r="I3546">
        <v>526.6875</v>
      </c>
      <c r="J3546" s="9">
        <f t="shared" si="55"/>
        <v>43746.853383402777</v>
      </c>
      <c r="K3546" s="1"/>
    </row>
    <row r="3547" spans="1:11" x14ac:dyDescent="0.25">
      <c r="A3547" t="e">
        <f>-LqfYkIEMhNJ6kv5aR7T</f>
        <v>#NAME?</v>
      </c>
      <c r="B3547">
        <v>393.75</v>
      </c>
      <c r="C3547">
        <v>20.584240000000001</v>
      </c>
      <c r="D3547">
        <v>66</v>
      </c>
      <c r="E3547">
        <v>0</v>
      </c>
      <c r="F3547">
        <v>0</v>
      </c>
      <c r="G3547">
        <v>7</v>
      </c>
      <c r="H3547" s="4">
        <v>1570541338506</v>
      </c>
      <c r="I3547">
        <v>526.6875</v>
      </c>
      <c r="J3547" s="9">
        <f t="shared" si="55"/>
        <v>43746.853454930555</v>
      </c>
      <c r="K3547" s="1"/>
    </row>
    <row r="3548" spans="1:11" x14ac:dyDescent="0.25">
      <c r="A3548" t="e">
        <f>-LqfYm0EkmAjmw1jFcI6</f>
        <v>#NAME?</v>
      </c>
      <c r="B3548">
        <v>393.75</v>
      </c>
      <c r="C3548">
        <v>20.584240000000001</v>
      </c>
      <c r="D3548">
        <v>67</v>
      </c>
      <c r="E3548">
        <v>0</v>
      </c>
      <c r="F3548">
        <v>0</v>
      </c>
      <c r="G3548">
        <v>12</v>
      </c>
      <c r="H3548" s="4">
        <v>1570541345748</v>
      </c>
      <c r="I3548">
        <v>526.6875</v>
      </c>
      <c r="J3548" s="9">
        <f t="shared" si="55"/>
        <v>43746.853538749994</v>
      </c>
      <c r="K3548" s="1"/>
    </row>
    <row r="3549" spans="1:11" x14ac:dyDescent="0.25">
      <c r="A3549" t="e">
        <f>-LqfYn_C5XWNKmC0P3xz</f>
        <v>#NAME?</v>
      </c>
      <c r="B3549">
        <v>393.75</v>
      </c>
      <c r="C3549">
        <v>20.531590000000001</v>
      </c>
      <c r="D3549">
        <v>67</v>
      </c>
      <c r="E3549">
        <v>0</v>
      </c>
      <c r="F3549">
        <v>0</v>
      </c>
      <c r="G3549">
        <v>16</v>
      </c>
      <c r="H3549" s="4">
        <v>1570541351886</v>
      </c>
      <c r="I3549">
        <v>526.6875</v>
      </c>
      <c r="J3549" s="9">
        <f t="shared" si="55"/>
        <v>43746.853609791666</v>
      </c>
      <c r="K3549" s="1"/>
    </row>
    <row r="3550" spans="1:11" x14ac:dyDescent="0.25">
      <c r="A3550" t="e">
        <f>-LqfYpIDcwzJTPtKwU0s</f>
        <v>#NAME?</v>
      </c>
      <c r="B3550">
        <v>393.75</v>
      </c>
      <c r="C3550">
        <v>20.584240000000001</v>
      </c>
      <c r="D3550">
        <v>66</v>
      </c>
      <c r="E3550">
        <v>0</v>
      </c>
      <c r="F3550">
        <v>0</v>
      </c>
      <c r="G3550">
        <v>10</v>
      </c>
      <c r="H3550" s="4">
        <v>1570541359126</v>
      </c>
      <c r="I3550">
        <v>526.6875</v>
      </c>
      <c r="J3550" s="9">
        <f t="shared" si="55"/>
        <v>43746.85369358796</v>
      </c>
      <c r="K3550" s="1"/>
    </row>
    <row r="3551" spans="1:11" x14ac:dyDescent="0.25">
      <c r="A3551" t="e">
        <f>-LqfYr4GqVKkIrPZopdf</f>
        <v>#NAME?</v>
      </c>
      <c r="B3551">
        <v>393.75</v>
      </c>
      <c r="C3551">
        <v>20.584240000000001</v>
      </c>
      <c r="D3551">
        <v>69</v>
      </c>
      <c r="E3551">
        <v>0</v>
      </c>
      <c r="F3551">
        <v>0</v>
      </c>
      <c r="G3551">
        <v>7</v>
      </c>
      <c r="H3551" s="4">
        <v>1570541366337</v>
      </c>
      <c r="I3551">
        <v>526.6875</v>
      </c>
      <c r="J3551" s="9">
        <f t="shared" si="55"/>
        <v>43746.853777048607</v>
      </c>
      <c r="K3551" s="1"/>
    </row>
    <row r="3552" spans="1:11" x14ac:dyDescent="0.25">
      <c r="A3552" t="e">
        <f>-LqfYsoDQE6t04eamaZv</f>
        <v>#NAME?</v>
      </c>
      <c r="B3552">
        <v>393.75</v>
      </c>
      <c r="C3552">
        <v>20.584240000000001</v>
      </c>
      <c r="D3552">
        <v>69</v>
      </c>
      <c r="E3552">
        <v>0</v>
      </c>
      <c r="F3552">
        <v>0</v>
      </c>
      <c r="G3552">
        <v>16</v>
      </c>
      <c r="H3552" s="4">
        <v>1570541373535</v>
      </c>
      <c r="I3552">
        <v>526.6875</v>
      </c>
      <c r="J3552" s="9">
        <f t="shared" si="55"/>
        <v>43746.853860358795</v>
      </c>
      <c r="K3552" s="1"/>
    </row>
    <row r="3553" spans="1:11" x14ac:dyDescent="0.25">
      <c r="A3553" t="e">
        <f>-LqfYubqctAQ8cluD6pc</f>
        <v>#NAME?</v>
      </c>
      <c r="B3553">
        <v>393.75</v>
      </c>
      <c r="C3553">
        <v>20.584240000000001</v>
      </c>
      <c r="D3553">
        <v>65</v>
      </c>
      <c r="E3553">
        <v>0</v>
      </c>
      <c r="F3553">
        <v>0</v>
      </c>
      <c r="G3553">
        <v>6</v>
      </c>
      <c r="H3553" s="4">
        <v>1570541380766</v>
      </c>
      <c r="I3553">
        <v>526.6875</v>
      </c>
      <c r="J3553" s="9">
        <f t="shared" si="55"/>
        <v>43746.853944050927</v>
      </c>
      <c r="K3553" s="1"/>
    </row>
    <row r="3554" spans="1:11" x14ac:dyDescent="0.25">
      <c r="A3554" t="e">
        <f>-LqfYwK4YvsAMruFmkHV</f>
        <v>#NAME?</v>
      </c>
      <c r="B3554">
        <v>393.75</v>
      </c>
      <c r="C3554">
        <v>20.531590000000001</v>
      </c>
      <c r="D3554">
        <v>65</v>
      </c>
      <c r="E3554">
        <v>0</v>
      </c>
      <c r="F3554">
        <v>0</v>
      </c>
      <c r="G3554">
        <v>8</v>
      </c>
      <c r="H3554" s="4">
        <v>1570541387997</v>
      </c>
      <c r="I3554">
        <v>526.6875</v>
      </c>
      <c r="J3554" s="9">
        <f t="shared" si="55"/>
        <v>43746.854027743051</v>
      </c>
      <c r="K3554" s="1"/>
    </row>
    <row r="3555" spans="1:11" x14ac:dyDescent="0.25">
      <c r="A3555" t="e">
        <f>-LqfYy-vBM78E755HnFI</f>
        <v>#NAME?</v>
      </c>
      <c r="B3555">
        <v>393.75</v>
      </c>
      <c r="C3555">
        <v>20.584240000000001</v>
      </c>
      <c r="D3555">
        <v>74</v>
      </c>
      <c r="E3555">
        <v>0</v>
      </c>
      <c r="F3555">
        <v>0</v>
      </c>
      <c r="G3555">
        <v>9</v>
      </c>
      <c r="H3555" s="4">
        <v>1570541394157</v>
      </c>
      <c r="I3555">
        <v>526.6875</v>
      </c>
      <c r="J3555" s="9">
        <f t="shared" si="55"/>
        <v>43746.854099039345</v>
      </c>
      <c r="K3555" s="1"/>
    </row>
    <row r="3556" spans="1:11" x14ac:dyDescent="0.25">
      <c r="A3556" t="e">
        <f>-LqfYzbRREklQsMPvTAd</f>
        <v>#NAME?</v>
      </c>
      <c r="B3556">
        <v>412.5</v>
      </c>
      <c r="C3556">
        <v>20.584240000000001</v>
      </c>
      <c r="D3556">
        <v>72</v>
      </c>
      <c r="E3556">
        <v>0</v>
      </c>
      <c r="F3556">
        <v>0</v>
      </c>
      <c r="G3556">
        <v>7</v>
      </c>
      <c r="H3556" s="4">
        <v>1570541401391</v>
      </c>
      <c r="I3556">
        <v>532.875</v>
      </c>
      <c r="J3556" s="9">
        <f t="shared" si="55"/>
        <v>43746.854182766205</v>
      </c>
      <c r="K3556" s="1"/>
    </row>
    <row r="3557" spans="1:11" x14ac:dyDescent="0.25">
      <c r="A3557" t="e">
        <f>-LqfZ0PO4gV5n3gpATYu</f>
        <v>#NAME?</v>
      </c>
      <c r="B3557">
        <v>393.75</v>
      </c>
      <c r="C3557">
        <v>20.531590000000001</v>
      </c>
      <c r="D3557">
        <v>72</v>
      </c>
      <c r="E3557">
        <v>0</v>
      </c>
      <c r="F3557">
        <v>0</v>
      </c>
      <c r="G3557">
        <v>6</v>
      </c>
      <c r="H3557" s="4">
        <v>1570541408586</v>
      </c>
      <c r="I3557">
        <v>526.6875</v>
      </c>
      <c r="J3557" s="9">
        <f t="shared" si="55"/>
        <v>43746.854266041664</v>
      </c>
      <c r="K3557" s="1"/>
    </row>
    <row r="3558" spans="1:11" x14ac:dyDescent="0.25">
      <c r="A3558" t="e">
        <f>-LqfZ27Cv-DEWToSeVc4</f>
        <v>#NAME?</v>
      </c>
      <c r="B3558">
        <v>393.75</v>
      </c>
      <c r="C3558">
        <v>20.531590000000001</v>
      </c>
      <c r="D3558">
        <v>70</v>
      </c>
      <c r="E3558">
        <v>0</v>
      </c>
      <c r="F3558">
        <v>0</v>
      </c>
      <c r="G3558">
        <v>1</v>
      </c>
      <c r="H3558" s="4">
        <v>1570541415775</v>
      </c>
      <c r="I3558">
        <v>526.6875</v>
      </c>
      <c r="J3558" s="9">
        <f t="shared" si="55"/>
        <v>43746.854349247682</v>
      </c>
      <c r="K3558" s="1"/>
    </row>
    <row r="3559" spans="1:11" x14ac:dyDescent="0.25">
      <c r="A3559" t="e">
        <f>-LqfZ8Kef7Sqx1NQOMtJ</f>
        <v>#NAME?</v>
      </c>
      <c r="B3559">
        <v>393.75</v>
      </c>
      <c r="C3559">
        <v>20.531590000000001</v>
      </c>
      <c r="D3559">
        <v>71</v>
      </c>
      <c r="E3559">
        <v>0</v>
      </c>
      <c r="F3559">
        <v>0</v>
      </c>
      <c r="G3559">
        <v>0</v>
      </c>
      <c r="H3559" s="4">
        <v>1570541441296</v>
      </c>
      <c r="I3559">
        <v>526.6875</v>
      </c>
      <c r="J3559" s="9">
        <f t="shared" si="55"/>
        <v>43746.854644629631</v>
      </c>
      <c r="K3559" s="1"/>
    </row>
    <row r="3560" spans="1:11" x14ac:dyDescent="0.25">
      <c r="A3560" t="e">
        <f>-LqfZ9rGGuRbad4PaUyC</f>
        <v>#NAME?</v>
      </c>
      <c r="B3560">
        <v>393.75</v>
      </c>
      <c r="C3560">
        <v>20.584240000000001</v>
      </c>
      <c r="D3560">
        <v>68</v>
      </c>
      <c r="E3560">
        <v>0</v>
      </c>
      <c r="F3560">
        <v>0</v>
      </c>
      <c r="G3560">
        <v>0</v>
      </c>
      <c r="H3560" s="4">
        <v>1570541447327</v>
      </c>
      <c r="I3560">
        <v>526.6875</v>
      </c>
      <c r="J3560" s="9">
        <f t="shared" si="55"/>
        <v>43746.85471443287</v>
      </c>
      <c r="K3560" s="1"/>
    </row>
    <row r="3561" spans="1:11" x14ac:dyDescent="0.25">
      <c r="A3561" t="e">
        <f>-LqfZB_GFelOGnwZPu9f</f>
        <v>#NAME?</v>
      </c>
      <c r="B3561">
        <v>393.75</v>
      </c>
      <c r="C3561">
        <v>20.584240000000001</v>
      </c>
      <c r="D3561">
        <v>67</v>
      </c>
      <c r="E3561">
        <v>0</v>
      </c>
      <c r="F3561">
        <v>0</v>
      </c>
      <c r="G3561">
        <v>0</v>
      </c>
      <c r="H3561" s="4">
        <v>1570541454548</v>
      </c>
      <c r="I3561">
        <v>526.6875</v>
      </c>
      <c r="J3561" s="9">
        <f t="shared" si="55"/>
        <v>43746.854798009255</v>
      </c>
      <c r="K3561" s="1"/>
    </row>
    <row r="3562" spans="1:11" x14ac:dyDescent="0.25">
      <c r="A3562" t="e">
        <f>-LqfZD3R8tqp66YZi5C7</f>
        <v>#NAME?</v>
      </c>
      <c r="B3562">
        <v>393.75</v>
      </c>
      <c r="C3562">
        <v>20.584240000000001</v>
      </c>
      <c r="D3562">
        <v>67</v>
      </c>
      <c r="E3562">
        <v>0</v>
      </c>
      <c r="F3562">
        <v>0</v>
      </c>
      <c r="G3562">
        <v>14</v>
      </c>
      <c r="H3562" s="4">
        <v>1570541460720</v>
      </c>
      <c r="I3562">
        <v>526.6875</v>
      </c>
      <c r="J3562" s="9">
        <f t="shared" si="55"/>
        <v>43746.85486944444</v>
      </c>
      <c r="K3562" s="1"/>
    </row>
    <row r="3563" spans="1:11" x14ac:dyDescent="0.25">
      <c r="A3563" t="e">
        <f>-LqfZEcGY2yqc4kfzDKt</f>
        <v>#NAME?</v>
      </c>
      <c r="B3563">
        <v>412.5</v>
      </c>
      <c r="C3563">
        <v>20.584240000000001</v>
      </c>
      <c r="D3563">
        <v>68</v>
      </c>
      <c r="E3563">
        <v>0</v>
      </c>
      <c r="F3563">
        <v>0</v>
      </c>
      <c r="G3563">
        <v>5</v>
      </c>
      <c r="H3563" s="4">
        <v>1570541466909</v>
      </c>
      <c r="I3563">
        <v>532.3125</v>
      </c>
      <c r="J3563" s="9">
        <f t="shared" si="55"/>
        <v>43746.854941076388</v>
      </c>
      <c r="K3563" s="1"/>
    </row>
    <row r="3564" spans="1:11" x14ac:dyDescent="0.25">
      <c r="A3564" t="e">
        <f>-LqfZGPSW92Ri1xN7jGW</f>
        <v>#NAME?</v>
      </c>
      <c r="B3564">
        <v>393.75</v>
      </c>
      <c r="C3564">
        <v>20.531590000000001</v>
      </c>
      <c r="D3564">
        <v>67</v>
      </c>
      <c r="E3564">
        <v>0</v>
      </c>
      <c r="F3564">
        <v>0</v>
      </c>
      <c r="G3564">
        <v>0</v>
      </c>
      <c r="H3564" s="4">
        <v>1570541474120</v>
      </c>
      <c r="I3564">
        <v>526.6875</v>
      </c>
      <c r="J3564" s="9">
        <f t="shared" si="55"/>
        <v>43746.855024537035</v>
      </c>
      <c r="K3564" s="1"/>
    </row>
    <row r="3565" spans="1:11" x14ac:dyDescent="0.25">
      <c r="A3565" t="e">
        <f>-LqfZI8FQPNGWStRbwRq</f>
        <v>#NAME?</v>
      </c>
      <c r="B3565">
        <v>393.75</v>
      </c>
      <c r="C3565">
        <v>20.584240000000001</v>
      </c>
      <c r="D3565">
        <v>67</v>
      </c>
      <c r="E3565">
        <v>0</v>
      </c>
      <c r="F3565">
        <v>0</v>
      </c>
      <c r="G3565">
        <v>5</v>
      </c>
      <c r="H3565" s="4">
        <v>1570541481329</v>
      </c>
      <c r="I3565">
        <v>526.6875</v>
      </c>
      <c r="J3565" s="9">
        <f t="shared" si="55"/>
        <v>43746.85510797453</v>
      </c>
      <c r="K3565" s="1"/>
    </row>
    <row r="3566" spans="1:11" x14ac:dyDescent="0.25">
      <c r="A3566" t="e">
        <f>-LqfZJcQpQaa8pTAPvtQ</f>
        <v>#NAME?</v>
      </c>
      <c r="B3566">
        <v>393.75</v>
      </c>
      <c r="C3566">
        <v>20.584240000000001</v>
      </c>
      <c r="D3566">
        <v>67</v>
      </c>
      <c r="E3566">
        <v>0</v>
      </c>
      <c r="F3566">
        <v>0</v>
      </c>
      <c r="G3566">
        <v>13</v>
      </c>
      <c r="H3566" s="4">
        <v>1570541487508</v>
      </c>
      <c r="I3566">
        <v>526.6875</v>
      </c>
      <c r="J3566" s="9">
        <f t="shared" si="55"/>
        <v>43746.85517949074</v>
      </c>
      <c r="K3566" s="1"/>
    </row>
    <row r="3567" spans="1:11" x14ac:dyDescent="0.25">
      <c r="A3567" t="e">
        <f>-LqfZLBGZXFnaNgN-#REF!</f>
        <v>#NAME?</v>
      </c>
      <c r="B3567">
        <v>393.75</v>
      </c>
      <c r="C3567">
        <v>20.584240000000001</v>
      </c>
      <c r="D3567">
        <v>67</v>
      </c>
      <c r="E3567">
        <v>0</v>
      </c>
      <c r="F3567">
        <v>0</v>
      </c>
      <c r="G3567">
        <v>6</v>
      </c>
      <c r="H3567" s="4">
        <v>1570541493689</v>
      </c>
      <c r="I3567">
        <v>526.6875</v>
      </c>
      <c r="J3567" s="9">
        <f t="shared" si="55"/>
        <v>43746.855251030087</v>
      </c>
      <c r="K3567" s="1"/>
    </row>
    <row r="3568" spans="1:11" x14ac:dyDescent="0.25">
      <c r="A3568" t="e">
        <f>-LqfZMu8X02FRKBo8OFw</f>
        <v>#NAME?</v>
      </c>
      <c r="B3568">
        <v>393.75</v>
      </c>
      <c r="C3568">
        <v>20.584240000000001</v>
      </c>
      <c r="D3568">
        <v>67</v>
      </c>
      <c r="E3568">
        <v>0</v>
      </c>
      <c r="F3568">
        <v>0</v>
      </c>
      <c r="G3568">
        <v>8</v>
      </c>
      <c r="H3568" s="4">
        <v>1570541500888</v>
      </c>
      <c r="I3568">
        <v>526.6875</v>
      </c>
      <c r="J3568" s="9">
        <f t="shared" si="55"/>
        <v>43746.855334351851</v>
      </c>
      <c r="K3568" s="1"/>
    </row>
    <row r="3569" spans="1:11" x14ac:dyDescent="0.25">
      <c r="A3569" t="e">
        <f>-LqfZOTHdswT1s5tVjWn</f>
        <v>#NAME?</v>
      </c>
      <c r="B3569">
        <v>412.5</v>
      </c>
      <c r="C3569">
        <v>20.584240000000001</v>
      </c>
      <c r="D3569">
        <v>67</v>
      </c>
      <c r="E3569">
        <v>0</v>
      </c>
      <c r="F3569">
        <v>0</v>
      </c>
      <c r="G3569">
        <v>10</v>
      </c>
      <c r="H3569" s="4">
        <v>1570541507089</v>
      </c>
      <c r="I3569">
        <v>532.125</v>
      </c>
      <c r="J3569" s="9">
        <f t="shared" si="55"/>
        <v>43746.855406122682</v>
      </c>
      <c r="K3569" s="1"/>
    </row>
    <row r="3570" spans="1:11" x14ac:dyDescent="0.25">
      <c r="A3570" t="e">
        <f>-LqfZQCNHSEuvGHzhPK7</f>
        <v>#NAME?</v>
      </c>
      <c r="B3570">
        <v>393.75</v>
      </c>
      <c r="C3570">
        <v>20.584240000000001</v>
      </c>
      <c r="D3570">
        <v>67</v>
      </c>
      <c r="E3570">
        <v>0</v>
      </c>
      <c r="F3570">
        <v>0</v>
      </c>
      <c r="G3570">
        <v>13</v>
      </c>
      <c r="H3570" s="4">
        <v>1570541514308</v>
      </c>
      <c r="I3570">
        <v>526.6875</v>
      </c>
      <c r="J3570" s="9">
        <f t="shared" si="55"/>
        <v>43746.855489675923</v>
      </c>
      <c r="K3570" s="1"/>
    </row>
    <row r="3571" spans="1:11" x14ac:dyDescent="0.25">
      <c r="A3571" t="e">
        <f>-LqfZReemfgHczb5UejY</f>
        <v>#NAME?</v>
      </c>
      <c r="B3571">
        <v>393.75</v>
      </c>
      <c r="C3571">
        <v>20.531590000000001</v>
      </c>
      <c r="D3571">
        <v>67</v>
      </c>
      <c r="E3571">
        <v>0</v>
      </c>
      <c r="F3571">
        <v>0</v>
      </c>
      <c r="G3571">
        <v>9</v>
      </c>
      <c r="H3571" s="4">
        <v>1570541520490</v>
      </c>
      <c r="I3571">
        <v>526.6875</v>
      </c>
      <c r="J3571" s="9">
        <f t="shared" si="55"/>
        <v>43746.855561226846</v>
      </c>
      <c r="K3571" s="1"/>
    </row>
    <row r="3572" spans="1:11" x14ac:dyDescent="0.25">
      <c r="A3572" t="s">
        <v>187</v>
      </c>
      <c r="B3572">
        <v>393.75</v>
      </c>
      <c r="C3572">
        <v>20.531590000000001</v>
      </c>
      <c r="D3572">
        <v>67</v>
      </c>
      <c r="E3572">
        <v>0</v>
      </c>
      <c r="F3572">
        <v>0</v>
      </c>
      <c r="G3572">
        <v>5</v>
      </c>
      <c r="H3572" s="4">
        <v>1570541526648</v>
      </c>
      <c r="I3572">
        <v>526.6875</v>
      </c>
      <c r="J3572" s="9">
        <f t="shared" si="55"/>
        <v>43746.855632500003</v>
      </c>
      <c r="K3572" s="1"/>
    </row>
    <row r="3573" spans="1:11" x14ac:dyDescent="0.25">
      <c r="A3573" t="e">
        <f>-LqfZUxNlizIkfCPT5-v</f>
        <v>#NAME?</v>
      </c>
      <c r="B3573">
        <v>393.75</v>
      </c>
      <c r="C3573">
        <v>20.531590000000001</v>
      </c>
      <c r="D3573">
        <v>67</v>
      </c>
      <c r="E3573">
        <v>0</v>
      </c>
      <c r="F3573">
        <v>0</v>
      </c>
      <c r="G3573">
        <v>1</v>
      </c>
      <c r="H3573" s="4">
        <v>1570541533858</v>
      </c>
      <c r="I3573">
        <v>526.6875</v>
      </c>
      <c r="J3573" s="9">
        <f t="shared" si="55"/>
        <v>43746.855715949067</v>
      </c>
      <c r="K3573" s="1"/>
    </row>
    <row r="3574" spans="1:11" x14ac:dyDescent="0.25">
      <c r="A3574" t="e">
        <f>-LqfZWWGgQXgYkBUYOmB</f>
        <v>#NAME?</v>
      </c>
      <c r="B3574">
        <v>393.75</v>
      </c>
      <c r="C3574">
        <v>20.531590000000001</v>
      </c>
      <c r="D3574">
        <v>67</v>
      </c>
      <c r="E3574">
        <v>0</v>
      </c>
      <c r="F3574">
        <v>0</v>
      </c>
      <c r="G3574">
        <v>4</v>
      </c>
      <c r="H3574" s="4">
        <v>1570541540038</v>
      </c>
      <c r="I3574">
        <v>526.6875</v>
      </c>
      <c r="J3574" s="9">
        <f t="shared" si="55"/>
        <v>43746.855787476852</v>
      </c>
      <c r="K3574" s="1"/>
    </row>
    <row r="3575" spans="1:11" x14ac:dyDescent="0.25">
      <c r="A3575" t="e">
        <f>-LqfZYEHzkjnjaX67Gay</f>
        <v>#NAME?</v>
      </c>
      <c r="B3575">
        <v>393.75</v>
      </c>
      <c r="C3575">
        <v>20.584240000000001</v>
      </c>
      <c r="D3575">
        <v>68</v>
      </c>
      <c r="E3575">
        <v>0</v>
      </c>
      <c r="F3575">
        <v>0</v>
      </c>
      <c r="G3575">
        <v>8</v>
      </c>
      <c r="H3575" s="4">
        <v>1570541547290</v>
      </c>
      <c r="I3575">
        <v>526.6875</v>
      </c>
      <c r="J3575" s="9">
        <f t="shared" si="55"/>
        <v>43746.855871412037</v>
      </c>
      <c r="K3575" s="1"/>
    </row>
    <row r="3576" spans="1:11" x14ac:dyDescent="0.25">
      <c r="A3576" t="e">
        <f>-LqfZZxaQ2wc53NmyUr0</f>
        <v>#NAME?</v>
      </c>
      <c r="B3576">
        <v>393.75</v>
      </c>
      <c r="C3576">
        <v>20.531590000000001</v>
      </c>
      <c r="D3576">
        <v>69</v>
      </c>
      <c r="E3576">
        <v>0</v>
      </c>
      <c r="F3576">
        <v>0</v>
      </c>
      <c r="G3576">
        <v>4</v>
      </c>
      <c r="H3576" s="4">
        <v>1570541554490</v>
      </c>
      <c r="I3576">
        <v>526.6875</v>
      </c>
      <c r="J3576" s="9">
        <f t="shared" si="55"/>
        <v>43746.85595474537</v>
      </c>
      <c r="K3576" s="1"/>
    </row>
    <row r="3577" spans="1:11" x14ac:dyDescent="0.25">
      <c r="A3577" t="e">
        <f>-LqfZaWFxi-IMynRboks</f>
        <v>#NAME?</v>
      </c>
      <c r="B3577">
        <v>393.75</v>
      </c>
      <c r="C3577">
        <v>20.531590000000001</v>
      </c>
      <c r="D3577">
        <v>68</v>
      </c>
      <c r="E3577">
        <v>0</v>
      </c>
      <c r="F3577">
        <v>0</v>
      </c>
      <c r="G3577">
        <v>12</v>
      </c>
      <c r="H3577" s="4">
        <v>1570541560678</v>
      </c>
      <c r="I3577">
        <v>526.6875</v>
      </c>
      <c r="J3577" s="9">
        <f t="shared" si="55"/>
        <v>43746.856026365735</v>
      </c>
      <c r="K3577" s="1"/>
    </row>
    <row r="3578" spans="1:11" x14ac:dyDescent="0.25">
      <c r="A3578" t="e">
        <f>-LqfZcJuYuY0w3Qcw2H5</f>
        <v>#NAME?</v>
      </c>
      <c r="B3578">
        <v>421.875</v>
      </c>
      <c r="C3578">
        <v>20.584240000000001</v>
      </c>
      <c r="D3578">
        <v>68</v>
      </c>
      <c r="E3578">
        <v>0</v>
      </c>
      <c r="F3578">
        <v>0</v>
      </c>
      <c r="G3578">
        <v>8</v>
      </c>
      <c r="H3578" s="4">
        <v>1570541567891</v>
      </c>
      <c r="I3578">
        <v>535.875</v>
      </c>
      <c r="J3578" s="9">
        <f t="shared" si="55"/>
        <v>43746.856109849534</v>
      </c>
      <c r="K3578" s="1"/>
    </row>
    <row r="3579" spans="1:11" x14ac:dyDescent="0.25">
      <c r="A3579" t="e">
        <f>-LqfZe1FzqzGts2y3Oly</f>
        <v>#NAME?</v>
      </c>
      <c r="B3579">
        <v>393.75</v>
      </c>
      <c r="C3579">
        <v>20.584240000000001</v>
      </c>
      <c r="D3579">
        <v>66</v>
      </c>
      <c r="E3579">
        <v>0</v>
      </c>
      <c r="F3579">
        <v>0</v>
      </c>
      <c r="G3579">
        <v>12</v>
      </c>
      <c r="H3579" s="4">
        <v>1570541575098</v>
      </c>
      <c r="I3579">
        <v>526.6875</v>
      </c>
      <c r="J3579" s="9">
        <f t="shared" si="55"/>
        <v>43746.856193263891</v>
      </c>
      <c r="K3579" s="1"/>
    </row>
    <row r="3580" spans="1:11" x14ac:dyDescent="0.25">
      <c r="A3580" t="e">
        <f>-LqfZfpGQkR4hMQHeBdg</f>
        <v>#NAME?</v>
      </c>
      <c r="B3580">
        <v>393.75</v>
      </c>
      <c r="C3580">
        <v>20.531590000000001</v>
      </c>
      <c r="D3580">
        <v>67</v>
      </c>
      <c r="E3580">
        <v>0</v>
      </c>
      <c r="F3580">
        <v>0</v>
      </c>
      <c r="G3580">
        <v>17</v>
      </c>
      <c r="H3580" s="4">
        <v>1570541582318</v>
      </c>
      <c r="I3580">
        <v>526.6875</v>
      </c>
      <c r="J3580" s="9">
        <f t="shared" si="55"/>
        <v>43746.856276828701</v>
      </c>
      <c r="K3580" s="1"/>
    </row>
    <row r="3581" spans="1:11" x14ac:dyDescent="0.25">
      <c r="A3581" t="e">
        <f>-LqfZhdtk95aoF5WQDBU</f>
        <v>#NAME?</v>
      </c>
      <c r="B3581">
        <v>393.75</v>
      </c>
      <c r="C3581">
        <v>20.531590000000001</v>
      </c>
      <c r="D3581">
        <v>67</v>
      </c>
      <c r="E3581">
        <v>0</v>
      </c>
      <c r="F3581">
        <v>0</v>
      </c>
      <c r="G3581">
        <v>3</v>
      </c>
      <c r="H3581" s="4">
        <v>1570541589528</v>
      </c>
      <c r="I3581">
        <v>526.6875</v>
      </c>
      <c r="J3581" s="9">
        <f t="shared" si="55"/>
        <v>43746.856360277779</v>
      </c>
      <c r="K3581" s="1"/>
    </row>
    <row r="3582" spans="1:11" x14ac:dyDescent="0.25">
      <c r="A3582" t="e">
        <f>-LqfZjLPc5MfXLiC_gzQ</f>
        <v>#NAME?</v>
      </c>
      <c r="B3582">
        <v>393.75</v>
      </c>
      <c r="C3582">
        <v>20.478950000000001</v>
      </c>
      <c r="D3582">
        <v>67</v>
      </c>
      <c r="E3582">
        <v>0</v>
      </c>
      <c r="F3582">
        <v>0</v>
      </c>
      <c r="G3582">
        <v>7</v>
      </c>
      <c r="H3582" s="4">
        <v>1570541596739</v>
      </c>
      <c r="I3582">
        <v>526.6875</v>
      </c>
      <c r="J3582" s="9">
        <f t="shared" si="55"/>
        <v>43746.856443738427</v>
      </c>
      <c r="K3582" s="1"/>
    </row>
    <row r="3583" spans="1:11" x14ac:dyDescent="0.25">
      <c r="A3583" t="e">
        <f>-LqfZl37vOmzQZidvvhX</f>
        <v>#NAME?</v>
      </c>
      <c r="B3583">
        <v>393.75</v>
      </c>
      <c r="C3583">
        <v>20.531590000000001</v>
      </c>
      <c r="D3583">
        <v>67</v>
      </c>
      <c r="E3583">
        <v>0</v>
      </c>
      <c r="F3583">
        <v>0</v>
      </c>
      <c r="G3583">
        <v>11</v>
      </c>
      <c r="H3583" s="4">
        <v>1570541603929</v>
      </c>
      <c r="I3583">
        <v>526.6875</v>
      </c>
      <c r="J3583" s="9">
        <f t="shared" si="55"/>
        <v>43746.856526956013</v>
      </c>
      <c r="K3583" s="1"/>
    </row>
    <row r="3584" spans="1:11" x14ac:dyDescent="0.25">
      <c r="A3584" t="e">
        <f>-LqfZmcPw99kAjx-Ua2H</f>
        <v>#NAME?</v>
      </c>
      <c r="B3584">
        <v>393.75</v>
      </c>
      <c r="C3584">
        <v>20.584240000000001</v>
      </c>
      <c r="D3584">
        <v>67</v>
      </c>
      <c r="E3584">
        <v>0</v>
      </c>
      <c r="F3584">
        <v>0</v>
      </c>
      <c r="G3584">
        <v>4</v>
      </c>
      <c r="H3584" s="4">
        <v>1570541610139</v>
      </c>
      <c r="I3584">
        <v>526.6875</v>
      </c>
      <c r="J3584" s="9">
        <f t="shared" si="55"/>
        <v>43746.856598831015</v>
      </c>
      <c r="K3584" s="1"/>
    </row>
    <row r="3585" spans="1:11" x14ac:dyDescent="0.25">
      <c r="A3585" t="e">
        <f>-LqfZoLG5XnM78X7bsiw</f>
        <v>#NAME?</v>
      </c>
      <c r="B3585">
        <v>393.75</v>
      </c>
      <c r="C3585">
        <v>20.531590000000001</v>
      </c>
      <c r="D3585">
        <v>67</v>
      </c>
      <c r="E3585">
        <v>0</v>
      </c>
      <c r="F3585">
        <v>0</v>
      </c>
      <c r="G3585">
        <v>6</v>
      </c>
      <c r="H3585" s="4">
        <v>1570541617369</v>
      </c>
      <c r="I3585">
        <v>526.6875</v>
      </c>
      <c r="J3585" s="9">
        <f t="shared" si="55"/>
        <v>43746.85668251157</v>
      </c>
      <c r="K3585" s="1"/>
    </row>
    <row r="3586" spans="1:11" x14ac:dyDescent="0.25">
      <c r="A3586" t="e">
        <f>-LqfZq8Iw99xac-Zwg7e</f>
        <v>#NAME?</v>
      </c>
      <c r="B3586">
        <v>393.75</v>
      </c>
      <c r="C3586">
        <v>20.584240000000001</v>
      </c>
      <c r="D3586">
        <v>68</v>
      </c>
      <c r="E3586">
        <v>0</v>
      </c>
      <c r="F3586">
        <v>0</v>
      </c>
      <c r="G3586">
        <v>5</v>
      </c>
      <c r="H3586" s="4">
        <v>1570541624569</v>
      </c>
      <c r="I3586">
        <v>526.6875</v>
      </c>
      <c r="J3586" s="9">
        <f t="shared" si="55"/>
        <v>43746.85676584491</v>
      </c>
      <c r="K3586" s="1"/>
    </row>
    <row r="3587" spans="1:11" x14ac:dyDescent="0.25">
      <c r="A3587" t="e">
        <f>-LqfZrooRyUUb8cnIsbp</f>
        <v>#NAME?</v>
      </c>
      <c r="B3587">
        <v>393.75</v>
      </c>
      <c r="C3587">
        <v>20.531590000000001</v>
      </c>
      <c r="D3587">
        <v>69</v>
      </c>
      <c r="E3587">
        <v>0</v>
      </c>
      <c r="F3587">
        <v>0</v>
      </c>
      <c r="G3587">
        <v>7</v>
      </c>
      <c r="H3587" s="4">
        <v>1570541631768</v>
      </c>
      <c r="I3587">
        <v>526.6875</v>
      </c>
      <c r="J3587" s="9">
        <f t="shared" ref="J3587:J3650" si="56">(H3587/86400000)+25569+(7/24)</f>
        <v>43746.856849166659</v>
      </c>
      <c r="K3587" s="1"/>
    </row>
    <row r="3588" spans="1:11" x14ac:dyDescent="0.25">
      <c r="A3588" t="e">
        <f>-LqfZtQH8ieyTQNd0j3h</f>
        <v>#NAME?</v>
      </c>
      <c r="B3588">
        <v>393.75</v>
      </c>
      <c r="C3588">
        <v>20.584240000000001</v>
      </c>
      <c r="D3588">
        <v>69</v>
      </c>
      <c r="E3588">
        <v>0</v>
      </c>
      <c r="F3588">
        <v>0</v>
      </c>
      <c r="G3588">
        <v>8</v>
      </c>
      <c r="H3588" s="4">
        <v>1570541637960</v>
      </c>
      <c r="I3588">
        <v>526.6875</v>
      </c>
      <c r="J3588" s="9">
        <f t="shared" si="56"/>
        <v>43746.856920833328</v>
      </c>
      <c r="K3588" s="1"/>
    </row>
    <row r="3589" spans="1:11" x14ac:dyDescent="0.25">
      <c r="A3589" t="e">
        <f>-LqfZv8GpKBdkIoq3u7p</f>
        <v>#NAME?</v>
      </c>
      <c r="B3589">
        <v>393.75</v>
      </c>
      <c r="C3589">
        <v>20.584240000000001</v>
      </c>
      <c r="D3589">
        <v>66</v>
      </c>
      <c r="E3589">
        <v>0</v>
      </c>
      <c r="F3589">
        <v>0</v>
      </c>
      <c r="G3589">
        <v>13</v>
      </c>
      <c r="H3589" s="4">
        <v>1570541645178</v>
      </c>
      <c r="I3589">
        <v>526.6875</v>
      </c>
      <c r="J3589" s="9">
        <f t="shared" si="56"/>
        <v>43746.857004375001</v>
      </c>
      <c r="K3589" s="1"/>
    </row>
    <row r="3590" spans="1:11" x14ac:dyDescent="0.25">
      <c r="A3590" t="e">
        <f>-LqfZwwHZnGcaF9wQiwh</f>
        <v>#NAME?</v>
      </c>
      <c r="B3590">
        <v>393.75</v>
      </c>
      <c r="C3590">
        <v>20.531590000000001</v>
      </c>
      <c r="D3590">
        <v>66</v>
      </c>
      <c r="E3590">
        <v>0</v>
      </c>
      <c r="F3590">
        <v>0</v>
      </c>
      <c r="G3590">
        <v>14</v>
      </c>
      <c r="H3590" s="4">
        <v>1570541652390</v>
      </c>
      <c r="I3590">
        <v>526.5</v>
      </c>
      <c r="J3590" s="9">
        <f t="shared" si="56"/>
        <v>43746.857087847216</v>
      </c>
      <c r="K3590" s="1"/>
    </row>
    <row r="3591" spans="1:11" x14ac:dyDescent="0.25">
      <c r="A3591" t="e">
        <f>-LqfZyeFMl1XboBC6l7k</f>
        <v>#NAME?</v>
      </c>
      <c r="B3591">
        <v>393.75</v>
      </c>
      <c r="C3591">
        <v>20.531590000000001</v>
      </c>
      <c r="D3591">
        <v>69</v>
      </c>
      <c r="E3591">
        <v>0</v>
      </c>
      <c r="F3591">
        <v>0</v>
      </c>
      <c r="G3591">
        <v>6</v>
      </c>
      <c r="H3591" s="4">
        <v>1570541659611</v>
      </c>
      <c r="I3591">
        <v>526.6875</v>
      </c>
      <c r="J3591" s="9">
        <f t="shared" si="56"/>
        <v>43746.85717142361</v>
      </c>
      <c r="K3591" s="1"/>
    </row>
    <row r="3592" spans="1:11" x14ac:dyDescent="0.25">
      <c r="A3592" t="e">
        <f>-Lqf_-l1KceUzjpIDnKo</f>
        <v>#NAME?</v>
      </c>
      <c r="B3592">
        <v>393.75</v>
      </c>
      <c r="C3592">
        <v>20.531590000000001</v>
      </c>
      <c r="D3592">
        <v>66</v>
      </c>
      <c r="E3592">
        <v>0</v>
      </c>
      <c r="F3592">
        <v>0</v>
      </c>
      <c r="G3592">
        <v>7</v>
      </c>
      <c r="H3592" s="4">
        <v>1570541666818</v>
      </c>
      <c r="I3592">
        <v>526.6875</v>
      </c>
      <c r="J3592" s="9">
        <f t="shared" si="56"/>
        <v>43746.85725483796</v>
      </c>
      <c r="K3592" s="1"/>
    </row>
    <row r="3593" spans="1:11" x14ac:dyDescent="0.25">
      <c r="A3593" t="e">
        <f>-Lqf_1PAT2KYAjbiaCZm</f>
        <v>#NAME?</v>
      </c>
      <c r="B3593">
        <v>393.75</v>
      </c>
      <c r="C3593">
        <v>20.531590000000001</v>
      </c>
      <c r="D3593">
        <v>67</v>
      </c>
      <c r="E3593">
        <v>0</v>
      </c>
      <c r="F3593">
        <v>0</v>
      </c>
      <c r="G3593">
        <v>7</v>
      </c>
      <c r="H3593" s="4">
        <v>1570541675052</v>
      </c>
      <c r="I3593">
        <v>526.6875</v>
      </c>
      <c r="J3593" s="9">
        <f t="shared" si="56"/>
        <v>43746.857350138882</v>
      </c>
      <c r="K3593" s="1"/>
    </row>
    <row r="3594" spans="1:11" x14ac:dyDescent="0.25">
      <c r="A3594" t="e">
        <f>-Lqf_3C9QydsuO9fchLG</f>
        <v>#NAME?</v>
      </c>
      <c r="B3594">
        <v>393.75</v>
      </c>
      <c r="C3594">
        <v>20.531590000000001</v>
      </c>
      <c r="D3594">
        <v>67</v>
      </c>
      <c r="E3594">
        <v>0</v>
      </c>
      <c r="F3594">
        <v>0</v>
      </c>
      <c r="G3594">
        <v>2</v>
      </c>
      <c r="H3594" s="4">
        <v>1570541682153</v>
      </c>
      <c r="I3594">
        <v>526.6875</v>
      </c>
      <c r="J3594" s="9">
        <f t="shared" si="56"/>
        <v>43746.857432326382</v>
      </c>
      <c r="K3594" s="1"/>
    </row>
    <row r="3595" spans="1:11" x14ac:dyDescent="0.25">
      <c r="A3595" t="e">
        <f>-Lqf_4f3edDeITb-WlfK</f>
        <v>#NAME?</v>
      </c>
      <c r="B3595">
        <v>393.75</v>
      </c>
      <c r="C3595">
        <v>20.531590000000001</v>
      </c>
      <c r="D3595">
        <v>66</v>
      </c>
      <c r="E3595">
        <v>0</v>
      </c>
      <c r="F3595">
        <v>0</v>
      </c>
      <c r="G3595">
        <v>9</v>
      </c>
      <c r="H3595" s="4">
        <v>1570541688473</v>
      </c>
      <c r="I3595">
        <v>526.6875</v>
      </c>
      <c r="J3595" s="9">
        <f t="shared" si="56"/>
        <v>43746.857505474538</v>
      </c>
      <c r="K3595" s="1"/>
    </row>
    <row r="3596" spans="1:11" x14ac:dyDescent="0.25">
      <c r="A3596" t="e">
        <f>-Lqf_6U90D_jtcpt_58t</f>
        <v>#NAME?</v>
      </c>
      <c r="B3596">
        <v>393.75</v>
      </c>
      <c r="C3596">
        <v>20.531590000000001</v>
      </c>
      <c r="D3596">
        <v>66</v>
      </c>
      <c r="E3596">
        <v>0</v>
      </c>
      <c r="F3596">
        <v>0</v>
      </c>
      <c r="G3596">
        <v>11</v>
      </c>
      <c r="H3596" s="4">
        <v>1570541695663</v>
      </c>
      <c r="I3596">
        <v>526.6875</v>
      </c>
      <c r="J3596" s="9">
        <f t="shared" si="56"/>
        <v>43746.857588692124</v>
      </c>
      <c r="K3596" s="1"/>
    </row>
    <row r="3597" spans="1:11" x14ac:dyDescent="0.25">
      <c r="A3597" t="e">
        <f>-Lqf_7y9jY7i17uj6rF3</f>
        <v>#NAME?</v>
      </c>
      <c r="B3597">
        <v>393.75</v>
      </c>
      <c r="C3597">
        <v>20.584240000000001</v>
      </c>
      <c r="D3597">
        <v>68</v>
      </c>
      <c r="E3597">
        <v>0</v>
      </c>
      <c r="F3597">
        <v>0</v>
      </c>
      <c r="G3597">
        <v>11</v>
      </c>
      <c r="H3597" s="4">
        <v>1570541701843</v>
      </c>
      <c r="I3597">
        <v>526.6875</v>
      </c>
      <c r="J3597" s="9">
        <f t="shared" si="56"/>
        <v>43746.85766021991</v>
      </c>
      <c r="K3597" s="1"/>
    </row>
    <row r="3598" spans="1:11" x14ac:dyDescent="0.25">
      <c r="A3598" t="e">
        <f>-Lqf_9SAvlIp_6vpkP1t</f>
        <v>#NAME?</v>
      </c>
      <c r="B3598">
        <v>412.5</v>
      </c>
      <c r="C3598">
        <v>20.584240000000001</v>
      </c>
      <c r="D3598">
        <v>68</v>
      </c>
      <c r="E3598">
        <v>0</v>
      </c>
      <c r="F3598">
        <v>0</v>
      </c>
      <c r="G3598">
        <v>0</v>
      </c>
      <c r="H3598" s="4">
        <v>1570541708032</v>
      </c>
      <c r="I3598">
        <v>532.3125</v>
      </c>
      <c r="J3598" s="9">
        <f t="shared" si="56"/>
        <v>43746.857731851851</v>
      </c>
      <c r="K3598" s="1"/>
    </row>
    <row r="3599" spans="1:11" x14ac:dyDescent="0.25">
      <c r="A3599" t="e">
        <f>-Lqf_B0Jl5VT3boYinG5</f>
        <v>#NAME?</v>
      </c>
      <c r="B3599">
        <v>393.75</v>
      </c>
      <c r="C3599">
        <v>20.531590000000001</v>
      </c>
      <c r="D3599">
        <v>67</v>
      </c>
      <c r="E3599">
        <v>0</v>
      </c>
      <c r="F3599">
        <v>0</v>
      </c>
      <c r="G3599">
        <v>8</v>
      </c>
      <c r="H3599" s="4">
        <v>1570541714224</v>
      </c>
      <c r="I3599">
        <v>526.6875</v>
      </c>
      <c r="J3599" s="9">
        <f t="shared" si="56"/>
        <v>43746.857803518513</v>
      </c>
      <c r="K3599" s="1"/>
    </row>
    <row r="3600" spans="1:11" x14ac:dyDescent="0.25">
      <c r="A3600" t="e">
        <f>-Lqf_CjAyBa48_bab1Rf</f>
        <v>#NAME?</v>
      </c>
      <c r="B3600">
        <v>393.75</v>
      </c>
      <c r="C3600">
        <v>20.584240000000001</v>
      </c>
      <c r="D3600">
        <v>65</v>
      </c>
      <c r="E3600">
        <v>0</v>
      </c>
      <c r="F3600">
        <v>0</v>
      </c>
      <c r="G3600">
        <v>4</v>
      </c>
      <c r="H3600" s="4">
        <v>1570541721432</v>
      </c>
      <c r="I3600">
        <v>526.6875</v>
      </c>
      <c r="J3600" s="9">
        <f t="shared" si="56"/>
        <v>43746.857886944439</v>
      </c>
      <c r="K3600" s="1"/>
    </row>
    <row r="3601" spans="1:11" x14ac:dyDescent="0.25">
      <c r="A3601" t="e">
        <f>-Lqf_EI93IMwyyZ2wsfc</f>
        <v>#NAME?</v>
      </c>
      <c r="B3601">
        <v>393.75</v>
      </c>
      <c r="C3601">
        <v>20.531590000000001</v>
      </c>
      <c r="D3601">
        <v>65</v>
      </c>
      <c r="E3601">
        <v>0</v>
      </c>
      <c r="F3601">
        <v>0</v>
      </c>
      <c r="G3601">
        <v>7</v>
      </c>
      <c r="H3601" s="4">
        <v>1570541727614</v>
      </c>
      <c r="I3601">
        <v>526.6875</v>
      </c>
      <c r="J3601" s="9">
        <f t="shared" si="56"/>
        <v>43746.85795849537</v>
      </c>
      <c r="K3601" s="1"/>
    </row>
    <row r="3602" spans="1:11" x14ac:dyDescent="0.25">
      <c r="A3602" t="e">
        <f>-Lqf_G0AdtIQ8TyALaNa</f>
        <v>#NAME?</v>
      </c>
      <c r="B3602">
        <v>393.75</v>
      </c>
      <c r="C3602">
        <v>20.531590000000001</v>
      </c>
      <c r="D3602">
        <v>67</v>
      </c>
      <c r="E3602">
        <v>0</v>
      </c>
      <c r="F3602">
        <v>0</v>
      </c>
      <c r="G3602">
        <v>9</v>
      </c>
      <c r="H3602" s="4">
        <v>1570541734804</v>
      </c>
      <c r="I3602">
        <v>526.6875</v>
      </c>
      <c r="J3602" s="9">
        <f t="shared" si="56"/>
        <v>43746.858041712963</v>
      </c>
      <c r="K3602" s="1"/>
    </row>
    <row r="3603" spans="1:11" x14ac:dyDescent="0.25">
      <c r="A3603" t="e">
        <f>-Lqf_H_99GttmRiMw_uQ</f>
        <v>#NAME?</v>
      </c>
      <c r="B3603">
        <v>393.75</v>
      </c>
      <c r="C3603">
        <v>20.584240000000001</v>
      </c>
      <c r="D3603">
        <v>67</v>
      </c>
      <c r="E3603">
        <v>0</v>
      </c>
      <c r="F3603">
        <v>0</v>
      </c>
      <c r="G3603">
        <v>6</v>
      </c>
      <c r="H3603" s="4">
        <v>1570541740994</v>
      </c>
      <c r="I3603">
        <v>526.6875</v>
      </c>
      <c r="J3603" s="9">
        <f t="shared" si="56"/>
        <v>43746.85811335648</v>
      </c>
      <c r="K3603" s="1"/>
    </row>
    <row r="3604" spans="1:11" x14ac:dyDescent="0.25">
      <c r="A3604" t="e">
        <f>-Lqf_JI9XwUhBu6-dmDm</f>
        <v>#NAME?</v>
      </c>
      <c r="B3604">
        <v>393.75</v>
      </c>
      <c r="C3604">
        <v>20.531590000000001</v>
      </c>
      <c r="D3604">
        <v>64</v>
      </c>
      <c r="E3604">
        <v>0</v>
      </c>
      <c r="F3604">
        <v>0</v>
      </c>
      <c r="G3604">
        <v>11</v>
      </c>
      <c r="H3604" s="4">
        <v>1570541748243</v>
      </c>
      <c r="I3604">
        <v>526.6875</v>
      </c>
      <c r="J3604" s="9">
        <f t="shared" si="56"/>
        <v>43746.858197256945</v>
      </c>
      <c r="K3604" s="1"/>
    </row>
    <row r="3605" spans="1:11" x14ac:dyDescent="0.25">
      <c r="A3605" t="e">
        <f>-Lqf_L5CiWr5CADK8HoR</f>
        <v>#NAME?</v>
      </c>
      <c r="B3605">
        <v>393.75</v>
      </c>
      <c r="C3605">
        <v>20.531590000000001</v>
      </c>
      <c r="D3605">
        <v>63</v>
      </c>
      <c r="E3605">
        <v>0</v>
      </c>
      <c r="F3605">
        <v>0</v>
      </c>
      <c r="G3605">
        <v>4</v>
      </c>
      <c r="H3605" s="4">
        <v>1570541755443</v>
      </c>
      <c r="I3605">
        <v>526.6875</v>
      </c>
      <c r="J3605" s="9">
        <f t="shared" si="56"/>
        <v>43746.858280590277</v>
      </c>
      <c r="K3605" s="1"/>
    </row>
    <row r="3606" spans="1:11" x14ac:dyDescent="0.25">
      <c r="A3606" t="e">
        <f>-Lqf_MoAtr5qv3U9_Pdn</f>
        <v>#NAME?</v>
      </c>
      <c r="B3606">
        <v>393.75</v>
      </c>
      <c r="C3606">
        <v>20.531590000000001</v>
      </c>
      <c r="D3606">
        <v>63</v>
      </c>
      <c r="E3606">
        <v>0</v>
      </c>
      <c r="F3606">
        <v>0</v>
      </c>
      <c r="G3606">
        <v>12</v>
      </c>
      <c r="H3606" s="4">
        <v>1570541762643</v>
      </c>
      <c r="I3606">
        <v>526.5</v>
      </c>
      <c r="J3606" s="9">
        <f t="shared" si="56"/>
        <v>43746.858363923609</v>
      </c>
      <c r="K3606" s="1"/>
    </row>
    <row r="3607" spans="1:11" x14ac:dyDescent="0.25">
      <c r="A3607" t="e">
        <f>-Lqf_ObA3dKK8mwMec7k</f>
        <v>#NAME?</v>
      </c>
      <c r="B3607">
        <v>393.75</v>
      </c>
      <c r="C3607">
        <v>20.584240000000001</v>
      </c>
      <c r="D3607">
        <v>66</v>
      </c>
      <c r="E3607">
        <v>0</v>
      </c>
      <c r="F3607">
        <v>0</v>
      </c>
      <c r="G3607">
        <v>12</v>
      </c>
      <c r="H3607" s="4">
        <v>1570541769872</v>
      </c>
      <c r="I3607">
        <v>526.6875</v>
      </c>
      <c r="J3607" s="9">
        <f t="shared" si="56"/>
        <v>43746.858447592589</v>
      </c>
      <c r="K3607" s="1"/>
    </row>
    <row r="3608" spans="1:11" x14ac:dyDescent="0.25">
      <c r="A3608" t="e">
        <f>-Lqf_QKAFwfu9xrWwrVK</f>
        <v>#NAME?</v>
      </c>
      <c r="B3608">
        <v>393.75</v>
      </c>
      <c r="C3608">
        <v>20.478950000000001</v>
      </c>
      <c r="D3608">
        <v>65</v>
      </c>
      <c r="E3608">
        <v>0</v>
      </c>
      <c r="F3608">
        <v>0</v>
      </c>
      <c r="G3608">
        <v>10</v>
      </c>
      <c r="H3608" s="4">
        <v>1570541777053</v>
      </c>
      <c r="I3608">
        <v>526.6875</v>
      </c>
      <c r="J3608" s="9">
        <f t="shared" si="56"/>
        <v>43746.85853070602</v>
      </c>
      <c r="K3608" s="1"/>
    </row>
    <row r="3609" spans="1:11" x14ac:dyDescent="0.25">
      <c r="A3609" t="e">
        <f>-Lqf_RsPYQWgUIUwynJ0</f>
        <v>#NAME?</v>
      </c>
      <c r="B3609">
        <v>418.75</v>
      </c>
      <c r="C3609">
        <v>20.584240000000001</v>
      </c>
      <c r="D3609">
        <v>65</v>
      </c>
      <c r="E3609">
        <v>0</v>
      </c>
      <c r="F3609">
        <v>0</v>
      </c>
      <c r="G3609">
        <v>11</v>
      </c>
      <c r="H3609" s="4">
        <v>1570541783262</v>
      </c>
      <c r="I3609">
        <v>534.9375</v>
      </c>
      <c r="J3609" s="9">
        <f t="shared" si="56"/>
        <v>43746.858602569446</v>
      </c>
      <c r="K3609" s="1"/>
    </row>
    <row r="3610" spans="1:11" x14ac:dyDescent="0.25">
      <c r="A3610" t="e">
        <f>-Lqf_TbAwoXCx-ajZHUx</f>
        <v>#NAME?</v>
      </c>
      <c r="B3610">
        <v>393.75</v>
      </c>
      <c r="C3610">
        <v>20.531590000000001</v>
      </c>
      <c r="D3610">
        <v>65</v>
      </c>
      <c r="E3610">
        <v>0</v>
      </c>
      <c r="F3610">
        <v>0</v>
      </c>
      <c r="G3610">
        <v>16</v>
      </c>
      <c r="H3610" s="4">
        <v>1570541790482</v>
      </c>
      <c r="I3610">
        <v>526.6875</v>
      </c>
      <c r="J3610" s="9">
        <f t="shared" si="56"/>
        <v>43746.858686134256</v>
      </c>
      <c r="K3610" s="1"/>
    </row>
    <row r="3611" spans="1:11" x14ac:dyDescent="0.25">
      <c r="A3611" t="e">
        <f>-Lqf_VK9iJcORnEVCNp9</f>
        <v>#NAME?</v>
      </c>
      <c r="B3611">
        <v>393.75</v>
      </c>
      <c r="C3611">
        <v>20.531590000000001</v>
      </c>
      <c r="D3611">
        <v>65</v>
      </c>
      <c r="E3611">
        <v>0</v>
      </c>
      <c r="F3611">
        <v>0</v>
      </c>
      <c r="G3611">
        <v>7</v>
      </c>
      <c r="H3611" s="4">
        <v>1570541797345</v>
      </c>
      <c r="I3611">
        <v>526.6875</v>
      </c>
      <c r="J3611" s="9">
        <f t="shared" si="56"/>
        <v>43746.858765567129</v>
      </c>
      <c r="K3611" s="1"/>
    </row>
    <row r="3612" spans="1:11" x14ac:dyDescent="0.25">
      <c r="A3612" t="e">
        <f>-Lqf_Wt9TCj4BJo4II4j</f>
        <v>#NAME?</v>
      </c>
      <c r="B3612">
        <v>412.5</v>
      </c>
      <c r="C3612">
        <v>20.584240000000001</v>
      </c>
      <c r="D3612">
        <v>66</v>
      </c>
      <c r="E3612">
        <v>0</v>
      </c>
      <c r="F3612">
        <v>0</v>
      </c>
      <c r="G3612">
        <v>5</v>
      </c>
      <c r="H3612" s="4">
        <v>1570541803872</v>
      </c>
      <c r="I3612">
        <v>532.3125</v>
      </c>
      <c r="J3612" s="9">
        <f t="shared" si="56"/>
        <v>43746.858841111105</v>
      </c>
      <c r="K3612" s="1"/>
    </row>
    <row r="3613" spans="1:11" x14ac:dyDescent="0.25">
      <c r="A3613" t="e">
        <f>-Lqf_YOPQj_WdWAzRV5t</f>
        <v>#NAME?</v>
      </c>
      <c r="B3613">
        <v>393.75</v>
      </c>
      <c r="C3613">
        <v>20.584240000000001</v>
      </c>
      <c r="D3613">
        <v>66</v>
      </c>
      <c r="E3613">
        <v>0</v>
      </c>
      <c r="F3613">
        <v>0</v>
      </c>
      <c r="G3613">
        <v>10</v>
      </c>
      <c r="H3613" s="4">
        <v>1570541810076</v>
      </c>
      <c r="I3613">
        <v>526.6875</v>
      </c>
      <c r="J3613" s="9">
        <f t="shared" si="56"/>
        <v>43746.858912916665</v>
      </c>
      <c r="K3613" s="1"/>
    </row>
    <row r="3614" spans="1:11" x14ac:dyDescent="0.25">
      <c r="A3614" t="e">
        <f>-Lqf_ZxQI7B-FZZigRqo</f>
        <v>#NAME?</v>
      </c>
      <c r="B3614">
        <v>393.75</v>
      </c>
      <c r="C3614">
        <v>20.531590000000001</v>
      </c>
      <c r="D3614">
        <v>66</v>
      </c>
      <c r="E3614">
        <v>0</v>
      </c>
      <c r="F3614">
        <v>0</v>
      </c>
      <c r="G3614">
        <v>19</v>
      </c>
      <c r="H3614" s="4">
        <v>1570541816243</v>
      </c>
      <c r="I3614">
        <v>526.6875</v>
      </c>
      <c r="J3614" s="9">
        <f t="shared" si="56"/>
        <v>43746.858984293976</v>
      </c>
      <c r="K3614" s="1"/>
    </row>
    <row r="3615" spans="1:11" x14ac:dyDescent="0.25">
      <c r="A3615" t="e">
        <f>-Lqf_aeAq24So9ytCDvp</f>
        <v>#NAME?</v>
      </c>
      <c r="B3615">
        <v>393.75</v>
      </c>
      <c r="C3615">
        <v>20.531590000000001</v>
      </c>
      <c r="D3615">
        <v>66</v>
      </c>
      <c r="E3615">
        <v>0</v>
      </c>
      <c r="F3615">
        <v>0</v>
      </c>
      <c r="G3615">
        <v>7</v>
      </c>
      <c r="H3615" s="4">
        <v>1570541823443</v>
      </c>
      <c r="I3615">
        <v>526.6875</v>
      </c>
      <c r="J3615" s="9">
        <f t="shared" si="56"/>
        <v>43746.859067627309</v>
      </c>
      <c r="K3615" s="1"/>
    </row>
    <row r="3616" spans="1:11" x14ac:dyDescent="0.25">
      <c r="A3616" t="s">
        <v>188</v>
      </c>
      <c r="B3616">
        <v>393.75</v>
      </c>
      <c r="C3616">
        <v>20.531590000000001</v>
      </c>
      <c r="D3616">
        <v>66</v>
      </c>
      <c r="E3616">
        <v>0</v>
      </c>
      <c r="F3616">
        <v>0</v>
      </c>
      <c r="G3616">
        <v>8</v>
      </c>
      <c r="H3616" s="4">
        <v>1570541829633</v>
      </c>
      <c r="I3616">
        <v>526.6875</v>
      </c>
      <c r="J3616" s="9">
        <f t="shared" si="56"/>
        <v>43746.859139270826</v>
      </c>
      <c r="K3616" s="1"/>
    </row>
    <row r="3617" spans="1:11" x14ac:dyDescent="0.25">
      <c r="A3617" t="e">
        <f>-Lqf_duzEBMvVHRT_Vx9</f>
        <v>#NAME?</v>
      </c>
      <c r="B3617">
        <v>393.75</v>
      </c>
      <c r="C3617">
        <v>20.584240000000001</v>
      </c>
      <c r="D3617">
        <v>63</v>
      </c>
      <c r="E3617">
        <v>0</v>
      </c>
      <c r="F3617">
        <v>0</v>
      </c>
      <c r="G3617">
        <v>12</v>
      </c>
      <c r="H3617" s="4">
        <v>1570541836853</v>
      </c>
      <c r="I3617">
        <v>526.6875</v>
      </c>
      <c r="J3617" s="9">
        <f t="shared" si="56"/>
        <v>43746.85922283565</v>
      </c>
      <c r="K3617" s="1"/>
    </row>
    <row r="3618" spans="1:11" x14ac:dyDescent="0.25">
      <c r="A3618" t="e">
        <f>-Lqf_fjANHCdH2AhBD8j</f>
        <v>#NAME?</v>
      </c>
      <c r="B3618">
        <v>393.75</v>
      </c>
      <c r="C3618">
        <v>20.584240000000001</v>
      </c>
      <c r="D3618">
        <v>64</v>
      </c>
      <c r="E3618">
        <v>0</v>
      </c>
      <c r="F3618">
        <v>0</v>
      </c>
      <c r="G3618">
        <v>8</v>
      </c>
      <c r="H3618" s="4">
        <v>1570541844063</v>
      </c>
      <c r="I3618">
        <v>526.6875</v>
      </c>
      <c r="J3618" s="9">
        <f t="shared" si="56"/>
        <v>43746.859306284721</v>
      </c>
      <c r="K3618" s="1"/>
    </row>
    <row r="3619" spans="1:11" x14ac:dyDescent="0.25">
      <c r="A3619" t="e">
        <f>-Lqf_hSA3cdpVm_Y8ryZ</f>
        <v>#NAME?</v>
      </c>
      <c r="B3619">
        <v>393.75</v>
      </c>
      <c r="C3619">
        <v>20.531590000000001</v>
      </c>
      <c r="D3619">
        <v>64</v>
      </c>
      <c r="E3619">
        <v>0</v>
      </c>
      <c r="F3619">
        <v>0</v>
      </c>
      <c r="G3619">
        <v>11</v>
      </c>
      <c r="H3619" s="4">
        <v>1570541851282</v>
      </c>
      <c r="I3619">
        <v>526.6875</v>
      </c>
      <c r="J3619" s="9">
        <f t="shared" si="56"/>
        <v>43746.859389837962</v>
      </c>
      <c r="K3619" s="1"/>
    </row>
    <row r="3620" spans="1:11" x14ac:dyDescent="0.25">
      <c r="A3620" t="s">
        <v>189</v>
      </c>
      <c r="B3620">
        <v>393.75</v>
      </c>
      <c r="C3620">
        <v>20.531590000000001</v>
      </c>
      <c r="D3620">
        <v>64</v>
      </c>
      <c r="E3620">
        <v>0</v>
      </c>
      <c r="F3620">
        <v>0</v>
      </c>
      <c r="G3620">
        <v>6</v>
      </c>
      <c r="H3620" s="4">
        <v>1570541857463</v>
      </c>
      <c r="I3620">
        <v>526.6875</v>
      </c>
      <c r="J3620" s="9">
        <f t="shared" si="56"/>
        <v>43746.859461377309</v>
      </c>
      <c r="K3620" s="1"/>
    </row>
    <row r="3621" spans="1:11" x14ac:dyDescent="0.25">
      <c r="A3621" t="e">
        <f>-Lqf_kihyIhTlxv10DyW</f>
        <v>#NAME?</v>
      </c>
      <c r="B3621">
        <v>412.5</v>
      </c>
      <c r="C3621">
        <v>20.478950000000001</v>
      </c>
      <c r="D3621">
        <v>65</v>
      </c>
      <c r="E3621">
        <v>0</v>
      </c>
      <c r="F3621">
        <v>0</v>
      </c>
      <c r="G3621">
        <v>16</v>
      </c>
      <c r="H3621" s="4">
        <v>1570541864672</v>
      </c>
      <c r="I3621">
        <v>532.3125</v>
      </c>
      <c r="J3621" s="9">
        <f t="shared" si="56"/>
        <v>43746.859544814812</v>
      </c>
      <c r="K3621" s="1"/>
    </row>
    <row r="3622" spans="1:11" x14ac:dyDescent="0.25">
      <c r="A3622" t="s">
        <v>190</v>
      </c>
      <c r="B3622">
        <v>393.75</v>
      </c>
      <c r="C3622">
        <v>20.531590000000001</v>
      </c>
      <c r="D3622">
        <v>65</v>
      </c>
      <c r="E3622">
        <v>0</v>
      </c>
      <c r="F3622">
        <v>0</v>
      </c>
      <c r="G3622">
        <v>8</v>
      </c>
      <c r="H3622" s="4">
        <v>1570541871863</v>
      </c>
      <c r="I3622">
        <v>526.6875</v>
      </c>
      <c r="J3622" s="9">
        <f t="shared" si="56"/>
        <v>43746.859628043974</v>
      </c>
      <c r="K3622" s="1"/>
    </row>
    <row r="3623" spans="1:11" x14ac:dyDescent="0.25">
      <c r="A3623" t="e">
        <f>-Lqf_oF8860svIxYZ2Aw</f>
        <v>#NAME?</v>
      </c>
      <c r="B3623">
        <v>412.5</v>
      </c>
      <c r="C3623">
        <v>20.584240000000001</v>
      </c>
      <c r="D3623">
        <v>64</v>
      </c>
      <c r="E3623">
        <v>0</v>
      </c>
      <c r="F3623">
        <v>0</v>
      </c>
      <c r="G3623">
        <v>5</v>
      </c>
      <c r="H3623" s="4">
        <v>1570541879121</v>
      </c>
      <c r="I3623">
        <v>532.125</v>
      </c>
      <c r="J3623" s="9">
        <f t="shared" si="56"/>
        <v>43746.859712048608</v>
      </c>
      <c r="K3623" s="1"/>
    </row>
    <row r="3624" spans="1:11" x14ac:dyDescent="0.25">
      <c r="A3624" t="e">
        <f>-Lqf_pj2CHrLaIl7pEa5</f>
        <v>#NAME?</v>
      </c>
      <c r="B3624">
        <v>393.75</v>
      </c>
      <c r="C3624">
        <v>20.584240000000001</v>
      </c>
      <c r="D3624">
        <v>64</v>
      </c>
      <c r="E3624">
        <v>0</v>
      </c>
      <c r="F3624">
        <v>0</v>
      </c>
      <c r="G3624">
        <v>14</v>
      </c>
      <c r="H3624" s="4">
        <v>1570541885284</v>
      </c>
      <c r="I3624">
        <v>526.5</v>
      </c>
      <c r="J3624" s="9">
        <f t="shared" si="56"/>
        <v>43746.85978337963</v>
      </c>
      <c r="K3624" s="1"/>
    </row>
    <row r="3625" spans="1:11" x14ac:dyDescent="0.25">
      <c r="A3625" t="e">
        <f>-Lqf_rcpNBBQJe-jVFKO</f>
        <v>#NAME?</v>
      </c>
      <c r="B3625">
        <v>393.75</v>
      </c>
      <c r="C3625">
        <v>20.531590000000001</v>
      </c>
      <c r="D3625">
        <v>64</v>
      </c>
      <c r="E3625">
        <v>0</v>
      </c>
      <c r="F3625">
        <v>0</v>
      </c>
      <c r="G3625">
        <v>11</v>
      </c>
      <c r="H3625" s="4">
        <v>1570541891472</v>
      </c>
      <c r="I3625">
        <v>526.6875</v>
      </c>
      <c r="J3625" s="9">
        <f t="shared" si="56"/>
        <v>43746.859854999995</v>
      </c>
      <c r="K3625" s="1"/>
    </row>
    <row r="3626" spans="1:11" x14ac:dyDescent="0.25">
      <c r="A3626" t="e">
        <f>-Lqf_tKFhiWtT7vlxS5k</f>
        <v>#NAME?</v>
      </c>
      <c r="B3626">
        <v>412.5</v>
      </c>
      <c r="C3626">
        <v>20.584240000000001</v>
      </c>
      <c r="D3626">
        <v>64</v>
      </c>
      <c r="E3626">
        <v>0</v>
      </c>
      <c r="F3626">
        <v>0</v>
      </c>
      <c r="G3626">
        <v>6</v>
      </c>
      <c r="H3626" s="4">
        <v>1570541899719</v>
      </c>
      <c r="I3626">
        <v>532.125</v>
      </c>
      <c r="J3626" s="9">
        <f t="shared" si="56"/>
        <v>43746.859950451391</v>
      </c>
      <c r="K3626" s="1"/>
    </row>
    <row r="3627" spans="1:11" x14ac:dyDescent="0.25">
      <c r="A3627" t="s">
        <v>191</v>
      </c>
      <c r="B3627">
        <v>393.75</v>
      </c>
      <c r="C3627">
        <v>20.531590000000001</v>
      </c>
      <c r="D3627">
        <v>64</v>
      </c>
      <c r="E3627">
        <v>0</v>
      </c>
      <c r="F3627">
        <v>0</v>
      </c>
      <c r="G3627">
        <v>6</v>
      </c>
      <c r="H3627" s="4">
        <v>1570541906930</v>
      </c>
      <c r="I3627">
        <v>526.5</v>
      </c>
      <c r="J3627" s="9">
        <f t="shared" si="56"/>
        <v>43746.860033912038</v>
      </c>
      <c r="K3627" s="1"/>
    </row>
    <row r="3628" spans="1:11" x14ac:dyDescent="0.25">
      <c r="A3628" t="e">
        <f>-Lqf_wlKeCQwBvVyxDNa</f>
        <v>#NAME?</v>
      </c>
      <c r="B3628">
        <v>393.75</v>
      </c>
      <c r="C3628">
        <v>20.584240000000001</v>
      </c>
      <c r="D3628">
        <v>63</v>
      </c>
      <c r="E3628">
        <v>0</v>
      </c>
      <c r="F3628">
        <v>0</v>
      </c>
      <c r="G3628">
        <v>7</v>
      </c>
      <c r="H3628" s="4">
        <v>1570541914149</v>
      </c>
      <c r="I3628">
        <v>526.6875</v>
      </c>
      <c r="J3628" s="9">
        <f t="shared" si="56"/>
        <v>43746.860117465279</v>
      </c>
      <c r="K3628" s="1"/>
    </row>
    <row r="3629" spans="1:11" x14ac:dyDescent="0.25">
      <c r="A3629" t="s">
        <v>192</v>
      </c>
      <c r="B3629">
        <v>393.75</v>
      </c>
      <c r="C3629">
        <v>20.584240000000001</v>
      </c>
      <c r="D3629">
        <v>63</v>
      </c>
      <c r="E3629">
        <v>0</v>
      </c>
      <c r="F3629">
        <v>0</v>
      </c>
      <c r="G3629">
        <v>9</v>
      </c>
      <c r="H3629" s="4">
        <v>1570541920329</v>
      </c>
      <c r="I3629">
        <v>526.6875</v>
      </c>
      <c r="J3629" s="9">
        <f t="shared" si="56"/>
        <v>43746.860188993051</v>
      </c>
      <c r="K3629" s="1"/>
    </row>
    <row r="3630" spans="1:11" x14ac:dyDescent="0.25">
      <c r="A3630" t="s">
        <v>193</v>
      </c>
      <c r="B3630">
        <v>393.75</v>
      </c>
      <c r="C3630">
        <v>20.584240000000001</v>
      </c>
      <c r="D3630">
        <v>64</v>
      </c>
      <c r="E3630">
        <v>0</v>
      </c>
      <c r="F3630">
        <v>0</v>
      </c>
      <c r="G3630">
        <v>10</v>
      </c>
      <c r="H3630" s="4">
        <v>1570541927537</v>
      </c>
      <c r="I3630">
        <v>526.6875</v>
      </c>
      <c r="J3630" s="9">
        <f t="shared" si="56"/>
        <v>43746.860272418977</v>
      </c>
      <c r="K3630" s="1"/>
    </row>
    <row r="3631" spans="1:11" x14ac:dyDescent="0.25">
      <c r="A3631" t="e">
        <f>-Lqfa0mQ8HUL0vMLNqgq</f>
        <v>#NAME?</v>
      </c>
      <c r="B3631">
        <v>412.5</v>
      </c>
      <c r="C3631">
        <v>20.584240000000001</v>
      </c>
      <c r="D3631">
        <v>65</v>
      </c>
      <c r="E3631">
        <v>0</v>
      </c>
      <c r="F3631">
        <v>0</v>
      </c>
      <c r="G3631">
        <v>8</v>
      </c>
      <c r="H3631" s="4">
        <v>1570541934729</v>
      </c>
      <c r="I3631">
        <v>532.5</v>
      </c>
      <c r="J3631" s="9">
        <f t="shared" si="56"/>
        <v>43746.860355659715</v>
      </c>
      <c r="K3631" s="1"/>
    </row>
    <row r="3632" spans="1:11" x14ac:dyDescent="0.25">
      <c r="A3632" t="e">
        <f>-Lqfa2JLLSZnimp5p9ok</f>
        <v>#NAME?</v>
      </c>
      <c r="B3632">
        <v>393.75</v>
      </c>
      <c r="C3632">
        <v>20.584240000000001</v>
      </c>
      <c r="D3632">
        <v>65</v>
      </c>
      <c r="E3632">
        <v>0</v>
      </c>
      <c r="F3632">
        <v>0</v>
      </c>
      <c r="G3632">
        <v>9</v>
      </c>
      <c r="H3632" s="4">
        <v>1570541940950</v>
      </c>
      <c r="I3632">
        <v>526.6875</v>
      </c>
      <c r="J3632" s="9">
        <f t="shared" si="56"/>
        <v>43746.860427662039</v>
      </c>
      <c r="K3632" s="1"/>
    </row>
    <row r="3633" spans="1:11" x14ac:dyDescent="0.25">
      <c r="A3633" t="e">
        <f>-Lqfa3tQmMksXYzLU_kF</f>
        <v>#NAME?</v>
      </c>
      <c r="B3633">
        <v>393.75</v>
      </c>
      <c r="C3633">
        <v>20.531590000000001</v>
      </c>
      <c r="D3633">
        <v>65</v>
      </c>
      <c r="E3633">
        <v>0</v>
      </c>
      <c r="F3633">
        <v>0</v>
      </c>
      <c r="G3633">
        <v>6</v>
      </c>
      <c r="H3633" s="4">
        <v>1570541947118</v>
      </c>
      <c r="I3633">
        <v>526.6875</v>
      </c>
      <c r="J3633" s="9">
        <f t="shared" si="56"/>
        <v>43746.860499050927</v>
      </c>
      <c r="K3633" s="1"/>
    </row>
    <row r="3634" spans="1:11" x14ac:dyDescent="0.25">
      <c r="A3634" t="s">
        <v>194</v>
      </c>
      <c r="B3634">
        <v>393.75</v>
      </c>
      <c r="C3634">
        <v>20.531590000000001</v>
      </c>
      <c r="D3634">
        <v>65</v>
      </c>
      <c r="E3634">
        <v>0</v>
      </c>
      <c r="F3634">
        <v>0</v>
      </c>
      <c r="G3634">
        <v>6</v>
      </c>
      <c r="H3634" s="4">
        <v>1570541954328</v>
      </c>
      <c r="I3634">
        <v>526.6875</v>
      </c>
      <c r="J3634" s="9">
        <f t="shared" si="56"/>
        <v>43746.860582499998</v>
      </c>
      <c r="K3634" s="1"/>
    </row>
    <row r="3635" spans="1:11" x14ac:dyDescent="0.25">
      <c r="A3635" t="e">
        <f>-Lqfa7FIlukMm0G1FlI0</f>
        <v>#NAME?</v>
      </c>
      <c r="B3635">
        <v>393.75</v>
      </c>
      <c r="C3635">
        <v>20.584240000000001</v>
      </c>
      <c r="D3635">
        <v>65</v>
      </c>
      <c r="E3635">
        <v>0</v>
      </c>
      <c r="F3635">
        <v>0</v>
      </c>
      <c r="G3635">
        <v>9</v>
      </c>
      <c r="H3635" s="4">
        <v>1570541960508</v>
      </c>
      <c r="I3635">
        <v>526.6875</v>
      </c>
      <c r="J3635" s="9">
        <f t="shared" si="56"/>
        <v>43746.860654027776</v>
      </c>
      <c r="K3635" s="1"/>
    </row>
    <row r="3636" spans="1:11" x14ac:dyDescent="0.25">
      <c r="A3636" t="e">
        <f>-Lqfa8tFQ4CsKgx9ESgg</f>
        <v>#NAME?</v>
      </c>
      <c r="B3636">
        <v>393.75</v>
      </c>
      <c r="C3636">
        <v>20.531590000000001</v>
      </c>
      <c r="D3636">
        <v>64</v>
      </c>
      <c r="E3636">
        <v>0</v>
      </c>
      <c r="F3636">
        <v>0</v>
      </c>
      <c r="G3636">
        <v>9</v>
      </c>
      <c r="H3636" s="4">
        <v>1570541967728</v>
      </c>
      <c r="I3636">
        <v>526.6875</v>
      </c>
      <c r="J3636" s="9">
        <f t="shared" si="56"/>
        <v>43746.860737592586</v>
      </c>
      <c r="K3636" s="1"/>
    </row>
    <row r="3637" spans="1:11" x14ac:dyDescent="0.25">
      <c r="A3637" t="e">
        <f>-LqfaAg8oN9IQk8p-_nD</f>
        <v>#NAME?</v>
      </c>
      <c r="B3637">
        <v>431.25</v>
      </c>
      <c r="C3637">
        <v>20.531590000000001</v>
      </c>
      <c r="D3637">
        <v>63</v>
      </c>
      <c r="E3637">
        <v>0</v>
      </c>
      <c r="F3637">
        <v>0</v>
      </c>
      <c r="G3637">
        <v>10</v>
      </c>
      <c r="H3637" s="4">
        <v>1570541974938</v>
      </c>
      <c r="I3637">
        <v>538.6875</v>
      </c>
      <c r="J3637" s="9">
        <f t="shared" si="56"/>
        <v>43746.860821041664</v>
      </c>
      <c r="K3637" s="1"/>
    </row>
    <row r="3638" spans="1:11" x14ac:dyDescent="0.25">
      <c r="A3638" t="e">
        <f>-LqfaCPStH5Lrk0n0mvz</f>
        <v>#NAME?</v>
      </c>
      <c r="B3638">
        <v>393.75</v>
      </c>
      <c r="C3638">
        <v>20.584240000000001</v>
      </c>
      <c r="D3638">
        <v>63</v>
      </c>
      <c r="E3638">
        <v>0</v>
      </c>
      <c r="F3638">
        <v>0</v>
      </c>
      <c r="G3638">
        <v>19</v>
      </c>
      <c r="H3638" s="4">
        <v>1570541982169</v>
      </c>
      <c r="I3638">
        <v>526.6875</v>
      </c>
      <c r="J3638" s="9">
        <f t="shared" si="56"/>
        <v>43746.860904733789</v>
      </c>
      <c r="K3638" s="1"/>
    </row>
    <row r="3639" spans="1:11" x14ac:dyDescent="0.25">
      <c r="A3639" t="e">
        <f>-LqfaECENHv7qYD82LmQ</f>
        <v>#NAME?</v>
      </c>
      <c r="B3639">
        <v>393.75</v>
      </c>
      <c r="C3639">
        <v>20.531590000000001</v>
      </c>
      <c r="D3639">
        <v>64</v>
      </c>
      <c r="E3639">
        <v>0</v>
      </c>
      <c r="F3639">
        <v>0</v>
      </c>
      <c r="G3639">
        <v>3</v>
      </c>
      <c r="H3639" s="4">
        <v>1570541989369</v>
      </c>
      <c r="I3639">
        <v>526.5</v>
      </c>
      <c r="J3639" s="9">
        <f t="shared" si="56"/>
        <v>43746.860988067128</v>
      </c>
      <c r="K3639" s="1"/>
    </row>
    <row r="3640" spans="1:11" x14ac:dyDescent="0.25">
      <c r="A3640" t="e">
        <f>-LqfaGDHIlZ0xBd-Ll8r</f>
        <v>#NAME?</v>
      </c>
      <c r="B3640">
        <v>393.75</v>
      </c>
      <c r="C3640">
        <v>20.584240000000001</v>
      </c>
      <c r="D3640">
        <v>66</v>
      </c>
      <c r="E3640">
        <v>0</v>
      </c>
      <c r="F3640">
        <v>0</v>
      </c>
      <c r="G3640">
        <v>9</v>
      </c>
      <c r="H3640" s="4">
        <v>1570541997568</v>
      </c>
      <c r="I3640">
        <v>526.6875</v>
      </c>
      <c r="J3640" s="9">
        <f t="shared" si="56"/>
        <v>43746.861082962962</v>
      </c>
      <c r="K3640" s="1"/>
    </row>
    <row r="3641" spans="1:11" x14ac:dyDescent="0.25">
      <c r="A3641" t="e">
        <f>-LqfaHxsfLtT05cQKZmN</f>
        <v>#NAME?</v>
      </c>
      <c r="B3641">
        <v>393.75</v>
      </c>
      <c r="C3641">
        <v>20.584240000000001</v>
      </c>
      <c r="D3641">
        <v>65</v>
      </c>
      <c r="E3641">
        <v>0</v>
      </c>
      <c r="F3641">
        <v>0</v>
      </c>
      <c r="G3641">
        <v>13</v>
      </c>
      <c r="H3641" s="4">
        <v>1570542004819</v>
      </c>
      <c r="I3641">
        <v>526.6875</v>
      </c>
      <c r="J3641" s="9">
        <f t="shared" si="56"/>
        <v>43746.861166886571</v>
      </c>
      <c r="K3641" s="1"/>
    </row>
    <row r="3642" spans="1:11" x14ac:dyDescent="0.25">
      <c r="A3642" t="e">
        <f>-LqfaJkGo4mZjnnLJc_5</f>
        <v>#NAME?</v>
      </c>
      <c r="B3642">
        <v>393.75</v>
      </c>
      <c r="C3642">
        <v>20.584240000000001</v>
      </c>
      <c r="D3642">
        <v>65</v>
      </c>
      <c r="E3642">
        <v>0</v>
      </c>
      <c r="F3642">
        <v>0</v>
      </c>
      <c r="G3642">
        <v>5</v>
      </c>
      <c r="H3642" s="4">
        <v>1570542012038</v>
      </c>
      <c r="I3642">
        <v>526.6875</v>
      </c>
      <c r="J3642" s="9">
        <f t="shared" si="56"/>
        <v>43746.861250439812</v>
      </c>
      <c r="K3642" s="1"/>
    </row>
    <row r="3643" spans="1:11" x14ac:dyDescent="0.25">
      <c r="A3643" t="e">
        <f>-LqfaLTQC_25lCCplm1P</f>
        <v>#NAME?</v>
      </c>
      <c r="B3643">
        <v>393.75</v>
      </c>
      <c r="C3643">
        <v>20.584240000000001</v>
      </c>
      <c r="D3643">
        <v>65</v>
      </c>
      <c r="E3643">
        <v>0</v>
      </c>
      <c r="F3643">
        <v>0</v>
      </c>
      <c r="G3643">
        <v>11</v>
      </c>
      <c r="H3643" s="4">
        <v>1570542019249</v>
      </c>
      <c r="I3643">
        <v>526.5</v>
      </c>
      <c r="J3643" s="9">
        <f t="shared" si="56"/>
        <v>43746.861333900459</v>
      </c>
      <c r="K3643" s="1"/>
    </row>
    <row r="3644" spans="1:11" x14ac:dyDescent="0.25">
      <c r="A3644" t="e">
        <f>-LqfaNFBYra4MRZ4LHXD</f>
        <v>#NAME?</v>
      </c>
      <c r="B3644">
        <v>393.75</v>
      </c>
      <c r="C3644">
        <v>20.531590000000001</v>
      </c>
      <c r="D3644">
        <v>65</v>
      </c>
      <c r="E3644">
        <v>0</v>
      </c>
      <c r="F3644">
        <v>0</v>
      </c>
      <c r="G3644">
        <v>2</v>
      </c>
      <c r="H3644" s="4">
        <v>1570542026471</v>
      </c>
      <c r="I3644">
        <v>526.6875</v>
      </c>
      <c r="J3644" s="9">
        <f t="shared" si="56"/>
        <v>43746.861417488421</v>
      </c>
      <c r="K3644" s="1"/>
    </row>
    <row r="3645" spans="1:11" x14ac:dyDescent="0.25">
      <c r="A3645" t="e">
        <f>-LqfaOygcIOF2DnmCFRD</f>
        <v>#NAME?</v>
      </c>
      <c r="B3645">
        <v>393.75</v>
      </c>
      <c r="C3645">
        <v>20.531590000000001</v>
      </c>
      <c r="D3645">
        <v>65</v>
      </c>
      <c r="E3645">
        <v>0</v>
      </c>
      <c r="F3645">
        <v>0</v>
      </c>
      <c r="G3645">
        <v>12</v>
      </c>
      <c r="H3645" s="4">
        <v>1570542033688</v>
      </c>
      <c r="I3645">
        <v>526.6875</v>
      </c>
      <c r="J3645" s="9">
        <f t="shared" si="56"/>
        <v>43746.861501018517</v>
      </c>
      <c r="K3645" s="1"/>
    </row>
    <row r="3646" spans="1:11" x14ac:dyDescent="0.25">
      <c r="A3646" t="e">
        <f>-LqfaQYRGn7wl7Y2FBoa</f>
        <v>#NAME?</v>
      </c>
      <c r="B3646">
        <v>412.5</v>
      </c>
      <c r="C3646">
        <v>20.531590000000001</v>
      </c>
      <c r="D3646">
        <v>65</v>
      </c>
      <c r="E3646">
        <v>0</v>
      </c>
      <c r="F3646">
        <v>0</v>
      </c>
      <c r="G3646">
        <v>7</v>
      </c>
      <c r="H3646" s="4">
        <v>1570542039868</v>
      </c>
      <c r="I3646">
        <v>532.125</v>
      </c>
      <c r="J3646" s="9">
        <f t="shared" si="56"/>
        <v>43746.861572546295</v>
      </c>
      <c r="K3646" s="1"/>
    </row>
    <row r="3647" spans="1:11" x14ac:dyDescent="0.25">
      <c r="A3647" t="e">
        <f>-LqfaSG7xSRT2fAWtWaj</f>
        <v>#NAME?</v>
      </c>
      <c r="B3647">
        <v>393.75</v>
      </c>
      <c r="C3647">
        <v>20.478950000000001</v>
      </c>
      <c r="D3647">
        <v>64</v>
      </c>
      <c r="E3647">
        <v>0</v>
      </c>
      <c r="F3647">
        <v>0</v>
      </c>
      <c r="G3647">
        <v>7</v>
      </c>
      <c r="H3647" s="4">
        <v>1570542047079</v>
      </c>
      <c r="I3647">
        <v>526.6875</v>
      </c>
      <c r="J3647" s="9">
        <f t="shared" si="56"/>
        <v>43746.861656006942</v>
      </c>
      <c r="K3647" s="1"/>
    </row>
    <row r="3648" spans="1:11" x14ac:dyDescent="0.25">
      <c r="A3648" t="e">
        <f>-LqfaTk9TO-fizcPbaV7</f>
        <v>#NAME?</v>
      </c>
      <c r="B3648">
        <v>393.75</v>
      </c>
      <c r="C3648">
        <v>20.531590000000001</v>
      </c>
      <c r="D3648">
        <v>65</v>
      </c>
      <c r="E3648">
        <v>0</v>
      </c>
      <c r="F3648">
        <v>0</v>
      </c>
      <c r="G3648">
        <v>9</v>
      </c>
      <c r="H3648" s="4">
        <v>1570542053278</v>
      </c>
      <c r="I3648">
        <v>526.5</v>
      </c>
      <c r="J3648" s="9">
        <f t="shared" si="56"/>
        <v>43746.861727754622</v>
      </c>
      <c r="K3648" s="1"/>
    </row>
    <row r="3649" spans="1:11" x14ac:dyDescent="0.25">
      <c r="A3649" t="e">
        <f>-LqfaVJHzGy4c3e-ncla</f>
        <v>#NAME?</v>
      </c>
      <c r="B3649">
        <v>393.75</v>
      </c>
      <c r="C3649">
        <v>20.584240000000001</v>
      </c>
      <c r="D3649">
        <v>65</v>
      </c>
      <c r="E3649">
        <v>0</v>
      </c>
      <c r="F3649">
        <v>0</v>
      </c>
      <c r="G3649">
        <v>7</v>
      </c>
      <c r="H3649" s="4">
        <v>1570542059439</v>
      </c>
      <c r="I3649">
        <v>526.6875</v>
      </c>
      <c r="J3649" s="9">
        <f t="shared" si="56"/>
        <v>43746.861799062499</v>
      </c>
      <c r="K3649" s="1"/>
    </row>
    <row r="3650" spans="1:11" x14ac:dyDescent="0.25">
      <c r="A3650" t="e">
        <f>-LqfaX1ExtteJIxb4Fqv</f>
        <v>#NAME?</v>
      </c>
      <c r="B3650">
        <v>393.75</v>
      </c>
      <c r="C3650">
        <v>20.584240000000001</v>
      </c>
      <c r="D3650">
        <v>66</v>
      </c>
      <c r="E3650">
        <v>0</v>
      </c>
      <c r="F3650">
        <v>0</v>
      </c>
      <c r="G3650">
        <v>9</v>
      </c>
      <c r="H3650" s="4">
        <v>1570542066648</v>
      </c>
      <c r="I3650">
        <v>526.6875</v>
      </c>
      <c r="J3650" s="9">
        <f t="shared" si="56"/>
        <v>43746.861882499994</v>
      </c>
      <c r="K3650" s="1"/>
    </row>
    <row r="3651" spans="1:11" x14ac:dyDescent="0.25">
      <c r="A3651" t="s">
        <v>195</v>
      </c>
      <c r="B3651">
        <v>393.75</v>
      </c>
      <c r="C3651">
        <v>20.584240000000001</v>
      </c>
      <c r="D3651">
        <v>67</v>
      </c>
      <c r="E3651">
        <v>0</v>
      </c>
      <c r="F3651">
        <v>0</v>
      </c>
      <c r="G3651">
        <v>10</v>
      </c>
      <c r="H3651" s="4">
        <v>1570542072839</v>
      </c>
      <c r="I3651">
        <v>526.6875</v>
      </c>
      <c r="J3651" s="9">
        <f t="shared" ref="J3651:J3714" si="57">(H3651/86400000)+25569+(7/24)</f>
        <v>43746.861954155094</v>
      </c>
      <c r="K3651" s="1"/>
    </row>
    <row r="3652" spans="1:11" x14ac:dyDescent="0.25">
      <c r="A3652" t="e">
        <f>-Lqfa_JHY2yLCX3ot9FP</f>
        <v>#NAME?</v>
      </c>
      <c r="B3652">
        <v>393.75</v>
      </c>
      <c r="C3652">
        <v>20.584240000000001</v>
      </c>
      <c r="D3652">
        <v>66</v>
      </c>
      <c r="E3652">
        <v>0</v>
      </c>
      <c r="F3652">
        <v>0</v>
      </c>
      <c r="G3652">
        <v>8</v>
      </c>
      <c r="H3652" s="4">
        <v>1570542080048</v>
      </c>
      <c r="I3652">
        <v>526.6875</v>
      </c>
      <c r="J3652" s="9">
        <f t="shared" si="57"/>
        <v>43746.862037592589</v>
      </c>
      <c r="K3652" s="1"/>
    </row>
    <row r="3653" spans="1:11" x14ac:dyDescent="0.25">
      <c r="A3653" t="e">
        <f>-Lqfab6SYfowmIzJClHO</f>
        <v>#NAME?</v>
      </c>
      <c r="B3653">
        <v>393.75</v>
      </c>
      <c r="C3653">
        <v>20.584240000000001</v>
      </c>
      <c r="D3653">
        <v>67</v>
      </c>
      <c r="E3653">
        <v>0</v>
      </c>
      <c r="F3653">
        <v>0</v>
      </c>
      <c r="G3653">
        <v>16</v>
      </c>
      <c r="H3653" s="4">
        <v>1570542087268</v>
      </c>
      <c r="I3653">
        <v>526.6875</v>
      </c>
      <c r="J3653" s="9">
        <f t="shared" si="57"/>
        <v>43746.862121157406</v>
      </c>
      <c r="K3653" s="1"/>
    </row>
    <row r="3654" spans="1:11" x14ac:dyDescent="0.25">
      <c r="A3654" t="e">
        <f>-LqfacpFkzC6JmEoQae5</f>
        <v>#NAME?</v>
      </c>
      <c r="B3654">
        <v>393.75</v>
      </c>
      <c r="C3654">
        <v>20.584240000000001</v>
      </c>
      <c r="D3654">
        <v>65</v>
      </c>
      <c r="E3654">
        <v>0</v>
      </c>
      <c r="F3654">
        <v>0</v>
      </c>
      <c r="G3654">
        <v>11</v>
      </c>
      <c r="H3654" s="4">
        <v>1570542094488</v>
      </c>
      <c r="I3654">
        <v>526.6875</v>
      </c>
      <c r="J3654" s="9">
        <f t="shared" si="57"/>
        <v>43746.862204722223</v>
      </c>
      <c r="K3654" s="1"/>
    </row>
    <row r="3655" spans="1:11" x14ac:dyDescent="0.25">
      <c r="A3655" t="e">
        <f>-LqfaeOF-V0Z6H25u9fS</f>
        <v>#NAME?</v>
      </c>
      <c r="B3655">
        <v>393.75</v>
      </c>
      <c r="C3655">
        <v>20.584240000000001</v>
      </c>
      <c r="D3655">
        <v>66</v>
      </c>
      <c r="E3655">
        <v>0</v>
      </c>
      <c r="F3655">
        <v>0</v>
      </c>
      <c r="G3655">
        <v>9</v>
      </c>
      <c r="H3655" s="4">
        <v>1570542100658</v>
      </c>
      <c r="I3655">
        <v>526.6875</v>
      </c>
      <c r="J3655" s="9">
        <f t="shared" si="57"/>
        <v>43746.862276134256</v>
      </c>
      <c r="K3655" s="1"/>
    </row>
    <row r="3656" spans="1:11" x14ac:dyDescent="0.25">
      <c r="A3656" t="e">
        <f>-LqfagBVXNqy7IzHPtoY</f>
        <v>#NAME?</v>
      </c>
      <c r="B3656">
        <v>393.75</v>
      </c>
      <c r="C3656">
        <v>20.531590000000001</v>
      </c>
      <c r="D3656">
        <v>64</v>
      </c>
      <c r="E3656">
        <v>0</v>
      </c>
      <c r="F3656">
        <v>0</v>
      </c>
      <c r="G3656">
        <v>18</v>
      </c>
      <c r="H3656" s="4">
        <v>1570542108153</v>
      </c>
      <c r="I3656">
        <v>526.5</v>
      </c>
      <c r="J3656" s="9">
        <f t="shared" si="57"/>
        <v>43746.86236288194</v>
      </c>
      <c r="K3656" s="1"/>
    </row>
    <row r="3657" spans="1:11" x14ac:dyDescent="0.25">
      <c r="A3657" t="e">
        <f>-LqfahuGFTnpPoAYjOSH</f>
        <v>#NAME?</v>
      </c>
      <c r="B3657">
        <v>393.75</v>
      </c>
      <c r="C3657">
        <v>20.531590000000001</v>
      </c>
      <c r="D3657">
        <v>67</v>
      </c>
      <c r="E3657">
        <v>0</v>
      </c>
      <c r="F3657">
        <v>0</v>
      </c>
      <c r="G3657">
        <v>4</v>
      </c>
      <c r="H3657" s="4">
        <v>1570542115089</v>
      </c>
      <c r="I3657">
        <v>526.6875</v>
      </c>
      <c r="J3657" s="9">
        <f t="shared" si="57"/>
        <v>43746.86244315972</v>
      </c>
      <c r="K3657" s="1"/>
    </row>
    <row r="3658" spans="1:11" x14ac:dyDescent="0.25">
      <c r="A3658" t="e">
        <f>-LqfajcG1v-fty13mRbf</f>
        <v>#NAME?</v>
      </c>
      <c r="B3658">
        <v>393.75</v>
      </c>
      <c r="C3658">
        <v>20.584240000000001</v>
      </c>
      <c r="D3658">
        <v>68</v>
      </c>
      <c r="E3658">
        <v>0</v>
      </c>
      <c r="F3658">
        <v>0</v>
      </c>
      <c r="G3658">
        <v>8</v>
      </c>
      <c r="H3658" s="4">
        <v>1570542122308</v>
      </c>
      <c r="I3658">
        <v>526.6875</v>
      </c>
      <c r="J3658" s="9">
        <f t="shared" si="57"/>
        <v>43746.862526712961</v>
      </c>
      <c r="K3658" s="1"/>
    </row>
    <row r="3659" spans="1:11" x14ac:dyDescent="0.25">
      <c r="A3659" t="e">
        <f>-LqfaljCimPfQzULdyd0</f>
        <v>#NAME?</v>
      </c>
      <c r="B3659">
        <v>393.75</v>
      </c>
      <c r="C3659">
        <v>20.531590000000001</v>
      </c>
      <c r="D3659">
        <v>68</v>
      </c>
      <c r="E3659">
        <v>0</v>
      </c>
      <c r="F3659">
        <v>0</v>
      </c>
      <c r="G3659">
        <v>13</v>
      </c>
      <c r="H3659" s="4">
        <v>1570542130913</v>
      </c>
      <c r="I3659">
        <v>526.6875</v>
      </c>
      <c r="J3659" s="9">
        <f t="shared" si="57"/>
        <v>43746.86262630787</v>
      </c>
      <c r="K3659" s="1"/>
    </row>
    <row r="3660" spans="1:11" x14ac:dyDescent="0.25">
      <c r="A3660" t="e">
        <f>-LqfanOQ1tDYmMMTu7Z0</f>
        <v>#NAME?</v>
      </c>
      <c r="B3660">
        <v>393.75</v>
      </c>
      <c r="C3660">
        <v>20.478950000000001</v>
      </c>
      <c r="D3660">
        <v>67</v>
      </c>
      <c r="E3660">
        <v>0</v>
      </c>
      <c r="F3660">
        <v>0</v>
      </c>
      <c r="G3660">
        <v>11</v>
      </c>
      <c r="H3660" s="4">
        <v>1570542137755</v>
      </c>
      <c r="I3660">
        <v>526.6875</v>
      </c>
      <c r="J3660" s="9">
        <f t="shared" si="57"/>
        <v>43746.862705497682</v>
      </c>
      <c r="K3660" s="1"/>
    </row>
    <row r="3661" spans="1:11" x14ac:dyDescent="0.25">
      <c r="A3661" t="e">
        <f>-LqfaoxReQmv6jUgiq7P</f>
        <v>#NAME?</v>
      </c>
      <c r="B3661">
        <v>393.75</v>
      </c>
      <c r="C3661">
        <v>20.531590000000001</v>
      </c>
      <c r="D3661">
        <v>68</v>
      </c>
      <c r="E3661">
        <v>0</v>
      </c>
      <c r="F3661">
        <v>0</v>
      </c>
      <c r="G3661">
        <v>12</v>
      </c>
      <c r="H3661" s="4">
        <v>1570542143934</v>
      </c>
      <c r="I3661">
        <v>526.6875</v>
      </c>
      <c r="J3661" s="9">
        <f t="shared" si="57"/>
        <v>43746.862777013892</v>
      </c>
      <c r="K3661" s="1"/>
    </row>
    <row r="3662" spans="1:11" x14ac:dyDescent="0.25">
      <c r="A3662" t="s">
        <v>196</v>
      </c>
      <c r="B3662">
        <v>412.5</v>
      </c>
      <c r="C3662">
        <v>20.584240000000001</v>
      </c>
      <c r="D3662">
        <v>69</v>
      </c>
      <c r="E3662">
        <v>0</v>
      </c>
      <c r="F3662">
        <v>0</v>
      </c>
      <c r="G3662">
        <v>6</v>
      </c>
      <c r="H3662" s="4">
        <v>1570542151124</v>
      </c>
      <c r="I3662">
        <v>532.3125</v>
      </c>
      <c r="J3662" s="9">
        <f t="shared" si="57"/>
        <v>43746.862860231478</v>
      </c>
      <c r="K3662" s="1"/>
    </row>
    <row r="3663" spans="1:11" x14ac:dyDescent="0.25">
      <c r="A3663" t="e">
        <f>-Lqfas8CvsTQhAh7JQ6H</f>
        <v>#NAME?</v>
      </c>
      <c r="B3663">
        <v>393.75</v>
      </c>
      <c r="C3663">
        <v>20.531590000000001</v>
      </c>
      <c r="D3663">
        <v>68</v>
      </c>
      <c r="E3663">
        <v>0</v>
      </c>
      <c r="F3663">
        <v>0</v>
      </c>
      <c r="G3663">
        <v>14</v>
      </c>
      <c r="H3663" s="4">
        <v>1570542157334</v>
      </c>
      <c r="I3663">
        <v>526.6875</v>
      </c>
      <c r="J3663" s="9">
        <f t="shared" si="57"/>
        <v>43746.86293210648</v>
      </c>
      <c r="K3663" s="1"/>
    </row>
    <row r="3664" spans="1:11" x14ac:dyDescent="0.25">
      <c r="A3664" t="e">
        <f>-LqfathLR2_J7bGpZoak</f>
        <v>#NAME?</v>
      </c>
      <c r="B3664">
        <v>393.75</v>
      </c>
      <c r="C3664">
        <v>20.584240000000001</v>
      </c>
      <c r="D3664">
        <v>64</v>
      </c>
      <c r="E3664">
        <v>0</v>
      </c>
      <c r="F3664">
        <v>0</v>
      </c>
      <c r="G3664">
        <v>5</v>
      </c>
      <c r="H3664" s="4">
        <v>1570542163515</v>
      </c>
      <c r="I3664">
        <v>526.6875</v>
      </c>
      <c r="J3664" s="9">
        <f t="shared" si="57"/>
        <v>43746.863003645827</v>
      </c>
      <c r="K3664" s="1"/>
    </row>
    <row r="3665" spans="1:11" x14ac:dyDescent="0.25">
      <c r="A3665" t="e">
        <f>-LqfavQBub7jaBUeAH7y</f>
        <v>#NAME?</v>
      </c>
      <c r="B3665">
        <v>393.75</v>
      </c>
      <c r="C3665">
        <v>20.531590000000001</v>
      </c>
      <c r="D3665">
        <v>65</v>
      </c>
      <c r="E3665">
        <v>0</v>
      </c>
      <c r="F3665">
        <v>0</v>
      </c>
      <c r="G3665">
        <v>7</v>
      </c>
      <c r="H3665" s="4">
        <v>1570542170722</v>
      </c>
      <c r="I3665">
        <v>526.6875</v>
      </c>
      <c r="J3665" s="9">
        <f t="shared" si="57"/>
        <v>43746.863087060185</v>
      </c>
      <c r="K3665" s="1"/>
    </row>
    <row r="3666" spans="1:11" x14ac:dyDescent="0.25">
      <c r="A3666" t="e">
        <f>-LqfawzBm312N7c2wpqW</f>
        <v>#NAME?</v>
      </c>
      <c r="B3666">
        <v>393.75</v>
      </c>
      <c r="C3666">
        <v>20.584240000000001</v>
      </c>
      <c r="D3666">
        <v>65</v>
      </c>
      <c r="E3666">
        <v>0</v>
      </c>
      <c r="F3666">
        <v>0</v>
      </c>
      <c r="G3666">
        <v>18</v>
      </c>
      <c r="H3666" s="4">
        <v>1570542176913</v>
      </c>
      <c r="I3666">
        <v>526.5</v>
      </c>
      <c r="J3666" s="9">
        <f t="shared" si="57"/>
        <v>43746.86315871527</v>
      </c>
      <c r="K3666" s="1"/>
    </row>
    <row r="3667" spans="1:11" x14ac:dyDescent="0.25">
      <c r="A3667" t="e">
        <f>-LqfayTAowaIdG9B6eYv</f>
        <v>#NAME?</v>
      </c>
      <c r="B3667">
        <v>393.75</v>
      </c>
      <c r="C3667">
        <v>20.584240000000001</v>
      </c>
      <c r="D3667">
        <v>65</v>
      </c>
      <c r="E3667">
        <v>0</v>
      </c>
      <c r="F3667">
        <v>0</v>
      </c>
      <c r="G3667">
        <v>0</v>
      </c>
      <c r="H3667" s="4">
        <v>1570542183084</v>
      </c>
      <c r="I3667">
        <v>526.6875</v>
      </c>
      <c r="J3667" s="9">
        <f t="shared" si="57"/>
        <v>43746.863230138886</v>
      </c>
      <c r="K3667" s="1"/>
    </row>
    <row r="3668" spans="1:11" x14ac:dyDescent="0.25">
      <c r="A3668" t="e">
        <f>-Lqfazw3sKuJ89HUeykY</f>
        <v>#NAME?</v>
      </c>
      <c r="B3668">
        <v>393.75</v>
      </c>
      <c r="C3668">
        <v>20.531590000000001</v>
      </c>
      <c r="D3668">
        <v>69</v>
      </c>
      <c r="E3668">
        <v>0</v>
      </c>
      <c r="F3668">
        <v>0</v>
      </c>
      <c r="G3668">
        <v>0</v>
      </c>
      <c r="H3668" s="4">
        <v>1570542189274</v>
      </c>
      <c r="I3668">
        <v>526.6875</v>
      </c>
      <c r="J3668" s="9">
        <f t="shared" si="57"/>
        <v>43746.86330178241</v>
      </c>
      <c r="K3668" s="1"/>
    </row>
    <row r="3669" spans="1:11" x14ac:dyDescent="0.25">
      <c r="A3669" t="e">
        <f>-Lqfb0WA-ZOcz3bCxkh3</f>
        <v>#NAME?</v>
      </c>
      <c r="B3669">
        <v>412.5</v>
      </c>
      <c r="C3669">
        <v>20.531590000000001</v>
      </c>
      <c r="D3669">
        <v>69</v>
      </c>
      <c r="E3669">
        <v>0</v>
      </c>
      <c r="F3669">
        <v>0</v>
      </c>
      <c r="G3669">
        <v>8</v>
      </c>
      <c r="H3669" s="4">
        <v>1570542195464</v>
      </c>
      <c r="I3669">
        <v>532.5</v>
      </c>
      <c r="J3669" s="9">
        <f t="shared" si="57"/>
        <v>43746.863373425927</v>
      </c>
      <c r="K3669" s="1"/>
    </row>
    <row r="3670" spans="1:11" x14ac:dyDescent="0.25">
      <c r="A3670" t="e">
        <f>-Lqfb2-MreoqyHtbmhzs</f>
        <v>#NAME?</v>
      </c>
      <c r="B3670">
        <v>393.75</v>
      </c>
      <c r="C3670">
        <v>20.584240000000001</v>
      </c>
      <c r="D3670">
        <v>69</v>
      </c>
      <c r="E3670">
        <v>0</v>
      </c>
      <c r="F3670">
        <v>0</v>
      </c>
      <c r="G3670">
        <v>12</v>
      </c>
      <c r="H3670" s="4">
        <v>1570542201654</v>
      </c>
      <c r="I3670">
        <v>526.6875</v>
      </c>
      <c r="J3670" s="9">
        <f t="shared" si="57"/>
        <v>43746.863445069444</v>
      </c>
      <c r="K3670" s="1"/>
    </row>
    <row r="3671" spans="1:11" x14ac:dyDescent="0.25">
      <c r="A3671" t="e">
        <f>-Lqfb3nBBqZmZRzlCocE</f>
        <v>#NAME?</v>
      </c>
      <c r="B3671">
        <v>393.75</v>
      </c>
      <c r="C3671">
        <v>20.584240000000001</v>
      </c>
      <c r="D3671">
        <v>68</v>
      </c>
      <c r="E3671">
        <v>0</v>
      </c>
      <c r="F3671">
        <v>0</v>
      </c>
      <c r="G3671">
        <v>2</v>
      </c>
      <c r="H3671" s="4">
        <v>1570542208864</v>
      </c>
      <c r="I3671">
        <v>526.6875</v>
      </c>
      <c r="J3671" s="9">
        <f t="shared" si="57"/>
        <v>43746.863528518516</v>
      </c>
      <c r="K3671" s="1"/>
    </row>
    <row r="3672" spans="1:11" x14ac:dyDescent="0.25">
      <c r="A3672" t="e">
        <f>-Lqfb5WBWWJPXnTEOyFn</f>
        <v>#NAME?</v>
      </c>
      <c r="B3672">
        <v>393.75</v>
      </c>
      <c r="C3672">
        <v>20.531590000000001</v>
      </c>
      <c r="D3672">
        <v>67</v>
      </c>
      <c r="E3672">
        <v>0</v>
      </c>
      <c r="F3672">
        <v>0</v>
      </c>
      <c r="G3672">
        <v>6</v>
      </c>
      <c r="H3672" s="4">
        <v>1570542216084</v>
      </c>
      <c r="I3672">
        <v>526.6875</v>
      </c>
      <c r="J3672" s="9">
        <f t="shared" si="57"/>
        <v>43746.863612083333</v>
      </c>
      <c r="K3672" s="1"/>
    </row>
    <row r="3673" spans="1:11" x14ac:dyDescent="0.25">
      <c r="A3673" t="s">
        <v>197</v>
      </c>
      <c r="B3673">
        <v>393.75</v>
      </c>
      <c r="C3673">
        <v>20.531590000000001</v>
      </c>
      <c r="D3673">
        <v>67</v>
      </c>
      <c r="E3673">
        <v>0</v>
      </c>
      <c r="F3673">
        <v>0</v>
      </c>
      <c r="G3673">
        <v>3</v>
      </c>
      <c r="H3673" s="4">
        <v>1570542222254</v>
      </c>
      <c r="I3673">
        <v>526.6875</v>
      </c>
      <c r="J3673" s="9">
        <f t="shared" si="57"/>
        <v>43746.863683495372</v>
      </c>
      <c r="K3673" s="1"/>
    </row>
    <row r="3674" spans="1:11" x14ac:dyDescent="0.25">
      <c r="A3674" t="e">
        <f>-Lqfb8_RjU5rT2SDyvP2</f>
        <v>#NAME?</v>
      </c>
      <c r="B3674">
        <v>393.75</v>
      </c>
      <c r="C3674">
        <v>20.531590000000001</v>
      </c>
      <c r="D3674">
        <v>67</v>
      </c>
      <c r="E3674">
        <v>0</v>
      </c>
      <c r="F3674">
        <v>0</v>
      </c>
      <c r="G3674">
        <v>9</v>
      </c>
      <c r="H3674" s="4">
        <v>1570542228441</v>
      </c>
      <c r="I3674">
        <v>526.6875</v>
      </c>
      <c r="J3674" s="9">
        <f t="shared" si="57"/>
        <v>43746.863755104168</v>
      </c>
      <c r="K3674" s="1"/>
    </row>
    <row r="3675" spans="1:11" x14ac:dyDescent="0.25">
      <c r="A3675" t="e">
        <f>-LqfbAHAS9Cwetl_MSiF</f>
        <v>#NAME?</v>
      </c>
      <c r="B3675">
        <v>393.75</v>
      </c>
      <c r="C3675">
        <v>20.531590000000001</v>
      </c>
      <c r="D3675">
        <v>68</v>
      </c>
      <c r="E3675">
        <v>0</v>
      </c>
      <c r="F3675">
        <v>0</v>
      </c>
      <c r="G3675">
        <v>5</v>
      </c>
      <c r="H3675" s="4">
        <v>1570542235623</v>
      </c>
      <c r="I3675">
        <v>526.5</v>
      </c>
      <c r="J3675" s="9">
        <f t="shared" si="57"/>
        <v>43746.863838229161</v>
      </c>
      <c r="K3675" s="1"/>
    </row>
    <row r="3676" spans="1:11" x14ac:dyDescent="0.25">
      <c r="A3676" t="e">
        <f>-LqfbBqpKCxYtsl7P20E</f>
        <v>#NAME?</v>
      </c>
      <c r="B3676">
        <v>393.75</v>
      </c>
      <c r="C3676">
        <v>20.584240000000001</v>
      </c>
      <c r="D3676">
        <v>68</v>
      </c>
      <c r="E3676">
        <v>0</v>
      </c>
      <c r="F3676">
        <v>0</v>
      </c>
      <c r="G3676">
        <v>8</v>
      </c>
      <c r="H3676" s="4">
        <v>1570542241999</v>
      </c>
      <c r="I3676">
        <v>526.6875</v>
      </c>
      <c r="J3676" s="9">
        <f t="shared" si="57"/>
        <v>43746.863912025459</v>
      </c>
      <c r="K3676" s="1"/>
    </row>
    <row r="3677" spans="1:11" x14ac:dyDescent="0.25">
      <c r="A3677" t="e">
        <f>-LqfbDZAXdkOY0bsCxWq</f>
        <v>#NAME?</v>
      </c>
      <c r="B3677">
        <v>393.75</v>
      </c>
      <c r="C3677">
        <v>20.531590000000001</v>
      </c>
      <c r="D3677">
        <v>67</v>
      </c>
      <c r="E3677">
        <v>0</v>
      </c>
      <c r="F3677">
        <v>0</v>
      </c>
      <c r="G3677">
        <v>7</v>
      </c>
      <c r="H3677" s="4">
        <v>1570542249045</v>
      </c>
      <c r="I3677">
        <v>526.6875</v>
      </c>
      <c r="J3677" s="9">
        <f t="shared" si="57"/>
        <v>43746.863993576386</v>
      </c>
      <c r="K3677" s="1"/>
    </row>
    <row r="3678" spans="1:11" x14ac:dyDescent="0.25">
      <c r="A3678" t="e">
        <f>-LqfbF7BjQVtFGWDyJv8</f>
        <v>#NAME?</v>
      </c>
      <c r="B3678">
        <v>393.75</v>
      </c>
      <c r="C3678">
        <v>20.531590000000001</v>
      </c>
      <c r="D3678">
        <v>67</v>
      </c>
      <c r="E3678">
        <v>0</v>
      </c>
      <c r="F3678">
        <v>0</v>
      </c>
      <c r="G3678">
        <v>4</v>
      </c>
      <c r="H3678" s="4">
        <v>1570542255233</v>
      </c>
      <c r="I3678">
        <v>526.6875</v>
      </c>
      <c r="J3678" s="9">
        <f t="shared" si="57"/>
        <v>43746.864065196758</v>
      </c>
      <c r="K3678" s="1"/>
    </row>
    <row r="3679" spans="1:11" x14ac:dyDescent="0.25">
      <c r="A3679" t="e">
        <f>-LqfbGqCuPcjEfbxAriA</f>
        <v>#NAME?</v>
      </c>
      <c r="B3679">
        <v>393.75</v>
      </c>
      <c r="C3679">
        <v>20.531590000000001</v>
      </c>
      <c r="D3679">
        <v>67</v>
      </c>
      <c r="E3679">
        <v>0</v>
      </c>
      <c r="F3679">
        <v>0</v>
      </c>
      <c r="G3679">
        <v>4</v>
      </c>
      <c r="H3679" s="4">
        <v>1570542262443</v>
      </c>
      <c r="I3679">
        <v>526.6875</v>
      </c>
      <c r="J3679" s="9">
        <f t="shared" si="57"/>
        <v>43746.864148645829</v>
      </c>
      <c r="K3679" s="1"/>
    </row>
    <row r="3680" spans="1:11" x14ac:dyDescent="0.25">
      <c r="A3680" t="e">
        <f>-LqfbIdK7hrJe5FDQUhL</f>
        <v>#NAME?</v>
      </c>
      <c r="B3680">
        <v>393.75</v>
      </c>
      <c r="C3680">
        <v>20.531590000000001</v>
      </c>
      <c r="D3680">
        <v>67</v>
      </c>
      <c r="E3680">
        <v>0</v>
      </c>
      <c r="F3680">
        <v>0</v>
      </c>
      <c r="G3680">
        <v>9</v>
      </c>
      <c r="H3680" s="4">
        <v>1570542269624</v>
      </c>
      <c r="I3680">
        <v>526.6875</v>
      </c>
      <c r="J3680" s="9">
        <f t="shared" si="57"/>
        <v>43746.864231759253</v>
      </c>
      <c r="K3680" s="1"/>
    </row>
    <row r="3681" spans="1:11" x14ac:dyDescent="0.25">
      <c r="A3681" t="e">
        <f>-LqfbKMQxUupavQpEeCK</f>
        <v>#NAME?</v>
      </c>
      <c r="B3681">
        <v>412.5</v>
      </c>
      <c r="C3681">
        <v>20.531590000000001</v>
      </c>
      <c r="D3681">
        <v>67</v>
      </c>
      <c r="E3681">
        <v>0</v>
      </c>
      <c r="F3681">
        <v>0</v>
      </c>
      <c r="G3681">
        <v>6</v>
      </c>
      <c r="H3681" s="4">
        <v>1570542276883</v>
      </c>
      <c r="I3681">
        <v>532.3125</v>
      </c>
      <c r="J3681" s="9">
        <f t="shared" si="57"/>
        <v>43746.864315775463</v>
      </c>
      <c r="K3681" s="1"/>
    </row>
    <row r="3682" spans="1:11" x14ac:dyDescent="0.25">
      <c r="A3682" t="e">
        <f>-LqfbM9Lha_ru6zoQyh4</f>
        <v>#NAME?</v>
      </c>
      <c r="B3682">
        <v>393.75</v>
      </c>
      <c r="C3682">
        <v>20.584240000000001</v>
      </c>
      <c r="D3682">
        <v>67</v>
      </c>
      <c r="E3682">
        <v>0</v>
      </c>
      <c r="F3682">
        <v>0</v>
      </c>
      <c r="G3682">
        <v>3</v>
      </c>
      <c r="H3682" s="4">
        <v>1570542284093</v>
      </c>
      <c r="I3682">
        <v>526.6875</v>
      </c>
      <c r="J3682" s="9">
        <f t="shared" si="57"/>
        <v>43746.864399224534</v>
      </c>
      <c r="K3682" s="1"/>
    </row>
    <row r="3683" spans="1:11" x14ac:dyDescent="0.25">
      <c r="A3683" t="e">
        <f>-LqfbNsECrXfzkSCTppF</f>
        <v>#NAME?</v>
      </c>
      <c r="B3683">
        <v>393.75</v>
      </c>
      <c r="C3683">
        <v>20.531590000000001</v>
      </c>
      <c r="D3683">
        <v>67</v>
      </c>
      <c r="E3683">
        <v>0</v>
      </c>
      <c r="F3683">
        <v>0</v>
      </c>
      <c r="G3683">
        <v>11</v>
      </c>
      <c r="H3683" s="4">
        <v>1570542291283</v>
      </c>
      <c r="I3683">
        <v>526.6875</v>
      </c>
      <c r="J3683" s="9">
        <f t="shared" si="57"/>
        <v>43746.864482442128</v>
      </c>
      <c r="K3683" s="1"/>
    </row>
    <row r="3684" spans="1:11" x14ac:dyDescent="0.25">
      <c r="A3684" t="e">
        <f>-LqfbPRAB8rw91x_pdfu</f>
        <v>#NAME?</v>
      </c>
      <c r="B3684">
        <v>393.75</v>
      </c>
      <c r="C3684">
        <v>20.531590000000001</v>
      </c>
      <c r="D3684">
        <v>67</v>
      </c>
      <c r="E3684">
        <v>0</v>
      </c>
      <c r="F3684">
        <v>0</v>
      </c>
      <c r="G3684">
        <v>6</v>
      </c>
      <c r="H3684" s="4">
        <v>1570542297481</v>
      </c>
      <c r="I3684">
        <v>526.6875</v>
      </c>
      <c r="J3684" s="9">
        <f t="shared" si="57"/>
        <v>43746.864554178239</v>
      </c>
      <c r="K3684" s="1"/>
    </row>
    <row r="3685" spans="1:11" x14ac:dyDescent="0.25">
      <c r="A3685" t="e">
        <f>-LqfbR93dM0D1kRTDkRE</f>
        <v>#NAME?</v>
      </c>
      <c r="B3685">
        <v>393.75</v>
      </c>
      <c r="C3685">
        <v>20.584240000000001</v>
      </c>
      <c r="D3685">
        <v>67</v>
      </c>
      <c r="E3685">
        <v>0</v>
      </c>
      <c r="F3685">
        <v>0</v>
      </c>
      <c r="G3685">
        <v>5</v>
      </c>
      <c r="H3685" s="4">
        <v>1570542304703</v>
      </c>
      <c r="I3685">
        <v>526.6875</v>
      </c>
      <c r="J3685" s="9">
        <f t="shared" si="57"/>
        <v>43746.864637766201</v>
      </c>
      <c r="K3685" s="1"/>
    </row>
    <row r="3686" spans="1:11" x14ac:dyDescent="0.25">
      <c r="A3686" t="e">
        <f>-LqfbSdBCYkwzcAbDqX6</f>
        <v>#NAME?</v>
      </c>
      <c r="B3686">
        <v>393.75</v>
      </c>
      <c r="C3686">
        <v>20.531590000000001</v>
      </c>
      <c r="D3686">
        <v>67</v>
      </c>
      <c r="E3686">
        <v>0</v>
      </c>
      <c r="F3686">
        <v>0</v>
      </c>
      <c r="G3686">
        <v>7</v>
      </c>
      <c r="H3686" s="4">
        <v>1570542310886</v>
      </c>
      <c r="I3686">
        <v>526.6875</v>
      </c>
      <c r="J3686" s="9">
        <f t="shared" si="57"/>
        <v>43746.8647093287</v>
      </c>
      <c r="K3686" s="1"/>
    </row>
    <row r="3687" spans="1:11" x14ac:dyDescent="0.25">
      <c r="A3687" t="e">
        <f>-LqfbUBZD-x9KjcSgfdQ</f>
        <v>#NAME?</v>
      </c>
      <c r="B3687">
        <v>393.75</v>
      </c>
      <c r="C3687">
        <v>20.584240000000001</v>
      </c>
      <c r="D3687">
        <v>66</v>
      </c>
      <c r="E3687">
        <v>0</v>
      </c>
      <c r="F3687">
        <v>0</v>
      </c>
      <c r="G3687">
        <v>11</v>
      </c>
      <c r="H3687" s="4">
        <v>1570542317064</v>
      </c>
      <c r="I3687">
        <v>526.6875</v>
      </c>
      <c r="J3687" s="9">
        <f t="shared" si="57"/>
        <v>43746.864780833326</v>
      </c>
      <c r="K3687" s="1"/>
    </row>
    <row r="3688" spans="1:11" x14ac:dyDescent="0.25">
      <c r="A3688" t="e">
        <f>-LqfbVvCbSLp-wBfeG5n</f>
        <v>#NAME?</v>
      </c>
      <c r="B3688">
        <v>393.75</v>
      </c>
      <c r="C3688">
        <v>20.584240000000001</v>
      </c>
      <c r="D3688">
        <v>66</v>
      </c>
      <c r="E3688">
        <v>0</v>
      </c>
      <c r="F3688">
        <v>0</v>
      </c>
      <c r="G3688">
        <v>6</v>
      </c>
      <c r="H3688" s="4">
        <v>1570542324254</v>
      </c>
      <c r="I3688">
        <v>526.6875</v>
      </c>
      <c r="J3688" s="9">
        <f t="shared" si="57"/>
        <v>43746.864864050927</v>
      </c>
      <c r="K3688" s="1"/>
    </row>
    <row r="3689" spans="1:11" x14ac:dyDescent="0.25">
      <c r="A3689" t="e">
        <f>-LqfbXUAaoj7RhDftaDc</f>
        <v>#NAME?</v>
      </c>
      <c r="B3689">
        <v>393.75</v>
      </c>
      <c r="C3689">
        <v>20.531590000000001</v>
      </c>
      <c r="D3689">
        <v>67</v>
      </c>
      <c r="E3689">
        <v>0</v>
      </c>
      <c r="F3689">
        <v>0</v>
      </c>
      <c r="G3689">
        <v>8</v>
      </c>
      <c r="H3689" s="4">
        <v>1570542330434</v>
      </c>
      <c r="I3689">
        <v>526.6875</v>
      </c>
      <c r="J3689" s="9">
        <f t="shared" si="57"/>
        <v>43746.864935578698</v>
      </c>
      <c r="K3689" s="1"/>
    </row>
    <row r="3690" spans="1:11" x14ac:dyDescent="0.25">
      <c r="A3690" t="e">
        <f>-LqfbZCA_dxrhvEdRcfB</f>
        <v>#NAME?</v>
      </c>
      <c r="B3690">
        <v>393.75</v>
      </c>
      <c r="C3690">
        <v>20.584240000000001</v>
      </c>
      <c r="D3690">
        <v>68</v>
      </c>
      <c r="E3690">
        <v>0</v>
      </c>
      <c r="F3690">
        <v>0</v>
      </c>
      <c r="G3690">
        <v>10</v>
      </c>
      <c r="H3690" s="4">
        <v>1570542337685</v>
      </c>
      <c r="I3690">
        <v>526.6875</v>
      </c>
      <c r="J3690" s="9">
        <f t="shared" si="57"/>
        <v>43746.865019502315</v>
      </c>
      <c r="K3690" s="1"/>
    </row>
    <row r="3691" spans="1:11" x14ac:dyDescent="0.25">
      <c r="A3691" t="e">
        <f>-Lqfb_lAtFYR0ITWc3iF</f>
        <v>#NAME?</v>
      </c>
      <c r="B3691">
        <v>393.75</v>
      </c>
      <c r="C3691">
        <v>20.478950000000001</v>
      </c>
      <c r="D3691">
        <v>68</v>
      </c>
      <c r="E3691">
        <v>0</v>
      </c>
      <c r="F3691">
        <v>0</v>
      </c>
      <c r="G3691">
        <v>8</v>
      </c>
      <c r="H3691" s="4">
        <v>1570542343867</v>
      </c>
      <c r="I3691">
        <v>526.6875</v>
      </c>
      <c r="J3691" s="9">
        <f t="shared" si="57"/>
        <v>43746.865091053238</v>
      </c>
      <c r="K3691" s="1"/>
    </row>
    <row r="3692" spans="1:11" x14ac:dyDescent="0.25">
      <c r="A3692" t="e">
        <f>-Lqfbc11x3UYtSoeCS9H</f>
        <v>#NAME?</v>
      </c>
      <c r="B3692">
        <v>393.75</v>
      </c>
      <c r="C3692">
        <v>20.478950000000001</v>
      </c>
      <c r="D3692">
        <v>69</v>
      </c>
      <c r="E3692">
        <v>0</v>
      </c>
      <c r="F3692">
        <v>0</v>
      </c>
      <c r="G3692">
        <v>9</v>
      </c>
      <c r="H3692" s="4">
        <v>1570542351073</v>
      </c>
      <c r="I3692">
        <v>526.5</v>
      </c>
      <c r="J3692" s="9">
        <f t="shared" si="57"/>
        <v>43746.865174456012</v>
      </c>
      <c r="K3692" s="1"/>
    </row>
    <row r="3693" spans="1:11" x14ac:dyDescent="0.25">
      <c r="A3693" t="e">
        <f>-Lqfbdj2qrEM3RnAb-WC</f>
        <v>#NAME?</v>
      </c>
      <c r="B3693">
        <v>393.75</v>
      </c>
      <c r="C3693">
        <v>20.584240000000001</v>
      </c>
      <c r="D3693">
        <v>68</v>
      </c>
      <c r="E3693">
        <v>0</v>
      </c>
      <c r="F3693">
        <v>0</v>
      </c>
      <c r="G3693">
        <v>20</v>
      </c>
      <c r="H3693" s="4">
        <v>1570542360353</v>
      </c>
      <c r="I3693">
        <v>526.6875</v>
      </c>
      <c r="J3693" s="9">
        <f t="shared" si="57"/>
        <v>43746.865281863422</v>
      </c>
      <c r="K3693" s="1"/>
    </row>
    <row r="3694" spans="1:11" x14ac:dyDescent="0.25">
      <c r="A3694" t="e">
        <f>-LqfbfX2bNUogs1ra2Xo</f>
        <v>#NAME?</v>
      </c>
      <c r="B3694">
        <v>393.75</v>
      </c>
      <c r="C3694">
        <v>20.584240000000001</v>
      </c>
      <c r="D3694">
        <v>68</v>
      </c>
      <c r="E3694">
        <v>0</v>
      </c>
      <c r="F3694">
        <v>0</v>
      </c>
      <c r="G3694">
        <v>12</v>
      </c>
      <c r="H3694" s="4">
        <v>1570542367562</v>
      </c>
      <c r="I3694">
        <v>526.6875</v>
      </c>
      <c r="J3694" s="9">
        <f t="shared" si="57"/>
        <v>43746.865365300924</v>
      </c>
      <c r="K3694" s="1"/>
    </row>
    <row r="3695" spans="1:11" x14ac:dyDescent="0.25">
      <c r="A3695" t="e">
        <f>-LqfbhF28AIzXE9dgMya</f>
        <v>#NAME?</v>
      </c>
      <c r="B3695">
        <v>393.75</v>
      </c>
      <c r="C3695">
        <v>20.584240000000001</v>
      </c>
      <c r="D3695">
        <v>66</v>
      </c>
      <c r="E3695">
        <v>0</v>
      </c>
      <c r="F3695">
        <v>0</v>
      </c>
      <c r="G3695">
        <v>11</v>
      </c>
      <c r="H3695" s="4">
        <v>1570542374782</v>
      </c>
      <c r="I3695">
        <v>526.5</v>
      </c>
      <c r="J3695" s="9">
        <f t="shared" si="57"/>
        <v>43746.865448865741</v>
      </c>
      <c r="K3695" s="1"/>
    </row>
    <row r="3696" spans="1:11" x14ac:dyDescent="0.25">
      <c r="A3696" t="e">
        <f>-LqfbijD4vvKaep55bym</f>
        <v>#NAME?</v>
      </c>
      <c r="B3696">
        <v>393.75</v>
      </c>
      <c r="C3696">
        <v>20.531590000000001</v>
      </c>
      <c r="D3696">
        <v>65</v>
      </c>
      <c r="E3696">
        <v>0</v>
      </c>
      <c r="F3696">
        <v>0</v>
      </c>
      <c r="G3696">
        <v>9</v>
      </c>
      <c r="H3696" s="4">
        <v>1570542380962</v>
      </c>
      <c r="I3696">
        <v>526.6875</v>
      </c>
      <c r="J3696" s="9">
        <f t="shared" si="57"/>
        <v>43746.865520393512</v>
      </c>
      <c r="K3696" s="1"/>
    </row>
    <row r="3697" spans="1:11" x14ac:dyDescent="0.25">
      <c r="A3697" t="e">
        <f>-LqfbkI2ShULgslToN_l</f>
        <v>#NAME?</v>
      </c>
      <c r="B3697">
        <v>393.75</v>
      </c>
      <c r="C3697">
        <v>20.531590000000001</v>
      </c>
      <c r="D3697">
        <v>65</v>
      </c>
      <c r="E3697">
        <v>0</v>
      </c>
      <c r="F3697">
        <v>0</v>
      </c>
      <c r="G3697">
        <v>6</v>
      </c>
      <c r="H3697" s="4">
        <v>1570542387141</v>
      </c>
      <c r="I3697">
        <v>526.6875</v>
      </c>
      <c r="J3697" s="9">
        <f t="shared" si="57"/>
        <v>43746.865591909715</v>
      </c>
      <c r="K3697" s="1"/>
    </row>
    <row r="3698" spans="1:11" x14ac:dyDescent="0.25">
      <c r="A3698" t="e">
        <f>-LqfblzDW9Wb7IvVJrEw</f>
        <v>#NAME?</v>
      </c>
      <c r="B3698">
        <v>393.75</v>
      </c>
      <c r="C3698">
        <v>20.584240000000001</v>
      </c>
      <c r="D3698">
        <v>66</v>
      </c>
      <c r="E3698">
        <v>0</v>
      </c>
      <c r="F3698">
        <v>0</v>
      </c>
      <c r="G3698">
        <v>12</v>
      </c>
      <c r="H3698" s="4">
        <v>1570542394332</v>
      </c>
      <c r="I3698">
        <v>526.6875</v>
      </c>
      <c r="J3698" s="9">
        <f t="shared" si="57"/>
        <v>43746.865675138884</v>
      </c>
      <c r="K3698" s="1"/>
    </row>
    <row r="3699" spans="1:11" x14ac:dyDescent="0.25">
      <c r="A3699" t="e">
        <f>-LqfbnaAqBlVNUlFuDCh</f>
        <v>#NAME?</v>
      </c>
      <c r="B3699">
        <v>393.75</v>
      </c>
      <c r="C3699">
        <v>20.531590000000001</v>
      </c>
      <c r="D3699">
        <v>65</v>
      </c>
      <c r="E3699">
        <v>0</v>
      </c>
      <c r="F3699">
        <v>0</v>
      </c>
      <c r="G3699">
        <v>12</v>
      </c>
      <c r="H3699" s="4">
        <v>1570542400550</v>
      </c>
      <c r="I3699">
        <v>526.6875</v>
      </c>
      <c r="J3699" s="9">
        <f t="shared" si="57"/>
        <v>43746.86574710648</v>
      </c>
      <c r="K3699" s="1"/>
    </row>
    <row r="3700" spans="1:11" x14ac:dyDescent="0.25">
      <c r="A3700" t="e">
        <f>-LqfbpJK8HNOEMy6qYr3</f>
        <v>#NAME?</v>
      </c>
      <c r="B3700">
        <v>412.5</v>
      </c>
      <c r="C3700">
        <v>20.584240000000001</v>
      </c>
      <c r="D3700">
        <v>66</v>
      </c>
      <c r="E3700">
        <v>0</v>
      </c>
      <c r="F3700">
        <v>0</v>
      </c>
      <c r="G3700">
        <v>20</v>
      </c>
      <c r="H3700" s="4">
        <v>1570542407763</v>
      </c>
      <c r="I3700">
        <v>532.3125</v>
      </c>
      <c r="J3700" s="9">
        <f t="shared" si="57"/>
        <v>43746.865830590272</v>
      </c>
      <c r="K3700" s="1"/>
    </row>
    <row r="3701" spans="1:11" x14ac:dyDescent="0.25">
      <c r="A3701" t="e">
        <f>-Lqfbr68sDvu1M8EYIV3</f>
        <v>#NAME?</v>
      </c>
      <c r="B3701">
        <v>393.75</v>
      </c>
      <c r="C3701">
        <v>20.531590000000001</v>
      </c>
      <c r="D3701">
        <v>66</v>
      </c>
      <c r="E3701">
        <v>0</v>
      </c>
      <c r="F3701">
        <v>0</v>
      </c>
      <c r="G3701">
        <v>13</v>
      </c>
      <c r="H3701" s="4">
        <v>1570542414980</v>
      </c>
      <c r="I3701">
        <v>526.6875</v>
      </c>
      <c r="J3701" s="9">
        <f t="shared" si="57"/>
        <v>43746.865914120368</v>
      </c>
      <c r="K3701" s="1"/>
    </row>
    <row r="3702" spans="1:11" x14ac:dyDescent="0.25">
      <c r="A3702" t="e">
        <f>-Lqfbsp0xDh-TNUJlgt6</f>
        <v>#NAME?</v>
      </c>
      <c r="B3702">
        <v>393.75</v>
      </c>
      <c r="C3702">
        <v>20.531590000000001</v>
      </c>
      <c r="D3702">
        <v>67</v>
      </c>
      <c r="E3702">
        <v>0</v>
      </c>
      <c r="F3702">
        <v>0</v>
      </c>
      <c r="G3702">
        <v>16</v>
      </c>
      <c r="H3702" s="4">
        <v>1570542422163</v>
      </c>
      <c r="I3702">
        <v>526.6875</v>
      </c>
      <c r="J3702" s="9">
        <f t="shared" si="57"/>
        <v>43746.865997256937</v>
      </c>
      <c r="K3702" s="1"/>
    </row>
    <row r="3703" spans="1:11" x14ac:dyDescent="0.25">
      <c r="A3703" t="e">
        <f>-LqfbuN3tnnkLa2NO86l</f>
        <v>#NAME?</v>
      </c>
      <c r="B3703">
        <v>393.75</v>
      </c>
      <c r="C3703">
        <v>20.584240000000001</v>
      </c>
      <c r="D3703">
        <v>66</v>
      </c>
      <c r="E3703">
        <v>0</v>
      </c>
      <c r="F3703">
        <v>0</v>
      </c>
      <c r="G3703">
        <v>3</v>
      </c>
      <c r="H3703" s="4">
        <v>1570542428361</v>
      </c>
      <c r="I3703">
        <v>526.6875</v>
      </c>
      <c r="J3703" s="9">
        <f t="shared" si="57"/>
        <v>43746.866068993055</v>
      </c>
      <c r="K3703" s="1"/>
    </row>
    <row r="3704" spans="1:11" x14ac:dyDescent="0.25">
      <c r="A3704" t="e">
        <f>-Lqfbw4tjpRn5eynvJXo</f>
        <v>#NAME?</v>
      </c>
      <c r="B3704">
        <v>393.75</v>
      </c>
      <c r="C3704">
        <v>20.584240000000001</v>
      </c>
      <c r="D3704">
        <v>68</v>
      </c>
      <c r="E3704">
        <v>0</v>
      </c>
      <c r="F3704">
        <v>0</v>
      </c>
      <c r="G3704">
        <v>1</v>
      </c>
      <c r="H3704" s="4">
        <v>1570542435582</v>
      </c>
      <c r="I3704">
        <v>526.6875</v>
      </c>
      <c r="J3704" s="9">
        <f t="shared" si="57"/>
        <v>43746.866152569441</v>
      </c>
      <c r="K3704" s="1"/>
    </row>
    <row r="3705" spans="1:11" x14ac:dyDescent="0.25">
      <c r="A3705" t="e">
        <f>-Lqfbx_1THoRokR_7ZL4</f>
        <v>#NAME?</v>
      </c>
      <c r="B3705">
        <v>418.75</v>
      </c>
      <c r="C3705">
        <v>20.531590000000001</v>
      </c>
      <c r="D3705">
        <v>68</v>
      </c>
      <c r="E3705">
        <v>0</v>
      </c>
      <c r="F3705">
        <v>0</v>
      </c>
      <c r="G3705">
        <v>7</v>
      </c>
      <c r="H3705" s="4">
        <v>1570542441768</v>
      </c>
      <c r="I3705">
        <v>534.5625</v>
      </c>
      <c r="J3705" s="9">
        <f t="shared" si="57"/>
        <v>43746.866224166668</v>
      </c>
      <c r="K3705" s="1"/>
    </row>
    <row r="3706" spans="1:11" x14ac:dyDescent="0.25">
      <c r="A3706" t="e">
        <f>-Lqfbz9B9Q0-HUNb3TgK</f>
        <v>#NAME?</v>
      </c>
      <c r="B3706">
        <v>393.75</v>
      </c>
      <c r="C3706">
        <v>20.584240000000001</v>
      </c>
      <c r="D3706">
        <v>68</v>
      </c>
      <c r="E3706">
        <v>0</v>
      </c>
      <c r="F3706">
        <v>0</v>
      </c>
      <c r="G3706">
        <v>13</v>
      </c>
      <c r="H3706" s="4">
        <v>1570542447922</v>
      </c>
      <c r="I3706">
        <v>526.6875</v>
      </c>
      <c r="J3706" s="9">
        <f t="shared" si="57"/>
        <v>43746.86629539352</v>
      </c>
      <c r="K3706" s="1"/>
    </row>
    <row r="3707" spans="1:11" x14ac:dyDescent="0.25">
      <c r="A3707" t="s">
        <v>198</v>
      </c>
      <c r="B3707">
        <v>393.75</v>
      </c>
      <c r="C3707">
        <v>20.584240000000001</v>
      </c>
      <c r="D3707">
        <v>68</v>
      </c>
      <c r="E3707">
        <v>0</v>
      </c>
      <c r="F3707">
        <v>0</v>
      </c>
      <c r="G3707">
        <v>2</v>
      </c>
      <c r="H3707" s="4">
        <v>1570542454121</v>
      </c>
      <c r="I3707">
        <v>526.6875</v>
      </c>
      <c r="J3707" s="9">
        <f t="shared" si="57"/>
        <v>43746.8663671412</v>
      </c>
      <c r="K3707" s="1"/>
    </row>
    <row r="3708" spans="1:11" x14ac:dyDescent="0.25">
      <c r="A3708" t="e">
        <f>-Lqfc1R9XAf8Pnf8EzBt</f>
        <v>#NAME?</v>
      </c>
      <c r="B3708">
        <v>393.75</v>
      </c>
      <c r="C3708">
        <v>20.531590000000001</v>
      </c>
      <c r="D3708">
        <v>60</v>
      </c>
      <c r="E3708">
        <v>0</v>
      </c>
      <c r="F3708">
        <v>0</v>
      </c>
      <c r="G3708">
        <v>11</v>
      </c>
      <c r="H3708" s="4">
        <v>1570542461342</v>
      </c>
      <c r="I3708">
        <v>526.6875</v>
      </c>
      <c r="J3708" s="9">
        <f t="shared" si="57"/>
        <v>43746.866450717593</v>
      </c>
      <c r="K3708" s="1"/>
    </row>
    <row r="3709" spans="1:11" x14ac:dyDescent="0.25">
      <c r="A3709" t="e">
        <f>-Lqfc3FrnKd_nlDwZpBo</f>
        <v>#NAME?</v>
      </c>
      <c r="B3709">
        <v>393.75</v>
      </c>
      <c r="C3709">
        <v>20.531590000000001</v>
      </c>
      <c r="D3709">
        <v>61</v>
      </c>
      <c r="E3709">
        <v>0</v>
      </c>
      <c r="F3709">
        <v>0</v>
      </c>
      <c r="G3709">
        <v>7</v>
      </c>
      <c r="H3709" s="4">
        <v>1570542468562</v>
      </c>
      <c r="I3709">
        <v>526.6875</v>
      </c>
      <c r="J3709" s="9">
        <f t="shared" si="57"/>
        <v>43746.866534282402</v>
      </c>
      <c r="K3709" s="1"/>
    </row>
    <row r="3710" spans="1:11" x14ac:dyDescent="0.25">
      <c r="A3710" t="e">
        <f>-Lqfc4sJtSqwgsTCPYNB</f>
        <v>#NAME?</v>
      </c>
      <c r="B3710">
        <v>393.75</v>
      </c>
      <c r="C3710">
        <v>20.478950000000001</v>
      </c>
      <c r="D3710">
        <v>65</v>
      </c>
      <c r="E3710">
        <v>0</v>
      </c>
      <c r="F3710">
        <v>0</v>
      </c>
      <c r="G3710">
        <v>10</v>
      </c>
      <c r="H3710" s="4">
        <v>1570542475761</v>
      </c>
      <c r="I3710">
        <v>526.6875</v>
      </c>
      <c r="J3710" s="9">
        <f t="shared" si="57"/>
        <v>43746.866617604166</v>
      </c>
      <c r="K3710" s="1"/>
    </row>
    <row r="3711" spans="1:11" x14ac:dyDescent="0.25">
      <c r="A3711" t="e">
        <f>-Lqfc6RBuftu44psFvD8</f>
        <v>#NAME?</v>
      </c>
      <c r="B3711">
        <v>415.625</v>
      </c>
      <c r="C3711">
        <v>20.584240000000001</v>
      </c>
      <c r="D3711">
        <v>65</v>
      </c>
      <c r="E3711">
        <v>0</v>
      </c>
      <c r="F3711">
        <v>0</v>
      </c>
      <c r="G3711">
        <v>9</v>
      </c>
      <c r="H3711" s="4">
        <v>1570542481951</v>
      </c>
      <c r="I3711">
        <v>533.8125</v>
      </c>
      <c r="J3711" s="9">
        <f t="shared" si="57"/>
        <v>43746.866689247683</v>
      </c>
      <c r="K3711" s="1"/>
    </row>
    <row r="3712" spans="1:11" x14ac:dyDescent="0.25">
      <c r="A3712" t="e">
        <f>-Lqfc7wQ3KBpy9KR7v94</f>
        <v>#NAME?</v>
      </c>
      <c r="B3712">
        <v>393.75</v>
      </c>
      <c r="C3712">
        <v>20.531590000000001</v>
      </c>
      <c r="D3712">
        <v>67</v>
      </c>
      <c r="E3712">
        <v>0</v>
      </c>
      <c r="F3712">
        <v>0</v>
      </c>
      <c r="G3712">
        <v>8</v>
      </c>
      <c r="H3712" s="4">
        <v>1570542488146</v>
      </c>
      <c r="I3712">
        <v>526.5</v>
      </c>
      <c r="J3712" s="9">
        <f t="shared" si="57"/>
        <v>43746.866760949073</v>
      </c>
      <c r="K3712" s="1"/>
    </row>
    <row r="3713" spans="1:11" x14ac:dyDescent="0.25">
      <c r="A3713" t="e">
        <f>-Lqfc9T3LYGVGxG2MpTg</f>
        <v>#NAME?</v>
      </c>
      <c r="B3713">
        <v>393.75</v>
      </c>
      <c r="C3713">
        <v>20.584240000000001</v>
      </c>
      <c r="D3713">
        <v>66</v>
      </c>
      <c r="E3713">
        <v>0</v>
      </c>
      <c r="F3713">
        <v>0</v>
      </c>
      <c r="G3713">
        <v>8</v>
      </c>
      <c r="H3713" s="4">
        <v>1570542494312</v>
      </c>
      <c r="I3713">
        <v>526.6875</v>
      </c>
      <c r="J3713" s="9">
        <f t="shared" si="57"/>
        <v>43746.866832314809</v>
      </c>
      <c r="K3713" s="1"/>
    </row>
    <row r="3714" spans="1:11" x14ac:dyDescent="0.25">
      <c r="A3714" t="e">
        <f>-LqfcB9eL8UbJiSUcXHz</f>
        <v>#NAME?</v>
      </c>
      <c r="B3714">
        <v>393.75</v>
      </c>
      <c r="C3714">
        <v>20.531590000000001</v>
      </c>
      <c r="D3714">
        <v>67</v>
      </c>
      <c r="E3714">
        <v>0</v>
      </c>
      <c r="F3714">
        <v>0</v>
      </c>
      <c r="G3714">
        <v>11</v>
      </c>
      <c r="H3714" s="4">
        <v>1570542501523</v>
      </c>
      <c r="I3714">
        <v>526.6875</v>
      </c>
      <c r="J3714" s="9">
        <f t="shared" si="57"/>
        <v>43746.866915775456</v>
      </c>
      <c r="K3714" s="1"/>
    </row>
    <row r="3715" spans="1:11" x14ac:dyDescent="0.25">
      <c r="A3715" t="e">
        <f>-LqfcCk6Dv0cui6HNqbw</f>
        <v>#NAME?</v>
      </c>
      <c r="B3715">
        <v>393.75</v>
      </c>
      <c r="C3715">
        <v>20.531590000000001</v>
      </c>
      <c r="D3715">
        <v>66</v>
      </c>
      <c r="E3715">
        <v>0</v>
      </c>
      <c r="F3715">
        <v>0</v>
      </c>
      <c r="G3715">
        <v>9</v>
      </c>
      <c r="H3715" s="4">
        <v>1570542507712</v>
      </c>
      <c r="I3715">
        <v>526.6875</v>
      </c>
      <c r="J3715" s="9">
        <f t="shared" ref="J3715:J3778" si="58">(H3715/86400000)+25569+(7/24)</f>
        <v>43746.866987407404</v>
      </c>
      <c r="K3715" s="1"/>
    </row>
    <row r="3716" spans="1:11" x14ac:dyDescent="0.25">
      <c r="A3716" t="e">
        <f>-LqfcET2JZJir_ZxYeiz</f>
        <v>#NAME?</v>
      </c>
      <c r="B3716">
        <v>393.75</v>
      </c>
      <c r="C3716">
        <v>20.584240000000001</v>
      </c>
      <c r="D3716">
        <v>66</v>
      </c>
      <c r="E3716">
        <v>0</v>
      </c>
      <c r="F3716">
        <v>0</v>
      </c>
      <c r="G3716">
        <v>11</v>
      </c>
      <c r="H3716" s="4">
        <v>1570542514930</v>
      </c>
      <c r="I3716">
        <v>526.6875</v>
      </c>
      <c r="J3716" s="9">
        <f t="shared" si="58"/>
        <v>43746.867070949076</v>
      </c>
      <c r="K3716" s="1"/>
    </row>
    <row r="3717" spans="1:11" x14ac:dyDescent="0.25">
      <c r="A3717" t="e">
        <f>-LqfcGHIC9GGW_FQzD7N</f>
        <v>#NAME?</v>
      </c>
      <c r="B3717">
        <v>393.75</v>
      </c>
      <c r="C3717">
        <v>20.584240000000001</v>
      </c>
      <c r="D3717">
        <v>63</v>
      </c>
      <c r="E3717">
        <v>0</v>
      </c>
      <c r="F3717">
        <v>0</v>
      </c>
      <c r="G3717">
        <v>5</v>
      </c>
      <c r="H3717" s="4">
        <v>1570542522141</v>
      </c>
      <c r="I3717">
        <v>526.5</v>
      </c>
      <c r="J3717" s="9">
        <f t="shared" si="58"/>
        <v>43746.867154409723</v>
      </c>
      <c r="K3717" s="1"/>
    </row>
    <row r="3718" spans="1:11" x14ac:dyDescent="0.25">
      <c r="A3718" t="e">
        <f>-LqfcHxy1eBJS9UqWuk2</f>
        <v>#NAME?</v>
      </c>
      <c r="B3718">
        <v>393.75</v>
      </c>
      <c r="C3718">
        <v>20.531590000000001</v>
      </c>
      <c r="D3718">
        <v>62</v>
      </c>
      <c r="E3718">
        <v>0</v>
      </c>
      <c r="F3718">
        <v>0</v>
      </c>
      <c r="G3718">
        <v>3</v>
      </c>
      <c r="H3718" s="4">
        <v>1570542529361</v>
      </c>
      <c r="I3718">
        <v>526.6875</v>
      </c>
      <c r="J3718" s="9">
        <f t="shared" si="58"/>
        <v>43746.867237974533</v>
      </c>
      <c r="K3718" s="1"/>
    </row>
    <row r="3719" spans="1:11" x14ac:dyDescent="0.25">
      <c r="A3719" t="e">
        <f>-LqfcJn9hP4dcpAwStZn</f>
        <v>#NAME?</v>
      </c>
      <c r="B3719">
        <v>393.75</v>
      </c>
      <c r="C3719">
        <v>20.584240000000001</v>
      </c>
      <c r="D3719">
        <v>63</v>
      </c>
      <c r="E3719">
        <v>0</v>
      </c>
      <c r="F3719">
        <v>0</v>
      </c>
      <c r="G3719">
        <v>8</v>
      </c>
      <c r="H3719" s="4">
        <v>1570542536561</v>
      </c>
      <c r="I3719">
        <v>526.6875</v>
      </c>
      <c r="J3719" s="9">
        <f t="shared" si="58"/>
        <v>43746.867321307865</v>
      </c>
      <c r="K3719" s="1"/>
    </row>
    <row r="3720" spans="1:11" x14ac:dyDescent="0.25">
      <c r="A3720" t="e">
        <f>-LqfcLToav8BIqROA8Di</f>
        <v>#NAME?</v>
      </c>
      <c r="B3720">
        <v>393.75</v>
      </c>
      <c r="C3720">
        <v>20.531590000000001</v>
      </c>
      <c r="D3720">
        <v>63</v>
      </c>
      <c r="E3720">
        <v>0</v>
      </c>
      <c r="F3720">
        <v>0</v>
      </c>
      <c r="G3720">
        <v>7</v>
      </c>
      <c r="H3720" s="4">
        <v>1570542543761</v>
      </c>
      <c r="I3720">
        <v>526.6875</v>
      </c>
      <c r="J3720" s="9">
        <f t="shared" si="58"/>
        <v>43746.867404641198</v>
      </c>
      <c r="K3720" s="1"/>
    </row>
    <row r="3721" spans="1:11" x14ac:dyDescent="0.25">
      <c r="A3721" t="s">
        <v>199</v>
      </c>
      <c r="B3721">
        <v>393.75</v>
      </c>
      <c r="C3721">
        <v>20.584240000000001</v>
      </c>
      <c r="D3721">
        <v>63</v>
      </c>
      <c r="E3721">
        <v>0</v>
      </c>
      <c r="F3721">
        <v>0</v>
      </c>
      <c r="G3721">
        <v>13</v>
      </c>
      <c r="H3721" s="4">
        <v>1570542549951</v>
      </c>
      <c r="I3721">
        <v>526.6875</v>
      </c>
      <c r="J3721" s="9">
        <f t="shared" si="58"/>
        <v>43746.867476284715</v>
      </c>
      <c r="K3721" s="1"/>
    </row>
    <row r="3722" spans="1:11" x14ac:dyDescent="0.25">
      <c r="A3722" t="s">
        <v>200</v>
      </c>
      <c r="B3722">
        <v>393.75</v>
      </c>
      <c r="C3722">
        <v>20.584240000000001</v>
      </c>
      <c r="D3722">
        <v>65</v>
      </c>
      <c r="E3722">
        <v>0</v>
      </c>
      <c r="F3722">
        <v>0</v>
      </c>
      <c r="G3722">
        <v>11</v>
      </c>
      <c r="H3722" s="4">
        <v>1570542556142</v>
      </c>
      <c r="I3722">
        <v>526.5</v>
      </c>
      <c r="J3722" s="9">
        <f t="shared" si="58"/>
        <v>43746.867547939815</v>
      </c>
      <c r="K3722" s="1"/>
    </row>
    <row r="3723" spans="1:11" x14ac:dyDescent="0.25">
      <c r="A3723" t="e">
        <f>-LqfcQG4pv1KpTtuhckZ</f>
        <v>#NAME?</v>
      </c>
      <c r="B3723">
        <v>412.5</v>
      </c>
      <c r="C3723">
        <v>20.584240000000001</v>
      </c>
      <c r="D3723">
        <v>66</v>
      </c>
      <c r="E3723">
        <v>0</v>
      </c>
      <c r="F3723">
        <v>0</v>
      </c>
      <c r="G3723">
        <v>7</v>
      </c>
      <c r="H3723" s="4">
        <v>1570542563362</v>
      </c>
      <c r="I3723">
        <v>532.3125</v>
      </c>
      <c r="J3723" s="9">
        <f t="shared" si="58"/>
        <v>43746.867631504625</v>
      </c>
      <c r="K3723" s="1"/>
    </row>
    <row r="3724" spans="1:11" x14ac:dyDescent="0.25">
      <c r="A3724" t="s">
        <v>201</v>
      </c>
      <c r="B3724">
        <v>393.75</v>
      </c>
      <c r="C3724">
        <v>20.531590000000001</v>
      </c>
      <c r="D3724">
        <v>66</v>
      </c>
      <c r="E3724">
        <v>0</v>
      </c>
      <c r="F3724">
        <v>0</v>
      </c>
      <c r="G3724">
        <v>5</v>
      </c>
      <c r="H3724" s="4">
        <v>1570542570580</v>
      </c>
      <c r="I3724">
        <v>526.6875</v>
      </c>
      <c r="J3724" s="9">
        <f t="shared" si="58"/>
        <v>43746.867715046297</v>
      </c>
      <c r="K3724" s="1"/>
    </row>
    <row r="3725" spans="1:11" x14ac:dyDescent="0.25">
      <c r="A3725" t="e">
        <f>-LqfcTsV3sPCVppwY3wX</f>
        <v>#NAME?</v>
      </c>
      <c r="B3725">
        <v>393.75</v>
      </c>
      <c r="C3725">
        <v>20.531590000000001</v>
      </c>
      <c r="D3725">
        <v>68</v>
      </c>
      <c r="E3725">
        <v>0</v>
      </c>
      <c r="F3725">
        <v>0</v>
      </c>
      <c r="G3725">
        <v>8</v>
      </c>
      <c r="H3725" s="4">
        <v>1570542576731</v>
      </c>
      <c r="I3725">
        <v>526.5</v>
      </c>
      <c r="J3725" s="9">
        <f t="shared" si="58"/>
        <v>43746.867786238428</v>
      </c>
      <c r="K3725" s="1"/>
    </row>
    <row r="3726" spans="1:11" x14ac:dyDescent="0.25">
      <c r="A3726" t="e">
        <f>-LqfcVaA45GU0z696-aP</f>
        <v>#NAME?</v>
      </c>
      <c r="B3726">
        <v>393.75</v>
      </c>
      <c r="C3726">
        <v>20.584240000000001</v>
      </c>
      <c r="D3726">
        <v>66</v>
      </c>
      <c r="E3726">
        <v>0</v>
      </c>
      <c r="F3726">
        <v>0</v>
      </c>
      <c r="G3726">
        <v>9</v>
      </c>
      <c r="H3726" s="4">
        <v>1570542585006</v>
      </c>
      <c r="I3726">
        <v>526.6875</v>
      </c>
      <c r="J3726" s="9">
        <f t="shared" si="58"/>
        <v>43746.867882013881</v>
      </c>
      <c r="K3726" s="1"/>
    </row>
    <row r="3727" spans="1:11" x14ac:dyDescent="0.25">
      <c r="A3727" t="e">
        <f>-LqfcX4D8GgiABd2uWAh</f>
        <v>#NAME?</v>
      </c>
      <c r="B3727">
        <v>393.75</v>
      </c>
      <c r="C3727">
        <v>20.584240000000001</v>
      </c>
      <c r="D3727">
        <v>66</v>
      </c>
      <c r="E3727">
        <v>0</v>
      </c>
      <c r="F3727">
        <v>0</v>
      </c>
      <c r="G3727">
        <v>10</v>
      </c>
      <c r="H3727" s="4">
        <v>1570542591186</v>
      </c>
      <c r="I3727">
        <v>526.6875</v>
      </c>
      <c r="J3727" s="9">
        <f t="shared" si="58"/>
        <v>43746.867953541667</v>
      </c>
      <c r="K3727" s="1"/>
    </row>
    <row r="3728" spans="1:11" x14ac:dyDescent="0.25">
      <c r="A3728" t="e">
        <f>-LqfcYd4HifMXh50qWi2</f>
        <v>#NAME?</v>
      </c>
      <c r="B3728">
        <v>431.25</v>
      </c>
      <c r="C3728">
        <v>20.531590000000001</v>
      </c>
      <c r="D3728">
        <v>66</v>
      </c>
      <c r="E3728">
        <v>0</v>
      </c>
      <c r="F3728">
        <v>0</v>
      </c>
      <c r="G3728">
        <v>2</v>
      </c>
      <c r="H3728" s="4">
        <v>1570542597364</v>
      </c>
      <c r="I3728">
        <v>538.5</v>
      </c>
      <c r="J3728" s="9">
        <f t="shared" si="58"/>
        <v>43746.868025046293</v>
      </c>
      <c r="K3728" s="1"/>
    </row>
    <row r="3729" spans="1:11" x14ac:dyDescent="0.25">
      <c r="A3729" t="e">
        <f>-Lqfc_MCOKhr0ukAbeMB</f>
        <v>#NAME?</v>
      </c>
      <c r="B3729">
        <v>393.75</v>
      </c>
      <c r="C3729">
        <v>20.531590000000001</v>
      </c>
      <c r="D3729">
        <v>66</v>
      </c>
      <c r="E3729">
        <v>0</v>
      </c>
      <c r="F3729">
        <v>0</v>
      </c>
      <c r="G3729">
        <v>2</v>
      </c>
      <c r="H3729" s="4">
        <v>1570542604565</v>
      </c>
      <c r="I3729">
        <v>526.6875</v>
      </c>
      <c r="J3729" s="9">
        <f t="shared" si="58"/>
        <v>43746.868108391202</v>
      </c>
      <c r="K3729" s="1"/>
    </row>
    <row r="3730" spans="1:11" x14ac:dyDescent="0.25">
      <c r="A3730" t="e">
        <f>-LqfcavC7AdVQRTlHI8S</f>
        <v>#NAME?</v>
      </c>
      <c r="B3730">
        <v>393.75</v>
      </c>
      <c r="C3730">
        <v>20.531590000000001</v>
      </c>
      <c r="D3730">
        <v>66</v>
      </c>
      <c r="E3730">
        <v>0</v>
      </c>
      <c r="F3730">
        <v>0</v>
      </c>
      <c r="G3730">
        <v>5</v>
      </c>
      <c r="H3730" s="4">
        <v>1570542610763</v>
      </c>
      <c r="I3730">
        <v>526.6875</v>
      </c>
      <c r="J3730" s="9">
        <f t="shared" si="58"/>
        <v>43746.868180127312</v>
      </c>
      <c r="K3730" s="1"/>
    </row>
    <row r="3731" spans="1:11" x14ac:dyDescent="0.25">
      <c r="A3731" t="e">
        <f>-LqfccdNxKAoPiedY8DI</f>
        <v>#NAME?</v>
      </c>
      <c r="B3731">
        <v>393.75</v>
      </c>
      <c r="C3731">
        <v>20.531590000000001</v>
      </c>
      <c r="D3731">
        <v>66</v>
      </c>
      <c r="E3731">
        <v>0</v>
      </c>
      <c r="F3731">
        <v>0</v>
      </c>
      <c r="G3731">
        <v>5</v>
      </c>
      <c r="H3731" s="4">
        <v>1570542617975</v>
      </c>
      <c r="I3731">
        <v>526.6875</v>
      </c>
      <c r="J3731" s="9">
        <f t="shared" si="58"/>
        <v>43746.868263599536</v>
      </c>
      <c r="K3731" s="1"/>
    </row>
    <row r="3732" spans="1:11" x14ac:dyDescent="0.25">
      <c r="A3732" t="e">
        <f>-LqfceRD6emQY0vcdb8t</f>
        <v>#NAME?</v>
      </c>
      <c r="B3732">
        <v>393.75</v>
      </c>
      <c r="C3732">
        <v>20.584240000000001</v>
      </c>
      <c r="D3732">
        <v>67</v>
      </c>
      <c r="E3732">
        <v>0</v>
      </c>
      <c r="F3732">
        <v>0</v>
      </c>
      <c r="G3732">
        <v>5</v>
      </c>
      <c r="H3732" s="4">
        <v>1570542625183</v>
      </c>
      <c r="I3732">
        <v>526.6875</v>
      </c>
      <c r="J3732" s="9">
        <f t="shared" si="58"/>
        <v>43746.868347025462</v>
      </c>
      <c r="K3732" s="1"/>
    </row>
    <row r="3733" spans="1:11" x14ac:dyDescent="0.25">
      <c r="A3733" t="s">
        <v>202</v>
      </c>
      <c r="B3733">
        <v>393.75</v>
      </c>
      <c r="C3733">
        <v>20.531590000000001</v>
      </c>
      <c r="D3733">
        <v>67</v>
      </c>
      <c r="E3733">
        <v>0</v>
      </c>
      <c r="F3733">
        <v>0</v>
      </c>
      <c r="G3733">
        <v>6</v>
      </c>
      <c r="H3733" s="4">
        <v>1570542632404</v>
      </c>
      <c r="I3733">
        <v>526.6875</v>
      </c>
      <c r="J3733" s="9">
        <f t="shared" si="58"/>
        <v>43746.868430601848</v>
      </c>
      <c r="K3733" s="1"/>
    </row>
    <row r="3734" spans="1:11" x14ac:dyDescent="0.25">
      <c r="A3734" t="e">
        <f>-LqfchxBMOj5emUDPjrC</f>
        <v>#NAME?</v>
      </c>
      <c r="B3734">
        <v>393.75</v>
      </c>
      <c r="C3734">
        <v>20.478950000000001</v>
      </c>
      <c r="D3734">
        <v>66</v>
      </c>
      <c r="E3734">
        <v>0</v>
      </c>
      <c r="F3734">
        <v>0</v>
      </c>
      <c r="G3734">
        <v>8</v>
      </c>
      <c r="H3734" s="4">
        <v>1570542639614</v>
      </c>
      <c r="I3734">
        <v>526.6875</v>
      </c>
      <c r="J3734" s="9">
        <f t="shared" si="58"/>
        <v>43746.868514050926</v>
      </c>
      <c r="K3734" s="1"/>
    </row>
    <row r="3735" spans="1:11" x14ac:dyDescent="0.25">
      <c r="A3735" t="e">
        <f>-LqfcjpAK9k0i63BmyEc</f>
        <v>#NAME?</v>
      </c>
      <c r="B3735">
        <v>393.75</v>
      </c>
      <c r="C3735">
        <v>20.531590000000001</v>
      </c>
      <c r="D3735">
        <v>66</v>
      </c>
      <c r="E3735">
        <v>0</v>
      </c>
      <c r="F3735">
        <v>0</v>
      </c>
      <c r="G3735">
        <v>9</v>
      </c>
      <c r="H3735" s="4">
        <v>1570542647217</v>
      </c>
      <c r="I3735">
        <v>526.6875</v>
      </c>
      <c r="J3735" s="9">
        <f t="shared" si="58"/>
        <v>43746.868602048613</v>
      </c>
      <c r="K3735" s="1"/>
    </row>
    <row r="3736" spans="1:11" x14ac:dyDescent="0.25">
      <c r="A3736" t="e">
        <f>-LqfclTBXbG_A33y8Ymz</f>
        <v>#NAME?</v>
      </c>
      <c r="B3736">
        <v>393.75</v>
      </c>
      <c r="C3736">
        <v>20.584240000000001</v>
      </c>
      <c r="D3736">
        <v>65</v>
      </c>
      <c r="E3736">
        <v>0</v>
      </c>
      <c r="F3736">
        <v>0</v>
      </c>
      <c r="G3736">
        <v>14</v>
      </c>
      <c r="H3736" s="4">
        <v>1570542654034</v>
      </c>
      <c r="I3736">
        <v>526.6875</v>
      </c>
      <c r="J3736" s="9">
        <f t="shared" si="58"/>
        <v>43746.868680949068</v>
      </c>
      <c r="K3736" s="1"/>
    </row>
    <row r="3737" spans="1:11" x14ac:dyDescent="0.25">
      <c r="A3737" t="e">
        <f>-LqfcmxBjvk9moDPkp3L</f>
        <v>#NAME?</v>
      </c>
      <c r="B3737">
        <v>393.75</v>
      </c>
      <c r="C3737">
        <v>20.584240000000001</v>
      </c>
      <c r="D3737">
        <v>65</v>
      </c>
      <c r="E3737">
        <v>0</v>
      </c>
      <c r="F3737">
        <v>0</v>
      </c>
      <c r="G3737">
        <v>7</v>
      </c>
      <c r="H3737" s="4">
        <v>1570542660204</v>
      </c>
      <c r="I3737">
        <v>526.6875</v>
      </c>
      <c r="J3737" s="9">
        <f t="shared" si="58"/>
        <v>43746.868752361108</v>
      </c>
      <c r="K3737" s="1"/>
    </row>
    <row r="3738" spans="1:11" x14ac:dyDescent="0.25">
      <c r="A3738" t="e">
        <f>-LqfcoRnEYSWSvfrT5eA</f>
        <v>#NAME?</v>
      </c>
      <c r="B3738">
        <v>393.75</v>
      </c>
      <c r="C3738">
        <v>20.531590000000001</v>
      </c>
      <c r="D3738">
        <v>65</v>
      </c>
      <c r="E3738">
        <v>0</v>
      </c>
      <c r="F3738">
        <v>0</v>
      </c>
      <c r="G3738">
        <v>4</v>
      </c>
      <c r="H3738" s="4">
        <v>1570542666413</v>
      </c>
      <c r="I3738">
        <v>526.6875</v>
      </c>
      <c r="J3738" s="9">
        <f t="shared" si="58"/>
        <v>43746.868824224533</v>
      </c>
      <c r="K3738" s="1"/>
    </row>
    <row r="3739" spans="1:11" x14ac:dyDescent="0.25">
      <c r="A3739" t="s">
        <v>203</v>
      </c>
      <c r="B3739">
        <v>393.75</v>
      </c>
      <c r="C3739">
        <v>20.584240000000001</v>
      </c>
      <c r="D3739">
        <v>65</v>
      </c>
      <c r="E3739">
        <v>0</v>
      </c>
      <c r="F3739">
        <v>0</v>
      </c>
      <c r="G3739">
        <v>8</v>
      </c>
      <c r="H3739" s="4">
        <v>1570542672585</v>
      </c>
      <c r="I3739">
        <v>526.6875</v>
      </c>
      <c r="J3739" s="9">
        <f t="shared" si="58"/>
        <v>43746.868895659725</v>
      </c>
      <c r="K3739" s="1"/>
    </row>
    <row r="3740" spans="1:11" x14ac:dyDescent="0.25">
      <c r="A3740" t="e">
        <f>-LqfcrgCIh9bOgE_sCCm</f>
        <v>#NAME?</v>
      </c>
      <c r="B3740">
        <v>393.75</v>
      </c>
      <c r="C3740">
        <v>20.531590000000001</v>
      </c>
      <c r="D3740">
        <v>65</v>
      </c>
      <c r="E3740">
        <v>0</v>
      </c>
      <c r="F3740">
        <v>0</v>
      </c>
      <c r="G3740">
        <v>0</v>
      </c>
      <c r="H3740" s="4">
        <v>1570542678755</v>
      </c>
      <c r="I3740">
        <v>526.6875</v>
      </c>
      <c r="J3740" s="9">
        <f t="shared" si="58"/>
        <v>43746.868967071758</v>
      </c>
      <c r="K3740" s="1"/>
    </row>
    <row r="3741" spans="1:11" x14ac:dyDescent="0.25">
      <c r="A3741" t="e">
        <f>-LqfctHCXGnCziQUZ4D_</f>
        <v>#NAME?</v>
      </c>
      <c r="B3741">
        <v>393.75</v>
      </c>
      <c r="C3741">
        <v>20.584240000000001</v>
      </c>
      <c r="D3741">
        <v>65</v>
      </c>
      <c r="E3741">
        <v>0</v>
      </c>
      <c r="F3741">
        <v>0</v>
      </c>
      <c r="G3741">
        <v>7</v>
      </c>
      <c r="H3741" s="4">
        <v>1570542685955</v>
      </c>
      <c r="I3741">
        <v>526.6875</v>
      </c>
      <c r="J3741" s="9">
        <f t="shared" si="58"/>
        <v>43746.86905040509</v>
      </c>
      <c r="K3741" s="1"/>
    </row>
    <row r="3742" spans="1:11" x14ac:dyDescent="0.25">
      <c r="A3742" t="e">
        <f>-Lqfcv-C_ecNNLELEdmC</f>
        <v>#NAME?</v>
      </c>
      <c r="B3742">
        <v>393.75</v>
      </c>
      <c r="C3742">
        <v>20.531590000000001</v>
      </c>
      <c r="D3742">
        <v>63</v>
      </c>
      <c r="E3742">
        <v>0</v>
      </c>
      <c r="F3742">
        <v>0</v>
      </c>
      <c r="G3742">
        <v>0</v>
      </c>
      <c r="H3742" s="4">
        <v>1570542693205</v>
      </c>
      <c r="I3742">
        <v>526.6875</v>
      </c>
      <c r="J3742" s="9">
        <f t="shared" si="58"/>
        <v>43746.86913431713</v>
      </c>
      <c r="K3742" s="1"/>
    </row>
    <row r="3743" spans="1:11" x14ac:dyDescent="0.25">
      <c r="A3743" t="e">
        <f>-Lqfcx1ADcvuWaDDCOee</f>
        <v>#NAME?</v>
      </c>
      <c r="B3743">
        <v>393.75</v>
      </c>
      <c r="C3743">
        <v>20.531590000000001</v>
      </c>
      <c r="D3743">
        <v>63</v>
      </c>
      <c r="E3743">
        <v>0</v>
      </c>
      <c r="F3743">
        <v>0</v>
      </c>
      <c r="G3743">
        <v>14</v>
      </c>
      <c r="H3743" s="4">
        <v>1570542699374</v>
      </c>
      <c r="I3743">
        <v>526.5</v>
      </c>
      <c r="J3743" s="9">
        <f t="shared" si="58"/>
        <v>43746.869205717587</v>
      </c>
      <c r="K3743" s="1"/>
    </row>
    <row r="3744" spans="1:11" x14ac:dyDescent="0.25">
      <c r="A3744" t="e">
        <f>-LqfcyWKoqYeDBlwmBJw</f>
        <v>#NAME?</v>
      </c>
      <c r="B3744">
        <v>393.75</v>
      </c>
      <c r="C3744">
        <v>20.531590000000001</v>
      </c>
      <c r="D3744">
        <v>64</v>
      </c>
      <c r="E3744">
        <v>0</v>
      </c>
      <c r="F3744">
        <v>0</v>
      </c>
      <c r="G3744">
        <v>8</v>
      </c>
      <c r="H3744" s="4">
        <v>1570542707603</v>
      </c>
      <c r="I3744">
        <v>526.6875</v>
      </c>
      <c r="J3744" s="9">
        <f t="shared" si="58"/>
        <v>43746.869300960643</v>
      </c>
      <c r="K3744" s="1"/>
    </row>
    <row r="3745" spans="1:11" x14ac:dyDescent="0.25">
      <c r="A3745" t="e">
        <f>-LqfD-JBUiDY0YdGlHkC</f>
        <v>#NAME?</v>
      </c>
      <c r="B3745">
        <v>393.75</v>
      </c>
      <c r="C3745">
        <v>20.584240000000001</v>
      </c>
      <c r="D3745">
        <v>64</v>
      </c>
      <c r="E3745">
        <v>0</v>
      </c>
      <c r="F3745">
        <v>0</v>
      </c>
      <c r="G3745">
        <v>2</v>
      </c>
      <c r="H3745" s="4">
        <v>1570542714965</v>
      </c>
      <c r="I3745">
        <v>526.6875</v>
      </c>
      <c r="J3745" s="9">
        <f t="shared" si="58"/>
        <v>43746.869386168975</v>
      </c>
      <c r="K3745" s="1"/>
    </row>
    <row r="3746" spans="1:11" x14ac:dyDescent="0.25">
      <c r="A3746" t="e">
        <f>-Lqfd0nJZK5HpZ8L2ub0</f>
        <v>#NAME?</v>
      </c>
      <c r="B3746">
        <v>393.75</v>
      </c>
      <c r="C3746">
        <v>20.531590000000001</v>
      </c>
      <c r="D3746">
        <v>64</v>
      </c>
      <c r="E3746">
        <v>0</v>
      </c>
      <c r="F3746">
        <v>0</v>
      </c>
      <c r="G3746">
        <v>8</v>
      </c>
      <c r="H3746" s="4">
        <v>1570542721003</v>
      </c>
      <c r="I3746">
        <v>526.6875</v>
      </c>
      <c r="J3746" s="9">
        <f t="shared" si="58"/>
        <v>43746.869456053239</v>
      </c>
      <c r="K3746" s="1"/>
    </row>
    <row r="3747" spans="1:11" x14ac:dyDescent="0.25">
      <c r="A3747" t="e">
        <f>-Lqfd2a4ZCiD9G5z50LG</f>
        <v>#NAME?</v>
      </c>
      <c r="B3747">
        <v>393.75</v>
      </c>
      <c r="C3747">
        <v>20.584240000000001</v>
      </c>
      <c r="D3747">
        <v>65</v>
      </c>
      <c r="E3747">
        <v>0</v>
      </c>
      <c r="F3747">
        <v>0</v>
      </c>
      <c r="G3747">
        <v>6</v>
      </c>
      <c r="H3747" s="4">
        <v>1570542728223</v>
      </c>
      <c r="I3747">
        <v>526.6875</v>
      </c>
      <c r="J3747" s="9">
        <f t="shared" si="58"/>
        <v>43746.869539618048</v>
      </c>
      <c r="K3747" s="1"/>
    </row>
    <row r="3748" spans="1:11" x14ac:dyDescent="0.25">
      <c r="A3748" t="e">
        <f>-Lqfd4JB6Wl9KiHPQ9-x</f>
        <v>#NAME?</v>
      </c>
      <c r="B3748">
        <v>393.75</v>
      </c>
      <c r="C3748">
        <v>20.584240000000001</v>
      </c>
      <c r="D3748">
        <v>65</v>
      </c>
      <c r="E3748">
        <v>0</v>
      </c>
      <c r="F3748">
        <v>0</v>
      </c>
      <c r="G3748">
        <v>8</v>
      </c>
      <c r="H3748" s="4">
        <v>1570542735444</v>
      </c>
      <c r="I3748">
        <v>526.6875</v>
      </c>
      <c r="J3748" s="9">
        <f t="shared" si="58"/>
        <v>43746.869623194441</v>
      </c>
      <c r="K3748" s="1"/>
    </row>
    <row r="3749" spans="1:11" x14ac:dyDescent="0.25">
      <c r="A3749" t="s">
        <v>204</v>
      </c>
      <c r="B3749">
        <v>393.75</v>
      </c>
      <c r="C3749">
        <v>20.531590000000001</v>
      </c>
      <c r="D3749">
        <v>65</v>
      </c>
      <c r="E3749">
        <v>0</v>
      </c>
      <c r="F3749">
        <v>0</v>
      </c>
      <c r="G3749">
        <v>4</v>
      </c>
      <c r="H3749" s="4">
        <v>1570542741634</v>
      </c>
      <c r="I3749">
        <v>526.6875</v>
      </c>
      <c r="J3749" s="9">
        <f t="shared" si="58"/>
        <v>43746.869694837958</v>
      </c>
      <c r="K3749" s="1"/>
    </row>
    <row r="3750" spans="1:11" x14ac:dyDescent="0.25">
      <c r="A3750" t="e">
        <f>-Lqfd7aBbSLHL_1OOMn_</f>
        <v>#NAME?</v>
      </c>
      <c r="B3750">
        <v>393.75</v>
      </c>
      <c r="C3750">
        <v>20.531590000000001</v>
      </c>
      <c r="D3750">
        <v>65</v>
      </c>
      <c r="E3750">
        <v>0</v>
      </c>
      <c r="F3750">
        <v>0</v>
      </c>
      <c r="G3750">
        <v>11</v>
      </c>
      <c r="H3750" s="4">
        <v>1570542748834</v>
      </c>
      <c r="I3750">
        <v>526.6875</v>
      </c>
      <c r="J3750" s="9">
        <f t="shared" si="58"/>
        <v>43746.869778171291</v>
      </c>
      <c r="K3750" s="1"/>
    </row>
    <row r="3751" spans="1:11" x14ac:dyDescent="0.25">
      <c r="A3751" t="e">
        <f>-Lqfd94CIUPgH9DzYOvx</f>
        <v>#NAME?</v>
      </c>
      <c r="B3751">
        <v>393.75</v>
      </c>
      <c r="C3751">
        <v>20.584240000000001</v>
      </c>
      <c r="D3751">
        <v>66</v>
      </c>
      <c r="E3751">
        <v>0</v>
      </c>
      <c r="F3751">
        <v>0</v>
      </c>
      <c r="G3751">
        <v>6</v>
      </c>
      <c r="H3751" s="4">
        <v>1570542755034</v>
      </c>
      <c r="I3751">
        <v>526.6875</v>
      </c>
      <c r="J3751" s="9">
        <f t="shared" si="58"/>
        <v>43746.869849930554</v>
      </c>
      <c r="K3751" s="1"/>
    </row>
    <row r="3752" spans="1:11" x14ac:dyDescent="0.25">
      <c r="A3752" t="e">
        <f>-LqfdAdCT2_7VZOjqIYg</f>
        <v>#NAME?</v>
      </c>
      <c r="B3752">
        <v>393.75</v>
      </c>
      <c r="C3752">
        <v>20.584240000000001</v>
      </c>
      <c r="D3752">
        <v>66</v>
      </c>
      <c r="E3752">
        <v>0</v>
      </c>
      <c r="F3752">
        <v>0</v>
      </c>
      <c r="G3752">
        <v>6</v>
      </c>
      <c r="H3752" s="4">
        <v>1570542761205</v>
      </c>
      <c r="I3752">
        <v>526.6875</v>
      </c>
      <c r="J3752" s="9">
        <f t="shared" si="58"/>
        <v>43746.869921354162</v>
      </c>
      <c r="K3752" s="1"/>
    </row>
    <row r="3753" spans="1:11" x14ac:dyDescent="0.25">
      <c r="A3753" t="e">
        <f>-LqfdCM21ju4BJcjIP05</f>
        <v>#NAME?</v>
      </c>
      <c r="B3753">
        <v>393.75</v>
      </c>
      <c r="C3753">
        <v>20.531590000000001</v>
      </c>
      <c r="D3753">
        <v>66</v>
      </c>
      <c r="E3753">
        <v>0</v>
      </c>
      <c r="F3753">
        <v>0</v>
      </c>
      <c r="G3753">
        <v>0</v>
      </c>
      <c r="H3753" s="4">
        <v>1570542768405</v>
      </c>
      <c r="I3753">
        <v>526.6875</v>
      </c>
      <c r="J3753" s="9">
        <f t="shared" si="58"/>
        <v>43746.870004687495</v>
      </c>
      <c r="K3753" s="1"/>
    </row>
    <row r="3754" spans="1:11" x14ac:dyDescent="0.25">
      <c r="A3754" t="e">
        <f>-LqfdDqKzTvx2zmW7vwT</f>
        <v>#NAME?</v>
      </c>
      <c r="B3754">
        <v>393.75</v>
      </c>
      <c r="C3754">
        <v>20.531590000000001</v>
      </c>
      <c r="D3754">
        <v>66</v>
      </c>
      <c r="E3754">
        <v>0</v>
      </c>
      <c r="F3754">
        <v>0</v>
      </c>
      <c r="G3754">
        <v>4</v>
      </c>
      <c r="H3754" s="4">
        <v>1570542774574</v>
      </c>
      <c r="I3754">
        <v>526.6875</v>
      </c>
      <c r="J3754" s="9">
        <f t="shared" si="58"/>
        <v>43746.870076087966</v>
      </c>
      <c r="K3754" s="1"/>
    </row>
    <row r="3755" spans="1:11" x14ac:dyDescent="0.25">
      <c r="A3755" t="e">
        <f>-LqfdFZBkhIW3i-ZUUak</f>
        <v>#NAME?</v>
      </c>
      <c r="B3755">
        <v>393.75</v>
      </c>
      <c r="C3755">
        <v>20.584240000000001</v>
      </c>
      <c r="D3755">
        <v>63</v>
      </c>
      <c r="E3755">
        <v>0</v>
      </c>
      <c r="F3755">
        <v>0</v>
      </c>
      <c r="G3755">
        <v>7</v>
      </c>
      <c r="H3755" s="4">
        <v>1570542781420</v>
      </c>
      <c r="I3755">
        <v>526.6875</v>
      </c>
      <c r="J3755" s="9">
        <f t="shared" si="58"/>
        <v>43746.870155324075</v>
      </c>
      <c r="K3755" s="1"/>
    </row>
    <row r="3756" spans="1:11" x14ac:dyDescent="0.25">
      <c r="A3756" t="e">
        <f>-LqfdH7D3ouMUPHb8vjR</f>
        <v>#NAME?</v>
      </c>
      <c r="B3756">
        <v>393.75</v>
      </c>
      <c r="C3756">
        <v>20.531590000000001</v>
      </c>
      <c r="D3756">
        <v>65</v>
      </c>
      <c r="E3756">
        <v>0</v>
      </c>
      <c r="F3756">
        <v>0</v>
      </c>
      <c r="G3756">
        <v>12</v>
      </c>
      <c r="H3756" s="4">
        <v>1570542787995</v>
      </c>
      <c r="I3756">
        <v>526.6875</v>
      </c>
      <c r="J3756" s="9">
        <f t="shared" si="58"/>
        <v>43746.870231423607</v>
      </c>
      <c r="K3756" s="1"/>
    </row>
    <row r="3757" spans="1:11" x14ac:dyDescent="0.25">
      <c r="A3757" t="e">
        <f>-LqfdIgEH7vwGpmAuCa7</f>
        <v>#NAME?</v>
      </c>
      <c r="B3757">
        <v>393.75</v>
      </c>
      <c r="C3757">
        <v>20.584240000000001</v>
      </c>
      <c r="D3757">
        <v>65</v>
      </c>
      <c r="E3757">
        <v>0</v>
      </c>
      <c r="F3757">
        <v>0</v>
      </c>
      <c r="G3757">
        <v>6</v>
      </c>
      <c r="H3757" s="4">
        <v>1570542794173</v>
      </c>
      <c r="I3757">
        <v>526.6875</v>
      </c>
      <c r="J3757" s="9">
        <f t="shared" si="58"/>
        <v>43746.870302928241</v>
      </c>
      <c r="K3757" s="1"/>
    </row>
    <row r="3758" spans="1:11" x14ac:dyDescent="0.25">
      <c r="A3758" t="e">
        <f>-LqfdKMsqZXzlPqqW-oc</f>
        <v>#NAME?</v>
      </c>
      <c r="B3758">
        <v>393.75</v>
      </c>
      <c r="C3758">
        <v>20.531590000000001</v>
      </c>
      <c r="D3758">
        <v>66</v>
      </c>
      <c r="E3758">
        <v>0</v>
      </c>
      <c r="F3758">
        <v>0</v>
      </c>
      <c r="G3758">
        <v>14</v>
      </c>
      <c r="H3758" s="4">
        <v>1570542801365</v>
      </c>
      <c r="I3758">
        <v>526.6875</v>
      </c>
      <c r="J3758" s="9">
        <f t="shared" si="58"/>
        <v>43746.870386168979</v>
      </c>
      <c r="K3758" s="1"/>
    </row>
    <row r="3759" spans="1:11" x14ac:dyDescent="0.25">
      <c r="A3759" t="e">
        <f>-LqfdMQ9c-hvZ3QJAzi5</f>
        <v>#NAME?</v>
      </c>
      <c r="B3759">
        <v>393.75</v>
      </c>
      <c r="C3759">
        <v>20.478950000000001</v>
      </c>
      <c r="D3759">
        <v>65</v>
      </c>
      <c r="E3759">
        <v>0</v>
      </c>
      <c r="F3759">
        <v>0</v>
      </c>
      <c r="G3759">
        <v>2</v>
      </c>
      <c r="H3759" s="4">
        <v>1570542809708</v>
      </c>
      <c r="I3759">
        <v>526.6875</v>
      </c>
      <c r="J3759" s="9">
        <f t="shared" si="58"/>
        <v>43746.87048273148</v>
      </c>
      <c r="K3759" s="1"/>
    </row>
    <row r="3760" spans="1:11" x14ac:dyDescent="0.25">
      <c r="A3760" t="e">
        <f>-LqfdOEE9z-CGYa8iz88</f>
        <v>#NAME?</v>
      </c>
      <c r="B3760">
        <v>393.75</v>
      </c>
      <c r="C3760">
        <v>20.531590000000001</v>
      </c>
      <c r="D3760">
        <v>64</v>
      </c>
      <c r="E3760">
        <v>0</v>
      </c>
      <c r="F3760">
        <v>0</v>
      </c>
      <c r="G3760">
        <v>6</v>
      </c>
      <c r="H3760" s="4">
        <v>1570542816845</v>
      </c>
      <c r="I3760">
        <v>526.6875</v>
      </c>
      <c r="J3760" s="9">
        <f t="shared" si="58"/>
        <v>43746.870565335645</v>
      </c>
      <c r="K3760" s="1"/>
    </row>
    <row r="3761" spans="1:11" x14ac:dyDescent="0.25">
      <c r="A3761" t="s">
        <v>205</v>
      </c>
      <c r="B3761">
        <v>393.75</v>
      </c>
      <c r="C3761">
        <v>20.531590000000001</v>
      </c>
      <c r="D3761">
        <v>63</v>
      </c>
      <c r="E3761">
        <v>0</v>
      </c>
      <c r="F3761">
        <v>0</v>
      </c>
      <c r="G3761">
        <v>5</v>
      </c>
      <c r="H3761" s="4">
        <v>1570542825107</v>
      </c>
      <c r="I3761">
        <v>526.6875</v>
      </c>
      <c r="J3761" s="9">
        <f t="shared" si="58"/>
        <v>43746.870660960645</v>
      </c>
      <c r="K3761" s="1"/>
    </row>
    <row r="3762" spans="1:11" x14ac:dyDescent="0.25">
      <c r="A3762" t="e">
        <f>-LqfdRkEt5Si6rGi0a0B</f>
        <v>#NAME?</v>
      </c>
      <c r="B3762">
        <v>393.75</v>
      </c>
      <c r="C3762">
        <v>20.531590000000001</v>
      </c>
      <c r="D3762">
        <v>63</v>
      </c>
      <c r="E3762">
        <v>0</v>
      </c>
      <c r="F3762">
        <v>0</v>
      </c>
      <c r="G3762">
        <v>9</v>
      </c>
      <c r="H3762" s="4">
        <v>1570542831279</v>
      </c>
      <c r="I3762">
        <v>526.6875</v>
      </c>
      <c r="J3762" s="9">
        <f t="shared" si="58"/>
        <v>43746.87073239583</v>
      </c>
      <c r="K3762" s="1"/>
    </row>
    <row r="3763" spans="1:11" x14ac:dyDescent="0.25">
      <c r="A3763" t="e">
        <f>-LqfdTTE_Aw4WachYRW7</f>
        <v>#NAME?</v>
      </c>
      <c r="B3763">
        <v>393.75</v>
      </c>
      <c r="C3763">
        <v>20.584240000000001</v>
      </c>
      <c r="D3763">
        <v>64</v>
      </c>
      <c r="E3763">
        <v>0</v>
      </c>
      <c r="F3763">
        <v>0</v>
      </c>
      <c r="G3763">
        <v>5</v>
      </c>
      <c r="H3763" s="4">
        <v>1570542838485</v>
      </c>
      <c r="I3763">
        <v>526.6875</v>
      </c>
      <c r="J3763" s="9">
        <f t="shared" si="58"/>
        <v>43746.870815798604</v>
      </c>
      <c r="K3763" s="1"/>
    </row>
    <row r="3764" spans="1:11" x14ac:dyDescent="0.25">
      <c r="A3764" t="e">
        <f>-LqfdVFIM2xv3tNI76ou</f>
        <v>#NAME?</v>
      </c>
      <c r="B3764">
        <v>393.75</v>
      </c>
      <c r="C3764">
        <v>20.531590000000001</v>
      </c>
      <c r="D3764">
        <v>64</v>
      </c>
      <c r="E3764">
        <v>0</v>
      </c>
      <c r="F3764">
        <v>0</v>
      </c>
      <c r="G3764">
        <v>0</v>
      </c>
      <c r="H3764" s="4">
        <v>1570542845698</v>
      </c>
      <c r="I3764">
        <v>526.6875</v>
      </c>
      <c r="J3764" s="9">
        <f t="shared" si="58"/>
        <v>43746.870899282403</v>
      </c>
      <c r="K3764" s="1"/>
    </row>
    <row r="3765" spans="1:11" x14ac:dyDescent="0.25">
      <c r="A3765" t="e">
        <f>-LqfdXFnhUfzpC8XhGB4</f>
        <v>#NAME?</v>
      </c>
      <c r="B3765">
        <v>393.75</v>
      </c>
      <c r="C3765">
        <v>20.584240000000001</v>
      </c>
      <c r="D3765">
        <v>64</v>
      </c>
      <c r="E3765">
        <v>0</v>
      </c>
      <c r="F3765">
        <v>0</v>
      </c>
      <c r="G3765">
        <v>6</v>
      </c>
      <c r="H3765" s="4">
        <v>1570542852887</v>
      </c>
      <c r="I3765">
        <v>526.6875</v>
      </c>
      <c r="J3765" s="9">
        <f t="shared" si="58"/>
        <v>43746.870982488421</v>
      </c>
      <c r="K3765" s="1"/>
    </row>
    <row r="3766" spans="1:11" x14ac:dyDescent="0.25">
      <c r="A3766" t="e">
        <f>-LqfdZ0CsyNOM3M8yTLX</f>
        <v>#NAME?</v>
      </c>
      <c r="B3766">
        <v>393.75</v>
      </c>
      <c r="C3766">
        <v>20.584240000000001</v>
      </c>
      <c r="D3766">
        <v>63</v>
      </c>
      <c r="E3766">
        <v>0</v>
      </c>
      <c r="F3766">
        <v>0</v>
      </c>
      <c r="G3766">
        <v>2</v>
      </c>
      <c r="H3766" s="4">
        <v>1570542861157</v>
      </c>
      <c r="I3766">
        <v>526.6875</v>
      </c>
      <c r="J3766" s="9">
        <f t="shared" si="58"/>
        <v>43746.871078206015</v>
      </c>
      <c r="K3766" s="1"/>
    </row>
    <row r="3767" spans="1:11" x14ac:dyDescent="0.25">
      <c r="A3767" t="e">
        <f>-Lqfd_VCG7ZsR-JK4l9H</f>
        <v>#NAME?</v>
      </c>
      <c r="B3767">
        <v>393.75</v>
      </c>
      <c r="C3767">
        <v>20.531590000000001</v>
      </c>
      <c r="D3767">
        <v>63</v>
      </c>
      <c r="E3767">
        <v>0</v>
      </c>
      <c r="F3767">
        <v>0</v>
      </c>
      <c r="G3767">
        <v>0</v>
      </c>
      <c r="H3767" s="4">
        <v>1570542867305</v>
      </c>
      <c r="I3767">
        <v>526.6875</v>
      </c>
      <c r="J3767" s="9">
        <f t="shared" si="58"/>
        <v>43746.871149363426</v>
      </c>
      <c r="K3767" s="1"/>
    </row>
    <row r="3768" spans="1:11" x14ac:dyDescent="0.25">
      <c r="A3768" t="e">
        <f>-Lqfdb3O7KHuFV4ogMD3</f>
        <v>#NAME?</v>
      </c>
      <c r="B3768">
        <v>393.75</v>
      </c>
      <c r="C3768">
        <v>20.531590000000001</v>
      </c>
      <c r="D3768">
        <v>63</v>
      </c>
      <c r="E3768">
        <v>0</v>
      </c>
      <c r="F3768">
        <v>0</v>
      </c>
      <c r="G3768">
        <v>7</v>
      </c>
      <c r="H3768" s="4">
        <v>1570542873560</v>
      </c>
      <c r="I3768">
        <v>526.6875</v>
      </c>
      <c r="J3768" s="9">
        <f t="shared" si="58"/>
        <v>43746.871221759262</v>
      </c>
      <c r="K3768" s="1"/>
    </row>
    <row r="3769" spans="1:11" x14ac:dyDescent="0.25">
      <c r="A3769" t="s">
        <v>206</v>
      </c>
      <c r="B3769">
        <v>393.75</v>
      </c>
      <c r="C3769">
        <v>20.531590000000001</v>
      </c>
      <c r="D3769">
        <v>64</v>
      </c>
      <c r="E3769">
        <v>0</v>
      </c>
      <c r="F3769">
        <v>0</v>
      </c>
      <c r="G3769">
        <v>14</v>
      </c>
      <c r="H3769" s="4">
        <v>1570542880726</v>
      </c>
      <c r="I3769">
        <v>526.6875</v>
      </c>
      <c r="J3769" s="9">
        <f t="shared" si="58"/>
        <v>43746.871304699067</v>
      </c>
      <c r="K3769" s="1"/>
    </row>
    <row r="3770" spans="1:11" x14ac:dyDescent="0.25">
      <c r="A3770" t="e">
        <f>-LqfdeLvMutLPwYS_fKt</f>
        <v>#NAME?</v>
      </c>
      <c r="B3770">
        <v>393.75</v>
      </c>
      <c r="C3770">
        <v>20.531590000000001</v>
      </c>
      <c r="D3770">
        <v>64</v>
      </c>
      <c r="E3770">
        <v>0</v>
      </c>
      <c r="F3770">
        <v>0</v>
      </c>
      <c r="G3770">
        <v>1</v>
      </c>
      <c r="H3770" s="4">
        <v>1570542886916</v>
      </c>
      <c r="I3770">
        <v>526.6875</v>
      </c>
      <c r="J3770" s="9">
        <f t="shared" si="58"/>
        <v>43746.871376342591</v>
      </c>
      <c r="K3770" s="1"/>
    </row>
    <row r="3771" spans="1:11" x14ac:dyDescent="0.25">
      <c r="A3771" t="e">
        <f>-LqfdgICOzTZmGanLGJR</f>
        <v>#NAME?</v>
      </c>
      <c r="B3771">
        <v>393.75</v>
      </c>
      <c r="C3771">
        <v>20.584240000000001</v>
      </c>
      <c r="D3771">
        <v>65</v>
      </c>
      <c r="E3771">
        <v>0</v>
      </c>
      <c r="F3771">
        <v>0</v>
      </c>
      <c r="G3771">
        <v>1</v>
      </c>
      <c r="H3771" s="4">
        <v>1570542894125</v>
      </c>
      <c r="I3771">
        <v>526.6875</v>
      </c>
      <c r="J3771" s="9">
        <f t="shared" si="58"/>
        <v>43746.871459780094</v>
      </c>
      <c r="K3771" s="1"/>
    </row>
    <row r="3772" spans="1:11" x14ac:dyDescent="0.25">
      <c r="A3772" t="e">
        <f>-Lqfdhr5elZdDSbuyYKr</f>
        <v>#NAME?</v>
      </c>
      <c r="B3772">
        <v>393.75</v>
      </c>
      <c r="C3772">
        <v>20.531590000000001</v>
      </c>
      <c r="D3772">
        <v>65</v>
      </c>
      <c r="E3772">
        <v>0</v>
      </c>
      <c r="F3772">
        <v>0</v>
      </c>
      <c r="G3772">
        <v>5</v>
      </c>
      <c r="H3772" s="4">
        <v>1570542901335</v>
      </c>
      <c r="I3772">
        <v>526.6875</v>
      </c>
      <c r="J3772" s="9">
        <f t="shared" si="58"/>
        <v>43746.871543229165</v>
      </c>
      <c r="K3772" s="1"/>
    </row>
    <row r="3773" spans="1:11" x14ac:dyDescent="0.25">
      <c r="A3773" t="e">
        <f>-Lqfdj_E53lihnH4L7ef</f>
        <v>#NAME?</v>
      </c>
      <c r="B3773">
        <v>393.75</v>
      </c>
      <c r="C3773">
        <v>20.531590000000001</v>
      </c>
      <c r="D3773">
        <v>65</v>
      </c>
      <c r="E3773">
        <v>0</v>
      </c>
      <c r="F3773">
        <v>0</v>
      </c>
      <c r="G3773">
        <v>2</v>
      </c>
      <c r="H3773" s="4">
        <v>1570542908565</v>
      </c>
      <c r="I3773">
        <v>526.5</v>
      </c>
      <c r="J3773" s="9">
        <f t="shared" si="58"/>
        <v>43746.87162690972</v>
      </c>
      <c r="K3773" s="1"/>
    </row>
    <row r="3774" spans="1:11" x14ac:dyDescent="0.25">
      <c r="A3774" t="e">
        <f>-LqfdlNi_j_DvKD9zxJY</f>
        <v>#NAME?</v>
      </c>
      <c r="B3774">
        <v>393.75</v>
      </c>
      <c r="C3774">
        <v>20.478950000000001</v>
      </c>
      <c r="D3774">
        <v>65</v>
      </c>
      <c r="E3774">
        <v>0</v>
      </c>
      <c r="F3774">
        <v>0</v>
      </c>
      <c r="G3774">
        <v>8</v>
      </c>
      <c r="H3774" s="4">
        <v>1570542915765</v>
      </c>
      <c r="I3774">
        <v>526.6875</v>
      </c>
      <c r="J3774" s="9">
        <f t="shared" si="58"/>
        <v>43746.871710243053</v>
      </c>
      <c r="K3774" s="1"/>
    </row>
    <row r="3775" spans="1:11" x14ac:dyDescent="0.25">
      <c r="A3775" t="e">
        <f>-Lqfdn55rstsrHA_QySx</f>
        <v>#NAME?</v>
      </c>
      <c r="B3775">
        <v>393.75</v>
      </c>
      <c r="C3775">
        <v>20.584240000000001</v>
      </c>
      <c r="D3775">
        <v>66</v>
      </c>
      <c r="E3775">
        <v>0</v>
      </c>
      <c r="F3775">
        <v>0</v>
      </c>
      <c r="G3775">
        <v>13</v>
      </c>
      <c r="H3775" s="4">
        <v>1570542922966</v>
      </c>
      <c r="I3775">
        <v>526.6875</v>
      </c>
      <c r="J3775" s="9">
        <f t="shared" si="58"/>
        <v>43746.871793587961</v>
      </c>
      <c r="K3775" s="1"/>
    </row>
    <row r="3776" spans="1:11" x14ac:dyDescent="0.25">
      <c r="A3776" t="e">
        <f>-LqfdoeFnYpwAadcQvgL</f>
        <v>#NAME?</v>
      </c>
      <c r="B3776">
        <v>393.75</v>
      </c>
      <c r="C3776">
        <v>20.584240000000001</v>
      </c>
      <c r="D3776">
        <v>66</v>
      </c>
      <c r="E3776">
        <v>0</v>
      </c>
      <c r="F3776">
        <v>0</v>
      </c>
      <c r="G3776">
        <v>7</v>
      </c>
      <c r="H3776" s="4">
        <v>1570542929165</v>
      </c>
      <c r="I3776">
        <v>526.6875</v>
      </c>
      <c r="J3776" s="9">
        <f t="shared" si="58"/>
        <v>43746.871865335641</v>
      </c>
      <c r="K3776" s="1"/>
    </row>
    <row r="3777" spans="1:11" x14ac:dyDescent="0.25">
      <c r="A3777" t="e">
        <f>-LqfdqN3GCQUbfh7e1Cs</f>
        <v>#NAME?</v>
      </c>
      <c r="B3777">
        <v>393.75</v>
      </c>
      <c r="C3777">
        <v>20.531590000000001</v>
      </c>
      <c r="D3777">
        <v>66</v>
      </c>
      <c r="E3777">
        <v>0</v>
      </c>
      <c r="F3777">
        <v>0</v>
      </c>
      <c r="G3777">
        <v>5</v>
      </c>
      <c r="H3777" s="4">
        <v>1570542936378</v>
      </c>
      <c r="I3777">
        <v>526.6875</v>
      </c>
      <c r="J3777" s="9">
        <f t="shared" si="58"/>
        <v>43746.87194881944</v>
      </c>
      <c r="K3777" s="1"/>
    </row>
    <row r="3778" spans="1:11" x14ac:dyDescent="0.25">
      <c r="A3778" t="e">
        <f>-LqfdrrE6U790eqt3L6m</f>
        <v>#NAME?</v>
      </c>
      <c r="B3778">
        <v>393.75</v>
      </c>
      <c r="C3778">
        <v>20.584240000000001</v>
      </c>
      <c r="D3778">
        <v>66</v>
      </c>
      <c r="E3778">
        <v>0</v>
      </c>
      <c r="F3778">
        <v>0</v>
      </c>
      <c r="G3778">
        <v>10</v>
      </c>
      <c r="H3778" s="4">
        <v>1570542942555</v>
      </c>
      <c r="I3778">
        <v>526.6875</v>
      </c>
      <c r="J3778" s="9">
        <f t="shared" si="58"/>
        <v>43746.872020312498</v>
      </c>
      <c r="K3778" s="1"/>
    </row>
    <row r="3779" spans="1:11" x14ac:dyDescent="0.25">
      <c r="A3779" t="e">
        <f>-LqfdtQDCMf28p3PbElM</f>
        <v>#NAME?</v>
      </c>
      <c r="B3779">
        <v>393.75</v>
      </c>
      <c r="C3779">
        <v>20.584240000000001</v>
      </c>
      <c r="D3779">
        <v>66</v>
      </c>
      <c r="E3779">
        <v>0</v>
      </c>
      <c r="F3779">
        <v>0</v>
      </c>
      <c r="G3779">
        <v>3</v>
      </c>
      <c r="H3779" s="4">
        <v>1570542948745</v>
      </c>
      <c r="I3779">
        <v>526.6875</v>
      </c>
      <c r="J3779" s="9">
        <f t="shared" ref="J3779:J3842" si="59">(H3779/86400000)+25569+(7/24)</f>
        <v>43746.872091956015</v>
      </c>
      <c r="K3779" s="1"/>
    </row>
    <row r="3780" spans="1:11" x14ac:dyDescent="0.25">
      <c r="A3780" t="e">
        <f>-Lqfdv8lV2kZfM-kakba</f>
        <v>#NAME?</v>
      </c>
      <c r="B3780">
        <v>393.75</v>
      </c>
      <c r="C3780">
        <v>20.584240000000001</v>
      </c>
      <c r="D3780">
        <v>66</v>
      </c>
      <c r="E3780">
        <v>0</v>
      </c>
      <c r="F3780">
        <v>0</v>
      </c>
      <c r="G3780">
        <v>0</v>
      </c>
      <c r="H3780" s="4">
        <v>1570542955928</v>
      </c>
      <c r="I3780">
        <v>526.6875</v>
      </c>
      <c r="J3780" s="9">
        <f t="shared" si="59"/>
        <v>43746.872175092591</v>
      </c>
      <c r="K3780" s="1"/>
    </row>
    <row r="3781" spans="1:11" x14ac:dyDescent="0.25">
      <c r="A3781" t="e">
        <f>-LqfdwhDVX_Ivytq45Ny</f>
        <v>#NAME?</v>
      </c>
      <c r="B3781">
        <v>393.75</v>
      </c>
      <c r="C3781">
        <v>20.584240000000001</v>
      </c>
      <c r="D3781">
        <v>66</v>
      </c>
      <c r="E3781">
        <v>0</v>
      </c>
      <c r="F3781">
        <v>0</v>
      </c>
      <c r="G3781">
        <v>7</v>
      </c>
      <c r="H3781" s="4">
        <v>1570542962137</v>
      </c>
      <c r="I3781">
        <v>526.6875</v>
      </c>
      <c r="J3781" s="9">
        <f t="shared" si="59"/>
        <v>43746.872246956016</v>
      </c>
      <c r="K3781" s="1"/>
    </row>
    <row r="3782" spans="1:11" x14ac:dyDescent="0.25">
      <c r="A3782" t="s">
        <v>207</v>
      </c>
      <c r="B3782">
        <v>393.75</v>
      </c>
      <c r="C3782">
        <v>20.531590000000001</v>
      </c>
      <c r="D3782">
        <v>65</v>
      </c>
      <c r="E3782">
        <v>0</v>
      </c>
      <c r="F3782">
        <v>0</v>
      </c>
      <c r="G3782">
        <v>5</v>
      </c>
      <c r="H3782" s="4">
        <v>1570542969366</v>
      </c>
      <c r="I3782">
        <v>526.6875</v>
      </c>
      <c r="J3782" s="9">
        <f t="shared" si="59"/>
        <v>43746.872330624996</v>
      </c>
      <c r="K3782" s="1"/>
    </row>
    <row r="3783" spans="1:11" x14ac:dyDescent="0.25">
      <c r="A3783" t="e">
        <f>-Lqfe-D7H-tPnvA1QbmJ</f>
        <v>#NAME?</v>
      </c>
      <c r="B3783">
        <v>393.75</v>
      </c>
      <c r="C3783">
        <v>20.531590000000001</v>
      </c>
      <c r="D3783">
        <v>65</v>
      </c>
      <c r="E3783">
        <v>0</v>
      </c>
      <c r="F3783">
        <v>0</v>
      </c>
      <c r="G3783">
        <v>17</v>
      </c>
      <c r="H3783" s="4">
        <v>1570542976565</v>
      </c>
      <c r="I3783">
        <v>526.6875</v>
      </c>
      <c r="J3783" s="9">
        <f t="shared" si="59"/>
        <v>43746.872413946759</v>
      </c>
      <c r="K3783" s="1"/>
    </row>
    <row r="3784" spans="1:11" x14ac:dyDescent="0.25">
      <c r="A3784" t="e">
        <f>-Lqfe0w4V56uQIp2Pluw</f>
        <v>#NAME?</v>
      </c>
      <c r="B3784">
        <v>393.75</v>
      </c>
      <c r="C3784">
        <v>20.478950000000001</v>
      </c>
      <c r="D3784">
        <v>67</v>
      </c>
      <c r="E3784">
        <v>0</v>
      </c>
      <c r="F3784">
        <v>0</v>
      </c>
      <c r="G3784">
        <v>11</v>
      </c>
      <c r="H3784" s="4">
        <v>1570542983765</v>
      </c>
      <c r="I3784">
        <v>526.5</v>
      </c>
      <c r="J3784" s="9">
        <f t="shared" si="59"/>
        <v>43746.872497280092</v>
      </c>
      <c r="K3784" s="1"/>
    </row>
    <row r="3785" spans="1:11" x14ac:dyDescent="0.25">
      <c r="A3785" t="e">
        <f>-Lqfe2QCAprT6yTsCGfI</f>
        <v>#NAME?</v>
      </c>
      <c r="B3785">
        <v>412.5</v>
      </c>
      <c r="C3785">
        <v>20.531590000000001</v>
      </c>
      <c r="D3785">
        <v>68</v>
      </c>
      <c r="E3785">
        <v>0</v>
      </c>
      <c r="F3785">
        <v>0</v>
      </c>
      <c r="G3785">
        <v>1</v>
      </c>
      <c r="H3785" s="4">
        <v>1570542989934</v>
      </c>
      <c r="I3785">
        <v>532.3125</v>
      </c>
      <c r="J3785" s="9">
        <f t="shared" si="59"/>
        <v>43746.872568680548</v>
      </c>
      <c r="K3785" s="1"/>
    </row>
    <row r="3786" spans="1:11" x14ac:dyDescent="0.25">
      <c r="A3786" t="e">
        <f>-Lqfe3zCAPneI4bc5QFZ</f>
        <v>#NAME?</v>
      </c>
      <c r="B3786">
        <v>393.75</v>
      </c>
      <c r="C3786">
        <v>20.584240000000001</v>
      </c>
      <c r="D3786">
        <v>67</v>
      </c>
      <c r="E3786">
        <v>0</v>
      </c>
      <c r="F3786">
        <v>0</v>
      </c>
      <c r="G3786">
        <v>5</v>
      </c>
      <c r="H3786" s="4">
        <v>1570542996146</v>
      </c>
      <c r="I3786">
        <v>526.6875</v>
      </c>
      <c r="J3786" s="9">
        <f t="shared" si="59"/>
        <v>43746.872640578702</v>
      </c>
      <c r="K3786" s="1"/>
    </row>
    <row r="3787" spans="1:11" x14ac:dyDescent="0.25">
      <c r="A3787" t="e">
        <f>-Lqfe5hqVp4azcm9FF6v</f>
        <v>#NAME?</v>
      </c>
      <c r="B3787">
        <v>393.75</v>
      </c>
      <c r="C3787">
        <v>20.584240000000001</v>
      </c>
      <c r="D3787">
        <v>66</v>
      </c>
      <c r="E3787">
        <v>0</v>
      </c>
      <c r="F3787">
        <v>0</v>
      </c>
      <c r="G3787">
        <v>6</v>
      </c>
      <c r="H3787" s="4">
        <v>1570543003355</v>
      </c>
      <c r="I3787">
        <v>526.5</v>
      </c>
      <c r="J3787" s="9">
        <f t="shared" si="59"/>
        <v>43746.872724016204</v>
      </c>
      <c r="K3787" s="1"/>
    </row>
    <row r="3788" spans="1:11" x14ac:dyDescent="0.25">
      <c r="A3788" t="e">
        <f>-Lqfe7VM27RbgYNfbLhS</f>
        <v>#NAME?</v>
      </c>
      <c r="B3788">
        <v>434.375</v>
      </c>
      <c r="C3788">
        <v>20.584240000000001</v>
      </c>
      <c r="D3788">
        <v>65</v>
      </c>
      <c r="E3788">
        <v>0</v>
      </c>
      <c r="F3788">
        <v>0</v>
      </c>
      <c r="G3788">
        <v>0</v>
      </c>
      <c r="H3788" s="4">
        <v>1570543009535</v>
      </c>
      <c r="I3788">
        <v>539.4375</v>
      </c>
      <c r="J3788" s="9">
        <f t="shared" si="59"/>
        <v>43746.872795543975</v>
      </c>
      <c r="K3788" s="1"/>
    </row>
    <row r="3789" spans="1:11" x14ac:dyDescent="0.25">
      <c r="A3789" t="e">
        <f>-Lqfe8zCVbxIY4mqwLV7</f>
        <v>#NAME?</v>
      </c>
      <c r="B3789">
        <v>393.75</v>
      </c>
      <c r="C3789">
        <v>20.531590000000001</v>
      </c>
      <c r="D3789">
        <v>67</v>
      </c>
      <c r="E3789">
        <v>0</v>
      </c>
      <c r="F3789">
        <v>0</v>
      </c>
      <c r="G3789">
        <v>5</v>
      </c>
      <c r="H3789" s="4">
        <v>1570543016727</v>
      </c>
      <c r="I3789">
        <v>526.6875</v>
      </c>
      <c r="J3789" s="9">
        <f t="shared" si="59"/>
        <v>43746.872878784721</v>
      </c>
      <c r="K3789" s="1"/>
    </row>
    <row r="3790" spans="1:11" x14ac:dyDescent="0.25">
      <c r="A3790" t="e">
        <f>-LqfeAmCYPghpVZmMz3I</f>
        <v>#NAME?</v>
      </c>
      <c r="B3790">
        <v>393.75</v>
      </c>
      <c r="C3790">
        <v>20.584240000000001</v>
      </c>
      <c r="D3790">
        <v>67</v>
      </c>
      <c r="E3790">
        <v>0</v>
      </c>
      <c r="F3790">
        <v>0</v>
      </c>
      <c r="G3790">
        <v>9</v>
      </c>
      <c r="H3790" s="4">
        <v>1570543023965</v>
      </c>
      <c r="I3790">
        <v>526.6875</v>
      </c>
      <c r="J3790" s="9">
        <f t="shared" si="59"/>
        <v>43746.872962557864</v>
      </c>
      <c r="K3790" s="1"/>
    </row>
    <row r="3791" spans="1:11" x14ac:dyDescent="0.25">
      <c r="A3791" t="e">
        <f>-LqfeCVVA5ZvJg2DeoFY</f>
        <v>#NAME?</v>
      </c>
      <c r="B3791">
        <v>393.75</v>
      </c>
      <c r="C3791">
        <v>20.584240000000001</v>
      </c>
      <c r="D3791">
        <v>67</v>
      </c>
      <c r="E3791">
        <v>0</v>
      </c>
      <c r="F3791">
        <v>0</v>
      </c>
      <c r="G3791">
        <v>10</v>
      </c>
      <c r="H3791" s="4">
        <v>1570543031125</v>
      </c>
      <c r="I3791">
        <v>526.6875</v>
      </c>
      <c r="J3791" s="9">
        <f t="shared" si="59"/>
        <v>43746.873045428241</v>
      </c>
      <c r="K3791" s="1"/>
    </row>
    <row r="3792" spans="1:11" x14ac:dyDescent="0.25">
      <c r="A3792" t="e">
        <f>-LqfeEI-V5njzu1dIBcd</f>
        <v>#NAME?</v>
      </c>
      <c r="B3792">
        <v>393.75</v>
      </c>
      <c r="C3792">
        <v>20.531590000000001</v>
      </c>
      <c r="D3792">
        <v>67</v>
      </c>
      <c r="E3792">
        <v>0</v>
      </c>
      <c r="F3792">
        <v>0</v>
      </c>
      <c r="G3792">
        <v>2</v>
      </c>
      <c r="H3792" s="4">
        <v>1570543037367</v>
      </c>
      <c r="I3792">
        <v>526.6875</v>
      </c>
      <c r="J3792" s="9">
        <f t="shared" si="59"/>
        <v>43746.873117673611</v>
      </c>
      <c r="K3792" s="1"/>
    </row>
    <row r="3793" spans="1:11" x14ac:dyDescent="0.25">
      <c r="A3793" t="e">
        <f>-LqfeFm_rfOJnbAMNLuI</f>
        <v>#NAME?</v>
      </c>
      <c r="B3793">
        <v>393.75</v>
      </c>
      <c r="C3793">
        <v>20.531590000000001</v>
      </c>
      <c r="D3793">
        <v>67</v>
      </c>
      <c r="E3793">
        <v>0</v>
      </c>
      <c r="F3793">
        <v>0</v>
      </c>
      <c r="G3793">
        <v>9</v>
      </c>
      <c r="H3793" s="4">
        <v>1570543044569</v>
      </c>
      <c r="I3793">
        <v>526.6875</v>
      </c>
      <c r="J3793" s="9">
        <f t="shared" si="59"/>
        <v>43746.873201030096</v>
      </c>
      <c r="K3793" s="1"/>
    </row>
    <row r="3794" spans="1:11" x14ac:dyDescent="0.25">
      <c r="A3794" t="e">
        <f>-LqfeH_94cxymmR_CRtm</f>
        <v>#NAME?</v>
      </c>
      <c r="B3794">
        <v>393.75</v>
      </c>
      <c r="C3794">
        <v>20.531590000000001</v>
      </c>
      <c r="D3794">
        <v>67</v>
      </c>
      <c r="E3794">
        <v>0</v>
      </c>
      <c r="F3794">
        <v>0</v>
      </c>
      <c r="G3794">
        <v>6</v>
      </c>
      <c r="H3794" s="4">
        <v>1570543051792</v>
      </c>
      <c r="I3794">
        <v>526.6875</v>
      </c>
      <c r="J3794" s="9">
        <f t="shared" si="59"/>
        <v>43746.873284629626</v>
      </c>
      <c r="K3794" s="1"/>
    </row>
    <row r="3795" spans="1:11" x14ac:dyDescent="0.25">
      <c r="A3795" t="e">
        <f>-LqfeJ39IAg8RH8nBX8R</f>
        <v>#NAME?</v>
      </c>
      <c r="B3795">
        <v>393.75</v>
      </c>
      <c r="C3795">
        <v>20.531590000000001</v>
      </c>
      <c r="D3795">
        <v>67</v>
      </c>
      <c r="E3795">
        <v>0</v>
      </c>
      <c r="F3795">
        <v>0</v>
      </c>
      <c r="G3795">
        <v>3</v>
      </c>
      <c r="H3795" s="4">
        <v>1570543057963</v>
      </c>
      <c r="I3795">
        <v>526.6875</v>
      </c>
      <c r="J3795" s="9">
        <f t="shared" si="59"/>
        <v>43746.873356053235</v>
      </c>
      <c r="K3795" s="1"/>
    </row>
    <row r="3796" spans="1:11" x14ac:dyDescent="0.25">
      <c r="A3796" t="e">
        <f>-LqfeKY8pkhNmf9X4-Gh</f>
        <v>#NAME?</v>
      </c>
      <c r="B3796">
        <v>393.75</v>
      </c>
      <c r="C3796">
        <v>20.584240000000001</v>
      </c>
      <c r="D3796">
        <v>66</v>
      </c>
      <c r="E3796">
        <v>0</v>
      </c>
      <c r="F3796">
        <v>0</v>
      </c>
      <c r="G3796">
        <v>7</v>
      </c>
      <c r="H3796" s="4">
        <v>1570543064151</v>
      </c>
      <c r="I3796">
        <v>526.6875</v>
      </c>
      <c r="J3796" s="9">
        <f t="shared" si="59"/>
        <v>43746.873427673614</v>
      </c>
      <c r="K3796" s="1"/>
    </row>
    <row r="3797" spans="1:11" x14ac:dyDescent="0.25">
      <c r="A3797" t="e">
        <f>-LqfeM5355qYJ3Xzu6Ol</f>
        <v>#NAME?</v>
      </c>
      <c r="B3797">
        <v>412.5</v>
      </c>
      <c r="C3797">
        <v>20.531590000000001</v>
      </c>
      <c r="D3797">
        <v>66</v>
      </c>
      <c r="E3797">
        <v>0</v>
      </c>
      <c r="F3797">
        <v>0</v>
      </c>
      <c r="G3797">
        <v>10</v>
      </c>
      <c r="H3797" s="4">
        <v>1570543070341</v>
      </c>
      <c r="I3797">
        <v>532.3125</v>
      </c>
      <c r="J3797" s="9">
        <f t="shared" si="59"/>
        <v>43746.873499317131</v>
      </c>
      <c r="K3797" s="1"/>
    </row>
    <row r="3798" spans="1:11" x14ac:dyDescent="0.25">
      <c r="A3798" t="s">
        <v>208</v>
      </c>
      <c r="B3798">
        <v>393.75</v>
      </c>
      <c r="C3798">
        <v>20.531590000000001</v>
      </c>
      <c r="D3798">
        <v>63</v>
      </c>
      <c r="E3798">
        <v>0</v>
      </c>
      <c r="F3798">
        <v>0</v>
      </c>
      <c r="G3798">
        <v>8</v>
      </c>
      <c r="H3798" s="4">
        <v>1570543078500</v>
      </c>
      <c r="I3798">
        <v>526.6875</v>
      </c>
      <c r="J3798" s="9">
        <f t="shared" si="59"/>
        <v>43746.873593749995</v>
      </c>
      <c r="K3798" s="1"/>
    </row>
    <row r="3799" spans="1:11" x14ac:dyDescent="0.25">
      <c r="A3799" t="e">
        <f>-LqfePbF1FO9ajXUypec</f>
        <v>#NAME?</v>
      </c>
      <c r="B3799">
        <v>393.75</v>
      </c>
      <c r="C3799">
        <v>20.584240000000001</v>
      </c>
      <c r="D3799">
        <v>64</v>
      </c>
      <c r="E3799">
        <v>0</v>
      </c>
      <c r="F3799">
        <v>0</v>
      </c>
      <c r="G3799">
        <v>2</v>
      </c>
      <c r="H3799" s="4">
        <v>1570543084760</v>
      </c>
      <c r="I3799">
        <v>526.6875</v>
      </c>
      <c r="J3799" s="9">
        <f t="shared" si="59"/>
        <v>43746.873666203704</v>
      </c>
      <c r="K3799" s="1"/>
    </row>
    <row r="3800" spans="1:11" x14ac:dyDescent="0.25">
      <c r="A3800" t="e">
        <f>-LqfeRL-BAzuDTSb8BrF</f>
        <v>#NAME?</v>
      </c>
      <c r="B3800">
        <v>393.75</v>
      </c>
      <c r="C3800">
        <v>20.584240000000001</v>
      </c>
      <c r="D3800">
        <v>65</v>
      </c>
      <c r="E3800">
        <v>0</v>
      </c>
      <c r="F3800">
        <v>0</v>
      </c>
      <c r="G3800">
        <v>4</v>
      </c>
      <c r="H3800" s="4">
        <v>1570543091991</v>
      </c>
      <c r="I3800">
        <v>526.6875</v>
      </c>
      <c r="J3800" s="9">
        <f t="shared" si="59"/>
        <v>43746.873749895829</v>
      </c>
      <c r="K3800" s="1"/>
    </row>
    <row r="3801" spans="1:11" x14ac:dyDescent="0.25">
      <c r="A3801" t="e">
        <f>-LqfeSpCaMi5_zopkOI1</f>
        <v>#NAME?</v>
      </c>
      <c r="B3801">
        <v>393.75</v>
      </c>
      <c r="C3801">
        <v>20.478950000000001</v>
      </c>
      <c r="D3801">
        <v>65</v>
      </c>
      <c r="E3801">
        <v>0</v>
      </c>
      <c r="F3801">
        <v>0</v>
      </c>
      <c r="G3801">
        <v>4</v>
      </c>
      <c r="H3801" s="4">
        <v>1570543098160</v>
      </c>
      <c r="I3801">
        <v>526.6875</v>
      </c>
      <c r="J3801" s="9">
        <f t="shared" si="59"/>
        <v>43746.873821296293</v>
      </c>
      <c r="K3801" s="1"/>
    </row>
    <row r="3802" spans="1:11" x14ac:dyDescent="0.25">
      <c r="A3802" t="e">
        <f>-LqfeUMlnh5OqU7svhgn</f>
        <v>#NAME?</v>
      </c>
      <c r="B3802">
        <v>393.75</v>
      </c>
      <c r="C3802">
        <v>20.584240000000001</v>
      </c>
      <c r="D3802">
        <v>66</v>
      </c>
      <c r="E3802">
        <v>0</v>
      </c>
      <c r="F3802">
        <v>0</v>
      </c>
      <c r="G3802">
        <v>5</v>
      </c>
      <c r="H3802" s="4">
        <v>1570543104341</v>
      </c>
      <c r="I3802">
        <v>526.6875</v>
      </c>
      <c r="J3802" s="9">
        <f t="shared" si="59"/>
        <v>43746.873892835647</v>
      </c>
      <c r="K3802" s="1"/>
    </row>
    <row r="3803" spans="1:11" x14ac:dyDescent="0.25">
      <c r="A3803" t="e">
        <f>-LqfeVqyfnooy9Ix2TA3</f>
        <v>#NAME?</v>
      </c>
      <c r="B3803">
        <v>412.5</v>
      </c>
      <c r="C3803">
        <v>20.584240000000001</v>
      </c>
      <c r="D3803">
        <v>66</v>
      </c>
      <c r="E3803">
        <v>0</v>
      </c>
      <c r="F3803">
        <v>0</v>
      </c>
      <c r="G3803">
        <v>3</v>
      </c>
      <c r="H3803" s="4">
        <v>1570543110541</v>
      </c>
      <c r="I3803">
        <v>532.3125</v>
      </c>
      <c r="J3803" s="9">
        <f t="shared" si="59"/>
        <v>43746.873964594903</v>
      </c>
      <c r="K3803" s="1"/>
    </row>
    <row r="3804" spans="1:11" x14ac:dyDescent="0.25">
      <c r="A3804" t="e">
        <f>-LqfeXQ4pkF9qbLT8fVC</f>
        <v>#NAME?</v>
      </c>
      <c r="B3804">
        <v>393.75</v>
      </c>
      <c r="C3804">
        <v>20.531590000000001</v>
      </c>
      <c r="D3804">
        <v>66</v>
      </c>
      <c r="E3804">
        <v>0</v>
      </c>
      <c r="F3804">
        <v>0</v>
      </c>
      <c r="G3804">
        <v>2</v>
      </c>
      <c r="H3804" s="4">
        <v>1570543116711</v>
      </c>
      <c r="I3804">
        <v>526.6875</v>
      </c>
      <c r="J3804" s="9">
        <f t="shared" si="59"/>
        <v>43746.874036006942</v>
      </c>
      <c r="K3804" s="1"/>
    </row>
    <row r="3805" spans="1:11" x14ac:dyDescent="0.25">
      <c r="A3805" t="e">
        <f>-LqfeZ6ey8Dr4zKYFdAG</f>
        <v>#NAME?</v>
      </c>
      <c r="B3805">
        <v>393.75</v>
      </c>
      <c r="C3805">
        <v>20.584240000000001</v>
      </c>
      <c r="D3805">
        <v>68</v>
      </c>
      <c r="E3805">
        <v>0</v>
      </c>
      <c r="F3805">
        <v>0</v>
      </c>
      <c r="G3805">
        <v>2</v>
      </c>
      <c r="H3805" s="4">
        <v>1570543123922</v>
      </c>
      <c r="I3805">
        <v>526.6875</v>
      </c>
      <c r="J3805" s="9">
        <f t="shared" si="59"/>
        <v>43746.874119467589</v>
      </c>
      <c r="K3805" s="1"/>
    </row>
    <row r="3806" spans="1:11" x14ac:dyDescent="0.25">
      <c r="A3806" t="e">
        <f>-Lqfe_sKerd7yN7FFYpv</f>
        <v>#NAME?</v>
      </c>
      <c r="B3806">
        <v>434.375</v>
      </c>
      <c r="C3806">
        <v>20.584240000000001</v>
      </c>
      <c r="D3806">
        <v>67</v>
      </c>
      <c r="E3806">
        <v>0</v>
      </c>
      <c r="F3806">
        <v>0</v>
      </c>
      <c r="G3806">
        <v>2</v>
      </c>
      <c r="H3806" s="4">
        <v>1570543131131</v>
      </c>
      <c r="I3806">
        <v>539.0625</v>
      </c>
      <c r="J3806" s="9">
        <f t="shared" si="59"/>
        <v>43746.874202905092</v>
      </c>
      <c r="K3806" s="1"/>
    </row>
    <row r="3807" spans="1:11" x14ac:dyDescent="0.25">
      <c r="A3807" t="e">
        <f>-LqfebOdWCoq_tPDEnV1</f>
        <v>#NAME?</v>
      </c>
      <c r="B3807">
        <v>393.75</v>
      </c>
      <c r="C3807">
        <v>20.531590000000001</v>
      </c>
      <c r="D3807">
        <v>67</v>
      </c>
      <c r="E3807">
        <v>0</v>
      </c>
      <c r="F3807">
        <v>0</v>
      </c>
      <c r="G3807">
        <v>13</v>
      </c>
      <c r="H3807" s="4">
        <v>1570543137320</v>
      </c>
      <c r="I3807">
        <v>526.6875</v>
      </c>
      <c r="J3807" s="9">
        <f t="shared" si="59"/>
        <v>43746.874274537033</v>
      </c>
      <c r="K3807" s="1"/>
    </row>
    <row r="3808" spans="1:11" x14ac:dyDescent="0.25">
      <c r="A3808" t="e">
        <f>-Lqfecu4rnLjD7nzJwNV</f>
        <v>#NAME?</v>
      </c>
      <c r="B3808">
        <v>393.75</v>
      </c>
      <c r="C3808">
        <v>20.584240000000001</v>
      </c>
      <c r="D3808">
        <v>66</v>
      </c>
      <c r="E3808">
        <v>0</v>
      </c>
      <c r="F3808">
        <v>0</v>
      </c>
      <c r="G3808">
        <v>7</v>
      </c>
      <c r="H3808" s="4">
        <v>1570543143521</v>
      </c>
      <c r="I3808">
        <v>526.6875</v>
      </c>
      <c r="J3808" s="9">
        <f t="shared" si="59"/>
        <v>43746.874346307864</v>
      </c>
      <c r="K3808" s="1"/>
    </row>
    <row r="3809" spans="1:11" x14ac:dyDescent="0.25">
      <c r="A3809" t="e">
        <f>-Lqfeeh0BdB-bYrGATte</f>
        <v>#NAME?</v>
      </c>
      <c r="B3809">
        <v>393.75</v>
      </c>
      <c r="C3809">
        <v>20.531590000000001</v>
      </c>
      <c r="D3809">
        <v>67</v>
      </c>
      <c r="E3809">
        <v>0</v>
      </c>
      <c r="F3809">
        <v>0</v>
      </c>
      <c r="G3809">
        <v>8</v>
      </c>
      <c r="H3809" s="4">
        <v>1570543149681</v>
      </c>
      <c r="I3809">
        <v>526.5</v>
      </c>
      <c r="J3809" s="9">
        <f t="shared" si="59"/>
        <v>43746.874417604166</v>
      </c>
      <c r="K3809" s="1"/>
    </row>
    <row r="3810" spans="1:11" x14ac:dyDescent="0.25">
      <c r="A3810" t="e">
        <f>-LqfegPnnNFYxkB4rMG4</f>
        <v>#NAME?</v>
      </c>
      <c r="B3810">
        <v>393.75</v>
      </c>
      <c r="C3810">
        <v>20.584240000000001</v>
      </c>
      <c r="D3810">
        <v>67</v>
      </c>
      <c r="E3810">
        <v>0</v>
      </c>
      <c r="F3810">
        <v>0</v>
      </c>
      <c r="G3810">
        <v>4</v>
      </c>
      <c r="H3810" s="4">
        <v>1570543157922</v>
      </c>
      <c r="I3810">
        <v>526.6875</v>
      </c>
      <c r="J3810" s="9">
        <f t="shared" si="59"/>
        <v>43746.874512986113</v>
      </c>
      <c r="K3810" s="1"/>
    </row>
    <row r="3811" spans="1:11" x14ac:dyDescent="0.25">
      <c r="A3811" t="e">
        <f>-Lqfehz4m_i8Y_69lY9Q</f>
        <v>#NAME?</v>
      </c>
      <c r="B3811">
        <v>393.75</v>
      </c>
      <c r="C3811">
        <v>20.531590000000001</v>
      </c>
      <c r="D3811">
        <v>68</v>
      </c>
      <c r="E3811">
        <v>0</v>
      </c>
      <c r="F3811">
        <v>0</v>
      </c>
      <c r="G3811">
        <v>0</v>
      </c>
      <c r="H3811" s="4">
        <v>1570543164113</v>
      </c>
      <c r="I3811">
        <v>526.6875</v>
      </c>
      <c r="J3811" s="9">
        <f t="shared" si="59"/>
        <v>43746.874584641198</v>
      </c>
      <c r="K3811" s="1"/>
    </row>
    <row r="3812" spans="1:11" x14ac:dyDescent="0.25">
      <c r="A3812" t="e">
        <f>-Lqfejfplk2ue7lBz42o</f>
        <v>#NAME?</v>
      </c>
      <c r="B3812">
        <v>415.625</v>
      </c>
      <c r="C3812">
        <v>20.584240000000001</v>
      </c>
      <c r="D3812">
        <v>68</v>
      </c>
      <c r="E3812">
        <v>0</v>
      </c>
      <c r="F3812">
        <v>0</v>
      </c>
      <c r="G3812">
        <v>5</v>
      </c>
      <c r="H3812" s="4">
        <v>1570543171290</v>
      </c>
      <c r="I3812">
        <v>533.4375</v>
      </c>
      <c r="J3812" s="9">
        <f t="shared" si="59"/>
        <v>43746.874667708333</v>
      </c>
      <c r="K3812" s="1"/>
    </row>
    <row r="3813" spans="1:11" x14ac:dyDescent="0.25">
      <c r="A3813" t="e">
        <f>-LqfelFtg3zrJ0CWqA5c</f>
        <v>#NAME?</v>
      </c>
      <c r="B3813">
        <v>393.75</v>
      </c>
      <c r="C3813">
        <v>20.584240000000001</v>
      </c>
      <c r="D3813">
        <v>68</v>
      </c>
      <c r="E3813">
        <v>0</v>
      </c>
      <c r="F3813">
        <v>0</v>
      </c>
      <c r="G3813">
        <v>0</v>
      </c>
      <c r="H3813" s="4">
        <v>1570543177512</v>
      </c>
      <c r="I3813">
        <v>526.6875</v>
      </c>
      <c r="J3813" s="9">
        <f t="shared" si="59"/>
        <v>43746.874739722225</v>
      </c>
      <c r="K3813" s="1"/>
    </row>
    <row r="3814" spans="1:11" x14ac:dyDescent="0.25">
      <c r="A3814" t="e">
        <f>-LqfemhQIi0wNKAxgZ4y</f>
        <v>#NAME?</v>
      </c>
      <c r="B3814">
        <v>393.75</v>
      </c>
      <c r="C3814">
        <v>20.531590000000001</v>
      </c>
      <c r="D3814">
        <v>67</v>
      </c>
      <c r="E3814">
        <v>0</v>
      </c>
      <c r="F3814">
        <v>0</v>
      </c>
      <c r="G3814">
        <v>3</v>
      </c>
      <c r="H3814" s="4">
        <v>1570543183692</v>
      </c>
      <c r="I3814">
        <v>526.5</v>
      </c>
      <c r="J3814" s="9">
        <f t="shared" si="59"/>
        <v>43746.874811249996</v>
      </c>
      <c r="K3814" s="1"/>
    </row>
    <row r="3815" spans="1:11" x14ac:dyDescent="0.25">
      <c r="A3815" t="e">
        <f>-LqfeoCp80NwlqQcvZBF</f>
        <v>#NAME?</v>
      </c>
      <c r="B3815">
        <v>393.75</v>
      </c>
      <c r="C3815">
        <v>20.584240000000001</v>
      </c>
      <c r="D3815">
        <v>66</v>
      </c>
      <c r="E3815">
        <v>0</v>
      </c>
      <c r="F3815">
        <v>0</v>
      </c>
      <c r="G3815">
        <v>7</v>
      </c>
      <c r="H3815" s="4">
        <v>1570543189841</v>
      </c>
      <c r="I3815">
        <v>526.6875</v>
      </c>
      <c r="J3815" s="9">
        <f t="shared" si="59"/>
        <v>43746.874882418975</v>
      </c>
      <c r="K3815" s="1"/>
    </row>
    <row r="3816" spans="1:11" x14ac:dyDescent="0.25">
      <c r="A3816" t="e">
        <f>-Lqfept9tVgxsM-UU-wd</f>
        <v>#NAME?</v>
      </c>
      <c r="B3816">
        <v>393.75</v>
      </c>
      <c r="C3816">
        <v>20.584240000000001</v>
      </c>
      <c r="D3816">
        <v>66</v>
      </c>
      <c r="E3816">
        <v>0</v>
      </c>
      <c r="F3816">
        <v>0</v>
      </c>
      <c r="G3816">
        <v>7</v>
      </c>
      <c r="H3816" s="4">
        <v>1570543196463</v>
      </c>
      <c r="I3816">
        <v>526.6875</v>
      </c>
      <c r="J3816" s="9">
        <f t="shared" si="59"/>
        <v>43746.874959062501</v>
      </c>
      <c r="K3816" s="1"/>
    </row>
    <row r="3817" spans="1:11" x14ac:dyDescent="0.25">
      <c r="A3817" t="e">
        <f>-LqferUqmFU6nm7_9Xy5</f>
        <v>#NAME?</v>
      </c>
      <c r="B3817">
        <v>393.75</v>
      </c>
      <c r="C3817">
        <v>20.531590000000001</v>
      </c>
      <c r="D3817">
        <v>66</v>
      </c>
      <c r="E3817">
        <v>0</v>
      </c>
      <c r="F3817">
        <v>0</v>
      </c>
      <c r="G3817">
        <v>1</v>
      </c>
      <c r="H3817" s="4">
        <v>1570543203282</v>
      </c>
      <c r="I3817">
        <v>526.6875</v>
      </c>
      <c r="J3817" s="9">
        <f t="shared" si="59"/>
        <v>43746.875037986109</v>
      </c>
      <c r="K3817" s="1"/>
    </row>
    <row r="3818" spans="1:11" x14ac:dyDescent="0.25">
      <c r="A3818" t="e">
        <f>-LqfetFA0jfvNSJpSNf0</f>
        <v>#NAME?</v>
      </c>
      <c r="B3818">
        <v>393.75</v>
      </c>
      <c r="C3818">
        <v>20.531590000000001</v>
      </c>
      <c r="D3818">
        <v>65</v>
      </c>
      <c r="E3818">
        <v>0</v>
      </c>
      <c r="F3818">
        <v>0</v>
      </c>
      <c r="G3818">
        <v>8</v>
      </c>
      <c r="H3818" s="4">
        <v>1570543210481</v>
      </c>
      <c r="I3818">
        <v>526.6875</v>
      </c>
      <c r="J3818" s="9">
        <f t="shared" si="59"/>
        <v>43746.875121307872</v>
      </c>
      <c r="K3818" s="1"/>
    </row>
    <row r="3819" spans="1:11" x14ac:dyDescent="0.25">
      <c r="A3819" t="e">
        <f>-Lqfeummcg9ydCc6IyAz</f>
        <v>#NAME?</v>
      </c>
      <c r="B3819">
        <v>393.75</v>
      </c>
      <c r="C3819">
        <v>20.478950000000001</v>
      </c>
      <c r="D3819">
        <v>65</v>
      </c>
      <c r="E3819">
        <v>0</v>
      </c>
      <c r="F3819">
        <v>0</v>
      </c>
      <c r="G3819">
        <v>10</v>
      </c>
      <c r="H3819" s="4">
        <v>1570543216661</v>
      </c>
      <c r="I3819">
        <v>526.6875</v>
      </c>
      <c r="J3819" s="9">
        <f t="shared" si="59"/>
        <v>43746.875192835643</v>
      </c>
      <c r="K3819" s="1"/>
    </row>
    <row r="3820" spans="1:11" x14ac:dyDescent="0.25">
      <c r="A3820" t="e">
        <f>-LqfewGxS3puXFxa4zkO</f>
        <v>#NAME?</v>
      </c>
      <c r="B3820">
        <v>393.75</v>
      </c>
      <c r="C3820">
        <v>20.531590000000001</v>
      </c>
      <c r="D3820">
        <v>65</v>
      </c>
      <c r="E3820">
        <v>0</v>
      </c>
      <c r="F3820">
        <v>0</v>
      </c>
      <c r="G3820">
        <v>0</v>
      </c>
      <c r="H3820" s="4">
        <v>1570543222861</v>
      </c>
      <c r="I3820">
        <v>526.6875</v>
      </c>
      <c r="J3820" s="9">
        <f t="shared" si="59"/>
        <v>43746.875264594906</v>
      </c>
      <c r="K3820" s="1"/>
    </row>
    <row r="3821" spans="1:11" x14ac:dyDescent="0.25">
      <c r="A3821" t="e">
        <f>-Lqfexq2WvaYUdkW9cff</f>
        <v>#NAME?</v>
      </c>
      <c r="B3821">
        <v>393.75</v>
      </c>
      <c r="C3821">
        <v>20.584240000000001</v>
      </c>
      <c r="D3821">
        <v>67</v>
      </c>
      <c r="E3821">
        <v>0</v>
      </c>
      <c r="F3821">
        <v>0</v>
      </c>
      <c r="G3821">
        <v>2</v>
      </c>
      <c r="H3821" s="4">
        <v>1570543229031</v>
      </c>
      <c r="I3821">
        <v>526.6875</v>
      </c>
      <c r="J3821" s="9">
        <f t="shared" si="59"/>
        <v>43746.875336006946</v>
      </c>
      <c r="K3821" s="1"/>
    </row>
    <row r="3822" spans="1:11" x14ac:dyDescent="0.25">
      <c r="A3822" t="e">
        <f>-Lqfez_1FDCWYDoo6lNg</f>
        <v>#NAME?</v>
      </c>
      <c r="B3822">
        <v>393.75</v>
      </c>
      <c r="C3822">
        <v>20.478950000000001</v>
      </c>
      <c r="D3822">
        <v>67</v>
      </c>
      <c r="E3822">
        <v>0</v>
      </c>
      <c r="F3822">
        <v>0</v>
      </c>
      <c r="G3822">
        <v>1</v>
      </c>
      <c r="H3822" s="4">
        <v>1570543236242</v>
      </c>
      <c r="I3822">
        <v>526.6875</v>
      </c>
      <c r="J3822" s="9">
        <f t="shared" si="59"/>
        <v>43746.875419467593</v>
      </c>
      <c r="K3822" s="1"/>
    </row>
    <row r="3823" spans="1:11" x14ac:dyDescent="0.25">
      <c r="A3823" t="e">
        <f>-Lqff06wZ6Z0ttPyMvwz</f>
        <v>#NAME?</v>
      </c>
      <c r="B3823">
        <v>393.75</v>
      </c>
      <c r="C3823">
        <v>20.584240000000001</v>
      </c>
      <c r="D3823">
        <v>67</v>
      </c>
      <c r="E3823">
        <v>0</v>
      </c>
      <c r="F3823">
        <v>0</v>
      </c>
      <c r="G3823">
        <v>0</v>
      </c>
      <c r="H3823" s="4">
        <v>1570543242431</v>
      </c>
      <c r="I3823">
        <v>526.6875</v>
      </c>
      <c r="J3823" s="9">
        <f t="shared" si="59"/>
        <v>43746.875491099534</v>
      </c>
      <c r="K3823" s="1"/>
    </row>
    <row r="3824" spans="1:11" x14ac:dyDescent="0.25">
      <c r="A3824" t="e">
        <f>-Lqff1augZHrNCKBu2qD</f>
        <v>#NAME?</v>
      </c>
      <c r="B3824">
        <v>393.75</v>
      </c>
      <c r="C3824">
        <v>20.478950000000001</v>
      </c>
      <c r="D3824">
        <v>67</v>
      </c>
      <c r="E3824">
        <v>0</v>
      </c>
      <c r="F3824">
        <v>0</v>
      </c>
      <c r="G3824">
        <v>0</v>
      </c>
      <c r="H3824" s="4">
        <v>1570543248602</v>
      </c>
      <c r="I3824">
        <v>526.5</v>
      </c>
      <c r="J3824" s="9">
        <f t="shared" si="59"/>
        <v>43746.87556252315</v>
      </c>
      <c r="K3824" s="1"/>
    </row>
    <row r="3825" spans="1:11" x14ac:dyDescent="0.25">
      <c r="A3825" t="e">
        <f>-Lqff3LXFhYt1aPsCQ6G</f>
        <v>#NAME?</v>
      </c>
      <c r="B3825">
        <v>393.75</v>
      </c>
      <c r="C3825">
        <v>20.531590000000001</v>
      </c>
      <c r="D3825">
        <v>67</v>
      </c>
      <c r="E3825">
        <v>0</v>
      </c>
      <c r="F3825">
        <v>0</v>
      </c>
      <c r="G3825">
        <v>3</v>
      </c>
      <c r="H3825" s="4">
        <v>1570543254801</v>
      </c>
      <c r="I3825">
        <v>526.6875</v>
      </c>
      <c r="J3825" s="9">
        <f t="shared" si="59"/>
        <v>43746.875634270829</v>
      </c>
      <c r="K3825" s="1"/>
    </row>
    <row r="3826" spans="1:11" x14ac:dyDescent="0.25">
      <c r="A3826" t="e">
        <f>-Lqff4u5tjXEx_GUWPGU</f>
        <v>#NAME?</v>
      </c>
      <c r="B3826">
        <v>393.75</v>
      </c>
      <c r="C3826">
        <v>20.584240000000001</v>
      </c>
      <c r="D3826">
        <v>67</v>
      </c>
      <c r="E3826">
        <v>0</v>
      </c>
      <c r="F3826">
        <v>0</v>
      </c>
      <c r="G3826">
        <v>2</v>
      </c>
      <c r="H3826" s="4">
        <v>1570543262103</v>
      </c>
      <c r="I3826">
        <v>526.6875</v>
      </c>
      <c r="J3826" s="9">
        <f t="shared" si="59"/>
        <v>43746.875718784715</v>
      </c>
      <c r="K3826" s="1"/>
    </row>
    <row r="3827" spans="1:11" x14ac:dyDescent="0.25">
      <c r="A3827" t="e">
        <f>-Lqff6c6Nt30IgCGktmg</f>
        <v>#NAME?</v>
      </c>
      <c r="B3827">
        <v>393.75</v>
      </c>
      <c r="C3827">
        <v>20.584240000000001</v>
      </c>
      <c r="D3827">
        <v>68</v>
      </c>
      <c r="E3827">
        <v>0</v>
      </c>
      <c r="F3827">
        <v>0</v>
      </c>
      <c r="G3827">
        <v>3</v>
      </c>
      <c r="H3827" s="4">
        <v>1570543269207</v>
      </c>
      <c r="I3827">
        <v>526.6875</v>
      </c>
      <c r="J3827" s="9">
        <f t="shared" si="59"/>
        <v>43746.875801006943</v>
      </c>
      <c r="K3827" s="1"/>
    </row>
    <row r="3828" spans="1:11" x14ac:dyDescent="0.25">
      <c r="A3828" t="s">
        <v>209</v>
      </c>
      <c r="B3828">
        <v>393.75</v>
      </c>
      <c r="C3828">
        <v>20.584240000000001</v>
      </c>
      <c r="D3828">
        <v>68</v>
      </c>
      <c r="E3828">
        <v>0</v>
      </c>
      <c r="F3828">
        <v>0</v>
      </c>
      <c r="G3828">
        <v>12</v>
      </c>
      <c r="I3828">
        <v>526.6875</v>
      </c>
      <c r="J3828" s="9">
        <f t="shared" si="59"/>
        <v>25569.291666666668</v>
      </c>
      <c r="K3828" s="1"/>
    </row>
    <row r="3829" spans="1:11" x14ac:dyDescent="0.25">
      <c r="A3829" t="e">
        <f>-LqffBr8UUmZf2cVt00a</f>
        <v>#NAME?</v>
      </c>
      <c r="B3829">
        <v>393.75</v>
      </c>
      <c r="C3829">
        <v>20.584240000000001</v>
      </c>
      <c r="D3829">
        <v>68</v>
      </c>
      <c r="E3829">
        <v>0</v>
      </c>
      <c r="F3829">
        <v>0</v>
      </c>
      <c r="G3829">
        <v>5</v>
      </c>
      <c r="H3829" s="4">
        <v>1570543289847</v>
      </c>
      <c r="I3829">
        <v>526.6875</v>
      </c>
      <c r="J3829" s="9">
        <f t="shared" si="59"/>
        <v>43746.876039895833</v>
      </c>
      <c r="K3829" s="1"/>
    </row>
    <row r="3830" spans="1:11" x14ac:dyDescent="0.25">
      <c r="A3830" t="e">
        <f>-LqffDsd91JuDkaTZ7Dx</f>
        <v>#NAME?</v>
      </c>
      <c r="B3830">
        <v>393.75</v>
      </c>
      <c r="C3830">
        <v>20.531590000000001</v>
      </c>
      <c r="D3830">
        <v>68</v>
      </c>
      <c r="E3830">
        <v>0</v>
      </c>
      <c r="F3830">
        <v>0</v>
      </c>
      <c r="G3830">
        <v>6</v>
      </c>
      <c r="H3830" s="4">
        <v>1570543297047</v>
      </c>
      <c r="I3830">
        <v>526.6875</v>
      </c>
      <c r="J3830" s="9">
        <f t="shared" si="59"/>
        <v>43746.876123229165</v>
      </c>
      <c r="K3830" s="1"/>
    </row>
    <row r="3831" spans="1:11" x14ac:dyDescent="0.25">
      <c r="A3831" t="e">
        <f>-LqffFSQFI6D-VlaiWK3</f>
        <v>#NAME?</v>
      </c>
      <c r="B3831">
        <v>393.75</v>
      </c>
      <c r="C3831">
        <v>20.584240000000001</v>
      </c>
      <c r="D3831">
        <v>65</v>
      </c>
      <c r="E3831">
        <v>0</v>
      </c>
      <c r="F3831">
        <v>0</v>
      </c>
      <c r="G3831">
        <v>3</v>
      </c>
      <c r="H3831" s="4">
        <v>1570543305298</v>
      </c>
      <c r="I3831">
        <v>526.5</v>
      </c>
      <c r="J3831" s="9">
        <f t="shared" si="59"/>
        <v>43746.876218726851</v>
      </c>
      <c r="K3831" s="1"/>
    </row>
    <row r="3832" spans="1:11" x14ac:dyDescent="0.25">
      <c r="A3832" t="e">
        <f>-LqffHF8JItjzQNxWdKC</f>
        <v>#NAME?</v>
      </c>
      <c r="B3832">
        <v>393.75</v>
      </c>
      <c r="C3832">
        <v>20.478950000000001</v>
      </c>
      <c r="D3832">
        <v>65</v>
      </c>
      <c r="E3832">
        <v>0</v>
      </c>
      <c r="F3832">
        <v>0</v>
      </c>
      <c r="G3832">
        <v>9</v>
      </c>
      <c r="H3832" s="4">
        <v>1570543312507</v>
      </c>
      <c r="I3832">
        <v>526.5</v>
      </c>
      <c r="J3832" s="9">
        <f t="shared" si="59"/>
        <v>43746.876302164346</v>
      </c>
      <c r="K3832" s="1"/>
    </row>
    <row r="3833" spans="1:11" x14ac:dyDescent="0.25">
      <c r="A3833" t="e">
        <f>-LqffIyHxfL_BS_Lew_1</f>
        <v>#NAME?</v>
      </c>
      <c r="B3833">
        <v>393.75</v>
      </c>
      <c r="C3833">
        <v>20.531590000000001</v>
      </c>
      <c r="D3833">
        <v>65</v>
      </c>
      <c r="E3833">
        <v>0</v>
      </c>
      <c r="F3833">
        <v>0</v>
      </c>
      <c r="G3833">
        <v>2</v>
      </c>
      <c r="H3833" s="4">
        <v>1570543319719</v>
      </c>
      <c r="I3833">
        <v>526.6875</v>
      </c>
      <c r="J3833" s="9">
        <f t="shared" si="59"/>
        <v>43746.876385636577</v>
      </c>
      <c r="K3833" s="1"/>
    </row>
    <row r="3834" spans="1:11" x14ac:dyDescent="0.25">
      <c r="A3834" t="e">
        <f>-LqffKl6aPwq2UaZ2l1j</f>
        <v>#NAME?</v>
      </c>
      <c r="B3834">
        <v>393.75</v>
      </c>
      <c r="C3834">
        <v>20.531590000000001</v>
      </c>
      <c r="D3834">
        <v>65</v>
      </c>
      <c r="E3834">
        <v>0</v>
      </c>
      <c r="F3834">
        <v>0</v>
      </c>
      <c r="G3834">
        <v>0</v>
      </c>
      <c r="H3834" s="4">
        <v>1570543326939</v>
      </c>
      <c r="I3834">
        <v>526.5</v>
      </c>
      <c r="J3834" s="9">
        <f t="shared" si="59"/>
        <v>43746.876469201386</v>
      </c>
      <c r="K3834" s="1"/>
    </row>
    <row r="3835" spans="1:11" x14ac:dyDescent="0.25">
      <c r="A3835" t="e">
        <f>-LqffMUCtlNIQdxZsJCf</f>
        <v>#NAME?</v>
      </c>
      <c r="B3835">
        <v>393.75</v>
      </c>
      <c r="C3835">
        <v>20.584240000000001</v>
      </c>
      <c r="D3835">
        <v>66</v>
      </c>
      <c r="E3835">
        <v>0</v>
      </c>
      <c r="F3835">
        <v>0</v>
      </c>
      <c r="G3835">
        <v>3</v>
      </c>
      <c r="H3835" s="4">
        <v>1570543334168</v>
      </c>
      <c r="I3835">
        <v>526.6875</v>
      </c>
      <c r="J3835" s="9">
        <f t="shared" si="59"/>
        <v>43746.876552870366</v>
      </c>
      <c r="K3835" s="1"/>
    </row>
    <row r="3836" spans="1:11" x14ac:dyDescent="0.25">
      <c r="A3836" t="e">
        <f>-LqffNytAuoIrD3qF7Ep</f>
        <v>#NAME?</v>
      </c>
      <c r="B3836">
        <v>393.75</v>
      </c>
      <c r="C3836">
        <v>20.531590000000001</v>
      </c>
      <c r="D3836">
        <v>66</v>
      </c>
      <c r="E3836">
        <v>0</v>
      </c>
      <c r="F3836">
        <v>0</v>
      </c>
      <c r="G3836">
        <v>11</v>
      </c>
      <c r="H3836" s="4">
        <v>1570543340329</v>
      </c>
      <c r="I3836">
        <v>526.6875</v>
      </c>
      <c r="J3836" s="9">
        <f t="shared" si="59"/>
        <v>43746.876624178236</v>
      </c>
      <c r="K3836" s="1"/>
    </row>
    <row r="3837" spans="1:11" x14ac:dyDescent="0.25">
      <c r="A3837" t="e">
        <f>-LqffPXHN4xDc4YDgBpU</f>
        <v>#NAME?</v>
      </c>
      <c r="B3837">
        <v>412.5</v>
      </c>
      <c r="C3837">
        <v>20.584240000000001</v>
      </c>
      <c r="D3837">
        <v>64</v>
      </c>
      <c r="E3837">
        <v>0</v>
      </c>
      <c r="F3837">
        <v>0</v>
      </c>
      <c r="G3837">
        <v>6</v>
      </c>
      <c r="H3837" s="4">
        <v>1570543346519</v>
      </c>
      <c r="I3837">
        <v>532.5</v>
      </c>
      <c r="J3837" s="9">
        <f t="shared" si="59"/>
        <v>43746.876695821753</v>
      </c>
      <c r="K3837" s="1"/>
    </row>
    <row r="3838" spans="1:11" x14ac:dyDescent="0.25">
      <c r="A3838" t="e">
        <f>-LqffRFFSjo0r5-gDCvY</f>
        <v>#NAME?</v>
      </c>
      <c r="B3838">
        <v>393.75</v>
      </c>
      <c r="C3838">
        <v>20.531590000000001</v>
      </c>
      <c r="D3838">
        <v>63</v>
      </c>
      <c r="E3838">
        <v>0</v>
      </c>
      <c r="F3838">
        <v>0</v>
      </c>
      <c r="G3838">
        <v>10</v>
      </c>
      <c r="H3838" s="4">
        <v>1570543353697</v>
      </c>
      <c r="I3838">
        <v>526.6875</v>
      </c>
      <c r="J3838" s="9">
        <f t="shared" si="59"/>
        <v>43746.876778900456</v>
      </c>
      <c r="K3838" s="1"/>
    </row>
    <row r="3839" spans="1:11" x14ac:dyDescent="0.25">
      <c r="A3839" t="e">
        <f>-LqffSoHWh6WiLcB61eS</f>
        <v>#NAME?</v>
      </c>
      <c r="B3839">
        <v>393.75</v>
      </c>
      <c r="C3839">
        <v>20.584240000000001</v>
      </c>
      <c r="D3839">
        <v>65</v>
      </c>
      <c r="E3839">
        <v>0</v>
      </c>
      <c r="F3839">
        <v>0</v>
      </c>
      <c r="G3839">
        <v>9</v>
      </c>
      <c r="H3839" s="4">
        <v>1570543359908</v>
      </c>
      <c r="I3839">
        <v>526.6875</v>
      </c>
      <c r="J3839" s="9">
        <f t="shared" si="59"/>
        <v>43746.876850787034</v>
      </c>
      <c r="K3839" s="1"/>
    </row>
    <row r="3840" spans="1:11" x14ac:dyDescent="0.25">
      <c r="A3840" t="e">
        <f>-LqffUXGVQXQ-IL7oMb0</f>
        <v>#NAME?</v>
      </c>
      <c r="B3840">
        <v>393.75</v>
      </c>
      <c r="C3840">
        <v>20.531590000000001</v>
      </c>
      <c r="D3840">
        <v>63</v>
      </c>
      <c r="E3840">
        <v>0</v>
      </c>
      <c r="F3840">
        <v>0</v>
      </c>
      <c r="G3840">
        <v>11</v>
      </c>
      <c r="H3840" s="4">
        <v>1570543367128</v>
      </c>
      <c r="I3840">
        <v>526.6875</v>
      </c>
      <c r="J3840" s="9">
        <f t="shared" si="59"/>
        <v>43746.876934351851</v>
      </c>
      <c r="K3840" s="1"/>
    </row>
    <row r="3841" spans="1:11" x14ac:dyDescent="0.25">
      <c r="A3841" t="e">
        <f>-LqffWKFmlMcF1WA8Njx</f>
        <v>#NAME?</v>
      </c>
      <c r="B3841">
        <v>393.75</v>
      </c>
      <c r="C3841">
        <v>20.584240000000001</v>
      </c>
      <c r="D3841">
        <v>63</v>
      </c>
      <c r="E3841">
        <v>0</v>
      </c>
      <c r="F3841">
        <v>0</v>
      </c>
      <c r="G3841">
        <v>9</v>
      </c>
      <c r="H3841" s="4">
        <v>1570543374347</v>
      </c>
      <c r="I3841">
        <v>526.6875</v>
      </c>
      <c r="J3841" s="9">
        <f t="shared" si="59"/>
        <v>43746.877017905092</v>
      </c>
      <c r="K3841" s="1"/>
    </row>
    <row r="3842" spans="1:11" x14ac:dyDescent="0.25">
      <c r="A3842" t="e">
        <f>-LqffY2GdbVXRIvBSsan</f>
        <v>#NAME?</v>
      </c>
      <c r="B3842">
        <v>393.75</v>
      </c>
      <c r="C3842">
        <v>20.584240000000001</v>
      </c>
      <c r="D3842">
        <v>62</v>
      </c>
      <c r="E3842">
        <v>0</v>
      </c>
      <c r="F3842">
        <v>0</v>
      </c>
      <c r="G3842">
        <v>3</v>
      </c>
      <c r="H3842" s="4">
        <v>1570543381528</v>
      </c>
      <c r="I3842">
        <v>526.6875</v>
      </c>
      <c r="J3842" s="9">
        <f t="shared" si="59"/>
        <v>43746.877101018516</v>
      </c>
      <c r="K3842" s="1"/>
    </row>
    <row r="3843" spans="1:11" x14ac:dyDescent="0.25">
      <c r="A3843" t="s">
        <v>210</v>
      </c>
      <c r="B3843">
        <v>393.75</v>
      </c>
      <c r="C3843">
        <v>20.478950000000001</v>
      </c>
      <c r="D3843">
        <v>62</v>
      </c>
      <c r="E3843">
        <v>0</v>
      </c>
      <c r="F3843">
        <v>0</v>
      </c>
      <c r="G3843">
        <v>10</v>
      </c>
      <c r="H3843" s="4">
        <v>1570543389757</v>
      </c>
      <c r="I3843">
        <v>526.6875</v>
      </c>
      <c r="J3843" s="9">
        <f t="shared" ref="J3843:J3906" si="60">(H3843/86400000)+25569+(7/24)</f>
        <v>43746.877196261572</v>
      </c>
      <c r="K3843" s="1"/>
    </row>
    <row r="3844" spans="1:11" x14ac:dyDescent="0.25">
      <c r="A3844" t="e">
        <f>-LqffaZ62V2BSSO4nK1f</f>
        <v>#NAME?</v>
      </c>
      <c r="B3844">
        <v>393.75</v>
      </c>
      <c r="C3844">
        <v>20.584240000000001</v>
      </c>
      <c r="D3844">
        <v>63</v>
      </c>
      <c r="E3844">
        <v>0</v>
      </c>
      <c r="F3844">
        <v>0</v>
      </c>
      <c r="G3844">
        <v>1</v>
      </c>
      <c r="H3844" s="4">
        <v>1570543395997</v>
      </c>
      <c r="I3844">
        <v>526.6875</v>
      </c>
      <c r="J3844" s="9">
        <f t="shared" si="60"/>
        <v>43746.877268483797</v>
      </c>
      <c r="K3844" s="1"/>
    </row>
    <row r="3845" spans="1:11" x14ac:dyDescent="0.25">
      <c r="A3845" t="e">
        <f>-Lqffc77KYdjZSVbNAZ2</f>
        <v>#NAME?</v>
      </c>
      <c r="B3845">
        <v>412.5</v>
      </c>
      <c r="C3845">
        <v>20.478950000000001</v>
      </c>
      <c r="D3845">
        <v>63</v>
      </c>
      <c r="E3845">
        <v>0</v>
      </c>
      <c r="F3845">
        <v>0</v>
      </c>
      <c r="G3845">
        <v>3</v>
      </c>
      <c r="H3845" s="4">
        <v>1570543402157</v>
      </c>
      <c r="I3845">
        <v>532.3125</v>
      </c>
      <c r="J3845" s="9">
        <f t="shared" si="60"/>
        <v>43746.877339780091</v>
      </c>
      <c r="K3845" s="1"/>
    </row>
    <row r="3846" spans="1:11" x14ac:dyDescent="0.25">
      <c r="A3846" t="e">
        <f>-Lqffdq8oBuSuLErVgic</f>
        <v>#NAME?</v>
      </c>
      <c r="B3846">
        <v>393.75</v>
      </c>
      <c r="C3846">
        <v>20.584240000000001</v>
      </c>
      <c r="D3846">
        <v>63</v>
      </c>
      <c r="E3846">
        <v>0</v>
      </c>
      <c r="F3846">
        <v>0</v>
      </c>
      <c r="G3846">
        <v>1</v>
      </c>
      <c r="H3846" s="4">
        <v>1570543409368</v>
      </c>
      <c r="I3846">
        <v>526.6875</v>
      </c>
      <c r="J3846" s="9">
        <f t="shared" si="60"/>
        <v>43746.877423240738</v>
      </c>
      <c r="K3846" s="1"/>
    </row>
    <row r="3847" spans="1:11" x14ac:dyDescent="0.25">
      <c r="A3847" t="e">
        <f>-LqfffPA_HSivLTYh1QI</f>
        <v>#NAME?</v>
      </c>
      <c r="B3847">
        <v>393.75</v>
      </c>
      <c r="C3847">
        <v>20.531590000000001</v>
      </c>
      <c r="D3847">
        <v>65</v>
      </c>
      <c r="E3847">
        <v>0</v>
      </c>
      <c r="F3847">
        <v>0</v>
      </c>
      <c r="G3847">
        <v>1</v>
      </c>
      <c r="H3847" s="4">
        <v>1570543415558</v>
      </c>
      <c r="I3847">
        <v>526.6875</v>
      </c>
      <c r="J3847" s="9">
        <f t="shared" si="60"/>
        <v>43746.877494884255</v>
      </c>
      <c r="K3847" s="1"/>
    </row>
    <row r="3848" spans="1:11" x14ac:dyDescent="0.25">
      <c r="A3848" t="e">
        <f>-Lqffh771hIUFZN3B09B</f>
        <v>#NAME?</v>
      </c>
      <c r="B3848">
        <v>412.5</v>
      </c>
      <c r="C3848">
        <v>20.584240000000001</v>
      </c>
      <c r="D3848">
        <v>65</v>
      </c>
      <c r="E3848">
        <v>0</v>
      </c>
      <c r="F3848">
        <v>0</v>
      </c>
      <c r="G3848">
        <v>8</v>
      </c>
      <c r="H3848" s="4">
        <v>1570543422768</v>
      </c>
      <c r="I3848">
        <v>532.875</v>
      </c>
      <c r="J3848" s="9">
        <f t="shared" si="60"/>
        <v>43746.877578333333</v>
      </c>
      <c r="K3848" s="1"/>
    </row>
    <row r="3849" spans="1:11" x14ac:dyDescent="0.25">
      <c r="A3849" t="e">
        <f>-LqffibG-ndvcuypQ92Q</f>
        <v>#NAME?</v>
      </c>
      <c r="B3849">
        <v>393.75</v>
      </c>
      <c r="C3849">
        <v>20.531590000000001</v>
      </c>
      <c r="D3849">
        <v>65</v>
      </c>
      <c r="E3849">
        <v>0</v>
      </c>
      <c r="F3849">
        <v>0</v>
      </c>
      <c r="G3849">
        <v>8</v>
      </c>
      <c r="H3849" s="4">
        <v>1570543428957</v>
      </c>
      <c r="I3849">
        <v>526.6875</v>
      </c>
      <c r="J3849" s="9">
        <f t="shared" si="60"/>
        <v>43746.877649965274</v>
      </c>
      <c r="K3849" s="1"/>
    </row>
    <row r="3850" spans="1:11" x14ac:dyDescent="0.25">
      <c r="A3850" t="e">
        <f>-LqffkAGjEdt5OwKykvP</f>
        <v>#NAME?</v>
      </c>
      <c r="B3850">
        <v>393.75</v>
      </c>
      <c r="C3850">
        <v>20.478950000000001</v>
      </c>
      <c r="D3850">
        <v>65</v>
      </c>
      <c r="E3850">
        <v>0</v>
      </c>
      <c r="F3850">
        <v>0</v>
      </c>
      <c r="G3850">
        <v>4</v>
      </c>
      <c r="H3850" s="4">
        <v>1570543435140</v>
      </c>
      <c r="I3850">
        <v>526.6875</v>
      </c>
      <c r="J3850" s="9">
        <f t="shared" si="60"/>
        <v>43746.877721527773</v>
      </c>
      <c r="K3850" s="1"/>
    </row>
    <row r="3851" spans="1:11" x14ac:dyDescent="0.25">
      <c r="A3851" t="e">
        <f>-LqffluNiYHDGzdHHagu</f>
        <v>#NAME?</v>
      </c>
      <c r="B3851">
        <v>393.75</v>
      </c>
      <c r="C3851">
        <v>20.584240000000001</v>
      </c>
      <c r="D3851">
        <v>65</v>
      </c>
      <c r="E3851">
        <v>0</v>
      </c>
      <c r="F3851">
        <v>0</v>
      </c>
      <c r="G3851">
        <v>3</v>
      </c>
      <c r="H3851" s="4">
        <v>1570543442327</v>
      </c>
      <c r="I3851">
        <v>526.6875</v>
      </c>
      <c r="J3851" s="9">
        <f t="shared" si="60"/>
        <v>43746.877804710646</v>
      </c>
      <c r="K3851" s="1"/>
    </row>
    <row r="3852" spans="1:11" x14ac:dyDescent="0.25">
      <c r="A3852" t="e">
        <f>-LqffnS6WZDqYo0YYD32</f>
        <v>#NAME?</v>
      </c>
      <c r="B3852">
        <v>393.75</v>
      </c>
      <c r="C3852">
        <v>20.584240000000001</v>
      </c>
      <c r="D3852">
        <v>65</v>
      </c>
      <c r="E3852">
        <v>0</v>
      </c>
      <c r="F3852">
        <v>0</v>
      </c>
      <c r="G3852">
        <v>3</v>
      </c>
      <c r="H3852" s="4">
        <v>1570543448527</v>
      </c>
      <c r="I3852">
        <v>526.5</v>
      </c>
      <c r="J3852" s="9">
        <f t="shared" si="60"/>
        <v>43746.877876469902</v>
      </c>
      <c r="K3852" s="1"/>
    </row>
    <row r="3853" spans="1:11" x14ac:dyDescent="0.25">
      <c r="A3853" t="e">
        <f>-LqffpA68UW9dzR2l5H1</f>
        <v>#NAME?</v>
      </c>
      <c r="B3853">
        <v>393.75</v>
      </c>
      <c r="C3853">
        <v>20.584240000000001</v>
      </c>
      <c r="D3853">
        <v>65</v>
      </c>
      <c r="E3853">
        <v>0</v>
      </c>
      <c r="F3853">
        <v>0</v>
      </c>
      <c r="G3853">
        <v>4</v>
      </c>
      <c r="H3853" s="4">
        <v>1570543455749</v>
      </c>
      <c r="I3853">
        <v>526.6875</v>
      </c>
      <c r="J3853" s="9">
        <f t="shared" si="60"/>
        <v>43746.877960057864</v>
      </c>
      <c r="K3853" s="1"/>
    </row>
    <row r="3854" spans="1:11" x14ac:dyDescent="0.25">
      <c r="A3854" t="e">
        <f>-Lqffqe7ITrZnyf605db</f>
        <v>#NAME?</v>
      </c>
      <c r="B3854">
        <v>393.75</v>
      </c>
      <c r="C3854">
        <v>20.531590000000001</v>
      </c>
      <c r="D3854">
        <v>68</v>
      </c>
      <c r="E3854">
        <v>0</v>
      </c>
      <c r="F3854">
        <v>0</v>
      </c>
      <c r="G3854">
        <v>11</v>
      </c>
      <c r="H3854" s="4">
        <v>1570543461927</v>
      </c>
      <c r="I3854">
        <v>526.6875</v>
      </c>
      <c r="J3854" s="9">
        <f t="shared" si="60"/>
        <v>43746.878031562497</v>
      </c>
      <c r="K3854" s="1"/>
    </row>
    <row r="3855" spans="1:11" x14ac:dyDescent="0.25">
      <c r="A3855" t="e">
        <f>-LqffsDFVP_MOcZmYf9E</f>
        <v>#NAME?</v>
      </c>
      <c r="B3855">
        <v>393.75</v>
      </c>
      <c r="C3855">
        <v>20.584240000000001</v>
      </c>
      <c r="D3855">
        <v>67</v>
      </c>
      <c r="E3855">
        <v>0</v>
      </c>
      <c r="F3855">
        <v>0</v>
      </c>
      <c r="G3855">
        <v>14</v>
      </c>
      <c r="H3855" s="4">
        <v>1570543468109</v>
      </c>
      <c r="I3855">
        <v>526.6875</v>
      </c>
      <c r="J3855" s="9">
        <f t="shared" si="60"/>
        <v>43746.87810311342</v>
      </c>
      <c r="K3855" s="1"/>
    </row>
    <row r="3856" spans="1:11" x14ac:dyDescent="0.25">
      <c r="A3856" t="e">
        <f>-LqffthFI5AiAYGnllvh</f>
        <v>#NAME?</v>
      </c>
      <c r="B3856">
        <v>393.75</v>
      </c>
      <c r="C3856">
        <v>20.531590000000001</v>
      </c>
      <c r="D3856">
        <v>67</v>
      </c>
      <c r="E3856">
        <v>0</v>
      </c>
      <c r="F3856">
        <v>0</v>
      </c>
      <c r="G3856">
        <v>7</v>
      </c>
      <c r="H3856" s="4">
        <v>1570543474295</v>
      </c>
      <c r="I3856">
        <v>526.6875</v>
      </c>
      <c r="J3856" s="9">
        <f t="shared" si="60"/>
        <v>43746.878174710648</v>
      </c>
      <c r="K3856" s="1"/>
    </row>
    <row r="3857" spans="1:11" x14ac:dyDescent="0.25">
      <c r="A3857" t="e">
        <f>-LqffvBPEpWcejsjAKFq</f>
        <v>#NAME?</v>
      </c>
      <c r="B3857">
        <v>393.75</v>
      </c>
      <c r="C3857">
        <v>20.531590000000001</v>
      </c>
      <c r="D3857">
        <v>69</v>
      </c>
      <c r="E3857">
        <v>0</v>
      </c>
      <c r="F3857">
        <v>0</v>
      </c>
      <c r="G3857">
        <v>6</v>
      </c>
      <c r="H3857" s="4">
        <v>1570543480478</v>
      </c>
      <c r="I3857">
        <v>526.5</v>
      </c>
      <c r="J3857" s="9">
        <f t="shared" si="60"/>
        <v>43746.878246273147</v>
      </c>
      <c r="K3857" s="1"/>
    </row>
    <row r="3858" spans="1:11" x14ac:dyDescent="0.25">
      <c r="A3858" t="e">
        <f>-LqffwjihOb-ulSP9Hyp</f>
        <v>#NAME?</v>
      </c>
      <c r="B3858">
        <v>393.75</v>
      </c>
      <c r="C3858">
        <v>20.531590000000001</v>
      </c>
      <c r="D3858">
        <v>69</v>
      </c>
      <c r="E3858">
        <v>0</v>
      </c>
      <c r="F3858">
        <v>0</v>
      </c>
      <c r="G3858">
        <v>3</v>
      </c>
      <c r="H3858" s="4">
        <v>1570543486667</v>
      </c>
      <c r="I3858">
        <v>526.6875</v>
      </c>
      <c r="J3858" s="9">
        <f t="shared" si="60"/>
        <v>43746.878317905088</v>
      </c>
      <c r="K3858" s="1"/>
    </row>
    <row r="3859" spans="1:11" x14ac:dyDescent="0.25">
      <c r="A3859" t="e">
        <f>-LqffyE79rijB4o81OpJ</f>
        <v>#NAME?</v>
      </c>
      <c r="B3859">
        <v>393.75</v>
      </c>
      <c r="C3859">
        <v>20.584240000000001</v>
      </c>
      <c r="D3859">
        <v>69</v>
      </c>
      <c r="E3859">
        <v>0</v>
      </c>
      <c r="F3859">
        <v>0</v>
      </c>
      <c r="G3859">
        <v>0</v>
      </c>
      <c r="H3859" s="4">
        <v>1570543492820</v>
      </c>
      <c r="I3859">
        <v>526.6875</v>
      </c>
      <c r="J3859" s="9">
        <f t="shared" si="60"/>
        <v>43746.878389120371</v>
      </c>
      <c r="K3859" s="1"/>
    </row>
    <row r="3860" spans="1:11" x14ac:dyDescent="0.25">
      <c r="A3860" t="e">
        <f>-Lqffzi90K1Uo4IoUnBn</f>
        <v>#NAME?</v>
      </c>
      <c r="B3860">
        <v>393.75</v>
      </c>
      <c r="C3860">
        <v>20.531590000000001</v>
      </c>
      <c r="D3860">
        <v>68</v>
      </c>
      <c r="E3860">
        <v>0</v>
      </c>
      <c r="F3860">
        <v>0</v>
      </c>
      <c r="G3860">
        <v>5</v>
      </c>
      <c r="H3860" s="4">
        <v>1570543499047</v>
      </c>
      <c r="I3860">
        <v>526.6875</v>
      </c>
      <c r="J3860" s="9">
        <f t="shared" si="60"/>
        <v>43746.878461192122</v>
      </c>
      <c r="K3860" s="1"/>
    </row>
    <row r="3861" spans="1:11" x14ac:dyDescent="0.25">
      <c r="A3861" t="e">
        <f>-Lqfg0HRMfMiSDOpp1l_</f>
        <v>#NAME?</v>
      </c>
      <c r="B3861">
        <v>393.75</v>
      </c>
      <c r="C3861">
        <v>20.531590000000001</v>
      </c>
      <c r="D3861">
        <v>69</v>
      </c>
      <c r="E3861">
        <v>0</v>
      </c>
      <c r="F3861">
        <v>0</v>
      </c>
      <c r="G3861">
        <v>0</v>
      </c>
      <c r="H3861" s="4">
        <v>1570543505207</v>
      </c>
      <c r="I3861">
        <v>526.6875</v>
      </c>
      <c r="J3861" s="9">
        <f t="shared" si="60"/>
        <v>43746.878532488423</v>
      </c>
      <c r="K3861" s="1"/>
    </row>
    <row r="3862" spans="1:11" x14ac:dyDescent="0.25">
      <c r="A3862" t="e">
        <f>-Lqfg30CVFYKNzUYLvPz</f>
        <v>#NAME?</v>
      </c>
      <c r="B3862">
        <v>393.75</v>
      </c>
      <c r="C3862">
        <v>20.531590000000001</v>
      </c>
      <c r="D3862">
        <v>69</v>
      </c>
      <c r="E3862">
        <v>0</v>
      </c>
      <c r="F3862">
        <v>0</v>
      </c>
      <c r="G3862">
        <v>0</v>
      </c>
      <c r="H3862" s="4">
        <v>1570543516536</v>
      </c>
      <c r="I3862">
        <v>526.6875</v>
      </c>
      <c r="J3862" s="9">
        <f t="shared" si="60"/>
        <v>43746.878663611111</v>
      </c>
      <c r="K3862" s="1"/>
    </row>
    <row r="3863" spans="1:11" x14ac:dyDescent="0.25">
      <c r="A3863" t="e">
        <f>-Lqfg4WPBHzioY-ybze0</f>
        <v>#NAME?</v>
      </c>
      <c r="B3863">
        <v>412.5</v>
      </c>
      <c r="C3863">
        <v>20.584240000000001</v>
      </c>
      <c r="D3863">
        <v>66</v>
      </c>
      <c r="E3863">
        <v>0</v>
      </c>
      <c r="F3863">
        <v>0</v>
      </c>
      <c r="G3863">
        <v>7</v>
      </c>
      <c r="H3863" s="4">
        <v>1570543522721</v>
      </c>
      <c r="I3863">
        <v>532.125</v>
      </c>
      <c r="J3863" s="9">
        <f t="shared" si="60"/>
        <v>43746.878735196755</v>
      </c>
      <c r="K3863" s="1"/>
    </row>
    <row r="3864" spans="1:11" x14ac:dyDescent="0.25">
      <c r="A3864" t="e">
        <f>-Lqfg6DDn2BtTw1ksixR</f>
        <v>#NAME?</v>
      </c>
      <c r="B3864">
        <v>393.75</v>
      </c>
      <c r="C3864">
        <v>20.584240000000001</v>
      </c>
      <c r="D3864">
        <v>66</v>
      </c>
      <c r="E3864">
        <v>0</v>
      </c>
      <c r="F3864">
        <v>0</v>
      </c>
      <c r="G3864">
        <v>6</v>
      </c>
      <c r="H3864" s="4">
        <v>1570543529513</v>
      </c>
      <c r="I3864">
        <v>526.6875</v>
      </c>
      <c r="J3864" s="9">
        <f t="shared" si="60"/>
        <v>43746.878813807867</v>
      </c>
      <c r="K3864" s="1"/>
    </row>
    <row r="3865" spans="1:11" x14ac:dyDescent="0.25">
      <c r="A3865" t="e">
        <f>-Lqfg7m1fZsH30YcNHTF</f>
        <v>#NAME?</v>
      </c>
      <c r="B3865">
        <v>393.75</v>
      </c>
      <c r="C3865">
        <v>20.584240000000001</v>
      </c>
      <c r="D3865">
        <v>69</v>
      </c>
      <c r="E3865">
        <v>0</v>
      </c>
      <c r="F3865">
        <v>0</v>
      </c>
      <c r="G3865">
        <v>3</v>
      </c>
      <c r="H3865" s="4">
        <v>1570543536090</v>
      </c>
      <c r="I3865">
        <v>526.5</v>
      </c>
      <c r="J3865" s="9">
        <f t="shared" si="60"/>
        <v>43746.878889930558</v>
      </c>
      <c r="K3865" s="1"/>
    </row>
    <row r="3866" spans="1:11" x14ac:dyDescent="0.25">
      <c r="A3866" t="e">
        <f>-Lqfg9L9HVLh1YK40dHy</f>
        <v>#NAME?</v>
      </c>
      <c r="B3866">
        <v>393.75</v>
      </c>
      <c r="C3866">
        <v>20.531590000000001</v>
      </c>
      <c r="D3866">
        <v>69</v>
      </c>
      <c r="E3866">
        <v>0</v>
      </c>
      <c r="F3866">
        <v>0</v>
      </c>
      <c r="G3866">
        <v>4</v>
      </c>
      <c r="H3866" s="4">
        <v>1570543542304</v>
      </c>
      <c r="I3866">
        <v>526.5</v>
      </c>
      <c r="J3866" s="9">
        <f t="shared" si="60"/>
        <v>43746.878961851849</v>
      </c>
      <c r="K3866" s="1"/>
    </row>
    <row r="3867" spans="1:11" x14ac:dyDescent="0.25">
      <c r="A3867" t="e">
        <f>-LqfgB4Lb42CQ-k27Jby</f>
        <v>#NAME?</v>
      </c>
      <c r="B3867">
        <v>393.75</v>
      </c>
      <c r="C3867">
        <v>20.531590000000001</v>
      </c>
      <c r="D3867">
        <v>69</v>
      </c>
      <c r="E3867">
        <v>0</v>
      </c>
      <c r="F3867">
        <v>0</v>
      </c>
      <c r="G3867">
        <v>0</v>
      </c>
      <c r="H3867" s="4">
        <v>1570543549524</v>
      </c>
      <c r="I3867">
        <v>526.6875</v>
      </c>
      <c r="J3867" s="9">
        <f t="shared" si="60"/>
        <v>43746.879045416666</v>
      </c>
      <c r="K3867" s="1"/>
    </row>
    <row r="3868" spans="1:11" x14ac:dyDescent="0.25">
      <c r="A3868" t="e">
        <f>-LqfgCavEaKK0L1qsoyu</f>
        <v>#NAME?</v>
      </c>
      <c r="B3868">
        <v>393.75</v>
      </c>
      <c r="C3868">
        <v>20.584240000000001</v>
      </c>
      <c r="D3868">
        <v>69</v>
      </c>
      <c r="E3868">
        <v>0</v>
      </c>
      <c r="F3868">
        <v>0</v>
      </c>
      <c r="G3868">
        <v>3</v>
      </c>
      <c r="H3868" s="4">
        <v>1570543555702</v>
      </c>
      <c r="I3868">
        <v>526.6875</v>
      </c>
      <c r="J3868" s="9">
        <f t="shared" si="60"/>
        <v>43746.879116921293</v>
      </c>
      <c r="K3868" s="1"/>
    </row>
    <row r="3869" spans="1:11" x14ac:dyDescent="0.25">
      <c r="A3869" t="e">
        <f>-LqfgE60qBbl8FFvSAet</f>
        <v>#NAME?</v>
      </c>
      <c r="B3869">
        <v>393.75</v>
      </c>
      <c r="C3869">
        <v>20.531590000000001</v>
      </c>
      <c r="D3869">
        <v>69</v>
      </c>
      <c r="E3869">
        <v>0</v>
      </c>
      <c r="F3869">
        <v>0</v>
      </c>
      <c r="G3869">
        <v>4</v>
      </c>
      <c r="H3869" s="4">
        <v>1570543561883</v>
      </c>
      <c r="I3869">
        <v>526.5</v>
      </c>
      <c r="J3869" s="9">
        <f t="shared" si="60"/>
        <v>43746.879188460647</v>
      </c>
      <c r="K3869" s="1"/>
    </row>
    <row r="3870" spans="1:11" x14ac:dyDescent="0.25">
      <c r="A3870" t="e">
        <f>-LqfgFa2I2bM3RJ6Vvc8</f>
        <v>#NAME?</v>
      </c>
      <c r="B3870">
        <v>393.75</v>
      </c>
      <c r="C3870">
        <v>20.584240000000001</v>
      </c>
      <c r="D3870">
        <v>69</v>
      </c>
      <c r="E3870">
        <v>0</v>
      </c>
      <c r="F3870">
        <v>0</v>
      </c>
      <c r="G3870">
        <v>0</v>
      </c>
      <c r="H3870" s="4">
        <v>1570543568104</v>
      </c>
      <c r="I3870">
        <v>526.6875</v>
      </c>
      <c r="J3870" s="9">
        <f t="shared" si="60"/>
        <v>43746.879260462963</v>
      </c>
      <c r="K3870" s="1"/>
    </row>
    <row r="3871" spans="1:11" x14ac:dyDescent="0.25">
      <c r="A3871" t="e">
        <f>-LqfgH40iyI6kRMNRdG0</f>
        <v>#NAME?</v>
      </c>
      <c r="B3871">
        <v>393.75</v>
      </c>
      <c r="C3871">
        <v>20.531590000000001</v>
      </c>
      <c r="D3871">
        <v>70</v>
      </c>
      <c r="E3871">
        <v>0</v>
      </c>
      <c r="F3871">
        <v>0</v>
      </c>
      <c r="G3871">
        <v>1</v>
      </c>
      <c r="H3871" s="4">
        <v>1570543574244</v>
      </c>
      <c r="I3871">
        <v>526.6875</v>
      </c>
      <c r="J3871" s="9">
        <f t="shared" si="60"/>
        <v>43746.87933152778</v>
      </c>
      <c r="K3871" s="1"/>
    </row>
    <row r="3872" spans="1:11" x14ac:dyDescent="0.25">
      <c r="A3872" t="e">
        <f>-LqfgIcON_KZoHMSsqaN</f>
        <v>#NAME?</v>
      </c>
      <c r="B3872">
        <v>393.75</v>
      </c>
      <c r="C3872">
        <v>20.584240000000001</v>
      </c>
      <c r="D3872">
        <v>70</v>
      </c>
      <c r="E3872">
        <v>0</v>
      </c>
      <c r="F3872">
        <v>0</v>
      </c>
      <c r="G3872">
        <v>0</v>
      </c>
      <c r="H3872" s="4">
        <v>1570543580431</v>
      </c>
      <c r="I3872">
        <v>526.6875</v>
      </c>
      <c r="J3872" s="9">
        <f t="shared" si="60"/>
        <v>43746.879403136576</v>
      </c>
      <c r="K3872" s="1"/>
    </row>
    <row r="3873" spans="1:11" x14ac:dyDescent="0.25">
      <c r="A3873" t="e">
        <f>-LqfgK5x1MhKOLa69N_l</f>
        <v>#NAME?</v>
      </c>
      <c r="B3873">
        <v>393.75</v>
      </c>
      <c r="C3873">
        <v>20.531590000000001</v>
      </c>
      <c r="D3873">
        <v>70</v>
      </c>
      <c r="E3873">
        <v>0</v>
      </c>
      <c r="F3873">
        <v>0</v>
      </c>
      <c r="G3873">
        <v>2</v>
      </c>
      <c r="H3873" s="4">
        <v>1570543586590</v>
      </c>
      <c r="I3873">
        <v>526.6875</v>
      </c>
      <c r="J3873" s="9">
        <f t="shared" si="60"/>
        <v>43746.879474421294</v>
      </c>
      <c r="K3873" s="1"/>
    </row>
    <row r="3874" spans="1:11" x14ac:dyDescent="0.25">
      <c r="A3874" t="e">
        <f>-LqfgLb2cPH7sUdYf9G9</f>
        <v>#NAME?</v>
      </c>
      <c r="B3874">
        <v>421.875</v>
      </c>
      <c r="C3874">
        <v>20.531590000000001</v>
      </c>
      <c r="D3874">
        <v>70</v>
      </c>
      <c r="E3874">
        <v>0</v>
      </c>
      <c r="F3874">
        <v>0</v>
      </c>
      <c r="G3874">
        <v>6</v>
      </c>
      <c r="H3874" s="4">
        <v>1570543592802</v>
      </c>
      <c r="I3874">
        <v>535.125</v>
      </c>
      <c r="J3874" s="9">
        <f t="shared" si="60"/>
        <v>43746.879546319447</v>
      </c>
      <c r="K3874" s="1"/>
    </row>
    <row r="3875" spans="1:11" x14ac:dyDescent="0.25">
      <c r="A3875" t="s">
        <v>211</v>
      </c>
      <c r="B3875">
        <v>393.75</v>
      </c>
      <c r="C3875">
        <v>20.531590000000001</v>
      </c>
      <c r="D3875">
        <v>70</v>
      </c>
      <c r="E3875">
        <v>0</v>
      </c>
      <c r="F3875">
        <v>0</v>
      </c>
      <c r="G3875">
        <v>5</v>
      </c>
      <c r="H3875" s="4">
        <v>1570543598982</v>
      </c>
      <c r="I3875">
        <v>526.6875</v>
      </c>
      <c r="J3875" s="9">
        <f t="shared" si="60"/>
        <v>43746.879617847218</v>
      </c>
      <c r="K3875" s="1"/>
    </row>
    <row r="3876" spans="1:11" x14ac:dyDescent="0.25">
      <c r="A3876" t="e">
        <f>-LqfgOcw7i9HNQewBzMp</f>
        <v>#NAME?</v>
      </c>
      <c r="B3876">
        <v>393.75</v>
      </c>
      <c r="C3876">
        <v>20.531590000000001</v>
      </c>
      <c r="D3876">
        <v>70</v>
      </c>
      <c r="E3876">
        <v>0</v>
      </c>
      <c r="F3876">
        <v>0</v>
      </c>
      <c r="G3876">
        <v>5</v>
      </c>
      <c r="H3876" s="4">
        <v>1570543605161</v>
      </c>
      <c r="I3876">
        <v>526.6875</v>
      </c>
      <c r="J3876" s="9">
        <f t="shared" si="60"/>
        <v>43746.879689363421</v>
      </c>
      <c r="K3876" s="1"/>
    </row>
    <row r="3877" spans="1:11" x14ac:dyDescent="0.25">
      <c r="A3877" t="e">
        <f>-LqfgQ6wOUu5gmRXMbeC</f>
        <v>#NAME?</v>
      </c>
      <c r="B3877">
        <v>393.75</v>
      </c>
      <c r="C3877">
        <v>20.584240000000001</v>
      </c>
      <c r="D3877">
        <v>68</v>
      </c>
      <c r="E3877">
        <v>0</v>
      </c>
      <c r="F3877">
        <v>0</v>
      </c>
      <c r="G3877">
        <v>7</v>
      </c>
      <c r="H3877" s="4">
        <v>1570543611351</v>
      </c>
      <c r="I3877">
        <v>526.6875</v>
      </c>
      <c r="J3877" s="9">
        <f t="shared" si="60"/>
        <v>43746.879761006938</v>
      </c>
      <c r="K3877" s="1"/>
    </row>
    <row r="3878" spans="1:11" x14ac:dyDescent="0.25">
      <c r="A3878" t="e">
        <f>-LqfgRh1Z3YUmuCHBStT</f>
        <v>#NAME?</v>
      </c>
      <c r="B3878">
        <v>393.75</v>
      </c>
      <c r="C3878">
        <v>20.584240000000001</v>
      </c>
      <c r="D3878">
        <v>68</v>
      </c>
      <c r="E3878">
        <v>0</v>
      </c>
      <c r="F3878">
        <v>0</v>
      </c>
      <c r="G3878">
        <v>7</v>
      </c>
      <c r="H3878" s="4">
        <v>1570543617532</v>
      </c>
      <c r="I3878">
        <v>526.6875</v>
      </c>
      <c r="J3878" s="9">
        <f t="shared" si="60"/>
        <v>43746.879832546292</v>
      </c>
      <c r="K3878" s="1"/>
    </row>
    <row r="3879" spans="1:11" x14ac:dyDescent="0.25">
      <c r="A3879" t="e">
        <f>-LqfgTNgGEVeeqRByFgr</f>
        <v>#NAME?</v>
      </c>
      <c r="B3879">
        <v>393.75</v>
      </c>
      <c r="C3879">
        <v>20.584240000000001</v>
      </c>
      <c r="D3879">
        <v>67</v>
      </c>
      <c r="E3879">
        <v>0</v>
      </c>
      <c r="F3879">
        <v>0</v>
      </c>
      <c r="G3879">
        <v>4</v>
      </c>
      <c r="H3879" s="4">
        <v>1570543624722</v>
      </c>
      <c r="I3879">
        <v>526.6875</v>
      </c>
      <c r="J3879" s="9">
        <f t="shared" si="60"/>
        <v>43746.879915763886</v>
      </c>
      <c r="K3879" s="1"/>
    </row>
    <row r="3880" spans="1:11" x14ac:dyDescent="0.25">
      <c r="A3880" t="e">
        <f>-LqfgUz0Uhn4-BOXdTBW</f>
        <v>#NAME?</v>
      </c>
      <c r="B3880">
        <v>393.75</v>
      </c>
      <c r="C3880">
        <v>20.531590000000001</v>
      </c>
      <c r="D3880">
        <v>68</v>
      </c>
      <c r="E3880">
        <v>0</v>
      </c>
      <c r="F3880">
        <v>0</v>
      </c>
      <c r="G3880">
        <v>3</v>
      </c>
      <c r="H3880" s="4">
        <v>1570543630951</v>
      </c>
      <c r="I3880">
        <v>526.6875</v>
      </c>
      <c r="J3880" s="9">
        <f t="shared" si="60"/>
        <v>43746.879987858796</v>
      </c>
      <c r="K3880" s="1"/>
    </row>
    <row r="3881" spans="1:11" x14ac:dyDescent="0.25">
      <c r="A3881" t="e">
        <f>-LqfgWh1qG5FORcqBEMu</f>
        <v>#NAME?</v>
      </c>
      <c r="B3881">
        <v>393.75</v>
      </c>
      <c r="C3881">
        <v>20.584240000000001</v>
      </c>
      <c r="D3881">
        <v>67</v>
      </c>
      <c r="E3881">
        <v>0</v>
      </c>
      <c r="F3881">
        <v>0</v>
      </c>
      <c r="G3881">
        <v>7</v>
      </c>
      <c r="H3881" s="4">
        <v>1570543638162</v>
      </c>
      <c r="I3881">
        <v>526.6875</v>
      </c>
      <c r="J3881" s="9">
        <f t="shared" si="60"/>
        <v>43746.880071319443</v>
      </c>
      <c r="K3881" s="1"/>
    </row>
    <row r="3882" spans="1:11" x14ac:dyDescent="0.25">
      <c r="A3882" t="e">
        <f>-LqfgYB0QwCQ9GIhVhC9</f>
        <v>#NAME?</v>
      </c>
      <c r="B3882">
        <v>393.75</v>
      </c>
      <c r="C3882">
        <v>20.584240000000001</v>
      </c>
      <c r="D3882">
        <v>68</v>
      </c>
      <c r="E3882">
        <v>0</v>
      </c>
      <c r="F3882">
        <v>0</v>
      </c>
      <c r="G3882">
        <v>7</v>
      </c>
      <c r="H3882" s="4">
        <v>1570543644321</v>
      </c>
      <c r="I3882">
        <v>526.6875</v>
      </c>
      <c r="J3882" s="9">
        <f t="shared" si="60"/>
        <v>43746.880142604168</v>
      </c>
      <c r="K3882" s="1"/>
    </row>
    <row r="3883" spans="1:11" x14ac:dyDescent="0.25">
      <c r="A3883" t="e">
        <f>-LqfgZyArAKs36ynsl11</f>
        <v>#NAME?</v>
      </c>
      <c r="B3883">
        <v>393.75</v>
      </c>
      <c r="C3883">
        <v>20.584240000000001</v>
      </c>
      <c r="D3883">
        <v>68</v>
      </c>
      <c r="E3883">
        <v>0</v>
      </c>
      <c r="F3883">
        <v>0</v>
      </c>
      <c r="G3883">
        <v>8</v>
      </c>
      <c r="H3883" s="4">
        <v>1570543650513</v>
      </c>
      <c r="I3883">
        <v>526.6875</v>
      </c>
      <c r="J3883" s="9">
        <f t="shared" si="60"/>
        <v>43746.88021427083</v>
      </c>
      <c r="K3883" s="1"/>
    </row>
    <row r="3884" spans="1:11" x14ac:dyDescent="0.25">
      <c r="A3884" t="e">
        <f>-Lqfgam3XeKaq1s6-uKx</f>
        <v>#NAME?</v>
      </c>
      <c r="B3884">
        <v>393.75</v>
      </c>
      <c r="C3884">
        <v>20.531590000000001</v>
      </c>
      <c r="D3884">
        <v>67</v>
      </c>
      <c r="E3884">
        <v>0</v>
      </c>
      <c r="F3884">
        <v>0</v>
      </c>
      <c r="G3884">
        <v>11</v>
      </c>
      <c r="H3884" s="4">
        <v>1570543658753</v>
      </c>
      <c r="I3884">
        <v>526.6875</v>
      </c>
      <c r="J3884" s="9">
        <f t="shared" si="60"/>
        <v>43746.880309641201</v>
      </c>
      <c r="K3884" s="1"/>
    </row>
    <row r="3885" spans="1:11" x14ac:dyDescent="0.25">
      <c r="A3885" t="e">
        <f>-LqfgcTvdbgV17dkndyR</f>
        <v>#NAME?</v>
      </c>
      <c r="B3885">
        <v>393.75</v>
      </c>
      <c r="C3885">
        <v>20.531590000000001</v>
      </c>
      <c r="D3885">
        <v>68</v>
      </c>
      <c r="E3885">
        <v>0</v>
      </c>
      <c r="F3885">
        <v>0</v>
      </c>
      <c r="G3885">
        <v>13</v>
      </c>
      <c r="H3885" s="4">
        <v>1570543665963</v>
      </c>
      <c r="I3885">
        <v>526.6875</v>
      </c>
      <c r="J3885" s="9">
        <f t="shared" si="60"/>
        <v>43746.880393090272</v>
      </c>
      <c r="K3885" s="1"/>
    </row>
    <row r="3886" spans="1:11" x14ac:dyDescent="0.25">
      <c r="A3886" t="e">
        <f>-Lqfgdz0dncGqj1Di_YR</f>
        <v>#NAME?</v>
      </c>
      <c r="B3886">
        <v>393.75</v>
      </c>
      <c r="C3886">
        <v>20.584240000000001</v>
      </c>
      <c r="D3886">
        <v>69</v>
      </c>
      <c r="E3886">
        <v>0</v>
      </c>
      <c r="F3886">
        <v>0</v>
      </c>
      <c r="G3886">
        <v>0</v>
      </c>
      <c r="H3886" s="4">
        <v>1570543672153</v>
      </c>
      <c r="I3886">
        <v>526.6875</v>
      </c>
      <c r="J3886" s="9">
        <f t="shared" si="60"/>
        <v>43746.880464733789</v>
      </c>
      <c r="K3886" s="1"/>
    </row>
    <row r="3887" spans="1:11" x14ac:dyDescent="0.25">
      <c r="A3887" t="e">
        <f>-LqfgfY0ctfLo57fiVbt</f>
        <v>#NAME?</v>
      </c>
      <c r="B3887">
        <v>415.625</v>
      </c>
      <c r="C3887">
        <v>20.531590000000001</v>
      </c>
      <c r="D3887">
        <v>69</v>
      </c>
      <c r="E3887">
        <v>0</v>
      </c>
      <c r="F3887">
        <v>0</v>
      </c>
      <c r="G3887">
        <v>8</v>
      </c>
      <c r="H3887" s="4">
        <v>1570543678333</v>
      </c>
      <c r="I3887">
        <v>533.25</v>
      </c>
      <c r="J3887" s="9">
        <f t="shared" si="60"/>
        <v>43746.880536261575</v>
      </c>
      <c r="K3887" s="1"/>
    </row>
    <row r="3888" spans="1:11" x14ac:dyDescent="0.25">
      <c r="A3888" t="e">
        <f>-Lqfgh10yM9gPuMWo0EF</f>
        <v>#NAME?</v>
      </c>
      <c r="B3888">
        <v>393.75</v>
      </c>
      <c r="C3888">
        <v>20.584240000000001</v>
      </c>
      <c r="D3888">
        <v>69</v>
      </c>
      <c r="E3888">
        <v>0</v>
      </c>
      <c r="F3888">
        <v>0</v>
      </c>
      <c r="G3888">
        <v>20</v>
      </c>
      <c r="H3888" s="4">
        <v>1570543684511</v>
      </c>
      <c r="I3888">
        <v>526.6875</v>
      </c>
      <c r="J3888" s="9">
        <f t="shared" si="60"/>
        <v>43746.880607766201</v>
      </c>
      <c r="K3888" s="1"/>
    </row>
    <row r="3889" spans="1:11" x14ac:dyDescent="0.25">
      <c r="A3889" t="e">
        <f>-LqfgiUvaOvQBREYJTvz</f>
        <v>#NAME?</v>
      </c>
      <c r="B3889">
        <v>393.75</v>
      </c>
      <c r="C3889">
        <v>20.531590000000001</v>
      </c>
      <c r="D3889">
        <v>69</v>
      </c>
      <c r="E3889">
        <v>0</v>
      </c>
      <c r="F3889">
        <v>0</v>
      </c>
      <c r="G3889">
        <v>9</v>
      </c>
      <c r="H3889" s="4">
        <v>1570543690711</v>
      </c>
      <c r="I3889">
        <v>526.6875</v>
      </c>
      <c r="J3889" s="9">
        <f t="shared" si="60"/>
        <v>43746.880679525457</v>
      </c>
      <c r="K3889" s="1"/>
    </row>
    <row r="3890" spans="1:11" x14ac:dyDescent="0.25">
      <c r="A3890" t="e">
        <f>-Lqfgk485rahgCiyOAHF</f>
        <v>#NAME?</v>
      </c>
      <c r="B3890">
        <v>393.75</v>
      </c>
      <c r="C3890">
        <v>20.531590000000001</v>
      </c>
      <c r="D3890">
        <v>71</v>
      </c>
      <c r="E3890">
        <v>0</v>
      </c>
      <c r="F3890">
        <v>0</v>
      </c>
      <c r="G3890">
        <v>7</v>
      </c>
      <c r="H3890" s="4">
        <v>1570543696881</v>
      </c>
      <c r="I3890">
        <v>526.6875</v>
      </c>
      <c r="J3890" s="9">
        <f t="shared" si="60"/>
        <v>43746.880750937496</v>
      </c>
      <c r="K3890" s="1"/>
    </row>
    <row r="3891" spans="1:11" x14ac:dyDescent="0.25">
      <c r="A3891" t="e">
        <f>-Lqfglm4CmGvqc-XUm7o</f>
        <v>#NAME?</v>
      </c>
      <c r="B3891">
        <v>393.75</v>
      </c>
      <c r="C3891">
        <v>20.531590000000001</v>
      </c>
      <c r="D3891">
        <v>70</v>
      </c>
      <c r="E3891">
        <v>0</v>
      </c>
      <c r="F3891">
        <v>0</v>
      </c>
      <c r="G3891">
        <v>7</v>
      </c>
      <c r="H3891" s="4">
        <v>1570543704098</v>
      </c>
      <c r="I3891">
        <v>526.6875</v>
      </c>
      <c r="J3891" s="9">
        <f t="shared" si="60"/>
        <v>43746.880834467585</v>
      </c>
      <c r="K3891" s="1"/>
    </row>
    <row r="3892" spans="1:11" x14ac:dyDescent="0.25">
      <c r="A3892" t="e">
        <f>-LqfgnFuxyuhxon95cg6</f>
        <v>#NAME?</v>
      </c>
      <c r="B3892">
        <v>393.75</v>
      </c>
      <c r="C3892">
        <v>20.531590000000001</v>
      </c>
      <c r="D3892">
        <v>70</v>
      </c>
      <c r="E3892">
        <v>0</v>
      </c>
      <c r="F3892">
        <v>0</v>
      </c>
      <c r="G3892">
        <v>0</v>
      </c>
      <c r="H3892" s="4">
        <v>1570543710242</v>
      </c>
      <c r="I3892">
        <v>526.6875</v>
      </c>
      <c r="J3892" s="9">
        <f t="shared" si="60"/>
        <v>43746.880905578706</v>
      </c>
      <c r="K3892" s="1"/>
    </row>
    <row r="3893" spans="1:11" x14ac:dyDescent="0.25">
      <c r="A3893" t="e">
        <f>-LqfgooxfPmHC_Is2-vC</f>
        <v>#NAME?</v>
      </c>
      <c r="B3893">
        <v>393.75</v>
      </c>
      <c r="C3893">
        <v>20.584240000000001</v>
      </c>
      <c r="D3893">
        <v>68</v>
      </c>
      <c r="E3893">
        <v>0</v>
      </c>
      <c r="F3893">
        <v>0</v>
      </c>
      <c r="G3893">
        <v>13</v>
      </c>
      <c r="H3893" s="4">
        <v>1570543716462</v>
      </c>
      <c r="I3893">
        <v>526.6875</v>
      </c>
      <c r="J3893" s="9">
        <f t="shared" si="60"/>
        <v>43746.880977569446</v>
      </c>
      <c r="K3893" s="1"/>
    </row>
    <row r="3894" spans="1:11" x14ac:dyDescent="0.25">
      <c r="A3894" t="e">
        <f>-LqfgqK2k9quhcJkFAkz</f>
        <v>#NAME?</v>
      </c>
      <c r="B3894">
        <v>393.75</v>
      </c>
      <c r="C3894">
        <v>20.584240000000001</v>
      </c>
      <c r="D3894">
        <v>68</v>
      </c>
      <c r="E3894">
        <v>0</v>
      </c>
      <c r="F3894">
        <v>0</v>
      </c>
      <c r="G3894">
        <v>11</v>
      </c>
      <c r="H3894" s="4">
        <v>1570543722641</v>
      </c>
      <c r="I3894">
        <v>526.6875</v>
      </c>
      <c r="J3894" s="9">
        <f t="shared" si="60"/>
        <v>43746.881049085649</v>
      </c>
      <c r="K3894" s="1"/>
    </row>
    <row r="3895" spans="1:11" x14ac:dyDescent="0.25">
      <c r="A3895" t="e">
        <f>-LqfgsCCaDNzu8IjkxIw</f>
        <v>#NAME?</v>
      </c>
      <c r="B3895">
        <v>412.5</v>
      </c>
      <c r="C3895">
        <v>20.531590000000001</v>
      </c>
      <c r="D3895">
        <v>69</v>
      </c>
      <c r="E3895">
        <v>0</v>
      </c>
      <c r="F3895">
        <v>0</v>
      </c>
      <c r="G3895">
        <v>2</v>
      </c>
      <c r="H3895" s="4">
        <v>1570543728821</v>
      </c>
      <c r="I3895">
        <v>532.125</v>
      </c>
      <c r="J3895" s="9">
        <f t="shared" si="60"/>
        <v>43746.88112061342</v>
      </c>
      <c r="K3895" s="1"/>
    </row>
    <row r="3896" spans="1:11" x14ac:dyDescent="0.25">
      <c r="A3896" t="e">
        <f>-Lqfgtq6C_XRnbG0lv5m</f>
        <v>#NAME?</v>
      </c>
      <c r="B3896">
        <v>393.75</v>
      </c>
      <c r="C3896">
        <v>20.531590000000001</v>
      </c>
      <c r="D3896">
        <v>66</v>
      </c>
      <c r="E3896">
        <v>0</v>
      </c>
      <c r="F3896">
        <v>0</v>
      </c>
      <c r="G3896">
        <v>4</v>
      </c>
      <c r="H3896" s="4">
        <v>1570543737046</v>
      </c>
      <c r="I3896">
        <v>526.6875</v>
      </c>
      <c r="J3896" s="9">
        <f t="shared" si="60"/>
        <v>43746.881215810186</v>
      </c>
      <c r="K3896" s="1"/>
    </row>
    <row r="3897" spans="1:11" x14ac:dyDescent="0.25">
      <c r="A3897" t="e">
        <f>-LqfgvP5CEkKvntlRFBc</f>
        <v>#NAME?</v>
      </c>
      <c r="B3897">
        <v>393.75</v>
      </c>
      <c r="C3897">
        <v>20.531590000000001</v>
      </c>
      <c r="D3897">
        <v>66</v>
      </c>
      <c r="E3897">
        <v>0</v>
      </c>
      <c r="F3897">
        <v>0</v>
      </c>
      <c r="G3897">
        <v>1</v>
      </c>
      <c r="H3897" s="4">
        <v>1570543743255</v>
      </c>
      <c r="I3897">
        <v>526.6875</v>
      </c>
      <c r="J3897" s="9">
        <f t="shared" si="60"/>
        <v>43746.881287673612</v>
      </c>
      <c r="K3897" s="1"/>
    </row>
    <row r="3898" spans="1:11" x14ac:dyDescent="0.25">
      <c r="A3898" t="e">
        <f>-Lqfgx75IImaSJT0Cuq_</f>
        <v>#NAME?</v>
      </c>
      <c r="B3898">
        <v>393.75</v>
      </c>
      <c r="C3898">
        <v>20.531590000000001</v>
      </c>
      <c r="D3898">
        <v>68</v>
      </c>
      <c r="E3898">
        <v>0</v>
      </c>
      <c r="F3898">
        <v>0</v>
      </c>
      <c r="G3898">
        <v>8</v>
      </c>
      <c r="H3898" s="4">
        <v>1570543750487</v>
      </c>
      <c r="I3898">
        <v>526.6875</v>
      </c>
      <c r="J3898" s="9">
        <f t="shared" si="60"/>
        <v>43746.881371377312</v>
      </c>
      <c r="K3898" s="1"/>
    </row>
    <row r="3899" spans="1:11" x14ac:dyDescent="0.25">
      <c r="A3899" t="e">
        <f>-Lqfgyf0rChkFg-Z-Gow</f>
        <v>#NAME?</v>
      </c>
      <c r="B3899">
        <v>393.75</v>
      </c>
      <c r="C3899">
        <v>20.531590000000001</v>
      </c>
      <c r="D3899">
        <v>69</v>
      </c>
      <c r="E3899">
        <v>0</v>
      </c>
      <c r="F3899">
        <v>0</v>
      </c>
      <c r="G3899">
        <v>5</v>
      </c>
      <c r="H3899" s="4">
        <v>1570543756657</v>
      </c>
      <c r="I3899">
        <v>526.6875</v>
      </c>
      <c r="J3899" s="9">
        <f t="shared" si="60"/>
        <v>43746.881442789345</v>
      </c>
      <c r="K3899" s="1"/>
    </row>
    <row r="3900" spans="1:11" x14ac:dyDescent="0.25">
      <c r="A3900" t="e">
        <f>-LqfH-P4ARPnzPMCdHzZ</f>
        <v>#NAME?</v>
      </c>
      <c r="B3900">
        <v>393.75</v>
      </c>
      <c r="C3900">
        <v>20.584240000000001</v>
      </c>
      <c r="D3900">
        <v>70</v>
      </c>
      <c r="E3900">
        <v>0</v>
      </c>
      <c r="F3900">
        <v>0</v>
      </c>
      <c r="G3900">
        <v>3</v>
      </c>
      <c r="H3900" s="4">
        <v>1570543763868</v>
      </c>
      <c r="I3900">
        <v>526.6875</v>
      </c>
      <c r="J3900" s="9">
        <f t="shared" si="60"/>
        <v>43746.881526249999</v>
      </c>
      <c r="K3900" s="1"/>
    </row>
    <row r="3901" spans="1:11" x14ac:dyDescent="0.25">
      <c r="A3901" t="e">
        <f>-Lqfh0rr98ucn-Mk6FYz</f>
        <v>#NAME?</v>
      </c>
      <c r="B3901">
        <v>393.75</v>
      </c>
      <c r="C3901">
        <v>20.584240000000001</v>
      </c>
      <c r="D3901">
        <v>70</v>
      </c>
      <c r="E3901">
        <v>0</v>
      </c>
      <c r="F3901">
        <v>0</v>
      </c>
      <c r="G3901">
        <v>9</v>
      </c>
      <c r="H3901" s="4">
        <v>1570543770017</v>
      </c>
      <c r="I3901">
        <v>526.6875</v>
      </c>
      <c r="J3901" s="9">
        <f t="shared" si="60"/>
        <v>43746.881597418978</v>
      </c>
      <c r="K3901" s="1"/>
    </row>
    <row r="3902" spans="1:11" x14ac:dyDescent="0.25">
      <c r="A3902" t="e">
        <f>-Lqfh2SRhCCyaNVscP5z</f>
        <v>#NAME?</v>
      </c>
      <c r="B3902">
        <v>393.75</v>
      </c>
      <c r="C3902">
        <v>20.531590000000001</v>
      </c>
      <c r="D3902">
        <v>70</v>
      </c>
      <c r="E3902">
        <v>0</v>
      </c>
      <c r="F3902">
        <v>0</v>
      </c>
      <c r="G3902">
        <v>13</v>
      </c>
      <c r="H3902" s="4">
        <v>1570543776238</v>
      </c>
      <c r="I3902">
        <v>526.6875</v>
      </c>
      <c r="J3902" s="9">
        <f t="shared" si="60"/>
        <v>43746.881669421295</v>
      </c>
      <c r="K3902" s="1"/>
    </row>
    <row r="3903" spans="1:11" x14ac:dyDescent="0.25">
      <c r="A3903" t="e">
        <f>-Lqfh4A6cPh7XhYGDwbR</f>
        <v>#NAME?</v>
      </c>
      <c r="B3903">
        <v>393.75</v>
      </c>
      <c r="C3903">
        <v>20.531590000000001</v>
      </c>
      <c r="D3903">
        <v>69</v>
      </c>
      <c r="E3903">
        <v>0</v>
      </c>
      <c r="F3903">
        <v>0</v>
      </c>
      <c r="G3903">
        <v>0</v>
      </c>
      <c r="H3903" s="4">
        <v>1570543783447</v>
      </c>
      <c r="I3903">
        <v>526.6875</v>
      </c>
      <c r="J3903" s="9">
        <f t="shared" si="60"/>
        <v>43746.88175285879</v>
      </c>
      <c r="K3903" s="1"/>
    </row>
    <row r="3904" spans="1:11" x14ac:dyDescent="0.25">
      <c r="A3904" t="e">
        <f>-Lqfh5j5op2EN50EUEse</f>
        <v>#NAME?</v>
      </c>
      <c r="B3904">
        <v>393.75</v>
      </c>
      <c r="C3904">
        <v>20.531590000000001</v>
      </c>
      <c r="D3904">
        <v>68</v>
      </c>
      <c r="E3904">
        <v>0</v>
      </c>
      <c r="F3904">
        <v>0</v>
      </c>
      <c r="G3904">
        <v>0</v>
      </c>
      <c r="H3904" s="4">
        <v>1570543789627</v>
      </c>
      <c r="I3904">
        <v>526.6875</v>
      </c>
      <c r="J3904" s="9">
        <f t="shared" si="60"/>
        <v>43746.881824386575</v>
      </c>
      <c r="K3904" s="1"/>
    </row>
    <row r="3905" spans="1:11" x14ac:dyDescent="0.25">
      <c r="A3905" t="e">
        <f>-Lqfh7X5n8Jy48MbFLnZ</f>
        <v>#NAME?</v>
      </c>
      <c r="B3905">
        <v>393.75</v>
      </c>
      <c r="C3905">
        <v>20.531590000000001</v>
      </c>
      <c r="D3905">
        <v>67</v>
      </c>
      <c r="E3905">
        <v>0</v>
      </c>
      <c r="F3905">
        <v>0</v>
      </c>
      <c r="G3905">
        <v>1</v>
      </c>
      <c r="H3905" s="4">
        <v>1570543797245</v>
      </c>
      <c r="I3905">
        <v>526.6875</v>
      </c>
      <c r="J3905" s="9">
        <f t="shared" si="60"/>
        <v>43746.881912557867</v>
      </c>
      <c r="K3905" s="1"/>
    </row>
    <row r="3906" spans="1:11" x14ac:dyDescent="0.25">
      <c r="A3906" t="e">
        <f>-Lqfh9E-gIy9RElJBHaN</f>
        <v>#NAME?</v>
      </c>
      <c r="B3906">
        <v>393.75</v>
      </c>
      <c r="C3906">
        <v>20.584240000000001</v>
      </c>
      <c r="D3906">
        <v>69</v>
      </c>
      <c r="E3906">
        <v>0</v>
      </c>
      <c r="F3906">
        <v>0</v>
      </c>
      <c r="G3906">
        <v>4</v>
      </c>
      <c r="H3906" s="4">
        <v>1570543804057</v>
      </c>
      <c r="I3906">
        <v>526.6875</v>
      </c>
      <c r="J3906" s="9">
        <f t="shared" si="60"/>
        <v>43746.881991400463</v>
      </c>
      <c r="K3906" s="1"/>
    </row>
    <row r="3907" spans="1:11" x14ac:dyDescent="0.25">
      <c r="A3907" t="e">
        <f>-LqfhAvljUg12Kzzm7aY</f>
        <v>#NAME?</v>
      </c>
      <c r="B3907">
        <v>393.75</v>
      </c>
      <c r="C3907">
        <v>20.531590000000001</v>
      </c>
      <c r="D3907">
        <v>69</v>
      </c>
      <c r="E3907">
        <v>0</v>
      </c>
      <c r="F3907">
        <v>0</v>
      </c>
      <c r="G3907">
        <v>0</v>
      </c>
      <c r="H3907" s="4">
        <v>1570543811286</v>
      </c>
      <c r="I3907">
        <v>526.6875</v>
      </c>
      <c r="J3907" s="9">
        <f t="shared" ref="J3907:J3970" si="61">(H3907/86400000)+25569+(7/24)</f>
        <v>43746.882075069443</v>
      </c>
      <c r="K3907" s="1"/>
    </row>
    <row r="3908" spans="1:11" x14ac:dyDescent="0.25">
      <c r="A3908" t="e">
        <f>-LqfhCWUXAJO85ZyvIEX</f>
        <v>#NAME?</v>
      </c>
      <c r="B3908">
        <v>393.75</v>
      </c>
      <c r="C3908">
        <v>20.531590000000001</v>
      </c>
      <c r="D3908">
        <v>69</v>
      </c>
      <c r="E3908">
        <v>0</v>
      </c>
      <c r="F3908">
        <v>0</v>
      </c>
      <c r="G3908">
        <v>4</v>
      </c>
      <c r="H3908" s="4">
        <v>1570543817457</v>
      </c>
      <c r="I3908">
        <v>526.6875</v>
      </c>
      <c r="J3908" s="9">
        <f t="shared" si="61"/>
        <v>43746.882146493052</v>
      </c>
      <c r="K3908" s="1"/>
    </row>
    <row r="3909" spans="1:11" x14ac:dyDescent="0.25">
      <c r="A3909" t="e">
        <f>-LqfhEF4AdFGNbQd8aBj</f>
        <v>#NAME?</v>
      </c>
      <c r="B3909">
        <v>393.75</v>
      </c>
      <c r="C3909">
        <v>20.584240000000001</v>
      </c>
      <c r="D3909">
        <v>69</v>
      </c>
      <c r="E3909">
        <v>0</v>
      </c>
      <c r="F3909">
        <v>0</v>
      </c>
      <c r="G3909">
        <v>2</v>
      </c>
      <c r="H3909" s="4">
        <v>1570543824667</v>
      </c>
      <c r="I3909">
        <v>526.6875</v>
      </c>
      <c r="J3909" s="9">
        <f t="shared" si="61"/>
        <v>43746.882229942123</v>
      </c>
      <c r="K3909" s="1"/>
    </row>
    <row r="3910" spans="1:11" x14ac:dyDescent="0.25">
      <c r="A3910" t="e">
        <f>-LqfhFi3zJkZZ_1SDgd3</f>
        <v>#NAME?</v>
      </c>
      <c r="B3910">
        <v>393.75</v>
      </c>
      <c r="C3910">
        <v>20.584240000000001</v>
      </c>
      <c r="D3910">
        <v>70</v>
      </c>
      <c r="E3910">
        <v>0</v>
      </c>
      <c r="F3910">
        <v>0</v>
      </c>
      <c r="G3910">
        <v>6</v>
      </c>
      <c r="H3910" s="4">
        <v>1570543830865</v>
      </c>
      <c r="I3910">
        <v>526.6875</v>
      </c>
      <c r="J3910" s="9">
        <f t="shared" si="61"/>
        <v>43746.882301678233</v>
      </c>
      <c r="K3910" s="1"/>
    </row>
    <row r="3911" spans="1:11" x14ac:dyDescent="0.25">
      <c r="A3911" t="e">
        <f>-LqfhHHAJgwvvDLj1Ixx</f>
        <v>#NAME?</v>
      </c>
      <c r="B3911">
        <v>393.75</v>
      </c>
      <c r="C3911">
        <v>20.531590000000001</v>
      </c>
      <c r="D3911">
        <v>69</v>
      </c>
      <c r="E3911">
        <v>0</v>
      </c>
      <c r="F3911">
        <v>0</v>
      </c>
      <c r="G3911">
        <v>2</v>
      </c>
      <c r="H3911" s="4">
        <v>1570543837058</v>
      </c>
      <c r="I3911">
        <v>526.6875</v>
      </c>
      <c r="J3911" s="9">
        <f t="shared" si="61"/>
        <v>43746.882373356479</v>
      </c>
      <c r="K3911" s="1"/>
    </row>
    <row r="3912" spans="1:11" x14ac:dyDescent="0.25">
      <c r="A3912" t="e">
        <f>-LqfhJ06UR4Y2HbaGs9R</f>
        <v>#NAME?</v>
      </c>
      <c r="B3912">
        <v>393.75</v>
      </c>
      <c r="C3912">
        <v>20.584240000000001</v>
      </c>
      <c r="D3912">
        <v>69</v>
      </c>
      <c r="E3912">
        <v>0</v>
      </c>
      <c r="F3912">
        <v>0</v>
      </c>
      <c r="G3912">
        <v>4</v>
      </c>
      <c r="H3912" s="4">
        <v>1570543844246</v>
      </c>
      <c r="I3912">
        <v>526.6875</v>
      </c>
      <c r="J3912" s="9">
        <f t="shared" si="61"/>
        <v>43746.88245655092</v>
      </c>
      <c r="K3912" s="1"/>
    </row>
    <row r="3913" spans="1:11" x14ac:dyDescent="0.25">
      <c r="A3913" t="e">
        <f>-LqfhK_4fzJ-zLCNnFjK</f>
        <v>#NAME?</v>
      </c>
      <c r="B3913">
        <v>393.75</v>
      </c>
      <c r="C3913">
        <v>20.531590000000001</v>
      </c>
      <c r="D3913">
        <v>69</v>
      </c>
      <c r="E3913">
        <v>0</v>
      </c>
      <c r="F3913">
        <v>0</v>
      </c>
      <c r="G3913">
        <v>3</v>
      </c>
      <c r="H3913" s="4">
        <v>1570543850437</v>
      </c>
      <c r="I3913">
        <v>526.6875</v>
      </c>
      <c r="J3913" s="9">
        <f t="shared" si="61"/>
        <v>43746.882528206021</v>
      </c>
      <c r="K3913" s="1"/>
    </row>
    <row r="3914" spans="1:11" x14ac:dyDescent="0.25">
      <c r="A3914" t="e">
        <f>-LqfhMH--JSsW36IdQ2L</f>
        <v>#NAME?</v>
      </c>
      <c r="B3914">
        <v>393.75</v>
      </c>
      <c r="C3914">
        <v>20.478950000000001</v>
      </c>
      <c r="D3914">
        <v>69</v>
      </c>
      <c r="E3914">
        <v>0</v>
      </c>
      <c r="F3914">
        <v>0</v>
      </c>
      <c r="G3914">
        <v>0</v>
      </c>
      <c r="H3914" s="4">
        <v>1570543857647</v>
      </c>
      <c r="I3914">
        <v>526.6875</v>
      </c>
      <c r="J3914" s="9">
        <f t="shared" si="61"/>
        <v>43746.882611655092</v>
      </c>
      <c r="K3914" s="1"/>
    </row>
    <row r="3915" spans="1:11" x14ac:dyDescent="0.25">
      <c r="A3915" t="e">
        <f>-LqfhO3z7Fb0Phh2qT65</f>
        <v>#NAME?</v>
      </c>
      <c r="B3915">
        <v>393.75</v>
      </c>
      <c r="C3915">
        <v>20.584240000000001</v>
      </c>
      <c r="D3915">
        <v>69</v>
      </c>
      <c r="E3915">
        <v>0</v>
      </c>
      <c r="F3915">
        <v>0</v>
      </c>
      <c r="G3915">
        <v>6</v>
      </c>
      <c r="H3915" s="4">
        <v>1570543864867</v>
      </c>
      <c r="I3915">
        <v>526.6875</v>
      </c>
      <c r="J3915" s="9">
        <f t="shared" si="61"/>
        <v>43746.882695219909</v>
      </c>
      <c r="K3915" s="1"/>
    </row>
    <row r="3916" spans="1:11" x14ac:dyDescent="0.25">
      <c r="A3916" t="e">
        <f>-LqfhPs-cTS4cjQsnY8c</f>
        <v>#NAME?</v>
      </c>
      <c r="B3916">
        <v>393.75</v>
      </c>
      <c r="C3916">
        <v>20.584240000000001</v>
      </c>
      <c r="D3916">
        <v>69</v>
      </c>
      <c r="E3916">
        <v>0</v>
      </c>
      <c r="F3916">
        <v>0</v>
      </c>
      <c r="G3916">
        <v>9</v>
      </c>
      <c r="H3916" s="4">
        <v>1570543872232</v>
      </c>
      <c r="I3916">
        <v>526.5</v>
      </c>
      <c r="J3916" s="9">
        <f t="shared" si="61"/>
        <v>43746.882780462962</v>
      </c>
      <c r="K3916" s="1"/>
    </row>
    <row r="3917" spans="1:11" x14ac:dyDescent="0.25">
      <c r="A3917" t="e">
        <f>-LqfhRYLyk7NlevBYw-u</f>
        <v>#NAME?</v>
      </c>
      <c r="B3917">
        <v>393.75</v>
      </c>
      <c r="C3917">
        <v>20.584240000000001</v>
      </c>
      <c r="D3917">
        <v>70</v>
      </c>
      <c r="E3917">
        <v>0</v>
      </c>
      <c r="F3917">
        <v>0</v>
      </c>
      <c r="G3917">
        <v>9</v>
      </c>
      <c r="H3917" s="4">
        <v>1570543879295</v>
      </c>
      <c r="I3917">
        <v>526.6875</v>
      </c>
      <c r="J3917" s="9">
        <f t="shared" si="61"/>
        <v>43746.882862210645</v>
      </c>
      <c r="K3917" s="1"/>
    </row>
    <row r="3918" spans="1:11" x14ac:dyDescent="0.25">
      <c r="A3918" t="e">
        <f>-LqfhT559V7BXNcvJlqK</f>
        <v>#NAME?</v>
      </c>
      <c r="B3918">
        <v>393.75</v>
      </c>
      <c r="C3918">
        <v>20.531590000000001</v>
      </c>
      <c r="D3918">
        <v>70</v>
      </c>
      <c r="E3918">
        <v>0</v>
      </c>
      <c r="F3918">
        <v>0</v>
      </c>
      <c r="G3918">
        <v>7</v>
      </c>
      <c r="H3918" s="4">
        <v>1570543885495</v>
      </c>
      <c r="I3918">
        <v>526.5</v>
      </c>
      <c r="J3918" s="9">
        <f t="shared" si="61"/>
        <v>43746.882933969908</v>
      </c>
      <c r="K3918" s="1"/>
    </row>
    <row r="3919" spans="1:11" x14ac:dyDescent="0.25">
      <c r="A3919" t="e">
        <f>-LqfhUYs55QXUCarKsKw</f>
        <v>#NAME?</v>
      </c>
      <c r="B3919">
        <v>393.75</v>
      </c>
      <c r="C3919">
        <v>20.478950000000001</v>
      </c>
      <c r="D3919">
        <v>71</v>
      </c>
      <c r="E3919">
        <v>0</v>
      </c>
      <c r="F3919">
        <v>0</v>
      </c>
      <c r="G3919">
        <v>4</v>
      </c>
      <c r="H3919" s="4">
        <v>1570543891668</v>
      </c>
      <c r="I3919">
        <v>526.6875</v>
      </c>
      <c r="J3919" s="9">
        <f t="shared" si="61"/>
        <v>43746.883005416668</v>
      </c>
      <c r="K3919" s="1"/>
    </row>
    <row r="3920" spans="1:11" x14ac:dyDescent="0.25">
      <c r="A3920" t="e">
        <f>-LqfhW7-EGu45vgh1Oyw</f>
        <v>#NAME?</v>
      </c>
      <c r="B3920">
        <v>393.75</v>
      </c>
      <c r="C3920">
        <v>20.531590000000001</v>
      </c>
      <c r="D3920">
        <v>71</v>
      </c>
      <c r="E3920">
        <v>0</v>
      </c>
      <c r="F3920">
        <v>0</v>
      </c>
      <c r="G3920">
        <v>9</v>
      </c>
      <c r="H3920" s="4">
        <v>1570543897837</v>
      </c>
      <c r="I3920">
        <v>526.6875</v>
      </c>
      <c r="J3920" s="9">
        <f t="shared" si="61"/>
        <v>43746.883076817125</v>
      </c>
      <c r="K3920" s="1"/>
    </row>
    <row r="3921" spans="1:11" x14ac:dyDescent="0.25">
      <c r="A3921" t="e">
        <f>-LqfhXr4Hw6hfcgDNHI1</f>
        <v>#NAME?</v>
      </c>
      <c r="B3921">
        <v>415.625</v>
      </c>
      <c r="C3921">
        <v>20.531590000000001</v>
      </c>
      <c r="D3921">
        <v>66</v>
      </c>
      <c r="E3921">
        <v>0</v>
      </c>
      <c r="F3921">
        <v>0</v>
      </c>
      <c r="G3921">
        <v>5</v>
      </c>
      <c r="H3921" s="4">
        <v>1570543905049</v>
      </c>
      <c r="I3921">
        <v>533.8125</v>
      </c>
      <c r="J3921" s="9">
        <f t="shared" si="61"/>
        <v>43746.883160289348</v>
      </c>
      <c r="K3921" s="1"/>
    </row>
    <row r="3922" spans="1:11" x14ac:dyDescent="0.25">
      <c r="A3922" t="e">
        <f>-LqfhZQF6Tp2wdiyaAap</f>
        <v>#NAME?</v>
      </c>
      <c r="B3922">
        <v>393.75</v>
      </c>
      <c r="C3922">
        <v>20.531590000000001</v>
      </c>
      <c r="D3922">
        <v>68</v>
      </c>
      <c r="E3922">
        <v>0</v>
      </c>
      <c r="F3922">
        <v>0</v>
      </c>
      <c r="G3922">
        <v>1</v>
      </c>
      <c r="H3922" s="4">
        <v>1570543911235</v>
      </c>
      <c r="I3922">
        <v>526.5</v>
      </c>
      <c r="J3922" s="9">
        <f t="shared" si="61"/>
        <v>43746.883231886568</v>
      </c>
      <c r="K3922" s="1"/>
    </row>
    <row r="3923" spans="1:11" x14ac:dyDescent="0.25">
      <c r="A3923" t="e">
        <f>-Lqfha6zYGg8I9GGx43l</f>
        <v>#NAME?</v>
      </c>
      <c r="B3923">
        <v>393.75</v>
      </c>
      <c r="C3923">
        <v>20.531590000000001</v>
      </c>
      <c r="D3923">
        <v>69</v>
      </c>
      <c r="E3923">
        <v>0</v>
      </c>
      <c r="F3923">
        <v>0</v>
      </c>
      <c r="G3923">
        <v>3</v>
      </c>
      <c r="H3923" s="4">
        <v>1570543918447</v>
      </c>
      <c r="I3923">
        <v>526.6875</v>
      </c>
      <c r="J3923" s="9">
        <f t="shared" si="61"/>
        <v>43746.883315358798</v>
      </c>
      <c r="K3923" s="1"/>
    </row>
    <row r="3924" spans="1:11" x14ac:dyDescent="0.25">
      <c r="A3924" t="e">
        <f>-Lqfhbb0Zy1CSMWthTQN</f>
        <v>#NAME?</v>
      </c>
      <c r="B3924">
        <v>412.5</v>
      </c>
      <c r="C3924">
        <v>20.584240000000001</v>
      </c>
      <c r="D3924">
        <v>70</v>
      </c>
      <c r="E3924">
        <v>0</v>
      </c>
      <c r="F3924">
        <v>0</v>
      </c>
      <c r="G3924">
        <v>0</v>
      </c>
      <c r="H3924" s="4">
        <v>1570543924636</v>
      </c>
      <c r="I3924">
        <v>532.875</v>
      </c>
      <c r="J3924" s="9">
        <f t="shared" si="61"/>
        <v>43746.883386990739</v>
      </c>
      <c r="K3924" s="1"/>
    </row>
    <row r="3925" spans="1:11" x14ac:dyDescent="0.25">
      <c r="A3925" t="e">
        <f>-LqfhdB5OkHYg3Ej8pkr</f>
        <v>#NAME?</v>
      </c>
      <c r="B3925">
        <v>393.75</v>
      </c>
      <c r="C3925">
        <v>20.584240000000001</v>
      </c>
      <c r="D3925">
        <v>70</v>
      </c>
      <c r="E3925">
        <v>0</v>
      </c>
      <c r="F3925">
        <v>0</v>
      </c>
      <c r="G3925">
        <v>6</v>
      </c>
      <c r="H3925" s="4">
        <v>1570543930808</v>
      </c>
      <c r="I3925">
        <v>526.6875</v>
      </c>
      <c r="J3925" s="9">
        <f t="shared" si="61"/>
        <v>43746.883458425924</v>
      </c>
      <c r="K3925" s="1"/>
    </row>
    <row r="3926" spans="1:11" x14ac:dyDescent="0.25">
      <c r="A3926" t="e">
        <f>-LqfhermyWzBUCLc5p1G</f>
        <v>#NAME?</v>
      </c>
      <c r="B3926">
        <v>393.75</v>
      </c>
      <c r="C3926">
        <v>20.584240000000001</v>
      </c>
      <c r="D3926">
        <v>70</v>
      </c>
      <c r="E3926">
        <v>0</v>
      </c>
      <c r="F3926">
        <v>0</v>
      </c>
      <c r="G3926">
        <v>5</v>
      </c>
      <c r="H3926" s="4">
        <v>1570543938005</v>
      </c>
      <c r="I3926">
        <v>526.6875</v>
      </c>
      <c r="J3926" s="9">
        <f t="shared" si="61"/>
        <v>43746.883541724535</v>
      </c>
      <c r="K3926" s="1"/>
    </row>
    <row r="3927" spans="1:11" x14ac:dyDescent="0.25">
      <c r="A3927" t="e">
        <f>-Lqfhgm58l1fYNMdLC-e</f>
        <v>#NAME?</v>
      </c>
      <c r="B3927">
        <v>393.75</v>
      </c>
      <c r="C3927">
        <v>20.584240000000001</v>
      </c>
      <c r="D3927">
        <v>70</v>
      </c>
      <c r="E3927">
        <v>0</v>
      </c>
      <c r="F3927">
        <v>0</v>
      </c>
      <c r="G3927">
        <v>3</v>
      </c>
      <c r="H3927" s="4">
        <v>1570543945528</v>
      </c>
      <c r="I3927">
        <v>526.6875</v>
      </c>
      <c r="J3927" s="9">
        <f t="shared" si="61"/>
        <v>43746.883628796299</v>
      </c>
      <c r="K3927" s="1"/>
    </row>
    <row r="3928" spans="1:11" x14ac:dyDescent="0.25">
      <c r="A3928" t="e">
        <f>-Lqfhipfbe2QOAq9tswU</f>
        <v>#NAME?</v>
      </c>
      <c r="B3928">
        <v>393.75</v>
      </c>
      <c r="C3928">
        <v>20.531590000000001</v>
      </c>
      <c r="D3928">
        <v>68</v>
      </c>
      <c r="E3928">
        <v>0</v>
      </c>
      <c r="F3928">
        <v>0</v>
      </c>
      <c r="G3928">
        <v>4</v>
      </c>
      <c r="H3928" s="4">
        <v>1570543952497</v>
      </c>
      <c r="I3928">
        <v>526.6875</v>
      </c>
      <c r="J3928" s="9">
        <f t="shared" si="61"/>
        <v>43746.883709456015</v>
      </c>
      <c r="K3928" s="1"/>
    </row>
    <row r="3929" spans="1:11" x14ac:dyDescent="0.25">
      <c r="A3929" t="e">
        <f>-LqfhkSCAdZhYjOpwerL</f>
        <v>#NAME?</v>
      </c>
      <c r="B3929">
        <v>393.75</v>
      </c>
      <c r="C3929">
        <v>20.531590000000001</v>
      </c>
      <c r="D3929">
        <v>66</v>
      </c>
      <c r="E3929">
        <v>0</v>
      </c>
      <c r="F3929">
        <v>0</v>
      </c>
      <c r="G3929">
        <v>8</v>
      </c>
      <c r="H3929" s="4">
        <v>1570543960695</v>
      </c>
      <c r="I3929">
        <v>526.6875</v>
      </c>
      <c r="J3929" s="9">
        <f t="shared" si="61"/>
        <v>43746.883804340272</v>
      </c>
      <c r="K3929" s="1"/>
    </row>
    <row r="3930" spans="1:11" x14ac:dyDescent="0.25">
      <c r="A3930" t="e">
        <f>-LqfhluzJqyhm5M9pXXC</f>
        <v>#NAME?</v>
      </c>
      <c r="B3930">
        <v>393.75</v>
      </c>
      <c r="C3930">
        <v>20.531590000000001</v>
      </c>
      <c r="D3930">
        <v>66</v>
      </c>
      <c r="E3930">
        <v>0</v>
      </c>
      <c r="F3930">
        <v>0</v>
      </c>
      <c r="G3930">
        <v>10</v>
      </c>
      <c r="H3930" s="4">
        <v>1570543966875</v>
      </c>
      <c r="I3930">
        <v>526.6875</v>
      </c>
      <c r="J3930" s="9">
        <f t="shared" si="61"/>
        <v>43746.883875868058</v>
      </c>
      <c r="K3930" s="1"/>
    </row>
    <row r="3931" spans="1:11" x14ac:dyDescent="0.25">
      <c r="A3931" t="e">
        <f>-LqfhnTyeny5-P-MBOwb</f>
        <v>#NAME?</v>
      </c>
      <c r="B3931">
        <v>393.75</v>
      </c>
      <c r="C3931">
        <v>20.584240000000001</v>
      </c>
      <c r="D3931">
        <v>66</v>
      </c>
      <c r="E3931">
        <v>0</v>
      </c>
      <c r="F3931">
        <v>0</v>
      </c>
      <c r="G3931">
        <v>11</v>
      </c>
      <c r="H3931" s="4">
        <v>1570543973057</v>
      </c>
      <c r="I3931">
        <v>526.6875</v>
      </c>
      <c r="J3931" s="9">
        <f t="shared" si="61"/>
        <v>43746.883947418981</v>
      </c>
      <c r="K3931" s="1"/>
    </row>
    <row r="3932" spans="1:11" x14ac:dyDescent="0.25">
      <c r="A3932" t="e">
        <f>-Lqfhoz3fV2Qo0b4OW6W</f>
        <v>#NAME?</v>
      </c>
      <c r="B3932">
        <v>393.75</v>
      </c>
      <c r="C3932">
        <v>20.584240000000001</v>
      </c>
      <c r="D3932">
        <v>67</v>
      </c>
      <c r="E3932">
        <v>0</v>
      </c>
      <c r="F3932">
        <v>0</v>
      </c>
      <c r="G3932">
        <v>0</v>
      </c>
      <c r="H3932" s="4">
        <v>1570543979236</v>
      </c>
      <c r="I3932">
        <v>526.6875</v>
      </c>
      <c r="J3932" s="9">
        <f t="shared" si="61"/>
        <v>43746.884018935183</v>
      </c>
      <c r="K3932" s="1"/>
    </row>
    <row r="3933" spans="1:11" x14ac:dyDescent="0.25">
      <c r="A3933" t="e">
        <f>-LqfhqS-DiGyNPy5fcRw</f>
        <v>#NAME?</v>
      </c>
      <c r="B3933">
        <v>393.75</v>
      </c>
      <c r="C3933">
        <v>20.531590000000001</v>
      </c>
      <c r="D3933">
        <v>66</v>
      </c>
      <c r="E3933">
        <v>0</v>
      </c>
      <c r="F3933">
        <v>0</v>
      </c>
      <c r="G3933">
        <v>8</v>
      </c>
      <c r="H3933" s="4">
        <v>1570543985434</v>
      </c>
      <c r="I3933">
        <v>526.6875</v>
      </c>
      <c r="J3933" s="9">
        <f t="shared" si="61"/>
        <v>43746.884090671294</v>
      </c>
      <c r="K3933" s="1"/>
    </row>
    <row r="3934" spans="1:11" x14ac:dyDescent="0.25">
      <c r="A3934" t="e">
        <f>-Lqfhs2NjqvP4PIWjEk_</f>
        <v>#NAME?</v>
      </c>
      <c r="B3934">
        <v>393.75</v>
      </c>
      <c r="C3934">
        <v>20.584240000000001</v>
      </c>
      <c r="D3934">
        <v>66</v>
      </c>
      <c r="E3934">
        <v>0</v>
      </c>
      <c r="F3934">
        <v>0</v>
      </c>
      <c r="G3934">
        <v>3</v>
      </c>
      <c r="H3934" s="4">
        <v>1570543991613</v>
      </c>
      <c r="I3934">
        <v>526.5</v>
      </c>
      <c r="J3934" s="9">
        <f t="shared" si="61"/>
        <v>43746.884162187496</v>
      </c>
      <c r="K3934" s="1"/>
    </row>
    <row r="3935" spans="1:11" x14ac:dyDescent="0.25">
      <c r="A3935" t="e">
        <f>-Lqfhtk42w2qVPPBilp1</f>
        <v>#NAME?</v>
      </c>
      <c r="B3935">
        <v>393.75</v>
      </c>
      <c r="C3935">
        <v>20.531590000000001</v>
      </c>
      <c r="D3935">
        <v>67</v>
      </c>
      <c r="E3935">
        <v>0</v>
      </c>
      <c r="F3935">
        <v>0</v>
      </c>
      <c r="G3935">
        <v>2</v>
      </c>
      <c r="H3935" s="4">
        <v>1570543998804</v>
      </c>
      <c r="I3935">
        <v>526.6875</v>
      </c>
      <c r="J3935" s="9">
        <f t="shared" si="61"/>
        <v>43746.884245416666</v>
      </c>
      <c r="K3935" s="1"/>
    </row>
    <row r="3936" spans="1:11" x14ac:dyDescent="0.25">
      <c r="A3936" t="e">
        <f>-LqfhvHyMfQuseoT1v1K</f>
        <v>#NAME?</v>
      </c>
      <c r="B3936">
        <v>415.625</v>
      </c>
      <c r="C3936">
        <v>20.584240000000001</v>
      </c>
      <c r="D3936">
        <v>69</v>
      </c>
      <c r="E3936">
        <v>0</v>
      </c>
      <c r="F3936">
        <v>0</v>
      </c>
      <c r="G3936">
        <v>8</v>
      </c>
      <c r="H3936" s="4">
        <v>1570544005003</v>
      </c>
      <c r="I3936">
        <v>533.0625</v>
      </c>
      <c r="J3936" s="9">
        <f t="shared" si="61"/>
        <v>43746.884317164346</v>
      </c>
      <c r="K3936" s="1"/>
    </row>
    <row r="3937" spans="1:11" x14ac:dyDescent="0.25">
      <c r="A3937" t="e">
        <f>-Lqfhx13PoNLY6MFjDK9</f>
        <v>#NAME?</v>
      </c>
      <c r="B3937">
        <v>393.75</v>
      </c>
      <c r="C3937">
        <v>20.531590000000001</v>
      </c>
      <c r="D3937">
        <v>68</v>
      </c>
      <c r="E3937">
        <v>0</v>
      </c>
      <c r="F3937">
        <v>0</v>
      </c>
      <c r="G3937">
        <v>9</v>
      </c>
      <c r="H3937" s="4">
        <v>1570544012216</v>
      </c>
      <c r="I3937">
        <v>526.6875</v>
      </c>
      <c r="J3937" s="9">
        <f t="shared" si="61"/>
        <v>43746.884400648145</v>
      </c>
      <c r="K3937" s="1"/>
    </row>
    <row r="3938" spans="1:11" x14ac:dyDescent="0.25">
      <c r="A3938" t="e">
        <f>-LqfhyUzIknNHrMrQprR</f>
        <v>#NAME?</v>
      </c>
      <c r="B3938">
        <v>393.75</v>
      </c>
      <c r="C3938">
        <v>20.584240000000001</v>
      </c>
      <c r="D3938">
        <v>64</v>
      </c>
      <c r="E3938">
        <v>0</v>
      </c>
      <c r="F3938">
        <v>0</v>
      </c>
      <c r="G3938">
        <v>4</v>
      </c>
      <c r="H3938" s="4">
        <v>1570544018394</v>
      </c>
      <c r="I3938">
        <v>526.6875</v>
      </c>
      <c r="J3938" s="9">
        <f t="shared" si="61"/>
        <v>43746.884472152778</v>
      </c>
      <c r="K3938" s="1"/>
    </row>
    <row r="3939" spans="1:11" x14ac:dyDescent="0.25">
      <c r="A3939" t="s">
        <v>212</v>
      </c>
      <c r="B3939">
        <v>393.75</v>
      </c>
      <c r="C3939">
        <v>20.584240000000001</v>
      </c>
      <c r="D3939">
        <v>63</v>
      </c>
      <c r="E3939">
        <v>0</v>
      </c>
      <c r="F3939">
        <v>0</v>
      </c>
      <c r="G3939">
        <v>5</v>
      </c>
      <c r="H3939" s="4">
        <v>1570544024575</v>
      </c>
      <c r="I3939">
        <v>526.6875</v>
      </c>
      <c r="J3939" s="9">
        <f t="shared" si="61"/>
        <v>43746.884543692126</v>
      </c>
      <c r="K3939" s="1"/>
    </row>
    <row r="3940" spans="1:11" x14ac:dyDescent="0.25">
      <c r="A3940" t="e">
        <f>-Lqfi0Xy8VMmSALIZYwg</f>
        <v>#NAME?</v>
      </c>
      <c r="B3940">
        <v>393.75</v>
      </c>
      <c r="C3940">
        <v>20.584240000000001</v>
      </c>
      <c r="D3940">
        <v>63</v>
      </c>
      <c r="E3940">
        <v>0</v>
      </c>
      <c r="F3940">
        <v>0</v>
      </c>
      <c r="G3940">
        <v>6</v>
      </c>
      <c r="H3940" s="4">
        <v>1570544030755</v>
      </c>
      <c r="I3940">
        <v>526.6875</v>
      </c>
      <c r="J3940" s="9">
        <f t="shared" si="61"/>
        <v>43746.884615219904</v>
      </c>
      <c r="K3940" s="1"/>
    </row>
    <row r="3941" spans="1:11" x14ac:dyDescent="0.25">
      <c r="A3941" t="e">
        <f>-Lqfi22CfoS9j0DF2Da3</f>
        <v>#NAME?</v>
      </c>
      <c r="B3941">
        <v>393.75</v>
      </c>
      <c r="C3941">
        <v>20.531590000000001</v>
      </c>
      <c r="D3941">
        <v>64</v>
      </c>
      <c r="E3941">
        <v>0</v>
      </c>
      <c r="F3941">
        <v>0</v>
      </c>
      <c r="G3941">
        <v>5</v>
      </c>
      <c r="H3941" s="4">
        <v>1570544036954</v>
      </c>
      <c r="I3941">
        <v>526.6875</v>
      </c>
      <c r="J3941" s="9">
        <f t="shared" si="61"/>
        <v>43746.884686967591</v>
      </c>
      <c r="K3941" s="1"/>
    </row>
    <row r="3942" spans="1:11" x14ac:dyDescent="0.25">
      <c r="A3942" t="e">
        <f>-Lqfi3b4wZ0TsS5kWBAN</f>
        <v>#NAME?</v>
      </c>
      <c r="B3942">
        <v>393.75</v>
      </c>
      <c r="C3942">
        <v>20.531590000000001</v>
      </c>
      <c r="D3942">
        <v>64</v>
      </c>
      <c r="E3942">
        <v>0</v>
      </c>
      <c r="F3942">
        <v>0</v>
      </c>
      <c r="G3942">
        <v>4</v>
      </c>
      <c r="H3942" s="4">
        <v>1570544043136</v>
      </c>
      <c r="I3942">
        <v>526.6875</v>
      </c>
      <c r="J3942" s="9">
        <f t="shared" si="61"/>
        <v>43746.884758518521</v>
      </c>
      <c r="K3942" s="1"/>
    </row>
    <row r="3943" spans="1:11" x14ac:dyDescent="0.25">
      <c r="A3943" t="e">
        <f>-Lqfi5K39ek9ZC7ycSX5</f>
        <v>#NAME?</v>
      </c>
      <c r="B3943">
        <v>393.75</v>
      </c>
      <c r="C3943">
        <v>20.531590000000001</v>
      </c>
      <c r="D3943">
        <v>63</v>
      </c>
      <c r="E3943">
        <v>0</v>
      </c>
      <c r="F3943">
        <v>0</v>
      </c>
      <c r="G3943">
        <v>0</v>
      </c>
      <c r="H3943" s="4">
        <v>1570544050326</v>
      </c>
      <c r="I3943">
        <v>526.6875</v>
      </c>
      <c r="J3943" s="9">
        <f t="shared" si="61"/>
        <v>43746.884841736108</v>
      </c>
      <c r="K3943" s="1"/>
    </row>
    <row r="3944" spans="1:11" x14ac:dyDescent="0.25">
      <c r="A3944" t="e">
        <f>-Lqfi6ryqzkz6Xv6xT7a</f>
        <v>#NAME?</v>
      </c>
      <c r="B3944">
        <v>393.75</v>
      </c>
      <c r="C3944">
        <v>20.584240000000001</v>
      </c>
      <c r="D3944">
        <v>63</v>
      </c>
      <c r="E3944">
        <v>0</v>
      </c>
      <c r="F3944">
        <v>0</v>
      </c>
      <c r="G3944">
        <v>0</v>
      </c>
      <c r="H3944" s="4">
        <v>1570544056525</v>
      </c>
      <c r="I3944">
        <v>526.6875</v>
      </c>
      <c r="J3944" s="9">
        <f t="shared" si="61"/>
        <v>43746.884913483795</v>
      </c>
      <c r="K3944" s="1"/>
    </row>
    <row r="3945" spans="1:11" x14ac:dyDescent="0.25">
      <c r="A3945" t="e">
        <f>-Lqfi8_yDUfQfizXRLr9</f>
        <v>#NAME?</v>
      </c>
      <c r="B3945">
        <v>393.75</v>
      </c>
      <c r="C3945">
        <v>20.531590000000001</v>
      </c>
      <c r="D3945">
        <v>62</v>
      </c>
      <c r="E3945">
        <v>0</v>
      </c>
      <c r="F3945">
        <v>0</v>
      </c>
      <c r="G3945">
        <v>1</v>
      </c>
      <c r="H3945" s="4">
        <v>1570544063736</v>
      </c>
      <c r="I3945">
        <v>526.6875</v>
      </c>
      <c r="J3945" s="9">
        <f t="shared" si="61"/>
        <v>43746.884996944442</v>
      </c>
      <c r="K3945" s="1"/>
    </row>
    <row r="3946" spans="1:11" x14ac:dyDescent="0.25">
      <c r="A3946" t="e">
        <f>-LqfiAA4XC3o37b-YTBD</f>
        <v>#NAME?</v>
      </c>
      <c r="B3946">
        <v>393.75</v>
      </c>
      <c r="C3946">
        <v>20.584240000000001</v>
      </c>
      <c r="D3946">
        <v>63</v>
      </c>
      <c r="E3946">
        <v>0</v>
      </c>
      <c r="F3946">
        <v>0</v>
      </c>
      <c r="G3946">
        <v>10</v>
      </c>
      <c r="H3946" s="4">
        <v>1570544069915</v>
      </c>
      <c r="I3946">
        <v>526.5</v>
      </c>
      <c r="J3946" s="9">
        <f t="shared" si="61"/>
        <v>43746.885068460644</v>
      </c>
      <c r="K3946" s="1"/>
    </row>
    <row r="3947" spans="1:11" x14ac:dyDescent="0.25">
      <c r="A3947" t="e">
        <f>-LqfiBt4BrgV7RdloJ38</f>
        <v>#NAME?</v>
      </c>
      <c r="B3947">
        <v>393.75</v>
      </c>
      <c r="C3947">
        <v>20.531590000000001</v>
      </c>
      <c r="D3947">
        <v>63</v>
      </c>
      <c r="E3947">
        <v>0</v>
      </c>
      <c r="F3947">
        <v>0</v>
      </c>
      <c r="G3947">
        <v>6</v>
      </c>
      <c r="H3947" s="4">
        <v>1570544077134</v>
      </c>
      <c r="I3947">
        <v>526.875</v>
      </c>
      <c r="J3947" s="9">
        <f t="shared" si="61"/>
        <v>43746.885152013885</v>
      </c>
      <c r="K3947" s="1"/>
    </row>
    <row r="3948" spans="1:11" x14ac:dyDescent="0.25">
      <c r="A3948" t="e">
        <f>-LqfiDLzzcvu6h20L9SQ</f>
        <v>#NAME?</v>
      </c>
      <c r="B3948">
        <v>393.75</v>
      </c>
      <c r="C3948">
        <v>20.584240000000001</v>
      </c>
      <c r="D3948">
        <v>64</v>
      </c>
      <c r="E3948">
        <v>0</v>
      </c>
      <c r="F3948">
        <v>0</v>
      </c>
      <c r="G3948">
        <v>2</v>
      </c>
      <c r="H3948" s="4">
        <v>1570544083297</v>
      </c>
      <c r="I3948">
        <v>526.6875</v>
      </c>
      <c r="J3948" s="9">
        <f t="shared" si="61"/>
        <v>43746.885223344907</v>
      </c>
      <c r="K3948" s="1"/>
    </row>
    <row r="3949" spans="1:11" x14ac:dyDescent="0.25">
      <c r="A3949" t="e">
        <f>-LqfiEw5x4Uol5I9Tc1i</f>
        <v>#NAME?</v>
      </c>
      <c r="B3949">
        <v>393.75</v>
      </c>
      <c r="C3949">
        <v>20.584240000000001</v>
      </c>
      <c r="D3949">
        <v>64</v>
      </c>
      <c r="E3949">
        <v>0</v>
      </c>
      <c r="F3949">
        <v>0</v>
      </c>
      <c r="G3949">
        <v>8</v>
      </c>
      <c r="H3949" s="4">
        <v>1570544089506</v>
      </c>
      <c r="I3949">
        <v>526.6875</v>
      </c>
      <c r="J3949" s="9">
        <f t="shared" si="61"/>
        <v>43746.885295208333</v>
      </c>
      <c r="K3949" s="1"/>
    </row>
    <row r="3950" spans="1:11" x14ac:dyDescent="0.25">
      <c r="A3950" t="e">
        <f>-LqfiGe45W4RoAK8vocH</f>
        <v>#NAME?</v>
      </c>
      <c r="B3950">
        <v>393.75</v>
      </c>
      <c r="C3950">
        <v>20.584240000000001</v>
      </c>
      <c r="D3950">
        <v>65</v>
      </c>
      <c r="E3950">
        <v>0</v>
      </c>
      <c r="F3950">
        <v>0</v>
      </c>
      <c r="G3950">
        <v>3</v>
      </c>
      <c r="H3950" s="4">
        <v>1570544096724</v>
      </c>
      <c r="I3950">
        <v>526.6875</v>
      </c>
      <c r="J3950" s="9">
        <f t="shared" si="61"/>
        <v>43746.885378749997</v>
      </c>
      <c r="K3950" s="1"/>
    </row>
    <row r="3951" spans="1:11" x14ac:dyDescent="0.25">
      <c r="A3951" t="e">
        <f>-LqfiIYiLJ36PvA6qBAa</f>
        <v>#NAME?</v>
      </c>
      <c r="B3951">
        <v>393.75</v>
      </c>
      <c r="C3951">
        <v>20.531590000000001</v>
      </c>
      <c r="D3951">
        <v>65</v>
      </c>
      <c r="E3951">
        <v>0</v>
      </c>
      <c r="F3951">
        <v>0</v>
      </c>
      <c r="G3951">
        <v>13</v>
      </c>
      <c r="H3951" s="4">
        <v>1570544102896</v>
      </c>
      <c r="I3951">
        <v>526.6875</v>
      </c>
      <c r="J3951" s="9">
        <f t="shared" si="61"/>
        <v>43746.885450185182</v>
      </c>
      <c r="K3951" s="1"/>
    </row>
    <row r="3952" spans="1:11" x14ac:dyDescent="0.25">
      <c r="A3952" t="e">
        <f>-LqfiKA6fw6CHYXQOmAN</f>
        <v>#NAME?</v>
      </c>
      <c r="B3952">
        <v>412.5</v>
      </c>
      <c r="C3952">
        <v>20.584240000000001</v>
      </c>
      <c r="D3952">
        <v>66</v>
      </c>
      <c r="E3952">
        <v>0</v>
      </c>
      <c r="F3952">
        <v>0</v>
      </c>
      <c r="G3952">
        <v>0</v>
      </c>
      <c r="H3952" s="4">
        <v>1570544111125</v>
      </c>
      <c r="I3952">
        <v>532.125</v>
      </c>
      <c r="J3952" s="9">
        <f t="shared" si="61"/>
        <v>43746.885545428238</v>
      </c>
      <c r="K3952" s="1"/>
    </row>
    <row r="3953" spans="1:11" x14ac:dyDescent="0.25">
      <c r="A3953" t="e">
        <f>-LqfiLe5Jn0dHQUWHPTT</f>
        <v>#NAME?</v>
      </c>
      <c r="B3953">
        <v>393.75</v>
      </c>
      <c r="C3953">
        <v>20.531590000000001</v>
      </c>
      <c r="D3953">
        <v>66</v>
      </c>
      <c r="E3953">
        <v>0</v>
      </c>
      <c r="F3953">
        <v>0</v>
      </c>
      <c r="G3953">
        <v>4</v>
      </c>
      <c r="H3953" s="4">
        <v>1570544117325</v>
      </c>
      <c r="I3953">
        <v>526.6875</v>
      </c>
      <c r="J3953" s="9">
        <f t="shared" si="61"/>
        <v>43746.885617187501</v>
      </c>
      <c r="K3953" s="1"/>
    </row>
    <row r="3954" spans="1:11" x14ac:dyDescent="0.25">
      <c r="A3954" t="e">
        <f>-LqfiND6OZCXuNBaiRAL</f>
        <v>#NAME?</v>
      </c>
      <c r="B3954">
        <v>393.75</v>
      </c>
      <c r="C3954">
        <v>20.584240000000001</v>
      </c>
      <c r="D3954">
        <v>66</v>
      </c>
      <c r="E3954">
        <v>0</v>
      </c>
      <c r="F3954">
        <v>0</v>
      </c>
      <c r="G3954">
        <v>11</v>
      </c>
      <c r="H3954" s="4">
        <v>1570544123516</v>
      </c>
      <c r="I3954">
        <v>526.5</v>
      </c>
      <c r="J3954" s="9">
        <f t="shared" si="61"/>
        <v>43746.885688842587</v>
      </c>
      <c r="K3954" s="1"/>
    </row>
    <row r="3955" spans="1:11" x14ac:dyDescent="0.25">
      <c r="A3955" t="e">
        <f>-LqfiOh4kOFovtgiv9xw</f>
        <v>#NAME?</v>
      </c>
      <c r="B3955">
        <v>393.75</v>
      </c>
      <c r="C3955">
        <v>20.531590000000001</v>
      </c>
      <c r="D3955">
        <v>65</v>
      </c>
      <c r="E3955">
        <v>0</v>
      </c>
      <c r="F3955">
        <v>0</v>
      </c>
      <c r="G3955">
        <v>9</v>
      </c>
      <c r="H3955" s="4">
        <v>1570544129684</v>
      </c>
      <c r="I3955">
        <v>526.6875</v>
      </c>
      <c r="J3955" s="9">
        <f t="shared" si="61"/>
        <v>43746.885760231475</v>
      </c>
      <c r="K3955" s="1"/>
    </row>
    <row r="3956" spans="1:11" x14ac:dyDescent="0.25">
      <c r="A3956" t="e">
        <f>-LqfiQG5mLu2J1RRQUEq</f>
        <v>#NAME?</v>
      </c>
      <c r="B3956">
        <v>412.5</v>
      </c>
      <c r="C3956">
        <v>20.584240000000001</v>
      </c>
      <c r="D3956">
        <v>65</v>
      </c>
      <c r="E3956">
        <v>0</v>
      </c>
      <c r="F3956">
        <v>0</v>
      </c>
      <c r="G3956">
        <v>9</v>
      </c>
      <c r="H3956" s="4">
        <v>1570544135876</v>
      </c>
      <c r="I3956">
        <v>532.3125</v>
      </c>
      <c r="J3956" s="9">
        <f t="shared" si="61"/>
        <v>43746.885831898144</v>
      </c>
      <c r="K3956" s="1"/>
    </row>
    <row r="3957" spans="1:11" x14ac:dyDescent="0.25">
      <c r="A3957" t="e">
        <f>-LqfiRzDcUH9AeqDOR_t</f>
        <v>#NAME?</v>
      </c>
      <c r="B3957">
        <v>393.75</v>
      </c>
      <c r="C3957">
        <v>20.584240000000001</v>
      </c>
      <c r="D3957">
        <v>66</v>
      </c>
      <c r="E3957">
        <v>0</v>
      </c>
      <c r="F3957">
        <v>0</v>
      </c>
      <c r="G3957">
        <v>10</v>
      </c>
      <c r="H3957" s="4">
        <v>1570544143097</v>
      </c>
      <c r="I3957">
        <v>526.6875</v>
      </c>
      <c r="J3957" s="9">
        <f t="shared" si="61"/>
        <v>43746.885915474537</v>
      </c>
      <c r="K3957" s="1"/>
    </row>
    <row r="3958" spans="1:11" x14ac:dyDescent="0.25">
      <c r="A3958" t="e">
        <f>-LqfiTRzmy0RdNUT_4h8</f>
        <v>#NAME?</v>
      </c>
      <c r="B3958">
        <v>393.75</v>
      </c>
      <c r="C3958">
        <v>20.584240000000001</v>
      </c>
      <c r="D3958">
        <v>67</v>
      </c>
      <c r="E3958">
        <v>0</v>
      </c>
      <c r="F3958">
        <v>0</v>
      </c>
      <c r="G3958">
        <v>15</v>
      </c>
      <c r="H3958" s="4">
        <v>1570544149274</v>
      </c>
      <c r="I3958">
        <v>526.6875</v>
      </c>
      <c r="J3958" s="9">
        <f t="shared" si="61"/>
        <v>43746.885986967587</v>
      </c>
      <c r="K3958" s="1"/>
    </row>
    <row r="3959" spans="1:11" x14ac:dyDescent="0.25">
      <c r="A3959" t="e">
        <f>-LqfiV14RLkR3jzchw2i</f>
        <v>#NAME?</v>
      </c>
      <c r="B3959">
        <v>393.75</v>
      </c>
      <c r="C3959">
        <v>20.531590000000001</v>
      </c>
      <c r="D3959">
        <v>66</v>
      </c>
      <c r="E3959">
        <v>0</v>
      </c>
      <c r="F3959">
        <v>0</v>
      </c>
      <c r="G3959">
        <v>6</v>
      </c>
      <c r="H3959" s="4">
        <v>1570544155455</v>
      </c>
      <c r="I3959">
        <v>526.6875</v>
      </c>
      <c r="J3959" s="9">
        <f t="shared" si="61"/>
        <v>43746.886058506941</v>
      </c>
      <c r="K3959" s="1"/>
    </row>
    <row r="3960" spans="1:11" x14ac:dyDescent="0.25">
      <c r="A3960" t="e">
        <f>-LqfiWV7tw836_PtCxpt</f>
        <v>#NAME?</v>
      </c>
      <c r="B3960">
        <v>393.75</v>
      </c>
      <c r="C3960">
        <v>20.531590000000001</v>
      </c>
      <c r="D3960">
        <v>66</v>
      </c>
      <c r="E3960">
        <v>0</v>
      </c>
      <c r="F3960">
        <v>0</v>
      </c>
      <c r="G3960">
        <v>1</v>
      </c>
      <c r="H3960" s="4">
        <v>1570544161636</v>
      </c>
      <c r="I3960">
        <v>526.6875</v>
      </c>
      <c r="J3960" s="9">
        <f t="shared" si="61"/>
        <v>43746.886130046296</v>
      </c>
      <c r="K3960" s="1"/>
    </row>
    <row r="3961" spans="1:11" x14ac:dyDescent="0.25">
      <c r="A3961" t="e">
        <f>-LqfiXyyZVn4LRF1Uqbk</f>
        <v>#NAME?</v>
      </c>
      <c r="B3961">
        <v>393.75</v>
      </c>
      <c r="C3961">
        <v>20.584240000000001</v>
      </c>
      <c r="D3961">
        <v>67</v>
      </c>
      <c r="E3961">
        <v>0</v>
      </c>
      <c r="F3961">
        <v>0</v>
      </c>
      <c r="G3961">
        <v>0</v>
      </c>
      <c r="H3961" s="4">
        <v>1570544167844</v>
      </c>
      <c r="I3961">
        <v>526.6875</v>
      </c>
      <c r="J3961" s="9">
        <f t="shared" si="61"/>
        <v>43746.886201898145</v>
      </c>
      <c r="K3961" s="1"/>
    </row>
    <row r="3962" spans="1:11" x14ac:dyDescent="0.25">
      <c r="A3962" t="e">
        <f>-LqfiZnD21Oc9HRdrzNX</f>
        <v>#NAME?</v>
      </c>
      <c r="B3962">
        <v>393.75</v>
      </c>
      <c r="C3962">
        <v>20.531590000000001</v>
      </c>
      <c r="D3962">
        <v>66</v>
      </c>
      <c r="E3962">
        <v>0</v>
      </c>
      <c r="F3962">
        <v>0</v>
      </c>
      <c r="G3962">
        <v>13</v>
      </c>
      <c r="H3962" s="4">
        <v>1570544175147</v>
      </c>
      <c r="I3962">
        <v>526.5</v>
      </c>
      <c r="J3962" s="9">
        <f t="shared" si="61"/>
        <v>43746.886286423607</v>
      </c>
      <c r="K3962" s="1"/>
    </row>
    <row r="3963" spans="1:11" x14ac:dyDescent="0.25">
      <c r="A3963" t="e">
        <f>-Lqfiaa62XJkuxPsQown</f>
        <v>#NAME?</v>
      </c>
      <c r="B3963">
        <v>393.75</v>
      </c>
      <c r="C3963">
        <v>20.531590000000001</v>
      </c>
      <c r="D3963">
        <v>66</v>
      </c>
      <c r="E3963">
        <v>0</v>
      </c>
      <c r="F3963">
        <v>0</v>
      </c>
      <c r="G3963">
        <v>9</v>
      </c>
      <c r="H3963" s="4">
        <v>1570544182256</v>
      </c>
      <c r="I3963">
        <v>526.6875</v>
      </c>
      <c r="J3963" s="9">
        <f t="shared" si="61"/>
        <v>43746.886368703701</v>
      </c>
      <c r="K3963" s="1"/>
    </row>
    <row r="3964" spans="1:11" x14ac:dyDescent="0.25">
      <c r="A3964" t="e">
        <f>-LqficJ5Uy3MYmNzcJXc</f>
        <v>#NAME?</v>
      </c>
      <c r="B3964">
        <v>393.75</v>
      </c>
      <c r="C3964">
        <v>20.584240000000001</v>
      </c>
      <c r="D3964">
        <v>66</v>
      </c>
      <c r="E3964">
        <v>0</v>
      </c>
      <c r="F3964">
        <v>0</v>
      </c>
      <c r="G3964">
        <v>9</v>
      </c>
      <c r="H3964" s="4">
        <v>1570544189465</v>
      </c>
      <c r="I3964">
        <v>526.6875</v>
      </c>
      <c r="J3964" s="9">
        <f t="shared" si="61"/>
        <v>43746.886452141196</v>
      </c>
      <c r="K3964" s="1"/>
    </row>
    <row r="3965" spans="1:11" x14ac:dyDescent="0.25">
      <c r="A3965" t="e">
        <f>-Lqfidn6CuT_AD0_UFPa</f>
        <v>#NAME?</v>
      </c>
      <c r="B3965">
        <v>393.75</v>
      </c>
      <c r="C3965">
        <v>20.531590000000001</v>
      </c>
      <c r="D3965">
        <v>68</v>
      </c>
      <c r="E3965">
        <v>0</v>
      </c>
      <c r="F3965">
        <v>0</v>
      </c>
      <c r="G3965">
        <v>7</v>
      </c>
      <c r="H3965" s="4">
        <v>1570544195666</v>
      </c>
      <c r="I3965">
        <v>526.6875</v>
      </c>
      <c r="J3965" s="9">
        <f t="shared" si="61"/>
        <v>43746.886523912035</v>
      </c>
      <c r="K3965" s="1"/>
    </row>
    <row r="3966" spans="1:11" x14ac:dyDescent="0.25">
      <c r="A3966" t="e">
        <f>-LqfifM43wlO0Vxne02G</f>
        <v>#NAME?</v>
      </c>
      <c r="B3966">
        <v>393.75</v>
      </c>
      <c r="C3966">
        <v>20.531590000000001</v>
      </c>
      <c r="D3966">
        <v>68</v>
      </c>
      <c r="E3966">
        <v>0</v>
      </c>
      <c r="F3966">
        <v>0</v>
      </c>
      <c r="G3966">
        <v>11</v>
      </c>
      <c r="H3966" s="4">
        <v>1570544201836</v>
      </c>
      <c r="I3966">
        <v>526.6875</v>
      </c>
      <c r="J3966" s="9">
        <f t="shared" si="61"/>
        <v>43746.886595324067</v>
      </c>
      <c r="K3966" s="1"/>
    </row>
    <row r="3967" spans="1:11" x14ac:dyDescent="0.25">
      <c r="A3967" t="e">
        <f>-Lqfih43p8xyQG1frDQD</f>
        <v>#NAME?</v>
      </c>
      <c r="B3967">
        <v>393.75</v>
      </c>
      <c r="C3967">
        <v>20.584240000000001</v>
      </c>
      <c r="D3967">
        <v>67</v>
      </c>
      <c r="E3967">
        <v>0</v>
      </c>
      <c r="F3967">
        <v>0</v>
      </c>
      <c r="G3967">
        <v>9</v>
      </c>
      <c r="H3967" s="4">
        <v>1570544209046</v>
      </c>
      <c r="I3967">
        <v>526.6875</v>
      </c>
      <c r="J3967" s="9">
        <f t="shared" si="61"/>
        <v>43746.886678773146</v>
      </c>
      <c r="K3967" s="1"/>
    </row>
    <row r="3968" spans="1:11" x14ac:dyDescent="0.25">
      <c r="A3968" t="e">
        <f>-LqfiitOWeQHxQTpMQNE</f>
        <v>#NAME?</v>
      </c>
      <c r="B3968">
        <v>393.75</v>
      </c>
      <c r="C3968">
        <v>20.531590000000001</v>
      </c>
      <c r="D3968">
        <v>67</v>
      </c>
      <c r="E3968">
        <v>0</v>
      </c>
      <c r="F3968">
        <v>0</v>
      </c>
      <c r="G3968">
        <v>10</v>
      </c>
      <c r="H3968" s="4">
        <v>1570544215225</v>
      </c>
      <c r="I3968">
        <v>526.6875</v>
      </c>
      <c r="J3968" s="9">
        <f t="shared" si="61"/>
        <v>43746.886750289348</v>
      </c>
      <c r="K3968" s="1"/>
    </row>
    <row r="3969" spans="1:11" x14ac:dyDescent="0.25">
      <c r="A3969" t="e">
        <f>-Lqfika55rwKa28tpgov</f>
        <v>#NAME?</v>
      </c>
      <c r="B3969">
        <v>393.75</v>
      </c>
      <c r="C3969">
        <v>20.531590000000001</v>
      </c>
      <c r="D3969">
        <v>67</v>
      </c>
      <c r="E3969">
        <v>0</v>
      </c>
      <c r="F3969">
        <v>0</v>
      </c>
      <c r="G3969">
        <v>2</v>
      </c>
      <c r="H3969" s="4">
        <v>1570544223451</v>
      </c>
      <c r="I3969">
        <v>526.6875</v>
      </c>
      <c r="J3969" s="9">
        <f t="shared" si="61"/>
        <v>43746.886845497684</v>
      </c>
      <c r="K3969" s="1"/>
    </row>
    <row r="3970" spans="1:11" x14ac:dyDescent="0.25">
      <c r="A3970" t="e">
        <f>-Lqfim95mrih8OqRDnwf</f>
        <v>#NAME?</v>
      </c>
      <c r="B3970">
        <v>393.75</v>
      </c>
      <c r="C3970">
        <v>20.531590000000001</v>
      </c>
      <c r="D3970">
        <v>67</v>
      </c>
      <c r="E3970">
        <v>0</v>
      </c>
      <c r="F3970">
        <v>0</v>
      </c>
      <c r="G3970">
        <v>11</v>
      </c>
      <c r="H3970" s="4">
        <v>1570544229656</v>
      </c>
      <c r="I3970">
        <v>526.6875</v>
      </c>
      <c r="J3970" s="9">
        <f t="shared" si="61"/>
        <v>43746.886917314812</v>
      </c>
      <c r="K3970" s="1"/>
    </row>
    <row r="3971" spans="1:11" x14ac:dyDescent="0.25">
      <c r="A3971" t="e">
        <f>-LqfinsHF0_r3Bf8YGrP</f>
        <v>#NAME?</v>
      </c>
      <c r="B3971">
        <v>393.75</v>
      </c>
      <c r="C3971">
        <v>20.531590000000001</v>
      </c>
      <c r="D3971">
        <v>68</v>
      </c>
      <c r="E3971">
        <v>0</v>
      </c>
      <c r="F3971">
        <v>0</v>
      </c>
      <c r="G3971">
        <v>1</v>
      </c>
      <c r="H3971" s="4">
        <v>1570544236887</v>
      </c>
      <c r="I3971">
        <v>526.6875</v>
      </c>
      <c r="J3971" s="9">
        <f t="shared" ref="J3971:J4034" si="62">(H3971/86400000)+25569+(7/24)</f>
        <v>43746.887001006944</v>
      </c>
      <c r="K3971" s="1"/>
    </row>
    <row r="3972" spans="1:11" x14ac:dyDescent="0.25">
      <c r="A3972" t="e">
        <f>-Lqfipf5_mE8xjpu1QfC</f>
        <v>#NAME?</v>
      </c>
      <c r="B3972">
        <v>393.75</v>
      </c>
      <c r="C3972">
        <v>20.584240000000001</v>
      </c>
      <c r="D3972">
        <v>63</v>
      </c>
      <c r="E3972">
        <v>0</v>
      </c>
      <c r="F3972">
        <v>0</v>
      </c>
      <c r="G3972">
        <v>14</v>
      </c>
      <c r="H3972" s="4">
        <v>1570544244088</v>
      </c>
      <c r="I3972">
        <v>526.5</v>
      </c>
      <c r="J3972" s="9">
        <f t="shared" si="62"/>
        <v>43746.887084351845</v>
      </c>
      <c r="K3972" s="1"/>
    </row>
    <row r="3973" spans="1:11" x14ac:dyDescent="0.25">
      <c r="A3973" t="e">
        <f>-Lqfirc4twzM32AuMg1D</f>
        <v>#NAME?</v>
      </c>
      <c r="B3973">
        <v>393.75</v>
      </c>
      <c r="C3973">
        <v>20.531590000000001</v>
      </c>
      <c r="D3973">
        <v>64</v>
      </c>
      <c r="E3973">
        <v>0</v>
      </c>
      <c r="F3973">
        <v>0</v>
      </c>
      <c r="G3973">
        <v>2</v>
      </c>
      <c r="H3973" s="4">
        <v>1570544252230</v>
      </c>
      <c r="I3973">
        <v>526.6875</v>
      </c>
      <c r="J3973" s="9">
        <f t="shared" si="62"/>
        <v>43746.88717858796</v>
      </c>
      <c r="K3973" s="1"/>
    </row>
    <row r="3974" spans="1:11" x14ac:dyDescent="0.25">
      <c r="A3974" t="e">
        <f>-LqfitB4Ic8w58NwhlDM</f>
        <v>#NAME?</v>
      </c>
      <c r="B3974">
        <v>393.75</v>
      </c>
      <c r="C3974">
        <v>20.531590000000001</v>
      </c>
      <c r="D3974">
        <v>65</v>
      </c>
      <c r="E3974">
        <v>0</v>
      </c>
      <c r="F3974">
        <v>0</v>
      </c>
      <c r="G3974">
        <v>6</v>
      </c>
      <c r="H3974" s="4">
        <v>1570544258506</v>
      </c>
      <c r="I3974">
        <v>526.6875</v>
      </c>
      <c r="J3974" s="9">
        <f t="shared" si="62"/>
        <v>43746.88725122685</v>
      </c>
      <c r="K3974" s="1"/>
    </row>
    <row r="3975" spans="1:11" x14ac:dyDescent="0.25">
      <c r="A3975" t="e">
        <f>-Lqfiuf5mvGnwcRygFZV</f>
        <v>#NAME?</v>
      </c>
      <c r="B3975">
        <v>393.75</v>
      </c>
      <c r="C3975">
        <v>20.531590000000001</v>
      </c>
      <c r="D3975">
        <v>65</v>
      </c>
      <c r="E3975">
        <v>0</v>
      </c>
      <c r="F3975">
        <v>0</v>
      </c>
      <c r="G3975">
        <v>2</v>
      </c>
      <c r="H3975" s="4">
        <v>1570544264674</v>
      </c>
      <c r="I3975">
        <v>526.6875</v>
      </c>
      <c r="J3975" s="9">
        <f t="shared" si="62"/>
        <v>43746.887322615738</v>
      </c>
      <c r="K3975" s="1"/>
    </row>
    <row r="3976" spans="1:11" x14ac:dyDescent="0.25">
      <c r="A3976" t="e">
        <f>-Lqfiw95ry7m1AIPZ6WV</f>
        <v>#NAME?</v>
      </c>
      <c r="B3976">
        <v>393.75</v>
      </c>
      <c r="C3976">
        <v>20.531590000000001</v>
      </c>
      <c r="D3976">
        <v>69</v>
      </c>
      <c r="E3976">
        <v>0</v>
      </c>
      <c r="F3976">
        <v>0</v>
      </c>
      <c r="G3976">
        <v>11</v>
      </c>
      <c r="H3976" s="4">
        <v>1570544270876</v>
      </c>
      <c r="I3976">
        <v>526.6875</v>
      </c>
      <c r="J3976" s="9">
        <f t="shared" si="62"/>
        <v>43746.887394398145</v>
      </c>
      <c r="K3976" s="1"/>
    </row>
    <row r="3977" spans="1:11" x14ac:dyDescent="0.25">
      <c r="A3977" t="e">
        <f>-Lqfixi4mtNTHk5b4aCj</f>
        <v>#NAME?</v>
      </c>
      <c r="B3977">
        <v>393.75</v>
      </c>
      <c r="C3977">
        <v>20.531590000000001</v>
      </c>
      <c r="D3977">
        <v>69</v>
      </c>
      <c r="E3977">
        <v>0</v>
      </c>
      <c r="F3977">
        <v>0</v>
      </c>
      <c r="G3977">
        <v>9</v>
      </c>
      <c r="H3977" s="4">
        <v>1570544277055</v>
      </c>
      <c r="I3977">
        <v>526.6875</v>
      </c>
      <c r="J3977" s="9">
        <f t="shared" si="62"/>
        <v>43746.887465914355</v>
      </c>
      <c r="K3977" s="1"/>
    </row>
    <row r="3978" spans="1:11" x14ac:dyDescent="0.25">
      <c r="A3978" t="e">
        <f>-LqfizSKFLjDsz5yX6qe</f>
        <v>#NAME?</v>
      </c>
      <c r="B3978">
        <v>393.75</v>
      </c>
      <c r="C3978">
        <v>20.531590000000001</v>
      </c>
      <c r="D3978">
        <v>69</v>
      </c>
      <c r="E3978">
        <v>0</v>
      </c>
      <c r="F3978">
        <v>0</v>
      </c>
      <c r="G3978">
        <v>0</v>
      </c>
      <c r="H3978" s="4">
        <v>1570544284296</v>
      </c>
      <c r="I3978">
        <v>526.6875</v>
      </c>
      <c r="J3978" s="9">
        <f t="shared" si="62"/>
        <v>43746.887549722225</v>
      </c>
      <c r="K3978" s="1"/>
    </row>
    <row r="3979" spans="1:11" x14ac:dyDescent="0.25">
      <c r="A3979" t="s">
        <v>213</v>
      </c>
      <c r="B3979">
        <v>393.75</v>
      </c>
      <c r="C3979">
        <v>20.584240000000001</v>
      </c>
      <c r="D3979">
        <v>68</v>
      </c>
      <c r="E3979">
        <v>0</v>
      </c>
      <c r="F3979">
        <v>0</v>
      </c>
      <c r="G3979">
        <v>5</v>
      </c>
      <c r="H3979" s="4">
        <v>1570544290456</v>
      </c>
      <c r="I3979">
        <v>526.6875</v>
      </c>
      <c r="J3979" s="9">
        <f t="shared" si="62"/>
        <v>43746.887621018519</v>
      </c>
      <c r="K3979" s="1"/>
    </row>
    <row r="3980" spans="1:11" x14ac:dyDescent="0.25">
      <c r="A3980" t="e">
        <f>-Lqfj1iFCE_qhqyBHLHe</f>
        <v>#NAME?</v>
      </c>
      <c r="B3980">
        <v>412.5</v>
      </c>
      <c r="C3980">
        <v>20.531590000000001</v>
      </c>
      <c r="D3980">
        <v>69</v>
      </c>
      <c r="E3980">
        <v>0</v>
      </c>
      <c r="F3980">
        <v>0</v>
      </c>
      <c r="G3980">
        <v>0</v>
      </c>
      <c r="H3980" s="4">
        <v>1570544297686</v>
      </c>
      <c r="I3980">
        <v>532.3125</v>
      </c>
      <c r="J3980" s="9">
        <f t="shared" si="62"/>
        <v>43746.887704699075</v>
      </c>
      <c r="K3980" s="1"/>
    </row>
    <row r="3981" spans="1:11" x14ac:dyDescent="0.25">
      <c r="A3981" t="e">
        <f>-Lqfj3W4jC5LK0wgxjhb</f>
        <v>#NAME?</v>
      </c>
      <c r="B3981">
        <v>393.75</v>
      </c>
      <c r="C3981">
        <v>20.531590000000001</v>
      </c>
      <c r="D3981">
        <v>69</v>
      </c>
      <c r="E3981">
        <v>0</v>
      </c>
      <c r="F3981">
        <v>0</v>
      </c>
      <c r="G3981">
        <v>12</v>
      </c>
      <c r="H3981" s="4">
        <v>1570544304885</v>
      </c>
      <c r="I3981">
        <v>526.6875</v>
      </c>
      <c r="J3981" s="9">
        <f t="shared" si="62"/>
        <v>43746.887788020831</v>
      </c>
      <c r="K3981" s="1"/>
    </row>
    <row r="3982" spans="1:11" x14ac:dyDescent="0.25">
      <c r="A3982" t="e">
        <f>-Lqfj5CCpUIB_AWcFi69</f>
        <v>#NAME?</v>
      </c>
      <c r="B3982">
        <v>393.75</v>
      </c>
      <c r="C3982">
        <v>20.478950000000001</v>
      </c>
      <c r="D3982">
        <v>69</v>
      </c>
      <c r="E3982">
        <v>0</v>
      </c>
      <c r="F3982">
        <v>0</v>
      </c>
      <c r="G3982">
        <v>11</v>
      </c>
      <c r="H3982" s="4">
        <v>1570544312085</v>
      </c>
      <c r="I3982">
        <v>526.6875</v>
      </c>
      <c r="J3982" s="9">
        <f t="shared" si="62"/>
        <v>43746.887871354164</v>
      </c>
      <c r="K3982" s="1"/>
    </row>
    <row r="3983" spans="1:11" x14ac:dyDescent="0.25">
      <c r="A3983" t="e">
        <f>-Lqfj6n5GPOu_itXTiQV</f>
        <v>#NAME?</v>
      </c>
      <c r="B3983">
        <v>393.75</v>
      </c>
      <c r="C3983">
        <v>20.584240000000001</v>
      </c>
      <c r="D3983">
        <v>69</v>
      </c>
      <c r="E3983">
        <v>0</v>
      </c>
      <c r="F3983">
        <v>0</v>
      </c>
      <c r="G3983">
        <v>4</v>
      </c>
      <c r="H3983" s="4">
        <v>1570544318276</v>
      </c>
      <c r="I3983">
        <v>526.6875</v>
      </c>
      <c r="J3983" s="9">
        <f t="shared" si="62"/>
        <v>43746.887943009257</v>
      </c>
      <c r="K3983" s="1"/>
    </row>
    <row r="3984" spans="1:11" x14ac:dyDescent="0.25">
      <c r="A3984" t="e">
        <f>-Lqfj8W5u5hrJn34ocvB</f>
        <v>#NAME?</v>
      </c>
      <c r="B3984">
        <v>393.75</v>
      </c>
      <c r="C3984">
        <v>20.584240000000001</v>
      </c>
      <c r="D3984">
        <v>69</v>
      </c>
      <c r="E3984">
        <v>0</v>
      </c>
      <c r="F3984">
        <v>0</v>
      </c>
      <c r="G3984">
        <v>6</v>
      </c>
      <c r="H3984" s="4">
        <v>1570544325496</v>
      </c>
      <c r="I3984">
        <v>526.6875</v>
      </c>
      <c r="J3984" s="9">
        <f t="shared" si="62"/>
        <v>43746.888026574066</v>
      </c>
      <c r="K3984" s="1"/>
    </row>
    <row r="3985" spans="1:11" x14ac:dyDescent="0.25">
      <c r="A3985" t="s">
        <v>214</v>
      </c>
      <c r="B3985">
        <v>412.5</v>
      </c>
      <c r="C3985">
        <v>20.531590000000001</v>
      </c>
      <c r="D3985">
        <v>69</v>
      </c>
      <c r="E3985">
        <v>0</v>
      </c>
      <c r="F3985">
        <v>0</v>
      </c>
      <c r="G3985">
        <v>12</v>
      </c>
      <c r="H3985" s="4">
        <v>1570544331676</v>
      </c>
      <c r="I3985">
        <v>532.875</v>
      </c>
      <c r="J3985" s="9">
        <f t="shared" si="62"/>
        <v>43746.888098101852</v>
      </c>
      <c r="K3985" s="1"/>
    </row>
    <row r="3986" spans="1:11" x14ac:dyDescent="0.25">
      <c r="A3986" t="e">
        <f>-LqfjB_LzmYGQXVQyXbH</f>
        <v>#NAME?</v>
      </c>
      <c r="B3986">
        <v>393.75</v>
      </c>
      <c r="C3986">
        <v>20.531590000000001</v>
      </c>
      <c r="D3986">
        <v>69</v>
      </c>
      <c r="E3986">
        <v>0</v>
      </c>
      <c r="F3986">
        <v>0</v>
      </c>
      <c r="G3986">
        <v>5</v>
      </c>
      <c r="H3986" s="4">
        <v>1570544337857</v>
      </c>
      <c r="I3986">
        <v>526.6875</v>
      </c>
      <c r="J3986" s="9">
        <f t="shared" si="62"/>
        <v>43746.888169641206</v>
      </c>
      <c r="K3986" s="1"/>
    </row>
    <row r="3987" spans="1:11" x14ac:dyDescent="0.25">
      <c r="A3987" t="e">
        <f>-LqfjDIR9cDETTaD0azo</f>
        <v>#NAME?</v>
      </c>
      <c r="B3987">
        <v>393.75</v>
      </c>
      <c r="C3987">
        <v>20.531590000000001</v>
      </c>
      <c r="D3987">
        <v>66</v>
      </c>
      <c r="E3987">
        <v>0</v>
      </c>
      <c r="F3987">
        <v>0</v>
      </c>
      <c r="G3987">
        <v>7</v>
      </c>
      <c r="H3987" s="4">
        <v>1570544345046</v>
      </c>
      <c r="I3987">
        <v>526.6875</v>
      </c>
      <c r="J3987" s="9">
        <f t="shared" si="62"/>
        <v>43746.888252847224</v>
      </c>
      <c r="K3987" s="1"/>
    </row>
    <row r="3988" spans="1:11" x14ac:dyDescent="0.25">
      <c r="A3988" t="e">
        <f>-LqfjEq6fLNh9FwOtJ-x</f>
        <v>#NAME?</v>
      </c>
      <c r="B3988">
        <v>393.75</v>
      </c>
      <c r="C3988">
        <v>20.531590000000001</v>
      </c>
      <c r="D3988">
        <v>66</v>
      </c>
      <c r="E3988">
        <v>0</v>
      </c>
      <c r="F3988">
        <v>0</v>
      </c>
      <c r="G3988">
        <v>2</v>
      </c>
      <c r="H3988" s="4">
        <v>1570544351255</v>
      </c>
      <c r="I3988">
        <v>526.6875</v>
      </c>
      <c r="J3988" s="9">
        <f t="shared" si="62"/>
        <v>43746.88832471065</v>
      </c>
      <c r="K3988" s="1"/>
    </row>
    <row r="3989" spans="1:11" x14ac:dyDescent="0.25">
      <c r="A3989" t="e">
        <f>-LqfjGZ3-fql2E6v_8Oe</f>
        <v>#NAME?</v>
      </c>
      <c r="B3989">
        <v>393.75</v>
      </c>
      <c r="C3989">
        <v>20.584240000000001</v>
      </c>
      <c r="D3989">
        <v>66</v>
      </c>
      <c r="E3989">
        <v>0</v>
      </c>
      <c r="F3989">
        <v>0</v>
      </c>
      <c r="G3989">
        <v>2</v>
      </c>
      <c r="H3989" s="4">
        <v>1570544358485</v>
      </c>
      <c r="I3989">
        <v>526.6875</v>
      </c>
      <c r="J3989" s="9">
        <f t="shared" si="62"/>
        <v>43746.888408391205</v>
      </c>
      <c r="K3989" s="1"/>
    </row>
    <row r="3990" spans="1:11" x14ac:dyDescent="0.25">
      <c r="A3990" t="e">
        <f>-LqfjIM5gfGMK_ehEI8a</f>
        <v>#NAME?</v>
      </c>
      <c r="B3990">
        <v>393.75</v>
      </c>
      <c r="C3990">
        <v>20.531590000000001</v>
      </c>
      <c r="D3990">
        <v>68</v>
      </c>
      <c r="E3990">
        <v>0</v>
      </c>
      <c r="F3990">
        <v>0</v>
      </c>
      <c r="G3990">
        <v>4</v>
      </c>
      <c r="H3990" s="4">
        <v>1570544365649</v>
      </c>
      <c r="I3990">
        <v>526.6875</v>
      </c>
      <c r="J3990" s="9">
        <f t="shared" si="62"/>
        <v>43746.888491307873</v>
      </c>
      <c r="K3990" s="1"/>
    </row>
    <row r="3991" spans="1:11" x14ac:dyDescent="0.25">
      <c r="A3991" t="e">
        <f>-LqfjK44WGMxIZAFkz2n</f>
        <v>#NAME?</v>
      </c>
      <c r="B3991">
        <v>412.5</v>
      </c>
      <c r="C3991">
        <v>20.531590000000001</v>
      </c>
      <c r="D3991">
        <v>72</v>
      </c>
      <c r="E3991">
        <v>0</v>
      </c>
      <c r="F3991">
        <v>0</v>
      </c>
      <c r="G3991">
        <v>9</v>
      </c>
      <c r="H3991" s="4">
        <v>1570544372885</v>
      </c>
      <c r="I3991">
        <v>532.3125</v>
      </c>
      <c r="J3991" s="9">
        <f t="shared" si="62"/>
        <v>43746.88857505787</v>
      </c>
      <c r="K3991" s="1"/>
    </row>
    <row r="3992" spans="1:11" x14ac:dyDescent="0.25">
      <c r="A3992" t="e">
        <f>-LqfjLd6HIRWktDu-bGE</f>
        <v>#NAME?</v>
      </c>
      <c r="B3992">
        <v>393.75</v>
      </c>
      <c r="C3992">
        <v>20.531590000000001</v>
      </c>
      <c r="D3992">
        <v>71</v>
      </c>
      <c r="E3992">
        <v>0</v>
      </c>
      <c r="F3992">
        <v>0</v>
      </c>
      <c r="G3992">
        <v>19</v>
      </c>
      <c r="H3992" s="4">
        <v>1570544379076</v>
      </c>
      <c r="I3992">
        <v>526.5</v>
      </c>
      <c r="J3992" s="9">
        <f t="shared" si="62"/>
        <v>43746.888646712956</v>
      </c>
      <c r="K3992" s="1"/>
    </row>
    <row r="3993" spans="1:11" x14ac:dyDescent="0.25">
      <c r="A3993" t="e">
        <f>-LqfjNM5s8cd3BX_9ay5</f>
        <v>#NAME?</v>
      </c>
      <c r="B3993">
        <v>393.75</v>
      </c>
      <c r="C3993">
        <v>20.531590000000001</v>
      </c>
      <c r="D3993">
        <v>71</v>
      </c>
      <c r="E3993">
        <v>0</v>
      </c>
      <c r="F3993">
        <v>0</v>
      </c>
      <c r="G3993">
        <v>6</v>
      </c>
      <c r="H3993" s="4">
        <v>1570544386295</v>
      </c>
      <c r="I3993">
        <v>526.6875</v>
      </c>
      <c r="J3993" s="9">
        <f t="shared" si="62"/>
        <v>43746.888730266197</v>
      </c>
      <c r="K3993" s="1"/>
    </row>
    <row r="3994" spans="1:11" x14ac:dyDescent="0.25">
      <c r="A3994" t="e">
        <f>-LqfjOq5p0aXXeDCn4Wf</f>
        <v>#NAME?</v>
      </c>
      <c r="B3994">
        <v>393.75</v>
      </c>
      <c r="C3994">
        <v>20.584240000000001</v>
      </c>
      <c r="D3994">
        <v>69</v>
      </c>
      <c r="E3994">
        <v>0</v>
      </c>
      <c r="F3994">
        <v>0</v>
      </c>
      <c r="G3994">
        <v>15</v>
      </c>
      <c r="H3994" s="4">
        <v>1570544392485</v>
      </c>
      <c r="I3994">
        <v>526.6875</v>
      </c>
      <c r="J3994" s="9">
        <f t="shared" si="62"/>
        <v>43746.888801909721</v>
      </c>
      <c r="K3994" s="1"/>
    </row>
    <row r="3995" spans="1:11" x14ac:dyDescent="0.25">
      <c r="A3995" t="e">
        <f>-LqfjQyVKalcNof_HeZE</f>
        <v>#NAME?</v>
      </c>
      <c r="B3995">
        <v>393.75</v>
      </c>
      <c r="C3995">
        <v>20.584240000000001</v>
      </c>
      <c r="D3995">
        <v>69</v>
      </c>
      <c r="E3995">
        <v>0</v>
      </c>
      <c r="F3995">
        <v>0</v>
      </c>
      <c r="G3995">
        <v>11</v>
      </c>
      <c r="H3995" s="4">
        <v>1570544399625</v>
      </c>
      <c r="I3995">
        <v>526.6875</v>
      </c>
      <c r="J3995" s="9">
        <f t="shared" si="62"/>
        <v>43746.888884548607</v>
      </c>
      <c r="K3995" s="1"/>
    </row>
    <row r="3996" spans="1:11" x14ac:dyDescent="0.25">
      <c r="A3996" t="e">
        <f>-LqfjSf8pBr0uH8O6OgG</f>
        <v>#NAME?</v>
      </c>
      <c r="B3996">
        <v>412.5</v>
      </c>
      <c r="C3996">
        <v>20.584240000000001</v>
      </c>
      <c r="D3996">
        <v>67</v>
      </c>
      <c r="E3996">
        <v>0</v>
      </c>
      <c r="F3996">
        <v>0</v>
      </c>
      <c r="G3996">
        <v>0</v>
      </c>
      <c r="H3996" s="4">
        <v>1570544407938</v>
      </c>
      <c r="I3996">
        <v>532.3125</v>
      </c>
      <c r="J3996" s="9">
        <f t="shared" si="62"/>
        <v>43746.888980763884</v>
      </c>
      <c r="K3996" s="1"/>
    </row>
    <row r="3997" spans="1:11" x14ac:dyDescent="0.25">
      <c r="A3997" t="e">
        <f>-LqfjUOGjp7eaHyqEC0o</f>
        <v>#NAME?</v>
      </c>
      <c r="B3997">
        <v>393.75</v>
      </c>
      <c r="C3997">
        <v>20.584240000000001</v>
      </c>
      <c r="D3997">
        <v>67</v>
      </c>
      <c r="E3997">
        <v>0</v>
      </c>
      <c r="F3997">
        <v>0</v>
      </c>
      <c r="G3997">
        <v>5</v>
      </c>
      <c r="H3997" s="4">
        <v>1570544415128</v>
      </c>
      <c r="I3997">
        <v>526.6875</v>
      </c>
      <c r="J3997" s="9">
        <f t="shared" si="62"/>
        <v>43746.889063981478</v>
      </c>
      <c r="K3997" s="1"/>
    </row>
    <row r="3998" spans="1:11" x14ac:dyDescent="0.25">
      <c r="A3998" t="e">
        <f>-LqfjWBQTG7nHTIiX8YA</f>
        <v>#NAME?</v>
      </c>
      <c r="B3998">
        <v>393.75</v>
      </c>
      <c r="C3998">
        <v>20.584240000000001</v>
      </c>
      <c r="D3998">
        <v>67</v>
      </c>
      <c r="E3998">
        <v>0</v>
      </c>
      <c r="F3998">
        <v>0</v>
      </c>
      <c r="G3998">
        <v>4</v>
      </c>
      <c r="H3998" s="4">
        <v>1570544422358</v>
      </c>
      <c r="I3998">
        <v>526.6875</v>
      </c>
      <c r="J3998" s="9">
        <f t="shared" si="62"/>
        <v>43746.889147662034</v>
      </c>
      <c r="K3998" s="1"/>
    </row>
    <row r="3999" spans="1:11" x14ac:dyDescent="0.25">
      <c r="A3999" t="e">
        <f>-LqfjXy3COKe6fxgfkwI</f>
        <v>#NAME?</v>
      </c>
      <c r="B3999">
        <v>393.75</v>
      </c>
      <c r="C3999">
        <v>20.531590000000001</v>
      </c>
      <c r="D3999">
        <v>68</v>
      </c>
      <c r="E3999">
        <v>0</v>
      </c>
      <c r="F3999">
        <v>0</v>
      </c>
      <c r="G3999">
        <v>3</v>
      </c>
      <c r="H3999" s="4">
        <v>1570544429832</v>
      </c>
      <c r="I3999">
        <v>526.6875</v>
      </c>
      <c r="J3999" s="9">
        <f t="shared" si="62"/>
        <v>43746.889234166665</v>
      </c>
      <c r="K3999" s="1"/>
    </row>
    <row r="4000" spans="1:11" x14ac:dyDescent="0.25">
      <c r="A4000" t="e">
        <f>-LqfjZdUGLUR4UTsfP7z</f>
        <v>#NAME?</v>
      </c>
      <c r="B4000">
        <v>393.75</v>
      </c>
      <c r="C4000">
        <v>20.531590000000001</v>
      </c>
      <c r="D4000">
        <v>67</v>
      </c>
      <c r="E4000">
        <v>0</v>
      </c>
      <c r="F4000">
        <v>0</v>
      </c>
      <c r="G4000">
        <v>11</v>
      </c>
      <c r="H4000" s="4">
        <v>1570544436789</v>
      </c>
      <c r="I4000">
        <v>526.6875</v>
      </c>
      <c r="J4000" s="9">
        <f t="shared" si="62"/>
        <v>43746.889314687498</v>
      </c>
      <c r="K4000" s="1"/>
    </row>
    <row r="4001" spans="1:11" x14ac:dyDescent="0.25">
      <c r="A4001" t="e">
        <f>-LqfjaBBJ0sC4ymUl8cQ</f>
        <v>#NAME?</v>
      </c>
      <c r="B4001">
        <v>393.75</v>
      </c>
      <c r="C4001">
        <v>20.584240000000001</v>
      </c>
      <c r="D4001">
        <v>67</v>
      </c>
      <c r="E4001">
        <v>0</v>
      </c>
      <c r="F4001">
        <v>0</v>
      </c>
      <c r="G4001">
        <v>16</v>
      </c>
      <c r="H4001" s="4">
        <v>1570544442968</v>
      </c>
      <c r="I4001">
        <v>526.6875</v>
      </c>
      <c r="J4001" s="9">
        <f t="shared" si="62"/>
        <v>43746.8893862037</v>
      </c>
      <c r="K4001" s="1"/>
    </row>
    <row r="4002" spans="1:11" x14ac:dyDescent="0.25">
      <c r="A4002" t="e">
        <f>-Lqfjbk6-iWfvCQ209tK</f>
        <v>#NAME?</v>
      </c>
      <c r="B4002">
        <v>393.75</v>
      </c>
      <c r="C4002">
        <v>20.584240000000001</v>
      </c>
      <c r="D4002">
        <v>67</v>
      </c>
      <c r="E4002">
        <v>0</v>
      </c>
      <c r="F4002">
        <v>0</v>
      </c>
      <c r="G4002">
        <v>5</v>
      </c>
      <c r="H4002" s="4">
        <v>1570544449158</v>
      </c>
      <c r="I4002">
        <v>526.6875</v>
      </c>
      <c r="J4002" s="9">
        <f t="shared" si="62"/>
        <v>43746.889457847217</v>
      </c>
      <c r="K4002" s="1"/>
    </row>
    <row r="4003" spans="1:11" x14ac:dyDescent="0.25">
      <c r="A4003" t="e">
        <f>-LqfjdT9IrcMSxHmmLhY</f>
        <v>#NAME?</v>
      </c>
      <c r="B4003">
        <v>393.75</v>
      </c>
      <c r="C4003">
        <v>20.531590000000001</v>
      </c>
      <c r="D4003">
        <v>69</v>
      </c>
      <c r="E4003">
        <v>0</v>
      </c>
      <c r="F4003">
        <v>0</v>
      </c>
      <c r="G4003">
        <v>13</v>
      </c>
      <c r="H4003" s="4">
        <v>1570544456371</v>
      </c>
      <c r="I4003">
        <v>526.6875</v>
      </c>
      <c r="J4003" s="9">
        <f t="shared" si="62"/>
        <v>43746.889541331017</v>
      </c>
      <c r="K4003" s="1"/>
    </row>
    <row r="4004" spans="1:11" x14ac:dyDescent="0.25">
      <c r="A4004" t="e">
        <f>-Lqfjf8YNGnIrEqRiQYA</f>
        <v>#NAME?</v>
      </c>
      <c r="B4004">
        <v>412.5</v>
      </c>
      <c r="C4004">
        <v>20.531590000000001</v>
      </c>
      <c r="D4004">
        <v>69</v>
      </c>
      <c r="E4004">
        <v>0</v>
      </c>
      <c r="F4004">
        <v>0</v>
      </c>
      <c r="G4004">
        <v>10</v>
      </c>
      <c r="H4004" s="4">
        <v>1570544462548</v>
      </c>
      <c r="I4004">
        <v>532.125</v>
      </c>
      <c r="J4004" s="9">
        <f t="shared" si="62"/>
        <v>43746.889612824067</v>
      </c>
      <c r="K4004" s="1"/>
    </row>
    <row r="4005" spans="1:11" x14ac:dyDescent="0.25">
      <c r="A4005" t="e">
        <f>-Lqfjgk6ktx9LfyUGOiC</f>
        <v>#NAME?</v>
      </c>
      <c r="B4005">
        <v>393.75</v>
      </c>
      <c r="C4005">
        <v>20.584240000000001</v>
      </c>
      <c r="D4005">
        <v>74</v>
      </c>
      <c r="E4005">
        <v>0</v>
      </c>
      <c r="F4005">
        <v>0</v>
      </c>
      <c r="G4005">
        <v>4</v>
      </c>
      <c r="H4005" s="4">
        <v>1570544469767</v>
      </c>
      <c r="I4005">
        <v>526.6875</v>
      </c>
      <c r="J4005" s="9">
        <f t="shared" si="62"/>
        <v>43746.889696377308</v>
      </c>
      <c r="K4005" s="1"/>
    </row>
    <row r="4006" spans="1:11" x14ac:dyDescent="0.25">
      <c r="A4006" t="e">
        <f>-LqfjiElD83VLCwsienS</f>
        <v>#NAME?</v>
      </c>
      <c r="B4006">
        <v>393.75</v>
      </c>
      <c r="C4006">
        <v>20.584240000000001</v>
      </c>
      <c r="D4006">
        <v>74</v>
      </c>
      <c r="E4006">
        <v>0</v>
      </c>
      <c r="F4006">
        <v>0</v>
      </c>
      <c r="G4006">
        <v>7</v>
      </c>
      <c r="H4006" s="4">
        <v>1570544475929</v>
      </c>
      <c r="I4006">
        <v>526.6875</v>
      </c>
      <c r="J4006" s="9">
        <f t="shared" si="62"/>
        <v>43746.889767696754</v>
      </c>
      <c r="K4006" s="1"/>
    </row>
    <row r="4007" spans="1:11" x14ac:dyDescent="0.25">
      <c r="A4007" t="e">
        <f>-LqfjjnKyhni3O2biEYK</f>
        <v>#NAME?</v>
      </c>
      <c r="B4007">
        <v>393.75</v>
      </c>
      <c r="C4007">
        <v>20.531590000000001</v>
      </c>
      <c r="D4007">
        <v>73</v>
      </c>
      <c r="E4007">
        <v>0</v>
      </c>
      <c r="F4007">
        <v>0</v>
      </c>
      <c r="G4007">
        <v>10</v>
      </c>
      <c r="H4007" s="4">
        <v>1570544482138</v>
      </c>
      <c r="I4007">
        <v>526.6875</v>
      </c>
      <c r="J4007" s="9">
        <f t="shared" si="62"/>
        <v>43746.889839560179</v>
      </c>
      <c r="K4007" s="1"/>
    </row>
    <row r="4008" spans="1:11" x14ac:dyDescent="0.25">
      <c r="A4008" t="e">
        <f>-LqfjlWIExJZYRgMkhgL</f>
        <v>#NAME?</v>
      </c>
      <c r="B4008">
        <v>393.75</v>
      </c>
      <c r="C4008">
        <v>20.584240000000001</v>
      </c>
      <c r="D4008">
        <v>72</v>
      </c>
      <c r="E4008">
        <v>0</v>
      </c>
      <c r="F4008">
        <v>0</v>
      </c>
      <c r="G4008">
        <v>0</v>
      </c>
      <c r="H4008" s="4">
        <v>1570544489368</v>
      </c>
      <c r="I4008">
        <v>526.6875</v>
      </c>
      <c r="J4008" s="9">
        <f t="shared" si="62"/>
        <v>43746.889923240735</v>
      </c>
      <c r="K4008" s="1"/>
    </row>
    <row r="4009" spans="1:11" x14ac:dyDescent="0.25">
      <c r="A4009" t="e">
        <f>-LqfjnY8n5l7kDIgLgfv</f>
        <v>#NAME?</v>
      </c>
      <c r="B4009">
        <v>393.75</v>
      </c>
      <c r="C4009">
        <v>20.584240000000001</v>
      </c>
      <c r="D4009">
        <v>72</v>
      </c>
      <c r="E4009">
        <v>0</v>
      </c>
      <c r="F4009">
        <v>0</v>
      </c>
      <c r="G4009">
        <v>13</v>
      </c>
      <c r="H4009" s="4">
        <v>1570544497532</v>
      </c>
      <c r="I4009">
        <v>526.6875</v>
      </c>
      <c r="J4009" s="9">
        <f t="shared" si="62"/>
        <v>43746.890017731479</v>
      </c>
      <c r="K4009" s="1"/>
    </row>
    <row r="4010" spans="1:11" x14ac:dyDescent="0.25">
      <c r="A4010" t="e">
        <f>-Lqfjp1IpaDV1J7XgiwA</f>
        <v>#NAME?</v>
      </c>
      <c r="B4010">
        <v>393.75</v>
      </c>
      <c r="C4010">
        <v>20.584240000000001</v>
      </c>
      <c r="D4010">
        <v>71</v>
      </c>
      <c r="E4010">
        <v>0</v>
      </c>
      <c r="F4010">
        <v>0</v>
      </c>
      <c r="G4010">
        <v>10</v>
      </c>
      <c r="H4010" s="4">
        <v>1570544503769</v>
      </c>
      <c r="I4010">
        <v>526.6875</v>
      </c>
      <c r="J4010" s="9">
        <f t="shared" si="62"/>
        <v>43746.890089918983</v>
      </c>
      <c r="K4010" s="1"/>
    </row>
    <row r="4011" spans="1:11" x14ac:dyDescent="0.25">
      <c r="A4011" t="e">
        <f>-LqfjqpGk_IJ-Zh42QxL</f>
        <v>#NAME?</v>
      </c>
      <c r="B4011">
        <v>393.75</v>
      </c>
      <c r="C4011">
        <v>20.531590000000001</v>
      </c>
      <c r="D4011">
        <v>69</v>
      </c>
      <c r="E4011">
        <v>0</v>
      </c>
      <c r="F4011">
        <v>0</v>
      </c>
      <c r="G4011">
        <v>9</v>
      </c>
      <c r="H4011" s="4">
        <v>1570544510989</v>
      </c>
      <c r="I4011">
        <v>526.6875</v>
      </c>
      <c r="J4011" s="9">
        <f t="shared" si="62"/>
        <v>43746.890173483793</v>
      </c>
      <c r="K4011" s="1"/>
    </row>
    <row r="4012" spans="1:11" x14ac:dyDescent="0.25">
      <c r="A4012" t="e">
        <f>-LqfjsY7cQ1Ql3RKh7Xo</f>
        <v>#NAME?</v>
      </c>
      <c r="B4012">
        <v>393.75</v>
      </c>
      <c r="C4012">
        <v>20.584240000000001</v>
      </c>
      <c r="D4012">
        <v>69</v>
      </c>
      <c r="E4012">
        <v>0</v>
      </c>
      <c r="F4012">
        <v>0</v>
      </c>
      <c r="G4012">
        <v>15</v>
      </c>
      <c r="H4012" s="4">
        <v>1570544518169</v>
      </c>
      <c r="I4012">
        <v>526.6875</v>
      </c>
      <c r="J4012" s="9">
        <f t="shared" si="62"/>
        <v>43746.890256585648</v>
      </c>
      <c r="K4012" s="1"/>
    </row>
    <row r="4013" spans="1:11" x14ac:dyDescent="0.25">
      <c r="A4013" t="e">
        <f>-Lqfju684SxN7ycWpkPK</f>
        <v>#NAME?</v>
      </c>
      <c r="B4013">
        <v>393.75</v>
      </c>
      <c r="C4013">
        <v>20.531590000000001</v>
      </c>
      <c r="D4013">
        <v>69</v>
      </c>
      <c r="E4013">
        <v>0</v>
      </c>
      <c r="F4013">
        <v>0</v>
      </c>
      <c r="G4013">
        <v>14</v>
      </c>
      <c r="H4013" s="4">
        <v>1570544524421</v>
      </c>
      <c r="I4013">
        <v>526.6875</v>
      </c>
      <c r="J4013" s="9">
        <f t="shared" si="62"/>
        <v>43746.890328946756</v>
      </c>
      <c r="K4013" s="1"/>
    </row>
    <row r="4014" spans="1:11" x14ac:dyDescent="0.25">
      <c r="A4014" t="e">
        <f>-Lqfjw8EV1p2cWADj8pT</f>
        <v>#NAME?</v>
      </c>
      <c r="B4014">
        <v>393.75</v>
      </c>
      <c r="C4014">
        <v>20.478950000000001</v>
      </c>
      <c r="D4014">
        <v>67</v>
      </c>
      <c r="E4014">
        <v>0</v>
      </c>
      <c r="F4014">
        <v>0</v>
      </c>
      <c r="G4014">
        <v>13</v>
      </c>
      <c r="H4014" s="4">
        <v>1570544532924</v>
      </c>
      <c r="I4014">
        <v>526.6875</v>
      </c>
      <c r="J4014" s="9">
        <f t="shared" si="62"/>
        <v>43746.890427361104</v>
      </c>
      <c r="K4014" s="1"/>
    </row>
    <row r="4015" spans="1:11" x14ac:dyDescent="0.25">
      <c r="A4015" t="e">
        <f>-LqfjxrH7P1Zm3tBUj-a</f>
        <v>#NAME?</v>
      </c>
      <c r="B4015">
        <v>393.75</v>
      </c>
      <c r="C4015">
        <v>20.531590000000001</v>
      </c>
      <c r="D4015">
        <v>67</v>
      </c>
      <c r="E4015">
        <v>0</v>
      </c>
      <c r="F4015">
        <v>0</v>
      </c>
      <c r="G4015">
        <v>0</v>
      </c>
      <c r="H4015" s="4">
        <v>1570544539838</v>
      </c>
      <c r="I4015">
        <v>526.5</v>
      </c>
      <c r="J4015" s="9">
        <f t="shared" si="62"/>
        <v>43746.890507384254</v>
      </c>
      <c r="K4015" s="1"/>
    </row>
    <row r="4016" spans="1:11" x14ac:dyDescent="0.25">
      <c r="A4016" t="e">
        <f>-LqfjzeHNvKYOCI4kf0F</f>
        <v>#NAME?</v>
      </c>
      <c r="B4016">
        <v>393.75</v>
      </c>
      <c r="C4016">
        <v>20.531590000000001</v>
      </c>
      <c r="D4016">
        <v>69</v>
      </c>
      <c r="E4016">
        <v>0</v>
      </c>
      <c r="F4016">
        <v>0</v>
      </c>
      <c r="G4016">
        <v>5</v>
      </c>
      <c r="H4016" s="4">
        <v>1570544547058</v>
      </c>
      <c r="I4016">
        <v>526.6875</v>
      </c>
      <c r="J4016" s="9">
        <f t="shared" si="62"/>
        <v>43746.890590949071</v>
      </c>
      <c r="K4016" s="1"/>
    </row>
    <row r="4017" spans="1:11" x14ac:dyDescent="0.25">
      <c r="A4017" t="s">
        <v>215</v>
      </c>
      <c r="B4017">
        <v>393.75</v>
      </c>
      <c r="C4017">
        <v>20.531590000000001</v>
      </c>
      <c r="D4017">
        <v>68</v>
      </c>
      <c r="E4017">
        <v>0</v>
      </c>
      <c r="F4017">
        <v>0</v>
      </c>
      <c r="G4017">
        <v>4</v>
      </c>
      <c r="H4017" s="4">
        <v>1570544554268</v>
      </c>
      <c r="I4017">
        <v>526.6875</v>
      </c>
      <c r="J4017" s="9">
        <f t="shared" si="62"/>
        <v>43746.890674398142</v>
      </c>
      <c r="K4017" s="1"/>
    </row>
    <row r="4018" spans="1:11" x14ac:dyDescent="0.25">
      <c r="A4018" t="e">
        <f>-Lqfk1rHm0td9aw23nNf</f>
        <v>#NAME?</v>
      </c>
      <c r="B4018">
        <v>393.75</v>
      </c>
      <c r="C4018">
        <v>20.478950000000001</v>
      </c>
      <c r="D4018">
        <v>68</v>
      </c>
      <c r="E4018">
        <v>0</v>
      </c>
      <c r="F4018">
        <v>0</v>
      </c>
      <c r="G4018">
        <v>12</v>
      </c>
      <c r="H4018" s="4">
        <v>1570544560469</v>
      </c>
      <c r="I4018">
        <v>526.6875</v>
      </c>
      <c r="J4018" s="9">
        <f t="shared" si="62"/>
        <v>43746.890746168974</v>
      </c>
      <c r="K4018" s="1"/>
    </row>
    <row r="4019" spans="1:11" x14ac:dyDescent="0.25">
      <c r="A4019" t="s">
        <v>216</v>
      </c>
      <c r="B4019">
        <v>393.75</v>
      </c>
      <c r="C4019">
        <v>20.531590000000001</v>
      </c>
      <c r="D4019">
        <v>68</v>
      </c>
      <c r="E4019">
        <v>0</v>
      </c>
      <c r="F4019">
        <v>0</v>
      </c>
      <c r="G4019">
        <v>8</v>
      </c>
      <c r="H4019" s="4">
        <v>1570544566657</v>
      </c>
      <c r="I4019">
        <v>526.5</v>
      </c>
      <c r="J4019" s="9">
        <f t="shared" si="62"/>
        <v>43746.890817789354</v>
      </c>
      <c r="K4019" s="1"/>
    </row>
    <row r="4020" spans="1:11" x14ac:dyDescent="0.25">
      <c r="A4020" t="e">
        <f>-Lqfk586WIMu6EjJG46C</f>
        <v>#NAME?</v>
      </c>
      <c r="B4020">
        <v>412.5</v>
      </c>
      <c r="C4020">
        <v>20.478950000000001</v>
      </c>
      <c r="D4020">
        <v>68</v>
      </c>
      <c r="E4020">
        <v>0</v>
      </c>
      <c r="F4020">
        <v>0</v>
      </c>
      <c r="G4020">
        <v>6</v>
      </c>
      <c r="H4020" s="4">
        <v>1570544573848</v>
      </c>
      <c r="I4020">
        <v>532.125</v>
      </c>
      <c r="J4020" s="9">
        <f t="shared" si="62"/>
        <v>43746.890901018516</v>
      </c>
      <c r="K4020" s="1"/>
    </row>
    <row r="4021" spans="1:11" x14ac:dyDescent="0.25">
      <c r="A4021" t="e">
        <f>-Lqfk6h9U4PyOY-u36wL</f>
        <v>#NAME?</v>
      </c>
      <c r="B4021">
        <v>393.75</v>
      </c>
      <c r="C4021">
        <v>20.584240000000001</v>
      </c>
      <c r="D4021">
        <v>68</v>
      </c>
      <c r="E4021">
        <v>0</v>
      </c>
      <c r="F4021">
        <v>0</v>
      </c>
      <c r="G4021">
        <v>13</v>
      </c>
      <c r="H4021" s="4">
        <v>1570544580028</v>
      </c>
      <c r="I4021">
        <v>526.5</v>
      </c>
      <c r="J4021" s="9">
        <f t="shared" si="62"/>
        <v>43746.890972546295</v>
      </c>
      <c r="K4021" s="1"/>
    </row>
    <row r="4022" spans="1:11" x14ac:dyDescent="0.25">
      <c r="A4022" t="e">
        <f>-Lqfk8Q6wIa-KR9bQq6q</f>
        <v>#NAME?</v>
      </c>
      <c r="B4022">
        <v>393.75</v>
      </c>
      <c r="C4022">
        <v>20.531590000000001</v>
      </c>
      <c r="D4022">
        <v>68</v>
      </c>
      <c r="E4022">
        <v>0</v>
      </c>
      <c r="F4022">
        <v>0</v>
      </c>
      <c r="G4022">
        <v>4</v>
      </c>
      <c r="H4022" s="4">
        <v>1570544587238</v>
      </c>
      <c r="I4022">
        <v>526.6875</v>
      </c>
      <c r="J4022" s="9">
        <f t="shared" si="62"/>
        <v>43746.891055995373</v>
      </c>
      <c r="K4022" s="1"/>
    </row>
    <row r="4023" spans="1:11" x14ac:dyDescent="0.25">
      <c r="A4023" t="e">
        <f>-Lqfk9u6DOyLfIGCHvlN</f>
        <v>#NAME?</v>
      </c>
      <c r="B4023">
        <v>393.75</v>
      </c>
      <c r="C4023">
        <v>20.584240000000001</v>
      </c>
      <c r="D4023">
        <v>68</v>
      </c>
      <c r="E4023">
        <v>0</v>
      </c>
      <c r="F4023">
        <v>0</v>
      </c>
      <c r="G4023">
        <v>7</v>
      </c>
      <c r="H4023" s="4">
        <v>1570544593439</v>
      </c>
      <c r="I4023">
        <v>526.6875</v>
      </c>
      <c r="J4023" s="9">
        <f t="shared" si="62"/>
        <v>43746.891127766205</v>
      </c>
      <c r="K4023" s="1"/>
    </row>
    <row r="4024" spans="1:11" x14ac:dyDescent="0.25">
      <c r="A4024" t="e">
        <f>-LqfkBT68guxDiUDOtMr</f>
        <v>#NAME?</v>
      </c>
      <c r="B4024">
        <v>393.75</v>
      </c>
      <c r="C4024">
        <v>20.531590000000001</v>
      </c>
      <c r="D4024">
        <v>68</v>
      </c>
      <c r="E4024">
        <v>0</v>
      </c>
      <c r="F4024">
        <v>0</v>
      </c>
      <c r="G4024">
        <v>4</v>
      </c>
      <c r="H4024" s="4">
        <v>1570544599609</v>
      </c>
      <c r="I4024">
        <v>526.5</v>
      </c>
      <c r="J4024" s="9">
        <f t="shared" si="62"/>
        <v>43746.891199178237</v>
      </c>
      <c r="K4024" s="1"/>
    </row>
    <row r="4025" spans="1:11" x14ac:dyDescent="0.25">
      <c r="A4025" t="e">
        <f>-LqfkDB7m2am9zPleD9H</f>
        <v>#NAME?</v>
      </c>
      <c r="B4025">
        <v>393.75</v>
      </c>
      <c r="C4025">
        <v>20.584240000000001</v>
      </c>
      <c r="D4025">
        <v>70</v>
      </c>
      <c r="E4025">
        <v>0</v>
      </c>
      <c r="F4025">
        <v>0</v>
      </c>
      <c r="G4025">
        <v>4</v>
      </c>
      <c r="H4025" s="4">
        <v>1570544606809</v>
      </c>
      <c r="I4025">
        <v>526.6875</v>
      </c>
      <c r="J4025" s="9">
        <f t="shared" si="62"/>
        <v>43746.891282511577</v>
      </c>
      <c r="K4025" s="1"/>
    </row>
    <row r="4026" spans="1:11" x14ac:dyDescent="0.25">
      <c r="A4026" t="e">
        <f>-LqfkEkkjsqvW4hPvOrs</f>
        <v>#NAME?</v>
      </c>
      <c r="B4026">
        <v>393.75</v>
      </c>
      <c r="C4026">
        <v>20.531590000000001</v>
      </c>
      <c r="D4026">
        <v>68</v>
      </c>
      <c r="E4026">
        <v>0</v>
      </c>
      <c r="F4026">
        <v>0</v>
      </c>
      <c r="G4026">
        <v>8</v>
      </c>
      <c r="H4026" s="4">
        <v>1570544613010</v>
      </c>
      <c r="I4026">
        <v>526.5</v>
      </c>
      <c r="J4026" s="9">
        <f t="shared" si="62"/>
        <v>43746.891354282408</v>
      </c>
      <c r="K4026" s="1"/>
    </row>
    <row r="4027" spans="1:11" x14ac:dyDescent="0.25">
      <c r="A4027" t="e">
        <f>-LqfkGT8-vQceI9a4jcO</f>
        <v>#NAME?</v>
      </c>
      <c r="B4027">
        <v>393.75</v>
      </c>
      <c r="C4027">
        <v>20.531590000000001</v>
      </c>
      <c r="D4027">
        <v>70</v>
      </c>
      <c r="E4027">
        <v>0</v>
      </c>
      <c r="F4027">
        <v>0</v>
      </c>
      <c r="G4027">
        <v>4</v>
      </c>
      <c r="H4027" s="4">
        <v>1570544620217</v>
      </c>
      <c r="I4027">
        <v>526.6875</v>
      </c>
      <c r="J4027" s="9">
        <f t="shared" si="62"/>
        <v>43746.891437696751</v>
      </c>
      <c r="K4027" s="1"/>
    </row>
    <row r="4028" spans="1:11" x14ac:dyDescent="0.25">
      <c r="A4028" t="e">
        <f>-LqfkIMlB3py3o93aJZU</f>
        <v>#NAME?</v>
      </c>
      <c r="B4028">
        <v>393.75</v>
      </c>
      <c r="C4028">
        <v>20.531590000000001</v>
      </c>
      <c r="D4028">
        <v>69</v>
      </c>
      <c r="E4028">
        <v>0</v>
      </c>
      <c r="F4028">
        <v>0</v>
      </c>
      <c r="G4028">
        <v>3</v>
      </c>
      <c r="H4028" s="4">
        <v>1570544626419</v>
      </c>
      <c r="I4028">
        <v>526.6875</v>
      </c>
      <c r="J4028" s="9">
        <f t="shared" si="62"/>
        <v>43746.891509479166</v>
      </c>
      <c r="K4028" s="1"/>
    </row>
    <row r="4029" spans="1:11" x14ac:dyDescent="0.25">
      <c r="A4029" t="e">
        <f>-LqfkK-YRIIgNiV38ayN</f>
        <v>#NAME?</v>
      </c>
      <c r="B4029">
        <v>393.75</v>
      </c>
      <c r="C4029">
        <v>20.531590000000001</v>
      </c>
      <c r="D4029">
        <v>68</v>
      </c>
      <c r="E4029">
        <v>0</v>
      </c>
      <c r="F4029">
        <v>0</v>
      </c>
      <c r="G4029">
        <v>0</v>
      </c>
      <c r="H4029" s="4">
        <v>1570544634649</v>
      </c>
      <c r="I4029">
        <v>526.6875</v>
      </c>
      <c r="J4029" s="9">
        <f t="shared" si="62"/>
        <v>43746.891604733792</v>
      </c>
      <c r="K4029" s="1"/>
    </row>
    <row r="4030" spans="1:11" x14ac:dyDescent="0.25">
      <c r="A4030" t="s">
        <v>217</v>
      </c>
      <c r="B4030">
        <v>393.75</v>
      </c>
      <c r="C4030">
        <v>20.531590000000001</v>
      </c>
      <c r="D4030">
        <v>67</v>
      </c>
      <c r="E4030">
        <v>0</v>
      </c>
      <c r="F4030">
        <v>0</v>
      </c>
      <c r="G4030">
        <v>9</v>
      </c>
      <c r="H4030" s="4">
        <v>1570544641858</v>
      </c>
      <c r="I4030">
        <v>526.5</v>
      </c>
      <c r="J4030" s="9">
        <f t="shared" si="62"/>
        <v>43746.891688171294</v>
      </c>
      <c r="K4030" s="1"/>
    </row>
    <row r="4031" spans="1:11" x14ac:dyDescent="0.25">
      <c r="A4031" t="e">
        <f>-LqfkNV8NCSMN6LKIIBw</f>
        <v>#NAME?</v>
      </c>
      <c r="B4031">
        <v>434.375</v>
      </c>
      <c r="C4031">
        <v>20.478950000000001</v>
      </c>
      <c r="D4031">
        <v>67</v>
      </c>
      <c r="E4031">
        <v>0</v>
      </c>
      <c r="F4031">
        <v>0</v>
      </c>
      <c r="G4031">
        <v>12</v>
      </c>
      <c r="H4031" s="4">
        <v>1570544649048</v>
      </c>
      <c r="I4031">
        <v>539.8125</v>
      </c>
      <c r="J4031" s="9">
        <f t="shared" si="62"/>
        <v>43746.891771388888</v>
      </c>
      <c r="K4031" s="1"/>
    </row>
    <row r="4032" spans="1:11" x14ac:dyDescent="0.25">
      <c r="A4032" t="e">
        <f>-LqfkPg6Sz9_B7AWbzBf</f>
        <v>#NAME?</v>
      </c>
      <c r="B4032">
        <v>393.75</v>
      </c>
      <c r="C4032">
        <v>20.531590000000001</v>
      </c>
      <c r="D4032">
        <v>68</v>
      </c>
      <c r="E4032">
        <v>0</v>
      </c>
      <c r="F4032">
        <v>0</v>
      </c>
      <c r="G4032">
        <v>18</v>
      </c>
      <c r="H4032" s="4">
        <v>1570544655259</v>
      </c>
      <c r="I4032">
        <v>526.5</v>
      </c>
      <c r="J4032" s="9">
        <f t="shared" si="62"/>
        <v>43746.891843275465</v>
      </c>
      <c r="K4032" s="1"/>
    </row>
    <row r="4033" spans="1:11" x14ac:dyDescent="0.25">
      <c r="A4033" t="e">
        <f>-LqfkRF87loVzDEpuHE4</f>
        <v>#NAME?</v>
      </c>
      <c r="B4033">
        <v>393.75</v>
      </c>
      <c r="C4033">
        <v>20.584240000000001</v>
      </c>
      <c r="D4033">
        <v>68</v>
      </c>
      <c r="E4033">
        <v>0</v>
      </c>
      <c r="F4033">
        <v>0</v>
      </c>
      <c r="G4033">
        <v>7</v>
      </c>
      <c r="H4033" s="4">
        <v>1570544664528</v>
      </c>
      <c r="I4033">
        <v>526.6875</v>
      </c>
      <c r="J4033" s="9">
        <f t="shared" si="62"/>
        <v>43746.891950555553</v>
      </c>
      <c r="K4033" s="1"/>
    </row>
    <row r="4034" spans="1:11" x14ac:dyDescent="0.25">
      <c r="A4034" t="e">
        <f>-LqfkSkII-vi7aMwBXw8</f>
        <v>#NAME?</v>
      </c>
      <c r="B4034">
        <v>393.75</v>
      </c>
      <c r="C4034">
        <v>20.584240000000001</v>
      </c>
      <c r="D4034">
        <v>68</v>
      </c>
      <c r="E4034">
        <v>0</v>
      </c>
      <c r="F4034">
        <v>0</v>
      </c>
      <c r="G4034">
        <v>8</v>
      </c>
      <c r="H4034" s="4">
        <v>1570544670678</v>
      </c>
      <c r="I4034">
        <v>526.6875</v>
      </c>
      <c r="J4034" s="9">
        <f t="shared" si="62"/>
        <v>43746.892021736108</v>
      </c>
      <c r="K4034" s="1"/>
    </row>
    <row r="4035" spans="1:11" x14ac:dyDescent="0.25">
      <c r="A4035" t="e">
        <f>-LqfkUI99YH34N5Qqyvp</f>
        <v>#NAME?</v>
      </c>
      <c r="B4035">
        <v>393.75</v>
      </c>
      <c r="C4035">
        <v>20.531590000000001</v>
      </c>
      <c r="D4035">
        <v>68</v>
      </c>
      <c r="E4035">
        <v>0</v>
      </c>
      <c r="F4035">
        <v>0</v>
      </c>
      <c r="G4035">
        <v>6</v>
      </c>
      <c r="H4035" s="4">
        <v>1570544676888</v>
      </c>
      <c r="I4035">
        <v>526.5</v>
      </c>
      <c r="J4035" s="9">
        <f t="shared" ref="J4035:J4098" si="63">(H4035/86400000)+25569+(7/24)</f>
        <v>43746.89209361111</v>
      </c>
      <c r="K4035" s="1"/>
    </row>
    <row r="4036" spans="1:11" x14ac:dyDescent="0.25">
      <c r="A4036" t="e">
        <f>-LqfkVr853cEoT0ymGeZ</f>
        <v>#NAME?</v>
      </c>
      <c r="B4036">
        <v>393.75</v>
      </c>
      <c r="C4036">
        <v>20.584240000000001</v>
      </c>
      <c r="D4036">
        <v>69</v>
      </c>
      <c r="E4036">
        <v>0</v>
      </c>
      <c r="F4036">
        <v>0</v>
      </c>
      <c r="G4036">
        <v>9</v>
      </c>
      <c r="H4036" s="4">
        <v>1570544683077</v>
      </c>
      <c r="I4036">
        <v>526.5</v>
      </c>
      <c r="J4036" s="9">
        <f t="shared" si="63"/>
        <v>43746.892165243051</v>
      </c>
      <c r="K4036" s="1"/>
    </row>
    <row r="4037" spans="1:11" x14ac:dyDescent="0.25">
      <c r="A4037" t="e">
        <f>-LqfkX_Ae3LapOm0ieZF</f>
        <v>#NAME?</v>
      </c>
      <c r="B4037">
        <v>393.75</v>
      </c>
      <c r="C4037">
        <v>20.584240000000001</v>
      </c>
      <c r="D4037">
        <v>69</v>
      </c>
      <c r="E4037">
        <v>0</v>
      </c>
      <c r="F4037">
        <v>0</v>
      </c>
      <c r="G4037">
        <v>8</v>
      </c>
      <c r="H4037" s="4">
        <v>1570544690298</v>
      </c>
      <c r="I4037">
        <v>526.6875</v>
      </c>
      <c r="J4037" s="9">
        <f t="shared" si="63"/>
        <v>43746.892248819444</v>
      </c>
      <c r="K4037" s="1"/>
    </row>
    <row r="4038" spans="1:11" x14ac:dyDescent="0.25">
      <c r="A4038" t="e">
        <f>-LqfkZD8h9Dm_TVAHcID</f>
        <v>#NAME?</v>
      </c>
      <c r="B4038">
        <v>393.75</v>
      </c>
      <c r="C4038">
        <v>20.531590000000001</v>
      </c>
      <c r="D4038">
        <v>70</v>
      </c>
      <c r="E4038">
        <v>0</v>
      </c>
      <c r="F4038">
        <v>0</v>
      </c>
      <c r="G4038">
        <v>0</v>
      </c>
      <c r="H4038" s="4">
        <v>1570544696480</v>
      </c>
      <c r="I4038">
        <v>526.6875</v>
      </c>
      <c r="J4038" s="9">
        <f t="shared" si="63"/>
        <v>43746.892320370367</v>
      </c>
      <c r="K4038" s="1"/>
    </row>
    <row r="4039" spans="1:11" x14ac:dyDescent="0.25">
      <c r="A4039" t="e">
        <f>-Lqfk_r9PxeQgwu7mPXm</f>
        <v>#NAME?</v>
      </c>
      <c r="B4039">
        <v>393.75</v>
      </c>
      <c r="C4039">
        <v>20.531590000000001</v>
      </c>
      <c r="D4039">
        <v>69</v>
      </c>
      <c r="E4039">
        <v>0</v>
      </c>
      <c r="F4039">
        <v>0</v>
      </c>
      <c r="G4039">
        <v>13</v>
      </c>
      <c r="H4039" s="4">
        <v>1570544703690</v>
      </c>
      <c r="I4039">
        <v>526.6875</v>
      </c>
      <c r="J4039" s="9">
        <f t="shared" si="63"/>
        <v>43746.892403819445</v>
      </c>
      <c r="K4039" s="1"/>
    </row>
    <row r="4040" spans="1:11" x14ac:dyDescent="0.25">
      <c r="A4040" t="e">
        <f>-LqfkbLAQT79bmqRlXpM</f>
        <v>#NAME?</v>
      </c>
      <c r="B4040">
        <v>393.75</v>
      </c>
      <c r="C4040">
        <v>20.531590000000001</v>
      </c>
      <c r="D4040">
        <v>69</v>
      </c>
      <c r="E4040">
        <v>0</v>
      </c>
      <c r="F4040">
        <v>0</v>
      </c>
      <c r="G4040">
        <v>6</v>
      </c>
      <c r="H4040" s="4">
        <v>1570544709849</v>
      </c>
      <c r="I4040">
        <v>526.6875</v>
      </c>
      <c r="J4040" s="9">
        <f t="shared" si="63"/>
        <v>43746.892475104163</v>
      </c>
      <c r="K4040" s="1"/>
    </row>
    <row r="4041" spans="1:11" x14ac:dyDescent="0.25">
      <c r="A4041" t="e">
        <f>-Lqfkcu6aaLjH4Uy48K1</f>
        <v>#NAME?</v>
      </c>
      <c r="B4041">
        <v>393.75</v>
      </c>
      <c r="C4041">
        <v>20.584240000000001</v>
      </c>
      <c r="D4041">
        <v>69</v>
      </c>
      <c r="E4041">
        <v>0</v>
      </c>
      <c r="F4041">
        <v>0</v>
      </c>
      <c r="G4041">
        <v>10</v>
      </c>
      <c r="H4041" s="4">
        <v>1570544716058</v>
      </c>
      <c r="I4041">
        <v>526.5</v>
      </c>
      <c r="J4041" s="9">
        <f t="shared" si="63"/>
        <v>43746.892546967589</v>
      </c>
      <c r="K4041" s="1"/>
    </row>
    <row r="4042" spans="1:11" x14ac:dyDescent="0.25">
      <c r="A4042" t="e">
        <f>-LqfkemHMJIzXycuZGQK</f>
        <v>#NAME?</v>
      </c>
      <c r="B4042">
        <v>393.75</v>
      </c>
      <c r="C4042">
        <v>20.531590000000001</v>
      </c>
      <c r="D4042">
        <v>68</v>
      </c>
      <c r="E4042">
        <v>0</v>
      </c>
      <c r="F4042">
        <v>0</v>
      </c>
      <c r="G4042">
        <v>9</v>
      </c>
      <c r="H4042" s="4">
        <v>1570544723783</v>
      </c>
      <c r="I4042">
        <v>526.6875</v>
      </c>
      <c r="J4042" s="9">
        <f t="shared" si="63"/>
        <v>43746.892636377313</v>
      </c>
      <c r="K4042" s="1"/>
    </row>
    <row r="4043" spans="1:11" x14ac:dyDescent="0.25">
      <c r="A4043" t="e">
        <f>-Lqfkgo-v_LM91i1HKx7</f>
        <v>#NAME?</v>
      </c>
      <c r="B4043">
        <v>393.75</v>
      </c>
      <c r="C4043">
        <v>20.531590000000001</v>
      </c>
      <c r="D4043">
        <v>69</v>
      </c>
      <c r="E4043">
        <v>0</v>
      </c>
      <c r="F4043">
        <v>0</v>
      </c>
      <c r="G4043">
        <v>10</v>
      </c>
      <c r="H4043" s="4">
        <v>1570544730490</v>
      </c>
      <c r="I4043">
        <v>526.6875</v>
      </c>
      <c r="J4043" s="9">
        <f t="shared" si="63"/>
        <v>43746.892714004629</v>
      </c>
      <c r="K4043" s="1"/>
    </row>
    <row r="4044" spans="1:11" x14ac:dyDescent="0.25">
      <c r="A4044" t="e">
        <f>-LqfkiuU1DYhHqyQTqOr</f>
        <v>#NAME?</v>
      </c>
      <c r="B4044">
        <v>393.75</v>
      </c>
      <c r="C4044">
        <v>20.531590000000001</v>
      </c>
      <c r="D4044">
        <v>70</v>
      </c>
      <c r="E4044">
        <v>0</v>
      </c>
      <c r="F4044">
        <v>0</v>
      </c>
      <c r="G4044">
        <v>6</v>
      </c>
      <c r="H4044" s="4">
        <v>1570544738738</v>
      </c>
      <c r="I4044">
        <v>526.6875</v>
      </c>
      <c r="J4044" s="9">
        <f t="shared" si="63"/>
        <v>43746.892809467587</v>
      </c>
      <c r="K4044" s="1"/>
    </row>
    <row r="4045" spans="1:11" x14ac:dyDescent="0.25">
      <c r="A4045" t="e">
        <f>-Lqfkkd8rDToD9-rdgj3</f>
        <v>#NAME?</v>
      </c>
      <c r="B4045">
        <v>393.75</v>
      </c>
      <c r="C4045">
        <v>20.531590000000001</v>
      </c>
      <c r="D4045">
        <v>72</v>
      </c>
      <c r="E4045">
        <v>0</v>
      </c>
      <c r="F4045">
        <v>0</v>
      </c>
      <c r="G4045">
        <v>14</v>
      </c>
      <c r="H4045" s="4">
        <v>1570544748009</v>
      </c>
      <c r="I4045">
        <v>526.6875</v>
      </c>
      <c r="J4045" s="9">
        <f t="shared" si="63"/>
        <v>43746.892916770834</v>
      </c>
      <c r="K4045" s="1"/>
    </row>
    <row r="4046" spans="1:11" x14ac:dyDescent="0.25">
      <c r="A4046" t="e">
        <f>-LqfkmC8_Ag_yPujyzvT</f>
        <v>#NAME?</v>
      </c>
      <c r="B4046">
        <v>412.5</v>
      </c>
      <c r="C4046">
        <v>20.531590000000001</v>
      </c>
      <c r="D4046">
        <v>72</v>
      </c>
      <c r="E4046">
        <v>0</v>
      </c>
      <c r="F4046">
        <v>0</v>
      </c>
      <c r="G4046">
        <v>4</v>
      </c>
      <c r="H4046" s="4">
        <v>1570544754199</v>
      </c>
      <c r="I4046">
        <v>532.125</v>
      </c>
      <c r="J4046" s="9">
        <f t="shared" si="63"/>
        <v>43746.892988414351</v>
      </c>
      <c r="K4046" s="1"/>
    </row>
    <row r="4047" spans="1:11" x14ac:dyDescent="0.25">
      <c r="A4047" t="e">
        <f>-LqfknfmL67_IFPgmjo1</f>
        <v>#NAME?</v>
      </c>
      <c r="B4047">
        <v>393.75</v>
      </c>
      <c r="C4047">
        <v>20.531590000000001</v>
      </c>
      <c r="D4047">
        <v>72</v>
      </c>
      <c r="E4047">
        <v>0</v>
      </c>
      <c r="F4047">
        <v>0</v>
      </c>
      <c r="G4047">
        <v>13</v>
      </c>
      <c r="H4047" s="4">
        <v>1570544760368</v>
      </c>
      <c r="I4047">
        <v>526.6875</v>
      </c>
      <c r="J4047" s="9">
        <f t="shared" si="63"/>
        <v>43746.893059814807</v>
      </c>
      <c r="K4047" s="1"/>
    </row>
    <row r="4048" spans="1:11" x14ac:dyDescent="0.25">
      <c r="A4048" t="e">
        <f>-LqfkpU70JYC6oVLess7</f>
        <v>#NAME?</v>
      </c>
      <c r="B4048">
        <v>393.75</v>
      </c>
      <c r="C4048">
        <v>20.584240000000001</v>
      </c>
      <c r="D4048">
        <v>71</v>
      </c>
      <c r="E4048">
        <v>0</v>
      </c>
      <c r="F4048">
        <v>0</v>
      </c>
      <c r="G4048">
        <v>3</v>
      </c>
      <c r="H4048" s="4">
        <v>1570544767587</v>
      </c>
      <c r="I4048">
        <v>526.6875</v>
      </c>
      <c r="J4048" s="9">
        <f t="shared" si="63"/>
        <v>43746.893143368048</v>
      </c>
      <c r="K4048" s="1"/>
    </row>
    <row r="4049" spans="1:11" x14ac:dyDescent="0.25">
      <c r="A4049" t="e">
        <f>-LqfkrCA3v1N6OLSmppH</f>
        <v>#NAME?</v>
      </c>
      <c r="B4049">
        <v>415.625</v>
      </c>
      <c r="C4049">
        <v>20.531590000000001</v>
      </c>
      <c r="D4049">
        <v>69</v>
      </c>
      <c r="E4049">
        <v>0</v>
      </c>
      <c r="F4049">
        <v>0</v>
      </c>
      <c r="G4049">
        <v>4</v>
      </c>
      <c r="H4049" s="4">
        <v>1570544774808</v>
      </c>
      <c r="I4049">
        <v>533.625</v>
      </c>
      <c r="J4049" s="9">
        <f t="shared" si="63"/>
        <v>43746.893226944441</v>
      </c>
      <c r="K4049" s="1"/>
    </row>
    <row r="4050" spans="1:11" x14ac:dyDescent="0.25">
      <c r="A4050" t="e">
        <f>-Lqfkt48lqTlLAyULYDd</f>
        <v>#NAME?</v>
      </c>
      <c r="B4050">
        <v>393.75</v>
      </c>
      <c r="C4050">
        <v>20.531590000000001</v>
      </c>
      <c r="D4050">
        <v>69</v>
      </c>
      <c r="E4050">
        <v>0</v>
      </c>
      <c r="F4050">
        <v>0</v>
      </c>
      <c r="G4050">
        <v>5</v>
      </c>
      <c r="H4050" s="4">
        <v>1570544780979</v>
      </c>
      <c r="I4050">
        <v>526.5</v>
      </c>
      <c r="J4050" s="9">
        <f t="shared" si="63"/>
        <v>43746.89329836805</v>
      </c>
      <c r="K4050" s="1"/>
    </row>
    <row r="4051" spans="1:11" x14ac:dyDescent="0.25">
      <c r="A4051" t="e">
        <f>-LqfkuiC3kUGeBObRj6R</f>
        <v>#NAME?</v>
      </c>
      <c r="B4051">
        <v>393.75</v>
      </c>
      <c r="C4051">
        <v>20.478950000000001</v>
      </c>
      <c r="D4051">
        <v>68</v>
      </c>
      <c r="E4051">
        <v>0</v>
      </c>
      <c r="F4051">
        <v>0</v>
      </c>
      <c r="G4051">
        <v>4</v>
      </c>
      <c r="H4051" s="4">
        <v>1570544789208</v>
      </c>
      <c r="I4051">
        <v>526.6875</v>
      </c>
      <c r="J4051" s="9">
        <f t="shared" si="63"/>
        <v>43746.893393611106</v>
      </c>
      <c r="K4051" s="1"/>
    </row>
    <row r="4052" spans="1:11" x14ac:dyDescent="0.25">
      <c r="A4052" t="e">
        <f>-LqfkwH7tMibAOHOHs8G</f>
        <v>#NAME?</v>
      </c>
      <c r="B4052">
        <v>393.75</v>
      </c>
      <c r="C4052">
        <v>20.531590000000001</v>
      </c>
      <c r="D4052">
        <v>68</v>
      </c>
      <c r="E4052">
        <v>0</v>
      </c>
      <c r="F4052">
        <v>0</v>
      </c>
      <c r="G4052">
        <v>0</v>
      </c>
      <c r="H4052" s="4">
        <v>1570544795409</v>
      </c>
      <c r="I4052">
        <v>526.6875</v>
      </c>
      <c r="J4052" s="9">
        <f t="shared" si="63"/>
        <v>43746.893465381938</v>
      </c>
      <c r="K4052" s="1"/>
    </row>
    <row r="4053" spans="1:11" x14ac:dyDescent="0.25">
      <c r="A4053" t="s">
        <v>218</v>
      </c>
      <c r="B4053">
        <v>393.75</v>
      </c>
      <c r="C4053">
        <v>20.531590000000001</v>
      </c>
      <c r="D4053">
        <v>68</v>
      </c>
      <c r="E4053">
        <v>0</v>
      </c>
      <c r="F4053">
        <v>0</v>
      </c>
      <c r="G4053">
        <v>7</v>
      </c>
      <c r="H4053" s="4">
        <v>1570544802630</v>
      </c>
      <c r="I4053">
        <v>526.6875</v>
      </c>
      <c r="J4053" s="9">
        <f t="shared" si="63"/>
        <v>43746.893548958331</v>
      </c>
      <c r="K4053" s="1"/>
    </row>
    <row r="4054" spans="1:11" x14ac:dyDescent="0.25">
      <c r="A4054" t="e">
        <f>-LqfkzUHsNzWPHGwBklx</f>
        <v>#NAME?</v>
      </c>
      <c r="B4054">
        <v>393.75</v>
      </c>
      <c r="C4054">
        <v>20.478950000000001</v>
      </c>
      <c r="D4054">
        <v>69</v>
      </c>
      <c r="E4054">
        <v>0</v>
      </c>
      <c r="F4054">
        <v>0</v>
      </c>
      <c r="G4054">
        <v>7</v>
      </c>
      <c r="H4054" s="4">
        <v>1570544808809</v>
      </c>
      <c r="I4054">
        <v>526.6875</v>
      </c>
      <c r="J4054" s="9">
        <f t="shared" si="63"/>
        <v>43746.893620474533</v>
      </c>
      <c r="K4054" s="1"/>
    </row>
    <row r="4055" spans="1:11" x14ac:dyDescent="0.25">
      <c r="A4055" t="e">
        <f>-Lqfl028MPhmMCMMWWVt</f>
        <v>#NAME?</v>
      </c>
      <c r="B4055">
        <v>393.75</v>
      </c>
      <c r="C4055">
        <v>20.531590000000001</v>
      </c>
      <c r="D4055">
        <v>69</v>
      </c>
      <c r="E4055">
        <v>0</v>
      </c>
      <c r="F4055">
        <v>0</v>
      </c>
      <c r="G4055">
        <v>0</v>
      </c>
      <c r="H4055" s="4">
        <v>1570544814988</v>
      </c>
      <c r="I4055">
        <v>526.6875</v>
      </c>
      <c r="J4055" s="9">
        <f t="shared" si="63"/>
        <v>43746.893691990736</v>
      </c>
      <c r="K4055" s="1"/>
    </row>
    <row r="4056" spans="1:11" x14ac:dyDescent="0.25">
      <c r="A4056" t="e">
        <f>-Lqfl1l7sdDHZz4kDkS5</f>
        <v>#NAME?</v>
      </c>
      <c r="B4056">
        <v>393.75</v>
      </c>
      <c r="C4056">
        <v>20.478950000000001</v>
      </c>
      <c r="D4056">
        <v>69</v>
      </c>
      <c r="E4056">
        <v>0</v>
      </c>
      <c r="F4056">
        <v>0</v>
      </c>
      <c r="G4056">
        <v>0</v>
      </c>
      <c r="H4056" s="4">
        <v>1570544821952</v>
      </c>
      <c r="I4056">
        <v>526.6875</v>
      </c>
      <c r="J4056" s="9">
        <f t="shared" si="63"/>
        <v>43746.893772592586</v>
      </c>
      <c r="K4056" s="1"/>
    </row>
    <row r="4057" spans="1:11" x14ac:dyDescent="0.25">
      <c r="A4057" t="e">
        <f>-Lqfl3K7pIvyCOPGDr_S</f>
        <v>#NAME?</v>
      </c>
      <c r="B4057">
        <v>393.75</v>
      </c>
      <c r="C4057">
        <v>20.531590000000001</v>
      </c>
      <c r="D4057">
        <v>69</v>
      </c>
      <c r="E4057">
        <v>0</v>
      </c>
      <c r="F4057">
        <v>0</v>
      </c>
      <c r="G4057">
        <v>4</v>
      </c>
      <c r="H4057" s="4">
        <v>1570544828378</v>
      </c>
      <c r="I4057">
        <v>526.5</v>
      </c>
      <c r="J4057" s="9">
        <f t="shared" si="63"/>
        <v>43746.893846967585</v>
      </c>
      <c r="K4057" s="1"/>
    </row>
    <row r="4058" spans="1:11" x14ac:dyDescent="0.25">
      <c r="A4058" t="e">
        <f>-Lqfl527Lj03av2zpBPp</f>
        <v>#NAME?</v>
      </c>
      <c r="B4058">
        <v>393.75</v>
      </c>
      <c r="C4058">
        <v>20.584240000000001</v>
      </c>
      <c r="D4058">
        <v>68</v>
      </c>
      <c r="E4058">
        <v>0</v>
      </c>
      <c r="F4058">
        <v>0</v>
      </c>
      <c r="G4058">
        <v>9</v>
      </c>
      <c r="H4058" s="4">
        <v>1570544835608</v>
      </c>
      <c r="I4058">
        <v>526.5</v>
      </c>
      <c r="J4058" s="9">
        <f t="shared" si="63"/>
        <v>43746.893930648141</v>
      </c>
      <c r="K4058" s="1"/>
    </row>
    <row r="4059" spans="1:11" x14ac:dyDescent="0.25">
      <c r="A4059" t="e">
        <f>-Lqfl6cN6inXqkrHfjSv</f>
        <v>#NAME?</v>
      </c>
      <c r="B4059">
        <v>393.75</v>
      </c>
      <c r="C4059">
        <v>20.531590000000001</v>
      </c>
      <c r="D4059">
        <v>67</v>
      </c>
      <c r="E4059">
        <v>0</v>
      </c>
      <c r="F4059">
        <v>0</v>
      </c>
      <c r="G4059">
        <v>6</v>
      </c>
      <c r="H4059" s="4">
        <v>1570544841779</v>
      </c>
      <c r="I4059">
        <v>526.6875</v>
      </c>
      <c r="J4059" s="9">
        <f t="shared" si="63"/>
        <v>43746.894002071756</v>
      </c>
      <c r="K4059" s="1"/>
    </row>
    <row r="4060" spans="1:11" x14ac:dyDescent="0.25">
      <c r="A4060" t="e">
        <f>-Lqfl8JCMX9Fsw6CchVI</f>
        <v>#NAME?</v>
      </c>
      <c r="B4060">
        <v>393.75</v>
      </c>
      <c r="C4060">
        <v>20.584240000000001</v>
      </c>
      <c r="D4060">
        <v>67</v>
      </c>
      <c r="E4060">
        <v>0</v>
      </c>
      <c r="F4060">
        <v>0</v>
      </c>
      <c r="G4060">
        <v>2</v>
      </c>
      <c r="H4060" s="4">
        <v>1570544848998</v>
      </c>
      <c r="I4060">
        <v>526.5</v>
      </c>
      <c r="J4060" s="9">
        <f t="shared" si="63"/>
        <v>43746.894085624997</v>
      </c>
      <c r="K4060" s="1"/>
    </row>
    <row r="4061" spans="1:11" x14ac:dyDescent="0.25">
      <c r="A4061" t="e">
        <f>-Lqfl9o9RcWdvn1qWnjh</f>
        <v>#NAME?</v>
      </c>
      <c r="B4061">
        <v>393.75</v>
      </c>
      <c r="C4061">
        <v>20.531590000000001</v>
      </c>
      <c r="D4061">
        <v>69</v>
      </c>
      <c r="E4061">
        <v>0</v>
      </c>
      <c r="F4061">
        <v>0</v>
      </c>
      <c r="G4061">
        <v>2</v>
      </c>
      <c r="H4061" s="4">
        <v>1570544855188</v>
      </c>
      <c r="I4061">
        <v>526.6875</v>
      </c>
      <c r="J4061" s="9">
        <f t="shared" si="63"/>
        <v>43746.894157268514</v>
      </c>
      <c r="K4061" s="1"/>
    </row>
    <row r="4062" spans="1:11" x14ac:dyDescent="0.25">
      <c r="A4062" t="e">
        <f>-LqflBbBN6g7hnfH7xt0</f>
        <v>#NAME?</v>
      </c>
      <c r="B4062">
        <v>393.75</v>
      </c>
      <c r="C4062">
        <v>20.584240000000001</v>
      </c>
      <c r="D4062">
        <v>68</v>
      </c>
      <c r="E4062">
        <v>0</v>
      </c>
      <c r="F4062">
        <v>0</v>
      </c>
      <c r="G4062">
        <v>10</v>
      </c>
      <c r="H4062" s="4">
        <v>1570544862505</v>
      </c>
      <c r="I4062">
        <v>526.6875</v>
      </c>
      <c r="J4062" s="9">
        <f t="shared" si="63"/>
        <v>43746.894241956012</v>
      </c>
      <c r="K4062" s="1"/>
    </row>
    <row r="4063" spans="1:11" x14ac:dyDescent="0.25">
      <c r="A4063" t="e">
        <f>-LqflD2h5Wrs2L0DguUt</f>
        <v>#NAME?</v>
      </c>
      <c r="B4063">
        <v>393.75</v>
      </c>
      <c r="C4063">
        <v>20.531590000000001</v>
      </c>
      <c r="D4063">
        <v>69</v>
      </c>
      <c r="E4063">
        <v>0</v>
      </c>
      <c r="F4063">
        <v>0</v>
      </c>
      <c r="G4063">
        <v>0</v>
      </c>
      <c r="H4063" s="4">
        <v>1570544868564</v>
      </c>
      <c r="I4063">
        <v>526.6875</v>
      </c>
      <c r="J4063" s="9">
        <f t="shared" si="63"/>
        <v>43746.894312083336</v>
      </c>
      <c r="K4063" s="1"/>
    </row>
    <row r="4064" spans="1:11" x14ac:dyDescent="0.25">
      <c r="A4064" t="e">
        <f>-LqflEt2e-wI3igK3Wrz</f>
        <v>#NAME?</v>
      </c>
      <c r="B4064">
        <v>393.75</v>
      </c>
      <c r="C4064">
        <v>20.584240000000001</v>
      </c>
      <c r="D4064">
        <v>68</v>
      </c>
      <c r="E4064">
        <v>0</v>
      </c>
      <c r="F4064">
        <v>0</v>
      </c>
      <c r="G4064">
        <v>9</v>
      </c>
      <c r="H4064" s="4">
        <v>1570544875784</v>
      </c>
      <c r="I4064">
        <v>526.6875</v>
      </c>
      <c r="J4064" s="9">
        <f t="shared" si="63"/>
        <v>43746.894395648145</v>
      </c>
      <c r="K4064" s="1"/>
    </row>
    <row r="4065" spans="1:11" x14ac:dyDescent="0.25">
      <c r="A4065" t="e">
        <f>-LqflGLxhreQaEDpsyOZ</f>
        <v>#NAME?</v>
      </c>
      <c r="B4065">
        <v>393.75</v>
      </c>
      <c r="C4065">
        <v>20.531590000000001</v>
      </c>
      <c r="D4065">
        <v>68</v>
      </c>
      <c r="E4065">
        <v>0</v>
      </c>
      <c r="F4065">
        <v>0</v>
      </c>
      <c r="G4065">
        <v>3</v>
      </c>
      <c r="H4065" s="4">
        <v>1570544881956</v>
      </c>
      <c r="I4065">
        <v>526.5</v>
      </c>
      <c r="J4065" s="9">
        <f t="shared" si="63"/>
        <v>43746.89446708333</v>
      </c>
      <c r="K4065" s="1"/>
    </row>
    <row r="4066" spans="1:11" x14ac:dyDescent="0.25">
      <c r="A4066" t="e">
        <f>-LqflHr29wELzkx_LAok</f>
        <v>#NAME?</v>
      </c>
      <c r="B4066">
        <v>393.75</v>
      </c>
      <c r="C4066">
        <v>20.531590000000001</v>
      </c>
      <c r="D4066">
        <v>70</v>
      </c>
      <c r="E4066">
        <v>0</v>
      </c>
      <c r="F4066">
        <v>0</v>
      </c>
      <c r="G4066">
        <v>9</v>
      </c>
      <c r="H4066" s="4">
        <v>1570544888144</v>
      </c>
      <c r="I4066">
        <v>526.5</v>
      </c>
      <c r="J4066" s="9">
        <f t="shared" si="63"/>
        <v>43746.894538703702</v>
      </c>
      <c r="K4066" s="1"/>
    </row>
    <row r="4067" spans="1:11" x14ac:dyDescent="0.25">
      <c r="A4067" t="e">
        <f>-LqflJQ2WH4AKBJs9ii7</f>
        <v>#NAME?</v>
      </c>
      <c r="B4067">
        <v>393.75</v>
      </c>
      <c r="C4067">
        <v>20.531590000000001</v>
      </c>
      <c r="D4067">
        <v>70</v>
      </c>
      <c r="E4067">
        <v>0</v>
      </c>
      <c r="F4067">
        <v>0</v>
      </c>
      <c r="G4067">
        <v>0</v>
      </c>
      <c r="H4067" s="4">
        <v>1570544894335</v>
      </c>
      <c r="I4067">
        <v>526.6875</v>
      </c>
      <c r="J4067" s="9">
        <f t="shared" si="63"/>
        <v>43746.894610358795</v>
      </c>
      <c r="K4067" s="1"/>
    </row>
    <row r="4068" spans="1:11" x14ac:dyDescent="0.25">
      <c r="A4068" t="e">
        <f>-LqflL84cUiCm4A31nH8</f>
        <v>#NAME?</v>
      </c>
      <c r="B4068">
        <v>393.75</v>
      </c>
      <c r="C4068">
        <v>20.531590000000001</v>
      </c>
      <c r="D4068">
        <v>70</v>
      </c>
      <c r="E4068">
        <v>0</v>
      </c>
      <c r="F4068">
        <v>0</v>
      </c>
      <c r="G4068">
        <v>10</v>
      </c>
      <c r="H4068" s="4">
        <v>1570544901523</v>
      </c>
      <c r="I4068">
        <v>526.6875</v>
      </c>
      <c r="J4068" s="9">
        <f t="shared" si="63"/>
        <v>43746.894693553237</v>
      </c>
      <c r="K4068" s="1"/>
    </row>
    <row r="4069" spans="1:11" x14ac:dyDescent="0.25">
      <c r="A4069" t="e">
        <f>-LqflMfzPEZIn9Gy5s07</f>
        <v>#NAME?</v>
      </c>
      <c r="B4069">
        <v>393.75</v>
      </c>
      <c r="C4069">
        <v>20.531590000000001</v>
      </c>
      <c r="D4069">
        <v>66</v>
      </c>
      <c r="E4069">
        <v>0</v>
      </c>
      <c r="F4069">
        <v>0</v>
      </c>
      <c r="G4069">
        <v>7</v>
      </c>
      <c r="H4069" s="4">
        <v>1570544907735</v>
      </c>
      <c r="I4069">
        <v>526.6875</v>
      </c>
      <c r="J4069" s="9">
        <f t="shared" si="63"/>
        <v>43746.894765451383</v>
      </c>
      <c r="K4069" s="1"/>
    </row>
    <row r="4070" spans="1:11" x14ac:dyDescent="0.25">
      <c r="A4070" t="e">
        <f>-LqflOOc3IXQdyC77hGr</f>
        <v>#NAME?</v>
      </c>
      <c r="B4070">
        <v>393.75</v>
      </c>
      <c r="C4070">
        <v>20.531590000000001</v>
      </c>
      <c r="D4070">
        <v>66</v>
      </c>
      <c r="E4070">
        <v>0</v>
      </c>
      <c r="F4070">
        <v>0</v>
      </c>
      <c r="G4070">
        <v>10</v>
      </c>
      <c r="H4070" s="4">
        <v>1570544914914</v>
      </c>
      <c r="I4070">
        <v>526.6875</v>
      </c>
      <c r="J4070" s="9">
        <f t="shared" si="63"/>
        <v>43746.894848541669</v>
      </c>
      <c r="K4070" s="1"/>
    </row>
    <row r="4071" spans="1:11" x14ac:dyDescent="0.25">
      <c r="A4071" t="e">
        <f>-LqflPsyBi7UzRsyynqk</f>
        <v>#NAME?</v>
      </c>
      <c r="B4071">
        <v>393.75</v>
      </c>
      <c r="C4071">
        <v>20.584240000000001</v>
      </c>
      <c r="D4071">
        <v>67</v>
      </c>
      <c r="E4071">
        <v>0</v>
      </c>
      <c r="F4071">
        <v>0</v>
      </c>
      <c r="G4071">
        <v>8</v>
      </c>
      <c r="H4071" s="4">
        <v>1570544921122</v>
      </c>
      <c r="I4071">
        <v>526.6875</v>
      </c>
      <c r="J4071" s="9">
        <f t="shared" si="63"/>
        <v>43746.894920393512</v>
      </c>
      <c r="K4071" s="1"/>
    </row>
    <row r="4072" spans="1:11" x14ac:dyDescent="0.25">
      <c r="A4072" t="s">
        <v>219</v>
      </c>
      <c r="B4072">
        <v>393.75</v>
      </c>
      <c r="C4072">
        <v>20.584240000000001</v>
      </c>
      <c r="D4072">
        <v>65</v>
      </c>
      <c r="E4072">
        <v>0</v>
      </c>
      <c r="F4072">
        <v>0</v>
      </c>
      <c r="G4072">
        <v>10</v>
      </c>
      <c r="H4072" s="4">
        <v>1570544927304</v>
      </c>
      <c r="I4072">
        <v>526.6875</v>
      </c>
      <c r="J4072" s="9">
        <f t="shared" si="63"/>
        <v>43746.894991944442</v>
      </c>
      <c r="K4072" s="1"/>
    </row>
    <row r="4073" spans="1:11" x14ac:dyDescent="0.25">
      <c r="A4073" t="e">
        <f>-LqflSvyySKhg84GDZwh</f>
        <v>#NAME?</v>
      </c>
      <c r="B4073">
        <v>393.75</v>
      </c>
      <c r="C4073">
        <v>20.531590000000001</v>
      </c>
      <c r="D4073">
        <v>66</v>
      </c>
      <c r="E4073">
        <v>0</v>
      </c>
      <c r="F4073">
        <v>0</v>
      </c>
      <c r="G4073">
        <v>6</v>
      </c>
      <c r="H4073" s="4">
        <v>1570544933492</v>
      </c>
      <c r="I4073">
        <v>526.6875</v>
      </c>
      <c r="J4073" s="9">
        <f t="shared" si="63"/>
        <v>43746.895063564814</v>
      </c>
      <c r="K4073" s="1"/>
    </row>
    <row r="4074" spans="1:11" x14ac:dyDescent="0.25">
      <c r="A4074" t="e">
        <f>-LqflUR3mhKHYmIR9vIQ</f>
        <v>#NAME?</v>
      </c>
      <c r="B4074">
        <v>393.75</v>
      </c>
      <c r="C4074">
        <v>20.531590000000001</v>
      </c>
      <c r="D4074">
        <v>66</v>
      </c>
      <c r="E4074">
        <v>0</v>
      </c>
      <c r="F4074">
        <v>0</v>
      </c>
      <c r="G4074">
        <v>11</v>
      </c>
      <c r="H4074" s="4">
        <v>1570544939674</v>
      </c>
      <c r="I4074">
        <v>526.6875</v>
      </c>
      <c r="J4074" s="9">
        <f t="shared" si="63"/>
        <v>43746.895135115738</v>
      </c>
      <c r="K4074" s="1"/>
    </row>
    <row r="4075" spans="1:11" x14ac:dyDescent="0.25">
      <c r="A4075" t="s">
        <v>220</v>
      </c>
      <c r="B4075">
        <v>393.75</v>
      </c>
      <c r="C4075">
        <v>20.584240000000001</v>
      </c>
      <c r="D4075">
        <v>66</v>
      </c>
      <c r="E4075">
        <v>0</v>
      </c>
      <c r="F4075">
        <v>0</v>
      </c>
      <c r="G4075">
        <v>1</v>
      </c>
      <c r="H4075" s="4">
        <v>1570544945853</v>
      </c>
      <c r="I4075">
        <v>526.6875</v>
      </c>
      <c r="J4075" s="9">
        <f t="shared" si="63"/>
        <v>43746.89520663194</v>
      </c>
      <c r="K4075" s="1"/>
    </row>
    <row r="4076" spans="1:11" x14ac:dyDescent="0.25">
      <c r="A4076" t="e">
        <f>-LqflXSy_5EqpP5usct3</f>
        <v>#NAME?</v>
      </c>
      <c r="B4076">
        <v>393.75</v>
      </c>
      <c r="C4076">
        <v>20.531590000000001</v>
      </c>
      <c r="D4076">
        <v>66</v>
      </c>
      <c r="E4076">
        <v>0</v>
      </c>
      <c r="F4076">
        <v>0</v>
      </c>
      <c r="G4076">
        <v>6</v>
      </c>
      <c r="H4076" s="4">
        <v>1570544952034</v>
      </c>
      <c r="I4076">
        <v>526.6875</v>
      </c>
      <c r="J4076" s="9">
        <f t="shared" si="63"/>
        <v>43746.895278171294</v>
      </c>
      <c r="K4076" s="1"/>
    </row>
    <row r="4077" spans="1:11" x14ac:dyDescent="0.25">
      <c r="A4077" t="e">
        <f>-LqflYwyD8iJ1eO54wNt</f>
        <v>#NAME?</v>
      </c>
      <c r="B4077">
        <v>393.75</v>
      </c>
      <c r="C4077">
        <v>20.531590000000001</v>
      </c>
      <c r="D4077">
        <v>66</v>
      </c>
      <c r="E4077">
        <v>0</v>
      </c>
      <c r="F4077">
        <v>0</v>
      </c>
      <c r="G4077">
        <v>6</v>
      </c>
      <c r="H4077" s="4">
        <v>1570544958233</v>
      </c>
      <c r="I4077">
        <v>526.6875</v>
      </c>
      <c r="J4077" s="9">
        <f t="shared" si="63"/>
        <v>43746.895349918974</v>
      </c>
      <c r="K4077" s="1"/>
    </row>
    <row r="4078" spans="1:11" x14ac:dyDescent="0.25">
      <c r="A4078" t="e">
        <f>-Lqfl_SDjVAExuCWRjTT</f>
        <v>#NAME?</v>
      </c>
      <c r="B4078">
        <v>393.75</v>
      </c>
      <c r="C4078">
        <v>20.531590000000001</v>
      </c>
      <c r="D4078">
        <v>66</v>
      </c>
      <c r="E4078">
        <v>0</v>
      </c>
      <c r="F4078">
        <v>0</v>
      </c>
      <c r="G4078">
        <v>6</v>
      </c>
      <c r="H4078" s="4">
        <v>1570544964403</v>
      </c>
      <c r="I4078">
        <v>526.6875</v>
      </c>
      <c r="J4078" s="9">
        <f t="shared" si="63"/>
        <v>43746.895421331013</v>
      </c>
      <c r="K4078" s="1"/>
    </row>
    <row r="4079" spans="1:11" x14ac:dyDescent="0.25">
      <c r="A4079" t="s">
        <v>221</v>
      </c>
      <c r="B4079">
        <v>393.75</v>
      </c>
      <c r="C4079">
        <v>20.531590000000001</v>
      </c>
      <c r="D4079">
        <v>66</v>
      </c>
      <c r="E4079">
        <v>0</v>
      </c>
      <c r="F4079">
        <v>0</v>
      </c>
      <c r="G4079">
        <v>7</v>
      </c>
      <c r="H4079" s="4">
        <v>1570544970583</v>
      </c>
      <c r="I4079">
        <v>526.6875</v>
      </c>
      <c r="J4079" s="9">
        <f t="shared" si="63"/>
        <v>43746.895492858799</v>
      </c>
      <c r="K4079" s="1"/>
    </row>
    <row r="4080" spans="1:11" x14ac:dyDescent="0.25">
      <c r="A4080" t="e">
        <f>-LqflcpJzkDiERH9LUij</f>
        <v>#NAME?</v>
      </c>
      <c r="B4080">
        <v>393.75</v>
      </c>
      <c r="C4080">
        <v>20.531590000000001</v>
      </c>
      <c r="D4080">
        <v>68</v>
      </c>
      <c r="E4080">
        <v>0</v>
      </c>
      <c r="F4080">
        <v>0</v>
      </c>
      <c r="G4080">
        <v>12</v>
      </c>
      <c r="H4080" s="4">
        <v>1570544977801</v>
      </c>
      <c r="I4080">
        <v>526.6875</v>
      </c>
      <c r="J4080" s="9">
        <f t="shared" si="63"/>
        <v>43746.895576400457</v>
      </c>
      <c r="K4080" s="1"/>
    </row>
    <row r="4081" spans="1:11" x14ac:dyDescent="0.25">
      <c r="A4081" t="e">
        <f>-LqfleVwxPbAjdK2JPVx</f>
        <v>#NAME?</v>
      </c>
      <c r="B4081">
        <v>393.75</v>
      </c>
      <c r="C4081">
        <v>20.531590000000001</v>
      </c>
      <c r="D4081">
        <v>69</v>
      </c>
      <c r="E4081">
        <v>0</v>
      </c>
      <c r="F4081">
        <v>0</v>
      </c>
      <c r="G4081">
        <v>0</v>
      </c>
      <c r="H4081" s="4">
        <v>1570544985015</v>
      </c>
      <c r="I4081">
        <v>526.6875</v>
      </c>
      <c r="J4081" s="9">
        <f t="shared" si="63"/>
        <v>43746.895659895832</v>
      </c>
      <c r="K4081" s="1"/>
    </row>
    <row r="4082" spans="1:11" x14ac:dyDescent="0.25">
      <c r="A4082" t="e">
        <f>-Lqflg03ntt6VKruyuva</f>
        <v>#NAME?</v>
      </c>
      <c r="B4082">
        <v>393.75</v>
      </c>
      <c r="C4082">
        <v>20.584240000000001</v>
      </c>
      <c r="D4082">
        <v>70</v>
      </c>
      <c r="E4082">
        <v>0</v>
      </c>
      <c r="F4082">
        <v>0</v>
      </c>
      <c r="G4082">
        <v>8</v>
      </c>
      <c r="H4082" s="4">
        <v>1570544991194</v>
      </c>
      <c r="I4082">
        <v>526.6875</v>
      </c>
      <c r="J4082" s="9">
        <f t="shared" si="63"/>
        <v>43746.895731412034</v>
      </c>
      <c r="K4082" s="1"/>
    </row>
    <row r="4083" spans="1:11" x14ac:dyDescent="0.25">
      <c r="A4083" t="e">
        <f>-Lqflh_AMN7E3_mkdYKP</f>
        <v>#NAME?</v>
      </c>
      <c r="B4083">
        <v>393.75</v>
      </c>
      <c r="C4083">
        <v>20.478950000000001</v>
      </c>
      <c r="D4083">
        <v>70</v>
      </c>
      <c r="E4083">
        <v>0</v>
      </c>
      <c r="F4083">
        <v>0</v>
      </c>
      <c r="G4083">
        <v>6</v>
      </c>
      <c r="H4083" s="4">
        <v>1570544997373</v>
      </c>
      <c r="I4083">
        <v>526.6875</v>
      </c>
      <c r="J4083" s="9">
        <f t="shared" si="63"/>
        <v>43746.895802928237</v>
      </c>
      <c r="K4083" s="1"/>
    </row>
    <row r="4084" spans="1:11" x14ac:dyDescent="0.25">
      <c r="A4084" t="e">
        <f>-Lqflj1ysgaIwcDiqDHX</f>
        <v>#NAME?</v>
      </c>
      <c r="B4084">
        <v>393.75</v>
      </c>
      <c r="C4084">
        <v>20.531590000000001</v>
      </c>
      <c r="D4084">
        <v>70</v>
      </c>
      <c r="E4084">
        <v>0</v>
      </c>
      <c r="F4084">
        <v>0</v>
      </c>
      <c r="G4084">
        <v>9</v>
      </c>
      <c r="H4084" s="4">
        <v>1570545003553</v>
      </c>
      <c r="I4084">
        <v>526.6875</v>
      </c>
      <c r="J4084" s="9">
        <f t="shared" si="63"/>
        <v>43746.895874456015</v>
      </c>
      <c r="K4084" s="1"/>
    </row>
    <row r="4085" spans="1:11" x14ac:dyDescent="0.25">
      <c r="A4085" t="e">
        <f>-LqflkY29r8dqEch8IaP</f>
        <v>#NAME?</v>
      </c>
      <c r="B4085">
        <v>393.75</v>
      </c>
      <c r="C4085">
        <v>20.531590000000001</v>
      </c>
      <c r="D4085">
        <v>61</v>
      </c>
      <c r="E4085">
        <v>0</v>
      </c>
      <c r="F4085">
        <v>0</v>
      </c>
      <c r="G4085">
        <v>15</v>
      </c>
      <c r="H4085" s="4">
        <v>1570545009749</v>
      </c>
      <c r="I4085">
        <v>526.6875</v>
      </c>
      <c r="J4085" s="9">
        <f t="shared" si="63"/>
        <v>43746.895946168974</v>
      </c>
      <c r="K4085" s="1"/>
    </row>
    <row r="4086" spans="1:11" x14ac:dyDescent="0.25">
      <c r="A4086" t="e">
        <f>-Lqflm628XiePotCBODN</f>
        <v>#NAME?</v>
      </c>
      <c r="B4086">
        <v>393.75</v>
      </c>
      <c r="C4086">
        <v>20.531590000000001</v>
      </c>
      <c r="D4086">
        <v>61</v>
      </c>
      <c r="E4086">
        <v>0</v>
      </c>
      <c r="F4086">
        <v>0</v>
      </c>
      <c r="G4086">
        <v>7</v>
      </c>
      <c r="H4086" s="4">
        <v>1570545016109</v>
      </c>
      <c r="I4086">
        <v>526.6875</v>
      </c>
      <c r="J4086" s="9">
        <f t="shared" si="63"/>
        <v>43746.896019780092</v>
      </c>
      <c r="K4086" s="1"/>
    </row>
    <row r="4087" spans="1:11" x14ac:dyDescent="0.25">
      <c r="A4087" t="e">
        <f>-LqflnmidzSqP7ehzHv3</f>
        <v>#NAME?</v>
      </c>
      <c r="B4087">
        <v>393.75</v>
      </c>
      <c r="C4087">
        <v>20.531590000000001</v>
      </c>
      <c r="D4087">
        <v>65</v>
      </c>
      <c r="E4087">
        <v>0</v>
      </c>
      <c r="F4087">
        <v>0</v>
      </c>
      <c r="G4087">
        <v>5</v>
      </c>
      <c r="H4087" s="4">
        <v>1570545023123</v>
      </c>
      <c r="I4087">
        <v>526.6875</v>
      </c>
      <c r="J4087" s="9">
        <f t="shared" si="63"/>
        <v>43746.89610096065</v>
      </c>
      <c r="K4087" s="1"/>
    </row>
    <row r="4088" spans="1:11" x14ac:dyDescent="0.25">
      <c r="A4088" t="e">
        <f>-LqflpO2xMHk6cdBtpcw</f>
        <v>#NAME?</v>
      </c>
      <c r="B4088">
        <v>393.75</v>
      </c>
      <c r="C4088">
        <v>20.531590000000001</v>
      </c>
      <c r="D4088">
        <v>66</v>
      </c>
      <c r="E4088">
        <v>0</v>
      </c>
      <c r="F4088">
        <v>0</v>
      </c>
      <c r="G4088">
        <v>8</v>
      </c>
      <c r="H4088" s="4">
        <v>1570545029323</v>
      </c>
      <c r="I4088">
        <v>526.6875</v>
      </c>
      <c r="J4088" s="9">
        <f t="shared" si="63"/>
        <v>43746.896172719906</v>
      </c>
      <c r="K4088" s="1"/>
    </row>
    <row r="4089" spans="1:11" x14ac:dyDescent="0.25">
      <c r="A4089" t="e">
        <f>-Lqflr4xwBLEC_99R59a</f>
        <v>#NAME?</v>
      </c>
      <c r="B4089">
        <v>393.75</v>
      </c>
      <c r="C4089">
        <v>20.584240000000001</v>
      </c>
      <c r="D4089">
        <v>68</v>
      </c>
      <c r="E4089">
        <v>0</v>
      </c>
      <c r="F4089">
        <v>0</v>
      </c>
      <c r="G4089">
        <v>10</v>
      </c>
      <c r="H4089" s="4">
        <v>1570545036534</v>
      </c>
      <c r="I4089">
        <v>526.6875</v>
      </c>
      <c r="J4089" s="9">
        <f t="shared" si="63"/>
        <v>43746.896256180553</v>
      </c>
      <c r="K4089" s="1"/>
    </row>
    <row r="4090" spans="1:11" x14ac:dyDescent="0.25">
      <c r="A4090" t="e">
        <f>-LqflsZn01zrCF96_IiM</f>
        <v>#NAME?</v>
      </c>
      <c r="B4090">
        <v>393.75</v>
      </c>
      <c r="C4090">
        <v>20.584240000000001</v>
      </c>
      <c r="D4090">
        <v>68</v>
      </c>
      <c r="E4090">
        <v>0</v>
      </c>
      <c r="F4090">
        <v>0</v>
      </c>
      <c r="G4090">
        <v>4</v>
      </c>
      <c r="H4090" s="4">
        <v>1570545042714</v>
      </c>
      <c r="I4090">
        <v>526.6875</v>
      </c>
      <c r="J4090" s="9">
        <f t="shared" si="63"/>
        <v>43746.896327708331</v>
      </c>
      <c r="K4090" s="1"/>
    </row>
    <row r="4091" spans="1:11" x14ac:dyDescent="0.25">
      <c r="A4091" t="e">
        <f>-LqfluCxOIfbZmZzwSkK</f>
        <v>#NAME?</v>
      </c>
      <c r="B4091">
        <v>393.75</v>
      </c>
      <c r="C4091">
        <v>20.531590000000001</v>
      </c>
      <c r="D4091">
        <v>68</v>
      </c>
      <c r="E4091">
        <v>0</v>
      </c>
      <c r="F4091">
        <v>0</v>
      </c>
      <c r="G4091">
        <v>9</v>
      </c>
      <c r="H4091" s="4">
        <v>1570545049283</v>
      </c>
      <c r="I4091">
        <v>526.6875</v>
      </c>
      <c r="J4091" s="9">
        <f t="shared" si="63"/>
        <v>43746.896403738421</v>
      </c>
      <c r="K4091" s="1"/>
    </row>
    <row r="4092" spans="1:11" x14ac:dyDescent="0.25">
      <c r="A4092" t="e">
        <f>-Lqflvs26ZSn6d1-gTgm</f>
        <v>#NAME?</v>
      </c>
      <c r="B4092">
        <v>412.5</v>
      </c>
      <c r="C4092">
        <v>20.584240000000001</v>
      </c>
      <c r="D4092">
        <v>66</v>
      </c>
      <c r="E4092">
        <v>0</v>
      </c>
      <c r="F4092">
        <v>0</v>
      </c>
      <c r="G4092">
        <v>2</v>
      </c>
      <c r="H4092" s="4">
        <v>1570545056083</v>
      </c>
      <c r="I4092">
        <v>532.6875</v>
      </c>
      <c r="J4092" s="9">
        <f t="shared" si="63"/>
        <v>43746.896482442127</v>
      </c>
      <c r="K4092" s="1"/>
    </row>
    <row r="4093" spans="1:11" x14ac:dyDescent="0.25">
      <c r="A4093" t="e">
        <f>-LqflxPx_rccYGkac3Cg</f>
        <v>#NAME?</v>
      </c>
      <c r="B4093">
        <v>393.75</v>
      </c>
      <c r="C4093">
        <v>20.531590000000001</v>
      </c>
      <c r="D4093">
        <v>66</v>
      </c>
      <c r="E4093">
        <v>0</v>
      </c>
      <c r="F4093">
        <v>0</v>
      </c>
      <c r="G4093">
        <v>9</v>
      </c>
      <c r="H4093" s="4">
        <v>1570545062295</v>
      </c>
      <c r="I4093">
        <v>526.5</v>
      </c>
      <c r="J4093" s="9">
        <f t="shared" si="63"/>
        <v>43746.896554340274</v>
      </c>
      <c r="K4093" s="1"/>
    </row>
    <row r="4094" spans="1:11" x14ac:dyDescent="0.25">
      <c r="A4094" t="e">
        <f>-Lqflz94zOa-CMCtaRUw</f>
        <v>#NAME?</v>
      </c>
      <c r="B4094">
        <v>393.75</v>
      </c>
      <c r="C4094">
        <v>20.478950000000001</v>
      </c>
      <c r="D4094">
        <v>66</v>
      </c>
      <c r="E4094">
        <v>0</v>
      </c>
      <c r="F4094">
        <v>0</v>
      </c>
      <c r="G4094">
        <v>5</v>
      </c>
      <c r="H4094" s="4">
        <v>1570545069526</v>
      </c>
      <c r="I4094">
        <v>526.5</v>
      </c>
      <c r="J4094" s="9">
        <f t="shared" si="63"/>
        <v>43746.896638032405</v>
      </c>
      <c r="K4094" s="1"/>
    </row>
    <row r="4095" spans="1:11" x14ac:dyDescent="0.25">
      <c r="A4095" t="e">
        <f>-Lqfm-w7rghR2LlxEuF1</f>
        <v>#NAME?</v>
      </c>
      <c r="B4095">
        <v>412.5</v>
      </c>
      <c r="C4095">
        <v>20.531590000000001</v>
      </c>
      <c r="D4095">
        <v>66</v>
      </c>
      <c r="E4095">
        <v>0</v>
      </c>
      <c r="F4095">
        <v>0</v>
      </c>
      <c r="G4095">
        <v>2</v>
      </c>
      <c r="H4095" s="4">
        <v>1570545075693</v>
      </c>
      <c r="I4095">
        <v>532.125</v>
      </c>
      <c r="J4095" s="9">
        <f t="shared" si="63"/>
        <v>43746.896709409724</v>
      </c>
      <c r="K4095" s="1"/>
    </row>
    <row r="4096" spans="1:11" x14ac:dyDescent="0.25">
      <c r="A4096" t="e">
        <f>-Lqfm1f4GyifpE-u4xKC</f>
        <v>#NAME?</v>
      </c>
      <c r="B4096">
        <v>393.75</v>
      </c>
      <c r="C4096">
        <v>20.584240000000001</v>
      </c>
      <c r="D4096">
        <v>68</v>
      </c>
      <c r="E4096">
        <v>0</v>
      </c>
      <c r="F4096">
        <v>0</v>
      </c>
      <c r="G4096">
        <v>15</v>
      </c>
      <c r="H4096" s="4">
        <v>1570545083925</v>
      </c>
      <c r="I4096">
        <v>526.6875</v>
      </c>
      <c r="J4096" s="9">
        <f t="shared" si="63"/>
        <v>43746.896804687502</v>
      </c>
      <c r="K4096" s="1"/>
    </row>
    <row r="4097" spans="1:11" x14ac:dyDescent="0.25">
      <c r="A4097" t="e">
        <f>-Lqfm3E3Deapg563qpFt</f>
        <v>#NAME?</v>
      </c>
      <c r="B4097">
        <v>393.75</v>
      </c>
      <c r="C4097">
        <v>20.584240000000001</v>
      </c>
      <c r="D4097">
        <v>68</v>
      </c>
      <c r="E4097">
        <v>0</v>
      </c>
      <c r="F4097">
        <v>0</v>
      </c>
      <c r="G4097">
        <v>2</v>
      </c>
      <c r="H4097" s="4">
        <v>1570545090125</v>
      </c>
      <c r="I4097">
        <v>526.6875</v>
      </c>
      <c r="J4097" s="9">
        <f t="shared" si="63"/>
        <v>43746.896876446757</v>
      </c>
      <c r="K4097" s="1"/>
    </row>
    <row r="4098" spans="1:11" x14ac:dyDescent="0.25">
      <c r="A4098" t="e">
        <f>-Lqfm4x5VRBY0ZG3JQyL</f>
        <v>#NAME?</v>
      </c>
      <c r="B4098">
        <v>393.75</v>
      </c>
      <c r="C4098">
        <v>20.584240000000001</v>
      </c>
      <c r="D4098">
        <v>68</v>
      </c>
      <c r="E4098">
        <v>0</v>
      </c>
      <c r="F4098">
        <v>0</v>
      </c>
      <c r="G4098">
        <v>9</v>
      </c>
      <c r="H4098" s="4">
        <v>1570545097335</v>
      </c>
      <c r="I4098">
        <v>526.6875</v>
      </c>
      <c r="J4098" s="9">
        <f t="shared" si="63"/>
        <v>43746.896959895828</v>
      </c>
      <c r="K4098" s="1"/>
    </row>
    <row r="4099" spans="1:11" x14ac:dyDescent="0.25">
      <c r="A4099" t="e">
        <f>-Lqfm6Q-CB6EUSN2FlOZ</f>
        <v>#NAME?</v>
      </c>
      <c r="B4099">
        <v>393.75</v>
      </c>
      <c r="C4099">
        <v>20.584240000000001</v>
      </c>
      <c r="D4099">
        <v>68</v>
      </c>
      <c r="E4099">
        <v>0</v>
      </c>
      <c r="F4099">
        <v>0</v>
      </c>
      <c r="G4099">
        <v>16</v>
      </c>
      <c r="H4099" s="4">
        <v>1570545103515</v>
      </c>
      <c r="I4099">
        <v>526.6875</v>
      </c>
      <c r="J4099" s="9">
        <f t="shared" ref="J4099:J4162" si="64">(H4099/86400000)+25569+(7/24)</f>
        <v>43746.897031423614</v>
      </c>
      <c r="K4099" s="1"/>
    </row>
    <row r="4100" spans="1:11" x14ac:dyDescent="0.25">
      <c r="A4100" t="s">
        <v>222</v>
      </c>
      <c r="B4100">
        <v>393.75</v>
      </c>
      <c r="C4100">
        <v>20.531590000000001</v>
      </c>
      <c r="D4100">
        <v>68</v>
      </c>
      <c r="E4100">
        <v>0</v>
      </c>
      <c r="F4100">
        <v>0</v>
      </c>
      <c r="G4100">
        <v>11</v>
      </c>
      <c r="H4100" s="4">
        <v>1570545109705</v>
      </c>
      <c r="I4100">
        <v>526.6875</v>
      </c>
      <c r="J4100" s="9">
        <f t="shared" si="64"/>
        <v>43746.897103067131</v>
      </c>
      <c r="K4100" s="1"/>
    </row>
    <row r="4101" spans="1:11" x14ac:dyDescent="0.25">
      <c r="A4101" t="e">
        <f>-Lqfm9U4JUxRLtyDP7v7</f>
        <v>#NAME?</v>
      </c>
      <c r="B4101">
        <v>412.5</v>
      </c>
      <c r="C4101">
        <v>20.584240000000001</v>
      </c>
      <c r="D4101">
        <v>68</v>
      </c>
      <c r="E4101">
        <v>0</v>
      </c>
      <c r="F4101">
        <v>0</v>
      </c>
      <c r="G4101">
        <v>17</v>
      </c>
      <c r="H4101" s="4">
        <v>1570545115877</v>
      </c>
      <c r="I4101">
        <v>532.3125</v>
      </c>
      <c r="J4101" s="9">
        <f t="shared" si="64"/>
        <v>43746.897174502308</v>
      </c>
      <c r="K4101" s="1"/>
    </row>
    <row r="4102" spans="1:11" x14ac:dyDescent="0.25">
      <c r="A4102" t="s">
        <v>223</v>
      </c>
      <c r="B4102">
        <v>393.75</v>
      </c>
      <c r="C4102">
        <v>20.584240000000001</v>
      </c>
      <c r="D4102">
        <v>68</v>
      </c>
      <c r="E4102">
        <v>0</v>
      </c>
      <c r="F4102">
        <v>0</v>
      </c>
      <c r="G4102">
        <v>8</v>
      </c>
      <c r="H4102" s="4">
        <v>1570545122164</v>
      </c>
      <c r="I4102">
        <v>526.6875</v>
      </c>
      <c r="J4102" s="9">
        <f t="shared" si="64"/>
        <v>43746.89724726852</v>
      </c>
      <c r="K4102" s="1"/>
    </row>
    <row r="4103" spans="1:11" x14ac:dyDescent="0.25">
      <c r="A4103" t="e">
        <f>-LqfmClE_wwL_wkcgFWW</f>
        <v>#NAME?</v>
      </c>
      <c r="B4103">
        <v>393.75</v>
      </c>
      <c r="C4103">
        <v>20.531590000000001</v>
      </c>
      <c r="D4103">
        <v>69</v>
      </c>
      <c r="E4103">
        <v>0</v>
      </c>
      <c r="F4103">
        <v>0</v>
      </c>
      <c r="G4103">
        <v>8</v>
      </c>
      <c r="H4103" s="4">
        <v>1570545129286</v>
      </c>
      <c r="I4103">
        <v>526.6875</v>
      </c>
      <c r="J4103" s="9">
        <f t="shared" si="64"/>
        <v>43746.897329699073</v>
      </c>
      <c r="K4103" s="1"/>
    </row>
    <row r="4104" spans="1:11" x14ac:dyDescent="0.25">
      <c r="A4104" t="e">
        <f>-LqfmEY0DwBif24rMt-l</f>
        <v>#NAME?</v>
      </c>
      <c r="B4104">
        <v>393.75</v>
      </c>
      <c r="C4104">
        <v>20.478950000000001</v>
      </c>
      <c r="D4104">
        <v>68</v>
      </c>
      <c r="E4104">
        <v>0</v>
      </c>
      <c r="F4104">
        <v>0</v>
      </c>
      <c r="G4104">
        <v>9</v>
      </c>
      <c r="H4104" s="4">
        <v>1570545136495</v>
      </c>
      <c r="I4104">
        <v>526.6875</v>
      </c>
      <c r="J4104" s="9">
        <f t="shared" si="64"/>
        <v>43746.897413136576</v>
      </c>
      <c r="K4104" s="1"/>
    </row>
    <row r="4105" spans="1:11" x14ac:dyDescent="0.25">
      <c r="A4105" t="e">
        <f>-LqfmGH40NUHZq7XSKPQ</f>
        <v>#NAME?</v>
      </c>
      <c r="B4105">
        <v>393.75</v>
      </c>
      <c r="C4105">
        <v>20.478950000000001</v>
      </c>
      <c r="D4105">
        <v>68</v>
      </c>
      <c r="E4105">
        <v>0</v>
      </c>
      <c r="F4105">
        <v>0</v>
      </c>
      <c r="G4105">
        <v>14</v>
      </c>
      <c r="H4105" s="4">
        <v>1570545143715</v>
      </c>
      <c r="I4105">
        <v>526.6875</v>
      </c>
      <c r="J4105" s="9">
        <f t="shared" si="64"/>
        <v>43746.897496701386</v>
      </c>
      <c r="K4105" s="1"/>
    </row>
    <row r="4106" spans="1:11" x14ac:dyDescent="0.25">
      <c r="A4106" t="e">
        <f>-LqfmHlhzHp405PKusK4</f>
        <v>#NAME?</v>
      </c>
      <c r="B4106">
        <v>393.75</v>
      </c>
      <c r="C4106">
        <v>20.584240000000001</v>
      </c>
      <c r="D4106">
        <v>68</v>
      </c>
      <c r="E4106">
        <v>0</v>
      </c>
      <c r="F4106">
        <v>0</v>
      </c>
      <c r="G4106">
        <v>9</v>
      </c>
      <c r="H4106" s="4">
        <v>1570545149915</v>
      </c>
      <c r="I4106">
        <v>526.6875</v>
      </c>
      <c r="J4106" s="9">
        <f t="shared" si="64"/>
        <v>43746.897568460648</v>
      </c>
      <c r="K4106" s="1"/>
    </row>
    <row r="4107" spans="1:11" x14ac:dyDescent="0.25">
      <c r="A4107" t="e">
        <f>-LqfmJdGLht1AB4ePDqq</f>
        <v>#NAME?</v>
      </c>
      <c r="B4107">
        <v>412.5</v>
      </c>
      <c r="C4107">
        <v>20.531590000000001</v>
      </c>
      <c r="D4107">
        <v>73</v>
      </c>
      <c r="E4107">
        <v>0</v>
      </c>
      <c r="F4107">
        <v>0</v>
      </c>
      <c r="G4107">
        <v>7</v>
      </c>
      <c r="H4107" s="4">
        <v>1570545156077</v>
      </c>
      <c r="I4107">
        <v>532.3125</v>
      </c>
      <c r="J4107" s="9">
        <f t="shared" si="64"/>
        <v>43746.897639780094</v>
      </c>
      <c r="K4107" s="1"/>
    </row>
    <row r="4108" spans="1:11" x14ac:dyDescent="0.25">
      <c r="A4108" t="e">
        <f>-LqfmLH5JH2vCwh6IeuV</f>
        <v>#NAME?</v>
      </c>
      <c r="B4108">
        <v>393.75</v>
      </c>
      <c r="C4108">
        <v>20.584240000000001</v>
      </c>
      <c r="D4108">
        <v>73</v>
      </c>
      <c r="E4108">
        <v>0</v>
      </c>
      <c r="F4108">
        <v>0</v>
      </c>
      <c r="G4108">
        <v>13</v>
      </c>
      <c r="H4108" s="4">
        <v>1570545164326</v>
      </c>
      <c r="I4108">
        <v>526.5</v>
      </c>
      <c r="J4108" s="9">
        <f t="shared" si="64"/>
        <v>43746.897735254628</v>
      </c>
      <c r="K4108" s="1"/>
    </row>
    <row r="4109" spans="1:11" x14ac:dyDescent="0.25">
      <c r="A4109" t="e">
        <f>-LqfmMq7_Aosk3INXy3v</f>
        <v>#NAME?</v>
      </c>
      <c r="B4109">
        <v>393.75</v>
      </c>
      <c r="C4109">
        <v>20.584240000000001</v>
      </c>
      <c r="D4109">
        <v>72</v>
      </c>
      <c r="E4109">
        <v>0</v>
      </c>
      <c r="F4109">
        <v>0</v>
      </c>
      <c r="G4109">
        <v>11</v>
      </c>
      <c r="H4109" s="4">
        <v>1570545170505</v>
      </c>
      <c r="I4109">
        <v>526.6875</v>
      </c>
      <c r="J4109" s="9">
        <f t="shared" si="64"/>
        <v>43746.89780677083</v>
      </c>
      <c r="K4109" s="1"/>
    </row>
    <row r="4110" spans="1:11" x14ac:dyDescent="0.25">
      <c r="A4110" t="e">
        <f>-LqfmOK6DPRS_g4_6d4T</f>
        <v>#NAME?</v>
      </c>
      <c r="B4110">
        <v>393.75</v>
      </c>
      <c r="C4110">
        <v>20.531590000000001</v>
      </c>
      <c r="D4110">
        <v>72</v>
      </c>
      <c r="E4110">
        <v>0</v>
      </c>
      <c r="F4110">
        <v>0</v>
      </c>
      <c r="G4110">
        <v>7</v>
      </c>
      <c r="H4110" s="4">
        <v>1570545176685</v>
      </c>
      <c r="I4110">
        <v>526.6875</v>
      </c>
      <c r="J4110" s="9">
        <f t="shared" si="64"/>
        <v>43746.897878298609</v>
      </c>
      <c r="K4110" s="1"/>
    </row>
    <row r="4111" spans="1:11" x14ac:dyDescent="0.25">
      <c r="A4111" t="e">
        <f>-LqfmPo45y8FYu8l5Okw</f>
        <v>#NAME?</v>
      </c>
      <c r="B4111">
        <v>393.75</v>
      </c>
      <c r="C4111">
        <v>20.584240000000001</v>
      </c>
      <c r="D4111">
        <v>71</v>
      </c>
      <c r="E4111">
        <v>0</v>
      </c>
      <c r="F4111">
        <v>0</v>
      </c>
      <c r="G4111">
        <v>12</v>
      </c>
      <c r="H4111" s="4">
        <v>1570545182877</v>
      </c>
      <c r="I4111">
        <v>526.6875</v>
      </c>
      <c r="J4111" s="9">
        <f t="shared" si="64"/>
        <v>43746.897949965271</v>
      </c>
      <c r="K4111" s="1"/>
    </row>
    <row r="4112" spans="1:11" x14ac:dyDescent="0.25">
      <c r="A4112" t="e">
        <f>-LqfmRN5pkhQ1btLgd7Q</f>
        <v>#NAME?</v>
      </c>
      <c r="B4112">
        <v>393.75</v>
      </c>
      <c r="C4112">
        <v>20.584240000000001</v>
      </c>
      <c r="D4112">
        <v>71</v>
      </c>
      <c r="E4112">
        <v>0</v>
      </c>
      <c r="F4112">
        <v>0</v>
      </c>
      <c r="G4112">
        <v>17</v>
      </c>
      <c r="H4112" s="4">
        <v>1570545189057</v>
      </c>
      <c r="I4112">
        <v>526.6875</v>
      </c>
      <c r="J4112" s="9">
        <f t="shared" si="64"/>
        <v>43746.898021493056</v>
      </c>
      <c r="K4112" s="1"/>
    </row>
    <row r="4113" spans="1:11" x14ac:dyDescent="0.25">
      <c r="A4113" t="e">
        <f>-LqfmSr53Ts2PclACkcc</f>
        <v>#NAME?</v>
      </c>
      <c r="B4113">
        <v>393.75</v>
      </c>
      <c r="C4113">
        <v>20.531590000000001</v>
      </c>
      <c r="D4113">
        <v>71</v>
      </c>
      <c r="E4113">
        <v>0</v>
      </c>
      <c r="F4113">
        <v>0</v>
      </c>
      <c r="G4113">
        <v>0</v>
      </c>
      <c r="H4113" s="4">
        <v>1570545195235</v>
      </c>
      <c r="I4113">
        <v>526.5</v>
      </c>
      <c r="J4113" s="9">
        <f t="shared" si="64"/>
        <v>43746.898092997682</v>
      </c>
      <c r="K4113" s="1"/>
    </row>
    <row r="4114" spans="1:11" x14ac:dyDescent="0.25">
      <c r="A4114" t="e">
        <f>-LqfmUL6C3lOShBWtVXM</f>
        <v>#NAME?</v>
      </c>
      <c r="B4114">
        <v>412.5</v>
      </c>
      <c r="C4114">
        <v>20.531590000000001</v>
      </c>
      <c r="D4114">
        <v>71</v>
      </c>
      <c r="E4114">
        <v>0</v>
      </c>
      <c r="F4114">
        <v>0</v>
      </c>
      <c r="G4114">
        <v>9</v>
      </c>
      <c r="H4114" s="4">
        <v>1570545201435</v>
      </c>
      <c r="I4114">
        <v>532.3125</v>
      </c>
      <c r="J4114" s="9">
        <f t="shared" si="64"/>
        <v>43746.898164756938</v>
      </c>
      <c r="K4114" s="1"/>
    </row>
    <row r="4115" spans="1:11" x14ac:dyDescent="0.25">
      <c r="A4115" t="e">
        <f>-LqfmVu68es5Svdau49j</f>
        <v>#NAME?</v>
      </c>
      <c r="B4115">
        <v>393.75</v>
      </c>
      <c r="C4115">
        <v>20.584240000000001</v>
      </c>
      <c r="D4115">
        <v>71</v>
      </c>
      <c r="E4115">
        <v>0</v>
      </c>
      <c r="F4115">
        <v>0</v>
      </c>
      <c r="G4115">
        <v>14</v>
      </c>
      <c r="H4115" s="4">
        <v>1570545207605</v>
      </c>
      <c r="I4115">
        <v>526.6875</v>
      </c>
      <c r="J4115" s="9">
        <f t="shared" si="64"/>
        <v>43746.898236168978</v>
      </c>
      <c r="K4115" s="1"/>
    </row>
    <row r="4116" spans="1:11" x14ac:dyDescent="0.25">
      <c r="A4116" t="e">
        <f>-LqfmXc4L0cVYV5EOQYe</f>
        <v>#NAME?</v>
      </c>
      <c r="B4116">
        <v>393.75</v>
      </c>
      <c r="C4116">
        <v>20.584240000000001</v>
      </c>
      <c r="D4116">
        <v>71</v>
      </c>
      <c r="E4116">
        <v>0</v>
      </c>
      <c r="F4116">
        <v>0</v>
      </c>
      <c r="G4116">
        <v>8</v>
      </c>
      <c r="H4116" s="4">
        <v>1570545214805</v>
      </c>
      <c r="I4116">
        <v>526.6875</v>
      </c>
      <c r="J4116" s="9">
        <f t="shared" si="64"/>
        <v>43746.89831950231</v>
      </c>
      <c r="K4116" s="1"/>
    </row>
    <row r="4117" spans="1:11" x14ac:dyDescent="0.25">
      <c r="A4117" t="e">
        <f>-LqfmZBEBisz7siz6pxl</f>
        <v>#NAME?</v>
      </c>
      <c r="B4117">
        <v>393.75</v>
      </c>
      <c r="C4117">
        <v>20.531590000000001</v>
      </c>
      <c r="D4117">
        <v>72</v>
      </c>
      <c r="E4117">
        <v>0</v>
      </c>
      <c r="F4117">
        <v>0</v>
      </c>
      <c r="G4117">
        <v>1</v>
      </c>
      <c r="H4117" s="4">
        <v>1570545221005</v>
      </c>
      <c r="I4117">
        <v>526.6875</v>
      </c>
      <c r="J4117" s="9">
        <f t="shared" si="64"/>
        <v>43746.898391261573</v>
      </c>
      <c r="K4117" s="1"/>
    </row>
    <row r="4118" spans="1:11" x14ac:dyDescent="0.25">
      <c r="A4118" t="e">
        <f>-Lqfm_u6YGi1urbEPe7U</f>
        <v>#NAME?</v>
      </c>
      <c r="B4118">
        <v>393.75</v>
      </c>
      <c r="C4118">
        <v>20.584240000000001</v>
      </c>
      <c r="D4118">
        <v>72</v>
      </c>
      <c r="E4118">
        <v>0</v>
      </c>
      <c r="F4118">
        <v>0</v>
      </c>
      <c r="G4118">
        <v>6</v>
      </c>
      <c r="H4118" s="4">
        <v>1570545228217</v>
      </c>
      <c r="I4118">
        <v>526.6875</v>
      </c>
      <c r="J4118" s="9">
        <f t="shared" si="64"/>
        <v>43746.898474733789</v>
      </c>
      <c r="K4118" s="1"/>
    </row>
    <row r="4119" spans="1:11" x14ac:dyDescent="0.25">
      <c r="A4119" t="e">
        <f>-LqfmbO4Re7piv6PYo4K</f>
        <v>#NAME?</v>
      </c>
      <c r="B4119">
        <v>393.75</v>
      </c>
      <c r="C4119">
        <v>20.478950000000001</v>
      </c>
      <c r="D4119">
        <v>72</v>
      </c>
      <c r="E4119">
        <v>0</v>
      </c>
      <c r="F4119">
        <v>0</v>
      </c>
      <c r="G4119">
        <v>8</v>
      </c>
      <c r="H4119" s="4">
        <v>1570545234406</v>
      </c>
      <c r="I4119">
        <v>526.5</v>
      </c>
      <c r="J4119" s="9">
        <f t="shared" si="64"/>
        <v>43746.898546365737</v>
      </c>
      <c r="K4119" s="1"/>
    </row>
    <row r="4120" spans="1:11" x14ac:dyDescent="0.25">
      <c r="A4120" t="e">
        <f>-Lqfmcx5kUBfFti6q6u6</f>
        <v>#NAME?</v>
      </c>
      <c r="B4120">
        <v>393.75</v>
      </c>
      <c r="C4120">
        <v>20.584240000000001</v>
      </c>
      <c r="D4120">
        <v>72</v>
      </c>
      <c r="E4120">
        <v>0</v>
      </c>
      <c r="F4120">
        <v>0</v>
      </c>
      <c r="G4120">
        <v>7</v>
      </c>
      <c r="H4120" s="4">
        <v>1570545240596</v>
      </c>
      <c r="I4120">
        <v>526.6875</v>
      </c>
      <c r="J4120" s="9">
        <f t="shared" si="64"/>
        <v>43746.898618009254</v>
      </c>
      <c r="K4120" s="1"/>
    </row>
    <row r="4121" spans="1:11" x14ac:dyDescent="0.25">
      <c r="A4121" t="e">
        <f>-LqfmeRZIrNRZM_skki_</f>
        <v>#NAME?</v>
      </c>
      <c r="B4121">
        <v>393.75</v>
      </c>
      <c r="C4121">
        <v>20.531590000000001</v>
      </c>
      <c r="D4121">
        <v>72</v>
      </c>
      <c r="E4121">
        <v>0</v>
      </c>
      <c r="F4121">
        <v>0</v>
      </c>
      <c r="G4121">
        <v>10</v>
      </c>
      <c r="H4121" s="4">
        <v>1570545246756</v>
      </c>
      <c r="I4121">
        <v>526.6875</v>
      </c>
      <c r="J4121" s="9">
        <f t="shared" si="64"/>
        <v>43746.898689305548</v>
      </c>
      <c r="K4121" s="1"/>
    </row>
    <row r="4122" spans="1:11" x14ac:dyDescent="0.25">
      <c r="A4122" t="e">
        <f>-LqfmgEHYyJjNlNfJEcc</f>
        <v>#NAME?</v>
      </c>
      <c r="B4122">
        <v>393.75</v>
      </c>
      <c r="C4122">
        <v>20.478950000000001</v>
      </c>
      <c r="D4122">
        <v>71</v>
      </c>
      <c r="E4122">
        <v>0</v>
      </c>
      <c r="F4122">
        <v>0</v>
      </c>
      <c r="G4122">
        <v>7</v>
      </c>
      <c r="H4122" s="4">
        <v>1570545253985</v>
      </c>
      <c r="I4122">
        <v>526.6875</v>
      </c>
      <c r="J4122" s="9">
        <f t="shared" si="64"/>
        <v>43746.898772974535</v>
      </c>
      <c r="K4122" s="1"/>
    </row>
    <row r="4123" spans="1:11" x14ac:dyDescent="0.25">
      <c r="A4123" t="e">
        <f>-Lqfmhx4JrHiFEcbV3Ph</f>
        <v>#NAME?</v>
      </c>
      <c r="B4123">
        <v>393.75</v>
      </c>
      <c r="C4123">
        <v>20.531590000000001</v>
      </c>
      <c r="D4123">
        <v>70</v>
      </c>
      <c r="E4123">
        <v>0</v>
      </c>
      <c r="F4123">
        <v>0</v>
      </c>
      <c r="G4123">
        <v>5</v>
      </c>
      <c r="H4123" s="4">
        <v>1570545261205</v>
      </c>
      <c r="I4123">
        <v>526.6875</v>
      </c>
      <c r="J4123" s="9">
        <f t="shared" si="64"/>
        <v>43746.898856539345</v>
      </c>
      <c r="K4123" s="1"/>
    </row>
    <row r="4124" spans="1:11" x14ac:dyDescent="0.25">
      <c r="A4124" t="e">
        <f>-Lqfmji4ru2BWOV6t7W_</f>
        <v>#NAME?</v>
      </c>
      <c r="B4124">
        <v>393.75</v>
      </c>
      <c r="C4124">
        <v>20.584240000000001</v>
      </c>
      <c r="D4124">
        <v>69</v>
      </c>
      <c r="E4124">
        <v>0</v>
      </c>
      <c r="F4124">
        <v>0</v>
      </c>
      <c r="G4124">
        <v>4</v>
      </c>
      <c r="H4124" s="4">
        <v>1570545267385</v>
      </c>
      <c r="I4124">
        <v>526.6875</v>
      </c>
      <c r="J4124" s="9">
        <f t="shared" si="64"/>
        <v>43746.89892806713</v>
      </c>
      <c r="K4124" s="1"/>
    </row>
    <row r="4125" spans="1:11" x14ac:dyDescent="0.25">
      <c r="A4125" t="e">
        <f>-LqfmlT4T7da-BqyBDBM</f>
        <v>#NAME?</v>
      </c>
      <c r="B4125">
        <v>393.75</v>
      </c>
      <c r="C4125">
        <v>20.584240000000001</v>
      </c>
      <c r="D4125">
        <v>68</v>
      </c>
      <c r="E4125">
        <v>0</v>
      </c>
      <c r="F4125">
        <v>0</v>
      </c>
      <c r="G4125">
        <v>5</v>
      </c>
      <c r="H4125" s="4">
        <v>1570545275607</v>
      </c>
      <c r="I4125">
        <v>526.6875</v>
      </c>
      <c r="J4125" s="9">
        <f t="shared" si="64"/>
        <v>43746.899023229162</v>
      </c>
      <c r="K4125" s="1"/>
    </row>
    <row r="4126" spans="1:11" x14ac:dyDescent="0.25">
      <c r="A4126" t="e">
        <f>-Lqfmn16BdKR1vAGEBkj</f>
        <v>#NAME?</v>
      </c>
      <c r="B4126">
        <v>412.5</v>
      </c>
      <c r="C4126">
        <v>20.584240000000001</v>
      </c>
      <c r="D4126">
        <v>69</v>
      </c>
      <c r="E4126">
        <v>0</v>
      </c>
      <c r="F4126">
        <v>0</v>
      </c>
      <c r="G4126">
        <v>7</v>
      </c>
      <c r="H4126" s="4">
        <v>1570545281815</v>
      </c>
      <c r="I4126">
        <v>532.125</v>
      </c>
      <c r="J4126" s="9">
        <f t="shared" si="64"/>
        <v>43746.899095081018</v>
      </c>
      <c r="K4126" s="1"/>
    </row>
    <row r="4127" spans="1:11" x14ac:dyDescent="0.25">
      <c r="A4127" t="e">
        <f>-Lqfmok5B_J2aBOGZE4n</f>
        <v>#NAME?</v>
      </c>
      <c r="B4127">
        <v>393.75</v>
      </c>
      <c r="C4127">
        <v>20.531590000000001</v>
      </c>
      <c r="D4127">
        <v>69</v>
      </c>
      <c r="E4127">
        <v>0</v>
      </c>
      <c r="F4127">
        <v>0</v>
      </c>
      <c r="G4127">
        <v>8</v>
      </c>
      <c r="H4127" s="4">
        <v>1570545289027</v>
      </c>
      <c r="I4127">
        <v>526.6875</v>
      </c>
      <c r="J4127" s="9">
        <f t="shared" si="64"/>
        <v>43746.899178553234</v>
      </c>
      <c r="K4127" s="1"/>
    </row>
    <row r="4128" spans="1:11" x14ac:dyDescent="0.25">
      <c r="A4128" t="e">
        <f>-LqfmqZe1vvjuyHGPjsL</f>
        <v>#NAME?</v>
      </c>
      <c r="B4128">
        <v>393.75</v>
      </c>
      <c r="C4128">
        <v>20.531590000000001</v>
      </c>
      <c r="D4128">
        <v>69</v>
      </c>
      <c r="E4128">
        <v>0</v>
      </c>
      <c r="F4128">
        <v>0</v>
      </c>
      <c r="G4128">
        <v>2</v>
      </c>
      <c r="H4128" s="4">
        <v>1570545295206</v>
      </c>
      <c r="I4128">
        <v>526.6875</v>
      </c>
      <c r="J4128" s="9">
        <f t="shared" si="64"/>
        <v>43746.899250069437</v>
      </c>
      <c r="K4128" s="1"/>
    </row>
    <row r="4129" spans="1:11" x14ac:dyDescent="0.25">
      <c r="A4129" t="e">
        <f>-LqfmsExA7mw6VWlJwog</f>
        <v>#NAME?</v>
      </c>
      <c r="B4129">
        <v>393.75</v>
      </c>
      <c r="C4129">
        <v>20.531590000000001</v>
      </c>
      <c r="D4129">
        <v>68</v>
      </c>
      <c r="E4129">
        <v>0</v>
      </c>
      <c r="F4129">
        <v>0</v>
      </c>
      <c r="G4129">
        <v>5</v>
      </c>
      <c r="H4129" s="4">
        <v>1570545303455</v>
      </c>
      <c r="I4129">
        <v>526.6875</v>
      </c>
      <c r="J4129" s="9">
        <f t="shared" si="64"/>
        <v>43746.899345543978</v>
      </c>
      <c r="K4129" s="1"/>
    </row>
    <row r="4130" spans="1:11" x14ac:dyDescent="0.25">
      <c r="A4130" t="e">
        <f>-Lqfmtp1DEwUH_OoGIHG</f>
        <v>#NAME?</v>
      </c>
      <c r="B4130">
        <v>393.75</v>
      </c>
      <c r="C4130">
        <v>20.584240000000001</v>
      </c>
      <c r="D4130">
        <v>68</v>
      </c>
      <c r="E4130">
        <v>0</v>
      </c>
      <c r="F4130">
        <v>0</v>
      </c>
      <c r="G4130">
        <v>15</v>
      </c>
      <c r="H4130" s="4">
        <v>1570545309635</v>
      </c>
      <c r="I4130">
        <v>526.6875</v>
      </c>
      <c r="J4130" s="9">
        <f t="shared" si="64"/>
        <v>43746.899417071756</v>
      </c>
      <c r="K4130" s="1"/>
    </row>
    <row r="4131" spans="1:11" x14ac:dyDescent="0.25">
      <c r="A4131" t="e">
        <f>-LqfmvYCDpVDtkurELL_</f>
        <v>#NAME?</v>
      </c>
      <c r="B4131">
        <v>393.75</v>
      </c>
      <c r="C4131">
        <v>20.531590000000001</v>
      </c>
      <c r="D4131">
        <v>69</v>
      </c>
      <c r="E4131">
        <v>0</v>
      </c>
      <c r="F4131">
        <v>0</v>
      </c>
      <c r="G4131">
        <v>1</v>
      </c>
      <c r="H4131" s="4">
        <v>1570545316845</v>
      </c>
      <c r="I4131">
        <v>526.6875</v>
      </c>
      <c r="J4131" s="9">
        <f t="shared" si="64"/>
        <v>43746.899500520834</v>
      </c>
      <c r="K4131" s="1"/>
    </row>
    <row r="4132" spans="1:11" x14ac:dyDescent="0.25">
      <c r="A4132" t="e">
        <f>-Lqfmx13U_YkmcZychX8</f>
        <v>#NAME?</v>
      </c>
      <c r="B4132">
        <v>393.75</v>
      </c>
      <c r="C4132">
        <v>20.531590000000001</v>
      </c>
      <c r="D4132">
        <v>69</v>
      </c>
      <c r="E4132">
        <v>0</v>
      </c>
      <c r="F4132">
        <v>0</v>
      </c>
      <c r="G4132">
        <v>11</v>
      </c>
      <c r="H4132" s="4">
        <v>1570545323044</v>
      </c>
      <c r="I4132">
        <v>526.6875</v>
      </c>
      <c r="J4132" s="9">
        <f t="shared" si="64"/>
        <v>43746.899572268514</v>
      </c>
      <c r="K4132" s="1"/>
    </row>
    <row r="4133" spans="1:11" x14ac:dyDescent="0.25">
      <c r="A4133" t="e">
        <f>-Lqfmya39rn_em9iU0gS</f>
        <v>#NAME?</v>
      </c>
      <c r="B4133">
        <v>393.75</v>
      </c>
      <c r="C4133">
        <v>20.584240000000001</v>
      </c>
      <c r="D4133">
        <v>70</v>
      </c>
      <c r="E4133">
        <v>0</v>
      </c>
      <c r="F4133">
        <v>0</v>
      </c>
      <c r="G4133">
        <v>5</v>
      </c>
      <c r="H4133" s="4">
        <v>1570545329214</v>
      </c>
      <c r="I4133">
        <v>526.6875</v>
      </c>
      <c r="J4133" s="9">
        <f t="shared" si="64"/>
        <v>43746.899643680554</v>
      </c>
      <c r="K4133" s="1"/>
    </row>
    <row r="4134" spans="1:11" x14ac:dyDescent="0.25">
      <c r="A4134" t="e">
        <f>-LqfN-J3NOrUWFZuGaTV</f>
        <v>#NAME?</v>
      </c>
      <c r="B4134">
        <v>393.75</v>
      </c>
      <c r="C4134">
        <v>20.531590000000001</v>
      </c>
      <c r="D4134">
        <v>70</v>
      </c>
      <c r="E4134">
        <v>0</v>
      </c>
      <c r="F4134">
        <v>0</v>
      </c>
      <c r="G4134">
        <v>6</v>
      </c>
      <c r="H4134" s="4">
        <v>1570545336404</v>
      </c>
      <c r="I4134">
        <v>526.6875</v>
      </c>
      <c r="J4134" s="9">
        <f t="shared" si="64"/>
        <v>43746.899726898147</v>
      </c>
      <c r="K4134" s="1"/>
    </row>
    <row r="4135" spans="1:11" x14ac:dyDescent="0.25">
      <c r="A4135" t="e">
        <f>-Lqfn0tL2bPJdRYM652i</f>
        <v>#NAME?</v>
      </c>
      <c r="B4135">
        <v>393.75</v>
      </c>
      <c r="C4135">
        <v>20.531590000000001</v>
      </c>
      <c r="D4135">
        <v>70</v>
      </c>
      <c r="E4135">
        <v>0</v>
      </c>
      <c r="F4135">
        <v>0</v>
      </c>
      <c r="G4135">
        <v>9</v>
      </c>
      <c r="H4135" s="4">
        <v>1570545342603</v>
      </c>
      <c r="I4135">
        <v>526.6875</v>
      </c>
      <c r="J4135" s="9">
        <f t="shared" si="64"/>
        <v>43746.899798645834</v>
      </c>
      <c r="K4135" s="1"/>
    </row>
    <row r="4136" spans="1:11" x14ac:dyDescent="0.25">
      <c r="A4136" t="e">
        <f>-Lqfn2aB_GGNPjVeF0YZ</f>
        <v>#NAME?</v>
      </c>
      <c r="B4136">
        <v>393.75</v>
      </c>
      <c r="C4136">
        <v>20.584240000000001</v>
      </c>
      <c r="D4136">
        <v>70</v>
      </c>
      <c r="E4136">
        <v>0</v>
      </c>
      <c r="F4136">
        <v>0</v>
      </c>
      <c r="G4136">
        <v>2</v>
      </c>
      <c r="H4136" s="4">
        <v>1570545349814</v>
      </c>
      <c r="I4136">
        <v>526.6875</v>
      </c>
      <c r="J4136" s="9">
        <f t="shared" si="64"/>
        <v>43746.899882106482</v>
      </c>
      <c r="K4136" s="1"/>
    </row>
    <row r="4137" spans="1:11" x14ac:dyDescent="0.25">
      <c r="A4137" t="e">
        <f>-Lqfn42w1yDBWiFe1rsv</f>
        <v>#NAME?</v>
      </c>
      <c r="B4137">
        <v>393.75</v>
      </c>
      <c r="C4137">
        <v>20.584240000000001</v>
      </c>
      <c r="D4137">
        <v>70</v>
      </c>
      <c r="E4137">
        <v>0</v>
      </c>
      <c r="F4137">
        <v>0</v>
      </c>
      <c r="G4137">
        <v>11</v>
      </c>
      <c r="H4137" s="4">
        <v>1570545356004</v>
      </c>
      <c r="I4137">
        <v>526.6875</v>
      </c>
      <c r="J4137" s="9">
        <f t="shared" si="64"/>
        <v>43746.899953749999</v>
      </c>
      <c r="K4137" s="1"/>
    </row>
    <row r="4138" spans="1:11" x14ac:dyDescent="0.25">
      <c r="A4138" t="e">
        <f>-Lqfn5d3ysG4vGc4Kb0i</f>
        <v>#NAME?</v>
      </c>
      <c r="B4138">
        <v>415.625</v>
      </c>
      <c r="C4138">
        <v>20.584240000000001</v>
      </c>
      <c r="D4138">
        <v>71</v>
      </c>
      <c r="E4138">
        <v>0</v>
      </c>
      <c r="F4138">
        <v>0</v>
      </c>
      <c r="G4138">
        <v>13</v>
      </c>
      <c r="H4138" s="4">
        <v>1570545362215</v>
      </c>
      <c r="I4138">
        <v>533.25</v>
      </c>
      <c r="J4138" s="9">
        <f t="shared" si="64"/>
        <v>43746.900025636576</v>
      </c>
      <c r="K4138" s="1"/>
    </row>
    <row r="4139" spans="1:11" x14ac:dyDescent="0.25">
      <c r="A4139" t="e">
        <f>-Lqfn75xohZ0rREpR_Po</f>
        <v>#NAME?</v>
      </c>
      <c r="B4139">
        <v>393.75</v>
      </c>
      <c r="C4139">
        <v>20.584240000000001</v>
      </c>
      <c r="D4139">
        <v>71</v>
      </c>
      <c r="E4139">
        <v>0</v>
      </c>
      <c r="F4139">
        <v>0</v>
      </c>
      <c r="G4139">
        <v>7</v>
      </c>
      <c r="H4139" s="4">
        <v>1570545368355</v>
      </c>
      <c r="I4139">
        <v>526.6875</v>
      </c>
      <c r="J4139" s="9">
        <f t="shared" si="64"/>
        <v>43746.900096701385</v>
      </c>
      <c r="K4139" s="1"/>
    </row>
    <row r="4140" spans="1:11" x14ac:dyDescent="0.25">
      <c r="A4140" t="e">
        <f>-Lqfn8vLZ3CYKC5F-#REF!</f>
        <v>#NAME?</v>
      </c>
      <c r="B4140">
        <v>393.75</v>
      </c>
      <c r="C4140">
        <v>20.478950000000001</v>
      </c>
      <c r="D4140">
        <v>68</v>
      </c>
      <c r="E4140">
        <v>0</v>
      </c>
      <c r="F4140">
        <v>0</v>
      </c>
      <c r="G4140">
        <v>1</v>
      </c>
      <c r="H4140" s="4">
        <v>1570545375583</v>
      </c>
      <c r="I4140">
        <v>526.5</v>
      </c>
      <c r="J4140" s="9">
        <f t="shared" si="64"/>
        <v>43746.900180358796</v>
      </c>
      <c r="K4140" s="1"/>
    </row>
    <row r="4141" spans="1:11" x14ac:dyDescent="0.25">
      <c r="A4141" t="e">
        <f>-LqfnAx24NJY5awtLMzf</f>
        <v>#NAME?</v>
      </c>
      <c r="B4141">
        <v>428.125</v>
      </c>
      <c r="C4141">
        <v>20.531590000000001</v>
      </c>
      <c r="D4141">
        <v>69</v>
      </c>
      <c r="E4141">
        <v>0</v>
      </c>
      <c r="F4141">
        <v>0</v>
      </c>
      <c r="G4141">
        <v>7</v>
      </c>
      <c r="H4141" s="4">
        <v>1570545382803</v>
      </c>
      <c r="I4141">
        <v>537.9375</v>
      </c>
      <c r="J4141" s="9">
        <f t="shared" si="64"/>
        <v>43746.900263923606</v>
      </c>
      <c r="K4141" s="1"/>
    </row>
    <row r="4142" spans="1:11" x14ac:dyDescent="0.25">
      <c r="A4142" t="e">
        <f>-LqfnCgJfkxuQUZBP7_m</f>
        <v>#NAME?</v>
      </c>
      <c r="B4142">
        <v>393.75</v>
      </c>
      <c r="C4142">
        <v>20.531590000000001</v>
      </c>
      <c r="D4142">
        <v>69</v>
      </c>
      <c r="E4142">
        <v>0</v>
      </c>
      <c r="F4142">
        <v>0</v>
      </c>
      <c r="G4142">
        <v>6</v>
      </c>
      <c r="H4142" s="4">
        <v>1570545391003</v>
      </c>
      <c r="I4142">
        <v>526.6875</v>
      </c>
      <c r="J4142" s="9">
        <f t="shared" si="64"/>
        <v>43746.900358831015</v>
      </c>
      <c r="K4142" s="1"/>
    </row>
    <row r="4143" spans="1:11" x14ac:dyDescent="0.25">
      <c r="A4143" t="e">
        <f>-LqfnERxyAYcD9BnLQYj</f>
        <v>#NAME?</v>
      </c>
      <c r="B4143">
        <v>412.5</v>
      </c>
      <c r="C4143">
        <v>20.531590000000001</v>
      </c>
      <c r="D4143">
        <v>69</v>
      </c>
      <c r="E4143">
        <v>0</v>
      </c>
      <c r="F4143">
        <v>0</v>
      </c>
      <c r="G4143">
        <v>4</v>
      </c>
      <c r="H4143" s="4">
        <v>1570545398254</v>
      </c>
      <c r="I4143">
        <v>532.3125</v>
      </c>
      <c r="J4143" s="9">
        <f t="shared" si="64"/>
        <v>43746.900442754624</v>
      </c>
      <c r="K4143" s="1"/>
    </row>
    <row r="4144" spans="1:11" x14ac:dyDescent="0.25">
      <c r="A4144" t="e">
        <f>-LqfnGB2hCjC3pNVB5Yj</f>
        <v>#NAME?</v>
      </c>
      <c r="B4144">
        <v>393.75</v>
      </c>
      <c r="C4144">
        <v>20.531590000000001</v>
      </c>
      <c r="D4144">
        <v>68</v>
      </c>
      <c r="E4144">
        <v>0</v>
      </c>
      <c r="F4144">
        <v>0</v>
      </c>
      <c r="G4144">
        <v>9</v>
      </c>
      <c r="H4144" s="4">
        <v>1570545405463</v>
      </c>
      <c r="I4144">
        <v>526.5</v>
      </c>
      <c r="J4144" s="9">
        <f t="shared" si="64"/>
        <v>43746.900526192127</v>
      </c>
      <c r="K4144" s="1"/>
    </row>
    <row r="4145" spans="1:11" x14ac:dyDescent="0.25">
      <c r="A4145" t="e">
        <f>-LqfnHf2GrGKGt9gghAl</f>
        <v>#NAME?</v>
      </c>
      <c r="B4145">
        <v>393.75</v>
      </c>
      <c r="C4145">
        <v>20.478950000000001</v>
      </c>
      <c r="D4145">
        <v>69</v>
      </c>
      <c r="E4145">
        <v>0</v>
      </c>
      <c r="F4145">
        <v>0</v>
      </c>
      <c r="G4145">
        <v>13</v>
      </c>
      <c r="H4145" s="4">
        <v>1570545411672</v>
      </c>
      <c r="I4145">
        <v>526.5</v>
      </c>
      <c r="J4145" s="9">
        <f t="shared" si="64"/>
        <v>43746.900598055552</v>
      </c>
      <c r="K4145" s="1"/>
    </row>
    <row r="4146" spans="1:11" x14ac:dyDescent="0.25">
      <c r="A4146" t="e">
        <f>-LqfnJE2-treibLrZBfZ</f>
        <v>#NAME?</v>
      </c>
      <c r="B4146">
        <v>393.75</v>
      </c>
      <c r="C4146">
        <v>20.531590000000001</v>
      </c>
      <c r="D4146">
        <v>69</v>
      </c>
      <c r="E4146">
        <v>0</v>
      </c>
      <c r="F4146">
        <v>0</v>
      </c>
      <c r="G4146">
        <v>0</v>
      </c>
      <c r="H4146" s="4">
        <v>1570545417833</v>
      </c>
      <c r="I4146">
        <v>526.6875</v>
      </c>
      <c r="J4146" s="9">
        <f t="shared" si="64"/>
        <v>43746.900669363422</v>
      </c>
      <c r="K4146" s="1"/>
    </row>
    <row r="4147" spans="1:11" x14ac:dyDescent="0.25">
      <c r="A4147" t="e">
        <f>-LqfnKx4Uy1JXdYmAOw9</f>
        <v>#NAME?</v>
      </c>
      <c r="B4147">
        <v>393.75</v>
      </c>
      <c r="C4147">
        <v>20.531590000000001</v>
      </c>
      <c r="D4147">
        <v>71</v>
      </c>
      <c r="E4147">
        <v>0</v>
      </c>
      <c r="F4147">
        <v>0</v>
      </c>
      <c r="G4147">
        <v>10</v>
      </c>
      <c r="H4147" s="4">
        <v>1570545425045</v>
      </c>
      <c r="I4147">
        <v>526.6875</v>
      </c>
      <c r="J4147" s="9">
        <f t="shared" si="64"/>
        <v>43746.900752835645</v>
      </c>
      <c r="K4147" s="1"/>
    </row>
    <row r="4148" spans="1:11" x14ac:dyDescent="0.25">
      <c r="A4148" t="e">
        <f>-LqfnMW4WjyMZtuK2GzC</f>
        <v>#NAME?</v>
      </c>
      <c r="B4148">
        <v>393.75</v>
      </c>
      <c r="C4148">
        <v>20.531590000000001</v>
      </c>
      <c r="D4148">
        <v>71</v>
      </c>
      <c r="E4148">
        <v>0</v>
      </c>
      <c r="F4148">
        <v>0</v>
      </c>
      <c r="G4148">
        <v>15</v>
      </c>
      <c r="H4148" s="4">
        <v>1570545431233</v>
      </c>
      <c r="I4148">
        <v>526.6875</v>
      </c>
      <c r="J4148" s="9">
        <f t="shared" si="64"/>
        <v>43746.900824456017</v>
      </c>
      <c r="K4148" s="1"/>
    </row>
    <row r="4149" spans="1:11" x14ac:dyDescent="0.25">
      <c r="A4149" t="e">
        <f>-LqfnOCxDH7Thy_9Xtgg</f>
        <v>#NAME?</v>
      </c>
      <c r="B4149">
        <v>412.5</v>
      </c>
      <c r="C4149">
        <v>20.478950000000001</v>
      </c>
      <c r="D4149">
        <v>72</v>
      </c>
      <c r="E4149">
        <v>0</v>
      </c>
      <c r="F4149">
        <v>0</v>
      </c>
      <c r="G4149">
        <v>8</v>
      </c>
      <c r="H4149" s="4">
        <v>1570545438443</v>
      </c>
      <c r="I4149">
        <v>532.3125</v>
      </c>
      <c r="J4149" s="9">
        <f t="shared" si="64"/>
        <v>43746.900907905088</v>
      </c>
      <c r="K4149" s="1"/>
    </row>
    <row r="4150" spans="1:11" x14ac:dyDescent="0.25">
      <c r="A4150" t="e">
        <f>-LqfnQ1C2Ja20lP83IAS</f>
        <v>#NAME?</v>
      </c>
      <c r="B4150">
        <v>393.75</v>
      </c>
      <c r="C4150">
        <v>20.478950000000001</v>
      </c>
      <c r="D4150">
        <v>71</v>
      </c>
      <c r="E4150">
        <v>0</v>
      </c>
      <c r="F4150">
        <v>0</v>
      </c>
      <c r="G4150">
        <v>1</v>
      </c>
      <c r="H4150" s="4">
        <v>1570545445655</v>
      </c>
      <c r="I4150">
        <v>526.6875</v>
      </c>
      <c r="J4150" s="9">
        <f t="shared" si="64"/>
        <v>43746.900991377312</v>
      </c>
      <c r="K4150" s="1"/>
    </row>
    <row r="4151" spans="1:11" x14ac:dyDescent="0.25">
      <c r="A4151" t="e">
        <f>-LqfnRkAdRdcEm3LLleR</f>
        <v>#NAME?</v>
      </c>
      <c r="B4151">
        <v>393.75</v>
      </c>
      <c r="C4151">
        <v>20.478950000000001</v>
      </c>
      <c r="D4151">
        <v>70</v>
      </c>
      <c r="E4151">
        <v>0</v>
      </c>
      <c r="F4151">
        <v>0</v>
      </c>
      <c r="G4151">
        <v>4</v>
      </c>
      <c r="H4151" s="4">
        <v>1570545452883</v>
      </c>
      <c r="I4151">
        <v>526.5</v>
      </c>
      <c r="J4151" s="9">
        <f t="shared" si="64"/>
        <v>43746.901075034715</v>
      </c>
      <c r="K4151" s="1"/>
    </row>
    <row r="4152" spans="1:11" x14ac:dyDescent="0.25">
      <c r="A4152" t="e">
        <f>-LqfnTJDXSum4DGk8Elq</f>
        <v>#NAME?</v>
      </c>
      <c r="B4152">
        <v>393.75</v>
      </c>
      <c r="C4152">
        <v>20.531590000000001</v>
      </c>
      <c r="D4152">
        <v>70</v>
      </c>
      <c r="E4152">
        <v>0</v>
      </c>
      <c r="F4152">
        <v>0</v>
      </c>
      <c r="G4152">
        <v>13</v>
      </c>
      <c r="H4152" s="4">
        <v>1570545459054</v>
      </c>
      <c r="I4152">
        <v>526.6875</v>
      </c>
      <c r="J4152" s="9">
        <f t="shared" si="64"/>
        <v>43746.901146458331</v>
      </c>
      <c r="K4152" s="1"/>
    </row>
    <row r="4153" spans="1:11" x14ac:dyDescent="0.25">
      <c r="A4153" t="e">
        <f>-LqfnV-y948v4vGmf1Gb</f>
        <v>#NAME?</v>
      </c>
      <c r="B4153">
        <v>393.75</v>
      </c>
      <c r="C4153">
        <v>20.531590000000001</v>
      </c>
      <c r="D4153">
        <v>71</v>
      </c>
      <c r="E4153">
        <v>0</v>
      </c>
      <c r="F4153">
        <v>0</v>
      </c>
      <c r="G4153">
        <v>7</v>
      </c>
      <c r="H4153" s="4">
        <v>1570545466273</v>
      </c>
      <c r="I4153">
        <v>526.6875</v>
      </c>
      <c r="J4153" s="9">
        <f t="shared" si="64"/>
        <v>43746.901230011572</v>
      </c>
      <c r="K4153" s="1"/>
    </row>
    <row r="4154" spans="1:11" x14ac:dyDescent="0.25">
      <c r="A4154" t="e">
        <f>-LqfnWp501ACBIEMlVM0</f>
        <v>#NAME?</v>
      </c>
      <c r="B4154">
        <v>412.5</v>
      </c>
      <c r="C4154">
        <v>20.531590000000001</v>
      </c>
      <c r="D4154">
        <v>70</v>
      </c>
      <c r="E4154">
        <v>0</v>
      </c>
      <c r="F4154">
        <v>0</v>
      </c>
      <c r="G4154">
        <v>9</v>
      </c>
      <c r="H4154" s="4">
        <v>1570545473484</v>
      </c>
      <c r="I4154">
        <v>532.5</v>
      </c>
      <c r="J4154" s="9">
        <f t="shared" si="64"/>
        <v>43746.901313472219</v>
      </c>
      <c r="K4154" s="1"/>
    </row>
    <row r="4155" spans="1:11" x14ac:dyDescent="0.25">
      <c r="A4155" t="e">
        <f>-LqfnYY3rn93gEaJg_5j</f>
        <v>#NAME?</v>
      </c>
      <c r="B4155">
        <v>393.75</v>
      </c>
      <c r="C4155">
        <v>20.478950000000001</v>
      </c>
      <c r="D4155">
        <v>70</v>
      </c>
      <c r="E4155">
        <v>0</v>
      </c>
      <c r="F4155">
        <v>0</v>
      </c>
      <c r="G4155">
        <v>5</v>
      </c>
      <c r="H4155" s="4">
        <v>1570545480698</v>
      </c>
      <c r="I4155">
        <v>526.6875</v>
      </c>
      <c r="J4155" s="9">
        <f t="shared" si="64"/>
        <v>43746.901396967594</v>
      </c>
      <c r="K4155" s="1"/>
    </row>
    <row r="4156" spans="1:11" x14ac:dyDescent="0.25">
      <c r="A4156" t="e">
        <f>-Lqfn_1fkaMp0AEfhE0N</f>
        <v>#NAME?</v>
      </c>
      <c r="B4156">
        <v>393.75</v>
      </c>
      <c r="C4156">
        <v>20.531590000000001</v>
      </c>
      <c r="D4156">
        <v>69</v>
      </c>
      <c r="E4156">
        <v>0</v>
      </c>
      <c r="F4156">
        <v>0</v>
      </c>
      <c r="G4156">
        <v>6</v>
      </c>
      <c r="H4156" s="4">
        <v>1570545486884</v>
      </c>
      <c r="I4156">
        <v>526.5</v>
      </c>
      <c r="J4156" s="9">
        <f t="shared" si="64"/>
        <v>43746.901468564807</v>
      </c>
      <c r="K4156" s="1"/>
    </row>
    <row r="4157" spans="1:11" x14ac:dyDescent="0.25">
      <c r="A4157" t="e">
        <f>-Lqfnaa2RLHSeFlLKqrc</f>
        <v>#NAME?</v>
      </c>
      <c r="B4157">
        <v>412.5</v>
      </c>
      <c r="C4157">
        <v>20.531590000000001</v>
      </c>
      <c r="D4157">
        <v>69</v>
      </c>
      <c r="E4157">
        <v>0</v>
      </c>
      <c r="F4157">
        <v>0</v>
      </c>
      <c r="G4157">
        <v>2</v>
      </c>
      <c r="H4157" s="4">
        <v>1570545493064</v>
      </c>
      <c r="I4157">
        <v>532.125</v>
      </c>
      <c r="J4157" s="9">
        <f t="shared" si="64"/>
        <v>43746.901540092593</v>
      </c>
      <c r="K4157" s="1"/>
    </row>
    <row r="4158" spans="1:11" x14ac:dyDescent="0.25">
      <c r="A4158" t="e">
        <f>-Lqfnc4qf1aS_nFcR_ej</f>
        <v>#NAME?</v>
      </c>
      <c r="B4158">
        <v>393.75</v>
      </c>
      <c r="C4158">
        <v>20.531590000000001</v>
      </c>
      <c r="D4158">
        <v>69</v>
      </c>
      <c r="E4158">
        <v>0</v>
      </c>
      <c r="F4158">
        <v>0</v>
      </c>
      <c r="G4158">
        <v>9</v>
      </c>
      <c r="H4158" s="4">
        <v>1570545499233</v>
      </c>
      <c r="I4158">
        <v>526.5</v>
      </c>
      <c r="J4158" s="9">
        <f t="shared" si="64"/>
        <v>43746.901611493049</v>
      </c>
      <c r="K4158" s="1"/>
    </row>
    <row r="4159" spans="1:11" x14ac:dyDescent="0.25">
      <c r="A4159" t="e">
        <f>-LqfndZ1DoIWDOU0Vtav</f>
        <v>#NAME?</v>
      </c>
      <c r="B4159">
        <v>393.75</v>
      </c>
      <c r="C4159">
        <v>20.531590000000001</v>
      </c>
      <c r="D4159">
        <v>69</v>
      </c>
      <c r="E4159">
        <v>0</v>
      </c>
      <c r="F4159">
        <v>0</v>
      </c>
      <c r="G4159">
        <v>6</v>
      </c>
      <c r="H4159" s="4">
        <v>1570545505434</v>
      </c>
      <c r="I4159">
        <v>526.6875</v>
      </c>
      <c r="J4159" s="9">
        <f t="shared" si="64"/>
        <v>43746.901683263888</v>
      </c>
      <c r="K4159" s="1"/>
    </row>
    <row r="4160" spans="1:11" x14ac:dyDescent="0.25">
      <c r="A4160" t="e">
        <f>-Lqfnf8ISM3qfmGtLaGT</f>
        <v>#NAME?</v>
      </c>
      <c r="B4160">
        <v>393.75</v>
      </c>
      <c r="C4160">
        <v>20.531590000000001</v>
      </c>
      <c r="D4160">
        <v>70</v>
      </c>
      <c r="E4160">
        <v>0</v>
      </c>
      <c r="F4160">
        <v>0</v>
      </c>
      <c r="G4160">
        <v>14</v>
      </c>
      <c r="H4160" s="4">
        <v>1570545511613</v>
      </c>
      <c r="I4160">
        <v>526.5</v>
      </c>
      <c r="J4160" s="9">
        <f t="shared" si="64"/>
        <v>43746.90175478009</v>
      </c>
      <c r="K4160" s="1"/>
    </row>
    <row r="4161" spans="1:11" x14ac:dyDescent="0.25">
      <c r="A4161" t="e">
        <f>-Lqfngq36dTXmKz_1F8I</f>
        <v>#NAME?</v>
      </c>
      <c r="B4161">
        <v>412.5</v>
      </c>
      <c r="C4161">
        <v>20.478950000000001</v>
      </c>
      <c r="D4161">
        <v>69</v>
      </c>
      <c r="E4161">
        <v>0</v>
      </c>
      <c r="F4161">
        <v>0</v>
      </c>
      <c r="G4161">
        <v>7</v>
      </c>
      <c r="H4161" s="4">
        <v>1570545518804</v>
      </c>
      <c r="I4161">
        <v>532.125</v>
      </c>
      <c r="J4161" s="9">
        <f t="shared" si="64"/>
        <v>43746.901838009253</v>
      </c>
      <c r="K4161" s="1"/>
    </row>
    <row r="4162" spans="1:11" x14ac:dyDescent="0.25">
      <c r="A4162" t="e">
        <f>-Lqfnid4NuJVACCiRHcy</f>
        <v>#NAME?</v>
      </c>
      <c r="B4162">
        <v>393.75</v>
      </c>
      <c r="C4162">
        <v>20.531590000000001</v>
      </c>
      <c r="D4162">
        <v>69</v>
      </c>
      <c r="E4162">
        <v>0</v>
      </c>
      <c r="F4162">
        <v>0</v>
      </c>
      <c r="G4162">
        <v>0</v>
      </c>
      <c r="H4162" s="4">
        <v>1570545526106</v>
      </c>
      <c r="I4162">
        <v>526.6875</v>
      </c>
      <c r="J4162" s="9">
        <f t="shared" si="64"/>
        <v>43746.901922523146</v>
      </c>
      <c r="K4162" s="1"/>
    </row>
    <row r="4163" spans="1:11" x14ac:dyDescent="0.25">
      <c r="A4163" t="e">
        <f>-Lqfnk74hQobKzTIFG-4</f>
        <v>#NAME?</v>
      </c>
      <c r="B4163">
        <v>393.75</v>
      </c>
      <c r="C4163">
        <v>20.531590000000001</v>
      </c>
      <c r="D4163">
        <v>69</v>
      </c>
      <c r="E4163">
        <v>0</v>
      </c>
      <c r="F4163">
        <v>0</v>
      </c>
      <c r="G4163">
        <v>2</v>
      </c>
      <c r="H4163" s="4">
        <v>1570545532204</v>
      </c>
      <c r="I4163">
        <v>526.6875</v>
      </c>
      <c r="J4163" s="9">
        <f t="shared" ref="J4163:J4226" si="65">(H4163/86400000)+25569+(7/24)</f>
        <v>43746.901993101848</v>
      </c>
      <c r="K4163" s="1"/>
    </row>
    <row r="4164" spans="1:11" x14ac:dyDescent="0.25">
      <c r="A4164" t="e">
        <f>-Lqfnlb5ndGu4B5HOAlz</f>
        <v>#NAME?</v>
      </c>
      <c r="B4164">
        <v>393.75</v>
      </c>
      <c r="C4164">
        <v>20.531590000000001</v>
      </c>
      <c r="D4164">
        <v>67</v>
      </c>
      <c r="E4164">
        <v>0</v>
      </c>
      <c r="F4164">
        <v>0</v>
      </c>
      <c r="G4164">
        <v>5</v>
      </c>
      <c r="H4164" s="4">
        <v>1570545538415</v>
      </c>
      <c r="I4164">
        <v>526.6875</v>
      </c>
      <c r="J4164" s="9">
        <f t="shared" si="65"/>
        <v>43746.902064988426</v>
      </c>
      <c r="K4164" s="1"/>
    </row>
    <row r="4165" spans="1:11" x14ac:dyDescent="0.25">
      <c r="A4165" t="s">
        <v>224</v>
      </c>
      <c r="B4165">
        <v>393.75</v>
      </c>
      <c r="C4165">
        <v>20.531590000000001</v>
      </c>
      <c r="D4165">
        <v>68</v>
      </c>
      <c r="E4165">
        <v>0</v>
      </c>
      <c r="F4165">
        <v>0</v>
      </c>
      <c r="G4165">
        <v>12</v>
      </c>
      <c r="H4165" s="4">
        <v>1570545544597</v>
      </c>
      <c r="I4165">
        <v>526.6875</v>
      </c>
      <c r="J4165" s="9">
        <f t="shared" si="65"/>
        <v>43746.902136539349</v>
      </c>
      <c r="K4165" s="1"/>
    </row>
    <row r="4166" spans="1:11" x14ac:dyDescent="0.25">
      <c r="A4166" t="e">
        <f>-Lqfnoe4WIoQqlKxP86s</f>
        <v>#NAME?</v>
      </c>
      <c r="B4166">
        <v>393.75</v>
      </c>
      <c r="C4166">
        <v>20.531590000000001</v>
      </c>
      <c r="D4166">
        <v>68</v>
      </c>
      <c r="E4166">
        <v>0</v>
      </c>
      <c r="F4166">
        <v>0</v>
      </c>
      <c r="G4166">
        <v>7</v>
      </c>
      <c r="H4166" s="4">
        <v>1570545550754</v>
      </c>
      <c r="I4166">
        <v>526.6875</v>
      </c>
      <c r="J4166" s="9">
        <f t="shared" si="65"/>
        <v>43746.902207800922</v>
      </c>
      <c r="K4166" s="1"/>
    </row>
    <row r="4167" spans="1:11" x14ac:dyDescent="0.25">
      <c r="A4167" t="e">
        <f>-Lqfnq84YryfFyx-tqVN</f>
        <v>#NAME?</v>
      </c>
      <c r="B4167">
        <v>393.75</v>
      </c>
      <c r="C4167">
        <v>20.478950000000001</v>
      </c>
      <c r="D4167">
        <v>69</v>
      </c>
      <c r="E4167">
        <v>0</v>
      </c>
      <c r="F4167">
        <v>0</v>
      </c>
      <c r="G4167">
        <v>8</v>
      </c>
      <c r="H4167" s="4">
        <v>1570545556964</v>
      </c>
      <c r="I4167">
        <v>526.5</v>
      </c>
      <c r="J4167" s="9">
        <f t="shared" si="65"/>
        <v>43746.902279675924</v>
      </c>
      <c r="K4167" s="1"/>
    </row>
    <row r="4168" spans="1:11" x14ac:dyDescent="0.25">
      <c r="A4168" t="e">
        <f>-LqfnrgePf3i7Gu6Zeyt</f>
        <v>#NAME?</v>
      </c>
      <c r="B4168">
        <v>415.625</v>
      </c>
      <c r="C4168">
        <v>20.531590000000001</v>
      </c>
      <c r="D4168">
        <v>68</v>
      </c>
      <c r="E4168">
        <v>0</v>
      </c>
      <c r="F4168">
        <v>0</v>
      </c>
      <c r="G4168">
        <v>8</v>
      </c>
      <c r="H4168" s="4">
        <v>1570545563146</v>
      </c>
      <c r="I4168">
        <v>533.4375</v>
      </c>
      <c r="J4168" s="9">
        <f t="shared" si="65"/>
        <v>43746.902351226854</v>
      </c>
      <c r="K4168" s="1"/>
    </row>
    <row r="4169" spans="1:11" x14ac:dyDescent="0.25">
      <c r="A4169" t="e">
        <f>-LqfntQ5xNkaWpH-#REF!</f>
        <v>#NAME?</v>
      </c>
      <c r="B4169">
        <v>393.75</v>
      </c>
      <c r="C4169">
        <v>20.584240000000001</v>
      </c>
      <c r="D4169">
        <v>69</v>
      </c>
      <c r="E4169">
        <v>0</v>
      </c>
      <c r="F4169">
        <v>0</v>
      </c>
      <c r="G4169">
        <v>7</v>
      </c>
      <c r="H4169" s="4">
        <v>1570545570334</v>
      </c>
      <c r="I4169">
        <v>526.6875</v>
      </c>
      <c r="J4169" s="9">
        <f t="shared" si="65"/>
        <v>43746.902434421288</v>
      </c>
      <c r="K4169" s="1"/>
    </row>
    <row r="4170" spans="1:11" x14ac:dyDescent="0.25">
      <c r="A4170" t="e">
        <f>-Lqfnv34iX0U_ef-T5IO</f>
        <v>#NAME?</v>
      </c>
      <c r="B4170">
        <v>393.75</v>
      </c>
      <c r="C4170">
        <v>20.584240000000001</v>
      </c>
      <c r="D4170">
        <v>69</v>
      </c>
      <c r="E4170">
        <v>0</v>
      </c>
      <c r="F4170">
        <v>0</v>
      </c>
      <c r="G4170">
        <v>9</v>
      </c>
      <c r="H4170" s="4">
        <v>1570545576833</v>
      </c>
      <c r="I4170">
        <v>526.6875</v>
      </c>
      <c r="J4170" s="9">
        <f t="shared" si="65"/>
        <v>43746.902509641201</v>
      </c>
      <c r="K4170" s="1"/>
    </row>
    <row r="4171" spans="1:11" x14ac:dyDescent="0.25">
      <c r="A4171" t="e">
        <f>-LqfnwhDMrmXoPh7jBQb</f>
        <v>#NAME?</v>
      </c>
      <c r="B4171">
        <v>412.5</v>
      </c>
      <c r="C4171">
        <v>20.584240000000001</v>
      </c>
      <c r="D4171">
        <v>70</v>
      </c>
      <c r="E4171">
        <v>0</v>
      </c>
      <c r="F4171">
        <v>0</v>
      </c>
      <c r="G4171">
        <v>5</v>
      </c>
      <c r="H4171" s="4">
        <v>1570545583765</v>
      </c>
      <c r="I4171">
        <v>532.6875</v>
      </c>
      <c r="J4171" s="9">
        <f t="shared" si="65"/>
        <v>43746.902589872683</v>
      </c>
      <c r="K4171" s="1"/>
    </row>
    <row r="4172" spans="1:11" x14ac:dyDescent="0.25">
      <c r="A4172" t="e">
        <f>-LqfnyV5M4mBRrn7tKg7</f>
        <v>#NAME?</v>
      </c>
      <c r="B4172">
        <v>393.75</v>
      </c>
      <c r="C4172">
        <v>20.531590000000001</v>
      </c>
      <c r="D4172">
        <v>67</v>
      </c>
      <c r="E4172">
        <v>0</v>
      </c>
      <c r="F4172">
        <v>0</v>
      </c>
      <c r="G4172">
        <v>15</v>
      </c>
      <c r="H4172" s="4">
        <v>1570545590976</v>
      </c>
      <c r="I4172">
        <v>526.6875</v>
      </c>
      <c r="J4172" s="9">
        <f t="shared" si="65"/>
        <v>43746.90267333333</v>
      </c>
      <c r="K4172" s="1"/>
    </row>
    <row r="4173" spans="1:11" x14ac:dyDescent="0.25">
      <c r="A4173" t="e">
        <f>-Lqfo-D4gTuDE1A80ocA</f>
        <v>#NAME?</v>
      </c>
      <c r="B4173">
        <v>393.75</v>
      </c>
      <c r="C4173">
        <v>20.531590000000001</v>
      </c>
      <c r="D4173">
        <v>67</v>
      </c>
      <c r="E4173">
        <v>0</v>
      </c>
      <c r="F4173">
        <v>0</v>
      </c>
      <c r="G4173">
        <v>0</v>
      </c>
      <c r="H4173" s="4">
        <v>1570545598167</v>
      </c>
      <c r="I4173">
        <v>526.6875</v>
      </c>
      <c r="J4173" s="9">
        <f t="shared" si="65"/>
        <v>43746.902756562493</v>
      </c>
      <c r="K4173" s="1"/>
    </row>
    <row r="4174" spans="1:11" x14ac:dyDescent="0.25">
      <c r="A4174" t="e">
        <f>-Lqfo0m3o71Nt_Dq--#REF!</f>
        <v>#NAME?</v>
      </c>
      <c r="B4174">
        <v>393.75</v>
      </c>
      <c r="C4174">
        <v>20.531590000000001</v>
      </c>
      <c r="D4174">
        <v>66</v>
      </c>
      <c r="E4174">
        <v>0</v>
      </c>
      <c r="F4174">
        <v>0</v>
      </c>
      <c r="G4174">
        <v>0</v>
      </c>
      <c r="H4174" s="4">
        <v>1570545604364</v>
      </c>
      <c r="I4174">
        <v>526.6875</v>
      </c>
      <c r="J4174" s="9">
        <f t="shared" si="65"/>
        <v>43746.902828287035</v>
      </c>
      <c r="K4174" s="1"/>
    </row>
    <row r="4175" spans="1:11" x14ac:dyDescent="0.25">
      <c r="A4175" t="e">
        <f>-Lqfo2WKpnfd4TmoTjLM</f>
        <v>#NAME?</v>
      </c>
      <c r="B4175">
        <v>393.75</v>
      </c>
      <c r="C4175">
        <v>20.531590000000001</v>
      </c>
      <c r="D4175">
        <v>66</v>
      </c>
      <c r="E4175">
        <v>0</v>
      </c>
      <c r="F4175">
        <v>0</v>
      </c>
      <c r="G4175">
        <v>1</v>
      </c>
      <c r="H4175" s="4">
        <v>1570545611585</v>
      </c>
      <c r="I4175">
        <v>526.6875</v>
      </c>
      <c r="J4175" s="9">
        <f t="shared" si="65"/>
        <v>43746.902911863428</v>
      </c>
      <c r="K4175" s="1"/>
    </row>
    <row r="4176" spans="1:11" x14ac:dyDescent="0.25">
      <c r="A4176" t="e">
        <f>-Lqfo3z4rzy2X-l_hoZX</f>
        <v>#NAME?</v>
      </c>
      <c r="B4176">
        <v>393.75</v>
      </c>
      <c r="C4176">
        <v>20.531590000000001</v>
      </c>
      <c r="D4176">
        <v>67</v>
      </c>
      <c r="E4176">
        <v>0</v>
      </c>
      <c r="F4176">
        <v>0</v>
      </c>
      <c r="G4176">
        <v>3</v>
      </c>
      <c r="H4176" s="4">
        <v>1570545617764</v>
      </c>
      <c r="I4176">
        <v>526.6875</v>
      </c>
      <c r="J4176" s="9">
        <f t="shared" si="65"/>
        <v>43746.90298337963</v>
      </c>
      <c r="K4176" s="1"/>
    </row>
    <row r="4177" spans="1:11" x14ac:dyDescent="0.25">
      <c r="A4177" t="s">
        <v>225</v>
      </c>
      <c r="B4177">
        <v>393.75</v>
      </c>
      <c r="C4177">
        <v>20.584240000000001</v>
      </c>
      <c r="D4177">
        <v>67</v>
      </c>
      <c r="E4177">
        <v>0</v>
      </c>
      <c r="F4177">
        <v>0</v>
      </c>
      <c r="G4177">
        <v>18</v>
      </c>
      <c r="H4177" s="4">
        <v>1570545623946</v>
      </c>
      <c r="I4177">
        <v>526.6875</v>
      </c>
      <c r="J4177" s="9">
        <f t="shared" si="65"/>
        <v>43746.903054930553</v>
      </c>
      <c r="K4177" s="1"/>
    </row>
    <row r="4178" spans="1:11" x14ac:dyDescent="0.25">
      <c r="A4178" t="e">
        <f>-Lqfo7G3pHj9-pkoD_fP</f>
        <v>#NAME?</v>
      </c>
      <c r="B4178">
        <v>393.75</v>
      </c>
      <c r="C4178">
        <v>20.531590000000001</v>
      </c>
      <c r="D4178">
        <v>63</v>
      </c>
      <c r="E4178">
        <v>0</v>
      </c>
      <c r="F4178">
        <v>0</v>
      </c>
      <c r="G4178">
        <v>14</v>
      </c>
      <c r="H4178" s="4">
        <v>1570545631125</v>
      </c>
      <c r="I4178">
        <v>526.6875</v>
      </c>
      <c r="J4178" s="9">
        <f t="shared" si="65"/>
        <v>43746.903138020833</v>
      </c>
      <c r="K4178" s="1"/>
    </row>
    <row r="4179" spans="1:11" x14ac:dyDescent="0.25">
      <c r="A4179" t="e">
        <f>-Lqfo8p5SWcX-CUfk4bR</f>
        <v>#NAME?</v>
      </c>
      <c r="B4179">
        <v>393.75</v>
      </c>
      <c r="C4179">
        <v>20.584240000000001</v>
      </c>
      <c r="D4179">
        <v>63</v>
      </c>
      <c r="E4179">
        <v>0</v>
      </c>
      <c r="F4179">
        <v>0</v>
      </c>
      <c r="G4179">
        <v>5</v>
      </c>
      <c r="H4179" s="4">
        <v>1570545637347</v>
      </c>
      <c r="I4179">
        <v>526.5</v>
      </c>
      <c r="J4179" s="9">
        <f t="shared" si="65"/>
        <v>43746.903210034718</v>
      </c>
      <c r="K4179" s="1"/>
    </row>
    <row r="4180" spans="1:11" x14ac:dyDescent="0.25">
      <c r="A4180" t="e">
        <f>-LqfoAYD_eg6S1n0Xjws</f>
        <v>#NAME?</v>
      </c>
      <c r="B4180">
        <v>412.5</v>
      </c>
      <c r="C4180">
        <v>20.531590000000001</v>
      </c>
      <c r="D4180">
        <v>64</v>
      </c>
      <c r="E4180">
        <v>0</v>
      </c>
      <c r="F4180">
        <v>0</v>
      </c>
      <c r="G4180">
        <v>10</v>
      </c>
      <c r="H4180" s="4">
        <v>1570545644565</v>
      </c>
      <c r="I4180">
        <v>532.3125</v>
      </c>
      <c r="J4180" s="9">
        <f t="shared" si="65"/>
        <v>43746.90329357639</v>
      </c>
      <c r="K4180" s="1"/>
    </row>
    <row r="4181" spans="1:11" x14ac:dyDescent="0.25">
      <c r="A4181" t="e">
        <f>-LqfoC66V5svoYsBrhDL</f>
        <v>#NAME?</v>
      </c>
      <c r="B4181">
        <v>393.75</v>
      </c>
      <c r="C4181">
        <v>20.584240000000001</v>
      </c>
      <c r="D4181">
        <v>66</v>
      </c>
      <c r="E4181">
        <v>0</v>
      </c>
      <c r="F4181">
        <v>0</v>
      </c>
      <c r="G4181">
        <v>2</v>
      </c>
      <c r="H4181" s="4">
        <v>1570545650907</v>
      </c>
      <c r="I4181">
        <v>526.6875</v>
      </c>
      <c r="J4181" s="9">
        <f t="shared" si="65"/>
        <v>43746.903366979161</v>
      </c>
      <c r="K4181" s="1"/>
    </row>
    <row r="4182" spans="1:11" x14ac:dyDescent="0.25">
      <c r="A4182" t="e">
        <f>-LqfoDpEegDc0TmHbHG2</f>
        <v>#NAME?</v>
      </c>
      <c r="B4182">
        <v>393.75</v>
      </c>
      <c r="C4182">
        <v>20.531590000000001</v>
      </c>
      <c r="D4182">
        <v>66</v>
      </c>
      <c r="E4182">
        <v>0</v>
      </c>
      <c r="F4182">
        <v>0</v>
      </c>
      <c r="G4182">
        <v>4</v>
      </c>
      <c r="H4182" s="4">
        <v>1570545657956</v>
      </c>
      <c r="I4182">
        <v>526.6875</v>
      </c>
      <c r="J4182" s="9">
        <f t="shared" si="65"/>
        <v>43746.903448564808</v>
      </c>
      <c r="K4182" s="1"/>
    </row>
    <row r="4183" spans="1:11" x14ac:dyDescent="0.25">
      <c r="A4183" t="e">
        <f>-LqfoFJ5KBC-pdT8itzi</f>
        <v>#NAME?</v>
      </c>
      <c r="B4183">
        <v>393.75</v>
      </c>
      <c r="C4183">
        <v>20.531590000000001</v>
      </c>
      <c r="D4183">
        <v>66</v>
      </c>
      <c r="E4183">
        <v>0</v>
      </c>
      <c r="F4183">
        <v>0</v>
      </c>
      <c r="G4183">
        <v>3</v>
      </c>
      <c r="H4183" s="4">
        <v>1570545664095</v>
      </c>
      <c r="I4183">
        <v>526.5</v>
      </c>
      <c r="J4183" s="9">
        <f t="shared" si="65"/>
        <v>43746.903519618056</v>
      </c>
      <c r="K4183" s="1"/>
    </row>
    <row r="4184" spans="1:11" x14ac:dyDescent="0.25">
      <c r="A4184" t="e">
        <f>-LqfoGs40MpP2unLa_AL</f>
        <v>#NAME?</v>
      </c>
      <c r="B4184">
        <v>393.75</v>
      </c>
      <c r="C4184">
        <v>20.584240000000001</v>
      </c>
      <c r="D4184">
        <v>69</v>
      </c>
      <c r="E4184">
        <v>0</v>
      </c>
      <c r="F4184">
        <v>0</v>
      </c>
      <c r="G4184">
        <v>10</v>
      </c>
      <c r="H4184" s="4">
        <v>1570545670326</v>
      </c>
      <c r="I4184">
        <v>526.5</v>
      </c>
      <c r="J4184" s="9">
        <f t="shared" si="65"/>
        <v>43746.903591736111</v>
      </c>
      <c r="K4184" s="1"/>
    </row>
    <row r="4185" spans="1:11" x14ac:dyDescent="0.25">
      <c r="A4185" t="e">
        <f>-LqfoIaDlrNtDFxmhDld</f>
        <v>#NAME?</v>
      </c>
      <c r="B4185">
        <v>393.75</v>
      </c>
      <c r="C4185">
        <v>20.531590000000001</v>
      </c>
      <c r="D4185">
        <v>72</v>
      </c>
      <c r="E4185">
        <v>0</v>
      </c>
      <c r="F4185">
        <v>0</v>
      </c>
      <c r="G4185">
        <v>0</v>
      </c>
      <c r="H4185" s="4">
        <v>1570545677526</v>
      </c>
      <c r="I4185">
        <v>526.6875</v>
      </c>
      <c r="J4185" s="9">
        <f t="shared" si="65"/>
        <v>43746.903675069443</v>
      </c>
      <c r="K4185" s="1"/>
    </row>
    <row r="4186" spans="1:11" x14ac:dyDescent="0.25">
      <c r="A4186" t="e">
        <f>-LqfoK94Bpj_uuG5Kckp</f>
        <v>#NAME?</v>
      </c>
      <c r="B4186">
        <v>412.5</v>
      </c>
      <c r="C4186">
        <v>20.584240000000001</v>
      </c>
      <c r="D4186">
        <v>72</v>
      </c>
      <c r="E4186">
        <v>0</v>
      </c>
      <c r="F4186">
        <v>0</v>
      </c>
      <c r="G4186">
        <v>10</v>
      </c>
      <c r="H4186" s="4">
        <v>1570545683715</v>
      </c>
      <c r="I4186">
        <v>532.3125</v>
      </c>
      <c r="J4186" s="9">
        <f t="shared" si="65"/>
        <v>43746.903746701391</v>
      </c>
      <c r="K4186" s="1"/>
    </row>
    <row r="4187" spans="1:11" x14ac:dyDescent="0.25">
      <c r="A4187" t="e">
        <f>-LqfoLs7r5Pz8dBd6v_7</f>
        <v>#NAME?</v>
      </c>
      <c r="B4187">
        <v>393.75</v>
      </c>
      <c r="C4187">
        <v>20.478950000000001</v>
      </c>
      <c r="D4187">
        <v>68</v>
      </c>
      <c r="E4187">
        <v>0</v>
      </c>
      <c r="F4187">
        <v>0</v>
      </c>
      <c r="G4187">
        <v>5</v>
      </c>
      <c r="H4187" s="4">
        <v>1570545690934</v>
      </c>
      <c r="I4187">
        <v>526.6875</v>
      </c>
      <c r="J4187" s="9">
        <f t="shared" si="65"/>
        <v>43746.903830254632</v>
      </c>
      <c r="K4187" s="1"/>
    </row>
    <row r="4188" spans="1:11" x14ac:dyDescent="0.25">
      <c r="A4188" t="e">
        <f>-LqfoNM9hPEWdjT820uE</f>
        <v>#NAME?</v>
      </c>
      <c r="B4188">
        <v>393.75</v>
      </c>
      <c r="C4188">
        <v>20.531590000000001</v>
      </c>
      <c r="D4188">
        <v>68</v>
      </c>
      <c r="E4188">
        <v>0</v>
      </c>
      <c r="F4188">
        <v>0</v>
      </c>
      <c r="G4188">
        <v>9</v>
      </c>
      <c r="H4188" s="4">
        <v>1570545697118</v>
      </c>
      <c r="I4188">
        <v>526.6875</v>
      </c>
      <c r="J4188" s="9">
        <f t="shared" si="65"/>
        <v>43746.9039018287</v>
      </c>
      <c r="K4188" s="1"/>
    </row>
    <row r="4189" spans="1:11" x14ac:dyDescent="0.25">
      <c r="A4189" t="e">
        <f>-LqfoOv46l0B4HJCiTKi</f>
        <v>#NAME?</v>
      </c>
      <c r="B4189">
        <v>393.75</v>
      </c>
      <c r="C4189">
        <v>20.531590000000001</v>
      </c>
      <c r="D4189">
        <v>68</v>
      </c>
      <c r="E4189">
        <v>0</v>
      </c>
      <c r="F4189">
        <v>0</v>
      </c>
      <c r="G4189">
        <v>9</v>
      </c>
      <c r="H4189" s="4">
        <v>1570545703296</v>
      </c>
      <c r="I4189">
        <v>526.6875</v>
      </c>
      <c r="J4189" s="9">
        <f t="shared" si="65"/>
        <v>43746.903973333327</v>
      </c>
      <c r="K4189" s="1"/>
    </row>
    <row r="4190" spans="1:11" x14ac:dyDescent="0.25">
      <c r="A4190" t="e">
        <f>-LqfoQP47rvekL8zFzoG</f>
        <v>#NAME?</v>
      </c>
      <c r="B4190">
        <v>393.75</v>
      </c>
      <c r="C4190">
        <v>20.531590000000001</v>
      </c>
      <c r="D4190">
        <v>68</v>
      </c>
      <c r="E4190">
        <v>0</v>
      </c>
      <c r="F4190">
        <v>0</v>
      </c>
      <c r="G4190">
        <v>3</v>
      </c>
      <c r="H4190" s="4">
        <v>1570545709475</v>
      </c>
      <c r="I4190">
        <v>526.6875</v>
      </c>
      <c r="J4190" s="9">
        <f t="shared" si="65"/>
        <v>43746.904044849536</v>
      </c>
      <c r="K4190" s="1"/>
    </row>
    <row r="4191" spans="1:11" x14ac:dyDescent="0.25">
      <c r="A4191" t="e">
        <f>-LqfoRtEIJPZNKz6y9Ln</f>
        <v>#NAME?</v>
      </c>
      <c r="B4191">
        <v>393.75</v>
      </c>
      <c r="C4191">
        <v>20.584240000000001</v>
      </c>
      <c r="D4191">
        <v>66</v>
      </c>
      <c r="E4191">
        <v>0</v>
      </c>
      <c r="F4191">
        <v>0</v>
      </c>
      <c r="G4191">
        <v>11</v>
      </c>
      <c r="H4191" s="4">
        <v>1570545715676</v>
      </c>
      <c r="I4191">
        <v>526.6875</v>
      </c>
      <c r="J4191" s="9">
        <f t="shared" si="65"/>
        <v>43746.904116620368</v>
      </c>
      <c r="K4191" s="1"/>
    </row>
    <row r="4192" spans="1:11" x14ac:dyDescent="0.25">
      <c r="A4192" t="e">
        <f>-LqfoTS5G9kQxrT4bpFd</f>
        <v>#NAME?</v>
      </c>
      <c r="B4192">
        <v>393.75</v>
      </c>
      <c r="C4192">
        <v>20.531590000000001</v>
      </c>
      <c r="D4192">
        <v>71</v>
      </c>
      <c r="E4192">
        <v>0</v>
      </c>
      <c r="F4192">
        <v>0</v>
      </c>
      <c r="G4192">
        <v>9</v>
      </c>
      <c r="H4192" s="4">
        <v>1570545721872</v>
      </c>
      <c r="I4192">
        <v>526.6875</v>
      </c>
      <c r="J4192" s="9">
        <f t="shared" si="65"/>
        <v>43746.904188333334</v>
      </c>
      <c r="K4192" s="1"/>
    </row>
    <row r="4193" spans="1:11" x14ac:dyDescent="0.25">
      <c r="A4193" t="e">
        <f>-LqfoVAF84JpFjcSL28k</f>
        <v>#NAME?</v>
      </c>
      <c r="B4193">
        <v>393.75</v>
      </c>
      <c r="C4193">
        <v>20.531590000000001</v>
      </c>
      <c r="D4193">
        <v>73</v>
      </c>
      <c r="E4193">
        <v>0</v>
      </c>
      <c r="F4193">
        <v>0</v>
      </c>
      <c r="G4193">
        <v>17</v>
      </c>
      <c r="H4193" s="4">
        <v>1570545729045</v>
      </c>
      <c r="I4193">
        <v>526.6875</v>
      </c>
      <c r="J4193" s="9">
        <f t="shared" si="65"/>
        <v>43746.904271354164</v>
      </c>
      <c r="K4193" s="1"/>
    </row>
    <row r="4194" spans="1:11" x14ac:dyDescent="0.25">
      <c r="A4194" t="e">
        <f>-LqfoWj467WoV3Fm9RlI</f>
        <v>#NAME?</v>
      </c>
      <c r="B4194">
        <v>393.75</v>
      </c>
      <c r="C4194">
        <v>20.531590000000001</v>
      </c>
      <c r="D4194">
        <v>73</v>
      </c>
      <c r="E4194">
        <v>0</v>
      </c>
      <c r="F4194">
        <v>0</v>
      </c>
      <c r="G4194">
        <v>4</v>
      </c>
      <c r="H4194" s="4">
        <v>1570545735245</v>
      </c>
      <c r="I4194">
        <v>526.6875</v>
      </c>
      <c r="J4194" s="9">
        <f t="shared" si="65"/>
        <v>43746.904343113427</v>
      </c>
      <c r="K4194" s="1"/>
    </row>
    <row r="4195" spans="1:11" x14ac:dyDescent="0.25">
      <c r="A4195" t="e">
        <f>-LqfoYk7c61qgRmvNsaR</f>
        <v>#NAME?</v>
      </c>
      <c r="B4195">
        <v>393.75</v>
      </c>
      <c r="C4195">
        <v>20.584240000000001</v>
      </c>
      <c r="D4195">
        <v>71</v>
      </c>
      <c r="E4195">
        <v>0</v>
      </c>
      <c r="F4195">
        <v>0</v>
      </c>
      <c r="G4195">
        <v>6</v>
      </c>
      <c r="H4195" s="4">
        <v>1570545742484</v>
      </c>
      <c r="I4195">
        <v>526.6875</v>
      </c>
      <c r="J4195" s="9">
        <f t="shared" si="65"/>
        <v>43746.904426898145</v>
      </c>
      <c r="K4195" s="1"/>
    </row>
    <row r="4196" spans="1:11" x14ac:dyDescent="0.25">
      <c r="A4196" t="s">
        <v>226</v>
      </c>
      <c r="B4196">
        <v>393.75</v>
      </c>
      <c r="C4196">
        <v>20.531590000000001</v>
      </c>
      <c r="D4196">
        <v>66</v>
      </c>
      <c r="E4196">
        <v>0</v>
      </c>
      <c r="F4196">
        <v>0</v>
      </c>
      <c r="G4196">
        <v>2</v>
      </c>
      <c r="H4196" s="4">
        <v>1570545750724</v>
      </c>
      <c r="I4196">
        <v>526.6875</v>
      </c>
      <c r="J4196" s="9">
        <f t="shared" si="65"/>
        <v>43746.904522268516</v>
      </c>
      <c r="K4196" s="1"/>
    </row>
    <row r="4197" spans="1:11" x14ac:dyDescent="0.25">
      <c r="A4197" t="e">
        <f>-Lqfoay8_XisvNlpxhv0</f>
        <v>#NAME?</v>
      </c>
      <c r="B4197">
        <v>393.75</v>
      </c>
      <c r="C4197">
        <v>20.531590000000001</v>
      </c>
      <c r="D4197">
        <v>65</v>
      </c>
      <c r="E4197">
        <v>0</v>
      </c>
      <c r="F4197">
        <v>0</v>
      </c>
      <c r="G4197">
        <v>5</v>
      </c>
      <c r="H4197" s="4">
        <v>1570545756887</v>
      </c>
      <c r="I4197">
        <v>526.6875</v>
      </c>
      <c r="J4197" s="9">
        <f t="shared" si="65"/>
        <v>43746.904593599531</v>
      </c>
      <c r="K4197" s="1"/>
    </row>
    <row r="4198" spans="1:11" x14ac:dyDescent="0.25">
      <c r="A4198" t="e">
        <f>-LqfocX7n7HlJwzMZu9E</f>
        <v>#NAME?</v>
      </c>
      <c r="B4198">
        <v>393.75</v>
      </c>
      <c r="C4198">
        <v>20.584240000000001</v>
      </c>
      <c r="D4198">
        <v>65</v>
      </c>
      <c r="E4198">
        <v>0</v>
      </c>
      <c r="F4198">
        <v>0</v>
      </c>
      <c r="G4198">
        <v>19</v>
      </c>
      <c r="H4198" s="4">
        <v>1570545763079</v>
      </c>
      <c r="I4198">
        <v>526.6875</v>
      </c>
      <c r="J4198" s="9">
        <f t="shared" si="65"/>
        <v>43746.9046652662</v>
      </c>
      <c r="K4198" s="1"/>
    </row>
    <row r="4199" spans="1:11" x14ac:dyDescent="0.25">
      <c r="A4199" t="e">
        <f>-LqfoeF6UocLv9OchUqq</f>
        <v>#NAME?</v>
      </c>
      <c r="B4199">
        <v>412.5</v>
      </c>
      <c r="C4199">
        <v>20.478950000000001</v>
      </c>
      <c r="D4199">
        <v>66</v>
      </c>
      <c r="E4199">
        <v>0</v>
      </c>
      <c r="F4199">
        <v>0</v>
      </c>
      <c r="G4199">
        <v>12</v>
      </c>
      <c r="H4199" s="4">
        <v>1570545770297</v>
      </c>
      <c r="I4199">
        <v>532.3125</v>
      </c>
      <c r="J4199" s="9">
        <f t="shared" si="65"/>
        <v>43746.904748807872</v>
      </c>
      <c r="K4199" s="1"/>
    </row>
    <row r="4200" spans="1:11" x14ac:dyDescent="0.25">
      <c r="A4200" t="e">
        <f>-Lqfofj7CSqxKPDYOHmy</f>
        <v>#NAME?</v>
      </c>
      <c r="B4200">
        <v>393.75</v>
      </c>
      <c r="C4200">
        <v>20.478950000000001</v>
      </c>
      <c r="D4200">
        <v>66</v>
      </c>
      <c r="E4200">
        <v>0</v>
      </c>
      <c r="F4200">
        <v>0</v>
      </c>
      <c r="G4200">
        <v>10</v>
      </c>
      <c r="H4200" s="4">
        <v>1570545776478</v>
      </c>
      <c r="I4200">
        <v>526.6875</v>
      </c>
      <c r="J4200" s="9">
        <f t="shared" si="65"/>
        <v>43746.904820347219</v>
      </c>
      <c r="K4200" s="1"/>
    </row>
    <row r="4201" spans="1:11" x14ac:dyDescent="0.25">
      <c r="A4201" t="e">
        <f>-LqfohI8edEmjOgAhHnc</f>
        <v>#NAME?</v>
      </c>
      <c r="B4201">
        <v>393.75</v>
      </c>
      <c r="C4201">
        <v>20.531590000000001</v>
      </c>
      <c r="D4201">
        <v>66</v>
      </c>
      <c r="E4201">
        <v>0</v>
      </c>
      <c r="F4201">
        <v>0</v>
      </c>
      <c r="G4201">
        <v>5</v>
      </c>
      <c r="H4201" s="4">
        <v>1570545782648</v>
      </c>
      <c r="I4201">
        <v>526.6875</v>
      </c>
      <c r="J4201" s="9">
        <f t="shared" si="65"/>
        <v>43746.904891759252</v>
      </c>
      <c r="K4201" s="1"/>
    </row>
    <row r="4202" spans="1:11" x14ac:dyDescent="0.25">
      <c r="A4202" t="e">
        <f>-Lqfoim8fou6ME-KgOOZ</f>
        <v>#NAME?</v>
      </c>
      <c r="B4202">
        <v>393.75</v>
      </c>
      <c r="C4202">
        <v>20.478950000000001</v>
      </c>
      <c r="D4202">
        <v>66</v>
      </c>
      <c r="E4202">
        <v>0</v>
      </c>
      <c r="F4202">
        <v>0</v>
      </c>
      <c r="G4202">
        <v>8</v>
      </c>
      <c r="H4202" s="4">
        <v>1570545788838</v>
      </c>
      <c r="I4202">
        <v>526.6875</v>
      </c>
      <c r="J4202" s="9">
        <f t="shared" si="65"/>
        <v>43746.904963402776</v>
      </c>
      <c r="K4202" s="1"/>
    </row>
    <row r="4203" spans="1:11" x14ac:dyDescent="0.25">
      <c r="A4203" t="e">
        <f>-LqfokP0izx5LXCFWZxc</f>
        <v>#NAME?</v>
      </c>
      <c r="B4203">
        <v>393.75</v>
      </c>
      <c r="C4203">
        <v>20.531590000000001</v>
      </c>
      <c r="D4203">
        <v>67</v>
      </c>
      <c r="E4203">
        <v>0</v>
      </c>
      <c r="F4203">
        <v>0</v>
      </c>
      <c r="G4203">
        <v>4</v>
      </c>
      <c r="H4203" s="4">
        <v>1570545795389</v>
      </c>
      <c r="I4203">
        <v>526.6875</v>
      </c>
      <c r="J4203" s="9">
        <f t="shared" si="65"/>
        <v>43746.905039224534</v>
      </c>
      <c r="K4203" s="1"/>
    </row>
    <row r="4204" spans="1:11" x14ac:dyDescent="0.25">
      <c r="A4204" t="e">
        <f>-Lqfom38tpte7b-Nf98z</f>
        <v>#NAME?</v>
      </c>
      <c r="B4204">
        <v>393.75</v>
      </c>
      <c r="C4204">
        <v>20.531590000000001</v>
      </c>
      <c r="D4204">
        <v>68</v>
      </c>
      <c r="E4204">
        <v>0</v>
      </c>
      <c r="F4204">
        <v>0</v>
      </c>
      <c r="G4204">
        <v>2</v>
      </c>
      <c r="H4204" s="4">
        <v>1570545802237</v>
      </c>
      <c r="I4204">
        <v>526.6875</v>
      </c>
      <c r="J4204" s="9">
        <f t="shared" si="65"/>
        <v>43746.905118483795</v>
      </c>
      <c r="K4204" s="1"/>
    </row>
    <row r="4205" spans="1:11" x14ac:dyDescent="0.25">
      <c r="A4205" t="e">
        <f>-LqfonY6nUIjj1ol7G6r</f>
        <v>#NAME?</v>
      </c>
      <c r="B4205">
        <v>393.75</v>
      </c>
      <c r="C4205">
        <v>20.531590000000001</v>
      </c>
      <c r="D4205">
        <v>68</v>
      </c>
      <c r="E4205">
        <v>0</v>
      </c>
      <c r="F4205">
        <v>0</v>
      </c>
      <c r="G4205">
        <v>9</v>
      </c>
      <c r="H4205" s="4">
        <v>1570545808409</v>
      </c>
      <c r="I4205">
        <v>526.6875</v>
      </c>
      <c r="J4205" s="9">
        <f t="shared" si="65"/>
        <v>43746.90518991898</v>
      </c>
      <c r="K4205" s="1"/>
    </row>
    <row r="4206" spans="1:11" x14ac:dyDescent="0.25">
      <c r="A4206" t="e">
        <f>-Lqfop50GGPAhSb5jZKK</f>
        <v>#NAME?</v>
      </c>
      <c r="B4206">
        <v>412.5</v>
      </c>
      <c r="C4206">
        <v>20.531590000000001</v>
      </c>
      <c r="D4206">
        <v>70</v>
      </c>
      <c r="E4206">
        <v>0</v>
      </c>
      <c r="F4206">
        <v>0</v>
      </c>
      <c r="G4206">
        <v>7</v>
      </c>
      <c r="H4206" s="4">
        <v>1570545814608</v>
      </c>
      <c r="I4206">
        <v>532.125</v>
      </c>
      <c r="J4206" s="9">
        <f t="shared" si="65"/>
        <v>43746.905261666667</v>
      </c>
      <c r="K4206" s="1"/>
    </row>
    <row r="4207" spans="1:11" x14ac:dyDescent="0.25">
      <c r="A4207" t="e">
        <f>-Lqfoqo1wS7AdUo7eaDf</f>
        <v>#NAME?</v>
      </c>
      <c r="B4207">
        <v>393.75</v>
      </c>
      <c r="C4207">
        <v>20.584240000000001</v>
      </c>
      <c r="D4207">
        <v>70</v>
      </c>
      <c r="E4207">
        <v>0</v>
      </c>
      <c r="F4207">
        <v>0</v>
      </c>
      <c r="G4207">
        <v>0</v>
      </c>
      <c r="H4207" s="4">
        <v>1570545821827</v>
      </c>
      <c r="I4207">
        <v>526.5</v>
      </c>
      <c r="J4207" s="9">
        <f t="shared" si="65"/>
        <v>43746.905345219908</v>
      </c>
      <c r="K4207" s="1"/>
    </row>
    <row r="4208" spans="1:11" x14ac:dyDescent="0.25">
      <c r="A4208" t="e">
        <f>-LqfosJ7X-_uGfD7sIDK</f>
        <v>#NAME?</v>
      </c>
      <c r="B4208">
        <v>393.75</v>
      </c>
      <c r="C4208">
        <v>20.531590000000001</v>
      </c>
      <c r="D4208">
        <v>70</v>
      </c>
      <c r="E4208">
        <v>0</v>
      </c>
      <c r="F4208">
        <v>0</v>
      </c>
      <c r="G4208">
        <v>6</v>
      </c>
      <c r="H4208" s="4">
        <v>1570545827997</v>
      </c>
      <c r="I4208">
        <v>526.6875</v>
      </c>
      <c r="J4208" s="9">
        <f t="shared" si="65"/>
        <v>43746.905416631947</v>
      </c>
      <c r="K4208" s="1"/>
    </row>
    <row r="4209" spans="1:11" x14ac:dyDescent="0.25">
      <c r="A4209" t="s">
        <v>227</v>
      </c>
      <c r="B4209">
        <v>393.75</v>
      </c>
      <c r="C4209">
        <v>20.531590000000001</v>
      </c>
      <c r="D4209">
        <v>72</v>
      </c>
      <c r="E4209">
        <v>0</v>
      </c>
      <c r="F4209">
        <v>0</v>
      </c>
      <c r="G4209">
        <v>4</v>
      </c>
      <c r="H4209" s="4">
        <v>1570545834890</v>
      </c>
      <c r="I4209">
        <v>526.5</v>
      </c>
      <c r="J4209" s="9">
        <f t="shared" si="65"/>
        <v>43746.905496412037</v>
      </c>
      <c r="K4209" s="1"/>
    </row>
    <row r="4210" spans="1:11" x14ac:dyDescent="0.25">
      <c r="A4210" t="e">
        <f>-LqfovaG5L0IjdjoNwqs</f>
        <v>#NAME?</v>
      </c>
      <c r="B4210">
        <v>393.75</v>
      </c>
      <c r="C4210">
        <v>20.531590000000001</v>
      </c>
      <c r="D4210">
        <v>70</v>
      </c>
      <c r="E4210">
        <v>0</v>
      </c>
      <c r="F4210">
        <v>0</v>
      </c>
      <c r="G4210">
        <v>5</v>
      </c>
      <c r="H4210" s="4">
        <v>1570545841369</v>
      </c>
      <c r="I4210">
        <v>526.5</v>
      </c>
      <c r="J4210" s="9">
        <f t="shared" si="65"/>
        <v>43746.905571400457</v>
      </c>
      <c r="K4210" s="1"/>
    </row>
    <row r="4211" spans="1:11" x14ac:dyDescent="0.25">
      <c r="A4211" t="e">
        <f>-Lqfox982Pl4gP0TFtsM</f>
        <v>#NAME?</v>
      </c>
      <c r="B4211">
        <v>393.75</v>
      </c>
      <c r="C4211">
        <v>20.531590000000001</v>
      </c>
      <c r="D4211">
        <v>70</v>
      </c>
      <c r="E4211">
        <v>0</v>
      </c>
      <c r="F4211">
        <v>0</v>
      </c>
      <c r="G4211">
        <v>5</v>
      </c>
      <c r="H4211" s="4">
        <v>1570545847558</v>
      </c>
      <c r="I4211">
        <v>526.6875</v>
      </c>
      <c r="J4211" s="9">
        <f t="shared" si="65"/>
        <v>43746.905643032405</v>
      </c>
      <c r="K4211" s="1"/>
    </row>
    <row r="4212" spans="1:11" x14ac:dyDescent="0.25">
      <c r="A4212" t="e">
        <f>-LqfoysAJ5jc2-XeANUV</f>
        <v>#NAME?</v>
      </c>
      <c r="B4212">
        <v>393.75</v>
      </c>
      <c r="C4212">
        <v>20.531590000000001</v>
      </c>
      <c r="D4212">
        <v>69</v>
      </c>
      <c r="E4212">
        <v>0</v>
      </c>
      <c r="F4212">
        <v>0</v>
      </c>
      <c r="G4212">
        <v>13</v>
      </c>
      <c r="H4212" s="4">
        <v>1570545854807</v>
      </c>
      <c r="I4212">
        <v>526.6875</v>
      </c>
      <c r="J4212" s="9">
        <f t="shared" si="65"/>
        <v>43746.90572693287</v>
      </c>
      <c r="K4212" s="1"/>
    </row>
    <row r="4213" spans="1:11" x14ac:dyDescent="0.25">
      <c r="A4213" t="e">
        <f>-Lqfp-Ru6OC9DClBGFLM</f>
        <v>#NAME?</v>
      </c>
      <c r="B4213">
        <v>393.75</v>
      </c>
      <c r="C4213">
        <v>20.478950000000001</v>
      </c>
      <c r="D4213">
        <v>67</v>
      </c>
      <c r="E4213">
        <v>0</v>
      </c>
      <c r="F4213">
        <v>0</v>
      </c>
      <c r="G4213">
        <v>12</v>
      </c>
      <c r="H4213" s="4">
        <v>1570545860979</v>
      </c>
      <c r="I4213">
        <v>526.5</v>
      </c>
      <c r="J4213" s="9">
        <f t="shared" si="65"/>
        <v>43746.905798368054</v>
      </c>
      <c r="K4213" s="1"/>
    </row>
    <row r="4214" spans="1:11" x14ac:dyDescent="0.25">
      <c r="A4214" t="e">
        <f>-Lqfp1OH6rGjo78g_v5W</f>
        <v>#NAME?</v>
      </c>
      <c r="B4214">
        <v>393.75</v>
      </c>
      <c r="C4214">
        <v>20.584240000000001</v>
      </c>
      <c r="D4214">
        <v>67</v>
      </c>
      <c r="E4214">
        <v>0</v>
      </c>
      <c r="F4214">
        <v>0</v>
      </c>
      <c r="G4214">
        <v>11</v>
      </c>
      <c r="H4214" s="4">
        <v>1570545869001</v>
      </c>
      <c r="I4214">
        <v>526.5</v>
      </c>
      <c r="J4214" s="9">
        <f t="shared" si="65"/>
        <v>43746.905891215276</v>
      </c>
      <c r="K4214" s="1"/>
    </row>
    <row r="4215" spans="1:11" x14ac:dyDescent="0.25">
      <c r="A4215" t="e">
        <f>-Lqfp2xIuZYDLtrqOhds</f>
        <v>#NAME?</v>
      </c>
      <c r="B4215">
        <v>393.75</v>
      </c>
      <c r="C4215">
        <v>20.478950000000001</v>
      </c>
      <c r="D4215">
        <v>67</v>
      </c>
      <c r="E4215">
        <v>0</v>
      </c>
      <c r="F4215">
        <v>0</v>
      </c>
      <c r="G4215">
        <v>11</v>
      </c>
      <c r="H4215" s="4">
        <v>1570545875409</v>
      </c>
      <c r="I4215">
        <v>526.6875</v>
      </c>
      <c r="J4215" s="9">
        <f t="shared" si="65"/>
        <v>43746.905965381942</v>
      </c>
      <c r="K4215" s="1"/>
    </row>
    <row r="4216" spans="1:11" x14ac:dyDescent="0.25">
      <c r="A4216" t="e">
        <f>-Lqfp4fGyCsCYBe0bZpW</f>
        <v>#NAME?</v>
      </c>
      <c r="B4216">
        <v>393.75</v>
      </c>
      <c r="C4216">
        <v>20.531590000000001</v>
      </c>
      <c r="D4216">
        <v>67</v>
      </c>
      <c r="E4216">
        <v>0</v>
      </c>
      <c r="F4216">
        <v>0</v>
      </c>
      <c r="G4216">
        <v>5</v>
      </c>
      <c r="H4216" s="4">
        <v>1570545882619</v>
      </c>
      <c r="I4216">
        <v>526.6875</v>
      </c>
      <c r="J4216" s="9">
        <f t="shared" si="65"/>
        <v>43746.906048831013</v>
      </c>
      <c r="K4216" s="1"/>
    </row>
    <row r="4217" spans="1:11" x14ac:dyDescent="0.25">
      <c r="A4217" t="e">
        <f>-Lqfp6T6U4dL2zKpS46K</f>
        <v>#NAME?</v>
      </c>
      <c r="B4217">
        <v>393.75</v>
      </c>
      <c r="C4217">
        <v>20.531590000000001</v>
      </c>
      <c r="D4217">
        <v>66</v>
      </c>
      <c r="E4217">
        <v>0</v>
      </c>
      <c r="F4217">
        <v>0</v>
      </c>
      <c r="G4217">
        <v>10</v>
      </c>
      <c r="H4217" s="4">
        <v>1570545889839</v>
      </c>
      <c r="I4217">
        <v>526.6875</v>
      </c>
      <c r="J4217" s="9">
        <f t="shared" si="65"/>
        <v>43746.90613239583</v>
      </c>
      <c r="K4217" s="1"/>
    </row>
    <row r="4218" spans="1:11" x14ac:dyDescent="0.25">
      <c r="A4218" t="e">
        <f>-Lqfp8B7lCxNkQiwT_R_</f>
        <v>#NAME?</v>
      </c>
      <c r="B4218">
        <v>393.75</v>
      </c>
      <c r="C4218">
        <v>20.531590000000001</v>
      </c>
      <c r="D4218">
        <v>67</v>
      </c>
      <c r="E4218">
        <v>0</v>
      </c>
      <c r="F4218">
        <v>0</v>
      </c>
      <c r="G4218">
        <v>0</v>
      </c>
      <c r="H4218" s="4">
        <v>1570545897050</v>
      </c>
      <c r="I4218">
        <v>526.6875</v>
      </c>
      <c r="J4218" s="9">
        <f t="shared" si="65"/>
        <v>43746.906215856478</v>
      </c>
      <c r="K4218" s="1"/>
    </row>
    <row r="4219" spans="1:11" x14ac:dyDescent="0.25">
      <c r="A4219" t="e">
        <f>-Lqfp9j8XiddfWUBrar_</f>
        <v>#NAME?</v>
      </c>
      <c r="B4219">
        <v>393.75</v>
      </c>
      <c r="C4219">
        <v>20.531590000000001</v>
      </c>
      <c r="D4219">
        <v>67</v>
      </c>
      <c r="E4219">
        <v>0</v>
      </c>
      <c r="F4219">
        <v>0</v>
      </c>
      <c r="G4219">
        <v>9</v>
      </c>
      <c r="H4219" s="4">
        <v>1570545903227</v>
      </c>
      <c r="I4219">
        <v>526.6875</v>
      </c>
      <c r="J4219" s="9">
        <f t="shared" si="65"/>
        <v>43746.906287349535</v>
      </c>
      <c r="K4219" s="1"/>
    </row>
    <row r="4220" spans="1:11" x14ac:dyDescent="0.25">
      <c r="A4220" t="e">
        <f>-LqfpBT6sZ7ght69zFRr</f>
        <v>#NAME?</v>
      </c>
      <c r="B4220">
        <v>428.125</v>
      </c>
      <c r="C4220">
        <v>20.531590000000001</v>
      </c>
      <c r="D4220">
        <v>71</v>
      </c>
      <c r="E4220">
        <v>0</v>
      </c>
      <c r="F4220">
        <v>0</v>
      </c>
      <c r="G4220">
        <v>9</v>
      </c>
      <c r="H4220" s="4">
        <v>1570545910449</v>
      </c>
      <c r="I4220">
        <v>537</v>
      </c>
      <c r="J4220" s="9">
        <f t="shared" si="65"/>
        <v>43746.906370937497</v>
      </c>
      <c r="K4220" s="1"/>
    </row>
    <row r="4221" spans="1:11" x14ac:dyDescent="0.25">
      <c r="A4221" t="e">
        <f>-LqfpCx6SoRk4eVPzwpK</f>
        <v>#NAME?</v>
      </c>
      <c r="B4221">
        <v>393.75</v>
      </c>
      <c r="C4221">
        <v>20.531590000000001</v>
      </c>
      <c r="D4221">
        <v>68</v>
      </c>
      <c r="E4221">
        <v>0</v>
      </c>
      <c r="F4221">
        <v>0</v>
      </c>
      <c r="G4221">
        <v>9</v>
      </c>
      <c r="H4221" s="4">
        <v>1570545916629</v>
      </c>
      <c r="I4221">
        <v>526.6875</v>
      </c>
      <c r="J4221" s="9">
        <f t="shared" si="65"/>
        <v>43746.906442465275</v>
      </c>
      <c r="K4221" s="1"/>
    </row>
    <row r="4222" spans="1:11" x14ac:dyDescent="0.25">
      <c r="A4222" t="e">
        <f>-LqfpEW7jBBbcHjtyrk6</f>
        <v>#NAME?</v>
      </c>
      <c r="B4222">
        <v>393.75</v>
      </c>
      <c r="C4222">
        <v>20.584240000000001</v>
      </c>
      <c r="D4222">
        <v>69</v>
      </c>
      <c r="E4222">
        <v>0</v>
      </c>
      <c r="F4222">
        <v>0</v>
      </c>
      <c r="G4222">
        <v>0</v>
      </c>
      <c r="H4222" s="4">
        <v>1570545922807</v>
      </c>
      <c r="I4222">
        <v>526.6875</v>
      </c>
      <c r="J4222" s="9">
        <f t="shared" si="65"/>
        <v>43746.906513969901</v>
      </c>
      <c r="K4222" s="1"/>
    </row>
    <row r="4223" spans="1:11" x14ac:dyDescent="0.25">
      <c r="A4223" t="e">
        <f>-LqfpGE6b_Rh3LdjYbWc</f>
        <v>#NAME?</v>
      </c>
      <c r="B4223">
        <v>393.75</v>
      </c>
      <c r="C4223">
        <v>20.531590000000001</v>
      </c>
      <c r="D4223">
        <v>70</v>
      </c>
      <c r="E4223">
        <v>0</v>
      </c>
      <c r="F4223">
        <v>0</v>
      </c>
      <c r="G4223">
        <v>4</v>
      </c>
      <c r="H4223" s="4">
        <v>1570545930007</v>
      </c>
      <c r="I4223">
        <v>526.6875</v>
      </c>
      <c r="J4223" s="9">
        <f t="shared" si="65"/>
        <v>43746.906597303234</v>
      </c>
      <c r="K4223" s="1"/>
    </row>
    <row r="4224" spans="1:11" x14ac:dyDescent="0.25">
      <c r="A4224" t="e">
        <f>-LqfpHnFOhPHccxt3v9k</f>
        <v>#NAME?</v>
      </c>
      <c r="B4224">
        <v>393.75</v>
      </c>
      <c r="C4224">
        <v>20.531590000000001</v>
      </c>
      <c r="D4224">
        <v>70</v>
      </c>
      <c r="E4224">
        <v>0</v>
      </c>
      <c r="F4224">
        <v>0</v>
      </c>
      <c r="G4224">
        <v>3</v>
      </c>
      <c r="H4224" s="4">
        <v>1570545936209</v>
      </c>
      <c r="I4224">
        <v>526.6875</v>
      </c>
      <c r="J4224" s="9">
        <f t="shared" si="65"/>
        <v>43746.906669085649</v>
      </c>
      <c r="K4224" s="1"/>
    </row>
    <row r="4225" spans="1:11" x14ac:dyDescent="0.25">
      <c r="A4225" t="e">
        <f>-LqfpJW7NtxtrQj4_o37</f>
        <v>#NAME?</v>
      </c>
      <c r="B4225">
        <v>393.75</v>
      </c>
      <c r="C4225">
        <v>20.531590000000001</v>
      </c>
      <c r="D4225">
        <v>70</v>
      </c>
      <c r="E4225">
        <v>0</v>
      </c>
      <c r="F4225">
        <v>0</v>
      </c>
      <c r="G4225">
        <v>5</v>
      </c>
      <c r="H4225" s="4">
        <v>1570545943419</v>
      </c>
      <c r="I4225">
        <v>526.6875</v>
      </c>
      <c r="J4225" s="9">
        <f t="shared" si="65"/>
        <v>43746.90675253472</v>
      </c>
      <c r="K4225" s="1"/>
    </row>
    <row r="4226" spans="1:11" x14ac:dyDescent="0.25">
      <c r="A4226" t="s">
        <v>228</v>
      </c>
      <c r="B4226">
        <v>393.75</v>
      </c>
      <c r="C4226">
        <v>20.531590000000001</v>
      </c>
      <c r="D4226">
        <v>69</v>
      </c>
      <c r="E4226">
        <v>0</v>
      </c>
      <c r="F4226">
        <v>0</v>
      </c>
      <c r="G4226">
        <v>3</v>
      </c>
      <c r="H4226" s="4">
        <v>1570545949607</v>
      </c>
      <c r="I4226">
        <v>526.6875</v>
      </c>
      <c r="J4226" s="9">
        <f t="shared" si="65"/>
        <v>43746.906824155092</v>
      </c>
      <c r="K4226" s="1"/>
    </row>
    <row r="4227" spans="1:11" x14ac:dyDescent="0.25">
      <c r="A4227" t="e">
        <f>-LqfpMZ6wnLDHibRhyQZ</f>
        <v>#NAME?</v>
      </c>
      <c r="B4227">
        <v>393.75</v>
      </c>
      <c r="C4227">
        <v>20.584240000000001</v>
      </c>
      <c r="D4227">
        <v>69</v>
      </c>
      <c r="E4227">
        <v>0</v>
      </c>
      <c r="F4227">
        <v>0</v>
      </c>
      <c r="G4227">
        <v>16</v>
      </c>
      <c r="H4227" s="4">
        <v>1570545955787</v>
      </c>
      <c r="I4227">
        <v>526.6875</v>
      </c>
      <c r="J4227" s="9">
        <f t="shared" ref="J4227:J4290" si="66">(H4227/86400000)+25569+(7/24)</f>
        <v>43746.906895682863</v>
      </c>
      <c r="K4227" s="1"/>
    </row>
    <row r="4228" spans="1:11" x14ac:dyDescent="0.25">
      <c r="A4228" t="e">
        <f>-LqfpONg1PzUetxWO0NC</f>
        <v>#NAME?</v>
      </c>
      <c r="B4228">
        <v>393.75</v>
      </c>
      <c r="C4228">
        <v>20.584240000000001</v>
      </c>
      <c r="D4228">
        <v>69</v>
      </c>
      <c r="E4228">
        <v>0</v>
      </c>
      <c r="F4228">
        <v>0</v>
      </c>
      <c r="G4228">
        <v>9</v>
      </c>
      <c r="H4228" s="4">
        <v>1570545961959</v>
      </c>
      <c r="I4228">
        <v>526.6875</v>
      </c>
      <c r="J4228" s="9">
        <f t="shared" si="66"/>
        <v>43746.906967118055</v>
      </c>
      <c r="K4228" s="1"/>
    </row>
    <row r="4229" spans="1:11" x14ac:dyDescent="0.25">
      <c r="A4229" t="e">
        <f>-LqfpQ41gb1v_oNHK47X</f>
        <v>#NAME?</v>
      </c>
      <c r="B4229">
        <v>393.75</v>
      </c>
      <c r="C4229">
        <v>20.584240000000001</v>
      </c>
      <c r="D4229">
        <v>69</v>
      </c>
      <c r="E4229">
        <v>0</v>
      </c>
      <c r="F4229">
        <v>0</v>
      </c>
      <c r="G4229">
        <v>10</v>
      </c>
      <c r="H4229" s="4">
        <v>1570545970223</v>
      </c>
      <c r="I4229">
        <v>526.6875</v>
      </c>
      <c r="J4229" s="9">
        <f t="shared" si="66"/>
        <v>43746.9070627662</v>
      </c>
      <c r="K4229" s="1"/>
    </row>
    <row r="4230" spans="1:11" x14ac:dyDescent="0.25">
      <c r="A4230" t="e">
        <f>-LqfpRZ1rG4hdqnQWYc4</f>
        <v>#NAME?</v>
      </c>
      <c r="B4230">
        <v>393.75</v>
      </c>
      <c r="C4230">
        <v>20.531590000000001</v>
      </c>
      <c r="D4230">
        <v>69</v>
      </c>
      <c r="E4230">
        <v>0</v>
      </c>
      <c r="F4230">
        <v>0</v>
      </c>
      <c r="G4230">
        <v>10</v>
      </c>
      <c r="H4230" s="4">
        <v>1570545976405</v>
      </c>
      <c r="I4230">
        <v>526.6875</v>
      </c>
      <c r="J4230" s="9">
        <f t="shared" si="66"/>
        <v>43746.907134317131</v>
      </c>
      <c r="K4230" s="1"/>
    </row>
    <row r="4231" spans="1:11" x14ac:dyDescent="0.25">
      <c r="A4231" t="e">
        <f>-LqfpT20IkPuJN2P8RMx</f>
        <v>#NAME?</v>
      </c>
      <c r="B4231">
        <v>393.75</v>
      </c>
      <c r="C4231">
        <v>20.531590000000001</v>
      </c>
      <c r="D4231">
        <v>70</v>
      </c>
      <c r="E4231">
        <v>0</v>
      </c>
      <c r="F4231">
        <v>0</v>
      </c>
      <c r="G4231">
        <v>4</v>
      </c>
      <c r="H4231" s="4">
        <v>1570545982573</v>
      </c>
      <c r="I4231">
        <v>526.6875</v>
      </c>
      <c r="J4231" s="9">
        <f t="shared" si="66"/>
        <v>43746.907205706018</v>
      </c>
      <c r="K4231" s="1"/>
    </row>
    <row r="4232" spans="1:11" x14ac:dyDescent="0.25">
      <c r="A4232" t="e">
        <f>-LqfpU_xF8BoJXtSZEHc</f>
        <v>#NAME?</v>
      </c>
      <c r="B4232">
        <v>393.75</v>
      </c>
      <c r="C4232">
        <v>20.478950000000001</v>
      </c>
      <c r="D4232">
        <v>69</v>
      </c>
      <c r="E4232">
        <v>0</v>
      </c>
      <c r="F4232">
        <v>0</v>
      </c>
      <c r="G4232">
        <v>13</v>
      </c>
      <c r="H4232" s="4">
        <v>1570545988753</v>
      </c>
      <c r="I4232">
        <v>526.6875</v>
      </c>
      <c r="J4232" s="9">
        <f t="shared" si="66"/>
        <v>43746.90727723379</v>
      </c>
      <c r="K4232" s="1"/>
    </row>
    <row r="4233" spans="1:11" x14ac:dyDescent="0.25">
      <c r="A4233" t="e">
        <f>-LqfpW2ZpLNhg55keT7B</f>
        <v>#NAME?</v>
      </c>
      <c r="B4233">
        <v>393.75</v>
      </c>
      <c r="C4233">
        <v>20.584240000000001</v>
      </c>
      <c r="D4233">
        <v>70</v>
      </c>
      <c r="E4233">
        <v>0</v>
      </c>
      <c r="F4233">
        <v>0</v>
      </c>
      <c r="G4233">
        <v>10</v>
      </c>
      <c r="H4233" s="4">
        <v>1570545994944</v>
      </c>
      <c r="I4233">
        <v>526.6875</v>
      </c>
      <c r="J4233" s="9">
        <f t="shared" si="66"/>
        <v>43746.90734888889</v>
      </c>
      <c r="K4233" s="1"/>
    </row>
    <row r="4234" spans="1:11" x14ac:dyDescent="0.25">
      <c r="A4234" t="e">
        <f>-LqfpX_0rZFKBlpifDVH</f>
        <v>#NAME?</v>
      </c>
      <c r="B4234">
        <v>393.75</v>
      </c>
      <c r="C4234">
        <v>20.531590000000001</v>
      </c>
      <c r="D4234">
        <v>69</v>
      </c>
      <c r="E4234">
        <v>0</v>
      </c>
      <c r="F4234">
        <v>0</v>
      </c>
      <c r="G4234">
        <v>13</v>
      </c>
      <c r="H4234" s="4">
        <v>1570546001123</v>
      </c>
      <c r="I4234">
        <v>526.6875</v>
      </c>
      <c r="J4234" s="9">
        <f t="shared" si="66"/>
        <v>43746.907420405092</v>
      </c>
      <c r="K4234" s="1"/>
    </row>
    <row r="4235" spans="1:11" x14ac:dyDescent="0.25">
      <c r="A4235" t="e">
        <f>-LqfpZ81qBGUVZMCWDe6</f>
        <v>#NAME?</v>
      </c>
      <c r="B4235">
        <v>393.75</v>
      </c>
      <c r="C4235">
        <v>20.478950000000001</v>
      </c>
      <c r="D4235">
        <v>69</v>
      </c>
      <c r="E4235">
        <v>0</v>
      </c>
      <c r="F4235">
        <v>0</v>
      </c>
      <c r="G4235">
        <v>13</v>
      </c>
      <c r="H4235" s="4">
        <v>1570546007313</v>
      </c>
      <c r="I4235">
        <v>526.6875</v>
      </c>
      <c r="J4235" s="9">
        <f t="shared" si="66"/>
        <v>43746.907492048609</v>
      </c>
      <c r="K4235" s="1"/>
    </row>
    <row r="4236" spans="1:11" x14ac:dyDescent="0.25">
      <c r="A4236" t="e">
        <f>-Lqfp_c8vV0OqnyqM-gR</f>
        <v>#NAME?</v>
      </c>
      <c r="B4236">
        <v>393.75</v>
      </c>
      <c r="C4236">
        <v>20.531590000000001</v>
      </c>
      <c r="D4236">
        <v>69</v>
      </c>
      <c r="E4236">
        <v>0</v>
      </c>
      <c r="F4236">
        <v>0</v>
      </c>
      <c r="G4236">
        <v>4</v>
      </c>
      <c r="H4236" s="4">
        <v>1570546013477</v>
      </c>
      <c r="I4236">
        <v>526.6875</v>
      </c>
      <c r="J4236" s="9">
        <f t="shared" si="66"/>
        <v>43746.9075633912</v>
      </c>
      <c r="K4236" s="1"/>
    </row>
    <row r="4237" spans="1:11" x14ac:dyDescent="0.25">
      <c r="A4237" t="e">
        <f>-Lqfpb4wVogH89RLT5fH</f>
        <v>#NAME?</v>
      </c>
      <c r="B4237">
        <v>393.75</v>
      </c>
      <c r="C4237">
        <v>20.531590000000001</v>
      </c>
      <c r="D4237">
        <v>69</v>
      </c>
      <c r="E4237">
        <v>0</v>
      </c>
      <c r="F4237">
        <v>0</v>
      </c>
      <c r="G4237">
        <v>10</v>
      </c>
      <c r="H4237" s="4">
        <v>1570546019679</v>
      </c>
      <c r="I4237">
        <v>526.6875</v>
      </c>
      <c r="J4237" s="9">
        <f t="shared" si="66"/>
        <v>43746.907635173608</v>
      </c>
      <c r="K4237" s="1"/>
    </row>
    <row r="4238" spans="1:11" x14ac:dyDescent="0.25">
      <c r="A4238" t="e">
        <f>-LqfpconriiL8koEHy0d</f>
        <v>#NAME?</v>
      </c>
      <c r="B4238">
        <v>412.5</v>
      </c>
      <c r="C4238">
        <v>20.478950000000001</v>
      </c>
      <c r="D4238">
        <v>69</v>
      </c>
      <c r="E4238">
        <v>0</v>
      </c>
      <c r="F4238">
        <v>0</v>
      </c>
      <c r="G4238">
        <v>5</v>
      </c>
      <c r="H4238" s="4">
        <v>1570546025853</v>
      </c>
      <c r="I4238">
        <v>532.3125</v>
      </c>
      <c r="J4238" s="9">
        <f t="shared" si="66"/>
        <v>43746.907706631937</v>
      </c>
      <c r="K4238" s="1"/>
    </row>
    <row r="4239" spans="1:11" x14ac:dyDescent="0.25">
      <c r="A4239" t="e">
        <f>-LqfpeO2caqhsgssn3ce</f>
        <v>#NAME?</v>
      </c>
      <c r="B4239">
        <v>393.75</v>
      </c>
      <c r="C4239">
        <v>20.531590000000001</v>
      </c>
      <c r="D4239">
        <v>69</v>
      </c>
      <c r="E4239">
        <v>0</v>
      </c>
      <c r="F4239">
        <v>0</v>
      </c>
      <c r="G4239">
        <v>12</v>
      </c>
      <c r="H4239" s="4">
        <v>1570546033042</v>
      </c>
      <c r="I4239">
        <v>526.6875</v>
      </c>
      <c r="J4239" s="9">
        <f t="shared" si="66"/>
        <v>43746.907789837962</v>
      </c>
      <c r="K4239" s="1"/>
    </row>
    <row r="4240" spans="1:11" x14ac:dyDescent="0.25">
      <c r="A4240" t="e">
        <f>-Lqfpfx2Ad7Vhzognp9f</f>
        <v>#NAME?</v>
      </c>
      <c r="B4240">
        <v>393.75</v>
      </c>
      <c r="C4240">
        <v>20.584240000000001</v>
      </c>
      <c r="D4240">
        <v>70</v>
      </c>
      <c r="E4240">
        <v>0</v>
      </c>
      <c r="F4240">
        <v>0</v>
      </c>
      <c r="G4240">
        <v>13</v>
      </c>
      <c r="H4240" s="4">
        <v>1570546039252</v>
      </c>
      <c r="I4240">
        <v>526.6875</v>
      </c>
      <c r="J4240" s="9">
        <f t="shared" si="66"/>
        <v>43746.907861712963</v>
      </c>
      <c r="K4240" s="1"/>
    </row>
    <row r="4241" spans="1:11" x14ac:dyDescent="0.25">
      <c r="A4241" t="e">
        <f>-Lqfphf2lrQiR07O4Tg8</f>
        <v>#NAME?</v>
      </c>
      <c r="B4241">
        <v>412.5</v>
      </c>
      <c r="C4241">
        <v>20.584240000000001</v>
      </c>
      <c r="D4241">
        <v>69</v>
      </c>
      <c r="E4241">
        <v>0</v>
      </c>
      <c r="F4241">
        <v>0</v>
      </c>
      <c r="G4241">
        <v>8</v>
      </c>
      <c r="H4241" s="4">
        <v>1570546046483</v>
      </c>
      <c r="I4241">
        <v>532.6875</v>
      </c>
      <c r="J4241" s="9">
        <f t="shared" si="66"/>
        <v>43746.907945405088</v>
      </c>
      <c r="K4241" s="1"/>
    </row>
    <row r="4242" spans="1:11" x14ac:dyDescent="0.25">
      <c r="A4242" t="e">
        <f>-Lqfpj929w4JM06a9bJu</f>
        <v>#NAME?</v>
      </c>
      <c r="B4242">
        <v>393.75</v>
      </c>
      <c r="C4242">
        <v>20.584240000000001</v>
      </c>
      <c r="D4242">
        <v>67</v>
      </c>
      <c r="E4242">
        <v>0</v>
      </c>
      <c r="F4242">
        <v>0</v>
      </c>
      <c r="G4242">
        <v>5</v>
      </c>
      <c r="H4242" s="4">
        <v>1570546052642</v>
      </c>
      <c r="I4242">
        <v>526.5</v>
      </c>
      <c r="J4242" s="9">
        <f t="shared" si="66"/>
        <v>43746.908016689813</v>
      </c>
      <c r="K4242" s="1"/>
    </row>
    <row r="4243" spans="1:11" x14ac:dyDescent="0.25">
      <c r="A4243" t="e">
        <f>-LqfpkgxmwxeiuFerbms</f>
        <v>#NAME?</v>
      </c>
      <c r="B4243">
        <v>393.75</v>
      </c>
      <c r="C4243">
        <v>20.531590000000001</v>
      </c>
      <c r="D4243">
        <v>66</v>
      </c>
      <c r="E4243">
        <v>0</v>
      </c>
      <c r="F4243">
        <v>0</v>
      </c>
      <c r="G4243">
        <v>6</v>
      </c>
      <c r="H4243" s="4">
        <v>1570546058833</v>
      </c>
      <c r="I4243">
        <v>526.6875</v>
      </c>
      <c r="J4243" s="9">
        <f t="shared" si="66"/>
        <v>43746.908088344906</v>
      </c>
      <c r="K4243" s="1"/>
    </row>
    <row r="4244" spans="1:11" x14ac:dyDescent="0.25">
      <c r="A4244" t="e">
        <f>-LqfpmAwTE_bJwt4_1jX</f>
        <v>#NAME?</v>
      </c>
      <c r="B4244">
        <v>393.75</v>
      </c>
      <c r="C4244">
        <v>20.531590000000001</v>
      </c>
      <c r="D4244">
        <v>66</v>
      </c>
      <c r="E4244">
        <v>0</v>
      </c>
      <c r="F4244">
        <v>0</v>
      </c>
      <c r="G4244">
        <v>7</v>
      </c>
      <c r="H4244" s="4">
        <v>1570546064993</v>
      </c>
      <c r="I4244">
        <v>526.6875</v>
      </c>
      <c r="J4244" s="9">
        <f t="shared" si="66"/>
        <v>43746.9081596412</v>
      </c>
      <c r="K4244" s="1"/>
    </row>
    <row r="4245" spans="1:11" x14ac:dyDescent="0.25">
      <c r="A4245" t="e">
        <f>-Lqfpo5HFOp93Kx_MzRZ</f>
        <v>#NAME?</v>
      </c>
      <c r="B4245">
        <v>393.75</v>
      </c>
      <c r="C4245">
        <v>20.531590000000001</v>
      </c>
      <c r="D4245">
        <v>66</v>
      </c>
      <c r="E4245">
        <v>0</v>
      </c>
      <c r="F4245">
        <v>0</v>
      </c>
      <c r="G4245">
        <v>5</v>
      </c>
      <c r="H4245" s="4">
        <v>1570546071192</v>
      </c>
      <c r="I4245">
        <v>526.6875</v>
      </c>
      <c r="J4245" s="9">
        <f t="shared" si="66"/>
        <v>43746.908231388887</v>
      </c>
      <c r="K4245" s="1"/>
    </row>
    <row r="4246" spans="1:11" x14ac:dyDescent="0.25">
      <c r="A4246" t="e">
        <f>-LqfppfgIyyq9GtU2l_w</f>
        <v>#NAME?</v>
      </c>
      <c r="B4246">
        <v>393.75</v>
      </c>
      <c r="C4246">
        <v>20.478950000000001</v>
      </c>
      <c r="D4246">
        <v>66</v>
      </c>
      <c r="E4246">
        <v>0</v>
      </c>
      <c r="F4246">
        <v>0</v>
      </c>
      <c r="G4246">
        <v>11</v>
      </c>
      <c r="H4246" s="4">
        <v>1570546079443</v>
      </c>
      <c r="I4246">
        <v>526.6875</v>
      </c>
      <c r="J4246" s="9">
        <f t="shared" si="66"/>
        <v>43746.908326886572</v>
      </c>
      <c r="K4246" s="1"/>
    </row>
    <row r="4247" spans="1:11" x14ac:dyDescent="0.25">
      <c r="A4247" t="e">
        <f>-LqfprHfRd0QYbeam_WU</f>
        <v>#NAME?</v>
      </c>
      <c r="B4247">
        <v>393.75</v>
      </c>
      <c r="C4247">
        <v>20.478950000000001</v>
      </c>
      <c r="D4247">
        <v>67</v>
      </c>
      <c r="E4247">
        <v>0</v>
      </c>
      <c r="F4247">
        <v>0</v>
      </c>
      <c r="G4247">
        <v>10</v>
      </c>
      <c r="H4247" s="4">
        <v>1570546085621</v>
      </c>
      <c r="I4247">
        <v>526.5</v>
      </c>
      <c r="J4247" s="9">
        <f t="shared" si="66"/>
        <v>43746.908398391206</v>
      </c>
      <c r="K4247" s="1"/>
    </row>
    <row r="4248" spans="1:11" x14ac:dyDescent="0.25">
      <c r="A4248" t="s">
        <v>229</v>
      </c>
      <c r="B4248">
        <v>393.75</v>
      </c>
      <c r="C4248">
        <v>20.584240000000001</v>
      </c>
      <c r="D4248">
        <v>68</v>
      </c>
      <c r="E4248">
        <v>0</v>
      </c>
      <c r="F4248">
        <v>0</v>
      </c>
      <c r="G4248">
        <v>19</v>
      </c>
      <c r="H4248" s="4">
        <v>1570546092832</v>
      </c>
      <c r="I4248">
        <v>526.5</v>
      </c>
      <c r="J4248" s="9">
        <f t="shared" si="66"/>
        <v>43746.908481851853</v>
      </c>
      <c r="K4248" s="1"/>
    </row>
    <row r="4249" spans="1:11" x14ac:dyDescent="0.25">
      <c r="A4249" t="e">
        <f>-Lqfpux12gdKYDmYEFAi</f>
        <v>#NAME?</v>
      </c>
      <c r="B4249">
        <v>393.75</v>
      </c>
      <c r="C4249">
        <v>20.531590000000001</v>
      </c>
      <c r="D4249">
        <v>69</v>
      </c>
      <c r="E4249">
        <v>0</v>
      </c>
      <c r="F4249">
        <v>0</v>
      </c>
      <c r="G4249">
        <v>11</v>
      </c>
      <c r="H4249" s="4">
        <v>1570546100966</v>
      </c>
      <c r="I4249">
        <v>526.6875</v>
      </c>
      <c r="J4249" s="9">
        <f t="shared" si="66"/>
        <v>43746.908575995367</v>
      </c>
      <c r="K4249" s="1"/>
    </row>
    <row r="4250" spans="1:11" x14ac:dyDescent="0.25">
      <c r="A4250" t="e">
        <f>-LqfpwW250QnLlvnkX58</f>
        <v>#NAME?</v>
      </c>
      <c r="B4250">
        <v>393.75</v>
      </c>
      <c r="C4250">
        <v>20.531590000000001</v>
      </c>
      <c r="D4250">
        <v>69</v>
      </c>
      <c r="E4250">
        <v>0</v>
      </c>
      <c r="F4250">
        <v>0</v>
      </c>
      <c r="G4250">
        <v>14</v>
      </c>
      <c r="H4250" s="4">
        <v>1570546107262</v>
      </c>
      <c r="I4250">
        <v>526.6875</v>
      </c>
      <c r="J4250" s="9">
        <f t="shared" si="66"/>
        <v>43746.908648865741</v>
      </c>
      <c r="K4250" s="1"/>
    </row>
    <row r="4251" spans="1:11" x14ac:dyDescent="0.25">
      <c r="A4251" t="e">
        <f>-Lqfpy2x8wPKsPTB6zwi</f>
        <v>#NAME?</v>
      </c>
      <c r="B4251">
        <v>393.75</v>
      </c>
      <c r="C4251">
        <v>20.531590000000001</v>
      </c>
      <c r="D4251">
        <v>69</v>
      </c>
      <c r="E4251">
        <v>0</v>
      </c>
      <c r="F4251">
        <v>0</v>
      </c>
      <c r="G4251">
        <v>10</v>
      </c>
      <c r="H4251" s="4">
        <v>1570546113459</v>
      </c>
      <c r="I4251">
        <v>526.6875</v>
      </c>
      <c r="J4251" s="9">
        <f t="shared" si="66"/>
        <v>43746.908720590276</v>
      </c>
      <c r="K4251" s="1"/>
    </row>
    <row r="4252" spans="1:11" x14ac:dyDescent="0.25">
      <c r="A4252" t="e">
        <f>-Lqfpzn09vkTSLAe3TeX</f>
        <v>#NAME?</v>
      </c>
      <c r="B4252">
        <v>393.75</v>
      </c>
      <c r="C4252">
        <v>20.584240000000001</v>
      </c>
      <c r="D4252">
        <v>69</v>
      </c>
      <c r="E4252">
        <v>0</v>
      </c>
      <c r="F4252">
        <v>0</v>
      </c>
      <c r="G4252">
        <v>7</v>
      </c>
      <c r="H4252" s="4">
        <v>1570546120652</v>
      </c>
      <c r="I4252">
        <v>526.6875</v>
      </c>
      <c r="J4252" s="9">
        <f t="shared" si="66"/>
        <v>43746.908803842591</v>
      </c>
      <c r="K4252" s="1"/>
    </row>
    <row r="4253" spans="1:11" x14ac:dyDescent="0.25">
      <c r="A4253" t="e">
        <f>-Lqfq0H9zABIvD2fV_2p</f>
        <v>#NAME?</v>
      </c>
      <c r="B4253">
        <v>393.75</v>
      </c>
      <c r="C4253">
        <v>20.531590000000001</v>
      </c>
      <c r="D4253">
        <v>68</v>
      </c>
      <c r="E4253">
        <v>0</v>
      </c>
      <c r="F4253">
        <v>0</v>
      </c>
      <c r="G4253">
        <v>8</v>
      </c>
      <c r="H4253" s="4">
        <v>1570546126813</v>
      </c>
      <c r="I4253">
        <v>526.6875</v>
      </c>
      <c r="J4253" s="9">
        <f t="shared" si="66"/>
        <v>43746.908875150461</v>
      </c>
      <c r="K4253" s="1"/>
    </row>
    <row r="4254" spans="1:11" x14ac:dyDescent="0.25">
      <c r="A4254" t="e">
        <f>-Lqfq1q2GuizIOmelaNc</f>
        <v>#NAME?</v>
      </c>
      <c r="B4254">
        <v>393.75</v>
      </c>
      <c r="C4254">
        <v>20.531590000000001</v>
      </c>
      <c r="D4254">
        <v>67</v>
      </c>
      <c r="E4254">
        <v>0</v>
      </c>
      <c r="F4254">
        <v>0</v>
      </c>
      <c r="G4254">
        <v>12</v>
      </c>
      <c r="H4254" s="4">
        <v>1570546133023</v>
      </c>
      <c r="I4254">
        <v>526.6875</v>
      </c>
      <c r="J4254" s="9">
        <f t="shared" si="66"/>
        <v>43746.908947025462</v>
      </c>
      <c r="K4254" s="1"/>
    </row>
    <row r="4255" spans="1:11" x14ac:dyDescent="0.25">
      <c r="A4255" t="e">
        <f>-Lqfq3WhyVvW2D-fa7pl</f>
        <v>#NAME?</v>
      </c>
      <c r="B4255">
        <v>393.75</v>
      </c>
      <c r="C4255">
        <v>20.531590000000001</v>
      </c>
      <c r="D4255">
        <v>67</v>
      </c>
      <c r="E4255">
        <v>0</v>
      </c>
      <c r="F4255">
        <v>0</v>
      </c>
      <c r="G4255">
        <v>7</v>
      </c>
      <c r="H4255" s="4">
        <v>1570546140243</v>
      </c>
      <c r="I4255">
        <v>526.6875</v>
      </c>
      <c r="J4255" s="9">
        <f t="shared" si="66"/>
        <v>43746.909030590272</v>
      </c>
      <c r="K4255" s="1"/>
    </row>
    <row r="4256" spans="1:11" x14ac:dyDescent="0.25">
      <c r="A4256" t="e">
        <f>-Lqfq55v2RegQgGwaSRj</f>
        <v>#NAME?</v>
      </c>
      <c r="B4256">
        <v>412.5</v>
      </c>
      <c r="C4256">
        <v>20.531590000000001</v>
      </c>
      <c r="D4256">
        <v>67</v>
      </c>
      <c r="E4256">
        <v>0</v>
      </c>
      <c r="F4256">
        <v>0</v>
      </c>
      <c r="G4256">
        <v>8</v>
      </c>
      <c r="H4256" s="4">
        <v>1570546146423</v>
      </c>
      <c r="I4256">
        <v>532.3125</v>
      </c>
      <c r="J4256" s="9">
        <f t="shared" si="66"/>
        <v>43746.909102118057</v>
      </c>
      <c r="K4256" s="1"/>
    </row>
    <row r="4257" spans="1:11" x14ac:dyDescent="0.25">
      <c r="A4257" t="e">
        <f>-Lqfq6_vwoA_NTACqZHo</f>
        <v>#NAME?</v>
      </c>
      <c r="B4257">
        <v>393.75</v>
      </c>
      <c r="C4257">
        <v>20.531590000000001</v>
      </c>
      <c r="D4257">
        <v>67</v>
      </c>
      <c r="E4257">
        <v>0</v>
      </c>
      <c r="F4257">
        <v>0</v>
      </c>
      <c r="G4257">
        <v>3</v>
      </c>
      <c r="H4257" s="4">
        <v>1570546152603</v>
      </c>
      <c r="I4257">
        <v>526.6875</v>
      </c>
      <c r="J4257" s="9">
        <f t="shared" si="66"/>
        <v>43746.909173645829</v>
      </c>
      <c r="K4257" s="1"/>
    </row>
    <row r="4258" spans="1:11" x14ac:dyDescent="0.25">
      <c r="A4258" t="e">
        <f>-Lqfq82rdOONk3iSTKLy</f>
        <v>#NAME?</v>
      </c>
      <c r="B4258">
        <v>393.75</v>
      </c>
      <c r="C4258">
        <v>20.531590000000001</v>
      </c>
      <c r="D4258">
        <v>66</v>
      </c>
      <c r="E4258">
        <v>0</v>
      </c>
      <c r="F4258">
        <v>0</v>
      </c>
      <c r="G4258">
        <v>11</v>
      </c>
      <c r="H4258" s="4">
        <v>1570546158802</v>
      </c>
      <c r="I4258">
        <v>526.6875</v>
      </c>
      <c r="J4258" s="9">
        <f t="shared" si="66"/>
        <v>43746.909245393515</v>
      </c>
      <c r="K4258" s="1"/>
    </row>
    <row r="4259" spans="1:11" x14ac:dyDescent="0.25">
      <c r="A4259" t="e">
        <f>-Lqfq9_1S6OWKGIqp6_s</f>
        <v>#NAME?</v>
      </c>
      <c r="B4259">
        <v>393.75</v>
      </c>
      <c r="C4259">
        <v>20.531590000000001</v>
      </c>
      <c r="D4259">
        <v>67</v>
      </c>
      <c r="E4259">
        <v>0</v>
      </c>
      <c r="F4259">
        <v>0</v>
      </c>
      <c r="G4259">
        <v>12</v>
      </c>
      <c r="H4259" s="4">
        <v>1570546164973</v>
      </c>
      <c r="I4259">
        <v>526.6875</v>
      </c>
      <c r="J4259" s="9">
        <f t="shared" si="66"/>
        <v>43746.909316817131</v>
      </c>
      <c r="K4259" s="1"/>
    </row>
    <row r="4260" spans="1:11" x14ac:dyDescent="0.25">
      <c r="A4260" t="e">
        <f>-LqfqB6wDthHmistrxMs</f>
        <v>#NAME?</v>
      </c>
      <c r="B4260">
        <v>393.75</v>
      </c>
      <c r="C4260">
        <v>20.584240000000001</v>
      </c>
      <c r="D4260">
        <v>67</v>
      </c>
      <c r="E4260">
        <v>0</v>
      </c>
      <c r="F4260">
        <v>0</v>
      </c>
      <c r="G4260">
        <v>12</v>
      </c>
      <c r="H4260" s="4">
        <v>1570546171153</v>
      </c>
      <c r="I4260">
        <v>526.6875</v>
      </c>
      <c r="J4260" s="9">
        <f t="shared" si="66"/>
        <v>43746.909388344902</v>
      </c>
      <c r="K4260" s="1"/>
    </row>
    <row r="4261" spans="1:11" x14ac:dyDescent="0.25">
      <c r="A4261" t="e">
        <f>-LqfqCamamP71FqLDUDu</f>
        <v>#NAME?</v>
      </c>
      <c r="B4261">
        <v>393.75</v>
      </c>
      <c r="C4261">
        <v>20.531590000000001</v>
      </c>
      <c r="D4261">
        <v>67</v>
      </c>
      <c r="E4261">
        <v>0</v>
      </c>
      <c r="F4261">
        <v>0</v>
      </c>
      <c r="G4261">
        <v>6</v>
      </c>
      <c r="H4261" s="4">
        <v>1570546177332</v>
      </c>
      <c r="I4261">
        <v>526.6875</v>
      </c>
      <c r="J4261" s="9">
        <f t="shared" si="66"/>
        <v>43746.909459861105</v>
      </c>
      <c r="K4261" s="1"/>
    </row>
    <row r="4262" spans="1:11" x14ac:dyDescent="0.25">
      <c r="A4262" t="e">
        <f>-LqfqEQFhmjqs1bauYDk</f>
        <v>#NAME?</v>
      </c>
      <c r="B4262">
        <v>393.75</v>
      </c>
      <c r="C4262">
        <v>20.531590000000001</v>
      </c>
      <c r="D4262">
        <v>67</v>
      </c>
      <c r="E4262">
        <v>0</v>
      </c>
      <c r="F4262">
        <v>0</v>
      </c>
      <c r="G4262">
        <v>11</v>
      </c>
      <c r="H4262" s="4">
        <v>1570546184749</v>
      </c>
      <c r="I4262">
        <v>526.6875</v>
      </c>
      <c r="J4262" s="9">
        <f t="shared" si="66"/>
        <v>43746.909545706018</v>
      </c>
      <c r="K4262" s="1"/>
    </row>
    <row r="4263" spans="1:11" x14ac:dyDescent="0.25">
      <c r="A4263" t="e">
        <f>-LqfqG86tB51G0gg3X2i</f>
        <v>#NAME?</v>
      </c>
      <c r="B4263">
        <v>393.75</v>
      </c>
      <c r="C4263">
        <v>20.531590000000001</v>
      </c>
      <c r="D4263">
        <v>65</v>
      </c>
      <c r="E4263">
        <v>0</v>
      </c>
      <c r="F4263">
        <v>0</v>
      </c>
      <c r="G4263">
        <v>8</v>
      </c>
      <c r="H4263" s="4">
        <v>1570546191768</v>
      </c>
      <c r="I4263">
        <v>526.6875</v>
      </c>
      <c r="J4263" s="9">
        <f t="shared" si="66"/>
        <v>43746.909626944442</v>
      </c>
      <c r="K4263" s="1"/>
    </row>
    <row r="4264" spans="1:11" x14ac:dyDescent="0.25">
      <c r="A4264" t="e">
        <f>-LqfqHiMEeRxYsb21k_y</f>
        <v>#NAME?</v>
      </c>
      <c r="B4264">
        <v>393.75</v>
      </c>
      <c r="C4264">
        <v>20.584240000000001</v>
      </c>
      <c r="D4264">
        <v>65</v>
      </c>
      <c r="E4264">
        <v>0</v>
      </c>
      <c r="F4264">
        <v>0</v>
      </c>
      <c r="G4264">
        <v>5</v>
      </c>
      <c r="H4264" s="4">
        <v>1570546197946</v>
      </c>
      <c r="I4264">
        <v>526.6875</v>
      </c>
      <c r="J4264" s="9">
        <f t="shared" si="66"/>
        <v>43746.909698449068</v>
      </c>
      <c r="K4264" s="1"/>
    </row>
    <row r="4265" spans="1:11" x14ac:dyDescent="0.25">
      <c r="A4265" t="e">
        <f>-LqfqJQ6A0iDKflyHEWx</f>
        <v>#NAME?</v>
      </c>
      <c r="B4265">
        <v>393.75</v>
      </c>
      <c r="C4265">
        <v>20.531590000000001</v>
      </c>
      <c r="D4265">
        <v>65</v>
      </c>
      <c r="E4265">
        <v>0</v>
      </c>
      <c r="F4265">
        <v>0</v>
      </c>
      <c r="G4265">
        <v>9</v>
      </c>
      <c r="H4265" s="4">
        <v>1570546205169</v>
      </c>
      <c r="I4265">
        <v>526.6875</v>
      </c>
      <c r="J4265" s="9">
        <f t="shared" si="66"/>
        <v>43746.909782048613</v>
      </c>
      <c r="K4265" s="1"/>
    </row>
    <row r="4266" spans="1:11" x14ac:dyDescent="0.25">
      <c r="A4266" t="e">
        <f>-LqfqKz85kVfdsr8IGip</f>
        <v>#NAME?</v>
      </c>
      <c r="B4266">
        <v>418.75</v>
      </c>
      <c r="C4266">
        <v>20.531590000000001</v>
      </c>
      <c r="D4266">
        <v>65</v>
      </c>
      <c r="E4266">
        <v>0</v>
      </c>
      <c r="F4266">
        <v>0</v>
      </c>
      <c r="G4266">
        <v>17</v>
      </c>
      <c r="H4266" s="4">
        <v>1570546211387</v>
      </c>
      <c r="I4266">
        <v>534.9375</v>
      </c>
      <c r="J4266" s="9">
        <f t="shared" si="66"/>
        <v>43746.909854016201</v>
      </c>
      <c r="K4266" s="1"/>
    </row>
    <row r="4267" spans="1:11" x14ac:dyDescent="0.25">
      <c r="A4267" t="e">
        <f>-LqfqMh5LZWWRAM42cZu</f>
        <v>#NAME?</v>
      </c>
      <c r="B4267">
        <v>393.75</v>
      </c>
      <c r="C4267">
        <v>20.531590000000001</v>
      </c>
      <c r="D4267">
        <v>66</v>
      </c>
      <c r="E4267">
        <v>0</v>
      </c>
      <c r="F4267">
        <v>0</v>
      </c>
      <c r="G4267">
        <v>6</v>
      </c>
      <c r="H4267" s="4">
        <v>1570546218568</v>
      </c>
      <c r="I4267">
        <v>526.6875</v>
      </c>
      <c r="J4267" s="9">
        <f t="shared" si="66"/>
        <v>43746.909937129625</v>
      </c>
      <c r="K4267" s="1"/>
    </row>
    <row r="4268" spans="1:11" x14ac:dyDescent="0.25">
      <c r="A4268" t="e">
        <f>-LqfqOBHbEYMBkOnmx3b</f>
        <v>#NAME?</v>
      </c>
      <c r="B4268">
        <v>393.75</v>
      </c>
      <c r="C4268">
        <v>20.531590000000001</v>
      </c>
      <c r="D4268">
        <v>66</v>
      </c>
      <c r="E4268">
        <v>0</v>
      </c>
      <c r="F4268">
        <v>0</v>
      </c>
      <c r="G4268">
        <v>8</v>
      </c>
      <c r="H4268" s="4">
        <v>1570546224729</v>
      </c>
      <c r="I4268">
        <v>526.6875</v>
      </c>
      <c r="J4268" s="9">
        <f t="shared" si="66"/>
        <v>43746.910008437502</v>
      </c>
      <c r="K4268" s="1"/>
    </row>
    <row r="4269" spans="1:11" x14ac:dyDescent="0.25">
      <c r="A4269" t="e">
        <f>-LqfqPz6WTPmQbSgVrwz</f>
        <v>#NAME?</v>
      </c>
      <c r="B4269">
        <v>393.75</v>
      </c>
      <c r="C4269">
        <v>20.584240000000001</v>
      </c>
      <c r="D4269">
        <v>66</v>
      </c>
      <c r="E4269">
        <v>0</v>
      </c>
      <c r="F4269">
        <v>0</v>
      </c>
      <c r="G4269">
        <v>14</v>
      </c>
      <c r="H4269" s="4">
        <v>1570546231957</v>
      </c>
      <c r="I4269">
        <v>526.6875</v>
      </c>
      <c r="J4269" s="9">
        <f t="shared" si="66"/>
        <v>43746.910092094906</v>
      </c>
      <c r="K4269" s="1"/>
    </row>
    <row r="4270" spans="1:11" x14ac:dyDescent="0.25">
      <c r="A4270" t="s">
        <v>230</v>
      </c>
      <c r="B4270">
        <v>393.75</v>
      </c>
      <c r="C4270">
        <v>20.584240000000001</v>
      </c>
      <c r="D4270">
        <v>66</v>
      </c>
      <c r="E4270">
        <v>0</v>
      </c>
      <c r="F4270">
        <v>0</v>
      </c>
      <c r="G4270">
        <v>7</v>
      </c>
      <c r="H4270" s="4">
        <v>1570546238127</v>
      </c>
      <c r="I4270">
        <v>526.6875</v>
      </c>
      <c r="J4270" s="9">
        <f t="shared" si="66"/>
        <v>43746.910163506946</v>
      </c>
      <c r="K4270" s="1"/>
    </row>
    <row r="4271" spans="1:11" x14ac:dyDescent="0.25">
      <c r="A4271" t="e">
        <f>-LqfqSx7AL6ThTw9vCcb</f>
        <v>#NAME?</v>
      </c>
      <c r="B4271">
        <v>393.75</v>
      </c>
      <c r="C4271">
        <v>20.584240000000001</v>
      </c>
      <c r="D4271">
        <v>68</v>
      </c>
      <c r="E4271">
        <v>0</v>
      </c>
      <c r="F4271">
        <v>0</v>
      </c>
      <c r="G4271">
        <v>9</v>
      </c>
      <c r="H4271" s="4">
        <v>1570546244328</v>
      </c>
      <c r="I4271">
        <v>526.6875</v>
      </c>
      <c r="J4271" s="9">
        <f t="shared" si="66"/>
        <v>43746.910235277777</v>
      </c>
      <c r="K4271" s="1"/>
    </row>
    <row r="4272" spans="1:11" x14ac:dyDescent="0.25">
      <c r="A4272" t="e">
        <f>-LqfqUW6BmFVJmBkor6L</f>
        <v>#NAME?</v>
      </c>
      <c r="B4272">
        <v>393.75</v>
      </c>
      <c r="C4272">
        <v>20.478950000000001</v>
      </c>
      <c r="D4272">
        <v>67</v>
      </c>
      <c r="E4272">
        <v>0</v>
      </c>
      <c r="F4272">
        <v>0</v>
      </c>
      <c r="G4272">
        <v>11</v>
      </c>
      <c r="H4272" s="4">
        <v>1570546250518</v>
      </c>
      <c r="I4272">
        <v>526.5</v>
      </c>
      <c r="J4272" s="9">
        <f t="shared" si="66"/>
        <v>43746.910306921294</v>
      </c>
      <c r="K4272" s="1"/>
    </row>
    <row r="4273" spans="1:11" x14ac:dyDescent="0.25">
      <c r="A4273" t="s">
        <v>231</v>
      </c>
      <c r="B4273">
        <v>412.5</v>
      </c>
      <c r="C4273">
        <v>20.584240000000001</v>
      </c>
      <c r="D4273">
        <v>67</v>
      </c>
      <c r="E4273">
        <v>0</v>
      </c>
      <c r="F4273">
        <v>0</v>
      </c>
      <c r="G4273">
        <v>7</v>
      </c>
      <c r="H4273" s="4">
        <v>1570546256678</v>
      </c>
      <c r="I4273">
        <v>532.3125</v>
      </c>
      <c r="J4273" s="9">
        <f t="shared" si="66"/>
        <v>43746.910378217588</v>
      </c>
      <c r="K4273" s="1"/>
    </row>
    <row r="4274" spans="1:11" x14ac:dyDescent="0.25">
      <c r="A4274" t="e">
        <f>-LqfqXU63YCbB8-QMZqM</f>
        <v>#NAME?</v>
      </c>
      <c r="B4274">
        <v>393.75</v>
      </c>
      <c r="C4274">
        <v>20.531590000000001</v>
      </c>
      <c r="D4274">
        <v>68</v>
      </c>
      <c r="E4274">
        <v>0</v>
      </c>
      <c r="F4274">
        <v>0</v>
      </c>
      <c r="G4274">
        <v>11</v>
      </c>
      <c r="H4274" s="4">
        <v>1570546262878</v>
      </c>
      <c r="I4274">
        <v>526.6875</v>
      </c>
      <c r="J4274" s="9">
        <f t="shared" si="66"/>
        <v>43746.910449976851</v>
      </c>
      <c r="K4274" s="1"/>
    </row>
    <row r="4275" spans="1:11" x14ac:dyDescent="0.25">
      <c r="A4275" t="e">
        <f>-LqfqZ76W14YNEuBVCxv</f>
        <v>#NAME?</v>
      </c>
      <c r="B4275">
        <v>393.75</v>
      </c>
      <c r="C4275">
        <v>20.531590000000001</v>
      </c>
      <c r="D4275">
        <v>68</v>
      </c>
      <c r="E4275">
        <v>0</v>
      </c>
      <c r="F4275">
        <v>0</v>
      </c>
      <c r="G4275">
        <v>14</v>
      </c>
      <c r="H4275" s="4">
        <v>1570546269535</v>
      </c>
      <c r="I4275">
        <v>526.6875</v>
      </c>
      <c r="J4275" s="9">
        <f t="shared" si="66"/>
        <v>43746.910527025459</v>
      </c>
      <c r="K4275" s="1"/>
    </row>
    <row r="4276" spans="1:11" x14ac:dyDescent="0.25">
      <c r="A4276" t="e">
        <f>-Lqfq_l6G0G4bSTiz7bI</f>
        <v>#NAME?</v>
      </c>
      <c r="B4276">
        <v>393.75</v>
      </c>
      <c r="C4276">
        <v>20.531590000000001</v>
      </c>
      <c r="D4276">
        <v>67</v>
      </c>
      <c r="E4276">
        <v>0</v>
      </c>
      <c r="F4276">
        <v>0</v>
      </c>
      <c r="G4276">
        <v>14</v>
      </c>
      <c r="H4276" s="4">
        <v>1570546276248</v>
      </c>
      <c r="I4276">
        <v>526.5</v>
      </c>
      <c r="J4276" s="9">
        <f t="shared" si="66"/>
        <v>43746.910604722223</v>
      </c>
      <c r="K4276" s="1"/>
    </row>
    <row r="4277" spans="1:11" x14ac:dyDescent="0.25">
      <c r="A4277" t="e">
        <f>-LqfqbK6zeO0MyUGVU_R</f>
        <v>#NAME?</v>
      </c>
      <c r="B4277">
        <v>393.75</v>
      </c>
      <c r="C4277">
        <v>20.531590000000001</v>
      </c>
      <c r="D4277">
        <v>67</v>
      </c>
      <c r="E4277">
        <v>0</v>
      </c>
      <c r="F4277">
        <v>0</v>
      </c>
      <c r="G4277">
        <v>6</v>
      </c>
      <c r="H4277" s="4">
        <v>1570546282467</v>
      </c>
      <c r="I4277">
        <v>526.6875</v>
      </c>
      <c r="J4277" s="9">
        <f t="shared" si="66"/>
        <v>43746.910676701387</v>
      </c>
      <c r="K4277" s="1"/>
    </row>
    <row r="4278" spans="1:11" x14ac:dyDescent="0.25">
      <c r="A4278" t="s">
        <v>232</v>
      </c>
      <c r="B4278">
        <v>393.75</v>
      </c>
      <c r="C4278">
        <v>20.531590000000001</v>
      </c>
      <c r="D4278">
        <v>67</v>
      </c>
      <c r="E4278">
        <v>0</v>
      </c>
      <c r="F4278">
        <v>0</v>
      </c>
      <c r="G4278">
        <v>21</v>
      </c>
      <c r="H4278" s="4">
        <v>1570546289688</v>
      </c>
      <c r="I4278">
        <v>526.6875</v>
      </c>
      <c r="J4278" s="9">
        <f t="shared" si="66"/>
        <v>43746.910760277773</v>
      </c>
      <c r="K4278" s="1"/>
    </row>
    <row r="4279" spans="1:11" x14ac:dyDescent="0.25">
      <c r="A4279" t="e">
        <f>-LqfqeX7liBQ8_B0O25B</f>
        <v>#NAME?</v>
      </c>
      <c r="B4279">
        <v>393.75</v>
      </c>
      <c r="C4279">
        <v>20.531590000000001</v>
      </c>
      <c r="D4279">
        <v>67</v>
      </c>
      <c r="E4279">
        <v>0</v>
      </c>
      <c r="F4279">
        <v>0</v>
      </c>
      <c r="G4279">
        <v>7</v>
      </c>
      <c r="H4279" s="4">
        <v>1570546295858</v>
      </c>
      <c r="I4279">
        <v>526.6875</v>
      </c>
      <c r="J4279" s="9">
        <f t="shared" si="66"/>
        <v>43746.910831689813</v>
      </c>
      <c r="K4279" s="1"/>
    </row>
    <row r="4280" spans="1:11" x14ac:dyDescent="0.25">
      <c r="A4280" t="e">
        <f>-Lqfqg57tAyHBZrBb5dd</f>
        <v>#NAME?</v>
      </c>
      <c r="B4280">
        <v>412.5</v>
      </c>
      <c r="C4280">
        <v>20.478950000000001</v>
      </c>
      <c r="D4280">
        <v>66</v>
      </c>
      <c r="E4280">
        <v>0</v>
      </c>
      <c r="F4280">
        <v>0</v>
      </c>
      <c r="G4280">
        <v>3</v>
      </c>
      <c r="H4280" s="4">
        <v>1570546302048</v>
      </c>
      <c r="I4280">
        <v>532.875</v>
      </c>
      <c r="J4280" s="9">
        <f t="shared" si="66"/>
        <v>43746.91090333333</v>
      </c>
      <c r="K4280" s="1"/>
    </row>
    <row r="4281" spans="1:11" x14ac:dyDescent="0.25">
      <c r="A4281" t="e">
        <f>-Lqfqht5I-xPxwhohxti</f>
        <v>#NAME?</v>
      </c>
      <c r="B4281">
        <v>393.75</v>
      </c>
      <c r="C4281">
        <v>20.531590000000001</v>
      </c>
      <c r="D4281">
        <v>66</v>
      </c>
      <c r="E4281">
        <v>0</v>
      </c>
      <c r="F4281">
        <v>0</v>
      </c>
      <c r="G4281">
        <v>5</v>
      </c>
      <c r="H4281" s="4">
        <v>1570546309322</v>
      </c>
      <c r="I4281">
        <v>526.6875</v>
      </c>
      <c r="J4281" s="9">
        <f t="shared" si="66"/>
        <v>43746.910987523144</v>
      </c>
      <c r="K4281" s="1"/>
    </row>
    <row r="4282" spans="1:11" x14ac:dyDescent="0.25">
      <c r="A4282" t="e">
        <f>-Lqfqjb8nBuZXpMQVzDl</f>
        <v>#NAME?</v>
      </c>
      <c r="B4282">
        <v>393.75</v>
      </c>
      <c r="C4282">
        <v>20.531590000000001</v>
      </c>
      <c r="D4282">
        <v>67</v>
      </c>
      <c r="E4282">
        <v>0</v>
      </c>
      <c r="F4282">
        <v>0</v>
      </c>
      <c r="G4282">
        <v>11</v>
      </c>
      <c r="H4282" s="4">
        <v>1570546316477</v>
      </c>
      <c r="I4282">
        <v>526.6875</v>
      </c>
      <c r="J4282" s="9">
        <f t="shared" si="66"/>
        <v>43746.911070335649</v>
      </c>
      <c r="K4282" s="1"/>
    </row>
    <row r="4283" spans="1:11" x14ac:dyDescent="0.25">
      <c r="A4283" t="e">
        <f>-Lqfql56HfjIrxocxRDJ</f>
        <v>#NAME?</v>
      </c>
      <c r="B4283">
        <v>393.75</v>
      </c>
      <c r="C4283">
        <v>20.531590000000001</v>
      </c>
      <c r="D4283">
        <v>69</v>
      </c>
      <c r="E4283">
        <v>0</v>
      </c>
      <c r="F4283">
        <v>0</v>
      </c>
      <c r="G4283">
        <v>5</v>
      </c>
      <c r="H4283" s="4">
        <v>1570546322647</v>
      </c>
      <c r="I4283">
        <v>526.6875</v>
      </c>
      <c r="J4283" s="9">
        <f t="shared" si="66"/>
        <v>43746.911141747682</v>
      </c>
      <c r="K4283" s="1"/>
    </row>
    <row r="4284" spans="1:11" x14ac:dyDescent="0.25">
      <c r="A4284" t="e">
        <f>-Lqfqme8fJjlq2YOIhKI</f>
        <v>#NAME?</v>
      </c>
      <c r="B4284">
        <v>393.75</v>
      </c>
      <c r="C4284">
        <v>20.584240000000001</v>
      </c>
      <c r="D4284">
        <v>69</v>
      </c>
      <c r="E4284">
        <v>0</v>
      </c>
      <c r="F4284">
        <v>0</v>
      </c>
      <c r="G4284">
        <v>12</v>
      </c>
      <c r="H4284" s="4">
        <v>1570546328837</v>
      </c>
      <c r="I4284">
        <v>526.6875</v>
      </c>
      <c r="J4284" s="9">
        <f t="shared" si="66"/>
        <v>43746.911213391206</v>
      </c>
      <c r="K4284" s="1"/>
    </row>
    <row r="4285" spans="1:11" x14ac:dyDescent="0.25">
      <c r="A4285" t="e">
        <f>-LqfqoN78cqvvj12PuMK</f>
        <v>#NAME?</v>
      </c>
      <c r="B4285">
        <v>393.75</v>
      </c>
      <c r="C4285">
        <v>20.478950000000001</v>
      </c>
      <c r="D4285">
        <v>69</v>
      </c>
      <c r="E4285">
        <v>0</v>
      </c>
      <c r="F4285">
        <v>0</v>
      </c>
      <c r="G4285">
        <v>8</v>
      </c>
      <c r="H4285" s="4">
        <v>1570546336059</v>
      </c>
      <c r="I4285">
        <v>526.6875</v>
      </c>
      <c r="J4285" s="9">
        <f t="shared" si="66"/>
        <v>43746.911296979168</v>
      </c>
      <c r="K4285" s="1"/>
    </row>
    <row r="4286" spans="1:11" x14ac:dyDescent="0.25">
      <c r="A4286" t="e">
        <f>-Lqfqq0FrVE511KXcBH1</f>
        <v>#NAME?</v>
      </c>
      <c r="B4286">
        <v>412.5</v>
      </c>
      <c r="C4286">
        <v>20.531590000000001</v>
      </c>
      <c r="D4286">
        <v>69</v>
      </c>
      <c r="E4286">
        <v>0</v>
      </c>
      <c r="F4286">
        <v>0</v>
      </c>
      <c r="G4286">
        <v>13</v>
      </c>
      <c r="H4286" s="4">
        <v>1570546342709</v>
      </c>
      <c r="I4286">
        <v>532.3125</v>
      </c>
      <c r="J4286" s="9">
        <f t="shared" si="66"/>
        <v>43746.911373946758</v>
      </c>
      <c r="K4286" s="1"/>
    </row>
    <row r="4287" spans="1:11" x14ac:dyDescent="0.25">
      <c r="A4287" t="e">
        <f>-Lqfqre7yLeRcFmjnxTK</f>
        <v>#NAME?</v>
      </c>
      <c r="B4287">
        <v>393.75</v>
      </c>
      <c r="C4287">
        <v>20.531590000000001</v>
      </c>
      <c r="D4287">
        <v>69</v>
      </c>
      <c r="E4287">
        <v>0</v>
      </c>
      <c r="F4287">
        <v>0</v>
      </c>
      <c r="G4287">
        <v>7</v>
      </c>
      <c r="H4287" s="4">
        <v>1570546349458</v>
      </c>
      <c r="I4287">
        <v>526.6875</v>
      </c>
      <c r="J4287" s="9">
        <f t="shared" si="66"/>
        <v>43746.91145206018</v>
      </c>
      <c r="K4287" s="1"/>
    </row>
    <row r="4288" spans="1:11" x14ac:dyDescent="0.25">
      <c r="A4288" t="e">
        <f>-Lqfqt865R1kwX2C6qix</f>
        <v>#NAME?</v>
      </c>
      <c r="B4288">
        <v>393.75</v>
      </c>
      <c r="C4288">
        <v>20.584240000000001</v>
      </c>
      <c r="D4288">
        <v>69</v>
      </c>
      <c r="E4288">
        <v>0</v>
      </c>
      <c r="F4288">
        <v>0</v>
      </c>
      <c r="G4288">
        <v>7</v>
      </c>
      <c r="H4288" s="4">
        <v>1570546355608</v>
      </c>
      <c r="I4288">
        <v>526.5</v>
      </c>
      <c r="J4288" s="9">
        <f t="shared" si="66"/>
        <v>43746.911523240742</v>
      </c>
      <c r="K4288" s="1"/>
    </row>
    <row r="4289" spans="1:11" x14ac:dyDescent="0.25">
      <c r="A4289" t="e">
        <f>-Lqfquh70mpQmKDFyvPq</f>
        <v>#NAME?</v>
      </c>
      <c r="B4289">
        <v>393.75</v>
      </c>
      <c r="C4289">
        <v>20.478950000000001</v>
      </c>
      <c r="D4289">
        <v>70</v>
      </c>
      <c r="E4289">
        <v>0</v>
      </c>
      <c r="F4289">
        <v>0</v>
      </c>
      <c r="G4289">
        <v>4</v>
      </c>
      <c r="H4289" s="4">
        <v>1570546361827</v>
      </c>
      <c r="I4289">
        <v>526.6875</v>
      </c>
      <c r="J4289" s="9">
        <f t="shared" si="66"/>
        <v>43746.911595219906</v>
      </c>
      <c r="K4289" s="1"/>
    </row>
    <row r="4290" spans="1:11" x14ac:dyDescent="0.25">
      <c r="A4290" t="e">
        <f>-LqfqwQ7uEL4n1N1posL</f>
        <v>#NAME?</v>
      </c>
      <c r="B4290">
        <v>393.75</v>
      </c>
      <c r="C4290">
        <v>20.584240000000001</v>
      </c>
      <c r="D4290">
        <v>71</v>
      </c>
      <c r="E4290">
        <v>0</v>
      </c>
      <c r="F4290">
        <v>0</v>
      </c>
      <c r="G4290">
        <v>10</v>
      </c>
      <c r="H4290" s="4">
        <v>1570546369048</v>
      </c>
      <c r="I4290">
        <v>526.6875</v>
      </c>
      <c r="J4290" s="9">
        <f t="shared" si="66"/>
        <v>43746.911678796292</v>
      </c>
      <c r="K4290" s="1"/>
    </row>
    <row r="4291" spans="1:11" x14ac:dyDescent="0.25">
      <c r="A4291" t="e">
        <f>-Lqfqxz5puZIAWOG55Xd</f>
        <v>#NAME?</v>
      </c>
      <c r="B4291">
        <v>393.75</v>
      </c>
      <c r="C4291">
        <v>20.531590000000001</v>
      </c>
      <c r="D4291">
        <v>71</v>
      </c>
      <c r="E4291">
        <v>0</v>
      </c>
      <c r="F4291">
        <v>0</v>
      </c>
      <c r="G4291">
        <v>16</v>
      </c>
      <c r="H4291" s="4">
        <v>1570546375217</v>
      </c>
      <c r="I4291">
        <v>526.6875</v>
      </c>
      <c r="J4291" s="9">
        <f t="shared" ref="J4291:J4354" si="67">(H4291/86400000)+25569+(7/24)</f>
        <v>43746.911750196756</v>
      </c>
      <c r="K4291" s="1"/>
    </row>
    <row r="4292" spans="1:11" x14ac:dyDescent="0.25">
      <c r="A4292" t="s">
        <v>233</v>
      </c>
      <c r="B4292">
        <v>393.75</v>
      </c>
      <c r="C4292">
        <v>20.531590000000001</v>
      </c>
      <c r="D4292">
        <v>71</v>
      </c>
      <c r="E4292">
        <v>0</v>
      </c>
      <c r="F4292">
        <v>0</v>
      </c>
      <c r="G4292">
        <v>2</v>
      </c>
      <c r="H4292" s="4">
        <v>1570546382439</v>
      </c>
      <c r="I4292">
        <v>526.5</v>
      </c>
      <c r="J4292" s="9">
        <f t="shared" si="67"/>
        <v>43746.911833784725</v>
      </c>
      <c r="K4292" s="1"/>
    </row>
    <row r="4293" spans="1:11" x14ac:dyDescent="0.25">
      <c r="A4293" t="e">
        <f>-Lqfr0j6xCMP3XcCdQgU</f>
        <v>#NAME?</v>
      </c>
      <c r="B4293">
        <v>393.75</v>
      </c>
      <c r="C4293">
        <v>20.584240000000001</v>
      </c>
      <c r="D4293">
        <v>70</v>
      </c>
      <c r="E4293">
        <v>0</v>
      </c>
      <c r="F4293">
        <v>0</v>
      </c>
      <c r="G4293">
        <v>11</v>
      </c>
      <c r="H4293" s="4">
        <v>1570546390677</v>
      </c>
      <c r="I4293">
        <v>526.6875</v>
      </c>
      <c r="J4293" s="9">
        <f t="shared" si="67"/>
        <v>43746.911929131944</v>
      </c>
      <c r="K4293" s="1"/>
    </row>
    <row r="4294" spans="1:11" x14ac:dyDescent="0.25">
      <c r="A4294" t="e">
        <f>-Lqfr2Suo06O3azE_44j</f>
        <v>#NAME?</v>
      </c>
      <c r="B4294">
        <v>393.75</v>
      </c>
      <c r="C4294">
        <v>20.531590000000001</v>
      </c>
      <c r="D4294">
        <v>70</v>
      </c>
      <c r="E4294">
        <v>0</v>
      </c>
      <c r="F4294">
        <v>0</v>
      </c>
      <c r="G4294">
        <v>1</v>
      </c>
      <c r="H4294" s="4">
        <v>1570546397907</v>
      </c>
      <c r="I4294">
        <v>526.6875</v>
      </c>
      <c r="J4294" s="9">
        <f t="shared" si="67"/>
        <v>43746.9120128125</v>
      </c>
      <c r="K4294" s="1"/>
    </row>
    <row r="4295" spans="1:11" x14ac:dyDescent="0.25">
      <c r="A4295" t="e">
        <f>-Lqfr4K50MEEYuE1XIrX</f>
        <v>#NAME?</v>
      </c>
      <c r="B4295">
        <v>393.75</v>
      </c>
      <c r="C4295">
        <v>20.531590000000001</v>
      </c>
      <c r="D4295">
        <v>69</v>
      </c>
      <c r="E4295">
        <v>0</v>
      </c>
      <c r="F4295">
        <v>0</v>
      </c>
      <c r="G4295">
        <v>11</v>
      </c>
      <c r="H4295" s="4">
        <v>1570546404076</v>
      </c>
      <c r="I4295">
        <v>526.6875</v>
      </c>
      <c r="J4295" s="9">
        <f t="shared" si="67"/>
        <v>43746.912084212956</v>
      </c>
      <c r="K4295" s="1"/>
    </row>
    <row r="4296" spans="1:11" x14ac:dyDescent="0.25">
      <c r="A4296" t="e">
        <f>-Lqfr5y7FY3szDunGP1O</f>
        <v>#NAME?</v>
      </c>
      <c r="B4296">
        <v>393.75</v>
      </c>
      <c r="C4296">
        <v>20.531590000000001</v>
      </c>
      <c r="D4296">
        <v>69</v>
      </c>
      <c r="E4296">
        <v>0</v>
      </c>
      <c r="F4296">
        <v>0</v>
      </c>
      <c r="G4296">
        <v>5</v>
      </c>
      <c r="H4296" s="4">
        <v>1570546412316</v>
      </c>
      <c r="I4296">
        <v>526.6875</v>
      </c>
      <c r="J4296" s="9">
        <f t="shared" si="67"/>
        <v>43746.912179583327</v>
      </c>
      <c r="K4296" s="1"/>
    </row>
    <row r="4297" spans="1:11" x14ac:dyDescent="0.25">
      <c r="A4297" t="e">
        <f>-Lqfr7g6wsBH3O6I8IKw</f>
        <v>#NAME?</v>
      </c>
      <c r="B4297">
        <v>393.75</v>
      </c>
      <c r="C4297">
        <v>20.531590000000001</v>
      </c>
      <c r="D4297">
        <v>68</v>
      </c>
      <c r="E4297">
        <v>0</v>
      </c>
      <c r="F4297">
        <v>0</v>
      </c>
      <c r="G4297">
        <v>2</v>
      </c>
      <c r="H4297" s="4">
        <v>1570546419325</v>
      </c>
      <c r="I4297">
        <v>526.6875</v>
      </c>
      <c r="J4297" s="9">
        <f t="shared" si="67"/>
        <v>43746.91226070602</v>
      </c>
      <c r="K4297" s="1"/>
    </row>
    <row r="4298" spans="1:11" x14ac:dyDescent="0.25">
      <c r="A4298" t="e">
        <f>-Lqfr9F9rzx2zKs3QjKK</f>
        <v>#NAME?</v>
      </c>
      <c r="B4298">
        <v>393.75</v>
      </c>
      <c r="C4298">
        <v>20.584240000000001</v>
      </c>
      <c r="D4298">
        <v>69</v>
      </c>
      <c r="E4298">
        <v>0</v>
      </c>
      <c r="F4298">
        <v>0</v>
      </c>
      <c r="G4298">
        <v>10</v>
      </c>
      <c r="H4298" s="4">
        <v>1570546425697</v>
      </c>
      <c r="I4298">
        <v>526.6875</v>
      </c>
      <c r="J4298" s="9">
        <f t="shared" si="67"/>
        <v>43746.912334456014</v>
      </c>
      <c r="K4298" s="1"/>
    </row>
    <row r="4299" spans="1:11" x14ac:dyDescent="0.25">
      <c r="A4299" t="s">
        <v>234</v>
      </c>
      <c r="B4299">
        <v>393.75</v>
      </c>
      <c r="C4299">
        <v>20.531590000000001</v>
      </c>
      <c r="D4299">
        <v>69</v>
      </c>
      <c r="E4299">
        <v>0</v>
      </c>
      <c r="F4299">
        <v>0</v>
      </c>
      <c r="G4299">
        <v>7</v>
      </c>
      <c r="H4299" s="4">
        <v>1570546431909</v>
      </c>
      <c r="I4299">
        <v>526.6875</v>
      </c>
      <c r="J4299" s="9">
        <f t="shared" si="67"/>
        <v>43746.91240635416</v>
      </c>
      <c r="K4299" s="1"/>
    </row>
    <row r="4300" spans="1:11" x14ac:dyDescent="0.25">
      <c r="A4300" t="e">
        <f>-LqfrCX6Be4TGxKRXkbP</f>
        <v>#NAME?</v>
      </c>
      <c r="B4300">
        <v>393.75</v>
      </c>
      <c r="C4300">
        <v>20.478950000000001</v>
      </c>
      <c r="D4300">
        <v>69</v>
      </c>
      <c r="E4300">
        <v>0</v>
      </c>
      <c r="F4300">
        <v>0</v>
      </c>
      <c r="G4300">
        <v>9</v>
      </c>
      <c r="H4300" s="4">
        <v>1570546439127</v>
      </c>
      <c r="I4300">
        <v>526.6875</v>
      </c>
      <c r="J4300" s="9">
        <f t="shared" si="67"/>
        <v>43746.912489895833</v>
      </c>
      <c r="K4300" s="1"/>
    </row>
    <row r="4301" spans="1:11" x14ac:dyDescent="0.25">
      <c r="A4301" t="e">
        <f>-LqfrE06tXun5ebDtdHs</f>
        <v>#NAME?</v>
      </c>
      <c r="B4301">
        <v>393.75</v>
      </c>
      <c r="C4301">
        <v>20.531590000000001</v>
      </c>
      <c r="D4301">
        <v>68</v>
      </c>
      <c r="E4301">
        <v>0</v>
      </c>
      <c r="F4301">
        <v>0</v>
      </c>
      <c r="G4301">
        <v>9</v>
      </c>
      <c r="H4301" s="4">
        <v>1570546445268</v>
      </c>
      <c r="I4301">
        <v>526.6875</v>
      </c>
      <c r="J4301" s="9">
        <f t="shared" si="67"/>
        <v>43746.912560972218</v>
      </c>
      <c r="K4301" s="1"/>
    </row>
    <row r="4302" spans="1:11" x14ac:dyDescent="0.25">
      <c r="A4302" t="e">
        <f>-LqfrFaLp3U8UvKqV1b3</f>
        <v>#NAME?</v>
      </c>
      <c r="B4302">
        <v>393.75</v>
      </c>
      <c r="C4302">
        <v>20.478950000000001</v>
      </c>
      <c r="D4302">
        <v>68</v>
      </c>
      <c r="E4302">
        <v>0</v>
      </c>
      <c r="F4302">
        <v>0</v>
      </c>
      <c r="G4302">
        <v>2</v>
      </c>
      <c r="H4302" s="4">
        <v>1570546451488</v>
      </c>
      <c r="I4302">
        <v>526.6875</v>
      </c>
      <c r="J4302" s="9">
        <f t="shared" si="67"/>
        <v>43746.912632962958</v>
      </c>
      <c r="K4302" s="1"/>
    </row>
    <row r="4303" spans="1:11" x14ac:dyDescent="0.25">
      <c r="A4303" t="e">
        <f>-LqfrHIFSVfFhRdC7iHh</f>
        <v>#NAME?</v>
      </c>
      <c r="B4303">
        <v>412.5</v>
      </c>
      <c r="C4303">
        <v>20.531590000000001</v>
      </c>
      <c r="D4303">
        <v>67</v>
      </c>
      <c r="E4303">
        <v>0</v>
      </c>
      <c r="F4303">
        <v>0</v>
      </c>
      <c r="G4303">
        <v>12</v>
      </c>
      <c r="H4303" s="4">
        <v>1570546458716</v>
      </c>
      <c r="I4303">
        <v>532.3125</v>
      </c>
      <c r="J4303" s="9">
        <f t="shared" si="67"/>
        <v>43746.912716620369</v>
      </c>
      <c r="K4303" s="1"/>
    </row>
    <row r="4304" spans="1:11" x14ac:dyDescent="0.25">
      <c r="A4304" t="e">
        <f>-LqfrIr5M2x1JUY1jkSS</f>
        <v>#NAME?</v>
      </c>
      <c r="B4304">
        <v>393.75</v>
      </c>
      <c r="C4304">
        <v>20.584240000000001</v>
      </c>
      <c r="D4304">
        <v>67</v>
      </c>
      <c r="E4304">
        <v>0</v>
      </c>
      <c r="F4304">
        <v>0</v>
      </c>
      <c r="G4304">
        <v>9</v>
      </c>
      <c r="H4304" s="4">
        <v>1570546464886</v>
      </c>
      <c r="I4304">
        <v>526.6875</v>
      </c>
      <c r="J4304" s="9">
        <f t="shared" si="67"/>
        <v>43746.912788032401</v>
      </c>
      <c r="K4304" s="1"/>
    </row>
    <row r="4305" spans="1:11" x14ac:dyDescent="0.25">
      <c r="A4305" t="e">
        <f>-LqfrK_7Kx8hb6sy1LgY</f>
        <v>#NAME?</v>
      </c>
      <c r="B4305">
        <v>393.75</v>
      </c>
      <c r="C4305">
        <v>20.478950000000001</v>
      </c>
      <c r="D4305">
        <v>67</v>
      </c>
      <c r="E4305">
        <v>0</v>
      </c>
      <c r="F4305">
        <v>0</v>
      </c>
      <c r="G4305">
        <v>19</v>
      </c>
      <c r="H4305" s="4">
        <v>1570546472087</v>
      </c>
      <c r="I4305">
        <v>526.5</v>
      </c>
      <c r="J4305" s="9">
        <f t="shared" si="67"/>
        <v>43746.912871377317</v>
      </c>
      <c r="K4305" s="1"/>
    </row>
    <row r="4306" spans="1:11" x14ac:dyDescent="0.25">
      <c r="A4306" t="e">
        <f>-LqfrM7wOCWtNSaI5_dZ</f>
        <v>#NAME?</v>
      </c>
      <c r="B4306">
        <v>393.75</v>
      </c>
      <c r="C4306">
        <v>20.531590000000001</v>
      </c>
      <c r="D4306">
        <v>68</v>
      </c>
      <c r="E4306">
        <v>0</v>
      </c>
      <c r="F4306">
        <v>0</v>
      </c>
      <c r="G4306">
        <v>12</v>
      </c>
      <c r="H4306" s="4">
        <v>1570546478278</v>
      </c>
      <c r="I4306">
        <v>526.6875</v>
      </c>
      <c r="J4306" s="9">
        <f t="shared" si="67"/>
        <v>43746.912943032403</v>
      </c>
      <c r="K4306" s="1"/>
    </row>
    <row r="4307" spans="1:11" x14ac:dyDescent="0.25">
      <c r="A4307" t="e">
        <f>-LqfrNrPvAMaYTx0tW-w</f>
        <v>#NAME?</v>
      </c>
      <c r="B4307">
        <v>393.75</v>
      </c>
      <c r="C4307">
        <v>20.584240000000001</v>
      </c>
      <c r="D4307">
        <v>67</v>
      </c>
      <c r="E4307">
        <v>0</v>
      </c>
      <c r="F4307">
        <v>0</v>
      </c>
      <c r="G4307">
        <v>8</v>
      </c>
      <c r="H4307" s="4">
        <v>1570546485498</v>
      </c>
      <c r="I4307">
        <v>526.6875</v>
      </c>
      <c r="J4307" s="9">
        <f t="shared" si="67"/>
        <v>43746.91302659722</v>
      </c>
      <c r="K4307" s="1"/>
    </row>
    <row r="4308" spans="1:11" x14ac:dyDescent="0.25">
      <c r="A4308" t="e">
        <f>-LqfrPeG90LtN8vGftXT</f>
        <v>#NAME?</v>
      </c>
      <c r="B4308">
        <v>393.75</v>
      </c>
      <c r="C4308">
        <v>20.584240000000001</v>
      </c>
      <c r="D4308">
        <v>67</v>
      </c>
      <c r="E4308">
        <v>0</v>
      </c>
      <c r="F4308">
        <v>0</v>
      </c>
      <c r="G4308">
        <v>10</v>
      </c>
      <c r="H4308" s="4">
        <v>1570546492706</v>
      </c>
      <c r="I4308">
        <v>526.6875</v>
      </c>
      <c r="J4308" s="9">
        <f t="shared" si="67"/>
        <v>43746.913110023146</v>
      </c>
      <c r="K4308" s="1"/>
    </row>
    <row r="4309" spans="1:11" x14ac:dyDescent="0.25">
      <c r="A4309" t="e">
        <f>-LqfrROMZN_gjm-SgXq9</f>
        <v>#NAME?</v>
      </c>
      <c r="B4309">
        <v>393.75</v>
      </c>
      <c r="C4309">
        <v>20.531590000000001</v>
      </c>
      <c r="D4309">
        <v>67</v>
      </c>
      <c r="E4309">
        <v>0</v>
      </c>
      <c r="F4309">
        <v>0</v>
      </c>
      <c r="G4309">
        <v>10</v>
      </c>
      <c r="H4309" s="4">
        <v>1570546499927</v>
      </c>
      <c r="I4309">
        <v>526.6875</v>
      </c>
      <c r="J4309" s="9">
        <f t="shared" si="67"/>
        <v>43746.913193599532</v>
      </c>
      <c r="K4309" s="1"/>
    </row>
    <row r="4310" spans="1:11" x14ac:dyDescent="0.25">
      <c r="A4310" t="e">
        <f>-LqfrSw6ANPZOc1Rw9i5</f>
        <v>#NAME?</v>
      </c>
      <c r="B4310">
        <v>393.75</v>
      </c>
      <c r="C4310">
        <v>20.584240000000001</v>
      </c>
      <c r="D4310">
        <v>67</v>
      </c>
      <c r="E4310">
        <v>0</v>
      </c>
      <c r="F4310">
        <v>0</v>
      </c>
      <c r="G4310">
        <v>7</v>
      </c>
      <c r="H4310" s="4">
        <v>1570546506096</v>
      </c>
      <c r="I4310">
        <v>526.6875</v>
      </c>
      <c r="J4310" s="9">
        <f t="shared" si="67"/>
        <v>43746.913265000003</v>
      </c>
      <c r="K4310" s="1"/>
    </row>
    <row r="4311" spans="1:11" x14ac:dyDescent="0.25">
      <c r="A4311" t="e">
        <f>-LqfrUeDfM9luGxucA-N</f>
        <v>#NAME?</v>
      </c>
      <c r="B4311">
        <v>393.75</v>
      </c>
      <c r="C4311">
        <v>20.531590000000001</v>
      </c>
      <c r="D4311">
        <v>68</v>
      </c>
      <c r="E4311">
        <v>0</v>
      </c>
      <c r="F4311">
        <v>0</v>
      </c>
      <c r="G4311">
        <v>11</v>
      </c>
      <c r="H4311" s="4">
        <v>1570546513317</v>
      </c>
      <c r="I4311">
        <v>526.6875</v>
      </c>
      <c r="J4311" s="9">
        <f t="shared" si="67"/>
        <v>43746.913348576381</v>
      </c>
      <c r="K4311" s="1"/>
    </row>
    <row r="4312" spans="1:11" x14ac:dyDescent="0.25">
      <c r="A4312" t="e">
        <f>-LqfrWS6UqpxKKJdtmBP</f>
        <v>#NAME?</v>
      </c>
      <c r="B4312">
        <v>393.75</v>
      </c>
      <c r="C4312">
        <v>20.584240000000001</v>
      </c>
      <c r="D4312">
        <v>68</v>
      </c>
      <c r="E4312">
        <v>0</v>
      </c>
      <c r="F4312">
        <v>0</v>
      </c>
      <c r="G4312">
        <v>10</v>
      </c>
      <c r="H4312" s="4">
        <v>1570546520536</v>
      </c>
      <c r="I4312">
        <v>526.6875</v>
      </c>
      <c r="J4312" s="9">
        <f t="shared" si="67"/>
        <v>43746.913432129622</v>
      </c>
      <c r="K4312" s="1"/>
    </row>
    <row r="4313" spans="1:11" x14ac:dyDescent="0.25">
      <c r="A4313" t="e">
        <f>-LqfrYA74ifRP5QffHU2</f>
        <v>#NAME?</v>
      </c>
      <c r="B4313">
        <v>393.75</v>
      </c>
      <c r="C4313">
        <v>20.584240000000001</v>
      </c>
      <c r="D4313">
        <v>68</v>
      </c>
      <c r="E4313">
        <v>0</v>
      </c>
      <c r="F4313">
        <v>0</v>
      </c>
      <c r="G4313">
        <v>12</v>
      </c>
      <c r="H4313" s="4">
        <v>1570546527766</v>
      </c>
      <c r="I4313">
        <v>526.6875</v>
      </c>
      <c r="J4313" s="9">
        <f t="shared" si="67"/>
        <v>43746.913515810178</v>
      </c>
      <c r="K4313" s="1"/>
    </row>
    <row r="4314" spans="1:11" x14ac:dyDescent="0.25">
      <c r="A4314" t="e">
        <f>-LqfrZj9juOctoasSSiR</f>
        <v>#NAME?</v>
      </c>
      <c r="B4314">
        <v>393.75</v>
      </c>
      <c r="C4314">
        <v>20.584240000000001</v>
      </c>
      <c r="D4314">
        <v>68</v>
      </c>
      <c r="E4314">
        <v>0</v>
      </c>
      <c r="F4314">
        <v>0</v>
      </c>
      <c r="G4314">
        <v>11</v>
      </c>
      <c r="H4314" s="4">
        <v>1570546533937</v>
      </c>
      <c r="I4314">
        <v>526.6875</v>
      </c>
      <c r="J4314" s="9">
        <f t="shared" si="67"/>
        <v>43746.913587233794</v>
      </c>
      <c r="K4314" s="1"/>
    </row>
    <row r="4315" spans="1:11" x14ac:dyDescent="0.25">
      <c r="A4315" t="e">
        <f>-LqfraSETB9jcRB0SI1l</f>
        <v>#NAME?</v>
      </c>
      <c r="B4315">
        <v>393.75</v>
      </c>
      <c r="C4315">
        <v>20.584240000000001</v>
      </c>
      <c r="D4315">
        <v>69</v>
      </c>
      <c r="E4315">
        <v>0</v>
      </c>
      <c r="F4315">
        <v>0</v>
      </c>
      <c r="G4315">
        <v>8</v>
      </c>
      <c r="H4315" s="4">
        <v>1570546541146</v>
      </c>
      <c r="I4315">
        <v>526.5</v>
      </c>
      <c r="J4315" s="9">
        <f t="shared" si="67"/>
        <v>43746.913670671296</v>
      </c>
      <c r="K4315" s="1"/>
    </row>
    <row r="4316" spans="1:11" x14ac:dyDescent="0.25">
      <c r="A4316" t="e">
        <f>-LqfrcF6Rjp7ZtLx_rHX</f>
        <v>#NAME?</v>
      </c>
      <c r="B4316">
        <v>393.75</v>
      </c>
      <c r="C4316">
        <v>20.584240000000001</v>
      </c>
      <c r="D4316">
        <v>67</v>
      </c>
      <c r="E4316">
        <v>0</v>
      </c>
      <c r="F4316">
        <v>0</v>
      </c>
      <c r="G4316">
        <v>5</v>
      </c>
      <c r="H4316" s="4">
        <v>1570546548367</v>
      </c>
      <c r="I4316">
        <v>526.5</v>
      </c>
      <c r="J4316" s="9">
        <f t="shared" si="67"/>
        <v>43746.913754247682</v>
      </c>
      <c r="K4316" s="1"/>
    </row>
    <row r="4317" spans="1:11" x14ac:dyDescent="0.25">
      <c r="A4317" t="e">
        <f>-Lqfrdy6SyyTaqiIK6TS</f>
        <v>#NAME?</v>
      </c>
      <c r="B4317">
        <v>393.75</v>
      </c>
      <c r="C4317">
        <v>20.531590000000001</v>
      </c>
      <c r="D4317">
        <v>67</v>
      </c>
      <c r="E4317">
        <v>0</v>
      </c>
      <c r="F4317">
        <v>0</v>
      </c>
      <c r="G4317">
        <v>7</v>
      </c>
      <c r="H4317" s="4">
        <v>1570546555576</v>
      </c>
      <c r="I4317">
        <v>526.6875</v>
      </c>
      <c r="J4317" s="9">
        <f t="shared" si="67"/>
        <v>43746.913837685184</v>
      </c>
      <c r="K4317" s="1"/>
    </row>
    <row r="4318" spans="1:11" x14ac:dyDescent="0.25">
      <c r="A4318" t="e">
        <f>-Lqfrfegm0fzzTIMpHNj</f>
        <v>#NAME?</v>
      </c>
      <c r="B4318">
        <v>393.75</v>
      </c>
      <c r="C4318">
        <v>20.531590000000001</v>
      </c>
      <c r="D4318">
        <v>67</v>
      </c>
      <c r="E4318">
        <v>0</v>
      </c>
      <c r="F4318">
        <v>0</v>
      </c>
      <c r="G4318">
        <v>10</v>
      </c>
      <c r="H4318" s="4">
        <v>1570546561757</v>
      </c>
      <c r="I4318">
        <v>526.6875</v>
      </c>
      <c r="J4318" s="9">
        <f t="shared" si="67"/>
        <v>43746.913909224539</v>
      </c>
      <c r="K4318" s="1"/>
    </row>
    <row r="4319" spans="1:11" x14ac:dyDescent="0.25">
      <c r="A4319" t="e">
        <f>-LqfrhF6FA65pkyeM9t2</f>
        <v>#NAME?</v>
      </c>
      <c r="B4319">
        <v>393.75</v>
      </c>
      <c r="C4319">
        <v>20.584240000000001</v>
      </c>
      <c r="D4319">
        <v>68</v>
      </c>
      <c r="E4319">
        <v>0</v>
      </c>
      <c r="F4319">
        <v>0</v>
      </c>
      <c r="G4319">
        <v>6</v>
      </c>
      <c r="H4319" s="4">
        <v>1570546568978</v>
      </c>
      <c r="I4319">
        <v>526.5</v>
      </c>
      <c r="J4319" s="9">
        <f t="shared" si="67"/>
        <v>43746.913992800924</v>
      </c>
      <c r="K4319" s="1"/>
    </row>
    <row r="4320" spans="1:11" x14ac:dyDescent="0.25">
      <c r="A4320" t="e">
        <f>-Lqfrij51_UIElZt9RF8</f>
        <v>#NAME?</v>
      </c>
      <c r="B4320">
        <v>393.75</v>
      </c>
      <c r="C4320">
        <v>20.531590000000001</v>
      </c>
      <c r="D4320">
        <v>69</v>
      </c>
      <c r="E4320">
        <v>0</v>
      </c>
      <c r="F4320">
        <v>0</v>
      </c>
      <c r="G4320">
        <v>10</v>
      </c>
      <c r="H4320" s="4">
        <v>1570546575128</v>
      </c>
      <c r="I4320">
        <v>526.6875</v>
      </c>
      <c r="J4320" s="9">
        <f t="shared" si="67"/>
        <v>43746.91406398148</v>
      </c>
      <c r="K4320" s="1"/>
    </row>
    <row r="4321" spans="1:11" x14ac:dyDescent="0.25">
      <c r="A4321" t="e">
        <f>-LqfrkI5IN72Z5uhR21R</f>
        <v>#NAME?</v>
      </c>
      <c r="B4321">
        <v>393.75</v>
      </c>
      <c r="C4321">
        <v>20.531590000000001</v>
      </c>
      <c r="D4321">
        <v>69</v>
      </c>
      <c r="E4321">
        <v>0</v>
      </c>
      <c r="F4321">
        <v>0</v>
      </c>
      <c r="G4321">
        <v>2</v>
      </c>
      <c r="H4321" s="4">
        <v>1570546581338</v>
      </c>
      <c r="I4321">
        <v>526.6875</v>
      </c>
      <c r="J4321" s="9">
        <f t="shared" si="67"/>
        <v>43746.914135856474</v>
      </c>
      <c r="K4321" s="1"/>
    </row>
    <row r="4322" spans="1:11" x14ac:dyDescent="0.25">
      <c r="A4322" t="e">
        <f>-Lqfrlzq09rklp-_OY7e</f>
        <v>#NAME?</v>
      </c>
      <c r="B4322">
        <v>393.75</v>
      </c>
      <c r="C4322">
        <v>20.531590000000001</v>
      </c>
      <c r="D4322">
        <v>69</v>
      </c>
      <c r="E4322">
        <v>0</v>
      </c>
      <c r="F4322">
        <v>0</v>
      </c>
      <c r="G4322">
        <v>2</v>
      </c>
      <c r="H4322" s="4">
        <v>1570546588566</v>
      </c>
      <c r="I4322">
        <v>526.6875</v>
      </c>
      <c r="J4322" s="9">
        <f t="shared" si="67"/>
        <v>43746.914219513885</v>
      </c>
      <c r="K4322" s="1"/>
    </row>
    <row r="4323" spans="1:11" x14ac:dyDescent="0.25">
      <c r="A4323" t="e">
        <f>-Lqfrn_6p9A-XIWcCPTF</f>
        <v>#NAME?</v>
      </c>
      <c r="B4323">
        <v>393.75</v>
      </c>
      <c r="C4323">
        <v>20.478950000000001</v>
      </c>
      <c r="D4323">
        <v>70</v>
      </c>
      <c r="E4323">
        <v>0</v>
      </c>
      <c r="F4323">
        <v>0</v>
      </c>
      <c r="G4323">
        <v>9</v>
      </c>
      <c r="H4323" s="4">
        <v>1570546594736</v>
      </c>
      <c r="I4323">
        <v>526.6875</v>
      </c>
      <c r="J4323" s="9">
        <f t="shared" si="67"/>
        <v>43746.914290925924</v>
      </c>
      <c r="K4323" s="1"/>
    </row>
    <row r="4324" spans="1:11" x14ac:dyDescent="0.25">
      <c r="A4324" t="s">
        <v>235</v>
      </c>
      <c r="B4324">
        <v>393.75</v>
      </c>
      <c r="C4324">
        <v>20.531590000000001</v>
      </c>
      <c r="D4324">
        <v>70</v>
      </c>
      <c r="E4324">
        <v>0</v>
      </c>
      <c r="F4324">
        <v>0</v>
      </c>
      <c r="G4324">
        <v>5</v>
      </c>
      <c r="H4324" s="4">
        <v>1570546601957</v>
      </c>
      <c r="I4324">
        <v>526.5</v>
      </c>
      <c r="J4324" s="9">
        <f t="shared" si="67"/>
        <v>43746.91437450231</v>
      </c>
      <c r="K4324" s="1"/>
    </row>
    <row r="4325" spans="1:11" x14ac:dyDescent="0.25">
      <c r="A4325" t="e">
        <f>-LqfrrKF0e0axLZJaMVp</f>
        <v>#NAME?</v>
      </c>
      <c r="B4325">
        <v>393.75</v>
      </c>
      <c r="C4325">
        <v>20.478950000000001</v>
      </c>
      <c r="D4325">
        <v>70</v>
      </c>
      <c r="E4325">
        <v>0</v>
      </c>
      <c r="F4325">
        <v>0</v>
      </c>
      <c r="G4325">
        <v>12</v>
      </c>
      <c r="H4325" s="4">
        <v>1570546610196</v>
      </c>
      <c r="I4325">
        <v>526.6875</v>
      </c>
      <c r="J4325" s="9">
        <f t="shared" si="67"/>
        <v>43746.914469861113</v>
      </c>
      <c r="K4325" s="1"/>
    </row>
    <row r="4326" spans="1:11" x14ac:dyDescent="0.25">
      <c r="A4326" t="e">
        <f>-Lqfrt2Hfh8ayxOYt0Zr</f>
        <v>#NAME?</v>
      </c>
      <c r="B4326">
        <v>393.75</v>
      </c>
      <c r="C4326">
        <v>20.584240000000001</v>
      </c>
      <c r="D4326">
        <v>68</v>
      </c>
      <c r="E4326">
        <v>0</v>
      </c>
      <c r="F4326">
        <v>0</v>
      </c>
      <c r="G4326">
        <v>10</v>
      </c>
      <c r="H4326" s="4">
        <v>1570546617387</v>
      </c>
      <c r="I4326">
        <v>526.5</v>
      </c>
      <c r="J4326" s="9">
        <f t="shared" si="67"/>
        <v>43746.914553090275</v>
      </c>
      <c r="K4326" s="1"/>
    </row>
    <row r="4327" spans="1:11" x14ac:dyDescent="0.25">
      <c r="A4327" t="e">
        <f>-LqfrucVPH5Rz0wApYq7</f>
        <v>#NAME?</v>
      </c>
      <c r="B4327">
        <v>412.5</v>
      </c>
      <c r="C4327">
        <v>20.478950000000001</v>
      </c>
      <c r="D4327">
        <v>68</v>
      </c>
      <c r="E4327">
        <v>0</v>
      </c>
      <c r="F4327">
        <v>0</v>
      </c>
      <c r="G4327">
        <v>4</v>
      </c>
      <c r="H4327" s="4">
        <v>1570546623598</v>
      </c>
      <c r="I4327">
        <v>532.3125</v>
      </c>
      <c r="J4327" s="9">
        <f t="shared" si="67"/>
        <v>43746.914624976846</v>
      </c>
      <c r="K4327" s="1"/>
    </row>
    <row r="4328" spans="1:11" x14ac:dyDescent="0.25">
      <c r="A4328" t="e">
        <f>-Lqfrwg_hrJCWE8QRdoY</f>
        <v>#NAME?</v>
      </c>
      <c r="B4328">
        <v>393.75</v>
      </c>
      <c r="C4328">
        <v>20.531590000000001</v>
      </c>
      <c r="D4328">
        <v>68</v>
      </c>
      <c r="E4328">
        <v>0</v>
      </c>
      <c r="F4328">
        <v>0</v>
      </c>
      <c r="G4328">
        <v>15</v>
      </c>
      <c r="H4328" s="4">
        <v>1570546630806</v>
      </c>
      <c r="I4328">
        <v>526.5</v>
      </c>
      <c r="J4328" s="9">
        <f t="shared" si="67"/>
        <v>43746.914708402772</v>
      </c>
      <c r="K4328" s="1"/>
    </row>
    <row r="4329" spans="1:11" x14ac:dyDescent="0.25">
      <c r="A4329" t="e">
        <f>-LqfryM7a2-Qq5sHh6R2</f>
        <v>#NAME?</v>
      </c>
      <c r="B4329">
        <v>393.75</v>
      </c>
      <c r="C4329">
        <v>20.584240000000001</v>
      </c>
      <c r="D4329">
        <v>67</v>
      </c>
      <c r="E4329">
        <v>0</v>
      </c>
      <c r="F4329">
        <v>0</v>
      </c>
      <c r="G4329">
        <v>13</v>
      </c>
      <c r="H4329" s="4">
        <v>1570546639065</v>
      </c>
      <c r="I4329">
        <v>526.6875</v>
      </c>
      <c r="J4329" s="9">
        <f t="shared" si="67"/>
        <v>43746.914803993051</v>
      </c>
      <c r="K4329" s="1"/>
    </row>
    <row r="4330" spans="1:11" x14ac:dyDescent="0.25">
      <c r="A4330" t="s">
        <v>236</v>
      </c>
      <c r="B4330">
        <v>393.75</v>
      </c>
      <c r="C4330">
        <v>20.478950000000001</v>
      </c>
      <c r="D4330">
        <v>66</v>
      </c>
      <c r="E4330">
        <v>0</v>
      </c>
      <c r="F4330">
        <v>0</v>
      </c>
      <c r="G4330">
        <v>8</v>
      </c>
      <c r="H4330" s="4">
        <v>1570546645209</v>
      </c>
      <c r="I4330">
        <v>526.6875</v>
      </c>
      <c r="J4330" s="9">
        <f t="shared" si="67"/>
        <v>43746.914875104165</v>
      </c>
      <c r="K4330" s="1"/>
    </row>
    <row r="4331" spans="1:11" x14ac:dyDescent="0.25">
      <c r="A4331" t="e">
        <f>-Lqfs0P6rGQOBPHbaTy5</f>
        <v>#NAME?</v>
      </c>
      <c r="B4331">
        <v>393.75</v>
      </c>
      <c r="C4331">
        <v>20.531590000000001</v>
      </c>
      <c r="D4331">
        <v>67</v>
      </c>
      <c r="E4331">
        <v>0</v>
      </c>
      <c r="F4331">
        <v>0</v>
      </c>
      <c r="G4331">
        <v>7</v>
      </c>
      <c r="H4331" s="4">
        <v>1570546651418</v>
      </c>
      <c r="I4331">
        <v>526.6875</v>
      </c>
      <c r="J4331" s="9">
        <f t="shared" si="67"/>
        <v>43746.91494696759</v>
      </c>
      <c r="K4331" s="1"/>
    </row>
    <row r="4332" spans="1:11" x14ac:dyDescent="0.25">
      <c r="A4332" t="e">
        <f>-Lqfs28On7V_5TgLY1w0</f>
        <v>#NAME?</v>
      </c>
      <c r="B4332">
        <v>393.75</v>
      </c>
      <c r="C4332">
        <v>20.531590000000001</v>
      </c>
      <c r="D4332">
        <v>67</v>
      </c>
      <c r="E4332">
        <v>0</v>
      </c>
      <c r="F4332">
        <v>0</v>
      </c>
      <c r="G4332">
        <v>12</v>
      </c>
      <c r="H4332" s="4">
        <v>1570546658646</v>
      </c>
      <c r="I4332">
        <v>526.6875</v>
      </c>
      <c r="J4332" s="9">
        <f t="shared" si="67"/>
        <v>43746.915030625001</v>
      </c>
      <c r="K4332" s="1"/>
    </row>
    <row r="4333" spans="1:11" x14ac:dyDescent="0.25">
      <c r="A4333" t="e">
        <f>-Lqfs3g9Sk4BxrLzMFiQ</f>
        <v>#NAME?</v>
      </c>
      <c r="B4333">
        <v>393.75</v>
      </c>
      <c r="C4333">
        <v>20.584240000000001</v>
      </c>
      <c r="D4333">
        <v>67</v>
      </c>
      <c r="E4333">
        <v>0</v>
      </c>
      <c r="F4333">
        <v>0</v>
      </c>
      <c r="G4333">
        <v>8</v>
      </c>
      <c r="H4333" s="4">
        <v>1570546664817</v>
      </c>
      <c r="I4333">
        <v>526.6875</v>
      </c>
      <c r="J4333" s="9">
        <f t="shared" si="67"/>
        <v>43746.91510204861</v>
      </c>
      <c r="K4333" s="1"/>
    </row>
    <row r="4334" spans="1:11" x14ac:dyDescent="0.25">
      <c r="A4334" t="e">
        <f>-Lqfs5P85YYLSSlqOZ1o</f>
        <v>#NAME?</v>
      </c>
      <c r="B4334">
        <v>393.75</v>
      </c>
      <c r="C4334">
        <v>20.531590000000001</v>
      </c>
      <c r="D4334">
        <v>68</v>
      </c>
      <c r="E4334">
        <v>0</v>
      </c>
      <c r="F4334">
        <v>0</v>
      </c>
      <c r="G4334">
        <v>0</v>
      </c>
      <c r="H4334" s="4">
        <v>1570546672027</v>
      </c>
      <c r="I4334">
        <v>526.6875</v>
      </c>
      <c r="J4334" s="9">
        <f t="shared" si="67"/>
        <v>43746.915185497688</v>
      </c>
      <c r="K4334" s="1"/>
    </row>
    <row r="4335" spans="1:11" x14ac:dyDescent="0.25">
      <c r="A4335" t="e">
        <f>-Lqfs6y8A3x-LET1MgoO</f>
        <v>#NAME?</v>
      </c>
      <c r="B4335">
        <v>393.75</v>
      </c>
      <c r="C4335">
        <v>20.531590000000001</v>
      </c>
      <c r="D4335">
        <v>68</v>
      </c>
      <c r="E4335">
        <v>0</v>
      </c>
      <c r="F4335">
        <v>0</v>
      </c>
      <c r="G4335">
        <v>5</v>
      </c>
      <c r="H4335" s="4">
        <v>1570546678404</v>
      </c>
      <c r="I4335">
        <v>526.6875</v>
      </c>
      <c r="J4335" s="9">
        <f t="shared" si="67"/>
        <v>43746.915259305555</v>
      </c>
      <c r="K4335" s="1"/>
    </row>
    <row r="4336" spans="1:11" x14ac:dyDescent="0.25">
      <c r="A4336" t="e">
        <f>-Lqfs8hPB647lOtHP5tH</f>
        <v>#NAME?</v>
      </c>
      <c r="B4336">
        <v>393.75</v>
      </c>
      <c r="C4336">
        <v>20.531590000000001</v>
      </c>
      <c r="D4336">
        <v>66</v>
      </c>
      <c r="E4336">
        <v>0</v>
      </c>
      <c r="F4336">
        <v>0</v>
      </c>
      <c r="G4336">
        <v>5</v>
      </c>
      <c r="H4336" s="4">
        <v>1570546685427</v>
      </c>
      <c r="I4336">
        <v>526.6875</v>
      </c>
      <c r="J4336" s="9">
        <f t="shared" si="67"/>
        <v>43746.915340590276</v>
      </c>
      <c r="K4336" s="1"/>
    </row>
    <row r="4337" spans="1:11" x14ac:dyDescent="0.25">
      <c r="A4337" t="e">
        <f>-LqfsAP6jg9jJMcSfnWJ</f>
        <v>#NAME?</v>
      </c>
      <c r="B4337">
        <v>393.75</v>
      </c>
      <c r="C4337">
        <v>20.531590000000001</v>
      </c>
      <c r="D4337">
        <v>66</v>
      </c>
      <c r="E4337">
        <v>0</v>
      </c>
      <c r="F4337">
        <v>0</v>
      </c>
      <c r="G4337">
        <v>16</v>
      </c>
      <c r="H4337" s="4">
        <v>1570546692639</v>
      </c>
      <c r="I4337">
        <v>526.6875</v>
      </c>
      <c r="J4337" s="9">
        <f t="shared" si="67"/>
        <v>43746.915424062499</v>
      </c>
      <c r="K4337" s="1"/>
    </row>
    <row r="4338" spans="1:11" x14ac:dyDescent="0.25">
      <c r="A4338" t="e">
        <f>-LqfsBy7lIAuiskOQiw0</f>
        <v>#NAME?</v>
      </c>
      <c r="B4338">
        <v>393.75</v>
      </c>
      <c r="C4338">
        <v>20.478950000000001</v>
      </c>
      <c r="D4338">
        <v>66</v>
      </c>
      <c r="E4338">
        <v>0</v>
      </c>
      <c r="F4338">
        <v>0</v>
      </c>
      <c r="G4338">
        <v>6</v>
      </c>
      <c r="H4338" s="4">
        <v>1570546698828</v>
      </c>
      <c r="I4338">
        <v>526.6875</v>
      </c>
      <c r="J4338" s="9">
        <f t="shared" si="67"/>
        <v>43746.91549569444</v>
      </c>
      <c r="K4338" s="1"/>
    </row>
    <row r="4339" spans="1:11" x14ac:dyDescent="0.25">
      <c r="A4339" t="e">
        <f>-LqfsDqHEXGWoYtKMFLl</f>
        <v>#NAME?</v>
      </c>
      <c r="B4339">
        <v>393.75</v>
      </c>
      <c r="C4339">
        <v>20.584240000000001</v>
      </c>
      <c r="D4339">
        <v>66</v>
      </c>
      <c r="E4339">
        <v>0</v>
      </c>
      <c r="F4339">
        <v>0</v>
      </c>
      <c r="G4339">
        <v>11</v>
      </c>
      <c r="H4339" s="4">
        <v>1570546705008</v>
      </c>
      <c r="I4339">
        <v>526.6875</v>
      </c>
      <c r="J4339" s="9">
        <f t="shared" si="67"/>
        <v>43746.915567222219</v>
      </c>
      <c r="K4339" s="1"/>
    </row>
    <row r="4340" spans="1:11" x14ac:dyDescent="0.25">
      <c r="A4340" t="e">
        <f>-LqfsFU7-SDOUX7xfvuB</f>
        <v>#NAME?</v>
      </c>
      <c r="B4340">
        <v>393.75</v>
      </c>
      <c r="C4340">
        <v>20.584240000000001</v>
      </c>
      <c r="D4340">
        <v>70</v>
      </c>
      <c r="E4340">
        <v>0</v>
      </c>
      <c r="F4340">
        <v>0</v>
      </c>
      <c r="G4340">
        <v>4</v>
      </c>
      <c r="H4340" s="4">
        <v>1570546713248</v>
      </c>
      <c r="I4340">
        <v>526.6875</v>
      </c>
      <c r="J4340" s="9">
        <f t="shared" si="67"/>
        <v>43746.91566259259</v>
      </c>
      <c r="K4340" s="1"/>
    </row>
    <row r="4341" spans="1:11" x14ac:dyDescent="0.25">
      <c r="A4341" t="e">
        <f>-LqfsGy7dLg5vVjoS9sl</f>
        <v>#NAME?</v>
      </c>
      <c r="B4341">
        <v>393.75</v>
      </c>
      <c r="C4341">
        <v>20.531590000000001</v>
      </c>
      <c r="D4341">
        <v>70</v>
      </c>
      <c r="E4341">
        <v>0</v>
      </c>
      <c r="F4341">
        <v>0</v>
      </c>
      <c r="G4341">
        <v>7</v>
      </c>
      <c r="H4341" s="4">
        <v>1570546719409</v>
      </c>
      <c r="I4341">
        <v>526.6875</v>
      </c>
      <c r="J4341" s="9">
        <f t="shared" si="67"/>
        <v>43746.91573390046</v>
      </c>
      <c r="K4341" s="1"/>
    </row>
    <row r="4342" spans="1:11" x14ac:dyDescent="0.25">
      <c r="A4342" t="e">
        <f>-LqfsIX6Ta9MEfBa44Xl</f>
        <v>#NAME?</v>
      </c>
      <c r="B4342">
        <v>393.75</v>
      </c>
      <c r="C4342">
        <v>20.584240000000001</v>
      </c>
      <c r="D4342">
        <v>70</v>
      </c>
      <c r="E4342">
        <v>0</v>
      </c>
      <c r="F4342">
        <v>0</v>
      </c>
      <c r="G4342">
        <v>13</v>
      </c>
      <c r="H4342" s="4">
        <v>1570546725617</v>
      </c>
      <c r="I4342">
        <v>526.6875</v>
      </c>
      <c r="J4342" s="9">
        <f t="shared" si="67"/>
        <v>43746.915805752309</v>
      </c>
      <c r="K4342" s="1"/>
    </row>
    <row r="4343" spans="1:11" x14ac:dyDescent="0.25">
      <c r="A4343" t="e">
        <f>-LqfsKFIjqfZm03KM_yg</f>
        <v>#NAME?</v>
      </c>
      <c r="B4343">
        <v>393.75</v>
      </c>
      <c r="C4343">
        <v>20.531590000000001</v>
      </c>
      <c r="D4343">
        <v>71</v>
      </c>
      <c r="E4343">
        <v>0</v>
      </c>
      <c r="F4343">
        <v>0</v>
      </c>
      <c r="G4343">
        <v>9</v>
      </c>
      <c r="H4343" s="4">
        <v>1570546732828</v>
      </c>
      <c r="I4343">
        <v>526.6875</v>
      </c>
      <c r="J4343" s="9">
        <f t="shared" si="67"/>
        <v>43746.915889212956</v>
      </c>
      <c r="K4343" s="1"/>
    </row>
    <row r="4344" spans="1:11" x14ac:dyDescent="0.25">
      <c r="A4344" t="e">
        <f>-LqfsLi1IbOmvYroyrl8</f>
        <v>#NAME?</v>
      </c>
      <c r="B4344">
        <v>418.75</v>
      </c>
      <c r="C4344">
        <v>20.531590000000001</v>
      </c>
      <c r="D4344">
        <v>71</v>
      </c>
      <c r="E4344">
        <v>0</v>
      </c>
      <c r="F4344">
        <v>0</v>
      </c>
      <c r="G4344">
        <v>4</v>
      </c>
      <c r="H4344" s="4">
        <v>1570546738977</v>
      </c>
      <c r="I4344">
        <v>534</v>
      </c>
      <c r="J4344" s="9">
        <f t="shared" si="67"/>
        <v>43746.915960381943</v>
      </c>
      <c r="K4344" s="1"/>
    </row>
    <row r="4345" spans="1:11" x14ac:dyDescent="0.25">
      <c r="A4345" t="e">
        <f>-LqfsNI7p1hvfr_et4oP</f>
        <v>#NAME?</v>
      </c>
      <c r="B4345">
        <v>393.75</v>
      </c>
      <c r="C4345">
        <v>20.531590000000001</v>
      </c>
      <c r="D4345">
        <v>68</v>
      </c>
      <c r="E4345">
        <v>0</v>
      </c>
      <c r="F4345">
        <v>0</v>
      </c>
      <c r="G4345">
        <v>8</v>
      </c>
      <c r="H4345" s="4">
        <v>1570546745197</v>
      </c>
      <c r="I4345">
        <v>526.6875</v>
      </c>
      <c r="J4345" s="9">
        <f t="shared" si="67"/>
        <v>43746.916032372683</v>
      </c>
      <c r="K4345" s="1"/>
    </row>
    <row r="4346" spans="1:11" x14ac:dyDescent="0.25">
      <c r="A4346" t="e">
        <f>-LqfsP06JtNAnV9Pg27S</f>
        <v>#NAME?</v>
      </c>
      <c r="B4346">
        <v>393.75</v>
      </c>
      <c r="C4346">
        <v>20.531590000000001</v>
      </c>
      <c r="D4346">
        <v>68</v>
      </c>
      <c r="E4346">
        <v>0</v>
      </c>
      <c r="F4346">
        <v>0</v>
      </c>
      <c r="G4346">
        <v>6</v>
      </c>
      <c r="H4346" s="4">
        <v>1570546752408</v>
      </c>
      <c r="I4346">
        <v>526.5</v>
      </c>
      <c r="J4346" s="9">
        <f t="shared" si="67"/>
        <v>43746.91611583333</v>
      </c>
      <c r="K4346" s="1"/>
    </row>
    <row r="4347" spans="1:11" x14ac:dyDescent="0.25">
      <c r="A4347" t="e">
        <f>-LqfsQglBcv8HNl9sF8y</f>
        <v>#NAME?</v>
      </c>
      <c r="B4347">
        <v>393.75</v>
      </c>
      <c r="C4347">
        <v>20.584240000000001</v>
      </c>
      <c r="D4347">
        <v>68</v>
      </c>
      <c r="E4347">
        <v>0</v>
      </c>
      <c r="F4347">
        <v>0</v>
      </c>
      <c r="G4347">
        <v>11</v>
      </c>
      <c r="H4347" s="4">
        <v>1570546758598</v>
      </c>
      <c r="I4347">
        <v>526.6875</v>
      </c>
      <c r="J4347" s="9">
        <f t="shared" si="67"/>
        <v>43746.916187476854</v>
      </c>
      <c r="K4347" s="1"/>
    </row>
    <row r="4348" spans="1:11" x14ac:dyDescent="0.25">
      <c r="A4348" t="e">
        <f>-LqfsSI76uYydrCGS2HV</f>
        <v>#NAME?</v>
      </c>
      <c r="B4348">
        <v>393.75</v>
      </c>
      <c r="C4348">
        <v>20.584240000000001</v>
      </c>
      <c r="D4348">
        <v>72</v>
      </c>
      <c r="E4348">
        <v>0</v>
      </c>
      <c r="F4348">
        <v>0</v>
      </c>
      <c r="G4348">
        <v>8</v>
      </c>
      <c r="H4348" s="4">
        <v>1570546765808</v>
      </c>
      <c r="I4348">
        <v>526.6875</v>
      </c>
      <c r="J4348" s="9">
        <f t="shared" si="67"/>
        <v>43746.916270925918</v>
      </c>
      <c r="K4348" s="1"/>
    </row>
    <row r="4349" spans="1:11" x14ac:dyDescent="0.25">
      <c r="A4349" t="e">
        <f>-LqfsTm6GYpklEqFQ5sU</f>
        <v>#NAME?</v>
      </c>
      <c r="B4349">
        <v>393.75</v>
      </c>
      <c r="C4349">
        <v>20.584240000000001</v>
      </c>
      <c r="D4349">
        <v>71</v>
      </c>
      <c r="E4349">
        <v>0</v>
      </c>
      <c r="F4349">
        <v>0</v>
      </c>
      <c r="G4349">
        <v>11</v>
      </c>
      <c r="H4349" s="4">
        <v>1570546772007</v>
      </c>
      <c r="I4349">
        <v>526.5</v>
      </c>
      <c r="J4349" s="9">
        <f t="shared" si="67"/>
        <v>43746.916342673612</v>
      </c>
      <c r="K4349" s="1"/>
    </row>
    <row r="4350" spans="1:11" x14ac:dyDescent="0.25">
      <c r="A4350" t="e">
        <f>-LqfsVL6q-SjuHAL8XoH</f>
        <v>#NAME?</v>
      </c>
      <c r="B4350">
        <v>393.75</v>
      </c>
      <c r="C4350">
        <v>20.584240000000001</v>
      </c>
      <c r="D4350">
        <v>71</v>
      </c>
      <c r="E4350">
        <v>0</v>
      </c>
      <c r="F4350">
        <v>0</v>
      </c>
      <c r="G4350">
        <v>12</v>
      </c>
      <c r="H4350" s="4">
        <v>1570546778177</v>
      </c>
      <c r="I4350">
        <v>526.6875</v>
      </c>
      <c r="J4350" s="9">
        <f t="shared" si="67"/>
        <v>43746.916414085645</v>
      </c>
      <c r="K4350" s="1"/>
    </row>
    <row r="4351" spans="1:11" x14ac:dyDescent="0.25">
      <c r="A4351" t="e">
        <f>-LqfsX367lpcR6RFOFCO</f>
        <v>#NAME?</v>
      </c>
      <c r="B4351">
        <v>412.5</v>
      </c>
      <c r="C4351">
        <v>20.584240000000001</v>
      </c>
      <c r="D4351">
        <v>68</v>
      </c>
      <c r="E4351">
        <v>0</v>
      </c>
      <c r="F4351">
        <v>0</v>
      </c>
      <c r="G4351">
        <v>15</v>
      </c>
      <c r="H4351" s="4">
        <v>1570546785369</v>
      </c>
      <c r="I4351">
        <v>532.3125</v>
      </c>
      <c r="J4351" s="9">
        <f t="shared" si="67"/>
        <v>43746.916497326391</v>
      </c>
      <c r="K4351" s="1"/>
    </row>
    <row r="4352" spans="1:11" x14ac:dyDescent="0.25">
      <c r="A4352" t="e">
        <f>-LqfsYw6WsvlQGf1ykm4</f>
        <v>#NAME?</v>
      </c>
      <c r="B4352">
        <v>393.75</v>
      </c>
      <c r="C4352">
        <v>20.531590000000001</v>
      </c>
      <c r="D4352">
        <v>64</v>
      </c>
      <c r="E4352">
        <v>0</v>
      </c>
      <c r="F4352">
        <v>0</v>
      </c>
      <c r="G4352">
        <v>10</v>
      </c>
      <c r="H4352" s="4">
        <v>1570546791567</v>
      </c>
      <c r="I4352">
        <v>526.6875</v>
      </c>
      <c r="J4352" s="9">
        <f t="shared" si="67"/>
        <v>43746.916569062501</v>
      </c>
      <c r="K4352" s="1"/>
    </row>
    <row r="4353" spans="1:11" x14ac:dyDescent="0.25">
      <c r="A4353" t="e">
        <f>-Lqfs_ZgKNLrnwbHzUqQ</f>
        <v>#NAME?</v>
      </c>
      <c r="B4353">
        <v>393.75</v>
      </c>
      <c r="C4353">
        <v>20.531590000000001</v>
      </c>
      <c r="D4353">
        <v>63</v>
      </c>
      <c r="E4353">
        <v>0</v>
      </c>
      <c r="F4353">
        <v>0</v>
      </c>
      <c r="G4353">
        <v>17</v>
      </c>
      <c r="H4353" s="4">
        <v>1570546799839</v>
      </c>
      <c r="I4353">
        <v>526.6875</v>
      </c>
      <c r="J4353" s="9">
        <f t="shared" si="67"/>
        <v>43746.916664803233</v>
      </c>
      <c r="K4353" s="1"/>
    </row>
    <row r="4354" spans="1:11" x14ac:dyDescent="0.25">
      <c r="A4354" t="e">
        <f>-Lqfsb8MWfqpuu_o_3yM</f>
        <v>#NAME?</v>
      </c>
      <c r="B4354">
        <v>393.75</v>
      </c>
      <c r="C4354">
        <v>20.531590000000001</v>
      </c>
      <c r="D4354">
        <v>63</v>
      </c>
      <c r="E4354">
        <v>0</v>
      </c>
      <c r="F4354">
        <v>0</v>
      </c>
      <c r="G4354">
        <v>4</v>
      </c>
      <c r="H4354" s="4">
        <v>1570546805997</v>
      </c>
      <c r="I4354">
        <v>526.6875</v>
      </c>
      <c r="J4354" s="9">
        <f t="shared" si="67"/>
        <v>43746.916736076389</v>
      </c>
      <c r="K4354" s="1"/>
    </row>
    <row r="4355" spans="1:11" x14ac:dyDescent="0.25">
      <c r="A4355" t="e">
        <f>-LqfscrGUPzfr04bQ8QQ</f>
        <v>#NAME?</v>
      </c>
      <c r="B4355">
        <v>393.75</v>
      </c>
      <c r="C4355">
        <v>20.531590000000001</v>
      </c>
      <c r="D4355">
        <v>68</v>
      </c>
      <c r="E4355">
        <v>0</v>
      </c>
      <c r="F4355">
        <v>0</v>
      </c>
      <c r="G4355">
        <v>5</v>
      </c>
      <c r="H4355" s="4">
        <v>1570546813207</v>
      </c>
      <c r="I4355">
        <v>526.6875</v>
      </c>
      <c r="J4355" s="9">
        <f t="shared" ref="J4355:J4418" si="68">(H4355/86400000)+25569+(7/24)</f>
        <v>43746.916819525461</v>
      </c>
      <c r="K4355" s="1"/>
    </row>
    <row r="4356" spans="1:11" x14ac:dyDescent="0.25">
      <c r="A4356" t="e">
        <f>-Lqfsej6RG3inT2xD4h6</f>
        <v>#NAME?</v>
      </c>
      <c r="B4356">
        <v>418.75</v>
      </c>
      <c r="C4356">
        <v>20.584240000000001</v>
      </c>
      <c r="D4356">
        <v>68</v>
      </c>
      <c r="E4356">
        <v>0</v>
      </c>
      <c r="F4356">
        <v>0</v>
      </c>
      <c r="G4356">
        <v>3</v>
      </c>
      <c r="H4356" s="4">
        <v>1570546820643</v>
      </c>
      <c r="I4356">
        <v>534.375</v>
      </c>
      <c r="J4356" s="9">
        <f t="shared" si="68"/>
        <v>43746.916905590275</v>
      </c>
      <c r="K4356" s="1"/>
    </row>
    <row r="4357" spans="1:11" x14ac:dyDescent="0.25">
      <c r="A4357" t="e">
        <f>-LqfsgN6MeXqwFJhdMgY</f>
        <v>#NAME?</v>
      </c>
      <c r="B4357">
        <v>393.75</v>
      </c>
      <c r="C4357">
        <v>20.531590000000001</v>
      </c>
      <c r="D4357">
        <v>68</v>
      </c>
      <c r="E4357">
        <v>0</v>
      </c>
      <c r="F4357">
        <v>0</v>
      </c>
      <c r="G4357">
        <v>9</v>
      </c>
      <c r="H4357" s="4">
        <v>1570546827618</v>
      </c>
      <c r="I4357">
        <v>526.6875</v>
      </c>
      <c r="J4357" s="9">
        <f t="shared" si="68"/>
        <v>43746.916986319447</v>
      </c>
      <c r="K4357" s="1"/>
    </row>
    <row r="4358" spans="1:11" x14ac:dyDescent="0.25">
      <c r="A4358" t="e">
        <f>-Lqfshw5M43MDjcspO1I</f>
        <v>#NAME?</v>
      </c>
      <c r="B4358">
        <v>393.75</v>
      </c>
      <c r="C4358">
        <v>20.531590000000001</v>
      </c>
      <c r="D4358">
        <v>68</v>
      </c>
      <c r="E4358">
        <v>0</v>
      </c>
      <c r="F4358">
        <v>0</v>
      </c>
      <c r="G4358">
        <v>6</v>
      </c>
      <c r="H4358" s="4">
        <v>1570546833828</v>
      </c>
      <c r="I4358">
        <v>526.5</v>
      </c>
      <c r="J4358" s="9">
        <f t="shared" si="68"/>
        <v>43746.917058194442</v>
      </c>
      <c r="K4358" s="1"/>
    </row>
    <row r="4359" spans="1:11" x14ac:dyDescent="0.25">
      <c r="A4359" t="e">
        <f>-Lqfsje6xERrbzt1LAT7</f>
        <v>#NAME?</v>
      </c>
      <c r="B4359">
        <v>393.75</v>
      </c>
      <c r="C4359">
        <v>20.531590000000001</v>
      </c>
      <c r="D4359">
        <v>67</v>
      </c>
      <c r="E4359">
        <v>0</v>
      </c>
      <c r="F4359">
        <v>0</v>
      </c>
      <c r="G4359">
        <v>7</v>
      </c>
      <c r="H4359" s="4">
        <v>1570546841050</v>
      </c>
      <c r="I4359">
        <v>526.6875</v>
      </c>
      <c r="J4359" s="9">
        <f t="shared" si="68"/>
        <v>43746.917141782404</v>
      </c>
      <c r="K4359" s="1"/>
    </row>
    <row r="4360" spans="1:11" x14ac:dyDescent="0.25">
      <c r="A4360" t="e">
        <f>-LqfslD7KwzHhSExEzdr</f>
        <v>#NAME?</v>
      </c>
      <c r="B4360">
        <v>393.75</v>
      </c>
      <c r="C4360">
        <v>20.531590000000001</v>
      </c>
      <c r="D4360">
        <v>68</v>
      </c>
      <c r="E4360">
        <v>0</v>
      </c>
      <c r="F4360">
        <v>0</v>
      </c>
      <c r="G4360">
        <v>9</v>
      </c>
      <c r="H4360" s="4">
        <v>1570546847217</v>
      </c>
      <c r="I4360">
        <v>526.6875</v>
      </c>
      <c r="J4360" s="9">
        <f t="shared" si="68"/>
        <v>43746.917213159722</v>
      </c>
      <c r="K4360" s="1"/>
    </row>
    <row r="4361" spans="1:11" x14ac:dyDescent="0.25">
      <c r="A4361" t="e">
        <f>-Lqfsmw7RZO8EAWa-#REF!</f>
        <v>#NAME?</v>
      </c>
      <c r="B4361">
        <v>393.75</v>
      </c>
      <c r="C4361">
        <v>20.478950000000001</v>
      </c>
      <c r="D4361">
        <v>66</v>
      </c>
      <c r="E4361">
        <v>0</v>
      </c>
      <c r="F4361">
        <v>0</v>
      </c>
      <c r="G4361">
        <v>4</v>
      </c>
      <c r="H4361" s="4">
        <v>1570546854438</v>
      </c>
      <c r="I4361">
        <v>526.6875</v>
      </c>
      <c r="J4361" s="9">
        <f t="shared" si="68"/>
        <v>43746.917296736108</v>
      </c>
      <c r="K4361" s="1"/>
    </row>
    <row r="4362" spans="1:11" x14ac:dyDescent="0.25">
      <c r="A4362" t="e">
        <f>-LqfsojHUC5_wxa6Cd1n</f>
        <v>#NAME?</v>
      </c>
      <c r="B4362">
        <v>393.75</v>
      </c>
      <c r="C4362">
        <v>20.531590000000001</v>
      </c>
      <c r="D4362">
        <v>66</v>
      </c>
      <c r="E4362">
        <v>0</v>
      </c>
      <c r="F4362">
        <v>0</v>
      </c>
      <c r="G4362">
        <v>2</v>
      </c>
      <c r="H4362" s="4">
        <v>1570546861873</v>
      </c>
      <c r="I4362">
        <v>526.6875</v>
      </c>
      <c r="J4362" s="9">
        <f t="shared" si="68"/>
        <v>43746.917382789346</v>
      </c>
      <c r="K4362" s="1"/>
    </row>
    <row r="4363" spans="1:11" x14ac:dyDescent="0.25">
      <c r="A4363" t="e">
        <f>-LqfsqSJNwpd4oFU2B-u</f>
        <v>#NAME?</v>
      </c>
      <c r="B4363">
        <v>393.75</v>
      </c>
      <c r="C4363">
        <v>20.478950000000001</v>
      </c>
      <c r="D4363">
        <v>65</v>
      </c>
      <c r="E4363">
        <v>0</v>
      </c>
      <c r="F4363">
        <v>0</v>
      </c>
      <c r="G4363">
        <v>16</v>
      </c>
      <c r="H4363" s="4">
        <v>1570546868873</v>
      </c>
      <c r="I4363">
        <v>526.5</v>
      </c>
      <c r="J4363" s="9">
        <f t="shared" si="68"/>
        <v>43746.917463807869</v>
      </c>
      <c r="K4363" s="1"/>
    </row>
    <row r="4364" spans="1:11" x14ac:dyDescent="0.25">
      <c r="A4364" t="e">
        <f>-LqfsrwIobgVGf3WzPgS</f>
        <v>#NAME?</v>
      </c>
      <c r="B4364">
        <v>412.5</v>
      </c>
      <c r="C4364">
        <v>20.584240000000001</v>
      </c>
      <c r="D4364">
        <v>65</v>
      </c>
      <c r="E4364">
        <v>0</v>
      </c>
      <c r="F4364">
        <v>0</v>
      </c>
      <c r="G4364">
        <v>9</v>
      </c>
      <c r="H4364" s="4">
        <v>1570546875050</v>
      </c>
      <c r="I4364">
        <v>532.125</v>
      </c>
      <c r="J4364" s="9">
        <f t="shared" si="68"/>
        <v>43746.917535300927</v>
      </c>
      <c r="K4364" s="1"/>
    </row>
    <row r="4365" spans="1:11" x14ac:dyDescent="0.25">
      <c r="A4365" t="e">
        <f>-LqfstV7AKiUtjoFPIBU</f>
        <v>#NAME?</v>
      </c>
      <c r="B4365">
        <v>393.75</v>
      </c>
      <c r="C4365">
        <v>20.584240000000001</v>
      </c>
      <c r="D4365">
        <v>64</v>
      </c>
      <c r="E4365">
        <v>0</v>
      </c>
      <c r="F4365">
        <v>0</v>
      </c>
      <c r="G4365">
        <v>3</v>
      </c>
      <c r="H4365" s="4">
        <v>1570546881228</v>
      </c>
      <c r="I4365">
        <v>526.6875</v>
      </c>
      <c r="J4365" s="9">
        <f t="shared" si="68"/>
        <v>43746.917606805553</v>
      </c>
      <c r="K4365" s="1"/>
    </row>
    <row r="4366" spans="1:11" x14ac:dyDescent="0.25">
      <c r="A4366" t="e">
        <f>-LqfsuzI5cREWnNWbUGA</f>
        <v>#NAME?</v>
      </c>
      <c r="B4366">
        <v>393.75</v>
      </c>
      <c r="C4366">
        <v>20.531590000000001</v>
      </c>
      <c r="D4366">
        <v>64</v>
      </c>
      <c r="E4366">
        <v>0</v>
      </c>
      <c r="F4366">
        <v>0</v>
      </c>
      <c r="G4366">
        <v>10</v>
      </c>
      <c r="H4366" s="4">
        <v>1570546887408</v>
      </c>
      <c r="I4366">
        <v>526.6875</v>
      </c>
      <c r="J4366" s="9">
        <f t="shared" si="68"/>
        <v>43746.917678333331</v>
      </c>
      <c r="K4366" s="1"/>
    </row>
    <row r="4367" spans="1:11" x14ac:dyDescent="0.25">
      <c r="A4367" t="e">
        <f>-Lqfswm8iOQyEm7zy8gJ</f>
        <v>#NAME?</v>
      </c>
      <c r="B4367">
        <v>393.75</v>
      </c>
      <c r="C4367">
        <v>20.478950000000001</v>
      </c>
      <c r="D4367">
        <v>66</v>
      </c>
      <c r="E4367">
        <v>0</v>
      </c>
      <c r="F4367">
        <v>0</v>
      </c>
      <c r="G4367">
        <v>9</v>
      </c>
      <c r="H4367" s="4">
        <v>1570546894659</v>
      </c>
      <c r="I4367">
        <v>526.6875</v>
      </c>
      <c r="J4367" s="9">
        <f t="shared" si="68"/>
        <v>43746.91776225694</v>
      </c>
      <c r="K4367" s="1"/>
    </row>
    <row r="4368" spans="1:11" x14ac:dyDescent="0.25">
      <c r="A4368" t="e">
        <f>-LqfsyV8PuC5Xz-qDpxA</f>
        <v>#NAME?</v>
      </c>
      <c r="B4368">
        <v>393.75</v>
      </c>
      <c r="C4368">
        <v>20.531590000000001</v>
      </c>
      <c r="D4368">
        <v>64</v>
      </c>
      <c r="E4368">
        <v>0</v>
      </c>
      <c r="F4368">
        <v>0</v>
      </c>
      <c r="G4368">
        <v>1</v>
      </c>
      <c r="H4368" s="4">
        <v>1570546901852</v>
      </c>
      <c r="I4368">
        <v>526.6875</v>
      </c>
      <c r="J4368" s="9">
        <f t="shared" si="68"/>
        <v>43746.917845509255</v>
      </c>
      <c r="K4368" s="1"/>
    </row>
    <row r="4369" spans="1:11" x14ac:dyDescent="0.25">
      <c r="A4369" t="s">
        <v>237</v>
      </c>
      <c r="B4369">
        <v>393.75</v>
      </c>
      <c r="C4369">
        <v>20.531590000000001</v>
      </c>
      <c r="D4369">
        <v>65</v>
      </c>
      <c r="E4369">
        <v>0</v>
      </c>
      <c r="F4369">
        <v>0</v>
      </c>
      <c r="G4369">
        <v>7</v>
      </c>
      <c r="H4369" s="4">
        <v>1570546908028</v>
      </c>
      <c r="I4369">
        <v>526.6875</v>
      </c>
      <c r="J4369" s="9">
        <f t="shared" si="68"/>
        <v>43746.917916990737</v>
      </c>
      <c r="K4369" s="1"/>
    </row>
    <row r="4370" spans="1:11" x14ac:dyDescent="0.25">
      <c r="A4370" t="e">
        <f>-Lqft0mHhYeM9ja194Fn</f>
        <v>#NAME?</v>
      </c>
      <c r="B4370">
        <v>393.75</v>
      </c>
      <c r="C4370">
        <v>20.478950000000001</v>
      </c>
      <c r="D4370">
        <v>71</v>
      </c>
      <c r="E4370">
        <v>0</v>
      </c>
      <c r="F4370">
        <v>0</v>
      </c>
      <c r="G4370">
        <v>4</v>
      </c>
      <c r="H4370" s="4">
        <v>1570546915240</v>
      </c>
      <c r="I4370">
        <v>526.5</v>
      </c>
      <c r="J4370" s="9">
        <f t="shared" si="68"/>
        <v>43746.91800046296</v>
      </c>
      <c r="K4370" s="1"/>
    </row>
    <row r="4371" spans="1:11" x14ac:dyDescent="0.25">
      <c r="A4371" t="e">
        <f>-Lqft2_943MWLdyCTH6B</f>
        <v>#NAME?</v>
      </c>
      <c r="B4371">
        <v>393.75</v>
      </c>
      <c r="C4371">
        <v>20.584240000000001</v>
      </c>
      <c r="D4371">
        <v>68</v>
      </c>
      <c r="E4371">
        <v>0</v>
      </c>
      <c r="F4371">
        <v>0</v>
      </c>
      <c r="G4371">
        <v>10</v>
      </c>
      <c r="H4371" s="4">
        <v>1570546922460</v>
      </c>
      <c r="I4371">
        <v>526.6875</v>
      </c>
      <c r="J4371" s="9">
        <f t="shared" si="68"/>
        <v>43746.918084027777</v>
      </c>
      <c r="K4371" s="1"/>
    </row>
    <row r="4372" spans="1:11" x14ac:dyDescent="0.25">
      <c r="A4372" t="e">
        <f>-Lqft4I8eHUpM8dPzKZK</f>
        <v>#NAME?</v>
      </c>
      <c r="B4372">
        <v>393.75</v>
      </c>
      <c r="C4372">
        <v>20.531590000000001</v>
      </c>
      <c r="D4372">
        <v>68</v>
      </c>
      <c r="E4372">
        <v>0</v>
      </c>
      <c r="F4372">
        <v>0</v>
      </c>
      <c r="G4372">
        <v>11</v>
      </c>
      <c r="H4372" s="4">
        <v>1570546929688</v>
      </c>
      <c r="I4372">
        <v>526.6875</v>
      </c>
      <c r="J4372" s="9">
        <f t="shared" si="68"/>
        <v>43746.91816768518</v>
      </c>
      <c r="K4372" s="1"/>
    </row>
    <row r="4373" spans="1:11" x14ac:dyDescent="0.25">
      <c r="A4373" t="e">
        <f>-Lqft5raXzNZhRQ3ib5H</f>
        <v>#NAME?</v>
      </c>
      <c r="B4373">
        <v>393.75</v>
      </c>
      <c r="C4373">
        <v>20.584240000000001</v>
      </c>
      <c r="D4373">
        <v>66</v>
      </c>
      <c r="E4373">
        <v>0</v>
      </c>
      <c r="F4373">
        <v>0</v>
      </c>
      <c r="G4373">
        <v>15</v>
      </c>
      <c r="H4373" s="4">
        <v>1570546935859</v>
      </c>
      <c r="I4373">
        <v>526.6875</v>
      </c>
      <c r="J4373" s="9">
        <f t="shared" si="68"/>
        <v>43746.918239108789</v>
      </c>
      <c r="K4373" s="1"/>
    </row>
    <row r="4374" spans="1:11" x14ac:dyDescent="0.25">
      <c r="A4374" t="e">
        <f>-Lqft7_CbSSOG4DPCa21</f>
        <v>#NAME?</v>
      </c>
      <c r="B4374">
        <v>393.75</v>
      </c>
      <c r="C4374">
        <v>20.584240000000001</v>
      </c>
      <c r="D4374">
        <v>66</v>
      </c>
      <c r="E4374">
        <v>0</v>
      </c>
      <c r="F4374">
        <v>0</v>
      </c>
      <c r="G4374">
        <v>9</v>
      </c>
      <c r="H4374" s="4">
        <v>1570546943070</v>
      </c>
      <c r="I4374">
        <v>526.6875</v>
      </c>
      <c r="J4374" s="9">
        <f t="shared" si="68"/>
        <v>43746.918322569443</v>
      </c>
      <c r="K4374" s="1"/>
    </row>
    <row r="4375" spans="1:11" x14ac:dyDescent="0.25">
      <c r="A4375" t="e">
        <f>-Lqft93Akz36BZNmNwxV</f>
        <v>#NAME?</v>
      </c>
      <c r="B4375">
        <v>393.75</v>
      </c>
      <c r="C4375">
        <v>20.584240000000001</v>
      </c>
      <c r="D4375">
        <v>65</v>
      </c>
      <c r="E4375">
        <v>0</v>
      </c>
      <c r="F4375">
        <v>0</v>
      </c>
      <c r="G4375">
        <v>9</v>
      </c>
      <c r="H4375" s="4">
        <v>1570546949269</v>
      </c>
      <c r="I4375">
        <v>526.6875</v>
      </c>
      <c r="J4375" s="9">
        <f t="shared" si="68"/>
        <v>43746.91839431713</v>
      </c>
      <c r="K4375" s="1"/>
    </row>
    <row r="4376" spans="1:11" x14ac:dyDescent="0.25">
      <c r="A4376" t="e">
        <f>-LqftAcCAJ3H3wbMNoMh</f>
        <v>#NAME?</v>
      </c>
      <c r="B4376">
        <v>412.5</v>
      </c>
      <c r="C4376">
        <v>20.531590000000001</v>
      </c>
      <c r="D4376">
        <v>65</v>
      </c>
      <c r="E4376">
        <v>0</v>
      </c>
      <c r="F4376">
        <v>0</v>
      </c>
      <c r="G4376">
        <v>12</v>
      </c>
      <c r="H4376" s="4">
        <v>1570546955428</v>
      </c>
      <c r="I4376">
        <v>532.5</v>
      </c>
      <c r="J4376" s="9">
        <f t="shared" si="68"/>
        <v>43746.918465601848</v>
      </c>
      <c r="K4376" s="1"/>
    </row>
    <row r="4377" spans="1:11" x14ac:dyDescent="0.25">
      <c r="A4377" t="e">
        <f>-LqftCL9SF6h_-gdzHXl</f>
        <v>#NAME?</v>
      </c>
      <c r="B4377">
        <v>393.75</v>
      </c>
      <c r="C4377">
        <v>20.531590000000001</v>
      </c>
      <c r="D4377">
        <v>64</v>
      </c>
      <c r="E4377">
        <v>0</v>
      </c>
      <c r="F4377">
        <v>0</v>
      </c>
      <c r="G4377">
        <v>0</v>
      </c>
      <c r="H4377" s="4">
        <v>1570546962649</v>
      </c>
      <c r="I4377">
        <v>526.6875</v>
      </c>
      <c r="J4377" s="9">
        <f t="shared" si="68"/>
        <v>43746.918549178234</v>
      </c>
      <c r="K4377" s="1"/>
    </row>
    <row r="4378" spans="1:11" x14ac:dyDescent="0.25">
      <c r="A4378" t="e">
        <f>-LqftDuAccKKz0PgS7xb</f>
        <v>#NAME?</v>
      </c>
      <c r="B4378">
        <v>393.75</v>
      </c>
      <c r="C4378">
        <v>20.478950000000001</v>
      </c>
      <c r="D4378">
        <v>64</v>
      </c>
      <c r="E4378">
        <v>0</v>
      </c>
      <c r="F4378">
        <v>0</v>
      </c>
      <c r="G4378">
        <v>10</v>
      </c>
      <c r="H4378" s="4">
        <v>1570546968830</v>
      </c>
      <c r="I4378">
        <v>526.6875</v>
      </c>
      <c r="J4378" s="9">
        <f t="shared" si="68"/>
        <v>43746.918620717588</v>
      </c>
      <c r="K4378" s="1"/>
    </row>
    <row r="4379" spans="1:11" x14ac:dyDescent="0.25">
      <c r="A4379" t="e">
        <f>-LqftFc798VzkYJl82HA</f>
        <v>#NAME?</v>
      </c>
      <c r="B4379">
        <v>393.75</v>
      </c>
      <c r="C4379">
        <v>20.478950000000001</v>
      </c>
      <c r="D4379">
        <v>64</v>
      </c>
      <c r="E4379">
        <v>0</v>
      </c>
      <c r="F4379">
        <v>0</v>
      </c>
      <c r="G4379">
        <v>10</v>
      </c>
      <c r="H4379" s="4">
        <v>1570546976049</v>
      </c>
      <c r="I4379">
        <v>526.6875</v>
      </c>
      <c r="J4379" s="9">
        <f t="shared" si="68"/>
        <v>43746.918704270829</v>
      </c>
      <c r="K4379" s="1"/>
    </row>
    <row r="4380" spans="1:11" x14ac:dyDescent="0.25">
      <c r="A4380" t="s">
        <v>238</v>
      </c>
      <c r="B4380">
        <v>393.75</v>
      </c>
      <c r="C4380">
        <v>20.531590000000001</v>
      </c>
      <c r="D4380">
        <v>65</v>
      </c>
      <c r="E4380">
        <v>0</v>
      </c>
      <c r="F4380">
        <v>0</v>
      </c>
      <c r="G4380">
        <v>12</v>
      </c>
      <c r="H4380" s="4">
        <v>1570546982238</v>
      </c>
      <c r="I4380">
        <v>526.6875</v>
      </c>
      <c r="J4380" s="9">
        <f t="shared" si="68"/>
        <v>43746.918775902777</v>
      </c>
      <c r="K4380" s="1"/>
    </row>
    <row r="4381" spans="1:11" x14ac:dyDescent="0.25">
      <c r="A4381" t="e">
        <f>-LqftIf7vbUjY9cBct8c</f>
        <v>#NAME?</v>
      </c>
      <c r="B4381">
        <v>393.75</v>
      </c>
      <c r="C4381">
        <v>20.531590000000001</v>
      </c>
      <c r="D4381">
        <v>66</v>
      </c>
      <c r="E4381">
        <v>0</v>
      </c>
      <c r="F4381">
        <v>0</v>
      </c>
      <c r="G4381">
        <v>15</v>
      </c>
      <c r="H4381" s="4">
        <v>1570546988408</v>
      </c>
      <c r="I4381">
        <v>526.5</v>
      </c>
      <c r="J4381" s="9">
        <f t="shared" si="68"/>
        <v>43746.918847314817</v>
      </c>
      <c r="K4381" s="1"/>
    </row>
    <row r="4382" spans="1:11" x14ac:dyDescent="0.25">
      <c r="A4382" t="e">
        <f>-LqftKO7JksCL6DalPrv</f>
        <v>#NAME?</v>
      </c>
      <c r="B4382">
        <v>393.75</v>
      </c>
      <c r="C4382">
        <v>20.584240000000001</v>
      </c>
      <c r="D4382">
        <v>63</v>
      </c>
      <c r="E4382">
        <v>0</v>
      </c>
      <c r="F4382">
        <v>0</v>
      </c>
      <c r="G4382">
        <v>6</v>
      </c>
      <c r="H4382" s="4">
        <v>1570546995611</v>
      </c>
      <c r="I4382">
        <v>526.6875</v>
      </c>
      <c r="J4382" s="9">
        <f t="shared" si="68"/>
        <v>43746.91893068287</v>
      </c>
      <c r="K4382" s="1"/>
    </row>
    <row r="4383" spans="1:11" x14ac:dyDescent="0.25">
      <c r="A4383" t="s">
        <v>239</v>
      </c>
      <c r="B4383">
        <v>393.75</v>
      </c>
      <c r="C4383">
        <v>20.531590000000001</v>
      </c>
      <c r="D4383">
        <v>63</v>
      </c>
      <c r="E4383">
        <v>0</v>
      </c>
      <c r="F4383">
        <v>0</v>
      </c>
      <c r="G4383">
        <v>14</v>
      </c>
      <c r="H4383" s="4">
        <v>1570547001808</v>
      </c>
      <c r="I4383">
        <v>526.6875</v>
      </c>
      <c r="J4383" s="9">
        <f t="shared" si="68"/>
        <v>43746.919002407405</v>
      </c>
      <c r="K4383" s="1"/>
    </row>
    <row r="4384" spans="1:11" x14ac:dyDescent="0.25">
      <c r="A4384" t="e">
        <f>-LqftNf8nsGhC0EUKWaw</f>
        <v>#NAME?</v>
      </c>
      <c r="B4384">
        <v>393.75</v>
      </c>
      <c r="C4384">
        <v>20.584240000000001</v>
      </c>
      <c r="D4384">
        <v>64</v>
      </c>
      <c r="E4384">
        <v>0</v>
      </c>
      <c r="F4384">
        <v>0</v>
      </c>
      <c r="G4384">
        <v>7</v>
      </c>
      <c r="H4384" s="4">
        <v>1570547009018</v>
      </c>
      <c r="I4384">
        <v>526.6875</v>
      </c>
      <c r="J4384" s="9">
        <f t="shared" si="68"/>
        <v>43746.919085856476</v>
      </c>
      <c r="K4384" s="1"/>
    </row>
    <row r="4385" spans="1:11" x14ac:dyDescent="0.25">
      <c r="A4385" t="e">
        <f>-LqftP9HcLfW_7kIDm5k</f>
        <v>#NAME?</v>
      </c>
      <c r="B4385">
        <v>393.75</v>
      </c>
      <c r="C4385">
        <v>20.584240000000001</v>
      </c>
      <c r="D4385">
        <v>64</v>
      </c>
      <c r="E4385">
        <v>0</v>
      </c>
      <c r="F4385">
        <v>0</v>
      </c>
      <c r="G4385">
        <v>6</v>
      </c>
      <c r="H4385" s="4">
        <v>1570547015209</v>
      </c>
      <c r="I4385">
        <v>526.6875</v>
      </c>
      <c r="J4385" s="9">
        <f t="shared" si="68"/>
        <v>43746.919157511576</v>
      </c>
      <c r="K4385" s="1"/>
    </row>
    <row r="4386" spans="1:11" x14ac:dyDescent="0.25">
      <c r="A4386" t="e">
        <f>-LqftQo3hQRATKve9ZyD</f>
        <v>#NAME?</v>
      </c>
      <c r="B4386">
        <v>393.75</v>
      </c>
      <c r="C4386">
        <v>20.531590000000001</v>
      </c>
      <c r="D4386">
        <v>65</v>
      </c>
      <c r="E4386">
        <v>0</v>
      </c>
      <c r="F4386">
        <v>0</v>
      </c>
      <c r="G4386">
        <v>7</v>
      </c>
      <c r="H4386" s="4">
        <v>1570547021827</v>
      </c>
      <c r="I4386">
        <v>526.6875</v>
      </c>
      <c r="J4386" s="9">
        <f t="shared" si="68"/>
        <v>43746.919234108798</v>
      </c>
      <c r="K4386" s="1"/>
    </row>
    <row r="4387" spans="1:11" x14ac:dyDescent="0.25">
      <c r="A4387" t="e">
        <f>-LqftSR8sc-MmqpuZgVP</f>
        <v>#NAME?</v>
      </c>
      <c r="B4387">
        <v>393.75</v>
      </c>
      <c r="C4387">
        <v>20.531590000000001</v>
      </c>
      <c r="D4387">
        <v>64</v>
      </c>
      <c r="E4387">
        <v>0</v>
      </c>
      <c r="F4387">
        <v>0</v>
      </c>
      <c r="G4387">
        <v>5</v>
      </c>
      <c r="H4387" s="4">
        <v>1570547028578</v>
      </c>
      <c r="I4387">
        <v>526.5</v>
      </c>
      <c r="J4387" s="9">
        <f t="shared" si="68"/>
        <v>43746.919312245365</v>
      </c>
      <c r="K4387" s="1"/>
    </row>
    <row r="4388" spans="1:11" x14ac:dyDescent="0.25">
      <c r="A4388" t="s">
        <v>240</v>
      </c>
      <c r="B4388">
        <v>393.75</v>
      </c>
      <c r="C4388">
        <v>20.531590000000001</v>
      </c>
      <c r="D4388">
        <v>65</v>
      </c>
      <c r="E4388">
        <v>0</v>
      </c>
      <c r="F4388">
        <v>0</v>
      </c>
      <c r="G4388">
        <v>7</v>
      </c>
      <c r="H4388" s="4">
        <v>1570547034778</v>
      </c>
      <c r="I4388">
        <v>526.6875</v>
      </c>
      <c r="J4388" s="9">
        <f t="shared" si="68"/>
        <v>43746.919384004628</v>
      </c>
      <c r="K4388" s="1"/>
    </row>
    <row r="4389" spans="1:11" x14ac:dyDescent="0.25">
      <c r="A4389" t="e">
        <f>-LqftViDZTMXwAhWBBxJ</f>
        <v>#NAME?</v>
      </c>
      <c r="B4389">
        <v>393.75</v>
      </c>
      <c r="C4389">
        <v>20.531590000000001</v>
      </c>
      <c r="D4389">
        <v>68</v>
      </c>
      <c r="E4389">
        <v>0</v>
      </c>
      <c r="F4389">
        <v>0</v>
      </c>
      <c r="G4389">
        <v>9</v>
      </c>
      <c r="H4389" s="4">
        <v>1570547042011</v>
      </c>
      <c r="I4389">
        <v>526.6875</v>
      </c>
      <c r="J4389" s="9">
        <f t="shared" si="68"/>
        <v>43746.919467719905</v>
      </c>
      <c r="K4389" s="1"/>
    </row>
    <row r="4390" spans="1:11" x14ac:dyDescent="0.25">
      <c r="A4390" t="e">
        <f>-LqftXH7k6JWRsl7I9gy</f>
        <v>#NAME?</v>
      </c>
      <c r="B4390">
        <v>393.75</v>
      </c>
      <c r="C4390">
        <v>20.531590000000001</v>
      </c>
      <c r="D4390">
        <v>68</v>
      </c>
      <c r="E4390">
        <v>0</v>
      </c>
      <c r="F4390">
        <v>0</v>
      </c>
      <c r="G4390">
        <v>0</v>
      </c>
      <c r="H4390" s="4">
        <v>1570547048183</v>
      </c>
      <c r="I4390">
        <v>526.6875</v>
      </c>
      <c r="J4390" s="9">
        <f t="shared" si="68"/>
        <v>43746.919539155089</v>
      </c>
      <c r="K4390" s="1"/>
    </row>
    <row r="4391" spans="1:11" x14ac:dyDescent="0.25">
      <c r="A4391" t="s">
        <v>241</v>
      </c>
      <c r="B4391">
        <v>393.75</v>
      </c>
      <c r="C4391">
        <v>20.531590000000001</v>
      </c>
      <c r="D4391">
        <v>67</v>
      </c>
      <c r="E4391">
        <v>0</v>
      </c>
      <c r="F4391">
        <v>0</v>
      </c>
      <c r="G4391">
        <v>7</v>
      </c>
      <c r="H4391" s="4">
        <v>1570547055398</v>
      </c>
      <c r="I4391">
        <v>526.6875</v>
      </c>
      <c r="J4391" s="9">
        <f t="shared" si="68"/>
        <v>43746.919622662033</v>
      </c>
      <c r="K4391" s="1"/>
    </row>
    <row r="4392" spans="1:11" x14ac:dyDescent="0.25">
      <c r="A4392" t="e">
        <f>-Lqft_Z8znUPm7BrYl-1</f>
        <v>#NAME?</v>
      </c>
      <c r="B4392">
        <v>393.75</v>
      </c>
      <c r="C4392">
        <v>20.584240000000001</v>
      </c>
      <c r="D4392">
        <v>68</v>
      </c>
      <c r="E4392">
        <v>0</v>
      </c>
      <c r="F4392">
        <v>0</v>
      </c>
      <c r="G4392">
        <v>12</v>
      </c>
      <c r="H4392" s="4">
        <v>1570547061724</v>
      </c>
      <c r="I4392">
        <v>526.5</v>
      </c>
      <c r="J4392" s="9">
        <f t="shared" si="68"/>
        <v>43746.919695879631</v>
      </c>
      <c r="K4392" s="1"/>
    </row>
    <row r="4393" spans="1:11" x14ac:dyDescent="0.25">
      <c r="A4393" t="e">
        <f>-LqftbG2xpjLmXSzfgdl</f>
        <v>#NAME?</v>
      </c>
      <c r="B4393">
        <v>393.75</v>
      </c>
      <c r="C4393">
        <v>20.531590000000001</v>
      </c>
      <c r="D4393">
        <v>68</v>
      </c>
      <c r="E4393">
        <v>0</v>
      </c>
      <c r="F4393">
        <v>0</v>
      </c>
      <c r="G4393">
        <v>3</v>
      </c>
      <c r="H4393" s="4">
        <v>1570547068799</v>
      </c>
      <c r="I4393">
        <v>526.5</v>
      </c>
      <c r="J4393" s="9">
        <f t="shared" si="68"/>
        <v>43746.919777766198</v>
      </c>
      <c r="K4393" s="1"/>
    </row>
    <row r="4394" spans="1:11" x14ac:dyDescent="0.25">
      <c r="A4394" t="e">
        <f>-LqftczMyaShAan2nJ81</f>
        <v>#NAME?</v>
      </c>
      <c r="B4394">
        <v>393.75</v>
      </c>
      <c r="C4394">
        <v>20.478950000000001</v>
      </c>
      <c r="D4394">
        <v>68</v>
      </c>
      <c r="E4394">
        <v>0</v>
      </c>
      <c r="F4394">
        <v>0</v>
      </c>
      <c r="G4394">
        <v>11</v>
      </c>
      <c r="H4394" s="4">
        <v>1570547075999</v>
      </c>
      <c r="I4394">
        <v>526.6875</v>
      </c>
      <c r="J4394" s="9">
        <f t="shared" si="68"/>
        <v>43746.91986109953</v>
      </c>
      <c r="K4394" s="1"/>
    </row>
    <row r="4395" spans="1:11" x14ac:dyDescent="0.25">
      <c r="A4395" t="e">
        <f>-Lqftephlx7Nw1dCb4-S</f>
        <v>#NAME?</v>
      </c>
      <c r="B4395">
        <v>393.75</v>
      </c>
      <c r="C4395">
        <v>20.584240000000001</v>
      </c>
      <c r="D4395">
        <v>67</v>
      </c>
      <c r="E4395">
        <v>0</v>
      </c>
      <c r="F4395">
        <v>0</v>
      </c>
      <c r="G4395">
        <v>6</v>
      </c>
      <c r="H4395" s="4">
        <v>1570547082190</v>
      </c>
      <c r="I4395">
        <v>526.6875</v>
      </c>
      <c r="J4395" s="9">
        <f t="shared" si="68"/>
        <v>43746.91993275463</v>
      </c>
      <c r="K4395" s="1"/>
    </row>
    <row r="4396" spans="1:11" x14ac:dyDescent="0.25">
      <c r="A4396" t="e">
        <f>-Lqftga1hYLYtLbPurpP</f>
        <v>#NAME?</v>
      </c>
      <c r="B4396">
        <v>393.75</v>
      </c>
      <c r="C4396">
        <v>20.531590000000001</v>
      </c>
      <c r="D4396">
        <v>67</v>
      </c>
      <c r="E4396">
        <v>0</v>
      </c>
      <c r="F4396">
        <v>0</v>
      </c>
      <c r="G4396">
        <v>6</v>
      </c>
      <c r="H4396" s="4">
        <v>1570547090422</v>
      </c>
      <c r="I4396">
        <v>526.6875</v>
      </c>
      <c r="J4396" s="9">
        <f t="shared" si="68"/>
        <v>43746.920028032408</v>
      </c>
      <c r="K4396" s="1"/>
    </row>
    <row r="4397" spans="1:11" x14ac:dyDescent="0.25">
      <c r="A4397" t="e">
        <f>-LqftiHx61uhDilVzXyY</f>
        <v>#NAME?</v>
      </c>
      <c r="B4397">
        <v>393.75</v>
      </c>
      <c r="C4397">
        <v>20.584240000000001</v>
      </c>
      <c r="D4397">
        <v>65</v>
      </c>
      <c r="E4397">
        <v>0</v>
      </c>
      <c r="F4397">
        <v>0</v>
      </c>
      <c r="G4397">
        <v>3</v>
      </c>
      <c r="H4397" s="4">
        <v>1570547097643</v>
      </c>
      <c r="I4397">
        <v>526.5</v>
      </c>
      <c r="J4397" s="9">
        <f t="shared" si="68"/>
        <v>43746.920111608793</v>
      </c>
      <c r="K4397" s="1"/>
    </row>
    <row r="4398" spans="1:11" x14ac:dyDescent="0.25">
      <c r="A4398" t="e">
        <f>-Lqftjlw5oyESQnGW4Sh</f>
        <v>#NAME?</v>
      </c>
      <c r="B4398">
        <v>393.75</v>
      </c>
      <c r="C4398">
        <v>20.531590000000001</v>
      </c>
      <c r="D4398">
        <v>65</v>
      </c>
      <c r="E4398">
        <v>0</v>
      </c>
      <c r="F4398">
        <v>0</v>
      </c>
      <c r="G4398">
        <v>14</v>
      </c>
      <c r="H4398" s="4">
        <v>1570547103825</v>
      </c>
      <c r="I4398">
        <v>526.6875</v>
      </c>
      <c r="J4398" s="9">
        <f t="shared" si="68"/>
        <v>43746.920183159724</v>
      </c>
      <c r="K4398" s="1"/>
    </row>
    <row r="4399" spans="1:11" x14ac:dyDescent="0.25">
      <c r="A4399" t="e">
        <f>-LqftlMBmiUCqRe1xdrQ</f>
        <v>#NAME?</v>
      </c>
      <c r="B4399">
        <v>393.75</v>
      </c>
      <c r="C4399">
        <v>20.584240000000001</v>
      </c>
      <c r="D4399">
        <v>65</v>
      </c>
      <c r="E4399">
        <v>0</v>
      </c>
      <c r="F4399">
        <v>0</v>
      </c>
      <c r="G4399">
        <v>8</v>
      </c>
      <c r="H4399" s="4">
        <v>1570547110013</v>
      </c>
      <c r="I4399">
        <v>526.6875</v>
      </c>
      <c r="J4399" s="9">
        <f t="shared" si="68"/>
        <v>43746.920254780089</v>
      </c>
      <c r="K4399" s="1"/>
    </row>
    <row r="4400" spans="1:11" x14ac:dyDescent="0.25">
      <c r="A4400" t="e">
        <f>-Lqftn1rpqkQcBKAvBfu</f>
        <v>#NAME?</v>
      </c>
      <c r="B4400">
        <v>412.5</v>
      </c>
      <c r="C4400">
        <v>20.584240000000001</v>
      </c>
      <c r="D4400">
        <v>67</v>
      </c>
      <c r="E4400">
        <v>0</v>
      </c>
      <c r="F4400">
        <v>0</v>
      </c>
      <c r="G4400">
        <v>12</v>
      </c>
      <c r="H4400" s="4">
        <v>1570547117203</v>
      </c>
      <c r="I4400">
        <v>532.3125</v>
      </c>
      <c r="J4400" s="9">
        <f t="shared" si="68"/>
        <v>43746.920337997683</v>
      </c>
      <c r="K4400" s="1"/>
    </row>
    <row r="4401" spans="1:11" x14ac:dyDescent="0.25">
      <c r="A4401" t="e">
        <f>-Lqftobxh_GXHsPkanQC</f>
        <v>#NAME?</v>
      </c>
      <c r="B4401">
        <v>393.75</v>
      </c>
      <c r="C4401">
        <v>20.531590000000001</v>
      </c>
      <c r="D4401">
        <v>67</v>
      </c>
      <c r="E4401">
        <v>0</v>
      </c>
      <c r="F4401">
        <v>0</v>
      </c>
      <c r="G4401">
        <v>11</v>
      </c>
      <c r="H4401" s="4">
        <v>1570547123415</v>
      </c>
      <c r="I4401">
        <v>526.6875</v>
      </c>
      <c r="J4401" s="9">
        <f t="shared" si="68"/>
        <v>43746.920409895836</v>
      </c>
      <c r="K4401" s="1"/>
    </row>
    <row r="4402" spans="1:11" x14ac:dyDescent="0.25">
      <c r="A4402" t="e">
        <f>-Lqftq5n31hwQuQ3zvsu</f>
        <v>#NAME?</v>
      </c>
      <c r="B4402">
        <v>393.75</v>
      </c>
      <c r="C4402">
        <v>20.478950000000001</v>
      </c>
      <c r="D4402">
        <v>67</v>
      </c>
      <c r="E4402">
        <v>0</v>
      </c>
      <c r="F4402">
        <v>0</v>
      </c>
      <c r="G4402">
        <v>9</v>
      </c>
      <c r="H4402" s="4">
        <v>1570547129594</v>
      </c>
      <c r="I4402">
        <v>526.6875</v>
      </c>
      <c r="J4402" s="9">
        <f t="shared" si="68"/>
        <v>43746.920481412038</v>
      </c>
      <c r="K4402" s="1"/>
    </row>
    <row r="4403" spans="1:11" x14ac:dyDescent="0.25">
      <c r="A4403" t="e">
        <f>-LqftrZiToj_L-f77ivs</f>
        <v>#NAME?</v>
      </c>
      <c r="B4403">
        <v>393.75</v>
      </c>
      <c r="C4403">
        <v>20.584240000000001</v>
      </c>
      <c r="D4403">
        <v>67</v>
      </c>
      <c r="E4403">
        <v>0</v>
      </c>
      <c r="F4403">
        <v>0</v>
      </c>
      <c r="G4403">
        <v>5</v>
      </c>
      <c r="H4403" s="4">
        <v>1570547135763</v>
      </c>
      <c r="I4403">
        <v>526.6875</v>
      </c>
      <c r="J4403" s="9">
        <f t="shared" si="68"/>
        <v>43746.920552812495</v>
      </c>
      <c r="K4403" s="1"/>
    </row>
    <row r="4404" spans="1:11" x14ac:dyDescent="0.25">
      <c r="A4404" t="e">
        <f>-Lqftt8we3Tipo0aQpgG</f>
        <v>#NAME?</v>
      </c>
      <c r="B4404">
        <v>393.75</v>
      </c>
      <c r="C4404">
        <v>20.531590000000001</v>
      </c>
      <c r="D4404">
        <v>67</v>
      </c>
      <c r="E4404">
        <v>0</v>
      </c>
      <c r="F4404">
        <v>0</v>
      </c>
      <c r="G4404">
        <v>11</v>
      </c>
      <c r="H4404" s="4">
        <v>1570547141962</v>
      </c>
      <c r="I4404">
        <v>526.6875</v>
      </c>
      <c r="J4404" s="9">
        <f t="shared" si="68"/>
        <v>43746.920624560182</v>
      </c>
      <c r="K4404" s="1"/>
    </row>
    <row r="4405" spans="1:11" x14ac:dyDescent="0.25">
      <c r="A4405" t="e">
        <f>-LqftucxXDlfGkNbvUuR</f>
        <v>#NAME?</v>
      </c>
      <c r="B4405">
        <v>393.75</v>
      </c>
      <c r="C4405">
        <v>20.531590000000001</v>
      </c>
      <c r="D4405">
        <v>67</v>
      </c>
      <c r="E4405">
        <v>0</v>
      </c>
      <c r="F4405">
        <v>0</v>
      </c>
      <c r="G4405">
        <v>3</v>
      </c>
      <c r="H4405" s="4">
        <v>1570547148124</v>
      </c>
      <c r="I4405">
        <v>526.6875</v>
      </c>
      <c r="J4405" s="9">
        <f t="shared" si="68"/>
        <v>43746.920695879628</v>
      </c>
      <c r="K4405" s="1"/>
    </row>
    <row r="4406" spans="1:11" x14ac:dyDescent="0.25">
      <c r="A4406" t="e">
        <f>-Lqftw81NwfkvYKjhiQG</f>
        <v>#NAME?</v>
      </c>
      <c r="B4406">
        <v>393.75</v>
      </c>
      <c r="C4406">
        <v>20.584240000000001</v>
      </c>
      <c r="D4406">
        <v>67</v>
      </c>
      <c r="E4406">
        <v>0</v>
      </c>
      <c r="F4406">
        <v>0</v>
      </c>
      <c r="G4406">
        <v>15</v>
      </c>
      <c r="H4406" s="4">
        <v>1570547154335</v>
      </c>
      <c r="I4406">
        <v>526.6875</v>
      </c>
      <c r="J4406" s="9">
        <f t="shared" si="68"/>
        <v>43746.920767766198</v>
      </c>
      <c r="K4406" s="1"/>
    </row>
    <row r="4407" spans="1:11" x14ac:dyDescent="0.25">
      <c r="A4407" t="e">
        <f>-LqftxiHOryrqyR2pFKG</f>
        <v>#NAME?</v>
      </c>
      <c r="B4407">
        <v>393.75</v>
      </c>
      <c r="C4407">
        <v>20.478950000000001</v>
      </c>
      <c r="D4407">
        <v>67</v>
      </c>
      <c r="E4407">
        <v>0</v>
      </c>
      <c r="F4407">
        <v>0</v>
      </c>
      <c r="G4407">
        <v>6</v>
      </c>
      <c r="H4407" s="4">
        <v>1570547160512</v>
      </c>
      <c r="I4407">
        <v>526.6875</v>
      </c>
      <c r="J4407" s="9">
        <f t="shared" si="68"/>
        <v>43746.920839259255</v>
      </c>
      <c r="K4407" s="1"/>
    </row>
    <row r="4408" spans="1:11" x14ac:dyDescent="0.25">
      <c r="A4408" t="e">
        <f>-Lqftz_2i5npMIzpPNgk</f>
        <v>#NAME?</v>
      </c>
      <c r="B4408">
        <v>393.75</v>
      </c>
      <c r="C4408">
        <v>20.531590000000001</v>
      </c>
      <c r="D4408">
        <v>67</v>
      </c>
      <c r="E4408">
        <v>0</v>
      </c>
      <c r="F4408">
        <v>0</v>
      </c>
      <c r="G4408">
        <v>12</v>
      </c>
      <c r="H4408" s="4">
        <v>1570547168288</v>
      </c>
      <c r="I4408">
        <v>526.6875</v>
      </c>
      <c r="J4408" s="9">
        <f t="shared" si="68"/>
        <v>43746.920929259257</v>
      </c>
      <c r="K4408" s="1"/>
    </row>
    <row r="4409" spans="1:11" x14ac:dyDescent="0.25">
      <c r="A4409" t="e">
        <f>-Lqfu0ByllgiU9rMu0MT</f>
        <v>#NAME?</v>
      </c>
      <c r="B4409">
        <v>393.75</v>
      </c>
      <c r="C4409">
        <v>20.531590000000001</v>
      </c>
      <c r="D4409">
        <v>67</v>
      </c>
      <c r="E4409">
        <v>0</v>
      </c>
      <c r="F4409">
        <v>0</v>
      </c>
      <c r="G4409">
        <v>9</v>
      </c>
      <c r="H4409" s="4">
        <v>1570547174944</v>
      </c>
      <c r="I4409">
        <v>526.6875</v>
      </c>
      <c r="J4409" s="9">
        <f t="shared" si="68"/>
        <v>43746.921006296296</v>
      </c>
      <c r="K4409" s="1"/>
    </row>
    <row r="4410" spans="1:11" x14ac:dyDescent="0.25">
      <c r="A4410" t="e">
        <f>-Lqfu1w1FfSuX0HC75Vm</f>
        <v>#NAME?</v>
      </c>
      <c r="B4410">
        <v>393.75</v>
      </c>
      <c r="C4410">
        <v>20.584240000000001</v>
      </c>
      <c r="D4410">
        <v>67</v>
      </c>
      <c r="E4410">
        <v>0</v>
      </c>
      <c r="F4410">
        <v>0</v>
      </c>
      <c r="G4410">
        <v>0</v>
      </c>
      <c r="H4410" s="4">
        <v>1570547182163</v>
      </c>
      <c r="I4410">
        <v>526.6875</v>
      </c>
      <c r="J4410" s="9">
        <f t="shared" si="68"/>
        <v>43746.921089849529</v>
      </c>
      <c r="K4410" s="1"/>
    </row>
    <row r="4411" spans="1:11" x14ac:dyDescent="0.25">
      <c r="A4411" t="e">
        <f>-Lqfu3Q25j-J4qwhv03z</f>
        <v>#NAME?</v>
      </c>
      <c r="B4411">
        <v>393.75</v>
      </c>
      <c r="C4411">
        <v>20.531590000000001</v>
      </c>
      <c r="D4411">
        <v>67</v>
      </c>
      <c r="E4411">
        <v>0</v>
      </c>
      <c r="F4411">
        <v>0</v>
      </c>
      <c r="G4411">
        <v>3</v>
      </c>
      <c r="H4411" s="4">
        <v>1570547188345</v>
      </c>
      <c r="I4411">
        <v>526.6875</v>
      </c>
      <c r="J4411" s="9">
        <f t="shared" si="68"/>
        <v>43746.92116140046</v>
      </c>
      <c r="K4411" s="1"/>
    </row>
    <row r="4412" spans="1:11" x14ac:dyDescent="0.25">
      <c r="A4412" t="e">
        <f>-Lqfu4xxIH7E-CGuOjL0</f>
        <v>#NAME?</v>
      </c>
      <c r="B4412">
        <v>393.75</v>
      </c>
      <c r="C4412">
        <v>20.584240000000001</v>
      </c>
      <c r="D4412">
        <v>67</v>
      </c>
      <c r="E4412">
        <v>0</v>
      </c>
      <c r="F4412">
        <v>0</v>
      </c>
      <c r="G4412">
        <v>9</v>
      </c>
      <c r="H4412" s="4">
        <v>1570547194525</v>
      </c>
      <c r="I4412">
        <v>526.5</v>
      </c>
      <c r="J4412" s="9">
        <f t="shared" si="68"/>
        <v>43746.921232928238</v>
      </c>
      <c r="K4412" s="1"/>
    </row>
    <row r="4413" spans="1:11" x14ac:dyDescent="0.25">
      <c r="A4413" t="e">
        <f>-Lqfu6QhHxrIFzC3CUAT</f>
        <v>#NAME?</v>
      </c>
      <c r="B4413">
        <v>393.75</v>
      </c>
      <c r="C4413">
        <v>20.478950000000001</v>
      </c>
      <c r="D4413">
        <v>67</v>
      </c>
      <c r="E4413">
        <v>0</v>
      </c>
      <c r="F4413">
        <v>0</v>
      </c>
      <c r="G4413">
        <v>15</v>
      </c>
      <c r="H4413" s="4">
        <v>1570547200724</v>
      </c>
      <c r="I4413">
        <v>526.6875</v>
      </c>
      <c r="J4413" s="9">
        <f t="shared" si="68"/>
        <v>43746.921304675925</v>
      </c>
      <c r="K4413" s="1"/>
    </row>
    <row r="4414" spans="1:11" x14ac:dyDescent="0.25">
      <c r="A4414" t="e">
        <f>-Lqfu7x34m2cMNy-PhK0</f>
        <v>#NAME?</v>
      </c>
      <c r="B4414">
        <v>412.5</v>
      </c>
      <c r="C4414">
        <v>20.531590000000001</v>
      </c>
      <c r="D4414">
        <v>66</v>
      </c>
      <c r="E4414">
        <v>0</v>
      </c>
      <c r="F4414">
        <v>0</v>
      </c>
      <c r="G4414">
        <v>3</v>
      </c>
      <c r="H4414" s="4">
        <v>1570547206883</v>
      </c>
      <c r="I4414">
        <v>532.3125</v>
      </c>
      <c r="J4414" s="9">
        <f t="shared" si="68"/>
        <v>43746.921375960643</v>
      </c>
      <c r="K4414" s="1"/>
    </row>
    <row r="4415" spans="1:11" x14ac:dyDescent="0.25">
      <c r="A4415" t="e">
        <f>-Lqfu9UyPtLkpC44FNEH</f>
        <v>#NAME?</v>
      </c>
      <c r="B4415">
        <v>393.75</v>
      </c>
      <c r="C4415">
        <v>20.531590000000001</v>
      </c>
      <c r="D4415">
        <v>67</v>
      </c>
      <c r="E4415">
        <v>0</v>
      </c>
      <c r="F4415">
        <v>0</v>
      </c>
      <c r="G4415">
        <v>16</v>
      </c>
      <c r="H4415" s="4">
        <v>1570547213073</v>
      </c>
      <c r="I4415">
        <v>526.6875</v>
      </c>
      <c r="J4415" s="9">
        <f t="shared" si="68"/>
        <v>43746.92144760416</v>
      </c>
      <c r="K4415" s="1"/>
    </row>
    <row r="4416" spans="1:11" x14ac:dyDescent="0.25">
      <c r="A4416" t="s">
        <v>242</v>
      </c>
      <c r="B4416">
        <v>393.75</v>
      </c>
      <c r="C4416">
        <v>20.584240000000001</v>
      </c>
      <c r="D4416">
        <v>67</v>
      </c>
      <c r="E4416">
        <v>0</v>
      </c>
      <c r="F4416">
        <v>0</v>
      </c>
      <c r="G4416">
        <v>7</v>
      </c>
      <c r="H4416" s="4">
        <v>1570547219264</v>
      </c>
      <c r="I4416">
        <v>526.5</v>
      </c>
      <c r="J4416" s="9">
        <f t="shared" si="68"/>
        <v>43746.92151925926</v>
      </c>
      <c r="K4416" s="1"/>
    </row>
    <row r="4417" spans="1:11" x14ac:dyDescent="0.25">
      <c r="A4417" t="e">
        <f>-LqfuCn3DcpguiXUcYWg</f>
        <v>#NAME?</v>
      </c>
      <c r="B4417">
        <v>393.75</v>
      </c>
      <c r="C4417">
        <v>20.584240000000001</v>
      </c>
      <c r="D4417">
        <v>67</v>
      </c>
      <c r="E4417">
        <v>0</v>
      </c>
      <c r="F4417">
        <v>0</v>
      </c>
      <c r="G4417">
        <v>11</v>
      </c>
      <c r="H4417" s="4">
        <v>1570547226475</v>
      </c>
      <c r="I4417">
        <v>526.6875</v>
      </c>
      <c r="J4417" s="9">
        <f t="shared" si="68"/>
        <v>43746.921602719907</v>
      </c>
      <c r="K4417" s="1"/>
    </row>
    <row r="4418" spans="1:11" x14ac:dyDescent="0.25">
      <c r="A4418" t="e">
        <f>-LqfuEWDOuGbGMiL0Gr7</f>
        <v>#NAME?</v>
      </c>
      <c r="B4418">
        <v>393.75</v>
      </c>
      <c r="C4418">
        <v>20.584240000000001</v>
      </c>
      <c r="D4418">
        <v>67</v>
      </c>
      <c r="E4418">
        <v>0</v>
      </c>
      <c r="F4418">
        <v>0</v>
      </c>
      <c r="G4418">
        <v>4</v>
      </c>
      <c r="H4418" s="4">
        <v>1570547233684</v>
      </c>
      <c r="I4418">
        <v>526.6875</v>
      </c>
      <c r="J4418" s="9">
        <f t="shared" si="68"/>
        <v>43746.921686157402</v>
      </c>
      <c r="K4418" s="1"/>
    </row>
    <row r="4419" spans="1:11" x14ac:dyDescent="0.25">
      <c r="A4419" t="e">
        <f>-LqfuG2qIijzKgqRAYrq</f>
        <v>#NAME?</v>
      </c>
      <c r="B4419">
        <v>393.75</v>
      </c>
      <c r="C4419">
        <v>20.531590000000001</v>
      </c>
      <c r="D4419">
        <v>67</v>
      </c>
      <c r="E4419">
        <v>0</v>
      </c>
      <c r="F4419">
        <v>0</v>
      </c>
      <c r="G4419">
        <v>11</v>
      </c>
      <c r="H4419" s="4">
        <v>1570547239900</v>
      </c>
      <c r="I4419">
        <v>526.6875</v>
      </c>
      <c r="J4419" s="9">
        <f t="shared" ref="J4419:J4482" si="69">(H4419/86400000)+25569+(7/24)</f>
        <v>43746.921758101853</v>
      </c>
      <c r="K4419" s="1"/>
    </row>
    <row r="4420" spans="1:11" x14ac:dyDescent="0.25">
      <c r="A4420" t="e">
        <f>-LqfuHXyFV2CeIMlbmLT</f>
        <v>#NAME?</v>
      </c>
      <c r="B4420">
        <v>393.75</v>
      </c>
      <c r="C4420">
        <v>20.584240000000001</v>
      </c>
      <c r="D4420">
        <v>67</v>
      </c>
      <c r="E4420">
        <v>0</v>
      </c>
      <c r="F4420">
        <v>0</v>
      </c>
      <c r="G4420">
        <v>13</v>
      </c>
      <c r="H4420" s="4">
        <v>1570547246034</v>
      </c>
      <c r="I4420">
        <v>526.5</v>
      </c>
      <c r="J4420" s="9">
        <f t="shared" si="69"/>
        <v>43746.92182909722</v>
      </c>
      <c r="K4420" s="1"/>
    </row>
    <row r="4421" spans="1:11" x14ac:dyDescent="0.25">
      <c r="A4421" t="s">
        <v>243</v>
      </c>
      <c r="B4421">
        <v>393.75</v>
      </c>
      <c r="C4421">
        <v>20.531590000000001</v>
      </c>
      <c r="D4421">
        <v>69</v>
      </c>
      <c r="E4421">
        <v>0</v>
      </c>
      <c r="F4421">
        <v>0</v>
      </c>
      <c r="G4421">
        <v>4</v>
      </c>
      <c r="H4421" s="4">
        <v>1570547253283</v>
      </c>
      <c r="I4421">
        <v>526.6875</v>
      </c>
      <c r="J4421" s="9">
        <f t="shared" si="69"/>
        <v>43746.921912997685</v>
      </c>
      <c r="K4421" s="1"/>
    </row>
    <row r="4422" spans="1:11" x14ac:dyDescent="0.25">
      <c r="A4422" t="e">
        <f>-LqfuL0LmyT2AUQIlKkz</f>
        <v>#NAME?</v>
      </c>
      <c r="B4422">
        <v>393.75</v>
      </c>
      <c r="C4422">
        <v>20.531590000000001</v>
      </c>
      <c r="D4422">
        <v>68</v>
      </c>
      <c r="E4422">
        <v>0</v>
      </c>
      <c r="F4422">
        <v>0</v>
      </c>
      <c r="G4422">
        <v>11</v>
      </c>
      <c r="H4422" s="4">
        <v>1570547260483</v>
      </c>
      <c r="I4422">
        <v>526.6875</v>
      </c>
      <c r="J4422" s="9">
        <f t="shared" si="69"/>
        <v>43746.921996331017</v>
      </c>
      <c r="K4422" s="1"/>
    </row>
    <row r="4423" spans="1:11" x14ac:dyDescent="0.25">
      <c r="A4423" t="e">
        <f>-LqfuMZ3JcEcRfE2ZZ0N</f>
        <v>#NAME?</v>
      </c>
      <c r="B4423">
        <v>393.75</v>
      </c>
      <c r="C4423">
        <v>20.531590000000001</v>
      </c>
      <c r="D4423">
        <v>68</v>
      </c>
      <c r="E4423">
        <v>0</v>
      </c>
      <c r="F4423">
        <v>0</v>
      </c>
      <c r="G4423">
        <v>6</v>
      </c>
      <c r="H4423" s="4">
        <v>1570547266645</v>
      </c>
      <c r="I4423">
        <v>526.6875</v>
      </c>
      <c r="J4423" s="9">
        <f t="shared" si="69"/>
        <v>43746.922067650456</v>
      </c>
      <c r="K4423" s="1"/>
    </row>
    <row r="4424" spans="1:11" x14ac:dyDescent="0.25">
      <c r="A4424" t="e">
        <f>-LqfuO5x2bI-cz8_lBhK</f>
        <v>#NAME?</v>
      </c>
      <c r="B4424">
        <v>393.75</v>
      </c>
      <c r="C4424">
        <v>20.584240000000001</v>
      </c>
      <c r="D4424">
        <v>68</v>
      </c>
      <c r="E4424">
        <v>0</v>
      </c>
      <c r="F4424">
        <v>0</v>
      </c>
      <c r="G4424">
        <v>9</v>
      </c>
      <c r="H4424" s="4">
        <v>1570547272854</v>
      </c>
      <c r="I4424">
        <v>526.6875</v>
      </c>
      <c r="J4424" s="9">
        <f t="shared" si="69"/>
        <v>43746.922139513881</v>
      </c>
      <c r="K4424" s="1"/>
    </row>
    <row r="4425" spans="1:11" x14ac:dyDescent="0.25">
      <c r="A4425" t="e">
        <f>-LqfuPYI_k7-o-sV-J3p</f>
        <v>#NAME?</v>
      </c>
      <c r="B4425">
        <v>393.75</v>
      </c>
      <c r="C4425">
        <v>20.584240000000001</v>
      </c>
      <c r="D4425">
        <v>68</v>
      </c>
      <c r="E4425">
        <v>0</v>
      </c>
      <c r="F4425">
        <v>0</v>
      </c>
      <c r="G4425">
        <v>11</v>
      </c>
      <c r="H4425" s="4">
        <v>1570547279034</v>
      </c>
      <c r="I4425">
        <v>526.6875</v>
      </c>
      <c r="J4425" s="9">
        <f t="shared" si="69"/>
        <v>43746.922211041667</v>
      </c>
      <c r="K4425" s="1"/>
    </row>
    <row r="4426" spans="1:11" x14ac:dyDescent="0.25">
      <c r="A4426" t="e">
        <f>-LqfuR2XB-Hd9_oVayNR</f>
        <v>#NAME?</v>
      </c>
      <c r="B4426">
        <v>393.75</v>
      </c>
      <c r="C4426">
        <v>20.531590000000001</v>
      </c>
      <c r="D4426">
        <v>70</v>
      </c>
      <c r="E4426">
        <v>0</v>
      </c>
      <c r="F4426">
        <v>0</v>
      </c>
      <c r="G4426">
        <v>6</v>
      </c>
      <c r="H4426" s="4">
        <v>1570547285203</v>
      </c>
      <c r="I4426">
        <v>526.6875</v>
      </c>
      <c r="J4426" s="9">
        <f t="shared" si="69"/>
        <v>43746.922282442123</v>
      </c>
      <c r="K4426" s="1"/>
    </row>
    <row r="4427" spans="1:11" x14ac:dyDescent="0.25">
      <c r="A4427" t="e">
        <f>-LqfuScxc7qwUL4ikk41</f>
        <v>#NAME?</v>
      </c>
      <c r="B4427">
        <v>393.75</v>
      </c>
      <c r="C4427">
        <v>20.531590000000001</v>
      </c>
      <c r="D4427">
        <v>68</v>
      </c>
      <c r="E4427">
        <v>0</v>
      </c>
      <c r="F4427">
        <v>0</v>
      </c>
      <c r="G4427">
        <v>4</v>
      </c>
      <c r="H4427" s="4">
        <v>1570547291403</v>
      </c>
      <c r="I4427">
        <v>526.6875</v>
      </c>
      <c r="J4427" s="9">
        <f t="shared" si="69"/>
        <v>43746.922354201386</v>
      </c>
      <c r="K4427" s="1"/>
    </row>
    <row r="4428" spans="1:11" x14ac:dyDescent="0.25">
      <c r="A4428" t="e">
        <f>-LqfuUTfJPDwzmIR1Q0f</f>
        <v>#NAME?</v>
      </c>
      <c r="B4428">
        <v>393.75</v>
      </c>
      <c r="C4428">
        <v>20.584240000000001</v>
      </c>
      <c r="D4428">
        <v>68</v>
      </c>
      <c r="E4428">
        <v>0</v>
      </c>
      <c r="F4428">
        <v>0</v>
      </c>
      <c r="G4428">
        <v>9</v>
      </c>
      <c r="H4428" s="4">
        <v>1570547297562</v>
      </c>
      <c r="I4428">
        <v>526.6875</v>
      </c>
      <c r="J4428" s="9">
        <f t="shared" si="69"/>
        <v>43746.922425486111</v>
      </c>
      <c r="K4428" s="1"/>
    </row>
    <row r="4429" spans="1:11" x14ac:dyDescent="0.25">
      <c r="A4429" t="e">
        <f>-LqfuW5BI0D8aCMa7Net</f>
        <v>#NAME?</v>
      </c>
      <c r="B4429">
        <v>393.75</v>
      </c>
      <c r="C4429">
        <v>20.531590000000001</v>
      </c>
      <c r="D4429">
        <v>69</v>
      </c>
      <c r="E4429">
        <v>0</v>
      </c>
      <c r="F4429">
        <v>0</v>
      </c>
      <c r="G4429">
        <v>11</v>
      </c>
      <c r="H4429" s="4">
        <v>1570547305800</v>
      </c>
      <c r="I4429">
        <v>526.6875</v>
      </c>
      <c r="J4429" s="9">
        <f t="shared" si="69"/>
        <v>43746.92252083333</v>
      </c>
      <c r="K4429" s="1"/>
    </row>
    <row r="4430" spans="1:11" x14ac:dyDescent="0.25">
      <c r="A4430" t="e">
        <f>-LqfuXe3yho6HRzXzJk9</f>
        <v>#NAME?</v>
      </c>
      <c r="B4430">
        <v>393.75</v>
      </c>
      <c r="C4430">
        <v>20.531590000000001</v>
      </c>
      <c r="D4430">
        <v>69</v>
      </c>
      <c r="E4430">
        <v>0</v>
      </c>
      <c r="F4430">
        <v>0</v>
      </c>
      <c r="G4430">
        <v>5</v>
      </c>
      <c r="H4430" s="4">
        <v>1570547312015</v>
      </c>
      <c r="I4430">
        <v>526.5</v>
      </c>
      <c r="J4430" s="9">
        <f t="shared" si="69"/>
        <v>43746.922592766197</v>
      </c>
      <c r="K4430" s="1"/>
    </row>
    <row r="4431" spans="1:11" x14ac:dyDescent="0.25">
      <c r="A4431" t="e">
        <f>-LqfuZAGPsirCLnP_5d0</f>
        <v>#NAME?</v>
      </c>
      <c r="B4431">
        <v>393.75</v>
      </c>
      <c r="C4431">
        <v>20.531590000000001</v>
      </c>
      <c r="D4431">
        <v>67</v>
      </c>
      <c r="E4431">
        <v>0</v>
      </c>
      <c r="F4431">
        <v>0</v>
      </c>
      <c r="G4431">
        <v>12</v>
      </c>
      <c r="H4431" s="4">
        <v>1570547318173</v>
      </c>
      <c r="I4431">
        <v>526.6875</v>
      </c>
      <c r="J4431" s="9">
        <f t="shared" si="69"/>
        <v>43746.922664039354</v>
      </c>
      <c r="K4431" s="1"/>
    </row>
    <row r="4432" spans="1:11" x14ac:dyDescent="0.25">
      <c r="A4432" t="e">
        <f>-Lqfu_h4tNNFBltradnm</f>
        <v>#NAME?</v>
      </c>
      <c r="B4432">
        <v>393.75</v>
      </c>
      <c r="C4432">
        <v>20.584240000000001</v>
      </c>
      <c r="D4432">
        <v>67</v>
      </c>
      <c r="E4432">
        <v>0</v>
      </c>
      <c r="F4432">
        <v>0</v>
      </c>
      <c r="G4432">
        <v>5</v>
      </c>
      <c r="H4432" s="4">
        <v>1570547324355</v>
      </c>
      <c r="I4432">
        <v>526.6875</v>
      </c>
      <c r="J4432" s="9">
        <f t="shared" si="69"/>
        <v>43746.922735590277</v>
      </c>
      <c r="K4432" s="1"/>
    </row>
    <row r="4433" spans="1:11" x14ac:dyDescent="0.25">
      <c r="A4433" t="e">
        <f>-LqfubN_88ZYGCAyMfp8</f>
        <v>#NAME?</v>
      </c>
      <c r="B4433">
        <v>393.75</v>
      </c>
      <c r="C4433">
        <v>20.531590000000001</v>
      </c>
      <c r="D4433">
        <v>69</v>
      </c>
      <c r="E4433">
        <v>0</v>
      </c>
      <c r="F4433">
        <v>0</v>
      </c>
      <c r="G4433">
        <v>2</v>
      </c>
      <c r="H4433" s="4">
        <v>1570547331605</v>
      </c>
      <c r="I4433">
        <v>526.6875</v>
      </c>
      <c r="J4433" s="9">
        <f t="shared" si="69"/>
        <v>43746.92281950231</v>
      </c>
      <c r="K4433" s="1"/>
    </row>
    <row r="4434" spans="1:11" x14ac:dyDescent="0.25">
      <c r="A4434" t="e">
        <f>-Lqfucz3b3pKNoNw_bok</f>
        <v>#NAME?</v>
      </c>
      <c r="B4434">
        <v>393.75</v>
      </c>
      <c r="C4434">
        <v>20.531590000000001</v>
      </c>
      <c r="D4434">
        <v>68</v>
      </c>
      <c r="E4434">
        <v>0</v>
      </c>
      <c r="F4434">
        <v>0</v>
      </c>
      <c r="G4434">
        <v>6</v>
      </c>
      <c r="H4434" s="4">
        <v>1570547337784</v>
      </c>
      <c r="I4434">
        <v>526.6875</v>
      </c>
      <c r="J4434" s="9">
        <f t="shared" si="69"/>
        <v>43746.922891018512</v>
      </c>
      <c r="K4434" s="1"/>
    </row>
    <row r="4435" spans="1:11" x14ac:dyDescent="0.25">
      <c r="A4435" t="e">
        <f>-LqfuehCgwcOoa7WWPkm</f>
        <v>#NAME?</v>
      </c>
      <c r="B4435">
        <v>393.75</v>
      </c>
      <c r="C4435">
        <v>20.584240000000001</v>
      </c>
      <c r="D4435">
        <v>68</v>
      </c>
      <c r="E4435">
        <v>0</v>
      </c>
      <c r="F4435">
        <v>0</v>
      </c>
      <c r="G4435">
        <v>8</v>
      </c>
      <c r="H4435" s="4">
        <v>1570547344993</v>
      </c>
      <c r="I4435">
        <v>526.6875</v>
      </c>
      <c r="J4435" s="9">
        <f t="shared" si="69"/>
        <v>43746.922974456014</v>
      </c>
      <c r="K4435" s="1"/>
    </row>
    <row r="4436" spans="1:11" x14ac:dyDescent="0.25">
      <c r="A4436" t="s">
        <v>244</v>
      </c>
      <c r="B4436">
        <v>393.75</v>
      </c>
      <c r="C4436">
        <v>20.584240000000001</v>
      </c>
      <c r="D4436">
        <v>68</v>
      </c>
      <c r="E4436">
        <v>0</v>
      </c>
      <c r="F4436">
        <v>0</v>
      </c>
      <c r="G4436">
        <v>4</v>
      </c>
      <c r="H4436" s="4">
        <v>1570547351135</v>
      </c>
      <c r="I4436">
        <v>526.6875</v>
      </c>
      <c r="J4436" s="9">
        <f t="shared" si="69"/>
        <v>43746.923045543976</v>
      </c>
      <c r="K4436" s="1"/>
    </row>
    <row r="4437" spans="1:11" x14ac:dyDescent="0.25">
      <c r="A4437" t="e">
        <f>-LqfuhmFtZruc-h_XLyd</f>
        <v>#NAME?</v>
      </c>
      <c r="B4437">
        <v>418.75</v>
      </c>
      <c r="C4437">
        <v>20.531590000000001</v>
      </c>
      <c r="D4437">
        <v>69</v>
      </c>
      <c r="E4437">
        <v>0</v>
      </c>
      <c r="F4437">
        <v>0</v>
      </c>
      <c r="G4437">
        <v>7</v>
      </c>
      <c r="H4437" s="4">
        <v>1570547357366</v>
      </c>
      <c r="I4437">
        <v>534.9375</v>
      </c>
      <c r="J4437" s="9">
        <f t="shared" si="69"/>
        <v>43746.923117662031</v>
      </c>
      <c r="K4437" s="1"/>
    </row>
    <row r="4438" spans="1:11" x14ac:dyDescent="0.25">
      <c r="A4438" t="e">
        <f>-LqfujQsWMxUZfdupPpN</f>
        <v>#NAME?</v>
      </c>
      <c r="B4438">
        <v>393.75</v>
      </c>
      <c r="C4438">
        <v>20.531590000000001</v>
      </c>
      <c r="D4438">
        <v>69</v>
      </c>
      <c r="E4438">
        <v>0</v>
      </c>
      <c r="F4438">
        <v>0</v>
      </c>
      <c r="G4438">
        <v>9</v>
      </c>
      <c r="H4438" s="4">
        <v>1570547364565</v>
      </c>
      <c r="I4438">
        <v>526.6875</v>
      </c>
      <c r="J4438" s="9">
        <f t="shared" si="69"/>
        <v>43746.923200983794</v>
      </c>
      <c r="K4438" s="1"/>
    </row>
    <row r="4439" spans="1:11" x14ac:dyDescent="0.25">
      <c r="A4439" t="e">
        <f>-Lqful12j0sy0uc3AIRv</f>
        <v>#NAME?</v>
      </c>
      <c r="B4439">
        <v>393.75</v>
      </c>
      <c r="C4439">
        <v>20.584240000000001</v>
      </c>
      <c r="D4439">
        <v>69</v>
      </c>
      <c r="E4439">
        <v>0</v>
      </c>
      <c r="F4439">
        <v>0</v>
      </c>
      <c r="G4439">
        <v>7</v>
      </c>
      <c r="H4439" s="4">
        <v>1570547370755</v>
      </c>
      <c r="I4439">
        <v>526.5</v>
      </c>
      <c r="J4439" s="9">
        <f t="shared" si="69"/>
        <v>43746.923272627311</v>
      </c>
      <c r="K4439" s="1"/>
    </row>
    <row r="4440" spans="1:11" x14ac:dyDescent="0.25">
      <c r="A4440" t="e">
        <f>-Lqfumk33bIy5PuhoLDY</f>
        <v>#NAME?</v>
      </c>
      <c r="B4440">
        <v>393.75</v>
      </c>
      <c r="C4440">
        <v>20.584240000000001</v>
      </c>
      <c r="D4440">
        <v>69</v>
      </c>
      <c r="E4440">
        <v>0</v>
      </c>
      <c r="F4440">
        <v>0</v>
      </c>
      <c r="G4440">
        <v>4</v>
      </c>
      <c r="H4440" s="4">
        <v>1570547377974</v>
      </c>
      <c r="I4440">
        <v>526.6875</v>
      </c>
      <c r="J4440" s="9">
        <f t="shared" si="69"/>
        <v>43746.923356180552</v>
      </c>
      <c r="K4440" s="1"/>
    </row>
    <row r="4441" spans="1:11" x14ac:dyDescent="0.25">
      <c r="A4441" t="e">
        <f>-LqfuoEChlfgYzLTR7mL</f>
        <v>#NAME?</v>
      </c>
      <c r="B4441">
        <v>393.75</v>
      </c>
      <c r="C4441">
        <v>20.478950000000001</v>
      </c>
      <c r="D4441">
        <v>69</v>
      </c>
      <c r="E4441">
        <v>0</v>
      </c>
      <c r="F4441">
        <v>0</v>
      </c>
      <c r="G4441">
        <v>8</v>
      </c>
      <c r="H4441" s="4">
        <v>1570547384169</v>
      </c>
      <c r="I4441">
        <v>526.6875</v>
      </c>
      <c r="J4441" s="9">
        <f t="shared" si="69"/>
        <v>43746.923427881942</v>
      </c>
      <c r="K4441" s="1"/>
    </row>
    <row r="4442" spans="1:11" x14ac:dyDescent="0.25">
      <c r="A4442" t="e">
        <f>-Lqfupn3xHXObXOuSdfo</f>
        <v>#NAME?</v>
      </c>
      <c r="B4442">
        <v>393.75</v>
      </c>
      <c r="C4442">
        <v>20.531590000000001</v>
      </c>
      <c r="D4442">
        <v>69</v>
      </c>
      <c r="E4442">
        <v>0</v>
      </c>
      <c r="F4442">
        <v>0</v>
      </c>
      <c r="G4442">
        <v>5</v>
      </c>
      <c r="H4442" s="4">
        <v>1570547390345</v>
      </c>
      <c r="I4442">
        <v>526.5</v>
      </c>
      <c r="J4442" s="9">
        <f t="shared" si="69"/>
        <v>43746.923499363424</v>
      </c>
      <c r="K4442" s="1"/>
    </row>
    <row r="4443" spans="1:11" x14ac:dyDescent="0.25">
      <c r="A4443" t="e">
        <f>-LqfurHBySbZhRYOeZ3y</f>
        <v>#NAME?</v>
      </c>
      <c r="B4443">
        <v>393.75</v>
      </c>
      <c r="C4443">
        <v>20.531590000000001</v>
      </c>
      <c r="D4443">
        <v>69</v>
      </c>
      <c r="E4443">
        <v>0</v>
      </c>
      <c r="F4443">
        <v>0</v>
      </c>
      <c r="G4443">
        <v>3</v>
      </c>
      <c r="H4443" s="4">
        <v>1570547396513</v>
      </c>
      <c r="I4443">
        <v>526.6875</v>
      </c>
      <c r="J4443" s="9">
        <f t="shared" si="69"/>
        <v>43746.923570752311</v>
      </c>
      <c r="K4443" s="1"/>
    </row>
    <row r="4444" spans="1:11" x14ac:dyDescent="0.25">
      <c r="A4444" t="e">
        <f>-Lqfusl3hfWV1sGUOg7J</f>
        <v>#NAME?</v>
      </c>
      <c r="B4444">
        <v>412.5</v>
      </c>
      <c r="C4444">
        <v>20.531590000000001</v>
      </c>
      <c r="D4444">
        <v>68</v>
      </c>
      <c r="E4444">
        <v>0</v>
      </c>
      <c r="F4444">
        <v>0</v>
      </c>
      <c r="G4444">
        <v>2</v>
      </c>
      <c r="H4444" s="4">
        <v>1570547402715</v>
      </c>
      <c r="I4444">
        <v>532.3125</v>
      </c>
      <c r="J4444" s="9">
        <f t="shared" si="69"/>
        <v>43746.923642534719</v>
      </c>
      <c r="K4444" s="1"/>
    </row>
    <row r="4445" spans="1:11" x14ac:dyDescent="0.25">
      <c r="A4445" t="e">
        <f>-LqfuuLKlgjHY0ayiLW1</f>
        <v>#NAME?</v>
      </c>
      <c r="B4445">
        <v>393.75</v>
      </c>
      <c r="C4445">
        <v>20.531590000000001</v>
      </c>
      <c r="D4445">
        <v>69</v>
      </c>
      <c r="E4445">
        <v>0</v>
      </c>
      <c r="F4445">
        <v>0</v>
      </c>
      <c r="G4445">
        <v>9</v>
      </c>
      <c r="H4445" s="4">
        <v>1570547408895</v>
      </c>
      <c r="I4445">
        <v>526.6875</v>
      </c>
      <c r="J4445" s="9">
        <f t="shared" si="69"/>
        <v>43746.923714062497</v>
      </c>
      <c r="K4445" s="1"/>
    </row>
    <row r="4446" spans="1:11" x14ac:dyDescent="0.25">
      <c r="A4446" t="e">
        <f>-LqfuwIBQIGfPPxMAvR8</f>
        <v>#NAME?</v>
      </c>
      <c r="B4446">
        <v>393.75</v>
      </c>
      <c r="C4446">
        <v>20.531590000000001</v>
      </c>
      <c r="D4446">
        <v>70</v>
      </c>
      <c r="E4446">
        <v>0</v>
      </c>
      <c r="F4446">
        <v>0</v>
      </c>
      <c r="G4446">
        <v>9</v>
      </c>
      <c r="H4446" s="4">
        <v>1570547416084</v>
      </c>
      <c r="I4446">
        <v>526.6875</v>
      </c>
      <c r="J4446" s="9">
        <f t="shared" si="69"/>
        <v>43746.923797268515</v>
      </c>
      <c r="K4446" s="1"/>
    </row>
    <row r="4447" spans="1:11" x14ac:dyDescent="0.25">
      <c r="A4447" t="e">
        <f>-Lqfuxq4TA7XtC9GGS_S</f>
        <v>#NAME?</v>
      </c>
      <c r="B4447">
        <v>393.75</v>
      </c>
      <c r="C4447">
        <v>20.531590000000001</v>
      </c>
      <c r="D4447">
        <v>70</v>
      </c>
      <c r="E4447">
        <v>0</v>
      </c>
      <c r="F4447">
        <v>0</v>
      </c>
      <c r="G4447">
        <v>12</v>
      </c>
      <c r="H4447" s="4">
        <v>1570547423325</v>
      </c>
      <c r="I4447">
        <v>526.6875</v>
      </c>
      <c r="J4447" s="9">
        <f t="shared" si="69"/>
        <v>43746.923881076385</v>
      </c>
      <c r="K4447" s="1"/>
    </row>
    <row r="4448" spans="1:11" x14ac:dyDescent="0.25">
      <c r="A4448" t="s">
        <v>245</v>
      </c>
      <c r="B4448">
        <v>393.75</v>
      </c>
      <c r="C4448">
        <v>20.531590000000001</v>
      </c>
      <c r="D4448">
        <v>70</v>
      </c>
      <c r="E4448">
        <v>0</v>
      </c>
      <c r="F4448">
        <v>0</v>
      </c>
      <c r="G4448">
        <v>5</v>
      </c>
      <c r="H4448" s="4">
        <v>1570547429473</v>
      </c>
      <c r="I4448">
        <v>526.6875</v>
      </c>
      <c r="J4448" s="9">
        <f t="shared" si="69"/>
        <v>43746.923952233796</v>
      </c>
      <c r="K4448" s="1"/>
    </row>
    <row r="4449" spans="1:11" x14ac:dyDescent="0.25">
      <c r="A4449" t="e">
        <f>-Lqfv-oEWNH144uLY0NN</f>
        <v>#NAME?</v>
      </c>
      <c r="B4449">
        <v>393.75</v>
      </c>
      <c r="C4449">
        <v>20.531590000000001</v>
      </c>
      <c r="D4449">
        <v>69</v>
      </c>
      <c r="E4449">
        <v>0</v>
      </c>
      <c r="F4449">
        <v>0</v>
      </c>
      <c r="G4449">
        <v>3</v>
      </c>
      <c r="H4449" s="4">
        <v>1570547435684</v>
      </c>
      <c r="I4449">
        <v>526.6875</v>
      </c>
      <c r="J4449" s="9">
        <f t="shared" si="69"/>
        <v>43746.924024120373</v>
      </c>
      <c r="K4449" s="1"/>
    </row>
    <row r="4450" spans="1:11" x14ac:dyDescent="0.25">
      <c r="A4450" t="e">
        <f>-Lqfv1N48AgeA2TyfpDe</f>
        <v>#NAME?</v>
      </c>
      <c r="B4450">
        <v>393.75</v>
      </c>
      <c r="C4450">
        <v>20.584240000000001</v>
      </c>
      <c r="D4450">
        <v>69</v>
      </c>
      <c r="E4450">
        <v>0</v>
      </c>
      <c r="F4450">
        <v>0</v>
      </c>
      <c r="G4450">
        <v>0</v>
      </c>
      <c r="H4450" s="4">
        <v>1570547441874</v>
      </c>
      <c r="I4450">
        <v>526.6875</v>
      </c>
      <c r="J4450" s="9">
        <f t="shared" si="69"/>
        <v>43746.92409576389</v>
      </c>
      <c r="K4450" s="1"/>
    </row>
    <row r="4451" spans="1:11" x14ac:dyDescent="0.25">
      <c r="A4451" t="e">
        <f>-Lqfv2r2iN-H_J6WCFfJ</f>
        <v>#NAME?</v>
      </c>
      <c r="B4451">
        <v>409.375</v>
      </c>
      <c r="C4451">
        <v>20.531590000000001</v>
      </c>
      <c r="D4451">
        <v>69</v>
      </c>
      <c r="E4451">
        <v>0</v>
      </c>
      <c r="F4451">
        <v>0</v>
      </c>
      <c r="G4451">
        <v>11</v>
      </c>
      <c r="H4451" s="4">
        <v>1570547448033</v>
      </c>
      <c r="I4451">
        <v>531.5625</v>
      </c>
      <c r="J4451" s="9">
        <f t="shared" si="69"/>
        <v>43746.924167048608</v>
      </c>
      <c r="K4451" s="1"/>
    </row>
    <row r="4452" spans="1:11" x14ac:dyDescent="0.25">
      <c r="A4452" t="e">
        <f>-Lqfv4LBkGijWnXVdCre</f>
        <v>#NAME?</v>
      </c>
      <c r="B4452">
        <v>393.75</v>
      </c>
      <c r="C4452">
        <v>20.531590000000001</v>
      </c>
      <c r="D4452">
        <v>69</v>
      </c>
      <c r="E4452">
        <v>0</v>
      </c>
      <c r="F4452">
        <v>0</v>
      </c>
      <c r="G4452">
        <v>1</v>
      </c>
      <c r="H4452" s="4">
        <v>1570547454234</v>
      </c>
      <c r="I4452">
        <v>526.6875</v>
      </c>
      <c r="J4452" s="9">
        <f t="shared" si="69"/>
        <v>43746.924238819447</v>
      </c>
      <c r="K4452" s="1"/>
    </row>
    <row r="4453" spans="1:11" x14ac:dyDescent="0.25">
      <c r="A4453" t="e">
        <f>-Lqfv5t8ib2Ci-qkpbk3</f>
        <v>#NAME?</v>
      </c>
      <c r="B4453">
        <v>393.75</v>
      </c>
      <c r="C4453">
        <v>20.584240000000001</v>
      </c>
      <c r="D4453">
        <v>69</v>
      </c>
      <c r="E4453">
        <v>0</v>
      </c>
      <c r="F4453">
        <v>0</v>
      </c>
      <c r="G4453">
        <v>2</v>
      </c>
      <c r="H4453" s="4">
        <v>1570547460424</v>
      </c>
      <c r="I4453">
        <v>526.6875</v>
      </c>
      <c r="J4453" s="9">
        <f t="shared" si="69"/>
        <v>43746.924310462964</v>
      </c>
      <c r="K4453" s="1"/>
    </row>
    <row r="4454" spans="1:11" x14ac:dyDescent="0.25">
      <c r="A4454" t="e">
        <f>-Lqfv7c2-f2X-b_fem7h</f>
        <v>#NAME?</v>
      </c>
      <c r="B4454">
        <v>393.75</v>
      </c>
      <c r="C4454">
        <v>20.531590000000001</v>
      </c>
      <c r="D4454">
        <v>69</v>
      </c>
      <c r="E4454">
        <v>0</v>
      </c>
      <c r="F4454">
        <v>0</v>
      </c>
      <c r="G4454">
        <v>3</v>
      </c>
      <c r="H4454" s="4">
        <v>1570547467603</v>
      </c>
      <c r="I4454">
        <v>526.6875</v>
      </c>
      <c r="J4454" s="9">
        <f t="shared" si="69"/>
        <v>43746.924393553236</v>
      </c>
      <c r="K4454" s="1"/>
    </row>
    <row r="4455" spans="1:11" x14ac:dyDescent="0.25">
      <c r="A4455" t="e">
        <f>-Lqfv9B3GaZyjgfsz7gu</f>
        <v>#NAME?</v>
      </c>
      <c r="B4455">
        <v>393.75</v>
      </c>
      <c r="C4455">
        <v>20.584240000000001</v>
      </c>
      <c r="D4455">
        <v>69</v>
      </c>
      <c r="E4455">
        <v>0</v>
      </c>
      <c r="F4455">
        <v>0</v>
      </c>
      <c r="G4455">
        <v>1</v>
      </c>
      <c r="H4455" s="4">
        <v>1570547473824</v>
      </c>
      <c r="I4455">
        <v>526.6875</v>
      </c>
      <c r="J4455" s="9">
        <f t="shared" si="69"/>
        <v>43746.924465555552</v>
      </c>
      <c r="K4455" s="1"/>
    </row>
    <row r="4456" spans="1:11" x14ac:dyDescent="0.25">
      <c r="A4456" t="e">
        <f>-LqfvAu2xu9TvHD5qxna</f>
        <v>#NAME?</v>
      </c>
      <c r="B4456">
        <v>393.75</v>
      </c>
      <c r="C4456">
        <v>20.584240000000001</v>
      </c>
      <c r="D4456">
        <v>69</v>
      </c>
      <c r="E4456">
        <v>0</v>
      </c>
      <c r="F4456">
        <v>0</v>
      </c>
      <c r="G4456">
        <v>2</v>
      </c>
      <c r="H4456" s="4">
        <v>1570547481044</v>
      </c>
      <c r="I4456">
        <v>526.6875</v>
      </c>
      <c r="J4456" s="9">
        <f t="shared" si="69"/>
        <v>43746.924549120369</v>
      </c>
      <c r="K4456" s="1"/>
    </row>
    <row r="4457" spans="1:11" x14ac:dyDescent="0.25">
      <c r="A4457" t="e">
        <f>-LqfvCm3oE9JkkG6Y6q9</f>
        <v>#NAME?</v>
      </c>
      <c r="B4457">
        <v>393.75</v>
      </c>
      <c r="C4457">
        <v>20.531590000000001</v>
      </c>
      <c r="D4457">
        <v>70</v>
      </c>
      <c r="E4457">
        <v>0</v>
      </c>
      <c r="F4457">
        <v>0</v>
      </c>
      <c r="G4457">
        <v>4</v>
      </c>
      <c r="H4457" s="4">
        <v>1570547488582</v>
      </c>
      <c r="I4457">
        <v>526.6875</v>
      </c>
      <c r="J4457" s="9">
        <f t="shared" si="69"/>
        <v>43746.924636365737</v>
      </c>
      <c r="K4457" s="1"/>
    </row>
    <row r="4458" spans="1:11" x14ac:dyDescent="0.25">
      <c r="A4458" t="e">
        <f>-LqfvENi3WgxGqZXRv0i</f>
        <v>#NAME?</v>
      </c>
      <c r="B4458">
        <v>393.75</v>
      </c>
      <c r="C4458">
        <v>20.478950000000001</v>
      </c>
      <c r="D4458">
        <v>70</v>
      </c>
      <c r="E4458">
        <v>0</v>
      </c>
      <c r="F4458">
        <v>0</v>
      </c>
      <c r="G4458">
        <v>2</v>
      </c>
      <c r="H4458" s="4">
        <v>1570547495444</v>
      </c>
      <c r="I4458">
        <v>526.6875</v>
      </c>
      <c r="J4458" s="9">
        <f t="shared" si="69"/>
        <v>43746.924715787034</v>
      </c>
      <c r="K4458" s="1"/>
    </row>
    <row r="4459" spans="1:11" x14ac:dyDescent="0.25">
      <c r="A4459" t="e">
        <f>-LqfvFzFtz-O5sM1UmH7</f>
        <v>#NAME?</v>
      </c>
      <c r="B4459">
        <v>393.75</v>
      </c>
      <c r="C4459">
        <v>20.531590000000001</v>
      </c>
      <c r="D4459">
        <v>70</v>
      </c>
      <c r="E4459">
        <v>0</v>
      </c>
      <c r="F4459">
        <v>0</v>
      </c>
      <c r="G4459">
        <v>10</v>
      </c>
      <c r="H4459" s="4">
        <v>1570547501644</v>
      </c>
      <c r="I4459">
        <v>526.6875</v>
      </c>
      <c r="J4459" s="9">
        <f t="shared" si="69"/>
        <v>43746.924787546297</v>
      </c>
      <c r="K4459" s="1"/>
    </row>
    <row r="4460" spans="1:11" x14ac:dyDescent="0.25">
      <c r="A4460" t="e">
        <f>-LqfvHh2_3AFj56grrY4</f>
        <v>#NAME?</v>
      </c>
      <c r="B4460">
        <v>412.5</v>
      </c>
      <c r="C4460">
        <v>20.531590000000001</v>
      </c>
      <c r="D4460">
        <v>69</v>
      </c>
      <c r="E4460">
        <v>0</v>
      </c>
      <c r="F4460">
        <v>0</v>
      </c>
      <c r="G4460">
        <v>0</v>
      </c>
      <c r="H4460" s="4">
        <v>1570547508853</v>
      </c>
      <c r="I4460">
        <v>532.6875</v>
      </c>
      <c r="J4460" s="9">
        <f t="shared" si="69"/>
        <v>43746.924870983792</v>
      </c>
      <c r="K4460" s="1"/>
    </row>
    <row r="4461" spans="1:11" x14ac:dyDescent="0.25">
      <c r="A4461" t="e">
        <f>-LqfvJB4Dm-m26o0Ooz8</f>
        <v>#NAME?</v>
      </c>
      <c r="B4461">
        <v>393.75</v>
      </c>
      <c r="C4461">
        <v>20.531590000000001</v>
      </c>
      <c r="D4461">
        <v>69</v>
      </c>
      <c r="E4461">
        <v>0</v>
      </c>
      <c r="F4461">
        <v>0</v>
      </c>
      <c r="G4461">
        <v>12</v>
      </c>
      <c r="H4461" s="4">
        <v>1570547515043</v>
      </c>
      <c r="I4461">
        <v>526.6875</v>
      </c>
      <c r="J4461" s="9">
        <f t="shared" si="69"/>
        <v>43746.924942627309</v>
      </c>
      <c r="K4461" s="1"/>
    </row>
    <row r="4462" spans="1:11" x14ac:dyDescent="0.25">
      <c r="A4462" t="e">
        <f>-LqfvL3AANLUPHeydrFB</f>
        <v>#NAME?</v>
      </c>
      <c r="B4462">
        <v>393.75</v>
      </c>
      <c r="C4462">
        <v>20.584240000000001</v>
      </c>
      <c r="D4462">
        <v>69</v>
      </c>
      <c r="E4462">
        <v>0</v>
      </c>
      <c r="F4462">
        <v>0</v>
      </c>
      <c r="G4462">
        <v>4</v>
      </c>
      <c r="H4462" s="4">
        <v>1570547522588</v>
      </c>
      <c r="I4462">
        <v>526.5</v>
      </c>
      <c r="J4462" s="9">
        <f t="shared" si="69"/>
        <v>43746.925029953702</v>
      </c>
      <c r="K4462" s="1"/>
    </row>
    <row r="4463" spans="1:11" x14ac:dyDescent="0.25">
      <c r="A4463" t="e">
        <f>-LqfvMm3LClEgvEM6lKG</f>
        <v>#NAME?</v>
      </c>
      <c r="B4463">
        <v>393.75</v>
      </c>
      <c r="C4463">
        <v>20.531590000000001</v>
      </c>
      <c r="D4463">
        <v>67</v>
      </c>
      <c r="E4463">
        <v>0</v>
      </c>
      <c r="F4463">
        <v>0</v>
      </c>
      <c r="G4463">
        <v>8</v>
      </c>
      <c r="H4463" s="4">
        <v>1570547529463</v>
      </c>
      <c r="I4463">
        <v>526.5</v>
      </c>
      <c r="J4463" s="9">
        <f t="shared" si="69"/>
        <v>43746.925109525466</v>
      </c>
      <c r="K4463" s="1"/>
    </row>
    <row r="4464" spans="1:11" x14ac:dyDescent="0.25">
      <c r="A4464" t="e">
        <f>-LqfvOV4Y6zHgRE2EfKd</f>
        <v>#NAME?</v>
      </c>
      <c r="B4464">
        <v>393.75</v>
      </c>
      <c r="C4464">
        <v>20.531590000000001</v>
      </c>
      <c r="D4464">
        <v>67</v>
      </c>
      <c r="E4464">
        <v>0</v>
      </c>
      <c r="F4464">
        <v>0</v>
      </c>
      <c r="G4464">
        <v>7</v>
      </c>
      <c r="H4464" s="4">
        <v>1570547536685</v>
      </c>
      <c r="I4464">
        <v>526.6875</v>
      </c>
      <c r="J4464" s="9">
        <f t="shared" si="69"/>
        <v>43746.925193113428</v>
      </c>
      <c r="K4464" s="1"/>
    </row>
    <row r="4465" spans="1:11" x14ac:dyDescent="0.25">
      <c r="A4465" t="e">
        <f>-LqfvPz36MTkOhzp13mz</f>
        <v>#NAME?</v>
      </c>
      <c r="B4465">
        <v>393.75</v>
      </c>
      <c r="C4465">
        <v>20.531590000000001</v>
      </c>
      <c r="D4465">
        <v>67</v>
      </c>
      <c r="E4465">
        <v>0</v>
      </c>
      <c r="F4465">
        <v>0</v>
      </c>
      <c r="G4465">
        <v>9</v>
      </c>
      <c r="H4465" s="4">
        <v>1570547542865</v>
      </c>
      <c r="I4465">
        <v>526.6875</v>
      </c>
      <c r="J4465" s="9">
        <f t="shared" si="69"/>
        <v>43746.925264641199</v>
      </c>
      <c r="K4465" s="1"/>
    </row>
    <row r="4466" spans="1:11" x14ac:dyDescent="0.25">
      <c r="A4466" t="s">
        <v>246</v>
      </c>
      <c r="B4466">
        <v>393.75</v>
      </c>
      <c r="C4466">
        <v>20.531590000000001</v>
      </c>
      <c r="D4466">
        <v>67</v>
      </c>
      <c r="E4466">
        <v>0</v>
      </c>
      <c r="F4466">
        <v>0</v>
      </c>
      <c r="G4466">
        <v>11</v>
      </c>
      <c r="H4466" s="4">
        <v>1570547549055</v>
      </c>
      <c r="I4466">
        <v>526.6875</v>
      </c>
      <c r="J4466" s="9">
        <f t="shared" si="69"/>
        <v>43746.925336284716</v>
      </c>
      <c r="K4466" s="1"/>
    </row>
    <row r="4467" spans="1:11" x14ac:dyDescent="0.25">
      <c r="A4467" t="e">
        <f>-LqfvTGM-rv_x9_wEnWE</f>
        <v>#NAME?</v>
      </c>
      <c r="B4467">
        <v>393.75</v>
      </c>
      <c r="C4467">
        <v>20.584240000000001</v>
      </c>
      <c r="D4467">
        <v>67</v>
      </c>
      <c r="E4467">
        <v>0</v>
      </c>
      <c r="F4467">
        <v>0</v>
      </c>
      <c r="G4467">
        <v>0</v>
      </c>
      <c r="H4467" s="4">
        <v>1570547556244</v>
      </c>
      <c r="I4467">
        <v>526.6875</v>
      </c>
      <c r="J4467" s="9">
        <f t="shared" si="69"/>
        <v>43746.925419490733</v>
      </c>
      <c r="K4467" s="1"/>
    </row>
    <row r="4468" spans="1:11" x14ac:dyDescent="0.25">
      <c r="A4468" t="e">
        <f>-LqfvUp76DLPENkOMWhn</f>
        <v>#NAME?</v>
      </c>
      <c r="B4468">
        <v>393.75</v>
      </c>
      <c r="C4468">
        <v>20.531590000000001</v>
      </c>
      <c r="D4468">
        <v>67</v>
      </c>
      <c r="E4468">
        <v>0</v>
      </c>
      <c r="F4468">
        <v>0</v>
      </c>
      <c r="G4468">
        <v>6</v>
      </c>
      <c r="H4468" s="4">
        <v>1570547562456</v>
      </c>
      <c r="I4468">
        <v>526.6875</v>
      </c>
      <c r="J4468" s="9">
        <f t="shared" si="69"/>
        <v>43746.925491388887</v>
      </c>
      <c r="K4468" s="1"/>
    </row>
    <row r="4469" spans="1:11" x14ac:dyDescent="0.25">
      <c r="A4469" t="e">
        <f>-LqfvWYEc4zudTBMAA-i</f>
        <v>#NAME?</v>
      </c>
      <c r="B4469">
        <v>393.75</v>
      </c>
      <c r="C4469">
        <v>20.584240000000001</v>
      </c>
      <c r="D4469">
        <v>66</v>
      </c>
      <c r="E4469">
        <v>0</v>
      </c>
      <c r="F4469">
        <v>0</v>
      </c>
      <c r="G4469">
        <v>15</v>
      </c>
      <c r="H4469" s="4">
        <v>1570547569664</v>
      </c>
      <c r="I4469">
        <v>526.6875</v>
      </c>
      <c r="J4469" s="9">
        <f t="shared" si="69"/>
        <v>43746.925574814813</v>
      </c>
      <c r="K4469" s="1"/>
    </row>
    <row r="4470" spans="1:11" x14ac:dyDescent="0.25">
      <c r="A4470" t="e">
        <f>-LqfvYL3eimS_gLYrv91</f>
        <v>#NAME?</v>
      </c>
      <c r="B4470">
        <v>393.75</v>
      </c>
      <c r="C4470">
        <v>20.531590000000001</v>
      </c>
      <c r="D4470">
        <v>67</v>
      </c>
      <c r="E4470">
        <v>0</v>
      </c>
      <c r="F4470">
        <v>0</v>
      </c>
      <c r="G4470">
        <v>9</v>
      </c>
      <c r="H4470" s="4">
        <v>1570547576875</v>
      </c>
      <c r="I4470">
        <v>526.6875</v>
      </c>
      <c r="J4470" s="9">
        <f t="shared" si="69"/>
        <v>43746.925658275461</v>
      </c>
      <c r="K4470" s="1"/>
    </row>
    <row r="4471" spans="1:11" x14ac:dyDescent="0.25">
      <c r="A4471" t="e">
        <f>-Lqfv_33Wf4DlxuHlxQU</f>
        <v>#NAME?</v>
      </c>
      <c r="B4471">
        <v>393.75</v>
      </c>
      <c r="C4471">
        <v>20.531590000000001</v>
      </c>
      <c r="D4471">
        <v>64</v>
      </c>
      <c r="E4471">
        <v>0</v>
      </c>
      <c r="F4471">
        <v>0</v>
      </c>
      <c r="G4471">
        <v>11</v>
      </c>
      <c r="H4471" s="4">
        <v>1570547584093</v>
      </c>
      <c r="I4471">
        <v>526.6875</v>
      </c>
      <c r="J4471" s="9">
        <f t="shared" si="69"/>
        <v>43746.925741817126</v>
      </c>
      <c r="K4471" s="1"/>
    </row>
    <row r="4472" spans="1:11" x14ac:dyDescent="0.25">
      <c r="A4472" t="e">
        <f>-Lqfvac4RtNggeR0rErU</f>
        <v>#NAME?</v>
      </c>
      <c r="B4472">
        <v>393.75</v>
      </c>
      <c r="C4472">
        <v>20.584240000000001</v>
      </c>
      <c r="D4472">
        <v>65</v>
      </c>
      <c r="E4472">
        <v>0</v>
      </c>
      <c r="F4472">
        <v>0</v>
      </c>
      <c r="G4472">
        <v>8</v>
      </c>
      <c r="H4472" s="4">
        <v>1570547590275</v>
      </c>
      <c r="I4472">
        <v>526.5</v>
      </c>
      <c r="J4472" s="9">
        <f t="shared" si="69"/>
        <v>43746.925813368049</v>
      </c>
      <c r="K4472" s="1"/>
    </row>
    <row r="4473" spans="1:11" x14ac:dyDescent="0.25">
      <c r="A4473" t="e">
        <f>-LqfvcL3xtrvFkE10rqz</f>
        <v>#NAME?</v>
      </c>
      <c r="B4473">
        <v>393.75</v>
      </c>
      <c r="C4473">
        <v>20.531590000000001</v>
      </c>
      <c r="D4473">
        <v>65</v>
      </c>
      <c r="E4473">
        <v>0</v>
      </c>
      <c r="F4473">
        <v>0</v>
      </c>
      <c r="G4473">
        <v>11</v>
      </c>
      <c r="H4473" s="4">
        <v>1570547597485</v>
      </c>
      <c r="I4473">
        <v>526.6875</v>
      </c>
      <c r="J4473" s="9">
        <f t="shared" si="69"/>
        <v>43746.925896817127</v>
      </c>
      <c r="K4473" s="1"/>
    </row>
    <row r="4474" spans="1:11" x14ac:dyDescent="0.25">
      <c r="A4474" t="e">
        <f>-Lqfvdo8L3yNZNcBqm-S</f>
        <v>#NAME?</v>
      </c>
      <c r="B4474">
        <v>412.5</v>
      </c>
      <c r="C4474">
        <v>20.531590000000001</v>
      </c>
      <c r="D4474">
        <v>63</v>
      </c>
      <c r="E4474">
        <v>0</v>
      </c>
      <c r="F4474">
        <v>0</v>
      </c>
      <c r="G4474">
        <v>1</v>
      </c>
      <c r="H4474" s="4">
        <v>1570547603674</v>
      </c>
      <c r="I4474">
        <v>532.5</v>
      </c>
      <c r="J4474" s="9">
        <f t="shared" si="69"/>
        <v>43746.925968449075</v>
      </c>
      <c r="K4474" s="1"/>
    </row>
    <row r="4475" spans="1:11" x14ac:dyDescent="0.25">
      <c r="A4475" t="e">
        <f>-LqfvfO382enTMM6TUSh</f>
        <v>#NAME?</v>
      </c>
      <c r="B4475">
        <v>393.75</v>
      </c>
      <c r="C4475">
        <v>20.531590000000001</v>
      </c>
      <c r="D4475">
        <v>62</v>
      </c>
      <c r="E4475">
        <v>0</v>
      </c>
      <c r="F4475">
        <v>0</v>
      </c>
      <c r="G4475">
        <v>18</v>
      </c>
      <c r="H4475" s="4">
        <v>1570547609855</v>
      </c>
      <c r="I4475">
        <v>526.6875</v>
      </c>
      <c r="J4475" s="9">
        <f t="shared" si="69"/>
        <v>43746.926039988422</v>
      </c>
      <c r="K4475" s="1"/>
    </row>
    <row r="4476" spans="1:11" x14ac:dyDescent="0.25">
      <c r="A4476" t="e">
        <f>-Lqfvgs4kfdtFl5sc-bK</f>
        <v>#NAME?</v>
      </c>
      <c r="B4476">
        <v>393.75</v>
      </c>
      <c r="C4476">
        <v>20.584240000000001</v>
      </c>
      <c r="D4476">
        <v>62</v>
      </c>
      <c r="E4476">
        <v>0</v>
      </c>
      <c r="F4476">
        <v>0</v>
      </c>
      <c r="G4476">
        <v>2</v>
      </c>
      <c r="H4476" s="4">
        <v>1570547616035</v>
      </c>
      <c r="I4476">
        <v>526.6875</v>
      </c>
      <c r="J4476" s="9">
        <f t="shared" si="69"/>
        <v>43746.926111516201</v>
      </c>
      <c r="K4476" s="1"/>
    </row>
    <row r="4477" spans="1:11" x14ac:dyDescent="0.25">
      <c r="A4477" t="s">
        <v>247</v>
      </c>
      <c r="B4477">
        <v>393.75</v>
      </c>
      <c r="C4477">
        <v>20.584240000000001</v>
      </c>
      <c r="D4477">
        <v>62</v>
      </c>
      <c r="E4477">
        <v>0</v>
      </c>
      <c r="F4477">
        <v>0</v>
      </c>
      <c r="G4477">
        <v>5</v>
      </c>
      <c r="H4477" s="4">
        <v>1570547622235</v>
      </c>
      <c r="I4477">
        <v>526.6875</v>
      </c>
      <c r="J4477" s="9">
        <f t="shared" si="69"/>
        <v>43746.926183275464</v>
      </c>
      <c r="K4477" s="1"/>
    </row>
    <row r="4478" spans="1:11" x14ac:dyDescent="0.25">
      <c r="A4478" t="e">
        <f>-Lqfvjv4En3TsFbxQdNf</f>
        <v>#NAME?</v>
      </c>
      <c r="B4478">
        <v>393.75</v>
      </c>
      <c r="C4478">
        <v>20.584240000000001</v>
      </c>
      <c r="D4478">
        <v>62</v>
      </c>
      <c r="E4478">
        <v>0</v>
      </c>
      <c r="F4478">
        <v>0</v>
      </c>
      <c r="G4478">
        <v>3</v>
      </c>
      <c r="H4478" s="4">
        <v>1570547628405</v>
      </c>
      <c r="I4478">
        <v>526.6875</v>
      </c>
      <c r="J4478" s="9">
        <f t="shared" si="69"/>
        <v>43746.926254687496</v>
      </c>
      <c r="K4478" s="1"/>
    </row>
    <row r="4479" spans="1:11" x14ac:dyDescent="0.25">
      <c r="A4479" t="e">
        <f>-LqfvlajbjIKpoC3K8NA</f>
        <v>#NAME?</v>
      </c>
      <c r="B4479">
        <v>393.75</v>
      </c>
      <c r="C4479">
        <v>20.531590000000001</v>
      </c>
      <c r="D4479">
        <v>64</v>
      </c>
      <c r="E4479">
        <v>0</v>
      </c>
      <c r="F4479">
        <v>0</v>
      </c>
      <c r="G4479">
        <v>8</v>
      </c>
      <c r="H4479" s="4">
        <v>1570547635604</v>
      </c>
      <c r="I4479">
        <v>526.6875</v>
      </c>
      <c r="J4479" s="9">
        <f t="shared" si="69"/>
        <v>43746.926338009253</v>
      </c>
      <c r="K4479" s="1"/>
    </row>
    <row r="4480" spans="1:11" x14ac:dyDescent="0.25">
      <c r="A4480" t="e">
        <f>-LqfvnT9h4fuUx_xkGiG</f>
        <v>#NAME?</v>
      </c>
      <c r="B4480">
        <v>393.75</v>
      </c>
      <c r="C4480">
        <v>20.531590000000001</v>
      </c>
      <c r="D4480">
        <v>64</v>
      </c>
      <c r="E4480">
        <v>0</v>
      </c>
      <c r="F4480">
        <v>0</v>
      </c>
      <c r="G4480">
        <v>9</v>
      </c>
      <c r="H4480" s="4">
        <v>1570547641793</v>
      </c>
      <c r="I4480">
        <v>526.6875</v>
      </c>
      <c r="J4480" s="9">
        <f t="shared" si="69"/>
        <v>43746.926409641201</v>
      </c>
      <c r="K4480" s="1"/>
    </row>
    <row r="4481" spans="1:11" x14ac:dyDescent="0.25">
      <c r="A4481" t="e">
        <f>-Lqfvp93jfOREi9XVow4</f>
        <v>#NAME?</v>
      </c>
      <c r="B4481">
        <v>393.75</v>
      </c>
      <c r="C4481">
        <v>20.531590000000001</v>
      </c>
      <c r="D4481">
        <v>65</v>
      </c>
      <c r="E4481">
        <v>0</v>
      </c>
      <c r="F4481">
        <v>0</v>
      </c>
      <c r="G4481">
        <v>7</v>
      </c>
      <c r="H4481" s="4">
        <v>1570547650014</v>
      </c>
      <c r="I4481">
        <v>526.6875</v>
      </c>
      <c r="J4481" s="9">
        <f t="shared" si="69"/>
        <v>43746.926504791663</v>
      </c>
      <c r="K4481" s="1"/>
    </row>
    <row r="4482" spans="1:11" x14ac:dyDescent="0.25">
      <c r="A4482" t="s">
        <v>248</v>
      </c>
      <c r="B4482">
        <v>393.75</v>
      </c>
      <c r="C4482">
        <v>20.531590000000001</v>
      </c>
      <c r="D4482">
        <v>68</v>
      </c>
      <c r="E4482">
        <v>0</v>
      </c>
      <c r="F4482">
        <v>0</v>
      </c>
      <c r="G4482">
        <v>4</v>
      </c>
      <c r="H4482" s="4">
        <v>1570547656226</v>
      </c>
      <c r="I4482">
        <v>526.6875</v>
      </c>
      <c r="J4482" s="9">
        <f t="shared" si="69"/>
        <v>43746.92657668981</v>
      </c>
      <c r="K4482" s="1"/>
    </row>
    <row r="4483" spans="1:11" x14ac:dyDescent="0.25">
      <c r="A4483" t="e">
        <f>-LqfvsR5lUGr8m385XA9</f>
        <v>#NAME?</v>
      </c>
      <c r="B4483">
        <v>393.75</v>
      </c>
      <c r="C4483">
        <v>20.584240000000001</v>
      </c>
      <c r="D4483">
        <v>68</v>
      </c>
      <c r="E4483">
        <v>0</v>
      </c>
      <c r="F4483">
        <v>0</v>
      </c>
      <c r="G4483">
        <v>14</v>
      </c>
      <c r="H4483" s="4">
        <v>1570547663445</v>
      </c>
      <c r="I4483">
        <v>526.6875</v>
      </c>
      <c r="J4483" s="9">
        <f t="shared" ref="J4483:J4546" si="70">(H4483/86400000)+25569+(7/24)</f>
        <v>43746.926660243051</v>
      </c>
      <c r="K4483" s="1"/>
    </row>
    <row r="4484" spans="1:11" x14ac:dyDescent="0.25">
      <c r="A4484" t="s">
        <v>249</v>
      </c>
      <c r="B4484">
        <v>393.75</v>
      </c>
      <c r="C4484">
        <v>20.531590000000001</v>
      </c>
      <c r="D4484">
        <v>70</v>
      </c>
      <c r="E4484">
        <v>0</v>
      </c>
      <c r="F4484">
        <v>0</v>
      </c>
      <c r="G4484">
        <v>5</v>
      </c>
      <c r="H4484" s="4">
        <v>1570547669626</v>
      </c>
      <c r="I4484">
        <v>526.6875</v>
      </c>
      <c r="J4484" s="9">
        <f t="shared" si="70"/>
        <v>43746.926731782405</v>
      </c>
      <c r="K4484" s="1"/>
    </row>
    <row r="4485" spans="1:11" x14ac:dyDescent="0.25">
      <c r="A4485" t="e">
        <f>-Lqfvvi3IVRwEEycvjHE</f>
        <v>#NAME?</v>
      </c>
      <c r="B4485">
        <v>393.75</v>
      </c>
      <c r="C4485">
        <v>20.531590000000001</v>
      </c>
      <c r="D4485">
        <v>70</v>
      </c>
      <c r="E4485">
        <v>0</v>
      </c>
      <c r="F4485">
        <v>0</v>
      </c>
      <c r="G4485">
        <v>6</v>
      </c>
      <c r="H4485" s="4">
        <v>1570547676843</v>
      </c>
      <c r="I4485">
        <v>526.6875</v>
      </c>
      <c r="J4485" s="9">
        <f t="shared" si="70"/>
        <v>43746.926815312494</v>
      </c>
      <c r="K4485" s="1"/>
    </row>
    <row r="4486" spans="1:11" x14ac:dyDescent="0.25">
      <c r="A4486" t="e">
        <f>-LqfvxM4gfXiaP0CA9-T</f>
        <v>#NAME?</v>
      </c>
      <c r="B4486">
        <v>393.75</v>
      </c>
      <c r="C4486">
        <v>20.531590000000001</v>
      </c>
      <c r="D4486">
        <v>69</v>
      </c>
      <c r="E4486">
        <v>0</v>
      </c>
      <c r="F4486">
        <v>0</v>
      </c>
      <c r="G4486">
        <v>13</v>
      </c>
      <c r="H4486" s="4">
        <v>1570547683451</v>
      </c>
      <c r="I4486">
        <v>526.6875</v>
      </c>
      <c r="J4486" s="9">
        <f t="shared" si="70"/>
        <v>43746.926891793984</v>
      </c>
      <c r="K4486" s="1"/>
    </row>
    <row r="4487" spans="1:11" x14ac:dyDescent="0.25">
      <c r="A4487" t="e">
        <f>-LqfvyyzaGvKEmQgWlUX</f>
        <v>#NAME?</v>
      </c>
      <c r="B4487">
        <v>393.75</v>
      </c>
      <c r="C4487">
        <v>20.478950000000001</v>
      </c>
      <c r="D4487">
        <v>68</v>
      </c>
      <c r="E4487">
        <v>0</v>
      </c>
      <c r="F4487">
        <v>0</v>
      </c>
      <c r="G4487">
        <v>9</v>
      </c>
      <c r="H4487" s="4">
        <v>1570547690265</v>
      </c>
      <c r="I4487">
        <v>526.6875</v>
      </c>
      <c r="J4487" s="9">
        <f t="shared" si="70"/>
        <v>43746.926970659719</v>
      </c>
      <c r="K4487" s="1"/>
    </row>
    <row r="4488" spans="1:11" x14ac:dyDescent="0.25">
      <c r="A4488" t="e">
        <f>-Lqfw-i41_y6I8TagP4u</f>
        <v>#NAME?</v>
      </c>
      <c r="B4488">
        <v>393.75</v>
      </c>
      <c r="C4488">
        <v>20.478950000000001</v>
      </c>
      <c r="D4488">
        <v>69</v>
      </c>
      <c r="E4488">
        <v>0</v>
      </c>
      <c r="F4488">
        <v>0</v>
      </c>
      <c r="G4488">
        <v>1</v>
      </c>
      <c r="H4488" s="4">
        <v>1570547697423</v>
      </c>
      <c r="I4488">
        <v>526.5</v>
      </c>
      <c r="J4488" s="9">
        <f t="shared" si="70"/>
        <v>43746.927053506945</v>
      </c>
      <c r="K4488" s="1"/>
    </row>
    <row r="4489" spans="1:11" x14ac:dyDescent="0.25">
      <c r="A4489" t="e">
        <f>-Lqfw1H5wFEjTZHxfVpB</f>
        <v>#NAME?</v>
      </c>
      <c r="B4489">
        <v>393.75</v>
      </c>
      <c r="C4489">
        <v>20.584240000000001</v>
      </c>
      <c r="D4489">
        <v>69</v>
      </c>
      <c r="E4489">
        <v>0</v>
      </c>
      <c r="F4489">
        <v>0</v>
      </c>
      <c r="G4489">
        <v>0</v>
      </c>
      <c r="H4489" s="4">
        <v>1570547703636</v>
      </c>
      <c r="I4489">
        <v>526.6875</v>
      </c>
      <c r="J4489" s="9">
        <f t="shared" si="70"/>
        <v>43746.92712541666</v>
      </c>
      <c r="K4489" s="1"/>
    </row>
    <row r="4490" spans="1:11" x14ac:dyDescent="0.25">
      <c r="A4490" t="e">
        <f>-Lqfw2kai9qGXkQJgBXN</f>
        <v>#NAME?</v>
      </c>
      <c r="B4490">
        <v>393.75</v>
      </c>
      <c r="C4490">
        <v>20.531590000000001</v>
      </c>
      <c r="D4490">
        <v>69</v>
      </c>
      <c r="E4490">
        <v>0</v>
      </c>
      <c r="F4490">
        <v>0</v>
      </c>
      <c r="G4490">
        <v>10</v>
      </c>
      <c r="H4490" s="4">
        <v>1570547709795</v>
      </c>
      <c r="I4490">
        <v>526.6875</v>
      </c>
      <c r="J4490" s="9">
        <f t="shared" si="70"/>
        <v>43746.927196701385</v>
      </c>
      <c r="K4490" s="1"/>
    </row>
    <row r="4491" spans="1:11" x14ac:dyDescent="0.25">
      <c r="A4491" t="e">
        <f>-Lqfw4F3SRJMfGguUKph</f>
        <v>#NAME?</v>
      </c>
      <c r="B4491">
        <v>393.75</v>
      </c>
      <c r="C4491">
        <v>20.531590000000001</v>
      </c>
      <c r="D4491">
        <v>69</v>
      </c>
      <c r="E4491">
        <v>0</v>
      </c>
      <c r="F4491">
        <v>0</v>
      </c>
      <c r="G4491">
        <v>1</v>
      </c>
      <c r="H4491" s="4">
        <v>1570547716005</v>
      </c>
      <c r="I4491">
        <v>526.6875</v>
      </c>
      <c r="J4491" s="9">
        <f t="shared" si="70"/>
        <v>43746.927268576386</v>
      </c>
      <c r="K4491" s="1"/>
    </row>
    <row r="4492" spans="1:11" x14ac:dyDescent="0.25">
      <c r="A4492" t="e">
        <f>-Lqfw5o4MlYEBQBcVxH_</f>
        <v>#NAME?</v>
      </c>
      <c r="B4492">
        <v>393.75</v>
      </c>
      <c r="C4492">
        <v>20.584240000000001</v>
      </c>
      <c r="D4492">
        <v>68</v>
      </c>
      <c r="E4492">
        <v>0</v>
      </c>
      <c r="F4492">
        <v>0</v>
      </c>
      <c r="G4492">
        <v>6</v>
      </c>
      <c r="H4492" s="4">
        <v>1570547722185</v>
      </c>
      <c r="I4492">
        <v>526.6875</v>
      </c>
      <c r="J4492" s="9">
        <f t="shared" si="70"/>
        <v>43746.927340104165</v>
      </c>
      <c r="K4492" s="1"/>
    </row>
    <row r="4493" spans="1:11" x14ac:dyDescent="0.25">
      <c r="A4493" t="e">
        <f>-Lqfw7I5ZjLWO7TrImVj</f>
        <v>#NAME?</v>
      </c>
      <c r="B4493">
        <v>393.75</v>
      </c>
      <c r="C4493">
        <v>20.584240000000001</v>
      </c>
      <c r="D4493">
        <v>68</v>
      </c>
      <c r="E4493">
        <v>0</v>
      </c>
      <c r="F4493">
        <v>0</v>
      </c>
      <c r="G4493">
        <v>9</v>
      </c>
      <c r="H4493" s="4">
        <v>1570547728354</v>
      </c>
      <c r="I4493">
        <v>526.6875</v>
      </c>
      <c r="J4493" s="9">
        <f t="shared" si="70"/>
        <v>43746.927411504628</v>
      </c>
      <c r="K4493" s="1"/>
    </row>
    <row r="4494" spans="1:11" x14ac:dyDescent="0.25">
      <c r="A4494" t="e">
        <f>-Lqfw8m3YM_iVr0ttwhI</f>
        <v>#NAME?</v>
      </c>
      <c r="B4494">
        <v>412.5</v>
      </c>
      <c r="C4494">
        <v>20.531590000000001</v>
      </c>
      <c r="D4494">
        <v>69</v>
      </c>
      <c r="E4494">
        <v>0</v>
      </c>
      <c r="F4494">
        <v>0</v>
      </c>
      <c r="G4494">
        <v>9</v>
      </c>
      <c r="H4494" s="4">
        <v>1570547734564</v>
      </c>
      <c r="I4494">
        <v>532.3125</v>
      </c>
      <c r="J4494" s="9">
        <f t="shared" si="70"/>
        <v>43746.92748337963</v>
      </c>
      <c r="K4494" s="1"/>
    </row>
    <row r="4495" spans="1:11" x14ac:dyDescent="0.25">
      <c r="A4495" t="e">
        <f>-LqfwAbsfTy8yLtxieXq</f>
        <v>#NAME?</v>
      </c>
      <c r="B4495">
        <v>393.75</v>
      </c>
      <c r="C4495">
        <v>20.584240000000001</v>
      </c>
      <c r="D4495">
        <v>69</v>
      </c>
      <c r="E4495">
        <v>0</v>
      </c>
      <c r="F4495">
        <v>0</v>
      </c>
      <c r="G4495">
        <v>2</v>
      </c>
      <c r="H4495" s="4">
        <v>1570547740735</v>
      </c>
      <c r="I4495">
        <v>526.5</v>
      </c>
      <c r="J4495" s="9">
        <f t="shared" si="70"/>
        <v>43746.927554803238</v>
      </c>
      <c r="K4495" s="1"/>
    </row>
    <row r="4496" spans="1:11" x14ac:dyDescent="0.25">
      <c r="A4496" t="e">
        <f>-LqfwCN6ywuhEXkXfJ8C</f>
        <v>#NAME?</v>
      </c>
      <c r="B4496">
        <v>393.75</v>
      </c>
      <c r="C4496">
        <v>20.531590000000001</v>
      </c>
      <c r="D4496">
        <v>67</v>
      </c>
      <c r="E4496">
        <v>0</v>
      </c>
      <c r="F4496">
        <v>0</v>
      </c>
      <c r="G4496">
        <v>0</v>
      </c>
      <c r="H4496" s="4">
        <v>1570547748977</v>
      </c>
      <c r="I4496">
        <v>526.6875</v>
      </c>
      <c r="J4496" s="9">
        <f t="shared" si="70"/>
        <v>43746.927650196762</v>
      </c>
      <c r="K4496" s="1"/>
    </row>
    <row r="4497" spans="1:11" x14ac:dyDescent="0.25">
      <c r="A4497" t="e">
        <f>-LqfwE56klEmuLKlcYhD</f>
        <v>#NAME?</v>
      </c>
      <c r="B4497">
        <v>393.75</v>
      </c>
      <c r="C4497">
        <v>20.584240000000001</v>
      </c>
      <c r="D4497">
        <v>65</v>
      </c>
      <c r="E4497">
        <v>0</v>
      </c>
      <c r="F4497">
        <v>0</v>
      </c>
      <c r="G4497">
        <v>11</v>
      </c>
      <c r="H4497" s="4">
        <v>1570547756197</v>
      </c>
      <c r="I4497">
        <v>526.6875</v>
      </c>
      <c r="J4497" s="9">
        <f t="shared" si="70"/>
        <v>43746.927733761571</v>
      </c>
      <c r="K4497" s="1"/>
    </row>
    <row r="4498" spans="1:11" x14ac:dyDescent="0.25">
      <c r="A4498" t="e">
        <f>-LqfwF_6yfdhwxcGuCZY</f>
        <v>#NAME?</v>
      </c>
      <c r="B4498">
        <v>393.75</v>
      </c>
      <c r="C4498">
        <v>20.584240000000001</v>
      </c>
      <c r="D4498">
        <v>65</v>
      </c>
      <c r="E4498">
        <v>0</v>
      </c>
      <c r="F4498">
        <v>0</v>
      </c>
      <c r="G4498">
        <v>15</v>
      </c>
      <c r="H4498" s="4">
        <v>1570547762387</v>
      </c>
      <c r="I4498">
        <v>526.6875</v>
      </c>
      <c r="J4498" s="9">
        <f t="shared" si="70"/>
        <v>43746.927805405088</v>
      </c>
      <c r="K4498" s="1"/>
    </row>
    <row r="4499" spans="1:11" x14ac:dyDescent="0.25">
      <c r="A4499" t="e">
        <f>-LqfwH873J_H4oqhAmHf</f>
        <v>#NAME?</v>
      </c>
      <c r="B4499">
        <v>393.75</v>
      </c>
      <c r="C4499">
        <v>20.531590000000001</v>
      </c>
      <c r="D4499">
        <v>65</v>
      </c>
      <c r="E4499">
        <v>0</v>
      </c>
      <c r="F4499">
        <v>0</v>
      </c>
      <c r="G4499">
        <v>7</v>
      </c>
      <c r="H4499" s="4">
        <v>1570547768558</v>
      </c>
      <c r="I4499">
        <v>526.6875</v>
      </c>
      <c r="J4499" s="9">
        <f t="shared" si="70"/>
        <v>43746.927876828697</v>
      </c>
      <c r="K4499" s="1"/>
    </row>
    <row r="4500" spans="1:11" x14ac:dyDescent="0.25">
      <c r="A4500" t="e">
        <f>-LqfwIr5hqdfP9FLpIrd</f>
        <v>#NAME?</v>
      </c>
      <c r="B4500">
        <v>393.75</v>
      </c>
      <c r="C4500">
        <v>20.531590000000001</v>
      </c>
      <c r="D4500">
        <v>66</v>
      </c>
      <c r="E4500">
        <v>0</v>
      </c>
      <c r="F4500">
        <v>0</v>
      </c>
      <c r="G4500">
        <v>6</v>
      </c>
      <c r="H4500" s="4">
        <v>1570547775767</v>
      </c>
      <c r="I4500">
        <v>526.6875</v>
      </c>
      <c r="J4500" s="9">
        <f t="shared" si="70"/>
        <v>43746.927960266206</v>
      </c>
      <c r="K4500" s="1"/>
    </row>
    <row r="4501" spans="1:11" x14ac:dyDescent="0.25">
      <c r="A4501" t="e">
        <f>-LqfwKPGYKI7pWBXB2nY</f>
        <v>#NAME?</v>
      </c>
      <c r="B4501">
        <v>393.75</v>
      </c>
      <c r="C4501">
        <v>20.531590000000001</v>
      </c>
      <c r="D4501">
        <v>67</v>
      </c>
      <c r="E4501">
        <v>0</v>
      </c>
      <c r="F4501">
        <v>0</v>
      </c>
      <c r="G4501">
        <v>3</v>
      </c>
      <c r="H4501" s="4">
        <v>1570547781956</v>
      </c>
      <c r="I4501">
        <v>526.6875</v>
      </c>
      <c r="J4501" s="9">
        <f t="shared" si="70"/>
        <v>43746.928031898147</v>
      </c>
      <c r="K4501" s="1"/>
    </row>
    <row r="4502" spans="1:11" x14ac:dyDescent="0.25">
      <c r="A4502" t="e">
        <f>-LqfwM88TBgBXqu-CsAs</f>
        <v>#NAME?</v>
      </c>
      <c r="B4502">
        <v>393.75</v>
      </c>
      <c r="C4502">
        <v>20.584240000000001</v>
      </c>
      <c r="D4502">
        <v>67</v>
      </c>
      <c r="E4502">
        <v>0</v>
      </c>
      <c r="F4502">
        <v>0</v>
      </c>
      <c r="G4502">
        <v>10</v>
      </c>
      <c r="H4502" s="4">
        <v>1570547789166</v>
      </c>
      <c r="I4502">
        <v>526.6875</v>
      </c>
      <c r="J4502" s="9">
        <f t="shared" si="70"/>
        <v>43746.928115347218</v>
      </c>
      <c r="K4502" s="1"/>
    </row>
    <row r="4503" spans="1:11" x14ac:dyDescent="0.25">
      <c r="A4503" t="e">
        <f>-LqfwNtaXFv3e_DgRHYf</f>
        <v>#NAME?</v>
      </c>
      <c r="B4503">
        <v>393.75</v>
      </c>
      <c r="C4503">
        <v>20.584240000000001</v>
      </c>
      <c r="D4503">
        <v>67</v>
      </c>
      <c r="E4503">
        <v>0</v>
      </c>
      <c r="F4503">
        <v>0</v>
      </c>
      <c r="G4503">
        <v>8</v>
      </c>
      <c r="H4503" s="4">
        <v>1570547795353</v>
      </c>
      <c r="I4503">
        <v>526.6875</v>
      </c>
      <c r="J4503" s="9">
        <f t="shared" si="70"/>
        <v>43746.928186956015</v>
      </c>
      <c r="K4503" s="1"/>
    </row>
    <row r="4504" spans="1:11" x14ac:dyDescent="0.25">
      <c r="A4504" t="e">
        <f>-LqfwPe6VdrkkOhmMiPf</f>
        <v>#NAME?</v>
      </c>
      <c r="B4504">
        <v>393.75</v>
      </c>
      <c r="C4504">
        <v>20.531590000000001</v>
      </c>
      <c r="D4504">
        <v>66</v>
      </c>
      <c r="E4504">
        <v>0</v>
      </c>
      <c r="F4504">
        <v>0</v>
      </c>
      <c r="G4504">
        <v>8</v>
      </c>
      <c r="H4504" s="4">
        <v>1570547803606</v>
      </c>
      <c r="I4504">
        <v>526.5</v>
      </c>
      <c r="J4504" s="9">
        <f t="shared" si="70"/>
        <v>43746.928282476852</v>
      </c>
      <c r="K4504" s="1"/>
    </row>
    <row r="4505" spans="1:11" x14ac:dyDescent="0.25">
      <c r="A4505" t="e">
        <f>-LqfwRDD-U6L8WHxVC2P</f>
        <v>#NAME?</v>
      </c>
      <c r="B4505">
        <v>412.5</v>
      </c>
      <c r="C4505">
        <v>20.584240000000001</v>
      </c>
      <c r="D4505">
        <v>65</v>
      </c>
      <c r="E4505">
        <v>0</v>
      </c>
      <c r="F4505">
        <v>0</v>
      </c>
      <c r="G4505">
        <v>13</v>
      </c>
      <c r="H4505" s="4">
        <v>1570547809778</v>
      </c>
      <c r="I4505">
        <v>532.3125</v>
      </c>
      <c r="J4505" s="9">
        <f t="shared" si="70"/>
        <v>43746.92835391203</v>
      </c>
      <c r="K4505" s="1"/>
    </row>
    <row r="4506" spans="1:11" x14ac:dyDescent="0.25">
      <c r="A4506" t="e">
        <f>-LqfwSv14nWIJTZhfyyn</f>
        <v>#NAME?</v>
      </c>
      <c r="B4506">
        <v>393.75</v>
      </c>
      <c r="C4506">
        <v>20.584240000000001</v>
      </c>
      <c r="D4506">
        <v>69</v>
      </c>
      <c r="E4506">
        <v>0</v>
      </c>
      <c r="F4506">
        <v>0</v>
      </c>
      <c r="G4506">
        <v>14</v>
      </c>
      <c r="H4506" s="4">
        <v>1570547816986</v>
      </c>
      <c r="I4506">
        <v>526.5</v>
      </c>
      <c r="J4506" s="9">
        <f t="shared" si="70"/>
        <v>43746.928437337956</v>
      </c>
      <c r="K4506" s="1"/>
    </row>
    <row r="4507" spans="1:11" x14ac:dyDescent="0.25">
      <c r="A4507" t="e">
        <f>-LqfwUj6wUk6g21Q7bPl</f>
        <v>#NAME?</v>
      </c>
      <c r="B4507">
        <v>393.75</v>
      </c>
      <c r="C4507">
        <v>20.531590000000001</v>
      </c>
      <c r="D4507">
        <v>69</v>
      </c>
      <c r="E4507">
        <v>0</v>
      </c>
      <c r="F4507">
        <v>0</v>
      </c>
      <c r="G4507">
        <v>4</v>
      </c>
      <c r="H4507" s="4">
        <v>1570547824208</v>
      </c>
      <c r="I4507">
        <v>526.6875</v>
      </c>
      <c r="J4507" s="9">
        <f t="shared" si="70"/>
        <v>43746.928520925925</v>
      </c>
      <c r="K4507" s="1"/>
    </row>
    <row r="4508" spans="1:11" x14ac:dyDescent="0.25">
      <c r="A4508" t="e">
        <f>-LqfwWRcYQ3Kd0TM9m9e</f>
        <v>#NAME?</v>
      </c>
      <c r="B4508">
        <v>393.75</v>
      </c>
      <c r="C4508">
        <v>20.584240000000001</v>
      </c>
      <c r="D4508">
        <v>67</v>
      </c>
      <c r="E4508">
        <v>0</v>
      </c>
      <c r="F4508">
        <v>0</v>
      </c>
      <c r="G4508">
        <v>3</v>
      </c>
      <c r="H4508" s="4">
        <v>1570547831416</v>
      </c>
      <c r="I4508">
        <v>526.6875</v>
      </c>
      <c r="J4508" s="9">
        <f t="shared" si="70"/>
        <v>43746.928604351844</v>
      </c>
      <c r="K4508" s="1"/>
    </row>
    <row r="4509" spans="1:11" x14ac:dyDescent="0.25">
      <c r="A4509" t="e">
        <f>-LqfwXwI3u9PQV7NjyvJ</f>
        <v>#NAME?</v>
      </c>
      <c r="B4509">
        <v>393.75</v>
      </c>
      <c r="C4509">
        <v>20.584240000000001</v>
      </c>
      <c r="D4509">
        <v>67</v>
      </c>
      <c r="E4509">
        <v>0</v>
      </c>
      <c r="F4509">
        <v>0</v>
      </c>
      <c r="G4509">
        <v>9</v>
      </c>
      <c r="H4509" s="4">
        <v>1570547837598</v>
      </c>
      <c r="I4509">
        <v>526.6875</v>
      </c>
      <c r="J4509" s="9">
        <f t="shared" si="70"/>
        <v>43746.928675902775</v>
      </c>
      <c r="K4509" s="1"/>
    </row>
    <row r="4510" spans="1:11" x14ac:dyDescent="0.25">
      <c r="A4510" t="e">
        <f>-LqfwZV71oTgklkwQQr6</f>
        <v>#NAME?</v>
      </c>
      <c r="B4510">
        <v>393.75</v>
      </c>
      <c r="C4510">
        <v>20.531590000000001</v>
      </c>
      <c r="D4510">
        <v>66</v>
      </c>
      <c r="E4510">
        <v>0</v>
      </c>
      <c r="F4510">
        <v>0</v>
      </c>
      <c r="G4510">
        <v>8</v>
      </c>
      <c r="H4510" s="4">
        <v>1570547843786</v>
      </c>
      <c r="I4510">
        <v>526.6875</v>
      </c>
      <c r="J4510" s="9">
        <f t="shared" si="70"/>
        <v>43746.928747523147</v>
      </c>
      <c r="K4510" s="1"/>
    </row>
    <row r="4511" spans="1:11" x14ac:dyDescent="0.25">
      <c r="A4511" t="e">
        <f>-Lqfw_y-T8iNTDIKObQu</f>
        <v>#NAME?</v>
      </c>
      <c r="B4511">
        <v>412.5</v>
      </c>
      <c r="C4511">
        <v>20.531590000000001</v>
      </c>
      <c r="D4511">
        <v>66</v>
      </c>
      <c r="E4511">
        <v>0</v>
      </c>
      <c r="F4511">
        <v>0</v>
      </c>
      <c r="G4511">
        <v>3</v>
      </c>
      <c r="H4511" s="4">
        <v>1570547849966</v>
      </c>
      <c r="I4511">
        <v>532.3125</v>
      </c>
      <c r="J4511" s="9">
        <f t="shared" si="70"/>
        <v>43746.928819050925</v>
      </c>
      <c r="K4511" s="1"/>
    </row>
    <row r="4512" spans="1:11" x14ac:dyDescent="0.25">
      <c r="A4512" t="e">
        <f>-LqfwbY532EPbRuehU_k</f>
        <v>#NAME?</v>
      </c>
      <c r="B4512">
        <v>393.75</v>
      </c>
      <c r="C4512">
        <v>20.531590000000001</v>
      </c>
      <c r="D4512">
        <v>64</v>
      </c>
      <c r="E4512">
        <v>0</v>
      </c>
      <c r="F4512">
        <v>0</v>
      </c>
      <c r="G4512">
        <v>8</v>
      </c>
      <c r="H4512" s="4">
        <v>1570547856174</v>
      </c>
      <c r="I4512">
        <v>526.6875</v>
      </c>
      <c r="J4512" s="9">
        <f t="shared" si="70"/>
        <v>43746.928890902775</v>
      </c>
      <c r="K4512" s="1"/>
    </row>
    <row r="4513" spans="1:11" x14ac:dyDescent="0.25">
      <c r="A4513" t="e">
        <f>-LqfwdHN6M_glDj4MAa3</f>
        <v>#NAME?</v>
      </c>
      <c r="B4513">
        <v>393.75</v>
      </c>
      <c r="C4513">
        <v>20.584240000000001</v>
      </c>
      <c r="D4513">
        <v>65</v>
      </c>
      <c r="E4513">
        <v>0</v>
      </c>
      <c r="F4513">
        <v>0</v>
      </c>
      <c r="G4513">
        <v>6</v>
      </c>
      <c r="H4513" s="4">
        <v>1570547863366</v>
      </c>
      <c r="I4513">
        <v>526.6875</v>
      </c>
      <c r="J4513" s="9">
        <f t="shared" si="70"/>
        <v>43746.928974143513</v>
      </c>
      <c r="K4513" s="1"/>
    </row>
    <row r="4514" spans="1:11" x14ac:dyDescent="0.25">
      <c r="A4514" t="s">
        <v>250</v>
      </c>
      <c r="B4514">
        <v>393.75</v>
      </c>
      <c r="C4514">
        <v>20.478950000000001</v>
      </c>
      <c r="D4514">
        <v>65</v>
      </c>
      <c r="E4514">
        <v>0</v>
      </c>
      <c r="F4514">
        <v>0</v>
      </c>
      <c r="G4514">
        <v>5</v>
      </c>
      <c r="H4514" s="4">
        <v>1570547870576</v>
      </c>
      <c r="I4514">
        <v>526.6875</v>
      </c>
      <c r="J4514" s="9">
        <f t="shared" si="70"/>
        <v>43746.929057592592</v>
      </c>
      <c r="K4514" s="1"/>
    </row>
    <row r="4515" spans="1:11" x14ac:dyDescent="0.25">
      <c r="A4515" t="e">
        <f>-Lqfwgm5Y-EoQ4HAM30Y</f>
        <v>#NAME?</v>
      </c>
      <c r="B4515">
        <v>393.75</v>
      </c>
      <c r="C4515">
        <v>20.478950000000001</v>
      </c>
      <c r="D4515">
        <v>67</v>
      </c>
      <c r="E4515">
        <v>0</v>
      </c>
      <c r="F4515">
        <v>0</v>
      </c>
      <c r="G4515">
        <v>7</v>
      </c>
      <c r="H4515" s="4">
        <v>1570547877796</v>
      </c>
      <c r="I4515">
        <v>526.6875</v>
      </c>
      <c r="J4515" s="9">
        <f t="shared" si="70"/>
        <v>43746.929141157401</v>
      </c>
      <c r="K4515" s="1"/>
    </row>
    <row r="4516" spans="1:11" x14ac:dyDescent="0.25">
      <c r="A4516" t="e">
        <f>-LqfwiG5HrSpHUbizavW</f>
        <v>#NAME?</v>
      </c>
      <c r="B4516">
        <v>393.75</v>
      </c>
      <c r="C4516">
        <v>20.531590000000001</v>
      </c>
      <c r="D4516">
        <v>66</v>
      </c>
      <c r="E4516">
        <v>0</v>
      </c>
      <c r="F4516">
        <v>0</v>
      </c>
      <c r="G4516">
        <v>2</v>
      </c>
      <c r="H4516" s="4">
        <v>1570547883988</v>
      </c>
      <c r="I4516">
        <v>526.5</v>
      </c>
      <c r="J4516" s="9">
        <f t="shared" si="70"/>
        <v>43746.92921282407</v>
      </c>
      <c r="K4516" s="1"/>
    </row>
    <row r="4517" spans="1:11" x14ac:dyDescent="0.25">
      <c r="A4517" t="e">
        <f>-Lqfwjp7mP6sqq2yXpzM</f>
        <v>#NAME?</v>
      </c>
      <c r="B4517">
        <v>415.625</v>
      </c>
      <c r="C4517">
        <v>20.531590000000001</v>
      </c>
      <c r="D4517">
        <v>66</v>
      </c>
      <c r="E4517">
        <v>0</v>
      </c>
      <c r="F4517">
        <v>0</v>
      </c>
      <c r="G4517">
        <v>7</v>
      </c>
      <c r="H4517" s="4">
        <v>1570547890157</v>
      </c>
      <c r="I4517">
        <v>533.25</v>
      </c>
      <c r="J4517" s="9">
        <f t="shared" si="70"/>
        <v>43746.929284224534</v>
      </c>
      <c r="K4517" s="1"/>
    </row>
    <row r="4518" spans="1:11" x14ac:dyDescent="0.25">
      <c r="A4518" t="e">
        <f>-LqfwlY5Ro8gRmBinWPf</f>
        <v>#NAME?</v>
      </c>
      <c r="B4518">
        <v>393.75</v>
      </c>
      <c r="C4518">
        <v>20.531590000000001</v>
      </c>
      <c r="D4518">
        <v>67</v>
      </c>
      <c r="E4518">
        <v>0</v>
      </c>
      <c r="F4518">
        <v>0</v>
      </c>
      <c r="G4518">
        <v>3</v>
      </c>
      <c r="H4518" s="4">
        <v>1570547897367</v>
      </c>
      <c r="I4518">
        <v>526.6875</v>
      </c>
      <c r="J4518" s="9">
        <f t="shared" si="70"/>
        <v>43746.929367673605</v>
      </c>
      <c r="K4518" s="1"/>
    </row>
    <row r="4519" spans="1:11" x14ac:dyDescent="0.25">
      <c r="A4519" t="e">
        <f>-LqfwnB5DxBeRpu70lG9</f>
        <v>#NAME?</v>
      </c>
      <c r="B4519">
        <v>393.75</v>
      </c>
      <c r="C4519">
        <v>20.531590000000001</v>
      </c>
      <c r="D4519">
        <v>71</v>
      </c>
      <c r="E4519">
        <v>0</v>
      </c>
      <c r="F4519">
        <v>0</v>
      </c>
      <c r="G4519">
        <v>5</v>
      </c>
      <c r="H4519" s="4">
        <v>1570547903901</v>
      </c>
      <c r="I4519">
        <v>526.6875</v>
      </c>
      <c r="J4519" s="9">
        <f t="shared" si="70"/>
        <v>43746.929443298613</v>
      </c>
      <c r="K4519" s="1"/>
    </row>
    <row r="4520" spans="1:11" x14ac:dyDescent="0.25">
      <c r="A4520" t="e">
        <f>-Lqfwop5dE-z7XSB7KhV</f>
        <v>#NAME?</v>
      </c>
      <c r="B4520">
        <v>412.5</v>
      </c>
      <c r="C4520">
        <v>20.531590000000001</v>
      </c>
      <c r="D4520">
        <v>71</v>
      </c>
      <c r="E4520">
        <v>0</v>
      </c>
      <c r="F4520">
        <v>0</v>
      </c>
      <c r="G4520">
        <v>8</v>
      </c>
      <c r="H4520" s="4">
        <v>1570547910766</v>
      </c>
      <c r="I4520">
        <v>532.6875</v>
      </c>
      <c r="J4520" s="9">
        <f t="shared" si="70"/>
        <v>43746.929522754632</v>
      </c>
      <c r="K4520" s="1"/>
    </row>
    <row r="4521" spans="1:11" x14ac:dyDescent="0.25">
      <c r="A4521" t="e">
        <f>-LqfwqJ5uaHxsWu2AFux</f>
        <v>#NAME?</v>
      </c>
      <c r="B4521">
        <v>393.75</v>
      </c>
      <c r="C4521">
        <v>20.531590000000001</v>
      </c>
      <c r="D4521">
        <v>69</v>
      </c>
      <c r="E4521">
        <v>0</v>
      </c>
      <c r="F4521">
        <v>0</v>
      </c>
      <c r="G4521">
        <v>15</v>
      </c>
      <c r="H4521" s="4">
        <v>1570547916958</v>
      </c>
      <c r="I4521">
        <v>526.6875</v>
      </c>
      <c r="J4521" s="9">
        <f t="shared" si="70"/>
        <v>43746.929594421294</v>
      </c>
      <c r="K4521" s="1"/>
    </row>
    <row r="4522" spans="1:11" x14ac:dyDescent="0.25">
      <c r="A4522" t="e">
        <f>-Lqfwrs5POgB-iJU8sEx</f>
        <v>#NAME?</v>
      </c>
      <c r="B4522">
        <v>393.75</v>
      </c>
      <c r="C4522">
        <v>20.531590000000001</v>
      </c>
      <c r="D4522">
        <v>67</v>
      </c>
      <c r="E4522">
        <v>0</v>
      </c>
      <c r="F4522">
        <v>0</v>
      </c>
      <c r="G4522">
        <v>12</v>
      </c>
      <c r="H4522" s="4">
        <v>1570547923137</v>
      </c>
      <c r="I4522">
        <v>526.6875</v>
      </c>
      <c r="J4522" s="9">
        <f t="shared" si="70"/>
        <v>43746.929665937496</v>
      </c>
      <c r="K4522" s="1"/>
    </row>
    <row r="4523" spans="1:11" x14ac:dyDescent="0.25">
      <c r="A4523" t="e">
        <f>-Lqfwta61w8zxSIq2SFv</f>
        <v>#NAME?</v>
      </c>
      <c r="B4523">
        <v>393.75</v>
      </c>
      <c r="C4523">
        <v>20.531590000000001</v>
      </c>
      <c r="D4523">
        <v>66</v>
      </c>
      <c r="E4523">
        <v>0</v>
      </c>
      <c r="F4523">
        <v>0</v>
      </c>
      <c r="G4523">
        <v>11</v>
      </c>
      <c r="H4523" s="4">
        <v>1570547930328</v>
      </c>
      <c r="I4523">
        <v>526.6875</v>
      </c>
      <c r="J4523" s="9">
        <f t="shared" si="70"/>
        <v>43746.929749166666</v>
      </c>
      <c r="K4523" s="1"/>
    </row>
    <row r="4524" spans="1:11" x14ac:dyDescent="0.25">
      <c r="A4524" t="e">
        <f>-LqfwvAgt5FeGlt3XBOh</f>
        <v>#NAME?</v>
      </c>
      <c r="B4524">
        <v>393.75</v>
      </c>
      <c r="C4524">
        <v>20.531590000000001</v>
      </c>
      <c r="D4524">
        <v>72</v>
      </c>
      <c r="E4524">
        <v>0</v>
      </c>
      <c r="F4524">
        <v>0</v>
      </c>
      <c r="G4524">
        <v>8</v>
      </c>
      <c r="H4524" s="4">
        <v>1570547936538</v>
      </c>
      <c r="I4524">
        <v>526.6875</v>
      </c>
      <c r="J4524" s="9">
        <f t="shared" si="70"/>
        <v>43746.929821041667</v>
      </c>
      <c r="K4524" s="1"/>
    </row>
    <row r="4525" spans="1:11" x14ac:dyDescent="0.25">
      <c r="A4525" t="e">
        <f>-Lqfwx66CJ_zd6Ms77Ab</f>
        <v>#NAME?</v>
      </c>
      <c r="B4525">
        <v>390.625</v>
      </c>
      <c r="C4525">
        <v>20.531590000000001</v>
      </c>
      <c r="D4525">
        <v>72</v>
      </c>
      <c r="E4525">
        <v>0</v>
      </c>
      <c r="F4525">
        <v>0</v>
      </c>
      <c r="G4525">
        <v>11</v>
      </c>
      <c r="H4525" s="4">
        <v>1570547944488</v>
      </c>
      <c r="I4525">
        <v>525.9375</v>
      </c>
      <c r="J4525" s="9">
        <f t="shared" si="70"/>
        <v>43746.929913055552</v>
      </c>
      <c r="K4525" s="1"/>
    </row>
    <row r="4526" spans="1:11" x14ac:dyDescent="0.25">
      <c r="A4526" t="e">
        <f>-LqfwyfF4_P_f6hkAWEG</f>
        <v>#NAME?</v>
      </c>
      <c r="B4526">
        <v>393.75</v>
      </c>
      <c r="C4526">
        <v>20.478950000000001</v>
      </c>
      <c r="D4526">
        <v>70</v>
      </c>
      <c r="E4526">
        <v>0</v>
      </c>
      <c r="F4526">
        <v>0</v>
      </c>
      <c r="G4526">
        <v>10</v>
      </c>
      <c r="H4526" s="4">
        <v>1570547950966</v>
      </c>
      <c r="I4526">
        <v>526.6875</v>
      </c>
      <c r="J4526" s="9">
        <f t="shared" si="70"/>
        <v>43746.929988032403</v>
      </c>
      <c r="K4526" s="1"/>
    </row>
    <row r="4527" spans="1:11" x14ac:dyDescent="0.25">
      <c r="A4527" t="e">
        <f>-LqfX-OE4VUxNJwvpxd0</f>
        <v>#NAME?</v>
      </c>
      <c r="B4527">
        <v>393.75</v>
      </c>
      <c r="C4527">
        <v>20.478950000000001</v>
      </c>
      <c r="D4527">
        <v>69</v>
      </c>
      <c r="E4527">
        <v>0</v>
      </c>
      <c r="F4527">
        <v>0</v>
      </c>
      <c r="G4527">
        <v>6</v>
      </c>
      <c r="H4527" s="4">
        <v>1570547958168</v>
      </c>
      <c r="I4527">
        <v>526.5</v>
      </c>
      <c r="J4527" s="9">
        <f t="shared" si="70"/>
        <v>43746.930071388888</v>
      </c>
      <c r="K4527" s="1"/>
    </row>
    <row r="4528" spans="1:11" x14ac:dyDescent="0.25">
      <c r="A4528" t="e">
        <f>-Lqfx1Wd9FfAgYoeDNNn</f>
        <v>#NAME?</v>
      </c>
      <c r="B4528">
        <v>393.75</v>
      </c>
      <c r="C4528">
        <v>20.531590000000001</v>
      </c>
      <c r="D4528">
        <v>69</v>
      </c>
      <c r="E4528">
        <v>0</v>
      </c>
      <c r="F4528">
        <v>0</v>
      </c>
      <c r="G4528">
        <v>12</v>
      </c>
      <c r="H4528" s="4">
        <v>1570547965387</v>
      </c>
      <c r="I4528">
        <v>526.5</v>
      </c>
      <c r="J4528" s="9">
        <f t="shared" si="70"/>
        <v>43746.930154942129</v>
      </c>
      <c r="K4528" s="1"/>
    </row>
    <row r="4529" spans="1:11" x14ac:dyDescent="0.25">
      <c r="A4529" t="e">
        <f>-Lqfx3C51o7yfBbGVxXR</f>
        <v>#NAME?</v>
      </c>
      <c r="B4529">
        <v>393.75</v>
      </c>
      <c r="C4529">
        <v>20.531590000000001</v>
      </c>
      <c r="D4529">
        <v>67</v>
      </c>
      <c r="E4529">
        <v>0</v>
      </c>
      <c r="F4529">
        <v>0</v>
      </c>
      <c r="G4529">
        <v>11</v>
      </c>
      <c r="H4529" s="4">
        <v>1570547973648</v>
      </c>
      <c r="I4529">
        <v>526.6875</v>
      </c>
      <c r="J4529" s="9">
        <f t="shared" si="70"/>
        <v>43746.930250555553</v>
      </c>
      <c r="K4529" s="1"/>
    </row>
    <row r="4530" spans="1:11" x14ac:dyDescent="0.25">
      <c r="A4530" t="e">
        <f>-Lqfx4w1VoFRAOZhCXUp</f>
        <v>#NAME?</v>
      </c>
      <c r="B4530">
        <v>393.75</v>
      </c>
      <c r="C4530">
        <v>20.531590000000001</v>
      </c>
      <c r="D4530">
        <v>66</v>
      </c>
      <c r="E4530">
        <v>0</v>
      </c>
      <c r="F4530">
        <v>0</v>
      </c>
      <c r="G4530">
        <v>15</v>
      </c>
      <c r="H4530" s="4">
        <v>1570547980842</v>
      </c>
      <c r="I4530">
        <v>526.6875</v>
      </c>
      <c r="J4530" s="9">
        <f t="shared" si="70"/>
        <v>43746.930333819437</v>
      </c>
      <c r="K4530" s="1"/>
    </row>
    <row r="4531" spans="1:11" x14ac:dyDescent="0.25">
      <c r="A4531" t="e">
        <f>-Lqfx6e1bhsA1k7LHHIZ</f>
        <v>#NAME?</v>
      </c>
      <c r="B4531">
        <v>393.75</v>
      </c>
      <c r="C4531">
        <v>20.531590000000001</v>
      </c>
      <c r="D4531">
        <v>65</v>
      </c>
      <c r="E4531">
        <v>0</v>
      </c>
      <c r="F4531">
        <v>0</v>
      </c>
      <c r="G4531">
        <v>7</v>
      </c>
      <c r="H4531" s="4">
        <v>1570547987876</v>
      </c>
      <c r="I4531">
        <v>526.6875</v>
      </c>
      <c r="J4531" s="9">
        <f t="shared" si="70"/>
        <v>43746.93041523148</v>
      </c>
      <c r="K4531" s="1"/>
    </row>
    <row r="4532" spans="1:11" x14ac:dyDescent="0.25">
      <c r="A4532" t="e">
        <f>-Lqfx89IJLVhy8EN5GEX</f>
        <v>#NAME?</v>
      </c>
      <c r="B4532">
        <v>393.75</v>
      </c>
      <c r="C4532">
        <v>20.531590000000001</v>
      </c>
      <c r="D4532">
        <v>65</v>
      </c>
      <c r="E4532">
        <v>0</v>
      </c>
      <c r="F4532">
        <v>0</v>
      </c>
      <c r="G4532">
        <v>1</v>
      </c>
      <c r="H4532" s="4">
        <v>1570547994242</v>
      </c>
      <c r="I4532">
        <v>526.6875</v>
      </c>
      <c r="J4532" s="9">
        <f t="shared" si="70"/>
        <v>43746.930488912032</v>
      </c>
      <c r="K4532" s="1"/>
    </row>
    <row r="4533" spans="1:11" x14ac:dyDescent="0.25">
      <c r="A4533" t="e">
        <f>-Lqfx9ewrs9zQCAwinRH</f>
        <v>#NAME?</v>
      </c>
      <c r="B4533">
        <v>393.75</v>
      </c>
      <c r="C4533">
        <v>20.531590000000001</v>
      </c>
      <c r="D4533">
        <v>65</v>
      </c>
      <c r="E4533">
        <v>0</v>
      </c>
      <c r="F4533">
        <v>0</v>
      </c>
      <c r="G4533">
        <v>11</v>
      </c>
      <c r="H4533" s="4">
        <v>1570548000402</v>
      </c>
      <c r="I4533">
        <v>526.6875</v>
      </c>
      <c r="J4533" s="9">
        <f t="shared" si="70"/>
        <v>43746.930560208326</v>
      </c>
      <c r="K4533" s="1"/>
    </row>
    <row r="4534" spans="1:11" x14ac:dyDescent="0.25">
      <c r="A4534" t="e">
        <f>-LqfxBG2lgClEXDgyo2p</f>
        <v>#NAME?</v>
      </c>
      <c r="B4534">
        <v>393.75</v>
      </c>
      <c r="C4534">
        <v>20.531590000000001</v>
      </c>
      <c r="D4534">
        <v>65</v>
      </c>
      <c r="E4534">
        <v>0</v>
      </c>
      <c r="F4534">
        <v>0</v>
      </c>
      <c r="G4534">
        <v>2</v>
      </c>
      <c r="H4534" s="4">
        <v>1570548006604</v>
      </c>
      <c r="I4534">
        <v>526.6875</v>
      </c>
      <c r="J4534" s="9">
        <f t="shared" si="70"/>
        <v>43746.930631990741</v>
      </c>
      <c r="K4534" s="1"/>
    </row>
    <row r="4535" spans="1:11" x14ac:dyDescent="0.25">
      <c r="A4535" t="e">
        <f>-LqfxCxwc_8dNWZtEjyQ</f>
        <v>#NAME?</v>
      </c>
      <c r="B4535">
        <v>393.75</v>
      </c>
      <c r="C4535">
        <v>20.531590000000001</v>
      </c>
      <c r="D4535">
        <v>65</v>
      </c>
      <c r="E4535">
        <v>0</v>
      </c>
      <c r="F4535">
        <v>0</v>
      </c>
      <c r="G4535">
        <v>8</v>
      </c>
      <c r="H4535" s="4">
        <v>1570548013824</v>
      </c>
      <c r="I4535">
        <v>526.5</v>
      </c>
      <c r="J4535" s="9">
        <f t="shared" si="70"/>
        <v>43746.930715555551</v>
      </c>
      <c r="K4535" s="1"/>
    </row>
    <row r="4536" spans="1:11" x14ac:dyDescent="0.25">
      <c r="A4536" t="e">
        <f>-LqfxEYoRlV2WJwx00gd</f>
        <v>#NAME?</v>
      </c>
      <c r="B4536">
        <v>393.75</v>
      </c>
      <c r="C4536">
        <v>20.584240000000001</v>
      </c>
      <c r="D4536">
        <v>65</v>
      </c>
      <c r="E4536">
        <v>0</v>
      </c>
      <c r="F4536">
        <v>0</v>
      </c>
      <c r="G4536">
        <v>12</v>
      </c>
      <c r="H4536" s="4">
        <v>1570548020386</v>
      </c>
      <c r="I4536">
        <v>526.6875</v>
      </c>
      <c r="J4536" s="9">
        <f t="shared" si="70"/>
        <v>43746.93079150463</v>
      </c>
      <c r="K4536" s="1"/>
    </row>
    <row r="4537" spans="1:11" x14ac:dyDescent="0.25">
      <c r="A4537" t="e">
        <f>-LqfxGEwB42ijbizHgVE</f>
        <v>#NAME?</v>
      </c>
      <c r="B4537">
        <v>393.75</v>
      </c>
      <c r="C4537">
        <v>20.531590000000001</v>
      </c>
      <c r="D4537">
        <v>65</v>
      </c>
      <c r="E4537">
        <v>0</v>
      </c>
      <c r="F4537">
        <v>0</v>
      </c>
      <c r="G4537">
        <v>1</v>
      </c>
      <c r="H4537" s="4">
        <v>1570548027222</v>
      </c>
      <c r="I4537">
        <v>526.6875</v>
      </c>
      <c r="J4537" s="9">
        <f t="shared" si="70"/>
        <v>43746.930870624994</v>
      </c>
      <c r="K4537" s="1"/>
    </row>
    <row r="4538" spans="1:11" x14ac:dyDescent="0.25">
      <c r="A4538" t="e">
        <f>-LqfxI31awKWFW97uHEQ</f>
        <v>#NAME?</v>
      </c>
      <c r="B4538">
        <v>393.75</v>
      </c>
      <c r="C4538">
        <v>20.531590000000001</v>
      </c>
      <c r="D4538">
        <v>64</v>
      </c>
      <c r="E4538">
        <v>0</v>
      </c>
      <c r="F4538">
        <v>0</v>
      </c>
      <c r="G4538">
        <v>8</v>
      </c>
      <c r="H4538" s="4">
        <v>1570548034554</v>
      </c>
      <c r="I4538">
        <v>526.6875</v>
      </c>
      <c r="J4538" s="9">
        <f t="shared" si="70"/>
        <v>43746.93095548611</v>
      </c>
      <c r="K4538" s="1"/>
    </row>
    <row r="4539" spans="1:11" x14ac:dyDescent="0.25">
      <c r="A4539" t="e">
        <f>-LqfxJkwRHOD2VNcYDU2</f>
        <v>#NAME?</v>
      </c>
      <c r="B4539">
        <v>418.75</v>
      </c>
      <c r="C4539">
        <v>20.478950000000001</v>
      </c>
      <c r="D4539">
        <v>64</v>
      </c>
      <c r="E4539">
        <v>0</v>
      </c>
      <c r="F4539">
        <v>0</v>
      </c>
      <c r="G4539">
        <v>5</v>
      </c>
      <c r="H4539" s="4">
        <v>1570548041642</v>
      </c>
      <c r="I4539">
        <v>534.75</v>
      </c>
      <c r="J4539" s="9">
        <f t="shared" si="70"/>
        <v>43746.931037523151</v>
      </c>
      <c r="K4539" s="1"/>
    </row>
    <row r="4540" spans="1:11" x14ac:dyDescent="0.25">
      <c r="A4540" t="e">
        <f>-LqfxLG3l9_WVGB5tckv</f>
        <v>#NAME?</v>
      </c>
      <c r="B4540">
        <v>393.75</v>
      </c>
      <c r="C4540">
        <v>20.584240000000001</v>
      </c>
      <c r="D4540">
        <v>64</v>
      </c>
      <c r="E4540">
        <v>0</v>
      </c>
      <c r="F4540">
        <v>0</v>
      </c>
      <c r="G4540">
        <v>11</v>
      </c>
      <c r="H4540" s="4">
        <v>1570548047832</v>
      </c>
      <c r="I4540">
        <v>526.6875</v>
      </c>
      <c r="J4540" s="9">
        <f t="shared" si="70"/>
        <v>43746.931109166668</v>
      </c>
      <c r="K4540" s="1"/>
    </row>
    <row r="4541" spans="1:11" x14ac:dyDescent="0.25">
      <c r="A4541" t="e">
        <f>-LqfxN8Cnr2POu2Ai_11</f>
        <v>#NAME?</v>
      </c>
      <c r="B4541">
        <v>393.75</v>
      </c>
      <c r="C4541">
        <v>20.531590000000001</v>
      </c>
      <c r="D4541">
        <v>64</v>
      </c>
      <c r="E4541">
        <v>0</v>
      </c>
      <c r="F4541">
        <v>0</v>
      </c>
      <c r="G4541">
        <v>0</v>
      </c>
      <c r="H4541" s="4">
        <v>1570548054014</v>
      </c>
      <c r="I4541">
        <v>526.6875</v>
      </c>
      <c r="J4541" s="9">
        <f t="shared" si="70"/>
        <v>43746.931180717591</v>
      </c>
      <c r="K4541" s="1"/>
    </row>
    <row r="4542" spans="1:11" x14ac:dyDescent="0.25">
      <c r="A4542" t="e">
        <f>-LqfxOpxnk7_N3RSs959</f>
        <v>#NAME?</v>
      </c>
      <c r="B4542">
        <v>393.75</v>
      </c>
      <c r="C4542">
        <v>20.531590000000001</v>
      </c>
      <c r="D4542">
        <v>64</v>
      </c>
      <c r="E4542">
        <v>0</v>
      </c>
      <c r="F4542">
        <v>0</v>
      </c>
      <c r="G4542">
        <v>1</v>
      </c>
      <c r="H4542" s="4">
        <v>1570548062259</v>
      </c>
      <c r="I4542">
        <v>526.6875</v>
      </c>
      <c r="J4542" s="9">
        <f t="shared" si="70"/>
        <v>43746.931276145835</v>
      </c>
      <c r="K4542" s="1"/>
    </row>
    <row r="4543" spans="1:11" x14ac:dyDescent="0.25">
      <c r="A4543" t="e">
        <f>-LqfxQYweb0CTjF2DcCA</f>
        <v>#NAME?</v>
      </c>
      <c r="B4543">
        <v>393.75</v>
      </c>
      <c r="C4543">
        <v>20.531590000000001</v>
      </c>
      <c r="D4543">
        <v>65</v>
      </c>
      <c r="E4543">
        <v>0</v>
      </c>
      <c r="F4543">
        <v>0</v>
      </c>
      <c r="G4543">
        <v>9</v>
      </c>
      <c r="H4543" s="4">
        <v>1570548069472</v>
      </c>
      <c r="I4543">
        <v>526.6875</v>
      </c>
      <c r="J4543" s="9">
        <f t="shared" si="70"/>
        <v>43746.931359629627</v>
      </c>
      <c r="K4543" s="1"/>
    </row>
    <row r="4544" spans="1:11" x14ac:dyDescent="0.25">
      <c r="A4544" t="e">
        <f>-LqfxS1wsTFuBw9SL_49</f>
        <v>#NAME?</v>
      </c>
      <c r="B4544">
        <v>393.75</v>
      </c>
      <c r="C4544">
        <v>20.584240000000001</v>
      </c>
      <c r="D4544">
        <v>65</v>
      </c>
      <c r="E4544">
        <v>0</v>
      </c>
      <c r="F4544">
        <v>0</v>
      </c>
      <c r="G4544">
        <v>15</v>
      </c>
      <c r="H4544" s="4">
        <v>1570548075673</v>
      </c>
      <c r="I4544">
        <v>526.6875</v>
      </c>
      <c r="J4544" s="9">
        <f t="shared" si="70"/>
        <v>43746.931431400466</v>
      </c>
      <c r="K4544" s="1"/>
    </row>
    <row r="4545" spans="1:11" x14ac:dyDescent="0.25">
      <c r="A4545" t="e">
        <f>-LqfxTaw0JmUuiYTcVW2</f>
        <v>#NAME?</v>
      </c>
      <c r="B4545">
        <v>393.75</v>
      </c>
      <c r="C4545">
        <v>20.531590000000001</v>
      </c>
      <c r="D4545">
        <v>65</v>
      </c>
      <c r="E4545">
        <v>0</v>
      </c>
      <c r="F4545">
        <v>0</v>
      </c>
      <c r="G4545">
        <v>5</v>
      </c>
      <c r="H4545" s="4">
        <v>1570548081834</v>
      </c>
      <c r="I4545">
        <v>526.5</v>
      </c>
      <c r="J4545" s="9">
        <f t="shared" si="70"/>
        <v>43746.931502708328</v>
      </c>
      <c r="K4545" s="1"/>
    </row>
    <row r="4546" spans="1:11" x14ac:dyDescent="0.25">
      <c r="A4546" t="e">
        <f>-LqfxV4wHM3L4JNJWyUY</f>
        <v>#NAME?</v>
      </c>
      <c r="B4546">
        <v>393.75</v>
      </c>
      <c r="C4546">
        <v>20.584240000000001</v>
      </c>
      <c r="D4546">
        <v>65</v>
      </c>
      <c r="E4546">
        <v>0</v>
      </c>
      <c r="F4546">
        <v>0</v>
      </c>
      <c r="G4546">
        <v>7</v>
      </c>
      <c r="H4546" s="4">
        <v>1570548088022</v>
      </c>
      <c r="I4546">
        <v>526.6875</v>
      </c>
      <c r="J4546" s="9">
        <f t="shared" si="70"/>
        <v>43746.931574328701</v>
      </c>
      <c r="K4546" s="1"/>
    </row>
    <row r="4547" spans="1:11" x14ac:dyDescent="0.25">
      <c r="A4547" t="e">
        <f>-LqfxWaJ2P7JLnDU9lt8</f>
        <v>#NAME?</v>
      </c>
      <c r="B4547">
        <v>393.75</v>
      </c>
      <c r="C4547">
        <v>20.584240000000001</v>
      </c>
      <c r="D4547">
        <v>66</v>
      </c>
      <c r="E4547">
        <v>0</v>
      </c>
      <c r="F4547">
        <v>0</v>
      </c>
      <c r="G4547">
        <v>8</v>
      </c>
      <c r="H4547" s="4">
        <v>1570548094172</v>
      </c>
      <c r="I4547">
        <v>526.6875</v>
      </c>
      <c r="J4547" s="9">
        <f t="shared" ref="J4547:J4610" si="71">(H4547/86400000)+25569+(7/24)</f>
        <v>43746.931645509256</v>
      </c>
      <c r="K4547" s="1"/>
    </row>
    <row r="4548" spans="1:11" x14ac:dyDescent="0.25">
      <c r="A4548" t="e">
        <f>-LqfxYN5Ey5Ux1-ToGl5</f>
        <v>#NAME?</v>
      </c>
      <c r="B4548">
        <v>393.75</v>
      </c>
      <c r="C4548">
        <v>20.584240000000001</v>
      </c>
      <c r="D4548">
        <v>69</v>
      </c>
      <c r="E4548">
        <v>0</v>
      </c>
      <c r="F4548">
        <v>0</v>
      </c>
      <c r="G4548">
        <v>3</v>
      </c>
      <c r="H4548" s="4">
        <v>1570548101422</v>
      </c>
      <c r="I4548">
        <v>526.6875</v>
      </c>
      <c r="J4548" s="9">
        <f t="shared" si="71"/>
        <v>43746.931729421289</v>
      </c>
      <c r="K4548" s="1"/>
    </row>
    <row r="4549" spans="1:11" x14ac:dyDescent="0.25">
      <c r="A4549" t="e">
        <f>-Lqfx_63PbR5qnhL-cNP</f>
        <v>#NAME?</v>
      </c>
      <c r="B4549">
        <v>393.75</v>
      </c>
      <c r="C4549">
        <v>20.531590000000001</v>
      </c>
      <c r="D4549">
        <v>69</v>
      </c>
      <c r="E4549">
        <v>0</v>
      </c>
      <c r="F4549">
        <v>0</v>
      </c>
      <c r="G4549">
        <v>11</v>
      </c>
      <c r="H4549" s="4">
        <v>1570548108634</v>
      </c>
      <c r="I4549">
        <v>526.6875</v>
      </c>
      <c r="J4549" s="9">
        <f t="shared" si="71"/>
        <v>43746.931812893519</v>
      </c>
      <c r="K4549" s="1"/>
    </row>
    <row r="4550" spans="1:11" x14ac:dyDescent="0.25">
      <c r="A4550" t="e">
        <f>-Lqfxaf38j5fnOR7rCH9</f>
        <v>#NAME?</v>
      </c>
      <c r="B4550">
        <v>393.75</v>
      </c>
      <c r="C4550">
        <v>20.531590000000001</v>
      </c>
      <c r="D4550">
        <v>69</v>
      </c>
      <c r="E4550">
        <v>0</v>
      </c>
      <c r="F4550">
        <v>0</v>
      </c>
      <c r="G4550">
        <v>2</v>
      </c>
      <c r="H4550" s="4">
        <v>1570548114814</v>
      </c>
      <c r="I4550">
        <v>526.6875</v>
      </c>
      <c r="J4550" s="9">
        <f t="shared" si="71"/>
        <v>43746.93188442129</v>
      </c>
      <c r="K4550" s="1"/>
    </row>
    <row r="4551" spans="1:11" x14ac:dyDescent="0.25">
      <c r="A4551" t="e">
        <f>-LqfxcMC2at9omdbLrAZ</f>
        <v>#NAME?</v>
      </c>
      <c r="B4551">
        <v>393.75</v>
      </c>
      <c r="C4551">
        <v>20.478950000000001</v>
      </c>
      <c r="D4551">
        <v>69</v>
      </c>
      <c r="E4551">
        <v>0</v>
      </c>
      <c r="F4551">
        <v>0</v>
      </c>
      <c r="G4551">
        <v>9</v>
      </c>
      <c r="H4551" s="4">
        <v>1570548122004</v>
      </c>
      <c r="I4551">
        <v>526.6875</v>
      </c>
      <c r="J4551" s="9">
        <f t="shared" si="71"/>
        <v>43746.931967638891</v>
      </c>
      <c r="K4551" s="1"/>
    </row>
    <row r="4552" spans="1:11" x14ac:dyDescent="0.25">
      <c r="A4552" t="e">
        <f>-Lqfxe4ydrvs9CvliV8A</f>
        <v>#NAME?</v>
      </c>
      <c r="B4552">
        <v>393.75</v>
      </c>
      <c r="C4552">
        <v>20.478950000000001</v>
      </c>
      <c r="D4552">
        <v>69</v>
      </c>
      <c r="E4552">
        <v>0</v>
      </c>
      <c r="F4552">
        <v>0</v>
      </c>
      <c r="G4552">
        <v>8</v>
      </c>
      <c r="H4552" s="4">
        <v>1570548129065</v>
      </c>
      <c r="I4552">
        <v>526.6875</v>
      </c>
      <c r="J4552" s="9">
        <f t="shared" si="71"/>
        <v>43746.932049363422</v>
      </c>
      <c r="K4552" s="1"/>
    </row>
    <row r="4553" spans="1:11" x14ac:dyDescent="0.25">
      <c r="A4553" t="e">
        <f>-Lqfxff1XJ3_86JX4_Xj</f>
        <v>#NAME?</v>
      </c>
      <c r="B4553">
        <v>393.75</v>
      </c>
      <c r="C4553">
        <v>20.531590000000001</v>
      </c>
      <c r="D4553">
        <v>71</v>
      </c>
      <c r="E4553">
        <v>0</v>
      </c>
      <c r="F4553">
        <v>0</v>
      </c>
      <c r="G4553">
        <v>12</v>
      </c>
      <c r="H4553" s="4">
        <v>1570548135431</v>
      </c>
      <c r="I4553">
        <v>526.6875</v>
      </c>
      <c r="J4553" s="9">
        <f t="shared" si="71"/>
        <v>43746.932123043975</v>
      </c>
      <c r="K4553" s="1"/>
    </row>
    <row r="4554" spans="1:11" x14ac:dyDescent="0.25">
      <c r="A4554" t="e">
        <f>-Lqfxh7x6Jb7kpbqZ0NK</f>
        <v>#NAME?</v>
      </c>
      <c r="B4554">
        <v>412.5</v>
      </c>
      <c r="C4554">
        <v>20.584240000000001</v>
      </c>
      <c r="D4554">
        <v>67</v>
      </c>
      <c r="E4554">
        <v>0</v>
      </c>
      <c r="F4554">
        <v>0</v>
      </c>
      <c r="G4554">
        <v>13</v>
      </c>
      <c r="H4554" s="4">
        <v>1570548141602</v>
      </c>
      <c r="I4554">
        <v>532.3125</v>
      </c>
      <c r="J4554" s="9">
        <f t="shared" si="71"/>
        <v>43746.93219446759</v>
      </c>
      <c r="K4554" s="1"/>
    </row>
    <row r="4555" spans="1:11" x14ac:dyDescent="0.25">
      <c r="A4555" t="e">
        <f>-LqfxigzrRpO4074BEMe</f>
        <v>#NAME?</v>
      </c>
      <c r="B4555">
        <v>393.75</v>
      </c>
      <c r="C4555">
        <v>20.478950000000001</v>
      </c>
      <c r="D4555">
        <v>67</v>
      </c>
      <c r="E4555">
        <v>0</v>
      </c>
      <c r="F4555">
        <v>0</v>
      </c>
      <c r="G4555">
        <v>11</v>
      </c>
      <c r="H4555" s="4">
        <v>1570548147792</v>
      </c>
      <c r="I4555">
        <v>526.6875</v>
      </c>
      <c r="J4555" s="9">
        <f t="shared" si="71"/>
        <v>43746.932266111107</v>
      </c>
      <c r="K4555" s="1"/>
    </row>
    <row r="4556" spans="1:11" x14ac:dyDescent="0.25">
      <c r="A4556" t="e">
        <f>-LqfxkAwS82xmG4YWgv3</f>
        <v>#NAME?</v>
      </c>
      <c r="B4556">
        <v>393.75</v>
      </c>
      <c r="C4556">
        <v>20.531590000000001</v>
      </c>
      <c r="D4556">
        <v>68</v>
      </c>
      <c r="E4556">
        <v>0</v>
      </c>
      <c r="F4556">
        <v>0</v>
      </c>
      <c r="G4556">
        <v>5</v>
      </c>
      <c r="H4556" s="4">
        <v>1570548153973</v>
      </c>
      <c r="I4556">
        <v>526.6875</v>
      </c>
      <c r="J4556" s="9">
        <f t="shared" si="71"/>
        <v>43746.932337650462</v>
      </c>
      <c r="K4556" s="1"/>
    </row>
    <row r="4557" spans="1:11" x14ac:dyDescent="0.25">
      <c r="A4557" t="e">
        <f>-LqfxleyxOgkJzlKELcv</f>
        <v>#NAME?</v>
      </c>
      <c r="B4557">
        <v>393.75</v>
      </c>
      <c r="C4557">
        <v>20.531590000000001</v>
      </c>
      <c r="D4557">
        <v>68</v>
      </c>
      <c r="E4557">
        <v>0</v>
      </c>
      <c r="F4557">
        <v>0</v>
      </c>
      <c r="G4557">
        <v>8</v>
      </c>
      <c r="H4557" s="4">
        <v>1570548160157</v>
      </c>
      <c r="I4557">
        <v>526.6875</v>
      </c>
      <c r="J4557" s="9">
        <f t="shared" si="71"/>
        <v>43746.93240922453</v>
      </c>
      <c r="K4557" s="1"/>
    </row>
    <row r="4558" spans="1:11" x14ac:dyDescent="0.25">
      <c r="A4558" t="e">
        <f>-LqfxnFC8b7QD-ZTaaoL</f>
        <v>#NAME?</v>
      </c>
      <c r="B4558">
        <v>393.75</v>
      </c>
      <c r="C4558">
        <v>20.584240000000001</v>
      </c>
      <c r="D4558">
        <v>68</v>
      </c>
      <c r="E4558">
        <v>0</v>
      </c>
      <c r="F4558">
        <v>0</v>
      </c>
      <c r="G4558">
        <v>6</v>
      </c>
      <c r="H4558" s="4">
        <v>1570548166342</v>
      </c>
      <c r="I4558">
        <v>526.6875</v>
      </c>
      <c r="J4558" s="9">
        <f t="shared" si="71"/>
        <v>43746.932480810181</v>
      </c>
      <c r="K4558" s="1"/>
    </row>
    <row r="4559" spans="1:11" x14ac:dyDescent="0.25">
      <c r="A4559" t="e">
        <f>-LqfxohvDgaRooVdh2M9</f>
        <v>#NAME?</v>
      </c>
      <c r="B4559">
        <v>393.75</v>
      </c>
      <c r="C4559">
        <v>20.584240000000001</v>
      </c>
      <c r="D4559">
        <v>68</v>
      </c>
      <c r="E4559">
        <v>0</v>
      </c>
      <c r="F4559">
        <v>0</v>
      </c>
      <c r="G4559">
        <v>5</v>
      </c>
      <c r="H4559" s="4">
        <v>1570548172522</v>
      </c>
      <c r="I4559">
        <v>526.6875</v>
      </c>
      <c r="J4559" s="9">
        <f t="shared" si="71"/>
        <v>43746.932552337959</v>
      </c>
      <c r="K4559" s="1"/>
    </row>
    <row r="4560" spans="1:11" x14ac:dyDescent="0.25">
      <c r="A4560" t="e">
        <f>-LqfxqBwevdQhupaewXJ</f>
        <v>#NAME?</v>
      </c>
      <c r="B4560">
        <v>393.75</v>
      </c>
      <c r="C4560">
        <v>20.531590000000001</v>
      </c>
      <c r="D4560">
        <v>68</v>
      </c>
      <c r="E4560">
        <v>0</v>
      </c>
      <c r="F4560">
        <v>0</v>
      </c>
      <c r="G4560">
        <v>11</v>
      </c>
      <c r="H4560" s="4">
        <v>1570548178723</v>
      </c>
      <c r="I4560">
        <v>526.6875</v>
      </c>
      <c r="J4560" s="9">
        <f t="shared" si="71"/>
        <v>43746.932624108791</v>
      </c>
      <c r="K4560" s="1"/>
    </row>
    <row r="4561" spans="1:11" x14ac:dyDescent="0.25">
      <c r="A4561" t="e">
        <f>-Lqfxrm4T4xcz6_MHhLF</f>
        <v>#NAME?</v>
      </c>
      <c r="B4561">
        <v>393.75</v>
      </c>
      <c r="C4561">
        <v>20.531590000000001</v>
      </c>
      <c r="D4561">
        <v>67</v>
      </c>
      <c r="E4561">
        <v>0</v>
      </c>
      <c r="F4561">
        <v>0</v>
      </c>
      <c r="G4561">
        <v>12</v>
      </c>
      <c r="H4561" s="4">
        <v>1570548184893</v>
      </c>
      <c r="I4561">
        <v>526.6875</v>
      </c>
      <c r="J4561" s="9">
        <f t="shared" si="71"/>
        <v>43746.932695520831</v>
      </c>
      <c r="K4561" s="1"/>
    </row>
    <row r="4562" spans="1:11" x14ac:dyDescent="0.25">
      <c r="A4562" t="e">
        <f>-LqfxtyBrUXETXNev_OF</f>
        <v>#NAME?</v>
      </c>
      <c r="B4562">
        <v>393.75</v>
      </c>
      <c r="C4562">
        <v>20.531590000000001</v>
      </c>
      <c r="D4562">
        <v>67</v>
      </c>
      <c r="E4562">
        <v>0</v>
      </c>
      <c r="F4562">
        <v>0</v>
      </c>
      <c r="G4562">
        <v>7</v>
      </c>
      <c r="H4562" s="4">
        <v>1570548193386</v>
      </c>
      <c r="I4562">
        <v>526.6875</v>
      </c>
      <c r="J4562" s="9">
        <f t="shared" si="71"/>
        <v>43746.93279381944</v>
      </c>
      <c r="K4562" s="1"/>
    </row>
    <row r="4563" spans="1:11" x14ac:dyDescent="0.25">
      <c r="A4563" t="e">
        <f>-LqfxvVy75nZ9hNLTPCY</f>
        <v>#NAME?</v>
      </c>
      <c r="B4563">
        <v>393.75</v>
      </c>
      <c r="C4563">
        <v>20.531590000000001</v>
      </c>
      <c r="D4563">
        <v>66</v>
      </c>
      <c r="E4563">
        <v>0</v>
      </c>
      <c r="F4563">
        <v>0</v>
      </c>
      <c r="G4563">
        <v>10</v>
      </c>
      <c r="H4563" s="4">
        <v>1570548200344</v>
      </c>
      <c r="I4563">
        <v>526.6875</v>
      </c>
      <c r="J4563" s="9">
        <f t="shared" si="71"/>
        <v>43746.932874351849</v>
      </c>
      <c r="K4563" s="1"/>
    </row>
    <row r="4564" spans="1:11" x14ac:dyDescent="0.25">
      <c r="A4564" t="e">
        <f>-Lqfxx02yCz42w2iIEDA</f>
        <v>#NAME?</v>
      </c>
      <c r="B4564">
        <v>393.75</v>
      </c>
      <c r="C4564">
        <v>20.531590000000001</v>
      </c>
      <c r="D4564">
        <v>66</v>
      </c>
      <c r="E4564">
        <v>0</v>
      </c>
      <c r="F4564">
        <v>0</v>
      </c>
      <c r="G4564">
        <v>9</v>
      </c>
      <c r="H4564" s="4">
        <v>1570548206546</v>
      </c>
      <c r="I4564">
        <v>526.6875</v>
      </c>
      <c r="J4564" s="9">
        <f t="shared" si="71"/>
        <v>43746.932946134257</v>
      </c>
      <c r="K4564" s="1"/>
    </row>
    <row r="4565" spans="1:11" x14ac:dyDescent="0.25">
      <c r="A4565" t="e">
        <f>-LqfxyVD_gpGNUE1OQ1o</f>
        <v>#NAME?</v>
      </c>
      <c r="B4565">
        <v>393.75</v>
      </c>
      <c r="C4565">
        <v>20.531590000000001</v>
      </c>
      <c r="D4565">
        <v>67</v>
      </c>
      <c r="E4565">
        <v>0</v>
      </c>
      <c r="F4565">
        <v>0</v>
      </c>
      <c r="G4565">
        <v>10</v>
      </c>
      <c r="H4565" s="4">
        <v>1570548212714</v>
      </c>
      <c r="I4565">
        <v>526.6875</v>
      </c>
      <c r="J4565" s="9">
        <f t="shared" si="71"/>
        <v>43746.933017523144</v>
      </c>
      <c r="K4565" s="1"/>
    </row>
    <row r="4566" spans="1:11" x14ac:dyDescent="0.25">
      <c r="A4566" t="s">
        <v>251</v>
      </c>
      <c r="B4566">
        <v>393.75</v>
      </c>
      <c r="C4566">
        <v>20.584240000000001</v>
      </c>
      <c r="D4566">
        <v>67</v>
      </c>
      <c r="E4566">
        <v>0</v>
      </c>
      <c r="F4566">
        <v>0</v>
      </c>
      <c r="G4566">
        <v>3</v>
      </c>
      <c r="H4566" s="4">
        <v>1570548218904</v>
      </c>
      <c r="I4566">
        <v>526.6875</v>
      </c>
      <c r="J4566" s="9">
        <f t="shared" si="71"/>
        <v>43746.933089166669</v>
      </c>
      <c r="K4566" s="1"/>
    </row>
    <row r="4567" spans="1:11" x14ac:dyDescent="0.25">
      <c r="A4567" t="e">
        <f>-Lqfy0WzGmhWPetlpx-j</f>
        <v>#NAME?</v>
      </c>
      <c r="B4567">
        <v>393.75</v>
      </c>
      <c r="C4567">
        <v>20.531590000000001</v>
      </c>
      <c r="D4567">
        <v>67</v>
      </c>
      <c r="E4567">
        <v>0</v>
      </c>
      <c r="F4567">
        <v>0</v>
      </c>
      <c r="G4567">
        <v>6</v>
      </c>
      <c r="H4567" s="4">
        <v>1570548225062</v>
      </c>
      <c r="I4567">
        <v>526.5</v>
      </c>
      <c r="J4567" s="9">
        <f t="shared" si="71"/>
        <v>43746.93316043981</v>
      </c>
      <c r="K4567" s="1"/>
    </row>
    <row r="4568" spans="1:11" x14ac:dyDescent="0.25">
      <c r="A4568" t="e">
        <f>-Lqfy26ELSWk38YJOZ56</f>
        <v>#NAME?</v>
      </c>
      <c r="B4568">
        <v>393.75</v>
      </c>
      <c r="C4568">
        <v>20.531590000000001</v>
      </c>
      <c r="D4568">
        <v>67</v>
      </c>
      <c r="E4568">
        <v>0</v>
      </c>
      <c r="F4568">
        <v>0</v>
      </c>
      <c r="G4568">
        <v>13</v>
      </c>
      <c r="H4568" s="4">
        <v>1570548231263</v>
      </c>
      <c r="I4568">
        <v>526.6875</v>
      </c>
      <c r="J4568" s="9">
        <f t="shared" si="71"/>
        <v>43746.933232210642</v>
      </c>
      <c r="K4568" s="1"/>
    </row>
    <row r="4569" spans="1:11" x14ac:dyDescent="0.25">
      <c r="A4569" t="e">
        <f>-Lqfy3mhPUg1F1c7lrx5</f>
        <v>#NAME?</v>
      </c>
      <c r="B4569">
        <v>393.75</v>
      </c>
      <c r="C4569">
        <v>20.531590000000001</v>
      </c>
      <c r="D4569">
        <v>67</v>
      </c>
      <c r="E4569">
        <v>0</v>
      </c>
      <c r="F4569">
        <v>0</v>
      </c>
      <c r="G4569">
        <v>2</v>
      </c>
      <c r="H4569" s="4">
        <v>1570548238484</v>
      </c>
      <c r="I4569">
        <v>526.6875</v>
      </c>
      <c r="J4569" s="9">
        <f t="shared" si="71"/>
        <v>43746.933315787035</v>
      </c>
      <c r="K4569" s="1"/>
    </row>
    <row r="4570" spans="1:11" x14ac:dyDescent="0.25">
      <c r="A4570" t="e">
        <f>-Lqfy5MzoZkpqmH_5ljP</f>
        <v>#NAME?</v>
      </c>
      <c r="B4570">
        <v>393.75</v>
      </c>
      <c r="C4570">
        <v>20.531590000000001</v>
      </c>
      <c r="D4570">
        <v>68</v>
      </c>
      <c r="E4570">
        <v>0</v>
      </c>
      <c r="F4570">
        <v>0</v>
      </c>
      <c r="G4570">
        <v>4</v>
      </c>
      <c r="H4570" s="4">
        <v>1570548244663</v>
      </c>
      <c r="I4570">
        <v>526.6875</v>
      </c>
      <c r="J4570" s="9">
        <f t="shared" si="71"/>
        <v>43746.933387303237</v>
      </c>
      <c r="K4570" s="1"/>
    </row>
    <row r="4571" spans="1:11" x14ac:dyDescent="0.25">
      <c r="A4571" t="e">
        <f>-Lqfy7UtaTmC29GGqDnz</f>
        <v>#NAME?</v>
      </c>
      <c r="B4571">
        <v>393.75</v>
      </c>
      <c r="C4571">
        <v>20.531590000000001</v>
      </c>
      <c r="D4571">
        <v>67</v>
      </c>
      <c r="E4571">
        <v>0</v>
      </c>
      <c r="F4571">
        <v>0</v>
      </c>
      <c r="G4571">
        <v>10</v>
      </c>
      <c r="H4571" s="4">
        <v>1570548251874</v>
      </c>
      <c r="I4571">
        <v>526.6875</v>
      </c>
      <c r="J4571" s="9">
        <f t="shared" si="71"/>
        <v>43746.933470763885</v>
      </c>
      <c r="K4571" s="1"/>
    </row>
    <row r="4572" spans="1:11" x14ac:dyDescent="0.25">
      <c r="A4572" t="e">
        <f>-Lqfy96yTD160S1BAyDA</f>
        <v>#NAME?</v>
      </c>
      <c r="B4572">
        <v>393.75</v>
      </c>
      <c r="C4572">
        <v>20.531590000000001</v>
      </c>
      <c r="D4572">
        <v>66</v>
      </c>
      <c r="E4572">
        <v>0</v>
      </c>
      <c r="F4572">
        <v>0</v>
      </c>
      <c r="G4572">
        <v>10</v>
      </c>
      <c r="H4572" s="4">
        <v>1570548260115</v>
      </c>
      <c r="I4572">
        <v>526.6875</v>
      </c>
      <c r="J4572" s="9">
        <f t="shared" si="71"/>
        <v>43746.933566145832</v>
      </c>
      <c r="K4572" s="1"/>
    </row>
    <row r="4573" spans="1:11" x14ac:dyDescent="0.25">
      <c r="A4573" t="e">
        <f>-LqfyAayYCLADhgsvTkB</f>
        <v>#NAME?</v>
      </c>
      <c r="B4573">
        <v>393.75</v>
      </c>
      <c r="C4573">
        <v>20.531590000000001</v>
      </c>
      <c r="D4573">
        <v>66</v>
      </c>
      <c r="E4573">
        <v>0</v>
      </c>
      <c r="F4573">
        <v>0</v>
      </c>
      <c r="G4573">
        <v>5</v>
      </c>
      <c r="H4573" s="4">
        <v>1570548266273</v>
      </c>
      <c r="I4573">
        <v>526.6875</v>
      </c>
      <c r="J4573" s="9">
        <f t="shared" si="71"/>
        <v>43746.933637418981</v>
      </c>
      <c r="K4573" s="1"/>
    </row>
    <row r="4574" spans="1:11" x14ac:dyDescent="0.25">
      <c r="A4574" t="s">
        <v>252</v>
      </c>
      <c r="B4574">
        <v>412.5</v>
      </c>
      <c r="C4574">
        <v>20.478950000000001</v>
      </c>
      <c r="D4574">
        <v>67</v>
      </c>
      <c r="E4574">
        <v>0</v>
      </c>
      <c r="F4574">
        <v>0</v>
      </c>
      <c r="G4574">
        <v>9</v>
      </c>
      <c r="H4574" s="4">
        <v>1570548272920</v>
      </c>
      <c r="I4574">
        <v>532.125</v>
      </c>
      <c r="J4574" s="9">
        <f t="shared" si="71"/>
        <v>43746.93371435185</v>
      </c>
      <c r="K4574" s="1"/>
    </row>
    <row r="4575" spans="1:11" x14ac:dyDescent="0.25">
      <c r="A4575" t="e">
        <f>-LqfyDspuKGQYTehuBKL</f>
        <v>#NAME?</v>
      </c>
      <c r="B4575">
        <v>393.75</v>
      </c>
      <c r="C4575">
        <v>20.531590000000001</v>
      </c>
      <c r="D4575">
        <v>71</v>
      </c>
      <c r="E4575">
        <v>0</v>
      </c>
      <c r="F4575">
        <v>0</v>
      </c>
      <c r="G4575">
        <v>8</v>
      </c>
      <c r="H4575" s="4">
        <v>1570548279703</v>
      </c>
      <c r="I4575">
        <v>526.5</v>
      </c>
      <c r="J4575" s="9">
        <f t="shared" si="71"/>
        <v>43746.933792858799</v>
      </c>
      <c r="K4575" s="1"/>
    </row>
    <row r="4576" spans="1:11" x14ac:dyDescent="0.25">
      <c r="A4576" t="e">
        <f>-LqfyFOF8-mbULmp1OgE</f>
        <v>#NAME?</v>
      </c>
      <c r="B4576">
        <v>393.75</v>
      </c>
      <c r="C4576">
        <v>20.584240000000001</v>
      </c>
      <c r="D4576">
        <v>70</v>
      </c>
      <c r="E4576">
        <v>0</v>
      </c>
      <c r="F4576">
        <v>0</v>
      </c>
      <c r="G4576">
        <v>9</v>
      </c>
      <c r="H4576" s="4">
        <v>1570548285853</v>
      </c>
      <c r="I4576">
        <v>526.5</v>
      </c>
      <c r="J4576" s="9">
        <f t="shared" si="71"/>
        <v>43746.933864039347</v>
      </c>
      <c r="K4576" s="1"/>
    </row>
    <row r="4577" spans="1:11" x14ac:dyDescent="0.25">
      <c r="A4577" t="e">
        <f>-LqfyGx2jhP3RKYKkiYl</f>
        <v>#NAME?</v>
      </c>
      <c r="B4577">
        <v>393.75</v>
      </c>
      <c r="C4577">
        <v>20.531590000000001</v>
      </c>
      <c r="D4577">
        <v>69</v>
      </c>
      <c r="E4577">
        <v>0</v>
      </c>
      <c r="F4577">
        <v>0</v>
      </c>
      <c r="G4577">
        <v>10</v>
      </c>
      <c r="H4577" s="4">
        <v>1570548292063</v>
      </c>
      <c r="I4577">
        <v>526.6875</v>
      </c>
      <c r="J4577" s="9">
        <f t="shared" si="71"/>
        <v>43746.933935914349</v>
      </c>
      <c r="K4577" s="1"/>
    </row>
    <row r="4578" spans="1:11" x14ac:dyDescent="0.25">
      <c r="A4578" t="e">
        <f>-LqfyIf2tj2DuBXy53JC</f>
        <v>#NAME?</v>
      </c>
      <c r="B4578">
        <v>393.75</v>
      </c>
      <c r="C4578">
        <v>20.531590000000001</v>
      </c>
      <c r="D4578">
        <v>68</v>
      </c>
      <c r="E4578">
        <v>0</v>
      </c>
      <c r="F4578">
        <v>0</v>
      </c>
      <c r="G4578">
        <v>9</v>
      </c>
      <c r="H4578" s="4">
        <v>1570548299283</v>
      </c>
      <c r="I4578">
        <v>526.6875</v>
      </c>
      <c r="J4578" s="9">
        <f t="shared" si="71"/>
        <v>43746.934019479166</v>
      </c>
      <c r="K4578" s="1"/>
    </row>
    <row r="4579" spans="1:11" x14ac:dyDescent="0.25">
      <c r="A4579" t="e">
        <f>-LqfyKCpVCYfbr7KwV1W</f>
        <v>#NAME?</v>
      </c>
      <c r="B4579">
        <v>393.75</v>
      </c>
      <c r="C4579">
        <v>20.584240000000001</v>
      </c>
      <c r="D4579">
        <v>67</v>
      </c>
      <c r="E4579">
        <v>0</v>
      </c>
      <c r="F4579">
        <v>0</v>
      </c>
      <c r="G4579">
        <v>2</v>
      </c>
      <c r="H4579" s="4">
        <v>1570548305463</v>
      </c>
      <c r="I4579">
        <v>526.6875</v>
      </c>
      <c r="J4579" s="9">
        <f t="shared" si="71"/>
        <v>43746.934091006937</v>
      </c>
      <c r="K4579" s="1"/>
    </row>
    <row r="4580" spans="1:11" x14ac:dyDescent="0.25">
      <c r="A4580" t="e">
        <f>-LqfyLgxE7kxb3cBebQR</f>
        <v>#NAME?</v>
      </c>
      <c r="B4580">
        <v>393.75</v>
      </c>
      <c r="C4580">
        <v>20.478950000000001</v>
      </c>
      <c r="D4580">
        <v>67</v>
      </c>
      <c r="E4580">
        <v>0</v>
      </c>
      <c r="F4580">
        <v>0</v>
      </c>
      <c r="G4580">
        <v>7</v>
      </c>
      <c r="H4580" s="4">
        <v>1570548311634</v>
      </c>
      <c r="I4580">
        <v>526.6875</v>
      </c>
      <c r="J4580" s="9">
        <f t="shared" si="71"/>
        <v>43746.934162430553</v>
      </c>
      <c r="K4580" s="1"/>
    </row>
    <row r="4581" spans="1:11" x14ac:dyDescent="0.25">
      <c r="A4581" t="e">
        <f>-LqfyN9h3lZrSTbHKWyM</f>
        <v>#NAME?</v>
      </c>
      <c r="B4581">
        <v>393.75</v>
      </c>
      <c r="C4581">
        <v>20.478950000000001</v>
      </c>
      <c r="D4581">
        <v>63</v>
      </c>
      <c r="E4581">
        <v>0</v>
      </c>
      <c r="F4581">
        <v>0</v>
      </c>
      <c r="G4581">
        <v>8</v>
      </c>
      <c r="H4581" s="4">
        <v>1570548317844</v>
      </c>
      <c r="I4581">
        <v>526.6875</v>
      </c>
      <c r="J4581" s="9">
        <f t="shared" si="71"/>
        <v>43746.934234305554</v>
      </c>
      <c r="K4581" s="1"/>
    </row>
    <row r="4582" spans="1:11" x14ac:dyDescent="0.25">
      <c r="A4582" t="e">
        <f>-LqfyOeyc_lob3Sp7eYO</f>
        <v>#NAME?</v>
      </c>
      <c r="B4582">
        <v>393.75</v>
      </c>
      <c r="C4582">
        <v>20.531590000000001</v>
      </c>
      <c r="D4582">
        <v>63</v>
      </c>
      <c r="E4582">
        <v>0</v>
      </c>
      <c r="F4582">
        <v>0</v>
      </c>
      <c r="G4582">
        <v>12</v>
      </c>
      <c r="H4582" s="4">
        <v>1570548324004</v>
      </c>
      <c r="I4582">
        <v>526.6875</v>
      </c>
      <c r="J4582" s="9">
        <f t="shared" si="71"/>
        <v>43746.934305601848</v>
      </c>
      <c r="K4582" s="1"/>
    </row>
    <row r="4583" spans="1:11" x14ac:dyDescent="0.25">
      <c r="A4583" t="e">
        <f>-LqfyQDxbmzlNkFf9-Ur</f>
        <v>#NAME?</v>
      </c>
      <c r="B4583">
        <v>393.75</v>
      </c>
      <c r="C4583">
        <v>20.531590000000001</v>
      </c>
      <c r="D4583">
        <v>63</v>
      </c>
      <c r="E4583">
        <v>0</v>
      </c>
      <c r="F4583">
        <v>0</v>
      </c>
      <c r="G4583">
        <v>8</v>
      </c>
      <c r="H4583" s="4">
        <v>1570548330193</v>
      </c>
      <c r="I4583">
        <v>526.6875</v>
      </c>
      <c r="J4583" s="9">
        <f t="shared" si="71"/>
        <v>43746.934377233796</v>
      </c>
      <c r="K4583" s="1"/>
    </row>
    <row r="4584" spans="1:11" x14ac:dyDescent="0.25">
      <c r="A4584" t="e">
        <f>-LqfyRhzsJAlUTFMve9Y</f>
        <v>#NAME?</v>
      </c>
      <c r="B4584">
        <v>393.75</v>
      </c>
      <c r="C4584">
        <v>20.478950000000001</v>
      </c>
      <c r="D4584">
        <v>65</v>
      </c>
      <c r="E4584">
        <v>0</v>
      </c>
      <c r="F4584">
        <v>0</v>
      </c>
      <c r="G4584">
        <v>3</v>
      </c>
      <c r="H4584" s="4">
        <v>1570548336374</v>
      </c>
      <c r="I4584">
        <v>526.6875</v>
      </c>
      <c r="J4584" s="9">
        <f t="shared" si="71"/>
        <v>43746.934448773151</v>
      </c>
      <c r="K4584" s="1"/>
    </row>
    <row r="4585" spans="1:11" x14ac:dyDescent="0.25">
      <c r="A4585" t="e">
        <f>-LqfyTByqQsWjFN5u6pw</f>
        <v>#NAME?</v>
      </c>
      <c r="B4585">
        <v>412.5</v>
      </c>
      <c r="C4585">
        <v>20.531590000000001</v>
      </c>
      <c r="D4585">
        <v>65</v>
      </c>
      <c r="E4585">
        <v>0</v>
      </c>
      <c r="F4585">
        <v>0</v>
      </c>
      <c r="G4585">
        <v>0</v>
      </c>
      <c r="H4585" s="4">
        <v>1570548342563</v>
      </c>
      <c r="I4585">
        <v>532.3125</v>
      </c>
      <c r="J4585" s="9">
        <f t="shared" si="71"/>
        <v>43746.934520405091</v>
      </c>
      <c r="K4585" s="1"/>
    </row>
    <row r="4586" spans="1:11" x14ac:dyDescent="0.25">
      <c r="A4586" t="e">
        <f>-LqfyUm39XQ1Qja-bhXR</f>
        <v>#NAME?</v>
      </c>
      <c r="B4586">
        <v>393.75</v>
      </c>
      <c r="C4586">
        <v>20.531590000000001</v>
      </c>
      <c r="D4586">
        <v>66</v>
      </c>
      <c r="E4586">
        <v>0</v>
      </c>
      <c r="F4586">
        <v>0</v>
      </c>
      <c r="G4586">
        <v>12</v>
      </c>
      <c r="H4586" s="4">
        <v>1570548348743</v>
      </c>
      <c r="I4586">
        <v>526.6875</v>
      </c>
      <c r="J4586" s="9">
        <f t="shared" si="71"/>
        <v>43746.93459193287</v>
      </c>
      <c r="K4586" s="1"/>
    </row>
    <row r="4587" spans="1:11" x14ac:dyDescent="0.25">
      <c r="A4587" t="e">
        <f>-LqfyWEqhDHSFBTtw1Jx</f>
        <v>#NAME?</v>
      </c>
      <c r="B4587">
        <v>393.75</v>
      </c>
      <c r="C4587">
        <v>20.478950000000001</v>
      </c>
      <c r="D4587">
        <v>66</v>
      </c>
      <c r="E4587">
        <v>0</v>
      </c>
      <c r="F4587">
        <v>0</v>
      </c>
      <c r="G4587">
        <v>8</v>
      </c>
      <c r="H4587" s="4">
        <v>1570548354913</v>
      </c>
      <c r="I4587">
        <v>526.6875</v>
      </c>
      <c r="J4587" s="9">
        <f t="shared" si="71"/>
        <v>43746.934663344909</v>
      </c>
      <c r="K4587" s="1"/>
    </row>
    <row r="4588" spans="1:11" x14ac:dyDescent="0.25">
      <c r="A4588" t="e">
        <f>-LqfyXj7XU026-NuOvJX</f>
        <v>#NAME?</v>
      </c>
      <c r="B4588">
        <v>393.75</v>
      </c>
      <c r="C4588">
        <v>20.531590000000001</v>
      </c>
      <c r="D4588">
        <v>66</v>
      </c>
      <c r="E4588">
        <v>0</v>
      </c>
      <c r="F4588">
        <v>0</v>
      </c>
      <c r="G4588">
        <v>8</v>
      </c>
      <c r="H4588" s="4">
        <v>1570548361104</v>
      </c>
      <c r="I4588">
        <v>526.6875</v>
      </c>
      <c r="J4588" s="9">
        <f t="shared" si="71"/>
        <v>43746.934734999995</v>
      </c>
      <c r="K4588" s="1"/>
    </row>
    <row r="4589" spans="1:11" x14ac:dyDescent="0.25">
      <c r="A4589" t="e">
        <f>-LqfyZFJHyjBLLD_JQce</f>
        <v>#NAME?</v>
      </c>
      <c r="B4589">
        <v>393.75</v>
      </c>
      <c r="C4589">
        <v>20.531590000000001</v>
      </c>
      <c r="D4589">
        <v>66</v>
      </c>
      <c r="E4589">
        <v>0</v>
      </c>
      <c r="F4589">
        <v>0</v>
      </c>
      <c r="G4589">
        <v>14</v>
      </c>
      <c r="H4589" s="4">
        <v>1570548367304</v>
      </c>
      <c r="I4589">
        <v>526.6875</v>
      </c>
      <c r="J4589" s="9">
        <f t="shared" si="71"/>
        <v>43746.934806759258</v>
      </c>
      <c r="K4589" s="1"/>
    </row>
    <row r="4590" spans="1:11" x14ac:dyDescent="0.25">
      <c r="A4590" t="e">
        <f>-Lqfy_lzgKbDEf_voeTf</f>
        <v>#NAME?</v>
      </c>
      <c r="B4590">
        <v>393.75</v>
      </c>
      <c r="C4590">
        <v>20.531590000000001</v>
      </c>
      <c r="D4590">
        <v>67</v>
      </c>
      <c r="E4590">
        <v>0</v>
      </c>
      <c r="F4590">
        <v>0</v>
      </c>
      <c r="G4590">
        <v>9</v>
      </c>
      <c r="H4590" s="4">
        <v>1570548373473</v>
      </c>
      <c r="I4590">
        <v>526.6875</v>
      </c>
      <c r="J4590" s="9">
        <f t="shared" si="71"/>
        <v>43746.934878159715</v>
      </c>
      <c r="K4590" s="1"/>
    </row>
    <row r="4591" spans="1:11" x14ac:dyDescent="0.25">
      <c r="A4591" t="e">
        <f>-LqfybFy8PPx0xFrU484</f>
        <v>#NAME?</v>
      </c>
      <c r="B4591">
        <v>393.75</v>
      </c>
      <c r="C4591">
        <v>20.531590000000001</v>
      </c>
      <c r="D4591">
        <v>67</v>
      </c>
      <c r="E4591">
        <v>0</v>
      </c>
      <c r="F4591">
        <v>0</v>
      </c>
      <c r="G4591">
        <v>4</v>
      </c>
      <c r="H4591" s="4">
        <v>1570548379675</v>
      </c>
      <c r="I4591">
        <v>526.6875</v>
      </c>
      <c r="J4591" s="9">
        <f t="shared" si="71"/>
        <v>43746.93494994213</v>
      </c>
      <c r="K4591" s="1"/>
    </row>
    <row r="4592" spans="1:11" x14ac:dyDescent="0.25">
      <c r="A4592" t="e">
        <f>-Lqfycq4wnSy5O5FhC98</f>
        <v>#NAME?</v>
      </c>
      <c r="B4592">
        <v>393.75</v>
      </c>
      <c r="C4592">
        <v>20.531590000000001</v>
      </c>
      <c r="D4592">
        <v>66</v>
      </c>
      <c r="E4592">
        <v>0</v>
      </c>
      <c r="F4592">
        <v>0</v>
      </c>
      <c r="G4592">
        <v>6</v>
      </c>
      <c r="H4592" s="4">
        <v>1570548385846</v>
      </c>
      <c r="I4592">
        <v>526.6875</v>
      </c>
      <c r="J4592" s="9">
        <f t="shared" si="71"/>
        <v>43746.935021365738</v>
      </c>
      <c r="K4592" s="1"/>
    </row>
    <row r="4593" spans="1:11" x14ac:dyDescent="0.25">
      <c r="A4593" t="e">
        <f>-LqfyeZLgSegInB-k0VI</f>
        <v>#NAME?</v>
      </c>
      <c r="B4593">
        <v>393.75</v>
      </c>
      <c r="C4593">
        <v>20.478950000000001</v>
      </c>
      <c r="D4593">
        <v>65</v>
      </c>
      <c r="E4593">
        <v>0</v>
      </c>
      <c r="F4593">
        <v>0</v>
      </c>
      <c r="G4593">
        <v>5</v>
      </c>
      <c r="H4593" s="4">
        <v>1570548393045</v>
      </c>
      <c r="I4593">
        <v>526.5</v>
      </c>
      <c r="J4593" s="9">
        <f t="shared" si="71"/>
        <v>43746.935104687502</v>
      </c>
      <c r="K4593" s="1"/>
    </row>
    <row r="4594" spans="1:11" x14ac:dyDescent="0.25">
      <c r="A4594" t="e">
        <f>-LqfygKydc5gmG0lGf4L</f>
        <v>#NAME?</v>
      </c>
      <c r="B4594">
        <v>393.75</v>
      </c>
      <c r="C4594">
        <v>20.531590000000001</v>
      </c>
      <c r="D4594">
        <v>65</v>
      </c>
      <c r="E4594">
        <v>0</v>
      </c>
      <c r="F4594">
        <v>0</v>
      </c>
      <c r="G4594">
        <v>0</v>
      </c>
      <c r="H4594" s="4">
        <v>1570548400274</v>
      </c>
      <c r="I4594">
        <v>526.6875</v>
      </c>
      <c r="J4594" s="9">
        <f t="shared" si="71"/>
        <v>43746.935188356474</v>
      </c>
      <c r="K4594" s="1"/>
    </row>
    <row r="4595" spans="1:11" x14ac:dyDescent="0.25">
      <c r="A4595" t="e">
        <f>-Lqfyi86WpsS-sU0p723</f>
        <v>#NAME?</v>
      </c>
      <c r="B4595">
        <v>393.75</v>
      </c>
      <c r="C4595">
        <v>20.478950000000001</v>
      </c>
      <c r="D4595">
        <v>65</v>
      </c>
      <c r="E4595">
        <v>0</v>
      </c>
      <c r="F4595">
        <v>0</v>
      </c>
      <c r="G4595">
        <v>5</v>
      </c>
      <c r="H4595" s="4">
        <v>1570548406433</v>
      </c>
      <c r="I4595">
        <v>526.6875</v>
      </c>
      <c r="J4595" s="9">
        <f t="shared" si="71"/>
        <v>43746.935259641199</v>
      </c>
      <c r="K4595" s="1"/>
    </row>
    <row r="4596" spans="1:11" x14ac:dyDescent="0.25">
      <c r="A4596" t="e">
        <f>-LqfyjqyZTtoaRfB9Jp5</f>
        <v>#NAME?</v>
      </c>
      <c r="B4596">
        <v>393.75</v>
      </c>
      <c r="C4596">
        <v>20.478950000000001</v>
      </c>
      <c r="D4596">
        <v>66</v>
      </c>
      <c r="E4596">
        <v>0</v>
      </c>
      <c r="F4596">
        <v>0</v>
      </c>
      <c r="G4596">
        <v>17</v>
      </c>
      <c r="H4596" s="4">
        <v>1570548414704</v>
      </c>
      <c r="I4596">
        <v>526.6875</v>
      </c>
      <c r="J4596" s="9">
        <f t="shared" si="71"/>
        <v>43746.93535537037</v>
      </c>
      <c r="K4596" s="1"/>
    </row>
    <row r="4597" spans="1:11" x14ac:dyDescent="0.25">
      <c r="A4597" t="e">
        <f>-LqfylJipS7v-NT0Xm9P</f>
        <v>#NAME?</v>
      </c>
      <c r="B4597">
        <v>393.75</v>
      </c>
      <c r="C4597">
        <v>20.531590000000001</v>
      </c>
      <c r="D4597">
        <v>66</v>
      </c>
      <c r="E4597">
        <v>0</v>
      </c>
      <c r="F4597">
        <v>0</v>
      </c>
      <c r="G4597">
        <v>10</v>
      </c>
      <c r="H4597" s="4">
        <v>1570548420885</v>
      </c>
      <c r="I4597">
        <v>526.5</v>
      </c>
      <c r="J4597" s="9">
        <f t="shared" si="71"/>
        <v>43746.935426909717</v>
      </c>
      <c r="K4597" s="1"/>
    </row>
    <row r="4598" spans="1:11" x14ac:dyDescent="0.25">
      <c r="A4598" t="e">
        <f>-Lqfymv3kxR2xJVWSqdZ</f>
        <v>#NAME?</v>
      </c>
      <c r="B4598">
        <v>393.75</v>
      </c>
      <c r="C4598">
        <v>20.531590000000001</v>
      </c>
      <c r="D4598">
        <v>67</v>
      </c>
      <c r="E4598">
        <v>0</v>
      </c>
      <c r="F4598">
        <v>0</v>
      </c>
      <c r="G4598">
        <v>6</v>
      </c>
      <c r="H4598" s="4">
        <v>1570548427064</v>
      </c>
      <c r="I4598">
        <v>526.5</v>
      </c>
      <c r="J4598" s="9">
        <f t="shared" si="71"/>
        <v>43746.935498425919</v>
      </c>
      <c r="K4598" s="1"/>
    </row>
    <row r="4599" spans="1:11" x14ac:dyDescent="0.25">
      <c r="A4599" t="e">
        <f>-Lqfyobyd9bSQifG5RjJ</f>
        <v>#NAME?</v>
      </c>
      <c r="B4599">
        <v>393.75</v>
      </c>
      <c r="C4599">
        <v>20.478950000000001</v>
      </c>
      <c r="D4599">
        <v>68</v>
      </c>
      <c r="E4599">
        <v>0</v>
      </c>
      <c r="F4599">
        <v>0</v>
      </c>
      <c r="G4599">
        <v>4</v>
      </c>
      <c r="H4599" s="4">
        <v>1570548434284</v>
      </c>
      <c r="I4599">
        <v>526.6875</v>
      </c>
      <c r="J4599" s="9">
        <f t="shared" si="71"/>
        <v>43746.935581990743</v>
      </c>
      <c r="K4599" s="1"/>
    </row>
    <row r="4600" spans="1:11" x14ac:dyDescent="0.25">
      <c r="A4600" t="e">
        <f>-Lqfyq5yYCR85a6OCK9O</f>
        <v>#NAME?</v>
      </c>
      <c r="B4600">
        <v>393.75</v>
      </c>
      <c r="C4600">
        <v>20.531590000000001</v>
      </c>
      <c r="D4600">
        <v>68</v>
      </c>
      <c r="E4600">
        <v>0</v>
      </c>
      <c r="F4600">
        <v>0</v>
      </c>
      <c r="G4600">
        <v>5</v>
      </c>
      <c r="H4600" s="4">
        <v>1570548440475</v>
      </c>
      <c r="I4600">
        <v>526.6875</v>
      </c>
      <c r="J4600" s="9">
        <f t="shared" si="71"/>
        <v>43746.935653645829</v>
      </c>
      <c r="K4600" s="1"/>
    </row>
    <row r="4601" spans="1:11" x14ac:dyDescent="0.25">
      <c r="A4601" t="e">
        <f>-LqfyrbDJTWFt-uSe63Z</f>
        <v>#NAME?</v>
      </c>
      <c r="B4601">
        <v>393.75</v>
      </c>
      <c r="C4601">
        <v>20.478950000000001</v>
      </c>
      <c r="D4601">
        <v>68</v>
      </c>
      <c r="E4601">
        <v>0</v>
      </c>
      <c r="F4601">
        <v>0</v>
      </c>
      <c r="G4601">
        <v>4</v>
      </c>
      <c r="H4601" s="4">
        <v>1570548446644</v>
      </c>
      <c r="I4601">
        <v>526.6875</v>
      </c>
      <c r="J4601" s="9">
        <f t="shared" si="71"/>
        <v>43746.935725046293</v>
      </c>
      <c r="K4601" s="1"/>
    </row>
    <row r="4602" spans="1:11" x14ac:dyDescent="0.25">
      <c r="A4602" t="e">
        <f>-Lqfyt8yHaEupBrAKFgz</f>
        <v>#NAME?</v>
      </c>
      <c r="B4602">
        <v>393.75</v>
      </c>
      <c r="C4602">
        <v>20.584240000000001</v>
      </c>
      <c r="D4602">
        <v>68</v>
      </c>
      <c r="E4602">
        <v>0</v>
      </c>
      <c r="F4602">
        <v>0</v>
      </c>
      <c r="G4602">
        <v>7</v>
      </c>
      <c r="H4602" s="4">
        <v>1570548452824</v>
      </c>
      <c r="I4602">
        <v>526.6875</v>
      </c>
      <c r="J4602" s="9">
        <f t="shared" si="71"/>
        <v>43746.935796574071</v>
      </c>
      <c r="K4602" s="1"/>
    </row>
    <row r="4603" spans="1:11" x14ac:dyDescent="0.25">
      <c r="A4603" t="e">
        <f>-Lqfyuy5JKkzXXOdfJNN</f>
        <v>#NAME?</v>
      </c>
      <c r="B4603">
        <v>393.75</v>
      </c>
      <c r="C4603">
        <v>20.531590000000001</v>
      </c>
      <c r="D4603">
        <v>67</v>
      </c>
      <c r="E4603">
        <v>0</v>
      </c>
      <c r="F4603">
        <v>0</v>
      </c>
      <c r="G4603">
        <v>6</v>
      </c>
      <c r="H4603" s="4">
        <v>1570548458984</v>
      </c>
      <c r="I4603">
        <v>526.6875</v>
      </c>
      <c r="J4603" s="9">
        <f t="shared" si="71"/>
        <v>43746.935867870365</v>
      </c>
      <c r="K4603" s="1"/>
    </row>
    <row r="4604" spans="1:11" x14ac:dyDescent="0.25">
      <c r="A4604" t="e">
        <f>-Lqfywd_fuCMGKVpNTYV</f>
        <v>#NAME?</v>
      </c>
      <c r="B4604">
        <v>393.75</v>
      </c>
      <c r="C4604">
        <v>20.531590000000001</v>
      </c>
      <c r="D4604">
        <v>66</v>
      </c>
      <c r="E4604">
        <v>0</v>
      </c>
      <c r="F4604">
        <v>0</v>
      </c>
      <c r="G4604">
        <v>5</v>
      </c>
      <c r="H4604" s="4">
        <v>1570548467255</v>
      </c>
      <c r="I4604">
        <v>526.6875</v>
      </c>
      <c r="J4604" s="9">
        <f t="shared" si="71"/>
        <v>43746.935963599535</v>
      </c>
      <c r="K4604" s="1"/>
    </row>
    <row r="4605" spans="1:11" x14ac:dyDescent="0.25">
      <c r="A4605" t="e">
        <f>-Lqfyy9-us-Dxgj4pD-k</f>
        <v>#NAME?</v>
      </c>
      <c r="B4605">
        <v>412.5</v>
      </c>
      <c r="C4605">
        <v>20.531590000000001</v>
      </c>
      <c r="D4605">
        <v>67</v>
      </c>
      <c r="E4605">
        <v>0</v>
      </c>
      <c r="F4605">
        <v>0</v>
      </c>
      <c r="G4605">
        <v>12</v>
      </c>
      <c r="H4605" s="4">
        <v>1570548473434</v>
      </c>
      <c r="I4605">
        <v>532.3125</v>
      </c>
      <c r="J4605" s="9">
        <f t="shared" si="71"/>
        <v>43746.936035115737</v>
      </c>
      <c r="K4605" s="1"/>
    </row>
    <row r="4606" spans="1:11" x14ac:dyDescent="0.25">
      <c r="A4606" t="e">
        <f>-LqfyzhzZzZnEk9jbcj8</f>
        <v>#NAME?</v>
      </c>
      <c r="B4606">
        <v>393.75</v>
      </c>
      <c r="C4606">
        <v>20.478950000000001</v>
      </c>
      <c r="D4606">
        <v>68</v>
      </c>
      <c r="E4606">
        <v>0</v>
      </c>
      <c r="F4606">
        <v>0</v>
      </c>
      <c r="G4606">
        <v>13</v>
      </c>
      <c r="H4606" s="4">
        <v>1570548479625</v>
      </c>
      <c r="I4606">
        <v>526.6875</v>
      </c>
      <c r="J4606" s="9">
        <f t="shared" si="71"/>
        <v>43746.936106770831</v>
      </c>
      <c r="K4606" s="1"/>
    </row>
    <row r="4607" spans="1:11" x14ac:dyDescent="0.25">
      <c r="A4607" t="e">
        <f>-Lqfz0PmmMlYCrJOhxXi</f>
        <v>#NAME?</v>
      </c>
      <c r="B4607">
        <v>393.75</v>
      </c>
      <c r="C4607">
        <v>20.531590000000001</v>
      </c>
      <c r="D4607">
        <v>66</v>
      </c>
      <c r="E4607">
        <v>0</v>
      </c>
      <c r="F4607">
        <v>0</v>
      </c>
      <c r="G4607">
        <v>3</v>
      </c>
      <c r="H4607" s="4">
        <v>1570548486804</v>
      </c>
      <c r="I4607">
        <v>526.6875</v>
      </c>
      <c r="J4607" s="9">
        <f t="shared" si="71"/>
        <v>43746.93618986111</v>
      </c>
      <c r="K4607" s="1"/>
    </row>
    <row r="4608" spans="1:11" x14ac:dyDescent="0.25">
      <c r="A4608" t="e">
        <f>-Lqfz1zy5RxLVIU4k0Ej</f>
        <v>#NAME?</v>
      </c>
      <c r="B4608">
        <v>428.125</v>
      </c>
      <c r="C4608">
        <v>20.531590000000001</v>
      </c>
      <c r="D4608">
        <v>66</v>
      </c>
      <c r="E4608">
        <v>0</v>
      </c>
      <c r="F4608">
        <v>0</v>
      </c>
      <c r="G4608">
        <v>11</v>
      </c>
      <c r="H4608" s="4">
        <v>1570548492994</v>
      </c>
      <c r="I4608">
        <v>537</v>
      </c>
      <c r="J4608" s="9">
        <f t="shared" si="71"/>
        <v>43746.936261504627</v>
      </c>
      <c r="K4608" s="1"/>
    </row>
    <row r="4609" spans="1:11" x14ac:dyDescent="0.25">
      <c r="A4609" t="e">
        <f>-Lqfz3RMgpp3ZYcKgNDY</f>
        <v>#NAME?</v>
      </c>
      <c r="B4609">
        <v>393.75</v>
      </c>
      <c r="C4609">
        <v>20.531590000000001</v>
      </c>
      <c r="D4609">
        <v>65</v>
      </c>
      <c r="E4609">
        <v>0</v>
      </c>
      <c r="F4609">
        <v>0</v>
      </c>
      <c r="G4609">
        <v>9</v>
      </c>
      <c r="H4609" s="4">
        <v>1570548499204</v>
      </c>
      <c r="I4609">
        <v>526.6875</v>
      </c>
      <c r="J4609" s="9">
        <f t="shared" si="71"/>
        <v>43746.936333379628</v>
      </c>
      <c r="K4609" s="1"/>
    </row>
    <row r="4610" spans="1:11" x14ac:dyDescent="0.25">
      <c r="A4610" t="e">
        <f>-Lqfz4wku1VDyvSO6GrX</f>
        <v>#NAME?</v>
      </c>
      <c r="B4610">
        <v>393.75</v>
      </c>
      <c r="C4610">
        <v>20.531590000000001</v>
      </c>
      <c r="D4610">
        <v>70</v>
      </c>
      <c r="E4610">
        <v>0</v>
      </c>
      <c r="F4610">
        <v>0</v>
      </c>
      <c r="G4610">
        <v>8</v>
      </c>
      <c r="H4610" s="4">
        <v>1570548505364</v>
      </c>
      <c r="I4610">
        <v>526.5</v>
      </c>
      <c r="J4610" s="9">
        <f t="shared" si="71"/>
        <v>43746.936404675922</v>
      </c>
      <c r="K4610" s="1"/>
    </row>
    <row r="4611" spans="1:11" x14ac:dyDescent="0.25">
      <c r="A4611" t="e">
        <f>-Lqfz6mFCmuAyk8NliZz</f>
        <v>#NAME?</v>
      </c>
      <c r="B4611">
        <v>393.75</v>
      </c>
      <c r="C4611">
        <v>20.531590000000001</v>
      </c>
      <c r="D4611">
        <v>70</v>
      </c>
      <c r="E4611">
        <v>0</v>
      </c>
      <c r="F4611">
        <v>0</v>
      </c>
      <c r="G4611">
        <v>12</v>
      </c>
      <c r="H4611" s="4">
        <v>1570548512594</v>
      </c>
      <c r="I4611">
        <v>526.5</v>
      </c>
      <c r="J4611" s="9">
        <f t="shared" ref="J4611:J4674" si="72">(H4611/86400000)+25569+(7/24)</f>
        <v>43746.936488356478</v>
      </c>
      <c r="K4611" s="1"/>
    </row>
    <row r="4612" spans="1:11" x14ac:dyDescent="0.25">
      <c r="A4612" t="e">
        <f>-Lqfz8V4HmhoDmPReY4M</f>
        <v>#NAME?</v>
      </c>
      <c r="B4612">
        <v>393.75</v>
      </c>
      <c r="C4612">
        <v>20.584240000000001</v>
      </c>
      <c r="D4612">
        <v>66</v>
      </c>
      <c r="E4612">
        <v>0</v>
      </c>
      <c r="F4612">
        <v>0</v>
      </c>
      <c r="G4612">
        <v>10</v>
      </c>
      <c r="H4612" s="4">
        <v>1570548519826</v>
      </c>
      <c r="I4612">
        <v>526.6875</v>
      </c>
      <c r="J4612" s="9">
        <f t="shared" si="72"/>
        <v>43746.936572060185</v>
      </c>
      <c r="K4612" s="1"/>
    </row>
    <row r="4613" spans="1:11" x14ac:dyDescent="0.25">
      <c r="A4613" t="e">
        <f>-LqfzA34y9mEnxnx7FlU</f>
        <v>#NAME?</v>
      </c>
      <c r="B4613">
        <v>393.75</v>
      </c>
      <c r="C4613">
        <v>20.531590000000001</v>
      </c>
      <c r="D4613">
        <v>66</v>
      </c>
      <c r="E4613">
        <v>0</v>
      </c>
      <c r="F4613">
        <v>0</v>
      </c>
      <c r="G4613">
        <v>5</v>
      </c>
      <c r="H4613" s="4">
        <v>1570548526005</v>
      </c>
      <c r="I4613">
        <v>526.6875</v>
      </c>
      <c r="J4613" s="9">
        <f t="shared" si="72"/>
        <v>43746.936643576388</v>
      </c>
      <c r="K4613" s="1"/>
    </row>
    <row r="4614" spans="1:11" x14ac:dyDescent="0.25">
      <c r="A4614" t="e">
        <f>-LqfzBmBVxBET4CwVz_q</f>
        <v>#NAME?</v>
      </c>
      <c r="B4614">
        <v>393.75</v>
      </c>
      <c r="C4614">
        <v>20.478950000000001</v>
      </c>
      <c r="D4614">
        <v>65</v>
      </c>
      <c r="E4614">
        <v>0</v>
      </c>
      <c r="F4614">
        <v>0</v>
      </c>
      <c r="G4614">
        <v>3</v>
      </c>
      <c r="H4614" s="4">
        <v>1570548533205</v>
      </c>
      <c r="I4614">
        <v>526.6875</v>
      </c>
      <c r="J4614" s="9">
        <f t="shared" si="72"/>
        <v>43746.93672690972</v>
      </c>
      <c r="K4614" s="1"/>
    </row>
    <row r="4615" spans="1:11" x14ac:dyDescent="0.25">
      <c r="A4615" t="e">
        <f>-LqfzDL2vk-NQNrOYNCj</f>
        <v>#NAME?</v>
      </c>
      <c r="B4615">
        <v>393.75</v>
      </c>
      <c r="C4615">
        <v>20.531590000000001</v>
      </c>
      <c r="D4615">
        <v>65</v>
      </c>
      <c r="E4615">
        <v>0</v>
      </c>
      <c r="F4615">
        <v>0</v>
      </c>
      <c r="G4615">
        <v>7</v>
      </c>
      <c r="H4615" s="4">
        <v>1570548539395</v>
      </c>
      <c r="I4615">
        <v>526.6875</v>
      </c>
      <c r="J4615" s="9">
        <f t="shared" si="72"/>
        <v>43746.936798553237</v>
      </c>
      <c r="K4615" s="1"/>
    </row>
    <row r="4616" spans="1:11" x14ac:dyDescent="0.25">
      <c r="A4616" t="e">
        <f>-LqfzF1eRuirwbFk9a0C</f>
        <v>#NAME?</v>
      </c>
      <c r="B4616">
        <v>393.75</v>
      </c>
      <c r="C4616">
        <v>20.531590000000001</v>
      </c>
      <c r="D4616">
        <v>65</v>
      </c>
      <c r="E4616">
        <v>0</v>
      </c>
      <c r="F4616">
        <v>0</v>
      </c>
      <c r="G4616">
        <v>2</v>
      </c>
      <c r="H4616" s="4">
        <v>1570548546606</v>
      </c>
      <c r="I4616">
        <v>526.6875</v>
      </c>
      <c r="J4616" s="9">
        <f t="shared" si="72"/>
        <v>43746.936882013884</v>
      </c>
      <c r="K4616" s="1"/>
    </row>
    <row r="4617" spans="1:11" x14ac:dyDescent="0.25">
      <c r="A4617" t="e">
        <f>-LqfzGWyyxqtPpJRLGQ0</f>
        <v>#NAME?</v>
      </c>
      <c r="B4617">
        <v>393.75</v>
      </c>
      <c r="C4617">
        <v>20.478950000000001</v>
      </c>
      <c r="D4617">
        <v>60</v>
      </c>
      <c r="E4617">
        <v>0</v>
      </c>
      <c r="F4617">
        <v>0</v>
      </c>
      <c r="G4617">
        <v>10</v>
      </c>
      <c r="H4617" s="4">
        <v>1570548552794</v>
      </c>
      <c r="I4617">
        <v>526.6875</v>
      </c>
      <c r="J4617" s="9">
        <f t="shared" si="72"/>
        <v>43746.936953634256</v>
      </c>
      <c r="K4617" s="1"/>
    </row>
    <row r="4618" spans="1:11" x14ac:dyDescent="0.25">
      <c r="A4618" t="e">
        <f>-LqfzI64sRqkP4Watz4p</f>
        <v>#NAME?</v>
      </c>
      <c r="B4618">
        <v>412.5</v>
      </c>
      <c r="C4618">
        <v>20.531590000000001</v>
      </c>
      <c r="D4618">
        <v>60</v>
      </c>
      <c r="E4618">
        <v>0</v>
      </c>
      <c r="F4618">
        <v>0</v>
      </c>
      <c r="G4618">
        <v>9</v>
      </c>
      <c r="H4618" s="4">
        <v>1570548558976</v>
      </c>
      <c r="I4618">
        <v>532.3125</v>
      </c>
      <c r="J4618" s="9">
        <f t="shared" si="72"/>
        <v>43746.937025185187</v>
      </c>
      <c r="K4618" s="1"/>
    </row>
    <row r="4619" spans="1:11" x14ac:dyDescent="0.25">
      <c r="A4619" t="e">
        <f>-LqfzJqKs9IMJbDeLje_</f>
        <v>#NAME?</v>
      </c>
      <c r="B4619">
        <v>393.75</v>
      </c>
      <c r="C4619">
        <v>20.478950000000001</v>
      </c>
      <c r="D4619">
        <v>62</v>
      </c>
      <c r="E4619">
        <v>0</v>
      </c>
      <c r="F4619">
        <v>0</v>
      </c>
      <c r="G4619">
        <v>4</v>
      </c>
      <c r="H4619" s="4">
        <v>1570548566164</v>
      </c>
      <c r="I4619">
        <v>526.6875</v>
      </c>
      <c r="J4619" s="9">
        <f t="shared" si="72"/>
        <v>43746.937108379629</v>
      </c>
      <c r="K4619" s="1"/>
    </row>
    <row r="4620" spans="1:11" x14ac:dyDescent="0.25">
      <c r="A4620" t="e">
        <f>-LqfzLJCZVnYSXvMsSb1</f>
        <v>#NAME?</v>
      </c>
      <c r="B4620">
        <v>393.75</v>
      </c>
      <c r="C4620">
        <v>20.584240000000001</v>
      </c>
      <c r="D4620">
        <v>64</v>
      </c>
      <c r="E4620">
        <v>0</v>
      </c>
      <c r="F4620">
        <v>0</v>
      </c>
      <c r="G4620">
        <v>5</v>
      </c>
      <c r="H4620" s="4">
        <v>1570548572364</v>
      </c>
      <c r="I4620">
        <v>526.6875</v>
      </c>
      <c r="J4620" s="9">
        <f t="shared" si="72"/>
        <v>43746.937180138884</v>
      </c>
      <c r="K4620" s="1"/>
    </row>
    <row r="4621" spans="1:11" x14ac:dyDescent="0.25">
      <c r="A4621" t="e">
        <f>-LqfzMs4EqFWQ2T8GmvD</f>
        <v>#NAME?</v>
      </c>
      <c r="B4621">
        <v>393.75</v>
      </c>
      <c r="C4621">
        <v>20.478950000000001</v>
      </c>
      <c r="D4621">
        <v>64</v>
      </c>
      <c r="E4621">
        <v>0</v>
      </c>
      <c r="F4621">
        <v>0</v>
      </c>
      <c r="G4621">
        <v>8</v>
      </c>
      <c r="H4621" s="4">
        <v>1570548578556</v>
      </c>
      <c r="I4621">
        <v>526.6875</v>
      </c>
      <c r="J4621" s="9">
        <f t="shared" si="72"/>
        <v>43746.937251805553</v>
      </c>
      <c r="K4621" s="1"/>
    </row>
    <row r="4622" spans="1:11" x14ac:dyDescent="0.25">
      <c r="A4622" t="e">
        <f>-LqfzOJjsO34GfV3l01T</f>
        <v>#NAME?</v>
      </c>
      <c r="B4622">
        <v>393.75</v>
      </c>
      <c r="C4622">
        <v>20.531590000000001</v>
      </c>
      <c r="D4622">
        <v>65</v>
      </c>
      <c r="E4622">
        <v>0</v>
      </c>
      <c r="F4622">
        <v>0</v>
      </c>
      <c r="G4622">
        <v>12</v>
      </c>
      <c r="H4622" s="4">
        <v>1570548584726</v>
      </c>
      <c r="I4622">
        <v>526.6875</v>
      </c>
      <c r="J4622" s="9">
        <f t="shared" si="72"/>
        <v>43746.937323217593</v>
      </c>
      <c r="K4622" s="1"/>
    </row>
    <row r="4623" spans="1:11" x14ac:dyDescent="0.25">
      <c r="A4623" t="e">
        <f>-LqfzPq4GkfCbyXL1yQu</f>
        <v>#NAME?</v>
      </c>
      <c r="B4623">
        <v>393.75</v>
      </c>
      <c r="C4623">
        <v>20.531590000000001</v>
      </c>
      <c r="D4623">
        <v>66</v>
      </c>
      <c r="E4623">
        <v>0</v>
      </c>
      <c r="F4623">
        <v>0</v>
      </c>
      <c r="G4623">
        <v>12</v>
      </c>
      <c r="H4623" s="4">
        <v>1570548590915</v>
      </c>
      <c r="I4623">
        <v>526.6875</v>
      </c>
      <c r="J4623" s="9">
        <f t="shared" si="72"/>
        <v>43746.937394849534</v>
      </c>
      <c r="K4623" s="1"/>
    </row>
    <row r="4624" spans="1:11" x14ac:dyDescent="0.25">
      <c r="A4624" t="e">
        <f>-LqfzRP3h22VGhAckdov</f>
        <v>#NAME?</v>
      </c>
      <c r="B4624">
        <v>393.75</v>
      </c>
      <c r="C4624">
        <v>20.478950000000001</v>
      </c>
      <c r="D4624">
        <v>66</v>
      </c>
      <c r="E4624">
        <v>0</v>
      </c>
      <c r="F4624">
        <v>0</v>
      </c>
      <c r="G4624">
        <v>3</v>
      </c>
      <c r="H4624" s="4">
        <v>1570548597114</v>
      </c>
      <c r="I4624">
        <v>526.6875</v>
      </c>
      <c r="J4624" s="9">
        <f t="shared" si="72"/>
        <v>43746.937466597221</v>
      </c>
      <c r="K4624" s="1"/>
    </row>
    <row r="4625" spans="1:11" x14ac:dyDescent="0.25">
      <c r="A4625" t="e">
        <f>-LqfzSt4IOXnbkiHJGFc</f>
        <v>#NAME?</v>
      </c>
      <c r="B4625">
        <v>393.75</v>
      </c>
      <c r="C4625">
        <v>20.531590000000001</v>
      </c>
      <c r="D4625">
        <v>66</v>
      </c>
      <c r="E4625">
        <v>0</v>
      </c>
      <c r="F4625">
        <v>0</v>
      </c>
      <c r="G4625">
        <v>10</v>
      </c>
      <c r="H4625" s="4">
        <v>1570548603284</v>
      </c>
      <c r="I4625">
        <v>526.6875</v>
      </c>
      <c r="J4625" s="9">
        <f t="shared" si="72"/>
        <v>43746.937538009261</v>
      </c>
      <c r="K4625" s="1"/>
    </row>
    <row r="4626" spans="1:11" x14ac:dyDescent="0.25">
      <c r="A4626" t="e">
        <f>-LqfzUS4DTAoT1m_cuGQ</f>
        <v>#NAME?</v>
      </c>
      <c r="B4626">
        <v>393.75</v>
      </c>
      <c r="C4626">
        <v>20.531590000000001</v>
      </c>
      <c r="D4626">
        <v>66</v>
      </c>
      <c r="E4626">
        <v>0</v>
      </c>
      <c r="F4626">
        <v>0</v>
      </c>
      <c r="G4626">
        <v>14</v>
      </c>
      <c r="H4626" s="4">
        <v>1570548609466</v>
      </c>
      <c r="I4626">
        <v>526.6875</v>
      </c>
      <c r="J4626" s="9">
        <f t="shared" si="72"/>
        <v>43746.937609560184</v>
      </c>
      <c r="K4626" s="1"/>
    </row>
    <row r="4627" spans="1:11" x14ac:dyDescent="0.25">
      <c r="A4627" t="e">
        <f>-LqfzW8xUIBuVyOwL6sr</f>
        <v>#NAME?</v>
      </c>
      <c r="B4627">
        <v>393.75</v>
      </c>
      <c r="C4627">
        <v>20.531590000000001</v>
      </c>
      <c r="D4627">
        <v>66</v>
      </c>
      <c r="E4627">
        <v>0</v>
      </c>
      <c r="F4627">
        <v>0</v>
      </c>
      <c r="G4627">
        <v>4</v>
      </c>
      <c r="H4627" s="4">
        <v>1570548616685</v>
      </c>
      <c r="I4627">
        <v>526.6875</v>
      </c>
      <c r="J4627" s="9">
        <f t="shared" si="72"/>
        <v>43746.937693113425</v>
      </c>
      <c r="K4627" s="1"/>
    </row>
    <row r="4628" spans="1:11" x14ac:dyDescent="0.25">
      <c r="A4628" t="e">
        <f>-LqfzXucXSIFQvvx3QMT</f>
        <v>#NAME?</v>
      </c>
      <c r="B4628">
        <v>393.75</v>
      </c>
      <c r="C4628">
        <v>20.531590000000001</v>
      </c>
      <c r="D4628">
        <v>67</v>
      </c>
      <c r="E4628">
        <v>0</v>
      </c>
      <c r="F4628">
        <v>0</v>
      </c>
      <c r="G4628">
        <v>14</v>
      </c>
      <c r="H4628" s="4">
        <v>1570548622874</v>
      </c>
      <c r="I4628">
        <v>526.6875</v>
      </c>
      <c r="J4628" s="9">
        <f t="shared" si="72"/>
        <v>43746.937764745373</v>
      </c>
      <c r="K4628" s="1"/>
    </row>
    <row r="4629" spans="1:11" x14ac:dyDescent="0.25">
      <c r="A4629" t="e">
        <f>-LqfzZOQIxBrsBRa2pYb</f>
        <v>#NAME?</v>
      </c>
      <c r="B4629">
        <v>393.75</v>
      </c>
      <c r="C4629">
        <v>20.531590000000001</v>
      </c>
      <c r="D4629">
        <v>67</v>
      </c>
      <c r="E4629">
        <v>0</v>
      </c>
      <c r="F4629">
        <v>0</v>
      </c>
      <c r="G4629">
        <v>9</v>
      </c>
      <c r="H4629" s="4">
        <v>1570548630081</v>
      </c>
      <c r="I4629">
        <v>526.6875</v>
      </c>
      <c r="J4629" s="9">
        <f t="shared" si="72"/>
        <v>43746.937848159716</v>
      </c>
      <c r="K4629" s="1"/>
    </row>
    <row r="4630" spans="1:11" x14ac:dyDescent="0.25">
      <c r="A4630" t="e">
        <f>-Lqfz_w2j8y5H6hGWdlU</f>
        <v>#NAME?</v>
      </c>
      <c r="B4630">
        <v>393.75</v>
      </c>
      <c r="C4630">
        <v>20.478950000000001</v>
      </c>
      <c r="D4630">
        <v>67</v>
      </c>
      <c r="E4630">
        <v>0</v>
      </c>
      <c r="F4630">
        <v>0</v>
      </c>
      <c r="G4630">
        <v>5</v>
      </c>
      <c r="H4630" s="4">
        <v>1570548636243</v>
      </c>
      <c r="I4630">
        <v>526.6875</v>
      </c>
      <c r="J4630" s="9">
        <f t="shared" si="72"/>
        <v>43746.937919479162</v>
      </c>
      <c r="K4630" s="1"/>
    </row>
    <row r="4631" spans="1:11" x14ac:dyDescent="0.25">
      <c r="A4631" t="e">
        <f>-LqfzbWHK91a3qIyrKCi</f>
        <v>#NAME?</v>
      </c>
      <c r="B4631">
        <v>393.75</v>
      </c>
      <c r="C4631">
        <v>20.531590000000001</v>
      </c>
      <c r="D4631">
        <v>67</v>
      </c>
      <c r="E4631">
        <v>0</v>
      </c>
      <c r="F4631">
        <v>0</v>
      </c>
      <c r="G4631">
        <v>5</v>
      </c>
      <c r="H4631" s="4">
        <v>1570548642442</v>
      </c>
      <c r="I4631">
        <v>526.6875</v>
      </c>
      <c r="J4631" s="9">
        <f t="shared" si="72"/>
        <v>43746.937991226849</v>
      </c>
      <c r="K4631" s="1"/>
    </row>
    <row r="4632" spans="1:11" x14ac:dyDescent="0.25">
      <c r="A4632" t="e">
        <f>-Lqfzdg1gR8UJoiRFdnm</f>
        <v>#NAME?</v>
      </c>
      <c r="B4632">
        <v>437.5</v>
      </c>
      <c r="C4632">
        <v>20.531590000000001</v>
      </c>
      <c r="D4632">
        <v>67</v>
      </c>
      <c r="E4632">
        <v>0</v>
      </c>
      <c r="F4632">
        <v>0</v>
      </c>
      <c r="G4632">
        <v>5</v>
      </c>
      <c r="H4632" s="4">
        <v>1570548649652</v>
      </c>
      <c r="I4632">
        <v>540.9375</v>
      </c>
      <c r="J4632" s="9">
        <f t="shared" si="72"/>
        <v>43746.93807467592</v>
      </c>
      <c r="K4632" s="1"/>
    </row>
    <row r="4633" spans="1:11" x14ac:dyDescent="0.25">
      <c r="A4633" t="e">
        <f>-LqfzfFC9qGHt_Vsm3-S</f>
        <v>#NAME?</v>
      </c>
      <c r="B4633">
        <v>393.75</v>
      </c>
      <c r="C4633">
        <v>20.531590000000001</v>
      </c>
      <c r="D4633">
        <v>66</v>
      </c>
      <c r="E4633">
        <v>0</v>
      </c>
      <c r="F4633">
        <v>0</v>
      </c>
      <c r="G4633">
        <v>4</v>
      </c>
      <c r="H4633" s="4">
        <v>1570548657893</v>
      </c>
      <c r="I4633">
        <v>526.6875</v>
      </c>
      <c r="J4633" s="9">
        <f t="shared" si="72"/>
        <v>43746.938170057867</v>
      </c>
      <c r="K4633" s="1"/>
    </row>
    <row r="4634" spans="1:11" x14ac:dyDescent="0.25">
      <c r="A4634" t="e">
        <f>-Lqfzgy1GXPUyqQ2xNTW</f>
        <v>#NAME?</v>
      </c>
      <c r="B4634">
        <v>412.5</v>
      </c>
      <c r="C4634">
        <v>20.478950000000001</v>
      </c>
      <c r="D4634">
        <v>67</v>
      </c>
      <c r="E4634">
        <v>0</v>
      </c>
      <c r="F4634">
        <v>0</v>
      </c>
      <c r="G4634">
        <v>3</v>
      </c>
      <c r="H4634" s="4">
        <v>1570548665083</v>
      </c>
      <c r="I4634">
        <v>532.3125</v>
      </c>
      <c r="J4634" s="9">
        <f t="shared" si="72"/>
        <v>43746.938253275461</v>
      </c>
      <c r="K4634" s="1"/>
    </row>
    <row r="4635" spans="1:11" x14ac:dyDescent="0.25">
      <c r="A4635" t="e">
        <f>-LqfziX2tN4kSQAYg3Hp</f>
        <v>#NAME?</v>
      </c>
      <c r="B4635">
        <v>393.75</v>
      </c>
      <c r="C4635">
        <v>20.584240000000001</v>
      </c>
      <c r="D4635">
        <v>66</v>
      </c>
      <c r="E4635">
        <v>0</v>
      </c>
      <c r="F4635">
        <v>0</v>
      </c>
      <c r="G4635">
        <v>16</v>
      </c>
      <c r="H4635" s="4">
        <v>1570548671292</v>
      </c>
      <c r="I4635">
        <v>526.6875</v>
      </c>
      <c r="J4635" s="9">
        <f t="shared" si="72"/>
        <v>43746.938325138886</v>
      </c>
      <c r="K4635" s="1"/>
    </row>
    <row r="4636" spans="1:11" x14ac:dyDescent="0.25">
      <c r="A4636" t="e">
        <f>-LqfzjzvIh4j5X-LSypj</f>
        <v>#NAME?</v>
      </c>
      <c r="B4636">
        <v>393.75</v>
      </c>
      <c r="C4636">
        <v>20.531590000000001</v>
      </c>
      <c r="D4636">
        <v>66</v>
      </c>
      <c r="E4636">
        <v>0</v>
      </c>
      <c r="F4636">
        <v>0</v>
      </c>
      <c r="G4636">
        <v>6</v>
      </c>
      <c r="H4636" s="4">
        <v>1570548677472</v>
      </c>
      <c r="I4636">
        <v>526.6875</v>
      </c>
      <c r="J4636" s="9">
        <f t="shared" si="72"/>
        <v>43746.938396666665</v>
      </c>
      <c r="K4636" s="1"/>
    </row>
    <row r="4637" spans="1:11" x14ac:dyDescent="0.25">
      <c r="A4637" t="e">
        <f>-LqfzlV2Q_nJKkCRfV3w</f>
        <v>#NAME?</v>
      </c>
      <c r="B4637">
        <v>393.75</v>
      </c>
      <c r="C4637">
        <v>20.584240000000001</v>
      </c>
      <c r="D4637">
        <v>65</v>
      </c>
      <c r="E4637">
        <v>0</v>
      </c>
      <c r="F4637">
        <v>0</v>
      </c>
      <c r="G4637">
        <v>7</v>
      </c>
      <c r="H4637" s="4">
        <v>1570548683673</v>
      </c>
      <c r="I4637">
        <v>526.6875</v>
      </c>
      <c r="J4637" s="9">
        <f t="shared" si="72"/>
        <v>43746.938468437496</v>
      </c>
      <c r="K4637" s="1"/>
    </row>
    <row r="4638" spans="1:11" x14ac:dyDescent="0.25">
      <c r="A4638" t="e">
        <f>-Lqfzn3AfsJ8wr-paLZ1</f>
        <v>#NAME?</v>
      </c>
      <c r="B4638">
        <v>393.75</v>
      </c>
      <c r="C4638">
        <v>20.531590000000001</v>
      </c>
      <c r="D4638">
        <v>65</v>
      </c>
      <c r="E4638">
        <v>0</v>
      </c>
      <c r="F4638">
        <v>0</v>
      </c>
      <c r="G4638">
        <v>9</v>
      </c>
      <c r="H4638" s="4">
        <v>1570548689842</v>
      </c>
      <c r="I4638">
        <v>526.6875</v>
      </c>
      <c r="J4638" s="9">
        <f t="shared" si="72"/>
        <v>43746.93853983796</v>
      </c>
      <c r="K4638" s="1"/>
    </row>
    <row r="4639" spans="1:11" x14ac:dyDescent="0.25">
      <c r="A4639" t="e">
        <f>-Lqfzom26kry0p4HCp3R</f>
        <v>#NAME?</v>
      </c>
      <c r="B4639">
        <v>393.75</v>
      </c>
      <c r="C4639">
        <v>20.531590000000001</v>
      </c>
      <c r="D4639">
        <v>65</v>
      </c>
      <c r="E4639">
        <v>0</v>
      </c>
      <c r="F4639">
        <v>0</v>
      </c>
      <c r="G4639">
        <v>9</v>
      </c>
      <c r="H4639" s="4">
        <v>1570548697042</v>
      </c>
      <c r="I4639">
        <v>526.5</v>
      </c>
      <c r="J4639" s="9">
        <f t="shared" si="72"/>
        <v>43746.938623171292</v>
      </c>
      <c r="K4639" s="1"/>
    </row>
    <row r="4640" spans="1:11" x14ac:dyDescent="0.25">
      <c r="A4640" t="e">
        <f>-LqfzqJxmbn1-lSriAYJ</f>
        <v>#NAME?</v>
      </c>
      <c r="B4640">
        <v>393.75</v>
      </c>
      <c r="C4640">
        <v>20.584240000000001</v>
      </c>
      <c r="D4640">
        <v>66</v>
      </c>
      <c r="E4640">
        <v>0</v>
      </c>
      <c r="F4640">
        <v>0</v>
      </c>
      <c r="G4640">
        <v>8</v>
      </c>
      <c r="H4640" s="4">
        <v>1570548703243</v>
      </c>
      <c r="I4640">
        <v>526.6875</v>
      </c>
      <c r="J4640" s="9">
        <f t="shared" si="72"/>
        <v>43746.938694942124</v>
      </c>
      <c r="K4640" s="1"/>
    </row>
    <row r="4641" spans="1:11" x14ac:dyDescent="0.25">
      <c r="A4641" t="e">
        <f>-LqfzsN1FZymolbHKqul</f>
        <v>#NAME?</v>
      </c>
      <c r="B4641">
        <v>412.5</v>
      </c>
      <c r="C4641">
        <v>20.531590000000001</v>
      </c>
      <c r="D4641">
        <v>65</v>
      </c>
      <c r="E4641">
        <v>0</v>
      </c>
      <c r="F4641">
        <v>0</v>
      </c>
      <c r="G4641">
        <v>0</v>
      </c>
      <c r="H4641" s="4">
        <v>1570548711685</v>
      </c>
      <c r="I4641">
        <v>532.3125</v>
      </c>
      <c r="J4641" s="9">
        <f t="shared" si="72"/>
        <v>43746.938792650464</v>
      </c>
      <c r="K4641" s="1"/>
    </row>
    <row r="4642" spans="1:11" x14ac:dyDescent="0.25">
      <c r="A4642" t="e">
        <f>-Lqfzu52qqibZ3oWgaeY</f>
        <v>#NAME?</v>
      </c>
      <c r="B4642">
        <v>393.75</v>
      </c>
      <c r="C4642">
        <v>20.531590000000001</v>
      </c>
      <c r="D4642">
        <v>65</v>
      </c>
      <c r="E4642">
        <v>0</v>
      </c>
      <c r="F4642">
        <v>0</v>
      </c>
      <c r="G4642">
        <v>6</v>
      </c>
      <c r="H4642" s="4">
        <v>1570548718703</v>
      </c>
      <c r="I4642">
        <v>526.5</v>
      </c>
      <c r="J4642" s="9">
        <f t="shared" si="72"/>
        <v>43746.938873877312</v>
      </c>
      <c r="K4642" s="1"/>
    </row>
    <row r="4643" spans="1:11" x14ac:dyDescent="0.25">
      <c r="A4643" t="e">
        <f>-Lqfzv_DL2rXe57BM-GL</f>
        <v>#NAME?</v>
      </c>
      <c r="B4643">
        <v>393.75</v>
      </c>
      <c r="C4643">
        <v>20.531590000000001</v>
      </c>
      <c r="D4643">
        <v>65</v>
      </c>
      <c r="E4643">
        <v>0</v>
      </c>
      <c r="F4643">
        <v>0</v>
      </c>
      <c r="G4643">
        <v>4</v>
      </c>
      <c r="H4643" s="4">
        <v>1570548724882</v>
      </c>
      <c r="I4643">
        <v>526.6875</v>
      </c>
      <c r="J4643" s="9">
        <f t="shared" si="72"/>
        <v>43746.938945393515</v>
      </c>
      <c r="K4643" s="1"/>
    </row>
    <row r="4644" spans="1:11" x14ac:dyDescent="0.25">
      <c r="A4644" t="e">
        <f>-LqfzxN1tg_YLE3rB-sB</f>
        <v>#NAME?</v>
      </c>
      <c r="B4644">
        <v>393.75</v>
      </c>
      <c r="C4644">
        <v>20.531590000000001</v>
      </c>
      <c r="D4644">
        <v>65</v>
      </c>
      <c r="E4644">
        <v>0</v>
      </c>
      <c r="F4644">
        <v>0</v>
      </c>
      <c r="G4644">
        <v>0</v>
      </c>
      <c r="H4644" s="4">
        <v>1570548732093</v>
      </c>
      <c r="I4644">
        <v>526.6875</v>
      </c>
      <c r="J4644" s="9">
        <f t="shared" si="72"/>
        <v>43746.939028854169</v>
      </c>
      <c r="K4644" s="1"/>
    </row>
    <row r="4645" spans="1:11" x14ac:dyDescent="0.25">
      <c r="A4645" t="e">
        <f>-Lqfzyr6pADMQIjwOipP</f>
        <v>#NAME?</v>
      </c>
      <c r="B4645">
        <v>393.75</v>
      </c>
      <c r="C4645">
        <v>20.531590000000001</v>
      </c>
      <c r="D4645">
        <v>65</v>
      </c>
      <c r="E4645">
        <v>0</v>
      </c>
      <c r="F4645">
        <v>0</v>
      </c>
      <c r="G4645">
        <v>10</v>
      </c>
      <c r="H4645" s="4">
        <v>1570548738331</v>
      </c>
      <c r="I4645">
        <v>526.6875</v>
      </c>
      <c r="J4645" s="9">
        <f t="shared" si="72"/>
        <v>43746.939101053234</v>
      </c>
      <c r="K4645" s="1"/>
    </row>
    <row r="4646" spans="1:11" x14ac:dyDescent="0.25">
      <c r="A4646" t="e">
        <f>-Lqg--L1PvyNTmo8YJJh</f>
        <v>#NAME?</v>
      </c>
      <c r="B4646">
        <v>415.625</v>
      </c>
      <c r="C4646">
        <v>20.531590000000001</v>
      </c>
      <c r="D4646">
        <v>65</v>
      </c>
      <c r="E4646">
        <v>0</v>
      </c>
      <c r="F4646">
        <v>0</v>
      </c>
      <c r="G4646">
        <v>6</v>
      </c>
      <c r="H4646" s="4">
        <v>1570548744473</v>
      </c>
      <c r="I4646">
        <v>533.625</v>
      </c>
      <c r="J4646" s="9">
        <f t="shared" si="72"/>
        <v>43746.939172141203</v>
      </c>
      <c r="K4646" s="1"/>
    </row>
    <row r="4647" spans="1:11" x14ac:dyDescent="0.25">
      <c r="A4647" t="s">
        <v>253</v>
      </c>
      <c r="B4647">
        <v>393.75</v>
      </c>
      <c r="C4647">
        <v>20.531590000000001</v>
      </c>
      <c r="D4647">
        <v>65</v>
      </c>
      <c r="E4647">
        <v>0</v>
      </c>
      <c r="F4647">
        <v>0</v>
      </c>
      <c r="G4647">
        <v>11</v>
      </c>
      <c r="H4647" s="4">
        <v>1570548750652</v>
      </c>
      <c r="I4647">
        <v>526.6875</v>
      </c>
      <c r="J4647" s="9">
        <f t="shared" si="72"/>
        <v>43746.939243657405</v>
      </c>
      <c r="K4647" s="1"/>
    </row>
    <row r="4648" spans="1:11" x14ac:dyDescent="0.25">
      <c r="A4648" t="s">
        <v>254</v>
      </c>
      <c r="B4648">
        <v>393.75</v>
      </c>
      <c r="C4648">
        <v>20.478950000000001</v>
      </c>
      <c r="D4648">
        <v>65</v>
      </c>
      <c r="E4648">
        <v>0</v>
      </c>
      <c r="F4648">
        <v>0</v>
      </c>
      <c r="G4648">
        <v>9</v>
      </c>
      <c r="H4648" s="4">
        <v>1570548756803</v>
      </c>
      <c r="I4648">
        <v>526.6875</v>
      </c>
      <c r="J4648" s="9">
        <f t="shared" si="72"/>
        <v>43746.939314849536</v>
      </c>
      <c r="K4648" s="1"/>
    </row>
    <row r="4649" spans="1:11" x14ac:dyDescent="0.25">
      <c r="A4649" t="s">
        <v>255</v>
      </c>
      <c r="B4649">
        <v>393.75</v>
      </c>
      <c r="C4649">
        <v>20.531590000000001</v>
      </c>
      <c r="D4649">
        <v>65</v>
      </c>
      <c r="E4649">
        <v>0</v>
      </c>
      <c r="F4649">
        <v>0</v>
      </c>
      <c r="G4649">
        <v>11</v>
      </c>
      <c r="H4649" s="4">
        <v>1570548763023</v>
      </c>
      <c r="I4649">
        <v>526.6875</v>
      </c>
      <c r="J4649" s="9">
        <f t="shared" si="72"/>
        <v>43746.939386840277</v>
      </c>
      <c r="K4649" s="1"/>
    </row>
    <row r="4650" spans="1:11" x14ac:dyDescent="0.25">
      <c r="A4650" t="s">
        <v>256</v>
      </c>
      <c r="B4650">
        <v>393.75</v>
      </c>
      <c r="C4650">
        <v>20.531590000000001</v>
      </c>
      <c r="D4650">
        <v>64</v>
      </c>
      <c r="E4650">
        <v>0</v>
      </c>
      <c r="F4650">
        <v>0</v>
      </c>
      <c r="G4650">
        <v>10</v>
      </c>
      <c r="H4650" s="4">
        <v>1570548771254</v>
      </c>
      <c r="I4650">
        <v>526.6875</v>
      </c>
      <c r="J4650" s="9">
        <f t="shared" si="72"/>
        <v>43746.939482106478</v>
      </c>
      <c r="K4650" s="1"/>
    </row>
    <row r="4651" spans="1:11" x14ac:dyDescent="0.25">
      <c r="A4651" t="s">
        <v>257</v>
      </c>
      <c r="B4651">
        <v>393.75</v>
      </c>
      <c r="C4651">
        <v>20.478950000000001</v>
      </c>
      <c r="D4651">
        <v>72</v>
      </c>
      <c r="E4651">
        <v>0</v>
      </c>
      <c r="F4651">
        <v>0</v>
      </c>
      <c r="G4651">
        <v>6</v>
      </c>
      <c r="H4651" s="4">
        <v>1570548777442</v>
      </c>
      <c r="I4651">
        <v>526.6875</v>
      </c>
      <c r="J4651" s="9">
        <f t="shared" si="72"/>
        <v>43746.93955372685</v>
      </c>
      <c r="K4651" s="1"/>
    </row>
    <row r="4652" spans="1:11" x14ac:dyDescent="0.25">
      <c r="A4652" t="s">
        <v>258</v>
      </c>
      <c r="B4652">
        <v>393.75</v>
      </c>
      <c r="C4652">
        <v>20.531590000000001</v>
      </c>
      <c r="D4652">
        <v>66</v>
      </c>
      <c r="E4652">
        <v>0</v>
      </c>
      <c r="F4652">
        <v>0</v>
      </c>
      <c r="G4652">
        <v>10</v>
      </c>
      <c r="H4652" s="4">
        <v>1570548783623</v>
      </c>
      <c r="I4652">
        <v>526.6875</v>
      </c>
      <c r="J4652" s="9">
        <f t="shared" si="72"/>
        <v>43746.939625266205</v>
      </c>
      <c r="K4652" s="1"/>
    </row>
    <row r="4653" spans="1:11" x14ac:dyDescent="0.25">
      <c r="A4653" t="e">
        <f>-Lqg-AR1uikCHapw62An</f>
        <v>#NAME?</v>
      </c>
      <c r="B4653">
        <v>412.5</v>
      </c>
      <c r="C4653">
        <v>20.478950000000001</v>
      </c>
      <c r="D4653">
        <v>66</v>
      </c>
      <c r="E4653">
        <v>0</v>
      </c>
      <c r="F4653">
        <v>0</v>
      </c>
      <c r="G4653">
        <v>4</v>
      </c>
      <c r="H4653" s="4">
        <v>1570548789803</v>
      </c>
      <c r="I4653">
        <v>532.3125</v>
      </c>
      <c r="J4653" s="9">
        <f t="shared" si="72"/>
        <v>43746.939696793976</v>
      </c>
      <c r="K4653" s="1"/>
    </row>
    <row r="4654" spans="1:11" x14ac:dyDescent="0.25">
      <c r="A4654" t="e">
        <f>-Lqg-Bv2BqE8oXdTTinY</f>
        <v>#NAME?</v>
      </c>
      <c r="B4654">
        <v>393.75</v>
      </c>
      <c r="C4654">
        <v>20.531590000000001</v>
      </c>
      <c r="D4654">
        <v>66</v>
      </c>
      <c r="E4654">
        <v>0</v>
      </c>
      <c r="F4654">
        <v>0</v>
      </c>
      <c r="G4654">
        <v>7</v>
      </c>
      <c r="H4654" s="4">
        <v>1570548795992</v>
      </c>
      <c r="I4654">
        <v>526.6875</v>
      </c>
      <c r="J4654" s="9">
        <f t="shared" si="72"/>
        <v>43746.939768425924</v>
      </c>
      <c r="K4654" s="1"/>
    </row>
    <row r="4655" spans="1:11" x14ac:dyDescent="0.25">
      <c r="A4655" t="e">
        <f>-Lqg-DU1gP8_gcDi8Jv1</f>
        <v>#NAME?</v>
      </c>
      <c r="B4655">
        <v>393.75</v>
      </c>
      <c r="C4655">
        <v>20.531590000000001</v>
      </c>
      <c r="D4655">
        <v>65</v>
      </c>
      <c r="E4655">
        <v>0</v>
      </c>
      <c r="F4655">
        <v>0</v>
      </c>
      <c r="G4655">
        <v>6</v>
      </c>
      <c r="H4655" s="4">
        <v>1570548802175</v>
      </c>
      <c r="I4655">
        <v>526.6875</v>
      </c>
      <c r="J4655" s="9">
        <f t="shared" si="72"/>
        <v>43746.939839988423</v>
      </c>
      <c r="K4655" s="1"/>
    </row>
    <row r="4656" spans="1:11" x14ac:dyDescent="0.25">
      <c r="A4656" t="e">
        <f>-Lqg-FDUpss1SyALLMBd</f>
        <v>#NAME?</v>
      </c>
      <c r="B4656">
        <v>393.75</v>
      </c>
      <c r="C4656">
        <v>20.478950000000001</v>
      </c>
      <c r="D4656">
        <v>66</v>
      </c>
      <c r="E4656">
        <v>0</v>
      </c>
      <c r="F4656">
        <v>0</v>
      </c>
      <c r="G4656">
        <v>17</v>
      </c>
      <c r="H4656" s="4">
        <v>1570548809365</v>
      </c>
      <c r="I4656">
        <v>526.6875</v>
      </c>
      <c r="J4656" s="9">
        <f t="shared" si="72"/>
        <v>43746.939923206017</v>
      </c>
      <c r="K4656" s="1"/>
    </row>
    <row r="4657" spans="1:11" x14ac:dyDescent="0.25">
      <c r="A4657" t="e">
        <f>-Lqg-Gl2R-aHSD9uM_z8</f>
        <v>#NAME?</v>
      </c>
      <c r="B4657">
        <v>393.75</v>
      </c>
      <c r="C4657">
        <v>20.478950000000001</v>
      </c>
      <c r="D4657">
        <v>66</v>
      </c>
      <c r="E4657">
        <v>0</v>
      </c>
      <c r="F4657">
        <v>0</v>
      </c>
      <c r="G4657">
        <v>4</v>
      </c>
      <c r="H4657" s="4">
        <v>1570548815553</v>
      </c>
      <c r="I4657">
        <v>526.6875</v>
      </c>
      <c r="J4657" s="9">
        <f t="shared" si="72"/>
        <v>43746.939994826382</v>
      </c>
      <c r="K4657" s="1"/>
    </row>
    <row r="4658" spans="1:11" x14ac:dyDescent="0.25">
      <c r="A4658" t="e">
        <f>-Lqg-In3tyrOEw7S8k1o</f>
        <v>#NAME?</v>
      </c>
      <c r="B4658">
        <v>393.75</v>
      </c>
      <c r="C4658">
        <v>20.531590000000001</v>
      </c>
      <c r="D4658">
        <v>65</v>
      </c>
      <c r="E4658">
        <v>0</v>
      </c>
      <c r="F4658">
        <v>0</v>
      </c>
      <c r="G4658">
        <v>3</v>
      </c>
      <c r="H4658" s="4">
        <v>1570548823955</v>
      </c>
      <c r="I4658">
        <v>526.5</v>
      </c>
      <c r="J4658" s="9">
        <f t="shared" si="72"/>
        <v>43746.940092071753</v>
      </c>
      <c r="K4658" s="1"/>
    </row>
    <row r="4659" spans="1:11" x14ac:dyDescent="0.25">
      <c r="A4659" t="e">
        <f>-Lqg-KW207EZc_nfm6PA</f>
        <v>#NAME?</v>
      </c>
      <c r="B4659">
        <v>412.5</v>
      </c>
      <c r="C4659">
        <v>20.478950000000001</v>
      </c>
      <c r="D4659">
        <v>63</v>
      </c>
      <c r="E4659">
        <v>0</v>
      </c>
      <c r="F4659">
        <v>0</v>
      </c>
      <c r="G4659">
        <v>8</v>
      </c>
      <c r="H4659" s="4">
        <v>1570548831034</v>
      </c>
      <c r="I4659">
        <v>532.3125</v>
      </c>
      <c r="J4659" s="9">
        <f t="shared" si="72"/>
        <v>43746.940174004623</v>
      </c>
      <c r="K4659" s="1"/>
    </row>
    <row r="4660" spans="1:11" x14ac:dyDescent="0.25">
      <c r="A4660" t="e">
        <f>-Lqg-m-LMb84FCttkYgz</f>
        <v>#NAME?</v>
      </c>
      <c r="B4660">
        <v>393.75</v>
      </c>
      <c r="C4660">
        <v>20.584240000000001</v>
      </c>
      <c r="D4660">
        <v>63</v>
      </c>
      <c r="E4660">
        <v>0</v>
      </c>
      <c r="F4660">
        <v>0</v>
      </c>
      <c r="G4660">
        <v>4</v>
      </c>
      <c r="H4660" s="4">
        <v>1570548837204</v>
      </c>
      <c r="I4660">
        <v>526.6875</v>
      </c>
      <c r="J4660" s="9">
        <f t="shared" si="72"/>
        <v>43746.940245416663</v>
      </c>
      <c r="K4660" s="1"/>
    </row>
    <row r="4661" spans="1:11" x14ac:dyDescent="0.25">
      <c r="A4661" t="e">
        <f>-Lqg-NZ3KwTedxGzHceF</f>
        <v>#NAME?</v>
      </c>
      <c r="B4661">
        <v>393.75</v>
      </c>
      <c r="C4661">
        <v>20.478950000000001</v>
      </c>
      <c r="D4661">
        <v>64</v>
      </c>
      <c r="E4661">
        <v>0</v>
      </c>
      <c r="F4661">
        <v>0</v>
      </c>
      <c r="G4661">
        <v>0</v>
      </c>
      <c r="H4661" s="4">
        <v>1570548843392</v>
      </c>
      <c r="I4661">
        <v>526.6875</v>
      </c>
      <c r="J4661" s="9">
        <f t="shared" si="72"/>
        <v>43746.940317037035</v>
      </c>
      <c r="K4661" s="1"/>
    </row>
    <row r="4662" spans="1:11" x14ac:dyDescent="0.25">
      <c r="A4662" t="e">
        <f>-Lqg-PaFpzlCDAXBrpPo</f>
        <v>#NAME?</v>
      </c>
      <c r="B4662">
        <v>393.75</v>
      </c>
      <c r="C4662">
        <v>20.478950000000001</v>
      </c>
      <c r="D4662">
        <v>66</v>
      </c>
      <c r="E4662">
        <v>0</v>
      </c>
      <c r="F4662">
        <v>0</v>
      </c>
      <c r="G4662">
        <v>1</v>
      </c>
      <c r="H4662" s="4">
        <v>1570548851952</v>
      </c>
      <c r="I4662">
        <v>526.6875</v>
      </c>
      <c r="J4662" s="9">
        <f t="shared" si="72"/>
        <v>43746.940416111109</v>
      </c>
      <c r="K4662" s="1"/>
    </row>
    <row r="4663" spans="1:11" x14ac:dyDescent="0.25">
      <c r="A4663" t="e">
        <f>-Lqg-RJ6hj-HdAbvVTLd</f>
        <v>#NAME?</v>
      </c>
      <c r="B4663">
        <v>393.75</v>
      </c>
      <c r="C4663">
        <v>20.531590000000001</v>
      </c>
      <c r="D4663">
        <v>66</v>
      </c>
      <c r="E4663">
        <v>0</v>
      </c>
      <c r="F4663">
        <v>0</v>
      </c>
      <c r="G4663">
        <v>9</v>
      </c>
      <c r="H4663" s="4">
        <v>1570548858858</v>
      </c>
      <c r="I4663">
        <v>526.5</v>
      </c>
      <c r="J4663" s="9">
        <f t="shared" si="72"/>
        <v>43746.940496041665</v>
      </c>
      <c r="K4663" s="1"/>
    </row>
    <row r="4664" spans="1:11" x14ac:dyDescent="0.25">
      <c r="A4664" t="e">
        <f>-Lqg-Sn7W-CT5tBLTlPQ</f>
        <v>#NAME?</v>
      </c>
      <c r="B4664">
        <v>415.625</v>
      </c>
      <c r="C4664">
        <v>20.478950000000001</v>
      </c>
      <c r="D4664">
        <v>67</v>
      </c>
      <c r="E4664">
        <v>0</v>
      </c>
      <c r="F4664">
        <v>0</v>
      </c>
      <c r="G4664">
        <v>6</v>
      </c>
      <c r="H4664" s="4">
        <v>1570548865047</v>
      </c>
      <c r="I4664">
        <v>533.0625</v>
      </c>
      <c r="J4664" s="9">
        <f t="shared" si="72"/>
        <v>43746.940567673613</v>
      </c>
      <c r="K4664" s="1"/>
    </row>
    <row r="4665" spans="1:11" x14ac:dyDescent="0.25">
      <c r="A4665" t="e">
        <f>-Lqg-UM5mos1u15mJiem</f>
        <v>#NAME?</v>
      </c>
      <c r="B4665">
        <v>393.75</v>
      </c>
      <c r="C4665">
        <v>20.478950000000001</v>
      </c>
      <c r="D4665">
        <v>67</v>
      </c>
      <c r="E4665">
        <v>0</v>
      </c>
      <c r="F4665">
        <v>0</v>
      </c>
      <c r="G4665">
        <v>12</v>
      </c>
      <c r="H4665" s="4">
        <v>1570548871217</v>
      </c>
      <c r="I4665">
        <v>526.5</v>
      </c>
      <c r="J4665" s="9">
        <f t="shared" si="72"/>
        <v>43746.940639085646</v>
      </c>
      <c r="K4665" s="1"/>
    </row>
    <row r="4666" spans="1:11" x14ac:dyDescent="0.25">
      <c r="A4666" t="e">
        <f>-Lqg-W479uasdTxNy4nG</f>
        <v>#NAME?</v>
      </c>
      <c r="B4666">
        <v>393.75</v>
      </c>
      <c r="C4666">
        <v>20.584240000000001</v>
      </c>
      <c r="D4666">
        <v>66</v>
      </c>
      <c r="E4666">
        <v>0</v>
      </c>
      <c r="F4666">
        <v>0</v>
      </c>
      <c r="G4666">
        <v>12</v>
      </c>
      <c r="H4666" s="4">
        <v>1570548878438</v>
      </c>
      <c r="I4666">
        <v>526.6875</v>
      </c>
      <c r="J4666" s="9">
        <f t="shared" si="72"/>
        <v>43746.940722662031</v>
      </c>
      <c r="K4666" s="1"/>
    </row>
    <row r="4667" spans="1:11" x14ac:dyDescent="0.25">
      <c r="A4667" t="e">
        <f>-Lqg-XZHC2aXbaoKAbKZ</f>
        <v>#NAME?</v>
      </c>
      <c r="B4667">
        <v>393.75</v>
      </c>
      <c r="C4667">
        <v>20.478950000000001</v>
      </c>
      <c r="D4667">
        <v>66</v>
      </c>
      <c r="E4667">
        <v>0</v>
      </c>
      <c r="F4667">
        <v>0</v>
      </c>
      <c r="G4667">
        <v>0</v>
      </c>
      <c r="H4667" s="4">
        <v>1570548884638</v>
      </c>
      <c r="I4667">
        <v>526.6875</v>
      </c>
      <c r="J4667" s="9">
        <f t="shared" si="72"/>
        <v>43746.940794421294</v>
      </c>
      <c r="K4667" s="1"/>
    </row>
    <row r="4668" spans="1:11" x14ac:dyDescent="0.25">
      <c r="A4668" t="e">
        <f>-Lqg-Z82w6XkRsBFLfA2</f>
        <v>#NAME?</v>
      </c>
      <c r="B4668">
        <v>393.75</v>
      </c>
      <c r="C4668">
        <v>20.531590000000001</v>
      </c>
      <c r="D4668">
        <v>66</v>
      </c>
      <c r="E4668">
        <v>0</v>
      </c>
      <c r="F4668">
        <v>0</v>
      </c>
      <c r="G4668">
        <v>12</v>
      </c>
      <c r="H4668" s="4">
        <v>1570548890807</v>
      </c>
      <c r="I4668">
        <v>526.6875</v>
      </c>
      <c r="J4668" s="9">
        <f t="shared" si="72"/>
        <v>43746.940865821758</v>
      </c>
      <c r="K4668" s="1"/>
    </row>
    <row r="4669" spans="1:11" x14ac:dyDescent="0.25">
      <c r="A4669" t="e">
        <f>-Lqg-_q655Pt0twFxtOp</f>
        <v>#NAME?</v>
      </c>
      <c r="B4669">
        <v>393.75</v>
      </c>
      <c r="C4669">
        <v>20.531590000000001</v>
      </c>
      <c r="D4669">
        <v>65</v>
      </c>
      <c r="E4669">
        <v>0</v>
      </c>
      <c r="F4669">
        <v>0</v>
      </c>
      <c r="G4669">
        <v>5</v>
      </c>
      <c r="H4669" s="4">
        <v>1570548898008</v>
      </c>
      <c r="I4669">
        <v>526.6875</v>
      </c>
      <c r="J4669" s="9">
        <f t="shared" si="72"/>
        <v>43746.940949166667</v>
      </c>
      <c r="K4669" s="1"/>
    </row>
    <row r="4670" spans="1:11" x14ac:dyDescent="0.25">
      <c r="A4670" t="e">
        <f>-Lqg-bP8xXcvNUx3msmr</f>
        <v>#NAME?</v>
      </c>
      <c r="B4670">
        <v>393.75</v>
      </c>
      <c r="C4670">
        <v>20.584240000000001</v>
      </c>
      <c r="D4670">
        <v>66</v>
      </c>
      <c r="E4670">
        <v>0</v>
      </c>
      <c r="F4670">
        <v>0</v>
      </c>
      <c r="G4670">
        <v>14</v>
      </c>
      <c r="H4670" s="4">
        <v>1570548904207</v>
      </c>
      <c r="I4670">
        <v>526.6875</v>
      </c>
      <c r="J4670" s="9">
        <f t="shared" si="72"/>
        <v>43746.941020914346</v>
      </c>
      <c r="K4670" s="1"/>
    </row>
    <row r="4671" spans="1:11" x14ac:dyDescent="0.25">
      <c r="A4671" t="e">
        <f>-Lqg-dHG4hgJ-USaeHJl</f>
        <v>#NAME?</v>
      </c>
      <c r="B4671">
        <v>412.5</v>
      </c>
      <c r="C4671">
        <v>20.478950000000001</v>
      </c>
      <c r="D4671">
        <v>67</v>
      </c>
      <c r="E4671">
        <v>0</v>
      </c>
      <c r="F4671">
        <v>0</v>
      </c>
      <c r="G4671">
        <v>6</v>
      </c>
      <c r="H4671" s="4">
        <v>1570548911949</v>
      </c>
      <c r="I4671">
        <v>532.125</v>
      </c>
      <c r="J4671" s="9">
        <f t="shared" si="72"/>
        <v>43746.941110520835</v>
      </c>
      <c r="K4671" s="1"/>
    </row>
    <row r="4672" spans="1:11" x14ac:dyDescent="0.25">
      <c r="A4672" t="e">
        <f>-Lqg-evtWjZNx8UbIpSc</f>
        <v>#NAME?</v>
      </c>
      <c r="B4672">
        <v>393.75</v>
      </c>
      <c r="C4672">
        <v>20.478950000000001</v>
      </c>
      <c r="D4672">
        <v>64</v>
      </c>
      <c r="E4672">
        <v>0</v>
      </c>
      <c r="F4672">
        <v>0</v>
      </c>
      <c r="G4672">
        <v>9</v>
      </c>
      <c r="H4672" s="4">
        <v>1570548918638</v>
      </c>
      <c r="I4672">
        <v>526.6875</v>
      </c>
      <c r="J4672" s="9">
        <f t="shared" si="72"/>
        <v>43746.941187939818</v>
      </c>
      <c r="K4672" s="1"/>
    </row>
    <row r="4673" spans="1:11" x14ac:dyDescent="0.25">
      <c r="A4673" t="e">
        <f>-Lqg-gavFf3shXs9iBfN</f>
        <v>#NAME?</v>
      </c>
      <c r="B4673">
        <v>393.75</v>
      </c>
      <c r="C4673">
        <v>20.478950000000001</v>
      </c>
      <c r="D4673">
        <v>64</v>
      </c>
      <c r="E4673">
        <v>0</v>
      </c>
      <c r="F4673">
        <v>0</v>
      </c>
      <c r="G4673">
        <v>0</v>
      </c>
      <c r="H4673" s="4">
        <v>1570548925850</v>
      </c>
      <c r="I4673">
        <v>526.6875</v>
      </c>
      <c r="J4673" s="9">
        <f t="shared" si="72"/>
        <v>43746.941271412034</v>
      </c>
      <c r="K4673" s="1"/>
    </row>
    <row r="4674" spans="1:11" x14ac:dyDescent="0.25">
      <c r="A4674" t="e">
        <f>-Lqg-iCEJ8BB7LPiweWC</f>
        <v>#NAME?</v>
      </c>
      <c r="B4674">
        <v>393.75</v>
      </c>
      <c r="C4674">
        <v>20.478950000000001</v>
      </c>
      <c r="D4674">
        <v>64</v>
      </c>
      <c r="E4674">
        <v>0</v>
      </c>
      <c r="F4674">
        <v>0</v>
      </c>
      <c r="G4674">
        <v>6</v>
      </c>
      <c r="H4674" s="4">
        <v>1570548932039</v>
      </c>
      <c r="I4674">
        <v>526.6875</v>
      </c>
      <c r="J4674" s="9">
        <f t="shared" si="72"/>
        <v>43746.941343043982</v>
      </c>
      <c r="K4674" s="1"/>
    </row>
    <row r="4675" spans="1:11" x14ac:dyDescent="0.25">
      <c r="A4675" t="e">
        <f>-Lqg-jvFRf10pi7fR4AF</f>
        <v>#NAME?</v>
      </c>
      <c r="B4675">
        <v>393.75</v>
      </c>
      <c r="C4675">
        <v>20.478950000000001</v>
      </c>
      <c r="D4675">
        <v>64</v>
      </c>
      <c r="E4675">
        <v>0</v>
      </c>
      <c r="F4675">
        <v>0</v>
      </c>
      <c r="G4675">
        <v>10</v>
      </c>
      <c r="H4675" s="4">
        <v>1570548939247</v>
      </c>
      <c r="I4675">
        <v>526.5</v>
      </c>
      <c r="J4675" s="9">
        <f t="shared" ref="J4675:J4738" si="73">(H4675/86400000)+25569+(7/24)</f>
        <v>43746.941426469908</v>
      </c>
      <c r="K4675" s="1"/>
    </row>
    <row r="4676" spans="1:11" x14ac:dyDescent="0.25">
      <c r="A4676" t="e">
        <f>-Lqg-mEjPBbv_aWetFFn</f>
        <v>#NAME?</v>
      </c>
      <c r="B4676">
        <v>412.5</v>
      </c>
      <c r="C4676">
        <v>20.531590000000001</v>
      </c>
      <c r="D4676">
        <v>66</v>
      </c>
      <c r="E4676">
        <v>0</v>
      </c>
      <c r="F4676">
        <v>0</v>
      </c>
      <c r="G4676">
        <v>6</v>
      </c>
      <c r="H4676" s="4">
        <v>1570548946457</v>
      </c>
      <c r="I4676">
        <v>532.5</v>
      </c>
      <c r="J4676" s="9">
        <f t="shared" si="73"/>
        <v>43746.941509918979</v>
      </c>
      <c r="K4676" s="1"/>
    </row>
    <row r="4677" spans="1:11" x14ac:dyDescent="0.25">
      <c r="A4677" t="e">
        <f>-Lqg-nz7FF4WYVTkFbY7</f>
        <v>#NAME?</v>
      </c>
      <c r="B4677">
        <v>393.75</v>
      </c>
      <c r="C4677">
        <v>20.531590000000001</v>
      </c>
      <c r="D4677">
        <v>66</v>
      </c>
      <c r="E4677">
        <v>0</v>
      </c>
      <c r="F4677">
        <v>0</v>
      </c>
      <c r="G4677">
        <v>5</v>
      </c>
      <c r="H4677" s="4">
        <v>1570548955738</v>
      </c>
      <c r="I4677">
        <v>526.5</v>
      </c>
      <c r="J4677" s="9">
        <f t="shared" si="73"/>
        <v>43746.941617337965</v>
      </c>
      <c r="K4677" s="1"/>
    </row>
    <row r="4678" spans="1:11" x14ac:dyDescent="0.25">
      <c r="A4678" t="e">
        <f>-Lqg-ph7L3UG-pMbYmv8</f>
        <v>#NAME?</v>
      </c>
      <c r="B4678">
        <v>393.75</v>
      </c>
      <c r="C4678">
        <v>20.531590000000001</v>
      </c>
      <c r="D4678">
        <v>66</v>
      </c>
      <c r="E4678">
        <v>0</v>
      </c>
      <c r="F4678">
        <v>0</v>
      </c>
      <c r="G4678">
        <v>6</v>
      </c>
      <c r="H4678" s="4">
        <v>1570548962969</v>
      </c>
      <c r="I4678">
        <v>526.6875</v>
      </c>
      <c r="J4678" s="9">
        <f t="shared" si="73"/>
        <v>43746.941701030089</v>
      </c>
      <c r="K4678" s="1"/>
    </row>
    <row r="4679" spans="1:11" x14ac:dyDescent="0.25">
      <c r="A4679" t="e">
        <f>-Lqg-rBEMqZVg59Zs1pS</f>
        <v>#NAME?</v>
      </c>
      <c r="B4679">
        <v>393.75</v>
      </c>
      <c r="C4679">
        <v>20.478950000000001</v>
      </c>
      <c r="D4679">
        <v>66</v>
      </c>
      <c r="E4679">
        <v>0</v>
      </c>
      <c r="F4679">
        <v>0</v>
      </c>
      <c r="G4679">
        <v>16</v>
      </c>
      <c r="H4679" s="4">
        <v>1570548969128</v>
      </c>
      <c r="I4679">
        <v>526.5</v>
      </c>
      <c r="J4679" s="9">
        <f t="shared" si="73"/>
        <v>43746.941772314814</v>
      </c>
      <c r="K4679" s="1"/>
    </row>
    <row r="4680" spans="1:11" x14ac:dyDescent="0.25">
      <c r="A4680" t="e">
        <f>-Lqg-sk6GPjKekGGzXsM</f>
        <v>#NAME?</v>
      </c>
      <c r="B4680">
        <v>393.75</v>
      </c>
      <c r="C4680">
        <v>20.478950000000001</v>
      </c>
      <c r="D4680">
        <v>67</v>
      </c>
      <c r="E4680">
        <v>0</v>
      </c>
      <c r="F4680">
        <v>0</v>
      </c>
      <c r="G4680">
        <v>20</v>
      </c>
      <c r="H4680" s="4">
        <v>1570548975318</v>
      </c>
      <c r="I4680">
        <v>526.6875</v>
      </c>
      <c r="J4680" s="9">
        <f t="shared" si="73"/>
        <v>43746.941843958331</v>
      </c>
      <c r="K4680" s="1"/>
    </row>
    <row r="4681" spans="1:11" x14ac:dyDescent="0.25">
      <c r="A4681" t="e">
        <f>-Lqg-uEEPoCf8O2cz1cG</f>
        <v>#NAME?</v>
      </c>
      <c r="B4681">
        <v>393.75</v>
      </c>
      <c r="C4681">
        <v>20.478950000000001</v>
      </c>
      <c r="D4681">
        <v>67</v>
      </c>
      <c r="E4681">
        <v>0</v>
      </c>
      <c r="F4681">
        <v>0</v>
      </c>
      <c r="G4681">
        <v>7</v>
      </c>
      <c r="H4681" s="4">
        <v>1570548981488</v>
      </c>
      <c r="I4681">
        <v>526.6875</v>
      </c>
      <c r="J4681" s="9">
        <f t="shared" si="73"/>
        <v>43746.941915370371</v>
      </c>
      <c r="K4681" s="1"/>
    </row>
    <row r="4682" spans="1:11" x14ac:dyDescent="0.25">
      <c r="A4682" t="e">
        <f>-Lqg-w174oGA39tUqumd</f>
        <v>#NAME?</v>
      </c>
      <c r="B4682">
        <v>393.75</v>
      </c>
      <c r="C4682">
        <v>20.531590000000001</v>
      </c>
      <c r="D4682">
        <v>66</v>
      </c>
      <c r="E4682">
        <v>0</v>
      </c>
      <c r="F4682">
        <v>0</v>
      </c>
      <c r="G4682">
        <v>7</v>
      </c>
      <c r="H4682" s="4">
        <v>1570548988718</v>
      </c>
      <c r="I4682">
        <v>526.6875</v>
      </c>
      <c r="J4682" s="9">
        <f t="shared" si="73"/>
        <v>43746.941999050927</v>
      </c>
      <c r="K4682" s="1"/>
    </row>
    <row r="4683" spans="1:11" x14ac:dyDescent="0.25">
      <c r="A4683" t="e">
        <f>-Lqg-xk6MfRTOwYULKFM</f>
        <v>#NAME?</v>
      </c>
      <c r="B4683">
        <v>393.75</v>
      </c>
      <c r="C4683">
        <v>20.531590000000001</v>
      </c>
      <c r="D4683">
        <v>66</v>
      </c>
      <c r="E4683">
        <v>0</v>
      </c>
      <c r="F4683">
        <v>0</v>
      </c>
      <c r="G4683">
        <v>11</v>
      </c>
      <c r="H4683" s="4">
        <v>1570548995927</v>
      </c>
      <c r="I4683">
        <v>526.6875</v>
      </c>
      <c r="J4683" s="9">
        <f t="shared" si="73"/>
        <v>43746.942082488422</v>
      </c>
      <c r="K4683" s="1"/>
    </row>
    <row r="4684" spans="1:11" x14ac:dyDescent="0.25">
      <c r="A4684" t="e">
        <f>-Lqg-zJIXkVEs0WeSdZ6</f>
        <v>#NAME?</v>
      </c>
      <c r="B4684">
        <v>393.75</v>
      </c>
      <c r="C4684">
        <v>20.531590000000001</v>
      </c>
      <c r="D4684">
        <v>62</v>
      </c>
      <c r="E4684">
        <v>0</v>
      </c>
      <c r="F4684">
        <v>0</v>
      </c>
      <c r="G4684">
        <v>12</v>
      </c>
      <c r="H4684" s="4">
        <v>1570549002107</v>
      </c>
      <c r="I4684">
        <v>526.6875</v>
      </c>
      <c r="J4684" s="9">
        <f t="shared" si="73"/>
        <v>43746.9421540162</v>
      </c>
      <c r="K4684" s="1"/>
    </row>
    <row r="4685" spans="1:11" x14ac:dyDescent="0.25">
      <c r="A4685" t="e">
        <f>-Lqg0017hhiufkXpGvBj</f>
        <v>#NAME?</v>
      </c>
      <c r="B4685">
        <v>393.75</v>
      </c>
      <c r="C4685">
        <v>20.478950000000001</v>
      </c>
      <c r="D4685">
        <v>64</v>
      </c>
      <c r="E4685">
        <v>0</v>
      </c>
      <c r="F4685">
        <v>0</v>
      </c>
      <c r="G4685">
        <v>8</v>
      </c>
      <c r="H4685" s="4">
        <v>1570549009329</v>
      </c>
      <c r="I4685">
        <v>526.6875</v>
      </c>
      <c r="J4685" s="9">
        <f t="shared" si="73"/>
        <v>43746.942237604169</v>
      </c>
      <c r="K4685" s="1"/>
    </row>
    <row r="4686" spans="1:11" x14ac:dyDescent="0.25">
      <c r="A4686" t="e">
        <f>-Lqg01W668cG9P1GNC-v</f>
        <v>#NAME?</v>
      </c>
      <c r="B4686">
        <v>393.75</v>
      </c>
      <c r="C4686">
        <v>20.531590000000001</v>
      </c>
      <c r="D4686">
        <v>64</v>
      </c>
      <c r="E4686">
        <v>0</v>
      </c>
      <c r="F4686">
        <v>0</v>
      </c>
      <c r="G4686">
        <v>13</v>
      </c>
      <c r="H4686" s="4">
        <v>1570549015508</v>
      </c>
      <c r="I4686">
        <v>526.5</v>
      </c>
      <c r="J4686" s="9">
        <f t="shared" si="73"/>
        <v>43746.942309120372</v>
      </c>
      <c r="K4686" s="1"/>
    </row>
    <row r="4687" spans="1:11" x14ac:dyDescent="0.25">
      <c r="A4687" t="e">
        <f>-Lqg0346hcm_2NHV7pvV</f>
        <v>#NAME?</v>
      </c>
      <c r="B4687">
        <v>393.75</v>
      </c>
      <c r="C4687">
        <v>20.531590000000001</v>
      </c>
      <c r="D4687">
        <v>65</v>
      </c>
      <c r="E4687">
        <v>0</v>
      </c>
      <c r="F4687">
        <v>0</v>
      </c>
      <c r="G4687">
        <v>13</v>
      </c>
      <c r="H4687" s="4">
        <v>1570549021699</v>
      </c>
      <c r="I4687">
        <v>526.6875</v>
      </c>
      <c r="J4687" s="9">
        <f t="shared" si="73"/>
        <v>43746.942380775457</v>
      </c>
      <c r="K4687" s="1"/>
    </row>
    <row r="4688" spans="1:11" x14ac:dyDescent="0.25">
      <c r="A4688" t="e">
        <f>-Lqg0517JBD_bgDY1G6F</f>
        <v>#NAME?</v>
      </c>
      <c r="B4688">
        <v>393.75</v>
      </c>
      <c r="C4688">
        <v>20.478950000000001</v>
      </c>
      <c r="D4688">
        <v>66</v>
      </c>
      <c r="E4688">
        <v>0</v>
      </c>
      <c r="F4688">
        <v>0</v>
      </c>
      <c r="G4688">
        <v>7</v>
      </c>
      <c r="H4688" s="4">
        <v>1570549028888</v>
      </c>
      <c r="I4688">
        <v>526.6875</v>
      </c>
      <c r="J4688" s="9">
        <f t="shared" si="73"/>
        <v>43746.942463981475</v>
      </c>
      <c r="K4688" s="1"/>
    </row>
    <row r="4689" spans="1:11" x14ac:dyDescent="0.25">
      <c r="A4689" t="e">
        <f>-Lqg06eAz5nlstMoFoAf</f>
        <v>#NAME?</v>
      </c>
      <c r="B4689">
        <v>412.5</v>
      </c>
      <c r="C4689">
        <v>20.531590000000001</v>
      </c>
      <c r="D4689">
        <v>66</v>
      </c>
      <c r="E4689">
        <v>0</v>
      </c>
      <c r="F4689">
        <v>0</v>
      </c>
      <c r="G4689">
        <v>4</v>
      </c>
      <c r="H4689" s="4">
        <v>1570549036340</v>
      </c>
      <c r="I4689">
        <v>532.3125</v>
      </c>
      <c r="J4689" s="9">
        <f t="shared" si="73"/>
        <v>43746.942550231477</v>
      </c>
      <c r="K4689" s="1"/>
    </row>
    <row r="4690" spans="1:11" x14ac:dyDescent="0.25">
      <c r="A4690" t="e">
        <f>-Lqg08I0eGsrnq7siNUM</f>
        <v>#NAME?</v>
      </c>
      <c r="B4690">
        <v>393.75</v>
      </c>
      <c r="C4690">
        <v>20.531590000000001</v>
      </c>
      <c r="D4690">
        <v>65</v>
      </c>
      <c r="E4690">
        <v>0</v>
      </c>
      <c r="F4690">
        <v>0</v>
      </c>
      <c r="G4690">
        <v>10</v>
      </c>
      <c r="H4690" s="4">
        <v>1570549043347</v>
      </c>
      <c r="I4690">
        <v>526.6875</v>
      </c>
      <c r="J4690" s="9">
        <f t="shared" si="73"/>
        <v>43746.942631331018</v>
      </c>
      <c r="K4690" s="1"/>
    </row>
    <row r="4691" spans="1:11" x14ac:dyDescent="0.25">
      <c r="A4691" t="e">
        <f>-Lqg0A53V7MfcUuvxxl0</f>
        <v>#NAME?</v>
      </c>
      <c r="B4691">
        <v>393.75</v>
      </c>
      <c r="C4691">
        <v>20.531590000000001</v>
      </c>
      <c r="D4691">
        <v>63</v>
      </c>
      <c r="E4691">
        <v>0</v>
      </c>
      <c r="F4691">
        <v>0</v>
      </c>
      <c r="G4691">
        <v>12</v>
      </c>
      <c r="H4691" s="4">
        <v>1570549050588</v>
      </c>
      <c r="I4691">
        <v>526.6875</v>
      </c>
      <c r="J4691" s="9">
        <f t="shared" si="73"/>
        <v>43746.942715138888</v>
      </c>
      <c r="K4691" s="1"/>
    </row>
    <row r="4692" spans="1:11" x14ac:dyDescent="0.25">
      <c r="A4692" t="e">
        <f>-Lqg0BpBmuPsbzh9E_91</f>
        <v>#NAME?</v>
      </c>
      <c r="B4692">
        <v>393.75</v>
      </c>
      <c r="C4692">
        <v>20.531590000000001</v>
      </c>
      <c r="D4692">
        <v>64</v>
      </c>
      <c r="E4692">
        <v>0</v>
      </c>
      <c r="F4692">
        <v>0</v>
      </c>
      <c r="G4692">
        <v>15</v>
      </c>
      <c r="H4692" s="4">
        <v>1570549057768</v>
      </c>
      <c r="I4692">
        <v>526.6875</v>
      </c>
      <c r="J4692" s="9">
        <f t="shared" si="73"/>
        <v>43746.942798240743</v>
      </c>
      <c r="K4692" s="1"/>
    </row>
    <row r="4693" spans="1:11" x14ac:dyDescent="0.25">
      <c r="A4693" t="e">
        <f>-Lqg0DO8PbB7Amj3J_Dk</f>
        <v>#NAME?</v>
      </c>
      <c r="B4693">
        <v>393.75</v>
      </c>
      <c r="C4693">
        <v>20.478950000000001</v>
      </c>
      <c r="D4693">
        <v>65</v>
      </c>
      <c r="E4693">
        <v>0</v>
      </c>
      <c r="F4693">
        <v>0</v>
      </c>
      <c r="G4693">
        <v>17</v>
      </c>
      <c r="H4693" s="4">
        <v>1570549063947</v>
      </c>
      <c r="I4693">
        <v>526.6875</v>
      </c>
      <c r="J4693" s="9">
        <f t="shared" si="73"/>
        <v>43746.942869756946</v>
      </c>
      <c r="K4693" s="1"/>
    </row>
    <row r="4694" spans="1:11" x14ac:dyDescent="0.25">
      <c r="A4694" t="s">
        <v>259</v>
      </c>
      <c r="B4694">
        <v>393.75</v>
      </c>
      <c r="C4694">
        <v>20.531590000000001</v>
      </c>
      <c r="D4694">
        <v>65</v>
      </c>
      <c r="E4694">
        <v>0</v>
      </c>
      <c r="F4694">
        <v>0</v>
      </c>
      <c r="G4694">
        <v>0</v>
      </c>
      <c r="H4694" s="4">
        <v>1570549070117</v>
      </c>
      <c r="I4694">
        <v>526.5</v>
      </c>
      <c r="J4694" s="9">
        <f t="shared" si="73"/>
        <v>43746.942941168978</v>
      </c>
      <c r="K4694" s="1"/>
    </row>
    <row r="4695" spans="1:11" x14ac:dyDescent="0.25">
      <c r="A4695" t="e">
        <f>-Lqg0GclSTDV20G-alCx</f>
        <v>#NAME?</v>
      </c>
      <c r="B4695">
        <v>412.5</v>
      </c>
      <c r="C4695">
        <v>20.478950000000001</v>
      </c>
      <c r="D4695">
        <v>65</v>
      </c>
      <c r="E4695">
        <v>0</v>
      </c>
      <c r="F4695">
        <v>0</v>
      </c>
      <c r="G4695">
        <v>14</v>
      </c>
      <c r="H4695" s="4">
        <v>1570549076324</v>
      </c>
      <c r="I4695">
        <v>532.3125</v>
      </c>
      <c r="J4695" s="9">
        <f t="shared" si="73"/>
        <v>43746.943013009259</v>
      </c>
      <c r="K4695" s="1"/>
    </row>
    <row r="4696" spans="1:11" x14ac:dyDescent="0.25">
      <c r="A4696" t="e">
        <f>-Lqg0IMx4aK8gxBu0Btb</f>
        <v>#NAME?</v>
      </c>
      <c r="B4696">
        <v>393.75</v>
      </c>
      <c r="C4696">
        <v>20.531590000000001</v>
      </c>
      <c r="D4696">
        <v>64</v>
      </c>
      <c r="E4696">
        <v>0</v>
      </c>
      <c r="F4696">
        <v>0</v>
      </c>
      <c r="G4696">
        <v>8</v>
      </c>
      <c r="H4696" s="4">
        <v>1570549084563</v>
      </c>
      <c r="I4696">
        <v>526.6875</v>
      </c>
      <c r="J4696" s="9">
        <f t="shared" si="73"/>
        <v>43746.943108368054</v>
      </c>
      <c r="K4696" s="1"/>
    </row>
    <row r="4697" spans="1:11" x14ac:dyDescent="0.25">
      <c r="A4697" t="e">
        <f>-Lqg0Jx4Yun6FD8wE1Wv</f>
        <v>#NAME?</v>
      </c>
      <c r="B4697">
        <v>393.75</v>
      </c>
      <c r="C4697">
        <v>20.531590000000001</v>
      </c>
      <c r="D4697">
        <v>64</v>
      </c>
      <c r="E4697">
        <v>0</v>
      </c>
      <c r="F4697">
        <v>0</v>
      </c>
      <c r="G4697">
        <v>11</v>
      </c>
      <c r="H4697" s="4">
        <v>1570549090742</v>
      </c>
      <c r="I4697">
        <v>526.6875</v>
      </c>
      <c r="J4697" s="9">
        <f t="shared" si="73"/>
        <v>43746.943179884256</v>
      </c>
      <c r="K4697" s="1"/>
    </row>
    <row r="4698" spans="1:11" x14ac:dyDescent="0.25">
      <c r="A4698" t="e">
        <f>-Lqg0Lf2ZlJxFe39ijFr</f>
        <v>#NAME?</v>
      </c>
      <c r="B4698">
        <v>393.75</v>
      </c>
      <c r="C4698">
        <v>20.531590000000001</v>
      </c>
      <c r="D4698">
        <v>70</v>
      </c>
      <c r="E4698">
        <v>0</v>
      </c>
      <c r="F4698">
        <v>0</v>
      </c>
      <c r="G4698">
        <v>2</v>
      </c>
      <c r="H4698" s="4">
        <v>1570549097954</v>
      </c>
      <c r="I4698">
        <v>526.6875</v>
      </c>
      <c r="J4698" s="9">
        <f t="shared" si="73"/>
        <v>43746.943263356479</v>
      </c>
      <c r="K4698" s="1"/>
    </row>
    <row r="4699" spans="1:11" x14ac:dyDescent="0.25">
      <c r="A4699" t="e">
        <f>-Lqg0N7yGz-nIRNJkNlf</f>
        <v>#NAME?</v>
      </c>
      <c r="B4699">
        <v>393.75</v>
      </c>
      <c r="C4699">
        <v>20.584240000000001</v>
      </c>
      <c r="D4699">
        <v>70</v>
      </c>
      <c r="E4699">
        <v>0</v>
      </c>
      <c r="F4699">
        <v>0</v>
      </c>
      <c r="G4699">
        <v>2</v>
      </c>
      <c r="H4699" s="4">
        <v>1570549104155</v>
      </c>
      <c r="I4699">
        <v>526.6875</v>
      </c>
      <c r="J4699" s="9">
        <f t="shared" si="73"/>
        <v>43746.943335127311</v>
      </c>
      <c r="K4699" s="1"/>
    </row>
    <row r="4700" spans="1:11" x14ac:dyDescent="0.25">
      <c r="A4700" t="s">
        <v>260</v>
      </c>
      <c r="B4700">
        <v>393.75</v>
      </c>
      <c r="C4700">
        <v>20.584240000000001</v>
      </c>
      <c r="D4700">
        <v>69</v>
      </c>
      <c r="E4700">
        <v>0</v>
      </c>
      <c r="F4700">
        <v>0</v>
      </c>
      <c r="G4700">
        <v>5</v>
      </c>
      <c r="H4700" s="4">
        <v>1570549110324</v>
      </c>
      <c r="I4700">
        <v>526.6875</v>
      </c>
      <c r="J4700" s="9">
        <f t="shared" si="73"/>
        <v>43746.943406527775</v>
      </c>
      <c r="K4700" s="1"/>
    </row>
    <row r="4701" spans="1:11" x14ac:dyDescent="0.25">
      <c r="A4701" t="e">
        <f>-Lqg0QKx-pnz2t-Z21lG</f>
        <v>#NAME?</v>
      </c>
      <c r="B4701">
        <v>425</v>
      </c>
      <c r="C4701">
        <v>20.531590000000001</v>
      </c>
      <c r="D4701">
        <v>69</v>
      </c>
      <c r="E4701">
        <v>0</v>
      </c>
      <c r="F4701">
        <v>0</v>
      </c>
      <c r="G4701">
        <v>6</v>
      </c>
      <c r="H4701" s="4">
        <v>1570549117281</v>
      </c>
      <c r="I4701">
        <v>536.0625</v>
      </c>
      <c r="J4701" s="9">
        <f t="shared" si="73"/>
        <v>43746.943487048607</v>
      </c>
      <c r="K4701" s="1"/>
    </row>
    <row r="4702" spans="1:11" x14ac:dyDescent="0.25">
      <c r="A4702" t="s">
        <v>261</v>
      </c>
      <c r="B4702">
        <v>393.75</v>
      </c>
      <c r="C4702">
        <v>20.531590000000001</v>
      </c>
      <c r="D4702">
        <v>69</v>
      </c>
      <c r="E4702">
        <v>0</v>
      </c>
      <c r="F4702">
        <v>0</v>
      </c>
      <c r="G4702">
        <v>9</v>
      </c>
      <c r="H4702" s="4">
        <v>1570549123714</v>
      </c>
      <c r="I4702">
        <v>526.6875</v>
      </c>
      <c r="J4702" s="9">
        <f t="shared" si="73"/>
        <v>43746.943561504631</v>
      </c>
      <c r="K4702" s="1"/>
    </row>
    <row r="4703" spans="1:11" x14ac:dyDescent="0.25">
      <c r="A4703" t="e">
        <f>-Lqg0TgxHPbHQqICNke7</f>
        <v>#NAME?</v>
      </c>
      <c r="B4703">
        <v>393.75</v>
      </c>
      <c r="C4703">
        <v>20.531590000000001</v>
      </c>
      <c r="D4703">
        <v>69</v>
      </c>
      <c r="E4703">
        <v>0</v>
      </c>
      <c r="F4703">
        <v>0</v>
      </c>
      <c r="G4703">
        <v>11</v>
      </c>
      <c r="H4703" s="4">
        <v>1570549130923</v>
      </c>
      <c r="I4703">
        <v>526.6875</v>
      </c>
      <c r="J4703" s="9">
        <f t="shared" si="73"/>
        <v>43746.943644942126</v>
      </c>
      <c r="K4703" s="1"/>
    </row>
    <row r="4704" spans="1:11" x14ac:dyDescent="0.25">
      <c r="A4704" t="e">
        <f>-Lqg0VC32IEFagmAj_Kc</f>
        <v>#NAME?</v>
      </c>
      <c r="B4704">
        <v>393.75</v>
      </c>
      <c r="C4704">
        <v>20.478950000000001</v>
      </c>
      <c r="D4704">
        <v>68</v>
      </c>
      <c r="E4704">
        <v>0</v>
      </c>
      <c r="F4704">
        <v>0</v>
      </c>
      <c r="G4704">
        <v>5</v>
      </c>
      <c r="H4704" s="4">
        <v>1570549137114</v>
      </c>
      <c r="I4704">
        <v>526.6875</v>
      </c>
      <c r="J4704" s="9">
        <f t="shared" si="73"/>
        <v>43746.943716597219</v>
      </c>
      <c r="K4704" s="1"/>
    </row>
    <row r="4705" spans="1:11" x14ac:dyDescent="0.25">
      <c r="A4705" t="e">
        <f>-Lqg0XE555IFGFYW-G7k</f>
        <v>#NAME?</v>
      </c>
      <c r="B4705">
        <v>393.75</v>
      </c>
      <c r="C4705">
        <v>20.531590000000001</v>
      </c>
      <c r="D4705">
        <v>71</v>
      </c>
      <c r="E4705">
        <v>0</v>
      </c>
      <c r="F4705">
        <v>0</v>
      </c>
      <c r="G4705">
        <v>0</v>
      </c>
      <c r="H4705" s="4">
        <v>1570549145262</v>
      </c>
      <c r="I4705">
        <v>526.6875</v>
      </c>
      <c r="J4705" s="9">
        <f t="shared" si="73"/>
        <v>43746.943810902776</v>
      </c>
      <c r="K4705" s="1"/>
    </row>
    <row r="4706" spans="1:11" x14ac:dyDescent="0.25">
      <c r="A4706" t="e">
        <f>-Lqg0YlVfVYiBc174MO4</f>
        <v>#NAME?</v>
      </c>
      <c r="B4706">
        <v>421.875</v>
      </c>
      <c r="C4706">
        <v>20.531590000000001</v>
      </c>
      <c r="D4706">
        <v>70</v>
      </c>
      <c r="E4706">
        <v>0</v>
      </c>
      <c r="F4706">
        <v>0</v>
      </c>
      <c r="G4706">
        <v>15</v>
      </c>
      <c r="H4706" s="4">
        <v>1570549151543</v>
      </c>
      <c r="I4706">
        <v>535.3125</v>
      </c>
      <c r="J4706" s="9">
        <f t="shared" si="73"/>
        <v>43746.943883599532</v>
      </c>
      <c r="K4706" s="1"/>
    </row>
    <row r="4707" spans="1:11" x14ac:dyDescent="0.25">
      <c r="A4707" t="e">
        <f>-Lqg0_H38Aq5oOe3D3-h</f>
        <v>#NAME?</v>
      </c>
      <c r="B4707">
        <v>393.75</v>
      </c>
      <c r="C4707">
        <v>20.478950000000001</v>
      </c>
      <c r="D4707">
        <v>70</v>
      </c>
      <c r="E4707">
        <v>0</v>
      </c>
      <c r="F4707">
        <v>0</v>
      </c>
      <c r="G4707">
        <v>9</v>
      </c>
      <c r="H4707" s="4">
        <v>1570549157704</v>
      </c>
      <c r="I4707">
        <v>526.6875</v>
      </c>
      <c r="J4707" s="9">
        <f t="shared" si="73"/>
        <v>43746.943954907409</v>
      </c>
      <c r="K4707" s="1"/>
    </row>
    <row r="4708" spans="1:11" x14ac:dyDescent="0.25">
      <c r="A4708" t="e">
        <f>-Lqg0amtnJV91uI-J_1l</f>
        <v>#NAME?</v>
      </c>
      <c r="B4708">
        <v>393.75</v>
      </c>
      <c r="C4708">
        <v>20.478950000000001</v>
      </c>
      <c r="D4708">
        <v>70</v>
      </c>
      <c r="E4708">
        <v>0</v>
      </c>
      <c r="F4708">
        <v>0</v>
      </c>
      <c r="G4708">
        <v>7</v>
      </c>
      <c r="H4708" s="4">
        <v>1570549163932</v>
      </c>
      <c r="I4708">
        <v>526.6875</v>
      </c>
      <c r="J4708" s="9">
        <f t="shared" si="73"/>
        <v>43746.944026990743</v>
      </c>
      <c r="K4708" s="1"/>
    </row>
    <row r="4709" spans="1:11" x14ac:dyDescent="0.25">
      <c r="A4709" t="e">
        <f>-Lqg0cUByrHpzi-HIPH3</f>
        <v>#NAME?</v>
      </c>
      <c r="B4709">
        <v>393.75</v>
      </c>
      <c r="C4709">
        <v>20.478950000000001</v>
      </c>
      <c r="D4709">
        <v>69</v>
      </c>
      <c r="E4709">
        <v>0</v>
      </c>
      <c r="F4709">
        <v>0</v>
      </c>
      <c r="G4709">
        <v>4</v>
      </c>
      <c r="H4709" s="4">
        <v>1570549171124</v>
      </c>
      <c r="I4709">
        <v>526.5</v>
      </c>
      <c r="J4709" s="9">
        <f t="shared" si="73"/>
        <v>43746.944110231481</v>
      </c>
      <c r="K4709" s="1"/>
    </row>
    <row r="4710" spans="1:11" x14ac:dyDescent="0.25">
      <c r="A4710" t="e">
        <f>-Lqg0eLk9ozScwAbm76a</f>
        <v>#NAME?</v>
      </c>
      <c r="B4710">
        <v>393.75</v>
      </c>
      <c r="C4710">
        <v>20.531590000000001</v>
      </c>
      <c r="D4710">
        <v>68</v>
      </c>
      <c r="E4710">
        <v>0</v>
      </c>
      <c r="F4710">
        <v>0</v>
      </c>
      <c r="G4710">
        <v>0</v>
      </c>
      <c r="H4710" s="4">
        <v>1570549177303</v>
      </c>
      <c r="I4710">
        <v>526.6875</v>
      </c>
      <c r="J4710" s="9">
        <f t="shared" si="73"/>
        <v>43746.944181747684</v>
      </c>
      <c r="K4710" s="1"/>
    </row>
    <row r="4711" spans="1:11" x14ac:dyDescent="0.25">
      <c r="A4711" t="e">
        <f>-Lqg0g41KKHYXX0nBZKP</f>
        <v>#NAME?</v>
      </c>
      <c r="B4711">
        <v>393.75</v>
      </c>
      <c r="C4711">
        <v>20.531590000000001</v>
      </c>
      <c r="D4711">
        <v>69</v>
      </c>
      <c r="E4711">
        <v>0</v>
      </c>
      <c r="F4711">
        <v>0</v>
      </c>
      <c r="G4711">
        <v>7</v>
      </c>
      <c r="H4711" s="4">
        <v>1570549185543</v>
      </c>
      <c r="I4711">
        <v>526.6875</v>
      </c>
      <c r="J4711" s="9">
        <f t="shared" si="73"/>
        <v>43746.944277118055</v>
      </c>
      <c r="K4711" s="1"/>
    </row>
    <row r="4712" spans="1:11" x14ac:dyDescent="0.25">
      <c r="A4712" t="e">
        <f>-Lqg0hXxNbKGbfMbmrL0</f>
        <v>#NAME?</v>
      </c>
      <c r="B4712">
        <v>412.5</v>
      </c>
      <c r="C4712">
        <v>20.531590000000001</v>
      </c>
      <c r="D4712">
        <v>69</v>
      </c>
      <c r="E4712">
        <v>0</v>
      </c>
      <c r="F4712">
        <v>0</v>
      </c>
      <c r="G4712">
        <v>3</v>
      </c>
      <c r="H4712" s="4">
        <v>1570549191713</v>
      </c>
      <c r="I4712">
        <v>532.6875</v>
      </c>
      <c r="J4712" s="9">
        <f t="shared" si="73"/>
        <v>43746.944348530094</v>
      </c>
      <c r="K4712" s="1"/>
    </row>
    <row r="4713" spans="1:11" x14ac:dyDescent="0.25">
      <c r="A4713" t="e">
        <f>-Lqg0j0y-A3HLUFHnEN6</f>
        <v>#NAME?</v>
      </c>
      <c r="B4713">
        <v>393.75</v>
      </c>
      <c r="C4713">
        <v>20.531590000000001</v>
      </c>
      <c r="D4713">
        <v>67</v>
      </c>
      <c r="E4713">
        <v>0</v>
      </c>
      <c r="F4713">
        <v>0</v>
      </c>
      <c r="G4713">
        <v>10</v>
      </c>
      <c r="H4713" s="4">
        <v>1570549197913</v>
      </c>
      <c r="I4713">
        <v>526.6875</v>
      </c>
      <c r="J4713" s="9">
        <f t="shared" si="73"/>
        <v>43746.94442028935</v>
      </c>
      <c r="K4713" s="1"/>
    </row>
    <row r="4714" spans="1:11" x14ac:dyDescent="0.25">
      <c r="A4714" t="e">
        <f>-Lqg0k_zS9HxWCQjkxdc</f>
        <v>#NAME?</v>
      </c>
      <c r="B4714">
        <v>393.75</v>
      </c>
      <c r="C4714">
        <v>20.531590000000001</v>
      </c>
      <c r="D4714">
        <v>66</v>
      </c>
      <c r="E4714">
        <v>0</v>
      </c>
      <c r="F4714">
        <v>0</v>
      </c>
      <c r="G4714">
        <v>7</v>
      </c>
      <c r="H4714" s="4">
        <v>1570549204104</v>
      </c>
      <c r="I4714">
        <v>526.6875</v>
      </c>
      <c r="J4714" s="9">
        <f t="shared" si="73"/>
        <v>43746.944491944443</v>
      </c>
      <c r="K4714" s="1"/>
    </row>
    <row r="4715" spans="1:11" x14ac:dyDescent="0.25">
      <c r="A4715" t="e">
        <f>-Lqg0m3wFq58pi944Uie</f>
        <v>#NAME?</v>
      </c>
      <c r="B4715">
        <v>393.75</v>
      </c>
      <c r="C4715">
        <v>20.531590000000001</v>
      </c>
      <c r="D4715">
        <v>66</v>
      </c>
      <c r="E4715">
        <v>0</v>
      </c>
      <c r="F4715">
        <v>0</v>
      </c>
      <c r="G4715">
        <v>9</v>
      </c>
      <c r="H4715" s="4">
        <v>1570549210282</v>
      </c>
      <c r="I4715">
        <v>526.6875</v>
      </c>
      <c r="J4715" s="9">
        <f t="shared" si="73"/>
        <v>43746.944563449077</v>
      </c>
      <c r="K4715" s="1"/>
    </row>
    <row r="4716" spans="1:11" x14ac:dyDescent="0.25">
      <c r="A4716" t="e">
        <f>-Lqg0nYxa8SDObuGNwxd</f>
        <v>#NAME?</v>
      </c>
      <c r="B4716">
        <v>393.75</v>
      </c>
      <c r="C4716">
        <v>20.531590000000001</v>
      </c>
      <c r="D4716">
        <v>67</v>
      </c>
      <c r="E4716">
        <v>0</v>
      </c>
      <c r="F4716">
        <v>0</v>
      </c>
      <c r="G4716">
        <v>8</v>
      </c>
      <c r="H4716" s="4">
        <v>1570549216463</v>
      </c>
      <c r="I4716">
        <v>526.5</v>
      </c>
      <c r="J4716" s="9">
        <f t="shared" si="73"/>
        <v>43746.944634988424</v>
      </c>
      <c r="K4716" s="1"/>
    </row>
    <row r="4717" spans="1:11" x14ac:dyDescent="0.25">
      <c r="A4717" t="e">
        <f>-Lqg0p8236BsPwtYJhlW</f>
        <v>#NAME?</v>
      </c>
      <c r="B4717">
        <v>393.75</v>
      </c>
      <c r="C4717">
        <v>20.531590000000001</v>
      </c>
      <c r="D4717">
        <v>66</v>
      </c>
      <c r="E4717">
        <v>0</v>
      </c>
      <c r="F4717">
        <v>0</v>
      </c>
      <c r="G4717">
        <v>14</v>
      </c>
      <c r="H4717" s="4">
        <v>1570549222654</v>
      </c>
      <c r="I4717">
        <v>526.6875</v>
      </c>
      <c r="J4717" s="9">
        <f t="shared" si="73"/>
        <v>43746.944706643517</v>
      </c>
      <c r="K4717" s="1"/>
    </row>
    <row r="4718" spans="1:11" x14ac:dyDescent="0.25">
      <c r="A4718" t="e">
        <f>-Lqg0qr2VoJ91QIlRPL9</f>
        <v>#NAME?</v>
      </c>
      <c r="B4718">
        <v>393.75</v>
      </c>
      <c r="C4718">
        <v>20.478950000000001</v>
      </c>
      <c r="D4718">
        <v>68</v>
      </c>
      <c r="E4718">
        <v>0</v>
      </c>
      <c r="F4718">
        <v>0</v>
      </c>
      <c r="G4718">
        <v>13</v>
      </c>
      <c r="H4718" s="4">
        <v>1570549229843</v>
      </c>
      <c r="I4718">
        <v>526.6875</v>
      </c>
      <c r="J4718" s="9">
        <f t="shared" si="73"/>
        <v>43746.944789849535</v>
      </c>
      <c r="K4718" s="1"/>
    </row>
    <row r="4719" spans="1:11" x14ac:dyDescent="0.25">
      <c r="A4719" t="e">
        <f>-Lqg0sQ3jZ7R0nQoh9PA</f>
        <v>#NAME?</v>
      </c>
      <c r="B4719">
        <v>393.75</v>
      </c>
      <c r="C4719">
        <v>20.584240000000001</v>
      </c>
      <c r="D4719">
        <v>65</v>
      </c>
      <c r="E4719">
        <v>0</v>
      </c>
      <c r="F4719">
        <v>0</v>
      </c>
      <c r="G4719">
        <v>4</v>
      </c>
      <c r="H4719" s="4">
        <v>1570549236043</v>
      </c>
      <c r="I4719">
        <v>526.5</v>
      </c>
      <c r="J4719" s="9">
        <f t="shared" si="73"/>
        <v>43746.944861608798</v>
      </c>
      <c r="K4719" s="1"/>
    </row>
    <row r="4720" spans="1:11" x14ac:dyDescent="0.25">
      <c r="A4720" t="e">
        <f>-Lqg0u6ymOqNVQA8WalN</f>
        <v>#NAME?</v>
      </c>
      <c r="B4720">
        <v>393.75</v>
      </c>
      <c r="C4720">
        <v>20.531590000000001</v>
      </c>
      <c r="D4720">
        <v>70</v>
      </c>
      <c r="E4720">
        <v>0</v>
      </c>
      <c r="F4720">
        <v>0</v>
      </c>
      <c r="G4720">
        <v>5</v>
      </c>
      <c r="H4720" s="4">
        <v>1570549243262</v>
      </c>
      <c r="I4720">
        <v>526.6875</v>
      </c>
      <c r="J4720" s="9">
        <f t="shared" si="73"/>
        <v>43746.944945162038</v>
      </c>
      <c r="K4720" s="1"/>
    </row>
    <row r="4721" spans="1:11" x14ac:dyDescent="0.25">
      <c r="A4721" t="e">
        <f>-Lqg0vaxD2m3gcqcgCMx</f>
        <v>#NAME?</v>
      </c>
      <c r="B4721">
        <v>393.75</v>
      </c>
      <c r="C4721">
        <v>20.531590000000001</v>
      </c>
      <c r="D4721">
        <v>69</v>
      </c>
      <c r="E4721">
        <v>0</v>
      </c>
      <c r="F4721">
        <v>0</v>
      </c>
      <c r="G4721">
        <v>10</v>
      </c>
      <c r="H4721" s="4">
        <v>1570549249442</v>
      </c>
      <c r="I4721">
        <v>526.5</v>
      </c>
      <c r="J4721" s="9">
        <f t="shared" si="73"/>
        <v>43746.94501668981</v>
      </c>
      <c r="K4721" s="1"/>
    </row>
    <row r="4722" spans="1:11" x14ac:dyDescent="0.25">
      <c r="A4722" t="e">
        <f>-Lqg0xBphUcShlY6kZyv</f>
        <v>#NAME?</v>
      </c>
      <c r="B4722">
        <v>393.75</v>
      </c>
      <c r="C4722">
        <v>20.531590000000001</v>
      </c>
      <c r="D4722">
        <v>68</v>
      </c>
      <c r="E4722">
        <v>0</v>
      </c>
      <c r="F4722">
        <v>0</v>
      </c>
      <c r="G4722">
        <v>16</v>
      </c>
      <c r="H4722" s="4">
        <v>1570549255624</v>
      </c>
      <c r="I4722">
        <v>526.6875</v>
      </c>
      <c r="J4722" s="9">
        <f t="shared" si="73"/>
        <v>43746.94508824074</v>
      </c>
      <c r="K4722" s="1"/>
    </row>
    <row r="4723" spans="1:11" x14ac:dyDescent="0.25">
      <c r="A4723" t="e">
        <f>-Lqg0yu7TaMZjO5gXzwy</f>
        <v>#NAME?</v>
      </c>
      <c r="B4723">
        <v>393.75</v>
      </c>
      <c r="C4723">
        <v>20.478950000000001</v>
      </c>
      <c r="D4723">
        <v>68</v>
      </c>
      <c r="E4723">
        <v>0</v>
      </c>
      <c r="F4723">
        <v>0</v>
      </c>
      <c r="G4723">
        <v>10</v>
      </c>
      <c r="H4723" s="4">
        <v>1570549262814</v>
      </c>
      <c r="I4723">
        <v>526.6875</v>
      </c>
      <c r="J4723" s="9">
        <f t="shared" si="73"/>
        <v>43746.945171458334</v>
      </c>
      <c r="K4723" s="1"/>
    </row>
    <row r="4724" spans="1:11" x14ac:dyDescent="0.25">
      <c r="A4724" t="e">
        <f>-LQF1-Ry3JvHfU_cbff2</f>
        <v>#NAME?</v>
      </c>
      <c r="B4724">
        <v>393.75</v>
      </c>
      <c r="C4724">
        <v>20.478950000000001</v>
      </c>
      <c r="D4724">
        <v>67</v>
      </c>
      <c r="E4724">
        <v>0</v>
      </c>
      <c r="F4724">
        <v>0</v>
      </c>
      <c r="G4724">
        <v>5</v>
      </c>
      <c r="H4724" s="4">
        <v>1570549269023</v>
      </c>
      <c r="I4724">
        <v>526.6875</v>
      </c>
      <c r="J4724" s="9">
        <f t="shared" si="73"/>
        <v>43746.945243321759</v>
      </c>
      <c r="K4724" s="1"/>
    </row>
    <row r="4725" spans="1:11" x14ac:dyDescent="0.25">
      <c r="A4725" t="s">
        <v>262</v>
      </c>
      <c r="B4725">
        <v>393.75</v>
      </c>
      <c r="C4725">
        <v>20.478950000000001</v>
      </c>
      <c r="D4725">
        <v>69</v>
      </c>
      <c r="E4725">
        <v>0</v>
      </c>
      <c r="F4725">
        <v>0</v>
      </c>
      <c r="G4725">
        <v>8</v>
      </c>
      <c r="H4725" s="4">
        <v>1570549275224</v>
      </c>
      <c r="I4725">
        <v>526.5</v>
      </c>
      <c r="J4725" s="9">
        <f t="shared" si="73"/>
        <v>43746.945315092591</v>
      </c>
      <c r="K4725" s="1"/>
    </row>
    <row r="4726" spans="1:11" x14ac:dyDescent="0.25">
      <c r="A4726" t="e">
        <f>-Lqg12OivgJ4YD_6lYBH</f>
        <v>#NAME?</v>
      </c>
      <c r="B4726">
        <v>393.75</v>
      </c>
      <c r="C4726">
        <v>20.531590000000001</v>
      </c>
      <c r="D4726">
        <v>69</v>
      </c>
      <c r="E4726">
        <v>0</v>
      </c>
      <c r="F4726">
        <v>0</v>
      </c>
      <c r="G4726">
        <v>2</v>
      </c>
      <c r="H4726" s="4">
        <v>1570549281362</v>
      </c>
      <c r="I4726">
        <v>526.5</v>
      </c>
      <c r="J4726" s="9">
        <f t="shared" si="73"/>
        <v>43746.945386134255</v>
      </c>
      <c r="K4726" s="1"/>
    </row>
    <row r="4727" spans="1:11" x14ac:dyDescent="0.25">
      <c r="A4727" t="s">
        <v>263</v>
      </c>
      <c r="B4727">
        <v>412.5</v>
      </c>
      <c r="C4727">
        <v>20.584240000000001</v>
      </c>
      <c r="D4727">
        <v>69</v>
      </c>
      <c r="E4727">
        <v>0</v>
      </c>
      <c r="F4727">
        <v>0</v>
      </c>
      <c r="G4727">
        <v>4</v>
      </c>
      <c r="H4727" s="4">
        <v>1570549287573</v>
      </c>
      <c r="I4727">
        <v>532.5</v>
      </c>
      <c r="J4727" s="9">
        <f t="shared" si="73"/>
        <v>43746.945458020833</v>
      </c>
      <c r="K4727" s="1"/>
    </row>
    <row r="4728" spans="1:11" x14ac:dyDescent="0.25">
      <c r="A4728" t="e">
        <f>-Lqg15ycBAd560As4WQo</f>
        <v>#NAME?</v>
      </c>
      <c r="B4728">
        <v>393.75</v>
      </c>
      <c r="C4728">
        <v>20.531590000000001</v>
      </c>
      <c r="D4728">
        <v>69</v>
      </c>
      <c r="E4728">
        <v>0</v>
      </c>
      <c r="F4728">
        <v>0</v>
      </c>
      <c r="G4728">
        <v>6</v>
      </c>
      <c r="H4728" s="4">
        <v>1570549294803</v>
      </c>
      <c r="I4728">
        <v>526.5</v>
      </c>
      <c r="J4728" s="9">
        <f t="shared" si="73"/>
        <v>43746.945541701389</v>
      </c>
      <c r="K4728" s="1"/>
    </row>
    <row r="4729" spans="1:11" x14ac:dyDescent="0.25">
      <c r="A4729" t="e">
        <f>-Lqg17W1J17fOPBtIAjR</f>
        <v>#NAME?</v>
      </c>
      <c r="B4729">
        <v>393.75</v>
      </c>
      <c r="C4729">
        <v>20.531590000000001</v>
      </c>
      <c r="D4729">
        <v>69</v>
      </c>
      <c r="E4729">
        <v>0</v>
      </c>
      <c r="F4729">
        <v>0</v>
      </c>
      <c r="G4729">
        <v>10</v>
      </c>
      <c r="H4729" s="4">
        <v>1570549302009</v>
      </c>
      <c r="I4729">
        <v>526.6875</v>
      </c>
      <c r="J4729" s="9">
        <f t="shared" si="73"/>
        <v>43746.945625104163</v>
      </c>
      <c r="K4729" s="1"/>
    </row>
    <row r="4730" spans="1:11" x14ac:dyDescent="0.25">
      <c r="A4730" t="e">
        <f>-Lqg19EDm1dLtnAGSBsl</f>
        <v>#NAME?</v>
      </c>
      <c r="B4730">
        <v>393.75</v>
      </c>
      <c r="C4730">
        <v>20.531590000000001</v>
      </c>
      <c r="D4730">
        <v>69</v>
      </c>
      <c r="E4730">
        <v>0</v>
      </c>
      <c r="F4730">
        <v>0</v>
      </c>
      <c r="G4730">
        <v>10</v>
      </c>
      <c r="H4730" s="4">
        <v>1570549309201</v>
      </c>
      <c r="I4730">
        <v>526.6875</v>
      </c>
      <c r="J4730" s="9">
        <f t="shared" si="73"/>
        <v>43746.945708344902</v>
      </c>
      <c r="K4730" s="1"/>
    </row>
    <row r="4731" spans="1:11" x14ac:dyDescent="0.25">
      <c r="A4731" t="e">
        <f>-Lqg1Alx8u22QCvcohDq</f>
        <v>#NAME?</v>
      </c>
      <c r="B4731">
        <v>393.75</v>
      </c>
      <c r="C4731">
        <v>20.531590000000001</v>
      </c>
      <c r="D4731">
        <v>69</v>
      </c>
      <c r="E4731">
        <v>0</v>
      </c>
      <c r="F4731">
        <v>0</v>
      </c>
      <c r="G4731">
        <v>10</v>
      </c>
      <c r="H4731" s="4">
        <v>1570549315448</v>
      </c>
      <c r="I4731">
        <v>526.6875</v>
      </c>
      <c r="J4731" s="9">
        <f t="shared" si="73"/>
        <v>43746.945780648144</v>
      </c>
      <c r="K4731" s="1"/>
    </row>
    <row r="4732" spans="1:11" x14ac:dyDescent="0.25">
      <c r="A4732" t="e">
        <f>-Lqg1CUwClavbDRQk_Fk</f>
        <v>#NAME?</v>
      </c>
      <c r="B4732">
        <v>393.75</v>
      </c>
      <c r="C4732">
        <v>20.478950000000001</v>
      </c>
      <c r="D4732">
        <v>67</v>
      </c>
      <c r="E4732">
        <v>0</v>
      </c>
      <c r="F4732">
        <v>0</v>
      </c>
      <c r="G4732">
        <v>10</v>
      </c>
      <c r="H4732" s="4">
        <v>1570549322613</v>
      </c>
      <c r="I4732">
        <v>526.5</v>
      </c>
      <c r="J4732" s="9">
        <f t="shared" si="73"/>
        <v>43746.945863576388</v>
      </c>
      <c r="K4732" s="1"/>
    </row>
    <row r="4733" spans="1:11" x14ac:dyDescent="0.25">
      <c r="A4733" t="s">
        <v>264</v>
      </c>
      <c r="B4733">
        <v>393.75</v>
      </c>
      <c r="C4733">
        <v>20.584240000000001</v>
      </c>
      <c r="D4733">
        <v>67</v>
      </c>
      <c r="E4733">
        <v>0</v>
      </c>
      <c r="F4733">
        <v>0</v>
      </c>
      <c r="G4733">
        <v>12</v>
      </c>
      <c r="H4733" s="4">
        <v>1570549328801</v>
      </c>
      <c r="I4733">
        <v>526.6875</v>
      </c>
      <c r="J4733" s="9">
        <f t="shared" si="73"/>
        <v>43746.94593519676</v>
      </c>
      <c r="K4733" s="1"/>
    </row>
    <row r="4734" spans="1:11" x14ac:dyDescent="0.25">
      <c r="A4734" t="s">
        <v>265</v>
      </c>
      <c r="B4734">
        <v>393.75</v>
      </c>
      <c r="C4734">
        <v>20.531590000000001</v>
      </c>
      <c r="D4734">
        <v>70</v>
      </c>
      <c r="E4734">
        <v>0</v>
      </c>
      <c r="F4734">
        <v>0</v>
      </c>
      <c r="G4734">
        <v>17</v>
      </c>
      <c r="H4734" s="4">
        <v>1570549334983</v>
      </c>
      <c r="I4734">
        <v>526.6875</v>
      </c>
      <c r="J4734" s="9">
        <f t="shared" si="73"/>
        <v>43746.946006747683</v>
      </c>
      <c r="K4734" s="1"/>
    </row>
    <row r="4735" spans="1:11" x14ac:dyDescent="0.25">
      <c r="A4735" t="e">
        <f>-Lqg1HH0P8zMz1y9zAeL</f>
        <v>#NAME?</v>
      </c>
      <c r="B4735">
        <v>393.75</v>
      </c>
      <c r="C4735">
        <v>20.531590000000001</v>
      </c>
      <c r="D4735">
        <v>71</v>
      </c>
      <c r="E4735">
        <v>0</v>
      </c>
      <c r="F4735">
        <v>0</v>
      </c>
      <c r="G4735">
        <v>15</v>
      </c>
      <c r="H4735" s="4">
        <v>1570549342171</v>
      </c>
      <c r="I4735">
        <v>526.5</v>
      </c>
      <c r="J4735" s="9">
        <f t="shared" si="73"/>
        <v>43746.946089942132</v>
      </c>
      <c r="K4735" s="1"/>
    </row>
    <row r="4736" spans="1:11" x14ac:dyDescent="0.25">
      <c r="A4736" t="e">
        <f>-Lqg1Iq0rBm28yYVFz3v</f>
        <v>#NAME?</v>
      </c>
      <c r="B4736">
        <v>393.75</v>
      </c>
      <c r="C4736">
        <v>20.478950000000001</v>
      </c>
      <c r="D4736">
        <v>68</v>
      </c>
      <c r="E4736">
        <v>0</v>
      </c>
      <c r="F4736">
        <v>0</v>
      </c>
      <c r="G4736">
        <v>12</v>
      </c>
      <c r="H4736" s="4">
        <v>1570549348383</v>
      </c>
      <c r="I4736">
        <v>526.6875</v>
      </c>
      <c r="J4736" s="9">
        <f t="shared" si="73"/>
        <v>43746.946161840278</v>
      </c>
      <c r="K4736" s="1"/>
    </row>
    <row r="4737" spans="1:11" x14ac:dyDescent="0.25">
      <c r="A4737" t="e">
        <f>-Lqg1KWg01hKU_sZsm8T</f>
        <v>#NAME?</v>
      </c>
      <c r="B4737">
        <v>393.75</v>
      </c>
      <c r="C4737">
        <v>20.531590000000001</v>
      </c>
      <c r="D4737">
        <v>68</v>
      </c>
      <c r="E4737">
        <v>0</v>
      </c>
      <c r="F4737">
        <v>0</v>
      </c>
      <c r="G4737">
        <v>16</v>
      </c>
      <c r="H4737" s="4">
        <v>1570549355602</v>
      </c>
      <c r="I4737">
        <v>526.6875</v>
      </c>
      <c r="J4737" s="9">
        <f t="shared" si="73"/>
        <v>43746.946245393519</v>
      </c>
      <c r="K4737" s="1"/>
    </row>
    <row r="4738" spans="1:11" x14ac:dyDescent="0.25">
      <c r="A4738" t="e">
        <f>-Lqg1M70hgste6fH9kDs</f>
        <v>#NAME?</v>
      </c>
      <c r="B4738">
        <v>393.75</v>
      </c>
      <c r="C4738">
        <v>20.584240000000001</v>
      </c>
      <c r="D4738">
        <v>68</v>
      </c>
      <c r="E4738">
        <v>0</v>
      </c>
      <c r="F4738">
        <v>0</v>
      </c>
      <c r="G4738">
        <v>5</v>
      </c>
      <c r="H4738" s="4">
        <v>1570549361781</v>
      </c>
      <c r="I4738">
        <v>526.6875</v>
      </c>
      <c r="J4738" s="9">
        <f t="shared" si="73"/>
        <v>43746.946316909722</v>
      </c>
      <c r="K4738" s="1"/>
    </row>
    <row r="4739" spans="1:11" x14ac:dyDescent="0.25">
      <c r="A4739" t="e">
        <f>-Lqg1NowK06agD_BuYs9</f>
        <v>#NAME?</v>
      </c>
      <c r="B4739">
        <v>393.75</v>
      </c>
      <c r="C4739">
        <v>20.531590000000001</v>
      </c>
      <c r="D4739">
        <v>69</v>
      </c>
      <c r="E4739">
        <v>0</v>
      </c>
      <c r="F4739">
        <v>0</v>
      </c>
      <c r="G4739">
        <v>8</v>
      </c>
      <c r="H4739" s="4">
        <v>1570549368991</v>
      </c>
      <c r="I4739">
        <v>526.6875</v>
      </c>
      <c r="J4739" s="9">
        <f t="shared" ref="J4739:J4802" si="74">(H4739/86400000)+25569+(7/24)</f>
        <v>43746.946400358793</v>
      </c>
      <c r="K4739" s="1"/>
    </row>
    <row r="4740" spans="1:11" x14ac:dyDescent="0.25">
      <c r="A4740" t="e">
        <f>-Lqg1PK1rVrHXrxyexgp</f>
        <v>#NAME?</v>
      </c>
      <c r="B4740">
        <v>393.75</v>
      </c>
      <c r="C4740">
        <v>20.531590000000001</v>
      </c>
      <c r="D4740">
        <v>69</v>
      </c>
      <c r="E4740">
        <v>0</v>
      </c>
      <c r="F4740">
        <v>0</v>
      </c>
      <c r="G4740">
        <v>6</v>
      </c>
      <c r="H4740" s="4">
        <v>1570549375192</v>
      </c>
      <c r="I4740">
        <v>526.6875</v>
      </c>
      <c r="J4740" s="9">
        <f t="shared" si="74"/>
        <v>43746.946472129632</v>
      </c>
      <c r="K4740" s="1"/>
    </row>
    <row r="4741" spans="1:11" x14ac:dyDescent="0.25">
      <c r="A4741" t="e">
        <f>-Lqg1QoMocQtQWxY69YW</f>
        <v>#NAME?</v>
      </c>
      <c r="B4741">
        <v>393.75</v>
      </c>
      <c r="C4741">
        <v>20.531590000000001</v>
      </c>
      <c r="D4741">
        <v>66</v>
      </c>
      <c r="E4741">
        <v>0</v>
      </c>
      <c r="F4741">
        <v>0</v>
      </c>
      <c r="G4741">
        <v>5</v>
      </c>
      <c r="H4741" s="4">
        <v>1570549381361</v>
      </c>
      <c r="I4741">
        <v>526.6875</v>
      </c>
      <c r="J4741" s="9">
        <f t="shared" si="74"/>
        <v>43746.946543530088</v>
      </c>
      <c r="K4741" s="1"/>
    </row>
    <row r="4742" spans="1:11" x14ac:dyDescent="0.25">
      <c r="A4742" t="e">
        <f>-Lqg1SN0IJtBxIbtfte8</f>
        <v>#NAME?</v>
      </c>
      <c r="B4742">
        <v>393.75</v>
      </c>
      <c r="C4742">
        <v>20.584240000000001</v>
      </c>
      <c r="D4742">
        <v>66</v>
      </c>
      <c r="E4742">
        <v>0</v>
      </c>
      <c r="F4742">
        <v>0</v>
      </c>
      <c r="G4742">
        <v>4</v>
      </c>
      <c r="H4742" s="4">
        <v>1570549387559</v>
      </c>
      <c r="I4742">
        <v>526.6875</v>
      </c>
      <c r="J4742" s="9">
        <f t="shared" si="74"/>
        <v>43746.946615266199</v>
      </c>
      <c r="K4742" s="1"/>
    </row>
    <row r="4743" spans="1:11" x14ac:dyDescent="0.25">
      <c r="A4743" t="e">
        <f>-Lqg1UGIHl54ECCL5A7k</f>
        <v>#NAME?</v>
      </c>
      <c r="B4743">
        <v>393.75</v>
      </c>
      <c r="C4743">
        <v>20.531590000000001</v>
      </c>
      <c r="D4743">
        <v>66</v>
      </c>
      <c r="E4743">
        <v>0</v>
      </c>
      <c r="F4743">
        <v>0</v>
      </c>
      <c r="G4743">
        <v>12</v>
      </c>
      <c r="H4743" s="4">
        <v>1570549395501</v>
      </c>
      <c r="I4743">
        <v>526.6875</v>
      </c>
      <c r="J4743" s="9">
        <f t="shared" si="74"/>
        <v>43746.946707187497</v>
      </c>
      <c r="K4743" s="1"/>
    </row>
    <row r="4744" spans="1:11" x14ac:dyDescent="0.25">
      <c r="A4744" t="e">
        <f>-Lqg1Vt3qMMFug4QRcP1</f>
        <v>#NAME?</v>
      </c>
      <c r="B4744">
        <v>393.75</v>
      </c>
      <c r="C4744">
        <v>20.531590000000001</v>
      </c>
      <c r="D4744">
        <v>66</v>
      </c>
      <c r="E4744">
        <v>0</v>
      </c>
      <c r="F4744">
        <v>0</v>
      </c>
      <c r="G4744">
        <v>12</v>
      </c>
      <c r="H4744" s="4">
        <v>1570549401973</v>
      </c>
      <c r="I4744">
        <v>526.6875</v>
      </c>
      <c r="J4744" s="9">
        <f t="shared" si="74"/>
        <v>43746.946782094907</v>
      </c>
      <c r="K4744" s="1"/>
    </row>
    <row r="4745" spans="1:11" x14ac:dyDescent="0.25">
      <c r="A4745" t="e">
        <f>-Lqg1XM4f-Q4MOnBP6Pk</f>
        <v>#NAME?</v>
      </c>
      <c r="B4745">
        <v>412.5</v>
      </c>
      <c r="C4745">
        <v>20.478950000000001</v>
      </c>
      <c r="D4745">
        <v>66</v>
      </c>
      <c r="E4745">
        <v>0</v>
      </c>
      <c r="F4745">
        <v>0</v>
      </c>
      <c r="G4745">
        <v>7</v>
      </c>
      <c r="H4745" s="4">
        <v>1570549408163</v>
      </c>
      <c r="I4745">
        <v>532.125</v>
      </c>
      <c r="J4745" s="9">
        <f t="shared" si="74"/>
        <v>43746.946853738424</v>
      </c>
      <c r="K4745" s="1"/>
    </row>
    <row r="4746" spans="1:11" x14ac:dyDescent="0.25">
      <c r="A4746" t="e">
        <f>-Lqg1YuwUYow2gXXZyE_</f>
        <v>#NAME?</v>
      </c>
      <c r="B4746">
        <v>393.75</v>
      </c>
      <c r="C4746">
        <v>20.531590000000001</v>
      </c>
      <c r="D4746">
        <v>66</v>
      </c>
      <c r="E4746">
        <v>0</v>
      </c>
      <c r="F4746">
        <v>0</v>
      </c>
      <c r="G4746">
        <v>13</v>
      </c>
      <c r="H4746" s="4">
        <v>1570549414343</v>
      </c>
      <c r="I4746">
        <v>526.6875</v>
      </c>
      <c r="J4746" s="9">
        <f t="shared" si="74"/>
        <v>43746.946925266202</v>
      </c>
      <c r="K4746" s="1"/>
    </row>
    <row r="4747" spans="1:11" x14ac:dyDescent="0.25">
      <c r="A4747" t="e">
        <f>-Lqg1_OwOOkzsVSya5gZ</f>
        <v>#NAME?</v>
      </c>
      <c r="B4747">
        <v>393.75</v>
      </c>
      <c r="C4747">
        <v>20.478950000000001</v>
      </c>
      <c r="D4747">
        <v>66</v>
      </c>
      <c r="E4747">
        <v>0</v>
      </c>
      <c r="F4747">
        <v>0</v>
      </c>
      <c r="G4747">
        <v>8</v>
      </c>
      <c r="H4747" s="4">
        <v>1570549420513</v>
      </c>
      <c r="I4747">
        <v>526.6875</v>
      </c>
      <c r="J4747" s="9">
        <f t="shared" si="74"/>
        <v>43746.946996678242</v>
      </c>
      <c r="K4747" s="1"/>
    </row>
    <row r="4748" spans="1:11" x14ac:dyDescent="0.25">
      <c r="A4748" t="e">
        <f>-Lqg1au0o04QJ0JpD5MQ</f>
        <v>#NAME?</v>
      </c>
      <c r="B4748">
        <v>393.75</v>
      </c>
      <c r="C4748">
        <v>20.531590000000001</v>
      </c>
      <c r="D4748">
        <v>68</v>
      </c>
      <c r="E4748">
        <v>0</v>
      </c>
      <c r="F4748">
        <v>0</v>
      </c>
      <c r="G4748">
        <v>16</v>
      </c>
      <c r="H4748" s="4">
        <v>1570549426722</v>
      </c>
      <c r="I4748">
        <v>526.5</v>
      </c>
      <c r="J4748" s="9">
        <f t="shared" si="74"/>
        <v>43746.947068541667</v>
      </c>
      <c r="K4748" s="1"/>
    </row>
    <row r="4749" spans="1:11" x14ac:dyDescent="0.25">
      <c r="A4749" t="e">
        <f>-Lqg1ch1eSzAkucz3e5F</f>
        <v>#NAME?</v>
      </c>
      <c r="B4749">
        <v>393.75</v>
      </c>
      <c r="C4749">
        <v>20.531590000000001</v>
      </c>
      <c r="D4749">
        <v>65</v>
      </c>
      <c r="E4749">
        <v>0</v>
      </c>
      <c r="F4749">
        <v>0</v>
      </c>
      <c r="G4749">
        <v>12</v>
      </c>
      <c r="H4749" s="4">
        <v>1570549433827</v>
      </c>
      <c r="I4749">
        <v>526.6875</v>
      </c>
      <c r="J4749" s="9">
        <f t="shared" si="74"/>
        <v>43746.947150775457</v>
      </c>
      <c r="K4749" s="1"/>
    </row>
    <row r="4750" spans="1:11" x14ac:dyDescent="0.25">
      <c r="A4750" t="e">
        <f>-Lqg1eB0xb7g3WGoFL0j</f>
        <v>#NAME?</v>
      </c>
      <c r="B4750">
        <v>393.75</v>
      </c>
      <c r="C4750">
        <v>20.531590000000001</v>
      </c>
      <c r="D4750">
        <v>65</v>
      </c>
      <c r="E4750">
        <v>0</v>
      </c>
      <c r="F4750">
        <v>0</v>
      </c>
      <c r="G4750">
        <v>5</v>
      </c>
      <c r="H4750" s="4">
        <v>1570549440081</v>
      </c>
      <c r="I4750">
        <v>526.5</v>
      </c>
      <c r="J4750" s="9">
        <f t="shared" si="74"/>
        <v>43746.947223159725</v>
      </c>
      <c r="K4750" s="1"/>
    </row>
    <row r="4751" spans="1:11" x14ac:dyDescent="0.25">
      <c r="A4751" t="e">
        <f>-Lqg1fk2-JuBvCuvxDgf</f>
        <v>#NAME?</v>
      </c>
      <c r="B4751">
        <v>393.75</v>
      </c>
      <c r="C4751">
        <v>20.478950000000001</v>
      </c>
      <c r="D4751">
        <v>65</v>
      </c>
      <c r="E4751">
        <v>0</v>
      </c>
      <c r="F4751">
        <v>0</v>
      </c>
      <c r="G4751">
        <v>8</v>
      </c>
      <c r="H4751" s="4">
        <v>1570549446291</v>
      </c>
      <c r="I4751">
        <v>526.6875</v>
      </c>
      <c r="J4751" s="9">
        <f t="shared" si="74"/>
        <v>43746.947295034719</v>
      </c>
      <c r="K4751" s="1"/>
    </row>
    <row r="4752" spans="1:11" x14ac:dyDescent="0.25">
      <c r="A4752" t="e">
        <f>-Lqg1hT1-enFwF-hyHYb</f>
        <v>#NAME?</v>
      </c>
      <c r="B4752">
        <v>393.75</v>
      </c>
      <c r="C4752">
        <v>20.531590000000001</v>
      </c>
      <c r="D4752">
        <v>64</v>
      </c>
      <c r="E4752">
        <v>0</v>
      </c>
      <c r="F4752">
        <v>0</v>
      </c>
      <c r="G4752">
        <v>13</v>
      </c>
      <c r="H4752" s="4">
        <v>1570549453522</v>
      </c>
      <c r="I4752">
        <v>526.5</v>
      </c>
      <c r="J4752" s="9">
        <f t="shared" si="74"/>
        <v>43746.947378726851</v>
      </c>
      <c r="K4752" s="1"/>
    </row>
    <row r="4753" spans="1:11" x14ac:dyDescent="0.25">
      <c r="A4753" t="e">
        <f>-Lqg1ixA7tXhELmR9OFD</f>
        <v>#NAME?</v>
      </c>
      <c r="B4753">
        <v>393.75</v>
      </c>
      <c r="C4753">
        <v>20.531590000000001</v>
      </c>
      <c r="D4753">
        <v>66</v>
      </c>
      <c r="E4753">
        <v>0</v>
      </c>
      <c r="F4753">
        <v>0</v>
      </c>
      <c r="G4753">
        <v>6</v>
      </c>
      <c r="H4753" s="4">
        <v>1570549459691</v>
      </c>
      <c r="I4753">
        <v>526.6875</v>
      </c>
      <c r="J4753" s="9">
        <f t="shared" si="74"/>
        <v>43746.947450127314</v>
      </c>
      <c r="K4753" s="1"/>
    </row>
    <row r="4754" spans="1:11" x14ac:dyDescent="0.25">
      <c r="A4754" t="e">
        <f>-Lqg1kW0UlJQ3zuM4kze</f>
        <v>#NAME?</v>
      </c>
      <c r="B4754">
        <v>393.75</v>
      </c>
      <c r="C4754">
        <v>20.478950000000001</v>
      </c>
      <c r="D4754">
        <v>66</v>
      </c>
      <c r="E4754">
        <v>0</v>
      </c>
      <c r="F4754">
        <v>0</v>
      </c>
      <c r="G4754">
        <v>13</v>
      </c>
      <c r="H4754" s="4">
        <v>1570549465871</v>
      </c>
      <c r="I4754">
        <v>526.5</v>
      </c>
      <c r="J4754" s="9">
        <f t="shared" si="74"/>
        <v>43746.947521655085</v>
      </c>
      <c r="K4754" s="1"/>
    </row>
    <row r="4755" spans="1:11" x14ac:dyDescent="0.25">
      <c r="A4755" t="e">
        <f>-Lqg1lxXVVP9K2efjTfh</f>
        <v>#NAME?</v>
      </c>
      <c r="B4755">
        <v>393.75</v>
      </c>
      <c r="C4755">
        <v>20.531590000000001</v>
      </c>
      <c r="D4755">
        <v>66</v>
      </c>
      <c r="E4755">
        <v>0</v>
      </c>
      <c r="F4755">
        <v>0</v>
      </c>
      <c r="G4755">
        <v>9</v>
      </c>
      <c r="H4755" s="4">
        <v>1570549472067</v>
      </c>
      <c r="I4755">
        <v>526.5</v>
      </c>
      <c r="J4755" s="9">
        <f t="shared" si="74"/>
        <v>43746.947593368051</v>
      </c>
      <c r="K4755" s="1"/>
    </row>
    <row r="4756" spans="1:11" x14ac:dyDescent="0.25">
      <c r="A4756" t="e">
        <f>-Lqg1nU1lN5Gu0WIMe7n</f>
        <v>#NAME?</v>
      </c>
      <c r="B4756">
        <v>393.75</v>
      </c>
      <c r="C4756">
        <v>20.478950000000001</v>
      </c>
      <c r="D4756">
        <v>67</v>
      </c>
      <c r="E4756">
        <v>0</v>
      </c>
      <c r="F4756">
        <v>0</v>
      </c>
      <c r="G4756">
        <v>9</v>
      </c>
      <c r="H4756" s="4">
        <v>1570549478241</v>
      </c>
      <c r="I4756">
        <v>526.6875</v>
      </c>
      <c r="J4756" s="9">
        <f t="shared" si="74"/>
        <v>43746.947664826388</v>
      </c>
      <c r="K4756" s="1"/>
    </row>
    <row r="4757" spans="1:11" x14ac:dyDescent="0.25">
      <c r="A4757" t="e">
        <f>-Lqg1p1ACFmdJyt1lYtQ</f>
        <v>#NAME?</v>
      </c>
      <c r="B4757">
        <v>393.75</v>
      </c>
      <c r="C4757">
        <v>20.531590000000001</v>
      </c>
      <c r="D4757">
        <v>67</v>
      </c>
      <c r="E4757">
        <v>0</v>
      </c>
      <c r="F4757">
        <v>0</v>
      </c>
      <c r="G4757">
        <v>8</v>
      </c>
      <c r="H4757" s="4">
        <v>1570549484421</v>
      </c>
      <c r="I4757">
        <v>526.6875</v>
      </c>
      <c r="J4757" s="9">
        <f t="shared" si="74"/>
        <v>43746.947736354159</v>
      </c>
      <c r="K4757" s="1"/>
    </row>
    <row r="4758" spans="1:11" x14ac:dyDescent="0.25">
      <c r="A4758" t="e">
        <f>-Lqg1ql07BX48pLAz7_5</f>
        <v>#NAME?</v>
      </c>
      <c r="B4758">
        <v>393.75</v>
      </c>
      <c r="C4758">
        <v>20.478950000000001</v>
      </c>
      <c r="D4758">
        <v>67</v>
      </c>
      <c r="E4758">
        <v>0</v>
      </c>
      <c r="F4758">
        <v>0</v>
      </c>
      <c r="G4758">
        <v>3</v>
      </c>
      <c r="H4758" s="4">
        <v>1570549491612</v>
      </c>
      <c r="I4758">
        <v>526.6875</v>
      </c>
      <c r="J4758" s="9">
        <f t="shared" si="74"/>
        <v>43746.947819583329</v>
      </c>
      <c r="K4758" s="1"/>
    </row>
    <row r="4759" spans="1:11" x14ac:dyDescent="0.25">
      <c r="A4759" t="e">
        <f>-Lqg1sK2s_Jo8C5LL3wp</f>
        <v>#NAME?</v>
      </c>
      <c r="B4759">
        <v>393.75</v>
      </c>
      <c r="C4759">
        <v>20.478950000000001</v>
      </c>
      <c r="D4759">
        <v>68</v>
      </c>
      <c r="E4759">
        <v>0</v>
      </c>
      <c r="F4759">
        <v>0</v>
      </c>
      <c r="G4759">
        <v>7</v>
      </c>
      <c r="H4759" s="4">
        <v>1570549497821</v>
      </c>
      <c r="I4759">
        <v>526.6875</v>
      </c>
      <c r="J4759" s="9">
        <f t="shared" si="74"/>
        <v>43746.947891446755</v>
      </c>
      <c r="K4759" s="1"/>
    </row>
    <row r="4760" spans="1:11" x14ac:dyDescent="0.25">
      <c r="A4760" t="e">
        <f>-Lqg1u-gM4zuGJFVjgp4</f>
        <v>#NAME?</v>
      </c>
      <c r="B4760">
        <v>393.75</v>
      </c>
      <c r="C4760">
        <v>20.584240000000001</v>
      </c>
      <c r="D4760">
        <v>68</v>
      </c>
      <c r="E4760">
        <v>0</v>
      </c>
      <c r="F4760">
        <v>0</v>
      </c>
      <c r="G4760">
        <v>13</v>
      </c>
      <c r="H4760" s="4">
        <v>1570549505042</v>
      </c>
      <c r="I4760">
        <v>526.6875</v>
      </c>
      <c r="J4760" s="9">
        <f t="shared" si="74"/>
        <v>43746.947975023148</v>
      </c>
      <c r="K4760" s="1"/>
    </row>
    <row r="4761" spans="1:11" x14ac:dyDescent="0.25">
      <c r="A4761" t="e">
        <f>-Lqg1v_wYQzPtdmWYPwF</f>
        <v>#NAME?</v>
      </c>
      <c r="B4761">
        <v>393.75</v>
      </c>
      <c r="C4761">
        <v>20.531590000000001</v>
      </c>
      <c r="D4761">
        <v>68</v>
      </c>
      <c r="E4761">
        <v>0</v>
      </c>
      <c r="F4761">
        <v>0</v>
      </c>
      <c r="G4761">
        <v>5</v>
      </c>
      <c r="H4761" s="4">
        <v>1570549511223</v>
      </c>
      <c r="I4761">
        <v>526.6875</v>
      </c>
      <c r="J4761" s="9">
        <f t="shared" si="74"/>
        <v>43746.948046562502</v>
      </c>
      <c r="K4761" s="1"/>
    </row>
    <row r="4762" spans="1:11" x14ac:dyDescent="0.25">
      <c r="A4762" t="e">
        <f>-Lqg1xd2URiG6mKePTAA</f>
        <v>#NAME?</v>
      </c>
      <c r="B4762">
        <v>393.75</v>
      </c>
      <c r="C4762">
        <v>20.531590000000001</v>
      </c>
      <c r="D4762">
        <v>68</v>
      </c>
      <c r="E4762">
        <v>0</v>
      </c>
      <c r="F4762">
        <v>0</v>
      </c>
      <c r="G4762">
        <v>7</v>
      </c>
      <c r="H4762" s="4">
        <v>1570549519786</v>
      </c>
      <c r="I4762">
        <v>526.6875</v>
      </c>
      <c r="J4762" s="9">
        <f t="shared" si="74"/>
        <v>43746.948145671289</v>
      </c>
      <c r="K4762" s="1"/>
    </row>
    <row r="4763" spans="1:11" x14ac:dyDescent="0.25">
      <c r="A4763" t="e">
        <f>-Lqg1zKzIcdWl9qM7YX_</f>
        <v>#NAME?</v>
      </c>
      <c r="B4763">
        <v>393.75</v>
      </c>
      <c r="C4763">
        <v>20.531590000000001</v>
      </c>
      <c r="D4763">
        <v>69</v>
      </c>
      <c r="E4763">
        <v>0</v>
      </c>
      <c r="F4763">
        <v>0</v>
      </c>
      <c r="G4763">
        <v>9</v>
      </c>
      <c r="H4763" s="4">
        <v>1570549526682</v>
      </c>
      <c r="I4763">
        <v>526.6875</v>
      </c>
      <c r="J4763" s="9">
        <f t="shared" si="74"/>
        <v>43746.948225486114</v>
      </c>
      <c r="K4763" s="1"/>
    </row>
    <row r="4764" spans="1:11" x14ac:dyDescent="0.25">
      <c r="A4764" t="e">
        <f>-Lqg204AC1SsiJg_nzyo</f>
        <v>#NAME?</v>
      </c>
      <c r="B4764">
        <v>393.75</v>
      </c>
      <c r="C4764">
        <v>20.478950000000001</v>
      </c>
      <c r="D4764">
        <v>70</v>
      </c>
      <c r="E4764">
        <v>0</v>
      </c>
      <c r="F4764">
        <v>0</v>
      </c>
      <c r="G4764">
        <v>7</v>
      </c>
      <c r="H4764" s="4">
        <v>1570549533912</v>
      </c>
      <c r="I4764">
        <v>526.6875</v>
      </c>
      <c r="J4764" s="9">
        <f t="shared" si="74"/>
        <v>43746.948309166663</v>
      </c>
      <c r="K4764" s="1"/>
    </row>
    <row r="4765" spans="1:11" x14ac:dyDescent="0.25">
      <c r="A4765" t="e">
        <f>-Lqg21_QWF3BNwU2MD_o</f>
        <v>#NAME?</v>
      </c>
      <c r="B4765">
        <v>393.75</v>
      </c>
      <c r="C4765">
        <v>20.584240000000001</v>
      </c>
      <c r="D4765">
        <v>70</v>
      </c>
      <c r="E4765">
        <v>0</v>
      </c>
      <c r="F4765">
        <v>0</v>
      </c>
      <c r="G4765">
        <v>5</v>
      </c>
      <c r="H4765" s="4">
        <v>1570549540082</v>
      </c>
      <c r="I4765">
        <v>526.6875</v>
      </c>
      <c r="J4765" s="9">
        <f t="shared" si="74"/>
        <v>43746.948380578702</v>
      </c>
      <c r="K4765" s="1"/>
    </row>
    <row r="4766" spans="1:11" x14ac:dyDescent="0.25">
      <c r="A4766" t="e">
        <f>-Lqg23720oJbe9FJrmGk</f>
        <v>#NAME?</v>
      </c>
      <c r="B4766">
        <v>393.75</v>
      </c>
      <c r="C4766">
        <v>20.531590000000001</v>
      </c>
      <c r="D4766">
        <v>70</v>
      </c>
      <c r="E4766">
        <v>0</v>
      </c>
      <c r="F4766">
        <v>0</v>
      </c>
      <c r="G4766">
        <v>14</v>
      </c>
      <c r="H4766" s="4">
        <v>1570549546264</v>
      </c>
      <c r="I4766">
        <v>526.6875</v>
      </c>
      <c r="J4766" s="9">
        <f t="shared" si="74"/>
        <v>43746.948452129633</v>
      </c>
      <c r="K4766" s="1"/>
    </row>
    <row r="4767" spans="1:11" x14ac:dyDescent="0.25">
      <c r="A4767" t="e">
        <f>-Lqg24b2llcetmIE8aJe</f>
        <v>#NAME?</v>
      </c>
      <c r="B4767">
        <v>393.75</v>
      </c>
      <c r="C4767">
        <v>20.531590000000001</v>
      </c>
      <c r="D4767">
        <v>70</v>
      </c>
      <c r="E4767">
        <v>0</v>
      </c>
      <c r="F4767">
        <v>0</v>
      </c>
      <c r="G4767">
        <v>7</v>
      </c>
      <c r="H4767" s="4">
        <v>1570549552465</v>
      </c>
      <c r="I4767">
        <v>526.6875</v>
      </c>
      <c r="J4767" s="9">
        <f t="shared" si="74"/>
        <v>43746.948523900464</v>
      </c>
      <c r="K4767" s="1"/>
    </row>
    <row r="4768" spans="1:11" x14ac:dyDescent="0.25">
      <c r="A4768" t="e">
        <f>-Lqg26A3_VQ7tRc_yfW5</f>
        <v>#NAME?</v>
      </c>
      <c r="B4768">
        <v>434.375</v>
      </c>
      <c r="C4768">
        <v>20.531590000000001</v>
      </c>
      <c r="D4768">
        <v>70</v>
      </c>
      <c r="E4768">
        <v>0</v>
      </c>
      <c r="F4768">
        <v>0</v>
      </c>
      <c r="G4768">
        <v>5</v>
      </c>
      <c r="H4768" s="4">
        <v>1570549558632</v>
      </c>
      <c r="I4768">
        <v>539.4375</v>
      </c>
      <c r="J4768" s="9">
        <f t="shared" si="74"/>
        <v>43746.948595277776</v>
      </c>
      <c r="K4768" s="1"/>
    </row>
    <row r="4769" spans="1:11" x14ac:dyDescent="0.25">
      <c r="A4769" t="e">
        <f>-Lqg27qh31e-h96CneKL</f>
        <v>#NAME?</v>
      </c>
      <c r="B4769">
        <v>393.75</v>
      </c>
      <c r="C4769">
        <v>20.531590000000001</v>
      </c>
      <c r="D4769">
        <v>68</v>
      </c>
      <c r="E4769">
        <v>0</v>
      </c>
      <c r="F4769">
        <v>0</v>
      </c>
      <c r="G4769">
        <v>13</v>
      </c>
      <c r="H4769" s="4">
        <v>1570549565842</v>
      </c>
      <c r="I4769">
        <v>526.6875</v>
      </c>
      <c r="J4769" s="9">
        <f t="shared" si="74"/>
        <v>43746.948678726847</v>
      </c>
      <c r="K4769" s="1"/>
    </row>
    <row r="4770" spans="1:11" x14ac:dyDescent="0.25">
      <c r="A4770" t="e">
        <f>-Lqg29pxx0-oRuQTE_I3</f>
        <v>#NAME?</v>
      </c>
      <c r="B4770">
        <v>393.75</v>
      </c>
      <c r="C4770">
        <v>20.478950000000001</v>
      </c>
      <c r="D4770">
        <v>69</v>
      </c>
      <c r="E4770">
        <v>0</v>
      </c>
      <c r="F4770">
        <v>0</v>
      </c>
      <c r="G4770">
        <v>3</v>
      </c>
      <c r="H4770" s="4">
        <v>1570549573064</v>
      </c>
      <c r="I4770">
        <v>526.6875</v>
      </c>
      <c r="J4770" s="9">
        <f t="shared" si="74"/>
        <v>43746.948762314809</v>
      </c>
      <c r="K4770" s="1"/>
    </row>
    <row r="4771" spans="1:11" x14ac:dyDescent="0.25">
      <c r="A4771" t="e">
        <f>-Lqg2BPq3jBBbfUFu6pd</f>
        <v>#NAME?</v>
      </c>
      <c r="B4771">
        <v>393.75</v>
      </c>
      <c r="C4771">
        <v>20.478950000000001</v>
      </c>
      <c r="D4771">
        <v>69</v>
      </c>
      <c r="E4771">
        <v>0</v>
      </c>
      <c r="F4771">
        <v>0</v>
      </c>
      <c r="G4771">
        <v>11</v>
      </c>
      <c r="H4771" s="4">
        <v>1570549580245</v>
      </c>
      <c r="I4771">
        <v>526.6875</v>
      </c>
      <c r="J4771" s="9">
        <f t="shared" si="74"/>
        <v>43746.94884542824</v>
      </c>
      <c r="K4771" s="1"/>
    </row>
    <row r="4772" spans="1:11" x14ac:dyDescent="0.25">
      <c r="A4772" t="e">
        <f>-Lqg2CwdLMFmydTUY_tY</f>
        <v>#NAME?</v>
      </c>
      <c r="B4772">
        <v>393.75</v>
      </c>
      <c r="C4772">
        <v>20.531590000000001</v>
      </c>
      <c r="D4772">
        <v>69</v>
      </c>
      <c r="E4772">
        <v>0</v>
      </c>
      <c r="F4772">
        <v>0</v>
      </c>
      <c r="G4772">
        <v>20</v>
      </c>
      <c r="H4772" s="4">
        <v>1570549586462</v>
      </c>
      <c r="I4772">
        <v>526.6875</v>
      </c>
      <c r="J4772" s="9">
        <f t="shared" si="74"/>
        <v>43746.948917384252</v>
      </c>
      <c r="K4772" s="1"/>
    </row>
    <row r="4773" spans="1:11" x14ac:dyDescent="0.25">
      <c r="A4773" t="e">
        <f>-Lqg2ESpvYDMocgquUQ3</f>
        <v>#NAME?</v>
      </c>
      <c r="B4773">
        <v>393.75</v>
      </c>
      <c r="C4773">
        <v>20.531590000000001</v>
      </c>
      <c r="D4773">
        <v>68</v>
      </c>
      <c r="E4773">
        <v>0</v>
      </c>
      <c r="F4773">
        <v>0</v>
      </c>
      <c r="G4773">
        <v>7</v>
      </c>
      <c r="H4773" s="4">
        <v>1570549592613</v>
      </c>
      <c r="I4773">
        <v>526.6875</v>
      </c>
      <c r="J4773" s="9">
        <f t="shared" si="74"/>
        <v>43746.948988576383</v>
      </c>
      <c r="K4773" s="1"/>
    </row>
    <row r="4774" spans="1:11" x14ac:dyDescent="0.25">
      <c r="A4774" t="e">
        <f>-Lqg2GA21ZGZqIZYnLcO</f>
        <v>#NAME?</v>
      </c>
      <c r="B4774">
        <v>412.5</v>
      </c>
      <c r="C4774">
        <v>20.531590000000001</v>
      </c>
      <c r="D4774">
        <v>69</v>
      </c>
      <c r="E4774">
        <v>0</v>
      </c>
      <c r="F4774">
        <v>0</v>
      </c>
      <c r="G4774">
        <v>14</v>
      </c>
      <c r="H4774" s="4">
        <v>1570549599853</v>
      </c>
      <c r="I4774">
        <v>532.3125</v>
      </c>
      <c r="J4774" s="9">
        <f t="shared" si="74"/>
        <v>43746.949072372685</v>
      </c>
      <c r="K4774" s="1"/>
    </row>
    <row r="4775" spans="1:11" x14ac:dyDescent="0.25">
      <c r="A4775" t="e">
        <f>-Lqg2Hj1_pERlQIKPFYp</f>
        <v>#NAME?</v>
      </c>
      <c r="B4775">
        <v>393.75</v>
      </c>
      <c r="C4775">
        <v>20.478950000000001</v>
      </c>
      <c r="D4775">
        <v>68</v>
      </c>
      <c r="E4775">
        <v>0</v>
      </c>
      <c r="F4775">
        <v>0</v>
      </c>
      <c r="G4775">
        <v>8</v>
      </c>
      <c r="H4775" s="4">
        <v>1570549606043</v>
      </c>
      <c r="I4775">
        <v>526.6875</v>
      </c>
      <c r="J4775" s="9">
        <f t="shared" si="74"/>
        <v>43746.949144016202</v>
      </c>
      <c r="K4775" s="1"/>
    </row>
    <row r="4776" spans="1:11" x14ac:dyDescent="0.25">
      <c r="A4776" t="e">
        <f>-Lqg2JC6VTiWkaa_kWJq</f>
        <v>#NAME?</v>
      </c>
      <c r="B4776">
        <v>393.75</v>
      </c>
      <c r="C4776">
        <v>20.531590000000001</v>
      </c>
      <c r="D4776">
        <v>68</v>
      </c>
      <c r="E4776">
        <v>0</v>
      </c>
      <c r="F4776">
        <v>0</v>
      </c>
      <c r="G4776">
        <v>9</v>
      </c>
      <c r="H4776" s="4">
        <v>1570549612192</v>
      </c>
      <c r="I4776">
        <v>526.6875</v>
      </c>
      <c r="J4776" s="9">
        <f t="shared" si="74"/>
        <v>43746.949215185181</v>
      </c>
      <c r="K4776" s="1"/>
    </row>
    <row r="4777" spans="1:11" x14ac:dyDescent="0.25">
      <c r="A4777" t="e">
        <f>-Lqg2KkxM2dlFrQAdSde</f>
        <v>#NAME?</v>
      </c>
      <c r="B4777">
        <v>393.75</v>
      </c>
      <c r="C4777">
        <v>20.478950000000001</v>
      </c>
      <c r="D4777">
        <v>67</v>
      </c>
      <c r="E4777">
        <v>0</v>
      </c>
      <c r="F4777">
        <v>0</v>
      </c>
      <c r="G4777">
        <v>9</v>
      </c>
      <c r="H4777" s="4">
        <v>1570549618423</v>
      </c>
      <c r="I4777">
        <v>526.6875</v>
      </c>
      <c r="J4777" s="9">
        <f t="shared" si="74"/>
        <v>43746.949287303236</v>
      </c>
      <c r="K4777" s="1"/>
    </row>
    <row r="4778" spans="1:11" x14ac:dyDescent="0.25">
      <c r="A4778" t="s">
        <v>266</v>
      </c>
      <c r="B4778">
        <v>393.75</v>
      </c>
      <c r="C4778">
        <v>20.478950000000001</v>
      </c>
      <c r="D4778">
        <v>67</v>
      </c>
      <c r="E4778">
        <v>0</v>
      </c>
      <c r="F4778">
        <v>0</v>
      </c>
      <c r="G4778">
        <v>11</v>
      </c>
      <c r="H4778" s="4">
        <v>1570549625623</v>
      </c>
      <c r="I4778">
        <v>526.6875</v>
      </c>
      <c r="J4778" s="9">
        <f t="shared" si="74"/>
        <v>43746.949370636568</v>
      </c>
      <c r="K4778" s="1"/>
    </row>
    <row r="4779" spans="1:11" x14ac:dyDescent="0.25">
      <c r="A4779" t="e">
        <f>-Lqg2Nz3-w-Wq5kXntUp</f>
        <v>#NAME?</v>
      </c>
      <c r="B4779">
        <v>393.75</v>
      </c>
      <c r="C4779">
        <v>20.478950000000001</v>
      </c>
      <c r="D4779">
        <v>68</v>
      </c>
      <c r="E4779">
        <v>0</v>
      </c>
      <c r="F4779">
        <v>0</v>
      </c>
      <c r="G4779">
        <v>17</v>
      </c>
      <c r="H4779" s="4">
        <v>1570549631774</v>
      </c>
      <c r="I4779">
        <v>526.6875</v>
      </c>
      <c r="J4779" s="9">
        <f t="shared" si="74"/>
        <v>43746.949441828699</v>
      </c>
      <c r="K4779" s="1"/>
    </row>
    <row r="4780" spans="1:11" x14ac:dyDescent="0.25">
      <c r="A4780" t="e">
        <f>-Lqg2PWwnicf8TZAA9Hd</f>
        <v>#NAME?</v>
      </c>
      <c r="B4780">
        <v>393.75</v>
      </c>
      <c r="C4780">
        <v>20.478950000000001</v>
      </c>
      <c r="D4780">
        <v>66</v>
      </c>
      <c r="E4780">
        <v>0</v>
      </c>
      <c r="F4780">
        <v>0</v>
      </c>
      <c r="G4780">
        <v>2</v>
      </c>
      <c r="H4780" s="4">
        <v>1570549637993</v>
      </c>
      <c r="I4780">
        <v>526.6875</v>
      </c>
      <c r="J4780" s="9">
        <f t="shared" si="74"/>
        <v>43746.949513807871</v>
      </c>
      <c r="K4780" s="1"/>
    </row>
    <row r="4781" spans="1:11" x14ac:dyDescent="0.25">
      <c r="A4781" t="e">
        <f>-Lqg2RGCC9LODBaS3XWP</f>
        <v>#NAME?</v>
      </c>
      <c r="B4781">
        <v>412.5</v>
      </c>
      <c r="C4781">
        <v>20.478950000000001</v>
      </c>
      <c r="D4781">
        <v>65</v>
      </c>
      <c r="E4781">
        <v>0</v>
      </c>
      <c r="F4781">
        <v>0</v>
      </c>
      <c r="G4781">
        <v>2</v>
      </c>
      <c r="H4781" s="4">
        <v>1570549645204</v>
      </c>
      <c r="I4781">
        <v>532.3125</v>
      </c>
      <c r="J4781" s="9">
        <f t="shared" si="74"/>
        <v>43746.949597268518</v>
      </c>
      <c r="K4781" s="1"/>
    </row>
    <row r="4782" spans="1:11" x14ac:dyDescent="0.25">
      <c r="A4782" t="e">
        <f>-Lqg2Sp3RL4KPPX48JBz</f>
        <v>#NAME?</v>
      </c>
      <c r="B4782">
        <v>393.75</v>
      </c>
      <c r="C4782">
        <v>20.478950000000001</v>
      </c>
      <c r="D4782">
        <v>65</v>
      </c>
      <c r="E4782">
        <v>0</v>
      </c>
      <c r="F4782">
        <v>0</v>
      </c>
      <c r="G4782">
        <v>8</v>
      </c>
      <c r="H4782" s="4">
        <v>1570549651382</v>
      </c>
      <c r="I4782">
        <v>526.6875</v>
      </c>
      <c r="J4782" s="9">
        <f t="shared" si="74"/>
        <v>43746.949668773144</v>
      </c>
      <c r="K4782" s="1"/>
    </row>
    <row r="4783" spans="1:11" x14ac:dyDescent="0.25">
      <c r="A4783" t="e">
        <f>-Lqg2UWwqA1y7wYL5CfL</f>
        <v>#NAME?</v>
      </c>
      <c r="B4783">
        <v>393.75</v>
      </c>
      <c r="C4783">
        <v>20.478950000000001</v>
      </c>
      <c r="D4783">
        <v>64</v>
      </c>
      <c r="E4783">
        <v>0</v>
      </c>
      <c r="F4783">
        <v>0</v>
      </c>
      <c r="G4783">
        <v>8</v>
      </c>
      <c r="H4783" s="4">
        <v>1570549658604</v>
      </c>
      <c r="I4783">
        <v>526.5</v>
      </c>
      <c r="J4783" s="9">
        <f t="shared" si="74"/>
        <v>43746.949752361113</v>
      </c>
      <c r="K4783" s="1"/>
    </row>
    <row r="4784" spans="1:11" x14ac:dyDescent="0.25">
      <c r="A4784" t="e">
        <f>-Lqg2W1375h-LQe9SKo4</f>
        <v>#NAME?</v>
      </c>
      <c r="B4784">
        <v>393.75</v>
      </c>
      <c r="C4784">
        <v>20.478950000000001</v>
      </c>
      <c r="D4784">
        <v>64</v>
      </c>
      <c r="E4784">
        <v>0</v>
      </c>
      <c r="F4784">
        <v>0</v>
      </c>
      <c r="G4784">
        <v>8</v>
      </c>
      <c r="H4784" s="4">
        <v>1570549664804</v>
      </c>
      <c r="I4784">
        <v>526.6875</v>
      </c>
      <c r="J4784" s="9">
        <f t="shared" si="74"/>
        <v>43746.949824120369</v>
      </c>
      <c r="K4784" s="1"/>
    </row>
    <row r="4785" spans="1:11" x14ac:dyDescent="0.25">
      <c r="A4785" t="e">
        <f>-Lqg2Xa1E7J7_54m-N1u</f>
        <v>#NAME?</v>
      </c>
      <c r="B4785">
        <v>393.75</v>
      </c>
      <c r="C4785">
        <v>20.531590000000001</v>
      </c>
      <c r="D4785">
        <v>64</v>
      </c>
      <c r="E4785">
        <v>0</v>
      </c>
      <c r="F4785">
        <v>0</v>
      </c>
      <c r="G4785">
        <v>2</v>
      </c>
      <c r="H4785" s="4">
        <v>1570549670976</v>
      </c>
      <c r="I4785">
        <v>526.5</v>
      </c>
      <c r="J4785" s="9">
        <f t="shared" si="74"/>
        <v>43746.949895555554</v>
      </c>
      <c r="K4785" s="1"/>
    </row>
    <row r="4786" spans="1:11" x14ac:dyDescent="0.25">
      <c r="A4786" t="e">
        <f>-Lqg2Z42RhatUeqdaq9G</f>
        <v>#NAME?</v>
      </c>
      <c r="B4786">
        <v>393.75</v>
      </c>
      <c r="C4786">
        <v>20.531590000000001</v>
      </c>
      <c r="D4786">
        <v>64</v>
      </c>
      <c r="E4786">
        <v>0</v>
      </c>
      <c r="F4786">
        <v>0</v>
      </c>
      <c r="G4786">
        <v>8</v>
      </c>
      <c r="H4786" s="4">
        <v>1570549677153</v>
      </c>
      <c r="I4786">
        <v>526.6875</v>
      </c>
      <c r="J4786" s="9">
        <f t="shared" si="74"/>
        <v>43746.949967048604</v>
      </c>
      <c r="K4786" s="1"/>
    </row>
    <row r="4787" spans="1:11" x14ac:dyDescent="0.25">
      <c r="A4787" t="e">
        <f>-Lqg2_Z3NouY1nuPirvC</f>
        <v>#NAME?</v>
      </c>
      <c r="B4787">
        <v>393.75</v>
      </c>
      <c r="C4787">
        <v>20.478950000000001</v>
      </c>
      <c r="D4787">
        <v>63</v>
      </c>
      <c r="E4787">
        <v>0</v>
      </c>
      <c r="F4787">
        <v>0</v>
      </c>
      <c r="G4787">
        <v>4</v>
      </c>
      <c r="H4787" s="4">
        <v>1570549683353</v>
      </c>
      <c r="I4787">
        <v>526.5</v>
      </c>
      <c r="J4787" s="9">
        <f t="shared" si="74"/>
        <v>43746.950038807867</v>
      </c>
      <c r="K4787" s="1"/>
    </row>
    <row r="4788" spans="1:11" x14ac:dyDescent="0.25">
      <c r="A4788" t="e">
        <f>-Lqg2b2BIqJExSI5KQfV</f>
        <v>#NAME?</v>
      </c>
      <c r="B4788">
        <v>412.5</v>
      </c>
      <c r="C4788">
        <v>20.531590000000001</v>
      </c>
      <c r="D4788">
        <v>65</v>
      </c>
      <c r="E4788">
        <v>0</v>
      </c>
      <c r="F4788">
        <v>0</v>
      </c>
      <c r="G4788">
        <v>7</v>
      </c>
      <c r="H4788" s="4">
        <v>1570549689522</v>
      </c>
      <c r="I4788">
        <v>532.3125</v>
      </c>
      <c r="J4788" s="9">
        <f t="shared" si="74"/>
        <v>43746.95011020833</v>
      </c>
      <c r="K4788" s="1"/>
    </row>
    <row r="4789" spans="1:11" x14ac:dyDescent="0.25">
      <c r="A4789" t="e">
        <f>-Lqg2cb1wKCyTJqrDR5_</f>
        <v>#NAME?</v>
      </c>
      <c r="B4789">
        <v>393.75</v>
      </c>
      <c r="C4789">
        <v>20.478950000000001</v>
      </c>
      <c r="D4789">
        <v>65</v>
      </c>
      <c r="E4789">
        <v>0</v>
      </c>
      <c r="F4789">
        <v>0</v>
      </c>
      <c r="G4789">
        <v>8</v>
      </c>
      <c r="H4789" s="4">
        <v>1570549695703</v>
      </c>
      <c r="I4789">
        <v>526.6875</v>
      </c>
      <c r="J4789" s="9">
        <f t="shared" si="74"/>
        <v>43746.950181747678</v>
      </c>
      <c r="K4789" s="1"/>
    </row>
    <row r="4790" spans="1:11" x14ac:dyDescent="0.25">
      <c r="A4790" t="e">
        <f>-Lqg2e3yCnYQ8u4zLxkF</f>
        <v>#NAME?</v>
      </c>
      <c r="B4790">
        <v>393.75</v>
      </c>
      <c r="C4790">
        <v>20.531590000000001</v>
      </c>
      <c r="D4790">
        <v>65</v>
      </c>
      <c r="E4790">
        <v>0</v>
      </c>
      <c r="F4790">
        <v>0</v>
      </c>
      <c r="G4790">
        <v>10</v>
      </c>
      <c r="H4790" s="4">
        <v>1570549701864</v>
      </c>
      <c r="I4790">
        <v>526.6875</v>
      </c>
      <c r="J4790" s="9">
        <f t="shared" si="74"/>
        <v>43746.950253055555</v>
      </c>
      <c r="K4790" s="1"/>
    </row>
    <row r="4791" spans="1:11" x14ac:dyDescent="0.25">
      <c r="A4791" t="e">
        <f>-Lqg2feB_KU9Jofp4AVQ</f>
        <v>#NAME?</v>
      </c>
      <c r="B4791">
        <v>393.75</v>
      </c>
      <c r="C4791">
        <v>20.531590000000001</v>
      </c>
      <c r="D4791">
        <v>65</v>
      </c>
      <c r="E4791">
        <v>0</v>
      </c>
      <c r="F4791">
        <v>0</v>
      </c>
      <c r="G4791">
        <v>6</v>
      </c>
      <c r="H4791" s="4">
        <v>1570549708074</v>
      </c>
      <c r="I4791">
        <v>526.5</v>
      </c>
      <c r="J4791" s="9">
        <f t="shared" si="74"/>
        <v>43746.950324930549</v>
      </c>
      <c r="K4791" s="1"/>
    </row>
    <row r="4792" spans="1:11" x14ac:dyDescent="0.25">
      <c r="A4792" t="e">
        <f>-Lqg2hN1N29Z9osH_ZIV</f>
        <v>#NAME?</v>
      </c>
      <c r="B4792">
        <v>421.875</v>
      </c>
      <c r="C4792">
        <v>20.584240000000001</v>
      </c>
      <c r="D4792">
        <v>66</v>
      </c>
      <c r="E4792">
        <v>0</v>
      </c>
      <c r="F4792">
        <v>0</v>
      </c>
      <c r="G4792">
        <v>2</v>
      </c>
      <c r="H4792" s="4">
        <v>1570549715292</v>
      </c>
      <c r="I4792">
        <v>535.5</v>
      </c>
      <c r="J4792" s="9">
        <f t="shared" si="74"/>
        <v>43746.950408472221</v>
      </c>
      <c r="K4792" s="1"/>
    </row>
    <row r="4793" spans="1:11" x14ac:dyDescent="0.25">
      <c r="A4793" t="e">
        <f>-Lqg2iuwuSvmUT5999iB</f>
        <v>#NAME?</v>
      </c>
      <c r="B4793">
        <v>393.75</v>
      </c>
      <c r="C4793">
        <v>20.478950000000001</v>
      </c>
      <c r="D4793">
        <v>66</v>
      </c>
      <c r="E4793">
        <v>0</v>
      </c>
      <c r="F4793">
        <v>0</v>
      </c>
      <c r="G4793">
        <v>0</v>
      </c>
      <c r="H4793" s="4">
        <v>1570549721473</v>
      </c>
      <c r="I4793">
        <v>526.6875</v>
      </c>
      <c r="J4793" s="9">
        <f t="shared" si="74"/>
        <v>43746.950480011576</v>
      </c>
      <c r="K4793" s="1"/>
    </row>
    <row r="4794" spans="1:11" x14ac:dyDescent="0.25">
      <c r="A4794" t="e">
        <f>-Lqg2ke1DVB49AnSn01W</f>
        <v>#NAME?</v>
      </c>
      <c r="B4794">
        <v>393.75</v>
      </c>
      <c r="C4794">
        <v>20.531590000000001</v>
      </c>
      <c r="D4794">
        <v>65</v>
      </c>
      <c r="E4794">
        <v>0</v>
      </c>
      <c r="F4794">
        <v>0</v>
      </c>
      <c r="G4794">
        <v>6</v>
      </c>
      <c r="H4794" s="4">
        <v>1570549728693</v>
      </c>
      <c r="I4794">
        <v>526.6875</v>
      </c>
      <c r="J4794" s="9">
        <f t="shared" si="74"/>
        <v>43746.950563576385</v>
      </c>
      <c r="K4794" s="1"/>
    </row>
    <row r="4795" spans="1:11" x14ac:dyDescent="0.25">
      <c r="A4795" t="s">
        <v>267</v>
      </c>
      <c r="B4795">
        <v>412.5</v>
      </c>
      <c r="C4795">
        <v>20.478950000000001</v>
      </c>
      <c r="D4795">
        <v>66</v>
      </c>
      <c r="E4795">
        <v>0</v>
      </c>
      <c r="F4795">
        <v>0</v>
      </c>
      <c r="G4795">
        <v>17</v>
      </c>
      <c r="H4795" s="4">
        <v>1570549734876</v>
      </c>
      <c r="I4795">
        <v>532.125</v>
      </c>
      <c r="J4795" s="9">
        <f t="shared" si="74"/>
        <v>43746.950635138892</v>
      </c>
      <c r="K4795" s="1"/>
    </row>
    <row r="4796" spans="1:11" x14ac:dyDescent="0.25">
      <c r="A4796" t="s">
        <v>268</v>
      </c>
      <c r="B4796">
        <v>393.75</v>
      </c>
      <c r="C4796">
        <v>20.531590000000001</v>
      </c>
      <c r="D4796">
        <v>66</v>
      </c>
      <c r="E4796">
        <v>0</v>
      </c>
      <c r="F4796">
        <v>0</v>
      </c>
      <c r="G4796">
        <v>7</v>
      </c>
      <c r="H4796" s="4">
        <v>1570549743125</v>
      </c>
      <c r="I4796">
        <v>526.6875</v>
      </c>
      <c r="J4796" s="9">
        <f t="shared" si="74"/>
        <v>43746.950730613426</v>
      </c>
      <c r="K4796" s="1"/>
    </row>
    <row r="4797" spans="1:11" x14ac:dyDescent="0.25">
      <c r="A4797" t="e">
        <f>-Lqg2pj5UEuCaQ1S236R</f>
        <v>#NAME?</v>
      </c>
      <c r="B4797">
        <v>393.75</v>
      </c>
      <c r="C4797">
        <v>20.478950000000001</v>
      </c>
      <c r="D4797">
        <v>66</v>
      </c>
      <c r="E4797">
        <v>0</v>
      </c>
      <c r="F4797">
        <v>0</v>
      </c>
      <c r="G4797">
        <v>5</v>
      </c>
      <c r="H4797" s="4">
        <v>1570549749305</v>
      </c>
      <c r="I4797">
        <v>526.6875</v>
      </c>
      <c r="J4797" s="9">
        <f t="shared" si="74"/>
        <v>43746.950802141197</v>
      </c>
      <c r="K4797" s="1"/>
    </row>
    <row r="4798" spans="1:11" x14ac:dyDescent="0.25">
      <c r="A4798" t="e">
        <f>-Lqg2rgEHphhKBLQIR0h</f>
        <v>#NAME?</v>
      </c>
      <c r="B4798">
        <v>393.75</v>
      </c>
      <c r="C4798">
        <v>20.531590000000001</v>
      </c>
      <c r="D4798">
        <v>68</v>
      </c>
      <c r="E4798">
        <v>0</v>
      </c>
      <c r="F4798">
        <v>0</v>
      </c>
      <c r="G4798">
        <v>11</v>
      </c>
      <c r="H4798" s="4">
        <v>1570549756515</v>
      </c>
      <c r="I4798">
        <v>526.6875</v>
      </c>
      <c r="J4798" s="9">
        <f t="shared" si="74"/>
        <v>43746.950885590275</v>
      </c>
      <c r="K4798" s="1"/>
    </row>
    <row r="4799" spans="1:11" x14ac:dyDescent="0.25">
      <c r="A4799" t="e">
        <f>-Lqg2tF4j8ZY6zcjHQiH</f>
        <v>#NAME?</v>
      </c>
      <c r="B4799">
        <v>393.75</v>
      </c>
      <c r="C4799">
        <v>20.531590000000001</v>
      </c>
      <c r="D4799">
        <v>68</v>
      </c>
      <c r="E4799">
        <v>0</v>
      </c>
      <c r="F4799">
        <v>0</v>
      </c>
      <c r="G4799">
        <v>13</v>
      </c>
      <c r="H4799" s="4">
        <v>1570549763727</v>
      </c>
      <c r="I4799">
        <v>526.6875</v>
      </c>
      <c r="J4799" s="9">
        <f t="shared" si="74"/>
        <v>43746.950969062498</v>
      </c>
      <c r="K4799" s="1"/>
    </row>
    <row r="4800" spans="1:11" x14ac:dyDescent="0.25">
      <c r="A4800" t="e">
        <f>-Lqg2uxF2NI6xFlZRg4A</f>
        <v>#NAME?</v>
      </c>
      <c r="B4800">
        <v>412.5</v>
      </c>
      <c r="C4800">
        <v>20.478950000000001</v>
      </c>
      <c r="D4800">
        <v>68</v>
      </c>
      <c r="E4800">
        <v>0</v>
      </c>
      <c r="F4800">
        <v>0</v>
      </c>
      <c r="G4800">
        <v>7</v>
      </c>
      <c r="H4800" s="4">
        <v>1570549770965</v>
      </c>
      <c r="I4800">
        <v>532.3125</v>
      </c>
      <c r="J4800" s="9">
        <f t="shared" si="74"/>
        <v>43746.95105283564</v>
      </c>
      <c r="K4800" s="1"/>
    </row>
    <row r="4801" spans="1:11" x14ac:dyDescent="0.25">
      <c r="A4801" t="e">
        <f>-Lqg2wl4MyjKeu5_TtLA</f>
        <v>#NAME?</v>
      </c>
      <c r="B4801">
        <v>393.75</v>
      </c>
      <c r="C4801">
        <v>20.531590000000001</v>
      </c>
      <c r="D4801">
        <v>68</v>
      </c>
      <c r="E4801">
        <v>0</v>
      </c>
      <c r="F4801">
        <v>0</v>
      </c>
      <c r="G4801">
        <v>8</v>
      </c>
      <c r="H4801" s="4">
        <v>1570549778157</v>
      </c>
      <c r="I4801">
        <v>526.6875</v>
      </c>
      <c r="J4801" s="9">
        <f t="shared" si="74"/>
        <v>43746.951136076386</v>
      </c>
      <c r="K4801" s="1"/>
    </row>
    <row r="4802" spans="1:11" x14ac:dyDescent="0.25">
      <c r="A4802" t="e">
        <f>-Lqg2yU5VXOLazjxjSZa</f>
        <v>#NAME?</v>
      </c>
      <c r="B4802">
        <v>393.75</v>
      </c>
      <c r="C4802">
        <v>20.478950000000001</v>
      </c>
      <c r="D4802">
        <v>68</v>
      </c>
      <c r="E4802">
        <v>0</v>
      </c>
      <c r="F4802">
        <v>0</v>
      </c>
      <c r="G4802">
        <v>0</v>
      </c>
      <c r="H4802" s="4">
        <v>1570549785367</v>
      </c>
      <c r="I4802">
        <v>526.6875</v>
      </c>
      <c r="J4802" s="9">
        <f t="shared" si="74"/>
        <v>43746.951219525457</v>
      </c>
      <c r="K4802" s="1"/>
    </row>
    <row r="4803" spans="1:11" x14ac:dyDescent="0.25">
      <c r="A4803" t="s">
        <v>269</v>
      </c>
      <c r="B4803">
        <v>393.75</v>
      </c>
      <c r="C4803">
        <v>20.478950000000001</v>
      </c>
      <c r="D4803">
        <v>68</v>
      </c>
      <c r="E4803">
        <v>0</v>
      </c>
      <c r="F4803">
        <v>0</v>
      </c>
      <c r="G4803">
        <v>9</v>
      </c>
      <c r="H4803" s="4">
        <v>1570549792080</v>
      </c>
      <c r="I4803">
        <v>526.6875</v>
      </c>
      <c r="J4803" s="9">
        <f t="shared" ref="J4803:J4866" si="75">(H4803/86400000)+25569+(7/24)</f>
        <v>43746.951297222222</v>
      </c>
      <c r="K4803" s="1"/>
    </row>
    <row r="4804" spans="1:11" x14ac:dyDescent="0.25">
      <c r="A4804" t="e">
        <f>-Lqg30l4h4i1qg2koJS4</f>
        <v>#NAME?</v>
      </c>
      <c r="B4804">
        <v>393.75</v>
      </c>
      <c r="C4804">
        <v>20.584240000000001</v>
      </c>
      <c r="D4804">
        <v>68</v>
      </c>
      <c r="E4804">
        <v>0</v>
      </c>
      <c r="F4804">
        <v>0</v>
      </c>
      <c r="G4804">
        <v>6</v>
      </c>
      <c r="H4804" s="4">
        <v>1570549798776</v>
      </c>
      <c r="I4804">
        <v>526.5</v>
      </c>
      <c r="J4804" s="9">
        <f t="shared" si="75"/>
        <v>43746.951374722215</v>
      </c>
      <c r="K4804" s="1"/>
    </row>
    <row r="4805" spans="1:11" x14ac:dyDescent="0.25">
      <c r="A4805" t="e">
        <f>-Lqg32G7ZOpcYNw1c7ac</f>
        <v>#NAME?</v>
      </c>
      <c r="B4805">
        <v>415.625</v>
      </c>
      <c r="C4805">
        <v>20.531590000000001</v>
      </c>
      <c r="D4805">
        <v>68</v>
      </c>
      <c r="E4805">
        <v>0</v>
      </c>
      <c r="F4805">
        <v>0</v>
      </c>
      <c r="G4805">
        <v>7</v>
      </c>
      <c r="H4805" s="4">
        <v>1570549804956</v>
      </c>
      <c r="I4805">
        <v>533.0625</v>
      </c>
      <c r="J4805" s="9">
        <f t="shared" si="75"/>
        <v>43746.951446250001</v>
      </c>
      <c r="K4805" s="1"/>
    </row>
    <row r="4806" spans="1:11" x14ac:dyDescent="0.25">
      <c r="A4806" t="s">
        <v>270</v>
      </c>
      <c r="B4806">
        <v>393.75</v>
      </c>
      <c r="C4806">
        <v>20.584240000000001</v>
      </c>
      <c r="D4806">
        <v>66</v>
      </c>
      <c r="E4806">
        <v>0</v>
      </c>
      <c r="F4806">
        <v>0</v>
      </c>
      <c r="G4806">
        <v>7</v>
      </c>
      <c r="H4806" s="4">
        <v>1570549811145</v>
      </c>
      <c r="I4806">
        <v>526.6875</v>
      </c>
      <c r="J4806" s="9">
        <f t="shared" si="75"/>
        <v>43746.951517881942</v>
      </c>
      <c r="K4806" s="1"/>
    </row>
    <row r="4807" spans="1:11" x14ac:dyDescent="0.25">
      <c r="A4807" t="e">
        <f>-Lqg35IrU8a3rtExLxoT</f>
        <v>#NAME?</v>
      </c>
      <c r="B4807">
        <v>393.75</v>
      </c>
      <c r="C4807">
        <v>20.478950000000001</v>
      </c>
      <c r="D4807">
        <v>66</v>
      </c>
      <c r="E4807">
        <v>0</v>
      </c>
      <c r="F4807">
        <v>0</v>
      </c>
      <c r="G4807">
        <v>11</v>
      </c>
      <c r="H4807" s="4">
        <v>1570549817322</v>
      </c>
      <c r="I4807">
        <v>526.6875</v>
      </c>
      <c r="J4807" s="9">
        <f t="shared" si="75"/>
        <v>43746.951589374999</v>
      </c>
      <c r="K4807" s="1"/>
    </row>
    <row r="4808" spans="1:11" x14ac:dyDescent="0.25">
      <c r="A4808" t="e">
        <f>-Lqg3754yAPVgQWUXP64</f>
        <v>#NAME?</v>
      </c>
      <c r="B4808">
        <v>393.75</v>
      </c>
      <c r="C4808">
        <v>20.531590000000001</v>
      </c>
      <c r="D4808">
        <v>67</v>
      </c>
      <c r="E4808">
        <v>0</v>
      </c>
      <c r="F4808">
        <v>0</v>
      </c>
      <c r="G4808">
        <v>12</v>
      </c>
      <c r="H4808" s="4">
        <v>1570549823525</v>
      </c>
      <c r="I4808">
        <v>526.6875</v>
      </c>
      <c r="J4808" s="9">
        <f t="shared" si="75"/>
        <v>43746.951661168983</v>
      </c>
      <c r="K4808" s="1"/>
    </row>
    <row r="4809" spans="1:11" x14ac:dyDescent="0.25">
      <c r="A4809" t="e">
        <f>-Lqg38luCf_Ac0g802ri</f>
        <v>#NAME?</v>
      </c>
      <c r="B4809">
        <v>393.75</v>
      </c>
      <c r="C4809">
        <v>20.478950000000001</v>
      </c>
      <c r="D4809">
        <v>67</v>
      </c>
      <c r="E4809">
        <v>0</v>
      </c>
      <c r="F4809">
        <v>0</v>
      </c>
      <c r="G4809">
        <v>3</v>
      </c>
      <c r="H4809" s="4">
        <v>1570549831766</v>
      </c>
      <c r="I4809">
        <v>526.6875</v>
      </c>
      <c r="J4809" s="9">
        <f t="shared" si="75"/>
        <v>43746.951756550923</v>
      </c>
      <c r="K4809" s="1"/>
    </row>
    <row r="4810" spans="1:11" x14ac:dyDescent="0.25">
      <c r="A4810" t="e">
        <f>-Lqg3AO1Ix2MG_TvP8Ap</f>
        <v>#NAME?</v>
      </c>
      <c r="B4810">
        <v>393.75</v>
      </c>
      <c r="C4810">
        <v>20.531590000000001</v>
      </c>
      <c r="D4810">
        <v>67</v>
      </c>
      <c r="E4810">
        <v>0</v>
      </c>
      <c r="F4810">
        <v>0</v>
      </c>
      <c r="G4810">
        <v>1</v>
      </c>
      <c r="H4810" s="4">
        <v>1570549837945</v>
      </c>
      <c r="I4810">
        <v>526.6875</v>
      </c>
      <c r="J4810" s="9">
        <f t="shared" si="75"/>
        <v>43746.951828067125</v>
      </c>
      <c r="K4810" s="1"/>
    </row>
    <row r="4811" spans="1:11" x14ac:dyDescent="0.25">
      <c r="A4811" t="e">
        <f>-Lqg3C55iXdKHEXugK80</f>
        <v>#NAME?</v>
      </c>
      <c r="B4811">
        <v>393.75</v>
      </c>
      <c r="C4811">
        <v>20.531590000000001</v>
      </c>
      <c r="D4811">
        <v>66</v>
      </c>
      <c r="E4811">
        <v>0</v>
      </c>
      <c r="F4811">
        <v>0</v>
      </c>
      <c r="G4811">
        <v>7</v>
      </c>
      <c r="H4811" s="4">
        <v>1570549845156</v>
      </c>
      <c r="I4811">
        <v>526.6875</v>
      </c>
      <c r="J4811" s="9">
        <f t="shared" si="75"/>
        <v>43746.951911527773</v>
      </c>
      <c r="K4811" s="1"/>
    </row>
    <row r="4812" spans="1:11" x14ac:dyDescent="0.25">
      <c r="A4812" t="e">
        <f>-Lqg3D_3xjycuuEJKUDW</f>
        <v>#NAME?</v>
      </c>
      <c r="B4812">
        <v>393.75</v>
      </c>
      <c r="C4812">
        <v>20.531590000000001</v>
      </c>
      <c r="D4812">
        <v>66</v>
      </c>
      <c r="E4812">
        <v>0</v>
      </c>
      <c r="F4812">
        <v>0</v>
      </c>
      <c r="G4812">
        <v>10</v>
      </c>
      <c r="H4812" s="4">
        <v>1570549851355</v>
      </c>
      <c r="I4812">
        <v>526.6875</v>
      </c>
      <c r="J4812" s="9">
        <f t="shared" si="75"/>
        <v>43746.951983275459</v>
      </c>
      <c r="K4812" s="1"/>
    </row>
    <row r="4813" spans="1:11" x14ac:dyDescent="0.25">
      <c r="A4813" t="e">
        <f>-Lqg3F85KQTpZSAeg3RQ</f>
        <v>#NAME?</v>
      </c>
      <c r="B4813">
        <v>393.75</v>
      </c>
      <c r="C4813">
        <v>20.584240000000001</v>
      </c>
      <c r="D4813">
        <v>66</v>
      </c>
      <c r="E4813">
        <v>0</v>
      </c>
      <c r="F4813">
        <v>0</v>
      </c>
      <c r="G4813">
        <v>7</v>
      </c>
      <c r="H4813" s="4">
        <v>1570549857525</v>
      </c>
      <c r="I4813">
        <v>526.6875</v>
      </c>
      <c r="J4813" s="9">
        <f t="shared" si="75"/>
        <v>43746.952054687499</v>
      </c>
      <c r="K4813" s="1"/>
    </row>
    <row r="4814" spans="1:11" x14ac:dyDescent="0.25">
      <c r="A4814" t="e">
        <f>-Lqg3Gr52Bz-w7kezvZe</f>
        <v>#NAME?</v>
      </c>
      <c r="B4814">
        <v>393.75</v>
      </c>
      <c r="C4814">
        <v>20.478950000000001</v>
      </c>
      <c r="D4814">
        <v>67</v>
      </c>
      <c r="E4814">
        <v>0</v>
      </c>
      <c r="F4814">
        <v>0</v>
      </c>
      <c r="G4814">
        <v>9</v>
      </c>
      <c r="H4814" s="4">
        <v>1570549864727</v>
      </c>
      <c r="I4814">
        <v>526.6875</v>
      </c>
      <c r="J4814" s="9">
        <f t="shared" si="75"/>
        <v>43746.952138043976</v>
      </c>
      <c r="K4814" s="1"/>
    </row>
    <row r="4815" spans="1:11" x14ac:dyDescent="0.25">
      <c r="A4815" t="e">
        <f>-Lqg3IQCOwPBtWFKzICR</f>
        <v>#NAME?</v>
      </c>
      <c r="B4815">
        <v>393.75</v>
      </c>
      <c r="C4815">
        <v>20.478950000000001</v>
      </c>
      <c r="D4815">
        <v>67</v>
      </c>
      <c r="E4815">
        <v>0</v>
      </c>
      <c r="F4815">
        <v>0</v>
      </c>
      <c r="G4815">
        <v>1</v>
      </c>
      <c r="H4815" s="4">
        <v>1570549870926</v>
      </c>
      <c r="I4815">
        <v>526.6875</v>
      </c>
      <c r="J4815" s="9">
        <f t="shared" si="75"/>
        <v>43746.952209791663</v>
      </c>
      <c r="K4815" s="1"/>
    </row>
    <row r="4816" spans="1:11" x14ac:dyDescent="0.25">
      <c r="A4816" t="e">
        <f>-Lqg3K832ElVa9ZuLDJa</f>
        <v>#NAME?</v>
      </c>
      <c r="B4816">
        <v>393.75</v>
      </c>
      <c r="C4816">
        <v>20.531590000000001</v>
      </c>
      <c r="D4816">
        <v>67</v>
      </c>
      <c r="E4816">
        <v>0</v>
      </c>
      <c r="F4816">
        <v>0</v>
      </c>
      <c r="G4816">
        <v>11</v>
      </c>
      <c r="H4816" s="4">
        <v>1570549878136</v>
      </c>
      <c r="I4816">
        <v>526.6875</v>
      </c>
      <c r="J4816" s="9">
        <f t="shared" si="75"/>
        <v>43746.952293240734</v>
      </c>
      <c r="K4816" s="1"/>
    </row>
    <row r="4817" spans="1:11" x14ac:dyDescent="0.25">
      <c r="A4817" t="e">
        <f>-Lqg3Lc6tul398XQANI9</f>
        <v>#NAME?</v>
      </c>
      <c r="B4817">
        <v>393.75</v>
      </c>
      <c r="C4817">
        <v>20.531590000000001</v>
      </c>
      <c r="D4817">
        <v>67</v>
      </c>
      <c r="E4817">
        <v>0</v>
      </c>
      <c r="F4817">
        <v>0</v>
      </c>
      <c r="G4817">
        <v>3</v>
      </c>
      <c r="H4817" s="4">
        <v>1570549884325</v>
      </c>
      <c r="I4817">
        <v>526.6875</v>
      </c>
      <c r="J4817" s="9">
        <f t="shared" si="75"/>
        <v>43746.952364872683</v>
      </c>
      <c r="K4817" s="1"/>
    </row>
    <row r="4818" spans="1:11" x14ac:dyDescent="0.25">
      <c r="A4818" t="e">
        <f>-Lqg3NB4u_HVV5D4YROO</f>
        <v>#NAME?</v>
      </c>
      <c r="B4818">
        <v>412.5</v>
      </c>
      <c r="C4818">
        <v>20.478950000000001</v>
      </c>
      <c r="D4818">
        <v>68</v>
      </c>
      <c r="E4818">
        <v>0</v>
      </c>
      <c r="F4818">
        <v>0</v>
      </c>
      <c r="G4818">
        <v>20</v>
      </c>
      <c r="H4818" s="4">
        <v>1570549890506</v>
      </c>
      <c r="I4818">
        <v>532.875</v>
      </c>
      <c r="J4818" s="9">
        <f t="shared" si="75"/>
        <v>43746.952436412037</v>
      </c>
      <c r="K4818" s="1"/>
    </row>
    <row r="4819" spans="1:11" x14ac:dyDescent="0.25">
      <c r="A4819" t="e">
        <f>-Lqg3Of4-vPWf-cnZijj</f>
        <v>#NAME?</v>
      </c>
      <c r="B4819">
        <v>393.75</v>
      </c>
      <c r="C4819">
        <v>20.531590000000001</v>
      </c>
      <c r="D4819">
        <v>68</v>
      </c>
      <c r="E4819">
        <v>0</v>
      </c>
      <c r="F4819">
        <v>0</v>
      </c>
      <c r="G4819">
        <v>11</v>
      </c>
      <c r="H4819" s="4">
        <v>1570549896684</v>
      </c>
      <c r="I4819">
        <v>526.6875</v>
      </c>
      <c r="J4819" s="9">
        <f t="shared" si="75"/>
        <v>43746.952507916663</v>
      </c>
      <c r="K4819" s="1"/>
    </row>
    <row r="4820" spans="1:11" x14ac:dyDescent="0.25">
      <c r="A4820" t="e">
        <f>-Lqg3Q8-jVsh1IR5S0_l</f>
        <v>#NAME?</v>
      </c>
      <c r="B4820">
        <v>393.75</v>
      </c>
      <c r="C4820">
        <v>20.531590000000001</v>
      </c>
      <c r="D4820">
        <v>67</v>
      </c>
      <c r="E4820">
        <v>0</v>
      </c>
      <c r="F4820">
        <v>0</v>
      </c>
      <c r="G4820">
        <v>7</v>
      </c>
      <c r="H4820" s="4">
        <v>1570549902878</v>
      </c>
      <c r="I4820">
        <v>526.5</v>
      </c>
      <c r="J4820" s="9">
        <f t="shared" si="75"/>
        <v>43746.952579606477</v>
      </c>
      <c r="K4820" s="1"/>
    </row>
    <row r="4821" spans="1:11" x14ac:dyDescent="0.25">
      <c r="A4821" t="e">
        <f>-Lqg3Ri53V474K2VaFdy</f>
        <v>#NAME?</v>
      </c>
      <c r="B4821">
        <v>393.75</v>
      </c>
      <c r="C4821">
        <v>20.584240000000001</v>
      </c>
      <c r="D4821">
        <v>69</v>
      </c>
      <c r="E4821">
        <v>0</v>
      </c>
      <c r="F4821">
        <v>0</v>
      </c>
      <c r="G4821">
        <v>8</v>
      </c>
      <c r="H4821" s="4">
        <v>1570549909066</v>
      </c>
      <c r="I4821">
        <v>526.6875</v>
      </c>
      <c r="J4821" s="9">
        <f t="shared" si="75"/>
        <v>43746.952651226849</v>
      </c>
      <c r="K4821" s="1"/>
    </row>
    <row r="4822" spans="1:11" x14ac:dyDescent="0.25">
      <c r="A4822" t="e">
        <f>-Lqg3TC4rj0HLXXxMfVJ</f>
        <v>#NAME?</v>
      </c>
      <c r="B4822">
        <v>393.75</v>
      </c>
      <c r="C4822">
        <v>20.531590000000001</v>
      </c>
      <c r="D4822">
        <v>69</v>
      </c>
      <c r="E4822">
        <v>0</v>
      </c>
      <c r="F4822">
        <v>0</v>
      </c>
      <c r="G4822">
        <v>8</v>
      </c>
      <c r="H4822" s="4">
        <v>1570549915236</v>
      </c>
      <c r="I4822">
        <v>526.6875</v>
      </c>
      <c r="J4822" s="9">
        <f t="shared" si="75"/>
        <v>43746.952722638882</v>
      </c>
      <c r="K4822" s="1"/>
    </row>
    <row r="4823" spans="1:11" x14ac:dyDescent="0.25">
      <c r="A4823" t="e">
        <f>-Lqg3Ug6Ji9zzfxxzblp</f>
        <v>#NAME?</v>
      </c>
      <c r="B4823">
        <v>393.75</v>
      </c>
      <c r="C4823">
        <v>20.584240000000001</v>
      </c>
      <c r="D4823">
        <v>68</v>
      </c>
      <c r="E4823">
        <v>0</v>
      </c>
      <c r="F4823">
        <v>0</v>
      </c>
      <c r="G4823">
        <v>8</v>
      </c>
      <c r="H4823" s="4">
        <v>1570549921425</v>
      </c>
      <c r="I4823">
        <v>526.5</v>
      </c>
      <c r="J4823" s="9">
        <f t="shared" si="75"/>
        <v>43746.95279427083</v>
      </c>
      <c r="K4823" s="1"/>
    </row>
    <row r="4824" spans="1:11" x14ac:dyDescent="0.25">
      <c r="A4824" t="e">
        <f>-Lqg3WF4ivpKXqJsOPRv</f>
        <v>#NAME?</v>
      </c>
      <c r="B4824">
        <v>393.75</v>
      </c>
      <c r="C4824">
        <v>20.478950000000001</v>
      </c>
      <c r="D4824">
        <v>68</v>
      </c>
      <c r="E4824">
        <v>0</v>
      </c>
      <c r="F4824">
        <v>0</v>
      </c>
      <c r="G4824">
        <v>8</v>
      </c>
      <c r="H4824" s="4">
        <v>1570549927606</v>
      </c>
      <c r="I4824">
        <v>526.6875</v>
      </c>
      <c r="J4824" s="9">
        <f t="shared" si="75"/>
        <v>43746.952865810184</v>
      </c>
      <c r="K4824" s="1"/>
    </row>
    <row r="4825" spans="1:11" x14ac:dyDescent="0.25">
      <c r="A4825" t="e">
        <f>-Lqg3Xy6ms3VukVI90KL</f>
        <v>#NAME?</v>
      </c>
      <c r="B4825">
        <v>393.75</v>
      </c>
      <c r="C4825">
        <v>20.584240000000001</v>
      </c>
      <c r="D4825">
        <v>67</v>
      </c>
      <c r="E4825">
        <v>0</v>
      </c>
      <c r="F4825">
        <v>0</v>
      </c>
      <c r="G4825">
        <v>12</v>
      </c>
      <c r="H4825" s="4">
        <v>1570549934805</v>
      </c>
      <c r="I4825">
        <v>526.6875</v>
      </c>
      <c r="J4825" s="9">
        <f t="shared" si="75"/>
        <v>43746.952949131941</v>
      </c>
      <c r="K4825" s="1"/>
    </row>
    <row r="4826" spans="1:11" x14ac:dyDescent="0.25">
      <c r="A4826" t="e">
        <f>-Lqg3ZW-ihlPUl6H1h1n</f>
        <v>#NAME?</v>
      </c>
      <c r="B4826">
        <v>412.5</v>
      </c>
      <c r="C4826">
        <v>20.531590000000001</v>
      </c>
      <c r="D4826">
        <v>66</v>
      </c>
      <c r="E4826">
        <v>0</v>
      </c>
      <c r="F4826">
        <v>0</v>
      </c>
      <c r="G4826">
        <v>9</v>
      </c>
      <c r="H4826" s="4">
        <v>1570549941005</v>
      </c>
      <c r="I4826">
        <v>532.125</v>
      </c>
      <c r="J4826" s="9">
        <f t="shared" si="75"/>
        <v>43746.953020891197</v>
      </c>
      <c r="K4826" s="1"/>
    </row>
    <row r="4827" spans="1:11" x14ac:dyDescent="0.25">
      <c r="A4827" t="e">
        <f>-Lqg3aF6cuuMnNvZyADO</f>
        <v>#NAME?</v>
      </c>
      <c r="B4827">
        <v>393.75</v>
      </c>
      <c r="C4827">
        <v>20.584240000000001</v>
      </c>
      <c r="D4827">
        <v>66</v>
      </c>
      <c r="E4827">
        <v>0</v>
      </c>
      <c r="F4827">
        <v>0</v>
      </c>
      <c r="G4827">
        <v>9</v>
      </c>
      <c r="H4827" s="4">
        <v>1570549948246</v>
      </c>
      <c r="I4827">
        <v>526.5</v>
      </c>
      <c r="J4827" s="9">
        <f t="shared" si="75"/>
        <v>43746.953104699067</v>
      </c>
      <c r="K4827" s="1"/>
    </row>
    <row r="4828" spans="1:11" x14ac:dyDescent="0.25">
      <c r="A4828" t="e">
        <f>-Lqg3c2O14XRkVeBk9OK</f>
        <v>#NAME?</v>
      </c>
      <c r="B4828">
        <v>393.75</v>
      </c>
      <c r="C4828">
        <v>20.584240000000001</v>
      </c>
      <c r="D4828">
        <v>66</v>
      </c>
      <c r="E4828">
        <v>0</v>
      </c>
      <c r="F4828">
        <v>0</v>
      </c>
      <c r="G4828">
        <v>5</v>
      </c>
      <c r="H4828" s="4">
        <v>1570549954414</v>
      </c>
      <c r="I4828">
        <v>526.6875</v>
      </c>
      <c r="J4828" s="9">
        <f t="shared" si="75"/>
        <v>43746.953176087962</v>
      </c>
      <c r="K4828" s="1"/>
    </row>
    <row r="4829" spans="1:11" x14ac:dyDescent="0.25">
      <c r="A4829" t="e">
        <f>-Lqg3dl1Fo0PrSMdpOpv</f>
        <v>#NAME?</v>
      </c>
      <c r="B4829">
        <v>393.75</v>
      </c>
      <c r="C4829">
        <v>20.531590000000001</v>
      </c>
      <c r="D4829">
        <v>66</v>
      </c>
      <c r="E4829">
        <v>0</v>
      </c>
      <c r="F4829">
        <v>0</v>
      </c>
      <c r="G4829">
        <v>2</v>
      </c>
      <c r="H4829" s="4">
        <v>1570549962650</v>
      </c>
      <c r="I4829">
        <v>526.5</v>
      </c>
      <c r="J4829" s="9">
        <f t="shared" si="75"/>
        <v>43746.953271412036</v>
      </c>
      <c r="K4829" s="1"/>
    </row>
    <row r="4830" spans="1:11" x14ac:dyDescent="0.25">
      <c r="A4830" t="e">
        <f>-Lqg3fIyNYRbI70dDMS2</f>
        <v>#NAME?</v>
      </c>
      <c r="B4830">
        <v>393.75</v>
      </c>
      <c r="C4830">
        <v>20.531590000000001</v>
      </c>
      <c r="D4830">
        <v>68</v>
      </c>
      <c r="E4830">
        <v>0</v>
      </c>
      <c r="F4830">
        <v>0</v>
      </c>
      <c r="G4830">
        <v>5</v>
      </c>
      <c r="H4830" s="4">
        <v>1570549968834</v>
      </c>
      <c r="I4830">
        <v>526.6875</v>
      </c>
      <c r="J4830" s="9">
        <f t="shared" si="75"/>
        <v>43746.953342986111</v>
      </c>
      <c r="K4830" s="1"/>
    </row>
    <row r="4831" spans="1:11" x14ac:dyDescent="0.25">
      <c r="A4831" t="e">
        <f>-Lqg3h0zTj99Ydpct5GK</f>
        <v>#NAME?</v>
      </c>
      <c r="B4831">
        <v>393.75</v>
      </c>
      <c r="C4831">
        <v>20.531590000000001</v>
      </c>
      <c r="D4831">
        <v>67</v>
      </c>
      <c r="E4831">
        <v>0</v>
      </c>
      <c r="F4831">
        <v>0</v>
      </c>
      <c r="G4831">
        <v>19</v>
      </c>
      <c r="H4831" s="4">
        <v>1570549976054</v>
      </c>
      <c r="I4831">
        <v>526.6875</v>
      </c>
      <c r="J4831" s="9">
        <f t="shared" si="75"/>
        <v>43746.953426550921</v>
      </c>
      <c r="K4831" s="1"/>
    </row>
    <row r="4832" spans="1:11" x14ac:dyDescent="0.25">
      <c r="A4832" t="e">
        <f>-Lqg3iXC2GCS7z8r0ion</f>
        <v>#NAME?</v>
      </c>
      <c r="B4832">
        <v>393.75</v>
      </c>
      <c r="C4832">
        <v>20.478950000000001</v>
      </c>
      <c r="D4832">
        <v>66</v>
      </c>
      <c r="E4832">
        <v>0</v>
      </c>
      <c r="F4832">
        <v>0</v>
      </c>
      <c r="G4832">
        <v>0</v>
      </c>
      <c r="H4832" s="4">
        <v>1570549982233</v>
      </c>
      <c r="I4832">
        <v>526.6875</v>
      </c>
      <c r="J4832" s="9">
        <f t="shared" si="75"/>
        <v>43746.953498067123</v>
      </c>
      <c r="K4832" s="1"/>
    </row>
    <row r="4833" spans="1:11" x14ac:dyDescent="0.25">
      <c r="A4833" t="e">
        <f>-Lqg3k51e9yV6ZuOYLdL</f>
        <v>#NAME?</v>
      </c>
      <c r="B4833">
        <v>393.75</v>
      </c>
      <c r="C4833">
        <v>20.531590000000001</v>
      </c>
      <c r="D4833">
        <v>65</v>
      </c>
      <c r="E4833">
        <v>0</v>
      </c>
      <c r="F4833">
        <v>0</v>
      </c>
      <c r="G4833">
        <v>17</v>
      </c>
      <c r="H4833" s="4">
        <v>1570549988413</v>
      </c>
      <c r="I4833">
        <v>526.6875</v>
      </c>
      <c r="J4833" s="9">
        <f t="shared" si="75"/>
        <v>43746.953569594909</v>
      </c>
      <c r="K4833" s="1"/>
    </row>
    <row r="4834" spans="1:11" x14ac:dyDescent="0.25">
      <c r="A4834" t="e">
        <f>-Lqg3l_2z214STo_onfN</f>
        <v>#NAME?</v>
      </c>
      <c r="B4834">
        <v>393.75</v>
      </c>
      <c r="C4834">
        <v>20.584240000000001</v>
      </c>
      <c r="D4834">
        <v>65</v>
      </c>
      <c r="E4834">
        <v>0</v>
      </c>
      <c r="F4834">
        <v>0</v>
      </c>
      <c r="G4834">
        <v>10</v>
      </c>
      <c r="H4834" s="4">
        <v>1570549994593</v>
      </c>
      <c r="I4834">
        <v>526.6875</v>
      </c>
      <c r="J4834" s="9">
        <f t="shared" si="75"/>
        <v>43746.95364112268</v>
      </c>
      <c r="K4834" s="1"/>
    </row>
    <row r="4835" spans="1:11" x14ac:dyDescent="0.25">
      <c r="A4835" t="e">
        <f>-Lqg3n1w3PLr0bx61B6v</f>
        <v>#NAME?</v>
      </c>
      <c r="B4835">
        <v>393.75</v>
      </c>
      <c r="C4835">
        <v>20.531590000000001</v>
      </c>
      <c r="D4835">
        <v>69</v>
      </c>
      <c r="E4835">
        <v>0</v>
      </c>
      <c r="F4835">
        <v>0</v>
      </c>
      <c r="G4835">
        <v>12</v>
      </c>
      <c r="H4835" s="4">
        <v>1570550000783</v>
      </c>
      <c r="I4835">
        <v>526.6875</v>
      </c>
      <c r="J4835" s="9">
        <f t="shared" si="75"/>
        <v>43746.953712766197</v>
      </c>
      <c r="K4835" s="1"/>
    </row>
    <row r="4836" spans="1:11" x14ac:dyDescent="0.25">
      <c r="A4836" t="e">
        <f>-Lqg3oc2-ySJ4V9Tymcv</f>
        <v>#NAME?</v>
      </c>
      <c r="B4836">
        <v>393.75</v>
      </c>
      <c r="C4836">
        <v>20.531590000000001</v>
      </c>
      <c r="D4836">
        <v>69</v>
      </c>
      <c r="E4836">
        <v>0</v>
      </c>
      <c r="F4836">
        <v>0</v>
      </c>
      <c r="G4836">
        <v>9</v>
      </c>
      <c r="H4836" s="4">
        <v>1570550006963</v>
      </c>
      <c r="I4836">
        <v>526.5</v>
      </c>
      <c r="J4836" s="9">
        <f t="shared" si="75"/>
        <v>43746.953784293983</v>
      </c>
      <c r="K4836" s="1"/>
    </row>
    <row r="4837" spans="1:11" x14ac:dyDescent="0.25">
      <c r="A4837" t="s">
        <v>271</v>
      </c>
      <c r="B4837">
        <v>393.75</v>
      </c>
      <c r="C4837">
        <v>20.531590000000001</v>
      </c>
      <c r="D4837">
        <v>68</v>
      </c>
      <c r="E4837">
        <v>0</v>
      </c>
      <c r="F4837">
        <v>0</v>
      </c>
      <c r="G4837">
        <v>19</v>
      </c>
      <c r="H4837" s="4">
        <v>1570550014163</v>
      </c>
      <c r="I4837">
        <v>526.6875</v>
      </c>
      <c r="J4837" s="9">
        <f t="shared" si="75"/>
        <v>43746.953867627315</v>
      </c>
      <c r="K4837" s="1"/>
    </row>
    <row r="4838" spans="1:11" x14ac:dyDescent="0.25">
      <c r="A4838" t="e">
        <f>-Lqg3ru1oBpNStU4uvZ0</f>
        <v>#NAME?</v>
      </c>
      <c r="B4838">
        <v>393.75</v>
      </c>
      <c r="C4838">
        <v>20.478950000000001</v>
      </c>
      <c r="D4838">
        <v>68</v>
      </c>
      <c r="E4838">
        <v>0</v>
      </c>
      <c r="F4838">
        <v>0</v>
      </c>
      <c r="G4838">
        <v>6</v>
      </c>
      <c r="H4838" s="4">
        <v>1570550020363</v>
      </c>
      <c r="I4838">
        <v>526.6875</v>
      </c>
      <c r="J4838" s="9">
        <f t="shared" si="75"/>
        <v>43746.953939386571</v>
      </c>
      <c r="K4838" s="1"/>
    </row>
    <row r="4839" spans="1:11" x14ac:dyDescent="0.25">
      <c r="A4839" t="e">
        <f>-Lqg3tayRureUmo8AD8j</f>
        <v>#NAME?</v>
      </c>
      <c r="B4839">
        <v>393.75</v>
      </c>
      <c r="C4839">
        <v>20.584240000000001</v>
      </c>
      <c r="D4839">
        <v>68</v>
      </c>
      <c r="E4839">
        <v>0</v>
      </c>
      <c r="F4839">
        <v>0</v>
      </c>
      <c r="G4839">
        <v>11</v>
      </c>
      <c r="H4839" s="4">
        <v>1570550027584</v>
      </c>
      <c r="I4839">
        <v>526.6875</v>
      </c>
      <c r="J4839" s="9">
        <f t="shared" si="75"/>
        <v>43746.954022962957</v>
      </c>
      <c r="K4839" s="1"/>
    </row>
    <row r="4840" spans="1:11" x14ac:dyDescent="0.25">
      <c r="A4840" t="e">
        <f>-Lqg3v4y4ASIIPFJq4ZL</f>
        <v>#NAME?</v>
      </c>
      <c r="B4840">
        <v>393.75</v>
      </c>
      <c r="C4840">
        <v>20.531590000000001</v>
      </c>
      <c r="D4840">
        <v>68</v>
      </c>
      <c r="E4840">
        <v>0</v>
      </c>
      <c r="F4840">
        <v>0</v>
      </c>
      <c r="G4840">
        <v>11</v>
      </c>
      <c r="H4840" s="4">
        <v>1570550033764</v>
      </c>
      <c r="I4840">
        <v>526.6875</v>
      </c>
      <c r="J4840" s="9">
        <f t="shared" si="75"/>
        <v>43746.954094490742</v>
      </c>
      <c r="K4840" s="1"/>
    </row>
    <row r="4841" spans="1:11" x14ac:dyDescent="0.25">
      <c r="A4841" t="e">
        <f>-Lqg3wuYwPmMTohOzLp4</f>
        <v>#NAME?</v>
      </c>
      <c r="B4841">
        <v>393.75</v>
      </c>
      <c r="C4841">
        <v>20.584240000000001</v>
      </c>
      <c r="D4841">
        <v>68</v>
      </c>
      <c r="E4841">
        <v>0</v>
      </c>
      <c r="F4841">
        <v>0</v>
      </c>
      <c r="G4841">
        <v>6</v>
      </c>
      <c r="H4841" s="4">
        <v>1570550039944</v>
      </c>
      <c r="I4841">
        <v>526.5</v>
      </c>
      <c r="J4841" s="9">
        <f t="shared" si="75"/>
        <v>43746.954166018513</v>
      </c>
      <c r="K4841" s="1"/>
    </row>
    <row r="4842" spans="1:11" x14ac:dyDescent="0.25">
      <c r="A4842" t="e">
        <f>-Lqg3yh2mtatf3hCAlrL</f>
        <v>#NAME?</v>
      </c>
      <c r="B4842">
        <v>393.75</v>
      </c>
      <c r="C4842">
        <v>20.531590000000001</v>
      </c>
      <c r="D4842">
        <v>69</v>
      </c>
      <c r="E4842">
        <v>0</v>
      </c>
      <c r="F4842">
        <v>0</v>
      </c>
      <c r="G4842">
        <v>5</v>
      </c>
      <c r="H4842" s="4">
        <v>1570550048192</v>
      </c>
      <c r="I4842">
        <v>526.6875</v>
      </c>
      <c r="J4842" s="9">
        <f t="shared" si="75"/>
        <v>43746.954261481478</v>
      </c>
      <c r="K4842" s="1"/>
    </row>
    <row r="4843" spans="1:11" x14ac:dyDescent="0.25">
      <c r="A4843" t="e">
        <f>-#REF!-OyAgeDzf59xFX8</f>
        <v>#REF!</v>
      </c>
      <c r="B4843">
        <v>393.75</v>
      </c>
      <c r="C4843">
        <v>20.478950000000001</v>
      </c>
      <c r="D4843">
        <v>68</v>
      </c>
      <c r="E4843">
        <v>0</v>
      </c>
      <c r="F4843">
        <v>0</v>
      </c>
      <c r="G4843">
        <v>13</v>
      </c>
      <c r="H4843" s="4">
        <v>1570550055403</v>
      </c>
      <c r="I4843">
        <v>526.5</v>
      </c>
      <c r="J4843" s="9">
        <f t="shared" si="75"/>
        <v>43746.954344942125</v>
      </c>
      <c r="K4843" s="1"/>
    </row>
    <row r="4844" spans="1:11" x14ac:dyDescent="0.25">
      <c r="A4844" t="e">
        <f>-Lqg40u2D9MGfjGMErSC</f>
        <v>#NAME?</v>
      </c>
      <c r="B4844">
        <v>412.5</v>
      </c>
      <c r="C4844">
        <v>20.531590000000001</v>
      </c>
      <c r="D4844">
        <v>68</v>
      </c>
      <c r="E4844">
        <v>0</v>
      </c>
      <c r="F4844">
        <v>0</v>
      </c>
      <c r="G4844">
        <v>8</v>
      </c>
      <c r="H4844" s="4">
        <v>1570550061595</v>
      </c>
      <c r="I4844">
        <v>532.3125</v>
      </c>
      <c r="J4844" s="9">
        <f t="shared" si="75"/>
        <v>43746.954416608794</v>
      </c>
      <c r="K4844" s="1"/>
    </row>
    <row r="4845" spans="1:11" x14ac:dyDescent="0.25">
      <c r="A4845" t="e">
        <f>-Lqg42T2G3gMXX9JZUOt</f>
        <v>#NAME?</v>
      </c>
      <c r="B4845">
        <v>393.75</v>
      </c>
      <c r="C4845">
        <v>20.584240000000001</v>
      </c>
      <c r="D4845">
        <v>69</v>
      </c>
      <c r="E4845">
        <v>0</v>
      </c>
      <c r="F4845">
        <v>0</v>
      </c>
      <c r="G4845">
        <v>11</v>
      </c>
      <c r="H4845" s="4">
        <v>1570550067773</v>
      </c>
      <c r="I4845">
        <v>526.6875</v>
      </c>
      <c r="J4845" s="9">
        <f t="shared" si="75"/>
        <v>43746.954488113428</v>
      </c>
      <c r="K4845" s="1"/>
    </row>
    <row r="4846" spans="1:11" x14ac:dyDescent="0.25">
      <c r="A4846" t="e">
        <f>-Lqg43x30cD0NLLxmnud</f>
        <v>#NAME?</v>
      </c>
      <c r="B4846">
        <v>393.75</v>
      </c>
      <c r="C4846">
        <v>20.531590000000001</v>
      </c>
      <c r="D4846">
        <v>69</v>
      </c>
      <c r="E4846">
        <v>0</v>
      </c>
      <c r="F4846">
        <v>0</v>
      </c>
      <c r="G4846">
        <v>12</v>
      </c>
      <c r="H4846" s="4">
        <v>1570550073954</v>
      </c>
      <c r="I4846">
        <v>526.6875</v>
      </c>
      <c r="J4846" s="9">
        <f t="shared" si="75"/>
        <v>43746.954559652775</v>
      </c>
      <c r="K4846" s="1"/>
    </row>
    <row r="4847" spans="1:11" x14ac:dyDescent="0.25">
      <c r="A4847" t="e">
        <f>-Lqg45u3_pY1xQx2fsw1</f>
        <v>#NAME?</v>
      </c>
      <c r="B4847">
        <v>393.75</v>
      </c>
      <c r="C4847">
        <v>20.531590000000001</v>
      </c>
      <c r="D4847">
        <v>68</v>
      </c>
      <c r="E4847">
        <v>0</v>
      </c>
      <c r="F4847">
        <v>0</v>
      </c>
      <c r="G4847">
        <v>9</v>
      </c>
      <c r="H4847" s="4">
        <v>1570550082015</v>
      </c>
      <c r="I4847">
        <v>526.5</v>
      </c>
      <c r="J4847" s="9">
        <f t="shared" si="75"/>
        <v>43746.954652951383</v>
      </c>
      <c r="K4847" s="1"/>
    </row>
    <row r="4848" spans="1:11" x14ac:dyDescent="0.25">
      <c r="A4848" t="e">
        <f>-Lqg47QglM34XhdmdKGU</f>
        <v>#NAME?</v>
      </c>
      <c r="B4848">
        <v>393.75</v>
      </c>
      <c r="C4848">
        <v>20.531590000000001</v>
      </c>
      <c r="D4848">
        <v>67</v>
      </c>
      <c r="E4848">
        <v>0</v>
      </c>
      <c r="F4848">
        <v>0</v>
      </c>
      <c r="G4848">
        <v>15</v>
      </c>
      <c r="H4848" s="4">
        <v>1570550088403</v>
      </c>
      <c r="I4848">
        <v>526.6875</v>
      </c>
      <c r="J4848" s="9">
        <f t="shared" si="75"/>
        <v>43746.954726886572</v>
      </c>
      <c r="K4848" s="1"/>
    </row>
    <row r="4849" spans="1:11" x14ac:dyDescent="0.25">
      <c r="A4849" t="e">
        <f>-Lqg48x11FDn4VRpupSy</f>
        <v>#NAME?</v>
      </c>
      <c r="B4849">
        <v>393.75</v>
      </c>
      <c r="C4849">
        <v>20.531590000000001</v>
      </c>
      <c r="D4849">
        <v>67</v>
      </c>
      <c r="E4849">
        <v>0</v>
      </c>
      <c r="F4849">
        <v>0</v>
      </c>
      <c r="G4849">
        <v>15</v>
      </c>
      <c r="H4849" s="4">
        <v>1570550094573</v>
      </c>
      <c r="I4849">
        <v>526.6875</v>
      </c>
      <c r="J4849" s="9">
        <f t="shared" si="75"/>
        <v>43746.954798298604</v>
      </c>
      <c r="K4849" s="1"/>
    </row>
    <row r="4850" spans="1:11" x14ac:dyDescent="0.25">
      <c r="A4850" t="e">
        <f>-Lqg4AW2efz_qsY8sCDs</f>
        <v>#NAME?</v>
      </c>
      <c r="B4850">
        <v>393.75</v>
      </c>
      <c r="C4850">
        <v>20.478950000000001</v>
      </c>
      <c r="D4850">
        <v>67</v>
      </c>
      <c r="E4850">
        <v>0</v>
      </c>
      <c r="F4850">
        <v>0</v>
      </c>
      <c r="G4850">
        <v>3</v>
      </c>
      <c r="H4850" s="4">
        <v>1570550100753</v>
      </c>
      <c r="I4850">
        <v>526.5</v>
      </c>
      <c r="J4850" s="9">
        <f t="shared" si="75"/>
        <v>43746.95486982639</v>
      </c>
      <c r="K4850" s="1"/>
    </row>
    <row r="4851" spans="1:11" x14ac:dyDescent="0.25">
      <c r="A4851" t="e">
        <f>-Lqg4ByyIYUq_qTLpIGK</f>
        <v>#NAME?</v>
      </c>
      <c r="B4851">
        <v>393.75</v>
      </c>
      <c r="C4851">
        <v>20.478950000000001</v>
      </c>
      <c r="D4851">
        <v>67</v>
      </c>
      <c r="E4851">
        <v>0</v>
      </c>
      <c r="F4851">
        <v>0</v>
      </c>
      <c r="G4851">
        <v>5</v>
      </c>
      <c r="H4851" s="4">
        <v>1570550106915</v>
      </c>
      <c r="I4851">
        <v>526.6875</v>
      </c>
      <c r="J4851" s="9">
        <f t="shared" si="75"/>
        <v>43746.954941145836</v>
      </c>
      <c r="K4851" s="1"/>
    </row>
    <row r="4852" spans="1:11" x14ac:dyDescent="0.25">
      <c r="A4852" t="e">
        <f>-Lqg4DU3abR9auEuNSQy</f>
        <v>#NAME?</v>
      </c>
      <c r="B4852">
        <v>393.75</v>
      </c>
      <c r="C4852">
        <v>20.531590000000001</v>
      </c>
      <c r="D4852">
        <v>66</v>
      </c>
      <c r="E4852">
        <v>0</v>
      </c>
      <c r="F4852">
        <v>0</v>
      </c>
      <c r="G4852">
        <v>3</v>
      </c>
      <c r="H4852" s="4">
        <v>1570550113123</v>
      </c>
      <c r="I4852">
        <v>526.6875</v>
      </c>
      <c r="J4852" s="9">
        <f t="shared" si="75"/>
        <v>43746.955012997678</v>
      </c>
      <c r="K4852" s="1"/>
    </row>
    <row r="4853" spans="1:11" x14ac:dyDescent="0.25">
      <c r="A4853" t="e">
        <f>-Lqg4F21Xg4bF2O83E_R</f>
        <v>#NAME?</v>
      </c>
      <c r="B4853">
        <v>393.75</v>
      </c>
      <c r="C4853">
        <v>20.531590000000001</v>
      </c>
      <c r="D4853">
        <v>66</v>
      </c>
      <c r="E4853">
        <v>0</v>
      </c>
      <c r="F4853">
        <v>0</v>
      </c>
      <c r="G4853">
        <v>4</v>
      </c>
      <c r="H4853" s="4">
        <v>1570550119304</v>
      </c>
      <c r="I4853">
        <v>526.6875</v>
      </c>
      <c r="J4853" s="9">
        <f t="shared" si="75"/>
        <v>43746.955084537032</v>
      </c>
      <c r="K4853" s="1"/>
    </row>
    <row r="4854" spans="1:11" x14ac:dyDescent="0.25">
      <c r="A4854" t="e">
        <f>-Lqg4GX1QgG5h2v11PVt</f>
        <v>#NAME?</v>
      </c>
      <c r="B4854">
        <v>393.75</v>
      </c>
      <c r="C4854">
        <v>20.531590000000001</v>
      </c>
      <c r="D4854">
        <v>66</v>
      </c>
      <c r="E4854">
        <v>0</v>
      </c>
      <c r="F4854">
        <v>0</v>
      </c>
      <c r="G4854">
        <v>10</v>
      </c>
      <c r="H4854" s="4">
        <v>1570550125474</v>
      </c>
      <c r="I4854">
        <v>526.6875</v>
      </c>
      <c r="J4854" s="9">
        <f t="shared" si="75"/>
        <v>43746.955155949072</v>
      </c>
      <c r="K4854" s="1"/>
    </row>
    <row r="4855" spans="1:11" x14ac:dyDescent="0.25">
      <c r="A4855" t="e">
        <f>-Lqg4HzyTSnhSWRmqUWC</f>
        <v>#NAME?</v>
      </c>
      <c r="B4855">
        <v>412.5</v>
      </c>
      <c r="C4855">
        <v>20.531590000000001</v>
      </c>
      <c r="D4855">
        <v>65</v>
      </c>
      <c r="E4855">
        <v>0</v>
      </c>
      <c r="F4855">
        <v>0</v>
      </c>
      <c r="G4855">
        <v>9</v>
      </c>
      <c r="H4855" s="4">
        <v>1570550131673</v>
      </c>
      <c r="I4855">
        <v>532.5</v>
      </c>
      <c r="J4855" s="9">
        <f t="shared" si="75"/>
        <v>43746.955227696752</v>
      </c>
      <c r="K4855" s="1"/>
    </row>
    <row r="4856" spans="1:11" x14ac:dyDescent="0.25">
      <c r="A4856" t="e">
        <f>-Lqg4J_3kDPd8u1t4A6_</f>
        <v>#NAME?</v>
      </c>
      <c r="B4856">
        <v>393.75</v>
      </c>
      <c r="C4856">
        <v>20.584240000000001</v>
      </c>
      <c r="D4856">
        <v>66</v>
      </c>
      <c r="E4856">
        <v>0</v>
      </c>
      <c r="F4856">
        <v>0</v>
      </c>
      <c r="G4856">
        <v>3</v>
      </c>
      <c r="H4856" s="4">
        <v>1570550137853</v>
      </c>
      <c r="I4856">
        <v>526.6875</v>
      </c>
      <c r="J4856" s="9">
        <f t="shared" si="75"/>
        <v>43746.955299224537</v>
      </c>
      <c r="K4856" s="1"/>
    </row>
    <row r="4857" spans="1:11" x14ac:dyDescent="0.25">
      <c r="A4857" t="e">
        <f>-Lqg4L33mN0tsOZT6rrD</f>
        <v>#NAME?</v>
      </c>
      <c r="B4857">
        <v>393.75</v>
      </c>
      <c r="C4857">
        <v>20.478950000000001</v>
      </c>
      <c r="D4857">
        <v>66</v>
      </c>
      <c r="E4857">
        <v>0</v>
      </c>
      <c r="F4857">
        <v>0</v>
      </c>
      <c r="G4857">
        <v>6</v>
      </c>
      <c r="H4857" s="4">
        <v>1570550144034</v>
      </c>
      <c r="I4857">
        <v>526.6875</v>
      </c>
      <c r="J4857" s="9">
        <f t="shared" si="75"/>
        <v>43746.955370763892</v>
      </c>
      <c r="K4857" s="1"/>
    </row>
    <row r="4858" spans="1:11" x14ac:dyDescent="0.25">
      <c r="A4858" t="e">
        <f>-Lqg4MY2zbW0KyznoceM</f>
        <v>#NAME?</v>
      </c>
      <c r="B4858">
        <v>393.75</v>
      </c>
      <c r="C4858">
        <v>20.478950000000001</v>
      </c>
      <c r="D4858">
        <v>65</v>
      </c>
      <c r="E4858">
        <v>0</v>
      </c>
      <c r="F4858">
        <v>0</v>
      </c>
      <c r="G4858">
        <v>9</v>
      </c>
      <c r="H4858" s="4">
        <v>1570550150224</v>
      </c>
      <c r="I4858">
        <v>526.6875</v>
      </c>
      <c r="J4858" s="9">
        <f t="shared" si="75"/>
        <v>43746.955442407409</v>
      </c>
      <c r="K4858" s="1"/>
    </row>
    <row r="4859" spans="1:11" x14ac:dyDescent="0.25">
      <c r="A4859" t="e">
        <f>-Lqg4O62L2-fqrjkoA4Z</f>
        <v>#NAME?</v>
      </c>
      <c r="B4859">
        <v>393.75</v>
      </c>
      <c r="C4859">
        <v>20.531590000000001</v>
      </c>
      <c r="D4859">
        <v>66</v>
      </c>
      <c r="E4859">
        <v>0</v>
      </c>
      <c r="F4859">
        <v>0</v>
      </c>
      <c r="G4859">
        <v>13</v>
      </c>
      <c r="H4859" s="4">
        <v>1570550156416</v>
      </c>
      <c r="I4859">
        <v>526.6875</v>
      </c>
      <c r="J4859" s="9">
        <f t="shared" si="75"/>
        <v>43746.95551407407</v>
      </c>
      <c r="K4859" s="1"/>
    </row>
    <row r="4860" spans="1:11" x14ac:dyDescent="0.25">
      <c r="A4860" t="e">
        <f>-Lqg4Pp1ekscOLvRXve_</f>
        <v>#NAME?</v>
      </c>
      <c r="B4860">
        <v>393.75</v>
      </c>
      <c r="C4860">
        <v>20.584240000000001</v>
      </c>
      <c r="D4860">
        <v>67</v>
      </c>
      <c r="E4860">
        <v>0</v>
      </c>
      <c r="F4860">
        <v>0</v>
      </c>
      <c r="G4860">
        <v>10</v>
      </c>
      <c r="H4860" s="4">
        <v>1570550163603</v>
      </c>
      <c r="I4860">
        <v>526.6875</v>
      </c>
      <c r="J4860" s="9">
        <f t="shared" si="75"/>
        <v>43746.955597256943</v>
      </c>
      <c r="K4860" s="1"/>
    </row>
    <row r="4861" spans="1:11" x14ac:dyDescent="0.25">
      <c r="A4861" t="e">
        <f>-Lqg4RNaauN2WLTn2L92</f>
        <v>#NAME?</v>
      </c>
      <c r="B4861">
        <v>393.75</v>
      </c>
      <c r="C4861">
        <v>20.531590000000001</v>
      </c>
      <c r="D4861">
        <v>67</v>
      </c>
      <c r="E4861">
        <v>0</v>
      </c>
      <c r="F4861">
        <v>0</v>
      </c>
      <c r="G4861">
        <v>10</v>
      </c>
      <c r="H4861" s="4">
        <v>1570550169803</v>
      </c>
      <c r="I4861">
        <v>526.5</v>
      </c>
      <c r="J4861" s="9">
        <f t="shared" si="75"/>
        <v>43746.955669016206</v>
      </c>
      <c r="K4861" s="1"/>
    </row>
    <row r="4862" spans="1:11" x14ac:dyDescent="0.25">
      <c r="A4862" t="e">
        <f>-Lqg4TQCIXxOJBeqWeXk</f>
        <v>#NAME?</v>
      </c>
      <c r="B4862">
        <v>393.75</v>
      </c>
      <c r="C4862">
        <v>20.531590000000001</v>
      </c>
      <c r="D4862">
        <v>67</v>
      </c>
      <c r="E4862">
        <v>0</v>
      </c>
      <c r="F4862">
        <v>0</v>
      </c>
      <c r="G4862">
        <v>15</v>
      </c>
      <c r="H4862" s="4">
        <v>1570550178354</v>
      </c>
      <c r="I4862">
        <v>526.6875</v>
      </c>
      <c r="J4862" s="9">
        <f t="shared" si="75"/>
        <v>43746.95576798611</v>
      </c>
      <c r="K4862" s="1"/>
    </row>
    <row r="4863" spans="1:11" x14ac:dyDescent="0.25">
      <c r="A4863" t="e">
        <f>-Lqg4V84awQ9dQNDGsl5</f>
        <v>#NAME?</v>
      </c>
      <c r="B4863">
        <v>393.75</v>
      </c>
      <c r="C4863">
        <v>20.531590000000001</v>
      </c>
      <c r="D4863">
        <v>65</v>
      </c>
      <c r="E4863">
        <v>0</v>
      </c>
      <c r="F4863">
        <v>0</v>
      </c>
      <c r="G4863">
        <v>9</v>
      </c>
      <c r="H4863" s="4">
        <v>1570550185266</v>
      </c>
      <c r="I4863">
        <v>526.5</v>
      </c>
      <c r="J4863" s="9">
        <f t="shared" si="75"/>
        <v>43746.955847986108</v>
      </c>
      <c r="K4863" s="1"/>
    </row>
    <row r="4864" spans="1:11" x14ac:dyDescent="0.25">
      <c r="A4864" t="e">
        <f>-Lqg4Wbk5lSvtl1D9vdP</f>
        <v>#NAME?</v>
      </c>
      <c r="B4864">
        <v>393.75</v>
      </c>
      <c r="C4864">
        <v>20.531590000000001</v>
      </c>
      <c r="D4864">
        <v>65</v>
      </c>
      <c r="E4864">
        <v>0</v>
      </c>
      <c r="F4864">
        <v>0</v>
      </c>
      <c r="G4864">
        <v>4</v>
      </c>
      <c r="H4864" s="4">
        <v>1570550191443</v>
      </c>
      <c r="I4864">
        <v>526.6875</v>
      </c>
      <c r="J4864" s="9">
        <f t="shared" si="75"/>
        <v>43746.955919479165</v>
      </c>
      <c r="K4864" s="1"/>
    </row>
    <row r="4865" spans="1:11" x14ac:dyDescent="0.25">
      <c r="A4865" t="e">
        <f>-Lqg4Y9yPz5r4YDYih8A</f>
        <v>#NAME?</v>
      </c>
      <c r="B4865">
        <v>393.75</v>
      </c>
      <c r="C4865">
        <v>20.531590000000001</v>
      </c>
      <c r="D4865">
        <v>65</v>
      </c>
      <c r="E4865">
        <v>0</v>
      </c>
      <c r="F4865">
        <v>0</v>
      </c>
      <c r="G4865">
        <v>16</v>
      </c>
      <c r="H4865" s="4">
        <v>1570550197635</v>
      </c>
      <c r="I4865">
        <v>526.6875</v>
      </c>
      <c r="J4865" s="9">
        <f t="shared" si="75"/>
        <v>43746.955991145827</v>
      </c>
      <c r="K4865" s="1"/>
    </row>
    <row r="4866" spans="1:11" x14ac:dyDescent="0.25">
      <c r="A4866" t="e">
        <f>-Lqg4ZsxKaUAlJJrP4Zv</f>
        <v>#NAME?</v>
      </c>
      <c r="B4866">
        <v>393.75</v>
      </c>
      <c r="C4866">
        <v>20.478950000000001</v>
      </c>
      <c r="D4866">
        <v>65</v>
      </c>
      <c r="E4866">
        <v>0</v>
      </c>
      <c r="F4866">
        <v>0</v>
      </c>
      <c r="G4866">
        <v>14</v>
      </c>
      <c r="H4866" s="4">
        <v>1570550204844</v>
      </c>
      <c r="I4866">
        <v>526.6875</v>
      </c>
      <c r="J4866" s="9">
        <f t="shared" si="75"/>
        <v>43746.95607458333</v>
      </c>
      <c r="K4866" s="1"/>
    </row>
    <row r="4867" spans="1:11" x14ac:dyDescent="0.25">
      <c r="A4867" t="e">
        <f>-Lqg4ahCUmU73bKqBYnP</f>
        <v>#NAME?</v>
      </c>
      <c r="B4867">
        <v>393.75</v>
      </c>
      <c r="C4867">
        <v>20.584240000000001</v>
      </c>
      <c r="D4867">
        <v>68</v>
      </c>
      <c r="E4867">
        <v>0</v>
      </c>
      <c r="F4867">
        <v>0</v>
      </c>
      <c r="G4867">
        <v>14</v>
      </c>
      <c r="H4867" s="4">
        <v>1570550212053</v>
      </c>
      <c r="I4867">
        <v>526.5</v>
      </c>
      <c r="J4867" s="9">
        <f t="shared" ref="J4867:J4930" si="76">(H4867/86400000)+25569+(7/24)</f>
        <v>43746.956158020832</v>
      </c>
      <c r="K4867" s="1"/>
    </row>
    <row r="4868" spans="1:11" x14ac:dyDescent="0.25">
      <c r="A4868" t="s">
        <v>272</v>
      </c>
      <c r="B4868">
        <v>393.75</v>
      </c>
      <c r="C4868">
        <v>20.531590000000001</v>
      </c>
      <c r="D4868">
        <v>69</v>
      </c>
      <c r="E4868">
        <v>0</v>
      </c>
      <c r="F4868">
        <v>0</v>
      </c>
      <c r="G4868">
        <v>18</v>
      </c>
      <c r="H4868" s="4">
        <v>1570550219284</v>
      </c>
      <c r="I4868">
        <v>526.6875</v>
      </c>
      <c r="J4868" s="9">
        <f t="shared" si="76"/>
        <v>43746.956241712956</v>
      </c>
      <c r="K4868" s="1"/>
    </row>
    <row r="4869" spans="1:11" x14ac:dyDescent="0.25">
      <c r="A4869" t="e">
        <f>-Lqg4dz4Es6QdAm9J2et</f>
        <v>#NAME?</v>
      </c>
      <c r="B4869">
        <v>393.75</v>
      </c>
      <c r="C4869">
        <v>20.531590000000001</v>
      </c>
      <c r="D4869">
        <v>68</v>
      </c>
      <c r="E4869">
        <v>0</v>
      </c>
      <c r="F4869">
        <v>0</v>
      </c>
      <c r="G4869">
        <v>5</v>
      </c>
      <c r="H4869" s="4">
        <v>1570550225454</v>
      </c>
      <c r="I4869">
        <v>526.6875</v>
      </c>
      <c r="J4869" s="9">
        <f t="shared" si="76"/>
        <v>43746.956313124996</v>
      </c>
      <c r="K4869" s="1"/>
    </row>
    <row r="4870" spans="1:11" x14ac:dyDescent="0.25">
      <c r="A4870" t="e">
        <f>-Lqg4feanH-oOyJCSARV</f>
        <v>#NAME?</v>
      </c>
      <c r="B4870">
        <v>393.75</v>
      </c>
      <c r="C4870">
        <v>20.531590000000001</v>
      </c>
      <c r="D4870">
        <v>67</v>
      </c>
      <c r="E4870">
        <v>0</v>
      </c>
      <c r="F4870">
        <v>0</v>
      </c>
      <c r="G4870">
        <v>4</v>
      </c>
      <c r="H4870" s="4">
        <v>1570550232664</v>
      </c>
      <c r="I4870">
        <v>526.5</v>
      </c>
      <c r="J4870" s="9">
        <f t="shared" si="76"/>
        <v>43746.956396574074</v>
      </c>
      <c r="K4870" s="1"/>
    </row>
    <row r="4871" spans="1:11" x14ac:dyDescent="0.25">
      <c r="A4871" t="e">
        <f>-Lqg4h9xeqwKaa9hc8lG</f>
        <v>#NAME?</v>
      </c>
      <c r="B4871">
        <v>393.75</v>
      </c>
      <c r="C4871">
        <v>20.531590000000001</v>
      </c>
      <c r="D4871">
        <v>68</v>
      </c>
      <c r="E4871">
        <v>0</v>
      </c>
      <c r="F4871">
        <v>0</v>
      </c>
      <c r="G4871">
        <v>11</v>
      </c>
      <c r="H4871" s="4">
        <v>1570550238863</v>
      </c>
      <c r="I4871">
        <v>526.6875</v>
      </c>
      <c r="J4871" s="9">
        <f t="shared" si="76"/>
        <v>43746.956468321754</v>
      </c>
      <c r="K4871" s="1"/>
    </row>
    <row r="4872" spans="1:11" x14ac:dyDescent="0.25">
      <c r="A4872" t="e">
        <f>-Lqg4iixwmgosffwXRtT</f>
        <v>#NAME?</v>
      </c>
      <c r="B4872">
        <v>393.75</v>
      </c>
      <c r="C4872">
        <v>20.478950000000001</v>
      </c>
      <c r="D4872">
        <v>67</v>
      </c>
      <c r="E4872">
        <v>0</v>
      </c>
      <c r="F4872">
        <v>0</v>
      </c>
      <c r="G4872">
        <v>9</v>
      </c>
      <c r="H4872" s="4">
        <v>1570550245033</v>
      </c>
      <c r="I4872">
        <v>526.6875</v>
      </c>
      <c r="J4872" s="9">
        <f t="shared" si="76"/>
        <v>43746.956539733794</v>
      </c>
      <c r="K4872" s="1"/>
    </row>
    <row r="4873" spans="1:11" x14ac:dyDescent="0.25">
      <c r="A4873" t="e">
        <f>-Lqg4kT3FbBwlyAoUg1z</f>
        <v>#NAME?</v>
      </c>
      <c r="B4873">
        <v>393.75</v>
      </c>
      <c r="C4873">
        <v>20.478950000000001</v>
      </c>
      <c r="D4873">
        <v>67</v>
      </c>
      <c r="E4873">
        <v>0</v>
      </c>
      <c r="F4873">
        <v>0</v>
      </c>
      <c r="G4873">
        <v>9</v>
      </c>
      <c r="H4873" s="4">
        <v>1570550252244</v>
      </c>
      <c r="I4873">
        <v>526.6875</v>
      </c>
      <c r="J4873" s="9">
        <f t="shared" si="76"/>
        <v>43746.956623194441</v>
      </c>
      <c r="K4873" s="1"/>
    </row>
    <row r="4874" spans="1:11" x14ac:dyDescent="0.25">
      <c r="A4874" t="e">
        <f>-Lqg4m12zdb501v2naaa</f>
        <v>#NAME?</v>
      </c>
      <c r="B4874">
        <v>393.75</v>
      </c>
      <c r="C4874">
        <v>20.531590000000001</v>
      </c>
      <c r="D4874">
        <v>66</v>
      </c>
      <c r="E4874">
        <v>0</v>
      </c>
      <c r="F4874">
        <v>0</v>
      </c>
      <c r="G4874">
        <v>3</v>
      </c>
      <c r="H4874" s="4">
        <v>1570550258424</v>
      </c>
      <c r="I4874">
        <v>526.6875</v>
      </c>
      <c r="J4874" s="9">
        <f t="shared" si="76"/>
        <v>43746.956694722219</v>
      </c>
      <c r="K4874" s="1"/>
    </row>
    <row r="4875" spans="1:11" x14ac:dyDescent="0.25">
      <c r="A4875" t="e">
        <f>-Lqg4o-KKn0D8Pp4Elst</f>
        <v>#NAME?</v>
      </c>
      <c r="B4875">
        <v>393.75</v>
      </c>
      <c r="C4875">
        <v>20.584240000000001</v>
      </c>
      <c r="D4875">
        <v>65</v>
      </c>
      <c r="E4875">
        <v>0</v>
      </c>
      <c r="F4875">
        <v>0</v>
      </c>
      <c r="G4875">
        <v>19</v>
      </c>
      <c r="H4875" s="4">
        <v>1570550266503</v>
      </c>
      <c r="I4875">
        <v>526.6875</v>
      </c>
      <c r="J4875" s="9">
        <f t="shared" si="76"/>
        <v>43746.956788229167</v>
      </c>
      <c r="K4875" s="1"/>
    </row>
    <row r="4876" spans="1:11" x14ac:dyDescent="0.25">
      <c r="A4876" t="e">
        <f>-Lqg4pY28HAg4qSzvUmK</f>
        <v>#NAME?</v>
      </c>
      <c r="B4876">
        <v>393.75</v>
      </c>
      <c r="C4876">
        <v>20.531590000000001</v>
      </c>
      <c r="D4876">
        <v>65</v>
      </c>
      <c r="E4876">
        <v>0</v>
      </c>
      <c r="F4876">
        <v>0</v>
      </c>
      <c r="G4876">
        <v>14</v>
      </c>
      <c r="H4876" s="4">
        <v>1570550272834</v>
      </c>
      <c r="I4876">
        <v>526.6875</v>
      </c>
      <c r="J4876" s="9">
        <f t="shared" si="76"/>
        <v>43746.956861504623</v>
      </c>
      <c r="K4876" s="1"/>
    </row>
    <row r="4877" spans="1:11" x14ac:dyDescent="0.25">
      <c r="A4877" t="e">
        <f>-Lqg4rGCC4n36e51QctK</f>
        <v>#NAME?</v>
      </c>
      <c r="B4877">
        <v>393.75</v>
      </c>
      <c r="C4877">
        <v>20.531590000000001</v>
      </c>
      <c r="D4877">
        <v>66</v>
      </c>
      <c r="E4877">
        <v>0</v>
      </c>
      <c r="F4877">
        <v>0</v>
      </c>
      <c r="G4877">
        <v>8</v>
      </c>
      <c r="H4877" s="4">
        <v>1570550280085</v>
      </c>
      <c r="I4877">
        <v>526.6875</v>
      </c>
      <c r="J4877" s="9">
        <f t="shared" si="76"/>
        <v>43746.956945428239</v>
      </c>
      <c r="K4877" s="1"/>
    </row>
    <row r="4878" spans="1:11" x14ac:dyDescent="0.25">
      <c r="A4878" t="e">
        <f>-Lqg4t34WdfxPzH4ujYd</f>
        <v>#NAME?</v>
      </c>
      <c r="B4878">
        <v>393.75</v>
      </c>
      <c r="C4878">
        <v>20.584240000000001</v>
      </c>
      <c r="D4878">
        <v>67</v>
      </c>
      <c r="E4878">
        <v>0</v>
      </c>
      <c r="F4878">
        <v>0</v>
      </c>
      <c r="G4878">
        <v>10</v>
      </c>
      <c r="H4878" s="4">
        <v>1570550287283</v>
      </c>
      <c r="I4878">
        <v>526.6875</v>
      </c>
      <c r="J4878" s="9">
        <f t="shared" si="76"/>
        <v>43746.957028738419</v>
      </c>
      <c r="K4878" s="1"/>
    </row>
    <row r="4879" spans="1:11" x14ac:dyDescent="0.25">
      <c r="A4879" t="e">
        <f>-Lqg4um4_XULlzfzmBt9</f>
        <v>#NAME?</v>
      </c>
      <c r="B4879">
        <v>393.75</v>
      </c>
      <c r="C4879">
        <v>20.584240000000001</v>
      </c>
      <c r="D4879">
        <v>67</v>
      </c>
      <c r="E4879">
        <v>0</v>
      </c>
      <c r="F4879">
        <v>0</v>
      </c>
      <c r="G4879">
        <v>14</v>
      </c>
      <c r="H4879" s="4">
        <v>1570550294485</v>
      </c>
      <c r="I4879">
        <v>526.5</v>
      </c>
      <c r="J4879" s="9">
        <f t="shared" si="76"/>
        <v>43746.957112094904</v>
      </c>
      <c r="K4879" s="1"/>
    </row>
    <row r="4880" spans="1:11" x14ac:dyDescent="0.25">
      <c r="A4880" t="e">
        <f>-Lqg4wfdE1jN3ea90fl1</f>
        <v>#NAME?</v>
      </c>
      <c r="B4880">
        <v>393.75</v>
      </c>
      <c r="C4880">
        <v>20.531590000000001</v>
      </c>
      <c r="D4880">
        <v>67</v>
      </c>
      <c r="E4880">
        <v>0</v>
      </c>
      <c r="F4880">
        <v>0</v>
      </c>
      <c r="G4880">
        <v>7</v>
      </c>
      <c r="H4880" s="4">
        <v>1570550302195</v>
      </c>
      <c r="I4880">
        <v>526.6875</v>
      </c>
      <c r="J4880" s="9">
        <f t="shared" si="76"/>
        <v>43746.957201331017</v>
      </c>
      <c r="K4880" s="1"/>
    </row>
    <row r="4881" spans="1:11" x14ac:dyDescent="0.25">
      <c r="A4881" t="e">
        <f>-Lqg4yI25w1h2kraQz2e</f>
        <v>#NAME?</v>
      </c>
      <c r="B4881">
        <v>393.75</v>
      </c>
      <c r="C4881">
        <v>20.531590000000001</v>
      </c>
      <c r="D4881">
        <v>67</v>
      </c>
      <c r="E4881">
        <v>0</v>
      </c>
      <c r="F4881">
        <v>0</v>
      </c>
      <c r="G4881">
        <v>11</v>
      </c>
      <c r="H4881" s="4">
        <v>1570550308944</v>
      </c>
      <c r="I4881">
        <v>526.6875</v>
      </c>
      <c r="J4881" s="9">
        <f t="shared" si="76"/>
        <v>43746.957279444447</v>
      </c>
      <c r="K4881" s="1"/>
    </row>
    <row r="4882" spans="1:11" x14ac:dyDescent="0.25">
      <c r="A4882" t="e">
        <f>-Lqg4zm251w2Z188wun9</f>
        <v>#NAME?</v>
      </c>
      <c r="B4882">
        <v>393.75</v>
      </c>
      <c r="C4882">
        <v>20.478950000000001</v>
      </c>
      <c r="D4882">
        <v>67</v>
      </c>
      <c r="E4882">
        <v>0</v>
      </c>
      <c r="F4882">
        <v>0</v>
      </c>
      <c r="G4882">
        <v>8</v>
      </c>
      <c r="H4882" s="4">
        <v>1570550315113</v>
      </c>
      <c r="I4882">
        <v>526.6875</v>
      </c>
      <c r="J4882" s="9">
        <f t="shared" si="76"/>
        <v>43746.957350844903</v>
      </c>
      <c r="K4882" s="1"/>
    </row>
    <row r="4883" spans="1:11" x14ac:dyDescent="0.25">
      <c r="A4883" t="s">
        <v>273</v>
      </c>
      <c r="B4883">
        <v>393.75</v>
      </c>
      <c r="C4883">
        <v>20.531590000000001</v>
      </c>
      <c r="D4883">
        <v>66</v>
      </c>
      <c r="E4883">
        <v>0</v>
      </c>
      <c r="F4883">
        <v>0</v>
      </c>
      <c r="G4883">
        <v>3</v>
      </c>
      <c r="H4883" s="4">
        <v>1570550321295</v>
      </c>
      <c r="I4883">
        <v>526.6875</v>
      </c>
      <c r="J4883" s="9">
        <f t="shared" si="76"/>
        <v>43746.957422395826</v>
      </c>
      <c r="K4883" s="1"/>
    </row>
    <row r="4884" spans="1:11" x14ac:dyDescent="0.25">
      <c r="A4884" t="e">
        <f>-Lqg51p4Q0IR2f9ItjbF</f>
        <v>#NAME?</v>
      </c>
      <c r="B4884">
        <v>431.25</v>
      </c>
      <c r="C4884">
        <v>20.531590000000001</v>
      </c>
      <c r="D4884">
        <v>70</v>
      </c>
      <c r="E4884">
        <v>0</v>
      </c>
      <c r="F4884">
        <v>0</v>
      </c>
      <c r="G4884">
        <v>7</v>
      </c>
      <c r="H4884" s="4">
        <v>1570550327454</v>
      </c>
      <c r="I4884">
        <v>538.3125</v>
      </c>
      <c r="J4884" s="9">
        <f t="shared" si="76"/>
        <v>43746.957493680551</v>
      </c>
      <c r="K4884" s="1"/>
    </row>
    <row r="4885" spans="1:11" x14ac:dyDescent="0.25">
      <c r="A4885" t="e">
        <f>-Lqg53MxF8YTqmP95rT0</f>
        <v>#NAME?</v>
      </c>
      <c r="B4885">
        <v>393.75</v>
      </c>
      <c r="C4885">
        <v>20.531590000000001</v>
      </c>
      <c r="D4885">
        <v>72</v>
      </c>
      <c r="E4885">
        <v>0</v>
      </c>
      <c r="F4885">
        <v>0</v>
      </c>
      <c r="G4885">
        <v>9</v>
      </c>
      <c r="H4885" s="4">
        <v>1570550333665</v>
      </c>
      <c r="I4885">
        <v>526.6875</v>
      </c>
      <c r="J4885" s="9">
        <f t="shared" si="76"/>
        <v>43746.957565567129</v>
      </c>
      <c r="K4885" s="1"/>
    </row>
    <row r="4886" spans="1:11" x14ac:dyDescent="0.25">
      <c r="A4886" t="e">
        <f>-Lqg5562AEN7zrVJ-cHD</f>
        <v>#NAME?</v>
      </c>
      <c r="B4886">
        <v>393.75</v>
      </c>
      <c r="C4886">
        <v>20.531590000000001</v>
      </c>
      <c r="D4886">
        <v>69</v>
      </c>
      <c r="E4886">
        <v>0</v>
      </c>
      <c r="F4886">
        <v>0</v>
      </c>
      <c r="G4886">
        <v>8</v>
      </c>
      <c r="H4886" s="4">
        <v>1570550340883</v>
      </c>
      <c r="I4886">
        <v>526.6875</v>
      </c>
      <c r="J4886" s="9">
        <f t="shared" si="76"/>
        <v>43746.957649108794</v>
      </c>
      <c r="K4886" s="1"/>
    </row>
    <row r="4887" spans="1:11" x14ac:dyDescent="0.25">
      <c r="A4887" t="e">
        <f>-Lqg56e6yQxQeZ-U8HUh</f>
        <v>#NAME?</v>
      </c>
      <c r="B4887">
        <v>393.75</v>
      </c>
      <c r="C4887">
        <v>20.531590000000001</v>
      </c>
      <c r="D4887">
        <v>68</v>
      </c>
      <c r="E4887">
        <v>0</v>
      </c>
      <c r="F4887">
        <v>0</v>
      </c>
      <c r="G4887">
        <v>12</v>
      </c>
      <c r="H4887" s="4">
        <v>1570550347065</v>
      </c>
      <c r="I4887">
        <v>526.5</v>
      </c>
      <c r="J4887" s="9">
        <f t="shared" si="76"/>
        <v>43746.957720659724</v>
      </c>
      <c r="K4887" s="1"/>
    </row>
    <row r="4888" spans="1:11" x14ac:dyDescent="0.25">
      <c r="A4888" t="e">
        <f>-Lqg58O3FzeAzf4Ad0PO</f>
        <v>#NAME?</v>
      </c>
      <c r="B4888">
        <v>393.75</v>
      </c>
      <c r="C4888">
        <v>20.531590000000001</v>
      </c>
      <c r="D4888">
        <v>68</v>
      </c>
      <c r="E4888">
        <v>0</v>
      </c>
      <c r="F4888">
        <v>0</v>
      </c>
      <c r="G4888">
        <v>7</v>
      </c>
      <c r="H4888" s="4">
        <v>1570550354273</v>
      </c>
      <c r="I4888">
        <v>526.6875</v>
      </c>
      <c r="J4888" s="9">
        <f t="shared" si="76"/>
        <v>43746.95780408565</v>
      </c>
      <c r="K4888" s="1"/>
    </row>
    <row r="4889" spans="1:11" x14ac:dyDescent="0.25">
      <c r="A4889" t="e">
        <f>-Lqg59s27rgsYsqSsDsx</f>
        <v>#NAME?</v>
      </c>
      <c r="B4889">
        <v>393.75</v>
      </c>
      <c r="C4889">
        <v>20.478950000000001</v>
      </c>
      <c r="D4889">
        <v>66</v>
      </c>
      <c r="E4889">
        <v>0</v>
      </c>
      <c r="F4889">
        <v>0</v>
      </c>
      <c r="G4889">
        <v>10</v>
      </c>
      <c r="H4889" s="4">
        <v>1570550360477</v>
      </c>
      <c r="I4889">
        <v>526.6875</v>
      </c>
      <c r="J4889" s="9">
        <f t="shared" si="76"/>
        <v>43746.957875891203</v>
      </c>
      <c r="K4889" s="1"/>
    </row>
    <row r="4890" spans="1:11" x14ac:dyDescent="0.25">
      <c r="A4890" t="e">
        <f>-Lqg5BS178P7_vtEyqDy</f>
        <v>#NAME?</v>
      </c>
      <c r="B4890">
        <v>393.75</v>
      </c>
      <c r="C4890">
        <v>20.531590000000001</v>
      </c>
      <c r="D4890">
        <v>65</v>
      </c>
      <c r="E4890">
        <v>0</v>
      </c>
      <c r="F4890">
        <v>0</v>
      </c>
      <c r="G4890">
        <v>6</v>
      </c>
      <c r="H4890" s="4">
        <v>1570550366645</v>
      </c>
      <c r="I4890">
        <v>526.6875</v>
      </c>
      <c r="J4890" s="9">
        <f t="shared" si="76"/>
        <v>43746.957947280091</v>
      </c>
      <c r="K4890" s="1"/>
    </row>
    <row r="4891" spans="1:11" x14ac:dyDescent="0.25">
      <c r="A4891" t="e">
        <f>-Lqg5D92ZZwvxF65OrT5</f>
        <v>#NAME?</v>
      </c>
      <c r="B4891">
        <v>412.5</v>
      </c>
      <c r="C4891">
        <v>20.478950000000001</v>
      </c>
      <c r="D4891">
        <v>65</v>
      </c>
      <c r="E4891">
        <v>0</v>
      </c>
      <c r="F4891">
        <v>0</v>
      </c>
      <c r="G4891">
        <v>10</v>
      </c>
      <c r="H4891" s="4">
        <v>1570550373847</v>
      </c>
      <c r="I4891">
        <v>532.125</v>
      </c>
      <c r="J4891" s="9">
        <f t="shared" si="76"/>
        <v>43746.958030636575</v>
      </c>
      <c r="K4891" s="1"/>
    </row>
    <row r="4892" spans="1:11" x14ac:dyDescent="0.25">
      <c r="A4892" t="e">
        <f>-Lqg5Ei2BPtHEt_6lIoO</f>
        <v>#NAME?</v>
      </c>
      <c r="B4892">
        <v>393.75</v>
      </c>
      <c r="C4892">
        <v>20.531590000000001</v>
      </c>
      <c r="D4892">
        <v>66</v>
      </c>
      <c r="E4892">
        <v>0</v>
      </c>
      <c r="F4892">
        <v>0</v>
      </c>
      <c r="G4892">
        <v>14</v>
      </c>
      <c r="H4892" s="4">
        <v>1570550380035</v>
      </c>
      <c r="I4892">
        <v>526.6875</v>
      </c>
      <c r="J4892" s="9">
        <f t="shared" si="76"/>
        <v>43746.95810225694</v>
      </c>
      <c r="K4892" s="1"/>
    </row>
    <row r="4893" spans="1:11" x14ac:dyDescent="0.25">
      <c r="A4893" t="e">
        <f>-Lqg5GR2J7jPqq6S74dU</f>
        <v>#NAME?</v>
      </c>
      <c r="B4893">
        <v>393.75</v>
      </c>
      <c r="C4893">
        <v>20.478950000000001</v>
      </c>
      <c r="D4893">
        <v>66</v>
      </c>
      <c r="E4893">
        <v>0</v>
      </c>
      <c r="F4893">
        <v>0</v>
      </c>
      <c r="G4893">
        <v>19</v>
      </c>
      <c r="H4893" s="4">
        <v>1570550387254</v>
      </c>
      <c r="I4893">
        <v>526.5</v>
      </c>
      <c r="J4893" s="9">
        <f t="shared" si="76"/>
        <v>43746.958185810181</v>
      </c>
      <c r="K4893" s="1"/>
    </row>
    <row r="4894" spans="1:11" x14ac:dyDescent="0.25">
      <c r="A4894" t="e">
        <f>-Lqg5Hv2VJhb4CyUcVNf</f>
        <v>#NAME?</v>
      </c>
      <c r="B4894">
        <v>393.75</v>
      </c>
      <c r="C4894">
        <v>20.531590000000001</v>
      </c>
      <c r="D4894">
        <v>66</v>
      </c>
      <c r="E4894">
        <v>0</v>
      </c>
      <c r="F4894">
        <v>0</v>
      </c>
      <c r="G4894">
        <v>10</v>
      </c>
      <c r="H4894" s="4">
        <v>1570550393435</v>
      </c>
      <c r="I4894">
        <v>526.6875</v>
      </c>
      <c r="J4894" s="9">
        <f t="shared" si="76"/>
        <v>43746.958257349535</v>
      </c>
      <c r="K4894" s="1"/>
    </row>
    <row r="4895" spans="1:11" x14ac:dyDescent="0.25">
      <c r="A4895" t="e">
        <f>-Lqg5JknFlMohs151mgI</f>
        <v>#NAME?</v>
      </c>
      <c r="B4895">
        <v>393.75</v>
      </c>
      <c r="C4895">
        <v>20.531590000000001</v>
      </c>
      <c r="D4895">
        <v>66</v>
      </c>
      <c r="E4895">
        <v>0</v>
      </c>
      <c r="F4895">
        <v>0</v>
      </c>
      <c r="G4895">
        <v>14</v>
      </c>
      <c r="H4895" s="4">
        <v>1570550399626</v>
      </c>
      <c r="I4895">
        <v>526.5</v>
      </c>
      <c r="J4895" s="9">
        <f t="shared" si="76"/>
        <v>43746.958329004628</v>
      </c>
      <c r="K4895" s="1"/>
    </row>
    <row r="4896" spans="1:11" x14ac:dyDescent="0.25">
      <c r="A4896" t="e">
        <f>-Lqg5LW2qWqi3G8DXcPt</f>
        <v>#NAME?</v>
      </c>
      <c r="B4896">
        <v>393.75</v>
      </c>
      <c r="C4896">
        <v>20.531590000000001</v>
      </c>
      <c r="D4896">
        <v>66</v>
      </c>
      <c r="E4896">
        <v>0</v>
      </c>
      <c r="F4896">
        <v>0</v>
      </c>
      <c r="G4896">
        <v>10</v>
      </c>
      <c r="H4896" s="4">
        <v>1570550407863</v>
      </c>
      <c r="I4896">
        <v>526.6875</v>
      </c>
      <c r="J4896" s="9">
        <f t="shared" si="76"/>
        <v>43746.958424340271</v>
      </c>
      <c r="K4896" s="1"/>
    </row>
    <row r="4897" spans="1:11" x14ac:dyDescent="0.25">
      <c r="A4897" t="e">
        <f>-Lqg5Nm38uXAY14sSyLK</f>
        <v>#NAME?</v>
      </c>
      <c r="B4897">
        <v>393.75</v>
      </c>
      <c r="C4897">
        <v>20.478950000000001</v>
      </c>
      <c r="D4897">
        <v>66</v>
      </c>
      <c r="E4897">
        <v>0</v>
      </c>
      <c r="F4897">
        <v>0</v>
      </c>
      <c r="G4897">
        <v>11</v>
      </c>
      <c r="H4897" s="4">
        <v>1570550417165</v>
      </c>
      <c r="I4897">
        <v>526.6875</v>
      </c>
      <c r="J4897" s="9">
        <f t="shared" si="76"/>
        <v>43746.958532002311</v>
      </c>
      <c r="K4897" s="1"/>
    </row>
    <row r="4898" spans="1:11" x14ac:dyDescent="0.25">
      <c r="A4898" t="e">
        <f>-Lqg5PTnS3qiGUglAhKk</f>
        <v>#NAME?</v>
      </c>
      <c r="B4898">
        <v>393.75</v>
      </c>
      <c r="C4898">
        <v>20.531590000000001</v>
      </c>
      <c r="D4898">
        <v>66</v>
      </c>
      <c r="E4898">
        <v>0</v>
      </c>
      <c r="F4898">
        <v>0</v>
      </c>
      <c r="G4898">
        <v>2</v>
      </c>
      <c r="H4898" s="4">
        <v>1570550424353</v>
      </c>
      <c r="I4898">
        <v>526.6875</v>
      </c>
      <c r="J4898" s="9">
        <f t="shared" si="76"/>
        <v>43746.95861519676</v>
      </c>
      <c r="K4898" s="1"/>
    </row>
    <row r="4899" spans="1:11" x14ac:dyDescent="0.25">
      <c r="A4899" t="e">
        <f>-Lqg5Qz20fjA8wBg1z4V</f>
        <v>#NAME?</v>
      </c>
      <c r="B4899">
        <v>393.75</v>
      </c>
      <c r="C4899">
        <v>20.531590000000001</v>
      </c>
      <c r="D4899">
        <v>66</v>
      </c>
      <c r="E4899">
        <v>0</v>
      </c>
      <c r="F4899">
        <v>0</v>
      </c>
      <c r="G4899">
        <v>7</v>
      </c>
      <c r="H4899" s="4">
        <v>1570550430553</v>
      </c>
      <c r="I4899">
        <v>526.6875</v>
      </c>
      <c r="J4899" s="9">
        <f t="shared" si="76"/>
        <v>43746.958686956015</v>
      </c>
      <c r="K4899" s="1"/>
    </row>
    <row r="4900" spans="1:11" x14ac:dyDescent="0.25">
      <c r="A4900" t="e">
        <f>-Lqg5SY2TKcK8fdEklKv</f>
        <v>#NAME?</v>
      </c>
      <c r="B4900">
        <v>393.75</v>
      </c>
      <c r="C4900">
        <v>20.531590000000001</v>
      </c>
      <c r="D4900">
        <v>68</v>
      </c>
      <c r="E4900">
        <v>0</v>
      </c>
      <c r="F4900">
        <v>0</v>
      </c>
      <c r="G4900">
        <v>14</v>
      </c>
      <c r="H4900" s="4">
        <v>1570550436713</v>
      </c>
      <c r="I4900">
        <v>526.6875</v>
      </c>
      <c r="J4900" s="9">
        <f t="shared" si="76"/>
        <v>43746.958758252316</v>
      </c>
      <c r="K4900" s="1"/>
    </row>
    <row r="4901" spans="1:11" x14ac:dyDescent="0.25">
      <c r="A4901" t="e">
        <f>-Lqg5UDoP9AHkOM_wv_K</f>
        <v>#NAME?</v>
      </c>
      <c r="B4901">
        <v>393.75</v>
      </c>
      <c r="C4901">
        <v>20.478950000000001</v>
      </c>
      <c r="D4901">
        <v>69</v>
      </c>
      <c r="E4901">
        <v>0</v>
      </c>
      <c r="F4901">
        <v>0</v>
      </c>
      <c r="G4901">
        <v>10</v>
      </c>
      <c r="H4901" s="4">
        <v>1570550443921</v>
      </c>
      <c r="I4901">
        <v>526.5</v>
      </c>
      <c r="J4901" s="9">
        <f t="shared" si="76"/>
        <v>43746.958841678243</v>
      </c>
      <c r="K4901" s="1"/>
    </row>
    <row r="4902" spans="1:11" x14ac:dyDescent="0.25">
      <c r="A4902" t="e">
        <f>-Lqg5W23YU47H-yt7H_V</f>
        <v>#NAME?</v>
      </c>
      <c r="B4902">
        <v>393.75</v>
      </c>
      <c r="C4902">
        <v>20.531590000000001</v>
      </c>
      <c r="D4902">
        <v>67</v>
      </c>
      <c r="E4902">
        <v>0</v>
      </c>
      <c r="F4902">
        <v>0</v>
      </c>
      <c r="G4902">
        <v>3</v>
      </c>
      <c r="H4902" s="4">
        <v>1570550451143</v>
      </c>
      <c r="I4902">
        <v>526.6875</v>
      </c>
      <c r="J4902" s="9">
        <f t="shared" si="76"/>
        <v>43746.958925266204</v>
      </c>
      <c r="K4902" s="1"/>
    </row>
    <row r="4903" spans="1:11" x14ac:dyDescent="0.25">
      <c r="A4903" t="e">
        <f>-Lqg5Xm17rWCXpiBSm7M</f>
        <v>#NAME?</v>
      </c>
      <c r="B4903">
        <v>393.75</v>
      </c>
      <c r="C4903">
        <v>20.478950000000001</v>
      </c>
      <c r="D4903">
        <v>65</v>
      </c>
      <c r="E4903">
        <v>0</v>
      </c>
      <c r="F4903">
        <v>0</v>
      </c>
      <c r="G4903">
        <v>13</v>
      </c>
      <c r="H4903" s="4">
        <v>1570550458333</v>
      </c>
      <c r="I4903">
        <v>526.6875</v>
      </c>
      <c r="J4903" s="9">
        <f t="shared" si="76"/>
        <v>43746.959008483791</v>
      </c>
      <c r="K4903" s="1"/>
    </row>
    <row r="4904" spans="1:11" x14ac:dyDescent="0.25">
      <c r="A4904" t="e">
        <f>-Lqg5ZL1Fvrd9n2THPil</f>
        <v>#NAME?</v>
      </c>
      <c r="B4904">
        <v>393.75</v>
      </c>
      <c r="C4904">
        <v>20.531590000000001</v>
      </c>
      <c r="D4904">
        <v>68</v>
      </c>
      <c r="E4904">
        <v>0</v>
      </c>
      <c r="F4904">
        <v>0</v>
      </c>
      <c r="G4904">
        <v>15</v>
      </c>
      <c r="H4904" s="4">
        <v>1570550464541</v>
      </c>
      <c r="I4904">
        <v>526.6875</v>
      </c>
      <c r="J4904" s="9">
        <f t="shared" si="76"/>
        <v>43746.959080335648</v>
      </c>
      <c r="K4904" s="1"/>
    </row>
    <row r="4905" spans="1:11" x14ac:dyDescent="0.25">
      <c r="A4905" t="e">
        <f>-Lqg5a0hXkxJm4qu_RuC</f>
        <v>#NAME?</v>
      </c>
      <c r="B4905">
        <v>393.75</v>
      </c>
      <c r="C4905">
        <v>20.478950000000001</v>
      </c>
      <c r="D4905">
        <v>70</v>
      </c>
      <c r="E4905">
        <v>0</v>
      </c>
      <c r="F4905">
        <v>0</v>
      </c>
      <c r="G4905">
        <v>12</v>
      </c>
      <c r="H4905" s="4">
        <v>1570550471762</v>
      </c>
      <c r="I4905">
        <v>526.6875</v>
      </c>
      <c r="J4905" s="9">
        <f t="shared" si="76"/>
        <v>43746.959163912034</v>
      </c>
      <c r="K4905" s="1"/>
    </row>
    <row r="4906" spans="1:11" x14ac:dyDescent="0.25">
      <c r="A4906" t="e">
        <f>-Lqg5bbsoxHG1D6Cxs1h</f>
        <v>#NAME?</v>
      </c>
      <c r="B4906">
        <v>393.75</v>
      </c>
      <c r="C4906">
        <v>20.478950000000001</v>
      </c>
      <c r="D4906">
        <v>70</v>
      </c>
      <c r="E4906">
        <v>0</v>
      </c>
      <c r="F4906">
        <v>0</v>
      </c>
      <c r="G4906">
        <v>12</v>
      </c>
      <c r="H4906" s="4">
        <v>1570550477942</v>
      </c>
      <c r="I4906">
        <v>526.6875</v>
      </c>
      <c r="J4906" s="9">
        <f t="shared" si="76"/>
        <v>43746.959235439812</v>
      </c>
      <c r="K4906" s="1"/>
    </row>
    <row r="4907" spans="1:11" x14ac:dyDescent="0.25">
      <c r="A4907" t="e">
        <f>-Lqg5dJSdq4Ai1Bl2guM</f>
        <v>#NAME?</v>
      </c>
      <c r="B4907">
        <v>393.75</v>
      </c>
      <c r="C4907">
        <v>20.531590000000001</v>
      </c>
      <c r="D4907">
        <v>71</v>
      </c>
      <c r="E4907">
        <v>0</v>
      </c>
      <c r="F4907">
        <v>0</v>
      </c>
      <c r="G4907">
        <v>10</v>
      </c>
      <c r="H4907" s="4">
        <v>1570550485151</v>
      </c>
      <c r="I4907">
        <v>526.6875</v>
      </c>
      <c r="J4907" s="9">
        <f t="shared" si="76"/>
        <v>43746.959318877307</v>
      </c>
      <c r="K4907" s="1"/>
    </row>
    <row r="4908" spans="1:11" x14ac:dyDescent="0.25">
      <c r="A4908" t="e">
        <f>-Lqg5f6wbqgaHFyjv1XS</f>
        <v>#NAME?</v>
      </c>
      <c r="B4908">
        <v>393.75</v>
      </c>
      <c r="C4908">
        <v>20.531590000000001</v>
      </c>
      <c r="D4908">
        <v>71</v>
      </c>
      <c r="E4908">
        <v>0</v>
      </c>
      <c r="F4908">
        <v>0</v>
      </c>
      <c r="G4908">
        <v>1</v>
      </c>
      <c r="H4908" s="4">
        <v>1570550492497</v>
      </c>
      <c r="I4908">
        <v>526.6875</v>
      </c>
      <c r="J4908" s="9">
        <f t="shared" si="76"/>
        <v>43746.959403900466</v>
      </c>
      <c r="K4908" s="1"/>
    </row>
    <row r="4909" spans="1:11" x14ac:dyDescent="0.25">
      <c r="A4909" t="s">
        <v>274</v>
      </c>
      <c r="B4909">
        <v>412.5</v>
      </c>
      <c r="C4909">
        <v>20.584240000000001</v>
      </c>
      <c r="D4909">
        <v>71</v>
      </c>
      <c r="E4909">
        <v>0</v>
      </c>
      <c r="F4909">
        <v>0</v>
      </c>
      <c r="G4909">
        <v>9</v>
      </c>
      <c r="H4909" s="4">
        <v>1570550499156</v>
      </c>
      <c r="I4909">
        <v>532.3125</v>
      </c>
      <c r="J4909" s="9">
        <f t="shared" si="76"/>
        <v>43746.959480972218</v>
      </c>
      <c r="K4909" s="1"/>
    </row>
    <row r="4910" spans="1:11" x14ac:dyDescent="0.25">
      <c r="A4910" t="e">
        <f>-Lqg5iJwiqvcnbiVxw6p</f>
        <v>#NAME?</v>
      </c>
      <c r="B4910">
        <v>393.75</v>
      </c>
      <c r="C4910">
        <v>20.478950000000001</v>
      </c>
      <c r="D4910">
        <v>68</v>
      </c>
      <c r="E4910">
        <v>0</v>
      </c>
      <c r="F4910">
        <v>0</v>
      </c>
      <c r="G4910">
        <v>10</v>
      </c>
      <c r="H4910" s="4">
        <v>1570550505763</v>
      </c>
      <c r="I4910">
        <v>526.6875</v>
      </c>
      <c r="J4910" s="9">
        <f t="shared" si="76"/>
        <v>43746.959557442126</v>
      </c>
      <c r="K4910" s="1"/>
    </row>
    <row r="4911" spans="1:11" x14ac:dyDescent="0.25">
      <c r="A4911" t="e">
        <f>-Lqg5jsxlauw7p0qU0Ue</f>
        <v>#NAME?</v>
      </c>
      <c r="B4911">
        <v>393.75</v>
      </c>
      <c r="C4911">
        <v>20.531590000000001</v>
      </c>
      <c r="D4911">
        <v>68</v>
      </c>
      <c r="E4911">
        <v>0</v>
      </c>
      <c r="F4911">
        <v>0</v>
      </c>
      <c r="G4911">
        <v>5</v>
      </c>
      <c r="H4911" s="4">
        <v>1570550511942</v>
      </c>
      <c r="I4911">
        <v>526.6875</v>
      </c>
      <c r="J4911" s="9">
        <f t="shared" si="76"/>
        <v>43746.959628958335</v>
      </c>
      <c r="K4911" s="1"/>
    </row>
    <row r="4912" spans="1:11" x14ac:dyDescent="0.25">
      <c r="A4912" t="s">
        <v>275</v>
      </c>
      <c r="B4912">
        <v>393.75</v>
      </c>
      <c r="C4912">
        <v>20.584240000000001</v>
      </c>
      <c r="D4912">
        <v>68</v>
      </c>
      <c r="E4912">
        <v>0</v>
      </c>
      <c r="F4912">
        <v>0</v>
      </c>
      <c r="G4912">
        <v>7</v>
      </c>
      <c r="H4912" s="4">
        <v>1570550518132</v>
      </c>
      <c r="I4912">
        <v>526.6875</v>
      </c>
      <c r="J4912" s="9">
        <f t="shared" si="76"/>
        <v>43746.959700601852</v>
      </c>
      <c r="K4912" s="1"/>
    </row>
    <row r="4913" spans="1:11" x14ac:dyDescent="0.25">
      <c r="A4913" t="e">
        <f>-Lqg5n8fXf93en0HT2G2</f>
        <v>#NAME?</v>
      </c>
      <c r="B4913">
        <v>393.75</v>
      </c>
      <c r="C4913">
        <v>20.531590000000001</v>
      </c>
      <c r="D4913">
        <v>68</v>
      </c>
      <c r="E4913">
        <v>0</v>
      </c>
      <c r="F4913">
        <v>0</v>
      </c>
      <c r="G4913">
        <v>10</v>
      </c>
      <c r="H4913" s="4">
        <v>1570550524311</v>
      </c>
      <c r="I4913">
        <v>526.6875</v>
      </c>
      <c r="J4913" s="9">
        <f t="shared" si="76"/>
        <v>43746.959772118054</v>
      </c>
      <c r="K4913" s="1"/>
    </row>
    <row r="4914" spans="1:11" x14ac:dyDescent="0.25">
      <c r="A4914" t="e">
        <f>-Lqg5ogHs03FFMTKtFKz</f>
        <v>#NAME?</v>
      </c>
      <c r="B4914">
        <v>393.75</v>
      </c>
      <c r="C4914">
        <v>20.478950000000001</v>
      </c>
      <c r="D4914">
        <v>68</v>
      </c>
      <c r="E4914">
        <v>0</v>
      </c>
      <c r="F4914">
        <v>0</v>
      </c>
      <c r="G4914">
        <v>14</v>
      </c>
      <c r="H4914" s="4">
        <v>1570550531532</v>
      </c>
      <c r="I4914">
        <v>526.6875</v>
      </c>
      <c r="J4914" s="9">
        <f t="shared" si="76"/>
        <v>43746.959855694447</v>
      </c>
      <c r="K4914" s="1"/>
    </row>
    <row r="4915" spans="1:11" x14ac:dyDescent="0.25">
      <c r="A4915" t="e">
        <f>-Lqg5qRwEH7SBqx1xmQO</f>
        <v>#NAME?</v>
      </c>
      <c r="B4915">
        <v>393.75</v>
      </c>
      <c r="C4915">
        <v>20.531590000000001</v>
      </c>
      <c r="D4915">
        <v>67</v>
      </c>
      <c r="E4915">
        <v>0</v>
      </c>
      <c r="F4915">
        <v>0</v>
      </c>
      <c r="G4915">
        <v>8</v>
      </c>
      <c r="H4915" s="4">
        <v>1570550538742</v>
      </c>
      <c r="I4915">
        <v>526.6875</v>
      </c>
      <c r="J4915" s="9">
        <f t="shared" si="76"/>
        <v>43746.959939143511</v>
      </c>
      <c r="K4915" s="1"/>
    </row>
    <row r="4916" spans="1:11" x14ac:dyDescent="0.25">
      <c r="A4916" t="e">
        <f>-Lqg5s9xv4cITibwNIDE</f>
        <v>#NAME?</v>
      </c>
      <c r="B4916">
        <v>393.75</v>
      </c>
      <c r="C4916">
        <v>20.531590000000001</v>
      </c>
      <c r="D4916">
        <v>67</v>
      </c>
      <c r="E4916">
        <v>0</v>
      </c>
      <c r="F4916">
        <v>0</v>
      </c>
      <c r="G4916">
        <v>9</v>
      </c>
      <c r="H4916" s="4">
        <v>1570550545967</v>
      </c>
      <c r="I4916">
        <v>526.6875</v>
      </c>
      <c r="J4916" s="9">
        <f t="shared" si="76"/>
        <v>43746.960022766201</v>
      </c>
      <c r="K4916" s="1"/>
    </row>
    <row r="4917" spans="1:11" x14ac:dyDescent="0.25">
      <c r="A4917" t="e">
        <f>-Lqg5tdxADq97ej3JctU</f>
        <v>#NAME?</v>
      </c>
      <c r="B4917">
        <v>393.75</v>
      </c>
      <c r="C4917">
        <v>20.478950000000001</v>
      </c>
      <c r="D4917">
        <v>67</v>
      </c>
      <c r="E4917">
        <v>0</v>
      </c>
      <c r="F4917">
        <v>0</v>
      </c>
      <c r="G4917">
        <v>8</v>
      </c>
      <c r="H4917" s="4">
        <v>1570550552142</v>
      </c>
      <c r="I4917">
        <v>526.6875</v>
      </c>
      <c r="J4917" s="9">
        <f t="shared" si="76"/>
        <v>43746.960094236107</v>
      </c>
      <c r="K4917" s="1"/>
    </row>
    <row r="4918" spans="1:11" x14ac:dyDescent="0.25">
      <c r="A4918" t="e">
        <f>-Lqg5v9Dcalm4tUY5Wx0</f>
        <v>#NAME?</v>
      </c>
      <c r="B4918">
        <v>393.75</v>
      </c>
      <c r="C4918">
        <v>20.478950000000001</v>
      </c>
      <c r="D4918">
        <v>68</v>
      </c>
      <c r="E4918">
        <v>0</v>
      </c>
      <c r="F4918">
        <v>0</v>
      </c>
      <c r="G4918">
        <v>9</v>
      </c>
      <c r="H4918" s="4">
        <v>1570550558322</v>
      </c>
      <c r="I4918">
        <v>526.6875</v>
      </c>
      <c r="J4918" s="9">
        <f t="shared" si="76"/>
        <v>43746.960165763885</v>
      </c>
      <c r="K4918" s="1"/>
    </row>
    <row r="4919" spans="1:11" x14ac:dyDescent="0.25">
      <c r="A4919" t="e">
        <f>-Lqg5wx2wXcaIDUv5gI_</f>
        <v>#NAME?</v>
      </c>
      <c r="B4919">
        <v>393.75</v>
      </c>
      <c r="C4919">
        <v>20.531590000000001</v>
      </c>
      <c r="D4919">
        <v>71</v>
      </c>
      <c r="E4919">
        <v>0</v>
      </c>
      <c r="F4919">
        <v>0</v>
      </c>
      <c r="G4919">
        <v>21</v>
      </c>
      <c r="H4919" s="4">
        <v>1570550565303</v>
      </c>
      <c r="I4919">
        <v>526.6875</v>
      </c>
      <c r="J4919" s="9">
        <f t="shared" si="76"/>
        <v>43746.960246562499</v>
      </c>
      <c r="K4919" s="1"/>
    </row>
    <row r="4920" spans="1:11" x14ac:dyDescent="0.25">
      <c r="A4920" t="e">
        <f>-Lqg5yWB_FvJEyZ9kglc</f>
        <v>#NAME?</v>
      </c>
      <c r="B4920">
        <v>393.75</v>
      </c>
      <c r="C4920">
        <v>20.531590000000001</v>
      </c>
      <c r="D4920">
        <v>70</v>
      </c>
      <c r="E4920">
        <v>0</v>
      </c>
      <c r="F4920">
        <v>0</v>
      </c>
      <c r="G4920">
        <v>9</v>
      </c>
      <c r="H4920" s="4">
        <v>1570550571722</v>
      </c>
      <c r="I4920">
        <v>526.5</v>
      </c>
      <c r="J4920" s="9">
        <f t="shared" si="76"/>
        <v>43746.96032085648</v>
      </c>
      <c r="K4920" s="1"/>
    </row>
    <row r="4921" spans="1:11" x14ac:dyDescent="0.25">
      <c r="A4921" t="e">
        <f>-#REF!-E9sLoa6neR2HSr</f>
        <v>#REF!</v>
      </c>
      <c r="B4921">
        <v>393.75</v>
      </c>
      <c r="C4921">
        <v>20.478950000000001</v>
      </c>
      <c r="D4921">
        <v>69</v>
      </c>
      <c r="E4921">
        <v>0</v>
      </c>
      <c r="F4921">
        <v>0</v>
      </c>
      <c r="G4921">
        <v>9</v>
      </c>
      <c r="H4921" s="4">
        <v>1570550578932</v>
      </c>
      <c r="I4921">
        <v>526.5</v>
      </c>
      <c r="J4921" s="9">
        <f t="shared" si="76"/>
        <v>43746.960404305551</v>
      </c>
      <c r="K4921" s="1"/>
    </row>
    <row r="4922" spans="1:11" x14ac:dyDescent="0.25">
      <c r="A4922" t="e">
        <f>-Lqg60gxcIuuf-oqXhRl</f>
        <v>#NAME?</v>
      </c>
      <c r="B4922">
        <v>393.75</v>
      </c>
      <c r="C4922">
        <v>20.584240000000001</v>
      </c>
      <c r="D4922">
        <v>67</v>
      </c>
      <c r="E4922">
        <v>0</v>
      </c>
      <c r="F4922">
        <v>0</v>
      </c>
      <c r="G4922">
        <v>12</v>
      </c>
      <c r="H4922" s="4">
        <v>1570550585113</v>
      </c>
      <c r="I4922">
        <v>526.5</v>
      </c>
      <c r="J4922" s="9">
        <f t="shared" si="76"/>
        <v>43746.960475844906</v>
      </c>
      <c r="K4922" s="1"/>
    </row>
    <row r="4923" spans="1:11" x14ac:dyDescent="0.25">
      <c r="A4923" t="s">
        <v>276</v>
      </c>
      <c r="B4923">
        <v>393.75</v>
      </c>
      <c r="C4923">
        <v>20.478950000000001</v>
      </c>
      <c r="D4923">
        <v>67</v>
      </c>
      <c r="E4923">
        <v>0</v>
      </c>
      <c r="F4923">
        <v>0</v>
      </c>
      <c r="G4923">
        <v>15</v>
      </c>
      <c r="H4923" s="4">
        <v>1570550591303</v>
      </c>
      <c r="I4923">
        <v>526.6875</v>
      </c>
      <c r="J4923" s="9">
        <f t="shared" si="76"/>
        <v>43746.960547488423</v>
      </c>
      <c r="K4923" s="1"/>
    </row>
    <row r="4924" spans="1:11" x14ac:dyDescent="0.25">
      <c r="A4924" t="e">
        <f>-Lqg63jxTyH2-_eDVqYA</f>
        <v>#NAME?</v>
      </c>
      <c r="B4924">
        <v>393.75</v>
      </c>
      <c r="C4924">
        <v>20.531590000000001</v>
      </c>
      <c r="D4924">
        <v>67</v>
      </c>
      <c r="E4924">
        <v>0</v>
      </c>
      <c r="F4924">
        <v>0</v>
      </c>
      <c r="G4924">
        <v>12</v>
      </c>
      <c r="H4924" s="4">
        <v>1570550597473</v>
      </c>
      <c r="I4924">
        <v>526.5</v>
      </c>
      <c r="J4924" s="9">
        <f t="shared" si="76"/>
        <v>43746.960618900463</v>
      </c>
      <c r="K4924" s="1"/>
    </row>
    <row r="4925" spans="1:11" x14ac:dyDescent="0.25">
      <c r="A4925" t="e">
        <f>-Lqg65MFjxkOQpq-_QJW</f>
        <v>#NAME?</v>
      </c>
      <c r="B4925">
        <v>393.75</v>
      </c>
      <c r="C4925">
        <v>20.478950000000001</v>
      </c>
      <c r="D4925">
        <v>63</v>
      </c>
      <c r="E4925">
        <v>0</v>
      </c>
      <c r="F4925">
        <v>0</v>
      </c>
      <c r="G4925">
        <v>10</v>
      </c>
      <c r="H4925" s="4">
        <v>1570550603665</v>
      </c>
      <c r="I4925">
        <v>526.5</v>
      </c>
      <c r="J4925" s="9">
        <f t="shared" si="76"/>
        <v>43746.960690567132</v>
      </c>
      <c r="K4925" s="1"/>
    </row>
    <row r="4926" spans="1:11" x14ac:dyDescent="0.25">
      <c r="A4926" t="e">
        <f>-Lqg6722Z-clTsvjQkPg</f>
        <v>#NAME?</v>
      </c>
      <c r="B4926">
        <v>393.75</v>
      </c>
      <c r="C4926">
        <v>20.478950000000001</v>
      </c>
      <c r="D4926">
        <v>63</v>
      </c>
      <c r="E4926">
        <v>0</v>
      </c>
      <c r="F4926">
        <v>0</v>
      </c>
      <c r="G4926">
        <v>10</v>
      </c>
      <c r="H4926" s="4">
        <v>1570550610884</v>
      </c>
      <c r="I4926">
        <v>526.6875</v>
      </c>
      <c r="J4926" s="9">
        <f t="shared" si="76"/>
        <v>43746.960774120373</v>
      </c>
      <c r="K4926" s="1"/>
    </row>
    <row r="4927" spans="1:11" x14ac:dyDescent="0.25">
      <c r="A4927" t="e">
        <f>-Lqg68UhXqguTDuohI9A</f>
        <v>#NAME?</v>
      </c>
      <c r="B4927">
        <v>393.75</v>
      </c>
      <c r="C4927">
        <v>20.478950000000001</v>
      </c>
      <c r="D4927">
        <v>63</v>
      </c>
      <c r="E4927">
        <v>0</v>
      </c>
      <c r="F4927">
        <v>0</v>
      </c>
      <c r="G4927">
        <v>16</v>
      </c>
      <c r="H4927" s="4">
        <v>1570550617043</v>
      </c>
      <c r="I4927">
        <v>526.6875</v>
      </c>
      <c r="J4927" s="9">
        <f t="shared" si="76"/>
        <v>43746.96084540509</v>
      </c>
      <c r="K4927" s="1"/>
    </row>
    <row r="4928" spans="1:11" x14ac:dyDescent="0.25">
      <c r="A4928" t="e">
        <f>-Lqg6APbw_MoEHh6ZGCd</f>
        <v>#NAME?</v>
      </c>
      <c r="B4928">
        <v>393.75</v>
      </c>
      <c r="C4928">
        <v>20.531590000000001</v>
      </c>
      <c r="D4928">
        <v>63</v>
      </c>
      <c r="E4928">
        <v>0</v>
      </c>
      <c r="F4928">
        <v>0</v>
      </c>
      <c r="G4928">
        <v>9</v>
      </c>
      <c r="H4928" s="4">
        <v>1570550623244</v>
      </c>
      <c r="I4928">
        <v>526.6875</v>
      </c>
      <c r="J4928" s="9">
        <f t="shared" si="76"/>
        <v>43746.960917175922</v>
      </c>
      <c r="K4928" s="1"/>
    </row>
    <row r="4929" spans="1:11" x14ac:dyDescent="0.25">
      <c r="A4929" t="e">
        <f>-Lqg6C25NJf2ny2w2Ule</f>
        <v>#NAME?</v>
      </c>
      <c r="B4929">
        <v>393.75</v>
      </c>
      <c r="C4929">
        <v>20.478950000000001</v>
      </c>
      <c r="D4929">
        <v>64</v>
      </c>
      <c r="E4929">
        <v>0</v>
      </c>
      <c r="F4929">
        <v>0</v>
      </c>
      <c r="G4929">
        <v>7</v>
      </c>
      <c r="H4929" s="4">
        <v>1570550631514</v>
      </c>
      <c r="I4929">
        <v>526.6875</v>
      </c>
      <c r="J4929" s="9">
        <f t="shared" si="76"/>
        <v>43746.961012893516</v>
      </c>
      <c r="K4929" s="1"/>
    </row>
    <row r="4930" spans="1:11" x14ac:dyDescent="0.25">
      <c r="A4930" t="e">
        <f>-Lqg6Db6qQ5YfadKw2Fa</f>
        <v>#NAME?</v>
      </c>
      <c r="B4930">
        <v>393.75</v>
      </c>
      <c r="C4930">
        <v>20.531590000000001</v>
      </c>
      <c r="D4930">
        <v>63</v>
      </c>
      <c r="E4930">
        <v>0</v>
      </c>
      <c r="F4930">
        <v>0</v>
      </c>
      <c r="G4930">
        <v>10</v>
      </c>
      <c r="H4930" s="4">
        <v>1570550637687</v>
      </c>
      <c r="I4930">
        <v>526.6875</v>
      </c>
      <c r="J4930" s="9">
        <f t="shared" si="76"/>
        <v>43746.961084340277</v>
      </c>
      <c r="K4930" s="1"/>
    </row>
    <row r="4931" spans="1:11" x14ac:dyDescent="0.25">
      <c r="A4931" t="e">
        <f>-Lqg6FK7sHM9wUqUwWyD</f>
        <v>#NAME?</v>
      </c>
      <c r="B4931">
        <v>393.75</v>
      </c>
      <c r="C4931">
        <v>20.531590000000001</v>
      </c>
      <c r="D4931">
        <v>62</v>
      </c>
      <c r="E4931">
        <v>0</v>
      </c>
      <c r="F4931">
        <v>0</v>
      </c>
      <c r="G4931">
        <v>11</v>
      </c>
      <c r="H4931" s="4">
        <v>1570550644887</v>
      </c>
      <c r="I4931">
        <v>526.6875</v>
      </c>
      <c r="J4931" s="9">
        <f t="shared" ref="J4931:J4994" si="77">(H4931/86400000)+25569+(7/24)</f>
        <v>43746.961167673609</v>
      </c>
      <c r="K4931" s="1"/>
    </row>
    <row r="4932" spans="1:11" x14ac:dyDescent="0.25">
      <c r="A4932" t="s">
        <v>277</v>
      </c>
      <c r="B4932">
        <v>393.75</v>
      </c>
      <c r="C4932">
        <v>20.531590000000001</v>
      </c>
      <c r="D4932">
        <v>63</v>
      </c>
      <c r="E4932">
        <v>0</v>
      </c>
      <c r="F4932">
        <v>0</v>
      </c>
      <c r="G4932">
        <v>13</v>
      </c>
      <c r="H4932" s="4">
        <v>1570550651075</v>
      </c>
      <c r="I4932">
        <v>526.6875</v>
      </c>
      <c r="J4932" s="9">
        <f t="shared" si="77"/>
        <v>43746.961239293982</v>
      </c>
      <c r="K4932" s="1"/>
    </row>
    <row r="4933" spans="1:11" x14ac:dyDescent="0.25">
      <c r="A4933" t="e">
        <f>-Lqg6Ib506YiZ-BOdk5I</f>
        <v>#NAME?</v>
      </c>
      <c r="B4933">
        <v>393.75</v>
      </c>
      <c r="C4933">
        <v>20.478950000000001</v>
      </c>
      <c r="D4933">
        <v>63</v>
      </c>
      <c r="E4933">
        <v>0</v>
      </c>
      <c r="F4933">
        <v>0</v>
      </c>
      <c r="G4933">
        <v>7</v>
      </c>
      <c r="H4933" s="4">
        <v>1570550658284</v>
      </c>
      <c r="I4933">
        <v>526.6875</v>
      </c>
      <c r="J4933" s="9">
        <f t="shared" si="77"/>
        <v>43746.961322731477</v>
      </c>
      <c r="K4933" s="1"/>
    </row>
    <row r="4934" spans="1:11" x14ac:dyDescent="0.25">
      <c r="A4934" t="e">
        <f>-Lqg6K54o74yXS3t3gtw</f>
        <v>#NAME?</v>
      </c>
      <c r="B4934">
        <v>412.5</v>
      </c>
      <c r="C4934">
        <v>20.531590000000001</v>
      </c>
      <c r="D4934">
        <v>64</v>
      </c>
      <c r="E4934">
        <v>0</v>
      </c>
      <c r="F4934">
        <v>0</v>
      </c>
      <c r="G4934">
        <v>9</v>
      </c>
      <c r="H4934" s="4">
        <v>1570550664486</v>
      </c>
      <c r="I4934">
        <v>532.3125</v>
      </c>
      <c r="J4934" s="9">
        <f t="shared" si="77"/>
        <v>43746.961394513892</v>
      </c>
      <c r="K4934" s="1"/>
    </row>
    <row r="4935" spans="1:11" x14ac:dyDescent="0.25">
      <c r="A4935" t="e">
        <f>-Lqg6Le3sVC0HPgTrWMq</f>
        <v>#NAME?</v>
      </c>
      <c r="B4935">
        <v>393.75</v>
      </c>
      <c r="C4935">
        <v>20.531590000000001</v>
      </c>
      <c r="D4935">
        <v>66</v>
      </c>
      <c r="E4935">
        <v>0</v>
      </c>
      <c r="F4935">
        <v>0</v>
      </c>
      <c r="G4935">
        <v>1</v>
      </c>
      <c r="H4935" s="4">
        <v>1570550670658</v>
      </c>
      <c r="I4935">
        <v>526.5</v>
      </c>
      <c r="J4935" s="9">
        <f t="shared" si="77"/>
        <v>43746.961465949069</v>
      </c>
      <c r="K4935" s="1"/>
    </row>
    <row r="4936" spans="1:11" x14ac:dyDescent="0.25">
      <c r="A4936" t="e">
        <f>-Lqg6N6zINjSYTNCl01M</f>
        <v>#NAME?</v>
      </c>
      <c r="B4936">
        <v>393.75</v>
      </c>
      <c r="C4936">
        <v>20.478950000000001</v>
      </c>
      <c r="D4936">
        <v>66</v>
      </c>
      <c r="E4936">
        <v>0</v>
      </c>
      <c r="F4936">
        <v>0</v>
      </c>
      <c r="G4936">
        <v>11</v>
      </c>
      <c r="H4936" s="4">
        <v>1570550676837</v>
      </c>
      <c r="I4936">
        <v>526.6875</v>
      </c>
      <c r="J4936" s="9">
        <f t="shared" si="77"/>
        <v>43746.961537465271</v>
      </c>
      <c r="K4936" s="1"/>
    </row>
    <row r="4937" spans="1:11" x14ac:dyDescent="0.25">
      <c r="A4937" t="e">
        <f>-Lqg6Oc403AvLnHifoxg</f>
        <v>#NAME?</v>
      </c>
      <c r="B4937">
        <v>393.75</v>
      </c>
      <c r="C4937">
        <v>20.478950000000001</v>
      </c>
      <c r="D4937">
        <v>65</v>
      </c>
      <c r="E4937">
        <v>0</v>
      </c>
      <c r="F4937">
        <v>0</v>
      </c>
      <c r="G4937">
        <v>11</v>
      </c>
      <c r="H4937" s="4">
        <v>1570550683027</v>
      </c>
      <c r="I4937">
        <v>526.6875</v>
      </c>
      <c r="J4937" s="9">
        <f t="shared" si="77"/>
        <v>43746.961609108796</v>
      </c>
      <c r="K4937" s="1"/>
    </row>
    <row r="4938" spans="1:11" x14ac:dyDescent="0.25">
      <c r="A4938" t="s">
        <v>278</v>
      </c>
      <c r="B4938">
        <v>393.75</v>
      </c>
      <c r="C4938">
        <v>20.478950000000001</v>
      </c>
      <c r="D4938">
        <v>64</v>
      </c>
      <c r="E4938">
        <v>0</v>
      </c>
      <c r="F4938">
        <v>0</v>
      </c>
      <c r="G4938">
        <v>11</v>
      </c>
      <c r="H4938" s="4">
        <v>1570550689206</v>
      </c>
      <c r="I4938">
        <v>526.6875</v>
      </c>
      <c r="J4938" s="9">
        <f t="shared" si="77"/>
        <v>43746.961680624998</v>
      </c>
      <c r="K4938" s="1"/>
    </row>
    <row r="4939" spans="1:11" x14ac:dyDescent="0.25">
      <c r="A4939" t="e">
        <f>-Lqg6RriyUmzYykO_cK6</f>
        <v>#NAME?</v>
      </c>
      <c r="B4939">
        <v>393.75</v>
      </c>
      <c r="C4939">
        <v>20.531590000000001</v>
      </c>
      <c r="D4939">
        <v>65</v>
      </c>
      <c r="E4939">
        <v>0</v>
      </c>
      <c r="F4939">
        <v>0</v>
      </c>
      <c r="G4939">
        <v>14</v>
      </c>
      <c r="H4939" s="4">
        <v>1570550696406</v>
      </c>
      <c r="I4939">
        <v>526.6875</v>
      </c>
      <c r="J4939" s="9">
        <f t="shared" si="77"/>
        <v>43746.96176395833</v>
      </c>
      <c r="K4939" s="1"/>
    </row>
    <row r="4940" spans="1:11" x14ac:dyDescent="0.25">
      <c r="A4940" t="e">
        <f>-Lqg6TS-oU6_M5Qq8BpH</f>
        <v>#NAME?</v>
      </c>
      <c r="B4940">
        <v>393.75</v>
      </c>
      <c r="C4940">
        <v>20.531590000000001</v>
      </c>
      <c r="D4940">
        <v>66</v>
      </c>
      <c r="E4940">
        <v>0</v>
      </c>
      <c r="F4940">
        <v>0</v>
      </c>
      <c r="G4940">
        <v>8</v>
      </c>
      <c r="H4940" s="4">
        <v>1570550702605</v>
      </c>
      <c r="I4940">
        <v>526.6875</v>
      </c>
      <c r="J4940" s="9">
        <f t="shared" si="77"/>
        <v>43746.961835706017</v>
      </c>
      <c r="K4940" s="1"/>
    </row>
    <row r="4941" spans="1:11" x14ac:dyDescent="0.25">
      <c r="A4941" t="e">
        <f>-Lqg6V9zzS83Q9XZ5Vhh</f>
        <v>#NAME?</v>
      </c>
      <c r="B4941">
        <v>393.75</v>
      </c>
      <c r="C4941">
        <v>20.478950000000001</v>
      </c>
      <c r="D4941">
        <v>64</v>
      </c>
      <c r="E4941">
        <v>0</v>
      </c>
      <c r="F4941">
        <v>0</v>
      </c>
      <c r="G4941">
        <v>10</v>
      </c>
      <c r="H4941" s="4">
        <v>1570550709828</v>
      </c>
      <c r="I4941">
        <v>526.6875</v>
      </c>
      <c r="J4941" s="9">
        <f t="shared" si="77"/>
        <v>43746.961919305548</v>
      </c>
      <c r="K4941" s="1"/>
    </row>
    <row r="4942" spans="1:11" x14ac:dyDescent="0.25">
      <c r="A4942" t="e">
        <f>-Lqg6Wg18uZDLIP8gsZr</f>
        <v>#NAME?</v>
      </c>
      <c r="B4942">
        <v>393.75</v>
      </c>
      <c r="C4942">
        <v>20.531590000000001</v>
      </c>
      <c r="D4942">
        <v>64</v>
      </c>
      <c r="E4942">
        <v>0</v>
      </c>
      <c r="F4942">
        <v>0</v>
      </c>
      <c r="G4942">
        <v>7</v>
      </c>
      <c r="H4942" s="4">
        <v>1570550716006</v>
      </c>
      <c r="I4942">
        <v>526.6875</v>
      </c>
      <c r="J4942" s="9">
        <f t="shared" si="77"/>
        <v>43746.961990810181</v>
      </c>
      <c r="K4942" s="1"/>
    </row>
    <row r="4943" spans="1:11" x14ac:dyDescent="0.25">
      <c r="A4943" t="e">
        <f>-Lqg6YE44mesWVHvxQJa</f>
        <v>#NAME?</v>
      </c>
      <c r="B4943">
        <v>393.75</v>
      </c>
      <c r="C4943">
        <v>20.584240000000001</v>
      </c>
      <c r="D4943">
        <v>65</v>
      </c>
      <c r="E4943">
        <v>0</v>
      </c>
      <c r="F4943">
        <v>0</v>
      </c>
      <c r="G4943">
        <v>9</v>
      </c>
      <c r="H4943" s="4">
        <v>1570550722186</v>
      </c>
      <c r="I4943">
        <v>526.6875</v>
      </c>
      <c r="J4943" s="9">
        <f t="shared" si="77"/>
        <v>43746.96206233796</v>
      </c>
      <c r="K4943" s="1"/>
    </row>
    <row r="4944" spans="1:11" x14ac:dyDescent="0.25">
      <c r="A4944" t="e">
        <f>-Lqg6Zx1966awXiBzaZD</f>
        <v>#NAME?</v>
      </c>
      <c r="B4944">
        <v>393.75</v>
      </c>
      <c r="C4944">
        <v>20.531590000000001</v>
      </c>
      <c r="D4944">
        <v>65</v>
      </c>
      <c r="E4944">
        <v>0</v>
      </c>
      <c r="F4944">
        <v>0</v>
      </c>
      <c r="G4944">
        <v>10</v>
      </c>
      <c r="H4944" s="4">
        <v>1570550728367</v>
      </c>
      <c r="I4944">
        <v>526.6875</v>
      </c>
      <c r="J4944" s="9">
        <f t="shared" si="77"/>
        <v>43746.962133877314</v>
      </c>
      <c r="K4944" s="1"/>
    </row>
    <row r="4945" spans="1:11" x14ac:dyDescent="0.25">
      <c r="A4945" t="e">
        <f>-Lqg6aUzN1cFLnSfXJZo</f>
        <v>#NAME?</v>
      </c>
      <c r="B4945">
        <v>393.75</v>
      </c>
      <c r="C4945">
        <v>20.531590000000001</v>
      </c>
      <c r="D4945">
        <v>65</v>
      </c>
      <c r="E4945">
        <v>0</v>
      </c>
      <c r="F4945">
        <v>0</v>
      </c>
      <c r="G4945">
        <v>7</v>
      </c>
      <c r="H4945" s="4">
        <v>1570550735556</v>
      </c>
      <c r="I4945">
        <v>526.6875</v>
      </c>
      <c r="J4945" s="9">
        <f t="shared" si="77"/>
        <v>43746.962217083332</v>
      </c>
      <c r="K4945" s="1"/>
    </row>
    <row r="4946" spans="1:11" x14ac:dyDescent="0.25">
      <c r="A4946" t="e">
        <f>-Lqg6cE4d-aV4gSxc_0w</f>
        <v>#NAME?</v>
      </c>
      <c r="B4946">
        <v>393.75</v>
      </c>
      <c r="C4946">
        <v>20.531590000000001</v>
      </c>
      <c r="D4946">
        <v>64</v>
      </c>
      <c r="E4946">
        <v>0</v>
      </c>
      <c r="F4946">
        <v>0</v>
      </c>
      <c r="G4946">
        <v>7</v>
      </c>
      <c r="H4946" s="4">
        <v>1570550742807</v>
      </c>
      <c r="I4946">
        <v>526.6875</v>
      </c>
      <c r="J4946" s="9">
        <f t="shared" si="77"/>
        <v>43746.962301006941</v>
      </c>
      <c r="K4946" s="1"/>
    </row>
    <row r="4947" spans="1:11" x14ac:dyDescent="0.25">
      <c r="A4947" t="e">
        <f>-Lqg6dn6FEikkwSoFWOZ</f>
        <v>#NAME?</v>
      </c>
      <c r="B4947">
        <v>393.75</v>
      </c>
      <c r="C4947">
        <v>20.478950000000001</v>
      </c>
      <c r="D4947">
        <v>65</v>
      </c>
      <c r="E4947">
        <v>0</v>
      </c>
      <c r="F4947">
        <v>0</v>
      </c>
      <c r="G4947">
        <v>4</v>
      </c>
      <c r="H4947" s="4">
        <v>1570550748985</v>
      </c>
      <c r="I4947">
        <v>526.6875</v>
      </c>
      <c r="J4947" s="9">
        <f t="shared" si="77"/>
        <v>43746.962372511574</v>
      </c>
      <c r="K4947" s="1"/>
    </row>
    <row r="4948" spans="1:11" x14ac:dyDescent="0.25">
      <c r="A4948" t="e">
        <f>-Lqg6fUzQ0VWKLJpwz5K</f>
        <v>#NAME?</v>
      </c>
      <c r="B4948">
        <v>393.75</v>
      </c>
      <c r="C4948">
        <v>20.584240000000001</v>
      </c>
      <c r="D4948">
        <v>65</v>
      </c>
      <c r="E4948">
        <v>0</v>
      </c>
      <c r="F4948">
        <v>0</v>
      </c>
      <c r="G4948">
        <v>8</v>
      </c>
      <c r="H4948" s="4">
        <v>1570550756195</v>
      </c>
      <c r="I4948">
        <v>526.6875</v>
      </c>
      <c r="J4948" s="9">
        <f t="shared" si="77"/>
        <v>43746.962455960645</v>
      </c>
      <c r="K4948" s="1"/>
    </row>
    <row r="4949" spans="1:11" x14ac:dyDescent="0.25">
      <c r="A4949" t="e">
        <f>-Lqg6h44VdIvw6SCytgS</f>
        <v>#NAME?</v>
      </c>
      <c r="B4949">
        <v>393.75</v>
      </c>
      <c r="C4949">
        <v>20.531590000000001</v>
      </c>
      <c r="D4949">
        <v>64</v>
      </c>
      <c r="E4949">
        <v>0</v>
      </c>
      <c r="F4949">
        <v>0</v>
      </c>
      <c r="G4949">
        <v>11</v>
      </c>
      <c r="H4949" s="4">
        <v>1570550762600</v>
      </c>
      <c r="I4949">
        <v>526.6875</v>
      </c>
      <c r="J4949" s="9">
        <f t="shared" si="77"/>
        <v>43746.962530092591</v>
      </c>
      <c r="K4949" s="1"/>
    </row>
    <row r="4950" spans="1:11" x14ac:dyDescent="0.25">
      <c r="A4950" t="e">
        <f>-Lqg6in32DuIMWME7w3o</f>
        <v>#NAME?</v>
      </c>
      <c r="B4950">
        <v>393.75</v>
      </c>
      <c r="C4950">
        <v>20.478950000000001</v>
      </c>
      <c r="D4950">
        <v>65</v>
      </c>
      <c r="E4950">
        <v>0</v>
      </c>
      <c r="F4950">
        <v>0</v>
      </c>
      <c r="G4950">
        <v>19</v>
      </c>
      <c r="H4950" s="4">
        <v>1570550769625</v>
      </c>
      <c r="I4950">
        <v>526.6875</v>
      </c>
      <c r="J4950" s="9">
        <f t="shared" si="77"/>
        <v>43746.962611400457</v>
      </c>
      <c r="K4950" s="1"/>
    </row>
    <row r="4951" spans="1:11" x14ac:dyDescent="0.25">
      <c r="A4951" t="e">
        <f>-Lqg6kEjMpn4ysp3miaY</f>
        <v>#NAME?</v>
      </c>
      <c r="B4951">
        <v>393.75</v>
      </c>
      <c r="C4951">
        <v>20.531590000000001</v>
      </c>
      <c r="D4951">
        <v>65</v>
      </c>
      <c r="E4951">
        <v>0</v>
      </c>
      <c r="F4951">
        <v>0</v>
      </c>
      <c r="G4951">
        <v>12</v>
      </c>
      <c r="H4951" s="4">
        <v>1570550775766</v>
      </c>
      <c r="I4951">
        <v>526.6875</v>
      </c>
      <c r="J4951" s="9">
        <f t="shared" si="77"/>
        <v>43746.962682476849</v>
      </c>
      <c r="K4951" s="1"/>
    </row>
    <row r="4952" spans="1:11" x14ac:dyDescent="0.25">
      <c r="A4952" t="e">
        <f>-Lqg6ll4f7BEdyQPXp2e</f>
        <v>#NAME?</v>
      </c>
      <c r="B4952">
        <v>393.75</v>
      </c>
      <c r="C4952">
        <v>20.478950000000001</v>
      </c>
      <c r="D4952">
        <v>65</v>
      </c>
      <c r="E4952">
        <v>0</v>
      </c>
      <c r="F4952">
        <v>0</v>
      </c>
      <c r="G4952">
        <v>12</v>
      </c>
      <c r="H4952" s="4">
        <v>1570550781965</v>
      </c>
      <c r="I4952">
        <v>526.5</v>
      </c>
      <c r="J4952" s="9">
        <f t="shared" si="77"/>
        <v>43746.962754224536</v>
      </c>
      <c r="K4952" s="1"/>
    </row>
    <row r="4953" spans="1:11" x14ac:dyDescent="0.25">
      <c r="A4953" t="e">
        <f>-Lqg6nJ-Rje4ANBbILAp</f>
        <v>#NAME?</v>
      </c>
      <c r="B4953">
        <v>393.75</v>
      </c>
      <c r="C4953">
        <v>20.531590000000001</v>
      </c>
      <c r="D4953">
        <v>66</v>
      </c>
      <c r="E4953">
        <v>0</v>
      </c>
      <c r="F4953">
        <v>0</v>
      </c>
      <c r="G4953">
        <v>10</v>
      </c>
      <c r="H4953" s="4">
        <v>1570550788144</v>
      </c>
      <c r="I4953">
        <v>526.6875</v>
      </c>
      <c r="J4953" s="9">
        <f t="shared" si="77"/>
        <v>43746.962825740738</v>
      </c>
      <c r="K4953" s="1"/>
    </row>
    <row r="4954" spans="1:11" x14ac:dyDescent="0.25">
      <c r="A4954" t="e">
        <f>-Lqg6omx0QCSyzsKDKya</f>
        <v>#NAME?</v>
      </c>
      <c r="B4954">
        <v>393.75</v>
      </c>
      <c r="C4954">
        <v>20.478950000000001</v>
      </c>
      <c r="D4954">
        <v>68</v>
      </c>
      <c r="E4954">
        <v>0</v>
      </c>
      <c r="F4954">
        <v>0</v>
      </c>
      <c r="G4954">
        <v>11</v>
      </c>
      <c r="H4954" s="4">
        <v>1570550794325</v>
      </c>
      <c r="I4954">
        <v>526.6875</v>
      </c>
      <c r="J4954" s="9">
        <f t="shared" si="77"/>
        <v>43746.962897280093</v>
      </c>
      <c r="K4954" s="1"/>
    </row>
    <row r="4955" spans="1:11" x14ac:dyDescent="0.25">
      <c r="A4955" t="e">
        <f>-Lqg6qM-z4ZrthPPMp4p</f>
        <v>#NAME?</v>
      </c>
      <c r="B4955">
        <v>412.5</v>
      </c>
      <c r="C4955">
        <v>20.531590000000001</v>
      </c>
      <c r="D4955">
        <v>68</v>
      </c>
      <c r="E4955">
        <v>0</v>
      </c>
      <c r="F4955">
        <v>0</v>
      </c>
      <c r="G4955">
        <v>9</v>
      </c>
      <c r="H4955" s="4">
        <v>1570550800517</v>
      </c>
      <c r="I4955">
        <v>532.125</v>
      </c>
      <c r="J4955" s="9">
        <f t="shared" si="77"/>
        <v>43746.962968946762</v>
      </c>
      <c r="K4955" s="1"/>
    </row>
    <row r="4956" spans="1:11" x14ac:dyDescent="0.25">
      <c r="A4956" t="e">
        <f>-Lqg6s54fqG6rkEfiH0b</f>
        <v>#NAME?</v>
      </c>
      <c r="B4956">
        <v>393.75</v>
      </c>
      <c r="C4956">
        <v>20.531590000000001</v>
      </c>
      <c r="D4956">
        <v>66</v>
      </c>
      <c r="E4956">
        <v>0</v>
      </c>
      <c r="F4956">
        <v>0</v>
      </c>
      <c r="G4956">
        <v>9</v>
      </c>
      <c r="H4956" s="4">
        <v>1570550807727</v>
      </c>
      <c r="I4956">
        <v>526.6875</v>
      </c>
      <c r="J4956" s="9">
        <f t="shared" si="77"/>
        <v>43746.963052395826</v>
      </c>
      <c r="K4956" s="1"/>
    </row>
    <row r="4957" spans="1:11" x14ac:dyDescent="0.25">
      <c r="A4957" t="e">
        <f>-Lqg6t_5Jbr5_aCkrvh6</f>
        <v>#NAME?</v>
      </c>
      <c r="B4957">
        <v>393.75</v>
      </c>
      <c r="C4957">
        <v>20.478950000000001</v>
      </c>
      <c r="D4957">
        <v>66</v>
      </c>
      <c r="E4957">
        <v>0</v>
      </c>
      <c r="F4957">
        <v>0</v>
      </c>
      <c r="G4957">
        <v>9</v>
      </c>
      <c r="H4957" s="4">
        <v>1570550813915</v>
      </c>
      <c r="I4957">
        <v>526.6875</v>
      </c>
      <c r="J4957" s="9">
        <f t="shared" si="77"/>
        <v>43746.963124016205</v>
      </c>
      <c r="K4957" s="1"/>
    </row>
    <row r="4958" spans="1:11" x14ac:dyDescent="0.25">
      <c r="A4958" t="e">
        <f>-Lqg6v85kV5vTv1GgYH_</f>
        <v>#NAME?</v>
      </c>
      <c r="B4958">
        <v>393.75</v>
      </c>
      <c r="C4958">
        <v>20.478950000000001</v>
      </c>
      <c r="D4958">
        <v>66</v>
      </c>
      <c r="E4958">
        <v>0</v>
      </c>
      <c r="F4958">
        <v>0</v>
      </c>
      <c r="G4958">
        <v>6</v>
      </c>
      <c r="H4958" s="4">
        <v>1570550820096</v>
      </c>
      <c r="I4958">
        <v>526.5</v>
      </c>
      <c r="J4958" s="9">
        <f t="shared" si="77"/>
        <v>43746.963195555552</v>
      </c>
      <c r="K4958" s="1"/>
    </row>
    <row r="4959" spans="1:11" x14ac:dyDescent="0.25">
      <c r="A4959" t="e">
        <f>-Lqg6wojcOLxPCqfeINS</f>
        <v>#NAME?</v>
      </c>
      <c r="B4959">
        <v>393.75</v>
      </c>
      <c r="C4959">
        <v>20.531590000000001</v>
      </c>
      <c r="D4959">
        <v>66</v>
      </c>
      <c r="E4959">
        <v>0</v>
      </c>
      <c r="F4959">
        <v>0</v>
      </c>
      <c r="G4959">
        <v>11</v>
      </c>
      <c r="H4959" s="4">
        <v>1570550827286</v>
      </c>
      <c r="I4959">
        <v>526.6875</v>
      </c>
      <c r="J4959" s="9">
        <f t="shared" si="77"/>
        <v>43746.963278773146</v>
      </c>
      <c r="K4959" s="1"/>
    </row>
    <row r="4960" spans="1:11" x14ac:dyDescent="0.25">
      <c r="A4960" t="e">
        <f>-Lqg6yjICg6yXbg-YDAQ</f>
        <v>#NAME?</v>
      </c>
      <c r="B4960">
        <v>393.75</v>
      </c>
      <c r="C4960">
        <v>20.531590000000001</v>
      </c>
      <c r="D4960">
        <v>66</v>
      </c>
      <c r="E4960">
        <v>0</v>
      </c>
      <c r="F4960">
        <v>0</v>
      </c>
      <c r="G4960">
        <v>13</v>
      </c>
      <c r="H4960" s="4">
        <v>1570550833496</v>
      </c>
      <c r="I4960">
        <v>526.6875</v>
      </c>
      <c r="J4960" s="9">
        <f t="shared" si="77"/>
        <v>43746.96335064814</v>
      </c>
      <c r="K4960" s="1"/>
    </row>
    <row r="4961" spans="1:11" x14ac:dyDescent="0.25">
      <c r="A4961" t="e">
        <f>-#REF!-#REF!-XOjoefTOfES</f>
        <v>#REF!</v>
      </c>
      <c r="B4961">
        <v>393.75</v>
      </c>
      <c r="C4961">
        <v>20.478950000000001</v>
      </c>
      <c r="D4961">
        <v>65</v>
      </c>
      <c r="E4961">
        <v>0</v>
      </c>
      <c r="F4961">
        <v>0</v>
      </c>
      <c r="G4961">
        <v>12</v>
      </c>
      <c r="H4961" s="4">
        <v>1570550841757</v>
      </c>
      <c r="I4961">
        <v>526.6875</v>
      </c>
      <c r="J4961" s="9">
        <f t="shared" si="77"/>
        <v>43746.963446261572</v>
      </c>
      <c r="K4961" s="1"/>
    </row>
    <row r="4962" spans="1:11" x14ac:dyDescent="0.25">
      <c r="A4962" t="e">
        <f>-Lqg7195Y1uT-qwRI7kB</f>
        <v>#NAME?</v>
      </c>
      <c r="B4962">
        <v>393.75</v>
      </c>
      <c r="C4962">
        <v>20.478950000000001</v>
      </c>
      <c r="D4962">
        <v>67</v>
      </c>
      <c r="E4962">
        <v>0</v>
      </c>
      <c r="F4962">
        <v>0</v>
      </c>
      <c r="G4962">
        <v>16</v>
      </c>
      <c r="H4962" s="4">
        <v>1570550848993</v>
      </c>
      <c r="I4962">
        <v>526.6875</v>
      </c>
      <c r="J4962" s="9">
        <f t="shared" si="77"/>
        <v>43746.96353001157</v>
      </c>
      <c r="K4962" s="1"/>
    </row>
    <row r="4963" spans="1:11" x14ac:dyDescent="0.25">
      <c r="A4963" t="e">
        <f>-Lqg72ryQD1fBLx_rmlK</f>
        <v>#NAME?</v>
      </c>
      <c r="B4963">
        <v>412.5</v>
      </c>
      <c r="C4963">
        <v>20.531590000000001</v>
      </c>
      <c r="D4963">
        <v>67</v>
      </c>
      <c r="E4963">
        <v>0</v>
      </c>
      <c r="F4963">
        <v>0</v>
      </c>
      <c r="G4963">
        <v>1</v>
      </c>
      <c r="H4963" s="4">
        <v>1570550856164</v>
      </c>
      <c r="I4963">
        <v>532.875</v>
      </c>
      <c r="J4963" s="9">
        <f t="shared" si="77"/>
        <v>43746.963613009262</v>
      </c>
      <c r="K4963" s="1"/>
    </row>
    <row r="4964" spans="1:11" x14ac:dyDescent="0.25">
      <c r="A4964" t="e">
        <f>-Lqg74QxkEnVjbnpQ2oD</f>
        <v>#NAME?</v>
      </c>
      <c r="B4964">
        <v>393.75</v>
      </c>
      <c r="C4964">
        <v>20.478950000000001</v>
      </c>
      <c r="D4964">
        <v>66</v>
      </c>
      <c r="E4964">
        <v>0</v>
      </c>
      <c r="F4964">
        <v>0</v>
      </c>
      <c r="G4964">
        <v>12</v>
      </c>
      <c r="H4964" s="4">
        <v>1570550862344</v>
      </c>
      <c r="I4964">
        <v>526.6875</v>
      </c>
      <c r="J4964" s="9">
        <f t="shared" si="77"/>
        <v>43746.963684537033</v>
      </c>
      <c r="K4964" s="1"/>
    </row>
    <row r="4965" spans="1:11" x14ac:dyDescent="0.25">
      <c r="A4965" t="e">
        <f>-Lqg75w4_qrIwUvsn_-x</f>
        <v>#NAME?</v>
      </c>
      <c r="B4965">
        <v>393.75</v>
      </c>
      <c r="C4965">
        <v>20.531590000000001</v>
      </c>
      <c r="D4965">
        <v>66</v>
      </c>
      <c r="E4965">
        <v>0</v>
      </c>
      <c r="F4965">
        <v>0</v>
      </c>
      <c r="G4965">
        <v>5</v>
      </c>
      <c r="H4965" s="4">
        <v>1570550868533</v>
      </c>
      <c r="I4965">
        <v>526.6875</v>
      </c>
      <c r="J4965" s="9">
        <f t="shared" si="77"/>
        <v>43746.963756168981</v>
      </c>
      <c r="K4965" s="1"/>
    </row>
    <row r="4966" spans="1:11" x14ac:dyDescent="0.25">
      <c r="A4966" t="e">
        <f>-Lqg77P0NOCY8oI4eqB3</f>
        <v>#NAME?</v>
      </c>
      <c r="B4966">
        <v>393.75</v>
      </c>
      <c r="C4966">
        <v>20.478950000000001</v>
      </c>
      <c r="D4966">
        <v>65</v>
      </c>
      <c r="E4966">
        <v>0</v>
      </c>
      <c r="F4966">
        <v>0</v>
      </c>
      <c r="G4966">
        <v>12</v>
      </c>
      <c r="H4966" s="4">
        <v>1570550874715</v>
      </c>
      <c r="I4966">
        <v>526.6875</v>
      </c>
      <c r="J4966" s="9">
        <f t="shared" si="77"/>
        <v>43746.963827719905</v>
      </c>
      <c r="K4966" s="1"/>
    </row>
    <row r="4967" spans="1:11" x14ac:dyDescent="0.25">
      <c r="A4967" t="e">
        <f>-Lqg78y6WDHjySWXbkoC</f>
        <v>#NAME?</v>
      </c>
      <c r="B4967">
        <v>393.75</v>
      </c>
      <c r="C4967">
        <v>20.531590000000001</v>
      </c>
      <c r="D4967">
        <v>66</v>
      </c>
      <c r="E4967">
        <v>0</v>
      </c>
      <c r="F4967">
        <v>0</v>
      </c>
      <c r="G4967">
        <v>5</v>
      </c>
      <c r="H4967" s="4">
        <v>1570550880904</v>
      </c>
      <c r="I4967">
        <v>526.6875</v>
      </c>
      <c r="J4967" s="9">
        <f t="shared" si="77"/>
        <v>43746.963899351853</v>
      </c>
      <c r="K4967" s="1"/>
    </row>
    <row r="4968" spans="1:11" x14ac:dyDescent="0.25">
      <c r="A4968" t="e">
        <f>-Lqg7Ah3NCcpsoI94OTl</f>
        <v>#NAME?</v>
      </c>
      <c r="B4968">
        <v>393.75</v>
      </c>
      <c r="C4968">
        <v>20.478950000000001</v>
      </c>
      <c r="D4968">
        <v>66</v>
      </c>
      <c r="E4968">
        <v>0</v>
      </c>
      <c r="F4968">
        <v>0</v>
      </c>
      <c r="G4968">
        <v>6</v>
      </c>
      <c r="H4968" s="4">
        <v>1570550888085</v>
      </c>
      <c r="I4968">
        <v>526.6875</v>
      </c>
      <c r="J4968" s="9">
        <f t="shared" si="77"/>
        <v>43746.963982465277</v>
      </c>
      <c r="K4968" s="1"/>
    </row>
    <row r="4969" spans="1:11" x14ac:dyDescent="0.25">
      <c r="A4969" t="e">
        <f>-Lqg7CExaUTE-oNjUxRM</f>
        <v>#NAME?</v>
      </c>
      <c r="B4969">
        <v>393.75</v>
      </c>
      <c r="C4969">
        <v>20.478950000000001</v>
      </c>
      <c r="D4969">
        <v>71</v>
      </c>
      <c r="E4969">
        <v>0</v>
      </c>
      <c r="F4969">
        <v>0</v>
      </c>
      <c r="G4969">
        <v>13</v>
      </c>
      <c r="H4969" s="4">
        <v>1570550894293</v>
      </c>
      <c r="I4969">
        <v>526.6875</v>
      </c>
      <c r="J4969" s="9">
        <f t="shared" si="77"/>
        <v>43746.964054317126</v>
      </c>
      <c r="K4969" s="1"/>
    </row>
    <row r="4970" spans="1:11" x14ac:dyDescent="0.25">
      <c r="A4970" t="e">
        <f>-Lqg7DgK3dNLoRDyXXPs</f>
        <v>#NAME?</v>
      </c>
      <c r="B4970">
        <v>415.625</v>
      </c>
      <c r="C4970">
        <v>20.478950000000001</v>
      </c>
      <c r="D4970">
        <v>69</v>
      </c>
      <c r="E4970">
        <v>0</v>
      </c>
      <c r="F4970">
        <v>0</v>
      </c>
      <c r="G4970">
        <v>7</v>
      </c>
      <c r="H4970" s="4">
        <v>1570550900484</v>
      </c>
      <c r="I4970">
        <v>533.25</v>
      </c>
      <c r="J4970" s="9">
        <f t="shared" si="77"/>
        <v>43746.964125972219</v>
      </c>
      <c r="K4970" s="1"/>
    </row>
    <row r="4971" spans="1:11" x14ac:dyDescent="0.25">
      <c r="A4971" t="e">
        <f>-Lqg7FCwWkScl16PYQZk</f>
        <v>#NAME?</v>
      </c>
      <c r="B4971">
        <v>393.75</v>
      </c>
      <c r="C4971">
        <v>20.478950000000001</v>
      </c>
      <c r="D4971">
        <v>69</v>
      </c>
      <c r="E4971">
        <v>0</v>
      </c>
      <c r="F4971">
        <v>0</v>
      </c>
      <c r="G4971">
        <v>4</v>
      </c>
      <c r="H4971" s="4">
        <v>1570550906645</v>
      </c>
      <c r="I4971">
        <v>526.6875</v>
      </c>
      <c r="J4971" s="9">
        <f t="shared" si="77"/>
        <v>43746.964197280089</v>
      </c>
      <c r="K4971" s="1"/>
    </row>
    <row r="4972" spans="1:11" x14ac:dyDescent="0.25">
      <c r="A4972" t="e">
        <f>-Lqg7Gi5dimUV5RUL-Lv</f>
        <v>#NAME?</v>
      </c>
      <c r="B4972">
        <v>393.75</v>
      </c>
      <c r="C4972">
        <v>20.478950000000001</v>
      </c>
      <c r="D4972">
        <v>69</v>
      </c>
      <c r="E4972">
        <v>0</v>
      </c>
      <c r="F4972">
        <v>0</v>
      </c>
      <c r="G4972">
        <v>7</v>
      </c>
      <c r="H4972" s="4">
        <v>1570550912809</v>
      </c>
      <c r="I4972">
        <v>526.6875</v>
      </c>
      <c r="J4972" s="9">
        <f t="shared" si="77"/>
        <v>43746.96426862268</v>
      </c>
      <c r="K4972" s="1"/>
    </row>
    <row r="4973" spans="1:11" x14ac:dyDescent="0.25">
      <c r="A4973" t="e">
        <f>-Lqg7IFzIc26Yo7aZfje</f>
        <v>#NAME?</v>
      </c>
      <c r="B4973">
        <v>393.75</v>
      </c>
      <c r="C4973">
        <v>20.478950000000001</v>
      </c>
      <c r="D4973">
        <v>69</v>
      </c>
      <c r="E4973">
        <v>0</v>
      </c>
      <c r="F4973">
        <v>0</v>
      </c>
      <c r="G4973">
        <v>11</v>
      </c>
      <c r="H4973" s="4">
        <v>1570550919150</v>
      </c>
      <c r="I4973">
        <v>526.6875</v>
      </c>
      <c r="J4973" s="9">
        <f t="shared" si="77"/>
        <v>43746.964342013882</v>
      </c>
      <c r="K4973" s="1"/>
    </row>
    <row r="4974" spans="1:11" x14ac:dyDescent="0.25">
      <c r="A4974" t="e">
        <f>-Lqg7Jl3bWwHGu0M5lQa</f>
        <v>#NAME?</v>
      </c>
      <c r="B4974">
        <v>393.75</v>
      </c>
      <c r="C4974">
        <v>20.531590000000001</v>
      </c>
      <c r="D4974">
        <v>69</v>
      </c>
      <c r="E4974">
        <v>0</v>
      </c>
      <c r="F4974">
        <v>0</v>
      </c>
      <c r="G4974">
        <v>0</v>
      </c>
      <c r="H4974" s="4">
        <v>1570550925205</v>
      </c>
      <c r="I4974">
        <v>526.6875</v>
      </c>
      <c r="J4974" s="9">
        <f t="shared" si="77"/>
        <v>43746.964412094901</v>
      </c>
      <c r="K4974" s="1"/>
    </row>
    <row r="4975" spans="1:11" x14ac:dyDescent="0.25">
      <c r="A4975" t="e">
        <f>-Lqg7LFS7LZJUqBeiJGF</f>
        <v>#NAME?</v>
      </c>
      <c r="B4975">
        <v>393.75</v>
      </c>
      <c r="C4975">
        <v>20.531590000000001</v>
      </c>
      <c r="D4975">
        <v>69</v>
      </c>
      <c r="E4975">
        <v>0</v>
      </c>
      <c r="F4975">
        <v>0</v>
      </c>
      <c r="G4975">
        <v>12</v>
      </c>
      <c r="H4975" s="4">
        <v>1570550931366</v>
      </c>
      <c r="I4975">
        <v>526.6875</v>
      </c>
      <c r="J4975" s="9">
        <f t="shared" si="77"/>
        <v>43746.964483402779</v>
      </c>
      <c r="K4975" s="1"/>
    </row>
    <row r="4976" spans="1:11" x14ac:dyDescent="0.25">
      <c r="A4976" t="e">
        <f>-Lqg7Mn8nD2nT-rYY5WY</f>
        <v>#NAME?</v>
      </c>
      <c r="B4976">
        <v>393.75</v>
      </c>
      <c r="C4976">
        <v>20.584240000000001</v>
      </c>
      <c r="D4976">
        <v>68</v>
      </c>
      <c r="E4976">
        <v>0</v>
      </c>
      <c r="F4976">
        <v>0</v>
      </c>
      <c r="G4976">
        <v>9</v>
      </c>
      <c r="H4976" s="4">
        <v>1570550937583</v>
      </c>
      <c r="I4976">
        <v>526.6875</v>
      </c>
      <c r="J4976" s="9">
        <f t="shared" si="77"/>
        <v>43746.964555358798</v>
      </c>
      <c r="K4976" s="1"/>
    </row>
    <row r="4977" spans="1:11" x14ac:dyDescent="0.25">
      <c r="A4977" t="e">
        <f>-Lqg7OFhbQfwRew5Nuub</f>
        <v>#NAME?</v>
      </c>
      <c r="B4977">
        <v>393.75</v>
      </c>
      <c r="C4977">
        <v>20.478950000000001</v>
      </c>
      <c r="D4977">
        <v>68</v>
      </c>
      <c r="E4977">
        <v>0</v>
      </c>
      <c r="F4977">
        <v>0</v>
      </c>
      <c r="G4977">
        <v>9</v>
      </c>
      <c r="H4977" s="4">
        <v>1570550943763</v>
      </c>
      <c r="I4977">
        <v>526.6875</v>
      </c>
      <c r="J4977" s="9">
        <f t="shared" si="77"/>
        <v>43746.964626886569</v>
      </c>
      <c r="K4977" s="1"/>
    </row>
    <row r="4978" spans="1:11" x14ac:dyDescent="0.25">
      <c r="A4978" t="e">
        <f>-Lqg7PpxF6GadXl_4P3I</f>
        <v>#NAME?</v>
      </c>
      <c r="B4978">
        <v>393.75</v>
      </c>
      <c r="C4978">
        <v>20.531590000000001</v>
      </c>
      <c r="D4978">
        <v>68</v>
      </c>
      <c r="E4978">
        <v>0</v>
      </c>
      <c r="F4978">
        <v>0</v>
      </c>
      <c r="G4978">
        <v>9</v>
      </c>
      <c r="H4978" s="4">
        <v>1570550949943</v>
      </c>
      <c r="I4978">
        <v>526.6875</v>
      </c>
      <c r="J4978" s="9">
        <f t="shared" si="77"/>
        <v>43746.964698414355</v>
      </c>
      <c r="K4978" s="1"/>
    </row>
    <row r="4979" spans="1:11" x14ac:dyDescent="0.25">
      <c r="A4979" t="e">
        <f>-Lqg7RKksURraC8tIThv</f>
        <v>#NAME?</v>
      </c>
      <c r="B4979">
        <v>393.75</v>
      </c>
      <c r="C4979">
        <v>20.531590000000001</v>
      </c>
      <c r="D4979">
        <v>68</v>
      </c>
      <c r="E4979">
        <v>0</v>
      </c>
      <c r="F4979">
        <v>0</v>
      </c>
      <c r="G4979">
        <v>5</v>
      </c>
      <c r="H4979" s="4">
        <v>1570550956125</v>
      </c>
      <c r="I4979">
        <v>526.6875</v>
      </c>
      <c r="J4979" s="9">
        <f t="shared" si="77"/>
        <v>43746.964769965278</v>
      </c>
      <c r="K4979" s="1"/>
    </row>
    <row r="4980" spans="1:11" x14ac:dyDescent="0.25">
      <c r="A4980" t="e">
        <f>-Lqg7SpCmbwsG6bH0UdZ</f>
        <v>#NAME?</v>
      </c>
      <c r="B4980">
        <v>393.75</v>
      </c>
      <c r="C4980">
        <v>20.478950000000001</v>
      </c>
      <c r="D4980">
        <v>67</v>
      </c>
      <c r="E4980">
        <v>0</v>
      </c>
      <c r="F4980">
        <v>0</v>
      </c>
      <c r="G4980">
        <v>8</v>
      </c>
      <c r="H4980" s="4">
        <v>1570550962324</v>
      </c>
      <c r="I4980">
        <v>526.6875</v>
      </c>
      <c r="J4980" s="9">
        <f t="shared" si="77"/>
        <v>43746.964841712957</v>
      </c>
      <c r="K4980" s="1"/>
    </row>
    <row r="4981" spans="1:11" x14ac:dyDescent="0.25">
      <c r="A4981" t="e">
        <f>-Lqg7UJ2lky1n-nGCaAA</f>
        <v>#NAME?</v>
      </c>
      <c r="B4981">
        <v>393.75</v>
      </c>
      <c r="C4981">
        <v>20.478950000000001</v>
      </c>
      <c r="D4981">
        <v>66</v>
      </c>
      <c r="E4981">
        <v>0</v>
      </c>
      <c r="F4981">
        <v>0</v>
      </c>
      <c r="G4981">
        <v>3</v>
      </c>
      <c r="H4981" s="4">
        <v>1570550968495</v>
      </c>
      <c r="I4981">
        <v>526.6875</v>
      </c>
      <c r="J4981" s="9">
        <f t="shared" si="77"/>
        <v>43746.964913136573</v>
      </c>
      <c r="K4981" s="1"/>
    </row>
    <row r="4982" spans="1:11" x14ac:dyDescent="0.25">
      <c r="A4982" t="e">
        <f>-Lqg7Vs5C5PPSGP3EaFl</f>
        <v>#NAME?</v>
      </c>
      <c r="B4982">
        <v>393.75</v>
      </c>
      <c r="C4982">
        <v>20.531590000000001</v>
      </c>
      <c r="D4982">
        <v>67</v>
      </c>
      <c r="E4982">
        <v>0</v>
      </c>
      <c r="F4982">
        <v>0</v>
      </c>
      <c r="G4982">
        <v>12</v>
      </c>
      <c r="H4982" s="4">
        <v>1570550974686</v>
      </c>
      <c r="I4982">
        <v>526.6875</v>
      </c>
      <c r="J4982" s="9">
        <f t="shared" si="77"/>
        <v>43746.964984791666</v>
      </c>
      <c r="K4982" s="1"/>
    </row>
    <row r="4983" spans="1:11" x14ac:dyDescent="0.25">
      <c r="A4983" t="e">
        <f>-Lqg7XKzTT34Oo_PPHG8</f>
        <v>#NAME?</v>
      </c>
      <c r="B4983">
        <v>415.625</v>
      </c>
      <c r="C4983">
        <v>20.531590000000001</v>
      </c>
      <c r="D4983">
        <v>67</v>
      </c>
      <c r="E4983">
        <v>0</v>
      </c>
      <c r="F4983">
        <v>0</v>
      </c>
      <c r="G4983">
        <v>13</v>
      </c>
      <c r="H4983" s="4">
        <v>1570550980833</v>
      </c>
      <c r="I4983">
        <v>533.625</v>
      </c>
      <c r="J4983" s="9">
        <f t="shared" si="77"/>
        <v>43746.965055937493</v>
      </c>
      <c r="K4983" s="1"/>
    </row>
    <row r="4984" spans="1:11" x14ac:dyDescent="0.25">
      <c r="A4984" t="e">
        <f>-Lqg7YqCsMfje8Nfuwoi</f>
        <v>#NAME?</v>
      </c>
      <c r="B4984">
        <v>393.75</v>
      </c>
      <c r="C4984">
        <v>20.478950000000001</v>
      </c>
      <c r="D4984">
        <v>67</v>
      </c>
      <c r="E4984">
        <v>0</v>
      </c>
      <c r="F4984">
        <v>0</v>
      </c>
      <c r="G4984">
        <v>8</v>
      </c>
      <c r="H4984" s="4">
        <v>1570550987046</v>
      </c>
      <c r="I4984">
        <v>526.6875</v>
      </c>
      <c r="J4984" s="9">
        <f t="shared" si="77"/>
        <v>43746.965127847223</v>
      </c>
      <c r="K4984" s="1"/>
    </row>
    <row r="4985" spans="1:11" x14ac:dyDescent="0.25">
      <c r="A4985" t="e">
        <f>-Lqg7_NzAR_nnWUGGlXQ</f>
        <v>#NAME?</v>
      </c>
      <c r="B4985">
        <v>393.75</v>
      </c>
      <c r="C4985">
        <v>20.531590000000001</v>
      </c>
      <c r="D4985">
        <v>67</v>
      </c>
      <c r="E4985">
        <v>0</v>
      </c>
      <c r="F4985">
        <v>0</v>
      </c>
      <c r="G4985">
        <v>11</v>
      </c>
      <c r="H4985" s="4">
        <v>1570550993226</v>
      </c>
      <c r="I4985">
        <v>526.6875</v>
      </c>
      <c r="J4985" s="9">
        <f t="shared" si="77"/>
        <v>43746.965199374994</v>
      </c>
      <c r="K4985" s="1"/>
    </row>
    <row r="4986" spans="1:11" x14ac:dyDescent="0.25">
      <c r="A4986" t="e">
        <f>-Lqg7arxfQBBK2dQt_nQ</f>
        <v>#NAME?</v>
      </c>
      <c r="B4986">
        <v>393.75</v>
      </c>
      <c r="C4986">
        <v>20.531590000000001</v>
      </c>
      <c r="D4986">
        <v>65</v>
      </c>
      <c r="E4986">
        <v>0</v>
      </c>
      <c r="F4986">
        <v>0</v>
      </c>
      <c r="G4986">
        <v>4</v>
      </c>
      <c r="H4986" s="4">
        <v>1570550999414</v>
      </c>
      <c r="I4986">
        <v>526.5</v>
      </c>
      <c r="J4986" s="9">
        <f t="shared" si="77"/>
        <v>43746.965270995366</v>
      </c>
      <c r="K4986" s="1"/>
    </row>
    <row r="4987" spans="1:11" x14ac:dyDescent="0.25">
      <c r="A4987" t="e">
        <f>-Lqg7cN2hBn9gqQegT-0</f>
        <v>#NAME?</v>
      </c>
      <c r="B4987">
        <v>393.75</v>
      </c>
      <c r="C4987">
        <v>20.531590000000001</v>
      </c>
      <c r="D4987">
        <v>65</v>
      </c>
      <c r="E4987">
        <v>0</v>
      </c>
      <c r="F4987">
        <v>0</v>
      </c>
      <c r="G4987">
        <v>4</v>
      </c>
      <c r="H4987" s="4">
        <v>1570551005595</v>
      </c>
      <c r="I4987">
        <v>526.6875</v>
      </c>
      <c r="J4987" s="9">
        <f t="shared" si="77"/>
        <v>43746.965342534721</v>
      </c>
      <c r="K4987" s="1"/>
    </row>
    <row r="4988" spans="1:11" x14ac:dyDescent="0.25">
      <c r="A4988" t="e">
        <f>-Lqg7e3fkPOue_7D1_Lt</f>
        <v>#NAME?</v>
      </c>
      <c r="B4988">
        <v>393.75</v>
      </c>
      <c r="C4988">
        <v>20.478950000000001</v>
      </c>
      <c r="D4988">
        <v>65</v>
      </c>
      <c r="E4988">
        <v>0</v>
      </c>
      <c r="F4988">
        <v>0</v>
      </c>
      <c r="G4988">
        <v>1</v>
      </c>
      <c r="H4988" s="4">
        <v>1570551012396</v>
      </c>
      <c r="I4988">
        <v>526.6875</v>
      </c>
      <c r="J4988" s="9">
        <f t="shared" si="77"/>
        <v>43746.965421249995</v>
      </c>
      <c r="K4988" s="1"/>
    </row>
    <row r="4989" spans="1:11" x14ac:dyDescent="0.25">
      <c r="A4989" t="e">
        <f>-Lqg7fcwuH7nA96F6x8B</f>
        <v>#NAME?</v>
      </c>
      <c r="B4989">
        <v>393.75</v>
      </c>
      <c r="C4989">
        <v>20.478950000000001</v>
      </c>
      <c r="D4989">
        <v>66</v>
      </c>
      <c r="E4989">
        <v>0</v>
      </c>
      <c r="F4989">
        <v>0</v>
      </c>
      <c r="G4989">
        <v>8</v>
      </c>
      <c r="H4989" s="4">
        <v>1570551018965</v>
      </c>
      <c r="I4989">
        <v>526.6875</v>
      </c>
      <c r="J4989" s="9">
        <f t="shared" si="77"/>
        <v>43746.965497280085</v>
      </c>
      <c r="K4989" s="1"/>
    </row>
    <row r="4990" spans="1:11" x14ac:dyDescent="0.25">
      <c r="A4990" t="e">
        <f>-Lqg7hBxHwUWpIkH8Ilb</f>
        <v>#NAME?</v>
      </c>
      <c r="B4990">
        <v>393.75</v>
      </c>
      <c r="C4990">
        <v>20.478950000000001</v>
      </c>
      <c r="D4990">
        <v>64</v>
      </c>
      <c r="E4990">
        <v>0</v>
      </c>
      <c r="F4990">
        <v>0</v>
      </c>
      <c r="G4990">
        <v>10</v>
      </c>
      <c r="H4990" s="4">
        <v>1570551025173</v>
      </c>
      <c r="I4990">
        <v>526.5</v>
      </c>
      <c r="J4990" s="9">
        <f t="shared" si="77"/>
        <v>43746.965569131942</v>
      </c>
      <c r="K4990" s="1"/>
    </row>
    <row r="4991" spans="1:11" x14ac:dyDescent="0.25">
      <c r="A4991" t="e">
        <f>-Lqg7ifz6Iwx1EfG1ADa</f>
        <v>#NAME?</v>
      </c>
      <c r="B4991">
        <v>412.5</v>
      </c>
      <c r="C4991">
        <v>20.531590000000001</v>
      </c>
      <c r="D4991">
        <v>64</v>
      </c>
      <c r="E4991">
        <v>0</v>
      </c>
      <c r="F4991">
        <v>0</v>
      </c>
      <c r="G4991">
        <v>5</v>
      </c>
      <c r="H4991" s="4">
        <v>1570551031354</v>
      </c>
      <c r="I4991">
        <v>532.3125</v>
      </c>
      <c r="J4991" s="9">
        <f t="shared" si="77"/>
        <v>43746.965640671297</v>
      </c>
      <c r="K4991" s="1"/>
    </row>
    <row r="4992" spans="1:11" x14ac:dyDescent="0.25">
      <c r="A4992" t="e">
        <f>-Lqg7k8jKfBw8_q4utoC</f>
        <v>#NAME?</v>
      </c>
      <c r="B4992">
        <v>393.75</v>
      </c>
      <c r="C4992">
        <v>20.478950000000001</v>
      </c>
      <c r="D4992">
        <v>65</v>
      </c>
      <c r="E4992">
        <v>0</v>
      </c>
      <c r="F4992">
        <v>0</v>
      </c>
      <c r="G4992">
        <v>9</v>
      </c>
      <c r="H4992" s="4">
        <v>1570551037524</v>
      </c>
      <c r="I4992">
        <v>526.6875</v>
      </c>
      <c r="J4992" s="9">
        <f t="shared" si="77"/>
        <v>43746.965712083336</v>
      </c>
      <c r="K4992" s="1"/>
    </row>
    <row r="4993" spans="1:11" x14ac:dyDescent="0.25">
      <c r="A4993" t="e">
        <f>-Lqg7lk366PN7C4Tlym7</f>
        <v>#NAME?</v>
      </c>
      <c r="B4993">
        <v>393.75</v>
      </c>
      <c r="C4993">
        <v>20.478950000000001</v>
      </c>
      <c r="D4993">
        <v>65</v>
      </c>
      <c r="E4993">
        <v>0</v>
      </c>
      <c r="F4993">
        <v>0</v>
      </c>
      <c r="G4993">
        <v>8</v>
      </c>
      <c r="H4993" s="4">
        <v>1570551043724</v>
      </c>
      <c r="I4993">
        <v>526.6875</v>
      </c>
      <c r="J4993" s="9">
        <f t="shared" si="77"/>
        <v>43746.965783842592</v>
      </c>
      <c r="K4993" s="1"/>
    </row>
    <row r="4994" spans="1:11" x14ac:dyDescent="0.25">
      <c r="A4994" t="e">
        <f>-Lqg7nT216QCxx7QLXGn</f>
        <v>#NAME?</v>
      </c>
      <c r="B4994">
        <v>393.75</v>
      </c>
      <c r="C4994">
        <v>20.478950000000001</v>
      </c>
      <c r="D4994">
        <v>66</v>
      </c>
      <c r="E4994">
        <v>0</v>
      </c>
      <c r="F4994">
        <v>0</v>
      </c>
      <c r="G4994">
        <v>5</v>
      </c>
      <c r="H4994" s="4">
        <v>1570551050944</v>
      </c>
      <c r="I4994">
        <v>526.6875</v>
      </c>
      <c r="J4994" s="9">
        <f t="shared" si="77"/>
        <v>43746.965867407409</v>
      </c>
      <c r="K4994" s="1"/>
    </row>
    <row r="4995" spans="1:11" x14ac:dyDescent="0.25">
      <c r="A4995" t="e">
        <f>-Lqg7pF3Bgbm6PhjYYiY</f>
        <v>#NAME?</v>
      </c>
      <c r="B4995">
        <v>393.75</v>
      </c>
      <c r="C4995">
        <v>20.531590000000001</v>
      </c>
      <c r="D4995">
        <v>66</v>
      </c>
      <c r="E4995">
        <v>0</v>
      </c>
      <c r="F4995">
        <v>0</v>
      </c>
      <c r="G4995">
        <v>10</v>
      </c>
      <c r="H4995" s="4">
        <v>1570551057124</v>
      </c>
      <c r="I4995">
        <v>526.6875</v>
      </c>
      <c r="J4995" s="9">
        <f t="shared" ref="J4995:J5058" si="78">(H4995/86400000)+25569+(7/24)</f>
        <v>43746.96593893518</v>
      </c>
      <c r="K4995" s="1"/>
    </row>
    <row r="4996" spans="1:11" x14ac:dyDescent="0.25">
      <c r="A4996" t="e">
        <f>-Lqg7qwh12LjbBdgoUBv</f>
        <v>#NAME?</v>
      </c>
      <c r="B4996">
        <v>393.75</v>
      </c>
      <c r="C4996">
        <v>20.478950000000001</v>
      </c>
      <c r="D4996">
        <v>66</v>
      </c>
      <c r="E4996">
        <v>0</v>
      </c>
      <c r="F4996">
        <v>0</v>
      </c>
      <c r="G4996">
        <v>16</v>
      </c>
      <c r="H4996" s="4">
        <v>1570551065362</v>
      </c>
      <c r="I4996">
        <v>526.6875</v>
      </c>
      <c r="J4996" s="9">
        <f t="shared" si="78"/>
        <v>43746.966034282406</v>
      </c>
      <c r="K4996" s="1"/>
    </row>
    <row r="4997" spans="1:11" x14ac:dyDescent="0.25">
      <c r="A4997" t="e">
        <f>-Lqg7sWweM-ldHgDUkiv</f>
        <v>#NAME?</v>
      </c>
      <c r="B4997">
        <v>421.875</v>
      </c>
      <c r="C4997">
        <v>20.478950000000001</v>
      </c>
      <c r="D4997">
        <v>66</v>
      </c>
      <c r="E4997">
        <v>0</v>
      </c>
      <c r="F4997">
        <v>0</v>
      </c>
      <c r="G4997">
        <v>0</v>
      </c>
      <c r="H4997" s="4">
        <v>1570551071552</v>
      </c>
      <c r="I4997">
        <v>535.5</v>
      </c>
      <c r="J4997" s="9">
        <f t="shared" si="78"/>
        <v>43746.966105925923</v>
      </c>
      <c r="K4997" s="1"/>
    </row>
    <row r="4998" spans="1:11" x14ac:dyDescent="0.25">
      <c r="A4998" t="e">
        <f>-Lqg7u1ooWYVmo5qCFbI</f>
        <v>#NAME?</v>
      </c>
      <c r="B4998">
        <v>393.75</v>
      </c>
      <c r="C4998">
        <v>20.478950000000001</v>
      </c>
      <c r="D4998">
        <v>66</v>
      </c>
      <c r="E4998">
        <v>0</v>
      </c>
      <c r="F4998">
        <v>0</v>
      </c>
      <c r="G4998">
        <v>5</v>
      </c>
      <c r="H4998" s="4">
        <v>1570551077723</v>
      </c>
      <c r="I4998">
        <v>526.6875</v>
      </c>
      <c r="J4998" s="9">
        <f t="shared" si="78"/>
        <v>43746.966177349539</v>
      </c>
      <c r="K4998" s="1"/>
    </row>
    <row r="4999" spans="1:11" x14ac:dyDescent="0.25">
      <c r="A4999" t="e">
        <f>-Lqg7vk2fU41JQk4xEU4</f>
        <v>#NAME?</v>
      </c>
      <c r="B4999">
        <v>393.75</v>
      </c>
      <c r="C4999">
        <v>20.531590000000001</v>
      </c>
      <c r="D4999">
        <v>66</v>
      </c>
      <c r="E4999">
        <v>0</v>
      </c>
      <c r="F4999">
        <v>0</v>
      </c>
      <c r="G4999">
        <v>5</v>
      </c>
      <c r="H4999" s="4">
        <v>1570551084944</v>
      </c>
      <c r="I4999">
        <v>526.6875</v>
      </c>
      <c r="J4999" s="9">
        <f t="shared" si="78"/>
        <v>43746.966260925925</v>
      </c>
      <c r="K4999" s="1"/>
    </row>
    <row r="5000" spans="1:11" x14ac:dyDescent="0.25">
      <c r="A5000" t="e">
        <f>-Lqg7xEMk9cezUueRvbY</f>
        <v>#NAME?</v>
      </c>
      <c r="B5000">
        <v>393.75</v>
      </c>
      <c r="C5000">
        <v>20.531590000000001</v>
      </c>
      <c r="D5000">
        <v>65</v>
      </c>
      <c r="E5000">
        <v>0</v>
      </c>
      <c r="F5000">
        <v>0</v>
      </c>
      <c r="G5000">
        <v>16</v>
      </c>
      <c r="H5000" s="4">
        <v>1570551091122</v>
      </c>
      <c r="I5000">
        <v>526.6875</v>
      </c>
      <c r="J5000" s="9">
        <f t="shared" si="78"/>
        <v>43746.966332430551</v>
      </c>
      <c r="K5000" s="1"/>
    </row>
    <row r="5001" spans="1:11" x14ac:dyDescent="0.25">
      <c r="A5001" t="e">
        <f>-Lqg7z11RywENXWGlcmE</f>
        <v>#NAME?</v>
      </c>
      <c r="B5001">
        <v>393.75</v>
      </c>
      <c r="C5001">
        <v>20.478950000000001</v>
      </c>
      <c r="D5001">
        <v>65</v>
      </c>
      <c r="E5001">
        <v>0</v>
      </c>
      <c r="F5001">
        <v>0</v>
      </c>
      <c r="G5001">
        <v>7</v>
      </c>
      <c r="H5001" s="4">
        <v>1570551097314</v>
      </c>
      <c r="I5001">
        <v>526.6875</v>
      </c>
      <c r="J5001" s="9">
        <f t="shared" si="78"/>
        <v>43746.96640409722</v>
      </c>
      <c r="K5001" s="1"/>
    </row>
    <row r="5002" spans="1:11" x14ac:dyDescent="0.25">
      <c r="A5002" t="e">
        <f>-#REF!-ZwgLqRcgLQ3z7D</f>
        <v>#REF!</v>
      </c>
      <c r="B5002">
        <v>393.75</v>
      </c>
      <c r="C5002">
        <v>20.478950000000001</v>
      </c>
      <c r="D5002">
        <v>64</v>
      </c>
      <c r="E5002">
        <v>0</v>
      </c>
      <c r="F5002">
        <v>0</v>
      </c>
      <c r="G5002">
        <v>14</v>
      </c>
      <c r="H5002" s="4">
        <v>1570551104523</v>
      </c>
      <c r="I5002">
        <v>526.6875</v>
      </c>
      <c r="J5002" s="9">
        <f t="shared" si="78"/>
        <v>43746.966487534715</v>
      </c>
      <c r="K5002" s="1"/>
    </row>
    <row r="5003" spans="1:11" x14ac:dyDescent="0.25">
      <c r="A5003" t="e">
        <f>-Lqg8142HFrnSkj10kms</f>
        <v>#NAME?</v>
      </c>
      <c r="B5003">
        <v>393.75</v>
      </c>
      <c r="C5003">
        <v>20.478950000000001</v>
      </c>
      <c r="D5003">
        <v>64</v>
      </c>
      <c r="E5003">
        <v>0</v>
      </c>
      <c r="F5003">
        <v>0</v>
      </c>
      <c r="G5003">
        <v>13</v>
      </c>
      <c r="H5003" s="4">
        <v>1570551110683</v>
      </c>
      <c r="I5003">
        <v>526.6875</v>
      </c>
      <c r="J5003" s="9">
        <f t="shared" si="78"/>
        <v>43746.966558831016</v>
      </c>
      <c r="K5003" s="1"/>
    </row>
    <row r="5004" spans="1:11" x14ac:dyDescent="0.25">
      <c r="A5004" t="e">
        <f>-Lqg82X-LcEKHWdGwfiX</f>
        <v>#NAME?</v>
      </c>
      <c r="B5004">
        <v>412.5</v>
      </c>
      <c r="C5004">
        <v>20.531590000000001</v>
      </c>
      <c r="D5004">
        <v>65</v>
      </c>
      <c r="E5004">
        <v>0</v>
      </c>
      <c r="F5004">
        <v>0</v>
      </c>
      <c r="G5004">
        <v>9</v>
      </c>
      <c r="H5004" s="4">
        <v>1570551116882</v>
      </c>
      <c r="I5004">
        <v>532.3125</v>
      </c>
      <c r="J5004" s="9">
        <f t="shared" si="78"/>
        <v>43746.966630578703</v>
      </c>
      <c r="K5004" s="1"/>
    </row>
    <row r="5005" spans="1:11" x14ac:dyDescent="0.25">
      <c r="A5005" t="e">
        <f>-Lqg84716Rw9lwqP7MTD</f>
        <v>#NAME?</v>
      </c>
      <c r="B5005">
        <v>393.75</v>
      </c>
      <c r="C5005">
        <v>20.478950000000001</v>
      </c>
      <c r="D5005">
        <v>65</v>
      </c>
      <c r="E5005">
        <v>0</v>
      </c>
      <c r="F5005">
        <v>0</v>
      </c>
      <c r="G5005">
        <v>19</v>
      </c>
      <c r="H5005" s="4">
        <v>1570551123072</v>
      </c>
      <c r="I5005">
        <v>526.6875</v>
      </c>
      <c r="J5005" s="9">
        <f t="shared" si="78"/>
        <v>43746.96670222222</v>
      </c>
      <c r="K5005" s="1"/>
    </row>
    <row r="5006" spans="1:11" x14ac:dyDescent="0.25">
      <c r="A5006" t="e">
        <f>-Lqg85q1rNuWoPNPwyqr</f>
        <v>#NAME?</v>
      </c>
      <c r="B5006">
        <v>393.75</v>
      </c>
      <c r="C5006">
        <v>20.478950000000001</v>
      </c>
      <c r="D5006">
        <v>65</v>
      </c>
      <c r="E5006">
        <v>0</v>
      </c>
      <c r="F5006">
        <v>0</v>
      </c>
      <c r="G5006">
        <v>6</v>
      </c>
      <c r="H5006" s="4">
        <v>1570551130282</v>
      </c>
      <c r="I5006">
        <v>526.6875</v>
      </c>
      <c r="J5006" s="9">
        <f t="shared" si="78"/>
        <v>43746.966785671299</v>
      </c>
      <c r="K5006" s="1"/>
    </row>
    <row r="5007" spans="1:11" x14ac:dyDescent="0.25">
      <c r="A5007" t="s">
        <v>279</v>
      </c>
      <c r="B5007">
        <v>393.75</v>
      </c>
      <c r="C5007">
        <v>20.478950000000001</v>
      </c>
      <c r="D5007">
        <v>66</v>
      </c>
      <c r="E5007">
        <v>0</v>
      </c>
      <c r="F5007">
        <v>0</v>
      </c>
      <c r="G5007">
        <v>7</v>
      </c>
      <c r="H5007" s="4">
        <v>1570551136472</v>
      </c>
      <c r="I5007">
        <v>526.6875</v>
      </c>
      <c r="J5007" s="9">
        <f t="shared" si="78"/>
        <v>43746.966857314816</v>
      </c>
      <c r="K5007" s="1"/>
    </row>
    <row r="5008" spans="1:11" x14ac:dyDescent="0.25">
      <c r="A5008" t="e">
        <f>-Lqg89JgDQtMFWx6nSl7</f>
        <v>#NAME?</v>
      </c>
      <c r="B5008">
        <v>393.75</v>
      </c>
      <c r="C5008">
        <v>20.531590000000001</v>
      </c>
      <c r="D5008">
        <v>66</v>
      </c>
      <c r="E5008">
        <v>0</v>
      </c>
      <c r="F5008">
        <v>0</v>
      </c>
      <c r="G5008">
        <v>10</v>
      </c>
      <c r="H5008" s="4">
        <v>1570551144722</v>
      </c>
      <c r="I5008">
        <v>526.5</v>
      </c>
      <c r="J5008" s="9">
        <f t="shared" si="78"/>
        <v>43746.966952800918</v>
      </c>
      <c r="K5008" s="1"/>
    </row>
    <row r="5009" spans="1:11" x14ac:dyDescent="0.25">
      <c r="A5009" t="e">
        <f>-Lqg8Av2SrbwIcgPdUI6</f>
        <v>#NAME?</v>
      </c>
      <c r="B5009">
        <v>393.75</v>
      </c>
      <c r="C5009">
        <v>20.531590000000001</v>
      </c>
      <c r="D5009">
        <v>66</v>
      </c>
      <c r="E5009">
        <v>0</v>
      </c>
      <c r="F5009">
        <v>0</v>
      </c>
      <c r="G5009">
        <v>0</v>
      </c>
      <c r="H5009" s="4">
        <v>1570551150909</v>
      </c>
      <c r="I5009">
        <v>526.6875</v>
      </c>
      <c r="J5009" s="9">
        <f t="shared" si="78"/>
        <v>43746.967024409721</v>
      </c>
      <c r="K5009" s="1"/>
    </row>
    <row r="5010" spans="1:11" x14ac:dyDescent="0.25">
      <c r="A5010" t="e">
        <f>-Lqg8Cbwh92yxPie0iwi</f>
        <v>#NAME?</v>
      </c>
      <c r="B5010">
        <v>393.75</v>
      </c>
      <c r="C5010">
        <v>20.478950000000001</v>
      </c>
      <c r="D5010">
        <v>66</v>
      </c>
      <c r="E5010">
        <v>0</v>
      </c>
      <c r="F5010">
        <v>0</v>
      </c>
      <c r="G5010">
        <v>14</v>
      </c>
      <c r="H5010" s="4">
        <v>1570551158130</v>
      </c>
      <c r="I5010">
        <v>526.6875</v>
      </c>
      <c r="J5010" s="9">
        <f t="shared" si="78"/>
        <v>43746.967107986107</v>
      </c>
      <c r="K5010" s="1"/>
    </row>
    <row r="5011" spans="1:11" x14ac:dyDescent="0.25">
      <c r="A5011" t="e">
        <f>-Lqg8E651cwCLp0EhsR1</f>
        <v>#NAME?</v>
      </c>
      <c r="B5011">
        <v>393.75</v>
      </c>
      <c r="C5011">
        <v>20.531590000000001</v>
      </c>
      <c r="D5011">
        <v>67</v>
      </c>
      <c r="E5011">
        <v>0</v>
      </c>
      <c r="F5011">
        <v>0</v>
      </c>
      <c r="G5011">
        <v>3</v>
      </c>
      <c r="H5011" s="4">
        <v>1570551164316</v>
      </c>
      <c r="I5011">
        <v>526.6875</v>
      </c>
      <c r="J5011" s="9">
        <f t="shared" si="78"/>
        <v>43746.967179583335</v>
      </c>
      <c r="K5011" s="1"/>
    </row>
    <row r="5012" spans="1:11" x14ac:dyDescent="0.25">
      <c r="A5012" t="e">
        <f>-Lqg8Fg1n6ZhFvNXXY9i</f>
        <v>#NAME?</v>
      </c>
      <c r="B5012">
        <v>393.75</v>
      </c>
      <c r="C5012">
        <v>20.531590000000001</v>
      </c>
      <c r="D5012">
        <v>67</v>
      </c>
      <c r="E5012">
        <v>0</v>
      </c>
      <c r="F5012">
        <v>0</v>
      </c>
      <c r="G5012">
        <v>0</v>
      </c>
      <c r="H5012" s="4">
        <v>1570551170472</v>
      </c>
      <c r="I5012">
        <v>526.6875</v>
      </c>
      <c r="J5012" s="9">
        <f t="shared" si="78"/>
        <v>43746.967250833331</v>
      </c>
      <c r="K5012" s="1"/>
    </row>
    <row r="5013" spans="1:11" x14ac:dyDescent="0.25">
      <c r="A5013" t="e">
        <f>-Lqg8HMgl_ZJkVlzzfC5</f>
        <v>#NAME?</v>
      </c>
      <c r="B5013">
        <v>434.375</v>
      </c>
      <c r="C5013">
        <v>20.531590000000001</v>
      </c>
      <c r="D5013">
        <v>67</v>
      </c>
      <c r="E5013">
        <v>0</v>
      </c>
      <c r="F5013">
        <v>0</v>
      </c>
      <c r="G5013">
        <v>10</v>
      </c>
      <c r="H5013" s="4">
        <v>1570551177685</v>
      </c>
      <c r="I5013">
        <v>539.8125</v>
      </c>
      <c r="J5013" s="9">
        <f t="shared" si="78"/>
        <v>43746.967334317123</v>
      </c>
      <c r="K5013" s="1"/>
    </row>
    <row r="5014" spans="1:11" x14ac:dyDescent="0.25">
      <c r="A5014" t="e">
        <f>-Lqg8IyBXRrQ57ABq6C5</f>
        <v>#NAME?</v>
      </c>
      <c r="B5014">
        <v>393.75</v>
      </c>
      <c r="C5014">
        <v>20.584240000000001</v>
      </c>
      <c r="D5014">
        <v>68</v>
      </c>
      <c r="E5014">
        <v>0</v>
      </c>
      <c r="F5014">
        <v>0</v>
      </c>
      <c r="G5014">
        <v>5</v>
      </c>
      <c r="H5014" s="4">
        <v>1570551183873</v>
      </c>
      <c r="I5014">
        <v>526.6875</v>
      </c>
      <c r="J5014" s="9">
        <f t="shared" si="78"/>
        <v>43746.967405937503</v>
      </c>
      <c r="K5014" s="1"/>
    </row>
    <row r="5015" spans="1:11" x14ac:dyDescent="0.25">
      <c r="A5015" t="e">
        <f>-Lqg8KeygzBZM3uOsLrS</f>
        <v>#NAME?</v>
      </c>
      <c r="B5015">
        <v>393.75</v>
      </c>
      <c r="C5015">
        <v>20.531590000000001</v>
      </c>
      <c r="D5015">
        <v>65</v>
      </c>
      <c r="E5015">
        <v>0</v>
      </c>
      <c r="F5015">
        <v>0</v>
      </c>
      <c r="G5015">
        <v>12</v>
      </c>
      <c r="H5015" s="4">
        <v>1570551191093</v>
      </c>
      <c r="I5015">
        <v>526.6875</v>
      </c>
      <c r="J5015" s="9">
        <f t="shared" si="78"/>
        <v>43746.967489502313</v>
      </c>
      <c r="K5015" s="1"/>
    </row>
    <row r="5016" spans="1:11" x14ac:dyDescent="0.25">
      <c r="A5016" t="s">
        <v>280</v>
      </c>
      <c r="B5016">
        <v>412.5</v>
      </c>
      <c r="C5016">
        <v>20.531590000000001</v>
      </c>
      <c r="D5016">
        <v>65</v>
      </c>
      <c r="E5016">
        <v>0</v>
      </c>
      <c r="F5016">
        <v>0</v>
      </c>
      <c r="G5016">
        <v>12</v>
      </c>
      <c r="H5016" s="4">
        <v>1570551197274</v>
      </c>
      <c r="I5016">
        <v>532.5</v>
      </c>
      <c r="J5016" s="9">
        <f t="shared" si="78"/>
        <v>43746.967561041667</v>
      </c>
      <c r="K5016" s="1"/>
    </row>
    <row r="5017" spans="1:11" x14ac:dyDescent="0.25">
      <c r="A5017" t="e">
        <f>-Lqg8Nhyp2eZ_SiBi62D</f>
        <v>#NAME?</v>
      </c>
      <c r="B5017">
        <v>393.75</v>
      </c>
      <c r="C5017">
        <v>20.478950000000001</v>
      </c>
      <c r="D5017">
        <v>65</v>
      </c>
      <c r="E5017">
        <v>0</v>
      </c>
      <c r="F5017">
        <v>0</v>
      </c>
      <c r="G5017">
        <v>15</v>
      </c>
      <c r="H5017" s="4">
        <v>1570551203462</v>
      </c>
      <c r="I5017">
        <v>526.6875</v>
      </c>
      <c r="J5017" s="9">
        <f t="shared" si="78"/>
        <v>43746.967632662032</v>
      </c>
      <c r="K5017" s="1"/>
    </row>
    <row r="5018" spans="1:11" x14ac:dyDescent="0.25">
      <c r="A5018" t="e">
        <f>-Lqg8PBwAhoyLChMjTLF</f>
        <v>#NAME?</v>
      </c>
      <c r="B5018">
        <v>393.75</v>
      </c>
      <c r="C5018">
        <v>20.531590000000001</v>
      </c>
      <c r="D5018">
        <v>66</v>
      </c>
      <c r="E5018">
        <v>0</v>
      </c>
      <c r="F5018">
        <v>0</v>
      </c>
      <c r="G5018">
        <v>15</v>
      </c>
      <c r="H5018" s="4">
        <v>1570551209644</v>
      </c>
      <c r="I5018">
        <v>526.6875</v>
      </c>
      <c r="J5018" s="9">
        <f t="shared" si="78"/>
        <v>43746.967704212955</v>
      </c>
      <c r="K5018" s="1"/>
    </row>
    <row r="5019" spans="1:11" x14ac:dyDescent="0.25">
      <c r="A5019" t="e">
        <f>-Lqg8Qm1ajoHLQFko3f5</f>
        <v>#NAME?</v>
      </c>
      <c r="B5019">
        <v>393.75</v>
      </c>
      <c r="C5019">
        <v>20.531590000000001</v>
      </c>
      <c r="D5019">
        <v>67</v>
      </c>
      <c r="E5019">
        <v>0</v>
      </c>
      <c r="F5019">
        <v>0</v>
      </c>
      <c r="G5019">
        <v>8</v>
      </c>
      <c r="H5019" s="4">
        <v>1570551215865</v>
      </c>
      <c r="I5019">
        <v>526.6875</v>
      </c>
      <c r="J5019" s="9">
        <f t="shared" si="78"/>
        <v>43746.967776215279</v>
      </c>
      <c r="K5019" s="1"/>
    </row>
    <row r="5020" spans="1:11" x14ac:dyDescent="0.25">
      <c r="A5020" t="e">
        <f>-Lqg8SV1Fk5WaTz1reWN</f>
        <v>#NAME?</v>
      </c>
      <c r="B5020">
        <v>412.5</v>
      </c>
      <c r="C5020">
        <v>20.531590000000001</v>
      </c>
      <c r="D5020">
        <v>67</v>
      </c>
      <c r="E5020">
        <v>0</v>
      </c>
      <c r="F5020">
        <v>0</v>
      </c>
      <c r="G5020">
        <v>17</v>
      </c>
      <c r="H5020" s="4">
        <v>1570551223042</v>
      </c>
      <c r="I5020">
        <v>532.875</v>
      </c>
      <c r="J5020" s="9">
        <f t="shared" si="78"/>
        <v>43746.967859282406</v>
      </c>
      <c r="K5020" s="1"/>
    </row>
    <row r="5021" spans="1:11" x14ac:dyDescent="0.25">
      <c r="A5021" t="e">
        <f>-Lqg8TycXPrdCr0QIkD9</f>
        <v>#NAME?</v>
      </c>
      <c r="B5021">
        <v>393.75</v>
      </c>
      <c r="C5021">
        <v>20.531590000000001</v>
      </c>
      <c r="D5021">
        <v>67</v>
      </c>
      <c r="E5021">
        <v>0</v>
      </c>
      <c r="F5021">
        <v>0</v>
      </c>
      <c r="G5021">
        <v>19</v>
      </c>
      <c r="H5021" s="4">
        <v>1570551229213</v>
      </c>
      <c r="I5021">
        <v>526.6875</v>
      </c>
      <c r="J5021" s="9">
        <f t="shared" si="78"/>
        <v>43746.967930706021</v>
      </c>
      <c r="K5021" s="1"/>
    </row>
    <row r="5022" spans="1:11" x14ac:dyDescent="0.25">
      <c r="A5022" t="e">
        <f>-Lqg8VY2iobtqG8UFixj</f>
        <v>#NAME?</v>
      </c>
      <c r="B5022">
        <v>393.75</v>
      </c>
      <c r="C5022">
        <v>20.478950000000001</v>
      </c>
      <c r="D5022">
        <v>67</v>
      </c>
      <c r="E5022">
        <v>0</v>
      </c>
      <c r="F5022">
        <v>0</v>
      </c>
      <c r="G5022">
        <v>9</v>
      </c>
      <c r="H5022" s="4">
        <v>1570551235402</v>
      </c>
      <c r="I5022">
        <v>526.6875</v>
      </c>
      <c r="J5022" s="9">
        <f t="shared" si="78"/>
        <v>43746.968002337955</v>
      </c>
      <c r="K5022" s="1"/>
    </row>
    <row r="5023" spans="1:11" x14ac:dyDescent="0.25">
      <c r="A5023" t="e">
        <f>-Lqg8XDq-ylSSeZ57cSY</f>
        <v>#NAME?</v>
      </c>
      <c r="B5023">
        <v>393.75</v>
      </c>
      <c r="C5023">
        <v>20.531590000000001</v>
      </c>
      <c r="D5023">
        <v>67</v>
      </c>
      <c r="E5023">
        <v>0</v>
      </c>
      <c r="F5023">
        <v>0</v>
      </c>
      <c r="G5023">
        <v>7</v>
      </c>
      <c r="H5023" s="4">
        <v>1570551242643</v>
      </c>
      <c r="I5023">
        <v>526.6875</v>
      </c>
      <c r="J5023" s="9">
        <f t="shared" si="78"/>
        <v>43746.968086145826</v>
      </c>
      <c r="K5023" s="1"/>
    </row>
    <row r="5024" spans="1:11" x14ac:dyDescent="0.25">
      <c r="A5024" t="e">
        <f>-Lqg8Z32jwhijcmiEN4F</f>
        <v>#NAME?</v>
      </c>
      <c r="B5024">
        <v>393.75</v>
      </c>
      <c r="C5024">
        <v>20.478950000000001</v>
      </c>
      <c r="D5024">
        <v>68</v>
      </c>
      <c r="E5024">
        <v>0</v>
      </c>
      <c r="F5024">
        <v>0</v>
      </c>
      <c r="G5024">
        <v>13</v>
      </c>
      <c r="H5024" s="4">
        <v>1570551249974</v>
      </c>
      <c r="I5024">
        <v>526.6875</v>
      </c>
      <c r="J5024" s="9">
        <f t="shared" si="78"/>
        <v>43746.968170995366</v>
      </c>
      <c r="K5024" s="1"/>
    </row>
    <row r="5025" spans="1:11" x14ac:dyDescent="0.25">
      <c r="A5025" t="e">
        <f>-Lqg8_jFO0BJD-P_K088</f>
        <v>#NAME?</v>
      </c>
      <c r="B5025">
        <v>393.75</v>
      </c>
      <c r="C5025">
        <v>20.478950000000001</v>
      </c>
      <c r="D5025">
        <v>69</v>
      </c>
      <c r="E5025">
        <v>0</v>
      </c>
      <c r="F5025">
        <v>0</v>
      </c>
      <c r="G5025">
        <v>14</v>
      </c>
      <c r="H5025" s="4">
        <v>1570551257043</v>
      </c>
      <c r="I5025">
        <v>526.6875</v>
      </c>
      <c r="J5025" s="9">
        <f t="shared" si="78"/>
        <v>43746.968252812498</v>
      </c>
      <c r="K5025" s="1"/>
    </row>
    <row r="5026" spans="1:11" x14ac:dyDescent="0.25">
      <c r="A5026" t="e">
        <f>-Lqg8bJxP7WtoHyD1NNX</f>
        <v>#NAME?</v>
      </c>
      <c r="B5026">
        <v>393.75</v>
      </c>
      <c r="C5026">
        <v>20.478950000000001</v>
      </c>
      <c r="D5026">
        <v>69</v>
      </c>
      <c r="E5026">
        <v>0</v>
      </c>
      <c r="F5026">
        <v>0</v>
      </c>
      <c r="G5026">
        <v>16</v>
      </c>
      <c r="H5026" s="4">
        <v>1570551263234</v>
      </c>
      <c r="I5026">
        <v>526.6875</v>
      </c>
      <c r="J5026" s="9">
        <f t="shared" si="78"/>
        <v>43746.968324467591</v>
      </c>
      <c r="K5026" s="1"/>
    </row>
    <row r="5027" spans="1:11" x14ac:dyDescent="0.25">
      <c r="A5027" t="e">
        <f>-Lqg8cnwgM3CEQu6bH7M</f>
        <v>#NAME?</v>
      </c>
      <c r="B5027">
        <v>393.75</v>
      </c>
      <c r="C5027">
        <v>20.478950000000001</v>
      </c>
      <c r="D5027">
        <v>69</v>
      </c>
      <c r="E5027">
        <v>0</v>
      </c>
      <c r="F5027">
        <v>0</v>
      </c>
      <c r="G5027">
        <v>10</v>
      </c>
      <c r="H5027" s="4">
        <v>1570551269404</v>
      </c>
      <c r="I5027">
        <v>526.6875</v>
      </c>
      <c r="J5027" s="9">
        <f t="shared" si="78"/>
        <v>43746.96839587963</v>
      </c>
      <c r="K5027" s="1"/>
    </row>
    <row r="5028" spans="1:11" x14ac:dyDescent="0.25">
      <c r="A5028" t="e">
        <f>-Lqg8eZoG7sAZv1JXXKZ</f>
        <v>#NAME?</v>
      </c>
      <c r="B5028">
        <v>393.75</v>
      </c>
      <c r="C5028">
        <v>20.531590000000001</v>
      </c>
      <c r="D5028">
        <v>70</v>
      </c>
      <c r="E5028">
        <v>0</v>
      </c>
      <c r="F5028">
        <v>0</v>
      </c>
      <c r="G5028">
        <v>7</v>
      </c>
      <c r="H5028" s="4">
        <v>1570551275605</v>
      </c>
      <c r="I5028">
        <v>526.6875</v>
      </c>
      <c r="J5028" s="9">
        <f t="shared" si="78"/>
        <v>43746.968467650462</v>
      </c>
      <c r="K5028" s="1"/>
    </row>
    <row r="5029" spans="1:11" x14ac:dyDescent="0.25">
      <c r="A5029" t="e">
        <f>-Lqg8g66dJFOkMe6odoy</f>
        <v>#NAME?</v>
      </c>
      <c r="B5029">
        <v>393.75</v>
      </c>
      <c r="C5029">
        <v>20.478950000000001</v>
      </c>
      <c r="D5029">
        <v>70</v>
      </c>
      <c r="E5029">
        <v>0</v>
      </c>
      <c r="F5029">
        <v>0</v>
      </c>
      <c r="G5029">
        <v>11</v>
      </c>
      <c r="H5029" s="4">
        <v>1570551282815</v>
      </c>
      <c r="I5029">
        <v>526.6875</v>
      </c>
      <c r="J5029" s="9">
        <f t="shared" si="78"/>
        <v>43746.968551099533</v>
      </c>
      <c r="K5029" s="1"/>
    </row>
    <row r="5030" spans="1:11" x14ac:dyDescent="0.25">
      <c r="A5030" t="e">
        <f>-Lqg8hq1kFtCPeXwZY4S</f>
        <v>#NAME?</v>
      </c>
      <c r="B5030">
        <v>393.75</v>
      </c>
      <c r="C5030">
        <v>20.531590000000001</v>
      </c>
      <c r="D5030">
        <v>68</v>
      </c>
      <c r="E5030">
        <v>0</v>
      </c>
      <c r="F5030">
        <v>0</v>
      </c>
      <c r="G5030">
        <v>10</v>
      </c>
      <c r="H5030" s="4">
        <v>1570551290036</v>
      </c>
      <c r="I5030">
        <v>526.6875</v>
      </c>
      <c r="J5030" s="9">
        <f t="shared" si="78"/>
        <v>43746.968634675919</v>
      </c>
      <c r="K5030" s="1"/>
    </row>
    <row r="5031" spans="1:11" x14ac:dyDescent="0.25">
      <c r="A5031" t="e">
        <f>-Lqg8jT42_DypAN6V2V7</f>
        <v>#NAME?</v>
      </c>
      <c r="B5031">
        <v>393.75</v>
      </c>
      <c r="C5031">
        <v>20.531590000000001</v>
      </c>
      <c r="D5031">
        <v>68</v>
      </c>
      <c r="E5031">
        <v>0</v>
      </c>
      <c r="F5031">
        <v>0</v>
      </c>
      <c r="G5031">
        <v>8</v>
      </c>
      <c r="H5031" s="4">
        <v>1570551296215</v>
      </c>
      <c r="I5031">
        <v>526.6875</v>
      </c>
      <c r="J5031" s="9">
        <f t="shared" si="78"/>
        <v>43746.968706192129</v>
      </c>
      <c r="K5031" s="1"/>
    </row>
    <row r="5032" spans="1:11" x14ac:dyDescent="0.25">
      <c r="A5032" t="e">
        <f>-Lqg8l65z_GY1sGTN3W2</f>
        <v>#NAME?</v>
      </c>
      <c r="B5032">
        <v>412.5</v>
      </c>
      <c r="C5032">
        <v>20.531590000000001</v>
      </c>
      <c r="D5032">
        <v>66</v>
      </c>
      <c r="E5032">
        <v>0</v>
      </c>
      <c r="F5032">
        <v>0</v>
      </c>
      <c r="G5032">
        <v>4</v>
      </c>
      <c r="H5032" s="4">
        <v>1570551303446</v>
      </c>
      <c r="I5032">
        <v>532.125</v>
      </c>
      <c r="J5032" s="9">
        <f t="shared" si="78"/>
        <v>43746.96878988426</v>
      </c>
      <c r="K5032" s="1"/>
    </row>
    <row r="5033" spans="1:11" x14ac:dyDescent="0.25">
      <c r="A5033" t="e">
        <f>-Lqg8mfF79hf93At4p5l</f>
        <v>#NAME?</v>
      </c>
      <c r="B5033">
        <v>393.75</v>
      </c>
      <c r="C5033">
        <v>20.531590000000001</v>
      </c>
      <c r="D5033">
        <v>66</v>
      </c>
      <c r="E5033">
        <v>0</v>
      </c>
      <c r="F5033">
        <v>0</v>
      </c>
      <c r="G5033">
        <v>4</v>
      </c>
      <c r="H5033" s="4">
        <v>1570551309617</v>
      </c>
      <c r="I5033">
        <v>526.6875</v>
      </c>
      <c r="J5033" s="9">
        <f t="shared" si="78"/>
        <v>43746.968861307869</v>
      </c>
      <c r="K5033" s="1"/>
    </row>
    <row r="5034" spans="1:11" x14ac:dyDescent="0.25">
      <c r="A5034" t="e">
        <f>-Lqg8oO5AzfYgqe9LNNA</f>
        <v>#NAME?</v>
      </c>
      <c r="B5034">
        <v>393.75</v>
      </c>
      <c r="C5034">
        <v>20.531590000000001</v>
      </c>
      <c r="D5034">
        <v>66</v>
      </c>
      <c r="E5034">
        <v>0</v>
      </c>
      <c r="F5034">
        <v>0</v>
      </c>
      <c r="G5034">
        <v>12</v>
      </c>
      <c r="H5034" s="4">
        <v>1570551316826</v>
      </c>
      <c r="I5034">
        <v>526.5</v>
      </c>
      <c r="J5034" s="9">
        <f t="shared" si="78"/>
        <v>43746.968944745364</v>
      </c>
      <c r="K5034" s="1"/>
    </row>
    <row r="5035" spans="1:11" x14ac:dyDescent="0.25">
      <c r="A5035" t="e">
        <f>-Lqg8ps5hvpC2udToIDq</f>
        <v>#NAME?</v>
      </c>
      <c r="B5035">
        <v>412.5</v>
      </c>
      <c r="C5035">
        <v>20.478950000000001</v>
      </c>
      <c r="D5035">
        <v>66</v>
      </c>
      <c r="E5035">
        <v>0</v>
      </c>
      <c r="F5035">
        <v>0</v>
      </c>
      <c r="G5035">
        <v>12</v>
      </c>
      <c r="H5035" s="4">
        <v>1570551323025</v>
      </c>
      <c r="I5035">
        <v>532.3125</v>
      </c>
      <c r="J5035" s="9">
        <f t="shared" si="78"/>
        <v>43746.969016493058</v>
      </c>
      <c r="K5035" s="1"/>
    </row>
    <row r="5036" spans="1:11" x14ac:dyDescent="0.25">
      <c r="A5036" t="e">
        <f>-Lqg8rR4IXVEVuNJj2xB</f>
        <v>#NAME?</v>
      </c>
      <c r="B5036">
        <v>393.75</v>
      </c>
      <c r="C5036">
        <v>20.531590000000001</v>
      </c>
      <c r="D5036">
        <v>65</v>
      </c>
      <c r="E5036">
        <v>0</v>
      </c>
      <c r="F5036">
        <v>0</v>
      </c>
      <c r="G5036">
        <v>12</v>
      </c>
      <c r="H5036" s="4">
        <v>1570551329206</v>
      </c>
      <c r="I5036">
        <v>526.6875</v>
      </c>
      <c r="J5036" s="9">
        <f t="shared" si="78"/>
        <v>43746.969088032405</v>
      </c>
      <c r="K5036" s="1"/>
    </row>
    <row r="5037" spans="1:11" x14ac:dyDescent="0.25">
      <c r="A5037" t="e">
        <f>-Lqg8t95o-nuzkBtai2S</f>
        <v>#NAME?</v>
      </c>
      <c r="B5037">
        <v>393.75</v>
      </c>
      <c r="C5037">
        <v>20.531590000000001</v>
      </c>
      <c r="D5037">
        <v>67</v>
      </c>
      <c r="E5037">
        <v>0</v>
      </c>
      <c r="F5037">
        <v>0</v>
      </c>
      <c r="G5037">
        <v>2</v>
      </c>
      <c r="H5037" s="4">
        <v>1570551336406</v>
      </c>
      <c r="I5037">
        <v>526.6875</v>
      </c>
      <c r="J5037" s="9">
        <f t="shared" si="78"/>
        <v>43746.969171365738</v>
      </c>
      <c r="K5037" s="1"/>
    </row>
    <row r="5038" spans="1:11" x14ac:dyDescent="0.25">
      <c r="A5038" t="e">
        <f>-Lqg8uhdXKn-_6PsnggF</f>
        <v>#NAME?</v>
      </c>
      <c r="B5038">
        <v>393.75</v>
      </c>
      <c r="C5038">
        <v>20.478950000000001</v>
      </c>
      <c r="D5038">
        <v>66</v>
      </c>
      <c r="E5038">
        <v>0</v>
      </c>
      <c r="F5038">
        <v>0</v>
      </c>
      <c r="G5038">
        <v>15</v>
      </c>
      <c r="H5038" s="4">
        <v>1570551342597</v>
      </c>
      <c r="I5038">
        <v>526.6875</v>
      </c>
      <c r="J5038" s="9">
        <f t="shared" si="78"/>
        <v>43746.969243020831</v>
      </c>
      <c r="K5038" s="1"/>
    </row>
    <row r="5039" spans="1:11" x14ac:dyDescent="0.25">
      <c r="A5039" t="e">
        <f>-Lqg8wR6mZqMd_gNYUq9</f>
        <v>#NAME?</v>
      </c>
      <c r="B5039">
        <v>393.75</v>
      </c>
      <c r="C5039">
        <v>20.478950000000001</v>
      </c>
      <c r="D5039">
        <v>66</v>
      </c>
      <c r="E5039">
        <v>0</v>
      </c>
      <c r="F5039">
        <v>0</v>
      </c>
      <c r="G5039">
        <v>4</v>
      </c>
      <c r="H5039" s="4">
        <v>1570551349807</v>
      </c>
      <c r="I5039">
        <v>526.6875</v>
      </c>
      <c r="J5039" s="9">
        <f t="shared" si="78"/>
        <v>43746.969326469909</v>
      </c>
      <c r="K5039" s="1"/>
    </row>
    <row r="5040" spans="1:11" x14ac:dyDescent="0.25">
      <c r="A5040" t="e">
        <f>-Lqg8xv5Li6WDkW-upmZ</f>
        <v>#NAME?</v>
      </c>
      <c r="B5040">
        <v>393.75</v>
      </c>
      <c r="C5040">
        <v>20.584240000000001</v>
      </c>
      <c r="D5040">
        <v>67</v>
      </c>
      <c r="E5040">
        <v>0</v>
      </c>
      <c r="F5040">
        <v>0</v>
      </c>
      <c r="G5040">
        <v>3</v>
      </c>
      <c r="H5040" s="4">
        <v>1570551355997</v>
      </c>
      <c r="I5040">
        <v>526.5</v>
      </c>
      <c r="J5040" s="9">
        <f t="shared" si="78"/>
        <v>43746.969398113426</v>
      </c>
      <c r="K5040" s="1"/>
    </row>
    <row r="5041" spans="1:11" x14ac:dyDescent="0.25">
      <c r="A5041" t="e">
        <f>-Lqg8zU5__hf0TvXIyR3</f>
        <v>#NAME?</v>
      </c>
      <c r="B5041">
        <v>393.75</v>
      </c>
      <c r="C5041">
        <v>20.478950000000001</v>
      </c>
      <c r="D5041">
        <v>67</v>
      </c>
      <c r="E5041">
        <v>0</v>
      </c>
      <c r="F5041">
        <v>0</v>
      </c>
      <c r="G5041">
        <v>20</v>
      </c>
      <c r="H5041" s="4">
        <v>1570551362187</v>
      </c>
      <c r="I5041">
        <v>526.6875</v>
      </c>
      <c r="J5041" s="9">
        <f t="shared" si="78"/>
        <v>43746.969469756943</v>
      </c>
      <c r="K5041" s="1"/>
    </row>
    <row r="5042" spans="1:11" x14ac:dyDescent="0.25">
      <c r="A5042" t="e">
        <f>-#REF!-y6E8hUz7pYWW59</f>
        <v>#REF!</v>
      </c>
      <c r="B5042">
        <v>393.75</v>
      </c>
      <c r="C5042">
        <v>20.531590000000001</v>
      </c>
      <c r="D5042">
        <v>67</v>
      </c>
      <c r="E5042">
        <v>0</v>
      </c>
      <c r="F5042">
        <v>0</v>
      </c>
      <c r="G5042">
        <v>15</v>
      </c>
      <c r="H5042" s="4">
        <v>1570551368366</v>
      </c>
      <c r="I5042">
        <v>526.6875</v>
      </c>
      <c r="J5042" s="9">
        <f t="shared" si="78"/>
        <v>43746.969541273145</v>
      </c>
      <c r="K5042" s="1"/>
    </row>
    <row r="5043" spans="1:11" x14ac:dyDescent="0.25">
      <c r="A5043" t="e">
        <f>-Lqg91SG027ejxdOPEqD</f>
        <v>#NAME?</v>
      </c>
      <c r="B5043">
        <v>393.75</v>
      </c>
      <c r="C5043">
        <v>20.531590000000001</v>
      </c>
      <c r="D5043">
        <v>65</v>
      </c>
      <c r="E5043">
        <v>0</v>
      </c>
      <c r="F5043">
        <v>0</v>
      </c>
      <c r="G5043">
        <v>5</v>
      </c>
      <c r="H5043" s="4">
        <v>1570551374547</v>
      </c>
      <c r="I5043">
        <v>526.5</v>
      </c>
      <c r="J5043" s="9">
        <f t="shared" si="78"/>
        <v>43746.9696128125</v>
      </c>
      <c r="K5043" s="1"/>
    </row>
    <row r="5044" spans="1:11" x14ac:dyDescent="0.25">
      <c r="A5044" t="e">
        <f>-Lqg9306VgbDfWoe_9L0</f>
        <v>#NAME?</v>
      </c>
      <c r="B5044">
        <v>393.75</v>
      </c>
      <c r="C5044">
        <v>20.478950000000001</v>
      </c>
      <c r="D5044">
        <v>63</v>
      </c>
      <c r="E5044">
        <v>0</v>
      </c>
      <c r="F5044">
        <v>0</v>
      </c>
      <c r="G5044">
        <v>13</v>
      </c>
      <c r="H5044" s="4">
        <v>1570551380737</v>
      </c>
      <c r="I5044">
        <v>526.6875</v>
      </c>
      <c r="J5044" s="9">
        <f t="shared" si="78"/>
        <v>43746.969684456017</v>
      </c>
      <c r="K5044" s="1"/>
    </row>
    <row r="5045" spans="1:11" x14ac:dyDescent="0.25">
      <c r="A5045" t="e">
        <f>-Lqg94j7tWjd1NvvIehQ</f>
        <v>#NAME?</v>
      </c>
      <c r="B5045">
        <v>393.75</v>
      </c>
      <c r="C5045">
        <v>20.531590000000001</v>
      </c>
      <c r="D5045">
        <v>63</v>
      </c>
      <c r="E5045">
        <v>0</v>
      </c>
      <c r="F5045">
        <v>0</v>
      </c>
      <c r="G5045">
        <v>9</v>
      </c>
      <c r="H5045" s="4">
        <v>1570551387928</v>
      </c>
      <c r="I5045">
        <v>526.5</v>
      </c>
      <c r="J5045" s="9">
        <f t="shared" si="78"/>
        <v>43746.969767685187</v>
      </c>
      <c r="K5045" s="1"/>
    </row>
    <row r="5046" spans="1:11" x14ac:dyDescent="0.25">
      <c r="A5046" t="e">
        <f>-Lqg96D515jlSCP_81fO</f>
        <v>#NAME?</v>
      </c>
      <c r="B5046">
        <v>393.75</v>
      </c>
      <c r="C5046">
        <v>20.478950000000001</v>
      </c>
      <c r="D5046">
        <v>63</v>
      </c>
      <c r="E5046">
        <v>0</v>
      </c>
      <c r="F5046">
        <v>0</v>
      </c>
      <c r="G5046">
        <v>12</v>
      </c>
      <c r="H5046" s="4">
        <v>1570551394127</v>
      </c>
      <c r="I5046">
        <v>526.6875</v>
      </c>
      <c r="J5046" s="9">
        <f t="shared" si="78"/>
        <v>43746.969839432866</v>
      </c>
      <c r="K5046" s="1"/>
    </row>
    <row r="5047" spans="1:11" x14ac:dyDescent="0.25">
      <c r="A5047" t="e">
        <f>-Lqg97m4m1Dod0u9iVOA</f>
        <v>#NAME?</v>
      </c>
      <c r="B5047">
        <v>393.75</v>
      </c>
      <c r="C5047">
        <v>20.531590000000001</v>
      </c>
      <c r="D5047">
        <v>63</v>
      </c>
      <c r="E5047">
        <v>0</v>
      </c>
      <c r="F5047">
        <v>0</v>
      </c>
      <c r="G5047">
        <v>10</v>
      </c>
      <c r="H5047" s="4">
        <v>1570551400308</v>
      </c>
      <c r="I5047">
        <v>526.6875</v>
      </c>
      <c r="J5047" s="9">
        <f t="shared" si="78"/>
        <v>43746.969910972221</v>
      </c>
      <c r="K5047" s="1"/>
    </row>
    <row r="5048" spans="1:11" x14ac:dyDescent="0.25">
      <c r="A5048" t="e">
        <f>-Lqg99GHwvMkBMETklWy</f>
        <v>#NAME?</v>
      </c>
      <c r="B5048">
        <v>393.75</v>
      </c>
      <c r="C5048">
        <v>20.478950000000001</v>
      </c>
      <c r="D5048">
        <v>65</v>
      </c>
      <c r="E5048">
        <v>0</v>
      </c>
      <c r="F5048">
        <v>0</v>
      </c>
      <c r="G5048">
        <v>9</v>
      </c>
      <c r="H5048" s="4">
        <v>1570551406485</v>
      </c>
      <c r="I5048">
        <v>526.6875</v>
      </c>
      <c r="J5048" s="9">
        <f t="shared" si="78"/>
        <v>43746.969982465271</v>
      </c>
      <c r="K5048" s="1"/>
    </row>
    <row r="5049" spans="1:11" x14ac:dyDescent="0.25">
      <c r="A5049" t="s">
        <v>281</v>
      </c>
      <c r="B5049">
        <v>393.75</v>
      </c>
      <c r="C5049">
        <v>20.531590000000001</v>
      </c>
      <c r="D5049">
        <v>65</v>
      </c>
      <c r="E5049">
        <v>0</v>
      </c>
      <c r="F5049">
        <v>0</v>
      </c>
      <c r="G5049">
        <v>13</v>
      </c>
      <c r="H5049" s="4">
        <v>1570551413706</v>
      </c>
      <c r="I5049">
        <v>526.6875</v>
      </c>
      <c r="J5049" s="9">
        <f t="shared" si="78"/>
        <v>43746.970066041664</v>
      </c>
      <c r="K5049" s="1"/>
    </row>
    <row r="5050" spans="1:11" x14ac:dyDescent="0.25">
      <c r="A5050" t="e">
        <f>-Lqg9CY6G8ktW2XEBW8S</f>
        <v>#NAME?</v>
      </c>
      <c r="B5050">
        <v>393.75</v>
      </c>
      <c r="C5050">
        <v>20.478950000000001</v>
      </c>
      <c r="D5050">
        <v>65</v>
      </c>
      <c r="E5050">
        <v>0</v>
      </c>
      <c r="F5050">
        <v>0</v>
      </c>
      <c r="G5050">
        <v>9</v>
      </c>
      <c r="H5050" s="4">
        <v>1570551419886</v>
      </c>
      <c r="I5050">
        <v>526.6875</v>
      </c>
      <c r="J5050" s="9">
        <f t="shared" si="78"/>
        <v>43746.970137569442</v>
      </c>
      <c r="K5050" s="1"/>
    </row>
    <row r="5051" spans="1:11" x14ac:dyDescent="0.25">
      <c r="A5051" t="e">
        <f>-Lqg9E15KDiOY4nUwc1D</f>
        <v>#NAME?</v>
      </c>
      <c r="B5051">
        <v>393.75</v>
      </c>
      <c r="C5051">
        <v>20.478950000000001</v>
      </c>
      <c r="D5051">
        <v>65</v>
      </c>
      <c r="E5051">
        <v>0</v>
      </c>
      <c r="F5051">
        <v>0</v>
      </c>
      <c r="G5051">
        <v>11</v>
      </c>
      <c r="H5051" s="4">
        <v>1570551426087</v>
      </c>
      <c r="I5051">
        <v>526.5</v>
      </c>
      <c r="J5051" s="9">
        <f t="shared" si="78"/>
        <v>43746.970209340274</v>
      </c>
      <c r="K5051" s="1"/>
    </row>
    <row r="5052" spans="1:11" x14ac:dyDescent="0.25">
      <c r="A5052" t="e">
        <f>-Lqg9Fa5f3cX6oPil22X</f>
        <v>#NAME?</v>
      </c>
      <c r="B5052">
        <v>393.75</v>
      </c>
      <c r="C5052">
        <v>20.531590000000001</v>
      </c>
      <c r="D5052">
        <v>65</v>
      </c>
      <c r="E5052">
        <v>0</v>
      </c>
      <c r="F5052">
        <v>0</v>
      </c>
      <c r="G5052">
        <v>11</v>
      </c>
      <c r="H5052" s="4">
        <v>1570551432256</v>
      </c>
      <c r="I5052">
        <v>526.6875</v>
      </c>
      <c r="J5052" s="9">
        <f t="shared" si="78"/>
        <v>43746.970280740738</v>
      </c>
      <c r="K5052" s="1"/>
    </row>
    <row r="5053" spans="1:11" x14ac:dyDescent="0.25">
      <c r="A5053" t="e">
        <f>-Lqg9H47ZvOmqKRkCV90</f>
        <v>#NAME?</v>
      </c>
      <c r="B5053">
        <v>412.5</v>
      </c>
      <c r="C5053">
        <v>20.531590000000001</v>
      </c>
      <c r="D5053">
        <v>65</v>
      </c>
      <c r="E5053">
        <v>0</v>
      </c>
      <c r="F5053">
        <v>0</v>
      </c>
      <c r="G5053">
        <v>13</v>
      </c>
      <c r="H5053" s="4">
        <v>1570551438437</v>
      </c>
      <c r="I5053">
        <v>532.125</v>
      </c>
      <c r="J5053" s="9">
        <f t="shared" si="78"/>
        <v>43746.970352280092</v>
      </c>
      <c r="K5053" s="1"/>
    </row>
    <row r="5054" spans="1:11" x14ac:dyDescent="0.25">
      <c r="A5054" t="e">
        <f>-Lqg9IZG1E9TZy9D40wq</f>
        <v>#NAME?</v>
      </c>
      <c r="B5054">
        <v>393.75</v>
      </c>
      <c r="C5054">
        <v>20.531590000000001</v>
      </c>
      <c r="D5054">
        <v>64</v>
      </c>
      <c r="E5054">
        <v>0</v>
      </c>
      <c r="F5054">
        <v>0</v>
      </c>
      <c r="G5054">
        <v>0</v>
      </c>
      <c r="H5054" s="4">
        <v>1570551444645</v>
      </c>
      <c r="I5054">
        <v>526.5</v>
      </c>
      <c r="J5054" s="9">
        <f t="shared" si="78"/>
        <v>43746.970424131941</v>
      </c>
      <c r="K5054" s="1"/>
    </row>
    <row r="5055" spans="1:11" x14ac:dyDescent="0.25">
      <c r="A5055" t="e">
        <f>-Lqg9KM9yahdz3BTxiC2</f>
        <v>#NAME?</v>
      </c>
      <c r="B5055">
        <v>393.75</v>
      </c>
      <c r="C5055">
        <v>20.531590000000001</v>
      </c>
      <c r="D5055">
        <v>64</v>
      </c>
      <c r="E5055">
        <v>0</v>
      </c>
      <c r="F5055">
        <v>0</v>
      </c>
      <c r="G5055">
        <v>11</v>
      </c>
      <c r="H5055" s="4">
        <v>1570551451906</v>
      </c>
      <c r="I5055">
        <v>526.6875</v>
      </c>
      <c r="J5055" s="9">
        <f t="shared" si="78"/>
        <v>43746.970508171296</v>
      </c>
      <c r="K5055" s="1"/>
    </row>
    <row r="5056" spans="1:11" x14ac:dyDescent="0.25">
      <c r="A5056" t="e">
        <f>-Lqg9LqFxW_PjXgadLJ9</f>
        <v>#NAME?</v>
      </c>
      <c r="B5056">
        <v>393.75</v>
      </c>
      <c r="C5056">
        <v>20.478950000000001</v>
      </c>
      <c r="D5056">
        <v>66</v>
      </c>
      <c r="E5056">
        <v>0</v>
      </c>
      <c r="F5056">
        <v>0</v>
      </c>
      <c r="G5056">
        <v>16</v>
      </c>
      <c r="H5056" s="4">
        <v>1570551458014</v>
      </c>
      <c r="I5056">
        <v>526.6875</v>
      </c>
      <c r="J5056" s="9">
        <f t="shared" si="78"/>
        <v>43746.970578865737</v>
      </c>
      <c r="K5056" s="1"/>
    </row>
    <row r="5057" spans="1:11" x14ac:dyDescent="0.25">
      <c r="A5057" t="e">
        <f>-Lqg9NP5R2EvWGP9MNOP</f>
        <v>#NAME?</v>
      </c>
      <c r="B5057">
        <v>393.75</v>
      </c>
      <c r="C5057">
        <v>20.478950000000001</v>
      </c>
      <c r="D5057">
        <v>65</v>
      </c>
      <c r="E5057">
        <v>0</v>
      </c>
      <c r="F5057">
        <v>0</v>
      </c>
      <c r="G5057">
        <v>9</v>
      </c>
      <c r="H5057" s="4">
        <v>1570551464205</v>
      </c>
      <c r="I5057">
        <v>526.6875</v>
      </c>
      <c r="J5057" s="9">
        <f t="shared" si="78"/>
        <v>43746.970650520831</v>
      </c>
      <c r="K5057" s="1"/>
    </row>
    <row r="5058" spans="1:11" x14ac:dyDescent="0.25">
      <c r="A5058" t="e">
        <f>-Lqg9P76fl9vtAq7cKjG</f>
        <v>#NAME?</v>
      </c>
      <c r="B5058">
        <v>393.75</v>
      </c>
      <c r="C5058">
        <v>20.531590000000001</v>
      </c>
      <c r="D5058">
        <v>64</v>
      </c>
      <c r="E5058">
        <v>0</v>
      </c>
      <c r="F5058">
        <v>0</v>
      </c>
      <c r="G5058">
        <v>7</v>
      </c>
      <c r="H5058" s="4">
        <v>1570551471416</v>
      </c>
      <c r="I5058">
        <v>526.6875</v>
      </c>
      <c r="J5058" s="9">
        <f t="shared" si="78"/>
        <v>43746.970733981478</v>
      </c>
      <c r="K5058" s="1"/>
    </row>
    <row r="5059" spans="1:11" x14ac:dyDescent="0.25">
      <c r="A5059" t="e">
        <f>-Lqg9QbFCt0bj8Fblpjx</f>
        <v>#NAME?</v>
      </c>
      <c r="B5059">
        <v>393.75</v>
      </c>
      <c r="C5059">
        <v>20.531590000000001</v>
      </c>
      <c r="D5059">
        <v>64</v>
      </c>
      <c r="E5059">
        <v>0</v>
      </c>
      <c r="F5059">
        <v>0</v>
      </c>
      <c r="G5059">
        <v>9</v>
      </c>
      <c r="H5059" s="4">
        <v>1570551477606</v>
      </c>
      <c r="I5059">
        <v>526.6875</v>
      </c>
      <c r="J5059" s="9">
        <f t="shared" ref="J5059:J5122" si="79">(H5059/86400000)+25569+(7/24)</f>
        <v>43746.970805625002</v>
      </c>
      <c r="K5059" s="1"/>
    </row>
    <row r="5060" spans="1:11" x14ac:dyDescent="0.25">
      <c r="A5060" t="e">
        <f>-Lqg9SA4eYAQY_DOonk_</f>
        <v>#NAME?</v>
      </c>
      <c r="B5060">
        <v>412.5</v>
      </c>
      <c r="C5060">
        <v>20.478950000000001</v>
      </c>
      <c r="D5060">
        <v>63</v>
      </c>
      <c r="E5060">
        <v>0</v>
      </c>
      <c r="F5060">
        <v>0</v>
      </c>
      <c r="G5060">
        <v>8</v>
      </c>
      <c r="H5060" s="4">
        <v>1570551483786</v>
      </c>
      <c r="I5060">
        <v>532.125</v>
      </c>
      <c r="J5060" s="9">
        <f t="shared" si="79"/>
        <v>43746.970877152773</v>
      </c>
      <c r="K5060" s="1"/>
    </row>
    <row r="5061" spans="1:11" x14ac:dyDescent="0.25">
      <c r="A5061" t="e">
        <f>-Lqg9TeDrihzUOsLA6dV</f>
        <v>#NAME?</v>
      </c>
      <c r="B5061">
        <v>393.75</v>
      </c>
      <c r="C5061">
        <v>20.478950000000001</v>
      </c>
      <c r="D5061">
        <v>63</v>
      </c>
      <c r="E5061">
        <v>0</v>
      </c>
      <c r="F5061">
        <v>0</v>
      </c>
      <c r="G5061">
        <v>3</v>
      </c>
      <c r="H5061" s="4">
        <v>1570551489967</v>
      </c>
      <c r="I5061">
        <v>526.6875</v>
      </c>
      <c r="J5061" s="9">
        <f t="shared" si="79"/>
        <v>43746.970948692127</v>
      </c>
      <c r="K5061" s="1"/>
    </row>
    <row r="5062" spans="1:11" x14ac:dyDescent="0.25">
      <c r="A5062" t="e">
        <f>-Lqg9VR4Xyqwlx7yzlxX</f>
        <v>#NAME?</v>
      </c>
      <c r="B5062">
        <v>393.75</v>
      </c>
      <c r="C5062">
        <v>20.531590000000001</v>
      </c>
      <c r="D5062">
        <v>62</v>
      </c>
      <c r="E5062">
        <v>0</v>
      </c>
      <c r="F5062">
        <v>0</v>
      </c>
      <c r="G5062">
        <v>13</v>
      </c>
      <c r="H5062" s="4">
        <v>1570551497399</v>
      </c>
      <c r="I5062">
        <v>526.5</v>
      </c>
      <c r="J5062" s="9">
        <f t="shared" si="79"/>
        <v>43746.971034710645</v>
      </c>
      <c r="K5062" s="1"/>
    </row>
    <row r="5063" spans="1:11" x14ac:dyDescent="0.25">
      <c r="A5063" t="e">
        <f>-Lqg9X7iZUqnMBn7jN6L</f>
        <v>#NAME?</v>
      </c>
      <c r="B5063">
        <v>415.625</v>
      </c>
      <c r="C5063">
        <v>20.478950000000001</v>
      </c>
      <c r="D5063">
        <v>62</v>
      </c>
      <c r="E5063">
        <v>0</v>
      </c>
      <c r="F5063">
        <v>0</v>
      </c>
      <c r="G5063">
        <v>16</v>
      </c>
      <c r="H5063" s="4">
        <v>1570551504403</v>
      </c>
      <c r="I5063">
        <v>533.0625</v>
      </c>
      <c r="J5063" s="9">
        <f t="shared" si="79"/>
        <v>43746.971115775457</v>
      </c>
      <c r="K5063" s="1"/>
    </row>
    <row r="5064" spans="1:11" x14ac:dyDescent="0.25">
      <c r="A5064" t="s">
        <v>282</v>
      </c>
      <c r="B5064">
        <v>393.75</v>
      </c>
      <c r="C5064">
        <v>20.531590000000001</v>
      </c>
      <c r="D5064">
        <v>62</v>
      </c>
      <c r="E5064">
        <v>0</v>
      </c>
      <c r="F5064">
        <v>0</v>
      </c>
      <c r="G5064">
        <v>15</v>
      </c>
      <c r="H5064" s="4">
        <v>1570551510582</v>
      </c>
      <c r="I5064">
        <v>526.6875</v>
      </c>
      <c r="J5064" s="9">
        <f t="shared" si="79"/>
        <v>43746.97118729166</v>
      </c>
      <c r="K5064" s="1"/>
    </row>
    <row r="5065" spans="1:11" x14ac:dyDescent="0.25">
      <c r="A5065" t="e">
        <f>-Lqg9_R_JZ2YM02M2kmm</f>
        <v>#NAME?</v>
      </c>
      <c r="B5065">
        <v>393.75</v>
      </c>
      <c r="C5065">
        <v>20.478950000000001</v>
      </c>
      <c r="D5065">
        <v>61</v>
      </c>
      <c r="E5065">
        <v>0</v>
      </c>
      <c r="F5065">
        <v>0</v>
      </c>
      <c r="G5065">
        <v>13</v>
      </c>
      <c r="H5065" s="4">
        <v>1570551517793</v>
      </c>
      <c r="I5065">
        <v>526.6875</v>
      </c>
      <c r="J5065" s="9">
        <f t="shared" si="79"/>
        <v>43746.971270752314</v>
      </c>
      <c r="K5065" s="1"/>
    </row>
    <row r="5066" spans="1:11" x14ac:dyDescent="0.25">
      <c r="A5066" t="e">
        <f>-Lqg9b92KRqKOQRmmM1G</f>
        <v>#NAME?</v>
      </c>
      <c r="B5066">
        <v>412.5</v>
      </c>
      <c r="C5066">
        <v>20.478950000000001</v>
      </c>
      <c r="D5066">
        <v>62</v>
      </c>
      <c r="E5066">
        <v>0</v>
      </c>
      <c r="F5066">
        <v>0</v>
      </c>
      <c r="G5066">
        <v>12</v>
      </c>
      <c r="H5066" s="4">
        <v>1570551523997</v>
      </c>
      <c r="I5066">
        <v>532.125</v>
      </c>
      <c r="J5066" s="9">
        <f t="shared" si="79"/>
        <v>43746.971342557867</v>
      </c>
      <c r="K5066" s="1"/>
    </row>
    <row r="5067" spans="1:11" x14ac:dyDescent="0.25">
      <c r="A5067" t="e">
        <f>-Lqg9ci-pfdkYos8IC86</f>
        <v>#NAME?</v>
      </c>
      <c r="B5067">
        <v>393.75</v>
      </c>
      <c r="C5067">
        <v>20.531590000000001</v>
      </c>
      <c r="D5067">
        <v>62</v>
      </c>
      <c r="E5067">
        <v>0</v>
      </c>
      <c r="F5067">
        <v>0</v>
      </c>
      <c r="G5067">
        <v>6</v>
      </c>
      <c r="H5067" s="4">
        <v>1570551531192</v>
      </c>
      <c r="I5067">
        <v>526.6875</v>
      </c>
      <c r="J5067" s="9">
        <f t="shared" si="79"/>
        <v>43746.971425833333</v>
      </c>
      <c r="K5067" s="1"/>
    </row>
    <row r="5068" spans="1:11" x14ac:dyDescent="0.25">
      <c r="A5068" t="e">
        <f>-Lqg9eAgJ1yq0xxmQu01</f>
        <v>#NAME?</v>
      </c>
      <c r="B5068">
        <v>393.75</v>
      </c>
      <c r="C5068">
        <v>20.531590000000001</v>
      </c>
      <c r="D5068">
        <v>62</v>
      </c>
      <c r="E5068">
        <v>0</v>
      </c>
      <c r="F5068">
        <v>0</v>
      </c>
      <c r="G5068">
        <v>1</v>
      </c>
      <c r="H5068" s="4">
        <v>1570551537364</v>
      </c>
      <c r="I5068">
        <v>526.6875</v>
      </c>
      <c r="J5068" s="9">
        <f t="shared" si="79"/>
        <v>43746.971497268518</v>
      </c>
      <c r="K5068" s="1"/>
    </row>
    <row r="5069" spans="1:11" x14ac:dyDescent="0.25">
      <c r="A5069" t="e">
        <f>-Lqg9fkylQ7F4DNZERH3</f>
        <v>#NAME?</v>
      </c>
      <c r="B5069">
        <v>393.75</v>
      </c>
      <c r="C5069">
        <v>20.531590000000001</v>
      </c>
      <c r="D5069">
        <v>63</v>
      </c>
      <c r="E5069">
        <v>0</v>
      </c>
      <c r="F5069">
        <v>0</v>
      </c>
      <c r="G5069">
        <v>3</v>
      </c>
      <c r="H5069" s="4">
        <v>1570551543553</v>
      </c>
      <c r="I5069">
        <v>526.5</v>
      </c>
      <c r="J5069" s="9">
        <f t="shared" si="79"/>
        <v>43746.971568900459</v>
      </c>
      <c r="K5069" s="1"/>
    </row>
    <row r="5070" spans="1:11" x14ac:dyDescent="0.25">
      <c r="A5070" t="e">
        <f>-Lqg9hTnyx-AyuCyvOK8</f>
        <v>#NAME?</v>
      </c>
      <c r="B5070">
        <v>393.75</v>
      </c>
      <c r="C5070">
        <v>20.478950000000001</v>
      </c>
      <c r="D5070">
        <v>64</v>
      </c>
      <c r="E5070">
        <v>0</v>
      </c>
      <c r="F5070">
        <v>0</v>
      </c>
      <c r="G5070">
        <v>2</v>
      </c>
      <c r="H5070" s="4">
        <v>1570551550773</v>
      </c>
      <c r="I5070">
        <v>526.6875</v>
      </c>
      <c r="J5070" s="9">
        <f t="shared" si="79"/>
        <v>43746.971652465276</v>
      </c>
      <c r="K5070" s="1"/>
    </row>
    <row r="5071" spans="1:11" x14ac:dyDescent="0.25">
      <c r="A5071" t="e">
        <f>-Lqg9ixwwHV07c6LHX8Z</f>
        <v>#NAME?</v>
      </c>
      <c r="B5071">
        <v>393.75</v>
      </c>
      <c r="C5071">
        <v>20.531590000000001</v>
      </c>
      <c r="D5071">
        <v>64</v>
      </c>
      <c r="E5071">
        <v>0</v>
      </c>
      <c r="F5071">
        <v>0</v>
      </c>
      <c r="G5071">
        <v>7</v>
      </c>
      <c r="H5071" s="4">
        <v>1570551556954</v>
      </c>
      <c r="I5071">
        <v>526.6875</v>
      </c>
      <c r="J5071" s="9">
        <f t="shared" si="79"/>
        <v>43746.971724004623</v>
      </c>
      <c r="K5071" s="1"/>
    </row>
    <row r="5072" spans="1:11" x14ac:dyDescent="0.25">
      <c r="A5072" t="e">
        <f>-Lqg9kY2fdGCW5W39GJb</f>
        <v>#NAME?</v>
      </c>
      <c r="B5072">
        <v>393.75</v>
      </c>
      <c r="C5072">
        <v>20.478950000000001</v>
      </c>
      <c r="D5072">
        <v>64</v>
      </c>
      <c r="E5072">
        <v>0</v>
      </c>
      <c r="F5072">
        <v>0</v>
      </c>
      <c r="G5072">
        <v>5</v>
      </c>
      <c r="H5072" s="4">
        <v>1570551563135</v>
      </c>
      <c r="I5072">
        <v>526.5</v>
      </c>
      <c r="J5072" s="9">
        <f t="shared" si="79"/>
        <v>43746.971795543977</v>
      </c>
      <c r="K5072" s="1"/>
    </row>
    <row r="5073" spans="1:11" x14ac:dyDescent="0.25">
      <c r="A5073" t="e">
        <f>-Lqg9m1AZpMCiRz1-inb</f>
        <v>#NAME?</v>
      </c>
      <c r="B5073">
        <v>393.75</v>
      </c>
      <c r="C5073">
        <v>20.531590000000001</v>
      </c>
      <c r="D5073">
        <v>64</v>
      </c>
      <c r="E5073">
        <v>0</v>
      </c>
      <c r="F5073">
        <v>0</v>
      </c>
      <c r="G5073">
        <v>14</v>
      </c>
      <c r="H5073" s="4">
        <v>1570551569313</v>
      </c>
      <c r="I5073">
        <v>526.6875</v>
      </c>
      <c r="J5073" s="9">
        <f t="shared" si="79"/>
        <v>43746.971867048611</v>
      </c>
      <c r="K5073" s="1"/>
    </row>
    <row r="5074" spans="1:11" x14ac:dyDescent="0.25">
      <c r="A5074" t="e">
        <f>-Lqg9nUyLfj9UaVBZ5Ur</f>
        <v>#NAME?</v>
      </c>
      <c r="B5074">
        <v>393.75</v>
      </c>
      <c r="C5074">
        <v>20.531590000000001</v>
      </c>
      <c r="D5074">
        <v>65</v>
      </c>
      <c r="E5074">
        <v>0</v>
      </c>
      <c r="F5074">
        <v>0</v>
      </c>
      <c r="G5074">
        <v>6</v>
      </c>
      <c r="H5074" s="4">
        <v>1570551575502</v>
      </c>
      <c r="I5074">
        <v>526.6875</v>
      </c>
      <c r="J5074" s="9">
        <f t="shared" si="79"/>
        <v>43746.971938680552</v>
      </c>
      <c r="K5074" s="1"/>
    </row>
    <row r="5075" spans="1:11" x14ac:dyDescent="0.25">
      <c r="A5075" t="e">
        <f>-Lqg9p4ADBrJrYQiTy7B</f>
        <v>#NAME?</v>
      </c>
      <c r="B5075">
        <v>393.75</v>
      </c>
      <c r="C5075">
        <v>20.531590000000001</v>
      </c>
      <c r="D5075">
        <v>67</v>
      </c>
      <c r="E5075">
        <v>0</v>
      </c>
      <c r="F5075">
        <v>0</v>
      </c>
      <c r="G5075">
        <v>13</v>
      </c>
      <c r="H5075" s="4">
        <v>1570551581683</v>
      </c>
      <c r="I5075">
        <v>526.5</v>
      </c>
      <c r="J5075" s="9">
        <f t="shared" si="79"/>
        <v>43746.972010219906</v>
      </c>
      <c r="K5075" s="1"/>
    </row>
    <row r="5076" spans="1:11" x14ac:dyDescent="0.25">
      <c r="A5076" t="e">
        <f>-Lqg9qly1eENuV5OgZAE</f>
        <v>#NAME?</v>
      </c>
      <c r="B5076">
        <v>393.75</v>
      </c>
      <c r="C5076">
        <v>20.478950000000001</v>
      </c>
      <c r="D5076">
        <v>66</v>
      </c>
      <c r="E5076">
        <v>0</v>
      </c>
      <c r="F5076">
        <v>0</v>
      </c>
      <c r="G5076">
        <v>12</v>
      </c>
      <c r="H5076" s="4">
        <v>1570551588900</v>
      </c>
      <c r="I5076">
        <v>526.6875</v>
      </c>
      <c r="J5076" s="9">
        <f t="shared" si="79"/>
        <v>43746.972093750002</v>
      </c>
      <c r="K5076" s="1"/>
    </row>
    <row r="5077" spans="1:11" x14ac:dyDescent="0.25">
      <c r="A5077" t="e">
        <f>-Lqg9sMN-osiJzS5JwYn</f>
        <v>#NAME?</v>
      </c>
      <c r="B5077">
        <v>393.75</v>
      </c>
      <c r="C5077">
        <v>20.531590000000001</v>
      </c>
      <c r="D5077">
        <v>67</v>
      </c>
      <c r="E5077">
        <v>0</v>
      </c>
      <c r="F5077">
        <v>0</v>
      </c>
      <c r="G5077">
        <v>8</v>
      </c>
      <c r="H5077" s="4">
        <v>1570551595084</v>
      </c>
      <c r="I5077">
        <v>526.6875</v>
      </c>
      <c r="J5077" s="9">
        <f t="shared" si="79"/>
        <v>43746.97216532407</v>
      </c>
      <c r="K5077" s="1"/>
    </row>
    <row r="5078" spans="1:11" x14ac:dyDescent="0.25">
      <c r="A5078" t="e">
        <f>-Lqg9uq3Bmyx7nWxve3N</f>
        <v>#NAME?</v>
      </c>
      <c r="B5078">
        <v>393.75</v>
      </c>
      <c r="C5078">
        <v>20.478950000000001</v>
      </c>
      <c r="D5078">
        <v>67</v>
      </c>
      <c r="E5078">
        <v>0</v>
      </c>
      <c r="F5078">
        <v>0</v>
      </c>
      <c r="G5078">
        <v>8</v>
      </c>
      <c r="H5078" s="4">
        <v>1570551602305</v>
      </c>
      <c r="I5078">
        <v>526.6875</v>
      </c>
      <c r="J5078" s="9">
        <f t="shared" si="79"/>
        <v>43746.972248900456</v>
      </c>
      <c r="K5078" s="1"/>
    </row>
    <row r="5079" spans="1:11" x14ac:dyDescent="0.25">
      <c r="A5079" t="e">
        <f>-Lqg9wZ57qqwwQvhR9Jh</f>
        <v>#NAME?</v>
      </c>
      <c r="B5079">
        <v>393.75</v>
      </c>
      <c r="C5079">
        <v>20.531590000000001</v>
      </c>
      <c r="D5079">
        <v>66</v>
      </c>
      <c r="E5079">
        <v>0</v>
      </c>
      <c r="F5079">
        <v>0</v>
      </c>
      <c r="G5079">
        <v>10</v>
      </c>
      <c r="H5079" s="4">
        <v>1570551612624</v>
      </c>
      <c r="I5079">
        <v>526.6875</v>
      </c>
      <c r="J5079" s="9">
        <f t="shared" si="79"/>
        <v>43746.972368333336</v>
      </c>
      <c r="K5079" s="1"/>
    </row>
    <row r="5080" spans="1:11" x14ac:dyDescent="0.25">
      <c r="A5080" t="e">
        <f>-Lqg9y831ZRf_10b4KrI</f>
        <v>#NAME?</v>
      </c>
      <c r="B5080">
        <v>393.75</v>
      </c>
      <c r="C5080">
        <v>20.478950000000001</v>
      </c>
      <c r="D5080">
        <v>66</v>
      </c>
      <c r="E5080">
        <v>0</v>
      </c>
      <c r="F5080">
        <v>0</v>
      </c>
      <c r="G5080">
        <v>7</v>
      </c>
      <c r="H5080" s="4">
        <v>1570551618792</v>
      </c>
      <c r="I5080">
        <v>526.6875</v>
      </c>
      <c r="J5080" s="9">
        <f t="shared" si="79"/>
        <v>43746.972439722223</v>
      </c>
      <c r="K5080" s="1"/>
    </row>
    <row r="5081" spans="1:11" x14ac:dyDescent="0.25">
      <c r="A5081" t="e">
        <f>-Lqg9zoicdcvfGCTPiWV</f>
        <v>#NAME?</v>
      </c>
      <c r="B5081">
        <v>393.75</v>
      </c>
      <c r="C5081">
        <v>20.584240000000001</v>
      </c>
      <c r="D5081">
        <v>65</v>
      </c>
      <c r="E5081">
        <v>0</v>
      </c>
      <c r="F5081">
        <v>0</v>
      </c>
      <c r="G5081">
        <v>2</v>
      </c>
      <c r="H5081" s="4">
        <v>1570551626003</v>
      </c>
      <c r="I5081">
        <v>526.6875</v>
      </c>
      <c r="J5081" s="9">
        <f t="shared" si="79"/>
        <v>43746.972523182871</v>
      </c>
      <c r="K5081" s="1"/>
    </row>
    <row r="5082" spans="1:11" x14ac:dyDescent="0.25">
      <c r="A5082" t="e">
        <f>-LqgA0KaQ5WXoBIF2HnZ</f>
        <v>#NAME?</v>
      </c>
      <c r="B5082">
        <v>393.75</v>
      </c>
      <c r="C5082">
        <v>20.531590000000001</v>
      </c>
      <c r="D5082">
        <v>65</v>
      </c>
      <c r="E5082">
        <v>0</v>
      </c>
      <c r="F5082">
        <v>0</v>
      </c>
      <c r="G5082">
        <v>0</v>
      </c>
      <c r="H5082" s="4">
        <v>1570551632184</v>
      </c>
      <c r="I5082">
        <v>526.5</v>
      </c>
      <c r="J5082" s="9">
        <f t="shared" si="79"/>
        <v>43746.972594722225</v>
      </c>
      <c r="K5082" s="1"/>
    </row>
    <row r="5083" spans="1:11" x14ac:dyDescent="0.25">
      <c r="A5083" t="e">
        <f>-LqgA1sy5okJPknz1Crz</f>
        <v>#NAME?</v>
      </c>
      <c r="B5083">
        <v>393.75</v>
      </c>
      <c r="C5083">
        <v>20.531590000000001</v>
      </c>
      <c r="D5083">
        <v>65</v>
      </c>
      <c r="E5083">
        <v>0</v>
      </c>
      <c r="F5083">
        <v>0</v>
      </c>
      <c r="G5083">
        <v>8</v>
      </c>
      <c r="H5083" s="4">
        <v>1570551638375</v>
      </c>
      <c r="I5083">
        <v>526.6875</v>
      </c>
      <c r="J5083" s="9">
        <f t="shared" si="79"/>
        <v>43746.972666377311</v>
      </c>
      <c r="K5083" s="1"/>
    </row>
    <row r="5084" spans="1:11" x14ac:dyDescent="0.25">
      <c r="A5084" t="e">
        <f>-LqgA3LiI4fB50Oycudl</f>
        <v>#NAME?</v>
      </c>
      <c r="B5084">
        <v>412.5</v>
      </c>
      <c r="C5084">
        <v>20.531590000000001</v>
      </c>
      <c r="D5084">
        <v>64</v>
      </c>
      <c r="E5084">
        <v>0</v>
      </c>
      <c r="F5084">
        <v>0</v>
      </c>
      <c r="G5084">
        <v>8</v>
      </c>
      <c r="H5084" s="4">
        <v>1570551644563</v>
      </c>
      <c r="I5084">
        <v>532.3125</v>
      </c>
      <c r="J5084" s="9">
        <f t="shared" si="79"/>
        <v>43746.972737997683</v>
      </c>
      <c r="K5084" s="1"/>
    </row>
    <row r="5085" spans="1:11" x14ac:dyDescent="0.25">
      <c r="A5085" t="e">
        <f>-LqgA4vzjccmmXFAMQEf</f>
        <v>#NAME?</v>
      </c>
      <c r="B5085">
        <v>393.75</v>
      </c>
      <c r="C5085">
        <v>20.478950000000001</v>
      </c>
      <c r="D5085">
        <v>65</v>
      </c>
      <c r="E5085">
        <v>0</v>
      </c>
      <c r="F5085">
        <v>0</v>
      </c>
      <c r="G5085">
        <v>10</v>
      </c>
      <c r="H5085" s="4">
        <v>1570551650744</v>
      </c>
      <c r="I5085">
        <v>526.5</v>
      </c>
      <c r="J5085" s="9">
        <f t="shared" si="79"/>
        <v>43746.97280953703</v>
      </c>
      <c r="K5085" s="1"/>
    </row>
    <row r="5086" spans="1:11" x14ac:dyDescent="0.25">
      <c r="A5086" t="e">
        <f>-LqgA6fDQDxJBY1lPPkZ</f>
        <v>#NAME?</v>
      </c>
      <c r="B5086">
        <v>393.75</v>
      </c>
      <c r="C5086">
        <v>20.478950000000001</v>
      </c>
      <c r="D5086">
        <v>66</v>
      </c>
      <c r="E5086">
        <v>0</v>
      </c>
      <c r="F5086">
        <v>0</v>
      </c>
      <c r="G5086">
        <v>7</v>
      </c>
      <c r="H5086" s="4">
        <v>1570551657955</v>
      </c>
      <c r="I5086">
        <v>526.6875</v>
      </c>
      <c r="J5086" s="9">
        <f t="shared" si="79"/>
        <v>43746.972892997685</v>
      </c>
      <c r="K5086" s="1"/>
    </row>
    <row r="5087" spans="1:11" x14ac:dyDescent="0.25">
      <c r="A5087" t="e">
        <f>-LqgA8916XKJaFF791ff</f>
        <v>#NAME?</v>
      </c>
      <c r="B5087">
        <v>393.75</v>
      </c>
      <c r="C5087">
        <v>20.531590000000001</v>
      </c>
      <c r="D5087">
        <v>66</v>
      </c>
      <c r="E5087">
        <v>0</v>
      </c>
      <c r="F5087">
        <v>0</v>
      </c>
      <c r="G5087">
        <v>0</v>
      </c>
      <c r="H5087" s="4">
        <v>1570551664153</v>
      </c>
      <c r="I5087">
        <v>526.5</v>
      </c>
      <c r="J5087" s="9">
        <f t="shared" si="79"/>
        <v>43746.972964733795</v>
      </c>
      <c r="K5087" s="1"/>
    </row>
    <row r="5088" spans="1:11" x14ac:dyDescent="0.25">
      <c r="A5088" t="e">
        <f>-LqgA9dC5IO_g6Uq8jDd</f>
        <v>#NAME?</v>
      </c>
      <c r="B5088">
        <v>393.75</v>
      </c>
      <c r="C5088">
        <v>20.478950000000001</v>
      </c>
      <c r="D5088">
        <v>66</v>
      </c>
      <c r="E5088">
        <v>0</v>
      </c>
      <c r="F5088">
        <v>0</v>
      </c>
      <c r="G5088">
        <v>15</v>
      </c>
      <c r="H5088" s="4">
        <v>1570551670323</v>
      </c>
      <c r="I5088">
        <v>526.6875</v>
      </c>
      <c r="J5088" s="9">
        <f t="shared" si="79"/>
        <v>43746.973036145828</v>
      </c>
      <c r="K5088" s="1"/>
    </row>
    <row r="5089" spans="1:11" x14ac:dyDescent="0.25">
      <c r="A5089" t="e">
        <f>-LqgABC3tgz7-NJsKZaE</f>
        <v>#NAME?</v>
      </c>
      <c r="B5089">
        <v>393.75</v>
      </c>
      <c r="C5089">
        <v>20.478950000000001</v>
      </c>
      <c r="D5089">
        <v>66</v>
      </c>
      <c r="E5089">
        <v>0</v>
      </c>
      <c r="F5089">
        <v>0</v>
      </c>
      <c r="G5089">
        <v>8</v>
      </c>
      <c r="H5089" s="4">
        <v>1570551676504</v>
      </c>
      <c r="I5089">
        <v>526.6875</v>
      </c>
      <c r="J5089" s="9">
        <f t="shared" si="79"/>
        <v>43746.973107685182</v>
      </c>
      <c r="K5089" s="1"/>
    </row>
    <row r="5090" spans="1:11" x14ac:dyDescent="0.25">
      <c r="A5090" t="e">
        <f>-LqgACeygDfkFIcf53lo</f>
        <v>#NAME?</v>
      </c>
      <c r="B5090">
        <v>393.75</v>
      </c>
      <c r="C5090">
        <v>20.478950000000001</v>
      </c>
      <c r="D5090">
        <v>67</v>
      </c>
      <c r="E5090">
        <v>0</v>
      </c>
      <c r="F5090">
        <v>0</v>
      </c>
      <c r="G5090">
        <v>10</v>
      </c>
      <c r="H5090" s="4">
        <v>1570551682703</v>
      </c>
      <c r="I5090">
        <v>526.6875</v>
      </c>
      <c r="J5090" s="9">
        <f t="shared" si="79"/>
        <v>43746.973179432869</v>
      </c>
      <c r="K5090" s="1"/>
    </row>
    <row r="5091" spans="1:11" x14ac:dyDescent="0.25">
      <c r="A5091" t="s">
        <v>283</v>
      </c>
      <c r="B5091">
        <v>393.75</v>
      </c>
      <c r="C5091">
        <v>20.531590000000001</v>
      </c>
      <c r="D5091">
        <v>67</v>
      </c>
      <c r="E5091">
        <v>0</v>
      </c>
      <c r="F5091">
        <v>0</v>
      </c>
      <c r="G5091">
        <v>11</v>
      </c>
      <c r="H5091" s="4">
        <v>1570551688873</v>
      </c>
      <c r="I5091">
        <v>526.6875</v>
      </c>
      <c r="J5091" s="9">
        <f t="shared" si="79"/>
        <v>43746.973250844901</v>
      </c>
      <c r="K5091" s="1"/>
    </row>
    <row r="5092" spans="1:11" x14ac:dyDescent="0.25">
      <c r="A5092" t="e">
        <f>-LqgAFjN9U9_IKkl2pAX</f>
        <v>#NAME?</v>
      </c>
      <c r="B5092">
        <v>393.75</v>
      </c>
      <c r="C5092">
        <v>20.478950000000001</v>
      </c>
      <c r="D5092">
        <v>67</v>
      </c>
      <c r="E5092">
        <v>0</v>
      </c>
      <c r="F5092">
        <v>0</v>
      </c>
      <c r="G5092">
        <v>6</v>
      </c>
      <c r="H5092" s="4">
        <v>1570551695055</v>
      </c>
      <c r="I5092">
        <v>526.6875</v>
      </c>
      <c r="J5092" s="9">
        <f t="shared" si="79"/>
        <v>43746.973322395832</v>
      </c>
      <c r="K5092" s="1"/>
    </row>
    <row r="5093" spans="1:11" x14ac:dyDescent="0.25">
      <c r="A5093" t="e">
        <f>-LqgAHAh4bUnTsdWbyjr</f>
        <v>#NAME?</v>
      </c>
      <c r="B5093">
        <v>393.75</v>
      </c>
      <c r="C5093">
        <v>20.478950000000001</v>
      </c>
      <c r="D5093">
        <v>67</v>
      </c>
      <c r="E5093">
        <v>0</v>
      </c>
      <c r="F5093">
        <v>0</v>
      </c>
      <c r="G5093">
        <v>18</v>
      </c>
      <c r="H5093" s="4">
        <v>1570551701204</v>
      </c>
      <c r="I5093">
        <v>526.6875</v>
      </c>
      <c r="J5093" s="9">
        <f t="shared" si="79"/>
        <v>43746.973393564811</v>
      </c>
      <c r="K5093" s="1"/>
    </row>
    <row r="5094" spans="1:11" x14ac:dyDescent="0.25">
      <c r="A5094" t="e">
        <f>-LqgAImOH3r_NJ4E2suu</f>
        <v>#NAME?</v>
      </c>
      <c r="B5094">
        <v>393.75</v>
      </c>
      <c r="C5094">
        <v>20.531590000000001</v>
      </c>
      <c r="D5094">
        <v>68</v>
      </c>
      <c r="E5094">
        <v>0</v>
      </c>
      <c r="F5094">
        <v>0</v>
      </c>
      <c r="G5094">
        <v>10</v>
      </c>
      <c r="H5094" s="4">
        <v>1570551707424</v>
      </c>
      <c r="I5094">
        <v>526.5</v>
      </c>
      <c r="J5094" s="9">
        <f t="shared" si="79"/>
        <v>43746.973465555559</v>
      </c>
      <c r="K5094" s="1"/>
    </row>
    <row r="5095" spans="1:11" x14ac:dyDescent="0.25">
      <c r="A5095" t="e">
        <f>-LqgAKmq1MsshHn7Aa1l</f>
        <v>#NAME?</v>
      </c>
      <c r="B5095">
        <v>393.75</v>
      </c>
      <c r="C5095">
        <v>20.584240000000001</v>
      </c>
      <c r="D5095">
        <v>68</v>
      </c>
      <c r="E5095">
        <v>0</v>
      </c>
      <c r="F5095">
        <v>0</v>
      </c>
      <c r="G5095">
        <v>8</v>
      </c>
      <c r="H5095" s="4">
        <v>1570551714644</v>
      </c>
      <c r="I5095">
        <v>526.6875</v>
      </c>
      <c r="J5095" s="9">
        <f t="shared" si="79"/>
        <v>43746.973549120368</v>
      </c>
      <c r="K5095" s="1"/>
    </row>
    <row r="5096" spans="1:11" x14ac:dyDescent="0.25">
      <c r="A5096" t="e">
        <f>-LqgAMX6yn23zrzl-pfB</f>
        <v>#NAME?</v>
      </c>
      <c r="B5096">
        <v>393.75</v>
      </c>
      <c r="C5096">
        <v>20.531590000000001</v>
      </c>
      <c r="D5096">
        <v>67</v>
      </c>
      <c r="E5096">
        <v>0</v>
      </c>
      <c r="F5096">
        <v>0</v>
      </c>
      <c r="G5096">
        <v>16</v>
      </c>
      <c r="H5096" s="4">
        <v>1570551722885</v>
      </c>
      <c r="I5096">
        <v>526.6875</v>
      </c>
      <c r="J5096" s="9">
        <f t="shared" si="79"/>
        <v>43746.973644502308</v>
      </c>
      <c r="K5096" s="1"/>
    </row>
    <row r="5097" spans="1:11" x14ac:dyDescent="0.25">
      <c r="A5097" t="e">
        <f>-LqgAO05g2OQ-j0VM8ex</f>
        <v>#NAME?</v>
      </c>
      <c r="B5097">
        <v>393.75</v>
      </c>
      <c r="C5097">
        <v>20.584240000000001</v>
      </c>
      <c r="D5097">
        <v>66</v>
      </c>
      <c r="E5097">
        <v>0</v>
      </c>
      <c r="F5097">
        <v>0</v>
      </c>
      <c r="G5097">
        <v>12</v>
      </c>
      <c r="H5097" s="4">
        <v>1570551729047</v>
      </c>
      <c r="I5097">
        <v>526.6875</v>
      </c>
      <c r="J5097" s="9">
        <f t="shared" si="79"/>
        <v>43746.973715821754</v>
      </c>
      <c r="K5097" s="1"/>
    </row>
    <row r="5098" spans="1:11" x14ac:dyDescent="0.25">
      <c r="A5098" t="e">
        <f>-LqgAP_5FO_1r1caZvs9</f>
        <v>#NAME?</v>
      </c>
      <c r="B5098">
        <v>412.5</v>
      </c>
      <c r="C5098">
        <v>20.531590000000001</v>
      </c>
      <c r="D5098">
        <v>66</v>
      </c>
      <c r="E5098">
        <v>0</v>
      </c>
      <c r="F5098">
        <v>0</v>
      </c>
      <c r="G5098">
        <v>12</v>
      </c>
      <c r="H5098" s="4">
        <v>1570551735255</v>
      </c>
      <c r="I5098">
        <v>532.3125</v>
      </c>
      <c r="J5098" s="9">
        <f t="shared" si="79"/>
        <v>43746.973787673611</v>
      </c>
      <c r="K5098" s="1"/>
    </row>
    <row r="5099" spans="1:11" x14ac:dyDescent="0.25">
      <c r="A5099" t="e">
        <f>-LqgARI4Ptve3_Lal05f</f>
        <v>#NAME?</v>
      </c>
      <c r="B5099">
        <v>393.75</v>
      </c>
      <c r="C5099">
        <v>20.478950000000001</v>
      </c>
      <c r="D5099">
        <v>66</v>
      </c>
      <c r="E5099">
        <v>0</v>
      </c>
      <c r="F5099">
        <v>0</v>
      </c>
      <c r="G5099">
        <v>11</v>
      </c>
      <c r="H5099" s="4">
        <v>1570551742485</v>
      </c>
      <c r="I5099">
        <v>526.5</v>
      </c>
      <c r="J5099" s="9">
        <f t="shared" si="79"/>
        <v>43746.973871354166</v>
      </c>
      <c r="K5099" s="1"/>
    </row>
    <row r="5100" spans="1:11" x14ac:dyDescent="0.25">
      <c r="A5100" t="e">
        <f>-LqgASm5Q4EZNEpgZEc0</f>
        <v>#NAME?</v>
      </c>
      <c r="B5100">
        <v>393.75</v>
      </c>
      <c r="C5100">
        <v>20.584240000000001</v>
      </c>
      <c r="D5100">
        <v>65</v>
      </c>
      <c r="E5100">
        <v>0</v>
      </c>
      <c r="F5100">
        <v>0</v>
      </c>
      <c r="G5100">
        <v>7</v>
      </c>
      <c r="H5100" s="4">
        <v>1570551748645</v>
      </c>
      <c r="I5100">
        <v>526.6875</v>
      </c>
      <c r="J5100" s="9">
        <f t="shared" si="79"/>
        <v>43746.97394265046</v>
      </c>
      <c r="K5100" s="1"/>
    </row>
    <row r="5101" spans="1:11" x14ac:dyDescent="0.25">
      <c r="A5101" t="e">
        <f>-LqgAUL5ejpNUYiW8tf3</f>
        <v>#NAME?</v>
      </c>
      <c r="B5101">
        <v>393.75</v>
      </c>
      <c r="C5101">
        <v>20.478950000000001</v>
      </c>
      <c r="D5101">
        <v>65</v>
      </c>
      <c r="E5101">
        <v>0</v>
      </c>
      <c r="F5101">
        <v>0</v>
      </c>
      <c r="G5101">
        <v>5</v>
      </c>
      <c r="H5101" s="4">
        <v>1570551754836</v>
      </c>
      <c r="I5101">
        <v>526.6875</v>
      </c>
      <c r="J5101" s="9">
        <f t="shared" si="79"/>
        <v>43746.974014305553</v>
      </c>
      <c r="K5101" s="1"/>
    </row>
    <row r="5102" spans="1:11" x14ac:dyDescent="0.25">
      <c r="A5102" t="e">
        <f>-LqgAVp4aVn0FF_d-#REF!</f>
        <v>#NAME?</v>
      </c>
      <c r="B5102">
        <v>393.75</v>
      </c>
      <c r="C5102">
        <v>20.531590000000001</v>
      </c>
      <c r="D5102">
        <v>65</v>
      </c>
      <c r="E5102">
        <v>0</v>
      </c>
      <c r="F5102">
        <v>0</v>
      </c>
      <c r="G5102">
        <v>8</v>
      </c>
      <c r="H5102" s="4">
        <v>1570551760995</v>
      </c>
      <c r="I5102">
        <v>526.6875</v>
      </c>
      <c r="J5102" s="9">
        <f t="shared" si="79"/>
        <v>43746.974085590271</v>
      </c>
      <c r="K5102" s="1"/>
    </row>
    <row r="5103" spans="1:11" x14ac:dyDescent="0.25">
      <c r="A5103" t="e">
        <f>-LqgAXJ4m0y0nRPfEOd7</f>
        <v>#NAME?</v>
      </c>
      <c r="B5103">
        <v>393.75</v>
      </c>
      <c r="C5103">
        <v>20.478950000000001</v>
      </c>
      <c r="D5103">
        <v>66</v>
      </c>
      <c r="E5103">
        <v>0</v>
      </c>
      <c r="F5103">
        <v>0</v>
      </c>
      <c r="G5103">
        <v>8</v>
      </c>
      <c r="H5103" s="4">
        <v>1570551767206</v>
      </c>
      <c r="I5103">
        <v>526.6875</v>
      </c>
      <c r="J5103" s="9">
        <f t="shared" si="79"/>
        <v>43746.974157476849</v>
      </c>
      <c r="K5103" s="1"/>
    </row>
    <row r="5104" spans="1:11" x14ac:dyDescent="0.25">
      <c r="A5104" t="e">
        <f>-LqgAYs4ZGG_SK7bZKO0</f>
        <v>#NAME?</v>
      </c>
      <c r="B5104">
        <v>393.75</v>
      </c>
      <c r="C5104">
        <v>20.584240000000001</v>
      </c>
      <c r="D5104">
        <v>66</v>
      </c>
      <c r="E5104">
        <v>0</v>
      </c>
      <c r="F5104">
        <v>0</v>
      </c>
      <c r="G5104">
        <v>12</v>
      </c>
      <c r="H5104" s="4">
        <v>1570551773386</v>
      </c>
      <c r="I5104">
        <v>526.6875</v>
      </c>
      <c r="J5104" s="9">
        <f t="shared" si="79"/>
        <v>43746.974229004627</v>
      </c>
      <c r="K5104" s="1"/>
    </row>
    <row r="5105" spans="1:11" x14ac:dyDescent="0.25">
      <c r="A5105" t="e">
        <f>-LqgA_a5oeimQrGRaflz</f>
        <v>#NAME?</v>
      </c>
      <c r="B5105">
        <v>393.75</v>
      </c>
      <c r="C5105">
        <v>20.478950000000001</v>
      </c>
      <c r="D5105">
        <v>66</v>
      </c>
      <c r="E5105">
        <v>0</v>
      </c>
      <c r="F5105">
        <v>0</v>
      </c>
      <c r="G5105">
        <v>8</v>
      </c>
      <c r="H5105" s="4">
        <v>1570551780566</v>
      </c>
      <c r="I5105">
        <v>526.5</v>
      </c>
      <c r="J5105" s="9">
        <f t="shared" si="79"/>
        <v>43746.974312106475</v>
      </c>
      <c r="K5105" s="1"/>
    </row>
    <row r="5106" spans="1:11" x14ac:dyDescent="0.25">
      <c r="A5106" t="e">
        <f>-LqgAbO5VmnoTZm7e5ul</f>
        <v>#NAME?</v>
      </c>
      <c r="B5106">
        <v>393.75</v>
      </c>
      <c r="C5106">
        <v>20.531590000000001</v>
      </c>
      <c r="D5106">
        <v>66</v>
      </c>
      <c r="E5106">
        <v>0</v>
      </c>
      <c r="F5106">
        <v>0</v>
      </c>
      <c r="G5106">
        <v>14</v>
      </c>
      <c r="H5106" s="4">
        <v>1570551788085</v>
      </c>
      <c r="I5106">
        <v>526.5</v>
      </c>
      <c r="J5106" s="9">
        <f t="shared" si="79"/>
        <v>43746.974399131941</v>
      </c>
      <c r="K5106" s="1"/>
    </row>
    <row r="5107" spans="1:11" x14ac:dyDescent="0.25">
      <c r="A5107" t="e">
        <f>-LqgAcs4qEl9fkH_YNTc</f>
        <v>#NAME?</v>
      </c>
      <c r="B5107">
        <v>393.75</v>
      </c>
      <c r="C5107">
        <v>20.531590000000001</v>
      </c>
      <c r="D5107">
        <v>67</v>
      </c>
      <c r="E5107">
        <v>0</v>
      </c>
      <c r="F5107">
        <v>0</v>
      </c>
      <c r="G5107">
        <v>20</v>
      </c>
      <c r="H5107" s="4">
        <v>1570551794007</v>
      </c>
      <c r="I5107">
        <v>526.6875</v>
      </c>
      <c r="J5107" s="9">
        <f t="shared" si="79"/>
        <v>43746.974467673608</v>
      </c>
      <c r="K5107" s="1"/>
    </row>
    <row r="5108" spans="1:11" x14ac:dyDescent="0.25">
      <c r="A5108" t="e">
        <f>-LqgAeR5UATA_8CkJLrD</f>
        <v>#NAME?</v>
      </c>
      <c r="B5108">
        <v>415.625</v>
      </c>
      <c r="C5108">
        <v>20.478950000000001</v>
      </c>
      <c r="D5108">
        <v>67</v>
      </c>
      <c r="E5108">
        <v>0</v>
      </c>
      <c r="F5108">
        <v>0</v>
      </c>
      <c r="G5108">
        <v>9</v>
      </c>
      <c r="H5108" s="4">
        <v>1570551800175</v>
      </c>
      <c r="I5108">
        <v>533.8125</v>
      </c>
      <c r="J5108" s="9">
        <f t="shared" si="79"/>
        <v>43746.974539062496</v>
      </c>
      <c r="K5108" s="1"/>
    </row>
    <row r="5109" spans="1:11" x14ac:dyDescent="0.25">
      <c r="A5109" t="e">
        <f>-LqgAg9OS8bzJZMwyFtA</f>
        <v>#NAME?</v>
      </c>
      <c r="B5109">
        <v>393.75</v>
      </c>
      <c r="C5109">
        <v>20.531590000000001</v>
      </c>
      <c r="D5109">
        <v>67</v>
      </c>
      <c r="E5109">
        <v>0</v>
      </c>
      <c r="F5109">
        <v>0</v>
      </c>
      <c r="G5109">
        <v>12</v>
      </c>
      <c r="H5109" s="4">
        <v>1570551807397</v>
      </c>
      <c r="I5109">
        <v>526.6875</v>
      </c>
      <c r="J5109" s="9">
        <f t="shared" si="79"/>
        <v>43746.974622650458</v>
      </c>
      <c r="K5109" s="1"/>
    </row>
    <row r="5110" spans="1:11" x14ac:dyDescent="0.25">
      <c r="A5110" t="e">
        <f>-LqgAhd4MBMK69FBK3rN</f>
        <v>#NAME?</v>
      </c>
      <c r="B5110">
        <v>393.75</v>
      </c>
      <c r="C5110">
        <v>20.531590000000001</v>
      </c>
      <c r="D5110">
        <v>66</v>
      </c>
      <c r="E5110">
        <v>0</v>
      </c>
      <c r="F5110">
        <v>0</v>
      </c>
      <c r="G5110">
        <v>14</v>
      </c>
      <c r="H5110" s="4">
        <v>1570551813597</v>
      </c>
      <c r="I5110">
        <v>526.6875</v>
      </c>
      <c r="J5110" s="9">
        <f t="shared" si="79"/>
        <v>43746.974694409721</v>
      </c>
      <c r="K5110" s="1"/>
    </row>
    <row r="5111" spans="1:11" x14ac:dyDescent="0.25">
      <c r="A5111" t="e">
        <f>-LqgAjCNt_z_pJRN9qZl</f>
        <v>#NAME?</v>
      </c>
      <c r="B5111">
        <v>393.75</v>
      </c>
      <c r="C5111">
        <v>20.531590000000001</v>
      </c>
      <c r="D5111">
        <v>66</v>
      </c>
      <c r="E5111">
        <v>0</v>
      </c>
      <c r="F5111">
        <v>0</v>
      </c>
      <c r="G5111">
        <v>11</v>
      </c>
      <c r="H5111" s="4">
        <v>1570551819764</v>
      </c>
      <c r="I5111">
        <v>526.6875</v>
      </c>
      <c r="J5111" s="9">
        <f t="shared" si="79"/>
        <v>43746.974765787039</v>
      </c>
      <c r="K5111" s="1"/>
    </row>
    <row r="5112" spans="1:11" x14ac:dyDescent="0.25">
      <c r="A5112" t="e">
        <f>-LqgAkv3equ1iME-Tecq</f>
        <v>#NAME?</v>
      </c>
      <c r="B5112">
        <v>393.75</v>
      </c>
      <c r="C5112">
        <v>20.531590000000001</v>
      </c>
      <c r="D5112">
        <v>65</v>
      </c>
      <c r="E5112">
        <v>0</v>
      </c>
      <c r="F5112">
        <v>0</v>
      </c>
      <c r="G5112">
        <v>18</v>
      </c>
      <c r="H5112" s="4">
        <v>1570551826964</v>
      </c>
      <c r="I5112">
        <v>526.6875</v>
      </c>
      <c r="J5112" s="9">
        <f t="shared" si="79"/>
        <v>43746.974849120372</v>
      </c>
      <c r="K5112" s="1"/>
    </row>
    <row r="5113" spans="1:11" x14ac:dyDescent="0.25">
      <c r="A5113" t="e">
        <f>-LqgAmUMKCQPSkTKluvC</f>
        <v>#NAME?</v>
      </c>
      <c r="B5113">
        <v>393.75</v>
      </c>
      <c r="C5113">
        <v>20.531590000000001</v>
      </c>
      <c r="D5113">
        <v>62</v>
      </c>
      <c r="E5113">
        <v>0</v>
      </c>
      <c r="F5113">
        <v>0</v>
      </c>
      <c r="G5113">
        <v>6</v>
      </c>
      <c r="H5113" s="4">
        <v>1570551833138</v>
      </c>
      <c r="I5113">
        <v>526.6875</v>
      </c>
      <c r="J5113" s="9">
        <f t="shared" si="79"/>
        <v>43746.974920578701</v>
      </c>
      <c r="K5113" s="1"/>
    </row>
    <row r="5114" spans="1:11" x14ac:dyDescent="0.25">
      <c r="A5114" t="e">
        <f>-LqgAoeWipjbTRTXAazx</f>
        <v>#NAME?</v>
      </c>
      <c r="B5114">
        <v>393.75</v>
      </c>
      <c r="C5114">
        <v>20.531590000000001</v>
      </c>
      <c r="D5114">
        <v>62</v>
      </c>
      <c r="E5114">
        <v>0</v>
      </c>
      <c r="F5114">
        <v>0</v>
      </c>
      <c r="G5114">
        <v>16</v>
      </c>
      <c r="H5114" s="4">
        <v>1570551840376</v>
      </c>
      <c r="I5114">
        <v>526.6875</v>
      </c>
      <c r="J5114" s="9">
        <f t="shared" si="79"/>
        <v>43746.975004351851</v>
      </c>
      <c r="K5114" s="1"/>
    </row>
    <row r="5115" spans="1:11" x14ac:dyDescent="0.25">
      <c r="A5115" t="s">
        <v>284</v>
      </c>
      <c r="B5115">
        <v>393.75</v>
      </c>
      <c r="C5115">
        <v>20.531590000000001</v>
      </c>
      <c r="D5115">
        <v>63</v>
      </c>
      <c r="E5115">
        <v>0</v>
      </c>
      <c r="F5115">
        <v>0</v>
      </c>
      <c r="G5115">
        <v>6</v>
      </c>
      <c r="H5115" s="4">
        <v>1570551848616</v>
      </c>
      <c r="I5115">
        <v>526.6875</v>
      </c>
      <c r="J5115" s="9">
        <f t="shared" si="79"/>
        <v>43746.975099722222</v>
      </c>
      <c r="K5115" s="1"/>
    </row>
    <row r="5116" spans="1:11" x14ac:dyDescent="0.25">
      <c r="A5116" t="e">
        <f>-LqgArxF0R4xIZ9aDvC3</f>
        <v>#NAME?</v>
      </c>
      <c r="B5116">
        <v>393.75</v>
      </c>
      <c r="C5116">
        <v>20.478950000000001</v>
      </c>
      <c r="D5116">
        <v>63</v>
      </c>
      <c r="E5116">
        <v>0</v>
      </c>
      <c r="F5116">
        <v>0</v>
      </c>
      <c r="G5116">
        <v>11</v>
      </c>
      <c r="H5116" s="4">
        <v>1570551855835</v>
      </c>
      <c r="I5116">
        <v>526.6875</v>
      </c>
      <c r="J5116" s="9">
        <f t="shared" si="79"/>
        <v>43746.975183275463</v>
      </c>
      <c r="K5116" s="1"/>
    </row>
    <row r="5117" spans="1:11" x14ac:dyDescent="0.25">
      <c r="A5117" t="e">
        <f>-LqgAtRZ8FxwHe_LvPK3</f>
        <v>#NAME?</v>
      </c>
      <c r="B5117">
        <v>393.75</v>
      </c>
      <c r="C5117">
        <v>20.531590000000001</v>
      </c>
      <c r="D5117">
        <v>63</v>
      </c>
      <c r="E5117">
        <v>0</v>
      </c>
      <c r="F5117">
        <v>0</v>
      </c>
      <c r="G5117">
        <v>11</v>
      </c>
      <c r="H5117" s="4">
        <v>1570551862014</v>
      </c>
      <c r="I5117">
        <v>526.6875</v>
      </c>
      <c r="J5117" s="9">
        <f t="shared" si="79"/>
        <v>43746.975254791665</v>
      </c>
      <c r="K5117" s="1"/>
    </row>
    <row r="5118" spans="1:11" x14ac:dyDescent="0.25">
      <c r="A5118" t="e">
        <f>-LqgAv-EFjrN1rmvkf8B</f>
        <v>#NAME?</v>
      </c>
      <c r="B5118">
        <v>393.75</v>
      </c>
      <c r="C5118">
        <v>20.478950000000001</v>
      </c>
      <c r="D5118">
        <v>64</v>
      </c>
      <c r="E5118">
        <v>0</v>
      </c>
      <c r="F5118">
        <v>0</v>
      </c>
      <c r="G5118">
        <v>17</v>
      </c>
      <c r="H5118" s="4">
        <v>1570551868205</v>
      </c>
      <c r="I5118">
        <v>526.6875</v>
      </c>
      <c r="J5118" s="9">
        <f t="shared" si="79"/>
        <v>43746.975326446758</v>
      </c>
      <c r="K5118" s="1"/>
    </row>
    <row r="5119" spans="1:11" x14ac:dyDescent="0.25">
      <c r="A5119" t="e">
        <f>-LqgAwn3wZWrvZXcO0XG</f>
        <v>#NAME?</v>
      </c>
      <c r="B5119">
        <v>393.75</v>
      </c>
      <c r="C5119">
        <v>20.478950000000001</v>
      </c>
      <c r="D5119">
        <v>64</v>
      </c>
      <c r="E5119">
        <v>0</v>
      </c>
      <c r="F5119">
        <v>0</v>
      </c>
      <c r="G5119">
        <v>18</v>
      </c>
      <c r="H5119" s="4">
        <v>1570551875414</v>
      </c>
      <c r="I5119">
        <v>526.6875</v>
      </c>
      <c r="J5119" s="9">
        <f t="shared" si="79"/>
        <v>43746.97540988426</v>
      </c>
      <c r="K5119" s="1"/>
    </row>
    <row r="5120" spans="1:11" x14ac:dyDescent="0.25">
      <c r="A5120" t="e">
        <f>-LqgAylyTiGDE-1-sT5S</f>
        <v>#NAME?</v>
      </c>
      <c r="B5120">
        <v>393.75</v>
      </c>
      <c r="C5120">
        <v>20.478950000000001</v>
      </c>
      <c r="D5120">
        <v>64</v>
      </c>
      <c r="E5120">
        <v>0</v>
      </c>
      <c r="F5120">
        <v>0</v>
      </c>
      <c r="G5120">
        <v>12</v>
      </c>
      <c r="H5120" s="4">
        <v>1570551882645</v>
      </c>
      <c r="I5120">
        <v>526.6875</v>
      </c>
      <c r="J5120" s="9">
        <f t="shared" si="79"/>
        <v>43746.975493576385</v>
      </c>
      <c r="K5120" s="1"/>
    </row>
    <row r="5121" spans="1:11" x14ac:dyDescent="0.25">
      <c r="A5121" t="e">
        <f>-LqgB-J4U2sKqpciwObW</f>
        <v>#NAME?</v>
      </c>
      <c r="B5121">
        <v>393.75</v>
      </c>
      <c r="C5121">
        <v>20.478950000000001</v>
      </c>
      <c r="D5121">
        <v>64</v>
      </c>
      <c r="E5121">
        <v>0</v>
      </c>
      <c r="F5121">
        <v>0</v>
      </c>
      <c r="G5121">
        <v>11</v>
      </c>
      <c r="H5121" s="4">
        <v>1570551889835</v>
      </c>
      <c r="I5121">
        <v>526.6875</v>
      </c>
      <c r="J5121" s="9">
        <f t="shared" si="79"/>
        <v>43746.975576793979</v>
      </c>
      <c r="K5121" s="1"/>
    </row>
    <row r="5122" spans="1:11" x14ac:dyDescent="0.25">
      <c r="A5122" t="e">
        <f>-LqgB114az37zLX59JBV</f>
        <v>#NAME?</v>
      </c>
      <c r="B5122">
        <v>393.75</v>
      </c>
      <c r="C5122">
        <v>20.531590000000001</v>
      </c>
      <c r="D5122">
        <v>65</v>
      </c>
      <c r="E5122">
        <v>0</v>
      </c>
      <c r="F5122">
        <v>0</v>
      </c>
      <c r="G5122">
        <v>6</v>
      </c>
      <c r="H5122" s="4">
        <v>1570551897045</v>
      </c>
      <c r="I5122">
        <v>526.6875</v>
      </c>
      <c r="J5122" s="9">
        <f t="shared" si="79"/>
        <v>43746.97566024305</v>
      </c>
      <c r="K5122" s="1"/>
    </row>
    <row r="5123" spans="1:11" x14ac:dyDescent="0.25">
      <c r="A5123" t="e">
        <f>-LqgB2a4sNsouRwOl97A</f>
        <v>#NAME?</v>
      </c>
      <c r="B5123">
        <v>393.75</v>
      </c>
      <c r="C5123">
        <v>20.478950000000001</v>
      </c>
      <c r="D5123">
        <v>65</v>
      </c>
      <c r="E5123">
        <v>0</v>
      </c>
      <c r="F5123">
        <v>0</v>
      </c>
      <c r="G5123">
        <v>13</v>
      </c>
      <c r="H5123" s="4">
        <v>1570551903234</v>
      </c>
      <c r="I5123">
        <v>526.6875</v>
      </c>
      <c r="J5123" s="9">
        <f t="shared" ref="J5123:J5186" si="80">(H5123/86400000)+25569+(7/24)</f>
        <v>43746.975731874998</v>
      </c>
      <c r="K5123" s="1"/>
    </row>
    <row r="5124" spans="1:11" x14ac:dyDescent="0.25">
      <c r="A5124" t="e">
        <f>-LqgB4JGioRli4fEOIRo</f>
        <v>#NAME?</v>
      </c>
      <c r="B5124">
        <v>393.75</v>
      </c>
      <c r="C5124">
        <v>20.531590000000001</v>
      </c>
      <c r="D5124">
        <v>66</v>
      </c>
      <c r="E5124">
        <v>0</v>
      </c>
      <c r="F5124">
        <v>0</v>
      </c>
      <c r="G5124">
        <v>13</v>
      </c>
      <c r="H5124" s="4">
        <v>1570551910447</v>
      </c>
      <c r="I5124">
        <v>526.6875</v>
      </c>
      <c r="J5124" s="9">
        <f t="shared" si="80"/>
        <v>43746.975815358797</v>
      </c>
      <c r="K5124" s="1"/>
    </row>
    <row r="5125" spans="1:11" x14ac:dyDescent="0.25">
      <c r="A5125" t="e">
        <f>-LqgB5n6ULMTjQz1XE6v</f>
        <v>#NAME?</v>
      </c>
      <c r="B5125">
        <v>393.75</v>
      </c>
      <c r="C5125">
        <v>20.478950000000001</v>
      </c>
      <c r="D5125">
        <v>65</v>
      </c>
      <c r="E5125">
        <v>0</v>
      </c>
      <c r="F5125">
        <v>0</v>
      </c>
      <c r="G5125">
        <v>11</v>
      </c>
      <c r="H5125" s="4">
        <v>1570551916638</v>
      </c>
      <c r="I5125">
        <v>526.5</v>
      </c>
      <c r="J5125" s="9">
        <f t="shared" si="80"/>
        <v>43746.975887013883</v>
      </c>
      <c r="K5125" s="1"/>
    </row>
    <row r="5126" spans="1:11" x14ac:dyDescent="0.25">
      <c r="A5126" t="e">
        <f>-LqgB7M5O72egjRKB4yV</f>
        <v>#NAME?</v>
      </c>
      <c r="B5126">
        <v>393.75</v>
      </c>
      <c r="C5126">
        <v>20.478950000000001</v>
      </c>
      <c r="D5126">
        <v>66</v>
      </c>
      <c r="E5126">
        <v>0</v>
      </c>
      <c r="F5126">
        <v>0</v>
      </c>
      <c r="G5126">
        <v>16</v>
      </c>
      <c r="H5126" s="4">
        <v>1570551922814</v>
      </c>
      <c r="I5126">
        <v>526.6875</v>
      </c>
      <c r="J5126" s="9">
        <f t="shared" si="80"/>
        <v>43746.975958495364</v>
      </c>
      <c r="K5126" s="1"/>
    </row>
    <row r="5127" spans="1:11" x14ac:dyDescent="0.25">
      <c r="A5127" t="e">
        <f>-LqgB8q4OouYB2Mg6tta</f>
        <v>#NAME?</v>
      </c>
      <c r="B5127">
        <v>393.75</v>
      </c>
      <c r="C5127">
        <v>20.531590000000001</v>
      </c>
      <c r="D5127">
        <v>66</v>
      </c>
      <c r="E5127">
        <v>0</v>
      </c>
      <c r="F5127">
        <v>0</v>
      </c>
      <c r="G5127">
        <v>12</v>
      </c>
      <c r="H5127" s="4">
        <v>1570551928995</v>
      </c>
      <c r="I5127">
        <v>526.6875</v>
      </c>
      <c r="J5127" s="9">
        <f t="shared" si="80"/>
        <v>43746.976030034719</v>
      </c>
      <c r="K5127" s="1"/>
    </row>
    <row r="5128" spans="1:11" x14ac:dyDescent="0.25">
      <c r="A5128" t="e">
        <f>-LqgBAemJCjI2XTfEos1</f>
        <v>#NAME?</v>
      </c>
      <c r="B5128">
        <v>393.75</v>
      </c>
      <c r="C5128">
        <v>20.531590000000001</v>
      </c>
      <c r="D5128">
        <v>64</v>
      </c>
      <c r="E5128">
        <v>0</v>
      </c>
      <c r="F5128">
        <v>0</v>
      </c>
      <c r="G5128">
        <v>11</v>
      </c>
      <c r="H5128" s="4">
        <v>1570551935186</v>
      </c>
      <c r="I5128">
        <v>526.6875</v>
      </c>
      <c r="J5128" s="9">
        <f t="shared" si="80"/>
        <v>43746.976101689812</v>
      </c>
      <c r="K5128" s="1"/>
    </row>
    <row r="5129" spans="1:11" x14ac:dyDescent="0.25">
      <c r="A5129" t="e">
        <f>-LqgBCM3KpfrzZ9KzN47</f>
        <v>#NAME?</v>
      </c>
      <c r="B5129">
        <v>393.75</v>
      </c>
      <c r="C5129">
        <v>20.531590000000001</v>
      </c>
      <c r="D5129">
        <v>64</v>
      </c>
      <c r="E5129">
        <v>0</v>
      </c>
      <c r="F5129">
        <v>0</v>
      </c>
      <c r="G5129">
        <v>8</v>
      </c>
      <c r="H5129" s="4">
        <v>1570551943454</v>
      </c>
      <c r="I5129">
        <v>526.6875</v>
      </c>
      <c r="J5129" s="9">
        <f t="shared" si="80"/>
        <v>43746.976197384261</v>
      </c>
      <c r="K5129" s="1"/>
    </row>
    <row r="5130" spans="1:11" x14ac:dyDescent="0.25">
      <c r="A5130" t="e">
        <f>-LqgBDq2LskJ5lZchgU0</f>
        <v>#NAME?</v>
      </c>
      <c r="B5130">
        <v>393.75</v>
      </c>
      <c r="C5130">
        <v>20.531590000000001</v>
      </c>
      <c r="D5130">
        <v>64</v>
      </c>
      <c r="E5130">
        <v>0</v>
      </c>
      <c r="F5130">
        <v>0</v>
      </c>
      <c r="G5130">
        <v>9</v>
      </c>
      <c r="H5130" s="4">
        <v>1570551949615</v>
      </c>
      <c r="I5130">
        <v>526.5</v>
      </c>
      <c r="J5130" s="9">
        <f t="shared" si="80"/>
        <v>43746.976268692124</v>
      </c>
      <c r="K5130" s="1"/>
    </row>
    <row r="5131" spans="1:11" x14ac:dyDescent="0.25">
      <c r="A5131" t="e">
        <f>-LqgBFP4K9S0X4GywIlU</f>
        <v>#NAME?</v>
      </c>
      <c r="B5131">
        <v>393.75</v>
      </c>
      <c r="C5131">
        <v>20.478950000000001</v>
      </c>
      <c r="D5131">
        <v>64</v>
      </c>
      <c r="E5131">
        <v>0</v>
      </c>
      <c r="F5131">
        <v>0</v>
      </c>
      <c r="G5131">
        <v>9</v>
      </c>
      <c r="H5131" s="4">
        <v>1570551955795</v>
      </c>
      <c r="I5131">
        <v>526.6875</v>
      </c>
      <c r="J5131" s="9">
        <f t="shared" si="80"/>
        <v>43746.97634021991</v>
      </c>
      <c r="K5131" s="1"/>
    </row>
    <row r="5132" spans="1:11" x14ac:dyDescent="0.25">
      <c r="A5132" t="e">
        <f>-LqgBGt6LqLkuYnV875p</f>
        <v>#NAME?</v>
      </c>
      <c r="B5132">
        <v>393.75</v>
      </c>
      <c r="C5132">
        <v>20.478950000000001</v>
      </c>
      <c r="D5132">
        <v>64</v>
      </c>
      <c r="E5132">
        <v>0</v>
      </c>
      <c r="F5132">
        <v>0</v>
      </c>
      <c r="G5132">
        <v>14</v>
      </c>
      <c r="H5132" s="4">
        <v>1570551961964</v>
      </c>
      <c r="I5132">
        <v>526.6875</v>
      </c>
      <c r="J5132" s="9">
        <f t="shared" si="80"/>
        <v>43746.976411620366</v>
      </c>
      <c r="K5132" s="1"/>
    </row>
    <row r="5133" spans="1:11" x14ac:dyDescent="0.25">
      <c r="A5133" t="e">
        <f>-LqgBIb2QcVZQjfFK4M0</f>
        <v>#NAME?</v>
      </c>
      <c r="B5133">
        <v>393.75</v>
      </c>
      <c r="C5133">
        <v>20.531590000000001</v>
      </c>
      <c r="D5133">
        <v>65</v>
      </c>
      <c r="E5133">
        <v>0</v>
      </c>
      <c r="F5133">
        <v>0</v>
      </c>
      <c r="G5133">
        <v>10</v>
      </c>
      <c r="H5133" s="4">
        <v>1570551968163</v>
      </c>
      <c r="I5133">
        <v>526.6875</v>
      </c>
      <c r="J5133" s="9">
        <f t="shared" si="80"/>
        <v>43746.976483368053</v>
      </c>
      <c r="K5133" s="1"/>
    </row>
    <row r="5134" spans="1:11" x14ac:dyDescent="0.25">
      <c r="A5134" t="e">
        <f>-LqgBKA3MTERStZV5HqM</f>
        <v>#NAME?</v>
      </c>
      <c r="B5134">
        <v>393.75</v>
      </c>
      <c r="C5134">
        <v>20.531590000000001</v>
      </c>
      <c r="D5134">
        <v>65</v>
      </c>
      <c r="E5134">
        <v>0</v>
      </c>
      <c r="F5134">
        <v>0</v>
      </c>
      <c r="G5134">
        <v>7</v>
      </c>
      <c r="H5134" s="4">
        <v>1570551975374</v>
      </c>
      <c r="I5134">
        <v>526.6875</v>
      </c>
      <c r="J5134" s="9">
        <f t="shared" si="80"/>
        <v>43746.9765668287</v>
      </c>
      <c r="K5134" s="1"/>
    </row>
    <row r="5135" spans="1:11" x14ac:dyDescent="0.25">
      <c r="A5135" t="e">
        <f>-LqgBLbhOQcrzfQPCSk3</f>
        <v>#NAME?</v>
      </c>
      <c r="B5135">
        <v>393.75</v>
      </c>
      <c r="C5135">
        <v>20.584240000000001</v>
      </c>
      <c r="D5135">
        <v>63</v>
      </c>
      <c r="E5135">
        <v>0</v>
      </c>
      <c r="F5135">
        <v>0</v>
      </c>
      <c r="G5135">
        <v>14</v>
      </c>
      <c r="H5135" s="4">
        <v>1570551981533</v>
      </c>
      <c r="I5135">
        <v>526.6875</v>
      </c>
      <c r="J5135" s="9">
        <f t="shared" si="80"/>
        <v>43746.976638113425</v>
      </c>
      <c r="K5135" s="1"/>
    </row>
    <row r="5136" spans="1:11" x14ac:dyDescent="0.25">
      <c r="A5136" t="e">
        <f>-LqgBNBxfG4n5XTozHqn</f>
        <v>#NAME?</v>
      </c>
      <c r="B5136">
        <v>393.75</v>
      </c>
      <c r="C5136">
        <v>20.531590000000001</v>
      </c>
      <c r="D5136">
        <v>65</v>
      </c>
      <c r="E5136">
        <v>0</v>
      </c>
      <c r="F5136">
        <v>0</v>
      </c>
      <c r="G5136">
        <v>9</v>
      </c>
      <c r="H5136" s="4">
        <v>1570551987743</v>
      </c>
      <c r="I5136">
        <v>526.6875</v>
      </c>
      <c r="J5136" s="9">
        <f t="shared" si="80"/>
        <v>43746.976709988427</v>
      </c>
      <c r="K5136" s="1"/>
    </row>
    <row r="5137" spans="1:11" x14ac:dyDescent="0.25">
      <c r="A5137" t="e">
        <f>-LqgBOdKAvrQTBzKcYT1</f>
        <v>#NAME?</v>
      </c>
      <c r="B5137">
        <v>393.75</v>
      </c>
      <c r="C5137">
        <v>20.531590000000001</v>
      </c>
      <c r="D5137">
        <v>64</v>
      </c>
      <c r="E5137">
        <v>0</v>
      </c>
      <c r="F5137">
        <v>0</v>
      </c>
      <c r="G5137">
        <v>8</v>
      </c>
      <c r="H5137" s="4">
        <v>1570551993923</v>
      </c>
      <c r="I5137">
        <v>526.6875</v>
      </c>
      <c r="J5137" s="9">
        <f t="shared" si="80"/>
        <v>43746.976781516198</v>
      </c>
      <c r="K5137" s="1"/>
    </row>
    <row r="5138" spans="1:11" x14ac:dyDescent="0.25">
      <c r="A5138" t="e">
        <f>-LqgBQBGLPRg0UTpnXxa</f>
        <v>#NAME?</v>
      </c>
      <c r="B5138">
        <v>393.75</v>
      </c>
      <c r="C5138">
        <v>20.478950000000001</v>
      </c>
      <c r="D5138">
        <v>66</v>
      </c>
      <c r="E5138">
        <v>0</v>
      </c>
      <c r="F5138">
        <v>0</v>
      </c>
      <c r="G5138">
        <v>4</v>
      </c>
      <c r="H5138" s="4">
        <v>1570552000084</v>
      </c>
      <c r="I5138">
        <v>526.6875</v>
      </c>
      <c r="J5138" s="9">
        <f t="shared" si="80"/>
        <v>43746.976852824075</v>
      </c>
      <c r="K5138" s="1"/>
    </row>
    <row r="5139" spans="1:11" x14ac:dyDescent="0.25">
      <c r="A5139" t="e">
        <f>-LqgBRk33rqw7oYdWktn</f>
        <v>#NAME?</v>
      </c>
      <c r="B5139">
        <v>415.625</v>
      </c>
      <c r="C5139">
        <v>20.478950000000001</v>
      </c>
      <c r="D5139">
        <v>66</v>
      </c>
      <c r="E5139">
        <v>0</v>
      </c>
      <c r="F5139">
        <v>0</v>
      </c>
      <c r="G5139">
        <v>9</v>
      </c>
      <c r="H5139" s="4">
        <v>1570552006275</v>
      </c>
      <c r="I5139">
        <v>533.0625</v>
      </c>
      <c r="J5139" s="9">
        <f t="shared" si="80"/>
        <v>43746.976924479161</v>
      </c>
      <c r="K5139" s="1"/>
    </row>
    <row r="5140" spans="1:11" x14ac:dyDescent="0.25">
      <c r="A5140" t="e">
        <f>-LqgBTTCZahuIvBLhhcd</f>
        <v>#NAME?</v>
      </c>
      <c r="B5140">
        <v>396.875</v>
      </c>
      <c r="C5140">
        <v>20.478950000000001</v>
      </c>
      <c r="D5140">
        <v>65</v>
      </c>
      <c r="E5140">
        <v>0</v>
      </c>
      <c r="F5140">
        <v>0</v>
      </c>
      <c r="G5140">
        <v>8</v>
      </c>
      <c r="H5140" s="4">
        <v>1570552013523</v>
      </c>
      <c r="I5140">
        <v>527.4375</v>
      </c>
      <c r="J5140" s="9">
        <f t="shared" si="80"/>
        <v>43746.977008368056</v>
      </c>
      <c r="K5140" s="1"/>
    </row>
    <row r="5141" spans="1:11" x14ac:dyDescent="0.25">
      <c r="A5141" t="e">
        <f>-LqgBVB21u8VG4dzWNS3</f>
        <v>#NAME?</v>
      </c>
      <c r="B5141">
        <v>396.875</v>
      </c>
      <c r="C5141">
        <v>20.478950000000001</v>
      </c>
      <c r="D5141">
        <v>64</v>
      </c>
      <c r="E5141">
        <v>0</v>
      </c>
      <c r="F5141">
        <v>0</v>
      </c>
      <c r="G5141">
        <v>11</v>
      </c>
      <c r="H5141" s="4">
        <v>1570552020341</v>
      </c>
      <c r="I5141">
        <v>527.4375</v>
      </c>
      <c r="J5141" s="9">
        <f t="shared" si="80"/>
        <v>43746.977087280095</v>
      </c>
      <c r="K5141" s="1"/>
    </row>
    <row r="5142" spans="1:11" x14ac:dyDescent="0.25">
      <c r="A5142" t="e">
        <f>-LqgBWlJUHGrVzpX2VFu</f>
        <v>#NAME?</v>
      </c>
      <c r="B5142">
        <v>412.5</v>
      </c>
      <c r="C5142">
        <v>20.531590000000001</v>
      </c>
      <c r="D5142">
        <v>67</v>
      </c>
      <c r="E5142">
        <v>0</v>
      </c>
      <c r="F5142">
        <v>0</v>
      </c>
      <c r="G5142">
        <v>10</v>
      </c>
      <c r="H5142" s="4">
        <v>1570552026904</v>
      </c>
      <c r="I5142">
        <v>532.125</v>
      </c>
      <c r="J5142" s="9">
        <f t="shared" si="80"/>
        <v>43746.977163240743</v>
      </c>
      <c r="K5142" s="1"/>
    </row>
    <row r="5143" spans="1:11" x14ac:dyDescent="0.25">
      <c r="A5143" t="e">
        <f>-LqgBYBi3a9z1aEzXeHN</f>
        <v>#NAME?</v>
      </c>
      <c r="B5143">
        <v>396.875</v>
      </c>
      <c r="C5143">
        <v>20.478950000000001</v>
      </c>
      <c r="D5143">
        <v>67</v>
      </c>
      <c r="E5143">
        <v>0</v>
      </c>
      <c r="F5143">
        <v>0</v>
      </c>
      <c r="G5143">
        <v>5</v>
      </c>
      <c r="H5143" s="4">
        <v>1570552033043</v>
      </c>
      <c r="I5143">
        <v>527.4375</v>
      </c>
      <c r="J5143" s="9">
        <f t="shared" si="80"/>
        <v>43746.977234293976</v>
      </c>
      <c r="K5143" s="1"/>
    </row>
    <row r="5144" spans="1:11" x14ac:dyDescent="0.25">
      <c r="A5144" t="e">
        <f>-LqgBZnCL0nElUgh5DB4</f>
        <v>#NAME?</v>
      </c>
      <c r="B5144">
        <v>396.875</v>
      </c>
      <c r="C5144">
        <v>20.478950000000001</v>
      </c>
      <c r="D5144">
        <v>62</v>
      </c>
      <c r="E5144">
        <v>0</v>
      </c>
      <c r="F5144">
        <v>0</v>
      </c>
      <c r="G5144">
        <v>15</v>
      </c>
      <c r="H5144" s="4">
        <v>1570552039274</v>
      </c>
      <c r="I5144">
        <v>527.4375</v>
      </c>
      <c r="J5144" s="9">
        <f t="shared" si="80"/>
        <v>43746.977306412031</v>
      </c>
      <c r="K5144" s="1"/>
    </row>
    <row r="5145" spans="1:11" x14ac:dyDescent="0.25">
      <c r="A5145" t="e">
        <f>-LqgBaTjXvP4O7QoRmw1</f>
        <v>#NAME?</v>
      </c>
      <c r="B5145">
        <v>396.875</v>
      </c>
      <c r="C5145">
        <v>20.478950000000001</v>
      </c>
      <c r="D5145">
        <v>63</v>
      </c>
      <c r="E5145">
        <v>0</v>
      </c>
      <c r="F5145">
        <v>0</v>
      </c>
      <c r="G5145">
        <v>9</v>
      </c>
      <c r="H5145" s="4">
        <v>1570552046483</v>
      </c>
      <c r="I5145">
        <v>527.4375</v>
      </c>
      <c r="J5145" s="9">
        <f t="shared" si="80"/>
        <v>43746.977389849533</v>
      </c>
      <c r="K5145" s="1"/>
    </row>
    <row r="5146" spans="1:11" x14ac:dyDescent="0.25">
      <c r="A5146" t="e">
        <f>-LqgBc2yyQ_k4vzvLwhC</f>
        <v>#NAME?</v>
      </c>
      <c r="B5146">
        <v>396.875</v>
      </c>
      <c r="C5146">
        <v>20.584240000000001</v>
      </c>
      <c r="D5146">
        <v>63</v>
      </c>
      <c r="E5146">
        <v>0</v>
      </c>
      <c r="F5146">
        <v>0</v>
      </c>
      <c r="G5146">
        <v>6</v>
      </c>
      <c r="H5146" s="4">
        <v>1570552052664</v>
      </c>
      <c r="I5146">
        <v>527.4375</v>
      </c>
      <c r="J5146" s="9">
        <f t="shared" si="80"/>
        <v>43746.977461388888</v>
      </c>
      <c r="K5146" s="1"/>
    </row>
    <row r="5147" spans="1:11" x14ac:dyDescent="0.25">
      <c r="A5147" t="e">
        <f>-LqgBdlyo5dChXzcb2Q1</f>
        <v>#NAME?</v>
      </c>
      <c r="B5147">
        <v>396.875</v>
      </c>
      <c r="C5147">
        <v>20.531590000000001</v>
      </c>
      <c r="D5147">
        <v>63</v>
      </c>
      <c r="E5147">
        <v>0</v>
      </c>
      <c r="F5147">
        <v>0</v>
      </c>
      <c r="G5147">
        <v>8</v>
      </c>
      <c r="H5147" s="4">
        <v>1570552059884</v>
      </c>
      <c r="I5147">
        <v>527.4375</v>
      </c>
      <c r="J5147" s="9">
        <f t="shared" si="80"/>
        <v>43746.977544953705</v>
      </c>
      <c r="K5147" s="1"/>
    </row>
    <row r="5148" spans="1:11" x14ac:dyDescent="0.25">
      <c r="A5148" t="e">
        <f>-LqgBfH2TuOkmIuv4k-h</f>
        <v>#NAME?</v>
      </c>
      <c r="B5148">
        <v>396.875</v>
      </c>
      <c r="C5148">
        <v>20.478950000000001</v>
      </c>
      <c r="D5148">
        <v>64</v>
      </c>
      <c r="E5148">
        <v>0</v>
      </c>
      <c r="F5148">
        <v>0</v>
      </c>
      <c r="G5148">
        <v>13</v>
      </c>
      <c r="H5148" s="4">
        <v>1570552066074</v>
      </c>
      <c r="I5148">
        <v>527.4375</v>
      </c>
      <c r="J5148" s="9">
        <f t="shared" si="80"/>
        <v>43746.977616597222</v>
      </c>
      <c r="K5148" s="1"/>
    </row>
    <row r="5149" spans="1:11" x14ac:dyDescent="0.25">
      <c r="A5149" t="e">
        <f>-LqgBglC5ncJ0t_6911h</f>
        <v>#NAME?</v>
      </c>
      <c r="B5149">
        <v>396.875</v>
      </c>
      <c r="C5149">
        <v>20.478950000000001</v>
      </c>
      <c r="D5149">
        <v>64</v>
      </c>
      <c r="E5149">
        <v>0</v>
      </c>
      <c r="F5149">
        <v>0</v>
      </c>
      <c r="G5149">
        <v>8</v>
      </c>
      <c r="H5149" s="4">
        <v>1570552072244</v>
      </c>
      <c r="I5149">
        <v>527.4375</v>
      </c>
      <c r="J5149" s="9">
        <f t="shared" si="80"/>
        <v>43746.977688009261</v>
      </c>
      <c r="K5149" s="1"/>
    </row>
    <row r="5150" spans="1:11" x14ac:dyDescent="0.25">
      <c r="A5150" t="e">
        <f>-LqgBiIzz5qu3GLUxPpN</f>
        <v>#NAME?</v>
      </c>
      <c r="B5150">
        <v>396.875</v>
      </c>
      <c r="C5150">
        <v>20.478950000000001</v>
      </c>
      <c r="D5150">
        <v>64</v>
      </c>
      <c r="E5150">
        <v>0</v>
      </c>
      <c r="F5150">
        <v>0</v>
      </c>
      <c r="G5150">
        <v>14</v>
      </c>
      <c r="H5150" s="4">
        <v>1570552078434</v>
      </c>
      <c r="I5150">
        <v>527.4375</v>
      </c>
      <c r="J5150" s="9">
        <f t="shared" si="80"/>
        <v>43746.977759652778</v>
      </c>
      <c r="K5150" s="1"/>
    </row>
    <row r="5151" spans="1:11" x14ac:dyDescent="0.25">
      <c r="A5151" t="e">
        <f>-LqgBjmyCPA6PVfPvBXy</f>
        <v>#NAME?</v>
      </c>
      <c r="B5151">
        <v>393.75</v>
      </c>
      <c r="C5151">
        <v>20.478950000000001</v>
      </c>
      <c r="D5151">
        <v>65</v>
      </c>
      <c r="E5151">
        <v>0</v>
      </c>
      <c r="F5151">
        <v>0</v>
      </c>
      <c r="G5151">
        <v>12</v>
      </c>
      <c r="H5151" s="4">
        <v>1570552084623</v>
      </c>
      <c r="I5151">
        <v>526.6875</v>
      </c>
      <c r="J5151" s="9">
        <f t="shared" si="80"/>
        <v>43746.977831284719</v>
      </c>
      <c r="K5151" s="1"/>
    </row>
    <row r="5152" spans="1:11" x14ac:dyDescent="0.25">
      <c r="A5152" t="e">
        <f>-LqgBlN2VzjiXFo8Wl6a</f>
        <v>#NAME?</v>
      </c>
      <c r="B5152">
        <v>393.75</v>
      </c>
      <c r="C5152">
        <v>20.531590000000001</v>
      </c>
      <c r="D5152">
        <v>64</v>
      </c>
      <c r="E5152">
        <v>0</v>
      </c>
      <c r="F5152">
        <v>0</v>
      </c>
      <c r="G5152">
        <v>7</v>
      </c>
      <c r="H5152" s="4">
        <v>1570552090799</v>
      </c>
      <c r="I5152">
        <v>526.6875</v>
      </c>
      <c r="J5152" s="9">
        <f t="shared" si="80"/>
        <v>43746.977902766201</v>
      </c>
      <c r="K5152" s="1"/>
    </row>
    <row r="5153" spans="1:11" x14ac:dyDescent="0.25">
      <c r="A5153" t="e">
        <f>-LqgBn2iSACQuS2q9LMM</f>
        <v>#NAME?</v>
      </c>
      <c r="B5153">
        <v>393.75</v>
      </c>
      <c r="C5153">
        <v>20.478950000000001</v>
      </c>
      <c r="D5153">
        <v>68</v>
      </c>
      <c r="E5153">
        <v>0</v>
      </c>
      <c r="F5153">
        <v>0</v>
      </c>
      <c r="G5153">
        <v>12</v>
      </c>
      <c r="H5153" s="4">
        <v>1570552098006</v>
      </c>
      <c r="I5153">
        <v>526.6875</v>
      </c>
      <c r="J5153" s="9">
        <f t="shared" si="80"/>
        <v>43746.977986180551</v>
      </c>
      <c r="K5153" s="1"/>
    </row>
    <row r="5154" spans="1:11" x14ac:dyDescent="0.25">
      <c r="A5154" t="e">
        <f>-LqgBot47uZALRx-wEcO</f>
        <v>#NAME?</v>
      </c>
      <c r="B5154">
        <v>393.75</v>
      </c>
      <c r="C5154">
        <v>20.531590000000001</v>
      </c>
      <c r="D5154">
        <v>65</v>
      </c>
      <c r="E5154">
        <v>0</v>
      </c>
      <c r="F5154">
        <v>0</v>
      </c>
      <c r="G5154">
        <v>14</v>
      </c>
      <c r="H5154" s="4">
        <v>1570552105240</v>
      </c>
      <c r="I5154">
        <v>526.6875</v>
      </c>
      <c r="J5154" s="9">
        <f t="shared" si="80"/>
        <v>43746.978069907404</v>
      </c>
      <c r="K5154" s="1"/>
    </row>
    <row r="5155" spans="1:11" x14ac:dyDescent="0.25">
      <c r="A5155" t="e">
        <f>-LqgBqZDu0i-EntDJRre</f>
        <v>#NAME?</v>
      </c>
      <c r="B5155">
        <v>393.75</v>
      </c>
      <c r="C5155">
        <v>20.531590000000001</v>
      </c>
      <c r="D5155">
        <v>65</v>
      </c>
      <c r="E5155">
        <v>0</v>
      </c>
      <c r="F5155">
        <v>0</v>
      </c>
      <c r="G5155">
        <v>15</v>
      </c>
      <c r="H5155" s="4">
        <v>1570552112404</v>
      </c>
      <c r="I5155">
        <v>526.5</v>
      </c>
      <c r="J5155" s="9">
        <f t="shared" si="80"/>
        <v>43746.978152824071</v>
      </c>
      <c r="K5155" s="1"/>
    </row>
    <row r="5156" spans="1:11" x14ac:dyDescent="0.25">
      <c r="A5156" t="e">
        <f>-LqgBs98L10KZvZRONuh</f>
        <v>#NAME?</v>
      </c>
      <c r="B5156">
        <v>393.75</v>
      </c>
      <c r="C5156">
        <v>20.531590000000001</v>
      </c>
      <c r="D5156">
        <v>70</v>
      </c>
      <c r="E5156">
        <v>0</v>
      </c>
      <c r="F5156">
        <v>0</v>
      </c>
      <c r="G5156">
        <v>1</v>
      </c>
      <c r="H5156" s="4">
        <v>1570552118623</v>
      </c>
      <c r="I5156">
        <v>526.6875</v>
      </c>
      <c r="J5156" s="9">
        <f t="shared" si="80"/>
        <v>43746.978224803235</v>
      </c>
      <c r="K5156" s="1"/>
    </row>
    <row r="5157" spans="1:11" x14ac:dyDescent="0.25">
      <c r="A5157" t="e">
        <f>-LqgBtqtO0Fb7pOu57ht</f>
        <v>#NAME?</v>
      </c>
      <c r="B5157">
        <v>393.75</v>
      </c>
      <c r="C5157">
        <v>20.478950000000001</v>
      </c>
      <c r="D5157">
        <v>70</v>
      </c>
      <c r="E5157">
        <v>0</v>
      </c>
      <c r="F5157">
        <v>0</v>
      </c>
      <c r="G5157">
        <v>3</v>
      </c>
      <c r="H5157" s="4">
        <v>1570552125843</v>
      </c>
      <c r="I5157">
        <v>526.6875</v>
      </c>
      <c r="J5157" s="9">
        <f t="shared" si="80"/>
        <v>43746.978308368052</v>
      </c>
      <c r="K5157" s="1"/>
    </row>
    <row r="5158" spans="1:11" x14ac:dyDescent="0.25">
      <c r="A5158" t="e">
        <f>-LqgBvNWwfRhL47mJtE_</f>
        <v>#NAME?</v>
      </c>
      <c r="B5158">
        <v>415.625</v>
      </c>
      <c r="C5158">
        <v>20.531590000000001</v>
      </c>
      <c r="D5158">
        <v>70</v>
      </c>
      <c r="E5158">
        <v>0</v>
      </c>
      <c r="F5158">
        <v>0</v>
      </c>
      <c r="G5158">
        <v>4</v>
      </c>
      <c r="H5158" s="4">
        <v>1570552132015</v>
      </c>
      <c r="I5158">
        <v>533.25</v>
      </c>
      <c r="J5158" s="9">
        <f t="shared" si="80"/>
        <v>43746.978379803237</v>
      </c>
      <c r="K5158" s="1"/>
    </row>
    <row r="5159" spans="1:11" x14ac:dyDescent="0.25">
      <c r="A5159" t="e">
        <f>-LqgBwwDlzqpp3KG-uDh</f>
        <v>#NAME?</v>
      </c>
      <c r="B5159">
        <v>393.75</v>
      </c>
      <c r="C5159">
        <v>20.531590000000001</v>
      </c>
      <c r="D5159">
        <v>70</v>
      </c>
      <c r="E5159">
        <v>0</v>
      </c>
      <c r="F5159">
        <v>0</v>
      </c>
      <c r="G5159">
        <v>6</v>
      </c>
      <c r="H5159" s="4">
        <v>1570552138206</v>
      </c>
      <c r="I5159">
        <v>526.6875</v>
      </c>
      <c r="J5159" s="9">
        <f t="shared" si="80"/>
        <v>43746.97845145833</v>
      </c>
      <c r="K5159" s="1"/>
    </row>
    <row r="5160" spans="1:11" x14ac:dyDescent="0.25">
      <c r="A5160" t="e">
        <f>-LqgByQ54SRUgXhqpG7y</f>
        <v>#NAME?</v>
      </c>
      <c r="B5160">
        <v>393.75</v>
      </c>
      <c r="C5160">
        <v>20.478950000000001</v>
      </c>
      <c r="D5160">
        <v>70</v>
      </c>
      <c r="E5160">
        <v>0</v>
      </c>
      <c r="F5160">
        <v>0</v>
      </c>
      <c r="G5160">
        <v>9</v>
      </c>
      <c r="H5160" s="4">
        <v>1570552144363</v>
      </c>
      <c r="I5160">
        <v>526.6875</v>
      </c>
      <c r="J5160" s="9">
        <f t="shared" si="80"/>
        <v>43746.97852271991</v>
      </c>
      <c r="K5160" s="1"/>
    </row>
    <row r="5161" spans="1:11" x14ac:dyDescent="0.25">
      <c r="A5161" t="e">
        <f>-LqgBzu30KBmjAsmkHLp</f>
        <v>#NAME?</v>
      </c>
      <c r="B5161">
        <v>393.75</v>
      </c>
      <c r="C5161">
        <v>20.478950000000001</v>
      </c>
      <c r="D5161">
        <v>70</v>
      </c>
      <c r="E5161">
        <v>0</v>
      </c>
      <c r="F5161">
        <v>0</v>
      </c>
      <c r="G5161">
        <v>7</v>
      </c>
      <c r="H5161" s="4">
        <v>1570552150565</v>
      </c>
      <c r="I5161">
        <v>526.6875</v>
      </c>
      <c r="J5161" s="9">
        <f t="shared" si="80"/>
        <v>43746.97859450231</v>
      </c>
      <c r="K5161" s="1"/>
    </row>
    <row r="5162" spans="1:11" x14ac:dyDescent="0.25">
      <c r="A5162" t="e">
        <f>-LqgC0fyCHre51tAqjHh</f>
        <v>#NAME?</v>
      </c>
      <c r="B5162">
        <v>393.75</v>
      </c>
      <c r="C5162">
        <v>20.531590000000001</v>
      </c>
      <c r="D5162">
        <v>69</v>
      </c>
      <c r="E5162">
        <v>0</v>
      </c>
      <c r="F5162">
        <v>0</v>
      </c>
      <c r="G5162">
        <v>6</v>
      </c>
      <c r="H5162" s="4">
        <v>1570552157864</v>
      </c>
      <c r="I5162">
        <v>526.6875</v>
      </c>
      <c r="J5162" s="9">
        <f t="shared" si="80"/>
        <v>43746.978678981475</v>
      </c>
      <c r="K5162" s="1"/>
    </row>
    <row r="5163" spans="1:11" x14ac:dyDescent="0.25">
      <c r="A5163" t="e">
        <f>-LqgC2B3p8yaZAqlto0a</f>
        <v>#NAME?</v>
      </c>
      <c r="B5163">
        <v>393.75</v>
      </c>
      <c r="C5163">
        <v>20.531590000000001</v>
      </c>
      <c r="D5163">
        <v>69</v>
      </c>
      <c r="E5163">
        <v>0</v>
      </c>
      <c r="F5163">
        <v>0</v>
      </c>
      <c r="G5163">
        <v>7</v>
      </c>
      <c r="H5163" s="4">
        <v>1570552163932</v>
      </c>
      <c r="I5163">
        <v>526.5</v>
      </c>
      <c r="J5163" s="9">
        <f t="shared" si="80"/>
        <v>43746.978749212962</v>
      </c>
      <c r="K5163" s="1"/>
    </row>
    <row r="5164" spans="1:11" x14ac:dyDescent="0.25">
      <c r="A5164" t="e">
        <f>-LqgC3k1LAl046-vH_pX</f>
        <v>#NAME?</v>
      </c>
      <c r="B5164">
        <v>393.75</v>
      </c>
      <c r="C5164">
        <v>20.478950000000001</v>
      </c>
      <c r="D5164">
        <v>65</v>
      </c>
      <c r="E5164">
        <v>0</v>
      </c>
      <c r="F5164">
        <v>0</v>
      </c>
      <c r="G5164">
        <v>8</v>
      </c>
      <c r="H5164" s="4">
        <v>1570552170144</v>
      </c>
      <c r="I5164">
        <v>526.6875</v>
      </c>
      <c r="J5164" s="9">
        <f t="shared" si="80"/>
        <v>43746.978821111108</v>
      </c>
      <c r="K5164" s="1"/>
    </row>
    <row r="5165" spans="1:11" x14ac:dyDescent="0.25">
      <c r="A5165" t="e">
        <f>-LqgC5T9VB40KPOyGNPj</f>
        <v>#NAME?</v>
      </c>
      <c r="B5165">
        <v>393.75</v>
      </c>
      <c r="C5165">
        <v>20.531590000000001</v>
      </c>
      <c r="D5165">
        <v>66</v>
      </c>
      <c r="E5165">
        <v>0</v>
      </c>
      <c r="F5165">
        <v>0</v>
      </c>
      <c r="G5165">
        <v>7</v>
      </c>
      <c r="H5165" s="4">
        <v>1570552177371</v>
      </c>
      <c r="I5165">
        <v>526.6875</v>
      </c>
      <c r="J5165" s="9">
        <f t="shared" si="80"/>
        <v>43746.978904756943</v>
      </c>
      <c r="K5165" s="1"/>
    </row>
    <row r="5166" spans="1:11" x14ac:dyDescent="0.25">
      <c r="A5166" t="e">
        <f>-LqgC711Bq0dpfphbTxP</f>
        <v>#NAME?</v>
      </c>
      <c r="B5166">
        <v>393.75</v>
      </c>
      <c r="C5166">
        <v>20.478950000000001</v>
      </c>
      <c r="D5166">
        <v>68</v>
      </c>
      <c r="E5166">
        <v>0</v>
      </c>
      <c r="F5166">
        <v>0</v>
      </c>
      <c r="G5166">
        <v>8</v>
      </c>
      <c r="H5166" s="4">
        <v>1570552183543</v>
      </c>
      <c r="I5166">
        <v>526.6875</v>
      </c>
      <c r="J5166" s="9">
        <f t="shared" si="80"/>
        <v>43746.978976192127</v>
      </c>
      <c r="K5166" s="1"/>
    </row>
    <row r="5167" spans="1:11" x14ac:dyDescent="0.25">
      <c r="A5167" t="e">
        <f>-LqgC8ykccDAeHk320VE</f>
        <v>#NAME?</v>
      </c>
      <c r="B5167">
        <v>393.75</v>
      </c>
      <c r="C5167">
        <v>20.478950000000001</v>
      </c>
      <c r="D5167">
        <v>68</v>
      </c>
      <c r="E5167">
        <v>0</v>
      </c>
      <c r="F5167">
        <v>0</v>
      </c>
      <c r="G5167">
        <v>8</v>
      </c>
      <c r="H5167" s="4">
        <v>1570552191800</v>
      </c>
      <c r="I5167">
        <v>526.6875</v>
      </c>
      <c r="J5167" s="9">
        <f t="shared" si="80"/>
        <v>43746.979071759255</v>
      </c>
      <c r="K5167" s="1"/>
    </row>
    <row r="5168" spans="1:11" x14ac:dyDescent="0.25">
      <c r="A5168" t="e">
        <f>-LqgCAY2rtimlNZO4Zo3</f>
        <v>#NAME?</v>
      </c>
      <c r="B5168">
        <v>393.75</v>
      </c>
      <c r="C5168">
        <v>20.478950000000001</v>
      </c>
      <c r="D5168">
        <v>68</v>
      </c>
      <c r="E5168">
        <v>0</v>
      </c>
      <c r="F5168">
        <v>0</v>
      </c>
      <c r="G5168">
        <v>13</v>
      </c>
      <c r="H5168" s="4">
        <v>1570552197962</v>
      </c>
      <c r="I5168">
        <v>526.6875</v>
      </c>
      <c r="J5168" s="9">
        <f t="shared" si="80"/>
        <v>43746.979143078701</v>
      </c>
      <c r="K5168" s="1"/>
    </row>
    <row r="5169" spans="1:11" x14ac:dyDescent="0.25">
      <c r="A5169" t="e">
        <f>-LqgCCDggwka5Ao05j2e</f>
        <v>#NAME?</v>
      </c>
      <c r="B5169">
        <v>393.75</v>
      </c>
      <c r="C5169">
        <v>20.478950000000001</v>
      </c>
      <c r="D5169">
        <v>68</v>
      </c>
      <c r="E5169">
        <v>0</v>
      </c>
      <c r="F5169">
        <v>0</v>
      </c>
      <c r="G5169">
        <v>9</v>
      </c>
      <c r="H5169" s="4">
        <v>1570552205172</v>
      </c>
      <c r="I5169">
        <v>526.5</v>
      </c>
      <c r="J5169" s="9">
        <f t="shared" si="80"/>
        <v>43746.979226527772</v>
      </c>
      <c r="K5169" s="1"/>
    </row>
    <row r="5170" spans="1:11" x14ac:dyDescent="0.25">
      <c r="A5170" t="e">
        <f>-LqgCDk2YFxiJU8T8cPT</f>
        <v>#NAME?</v>
      </c>
      <c r="B5170">
        <v>396.875</v>
      </c>
      <c r="C5170">
        <v>20.531590000000001</v>
      </c>
      <c r="D5170">
        <v>68</v>
      </c>
      <c r="E5170">
        <v>0</v>
      </c>
      <c r="F5170">
        <v>0</v>
      </c>
      <c r="G5170">
        <v>8</v>
      </c>
      <c r="H5170" s="4">
        <v>1570552211363</v>
      </c>
      <c r="I5170">
        <v>527.4375</v>
      </c>
      <c r="J5170" s="9">
        <f t="shared" si="80"/>
        <v>43746.979298182872</v>
      </c>
      <c r="K5170" s="1"/>
    </row>
    <row r="5171" spans="1:11" x14ac:dyDescent="0.25">
      <c r="A5171" t="e">
        <f>-LqgCFJE2g39_uG9kx5z</f>
        <v>#NAME?</v>
      </c>
      <c r="B5171">
        <v>415.625</v>
      </c>
      <c r="C5171">
        <v>20.478950000000001</v>
      </c>
      <c r="D5171">
        <v>68</v>
      </c>
      <c r="E5171">
        <v>0</v>
      </c>
      <c r="F5171">
        <v>0</v>
      </c>
      <c r="G5171">
        <v>3</v>
      </c>
      <c r="H5171" s="4">
        <v>1570552217543</v>
      </c>
      <c r="I5171">
        <v>533.25</v>
      </c>
      <c r="J5171" s="9">
        <f t="shared" si="80"/>
        <v>43746.979369710643</v>
      </c>
      <c r="K5171" s="1"/>
    </row>
    <row r="5172" spans="1:11" x14ac:dyDescent="0.25">
      <c r="A5172" t="e">
        <f>-LqgCHK8jEp8V5QbqdtH</f>
        <v>#NAME?</v>
      </c>
      <c r="B5172">
        <v>396.875</v>
      </c>
      <c r="C5172">
        <v>20.531590000000001</v>
      </c>
      <c r="D5172">
        <v>69</v>
      </c>
      <c r="E5172">
        <v>0</v>
      </c>
      <c r="F5172">
        <v>0</v>
      </c>
      <c r="G5172">
        <v>7</v>
      </c>
      <c r="H5172" s="4">
        <v>1570552224732</v>
      </c>
      <c r="I5172">
        <v>527.4375</v>
      </c>
      <c r="J5172" s="9">
        <f t="shared" si="80"/>
        <v>43746.979452916661</v>
      </c>
      <c r="K5172" s="1"/>
    </row>
    <row r="5173" spans="1:11" x14ac:dyDescent="0.25">
      <c r="A5173" t="e">
        <f>-LqgCJ30ekcBmBNnM0CT</f>
        <v>#NAME?</v>
      </c>
      <c r="B5173">
        <v>437.5</v>
      </c>
      <c r="C5173">
        <v>20.478950000000001</v>
      </c>
      <c r="D5173">
        <v>68</v>
      </c>
      <c r="E5173">
        <v>0</v>
      </c>
      <c r="F5173">
        <v>0</v>
      </c>
      <c r="G5173">
        <v>0</v>
      </c>
      <c r="H5173" s="4">
        <v>1570552233003</v>
      </c>
      <c r="I5173">
        <v>540.375</v>
      </c>
      <c r="J5173" s="9">
        <f t="shared" si="80"/>
        <v>43746.979548645832</v>
      </c>
      <c r="K5173" s="1"/>
    </row>
    <row r="5174" spans="1:11" x14ac:dyDescent="0.25">
      <c r="A5174" t="e">
        <f>-LqgCKuwJhu547AbJJpr</f>
        <v>#NAME?</v>
      </c>
      <c r="B5174">
        <v>396.875</v>
      </c>
      <c r="C5174">
        <v>20.531590000000001</v>
      </c>
      <c r="D5174">
        <v>68</v>
      </c>
      <c r="E5174">
        <v>0</v>
      </c>
      <c r="F5174">
        <v>0</v>
      </c>
      <c r="G5174">
        <v>4</v>
      </c>
      <c r="H5174" s="4">
        <v>1570552240681</v>
      </c>
      <c r="I5174">
        <v>527.4375</v>
      </c>
      <c r="J5174" s="9">
        <f t="shared" si="80"/>
        <v>43746.979637511577</v>
      </c>
      <c r="K5174" s="1"/>
    </row>
    <row r="5175" spans="1:11" x14ac:dyDescent="0.25">
      <c r="A5175" t="e">
        <f>-LqgCM_9vl31dH2MqlUc</f>
        <v>#NAME?</v>
      </c>
      <c r="B5175">
        <v>396.875</v>
      </c>
      <c r="C5175">
        <v>20.478950000000001</v>
      </c>
      <c r="D5175">
        <v>67</v>
      </c>
      <c r="E5175">
        <v>0</v>
      </c>
      <c r="F5175">
        <v>0</v>
      </c>
      <c r="G5175">
        <v>0</v>
      </c>
      <c r="H5175" s="4">
        <v>1570552247443</v>
      </c>
      <c r="I5175">
        <v>527.4375</v>
      </c>
      <c r="J5175" s="9">
        <f t="shared" si="80"/>
        <v>43746.979715775458</v>
      </c>
      <c r="K5175" s="1"/>
    </row>
    <row r="5176" spans="1:11" x14ac:dyDescent="0.25">
      <c r="A5176" t="e">
        <f>-LqgCO3ADLDvlbr3w_my</f>
        <v>#NAME?</v>
      </c>
      <c r="B5176">
        <v>396.875</v>
      </c>
      <c r="C5176">
        <v>20.478950000000001</v>
      </c>
      <c r="D5176">
        <v>67</v>
      </c>
      <c r="E5176">
        <v>0</v>
      </c>
      <c r="F5176">
        <v>0</v>
      </c>
      <c r="G5176">
        <v>17</v>
      </c>
      <c r="H5176" s="4">
        <v>1570552253613</v>
      </c>
      <c r="I5176">
        <v>527.4375</v>
      </c>
      <c r="J5176" s="9">
        <f t="shared" si="80"/>
        <v>43746.979787187498</v>
      </c>
      <c r="K5176" s="1"/>
    </row>
    <row r="5177" spans="1:11" x14ac:dyDescent="0.25">
      <c r="A5177" t="e">
        <f>-LqgCPc20Z0bKC1PmSks</f>
        <v>#NAME?</v>
      </c>
      <c r="B5177">
        <v>396.875</v>
      </c>
      <c r="C5177">
        <v>20.478950000000001</v>
      </c>
      <c r="D5177">
        <v>67</v>
      </c>
      <c r="E5177">
        <v>0</v>
      </c>
      <c r="F5177">
        <v>0</v>
      </c>
      <c r="G5177">
        <v>19</v>
      </c>
      <c r="H5177" s="4">
        <v>1570552259792</v>
      </c>
      <c r="I5177">
        <v>527.4375</v>
      </c>
      <c r="J5177" s="9">
        <f t="shared" si="80"/>
        <v>43746.9798587037</v>
      </c>
      <c r="K5177" s="1"/>
    </row>
    <row r="5178" spans="1:11" x14ac:dyDescent="0.25">
      <c r="A5178" t="e">
        <f>-LqgCR54j32Oy9H0UZOL</f>
        <v>#NAME?</v>
      </c>
      <c r="B5178">
        <v>396.875</v>
      </c>
      <c r="C5178">
        <v>20.478950000000001</v>
      </c>
      <c r="D5178">
        <v>67</v>
      </c>
      <c r="E5178">
        <v>0</v>
      </c>
      <c r="F5178">
        <v>0</v>
      </c>
      <c r="G5178">
        <v>10</v>
      </c>
      <c r="H5178" s="4">
        <v>1570552265963</v>
      </c>
      <c r="I5178">
        <v>527.4375</v>
      </c>
      <c r="J5178" s="9">
        <f t="shared" si="80"/>
        <v>43746.979930127309</v>
      </c>
      <c r="K5178" s="1"/>
    </row>
    <row r="5179" spans="1:11" x14ac:dyDescent="0.25">
      <c r="A5179" t="e">
        <f>-LqgCT81HfnegNM0queo</f>
        <v>#NAME?</v>
      </c>
      <c r="B5179">
        <v>396.875</v>
      </c>
      <c r="C5179">
        <v>20.478950000000001</v>
      </c>
      <c r="D5179">
        <v>65</v>
      </c>
      <c r="E5179">
        <v>0</v>
      </c>
      <c r="F5179">
        <v>0</v>
      </c>
      <c r="G5179">
        <v>7</v>
      </c>
      <c r="H5179" s="4">
        <v>1570552274133</v>
      </c>
      <c r="I5179">
        <v>527.4375</v>
      </c>
      <c r="J5179" s="9">
        <f t="shared" si="80"/>
        <v>43746.980024687502</v>
      </c>
      <c r="K5179" s="1"/>
    </row>
    <row r="5180" spans="1:11" x14ac:dyDescent="0.25">
      <c r="A5180" t="e">
        <f>-LqgCUc2OcSUZSEk4qxI</f>
        <v>#NAME?</v>
      </c>
      <c r="B5180">
        <v>396.875</v>
      </c>
      <c r="C5180">
        <v>20.478950000000001</v>
      </c>
      <c r="D5180">
        <v>65</v>
      </c>
      <c r="E5180">
        <v>0</v>
      </c>
      <c r="F5180">
        <v>0</v>
      </c>
      <c r="G5180">
        <v>7</v>
      </c>
      <c r="H5180" s="4">
        <v>1570552280404</v>
      </c>
      <c r="I5180">
        <v>527.4375</v>
      </c>
      <c r="J5180" s="9">
        <f t="shared" si="80"/>
        <v>43746.980097268512</v>
      </c>
      <c r="K5180" s="1"/>
    </row>
    <row r="5181" spans="1:11" x14ac:dyDescent="0.25">
      <c r="A5181" t="e">
        <f>-LqgCW9w_B-uQgd_hn7G</f>
        <v>#NAME?</v>
      </c>
      <c r="B5181">
        <v>396.875</v>
      </c>
      <c r="C5181">
        <v>20.478950000000001</v>
      </c>
      <c r="D5181">
        <v>65</v>
      </c>
      <c r="E5181">
        <v>0</v>
      </c>
      <c r="F5181">
        <v>0</v>
      </c>
      <c r="G5181">
        <v>10</v>
      </c>
      <c r="H5181" s="4">
        <v>1570552286582</v>
      </c>
      <c r="I5181">
        <v>527.4375</v>
      </c>
      <c r="J5181" s="9">
        <f t="shared" si="80"/>
        <v>43746.980168773145</v>
      </c>
      <c r="K5181" s="1"/>
    </row>
    <row r="5182" spans="1:11" x14ac:dyDescent="0.25">
      <c r="A5182" t="e">
        <f>-LqgCXdxSGM8OOfwPC2k</f>
        <v>#NAME?</v>
      </c>
      <c r="B5182">
        <v>418.75</v>
      </c>
      <c r="C5182">
        <v>20.478950000000001</v>
      </c>
      <c r="D5182">
        <v>65</v>
      </c>
      <c r="E5182">
        <v>0</v>
      </c>
      <c r="F5182">
        <v>0</v>
      </c>
      <c r="G5182">
        <v>15</v>
      </c>
      <c r="H5182" s="4">
        <v>1570552292765</v>
      </c>
      <c r="I5182">
        <v>534</v>
      </c>
      <c r="J5182" s="9">
        <f t="shared" si="80"/>
        <v>43746.980240335644</v>
      </c>
      <c r="K5182" s="1"/>
    </row>
    <row r="5183" spans="1:11" x14ac:dyDescent="0.25">
      <c r="A5183" t="e">
        <f>-LqgCZ6gdAvxRZYsOmsQ</f>
        <v>#NAME?</v>
      </c>
      <c r="B5183">
        <v>396.875</v>
      </c>
      <c r="C5183">
        <v>20.531590000000001</v>
      </c>
      <c r="D5183">
        <v>65</v>
      </c>
      <c r="E5183">
        <v>0</v>
      </c>
      <c r="F5183">
        <v>0</v>
      </c>
      <c r="G5183">
        <v>8</v>
      </c>
      <c r="H5183" s="4">
        <v>1570552298963</v>
      </c>
      <c r="I5183">
        <v>527.4375</v>
      </c>
      <c r="J5183" s="9">
        <f t="shared" si="80"/>
        <v>43746.980312071755</v>
      </c>
      <c r="K5183" s="1"/>
    </row>
    <row r="5184" spans="1:11" x14ac:dyDescent="0.25">
      <c r="A5184" t="e">
        <f>-LqgC_sBZNfgNed_q4Bh</f>
        <v>#NAME?</v>
      </c>
      <c r="B5184">
        <v>396.875</v>
      </c>
      <c r="C5184">
        <v>20.478950000000001</v>
      </c>
      <c r="D5184">
        <v>65</v>
      </c>
      <c r="E5184">
        <v>0</v>
      </c>
      <c r="F5184">
        <v>0</v>
      </c>
      <c r="G5184">
        <v>3</v>
      </c>
      <c r="H5184" s="4">
        <v>1570552306163</v>
      </c>
      <c r="I5184">
        <v>527.4375</v>
      </c>
      <c r="J5184" s="9">
        <f t="shared" si="80"/>
        <v>43746.980395405095</v>
      </c>
      <c r="K5184" s="1"/>
    </row>
    <row r="5185" spans="1:11" x14ac:dyDescent="0.25">
      <c r="A5185" t="e">
        <f>-LqgCbR2IEIqv74W6CUF</f>
        <v>#NAME?</v>
      </c>
      <c r="B5185">
        <v>396.875</v>
      </c>
      <c r="C5185">
        <v>20.478950000000001</v>
      </c>
      <c r="D5185">
        <v>66</v>
      </c>
      <c r="E5185">
        <v>0</v>
      </c>
      <c r="F5185">
        <v>0</v>
      </c>
      <c r="G5185">
        <v>5</v>
      </c>
      <c r="H5185" s="4">
        <v>1570552312352</v>
      </c>
      <c r="I5185">
        <v>527.4375</v>
      </c>
      <c r="J5185" s="9">
        <f t="shared" si="80"/>
        <v>43746.980467037036</v>
      </c>
      <c r="K5185" s="1"/>
    </row>
    <row r="5186" spans="1:11" x14ac:dyDescent="0.25">
      <c r="A5186" t="e">
        <f>-LqgCctxq_zo7M8nJj0n</f>
        <v>#NAME?</v>
      </c>
      <c r="B5186">
        <v>396.875</v>
      </c>
      <c r="C5186">
        <v>20.478950000000001</v>
      </c>
      <c r="D5186">
        <v>66</v>
      </c>
      <c r="E5186">
        <v>0</v>
      </c>
      <c r="F5186">
        <v>0</v>
      </c>
      <c r="G5186">
        <v>6</v>
      </c>
      <c r="H5186" s="4">
        <v>1570552318543</v>
      </c>
      <c r="I5186">
        <v>527.4375</v>
      </c>
      <c r="J5186" s="9">
        <f t="shared" si="80"/>
        <v>43746.980538692129</v>
      </c>
      <c r="K5186" s="1"/>
    </row>
    <row r="5187" spans="1:11" x14ac:dyDescent="0.25">
      <c r="A5187" t="e">
        <f>-LqgCeSxbkupW8czbBH_</f>
        <v>#NAME?</v>
      </c>
      <c r="B5187">
        <v>396.875</v>
      </c>
      <c r="C5187">
        <v>20.478950000000001</v>
      </c>
      <c r="D5187">
        <v>68</v>
      </c>
      <c r="E5187">
        <v>0</v>
      </c>
      <c r="F5187">
        <v>0</v>
      </c>
      <c r="G5187">
        <v>6</v>
      </c>
      <c r="H5187" s="4">
        <v>1570552324712</v>
      </c>
      <c r="I5187">
        <v>527.4375</v>
      </c>
      <c r="J5187" s="9">
        <f t="shared" ref="J5187:J5250" si="81">(H5187/86400000)+25569+(7/24)</f>
        <v>43746.980610092585</v>
      </c>
      <c r="K5187" s="1"/>
    </row>
    <row r="5188" spans="1:11" x14ac:dyDescent="0.25">
      <c r="A5188" t="e">
        <f>-LqgCgDHKDMkF7mFf0Zz</f>
        <v>#NAME?</v>
      </c>
      <c r="B5188">
        <v>396.875</v>
      </c>
      <c r="C5188">
        <v>20.531590000000001</v>
      </c>
      <c r="D5188">
        <v>71</v>
      </c>
      <c r="E5188">
        <v>0</v>
      </c>
      <c r="F5188">
        <v>0</v>
      </c>
      <c r="G5188">
        <v>11</v>
      </c>
      <c r="H5188" s="4">
        <v>1570552331922</v>
      </c>
      <c r="I5188">
        <v>527.4375</v>
      </c>
      <c r="J5188" s="9">
        <f t="shared" si="81"/>
        <v>43746.980693541664</v>
      </c>
      <c r="K5188" s="1"/>
    </row>
    <row r="5189" spans="1:11" x14ac:dyDescent="0.25">
      <c r="A5189" t="e">
        <f>-LqgChl3Yw-gBD4xjf19</f>
        <v>#NAME?</v>
      </c>
      <c r="B5189">
        <v>415.625</v>
      </c>
      <c r="C5189">
        <v>20.531590000000001</v>
      </c>
      <c r="D5189">
        <v>71</v>
      </c>
      <c r="E5189">
        <v>0</v>
      </c>
      <c r="F5189">
        <v>0</v>
      </c>
      <c r="G5189">
        <v>9</v>
      </c>
      <c r="H5189" s="4">
        <v>1570552338114</v>
      </c>
      <c r="I5189">
        <v>533.0625</v>
      </c>
      <c r="J5189" s="9">
        <f t="shared" si="81"/>
        <v>43746.980765208333</v>
      </c>
      <c r="K5189" s="1"/>
    </row>
    <row r="5190" spans="1:11" x14ac:dyDescent="0.25">
      <c r="A5190" t="e">
        <f>-LqgCjSwSx3OYWMkpXyP</f>
        <v>#NAME?</v>
      </c>
      <c r="B5190">
        <v>396.875</v>
      </c>
      <c r="C5190">
        <v>20.478950000000001</v>
      </c>
      <c r="D5190">
        <v>68</v>
      </c>
      <c r="E5190">
        <v>0</v>
      </c>
      <c r="F5190">
        <v>0</v>
      </c>
      <c r="G5190">
        <v>10</v>
      </c>
      <c r="H5190" s="4">
        <v>1570552345322</v>
      </c>
      <c r="I5190">
        <v>527.4375</v>
      </c>
      <c r="J5190" s="9">
        <f t="shared" si="81"/>
        <v>43746.980848634259</v>
      </c>
      <c r="K5190" s="1"/>
    </row>
    <row r="5191" spans="1:11" x14ac:dyDescent="0.25">
      <c r="A5191" t="e">
        <f>-LqgClPEsrBzY96YtDpR</f>
        <v>#NAME?</v>
      </c>
      <c r="B5191">
        <v>396.875</v>
      </c>
      <c r="C5191">
        <v>20.478950000000001</v>
      </c>
      <c r="D5191">
        <v>69</v>
      </c>
      <c r="E5191">
        <v>0</v>
      </c>
      <c r="F5191">
        <v>0</v>
      </c>
      <c r="G5191">
        <v>9</v>
      </c>
      <c r="H5191" s="4">
        <v>1570552351542</v>
      </c>
      <c r="I5191">
        <v>527.25</v>
      </c>
      <c r="J5191" s="9">
        <f t="shared" si="81"/>
        <v>43746.980920624999</v>
      </c>
      <c r="K5191" s="1"/>
    </row>
    <row r="5192" spans="1:11" x14ac:dyDescent="0.25">
      <c r="A5192" t="s">
        <v>285</v>
      </c>
      <c r="B5192">
        <v>396.875</v>
      </c>
      <c r="C5192">
        <v>20.531590000000001</v>
      </c>
      <c r="D5192">
        <v>68</v>
      </c>
      <c r="E5192">
        <v>0</v>
      </c>
      <c r="F5192">
        <v>0</v>
      </c>
      <c r="G5192">
        <v>11</v>
      </c>
      <c r="H5192" s="4">
        <v>1570552359762</v>
      </c>
      <c r="I5192">
        <v>527.4375</v>
      </c>
      <c r="J5192" s="9">
        <f t="shared" si="81"/>
        <v>43746.981015763886</v>
      </c>
      <c r="K5192" s="1"/>
    </row>
    <row r="5193" spans="1:11" x14ac:dyDescent="0.25">
      <c r="A5193" t="e">
        <f>-LqgCoU1kc0kL_g2Btqq</f>
        <v>#NAME?</v>
      </c>
      <c r="B5193">
        <v>396.875</v>
      </c>
      <c r="C5193">
        <v>20.478950000000001</v>
      </c>
      <c r="D5193">
        <v>68</v>
      </c>
      <c r="E5193">
        <v>0</v>
      </c>
      <c r="F5193">
        <v>0</v>
      </c>
      <c r="G5193">
        <v>8</v>
      </c>
      <c r="H5193" s="4">
        <v>1570552365932</v>
      </c>
      <c r="I5193">
        <v>527.4375</v>
      </c>
      <c r="J5193" s="9">
        <f t="shared" si="81"/>
        <v>43746.981087175918</v>
      </c>
      <c r="K5193" s="1"/>
    </row>
    <row r="5194" spans="1:11" x14ac:dyDescent="0.25">
      <c r="A5194" t="e">
        <f>-LqgCq17OiamvAnMgfyg</f>
        <v>#NAME?</v>
      </c>
      <c r="B5194">
        <v>396.875</v>
      </c>
      <c r="C5194">
        <v>20.478950000000001</v>
      </c>
      <c r="D5194">
        <v>69</v>
      </c>
      <c r="E5194">
        <v>0</v>
      </c>
      <c r="F5194">
        <v>0</v>
      </c>
      <c r="G5194">
        <v>4</v>
      </c>
      <c r="H5194" s="4">
        <v>1570552372123</v>
      </c>
      <c r="I5194">
        <v>527.4375</v>
      </c>
      <c r="J5194" s="9">
        <f t="shared" si="81"/>
        <v>43746.981158831019</v>
      </c>
      <c r="K5194" s="1"/>
    </row>
    <row r="5195" spans="1:11" x14ac:dyDescent="0.25">
      <c r="A5195" t="e">
        <f>-LqgCsMwQh72RVFf54nW</f>
        <v>#NAME?</v>
      </c>
      <c r="B5195">
        <v>412.5</v>
      </c>
      <c r="C5195">
        <v>20.478950000000001</v>
      </c>
      <c r="D5195">
        <v>70</v>
      </c>
      <c r="E5195">
        <v>0</v>
      </c>
      <c r="F5195">
        <v>0</v>
      </c>
      <c r="G5195">
        <v>0</v>
      </c>
      <c r="H5195" s="4">
        <v>1570552378323</v>
      </c>
      <c r="I5195">
        <v>532.125</v>
      </c>
      <c r="J5195" s="9">
        <f t="shared" si="81"/>
        <v>43746.981230590274</v>
      </c>
      <c r="K5195" s="1"/>
    </row>
    <row r="5196" spans="1:11" x14ac:dyDescent="0.25">
      <c r="A5196" t="e">
        <f>-LqgCu19R61DhNpgyfBB</f>
        <v>#NAME?</v>
      </c>
      <c r="B5196">
        <v>393.75</v>
      </c>
      <c r="C5196">
        <v>20.531590000000001</v>
      </c>
      <c r="D5196">
        <v>68</v>
      </c>
      <c r="E5196">
        <v>0</v>
      </c>
      <c r="F5196">
        <v>0</v>
      </c>
      <c r="G5196">
        <v>9</v>
      </c>
      <c r="H5196" s="4">
        <v>1570552388585</v>
      </c>
      <c r="I5196">
        <v>526.6875</v>
      </c>
      <c r="J5196" s="9">
        <f t="shared" si="81"/>
        <v>43746.981349363421</v>
      </c>
      <c r="K5196" s="1"/>
    </row>
    <row r="5197" spans="1:11" x14ac:dyDescent="0.25">
      <c r="A5197" t="e">
        <f>-LqgCva2O0eMdgGbYoTn</f>
        <v>#NAME?</v>
      </c>
      <c r="B5197">
        <v>396.875</v>
      </c>
      <c r="C5197">
        <v>20.531590000000001</v>
      </c>
      <c r="D5197">
        <v>68</v>
      </c>
      <c r="E5197">
        <v>0</v>
      </c>
      <c r="F5197">
        <v>0</v>
      </c>
      <c r="G5197">
        <v>8</v>
      </c>
      <c r="H5197" s="4">
        <v>1570552394793</v>
      </c>
      <c r="I5197">
        <v>527.4375</v>
      </c>
      <c r="J5197" s="9">
        <f t="shared" si="81"/>
        <v>43746.981421215278</v>
      </c>
      <c r="K5197" s="1"/>
    </row>
    <row r="5198" spans="1:11" x14ac:dyDescent="0.25">
      <c r="A5198" t="e">
        <f>-LqgCxGEQwNqCcclG5xD</f>
        <v>#NAME?</v>
      </c>
      <c r="B5198">
        <v>396.875</v>
      </c>
      <c r="C5198">
        <v>20.478950000000001</v>
      </c>
      <c r="D5198">
        <v>66</v>
      </c>
      <c r="E5198">
        <v>0</v>
      </c>
      <c r="F5198">
        <v>0</v>
      </c>
      <c r="G5198">
        <v>9</v>
      </c>
      <c r="H5198" s="4">
        <v>1570552402004</v>
      </c>
      <c r="I5198">
        <v>527.4375</v>
      </c>
      <c r="J5198" s="9">
        <f t="shared" si="81"/>
        <v>43746.981504675925</v>
      </c>
      <c r="K5198" s="1"/>
    </row>
    <row r="5199" spans="1:11" x14ac:dyDescent="0.25">
      <c r="A5199" t="e">
        <f>-LqgCys2tU6cVQ8B2ebe</f>
        <v>#NAME?</v>
      </c>
      <c r="B5199">
        <v>396.875</v>
      </c>
      <c r="C5199">
        <v>20.584240000000001</v>
      </c>
      <c r="D5199">
        <v>68</v>
      </c>
      <c r="E5199">
        <v>0</v>
      </c>
      <c r="F5199">
        <v>0</v>
      </c>
      <c r="G5199">
        <v>7</v>
      </c>
      <c r="H5199" s="4">
        <v>1570552408193</v>
      </c>
      <c r="I5199">
        <v>527.4375</v>
      </c>
      <c r="J5199" s="9">
        <f t="shared" si="81"/>
        <v>43746.981576307873</v>
      </c>
      <c r="K5199" s="1"/>
    </row>
    <row r="5200" spans="1:11" x14ac:dyDescent="0.25">
      <c r="A5200" t="e">
        <f>-LqgD-aEwtQ5PKOoFTaI</f>
        <v>#NAME?</v>
      </c>
      <c r="B5200">
        <v>396.875</v>
      </c>
      <c r="C5200">
        <v>20.478950000000001</v>
      </c>
      <c r="D5200">
        <v>69</v>
      </c>
      <c r="E5200">
        <v>0</v>
      </c>
      <c r="F5200">
        <v>0</v>
      </c>
      <c r="G5200">
        <v>6</v>
      </c>
      <c r="H5200" s="4">
        <v>1570552415405</v>
      </c>
      <c r="I5200">
        <v>527.4375</v>
      </c>
      <c r="J5200" s="9">
        <f t="shared" si="81"/>
        <v>43746.981659780089</v>
      </c>
      <c r="K5200" s="1"/>
    </row>
    <row r="5201" spans="1:11" x14ac:dyDescent="0.25">
      <c r="A5201" t="e">
        <f>-LqgD12xVbN7nmgFyTm4</f>
        <v>#NAME?</v>
      </c>
      <c r="B5201">
        <v>396.875</v>
      </c>
      <c r="C5201">
        <v>20.478950000000001</v>
      </c>
      <c r="D5201">
        <v>67</v>
      </c>
      <c r="E5201">
        <v>0</v>
      </c>
      <c r="F5201">
        <v>0</v>
      </c>
      <c r="G5201">
        <v>21</v>
      </c>
      <c r="H5201" s="4">
        <v>1570552421593</v>
      </c>
      <c r="I5201">
        <v>527.4375</v>
      </c>
      <c r="J5201" s="9">
        <f t="shared" si="81"/>
        <v>43746.981731400461</v>
      </c>
      <c r="K5201" s="1"/>
    </row>
    <row r="5202" spans="1:11" x14ac:dyDescent="0.25">
      <c r="A5202" t="e">
        <f>-LqgD2d2kIwdmj2LV22r</f>
        <v>#NAME?</v>
      </c>
      <c r="B5202">
        <v>396.875</v>
      </c>
      <c r="C5202">
        <v>20.531590000000001</v>
      </c>
      <c r="D5202">
        <v>67</v>
      </c>
      <c r="E5202">
        <v>0</v>
      </c>
      <c r="F5202">
        <v>0</v>
      </c>
      <c r="G5202">
        <v>6</v>
      </c>
      <c r="H5202" s="4">
        <v>1570552427774</v>
      </c>
      <c r="I5202">
        <v>527.4375</v>
      </c>
      <c r="J5202" s="9">
        <f t="shared" si="81"/>
        <v>43746.981802939808</v>
      </c>
      <c r="K5202" s="1"/>
    </row>
    <row r="5203" spans="1:11" x14ac:dyDescent="0.25">
      <c r="A5203" t="e">
        <f>-LqgD45yyD4DoCEzjEfh</f>
        <v>#NAME?</v>
      </c>
      <c r="B5203">
        <v>396.875</v>
      </c>
      <c r="C5203">
        <v>20.478950000000001</v>
      </c>
      <c r="D5203">
        <v>67</v>
      </c>
      <c r="E5203">
        <v>0</v>
      </c>
      <c r="F5203">
        <v>0</v>
      </c>
      <c r="G5203">
        <v>4</v>
      </c>
      <c r="H5203" s="4">
        <v>1570552433953</v>
      </c>
      <c r="I5203">
        <v>527.4375</v>
      </c>
      <c r="J5203" s="9">
        <f t="shared" si="81"/>
        <v>43746.981874456011</v>
      </c>
      <c r="K5203" s="1"/>
    </row>
    <row r="5204" spans="1:11" x14ac:dyDescent="0.25">
      <c r="A5204" t="e">
        <f>-LqgD5_yY_dWns1J4ieJ</f>
        <v>#NAME?</v>
      </c>
      <c r="B5204">
        <v>396.875</v>
      </c>
      <c r="C5204">
        <v>20.531590000000001</v>
      </c>
      <c r="D5204">
        <v>67</v>
      </c>
      <c r="E5204">
        <v>0</v>
      </c>
      <c r="F5204">
        <v>0</v>
      </c>
      <c r="G5204">
        <v>3</v>
      </c>
      <c r="H5204" s="4">
        <v>1570552440153</v>
      </c>
      <c r="I5204">
        <v>527.4375</v>
      </c>
      <c r="J5204" s="9">
        <f t="shared" si="81"/>
        <v>43746.981946215274</v>
      </c>
      <c r="K5204" s="1"/>
    </row>
    <row r="5205" spans="1:11" x14ac:dyDescent="0.25">
      <c r="A5205" t="e">
        <f>-LqgD7F2_QzINxcTTWH7</f>
        <v>#NAME?</v>
      </c>
      <c r="B5205">
        <v>396.875</v>
      </c>
      <c r="C5205">
        <v>20.584240000000001</v>
      </c>
      <c r="D5205">
        <v>67</v>
      </c>
      <c r="E5205">
        <v>0</v>
      </c>
      <c r="F5205">
        <v>0</v>
      </c>
      <c r="G5205">
        <v>3</v>
      </c>
      <c r="H5205" s="4">
        <v>1570552446323</v>
      </c>
      <c r="I5205">
        <v>527.4375</v>
      </c>
      <c r="J5205" s="9">
        <f t="shared" si="81"/>
        <v>43746.982017627313</v>
      </c>
      <c r="K5205" s="1"/>
    </row>
    <row r="5206" spans="1:11" x14ac:dyDescent="0.25">
      <c r="A5206" t="s">
        <v>286</v>
      </c>
      <c r="B5206">
        <v>396.875</v>
      </c>
      <c r="C5206">
        <v>20.478950000000001</v>
      </c>
      <c r="D5206">
        <v>69</v>
      </c>
      <c r="E5206">
        <v>0</v>
      </c>
      <c r="F5206">
        <v>0</v>
      </c>
      <c r="G5206">
        <v>14</v>
      </c>
      <c r="H5206" s="4">
        <v>1570552453524</v>
      </c>
      <c r="I5206">
        <v>527.4375</v>
      </c>
      <c r="J5206" s="9">
        <f t="shared" si="81"/>
        <v>43746.982100972215</v>
      </c>
      <c r="K5206" s="1"/>
    </row>
    <row r="5207" spans="1:11" x14ac:dyDescent="0.25">
      <c r="A5207" t="e">
        <f>-LqgDAsVHr51745LSCvP</f>
        <v>#NAME?</v>
      </c>
      <c r="B5207">
        <v>396.875</v>
      </c>
      <c r="C5207">
        <v>20.478950000000001</v>
      </c>
      <c r="D5207">
        <v>69</v>
      </c>
      <c r="E5207">
        <v>0</v>
      </c>
      <c r="F5207">
        <v>0</v>
      </c>
      <c r="G5207">
        <v>6</v>
      </c>
      <c r="H5207" s="4">
        <v>1570552460755</v>
      </c>
      <c r="I5207">
        <v>527.4375</v>
      </c>
      <c r="J5207" s="9">
        <f t="shared" si="81"/>
        <v>43746.982184664354</v>
      </c>
      <c r="K5207" s="1"/>
    </row>
    <row r="5208" spans="1:11" x14ac:dyDescent="0.25">
      <c r="A5208" t="e">
        <f>-LqgDCP2NLH5Lt4yuzru</f>
        <v>#NAME?</v>
      </c>
      <c r="B5208">
        <v>396.875</v>
      </c>
      <c r="C5208">
        <v>20.478950000000001</v>
      </c>
      <c r="D5208">
        <v>69</v>
      </c>
      <c r="E5208">
        <v>0</v>
      </c>
      <c r="F5208">
        <v>0</v>
      </c>
      <c r="G5208">
        <v>11</v>
      </c>
      <c r="H5208" s="4">
        <v>1570552467936</v>
      </c>
      <c r="I5208">
        <v>527.4375</v>
      </c>
      <c r="J5208" s="9">
        <f t="shared" si="81"/>
        <v>43746.982267777777</v>
      </c>
      <c r="K5208" s="1"/>
    </row>
    <row r="5209" spans="1:11" x14ac:dyDescent="0.25">
      <c r="A5209" t="e">
        <f>-LqgDDy3Qs_rZlhvJKeP</f>
        <v>#NAME?</v>
      </c>
      <c r="B5209">
        <v>396.875</v>
      </c>
      <c r="C5209">
        <v>20.478950000000001</v>
      </c>
      <c r="D5209">
        <v>68</v>
      </c>
      <c r="E5209">
        <v>0</v>
      </c>
      <c r="F5209">
        <v>0</v>
      </c>
      <c r="G5209">
        <v>8</v>
      </c>
      <c r="H5209" s="4">
        <v>1570552474145</v>
      </c>
      <c r="I5209">
        <v>527.4375</v>
      </c>
      <c r="J5209" s="9">
        <f t="shared" si="81"/>
        <v>43746.982339641203</v>
      </c>
      <c r="K5209" s="1"/>
    </row>
    <row r="5210" spans="1:11" x14ac:dyDescent="0.25">
      <c r="A5210" t="e">
        <f>-LqgDFdiZx38lAOtyAg9</f>
        <v>#NAME?</v>
      </c>
      <c r="B5210">
        <v>393.75</v>
      </c>
      <c r="C5210">
        <v>20.478950000000001</v>
      </c>
      <c r="D5210">
        <v>69</v>
      </c>
      <c r="E5210">
        <v>0</v>
      </c>
      <c r="F5210">
        <v>0</v>
      </c>
      <c r="G5210">
        <v>9</v>
      </c>
      <c r="H5210" s="4">
        <v>1570552481365</v>
      </c>
      <c r="I5210">
        <v>526.6875</v>
      </c>
      <c r="J5210" s="9">
        <f t="shared" si="81"/>
        <v>43746.982423206013</v>
      </c>
      <c r="K5210" s="1"/>
    </row>
    <row r="5211" spans="1:11" x14ac:dyDescent="0.25">
      <c r="A5211" t="e">
        <f>-LqgDHGJEqHPMh0ibTeP</f>
        <v>#NAME?</v>
      </c>
      <c r="B5211">
        <v>396.875</v>
      </c>
      <c r="C5211">
        <v>20.531590000000001</v>
      </c>
      <c r="D5211">
        <v>68</v>
      </c>
      <c r="E5211">
        <v>0</v>
      </c>
      <c r="F5211">
        <v>0</v>
      </c>
      <c r="G5211">
        <v>12</v>
      </c>
      <c r="H5211" s="4">
        <v>1570552487543</v>
      </c>
      <c r="I5211">
        <v>527.4375</v>
      </c>
      <c r="J5211" s="9">
        <f t="shared" si="81"/>
        <v>43746.982494710646</v>
      </c>
      <c r="K5211" s="1"/>
    </row>
    <row r="5212" spans="1:11" x14ac:dyDescent="0.25">
      <c r="A5212" t="e">
        <f>-LqgDJ72OsvOXiUTL0h0</f>
        <v>#NAME?</v>
      </c>
      <c r="B5212">
        <v>415.625</v>
      </c>
      <c r="C5212">
        <v>20.531590000000001</v>
      </c>
      <c r="D5212">
        <v>68</v>
      </c>
      <c r="E5212">
        <v>0</v>
      </c>
      <c r="F5212">
        <v>0</v>
      </c>
      <c r="G5212">
        <v>5</v>
      </c>
      <c r="H5212" s="4">
        <v>1570552495304</v>
      </c>
      <c r="I5212">
        <v>533.0625</v>
      </c>
      <c r="J5212" s="9">
        <f t="shared" si="81"/>
        <v>43746.982584537036</v>
      </c>
      <c r="K5212" s="1"/>
    </row>
    <row r="5213" spans="1:11" x14ac:dyDescent="0.25">
      <c r="A5213" t="e">
        <f>-LqgDKk-I7NeNxuqFsNC</f>
        <v>#NAME?</v>
      </c>
      <c r="B5213">
        <v>396.875</v>
      </c>
      <c r="C5213">
        <v>20.531590000000001</v>
      </c>
      <c r="D5213">
        <v>67</v>
      </c>
      <c r="E5213">
        <v>0</v>
      </c>
      <c r="F5213">
        <v>0</v>
      </c>
      <c r="G5213">
        <v>6</v>
      </c>
      <c r="H5213" s="4">
        <v>1570552501976</v>
      </c>
      <c r="I5213">
        <v>527.4375</v>
      </c>
      <c r="J5213" s="9">
        <f t="shared" si="81"/>
        <v>43746.982661759255</v>
      </c>
      <c r="K5213" s="1"/>
    </row>
    <row r="5214" spans="1:11" x14ac:dyDescent="0.25">
      <c r="A5214" t="e">
        <f>-LqgDMUGdCzXGZ4d6pNh</f>
        <v>#NAME?</v>
      </c>
      <c r="B5214">
        <v>393.75</v>
      </c>
      <c r="C5214">
        <v>20.531590000000001</v>
      </c>
      <c r="D5214">
        <v>66</v>
      </c>
      <c r="E5214">
        <v>0</v>
      </c>
      <c r="F5214">
        <v>0</v>
      </c>
      <c r="G5214">
        <v>6</v>
      </c>
      <c r="H5214" s="4">
        <v>1570552509206</v>
      </c>
      <c r="I5214">
        <v>526.6875</v>
      </c>
      <c r="J5214" s="9">
        <f t="shared" si="81"/>
        <v>43746.982745439811</v>
      </c>
      <c r="K5214" s="1"/>
    </row>
    <row r="5215" spans="1:11" x14ac:dyDescent="0.25">
      <c r="A5215" t="e">
        <f>-LqgDOCBF3qMFZWTiMWn</f>
        <v>#NAME?</v>
      </c>
      <c r="B5215">
        <v>393.75</v>
      </c>
      <c r="C5215">
        <v>20.478950000000001</v>
      </c>
      <c r="D5215">
        <v>65</v>
      </c>
      <c r="E5215">
        <v>0</v>
      </c>
      <c r="F5215">
        <v>0</v>
      </c>
      <c r="G5215">
        <v>3</v>
      </c>
      <c r="H5215" s="4">
        <v>1570552516403</v>
      </c>
      <c r="I5215">
        <v>526.6875</v>
      </c>
      <c r="J5215" s="9">
        <f t="shared" si="81"/>
        <v>43746.982828738423</v>
      </c>
      <c r="K5215" s="1"/>
    </row>
    <row r="5216" spans="1:11" x14ac:dyDescent="0.25">
      <c r="A5216" t="s">
        <v>287</v>
      </c>
      <c r="B5216">
        <v>393.75</v>
      </c>
      <c r="C5216">
        <v>20.478950000000001</v>
      </c>
      <c r="D5216">
        <v>65</v>
      </c>
      <c r="E5216">
        <v>0</v>
      </c>
      <c r="F5216">
        <v>0</v>
      </c>
      <c r="G5216">
        <v>8</v>
      </c>
      <c r="H5216" s="4">
        <v>1570552522583</v>
      </c>
      <c r="I5216">
        <v>526.6875</v>
      </c>
      <c r="J5216" s="9">
        <f t="shared" si="81"/>
        <v>43746.982900266201</v>
      </c>
      <c r="K5216" s="1"/>
    </row>
    <row r="5217" spans="1:11" x14ac:dyDescent="0.25">
      <c r="A5217" t="e">
        <f>-LqgDRF4m3f_r3FeBcY9</f>
        <v>#NAME?</v>
      </c>
      <c r="B5217">
        <v>393.75</v>
      </c>
      <c r="C5217">
        <v>20.478950000000001</v>
      </c>
      <c r="D5217">
        <v>63</v>
      </c>
      <c r="E5217">
        <v>0</v>
      </c>
      <c r="F5217">
        <v>0</v>
      </c>
      <c r="G5217">
        <v>0</v>
      </c>
      <c r="H5217" s="4">
        <v>1570552528733</v>
      </c>
      <c r="I5217">
        <v>526.6875</v>
      </c>
      <c r="J5217" s="9">
        <f t="shared" si="81"/>
        <v>43746.982971446756</v>
      </c>
      <c r="K5217" s="1"/>
    </row>
    <row r="5218" spans="1:11" x14ac:dyDescent="0.25">
      <c r="A5218" t="e">
        <f>-LqgDSpRmFBRbCm_6FLv</f>
        <v>#NAME?</v>
      </c>
      <c r="B5218">
        <v>393.75</v>
      </c>
      <c r="C5218">
        <v>20.478950000000001</v>
      </c>
      <c r="D5218">
        <v>64</v>
      </c>
      <c r="E5218">
        <v>0</v>
      </c>
      <c r="F5218">
        <v>0</v>
      </c>
      <c r="G5218">
        <v>7</v>
      </c>
      <c r="H5218" s="4">
        <v>1570552534953</v>
      </c>
      <c r="I5218">
        <v>526.6875</v>
      </c>
      <c r="J5218" s="9">
        <f t="shared" si="81"/>
        <v>43746.983043437496</v>
      </c>
      <c r="K5218" s="1"/>
    </row>
    <row r="5219" spans="1:11" x14ac:dyDescent="0.25">
      <c r="A5219" t="e">
        <f>-LqgDUUiH7w3QGJXSLSo</f>
        <v>#NAME?</v>
      </c>
      <c r="B5219">
        <v>396.875</v>
      </c>
      <c r="C5219">
        <v>20.478950000000001</v>
      </c>
      <c r="D5219">
        <v>64</v>
      </c>
      <c r="E5219">
        <v>0</v>
      </c>
      <c r="F5219">
        <v>0</v>
      </c>
      <c r="G5219">
        <v>1</v>
      </c>
      <c r="H5219" s="4">
        <v>1570552542163</v>
      </c>
      <c r="I5219">
        <v>527.4375</v>
      </c>
      <c r="J5219" s="9">
        <f t="shared" si="81"/>
        <v>43746.983126886575</v>
      </c>
      <c r="K5219" s="1"/>
    </row>
    <row r="5220" spans="1:11" x14ac:dyDescent="0.25">
      <c r="A5220" t="e">
        <f>-LqgDW4GTzV4beH4tPwt</f>
        <v>#NAME?</v>
      </c>
      <c r="B5220">
        <v>396.875</v>
      </c>
      <c r="C5220">
        <v>20.584240000000001</v>
      </c>
      <c r="D5220">
        <v>65</v>
      </c>
      <c r="E5220">
        <v>0</v>
      </c>
      <c r="F5220">
        <v>0</v>
      </c>
      <c r="G5220">
        <v>6</v>
      </c>
      <c r="H5220" s="4">
        <v>1570552548343</v>
      </c>
      <c r="I5220">
        <v>527.4375</v>
      </c>
      <c r="J5220" s="9">
        <f t="shared" si="81"/>
        <v>43746.983198414346</v>
      </c>
      <c r="K5220" s="1"/>
    </row>
    <row r="5221" spans="1:11" x14ac:dyDescent="0.25">
      <c r="A5221" t="e">
        <f>-LqgDXmwj-HGY6IRrQkd</f>
        <v>#NAME?</v>
      </c>
      <c r="B5221">
        <v>396.875</v>
      </c>
      <c r="C5221">
        <v>20.478950000000001</v>
      </c>
      <c r="D5221">
        <v>67</v>
      </c>
      <c r="E5221">
        <v>0</v>
      </c>
      <c r="F5221">
        <v>0</v>
      </c>
      <c r="G5221">
        <v>5</v>
      </c>
      <c r="H5221" s="4">
        <v>1570552555563</v>
      </c>
      <c r="I5221">
        <v>527.4375</v>
      </c>
      <c r="J5221" s="9">
        <f t="shared" si="81"/>
        <v>43746.983281979163</v>
      </c>
      <c r="K5221" s="1"/>
    </row>
    <row r="5222" spans="1:11" x14ac:dyDescent="0.25">
      <c r="A5222" t="e">
        <f>-LqgDZIAqmsy3QxTgiwB</f>
        <v>#NAME?</v>
      </c>
      <c r="B5222">
        <v>396.875</v>
      </c>
      <c r="C5222">
        <v>20.478950000000001</v>
      </c>
      <c r="D5222">
        <v>67</v>
      </c>
      <c r="E5222">
        <v>0</v>
      </c>
      <c r="F5222">
        <v>0</v>
      </c>
      <c r="G5222">
        <v>0</v>
      </c>
      <c r="H5222" s="4">
        <v>1570552561763</v>
      </c>
      <c r="I5222">
        <v>527.4375</v>
      </c>
      <c r="J5222" s="9">
        <f t="shared" si="81"/>
        <v>43746.983353738418</v>
      </c>
      <c r="K5222" s="1"/>
    </row>
    <row r="5223" spans="1:11" x14ac:dyDescent="0.25">
      <c r="A5223" t="e">
        <f>-LqgD_r2azlHhcOwgzOD</f>
        <v>#NAME?</v>
      </c>
      <c r="B5223">
        <v>396.875</v>
      </c>
      <c r="C5223">
        <v>20.478950000000001</v>
      </c>
      <c r="D5223">
        <v>67</v>
      </c>
      <c r="E5223">
        <v>0</v>
      </c>
      <c r="F5223">
        <v>0</v>
      </c>
      <c r="G5223">
        <v>12</v>
      </c>
      <c r="H5223" s="4">
        <v>1570552567925</v>
      </c>
      <c r="I5223">
        <v>527.4375</v>
      </c>
      <c r="J5223" s="9">
        <f t="shared" si="81"/>
        <v>43746.983425057864</v>
      </c>
      <c r="K5223" s="1"/>
    </row>
    <row r="5224" spans="1:11" x14ac:dyDescent="0.25">
      <c r="A5224" t="e">
        <f>-LqgDbXsJe1cl3k8vFfL</f>
        <v>#NAME?</v>
      </c>
      <c r="B5224">
        <v>415.625</v>
      </c>
      <c r="C5224">
        <v>20.531590000000001</v>
      </c>
      <c r="D5224">
        <v>70</v>
      </c>
      <c r="E5224">
        <v>0</v>
      </c>
      <c r="F5224">
        <v>0</v>
      </c>
      <c r="G5224">
        <v>5</v>
      </c>
      <c r="H5224" s="4">
        <v>1570552575124</v>
      </c>
      <c r="I5224">
        <v>533.4375</v>
      </c>
      <c r="J5224" s="9">
        <f t="shared" si="81"/>
        <v>43746.983508379628</v>
      </c>
      <c r="K5224" s="1"/>
    </row>
    <row r="5225" spans="1:11" x14ac:dyDescent="0.25">
      <c r="A5225" t="e">
        <f>-LqgDd3O9T7SvRGn50hQ</f>
        <v>#NAME?</v>
      </c>
      <c r="B5225">
        <v>393.75</v>
      </c>
      <c r="C5225">
        <v>20.478950000000001</v>
      </c>
      <c r="D5225">
        <v>71</v>
      </c>
      <c r="E5225">
        <v>0</v>
      </c>
      <c r="F5225">
        <v>0</v>
      </c>
      <c r="G5225">
        <v>3</v>
      </c>
      <c r="H5225" s="4">
        <v>1570552581322</v>
      </c>
      <c r="I5225">
        <v>526.6875</v>
      </c>
      <c r="J5225" s="9">
        <f t="shared" si="81"/>
        <v>43746.983580115739</v>
      </c>
      <c r="K5225" s="1"/>
    </row>
    <row r="5226" spans="1:11" x14ac:dyDescent="0.25">
      <c r="A5226" t="e">
        <f>-LqgDec3oXOo9bXfSIGf</f>
        <v>#NAME?</v>
      </c>
      <c r="B5226">
        <v>393.75</v>
      </c>
      <c r="C5226">
        <v>20.478950000000001</v>
      </c>
      <c r="D5226">
        <v>67</v>
      </c>
      <c r="E5226">
        <v>0</v>
      </c>
      <c r="F5226">
        <v>0</v>
      </c>
      <c r="G5226">
        <v>3</v>
      </c>
      <c r="H5226" s="4">
        <v>1570552587503</v>
      </c>
      <c r="I5226">
        <v>526.6875</v>
      </c>
      <c r="J5226" s="9">
        <f t="shared" si="81"/>
        <v>43746.983651655093</v>
      </c>
      <c r="K5226" s="1"/>
    </row>
    <row r="5227" spans="1:11" x14ac:dyDescent="0.25">
      <c r="A5227" t="e">
        <f>-LqgDg3Zvea7SyAPeDTJ</f>
        <v>#NAME?</v>
      </c>
      <c r="B5227">
        <v>393.75</v>
      </c>
      <c r="C5227">
        <v>20.531590000000001</v>
      </c>
      <c r="D5227">
        <v>68</v>
      </c>
      <c r="E5227">
        <v>0</v>
      </c>
      <c r="F5227">
        <v>0</v>
      </c>
      <c r="G5227">
        <v>1</v>
      </c>
      <c r="H5227" s="4">
        <v>1570552593651</v>
      </c>
      <c r="I5227">
        <v>526.6875</v>
      </c>
      <c r="J5227" s="9">
        <f t="shared" si="81"/>
        <v>43746.983722812496</v>
      </c>
      <c r="K5227" s="1"/>
    </row>
    <row r="5228" spans="1:11" x14ac:dyDescent="0.25">
      <c r="A5228" t="e">
        <f>-LqgDhzPRif2LftYw68c</f>
        <v>#NAME?</v>
      </c>
      <c r="B5228">
        <v>412.5</v>
      </c>
      <c r="C5228">
        <v>20.478950000000001</v>
      </c>
      <c r="D5228">
        <v>70</v>
      </c>
      <c r="E5228">
        <v>0</v>
      </c>
      <c r="F5228">
        <v>0</v>
      </c>
      <c r="G5228">
        <v>10</v>
      </c>
      <c r="H5228" s="4">
        <v>1570552599873</v>
      </c>
      <c r="I5228">
        <v>532.125</v>
      </c>
      <c r="J5228" s="9">
        <f t="shared" si="81"/>
        <v>43746.983794826381</v>
      </c>
      <c r="K5228" s="1"/>
    </row>
    <row r="5229" spans="1:11" x14ac:dyDescent="0.25">
      <c r="A5229" t="e">
        <f>-LqgDj_jWQXCERQjn1wb</f>
        <v>#NAME?</v>
      </c>
      <c r="B5229">
        <v>396.875</v>
      </c>
      <c r="C5229">
        <v>20.478950000000001</v>
      </c>
      <c r="D5229">
        <v>70</v>
      </c>
      <c r="E5229">
        <v>0</v>
      </c>
      <c r="F5229">
        <v>0</v>
      </c>
      <c r="G5229">
        <v>15</v>
      </c>
      <c r="H5229" s="4">
        <v>1570552608091</v>
      </c>
      <c r="I5229">
        <v>527.4375</v>
      </c>
      <c r="J5229" s="9">
        <f t="shared" si="81"/>
        <v>43746.983889942123</v>
      </c>
      <c r="K5229" s="1"/>
    </row>
    <row r="5230" spans="1:11" x14ac:dyDescent="0.25">
      <c r="A5230" t="e">
        <f>-LqgDl9nOOcH3JusURBR</f>
        <v>#NAME?</v>
      </c>
      <c r="B5230">
        <v>396.875</v>
      </c>
      <c r="C5230">
        <v>20.531590000000001</v>
      </c>
      <c r="D5230">
        <v>69</v>
      </c>
      <c r="E5230">
        <v>0</v>
      </c>
      <c r="F5230">
        <v>0</v>
      </c>
      <c r="G5230">
        <v>2</v>
      </c>
      <c r="H5230" s="4">
        <v>1570552614293</v>
      </c>
      <c r="I5230">
        <v>527.4375</v>
      </c>
      <c r="J5230" s="9">
        <f t="shared" si="81"/>
        <v>43746.983961724538</v>
      </c>
      <c r="K5230" s="1"/>
    </row>
    <row r="5231" spans="1:11" x14ac:dyDescent="0.25">
      <c r="A5231" t="e">
        <f>-LqgDmiYvxhGC4Rb_tSL</f>
        <v>#NAME?</v>
      </c>
      <c r="B5231">
        <v>396.875</v>
      </c>
      <c r="C5231">
        <v>20.478950000000001</v>
      </c>
      <c r="D5231">
        <v>70</v>
      </c>
      <c r="E5231">
        <v>0</v>
      </c>
      <c r="F5231">
        <v>0</v>
      </c>
      <c r="G5231">
        <v>8</v>
      </c>
      <c r="H5231" s="4">
        <v>1570552620723</v>
      </c>
      <c r="I5231">
        <v>527.4375</v>
      </c>
      <c r="J5231" s="9">
        <f t="shared" si="81"/>
        <v>43746.984036145826</v>
      </c>
      <c r="K5231" s="1"/>
    </row>
    <row r="5232" spans="1:11" x14ac:dyDescent="0.25">
      <c r="A5232" t="e">
        <f>-LqgDoO1ikkHt6yEpv5D</f>
        <v>#NAME?</v>
      </c>
      <c r="B5232">
        <v>396.875</v>
      </c>
      <c r="C5232">
        <v>20.478950000000001</v>
      </c>
      <c r="D5232">
        <v>69</v>
      </c>
      <c r="E5232">
        <v>0</v>
      </c>
      <c r="F5232">
        <v>0</v>
      </c>
      <c r="G5232">
        <v>7</v>
      </c>
      <c r="H5232" s="4">
        <v>1570552627694</v>
      </c>
      <c r="I5232">
        <v>527.4375</v>
      </c>
      <c r="J5232" s="9">
        <f t="shared" si="81"/>
        <v>43746.984116828702</v>
      </c>
      <c r="K5232" s="1"/>
    </row>
    <row r="5233" spans="1:11" x14ac:dyDescent="0.25">
      <c r="A5233" t="e">
        <f>-LqgDpvzzURaDZzcqOO7</f>
        <v>#NAME?</v>
      </c>
      <c r="B5233">
        <v>396.875</v>
      </c>
      <c r="C5233">
        <v>20.478950000000001</v>
      </c>
      <c r="D5233">
        <v>69</v>
      </c>
      <c r="E5233">
        <v>0</v>
      </c>
      <c r="F5233">
        <v>0</v>
      </c>
      <c r="G5233">
        <v>2</v>
      </c>
      <c r="H5233" s="4">
        <v>1570552633873</v>
      </c>
      <c r="I5233">
        <v>527.4375</v>
      </c>
      <c r="J5233" s="9">
        <f t="shared" si="81"/>
        <v>43746.984188344904</v>
      </c>
      <c r="K5233" s="1"/>
    </row>
    <row r="5234" spans="1:11" x14ac:dyDescent="0.25">
      <c r="A5234" t="e">
        <f>-LqgDrRCf7vw1q7hMhml</f>
        <v>#NAME?</v>
      </c>
      <c r="B5234">
        <v>396.875</v>
      </c>
      <c r="C5234">
        <v>20.531590000000001</v>
      </c>
      <c r="D5234">
        <v>68</v>
      </c>
      <c r="E5234">
        <v>0</v>
      </c>
      <c r="F5234">
        <v>0</v>
      </c>
      <c r="G5234">
        <v>6</v>
      </c>
      <c r="H5234" s="4">
        <v>1570552640064</v>
      </c>
      <c r="I5234">
        <v>527.625</v>
      </c>
      <c r="J5234" s="9">
        <f t="shared" si="81"/>
        <v>43746.984259999997</v>
      </c>
      <c r="K5234" s="1"/>
    </row>
    <row r="5235" spans="1:11" x14ac:dyDescent="0.25">
      <c r="A5235" t="e">
        <f>-LqgDstxY-DWvSX2RDjD</f>
        <v>#NAME?</v>
      </c>
      <c r="B5235">
        <v>396.875</v>
      </c>
      <c r="C5235">
        <v>20.478950000000001</v>
      </c>
      <c r="D5235">
        <v>68</v>
      </c>
      <c r="E5235">
        <v>0</v>
      </c>
      <c r="F5235">
        <v>0</v>
      </c>
      <c r="G5235">
        <v>3</v>
      </c>
      <c r="H5235" s="4">
        <v>1570552646243</v>
      </c>
      <c r="I5235">
        <v>527.4375</v>
      </c>
      <c r="J5235" s="9">
        <f t="shared" si="81"/>
        <v>43746.9843315162</v>
      </c>
      <c r="K5235" s="1"/>
    </row>
    <row r="5236" spans="1:11" x14ac:dyDescent="0.25">
      <c r="A5236" t="e">
        <f>-LqgDuU4FQ4LS5awfXaj</f>
        <v>#NAME?</v>
      </c>
      <c r="B5236">
        <v>396.875</v>
      </c>
      <c r="C5236">
        <v>20.478950000000001</v>
      </c>
      <c r="D5236">
        <v>68</v>
      </c>
      <c r="E5236">
        <v>0</v>
      </c>
      <c r="F5236">
        <v>0</v>
      </c>
      <c r="G5236">
        <v>5</v>
      </c>
      <c r="H5236" s="4">
        <v>1570552652423</v>
      </c>
      <c r="I5236">
        <v>527.4375</v>
      </c>
      <c r="J5236" s="9">
        <f t="shared" si="81"/>
        <v>43746.984403043978</v>
      </c>
      <c r="K5236" s="1"/>
    </row>
    <row r="5237" spans="1:11" x14ac:dyDescent="0.25">
      <c r="A5237" t="e">
        <f>-LqgDvwvXZ7dwcXroYiH</f>
        <v>#NAME?</v>
      </c>
      <c r="B5237">
        <v>400</v>
      </c>
      <c r="C5237">
        <v>20.478950000000001</v>
      </c>
      <c r="D5237">
        <v>68</v>
      </c>
      <c r="E5237">
        <v>0</v>
      </c>
      <c r="F5237">
        <v>0</v>
      </c>
      <c r="G5237">
        <v>2</v>
      </c>
      <c r="H5237" s="4">
        <v>1570552658605</v>
      </c>
      <c r="I5237">
        <v>528.375</v>
      </c>
      <c r="J5237" s="9">
        <f t="shared" si="81"/>
        <v>43746.984474594901</v>
      </c>
      <c r="K5237" s="1"/>
    </row>
    <row r="5238" spans="1:11" x14ac:dyDescent="0.25">
      <c r="A5238" t="e">
        <f>-LqgDxS3rBaOew79fCeB</f>
        <v>#NAME?</v>
      </c>
      <c r="B5238">
        <v>418.75</v>
      </c>
      <c r="C5238">
        <v>20.478950000000001</v>
      </c>
      <c r="D5238">
        <v>66</v>
      </c>
      <c r="E5238">
        <v>0</v>
      </c>
      <c r="F5238">
        <v>0</v>
      </c>
      <c r="G5238">
        <v>8</v>
      </c>
      <c r="H5238" s="4">
        <v>1570552664793</v>
      </c>
      <c r="I5238">
        <v>534.1875</v>
      </c>
      <c r="J5238" s="9">
        <f t="shared" si="81"/>
        <v>43746.984546215281</v>
      </c>
      <c r="K5238" s="1"/>
    </row>
    <row r="5239" spans="1:11" x14ac:dyDescent="0.25">
      <c r="A5239" t="e">
        <f>-LqgDz1IuhET_opWdljh</f>
        <v>#NAME?</v>
      </c>
      <c r="B5239">
        <v>400</v>
      </c>
      <c r="C5239">
        <v>20.478950000000001</v>
      </c>
      <c r="D5239">
        <v>66</v>
      </c>
      <c r="E5239">
        <v>0</v>
      </c>
      <c r="F5239">
        <v>0</v>
      </c>
      <c r="G5239">
        <v>8</v>
      </c>
      <c r="H5239" s="4">
        <v>1570552670973</v>
      </c>
      <c r="I5239">
        <v>528.1875</v>
      </c>
      <c r="J5239" s="9">
        <f t="shared" si="81"/>
        <v>43746.984617743052</v>
      </c>
      <c r="K5239" s="1"/>
    </row>
    <row r="5240" spans="1:11" x14ac:dyDescent="0.25">
      <c r="A5240" t="e">
        <f>-LqgE-j3mkm7-Mm8qWA1</f>
        <v>#NAME?</v>
      </c>
      <c r="B5240">
        <v>400</v>
      </c>
      <c r="C5240">
        <v>20.478950000000001</v>
      </c>
      <c r="D5240">
        <v>65</v>
      </c>
      <c r="E5240">
        <v>0</v>
      </c>
      <c r="F5240">
        <v>0</v>
      </c>
      <c r="G5240">
        <v>9</v>
      </c>
      <c r="H5240" s="4">
        <v>1570552678164</v>
      </c>
      <c r="I5240">
        <v>528.1875</v>
      </c>
      <c r="J5240" s="9">
        <f t="shared" si="81"/>
        <v>43746.984700972222</v>
      </c>
      <c r="K5240" s="1"/>
    </row>
    <row r="5241" spans="1:11" x14ac:dyDescent="0.25">
      <c r="A5241" t="e">
        <f>-LqgE1GxBYvIMYqJwxQZ</f>
        <v>#NAME?</v>
      </c>
      <c r="B5241">
        <v>396.875</v>
      </c>
      <c r="C5241">
        <v>20.478950000000001</v>
      </c>
      <c r="D5241">
        <v>67</v>
      </c>
      <c r="E5241">
        <v>0</v>
      </c>
      <c r="F5241">
        <v>0</v>
      </c>
      <c r="G5241">
        <v>5</v>
      </c>
      <c r="H5241" s="4">
        <v>1570552684373</v>
      </c>
      <c r="I5241">
        <v>527.4375</v>
      </c>
      <c r="J5241" s="9">
        <f t="shared" si="81"/>
        <v>43746.984772835647</v>
      </c>
      <c r="K5241" s="1"/>
    </row>
    <row r="5242" spans="1:11" x14ac:dyDescent="0.25">
      <c r="A5242" t="e">
        <f>-LqgE2mE513QePRVjRsp</f>
        <v>#NAME?</v>
      </c>
      <c r="B5242">
        <v>396.875</v>
      </c>
      <c r="C5242">
        <v>20.478950000000001</v>
      </c>
      <c r="D5242">
        <v>67</v>
      </c>
      <c r="E5242">
        <v>0</v>
      </c>
      <c r="F5242">
        <v>0</v>
      </c>
      <c r="G5242">
        <v>7</v>
      </c>
      <c r="H5242" s="4">
        <v>1570552690554</v>
      </c>
      <c r="I5242">
        <v>527.4375</v>
      </c>
      <c r="J5242" s="9">
        <f t="shared" si="81"/>
        <v>43746.984844375002</v>
      </c>
      <c r="K5242" s="1"/>
    </row>
    <row r="5243" spans="1:11" x14ac:dyDescent="0.25">
      <c r="A5243" t="e">
        <f>-LqgE4IMOt_GcXd4LFyA</f>
        <v>#NAME?</v>
      </c>
      <c r="B5243">
        <v>396.875</v>
      </c>
      <c r="C5243">
        <v>20.478950000000001</v>
      </c>
      <c r="D5243">
        <v>63</v>
      </c>
      <c r="E5243">
        <v>0</v>
      </c>
      <c r="F5243">
        <v>0</v>
      </c>
      <c r="G5243">
        <v>4</v>
      </c>
      <c r="H5243" s="4">
        <v>1570552696725</v>
      </c>
      <c r="I5243">
        <v>527.4375</v>
      </c>
      <c r="J5243" s="9">
        <f t="shared" si="81"/>
        <v>43746.98491579861</v>
      </c>
      <c r="K5243" s="1"/>
    </row>
    <row r="5244" spans="1:11" x14ac:dyDescent="0.25">
      <c r="A5244" t="e">
        <f>-LqgE5p4sYBv8NP2ORfp</f>
        <v>#NAME?</v>
      </c>
      <c r="B5244">
        <v>396.875</v>
      </c>
      <c r="C5244">
        <v>20.478950000000001</v>
      </c>
      <c r="D5244">
        <v>63</v>
      </c>
      <c r="E5244">
        <v>0</v>
      </c>
      <c r="F5244">
        <v>0</v>
      </c>
      <c r="G5244">
        <v>2</v>
      </c>
      <c r="H5244" s="4">
        <v>1570552702913</v>
      </c>
      <c r="I5244">
        <v>527.4375</v>
      </c>
      <c r="J5244" s="9">
        <f t="shared" si="81"/>
        <v>43746.984987418975</v>
      </c>
      <c r="K5244" s="1"/>
    </row>
    <row r="5245" spans="1:11" x14ac:dyDescent="0.25">
      <c r="A5245" t="e">
        <f>-LqgE7kywo-p4hPhKsMd</f>
        <v>#NAME?</v>
      </c>
      <c r="B5245">
        <v>396.875</v>
      </c>
      <c r="C5245">
        <v>20.478950000000001</v>
      </c>
      <c r="D5245">
        <v>65</v>
      </c>
      <c r="E5245">
        <v>0</v>
      </c>
      <c r="F5245">
        <v>0</v>
      </c>
      <c r="G5245">
        <v>5</v>
      </c>
      <c r="H5245" s="4">
        <v>1570552711040</v>
      </c>
      <c r="I5245">
        <v>527.4375</v>
      </c>
      <c r="J5245" s="9">
        <f t="shared" si="81"/>
        <v>43746.985081481478</v>
      </c>
      <c r="K5245" s="1"/>
    </row>
    <row r="5246" spans="1:11" x14ac:dyDescent="0.25">
      <c r="A5246" t="e">
        <f>-LqgE9JnDww_yoP0X_Ee</f>
        <v>#NAME?</v>
      </c>
      <c r="B5246">
        <v>396.875</v>
      </c>
      <c r="C5246">
        <v>20.531590000000001</v>
      </c>
      <c r="D5246">
        <v>66</v>
      </c>
      <c r="E5246">
        <v>0</v>
      </c>
      <c r="F5246">
        <v>0</v>
      </c>
      <c r="G5246">
        <v>3</v>
      </c>
      <c r="H5246" s="4">
        <v>1570552717345</v>
      </c>
      <c r="I5246">
        <v>527.4375</v>
      </c>
      <c r="J5246" s="9">
        <f t="shared" si="81"/>
        <v>43746.985154456015</v>
      </c>
      <c r="K5246" s="1"/>
    </row>
    <row r="5247" spans="1:11" x14ac:dyDescent="0.25">
      <c r="A5247" t="e">
        <f>-LqgEAp28hq4DjLYSqrn</f>
        <v>#NAME?</v>
      </c>
      <c r="B5247">
        <v>396.875</v>
      </c>
      <c r="C5247">
        <v>20.478950000000001</v>
      </c>
      <c r="D5247">
        <v>66</v>
      </c>
      <c r="E5247">
        <v>0</v>
      </c>
      <c r="F5247">
        <v>0</v>
      </c>
      <c r="G5247">
        <v>4</v>
      </c>
      <c r="H5247" s="4">
        <v>1570552723534</v>
      </c>
      <c r="I5247">
        <v>527.4375</v>
      </c>
      <c r="J5247" s="9">
        <f t="shared" si="81"/>
        <v>43746.985226087963</v>
      </c>
      <c r="K5247" s="1"/>
    </row>
    <row r="5248" spans="1:11" x14ac:dyDescent="0.25">
      <c r="A5248" t="e">
        <f>-LqgECGiMiCJyKUNGQyv</f>
        <v>#NAME?</v>
      </c>
      <c r="B5248">
        <v>396.875</v>
      </c>
      <c r="C5248">
        <v>20.531590000000001</v>
      </c>
      <c r="D5248">
        <v>66</v>
      </c>
      <c r="E5248">
        <v>0</v>
      </c>
      <c r="F5248">
        <v>0</v>
      </c>
      <c r="G5248">
        <v>2</v>
      </c>
      <c r="H5248" s="4">
        <v>1570552729684</v>
      </c>
      <c r="I5248">
        <v>527.4375</v>
      </c>
      <c r="J5248" s="9">
        <f t="shared" si="81"/>
        <v>43746.985297268511</v>
      </c>
      <c r="K5248" s="1"/>
    </row>
    <row r="5249" spans="1:11" x14ac:dyDescent="0.25">
      <c r="A5249" t="e">
        <f>-LqgEDqwftPKtqh5-#REF!</f>
        <v>#NAME?</v>
      </c>
      <c r="B5249">
        <v>396.875</v>
      </c>
      <c r="C5249">
        <v>20.478950000000001</v>
      </c>
      <c r="D5249">
        <v>66</v>
      </c>
      <c r="E5249">
        <v>0</v>
      </c>
      <c r="F5249">
        <v>0</v>
      </c>
      <c r="G5249">
        <v>7</v>
      </c>
      <c r="H5249" s="4">
        <v>1570552735893</v>
      </c>
      <c r="I5249">
        <v>527.4375</v>
      </c>
      <c r="J5249" s="9">
        <f t="shared" si="81"/>
        <v>43746.985369131937</v>
      </c>
      <c r="K5249" s="1"/>
    </row>
    <row r="5250" spans="1:11" x14ac:dyDescent="0.25">
      <c r="A5250" t="e">
        <f>-LqgEFIJEVeZhBZNGqkD</f>
        <v>#NAME?</v>
      </c>
      <c r="B5250">
        <v>396.875</v>
      </c>
      <c r="C5250">
        <v>20.531590000000001</v>
      </c>
      <c r="D5250">
        <v>67</v>
      </c>
      <c r="E5250">
        <v>0</v>
      </c>
      <c r="F5250">
        <v>0</v>
      </c>
      <c r="G5250">
        <v>9</v>
      </c>
      <c r="H5250" s="4">
        <v>1570552742083</v>
      </c>
      <c r="I5250">
        <v>527.4375</v>
      </c>
      <c r="J5250" s="9">
        <f t="shared" si="81"/>
        <v>43746.985440775461</v>
      </c>
      <c r="K5250" s="1"/>
    </row>
    <row r="5251" spans="1:11" x14ac:dyDescent="0.25">
      <c r="A5251" t="e">
        <f>-LqgEGnmnNYKwCCz3n7a</f>
        <v>#NAME?</v>
      </c>
      <c r="B5251">
        <v>400</v>
      </c>
      <c r="C5251">
        <v>20.478950000000001</v>
      </c>
      <c r="D5251">
        <v>67</v>
      </c>
      <c r="E5251">
        <v>0</v>
      </c>
      <c r="F5251">
        <v>0</v>
      </c>
      <c r="G5251">
        <v>0</v>
      </c>
      <c r="H5251" s="4">
        <v>1570552748243</v>
      </c>
      <c r="I5251">
        <v>528.375</v>
      </c>
      <c r="J5251" s="9">
        <f t="shared" ref="J5251:J5314" si="82">(H5251/86400000)+25569+(7/24)</f>
        <v>43746.985512071762</v>
      </c>
      <c r="K5251" s="1"/>
    </row>
    <row r="5252" spans="1:11" x14ac:dyDescent="0.25">
      <c r="A5252" t="e">
        <f>-LqgEIeIe3immtFG5dFG</f>
        <v>#NAME?</v>
      </c>
      <c r="B5252">
        <v>400</v>
      </c>
      <c r="C5252">
        <v>20.531590000000001</v>
      </c>
      <c r="D5252">
        <v>66</v>
      </c>
      <c r="E5252">
        <v>0</v>
      </c>
      <c r="F5252">
        <v>0</v>
      </c>
      <c r="G5252">
        <v>0</v>
      </c>
      <c r="H5252" s="4">
        <v>1570552755483</v>
      </c>
      <c r="I5252">
        <v>528.1875</v>
      </c>
      <c r="J5252" s="9">
        <f t="shared" si="82"/>
        <v>43746.985595868049</v>
      </c>
      <c r="K5252" s="1"/>
    </row>
    <row r="5253" spans="1:11" x14ac:dyDescent="0.25">
      <c r="A5253" t="e">
        <f>-LqgEKKx7LEr8INji-#REF!</f>
        <v>#NAME?</v>
      </c>
      <c r="B5253">
        <v>400</v>
      </c>
      <c r="C5253">
        <v>20.478950000000001</v>
      </c>
      <c r="D5253">
        <v>65</v>
      </c>
      <c r="E5253">
        <v>0</v>
      </c>
      <c r="F5253">
        <v>0</v>
      </c>
      <c r="G5253">
        <v>9</v>
      </c>
      <c r="H5253" s="4">
        <v>1570552762704</v>
      </c>
      <c r="I5253">
        <v>528.1875</v>
      </c>
      <c r="J5253" s="9">
        <f t="shared" si="82"/>
        <v>43746.985679444442</v>
      </c>
      <c r="K5253" s="1"/>
    </row>
    <row r="5254" spans="1:11" x14ac:dyDescent="0.25">
      <c r="A5254" t="e">
        <f>-LqgELv2VJlK0ChiBHGo</f>
        <v>#NAME?</v>
      </c>
      <c r="B5254">
        <v>400</v>
      </c>
      <c r="C5254">
        <v>20.478950000000001</v>
      </c>
      <c r="D5254">
        <v>66</v>
      </c>
      <c r="E5254">
        <v>0</v>
      </c>
      <c r="F5254">
        <v>0</v>
      </c>
      <c r="G5254">
        <v>3</v>
      </c>
      <c r="H5254" s="4">
        <v>1570552768874</v>
      </c>
      <c r="I5254">
        <v>528.375</v>
      </c>
      <c r="J5254" s="9">
        <f t="shared" si="82"/>
        <v>43746.985750856482</v>
      </c>
      <c r="K5254" s="1"/>
    </row>
    <row r="5255" spans="1:11" x14ac:dyDescent="0.25">
      <c r="A5255" t="e">
        <f>-LqgENahajedPusFwI-x</f>
        <v>#NAME?</v>
      </c>
      <c r="B5255">
        <v>421.875</v>
      </c>
      <c r="C5255">
        <v>20.531590000000001</v>
      </c>
      <c r="D5255">
        <v>66</v>
      </c>
      <c r="E5255">
        <v>0</v>
      </c>
      <c r="F5255">
        <v>0</v>
      </c>
      <c r="G5255">
        <v>9</v>
      </c>
      <c r="H5255" s="4">
        <v>1570552776083</v>
      </c>
      <c r="I5255">
        <v>535.6875</v>
      </c>
      <c r="J5255" s="9">
        <f t="shared" si="82"/>
        <v>43746.985834293977</v>
      </c>
      <c r="K5255" s="1"/>
    </row>
    <row r="5256" spans="1:11" x14ac:dyDescent="0.25">
      <c r="A5256" t="e">
        <f>-LqgEPC2_etXYLY1WzwU</f>
        <v>#NAME?</v>
      </c>
      <c r="B5256">
        <v>396.875</v>
      </c>
      <c r="C5256">
        <v>20.531590000000001</v>
      </c>
      <c r="D5256">
        <v>66</v>
      </c>
      <c r="E5256">
        <v>0</v>
      </c>
      <c r="F5256">
        <v>0</v>
      </c>
      <c r="G5256">
        <v>11</v>
      </c>
      <c r="H5256" s="4">
        <v>1570552782273</v>
      </c>
      <c r="I5256">
        <v>527.4375</v>
      </c>
      <c r="J5256" s="9">
        <f t="shared" si="82"/>
        <v>43746.985905937494</v>
      </c>
      <c r="K5256" s="1"/>
    </row>
    <row r="5257" spans="1:11" x14ac:dyDescent="0.25">
      <c r="A5257" t="e">
        <f>-LqgEQtyCHqUW0E1qlQ6</f>
        <v>#NAME?</v>
      </c>
      <c r="B5257">
        <v>396.875</v>
      </c>
      <c r="C5257">
        <v>20.584240000000001</v>
      </c>
      <c r="D5257">
        <v>66</v>
      </c>
      <c r="E5257">
        <v>0</v>
      </c>
      <c r="F5257">
        <v>0</v>
      </c>
      <c r="G5257">
        <v>8</v>
      </c>
      <c r="H5257" s="4">
        <v>1570552789482</v>
      </c>
      <c r="I5257">
        <v>527.4375</v>
      </c>
      <c r="J5257" s="9">
        <f t="shared" si="82"/>
        <v>43746.985989374996</v>
      </c>
      <c r="K5257" s="1"/>
    </row>
    <row r="5258" spans="1:11" x14ac:dyDescent="0.25">
      <c r="A5258" t="e">
        <f>-LqgESNy8hCfWwUD_ghs</f>
        <v>#NAME?</v>
      </c>
      <c r="B5258">
        <v>415.625</v>
      </c>
      <c r="C5258">
        <v>20.478950000000001</v>
      </c>
      <c r="D5258">
        <v>66</v>
      </c>
      <c r="E5258">
        <v>0</v>
      </c>
      <c r="F5258">
        <v>0</v>
      </c>
      <c r="G5258">
        <v>9</v>
      </c>
      <c r="H5258" s="4">
        <v>1570552795685</v>
      </c>
      <c r="I5258">
        <v>533.0625</v>
      </c>
      <c r="J5258" s="9">
        <f t="shared" si="82"/>
        <v>43746.98606116898</v>
      </c>
      <c r="K5258" s="1"/>
    </row>
    <row r="5259" spans="1:11" x14ac:dyDescent="0.25">
      <c r="A5259" t="e">
        <f>-LqgEU12UE6cGywwsxqa</f>
        <v>#NAME?</v>
      </c>
      <c r="B5259">
        <v>396.875</v>
      </c>
      <c r="C5259">
        <v>20.531590000000001</v>
      </c>
      <c r="D5259">
        <v>66</v>
      </c>
      <c r="E5259">
        <v>0</v>
      </c>
      <c r="F5259">
        <v>0</v>
      </c>
      <c r="G5259">
        <v>2</v>
      </c>
      <c r="H5259" s="4">
        <v>1570552801843</v>
      </c>
      <c r="I5259">
        <v>527.4375</v>
      </c>
      <c r="J5259" s="9">
        <f t="shared" si="82"/>
        <v>43746.986132442129</v>
      </c>
      <c r="K5259" s="1"/>
    </row>
    <row r="5260" spans="1:11" x14ac:dyDescent="0.25">
      <c r="A5260" t="e">
        <f>-LqgEVdiAlKt_caN45gu</f>
        <v>#NAME?</v>
      </c>
      <c r="B5260">
        <v>396.875</v>
      </c>
      <c r="C5260">
        <v>20.478950000000001</v>
      </c>
      <c r="D5260">
        <v>67</v>
      </c>
      <c r="E5260">
        <v>0</v>
      </c>
      <c r="F5260">
        <v>0</v>
      </c>
      <c r="G5260">
        <v>8</v>
      </c>
      <c r="H5260" s="4">
        <v>1570552809045</v>
      </c>
      <c r="I5260">
        <v>527.4375</v>
      </c>
      <c r="J5260" s="9">
        <f t="shared" si="82"/>
        <v>43746.986215798614</v>
      </c>
      <c r="K5260" s="1"/>
    </row>
    <row r="5261" spans="1:11" x14ac:dyDescent="0.25">
      <c r="A5261" t="e">
        <f>-LqgEXFCmNTHWN-ta3Uq</f>
        <v>#NAME?</v>
      </c>
      <c r="B5261">
        <v>396.875</v>
      </c>
      <c r="C5261">
        <v>20.478950000000001</v>
      </c>
      <c r="D5261">
        <v>66</v>
      </c>
      <c r="E5261">
        <v>0</v>
      </c>
      <c r="F5261">
        <v>0</v>
      </c>
      <c r="G5261">
        <v>7</v>
      </c>
      <c r="H5261" s="4">
        <v>1570552815244</v>
      </c>
      <c r="I5261">
        <v>527.4375</v>
      </c>
      <c r="J5261" s="9">
        <f t="shared" si="82"/>
        <v>43746.986287546293</v>
      </c>
      <c r="K5261" s="1"/>
    </row>
    <row r="5262" spans="1:11" x14ac:dyDescent="0.25">
      <c r="A5262" t="e">
        <f>-LqgEZFvjEXGdKMqGFbP</f>
        <v>#NAME?</v>
      </c>
      <c r="B5262">
        <v>396.875</v>
      </c>
      <c r="C5262">
        <v>20.531590000000001</v>
      </c>
      <c r="D5262">
        <v>65</v>
      </c>
      <c r="E5262">
        <v>0</v>
      </c>
      <c r="F5262">
        <v>0</v>
      </c>
      <c r="G5262">
        <v>7</v>
      </c>
      <c r="H5262" s="4">
        <v>1570552823785</v>
      </c>
      <c r="I5262">
        <v>527.4375</v>
      </c>
      <c r="J5262" s="9">
        <f t="shared" si="82"/>
        <v>43746.986386400466</v>
      </c>
      <c r="K5262" s="1"/>
    </row>
    <row r="5263" spans="1:11" x14ac:dyDescent="0.25">
      <c r="A5263" t="e">
        <f>-LqgEa2yPhX02xMyJq6g</f>
        <v>#NAME?</v>
      </c>
      <c r="B5263">
        <v>396.875</v>
      </c>
      <c r="C5263">
        <v>20.531590000000001</v>
      </c>
      <c r="D5263">
        <v>65</v>
      </c>
      <c r="E5263">
        <v>0</v>
      </c>
      <c r="F5263">
        <v>0</v>
      </c>
      <c r="G5263">
        <v>12</v>
      </c>
      <c r="H5263" s="4">
        <v>1570552830949</v>
      </c>
      <c r="I5263">
        <v>527.4375</v>
      </c>
      <c r="J5263" s="9">
        <f t="shared" si="82"/>
        <v>43746.986469317126</v>
      </c>
      <c r="K5263" s="1"/>
    </row>
    <row r="5264" spans="1:11" x14ac:dyDescent="0.25">
      <c r="A5264" t="e">
        <f>-LqgEbxwwHQ30hv9ZfHN</f>
        <v>#NAME?</v>
      </c>
      <c r="B5264">
        <v>396.875</v>
      </c>
      <c r="C5264">
        <v>20.531590000000001</v>
      </c>
      <c r="D5264">
        <v>65</v>
      </c>
      <c r="E5264">
        <v>0</v>
      </c>
      <c r="F5264">
        <v>0</v>
      </c>
      <c r="G5264">
        <v>7</v>
      </c>
      <c r="H5264" s="4">
        <v>1570552837913</v>
      </c>
      <c r="I5264">
        <v>527.4375</v>
      </c>
      <c r="J5264" s="9">
        <f t="shared" si="82"/>
        <v>43746.986549918984</v>
      </c>
      <c r="K5264" s="1"/>
    </row>
    <row r="5265" spans="1:11" x14ac:dyDescent="0.25">
      <c r="A5265" t="e">
        <f>-LqgEdXPc4Sdij65dAsg</f>
        <v>#NAME?</v>
      </c>
      <c r="B5265">
        <v>396.875</v>
      </c>
      <c r="C5265">
        <v>20.584240000000001</v>
      </c>
      <c r="D5265">
        <v>66</v>
      </c>
      <c r="E5265">
        <v>0</v>
      </c>
      <c r="F5265">
        <v>0</v>
      </c>
      <c r="G5265">
        <v>2</v>
      </c>
      <c r="H5265" s="4">
        <v>1570552845122</v>
      </c>
      <c r="I5265">
        <v>527.4375</v>
      </c>
      <c r="J5265" s="9">
        <f t="shared" si="82"/>
        <v>43746.986633356479</v>
      </c>
      <c r="K5265" s="1"/>
    </row>
    <row r="5266" spans="1:11" x14ac:dyDescent="0.25">
      <c r="A5266" t="e">
        <f>-LqgEfJ2_dA0xNqYMg59</f>
        <v>#NAME?</v>
      </c>
      <c r="B5266">
        <v>396.875</v>
      </c>
      <c r="C5266">
        <v>20.478950000000001</v>
      </c>
      <c r="D5266">
        <v>67</v>
      </c>
      <c r="E5266">
        <v>0</v>
      </c>
      <c r="F5266">
        <v>0</v>
      </c>
      <c r="G5266">
        <v>3</v>
      </c>
      <c r="H5266" s="4">
        <v>1570552852343</v>
      </c>
      <c r="I5266">
        <v>527.4375</v>
      </c>
      <c r="J5266" s="9">
        <f t="shared" si="82"/>
        <v>43746.986716932872</v>
      </c>
      <c r="K5266" s="1"/>
    </row>
    <row r="5267" spans="1:11" x14ac:dyDescent="0.25">
      <c r="A5267" t="e">
        <f>-LqgEh-vu9W576Rz9Jga</f>
        <v>#NAME?</v>
      </c>
      <c r="B5267">
        <v>393.75</v>
      </c>
      <c r="C5267">
        <v>20.478950000000001</v>
      </c>
      <c r="D5267">
        <v>66</v>
      </c>
      <c r="E5267">
        <v>0</v>
      </c>
      <c r="F5267">
        <v>0</v>
      </c>
      <c r="G5267">
        <v>8</v>
      </c>
      <c r="H5267" s="4">
        <v>1570552859562</v>
      </c>
      <c r="I5267">
        <v>526.6875</v>
      </c>
      <c r="J5267" s="9">
        <f t="shared" si="82"/>
        <v>43746.986800486113</v>
      </c>
      <c r="K5267" s="1"/>
    </row>
    <row r="5268" spans="1:11" x14ac:dyDescent="0.25">
      <c r="A5268" t="s">
        <v>288</v>
      </c>
      <c r="B5268">
        <v>415.625</v>
      </c>
      <c r="C5268">
        <v>20.531590000000001</v>
      </c>
      <c r="D5268">
        <v>66</v>
      </c>
      <c r="E5268">
        <v>0</v>
      </c>
      <c r="F5268">
        <v>0</v>
      </c>
      <c r="G5268">
        <v>10</v>
      </c>
      <c r="H5268" s="4">
        <v>1570552865754</v>
      </c>
      <c r="I5268">
        <v>533.625</v>
      </c>
      <c r="J5268" s="9">
        <f t="shared" si="82"/>
        <v>43746.986872152775</v>
      </c>
      <c r="K5268" s="1"/>
    </row>
    <row r="5269" spans="1:11" x14ac:dyDescent="0.25">
      <c r="A5269" t="e">
        <f>-LqgEk-BR5GqmZkKNCp_</f>
        <v>#NAME?</v>
      </c>
      <c r="B5269">
        <v>396.875</v>
      </c>
      <c r="C5269">
        <v>20.584240000000001</v>
      </c>
      <c r="D5269">
        <v>66</v>
      </c>
      <c r="E5269">
        <v>0</v>
      </c>
      <c r="F5269">
        <v>0</v>
      </c>
      <c r="G5269">
        <v>0</v>
      </c>
      <c r="H5269" s="4">
        <v>1570552871922</v>
      </c>
      <c r="I5269">
        <v>527.4375</v>
      </c>
      <c r="J5269" s="9">
        <f t="shared" si="82"/>
        <v>43746.986943541669</v>
      </c>
      <c r="K5269" s="1"/>
    </row>
    <row r="5270" spans="1:11" x14ac:dyDescent="0.25">
      <c r="A5270" t="e">
        <f>-LqgElYiYZoXq6Zqzcvj</f>
        <v>#NAME?</v>
      </c>
      <c r="B5270">
        <v>396.875</v>
      </c>
      <c r="C5270">
        <v>20.531590000000001</v>
      </c>
      <c r="D5270">
        <v>66</v>
      </c>
      <c r="E5270">
        <v>0</v>
      </c>
      <c r="F5270">
        <v>0</v>
      </c>
      <c r="G5270">
        <v>6</v>
      </c>
      <c r="H5270" s="4">
        <v>1570552878111</v>
      </c>
      <c r="I5270">
        <v>527.4375</v>
      </c>
      <c r="J5270" s="9">
        <f t="shared" si="82"/>
        <v>43746.98701517361</v>
      </c>
      <c r="K5270" s="1"/>
    </row>
    <row r="5271" spans="1:11" x14ac:dyDescent="0.25">
      <c r="A5271" t="e">
        <f>-LqgEnL5ARH45ges_uYU</f>
        <v>#NAME?</v>
      </c>
      <c r="B5271">
        <v>396.875</v>
      </c>
      <c r="C5271">
        <v>20.531590000000001</v>
      </c>
      <c r="D5271">
        <v>67</v>
      </c>
      <c r="E5271">
        <v>0</v>
      </c>
      <c r="F5271">
        <v>0</v>
      </c>
      <c r="G5271">
        <v>9</v>
      </c>
      <c r="H5271" s="4">
        <v>1570552885323</v>
      </c>
      <c r="I5271">
        <v>527.4375</v>
      </c>
      <c r="J5271" s="9">
        <f t="shared" si="82"/>
        <v>43746.987098645834</v>
      </c>
      <c r="K5271" s="1"/>
    </row>
    <row r="5272" spans="1:11" x14ac:dyDescent="0.25">
      <c r="A5272" t="e">
        <f>-LqgEp2voLV2O7M61NDy</f>
        <v>#NAME?</v>
      </c>
      <c r="B5272">
        <v>396.875</v>
      </c>
      <c r="C5272">
        <v>20.531590000000001</v>
      </c>
      <c r="D5272">
        <v>68</v>
      </c>
      <c r="E5272">
        <v>0</v>
      </c>
      <c r="F5272">
        <v>0</v>
      </c>
      <c r="G5272">
        <v>7</v>
      </c>
      <c r="H5272" s="4">
        <v>1570552892533</v>
      </c>
      <c r="I5272">
        <v>527.4375</v>
      </c>
      <c r="J5272" s="9">
        <f t="shared" si="82"/>
        <v>43746.987182094905</v>
      </c>
      <c r="K5272" s="1"/>
    </row>
    <row r="5273" spans="1:11" x14ac:dyDescent="0.25">
      <c r="A5273" t="e">
        <f>-LqgEqXx6A5cPa_z969c</f>
        <v>#NAME?</v>
      </c>
      <c r="B5273">
        <v>396.875</v>
      </c>
      <c r="C5273">
        <v>20.478950000000001</v>
      </c>
      <c r="D5273">
        <v>68</v>
      </c>
      <c r="E5273">
        <v>0</v>
      </c>
      <c r="F5273">
        <v>0</v>
      </c>
      <c r="G5273">
        <v>2</v>
      </c>
      <c r="H5273" s="4">
        <v>1570552898712</v>
      </c>
      <c r="I5273">
        <v>527.4375</v>
      </c>
      <c r="J5273" s="9">
        <f t="shared" si="82"/>
        <v>43746.987253611107</v>
      </c>
      <c r="K5273" s="1"/>
    </row>
    <row r="5274" spans="1:11" x14ac:dyDescent="0.25">
      <c r="A5274" t="e">
        <f>-LqgEs661jogUNiTBN2M</f>
        <v>#NAME?</v>
      </c>
      <c r="B5274">
        <v>396.875</v>
      </c>
      <c r="C5274">
        <v>20.478950000000001</v>
      </c>
      <c r="D5274">
        <v>67</v>
      </c>
      <c r="E5274">
        <v>0</v>
      </c>
      <c r="F5274">
        <v>0</v>
      </c>
      <c r="G5274">
        <v>9</v>
      </c>
      <c r="H5274" s="4">
        <v>1570552904902</v>
      </c>
      <c r="I5274">
        <v>527.4375</v>
      </c>
      <c r="J5274" s="9">
        <f t="shared" si="82"/>
        <v>43746.987325254631</v>
      </c>
      <c r="K5274" s="1"/>
    </row>
    <row r="5275" spans="1:11" x14ac:dyDescent="0.25">
      <c r="A5275" t="e">
        <f>-LqgEt_wD019_8yCx_ls</f>
        <v>#NAME?</v>
      </c>
      <c r="B5275">
        <v>415.625</v>
      </c>
      <c r="C5275">
        <v>20.531590000000001</v>
      </c>
      <c r="D5275">
        <v>67</v>
      </c>
      <c r="E5275">
        <v>0</v>
      </c>
      <c r="F5275">
        <v>0</v>
      </c>
      <c r="G5275">
        <v>8</v>
      </c>
      <c r="H5275" s="4">
        <v>1570552911074</v>
      </c>
      <c r="I5275">
        <v>533.0625</v>
      </c>
      <c r="J5275" s="9">
        <f t="shared" si="82"/>
        <v>43746.987396689809</v>
      </c>
      <c r="K5275" s="1"/>
    </row>
    <row r="5276" spans="1:11" x14ac:dyDescent="0.25">
      <c r="A5276" t="e">
        <f>-LqgEv3wqlsoklw0SRgb</f>
        <v>#NAME?</v>
      </c>
      <c r="B5276">
        <v>396.875</v>
      </c>
      <c r="C5276">
        <v>20.478950000000001</v>
      </c>
      <c r="D5276">
        <v>67</v>
      </c>
      <c r="E5276">
        <v>0</v>
      </c>
      <c r="F5276">
        <v>0</v>
      </c>
      <c r="G5276">
        <v>7</v>
      </c>
      <c r="H5276" s="4">
        <v>1570552917282</v>
      </c>
      <c r="I5276">
        <v>527.4375</v>
      </c>
      <c r="J5276" s="9">
        <f t="shared" si="82"/>
        <v>43746.987468541665</v>
      </c>
      <c r="K5276" s="1"/>
    </row>
    <row r="5277" spans="1:11" x14ac:dyDescent="0.25">
      <c r="A5277" t="e">
        <f>-LqgEwe3CGJppdJIuLfh</f>
        <v>#NAME?</v>
      </c>
      <c r="B5277">
        <v>396.875</v>
      </c>
      <c r="C5277">
        <v>20.478950000000001</v>
      </c>
      <c r="D5277">
        <v>67</v>
      </c>
      <c r="E5277">
        <v>0</v>
      </c>
      <c r="F5277">
        <v>0</v>
      </c>
      <c r="G5277">
        <v>8</v>
      </c>
      <c r="H5277" s="4">
        <v>1570552923443</v>
      </c>
      <c r="I5277">
        <v>527.4375</v>
      </c>
      <c r="J5277" s="9">
        <f t="shared" si="82"/>
        <v>43746.987539849535</v>
      </c>
      <c r="K5277" s="1"/>
    </row>
    <row r="5278" spans="1:11" x14ac:dyDescent="0.25">
      <c r="A5278" t="e">
        <f>-LqgEyKXXVfloB0tJxay</f>
        <v>#NAME?</v>
      </c>
      <c r="B5278">
        <v>396.875</v>
      </c>
      <c r="C5278">
        <v>20.478950000000001</v>
      </c>
      <c r="D5278">
        <v>66</v>
      </c>
      <c r="E5278">
        <v>0</v>
      </c>
      <c r="F5278">
        <v>0</v>
      </c>
      <c r="G5278">
        <v>8</v>
      </c>
      <c r="H5278" s="4">
        <v>1570552930644</v>
      </c>
      <c r="I5278">
        <v>527.4375</v>
      </c>
      <c r="J5278" s="9">
        <f t="shared" si="82"/>
        <v>43746.987623194444</v>
      </c>
      <c r="K5278" s="1"/>
    </row>
    <row r="5279" spans="1:11" x14ac:dyDescent="0.25">
      <c r="A5279" t="e">
        <f>-LqgEzuyzrcJAC41gw4v</f>
        <v>#NAME?</v>
      </c>
      <c r="B5279">
        <v>396.875</v>
      </c>
      <c r="C5279">
        <v>20.478950000000001</v>
      </c>
      <c r="D5279">
        <v>68</v>
      </c>
      <c r="E5279">
        <v>0</v>
      </c>
      <c r="F5279">
        <v>0</v>
      </c>
      <c r="G5279">
        <v>2</v>
      </c>
      <c r="H5279" s="4">
        <v>1570552936842</v>
      </c>
      <c r="I5279">
        <v>527.4375</v>
      </c>
      <c r="J5279" s="9">
        <f t="shared" si="82"/>
        <v>43746.987694930554</v>
      </c>
      <c r="K5279" s="1"/>
    </row>
    <row r="5280" spans="1:11" x14ac:dyDescent="0.25">
      <c r="A5280" t="s">
        <v>289</v>
      </c>
      <c r="B5280">
        <v>396.875</v>
      </c>
      <c r="C5280">
        <v>20.531590000000001</v>
      </c>
      <c r="D5280">
        <v>68</v>
      </c>
      <c r="E5280">
        <v>0</v>
      </c>
      <c r="F5280">
        <v>0</v>
      </c>
      <c r="G5280">
        <v>4</v>
      </c>
      <c r="H5280" s="4">
        <v>1570552943005</v>
      </c>
      <c r="I5280">
        <v>527.4375</v>
      </c>
      <c r="J5280" s="9">
        <f t="shared" si="82"/>
        <v>43746.987766261569</v>
      </c>
      <c r="K5280" s="1"/>
    </row>
    <row r="5281" spans="1:11" x14ac:dyDescent="0.25">
      <c r="A5281" t="e">
        <f>-LqgF1u3BiJtmjYb5qvo</f>
        <v>#NAME?</v>
      </c>
      <c r="B5281">
        <v>396.875</v>
      </c>
      <c r="C5281">
        <v>20.478950000000001</v>
      </c>
      <c r="D5281">
        <v>67</v>
      </c>
      <c r="E5281">
        <v>0</v>
      </c>
      <c r="F5281">
        <v>0</v>
      </c>
      <c r="G5281">
        <v>0</v>
      </c>
      <c r="H5281" s="4">
        <v>1570552949202</v>
      </c>
      <c r="I5281">
        <v>527.625</v>
      </c>
      <c r="J5281" s="9">
        <f t="shared" si="82"/>
        <v>43746.987837986111</v>
      </c>
      <c r="K5281" s="1"/>
    </row>
    <row r="5282" spans="1:11" x14ac:dyDescent="0.25">
      <c r="A5282" t="e">
        <f>-LqgF3RnBvt68bIq6Az9</f>
        <v>#NAME?</v>
      </c>
      <c r="B5282">
        <v>396.875</v>
      </c>
      <c r="C5282">
        <v>20.531590000000001</v>
      </c>
      <c r="D5282">
        <v>67</v>
      </c>
      <c r="E5282">
        <v>0</v>
      </c>
      <c r="F5282">
        <v>0</v>
      </c>
      <c r="G5282">
        <v>0</v>
      </c>
      <c r="H5282" s="4">
        <v>1570552955393</v>
      </c>
      <c r="I5282">
        <v>527.4375</v>
      </c>
      <c r="J5282" s="9">
        <f t="shared" si="82"/>
        <v>43746.987909641197</v>
      </c>
      <c r="K5282" s="1"/>
    </row>
    <row r="5283" spans="1:11" x14ac:dyDescent="0.25">
      <c r="A5283" t="e">
        <f>-LqgF4vxdLJqMMvIG1Za</f>
        <v>#NAME?</v>
      </c>
      <c r="B5283">
        <v>396.875</v>
      </c>
      <c r="C5283">
        <v>20.478950000000001</v>
      </c>
      <c r="D5283">
        <v>67</v>
      </c>
      <c r="E5283">
        <v>0</v>
      </c>
      <c r="F5283">
        <v>0</v>
      </c>
      <c r="G5283">
        <v>10</v>
      </c>
      <c r="H5283" s="4">
        <v>1570552961554</v>
      </c>
      <c r="I5283">
        <v>527.4375</v>
      </c>
      <c r="J5283" s="9">
        <f t="shared" si="82"/>
        <v>43746.987980949074</v>
      </c>
      <c r="K5283" s="1"/>
    </row>
    <row r="5284" spans="1:11" x14ac:dyDescent="0.25">
      <c r="A5284" t="e">
        <f>-LqgF6OZ2O6LBMsI_4mt</f>
        <v>#NAME?</v>
      </c>
      <c r="B5284">
        <v>396.875</v>
      </c>
      <c r="C5284">
        <v>20.531590000000001</v>
      </c>
      <c r="D5284">
        <v>67</v>
      </c>
      <c r="E5284">
        <v>0</v>
      </c>
      <c r="F5284">
        <v>0</v>
      </c>
      <c r="G5284">
        <v>1</v>
      </c>
      <c r="H5284" s="4">
        <v>1570552967763</v>
      </c>
      <c r="I5284">
        <v>527.4375</v>
      </c>
      <c r="J5284" s="9">
        <f t="shared" si="82"/>
        <v>43746.9880528125</v>
      </c>
      <c r="K5284" s="1"/>
    </row>
    <row r="5285" spans="1:11" x14ac:dyDescent="0.25">
      <c r="A5285" t="e">
        <f>-LqgF7w7yTczFJGwrReX</f>
        <v>#NAME?</v>
      </c>
      <c r="B5285">
        <v>396.875</v>
      </c>
      <c r="C5285">
        <v>20.478950000000001</v>
      </c>
      <c r="D5285">
        <v>67</v>
      </c>
      <c r="E5285">
        <v>0</v>
      </c>
      <c r="F5285">
        <v>0</v>
      </c>
      <c r="G5285">
        <v>3</v>
      </c>
      <c r="H5285" s="4">
        <v>1570552973932</v>
      </c>
      <c r="I5285">
        <v>527.4375</v>
      </c>
      <c r="J5285" s="9">
        <f t="shared" si="82"/>
        <v>43746.988124212956</v>
      </c>
      <c r="K5285" s="1"/>
    </row>
    <row r="5286" spans="1:11" x14ac:dyDescent="0.25">
      <c r="A5286" t="e">
        <f>-LqgF9ZN-p7_bQ032kJA</f>
        <v>#NAME?</v>
      </c>
      <c r="B5286">
        <v>396.875</v>
      </c>
      <c r="C5286">
        <v>20.478950000000001</v>
      </c>
      <c r="D5286">
        <v>67</v>
      </c>
      <c r="E5286">
        <v>0</v>
      </c>
      <c r="F5286">
        <v>0</v>
      </c>
      <c r="G5286">
        <v>0</v>
      </c>
      <c r="H5286" s="4">
        <v>1570552980369</v>
      </c>
      <c r="I5286">
        <v>527.4375</v>
      </c>
      <c r="J5286" s="9">
        <f t="shared" si="82"/>
        <v>43746.988198715277</v>
      </c>
      <c r="K5286" s="1"/>
    </row>
    <row r="5287" spans="1:11" x14ac:dyDescent="0.25">
      <c r="A5287" t="e">
        <f>-LqgFBDJzLwzK0IxpBYL</f>
        <v>#NAME?</v>
      </c>
      <c r="B5287">
        <v>396.875</v>
      </c>
      <c r="C5287">
        <v>20.531590000000001</v>
      </c>
      <c r="D5287">
        <v>66</v>
      </c>
      <c r="E5287">
        <v>0</v>
      </c>
      <c r="F5287">
        <v>0</v>
      </c>
      <c r="G5287">
        <v>0</v>
      </c>
      <c r="H5287" s="4">
        <v>1570552987342</v>
      </c>
      <c r="I5287">
        <v>527.4375</v>
      </c>
      <c r="J5287" s="9">
        <f t="shared" si="82"/>
        <v>43746.988279421297</v>
      </c>
      <c r="K5287" s="1"/>
    </row>
    <row r="5288" spans="1:11" x14ac:dyDescent="0.25">
      <c r="A5288" t="e">
        <f>-LqgFCleBoq7Z5RsJNOT</f>
        <v>#NAME?</v>
      </c>
      <c r="B5288">
        <v>396.875</v>
      </c>
      <c r="C5288">
        <v>20.478950000000001</v>
      </c>
      <c r="D5288">
        <v>64</v>
      </c>
      <c r="E5288">
        <v>0</v>
      </c>
      <c r="F5288">
        <v>0</v>
      </c>
      <c r="G5288">
        <v>0</v>
      </c>
      <c r="H5288" s="4">
        <v>1570552993514</v>
      </c>
      <c r="I5288">
        <v>527.4375</v>
      </c>
      <c r="J5288" s="9">
        <f t="shared" si="82"/>
        <v>43746.988350856474</v>
      </c>
      <c r="K5288" s="1"/>
    </row>
    <row r="5289" spans="1:11" x14ac:dyDescent="0.25">
      <c r="A5289" t="e">
        <f>-LqgFERhzJVWmIXhfE1A</f>
        <v>#NAME?</v>
      </c>
      <c r="B5289">
        <v>396.875</v>
      </c>
      <c r="C5289">
        <v>20.478950000000001</v>
      </c>
      <c r="D5289">
        <v>64</v>
      </c>
      <c r="E5289">
        <v>0</v>
      </c>
      <c r="F5289">
        <v>0</v>
      </c>
      <c r="G5289">
        <v>8</v>
      </c>
      <c r="H5289" s="4">
        <v>1570553000722</v>
      </c>
      <c r="I5289">
        <v>527.625</v>
      </c>
      <c r="J5289" s="9">
        <f t="shared" si="82"/>
        <v>43746.988434282401</v>
      </c>
      <c r="K5289" s="1"/>
    </row>
    <row r="5290" spans="1:11" x14ac:dyDescent="0.25">
      <c r="A5290" t="e">
        <f>-LqgFG0xVzPgTBFu-kYW</f>
        <v>#NAME?</v>
      </c>
      <c r="B5290">
        <v>412.5</v>
      </c>
      <c r="C5290">
        <v>20.531590000000001</v>
      </c>
      <c r="D5290">
        <v>64</v>
      </c>
      <c r="E5290">
        <v>0</v>
      </c>
      <c r="F5290">
        <v>0</v>
      </c>
      <c r="G5290">
        <v>0</v>
      </c>
      <c r="H5290" s="4">
        <v>1570553006913</v>
      </c>
      <c r="I5290">
        <v>532.875</v>
      </c>
      <c r="J5290" s="9">
        <f t="shared" si="82"/>
        <v>43746.988505937501</v>
      </c>
      <c r="K5290" s="1"/>
    </row>
    <row r="5291" spans="1:11" x14ac:dyDescent="0.25">
      <c r="A5291" t="e">
        <f>-LqgFHVwTYAKprHtv1Mh</f>
        <v>#NAME?</v>
      </c>
      <c r="B5291">
        <v>396.875</v>
      </c>
      <c r="C5291">
        <v>20.531590000000001</v>
      </c>
      <c r="D5291">
        <v>64</v>
      </c>
      <c r="E5291">
        <v>0</v>
      </c>
      <c r="F5291">
        <v>0</v>
      </c>
      <c r="G5291">
        <v>5</v>
      </c>
      <c r="H5291" s="4">
        <v>1570553013083</v>
      </c>
      <c r="I5291">
        <v>527.4375</v>
      </c>
      <c r="J5291" s="9">
        <f t="shared" si="82"/>
        <v>43746.988577349533</v>
      </c>
      <c r="K5291" s="1"/>
    </row>
    <row r="5292" spans="1:11" x14ac:dyDescent="0.25">
      <c r="A5292" t="e">
        <f>-LqgFIyXDC4AWrtwDhFb</f>
        <v>#NAME?</v>
      </c>
      <c r="B5292">
        <v>393.75</v>
      </c>
      <c r="C5292">
        <v>20.531590000000001</v>
      </c>
      <c r="D5292">
        <v>65</v>
      </c>
      <c r="E5292">
        <v>0</v>
      </c>
      <c r="F5292">
        <v>0</v>
      </c>
      <c r="G5292">
        <v>3</v>
      </c>
      <c r="H5292" s="4">
        <v>1570553019283</v>
      </c>
      <c r="I5292">
        <v>526.6875</v>
      </c>
      <c r="J5292" s="9">
        <f t="shared" si="82"/>
        <v>43746.988649108789</v>
      </c>
      <c r="K5292" s="1"/>
    </row>
    <row r="5293" spans="1:11" x14ac:dyDescent="0.25">
      <c r="A5293" t="e">
        <f>-LqgFKmx7MIVTXwM4PHP</f>
        <v>#NAME?</v>
      </c>
      <c r="B5293">
        <v>396.875</v>
      </c>
      <c r="C5293">
        <v>20.478950000000001</v>
      </c>
      <c r="D5293">
        <v>65</v>
      </c>
      <c r="E5293">
        <v>0</v>
      </c>
      <c r="F5293">
        <v>0</v>
      </c>
      <c r="G5293">
        <v>0</v>
      </c>
      <c r="H5293" s="4">
        <v>1570553026459</v>
      </c>
      <c r="I5293">
        <v>527.4375</v>
      </c>
      <c r="J5293" s="9">
        <f t="shared" si="82"/>
        <v>43746.988732164355</v>
      </c>
      <c r="K5293" s="1"/>
    </row>
    <row r="5294" spans="1:11" x14ac:dyDescent="0.25">
      <c r="A5294" t="e">
        <f>-LqgFMGxq0WHUvhIi1wE</f>
        <v>#NAME?</v>
      </c>
      <c r="B5294">
        <v>396.875</v>
      </c>
      <c r="C5294">
        <v>20.478950000000001</v>
      </c>
      <c r="D5294">
        <v>65</v>
      </c>
      <c r="E5294">
        <v>0</v>
      </c>
      <c r="F5294">
        <v>0</v>
      </c>
      <c r="G5294">
        <v>1</v>
      </c>
      <c r="H5294" s="4">
        <v>1570553032673</v>
      </c>
      <c r="I5294">
        <v>527.4375</v>
      </c>
      <c r="J5294" s="9">
        <f t="shared" si="82"/>
        <v>43746.988804085646</v>
      </c>
      <c r="K5294" s="1"/>
    </row>
    <row r="5295" spans="1:11" x14ac:dyDescent="0.25">
      <c r="A5295" t="e">
        <f>-LqgFO42J9BIL75yf_bF</f>
        <v>#NAME?</v>
      </c>
      <c r="B5295">
        <v>393.75</v>
      </c>
      <c r="C5295">
        <v>20.531590000000001</v>
      </c>
      <c r="D5295">
        <v>65</v>
      </c>
      <c r="E5295">
        <v>0</v>
      </c>
      <c r="F5295">
        <v>0</v>
      </c>
      <c r="G5295">
        <v>10</v>
      </c>
      <c r="H5295" s="4">
        <v>1570553038873</v>
      </c>
      <c r="I5295">
        <v>526.6875</v>
      </c>
      <c r="J5295" s="9">
        <f t="shared" si="82"/>
        <v>43746.988875844901</v>
      </c>
      <c r="K5295" s="1"/>
    </row>
    <row r="5296" spans="1:11" x14ac:dyDescent="0.25">
      <c r="A5296" t="e">
        <f>-LqgFPmvBqHDd5Us14Zj</f>
        <v>#NAME?</v>
      </c>
      <c r="B5296">
        <v>396.875</v>
      </c>
      <c r="C5296">
        <v>20.478950000000001</v>
      </c>
      <c r="D5296">
        <v>65</v>
      </c>
      <c r="E5296">
        <v>0</v>
      </c>
      <c r="F5296">
        <v>0</v>
      </c>
      <c r="G5296">
        <v>3</v>
      </c>
      <c r="H5296" s="4">
        <v>1570553047102</v>
      </c>
      <c r="I5296">
        <v>527.4375</v>
      </c>
      <c r="J5296" s="9">
        <f t="shared" si="82"/>
        <v>43746.988971087958</v>
      </c>
      <c r="K5296" s="1"/>
    </row>
    <row r="5297" spans="1:11" x14ac:dyDescent="0.25">
      <c r="A5297" t="e">
        <f>-LqgFRGzTS5NgJMOWE9n</f>
        <v>#NAME?</v>
      </c>
      <c r="B5297">
        <v>396.875</v>
      </c>
      <c r="C5297">
        <v>20.531590000000001</v>
      </c>
      <c r="D5297">
        <v>66</v>
      </c>
      <c r="E5297">
        <v>0</v>
      </c>
      <c r="F5297">
        <v>0</v>
      </c>
      <c r="G5297">
        <v>5</v>
      </c>
      <c r="H5297" s="4">
        <v>1570553053284</v>
      </c>
      <c r="I5297">
        <v>527.4375</v>
      </c>
      <c r="J5297" s="9">
        <f t="shared" si="82"/>
        <v>43746.989042638881</v>
      </c>
      <c r="K5297" s="1"/>
    </row>
    <row r="5298" spans="1:11" x14ac:dyDescent="0.25">
      <c r="A5298" t="e">
        <f>-LqgFSpvdeoRle9TfpYZ</f>
        <v>#NAME?</v>
      </c>
      <c r="B5298">
        <v>396.875</v>
      </c>
      <c r="C5298">
        <v>20.531590000000001</v>
      </c>
      <c r="D5298">
        <v>66</v>
      </c>
      <c r="E5298">
        <v>0</v>
      </c>
      <c r="F5298">
        <v>0</v>
      </c>
      <c r="G5298">
        <v>0</v>
      </c>
      <c r="H5298" s="4">
        <v>1570553059463</v>
      </c>
      <c r="I5298">
        <v>527.4375</v>
      </c>
      <c r="J5298" s="9">
        <f t="shared" si="82"/>
        <v>43746.989114155091</v>
      </c>
      <c r="K5298" s="1"/>
    </row>
    <row r="5299" spans="1:11" x14ac:dyDescent="0.25">
      <c r="A5299" t="e">
        <f>-LqgFUd4L4W4znBOTZAK</f>
        <v>#NAME?</v>
      </c>
      <c r="B5299">
        <v>396.875</v>
      </c>
      <c r="C5299">
        <v>20.478950000000001</v>
      </c>
      <c r="D5299">
        <v>66</v>
      </c>
      <c r="E5299">
        <v>0</v>
      </c>
      <c r="F5299">
        <v>0</v>
      </c>
      <c r="G5299">
        <v>7</v>
      </c>
      <c r="H5299" s="4">
        <v>1570553067029</v>
      </c>
      <c r="I5299">
        <v>527.4375</v>
      </c>
      <c r="J5299" s="9">
        <f t="shared" si="82"/>
        <v>43746.989201724537</v>
      </c>
      <c r="K5299" s="1"/>
    </row>
    <row r="5300" spans="1:11" x14ac:dyDescent="0.25">
      <c r="A5300" t="e">
        <f>-LqgFWN0b_7jjKHdYMa1</f>
        <v>#NAME?</v>
      </c>
      <c r="B5300">
        <v>393.75</v>
      </c>
      <c r="C5300">
        <v>20.531590000000001</v>
      </c>
      <c r="D5300">
        <v>70</v>
      </c>
      <c r="E5300">
        <v>0</v>
      </c>
      <c r="F5300">
        <v>0</v>
      </c>
      <c r="G5300">
        <v>6</v>
      </c>
      <c r="H5300" s="4">
        <v>1570553073851</v>
      </c>
      <c r="I5300">
        <v>526.6875</v>
      </c>
      <c r="J5300" s="9">
        <f t="shared" si="82"/>
        <v>43746.989280682865</v>
      </c>
      <c r="K5300" s="1"/>
    </row>
    <row r="5301" spans="1:11" x14ac:dyDescent="0.25">
      <c r="A5301" t="e">
        <f>-LqgFXogEMgpErN19R_l</f>
        <v>#NAME?</v>
      </c>
      <c r="B5301">
        <v>393.75</v>
      </c>
      <c r="C5301">
        <v>20.478950000000001</v>
      </c>
      <c r="D5301">
        <v>71</v>
      </c>
      <c r="E5301">
        <v>0</v>
      </c>
      <c r="F5301">
        <v>0</v>
      </c>
      <c r="G5301">
        <v>4</v>
      </c>
      <c r="H5301" s="4">
        <v>1570553080081</v>
      </c>
      <c r="I5301">
        <v>526.6875</v>
      </c>
      <c r="J5301" s="9">
        <f t="shared" si="82"/>
        <v>43746.989352789351</v>
      </c>
      <c r="K5301" s="1"/>
    </row>
    <row r="5302" spans="1:11" x14ac:dyDescent="0.25">
      <c r="A5302" t="e">
        <f>-LqgFZL0we_4ZG2sICvO</f>
        <v>#NAME?</v>
      </c>
      <c r="B5302">
        <v>393.75</v>
      </c>
      <c r="C5302">
        <v>20.478950000000001</v>
      </c>
      <c r="D5302">
        <v>71</v>
      </c>
      <c r="E5302">
        <v>0</v>
      </c>
      <c r="F5302">
        <v>0</v>
      </c>
      <c r="G5302">
        <v>3</v>
      </c>
      <c r="H5302" s="4">
        <v>1570553086251</v>
      </c>
      <c r="I5302">
        <v>526.6875</v>
      </c>
      <c r="J5302" s="9">
        <f t="shared" si="82"/>
        <v>43746.989424201391</v>
      </c>
      <c r="K5302" s="1"/>
    </row>
    <row r="5303" spans="1:11" x14ac:dyDescent="0.25">
      <c r="A5303" t="e">
        <f>-LqgF_uBS8zZEtcEr2Jz</f>
        <v>#NAME?</v>
      </c>
      <c r="B5303">
        <v>393.75</v>
      </c>
      <c r="C5303">
        <v>20.531590000000001</v>
      </c>
      <c r="D5303">
        <v>71</v>
      </c>
      <c r="E5303">
        <v>0</v>
      </c>
      <c r="F5303">
        <v>0</v>
      </c>
      <c r="G5303">
        <v>0</v>
      </c>
      <c r="H5303" s="4">
        <v>1570553092431</v>
      </c>
      <c r="I5303">
        <v>526.6875</v>
      </c>
      <c r="J5303" s="9">
        <f t="shared" si="82"/>
        <v>43746.989495729162</v>
      </c>
      <c r="K5303" s="1"/>
    </row>
    <row r="5304" spans="1:11" x14ac:dyDescent="0.25">
      <c r="A5304" t="e">
        <f>-LqgFbay9f-ByjyGikNq</f>
        <v>#NAME?</v>
      </c>
      <c r="B5304">
        <v>393.75</v>
      </c>
      <c r="C5304">
        <v>20.478950000000001</v>
      </c>
      <c r="D5304">
        <v>69</v>
      </c>
      <c r="E5304">
        <v>0</v>
      </c>
      <c r="F5304">
        <v>0</v>
      </c>
      <c r="G5304">
        <v>6</v>
      </c>
      <c r="H5304" s="4">
        <v>1570553099661</v>
      </c>
      <c r="I5304">
        <v>526.6875</v>
      </c>
      <c r="J5304" s="9">
        <f t="shared" si="82"/>
        <v>43746.989579409717</v>
      </c>
      <c r="K5304" s="1"/>
    </row>
    <row r="5305" spans="1:11" x14ac:dyDescent="0.25">
      <c r="A5305" t="e">
        <f>-LqgFdA2lZ6PIFtOiG7o</f>
        <v>#NAME?</v>
      </c>
      <c r="B5305">
        <v>393.75</v>
      </c>
      <c r="C5305">
        <v>20.531590000000001</v>
      </c>
      <c r="D5305">
        <v>70</v>
      </c>
      <c r="E5305">
        <v>0</v>
      </c>
      <c r="F5305">
        <v>0</v>
      </c>
      <c r="G5305">
        <v>5</v>
      </c>
      <c r="H5305" s="4">
        <v>1570553105831</v>
      </c>
      <c r="I5305">
        <v>526.6875</v>
      </c>
      <c r="J5305" s="9">
        <f t="shared" si="82"/>
        <v>43746.989650821757</v>
      </c>
      <c r="K5305" s="1"/>
    </row>
    <row r="5306" spans="1:11" x14ac:dyDescent="0.25">
      <c r="A5306" t="s">
        <v>290</v>
      </c>
      <c r="B5306">
        <v>412.5</v>
      </c>
      <c r="C5306">
        <v>20.531590000000001</v>
      </c>
      <c r="D5306">
        <v>69</v>
      </c>
      <c r="E5306">
        <v>0</v>
      </c>
      <c r="F5306">
        <v>0</v>
      </c>
      <c r="G5306">
        <v>0</v>
      </c>
      <c r="H5306" s="4">
        <v>1570553113043</v>
      </c>
      <c r="I5306">
        <v>532.125</v>
      </c>
      <c r="J5306" s="9">
        <f t="shared" si="82"/>
        <v>43746.98973429398</v>
      </c>
      <c r="K5306" s="1"/>
    </row>
    <row r="5307" spans="1:11" x14ac:dyDescent="0.25">
      <c r="A5307" t="e">
        <f>-LqgFgRv8LuTi79ebg4F</f>
        <v>#NAME?</v>
      </c>
      <c r="B5307">
        <v>393.75</v>
      </c>
      <c r="C5307">
        <v>20.478950000000001</v>
      </c>
      <c r="D5307">
        <v>69</v>
      </c>
      <c r="E5307">
        <v>0</v>
      </c>
      <c r="F5307">
        <v>0</v>
      </c>
      <c r="G5307">
        <v>4</v>
      </c>
      <c r="H5307" s="4">
        <v>1570553119221</v>
      </c>
      <c r="I5307">
        <v>526.6875</v>
      </c>
      <c r="J5307" s="9">
        <f t="shared" si="82"/>
        <v>43746.989805798607</v>
      </c>
      <c r="K5307" s="1"/>
    </row>
    <row r="5308" spans="1:11" x14ac:dyDescent="0.25">
      <c r="A5308" t="e">
        <f>-LqgFhvmggiJxTgOyKY2</f>
        <v>#NAME?</v>
      </c>
      <c r="B5308">
        <v>393.75</v>
      </c>
      <c r="C5308">
        <v>20.478950000000001</v>
      </c>
      <c r="D5308">
        <v>69</v>
      </c>
      <c r="E5308">
        <v>0</v>
      </c>
      <c r="F5308">
        <v>0</v>
      </c>
      <c r="G5308">
        <v>6</v>
      </c>
      <c r="H5308" s="4">
        <v>1570553125403</v>
      </c>
      <c r="I5308">
        <v>526.6875</v>
      </c>
      <c r="J5308" s="9">
        <f t="shared" si="82"/>
        <v>43746.98987734953</v>
      </c>
      <c r="K5308" s="1"/>
    </row>
    <row r="5309" spans="1:11" x14ac:dyDescent="0.25">
      <c r="A5309" t="e">
        <f>-LqgFjOh-m238ax5BjkP</f>
        <v>#NAME?</v>
      </c>
      <c r="B5309">
        <v>393.75</v>
      </c>
      <c r="C5309">
        <v>20.478950000000001</v>
      </c>
      <c r="D5309">
        <v>68</v>
      </c>
      <c r="E5309">
        <v>0</v>
      </c>
      <c r="F5309">
        <v>0</v>
      </c>
      <c r="G5309">
        <v>7</v>
      </c>
      <c r="H5309" s="4">
        <v>1570553131603</v>
      </c>
      <c r="I5309">
        <v>526.6875</v>
      </c>
      <c r="J5309" s="9">
        <f t="shared" si="82"/>
        <v>43746.989949108793</v>
      </c>
      <c r="K5309" s="1"/>
    </row>
    <row r="5310" spans="1:11" x14ac:dyDescent="0.25">
      <c r="A5310" t="s">
        <v>291</v>
      </c>
      <c r="B5310">
        <v>396.875</v>
      </c>
      <c r="C5310">
        <v>20.478950000000001</v>
      </c>
      <c r="D5310">
        <v>70</v>
      </c>
      <c r="E5310">
        <v>0</v>
      </c>
      <c r="F5310">
        <v>0</v>
      </c>
      <c r="G5310">
        <v>12</v>
      </c>
      <c r="H5310" s="4">
        <v>1570553137791</v>
      </c>
      <c r="I5310">
        <v>527.4375</v>
      </c>
      <c r="J5310" s="9">
        <f t="shared" si="82"/>
        <v>43746.990020729165</v>
      </c>
      <c r="K5310" s="1"/>
    </row>
    <row r="5311" spans="1:11" x14ac:dyDescent="0.25">
      <c r="A5311" t="e">
        <f>-LqgFmh2GYqWqUnx02xV</f>
        <v>#NAME?</v>
      </c>
      <c r="B5311">
        <v>396.875</v>
      </c>
      <c r="C5311">
        <v>20.478950000000001</v>
      </c>
      <c r="D5311">
        <v>71</v>
      </c>
      <c r="E5311">
        <v>0</v>
      </c>
      <c r="F5311">
        <v>0</v>
      </c>
      <c r="G5311">
        <v>7</v>
      </c>
      <c r="H5311" s="4">
        <v>1570553144981</v>
      </c>
      <c r="I5311">
        <v>527.625</v>
      </c>
      <c r="J5311" s="9">
        <f t="shared" si="82"/>
        <v>43746.990103946759</v>
      </c>
      <c r="K5311" s="1"/>
    </row>
    <row r="5312" spans="1:11" x14ac:dyDescent="0.25">
      <c r="A5312" t="e">
        <f>-LqgFoUw2NX0_L_c3Nrw</f>
        <v>#NAME?</v>
      </c>
      <c r="B5312">
        <v>393.75</v>
      </c>
      <c r="C5312">
        <v>20.478950000000001</v>
      </c>
      <c r="D5312">
        <v>70</v>
      </c>
      <c r="E5312">
        <v>0</v>
      </c>
      <c r="F5312">
        <v>0</v>
      </c>
      <c r="G5312">
        <v>0</v>
      </c>
      <c r="H5312" s="4">
        <v>1570553152193</v>
      </c>
      <c r="I5312">
        <v>526.5</v>
      </c>
      <c r="J5312" s="9">
        <f t="shared" si="82"/>
        <v>43746.990187418975</v>
      </c>
      <c r="K5312" s="1"/>
    </row>
    <row r="5313" spans="1:11" x14ac:dyDescent="0.25">
      <c r="A5313" t="e">
        <f>-LqgFpzFZMQK0DPVhX65</f>
        <v>#NAME?</v>
      </c>
      <c r="B5313">
        <v>396.875</v>
      </c>
      <c r="C5313">
        <v>20.478950000000001</v>
      </c>
      <c r="D5313">
        <v>70</v>
      </c>
      <c r="E5313">
        <v>0</v>
      </c>
      <c r="F5313">
        <v>0</v>
      </c>
      <c r="G5313">
        <v>8</v>
      </c>
      <c r="H5313" s="4">
        <v>1570553158364</v>
      </c>
      <c r="I5313">
        <v>527.4375</v>
      </c>
      <c r="J5313" s="9">
        <f t="shared" si="82"/>
        <v>43746.99025884259</v>
      </c>
      <c r="K5313" s="1"/>
    </row>
    <row r="5314" spans="1:11" x14ac:dyDescent="0.25">
      <c r="A5314" t="e">
        <f>-LqgFrvpF1cKh_LZtZGI</f>
        <v>#NAME?</v>
      </c>
      <c r="B5314">
        <v>393.75</v>
      </c>
      <c r="C5314">
        <v>20.478950000000001</v>
      </c>
      <c r="D5314">
        <v>69</v>
      </c>
      <c r="E5314">
        <v>0</v>
      </c>
      <c r="F5314">
        <v>0</v>
      </c>
      <c r="G5314">
        <v>4</v>
      </c>
      <c r="H5314" s="4">
        <v>1570553164563</v>
      </c>
      <c r="I5314">
        <v>526.6875</v>
      </c>
      <c r="J5314" s="9">
        <f t="shared" si="82"/>
        <v>43746.990330590277</v>
      </c>
      <c r="K5314" s="1"/>
    </row>
    <row r="5315" spans="1:11" x14ac:dyDescent="0.25">
      <c r="A5315" t="e">
        <f>-LqgFtSHcTtN5qXBQjVS</f>
        <v>#NAME?</v>
      </c>
      <c r="B5315">
        <v>412.5</v>
      </c>
      <c r="C5315">
        <v>20.478950000000001</v>
      </c>
      <c r="D5315">
        <v>68</v>
      </c>
      <c r="E5315">
        <v>0</v>
      </c>
      <c r="F5315">
        <v>0</v>
      </c>
      <c r="G5315">
        <v>0</v>
      </c>
      <c r="H5315" s="4">
        <v>1570553172801</v>
      </c>
      <c r="I5315">
        <v>532.3125</v>
      </c>
      <c r="J5315" s="9">
        <f t="shared" ref="J5315:J5378" si="83">(H5315/86400000)+25569+(7/24)</f>
        <v>43746.990425937496</v>
      </c>
      <c r="K5315" s="1"/>
    </row>
    <row r="5316" spans="1:11" x14ac:dyDescent="0.25">
      <c r="A5316" t="s">
        <v>292</v>
      </c>
      <c r="B5316">
        <v>396.875</v>
      </c>
      <c r="C5316">
        <v>20.531590000000001</v>
      </c>
      <c r="D5316">
        <v>71</v>
      </c>
      <c r="E5316">
        <v>0</v>
      </c>
      <c r="F5316">
        <v>0</v>
      </c>
      <c r="G5316">
        <v>5</v>
      </c>
      <c r="H5316" s="4">
        <v>1570553178964</v>
      </c>
      <c r="I5316">
        <v>527.4375</v>
      </c>
      <c r="J5316" s="9">
        <f t="shared" si="83"/>
        <v>43746.990497268511</v>
      </c>
      <c r="K5316" s="1"/>
    </row>
    <row r="5317" spans="1:11" x14ac:dyDescent="0.25">
      <c r="A5317" t="e">
        <f>-LqgFwXvztP-_fo2rKRl</f>
        <v>#NAME?</v>
      </c>
      <c r="B5317">
        <v>393.75</v>
      </c>
      <c r="C5317">
        <v>20.531590000000001</v>
      </c>
      <c r="D5317">
        <v>71</v>
      </c>
      <c r="E5317">
        <v>0</v>
      </c>
      <c r="F5317">
        <v>0</v>
      </c>
      <c r="G5317">
        <v>8</v>
      </c>
      <c r="H5317" s="4">
        <v>1570553185171</v>
      </c>
      <c r="I5317">
        <v>526.6875</v>
      </c>
      <c r="J5317" s="9">
        <f t="shared" si="83"/>
        <v>43746.990569108799</v>
      </c>
      <c r="K5317" s="1"/>
    </row>
    <row r="5318" spans="1:11" x14ac:dyDescent="0.25">
      <c r="A5318" t="e">
        <f>-LqgFy0xpwLtCaF34d00</f>
        <v>#NAME?</v>
      </c>
      <c r="B5318">
        <v>393.75</v>
      </c>
      <c r="C5318">
        <v>20.531590000000001</v>
      </c>
      <c r="D5318">
        <v>71</v>
      </c>
      <c r="E5318">
        <v>0</v>
      </c>
      <c r="F5318">
        <v>0</v>
      </c>
      <c r="G5318">
        <v>3</v>
      </c>
      <c r="H5318" s="4">
        <v>1570553191353</v>
      </c>
      <c r="I5318">
        <v>526.6875</v>
      </c>
      <c r="J5318" s="9">
        <f t="shared" si="83"/>
        <v>43746.990640659722</v>
      </c>
      <c r="K5318" s="1"/>
    </row>
    <row r="5319" spans="1:11" x14ac:dyDescent="0.25">
      <c r="A5319" t="e">
        <f>-LqgFzUhK39M_Bvgp4mb</f>
        <v>#NAME?</v>
      </c>
      <c r="B5319">
        <v>412.5</v>
      </c>
      <c r="C5319">
        <v>20.478950000000001</v>
      </c>
      <c r="D5319">
        <v>71</v>
      </c>
      <c r="E5319">
        <v>0</v>
      </c>
      <c r="F5319">
        <v>0</v>
      </c>
      <c r="G5319">
        <v>0</v>
      </c>
      <c r="H5319" s="4">
        <v>1570553197523</v>
      </c>
      <c r="I5319">
        <v>532.5</v>
      </c>
      <c r="J5319" s="9">
        <f t="shared" si="83"/>
        <v>43746.990712071762</v>
      </c>
      <c r="K5319" s="1"/>
    </row>
    <row r="5320" spans="1:11" x14ac:dyDescent="0.25">
      <c r="A5320" t="e">
        <f>-LqgG050tiuJeaebgEXk</f>
        <v>#NAME?</v>
      </c>
      <c r="B5320">
        <v>393.75</v>
      </c>
      <c r="C5320">
        <v>20.478950000000001</v>
      </c>
      <c r="D5320">
        <v>70</v>
      </c>
      <c r="E5320">
        <v>0</v>
      </c>
      <c r="F5320">
        <v>0</v>
      </c>
      <c r="G5320">
        <v>8</v>
      </c>
      <c r="H5320" s="4">
        <v>1570553203712</v>
      </c>
      <c r="I5320">
        <v>526.6875</v>
      </c>
      <c r="J5320" s="9">
        <f t="shared" si="83"/>
        <v>43746.990783703703</v>
      </c>
      <c r="K5320" s="1"/>
    </row>
    <row r="5321" spans="1:11" x14ac:dyDescent="0.25">
      <c r="A5321" t="e">
        <f>-LqgG1ml3rhnpkmxLDTU</f>
        <v>#NAME?</v>
      </c>
      <c r="B5321">
        <v>393.75</v>
      </c>
      <c r="C5321">
        <v>20.531590000000001</v>
      </c>
      <c r="D5321">
        <v>69</v>
      </c>
      <c r="E5321">
        <v>0</v>
      </c>
      <c r="F5321">
        <v>0</v>
      </c>
      <c r="G5321">
        <v>7</v>
      </c>
      <c r="H5321" s="4">
        <v>1570553210933</v>
      </c>
      <c r="I5321">
        <v>526.6875</v>
      </c>
      <c r="J5321" s="9">
        <f t="shared" si="83"/>
        <v>43746.990867280088</v>
      </c>
      <c r="K5321" s="1"/>
    </row>
    <row r="5322" spans="1:11" x14ac:dyDescent="0.25">
      <c r="A5322" t="e">
        <f>-LqgG3Gvj1wDC1nXgX2u</f>
        <v>#NAME?</v>
      </c>
      <c r="B5322">
        <v>393.75</v>
      </c>
      <c r="C5322">
        <v>20.531590000000001</v>
      </c>
      <c r="D5322">
        <v>69</v>
      </c>
      <c r="E5322">
        <v>0</v>
      </c>
      <c r="F5322">
        <v>0</v>
      </c>
      <c r="G5322">
        <v>4</v>
      </c>
      <c r="H5322" s="4">
        <v>1570553217111</v>
      </c>
      <c r="I5322">
        <v>526.6875</v>
      </c>
      <c r="J5322" s="9">
        <f t="shared" si="83"/>
        <v>43746.990938784722</v>
      </c>
      <c r="K5322" s="1"/>
    </row>
    <row r="5323" spans="1:11" x14ac:dyDescent="0.25">
      <c r="A5323" t="e">
        <f>-LqgG4sIyQno4soWFwN6</f>
        <v>#NAME?</v>
      </c>
      <c r="B5323">
        <v>393.75</v>
      </c>
      <c r="C5323">
        <v>20.478950000000001</v>
      </c>
      <c r="D5323">
        <v>70</v>
      </c>
      <c r="E5323">
        <v>0</v>
      </c>
      <c r="F5323">
        <v>0</v>
      </c>
      <c r="G5323">
        <v>10</v>
      </c>
      <c r="H5323" s="4">
        <v>1570553223295</v>
      </c>
      <c r="I5323">
        <v>526.6875</v>
      </c>
      <c r="J5323" s="9">
        <f t="shared" si="83"/>
        <v>43746.991010358797</v>
      </c>
      <c r="K5323" s="1"/>
    </row>
    <row r="5324" spans="1:11" x14ac:dyDescent="0.25">
      <c r="A5324" t="e">
        <f>-LqgG6_2mhALrgEOxJZ5</f>
        <v>#NAME?</v>
      </c>
      <c r="B5324">
        <v>396.875</v>
      </c>
      <c r="C5324">
        <v>20.478950000000001</v>
      </c>
      <c r="D5324">
        <v>69</v>
      </c>
      <c r="E5324">
        <v>0</v>
      </c>
      <c r="F5324">
        <v>0</v>
      </c>
      <c r="G5324">
        <v>5</v>
      </c>
      <c r="H5324" s="4">
        <v>1570553230481</v>
      </c>
      <c r="I5324">
        <v>527.4375</v>
      </c>
      <c r="J5324" s="9">
        <f t="shared" si="83"/>
        <v>43746.991093530094</v>
      </c>
      <c r="K5324" s="1"/>
    </row>
    <row r="5325" spans="1:11" x14ac:dyDescent="0.25">
      <c r="A5325" t="e">
        <f>-LqgG86vadJSDofckul3</f>
        <v>#NAME?</v>
      </c>
      <c r="B5325">
        <v>396.875</v>
      </c>
      <c r="C5325">
        <v>20.478950000000001</v>
      </c>
      <c r="D5325">
        <v>68</v>
      </c>
      <c r="E5325">
        <v>0</v>
      </c>
      <c r="F5325">
        <v>0</v>
      </c>
      <c r="G5325">
        <v>8</v>
      </c>
      <c r="H5325" s="4">
        <v>1570553236691</v>
      </c>
      <c r="I5325">
        <v>527.4375</v>
      </c>
      <c r="J5325" s="9">
        <f t="shared" si="83"/>
        <v>43746.991165405088</v>
      </c>
      <c r="K5325" s="1"/>
    </row>
    <row r="5326" spans="1:11" x14ac:dyDescent="0.25">
      <c r="A5326" t="e">
        <f>-LqgG9awvhX7Xg0QBNhU</f>
        <v>#NAME?</v>
      </c>
      <c r="B5326">
        <v>415.625</v>
      </c>
      <c r="C5326">
        <v>20.531590000000001</v>
      </c>
      <c r="D5326">
        <v>68</v>
      </c>
      <c r="E5326">
        <v>0</v>
      </c>
      <c r="F5326">
        <v>0</v>
      </c>
      <c r="G5326">
        <v>6</v>
      </c>
      <c r="H5326" s="4">
        <v>1570553242841</v>
      </c>
      <c r="I5326">
        <v>533.0625</v>
      </c>
      <c r="J5326" s="9">
        <f t="shared" si="83"/>
        <v>43746.991236585651</v>
      </c>
      <c r="K5326" s="1"/>
    </row>
    <row r="5327" spans="1:11" x14ac:dyDescent="0.25">
      <c r="A5327" t="e">
        <f>-LqgGB3pbAXvLifLzXP7</f>
        <v>#NAME?</v>
      </c>
      <c r="B5327">
        <v>396.875</v>
      </c>
      <c r="C5327">
        <v>20.531590000000001</v>
      </c>
      <c r="D5327">
        <v>69</v>
      </c>
      <c r="E5327">
        <v>0</v>
      </c>
      <c r="F5327">
        <v>0</v>
      </c>
      <c r="G5327">
        <v>3</v>
      </c>
      <c r="H5327" s="4">
        <v>1570553249041</v>
      </c>
      <c r="I5327">
        <v>527.4375</v>
      </c>
      <c r="J5327" s="9">
        <f t="shared" si="83"/>
        <v>43746.991308344906</v>
      </c>
      <c r="K5327" s="1"/>
    </row>
    <row r="5328" spans="1:11" x14ac:dyDescent="0.25">
      <c r="A5328" t="e">
        <f>-LqgGM2CJn46Td6xCsGY</f>
        <v>#NAME?</v>
      </c>
      <c r="B5328">
        <v>396.875</v>
      </c>
      <c r="C5328">
        <v>20.531590000000001</v>
      </c>
      <c r="D5328">
        <v>63</v>
      </c>
      <c r="E5328">
        <v>0</v>
      </c>
      <c r="F5328">
        <v>0</v>
      </c>
      <c r="G5328">
        <v>0</v>
      </c>
      <c r="H5328" s="4">
        <v>1570553293869</v>
      </c>
      <c r="I5328">
        <v>527.4375</v>
      </c>
      <c r="J5328" s="9">
        <f t="shared" si="83"/>
        <v>43746.991827187499</v>
      </c>
      <c r="K5328" s="1"/>
    </row>
    <row r="5329" spans="1:11" x14ac:dyDescent="0.25">
      <c r="A5329" t="e">
        <f>-LqgGNX40zdxDGoFXKQX</f>
        <v>#NAME?</v>
      </c>
      <c r="B5329">
        <v>396.875</v>
      </c>
      <c r="C5329">
        <v>20.478950000000001</v>
      </c>
      <c r="D5329">
        <v>63</v>
      </c>
      <c r="E5329">
        <v>0</v>
      </c>
      <c r="F5329">
        <v>0</v>
      </c>
      <c r="G5329">
        <v>0</v>
      </c>
      <c r="H5329" s="4">
        <v>1570553299926</v>
      </c>
      <c r="I5329">
        <v>527.4375</v>
      </c>
      <c r="J5329" s="9">
        <f t="shared" si="83"/>
        <v>43746.991897291664</v>
      </c>
      <c r="K5329" s="1"/>
    </row>
    <row r="5330" spans="1:11" x14ac:dyDescent="0.25">
      <c r="A5330" t="e">
        <f>-LqgGP55fBB0udBXXMj7</f>
        <v>#NAME?</v>
      </c>
      <c r="B5330">
        <v>396.875</v>
      </c>
      <c r="C5330">
        <v>20.478950000000001</v>
      </c>
      <c r="D5330">
        <v>64</v>
      </c>
      <c r="E5330">
        <v>0</v>
      </c>
      <c r="F5330">
        <v>0</v>
      </c>
      <c r="G5330">
        <v>0</v>
      </c>
      <c r="H5330" s="4">
        <v>1570553306136</v>
      </c>
      <c r="I5330">
        <v>527.4375</v>
      </c>
      <c r="J5330" s="9">
        <f t="shared" si="83"/>
        <v>43746.991969166666</v>
      </c>
      <c r="K5330" s="1"/>
    </row>
    <row r="5331" spans="1:11" x14ac:dyDescent="0.25">
      <c r="A5331" t="e">
        <f>-LqgGQljyCdYPtYYjGHa</f>
        <v>#NAME?</v>
      </c>
      <c r="B5331">
        <v>396.875</v>
      </c>
      <c r="C5331">
        <v>20.478950000000001</v>
      </c>
      <c r="D5331">
        <v>65</v>
      </c>
      <c r="E5331">
        <v>0</v>
      </c>
      <c r="F5331">
        <v>0</v>
      </c>
      <c r="G5331">
        <v>10</v>
      </c>
      <c r="H5331" s="4">
        <v>1570553313365</v>
      </c>
      <c r="I5331">
        <v>527.4375</v>
      </c>
      <c r="J5331" s="9">
        <f t="shared" si="83"/>
        <v>43746.992052835645</v>
      </c>
      <c r="K5331" s="1"/>
    </row>
    <row r="5332" spans="1:11" x14ac:dyDescent="0.25">
      <c r="A5332" t="e">
        <f>-LqgGSXF2kLCmKoxpCkd</f>
        <v>#NAME?</v>
      </c>
      <c r="B5332">
        <v>396.875</v>
      </c>
      <c r="C5332">
        <v>20.531590000000001</v>
      </c>
      <c r="D5332">
        <v>66</v>
      </c>
      <c r="E5332">
        <v>0</v>
      </c>
      <c r="F5332">
        <v>0</v>
      </c>
      <c r="G5332">
        <v>7</v>
      </c>
      <c r="H5332" s="4">
        <v>1570553320565</v>
      </c>
      <c r="I5332">
        <v>527.4375</v>
      </c>
      <c r="J5332" s="9">
        <f t="shared" si="83"/>
        <v>43746.992136168978</v>
      </c>
      <c r="K5332" s="1"/>
    </row>
    <row r="5333" spans="1:11" x14ac:dyDescent="0.25">
      <c r="A5333" t="e">
        <f>-LqgGU6KhLvpRnGRLYJn</f>
        <v>#NAME?</v>
      </c>
      <c r="B5333">
        <v>396.875</v>
      </c>
      <c r="C5333">
        <v>20.531590000000001</v>
      </c>
      <c r="D5333">
        <v>68</v>
      </c>
      <c r="E5333">
        <v>0</v>
      </c>
      <c r="F5333">
        <v>0</v>
      </c>
      <c r="G5333">
        <v>10</v>
      </c>
      <c r="H5333" s="4">
        <v>1570553326746</v>
      </c>
      <c r="I5333">
        <v>527.4375</v>
      </c>
      <c r="J5333" s="9">
        <f t="shared" si="83"/>
        <v>43746.992207708332</v>
      </c>
      <c r="K5333" s="1"/>
    </row>
    <row r="5334" spans="1:11" x14ac:dyDescent="0.25">
      <c r="A5334" t="e">
        <f>-LqgGV_EA5dvQZou8aha</f>
        <v>#NAME?</v>
      </c>
      <c r="B5334">
        <v>425</v>
      </c>
      <c r="C5334">
        <v>20.531590000000001</v>
      </c>
      <c r="D5334">
        <v>68</v>
      </c>
      <c r="E5334">
        <v>0</v>
      </c>
      <c r="F5334">
        <v>0</v>
      </c>
      <c r="G5334">
        <v>20</v>
      </c>
      <c r="H5334" s="4">
        <v>1570553332896</v>
      </c>
      <c r="I5334">
        <v>536.0625</v>
      </c>
      <c r="J5334" s="9">
        <f t="shared" si="83"/>
        <v>43746.992278888887</v>
      </c>
      <c r="K5334" s="1"/>
    </row>
    <row r="5335" spans="1:11" x14ac:dyDescent="0.25">
      <c r="A5335" t="e">
        <f>-LqgGX7-I_e6hTEtE8Mv</f>
        <v>#NAME?</v>
      </c>
      <c r="B5335">
        <v>396.875</v>
      </c>
      <c r="C5335">
        <v>20.531590000000001</v>
      </c>
      <c r="D5335">
        <v>67</v>
      </c>
      <c r="E5335">
        <v>0</v>
      </c>
      <c r="F5335">
        <v>0</v>
      </c>
      <c r="G5335">
        <v>8</v>
      </c>
      <c r="H5335" s="4">
        <v>1570553339105</v>
      </c>
      <c r="I5335">
        <v>527.4375</v>
      </c>
      <c r="J5335" s="9">
        <f t="shared" si="83"/>
        <v>43746.992350752313</v>
      </c>
      <c r="K5335" s="1"/>
    </row>
    <row r="5336" spans="1:11" x14ac:dyDescent="0.25">
      <c r="A5336" t="e">
        <f>-LqgGYoR6HnF6EtCwW0Y</f>
        <v>#NAME?</v>
      </c>
      <c r="B5336">
        <v>396.875</v>
      </c>
      <c r="C5336">
        <v>20.531590000000001</v>
      </c>
      <c r="D5336">
        <v>69</v>
      </c>
      <c r="E5336">
        <v>0</v>
      </c>
      <c r="F5336">
        <v>0</v>
      </c>
      <c r="G5336">
        <v>11</v>
      </c>
      <c r="H5336" s="4">
        <v>1570553345296</v>
      </c>
      <c r="I5336">
        <v>527.4375</v>
      </c>
      <c r="J5336" s="9">
        <f t="shared" si="83"/>
        <v>43746.992422407406</v>
      </c>
      <c r="K5336" s="1"/>
    </row>
    <row r="5337" spans="1:11" x14ac:dyDescent="0.25">
      <c r="A5337" t="e">
        <f>-LqgG_Q5u4PBjw3vyTCD</f>
        <v>#NAME?</v>
      </c>
      <c r="B5337">
        <v>396.875</v>
      </c>
      <c r="C5337">
        <v>20.478950000000001</v>
      </c>
      <c r="D5337">
        <v>69</v>
      </c>
      <c r="E5337">
        <v>0</v>
      </c>
      <c r="F5337">
        <v>0</v>
      </c>
      <c r="G5337">
        <v>12</v>
      </c>
      <c r="H5337" s="4">
        <v>1570553352505</v>
      </c>
      <c r="I5337">
        <v>527.4375</v>
      </c>
      <c r="J5337" s="9">
        <f t="shared" si="83"/>
        <v>43746.992505844908</v>
      </c>
      <c r="K5337" s="1"/>
    </row>
    <row r="5338" spans="1:11" x14ac:dyDescent="0.25">
      <c r="A5338" t="e">
        <f>-LqgGb8E1VZw7a7OsZbP</f>
        <v>#NAME?</v>
      </c>
      <c r="B5338">
        <v>396.875</v>
      </c>
      <c r="C5338">
        <v>20.531590000000001</v>
      </c>
      <c r="D5338">
        <v>69</v>
      </c>
      <c r="E5338">
        <v>0</v>
      </c>
      <c r="F5338">
        <v>0</v>
      </c>
      <c r="G5338">
        <v>15</v>
      </c>
      <c r="H5338" s="4">
        <v>1570553359719</v>
      </c>
      <c r="I5338">
        <v>527.4375</v>
      </c>
      <c r="J5338" s="9">
        <f t="shared" si="83"/>
        <v>43746.992589340276</v>
      </c>
      <c r="K5338" s="1"/>
    </row>
    <row r="5339" spans="1:11" x14ac:dyDescent="0.25">
      <c r="A5339" t="e">
        <f>-LqgGcc5wTfJRRa5pNNf</f>
        <v>#NAME?</v>
      </c>
      <c r="B5339">
        <v>400</v>
      </c>
      <c r="C5339">
        <v>20.478950000000001</v>
      </c>
      <c r="D5339">
        <v>69</v>
      </c>
      <c r="E5339">
        <v>0</v>
      </c>
      <c r="F5339">
        <v>0</v>
      </c>
      <c r="G5339">
        <v>14</v>
      </c>
      <c r="H5339" s="4">
        <v>1570553365866</v>
      </c>
      <c r="I5339">
        <v>528.1875</v>
      </c>
      <c r="J5339" s="9">
        <f t="shared" si="83"/>
        <v>43746.99266048611</v>
      </c>
      <c r="K5339" s="1"/>
    </row>
    <row r="5340" spans="1:11" x14ac:dyDescent="0.25">
      <c r="A5340" t="e">
        <f>-LqgGe64WSVt4dF8NLIh</f>
        <v>#NAME?</v>
      </c>
      <c r="B5340">
        <v>400</v>
      </c>
      <c r="C5340">
        <v>20.531590000000001</v>
      </c>
      <c r="D5340">
        <v>69</v>
      </c>
      <c r="E5340">
        <v>0</v>
      </c>
      <c r="F5340">
        <v>0</v>
      </c>
      <c r="G5340">
        <v>7</v>
      </c>
      <c r="H5340" s="4">
        <v>1570553372075</v>
      </c>
      <c r="I5340">
        <v>528.1875</v>
      </c>
      <c r="J5340" s="9">
        <f t="shared" si="83"/>
        <v>43746.992732349536</v>
      </c>
      <c r="K5340" s="1"/>
    </row>
    <row r="5341" spans="1:11" x14ac:dyDescent="0.25">
      <c r="A5341" t="e">
        <f>-LqgGff4PK39MwZgzw__</f>
        <v>#NAME?</v>
      </c>
      <c r="B5341">
        <v>396.875</v>
      </c>
      <c r="C5341">
        <v>20.584240000000001</v>
      </c>
      <c r="D5341">
        <v>69</v>
      </c>
      <c r="E5341">
        <v>0</v>
      </c>
      <c r="F5341">
        <v>0</v>
      </c>
      <c r="G5341">
        <v>11</v>
      </c>
      <c r="H5341" s="4">
        <v>1570553378266</v>
      </c>
      <c r="I5341">
        <v>527.4375</v>
      </c>
      <c r="J5341" s="9">
        <f t="shared" si="83"/>
        <v>43746.992804004629</v>
      </c>
      <c r="K5341" s="1"/>
    </row>
    <row r="5342" spans="1:11" x14ac:dyDescent="0.25">
      <c r="A5342" t="e">
        <f>-LqgGh9596EWfqVI7hzv</f>
        <v>#NAME?</v>
      </c>
      <c r="B5342">
        <v>396.875</v>
      </c>
      <c r="C5342">
        <v>20.478950000000001</v>
      </c>
      <c r="D5342">
        <v>69</v>
      </c>
      <c r="E5342">
        <v>0</v>
      </c>
      <c r="F5342">
        <v>0</v>
      </c>
      <c r="G5342">
        <v>9</v>
      </c>
      <c r="H5342" s="4">
        <v>1570553384417</v>
      </c>
      <c r="I5342">
        <v>527.4375</v>
      </c>
      <c r="J5342" s="9">
        <f t="shared" si="83"/>
        <v>43746.99287519676</v>
      </c>
      <c r="K5342" s="1"/>
    </row>
    <row r="5343" spans="1:11" x14ac:dyDescent="0.25">
      <c r="A5343" t="e">
        <f>-LqgGiqSZtGWbhtfxY3B</f>
        <v>#NAME?</v>
      </c>
      <c r="B5343">
        <v>396.875</v>
      </c>
      <c r="C5343">
        <v>20.478950000000001</v>
      </c>
      <c r="D5343">
        <v>68</v>
      </c>
      <c r="E5343">
        <v>0</v>
      </c>
      <c r="F5343">
        <v>0</v>
      </c>
      <c r="G5343">
        <v>20</v>
      </c>
      <c r="H5343" s="4">
        <v>1570553390636</v>
      </c>
      <c r="I5343">
        <v>527.4375</v>
      </c>
      <c r="J5343" s="9">
        <f t="shared" si="83"/>
        <v>43746.992947175924</v>
      </c>
      <c r="K5343" s="1"/>
    </row>
    <row r="5344" spans="1:11" x14ac:dyDescent="0.25">
      <c r="A5344" t="e">
        <f>-LqgGkR58IkesQ2Cghdu</f>
        <v>#NAME?</v>
      </c>
      <c r="B5344">
        <v>396.875</v>
      </c>
      <c r="C5344">
        <v>20.478950000000001</v>
      </c>
      <c r="D5344">
        <v>71</v>
      </c>
      <c r="E5344">
        <v>0</v>
      </c>
      <c r="F5344">
        <v>0</v>
      </c>
      <c r="G5344">
        <v>7</v>
      </c>
      <c r="H5344" s="4">
        <v>1570553397846</v>
      </c>
      <c r="I5344">
        <v>527.4375</v>
      </c>
      <c r="J5344" s="9">
        <f t="shared" si="83"/>
        <v>43746.993030624995</v>
      </c>
      <c r="K5344" s="1"/>
    </row>
    <row r="5345" spans="1:11" x14ac:dyDescent="0.25">
      <c r="A5345" t="s">
        <v>293</v>
      </c>
      <c r="B5345">
        <v>396.875</v>
      </c>
      <c r="C5345">
        <v>20.531590000000001</v>
      </c>
      <c r="D5345">
        <v>69</v>
      </c>
      <c r="E5345">
        <v>0</v>
      </c>
      <c r="F5345">
        <v>0</v>
      </c>
      <c r="G5345">
        <v>9</v>
      </c>
      <c r="H5345" s="4">
        <v>1570553404027</v>
      </c>
      <c r="I5345">
        <v>527.4375</v>
      </c>
      <c r="J5345" s="9">
        <f t="shared" si="83"/>
        <v>43746.99310216435</v>
      </c>
      <c r="K5345" s="1"/>
    </row>
    <row r="5346" spans="1:11" x14ac:dyDescent="0.25">
      <c r="A5346" t="e">
        <f>-LqgGngz8QaA_nCIJxKb</f>
        <v>#NAME?</v>
      </c>
      <c r="B5346">
        <v>396.875</v>
      </c>
      <c r="C5346">
        <v>20.531590000000001</v>
      </c>
      <c r="D5346">
        <v>71</v>
      </c>
      <c r="E5346">
        <v>0</v>
      </c>
      <c r="F5346">
        <v>0</v>
      </c>
      <c r="G5346">
        <v>12</v>
      </c>
      <c r="H5346" s="4">
        <v>1570553411236</v>
      </c>
      <c r="I5346">
        <v>527.4375</v>
      </c>
      <c r="J5346" s="9">
        <f t="shared" si="83"/>
        <v>43746.993185601845</v>
      </c>
      <c r="K5346" s="1"/>
    </row>
    <row r="5347" spans="1:11" x14ac:dyDescent="0.25">
      <c r="A5347" t="e">
        <f>-LqgGpB0LlbnUsgaXlKB</f>
        <v>#NAME?</v>
      </c>
      <c r="B5347">
        <v>396.875</v>
      </c>
      <c r="C5347">
        <v>20.531590000000001</v>
      </c>
      <c r="D5347">
        <v>73</v>
      </c>
      <c r="E5347">
        <v>0</v>
      </c>
      <c r="F5347">
        <v>0</v>
      </c>
      <c r="G5347">
        <v>14</v>
      </c>
      <c r="H5347" s="4">
        <v>1570553417435</v>
      </c>
      <c r="I5347">
        <v>527.4375</v>
      </c>
      <c r="J5347" s="9">
        <f t="shared" si="83"/>
        <v>43746.993257349539</v>
      </c>
      <c r="K5347" s="1"/>
    </row>
    <row r="5348" spans="1:11" x14ac:dyDescent="0.25">
      <c r="A5348" t="e">
        <f>-LqgGql6GK98jn2ImKvW</f>
        <v>#NAME?</v>
      </c>
      <c r="B5348">
        <v>415.625</v>
      </c>
      <c r="C5348">
        <v>20.478950000000001</v>
      </c>
      <c r="D5348">
        <v>73</v>
      </c>
      <c r="E5348">
        <v>0</v>
      </c>
      <c r="F5348">
        <v>0</v>
      </c>
      <c r="G5348">
        <v>11</v>
      </c>
      <c r="H5348" s="4">
        <v>1570553423620</v>
      </c>
      <c r="I5348">
        <v>533.25</v>
      </c>
      <c r="J5348" s="9">
        <f t="shared" si="83"/>
        <v>43746.993328935183</v>
      </c>
      <c r="K5348" s="1"/>
    </row>
    <row r="5349" spans="1:11" x14ac:dyDescent="0.25">
      <c r="A5349" t="e">
        <f>-LqgGscXgMWdZXfyqZ-0</f>
        <v>#NAME?</v>
      </c>
      <c r="B5349">
        <v>396.875</v>
      </c>
      <c r="C5349">
        <v>20.531590000000001</v>
      </c>
      <c r="D5349">
        <v>73</v>
      </c>
      <c r="E5349">
        <v>0</v>
      </c>
      <c r="F5349">
        <v>0</v>
      </c>
      <c r="G5349">
        <v>7</v>
      </c>
      <c r="H5349" s="4">
        <v>1570553430805</v>
      </c>
      <c r="I5349">
        <v>527.4375</v>
      </c>
      <c r="J5349" s="9">
        <f t="shared" si="83"/>
        <v>43746.993412094904</v>
      </c>
      <c r="K5349" s="1"/>
    </row>
    <row r="5350" spans="1:11" x14ac:dyDescent="0.25">
      <c r="A5350" t="e">
        <f>-LqgGuH5-si618TmliVm</f>
        <v>#NAME?</v>
      </c>
      <c r="B5350">
        <v>396.875</v>
      </c>
      <c r="C5350">
        <v>20.478950000000001</v>
      </c>
      <c r="D5350">
        <v>72</v>
      </c>
      <c r="E5350">
        <v>0</v>
      </c>
      <c r="F5350">
        <v>0</v>
      </c>
      <c r="G5350">
        <v>6</v>
      </c>
      <c r="H5350" s="4">
        <v>1570553438026</v>
      </c>
      <c r="I5350">
        <v>527.4375</v>
      </c>
      <c r="J5350" s="9">
        <f t="shared" si="83"/>
        <v>43746.99349567129</v>
      </c>
      <c r="K5350" s="1"/>
    </row>
    <row r="5351" spans="1:11" x14ac:dyDescent="0.25">
      <c r="A5351" t="e">
        <f>-LqgGvk-SUY7sMc7QoTV</f>
        <v>#NAME?</v>
      </c>
      <c r="B5351">
        <v>396.875</v>
      </c>
      <c r="C5351">
        <v>20.478950000000001</v>
      </c>
      <c r="D5351">
        <v>72</v>
      </c>
      <c r="E5351">
        <v>0</v>
      </c>
      <c r="F5351">
        <v>0</v>
      </c>
      <c r="G5351">
        <v>16</v>
      </c>
      <c r="H5351" s="4">
        <v>1570553444196</v>
      </c>
      <c r="I5351">
        <v>527.4375</v>
      </c>
      <c r="J5351" s="9">
        <f t="shared" si="83"/>
        <v>43746.993567083329</v>
      </c>
      <c r="K5351" s="1"/>
    </row>
    <row r="5352" spans="1:11" x14ac:dyDescent="0.25">
      <c r="A5352" t="e">
        <f>-LqgGxF4VuYdomx04cRT</f>
        <v>#NAME?</v>
      </c>
      <c r="B5352">
        <v>396.875</v>
      </c>
      <c r="C5352">
        <v>20.478950000000001</v>
      </c>
      <c r="D5352">
        <v>68</v>
      </c>
      <c r="E5352">
        <v>0</v>
      </c>
      <c r="F5352">
        <v>0</v>
      </c>
      <c r="G5352">
        <v>14</v>
      </c>
      <c r="H5352" s="4">
        <v>1570553450395</v>
      </c>
      <c r="I5352">
        <v>527.4375</v>
      </c>
      <c r="J5352" s="9">
        <f t="shared" si="83"/>
        <v>43746.993638831016</v>
      </c>
      <c r="K5352" s="1"/>
    </row>
    <row r="5353" spans="1:11" x14ac:dyDescent="0.25">
      <c r="A5353" t="e">
        <f>-LqgGyo5jOb0H_ENeePD</f>
        <v>#NAME?</v>
      </c>
      <c r="B5353">
        <v>396.875</v>
      </c>
      <c r="C5353">
        <v>20.478950000000001</v>
      </c>
      <c r="D5353">
        <v>68</v>
      </c>
      <c r="E5353">
        <v>0</v>
      </c>
      <c r="F5353">
        <v>0</v>
      </c>
      <c r="G5353">
        <v>10</v>
      </c>
      <c r="H5353" s="4">
        <v>1570553456576</v>
      </c>
      <c r="I5353">
        <v>527.4375</v>
      </c>
      <c r="J5353" s="9">
        <f t="shared" si="83"/>
        <v>43746.993710370363</v>
      </c>
      <c r="K5353" s="1"/>
    </row>
    <row r="5354" spans="1:11" x14ac:dyDescent="0.25">
      <c r="A5354" t="e">
        <f>-LqgH-X514JeIKDBy4FS</f>
        <v>#NAME?</v>
      </c>
      <c r="B5354">
        <v>393.75</v>
      </c>
      <c r="C5354">
        <v>20.478950000000001</v>
      </c>
      <c r="D5354">
        <v>70</v>
      </c>
      <c r="E5354">
        <v>0</v>
      </c>
      <c r="F5354">
        <v>0</v>
      </c>
      <c r="G5354">
        <v>8</v>
      </c>
      <c r="H5354" s="4">
        <v>1570553463766</v>
      </c>
      <c r="I5354">
        <v>526.6875</v>
      </c>
      <c r="J5354" s="9">
        <f t="shared" si="83"/>
        <v>43746.993793587964</v>
      </c>
      <c r="K5354" s="1"/>
    </row>
    <row r="5355" spans="1:11" x14ac:dyDescent="0.25">
      <c r="A5355" t="e">
        <f>-LqgH1K6Yk3OtgVS36YW</f>
        <v>#NAME?</v>
      </c>
      <c r="B5355">
        <v>393.75</v>
      </c>
      <c r="C5355">
        <v>20.478950000000001</v>
      </c>
      <c r="D5355">
        <v>70</v>
      </c>
      <c r="E5355">
        <v>0</v>
      </c>
      <c r="F5355">
        <v>0</v>
      </c>
      <c r="G5355">
        <v>21</v>
      </c>
      <c r="H5355" s="4">
        <v>1570553469965</v>
      </c>
      <c r="I5355">
        <v>526.6875</v>
      </c>
      <c r="J5355" s="9">
        <f t="shared" si="83"/>
        <v>43746.993865335644</v>
      </c>
      <c r="K5355" s="1"/>
    </row>
    <row r="5356" spans="1:11" x14ac:dyDescent="0.25">
      <c r="A5356" t="e">
        <f>-LqgH2o4DtX8XPqFeNRG</f>
        <v>#NAME?</v>
      </c>
      <c r="B5356">
        <v>393.75</v>
      </c>
      <c r="C5356">
        <v>20.531590000000001</v>
      </c>
      <c r="D5356">
        <v>70</v>
      </c>
      <c r="E5356">
        <v>0</v>
      </c>
      <c r="F5356">
        <v>0</v>
      </c>
      <c r="G5356">
        <v>2</v>
      </c>
      <c r="H5356" s="4">
        <v>1570553477165</v>
      </c>
      <c r="I5356">
        <v>526.6875</v>
      </c>
      <c r="J5356" s="9">
        <f t="shared" si="83"/>
        <v>43746.993948668976</v>
      </c>
      <c r="K5356" s="1"/>
    </row>
    <row r="5357" spans="1:11" x14ac:dyDescent="0.25">
      <c r="A5357" t="e">
        <f>-LqgH4I4pFJ2tpRwfG5F</f>
        <v>#NAME?</v>
      </c>
      <c r="B5357">
        <v>393.75</v>
      </c>
      <c r="C5357">
        <v>20.478950000000001</v>
      </c>
      <c r="D5357">
        <v>70</v>
      </c>
      <c r="E5357">
        <v>0</v>
      </c>
      <c r="F5357">
        <v>0</v>
      </c>
      <c r="G5357">
        <v>8</v>
      </c>
      <c r="H5357" s="4">
        <v>1570553483366</v>
      </c>
      <c r="I5357">
        <v>526.6875</v>
      </c>
      <c r="J5357" s="9">
        <f t="shared" si="83"/>
        <v>43746.994020439808</v>
      </c>
      <c r="K5357" s="1"/>
    </row>
    <row r="5358" spans="1:11" x14ac:dyDescent="0.25">
      <c r="A5358" t="e">
        <f>-LqgH5qmjLCV8_qAf4HT</f>
        <v>#NAME?</v>
      </c>
      <c r="B5358">
        <v>393.75</v>
      </c>
      <c r="C5358">
        <v>20.478950000000001</v>
      </c>
      <c r="D5358">
        <v>70</v>
      </c>
      <c r="E5358">
        <v>0</v>
      </c>
      <c r="F5358">
        <v>0</v>
      </c>
      <c r="G5358">
        <v>4</v>
      </c>
      <c r="H5358" s="4">
        <v>1570553489546</v>
      </c>
      <c r="I5358">
        <v>526.6875</v>
      </c>
      <c r="J5358" s="9">
        <f t="shared" si="83"/>
        <v>43746.994091967594</v>
      </c>
      <c r="K5358" s="1"/>
    </row>
    <row r="5359" spans="1:11" x14ac:dyDescent="0.25">
      <c r="A5359" t="e">
        <f>-LqgH7_6yzlVlKdNxedP</f>
        <v>#NAME?</v>
      </c>
      <c r="B5359">
        <v>393.75</v>
      </c>
      <c r="C5359">
        <v>20.478950000000001</v>
      </c>
      <c r="D5359">
        <v>69</v>
      </c>
      <c r="E5359">
        <v>0</v>
      </c>
      <c r="F5359">
        <v>0</v>
      </c>
      <c r="G5359">
        <v>7</v>
      </c>
      <c r="H5359" s="4">
        <v>1570553496742</v>
      </c>
      <c r="I5359">
        <v>526.6875</v>
      </c>
      <c r="J5359" s="9">
        <f t="shared" si="83"/>
        <v>43746.994175254622</v>
      </c>
      <c r="K5359" s="1"/>
    </row>
    <row r="5360" spans="1:11" x14ac:dyDescent="0.25">
      <c r="A5360" t="e">
        <f>-LqgH984odHm-NQX7sAx</f>
        <v>#NAME?</v>
      </c>
      <c r="B5360">
        <v>393.75</v>
      </c>
      <c r="C5360">
        <v>20.478950000000001</v>
      </c>
      <c r="D5360">
        <v>69</v>
      </c>
      <c r="E5360">
        <v>0</v>
      </c>
      <c r="F5360">
        <v>0</v>
      </c>
      <c r="G5360">
        <v>12</v>
      </c>
      <c r="H5360" s="4">
        <v>1570553502946</v>
      </c>
      <c r="I5360">
        <v>526.5</v>
      </c>
      <c r="J5360" s="9">
        <f t="shared" si="83"/>
        <v>43746.994247060182</v>
      </c>
      <c r="K5360" s="1"/>
    </row>
    <row r="5361" spans="1:11" x14ac:dyDescent="0.25">
      <c r="A5361" t="e">
        <f>-LqgHB9-LFreJBQFOQDo</f>
        <v>#NAME?</v>
      </c>
      <c r="B5361">
        <v>412.5</v>
      </c>
      <c r="C5361">
        <v>20.478950000000001</v>
      </c>
      <c r="D5361">
        <v>69</v>
      </c>
      <c r="E5361">
        <v>0</v>
      </c>
      <c r="F5361">
        <v>0</v>
      </c>
      <c r="G5361">
        <v>8</v>
      </c>
      <c r="H5361" s="4">
        <v>1570553510166</v>
      </c>
      <c r="I5361">
        <v>532.125</v>
      </c>
      <c r="J5361" s="9">
        <f t="shared" si="83"/>
        <v>43746.994330624999</v>
      </c>
      <c r="K5361" s="1"/>
    </row>
    <row r="5362" spans="1:11" x14ac:dyDescent="0.25">
      <c r="A5362" t="e">
        <f>-LqgHDC6i4Ml_XBSuft6</f>
        <v>#NAME?</v>
      </c>
      <c r="B5362">
        <v>393.75</v>
      </c>
      <c r="C5362">
        <v>20.478950000000001</v>
      </c>
      <c r="D5362">
        <v>70</v>
      </c>
      <c r="E5362">
        <v>0</v>
      </c>
      <c r="F5362">
        <v>0</v>
      </c>
      <c r="G5362">
        <v>10</v>
      </c>
      <c r="H5362" s="4">
        <v>1570553519671</v>
      </c>
      <c r="I5362">
        <v>526.6875</v>
      </c>
      <c r="J5362" s="9">
        <f t="shared" si="83"/>
        <v>43746.994440636576</v>
      </c>
      <c r="K5362" s="1"/>
    </row>
    <row r="5363" spans="1:11" x14ac:dyDescent="0.25">
      <c r="A5363" t="e">
        <f>-LqgHEqHjOZh0cxQ5M4U</f>
        <v>#NAME?</v>
      </c>
      <c r="B5363">
        <v>393.75</v>
      </c>
      <c r="C5363">
        <v>20.478950000000001</v>
      </c>
      <c r="D5363">
        <v>69</v>
      </c>
      <c r="E5363">
        <v>0</v>
      </c>
      <c r="F5363">
        <v>0</v>
      </c>
      <c r="G5363">
        <v>9</v>
      </c>
      <c r="H5363" s="4">
        <v>1570553526648</v>
      </c>
      <c r="I5363">
        <v>526.6875</v>
      </c>
      <c r="J5363" s="9">
        <f t="shared" si="83"/>
        <v>43746.994521388886</v>
      </c>
      <c r="K5363" s="1"/>
    </row>
    <row r="5364" spans="1:11" x14ac:dyDescent="0.25">
      <c r="A5364" t="e">
        <f>-LqgHGP7Z3ID8aIwN6lQ</f>
        <v>#NAME?</v>
      </c>
      <c r="B5364">
        <v>393.75</v>
      </c>
      <c r="C5364">
        <v>20.531590000000001</v>
      </c>
      <c r="D5364">
        <v>69</v>
      </c>
      <c r="E5364">
        <v>0</v>
      </c>
      <c r="F5364">
        <v>0</v>
      </c>
      <c r="G5364">
        <v>10</v>
      </c>
      <c r="H5364" s="4">
        <v>1570553532829</v>
      </c>
      <c r="I5364">
        <v>526.6875</v>
      </c>
      <c r="J5364" s="9">
        <f t="shared" si="83"/>
        <v>43746.994592928233</v>
      </c>
      <c r="K5364" s="1"/>
    </row>
    <row r="5365" spans="1:11" x14ac:dyDescent="0.25">
      <c r="A5365" t="e">
        <f>-LqgHHt7r3i7JXMoGRdW</f>
        <v>#NAME?</v>
      </c>
      <c r="B5365">
        <v>434.375</v>
      </c>
      <c r="C5365">
        <v>20.531590000000001</v>
      </c>
      <c r="D5365">
        <v>69</v>
      </c>
      <c r="E5365">
        <v>0</v>
      </c>
      <c r="F5365">
        <v>0</v>
      </c>
      <c r="G5365">
        <v>5</v>
      </c>
      <c r="H5365" s="4">
        <v>1570553539029</v>
      </c>
      <c r="I5365">
        <v>539.0625</v>
      </c>
      <c r="J5365" s="9">
        <f t="shared" si="83"/>
        <v>43746.994664687496</v>
      </c>
      <c r="K5365" s="1"/>
    </row>
    <row r="5366" spans="1:11" x14ac:dyDescent="0.25">
      <c r="A5366" t="s">
        <v>294</v>
      </c>
      <c r="B5366">
        <v>393.75</v>
      </c>
      <c r="C5366">
        <v>20.531590000000001</v>
      </c>
      <c r="D5366">
        <v>70</v>
      </c>
      <c r="E5366">
        <v>0</v>
      </c>
      <c r="F5366">
        <v>0</v>
      </c>
      <c r="G5366">
        <v>8</v>
      </c>
      <c r="H5366" s="4">
        <v>1570553545198</v>
      </c>
      <c r="I5366">
        <v>526.6875</v>
      </c>
      <c r="J5366" s="9">
        <f t="shared" si="83"/>
        <v>43746.99473608796</v>
      </c>
      <c r="K5366" s="1"/>
    </row>
    <row r="5367" spans="1:11" x14ac:dyDescent="0.25">
      <c r="A5367" t="e">
        <f>-LqgHLZEPRwKXG5WS7X0</f>
        <v>#NAME?</v>
      </c>
      <c r="B5367">
        <v>393.75</v>
      </c>
      <c r="C5367">
        <v>20.478950000000001</v>
      </c>
      <c r="D5367">
        <v>69</v>
      </c>
      <c r="E5367">
        <v>0</v>
      </c>
      <c r="F5367">
        <v>0</v>
      </c>
      <c r="G5367">
        <v>2</v>
      </c>
      <c r="H5367" s="4">
        <v>1570553552407</v>
      </c>
      <c r="I5367">
        <v>526.6875</v>
      </c>
      <c r="J5367" s="9">
        <f t="shared" si="83"/>
        <v>43746.994819525462</v>
      </c>
      <c r="K5367" s="1"/>
    </row>
    <row r="5368" spans="1:11" x14ac:dyDescent="0.25">
      <c r="A5368" t="e">
        <f>-LqgHNC7BNVMs41YiGHC</f>
        <v>#NAME?</v>
      </c>
      <c r="B5368">
        <v>393.75</v>
      </c>
      <c r="C5368">
        <v>20.531590000000001</v>
      </c>
      <c r="D5368">
        <v>69</v>
      </c>
      <c r="E5368">
        <v>0</v>
      </c>
      <c r="F5368">
        <v>0</v>
      </c>
      <c r="G5368">
        <v>6</v>
      </c>
      <c r="H5368" s="4">
        <v>1570553560648</v>
      </c>
      <c r="I5368">
        <v>526.6875</v>
      </c>
      <c r="J5368" s="9">
        <f t="shared" si="83"/>
        <v>43746.994914907402</v>
      </c>
      <c r="K5368" s="1"/>
    </row>
    <row r="5369" spans="1:11" x14ac:dyDescent="0.25">
      <c r="A5369" t="e">
        <f>-LqgHOg6IOsRIcm5aF28</f>
        <v>#NAME?</v>
      </c>
      <c r="B5369">
        <v>393.75</v>
      </c>
      <c r="C5369">
        <v>20.531590000000001</v>
      </c>
      <c r="D5369">
        <v>69</v>
      </c>
      <c r="E5369">
        <v>0</v>
      </c>
      <c r="F5369">
        <v>0</v>
      </c>
      <c r="G5369">
        <v>7</v>
      </c>
      <c r="H5369" s="4">
        <v>1570553566807</v>
      </c>
      <c r="I5369">
        <v>526.6875</v>
      </c>
      <c r="J5369" s="9">
        <f t="shared" si="83"/>
        <v>43746.994986192127</v>
      </c>
      <c r="K5369" s="1"/>
    </row>
    <row r="5370" spans="1:11" x14ac:dyDescent="0.25">
      <c r="A5370" t="e">
        <f>-LqgHQF7c2umgFd92nEk</f>
        <v>#NAME?</v>
      </c>
      <c r="B5370">
        <v>393.75</v>
      </c>
      <c r="C5370">
        <v>20.478950000000001</v>
      </c>
      <c r="D5370">
        <v>68</v>
      </c>
      <c r="E5370">
        <v>0</v>
      </c>
      <c r="F5370">
        <v>0</v>
      </c>
      <c r="G5370">
        <v>2</v>
      </c>
      <c r="H5370" s="4">
        <v>1570553573018</v>
      </c>
      <c r="I5370">
        <v>526.6875</v>
      </c>
      <c r="J5370" s="9">
        <f t="shared" si="83"/>
        <v>43746.995058078704</v>
      </c>
      <c r="K5370" s="1"/>
    </row>
    <row r="5371" spans="1:11" x14ac:dyDescent="0.25">
      <c r="A5371" t="e">
        <f>-LqgHRy6kFiZPUitQmDi</f>
        <v>#NAME?</v>
      </c>
      <c r="B5371">
        <v>415.625</v>
      </c>
      <c r="C5371">
        <v>20.478950000000001</v>
      </c>
      <c r="D5371">
        <v>66</v>
      </c>
      <c r="E5371">
        <v>0</v>
      </c>
      <c r="F5371">
        <v>0</v>
      </c>
      <c r="G5371">
        <v>8</v>
      </c>
      <c r="H5371" s="4">
        <v>1570553580248</v>
      </c>
      <c r="I5371">
        <v>533.25</v>
      </c>
      <c r="J5371" s="9">
        <f t="shared" si="83"/>
        <v>43746.99514175926</v>
      </c>
      <c r="K5371" s="1"/>
    </row>
    <row r="5372" spans="1:11" x14ac:dyDescent="0.25">
      <c r="A5372" t="e">
        <f>-LqgHTqEj_jNrrz1mMld</f>
        <v>#NAME?</v>
      </c>
      <c r="B5372">
        <v>393.75</v>
      </c>
      <c r="C5372">
        <v>20.478950000000001</v>
      </c>
      <c r="D5372">
        <v>67</v>
      </c>
      <c r="E5372">
        <v>0</v>
      </c>
      <c r="F5372">
        <v>0</v>
      </c>
      <c r="G5372">
        <v>14</v>
      </c>
      <c r="H5372" s="4">
        <v>1570553586418</v>
      </c>
      <c r="I5372">
        <v>526.5</v>
      </c>
      <c r="J5372" s="9">
        <f t="shared" si="83"/>
        <v>43746.995213171293</v>
      </c>
      <c r="K5372" s="1"/>
    </row>
    <row r="5373" spans="1:11" x14ac:dyDescent="0.25">
      <c r="A5373" t="e">
        <f>-LqgHVU6wjGA7Bqvw6Ol</f>
        <v>#NAME?</v>
      </c>
      <c r="B5373">
        <v>393.75</v>
      </c>
      <c r="C5373">
        <v>20.531590000000001</v>
      </c>
      <c r="D5373">
        <v>69</v>
      </c>
      <c r="E5373">
        <v>0</v>
      </c>
      <c r="F5373">
        <v>0</v>
      </c>
      <c r="G5373">
        <v>13</v>
      </c>
      <c r="H5373" s="4">
        <v>1570553594647</v>
      </c>
      <c r="I5373">
        <v>526.6875</v>
      </c>
      <c r="J5373" s="9">
        <f t="shared" si="83"/>
        <v>43746.995308414349</v>
      </c>
      <c r="K5373" s="1"/>
    </row>
    <row r="5374" spans="1:11" x14ac:dyDescent="0.25">
      <c r="A5374" t="e">
        <f>-LqgHX27F9hA9YQ38rke</f>
        <v>#NAME?</v>
      </c>
      <c r="B5374">
        <v>393.75</v>
      </c>
      <c r="C5374">
        <v>20.531590000000001</v>
      </c>
      <c r="D5374">
        <v>69</v>
      </c>
      <c r="E5374">
        <v>0</v>
      </c>
      <c r="F5374">
        <v>0</v>
      </c>
      <c r="G5374">
        <v>4</v>
      </c>
      <c r="H5374" s="4">
        <v>1570553600838</v>
      </c>
      <c r="I5374">
        <v>526.6875</v>
      </c>
      <c r="J5374" s="9">
        <f t="shared" si="83"/>
        <v>43746.995380069442</v>
      </c>
      <c r="K5374" s="1"/>
    </row>
    <row r="5375" spans="1:11" x14ac:dyDescent="0.25">
      <c r="A5375" t="e">
        <f>-LqgHYl6zupxp3tSM0X7</f>
        <v>#NAME?</v>
      </c>
      <c r="B5375">
        <v>393.75</v>
      </c>
      <c r="C5375">
        <v>20.531590000000001</v>
      </c>
      <c r="D5375">
        <v>69</v>
      </c>
      <c r="E5375">
        <v>0</v>
      </c>
      <c r="F5375">
        <v>0</v>
      </c>
      <c r="G5375">
        <v>16</v>
      </c>
      <c r="H5375" s="4">
        <v>1570553608048</v>
      </c>
      <c r="I5375">
        <v>526.6875</v>
      </c>
      <c r="J5375" s="9">
        <f t="shared" si="83"/>
        <v>43746.99546351852</v>
      </c>
      <c r="K5375" s="1"/>
    </row>
    <row r="5376" spans="1:11" x14ac:dyDescent="0.25">
      <c r="A5376" t="e">
        <f>-LqgH_FGIp5sX9rCKCug</f>
        <v>#NAME?</v>
      </c>
      <c r="B5376">
        <v>393.75</v>
      </c>
      <c r="C5376">
        <v>20.478950000000001</v>
      </c>
      <c r="D5376">
        <v>69</v>
      </c>
      <c r="E5376">
        <v>0</v>
      </c>
      <c r="F5376">
        <v>0</v>
      </c>
      <c r="G5376">
        <v>9</v>
      </c>
      <c r="H5376" s="4">
        <v>1570553614238</v>
      </c>
      <c r="I5376">
        <v>526.6875</v>
      </c>
      <c r="J5376" s="9">
        <f t="shared" si="83"/>
        <v>43746.995535162037</v>
      </c>
      <c r="K5376" s="1"/>
    </row>
    <row r="5377" spans="1:11" x14ac:dyDescent="0.25">
      <c r="A5377" t="e">
        <f>-LqgHao7FdheKn7WxtWD</f>
        <v>#NAME?</v>
      </c>
      <c r="B5377">
        <v>393.75</v>
      </c>
      <c r="C5377">
        <v>20.478950000000001</v>
      </c>
      <c r="D5377">
        <v>69</v>
      </c>
      <c r="E5377">
        <v>0</v>
      </c>
      <c r="F5377">
        <v>0</v>
      </c>
      <c r="G5377">
        <v>0</v>
      </c>
      <c r="H5377" s="4">
        <v>1570553620418</v>
      </c>
      <c r="I5377">
        <v>526.6875</v>
      </c>
      <c r="J5377" s="9">
        <f t="shared" si="83"/>
        <v>43746.995606689808</v>
      </c>
      <c r="K5377" s="1"/>
    </row>
    <row r="5378" spans="1:11" x14ac:dyDescent="0.25">
      <c r="A5378" t="e">
        <f>-LqgHcYW1m1nh9eYVF8W</f>
        <v>#NAME?</v>
      </c>
      <c r="B5378">
        <v>393.75</v>
      </c>
      <c r="C5378">
        <v>20.478950000000001</v>
      </c>
      <c r="D5378">
        <v>68</v>
      </c>
      <c r="E5378">
        <v>0</v>
      </c>
      <c r="F5378">
        <v>0</v>
      </c>
      <c r="G5378">
        <v>15</v>
      </c>
      <c r="H5378" s="4">
        <v>1570553627608</v>
      </c>
      <c r="I5378">
        <v>526.6875</v>
      </c>
      <c r="J5378" s="9">
        <f t="shared" si="83"/>
        <v>43746.99568990741</v>
      </c>
      <c r="K5378" s="1"/>
    </row>
    <row r="5379" spans="1:11" x14ac:dyDescent="0.25">
      <c r="A5379" t="e">
        <f>-LqgHe576l_1AtMZ6gOX</f>
        <v>#NAME?</v>
      </c>
      <c r="B5379">
        <v>393.75</v>
      </c>
      <c r="C5379">
        <v>20.478950000000001</v>
      </c>
      <c r="D5379">
        <v>68</v>
      </c>
      <c r="E5379">
        <v>0</v>
      </c>
      <c r="F5379">
        <v>0</v>
      </c>
      <c r="G5379">
        <v>8</v>
      </c>
      <c r="H5379" s="4">
        <v>1570553633807</v>
      </c>
      <c r="I5379">
        <v>526.6875</v>
      </c>
      <c r="J5379" s="9">
        <f t="shared" ref="J5379:J5442" si="84">(H5379/86400000)+25569+(7/24)</f>
        <v>43746.995761655089</v>
      </c>
      <c r="K5379" s="1"/>
    </row>
    <row r="5380" spans="1:11" x14ac:dyDescent="0.25">
      <c r="A5380" t="e">
        <f>-LqgHfo67_hDlmG7xHK8</f>
        <v>#NAME?</v>
      </c>
      <c r="B5380">
        <v>393.75</v>
      </c>
      <c r="C5380">
        <v>20.478950000000001</v>
      </c>
      <c r="D5380">
        <v>71</v>
      </c>
      <c r="E5380">
        <v>0</v>
      </c>
      <c r="F5380">
        <v>0</v>
      </c>
      <c r="G5380">
        <v>9</v>
      </c>
      <c r="H5380" s="4">
        <v>1570553641027</v>
      </c>
      <c r="I5380">
        <v>526.6875</v>
      </c>
      <c r="J5380" s="9">
        <f t="shared" si="84"/>
        <v>43746.995845219906</v>
      </c>
      <c r="K5380" s="1"/>
    </row>
    <row r="5381" spans="1:11" x14ac:dyDescent="0.25">
      <c r="A5381" t="e">
        <f>-LqgHhI8j-SHdOaTrMw_</f>
        <v>#NAME?</v>
      </c>
      <c r="B5381">
        <v>393.75</v>
      </c>
      <c r="C5381">
        <v>20.478950000000001</v>
      </c>
      <c r="D5381">
        <v>70</v>
      </c>
      <c r="E5381">
        <v>0</v>
      </c>
      <c r="F5381">
        <v>0</v>
      </c>
      <c r="G5381">
        <v>1</v>
      </c>
      <c r="H5381" s="4">
        <v>1570553647207</v>
      </c>
      <c r="I5381">
        <v>526.5</v>
      </c>
      <c r="J5381" s="9">
        <f t="shared" si="84"/>
        <v>43746.995916747685</v>
      </c>
      <c r="K5381" s="1"/>
    </row>
    <row r="5382" spans="1:11" x14ac:dyDescent="0.25">
      <c r="A5382" t="e">
        <f>-LqgHir6_3gOizBcnVIC</f>
        <v>#NAME?</v>
      </c>
      <c r="B5382">
        <v>393.75</v>
      </c>
      <c r="C5382">
        <v>20.531590000000001</v>
      </c>
      <c r="D5382">
        <v>71</v>
      </c>
      <c r="E5382">
        <v>0</v>
      </c>
      <c r="F5382">
        <v>0</v>
      </c>
      <c r="G5382">
        <v>7</v>
      </c>
      <c r="H5382" s="4">
        <v>1570553653387</v>
      </c>
      <c r="I5382">
        <v>526.6875</v>
      </c>
      <c r="J5382" s="9">
        <f t="shared" si="84"/>
        <v>43746.995988275456</v>
      </c>
      <c r="K5382" s="1"/>
    </row>
    <row r="5383" spans="1:11" x14ac:dyDescent="0.25">
      <c r="A5383" t="e">
        <f>-LqgHkL6WHsM1e3YN5g_</f>
        <v>#NAME?</v>
      </c>
      <c r="B5383">
        <v>428.125</v>
      </c>
      <c r="C5383">
        <v>20.531590000000001</v>
      </c>
      <c r="D5383">
        <v>71</v>
      </c>
      <c r="E5383">
        <v>0</v>
      </c>
      <c r="F5383">
        <v>0</v>
      </c>
      <c r="G5383">
        <v>10</v>
      </c>
      <c r="H5383" s="4">
        <v>1570553659587</v>
      </c>
      <c r="I5383">
        <v>537.1875</v>
      </c>
      <c r="J5383" s="9">
        <f t="shared" si="84"/>
        <v>43746.996060034719</v>
      </c>
      <c r="K5383" s="1"/>
    </row>
    <row r="5384" spans="1:11" x14ac:dyDescent="0.25">
      <c r="A5384" t="e">
        <f>-LqgHlp6vNgcEx9F1XSM</f>
        <v>#NAME?</v>
      </c>
      <c r="B5384">
        <v>393.75</v>
      </c>
      <c r="C5384">
        <v>20.531590000000001</v>
      </c>
      <c r="D5384">
        <v>70</v>
      </c>
      <c r="E5384">
        <v>0</v>
      </c>
      <c r="F5384">
        <v>0</v>
      </c>
      <c r="G5384">
        <v>16</v>
      </c>
      <c r="H5384" s="4">
        <v>1570553665757</v>
      </c>
      <c r="I5384">
        <v>526.6875</v>
      </c>
      <c r="J5384" s="9">
        <f t="shared" si="84"/>
        <v>43746.996131446758</v>
      </c>
      <c r="K5384" s="1"/>
    </row>
    <row r="5385" spans="1:11" x14ac:dyDescent="0.25">
      <c r="A5385" t="e">
        <f>-LqgHnO9VQr6cP0GbdPv</f>
        <v>#NAME?</v>
      </c>
      <c r="B5385">
        <v>393.75</v>
      </c>
      <c r="C5385">
        <v>20.478950000000001</v>
      </c>
      <c r="D5385">
        <v>69</v>
      </c>
      <c r="E5385">
        <v>0</v>
      </c>
      <c r="F5385">
        <v>0</v>
      </c>
      <c r="G5385">
        <v>7</v>
      </c>
      <c r="H5385" s="4">
        <v>1570553671938</v>
      </c>
      <c r="I5385">
        <v>526.6875</v>
      </c>
      <c r="J5385" s="9">
        <f t="shared" si="84"/>
        <v>43746.996202986113</v>
      </c>
      <c r="K5385" s="1"/>
    </row>
    <row r="5386" spans="1:11" x14ac:dyDescent="0.25">
      <c r="A5386" t="e">
        <f>-LqgHpQG551TDK_XNVoa</f>
        <v>#NAME?</v>
      </c>
      <c r="B5386">
        <v>393.75</v>
      </c>
      <c r="C5386">
        <v>20.531590000000001</v>
      </c>
      <c r="D5386">
        <v>69</v>
      </c>
      <c r="E5386">
        <v>0</v>
      </c>
      <c r="F5386">
        <v>0</v>
      </c>
      <c r="G5386">
        <v>3</v>
      </c>
      <c r="H5386" s="4">
        <v>1570553679129</v>
      </c>
      <c r="I5386">
        <v>526.6875</v>
      </c>
      <c r="J5386" s="9">
        <f t="shared" si="84"/>
        <v>43746.996286215275</v>
      </c>
      <c r="K5386" s="1"/>
    </row>
    <row r="5387" spans="1:11" x14ac:dyDescent="0.25">
      <c r="A5387" t="e">
        <f>-LqgHr86m9HWgKLCsXIe</f>
        <v>#NAME?</v>
      </c>
      <c r="B5387">
        <v>393.75</v>
      </c>
      <c r="C5387">
        <v>20.478950000000001</v>
      </c>
      <c r="D5387">
        <v>69</v>
      </c>
      <c r="E5387">
        <v>0</v>
      </c>
      <c r="F5387">
        <v>0</v>
      </c>
      <c r="G5387">
        <v>10</v>
      </c>
      <c r="H5387" s="4">
        <v>1570553687397</v>
      </c>
      <c r="I5387">
        <v>526.6875</v>
      </c>
      <c r="J5387" s="9">
        <f t="shared" si="84"/>
        <v>43746.996381909725</v>
      </c>
      <c r="K5387" s="1"/>
    </row>
    <row r="5388" spans="1:11" x14ac:dyDescent="0.25">
      <c r="A5388" t="e">
        <f>-LqgHsc6FV6CqJWRPBAg</f>
        <v>#NAME?</v>
      </c>
      <c r="B5388">
        <v>393.75</v>
      </c>
      <c r="C5388">
        <v>20.478950000000001</v>
      </c>
      <c r="D5388">
        <v>69</v>
      </c>
      <c r="E5388">
        <v>0</v>
      </c>
      <c r="F5388">
        <v>0</v>
      </c>
      <c r="G5388">
        <v>14</v>
      </c>
      <c r="H5388" s="4">
        <v>1570553693590</v>
      </c>
      <c r="I5388">
        <v>526.6875</v>
      </c>
      <c r="J5388" s="9">
        <f t="shared" si="84"/>
        <v>43746.996453587963</v>
      </c>
      <c r="K5388" s="1"/>
    </row>
    <row r="5389" spans="1:11" x14ac:dyDescent="0.25">
      <c r="A5389" t="e">
        <f>-LqgHuB6wQa5kaVB8RwG</f>
        <v>#NAME?</v>
      </c>
      <c r="B5389">
        <v>393.75</v>
      </c>
      <c r="C5389">
        <v>20.531590000000001</v>
      </c>
      <c r="D5389">
        <v>68</v>
      </c>
      <c r="E5389">
        <v>0</v>
      </c>
      <c r="F5389">
        <v>0</v>
      </c>
      <c r="G5389">
        <v>4</v>
      </c>
      <c r="H5389" s="4">
        <v>1570553699758</v>
      </c>
      <c r="I5389">
        <v>526.6875</v>
      </c>
      <c r="J5389" s="9">
        <f t="shared" si="84"/>
        <v>43746.99652497685</v>
      </c>
      <c r="K5389" s="1"/>
    </row>
    <row r="5390" spans="1:11" x14ac:dyDescent="0.25">
      <c r="A5390" t="e">
        <f>-LqgHvu7rTHeF5ElhKgG</f>
        <v>#NAME?</v>
      </c>
      <c r="B5390">
        <v>393.75</v>
      </c>
      <c r="C5390">
        <v>20.531590000000001</v>
      </c>
      <c r="D5390">
        <v>68</v>
      </c>
      <c r="E5390">
        <v>0</v>
      </c>
      <c r="F5390">
        <v>0</v>
      </c>
      <c r="G5390">
        <v>5</v>
      </c>
      <c r="H5390" s="4">
        <v>1570553706967</v>
      </c>
      <c r="I5390">
        <v>526.6875</v>
      </c>
      <c r="J5390" s="9">
        <f t="shared" si="84"/>
        <v>43746.996608414345</v>
      </c>
      <c r="K5390" s="1"/>
    </row>
    <row r="5391" spans="1:11" x14ac:dyDescent="0.25">
      <c r="A5391" t="s">
        <v>295</v>
      </c>
      <c r="B5391">
        <v>393.75</v>
      </c>
      <c r="C5391">
        <v>20.478950000000001</v>
      </c>
      <c r="D5391">
        <v>64</v>
      </c>
      <c r="E5391">
        <v>0</v>
      </c>
      <c r="F5391">
        <v>0</v>
      </c>
      <c r="G5391">
        <v>8</v>
      </c>
      <c r="H5391" s="4">
        <v>1570553713158</v>
      </c>
      <c r="I5391">
        <v>526.6875</v>
      </c>
      <c r="J5391" s="9">
        <f t="shared" si="84"/>
        <v>43746.996680069446</v>
      </c>
      <c r="K5391" s="1"/>
    </row>
    <row r="5392" spans="1:11" x14ac:dyDescent="0.25">
      <c r="A5392" t="s">
        <v>296</v>
      </c>
      <c r="B5392">
        <v>393.75</v>
      </c>
      <c r="C5392">
        <v>20.478950000000001</v>
      </c>
      <c r="D5392">
        <v>65</v>
      </c>
      <c r="E5392">
        <v>0</v>
      </c>
      <c r="F5392">
        <v>0</v>
      </c>
      <c r="G5392">
        <v>1</v>
      </c>
      <c r="H5392" s="4">
        <v>1570553720368</v>
      </c>
      <c r="I5392">
        <v>526.6875</v>
      </c>
      <c r="J5392" s="9">
        <f t="shared" si="84"/>
        <v>43746.996763518517</v>
      </c>
      <c r="K5392" s="1"/>
    </row>
    <row r="5393" spans="1:11" x14ac:dyDescent="0.25">
      <c r="A5393" t="e">
        <f>-LqgI0I6VZu33rv5TOrr</f>
        <v>#NAME?</v>
      </c>
      <c r="B5393">
        <v>393.75</v>
      </c>
      <c r="C5393">
        <v>20.478950000000001</v>
      </c>
      <c r="D5393">
        <v>66</v>
      </c>
      <c r="E5393">
        <v>0</v>
      </c>
      <c r="F5393">
        <v>0</v>
      </c>
      <c r="G5393">
        <v>13</v>
      </c>
      <c r="H5393" s="4">
        <v>1570553727577</v>
      </c>
      <c r="I5393">
        <v>526.6875</v>
      </c>
      <c r="J5393" s="9">
        <f t="shared" si="84"/>
        <v>43746.996846956019</v>
      </c>
      <c r="K5393" s="1"/>
    </row>
    <row r="5394" spans="1:11" x14ac:dyDescent="0.25">
      <c r="A5394" t="e">
        <f>-LqgI2888HvFhVuWYtzz</f>
        <v>#NAME?</v>
      </c>
      <c r="B5394">
        <v>412.5</v>
      </c>
      <c r="C5394">
        <v>20.478950000000001</v>
      </c>
      <c r="D5394">
        <v>69</v>
      </c>
      <c r="E5394">
        <v>0</v>
      </c>
      <c r="F5394">
        <v>0</v>
      </c>
      <c r="G5394">
        <v>0</v>
      </c>
      <c r="H5394" s="4">
        <v>1570553735839</v>
      </c>
      <c r="I5394">
        <v>532.875</v>
      </c>
      <c r="J5394" s="9">
        <f t="shared" si="84"/>
        <v>43746.99694258102</v>
      </c>
      <c r="K5394" s="1"/>
    </row>
    <row r="5395" spans="1:11" x14ac:dyDescent="0.25">
      <c r="A5395" t="e">
        <f>-LqgI3hyEeWKa874mNoC</f>
        <v>#NAME?</v>
      </c>
      <c r="B5395">
        <v>393.75</v>
      </c>
      <c r="C5395">
        <v>20.531590000000001</v>
      </c>
      <c r="D5395">
        <v>69</v>
      </c>
      <c r="E5395">
        <v>0</v>
      </c>
      <c r="F5395">
        <v>0</v>
      </c>
      <c r="G5395">
        <v>14</v>
      </c>
      <c r="H5395" s="4">
        <v>1570553743083</v>
      </c>
      <c r="I5395">
        <v>526.6875</v>
      </c>
      <c r="J5395" s="9">
        <f t="shared" si="84"/>
        <v>43746.997026423611</v>
      </c>
      <c r="K5395" s="1"/>
    </row>
    <row r="5396" spans="1:11" x14ac:dyDescent="0.25">
      <c r="A5396" t="e">
        <f>-LqgI5AjXSiDDh74n9mX</f>
        <v>#NAME?</v>
      </c>
      <c r="B5396">
        <v>393.75</v>
      </c>
      <c r="C5396">
        <v>20.478950000000001</v>
      </c>
      <c r="D5396">
        <v>70</v>
      </c>
      <c r="E5396">
        <v>0</v>
      </c>
      <c r="F5396">
        <v>0</v>
      </c>
      <c r="G5396">
        <v>6</v>
      </c>
      <c r="H5396" s="4">
        <v>1570553749205</v>
      </c>
      <c r="I5396">
        <v>526.6875</v>
      </c>
      <c r="J5396" s="9">
        <f t="shared" si="84"/>
        <v>43746.997097280087</v>
      </c>
      <c r="K5396" s="1"/>
    </row>
    <row r="5397" spans="1:11" x14ac:dyDescent="0.25">
      <c r="A5397" t="e">
        <f>-LqgI6m26CUNChnV7FzH</f>
        <v>#NAME?</v>
      </c>
      <c r="B5397">
        <v>421.875</v>
      </c>
      <c r="C5397">
        <v>20.584240000000001</v>
      </c>
      <c r="D5397">
        <v>70</v>
      </c>
      <c r="E5397">
        <v>0</v>
      </c>
      <c r="F5397">
        <v>0</v>
      </c>
      <c r="G5397">
        <v>18</v>
      </c>
      <c r="H5397" s="4">
        <v>1570553755394</v>
      </c>
      <c r="I5397">
        <v>535.3125</v>
      </c>
      <c r="J5397" s="9">
        <f t="shared" si="84"/>
        <v>43746.997168912036</v>
      </c>
      <c r="K5397" s="1"/>
    </row>
    <row r="5398" spans="1:11" x14ac:dyDescent="0.25">
      <c r="A5398" t="e">
        <f>-LqgI8V2T9kHHlZSEgbY</f>
        <v>#NAME?</v>
      </c>
      <c r="B5398">
        <v>393.75</v>
      </c>
      <c r="C5398">
        <v>20.478950000000001</v>
      </c>
      <c r="D5398">
        <v>70</v>
      </c>
      <c r="E5398">
        <v>0</v>
      </c>
      <c r="F5398">
        <v>0</v>
      </c>
      <c r="G5398">
        <v>11</v>
      </c>
      <c r="H5398" s="4">
        <v>1570553762614</v>
      </c>
      <c r="I5398">
        <v>526.6875</v>
      </c>
      <c r="J5398" s="9">
        <f t="shared" si="84"/>
        <v>43746.997252476845</v>
      </c>
      <c r="K5398" s="1"/>
    </row>
    <row r="5399" spans="1:11" x14ac:dyDescent="0.25">
      <c r="A5399" t="e">
        <f>-LqgI9y-IjkX5xdMtNhb</f>
        <v>#NAME?</v>
      </c>
      <c r="B5399">
        <v>393.75</v>
      </c>
      <c r="C5399">
        <v>20.531590000000001</v>
      </c>
      <c r="D5399">
        <v>65</v>
      </c>
      <c r="E5399">
        <v>0</v>
      </c>
      <c r="F5399">
        <v>0</v>
      </c>
      <c r="G5399">
        <v>7</v>
      </c>
      <c r="H5399" s="4">
        <v>1570553768794</v>
      </c>
      <c r="I5399">
        <v>526.5</v>
      </c>
      <c r="J5399" s="9">
        <f t="shared" si="84"/>
        <v>43746.997324004631</v>
      </c>
      <c r="K5399" s="1"/>
    </row>
    <row r="5400" spans="1:11" x14ac:dyDescent="0.25">
      <c r="A5400" t="e">
        <f>-LqgIBY2MSeS9JSZ7SIn</f>
        <v>#NAME?</v>
      </c>
      <c r="B5400">
        <v>396.875</v>
      </c>
      <c r="C5400">
        <v>20.478950000000001</v>
      </c>
      <c r="D5400">
        <v>62</v>
      </c>
      <c r="E5400">
        <v>0</v>
      </c>
      <c r="F5400">
        <v>0</v>
      </c>
      <c r="G5400">
        <v>10</v>
      </c>
      <c r="H5400" s="4">
        <v>1570553774973</v>
      </c>
      <c r="I5400">
        <v>527.4375</v>
      </c>
      <c r="J5400" s="9">
        <f t="shared" si="84"/>
        <v>43746.997395520833</v>
      </c>
      <c r="K5400" s="1"/>
    </row>
    <row r="5401" spans="1:11" x14ac:dyDescent="0.25">
      <c r="A5401" t="e">
        <f>-LqgID-xfbJdaff4soRl</f>
        <v>#NAME?</v>
      </c>
      <c r="B5401">
        <v>396.875</v>
      </c>
      <c r="C5401">
        <v>20.478950000000001</v>
      </c>
      <c r="D5401">
        <v>62</v>
      </c>
      <c r="E5401">
        <v>0</v>
      </c>
      <c r="F5401">
        <v>0</v>
      </c>
      <c r="G5401">
        <v>9</v>
      </c>
      <c r="H5401" s="4">
        <v>1570553781156</v>
      </c>
      <c r="I5401">
        <v>527.4375</v>
      </c>
      <c r="J5401" s="9">
        <f t="shared" si="84"/>
        <v>43746.997467083333</v>
      </c>
      <c r="K5401" s="1"/>
    </row>
    <row r="5402" spans="1:11" x14ac:dyDescent="0.25">
      <c r="A5402" t="e">
        <f>-LqgIEW4H3sLNQ6OEadC</f>
        <v>#NAME?</v>
      </c>
      <c r="B5402">
        <v>393.75</v>
      </c>
      <c r="C5402">
        <v>20.478950000000001</v>
      </c>
      <c r="D5402">
        <v>62</v>
      </c>
      <c r="E5402">
        <v>0</v>
      </c>
      <c r="F5402">
        <v>0</v>
      </c>
      <c r="G5402">
        <v>23</v>
      </c>
      <c r="H5402" s="4">
        <v>1570553787367</v>
      </c>
      <c r="I5402">
        <v>526.6875</v>
      </c>
      <c r="J5402" s="9">
        <f t="shared" si="84"/>
        <v>43746.997538969903</v>
      </c>
      <c r="K5402" s="1"/>
    </row>
    <row r="5403" spans="1:11" x14ac:dyDescent="0.25">
      <c r="A5403" t="e">
        <f>-LqgIG-Li8CyGcoT7wc4</f>
        <v>#NAME?</v>
      </c>
      <c r="B5403">
        <v>393.75</v>
      </c>
      <c r="C5403">
        <v>20.531590000000001</v>
      </c>
      <c r="D5403">
        <v>65</v>
      </c>
      <c r="E5403">
        <v>0</v>
      </c>
      <c r="F5403">
        <v>0</v>
      </c>
      <c r="G5403">
        <v>12</v>
      </c>
      <c r="H5403" s="4">
        <v>1570553793523</v>
      </c>
      <c r="I5403">
        <v>526.6875</v>
      </c>
      <c r="J5403" s="9">
        <f t="shared" si="84"/>
        <v>43746.997610219907</v>
      </c>
      <c r="K5403" s="1"/>
    </row>
    <row r="5404" spans="1:11" x14ac:dyDescent="0.25">
      <c r="A5404" t="e">
        <f>-LqgIHXxPQhYi_khJMRd</f>
        <v>#NAME?</v>
      </c>
      <c r="B5404">
        <v>396.875</v>
      </c>
      <c r="C5404">
        <v>20.478950000000001</v>
      </c>
      <c r="D5404">
        <v>65</v>
      </c>
      <c r="E5404">
        <v>0</v>
      </c>
      <c r="F5404">
        <v>0</v>
      </c>
      <c r="G5404">
        <v>12</v>
      </c>
      <c r="H5404" s="4">
        <v>1570553799705</v>
      </c>
      <c r="I5404">
        <v>527.4375</v>
      </c>
      <c r="J5404" s="9">
        <f t="shared" si="84"/>
        <v>43746.99768177083</v>
      </c>
      <c r="K5404" s="1"/>
    </row>
    <row r="5405" spans="1:11" x14ac:dyDescent="0.25">
      <c r="A5405" t="e">
        <f>-LqgIJ0yT3dNf1BrvfLF</f>
        <v>#NAME?</v>
      </c>
      <c r="B5405">
        <v>415.625</v>
      </c>
      <c r="C5405">
        <v>20.531590000000001</v>
      </c>
      <c r="D5405">
        <v>66</v>
      </c>
      <c r="E5405">
        <v>0</v>
      </c>
      <c r="F5405">
        <v>0</v>
      </c>
      <c r="G5405">
        <v>5</v>
      </c>
      <c r="H5405" s="4">
        <v>1570553805903</v>
      </c>
      <c r="I5405">
        <v>533.0625</v>
      </c>
      <c r="J5405" s="9">
        <f t="shared" si="84"/>
        <v>43746.997753506941</v>
      </c>
      <c r="K5405" s="1"/>
    </row>
    <row r="5406" spans="1:11" x14ac:dyDescent="0.25">
      <c r="A5406" t="e">
        <f>-LqgIKat2k3W2u6R2nrT</f>
        <v>#NAME?</v>
      </c>
      <c r="B5406">
        <v>396.875</v>
      </c>
      <c r="C5406">
        <v>20.478950000000001</v>
      </c>
      <c r="D5406">
        <v>66</v>
      </c>
      <c r="E5406">
        <v>0</v>
      </c>
      <c r="F5406">
        <v>0</v>
      </c>
      <c r="G5406">
        <v>10</v>
      </c>
      <c r="H5406" s="4">
        <v>1570553812074</v>
      </c>
      <c r="I5406">
        <v>527.4375</v>
      </c>
      <c r="J5406" s="9">
        <f t="shared" si="84"/>
        <v>43746.99782493055</v>
      </c>
      <c r="K5406" s="1"/>
    </row>
    <row r="5407" spans="1:11" x14ac:dyDescent="0.25">
      <c r="A5407" t="e">
        <f>-LqgIMK3Ls77PLIp4T6j</f>
        <v>#NAME?</v>
      </c>
      <c r="B5407">
        <v>396.875</v>
      </c>
      <c r="C5407">
        <v>20.478950000000001</v>
      </c>
      <c r="D5407">
        <v>65</v>
      </c>
      <c r="E5407">
        <v>0</v>
      </c>
      <c r="F5407">
        <v>0</v>
      </c>
      <c r="G5407">
        <v>13</v>
      </c>
      <c r="H5407" s="4">
        <v>1570553819286</v>
      </c>
      <c r="I5407">
        <v>527.4375</v>
      </c>
      <c r="J5407" s="9">
        <f t="shared" si="84"/>
        <v>43746.99790840278</v>
      </c>
      <c r="K5407" s="1"/>
    </row>
    <row r="5408" spans="1:11" x14ac:dyDescent="0.25">
      <c r="A5408" t="e">
        <f>-LqgINrx1Ewk8Rc8meoP</f>
        <v>#NAME?</v>
      </c>
      <c r="B5408">
        <v>396.875</v>
      </c>
      <c r="C5408">
        <v>20.478950000000001</v>
      </c>
      <c r="D5408">
        <v>65</v>
      </c>
      <c r="E5408">
        <v>0</v>
      </c>
      <c r="F5408">
        <v>0</v>
      </c>
      <c r="G5408">
        <v>6</v>
      </c>
      <c r="H5408" s="4">
        <v>1570553825463</v>
      </c>
      <c r="I5408">
        <v>527.4375</v>
      </c>
      <c r="J5408" s="9">
        <f t="shared" si="84"/>
        <v>43746.99797989583</v>
      </c>
      <c r="K5408" s="1"/>
    </row>
    <row r="5409" spans="1:11" x14ac:dyDescent="0.25">
      <c r="A5409" t="e">
        <f>-LqgIPLyXMBdT9-eWWMM</f>
        <v>#NAME?</v>
      </c>
      <c r="B5409">
        <v>396.875</v>
      </c>
      <c r="C5409">
        <v>20.531590000000001</v>
      </c>
      <c r="D5409">
        <v>65</v>
      </c>
      <c r="E5409">
        <v>0</v>
      </c>
      <c r="F5409">
        <v>0</v>
      </c>
      <c r="G5409">
        <v>18</v>
      </c>
      <c r="H5409" s="4">
        <v>1570553831645</v>
      </c>
      <c r="I5409">
        <v>527.4375</v>
      </c>
      <c r="J5409" s="9">
        <f t="shared" si="84"/>
        <v>43746.998051446753</v>
      </c>
      <c r="K5409" s="1"/>
    </row>
    <row r="5410" spans="1:11" x14ac:dyDescent="0.25">
      <c r="A5410" t="e">
        <f>-LqgIQohex9syWswiBl8</f>
        <v>#NAME?</v>
      </c>
      <c r="B5410">
        <v>396.875</v>
      </c>
      <c r="C5410">
        <v>20.531590000000001</v>
      </c>
      <c r="D5410">
        <v>65</v>
      </c>
      <c r="E5410">
        <v>0</v>
      </c>
      <c r="F5410">
        <v>0</v>
      </c>
      <c r="G5410">
        <v>10</v>
      </c>
      <c r="H5410" s="4">
        <v>1570553837844</v>
      </c>
      <c r="I5410">
        <v>527.4375</v>
      </c>
      <c r="J5410" s="9">
        <f t="shared" si="84"/>
        <v>43746.99812319444</v>
      </c>
      <c r="K5410" s="1"/>
    </row>
    <row r="5411" spans="1:11" x14ac:dyDescent="0.25">
      <c r="A5411" t="e">
        <f>-LqgISQ5t15PJBTxVH0r</f>
        <v>#NAME?</v>
      </c>
      <c r="B5411">
        <v>393.75</v>
      </c>
      <c r="C5411">
        <v>20.531590000000001</v>
      </c>
      <c r="D5411">
        <v>69</v>
      </c>
      <c r="E5411">
        <v>0</v>
      </c>
      <c r="F5411">
        <v>0</v>
      </c>
      <c r="G5411">
        <v>6</v>
      </c>
      <c r="H5411" s="4">
        <v>1570553844041</v>
      </c>
      <c r="I5411">
        <v>526.6875</v>
      </c>
      <c r="J5411" s="9">
        <f t="shared" si="84"/>
        <v>43746.998194918975</v>
      </c>
      <c r="K5411" s="1"/>
    </row>
    <row r="5412" spans="1:11" x14ac:dyDescent="0.25">
      <c r="A5412" t="e">
        <f>-LqgIU6xO7MJwjW4MUws</f>
        <v>#NAME?</v>
      </c>
      <c r="B5412">
        <v>393.75</v>
      </c>
      <c r="C5412">
        <v>20.478950000000001</v>
      </c>
      <c r="D5412">
        <v>69</v>
      </c>
      <c r="E5412">
        <v>0</v>
      </c>
      <c r="F5412">
        <v>0</v>
      </c>
      <c r="G5412">
        <v>12</v>
      </c>
      <c r="H5412" s="4">
        <v>1570553851224</v>
      </c>
      <c r="I5412">
        <v>526.6875</v>
      </c>
      <c r="J5412" s="9">
        <f t="shared" si="84"/>
        <v>43746.998278055551</v>
      </c>
      <c r="K5412" s="1"/>
    </row>
    <row r="5413" spans="1:11" x14ac:dyDescent="0.25">
      <c r="A5413" t="e">
        <f>-LqgIVc3P6rTN62yixiU</f>
        <v>#NAME?</v>
      </c>
      <c r="B5413">
        <v>393.75</v>
      </c>
      <c r="C5413">
        <v>20.531590000000001</v>
      </c>
      <c r="D5413">
        <v>69</v>
      </c>
      <c r="E5413">
        <v>0</v>
      </c>
      <c r="F5413">
        <v>0</v>
      </c>
      <c r="G5413">
        <v>14</v>
      </c>
      <c r="H5413" s="4">
        <v>1570553857425</v>
      </c>
      <c r="I5413">
        <v>526.6875</v>
      </c>
      <c r="J5413" s="9">
        <f t="shared" si="84"/>
        <v>43746.998349826383</v>
      </c>
      <c r="K5413" s="1"/>
    </row>
    <row r="5414" spans="1:11" x14ac:dyDescent="0.25">
      <c r="A5414" t="e">
        <f>-LqgIX9x0ex02lulgxia</f>
        <v>#NAME?</v>
      </c>
      <c r="B5414">
        <v>393.75</v>
      </c>
      <c r="C5414">
        <v>20.531590000000001</v>
      </c>
      <c r="D5414">
        <v>69</v>
      </c>
      <c r="E5414">
        <v>0</v>
      </c>
      <c r="F5414">
        <v>0</v>
      </c>
      <c r="G5414">
        <v>17</v>
      </c>
      <c r="H5414" s="4">
        <v>1570553863595</v>
      </c>
      <c r="I5414">
        <v>526.6875</v>
      </c>
      <c r="J5414" s="9">
        <f t="shared" si="84"/>
        <v>43746.998421238422</v>
      </c>
      <c r="K5414" s="1"/>
    </row>
    <row r="5415" spans="1:11" x14ac:dyDescent="0.25">
      <c r="A5415" t="e">
        <f>-LqgIYf35xk3-vg2l4pp</f>
        <v>#NAME?</v>
      </c>
      <c r="B5415">
        <v>393.75</v>
      </c>
      <c r="C5415">
        <v>20.531590000000001</v>
      </c>
      <c r="D5415">
        <v>69</v>
      </c>
      <c r="E5415">
        <v>0</v>
      </c>
      <c r="F5415">
        <v>0</v>
      </c>
      <c r="G5415">
        <v>18</v>
      </c>
      <c r="H5415" s="4">
        <v>1570553869775</v>
      </c>
      <c r="I5415">
        <v>526.6875</v>
      </c>
      <c r="J5415" s="9">
        <f t="shared" si="84"/>
        <v>43746.998492766201</v>
      </c>
      <c r="K5415" s="1"/>
    </row>
    <row r="5416" spans="1:11" x14ac:dyDescent="0.25">
      <c r="A5416" t="e">
        <f>-LqgI_94xHNaKVjjR0fU</f>
        <v>#NAME?</v>
      </c>
      <c r="B5416">
        <v>412.5</v>
      </c>
      <c r="C5416">
        <v>20.478950000000001</v>
      </c>
      <c r="D5416">
        <v>71</v>
      </c>
      <c r="E5416">
        <v>0</v>
      </c>
      <c r="F5416">
        <v>0</v>
      </c>
      <c r="G5416">
        <v>6</v>
      </c>
      <c r="H5416" s="4">
        <v>1570553875923</v>
      </c>
      <c r="I5416">
        <v>532.5</v>
      </c>
      <c r="J5416" s="9">
        <f t="shared" si="84"/>
        <v>43746.998563923604</v>
      </c>
      <c r="K5416" s="1"/>
    </row>
    <row r="5417" spans="1:11" x14ac:dyDescent="0.25">
      <c r="A5417" t="e">
        <f>-LqgIai2NWFAd-w7HLhx</f>
        <v>#NAME?</v>
      </c>
      <c r="B5417">
        <v>393.75</v>
      </c>
      <c r="C5417">
        <v>20.478950000000001</v>
      </c>
      <c r="D5417">
        <v>73</v>
      </c>
      <c r="E5417">
        <v>0</v>
      </c>
      <c r="F5417">
        <v>0</v>
      </c>
      <c r="G5417">
        <v>17</v>
      </c>
      <c r="H5417" s="4">
        <v>1570553882133</v>
      </c>
      <c r="I5417">
        <v>526.6875</v>
      </c>
      <c r="J5417" s="9">
        <f t="shared" si="84"/>
        <v>43746.998635798613</v>
      </c>
      <c r="K5417" s="1"/>
    </row>
    <row r="5418" spans="1:11" x14ac:dyDescent="0.25">
      <c r="A5418" t="e">
        <f>-LqgIcpLVU1-XvUhT8t7</f>
        <v>#NAME?</v>
      </c>
      <c r="B5418">
        <v>393.75</v>
      </c>
      <c r="C5418">
        <v>20.478950000000001</v>
      </c>
      <c r="D5418">
        <v>72</v>
      </c>
      <c r="E5418">
        <v>0</v>
      </c>
      <c r="F5418">
        <v>0</v>
      </c>
      <c r="G5418">
        <v>2</v>
      </c>
      <c r="H5418" s="4">
        <v>1570553889363</v>
      </c>
      <c r="I5418">
        <v>526.6875</v>
      </c>
      <c r="J5418" s="9">
        <f t="shared" si="84"/>
        <v>43746.998719479168</v>
      </c>
      <c r="K5418" s="1"/>
    </row>
    <row r="5419" spans="1:11" x14ac:dyDescent="0.25">
      <c r="A5419" t="e">
        <f>-LqgIem2bBia-k7RWhV0</f>
        <v>#NAME?</v>
      </c>
      <c r="B5419">
        <v>393.75</v>
      </c>
      <c r="C5419">
        <v>20.478950000000001</v>
      </c>
      <c r="D5419">
        <v>71</v>
      </c>
      <c r="E5419">
        <v>0</v>
      </c>
      <c r="F5419">
        <v>0</v>
      </c>
      <c r="G5419">
        <v>8</v>
      </c>
      <c r="H5419" s="4">
        <v>1570553897594</v>
      </c>
      <c r="I5419">
        <v>526.6875</v>
      </c>
      <c r="J5419" s="9">
        <f t="shared" si="84"/>
        <v>43746.99881474537</v>
      </c>
      <c r="K5419" s="1"/>
    </row>
    <row r="5420" spans="1:11" x14ac:dyDescent="0.25">
      <c r="A5420" t="e">
        <f>-LqgIgTz_w2Uo2lt0PcZ</f>
        <v>#NAME?</v>
      </c>
      <c r="B5420">
        <v>393.75</v>
      </c>
      <c r="C5420">
        <v>20.478950000000001</v>
      </c>
      <c r="D5420">
        <v>69</v>
      </c>
      <c r="E5420">
        <v>0</v>
      </c>
      <c r="F5420">
        <v>0</v>
      </c>
      <c r="G5420">
        <v>5</v>
      </c>
      <c r="H5420" s="4">
        <v>1570553905834</v>
      </c>
      <c r="I5420">
        <v>526.6875</v>
      </c>
      <c r="J5420" s="9">
        <f t="shared" si="84"/>
        <v>43746.998910115733</v>
      </c>
      <c r="K5420" s="1"/>
    </row>
    <row r="5421" spans="1:11" x14ac:dyDescent="0.25">
      <c r="A5421" t="e">
        <f>-LqgIhz2629ca4PPDKlF</f>
        <v>#NAME?</v>
      </c>
      <c r="B5421">
        <v>396.875</v>
      </c>
      <c r="C5421">
        <v>20.478950000000001</v>
      </c>
      <c r="D5421">
        <v>69</v>
      </c>
      <c r="E5421">
        <v>0</v>
      </c>
      <c r="F5421">
        <v>0</v>
      </c>
      <c r="G5421">
        <v>8</v>
      </c>
      <c r="H5421" s="4">
        <v>1570553912013</v>
      </c>
      <c r="I5421">
        <v>527.4375</v>
      </c>
      <c r="J5421" s="9">
        <f t="shared" si="84"/>
        <v>43746.998981631943</v>
      </c>
      <c r="K5421" s="1"/>
    </row>
    <row r="5422" spans="1:11" x14ac:dyDescent="0.25">
      <c r="A5422" t="e">
        <f>-LqgIjT4O3WqVWV3d0BU</f>
        <v>#NAME?</v>
      </c>
      <c r="B5422">
        <v>396.875</v>
      </c>
      <c r="C5422">
        <v>20.478950000000001</v>
      </c>
      <c r="D5422">
        <v>69</v>
      </c>
      <c r="E5422">
        <v>0</v>
      </c>
      <c r="F5422">
        <v>0</v>
      </c>
      <c r="G5422">
        <v>7</v>
      </c>
      <c r="H5422" s="4">
        <v>1570553918174</v>
      </c>
      <c r="I5422">
        <v>527.625</v>
      </c>
      <c r="J5422" s="9">
        <f t="shared" si="84"/>
        <v>43746.999052939813</v>
      </c>
      <c r="K5422" s="1"/>
    </row>
    <row r="5423" spans="1:11" x14ac:dyDescent="0.25">
      <c r="A5423" t="e">
        <f>-LqgIl20fPn9lb8fM393</f>
        <v>#NAME?</v>
      </c>
      <c r="B5423">
        <v>396.875</v>
      </c>
      <c r="C5423">
        <v>20.478950000000001</v>
      </c>
      <c r="D5423">
        <v>69</v>
      </c>
      <c r="E5423">
        <v>0</v>
      </c>
      <c r="F5423">
        <v>0</v>
      </c>
      <c r="G5423">
        <v>12</v>
      </c>
      <c r="H5423" s="4">
        <v>1570553924385</v>
      </c>
      <c r="I5423">
        <v>527.4375</v>
      </c>
      <c r="J5423" s="9">
        <f t="shared" si="84"/>
        <v>43746.99912482639</v>
      </c>
      <c r="K5423" s="1"/>
    </row>
    <row r="5424" spans="1:11" x14ac:dyDescent="0.25">
      <c r="A5424" t="e">
        <f>-LqgImk4zAfpXghfKRlt</f>
        <v>#NAME?</v>
      </c>
      <c r="B5424">
        <v>396.875</v>
      </c>
      <c r="C5424">
        <v>20.478950000000001</v>
      </c>
      <c r="D5424">
        <v>69</v>
      </c>
      <c r="E5424">
        <v>0</v>
      </c>
      <c r="F5424">
        <v>0</v>
      </c>
      <c r="G5424">
        <v>3</v>
      </c>
      <c r="H5424" s="4">
        <v>1570553931606</v>
      </c>
      <c r="I5424">
        <v>527.4375</v>
      </c>
      <c r="J5424" s="9">
        <f t="shared" si="84"/>
        <v>43746.999208402776</v>
      </c>
      <c r="K5424" s="1"/>
    </row>
    <row r="5425" spans="1:11" x14ac:dyDescent="0.25">
      <c r="A5425" t="e">
        <f>-LqgIoE2pUCjXf5t7AUs</f>
        <v>#NAME?</v>
      </c>
      <c r="B5425">
        <v>396.875</v>
      </c>
      <c r="C5425">
        <v>20.531590000000001</v>
      </c>
      <c r="D5425">
        <v>68</v>
      </c>
      <c r="E5425">
        <v>0</v>
      </c>
      <c r="F5425">
        <v>0</v>
      </c>
      <c r="G5425">
        <v>2</v>
      </c>
      <c r="H5425" s="4">
        <v>1570553937775</v>
      </c>
      <c r="I5425">
        <v>527.4375</v>
      </c>
      <c r="J5425" s="9">
        <f t="shared" si="84"/>
        <v>43746.99927980324</v>
      </c>
      <c r="K5425" s="1"/>
    </row>
    <row r="5426" spans="1:11" x14ac:dyDescent="0.25">
      <c r="A5426" t="e">
        <f>-LqgIpn4GD8eEhpPj6xI</f>
        <v>#NAME?</v>
      </c>
      <c r="B5426">
        <v>393.75</v>
      </c>
      <c r="C5426">
        <v>20.478950000000001</v>
      </c>
      <c r="D5426">
        <v>67</v>
      </c>
      <c r="E5426">
        <v>0</v>
      </c>
      <c r="F5426">
        <v>0</v>
      </c>
      <c r="G5426">
        <v>6</v>
      </c>
      <c r="H5426" s="4">
        <v>1570553943953</v>
      </c>
      <c r="I5426">
        <v>526.6875</v>
      </c>
      <c r="J5426" s="9">
        <f t="shared" si="84"/>
        <v>43746.999351307866</v>
      </c>
      <c r="K5426" s="1"/>
    </row>
    <row r="5427" spans="1:11" x14ac:dyDescent="0.25">
      <c r="A5427" t="e">
        <f>-LqgIrH22INzQmNKf6HV</f>
        <v>#NAME?</v>
      </c>
      <c r="B5427">
        <v>396.875</v>
      </c>
      <c r="C5427">
        <v>20.478950000000001</v>
      </c>
      <c r="D5427">
        <v>67</v>
      </c>
      <c r="E5427">
        <v>0</v>
      </c>
      <c r="F5427">
        <v>0</v>
      </c>
      <c r="G5427">
        <v>5</v>
      </c>
      <c r="H5427" s="4">
        <v>1570553950115</v>
      </c>
      <c r="I5427">
        <v>527.4375</v>
      </c>
      <c r="J5427" s="9">
        <f t="shared" si="84"/>
        <v>43746.999422627312</v>
      </c>
      <c r="K5427" s="1"/>
    </row>
    <row r="5428" spans="1:11" x14ac:dyDescent="0.25">
      <c r="A5428" t="e">
        <f>-LqgIt38RbpIn87zk2FG</f>
        <v>#NAME?</v>
      </c>
      <c r="B5428">
        <v>415.625</v>
      </c>
      <c r="C5428">
        <v>20.478950000000001</v>
      </c>
      <c r="D5428">
        <v>67</v>
      </c>
      <c r="E5428">
        <v>0</v>
      </c>
      <c r="F5428">
        <v>0</v>
      </c>
      <c r="G5428">
        <v>13</v>
      </c>
      <c r="H5428" s="4">
        <v>1570553957546</v>
      </c>
      <c r="I5428">
        <v>533.25</v>
      </c>
      <c r="J5428" s="9">
        <f t="shared" si="84"/>
        <v>43746.999508634261</v>
      </c>
      <c r="K5428" s="1"/>
    </row>
    <row r="5429" spans="1:11" x14ac:dyDescent="0.25">
      <c r="A5429" t="e">
        <f>-LqgIunFyYjS0pzExs3e</f>
        <v>#NAME?</v>
      </c>
      <c r="B5429">
        <v>393.75</v>
      </c>
      <c r="C5429">
        <v>20.478950000000001</v>
      </c>
      <c r="D5429">
        <v>67</v>
      </c>
      <c r="E5429">
        <v>0</v>
      </c>
      <c r="F5429">
        <v>0</v>
      </c>
      <c r="G5429">
        <v>11</v>
      </c>
      <c r="H5429" s="4">
        <v>1570553964577</v>
      </c>
      <c r="I5429">
        <v>526.6875</v>
      </c>
      <c r="J5429" s="9">
        <f t="shared" si="84"/>
        <v>43746.999590011568</v>
      </c>
      <c r="K5429" s="1"/>
    </row>
    <row r="5430" spans="1:11" x14ac:dyDescent="0.25">
      <c r="A5430" t="e">
        <f>-LqgIwM8E2Sp6P0KHT5t</f>
        <v>#NAME?</v>
      </c>
      <c r="B5430">
        <v>393.75</v>
      </c>
      <c r="C5430">
        <v>20.478950000000001</v>
      </c>
      <c r="D5430">
        <v>67</v>
      </c>
      <c r="E5430">
        <v>0</v>
      </c>
      <c r="F5430">
        <v>0</v>
      </c>
      <c r="G5430">
        <v>7</v>
      </c>
      <c r="H5430" s="4">
        <v>1570553970746</v>
      </c>
      <c r="I5430">
        <v>526.6875</v>
      </c>
      <c r="J5430" s="9">
        <f t="shared" si="84"/>
        <v>43746.999661412039</v>
      </c>
      <c r="K5430" s="1"/>
    </row>
    <row r="5431" spans="1:11" x14ac:dyDescent="0.25">
      <c r="A5431" t="e">
        <f>-LqgIy46fGRPIbSbG7No</f>
        <v>#NAME?</v>
      </c>
      <c r="B5431">
        <v>393.75</v>
      </c>
      <c r="C5431">
        <v>20.478950000000001</v>
      </c>
      <c r="D5431">
        <v>68</v>
      </c>
      <c r="E5431">
        <v>0</v>
      </c>
      <c r="F5431">
        <v>0</v>
      </c>
      <c r="G5431">
        <v>8</v>
      </c>
      <c r="H5431" s="4">
        <v>1570553977958</v>
      </c>
      <c r="I5431">
        <v>526.875</v>
      </c>
      <c r="J5431" s="9">
        <f t="shared" si="84"/>
        <v>43746.999744884255</v>
      </c>
      <c r="K5431" s="1"/>
    </row>
    <row r="5432" spans="1:11" x14ac:dyDescent="0.25">
      <c r="A5432" t="e">
        <f>-LqgIzZ6r9J9Ii3Dy5Ay</f>
        <v>#NAME?</v>
      </c>
      <c r="B5432">
        <v>393.75</v>
      </c>
      <c r="C5432">
        <v>20.478950000000001</v>
      </c>
      <c r="D5432">
        <v>70</v>
      </c>
      <c r="E5432">
        <v>0</v>
      </c>
      <c r="F5432">
        <v>0</v>
      </c>
      <c r="G5432">
        <v>12</v>
      </c>
      <c r="H5432" s="4">
        <v>1570553984157</v>
      </c>
      <c r="I5432">
        <v>526.6875</v>
      </c>
      <c r="J5432" s="9">
        <f t="shared" si="84"/>
        <v>43746.999816631942</v>
      </c>
      <c r="K5432" s="1"/>
    </row>
    <row r="5433" spans="1:11" x14ac:dyDescent="0.25">
      <c r="A5433" t="e">
        <f>-LqgJ02GGtmH9rj3JZYe</f>
        <v>#NAME?</v>
      </c>
      <c r="B5433">
        <v>393.75</v>
      </c>
      <c r="C5433">
        <v>20.478950000000001</v>
      </c>
      <c r="D5433">
        <v>66</v>
      </c>
      <c r="E5433">
        <v>0</v>
      </c>
      <c r="F5433">
        <v>0</v>
      </c>
      <c r="G5433">
        <v>9</v>
      </c>
      <c r="H5433" s="4">
        <v>1570553990327</v>
      </c>
      <c r="I5433">
        <v>526.6875</v>
      </c>
      <c r="J5433" s="9">
        <f t="shared" si="84"/>
        <v>43746.999888043974</v>
      </c>
      <c r="K5433" s="1"/>
    </row>
    <row r="5434" spans="1:11" x14ac:dyDescent="0.25">
      <c r="A5434" t="e">
        <f>-LqgJ1b5Xo54N73tuSu7</f>
        <v>#NAME?</v>
      </c>
      <c r="B5434">
        <v>434.375</v>
      </c>
      <c r="C5434">
        <v>20.478950000000001</v>
      </c>
      <c r="D5434">
        <v>66</v>
      </c>
      <c r="E5434">
        <v>0</v>
      </c>
      <c r="F5434">
        <v>0</v>
      </c>
      <c r="G5434">
        <v>14</v>
      </c>
      <c r="H5434" s="4">
        <v>1570553996506</v>
      </c>
      <c r="I5434">
        <v>539.0625</v>
      </c>
      <c r="J5434" s="9">
        <f t="shared" si="84"/>
        <v>43746.999959560184</v>
      </c>
      <c r="K5434" s="1"/>
    </row>
    <row r="5435" spans="1:11" x14ac:dyDescent="0.25">
      <c r="A5435" t="e">
        <f>-LqgJ33q5voFrtiU1CQc</f>
        <v>#NAME?</v>
      </c>
      <c r="B5435">
        <v>393.75</v>
      </c>
      <c r="C5435">
        <v>20.531590000000001</v>
      </c>
      <c r="D5435">
        <v>65</v>
      </c>
      <c r="E5435">
        <v>0</v>
      </c>
      <c r="F5435">
        <v>0</v>
      </c>
      <c r="G5435">
        <v>15</v>
      </c>
      <c r="H5435" s="4">
        <v>1570554002667</v>
      </c>
      <c r="I5435">
        <v>526.6875</v>
      </c>
      <c r="J5435" s="9">
        <f t="shared" si="84"/>
        <v>43747.000030868054</v>
      </c>
      <c r="K5435" s="1"/>
    </row>
    <row r="5436" spans="1:11" x14ac:dyDescent="0.25">
      <c r="A5436" t="e">
        <f>-LqgJ4fXXJNMc4DLhi-1</f>
        <v>#NAME?</v>
      </c>
      <c r="B5436">
        <v>393.75</v>
      </c>
      <c r="C5436">
        <v>20.478950000000001</v>
      </c>
      <c r="D5436">
        <v>64</v>
      </c>
      <c r="E5436">
        <v>0</v>
      </c>
      <c r="F5436">
        <v>0</v>
      </c>
      <c r="G5436">
        <v>10</v>
      </c>
      <c r="H5436" s="4">
        <v>1570554008884</v>
      </c>
      <c r="I5436">
        <v>526.6875</v>
      </c>
      <c r="J5436" s="9">
        <f t="shared" si="84"/>
        <v>43747.000102824073</v>
      </c>
      <c r="K5436" s="1"/>
    </row>
    <row r="5437" spans="1:11" x14ac:dyDescent="0.25">
      <c r="A5437" t="e">
        <f>-LqgJ6N8g_MatBXlb0cb</f>
        <v>#NAME?</v>
      </c>
      <c r="B5437">
        <v>393.75</v>
      </c>
      <c r="C5437">
        <v>20.478950000000001</v>
      </c>
      <c r="D5437">
        <v>67</v>
      </c>
      <c r="E5437">
        <v>0</v>
      </c>
      <c r="F5437">
        <v>0</v>
      </c>
      <c r="G5437">
        <v>8</v>
      </c>
      <c r="H5437" s="4">
        <v>1570554016088</v>
      </c>
      <c r="I5437">
        <v>526.5</v>
      </c>
      <c r="J5437" s="9">
        <f t="shared" si="84"/>
        <v>43747.000186203702</v>
      </c>
      <c r="K5437" s="1"/>
    </row>
    <row r="5438" spans="1:11" x14ac:dyDescent="0.25">
      <c r="A5438" t="e">
        <f>-LqgJ7w6qv1R77cW9gma</f>
        <v>#NAME?</v>
      </c>
      <c r="B5438">
        <v>393.75</v>
      </c>
      <c r="C5438">
        <v>20.531590000000001</v>
      </c>
      <c r="D5438">
        <v>68</v>
      </c>
      <c r="E5438">
        <v>0</v>
      </c>
      <c r="F5438">
        <v>0</v>
      </c>
      <c r="G5438">
        <v>15</v>
      </c>
      <c r="H5438" s="4">
        <v>1570554022266</v>
      </c>
      <c r="I5438">
        <v>526.5</v>
      </c>
      <c r="J5438" s="9">
        <f t="shared" si="84"/>
        <v>43747.000257708329</v>
      </c>
      <c r="K5438" s="1"/>
    </row>
    <row r="5439" spans="1:11" x14ac:dyDescent="0.25">
      <c r="A5439" t="e">
        <f>-LqgJ9tRj2DMnMsVTkb9</f>
        <v>#NAME?</v>
      </c>
      <c r="B5439">
        <v>393.75</v>
      </c>
      <c r="C5439">
        <v>20.478950000000001</v>
      </c>
      <c r="D5439">
        <v>68</v>
      </c>
      <c r="E5439">
        <v>0</v>
      </c>
      <c r="F5439">
        <v>0</v>
      </c>
      <c r="G5439">
        <v>6</v>
      </c>
      <c r="H5439" s="4">
        <v>1570554029477</v>
      </c>
      <c r="I5439">
        <v>526.6875</v>
      </c>
      <c r="J5439" s="9">
        <f t="shared" si="84"/>
        <v>43747.000341168976</v>
      </c>
      <c r="K5439" s="1"/>
    </row>
    <row r="5440" spans="1:11" x14ac:dyDescent="0.25">
      <c r="A5440" t="e">
        <f>-LqgJBRAZatlr8AIDxax</f>
        <v>#NAME?</v>
      </c>
      <c r="B5440">
        <v>412.5</v>
      </c>
      <c r="C5440">
        <v>20.478950000000001</v>
      </c>
      <c r="D5440">
        <v>68</v>
      </c>
      <c r="E5440">
        <v>0</v>
      </c>
      <c r="F5440">
        <v>0</v>
      </c>
      <c r="G5440">
        <v>0</v>
      </c>
      <c r="H5440" s="4">
        <v>1570554036658</v>
      </c>
      <c r="I5440">
        <v>532.5</v>
      </c>
      <c r="J5440" s="9">
        <f t="shared" si="84"/>
        <v>43747.0004242824</v>
      </c>
      <c r="K5440" s="1"/>
    </row>
    <row r="5441" spans="1:11" x14ac:dyDescent="0.25">
      <c r="A5441" t="e">
        <f>-LqgJD906SvOlbiI5FSv</f>
        <v>#NAME?</v>
      </c>
      <c r="B5441">
        <v>393.75</v>
      </c>
      <c r="C5441">
        <v>20.478950000000001</v>
      </c>
      <c r="D5441">
        <v>69</v>
      </c>
      <c r="E5441">
        <v>0</v>
      </c>
      <c r="F5441">
        <v>0</v>
      </c>
      <c r="G5441">
        <v>2</v>
      </c>
      <c r="H5441" s="4">
        <v>1570554043907</v>
      </c>
      <c r="I5441">
        <v>526.5</v>
      </c>
      <c r="J5441" s="9">
        <f t="shared" si="84"/>
        <v>43747.000508182864</v>
      </c>
      <c r="K5441" s="1"/>
    </row>
    <row r="5442" spans="1:11" x14ac:dyDescent="0.25">
      <c r="A5442" t="e">
        <f>-LqgJEy7KDDRrhZR9Dzz</f>
        <v>#NAME?</v>
      </c>
      <c r="B5442">
        <v>393.75</v>
      </c>
      <c r="C5442">
        <v>20.478950000000001</v>
      </c>
      <c r="D5442">
        <v>69</v>
      </c>
      <c r="E5442">
        <v>0</v>
      </c>
      <c r="F5442">
        <v>0</v>
      </c>
      <c r="G5442">
        <v>11</v>
      </c>
      <c r="H5442" s="4">
        <v>1570554051118</v>
      </c>
      <c r="I5442">
        <v>526.6875</v>
      </c>
      <c r="J5442" s="9">
        <f t="shared" si="84"/>
        <v>43747.000591643511</v>
      </c>
      <c r="K5442" s="1"/>
    </row>
    <row r="5443" spans="1:11" x14ac:dyDescent="0.25">
      <c r="A5443" t="e">
        <f>-LqgJGdKjBGis93Fpbr4</f>
        <v>#NAME?</v>
      </c>
      <c r="B5443">
        <v>393.75</v>
      </c>
      <c r="C5443">
        <v>20.478950000000001</v>
      </c>
      <c r="D5443">
        <v>69</v>
      </c>
      <c r="E5443">
        <v>0</v>
      </c>
      <c r="F5443">
        <v>0</v>
      </c>
      <c r="G5443">
        <v>7</v>
      </c>
      <c r="H5443" s="4">
        <v>1570554058326</v>
      </c>
      <c r="I5443">
        <v>526.6875</v>
      </c>
      <c r="J5443" s="9">
        <f t="shared" ref="J5443:J5506" si="85">(H5443/86400000)+25569+(7/24)</f>
        <v>43747.000675069437</v>
      </c>
      <c r="K5443" s="1"/>
    </row>
    <row r="5444" spans="1:11" x14ac:dyDescent="0.25">
      <c r="A5444" t="e">
        <f>-LqgJIXsflIvpiUkgFXJ</f>
        <v>#NAME?</v>
      </c>
      <c r="B5444">
        <v>393.75</v>
      </c>
      <c r="C5444">
        <v>20.478950000000001</v>
      </c>
      <c r="D5444">
        <v>70</v>
      </c>
      <c r="E5444">
        <v>0</v>
      </c>
      <c r="F5444">
        <v>0</v>
      </c>
      <c r="G5444">
        <v>15</v>
      </c>
      <c r="H5444" s="4">
        <v>1570554064506</v>
      </c>
      <c r="I5444">
        <v>526.6875</v>
      </c>
      <c r="J5444" s="9">
        <f t="shared" si="85"/>
        <v>43747.000746597223</v>
      </c>
      <c r="K5444" s="1"/>
    </row>
    <row r="5445" spans="1:11" x14ac:dyDescent="0.25">
      <c r="A5445" t="e">
        <f>-LqgJKC6RLzPRG_qPn_D</f>
        <v>#NAME?</v>
      </c>
      <c r="B5445">
        <v>393.75</v>
      </c>
      <c r="C5445">
        <v>20.478950000000001</v>
      </c>
      <c r="D5445">
        <v>69</v>
      </c>
      <c r="E5445">
        <v>0</v>
      </c>
      <c r="F5445">
        <v>0</v>
      </c>
      <c r="G5445">
        <v>10</v>
      </c>
      <c r="H5445" s="4">
        <v>1570554072727</v>
      </c>
      <c r="I5445">
        <v>526.6875</v>
      </c>
      <c r="J5445" s="9">
        <f t="shared" si="85"/>
        <v>43747.000841747686</v>
      </c>
      <c r="K5445" s="1"/>
    </row>
    <row r="5446" spans="1:11" x14ac:dyDescent="0.25">
      <c r="A5446" t="e">
        <f>-LqgJLjsO038-l1AZQ_z</f>
        <v>#NAME?</v>
      </c>
      <c r="B5446">
        <v>393.75</v>
      </c>
      <c r="C5446">
        <v>20.531590000000001</v>
      </c>
      <c r="D5446">
        <v>70</v>
      </c>
      <c r="E5446">
        <v>0</v>
      </c>
      <c r="F5446">
        <v>0</v>
      </c>
      <c r="G5446">
        <v>9</v>
      </c>
      <c r="H5446" s="4">
        <v>1570554078937</v>
      </c>
      <c r="I5446">
        <v>526.6875</v>
      </c>
      <c r="J5446" s="9">
        <f t="shared" si="85"/>
        <v>43747.00091362268</v>
      </c>
      <c r="K5446" s="1"/>
    </row>
    <row r="5447" spans="1:11" x14ac:dyDescent="0.25">
      <c r="A5447" t="s">
        <v>297</v>
      </c>
      <c r="B5447">
        <v>393.75</v>
      </c>
      <c r="C5447">
        <v>20.584240000000001</v>
      </c>
      <c r="D5447">
        <v>70</v>
      </c>
      <c r="E5447">
        <v>0</v>
      </c>
      <c r="F5447">
        <v>0</v>
      </c>
      <c r="G5447">
        <v>1</v>
      </c>
      <c r="H5447" s="4">
        <v>1570554085117</v>
      </c>
      <c r="I5447">
        <v>526.6875</v>
      </c>
      <c r="J5447" s="9">
        <f t="shared" si="85"/>
        <v>43747.000985150466</v>
      </c>
      <c r="K5447" s="1"/>
    </row>
    <row r="5448" spans="1:11" x14ac:dyDescent="0.25">
      <c r="A5448" t="e">
        <f>-LqgJOjR1IYY0GsCq5ED</f>
        <v>#NAME?</v>
      </c>
      <c r="B5448">
        <v>393.75</v>
      </c>
      <c r="C5448">
        <v>20.531590000000001</v>
      </c>
      <c r="D5448">
        <v>70</v>
      </c>
      <c r="E5448">
        <v>0</v>
      </c>
      <c r="F5448">
        <v>0</v>
      </c>
      <c r="G5448">
        <v>0</v>
      </c>
      <c r="H5448" s="4">
        <v>1570554091290</v>
      </c>
      <c r="I5448">
        <v>526.6875</v>
      </c>
      <c r="J5448" s="9">
        <f t="shared" si="85"/>
        <v>43747.001056597219</v>
      </c>
      <c r="K5448" s="1"/>
    </row>
    <row r="5449" spans="1:11" x14ac:dyDescent="0.25">
      <c r="A5449" t="e">
        <f>-LqgJQS6kVhCnQMOB6Fb</f>
        <v>#NAME?</v>
      </c>
      <c r="B5449">
        <v>393.75</v>
      </c>
      <c r="C5449">
        <v>20.478950000000001</v>
      </c>
      <c r="D5449">
        <v>70</v>
      </c>
      <c r="E5449">
        <v>0</v>
      </c>
      <c r="F5449">
        <v>0</v>
      </c>
      <c r="G5449">
        <v>9</v>
      </c>
      <c r="H5449" s="4">
        <v>1570554097486</v>
      </c>
      <c r="I5449">
        <v>526.6875</v>
      </c>
      <c r="J5449" s="9">
        <f t="shared" si="85"/>
        <v>43747.001128310185</v>
      </c>
      <c r="K5449" s="1"/>
    </row>
    <row r="5450" spans="1:11" x14ac:dyDescent="0.25">
      <c r="A5450" t="e">
        <f>-LqgJS06H_PMaRakek6s</f>
        <v>#NAME?</v>
      </c>
      <c r="B5450">
        <v>393.75</v>
      </c>
      <c r="C5450">
        <v>20.478950000000001</v>
      </c>
      <c r="D5450">
        <v>69</v>
      </c>
      <c r="E5450">
        <v>0</v>
      </c>
      <c r="F5450">
        <v>0</v>
      </c>
      <c r="G5450">
        <v>12</v>
      </c>
      <c r="H5450" s="4">
        <v>1570554104697</v>
      </c>
      <c r="I5450">
        <v>526.6875</v>
      </c>
      <c r="J5450" s="9">
        <f t="shared" si="85"/>
        <v>43747.001211770832</v>
      </c>
      <c r="K5450" s="1"/>
    </row>
    <row r="5451" spans="1:11" x14ac:dyDescent="0.25">
      <c r="A5451" t="e">
        <f>-LqgJTo5Nh3AypHbG0KE</f>
        <v>#NAME?</v>
      </c>
      <c r="B5451">
        <v>393.75</v>
      </c>
      <c r="C5451">
        <v>20.531590000000001</v>
      </c>
      <c r="D5451">
        <v>69</v>
      </c>
      <c r="E5451">
        <v>0</v>
      </c>
      <c r="F5451">
        <v>0</v>
      </c>
      <c r="G5451">
        <v>9</v>
      </c>
      <c r="H5451" s="4">
        <v>1570554110876</v>
      </c>
      <c r="I5451">
        <v>526.6875</v>
      </c>
      <c r="J5451" s="9">
        <f t="shared" si="85"/>
        <v>43747.001283287034</v>
      </c>
      <c r="K5451" s="1"/>
    </row>
    <row r="5452" spans="1:11" x14ac:dyDescent="0.25">
      <c r="A5452" t="e">
        <f>-LqgJVXBh-cdLxi4ig8R</f>
        <v>#NAME?</v>
      </c>
      <c r="B5452">
        <v>393.75</v>
      </c>
      <c r="C5452">
        <v>20.478950000000001</v>
      </c>
      <c r="D5452">
        <v>70</v>
      </c>
      <c r="E5452">
        <v>0</v>
      </c>
      <c r="F5452">
        <v>0</v>
      </c>
      <c r="G5452">
        <v>9</v>
      </c>
      <c r="H5452" s="4">
        <v>1570554119127</v>
      </c>
      <c r="I5452">
        <v>526.6875</v>
      </c>
      <c r="J5452" s="9">
        <f t="shared" si="85"/>
        <v>43747.00137878472</v>
      </c>
      <c r="K5452" s="1"/>
    </row>
    <row r="5453" spans="1:11" x14ac:dyDescent="0.25">
      <c r="A5453" t="e">
        <f>-LqgJXK7DLQzq5qOoaww</f>
        <v>#NAME?</v>
      </c>
      <c r="B5453">
        <v>393.75</v>
      </c>
      <c r="C5453">
        <v>20.478950000000001</v>
      </c>
      <c r="D5453">
        <v>69</v>
      </c>
      <c r="E5453">
        <v>0</v>
      </c>
      <c r="F5453">
        <v>0</v>
      </c>
      <c r="G5453">
        <v>10</v>
      </c>
      <c r="H5453" s="4">
        <v>1570554126338</v>
      </c>
      <c r="I5453">
        <v>526.6875</v>
      </c>
      <c r="J5453" s="9">
        <f t="shared" si="85"/>
        <v>43747.001462245367</v>
      </c>
      <c r="K5453" s="1"/>
    </row>
    <row r="5454" spans="1:11" x14ac:dyDescent="0.25">
      <c r="A5454" t="e">
        <f>-LqgJZ26nHm8lnEkpwXJ</f>
        <v>#NAME?</v>
      </c>
      <c r="B5454">
        <v>393.75</v>
      </c>
      <c r="C5454">
        <v>20.531590000000001</v>
      </c>
      <c r="D5454">
        <v>71</v>
      </c>
      <c r="E5454">
        <v>0</v>
      </c>
      <c r="F5454">
        <v>0</v>
      </c>
      <c r="G5454">
        <v>2</v>
      </c>
      <c r="H5454" s="4">
        <v>1570554133526</v>
      </c>
      <c r="I5454">
        <v>526.6875</v>
      </c>
      <c r="J5454" s="9">
        <f t="shared" si="85"/>
        <v>43747.001545439816</v>
      </c>
      <c r="K5454" s="1"/>
    </row>
    <row r="5455" spans="1:11" x14ac:dyDescent="0.25">
      <c r="A5455" t="e">
        <f>-LqgJ_bG29iEUwyP-#REF!</f>
        <v>#NAME?</v>
      </c>
      <c r="B5455">
        <v>393.75</v>
      </c>
      <c r="C5455">
        <v>20.478950000000001</v>
      </c>
      <c r="D5455">
        <v>72</v>
      </c>
      <c r="E5455">
        <v>0</v>
      </c>
      <c r="F5455">
        <v>0</v>
      </c>
      <c r="G5455">
        <v>3</v>
      </c>
      <c r="H5455" s="4">
        <v>1570554139706</v>
      </c>
      <c r="I5455">
        <v>526.6875</v>
      </c>
      <c r="J5455" s="9">
        <f t="shared" si="85"/>
        <v>43747.001616967587</v>
      </c>
      <c r="K5455" s="1"/>
    </row>
    <row r="5456" spans="1:11" x14ac:dyDescent="0.25">
      <c r="A5456" t="e">
        <f>-LqgJbKFhEmXUT7_YTfD</f>
        <v>#NAME?</v>
      </c>
      <c r="B5456">
        <v>393.75</v>
      </c>
      <c r="C5456">
        <v>20.478950000000001</v>
      </c>
      <c r="D5456">
        <v>70</v>
      </c>
      <c r="E5456">
        <v>0</v>
      </c>
      <c r="F5456">
        <v>0</v>
      </c>
      <c r="G5456">
        <v>7</v>
      </c>
      <c r="H5456" s="4">
        <v>1570554146946</v>
      </c>
      <c r="I5456">
        <v>526.6875</v>
      </c>
      <c r="J5456" s="9">
        <f t="shared" si="85"/>
        <v>43747.001700763889</v>
      </c>
      <c r="K5456" s="1"/>
    </row>
    <row r="5457" spans="1:11" x14ac:dyDescent="0.25">
      <c r="A5457" t="e">
        <f>-LqgJco7mQ7-IMbSgRFh</f>
        <v>#NAME?</v>
      </c>
      <c r="B5457">
        <v>393.75</v>
      </c>
      <c r="C5457">
        <v>20.478950000000001</v>
      </c>
      <c r="D5457">
        <v>68</v>
      </c>
      <c r="E5457">
        <v>0</v>
      </c>
      <c r="F5457">
        <v>0</v>
      </c>
      <c r="G5457">
        <v>12</v>
      </c>
      <c r="H5457" s="4">
        <v>1570554153126</v>
      </c>
      <c r="I5457">
        <v>526.6875</v>
      </c>
      <c r="J5457" s="9">
        <f t="shared" si="85"/>
        <v>43747.00177229166</v>
      </c>
      <c r="K5457" s="1"/>
    </row>
    <row r="5458" spans="1:11" x14ac:dyDescent="0.25">
      <c r="A5458" t="e">
        <f>-LqgJeM0Tj-o-CCF3UZP</f>
        <v>#NAME?</v>
      </c>
      <c r="B5458">
        <v>393.75</v>
      </c>
      <c r="C5458">
        <v>20.531590000000001</v>
      </c>
      <c r="D5458">
        <v>67</v>
      </c>
      <c r="E5458">
        <v>0</v>
      </c>
      <c r="F5458">
        <v>0</v>
      </c>
      <c r="G5458">
        <v>1</v>
      </c>
      <c r="H5458" s="4">
        <v>1570554159307</v>
      </c>
      <c r="I5458">
        <v>526.5</v>
      </c>
      <c r="J5458" s="9">
        <f t="shared" si="85"/>
        <v>43747.001843831014</v>
      </c>
      <c r="K5458" s="1"/>
    </row>
    <row r="5459" spans="1:11" x14ac:dyDescent="0.25">
      <c r="A5459" t="e">
        <f>-LqgJfr5ovmFU6HDFTG_</f>
        <v>#NAME?</v>
      </c>
      <c r="B5459">
        <v>393.75</v>
      </c>
      <c r="C5459">
        <v>20.531590000000001</v>
      </c>
      <c r="D5459">
        <v>67</v>
      </c>
      <c r="E5459">
        <v>0</v>
      </c>
      <c r="F5459">
        <v>0</v>
      </c>
      <c r="G5459">
        <v>16</v>
      </c>
      <c r="H5459" s="4">
        <v>1570554165486</v>
      </c>
      <c r="I5459">
        <v>526.6875</v>
      </c>
      <c r="J5459" s="9">
        <f t="shared" si="85"/>
        <v>43747.001915347217</v>
      </c>
      <c r="K5459" s="1"/>
    </row>
    <row r="5460" spans="1:11" x14ac:dyDescent="0.25">
      <c r="A5460" t="e">
        <f>-LqgJhL451aOH7XmUf6D</f>
        <v>#NAME?</v>
      </c>
      <c r="B5460">
        <v>393.75</v>
      </c>
      <c r="C5460">
        <v>20.478950000000001</v>
      </c>
      <c r="D5460">
        <v>67</v>
      </c>
      <c r="E5460">
        <v>0</v>
      </c>
      <c r="F5460">
        <v>0</v>
      </c>
      <c r="G5460">
        <v>11</v>
      </c>
      <c r="H5460" s="4">
        <v>1570554171686</v>
      </c>
      <c r="I5460">
        <v>526.6875</v>
      </c>
      <c r="J5460" s="9">
        <f t="shared" si="85"/>
        <v>43747.00198710648</v>
      </c>
      <c r="K5460" s="1"/>
    </row>
    <row r="5461" spans="1:11" x14ac:dyDescent="0.25">
      <c r="A5461" t="e">
        <f>-LqgJjDHEbAez6R9b_ZU</f>
        <v>#NAME?</v>
      </c>
      <c r="B5461">
        <v>412.5</v>
      </c>
      <c r="C5461">
        <v>20.478950000000001</v>
      </c>
      <c r="D5461">
        <v>67</v>
      </c>
      <c r="E5461">
        <v>0</v>
      </c>
      <c r="F5461">
        <v>0</v>
      </c>
      <c r="G5461">
        <v>12</v>
      </c>
      <c r="H5461" s="4">
        <v>1570554177856</v>
      </c>
      <c r="I5461">
        <v>532.3125</v>
      </c>
      <c r="J5461" s="9">
        <f t="shared" si="85"/>
        <v>43747.002058518519</v>
      </c>
      <c r="K5461" s="1"/>
    </row>
    <row r="5462" spans="1:11" x14ac:dyDescent="0.25">
      <c r="A5462" t="e">
        <f>-LqgJkwDW580s5ZiTPOc</f>
        <v>#NAME?</v>
      </c>
      <c r="B5462">
        <v>393.75</v>
      </c>
      <c r="C5462">
        <v>20.531590000000001</v>
      </c>
      <c r="D5462">
        <v>68</v>
      </c>
      <c r="E5462">
        <v>0</v>
      </c>
      <c r="F5462">
        <v>0</v>
      </c>
      <c r="G5462">
        <v>11</v>
      </c>
      <c r="H5462" s="4">
        <v>1570554186119</v>
      </c>
      <c r="I5462">
        <v>526.5</v>
      </c>
      <c r="J5462" s="9">
        <f t="shared" si="85"/>
        <v>43747.002154155089</v>
      </c>
      <c r="K5462" s="1"/>
    </row>
    <row r="5463" spans="1:11" x14ac:dyDescent="0.25">
      <c r="A5463" t="e">
        <f>-LqgJmjjivtl4lqja0iN</f>
        <v>#NAME?</v>
      </c>
      <c r="B5463">
        <v>418.75</v>
      </c>
      <c r="C5463">
        <v>20.478950000000001</v>
      </c>
      <c r="D5463">
        <v>68</v>
      </c>
      <c r="E5463">
        <v>0</v>
      </c>
      <c r="F5463">
        <v>0</v>
      </c>
      <c r="G5463">
        <v>16</v>
      </c>
      <c r="H5463" s="4">
        <v>1570554193320</v>
      </c>
      <c r="I5463">
        <v>534.1875</v>
      </c>
      <c r="J5463" s="9">
        <f t="shared" si="85"/>
        <v>43747.002237499997</v>
      </c>
      <c r="K5463" s="1"/>
    </row>
    <row r="5464" spans="1:11" x14ac:dyDescent="0.25">
      <c r="A5464" t="e">
        <f>-LqgJoS8ntJJPDklkwF1</f>
        <v>#NAME?</v>
      </c>
      <c r="B5464">
        <v>393.75</v>
      </c>
      <c r="C5464">
        <v>20.478950000000001</v>
      </c>
      <c r="D5464">
        <v>69</v>
      </c>
      <c r="E5464">
        <v>0</v>
      </c>
      <c r="F5464">
        <v>0</v>
      </c>
      <c r="G5464">
        <v>14</v>
      </c>
      <c r="H5464" s="4">
        <v>1570554200527</v>
      </c>
      <c r="I5464">
        <v>526.6875</v>
      </c>
      <c r="J5464" s="9">
        <f t="shared" si="85"/>
        <v>43747.002320914347</v>
      </c>
      <c r="K5464" s="1"/>
    </row>
    <row r="5465" spans="1:11" x14ac:dyDescent="0.25">
      <c r="A5465" t="e">
        <f>-LqgJq7cbL9GyEKtdAB8</f>
        <v>#NAME?</v>
      </c>
      <c r="B5465">
        <v>393.75</v>
      </c>
      <c r="C5465">
        <v>20.531590000000001</v>
      </c>
      <c r="D5465">
        <v>69</v>
      </c>
      <c r="E5465">
        <v>0</v>
      </c>
      <c r="F5465">
        <v>0</v>
      </c>
      <c r="G5465">
        <v>8</v>
      </c>
      <c r="H5465" s="4">
        <v>1570554207738</v>
      </c>
      <c r="I5465">
        <v>526.6875</v>
      </c>
      <c r="J5465" s="9">
        <f t="shared" si="85"/>
        <v>43747.002404374995</v>
      </c>
      <c r="K5465" s="1"/>
    </row>
    <row r="5466" spans="1:11" x14ac:dyDescent="0.25">
      <c r="A5466" t="e">
        <f>-LqgJrd0xlB8tph97x1o</f>
        <v>#NAME?</v>
      </c>
      <c r="B5466">
        <v>393.75</v>
      </c>
      <c r="C5466">
        <v>20.478950000000001</v>
      </c>
      <c r="D5466">
        <v>68</v>
      </c>
      <c r="E5466">
        <v>0</v>
      </c>
      <c r="F5466">
        <v>0</v>
      </c>
      <c r="G5466">
        <v>5</v>
      </c>
      <c r="H5466" s="4">
        <v>1570554213919</v>
      </c>
      <c r="I5466">
        <v>526.6875</v>
      </c>
      <c r="J5466" s="9">
        <f t="shared" si="85"/>
        <v>43747.002475914349</v>
      </c>
      <c r="K5466" s="1"/>
    </row>
    <row r="5467" spans="1:11" x14ac:dyDescent="0.25">
      <c r="A5467" t="e">
        <f>-LqgJtD765W9nxCc0YUL</f>
        <v>#NAME?</v>
      </c>
      <c r="B5467">
        <v>393.75</v>
      </c>
      <c r="C5467">
        <v>20.531590000000001</v>
      </c>
      <c r="D5467">
        <v>68</v>
      </c>
      <c r="E5467">
        <v>0</v>
      </c>
      <c r="F5467">
        <v>0</v>
      </c>
      <c r="G5467">
        <v>6</v>
      </c>
      <c r="H5467" s="4">
        <v>1570554220109</v>
      </c>
      <c r="I5467">
        <v>526.6875</v>
      </c>
      <c r="J5467" s="9">
        <f t="shared" si="85"/>
        <v>43747.002547557866</v>
      </c>
      <c r="K5467" s="1"/>
    </row>
    <row r="5468" spans="1:11" x14ac:dyDescent="0.25">
      <c r="A5468" t="e">
        <f>-LqgJuh8WdEvDs0fj3dv</f>
        <v>#NAME?</v>
      </c>
      <c r="B5468">
        <v>393.75</v>
      </c>
      <c r="C5468">
        <v>20.531590000000001</v>
      </c>
      <c r="D5468">
        <v>68</v>
      </c>
      <c r="E5468">
        <v>0</v>
      </c>
      <c r="F5468">
        <v>0</v>
      </c>
      <c r="G5468">
        <v>6</v>
      </c>
      <c r="H5468" s="4">
        <v>1570554226278</v>
      </c>
      <c r="I5468">
        <v>526.6875</v>
      </c>
      <c r="J5468" s="9">
        <f t="shared" si="85"/>
        <v>43747.00261895833</v>
      </c>
      <c r="K5468" s="1"/>
    </row>
    <row r="5469" spans="1:11" x14ac:dyDescent="0.25">
      <c r="A5469" t="e">
        <f>-LqgJwB7z-QqVLZNJECA</f>
        <v>#NAME?</v>
      </c>
      <c r="B5469">
        <v>393.75</v>
      </c>
      <c r="C5469">
        <v>20.531590000000001</v>
      </c>
      <c r="D5469">
        <v>68</v>
      </c>
      <c r="E5469">
        <v>0</v>
      </c>
      <c r="F5469">
        <v>0</v>
      </c>
      <c r="G5469">
        <v>5</v>
      </c>
      <c r="H5469" s="4">
        <v>1570554232470</v>
      </c>
      <c r="I5469">
        <v>526.6875</v>
      </c>
      <c r="J5469" s="9">
        <f t="shared" si="85"/>
        <v>43747.002690624999</v>
      </c>
      <c r="K5469" s="1"/>
    </row>
    <row r="5470" spans="1:11" x14ac:dyDescent="0.25">
      <c r="A5470" t="e">
        <f>-LqgJxvz66bzEgqIOf2a</f>
        <v>#NAME?</v>
      </c>
      <c r="B5470">
        <v>393.75</v>
      </c>
      <c r="C5470">
        <v>20.531590000000001</v>
      </c>
      <c r="D5470">
        <v>70</v>
      </c>
      <c r="E5470">
        <v>0</v>
      </c>
      <c r="F5470">
        <v>0</v>
      </c>
      <c r="G5470">
        <v>2</v>
      </c>
      <c r="H5470" s="4">
        <v>1570554238660</v>
      </c>
      <c r="I5470">
        <v>526.6875</v>
      </c>
      <c r="J5470" s="9">
        <f t="shared" si="85"/>
        <v>43747.002762268516</v>
      </c>
      <c r="K5470" s="1"/>
    </row>
    <row r="5471" spans="1:11" x14ac:dyDescent="0.25">
      <c r="A5471" t="e">
        <f>-LqgJzRtXWvJ-S-mj37U</f>
        <v>#NAME?</v>
      </c>
      <c r="B5471">
        <v>396.875</v>
      </c>
      <c r="C5471">
        <v>20.478950000000001</v>
      </c>
      <c r="D5471">
        <v>70</v>
      </c>
      <c r="E5471">
        <v>0</v>
      </c>
      <c r="F5471">
        <v>0</v>
      </c>
      <c r="G5471">
        <v>8</v>
      </c>
      <c r="H5471" s="4">
        <v>1570554245848</v>
      </c>
      <c r="I5471">
        <v>527.4375</v>
      </c>
      <c r="J5471" s="9">
        <f t="shared" si="85"/>
        <v>43747.002845462957</v>
      </c>
      <c r="K5471" s="1"/>
    </row>
    <row r="5472" spans="1:11" x14ac:dyDescent="0.25">
      <c r="A5472" t="e">
        <f>-LqgK018xRbZktYrh8z4</f>
        <v>#NAME?</v>
      </c>
      <c r="B5472">
        <v>393.75</v>
      </c>
      <c r="C5472">
        <v>20.478950000000001</v>
      </c>
      <c r="D5472">
        <v>70</v>
      </c>
      <c r="E5472">
        <v>0</v>
      </c>
      <c r="F5472">
        <v>0</v>
      </c>
      <c r="G5472">
        <v>8</v>
      </c>
      <c r="H5472" s="4">
        <v>1570554252047</v>
      </c>
      <c r="I5472">
        <v>526.6875</v>
      </c>
      <c r="J5472" s="9">
        <f t="shared" si="85"/>
        <v>43747.002917210644</v>
      </c>
      <c r="K5472" s="1"/>
    </row>
    <row r="5473" spans="1:11" x14ac:dyDescent="0.25">
      <c r="A5473" t="e">
        <f>-LqgK1k8OFPI0zfCxpMt</f>
        <v>#NAME?</v>
      </c>
      <c r="B5473">
        <v>393.75</v>
      </c>
      <c r="C5473">
        <v>20.531590000000001</v>
      </c>
      <c r="D5473">
        <v>70</v>
      </c>
      <c r="E5473">
        <v>0</v>
      </c>
      <c r="F5473">
        <v>0</v>
      </c>
      <c r="G5473">
        <v>8</v>
      </c>
      <c r="H5473" s="4">
        <v>1570554259263</v>
      </c>
      <c r="I5473">
        <v>526.5</v>
      </c>
      <c r="J5473" s="9">
        <f t="shared" si="85"/>
        <v>43747.003000729164</v>
      </c>
      <c r="K5473" s="1"/>
    </row>
    <row r="5474" spans="1:11" x14ac:dyDescent="0.25">
      <c r="A5474" t="e">
        <f>-LqgK3E861cl7mL2NsLQ</f>
        <v>#NAME?</v>
      </c>
      <c r="B5474">
        <v>393.75</v>
      </c>
      <c r="C5474">
        <v>20.531590000000001</v>
      </c>
      <c r="D5474">
        <v>70</v>
      </c>
      <c r="E5474">
        <v>0</v>
      </c>
      <c r="F5474">
        <v>0</v>
      </c>
      <c r="G5474">
        <v>5</v>
      </c>
      <c r="H5474" s="4">
        <v>1570554265438</v>
      </c>
      <c r="I5474">
        <v>526.6875</v>
      </c>
      <c r="J5474" s="9">
        <f t="shared" si="85"/>
        <v>43747.00307219907</v>
      </c>
      <c r="K5474" s="1"/>
    </row>
    <row r="5475" spans="1:11" x14ac:dyDescent="0.25">
      <c r="A5475" t="e">
        <f>-LqgK4n8Wb4ME7BsG8qN</f>
        <v>#NAME?</v>
      </c>
      <c r="B5475">
        <v>393.75</v>
      </c>
      <c r="C5475">
        <v>20.478950000000001</v>
      </c>
      <c r="D5475">
        <v>70</v>
      </c>
      <c r="E5475">
        <v>0</v>
      </c>
      <c r="F5475">
        <v>0</v>
      </c>
      <c r="G5475">
        <v>0</v>
      </c>
      <c r="H5475" s="4">
        <v>1570554271619</v>
      </c>
      <c r="I5475">
        <v>526.6875</v>
      </c>
      <c r="J5475" s="9">
        <f t="shared" si="85"/>
        <v>43747.003143738424</v>
      </c>
      <c r="K5475" s="1"/>
    </row>
    <row r="5476" spans="1:11" x14ac:dyDescent="0.25">
      <c r="A5476" t="e">
        <f>-LqgK6H6rjSNwIyC5b_3</f>
        <v>#NAME?</v>
      </c>
      <c r="B5476">
        <v>418.75</v>
      </c>
      <c r="C5476">
        <v>20.478950000000001</v>
      </c>
      <c r="D5476">
        <v>70</v>
      </c>
      <c r="E5476">
        <v>0</v>
      </c>
      <c r="F5476">
        <v>0</v>
      </c>
      <c r="G5476">
        <v>9</v>
      </c>
      <c r="H5476" s="4">
        <v>1570554277801</v>
      </c>
      <c r="I5476">
        <v>534.375</v>
      </c>
      <c r="J5476" s="9">
        <f t="shared" si="85"/>
        <v>43747.003215289347</v>
      </c>
      <c r="K5476" s="1"/>
    </row>
    <row r="5477" spans="1:11" x14ac:dyDescent="0.25">
      <c r="A5477" t="e">
        <f>-LqgK7l8JFt3qnhuBekb</f>
        <v>#NAME?</v>
      </c>
      <c r="B5477">
        <v>393.75</v>
      </c>
      <c r="C5477">
        <v>20.478950000000001</v>
      </c>
      <c r="D5477">
        <v>65</v>
      </c>
      <c r="E5477">
        <v>0</v>
      </c>
      <c r="F5477">
        <v>0</v>
      </c>
      <c r="G5477">
        <v>10</v>
      </c>
      <c r="H5477" s="4">
        <v>1570554283991</v>
      </c>
      <c r="I5477">
        <v>526.6875</v>
      </c>
      <c r="J5477" s="9">
        <f t="shared" si="85"/>
        <v>43747.003286932864</v>
      </c>
      <c r="K5477" s="1"/>
    </row>
    <row r="5478" spans="1:11" x14ac:dyDescent="0.25">
      <c r="A5478" t="e">
        <f>-LqgK9K8l4tep2zgJlV9</f>
        <v>#NAME?</v>
      </c>
      <c r="B5478">
        <v>393.75</v>
      </c>
      <c r="C5478">
        <v>20.478950000000001</v>
      </c>
      <c r="D5478">
        <v>65</v>
      </c>
      <c r="E5478">
        <v>0</v>
      </c>
      <c r="F5478">
        <v>0</v>
      </c>
      <c r="G5478">
        <v>8</v>
      </c>
      <c r="H5478" s="4">
        <v>1570554290168</v>
      </c>
      <c r="I5478">
        <v>526.5</v>
      </c>
      <c r="J5478" s="9">
        <f t="shared" si="85"/>
        <v>43747.003358425922</v>
      </c>
      <c r="K5478" s="1"/>
    </row>
    <row r="5479" spans="1:11" x14ac:dyDescent="0.25">
      <c r="A5479" t="e">
        <f>-LqgKB28kPT3malgIdGH</f>
        <v>#NAME?</v>
      </c>
      <c r="B5479">
        <v>393.75</v>
      </c>
      <c r="C5479">
        <v>20.478950000000001</v>
      </c>
      <c r="D5479">
        <v>67</v>
      </c>
      <c r="E5479">
        <v>0</v>
      </c>
      <c r="F5479">
        <v>0</v>
      </c>
      <c r="G5479">
        <v>19</v>
      </c>
      <c r="H5479" s="4">
        <v>1570554297369</v>
      </c>
      <c r="I5479">
        <v>526.6875</v>
      </c>
      <c r="J5479" s="9">
        <f t="shared" si="85"/>
        <v>43747.00344177083</v>
      </c>
      <c r="K5479" s="1"/>
    </row>
    <row r="5480" spans="1:11" x14ac:dyDescent="0.25">
      <c r="A5480" t="e">
        <f>-LqgKCcNlhqkOs7QUQIX</f>
        <v>#NAME?</v>
      </c>
      <c r="B5480">
        <v>393.75</v>
      </c>
      <c r="C5480">
        <v>20.478950000000001</v>
      </c>
      <c r="D5480">
        <v>67</v>
      </c>
      <c r="E5480">
        <v>0</v>
      </c>
      <c r="F5480">
        <v>0</v>
      </c>
      <c r="G5480">
        <v>9</v>
      </c>
      <c r="H5480" s="4">
        <v>1570554303568</v>
      </c>
      <c r="I5480">
        <v>526.5</v>
      </c>
      <c r="J5480" s="9">
        <f t="shared" si="85"/>
        <v>43747.003513518517</v>
      </c>
      <c r="K5480" s="1"/>
    </row>
    <row r="5481" spans="1:11" x14ac:dyDescent="0.25">
      <c r="A5481" t="e">
        <f>-LqgKEK6cnGvuSnC8DIS</f>
        <v>#NAME?</v>
      </c>
      <c r="B5481">
        <v>393.75</v>
      </c>
      <c r="C5481">
        <v>20.478950000000001</v>
      </c>
      <c r="D5481">
        <v>67</v>
      </c>
      <c r="E5481">
        <v>0</v>
      </c>
      <c r="F5481">
        <v>0</v>
      </c>
      <c r="G5481">
        <v>5</v>
      </c>
      <c r="H5481" s="4">
        <v>1570554310786</v>
      </c>
      <c r="I5481">
        <v>526.6875</v>
      </c>
      <c r="J5481" s="9">
        <f t="shared" si="85"/>
        <v>43747.003597060182</v>
      </c>
      <c r="K5481" s="1"/>
    </row>
    <row r="5482" spans="1:11" x14ac:dyDescent="0.25">
      <c r="A5482" t="e">
        <f>-LqgKFo7AHz0kEYfGisV</f>
        <v>#NAME?</v>
      </c>
      <c r="B5482">
        <v>393.75</v>
      </c>
      <c r="C5482">
        <v>20.478950000000001</v>
      </c>
      <c r="D5482">
        <v>68</v>
      </c>
      <c r="E5482">
        <v>0</v>
      </c>
      <c r="F5482">
        <v>0</v>
      </c>
      <c r="G5482">
        <v>6</v>
      </c>
      <c r="H5482" s="4">
        <v>1570554316959</v>
      </c>
      <c r="I5482">
        <v>526.6875</v>
      </c>
      <c r="J5482" s="9">
        <f t="shared" si="85"/>
        <v>43747.003668506943</v>
      </c>
      <c r="K5482" s="1"/>
    </row>
    <row r="5483" spans="1:11" x14ac:dyDescent="0.25">
      <c r="A5483" t="e">
        <f>-LqgKHN9XJgMlEEmiuZ2</f>
        <v>#NAME?</v>
      </c>
      <c r="B5483">
        <v>393.75</v>
      </c>
      <c r="C5483">
        <v>20.478950000000001</v>
      </c>
      <c r="D5483">
        <v>66</v>
      </c>
      <c r="E5483">
        <v>0</v>
      </c>
      <c r="F5483">
        <v>0</v>
      </c>
      <c r="G5483">
        <v>9</v>
      </c>
      <c r="H5483" s="4">
        <v>1570554323149</v>
      </c>
      <c r="I5483">
        <v>526.6875</v>
      </c>
      <c r="J5483" s="9">
        <f t="shared" si="85"/>
        <v>43747.00374015046</v>
      </c>
      <c r="K5483" s="1"/>
    </row>
    <row r="5484" spans="1:11" x14ac:dyDescent="0.25">
      <c r="A5484" t="e">
        <f>-LqgKJ7B65MHIrCe9dfl</f>
        <v>#NAME?</v>
      </c>
      <c r="B5484">
        <v>393.75</v>
      </c>
      <c r="C5484">
        <v>20.478950000000001</v>
      </c>
      <c r="D5484">
        <v>66</v>
      </c>
      <c r="E5484">
        <v>0</v>
      </c>
      <c r="F5484">
        <v>0</v>
      </c>
      <c r="G5484">
        <v>1</v>
      </c>
      <c r="H5484" s="4">
        <v>1570554329319</v>
      </c>
      <c r="I5484">
        <v>526.6875</v>
      </c>
      <c r="J5484" s="9">
        <f t="shared" si="85"/>
        <v>43747.003811562499</v>
      </c>
      <c r="K5484" s="1"/>
    </row>
    <row r="5485" spans="1:11" x14ac:dyDescent="0.25">
      <c r="A5485" t="e">
        <f>-LqgKKt6jRPB3eEZbep4</f>
        <v>#NAME?</v>
      </c>
      <c r="B5485">
        <v>393.75</v>
      </c>
      <c r="C5485">
        <v>20.478950000000001</v>
      </c>
      <c r="D5485">
        <v>66</v>
      </c>
      <c r="E5485">
        <v>0</v>
      </c>
      <c r="F5485">
        <v>0</v>
      </c>
      <c r="G5485">
        <v>7</v>
      </c>
      <c r="H5485" s="4">
        <v>1570554337548</v>
      </c>
      <c r="I5485">
        <v>526.6875</v>
      </c>
      <c r="J5485" s="9">
        <f t="shared" si="85"/>
        <v>43747.003906805556</v>
      </c>
      <c r="K5485" s="1"/>
    </row>
    <row r="5486" spans="1:11" x14ac:dyDescent="0.25">
      <c r="A5486" t="e">
        <f>-LqgKMN71ol7BWSH6LQX</f>
        <v>#NAME?</v>
      </c>
      <c r="B5486">
        <v>393.75</v>
      </c>
      <c r="C5486">
        <v>20.584240000000001</v>
      </c>
      <c r="D5486">
        <v>65</v>
      </c>
      <c r="E5486">
        <v>0</v>
      </c>
      <c r="F5486">
        <v>0</v>
      </c>
      <c r="G5486">
        <v>17</v>
      </c>
      <c r="H5486" s="4">
        <v>1570554343768</v>
      </c>
      <c r="I5486">
        <v>526.5</v>
      </c>
      <c r="J5486" s="9">
        <f t="shared" si="85"/>
        <v>43747.003978796296</v>
      </c>
      <c r="K5486" s="1"/>
    </row>
    <row r="5487" spans="1:11" x14ac:dyDescent="0.25">
      <c r="A5487" t="e">
        <f>-LqgKNv1EBeknu1Nvafa</f>
        <v>#NAME?</v>
      </c>
      <c r="B5487">
        <v>393.75</v>
      </c>
      <c r="C5487">
        <v>20.478950000000001</v>
      </c>
      <c r="D5487">
        <v>66</v>
      </c>
      <c r="E5487">
        <v>0</v>
      </c>
      <c r="F5487">
        <v>0</v>
      </c>
      <c r="G5487">
        <v>19</v>
      </c>
      <c r="H5487" s="4">
        <v>1570554349940</v>
      </c>
      <c r="I5487">
        <v>526.6875</v>
      </c>
      <c r="J5487" s="9">
        <f t="shared" si="85"/>
        <v>43747.004050231481</v>
      </c>
      <c r="K5487" s="1"/>
    </row>
    <row r="5488" spans="1:11" x14ac:dyDescent="0.25">
      <c r="A5488" t="e">
        <f>-LqgKPe8z9jmuTc9GSse</f>
        <v>#NAME?</v>
      </c>
      <c r="B5488">
        <v>393.75</v>
      </c>
      <c r="C5488">
        <v>20.584240000000001</v>
      </c>
      <c r="D5488">
        <v>67</v>
      </c>
      <c r="E5488">
        <v>0</v>
      </c>
      <c r="F5488">
        <v>0</v>
      </c>
      <c r="G5488">
        <v>13</v>
      </c>
      <c r="H5488" s="4">
        <v>1570554357157</v>
      </c>
      <c r="I5488">
        <v>526.6875</v>
      </c>
      <c r="J5488" s="9">
        <f t="shared" si="85"/>
        <v>43747.004133761577</v>
      </c>
      <c r="K5488" s="1"/>
    </row>
    <row r="5489" spans="1:11" x14ac:dyDescent="0.25">
      <c r="A5489" t="e">
        <f>-LqgKRTOTL_-g9r7xCgD</f>
        <v>#NAME?</v>
      </c>
      <c r="B5489">
        <v>418.75</v>
      </c>
      <c r="C5489">
        <v>20.531590000000001</v>
      </c>
      <c r="D5489">
        <v>68</v>
      </c>
      <c r="E5489">
        <v>0</v>
      </c>
      <c r="F5489">
        <v>0</v>
      </c>
      <c r="G5489">
        <v>16</v>
      </c>
      <c r="H5489" s="4">
        <v>1570554363348</v>
      </c>
      <c r="I5489">
        <v>534.375</v>
      </c>
      <c r="J5489" s="9">
        <f t="shared" si="85"/>
        <v>43747.004205416662</v>
      </c>
      <c r="K5489" s="1"/>
    </row>
    <row r="5490" spans="1:11" x14ac:dyDescent="0.25">
      <c r="A5490" t="e">
        <f>-LqgKTBNhe5KgDe86vw3</f>
        <v>#NAME?</v>
      </c>
      <c r="B5490">
        <v>393.75</v>
      </c>
      <c r="C5490">
        <v>20.531590000000001</v>
      </c>
      <c r="D5490">
        <v>68</v>
      </c>
      <c r="E5490">
        <v>0</v>
      </c>
      <c r="F5490">
        <v>0</v>
      </c>
      <c r="G5490">
        <v>18</v>
      </c>
      <c r="H5490" s="4">
        <v>1570554371610</v>
      </c>
      <c r="I5490">
        <v>526.6875</v>
      </c>
      <c r="J5490" s="9">
        <f t="shared" si="85"/>
        <v>43747.004301041663</v>
      </c>
      <c r="K5490" s="1"/>
    </row>
    <row r="5491" spans="1:11" x14ac:dyDescent="0.25">
      <c r="A5491" t="e">
        <f>-LqgKUe8B9tIZk16CYft</f>
        <v>#NAME?</v>
      </c>
      <c r="B5491">
        <v>393.75</v>
      </c>
      <c r="C5491">
        <v>20.531590000000001</v>
      </c>
      <c r="D5491">
        <v>68</v>
      </c>
      <c r="E5491">
        <v>0</v>
      </c>
      <c r="F5491">
        <v>0</v>
      </c>
      <c r="G5491">
        <v>18</v>
      </c>
      <c r="H5491" s="4">
        <v>1570554377759</v>
      </c>
      <c r="I5491">
        <v>526.6875</v>
      </c>
      <c r="J5491" s="9">
        <f t="shared" si="85"/>
        <v>43747.004372210642</v>
      </c>
      <c r="K5491" s="1"/>
    </row>
    <row r="5492" spans="1:11" x14ac:dyDescent="0.25">
      <c r="A5492" t="e">
        <f>-LqgKWD60w-XLMHL6zgW</f>
        <v>#NAME?</v>
      </c>
      <c r="B5492">
        <v>412.5</v>
      </c>
      <c r="C5492">
        <v>20.478950000000001</v>
      </c>
      <c r="D5492">
        <v>68</v>
      </c>
      <c r="E5492">
        <v>0</v>
      </c>
      <c r="F5492">
        <v>0</v>
      </c>
      <c r="G5492">
        <v>6</v>
      </c>
      <c r="H5492" s="4">
        <v>1570554383948</v>
      </c>
      <c r="I5492">
        <v>532.3125</v>
      </c>
      <c r="J5492" s="9">
        <f t="shared" si="85"/>
        <v>43747.00444384259</v>
      </c>
      <c r="K5492" s="1"/>
    </row>
    <row r="5493" spans="1:11" x14ac:dyDescent="0.25">
      <c r="A5493" t="e">
        <f>-LqgKXh9lCxRsayg3ZeI</f>
        <v>#NAME?</v>
      </c>
      <c r="B5493">
        <v>393.75</v>
      </c>
      <c r="C5493">
        <v>20.478950000000001</v>
      </c>
      <c r="D5493">
        <v>68</v>
      </c>
      <c r="E5493">
        <v>0</v>
      </c>
      <c r="F5493">
        <v>0</v>
      </c>
      <c r="G5493">
        <v>9</v>
      </c>
      <c r="H5493" s="4">
        <v>1570554390119</v>
      </c>
      <c r="I5493">
        <v>526.6875</v>
      </c>
      <c r="J5493" s="9">
        <f t="shared" si="85"/>
        <v>43747.004515266199</v>
      </c>
      <c r="K5493" s="1"/>
    </row>
    <row r="5494" spans="1:11" x14ac:dyDescent="0.25">
      <c r="A5494" t="e">
        <f>-LqgKdtCK3WgnoIhBDxt</f>
        <v>#NAME?</v>
      </c>
      <c r="B5494">
        <v>393.75</v>
      </c>
      <c r="C5494">
        <v>20.478950000000001</v>
      </c>
      <c r="D5494">
        <v>66</v>
      </c>
      <c r="E5494">
        <v>0</v>
      </c>
      <c r="F5494">
        <v>0</v>
      </c>
      <c r="G5494">
        <v>0</v>
      </c>
      <c r="H5494" s="4">
        <v>1570554419629</v>
      </c>
      <c r="I5494">
        <v>526.6875</v>
      </c>
      <c r="J5494" s="9">
        <f t="shared" si="85"/>
        <v>43747.004856817126</v>
      </c>
      <c r="K5494" s="1"/>
    </row>
    <row r="5495" spans="1:11" x14ac:dyDescent="0.25">
      <c r="A5495" t="e">
        <f>-LqgKfb4JyN_JeUOfxHF</f>
        <v>#NAME?</v>
      </c>
      <c r="B5495">
        <v>393.75</v>
      </c>
      <c r="C5495">
        <v>20.531590000000001</v>
      </c>
      <c r="D5495">
        <v>66</v>
      </c>
      <c r="E5495">
        <v>0</v>
      </c>
      <c r="F5495">
        <v>0</v>
      </c>
      <c r="G5495">
        <v>0</v>
      </c>
      <c r="H5495" s="4">
        <v>1570554426463</v>
      </c>
      <c r="I5495">
        <v>526.6875</v>
      </c>
      <c r="J5495" s="9">
        <f t="shared" si="85"/>
        <v>43747.004935914352</v>
      </c>
      <c r="K5495" s="1"/>
    </row>
    <row r="5496" spans="1:11" x14ac:dyDescent="0.25">
      <c r="A5496" t="e">
        <f>-LqgKhK3Bg8hEjwOmFsO</f>
        <v>#NAME?</v>
      </c>
      <c r="B5496">
        <v>393.75</v>
      </c>
      <c r="C5496">
        <v>20.478950000000001</v>
      </c>
      <c r="D5496">
        <v>67</v>
      </c>
      <c r="E5496">
        <v>0</v>
      </c>
      <c r="F5496">
        <v>0</v>
      </c>
      <c r="G5496">
        <v>0</v>
      </c>
      <c r="H5496" s="4">
        <v>1570554433683</v>
      </c>
      <c r="I5496">
        <v>526.6875</v>
      </c>
      <c r="J5496" s="9">
        <f t="shared" si="85"/>
        <v>43747.005019479162</v>
      </c>
      <c r="K5496" s="1"/>
    </row>
    <row r="5497" spans="1:11" x14ac:dyDescent="0.25">
      <c r="A5497" t="s">
        <v>298</v>
      </c>
      <c r="B5497">
        <v>393.75</v>
      </c>
      <c r="C5497">
        <v>20.478950000000001</v>
      </c>
      <c r="D5497">
        <v>67</v>
      </c>
      <c r="E5497">
        <v>0</v>
      </c>
      <c r="F5497">
        <v>0</v>
      </c>
      <c r="G5497">
        <v>12</v>
      </c>
      <c r="H5497" s="4">
        <v>1570554440117</v>
      </c>
      <c r="I5497">
        <v>526.6875</v>
      </c>
      <c r="J5497" s="9">
        <f t="shared" si="85"/>
        <v>43747.005093946755</v>
      </c>
      <c r="K5497" s="1"/>
    </row>
    <row r="5498" spans="1:11" x14ac:dyDescent="0.25">
      <c r="A5498" t="e">
        <f>-LqgKkrrSKYfsNAiyGXp</f>
        <v>#NAME?</v>
      </c>
      <c r="B5498">
        <v>393.75</v>
      </c>
      <c r="C5498">
        <v>20.531590000000001</v>
      </c>
      <c r="D5498">
        <v>66</v>
      </c>
      <c r="E5498">
        <v>0</v>
      </c>
      <c r="F5498">
        <v>0</v>
      </c>
      <c r="G5498">
        <v>12</v>
      </c>
      <c r="H5498" s="4">
        <v>1570554447064</v>
      </c>
      <c r="I5498">
        <v>526.6875</v>
      </c>
      <c r="J5498" s="9">
        <f t="shared" si="85"/>
        <v>43747.005174351849</v>
      </c>
      <c r="K5498" s="1"/>
    </row>
    <row r="5499" spans="1:11" x14ac:dyDescent="0.25">
      <c r="A5499" t="e">
        <f>-LqgKmNxWKhgx-Jb-#REF!</f>
        <v>#NAME?</v>
      </c>
      <c r="B5499">
        <v>393.75</v>
      </c>
      <c r="C5499">
        <v>20.478950000000001</v>
      </c>
      <c r="D5499">
        <v>66</v>
      </c>
      <c r="E5499">
        <v>0</v>
      </c>
      <c r="F5499">
        <v>0</v>
      </c>
      <c r="G5499">
        <v>12</v>
      </c>
      <c r="H5499" s="4">
        <v>1570554454274</v>
      </c>
      <c r="I5499">
        <v>526.6875</v>
      </c>
      <c r="J5499" s="9">
        <f t="shared" si="85"/>
        <v>43747.005257800927</v>
      </c>
      <c r="K5499" s="1"/>
    </row>
    <row r="5500" spans="1:11" x14ac:dyDescent="0.25">
      <c r="A5500" t="e">
        <f>-LqgKnt3NZF5H6_JORB6</f>
        <v>#NAME?</v>
      </c>
      <c r="B5500">
        <v>396.875</v>
      </c>
      <c r="C5500">
        <v>20.478950000000001</v>
      </c>
      <c r="D5500">
        <v>66</v>
      </c>
      <c r="E5500">
        <v>0</v>
      </c>
      <c r="F5500">
        <v>0</v>
      </c>
      <c r="G5500">
        <v>0</v>
      </c>
      <c r="H5500" s="4">
        <v>1570554460453</v>
      </c>
      <c r="I5500">
        <v>527.4375</v>
      </c>
      <c r="J5500" s="9">
        <f t="shared" si="85"/>
        <v>43747.00532931713</v>
      </c>
      <c r="K5500" s="1"/>
    </row>
    <row r="5501" spans="1:11" x14ac:dyDescent="0.25">
      <c r="A5501" t="e">
        <f>-LqgKpKg4iK2tvvty2Vg</f>
        <v>#NAME?</v>
      </c>
      <c r="B5501">
        <v>393.75</v>
      </c>
      <c r="C5501">
        <v>20.478950000000001</v>
      </c>
      <c r="D5501">
        <v>68</v>
      </c>
      <c r="E5501">
        <v>0</v>
      </c>
      <c r="F5501">
        <v>0</v>
      </c>
      <c r="G5501">
        <v>8</v>
      </c>
      <c r="H5501" s="4">
        <v>1570554466642</v>
      </c>
      <c r="I5501">
        <v>526.6875</v>
      </c>
      <c r="J5501" s="9">
        <f t="shared" si="85"/>
        <v>43747.00540094907</v>
      </c>
      <c r="K5501" s="1"/>
    </row>
    <row r="5502" spans="1:11" x14ac:dyDescent="0.25">
      <c r="A5502" t="e">
        <f>-LqgKqwDqo4MjWxGGjUc</f>
        <v>#NAME?</v>
      </c>
      <c r="B5502">
        <v>393.75</v>
      </c>
      <c r="C5502">
        <v>20.478950000000001</v>
      </c>
      <c r="D5502">
        <v>68</v>
      </c>
      <c r="E5502">
        <v>0</v>
      </c>
      <c r="F5502">
        <v>0</v>
      </c>
      <c r="G5502">
        <v>8</v>
      </c>
      <c r="H5502" s="4">
        <v>1570554472833</v>
      </c>
      <c r="I5502">
        <v>526.6875</v>
      </c>
      <c r="J5502" s="9">
        <f t="shared" si="85"/>
        <v>43747.005472604164</v>
      </c>
      <c r="K5502" s="1"/>
    </row>
    <row r="5503" spans="1:11" x14ac:dyDescent="0.25">
      <c r="A5503" t="e">
        <f>-LqgKse1Cd_WIVnuE4Fx</f>
        <v>#NAME?</v>
      </c>
      <c r="B5503">
        <v>412.5</v>
      </c>
      <c r="C5503">
        <v>20.478950000000001</v>
      </c>
      <c r="D5503">
        <v>68</v>
      </c>
      <c r="E5503">
        <v>0</v>
      </c>
      <c r="F5503">
        <v>0</v>
      </c>
      <c r="G5503">
        <v>5</v>
      </c>
      <c r="H5503" s="4">
        <v>1570554480044</v>
      </c>
      <c r="I5503">
        <v>532.125</v>
      </c>
      <c r="J5503" s="9">
        <f t="shared" si="85"/>
        <v>43747.005556064811</v>
      </c>
      <c r="K5503" s="1"/>
    </row>
    <row r="5504" spans="1:11" x14ac:dyDescent="0.25">
      <c r="A5504" t="e">
        <f>-LqgKu833UgXQaUv1f21</f>
        <v>#NAME?</v>
      </c>
      <c r="B5504">
        <v>393.75</v>
      </c>
      <c r="C5504">
        <v>20.478950000000001</v>
      </c>
      <c r="D5504">
        <v>68</v>
      </c>
      <c r="E5504">
        <v>0</v>
      </c>
      <c r="F5504">
        <v>0</v>
      </c>
      <c r="G5504">
        <v>5</v>
      </c>
      <c r="H5504" s="4">
        <v>1570554486234</v>
      </c>
      <c r="I5504">
        <v>526.5</v>
      </c>
      <c r="J5504" s="9">
        <f t="shared" si="85"/>
        <v>43747.005627708328</v>
      </c>
      <c r="K5504" s="1"/>
    </row>
    <row r="5505" spans="1:11" x14ac:dyDescent="0.25">
      <c r="A5505" t="e">
        <f>-LqgKvh7HzNvPhfoEhM3</f>
        <v>#NAME?</v>
      </c>
      <c r="B5505">
        <v>393.75</v>
      </c>
      <c r="C5505">
        <v>20.531590000000001</v>
      </c>
      <c r="D5505">
        <v>67</v>
      </c>
      <c r="E5505">
        <v>0</v>
      </c>
      <c r="F5505">
        <v>0</v>
      </c>
      <c r="G5505">
        <v>6</v>
      </c>
      <c r="H5505" s="4">
        <v>1570554492413</v>
      </c>
      <c r="I5505">
        <v>526.6875</v>
      </c>
      <c r="J5505" s="9">
        <f t="shared" si="85"/>
        <v>43747.00569922453</v>
      </c>
      <c r="K5505" s="1"/>
    </row>
    <row r="5506" spans="1:11" x14ac:dyDescent="0.25">
      <c r="A5506" t="e">
        <f>-LqgKxNiGbUEUVLdYcgQ</f>
        <v>#NAME?</v>
      </c>
      <c r="B5506">
        <v>393.75</v>
      </c>
      <c r="C5506">
        <v>20.531590000000001</v>
      </c>
      <c r="D5506">
        <v>67</v>
      </c>
      <c r="E5506">
        <v>0</v>
      </c>
      <c r="F5506">
        <v>0</v>
      </c>
      <c r="G5506">
        <v>13</v>
      </c>
      <c r="H5506" s="4">
        <v>1570554499603</v>
      </c>
      <c r="I5506">
        <v>526.6875</v>
      </c>
      <c r="J5506" s="9">
        <f t="shared" si="85"/>
        <v>43747.005782442131</v>
      </c>
      <c r="K5506" s="1"/>
    </row>
    <row r="5507" spans="1:11" x14ac:dyDescent="0.25">
      <c r="A5507" t="e">
        <f>-LqgKyz3LCUDFWq43Mj9</f>
        <v>#NAME?</v>
      </c>
      <c r="B5507">
        <v>393.75</v>
      </c>
      <c r="C5507">
        <v>20.478950000000001</v>
      </c>
      <c r="D5507">
        <v>66</v>
      </c>
      <c r="E5507">
        <v>0</v>
      </c>
      <c r="F5507">
        <v>0</v>
      </c>
      <c r="G5507">
        <v>3</v>
      </c>
      <c r="H5507" s="4">
        <v>1570554505814</v>
      </c>
      <c r="I5507">
        <v>526.6875</v>
      </c>
      <c r="J5507" s="9">
        <f t="shared" ref="J5507:J5570" si="86">(H5507/86400000)+25569+(7/24)</f>
        <v>43747.005854328701</v>
      </c>
      <c r="K5507" s="1"/>
    </row>
    <row r="5508" spans="1:11" x14ac:dyDescent="0.25">
      <c r="A5508" t="e">
        <f>-LqgL-gdDVDoLvhHL6Bt</f>
        <v>#NAME?</v>
      </c>
      <c r="B5508">
        <v>393.75</v>
      </c>
      <c r="C5508">
        <v>20.478950000000001</v>
      </c>
      <c r="D5508">
        <v>66</v>
      </c>
      <c r="E5508">
        <v>0</v>
      </c>
      <c r="F5508">
        <v>0</v>
      </c>
      <c r="G5508">
        <v>7</v>
      </c>
      <c r="H5508" s="4">
        <v>1570554513044</v>
      </c>
      <c r="I5508">
        <v>526.6875</v>
      </c>
      <c r="J5508" s="9">
        <f t="shared" si="86"/>
        <v>43747.005938009257</v>
      </c>
      <c r="K5508" s="1"/>
    </row>
    <row r="5509" spans="1:11" x14ac:dyDescent="0.25">
      <c r="A5509" t="e">
        <f>-LqgL1CJ4UJEVgNYDC2F</f>
        <v>#NAME?</v>
      </c>
      <c r="B5509">
        <v>415.625</v>
      </c>
      <c r="C5509">
        <v>20.531590000000001</v>
      </c>
      <c r="D5509">
        <v>63</v>
      </c>
      <c r="E5509">
        <v>0</v>
      </c>
      <c r="F5509">
        <v>0</v>
      </c>
      <c r="G5509">
        <v>2</v>
      </c>
      <c r="H5509" s="4">
        <v>1570554519203</v>
      </c>
      <c r="I5509">
        <v>533.4375</v>
      </c>
      <c r="J5509" s="9">
        <f t="shared" si="86"/>
        <v>43747.006009293975</v>
      </c>
      <c r="K5509" s="1"/>
    </row>
    <row r="5510" spans="1:11" x14ac:dyDescent="0.25">
      <c r="A5510" t="e">
        <f>-LqgL2k3ygCrI_xbrumU</f>
        <v>#NAME?</v>
      </c>
      <c r="B5510">
        <v>393.75</v>
      </c>
      <c r="C5510">
        <v>20.478950000000001</v>
      </c>
      <c r="D5510">
        <v>63</v>
      </c>
      <c r="E5510">
        <v>0</v>
      </c>
      <c r="F5510">
        <v>0</v>
      </c>
      <c r="G5510">
        <v>12</v>
      </c>
      <c r="H5510" s="4">
        <v>1570554525395</v>
      </c>
      <c r="I5510">
        <v>526.6875</v>
      </c>
      <c r="J5510" s="9">
        <f t="shared" si="86"/>
        <v>43747.006080960644</v>
      </c>
      <c r="K5510" s="1"/>
    </row>
    <row r="5511" spans="1:11" x14ac:dyDescent="0.25">
      <c r="A5511" t="e">
        <f>-LqgL4CxSJtTQ2ZQZnH4</f>
        <v>#NAME?</v>
      </c>
      <c r="B5511">
        <v>393.75</v>
      </c>
      <c r="C5511">
        <v>20.478950000000001</v>
      </c>
      <c r="D5511">
        <v>63</v>
      </c>
      <c r="E5511">
        <v>0</v>
      </c>
      <c r="F5511">
        <v>0</v>
      </c>
      <c r="G5511">
        <v>10</v>
      </c>
      <c r="H5511" s="4">
        <v>1570554531564</v>
      </c>
      <c r="I5511">
        <v>526.6875</v>
      </c>
      <c r="J5511" s="9">
        <f t="shared" si="86"/>
        <v>43747.006152361108</v>
      </c>
      <c r="K5511" s="1"/>
    </row>
    <row r="5512" spans="1:11" x14ac:dyDescent="0.25">
      <c r="A5512" t="e">
        <f>-LqgL6-xSlyPg9CDEHC2</f>
        <v>#NAME?</v>
      </c>
      <c r="B5512">
        <v>393.75</v>
      </c>
      <c r="C5512">
        <v>20.478950000000001</v>
      </c>
      <c r="D5512">
        <v>62</v>
      </c>
      <c r="E5512">
        <v>0</v>
      </c>
      <c r="F5512">
        <v>0</v>
      </c>
      <c r="G5512">
        <v>10</v>
      </c>
      <c r="H5512" s="4">
        <v>1570554538784</v>
      </c>
      <c r="I5512">
        <v>526.5</v>
      </c>
      <c r="J5512" s="9">
        <f t="shared" si="86"/>
        <v>43747.006235925925</v>
      </c>
      <c r="K5512" s="1"/>
    </row>
    <row r="5513" spans="1:11" x14ac:dyDescent="0.25">
      <c r="A5513" t="e">
        <f>-LqgL7SKYrABYGms08Lt</f>
        <v>#NAME?</v>
      </c>
      <c r="B5513">
        <v>393.75</v>
      </c>
      <c r="C5513">
        <v>20.531590000000001</v>
      </c>
      <c r="D5513">
        <v>62</v>
      </c>
      <c r="E5513">
        <v>0</v>
      </c>
      <c r="F5513">
        <v>0</v>
      </c>
      <c r="G5513">
        <v>8</v>
      </c>
      <c r="H5513" s="4">
        <v>1570554544964</v>
      </c>
      <c r="I5513">
        <v>526.6875</v>
      </c>
      <c r="J5513" s="9">
        <f t="shared" si="86"/>
        <v>43747.006307453703</v>
      </c>
      <c r="K5513" s="1"/>
    </row>
    <row r="5514" spans="1:11" x14ac:dyDescent="0.25">
      <c r="A5514" t="e">
        <f>-LqgL8xhUFbjQ7mZGi9z</f>
        <v>#NAME?</v>
      </c>
      <c r="B5514">
        <v>393.75</v>
      </c>
      <c r="C5514">
        <v>20.478950000000001</v>
      </c>
      <c r="D5514">
        <v>63</v>
      </c>
      <c r="E5514">
        <v>0</v>
      </c>
      <c r="F5514">
        <v>0</v>
      </c>
      <c r="G5514">
        <v>4</v>
      </c>
      <c r="H5514" s="4">
        <v>1570554551123</v>
      </c>
      <c r="I5514">
        <v>526.5</v>
      </c>
      <c r="J5514" s="9">
        <f t="shared" si="86"/>
        <v>43747.006378738421</v>
      </c>
      <c r="K5514" s="1"/>
    </row>
    <row r="5515" spans="1:11" x14ac:dyDescent="0.25">
      <c r="A5515" t="e">
        <f>-LqgLAqx2FolESiLskyp</f>
        <v>#NAME?</v>
      </c>
      <c r="B5515">
        <v>393.75</v>
      </c>
      <c r="C5515">
        <v>20.478950000000001</v>
      </c>
      <c r="D5515">
        <v>62</v>
      </c>
      <c r="E5515">
        <v>0</v>
      </c>
      <c r="F5515">
        <v>0</v>
      </c>
      <c r="G5515">
        <v>0</v>
      </c>
      <c r="H5515" s="4">
        <v>1570554558663</v>
      </c>
      <c r="I5515">
        <v>526.6875</v>
      </c>
      <c r="J5515" s="9">
        <f t="shared" si="86"/>
        <v>43747.00646600694</v>
      </c>
      <c r="K5515" s="1"/>
    </row>
    <row r="5516" spans="1:11" x14ac:dyDescent="0.25">
      <c r="A5516" t="e">
        <f>-LqgLCUzskV5oz1bjBmB</f>
        <v>#NAME?</v>
      </c>
      <c r="B5516">
        <v>393.75</v>
      </c>
      <c r="C5516">
        <v>20.531590000000001</v>
      </c>
      <c r="D5516">
        <v>63</v>
      </c>
      <c r="E5516">
        <v>0</v>
      </c>
      <c r="F5516">
        <v>0</v>
      </c>
      <c r="G5516">
        <v>8</v>
      </c>
      <c r="H5516" s="4">
        <v>1570554565594</v>
      </c>
      <c r="I5516">
        <v>526.6875</v>
      </c>
      <c r="J5516" s="9">
        <f t="shared" si="86"/>
        <v>43747.006546226847</v>
      </c>
      <c r="K5516" s="1"/>
    </row>
    <row r="5517" spans="1:11" x14ac:dyDescent="0.25">
      <c r="A5517" t="e">
        <f>-LqgLE-D7jLSYQ4k5odr</f>
        <v>#NAME?</v>
      </c>
      <c r="B5517">
        <v>393.75</v>
      </c>
      <c r="C5517">
        <v>20.531590000000001</v>
      </c>
      <c r="D5517">
        <v>63</v>
      </c>
      <c r="E5517">
        <v>0</v>
      </c>
      <c r="F5517">
        <v>0</v>
      </c>
      <c r="G5517">
        <v>10</v>
      </c>
      <c r="H5517" s="4">
        <v>1570554571764</v>
      </c>
      <c r="I5517">
        <v>526.6875</v>
      </c>
      <c r="J5517" s="9">
        <f t="shared" si="86"/>
        <v>43747.006617638886</v>
      </c>
      <c r="K5517" s="1"/>
    </row>
    <row r="5518" spans="1:11" x14ac:dyDescent="0.25">
      <c r="A5518" t="e">
        <f>-LqgLFZOrLEsaN1QzRpx</f>
        <v>#NAME?</v>
      </c>
      <c r="B5518">
        <v>393.75</v>
      </c>
      <c r="C5518">
        <v>20.478950000000001</v>
      </c>
      <c r="D5518">
        <v>62</v>
      </c>
      <c r="E5518">
        <v>0</v>
      </c>
      <c r="F5518">
        <v>0</v>
      </c>
      <c r="G5518">
        <v>10</v>
      </c>
      <c r="H5518" s="4">
        <v>1570554577944</v>
      </c>
      <c r="I5518">
        <v>526.6875</v>
      </c>
      <c r="J5518" s="9">
        <f t="shared" si="86"/>
        <v>43747.006689166665</v>
      </c>
      <c r="K5518" s="1"/>
    </row>
    <row r="5519" spans="1:11" x14ac:dyDescent="0.25">
      <c r="A5519" t="e">
        <f>-LqgLH-rabKCtgiFTL1q</f>
        <v>#NAME?</v>
      </c>
      <c r="B5519">
        <v>393.75</v>
      </c>
      <c r="C5519">
        <v>20.478950000000001</v>
      </c>
      <c r="D5519">
        <v>62</v>
      </c>
      <c r="E5519">
        <v>0</v>
      </c>
      <c r="F5519">
        <v>0</v>
      </c>
      <c r="G5519">
        <v>3</v>
      </c>
      <c r="H5519" s="4">
        <v>1570554584093</v>
      </c>
      <c r="I5519">
        <v>526.6875</v>
      </c>
      <c r="J5519" s="9">
        <f t="shared" si="86"/>
        <v>43747.006760335651</v>
      </c>
      <c r="K5519" s="1"/>
    </row>
    <row r="5520" spans="1:11" x14ac:dyDescent="0.25">
      <c r="A5520" t="e">
        <f>-LqgLIbPclGmC6tvGgy_</f>
        <v>#NAME?</v>
      </c>
      <c r="B5520">
        <v>393.75</v>
      </c>
      <c r="C5520">
        <v>20.531590000000001</v>
      </c>
      <c r="D5520">
        <v>62</v>
      </c>
      <c r="E5520">
        <v>0</v>
      </c>
      <c r="F5520">
        <v>0</v>
      </c>
      <c r="G5520">
        <v>9</v>
      </c>
      <c r="H5520" s="4">
        <v>1570554590284</v>
      </c>
      <c r="I5520">
        <v>526.6875</v>
      </c>
      <c r="J5520" s="9">
        <f t="shared" si="86"/>
        <v>43747.006831990737</v>
      </c>
      <c r="K5520" s="1"/>
    </row>
    <row r="5521" spans="1:11" x14ac:dyDescent="0.25">
      <c r="A5521" t="e">
        <f>-LqgLKK9iYhM_XWyZ6Dv</f>
        <v>#NAME?</v>
      </c>
      <c r="B5521">
        <v>396.875</v>
      </c>
      <c r="C5521">
        <v>20.531590000000001</v>
      </c>
      <c r="D5521">
        <v>62</v>
      </c>
      <c r="E5521">
        <v>0</v>
      </c>
      <c r="F5521">
        <v>0</v>
      </c>
      <c r="G5521">
        <v>7</v>
      </c>
      <c r="H5521" s="4">
        <v>1570554597524</v>
      </c>
      <c r="I5521">
        <v>527.4375</v>
      </c>
      <c r="J5521" s="9">
        <f t="shared" si="86"/>
        <v>43747.006915787038</v>
      </c>
      <c r="K5521" s="1"/>
    </row>
    <row r="5522" spans="1:11" x14ac:dyDescent="0.25">
      <c r="A5522" t="e">
        <f>-LqgLLy2E134B3ULJbZF</f>
        <v>#NAME?</v>
      </c>
      <c r="B5522">
        <v>396.875</v>
      </c>
      <c r="C5522">
        <v>20.478950000000001</v>
      </c>
      <c r="D5522">
        <v>60</v>
      </c>
      <c r="E5522">
        <v>0</v>
      </c>
      <c r="F5522">
        <v>0</v>
      </c>
      <c r="G5522">
        <v>6</v>
      </c>
      <c r="H5522" s="4">
        <v>1570554604180</v>
      </c>
      <c r="I5522">
        <v>527.4375</v>
      </c>
      <c r="J5522" s="9">
        <f t="shared" si="86"/>
        <v>43747.00699282407</v>
      </c>
      <c r="K5522" s="1"/>
    </row>
    <row r="5523" spans="1:11" x14ac:dyDescent="0.25">
      <c r="A5523" t="s">
        <v>299</v>
      </c>
      <c r="B5523">
        <v>396.875</v>
      </c>
      <c r="C5523">
        <v>20.478950000000001</v>
      </c>
      <c r="D5523">
        <v>61</v>
      </c>
      <c r="E5523">
        <v>0</v>
      </c>
      <c r="F5523">
        <v>0</v>
      </c>
      <c r="G5523">
        <v>5</v>
      </c>
      <c r="H5523" s="4">
        <v>1570554610923</v>
      </c>
      <c r="I5523">
        <v>527.625</v>
      </c>
      <c r="J5523" s="9">
        <f t="shared" si="86"/>
        <v>43747.007070868051</v>
      </c>
      <c r="K5523" s="1"/>
    </row>
    <row r="5524" spans="1:11" x14ac:dyDescent="0.25">
      <c r="A5524" t="e">
        <f>-LqgLP3yOzuF8Gi0N_oU</f>
        <v>#NAME?</v>
      </c>
      <c r="B5524">
        <v>396.875</v>
      </c>
      <c r="C5524">
        <v>20.478950000000001</v>
      </c>
      <c r="D5524">
        <v>62</v>
      </c>
      <c r="E5524">
        <v>0</v>
      </c>
      <c r="F5524">
        <v>0</v>
      </c>
      <c r="G5524">
        <v>10</v>
      </c>
      <c r="H5524" s="4">
        <v>1570554617113</v>
      </c>
      <c r="I5524">
        <v>527.625</v>
      </c>
      <c r="J5524" s="9">
        <f t="shared" si="86"/>
        <v>43747.007142511568</v>
      </c>
      <c r="K5524" s="1"/>
    </row>
    <row r="5525" spans="1:11" x14ac:dyDescent="0.25">
      <c r="A5525" t="e">
        <f>-LqgLQe3MuT9WvZi0yZL</f>
        <v>#NAME?</v>
      </c>
      <c r="B5525">
        <v>396.875</v>
      </c>
      <c r="C5525">
        <v>20.478950000000001</v>
      </c>
      <c r="D5525">
        <v>63</v>
      </c>
      <c r="E5525">
        <v>0</v>
      </c>
      <c r="F5525">
        <v>0</v>
      </c>
      <c r="G5525">
        <v>13</v>
      </c>
      <c r="H5525" s="4">
        <v>1570554623293</v>
      </c>
      <c r="I5525">
        <v>527.4375</v>
      </c>
      <c r="J5525" s="9">
        <f t="shared" si="86"/>
        <v>43747.007214039353</v>
      </c>
      <c r="K5525" s="1"/>
    </row>
    <row r="5526" spans="1:11" x14ac:dyDescent="0.25">
      <c r="A5526" t="e">
        <f>-LqgLSKgki9ExxRVB9gs</f>
        <v>#NAME?</v>
      </c>
      <c r="B5526">
        <v>396.875</v>
      </c>
      <c r="C5526">
        <v>20.478950000000001</v>
      </c>
      <c r="D5526">
        <v>64</v>
      </c>
      <c r="E5526">
        <v>0</v>
      </c>
      <c r="F5526">
        <v>0</v>
      </c>
      <c r="G5526">
        <v>6</v>
      </c>
      <c r="H5526" s="4">
        <v>1570554630484</v>
      </c>
      <c r="I5526">
        <v>527.4375</v>
      </c>
      <c r="J5526" s="9">
        <f t="shared" si="86"/>
        <v>43747.007297268516</v>
      </c>
      <c r="K5526" s="1"/>
    </row>
    <row r="5527" spans="1:11" x14ac:dyDescent="0.25">
      <c r="A5527" t="e">
        <f>-LqgLUF2MGmxvdSXCroV</f>
        <v>#NAME?</v>
      </c>
      <c r="B5527">
        <v>396.875</v>
      </c>
      <c r="C5527">
        <v>20.531590000000001</v>
      </c>
      <c r="D5527">
        <v>64</v>
      </c>
      <c r="E5527">
        <v>0</v>
      </c>
      <c r="F5527">
        <v>0</v>
      </c>
      <c r="G5527">
        <v>5</v>
      </c>
      <c r="H5527" s="4">
        <v>1570554636684</v>
      </c>
      <c r="I5527">
        <v>527.4375</v>
      </c>
      <c r="J5527" s="9">
        <f t="shared" si="86"/>
        <v>43747.007369027771</v>
      </c>
      <c r="K5527" s="1"/>
    </row>
    <row r="5528" spans="1:11" x14ac:dyDescent="0.25">
      <c r="A5528" t="e">
        <f>-LqgLW332_wWS6gH7cjg</f>
        <v>#NAME?</v>
      </c>
      <c r="B5528">
        <v>396.875</v>
      </c>
      <c r="C5528">
        <v>20.478950000000001</v>
      </c>
      <c r="D5528">
        <v>64</v>
      </c>
      <c r="E5528">
        <v>0</v>
      </c>
      <c r="F5528">
        <v>0</v>
      </c>
      <c r="G5528">
        <v>8</v>
      </c>
      <c r="H5528" s="4">
        <v>1570554644942</v>
      </c>
      <c r="I5528">
        <v>527.4375</v>
      </c>
      <c r="J5528" s="9">
        <f t="shared" si="86"/>
        <v>43747.007464606482</v>
      </c>
      <c r="K5528" s="1"/>
    </row>
    <row r="5529" spans="1:11" x14ac:dyDescent="0.25">
      <c r="A5529" t="e">
        <f>-LqgLXg10iXUXJNHoU15</f>
        <v>#NAME?</v>
      </c>
      <c r="B5529">
        <v>396.875</v>
      </c>
      <c r="C5529">
        <v>20.478950000000001</v>
      </c>
      <c r="D5529">
        <v>64</v>
      </c>
      <c r="E5529">
        <v>0</v>
      </c>
      <c r="F5529">
        <v>0</v>
      </c>
      <c r="G5529">
        <v>8</v>
      </c>
      <c r="H5529" s="4">
        <v>1570554652143</v>
      </c>
      <c r="I5529">
        <v>527.4375</v>
      </c>
      <c r="J5529" s="9">
        <f t="shared" si="86"/>
        <v>43747.007547951383</v>
      </c>
      <c r="K5529" s="1"/>
    </row>
    <row r="5530" spans="1:11" x14ac:dyDescent="0.25">
      <c r="A5530" t="e">
        <f>-LqgLZACrTyxSMQ2kC4u</f>
        <v>#NAME?</v>
      </c>
      <c r="B5530">
        <v>393.75</v>
      </c>
      <c r="C5530">
        <v>20.478950000000001</v>
      </c>
      <c r="D5530">
        <v>63</v>
      </c>
      <c r="E5530">
        <v>0</v>
      </c>
      <c r="F5530">
        <v>0</v>
      </c>
      <c r="G5530">
        <v>13</v>
      </c>
      <c r="H5530" s="4">
        <v>1570554658322</v>
      </c>
      <c r="I5530">
        <v>526.6875</v>
      </c>
      <c r="J5530" s="9">
        <f t="shared" si="86"/>
        <v>43747.007619467586</v>
      </c>
      <c r="K5530" s="1"/>
    </row>
    <row r="5531" spans="1:11" x14ac:dyDescent="0.25">
      <c r="A5531" t="e">
        <f>-LqgL_hwgqLt1GsnsI6w</f>
        <v>#NAME?</v>
      </c>
      <c r="B5531">
        <v>393.75</v>
      </c>
      <c r="C5531">
        <v>20.478950000000001</v>
      </c>
      <c r="D5531">
        <v>59</v>
      </c>
      <c r="E5531">
        <v>0</v>
      </c>
      <c r="F5531">
        <v>0</v>
      </c>
      <c r="G5531">
        <v>7</v>
      </c>
      <c r="H5531" s="4">
        <v>1570554664504</v>
      </c>
      <c r="I5531">
        <v>526.6875</v>
      </c>
      <c r="J5531" s="9">
        <f t="shared" si="86"/>
        <v>43747.007691018516</v>
      </c>
      <c r="K5531" s="1"/>
    </row>
    <row r="5532" spans="1:11" x14ac:dyDescent="0.25">
      <c r="A5532" t="e">
        <f>-LqgLbBxmVOIa6EV8px4</f>
        <v>#NAME?</v>
      </c>
      <c r="B5532">
        <v>393.75</v>
      </c>
      <c r="C5532">
        <v>20.478950000000001</v>
      </c>
      <c r="D5532">
        <v>59</v>
      </c>
      <c r="E5532">
        <v>0</v>
      </c>
      <c r="F5532">
        <v>0</v>
      </c>
      <c r="G5532">
        <v>9</v>
      </c>
      <c r="H5532" s="4">
        <v>1570554670682</v>
      </c>
      <c r="I5532">
        <v>526.6875</v>
      </c>
      <c r="J5532" s="9">
        <f t="shared" si="86"/>
        <v>43747.007762523142</v>
      </c>
      <c r="K5532" s="1"/>
    </row>
    <row r="5533" spans="1:11" x14ac:dyDescent="0.25">
      <c r="A5533" t="e">
        <f>-LqgLcegVhxOoc8NfM25</f>
        <v>#NAME?</v>
      </c>
      <c r="B5533">
        <v>393.75</v>
      </c>
      <c r="C5533">
        <v>20.478950000000001</v>
      </c>
      <c r="D5533">
        <v>63</v>
      </c>
      <c r="E5533">
        <v>0</v>
      </c>
      <c r="F5533">
        <v>0</v>
      </c>
      <c r="G5533">
        <v>10</v>
      </c>
      <c r="H5533" s="4">
        <v>1570554676883</v>
      </c>
      <c r="I5533">
        <v>526.5</v>
      </c>
      <c r="J5533" s="9">
        <f t="shared" si="86"/>
        <v>43747.007834293974</v>
      </c>
      <c r="K5533" s="1"/>
    </row>
    <row r="5534" spans="1:11" x14ac:dyDescent="0.25">
      <c r="A5534" t="e">
        <f>-LqgLeB1Mj6C1LCuIFs5</f>
        <v>#NAME?</v>
      </c>
      <c r="B5534">
        <v>393.75</v>
      </c>
      <c r="C5534">
        <v>20.478950000000001</v>
      </c>
      <c r="D5534">
        <v>61</v>
      </c>
      <c r="E5534">
        <v>0</v>
      </c>
      <c r="F5534">
        <v>0</v>
      </c>
      <c r="G5534">
        <v>5</v>
      </c>
      <c r="H5534" s="4">
        <v>1570554683053</v>
      </c>
      <c r="I5534">
        <v>526.6875</v>
      </c>
      <c r="J5534" s="9">
        <f t="shared" si="86"/>
        <v>43747.007905706014</v>
      </c>
      <c r="K5534" s="1"/>
    </row>
    <row r="5535" spans="1:11" x14ac:dyDescent="0.25">
      <c r="A5535" t="e">
        <f>-LqgLg32gPVvCFX40m4U</f>
        <v>#NAME?</v>
      </c>
      <c r="B5535">
        <v>393.75</v>
      </c>
      <c r="C5535">
        <v>20.478950000000001</v>
      </c>
      <c r="D5535">
        <v>61</v>
      </c>
      <c r="E5535">
        <v>0</v>
      </c>
      <c r="F5535">
        <v>0</v>
      </c>
      <c r="G5535">
        <v>15</v>
      </c>
      <c r="H5535" s="4">
        <v>1570554690148</v>
      </c>
      <c r="I5535">
        <v>526.6875</v>
      </c>
      <c r="J5535" s="9">
        <f t="shared" si="86"/>
        <v>43747.007987824072</v>
      </c>
      <c r="K5535" s="1"/>
    </row>
    <row r="5536" spans="1:11" x14ac:dyDescent="0.25">
      <c r="A5536" t="e">
        <f>-LqgLhkxPH5-Ekx14GUx</f>
        <v>#NAME?</v>
      </c>
      <c r="B5536">
        <v>393.75</v>
      </c>
      <c r="C5536">
        <v>20.478950000000001</v>
      </c>
      <c r="D5536">
        <v>61</v>
      </c>
      <c r="E5536">
        <v>0</v>
      </c>
      <c r="F5536">
        <v>0</v>
      </c>
      <c r="G5536">
        <v>3</v>
      </c>
      <c r="H5536" s="4">
        <v>1570554697483</v>
      </c>
      <c r="I5536">
        <v>526.6875</v>
      </c>
      <c r="J5536" s="9">
        <f t="shared" si="86"/>
        <v>43747.008072719902</v>
      </c>
      <c r="K5536" s="1"/>
    </row>
    <row r="5537" spans="1:11" x14ac:dyDescent="0.25">
      <c r="A5537" t="e">
        <f>-LqgLjEnF2RWI-LL3_U9</f>
        <v>#NAME?</v>
      </c>
      <c r="B5537">
        <v>393.75</v>
      </c>
      <c r="C5537">
        <v>20.478950000000001</v>
      </c>
      <c r="D5537">
        <v>61</v>
      </c>
      <c r="E5537">
        <v>0</v>
      </c>
      <c r="F5537">
        <v>0</v>
      </c>
      <c r="G5537">
        <v>9</v>
      </c>
      <c r="H5537" s="4">
        <v>1570554703642</v>
      </c>
      <c r="I5537">
        <v>526.6875</v>
      </c>
      <c r="J5537" s="9">
        <f t="shared" si="86"/>
        <v>43747.008144004627</v>
      </c>
      <c r="K5537" s="1"/>
    </row>
    <row r="5538" spans="1:11" x14ac:dyDescent="0.25">
      <c r="A5538" t="e">
        <f>-LqgLkk21ZmIc7snhjVI</f>
        <v>#NAME?</v>
      </c>
      <c r="B5538">
        <v>393.75</v>
      </c>
      <c r="C5538">
        <v>20.478950000000001</v>
      </c>
      <c r="D5538">
        <v>61</v>
      </c>
      <c r="E5538">
        <v>0</v>
      </c>
      <c r="F5538">
        <v>0</v>
      </c>
      <c r="G5538">
        <v>9</v>
      </c>
      <c r="H5538" s="4">
        <v>1570554709845</v>
      </c>
      <c r="I5538">
        <v>526.6875</v>
      </c>
      <c r="J5538" s="9">
        <f t="shared" si="86"/>
        <v>43747.008215798611</v>
      </c>
      <c r="K5538" s="1"/>
    </row>
    <row r="5539" spans="1:11" x14ac:dyDescent="0.25">
      <c r="A5539" t="e">
        <f>-LqgLmHxe-A9yYN2S_AZ</f>
        <v>#NAME?</v>
      </c>
      <c r="B5539">
        <v>393.75</v>
      </c>
      <c r="C5539">
        <v>20.531590000000001</v>
      </c>
      <c r="D5539">
        <v>69</v>
      </c>
      <c r="E5539">
        <v>0</v>
      </c>
      <c r="F5539">
        <v>0</v>
      </c>
      <c r="G5539">
        <v>8</v>
      </c>
      <c r="H5539" s="4">
        <v>1570554716035</v>
      </c>
      <c r="I5539">
        <v>526.6875</v>
      </c>
      <c r="J5539" s="9">
        <f t="shared" si="86"/>
        <v>43747.008287442128</v>
      </c>
      <c r="K5539" s="1"/>
    </row>
    <row r="5540" spans="1:11" x14ac:dyDescent="0.25">
      <c r="A5540" t="e">
        <f>-LqgLoQ9ebH5-BnHjiqG</f>
        <v>#NAME?</v>
      </c>
      <c r="B5540">
        <v>393.75</v>
      </c>
      <c r="C5540">
        <v>20.478950000000001</v>
      </c>
      <c r="D5540">
        <v>69</v>
      </c>
      <c r="E5540">
        <v>0</v>
      </c>
      <c r="F5540">
        <v>0</v>
      </c>
      <c r="G5540">
        <v>11</v>
      </c>
      <c r="H5540" s="4">
        <v>1570554722204</v>
      </c>
      <c r="I5540">
        <v>526.6875</v>
      </c>
      <c r="J5540" s="9">
        <f t="shared" si="86"/>
        <v>43747.008358842591</v>
      </c>
      <c r="K5540" s="1"/>
    </row>
    <row r="5541" spans="1:11" x14ac:dyDescent="0.25">
      <c r="A5541" t="e">
        <f>-LqgLq1wDFxoZRfY5jaU</f>
        <v>#NAME?</v>
      </c>
      <c r="B5541">
        <v>393.75</v>
      </c>
      <c r="C5541">
        <v>20.531590000000001</v>
      </c>
      <c r="D5541">
        <v>63</v>
      </c>
      <c r="E5541">
        <v>0</v>
      </c>
      <c r="F5541">
        <v>0</v>
      </c>
      <c r="G5541">
        <v>0</v>
      </c>
      <c r="H5541" s="4">
        <v>1570554731492</v>
      </c>
      <c r="I5541">
        <v>526.6875</v>
      </c>
      <c r="J5541" s="9">
        <f t="shared" si="86"/>
        <v>43747.008466342588</v>
      </c>
      <c r="K5541" s="1"/>
    </row>
    <row r="5542" spans="1:11" x14ac:dyDescent="0.25">
      <c r="A5542" t="e">
        <f>-LqgLrVYk988aFjEslE3</f>
        <v>#NAME?</v>
      </c>
      <c r="B5542">
        <v>393.75</v>
      </c>
      <c r="C5542">
        <v>20.531590000000001</v>
      </c>
      <c r="D5542">
        <v>63</v>
      </c>
      <c r="E5542">
        <v>0</v>
      </c>
      <c r="F5542">
        <v>0</v>
      </c>
      <c r="G5542">
        <v>6</v>
      </c>
      <c r="H5542" s="4">
        <v>1570554737682</v>
      </c>
      <c r="I5542">
        <v>526.6875</v>
      </c>
      <c r="J5542" s="9">
        <f t="shared" si="86"/>
        <v>43747.008537986105</v>
      </c>
      <c r="K5542" s="1"/>
    </row>
    <row r="5543" spans="1:11" x14ac:dyDescent="0.25">
      <c r="A5543" t="e">
        <f>-LqgLt11rH7VGsjcQtRF</f>
        <v>#NAME?</v>
      </c>
      <c r="B5543">
        <v>393.75</v>
      </c>
      <c r="C5543">
        <v>20.531590000000001</v>
      </c>
      <c r="D5543">
        <v>63</v>
      </c>
      <c r="E5543">
        <v>0</v>
      </c>
      <c r="F5543">
        <v>0</v>
      </c>
      <c r="G5543">
        <v>5</v>
      </c>
      <c r="H5543" s="4">
        <v>1570554743852</v>
      </c>
      <c r="I5543">
        <v>526.6875</v>
      </c>
      <c r="J5543" s="9">
        <f t="shared" si="86"/>
        <v>43747.008609398144</v>
      </c>
      <c r="K5543" s="1"/>
    </row>
    <row r="5544" spans="1:11" x14ac:dyDescent="0.25">
      <c r="A5544" t="e">
        <f>-LqgLua2KHKH4emU4Osg</f>
        <v>#NAME?</v>
      </c>
      <c r="B5544">
        <v>393.75</v>
      </c>
      <c r="C5544">
        <v>20.531590000000001</v>
      </c>
      <c r="D5544">
        <v>62</v>
      </c>
      <c r="E5544">
        <v>0</v>
      </c>
      <c r="F5544">
        <v>0</v>
      </c>
      <c r="G5544">
        <v>12</v>
      </c>
      <c r="H5544" s="4">
        <v>1570554750034</v>
      </c>
      <c r="I5544">
        <v>526.6875</v>
      </c>
      <c r="J5544" s="9">
        <f t="shared" si="86"/>
        <v>43747.008680949068</v>
      </c>
      <c r="K5544" s="1"/>
    </row>
    <row r="5545" spans="1:11" x14ac:dyDescent="0.25">
      <c r="A5545" t="s">
        <v>300</v>
      </c>
      <c r="B5545">
        <v>393.75</v>
      </c>
      <c r="C5545">
        <v>20.531590000000001</v>
      </c>
      <c r="D5545">
        <v>62</v>
      </c>
      <c r="E5545">
        <v>0</v>
      </c>
      <c r="F5545">
        <v>0</v>
      </c>
      <c r="G5545">
        <v>7</v>
      </c>
      <c r="H5545" s="4">
        <v>1570554756183</v>
      </c>
      <c r="I5545">
        <v>526.6875</v>
      </c>
      <c r="J5545" s="9">
        <f t="shared" si="86"/>
        <v>43747.008752118054</v>
      </c>
      <c r="K5545" s="1"/>
    </row>
    <row r="5546" spans="1:11" x14ac:dyDescent="0.25">
      <c r="A5546" t="e">
        <f>-LqgLxs2UaD3SKFrTpC9</f>
        <v>#NAME?</v>
      </c>
      <c r="B5546">
        <v>393.75</v>
      </c>
      <c r="C5546">
        <v>20.478950000000001</v>
      </c>
      <c r="D5546">
        <v>63</v>
      </c>
      <c r="E5546">
        <v>0</v>
      </c>
      <c r="F5546">
        <v>0</v>
      </c>
      <c r="G5546">
        <v>7</v>
      </c>
      <c r="H5546" s="4">
        <v>1570554763432</v>
      </c>
      <c r="I5546">
        <v>526.6875</v>
      </c>
      <c r="J5546" s="9">
        <f t="shared" si="86"/>
        <v>43747.008836018511</v>
      </c>
      <c r="K5546" s="1"/>
    </row>
    <row r="5547" spans="1:11" x14ac:dyDescent="0.25">
      <c r="A5547" t="e">
        <f>-LqgLzaCRwihxlvSD5rb</f>
        <v>#NAME?</v>
      </c>
      <c r="B5547">
        <v>393.75</v>
      </c>
      <c r="C5547">
        <v>20.531590000000001</v>
      </c>
      <c r="D5547">
        <v>62</v>
      </c>
      <c r="E5547">
        <v>0</v>
      </c>
      <c r="F5547">
        <v>0</v>
      </c>
      <c r="G5547">
        <v>4</v>
      </c>
      <c r="H5547" s="4">
        <v>1570554770642</v>
      </c>
      <c r="I5547">
        <v>526.6875</v>
      </c>
      <c r="J5547" s="9">
        <f t="shared" si="86"/>
        <v>43747.008919467589</v>
      </c>
      <c r="K5547" s="1"/>
    </row>
    <row r="5548" spans="1:11" x14ac:dyDescent="0.25">
      <c r="A5548" t="e">
        <f>-LqgM07oFoNMX3J9FcGY</f>
        <v>#NAME?</v>
      </c>
      <c r="B5548">
        <v>393.75</v>
      </c>
      <c r="C5548">
        <v>20.478950000000001</v>
      </c>
      <c r="D5548">
        <v>62</v>
      </c>
      <c r="E5548">
        <v>0</v>
      </c>
      <c r="F5548">
        <v>0</v>
      </c>
      <c r="G5548">
        <v>10</v>
      </c>
      <c r="H5548" s="4">
        <v>1570554776833</v>
      </c>
      <c r="I5548">
        <v>526.6875</v>
      </c>
      <c r="J5548" s="9">
        <f t="shared" si="86"/>
        <v>43747.008991122682</v>
      </c>
      <c r="K5548" s="1"/>
    </row>
    <row r="5549" spans="1:11" x14ac:dyDescent="0.25">
      <c r="A5549" t="e">
        <f>-LqgM1bwpR3UsOjifoDL</f>
        <v>#NAME?</v>
      </c>
      <c r="B5549">
        <v>393.75</v>
      </c>
      <c r="C5549">
        <v>20.478950000000001</v>
      </c>
      <c r="D5549">
        <v>62</v>
      </c>
      <c r="E5549">
        <v>0</v>
      </c>
      <c r="F5549">
        <v>0</v>
      </c>
      <c r="G5549">
        <v>11</v>
      </c>
      <c r="H5549" s="4">
        <v>1570554782993</v>
      </c>
      <c r="I5549">
        <v>526.6875</v>
      </c>
      <c r="J5549" s="9">
        <f t="shared" si="86"/>
        <v>43747.009062418983</v>
      </c>
      <c r="K5549" s="1"/>
    </row>
    <row r="5550" spans="1:11" x14ac:dyDescent="0.25">
      <c r="A5550" t="e">
        <f>-LqgM371OUxJ-C_h9lfT</f>
        <v>#NAME?</v>
      </c>
      <c r="B5550">
        <v>393.75</v>
      </c>
      <c r="C5550">
        <v>20.478950000000001</v>
      </c>
      <c r="D5550">
        <v>63</v>
      </c>
      <c r="E5550">
        <v>0</v>
      </c>
      <c r="F5550">
        <v>0</v>
      </c>
      <c r="G5550">
        <v>12</v>
      </c>
      <c r="H5550" s="4">
        <v>1570554789204</v>
      </c>
      <c r="I5550">
        <v>526.6875</v>
      </c>
      <c r="J5550" s="9">
        <f t="shared" si="86"/>
        <v>43747.009134305554</v>
      </c>
      <c r="K5550" s="1"/>
    </row>
    <row r="5551" spans="1:11" x14ac:dyDescent="0.25">
      <c r="A5551" t="e">
        <f>-LqgM4a63C58pprUwmNx</f>
        <v>#NAME?</v>
      </c>
      <c r="B5551">
        <v>393.75</v>
      </c>
      <c r="C5551">
        <v>20.478950000000001</v>
      </c>
      <c r="D5551">
        <v>63</v>
      </c>
      <c r="E5551">
        <v>0</v>
      </c>
      <c r="F5551">
        <v>0</v>
      </c>
      <c r="G5551">
        <v>0</v>
      </c>
      <c r="H5551" s="4">
        <v>1570554795374</v>
      </c>
      <c r="I5551">
        <v>526.6875</v>
      </c>
      <c r="J5551" s="9">
        <f t="shared" si="86"/>
        <v>43747.009205717586</v>
      </c>
      <c r="K5551" s="1"/>
    </row>
    <row r="5552" spans="1:11" x14ac:dyDescent="0.25">
      <c r="A5552" t="e">
        <f>-LqgM68wIj2avyuIoJVP</f>
        <v>#NAME?</v>
      </c>
      <c r="B5552">
        <v>393.75</v>
      </c>
      <c r="C5552">
        <v>20.531590000000001</v>
      </c>
      <c r="D5552">
        <v>67</v>
      </c>
      <c r="E5552">
        <v>0</v>
      </c>
      <c r="F5552">
        <v>0</v>
      </c>
      <c r="G5552">
        <v>11</v>
      </c>
      <c r="H5552" s="4">
        <v>1570554801562</v>
      </c>
      <c r="I5552">
        <v>526.6875</v>
      </c>
      <c r="J5552" s="9">
        <f t="shared" si="86"/>
        <v>43747.009277337966</v>
      </c>
      <c r="K5552" s="1"/>
    </row>
    <row r="5553" spans="1:11" x14ac:dyDescent="0.25">
      <c r="A5553" t="e">
        <f>-LqgM7bhirc_HAmRzMyN</f>
        <v>#NAME?</v>
      </c>
      <c r="B5553">
        <v>396.875</v>
      </c>
      <c r="C5553">
        <v>20.531590000000001</v>
      </c>
      <c r="D5553">
        <v>68</v>
      </c>
      <c r="E5553">
        <v>0</v>
      </c>
      <c r="F5553">
        <v>0</v>
      </c>
      <c r="G5553">
        <v>15</v>
      </c>
      <c r="H5553" s="4">
        <v>1570554807764</v>
      </c>
      <c r="I5553">
        <v>527.4375</v>
      </c>
      <c r="J5553" s="9">
        <f t="shared" si="86"/>
        <v>43747.009349120366</v>
      </c>
      <c r="K5553" s="1"/>
    </row>
    <row r="5554" spans="1:11" x14ac:dyDescent="0.25">
      <c r="A5554" t="e">
        <f>-LqgM96xdHppIDp96dYf</f>
        <v>#NAME?</v>
      </c>
      <c r="B5554">
        <v>396.875</v>
      </c>
      <c r="C5554">
        <v>20.478950000000001</v>
      </c>
      <c r="D5554">
        <v>70</v>
      </c>
      <c r="E5554">
        <v>0</v>
      </c>
      <c r="F5554">
        <v>0</v>
      </c>
      <c r="G5554">
        <v>14</v>
      </c>
      <c r="H5554" s="4">
        <v>1570554813922</v>
      </c>
      <c r="I5554">
        <v>527.4375</v>
      </c>
      <c r="J5554" s="9">
        <f t="shared" si="86"/>
        <v>43747.009420393515</v>
      </c>
      <c r="K5554" s="1"/>
    </row>
    <row r="5555" spans="1:11" x14ac:dyDescent="0.25">
      <c r="A5555" t="e">
        <f>-LqgMAfxeuW7lfEN-#REF!</f>
        <v>#NAME?</v>
      </c>
      <c r="B5555">
        <v>396.875</v>
      </c>
      <c r="C5555">
        <v>20.478950000000001</v>
      </c>
      <c r="D5555">
        <v>69</v>
      </c>
      <c r="E5555">
        <v>0</v>
      </c>
      <c r="F5555">
        <v>0</v>
      </c>
      <c r="G5555">
        <v>7</v>
      </c>
      <c r="H5555" s="4">
        <v>1570554820121</v>
      </c>
      <c r="I5555">
        <v>527.4375</v>
      </c>
      <c r="J5555" s="9">
        <f t="shared" si="86"/>
        <v>43747.009492141202</v>
      </c>
      <c r="K5555" s="1"/>
    </row>
    <row r="5556" spans="1:11" x14ac:dyDescent="0.25">
      <c r="A5556" t="e">
        <f>-LqgMC9wkO1FsRvsSrts</f>
        <v>#NAME?</v>
      </c>
      <c r="B5556">
        <v>396.875</v>
      </c>
      <c r="C5556">
        <v>20.478950000000001</v>
      </c>
      <c r="D5556">
        <v>68</v>
      </c>
      <c r="E5556">
        <v>0</v>
      </c>
      <c r="F5556">
        <v>0</v>
      </c>
      <c r="G5556">
        <v>10</v>
      </c>
      <c r="H5556" s="4">
        <v>1570554826305</v>
      </c>
      <c r="I5556">
        <v>527.625</v>
      </c>
      <c r="J5556" s="9">
        <f t="shared" si="86"/>
        <v>43747.009563715277</v>
      </c>
      <c r="K5556" s="1"/>
    </row>
    <row r="5557" spans="1:11" x14ac:dyDescent="0.25">
      <c r="A5557" t="e">
        <f>-LqgMDdwKk_WVq5d8oxe</f>
        <v>#NAME?</v>
      </c>
      <c r="B5557">
        <v>396.875</v>
      </c>
      <c r="C5557">
        <v>20.531590000000001</v>
      </c>
      <c r="D5557">
        <v>68</v>
      </c>
      <c r="E5557">
        <v>0</v>
      </c>
      <c r="F5557">
        <v>0</v>
      </c>
      <c r="G5557">
        <v>5</v>
      </c>
      <c r="H5557" s="4">
        <v>1570554832473</v>
      </c>
      <c r="I5557">
        <v>527.4375</v>
      </c>
      <c r="J5557" s="9">
        <f t="shared" si="86"/>
        <v>43747.009635104165</v>
      </c>
      <c r="K5557" s="1"/>
    </row>
    <row r="5558" spans="1:11" x14ac:dyDescent="0.25">
      <c r="A5558" t="e">
        <f>-LqgMFRGn-mJab9RW1t7</f>
        <v>#NAME?</v>
      </c>
      <c r="B5558">
        <v>396.875</v>
      </c>
      <c r="C5558">
        <v>20.531590000000001</v>
      </c>
      <c r="D5558">
        <v>67</v>
      </c>
      <c r="E5558">
        <v>0</v>
      </c>
      <c r="F5558">
        <v>0</v>
      </c>
      <c r="G5558">
        <v>8</v>
      </c>
      <c r="H5558" s="4">
        <v>1570554838664</v>
      </c>
      <c r="I5558">
        <v>527.4375</v>
      </c>
      <c r="J5558" s="9">
        <f t="shared" si="86"/>
        <v>43747.009706759258</v>
      </c>
      <c r="K5558" s="1"/>
    </row>
    <row r="5559" spans="1:11" x14ac:dyDescent="0.25">
      <c r="A5559" t="e">
        <f>-LqgMHqe3s7u0QT6201o</f>
        <v>#NAME?</v>
      </c>
      <c r="B5559">
        <v>415.625</v>
      </c>
      <c r="C5559">
        <v>20.478950000000001</v>
      </c>
      <c r="D5559">
        <v>67</v>
      </c>
      <c r="E5559">
        <v>0</v>
      </c>
      <c r="F5559">
        <v>0</v>
      </c>
      <c r="G5559">
        <v>7</v>
      </c>
      <c r="H5559" s="4">
        <v>1570554846902</v>
      </c>
      <c r="I5559">
        <v>533.0625</v>
      </c>
      <c r="J5559" s="9">
        <f t="shared" si="86"/>
        <v>43747.009802106484</v>
      </c>
      <c r="K5559" s="1"/>
    </row>
    <row r="5560" spans="1:11" x14ac:dyDescent="0.25">
      <c r="A5560" t="e">
        <f>-LqgMJmfTsvzoDKmyEU4</f>
        <v>#NAME?</v>
      </c>
      <c r="B5560">
        <v>396.875</v>
      </c>
      <c r="C5560">
        <v>20.478950000000001</v>
      </c>
      <c r="D5560">
        <v>65</v>
      </c>
      <c r="E5560">
        <v>0</v>
      </c>
      <c r="F5560">
        <v>0</v>
      </c>
      <c r="G5560">
        <v>6</v>
      </c>
      <c r="H5560" s="4">
        <v>1570554856172</v>
      </c>
      <c r="I5560">
        <v>527.4375</v>
      </c>
      <c r="J5560" s="9">
        <f t="shared" si="86"/>
        <v>43747.009909398148</v>
      </c>
      <c r="K5560" s="1"/>
    </row>
    <row r="5561" spans="1:11" x14ac:dyDescent="0.25">
      <c r="A5561" t="e">
        <f>-LqgMLU3IGk6YEP82nTn</f>
        <v>#NAME?</v>
      </c>
      <c r="B5561">
        <v>396.875</v>
      </c>
      <c r="C5561">
        <v>20.531590000000001</v>
      </c>
      <c r="D5561">
        <v>74</v>
      </c>
      <c r="E5561">
        <v>0</v>
      </c>
      <c r="F5561">
        <v>0</v>
      </c>
      <c r="G5561">
        <v>19</v>
      </c>
      <c r="H5561" s="4">
        <v>1570554864413</v>
      </c>
      <c r="I5561">
        <v>527.4375</v>
      </c>
      <c r="J5561" s="9">
        <f t="shared" si="86"/>
        <v>43747.010004780088</v>
      </c>
      <c r="K5561" s="1"/>
    </row>
    <row r="5562" spans="1:11" x14ac:dyDescent="0.25">
      <c r="A5562" t="e">
        <f>-LqgMN3KmFCCdKf16uu3</f>
        <v>#NAME?</v>
      </c>
      <c r="B5562">
        <v>396.875</v>
      </c>
      <c r="C5562">
        <v>20.478950000000001</v>
      </c>
      <c r="D5562">
        <v>72</v>
      </c>
      <c r="E5562">
        <v>0</v>
      </c>
      <c r="F5562">
        <v>0</v>
      </c>
      <c r="G5562">
        <v>12</v>
      </c>
      <c r="H5562" s="4">
        <v>1570554870605</v>
      </c>
      <c r="I5562">
        <v>527.4375</v>
      </c>
      <c r="J5562" s="9">
        <f t="shared" si="86"/>
        <v>43747.010076446757</v>
      </c>
      <c r="K5562" s="1"/>
    </row>
    <row r="5563" spans="1:11" x14ac:dyDescent="0.25">
      <c r="A5563" t="e">
        <f>-LqgMOozDdWeyXSr3C6V</f>
        <v>#NAME?</v>
      </c>
      <c r="B5563">
        <v>393.75</v>
      </c>
      <c r="C5563">
        <v>20.478950000000001</v>
      </c>
      <c r="D5563">
        <v>70</v>
      </c>
      <c r="E5563">
        <v>0</v>
      </c>
      <c r="F5563">
        <v>0</v>
      </c>
      <c r="G5563">
        <v>7</v>
      </c>
      <c r="H5563" s="4">
        <v>1570554878165</v>
      </c>
      <c r="I5563">
        <v>526.6875</v>
      </c>
      <c r="J5563" s="9">
        <f t="shared" si="86"/>
        <v>43747.010163946754</v>
      </c>
      <c r="K5563" s="1"/>
    </row>
    <row r="5564" spans="1:11" x14ac:dyDescent="0.25">
      <c r="A5564" t="e">
        <f>-LqgMQXxADPcZtGDSvqs</f>
        <v>#NAME?</v>
      </c>
      <c r="B5564">
        <v>393.75</v>
      </c>
      <c r="C5564">
        <v>20.478950000000001</v>
      </c>
      <c r="D5564">
        <v>64</v>
      </c>
      <c r="E5564">
        <v>0</v>
      </c>
      <c r="F5564">
        <v>0</v>
      </c>
      <c r="G5564">
        <v>7</v>
      </c>
      <c r="H5564" s="4">
        <v>1570554885035</v>
      </c>
      <c r="I5564">
        <v>526.6875</v>
      </c>
      <c r="J5564" s="9">
        <f t="shared" si="86"/>
        <v>43747.010243460645</v>
      </c>
      <c r="K5564" s="1"/>
    </row>
    <row r="5565" spans="1:11" x14ac:dyDescent="0.25">
      <c r="A5565" t="e">
        <f>-LqgMS26HI2bm4z5Z6uI</f>
        <v>#NAME?</v>
      </c>
      <c r="B5565">
        <v>412.5</v>
      </c>
      <c r="C5565">
        <v>20.478950000000001</v>
      </c>
      <c r="D5565">
        <v>65</v>
      </c>
      <c r="E5565">
        <v>0</v>
      </c>
      <c r="F5565">
        <v>0</v>
      </c>
      <c r="G5565">
        <v>12</v>
      </c>
      <c r="H5565" s="4">
        <v>1570554891234</v>
      </c>
      <c r="I5565">
        <v>532.3125</v>
      </c>
      <c r="J5565" s="9">
        <f t="shared" si="86"/>
        <v>43747.010315208332</v>
      </c>
      <c r="K5565" s="1"/>
    </row>
    <row r="5566" spans="1:11" x14ac:dyDescent="0.25">
      <c r="A5566" t="e">
        <f>-LqgMTUhsSuO1H6B_UYm</f>
        <v>#NAME?</v>
      </c>
      <c r="B5566">
        <v>393.75</v>
      </c>
      <c r="C5566">
        <v>20.478950000000001</v>
      </c>
      <c r="D5566">
        <v>63</v>
      </c>
      <c r="E5566">
        <v>0</v>
      </c>
      <c r="F5566">
        <v>0</v>
      </c>
      <c r="G5566">
        <v>8</v>
      </c>
      <c r="H5566" s="4">
        <v>1570554897364</v>
      </c>
      <c r="I5566">
        <v>526.6875</v>
      </c>
      <c r="J5566" s="9">
        <f t="shared" si="86"/>
        <v>43747.01038615741</v>
      </c>
      <c r="K5566" s="1"/>
    </row>
    <row r="5567" spans="1:11" x14ac:dyDescent="0.25">
      <c r="A5567" t="e">
        <f>-LqgMV54noabHK3VZoOp</f>
        <v>#NAME?</v>
      </c>
      <c r="B5567">
        <v>393.75</v>
      </c>
      <c r="C5567">
        <v>20.478950000000001</v>
      </c>
      <c r="D5567">
        <v>63</v>
      </c>
      <c r="E5567">
        <v>0</v>
      </c>
      <c r="F5567">
        <v>0</v>
      </c>
      <c r="G5567">
        <v>8</v>
      </c>
      <c r="H5567" s="4">
        <v>1570554903584</v>
      </c>
      <c r="I5567">
        <v>526.6875</v>
      </c>
      <c r="J5567" s="9">
        <f t="shared" si="86"/>
        <v>43747.01045814815</v>
      </c>
      <c r="K5567" s="1"/>
    </row>
    <row r="5568" spans="1:11" x14ac:dyDescent="0.25">
      <c r="A5568" t="e">
        <f>-LqgMWo25qV3dMJyFqzK</f>
        <v>#NAME?</v>
      </c>
      <c r="B5568">
        <v>393.75</v>
      </c>
      <c r="C5568">
        <v>20.478950000000001</v>
      </c>
      <c r="D5568">
        <v>63</v>
      </c>
      <c r="E5568">
        <v>0</v>
      </c>
      <c r="F5568">
        <v>0</v>
      </c>
      <c r="G5568">
        <v>11</v>
      </c>
      <c r="H5568" s="4">
        <v>1570554910804</v>
      </c>
      <c r="I5568">
        <v>526.6875</v>
      </c>
      <c r="J5568" s="9">
        <f t="shared" si="86"/>
        <v>43747.01054171296</v>
      </c>
      <c r="K5568" s="1"/>
    </row>
    <row r="5569" spans="1:11" x14ac:dyDescent="0.25">
      <c r="A5569" t="e">
        <f>-LqgMYIBUP5qfvdBDpEw</f>
        <v>#NAME?</v>
      </c>
      <c r="B5569">
        <v>393.75</v>
      </c>
      <c r="C5569">
        <v>20.531590000000001</v>
      </c>
      <c r="D5569">
        <v>63</v>
      </c>
      <c r="E5569">
        <v>0</v>
      </c>
      <c r="F5569">
        <v>0</v>
      </c>
      <c r="G5569">
        <v>8</v>
      </c>
      <c r="H5569" s="4">
        <v>1570554916974</v>
      </c>
      <c r="I5569">
        <v>526.6875</v>
      </c>
      <c r="J5569" s="9">
        <f t="shared" si="86"/>
        <v>43747.010613125</v>
      </c>
      <c r="K5569" s="1"/>
    </row>
    <row r="5570" spans="1:11" x14ac:dyDescent="0.25">
      <c r="A5570" t="e">
        <f>-LqgMZq7kGifFsV-YRBZ</f>
        <v>#NAME?</v>
      </c>
      <c r="B5570">
        <v>396.875</v>
      </c>
      <c r="C5570">
        <v>20.531590000000001</v>
      </c>
      <c r="D5570">
        <v>63</v>
      </c>
      <c r="E5570">
        <v>0</v>
      </c>
      <c r="F5570">
        <v>0</v>
      </c>
      <c r="G5570">
        <v>6</v>
      </c>
      <c r="H5570" s="4">
        <v>1570554923153</v>
      </c>
      <c r="I5570">
        <v>527.4375</v>
      </c>
      <c r="J5570" s="9">
        <f t="shared" si="86"/>
        <v>43747.010684641202</v>
      </c>
      <c r="K5570" s="1"/>
    </row>
    <row r="5571" spans="1:11" x14ac:dyDescent="0.25">
      <c r="A5571" t="e">
        <f>-LqgMaYy5HegwGbTg8Nl</f>
        <v>#NAME?</v>
      </c>
      <c r="B5571">
        <v>396.875</v>
      </c>
      <c r="C5571">
        <v>20.478950000000001</v>
      </c>
      <c r="D5571">
        <v>62</v>
      </c>
      <c r="E5571">
        <v>0</v>
      </c>
      <c r="F5571">
        <v>0</v>
      </c>
      <c r="G5571">
        <v>8</v>
      </c>
      <c r="H5571" s="4">
        <v>1570554930394</v>
      </c>
      <c r="I5571">
        <v>527.4375</v>
      </c>
      <c r="J5571" s="9">
        <f t="shared" ref="J5571:J5634" si="87">(H5571/86400000)+25569+(7/24)</f>
        <v>43747.010768449072</v>
      </c>
      <c r="K5571" s="1"/>
    </row>
    <row r="5572" spans="1:11" x14ac:dyDescent="0.25">
      <c r="A5572" t="e">
        <f>-LqgMc8EBUBy6pYoALZo</f>
        <v>#NAME?</v>
      </c>
      <c r="B5572">
        <v>412.5</v>
      </c>
      <c r="C5572">
        <v>20.531590000000001</v>
      </c>
      <c r="D5572">
        <v>62</v>
      </c>
      <c r="E5572">
        <v>0</v>
      </c>
      <c r="F5572">
        <v>0</v>
      </c>
      <c r="G5572">
        <v>9</v>
      </c>
      <c r="H5572" s="4">
        <v>1570554936555</v>
      </c>
      <c r="I5572">
        <v>532.5</v>
      </c>
      <c r="J5572" s="9">
        <f t="shared" si="87"/>
        <v>43747.010839756942</v>
      </c>
      <c r="K5572" s="1"/>
    </row>
    <row r="5573" spans="1:11" x14ac:dyDescent="0.25">
      <c r="A5573" t="e">
        <f>-LqgMdoj-w6QWWAzfKYf</f>
        <v>#NAME?</v>
      </c>
      <c r="B5573">
        <v>396.875</v>
      </c>
      <c r="C5573">
        <v>20.531590000000001</v>
      </c>
      <c r="D5573">
        <v>62</v>
      </c>
      <c r="E5573">
        <v>0</v>
      </c>
      <c r="F5573">
        <v>0</v>
      </c>
      <c r="G5573">
        <v>5</v>
      </c>
      <c r="H5573" s="4">
        <v>1570554943763</v>
      </c>
      <c r="I5573">
        <v>527.4375</v>
      </c>
      <c r="J5573" s="9">
        <f t="shared" si="87"/>
        <v>43747.010923182868</v>
      </c>
      <c r="K5573" s="1"/>
    </row>
    <row r="5574" spans="1:11" x14ac:dyDescent="0.25">
      <c r="A5574" t="e">
        <f>-LqgMfOzeafdHFbFFgJZ</f>
        <v>#NAME?</v>
      </c>
      <c r="B5574">
        <v>396.875</v>
      </c>
      <c r="C5574">
        <v>20.478950000000001</v>
      </c>
      <c r="D5574">
        <v>61</v>
      </c>
      <c r="E5574">
        <v>0</v>
      </c>
      <c r="F5574">
        <v>0</v>
      </c>
      <c r="G5574">
        <v>6</v>
      </c>
      <c r="H5574" s="4">
        <v>1570554949956</v>
      </c>
      <c r="I5574">
        <v>527.4375</v>
      </c>
      <c r="J5574" s="9">
        <f t="shared" si="87"/>
        <v>43747.010994861113</v>
      </c>
      <c r="K5574" s="1"/>
    </row>
    <row r="5575" spans="1:11" x14ac:dyDescent="0.25">
      <c r="A5575" t="s">
        <v>301</v>
      </c>
      <c r="B5575">
        <v>396.875</v>
      </c>
      <c r="C5575">
        <v>20.478950000000001</v>
      </c>
      <c r="D5575">
        <v>61</v>
      </c>
      <c r="E5575">
        <v>0</v>
      </c>
      <c r="F5575">
        <v>0</v>
      </c>
      <c r="G5575">
        <v>5</v>
      </c>
      <c r="H5575" s="4">
        <v>1570554956098</v>
      </c>
      <c r="I5575">
        <v>527.4375</v>
      </c>
      <c r="J5575" s="9">
        <f t="shared" si="87"/>
        <v>43747.011065949067</v>
      </c>
      <c r="K5575" s="1"/>
    </row>
    <row r="5576" spans="1:11" x14ac:dyDescent="0.25">
      <c r="A5576" t="e">
        <f>-LqgMiLRIytLL-EUdElQ</f>
        <v>#NAME?</v>
      </c>
      <c r="B5576">
        <v>396.875</v>
      </c>
      <c r="C5576">
        <v>20.531590000000001</v>
      </c>
      <c r="D5576">
        <v>62</v>
      </c>
      <c r="E5576">
        <v>0</v>
      </c>
      <c r="F5576">
        <v>0</v>
      </c>
      <c r="G5576">
        <v>3</v>
      </c>
      <c r="H5576" s="4">
        <v>1570554962324</v>
      </c>
      <c r="I5576">
        <v>527.4375</v>
      </c>
      <c r="J5576" s="9">
        <f t="shared" si="87"/>
        <v>43747.011138009257</v>
      </c>
      <c r="K5576" s="1"/>
    </row>
    <row r="5577" spans="1:11" x14ac:dyDescent="0.25">
      <c r="A5577" t="e">
        <f>-LqgMjyK2zTlWM2QyqxH</f>
        <v>#NAME?</v>
      </c>
      <c r="B5577">
        <v>396.875</v>
      </c>
      <c r="C5577">
        <v>20.478950000000001</v>
      </c>
      <c r="D5577">
        <v>60</v>
      </c>
      <c r="E5577">
        <v>0</v>
      </c>
      <c r="F5577">
        <v>0</v>
      </c>
      <c r="G5577">
        <v>5</v>
      </c>
      <c r="H5577" s="4">
        <v>1570554968503</v>
      </c>
      <c r="I5577">
        <v>527.4375</v>
      </c>
      <c r="J5577" s="9">
        <f t="shared" si="87"/>
        <v>43747.011209525459</v>
      </c>
      <c r="K5577" s="1"/>
    </row>
    <row r="5578" spans="1:11" x14ac:dyDescent="0.25">
      <c r="A5578" t="e">
        <f>-LqgMledOtp6PNa2OKD_</f>
        <v>#NAME?</v>
      </c>
      <c r="B5578">
        <v>396.875</v>
      </c>
      <c r="C5578">
        <v>20.478950000000001</v>
      </c>
      <c r="D5578">
        <v>61</v>
      </c>
      <c r="E5578">
        <v>0</v>
      </c>
      <c r="F5578">
        <v>0</v>
      </c>
      <c r="G5578">
        <v>0</v>
      </c>
      <c r="H5578" s="4">
        <v>1570554975723</v>
      </c>
      <c r="I5578">
        <v>527.4375</v>
      </c>
      <c r="J5578" s="9">
        <f t="shared" si="87"/>
        <v>43747.011293090276</v>
      </c>
      <c r="K5578" s="1"/>
    </row>
    <row r="5579" spans="1:11" x14ac:dyDescent="0.25">
      <c r="A5579" t="e">
        <f>-LqgMn7z5JDe8kRvxmGV</f>
        <v>#NAME?</v>
      </c>
      <c r="B5579">
        <v>412.5</v>
      </c>
      <c r="C5579">
        <v>20.478950000000001</v>
      </c>
      <c r="D5579">
        <v>61</v>
      </c>
      <c r="E5579">
        <v>0</v>
      </c>
      <c r="F5579">
        <v>0</v>
      </c>
      <c r="G5579">
        <v>7</v>
      </c>
      <c r="H5579" s="4">
        <v>1570554981924</v>
      </c>
      <c r="I5579">
        <v>532.3125</v>
      </c>
      <c r="J5579" s="9">
        <f t="shared" si="87"/>
        <v>43747.011364861108</v>
      </c>
      <c r="K5579" s="1"/>
    </row>
    <row r="5580" spans="1:11" x14ac:dyDescent="0.25">
      <c r="A5580" t="e">
        <f>-LqgMoi4reic5ZlY9e82</f>
        <v>#NAME?</v>
      </c>
      <c r="B5580">
        <v>393.75</v>
      </c>
      <c r="C5580">
        <v>20.531590000000001</v>
      </c>
      <c r="D5580">
        <v>61</v>
      </c>
      <c r="E5580">
        <v>0</v>
      </c>
      <c r="F5580">
        <v>0</v>
      </c>
      <c r="G5580">
        <v>5</v>
      </c>
      <c r="H5580" s="4">
        <v>1570554988095</v>
      </c>
      <c r="I5580">
        <v>526.6875</v>
      </c>
      <c r="J5580" s="9">
        <f t="shared" si="87"/>
        <v>43747.011436284716</v>
      </c>
      <c r="K5580" s="1"/>
    </row>
    <row r="5581" spans="1:11" x14ac:dyDescent="0.25">
      <c r="A5581" t="e">
        <f>-LqgMqRF-cZkkT6B-lZU</f>
        <v>#NAME?</v>
      </c>
      <c r="B5581">
        <v>393.75</v>
      </c>
      <c r="C5581">
        <v>20.478950000000001</v>
      </c>
      <c r="D5581">
        <v>62</v>
      </c>
      <c r="E5581">
        <v>0</v>
      </c>
      <c r="F5581">
        <v>0</v>
      </c>
      <c r="G5581">
        <v>4</v>
      </c>
      <c r="H5581" s="4">
        <v>1570554995284</v>
      </c>
      <c r="I5581">
        <v>526.5</v>
      </c>
      <c r="J5581" s="9">
        <f t="shared" si="87"/>
        <v>43747.011519490734</v>
      </c>
      <c r="K5581" s="1"/>
    </row>
    <row r="5582" spans="1:11" x14ac:dyDescent="0.25">
      <c r="A5582" t="e">
        <f>-LqgMryx5DErXBNKHkcr</f>
        <v>#NAME?</v>
      </c>
      <c r="B5582">
        <v>393.75</v>
      </c>
      <c r="C5582">
        <v>20.478950000000001</v>
      </c>
      <c r="D5582">
        <v>63</v>
      </c>
      <c r="E5582">
        <v>0</v>
      </c>
      <c r="F5582">
        <v>0</v>
      </c>
      <c r="G5582">
        <v>2</v>
      </c>
      <c r="H5582" s="4">
        <v>1570555001491</v>
      </c>
      <c r="I5582">
        <v>526.5</v>
      </c>
      <c r="J5582" s="9">
        <f t="shared" si="87"/>
        <v>43747.011591331015</v>
      </c>
      <c r="K5582" s="1"/>
    </row>
    <row r="5583" spans="1:11" x14ac:dyDescent="0.25">
      <c r="A5583" t="e">
        <f>-LqgMtSnCvjvc2p957ya</f>
        <v>#NAME?</v>
      </c>
      <c r="B5583">
        <v>393.75</v>
      </c>
      <c r="C5583">
        <v>20.478950000000001</v>
      </c>
      <c r="D5583">
        <v>63</v>
      </c>
      <c r="E5583">
        <v>0</v>
      </c>
      <c r="F5583">
        <v>0</v>
      </c>
      <c r="G5583">
        <v>10</v>
      </c>
      <c r="H5583" s="4">
        <v>1570555007643</v>
      </c>
      <c r="I5583">
        <v>526.5</v>
      </c>
      <c r="J5583" s="9">
        <f t="shared" si="87"/>
        <v>43747.011662534722</v>
      </c>
      <c r="K5583" s="1"/>
    </row>
    <row r="5584" spans="1:11" x14ac:dyDescent="0.25">
      <c r="A5584" t="e">
        <f>-LqgMuviVHYzJ8OiWx5N</f>
        <v>#NAME?</v>
      </c>
      <c r="B5584">
        <v>393.75</v>
      </c>
      <c r="C5584">
        <v>20.478950000000001</v>
      </c>
      <c r="D5584">
        <v>65</v>
      </c>
      <c r="E5584">
        <v>0</v>
      </c>
      <c r="F5584">
        <v>0</v>
      </c>
      <c r="G5584">
        <v>0</v>
      </c>
      <c r="H5584" s="4">
        <v>1570555013844</v>
      </c>
      <c r="I5584">
        <v>526.6875</v>
      </c>
      <c r="J5584" s="9">
        <f t="shared" si="87"/>
        <v>43747.011734305554</v>
      </c>
      <c r="K5584" s="1"/>
    </row>
    <row r="5585" spans="1:11" x14ac:dyDescent="0.25">
      <c r="A5585" t="e">
        <f>-LqgMwYMludXK1DU1qAE</f>
        <v>#NAME?</v>
      </c>
      <c r="B5585">
        <v>393.75</v>
      </c>
      <c r="C5585">
        <v>20.478950000000001</v>
      </c>
      <c r="D5585">
        <v>65</v>
      </c>
      <c r="E5585">
        <v>0</v>
      </c>
      <c r="F5585">
        <v>0</v>
      </c>
      <c r="G5585">
        <v>5</v>
      </c>
      <c r="H5585" s="4">
        <v>1570555020034</v>
      </c>
      <c r="I5585">
        <v>526.6875</v>
      </c>
      <c r="J5585" s="9">
        <f t="shared" si="87"/>
        <v>43747.011805949071</v>
      </c>
      <c r="K5585" s="1"/>
    </row>
    <row r="5586" spans="1:11" x14ac:dyDescent="0.25">
      <c r="A5586" t="e">
        <f>-LqgMyDyCSaozd_PuHuC</f>
        <v>#NAME?</v>
      </c>
      <c r="B5586">
        <v>393.75</v>
      </c>
      <c r="C5586">
        <v>20.478950000000001</v>
      </c>
      <c r="D5586">
        <v>62</v>
      </c>
      <c r="E5586">
        <v>0</v>
      </c>
      <c r="F5586">
        <v>0</v>
      </c>
      <c r="G5586">
        <v>0</v>
      </c>
      <c r="H5586" s="4">
        <v>1570555027257</v>
      </c>
      <c r="I5586">
        <v>526.6875</v>
      </c>
      <c r="J5586" s="9">
        <f t="shared" si="87"/>
        <v>43747.011889548608</v>
      </c>
      <c r="K5586" s="1"/>
    </row>
    <row r="5587" spans="1:11" x14ac:dyDescent="0.25">
      <c r="A5587" t="e">
        <f>-LqgMzj7B6G6OgUbmWzv</f>
        <v>#NAME?</v>
      </c>
      <c r="B5587">
        <v>393.75</v>
      </c>
      <c r="C5587">
        <v>20.531590000000001</v>
      </c>
      <c r="D5587">
        <v>62</v>
      </c>
      <c r="E5587">
        <v>0</v>
      </c>
      <c r="F5587">
        <v>0</v>
      </c>
      <c r="G5587">
        <v>8</v>
      </c>
      <c r="H5587" s="4">
        <v>1570555033436</v>
      </c>
      <c r="I5587">
        <v>526.6875</v>
      </c>
      <c r="J5587" s="9">
        <f t="shared" si="87"/>
        <v>43747.011961064811</v>
      </c>
      <c r="K5587" s="1"/>
    </row>
    <row r="5588" spans="1:11" x14ac:dyDescent="0.25">
      <c r="A5588" t="e">
        <f>-LqgN0IMfObxOU_8bELm</f>
        <v>#NAME?</v>
      </c>
      <c r="B5588">
        <v>393.75</v>
      </c>
      <c r="C5588">
        <v>20.478950000000001</v>
      </c>
      <c r="D5588">
        <v>62</v>
      </c>
      <c r="E5588">
        <v>0</v>
      </c>
      <c r="F5588">
        <v>0</v>
      </c>
      <c r="G5588">
        <v>0</v>
      </c>
      <c r="H5588" s="4">
        <v>1570555039614</v>
      </c>
      <c r="I5588">
        <v>526.6875</v>
      </c>
      <c r="J5588" s="9">
        <f t="shared" si="87"/>
        <v>43747.012032569437</v>
      </c>
      <c r="K5588" s="1"/>
    </row>
    <row r="5589" spans="1:11" x14ac:dyDescent="0.25">
      <c r="A5589" t="e">
        <f>-LqgN1yh3olFF_gK0RXU</f>
        <v>#NAME?</v>
      </c>
      <c r="B5589">
        <v>393.75</v>
      </c>
      <c r="C5589">
        <v>20.531590000000001</v>
      </c>
      <c r="D5589">
        <v>65</v>
      </c>
      <c r="E5589">
        <v>0</v>
      </c>
      <c r="F5589">
        <v>0</v>
      </c>
      <c r="G5589">
        <v>0</v>
      </c>
      <c r="H5589" s="4">
        <v>1570555046805</v>
      </c>
      <c r="I5589">
        <v>526.6875</v>
      </c>
      <c r="J5589" s="9">
        <f t="shared" si="87"/>
        <v>43747.012115798607</v>
      </c>
      <c r="K5589" s="1"/>
    </row>
    <row r="5590" spans="1:11" x14ac:dyDescent="0.25">
      <c r="A5590" t="e">
        <f>-LqgN3YnYQFGkyY0-Mvv</f>
        <v>#NAME?</v>
      </c>
      <c r="B5590">
        <v>393.75</v>
      </c>
      <c r="C5590">
        <v>20.531590000000001</v>
      </c>
      <c r="D5590">
        <v>66</v>
      </c>
      <c r="E5590">
        <v>0</v>
      </c>
      <c r="F5590">
        <v>0</v>
      </c>
      <c r="G5590">
        <v>1</v>
      </c>
      <c r="H5590" s="4">
        <v>1570555053015</v>
      </c>
      <c r="I5590">
        <v>526.6875</v>
      </c>
      <c r="J5590" s="9">
        <f t="shared" si="87"/>
        <v>43747.012187673608</v>
      </c>
      <c r="K5590" s="1"/>
    </row>
    <row r="5591" spans="1:11" x14ac:dyDescent="0.25">
      <c r="A5591" t="e">
        <f>-LqgN5NERQqjUbX0ft9R</f>
        <v>#NAME?</v>
      </c>
      <c r="B5591">
        <v>393.75</v>
      </c>
      <c r="C5591">
        <v>20.531590000000001</v>
      </c>
      <c r="D5591">
        <v>67</v>
      </c>
      <c r="E5591">
        <v>0</v>
      </c>
      <c r="F5591">
        <v>0</v>
      </c>
      <c r="G5591">
        <v>0</v>
      </c>
      <c r="H5591" s="4">
        <v>1570555059197</v>
      </c>
      <c r="I5591">
        <v>526.6875</v>
      </c>
      <c r="J5591" s="9">
        <f t="shared" si="87"/>
        <v>43747.012259224539</v>
      </c>
      <c r="K5591" s="1"/>
    </row>
    <row r="5592" spans="1:11" x14ac:dyDescent="0.25">
      <c r="A5592" t="e">
        <f>-LqgN70CZBrsqC1LRgNl</f>
        <v>#NAME?</v>
      </c>
      <c r="B5592">
        <v>393.75</v>
      </c>
      <c r="C5592">
        <v>20.478950000000001</v>
      </c>
      <c r="D5592">
        <v>66</v>
      </c>
      <c r="E5592">
        <v>0</v>
      </c>
      <c r="F5592">
        <v>0</v>
      </c>
      <c r="G5592">
        <v>11</v>
      </c>
      <c r="H5592" s="4">
        <v>1570555067443</v>
      </c>
      <c r="I5592">
        <v>526.6875</v>
      </c>
      <c r="J5592" s="9">
        <f t="shared" si="87"/>
        <v>43747.012354664352</v>
      </c>
      <c r="K5592" s="1"/>
    </row>
    <row r="5593" spans="1:11" x14ac:dyDescent="0.25">
      <c r="A5593" t="e">
        <f>-LqgN8_AUyTebZ9YZlph</f>
        <v>#NAME?</v>
      </c>
      <c r="B5593">
        <v>393.75</v>
      </c>
      <c r="C5593">
        <v>20.478950000000001</v>
      </c>
      <c r="D5593">
        <v>66</v>
      </c>
      <c r="E5593">
        <v>0</v>
      </c>
      <c r="F5593">
        <v>0</v>
      </c>
      <c r="G5593">
        <v>6</v>
      </c>
      <c r="H5593" s="4">
        <v>1570555073625</v>
      </c>
      <c r="I5593">
        <v>526.6875</v>
      </c>
      <c r="J5593" s="9">
        <f t="shared" si="87"/>
        <v>43747.012426215275</v>
      </c>
      <c r="K5593" s="1"/>
    </row>
    <row r="5594" spans="1:11" x14ac:dyDescent="0.25">
      <c r="A5594" t="e">
        <f>-LqgNAN9DgWlbLSBr35H</f>
        <v>#NAME?</v>
      </c>
      <c r="B5594">
        <v>393.75</v>
      </c>
      <c r="C5594">
        <v>20.478950000000001</v>
      </c>
      <c r="D5594">
        <v>66</v>
      </c>
      <c r="E5594">
        <v>0</v>
      </c>
      <c r="F5594">
        <v>0</v>
      </c>
      <c r="G5594">
        <v>15</v>
      </c>
      <c r="H5594" s="4">
        <v>1570555081062</v>
      </c>
      <c r="I5594">
        <v>526.6875</v>
      </c>
      <c r="J5594" s="9">
        <f t="shared" si="87"/>
        <v>43747.012512291665</v>
      </c>
      <c r="K5594" s="1"/>
    </row>
    <row r="5595" spans="1:11" x14ac:dyDescent="0.25">
      <c r="A5595" t="e">
        <f>-LqgNC3wTGY3wvKwm27x</f>
        <v>#NAME?</v>
      </c>
      <c r="B5595">
        <v>412.5</v>
      </c>
      <c r="C5595">
        <v>20.531590000000001</v>
      </c>
      <c r="D5595">
        <v>67</v>
      </c>
      <c r="E5595">
        <v>0</v>
      </c>
      <c r="F5595">
        <v>0</v>
      </c>
      <c r="G5595">
        <v>7</v>
      </c>
      <c r="H5595" s="4">
        <v>1570555088052</v>
      </c>
      <c r="I5595">
        <v>532.6875</v>
      </c>
      <c r="J5595" s="9">
        <f t="shared" si="87"/>
        <v>43747.012593194442</v>
      </c>
      <c r="K5595" s="1"/>
    </row>
    <row r="5596" spans="1:11" x14ac:dyDescent="0.25">
      <c r="A5596" t="e">
        <f>-LqgNDYxyh-YxXP38CjM</f>
        <v>#NAME?</v>
      </c>
      <c r="B5596">
        <v>393.75</v>
      </c>
      <c r="C5596">
        <v>20.531590000000001</v>
      </c>
      <c r="D5596">
        <v>70</v>
      </c>
      <c r="E5596">
        <v>0</v>
      </c>
      <c r="F5596">
        <v>0</v>
      </c>
      <c r="G5596">
        <v>5</v>
      </c>
      <c r="H5596" s="4">
        <v>1570555094234</v>
      </c>
      <c r="I5596">
        <v>526.5</v>
      </c>
      <c r="J5596" s="9">
        <f t="shared" si="87"/>
        <v>43747.012664745365</v>
      </c>
      <c r="K5596" s="1"/>
    </row>
    <row r="5597" spans="1:11" x14ac:dyDescent="0.25">
      <c r="A5597" t="e">
        <f>-LqgNF6wfnplQiXCgAeP</f>
        <v>#NAME?</v>
      </c>
      <c r="B5597">
        <v>393.75</v>
      </c>
      <c r="C5597">
        <v>20.531590000000001</v>
      </c>
      <c r="D5597">
        <v>69</v>
      </c>
      <c r="E5597">
        <v>0</v>
      </c>
      <c r="F5597">
        <v>0</v>
      </c>
      <c r="G5597">
        <v>6</v>
      </c>
      <c r="H5597" s="4">
        <v>1570555100413</v>
      </c>
      <c r="I5597">
        <v>526.5</v>
      </c>
      <c r="J5597" s="9">
        <f t="shared" si="87"/>
        <v>43747.012736261568</v>
      </c>
      <c r="K5597" s="1"/>
    </row>
    <row r="5598" spans="1:11" x14ac:dyDescent="0.25">
      <c r="A5598" t="e">
        <f>-LqgNGnp0hxRNpf2wLLK</f>
        <v>#NAME?</v>
      </c>
      <c r="B5598">
        <v>393.75</v>
      </c>
      <c r="C5598">
        <v>20.531590000000001</v>
      </c>
      <c r="D5598">
        <v>69</v>
      </c>
      <c r="E5598">
        <v>0</v>
      </c>
      <c r="F5598">
        <v>0</v>
      </c>
      <c r="G5598">
        <v>4</v>
      </c>
      <c r="H5598" s="4">
        <v>1570555106594</v>
      </c>
      <c r="I5598">
        <v>526.6875</v>
      </c>
      <c r="J5598" s="9">
        <f t="shared" si="87"/>
        <v>43747.012807800922</v>
      </c>
      <c r="K5598" s="1"/>
    </row>
    <row r="5599" spans="1:11" x14ac:dyDescent="0.25">
      <c r="A5599" t="e">
        <f>-LqgNIQ296bv3j0rngpV</f>
        <v>#NAME?</v>
      </c>
      <c r="B5599">
        <v>393.75</v>
      </c>
      <c r="C5599">
        <v>20.478950000000001</v>
      </c>
      <c r="D5599">
        <v>69</v>
      </c>
      <c r="E5599">
        <v>0</v>
      </c>
      <c r="F5599">
        <v>0</v>
      </c>
      <c r="G5599">
        <v>10</v>
      </c>
      <c r="H5599" s="4">
        <v>1570555113816</v>
      </c>
      <c r="I5599">
        <v>526.6875</v>
      </c>
      <c r="J5599" s="9">
        <f t="shared" si="87"/>
        <v>43747.012891388884</v>
      </c>
      <c r="K5599" s="1"/>
    </row>
    <row r="5600" spans="1:11" x14ac:dyDescent="0.25">
      <c r="A5600" t="e">
        <f>-LqgNK5q8AfPplrM7Z8F</f>
        <v>#NAME?</v>
      </c>
      <c r="B5600">
        <v>393.75</v>
      </c>
      <c r="C5600">
        <v>20.531590000000001</v>
      </c>
      <c r="D5600">
        <v>68</v>
      </c>
      <c r="E5600">
        <v>0</v>
      </c>
      <c r="F5600">
        <v>0</v>
      </c>
      <c r="G5600">
        <v>6</v>
      </c>
      <c r="H5600" s="4">
        <v>1570555121044</v>
      </c>
      <c r="I5600">
        <v>526.6875</v>
      </c>
      <c r="J5600" s="9">
        <f t="shared" si="87"/>
        <v>43747.012975046295</v>
      </c>
      <c r="K5600" s="1"/>
    </row>
    <row r="5601" spans="1:11" x14ac:dyDescent="0.25">
      <c r="A5601" t="e">
        <f>-LqgNLfwFVFwqTldsaah</f>
        <v>#NAME?</v>
      </c>
      <c r="B5601">
        <v>393.75</v>
      </c>
      <c r="C5601">
        <v>20.531590000000001</v>
      </c>
      <c r="D5601">
        <v>66</v>
      </c>
      <c r="E5601">
        <v>0</v>
      </c>
      <c r="F5601">
        <v>0</v>
      </c>
      <c r="G5601">
        <v>4</v>
      </c>
      <c r="H5601" s="4">
        <v>1570555127212</v>
      </c>
      <c r="I5601">
        <v>526.6875</v>
      </c>
      <c r="J5601" s="9">
        <f t="shared" si="87"/>
        <v>43747.013046435182</v>
      </c>
      <c r="K5601" s="1"/>
    </row>
    <row r="5602" spans="1:11" x14ac:dyDescent="0.25">
      <c r="A5602" t="e">
        <f>-LqgNNRIkuRfuHS6oDF3</f>
        <v>#NAME?</v>
      </c>
      <c r="B5602">
        <v>393.75</v>
      </c>
      <c r="C5602">
        <v>20.478950000000001</v>
      </c>
      <c r="D5602">
        <v>67</v>
      </c>
      <c r="E5602">
        <v>0</v>
      </c>
      <c r="F5602">
        <v>0</v>
      </c>
      <c r="G5602">
        <v>5</v>
      </c>
      <c r="H5602" s="4">
        <v>1570555134423</v>
      </c>
      <c r="I5602">
        <v>526.6875</v>
      </c>
      <c r="J5602" s="9">
        <f t="shared" si="87"/>
        <v>43747.013129895829</v>
      </c>
      <c r="K5602" s="1"/>
    </row>
    <row r="5603" spans="1:11" x14ac:dyDescent="0.25">
      <c r="A5603" t="e">
        <f>-LqgNOu3VMxeqsOM8iin</f>
        <v>#NAME?</v>
      </c>
      <c r="B5603">
        <v>393.75</v>
      </c>
      <c r="C5603">
        <v>20.478950000000001</v>
      </c>
      <c r="D5603">
        <v>67</v>
      </c>
      <c r="E5603">
        <v>0</v>
      </c>
      <c r="F5603">
        <v>0</v>
      </c>
      <c r="G5603">
        <v>4</v>
      </c>
      <c r="H5603" s="4">
        <v>1570555140573</v>
      </c>
      <c r="I5603">
        <v>526.6875</v>
      </c>
      <c r="J5603" s="9">
        <f t="shared" si="87"/>
        <v>43747.013201076385</v>
      </c>
      <c r="K5603" s="1"/>
    </row>
    <row r="5604" spans="1:11" x14ac:dyDescent="0.25">
      <c r="A5604" t="e">
        <f>-LqgNQRwEdNpabCLdT6R</f>
        <v>#NAME?</v>
      </c>
      <c r="B5604">
        <v>393.75</v>
      </c>
      <c r="C5604">
        <v>20.478950000000001</v>
      </c>
      <c r="D5604">
        <v>67</v>
      </c>
      <c r="E5604">
        <v>0</v>
      </c>
      <c r="F5604">
        <v>0</v>
      </c>
      <c r="G5604">
        <v>5</v>
      </c>
      <c r="H5604" s="4">
        <v>1570555146783</v>
      </c>
      <c r="I5604">
        <v>526.6875</v>
      </c>
      <c r="J5604" s="9">
        <f t="shared" si="87"/>
        <v>43747.013272951386</v>
      </c>
      <c r="K5604" s="1"/>
    </row>
    <row r="5605" spans="1:11" x14ac:dyDescent="0.25">
      <c r="A5605" t="e">
        <f>-LqgNRvx96Z8kE1dyHQt</f>
        <v>#NAME?</v>
      </c>
      <c r="B5605">
        <v>393.75</v>
      </c>
      <c r="C5605">
        <v>20.531590000000001</v>
      </c>
      <c r="D5605">
        <v>66</v>
      </c>
      <c r="E5605">
        <v>0</v>
      </c>
      <c r="F5605">
        <v>0</v>
      </c>
      <c r="G5605">
        <v>6</v>
      </c>
      <c r="H5605" s="4">
        <v>1570555152980</v>
      </c>
      <c r="I5605">
        <v>526.5</v>
      </c>
      <c r="J5605" s="9">
        <f t="shared" si="87"/>
        <v>43747.013344675921</v>
      </c>
      <c r="K5605" s="1"/>
    </row>
    <row r="5606" spans="1:11" x14ac:dyDescent="0.25">
      <c r="A5606" t="e">
        <f>-LqgNTOgZDEPa31EvzKo</f>
        <v>#NAME?</v>
      </c>
      <c r="B5606">
        <v>393.75</v>
      </c>
      <c r="C5606">
        <v>20.531590000000001</v>
      </c>
      <c r="D5606">
        <v>66</v>
      </c>
      <c r="E5606">
        <v>0</v>
      </c>
      <c r="F5606">
        <v>0</v>
      </c>
      <c r="G5606">
        <v>8</v>
      </c>
      <c r="H5606" s="4">
        <v>1570555159122</v>
      </c>
      <c r="I5606">
        <v>526.6875</v>
      </c>
      <c r="J5606" s="9">
        <f t="shared" si="87"/>
        <v>43747.013415763889</v>
      </c>
      <c r="K5606" s="1"/>
    </row>
    <row r="5607" spans="1:11" x14ac:dyDescent="0.25">
      <c r="A5607" t="e">
        <f>-LqgNUyxRpPbKcMefE8B</f>
        <v>#NAME?</v>
      </c>
      <c r="B5607">
        <v>393.75</v>
      </c>
      <c r="C5607">
        <v>20.478950000000001</v>
      </c>
      <c r="D5607">
        <v>67</v>
      </c>
      <c r="E5607">
        <v>0</v>
      </c>
      <c r="F5607">
        <v>0</v>
      </c>
      <c r="G5607">
        <v>3</v>
      </c>
      <c r="H5607" s="4">
        <v>1570555165334</v>
      </c>
      <c r="I5607">
        <v>526.6875</v>
      </c>
      <c r="J5607" s="9">
        <f t="shared" si="87"/>
        <v>43747.013487662036</v>
      </c>
      <c r="K5607" s="1"/>
    </row>
    <row r="5608" spans="1:11" x14ac:dyDescent="0.25">
      <c r="A5608" t="e">
        <f>-LqgNWi1RdZXEWE35GbJ</f>
        <v>#NAME?</v>
      </c>
      <c r="B5608">
        <v>393.75</v>
      </c>
      <c r="C5608">
        <v>20.531590000000001</v>
      </c>
      <c r="D5608">
        <v>66</v>
      </c>
      <c r="E5608">
        <v>0</v>
      </c>
      <c r="F5608">
        <v>0</v>
      </c>
      <c r="G5608">
        <v>10</v>
      </c>
      <c r="H5608" s="4">
        <v>1570555172563</v>
      </c>
      <c r="I5608">
        <v>526.5</v>
      </c>
      <c r="J5608" s="9">
        <f t="shared" si="87"/>
        <v>43747.013571331016</v>
      </c>
      <c r="K5608" s="1"/>
    </row>
    <row r="5609" spans="1:11" x14ac:dyDescent="0.25">
      <c r="A5609" t="e">
        <f>-LqgNYH2nZ3pGhYzR-kA</f>
        <v>#NAME?</v>
      </c>
      <c r="B5609">
        <v>393.75</v>
      </c>
      <c r="C5609">
        <v>20.478950000000001</v>
      </c>
      <c r="D5609">
        <v>66</v>
      </c>
      <c r="E5609">
        <v>0</v>
      </c>
      <c r="F5609">
        <v>0</v>
      </c>
      <c r="G5609">
        <v>2</v>
      </c>
      <c r="H5609" s="4">
        <v>1570555178734</v>
      </c>
      <c r="I5609">
        <v>526.5</v>
      </c>
      <c r="J5609" s="9">
        <f t="shared" si="87"/>
        <v>43747.013642754631</v>
      </c>
      <c r="K5609" s="1"/>
    </row>
    <row r="5610" spans="1:11" x14ac:dyDescent="0.25">
      <c r="A5610" t="s">
        <v>302</v>
      </c>
      <c r="B5610">
        <v>393.75</v>
      </c>
      <c r="C5610">
        <v>20.478950000000001</v>
      </c>
      <c r="D5610">
        <v>61</v>
      </c>
      <c r="E5610">
        <v>0</v>
      </c>
      <c r="F5610">
        <v>0</v>
      </c>
      <c r="G5610">
        <v>17</v>
      </c>
      <c r="H5610" s="4">
        <v>1570555185944</v>
      </c>
      <c r="I5610">
        <v>526.6875</v>
      </c>
      <c r="J5610" s="9">
        <f t="shared" si="87"/>
        <v>43747.013726203702</v>
      </c>
      <c r="K5610" s="1"/>
    </row>
    <row r="5611" spans="1:11" x14ac:dyDescent="0.25">
      <c r="A5611" t="e">
        <f>-LqgNaU7mBrcMDb8ES_K</f>
        <v>#NAME?</v>
      </c>
      <c r="B5611">
        <v>393.75</v>
      </c>
      <c r="C5611">
        <v>20.478950000000001</v>
      </c>
      <c r="D5611">
        <v>67</v>
      </c>
      <c r="E5611">
        <v>0</v>
      </c>
      <c r="F5611">
        <v>0</v>
      </c>
      <c r="G5611">
        <v>7</v>
      </c>
      <c r="H5611" s="4">
        <v>1570555192142</v>
      </c>
      <c r="I5611">
        <v>526.6875</v>
      </c>
      <c r="J5611" s="9">
        <f t="shared" si="87"/>
        <v>43747.013797939813</v>
      </c>
      <c r="K5611" s="1"/>
    </row>
    <row r="5612" spans="1:11" x14ac:dyDescent="0.25">
      <c r="A5612" t="e">
        <f>-LqgNby496M_R2MNwwPp</f>
        <v>#NAME?</v>
      </c>
      <c r="B5612">
        <v>393.75</v>
      </c>
      <c r="C5612">
        <v>20.478950000000001</v>
      </c>
      <c r="D5612">
        <v>67</v>
      </c>
      <c r="E5612">
        <v>0</v>
      </c>
      <c r="F5612">
        <v>0</v>
      </c>
      <c r="G5612">
        <v>0</v>
      </c>
      <c r="H5612" s="4">
        <v>1570555198316</v>
      </c>
      <c r="I5612">
        <v>526.6875</v>
      </c>
      <c r="J5612" s="9">
        <f t="shared" si="87"/>
        <v>43747.01386939815</v>
      </c>
      <c r="K5612" s="1"/>
    </row>
    <row r="5613" spans="1:11" x14ac:dyDescent="0.25">
      <c r="A5613" t="e">
        <f>-LqgNdXLRWfiNx1qFsnL</f>
        <v>#NAME?</v>
      </c>
      <c r="B5613">
        <v>393.75</v>
      </c>
      <c r="C5613">
        <v>20.478950000000001</v>
      </c>
      <c r="D5613">
        <v>67</v>
      </c>
      <c r="E5613">
        <v>0</v>
      </c>
      <c r="F5613">
        <v>0</v>
      </c>
      <c r="G5613">
        <v>8</v>
      </c>
      <c r="H5613" s="4">
        <v>1570555204494</v>
      </c>
      <c r="I5613">
        <v>526.6875</v>
      </c>
      <c r="J5613" s="9">
        <f t="shared" si="87"/>
        <v>43747.013940902776</v>
      </c>
      <c r="K5613" s="1"/>
    </row>
    <row r="5614" spans="1:11" x14ac:dyDescent="0.25">
      <c r="A5614" t="e">
        <f>-LqgNfK1qdprZfOMPC22</f>
        <v>#NAME?</v>
      </c>
      <c r="B5614">
        <v>393.75</v>
      </c>
      <c r="C5614">
        <v>20.478950000000001</v>
      </c>
      <c r="D5614">
        <v>68</v>
      </c>
      <c r="E5614">
        <v>0</v>
      </c>
      <c r="F5614">
        <v>0</v>
      </c>
      <c r="G5614">
        <v>13</v>
      </c>
      <c r="H5614" s="4">
        <v>1570555211702</v>
      </c>
      <c r="I5614">
        <v>526.6875</v>
      </c>
      <c r="J5614" s="9">
        <f t="shared" si="87"/>
        <v>43747.014024328702</v>
      </c>
      <c r="K5614" s="1"/>
    </row>
    <row r="5615" spans="1:11" x14ac:dyDescent="0.25">
      <c r="A5615" t="e">
        <f>-LqgNh-gZobsMeSvzSvw</f>
        <v>#NAME?</v>
      </c>
      <c r="B5615">
        <v>412.5</v>
      </c>
      <c r="C5615">
        <v>20.478950000000001</v>
      </c>
      <c r="D5615">
        <v>68</v>
      </c>
      <c r="E5615">
        <v>0</v>
      </c>
      <c r="F5615">
        <v>0</v>
      </c>
      <c r="G5615">
        <v>5</v>
      </c>
      <c r="H5615" s="4">
        <v>1570555218963</v>
      </c>
      <c r="I5615">
        <v>532.3125</v>
      </c>
      <c r="J5615" s="9">
        <f t="shared" si="87"/>
        <v>43747.014108368057</v>
      </c>
      <c r="K5615" s="1"/>
    </row>
    <row r="5616" spans="1:11" x14ac:dyDescent="0.25">
      <c r="A5616" t="e">
        <f>-LqgNiVyU_B44YEFxcQ2</f>
        <v>#NAME?</v>
      </c>
      <c r="B5616">
        <v>393.75</v>
      </c>
      <c r="C5616">
        <v>20.478950000000001</v>
      </c>
      <c r="D5616">
        <v>68</v>
      </c>
      <c r="E5616">
        <v>0</v>
      </c>
      <c r="F5616">
        <v>0</v>
      </c>
      <c r="G5616">
        <v>9</v>
      </c>
      <c r="H5616" s="4">
        <v>1570555225112</v>
      </c>
      <c r="I5616">
        <v>526.6875</v>
      </c>
      <c r="J5616" s="9">
        <f t="shared" si="87"/>
        <v>43747.014179537036</v>
      </c>
      <c r="K5616" s="1"/>
    </row>
    <row r="5617" spans="1:11" x14ac:dyDescent="0.25">
      <c r="A5617" t="e">
        <f>-LqgNkIw_XN5EcVTQbid</f>
        <v>#NAME?</v>
      </c>
      <c r="B5617">
        <v>393.75</v>
      </c>
      <c r="C5617">
        <v>20.478950000000001</v>
      </c>
      <c r="D5617">
        <v>68</v>
      </c>
      <c r="E5617">
        <v>0</v>
      </c>
      <c r="F5617">
        <v>0</v>
      </c>
      <c r="G5617">
        <v>3</v>
      </c>
      <c r="H5617" s="4">
        <v>1570555232302</v>
      </c>
      <c r="I5617">
        <v>526.6875</v>
      </c>
      <c r="J5617" s="9">
        <f t="shared" si="87"/>
        <v>43747.014262754623</v>
      </c>
      <c r="K5617" s="1"/>
    </row>
    <row r="5618" spans="1:11" x14ac:dyDescent="0.25">
      <c r="A5618" t="e">
        <f>-LqgNllj9kfQEoylYASz</f>
        <v>#NAME?</v>
      </c>
      <c r="B5618">
        <v>393.75</v>
      </c>
      <c r="C5618">
        <v>20.478950000000001</v>
      </c>
      <c r="D5618">
        <v>69</v>
      </c>
      <c r="E5618">
        <v>0</v>
      </c>
      <c r="F5618">
        <v>0</v>
      </c>
      <c r="G5618">
        <v>10</v>
      </c>
      <c r="H5618" s="4">
        <v>1570555238483</v>
      </c>
      <c r="I5618">
        <v>526.6875</v>
      </c>
      <c r="J5618" s="9">
        <f t="shared" si="87"/>
        <v>43747.014334293977</v>
      </c>
      <c r="K5618" s="1"/>
    </row>
    <row r="5619" spans="1:11" x14ac:dyDescent="0.25">
      <c r="A5619" t="e">
        <f>-LqgNnLz4_hXOFoVfNNd</f>
        <v>#NAME?</v>
      </c>
      <c r="B5619">
        <v>393.75</v>
      </c>
      <c r="C5619">
        <v>20.478950000000001</v>
      </c>
      <c r="D5619">
        <v>69</v>
      </c>
      <c r="E5619">
        <v>0</v>
      </c>
      <c r="F5619">
        <v>0</v>
      </c>
      <c r="G5619">
        <v>3</v>
      </c>
      <c r="H5619" s="4">
        <v>1570555244684</v>
      </c>
      <c r="I5619">
        <v>526.6875</v>
      </c>
      <c r="J5619" s="9">
        <f t="shared" si="87"/>
        <v>43747.014406064809</v>
      </c>
      <c r="K5619" s="1"/>
    </row>
    <row r="5620" spans="1:11" x14ac:dyDescent="0.25">
      <c r="A5620" t="e">
        <f>-LqgNp5MFsU_q_g3mdiR</f>
        <v>#NAME?</v>
      </c>
      <c r="B5620">
        <v>396.875</v>
      </c>
      <c r="C5620">
        <v>20.531590000000001</v>
      </c>
      <c r="D5620">
        <v>66</v>
      </c>
      <c r="E5620">
        <v>0</v>
      </c>
      <c r="F5620">
        <v>0</v>
      </c>
      <c r="G5620">
        <v>3</v>
      </c>
      <c r="H5620" s="4">
        <v>1570555251892</v>
      </c>
      <c r="I5620">
        <v>527.4375</v>
      </c>
      <c r="J5620" s="9">
        <f t="shared" si="87"/>
        <v>43747.014489490735</v>
      </c>
      <c r="K5620" s="1"/>
    </row>
    <row r="5621" spans="1:11" x14ac:dyDescent="0.25">
      <c r="A5621" t="e">
        <f>-LqgNqt2R8W9PFJX91Bh</f>
        <v>#NAME?</v>
      </c>
      <c r="B5621">
        <v>412.5</v>
      </c>
      <c r="C5621">
        <v>20.478950000000001</v>
      </c>
      <c r="D5621">
        <v>68</v>
      </c>
      <c r="E5621">
        <v>0</v>
      </c>
      <c r="F5621">
        <v>0</v>
      </c>
      <c r="G5621">
        <v>7</v>
      </c>
      <c r="H5621" s="4">
        <v>1570555259112</v>
      </c>
      <c r="I5621">
        <v>532.125</v>
      </c>
      <c r="J5621" s="9">
        <f t="shared" si="87"/>
        <v>43747.014573055552</v>
      </c>
      <c r="K5621" s="1"/>
    </row>
    <row r="5622" spans="1:11" x14ac:dyDescent="0.25">
      <c r="A5622" t="e">
        <f>-LqgNsb4Rs-Gu5A8TAqE</f>
        <v>#NAME?</v>
      </c>
      <c r="B5622">
        <v>393.75</v>
      </c>
      <c r="C5622">
        <v>20.478950000000001</v>
      </c>
      <c r="D5622">
        <v>69</v>
      </c>
      <c r="E5622">
        <v>0</v>
      </c>
      <c r="F5622">
        <v>0</v>
      </c>
      <c r="G5622">
        <v>5</v>
      </c>
      <c r="H5622" s="4">
        <v>1570555266323</v>
      </c>
      <c r="I5622">
        <v>526.5</v>
      </c>
      <c r="J5622" s="9">
        <f t="shared" si="87"/>
        <v>43747.014656516199</v>
      </c>
      <c r="K5622" s="1"/>
    </row>
    <row r="5623" spans="1:11" x14ac:dyDescent="0.25">
      <c r="A5623" t="e">
        <f>-LqgNu8xNIAWTjRMrJBq</f>
        <v>#NAME?</v>
      </c>
      <c r="B5623">
        <v>393.75</v>
      </c>
      <c r="C5623">
        <v>20.478950000000001</v>
      </c>
      <c r="D5623">
        <v>70</v>
      </c>
      <c r="E5623">
        <v>0</v>
      </c>
      <c r="F5623">
        <v>0</v>
      </c>
      <c r="G5623">
        <v>15</v>
      </c>
      <c r="H5623" s="4">
        <v>1570555272510</v>
      </c>
      <c r="I5623">
        <v>526.6875</v>
      </c>
      <c r="J5623" s="9">
        <f t="shared" si="87"/>
        <v>43747.014728125003</v>
      </c>
      <c r="K5623" s="1"/>
    </row>
    <row r="5624" spans="1:11" x14ac:dyDescent="0.25">
      <c r="A5624" t="e">
        <f>-LqgNvt2veKUTtpCtgPz</f>
        <v>#NAME?</v>
      </c>
      <c r="B5624">
        <v>393.75</v>
      </c>
      <c r="C5624">
        <v>20.478950000000001</v>
      </c>
      <c r="D5624">
        <v>69</v>
      </c>
      <c r="E5624">
        <v>0</v>
      </c>
      <c r="F5624">
        <v>0</v>
      </c>
      <c r="G5624">
        <v>11</v>
      </c>
      <c r="H5624" s="4">
        <v>1570555279723</v>
      </c>
      <c r="I5624">
        <v>526.6875</v>
      </c>
      <c r="J5624" s="9">
        <f t="shared" si="87"/>
        <v>43747.014811608795</v>
      </c>
      <c r="K5624" s="1"/>
    </row>
    <row r="5625" spans="1:11" x14ac:dyDescent="0.25">
      <c r="A5625" t="e">
        <f>-LqgNxLnE4gWE3XazYyA</f>
        <v>#NAME?</v>
      </c>
      <c r="B5625">
        <v>393.75</v>
      </c>
      <c r="C5625">
        <v>20.531590000000001</v>
      </c>
      <c r="D5625">
        <v>68</v>
      </c>
      <c r="E5625">
        <v>0</v>
      </c>
      <c r="F5625">
        <v>0</v>
      </c>
      <c r="G5625">
        <v>10</v>
      </c>
      <c r="H5625" s="4">
        <v>1570555285914</v>
      </c>
      <c r="I5625">
        <v>526.6875</v>
      </c>
      <c r="J5625" s="9">
        <f t="shared" si="87"/>
        <v>43747.014883263888</v>
      </c>
      <c r="K5625" s="1"/>
    </row>
    <row r="5626" spans="1:11" x14ac:dyDescent="0.25">
      <c r="A5626" t="e">
        <f>-LqgNyrBFL8ymL1ApcOz</f>
        <v>#NAME?</v>
      </c>
      <c r="B5626">
        <v>393.75</v>
      </c>
      <c r="C5626">
        <v>20.531590000000001</v>
      </c>
      <c r="D5626">
        <v>69</v>
      </c>
      <c r="E5626">
        <v>0</v>
      </c>
      <c r="F5626">
        <v>0</v>
      </c>
      <c r="G5626">
        <v>11</v>
      </c>
      <c r="H5626" s="4">
        <v>1570555292082</v>
      </c>
      <c r="I5626">
        <v>526.6875</v>
      </c>
      <c r="J5626" s="9">
        <f t="shared" si="87"/>
        <v>43747.014954652775</v>
      </c>
      <c r="K5626" s="1"/>
    </row>
    <row r="5627" spans="1:11" x14ac:dyDescent="0.25">
      <c r="A5627" t="e">
        <f>-LqgO6XDjOtE5TlPw_SY</f>
        <v>#NAME?</v>
      </c>
      <c r="B5627">
        <v>393.75</v>
      </c>
      <c r="C5627">
        <v>20.478950000000001</v>
      </c>
      <c r="D5627">
        <v>73</v>
      </c>
      <c r="E5627">
        <v>0</v>
      </c>
      <c r="F5627">
        <v>0</v>
      </c>
      <c r="G5627">
        <v>0</v>
      </c>
      <c r="H5627" s="4">
        <v>1570555327466</v>
      </c>
      <c r="I5627">
        <v>526.6875</v>
      </c>
      <c r="J5627" s="9">
        <f t="shared" si="87"/>
        <v>43747.015364189814</v>
      </c>
      <c r="K5627" s="1"/>
    </row>
    <row r="5628" spans="1:11" x14ac:dyDescent="0.25">
      <c r="A5628" t="e">
        <f>-LqgO8DyOuEFI5p63QkK</f>
        <v>#NAME?</v>
      </c>
      <c r="B5628">
        <v>393.75</v>
      </c>
      <c r="C5628">
        <v>20.478950000000001</v>
      </c>
      <c r="D5628">
        <v>73</v>
      </c>
      <c r="E5628">
        <v>0</v>
      </c>
      <c r="F5628">
        <v>0</v>
      </c>
      <c r="G5628">
        <v>0</v>
      </c>
      <c r="H5628" s="4">
        <v>1570555334565</v>
      </c>
      <c r="I5628">
        <v>526.6875</v>
      </c>
      <c r="J5628" s="9">
        <f t="shared" si="87"/>
        <v>43747.015446354162</v>
      </c>
      <c r="K5628" s="1"/>
    </row>
    <row r="5629" spans="1:11" x14ac:dyDescent="0.25">
      <c r="A5629" t="e">
        <f>-LqgO9n--duuOxZGpXpC</f>
        <v>#NAME?</v>
      </c>
      <c r="B5629">
        <v>393.75</v>
      </c>
      <c r="C5629">
        <v>20.478950000000001</v>
      </c>
      <c r="D5629">
        <v>72</v>
      </c>
      <c r="E5629">
        <v>0</v>
      </c>
      <c r="F5629">
        <v>0</v>
      </c>
      <c r="G5629">
        <v>1</v>
      </c>
      <c r="H5629" s="4">
        <v>1570555340755</v>
      </c>
      <c r="I5629">
        <v>526.5</v>
      </c>
      <c r="J5629" s="9">
        <f t="shared" si="87"/>
        <v>43747.015517997679</v>
      </c>
      <c r="K5629" s="1"/>
    </row>
    <row r="5630" spans="1:11" x14ac:dyDescent="0.25">
      <c r="A5630" t="e">
        <f>-LqgOBl3yXmq1yX5-Ig_</f>
        <v>#NAME?</v>
      </c>
      <c r="B5630">
        <v>393.75</v>
      </c>
      <c r="C5630">
        <v>20.478950000000001</v>
      </c>
      <c r="D5630">
        <v>72</v>
      </c>
      <c r="E5630">
        <v>0</v>
      </c>
      <c r="F5630">
        <v>0</v>
      </c>
      <c r="G5630">
        <v>0</v>
      </c>
      <c r="H5630" s="4">
        <v>1570555348703</v>
      </c>
      <c r="I5630">
        <v>526.6875</v>
      </c>
      <c r="J5630" s="9">
        <f t="shared" si="87"/>
        <v>43747.015609988426</v>
      </c>
      <c r="K5630" s="1"/>
    </row>
    <row r="5631" spans="1:11" x14ac:dyDescent="0.25">
      <c r="A5631" t="e">
        <f>-LqgODIyQoMWS6nT9jNy</f>
        <v>#NAME?</v>
      </c>
      <c r="B5631">
        <v>393.75</v>
      </c>
      <c r="C5631">
        <v>20.478950000000001</v>
      </c>
      <c r="D5631">
        <v>71</v>
      </c>
      <c r="E5631">
        <v>0</v>
      </c>
      <c r="F5631">
        <v>0</v>
      </c>
      <c r="G5631">
        <v>5</v>
      </c>
      <c r="H5631" s="4">
        <v>1570555355186</v>
      </c>
      <c r="I5631">
        <v>526.6875</v>
      </c>
      <c r="J5631" s="9">
        <f t="shared" si="87"/>
        <v>43747.015685023151</v>
      </c>
      <c r="K5631" s="1"/>
    </row>
    <row r="5632" spans="1:11" x14ac:dyDescent="0.25">
      <c r="A5632" t="e">
        <f>-LqgOEo5CxJkjhR-hvTu</f>
        <v>#NAME?</v>
      </c>
      <c r="B5632">
        <v>393.75</v>
      </c>
      <c r="C5632">
        <v>20.478950000000001</v>
      </c>
      <c r="D5632">
        <v>71</v>
      </c>
      <c r="E5632">
        <v>0</v>
      </c>
      <c r="F5632">
        <v>0</v>
      </c>
      <c r="G5632">
        <v>9</v>
      </c>
      <c r="H5632" s="4">
        <v>1570555361366</v>
      </c>
      <c r="I5632">
        <v>526.6875</v>
      </c>
      <c r="J5632" s="9">
        <f t="shared" si="87"/>
        <v>43747.015756550922</v>
      </c>
      <c r="K5632" s="1"/>
    </row>
    <row r="5633" spans="1:11" x14ac:dyDescent="0.25">
      <c r="A5633" t="e">
        <f>-LqgOGLz3XuMgOmrljzA</f>
        <v>#NAME?</v>
      </c>
      <c r="B5633">
        <v>393.75</v>
      </c>
      <c r="C5633">
        <v>20.478950000000001</v>
      </c>
      <c r="D5633">
        <v>67</v>
      </c>
      <c r="E5633">
        <v>0</v>
      </c>
      <c r="F5633">
        <v>0</v>
      </c>
      <c r="G5633">
        <v>5</v>
      </c>
      <c r="H5633" s="4">
        <v>1570555367554</v>
      </c>
      <c r="I5633">
        <v>526.6875</v>
      </c>
      <c r="J5633" s="9">
        <f t="shared" si="87"/>
        <v>43747.015828171294</v>
      </c>
      <c r="K5633" s="1"/>
    </row>
    <row r="5634" spans="1:11" x14ac:dyDescent="0.25">
      <c r="A5634" t="e">
        <f>-LqgOI3yP4B0zB2STycm</f>
        <v>#NAME?</v>
      </c>
      <c r="B5634">
        <v>393.75</v>
      </c>
      <c r="C5634">
        <v>20.531590000000001</v>
      </c>
      <c r="D5634">
        <v>68</v>
      </c>
      <c r="E5634">
        <v>0</v>
      </c>
      <c r="F5634">
        <v>0</v>
      </c>
      <c r="G5634">
        <v>0</v>
      </c>
      <c r="H5634" s="4">
        <v>1570555374766</v>
      </c>
      <c r="I5634">
        <v>526.6875</v>
      </c>
      <c r="J5634" s="9">
        <f t="shared" si="87"/>
        <v>43747.015911643517</v>
      </c>
      <c r="K5634" s="1"/>
    </row>
    <row r="5635" spans="1:11" x14ac:dyDescent="0.25">
      <c r="A5635" t="e">
        <f>-LqgOJYzl672QMUV3O8H</f>
        <v>#NAME?</v>
      </c>
      <c r="B5635">
        <v>393.75</v>
      </c>
      <c r="C5635">
        <v>20.531590000000001</v>
      </c>
      <c r="D5635">
        <v>68</v>
      </c>
      <c r="E5635">
        <v>0</v>
      </c>
      <c r="F5635">
        <v>0</v>
      </c>
      <c r="G5635">
        <v>11</v>
      </c>
      <c r="H5635" s="4">
        <v>1570555380944</v>
      </c>
      <c r="I5635">
        <v>526.6875</v>
      </c>
      <c r="J5635" s="9">
        <f t="shared" ref="J5635:J5698" si="88">(H5635/86400000)+25569+(7/24)</f>
        <v>43747.015983148151</v>
      </c>
      <c r="K5635" s="1"/>
    </row>
    <row r="5636" spans="1:11" x14ac:dyDescent="0.25">
      <c r="A5636" t="e">
        <f>-LqgOLJNSEDO7DYmrPBe</f>
        <v>#NAME?</v>
      </c>
      <c r="B5636">
        <v>393.75</v>
      </c>
      <c r="C5636">
        <v>20.531590000000001</v>
      </c>
      <c r="D5636">
        <v>68</v>
      </c>
      <c r="E5636">
        <v>0</v>
      </c>
      <c r="F5636">
        <v>0</v>
      </c>
      <c r="G5636">
        <v>3</v>
      </c>
      <c r="H5636" s="4">
        <v>1570555387102</v>
      </c>
      <c r="I5636">
        <v>526.5</v>
      </c>
      <c r="J5636" s="9">
        <f t="shared" si="88"/>
        <v>43747.016054421292</v>
      </c>
      <c r="K5636" s="1"/>
    </row>
    <row r="5637" spans="1:11" x14ac:dyDescent="0.25">
      <c r="A5637" t="e">
        <f>-LqgOMr3xwkowDyBK09G</f>
        <v>#NAME?</v>
      </c>
      <c r="B5637">
        <v>393.75</v>
      </c>
      <c r="C5637">
        <v>20.478950000000001</v>
      </c>
      <c r="D5637">
        <v>66</v>
      </c>
      <c r="E5637">
        <v>0</v>
      </c>
      <c r="F5637">
        <v>0</v>
      </c>
      <c r="G5637">
        <v>4</v>
      </c>
      <c r="H5637" s="4">
        <v>1570555394324</v>
      </c>
      <c r="I5637">
        <v>526.6875</v>
      </c>
      <c r="J5637" s="9">
        <f t="shared" si="88"/>
        <v>43747.016138009254</v>
      </c>
      <c r="K5637" s="1"/>
    </row>
    <row r="5638" spans="1:11" x14ac:dyDescent="0.25">
      <c r="A5638" t="e">
        <f>-LqgOOP-q1OuzCZsf3Gj</f>
        <v>#NAME?</v>
      </c>
      <c r="B5638">
        <v>393.75</v>
      </c>
      <c r="C5638">
        <v>20.478950000000001</v>
      </c>
      <c r="D5638">
        <v>72</v>
      </c>
      <c r="E5638">
        <v>0</v>
      </c>
      <c r="F5638">
        <v>0</v>
      </c>
      <c r="G5638">
        <v>0</v>
      </c>
      <c r="H5638" s="4">
        <v>1570555400526</v>
      </c>
      <c r="I5638">
        <v>526.6875</v>
      </c>
      <c r="J5638" s="9">
        <f t="shared" si="88"/>
        <v>43747.016209791669</v>
      </c>
      <c r="K5638" s="1"/>
    </row>
    <row r="5639" spans="1:11" x14ac:dyDescent="0.25">
      <c r="A5639" t="e">
        <f>-LqgOQ7-E2z81P6O7cdK</f>
        <v>#NAME?</v>
      </c>
      <c r="B5639">
        <v>393.75</v>
      </c>
      <c r="C5639">
        <v>20.478950000000001</v>
      </c>
      <c r="D5639">
        <v>71</v>
      </c>
      <c r="E5639">
        <v>0</v>
      </c>
      <c r="F5639">
        <v>0</v>
      </c>
      <c r="G5639">
        <v>9</v>
      </c>
      <c r="H5639" s="4">
        <v>1570555407736</v>
      </c>
      <c r="I5639">
        <v>526.5</v>
      </c>
      <c r="J5639" s="9">
        <f t="shared" si="88"/>
        <v>43747.016293240733</v>
      </c>
      <c r="K5639" s="1"/>
    </row>
    <row r="5640" spans="1:11" x14ac:dyDescent="0.25">
      <c r="A5640" t="e">
        <f>-LqgORuzFA7fL-KtifKW</f>
        <v>#NAME?</v>
      </c>
      <c r="B5640">
        <v>412.5</v>
      </c>
      <c r="C5640">
        <v>20.478950000000001</v>
      </c>
      <c r="D5640">
        <v>71</v>
      </c>
      <c r="E5640">
        <v>0</v>
      </c>
      <c r="F5640">
        <v>0</v>
      </c>
      <c r="G5640">
        <v>0</v>
      </c>
      <c r="H5640" s="4">
        <v>1570555414956</v>
      </c>
      <c r="I5640">
        <v>532.125</v>
      </c>
      <c r="J5640" s="9">
        <f t="shared" si="88"/>
        <v>43747.016376805557</v>
      </c>
      <c r="K5640" s="1"/>
    </row>
    <row r="5641" spans="1:11" x14ac:dyDescent="0.25">
      <c r="A5641" t="e">
        <f>-LqgOTQBAfqqEfjMlaYP</f>
        <v>#NAME?</v>
      </c>
      <c r="B5641">
        <v>393.75</v>
      </c>
      <c r="C5641">
        <v>20.478950000000001</v>
      </c>
      <c r="D5641">
        <v>67</v>
      </c>
      <c r="E5641">
        <v>0</v>
      </c>
      <c r="F5641">
        <v>0</v>
      </c>
      <c r="G5641">
        <v>17</v>
      </c>
      <c r="H5641" s="4">
        <v>1570555421136</v>
      </c>
      <c r="I5641">
        <v>526.6875</v>
      </c>
      <c r="J5641" s="9">
        <f t="shared" si="88"/>
        <v>43747.016448333328</v>
      </c>
      <c r="K5641" s="1"/>
    </row>
    <row r="5642" spans="1:11" x14ac:dyDescent="0.25">
      <c r="A5642" t="s">
        <v>303</v>
      </c>
      <c r="B5642">
        <v>393.75</v>
      </c>
      <c r="C5642">
        <v>20.531590000000001</v>
      </c>
      <c r="D5642">
        <v>66</v>
      </c>
      <c r="E5642">
        <v>0</v>
      </c>
      <c r="F5642">
        <v>0</v>
      </c>
      <c r="G5642">
        <v>4</v>
      </c>
      <c r="H5642" s="4">
        <v>1570555427286</v>
      </c>
      <c r="I5642">
        <v>526.6875</v>
      </c>
      <c r="J5642" s="9">
        <f t="shared" si="88"/>
        <v>43747.016519513891</v>
      </c>
      <c r="K5642" s="1"/>
    </row>
    <row r="5643" spans="1:11" x14ac:dyDescent="0.25">
      <c r="A5643" t="e">
        <f>-LqgOWTDqZ2qL0AYMhOs</f>
        <v>#NAME?</v>
      </c>
      <c r="B5643">
        <v>393.75</v>
      </c>
      <c r="C5643">
        <v>20.478950000000001</v>
      </c>
      <c r="D5643">
        <v>66</v>
      </c>
      <c r="E5643">
        <v>0</v>
      </c>
      <c r="F5643">
        <v>0</v>
      </c>
      <c r="G5643">
        <v>3</v>
      </c>
      <c r="H5643" s="4">
        <v>1570555433496</v>
      </c>
      <c r="I5643">
        <v>526.6875</v>
      </c>
      <c r="J5643" s="9">
        <f t="shared" si="88"/>
        <v>43747.016591388885</v>
      </c>
      <c r="K5643" s="1"/>
    </row>
    <row r="5644" spans="1:11" x14ac:dyDescent="0.25">
      <c r="A5644" t="e">
        <f>-LqgOY8mv4dKUgh9mGvo</f>
        <v>#NAME?</v>
      </c>
      <c r="B5644">
        <v>393.75</v>
      </c>
      <c r="C5644">
        <v>20.531590000000001</v>
      </c>
      <c r="D5644">
        <v>66</v>
      </c>
      <c r="E5644">
        <v>0</v>
      </c>
      <c r="F5644">
        <v>0</v>
      </c>
      <c r="G5644">
        <v>3</v>
      </c>
      <c r="H5644" s="4">
        <v>1570555440725</v>
      </c>
      <c r="I5644">
        <v>526.875</v>
      </c>
      <c r="J5644" s="9">
        <f t="shared" si="88"/>
        <v>43747.016675057872</v>
      </c>
      <c r="K5644" s="1"/>
    </row>
    <row r="5645" spans="1:11" x14ac:dyDescent="0.25">
      <c r="A5645" t="e">
        <f>-LqgOZuD2PFqwhKKyl5w</f>
        <v>#NAME?</v>
      </c>
      <c r="B5645">
        <v>393.75</v>
      </c>
      <c r="C5645">
        <v>20.478950000000001</v>
      </c>
      <c r="D5645">
        <v>66</v>
      </c>
      <c r="E5645">
        <v>0</v>
      </c>
      <c r="F5645">
        <v>0</v>
      </c>
      <c r="G5645">
        <v>6</v>
      </c>
      <c r="H5645" s="4">
        <v>1570555447926</v>
      </c>
      <c r="I5645">
        <v>526.6875</v>
      </c>
      <c r="J5645" s="9">
        <f t="shared" si="88"/>
        <v>43747.016758402773</v>
      </c>
      <c r="K5645" s="1"/>
    </row>
    <row r="5646" spans="1:11" x14ac:dyDescent="0.25">
      <c r="A5646" t="e">
        <f>-LqgOaRzqnk9tc2bXK3w</f>
        <v>#NAME?</v>
      </c>
      <c r="B5646">
        <v>428.125</v>
      </c>
      <c r="C5646">
        <v>20.531590000000001</v>
      </c>
      <c r="D5646">
        <v>66</v>
      </c>
      <c r="E5646">
        <v>0</v>
      </c>
      <c r="F5646">
        <v>0</v>
      </c>
      <c r="G5646">
        <v>5</v>
      </c>
      <c r="H5646" s="4">
        <v>1570555454105</v>
      </c>
      <c r="I5646">
        <v>537.9375</v>
      </c>
      <c r="J5646" s="9">
        <f t="shared" si="88"/>
        <v>43747.016829918975</v>
      </c>
      <c r="K5646" s="1"/>
    </row>
    <row r="5647" spans="1:11" x14ac:dyDescent="0.25">
      <c r="A5647" t="e">
        <f>-LqgOcG5WXE2212eE_AG</f>
        <v>#NAME?</v>
      </c>
      <c r="B5647">
        <v>393.75</v>
      </c>
      <c r="C5647">
        <v>20.478950000000001</v>
      </c>
      <c r="D5647">
        <v>66</v>
      </c>
      <c r="E5647">
        <v>0</v>
      </c>
      <c r="F5647">
        <v>0</v>
      </c>
      <c r="G5647">
        <v>7</v>
      </c>
      <c r="H5647" s="4">
        <v>1570555461324</v>
      </c>
      <c r="I5647">
        <v>526.6875</v>
      </c>
      <c r="J5647" s="9">
        <f t="shared" si="88"/>
        <v>43747.016913472216</v>
      </c>
      <c r="K5647" s="1"/>
    </row>
    <row r="5648" spans="1:11" x14ac:dyDescent="0.25">
      <c r="A5648" t="e">
        <f>-LqgOdz5PsK6pa25FuC5</f>
        <v>#NAME?</v>
      </c>
      <c r="B5648">
        <v>393.75</v>
      </c>
      <c r="C5648">
        <v>20.478950000000001</v>
      </c>
      <c r="D5648">
        <v>66</v>
      </c>
      <c r="E5648">
        <v>0</v>
      </c>
      <c r="F5648">
        <v>0</v>
      </c>
      <c r="G5648">
        <v>3</v>
      </c>
      <c r="H5648" s="4">
        <v>1570555468538</v>
      </c>
      <c r="I5648">
        <v>526.6875</v>
      </c>
      <c r="J5648" s="9">
        <f t="shared" si="88"/>
        <v>43747.016996967592</v>
      </c>
      <c r="K5648" s="1"/>
    </row>
    <row r="5649" spans="1:11" x14ac:dyDescent="0.25">
      <c r="A5649" t="e">
        <f>-LqgOfT4c206nI-Ok5Bh</f>
        <v>#NAME?</v>
      </c>
      <c r="B5649">
        <v>393.75</v>
      </c>
      <c r="C5649">
        <v>20.531590000000001</v>
      </c>
      <c r="D5649">
        <v>66</v>
      </c>
      <c r="E5649">
        <v>0</v>
      </c>
      <c r="F5649">
        <v>0</v>
      </c>
      <c r="G5649">
        <v>6</v>
      </c>
      <c r="H5649" s="4">
        <v>1570555474715</v>
      </c>
      <c r="I5649">
        <v>526.5</v>
      </c>
      <c r="J5649" s="9">
        <f t="shared" si="88"/>
        <v>43747.017068460649</v>
      </c>
      <c r="K5649" s="1"/>
    </row>
    <row r="5650" spans="1:11" x14ac:dyDescent="0.25">
      <c r="A5650" t="e">
        <f>-LqgOhF2mdZdgyw_nJRU</f>
        <v>#NAME?</v>
      </c>
      <c r="B5650">
        <v>393.75</v>
      </c>
      <c r="C5650">
        <v>20.531590000000001</v>
      </c>
      <c r="D5650">
        <v>66</v>
      </c>
      <c r="E5650">
        <v>0</v>
      </c>
      <c r="F5650">
        <v>0</v>
      </c>
      <c r="G5650">
        <v>5</v>
      </c>
      <c r="H5650" s="4">
        <v>1570555480914</v>
      </c>
      <c r="I5650">
        <v>526.6875</v>
      </c>
      <c r="J5650" s="9">
        <f t="shared" si="88"/>
        <v>43747.017140208329</v>
      </c>
      <c r="K5650" s="1"/>
    </row>
    <row r="5651" spans="1:11" x14ac:dyDescent="0.25">
      <c r="A5651" t="e">
        <f>-LqgOj2-KNpuc0kCQcpt</f>
        <v>#NAME?</v>
      </c>
      <c r="B5651">
        <v>393.75</v>
      </c>
      <c r="C5651">
        <v>20.478950000000001</v>
      </c>
      <c r="D5651">
        <v>66</v>
      </c>
      <c r="E5651">
        <v>0</v>
      </c>
      <c r="F5651">
        <v>0</v>
      </c>
      <c r="G5651">
        <v>0</v>
      </c>
      <c r="H5651" s="4">
        <v>1570555489145</v>
      </c>
      <c r="I5651">
        <v>526.6875</v>
      </c>
      <c r="J5651" s="9">
        <f t="shared" si="88"/>
        <v>43747.017235474537</v>
      </c>
      <c r="K5651" s="1"/>
    </row>
    <row r="5652" spans="1:11" x14ac:dyDescent="0.25">
      <c r="A5652" t="e">
        <f>-LqgOkkytQ_Cp5nidNoc</f>
        <v>#NAME?</v>
      </c>
      <c r="B5652">
        <v>393.75</v>
      </c>
      <c r="C5652">
        <v>20.478950000000001</v>
      </c>
      <c r="D5652">
        <v>66</v>
      </c>
      <c r="E5652">
        <v>0</v>
      </c>
      <c r="F5652">
        <v>0</v>
      </c>
      <c r="G5652">
        <v>0</v>
      </c>
      <c r="H5652" s="4">
        <v>1570555496355</v>
      </c>
      <c r="I5652">
        <v>526.6875</v>
      </c>
      <c r="J5652" s="9">
        <f t="shared" si="88"/>
        <v>43747.017318923608</v>
      </c>
      <c r="K5652" s="1"/>
    </row>
    <row r="5653" spans="1:11" x14ac:dyDescent="0.25">
      <c r="A5653" t="e">
        <f>-LqgOmF1NUtHVlOHBfS4</f>
        <v>#NAME?</v>
      </c>
      <c r="B5653">
        <v>393.75</v>
      </c>
      <c r="C5653">
        <v>20.531590000000001</v>
      </c>
      <c r="D5653">
        <v>66</v>
      </c>
      <c r="E5653">
        <v>0</v>
      </c>
      <c r="F5653">
        <v>0</v>
      </c>
      <c r="G5653">
        <v>3</v>
      </c>
      <c r="H5653" s="4">
        <v>1570555502561</v>
      </c>
      <c r="I5653">
        <v>526.6875</v>
      </c>
      <c r="J5653" s="9">
        <f t="shared" si="88"/>
        <v>43747.017390752313</v>
      </c>
      <c r="K5653" s="1"/>
    </row>
    <row r="5654" spans="1:11" x14ac:dyDescent="0.25">
      <c r="A5654" t="e">
        <f>-LqgOnkDSrec-DkAvQQ2</f>
        <v>#NAME?</v>
      </c>
      <c r="B5654">
        <v>393.75</v>
      </c>
      <c r="C5654">
        <v>20.478950000000001</v>
      </c>
      <c r="D5654">
        <v>68</v>
      </c>
      <c r="E5654">
        <v>0</v>
      </c>
      <c r="F5654">
        <v>0</v>
      </c>
      <c r="G5654">
        <v>7</v>
      </c>
      <c r="H5654" s="4">
        <v>1570555508725</v>
      </c>
      <c r="I5654">
        <v>526.5</v>
      </c>
      <c r="J5654" s="9">
        <f t="shared" si="88"/>
        <v>43747.017462094904</v>
      </c>
      <c r="K5654" s="1"/>
    </row>
    <row r="5655" spans="1:11" x14ac:dyDescent="0.25">
      <c r="A5655" t="e">
        <f>-LqgOpI-kUmKhY2Qou9p</f>
        <v>#NAME?</v>
      </c>
      <c r="B5655">
        <v>393.75</v>
      </c>
      <c r="C5655">
        <v>20.478950000000001</v>
      </c>
      <c r="D5655">
        <v>69</v>
      </c>
      <c r="E5655">
        <v>0</v>
      </c>
      <c r="F5655">
        <v>0</v>
      </c>
      <c r="G5655">
        <v>4</v>
      </c>
      <c r="H5655" s="4">
        <v>1570555514906</v>
      </c>
      <c r="I5655">
        <v>526.6875</v>
      </c>
      <c r="J5655" s="9">
        <f t="shared" si="88"/>
        <v>43747.017533634258</v>
      </c>
      <c r="K5655" s="1"/>
    </row>
    <row r="5656" spans="1:11" x14ac:dyDescent="0.25">
      <c r="A5656" t="e">
        <f>-LqgOrQLp3FoomCgWH_q</f>
        <v>#NAME?</v>
      </c>
      <c r="B5656">
        <v>393.75</v>
      </c>
      <c r="C5656">
        <v>20.478950000000001</v>
      </c>
      <c r="D5656">
        <v>68</v>
      </c>
      <c r="E5656">
        <v>0</v>
      </c>
      <c r="F5656">
        <v>0</v>
      </c>
      <c r="G5656">
        <v>7</v>
      </c>
      <c r="H5656" s="4">
        <v>1570555522135</v>
      </c>
      <c r="I5656">
        <v>526.6875</v>
      </c>
      <c r="J5656" s="9">
        <f t="shared" si="88"/>
        <v>43747.017617303238</v>
      </c>
      <c r="K5656" s="1"/>
    </row>
    <row r="5657" spans="1:11" x14ac:dyDescent="0.25">
      <c r="A5657" t="e">
        <f>-LqgOt4JHEV7lDFK7n4R</f>
        <v>#NAME?</v>
      </c>
      <c r="B5657">
        <v>393.75</v>
      </c>
      <c r="C5657">
        <v>20.531590000000001</v>
      </c>
      <c r="D5657">
        <v>67</v>
      </c>
      <c r="E5657">
        <v>0</v>
      </c>
      <c r="F5657">
        <v>0</v>
      </c>
      <c r="G5657">
        <v>8</v>
      </c>
      <c r="H5657" s="4">
        <v>1570555530334</v>
      </c>
      <c r="I5657">
        <v>526.6875</v>
      </c>
      <c r="J5657" s="9">
        <f t="shared" si="88"/>
        <v>43747.017712199071</v>
      </c>
      <c r="K5657" s="1"/>
    </row>
    <row r="5658" spans="1:11" x14ac:dyDescent="0.25">
      <c r="A5658" t="e">
        <f>-LqgOuc5dNKj5SsGlJdE</f>
        <v>#NAME?</v>
      </c>
      <c r="B5658">
        <v>393.75</v>
      </c>
      <c r="C5658">
        <v>20.478950000000001</v>
      </c>
      <c r="D5658">
        <v>68</v>
      </c>
      <c r="E5658">
        <v>0</v>
      </c>
      <c r="F5658">
        <v>0</v>
      </c>
      <c r="G5658">
        <v>8</v>
      </c>
      <c r="H5658" s="4">
        <v>1570555536546</v>
      </c>
      <c r="I5658">
        <v>526.6875</v>
      </c>
      <c r="J5658" s="9">
        <f t="shared" si="88"/>
        <v>43747.017784097225</v>
      </c>
      <c r="K5658" s="1"/>
    </row>
    <row r="5659" spans="1:11" x14ac:dyDescent="0.25">
      <c r="A5659" t="e">
        <f>-LqgOwLF76O7DbKvv_go</f>
        <v>#NAME?</v>
      </c>
      <c r="B5659">
        <v>393.75</v>
      </c>
      <c r="C5659">
        <v>20.584240000000001</v>
      </c>
      <c r="D5659">
        <v>67</v>
      </c>
      <c r="E5659">
        <v>0</v>
      </c>
      <c r="F5659">
        <v>0</v>
      </c>
      <c r="G5659">
        <v>9</v>
      </c>
      <c r="H5659" s="4">
        <v>1570555543765</v>
      </c>
      <c r="I5659">
        <v>526.6875</v>
      </c>
      <c r="J5659" s="9">
        <f t="shared" si="88"/>
        <v>43747.017867650466</v>
      </c>
      <c r="K5659" s="1"/>
    </row>
    <row r="5660" spans="1:11" x14ac:dyDescent="0.25">
      <c r="A5660" t="s">
        <v>304</v>
      </c>
      <c r="B5660">
        <v>393.75</v>
      </c>
      <c r="C5660">
        <v>20.531590000000001</v>
      </c>
      <c r="D5660">
        <v>65</v>
      </c>
      <c r="E5660">
        <v>0</v>
      </c>
      <c r="F5660">
        <v>0</v>
      </c>
      <c r="G5660">
        <v>2</v>
      </c>
      <c r="H5660" s="4">
        <v>1570555549947</v>
      </c>
      <c r="I5660">
        <v>526.6875</v>
      </c>
      <c r="J5660" s="9">
        <f t="shared" si="88"/>
        <v>43747.017939201389</v>
      </c>
      <c r="K5660" s="1"/>
    </row>
    <row r="5661" spans="1:11" x14ac:dyDescent="0.25">
      <c r="A5661" t="e">
        <f>-LqgOzsHGYNo8xjYpnFH</f>
        <v>#NAME?</v>
      </c>
      <c r="B5661">
        <v>393.75</v>
      </c>
      <c r="C5661">
        <v>20.478950000000001</v>
      </c>
      <c r="D5661">
        <v>65</v>
      </c>
      <c r="E5661">
        <v>0</v>
      </c>
      <c r="F5661">
        <v>0</v>
      </c>
      <c r="G5661">
        <v>0</v>
      </c>
      <c r="H5661" s="4">
        <v>1570555558164</v>
      </c>
      <c r="I5661">
        <v>526.6875</v>
      </c>
      <c r="J5661" s="9">
        <f t="shared" si="88"/>
        <v>43747.018034305554</v>
      </c>
      <c r="K5661" s="1"/>
    </row>
    <row r="5662" spans="1:11" x14ac:dyDescent="0.25">
      <c r="A5662" t="e">
        <f>-LqgP0OyJtkQEsBG9SbK</f>
        <v>#NAME?</v>
      </c>
      <c r="B5662">
        <v>393.75</v>
      </c>
      <c r="C5662">
        <v>20.478950000000001</v>
      </c>
      <c r="D5662">
        <v>65</v>
      </c>
      <c r="E5662">
        <v>0</v>
      </c>
      <c r="F5662">
        <v>0</v>
      </c>
      <c r="G5662">
        <v>16</v>
      </c>
      <c r="H5662" s="4">
        <v>1570555564375</v>
      </c>
      <c r="I5662">
        <v>526.6875</v>
      </c>
      <c r="J5662" s="9">
        <f t="shared" si="88"/>
        <v>43747.018106192125</v>
      </c>
      <c r="K5662" s="1"/>
    </row>
    <row r="5663" spans="1:11" x14ac:dyDescent="0.25">
      <c r="A5663" t="e">
        <f>-LqgP2D2VvdAwxXNYVUK</f>
        <v>#NAME?</v>
      </c>
      <c r="B5663">
        <v>393.75</v>
      </c>
      <c r="C5663">
        <v>20.478950000000001</v>
      </c>
      <c r="D5663">
        <v>65</v>
      </c>
      <c r="E5663">
        <v>0</v>
      </c>
      <c r="F5663">
        <v>0</v>
      </c>
      <c r="G5663">
        <v>8</v>
      </c>
      <c r="H5663" s="4">
        <v>1570555571980</v>
      </c>
      <c r="I5663">
        <v>526.5</v>
      </c>
      <c r="J5663" s="9">
        <f t="shared" si="88"/>
        <v>43747.018194212964</v>
      </c>
      <c r="K5663" s="1"/>
    </row>
    <row r="5664" spans="1:11" x14ac:dyDescent="0.25">
      <c r="A5664" t="e">
        <f>-LqgP3uy49nQbfuuLOTb</f>
        <v>#NAME?</v>
      </c>
      <c r="B5664">
        <v>393.75</v>
      </c>
      <c r="C5664">
        <v>20.478950000000001</v>
      </c>
      <c r="D5664">
        <v>65</v>
      </c>
      <c r="E5664">
        <v>0</v>
      </c>
      <c r="F5664">
        <v>0</v>
      </c>
      <c r="G5664">
        <v>18</v>
      </c>
      <c r="H5664" s="4">
        <v>1570555578794</v>
      </c>
      <c r="I5664">
        <v>526.6875</v>
      </c>
      <c r="J5664" s="9">
        <f t="shared" si="88"/>
        <v>43747.018273078698</v>
      </c>
      <c r="K5664" s="1"/>
    </row>
    <row r="5665" spans="1:11" x14ac:dyDescent="0.25">
      <c r="A5665" t="e">
        <f>-LqgP5e29ADsGQfYJTNW</f>
        <v>#NAME?</v>
      </c>
      <c r="B5665">
        <v>393.75</v>
      </c>
      <c r="C5665">
        <v>20.478950000000001</v>
      </c>
      <c r="D5665">
        <v>69</v>
      </c>
      <c r="E5665">
        <v>0</v>
      </c>
      <c r="F5665">
        <v>0</v>
      </c>
      <c r="G5665">
        <v>0</v>
      </c>
      <c r="H5665" s="4">
        <v>1570555586003</v>
      </c>
      <c r="I5665">
        <v>526.6875</v>
      </c>
      <c r="J5665" s="9">
        <f t="shared" si="88"/>
        <v>43747.018356516201</v>
      </c>
      <c r="K5665" s="1"/>
    </row>
    <row r="5666" spans="1:11" x14ac:dyDescent="0.25">
      <c r="A5666" t="e">
        <f>-LqgP7D3Mf1omldwaR7u</f>
        <v>#NAME?</v>
      </c>
      <c r="B5666">
        <v>393.75</v>
      </c>
      <c r="C5666">
        <v>20.478950000000001</v>
      </c>
      <c r="D5666">
        <v>68</v>
      </c>
      <c r="E5666">
        <v>0</v>
      </c>
      <c r="F5666">
        <v>0</v>
      </c>
      <c r="G5666">
        <v>18</v>
      </c>
      <c r="H5666" s="4">
        <v>1570555592194</v>
      </c>
      <c r="I5666">
        <v>526.6875</v>
      </c>
      <c r="J5666" s="9">
        <f t="shared" si="88"/>
        <v>43747.018428171294</v>
      </c>
      <c r="K5666" s="1"/>
    </row>
    <row r="5667" spans="1:11" x14ac:dyDescent="0.25">
      <c r="A5667" t="e">
        <f>-LqgP8w1Hp_TEMxXcf3b</f>
        <v>#NAME?</v>
      </c>
      <c r="B5667">
        <v>393.75</v>
      </c>
      <c r="C5667">
        <v>20.478950000000001</v>
      </c>
      <c r="D5667">
        <v>67</v>
      </c>
      <c r="E5667">
        <v>0</v>
      </c>
      <c r="F5667">
        <v>0</v>
      </c>
      <c r="G5667">
        <v>6</v>
      </c>
      <c r="H5667" s="4">
        <v>1570555599403</v>
      </c>
      <c r="I5667">
        <v>526.6875</v>
      </c>
      <c r="J5667" s="9">
        <f t="shared" si="88"/>
        <v>43747.018511608789</v>
      </c>
      <c r="K5667" s="1"/>
    </row>
    <row r="5668" spans="1:11" x14ac:dyDescent="0.25">
      <c r="A5668" t="e">
        <f>-LqgPAQ3fX1IPbMZRbRV</f>
        <v>#NAME?</v>
      </c>
      <c r="B5668">
        <v>393.75</v>
      </c>
      <c r="C5668">
        <v>20.478950000000001</v>
      </c>
      <c r="D5668">
        <v>67</v>
      </c>
      <c r="E5668">
        <v>0</v>
      </c>
      <c r="F5668">
        <v>0</v>
      </c>
      <c r="G5668">
        <v>12</v>
      </c>
      <c r="H5668" s="4">
        <v>1570555605593</v>
      </c>
      <c r="I5668">
        <v>526.6875</v>
      </c>
      <c r="J5668" s="9">
        <f t="shared" si="88"/>
        <v>43747.018583252313</v>
      </c>
      <c r="K5668" s="1"/>
    </row>
    <row r="5669" spans="1:11" x14ac:dyDescent="0.25">
      <c r="A5669" t="e">
        <f>-LqgPBz1ked18L4SBQzk</f>
        <v>#NAME?</v>
      </c>
      <c r="B5669">
        <v>393.75</v>
      </c>
      <c r="C5669">
        <v>20.478950000000001</v>
      </c>
      <c r="D5669">
        <v>68</v>
      </c>
      <c r="E5669">
        <v>0</v>
      </c>
      <c r="F5669">
        <v>0</v>
      </c>
      <c r="G5669">
        <v>8</v>
      </c>
      <c r="H5669" s="4">
        <v>1570555611771</v>
      </c>
      <c r="I5669">
        <v>526.6875</v>
      </c>
      <c r="J5669" s="9">
        <f t="shared" si="88"/>
        <v>43747.018654756939</v>
      </c>
      <c r="K5669" s="1"/>
    </row>
    <row r="5670" spans="1:11" x14ac:dyDescent="0.25">
      <c r="A5670" t="e">
        <f>-LqgPDreTTrskYSv0cem</f>
        <v>#NAME?</v>
      </c>
      <c r="B5670">
        <v>393.75</v>
      </c>
      <c r="C5670">
        <v>20.478950000000001</v>
      </c>
      <c r="D5670">
        <v>68</v>
      </c>
      <c r="E5670">
        <v>0</v>
      </c>
      <c r="F5670">
        <v>0</v>
      </c>
      <c r="G5670">
        <v>11</v>
      </c>
      <c r="H5670" s="4">
        <v>1570555618963</v>
      </c>
      <c r="I5670">
        <v>526.6875</v>
      </c>
      <c r="J5670" s="9">
        <f t="shared" si="88"/>
        <v>43747.018737997678</v>
      </c>
      <c r="K5670" s="1"/>
    </row>
    <row r="5671" spans="1:11" x14ac:dyDescent="0.25">
      <c r="A5671" t="e">
        <f>-LqgPFTxLgpKu5-B6PNw</f>
        <v>#NAME?</v>
      </c>
      <c r="B5671">
        <v>393.75</v>
      </c>
      <c r="C5671">
        <v>20.531590000000001</v>
      </c>
      <c r="D5671">
        <v>66</v>
      </c>
      <c r="E5671">
        <v>0</v>
      </c>
      <c r="F5671">
        <v>0</v>
      </c>
      <c r="G5671">
        <v>9</v>
      </c>
      <c r="H5671" s="4">
        <v>1570555626193</v>
      </c>
      <c r="I5671">
        <v>526.6875</v>
      </c>
      <c r="J5671" s="9">
        <f t="shared" si="88"/>
        <v>43747.018821678234</v>
      </c>
      <c r="K5671" s="1"/>
    </row>
    <row r="5672" spans="1:11" x14ac:dyDescent="0.25">
      <c r="A5672" t="e">
        <f>-LqgPGxzpok01TmlwRsl</f>
        <v>#NAME?</v>
      </c>
      <c r="B5672">
        <v>393.75</v>
      </c>
      <c r="C5672">
        <v>20.478950000000001</v>
      </c>
      <c r="D5672">
        <v>66</v>
      </c>
      <c r="E5672">
        <v>0</v>
      </c>
      <c r="F5672">
        <v>0</v>
      </c>
      <c r="G5672">
        <v>4</v>
      </c>
      <c r="H5672" s="4">
        <v>1570555632381</v>
      </c>
      <c r="I5672">
        <v>526.5</v>
      </c>
      <c r="J5672" s="9">
        <f t="shared" si="88"/>
        <v>43747.018893298613</v>
      </c>
      <c r="K5672" s="1"/>
    </row>
    <row r="5673" spans="1:11" x14ac:dyDescent="0.25">
      <c r="A5673" t="e">
        <f>-LqgPIT5vOXDsiYO7XCF</f>
        <v>#NAME?</v>
      </c>
      <c r="B5673">
        <v>393.75</v>
      </c>
      <c r="C5673">
        <v>20.531590000000001</v>
      </c>
      <c r="D5673">
        <v>66</v>
      </c>
      <c r="E5673">
        <v>0</v>
      </c>
      <c r="F5673">
        <v>0</v>
      </c>
      <c r="G5673">
        <v>11</v>
      </c>
      <c r="H5673" s="4">
        <v>1570555638565</v>
      </c>
      <c r="I5673">
        <v>526.6875</v>
      </c>
      <c r="J5673" s="9">
        <f t="shared" si="88"/>
        <v>43747.018964872681</v>
      </c>
      <c r="K5673" s="1"/>
    </row>
    <row r="5674" spans="1:11" x14ac:dyDescent="0.25">
      <c r="A5674" t="e">
        <f>-LqgPK12ZIPXo0CiatLQ</f>
        <v>#NAME?</v>
      </c>
      <c r="B5674">
        <v>393.75</v>
      </c>
      <c r="C5674">
        <v>20.478950000000001</v>
      </c>
      <c r="D5674">
        <v>66</v>
      </c>
      <c r="E5674">
        <v>0</v>
      </c>
      <c r="F5674">
        <v>0</v>
      </c>
      <c r="G5674">
        <v>12</v>
      </c>
      <c r="H5674" s="4">
        <v>1570555644743</v>
      </c>
      <c r="I5674">
        <v>526.6875</v>
      </c>
      <c r="J5674" s="9">
        <f t="shared" si="88"/>
        <v>43747.019036377307</v>
      </c>
      <c r="K5674" s="1"/>
    </row>
    <row r="5675" spans="1:11" x14ac:dyDescent="0.25">
      <c r="A5675" t="e">
        <f>-LqgPLW17gi6Z-ZEw96v</f>
        <v>#NAME?</v>
      </c>
      <c r="B5675">
        <v>393.75</v>
      </c>
      <c r="C5675">
        <v>20.478950000000001</v>
      </c>
      <c r="D5675">
        <v>66</v>
      </c>
      <c r="E5675">
        <v>0</v>
      </c>
      <c r="F5675">
        <v>0</v>
      </c>
      <c r="G5675">
        <v>9</v>
      </c>
      <c r="H5675" s="4">
        <v>1570555650913</v>
      </c>
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     <f>-LqgPMynH8zSuSUqDXTN</f>
        <v>#NAME?</v>
      </c>
      <c r="B5676">
        <v>393.75</v>
      </c>
      <c r="C5676">
        <v>20.478950000000001</v>
      </c>
      <c r="D5676">
        <v>66</v>
      </c>
      <c r="E5676">
        <v>0</v>
      </c>
      <c r="F5676">
        <v>0</v>
      </c>
      <c r="G5676">
        <v>10</v>
      </c>
      <c r="H5676" s="4">
        <v>1570555657113</v>
      </c>
      <c r="I5676">
        <v>526.6875</v>
      </c>
      <c r="J5676" s="9">
        <f t="shared" si="88"/>
        <v>43747.01917954861</v>
      </c>
      <c r="K5676" s="1"/>
    </row>
    <row r="5677" spans="1:11" x14ac:dyDescent="0.25">
      <c r="A5677" t="e">
        <f>-LqgPOsDmw43bgVqdl5b</f>
        <v>#NAME?</v>
      </c>
      <c r="B5677">
        <v>393.75</v>
      </c>
      <c r="C5677">
        <v>20.478950000000001</v>
      </c>
      <c r="D5677">
        <v>66</v>
      </c>
      <c r="E5677">
        <v>0</v>
      </c>
      <c r="F5677">
        <v>0</v>
      </c>
      <c r="G5677">
        <v>7</v>
      </c>
      <c r="H5677" s="4">
        <v>1570555663294</v>
      </c>
      <c r="I5677">
        <v>526.6875</v>
      </c>
      <c r="J5677" s="9">
        <f t="shared" si="88"/>
        <v>43747.019251087964</v>
      </c>
      <c r="K5677" s="1"/>
    </row>
    <row r="5678" spans="1:11" x14ac:dyDescent="0.25">
      <c r="A5678" t="e">
        <f>-LqgPQW2pQKDy0s-nQA0</f>
        <v>#NAME?</v>
      </c>
      <c r="B5678">
        <v>393.75</v>
      </c>
      <c r="C5678">
        <v>20.478950000000001</v>
      </c>
      <c r="D5678">
        <v>67</v>
      </c>
      <c r="E5678">
        <v>0</v>
      </c>
      <c r="F5678">
        <v>0</v>
      </c>
      <c r="G5678">
        <v>4</v>
      </c>
      <c r="H5678" s="4">
        <v>1570555671533</v>
      </c>
      <c r="I5678">
        <v>526.6875</v>
      </c>
      <c r="J5678" s="9">
        <f t="shared" si="88"/>
        <v>43747.019346446752</v>
      </c>
      <c r="K5678" s="1"/>
    </row>
    <row r="5679" spans="1:11" x14ac:dyDescent="0.25">
      <c r="A5679" t="e">
        <f>-LqgPS2xKpJdIYWn0TV2</f>
        <v>#NAME?</v>
      </c>
      <c r="B5679">
        <v>393.75</v>
      </c>
      <c r="C5679">
        <v>20.478950000000001</v>
      </c>
      <c r="D5679">
        <v>67</v>
      </c>
      <c r="E5679">
        <v>0</v>
      </c>
      <c r="F5679">
        <v>0</v>
      </c>
      <c r="G5679">
        <v>2</v>
      </c>
      <c r="H5679" s="4">
        <v>1570555677714</v>
      </c>
      <c r="I5679">
        <v>526.6875</v>
      </c>
      <c r="J5679" s="9">
        <f t="shared" si="88"/>
        <v>43747.019417986106</v>
      </c>
      <c r="K5679" s="1"/>
    </row>
    <row r="5680" spans="1:11" x14ac:dyDescent="0.25">
      <c r="A5680" t="e">
        <f>-LqgPTZ23D2wdiIYPe5Y</f>
        <v>#NAME?</v>
      </c>
      <c r="B5680">
        <v>393.75</v>
      </c>
      <c r="C5680">
        <v>20.478950000000001</v>
      </c>
      <c r="D5680">
        <v>67</v>
      </c>
      <c r="E5680">
        <v>0</v>
      </c>
      <c r="F5680">
        <v>0</v>
      </c>
      <c r="G5680">
        <v>2</v>
      </c>
      <c r="H5680" s="4">
        <v>1570555683904</v>
      </c>
      <c r="I5680">
        <v>526.6875</v>
      </c>
      <c r="J5680" s="9">
        <f t="shared" si="88"/>
        <v>43747.019489629623</v>
      </c>
      <c r="K5680" s="1"/>
    </row>
    <row r="5681" spans="1:11" x14ac:dyDescent="0.25">
      <c r="A5681" t="e">
        <f>-LqgPV8IfeEiQ3ISMqlV</f>
        <v>#NAME?</v>
      </c>
      <c r="B5681">
        <v>393.75</v>
      </c>
      <c r="C5681">
        <v>20.478950000000001</v>
      </c>
      <c r="D5681">
        <v>66</v>
      </c>
      <c r="E5681">
        <v>0</v>
      </c>
      <c r="F5681">
        <v>0</v>
      </c>
      <c r="G5681">
        <v>11</v>
      </c>
      <c r="H5681" s="4">
        <v>1570555690094</v>
      </c>
      <c r="I5681">
        <v>526.6875</v>
      </c>
      <c r="J5681" s="9">
        <f t="shared" si="88"/>
        <v>43747.01956127314</v>
      </c>
      <c r="K5681" s="1"/>
    </row>
    <row r="5682" spans="1:11" x14ac:dyDescent="0.25">
      <c r="A5682" t="e">
        <f>-LqgPWoyXDeSVO8AlFHa</f>
        <v>#NAME?</v>
      </c>
      <c r="B5682">
        <v>393.75</v>
      </c>
      <c r="C5682">
        <v>20.478950000000001</v>
      </c>
      <c r="D5682">
        <v>68</v>
      </c>
      <c r="E5682">
        <v>0</v>
      </c>
      <c r="F5682">
        <v>0</v>
      </c>
      <c r="G5682">
        <v>12</v>
      </c>
      <c r="H5682" s="4">
        <v>1570555697294</v>
      </c>
      <c r="I5682">
        <v>526.6875</v>
      </c>
      <c r="J5682" s="9">
        <f t="shared" si="88"/>
        <v>43747.01964460648</v>
      </c>
      <c r="K5682" s="1"/>
    </row>
    <row r="5683" spans="1:11" x14ac:dyDescent="0.25">
      <c r="A5683" t="e">
        <f>-LqgPYdC9WsqcoA_-sXJ</f>
        <v>#NAME?</v>
      </c>
      <c r="B5683">
        <v>393.75</v>
      </c>
      <c r="C5683">
        <v>20.478950000000001</v>
      </c>
      <c r="D5683">
        <v>68</v>
      </c>
      <c r="E5683">
        <v>0</v>
      </c>
      <c r="F5683">
        <v>0</v>
      </c>
      <c r="G5683">
        <v>10</v>
      </c>
      <c r="H5683" s="4">
        <v>1570555704513</v>
      </c>
      <c r="I5683">
        <v>526.5</v>
      </c>
      <c r="J5683" s="9">
        <f t="shared" si="88"/>
        <v>43747.019728159721</v>
      </c>
      <c r="K5683" s="1"/>
    </row>
    <row r="5684" spans="1:11" x14ac:dyDescent="0.25">
      <c r="A5684" t="e">
        <f>-LqgP_f3VO9uJqAXzKgF</f>
        <v>#NAME?</v>
      </c>
      <c r="B5684">
        <v>393.75</v>
      </c>
      <c r="C5684">
        <v>20.478950000000001</v>
      </c>
      <c r="D5684">
        <v>71</v>
      </c>
      <c r="E5684">
        <v>0</v>
      </c>
      <c r="F5684">
        <v>0</v>
      </c>
      <c r="G5684">
        <v>16</v>
      </c>
      <c r="H5684" s="4">
        <v>1570555712822</v>
      </c>
      <c r="I5684">
        <v>526.6875</v>
      </c>
      <c r="J5684" s="9">
        <f t="shared" si="88"/>
        <v>43747.019824328701</v>
      </c>
      <c r="K5684" s="1"/>
    </row>
    <row r="5685" spans="1:11" x14ac:dyDescent="0.25">
      <c r="A5685" t="e">
        <f>-LqgPbO4b4I_AfGBfOvx</f>
        <v>#NAME?</v>
      </c>
      <c r="B5685">
        <v>393.75</v>
      </c>
      <c r="C5685">
        <v>20.478950000000001</v>
      </c>
      <c r="D5685">
        <v>69</v>
      </c>
      <c r="E5685">
        <v>0</v>
      </c>
      <c r="F5685">
        <v>0</v>
      </c>
      <c r="G5685">
        <v>13</v>
      </c>
      <c r="H5685" s="4">
        <v>1570555719964</v>
      </c>
      <c r="I5685">
        <v>526.6875</v>
      </c>
      <c r="J5685" s="9">
        <f t="shared" si="88"/>
        <v>43747.019906990739</v>
      </c>
      <c r="K5685" s="1"/>
    </row>
    <row r="5686" spans="1:11" x14ac:dyDescent="0.25">
      <c r="A5686" t="e">
        <f>-LqgPcsZjbhGO4FnywH2</f>
        <v>#NAME?</v>
      </c>
      <c r="B5686">
        <v>393.75</v>
      </c>
      <c r="C5686">
        <v>20.478950000000001</v>
      </c>
      <c r="D5686">
        <v>68</v>
      </c>
      <c r="E5686">
        <v>0</v>
      </c>
      <c r="F5686">
        <v>0</v>
      </c>
      <c r="G5686">
        <v>9</v>
      </c>
      <c r="H5686" s="4">
        <v>1570555726173</v>
      </c>
      <c r="I5686">
        <v>526.6875</v>
      </c>
      <c r="J5686" s="9">
        <f t="shared" si="88"/>
        <v>43747.019978854165</v>
      </c>
      <c r="K5686" s="1"/>
    </row>
    <row r="5687" spans="1:11" x14ac:dyDescent="0.25">
      <c r="A5687" t="e">
        <f>-LqgPef2l8Npy38ybvPv</f>
        <v>#NAME?</v>
      </c>
      <c r="B5687">
        <v>393.75</v>
      </c>
      <c r="C5687">
        <v>20.478950000000001</v>
      </c>
      <c r="D5687">
        <v>66</v>
      </c>
      <c r="E5687">
        <v>0</v>
      </c>
      <c r="F5687">
        <v>0</v>
      </c>
      <c r="G5687">
        <v>0</v>
      </c>
      <c r="H5687" s="4">
        <v>1570555733363</v>
      </c>
      <c r="I5687">
        <v>526.5</v>
      </c>
      <c r="J5687" s="9">
        <f t="shared" si="88"/>
        <v>43747.020062071759</v>
      </c>
      <c r="K5687" s="1"/>
    </row>
    <row r="5688" spans="1:11" x14ac:dyDescent="0.25">
      <c r="A5688" t="e">
        <f>-LqgPgLhABadSMDlxCdt</f>
        <v>#NAME?</v>
      </c>
      <c r="B5688">
        <v>393.75</v>
      </c>
      <c r="C5688">
        <v>20.478950000000001</v>
      </c>
      <c r="D5688">
        <v>65</v>
      </c>
      <c r="E5688">
        <v>0</v>
      </c>
      <c r="F5688">
        <v>0</v>
      </c>
      <c r="G5688">
        <v>5</v>
      </c>
      <c r="H5688" s="4">
        <v>1570555740564</v>
      </c>
      <c r="I5688">
        <v>526.5</v>
      </c>
      <c r="J5688" s="9">
        <f t="shared" si="88"/>
        <v>43747.02014541666</v>
      </c>
      <c r="K5688" s="1"/>
    </row>
    <row r="5689" spans="1:11" x14ac:dyDescent="0.25">
      <c r="A5689" t="e">
        <f>-LqgPhvwqAXmcJujGuuz</f>
        <v>#NAME?</v>
      </c>
      <c r="B5689">
        <v>393.75</v>
      </c>
      <c r="C5689">
        <v>20.478950000000001</v>
      </c>
      <c r="D5689">
        <v>66</v>
      </c>
      <c r="E5689">
        <v>0</v>
      </c>
      <c r="F5689">
        <v>0</v>
      </c>
      <c r="G5689">
        <v>13</v>
      </c>
      <c r="H5689" s="4">
        <v>1570555746763</v>
      </c>
      <c r="I5689">
        <v>526.6875</v>
      </c>
      <c r="J5689" s="9">
        <f t="shared" si="88"/>
        <v>43747.020217164354</v>
      </c>
      <c r="K5689" s="1"/>
    </row>
    <row r="5690" spans="1:11" x14ac:dyDescent="0.25">
      <c r="A5690" t="e">
        <f>-LqgPjRCqgNw49rTivZL</f>
        <v>#NAME?</v>
      </c>
      <c r="B5690">
        <v>393.75</v>
      </c>
      <c r="C5690">
        <v>20.531590000000001</v>
      </c>
      <c r="D5690">
        <v>66</v>
      </c>
      <c r="E5690">
        <v>0</v>
      </c>
      <c r="F5690">
        <v>0</v>
      </c>
      <c r="G5690">
        <v>20</v>
      </c>
      <c r="H5690" s="4">
        <v>1570555752925</v>
      </c>
      <c r="I5690">
        <v>526.6875</v>
      </c>
      <c r="J5690" s="9">
        <f t="shared" si="88"/>
        <v>43747.020288483793</v>
      </c>
      <c r="K5690" s="1"/>
    </row>
    <row r="5691" spans="1:11" x14ac:dyDescent="0.25">
      <c r="A5691" t="e">
        <f>-LqgPkv2hbM-AuvMgOp_</f>
        <v>#NAME?</v>
      </c>
      <c r="B5691">
        <v>393.75</v>
      </c>
      <c r="C5691">
        <v>20.478950000000001</v>
      </c>
      <c r="D5691">
        <v>64</v>
      </c>
      <c r="E5691">
        <v>0</v>
      </c>
      <c r="F5691">
        <v>0</v>
      </c>
      <c r="G5691">
        <v>9</v>
      </c>
      <c r="H5691" s="4">
        <v>1570555759123</v>
      </c>
      <c r="I5691">
        <v>526.5</v>
      </c>
      <c r="J5691" s="9">
        <f t="shared" si="88"/>
        <v>43747.020360219904</v>
      </c>
      <c r="K5691" s="1"/>
    </row>
    <row r="5692" spans="1:11" x14ac:dyDescent="0.25">
      <c r="A5692" t="e">
        <f>-LqgPmSzSrAb_EkyRg2o</f>
        <v>#NAME?</v>
      </c>
      <c r="B5692">
        <v>393.75</v>
      </c>
      <c r="C5692">
        <v>20.478950000000001</v>
      </c>
      <c r="D5692">
        <v>64</v>
      </c>
      <c r="E5692">
        <v>0</v>
      </c>
      <c r="F5692">
        <v>0</v>
      </c>
      <c r="G5692">
        <v>17</v>
      </c>
      <c r="H5692" s="4">
        <v>1570555765313</v>
      </c>
      <c r="I5692">
        <v>526.6875</v>
      </c>
      <c r="J5692" s="9">
        <f t="shared" si="88"/>
        <v>43747.020431863428</v>
      </c>
      <c r="K5692" s="1"/>
    </row>
    <row r="5693" spans="1:11" x14ac:dyDescent="0.25">
      <c r="A5693" t="e">
        <f>-LqgPoRQCcAnhbb6uiQp</f>
        <v>#NAME?</v>
      </c>
      <c r="B5693">
        <v>393.75</v>
      </c>
      <c r="C5693">
        <v>20.478950000000001</v>
      </c>
      <c r="D5693">
        <v>64</v>
      </c>
      <c r="E5693">
        <v>0</v>
      </c>
      <c r="F5693">
        <v>0</v>
      </c>
      <c r="G5693">
        <v>15</v>
      </c>
      <c r="H5693" s="4">
        <v>1570555772523</v>
      </c>
      <c r="I5693">
        <v>526.6875</v>
      </c>
      <c r="J5693" s="9">
        <f t="shared" si="88"/>
        <v>43747.020515312499</v>
      </c>
      <c r="K5693" s="1"/>
    </row>
    <row r="5694" spans="1:11" x14ac:dyDescent="0.25">
      <c r="A5694" t="e">
        <f>-LqgPpyy9Sv_Qs1yZqbS</f>
        <v>#NAME?</v>
      </c>
      <c r="B5694">
        <v>393.75</v>
      </c>
      <c r="C5694">
        <v>20.531590000000001</v>
      </c>
      <c r="D5694">
        <v>64</v>
      </c>
      <c r="E5694">
        <v>0</v>
      </c>
      <c r="F5694">
        <v>0</v>
      </c>
      <c r="G5694">
        <v>11</v>
      </c>
      <c r="H5694" s="4">
        <v>1570555779722</v>
      </c>
      <c r="I5694">
        <v>526.6875</v>
      </c>
      <c r="J5694" s="9">
        <f t="shared" si="88"/>
        <v>43747.020598634255</v>
      </c>
      <c r="K5694" s="1"/>
    </row>
    <row r="5695" spans="1:11" x14ac:dyDescent="0.25">
      <c r="A5695" t="e">
        <f>-LqgPrU2qL3psI4rey7e</f>
        <v>#NAME?</v>
      </c>
      <c r="B5695">
        <v>412.5</v>
      </c>
      <c r="C5695">
        <v>20.531590000000001</v>
      </c>
      <c r="D5695">
        <v>65</v>
      </c>
      <c r="E5695">
        <v>0</v>
      </c>
      <c r="F5695">
        <v>0</v>
      </c>
      <c r="G5695">
        <v>21</v>
      </c>
      <c r="H5695" s="4">
        <v>1570555785923</v>
      </c>
      <c r="I5695">
        <v>532.3125</v>
      </c>
      <c r="J5695" s="9">
        <f t="shared" si="88"/>
        <v>43747.020670405087</v>
      </c>
      <c r="K5695" s="1"/>
    </row>
    <row r="5696" spans="1:11" x14ac:dyDescent="0.25">
      <c r="A5696" t="e">
        <f>-LqgPsy2c5Ilr5684eMO</f>
        <v>#NAME?</v>
      </c>
      <c r="B5696">
        <v>393.75</v>
      </c>
      <c r="C5696">
        <v>20.478950000000001</v>
      </c>
      <c r="D5696">
        <v>65</v>
      </c>
      <c r="E5696">
        <v>0</v>
      </c>
      <c r="F5696">
        <v>0</v>
      </c>
      <c r="G5696">
        <v>8</v>
      </c>
      <c r="H5696" s="4">
        <v>1570555792084</v>
      </c>
      <c r="I5696">
        <v>526.6875</v>
      </c>
      <c r="J5696" s="9">
        <f t="shared" si="88"/>
        <v>43747.020741712964</v>
      </c>
      <c r="K5696" s="1"/>
    </row>
    <row r="5697" spans="1:11" x14ac:dyDescent="0.25">
      <c r="A5697" t="s">
        <v>305</v>
      </c>
      <c r="B5697">
        <v>393.75</v>
      </c>
      <c r="C5697">
        <v>20.531590000000001</v>
      </c>
      <c r="D5697">
        <v>63</v>
      </c>
      <c r="E5697">
        <v>0</v>
      </c>
      <c r="F5697">
        <v>0</v>
      </c>
      <c r="G5697">
        <v>15</v>
      </c>
      <c r="H5697" s="4">
        <v>1570555798284</v>
      </c>
      <c r="I5697">
        <v>526.6875</v>
      </c>
      <c r="J5697" s="9">
        <f t="shared" si="88"/>
        <v>43747.02081347222</v>
      </c>
      <c r="K5697" s="1"/>
    </row>
    <row r="5698" spans="1:11" x14ac:dyDescent="0.25">
      <c r="A5698" t="e">
        <f>-LqgPw--GSx6X7aWeZMV</f>
        <v>#NAME?</v>
      </c>
      <c r="B5698">
        <v>393.75</v>
      </c>
      <c r="C5698">
        <v>20.531590000000001</v>
      </c>
      <c r="D5698">
        <v>63</v>
      </c>
      <c r="E5698">
        <v>0</v>
      </c>
      <c r="F5698">
        <v>0</v>
      </c>
      <c r="G5698">
        <v>8</v>
      </c>
      <c r="H5698" s="4">
        <v>1570555804445</v>
      </c>
      <c r="I5698">
        <v>526.6875</v>
      </c>
      <c r="J5698" s="9">
        <f t="shared" si="88"/>
        <v>43747.02088478009</v>
      </c>
      <c r="K5698" s="1"/>
    </row>
    <row r="5699" spans="1:11" x14ac:dyDescent="0.25">
      <c r="A5699" t="e">
        <f>-LqgPxj2gUaTKVgvPGjI</f>
        <v>#NAME?</v>
      </c>
      <c r="B5699">
        <v>412.5</v>
      </c>
      <c r="C5699">
        <v>20.478950000000001</v>
      </c>
      <c r="D5699">
        <v>66</v>
      </c>
      <c r="E5699">
        <v>0</v>
      </c>
      <c r="F5699">
        <v>0</v>
      </c>
      <c r="G5699">
        <v>11</v>
      </c>
      <c r="H5699" s="4">
        <v>1570555811688</v>
      </c>
      <c r="I5699">
        <v>532.875</v>
      </c>
      <c r="J5699" s="9">
        <f t="shared" ref="J5699:J5762" si="89">(H5699/86400000)+25569+(7/24)</f>
        <v>43747.020968611112</v>
      </c>
      <c r="K5699" s="1"/>
    </row>
    <row r="5700" spans="1:11" x14ac:dyDescent="0.25">
      <c r="A5700" t="e">
        <f>-LqgPzGyAi-b5Nx9Fcrj</f>
        <v>#NAME?</v>
      </c>
      <c r="B5700">
        <v>393.75</v>
      </c>
      <c r="C5700">
        <v>20.478950000000001</v>
      </c>
      <c r="D5700">
        <v>65</v>
      </c>
      <c r="E5700">
        <v>0</v>
      </c>
      <c r="F5700">
        <v>0</v>
      </c>
      <c r="G5700">
        <v>9</v>
      </c>
      <c r="H5700" s="4">
        <v>1570555817873</v>
      </c>
      <c r="I5700">
        <v>526.6875</v>
      </c>
      <c r="J5700" s="9">
        <f t="shared" si="89"/>
        <v>43747.021040196756</v>
      </c>
      <c r="K5700" s="1"/>
    </row>
    <row r="5701" spans="1:11" x14ac:dyDescent="0.25">
      <c r="A5701" t="e">
        <f>-LqgQ05EFlyKDdErvGGO</f>
        <v>#NAME?</v>
      </c>
      <c r="B5701">
        <v>393.75</v>
      </c>
      <c r="C5701">
        <v>20.478950000000001</v>
      </c>
      <c r="D5701">
        <v>65</v>
      </c>
      <c r="E5701">
        <v>0</v>
      </c>
      <c r="F5701">
        <v>0</v>
      </c>
      <c r="G5701">
        <v>7</v>
      </c>
      <c r="H5701" s="4">
        <v>1570555824053</v>
      </c>
      <c r="I5701">
        <v>526.6875</v>
      </c>
      <c r="J5701" s="9">
        <f t="shared" si="89"/>
        <v>43747.021111724534</v>
      </c>
      <c r="K5701" s="1"/>
    </row>
    <row r="5702" spans="1:11" x14ac:dyDescent="0.25">
      <c r="A5702" t="e">
        <f>-LqgQ1mxXK2uPaNRrSAH</f>
        <v>#NAME?</v>
      </c>
      <c r="B5702">
        <v>393.75</v>
      </c>
      <c r="C5702">
        <v>20.531590000000001</v>
      </c>
      <c r="D5702">
        <v>65</v>
      </c>
      <c r="E5702">
        <v>0</v>
      </c>
      <c r="F5702">
        <v>0</v>
      </c>
      <c r="G5702">
        <v>10</v>
      </c>
      <c r="H5702" s="4">
        <v>1570555832295</v>
      </c>
      <c r="I5702">
        <v>526.6875</v>
      </c>
      <c r="J5702" s="9">
        <f t="shared" si="89"/>
        <v>43747.02120711805</v>
      </c>
      <c r="K5702" s="1"/>
    </row>
    <row r="5703" spans="1:11" x14ac:dyDescent="0.25">
      <c r="A5703" t="e">
        <f>-LqgQ3FjTnPUyc4W1Sfv</f>
        <v>#NAME?</v>
      </c>
      <c r="B5703">
        <v>393.75</v>
      </c>
      <c r="C5703">
        <v>20.531590000000001</v>
      </c>
      <c r="D5703">
        <v>65</v>
      </c>
      <c r="E5703">
        <v>0</v>
      </c>
      <c r="F5703">
        <v>0</v>
      </c>
      <c r="G5703">
        <v>10</v>
      </c>
      <c r="H5703" s="4">
        <v>1570555838483</v>
      </c>
      <c r="I5703">
        <v>526.6875</v>
      </c>
      <c r="J5703" s="9">
        <f t="shared" si="89"/>
        <v>43747.021278738423</v>
      </c>
      <c r="K5703" s="1"/>
    </row>
    <row r="5704" spans="1:11" x14ac:dyDescent="0.25">
      <c r="A5704" t="e">
        <f>-LqgQ4pzx1-#REF!-ExPSH</f>
        <v>#NAME?</v>
      </c>
      <c r="B5704">
        <v>393.75</v>
      </c>
      <c r="C5704">
        <v>20.531590000000001</v>
      </c>
      <c r="D5704">
        <v>64</v>
      </c>
      <c r="E5704">
        <v>0</v>
      </c>
      <c r="F5704">
        <v>0</v>
      </c>
      <c r="G5704">
        <v>7</v>
      </c>
      <c r="H5704" s="4">
        <v>1570555844663</v>
      </c>
      <c r="I5704">
        <v>526.6875</v>
      </c>
      <c r="J5704" s="9">
        <f t="shared" si="89"/>
        <v>43747.021350266201</v>
      </c>
      <c r="K5704" s="1"/>
    </row>
    <row r="5705" spans="1:11" x14ac:dyDescent="0.25">
      <c r="A5705" t="e">
        <f>-LqgQ6Jz7u6AVGEKaDRO</f>
        <v>#NAME?</v>
      </c>
      <c r="B5705">
        <v>428.125</v>
      </c>
      <c r="C5705">
        <v>20.531590000000001</v>
      </c>
      <c r="D5705">
        <v>64</v>
      </c>
      <c r="E5705">
        <v>0</v>
      </c>
      <c r="F5705">
        <v>0</v>
      </c>
      <c r="G5705">
        <v>5</v>
      </c>
      <c r="H5705" s="4">
        <v>1570555850844</v>
      </c>
      <c r="I5705">
        <v>537.5625</v>
      </c>
      <c r="J5705" s="9">
        <f t="shared" si="89"/>
        <v>43747.021421805555</v>
      </c>
      <c r="K5705" s="1"/>
    </row>
    <row r="5706" spans="1:11" x14ac:dyDescent="0.25">
      <c r="A5706" t="e">
        <f>-LqgQ7misurJ9zMkVdWX</f>
        <v>#NAME?</v>
      </c>
      <c r="B5706">
        <v>393.75</v>
      </c>
      <c r="C5706">
        <v>20.531590000000001</v>
      </c>
      <c r="D5706">
        <v>62</v>
      </c>
      <c r="E5706">
        <v>0</v>
      </c>
      <c r="F5706">
        <v>0</v>
      </c>
      <c r="G5706">
        <v>4</v>
      </c>
      <c r="H5706" s="4">
        <v>1570555857045</v>
      </c>
      <c r="I5706">
        <v>526.5</v>
      </c>
      <c r="J5706" s="9">
        <f t="shared" si="89"/>
        <v>43747.021493576387</v>
      </c>
      <c r="K5706" s="1"/>
    </row>
    <row r="5707" spans="1:11" x14ac:dyDescent="0.25">
      <c r="A5707" t="e">
        <f>-LqgQ9J4p-Bp2NusL6tU</f>
        <v>#NAME?</v>
      </c>
      <c r="B5707">
        <v>393.75</v>
      </c>
      <c r="C5707">
        <v>20.531590000000001</v>
      </c>
      <c r="D5707">
        <v>62</v>
      </c>
      <c r="E5707">
        <v>0</v>
      </c>
      <c r="F5707">
        <v>0</v>
      </c>
      <c r="G5707">
        <v>11</v>
      </c>
      <c r="H5707" s="4">
        <v>1570555863214</v>
      </c>
      <c r="I5707">
        <v>526.5</v>
      </c>
      <c r="J5707" s="9">
        <f t="shared" si="89"/>
        <v>43747.021564976851</v>
      </c>
      <c r="K5707" s="1"/>
    </row>
    <row r="5708" spans="1:11" x14ac:dyDescent="0.25">
      <c r="A5708" t="e">
        <f>-LqgQAqzU5mnkMh17oyH</f>
        <v>#NAME?</v>
      </c>
      <c r="B5708">
        <v>393.75</v>
      </c>
      <c r="C5708">
        <v>20.531590000000001</v>
      </c>
      <c r="D5708">
        <v>66</v>
      </c>
      <c r="E5708">
        <v>0</v>
      </c>
      <c r="F5708">
        <v>0</v>
      </c>
      <c r="G5708">
        <v>0</v>
      </c>
      <c r="H5708" s="4">
        <v>1570555869383</v>
      </c>
      <c r="I5708">
        <v>526.5</v>
      </c>
      <c r="J5708" s="9">
        <f t="shared" si="89"/>
        <v>43747.021636377314</v>
      </c>
      <c r="K5708" s="1"/>
    </row>
    <row r="5709" spans="1:11" x14ac:dyDescent="0.25">
      <c r="A5709" t="e">
        <f>-LqgQCM30JqvriqgO28v</f>
        <v>#NAME?</v>
      </c>
      <c r="B5709">
        <v>393.75</v>
      </c>
      <c r="C5709">
        <v>20.478950000000001</v>
      </c>
      <c r="D5709">
        <v>68</v>
      </c>
      <c r="E5709">
        <v>0</v>
      </c>
      <c r="F5709">
        <v>0</v>
      </c>
      <c r="G5709">
        <v>11</v>
      </c>
      <c r="H5709" s="4">
        <v>1570555875590</v>
      </c>
      <c r="I5709">
        <v>526.5</v>
      </c>
      <c r="J5709" s="9">
        <f t="shared" si="89"/>
        <v>43747.021708217588</v>
      </c>
      <c r="K5709" s="1"/>
    </row>
    <row r="5710" spans="1:11" x14ac:dyDescent="0.25">
      <c r="A5710" t="e">
        <f>-LqgQDoyfYVDopEnFNvs</f>
        <v>#NAME?</v>
      </c>
      <c r="B5710">
        <v>393.75</v>
      </c>
      <c r="C5710">
        <v>20.531590000000001</v>
      </c>
      <c r="D5710">
        <v>68</v>
      </c>
      <c r="E5710">
        <v>0</v>
      </c>
      <c r="F5710">
        <v>0</v>
      </c>
      <c r="G5710">
        <v>7</v>
      </c>
      <c r="H5710" s="4">
        <v>1570555881753</v>
      </c>
      <c r="I5710">
        <v>526.6875</v>
      </c>
      <c r="J5710" s="9">
        <f t="shared" si="89"/>
        <v>43747.02177954861</v>
      </c>
      <c r="K5710" s="1"/>
    </row>
    <row r="5711" spans="1:11" x14ac:dyDescent="0.25">
      <c r="A5711" t="e">
        <f>-LqgQFP20T39pzJ6wvIA</f>
        <v>#NAME?</v>
      </c>
      <c r="B5711">
        <v>393.75</v>
      </c>
      <c r="C5711">
        <v>20.478950000000001</v>
      </c>
      <c r="D5711">
        <v>67</v>
      </c>
      <c r="E5711">
        <v>0</v>
      </c>
      <c r="F5711">
        <v>0</v>
      </c>
      <c r="G5711">
        <v>3</v>
      </c>
      <c r="H5711" s="4">
        <v>1570555887944</v>
      </c>
      <c r="I5711">
        <v>526.6875</v>
      </c>
      <c r="J5711" s="9">
        <f t="shared" si="89"/>
        <v>43747.021851203703</v>
      </c>
      <c r="K5711" s="1"/>
    </row>
    <row r="5712" spans="1:11" x14ac:dyDescent="0.25">
      <c r="A5712" t="e">
        <f>-LqgQGryYGY7Ha5KMxml</f>
        <v>#NAME?</v>
      </c>
      <c r="B5712">
        <v>393.75</v>
      </c>
      <c r="C5712">
        <v>20.478950000000001</v>
      </c>
      <c r="D5712">
        <v>67</v>
      </c>
      <c r="E5712">
        <v>0</v>
      </c>
      <c r="F5712">
        <v>0</v>
      </c>
      <c r="G5712">
        <v>9</v>
      </c>
      <c r="H5712" s="4">
        <v>1570555894114</v>
      </c>
      <c r="I5712">
        <v>526.5</v>
      </c>
      <c r="J5712" s="9">
        <f t="shared" si="89"/>
        <v>43747.021922615742</v>
      </c>
      <c r="K5712" s="1"/>
    </row>
    <row r="5713" spans="1:11" x14ac:dyDescent="0.25">
      <c r="A5713" t="e">
        <f>-LqgQIM1EIENyQSJYVis</f>
        <v>#NAME?</v>
      </c>
      <c r="B5713">
        <v>393.75</v>
      </c>
      <c r="C5713">
        <v>20.478950000000001</v>
      </c>
      <c r="D5713">
        <v>67</v>
      </c>
      <c r="E5713">
        <v>0</v>
      </c>
      <c r="F5713">
        <v>0</v>
      </c>
      <c r="G5713">
        <v>13</v>
      </c>
      <c r="H5713" s="4">
        <v>1570555900305</v>
      </c>
      <c r="I5713">
        <v>526.6875</v>
      </c>
      <c r="J5713" s="9">
        <f t="shared" si="89"/>
        <v>43747.021994270828</v>
      </c>
      <c r="K5713" s="1"/>
    </row>
    <row r="5714" spans="1:11" x14ac:dyDescent="0.25">
      <c r="A5714" t="e">
        <f>-LqgQJrKzTr6CAPzXTOE</f>
        <v>#NAME?</v>
      </c>
      <c r="B5714">
        <v>412.5</v>
      </c>
      <c r="C5714">
        <v>20.478950000000001</v>
      </c>
      <c r="D5714">
        <v>66</v>
      </c>
      <c r="E5714">
        <v>0</v>
      </c>
      <c r="F5714">
        <v>0</v>
      </c>
      <c r="G5714">
        <v>16</v>
      </c>
      <c r="H5714" s="4">
        <v>1570555906494</v>
      </c>
      <c r="I5714">
        <v>532.3125</v>
      </c>
      <c r="J5714" s="9">
        <f t="shared" si="89"/>
        <v>43747.022065902776</v>
      </c>
      <c r="K5714" s="1"/>
    </row>
    <row r="5715" spans="1:11" x14ac:dyDescent="0.25">
      <c r="A5715" t="e">
        <f>-LqgQLOy2biaB_EZY6oC</f>
        <v>#NAME?</v>
      </c>
      <c r="B5715">
        <v>393.75</v>
      </c>
      <c r="C5715">
        <v>20.531590000000001</v>
      </c>
      <c r="D5715">
        <v>66</v>
      </c>
      <c r="E5715">
        <v>0</v>
      </c>
      <c r="F5715">
        <v>0</v>
      </c>
      <c r="G5715">
        <v>9</v>
      </c>
      <c r="H5715" s="4">
        <v>1570555912674</v>
      </c>
      <c r="I5715">
        <v>526.6875</v>
      </c>
      <c r="J5715" s="9">
        <f t="shared" si="89"/>
        <v>43747.022137430555</v>
      </c>
      <c r="K5715" s="1"/>
    </row>
    <row r="5716" spans="1:11" x14ac:dyDescent="0.25">
      <c r="A5716" t="e">
        <f>-LqgQMsnIIWaAebhoLXq</f>
        <v>#NAME?</v>
      </c>
      <c r="B5716">
        <v>393.75</v>
      </c>
      <c r="C5716">
        <v>20.478950000000001</v>
      </c>
      <c r="D5716">
        <v>65</v>
      </c>
      <c r="E5716">
        <v>0</v>
      </c>
      <c r="F5716">
        <v>0</v>
      </c>
      <c r="G5716">
        <v>8</v>
      </c>
      <c r="H5716" s="4">
        <v>1570555918873</v>
      </c>
      <c r="I5716">
        <v>526.6875</v>
      </c>
      <c r="J5716" s="9">
        <f t="shared" si="89"/>
        <v>43747.022209178242</v>
      </c>
      <c r="K5716" s="1"/>
    </row>
    <row r="5717" spans="1:11" x14ac:dyDescent="0.25">
      <c r="A5717" t="e">
        <f>-LqgQOTCPCaRPRWPprNz</f>
        <v>#NAME?</v>
      </c>
      <c r="B5717">
        <v>393.75</v>
      </c>
      <c r="C5717">
        <v>20.478950000000001</v>
      </c>
      <c r="D5717">
        <v>64</v>
      </c>
      <c r="E5717">
        <v>0</v>
      </c>
      <c r="F5717">
        <v>0</v>
      </c>
      <c r="G5717">
        <v>9</v>
      </c>
      <c r="H5717" s="4">
        <v>1570555925034</v>
      </c>
      <c r="I5717">
        <v>526.5</v>
      </c>
      <c r="J5717" s="9">
        <f t="shared" si="89"/>
        <v>43747.022280486104</v>
      </c>
      <c r="K5717" s="1"/>
    </row>
    <row r="5718" spans="1:11" x14ac:dyDescent="0.25">
      <c r="A5718" t="e">
        <f>-LqgQQB2lBq6qFbmWlEZ</f>
        <v>#NAME?</v>
      </c>
      <c r="B5718">
        <v>431.25</v>
      </c>
      <c r="C5718">
        <v>20.531590000000001</v>
      </c>
      <c r="D5718">
        <v>65</v>
      </c>
      <c r="E5718">
        <v>0</v>
      </c>
      <c r="F5718">
        <v>0</v>
      </c>
      <c r="G5718">
        <v>7</v>
      </c>
      <c r="H5718" s="4">
        <v>1570555932251</v>
      </c>
      <c r="I5718">
        <v>538.3125</v>
      </c>
      <c r="J5718" s="9">
        <f t="shared" si="89"/>
        <v>43747.0223640162</v>
      </c>
      <c r="K5718" s="1"/>
    </row>
    <row r="5719" spans="1:11" x14ac:dyDescent="0.25">
      <c r="A5719" t="e">
        <f>-LqgQRkEQo8kq9RIfLOr</f>
        <v>#NAME?</v>
      </c>
      <c r="B5719">
        <v>393.75</v>
      </c>
      <c r="C5719">
        <v>20.478950000000001</v>
      </c>
      <c r="D5719">
        <v>64</v>
      </c>
      <c r="E5719">
        <v>0</v>
      </c>
      <c r="F5719">
        <v>0</v>
      </c>
      <c r="G5719">
        <v>16</v>
      </c>
      <c r="H5719" s="4">
        <v>1570555938433</v>
      </c>
      <c r="I5719">
        <v>526.6875</v>
      </c>
      <c r="J5719" s="9">
        <f t="shared" si="89"/>
        <v>43747.022435567131</v>
      </c>
      <c r="K5719" s="1"/>
    </row>
    <row r="5720" spans="1:11" x14ac:dyDescent="0.25">
      <c r="A5720" t="e">
        <f>-LqgQTRw9xL09seSnhwd</f>
        <v>#NAME?</v>
      </c>
      <c r="B5720">
        <v>393.75</v>
      </c>
      <c r="C5720">
        <v>20.584240000000001</v>
      </c>
      <c r="D5720">
        <v>66</v>
      </c>
      <c r="E5720">
        <v>0</v>
      </c>
      <c r="F5720">
        <v>0</v>
      </c>
      <c r="G5720">
        <v>8</v>
      </c>
      <c r="H5720" s="4">
        <v>1570555945657</v>
      </c>
      <c r="I5720">
        <v>526.6875</v>
      </c>
      <c r="J5720" s="9">
        <f t="shared" si="89"/>
        <v>43747.022519178237</v>
      </c>
      <c r="K5720" s="1"/>
    </row>
    <row r="5721" spans="1:11" x14ac:dyDescent="0.25">
      <c r="A5721" t="e">
        <f>-LqgQUvxctKGEQfN1gEj</f>
        <v>#NAME?</v>
      </c>
      <c r="B5721">
        <v>412.5</v>
      </c>
      <c r="C5721">
        <v>20.478950000000001</v>
      </c>
      <c r="D5721">
        <v>65</v>
      </c>
      <c r="E5721">
        <v>0</v>
      </c>
      <c r="F5721">
        <v>0</v>
      </c>
      <c r="G5721">
        <v>9</v>
      </c>
      <c r="H5721" s="4">
        <v>1570555951835</v>
      </c>
      <c r="I5721">
        <v>532.125</v>
      </c>
      <c r="J5721" s="9">
        <f t="shared" si="89"/>
        <v>43747.022590682864</v>
      </c>
      <c r="K5721" s="1"/>
    </row>
    <row r="5722" spans="1:11" x14ac:dyDescent="0.25">
      <c r="A5722" t="e">
        <f>-LqgQWW1JxM5i5DxKSY6</f>
        <v>#NAME?</v>
      </c>
      <c r="B5722">
        <v>393.75</v>
      </c>
      <c r="C5722">
        <v>20.478950000000001</v>
      </c>
      <c r="D5722">
        <v>65</v>
      </c>
      <c r="E5722">
        <v>0</v>
      </c>
      <c r="F5722">
        <v>0</v>
      </c>
      <c r="G5722">
        <v>12</v>
      </c>
      <c r="H5722" s="4">
        <v>1570555958013</v>
      </c>
      <c r="I5722">
        <v>526.6875</v>
      </c>
      <c r="J5722" s="9">
        <f t="shared" si="89"/>
        <v>43747.022662187497</v>
      </c>
      <c r="K5722" s="1"/>
    </row>
    <row r="5723" spans="1:11" x14ac:dyDescent="0.25">
      <c r="A5723" t="e">
        <f>-LqgQXyx8oxCUzYg-ZQq</f>
        <v>#NAME?</v>
      </c>
      <c r="B5723">
        <v>393.75</v>
      </c>
      <c r="C5723">
        <v>20.478950000000001</v>
      </c>
      <c r="D5723">
        <v>65</v>
      </c>
      <c r="E5723">
        <v>0</v>
      </c>
      <c r="F5723">
        <v>0</v>
      </c>
      <c r="G5723">
        <v>1</v>
      </c>
      <c r="H5723" s="4">
        <v>1570555964195</v>
      </c>
      <c r="I5723">
        <v>526.6875</v>
      </c>
      <c r="J5723" s="9">
        <f t="shared" si="89"/>
        <v>43747.02273373842</v>
      </c>
      <c r="K5723" s="1"/>
    </row>
    <row r="5724" spans="1:11" x14ac:dyDescent="0.25">
      <c r="A5724" t="e">
        <f>-LqgQZvwyzsSG6wq1jtQ</f>
        <v>#NAME?</v>
      </c>
      <c r="B5724">
        <v>393.75</v>
      </c>
      <c r="C5724">
        <v>20.531590000000001</v>
      </c>
      <c r="D5724">
        <v>63</v>
      </c>
      <c r="E5724">
        <v>0</v>
      </c>
      <c r="F5724">
        <v>0</v>
      </c>
      <c r="G5724">
        <v>10</v>
      </c>
      <c r="H5724" s="4">
        <v>1570555970394</v>
      </c>
      <c r="I5724">
        <v>526.5</v>
      </c>
      <c r="J5724" s="9">
        <f t="shared" si="89"/>
        <v>43747.022805486107</v>
      </c>
      <c r="K5724" s="1"/>
    </row>
    <row r="5725" spans="1:11" x14ac:dyDescent="0.25">
      <c r="A5725" t="e">
        <f>-LqgQaW3zCAtCCegWBvs</f>
        <v>#NAME?</v>
      </c>
      <c r="B5725">
        <v>393.75</v>
      </c>
      <c r="C5725">
        <v>20.531590000000001</v>
      </c>
      <c r="D5725">
        <v>63</v>
      </c>
      <c r="E5725">
        <v>0</v>
      </c>
      <c r="F5725">
        <v>0</v>
      </c>
      <c r="G5725">
        <v>4</v>
      </c>
      <c r="H5725" s="4">
        <v>1570555978642</v>
      </c>
      <c r="I5725">
        <v>526.6875</v>
      </c>
      <c r="J5725" s="9">
        <f t="shared" si="89"/>
        <v>43747.022900949072</v>
      </c>
      <c r="K5725" s="1"/>
    </row>
    <row r="5726" spans="1:11" x14ac:dyDescent="0.25">
      <c r="A5726" t="e">
        <f>-LqgQbyzE6kMnVbVYold</f>
        <v>#NAME?</v>
      </c>
      <c r="B5726">
        <v>393.75</v>
      </c>
      <c r="C5726">
        <v>20.531590000000001</v>
      </c>
      <c r="D5726">
        <v>64</v>
      </c>
      <c r="E5726">
        <v>0</v>
      </c>
      <c r="F5726">
        <v>0</v>
      </c>
      <c r="G5726">
        <v>7</v>
      </c>
      <c r="H5726" s="4">
        <v>1570555984803</v>
      </c>
      <c r="I5726">
        <v>526.6875</v>
      </c>
      <c r="J5726" s="9">
        <f t="shared" si="89"/>
        <v>43747.022972256942</v>
      </c>
      <c r="K5726" s="1"/>
    </row>
    <row r="5727" spans="1:11" x14ac:dyDescent="0.25">
      <c r="A5727" t="e">
        <f>-LqgQdr96M_YDYCVV1JX</f>
        <v>#NAME?</v>
      </c>
      <c r="B5727">
        <v>393.75</v>
      </c>
      <c r="C5727">
        <v>20.531590000000001</v>
      </c>
      <c r="D5727">
        <v>63</v>
      </c>
      <c r="E5727">
        <v>0</v>
      </c>
      <c r="F5727">
        <v>0</v>
      </c>
      <c r="G5727">
        <v>15</v>
      </c>
      <c r="H5727" s="4">
        <v>1570555992350</v>
      </c>
      <c r="I5727">
        <v>526.5</v>
      </c>
      <c r="J5727" s="9">
        <f t="shared" si="89"/>
        <v>43747.023059606479</v>
      </c>
      <c r="K5727" s="1"/>
    </row>
    <row r="5728" spans="1:11" x14ac:dyDescent="0.25">
      <c r="A5728" t="e">
        <f>-LqgQfXMM0n605zkvJn_</f>
        <v>#NAME?</v>
      </c>
      <c r="B5728">
        <v>393.75</v>
      </c>
      <c r="C5728">
        <v>20.478950000000001</v>
      </c>
      <c r="D5728">
        <v>63</v>
      </c>
      <c r="E5728">
        <v>0</v>
      </c>
      <c r="F5728">
        <v>0</v>
      </c>
      <c r="G5728">
        <v>4</v>
      </c>
      <c r="H5728" s="4">
        <v>1570555999205</v>
      </c>
      <c r="I5728">
        <v>526.5</v>
      </c>
      <c r="J5728" s="9">
        <f t="shared" si="89"/>
        <v>43747.023138946759</v>
      </c>
      <c r="K5728" s="1"/>
    </row>
    <row r="5729" spans="1:11" x14ac:dyDescent="0.25">
      <c r="A5729" t="e">
        <f>-LqgQh47YAxJaYDi4_S1</f>
        <v>#NAME?</v>
      </c>
      <c r="B5729">
        <v>393.75</v>
      </c>
      <c r="C5729">
        <v>20.478950000000001</v>
      </c>
      <c r="D5729">
        <v>64</v>
      </c>
      <c r="E5729">
        <v>0</v>
      </c>
      <c r="F5729">
        <v>0</v>
      </c>
      <c r="G5729">
        <v>5</v>
      </c>
      <c r="H5729" s="4">
        <v>1570556005417</v>
      </c>
      <c r="I5729">
        <v>526.6875</v>
      </c>
      <c r="J5729" s="9">
        <f t="shared" si="89"/>
        <v>43747.023210844905</v>
      </c>
      <c r="K5729" s="1"/>
    </row>
    <row r="5730" spans="1:11" x14ac:dyDescent="0.25">
      <c r="A5730" t="e">
        <f>-LqgQiZ5p8s2mOWgsnw8</f>
        <v>#NAME?</v>
      </c>
      <c r="B5730">
        <v>393.75</v>
      </c>
      <c r="C5730">
        <v>20.478950000000001</v>
      </c>
      <c r="D5730">
        <v>64</v>
      </c>
      <c r="E5730">
        <v>0</v>
      </c>
      <c r="F5730">
        <v>0</v>
      </c>
      <c r="G5730">
        <v>6</v>
      </c>
      <c r="H5730" s="4">
        <v>1570556011605</v>
      </c>
      <c r="I5730">
        <v>526.6875</v>
      </c>
      <c r="J5730" s="9">
        <f t="shared" si="89"/>
        <v>43747.02328246527</v>
      </c>
      <c r="K5730" s="1"/>
    </row>
    <row r="5731" spans="1:11" x14ac:dyDescent="0.25">
      <c r="A5731" t="e">
        <f>-LqgQk5z0_XOiMC5TX7O</f>
        <v>#NAME?</v>
      </c>
      <c r="B5731">
        <v>393.75</v>
      </c>
      <c r="C5731">
        <v>20.531590000000001</v>
      </c>
      <c r="D5731">
        <v>62</v>
      </c>
      <c r="E5731">
        <v>0</v>
      </c>
      <c r="F5731">
        <v>0</v>
      </c>
      <c r="G5731">
        <v>8</v>
      </c>
      <c r="H5731" s="4">
        <v>1570556017787</v>
      </c>
      <c r="I5731">
        <v>526.6875</v>
      </c>
      <c r="J5731" s="9">
        <f t="shared" si="89"/>
        <v>43747.023354016201</v>
      </c>
      <c r="K5731" s="1"/>
    </row>
    <row r="5732" spans="1:11" x14ac:dyDescent="0.25">
      <c r="A5732" t="e">
        <f>-LqgQlbDbeb3gLXwjd2u</f>
        <v>#NAME?</v>
      </c>
      <c r="B5732">
        <v>393.75</v>
      </c>
      <c r="C5732">
        <v>20.478950000000001</v>
      </c>
      <c r="D5732">
        <v>62</v>
      </c>
      <c r="E5732">
        <v>0</v>
      </c>
      <c r="F5732">
        <v>0</v>
      </c>
      <c r="G5732">
        <v>9</v>
      </c>
      <c r="H5732" s="4">
        <v>1570556023965</v>
      </c>
      <c r="I5732">
        <v>526.6875</v>
      </c>
      <c r="J5732" s="9">
        <f t="shared" si="89"/>
        <v>43747.023425520827</v>
      </c>
      <c r="K5732" s="1"/>
    </row>
    <row r="5733" spans="1:11" x14ac:dyDescent="0.25">
      <c r="A5733" t="e">
        <f>-LqgQnDnW3vGplU5-TSY</f>
        <v>#NAME?</v>
      </c>
      <c r="B5733">
        <v>393.75</v>
      </c>
      <c r="C5733">
        <v>20.531590000000001</v>
      </c>
      <c r="D5733">
        <v>62</v>
      </c>
      <c r="E5733">
        <v>0</v>
      </c>
      <c r="F5733">
        <v>0</v>
      </c>
      <c r="G5733">
        <v>11</v>
      </c>
      <c r="H5733" s="4">
        <v>1570556030125</v>
      </c>
      <c r="I5733">
        <v>526.6875</v>
      </c>
      <c r="J5733" s="9">
        <f t="shared" si="89"/>
        <v>43747.023496817128</v>
      </c>
      <c r="K5733" s="1"/>
    </row>
    <row r="5734" spans="1:11" x14ac:dyDescent="0.25">
      <c r="A5734" t="e">
        <f>-LqgQooEzc-ey09hXDb1</f>
        <v>#NAME?</v>
      </c>
      <c r="B5734">
        <v>412.5</v>
      </c>
      <c r="C5734">
        <v>20.478950000000001</v>
      </c>
      <c r="D5734">
        <v>67</v>
      </c>
      <c r="E5734">
        <v>0</v>
      </c>
      <c r="F5734">
        <v>0</v>
      </c>
      <c r="G5734">
        <v>3</v>
      </c>
      <c r="H5734" s="4">
        <v>1570556037366</v>
      </c>
      <c r="I5734">
        <v>532.3125</v>
      </c>
      <c r="J5734" s="9">
        <f t="shared" si="89"/>
        <v>43747.023580624998</v>
      </c>
      <c r="K5734" s="1"/>
    </row>
    <row r="5735" spans="1:11" x14ac:dyDescent="0.25">
      <c r="A5735" t="e">
        <f>-LqgQqM0qTevCdailTQX</f>
        <v>#NAME?</v>
      </c>
      <c r="B5735">
        <v>393.75</v>
      </c>
      <c r="C5735">
        <v>20.531590000000001</v>
      </c>
      <c r="D5735">
        <v>67</v>
      </c>
      <c r="E5735">
        <v>0</v>
      </c>
      <c r="F5735">
        <v>0</v>
      </c>
      <c r="G5735">
        <v>3</v>
      </c>
      <c r="H5735" s="4">
        <v>1570556043546</v>
      </c>
      <c r="I5735">
        <v>526.5</v>
      </c>
      <c r="J5735" s="9">
        <f t="shared" si="89"/>
        <v>43747.023652152777</v>
      </c>
      <c r="K5735" s="1"/>
    </row>
    <row r="5736" spans="1:11" x14ac:dyDescent="0.25">
      <c r="A5736" t="e">
        <f>-LqgQs9-boqdeeSPrc7R</f>
        <v>#NAME?</v>
      </c>
      <c r="B5736">
        <v>393.75</v>
      </c>
      <c r="C5736">
        <v>20.478950000000001</v>
      </c>
      <c r="D5736">
        <v>68</v>
      </c>
      <c r="E5736">
        <v>0</v>
      </c>
      <c r="F5736">
        <v>0</v>
      </c>
      <c r="G5736">
        <v>6</v>
      </c>
      <c r="H5736" s="4">
        <v>1570556050767</v>
      </c>
      <c r="I5736">
        <v>526.6875</v>
      </c>
      <c r="J5736" s="9">
        <f t="shared" si="89"/>
        <v>43747.023735729163</v>
      </c>
      <c r="K5736" s="1"/>
    </row>
    <row r="5737" spans="1:11" x14ac:dyDescent="0.25">
      <c r="A5737" t="e">
        <f>-LqgQteA_MoKQxxn9ufJ</f>
        <v>#NAME?</v>
      </c>
      <c r="B5737">
        <v>421.875</v>
      </c>
      <c r="C5737">
        <v>20.478950000000001</v>
      </c>
      <c r="D5737">
        <v>68</v>
      </c>
      <c r="E5737">
        <v>0</v>
      </c>
      <c r="F5737">
        <v>0</v>
      </c>
      <c r="G5737">
        <v>8</v>
      </c>
      <c r="H5737" s="4">
        <v>1570556056936</v>
      </c>
      <c r="I5737">
        <v>535.125</v>
      </c>
      <c r="J5737" s="9">
        <f t="shared" si="89"/>
        <v>43747.023807129626</v>
      </c>
      <c r="K5737" s="1"/>
    </row>
    <row r="5738" spans="1:11" x14ac:dyDescent="0.25">
      <c r="A5738" t="s">
        <v>306</v>
      </c>
      <c r="B5738">
        <v>393.75</v>
      </c>
      <c r="C5738">
        <v>20.478950000000001</v>
      </c>
      <c r="D5738">
        <v>66</v>
      </c>
      <c r="E5738">
        <v>0</v>
      </c>
      <c r="F5738">
        <v>0</v>
      </c>
      <c r="G5738">
        <v>7</v>
      </c>
      <c r="H5738" s="4">
        <v>1570556063125</v>
      </c>
      <c r="I5738">
        <v>526.5</v>
      </c>
      <c r="J5738" s="9">
        <f t="shared" si="89"/>
        <v>43747.023878761574</v>
      </c>
      <c r="K5738" s="1"/>
    </row>
    <row r="5739" spans="1:11" x14ac:dyDescent="0.25">
      <c r="A5739" t="e">
        <f>-LqgQx-FPMSX20RWsbOe</f>
        <v>#NAME?</v>
      </c>
      <c r="B5739">
        <v>393.75</v>
      </c>
      <c r="C5739">
        <v>20.478950000000001</v>
      </c>
      <c r="D5739">
        <v>65</v>
      </c>
      <c r="E5739">
        <v>0</v>
      </c>
      <c r="F5739">
        <v>0</v>
      </c>
      <c r="G5739">
        <v>4</v>
      </c>
      <c r="H5739" s="4">
        <v>1570556069317</v>
      </c>
      <c r="I5739">
        <v>526.6875</v>
      </c>
      <c r="J5739" s="9">
        <f t="shared" si="89"/>
        <v>43747.023950428244</v>
      </c>
      <c r="K5739" s="1"/>
    </row>
    <row r="5740" spans="1:11" x14ac:dyDescent="0.25">
      <c r="A5740" t="e">
        <f>-LqgQybkOQi9j8IXNHBC</f>
        <v>#NAME?</v>
      </c>
      <c r="B5740">
        <v>418.75</v>
      </c>
      <c r="C5740">
        <v>20.478950000000001</v>
      </c>
      <c r="D5740">
        <v>64</v>
      </c>
      <c r="E5740">
        <v>0</v>
      </c>
      <c r="F5740">
        <v>0</v>
      </c>
      <c r="G5740">
        <v>11</v>
      </c>
      <c r="H5740" s="4">
        <v>1570556077526</v>
      </c>
      <c r="I5740">
        <v>534.1875</v>
      </c>
      <c r="J5740" s="9">
        <f t="shared" si="89"/>
        <v>43747.024045439808</v>
      </c>
      <c r="K5740" s="1"/>
    </row>
    <row r="5741" spans="1:11" x14ac:dyDescent="0.25">
      <c r="A5741" t="s">
        <v>307</v>
      </c>
      <c r="B5741">
        <v>393.75</v>
      </c>
      <c r="C5741">
        <v>20.478950000000001</v>
      </c>
      <c r="D5741">
        <v>65</v>
      </c>
      <c r="E5741">
        <v>0</v>
      </c>
      <c r="F5741">
        <v>0</v>
      </c>
      <c r="G5741">
        <v>11</v>
      </c>
      <c r="H5741" s="4">
        <v>1570556083737</v>
      </c>
      <c r="I5741">
        <v>526.5</v>
      </c>
      <c r="J5741" s="9">
        <f t="shared" si="89"/>
        <v>43747.024117326386</v>
      </c>
      <c r="K5741" s="1"/>
    </row>
    <row r="5742" spans="1:11" x14ac:dyDescent="0.25">
      <c r="A5742" t="e">
        <f>-LqgR0h6I_-v3lESud2X</f>
        <v>#NAME?</v>
      </c>
      <c r="B5742">
        <v>393.75</v>
      </c>
      <c r="C5742">
        <v>20.478950000000001</v>
      </c>
      <c r="D5742">
        <v>65</v>
      </c>
      <c r="E5742">
        <v>0</v>
      </c>
      <c r="F5742">
        <v>0</v>
      </c>
      <c r="G5742">
        <v>7</v>
      </c>
      <c r="H5742" s="4">
        <v>1570556089915</v>
      </c>
      <c r="I5742">
        <v>526.6875</v>
      </c>
      <c r="J5742" s="9">
        <f t="shared" si="89"/>
        <v>43747.024188831019</v>
      </c>
      <c r="K5742" s="1"/>
    </row>
    <row r="5743" spans="1:11" x14ac:dyDescent="0.25">
      <c r="A5743" t="e">
        <f>-LqgR2B5-tR_24azifDD</f>
        <v>#NAME?</v>
      </c>
      <c r="B5743">
        <v>393.75</v>
      </c>
      <c r="C5743">
        <v>20.531590000000001</v>
      </c>
      <c r="D5743">
        <v>65</v>
      </c>
      <c r="E5743">
        <v>0</v>
      </c>
      <c r="F5743">
        <v>0</v>
      </c>
      <c r="G5743">
        <v>5</v>
      </c>
      <c r="H5743" s="4">
        <v>1570556096086</v>
      </c>
      <c r="I5743">
        <v>526.6875</v>
      </c>
      <c r="J5743" s="9">
        <f t="shared" si="89"/>
        <v>43747.024260254628</v>
      </c>
      <c r="K5743" s="1"/>
    </row>
    <row r="5744" spans="1:11" x14ac:dyDescent="0.25">
      <c r="A5744" t="e">
        <f>-LqgR3k7KsqqLEx5RT_m</f>
        <v>#NAME?</v>
      </c>
      <c r="B5744">
        <v>428.125</v>
      </c>
      <c r="C5744">
        <v>20.478950000000001</v>
      </c>
      <c r="D5744">
        <v>65</v>
      </c>
      <c r="E5744">
        <v>0</v>
      </c>
      <c r="F5744">
        <v>0</v>
      </c>
      <c r="G5744">
        <v>9</v>
      </c>
      <c r="H5744" s="4">
        <v>1570556102286</v>
      </c>
      <c r="I5744">
        <v>537.9375</v>
      </c>
      <c r="J5744" s="9">
        <f t="shared" si="89"/>
        <v>43747.024332013891</v>
      </c>
      <c r="K5744" s="1"/>
    </row>
    <row r="5745" spans="1:11" x14ac:dyDescent="0.25">
      <c r="A5745" t="e">
        <f>-LqgR5S-wiVERZ1m35y6</f>
        <v>#NAME?</v>
      </c>
      <c r="B5745">
        <v>393.75</v>
      </c>
      <c r="C5745">
        <v>20.531590000000001</v>
      </c>
      <c r="D5745">
        <v>65</v>
      </c>
      <c r="E5745">
        <v>0</v>
      </c>
      <c r="F5745">
        <v>0</v>
      </c>
      <c r="G5745">
        <v>15</v>
      </c>
      <c r="H5745" s="4">
        <v>1570556109496</v>
      </c>
      <c r="I5745">
        <v>526.5</v>
      </c>
      <c r="J5745" s="9">
        <f t="shared" si="89"/>
        <v>43747.024415462962</v>
      </c>
      <c r="K5745" s="1"/>
    </row>
    <row r="5746" spans="1:11" x14ac:dyDescent="0.25">
      <c r="A5746" t="e">
        <f>-LqgR6x7aoggWd_aNQ4p</f>
        <v>#NAME?</v>
      </c>
      <c r="B5746">
        <v>393.75</v>
      </c>
      <c r="C5746">
        <v>20.478950000000001</v>
      </c>
      <c r="D5746">
        <v>65</v>
      </c>
      <c r="E5746">
        <v>0</v>
      </c>
      <c r="F5746">
        <v>0</v>
      </c>
      <c r="G5746">
        <v>12</v>
      </c>
      <c r="H5746" s="4">
        <v>1570556115675</v>
      </c>
      <c r="I5746">
        <v>526.6875</v>
      </c>
      <c r="J5746" s="9">
        <f t="shared" si="89"/>
        <v>43747.024486979164</v>
      </c>
      <c r="K5746" s="1"/>
    </row>
    <row r="5747" spans="1:11" x14ac:dyDescent="0.25">
      <c r="A5747" t="e">
        <f>-LqgR8WFlZL3EC5ITcVZ</f>
        <v>#NAME?</v>
      </c>
      <c r="B5747">
        <v>393.75</v>
      </c>
      <c r="C5747">
        <v>20.531590000000001</v>
      </c>
      <c r="D5747">
        <v>64</v>
      </c>
      <c r="E5747">
        <v>0</v>
      </c>
      <c r="F5747">
        <v>0</v>
      </c>
      <c r="G5747">
        <v>0</v>
      </c>
      <c r="H5747" s="4">
        <v>1570556121867</v>
      </c>
      <c r="I5747">
        <v>526.6875</v>
      </c>
      <c r="J5747" s="9">
        <f t="shared" si="89"/>
        <v>43747.024558645826</v>
      </c>
      <c r="K5747" s="1"/>
    </row>
    <row r="5748" spans="1:11" x14ac:dyDescent="0.25">
      <c r="A5748" t="s">
        <v>308</v>
      </c>
      <c r="B5748">
        <v>393.75</v>
      </c>
      <c r="C5748">
        <v>20.478950000000001</v>
      </c>
      <c r="D5748">
        <v>64</v>
      </c>
      <c r="E5748">
        <v>0</v>
      </c>
      <c r="F5748">
        <v>0</v>
      </c>
      <c r="G5748">
        <v>6</v>
      </c>
      <c r="H5748" s="4">
        <v>1570556128045</v>
      </c>
      <c r="I5748">
        <v>526.6875</v>
      </c>
      <c r="J5748" s="9">
        <f t="shared" si="89"/>
        <v>43747.024630150459</v>
      </c>
      <c r="K5748" s="1"/>
    </row>
    <row r="5749" spans="1:11" x14ac:dyDescent="0.25">
      <c r="A5749" t="e">
        <f>-LqgRBU5obdYta5SQj43</f>
        <v>#NAME?</v>
      </c>
      <c r="B5749">
        <v>393.75</v>
      </c>
      <c r="C5749">
        <v>20.478950000000001</v>
      </c>
      <c r="D5749">
        <v>63</v>
      </c>
      <c r="E5749">
        <v>0</v>
      </c>
      <c r="F5749">
        <v>0</v>
      </c>
      <c r="G5749">
        <v>6</v>
      </c>
      <c r="H5749" s="4">
        <v>1570556134237</v>
      </c>
      <c r="I5749">
        <v>526.6875</v>
      </c>
      <c r="J5749" s="9">
        <f t="shared" si="89"/>
        <v>43747.024701817129</v>
      </c>
      <c r="K5749" s="1"/>
    </row>
    <row r="5750" spans="1:11" x14ac:dyDescent="0.25">
      <c r="A5750" t="e">
        <f>-LqgRD3Lc66tU2q6SrOO</f>
        <v>#NAME?</v>
      </c>
      <c r="B5750">
        <v>393.75</v>
      </c>
      <c r="C5750">
        <v>20.478950000000001</v>
      </c>
      <c r="D5750">
        <v>63</v>
      </c>
      <c r="E5750">
        <v>0</v>
      </c>
      <c r="F5750">
        <v>0</v>
      </c>
      <c r="G5750">
        <v>10</v>
      </c>
      <c r="H5750" s="4">
        <v>1570556140415</v>
      </c>
      <c r="I5750">
        <v>526.6875</v>
      </c>
      <c r="J5750" s="9">
        <f t="shared" si="89"/>
        <v>43747.024773321762</v>
      </c>
      <c r="K5750" s="1"/>
    </row>
    <row r="5751" spans="1:11" x14ac:dyDescent="0.25">
      <c r="A5751" t="e">
        <f>-LqgREmLff8qmm824a_5</f>
        <v>#NAME?</v>
      </c>
      <c r="B5751">
        <v>393.75</v>
      </c>
      <c r="C5751">
        <v>20.478950000000001</v>
      </c>
      <c r="D5751">
        <v>64</v>
      </c>
      <c r="E5751">
        <v>0</v>
      </c>
      <c r="F5751">
        <v>0</v>
      </c>
      <c r="G5751">
        <v>4</v>
      </c>
      <c r="H5751" s="4">
        <v>1570556147606</v>
      </c>
      <c r="I5751">
        <v>526.5</v>
      </c>
      <c r="J5751" s="9">
        <f t="shared" si="89"/>
        <v>43747.024856550925</v>
      </c>
      <c r="K5751" s="1"/>
    </row>
    <row r="5752" spans="1:11" x14ac:dyDescent="0.25">
      <c r="A5752" t="e">
        <f>-LqgRGK3l5V4j6FvYf89</f>
        <v>#NAME?</v>
      </c>
      <c r="B5752">
        <v>393.75</v>
      </c>
      <c r="C5752">
        <v>20.478950000000001</v>
      </c>
      <c r="D5752">
        <v>66</v>
      </c>
      <c r="E5752">
        <v>0</v>
      </c>
      <c r="F5752">
        <v>0</v>
      </c>
      <c r="G5752">
        <v>4</v>
      </c>
      <c r="H5752" s="4">
        <v>1570556153806</v>
      </c>
      <c r="I5752">
        <v>526.5</v>
      </c>
      <c r="J5752" s="9">
        <f t="shared" si="89"/>
        <v>43747.02492831018</v>
      </c>
      <c r="K5752" s="1"/>
    </row>
    <row r="5753" spans="1:11" x14ac:dyDescent="0.25">
      <c r="A5753" t="e">
        <f>-LqgRIGvVgJHzBaO5r7U</f>
        <v>#NAME?</v>
      </c>
      <c r="B5753">
        <v>393.75</v>
      </c>
      <c r="C5753">
        <v>20.478950000000001</v>
      </c>
      <c r="D5753">
        <v>68</v>
      </c>
      <c r="E5753">
        <v>0</v>
      </c>
      <c r="F5753">
        <v>0</v>
      </c>
      <c r="G5753">
        <v>1</v>
      </c>
      <c r="H5753" s="4">
        <v>1570556162095</v>
      </c>
      <c r="I5753">
        <v>526.6875</v>
      </c>
      <c r="J5753" s="9">
        <f t="shared" si="89"/>
        <v>43747.025024247683</v>
      </c>
      <c r="K5753" s="1"/>
    </row>
    <row r="5754" spans="1:11" x14ac:dyDescent="0.25">
      <c r="A5754" t="e">
        <f>-LqgRJq4-knMcr5SooZZ</f>
        <v>#NAME?</v>
      </c>
      <c r="B5754">
        <v>393.75</v>
      </c>
      <c r="C5754">
        <v>20.478950000000001</v>
      </c>
      <c r="D5754">
        <v>68</v>
      </c>
      <c r="E5754">
        <v>0</v>
      </c>
      <c r="F5754">
        <v>0</v>
      </c>
      <c r="G5754">
        <v>9</v>
      </c>
      <c r="H5754" s="4">
        <v>1570556168235</v>
      </c>
      <c r="I5754">
        <v>526.6875</v>
      </c>
      <c r="J5754" s="9">
        <f t="shared" si="89"/>
        <v>43747.0250953125</v>
      </c>
      <c r="K5754" s="1"/>
    </row>
    <row r="5755" spans="1:11" x14ac:dyDescent="0.25">
      <c r="A5755" t="e">
        <f>-LqgRLWuBzoXuENgKkrD</f>
        <v>#NAME?</v>
      </c>
      <c r="B5755">
        <v>393.75</v>
      </c>
      <c r="C5755">
        <v>20.531590000000001</v>
      </c>
      <c r="D5755">
        <v>67</v>
      </c>
      <c r="E5755">
        <v>0</v>
      </c>
      <c r="F5755">
        <v>0</v>
      </c>
      <c r="G5755">
        <v>8</v>
      </c>
      <c r="H5755" s="4">
        <v>1570556175445</v>
      </c>
      <c r="I5755">
        <v>526.6875</v>
      </c>
      <c r="J5755" s="9">
        <f t="shared" si="89"/>
        <v>43747.025178761571</v>
      </c>
      <c r="K5755" s="1"/>
    </row>
    <row r="5756" spans="1:11" x14ac:dyDescent="0.25">
      <c r="A5756" t="e">
        <f>-LqgRN76F4_uKm5uDzJf</f>
        <v>#NAME?</v>
      </c>
      <c r="B5756">
        <v>393.75</v>
      </c>
      <c r="C5756">
        <v>20.478950000000001</v>
      </c>
      <c r="D5756">
        <v>60</v>
      </c>
      <c r="E5756">
        <v>0</v>
      </c>
      <c r="F5756">
        <v>0</v>
      </c>
      <c r="G5756">
        <v>2</v>
      </c>
      <c r="H5756" s="4">
        <v>1570556181636</v>
      </c>
      <c r="I5756">
        <v>526.6875</v>
      </c>
      <c r="J5756" s="9">
        <f t="shared" si="89"/>
        <v>43747.025250416664</v>
      </c>
      <c r="K5756" s="1"/>
    </row>
    <row r="5757" spans="1:11" x14ac:dyDescent="0.25">
      <c r="A5757" t="e">
        <f>-LqgROp0Lg5MVHTeg_KD</f>
        <v>#NAME?</v>
      </c>
      <c r="B5757">
        <v>412.5</v>
      </c>
      <c r="C5757">
        <v>20.531590000000001</v>
      </c>
      <c r="D5757">
        <v>61</v>
      </c>
      <c r="E5757">
        <v>0</v>
      </c>
      <c r="F5757">
        <v>0</v>
      </c>
      <c r="G5757">
        <v>10</v>
      </c>
      <c r="H5757" s="4">
        <v>1570556188845</v>
      </c>
      <c r="I5757">
        <v>532.3125</v>
      </c>
      <c r="J5757" s="9">
        <f t="shared" si="89"/>
        <v>43747.025333854159</v>
      </c>
      <c r="K5757" s="1"/>
    </row>
    <row r="5758" spans="1:11" x14ac:dyDescent="0.25">
      <c r="A5758" t="e">
        <f>-LqgRQqylfJmQyYG7dEZ</f>
        <v>#NAME?</v>
      </c>
      <c r="B5758">
        <v>393.75</v>
      </c>
      <c r="C5758">
        <v>20.478950000000001</v>
      </c>
      <c r="D5758">
        <v>63</v>
      </c>
      <c r="E5758">
        <v>0</v>
      </c>
      <c r="F5758">
        <v>0</v>
      </c>
      <c r="G5758">
        <v>1</v>
      </c>
      <c r="H5758" s="4">
        <v>1570556195026</v>
      </c>
      <c r="I5758">
        <v>526.6875</v>
      </c>
      <c r="J5758" s="9">
        <f t="shared" si="89"/>
        <v>43747.025405393513</v>
      </c>
      <c r="K5758" s="1"/>
    </row>
    <row r="5759" spans="1:11" x14ac:dyDescent="0.25">
      <c r="A5759" t="s">
        <v>309</v>
      </c>
      <c r="B5759">
        <v>393.75</v>
      </c>
      <c r="C5759">
        <v>20.531590000000001</v>
      </c>
      <c r="D5759">
        <v>63</v>
      </c>
      <c r="E5759">
        <v>0</v>
      </c>
      <c r="F5759">
        <v>0</v>
      </c>
      <c r="G5759">
        <v>9</v>
      </c>
      <c r="H5759" s="4">
        <v>1570556203285</v>
      </c>
      <c r="I5759">
        <v>526.6875</v>
      </c>
      <c r="J5759" s="9">
        <f t="shared" si="89"/>
        <v>43747.025500983793</v>
      </c>
      <c r="K5759" s="1"/>
    </row>
    <row r="5760" spans="1:11" x14ac:dyDescent="0.25">
      <c r="A5760" t="e">
        <f>-LqgRUcBzBbE6tgh5RnB</f>
        <v>#NAME?</v>
      </c>
      <c r="B5760">
        <v>393.75</v>
      </c>
      <c r="C5760">
        <v>20.478950000000001</v>
      </c>
      <c r="D5760">
        <v>63</v>
      </c>
      <c r="E5760">
        <v>0</v>
      </c>
      <c r="F5760">
        <v>0</v>
      </c>
      <c r="G5760">
        <v>4</v>
      </c>
      <c r="H5760" s="4">
        <v>1570556209455</v>
      </c>
      <c r="I5760">
        <v>526.6875</v>
      </c>
      <c r="J5760" s="9">
        <f t="shared" si="89"/>
        <v>43747.025572395833</v>
      </c>
      <c r="K5760" s="1"/>
    </row>
    <row r="5761" spans="1:11" x14ac:dyDescent="0.25">
      <c r="A5761" t="e">
        <f>-LqgRW4y8Vhc_4pwY-UU</f>
        <v>#NAME?</v>
      </c>
      <c r="B5761">
        <v>393.75</v>
      </c>
      <c r="C5761">
        <v>20.531590000000001</v>
      </c>
      <c r="D5761">
        <v>66</v>
      </c>
      <c r="E5761">
        <v>0</v>
      </c>
      <c r="F5761">
        <v>0</v>
      </c>
      <c r="G5761">
        <v>11</v>
      </c>
      <c r="H5761" s="4">
        <v>1570556218726</v>
      </c>
      <c r="I5761">
        <v>526.6875</v>
      </c>
      <c r="J5761" s="9">
        <f t="shared" si="89"/>
        <v>43747.025679699072</v>
      </c>
      <c r="K5761" s="1"/>
    </row>
    <row r="5762" spans="1:11" x14ac:dyDescent="0.25">
      <c r="A5762" t="e">
        <f>-LqgRXdxQjXJWOJZLTtq</f>
        <v>#NAME?</v>
      </c>
      <c r="B5762">
        <v>393.75</v>
      </c>
      <c r="C5762">
        <v>20.584240000000001</v>
      </c>
      <c r="D5762">
        <v>69</v>
      </c>
      <c r="E5762">
        <v>0</v>
      </c>
      <c r="F5762">
        <v>0</v>
      </c>
      <c r="G5762">
        <v>10</v>
      </c>
      <c r="H5762" s="4">
        <v>1570556224912</v>
      </c>
      <c r="I5762">
        <v>526.6875</v>
      </c>
      <c r="J5762" s="9">
        <f t="shared" si="89"/>
        <v>43747.025751296293</v>
      </c>
      <c r="K5762" s="1"/>
    </row>
    <row r="5763" spans="1:11" x14ac:dyDescent="0.25">
      <c r="A5763" t="e">
        <f>-LqgRZ6l5WYcyPqSTZs0</f>
        <v>#NAME?</v>
      </c>
      <c r="B5763">
        <v>393.75</v>
      </c>
      <c r="C5763">
        <v>20.531590000000001</v>
      </c>
      <c r="D5763">
        <v>69</v>
      </c>
      <c r="E5763">
        <v>0</v>
      </c>
      <c r="F5763">
        <v>0</v>
      </c>
      <c r="G5763">
        <v>5</v>
      </c>
      <c r="H5763" s="4">
        <v>1570556231094</v>
      </c>
      <c r="I5763">
        <v>526.6875</v>
      </c>
      <c r="J5763" s="9">
        <f t="shared" ref="J5763:J5826" si="90">(H5763/86400000)+25569+(7/24)</f>
        <v>43747.025822847216</v>
      </c>
      <c r="K5763" s="1"/>
    </row>
    <row r="5764" spans="1:11" x14ac:dyDescent="0.25">
      <c r="A5764" t="e">
        <f>-LqgR_bw7v1-aYNyukNF</f>
        <v>#NAME?</v>
      </c>
      <c r="B5764">
        <v>393.75</v>
      </c>
      <c r="C5764">
        <v>20.478950000000001</v>
      </c>
      <c r="D5764">
        <v>66</v>
      </c>
      <c r="E5764">
        <v>0</v>
      </c>
      <c r="F5764">
        <v>0</v>
      </c>
      <c r="G5764">
        <v>0</v>
      </c>
      <c r="H5764" s="4">
        <v>1570556237274</v>
      </c>
      <c r="I5764">
        <v>526.5</v>
      </c>
      <c r="J5764" s="9">
        <f t="shared" si="90"/>
        <v>43747.025894375001</v>
      </c>
      <c r="K5764" s="1"/>
    </row>
    <row r="5765" spans="1:11" x14ac:dyDescent="0.25">
      <c r="A5765" t="e">
        <f>-LqgRbC1FfvPbohfgK4K</f>
        <v>#NAME?</v>
      </c>
      <c r="B5765">
        <v>412.5</v>
      </c>
      <c r="C5765">
        <v>20.478950000000001</v>
      </c>
      <c r="D5765">
        <v>66</v>
      </c>
      <c r="E5765">
        <v>0</v>
      </c>
      <c r="F5765">
        <v>0</v>
      </c>
      <c r="G5765">
        <v>14</v>
      </c>
      <c r="H5765" s="4">
        <v>1570556243453</v>
      </c>
      <c r="I5765">
        <v>532.3125</v>
      </c>
      <c r="J5765" s="9">
        <f t="shared" si="90"/>
        <v>43747.025965891204</v>
      </c>
      <c r="K5765" s="1"/>
    </row>
    <row r="5766" spans="1:11" x14ac:dyDescent="0.25">
      <c r="A5766" t="e">
        <f>-LqgRchI2caTa9gSAYMM</f>
        <v>#NAME?</v>
      </c>
      <c r="B5766">
        <v>393.75</v>
      </c>
      <c r="C5766">
        <v>20.478950000000001</v>
      </c>
      <c r="D5766">
        <v>66</v>
      </c>
      <c r="E5766">
        <v>0</v>
      </c>
      <c r="F5766">
        <v>0</v>
      </c>
      <c r="G5766">
        <v>4</v>
      </c>
      <c r="H5766" s="4">
        <v>1570556249632</v>
      </c>
      <c r="I5766">
        <v>526.5</v>
      </c>
      <c r="J5766" s="9">
        <f t="shared" si="90"/>
        <v>43747.026037407406</v>
      </c>
      <c r="K5766" s="1"/>
    </row>
    <row r="5767" spans="1:11" x14ac:dyDescent="0.25">
      <c r="A5767" t="e">
        <f>-LqgReA30zdq8Zpt37Lm</f>
        <v>#NAME?</v>
      </c>
      <c r="B5767">
        <v>393.75</v>
      </c>
      <c r="C5767">
        <v>20.531590000000001</v>
      </c>
      <c r="D5767">
        <v>64</v>
      </c>
      <c r="E5767">
        <v>0</v>
      </c>
      <c r="F5767">
        <v>0</v>
      </c>
      <c r="G5767">
        <v>16</v>
      </c>
      <c r="H5767" s="4">
        <v>1570556255824</v>
      </c>
      <c r="I5767">
        <v>526.6875</v>
      </c>
      <c r="J5767" s="9">
        <f t="shared" si="90"/>
        <v>43747.026109074075</v>
      </c>
      <c r="K5767" s="1"/>
    </row>
    <row r="5768" spans="1:11" x14ac:dyDescent="0.25">
      <c r="A5768" t="e">
        <f>-LqgRfj9JxwG0UtdoFU7</f>
        <v>#NAME?</v>
      </c>
      <c r="B5768">
        <v>393.75</v>
      </c>
      <c r="C5768">
        <v>20.478950000000001</v>
      </c>
      <c r="D5768">
        <v>64</v>
      </c>
      <c r="E5768">
        <v>0</v>
      </c>
      <c r="F5768">
        <v>0</v>
      </c>
      <c r="G5768">
        <v>11</v>
      </c>
      <c r="H5768" s="4">
        <v>1570556262002</v>
      </c>
      <c r="I5768">
        <v>526.6875</v>
      </c>
      <c r="J5768" s="9">
        <f t="shared" si="90"/>
        <v>43747.026180578701</v>
      </c>
      <c r="K5768" s="1"/>
    </row>
    <row r="5769" spans="1:11" x14ac:dyDescent="0.25">
      <c r="A5769" t="e">
        <f>-LqgRhPt50UtJ5k2wzeF</f>
        <v>#NAME?</v>
      </c>
      <c r="B5769">
        <v>412.5</v>
      </c>
      <c r="C5769">
        <v>20.478950000000001</v>
      </c>
      <c r="D5769">
        <v>64</v>
      </c>
      <c r="E5769">
        <v>0</v>
      </c>
      <c r="F5769">
        <v>0</v>
      </c>
      <c r="G5769">
        <v>12</v>
      </c>
      <c r="H5769" s="4">
        <v>1570556269205</v>
      </c>
      <c r="I5769">
        <v>532.3125</v>
      </c>
      <c r="J5769" s="9">
        <f t="shared" si="90"/>
        <v>43747.026263946762</v>
      </c>
      <c r="K5769" s="1"/>
    </row>
    <row r="5770" spans="1:11" x14ac:dyDescent="0.25">
      <c r="A5770" t="e">
        <f>-LqgRj01pqkI1tAfKwl_</f>
        <v>#NAME?</v>
      </c>
      <c r="B5770">
        <v>393.75</v>
      </c>
      <c r="C5770">
        <v>20.478950000000001</v>
      </c>
      <c r="D5770">
        <v>65</v>
      </c>
      <c r="E5770">
        <v>0</v>
      </c>
      <c r="F5770">
        <v>0</v>
      </c>
      <c r="G5770">
        <v>10</v>
      </c>
      <c r="H5770" s="4">
        <v>1570556275403</v>
      </c>
      <c r="I5770">
        <v>526.6875</v>
      </c>
      <c r="J5770" s="9">
        <f t="shared" si="90"/>
        <v>43747.026335682873</v>
      </c>
      <c r="K5770" s="1"/>
    </row>
    <row r="5771" spans="1:11" x14ac:dyDescent="0.25">
      <c r="A5771" t="s">
        <v>310</v>
      </c>
      <c r="B5771">
        <v>393.75</v>
      </c>
      <c r="C5771">
        <v>20.478950000000001</v>
      </c>
      <c r="D5771">
        <v>65</v>
      </c>
      <c r="E5771">
        <v>0</v>
      </c>
      <c r="F5771">
        <v>0</v>
      </c>
      <c r="G5771">
        <v>6</v>
      </c>
      <c r="H5771" s="4">
        <v>1570556282614</v>
      </c>
      <c r="I5771">
        <v>526.5</v>
      </c>
      <c r="J5771" s="9">
        <f t="shared" si="90"/>
        <v>43747.02641914352</v>
      </c>
      <c r="K5771" s="1"/>
    </row>
    <row r="5772" spans="1:11" x14ac:dyDescent="0.25">
      <c r="A5772" t="e">
        <f>-LqgRmkGnuxoAosPcqnO</f>
        <v>#NAME?</v>
      </c>
      <c r="B5772">
        <v>393.75</v>
      </c>
      <c r="C5772">
        <v>20.478950000000001</v>
      </c>
      <c r="D5772">
        <v>64</v>
      </c>
      <c r="E5772">
        <v>0</v>
      </c>
      <c r="F5772">
        <v>0</v>
      </c>
      <c r="G5772">
        <v>4</v>
      </c>
      <c r="H5772" s="4">
        <v>1570556290865</v>
      </c>
      <c r="I5772">
        <v>526.6875</v>
      </c>
      <c r="J5772" s="9">
        <f t="shared" si="90"/>
        <v>43747.026514641206</v>
      </c>
      <c r="K5772" s="1"/>
    </row>
    <row r="5773" spans="1:11" x14ac:dyDescent="0.25">
      <c r="A5773" t="e">
        <f>-LqgRoSyMqNRTw_vY9lv</f>
        <v>#NAME?</v>
      </c>
      <c r="B5773">
        <v>393.75</v>
      </c>
      <c r="C5773">
        <v>20.478950000000001</v>
      </c>
      <c r="D5773">
        <v>67</v>
      </c>
      <c r="E5773">
        <v>0</v>
      </c>
      <c r="F5773">
        <v>0</v>
      </c>
      <c r="G5773">
        <v>6</v>
      </c>
      <c r="H5773" s="4">
        <v>1570556298081</v>
      </c>
      <c r="I5773">
        <v>526.6875</v>
      </c>
      <c r="J5773" s="9">
        <f t="shared" si="90"/>
        <v>43747.026598159719</v>
      </c>
      <c r="K5773" s="1"/>
    </row>
    <row r="5774" spans="1:11" x14ac:dyDescent="0.25">
      <c r="A5774" t="e">
        <f>-LqgRqEghOvvBxm88g3n</f>
        <v>#NAME?</v>
      </c>
      <c r="B5774">
        <v>393.75</v>
      </c>
      <c r="C5774">
        <v>20.478950000000001</v>
      </c>
      <c r="D5774">
        <v>67</v>
      </c>
      <c r="E5774">
        <v>0</v>
      </c>
      <c r="F5774">
        <v>0</v>
      </c>
      <c r="G5774">
        <v>11</v>
      </c>
      <c r="H5774" s="4">
        <v>1570556304254</v>
      </c>
      <c r="I5774">
        <v>526.6875</v>
      </c>
      <c r="J5774" s="9">
        <f t="shared" si="90"/>
        <v>43747.026669606479</v>
      </c>
      <c r="K5774" s="1"/>
    </row>
    <row r="5775" spans="1:11" x14ac:dyDescent="0.25">
      <c r="A5775" t="e">
        <f>-LqgRrlCEsCL5f_GYyqi</f>
        <v>#NAME?</v>
      </c>
      <c r="B5775">
        <v>393.75</v>
      </c>
      <c r="C5775">
        <v>20.478950000000001</v>
      </c>
      <c r="D5775">
        <v>67</v>
      </c>
      <c r="E5775">
        <v>0</v>
      </c>
      <c r="F5775">
        <v>0</v>
      </c>
      <c r="G5775">
        <v>2</v>
      </c>
      <c r="H5775" s="4">
        <v>1570556311444</v>
      </c>
      <c r="I5775">
        <v>526.5</v>
      </c>
      <c r="J5775" s="9">
        <f t="shared" si="90"/>
        <v>43747.026752824073</v>
      </c>
      <c r="K5775" s="1"/>
    </row>
    <row r="5776" spans="1:11" x14ac:dyDescent="0.25">
      <c r="A5776" t="e">
        <f>-LqgRtK3Ivmd1XFyNDDh</f>
        <v>#NAME?</v>
      </c>
      <c r="B5776">
        <v>393.75</v>
      </c>
      <c r="C5776">
        <v>20.478950000000001</v>
      </c>
      <c r="D5776">
        <v>66</v>
      </c>
      <c r="E5776">
        <v>0</v>
      </c>
      <c r="F5776">
        <v>0</v>
      </c>
      <c r="G5776">
        <v>14</v>
      </c>
      <c r="H5776" s="4">
        <v>1570556317654</v>
      </c>
      <c r="I5776">
        <v>526.5</v>
      </c>
      <c r="J5776" s="9">
        <f t="shared" si="90"/>
        <v>43747.026824699067</v>
      </c>
      <c r="K5776" s="1"/>
    </row>
    <row r="5777" spans="1:11" x14ac:dyDescent="0.25">
      <c r="A5777" t="e">
        <f>-LqgRv-jWfatZZ7flMkN</f>
        <v>#NAME?</v>
      </c>
      <c r="B5777">
        <v>393.75</v>
      </c>
      <c r="C5777">
        <v>20.478950000000001</v>
      </c>
      <c r="D5777">
        <v>64</v>
      </c>
      <c r="E5777">
        <v>0</v>
      </c>
      <c r="F5777">
        <v>0</v>
      </c>
      <c r="G5777">
        <v>11</v>
      </c>
      <c r="H5777" s="4">
        <v>1570556324882</v>
      </c>
      <c r="I5777">
        <v>526.6875</v>
      </c>
      <c r="J5777" s="9">
        <f t="shared" si="90"/>
        <v>43747.026908356478</v>
      </c>
      <c r="K5777" s="1"/>
    </row>
    <row r="5778" spans="1:11" x14ac:dyDescent="0.25">
      <c r="A5778" t="e">
        <f>-LqgRwX2rzwZMCGzLmQN</f>
        <v>#NAME?</v>
      </c>
      <c r="B5778">
        <v>393.75</v>
      </c>
      <c r="C5778">
        <v>20.531590000000001</v>
      </c>
      <c r="D5778">
        <v>65</v>
      </c>
      <c r="E5778">
        <v>0</v>
      </c>
      <c r="F5778">
        <v>0</v>
      </c>
      <c r="G5778">
        <v>1</v>
      </c>
      <c r="H5778" s="4">
        <v>1570556331054</v>
      </c>
      <c r="I5778">
        <v>526.6875</v>
      </c>
      <c r="J5778" s="9">
        <f t="shared" si="90"/>
        <v>43747.026979791663</v>
      </c>
      <c r="K5778" s="1"/>
    </row>
    <row r="5779" spans="1:11" x14ac:dyDescent="0.25">
      <c r="A5779" t="e">
        <f>-LqgRy3wfJCYQpW_ARjo</f>
        <v>#NAME?</v>
      </c>
      <c r="B5779">
        <v>393.75</v>
      </c>
      <c r="C5779">
        <v>20.531590000000001</v>
      </c>
      <c r="D5779">
        <v>65</v>
      </c>
      <c r="E5779">
        <v>0</v>
      </c>
      <c r="F5779">
        <v>0</v>
      </c>
      <c r="G5779">
        <v>13</v>
      </c>
      <c r="H5779" s="4">
        <v>1570556337234</v>
      </c>
      <c r="I5779">
        <v>526.5</v>
      </c>
      <c r="J5779" s="9">
        <f t="shared" si="90"/>
        <v>43747.027051319441</v>
      </c>
      <c r="K5779" s="1"/>
    </row>
    <row r="5780" spans="1:11" x14ac:dyDescent="0.25">
      <c r="A5780" t="e">
        <f>-LqgRzYyYzNxXUbMiFih</f>
        <v>#NAME?</v>
      </c>
      <c r="B5780">
        <v>409.375</v>
      </c>
      <c r="C5780">
        <v>20.531590000000001</v>
      </c>
      <c r="D5780">
        <v>65</v>
      </c>
      <c r="E5780">
        <v>0</v>
      </c>
      <c r="F5780">
        <v>0</v>
      </c>
      <c r="G5780">
        <v>4</v>
      </c>
      <c r="H5780" s="4">
        <v>1570556343412</v>
      </c>
      <c r="I5780">
        <v>531.75</v>
      </c>
      <c r="J5780" s="9">
        <f t="shared" si="90"/>
        <v>43747.027122824067</v>
      </c>
      <c r="K5780" s="1"/>
    </row>
    <row r="5781" spans="1:11" x14ac:dyDescent="0.25">
      <c r="A5781" t="e">
        <f>-LqgS01yOL-U99HR9TMf</f>
        <v>#NAME?</v>
      </c>
      <c r="B5781">
        <v>393.75</v>
      </c>
      <c r="C5781">
        <v>20.478950000000001</v>
      </c>
      <c r="D5781">
        <v>64</v>
      </c>
      <c r="E5781">
        <v>0</v>
      </c>
      <c r="F5781">
        <v>0</v>
      </c>
      <c r="G5781">
        <v>2</v>
      </c>
      <c r="H5781" s="4">
        <v>1570556349592</v>
      </c>
      <c r="I5781">
        <v>526.6875</v>
      </c>
      <c r="J5781" s="9">
        <f t="shared" si="90"/>
        <v>43747.027194351853</v>
      </c>
      <c r="K5781" s="1"/>
    </row>
    <row r="5782" spans="1:11" x14ac:dyDescent="0.25">
      <c r="A5782" t="e">
        <f>-LqgS1aw8As0Ry5I_XRj</f>
        <v>#NAME?</v>
      </c>
      <c r="B5782">
        <v>393.75</v>
      </c>
      <c r="C5782">
        <v>20.531590000000001</v>
      </c>
      <c r="D5782">
        <v>66</v>
      </c>
      <c r="E5782">
        <v>0</v>
      </c>
      <c r="F5782">
        <v>0</v>
      </c>
      <c r="G5782">
        <v>9</v>
      </c>
      <c r="H5782" s="4">
        <v>1570556355783</v>
      </c>
      <c r="I5782">
        <v>526.6875</v>
      </c>
      <c r="J5782" s="9">
        <f t="shared" si="90"/>
        <v>43747.027266006939</v>
      </c>
      <c r="K5782" s="1"/>
    </row>
    <row r="5783" spans="1:11" x14ac:dyDescent="0.25">
      <c r="A5783" t="e">
        <f>-LqgS361F1yEOACI2D3K</f>
        <v>#NAME?</v>
      </c>
      <c r="B5783">
        <v>393.75</v>
      </c>
      <c r="C5783">
        <v>20.478950000000001</v>
      </c>
      <c r="D5783">
        <v>66</v>
      </c>
      <c r="E5783">
        <v>0</v>
      </c>
      <c r="F5783">
        <v>0</v>
      </c>
      <c r="G5783">
        <v>12</v>
      </c>
      <c r="H5783" s="4">
        <v>1570556361963</v>
      </c>
      <c r="I5783">
        <v>526.5</v>
      </c>
      <c r="J5783" s="9">
        <f t="shared" si="90"/>
        <v>43747.027337534724</v>
      </c>
      <c r="K5783" s="1"/>
    </row>
    <row r="5784" spans="1:11" x14ac:dyDescent="0.25">
      <c r="A5784" t="e">
        <f>-LqgS4ZyYcmeWfNIz-Te</f>
        <v>#NAME?</v>
      </c>
      <c r="B5784">
        <v>393.75</v>
      </c>
      <c r="C5784">
        <v>20.478950000000001</v>
      </c>
      <c r="D5784">
        <v>66</v>
      </c>
      <c r="E5784">
        <v>0</v>
      </c>
      <c r="F5784">
        <v>0</v>
      </c>
      <c r="G5784">
        <v>8</v>
      </c>
      <c r="H5784" s="4">
        <v>1570556368164</v>
      </c>
      <c r="I5784">
        <v>526.6875</v>
      </c>
      <c r="J5784" s="9">
        <f t="shared" si="90"/>
        <v>43747.027409305556</v>
      </c>
      <c r="K5784" s="1"/>
    </row>
    <row r="5785" spans="1:11" x14ac:dyDescent="0.25">
      <c r="A5785" t="e">
        <f>-LqgS6927A0yR6i16Jmg</f>
        <v>#NAME?</v>
      </c>
      <c r="B5785">
        <v>393.75</v>
      </c>
      <c r="C5785">
        <v>20.531590000000001</v>
      </c>
      <c r="D5785">
        <v>68</v>
      </c>
      <c r="E5785">
        <v>0</v>
      </c>
      <c r="F5785">
        <v>0</v>
      </c>
      <c r="G5785">
        <v>9</v>
      </c>
      <c r="H5785" s="4">
        <v>1570556374333</v>
      </c>
      <c r="I5785">
        <v>526.5</v>
      </c>
      <c r="J5785" s="9">
        <f t="shared" si="90"/>
        <v>43747.027480706012</v>
      </c>
      <c r="K5785" s="1"/>
    </row>
    <row r="5786" spans="1:11" x14ac:dyDescent="0.25">
      <c r="A5786" t="e">
        <f>-LqgS7rQvs_fYeqstj8B</f>
        <v>#NAME?</v>
      </c>
      <c r="B5786">
        <v>393.75</v>
      </c>
      <c r="C5786">
        <v>20.478950000000001</v>
      </c>
      <c r="D5786">
        <v>68</v>
      </c>
      <c r="E5786">
        <v>0</v>
      </c>
      <c r="F5786">
        <v>0</v>
      </c>
      <c r="G5786">
        <v>6</v>
      </c>
      <c r="H5786" s="4">
        <v>1570556380512</v>
      </c>
      <c r="I5786">
        <v>526.6875</v>
      </c>
      <c r="J5786" s="9">
        <f t="shared" si="90"/>
        <v>43747.027552222215</v>
      </c>
      <c r="K5786" s="1"/>
    </row>
    <row r="5787" spans="1:11" x14ac:dyDescent="0.25">
      <c r="A5787" t="e">
        <f>-LqgS9f3LJNdJRYvRvs4</f>
        <v>#NAME?</v>
      </c>
      <c r="B5787">
        <v>393.75</v>
      </c>
      <c r="C5787">
        <v>20.478950000000001</v>
      </c>
      <c r="D5787">
        <v>65</v>
      </c>
      <c r="E5787">
        <v>0</v>
      </c>
      <c r="F5787">
        <v>0</v>
      </c>
      <c r="G5787">
        <v>10</v>
      </c>
      <c r="H5787" s="4">
        <v>1570556388754</v>
      </c>
      <c r="I5787">
        <v>526.6875</v>
      </c>
      <c r="J5787" s="9">
        <f t="shared" si="90"/>
        <v>43747.027647615738</v>
      </c>
      <c r="K5787" s="1"/>
    </row>
    <row r="5788" spans="1:11" x14ac:dyDescent="0.25">
      <c r="A5788" t="e">
        <f>-LqgSB7xAQAPBD1pPcCH</f>
        <v>#NAME?</v>
      </c>
      <c r="B5788">
        <v>393.75</v>
      </c>
      <c r="C5788">
        <v>20.478950000000001</v>
      </c>
      <c r="D5788">
        <v>65</v>
      </c>
      <c r="E5788">
        <v>0</v>
      </c>
      <c r="F5788">
        <v>0</v>
      </c>
      <c r="G5788">
        <v>7</v>
      </c>
      <c r="H5788" s="4">
        <v>1570556394913</v>
      </c>
      <c r="I5788">
        <v>526.6875</v>
      </c>
      <c r="J5788" s="9">
        <f t="shared" si="90"/>
        <v>43747.027718900463</v>
      </c>
      <c r="K5788" s="1"/>
    </row>
    <row r="5789" spans="1:11" x14ac:dyDescent="0.25">
      <c r="A5789" t="e">
        <f>-LqgSCbxhVuF0_EW7EBm</f>
        <v>#NAME?</v>
      </c>
      <c r="B5789">
        <v>393.75</v>
      </c>
      <c r="C5789">
        <v>20.478950000000001</v>
      </c>
      <c r="D5789">
        <v>66</v>
      </c>
      <c r="E5789">
        <v>0</v>
      </c>
      <c r="F5789">
        <v>0</v>
      </c>
      <c r="G5789">
        <v>6</v>
      </c>
      <c r="H5789" s="4">
        <v>1570556401123</v>
      </c>
      <c r="I5789">
        <v>526.6875</v>
      </c>
      <c r="J5789" s="9">
        <f t="shared" si="90"/>
        <v>43747.027790775457</v>
      </c>
      <c r="K5789" s="1"/>
    </row>
    <row r="5790" spans="1:11" x14ac:dyDescent="0.25">
      <c r="A5790" t="e">
        <f>-LqgSEAxqoFfnnE_btmg</f>
        <v>#NAME?</v>
      </c>
      <c r="B5790">
        <v>393.75</v>
      </c>
      <c r="C5790">
        <v>20.478950000000001</v>
      </c>
      <c r="D5790">
        <v>66</v>
      </c>
      <c r="E5790">
        <v>0</v>
      </c>
      <c r="F5790">
        <v>0</v>
      </c>
      <c r="G5790">
        <v>11</v>
      </c>
      <c r="H5790" s="4">
        <v>1570556407305</v>
      </c>
      <c r="I5790">
        <v>526.6875</v>
      </c>
      <c r="J5790" s="9">
        <f t="shared" si="90"/>
        <v>43747.027862326388</v>
      </c>
      <c r="K5790" s="1"/>
    </row>
    <row r="5791" spans="1:11" x14ac:dyDescent="0.25">
      <c r="A5791" t="e">
        <f>-LqgSFemN4DswNyEH8lO</f>
        <v>#NAME?</v>
      </c>
      <c r="B5791">
        <v>393.75</v>
      </c>
      <c r="C5791">
        <v>20.478950000000001</v>
      </c>
      <c r="D5791">
        <v>66</v>
      </c>
      <c r="E5791">
        <v>0</v>
      </c>
      <c r="F5791">
        <v>0</v>
      </c>
      <c r="G5791">
        <v>6</v>
      </c>
      <c r="H5791" s="4">
        <v>1570556413492</v>
      </c>
      <c r="I5791">
        <v>526.6875</v>
      </c>
      <c r="J5791" s="9">
        <f t="shared" si="90"/>
        <v>43747.027933935184</v>
      </c>
      <c r="K5791" s="1"/>
    </row>
    <row r="5792" spans="1:11" x14ac:dyDescent="0.25">
      <c r="A5792" t="e">
        <f>-LqgSH8o0dkuoCjN16Xc</f>
        <v>#NAME?</v>
      </c>
      <c r="B5792">
        <v>393.75</v>
      </c>
      <c r="C5792">
        <v>20.478950000000001</v>
      </c>
      <c r="D5792">
        <v>67</v>
      </c>
      <c r="E5792">
        <v>0</v>
      </c>
      <c r="F5792">
        <v>0</v>
      </c>
      <c r="G5792">
        <v>0</v>
      </c>
      <c r="H5792" s="4">
        <v>1570556419672</v>
      </c>
      <c r="I5792">
        <v>526.6875</v>
      </c>
      <c r="J5792" s="9">
        <f t="shared" si="90"/>
        <v>43747.028005462962</v>
      </c>
      <c r="K5792" s="1"/>
    </row>
    <row r="5793" spans="1:11" x14ac:dyDescent="0.25">
      <c r="A5793" t="e">
        <f>-LqgSJ3ipw70bmA_1TQF</f>
        <v>#NAME?</v>
      </c>
      <c r="B5793">
        <v>393.75</v>
      </c>
      <c r="C5793">
        <v>20.478950000000001</v>
      </c>
      <c r="D5793">
        <v>67</v>
      </c>
      <c r="E5793">
        <v>0</v>
      </c>
      <c r="F5793">
        <v>0</v>
      </c>
      <c r="G5793">
        <v>1</v>
      </c>
      <c r="H5793" s="4">
        <v>1570556425853</v>
      </c>
      <c r="I5793">
        <v>526.6875</v>
      </c>
      <c r="J5793" s="9">
        <f t="shared" si="90"/>
        <v>43747.028077002316</v>
      </c>
      <c r="K5793" s="1"/>
    </row>
    <row r="5794" spans="1:11" x14ac:dyDescent="0.25">
      <c r="A5794" t="e">
        <f>-LqgSKl7_q2QydxMTzCO</f>
        <v>#NAME?</v>
      </c>
      <c r="B5794">
        <v>393.75</v>
      </c>
      <c r="C5794">
        <v>20.478950000000001</v>
      </c>
      <c r="D5794">
        <v>66</v>
      </c>
      <c r="E5794">
        <v>0</v>
      </c>
      <c r="F5794">
        <v>0</v>
      </c>
      <c r="G5794">
        <v>4</v>
      </c>
      <c r="H5794" s="4">
        <v>1570556434117</v>
      </c>
      <c r="I5794">
        <v>526.5</v>
      </c>
      <c r="J5794" s="9">
        <f t="shared" si="90"/>
        <v>43747.028172650462</v>
      </c>
      <c r="K5794" s="1"/>
    </row>
    <row r="5795" spans="1:11" x14ac:dyDescent="0.25">
      <c r="A5795" t="e">
        <f>-LqgSMU8bYPuiytd5Hmq</f>
        <v>#NAME?</v>
      </c>
      <c r="B5795">
        <v>393.75</v>
      </c>
      <c r="C5795">
        <v>20.531590000000001</v>
      </c>
      <c r="D5795">
        <v>65</v>
      </c>
      <c r="E5795">
        <v>0</v>
      </c>
      <c r="F5795">
        <v>0</v>
      </c>
      <c r="G5795">
        <v>2</v>
      </c>
      <c r="H5795" s="4">
        <v>1570556441317</v>
      </c>
      <c r="I5795">
        <v>526.6875</v>
      </c>
      <c r="J5795" s="9">
        <f t="shared" si="90"/>
        <v>43747.028255983794</v>
      </c>
      <c r="K5795" s="1"/>
    </row>
    <row r="5796" spans="1:11" x14ac:dyDescent="0.25">
      <c r="A5796" t="e">
        <f>-LqgSNy6T8wa3B2LXGg8</f>
        <v>#NAME?</v>
      </c>
      <c r="B5796">
        <v>393.75</v>
      </c>
      <c r="C5796">
        <v>20.478950000000001</v>
      </c>
      <c r="D5796">
        <v>65</v>
      </c>
      <c r="E5796">
        <v>0</v>
      </c>
      <c r="F5796">
        <v>0</v>
      </c>
      <c r="G5796">
        <v>6</v>
      </c>
      <c r="H5796" s="4">
        <v>1570556447468</v>
      </c>
      <c r="I5796">
        <v>526.5</v>
      </c>
      <c r="J5796" s="9">
        <f t="shared" si="90"/>
        <v>43747.028327175918</v>
      </c>
      <c r="K5796" s="1"/>
    </row>
    <row r="5797" spans="1:11" x14ac:dyDescent="0.25">
      <c r="A5797" t="e">
        <f>-LqgSPX7d9ktnv29AIwA</f>
        <v>#NAME?</v>
      </c>
      <c r="B5797">
        <v>393.75</v>
      </c>
      <c r="C5797">
        <v>20.478950000000001</v>
      </c>
      <c r="D5797">
        <v>65</v>
      </c>
      <c r="E5797">
        <v>0</v>
      </c>
      <c r="F5797">
        <v>0</v>
      </c>
      <c r="G5797">
        <v>7</v>
      </c>
      <c r="H5797" s="4">
        <v>1570556453677</v>
      </c>
      <c r="I5797">
        <v>526.6875</v>
      </c>
      <c r="J5797" s="9">
        <f t="shared" si="90"/>
        <v>43747.028399039351</v>
      </c>
      <c r="K5797" s="1"/>
    </row>
    <row r="5798" spans="1:11" x14ac:dyDescent="0.25">
      <c r="A5798" t="e">
        <f>-LqgSRF84xX6pJlwKllt</f>
        <v>#NAME?</v>
      </c>
      <c r="B5798">
        <v>393.75</v>
      </c>
      <c r="C5798">
        <v>20.478950000000001</v>
      </c>
      <c r="D5798">
        <v>65</v>
      </c>
      <c r="E5798">
        <v>0</v>
      </c>
      <c r="F5798">
        <v>0</v>
      </c>
      <c r="G5798">
        <v>2</v>
      </c>
      <c r="H5798" s="4">
        <v>1570556460888</v>
      </c>
      <c r="I5798">
        <v>526.6875</v>
      </c>
      <c r="J5798" s="9">
        <f t="shared" si="90"/>
        <v>43747.028482499998</v>
      </c>
      <c r="K5798" s="1"/>
    </row>
    <row r="5799" spans="1:11" x14ac:dyDescent="0.25">
      <c r="A5799" t="e">
        <f>-LqgSSo9T-ayBRGuQFci</f>
        <v>#NAME?</v>
      </c>
      <c r="B5799">
        <v>393.75</v>
      </c>
      <c r="C5799">
        <v>20.531590000000001</v>
      </c>
      <c r="D5799">
        <v>66</v>
      </c>
      <c r="E5799">
        <v>0</v>
      </c>
      <c r="F5799">
        <v>0</v>
      </c>
      <c r="G5799">
        <v>3</v>
      </c>
      <c r="H5799" s="4">
        <v>1570556467078</v>
      </c>
      <c r="I5799">
        <v>526.6875</v>
      </c>
      <c r="J5799" s="9">
        <f t="shared" si="90"/>
        <v>43747.028554143515</v>
      </c>
      <c r="K5799" s="1"/>
    </row>
    <row r="5800" spans="1:11" x14ac:dyDescent="0.25">
      <c r="A5800" t="e">
        <f>-LqgSUX7YV3lrPL1TFFd</f>
        <v>#NAME?</v>
      </c>
      <c r="B5800">
        <v>393.75</v>
      </c>
      <c r="C5800">
        <v>20.478950000000001</v>
      </c>
      <c r="D5800">
        <v>65</v>
      </c>
      <c r="E5800">
        <v>0</v>
      </c>
      <c r="F5800">
        <v>0</v>
      </c>
      <c r="G5800">
        <v>1</v>
      </c>
      <c r="H5800" s="4">
        <v>1570556474287</v>
      </c>
      <c r="I5800">
        <v>526.6875</v>
      </c>
      <c r="J5800" s="9">
        <f t="shared" si="90"/>
        <v>43747.028637581017</v>
      </c>
      <c r="K5800" s="1"/>
    </row>
    <row r="5801" spans="1:11" x14ac:dyDescent="0.25">
      <c r="A5801" t="e">
        <f>-LqgSW07vreS7_RUFbEH</f>
        <v>#NAME?</v>
      </c>
      <c r="B5801">
        <v>393.75</v>
      </c>
      <c r="C5801">
        <v>20.478950000000001</v>
      </c>
      <c r="D5801">
        <v>65</v>
      </c>
      <c r="E5801">
        <v>0</v>
      </c>
      <c r="F5801">
        <v>0</v>
      </c>
      <c r="G5801">
        <v>3</v>
      </c>
      <c r="H5801" s="4">
        <v>1570556480468</v>
      </c>
      <c r="I5801">
        <v>526.6875</v>
      </c>
      <c r="J5801" s="9">
        <f t="shared" si="90"/>
        <v>43747.028709120372</v>
      </c>
      <c r="K5801" s="1"/>
    </row>
    <row r="5802" spans="1:11" x14ac:dyDescent="0.25">
      <c r="A5802" t="e">
        <f>-LqgSX_6EkcFnfAVGmUO</f>
        <v>#NAME?</v>
      </c>
      <c r="B5802">
        <v>393.75</v>
      </c>
      <c r="C5802">
        <v>20.478950000000001</v>
      </c>
      <c r="D5802">
        <v>65</v>
      </c>
      <c r="E5802">
        <v>0</v>
      </c>
      <c r="F5802">
        <v>0</v>
      </c>
      <c r="G5802">
        <v>0</v>
      </c>
      <c r="H5802" s="4">
        <v>1570556486659</v>
      </c>
      <c r="I5802">
        <v>526.6875</v>
      </c>
      <c r="J5802" s="9">
        <f t="shared" si="90"/>
        <v>43747.028780775458</v>
      </c>
      <c r="K5802" s="1"/>
    </row>
    <row r="5803" spans="1:11" x14ac:dyDescent="0.25">
      <c r="A5803" t="e">
        <f>-LqgSZI8-faEmmM6BaBm</f>
        <v>#NAME?</v>
      </c>
      <c r="B5803">
        <v>393.75</v>
      </c>
      <c r="C5803">
        <v>20.478950000000001</v>
      </c>
      <c r="D5803">
        <v>64</v>
      </c>
      <c r="E5803">
        <v>0</v>
      </c>
      <c r="F5803">
        <v>0</v>
      </c>
      <c r="G5803">
        <v>2</v>
      </c>
      <c r="H5803" s="4">
        <v>1570556493847</v>
      </c>
      <c r="I5803">
        <v>526.6875</v>
      </c>
      <c r="J5803" s="9">
        <f t="shared" si="90"/>
        <v>43747.028863969907</v>
      </c>
      <c r="K5803" s="1"/>
    </row>
    <row r="5804" spans="1:11" x14ac:dyDescent="0.25">
      <c r="A5804" t="e">
        <f>-LqgS_r6CAwL5cpVI1G4</f>
        <v>#NAME?</v>
      </c>
      <c r="B5804">
        <v>393.75</v>
      </c>
      <c r="C5804">
        <v>20.478950000000001</v>
      </c>
      <c r="D5804">
        <v>65</v>
      </c>
      <c r="E5804">
        <v>0</v>
      </c>
      <c r="F5804">
        <v>0</v>
      </c>
      <c r="G5804">
        <v>6</v>
      </c>
      <c r="H5804" s="4">
        <v>1570556500048</v>
      </c>
      <c r="I5804">
        <v>526.6875</v>
      </c>
      <c r="J5804" s="9">
        <f t="shared" si="90"/>
        <v>43747.028935740738</v>
      </c>
      <c r="K5804" s="1"/>
    </row>
    <row r="5805" spans="1:11" x14ac:dyDescent="0.25">
      <c r="A5805" t="e">
        <f>-LqgSbXciM978C5LoPKh</f>
        <v>#NAME?</v>
      </c>
      <c r="B5805">
        <v>393.75</v>
      </c>
      <c r="C5805">
        <v>20.478950000000001</v>
      </c>
      <c r="D5805">
        <v>63</v>
      </c>
      <c r="E5805">
        <v>0</v>
      </c>
      <c r="F5805">
        <v>0</v>
      </c>
      <c r="G5805">
        <v>2</v>
      </c>
      <c r="H5805" s="4">
        <v>1570556507257</v>
      </c>
      <c r="I5805">
        <v>526.6875</v>
      </c>
      <c r="J5805" s="9">
        <f t="shared" si="90"/>
        <v>43747.029019178233</v>
      </c>
      <c r="K5805" s="1"/>
    </row>
    <row r="5806" spans="1:11" x14ac:dyDescent="0.25">
      <c r="A5806" t="e">
        <f>-LqgSd3LYFP3BhQt3qDq</f>
        <v>#NAME?</v>
      </c>
      <c r="B5806">
        <v>393.75</v>
      </c>
      <c r="C5806">
        <v>20.531590000000001</v>
      </c>
      <c r="D5806">
        <v>64</v>
      </c>
      <c r="E5806">
        <v>0</v>
      </c>
      <c r="F5806">
        <v>0</v>
      </c>
      <c r="G5806">
        <v>11</v>
      </c>
      <c r="H5806" s="4">
        <v>1570556513448</v>
      </c>
      <c r="I5806">
        <v>526.5</v>
      </c>
      <c r="J5806" s="9">
        <f t="shared" si="90"/>
        <v>43747.029090833334</v>
      </c>
      <c r="K5806" s="1"/>
    </row>
    <row r="5807" spans="1:11" x14ac:dyDescent="0.25">
      <c r="A5807" t="e">
        <f>-LqgSec8ReMlC8I0PrWw</f>
        <v>#NAME?</v>
      </c>
      <c r="B5807">
        <v>412.5</v>
      </c>
      <c r="C5807">
        <v>20.478950000000001</v>
      </c>
      <c r="D5807">
        <v>64</v>
      </c>
      <c r="E5807">
        <v>0</v>
      </c>
      <c r="F5807">
        <v>0</v>
      </c>
      <c r="G5807">
        <v>4</v>
      </c>
      <c r="H5807" s="4">
        <v>1570556519668</v>
      </c>
      <c r="I5807">
        <v>532.3125</v>
      </c>
      <c r="J5807" s="9">
        <f t="shared" si="90"/>
        <v>43747.029162824074</v>
      </c>
      <c r="K5807" s="1"/>
    </row>
    <row r="5808" spans="1:11" x14ac:dyDescent="0.25">
      <c r="A5808" t="e">
        <f>-LqgSg663OXe0HEQhHWH</f>
        <v>#NAME?</v>
      </c>
      <c r="B5808">
        <v>393.75</v>
      </c>
      <c r="C5808">
        <v>20.531590000000001</v>
      </c>
      <c r="D5808">
        <v>64</v>
      </c>
      <c r="E5808">
        <v>0</v>
      </c>
      <c r="F5808">
        <v>0</v>
      </c>
      <c r="G5808">
        <v>0</v>
      </c>
      <c r="H5808" s="4">
        <v>1570556525799</v>
      </c>
      <c r="I5808">
        <v>526.6875</v>
      </c>
      <c r="J5808" s="9">
        <f t="shared" si="90"/>
        <v>43747.02923378472</v>
      </c>
      <c r="K5808" s="1"/>
    </row>
    <row r="5809" spans="1:11" x14ac:dyDescent="0.25">
      <c r="A5809" t="e">
        <f>-LqgShuE6VD5HWFEuoVQ</f>
        <v>#NAME?</v>
      </c>
      <c r="B5809">
        <v>393.75</v>
      </c>
      <c r="C5809">
        <v>20.478950000000001</v>
      </c>
      <c r="D5809">
        <v>65</v>
      </c>
      <c r="E5809">
        <v>0</v>
      </c>
      <c r="F5809">
        <v>0</v>
      </c>
      <c r="G5809">
        <v>0</v>
      </c>
      <c r="H5809" s="4">
        <v>1570556532007</v>
      </c>
      <c r="I5809">
        <v>526.6875</v>
      </c>
      <c r="J5809" s="9">
        <f t="shared" si="90"/>
        <v>43747.02930563657</v>
      </c>
      <c r="K5809" s="1"/>
    </row>
    <row r="5810" spans="1:11" x14ac:dyDescent="0.25">
      <c r="A5810" t="e">
        <f>-LqgSjc8jgustfg-qkWk</f>
        <v>#NAME?</v>
      </c>
      <c r="B5810">
        <v>421.875</v>
      </c>
      <c r="C5810">
        <v>20.478950000000001</v>
      </c>
      <c r="D5810">
        <v>66</v>
      </c>
      <c r="E5810">
        <v>0</v>
      </c>
      <c r="F5810">
        <v>0</v>
      </c>
      <c r="G5810">
        <v>8</v>
      </c>
      <c r="H5810" s="4">
        <v>1570556540247</v>
      </c>
      <c r="I5810">
        <v>535.875</v>
      </c>
      <c r="J5810" s="9">
        <f t="shared" si="90"/>
        <v>43747.029401006941</v>
      </c>
      <c r="K5810" s="1"/>
    </row>
    <row r="5811" spans="1:11" x14ac:dyDescent="0.25">
      <c r="A5811" t="e">
        <f>-LqgSlB7WEI92Lrn52o2</f>
        <v>#NAME?</v>
      </c>
      <c r="B5811">
        <v>393.75</v>
      </c>
      <c r="C5811">
        <v>20.531590000000001</v>
      </c>
      <c r="D5811">
        <v>66</v>
      </c>
      <c r="E5811">
        <v>0</v>
      </c>
      <c r="F5811">
        <v>0</v>
      </c>
      <c r="G5811">
        <v>17</v>
      </c>
      <c r="H5811" s="4">
        <v>1570556546417</v>
      </c>
      <c r="I5811">
        <v>526.6875</v>
      </c>
      <c r="J5811" s="9">
        <f t="shared" si="90"/>
        <v>43747.029472418981</v>
      </c>
      <c r="K5811" s="1"/>
    </row>
    <row r="5812" spans="1:11" x14ac:dyDescent="0.25">
      <c r="A5812" t="e">
        <f>-LqgSmuHMtutxAJYVauF</f>
        <v>#NAME?</v>
      </c>
      <c r="B5812">
        <v>393.75</v>
      </c>
      <c r="C5812">
        <v>20.478950000000001</v>
      </c>
      <c r="D5812">
        <v>66</v>
      </c>
      <c r="E5812">
        <v>0</v>
      </c>
      <c r="F5812">
        <v>0</v>
      </c>
      <c r="G5812">
        <v>11</v>
      </c>
      <c r="H5812" s="4">
        <v>1570556553637</v>
      </c>
      <c r="I5812">
        <v>526.6875</v>
      </c>
      <c r="J5812" s="9">
        <f t="shared" si="90"/>
        <v>43747.02955598379</v>
      </c>
      <c r="K5812" s="1"/>
    </row>
    <row r="5813" spans="1:11" x14ac:dyDescent="0.25">
      <c r="A5813" t="e">
        <f>-LqgSoh65l8J6tyy4vcO</f>
        <v>#NAME?</v>
      </c>
      <c r="B5813">
        <v>412.5</v>
      </c>
      <c r="C5813">
        <v>20.531590000000001</v>
      </c>
      <c r="D5813">
        <v>66</v>
      </c>
      <c r="E5813">
        <v>0</v>
      </c>
      <c r="F5813">
        <v>0</v>
      </c>
      <c r="G5813">
        <v>7</v>
      </c>
      <c r="H5813" s="4">
        <v>1570556560847</v>
      </c>
      <c r="I5813">
        <v>532.3125</v>
      </c>
      <c r="J5813" s="9">
        <f t="shared" si="90"/>
        <v>43747.029639432869</v>
      </c>
      <c r="K5813" s="1"/>
    </row>
    <row r="5814" spans="1:11" x14ac:dyDescent="0.25">
      <c r="A5814" t="e">
        <f>-LqgSqQ8I0BMrarJr6xr</f>
        <v>#NAME?</v>
      </c>
      <c r="B5814">
        <v>393.75</v>
      </c>
      <c r="C5814">
        <v>20.584240000000001</v>
      </c>
      <c r="D5814">
        <v>65</v>
      </c>
      <c r="E5814">
        <v>0</v>
      </c>
      <c r="F5814">
        <v>0</v>
      </c>
      <c r="G5814">
        <v>3</v>
      </c>
      <c r="H5814" s="4">
        <v>1570556568059</v>
      </c>
      <c r="I5814">
        <v>526.5</v>
      </c>
      <c r="J5814" s="9">
        <f t="shared" si="90"/>
        <v>43747.029722905085</v>
      </c>
      <c r="K5814" s="1"/>
    </row>
    <row r="5815" spans="1:11" x14ac:dyDescent="0.25">
      <c r="A5815" t="e">
        <f>-LqgSru6cNC5rOeoOVus</f>
        <v>#NAME?</v>
      </c>
      <c r="B5815">
        <v>393.75</v>
      </c>
      <c r="C5815">
        <v>20.478950000000001</v>
      </c>
      <c r="D5815">
        <v>65</v>
      </c>
      <c r="E5815">
        <v>0</v>
      </c>
      <c r="F5815">
        <v>0</v>
      </c>
      <c r="G5815">
        <v>2</v>
      </c>
      <c r="H5815" s="4">
        <v>1570556574238</v>
      </c>
      <c r="I5815">
        <v>526.6875</v>
      </c>
      <c r="J5815" s="9">
        <f t="shared" si="90"/>
        <v>43747.029794421294</v>
      </c>
      <c r="K5815" s="1"/>
    </row>
    <row r="5816" spans="1:11" x14ac:dyDescent="0.25">
      <c r="A5816" t="e">
        <f>-LqgStTCMIPJYvRqDtar</f>
        <v>#NAME?</v>
      </c>
      <c r="B5816">
        <v>393.75</v>
      </c>
      <c r="C5816">
        <v>20.531590000000001</v>
      </c>
      <c r="D5816">
        <v>65</v>
      </c>
      <c r="E5816">
        <v>0</v>
      </c>
      <c r="F5816">
        <v>0</v>
      </c>
      <c r="G5816">
        <v>0</v>
      </c>
      <c r="H5816" s="4">
        <v>1570556580417</v>
      </c>
      <c r="I5816">
        <v>526.6875</v>
      </c>
      <c r="J5816" s="9">
        <f t="shared" si="90"/>
        <v>43747.029865937497</v>
      </c>
      <c r="K5816" s="1"/>
    </row>
    <row r="5817" spans="1:11" x14ac:dyDescent="0.25">
      <c r="A5817" t="e">
        <f>-LqgSvB6ixng8XcCXtPw</f>
        <v>#NAME?</v>
      </c>
      <c r="B5817">
        <v>393.75</v>
      </c>
      <c r="C5817">
        <v>20.478950000000001</v>
      </c>
      <c r="D5817">
        <v>63</v>
      </c>
      <c r="E5817">
        <v>0</v>
      </c>
      <c r="F5817">
        <v>0</v>
      </c>
      <c r="G5817">
        <v>6</v>
      </c>
      <c r="H5817" s="4">
        <v>1570556587608</v>
      </c>
      <c r="I5817">
        <v>526.6875</v>
      </c>
      <c r="J5817" s="9">
        <f t="shared" si="90"/>
        <v>43747.029949166659</v>
      </c>
      <c r="K5817" s="1"/>
    </row>
    <row r="5818" spans="1:11" x14ac:dyDescent="0.25">
      <c r="A5818" t="e">
        <f>-LqgSwk7tgqzVL3rFjC6</f>
        <v>#NAME?</v>
      </c>
      <c r="B5818">
        <v>393.75</v>
      </c>
      <c r="C5818">
        <v>20.531590000000001</v>
      </c>
      <c r="D5818">
        <v>64</v>
      </c>
      <c r="E5818">
        <v>0</v>
      </c>
      <c r="F5818">
        <v>0</v>
      </c>
      <c r="G5818">
        <v>9</v>
      </c>
      <c r="H5818" s="4">
        <v>1570556593818</v>
      </c>
      <c r="I5818">
        <v>526.6875</v>
      </c>
      <c r="J5818" s="9">
        <f t="shared" si="90"/>
        <v>43747.030021041668</v>
      </c>
      <c r="K5818" s="1"/>
    </row>
    <row r="5819" spans="1:11" x14ac:dyDescent="0.25">
      <c r="A5819" t="e">
        <f>-LqgSyT8Yp-WpEQuWuTP</f>
        <v>#NAME?</v>
      </c>
      <c r="B5819">
        <v>412.5</v>
      </c>
      <c r="C5819">
        <v>20.531590000000001</v>
      </c>
      <c r="D5819">
        <v>65</v>
      </c>
      <c r="E5819">
        <v>0</v>
      </c>
      <c r="F5819">
        <v>0</v>
      </c>
      <c r="G5819">
        <v>16</v>
      </c>
      <c r="H5819" s="4">
        <v>1570556601048</v>
      </c>
      <c r="I5819">
        <v>532.125</v>
      </c>
      <c r="J5819" s="9">
        <f t="shared" si="90"/>
        <v>43747.030104722224</v>
      </c>
      <c r="K5819" s="1"/>
    </row>
    <row r="5820" spans="1:11" x14ac:dyDescent="0.25">
      <c r="A5820" t="s">
        <v>311</v>
      </c>
      <c r="B5820">
        <v>393.75</v>
      </c>
      <c r="C5820">
        <v>20.478950000000001</v>
      </c>
      <c r="D5820">
        <v>66</v>
      </c>
      <c r="E5820">
        <v>0</v>
      </c>
      <c r="F5820">
        <v>0</v>
      </c>
      <c r="G5820">
        <v>5</v>
      </c>
      <c r="H5820" s="4">
        <v>1570556607481</v>
      </c>
      <c r="I5820">
        <v>526.5</v>
      </c>
      <c r="J5820" s="9">
        <f t="shared" si="90"/>
        <v>43747.030179178233</v>
      </c>
      <c r="K5820" s="1"/>
    </row>
    <row r="5821" spans="1:11" x14ac:dyDescent="0.25">
      <c r="A5821" t="e">
        <f>-LqgT0k7zIaPjJ2RMlTc</f>
        <v>#NAME?</v>
      </c>
      <c r="B5821">
        <v>393.75</v>
      </c>
      <c r="C5821">
        <v>20.531590000000001</v>
      </c>
      <c r="D5821">
        <v>66</v>
      </c>
      <c r="E5821">
        <v>0</v>
      </c>
      <c r="F5821">
        <v>0</v>
      </c>
      <c r="G5821">
        <v>11</v>
      </c>
      <c r="H5821" s="4">
        <v>1570556614427</v>
      </c>
      <c r="I5821">
        <v>526.6875</v>
      </c>
      <c r="J5821" s="9">
        <f t="shared" si="90"/>
        <v>43747.030259571759</v>
      </c>
      <c r="K5821" s="1"/>
    </row>
    <row r="5822" spans="1:11" x14ac:dyDescent="0.25">
      <c r="A5822" t="e">
        <f>-LqgT2E6HCGeOgBiIsam</f>
        <v>#NAME?</v>
      </c>
      <c r="B5822">
        <v>393.75</v>
      </c>
      <c r="C5822">
        <v>20.478950000000001</v>
      </c>
      <c r="D5822">
        <v>65</v>
      </c>
      <c r="E5822">
        <v>0</v>
      </c>
      <c r="F5822">
        <v>0</v>
      </c>
      <c r="G5822">
        <v>14</v>
      </c>
      <c r="H5822" s="4">
        <v>1570556620627</v>
      </c>
      <c r="I5822">
        <v>526.6875</v>
      </c>
      <c r="J5822" s="9">
        <f t="shared" si="90"/>
        <v>43747.030331331021</v>
      </c>
      <c r="K5822" s="1"/>
    </row>
    <row r="5823" spans="1:11" x14ac:dyDescent="0.25">
      <c r="A5823" t="e">
        <f>-LqgT3n8szc9O_lU85as</f>
        <v>#NAME?</v>
      </c>
      <c r="B5823">
        <v>393.75</v>
      </c>
      <c r="C5823">
        <v>20.531590000000001</v>
      </c>
      <c r="D5823">
        <v>65</v>
      </c>
      <c r="E5823">
        <v>0</v>
      </c>
      <c r="F5823">
        <v>0</v>
      </c>
      <c r="G5823">
        <v>13</v>
      </c>
      <c r="H5823" s="4">
        <v>1570556626788</v>
      </c>
      <c r="I5823">
        <v>526.6875</v>
      </c>
      <c r="J5823" s="9">
        <f t="shared" si="90"/>
        <v>43747.030402638884</v>
      </c>
      <c r="K5823" s="1"/>
    </row>
    <row r="5824" spans="1:11" x14ac:dyDescent="0.25">
      <c r="A5824" t="e">
        <f>-LqgT5W927SuFtJhW8Xi</f>
        <v>#NAME?</v>
      </c>
      <c r="B5824">
        <v>393.75</v>
      </c>
      <c r="C5824">
        <v>20.478950000000001</v>
      </c>
      <c r="D5824">
        <v>66</v>
      </c>
      <c r="E5824">
        <v>0</v>
      </c>
      <c r="F5824">
        <v>0</v>
      </c>
      <c r="G5824">
        <v>11</v>
      </c>
      <c r="H5824" s="4">
        <v>1570556634007</v>
      </c>
      <c r="I5824">
        <v>526.6875</v>
      </c>
      <c r="J5824" s="9">
        <f t="shared" si="90"/>
        <v>43747.030486192125</v>
      </c>
      <c r="K5824" s="1"/>
    </row>
    <row r="5825" spans="1:11" x14ac:dyDescent="0.25">
      <c r="A5825" t="e">
        <f>-LqgT7483roEcKGN3OMx</f>
        <v>#NAME?</v>
      </c>
      <c r="B5825">
        <v>412.5</v>
      </c>
      <c r="C5825">
        <v>20.478950000000001</v>
      </c>
      <c r="D5825">
        <v>65</v>
      </c>
      <c r="E5825">
        <v>0</v>
      </c>
      <c r="F5825">
        <v>0</v>
      </c>
      <c r="G5825">
        <v>17</v>
      </c>
      <c r="H5825" s="4">
        <v>1570556640187</v>
      </c>
      <c r="I5825">
        <v>532.6875</v>
      </c>
      <c r="J5825" s="9">
        <f t="shared" si="90"/>
        <v>43747.030557719903</v>
      </c>
      <c r="K5825" s="1"/>
    </row>
    <row r="5826" spans="1:11" x14ac:dyDescent="0.25">
      <c r="A5826" t="e">
        <f>-LqgT8n6nDTdicy2hfDv</f>
        <v>#NAME?</v>
      </c>
      <c r="B5826">
        <v>393.75</v>
      </c>
      <c r="C5826">
        <v>20.478950000000001</v>
      </c>
      <c r="D5826">
        <v>65</v>
      </c>
      <c r="E5826">
        <v>0</v>
      </c>
      <c r="F5826">
        <v>0</v>
      </c>
      <c r="G5826">
        <v>6</v>
      </c>
      <c r="H5826" s="4">
        <v>1570556647410</v>
      </c>
      <c r="I5826">
        <v>526.6875</v>
      </c>
      <c r="J5826" s="9">
        <f t="shared" si="90"/>
        <v>43747.030641319441</v>
      </c>
      <c r="K5826" s="1"/>
    </row>
    <row r="5827" spans="1:11" x14ac:dyDescent="0.25">
      <c r="A5827" t="e">
        <f>-LqgTA_3Em8tXYvnhfRc</f>
        <v>#NAME?</v>
      </c>
      <c r="B5827">
        <v>393.75</v>
      </c>
      <c r="C5827">
        <v>20.531590000000001</v>
      </c>
      <c r="D5827">
        <v>67</v>
      </c>
      <c r="E5827">
        <v>0</v>
      </c>
      <c r="F5827">
        <v>0</v>
      </c>
      <c r="G5827">
        <v>7</v>
      </c>
      <c r="H5827" s="4">
        <v>1570556654824</v>
      </c>
      <c r="I5827">
        <v>526.6875</v>
      </c>
      <c r="J5827" s="9">
        <f t="shared" ref="J5827:J5890" si="91">(H5827/86400000)+25569+(7/24)</f>
        <v>43747.030727129626</v>
      </c>
      <c r="K5827" s="1"/>
    </row>
    <row r="5828" spans="1:11" x14ac:dyDescent="0.25">
      <c r="A5828" t="e">
        <f>-LqgTCKR0w7liMSxd5Q3</f>
        <v>#NAME?</v>
      </c>
      <c r="B5828">
        <v>393.75</v>
      </c>
      <c r="C5828">
        <v>20.531590000000001</v>
      </c>
      <c r="D5828">
        <v>67</v>
      </c>
      <c r="E5828">
        <v>0</v>
      </c>
      <c r="F5828">
        <v>0</v>
      </c>
      <c r="G5828">
        <v>0</v>
      </c>
      <c r="H5828" s="4">
        <v>1570556661843</v>
      </c>
      <c r="I5828">
        <v>526.6875</v>
      </c>
      <c r="J5828" s="9">
        <f t="shared" si="91"/>
        <v>43747.03080836805</v>
      </c>
      <c r="K5828" s="1"/>
    </row>
    <row r="5829" spans="1:11" x14ac:dyDescent="0.25">
      <c r="A5829" t="e">
        <f>-LqgTDlytT92_O8WrSqL</f>
        <v>#NAME?</v>
      </c>
      <c r="B5829">
        <v>393.75</v>
      </c>
      <c r="C5829">
        <v>20.531590000000001</v>
      </c>
      <c r="D5829">
        <v>65</v>
      </c>
      <c r="E5829">
        <v>0</v>
      </c>
      <c r="F5829">
        <v>0</v>
      </c>
      <c r="G5829">
        <v>13</v>
      </c>
      <c r="H5829" s="4">
        <v>1570556668003</v>
      </c>
      <c r="I5829">
        <v>526.6875</v>
      </c>
      <c r="J5829" s="9">
        <f t="shared" si="91"/>
        <v>43747.030879664351</v>
      </c>
      <c r="K5829" s="1"/>
    </row>
    <row r="5830" spans="1:11" x14ac:dyDescent="0.25">
      <c r="A5830" t="e">
        <f>-LqgTFKx5xUdkYmSHNHJ</f>
        <v>#NAME?</v>
      </c>
      <c r="B5830">
        <v>393.75</v>
      </c>
      <c r="C5830">
        <v>20.478950000000001</v>
      </c>
      <c r="D5830">
        <v>66</v>
      </c>
      <c r="E5830">
        <v>0</v>
      </c>
      <c r="F5830">
        <v>0</v>
      </c>
      <c r="G5830">
        <v>6</v>
      </c>
      <c r="H5830" s="4">
        <v>1570556674193</v>
      </c>
      <c r="I5830">
        <v>526.6875</v>
      </c>
      <c r="J5830" s="9">
        <f t="shared" si="91"/>
        <v>43747.030951307868</v>
      </c>
      <c r="K5830" s="1"/>
    </row>
    <row r="5831" spans="1:11" x14ac:dyDescent="0.25">
      <c r="A5831" t="e">
        <f>-LqgTGoxTfqiubX-GtiC</f>
        <v>#NAME?</v>
      </c>
      <c r="B5831">
        <v>412.5</v>
      </c>
      <c r="C5831">
        <v>20.531590000000001</v>
      </c>
      <c r="D5831">
        <v>66</v>
      </c>
      <c r="E5831">
        <v>0</v>
      </c>
      <c r="F5831">
        <v>0</v>
      </c>
      <c r="G5831">
        <v>14</v>
      </c>
      <c r="H5831" s="4">
        <v>1570556680373</v>
      </c>
      <c r="I5831">
        <v>532.5</v>
      </c>
      <c r="J5831" s="9">
        <f t="shared" si="91"/>
        <v>43747.031022835647</v>
      </c>
      <c r="K5831" s="1"/>
    </row>
    <row r="5832" spans="1:11" x14ac:dyDescent="0.25">
      <c r="A5832" t="e">
        <f>-LqgTIIc41JAKlD30_zf</f>
        <v>#NAME?</v>
      </c>
      <c r="B5832">
        <v>393.75</v>
      </c>
      <c r="C5832">
        <v>20.478950000000001</v>
      </c>
      <c r="D5832">
        <v>64</v>
      </c>
      <c r="E5832">
        <v>0</v>
      </c>
      <c r="F5832">
        <v>0</v>
      </c>
      <c r="G5832">
        <v>5</v>
      </c>
      <c r="H5832" s="4">
        <v>1570556686552</v>
      </c>
      <c r="I5832">
        <v>526.6875</v>
      </c>
      <c r="J5832" s="9">
        <f t="shared" si="91"/>
        <v>43747.031094351849</v>
      </c>
      <c r="K5832" s="1"/>
    </row>
    <row r="5833" spans="1:11" x14ac:dyDescent="0.25">
      <c r="A5833" t="e">
        <f>-LqgTJt2bP-hy6MEhc4f</f>
        <v>#NAME?</v>
      </c>
      <c r="B5833">
        <v>393.75</v>
      </c>
      <c r="C5833">
        <v>20.531590000000001</v>
      </c>
      <c r="D5833">
        <v>63</v>
      </c>
      <c r="E5833">
        <v>0</v>
      </c>
      <c r="F5833">
        <v>0</v>
      </c>
      <c r="G5833">
        <v>13</v>
      </c>
      <c r="H5833" s="4">
        <v>1570556692736</v>
      </c>
      <c r="I5833">
        <v>526.5</v>
      </c>
      <c r="J5833" s="9">
        <f t="shared" si="91"/>
        <v>43747.031165925924</v>
      </c>
      <c r="K5833" s="1"/>
    </row>
    <row r="5834" spans="1:11" x14ac:dyDescent="0.25">
      <c r="A5834" t="e">
        <f>-LqgTLLxlCnRFrMUHYQV</f>
        <v>#NAME?</v>
      </c>
      <c r="B5834">
        <v>393.75</v>
      </c>
      <c r="C5834">
        <v>20.478950000000001</v>
      </c>
      <c r="D5834">
        <v>63</v>
      </c>
      <c r="E5834">
        <v>0</v>
      </c>
      <c r="F5834">
        <v>0</v>
      </c>
      <c r="G5834">
        <v>10</v>
      </c>
      <c r="H5834" s="4">
        <v>1570556698912</v>
      </c>
      <c r="I5834">
        <v>526.6875</v>
      </c>
      <c r="J5834" s="9">
        <f t="shared" si="91"/>
        <v>43747.031237407406</v>
      </c>
      <c r="K5834" s="1"/>
    </row>
    <row r="5835" spans="1:11" x14ac:dyDescent="0.25">
      <c r="A5835" t="e">
        <f>-LqgTMr7Y2Vuv86M4Mb5</f>
        <v>#NAME?</v>
      </c>
      <c r="B5835">
        <v>393.75</v>
      </c>
      <c r="C5835">
        <v>20.478950000000001</v>
      </c>
      <c r="D5835">
        <v>63</v>
      </c>
      <c r="E5835">
        <v>0</v>
      </c>
      <c r="F5835">
        <v>0</v>
      </c>
      <c r="G5835">
        <v>8</v>
      </c>
      <c r="H5835" s="4">
        <v>1570556705104</v>
      </c>
      <c r="I5835">
        <v>526.5</v>
      </c>
      <c r="J5835" s="9">
        <f t="shared" si="91"/>
        <v>43747.031309074075</v>
      </c>
      <c r="K5835" s="1"/>
    </row>
    <row r="5836" spans="1:11" x14ac:dyDescent="0.25">
      <c r="A5836" t="e">
        <f>-LqgTOOwxHPAJjttaV1u</f>
        <v>#NAME?</v>
      </c>
      <c r="B5836">
        <v>393.75</v>
      </c>
      <c r="C5836">
        <v>20.478950000000001</v>
      </c>
      <c r="D5836">
        <v>65</v>
      </c>
      <c r="E5836">
        <v>0</v>
      </c>
      <c r="F5836">
        <v>0</v>
      </c>
      <c r="G5836">
        <v>10</v>
      </c>
      <c r="H5836" s="4">
        <v>1570556711264</v>
      </c>
      <c r="I5836">
        <v>526.6875</v>
      </c>
      <c r="J5836" s="9">
        <f t="shared" si="91"/>
        <v>43747.031380370368</v>
      </c>
      <c r="K5836" s="1"/>
    </row>
    <row r="5837" spans="1:11" x14ac:dyDescent="0.25">
      <c r="A5837" t="e">
        <f>-LqgTPswaxsIcN3Vumba</f>
        <v>#NAME?</v>
      </c>
      <c r="B5837">
        <v>393.75</v>
      </c>
      <c r="C5837">
        <v>20.478950000000001</v>
      </c>
      <c r="D5837">
        <v>65</v>
      </c>
      <c r="E5837">
        <v>0</v>
      </c>
      <c r="F5837">
        <v>0</v>
      </c>
      <c r="G5837">
        <v>12</v>
      </c>
      <c r="H5837" s="4">
        <v>1570556717474</v>
      </c>
      <c r="I5837">
        <v>526.6875</v>
      </c>
      <c r="J5837" s="9">
        <f t="shared" si="91"/>
        <v>43747.031452245363</v>
      </c>
      <c r="K5837" s="1"/>
    </row>
    <row r="5838" spans="1:11" x14ac:dyDescent="0.25">
      <c r="A5838" t="e">
        <f>-LqgTRMx8T9WelFSgxwJ</f>
        <v>#NAME?</v>
      </c>
      <c r="B5838">
        <v>393.75</v>
      </c>
      <c r="C5838">
        <v>20.531590000000001</v>
      </c>
      <c r="D5838">
        <v>65</v>
      </c>
      <c r="E5838">
        <v>0</v>
      </c>
      <c r="F5838">
        <v>0</v>
      </c>
      <c r="G5838">
        <v>12</v>
      </c>
      <c r="H5838" s="4">
        <v>1570556723673</v>
      </c>
      <c r="I5838">
        <v>526.6875</v>
      </c>
      <c r="J5838" s="9">
        <f t="shared" si="91"/>
        <v>43747.031523993057</v>
      </c>
      <c r="K5838" s="1"/>
    </row>
    <row r="5839" spans="1:11" x14ac:dyDescent="0.25">
      <c r="A5839" t="e">
        <f>-LqgTSx1GiNb0oXvWu5J</f>
        <v>#NAME?</v>
      </c>
      <c r="B5839">
        <v>393.75</v>
      </c>
      <c r="C5839">
        <v>20.531590000000001</v>
      </c>
      <c r="D5839">
        <v>64</v>
      </c>
      <c r="E5839">
        <v>0</v>
      </c>
      <c r="F5839">
        <v>0</v>
      </c>
      <c r="G5839">
        <v>3</v>
      </c>
      <c r="H5839" s="4">
        <v>1570556729832</v>
      </c>
      <c r="I5839">
        <v>526.5</v>
      </c>
      <c r="J5839" s="9">
        <f t="shared" si="91"/>
        <v>43747.031595277775</v>
      </c>
      <c r="K5839" s="1"/>
    </row>
    <row r="5840" spans="1:11" x14ac:dyDescent="0.25">
      <c r="A5840" t="e">
        <f>-LqgTUci2pJ3BNeeCXrB</f>
        <v>#NAME?</v>
      </c>
      <c r="B5840">
        <v>393.75</v>
      </c>
      <c r="C5840">
        <v>20.478950000000001</v>
      </c>
      <c r="D5840">
        <v>64</v>
      </c>
      <c r="E5840">
        <v>0</v>
      </c>
      <c r="F5840">
        <v>0</v>
      </c>
      <c r="G5840">
        <v>10</v>
      </c>
      <c r="H5840" s="4">
        <v>1570556737042</v>
      </c>
      <c r="I5840">
        <v>526.6875</v>
      </c>
      <c r="J5840" s="9">
        <f t="shared" si="91"/>
        <v>43747.031678726846</v>
      </c>
      <c r="K5840" s="1"/>
    </row>
    <row r="5841" spans="1:11" x14ac:dyDescent="0.25">
      <c r="A5841" t="e">
        <f>-LqgTWRx9k4itrBDKhlL</f>
        <v>#NAME?</v>
      </c>
      <c r="B5841">
        <v>393.75</v>
      </c>
      <c r="C5841">
        <v>20.478950000000001</v>
      </c>
      <c r="D5841">
        <v>65</v>
      </c>
      <c r="E5841">
        <v>0</v>
      </c>
      <c r="F5841">
        <v>0</v>
      </c>
      <c r="G5841">
        <v>10</v>
      </c>
      <c r="H5841" s="4">
        <v>1570556744264</v>
      </c>
      <c r="I5841">
        <v>526.5</v>
      </c>
      <c r="J5841" s="9">
        <f t="shared" si="91"/>
        <v>43747.031762314808</v>
      </c>
      <c r="K5841" s="1"/>
    </row>
    <row r="5842" spans="1:11" x14ac:dyDescent="0.25">
      <c r="A5842" t="e">
        <f>-LqgTXw5Bza51sMJ5xXX</f>
        <v>#NAME?</v>
      </c>
      <c r="B5842">
        <v>393.75</v>
      </c>
      <c r="C5842">
        <v>20.478950000000001</v>
      </c>
      <c r="D5842">
        <v>65</v>
      </c>
      <c r="E5842">
        <v>0</v>
      </c>
      <c r="F5842">
        <v>0</v>
      </c>
      <c r="G5842">
        <v>10</v>
      </c>
      <c r="H5842" s="4">
        <v>1570556750453</v>
      </c>
      <c r="I5842">
        <v>526.6875</v>
      </c>
      <c r="J5842" s="9">
        <f t="shared" si="91"/>
        <v>43747.031833946756</v>
      </c>
      <c r="K5842" s="1"/>
    </row>
    <row r="5843" spans="1:11" x14ac:dyDescent="0.25">
      <c r="A5843" t="e">
        <f>-LqgTZixpAuB_rIP2aZ2</f>
        <v>#NAME?</v>
      </c>
      <c r="B5843">
        <v>393.75</v>
      </c>
      <c r="C5843">
        <v>20.478950000000001</v>
      </c>
      <c r="D5843">
        <v>69</v>
      </c>
      <c r="E5843">
        <v>0</v>
      </c>
      <c r="F5843">
        <v>0</v>
      </c>
      <c r="G5843">
        <v>7</v>
      </c>
      <c r="H5843" s="4">
        <v>1570556757663</v>
      </c>
      <c r="I5843">
        <v>526.6875</v>
      </c>
      <c r="J5843" s="9">
        <f t="shared" si="91"/>
        <v>43747.031917395834</v>
      </c>
      <c r="K5843" s="1"/>
    </row>
    <row r="5844" spans="1:11" x14ac:dyDescent="0.25">
      <c r="A5844" t="e">
        <f>-LqgTaAI1_nsEBa_JBTZ</f>
        <v>#NAME?</v>
      </c>
      <c r="B5844">
        <v>393.75</v>
      </c>
      <c r="C5844">
        <v>20.478950000000001</v>
      </c>
      <c r="D5844">
        <v>69</v>
      </c>
      <c r="E5844">
        <v>0</v>
      </c>
      <c r="F5844">
        <v>0</v>
      </c>
      <c r="G5844">
        <v>8</v>
      </c>
      <c r="H5844" s="4">
        <v>1570556763842</v>
      </c>
      <c r="I5844">
        <v>526.6875</v>
      </c>
      <c r="J5844" s="9">
        <f t="shared" si="91"/>
        <v>43747.031988912036</v>
      </c>
      <c r="K5844" s="1"/>
    </row>
    <row r="5845" spans="1:11" x14ac:dyDescent="0.25">
      <c r="A5845" t="e">
        <f>-LqgTbffG2CUjI9A9yK1</f>
        <v>#NAME?</v>
      </c>
      <c r="B5845">
        <v>393.75</v>
      </c>
      <c r="C5845">
        <v>20.478950000000001</v>
      </c>
      <c r="D5845">
        <v>64</v>
      </c>
      <c r="E5845">
        <v>0</v>
      </c>
      <c r="F5845">
        <v>0</v>
      </c>
      <c r="G5845">
        <v>7</v>
      </c>
      <c r="H5845" s="4">
        <v>1570556770002</v>
      </c>
      <c r="I5845">
        <v>526.6875</v>
      </c>
      <c r="J5845" s="9">
        <f t="shared" si="91"/>
        <v>43747.03206020833</v>
      </c>
      <c r="K5845" s="1"/>
    </row>
    <row r="5846" spans="1:11" x14ac:dyDescent="0.25">
      <c r="A5846" t="e">
        <f>-LqgTdC1dGmqoiuxf61Q</f>
        <v>#NAME?</v>
      </c>
      <c r="B5846">
        <v>412.5</v>
      </c>
      <c r="C5846">
        <v>20.531590000000001</v>
      </c>
      <c r="D5846">
        <v>63</v>
      </c>
      <c r="E5846">
        <v>0</v>
      </c>
      <c r="F5846">
        <v>0</v>
      </c>
      <c r="G5846">
        <v>0</v>
      </c>
      <c r="H5846" s="4">
        <v>1570556776212</v>
      </c>
      <c r="I5846">
        <v>532.125</v>
      </c>
      <c r="J5846" s="9">
        <f t="shared" si="91"/>
        <v>43747.032132083332</v>
      </c>
      <c r="K5846" s="1"/>
    </row>
    <row r="5847" spans="1:11" x14ac:dyDescent="0.25">
      <c r="A5847" t="e">
        <f>-LqgTejwPjqzx2Kmn09Z</f>
        <v>#NAME?</v>
      </c>
      <c r="B5847">
        <v>393.75</v>
      </c>
      <c r="C5847">
        <v>20.531590000000001</v>
      </c>
      <c r="D5847">
        <v>63</v>
      </c>
      <c r="E5847">
        <v>0</v>
      </c>
      <c r="F5847">
        <v>0</v>
      </c>
      <c r="G5847">
        <v>7</v>
      </c>
      <c r="H5847" s="4">
        <v>1570556782392</v>
      </c>
      <c r="I5847">
        <v>526.6875</v>
      </c>
      <c r="J5847" s="9">
        <f t="shared" si="91"/>
        <v>43747.03220361111</v>
      </c>
      <c r="K5847" s="1"/>
    </row>
    <row r="5848" spans="1:11" x14ac:dyDescent="0.25">
      <c r="A5848" t="e">
        <f>-LqgTgChzr3HXnlhAkMI</f>
        <v>#NAME?</v>
      </c>
      <c r="B5848">
        <v>393.75</v>
      </c>
      <c r="C5848">
        <v>20.478950000000001</v>
      </c>
      <c r="D5848">
        <v>63</v>
      </c>
      <c r="E5848">
        <v>0</v>
      </c>
      <c r="F5848">
        <v>0</v>
      </c>
      <c r="G5848">
        <v>8</v>
      </c>
      <c r="H5848" s="4">
        <v>1570556788563</v>
      </c>
      <c r="I5848">
        <v>526.6875</v>
      </c>
      <c r="J5848" s="9">
        <f t="shared" si="91"/>
        <v>43747.032275034719</v>
      </c>
      <c r="K5848" s="1"/>
    </row>
    <row r="5849" spans="1:11" x14ac:dyDescent="0.25">
      <c r="A5849" t="e">
        <f>-LqgThmyyzqC3ewtT3XB</f>
        <v>#NAME?</v>
      </c>
      <c r="B5849">
        <v>393.75</v>
      </c>
      <c r="C5849">
        <v>20.531590000000001</v>
      </c>
      <c r="D5849">
        <v>63</v>
      </c>
      <c r="E5849">
        <v>0</v>
      </c>
      <c r="F5849">
        <v>0</v>
      </c>
      <c r="G5849">
        <v>2</v>
      </c>
      <c r="H5849" s="4">
        <v>1570556794764</v>
      </c>
      <c r="I5849">
        <v>526.5</v>
      </c>
      <c r="J5849" s="9">
        <f t="shared" si="91"/>
        <v>43747.03234680555</v>
      </c>
      <c r="K5849" s="1"/>
    </row>
    <row r="5850" spans="1:11" x14ac:dyDescent="0.25">
      <c r="A5850" t="e">
        <f>-LqgTjGw8ppZwvkIujIT</f>
        <v>#NAME?</v>
      </c>
      <c r="B5850">
        <v>412.5</v>
      </c>
      <c r="C5850">
        <v>20.478950000000001</v>
      </c>
      <c r="D5850">
        <v>63</v>
      </c>
      <c r="E5850">
        <v>0</v>
      </c>
      <c r="F5850">
        <v>0</v>
      </c>
      <c r="G5850">
        <v>9</v>
      </c>
      <c r="H5850" s="4">
        <v>1570556800922</v>
      </c>
      <c r="I5850">
        <v>532.3125</v>
      </c>
      <c r="J5850" s="9">
        <f t="shared" si="91"/>
        <v>43747.032418078707</v>
      </c>
      <c r="K5850" s="1"/>
    </row>
    <row r="5851" spans="1:11" x14ac:dyDescent="0.25">
      <c r="A5851" t="e">
        <f>-LqgTkjhH0tUZBd3Fqql</f>
        <v>#NAME?</v>
      </c>
      <c r="B5851">
        <v>393.75</v>
      </c>
      <c r="C5851">
        <v>20.478950000000001</v>
      </c>
      <c r="D5851">
        <v>63</v>
      </c>
      <c r="E5851">
        <v>0</v>
      </c>
      <c r="F5851">
        <v>0</v>
      </c>
      <c r="G5851">
        <v>6</v>
      </c>
      <c r="H5851" s="4">
        <v>1570556807122</v>
      </c>
      <c r="I5851">
        <v>526.5</v>
      </c>
      <c r="J5851" s="9">
        <f t="shared" si="91"/>
        <v>43747.032489837962</v>
      </c>
      <c r="K5851" s="1"/>
    </row>
    <row r="5852" spans="1:11" x14ac:dyDescent="0.25">
      <c r="A5852" t="e">
        <f>-LqgTmJwiGd7sGBq6E4Q</f>
        <v>#NAME?</v>
      </c>
      <c r="B5852">
        <v>393.75</v>
      </c>
      <c r="C5852">
        <v>20.478950000000001</v>
      </c>
      <c r="D5852">
        <v>63</v>
      </c>
      <c r="E5852">
        <v>0</v>
      </c>
      <c r="F5852">
        <v>0</v>
      </c>
      <c r="G5852">
        <v>9</v>
      </c>
      <c r="H5852" s="4">
        <v>1570556813312</v>
      </c>
      <c r="I5852">
        <v>526.6875</v>
      </c>
      <c r="J5852" s="9">
        <f t="shared" si="91"/>
        <v>43747.032561481479</v>
      </c>
      <c r="K5852" s="1"/>
    </row>
    <row r="5853" spans="1:11" x14ac:dyDescent="0.25">
      <c r="A5853" t="e">
        <f>-LqgTnnvJEAZXhGJ2twr</f>
        <v>#NAME?</v>
      </c>
      <c r="B5853">
        <v>393.75</v>
      </c>
      <c r="C5853">
        <v>20.531590000000001</v>
      </c>
      <c r="D5853">
        <v>63</v>
      </c>
      <c r="E5853">
        <v>0</v>
      </c>
      <c r="F5853">
        <v>0</v>
      </c>
      <c r="G5853">
        <v>10</v>
      </c>
      <c r="H5853" s="4">
        <v>1570556819473</v>
      </c>
      <c r="I5853">
        <v>526.5</v>
      </c>
      <c r="J5853" s="9">
        <f t="shared" si="91"/>
        <v>43747.032632789349</v>
      </c>
      <c r="K5853" s="1"/>
    </row>
    <row r="5854" spans="1:11" x14ac:dyDescent="0.25">
      <c r="A5854" t="e">
        <f>-LqgTpZIz7c0zo_dVCpf</f>
        <v>#NAME?</v>
      </c>
      <c r="B5854">
        <v>393.75</v>
      </c>
      <c r="C5854">
        <v>20.478950000000001</v>
      </c>
      <c r="D5854">
        <v>64</v>
      </c>
      <c r="E5854">
        <v>0</v>
      </c>
      <c r="F5854">
        <v>0</v>
      </c>
      <c r="G5854">
        <v>9</v>
      </c>
      <c r="H5854" s="4">
        <v>1570556826870</v>
      </c>
      <c r="I5854">
        <v>526.6875</v>
      </c>
      <c r="J5854" s="9">
        <f t="shared" si="91"/>
        <v>43747.032718402777</v>
      </c>
      <c r="K5854" s="1"/>
    </row>
    <row r="5855" spans="1:11" x14ac:dyDescent="0.25">
      <c r="A5855" t="e">
        <f>-LqgTr62sP-P-s5uj9Ct</f>
        <v>#NAME?</v>
      </c>
      <c r="B5855">
        <v>393.75</v>
      </c>
      <c r="C5855">
        <v>20.584240000000001</v>
      </c>
      <c r="D5855">
        <v>65</v>
      </c>
      <c r="E5855">
        <v>0</v>
      </c>
      <c r="F5855">
        <v>0</v>
      </c>
      <c r="G5855">
        <v>12</v>
      </c>
      <c r="H5855" s="4">
        <v>1570556832892</v>
      </c>
      <c r="I5855">
        <v>526.5</v>
      </c>
      <c r="J5855" s="9">
        <f t="shared" si="91"/>
        <v>43747.032788101853</v>
      </c>
      <c r="K5855" s="1"/>
    </row>
    <row r="5856" spans="1:11" x14ac:dyDescent="0.25">
      <c r="A5856" t="s">
        <v>312</v>
      </c>
      <c r="B5856">
        <v>393.75</v>
      </c>
      <c r="C5856">
        <v>20.531590000000001</v>
      </c>
      <c r="D5856">
        <v>65</v>
      </c>
      <c r="E5856">
        <v>0</v>
      </c>
      <c r="F5856">
        <v>0</v>
      </c>
      <c r="G5856">
        <v>4</v>
      </c>
      <c r="H5856" s="4">
        <v>1570556839072</v>
      </c>
      <c r="I5856">
        <v>526.6875</v>
      </c>
      <c r="J5856" s="9">
        <f t="shared" si="91"/>
        <v>43747.032859629624</v>
      </c>
      <c r="K5856" s="1"/>
    </row>
    <row r="5857" spans="1:11" x14ac:dyDescent="0.25">
      <c r="A5857" t="e">
        <f>-LqgTu42JFV7h4WD7LPz</f>
        <v>#NAME?</v>
      </c>
      <c r="B5857">
        <v>393.75</v>
      </c>
      <c r="C5857">
        <v>20.478950000000001</v>
      </c>
      <c r="D5857">
        <v>64</v>
      </c>
      <c r="E5857">
        <v>0</v>
      </c>
      <c r="F5857">
        <v>0</v>
      </c>
      <c r="G5857">
        <v>7</v>
      </c>
      <c r="H5857" s="4">
        <v>1570556845271</v>
      </c>
      <c r="I5857">
        <v>526.6875</v>
      </c>
      <c r="J5857" s="9">
        <f t="shared" si="91"/>
        <v>43747.032931377311</v>
      </c>
      <c r="K5857" s="1"/>
    </row>
    <row r="5858" spans="1:11" x14ac:dyDescent="0.25">
      <c r="A5858" t="e">
        <f>-LqgTvd1nhTI1zly2vEv</f>
        <v>#NAME?</v>
      </c>
      <c r="B5858">
        <v>412.5</v>
      </c>
      <c r="C5858">
        <v>20.478950000000001</v>
      </c>
      <c r="D5858">
        <v>64</v>
      </c>
      <c r="E5858">
        <v>0</v>
      </c>
      <c r="F5858">
        <v>0</v>
      </c>
      <c r="G5858">
        <v>8</v>
      </c>
      <c r="H5858" s="4">
        <v>1570556851442</v>
      </c>
      <c r="I5858">
        <v>532.125</v>
      </c>
      <c r="J5858" s="9">
        <f t="shared" si="91"/>
        <v>43747.033002800927</v>
      </c>
      <c r="K5858" s="1"/>
    </row>
    <row r="5859" spans="1:11" x14ac:dyDescent="0.25">
      <c r="A5859" t="e">
        <f>-LqgTxJgQs_bcHyIAQal</f>
        <v>#NAME?</v>
      </c>
      <c r="B5859">
        <v>393.75</v>
      </c>
      <c r="C5859">
        <v>20.531590000000001</v>
      </c>
      <c r="D5859">
        <v>64</v>
      </c>
      <c r="E5859">
        <v>0</v>
      </c>
      <c r="F5859">
        <v>0</v>
      </c>
      <c r="G5859">
        <v>4</v>
      </c>
      <c r="H5859" s="4">
        <v>1570556858643</v>
      </c>
      <c r="I5859">
        <v>526.6875</v>
      </c>
      <c r="J5859" s="9">
        <f t="shared" si="91"/>
        <v>43747.033086145828</v>
      </c>
      <c r="K5859" s="1"/>
    </row>
    <row r="5860" spans="1:11" x14ac:dyDescent="0.25">
      <c r="A5860" t="e">
        <f>-LqgTzD6IS3f2nuoF2YH</f>
        <v>#NAME?</v>
      </c>
      <c r="B5860">
        <v>393.75</v>
      </c>
      <c r="C5860">
        <v>20.478950000000001</v>
      </c>
      <c r="D5860">
        <v>62</v>
      </c>
      <c r="E5860">
        <v>0</v>
      </c>
      <c r="F5860">
        <v>0</v>
      </c>
      <c r="G5860">
        <v>11</v>
      </c>
      <c r="H5860" s="4">
        <v>1570556864833</v>
      </c>
      <c r="I5860">
        <v>526.6875</v>
      </c>
      <c r="J5860" s="9">
        <f t="shared" si="91"/>
        <v>43747.033157789345</v>
      </c>
      <c r="K5860" s="1"/>
    </row>
    <row r="5861" spans="1:11" x14ac:dyDescent="0.25">
      <c r="A5861" t="e">
        <f>-LqgU-s40GRfvvGNZvUa</f>
        <v>#NAME?</v>
      </c>
      <c r="B5861">
        <v>393.75</v>
      </c>
      <c r="C5861">
        <v>20.478950000000001</v>
      </c>
      <c r="D5861">
        <v>62</v>
      </c>
      <c r="E5861">
        <v>0</v>
      </c>
      <c r="F5861">
        <v>0</v>
      </c>
      <c r="G5861">
        <v>5</v>
      </c>
      <c r="H5861" s="4">
        <v>1570556873056</v>
      </c>
      <c r="I5861">
        <v>526.6875</v>
      </c>
      <c r="J5861" s="9">
        <f t="shared" si="91"/>
        <v>43747.03325296296</v>
      </c>
      <c r="K5861" s="1"/>
    </row>
    <row r="5862" spans="1:11" x14ac:dyDescent="0.25">
      <c r="A5862" t="s">
        <v>313</v>
      </c>
      <c r="B5862">
        <v>393.75</v>
      </c>
      <c r="C5862">
        <v>20.531590000000001</v>
      </c>
      <c r="D5862">
        <v>62</v>
      </c>
      <c r="E5862">
        <v>0</v>
      </c>
      <c r="F5862">
        <v>0</v>
      </c>
      <c r="G5862">
        <v>5</v>
      </c>
      <c r="H5862" s="4">
        <v>1570556879266</v>
      </c>
      <c r="I5862">
        <v>526.5</v>
      </c>
      <c r="J5862" s="9">
        <f t="shared" si="91"/>
        <v>43747.033324837961</v>
      </c>
      <c r="K5862" s="1"/>
    </row>
    <row r="5863" spans="1:11" x14ac:dyDescent="0.25">
      <c r="A5863" t="e">
        <f>-LqgU36jzy6Q0I1WhBn8</f>
        <v>#NAME?</v>
      </c>
      <c r="B5863">
        <v>393.75</v>
      </c>
      <c r="C5863">
        <v>20.531590000000001</v>
      </c>
      <c r="D5863">
        <v>63</v>
      </c>
      <c r="E5863">
        <v>0</v>
      </c>
      <c r="F5863">
        <v>0</v>
      </c>
      <c r="G5863">
        <v>9</v>
      </c>
      <c r="H5863" s="4">
        <v>1570556886485</v>
      </c>
      <c r="I5863">
        <v>526.5</v>
      </c>
      <c r="J5863" s="9">
        <f t="shared" si="91"/>
        <v>43747.033408391202</v>
      </c>
      <c r="K5863" s="1"/>
    </row>
    <row r="5864" spans="1:11" x14ac:dyDescent="0.25">
      <c r="A5864" t="e">
        <f>-LqgU4x40pH3UuIR9U8I</f>
        <v>#NAME?</v>
      </c>
      <c r="B5864">
        <v>393.75</v>
      </c>
      <c r="C5864">
        <v>20.478950000000001</v>
      </c>
      <c r="D5864">
        <v>63</v>
      </c>
      <c r="E5864">
        <v>0</v>
      </c>
      <c r="F5864">
        <v>0</v>
      </c>
      <c r="G5864">
        <v>3</v>
      </c>
      <c r="H5864" s="4">
        <v>1570556893696</v>
      </c>
      <c r="I5864">
        <v>526.6875</v>
      </c>
      <c r="J5864" s="9">
        <f t="shared" si="91"/>
        <v>43747.033491851849</v>
      </c>
      <c r="K5864" s="1"/>
    </row>
    <row r="5865" spans="1:11" x14ac:dyDescent="0.25">
      <c r="A5865" t="e">
        <f>-LqgU6f6VUAE7Dfw9MfU</f>
        <v>#NAME?</v>
      </c>
      <c r="B5865">
        <v>393.75</v>
      </c>
      <c r="C5865">
        <v>20.478950000000001</v>
      </c>
      <c r="D5865">
        <v>63</v>
      </c>
      <c r="E5865">
        <v>0</v>
      </c>
      <c r="F5865">
        <v>0</v>
      </c>
      <c r="G5865">
        <v>6</v>
      </c>
      <c r="H5865" s="4">
        <v>1570556900885</v>
      </c>
      <c r="I5865">
        <v>526.6875</v>
      </c>
      <c r="J5865" s="9">
        <f t="shared" si="91"/>
        <v>43747.033575057867</v>
      </c>
      <c r="K5865" s="1"/>
    </row>
    <row r="5866" spans="1:11" x14ac:dyDescent="0.25">
      <c r="A5866" t="e">
        <f>-LqgU8E6VjBsCGm5_BKf</f>
        <v>#NAME?</v>
      </c>
      <c r="B5866">
        <v>393.75</v>
      </c>
      <c r="C5866">
        <v>20.478950000000001</v>
      </c>
      <c r="D5866">
        <v>63</v>
      </c>
      <c r="E5866">
        <v>0</v>
      </c>
      <c r="F5866">
        <v>0</v>
      </c>
      <c r="G5866">
        <v>5</v>
      </c>
      <c r="H5866" s="4">
        <v>1570556907087</v>
      </c>
      <c r="I5866">
        <v>526.6875</v>
      </c>
      <c r="J5866" s="9">
        <f t="shared" si="91"/>
        <v>43747.033646840275</v>
      </c>
      <c r="K5866" s="1"/>
    </row>
    <row r="5867" spans="1:11" x14ac:dyDescent="0.25">
      <c r="A5867" t="s">
        <v>314</v>
      </c>
      <c r="B5867">
        <v>393.75</v>
      </c>
      <c r="C5867">
        <v>20.478950000000001</v>
      </c>
      <c r="D5867">
        <v>63</v>
      </c>
      <c r="E5867">
        <v>0</v>
      </c>
      <c r="F5867">
        <v>0</v>
      </c>
      <c r="G5867">
        <v>5</v>
      </c>
      <c r="H5867" s="4">
        <v>1570556914307</v>
      </c>
      <c r="I5867">
        <v>526.6875</v>
      </c>
      <c r="J5867" s="9">
        <f t="shared" si="91"/>
        <v>43747.033730405092</v>
      </c>
      <c r="K5867" s="1"/>
    </row>
    <row r="5868" spans="1:11" x14ac:dyDescent="0.25">
      <c r="A5868" t="e">
        <f>-LqgUBR6Hl46PCLJUaSm</f>
        <v>#NAME?</v>
      </c>
      <c r="B5868">
        <v>393.75</v>
      </c>
      <c r="C5868">
        <v>20.531590000000001</v>
      </c>
      <c r="D5868">
        <v>64</v>
      </c>
      <c r="E5868">
        <v>0</v>
      </c>
      <c r="F5868">
        <v>0</v>
      </c>
      <c r="G5868">
        <v>11</v>
      </c>
      <c r="H5868" s="4">
        <v>1570556920487</v>
      </c>
      <c r="I5868">
        <v>526.6875</v>
      </c>
      <c r="J5868" s="9">
        <f t="shared" si="91"/>
        <v>43747.03380193287</v>
      </c>
      <c r="K5868" s="1"/>
    </row>
    <row r="5869" spans="1:11" x14ac:dyDescent="0.25">
      <c r="A5869" t="s">
        <v>315</v>
      </c>
      <c r="B5869">
        <v>415.625</v>
      </c>
      <c r="C5869">
        <v>20.478950000000001</v>
      </c>
      <c r="D5869">
        <v>62</v>
      </c>
      <c r="E5869">
        <v>0</v>
      </c>
      <c r="F5869">
        <v>0</v>
      </c>
      <c r="G5869">
        <v>12</v>
      </c>
      <c r="H5869" s="4">
        <v>1570556926834</v>
      </c>
      <c r="I5869">
        <v>533.4375</v>
      </c>
      <c r="J5869" s="9">
        <f t="shared" si="91"/>
        <v>43747.033875393514</v>
      </c>
      <c r="K5869" s="1"/>
    </row>
    <row r="5870" spans="1:11" x14ac:dyDescent="0.25">
      <c r="A5870" t="e">
        <f>-LqgUEZ4VomtxGqrkjDL</f>
        <v>#NAME?</v>
      </c>
      <c r="B5870">
        <v>393.75</v>
      </c>
      <c r="C5870">
        <v>20.478950000000001</v>
      </c>
      <c r="D5870">
        <v>62</v>
      </c>
      <c r="E5870">
        <v>0</v>
      </c>
      <c r="F5870">
        <v>0</v>
      </c>
      <c r="G5870">
        <v>8</v>
      </c>
      <c r="H5870" s="4">
        <v>1570556932845</v>
      </c>
      <c r="I5870">
        <v>526.6875</v>
      </c>
      <c r="J5870" s="9">
        <f t="shared" si="91"/>
        <v>43747.033944965275</v>
      </c>
      <c r="K5870" s="1"/>
    </row>
    <row r="5871" spans="1:11" x14ac:dyDescent="0.25">
      <c r="A5871" t="e">
        <f>-LqgUGH6dQz2had7Bwlx</f>
        <v>#NAME?</v>
      </c>
      <c r="B5871">
        <v>393.75</v>
      </c>
      <c r="C5871">
        <v>20.478950000000001</v>
      </c>
      <c r="D5871">
        <v>62</v>
      </c>
      <c r="E5871">
        <v>0</v>
      </c>
      <c r="F5871">
        <v>0</v>
      </c>
      <c r="G5871">
        <v>8</v>
      </c>
      <c r="H5871" s="4">
        <v>1570556940065</v>
      </c>
      <c r="I5871">
        <v>526.6875</v>
      </c>
      <c r="J5871" s="9">
        <f t="shared" si="91"/>
        <v>43747.034028530092</v>
      </c>
      <c r="K5871" s="1"/>
    </row>
    <row r="5872" spans="1:11" x14ac:dyDescent="0.25">
      <c r="A5872" t="e">
        <f>-LqgUIHzfhMG2FSdGruP</f>
        <v>#NAME?</v>
      </c>
      <c r="B5872">
        <v>393.75</v>
      </c>
      <c r="C5872">
        <v>20.478950000000001</v>
      </c>
      <c r="D5872">
        <v>63</v>
      </c>
      <c r="E5872">
        <v>0</v>
      </c>
      <c r="F5872">
        <v>0</v>
      </c>
      <c r="G5872">
        <v>0</v>
      </c>
      <c r="H5872" s="4">
        <v>1570556948449</v>
      </c>
      <c r="I5872">
        <v>526.6875</v>
      </c>
      <c r="J5872" s="9">
        <f t="shared" si="91"/>
        <v>43747.03412556713</v>
      </c>
      <c r="K5872" s="1"/>
    </row>
    <row r="5873" spans="1:11" x14ac:dyDescent="0.25">
      <c r="A5873" t="e">
        <f>-LqgUK16tSNgP9S9GKL2</f>
        <v>#NAME?</v>
      </c>
      <c r="B5873">
        <v>393.75</v>
      </c>
      <c r="C5873">
        <v>20.478950000000001</v>
      </c>
      <c r="D5873">
        <v>63</v>
      </c>
      <c r="E5873">
        <v>0</v>
      </c>
      <c r="F5873">
        <v>0</v>
      </c>
      <c r="G5873">
        <v>4</v>
      </c>
      <c r="H5873" s="4">
        <v>1570556955527</v>
      </c>
      <c r="I5873">
        <v>526.5</v>
      </c>
      <c r="J5873" s="9">
        <f t="shared" si="91"/>
        <v>43747.034207488425</v>
      </c>
      <c r="K5873" s="1"/>
    </row>
    <row r="5874" spans="1:11" x14ac:dyDescent="0.25">
      <c r="A5874" t="e">
        <f>-LqgULXW6uCmmXIy_U0w</f>
        <v>#NAME?</v>
      </c>
      <c r="B5874">
        <v>415.625</v>
      </c>
      <c r="C5874">
        <v>20.478950000000001</v>
      </c>
      <c r="D5874">
        <v>64</v>
      </c>
      <c r="E5874">
        <v>0</v>
      </c>
      <c r="F5874">
        <v>0</v>
      </c>
      <c r="G5874">
        <v>7</v>
      </c>
      <c r="H5874" s="4">
        <v>1570556961687</v>
      </c>
      <c r="I5874">
        <v>533.0625</v>
      </c>
      <c r="J5874" s="9">
        <f t="shared" si="91"/>
        <v>43747.034278784718</v>
      </c>
      <c r="K5874" s="1"/>
    </row>
    <row r="5875" spans="1:11" x14ac:dyDescent="0.25">
      <c r="A5875" t="e">
        <f>-LqgUNT6eCFw9Bbz7aYG</f>
        <v>#NAME?</v>
      </c>
      <c r="B5875">
        <v>393.75</v>
      </c>
      <c r="C5875">
        <v>20.531590000000001</v>
      </c>
      <c r="D5875">
        <v>64</v>
      </c>
      <c r="E5875">
        <v>0</v>
      </c>
      <c r="F5875">
        <v>0</v>
      </c>
      <c r="G5875">
        <v>6</v>
      </c>
      <c r="H5875" s="4">
        <v>1570556967887</v>
      </c>
      <c r="I5875">
        <v>526.6875</v>
      </c>
      <c r="J5875" s="9">
        <f t="shared" si="91"/>
        <v>43747.034350543974</v>
      </c>
      <c r="K5875" s="1"/>
    </row>
    <row r="5876" spans="1:11" x14ac:dyDescent="0.25">
      <c r="A5876" t="e">
        <f>-LqgUP17RNyMm5-hJRZt</f>
        <v>#NAME?</v>
      </c>
      <c r="B5876">
        <v>393.75</v>
      </c>
      <c r="C5876">
        <v>20.478950000000001</v>
      </c>
      <c r="D5876">
        <v>63</v>
      </c>
      <c r="E5876">
        <v>0</v>
      </c>
      <c r="F5876">
        <v>0</v>
      </c>
      <c r="G5876">
        <v>10</v>
      </c>
      <c r="H5876" s="4">
        <v>1570556976155</v>
      </c>
      <c r="I5876">
        <v>526.6875</v>
      </c>
      <c r="J5876" s="9">
        <f t="shared" si="91"/>
        <v>43747.034446238424</v>
      </c>
      <c r="K5876" s="1"/>
    </row>
    <row r="5877" spans="1:11" x14ac:dyDescent="0.25">
      <c r="A5877" t="e">
        <f>-LqgUQa7DSQq59N_IUka</f>
        <v>#NAME?</v>
      </c>
      <c r="B5877">
        <v>393.75</v>
      </c>
      <c r="C5877">
        <v>20.531590000000001</v>
      </c>
      <c r="D5877">
        <v>63</v>
      </c>
      <c r="E5877">
        <v>0</v>
      </c>
      <c r="F5877">
        <v>0</v>
      </c>
      <c r="G5877">
        <v>6</v>
      </c>
      <c r="H5877" s="4">
        <v>1570556982317</v>
      </c>
      <c r="I5877">
        <v>526.6875</v>
      </c>
      <c r="J5877" s="9">
        <f t="shared" si="91"/>
        <v>43747.03451755787</v>
      </c>
      <c r="K5877" s="1"/>
    </row>
    <row r="5878" spans="1:11" x14ac:dyDescent="0.25">
      <c r="A5878" t="e">
        <f>-LqgUSKKuKfSOoMTvXxJ</f>
        <v>#NAME?</v>
      </c>
      <c r="B5878">
        <v>393.75</v>
      </c>
      <c r="C5878">
        <v>20.478950000000001</v>
      </c>
      <c r="D5878">
        <v>63</v>
      </c>
      <c r="E5878">
        <v>0</v>
      </c>
      <c r="F5878">
        <v>0</v>
      </c>
      <c r="G5878">
        <v>4</v>
      </c>
      <c r="H5878" s="4">
        <v>1570556989527</v>
      </c>
      <c r="I5878">
        <v>526.5</v>
      </c>
      <c r="J5878" s="9">
        <f t="shared" si="91"/>
        <v>43747.034601006941</v>
      </c>
      <c r="K5878" s="1"/>
    </row>
    <row r="5879" spans="1:11" x14ac:dyDescent="0.25">
      <c r="A5879" t="e">
        <f>-LqgUTs6LKaRPs_UKeAA</f>
        <v>#NAME?</v>
      </c>
      <c r="B5879">
        <v>393.75</v>
      </c>
      <c r="C5879">
        <v>20.531590000000001</v>
      </c>
      <c r="D5879">
        <v>63</v>
      </c>
      <c r="E5879">
        <v>0</v>
      </c>
      <c r="F5879">
        <v>0</v>
      </c>
      <c r="G5879">
        <v>7</v>
      </c>
      <c r="H5879" s="4">
        <v>1570556995716</v>
      </c>
      <c r="I5879">
        <v>526.6875</v>
      </c>
      <c r="J5879" s="9">
        <f t="shared" si="91"/>
        <v>43747.034672638889</v>
      </c>
      <c r="K5879" s="1"/>
    </row>
    <row r="5880" spans="1:11" x14ac:dyDescent="0.25">
      <c r="A5880" t="e">
        <f>-LqgUVa7tD6f07owdHUa</f>
        <v>#NAME?</v>
      </c>
      <c r="B5880">
        <v>412.5</v>
      </c>
      <c r="C5880">
        <v>20.478950000000001</v>
      </c>
      <c r="D5880">
        <v>65</v>
      </c>
      <c r="E5880">
        <v>0</v>
      </c>
      <c r="F5880">
        <v>0</v>
      </c>
      <c r="G5880">
        <v>0</v>
      </c>
      <c r="H5880" s="4">
        <v>1570557002935</v>
      </c>
      <c r="I5880">
        <v>532.3125</v>
      </c>
      <c r="J5880" s="9">
        <f t="shared" si="91"/>
        <v>43747.03475619213</v>
      </c>
      <c r="K5880" s="1"/>
    </row>
    <row r="5881" spans="1:11" x14ac:dyDescent="0.25">
      <c r="A5881" t="e">
        <f>-LqgUX46kNqnSBr6QEYk</f>
        <v>#NAME?</v>
      </c>
      <c r="B5881">
        <v>393.75</v>
      </c>
      <c r="C5881">
        <v>20.531590000000001</v>
      </c>
      <c r="D5881">
        <v>66</v>
      </c>
      <c r="E5881">
        <v>0</v>
      </c>
      <c r="F5881">
        <v>0</v>
      </c>
      <c r="G5881">
        <v>0</v>
      </c>
      <c r="H5881" s="4">
        <v>1570557009121</v>
      </c>
      <c r="I5881">
        <v>526.6875</v>
      </c>
      <c r="J5881" s="9">
        <f t="shared" si="91"/>
        <v>43747.03482778935</v>
      </c>
      <c r="K5881" s="1"/>
    </row>
    <row r="5882" spans="1:11" x14ac:dyDescent="0.25">
      <c r="A5882" t="e">
        <f>-LqgUYeKjPPm2tt83RpE</f>
        <v>#NAME?</v>
      </c>
      <c r="B5882">
        <v>393.75</v>
      </c>
      <c r="C5882">
        <v>20.478950000000001</v>
      </c>
      <c r="D5882">
        <v>67</v>
      </c>
      <c r="E5882">
        <v>0</v>
      </c>
      <c r="F5882">
        <v>0</v>
      </c>
      <c r="G5882">
        <v>7</v>
      </c>
      <c r="H5882" s="4">
        <v>1570557015297</v>
      </c>
      <c r="I5882">
        <v>526.6875</v>
      </c>
      <c r="J5882" s="9">
        <f t="shared" si="91"/>
        <v>43747.034899270831</v>
      </c>
      <c r="K5882" s="1"/>
    </row>
    <row r="5883" spans="1:11" x14ac:dyDescent="0.25">
      <c r="A5883" t="e">
        <f>-LqgU_M6UzIHFX67j--i</f>
        <v>#NAME?</v>
      </c>
      <c r="B5883">
        <v>393.75</v>
      </c>
      <c r="C5883">
        <v>20.478950000000001</v>
      </c>
      <c r="D5883">
        <v>66</v>
      </c>
      <c r="E5883">
        <v>0</v>
      </c>
      <c r="F5883">
        <v>0</v>
      </c>
      <c r="G5883">
        <v>6</v>
      </c>
      <c r="H5883" s="4">
        <v>1570557022487</v>
      </c>
      <c r="I5883">
        <v>526.6875</v>
      </c>
      <c r="J5883" s="9">
        <f t="shared" si="91"/>
        <v>43747.034982488425</v>
      </c>
      <c r="K5883" s="1"/>
    </row>
    <row r="5884" spans="1:11" x14ac:dyDescent="0.25">
      <c r="A5884" t="e">
        <f>-LqgUav5_98Yd_Y7yRE0</f>
        <v>#NAME?</v>
      </c>
      <c r="B5884">
        <v>393.75</v>
      </c>
      <c r="C5884">
        <v>20.478950000000001</v>
      </c>
      <c r="D5884">
        <v>67</v>
      </c>
      <c r="E5884">
        <v>0</v>
      </c>
      <c r="F5884">
        <v>0</v>
      </c>
      <c r="G5884">
        <v>8</v>
      </c>
      <c r="H5884" s="4">
        <v>1570557028695</v>
      </c>
      <c r="I5884">
        <v>526.5</v>
      </c>
      <c r="J5884" s="9">
        <f t="shared" si="91"/>
        <v>43747.035054340275</v>
      </c>
      <c r="K5884" s="1"/>
    </row>
    <row r="5885" spans="1:11" x14ac:dyDescent="0.25">
      <c r="A5885" t="e">
        <f>-LqgUcd4h4PoIi3yD9PM</f>
        <v>#NAME?</v>
      </c>
      <c r="B5885">
        <v>393.75</v>
      </c>
      <c r="C5885">
        <v>20.478950000000001</v>
      </c>
      <c r="D5885">
        <v>66</v>
      </c>
      <c r="E5885">
        <v>0</v>
      </c>
      <c r="F5885">
        <v>0</v>
      </c>
      <c r="G5885">
        <v>7</v>
      </c>
      <c r="H5885" s="4">
        <v>1570557035927</v>
      </c>
      <c r="I5885">
        <v>526.6875</v>
      </c>
      <c r="J5885" s="9">
        <f t="shared" si="91"/>
        <v>43747.035138043975</v>
      </c>
      <c r="K5885" s="1"/>
    </row>
    <row r="5886" spans="1:11" x14ac:dyDescent="0.25">
      <c r="A5886" t="e">
        <f>-LqgUe74-J1JCIWQ9A5g</f>
        <v>#NAME?</v>
      </c>
      <c r="B5886">
        <v>421.875</v>
      </c>
      <c r="C5886">
        <v>20.478950000000001</v>
      </c>
      <c r="D5886">
        <v>67</v>
      </c>
      <c r="E5886">
        <v>0</v>
      </c>
      <c r="F5886">
        <v>0</v>
      </c>
      <c r="G5886">
        <v>10</v>
      </c>
      <c r="H5886" s="4">
        <v>1570557042086</v>
      </c>
      <c r="I5886">
        <v>535.875</v>
      </c>
      <c r="J5886" s="9">
        <f t="shared" si="91"/>
        <v>43747.0352093287</v>
      </c>
      <c r="K5886" s="1"/>
    </row>
    <row r="5887" spans="1:11" x14ac:dyDescent="0.25">
      <c r="A5887" t="e">
        <f>-LqgUff0DST5F219S6Vq</f>
        <v>#NAME?</v>
      </c>
      <c r="B5887">
        <v>393.75</v>
      </c>
      <c r="C5887">
        <v>20.478950000000001</v>
      </c>
      <c r="D5887">
        <v>67</v>
      </c>
      <c r="E5887">
        <v>0</v>
      </c>
      <c r="F5887">
        <v>0</v>
      </c>
      <c r="G5887">
        <v>12</v>
      </c>
      <c r="H5887" s="4">
        <v>1570557048276</v>
      </c>
      <c r="I5887">
        <v>526.6875</v>
      </c>
      <c r="J5887" s="9">
        <f t="shared" si="91"/>
        <v>43747.035280972217</v>
      </c>
      <c r="K5887" s="1"/>
    </row>
    <row r="5888" spans="1:11" x14ac:dyDescent="0.25">
      <c r="A5888" t="e">
        <f>-LqgUhNzdcBLP-Dkhh0C</f>
        <v>#NAME?</v>
      </c>
      <c r="B5888">
        <v>393.75</v>
      </c>
      <c r="C5888">
        <v>20.478950000000001</v>
      </c>
      <c r="D5888">
        <v>66</v>
      </c>
      <c r="E5888">
        <v>0</v>
      </c>
      <c r="F5888">
        <v>0</v>
      </c>
      <c r="G5888">
        <v>6</v>
      </c>
      <c r="H5888" s="4">
        <v>1570557055466</v>
      </c>
      <c r="I5888">
        <v>526.5</v>
      </c>
      <c r="J5888" s="9">
        <f t="shared" si="91"/>
        <v>43747.035364189811</v>
      </c>
      <c r="K5888" s="1"/>
    </row>
    <row r="5889" spans="1:11" x14ac:dyDescent="0.25">
      <c r="A5889" t="e">
        <f>-LqgUix0UwsUFEUfNRZy</f>
        <v>#NAME?</v>
      </c>
      <c r="B5889">
        <v>393.75</v>
      </c>
      <c r="C5889">
        <v>20.478950000000001</v>
      </c>
      <c r="D5889">
        <v>66</v>
      </c>
      <c r="E5889">
        <v>0</v>
      </c>
      <c r="F5889">
        <v>0</v>
      </c>
      <c r="G5889">
        <v>4</v>
      </c>
      <c r="H5889" s="4">
        <v>1570557061667</v>
      </c>
      <c r="I5889">
        <v>526.6875</v>
      </c>
      <c r="J5889" s="9">
        <f t="shared" si="91"/>
        <v>43747.03543596065</v>
      </c>
      <c r="K5889" s="1"/>
    </row>
    <row r="5890" spans="1:11" x14ac:dyDescent="0.25">
      <c r="A5890" t="e">
        <f>-LqgUkg6n9H85XCqYP0M</f>
        <v>#NAME?</v>
      </c>
      <c r="B5890">
        <v>393.75</v>
      </c>
      <c r="C5890">
        <v>20.531590000000001</v>
      </c>
      <c r="D5890">
        <v>68</v>
      </c>
      <c r="E5890">
        <v>0</v>
      </c>
      <c r="F5890">
        <v>0</v>
      </c>
      <c r="G5890">
        <v>8</v>
      </c>
      <c r="H5890" s="4">
        <v>1570557068886</v>
      </c>
      <c r="I5890">
        <v>526.6875</v>
      </c>
      <c r="J5890" s="9">
        <f t="shared" si="91"/>
        <v>43747.035519513891</v>
      </c>
      <c r="K5890" s="1"/>
    </row>
    <row r="5891" spans="1:11" x14ac:dyDescent="0.25">
      <c r="A5891" t="e">
        <f>-LqgUmE0e-Afn3lm-QqH</f>
        <v>#NAME?</v>
      </c>
      <c r="B5891">
        <v>393.75</v>
      </c>
      <c r="C5891">
        <v>20.478950000000001</v>
      </c>
      <c r="D5891">
        <v>67</v>
      </c>
      <c r="E5891">
        <v>0</v>
      </c>
      <c r="F5891">
        <v>0</v>
      </c>
      <c r="G5891">
        <v>6</v>
      </c>
      <c r="H5891" s="4">
        <v>1570557075065</v>
      </c>
      <c r="I5891">
        <v>526.6875</v>
      </c>
      <c r="J5891" s="9">
        <f t="shared" ref="J5891:J5954" si="92">(H5891/86400000)+25569+(7/24)</f>
        <v>43747.035591030093</v>
      </c>
      <c r="K5891" s="1"/>
    </row>
    <row r="5892" spans="1:11" x14ac:dyDescent="0.25">
      <c r="A5892" t="e">
        <f>-LqgUny40Ty_nUXmn1XI</f>
        <v>#NAME?</v>
      </c>
      <c r="B5892">
        <v>393.75</v>
      </c>
      <c r="C5892">
        <v>20.478950000000001</v>
      </c>
      <c r="D5892">
        <v>65</v>
      </c>
      <c r="E5892">
        <v>0</v>
      </c>
      <c r="F5892">
        <v>0</v>
      </c>
      <c r="G5892">
        <v>5</v>
      </c>
      <c r="H5892" s="4">
        <v>1570557082277</v>
      </c>
      <c r="I5892">
        <v>526.6875</v>
      </c>
      <c r="J5892" s="9">
        <f t="shared" si="92"/>
        <v>43747.035674502309</v>
      </c>
      <c r="K5892" s="1"/>
    </row>
    <row r="5893" spans="1:11" x14ac:dyDescent="0.25">
      <c r="A5893" t="e">
        <f>-LqgUpmpdEIZ0iMmbJb5</f>
        <v>#NAME?</v>
      </c>
      <c r="B5893">
        <v>393.75</v>
      </c>
      <c r="C5893">
        <v>20.478950000000001</v>
      </c>
      <c r="D5893">
        <v>66</v>
      </c>
      <c r="E5893">
        <v>0</v>
      </c>
      <c r="F5893">
        <v>0</v>
      </c>
      <c r="G5893">
        <v>7</v>
      </c>
      <c r="H5893" s="4">
        <v>1570557088475</v>
      </c>
      <c r="I5893">
        <v>526.6875</v>
      </c>
      <c r="J5893" s="9">
        <f t="shared" si="92"/>
        <v>43747.03574623842</v>
      </c>
      <c r="K5893" s="1"/>
    </row>
    <row r="5894" spans="1:11" x14ac:dyDescent="0.25">
      <c r="A5894" t="e">
        <f>-LqgUrU414m5K-SCIRIY</f>
        <v>#NAME?</v>
      </c>
      <c r="B5894">
        <v>393.75</v>
      </c>
      <c r="C5894">
        <v>20.478950000000001</v>
      </c>
      <c r="D5894">
        <v>66</v>
      </c>
      <c r="E5894">
        <v>0</v>
      </c>
      <c r="F5894">
        <v>0</v>
      </c>
      <c r="G5894">
        <v>8</v>
      </c>
      <c r="H5894" s="4">
        <v>1570557096736</v>
      </c>
      <c r="I5894">
        <v>526.6875</v>
      </c>
      <c r="J5894" s="9">
        <f t="shared" si="92"/>
        <v>43747.035841851852</v>
      </c>
      <c r="K5894" s="1"/>
    </row>
    <row r="5895" spans="1:11" x14ac:dyDescent="0.25">
      <c r="A5895" t="e">
        <f>-LqgUsy7_NZd82oe9leK</f>
        <v>#NAME?</v>
      </c>
      <c r="B5895">
        <v>393.75</v>
      </c>
      <c r="C5895">
        <v>20.478950000000001</v>
      </c>
      <c r="D5895">
        <v>67</v>
      </c>
      <c r="E5895">
        <v>0</v>
      </c>
      <c r="F5895">
        <v>0</v>
      </c>
      <c r="G5895">
        <v>8</v>
      </c>
      <c r="H5895" s="4">
        <v>1570557102885</v>
      </c>
      <c r="I5895">
        <v>526.6875</v>
      </c>
      <c r="J5895" s="9">
        <f t="shared" si="92"/>
        <v>43747.035913020831</v>
      </c>
      <c r="K5895" s="1"/>
    </row>
    <row r="5896" spans="1:11" x14ac:dyDescent="0.25">
      <c r="A5896" t="e">
        <f>-LqgUuX3yPhlI5cS2BhS</f>
        <v>#NAME?</v>
      </c>
      <c r="B5896">
        <v>393.75</v>
      </c>
      <c r="C5896">
        <v>20.478950000000001</v>
      </c>
      <c r="D5896">
        <v>63</v>
      </c>
      <c r="E5896">
        <v>0</v>
      </c>
      <c r="F5896">
        <v>0</v>
      </c>
      <c r="G5896">
        <v>0</v>
      </c>
      <c r="H5896" s="4">
        <v>1570557109078</v>
      </c>
      <c r="I5896">
        <v>526.6875</v>
      </c>
      <c r="J5896" s="9">
        <f t="shared" si="92"/>
        <v>43747.035984699069</v>
      </c>
      <c r="K5896" s="1"/>
    </row>
    <row r="5897" spans="1:11" x14ac:dyDescent="0.25">
      <c r="A5897" t="e">
        <f>-LqgUw--j3CyVbqwMpIf</f>
        <v>#NAME?</v>
      </c>
      <c r="B5897">
        <v>393.75</v>
      </c>
      <c r="C5897">
        <v>20.478950000000001</v>
      </c>
      <c r="D5897">
        <v>63</v>
      </c>
      <c r="E5897">
        <v>0</v>
      </c>
      <c r="F5897">
        <v>0</v>
      </c>
      <c r="G5897">
        <v>5</v>
      </c>
      <c r="H5897" s="4">
        <v>1570557115235</v>
      </c>
      <c r="I5897">
        <v>526.6875</v>
      </c>
      <c r="J5897" s="9">
        <f t="shared" si="92"/>
        <v>43747.036055960642</v>
      </c>
      <c r="K5897" s="1"/>
    </row>
    <row r="5898" spans="1:11" x14ac:dyDescent="0.25">
      <c r="A5898" t="e">
        <f>-LqgUxo4PIHB_ibQoIpN</f>
        <v>#NAME?</v>
      </c>
      <c r="B5898">
        <v>393.75</v>
      </c>
      <c r="C5898">
        <v>20.478950000000001</v>
      </c>
      <c r="D5898">
        <v>64</v>
      </c>
      <c r="E5898">
        <v>0</v>
      </c>
      <c r="F5898">
        <v>0</v>
      </c>
      <c r="G5898">
        <v>4</v>
      </c>
      <c r="H5898" s="4">
        <v>1570557122465</v>
      </c>
      <c r="I5898">
        <v>526.6875</v>
      </c>
      <c r="J5898" s="9">
        <f t="shared" si="92"/>
        <v>43747.036139641197</v>
      </c>
      <c r="K5898" s="1"/>
    </row>
    <row r="5899" spans="1:11" x14ac:dyDescent="0.25">
      <c r="A5899" t="e">
        <f>-LqgUzX5l-t5k6NXKv75</f>
        <v>#NAME?</v>
      </c>
      <c r="B5899">
        <v>393.75</v>
      </c>
      <c r="C5899">
        <v>20.478950000000001</v>
      </c>
      <c r="D5899">
        <v>67</v>
      </c>
      <c r="E5899">
        <v>0</v>
      </c>
      <c r="F5899">
        <v>0</v>
      </c>
      <c r="G5899">
        <v>10</v>
      </c>
      <c r="H5899" s="4">
        <v>1570557129688</v>
      </c>
      <c r="I5899">
        <v>526.5</v>
      </c>
      <c r="J5899" s="9">
        <f t="shared" si="92"/>
        <v>43747.036223240742</v>
      </c>
      <c r="K5899" s="1"/>
    </row>
    <row r="5900" spans="1:11" x14ac:dyDescent="0.25">
      <c r="A5900" t="e">
        <f>-LqgV0545KrKftuak7QH</f>
        <v>#NAME?</v>
      </c>
      <c r="B5900">
        <v>393.75</v>
      </c>
      <c r="C5900">
        <v>20.531590000000001</v>
      </c>
      <c r="D5900">
        <v>67</v>
      </c>
      <c r="E5900">
        <v>0</v>
      </c>
      <c r="F5900">
        <v>0</v>
      </c>
      <c r="G5900">
        <v>8</v>
      </c>
      <c r="H5900" s="4">
        <v>1570557135867</v>
      </c>
      <c r="I5900">
        <v>526.6875</v>
      </c>
      <c r="J5900" s="9">
        <f t="shared" si="92"/>
        <v>43747.036294756945</v>
      </c>
      <c r="K5900" s="1"/>
    </row>
    <row r="5901" spans="1:11" x14ac:dyDescent="0.25">
      <c r="A5901" t="e">
        <f>-LqgV1o55ZM_lyWjF6A5</f>
        <v>#NAME?</v>
      </c>
      <c r="B5901">
        <v>393.75</v>
      </c>
      <c r="C5901">
        <v>20.531590000000001</v>
      </c>
      <c r="D5901">
        <v>68</v>
      </c>
      <c r="E5901">
        <v>0</v>
      </c>
      <c r="F5901">
        <v>0</v>
      </c>
      <c r="G5901">
        <v>4</v>
      </c>
      <c r="H5901" s="4">
        <v>1570557143076</v>
      </c>
      <c r="I5901">
        <v>526.6875</v>
      </c>
      <c r="J5901" s="9">
        <f t="shared" si="92"/>
        <v>43747.03637819444</v>
      </c>
      <c r="K5901" s="1"/>
    </row>
    <row r="5902" spans="1:11" x14ac:dyDescent="0.25">
      <c r="A5902" t="e">
        <f>-LqgV3QDhdXys6Y4Wg_M</f>
        <v>#NAME?</v>
      </c>
      <c r="B5902">
        <v>393.75</v>
      </c>
      <c r="C5902">
        <v>20.478950000000001</v>
      </c>
      <c r="D5902">
        <v>68</v>
      </c>
      <c r="E5902">
        <v>0</v>
      </c>
      <c r="F5902">
        <v>0</v>
      </c>
      <c r="G5902">
        <v>8</v>
      </c>
      <c r="H5902" s="4">
        <v>1570557149277</v>
      </c>
      <c r="I5902">
        <v>526.6875</v>
      </c>
      <c r="J5902" s="9">
        <f t="shared" si="92"/>
        <v>43747.036449965271</v>
      </c>
      <c r="K5902" s="1"/>
    </row>
    <row r="5903" spans="1:11" x14ac:dyDescent="0.25">
      <c r="A5903" t="e">
        <f>-LqgV5PXSUfM7tZLw9iO</f>
        <v>#NAME?</v>
      </c>
      <c r="B5903">
        <v>393.75</v>
      </c>
      <c r="C5903">
        <v>20.531590000000001</v>
      </c>
      <c r="D5903">
        <v>68</v>
      </c>
      <c r="E5903">
        <v>0</v>
      </c>
      <c r="F5903">
        <v>0</v>
      </c>
      <c r="G5903">
        <v>6</v>
      </c>
      <c r="H5903" s="4">
        <v>1570557157657</v>
      </c>
      <c r="I5903">
        <v>526.6875</v>
      </c>
      <c r="J5903" s="9">
        <f t="shared" si="92"/>
        <v>43747.036546956013</v>
      </c>
      <c r="K5903" s="1"/>
    </row>
    <row r="5904" spans="1:11" x14ac:dyDescent="0.25">
      <c r="A5904" t="e">
        <f>-LqgV776ifNCRrim5_9w</f>
        <v>#NAME?</v>
      </c>
      <c r="B5904">
        <v>393.75</v>
      </c>
      <c r="C5904">
        <v>20.478950000000001</v>
      </c>
      <c r="D5904">
        <v>68</v>
      </c>
      <c r="E5904">
        <v>0</v>
      </c>
      <c r="F5904">
        <v>0</v>
      </c>
      <c r="G5904">
        <v>9</v>
      </c>
      <c r="H5904" s="4">
        <v>1570557164716</v>
      </c>
      <c r="I5904">
        <v>526.6875</v>
      </c>
      <c r="J5904" s="9">
        <f t="shared" si="92"/>
        <v>43747.036628657406</v>
      </c>
      <c r="K5904" s="1"/>
    </row>
    <row r="5905" spans="1:11" x14ac:dyDescent="0.25">
      <c r="A5905" t="e">
        <f>-LqgV8q5iTMfOYyfRVt3</f>
        <v>#NAME?</v>
      </c>
      <c r="B5905">
        <v>393.75</v>
      </c>
      <c r="C5905">
        <v>20.478950000000001</v>
      </c>
      <c r="D5905">
        <v>67</v>
      </c>
      <c r="E5905">
        <v>0</v>
      </c>
      <c r="F5905">
        <v>0</v>
      </c>
      <c r="G5905">
        <v>14</v>
      </c>
      <c r="H5905" s="4">
        <v>1570557171936</v>
      </c>
      <c r="I5905">
        <v>526.6875</v>
      </c>
      <c r="J5905" s="9">
        <f t="shared" si="92"/>
        <v>43747.036712222216</v>
      </c>
      <c r="K5905" s="1"/>
    </row>
    <row r="5906" spans="1:11" x14ac:dyDescent="0.25">
      <c r="A5906" t="e">
        <f>-LqgVAP4s3QLvHof9gMW</f>
        <v>#NAME?</v>
      </c>
      <c r="B5906">
        <v>412.5</v>
      </c>
      <c r="C5906">
        <v>20.531590000000001</v>
      </c>
      <c r="D5906">
        <v>68</v>
      </c>
      <c r="E5906">
        <v>0</v>
      </c>
      <c r="F5906">
        <v>0</v>
      </c>
      <c r="G5906">
        <v>5</v>
      </c>
      <c r="H5906" s="4">
        <v>1570557178118</v>
      </c>
      <c r="I5906">
        <v>532.125</v>
      </c>
      <c r="J5906" s="9">
        <f t="shared" si="92"/>
        <v>43747.036783773146</v>
      </c>
      <c r="K5906" s="1"/>
    </row>
    <row r="5907" spans="1:11" x14ac:dyDescent="0.25">
      <c r="A5907" t="e">
        <f>-LqgVC755jjKSvdkaNsH</f>
        <v>#NAME?</v>
      </c>
      <c r="B5907">
        <v>393.75</v>
      </c>
      <c r="C5907">
        <v>20.531590000000001</v>
      </c>
      <c r="D5907">
        <v>67</v>
      </c>
      <c r="E5907">
        <v>0</v>
      </c>
      <c r="F5907">
        <v>0</v>
      </c>
      <c r="G5907">
        <v>0</v>
      </c>
      <c r="H5907" s="4">
        <v>1570557185365</v>
      </c>
      <c r="I5907">
        <v>526.6875</v>
      </c>
      <c r="J5907" s="9">
        <f t="shared" si="92"/>
        <v>43747.036867650466</v>
      </c>
      <c r="K5907" s="1"/>
    </row>
    <row r="5908" spans="1:11" x14ac:dyDescent="0.25">
      <c r="A5908" t="e">
        <f>-LqgVDb5hA9VmqucP8ME</f>
        <v>#NAME?</v>
      </c>
      <c r="B5908">
        <v>393.75</v>
      </c>
      <c r="C5908">
        <v>20.531590000000001</v>
      </c>
      <c r="D5908">
        <v>67</v>
      </c>
      <c r="E5908">
        <v>0</v>
      </c>
      <c r="F5908">
        <v>0</v>
      </c>
      <c r="G5908">
        <v>6</v>
      </c>
      <c r="H5908" s="4">
        <v>1570557191485</v>
      </c>
      <c r="I5908">
        <v>526.6875</v>
      </c>
      <c r="J5908" s="9">
        <f t="shared" si="92"/>
        <v>43747.03693848379</v>
      </c>
      <c r="K5908" s="1"/>
    </row>
    <row r="5909" spans="1:11" x14ac:dyDescent="0.25">
      <c r="A5909" t="e">
        <f>-LqgVFA4rIeqy71nA5ew</f>
        <v>#NAME?</v>
      </c>
      <c r="B5909">
        <v>393.75</v>
      </c>
      <c r="C5909">
        <v>20.478950000000001</v>
      </c>
      <c r="D5909">
        <v>67</v>
      </c>
      <c r="E5909">
        <v>0</v>
      </c>
      <c r="F5909">
        <v>0</v>
      </c>
      <c r="G5909">
        <v>9</v>
      </c>
      <c r="H5909" s="4">
        <v>1570557197698</v>
      </c>
      <c r="I5909">
        <v>526.6875</v>
      </c>
      <c r="J5909" s="9">
        <f t="shared" si="92"/>
        <v>43747.03701039352</v>
      </c>
      <c r="K5909" s="1"/>
    </row>
    <row r="5910" spans="1:11" x14ac:dyDescent="0.25">
      <c r="A5910" t="e">
        <f>-LqgVGt43jpXTEMLg8Q7</f>
        <v>#NAME?</v>
      </c>
      <c r="B5910">
        <v>393.75</v>
      </c>
      <c r="C5910">
        <v>20.478950000000001</v>
      </c>
      <c r="D5910">
        <v>67</v>
      </c>
      <c r="E5910">
        <v>0</v>
      </c>
      <c r="F5910">
        <v>0</v>
      </c>
      <c r="G5910">
        <v>11</v>
      </c>
      <c r="H5910" s="4">
        <v>1570557204885</v>
      </c>
      <c r="I5910">
        <v>526.6875</v>
      </c>
      <c r="J5910" s="9">
        <f t="shared" si="92"/>
        <v>43747.037093576386</v>
      </c>
      <c r="K5910" s="1"/>
    </row>
    <row r="5911" spans="1:11" x14ac:dyDescent="0.25">
      <c r="A5911" t="e">
        <f>-LqgVIS_iA7u9x3QmhZa</f>
        <v>#NAME?</v>
      </c>
      <c r="B5911">
        <v>393.75</v>
      </c>
      <c r="C5911">
        <v>20.531590000000001</v>
      </c>
      <c r="D5911">
        <v>67</v>
      </c>
      <c r="E5911">
        <v>0</v>
      </c>
      <c r="F5911">
        <v>0</v>
      </c>
      <c r="G5911">
        <v>9</v>
      </c>
      <c r="H5911" s="4">
        <v>1570557211096</v>
      </c>
      <c r="I5911">
        <v>526.6875</v>
      </c>
      <c r="J5911" s="9">
        <f t="shared" si="92"/>
        <v>43747.037165462963</v>
      </c>
      <c r="K5911" s="1"/>
    </row>
    <row r="5912" spans="1:11" x14ac:dyDescent="0.25">
      <c r="A5912" t="e">
        <f>-LqgVK7j_gPWrktCQpyu</f>
        <v>#NAME?</v>
      </c>
      <c r="B5912">
        <v>393.75</v>
      </c>
      <c r="C5912">
        <v>20.531590000000001</v>
      </c>
      <c r="D5912">
        <v>67</v>
      </c>
      <c r="E5912">
        <v>0</v>
      </c>
      <c r="F5912">
        <v>0</v>
      </c>
      <c r="G5912">
        <v>3</v>
      </c>
      <c r="H5912" s="4">
        <v>1570557218307</v>
      </c>
      <c r="I5912">
        <v>526.6875</v>
      </c>
      <c r="J5912" s="9">
        <f t="shared" si="92"/>
        <v>43747.037248923611</v>
      </c>
      <c r="K5912" s="1"/>
    </row>
    <row r="5913" spans="1:11" x14ac:dyDescent="0.25">
      <c r="A5913" t="e">
        <f>-LqgVLe6pROXZHMaYH62</f>
        <v>#NAME?</v>
      </c>
      <c r="B5913">
        <v>393.75</v>
      </c>
      <c r="C5913">
        <v>20.478950000000001</v>
      </c>
      <c r="D5913">
        <v>66</v>
      </c>
      <c r="E5913">
        <v>0</v>
      </c>
      <c r="F5913">
        <v>0</v>
      </c>
      <c r="G5913">
        <v>1</v>
      </c>
      <c r="H5913" s="4">
        <v>1570557224491</v>
      </c>
      <c r="I5913">
        <v>526.6875</v>
      </c>
      <c r="J5913" s="9">
        <f t="shared" si="92"/>
        <v>43747.037320497686</v>
      </c>
      <c r="K5913" s="1"/>
    </row>
    <row r="5914" spans="1:11" x14ac:dyDescent="0.25">
      <c r="A5914" t="e">
        <f>-LqgVNUjAvGE2TRROaGN</f>
        <v>#NAME?</v>
      </c>
      <c r="B5914">
        <v>393.75</v>
      </c>
      <c r="C5914">
        <v>20.478950000000001</v>
      </c>
      <c r="D5914">
        <v>67</v>
      </c>
      <c r="E5914">
        <v>0</v>
      </c>
      <c r="F5914">
        <v>0</v>
      </c>
      <c r="G5914">
        <v>5</v>
      </c>
      <c r="H5914" s="4">
        <v>1570557230675</v>
      </c>
      <c r="I5914">
        <v>526.6875</v>
      </c>
      <c r="J5914" s="9">
        <f t="shared" si="92"/>
        <v>43747.037392071761</v>
      </c>
      <c r="K5914" s="1"/>
    </row>
    <row r="5915" spans="1:11" x14ac:dyDescent="0.25">
      <c r="A5915" t="e">
        <f>-LqgVPF7ZBLNhtvxsM2v</f>
        <v>#NAME?</v>
      </c>
      <c r="B5915">
        <v>412.5</v>
      </c>
      <c r="C5915">
        <v>20.478950000000001</v>
      </c>
      <c r="D5915">
        <v>68</v>
      </c>
      <c r="E5915">
        <v>0</v>
      </c>
      <c r="F5915">
        <v>0</v>
      </c>
      <c r="G5915">
        <v>3</v>
      </c>
      <c r="H5915" s="4">
        <v>1570557238916</v>
      </c>
      <c r="I5915">
        <v>532.3125</v>
      </c>
      <c r="J5915" s="9">
        <f t="shared" si="92"/>
        <v>43747.037487453701</v>
      </c>
      <c r="K5915" s="1"/>
    </row>
    <row r="5916" spans="1:11" x14ac:dyDescent="0.25">
      <c r="A5916" t="e">
        <f>-LqgVQy4Q_xbzaI0FB8H</f>
        <v>#NAME?</v>
      </c>
      <c r="B5916">
        <v>393.75</v>
      </c>
      <c r="C5916">
        <v>20.478950000000001</v>
      </c>
      <c r="D5916">
        <v>68</v>
      </c>
      <c r="E5916">
        <v>0</v>
      </c>
      <c r="F5916">
        <v>0</v>
      </c>
      <c r="G5916">
        <v>6</v>
      </c>
      <c r="H5916" s="4">
        <v>1570557246127</v>
      </c>
      <c r="I5916">
        <v>526.6875</v>
      </c>
      <c r="J5916" s="9">
        <f t="shared" si="92"/>
        <v>43747.037570914348</v>
      </c>
      <c r="K5916" s="1"/>
    </row>
    <row r="5917" spans="1:11" x14ac:dyDescent="0.25">
      <c r="A5917" t="e">
        <f>-LqgVSS6bsFEqan20xpx</f>
        <v>#NAME?</v>
      </c>
      <c r="B5917">
        <v>393.75</v>
      </c>
      <c r="C5917">
        <v>20.531590000000001</v>
      </c>
      <c r="D5917">
        <v>67</v>
      </c>
      <c r="E5917">
        <v>0</v>
      </c>
      <c r="F5917">
        <v>0</v>
      </c>
      <c r="G5917">
        <v>2</v>
      </c>
      <c r="H5917" s="4">
        <v>1570557252316</v>
      </c>
      <c r="I5917">
        <v>526.6875</v>
      </c>
      <c r="J5917" s="9">
        <f t="shared" si="92"/>
        <v>43747.037642546296</v>
      </c>
      <c r="K5917" s="1"/>
    </row>
    <row r="5918" spans="1:11" x14ac:dyDescent="0.25">
      <c r="A5918" t="e">
        <f>-LqgVU06wamP1xHl7CPI</f>
        <v>#NAME?</v>
      </c>
      <c r="B5918">
        <v>412.5</v>
      </c>
      <c r="C5918">
        <v>20.478950000000001</v>
      </c>
      <c r="D5918">
        <v>66</v>
      </c>
      <c r="E5918">
        <v>0</v>
      </c>
      <c r="F5918">
        <v>0</v>
      </c>
      <c r="G5918">
        <v>0</v>
      </c>
      <c r="H5918" s="4">
        <v>1570557258495</v>
      </c>
      <c r="I5918">
        <v>532.3125</v>
      </c>
      <c r="J5918" s="9">
        <f t="shared" si="92"/>
        <v>43747.037714062499</v>
      </c>
      <c r="K5918" s="1"/>
    </row>
    <row r="5919" spans="1:11" x14ac:dyDescent="0.25">
      <c r="A5919" t="e">
        <f>-LqgVVj734MPBlVyKped</f>
        <v>#NAME?</v>
      </c>
      <c r="B5919">
        <v>393.75</v>
      </c>
      <c r="C5919">
        <v>20.478950000000001</v>
      </c>
      <c r="D5919">
        <v>65</v>
      </c>
      <c r="E5919">
        <v>0</v>
      </c>
      <c r="F5919">
        <v>0</v>
      </c>
      <c r="G5919">
        <v>3</v>
      </c>
      <c r="H5919" s="4">
        <v>1570557265687</v>
      </c>
      <c r="I5919">
        <v>526.6875</v>
      </c>
      <c r="J5919" s="9">
        <f t="shared" si="92"/>
        <v>43747.037797303237</v>
      </c>
      <c r="K5919" s="1"/>
    </row>
    <row r="5920" spans="1:11" x14ac:dyDescent="0.25">
      <c r="A5920" t="e">
        <f>-LqgVXJLCVaoQRUgIpr2</f>
        <v>#NAME?</v>
      </c>
      <c r="B5920">
        <v>393.75</v>
      </c>
      <c r="C5920">
        <v>20.531590000000001</v>
      </c>
      <c r="D5920">
        <v>65</v>
      </c>
      <c r="E5920">
        <v>0</v>
      </c>
      <c r="F5920">
        <v>0</v>
      </c>
      <c r="G5920">
        <v>7</v>
      </c>
      <c r="H5920" s="4">
        <v>1570557271886</v>
      </c>
      <c r="I5920">
        <v>526.6875</v>
      </c>
      <c r="J5920" s="9">
        <f t="shared" si="92"/>
        <v>43747.037869050924</v>
      </c>
      <c r="K5920" s="1"/>
    </row>
    <row r="5921" spans="1:11" x14ac:dyDescent="0.25">
      <c r="A5921" t="e">
        <f>-LqgVZ05jYRonUC4cETG</f>
        <v>#NAME?</v>
      </c>
      <c r="B5921">
        <v>418.75</v>
      </c>
      <c r="C5921">
        <v>20.478950000000001</v>
      </c>
      <c r="D5921">
        <v>65</v>
      </c>
      <c r="E5921">
        <v>0</v>
      </c>
      <c r="F5921">
        <v>0</v>
      </c>
      <c r="G5921">
        <v>11</v>
      </c>
      <c r="H5921" s="4">
        <v>1570557279107</v>
      </c>
      <c r="I5921">
        <v>534.375</v>
      </c>
      <c r="J5921" s="9">
        <f t="shared" si="92"/>
        <v>43747.03795262731</v>
      </c>
      <c r="K5921" s="1"/>
    </row>
    <row r="5922" spans="1:11" x14ac:dyDescent="0.25">
      <c r="A5922" t="e">
        <f>-LqgV_V7YGE2hu01HTv4</f>
        <v>#NAME?</v>
      </c>
      <c r="B5922">
        <v>393.75</v>
      </c>
      <c r="C5922">
        <v>20.478950000000001</v>
      </c>
      <c r="D5922">
        <v>64</v>
      </c>
      <c r="E5922">
        <v>0</v>
      </c>
      <c r="F5922">
        <v>0</v>
      </c>
      <c r="G5922">
        <v>1</v>
      </c>
      <c r="H5922" s="4">
        <v>1570557285287</v>
      </c>
      <c r="I5922">
        <v>526.6875</v>
      </c>
      <c r="J5922" s="9">
        <f t="shared" si="92"/>
        <v>43747.038024155088</v>
      </c>
      <c r="K5922" s="1"/>
    </row>
    <row r="5923" spans="1:11" x14ac:dyDescent="0.25">
      <c r="A5923" t="e">
        <f>-LqgVb35Us0o1JDq-rZc</f>
        <v>#NAME?</v>
      </c>
      <c r="B5923">
        <v>393.75</v>
      </c>
      <c r="C5923">
        <v>20.478950000000001</v>
      </c>
      <c r="D5923">
        <v>63</v>
      </c>
      <c r="E5923">
        <v>0</v>
      </c>
      <c r="F5923">
        <v>0</v>
      </c>
      <c r="G5923">
        <v>0</v>
      </c>
      <c r="H5923" s="4">
        <v>1570557291465</v>
      </c>
      <c r="I5923">
        <v>526.6875</v>
      </c>
      <c r="J5923" s="9">
        <f t="shared" si="92"/>
        <v>43747.038095659715</v>
      </c>
      <c r="K5923" s="1"/>
    </row>
    <row r="5924" spans="1:11" x14ac:dyDescent="0.25">
      <c r="A5924" t="e">
        <f>-LqgVcY5CJVs0kVL9TmF</f>
        <v>#NAME?</v>
      </c>
      <c r="B5924">
        <v>393.75</v>
      </c>
      <c r="C5924">
        <v>20.478950000000001</v>
      </c>
      <c r="D5924">
        <v>63</v>
      </c>
      <c r="E5924">
        <v>0</v>
      </c>
      <c r="F5924">
        <v>0</v>
      </c>
      <c r="G5924">
        <v>13</v>
      </c>
      <c r="H5924" s="4">
        <v>1570557297647</v>
      </c>
      <c r="I5924">
        <v>526.6875</v>
      </c>
      <c r="J5924" s="9">
        <f t="shared" si="92"/>
        <v>43747.038167210645</v>
      </c>
      <c r="K5924" s="1"/>
    </row>
    <row r="5925" spans="1:11" x14ac:dyDescent="0.25">
      <c r="A5925" t="e">
        <f>-LqgVe15MKRY-BKgeHKj</f>
        <v>#NAME?</v>
      </c>
      <c r="B5925">
        <v>412.5</v>
      </c>
      <c r="C5925">
        <v>20.478950000000001</v>
      </c>
      <c r="D5925">
        <v>63</v>
      </c>
      <c r="E5925">
        <v>0</v>
      </c>
      <c r="F5925">
        <v>0</v>
      </c>
      <c r="G5925">
        <v>3</v>
      </c>
      <c r="H5925" s="4">
        <v>1570557303837</v>
      </c>
      <c r="I5925">
        <v>532.125</v>
      </c>
      <c r="J5925" s="9">
        <f t="shared" si="92"/>
        <v>43747.038238854169</v>
      </c>
      <c r="K5925" s="1"/>
    </row>
    <row r="5926" spans="1:11" x14ac:dyDescent="0.25">
      <c r="A5926" t="e">
        <f>-LqgVfbKVY2y2k3gVhb8</f>
        <v>#NAME?</v>
      </c>
      <c r="B5926">
        <v>393.75</v>
      </c>
      <c r="C5926">
        <v>20.478950000000001</v>
      </c>
      <c r="D5926">
        <v>64</v>
      </c>
      <c r="E5926">
        <v>0</v>
      </c>
      <c r="F5926">
        <v>0</v>
      </c>
      <c r="G5926">
        <v>16</v>
      </c>
      <c r="H5926" s="4">
        <v>1570557310016</v>
      </c>
      <c r="I5926">
        <v>526.6875</v>
      </c>
      <c r="J5926" s="9">
        <f t="shared" si="92"/>
        <v>43747.038310370372</v>
      </c>
      <c r="K5926" s="1"/>
    </row>
    <row r="5927" spans="1:11" x14ac:dyDescent="0.25">
      <c r="A5927" t="s">
        <v>316</v>
      </c>
      <c r="B5927">
        <v>393.75</v>
      </c>
      <c r="C5927">
        <v>20.478950000000001</v>
      </c>
      <c r="D5927">
        <v>64</v>
      </c>
      <c r="E5927">
        <v>0</v>
      </c>
      <c r="F5927">
        <v>0</v>
      </c>
      <c r="G5927">
        <v>4</v>
      </c>
      <c r="H5927" s="4">
        <v>1570557320390</v>
      </c>
      <c r="I5927">
        <v>526.5</v>
      </c>
      <c r="J5927" s="9">
        <f t="shared" si="92"/>
        <v>43747.03843043981</v>
      </c>
      <c r="K5927" s="1"/>
    </row>
    <row r="5928" spans="1:11" x14ac:dyDescent="0.25">
      <c r="A5928" t="e">
        <f>-LqgVj_55CBFzghHj7g0</f>
        <v>#NAME?</v>
      </c>
      <c r="B5928">
        <v>393.75</v>
      </c>
      <c r="C5928">
        <v>20.478950000000001</v>
      </c>
      <c r="D5928">
        <v>64</v>
      </c>
      <c r="E5928">
        <v>0</v>
      </c>
      <c r="F5928">
        <v>0</v>
      </c>
      <c r="G5928">
        <v>3</v>
      </c>
      <c r="H5928" s="4">
        <v>1570557326487</v>
      </c>
      <c r="I5928">
        <v>526.6875</v>
      </c>
      <c r="J5928" s="9">
        <f t="shared" si="92"/>
        <v>43747.038501006937</v>
      </c>
      <c r="K5928" s="1"/>
    </row>
    <row r="5929" spans="1:11" x14ac:dyDescent="0.25">
      <c r="A5929" t="e">
        <f>-LqgVl85w-QHPxVcNQZS</f>
        <v>#NAME?</v>
      </c>
      <c r="B5929">
        <v>393.75</v>
      </c>
      <c r="C5929">
        <v>20.478950000000001</v>
      </c>
      <c r="D5929">
        <v>64</v>
      </c>
      <c r="E5929">
        <v>0</v>
      </c>
      <c r="F5929">
        <v>0</v>
      </c>
      <c r="G5929">
        <v>0</v>
      </c>
      <c r="H5929" s="4">
        <v>1570557332686</v>
      </c>
      <c r="I5929">
        <v>526.6875</v>
      </c>
      <c r="J5929" s="9">
        <f t="shared" si="92"/>
        <v>43747.038572754631</v>
      </c>
      <c r="K5929" s="1"/>
    </row>
    <row r="5930" spans="1:11" x14ac:dyDescent="0.25">
      <c r="A5930" t="s">
        <v>317</v>
      </c>
      <c r="B5930">
        <v>393.75</v>
      </c>
      <c r="C5930">
        <v>20.478950000000001</v>
      </c>
      <c r="D5930">
        <v>64</v>
      </c>
      <c r="E5930">
        <v>0</v>
      </c>
      <c r="F5930">
        <v>0</v>
      </c>
      <c r="G5930">
        <v>3</v>
      </c>
      <c r="H5930" s="4">
        <v>1570557339905</v>
      </c>
      <c r="I5930">
        <v>526.6875</v>
      </c>
      <c r="J5930" s="9">
        <f t="shared" si="92"/>
        <v>43747.038656307872</v>
      </c>
      <c r="K5930" s="1"/>
    </row>
    <row r="5931" spans="1:11" x14ac:dyDescent="0.25">
      <c r="A5931" t="e">
        <f>-LqgVoL4_XubgLXPU4TK</f>
        <v>#NAME?</v>
      </c>
      <c r="B5931">
        <v>393.75</v>
      </c>
      <c r="C5931">
        <v>20.531590000000001</v>
      </c>
      <c r="D5931">
        <v>64</v>
      </c>
      <c r="E5931">
        <v>0</v>
      </c>
      <c r="F5931">
        <v>0</v>
      </c>
      <c r="G5931">
        <v>7</v>
      </c>
      <c r="H5931" s="4">
        <v>1570557346085</v>
      </c>
      <c r="I5931">
        <v>526.6875</v>
      </c>
      <c r="J5931" s="9">
        <f t="shared" si="92"/>
        <v>43747.038727835643</v>
      </c>
      <c r="K5931" s="1"/>
    </row>
    <row r="5932" spans="1:11" x14ac:dyDescent="0.25">
      <c r="A5932" t="e">
        <f>-LqgVpt-BEOB9P8P4yzC</f>
        <v>#NAME?</v>
      </c>
      <c r="B5932">
        <v>393.75</v>
      </c>
      <c r="C5932">
        <v>20.478950000000001</v>
      </c>
      <c r="D5932">
        <v>64</v>
      </c>
      <c r="E5932">
        <v>0</v>
      </c>
      <c r="F5932">
        <v>0</v>
      </c>
      <c r="G5932">
        <v>10</v>
      </c>
      <c r="H5932" s="4">
        <v>1570557352265</v>
      </c>
      <c r="I5932">
        <v>526.6875</v>
      </c>
      <c r="J5932" s="9">
        <f t="shared" si="92"/>
        <v>43747.038799363429</v>
      </c>
      <c r="K5932" s="1"/>
    </row>
    <row r="5933" spans="1:11" x14ac:dyDescent="0.25">
      <c r="A5933" t="e">
        <f>-LqgVrO3SiA10c74iizL</f>
        <v>#NAME?</v>
      </c>
      <c r="B5933">
        <v>393.75</v>
      </c>
      <c r="C5933">
        <v>20.478950000000001</v>
      </c>
      <c r="D5933">
        <v>64</v>
      </c>
      <c r="E5933">
        <v>0</v>
      </c>
      <c r="F5933">
        <v>0</v>
      </c>
      <c r="G5933">
        <v>7</v>
      </c>
      <c r="H5933" s="4">
        <v>1570557358436</v>
      </c>
      <c r="I5933">
        <v>526.6875</v>
      </c>
      <c r="J5933" s="9">
        <f t="shared" si="92"/>
        <v>43747.038870787037</v>
      </c>
      <c r="K5933" s="1"/>
    </row>
    <row r="5934" spans="1:11" x14ac:dyDescent="0.25">
      <c r="A5934" t="e">
        <f>-LqgVss5icJaes9DDX1P</f>
        <v>#NAME?</v>
      </c>
      <c r="B5934">
        <v>393.75</v>
      </c>
      <c r="C5934">
        <v>20.478950000000001</v>
      </c>
      <c r="D5934">
        <v>64</v>
      </c>
      <c r="E5934">
        <v>0</v>
      </c>
      <c r="F5934">
        <v>0</v>
      </c>
      <c r="G5934">
        <v>2</v>
      </c>
      <c r="H5934" s="4">
        <v>1570557364635</v>
      </c>
      <c r="I5934">
        <v>526.6875</v>
      </c>
      <c r="J5934" s="9">
        <f t="shared" si="92"/>
        <v>43747.038942534717</v>
      </c>
      <c r="K5934" s="1"/>
    </row>
    <row r="5935" spans="1:11" x14ac:dyDescent="0.25">
      <c r="A5935" t="e">
        <f>-LqgVuR3NtXazzO4rlf1</f>
        <v>#NAME?</v>
      </c>
      <c r="B5935">
        <v>393.75</v>
      </c>
      <c r="C5935">
        <v>20.531590000000001</v>
      </c>
      <c r="D5935">
        <v>65</v>
      </c>
      <c r="E5935">
        <v>0</v>
      </c>
      <c r="F5935">
        <v>0</v>
      </c>
      <c r="G5935">
        <v>2</v>
      </c>
      <c r="H5935" s="4">
        <v>1570557370816</v>
      </c>
      <c r="I5935">
        <v>526.6875</v>
      </c>
      <c r="J5935" s="9">
        <f t="shared" si="92"/>
        <v>43747.039014074071</v>
      </c>
      <c r="K5935" s="1"/>
    </row>
    <row r="5936" spans="1:11" x14ac:dyDescent="0.25">
      <c r="A5936" t="e">
        <f>-LqgVvtyy93iAHx_L3zp</f>
        <v>#NAME?</v>
      </c>
      <c r="B5936">
        <v>393.75</v>
      </c>
      <c r="C5936">
        <v>20.531590000000001</v>
      </c>
      <c r="D5936">
        <v>65</v>
      </c>
      <c r="E5936">
        <v>0</v>
      </c>
      <c r="F5936">
        <v>0</v>
      </c>
      <c r="G5936">
        <v>3</v>
      </c>
      <c r="H5936" s="4">
        <v>1570557376996</v>
      </c>
      <c r="I5936">
        <v>526.6875</v>
      </c>
      <c r="J5936" s="9">
        <f t="shared" si="92"/>
        <v>43747.039085601849</v>
      </c>
      <c r="K5936" s="1"/>
    </row>
    <row r="5937" spans="1:11" x14ac:dyDescent="0.25">
      <c r="A5937" t="e">
        <f>-LqgVxNzi5FqVRYJ7adK</f>
        <v>#NAME?</v>
      </c>
      <c r="B5937">
        <v>393.75</v>
      </c>
      <c r="C5937">
        <v>20.478950000000001</v>
      </c>
      <c r="D5937">
        <v>64</v>
      </c>
      <c r="E5937">
        <v>0</v>
      </c>
      <c r="F5937">
        <v>0</v>
      </c>
      <c r="G5937">
        <v>17</v>
      </c>
      <c r="H5937" s="4">
        <v>1570557383197</v>
      </c>
      <c r="I5937">
        <v>526.5</v>
      </c>
      <c r="J5937" s="9">
        <f t="shared" si="92"/>
        <v>43747.039157372681</v>
      </c>
      <c r="K5937" s="1"/>
    </row>
    <row r="5938" spans="1:11" x14ac:dyDescent="0.25">
      <c r="A5938" t="e">
        <f>-LqgVyy4nJ0oCW7mRPAY</f>
        <v>#NAME?</v>
      </c>
      <c r="B5938">
        <v>412.5</v>
      </c>
      <c r="C5938">
        <v>20.531590000000001</v>
      </c>
      <c r="D5938">
        <v>64</v>
      </c>
      <c r="E5938">
        <v>0</v>
      </c>
      <c r="F5938">
        <v>0</v>
      </c>
      <c r="G5938">
        <v>8</v>
      </c>
      <c r="H5938" s="4">
        <v>1570557389366</v>
      </c>
      <c r="I5938">
        <v>532.125</v>
      </c>
      <c r="J5938" s="9">
        <f t="shared" si="92"/>
        <v>43747.039228773145</v>
      </c>
      <c r="K5938" s="1"/>
    </row>
    <row r="5939" spans="1:11" x14ac:dyDescent="0.25">
      <c r="A5939" t="e">
        <f>-LqgW-hVw1ek-ND3YIpX</f>
        <v>#NAME?</v>
      </c>
      <c r="B5939">
        <v>393.75</v>
      </c>
      <c r="C5939">
        <v>20.478950000000001</v>
      </c>
      <c r="D5939">
        <v>69</v>
      </c>
      <c r="E5939">
        <v>0</v>
      </c>
      <c r="F5939">
        <v>0</v>
      </c>
      <c r="G5939">
        <v>12</v>
      </c>
      <c r="H5939" s="4">
        <v>1570557396566</v>
      </c>
      <c r="I5939">
        <v>526.5</v>
      </c>
      <c r="J5939" s="9">
        <f t="shared" si="92"/>
        <v>43747.039312106477</v>
      </c>
      <c r="K5939" s="1"/>
    </row>
    <row r="5940" spans="1:11" x14ac:dyDescent="0.25">
      <c r="A5940" t="e">
        <f>-LqgW1F56OIMiKWyjfvF</f>
        <v>#NAME?</v>
      </c>
      <c r="B5940">
        <v>393.75</v>
      </c>
      <c r="C5940">
        <v>20.478950000000001</v>
      </c>
      <c r="D5940">
        <v>69</v>
      </c>
      <c r="E5940">
        <v>0</v>
      </c>
      <c r="F5940">
        <v>0</v>
      </c>
      <c r="G5940">
        <v>13</v>
      </c>
      <c r="H5940" s="4">
        <v>1570557402756</v>
      </c>
      <c r="I5940">
        <v>526.5</v>
      </c>
      <c r="J5940" s="9">
        <f t="shared" si="92"/>
        <v>43747.039383749994</v>
      </c>
      <c r="K5940" s="1"/>
    </row>
    <row r="5941" spans="1:11" x14ac:dyDescent="0.25">
      <c r="A5941" t="e">
        <f>-LqgW36Ilq9g8xuCMikr</f>
        <v>#NAME?</v>
      </c>
      <c r="B5941">
        <v>412.5</v>
      </c>
      <c r="C5941">
        <v>20.531590000000001</v>
      </c>
      <c r="D5941">
        <v>60</v>
      </c>
      <c r="E5941">
        <v>0</v>
      </c>
      <c r="F5941">
        <v>0</v>
      </c>
      <c r="G5941">
        <v>10</v>
      </c>
      <c r="H5941" s="4">
        <v>1570557409984</v>
      </c>
      <c r="I5941">
        <v>532.3125</v>
      </c>
      <c r="J5941" s="9">
        <f t="shared" si="92"/>
        <v>43747.039467407405</v>
      </c>
      <c r="K5941" s="1"/>
    </row>
    <row r="5942" spans="1:11" x14ac:dyDescent="0.25">
      <c r="A5942" t="e">
        <f>-LqgW4mVhLbEYPLnYP82</f>
        <v>#NAME?</v>
      </c>
      <c r="B5942">
        <v>393.75</v>
      </c>
      <c r="C5942">
        <v>20.531590000000001</v>
      </c>
      <c r="D5942">
        <v>61</v>
      </c>
      <c r="E5942">
        <v>0</v>
      </c>
      <c r="F5942">
        <v>0</v>
      </c>
      <c r="G5942">
        <v>5</v>
      </c>
      <c r="H5942" s="4">
        <v>1570557417185</v>
      </c>
      <c r="I5942">
        <v>526.6875</v>
      </c>
      <c r="J5942" s="9">
        <f t="shared" si="92"/>
        <v>43747.039550752314</v>
      </c>
      <c r="K5942" s="1"/>
    </row>
    <row r="5943" spans="1:11" x14ac:dyDescent="0.25">
      <c r="A5943" t="e">
        <f>-LqgW6U4aXVQa3X0VCi1</f>
        <v>#NAME?</v>
      </c>
      <c r="B5943">
        <v>393.75</v>
      </c>
      <c r="C5943">
        <v>20.478950000000001</v>
      </c>
      <c r="D5943">
        <v>63</v>
      </c>
      <c r="E5943">
        <v>0</v>
      </c>
      <c r="F5943">
        <v>0</v>
      </c>
      <c r="G5943">
        <v>1</v>
      </c>
      <c r="H5943" s="4">
        <v>1570557424407</v>
      </c>
      <c r="I5943">
        <v>526.5</v>
      </c>
      <c r="J5943" s="9">
        <f t="shared" si="92"/>
        <v>43747.039634340275</v>
      </c>
      <c r="K5943" s="1"/>
    </row>
    <row r="5944" spans="1:11" x14ac:dyDescent="0.25">
      <c r="A5944" t="e">
        <f>-LqgW80yK60PgYnA_QAJ</f>
        <v>#NAME?</v>
      </c>
      <c r="B5944">
        <v>393.75</v>
      </c>
      <c r="C5944">
        <v>20.531590000000001</v>
      </c>
      <c r="D5944">
        <v>63</v>
      </c>
      <c r="E5944">
        <v>0</v>
      </c>
      <c r="F5944">
        <v>0</v>
      </c>
      <c r="G5944">
        <v>3</v>
      </c>
      <c r="H5944" s="4">
        <v>1570557430585</v>
      </c>
      <c r="I5944">
        <v>526.6875</v>
      </c>
      <c r="J5944" s="9">
        <f t="shared" si="92"/>
        <v>43747.039705844909</v>
      </c>
      <c r="K5944" s="1"/>
    </row>
    <row r="5945" spans="1:11" x14ac:dyDescent="0.25">
      <c r="A5945" t="e">
        <f>-LqgW9jyHeMaKgUlkKm6</f>
        <v>#NAME?</v>
      </c>
      <c r="B5945">
        <v>393.75</v>
      </c>
      <c r="C5945">
        <v>20.531590000000001</v>
      </c>
      <c r="D5945">
        <v>64</v>
      </c>
      <c r="E5945">
        <v>0</v>
      </c>
      <c r="F5945">
        <v>0</v>
      </c>
      <c r="G5945">
        <v>0</v>
      </c>
      <c r="H5945" s="4">
        <v>1570557437794</v>
      </c>
      <c r="I5945">
        <v>526.5</v>
      </c>
      <c r="J5945" s="9">
        <f t="shared" si="92"/>
        <v>43747.039789282404</v>
      </c>
      <c r="K5945" s="1"/>
    </row>
    <row r="5946" spans="1:11" x14ac:dyDescent="0.25">
      <c r="A5946" t="e">
        <f>-LqgWBZ6R0TXdJymIFxC</f>
        <v>#NAME?</v>
      </c>
      <c r="B5946">
        <v>418.75</v>
      </c>
      <c r="C5946">
        <v>20.478950000000001</v>
      </c>
      <c r="D5946">
        <v>64</v>
      </c>
      <c r="E5946">
        <v>0</v>
      </c>
      <c r="F5946">
        <v>0</v>
      </c>
      <c r="G5946">
        <v>4</v>
      </c>
      <c r="H5946" s="4">
        <v>1570557445016</v>
      </c>
      <c r="I5946">
        <v>534.5625</v>
      </c>
      <c r="J5946" s="9">
        <f t="shared" si="92"/>
        <v>43747.039872870366</v>
      </c>
      <c r="K5946" s="1"/>
    </row>
    <row r="5947" spans="1:11" x14ac:dyDescent="0.25">
      <c r="A5947" t="e">
        <f>-LqgWDH66zMVhfVVhfLj</f>
        <v>#NAME?</v>
      </c>
      <c r="B5947">
        <v>393.75</v>
      </c>
      <c r="C5947">
        <v>20.531590000000001</v>
      </c>
      <c r="D5947">
        <v>65</v>
      </c>
      <c r="E5947">
        <v>0</v>
      </c>
      <c r="F5947">
        <v>0</v>
      </c>
      <c r="G5947">
        <v>3</v>
      </c>
      <c r="H5947" s="4">
        <v>1570557452245</v>
      </c>
      <c r="I5947">
        <v>526.6875</v>
      </c>
      <c r="J5947" s="9">
        <f t="shared" si="92"/>
        <v>43747.039956539353</v>
      </c>
      <c r="K5947" s="1"/>
    </row>
    <row r="5948" spans="1:11" x14ac:dyDescent="0.25">
      <c r="A5948" t="e">
        <f>-LqgWEl3ty8xUq-e4S1O</f>
        <v>#NAME?</v>
      </c>
      <c r="B5948">
        <v>393.75</v>
      </c>
      <c r="C5948">
        <v>20.478950000000001</v>
      </c>
      <c r="D5948">
        <v>65</v>
      </c>
      <c r="E5948">
        <v>0</v>
      </c>
      <c r="F5948">
        <v>0</v>
      </c>
      <c r="G5948">
        <v>0</v>
      </c>
      <c r="H5948" s="4">
        <v>1570557458405</v>
      </c>
      <c r="I5948">
        <v>526.5</v>
      </c>
      <c r="J5948" s="9">
        <f t="shared" si="92"/>
        <v>43747.040027835646</v>
      </c>
      <c r="K5948" s="1"/>
    </row>
    <row r="5949" spans="1:11" x14ac:dyDescent="0.25">
      <c r="A5949" t="e">
        <f>-LqgWGK5Yvplsn9n02uO</f>
        <v>#NAME?</v>
      </c>
      <c r="B5949">
        <v>412.5</v>
      </c>
      <c r="C5949">
        <v>20.478950000000001</v>
      </c>
      <c r="D5949">
        <v>65</v>
      </c>
      <c r="E5949">
        <v>0</v>
      </c>
      <c r="F5949">
        <v>0</v>
      </c>
      <c r="G5949">
        <v>6</v>
      </c>
      <c r="H5949" s="4">
        <v>1570557464597</v>
      </c>
      <c r="I5949">
        <v>532.3125</v>
      </c>
      <c r="J5949" s="9">
        <f t="shared" si="92"/>
        <v>43747.040099502316</v>
      </c>
      <c r="K5949" s="1"/>
    </row>
    <row r="5950" spans="1:11" x14ac:dyDescent="0.25">
      <c r="A5950" t="e">
        <f>-LqgWHo3tSnbakAjXUOu</f>
        <v>#NAME?</v>
      </c>
      <c r="B5950">
        <v>393.75</v>
      </c>
      <c r="C5950">
        <v>20.478950000000001</v>
      </c>
      <c r="D5950">
        <v>65</v>
      </c>
      <c r="E5950">
        <v>0</v>
      </c>
      <c r="F5950">
        <v>0</v>
      </c>
      <c r="G5950">
        <v>8</v>
      </c>
      <c r="H5950" s="4">
        <v>1570557470755</v>
      </c>
      <c r="I5950">
        <v>526.6875</v>
      </c>
      <c r="J5950" s="9">
        <f t="shared" si="92"/>
        <v>43747.040170775457</v>
      </c>
      <c r="K5950" s="1"/>
    </row>
    <row r="5951" spans="1:11" x14ac:dyDescent="0.25">
      <c r="A5951" t="e">
        <f>-LqgWJIB68ZBBLJy4tbc</f>
        <v>#NAME?</v>
      </c>
      <c r="B5951">
        <v>393.75</v>
      </c>
      <c r="C5951">
        <v>20.584240000000001</v>
      </c>
      <c r="D5951">
        <v>65</v>
      </c>
      <c r="E5951">
        <v>0</v>
      </c>
      <c r="F5951">
        <v>0</v>
      </c>
      <c r="G5951">
        <v>7</v>
      </c>
      <c r="H5951" s="4">
        <v>1570557476955</v>
      </c>
      <c r="I5951">
        <v>526.6875</v>
      </c>
      <c r="J5951" s="9">
        <f t="shared" si="92"/>
        <v>43747.04024253472</v>
      </c>
      <c r="K5951" s="1"/>
    </row>
    <row r="5952" spans="1:11" x14ac:dyDescent="0.25">
      <c r="A5952" t="e">
        <f>-LqgWKrEMJaeRMz1jTkz</f>
        <v>#NAME?</v>
      </c>
      <c r="B5952">
        <v>393.75</v>
      </c>
      <c r="C5952">
        <v>20.531590000000001</v>
      </c>
      <c r="D5952">
        <v>65</v>
      </c>
      <c r="E5952">
        <v>0</v>
      </c>
      <c r="F5952">
        <v>0</v>
      </c>
      <c r="G5952">
        <v>10</v>
      </c>
      <c r="H5952" s="4">
        <v>1570557483135</v>
      </c>
      <c r="I5952">
        <v>526.5</v>
      </c>
      <c r="J5952" s="9">
        <f t="shared" si="92"/>
        <v>43747.040314062499</v>
      </c>
      <c r="K5952" s="1"/>
    </row>
    <row r="5953" spans="1:11" x14ac:dyDescent="0.25">
      <c r="A5953" t="e">
        <f>-LqgWM_5pGHc2xS3-u-3</f>
        <v>#NAME?</v>
      </c>
      <c r="B5953">
        <v>412.5</v>
      </c>
      <c r="C5953">
        <v>20.478950000000001</v>
      </c>
      <c r="D5953">
        <v>65</v>
      </c>
      <c r="E5953">
        <v>0</v>
      </c>
      <c r="F5953">
        <v>0</v>
      </c>
      <c r="G5953">
        <v>3</v>
      </c>
      <c r="H5953" s="4">
        <v>1570557490326</v>
      </c>
      <c r="I5953">
        <v>532.5</v>
      </c>
      <c r="J5953" s="9">
        <f t="shared" si="92"/>
        <v>43747.040397291661</v>
      </c>
      <c r="K5953" s="1"/>
    </row>
    <row r="5954" spans="1:11" x14ac:dyDescent="0.25">
      <c r="A5954" t="e">
        <f>-LqgWON5XptTKgGKwXCa</f>
        <v>#NAME?</v>
      </c>
      <c r="B5954">
        <v>393.75</v>
      </c>
      <c r="C5954">
        <v>20.478950000000001</v>
      </c>
      <c r="D5954">
        <v>66</v>
      </c>
      <c r="E5954">
        <v>0</v>
      </c>
      <c r="F5954">
        <v>0</v>
      </c>
      <c r="G5954">
        <v>0</v>
      </c>
      <c r="H5954" s="4">
        <v>1570557496537</v>
      </c>
      <c r="I5954">
        <v>526.6875</v>
      </c>
      <c r="J5954" s="9">
        <f t="shared" si="92"/>
        <v>43747.040469178239</v>
      </c>
      <c r="K5954" s="1"/>
    </row>
    <row r="5955" spans="1:11" x14ac:dyDescent="0.25">
      <c r="A5955" t="e">
        <f>-LqgWPr5FPHMgM7tTGZc</f>
        <v>#NAME?</v>
      </c>
      <c r="B5955">
        <v>393.75</v>
      </c>
      <c r="C5955">
        <v>20.478950000000001</v>
      </c>
      <c r="D5955">
        <v>66</v>
      </c>
      <c r="E5955">
        <v>0</v>
      </c>
      <c r="F5955">
        <v>0</v>
      </c>
      <c r="G5955">
        <v>0</v>
      </c>
      <c r="H5955" s="4">
        <v>1570557503766</v>
      </c>
      <c r="I5955">
        <v>526.6875</v>
      </c>
      <c r="J5955" s="9">
        <f t="shared" ref="J5955:J6018" si="93">(H5955/86400000)+25569+(7/24)</f>
        <v>43747.040552847218</v>
      </c>
      <c r="K5955" s="1"/>
    </row>
    <row r="5956" spans="1:11" x14ac:dyDescent="0.25">
      <c r="A5956" t="e">
        <f>-LqgWRV4g_CpJdQP8irR</f>
        <v>#NAME?</v>
      </c>
      <c r="B5956">
        <v>393.75</v>
      </c>
      <c r="C5956">
        <v>20.478950000000001</v>
      </c>
      <c r="D5956">
        <v>67</v>
      </c>
      <c r="E5956">
        <v>0</v>
      </c>
      <c r="F5956">
        <v>0</v>
      </c>
      <c r="G5956">
        <v>1</v>
      </c>
      <c r="H5956" s="4">
        <v>1570557509937</v>
      </c>
      <c r="I5956">
        <v>526.6875</v>
      </c>
      <c r="J5956" s="9">
        <f t="shared" si="93"/>
        <v>43747.040624270834</v>
      </c>
      <c r="K5956" s="1"/>
    </row>
    <row r="5957" spans="1:11" x14ac:dyDescent="0.25">
      <c r="A5957" t="e">
        <f>-LqgWT871oW9phWSLPer</f>
        <v>#NAME?</v>
      </c>
      <c r="B5957">
        <v>393.75</v>
      </c>
      <c r="C5957">
        <v>20.531590000000001</v>
      </c>
      <c r="D5957">
        <v>67</v>
      </c>
      <c r="E5957">
        <v>0</v>
      </c>
      <c r="F5957">
        <v>0</v>
      </c>
      <c r="G5957">
        <v>0</v>
      </c>
      <c r="H5957" s="4">
        <v>1570557517146</v>
      </c>
      <c r="I5957">
        <v>526.6875</v>
      </c>
      <c r="J5957" s="9">
        <f t="shared" si="93"/>
        <v>43747.040707708329</v>
      </c>
      <c r="K5957" s="1"/>
    </row>
    <row r="5958" spans="1:11" x14ac:dyDescent="0.25">
      <c r="A5958" t="e">
        <f>-LqgWUb-prkCMh_WSRcG</f>
        <v>#NAME?</v>
      </c>
      <c r="B5958">
        <v>393.75</v>
      </c>
      <c r="C5958">
        <v>20.478950000000001</v>
      </c>
      <c r="D5958">
        <v>67</v>
      </c>
      <c r="E5958">
        <v>0</v>
      </c>
      <c r="F5958">
        <v>0</v>
      </c>
      <c r="G5958">
        <v>0</v>
      </c>
      <c r="H5958" s="4">
        <v>1570557523346</v>
      </c>
      <c r="I5958">
        <v>526.6875</v>
      </c>
      <c r="J5958" s="9">
        <f t="shared" si="93"/>
        <v>43747.040779467592</v>
      </c>
      <c r="K5958" s="1"/>
    </row>
    <row r="5959" spans="1:11" x14ac:dyDescent="0.25">
      <c r="A5959" t="e">
        <f>-LqgWW9z94XCLPhkDv0u</f>
        <v>#NAME?</v>
      </c>
      <c r="B5959">
        <v>393.75</v>
      </c>
      <c r="C5959">
        <v>20.478950000000001</v>
      </c>
      <c r="D5959">
        <v>67</v>
      </c>
      <c r="E5959">
        <v>0</v>
      </c>
      <c r="F5959">
        <v>0</v>
      </c>
      <c r="G5959">
        <v>6</v>
      </c>
      <c r="H5959" s="4">
        <v>1570557529507</v>
      </c>
      <c r="I5959">
        <v>526.6875</v>
      </c>
      <c r="J5959" s="9">
        <f t="shared" si="93"/>
        <v>43747.040850775462</v>
      </c>
      <c r="K5959" s="1"/>
    </row>
    <row r="5960" spans="1:11" x14ac:dyDescent="0.25">
      <c r="A5960" t="e">
        <f>-LqgWXuC9pSNyJpsMWMy</f>
        <v>#NAME?</v>
      </c>
      <c r="B5960">
        <v>393.75</v>
      </c>
      <c r="C5960">
        <v>20.478950000000001</v>
      </c>
      <c r="D5960">
        <v>67</v>
      </c>
      <c r="E5960">
        <v>0</v>
      </c>
      <c r="F5960">
        <v>0</v>
      </c>
      <c r="G5960">
        <v>7</v>
      </c>
      <c r="H5960" s="4">
        <v>1570557535685</v>
      </c>
      <c r="I5960">
        <v>526.6875</v>
      </c>
      <c r="J5960" s="9">
        <f t="shared" si="93"/>
        <v>43747.040922280088</v>
      </c>
      <c r="K5960" s="1"/>
    </row>
    <row r="5961" spans="1:11" x14ac:dyDescent="0.25">
      <c r="A5961" t="e">
        <f>-LqgWZODlepnKL0luMyq</f>
        <v>#NAME?</v>
      </c>
      <c r="B5961">
        <v>393.75</v>
      </c>
      <c r="C5961">
        <v>20.478950000000001</v>
      </c>
      <c r="D5961">
        <v>66</v>
      </c>
      <c r="E5961">
        <v>0</v>
      </c>
      <c r="F5961">
        <v>0</v>
      </c>
      <c r="G5961">
        <v>5</v>
      </c>
      <c r="H5961" s="4">
        <v>1570557542905</v>
      </c>
      <c r="I5961">
        <v>526.5</v>
      </c>
      <c r="J5961" s="9">
        <f t="shared" si="93"/>
        <v>43747.041005844905</v>
      </c>
      <c r="K5961" s="1"/>
    </row>
    <row r="5962" spans="1:11" x14ac:dyDescent="0.25">
      <c r="A5962" t="e">
        <f>-LqgW_xFcSrluPgeLhRv</f>
        <v>#NAME?</v>
      </c>
      <c r="B5962">
        <v>393.75</v>
      </c>
      <c r="C5962">
        <v>20.531590000000001</v>
      </c>
      <c r="D5962">
        <v>59</v>
      </c>
      <c r="E5962">
        <v>0</v>
      </c>
      <c r="F5962">
        <v>0</v>
      </c>
      <c r="G5962">
        <v>6</v>
      </c>
      <c r="H5962" s="4">
        <v>1570557549093</v>
      </c>
      <c r="I5962">
        <v>526.6875</v>
      </c>
      <c r="J5962" s="9">
        <f t="shared" si="93"/>
        <v>43747.041077465277</v>
      </c>
      <c r="K5962" s="1"/>
    </row>
    <row r="5963" spans="1:11" x14ac:dyDescent="0.25">
      <c r="A5963" t="e">
        <f>-LqgWbf60-sI30S5Vw9f</f>
        <v>#NAME?</v>
      </c>
      <c r="B5963">
        <v>393.75</v>
      </c>
      <c r="C5963">
        <v>20.478950000000001</v>
      </c>
      <c r="D5963">
        <v>59</v>
      </c>
      <c r="E5963">
        <v>0</v>
      </c>
      <c r="F5963">
        <v>0</v>
      </c>
      <c r="G5963">
        <v>9</v>
      </c>
      <c r="H5963" s="4">
        <v>1570557556277</v>
      </c>
      <c r="I5963">
        <v>526.6875</v>
      </c>
      <c r="J5963" s="9">
        <f t="shared" si="93"/>
        <v>43747.041160613422</v>
      </c>
      <c r="K5963" s="1"/>
    </row>
    <row r="5964" spans="1:11" x14ac:dyDescent="0.25">
      <c r="A5964" t="e">
        <f>-LqgWdE4FuuMmXwevc4P</f>
        <v>#NAME?</v>
      </c>
      <c r="B5964">
        <v>393.75</v>
      </c>
      <c r="C5964">
        <v>20.478950000000001</v>
      </c>
      <c r="D5964">
        <v>63</v>
      </c>
      <c r="E5964">
        <v>0</v>
      </c>
      <c r="F5964">
        <v>0</v>
      </c>
      <c r="G5964">
        <v>4</v>
      </c>
      <c r="H5964" s="4">
        <v>1570557562486</v>
      </c>
      <c r="I5964">
        <v>526.5</v>
      </c>
      <c r="J5964" s="9">
        <f t="shared" si="93"/>
        <v>43747.041232476848</v>
      </c>
      <c r="K5964" s="1"/>
    </row>
    <row r="5965" spans="1:11" x14ac:dyDescent="0.25">
      <c r="A5965" t="e">
        <f>-LqgWex4jxGTU1Atr1aC</f>
        <v>#NAME?</v>
      </c>
      <c r="B5965">
        <v>393.75</v>
      </c>
      <c r="C5965">
        <v>20.478950000000001</v>
      </c>
      <c r="D5965">
        <v>63</v>
      </c>
      <c r="E5965">
        <v>0</v>
      </c>
      <c r="F5965">
        <v>0</v>
      </c>
      <c r="G5965">
        <v>8</v>
      </c>
      <c r="H5965" s="4">
        <v>1570557569686</v>
      </c>
      <c r="I5965">
        <v>526.6875</v>
      </c>
      <c r="J5965" s="9">
        <f t="shared" si="93"/>
        <v>43747.04131581018</v>
      </c>
      <c r="K5965" s="1"/>
    </row>
    <row r="5966" spans="1:11" x14ac:dyDescent="0.25">
      <c r="A5966" t="e">
        <f>-LqgWgW6wwWwxKVyp4MW</f>
        <v>#NAME?</v>
      </c>
      <c r="B5966">
        <v>393.75</v>
      </c>
      <c r="C5966">
        <v>20.478950000000001</v>
      </c>
      <c r="D5966">
        <v>63</v>
      </c>
      <c r="E5966">
        <v>0</v>
      </c>
      <c r="F5966">
        <v>0</v>
      </c>
      <c r="G5966">
        <v>0</v>
      </c>
      <c r="H5966" s="4">
        <v>1570557575875</v>
      </c>
      <c r="I5966">
        <v>526.6875</v>
      </c>
      <c r="J5966" s="9">
        <f t="shared" si="93"/>
        <v>43747.041387442128</v>
      </c>
      <c r="K5966" s="1"/>
    </row>
    <row r="5967" spans="1:11" x14ac:dyDescent="0.25">
      <c r="A5967" t="e">
        <f>-LqgWiE6xr216aT1h7Hi</f>
        <v>#NAME?</v>
      </c>
      <c r="B5967">
        <v>393.75</v>
      </c>
      <c r="C5967">
        <v>20.478950000000001</v>
      </c>
      <c r="D5967">
        <v>63</v>
      </c>
      <c r="E5967">
        <v>0</v>
      </c>
      <c r="F5967">
        <v>0</v>
      </c>
      <c r="G5967">
        <v>2</v>
      </c>
      <c r="H5967" s="4">
        <v>1570557583096</v>
      </c>
      <c r="I5967">
        <v>526.5</v>
      </c>
      <c r="J5967" s="9">
        <f t="shared" si="93"/>
        <v>43747.041471018521</v>
      </c>
      <c r="K5967" s="1"/>
    </row>
    <row r="5968" spans="1:11" x14ac:dyDescent="0.25">
      <c r="A5968" t="e">
        <f>-LqgWji56T0nHn1bo2kY</f>
        <v>#NAME?</v>
      </c>
      <c r="B5968">
        <v>393.75</v>
      </c>
      <c r="C5968">
        <v>20.478950000000001</v>
      </c>
      <c r="D5968">
        <v>63</v>
      </c>
      <c r="E5968">
        <v>0</v>
      </c>
      <c r="F5968">
        <v>0</v>
      </c>
      <c r="G5968">
        <v>5</v>
      </c>
      <c r="H5968" s="4">
        <v>1570557589277</v>
      </c>
      <c r="I5968">
        <v>526.5</v>
      </c>
      <c r="J5968" s="9">
        <f t="shared" si="93"/>
        <v>43747.041542557869</v>
      </c>
      <c r="K5968" s="1"/>
    </row>
    <row r="5969" spans="1:11" x14ac:dyDescent="0.25">
      <c r="A5969" t="e">
        <f>-LqgWlDK5PP73ziTf4ih</f>
        <v>#NAME?</v>
      </c>
      <c r="B5969">
        <v>393.75</v>
      </c>
      <c r="C5969">
        <v>20.531590000000001</v>
      </c>
      <c r="D5969">
        <v>63</v>
      </c>
      <c r="E5969">
        <v>0</v>
      </c>
      <c r="F5969">
        <v>0</v>
      </c>
      <c r="G5969">
        <v>11</v>
      </c>
      <c r="H5969" s="4">
        <v>1570557595455</v>
      </c>
      <c r="I5969">
        <v>526.5</v>
      </c>
      <c r="J5969" s="9">
        <f t="shared" si="93"/>
        <v>43747.041614062495</v>
      </c>
      <c r="K5969" s="1"/>
    </row>
    <row r="5970" spans="1:11" x14ac:dyDescent="0.25">
      <c r="A5970" t="e">
        <f>-LqgWn9GP3OPYtKgglgZ</f>
        <v>#NAME?</v>
      </c>
      <c r="B5970">
        <v>393.75</v>
      </c>
      <c r="C5970">
        <v>20.478950000000001</v>
      </c>
      <c r="D5970">
        <v>63</v>
      </c>
      <c r="E5970">
        <v>0</v>
      </c>
      <c r="F5970">
        <v>0</v>
      </c>
      <c r="G5970">
        <v>7</v>
      </c>
      <c r="H5970" s="4">
        <v>1570557601637</v>
      </c>
      <c r="I5970">
        <v>526.6875</v>
      </c>
      <c r="J5970" s="9">
        <f t="shared" si="93"/>
        <v>43747.041685613425</v>
      </c>
      <c r="K5970" s="1"/>
    </row>
    <row r="5971" spans="1:11" x14ac:dyDescent="0.25">
      <c r="A5971" t="e">
        <f>-LqgWon4KDb7TITrP-SK</f>
        <v>#NAME?</v>
      </c>
      <c r="B5971">
        <v>393.75</v>
      </c>
      <c r="C5971">
        <v>20.531590000000001</v>
      </c>
      <c r="D5971">
        <v>63</v>
      </c>
      <c r="E5971">
        <v>0</v>
      </c>
      <c r="F5971">
        <v>0</v>
      </c>
      <c r="G5971">
        <v>12</v>
      </c>
      <c r="H5971" s="4">
        <v>1570557609887</v>
      </c>
      <c r="I5971">
        <v>526.6875</v>
      </c>
      <c r="J5971" s="9">
        <f t="shared" si="93"/>
        <v>43747.041781099535</v>
      </c>
      <c r="K5971" s="1"/>
    </row>
    <row r="5972" spans="1:11" x14ac:dyDescent="0.25">
      <c r="A5972" t="e">
        <f>-LqgWqHE0lWpDfTeYCS3</f>
        <v>#NAME?</v>
      </c>
      <c r="B5972">
        <v>393.75</v>
      </c>
      <c r="C5972">
        <v>20.478950000000001</v>
      </c>
      <c r="D5972">
        <v>63</v>
      </c>
      <c r="E5972">
        <v>0</v>
      </c>
      <c r="F5972">
        <v>0</v>
      </c>
      <c r="G5972">
        <v>11</v>
      </c>
      <c r="H5972" s="4">
        <v>1570557616035</v>
      </c>
      <c r="I5972">
        <v>526.6875</v>
      </c>
      <c r="J5972" s="9">
        <f t="shared" si="93"/>
        <v>43747.041852256945</v>
      </c>
      <c r="K5972" s="1"/>
    </row>
    <row r="5973" spans="1:11" x14ac:dyDescent="0.25">
      <c r="A5973" t="s">
        <v>318</v>
      </c>
      <c r="B5973">
        <v>393.75</v>
      </c>
      <c r="C5973">
        <v>20.478950000000001</v>
      </c>
      <c r="D5973">
        <v>62</v>
      </c>
      <c r="E5973">
        <v>0</v>
      </c>
      <c r="F5973">
        <v>0</v>
      </c>
      <c r="G5973">
        <v>1</v>
      </c>
      <c r="H5973" s="4">
        <v>1570557623278</v>
      </c>
      <c r="I5973">
        <v>526.6875</v>
      </c>
      <c r="J5973" s="9">
        <f t="shared" si="93"/>
        <v>43747.04193608796</v>
      </c>
      <c r="K5973" s="1"/>
    </row>
    <row r="5974" spans="1:11" x14ac:dyDescent="0.25">
      <c r="A5974" t="e">
        <f>-LqgWtn4fu6z3J9q0d4O</f>
        <v>#NAME?</v>
      </c>
      <c r="B5974">
        <v>393.75</v>
      </c>
      <c r="C5974">
        <v>20.478950000000001</v>
      </c>
      <c r="D5974">
        <v>64</v>
      </c>
      <c r="E5974">
        <v>0</v>
      </c>
      <c r="F5974">
        <v>0</v>
      </c>
      <c r="G5974">
        <v>8</v>
      </c>
      <c r="H5974" s="4">
        <v>1570557630487</v>
      </c>
      <c r="I5974">
        <v>526.6875</v>
      </c>
      <c r="J5974" s="9">
        <f t="shared" si="93"/>
        <v>43747.042019525463</v>
      </c>
      <c r="K5974" s="1"/>
    </row>
    <row r="5975" spans="1:11" x14ac:dyDescent="0.25">
      <c r="A5975" t="e">
        <f>-LqgWvM8HPYlDNmvpCLT</f>
        <v>#NAME?</v>
      </c>
      <c r="B5975">
        <v>393.75</v>
      </c>
      <c r="C5975">
        <v>20.478950000000001</v>
      </c>
      <c r="D5975">
        <v>58</v>
      </c>
      <c r="E5975">
        <v>0</v>
      </c>
      <c r="F5975">
        <v>0</v>
      </c>
      <c r="G5975">
        <v>7</v>
      </c>
      <c r="H5975" s="4">
        <v>1570557636675</v>
      </c>
      <c r="I5975">
        <v>526.6875</v>
      </c>
      <c r="J5975" s="9">
        <f t="shared" si="93"/>
        <v>43747.042091145828</v>
      </c>
      <c r="K5975" s="1"/>
    </row>
    <row r="5976" spans="1:11" x14ac:dyDescent="0.25">
      <c r="A5976" t="e">
        <f>-LqgWx4EToZ2yNnPTez8</f>
        <v>#NAME?</v>
      </c>
      <c r="B5976">
        <v>393.75</v>
      </c>
      <c r="C5976">
        <v>20.531590000000001</v>
      </c>
      <c r="D5976">
        <v>58</v>
      </c>
      <c r="E5976">
        <v>0</v>
      </c>
      <c r="F5976">
        <v>0</v>
      </c>
      <c r="G5976">
        <v>1</v>
      </c>
      <c r="H5976" s="4">
        <v>1570557643886</v>
      </c>
      <c r="I5976">
        <v>526.6875</v>
      </c>
      <c r="J5976" s="9">
        <f t="shared" si="93"/>
        <v>43747.042174606475</v>
      </c>
      <c r="K5976" s="1"/>
    </row>
    <row r="5977" spans="1:11" x14ac:dyDescent="0.25">
      <c r="A5977" t="s">
        <v>319</v>
      </c>
      <c r="B5977">
        <v>415.625</v>
      </c>
      <c r="C5977">
        <v>20.478950000000001</v>
      </c>
      <c r="D5977">
        <v>57</v>
      </c>
      <c r="E5977">
        <v>0</v>
      </c>
      <c r="F5977">
        <v>0</v>
      </c>
      <c r="G5977">
        <v>0</v>
      </c>
      <c r="H5977" s="4">
        <v>1570557651107</v>
      </c>
      <c r="I5977">
        <v>533.625</v>
      </c>
      <c r="J5977" s="9">
        <f t="shared" si="93"/>
        <v>43747.042258182868</v>
      </c>
      <c r="K5977" s="1"/>
    </row>
    <row r="5978" spans="1:11" x14ac:dyDescent="0.25">
      <c r="A5978" t="e">
        <f>-LqgX-rhvG5a0aOHPegR</f>
        <v>#NAME?</v>
      </c>
      <c r="B5978">
        <v>393.75</v>
      </c>
      <c r="C5978">
        <v>20.478950000000001</v>
      </c>
      <c r="D5978">
        <v>57</v>
      </c>
      <c r="E5978">
        <v>0</v>
      </c>
      <c r="F5978">
        <v>0</v>
      </c>
      <c r="G5978">
        <v>0</v>
      </c>
      <c r="H5978" s="4">
        <v>1570557658325</v>
      </c>
      <c r="I5978">
        <v>526.5</v>
      </c>
      <c r="J5978" s="9">
        <f t="shared" si="93"/>
        <v>43747.042341724533</v>
      </c>
      <c r="K5978" s="1"/>
    </row>
    <row r="5979" spans="1:11" x14ac:dyDescent="0.25">
      <c r="A5979" t="e">
        <f>-LqgX1OABjPxg2EFhT88</f>
        <v>#NAME?</v>
      </c>
      <c r="B5979">
        <v>412.5</v>
      </c>
      <c r="C5979">
        <v>20.478950000000001</v>
      </c>
      <c r="D5979">
        <v>58</v>
      </c>
      <c r="E5979">
        <v>0</v>
      </c>
      <c r="F5979">
        <v>0</v>
      </c>
      <c r="G5979">
        <v>6</v>
      </c>
      <c r="H5979" s="4">
        <v>1570557665525</v>
      </c>
      <c r="I5979">
        <v>532.125</v>
      </c>
      <c r="J5979" s="9">
        <f t="shared" si="93"/>
        <v>43747.042425057873</v>
      </c>
      <c r="K5979" s="1"/>
    </row>
    <row r="5980" spans="1:11" x14ac:dyDescent="0.25">
      <c r="A5980" t="e">
        <f>-LqgX366sz7mJul9YfWt</f>
        <v>#NAME?</v>
      </c>
      <c r="B5980">
        <v>393.75</v>
      </c>
      <c r="C5980">
        <v>20.478950000000001</v>
      </c>
      <c r="D5980">
        <v>58</v>
      </c>
      <c r="E5980">
        <v>0</v>
      </c>
      <c r="F5980">
        <v>0</v>
      </c>
      <c r="G5980">
        <v>4</v>
      </c>
      <c r="H5980" s="4">
        <v>1570557672725</v>
      </c>
      <c r="I5980">
        <v>526.6875</v>
      </c>
      <c r="J5980" s="9">
        <f t="shared" si="93"/>
        <v>43747.042508391205</v>
      </c>
      <c r="K5980" s="1"/>
    </row>
    <row r="5981" spans="1:11" x14ac:dyDescent="0.25">
      <c r="A5981" t="e">
        <f>-LqgX4f4I9FXx9kuk2nd</f>
        <v>#NAME?</v>
      </c>
      <c r="B5981">
        <v>393.75</v>
      </c>
      <c r="C5981">
        <v>20.478950000000001</v>
      </c>
      <c r="D5981">
        <v>58</v>
      </c>
      <c r="E5981">
        <v>0</v>
      </c>
      <c r="F5981">
        <v>0</v>
      </c>
      <c r="G5981">
        <v>0</v>
      </c>
      <c r="H5981" s="4">
        <v>1570557678925</v>
      </c>
      <c r="I5981">
        <v>526.6875</v>
      </c>
      <c r="J5981" s="9">
        <f t="shared" si="93"/>
        <v>43747.042580150461</v>
      </c>
      <c r="K5981" s="1"/>
    </row>
    <row r="5982" spans="1:11" x14ac:dyDescent="0.25">
      <c r="A5982" t="e">
        <f>-LqgX6O4YH7f8hhLDVbJ</f>
        <v>#NAME?</v>
      </c>
      <c r="B5982">
        <v>393.75</v>
      </c>
      <c r="C5982">
        <v>20.531590000000001</v>
      </c>
      <c r="D5982">
        <v>58</v>
      </c>
      <c r="E5982">
        <v>0</v>
      </c>
      <c r="F5982">
        <v>0</v>
      </c>
      <c r="G5982">
        <v>7</v>
      </c>
      <c r="H5982" s="4">
        <v>1570557686137</v>
      </c>
      <c r="I5982">
        <v>526.6875</v>
      </c>
      <c r="J5982" s="9">
        <f t="shared" si="93"/>
        <v>43747.042663622684</v>
      </c>
      <c r="K5982" s="1"/>
    </row>
    <row r="5983" spans="1:11" x14ac:dyDescent="0.25">
      <c r="A5983" t="e">
        <f>-LqgX8Kl0p16L7A2Ysrm</f>
        <v>#NAME?</v>
      </c>
      <c r="B5983">
        <v>393.75</v>
      </c>
      <c r="C5983">
        <v>20.478950000000001</v>
      </c>
      <c r="D5983">
        <v>57</v>
      </c>
      <c r="E5983">
        <v>0</v>
      </c>
      <c r="F5983">
        <v>0</v>
      </c>
      <c r="G5983">
        <v>9</v>
      </c>
      <c r="H5983" s="4">
        <v>1570557692535</v>
      </c>
      <c r="I5983">
        <v>526.6875</v>
      </c>
      <c r="J5983" s="9">
        <f t="shared" si="93"/>
        <v>43747.042737673612</v>
      </c>
      <c r="K5983" s="1"/>
    </row>
    <row r="5984" spans="1:11" x14ac:dyDescent="0.25">
      <c r="A5984" t="e">
        <f>-LqgX9u4jQyxToVUsWI4</f>
        <v>#NAME?</v>
      </c>
      <c r="B5984">
        <v>418.75</v>
      </c>
      <c r="C5984">
        <v>20.478950000000001</v>
      </c>
      <c r="D5984">
        <v>58</v>
      </c>
      <c r="E5984">
        <v>0</v>
      </c>
      <c r="F5984">
        <v>0</v>
      </c>
      <c r="G5984">
        <v>0</v>
      </c>
      <c r="H5984" s="4">
        <v>1570557700567</v>
      </c>
      <c r="I5984">
        <v>534.1875</v>
      </c>
      <c r="J5984" s="9">
        <f t="shared" si="93"/>
        <v>43747.042830636572</v>
      </c>
      <c r="K5984" s="1"/>
    </row>
    <row r="5985" spans="1:11" x14ac:dyDescent="0.25">
      <c r="A5985" t="e">
        <f>-LqgXBT4Dq_N48CZnuw4</f>
        <v>#NAME?</v>
      </c>
      <c r="B5985">
        <v>393.75</v>
      </c>
      <c r="C5985">
        <v>20.478950000000001</v>
      </c>
      <c r="D5985">
        <v>61</v>
      </c>
      <c r="E5985">
        <v>0</v>
      </c>
      <c r="F5985">
        <v>0</v>
      </c>
      <c r="G5985">
        <v>3</v>
      </c>
      <c r="H5985" s="4">
        <v>1570557706746</v>
      </c>
      <c r="I5985">
        <v>526.6875</v>
      </c>
      <c r="J5985" s="9">
        <f t="shared" si="93"/>
        <v>43747.042902152774</v>
      </c>
      <c r="K5985" s="1"/>
    </row>
    <row r="5986" spans="1:11" x14ac:dyDescent="0.25">
      <c r="A5986" t="e">
        <f>-LqgXDB6P7o8CgamZ8xy</f>
        <v>#NAME?</v>
      </c>
      <c r="B5986">
        <v>393.75</v>
      </c>
      <c r="C5986">
        <v>20.478950000000001</v>
      </c>
      <c r="D5986">
        <v>61</v>
      </c>
      <c r="E5986">
        <v>0</v>
      </c>
      <c r="F5986">
        <v>0</v>
      </c>
      <c r="G5986">
        <v>0</v>
      </c>
      <c r="H5986" s="4">
        <v>1570557713966</v>
      </c>
      <c r="I5986">
        <v>526.5</v>
      </c>
      <c r="J5986" s="9">
        <f t="shared" si="93"/>
        <v>43747.042985717591</v>
      </c>
      <c r="K5986" s="1"/>
    </row>
    <row r="5987" spans="1:11" x14ac:dyDescent="0.25">
      <c r="A5987" t="e">
        <f>-LqgXEfGYUDGchkkekOC</f>
        <v>#NAME?</v>
      </c>
      <c r="B5987">
        <v>393.75</v>
      </c>
      <c r="C5987">
        <v>20.478950000000001</v>
      </c>
      <c r="D5987">
        <v>61</v>
      </c>
      <c r="E5987">
        <v>0</v>
      </c>
      <c r="F5987">
        <v>0</v>
      </c>
      <c r="G5987">
        <v>8</v>
      </c>
      <c r="H5987" s="4">
        <v>1570557720147</v>
      </c>
      <c r="I5987">
        <v>526.6875</v>
      </c>
      <c r="J5987" s="9">
        <f t="shared" si="93"/>
        <v>43747.043057256938</v>
      </c>
      <c r="K5987" s="1"/>
    </row>
    <row r="5988" spans="1:11" x14ac:dyDescent="0.25">
      <c r="A5988" t="e">
        <f>-LqgXG9Ebgnu3XsUNvyt</f>
        <v>#NAME?</v>
      </c>
      <c r="B5988">
        <v>393.75</v>
      </c>
      <c r="C5988">
        <v>20.478950000000001</v>
      </c>
      <c r="D5988">
        <v>61</v>
      </c>
      <c r="E5988">
        <v>0</v>
      </c>
      <c r="F5988">
        <v>0</v>
      </c>
      <c r="G5988">
        <v>10</v>
      </c>
      <c r="H5988" s="4">
        <v>1570557726326</v>
      </c>
      <c r="I5988">
        <v>526.6875</v>
      </c>
      <c r="J5988" s="9">
        <f t="shared" si="93"/>
        <v>43747.043128773141</v>
      </c>
      <c r="K5988" s="1"/>
    </row>
    <row r="5989" spans="1:11" x14ac:dyDescent="0.25">
      <c r="A5989" t="e">
        <f>-LqgXHoeKM0F_0RKxAes</f>
        <v>#NAME?</v>
      </c>
      <c r="B5989">
        <v>393.75</v>
      </c>
      <c r="C5989">
        <v>20.478950000000001</v>
      </c>
      <c r="D5989">
        <v>62</v>
      </c>
      <c r="E5989">
        <v>0</v>
      </c>
      <c r="F5989">
        <v>0</v>
      </c>
      <c r="G5989">
        <v>0</v>
      </c>
      <c r="H5989" s="4">
        <v>1570557732515</v>
      </c>
      <c r="I5989">
        <v>526.6875</v>
      </c>
      <c r="J5989" s="9">
        <f t="shared" si="93"/>
        <v>43747.043200405089</v>
      </c>
      <c r="K5989" s="1"/>
    </row>
    <row r="5990" spans="1:11" x14ac:dyDescent="0.25">
      <c r="A5990" t="e">
        <f>-LqgXJW5AwSRpRz3ZdBh</f>
        <v>#NAME?</v>
      </c>
      <c r="B5990">
        <v>393.75</v>
      </c>
      <c r="C5990">
        <v>20.478950000000001</v>
      </c>
      <c r="D5990">
        <v>62</v>
      </c>
      <c r="E5990">
        <v>0</v>
      </c>
      <c r="F5990">
        <v>0</v>
      </c>
      <c r="G5990">
        <v>5</v>
      </c>
      <c r="H5990" s="4">
        <v>1570557739726</v>
      </c>
      <c r="I5990">
        <v>526.6875</v>
      </c>
      <c r="J5990" s="9">
        <f t="shared" si="93"/>
        <v>43747.043283865736</v>
      </c>
      <c r="K5990" s="1"/>
    </row>
    <row r="5991" spans="1:11" x14ac:dyDescent="0.25">
      <c r="A5991" t="e">
        <f>-LqgXLFLkDTQuiuKx9Gf</f>
        <v>#NAME?</v>
      </c>
      <c r="B5991">
        <v>412.5</v>
      </c>
      <c r="C5991">
        <v>20.478950000000001</v>
      </c>
      <c r="D5991">
        <v>62</v>
      </c>
      <c r="E5991">
        <v>0</v>
      </c>
      <c r="F5991">
        <v>0</v>
      </c>
      <c r="G5991">
        <v>6</v>
      </c>
      <c r="H5991" s="4">
        <v>1570557746936</v>
      </c>
      <c r="I5991">
        <v>532.125</v>
      </c>
      <c r="J5991" s="9">
        <f t="shared" si="93"/>
        <v>43747.043367314815</v>
      </c>
      <c r="K5991" s="1"/>
    </row>
    <row r="5992" spans="1:11" x14ac:dyDescent="0.25">
      <c r="A5992" t="s">
        <v>320</v>
      </c>
      <c r="B5992">
        <v>393.75</v>
      </c>
      <c r="C5992">
        <v>20.531590000000001</v>
      </c>
      <c r="D5992">
        <v>61</v>
      </c>
      <c r="E5992">
        <v>0</v>
      </c>
      <c r="F5992">
        <v>0</v>
      </c>
      <c r="G5992">
        <v>2</v>
      </c>
      <c r="H5992" s="4">
        <v>1570557753116</v>
      </c>
      <c r="I5992">
        <v>526.6875</v>
      </c>
      <c r="J5992" s="9">
        <f t="shared" si="93"/>
        <v>43747.043438842586</v>
      </c>
      <c r="K5992" s="1"/>
    </row>
    <row r="5993" spans="1:11" x14ac:dyDescent="0.25">
      <c r="A5993" t="e">
        <f>-LqgXObgTaO_aeu82Usr</f>
        <v>#NAME?</v>
      </c>
      <c r="B5993">
        <v>393.75</v>
      </c>
      <c r="C5993">
        <v>20.531590000000001</v>
      </c>
      <c r="D5993">
        <v>62</v>
      </c>
      <c r="E5993">
        <v>0</v>
      </c>
      <c r="F5993">
        <v>0</v>
      </c>
      <c r="G5993">
        <v>0</v>
      </c>
      <c r="H5993" s="4">
        <v>1570557759307</v>
      </c>
      <c r="I5993">
        <v>526.6875</v>
      </c>
      <c r="J5993" s="9">
        <f t="shared" si="93"/>
        <v>43747.043510497686</v>
      </c>
      <c r="K5993" s="1"/>
    </row>
    <row r="5994" spans="1:11" x14ac:dyDescent="0.25">
      <c r="A5994" t="e">
        <f>-LqgXQHxgHwtTBGOFh1x</f>
        <v>#NAME?</v>
      </c>
      <c r="B5994">
        <v>393.75</v>
      </c>
      <c r="C5994">
        <v>20.478950000000001</v>
      </c>
      <c r="D5994">
        <v>63</v>
      </c>
      <c r="E5994">
        <v>0</v>
      </c>
      <c r="F5994">
        <v>0</v>
      </c>
      <c r="G5994">
        <v>7</v>
      </c>
      <c r="H5994" s="4">
        <v>1570557767552</v>
      </c>
      <c r="I5994">
        <v>526.6875</v>
      </c>
      <c r="J5994" s="9">
        <f t="shared" si="93"/>
        <v>43747.043605925923</v>
      </c>
      <c r="K5994" s="1"/>
    </row>
    <row r="5995" spans="1:11" x14ac:dyDescent="0.25">
      <c r="A5995" t="e">
        <f>-LqgXS6AwmvybyqACVsc</f>
        <v>#NAME?</v>
      </c>
      <c r="B5995">
        <v>393.75</v>
      </c>
      <c r="C5995">
        <v>20.478950000000001</v>
      </c>
      <c r="D5995">
        <v>63</v>
      </c>
      <c r="E5995">
        <v>0</v>
      </c>
      <c r="F5995">
        <v>0</v>
      </c>
      <c r="G5995">
        <v>1</v>
      </c>
      <c r="H5995" s="4">
        <v>1570557773724</v>
      </c>
      <c r="I5995">
        <v>526.6875</v>
      </c>
      <c r="J5995" s="9">
        <f t="shared" si="93"/>
        <v>43747.043677361107</v>
      </c>
      <c r="K5995" s="1"/>
    </row>
    <row r="5996" spans="1:11" x14ac:dyDescent="0.25">
      <c r="A5996" t="e">
        <f>-LqgXTp2n9nnxVBQcWW5</f>
        <v>#NAME?</v>
      </c>
      <c r="B5996">
        <v>403.125</v>
      </c>
      <c r="C5996">
        <v>20.478950000000001</v>
      </c>
      <c r="D5996">
        <v>62</v>
      </c>
      <c r="E5996">
        <v>0</v>
      </c>
      <c r="F5996">
        <v>0</v>
      </c>
      <c r="G5996">
        <v>9</v>
      </c>
      <c r="H5996" s="4">
        <v>1570557781974</v>
      </c>
      <c r="I5996">
        <v>529.3125</v>
      </c>
      <c r="J5996" s="9">
        <f t="shared" si="93"/>
        <v>43747.043772847224</v>
      </c>
      <c r="K5996" s="1"/>
    </row>
    <row r="5997" spans="1:11" x14ac:dyDescent="0.25">
      <c r="A5997" t="e">
        <f>-LqgXVY3K_2IodpvLjkD</f>
        <v>#NAME?</v>
      </c>
      <c r="B5997">
        <v>393.75</v>
      </c>
      <c r="C5997">
        <v>20.531590000000001</v>
      </c>
      <c r="D5997">
        <v>62</v>
      </c>
      <c r="E5997">
        <v>0</v>
      </c>
      <c r="F5997">
        <v>0</v>
      </c>
      <c r="G5997">
        <v>0</v>
      </c>
      <c r="H5997" s="4">
        <v>1570557789180</v>
      </c>
      <c r="I5997">
        <v>526.6875</v>
      </c>
      <c r="J5997" s="9">
        <f t="shared" si="93"/>
        <v>43747.043856249998</v>
      </c>
      <c r="K5997" s="1"/>
    </row>
    <row r="5998" spans="1:11" x14ac:dyDescent="0.25">
      <c r="A5998" t="e">
        <f>-LqgXX1DBLsuTTqAmyUo</f>
        <v>#NAME?</v>
      </c>
      <c r="B5998">
        <v>393.75</v>
      </c>
      <c r="C5998">
        <v>20.478950000000001</v>
      </c>
      <c r="D5998">
        <v>62</v>
      </c>
      <c r="E5998">
        <v>0</v>
      </c>
      <c r="F5998">
        <v>0</v>
      </c>
      <c r="G5998">
        <v>0</v>
      </c>
      <c r="H5998" s="4">
        <v>1570557795364</v>
      </c>
      <c r="I5998">
        <v>526.5</v>
      </c>
      <c r="J5998" s="9">
        <f t="shared" si="93"/>
        <v>43747.043927824074</v>
      </c>
      <c r="K5998" s="1"/>
    </row>
    <row r="5999" spans="1:11" x14ac:dyDescent="0.25">
      <c r="A5999" t="e">
        <f>-LqgXYZythJy3UunjiuT</f>
        <v>#NAME?</v>
      </c>
      <c r="B5999">
        <v>393.75</v>
      </c>
      <c r="C5999">
        <v>20.478950000000001</v>
      </c>
      <c r="D5999">
        <v>62</v>
      </c>
      <c r="E5999">
        <v>0</v>
      </c>
      <c r="F5999">
        <v>0</v>
      </c>
      <c r="G5999">
        <v>8</v>
      </c>
      <c r="H5999" s="4">
        <v>1570557801553</v>
      </c>
      <c r="I5999">
        <v>526.6875</v>
      </c>
      <c r="J5999" s="9">
        <f t="shared" si="93"/>
        <v>43747.043999456015</v>
      </c>
      <c r="K5999" s="1"/>
    </row>
    <row r="6000" spans="1:11" x14ac:dyDescent="0.25">
      <c r="A6000" t="e">
        <f>-LqgX_44zv4ffXr38wfc</f>
        <v>#NAME?</v>
      </c>
      <c r="B6000">
        <v>393.75</v>
      </c>
      <c r="C6000">
        <v>20.478950000000001</v>
      </c>
      <c r="D6000">
        <v>62</v>
      </c>
      <c r="E6000">
        <v>0</v>
      </c>
      <c r="F6000">
        <v>0</v>
      </c>
      <c r="G6000">
        <v>12</v>
      </c>
      <c r="H6000" s="4">
        <v>1570557807725</v>
      </c>
      <c r="I6000">
        <v>526.5</v>
      </c>
      <c r="J6000" s="9">
        <f t="shared" si="93"/>
        <v>43747.044070891199</v>
      </c>
      <c r="K6000" s="1"/>
    </row>
    <row r="6001" spans="1:11" x14ac:dyDescent="0.25">
      <c r="A6001" t="e">
        <f>-LqgXaZ31hu6_Bo22V9g</f>
        <v>#NAME?</v>
      </c>
      <c r="B6001">
        <v>393.75</v>
      </c>
      <c r="C6001">
        <v>20.478950000000001</v>
      </c>
      <c r="D6001">
        <v>66</v>
      </c>
      <c r="E6001">
        <v>0</v>
      </c>
      <c r="F6001">
        <v>0</v>
      </c>
      <c r="G6001">
        <v>12</v>
      </c>
      <c r="H6001" s="4">
        <v>1570557813917</v>
      </c>
      <c r="I6001">
        <v>526.6875</v>
      </c>
      <c r="J6001" s="9">
        <f t="shared" si="93"/>
        <v>43747.044142557868</v>
      </c>
      <c r="K6001" s="1"/>
    </row>
    <row r="6002" spans="1:11" x14ac:dyDescent="0.25">
      <c r="A6002" t="e">
        <f>-LqgXc75J3HdXmEE5SfS</f>
        <v>#NAME?</v>
      </c>
      <c r="B6002">
        <v>393.75</v>
      </c>
      <c r="C6002">
        <v>20.478950000000001</v>
      </c>
      <c r="D6002">
        <v>64</v>
      </c>
      <c r="E6002">
        <v>0</v>
      </c>
      <c r="F6002">
        <v>0</v>
      </c>
      <c r="G6002">
        <v>0</v>
      </c>
      <c r="H6002" s="4">
        <v>1570557820083</v>
      </c>
      <c r="I6002">
        <v>526.6875</v>
      </c>
      <c r="J6002" s="9">
        <f t="shared" si="93"/>
        <v>43747.044213923604</v>
      </c>
      <c r="K6002" s="1"/>
    </row>
    <row r="6003" spans="1:11" x14ac:dyDescent="0.25">
      <c r="A6003" t="e">
        <f>-LqgXd_xdDUEpKNzBSYL</f>
        <v>#NAME?</v>
      </c>
      <c r="B6003">
        <v>412.5</v>
      </c>
      <c r="C6003">
        <v>20.531590000000001</v>
      </c>
      <c r="D6003">
        <v>64</v>
      </c>
      <c r="E6003">
        <v>0</v>
      </c>
      <c r="F6003">
        <v>0</v>
      </c>
      <c r="G6003">
        <v>5</v>
      </c>
      <c r="H6003" s="4">
        <v>1570557826275</v>
      </c>
      <c r="I6003">
        <v>532.3125</v>
      </c>
      <c r="J6003" s="9">
        <f t="shared" si="93"/>
        <v>43747.044285590273</v>
      </c>
      <c r="K6003" s="1"/>
    </row>
    <row r="6004" spans="1:11" x14ac:dyDescent="0.25">
      <c r="A6004" t="e">
        <f>-LqgXf3y5OBf4wMgyPGf</f>
        <v>#NAME?</v>
      </c>
      <c r="B6004">
        <v>393.75</v>
      </c>
      <c r="C6004">
        <v>20.478950000000001</v>
      </c>
      <c r="D6004">
        <v>62</v>
      </c>
      <c r="E6004">
        <v>0</v>
      </c>
      <c r="F6004">
        <v>0</v>
      </c>
      <c r="G6004">
        <v>2</v>
      </c>
      <c r="H6004" s="4">
        <v>1570557832475</v>
      </c>
      <c r="I6004">
        <v>526.6875</v>
      </c>
      <c r="J6004" s="9">
        <f t="shared" si="93"/>
        <v>43747.044357349536</v>
      </c>
      <c r="K6004" s="1"/>
    </row>
    <row r="6005" spans="1:11" x14ac:dyDescent="0.25">
      <c r="A6005" t="e">
        <f>-LqgXg_CB38eruPQ0tWq</f>
        <v>#NAME?</v>
      </c>
      <c r="B6005">
        <v>393.75</v>
      </c>
      <c r="C6005">
        <v>20.478950000000001</v>
      </c>
      <c r="D6005">
        <v>61</v>
      </c>
      <c r="E6005">
        <v>0</v>
      </c>
      <c r="F6005">
        <v>0</v>
      </c>
      <c r="G6005">
        <v>7</v>
      </c>
      <c r="H6005" s="4">
        <v>1570557838643</v>
      </c>
      <c r="I6005">
        <v>526.6875</v>
      </c>
      <c r="J6005" s="9">
        <f t="shared" si="93"/>
        <v>43747.044428738423</v>
      </c>
      <c r="K6005" s="1"/>
    </row>
    <row r="6006" spans="1:11" x14ac:dyDescent="0.25">
      <c r="A6006" t="e">
        <f>-LqgXi6pCZTh2OKUtC31</f>
        <v>#NAME?</v>
      </c>
      <c r="B6006">
        <v>393.75</v>
      </c>
      <c r="C6006">
        <v>20.531590000000001</v>
      </c>
      <c r="D6006">
        <v>62</v>
      </c>
      <c r="E6006">
        <v>0</v>
      </c>
      <c r="F6006">
        <v>0</v>
      </c>
      <c r="G6006">
        <v>0</v>
      </c>
      <c r="H6006" s="4">
        <v>1570557844823</v>
      </c>
      <c r="I6006">
        <v>526.6875</v>
      </c>
      <c r="J6006" s="9">
        <f t="shared" si="93"/>
        <v>43747.044500266202</v>
      </c>
      <c r="K6006" s="1"/>
    </row>
    <row r="6007" spans="1:11" x14ac:dyDescent="0.25">
      <c r="A6007" t="e">
        <f>-LqgXjc2GMqeQUA9oovQ</f>
        <v>#NAME?</v>
      </c>
      <c r="B6007">
        <v>393.75</v>
      </c>
      <c r="C6007">
        <v>20.531590000000001</v>
      </c>
      <c r="D6007">
        <v>62</v>
      </c>
      <c r="E6007">
        <v>0</v>
      </c>
      <c r="F6007">
        <v>0</v>
      </c>
      <c r="G6007">
        <v>2</v>
      </c>
      <c r="H6007" s="4">
        <v>1570557851023</v>
      </c>
      <c r="I6007">
        <v>526.6875</v>
      </c>
      <c r="J6007" s="9">
        <f t="shared" si="93"/>
        <v>43747.044572025457</v>
      </c>
      <c r="K6007" s="1"/>
    </row>
    <row r="6008" spans="1:11" x14ac:dyDescent="0.25">
      <c r="A6008" t="e">
        <f>-LqgXl9xxhzRAhVLhHGp</f>
        <v>#NAME?</v>
      </c>
      <c r="B6008">
        <v>393.75</v>
      </c>
      <c r="C6008">
        <v>20.478950000000001</v>
      </c>
      <c r="D6008">
        <v>63</v>
      </c>
      <c r="E6008">
        <v>0</v>
      </c>
      <c r="F6008">
        <v>0</v>
      </c>
      <c r="G6008">
        <v>12</v>
      </c>
      <c r="H6008" s="4">
        <v>1570557857154</v>
      </c>
      <c r="I6008">
        <v>526.6875</v>
      </c>
      <c r="J6008" s="9">
        <f t="shared" si="93"/>
        <v>43747.044642986111</v>
      </c>
      <c r="K6008" s="1"/>
    </row>
    <row r="6009" spans="1:11" x14ac:dyDescent="0.25">
      <c r="A6009" t="e">
        <f>-LqgXmuCzG_5hbOeFhaX</f>
        <v>#NAME?</v>
      </c>
      <c r="B6009">
        <v>393.75</v>
      </c>
      <c r="C6009">
        <v>20.478950000000001</v>
      </c>
      <c r="D6009">
        <v>63</v>
      </c>
      <c r="E6009">
        <v>0</v>
      </c>
      <c r="F6009">
        <v>0</v>
      </c>
      <c r="G6009">
        <v>0</v>
      </c>
      <c r="H6009" s="4">
        <v>1570557864405</v>
      </c>
      <c r="I6009">
        <v>526.6875</v>
      </c>
      <c r="J6009" s="9">
        <f t="shared" si="93"/>
        <v>43747.04472690972</v>
      </c>
      <c r="K6009" s="1"/>
    </row>
    <row r="6010" spans="1:11" x14ac:dyDescent="0.25">
      <c r="A6010" t="e">
        <f>-LqgXoayJstsiw-XCEtX</f>
        <v>#NAME?</v>
      </c>
      <c r="B6010">
        <v>393.75</v>
      </c>
      <c r="C6010">
        <v>20.478950000000001</v>
      </c>
      <c r="D6010">
        <v>64</v>
      </c>
      <c r="E6010">
        <v>0</v>
      </c>
      <c r="F6010">
        <v>0</v>
      </c>
      <c r="G6010">
        <v>8</v>
      </c>
      <c r="H6010" s="4">
        <v>1570557871228</v>
      </c>
      <c r="I6010">
        <v>526.6875</v>
      </c>
      <c r="J6010" s="9">
        <f t="shared" si="93"/>
        <v>43747.044805879625</v>
      </c>
      <c r="K6010" s="1"/>
    </row>
    <row r="6011" spans="1:11" x14ac:dyDescent="0.25">
      <c r="A6011" t="e">
        <f>-LqgXqB3qBnzGPW6rSWK</f>
        <v>#NAME?</v>
      </c>
      <c r="B6011">
        <v>393.75</v>
      </c>
      <c r="C6011">
        <v>20.531590000000001</v>
      </c>
      <c r="D6011">
        <v>64</v>
      </c>
      <c r="E6011">
        <v>0</v>
      </c>
      <c r="F6011">
        <v>0</v>
      </c>
      <c r="G6011">
        <v>5</v>
      </c>
      <c r="H6011" s="4">
        <v>1570557877794</v>
      </c>
      <c r="I6011">
        <v>526.6875</v>
      </c>
      <c r="J6011" s="9">
        <f t="shared" si="93"/>
        <v>43747.044881874994</v>
      </c>
      <c r="K6011" s="1"/>
    </row>
    <row r="6012" spans="1:11" x14ac:dyDescent="0.25">
      <c r="A6012" t="e">
        <f>-LqgXrdw8Zist27kxcBh</f>
        <v>#NAME?</v>
      </c>
      <c r="B6012">
        <v>393.75</v>
      </c>
      <c r="C6012">
        <v>20.478950000000001</v>
      </c>
      <c r="D6012">
        <v>64</v>
      </c>
      <c r="E6012">
        <v>0</v>
      </c>
      <c r="F6012">
        <v>0</v>
      </c>
      <c r="G6012">
        <v>5</v>
      </c>
      <c r="H6012" s="4">
        <v>1570557883993</v>
      </c>
      <c r="I6012">
        <v>526.6875</v>
      </c>
      <c r="J6012" s="9">
        <f t="shared" si="93"/>
        <v>43747.044953622688</v>
      </c>
      <c r="K6012" s="1"/>
    </row>
    <row r="6013" spans="1:11" x14ac:dyDescent="0.25">
      <c r="A6013" t="e">
        <f>-LqgXt9C_CCJLJQs7HH9</f>
        <v>#NAME?</v>
      </c>
      <c r="B6013">
        <v>393.75</v>
      </c>
      <c r="C6013">
        <v>20.478950000000001</v>
      </c>
      <c r="D6013">
        <v>64</v>
      </c>
      <c r="E6013">
        <v>0</v>
      </c>
      <c r="F6013">
        <v>0</v>
      </c>
      <c r="G6013">
        <v>7</v>
      </c>
      <c r="H6013" s="4">
        <v>1570557890165</v>
      </c>
      <c r="I6013">
        <v>526.6875</v>
      </c>
      <c r="J6013" s="9">
        <f t="shared" si="93"/>
        <v>43747.045025057865</v>
      </c>
      <c r="K6013" s="1"/>
    </row>
    <row r="6014" spans="1:11" x14ac:dyDescent="0.25">
      <c r="A6014" t="e">
        <f>-LqgXui2UKsP-zbkvbSD</f>
        <v>#NAME?</v>
      </c>
      <c r="B6014">
        <v>393.75</v>
      </c>
      <c r="C6014">
        <v>20.531590000000001</v>
      </c>
      <c r="D6014">
        <v>65</v>
      </c>
      <c r="E6014">
        <v>0</v>
      </c>
      <c r="F6014">
        <v>0</v>
      </c>
      <c r="G6014">
        <v>3</v>
      </c>
      <c r="H6014" s="4">
        <v>1570557896345</v>
      </c>
      <c r="I6014">
        <v>526.6875</v>
      </c>
      <c r="J6014" s="9">
        <f t="shared" si="93"/>
        <v>43747.045096585651</v>
      </c>
      <c r="K6014" s="1"/>
    </row>
    <row r="6015" spans="1:11" x14ac:dyDescent="0.25">
      <c r="A6015" t="e">
        <f>-LqgXwCEFcCeIHUBJcmF</f>
        <v>#NAME?</v>
      </c>
      <c r="B6015">
        <v>393.75</v>
      </c>
      <c r="C6015">
        <v>20.478950000000001</v>
      </c>
      <c r="D6015">
        <v>65</v>
      </c>
      <c r="E6015">
        <v>0</v>
      </c>
      <c r="F6015">
        <v>0</v>
      </c>
      <c r="G6015">
        <v>0</v>
      </c>
      <c r="H6015" s="4">
        <v>1570557902543</v>
      </c>
      <c r="I6015">
        <v>526.6875</v>
      </c>
      <c r="J6015" s="9">
        <f t="shared" si="93"/>
        <v>43747.045168321762</v>
      </c>
      <c r="K6015" s="1"/>
    </row>
    <row r="6016" spans="1:11" x14ac:dyDescent="0.25">
      <c r="A6016" t="e">
        <f>-LqgXxl2SzjO81dYsyDN</f>
        <v>#NAME?</v>
      </c>
      <c r="B6016">
        <v>393.75</v>
      </c>
      <c r="C6016">
        <v>20.478950000000001</v>
      </c>
      <c r="D6016">
        <v>65</v>
      </c>
      <c r="E6016">
        <v>0</v>
      </c>
      <c r="F6016">
        <v>0</v>
      </c>
      <c r="G6016">
        <v>0</v>
      </c>
      <c r="H6016" s="4">
        <v>1570557908714</v>
      </c>
      <c r="I6016">
        <v>526.6875</v>
      </c>
      <c r="J6016" s="9">
        <f t="shared" si="93"/>
        <v>43747.04523974537</v>
      </c>
      <c r="K6016" s="1"/>
    </row>
    <row r="6017" spans="1:11" x14ac:dyDescent="0.25">
      <c r="A6017" t="e">
        <f>-LqgXzRi76FvoY4tku-5</f>
        <v>#NAME?</v>
      </c>
      <c r="B6017">
        <v>393.75</v>
      </c>
      <c r="C6017">
        <v>20.531590000000001</v>
      </c>
      <c r="D6017">
        <v>64</v>
      </c>
      <c r="E6017">
        <v>0</v>
      </c>
      <c r="F6017">
        <v>0</v>
      </c>
      <c r="G6017">
        <v>14</v>
      </c>
      <c r="H6017" s="4">
        <v>1570557915924</v>
      </c>
      <c r="I6017">
        <v>526.6875</v>
      </c>
      <c r="J6017" s="9">
        <f t="shared" si="93"/>
        <v>43747.045323194441</v>
      </c>
      <c r="K6017" s="1"/>
    </row>
    <row r="6018" spans="1:11" x14ac:dyDescent="0.25">
      <c r="A6018" t="e">
        <f>-LqgY03IfKsRY1YIYRi9</f>
        <v>#NAME?</v>
      </c>
      <c r="B6018">
        <v>412.5</v>
      </c>
      <c r="C6018">
        <v>20.531590000000001</v>
      </c>
      <c r="D6018">
        <v>63</v>
      </c>
      <c r="E6018">
        <v>0</v>
      </c>
      <c r="F6018">
        <v>0</v>
      </c>
      <c r="G6018">
        <v>8</v>
      </c>
      <c r="H6018" s="4">
        <v>1570557922103</v>
      </c>
      <c r="I6018">
        <v>532.125</v>
      </c>
      <c r="J6018" s="9">
        <f t="shared" si="93"/>
        <v>43747.045394710651</v>
      </c>
      <c r="K6018" s="1"/>
    </row>
    <row r="6019" spans="1:11" x14ac:dyDescent="0.25">
      <c r="A6019" t="s">
        <v>321</v>
      </c>
      <c r="B6019">
        <v>393.75</v>
      </c>
      <c r="C6019">
        <v>20.478950000000001</v>
      </c>
      <c r="D6019">
        <v>65</v>
      </c>
      <c r="E6019">
        <v>0</v>
      </c>
      <c r="F6019">
        <v>0</v>
      </c>
      <c r="G6019">
        <v>11</v>
      </c>
      <c r="H6019" s="4">
        <v>1570557929324</v>
      </c>
      <c r="I6019">
        <v>526.5</v>
      </c>
      <c r="J6019" s="9">
        <f t="shared" ref="J6019:J6082" si="94">(H6019/86400000)+25569+(7/24)</f>
        <v>43747.045478287029</v>
      </c>
      <c r="K6019" s="1"/>
    </row>
    <row r="6020" spans="1:11" x14ac:dyDescent="0.25">
      <c r="A6020" t="e">
        <f>-LqgY3_ILcAU-ak6xXBW</f>
        <v>#NAME?</v>
      </c>
      <c r="B6020">
        <v>393.75</v>
      </c>
      <c r="C6020">
        <v>20.478950000000001</v>
      </c>
      <c r="D6020">
        <v>66</v>
      </c>
      <c r="E6020">
        <v>0</v>
      </c>
      <c r="F6020">
        <v>0</v>
      </c>
      <c r="G6020">
        <v>4</v>
      </c>
      <c r="H6020" s="4">
        <v>1570557936535</v>
      </c>
      <c r="I6020">
        <v>526.6875</v>
      </c>
      <c r="J6020" s="9">
        <f t="shared" si="94"/>
        <v>43747.045561747684</v>
      </c>
      <c r="K6020" s="1"/>
    </row>
    <row r="6021" spans="1:11" x14ac:dyDescent="0.25">
      <c r="A6021" t="e">
        <f>-LqgY5H2owZP1_rQfveA</f>
        <v>#NAME?</v>
      </c>
      <c r="B6021">
        <v>393.75</v>
      </c>
      <c r="C6021">
        <v>20.478950000000001</v>
      </c>
      <c r="D6021">
        <v>66</v>
      </c>
      <c r="E6021">
        <v>0</v>
      </c>
      <c r="F6021">
        <v>0</v>
      </c>
      <c r="G6021">
        <v>4</v>
      </c>
      <c r="H6021" s="4">
        <v>1570557943765</v>
      </c>
      <c r="I6021">
        <v>526.6875</v>
      </c>
      <c r="J6021" s="9">
        <f t="shared" si="94"/>
        <v>43747.045645428239</v>
      </c>
      <c r="K6021" s="1"/>
    </row>
    <row r="6022" spans="1:11" x14ac:dyDescent="0.25">
      <c r="A6022" t="e">
        <f>-LqgY6onk1bCbtEsoDUT</f>
        <v>#NAME?</v>
      </c>
      <c r="B6022">
        <v>393.75</v>
      </c>
      <c r="C6022">
        <v>20.478950000000001</v>
      </c>
      <c r="D6022">
        <v>67</v>
      </c>
      <c r="E6022">
        <v>0</v>
      </c>
      <c r="F6022">
        <v>0</v>
      </c>
      <c r="G6022">
        <v>0</v>
      </c>
      <c r="H6022" s="4">
        <v>1570557949935</v>
      </c>
      <c r="I6022">
        <v>526.6875</v>
      </c>
      <c r="J6022" s="9">
        <f t="shared" si="94"/>
        <v>43747.045716840272</v>
      </c>
      <c r="K6022" s="1"/>
    </row>
    <row r="6023" spans="1:11" x14ac:dyDescent="0.25">
      <c r="A6023" t="e">
        <f>-LqgY8XxwYq_yWabASxY</f>
        <v>#NAME?</v>
      </c>
      <c r="B6023">
        <v>393.75</v>
      </c>
      <c r="C6023">
        <v>20.531590000000001</v>
      </c>
      <c r="D6023">
        <v>67</v>
      </c>
      <c r="E6023">
        <v>0</v>
      </c>
      <c r="F6023">
        <v>0</v>
      </c>
      <c r="G6023">
        <v>8</v>
      </c>
      <c r="H6023" s="4">
        <v>1570557957143</v>
      </c>
      <c r="I6023">
        <v>526.6875</v>
      </c>
      <c r="J6023" s="9">
        <f t="shared" si="94"/>
        <v>43747.045800266198</v>
      </c>
      <c r="K6023" s="1"/>
    </row>
    <row r="6024" spans="1:11" x14ac:dyDescent="0.25">
      <c r="A6024" t="e">
        <f>-LqgYA1HD2YEcT1RKXjr</f>
        <v>#NAME?</v>
      </c>
      <c r="B6024">
        <v>393.75</v>
      </c>
      <c r="C6024">
        <v>20.531590000000001</v>
      </c>
      <c r="D6024">
        <v>67</v>
      </c>
      <c r="E6024">
        <v>0</v>
      </c>
      <c r="F6024">
        <v>0</v>
      </c>
      <c r="G6024">
        <v>14</v>
      </c>
      <c r="H6024" s="4">
        <v>1570557963343</v>
      </c>
      <c r="I6024">
        <v>526.6875</v>
      </c>
      <c r="J6024" s="9">
        <f t="shared" si="94"/>
        <v>43747.045872025461</v>
      </c>
      <c r="K6024" s="1"/>
    </row>
    <row r="6025" spans="1:11" x14ac:dyDescent="0.25">
      <c r="A6025" t="s">
        <v>322</v>
      </c>
      <c r="B6025">
        <v>393.75</v>
      </c>
      <c r="C6025">
        <v>20.478950000000001</v>
      </c>
      <c r="D6025">
        <v>66</v>
      </c>
      <c r="E6025">
        <v>0</v>
      </c>
      <c r="F6025">
        <v>0</v>
      </c>
      <c r="G6025">
        <v>3</v>
      </c>
      <c r="H6025" s="4">
        <v>1570557969513</v>
      </c>
      <c r="I6025">
        <v>526.6875</v>
      </c>
      <c r="J6025" s="9">
        <f t="shared" si="94"/>
        <v>43747.045943437501</v>
      </c>
      <c r="K6025" s="1"/>
    </row>
    <row r="6026" spans="1:11" x14ac:dyDescent="0.25">
      <c r="A6026" t="e">
        <f>-LqgYDIpKFy5s4VewmVd</f>
        <v>#NAME?</v>
      </c>
      <c r="B6026">
        <v>393.75</v>
      </c>
      <c r="C6026">
        <v>20.584240000000001</v>
      </c>
      <c r="D6026">
        <v>65</v>
      </c>
      <c r="E6026">
        <v>0</v>
      </c>
      <c r="F6026">
        <v>0</v>
      </c>
      <c r="G6026">
        <v>0</v>
      </c>
      <c r="H6026" s="4">
        <v>1570557976723</v>
      </c>
      <c r="I6026">
        <v>526.6875</v>
      </c>
      <c r="J6026" s="9">
        <f t="shared" si="94"/>
        <v>43747.046026886572</v>
      </c>
      <c r="K6026" s="1"/>
    </row>
    <row r="6027" spans="1:11" x14ac:dyDescent="0.25">
      <c r="A6027" t="e">
        <f>-LqgYF5XKA73L4jbCXt8</f>
        <v>#NAME?</v>
      </c>
      <c r="B6027">
        <v>393.75</v>
      </c>
      <c r="C6027">
        <v>20.531590000000001</v>
      </c>
      <c r="D6027">
        <v>66</v>
      </c>
      <c r="E6027">
        <v>0</v>
      </c>
      <c r="F6027">
        <v>0</v>
      </c>
      <c r="G6027">
        <v>1</v>
      </c>
      <c r="H6027" s="4">
        <v>1570557984108</v>
      </c>
      <c r="I6027">
        <v>526.6875</v>
      </c>
      <c r="J6027" s="9">
        <f t="shared" si="94"/>
        <v>43747.046112361109</v>
      </c>
      <c r="K6027" s="1"/>
    </row>
    <row r="6028" spans="1:11" x14ac:dyDescent="0.25">
      <c r="A6028" t="e">
        <f>-LqgYGq5XHoVwqxC1lbt</f>
        <v>#NAME?</v>
      </c>
      <c r="B6028">
        <v>393.75</v>
      </c>
      <c r="C6028">
        <v>20.478950000000001</v>
      </c>
      <c r="D6028">
        <v>67</v>
      </c>
      <c r="E6028">
        <v>0</v>
      </c>
      <c r="F6028">
        <v>0</v>
      </c>
      <c r="G6028">
        <v>3</v>
      </c>
      <c r="H6028" s="4">
        <v>1570557991126</v>
      </c>
      <c r="I6028">
        <v>526.6875</v>
      </c>
      <c r="J6028" s="9">
        <f t="shared" si="94"/>
        <v>43747.046193587965</v>
      </c>
      <c r="K6028" s="1"/>
    </row>
    <row r="6029" spans="1:11" x14ac:dyDescent="0.25">
      <c r="A6029" t="e">
        <f>-LqgYIaWk153jVgZ79dP</f>
        <v>#NAME?</v>
      </c>
      <c r="B6029">
        <v>412.5</v>
      </c>
      <c r="C6029">
        <v>20.531590000000001</v>
      </c>
      <c r="D6029">
        <v>66</v>
      </c>
      <c r="E6029">
        <v>0</v>
      </c>
      <c r="F6029">
        <v>0</v>
      </c>
      <c r="G6029">
        <v>0</v>
      </c>
      <c r="H6029" s="4">
        <v>1570557997337</v>
      </c>
      <c r="I6029">
        <v>532.3125</v>
      </c>
      <c r="J6029" s="9">
        <f t="shared" si="94"/>
        <v>43747.046265474535</v>
      </c>
      <c r="K6029" s="1"/>
    </row>
    <row r="6030" spans="1:11" x14ac:dyDescent="0.25">
      <c r="A6030" t="e">
        <f>-LqgYKKzm-Yx5TWh8aGz</f>
        <v>#NAME?</v>
      </c>
      <c r="B6030">
        <v>393.75</v>
      </c>
      <c r="C6030">
        <v>20.478950000000001</v>
      </c>
      <c r="D6030">
        <v>67</v>
      </c>
      <c r="E6030">
        <v>0</v>
      </c>
      <c r="F6030">
        <v>0</v>
      </c>
      <c r="G6030">
        <v>0</v>
      </c>
      <c r="H6030" s="4">
        <v>1570558005585</v>
      </c>
      <c r="I6030">
        <v>526.6875</v>
      </c>
      <c r="J6030" s="9">
        <f t="shared" si="94"/>
        <v>43747.046360937493</v>
      </c>
      <c r="K6030" s="1"/>
    </row>
    <row r="6031" spans="1:11" x14ac:dyDescent="0.25">
      <c r="A6031" t="e">
        <f>-LqgYLv4aF6a99NgA34y</f>
        <v>#NAME?</v>
      </c>
      <c r="B6031">
        <v>393.75</v>
      </c>
      <c r="C6031">
        <v>20.531590000000001</v>
      </c>
      <c r="D6031">
        <v>66</v>
      </c>
      <c r="E6031">
        <v>0</v>
      </c>
      <c r="F6031">
        <v>0</v>
      </c>
      <c r="G6031">
        <v>0</v>
      </c>
      <c r="H6031" s="4">
        <v>1570558011766</v>
      </c>
      <c r="I6031">
        <v>526.6875</v>
      </c>
      <c r="J6031" s="9">
        <f t="shared" si="94"/>
        <v>43747.046432476847</v>
      </c>
      <c r="K6031" s="1"/>
    </row>
    <row r="6032" spans="1:11" x14ac:dyDescent="0.25">
      <c r="A6032" t="e">
        <f>-LqgYNd53q6BFNt-xp-G</f>
        <v>#NAME?</v>
      </c>
      <c r="B6032">
        <v>393.75</v>
      </c>
      <c r="C6032">
        <v>20.478950000000001</v>
      </c>
      <c r="D6032">
        <v>65</v>
      </c>
      <c r="E6032">
        <v>0</v>
      </c>
      <c r="F6032">
        <v>0</v>
      </c>
      <c r="G6032">
        <v>9</v>
      </c>
      <c r="H6032" s="4">
        <v>1570558018966</v>
      </c>
      <c r="I6032">
        <v>526.6875</v>
      </c>
      <c r="J6032" s="9">
        <f t="shared" si="94"/>
        <v>43747.04651581018</v>
      </c>
      <c r="K6032" s="1"/>
    </row>
    <row r="6033" spans="1:11" x14ac:dyDescent="0.25">
      <c r="A6033" t="e">
        <f>-LqgYPCEFiNaQegt_7rf</f>
        <v>#NAME?</v>
      </c>
      <c r="B6033">
        <v>393.75</v>
      </c>
      <c r="C6033">
        <v>20.478950000000001</v>
      </c>
      <c r="D6033">
        <v>65</v>
      </c>
      <c r="E6033">
        <v>0</v>
      </c>
      <c r="F6033">
        <v>0</v>
      </c>
      <c r="G6033">
        <v>2</v>
      </c>
      <c r="H6033" s="4">
        <v>1570558025157</v>
      </c>
      <c r="I6033">
        <v>526.6875</v>
      </c>
      <c r="J6033" s="9">
        <f t="shared" si="94"/>
        <v>43747.04658746528</v>
      </c>
      <c r="K6033" s="1"/>
    </row>
    <row r="6034" spans="1:11" x14ac:dyDescent="0.25">
      <c r="A6034" t="e">
        <f>-LqgYQv5RotBE1kzHGiH</f>
        <v>#NAME?</v>
      </c>
      <c r="B6034">
        <v>393.75</v>
      </c>
      <c r="C6034">
        <v>20.531590000000001</v>
      </c>
      <c r="D6034">
        <v>66</v>
      </c>
      <c r="E6034">
        <v>0</v>
      </c>
      <c r="F6034">
        <v>0</v>
      </c>
      <c r="G6034">
        <v>9</v>
      </c>
      <c r="H6034" s="4">
        <v>1570558032366</v>
      </c>
      <c r="I6034">
        <v>526.6875</v>
      </c>
      <c r="J6034" s="9">
        <f t="shared" si="94"/>
        <v>43747.046670902775</v>
      </c>
      <c r="K6034" s="1"/>
    </row>
    <row r="6035" spans="1:11" x14ac:dyDescent="0.25">
      <c r="A6035" t="e">
        <f>-LqgYSO0qY4xPUhuOgVk</f>
        <v>#NAME?</v>
      </c>
      <c r="B6035">
        <v>393.75</v>
      </c>
      <c r="C6035">
        <v>20.478950000000001</v>
      </c>
      <c r="D6035">
        <v>66</v>
      </c>
      <c r="E6035">
        <v>0</v>
      </c>
      <c r="F6035">
        <v>0</v>
      </c>
      <c r="G6035">
        <v>9</v>
      </c>
      <c r="H6035" s="4">
        <v>1570558038567</v>
      </c>
      <c r="I6035">
        <v>526.6875</v>
      </c>
      <c r="J6035" s="9">
        <f t="shared" si="94"/>
        <v>43747.046742673607</v>
      </c>
      <c r="K6035" s="1"/>
    </row>
    <row r="6036" spans="1:11" x14ac:dyDescent="0.25">
      <c r="A6036" t="e">
        <f>-LqgYTy70g9J67VMHkf7</f>
        <v>#NAME?</v>
      </c>
      <c r="B6036">
        <v>393.75</v>
      </c>
      <c r="C6036">
        <v>20.531590000000001</v>
      </c>
      <c r="D6036">
        <v>66</v>
      </c>
      <c r="E6036">
        <v>0</v>
      </c>
      <c r="F6036">
        <v>0</v>
      </c>
      <c r="G6036">
        <v>2</v>
      </c>
      <c r="H6036" s="4">
        <v>1570558044735</v>
      </c>
      <c r="I6036">
        <v>526.6875</v>
      </c>
      <c r="J6036" s="9">
        <f t="shared" si="94"/>
        <v>43747.046814062494</v>
      </c>
      <c r="K6036" s="1"/>
    </row>
    <row r="6037" spans="1:11" x14ac:dyDescent="0.25">
      <c r="A6037" t="e">
        <f>-LqgYVg6Ko-pp56rL2KF</f>
        <v>#NAME?</v>
      </c>
      <c r="B6037">
        <v>393.75</v>
      </c>
      <c r="C6037">
        <v>20.478950000000001</v>
      </c>
      <c r="D6037">
        <v>66</v>
      </c>
      <c r="E6037">
        <v>0</v>
      </c>
      <c r="F6037">
        <v>0</v>
      </c>
      <c r="G6037">
        <v>9</v>
      </c>
      <c r="H6037" s="4">
        <v>1570558051927</v>
      </c>
      <c r="I6037">
        <v>526.6875</v>
      </c>
      <c r="J6037" s="9">
        <f t="shared" si="94"/>
        <v>43747.046897303233</v>
      </c>
      <c r="K6037" s="1"/>
    </row>
    <row r="6038" spans="1:11" x14ac:dyDescent="0.25">
      <c r="A6038" t="e">
        <f>-LqgYXF5pzcFmWdKx3M1</f>
        <v>#NAME?</v>
      </c>
      <c r="B6038">
        <v>393.75</v>
      </c>
      <c r="C6038">
        <v>20.478950000000001</v>
      </c>
      <c r="D6038">
        <v>67</v>
      </c>
      <c r="E6038">
        <v>0</v>
      </c>
      <c r="F6038">
        <v>0</v>
      </c>
      <c r="G6038">
        <v>12</v>
      </c>
      <c r="H6038" s="4">
        <v>1570558058135</v>
      </c>
      <c r="I6038">
        <v>526.6875</v>
      </c>
      <c r="J6038" s="9">
        <f t="shared" si="94"/>
        <v>43747.04696915509</v>
      </c>
      <c r="K6038" s="1"/>
    </row>
    <row r="6039" spans="1:11" x14ac:dyDescent="0.25">
      <c r="A6039" t="e">
        <f>-LqgYYy5rDWUJZDaQ9gg</f>
        <v>#NAME?</v>
      </c>
      <c r="B6039">
        <v>393.75</v>
      </c>
      <c r="C6039">
        <v>20.478950000000001</v>
      </c>
      <c r="D6039">
        <v>67</v>
      </c>
      <c r="E6039">
        <v>0</v>
      </c>
      <c r="F6039">
        <v>0</v>
      </c>
      <c r="G6039">
        <v>0</v>
      </c>
      <c r="H6039" s="4">
        <v>1570558065347</v>
      </c>
      <c r="I6039">
        <v>526.6875</v>
      </c>
      <c r="J6039" s="9">
        <f t="shared" si="94"/>
        <v>43747.047052627313</v>
      </c>
      <c r="K6039" s="1"/>
    </row>
    <row r="6040" spans="1:11" x14ac:dyDescent="0.25">
      <c r="A6040" t="e">
        <f>-LqgY_S6dMan6LBqZFGO</f>
        <v>#NAME?</v>
      </c>
      <c r="B6040">
        <v>393.75</v>
      </c>
      <c r="C6040">
        <v>20.478950000000001</v>
      </c>
      <c r="D6040">
        <v>66</v>
      </c>
      <c r="E6040">
        <v>0</v>
      </c>
      <c r="F6040">
        <v>0</v>
      </c>
      <c r="G6040">
        <v>4</v>
      </c>
      <c r="H6040" s="4">
        <v>1570558071527</v>
      </c>
      <c r="I6040">
        <v>526.6875</v>
      </c>
      <c r="J6040" s="9">
        <f t="shared" si="94"/>
        <v>43747.047124155091</v>
      </c>
      <c r="K6040" s="1"/>
    </row>
    <row r="6041" spans="1:11" x14ac:dyDescent="0.25">
      <c r="A6041" t="e">
        <f>-LqgYb04XLy_KBPIk6az</f>
        <v>#NAME?</v>
      </c>
      <c r="B6041">
        <v>412.5</v>
      </c>
      <c r="C6041">
        <v>20.478950000000001</v>
      </c>
      <c r="D6041">
        <v>66</v>
      </c>
      <c r="E6041">
        <v>0</v>
      </c>
      <c r="F6041">
        <v>0</v>
      </c>
      <c r="G6041">
        <v>8</v>
      </c>
      <c r="H6041" s="4">
        <v>1570558077687</v>
      </c>
      <c r="I6041">
        <v>532.3125</v>
      </c>
      <c r="J6041" s="9">
        <f t="shared" si="94"/>
        <v>43747.047195451385</v>
      </c>
      <c r="K6041" s="1"/>
    </row>
    <row r="6042" spans="1:11" x14ac:dyDescent="0.25">
      <c r="A6042" t="e">
        <f>-LqgYc_6Yu_q9f6OisED</f>
        <v>#NAME?</v>
      </c>
      <c r="B6042">
        <v>393.75</v>
      </c>
      <c r="C6042">
        <v>20.478950000000001</v>
      </c>
      <c r="D6042">
        <v>66</v>
      </c>
      <c r="E6042">
        <v>0</v>
      </c>
      <c r="F6042">
        <v>0</v>
      </c>
      <c r="G6042">
        <v>7</v>
      </c>
      <c r="H6042" s="4">
        <v>1570558083878</v>
      </c>
      <c r="I6042">
        <v>526.5</v>
      </c>
      <c r="J6042" s="9">
        <f t="shared" si="94"/>
        <v>43747.047267106478</v>
      </c>
      <c r="K6042" s="1"/>
    </row>
    <row r="6043" spans="1:11" x14ac:dyDescent="0.25">
      <c r="A6043" t="e">
        <f>-LqgYeI4wNfgNqRGBDZD</f>
        <v>#NAME?</v>
      </c>
      <c r="B6043">
        <v>393.75</v>
      </c>
      <c r="C6043">
        <v>20.478950000000001</v>
      </c>
      <c r="D6043">
        <v>65</v>
      </c>
      <c r="E6043">
        <v>0</v>
      </c>
      <c r="F6043">
        <v>0</v>
      </c>
      <c r="G6043">
        <v>8</v>
      </c>
      <c r="H6043" s="4">
        <v>1570558091105</v>
      </c>
      <c r="I6043">
        <v>526.6875</v>
      </c>
      <c r="J6043" s="9">
        <f t="shared" si="94"/>
        <v>43747.047350752313</v>
      </c>
      <c r="K6043" s="1"/>
    </row>
    <row r="6044" spans="1:11" x14ac:dyDescent="0.25">
      <c r="A6044" t="e">
        <f>-LqgYg67vL2sX4QoNIfH</f>
        <v>#NAME?</v>
      </c>
      <c r="B6044">
        <v>428.125</v>
      </c>
      <c r="C6044">
        <v>20.478950000000001</v>
      </c>
      <c r="D6044">
        <v>67</v>
      </c>
      <c r="E6044">
        <v>0</v>
      </c>
      <c r="F6044">
        <v>0</v>
      </c>
      <c r="G6044">
        <v>10</v>
      </c>
      <c r="H6044" s="4">
        <v>1570558098325</v>
      </c>
      <c r="I6044">
        <v>537</v>
      </c>
      <c r="J6044" s="9">
        <f t="shared" si="94"/>
        <v>43747.04743431713</v>
      </c>
      <c r="K6044" s="1"/>
    </row>
    <row r="6045" spans="1:11" x14ac:dyDescent="0.25">
      <c r="A6045" t="e">
        <f>-LqgYho5YoBosd0BMmrh</f>
        <v>#NAME?</v>
      </c>
      <c r="B6045">
        <v>393.75</v>
      </c>
      <c r="C6045">
        <v>20.478950000000001</v>
      </c>
      <c r="D6045">
        <v>67</v>
      </c>
      <c r="E6045">
        <v>0</v>
      </c>
      <c r="F6045">
        <v>0</v>
      </c>
      <c r="G6045">
        <v>8</v>
      </c>
      <c r="H6045" s="4">
        <v>1570558105537</v>
      </c>
      <c r="I6045">
        <v>526.6875</v>
      </c>
      <c r="J6045" s="9">
        <f t="shared" si="94"/>
        <v>43747.047517789346</v>
      </c>
      <c r="K6045" s="1"/>
    </row>
    <row r="6046" spans="1:11" x14ac:dyDescent="0.25">
      <c r="A6046" t="e">
        <f>-LqgYjXKj4Qdsty3NbBQ</f>
        <v>#NAME?</v>
      </c>
      <c r="B6046">
        <v>393.75</v>
      </c>
      <c r="C6046">
        <v>20.478950000000001</v>
      </c>
      <c r="D6046">
        <v>67</v>
      </c>
      <c r="E6046">
        <v>0</v>
      </c>
      <c r="F6046">
        <v>0</v>
      </c>
      <c r="G6046">
        <v>7</v>
      </c>
      <c r="H6046" s="4">
        <v>1570558112725</v>
      </c>
      <c r="I6046">
        <v>526.6875</v>
      </c>
      <c r="J6046" s="9">
        <f t="shared" si="94"/>
        <v>43747.047600983795</v>
      </c>
      <c r="K6046" s="1"/>
    </row>
    <row r="6047" spans="1:11" x14ac:dyDescent="0.25">
      <c r="A6047" t="e">
        <f>-LqgYl566Bjhv7jJJKs1</f>
        <v>#NAME?</v>
      </c>
      <c r="B6047">
        <v>390.625</v>
      </c>
      <c r="C6047">
        <v>20.478950000000001</v>
      </c>
      <c r="D6047">
        <v>67</v>
      </c>
      <c r="E6047">
        <v>0</v>
      </c>
      <c r="F6047">
        <v>0</v>
      </c>
      <c r="G6047">
        <v>9</v>
      </c>
      <c r="H6047" s="4">
        <v>1570558118897</v>
      </c>
      <c r="I6047">
        <v>525.75</v>
      </c>
      <c r="J6047" s="9">
        <f t="shared" si="94"/>
        <v>43747.047672418979</v>
      </c>
      <c r="K6047" s="1"/>
    </row>
    <row r="6048" spans="1:11" x14ac:dyDescent="0.25">
      <c r="A6048" t="e">
        <f>-LqgYmn9rOgJJmC2lrQT</f>
        <v>#NAME?</v>
      </c>
      <c r="B6048">
        <v>393.75</v>
      </c>
      <c r="C6048">
        <v>20.531590000000001</v>
      </c>
      <c r="D6048">
        <v>66</v>
      </c>
      <c r="E6048">
        <v>0</v>
      </c>
      <c r="F6048">
        <v>0</v>
      </c>
      <c r="G6048">
        <v>6</v>
      </c>
      <c r="H6048" s="4">
        <v>1570558126137</v>
      </c>
      <c r="I6048">
        <v>526.5</v>
      </c>
      <c r="J6048" s="9">
        <f t="shared" si="94"/>
        <v>43747.047756215274</v>
      </c>
      <c r="K6048" s="1"/>
    </row>
    <row r="6049" spans="1:11" x14ac:dyDescent="0.25">
      <c r="A6049" t="e">
        <f>-LqgYoI4Mx09WAK3YabN</f>
        <v>#NAME?</v>
      </c>
      <c r="B6049">
        <v>393.75</v>
      </c>
      <c r="C6049">
        <v>20.478950000000001</v>
      </c>
      <c r="D6049">
        <v>66</v>
      </c>
      <c r="E6049">
        <v>0</v>
      </c>
      <c r="F6049">
        <v>0</v>
      </c>
      <c r="G6049">
        <v>7</v>
      </c>
      <c r="H6049" s="4">
        <v>1570558132325</v>
      </c>
      <c r="I6049">
        <v>526.6875</v>
      </c>
      <c r="J6049" s="9">
        <f t="shared" si="94"/>
        <v>43747.047827835646</v>
      </c>
      <c r="K6049" s="1"/>
    </row>
    <row r="6050" spans="1:11" x14ac:dyDescent="0.25">
      <c r="A6050" t="e">
        <f>-LqgYprH9XgWib02IGD0</f>
        <v>#NAME?</v>
      </c>
      <c r="B6050">
        <v>393.75</v>
      </c>
      <c r="C6050">
        <v>20.478950000000001</v>
      </c>
      <c r="D6050">
        <v>65</v>
      </c>
      <c r="E6050">
        <v>0</v>
      </c>
      <c r="F6050">
        <v>0</v>
      </c>
      <c r="G6050">
        <v>0</v>
      </c>
      <c r="H6050" s="4">
        <v>1570558138508</v>
      </c>
      <c r="I6050">
        <v>526.5</v>
      </c>
      <c r="J6050" s="9">
        <f t="shared" si="94"/>
        <v>43747.047899398145</v>
      </c>
      <c r="K6050" s="1"/>
    </row>
    <row r="6051" spans="1:11" x14ac:dyDescent="0.25">
      <c r="A6051" t="s">
        <v>323</v>
      </c>
      <c r="B6051">
        <v>393.75</v>
      </c>
      <c r="C6051">
        <v>20.478950000000001</v>
      </c>
      <c r="D6051">
        <v>65</v>
      </c>
      <c r="E6051">
        <v>0</v>
      </c>
      <c r="F6051">
        <v>0</v>
      </c>
      <c r="G6051">
        <v>10</v>
      </c>
      <c r="H6051" s="4">
        <v>1570558145697</v>
      </c>
      <c r="I6051">
        <v>526.6875</v>
      </c>
      <c r="J6051" s="9">
        <f t="shared" si="94"/>
        <v>43747.047982604163</v>
      </c>
      <c r="K6051" s="1"/>
    </row>
    <row r="6052" spans="1:11" x14ac:dyDescent="0.25">
      <c r="A6052" t="e">
        <f>-LqgYt6zg4_WSdA8f927</f>
        <v>#NAME?</v>
      </c>
      <c r="B6052">
        <v>393.75</v>
      </c>
      <c r="C6052">
        <v>20.478950000000001</v>
      </c>
      <c r="D6052">
        <v>65</v>
      </c>
      <c r="E6052">
        <v>0</v>
      </c>
      <c r="F6052">
        <v>0</v>
      </c>
      <c r="G6052">
        <v>8</v>
      </c>
      <c r="H6052" s="4">
        <v>1570558151876</v>
      </c>
      <c r="I6052">
        <v>526.5</v>
      </c>
      <c r="J6052" s="9">
        <f t="shared" si="94"/>
        <v>43747.048054120365</v>
      </c>
      <c r="K6052" s="1"/>
    </row>
    <row r="6053" spans="1:11" x14ac:dyDescent="0.25">
      <c r="A6053" t="e">
        <f>-LqgYur52XrSn-OGHeEj</f>
        <v>#NAME?</v>
      </c>
      <c r="B6053">
        <v>393.75</v>
      </c>
      <c r="C6053">
        <v>20.478950000000001</v>
      </c>
      <c r="D6053">
        <v>66</v>
      </c>
      <c r="E6053">
        <v>0</v>
      </c>
      <c r="F6053">
        <v>0</v>
      </c>
      <c r="G6053">
        <v>9</v>
      </c>
      <c r="H6053" s="4">
        <v>1570558159125</v>
      </c>
      <c r="I6053">
        <v>526.6875</v>
      </c>
      <c r="J6053" s="9">
        <f t="shared" si="94"/>
        <v>43747.048138020829</v>
      </c>
      <c r="K6053" s="1"/>
    </row>
    <row r="6054" spans="1:11" x14ac:dyDescent="0.25">
      <c r="A6054" t="e">
        <f>-LqgYwQ5YA8CxdstH-fv</f>
        <v>#NAME?</v>
      </c>
      <c r="B6054">
        <v>393.75</v>
      </c>
      <c r="C6054">
        <v>20.478950000000001</v>
      </c>
      <c r="D6054">
        <v>66</v>
      </c>
      <c r="E6054">
        <v>0</v>
      </c>
      <c r="F6054">
        <v>0</v>
      </c>
      <c r="G6054">
        <v>13</v>
      </c>
      <c r="H6054" s="4">
        <v>1570558165307</v>
      </c>
      <c r="I6054">
        <v>526.6875</v>
      </c>
      <c r="J6054" s="9">
        <f t="shared" si="94"/>
        <v>43747.048209571753</v>
      </c>
      <c r="K6054" s="1"/>
    </row>
    <row r="6055" spans="1:11" x14ac:dyDescent="0.25">
      <c r="A6055" t="e">
        <f>-LqgYy56MBWZHZwyhTIh</f>
        <v>#NAME?</v>
      </c>
      <c r="B6055">
        <v>393.75</v>
      </c>
      <c r="C6055">
        <v>20.478950000000001</v>
      </c>
      <c r="D6055">
        <v>66</v>
      </c>
      <c r="E6055">
        <v>0</v>
      </c>
      <c r="F6055">
        <v>0</v>
      </c>
      <c r="G6055">
        <v>10</v>
      </c>
      <c r="H6055" s="4">
        <v>1570558172516</v>
      </c>
      <c r="I6055">
        <v>526.6875</v>
      </c>
      <c r="J6055" s="9">
        <f t="shared" si="94"/>
        <v>43747.048293009262</v>
      </c>
      <c r="K6055" s="1"/>
    </row>
    <row r="6056" spans="1:11" x14ac:dyDescent="0.25">
      <c r="A6056" t="e">
        <f>-LqgYzc5PwkIL7F0tFmp</f>
        <v>#NAME?</v>
      </c>
      <c r="B6056">
        <v>393.75</v>
      </c>
      <c r="C6056">
        <v>20.531590000000001</v>
      </c>
      <c r="D6056">
        <v>65</v>
      </c>
      <c r="E6056">
        <v>0</v>
      </c>
      <c r="F6056">
        <v>0</v>
      </c>
      <c r="G6056">
        <v>8</v>
      </c>
      <c r="H6056" s="4">
        <v>1570558178715</v>
      </c>
      <c r="I6056">
        <v>526.6875</v>
      </c>
      <c r="J6056" s="9">
        <f t="shared" si="94"/>
        <v>43747.048364756942</v>
      </c>
      <c r="K6056" s="1"/>
    </row>
    <row r="6057" spans="1:11" x14ac:dyDescent="0.25">
      <c r="A6057" t="e">
        <f>-LqgZ0ABHNLoxuDA8F8N</f>
        <v>#NAME?</v>
      </c>
      <c r="B6057">
        <v>393.75</v>
      </c>
      <c r="C6057">
        <v>20.478950000000001</v>
      </c>
      <c r="D6057">
        <v>64</v>
      </c>
      <c r="E6057">
        <v>0</v>
      </c>
      <c r="F6057">
        <v>0</v>
      </c>
      <c r="G6057">
        <v>11</v>
      </c>
      <c r="H6057" s="4">
        <v>1570558184876</v>
      </c>
      <c r="I6057">
        <v>526.6875</v>
      </c>
      <c r="J6057" s="9">
        <f t="shared" si="94"/>
        <v>43747.048436064812</v>
      </c>
      <c r="K6057" s="1"/>
    </row>
    <row r="6058" spans="1:11" x14ac:dyDescent="0.25">
      <c r="A6058" t="e">
        <f>-LqgZ1s3jAdzoixOesMe</f>
        <v>#NAME?</v>
      </c>
      <c r="B6058">
        <v>393.75</v>
      </c>
      <c r="C6058">
        <v>20.478950000000001</v>
      </c>
      <c r="D6058">
        <v>65</v>
      </c>
      <c r="E6058">
        <v>0</v>
      </c>
      <c r="F6058">
        <v>0</v>
      </c>
      <c r="G6058">
        <v>9</v>
      </c>
      <c r="H6058" s="4">
        <v>1570558192087</v>
      </c>
      <c r="I6058">
        <v>526.6875</v>
      </c>
      <c r="J6058" s="9">
        <f t="shared" si="94"/>
        <v>43747.048519525466</v>
      </c>
      <c r="K6058" s="1"/>
    </row>
    <row r="6059" spans="1:11" x14ac:dyDescent="0.25">
      <c r="A6059" t="e">
        <f>-LqgZ3T4LyH50n5TllXA</f>
        <v>#NAME?</v>
      </c>
      <c r="B6059">
        <v>412.5</v>
      </c>
      <c r="C6059">
        <v>20.478950000000001</v>
      </c>
      <c r="D6059">
        <v>67</v>
      </c>
      <c r="E6059">
        <v>0</v>
      </c>
      <c r="F6059">
        <v>0</v>
      </c>
      <c r="G6059">
        <v>8</v>
      </c>
      <c r="H6059" s="4">
        <v>1570558198275</v>
      </c>
      <c r="I6059">
        <v>532.3125</v>
      </c>
      <c r="J6059" s="9">
        <f t="shared" si="94"/>
        <v>43747.048591145831</v>
      </c>
      <c r="K6059" s="1"/>
    </row>
    <row r="6060" spans="1:11" x14ac:dyDescent="0.25">
      <c r="A6060" t="e">
        <f>-LqgZ5U3oRHp6yvKTOd1</f>
        <v>#NAME?</v>
      </c>
      <c r="B6060">
        <v>393.75</v>
      </c>
      <c r="C6060">
        <v>20.478950000000001</v>
      </c>
      <c r="D6060">
        <v>68</v>
      </c>
      <c r="E6060">
        <v>0</v>
      </c>
      <c r="F6060">
        <v>0</v>
      </c>
      <c r="G6060">
        <v>8</v>
      </c>
      <c r="H6060" s="4">
        <v>1570558205495</v>
      </c>
      <c r="I6060">
        <v>526.6875</v>
      </c>
      <c r="J6060" s="9">
        <f t="shared" si="94"/>
        <v>43747.048674710641</v>
      </c>
      <c r="K6060" s="1"/>
    </row>
    <row r="6061" spans="1:11" x14ac:dyDescent="0.25">
      <c r="A6061" t="e">
        <f>-LqgZ7BmxyvE6v22wrQE</f>
        <v>#NAME?</v>
      </c>
      <c r="B6061">
        <v>415.625</v>
      </c>
      <c r="C6061">
        <v>20.478950000000001</v>
      </c>
      <c r="D6061">
        <v>68</v>
      </c>
      <c r="E6061">
        <v>0</v>
      </c>
      <c r="F6061">
        <v>0</v>
      </c>
      <c r="G6061">
        <v>7</v>
      </c>
      <c r="H6061" s="4">
        <v>1570558213732</v>
      </c>
      <c r="I6061">
        <v>533.25</v>
      </c>
      <c r="J6061" s="9">
        <f t="shared" si="94"/>
        <v>43747.048770046291</v>
      </c>
      <c r="K6061" s="1"/>
    </row>
    <row r="6062" spans="1:11" x14ac:dyDescent="0.25">
      <c r="A6062" t="e">
        <f>-LqgZ8fwsconGfrryLBQ</f>
        <v>#NAME?</v>
      </c>
      <c r="B6062">
        <v>393.75</v>
      </c>
      <c r="C6062">
        <v>20.478950000000001</v>
      </c>
      <c r="D6062">
        <v>68</v>
      </c>
      <c r="E6062">
        <v>0</v>
      </c>
      <c r="F6062">
        <v>0</v>
      </c>
      <c r="G6062">
        <v>2</v>
      </c>
      <c r="H6062" s="4">
        <v>1570558219925</v>
      </c>
      <c r="I6062">
        <v>526.6875</v>
      </c>
      <c r="J6062" s="9">
        <f t="shared" si="94"/>
        <v>43747.048841724536</v>
      </c>
      <c r="K6062" s="1"/>
    </row>
    <row r="6063" spans="1:11" x14ac:dyDescent="0.25">
      <c r="A6063" t="e">
        <f>-LqgZAG1Rpr0F5y2xCXS</f>
        <v>#NAME?</v>
      </c>
      <c r="B6063">
        <v>393.75</v>
      </c>
      <c r="C6063">
        <v>20.478950000000001</v>
      </c>
      <c r="D6063">
        <v>70</v>
      </c>
      <c r="E6063">
        <v>0</v>
      </c>
      <c r="F6063">
        <v>0</v>
      </c>
      <c r="G6063">
        <v>4</v>
      </c>
      <c r="H6063" s="4">
        <v>1570558226104</v>
      </c>
      <c r="I6063">
        <v>526.6875</v>
      </c>
      <c r="J6063" s="9">
        <f t="shared" si="94"/>
        <v>43747.048913240738</v>
      </c>
      <c r="K6063" s="1"/>
    </row>
    <row r="6064" spans="1:11" x14ac:dyDescent="0.25">
      <c r="A6064" t="e">
        <f>-LqgZBxoDUr3MaYA6ZWU</f>
        <v>#NAME?</v>
      </c>
      <c r="B6064">
        <v>393.75</v>
      </c>
      <c r="C6064">
        <v>20.478950000000001</v>
      </c>
      <c r="D6064">
        <v>70</v>
      </c>
      <c r="E6064">
        <v>0</v>
      </c>
      <c r="F6064">
        <v>0</v>
      </c>
      <c r="G6064">
        <v>0</v>
      </c>
      <c r="H6064" s="4">
        <v>1570558233312</v>
      </c>
      <c r="I6064">
        <v>526.6875</v>
      </c>
      <c r="J6064" s="9">
        <f t="shared" si="94"/>
        <v>43747.048996666665</v>
      </c>
      <c r="K6064" s="1"/>
    </row>
    <row r="6065" spans="1:11" x14ac:dyDescent="0.25">
      <c r="A6065" t="e">
        <f>-LqgZDRw1ca_r7qGpY6n</f>
        <v>#NAME?</v>
      </c>
      <c r="B6065">
        <v>393.75</v>
      </c>
      <c r="C6065">
        <v>20.478950000000001</v>
      </c>
      <c r="D6065">
        <v>70</v>
      </c>
      <c r="E6065">
        <v>0</v>
      </c>
      <c r="F6065">
        <v>0</v>
      </c>
      <c r="G6065">
        <v>9</v>
      </c>
      <c r="H6065" s="4">
        <v>1570558239462</v>
      </c>
      <c r="I6065">
        <v>526.5</v>
      </c>
      <c r="J6065" s="9">
        <f t="shared" si="94"/>
        <v>43747.04906784722</v>
      </c>
      <c r="K6065" s="1"/>
    </row>
    <row r="6066" spans="1:11" x14ac:dyDescent="0.25">
      <c r="A6066" t="e">
        <f>-LqgZExCqSmAgiVTrBI8</f>
        <v>#NAME?</v>
      </c>
      <c r="B6066">
        <v>393.75</v>
      </c>
      <c r="C6066">
        <v>20.584240000000001</v>
      </c>
      <c r="D6066">
        <v>69</v>
      </c>
      <c r="E6066">
        <v>0</v>
      </c>
      <c r="F6066">
        <v>0</v>
      </c>
      <c r="G6066">
        <v>13</v>
      </c>
      <c r="H6066" s="4">
        <v>1570558245682</v>
      </c>
      <c r="I6066">
        <v>526.5</v>
      </c>
      <c r="J6066" s="9">
        <f t="shared" si="94"/>
        <v>43747.04913983796</v>
      </c>
      <c r="K6066" s="1"/>
    </row>
    <row r="6067" spans="1:11" x14ac:dyDescent="0.25">
      <c r="A6067" t="e">
        <f>-LqgZGbI5oH_xB0t9UoW</f>
        <v>#NAME?</v>
      </c>
      <c r="B6067">
        <v>393.75</v>
      </c>
      <c r="C6067">
        <v>20.478950000000001</v>
      </c>
      <c r="D6067">
        <v>65</v>
      </c>
      <c r="E6067">
        <v>0</v>
      </c>
      <c r="F6067">
        <v>0</v>
      </c>
      <c r="G6067">
        <v>3</v>
      </c>
      <c r="H6067" s="4">
        <v>1570558251863</v>
      </c>
      <c r="I6067">
        <v>526.5</v>
      </c>
      <c r="J6067" s="9">
        <f t="shared" si="94"/>
        <v>43747.049211377314</v>
      </c>
      <c r="K6067" s="1"/>
    </row>
    <row r="6068" spans="1:11" x14ac:dyDescent="0.25">
      <c r="A6068" t="e">
        <f>-LqgZIJ1onaw2AXcgv1W</f>
        <v>#NAME?</v>
      </c>
      <c r="B6068">
        <v>412.5</v>
      </c>
      <c r="C6068">
        <v>20.531590000000001</v>
      </c>
      <c r="D6068">
        <v>65</v>
      </c>
      <c r="E6068">
        <v>0</v>
      </c>
      <c r="F6068">
        <v>0</v>
      </c>
      <c r="G6068">
        <v>0</v>
      </c>
      <c r="H6068" s="4">
        <v>1570558259073</v>
      </c>
      <c r="I6068">
        <v>532.3125</v>
      </c>
      <c r="J6068" s="9">
        <f t="shared" si="94"/>
        <v>43747.049294826385</v>
      </c>
      <c r="K6068" s="1"/>
    </row>
    <row r="6069" spans="1:11" x14ac:dyDescent="0.25">
      <c r="A6069" t="e">
        <f>-LqgZK-wdb8lLg47xypK</f>
        <v>#NAME?</v>
      </c>
      <c r="B6069">
        <v>393.75</v>
      </c>
      <c r="C6069">
        <v>20.478950000000001</v>
      </c>
      <c r="D6069">
        <v>63</v>
      </c>
      <c r="E6069">
        <v>0</v>
      </c>
      <c r="F6069">
        <v>0</v>
      </c>
      <c r="G6069">
        <v>0</v>
      </c>
      <c r="H6069" s="4">
        <v>1570558266282</v>
      </c>
      <c r="I6069">
        <v>526.5</v>
      </c>
      <c r="J6069" s="9">
        <f t="shared" si="94"/>
        <v>43747.049378263888</v>
      </c>
      <c r="K6069" s="1"/>
    </row>
    <row r="6070" spans="1:11" x14ac:dyDescent="0.25">
      <c r="A6070" t="e">
        <f>-LqgZLUytf6y7Q2BFzOp</f>
        <v>#NAME?</v>
      </c>
      <c r="B6070">
        <v>393.75</v>
      </c>
      <c r="C6070">
        <v>20.531590000000001</v>
      </c>
      <c r="D6070">
        <v>64</v>
      </c>
      <c r="E6070">
        <v>0</v>
      </c>
      <c r="F6070">
        <v>0</v>
      </c>
      <c r="G6070">
        <v>6</v>
      </c>
      <c r="H6070" s="4">
        <v>1570558272462</v>
      </c>
      <c r="I6070">
        <v>526.6875</v>
      </c>
      <c r="J6070" s="9">
        <f t="shared" si="94"/>
        <v>43747.049449791659</v>
      </c>
      <c r="K6070" s="1"/>
    </row>
    <row r="6071" spans="1:11" x14ac:dyDescent="0.25">
      <c r="A6071" t="e">
        <f>-LqgZNI7CxowgQ7YnSO_</f>
        <v>#NAME?</v>
      </c>
      <c r="B6071">
        <v>415.625</v>
      </c>
      <c r="C6071">
        <v>20.478950000000001</v>
      </c>
      <c r="D6071">
        <v>62</v>
      </c>
      <c r="E6071">
        <v>0</v>
      </c>
      <c r="F6071">
        <v>0</v>
      </c>
      <c r="G6071">
        <v>7</v>
      </c>
      <c r="H6071" s="4">
        <v>1570558278652</v>
      </c>
      <c r="I6071">
        <v>533.0625</v>
      </c>
      <c r="J6071" s="9">
        <f t="shared" si="94"/>
        <v>43747.049521435183</v>
      </c>
      <c r="K6071" s="1"/>
    </row>
    <row r="6072" spans="1:11" x14ac:dyDescent="0.25">
      <c r="A6072" t="e">
        <f>-LqgZP0DMgoUqvO6gilZ</f>
        <v>#NAME?</v>
      </c>
      <c r="B6072">
        <v>393.75</v>
      </c>
      <c r="C6072">
        <v>20.478950000000001</v>
      </c>
      <c r="D6072">
        <v>63</v>
      </c>
      <c r="E6072">
        <v>0</v>
      </c>
      <c r="F6072">
        <v>0</v>
      </c>
      <c r="G6072">
        <v>8</v>
      </c>
      <c r="H6072" s="4">
        <v>1570558286894</v>
      </c>
      <c r="I6072">
        <v>526.6875</v>
      </c>
      <c r="J6072" s="9">
        <f t="shared" si="94"/>
        <v>43747.049616828699</v>
      </c>
      <c r="K6072" s="1"/>
    </row>
    <row r="6073" spans="1:11" x14ac:dyDescent="0.25">
      <c r="A6073" t="e">
        <f>-LqgZQZySsOZ5cS3EW1M</f>
        <v>#NAME?</v>
      </c>
      <c r="B6073">
        <v>393.75</v>
      </c>
      <c r="C6073">
        <v>20.531590000000001</v>
      </c>
      <c r="D6073">
        <v>63</v>
      </c>
      <c r="E6073">
        <v>0</v>
      </c>
      <c r="F6073">
        <v>0</v>
      </c>
      <c r="G6073">
        <v>4</v>
      </c>
      <c r="H6073" s="4">
        <v>1570558293072</v>
      </c>
      <c r="I6073">
        <v>526.5</v>
      </c>
      <c r="J6073" s="9">
        <f t="shared" si="94"/>
        <v>43747.049688333333</v>
      </c>
      <c r="K6073" s="1"/>
    </row>
    <row r="6074" spans="1:11" x14ac:dyDescent="0.25">
      <c r="A6074" t="e">
        <f>-LqgZS2xZMaaZ30pml4l</f>
        <v>#NAME?</v>
      </c>
      <c r="B6074">
        <v>393.75</v>
      </c>
      <c r="C6074">
        <v>20.478950000000001</v>
      </c>
      <c r="D6074">
        <v>67</v>
      </c>
      <c r="E6074">
        <v>0</v>
      </c>
      <c r="F6074">
        <v>0</v>
      </c>
      <c r="G6074">
        <v>9</v>
      </c>
      <c r="H6074" s="4">
        <v>1570558299262</v>
      </c>
      <c r="I6074">
        <v>526.6875</v>
      </c>
      <c r="J6074" s="9">
        <f t="shared" si="94"/>
        <v>43747.04975997685</v>
      </c>
      <c r="K6074" s="1"/>
    </row>
    <row r="6075" spans="1:11" x14ac:dyDescent="0.25">
      <c r="A6075" t="e">
        <f>-LqgZTXwf05OhKDplXjZ</f>
        <v>#NAME?</v>
      </c>
      <c r="B6075">
        <v>393.75</v>
      </c>
      <c r="C6075">
        <v>20.478950000000001</v>
      </c>
      <c r="D6075">
        <v>69</v>
      </c>
      <c r="E6075">
        <v>0</v>
      </c>
      <c r="F6075">
        <v>0</v>
      </c>
      <c r="G6075">
        <v>11</v>
      </c>
      <c r="H6075" s="4">
        <v>1570558305444</v>
      </c>
      <c r="I6075">
        <v>526.6875</v>
      </c>
      <c r="J6075" s="9">
        <f t="shared" si="94"/>
        <v>43747.049831527773</v>
      </c>
      <c r="K6075" s="1"/>
    </row>
    <row r="6076" spans="1:11" x14ac:dyDescent="0.25">
      <c r="A6076" t="e">
        <f>-LqgZV5xLx-OdZubWqy1</f>
        <v>#NAME?</v>
      </c>
      <c r="B6076">
        <v>393.75</v>
      </c>
      <c r="C6076">
        <v>20.478950000000001</v>
      </c>
      <c r="D6076">
        <v>68</v>
      </c>
      <c r="E6076">
        <v>0</v>
      </c>
      <c r="F6076">
        <v>0</v>
      </c>
      <c r="G6076">
        <v>14</v>
      </c>
      <c r="H6076" s="4">
        <v>1570558311633</v>
      </c>
      <c r="I6076">
        <v>526.6875</v>
      </c>
      <c r="J6076" s="9">
        <f t="shared" si="94"/>
        <v>43747.049903159721</v>
      </c>
      <c r="K6076" s="1"/>
    </row>
    <row r="6077" spans="1:11" x14ac:dyDescent="0.25">
      <c r="A6077" t="e">
        <f>-LqgZWb10rE2RUMGfdR0</f>
        <v>#NAME?</v>
      </c>
      <c r="B6077">
        <v>393.75</v>
      </c>
      <c r="C6077">
        <v>20.478950000000001</v>
      </c>
      <c r="D6077">
        <v>67</v>
      </c>
      <c r="E6077">
        <v>0</v>
      </c>
      <c r="F6077">
        <v>0</v>
      </c>
      <c r="G6077">
        <v>0</v>
      </c>
      <c r="H6077" s="4">
        <v>1570558317813</v>
      </c>
      <c r="I6077">
        <v>526.6875</v>
      </c>
      <c r="J6077" s="9">
        <f t="shared" si="94"/>
        <v>43747.049974687499</v>
      </c>
      <c r="K6077" s="1"/>
    </row>
    <row r="6078" spans="1:11" x14ac:dyDescent="0.25">
      <c r="A6078" t="e">
        <f>-LqgZY525rvmpKUqRRzi</f>
        <v>#NAME?</v>
      </c>
      <c r="B6078">
        <v>412.5</v>
      </c>
      <c r="C6078">
        <v>20.531590000000001</v>
      </c>
      <c r="D6078">
        <v>66</v>
      </c>
      <c r="E6078">
        <v>0</v>
      </c>
      <c r="F6078">
        <v>0</v>
      </c>
      <c r="G6078">
        <v>0</v>
      </c>
      <c r="H6078" s="4">
        <v>1570558323992</v>
      </c>
      <c r="I6078">
        <v>532.3125</v>
      </c>
      <c r="J6078" s="9">
        <f t="shared" si="94"/>
        <v>43747.050046203702</v>
      </c>
      <c r="K6078" s="1"/>
    </row>
    <row r="6079" spans="1:11" x14ac:dyDescent="0.25">
      <c r="A6079" t="e">
        <f>-LqgZZnY8jiNhV24jnyr</f>
        <v>#NAME?</v>
      </c>
      <c r="B6079">
        <v>393.75</v>
      </c>
      <c r="C6079">
        <v>20.478950000000001</v>
      </c>
      <c r="D6079">
        <v>66</v>
      </c>
      <c r="E6079">
        <v>0</v>
      </c>
      <c r="F6079">
        <v>0</v>
      </c>
      <c r="G6079">
        <v>1</v>
      </c>
      <c r="H6079" s="4">
        <v>1570558330172</v>
      </c>
      <c r="I6079">
        <v>526.5</v>
      </c>
      <c r="J6079" s="9">
        <f t="shared" si="94"/>
        <v>43747.05011773148</v>
      </c>
      <c r="K6079" s="1"/>
    </row>
    <row r="6080" spans="1:11" x14ac:dyDescent="0.25">
      <c r="A6080" t="e">
        <f>-LqgZaKisdo7BB2dYwVU</f>
        <v>#NAME?</v>
      </c>
      <c r="B6080">
        <v>393.75</v>
      </c>
      <c r="C6080">
        <v>20.478950000000001</v>
      </c>
      <c r="D6080">
        <v>70</v>
      </c>
      <c r="E6080">
        <v>0</v>
      </c>
      <c r="F6080">
        <v>0</v>
      </c>
      <c r="G6080">
        <v>13</v>
      </c>
      <c r="H6080" s="4">
        <v>1570558337364</v>
      </c>
      <c r="I6080">
        <v>526.6875</v>
      </c>
      <c r="J6080" s="9">
        <f t="shared" si="94"/>
        <v>43747.050200972219</v>
      </c>
      <c r="K6080" s="1"/>
    </row>
    <row r="6081" spans="1:11" x14ac:dyDescent="0.25">
      <c r="A6081" t="e">
        <f>-LqgZbuULY07lpbz9lFz</f>
        <v>#NAME?</v>
      </c>
      <c r="B6081">
        <v>393.75</v>
      </c>
      <c r="C6081">
        <v>20.478950000000001</v>
      </c>
      <c r="D6081">
        <v>69</v>
      </c>
      <c r="E6081">
        <v>0</v>
      </c>
      <c r="F6081">
        <v>0</v>
      </c>
      <c r="G6081">
        <v>2</v>
      </c>
      <c r="H6081" s="4">
        <v>1570558343572</v>
      </c>
      <c r="I6081">
        <v>526.5</v>
      </c>
      <c r="J6081" s="9">
        <f t="shared" si="94"/>
        <v>43747.050272824075</v>
      </c>
      <c r="K6081" s="1"/>
    </row>
    <row r="6082" spans="1:11" x14ac:dyDescent="0.25">
      <c r="A6082" t="e">
        <f>-LqgZdbgswW8thYBDMGy</f>
        <v>#NAME?</v>
      </c>
      <c r="B6082">
        <v>393.75</v>
      </c>
      <c r="C6082">
        <v>20.478950000000001</v>
      </c>
      <c r="D6082">
        <v>60</v>
      </c>
      <c r="E6082">
        <v>0</v>
      </c>
      <c r="F6082">
        <v>0</v>
      </c>
      <c r="G6082">
        <v>15</v>
      </c>
      <c r="H6082" s="4">
        <v>1570558350803</v>
      </c>
      <c r="I6082">
        <v>526.6875</v>
      </c>
      <c r="J6082" s="9">
        <f t="shared" si="94"/>
        <v>43747.0503565162</v>
      </c>
      <c r="K6082" s="1"/>
    </row>
    <row r="6083" spans="1:11" x14ac:dyDescent="0.25">
      <c r="A6083" t="e">
        <f>-LqgZf81Lvdx1PJ6Sg0T</f>
        <v>#NAME?</v>
      </c>
      <c r="B6083">
        <v>393.75</v>
      </c>
      <c r="C6083">
        <v>20.531590000000001</v>
      </c>
      <c r="D6083">
        <v>64</v>
      </c>
      <c r="E6083">
        <v>0</v>
      </c>
      <c r="F6083">
        <v>0</v>
      </c>
      <c r="G6083">
        <v>16</v>
      </c>
      <c r="H6083" s="4">
        <v>1570558356973</v>
      </c>
      <c r="I6083">
        <v>526.6875</v>
      </c>
      <c r="J6083" s="9">
        <f t="shared" ref="J6083:J6146" si="95">(H6083/86400000)+25569+(7/24)</f>
        <v>43747.05042792824</v>
      </c>
      <c r="K6083" s="1"/>
    </row>
    <row r="6084" spans="1:11" x14ac:dyDescent="0.25">
      <c r="A6084" t="e">
        <f>-LqgZgfxbb3Q9T94OLg4</f>
        <v>#NAME?</v>
      </c>
      <c r="B6084">
        <v>393.75</v>
      </c>
      <c r="C6084">
        <v>20.478950000000001</v>
      </c>
      <c r="D6084">
        <v>65</v>
      </c>
      <c r="E6084">
        <v>0</v>
      </c>
      <c r="F6084">
        <v>0</v>
      </c>
      <c r="G6084">
        <v>17</v>
      </c>
      <c r="H6084" s="4">
        <v>1570558363152</v>
      </c>
      <c r="I6084">
        <v>526.6875</v>
      </c>
      <c r="J6084" s="9">
        <f t="shared" si="95"/>
        <v>43747.050499444442</v>
      </c>
      <c r="K6084" s="1"/>
    </row>
    <row r="6085" spans="1:11" x14ac:dyDescent="0.25">
      <c r="A6085" t="e">
        <f>-LqgZiBB9tx7iBlryp5k</f>
        <v>#NAME?</v>
      </c>
      <c r="B6085">
        <v>393.75</v>
      </c>
      <c r="C6085">
        <v>20.531590000000001</v>
      </c>
      <c r="D6085">
        <v>64</v>
      </c>
      <c r="E6085">
        <v>0</v>
      </c>
      <c r="F6085">
        <v>0</v>
      </c>
      <c r="G6085">
        <v>13</v>
      </c>
      <c r="H6085" s="4">
        <v>1570558369332</v>
      </c>
      <c r="I6085">
        <v>526.6875</v>
      </c>
      <c r="J6085" s="9">
        <f t="shared" si="95"/>
        <v>43747.05057097222</v>
      </c>
      <c r="K6085" s="1"/>
    </row>
    <row r="6086" spans="1:11" x14ac:dyDescent="0.25">
      <c r="A6086" t="e">
        <f>-LqgZjf1lky5W3oZWq1T</f>
        <v>#NAME?</v>
      </c>
      <c r="B6086">
        <v>393.75</v>
      </c>
      <c r="C6086">
        <v>20.478950000000001</v>
      </c>
      <c r="D6086">
        <v>65</v>
      </c>
      <c r="E6086">
        <v>0</v>
      </c>
      <c r="F6086">
        <v>0</v>
      </c>
      <c r="G6086">
        <v>4</v>
      </c>
      <c r="H6086" s="4">
        <v>1570558375513</v>
      </c>
      <c r="I6086">
        <v>526.6875</v>
      </c>
      <c r="J6086" s="9">
        <f t="shared" si="95"/>
        <v>43747.050642511567</v>
      </c>
      <c r="K6086" s="1"/>
    </row>
    <row r="6087" spans="1:11" x14ac:dyDescent="0.25">
      <c r="A6087" t="e">
        <f>-LqgZlE2ZFzvmqZxnpv_</f>
        <v>#NAME?</v>
      </c>
      <c r="B6087">
        <v>393.75</v>
      </c>
      <c r="C6087">
        <v>20.478950000000001</v>
      </c>
      <c r="D6087">
        <v>64</v>
      </c>
      <c r="E6087">
        <v>0</v>
      </c>
      <c r="F6087">
        <v>0</v>
      </c>
      <c r="G6087">
        <v>6</v>
      </c>
      <c r="H6087" s="4">
        <v>1570558381703</v>
      </c>
      <c r="I6087">
        <v>526.6875</v>
      </c>
      <c r="J6087" s="9">
        <f t="shared" si="95"/>
        <v>43747.050714155092</v>
      </c>
      <c r="K6087" s="1"/>
    </row>
    <row r="6088" spans="1:11" x14ac:dyDescent="0.25">
      <c r="A6088" t="e">
        <f>-LqgZmgxlCN--LaoiEPT</f>
        <v>#NAME?</v>
      </c>
      <c r="B6088">
        <v>393.75</v>
      </c>
      <c r="C6088">
        <v>20.584240000000001</v>
      </c>
      <c r="D6088">
        <v>64</v>
      </c>
      <c r="E6088">
        <v>0</v>
      </c>
      <c r="F6088">
        <v>0</v>
      </c>
      <c r="G6088">
        <v>7</v>
      </c>
      <c r="H6088" s="4">
        <v>1570558387873</v>
      </c>
      <c r="I6088">
        <v>526.6875</v>
      </c>
      <c r="J6088" s="9">
        <f t="shared" si="95"/>
        <v>43747.050785567124</v>
      </c>
      <c r="K6088" s="1"/>
    </row>
    <row r="6089" spans="1:11" x14ac:dyDescent="0.25">
      <c r="A6089" t="e">
        <f>-LqgZoAyBzOQwpA4vOlA</f>
        <v>#NAME?</v>
      </c>
      <c r="B6089">
        <v>421.875</v>
      </c>
      <c r="C6089">
        <v>20.478950000000001</v>
      </c>
      <c r="D6089">
        <v>65</v>
      </c>
      <c r="E6089">
        <v>0</v>
      </c>
      <c r="F6089">
        <v>0</v>
      </c>
      <c r="G6089">
        <v>9</v>
      </c>
      <c r="H6089" s="4">
        <v>1570558394063</v>
      </c>
      <c r="I6089">
        <v>535.125</v>
      </c>
      <c r="J6089" s="9">
        <f t="shared" si="95"/>
        <v>43747.050857210641</v>
      </c>
      <c r="K6089" s="1"/>
    </row>
    <row r="6090" spans="1:11" x14ac:dyDescent="0.25">
      <c r="A6090" t="e">
        <f>-LqgZpl2zxwpksLrD-20</f>
        <v>#NAME?</v>
      </c>
      <c r="B6090">
        <v>393.75</v>
      </c>
      <c r="C6090">
        <v>20.478950000000001</v>
      </c>
      <c r="D6090">
        <v>65</v>
      </c>
      <c r="E6090">
        <v>0</v>
      </c>
      <c r="F6090">
        <v>0</v>
      </c>
      <c r="G6090">
        <v>8</v>
      </c>
      <c r="H6090" s="4">
        <v>1570558400252</v>
      </c>
      <c r="I6090">
        <v>526.5</v>
      </c>
      <c r="J6090" s="9">
        <f t="shared" si="95"/>
        <v>43747.050928842589</v>
      </c>
      <c r="K6090" s="1"/>
    </row>
    <row r="6091" spans="1:11" x14ac:dyDescent="0.25">
      <c r="A6091" t="e">
        <f>-LqgZrUBlap-AqyRbqSd</f>
        <v>#NAME?</v>
      </c>
      <c r="B6091">
        <v>393.75</v>
      </c>
      <c r="C6091">
        <v>20.478950000000001</v>
      </c>
      <c r="D6091">
        <v>65</v>
      </c>
      <c r="E6091">
        <v>0</v>
      </c>
      <c r="F6091">
        <v>0</v>
      </c>
      <c r="G6091">
        <v>5</v>
      </c>
      <c r="H6091" s="4">
        <v>1570558407453</v>
      </c>
      <c r="I6091">
        <v>526.6875</v>
      </c>
      <c r="J6091" s="9">
        <f t="shared" si="95"/>
        <v>43747.051012187498</v>
      </c>
      <c r="K6091" s="1"/>
    </row>
    <row r="6092" spans="1:11" x14ac:dyDescent="0.25">
      <c r="A6092" t="e">
        <f>-LqgZt0wGcc8q3FxpK9P</f>
        <v>#NAME?</v>
      </c>
      <c r="B6092">
        <v>393.75</v>
      </c>
      <c r="C6092">
        <v>20.478950000000001</v>
      </c>
      <c r="D6092">
        <v>65</v>
      </c>
      <c r="E6092">
        <v>0</v>
      </c>
      <c r="F6092">
        <v>0</v>
      </c>
      <c r="G6092">
        <v>10</v>
      </c>
      <c r="H6092" s="4">
        <v>1570558413641</v>
      </c>
      <c r="I6092">
        <v>526.6875</v>
      </c>
      <c r="J6092" s="9">
        <f t="shared" si="95"/>
        <v>43747.05108380787</v>
      </c>
      <c r="K6092" s="1"/>
    </row>
    <row r="6093" spans="1:11" x14ac:dyDescent="0.25">
      <c r="A6093" t="e">
        <f>-LqgZulPPEO96xmxJlj6</f>
        <v>#NAME?</v>
      </c>
      <c r="B6093">
        <v>393.75</v>
      </c>
      <c r="C6093">
        <v>20.478950000000001</v>
      </c>
      <c r="D6093">
        <v>65</v>
      </c>
      <c r="E6093">
        <v>0</v>
      </c>
      <c r="F6093">
        <v>0</v>
      </c>
      <c r="G6093">
        <v>14</v>
      </c>
      <c r="H6093" s="4">
        <v>1570558419804</v>
      </c>
      <c r="I6093">
        <v>526.6875</v>
      </c>
      <c r="J6093" s="9">
        <f t="shared" si="95"/>
        <v>43747.051155138884</v>
      </c>
      <c r="K6093" s="1"/>
    </row>
    <row r="6094" spans="1:11" x14ac:dyDescent="0.25">
      <c r="A6094" t="e">
        <f>-LqgZwF5d_pqhQSz3PNN</f>
        <v>#NAME?</v>
      </c>
      <c r="B6094">
        <v>393.75</v>
      </c>
      <c r="C6094">
        <v>20.478950000000001</v>
      </c>
      <c r="D6094">
        <v>66</v>
      </c>
      <c r="E6094">
        <v>0</v>
      </c>
      <c r="F6094">
        <v>0</v>
      </c>
      <c r="G6094">
        <v>8</v>
      </c>
      <c r="H6094" s="4">
        <v>1570558427055</v>
      </c>
      <c r="I6094">
        <v>526.6875</v>
      </c>
      <c r="J6094" s="9">
        <f t="shared" si="95"/>
        <v>43747.051239062501</v>
      </c>
      <c r="K6094" s="1"/>
    </row>
    <row r="6095" spans="1:11" x14ac:dyDescent="0.25">
      <c r="A6095" t="e">
        <f>-LqgZxoIXzLqxKIiF4vH</f>
        <v>#NAME?</v>
      </c>
      <c r="B6095">
        <v>393.75</v>
      </c>
      <c r="C6095">
        <v>20.478950000000001</v>
      </c>
      <c r="D6095">
        <v>67</v>
      </c>
      <c r="E6095">
        <v>0</v>
      </c>
      <c r="F6095">
        <v>0</v>
      </c>
      <c r="G6095">
        <v>17</v>
      </c>
      <c r="H6095" s="4">
        <v>1570558433226</v>
      </c>
      <c r="I6095">
        <v>526.6875</v>
      </c>
      <c r="J6095" s="9">
        <f t="shared" si="95"/>
        <v>43747.051310486109</v>
      </c>
      <c r="K6095" s="1"/>
    </row>
    <row r="6096" spans="1:11" x14ac:dyDescent="0.25">
      <c r="A6096" t="e">
        <f>-LqgZzX4pNv-JdFL1Rp4</f>
        <v>#NAME?</v>
      </c>
      <c r="B6096">
        <v>412.5</v>
      </c>
      <c r="C6096">
        <v>20.478950000000001</v>
      </c>
      <c r="D6096">
        <v>68</v>
      </c>
      <c r="E6096">
        <v>0</v>
      </c>
      <c r="F6096">
        <v>0</v>
      </c>
      <c r="G6096">
        <v>0</v>
      </c>
      <c r="H6096" s="4">
        <v>1570558440414</v>
      </c>
      <c r="I6096">
        <v>532.125</v>
      </c>
      <c r="J6096" s="9">
        <f t="shared" si="95"/>
        <v>43747.051393680558</v>
      </c>
      <c r="K6096" s="1"/>
    </row>
    <row r="6097" spans="1:11" x14ac:dyDescent="0.25">
      <c r="A6097" t="e">
        <f>-Lqg_05XYN93E5q_Bl7Y</f>
        <v>#NAME?</v>
      </c>
      <c r="B6097">
        <v>393.75</v>
      </c>
      <c r="C6097">
        <v>20.478950000000001</v>
      </c>
      <c r="D6097">
        <v>68</v>
      </c>
      <c r="E6097">
        <v>0</v>
      </c>
      <c r="F6097">
        <v>0</v>
      </c>
      <c r="G6097">
        <v>10</v>
      </c>
      <c r="H6097" s="4">
        <v>1570558446622</v>
      </c>
      <c r="I6097">
        <v>526.6875</v>
      </c>
      <c r="J6097" s="9">
        <f t="shared" si="95"/>
        <v>43747.0514655324</v>
      </c>
      <c r="K6097" s="1"/>
    </row>
    <row r="6098" spans="1:11" x14ac:dyDescent="0.25">
      <c r="A6098" t="e">
        <f>-Lqg_1o4HvyuXrjTXKzs</f>
        <v>#NAME?</v>
      </c>
      <c r="B6098">
        <v>393.75</v>
      </c>
      <c r="C6098">
        <v>20.478950000000001</v>
      </c>
      <c r="D6098">
        <v>68</v>
      </c>
      <c r="E6098">
        <v>0</v>
      </c>
      <c r="F6098">
        <v>0</v>
      </c>
      <c r="G6098">
        <v>3</v>
      </c>
      <c r="H6098" s="4">
        <v>1570558453845</v>
      </c>
      <c r="I6098">
        <v>526.6875</v>
      </c>
      <c r="J6098" s="9">
        <f t="shared" si="95"/>
        <v>43747.051549131946</v>
      </c>
      <c r="K6098" s="1"/>
    </row>
    <row r="6099" spans="1:11" x14ac:dyDescent="0.25">
      <c r="A6099" t="e">
        <f>-Lqg_3IEc19cuxxTNjTz</f>
        <v>#NAME?</v>
      </c>
      <c r="B6099">
        <v>393.75</v>
      </c>
      <c r="C6099">
        <v>20.584240000000001</v>
      </c>
      <c r="D6099">
        <v>68</v>
      </c>
      <c r="E6099">
        <v>0</v>
      </c>
      <c r="F6099">
        <v>0</v>
      </c>
      <c r="G6099">
        <v>6</v>
      </c>
      <c r="H6099" s="4">
        <v>1570558460016</v>
      </c>
      <c r="I6099">
        <v>526.6875</v>
      </c>
      <c r="J6099" s="9">
        <f t="shared" si="95"/>
        <v>43747.051620555554</v>
      </c>
      <c r="K6099" s="1"/>
    </row>
    <row r="6100" spans="1:11" x14ac:dyDescent="0.25">
      <c r="A6100" t="e">
        <f>-Lqg_5FBoM53uo_3EtxR</f>
        <v>#NAME?</v>
      </c>
      <c r="B6100">
        <v>393.75</v>
      </c>
      <c r="C6100">
        <v>20.478950000000001</v>
      </c>
      <c r="D6100">
        <v>65</v>
      </c>
      <c r="E6100">
        <v>0</v>
      </c>
      <c r="F6100">
        <v>0</v>
      </c>
      <c r="G6100">
        <v>14</v>
      </c>
      <c r="H6100" s="4">
        <v>1570558466206</v>
      </c>
      <c r="I6100">
        <v>526.5</v>
      </c>
      <c r="J6100" s="9">
        <f t="shared" si="95"/>
        <v>43747.051692199071</v>
      </c>
      <c r="K6100" s="1"/>
    </row>
    <row r="6101" spans="1:11" x14ac:dyDescent="0.25">
      <c r="A6101" t="e">
        <f>-Lqg_78S1DKP-RXDsBYk</f>
        <v>#NAME?</v>
      </c>
      <c r="B6101">
        <v>393.75</v>
      </c>
      <c r="C6101">
        <v>20.478950000000001</v>
      </c>
      <c r="D6101">
        <v>66</v>
      </c>
      <c r="E6101">
        <v>0</v>
      </c>
      <c r="F6101">
        <v>0</v>
      </c>
      <c r="G6101">
        <v>15</v>
      </c>
      <c r="H6101" s="4">
        <v>1570558474447</v>
      </c>
      <c r="I6101">
        <v>526.6875</v>
      </c>
      <c r="J6101" s="9">
        <f t="shared" si="95"/>
        <v>43747.051787581011</v>
      </c>
      <c r="K6101" s="1"/>
    </row>
    <row r="6102" spans="1:11" x14ac:dyDescent="0.25">
      <c r="A6102" t="e">
        <f>-Lqg_8q3FyLMK1DWBny0</f>
        <v>#NAME?</v>
      </c>
      <c r="B6102">
        <v>393.75</v>
      </c>
      <c r="C6102">
        <v>20.531590000000001</v>
      </c>
      <c r="D6102">
        <v>66</v>
      </c>
      <c r="E6102">
        <v>0</v>
      </c>
      <c r="F6102">
        <v>0</v>
      </c>
      <c r="G6102">
        <v>6</v>
      </c>
      <c r="H6102" s="4">
        <v>1570558482665</v>
      </c>
      <c r="I6102">
        <v>526.6875</v>
      </c>
      <c r="J6102" s="9">
        <f t="shared" si="95"/>
        <v>43747.051882696753</v>
      </c>
      <c r="K6102" s="1"/>
    </row>
    <row r="6103" spans="1:11" x14ac:dyDescent="0.25">
      <c r="A6103" t="e">
        <f>-Lqg_AP5FmwtFQkn0Rap</f>
        <v>#NAME?</v>
      </c>
      <c r="B6103">
        <v>393.75</v>
      </c>
      <c r="C6103">
        <v>20.478950000000001</v>
      </c>
      <c r="D6103">
        <v>67</v>
      </c>
      <c r="E6103">
        <v>0</v>
      </c>
      <c r="F6103">
        <v>0</v>
      </c>
      <c r="G6103">
        <v>0</v>
      </c>
      <c r="H6103" s="4">
        <v>1570558488876</v>
      </c>
      <c r="I6103">
        <v>526.6875</v>
      </c>
      <c r="J6103" s="9">
        <f t="shared" si="95"/>
        <v>43747.05195458333</v>
      </c>
      <c r="K6103" s="1"/>
    </row>
    <row r="6104" spans="1:11" x14ac:dyDescent="0.25">
      <c r="A6104" t="e">
        <f>-Lqg_C4kfRls2X5eikiT</f>
        <v>#NAME?</v>
      </c>
      <c r="B6104">
        <v>393.75</v>
      </c>
      <c r="C6104">
        <v>20.478950000000001</v>
      </c>
      <c r="D6104">
        <v>67</v>
      </c>
      <c r="E6104">
        <v>0</v>
      </c>
      <c r="F6104">
        <v>0</v>
      </c>
      <c r="G6104">
        <v>0</v>
      </c>
      <c r="H6104" s="4">
        <v>1570558496084</v>
      </c>
      <c r="I6104">
        <v>526.6875</v>
      </c>
      <c r="J6104" s="9">
        <f t="shared" si="95"/>
        <v>43747.052038009257</v>
      </c>
      <c r="K6104" s="1"/>
    </row>
    <row r="6105" spans="1:11" x14ac:dyDescent="0.25">
      <c r="A6105" t="e">
        <f>-Lqg_Dv4QijOrvCVdclk</f>
        <v>#NAME?</v>
      </c>
      <c r="B6105">
        <v>393.75</v>
      </c>
      <c r="C6105">
        <v>20.531590000000001</v>
      </c>
      <c r="D6105">
        <v>66</v>
      </c>
      <c r="E6105">
        <v>0</v>
      </c>
      <c r="F6105">
        <v>0</v>
      </c>
      <c r="G6105">
        <v>6</v>
      </c>
      <c r="H6105" s="4">
        <v>1570558503296</v>
      </c>
      <c r="I6105">
        <v>526.6875</v>
      </c>
      <c r="J6105" s="9">
        <f t="shared" si="95"/>
        <v>43747.05212148148</v>
      </c>
      <c r="K6105" s="1"/>
    </row>
    <row r="6106" spans="1:11" x14ac:dyDescent="0.25">
      <c r="A6106" t="e">
        <f>-Lqg_FO8LCyeXJYm_a8a</f>
        <v>#NAME?</v>
      </c>
      <c r="B6106">
        <v>421.875</v>
      </c>
      <c r="C6106">
        <v>20.478950000000001</v>
      </c>
      <c r="D6106">
        <v>66</v>
      </c>
      <c r="E6106">
        <v>0</v>
      </c>
      <c r="F6106">
        <v>0</v>
      </c>
      <c r="G6106">
        <v>8</v>
      </c>
      <c r="H6106" s="4">
        <v>1570558509475</v>
      </c>
      <c r="I6106">
        <v>535.3125</v>
      </c>
      <c r="J6106" s="9">
        <f t="shared" si="95"/>
        <v>43747.052192997682</v>
      </c>
      <c r="K6106" s="1"/>
    </row>
    <row r="6107" spans="1:11" x14ac:dyDescent="0.25">
      <c r="A6107" t="e">
        <f>-Lqg_GryINGjdItYaRx3</f>
        <v>#NAME?</v>
      </c>
      <c r="B6107">
        <v>393.75</v>
      </c>
      <c r="C6107">
        <v>20.478950000000001</v>
      </c>
      <c r="D6107">
        <v>66</v>
      </c>
      <c r="E6107">
        <v>0</v>
      </c>
      <c r="F6107">
        <v>0</v>
      </c>
      <c r="G6107">
        <v>6</v>
      </c>
      <c r="H6107" s="4">
        <v>1570558515674</v>
      </c>
      <c r="I6107">
        <v>526.6875</v>
      </c>
      <c r="J6107" s="9">
        <f t="shared" si="95"/>
        <v>43747.052264745369</v>
      </c>
      <c r="K6107" s="1"/>
    </row>
    <row r="6108" spans="1:11" x14ac:dyDescent="0.25">
      <c r="A6108" t="e">
        <f>-Lqg_IX7z7dFqfW2CMuW</f>
        <v>#NAME?</v>
      </c>
      <c r="B6108">
        <v>393.75</v>
      </c>
      <c r="C6108">
        <v>20.478950000000001</v>
      </c>
      <c r="D6108">
        <v>66</v>
      </c>
      <c r="E6108">
        <v>0</v>
      </c>
      <c r="F6108">
        <v>0</v>
      </c>
      <c r="G6108">
        <v>8</v>
      </c>
      <c r="H6108" s="4">
        <v>1570558522316</v>
      </c>
      <c r="I6108">
        <v>526.6875</v>
      </c>
      <c r="J6108" s="9">
        <f t="shared" si="95"/>
        <v>43747.052341620372</v>
      </c>
      <c r="K6108" s="1"/>
    </row>
    <row r="6109" spans="1:11" x14ac:dyDescent="0.25">
      <c r="A6109" t="e">
        <f>-Lqg_K7kMhNRkcjTJ8_T</f>
        <v>#NAME?</v>
      </c>
      <c r="B6109">
        <v>393.75</v>
      </c>
      <c r="C6109">
        <v>20.478950000000001</v>
      </c>
      <c r="D6109">
        <v>66</v>
      </c>
      <c r="E6109">
        <v>0</v>
      </c>
      <c r="F6109">
        <v>0</v>
      </c>
      <c r="G6109">
        <v>10</v>
      </c>
      <c r="H6109" s="4">
        <v>1570558529045</v>
      </c>
      <c r="I6109">
        <v>526.6875</v>
      </c>
      <c r="J6109" s="9">
        <f t="shared" si="95"/>
        <v>43747.05241950231</v>
      </c>
      <c r="K6109" s="1"/>
    </row>
    <row r="6110" spans="1:11" x14ac:dyDescent="0.25">
      <c r="A6110" t="e">
        <f>-Lqg_Lj61oT8uo0G_65I</f>
        <v>#NAME?</v>
      </c>
      <c r="B6110">
        <v>412.5</v>
      </c>
      <c r="C6110">
        <v>20.478950000000001</v>
      </c>
      <c r="D6110">
        <v>68</v>
      </c>
      <c r="E6110">
        <v>0</v>
      </c>
      <c r="F6110">
        <v>0</v>
      </c>
      <c r="G6110">
        <v>11</v>
      </c>
      <c r="H6110" s="4">
        <v>1570558535239</v>
      </c>
      <c r="I6110">
        <v>532.125</v>
      </c>
      <c r="J6110" s="9">
        <f t="shared" si="95"/>
        <v>43747.052491192131</v>
      </c>
      <c r="K6110" s="1"/>
    </row>
    <row r="6111" spans="1:11" x14ac:dyDescent="0.25">
      <c r="A6111" t="e">
        <f>-Lqg_NSD0IqMQ8RwHPhD</f>
        <v>#NAME?</v>
      </c>
      <c r="B6111">
        <v>393.75</v>
      </c>
      <c r="C6111">
        <v>20.531590000000001</v>
      </c>
      <c r="D6111">
        <v>68</v>
      </c>
      <c r="E6111">
        <v>0</v>
      </c>
      <c r="F6111">
        <v>0</v>
      </c>
      <c r="G6111">
        <v>11</v>
      </c>
      <c r="H6111" s="4">
        <v>1570558542455</v>
      </c>
      <c r="I6111">
        <v>526.6875</v>
      </c>
      <c r="J6111" s="9">
        <f t="shared" si="95"/>
        <v>43747.052574710644</v>
      </c>
      <c r="K6111" s="1"/>
    </row>
    <row r="6112" spans="1:11" x14ac:dyDescent="0.25">
      <c r="A6112" t="e">
        <f>-Lqg_Ow33NgVxLN3rbwX</f>
        <v>#NAME?</v>
      </c>
      <c r="B6112">
        <v>393.75</v>
      </c>
      <c r="C6112">
        <v>20.478950000000001</v>
      </c>
      <c r="D6112">
        <v>62</v>
      </c>
      <c r="E6112">
        <v>0</v>
      </c>
      <c r="F6112">
        <v>0</v>
      </c>
      <c r="G6112">
        <v>8</v>
      </c>
      <c r="H6112" s="4">
        <v>1570558548636</v>
      </c>
      <c r="I6112">
        <v>526.5</v>
      </c>
      <c r="J6112" s="9">
        <f t="shared" si="95"/>
        <v>43747.052646249998</v>
      </c>
      <c r="K6112" s="1"/>
    </row>
    <row r="6113" spans="1:11" x14ac:dyDescent="0.25">
      <c r="A6113" t="e">
        <f>-Lqg_QV4Vu2ff6Y-GO2h</f>
        <v>#NAME?</v>
      </c>
      <c r="B6113">
        <v>393.75</v>
      </c>
      <c r="C6113">
        <v>20.478950000000001</v>
      </c>
      <c r="D6113">
        <v>62</v>
      </c>
      <c r="E6113">
        <v>0</v>
      </c>
      <c r="F6113">
        <v>0</v>
      </c>
      <c r="G6113">
        <v>4</v>
      </c>
      <c r="H6113" s="4">
        <v>1570558554816</v>
      </c>
      <c r="I6113">
        <v>526.6875</v>
      </c>
      <c r="J6113" s="9">
        <f t="shared" si="95"/>
        <v>43747.052717777777</v>
      </c>
      <c r="K6113" s="1"/>
    </row>
    <row r="6114" spans="1:11" x14ac:dyDescent="0.25">
      <c r="A6114" t="e">
        <f>-Lqg_SD5XJhKOqpeBHCh</f>
        <v>#NAME?</v>
      </c>
      <c r="B6114">
        <v>390.625</v>
      </c>
      <c r="C6114">
        <v>20.478950000000001</v>
      </c>
      <c r="D6114">
        <v>63</v>
      </c>
      <c r="E6114">
        <v>0</v>
      </c>
      <c r="F6114">
        <v>0</v>
      </c>
      <c r="G6114">
        <v>10</v>
      </c>
      <c r="H6114" s="4">
        <v>1570558562004</v>
      </c>
      <c r="I6114">
        <v>525.9375</v>
      </c>
      <c r="J6114" s="9">
        <f t="shared" si="95"/>
        <v>43747.052800972218</v>
      </c>
      <c r="K6114" s="1"/>
    </row>
    <row r="6115" spans="1:11" x14ac:dyDescent="0.25">
      <c r="A6115" t="e">
        <f>-Lqg_TmFZhTm4tU7JXHr</f>
        <v>#NAME?</v>
      </c>
      <c r="B6115">
        <v>393.75</v>
      </c>
      <c r="C6115">
        <v>20.531590000000001</v>
      </c>
      <c r="D6115">
        <v>61</v>
      </c>
      <c r="E6115">
        <v>0</v>
      </c>
      <c r="F6115">
        <v>0</v>
      </c>
      <c r="G6115">
        <v>10</v>
      </c>
      <c r="H6115" s="4">
        <v>1570558568218</v>
      </c>
      <c r="I6115">
        <v>526.6875</v>
      </c>
      <c r="J6115" s="9">
        <f t="shared" si="95"/>
        <v>43747.052872893517</v>
      </c>
      <c r="K6115" s="1"/>
    </row>
    <row r="6116" spans="1:11" x14ac:dyDescent="0.25">
      <c r="A6116" t="e">
        <f>-Lqg_VV3X1qV1AGlQO0N</f>
        <v>#NAME?</v>
      </c>
      <c r="B6116">
        <v>393.75</v>
      </c>
      <c r="C6116">
        <v>20.531590000000001</v>
      </c>
      <c r="D6116">
        <v>60</v>
      </c>
      <c r="E6116">
        <v>0</v>
      </c>
      <c r="F6116">
        <v>0</v>
      </c>
      <c r="G6116">
        <v>4</v>
      </c>
      <c r="H6116" s="4">
        <v>1570558575426</v>
      </c>
      <c r="I6116">
        <v>526.6875</v>
      </c>
      <c r="J6116" s="9">
        <f t="shared" si="95"/>
        <v>43747.052956319443</v>
      </c>
      <c r="K6116" s="1"/>
    </row>
    <row r="6117" spans="1:11" x14ac:dyDescent="0.25">
      <c r="A6117" t="e">
        <f>-Lqg_WzFlojoGZesF7Z1</f>
        <v>#NAME?</v>
      </c>
      <c r="B6117">
        <v>393.75</v>
      </c>
      <c r="C6117">
        <v>20.478950000000001</v>
      </c>
      <c r="D6117">
        <v>62</v>
      </c>
      <c r="E6117">
        <v>0</v>
      </c>
      <c r="F6117">
        <v>0</v>
      </c>
      <c r="G6117">
        <v>4</v>
      </c>
      <c r="H6117" s="4">
        <v>1570558581605</v>
      </c>
      <c r="I6117">
        <v>526.5</v>
      </c>
      <c r="J6117" s="9">
        <f t="shared" si="95"/>
        <v>43747.053027835645</v>
      </c>
      <c r="K6117" s="1"/>
    </row>
    <row r="6118" spans="1:11" x14ac:dyDescent="0.25">
      <c r="A6118" t="e">
        <f>-Lqg_YY5lLdgx2wJqaKE</f>
        <v>#NAME?</v>
      </c>
      <c r="B6118">
        <v>393.75</v>
      </c>
      <c r="C6118">
        <v>20.478950000000001</v>
      </c>
      <c r="D6118">
        <v>62</v>
      </c>
      <c r="E6118">
        <v>0</v>
      </c>
      <c r="F6118">
        <v>0</v>
      </c>
      <c r="G6118">
        <v>7</v>
      </c>
      <c r="H6118" s="4">
        <v>1570558587785</v>
      </c>
      <c r="I6118">
        <v>526.5</v>
      </c>
      <c r="J6118" s="9">
        <f t="shared" si="95"/>
        <v>43747.053099363424</v>
      </c>
      <c r="K6118" s="1"/>
    </row>
    <row r="6119" spans="1:11" x14ac:dyDescent="0.25">
      <c r="A6119" t="e">
        <f>-Lqg__G3n8SCc48guPIe</f>
        <v>#NAME?</v>
      </c>
      <c r="B6119">
        <v>393.75</v>
      </c>
      <c r="C6119">
        <v>20.478950000000001</v>
      </c>
      <c r="D6119">
        <v>63</v>
      </c>
      <c r="E6119">
        <v>0</v>
      </c>
      <c r="F6119">
        <v>0</v>
      </c>
      <c r="G6119">
        <v>0</v>
      </c>
      <c r="H6119" s="4">
        <v>1570558594974</v>
      </c>
      <c r="I6119">
        <v>526.6875</v>
      </c>
      <c r="J6119" s="9">
        <f t="shared" si="95"/>
        <v>43747.053182569442</v>
      </c>
      <c r="K6119" s="1"/>
    </row>
    <row r="6120" spans="1:11" x14ac:dyDescent="0.25">
      <c r="A6120" t="e">
        <f>-Lqg_bD6lVkpYOJTApWs</f>
        <v>#NAME?</v>
      </c>
      <c r="B6120">
        <v>393.75</v>
      </c>
      <c r="C6120">
        <v>20.478950000000001</v>
      </c>
      <c r="D6120">
        <v>63</v>
      </c>
      <c r="E6120">
        <v>0</v>
      </c>
      <c r="F6120">
        <v>0</v>
      </c>
      <c r="G6120">
        <v>1</v>
      </c>
      <c r="H6120" s="4">
        <v>1570558601184</v>
      </c>
      <c r="I6120">
        <v>526.6875</v>
      </c>
      <c r="J6120" s="9">
        <f t="shared" si="95"/>
        <v>43747.053254444443</v>
      </c>
      <c r="K6120" s="1"/>
    </row>
    <row r="6121" spans="1:11" x14ac:dyDescent="0.25">
      <c r="A6121" t="e">
        <f>-Lqg_cm33dzEAxBLPjUe</f>
        <v>#NAME?</v>
      </c>
      <c r="B6121">
        <v>393.75</v>
      </c>
      <c r="C6121">
        <v>20.531590000000001</v>
      </c>
      <c r="D6121">
        <v>63</v>
      </c>
      <c r="E6121">
        <v>0</v>
      </c>
      <c r="F6121">
        <v>0</v>
      </c>
      <c r="G6121">
        <v>4</v>
      </c>
      <c r="H6121" s="4">
        <v>1570558609446</v>
      </c>
      <c r="I6121">
        <v>526.6875</v>
      </c>
      <c r="J6121" s="9">
        <f t="shared" si="95"/>
        <v>43747.053350069444</v>
      </c>
      <c r="K6121" s="1"/>
    </row>
    <row r="6122" spans="1:11" x14ac:dyDescent="0.25">
      <c r="A6122" t="e">
        <f>-Lqg_eLA6e9jsLPWSdNI</f>
        <v>#NAME?</v>
      </c>
      <c r="B6122">
        <v>412.5</v>
      </c>
      <c r="C6122">
        <v>20.531590000000001</v>
      </c>
      <c r="D6122">
        <v>63</v>
      </c>
      <c r="E6122">
        <v>0</v>
      </c>
      <c r="F6122">
        <v>0</v>
      </c>
      <c r="G6122">
        <v>11</v>
      </c>
      <c r="H6122" s="4">
        <v>1570558615616</v>
      </c>
      <c r="I6122">
        <v>532.125</v>
      </c>
      <c r="J6122" s="9">
        <f t="shared" si="95"/>
        <v>43747.053421481476</v>
      </c>
      <c r="K6122" s="1"/>
    </row>
    <row r="6123" spans="1:11" x14ac:dyDescent="0.25">
      <c r="A6123" t="e">
        <f>-Lqg_g0jGjgoEI9oWnSn</f>
        <v>#NAME?</v>
      </c>
      <c r="B6123">
        <v>393.75</v>
      </c>
      <c r="C6123">
        <v>20.478950000000001</v>
      </c>
      <c r="D6123">
        <v>63</v>
      </c>
      <c r="E6123">
        <v>0</v>
      </c>
      <c r="F6123">
        <v>0</v>
      </c>
      <c r="G6123">
        <v>13</v>
      </c>
      <c r="H6123" s="4">
        <v>1570558622805</v>
      </c>
      <c r="I6123">
        <v>526.6875</v>
      </c>
      <c r="J6123" s="9">
        <f t="shared" si="95"/>
        <v>43747.053504687494</v>
      </c>
      <c r="K6123" s="1"/>
    </row>
    <row r="6124" spans="1:11" x14ac:dyDescent="0.25">
      <c r="A6124" t="e">
        <f>-Lqg_hb-Z6gp4owFxNO_</f>
        <v>#NAME?</v>
      </c>
      <c r="B6124">
        <v>393.75</v>
      </c>
      <c r="C6124">
        <v>20.478950000000001</v>
      </c>
      <c r="D6124">
        <v>63</v>
      </c>
      <c r="E6124">
        <v>0</v>
      </c>
      <c r="F6124">
        <v>0</v>
      </c>
      <c r="G6124">
        <v>10</v>
      </c>
      <c r="H6124" s="4">
        <v>1570558629005</v>
      </c>
      <c r="I6124">
        <v>526.6875</v>
      </c>
      <c r="J6124" s="9">
        <f t="shared" si="95"/>
        <v>43747.053576446757</v>
      </c>
      <c r="K6124" s="1"/>
    </row>
    <row r="6125" spans="1:11" x14ac:dyDescent="0.25">
      <c r="A6125" t="e">
        <f>-Lqg_j631l6nWo01xaFG</f>
        <v>#NAME?</v>
      </c>
      <c r="B6125">
        <v>415.625</v>
      </c>
      <c r="C6125">
        <v>20.478950000000001</v>
      </c>
      <c r="D6125">
        <v>63</v>
      </c>
      <c r="E6125">
        <v>0</v>
      </c>
      <c r="F6125">
        <v>0</v>
      </c>
      <c r="G6125">
        <v>5</v>
      </c>
      <c r="H6125" s="4">
        <v>1570558635166</v>
      </c>
      <c r="I6125">
        <v>533.8125</v>
      </c>
      <c r="J6125" s="9">
        <f t="shared" si="95"/>
        <v>43747.053647754627</v>
      </c>
      <c r="K6125" s="1"/>
    </row>
    <row r="6126" spans="1:11" x14ac:dyDescent="0.25">
      <c r="A6126" t="e">
        <f>-Lqg_kYiwROYZG5Mcwf1</f>
        <v>#NAME?</v>
      </c>
      <c r="B6126">
        <v>393.75</v>
      </c>
      <c r="C6126">
        <v>20.531590000000001</v>
      </c>
      <c r="D6126">
        <v>63</v>
      </c>
      <c r="E6126">
        <v>0</v>
      </c>
      <c r="F6126">
        <v>0</v>
      </c>
      <c r="G6126">
        <v>10</v>
      </c>
      <c r="H6126" s="4">
        <v>1570558641366</v>
      </c>
      <c r="I6126">
        <v>526.6875</v>
      </c>
      <c r="J6126" s="9">
        <f t="shared" si="95"/>
        <v>43747.053719513882</v>
      </c>
      <c r="K6126" s="1"/>
    </row>
    <row r="6127" spans="1:11" x14ac:dyDescent="0.25">
      <c r="A6127" t="e">
        <f>-Lqg_n-E8fxg4R1GS9cC</f>
        <v>#NAME?</v>
      </c>
      <c r="B6127">
        <v>393.75</v>
      </c>
      <c r="C6127">
        <v>20.531590000000001</v>
      </c>
      <c r="D6127">
        <v>63</v>
      </c>
      <c r="E6127">
        <v>0</v>
      </c>
      <c r="F6127">
        <v>0</v>
      </c>
      <c r="G6127">
        <v>7</v>
      </c>
      <c r="H6127" s="4">
        <v>1570558651303</v>
      </c>
      <c r="I6127">
        <v>526.6875</v>
      </c>
      <c r="J6127" s="9">
        <f t="shared" si="95"/>
        <v>43747.053834525461</v>
      </c>
      <c r="K6127" s="1"/>
    </row>
    <row r="6128" spans="1:11" x14ac:dyDescent="0.25">
      <c r="A6128" t="e">
        <f>-Lqg_ocxLZrvLB55LreI</f>
        <v>#NAME?</v>
      </c>
      <c r="B6128">
        <v>393.75</v>
      </c>
      <c r="C6128">
        <v>20.531590000000001</v>
      </c>
      <c r="D6128">
        <v>63</v>
      </c>
      <c r="E6128">
        <v>0</v>
      </c>
      <c r="F6128">
        <v>0</v>
      </c>
      <c r="G6128">
        <v>6</v>
      </c>
      <c r="H6128" s="4">
        <v>1570558657861</v>
      </c>
      <c r="I6128">
        <v>526.5</v>
      </c>
      <c r="J6128" s="9">
        <f t="shared" si="95"/>
        <v>43747.053910428243</v>
      </c>
      <c r="K6128" s="1"/>
    </row>
    <row r="6129" spans="1:11" x14ac:dyDescent="0.25">
      <c r="A6129" t="e">
        <f>-Lqg_qNBE_mjs-ktxg0c</f>
        <v>#NAME?</v>
      </c>
      <c r="B6129">
        <v>393.75</v>
      </c>
      <c r="C6129">
        <v>20.478950000000001</v>
      </c>
      <c r="D6129">
        <v>61</v>
      </c>
      <c r="E6129">
        <v>0</v>
      </c>
      <c r="F6129">
        <v>0</v>
      </c>
      <c r="G6129">
        <v>11</v>
      </c>
      <c r="H6129" s="4">
        <v>1570558665043</v>
      </c>
      <c r="I6129">
        <v>526.5</v>
      </c>
      <c r="J6129" s="9">
        <f t="shared" si="95"/>
        <v>43747.053993553236</v>
      </c>
      <c r="K6129" s="1"/>
    </row>
    <row r="6130" spans="1:11" x14ac:dyDescent="0.25">
      <c r="A6130" t="e">
        <f>-Lqg_rwb1NAtGtW-O0I3</f>
        <v>#NAME?</v>
      </c>
      <c r="B6130">
        <v>393.75</v>
      </c>
      <c r="C6130">
        <v>20.531590000000001</v>
      </c>
      <c r="D6130">
        <v>63</v>
      </c>
      <c r="E6130">
        <v>0</v>
      </c>
      <c r="F6130">
        <v>0</v>
      </c>
      <c r="G6130">
        <v>13</v>
      </c>
      <c r="H6130" s="4">
        <v>1570558671254</v>
      </c>
      <c r="I6130">
        <v>526.5</v>
      </c>
      <c r="J6130" s="9">
        <f t="shared" si="95"/>
        <v>43747.054065439814</v>
      </c>
      <c r="K6130" s="1"/>
    </row>
    <row r="6131" spans="1:11" x14ac:dyDescent="0.25">
      <c r="A6131" t="e">
        <f>-Lqg_te0hLJ8IMHZtEWJ</f>
        <v>#NAME?</v>
      </c>
      <c r="B6131">
        <v>393.75</v>
      </c>
      <c r="C6131">
        <v>20.478950000000001</v>
      </c>
      <c r="D6131">
        <v>63</v>
      </c>
      <c r="E6131">
        <v>0</v>
      </c>
      <c r="F6131">
        <v>0</v>
      </c>
      <c r="G6131">
        <v>3</v>
      </c>
      <c r="H6131" s="4">
        <v>1570558678483</v>
      </c>
      <c r="I6131">
        <v>526.6875</v>
      </c>
      <c r="J6131" s="9">
        <f t="shared" si="95"/>
        <v>43747.054149108793</v>
      </c>
      <c r="K6131" s="1"/>
    </row>
    <row r="6132" spans="1:11" x14ac:dyDescent="0.25">
      <c r="A6132" t="e">
        <f>-Lqg_v7FXq4UvSv6fDbR</f>
        <v>#NAME?</v>
      </c>
      <c r="B6132">
        <v>393.75</v>
      </c>
      <c r="C6132">
        <v>20.478950000000001</v>
      </c>
      <c r="D6132">
        <v>64</v>
      </c>
      <c r="E6132">
        <v>0</v>
      </c>
      <c r="F6132">
        <v>0</v>
      </c>
      <c r="G6132">
        <v>2</v>
      </c>
      <c r="H6132" s="4">
        <v>1570558684653</v>
      </c>
      <c r="I6132">
        <v>526.5</v>
      </c>
      <c r="J6132" s="9">
        <f t="shared" si="95"/>
        <v>43747.054220520826</v>
      </c>
      <c r="K6132" s="1"/>
    </row>
    <row r="6133" spans="1:11" x14ac:dyDescent="0.25">
      <c r="A6133" t="e">
        <f>-Lqg_x0K9h3wjZ01S8qG</f>
        <v>#NAME?</v>
      </c>
      <c r="B6133">
        <v>412.5</v>
      </c>
      <c r="C6133">
        <v>20.478950000000001</v>
      </c>
      <c r="D6133">
        <v>64</v>
      </c>
      <c r="E6133">
        <v>0</v>
      </c>
      <c r="F6133">
        <v>0</v>
      </c>
      <c r="G6133">
        <v>6</v>
      </c>
      <c r="H6133" s="4">
        <v>1570558690833</v>
      </c>
      <c r="I6133">
        <v>532.3125</v>
      </c>
      <c r="J6133" s="9">
        <f t="shared" si="95"/>
        <v>43747.054292048611</v>
      </c>
      <c r="K6133" s="1"/>
    </row>
    <row r="6134" spans="1:11" x14ac:dyDescent="0.25">
      <c r="A6134" t="e">
        <f>-Lqg_ysoXyaJNHGODhAt</f>
        <v>#NAME?</v>
      </c>
      <c r="B6134">
        <v>393.75</v>
      </c>
      <c r="C6134">
        <v>20.478950000000001</v>
      </c>
      <c r="D6134">
        <v>63</v>
      </c>
      <c r="E6134">
        <v>0</v>
      </c>
      <c r="F6134">
        <v>0</v>
      </c>
      <c r="G6134">
        <v>9</v>
      </c>
      <c r="H6134" s="4">
        <v>1570558699071</v>
      </c>
      <c r="I6134">
        <v>526.6875</v>
      </c>
      <c r="J6134" s="9">
        <f t="shared" si="95"/>
        <v>43747.05438739583</v>
      </c>
      <c r="K6134" s="1"/>
    </row>
    <row r="6135" spans="1:11" x14ac:dyDescent="0.25">
      <c r="A6135" t="e">
        <f>-Lqga-SC2b5IiZVL-n3E</f>
        <v>#NAME?</v>
      </c>
      <c r="B6135">
        <v>393.75</v>
      </c>
      <c r="C6135">
        <v>20.478950000000001</v>
      </c>
      <c r="D6135">
        <v>63</v>
      </c>
      <c r="E6135">
        <v>0</v>
      </c>
      <c r="F6135">
        <v>0</v>
      </c>
      <c r="G6135">
        <v>9</v>
      </c>
      <c r="H6135" s="4">
        <v>1570558706293</v>
      </c>
      <c r="I6135">
        <v>526.5</v>
      </c>
      <c r="J6135" s="9">
        <f t="shared" si="95"/>
        <v>43747.054470983792</v>
      </c>
      <c r="K6135" s="1"/>
    </row>
    <row r="6136" spans="1:11" x14ac:dyDescent="0.25">
      <c r="A6136" t="e">
        <f>-Lqga0uwdu8w8VRIWsMi</f>
        <v>#NAME?</v>
      </c>
      <c r="B6136">
        <v>393.75</v>
      </c>
      <c r="C6136">
        <v>20.531590000000001</v>
      </c>
      <c r="D6136">
        <v>64</v>
      </c>
      <c r="E6136">
        <v>0</v>
      </c>
      <c r="F6136">
        <v>0</v>
      </c>
      <c r="G6136">
        <v>11</v>
      </c>
      <c r="H6136" s="4">
        <v>1570558712477</v>
      </c>
      <c r="I6136">
        <v>526.5</v>
      </c>
      <c r="J6136" s="9">
        <f t="shared" si="95"/>
        <v>43747.054542557868</v>
      </c>
      <c r="K6136" s="1"/>
    </row>
    <row r="6137" spans="1:11" x14ac:dyDescent="0.25">
      <c r="A6137" t="e">
        <f>-Lqga2V03B4m-cJbWdeQ</f>
        <v>#NAME?</v>
      </c>
      <c r="B6137">
        <v>393.75</v>
      </c>
      <c r="C6137">
        <v>20.478950000000001</v>
      </c>
      <c r="D6137">
        <v>64</v>
      </c>
      <c r="E6137">
        <v>0</v>
      </c>
      <c r="F6137">
        <v>0</v>
      </c>
      <c r="G6137">
        <v>14</v>
      </c>
      <c r="H6137" s="4">
        <v>1570558718653</v>
      </c>
      <c r="I6137">
        <v>526.6875</v>
      </c>
      <c r="J6137" s="9">
        <f t="shared" si="95"/>
        <v>43747.054614039349</v>
      </c>
      <c r="K6137" s="1"/>
    </row>
    <row r="6138" spans="1:11" x14ac:dyDescent="0.25">
      <c r="A6138" t="e">
        <f>-Lqga3xwN-nbRpPIM2Fr</f>
        <v>#NAME?</v>
      </c>
      <c r="B6138">
        <v>393.75</v>
      </c>
      <c r="C6138">
        <v>20.531590000000001</v>
      </c>
      <c r="D6138">
        <v>64</v>
      </c>
      <c r="E6138">
        <v>0</v>
      </c>
      <c r="F6138">
        <v>0</v>
      </c>
      <c r="G6138">
        <v>7</v>
      </c>
      <c r="H6138" s="4">
        <v>1570558724831</v>
      </c>
      <c r="I6138">
        <v>526.6875</v>
      </c>
      <c r="J6138" s="9">
        <f t="shared" si="95"/>
        <v>43747.054685543982</v>
      </c>
      <c r="K6138" s="1"/>
    </row>
    <row r="6139" spans="1:11" x14ac:dyDescent="0.25">
      <c r="A6139" t="e">
        <f>-Lqga5T1u5A1bSnv4KQ3</f>
        <v>#NAME?</v>
      </c>
      <c r="B6139">
        <v>412.5</v>
      </c>
      <c r="C6139">
        <v>20.478950000000001</v>
      </c>
      <c r="D6139">
        <v>64</v>
      </c>
      <c r="E6139">
        <v>0</v>
      </c>
      <c r="F6139">
        <v>0</v>
      </c>
      <c r="G6139">
        <v>10</v>
      </c>
      <c r="H6139" s="4">
        <v>1570558731031</v>
      </c>
      <c r="I6139">
        <v>532.125</v>
      </c>
      <c r="J6139" s="9">
        <f t="shared" si="95"/>
        <v>43747.054757303238</v>
      </c>
      <c r="K6139" s="1"/>
    </row>
    <row r="6140" spans="1:11" x14ac:dyDescent="0.25">
      <c r="A6140" t="e">
        <f>-Lqga6xBUvhyRqUMuK5n</f>
        <v>#NAME?</v>
      </c>
      <c r="B6140">
        <v>393.75</v>
      </c>
      <c r="C6140">
        <v>20.478950000000001</v>
      </c>
      <c r="D6140">
        <v>65</v>
      </c>
      <c r="E6140">
        <v>0</v>
      </c>
      <c r="F6140">
        <v>0</v>
      </c>
      <c r="G6140">
        <v>7</v>
      </c>
      <c r="H6140" s="4">
        <v>1570558737203</v>
      </c>
      <c r="I6140">
        <v>526.6875</v>
      </c>
      <c r="J6140" s="9">
        <f t="shared" si="95"/>
        <v>43747.054828738423</v>
      </c>
      <c r="K6140" s="1"/>
    </row>
    <row r="6141" spans="1:11" x14ac:dyDescent="0.25">
      <c r="A6141" t="e">
        <f>-Lqga8pBW9z61SMVE7r4</f>
        <v>#NAME?</v>
      </c>
      <c r="B6141">
        <v>393.75</v>
      </c>
      <c r="C6141">
        <v>20.531590000000001</v>
      </c>
      <c r="D6141">
        <v>65</v>
      </c>
      <c r="E6141">
        <v>0</v>
      </c>
      <c r="F6141">
        <v>0</v>
      </c>
      <c r="G6141">
        <v>8</v>
      </c>
      <c r="H6141" s="4">
        <v>1570558743392</v>
      </c>
      <c r="I6141">
        <v>526.6875</v>
      </c>
      <c r="J6141" s="9">
        <f t="shared" si="95"/>
        <v>43747.054900370371</v>
      </c>
      <c r="K6141" s="1"/>
    </row>
    <row r="6142" spans="1:11" x14ac:dyDescent="0.25">
      <c r="A6142" t="e">
        <f>-LqgaAY1T6hjRp5VOhwg</f>
        <v>#NAME?</v>
      </c>
      <c r="B6142">
        <v>415.625</v>
      </c>
      <c r="C6142">
        <v>20.478950000000001</v>
      </c>
      <c r="D6142">
        <v>65</v>
      </c>
      <c r="E6142">
        <v>0</v>
      </c>
      <c r="F6142">
        <v>0</v>
      </c>
      <c r="G6142">
        <v>5</v>
      </c>
      <c r="H6142" s="4">
        <v>1570558751634</v>
      </c>
      <c r="I6142">
        <v>533.25</v>
      </c>
      <c r="J6142" s="9">
        <f t="shared" si="95"/>
        <v>43747.054995763887</v>
      </c>
      <c r="K6142" s="1"/>
    </row>
    <row r="6143" spans="1:11" x14ac:dyDescent="0.25">
      <c r="A6143" t="e">
        <f>-LqgaCGYCUaWRmZT6Wct</f>
        <v>#NAME?</v>
      </c>
      <c r="B6143">
        <v>393.75</v>
      </c>
      <c r="C6143">
        <v>20.478950000000001</v>
      </c>
      <c r="D6143">
        <v>65</v>
      </c>
      <c r="E6143">
        <v>0</v>
      </c>
      <c r="F6143">
        <v>0</v>
      </c>
      <c r="G6143">
        <v>9</v>
      </c>
      <c r="H6143" s="4">
        <v>1570558758802</v>
      </c>
      <c r="I6143">
        <v>526.6875</v>
      </c>
      <c r="J6143" s="9">
        <f t="shared" si="95"/>
        <v>43747.055078726851</v>
      </c>
      <c r="K6143" s="1"/>
    </row>
    <row r="6144" spans="1:11" x14ac:dyDescent="0.25">
      <c r="A6144" t="e">
        <f>-LqgaDoF3V5-lFYIg5Br</f>
        <v>#NAME?</v>
      </c>
      <c r="B6144">
        <v>393.75</v>
      </c>
      <c r="C6144">
        <v>20.478950000000001</v>
      </c>
      <c r="D6144">
        <v>65</v>
      </c>
      <c r="E6144">
        <v>0</v>
      </c>
      <c r="F6144">
        <v>0</v>
      </c>
      <c r="G6144">
        <v>1</v>
      </c>
      <c r="H6144" s="4">
        <v>1570558765032</v>
      </c>
      <c r="I6144">
        <v>526.6875</v>
      </c>
      <c r="J6144" s="9">
        <f t="shared" si="95"/>
        <v>43747.05515083333</v>
      </c>
      <c r="K6144" s="1"/>
    </row>
    <row r="6145" spans="1:11" x14ac:dyDescent="0.25">
      <c r="A6145" t="e">
        <f>-LqgaFVfO9zm6r0QfZXq</f>
        <v>#NAME?</v>
      </c>
      <c r="B6145">
        <v>393.75</v>
      </c>
      <c r="C6145">
        <v>20.478950000000001</v>
      </c>
      <c r="D6145">
        <v>66</v>
      </c>
      <c r="E6145">
        <v>0</v>
      </c>
      <c r="F6145">
        <v>0</v>
      </c>
      <c r="G6145">
        <v>1</v>
      </c>
      <c r="H6145" s="4">
        <v>1570558772243</v>
      </c>
      <c r="I6145">
        <v>526.6875</v>
      </c>
      <c r="J6145" s="9">
        <f t="shared" si="95"/>
        <v>43747.055234293977</v>
      </c>
      <c r="K6145" s="1"/>
    </row>
    <row r="6146" spans="1:11" x14ac:dyDescent="0.25">
      <c r="A6146" t="e">
        <f>-LqgaH4wGTr_rPBZvAeV</f>
        <v>#NAME?</v>
      </c>
      <c r="B6146">
        <v>393.75</v>
      </c>
      <c r="C6146">
        <v>20.478950000000001</v>
      </c>
      <c r="D6146">
        <v>66</v>
      </c>
      <c r="E6146">
        <v>0</v>
      </c>
      <c r="F6146">
        <v>0</v>
      </c>
      <c r="G6146">
        <v>1</v>
      </c>
      <c r="H6146" s="4">
        <v>1570558778433</v>
      </c>
      <c r="I6146">
        <v>526.6875</v>
      </c>
      <c r="J6146" s="9">
        <f t="shared" si="95"/>
        <v>43747.055305937502</v>
      </c>
      <c r="K6146" s="1"/>
    </row>
    <row r="6147" spans="1:11" x14ac:dyDescent="0.25">
      <c r="A6147" t="e">
        <f>-LqgaIZxqXKJ53KG9Dlz</f>
        <v>#NAME?</v>
      </c>
      <c r="B6147">
        <v>393.75</v>
      </c>
      <c r="C6147">
        <v>20.478950000000001</v>
      </c>
      <c r="D6147">
        <v>66</v>
      </c>
      <c r="E6147">
        <v>0</v>
      </c>
      <c r="F6147">
        <v>0</v>
      </c>
      <c r="G6147">
        <v>1</v>
      </c>
      <c r="H6147" s="4">
        <v>1570558784602</v>
      </c>
      <c r="I6147">
        <v>526.6875</v>
      </c>
      <c r="J6147" s="9">
        <f t="shared" ref="J6147:J6159" si="96">(H6147/86400000)+25569+(7/24)</f>
        <v>43747.055377337958</v>
      </c>
      <c r="K6147" s="1"/>
    </row>
    <row r="6148" spans="1:11" x14ac:dyDescent="0.25">
      <c r="A6148" t="e">
        <f>-LqgaKGPevfFRT2ckcuc</f>
        <v>#NAME?</v>
      </c>
      <c r="B6148">
        <v>393.75</v>
      </c>
      <c r="C6148">
        <v>20.478950000000001</v>
      </c>
      <c r="D6148">
        <v>66</v>
      </c>
      <c r="E6148">
        <v>0</v>
      </c>
      <c r="F6148">
        <v>0</v>
      </c>
      <c r="G6148">
        <v>1</v>
      </c>
      <c r="H6148" s="4">
        <v>1570558790803</v>
      </c>
      <c r="I6148">
        <v>526.6875</v>
      </c>
      <c r="J6148" s="9">
        <f t="shared" si="96"/>
        <v>43747.05544910879</v>
      </c>
      <c r="K6148" s="1"/>
    </row>
    <row r="6149" spans="1:11" x14ac:dyDescent="0.25">
      <c r="A6149" t="s">
        <v>324</v>
      </c>
      <c r="B6149">
        <v>393.75</v>
      </c>
      <c r="C6149">
        <v>20.478950000000001</v>
      </c>
      <c r="D6149">
        <v>64</v>
      </c>
      <c r="E6149">
        <v>0</v>
      </c>
      <c r="F6149">
        <v>0</v>
      </c>
      <c r="G6149">
        <v>1</v>
      </c>
      <c r="H6149" s="4">
        <v>1570558798012</v>
      </c>
      <c r="I6149">
        <v>526.5</v>
      </c>
      <c r="J6149" s="9">
        <f t="shared" si="96"/>
        <v>43747.055532546299</v>
      </c>
      <c r="K6149" s="1"/>
    </row>
    <row r="6150" spans="1:11" x14ac:dyDescent="0.25">
      <c r="A6150" t="e">
        <f>-LqgaNa1c9uQzE5wIngz</f>
        <v>#NAME?</v>
      </c>
      <c r="B6150">
        <v>393.75</v>
      </c>
      <c r="C6150">
        <v>20.531590000000001</v>
      </c>
      <c r="D6150">
        <v>64</v>
      </c>
      <c r="E6150">
        <v>0</v>
      </c>
      <c r="F6150">
        <v>0</v>
      </c>
      <c r="G6150">
        <v>1</v>
      </c>
      <c r="H6150" s="4">
        <v>1570558805204</v>
      </c>
      <c r="I6150">
        <v>526.5</v>
      </c>
      <c r="J6150" s="9">
        <f t="shared" si="96"/>
        <v>43747.055615787038</v>
      </c>
      <c r="K6150" s="1"/>
    </row>
    <row r="6151" spans="1:11" x14ac:dyDescent="0.25">
      <c r="A6151" t="e">
        <f>-LqgaP7wUJ5qzcibvHb0</f>
        <v>#NAME?</v>
      </c>
      <c r="B6151">
        <v>412.5</v>
      </c>
      <c r="C6151">
        <v>20.531590000000001</v>
      </c>
      <c r="D6151">
        <v>63</v>
      </c>
      <c r="E6151">
        <v>0</v>
      </c>
      <c r="F6151">
        <v>0</v>
      </c>
      <c r="G6151">
        <v>1</v>
      </c>
      <c r="H6151" s="4">
        <v>1570558811402</v>
      </c>
      <c r="I6151">
        <v>532.3125</v>
      </c>
      <c r="J6151" s="9">
        <f t="shared" si="96"/>
        <v>43747.055687523149</v>
      </c>
      <c r="K6151" s="1"/>
    </row>
    <row r="6152" spans="1:11" x14ac:dyDescent="0.25">
      <c r="A6152" t="e">
        <f>-LqgaQd2YngO1Qt-LcDB</f>
        <v>#NAME?</v>
      </c>
      <c r="B6152">
        <v>393.75</v>
      </c>
      <c r="C6152">
        <v>20.531590000000001</v>
      </c>
      <c r="D6152">
        <v>63</v>
      </c>
      <c r="E6152">
        <v>0</v>
      </c>
      <c r="F6152">
        <v>0</v>
      </c>
      <c r="G6152">
        <v>1</v>
      </c>
      <c r="H6152" s="4">
        <v>1570558817563</v>
      </c>
      <c r="I6152">
        <v>526.6875</v>
      </c>
      <c r="J6152" s="9">
        <f t="shared" si="96"/>
        <v>43747.055758831011</v>
      </c>
      <c r="K6152" s="1"/>
    </row>
    <row r="6153" spans="1:11" x14ac:dyDescent="0.25">
      <c r="A6153" t="e">
        <f>-LqgaS4gdnbnNBLGd0_3</f>
        <v>#NAME?</v>
      </c>
      <c r="B6153">
        <v>393.75</v>
      </c>
      <c r="C6153">
        <v>20.478950000000001</v>
      </c>
      <c r="D6153">
        <v>62</v>
      </c>
      <c r="E6153">
        <v>0</v>
      </c>
      <c r="F6153">
        <v>0</v>
      </c>
      <c r="G6153">
        <v>1</v>
      </c>
      <c r="H6153" s="4">
        <v>1570558823761</v>
      </c>
      <c r="I6153">
        <v>526.6875</v>
      </c>
      <c r="J6153" s="9">
        <f t="shared" si="96"/>
        <v>43747.055830567122</v>
      </c>
      <c r="K6153" s="1"/>
    </row>
    <row r="6154" spans="1:11" x14ac:dyDescent="0.25">
      <c r="A6154" t="e">
        <f>-LqgaTexNFKkbBTRy3r9</f>
        <v>#NAME?</v>
      </c>
      <c r="B6154">
        <v>393.75</v>
      </c>
      <c r="C6154">
        <v>20.531590000000001</v>
      </c>
      <c r="D6154">
        <v>63</v>
      </c>
      <c r="E6154">
        <v>0</v>
      </c>
      <c r="F6154">
        <v>0</v>
      </c>
      <c r="G6154">
        <v>1</v>
      </c>
      <c r="H6154" s="4">
        <v>1570558829956</v>
      </c>
      <c r="I6154">
        <v>526.6875</v>
      </c>
      <c r="J6154" s="9">
        <f t="shared" si="96"/>
        <v>43747.055902268512</v>
      </c>
      <c r="K6154" s="1"/>
    </row>
    <row r="6155" spans="1:11" x14ac:dyDescent="0.25">
      <c r="A6155" t="e">
        <f>-LqgaVA2q8tWdx5drSyQ</f>
        <v>#NAME?</v>
      </c>
      <c r="B6155">
        <v>428.125</v>
      </c>
      <c r="C6155">
        <v>20.531590000000001</v>
      </c>
      <c r="D6155">
        <v>63</v>
      </c>
      <c r="E6155">
        <v>0</v>
      </c>
      <c r="F6155">
        <v>0</v>
      </c>
      <c r="G6155">
        <v>1</v>
      </c>
      <c r="H6155" s="4">
        <v>1570558836123</v>
      </c>
      <c r="I6155">
        <v>537.1875</v>
      </c>
      <c r="J6155" s="9">
        <f t="shared" si="96"/>
        <v>43747.055973645831</v>
      </c>
      <c r="K6155" s="1"/>
    </row>
    <row r="6156" spans="1:11" x14ac:dyDescent="0.25">
      <c r="A6156" t="e">
        <f>-LqgaWe08X0zTNi7FN0w</f>
        <v>#NAME?</v>
      </c>
      <c r="B6156">
        <v>393.75</v>
      </c>
      <c r="C6156">
        <v>20.478950000000001</v>
      </c>
      <c r="D6156">
        <v>65</v>
      </c>
      <c r="E6156">
        <v>0</v>
      </c>
      <c r="F6156">
        <v>0</v>
      </c>
      <c r="G6156">
        <v>1</v>
      </c>
      <c r="H6156" s="4">
        <v>1570558842323</v>
      </c>
      <c r="I6156">
        <v>526.6875</v>
      </c>
      <c r="J6156" s="9">
        <f t="shared" si="96"/>
        <v>43747.056045405094</v>
      </c>
      <c r="K6156" s="1"/>
    </row>
    <row r="6157" spans="1:11" x14ac:dyDescent="0.25">
      <c r="A6157" t="e">
        <f>-LqgaYBvuXIjQ7qpoqQJ</f>
        <v>#NAME?</v>
      </c>
      <c r="B6157">
        <v>393.75</v>
      </c>
      <c r="C6157">
        <v>20.478950000000001</v>
      </c>
      <c r="D6157">
        <v>64</v>
      </c>
      <c r="E6157">
        <v>0</v>
      </c>
      <c r="F6157">
        <v>0</v>
      </c>
      <c r="G6157">
        <v>1</v>
      </c>
      <c r="H6157" s="4">
        <v>1570558848511</v>
      </c>
      <c r="I6157">
        <v>526.5</v>
      </c>
      <c r="J6157" s="9">
        <f t="shared" si="96"/>
        <v>43747.056117025459</v>
      </c>
      <c r="K6157" s="1"/>
    </row>
    <row r="6158" spans="1:11" x14ac:dyDescent="0.25">
      <c r="A6158" t="e">
        <f>-LqgaZh3a_zb1NMBEwbJ</f>
        <v>#NAME?</v>
      </c>
      <c r="B6158">
        <v>393.75</v>
      </c>
      <c r="C6158">
        <v>20.478950000000001</v>
      </c>
      <c r="D6158">
        <v>64</v>
      </c>
      <c r="E6158">
        <v>0</v>
      </c>
      <c r="F6158">
        <v>0</v>
      </c>
      <c r="G6158">
        <v>1</v>
      </c>
      <c r="H6158" s="4">
        <v>1570558854683</v>
      </c>
      <c r="I6158">
        <v>526.6875</v>
      </c>
      <c r="J6158" s="9">
        <f t="shared" si="96"/>
        <v>43747.05618846065</v>
      </c>
      <c r="K6158" s="1"/>
    </row>
    <row r="6159" spans="1:11" x14ac:dyDescent="0.25">
      <c r="A6159" t="e">
        <f>-LqgaaCG0LkIx2kK5rx5</f>
        <v>#NAME?</v>
      </c>
      <c r="B6159">
        <v>393.75</v>
      </c>
      <c r="C6159">
        <v>20.531590000000001</v>
      </c>
      <c r="D6159">
        <v>65</v>
      </c>
      <c r="E6159">
        <v>0</v>
      </c>
      <c r="F6159">
        <v>0</v>
      </c>
      <c r="G6159">
        <v>1</v>
      </c>
      <c r="H6159" s="4">
        <v>1570558860883</v>
      </c>
      <c r="I6159">
        <v>526.6875</v>
      </c>
      <c r="J6159" s="9">
        <f t="shared" si="96"/>
        <v>43747.056260219906</v>
      </c>
      <c r="K6159" s="1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2663"/>
  <sheetViews>
    <sheetView workbookViewId="0">
      <selection activeCell="J3" sqref="J3"/>
    </sheetView>
  </sheetViews>
  <sheetFormatPr defaultRowHeight="15" x14ac:dyDescent="0.25"/>
  <cols>
    <col min="1" max="1" width="25.140625" bestFit="1" customWidth="1"/>
    <col min="10" max="10" width="18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55071</v>
      </c>
    </row>
    <row r="2" spans="1:10" x14ac:dyDescent="0.25">
      <c r="A2" s="5" t="s">
        <v>325</v>
      </c>
      <c r="B2" s="6">
        <v>393.75</v>
      </c>
      <c r="C2" s="6">
        <v>20.478950000000001</v>
      </c>
      <c r="D2" s="6">
        <v>101</v>
      </c>
      <c r="E2" s="6">
        <v>0</v>
      </c>
      <c r="F2" s="6">
        <v>0</v>
      </c>
      <c r="G2" s="6">
        <v>0</v>
      </c>
      <c r="H2" s="6" t="s">
        <v>326</v>
      </c>
      <c r="I2" s="6">
        <v>526.6875</v>
      </c>
      <c r="J2" s="2">
        <f>(H2/86400000)+25569+(7/24)</f>
        <v>43747.403764317125</v>
      </c>
    </row>
    <row r="3" spans="1:10" x14ac:dyDescent="0.25">
      <c r="A3" s="7" t="s">
        <v>327</v>
      </c>
      <c r="B3" s="8">
        <v>393.75</v>
      </c>
      <c r="C3" s="8">
        <v>20.478950000000001</v>
      </c>
      <c r="D3" s="8">
        <v>101</v>
      </c>
      <c r="E3" s="8">
        <v>0</v>
      </c>
      <c r="F3" s="8">
        <v>0</v>
      </c>
      <c r="G3" s="8">
        <v>0</v>
      </c>
      <c r="H3" s="8" t="s">
        <v>328</v>
      </c>
      <c r="I3" s="8">
        <v>526.6875</v>
      </c>
      <c r="J3" s="3">
        <f t="shared" ref="J2:J65" si="0">(H3/86400000)+25569+(7/24)</f>
        <v>43747.403845208326</v>
      </c>
    </row>
    <row r="4" spans="1:10" x14ac:dyDescent="0.25">
      <c r="A4" s="5" t="s">
        <v>329</v>
      </c>
      <c r="B4" s="6">
        <v>393.75</v>
      </c>
      <c r="C4" s="6">
        <v>20.478950000000001</v>
      </c>
      <c r="D4" s="6">
        <v>101</v>
      </c>
      <c r="E4" s="6">
        <v>0</v>
      </c>
      <c r="F4" s="6">
        <v>0</v>
      </c>
      <c r="G4" s="6">
        <v>0</v>
      </c>
      <c r="H4" s="6" t="s">
        <v>330</v>
      </c>
      <c r="I4" s="6">
        <v>526.6875</v>
      </c>
      <c r="J4" s="2">
        <f t="shared" si="0"/>
        <v>43747.40391552083</v>
      </c>
    </row>
    <row r="5" spans="1:10" x14ac:dyDescent="0.25">
      <c r="A5" s="7" t="s">
        <v>331</v>
      </c>
      <c r="B5" s="8">
        <v>393.75</v>
      </c>
      <c r="C5" s="8">
        <v>20.478950000000001</v>
      </c>
      <c r="D5" s="8">
        <v>101</v>
      </c>
      <c r="E5" s="8">
        <v>0</v>
      </c>
      <c r="F5" s="8">
        <v>0</v>
      </c>
      <c r="G5" s="8">
        <v>0</v>
      </c>
      <c r="H5" s="8" t="s">
        <v>332</v>
      </c>
      <c r="I5" s="8">
        <v>526.6875</v>
      </c>
      <c r="J5" s="3">
        <f t="shared" si="0"/>
        <v>43747.403999108799</v>
      </c>
    </row>
    <row r="6" spans="1:10" x14ac:dyDescent="0.25">
      <c r="A6" s="5" t="s">
        <v>333</v>
      </c>
      <c r="B6" s="6">
        <v>393.75</v>
      </c>
      <c r="C6" s="6">
        <v>20.478950000000001</v>
      </c>
      <c r="D6" s="6">
        <v>101</v>
      </c>
      <c r="E6" s="6">
        <v>0</v>
      </c>
      <c r="F6" s="6">
        <v>0</v>
      </c>
      <c r="G6" s="6">
        <v>8</v>
      </c>
      <c r="H6" s="6" t="s">
        <v>334</v>
      </c>
      <c r="I6" s="6">
        <v>526.6875</v>
      </c>
      <c r="J6" s="2">
        <f t="shared" si="0"/>
        <v>43747.404082083332</v>
      </c>
    </row>
    <row r="7" spans="1:10" x14ac:dyDescent="0.25">
      <c r="A7" s="7" t="s">
        <v>335</v>
      </c>
      <c r="B7" s="8">
        <v>393.75</v>
      </c>
      <c r="C7" s="8">
        <v>20.478950000000001</v>
      </c>
      <c r="D7" s="8">
        <v>101</v>
      </c>
      <c r="E7" s="8">
        <v>0</v>
      </c>
      <c r="F7" s="8">
        <v>0</v>
      </c>
      <c r="G7" s="8">
        <v>0</v>
      </c>
      <c r="H7" s="8" t="s">
        <v>336</v>
      </c>
      <c r="I7" s="8">
        <v>526.6875</v>
      </c>
      <c r="J7" s="3">
        <f t="shared" si="0"/>
        <v>43747.404153888885</v>
      </c>
    </row>
    <row r="8" spans="1:10" x14ac:dyDescent="0.25">
      <c r="A8" s="5" t="s">
        <v>337</v>
      </c>
      <c r="B8" s="6">
        <v>393.75</v>
      </c>
      <c r="C8" s="6">
        <v>20.478950000000001</v>
      </c>
      <c r="D8" s="6">
        <v>99</v>
      </c>
      <c r="E8" s="6">
        <v>0</v>
      </c>
      <c r="F8" s="6">
        <v>0</v>
      </c>
      <c r="G8" s="6">
        <v>0</v>
      </c>
      <c r="H8" s="6" t="s">
        <v>338</v>
      </c>
      <c r="I8" s="6">
        <v>526.5</v>
      </c>
      <c r="J8" s="2">
        <f t="shared" si="0"/>
        <v>43747.40423763889</v>
      </c>
    </row>
    <row r="9" spans="1:10" x14ac:dyDescent="0.25">
      <c r="A9" s="7" t="s">
        <v>339</v>
      </c>
      <c r="B9" s="8">
        <v>412.5</v>
      </c>
      <c r="C9" s="8">
        <v>20.478950000000001</v>
      </c>
      <c r="D9" s="8">
        <v>98</v>
      </c>
      <c r="E9" s="8">
        <v>0</v>
      </c>
      <c r="F9" s="8">
        <v>0</v>
      </c>
      <c r="G9" s="8">
        <v>0</v>
      </c>
      <c r="H9" s="8" t="s">
        <v>340</v>
      </c>
      <c r="I9" s="8">
        <v>532.3125</v>
      </c>
      <c r="J9" s="3">
        <f t="shared" si="0"/>
        <v>43747.404320995367</v>
      </c>
    </row>
    <row r="10" spans="1:10" x14ac:dyDescent="0.25">
      <c r="A10" s="5" t="s">
        <v>341</v>
      </c>
      <c r="B10" s="6">
        <v>393.75</v>
      </c>
      <c r="C10" s="6">
        <v>20.478950000000001</v>
      </c>
      <c r="D10" s="6">
        <v>98</v>
      </c>
      <c r="E10" s="6">
        <v>0</v>
      </c>
      <c r="F10" s="6">
        <v>0</v>
      </c>
      <c r="G10" s="6">
        <v>18</v>
      </c>
      <c r="H10" s="6" t="s">
        <v>342</v>
      </c>
      <c r="I10" s="6">
        <v>526.5</v>
      </c>
      <c r="J10" s="2">
        <f t="shared" si="0"/>
        <v>43747.404404432869</v>
      </c>
    </row>
    <row r="11" spans="1:10" x14ac:dyDescent="0.25">
      <c r="A11" s="7" t="s">
        <v>343</v>
      </c>
      <c r="B11" s="8">
        <v>393.75</v>
      </c>
      <c r="C11" s="8">
        <v>20.478950000000001</v>
      </c>
      <c r="D11" s="8">
        <v>98</v>
      </c>
      <c r="E11" s="8">
        <v>0</v>
      </c>
      <c r="F11" s="8">
        <v>0</v>
      </c>
      <c r="G11" s="8">
        <v>13</v>
      </c>
      <c r="H11" s="8" t="s">
        <v>344</v>
      </c>
      <c r="I11" s="8">
        <v>526.6875</v>
      </c>
      <c r="J11" s="3">
        <f t="shared" si="0"/>
        <v>43747.404487870364</v>
      </c>
    </row>
    <row r="12" spans="1:10" x14ac:dyDescent="0.25">
      <c r="A12" s="5" t="s">
        <v>345</v>
      </c>
      <c r="B12" s="6">
        <v>393.75</v>
      </c>
      <c r="C12" s="6">
        <v>20.478950000000001</v>
      </c>
      <c r="D12" s="6">
        <v>96</v>
      </c>
      <c r="E12" s="6">
        <v>0</v>
      </c>
      <c r="F12" s="6">
        <v>0</v>
      </c>
      <c r="G12" s="6">
        <v>8</v>
      </c>
      <c r="H12" s="6" t="s">
        <v>346</v>
      </c>
      <c r="I12" s="6">
        <v>526.6875</v>
      </c>
      <c r="J12" s="2">
        <f t="shared" si="0"/>
        <v>43747.404570983796</v>
      </c>
    </row>
    <row r="13" spans="1:10" x14ac:dyDescent="0.25">
      <c r="A13" s="7" t="s">
        <v>347</v>
      </c>
      <c r="B13" s="8">
        <v>396.875</v>
      </c>
      <c r="C13" s="8">
        <v>20.478950000000001</v>
      </c>
      <c r="D13" s="8">
        <v>95</v>
      </c>
      <c r="E13" s="8">
        <v>0</v>
      </c>
      <c r="F13" s="8">
        <v>0</v>
      </c>
      <c r="G13" s="8">
        <v>10</v>
      </c>
      <c r="H13" s="8" t="s">
        <v>348</v>
      </c>
      <c r="I13" s="8">
        <v>527.4375</v>
      </c>
      <c r="J13" s="3">
        <f t="shared" si="0"/>
        <v>43747.404642858797</v>
      </c>
    </row>
    <row r="14" spans="1:10" x14ac:dyDescent="0.25">
      <c r="A14" s="5" t="s">
        <v>349</v>
      </c>
      <c r="B14" s="6">
        <v>415.625</v>
      </c>
      <c r="C14" s="6">
        <v>20.478950000000001</v>
      </c>
      <c r="D14" s="6">
        <v>96</v>
      </c>
      <c r="E14" s="6">
        <v>0</v>
      </c>
      <c r="F14" s="6">
        <v>0</v>
      </c>
      <c r="G14" s="6">
        <v>8</v>
      </c>
      <c r="H14" s="6" t="s">
        <v>350</v>
      </c>
      <c r="I14" s="6">
        <v>533.0625</v>
      </c>
      <c r="J14" s="2">
        <f t="shared" si="0"/>
        <v>43747.404726296292</v>
      </c>
    </row>
    <row r="15" spans="1:10" x14ac:dyDescent="0.25">
      <c r="A15" s="7" t="s">
        <v>351</v>
      </c>
      <c r="B15" s="8">
        <v>393.75</v>
      </c>
      <c r="C15" s="8">
        <v>20.478950000000001</v>
      </c>
      <c r="D15" s="8">
        <v>95</v>
      </c>
      <c r="E15" s="8">
        <v>0</v>
      </c>
      <c r="F15" s="8">
        <v>0</v>
      </c>
      <c r="G15" s="8">
        <v>8</v>
      </c>
      <c r="H15" s="8" t="s">
        <v>352</v>
      </c>
      <c r="I15" s="8">
        <v>526.5</v>
      </c>
      <c r="J15" s="3">
        <f t="shared" si="0"/>
        <v>43747.404809768515</v>
      </c>
    </row>
    <row r="16" spans="1:10" x14ac:dyDescent="0.25">
      <c r="A16" s="5" t="s">
        <v>353</v>
      </c>
      <c r="B16" s="6">
        <v>396.875</v>
      </c>
      <c r="C16" s="6">
        <v>20.478950000000001</v>
      </c>
      <c r="D16" s="6">
        <v>95</v>
      </c>
      <c r="E16" s="6">
        <v>0</v>
      </c>
      <c r="F16" s="6">
        <v>0</v>
      </c>
      <c r="G16" s="6">
        <v>9</v>
      </c>
      <c r="H16" s="6" t="s">
        <v>354</v>
      </c>
      <c r="I16" s="6">
        <v>527.4375</v>
      </c>
      <c r="J16" s="2">
        <f t="shared" si="0"/>
        <v>43747.404893206018</v>
      </c>
    </row>
    <row r="17" spans="1:10" x14ac:dyDescent="0.25">
      <c r="A17" s="7" t="s">
        <v>355</v>
      </c>
      <c r="B17" s="8">
        <v>396.875</v>
      </c>
      <c r="C17" s="8">
        <v>20.478950000000001</v>
      </c>
      <c r="D17" s="8">
        <v>95</v>
      </c>
      <c r="E17" s="8">
        <v>0</v>
      </c>
      <c r="F17" s="8">
        <v>0</v>
      </c>
      <c r="G17" s="8">
        <v>5</v>
      </c>
      <c r="H17" s="8" t="s">
        <v>356</v>
      </c>
      <c r="I17" s="8">
        <v>527.4375</v>
      </c>
      <c r="J17" s="3">
        <f t="shared" si="0"/>
        <v>43747.404976655089</v>
      </c>
    </row>
    <row r="18" spans="1:10" x14ac:dyDescent="0.25">
      <c r="A18" s="5" t="s">
        <v>357</v>
      </c>
      <c r="B18" s="6">
        <v>400</v>
      </c>
      <c r="C18" s="6">
        <v>20.478950000000001</v>
      </c>
      <c r="D18" s="6">
        <v>95</v>
      </c>
      <c r="E18" s="6">
        <v>0</v>
      </c>
      <c r="F18" s="6">
        <v>0</v>
      </c>
      <c r="G18" s="6">
        <v>9</v>
      </c>
      <c r="H18" s="6" t="s">
        <v>358</v>
      </c>
      <c r="I18" s="6">
        <v>528.1875</v>
      </c>
      <c r="J18" s="2">
        <f t="shared" si="0"/>
        <v>43747.405059872683</v>
      </c>
    </row>
    <row r="19" spans="1:10" x14ac:dyDescent="0.25">
      <c r="A19" s="7" t="s">
        <v>359</v>
      </c>
      <c r="B19" s="8">
        <v>400</v>
      </c>
      <c r="C19" s="8">
        <v>20.478950000000001</v>
      </c>
      <c r="D19" s="8">
        <v>95</v>
      </c>
      <c r="E19" s="8">
        <v>0</v>
      </c>
      <c r="F19" s="8">
        <v>0</v>
      </c>
      <c r="G19" s="8">
        <v>2</v>
      </c>
      <c r="H19" s="8" t="s">
        <v>360</v>
      </c>
      <c r="I19" s="8">
        <v>528.1875</v>
      </c>
      <c r="J19" s="3">
        <f t="shared" si="0"/>
        <v>43747.405131631946</v>
      </c>
    </row>
    <row r="20" spans="1:10" x14ac:dyDescent="0.25">
      <c r="A20" s="5" t="s">
        <v>361</v>
      </c>
      <c r="B20" s="6">
        <v>400</v>
      </c>
      <c r="C20" s="6">
        <v>20.478950000000001</v>
      </c>
      <c r="D20" s="6">
        <v>95</v>
      </c>
      <c r="E20" s="6">
        <v>0</v>
      </c>
      <c r="F20" s="6">
        <v>0</v>
      </c>
      <c r="G20" s="6">
        <v>6</v>
      </c>
      <c r="H20" s="6" t="s">
        <v>362</v>
      </c>
      <c r="I20" s="6">
        <v>528.375</v>
      </c>
      <c r="J20" s="2">
        <f t="shared" si="0"/>
        <v>43747.405203055554</v>
      </c>
    </row>
    <row r="21" spans="1:10" x14ac:dyDescent="0.25">
      <c r="A21" s="7" t="s">
        <v>363</v>
      </c>
      <c r="B21" s="8">
        <v>400</v>
      </c>
      <c r="C21" s="8">
        <v>20.478950000000001</v>
      </c>
      <c r="D21" s="8">
        <v>94</v>
      </c>
      <c r="E21" s="8">
        <v>0</v>
      </c>
      <c r="F21" s="8">
        <v>0</v>
      </c>
      <c r="G21" s="8">
        <v>9</v>
      </c>
      <c r="H21" s="8" t="s">
        <v>364</v>
      </c>
      <c r="I21" s="8">
        <v>528.1875</v>
      </c>
      <c r="J21" s="3">
        <f t="shared" si="0"/>
        <v>43747.405286620364</v>
      </c>
    </row>
    <row r="22" spans="1:10" x14ac:dyDescent="0.25">
      <c r="A22" s="5" t="s">
        <v>365</v>
      </c>
      <c r="B22" s="6">
        <v>415.625</v>
      </c>
      <c r="C22" s="6">
        <v>20.531590000000001</v>
      </c>
      <c r="D22" s="6">
        <v>97</v>
      </c>
      <c r="E22" s="6">
        <v>0</v>
      </c>
      <c r="F22" s="6">
        <v>0</v>
      </c>
      <c r="G22" s="6">
        <v>5</v>
      </c>
      <c r="H22" s="6" t="s">
        <v>366</v>
      </c>
      <c r="I22" s="6">
        <v>533.8125</v>
      </c>
      <c r="J22" s="2">
        <f t="shared" si="0"/>
        <v>43747.405370138884</v>
      </c>
    </row>
    <row r="23" spans="1:10" x14ac:dyDescent="0.25">
      <c r="A23" s="7" t="s">
        <v>367</v>
      </c>
      <c r="B23" s="8">
        <v>400</v>
      </c>
      <c r="C23" s="8">
        <v>20.478950000000001</v>
      </c>
      <c r="D23" s="8">
        <v>95</v>
      </c>
      <c r="E23" s="8">
        <v>0</v>
      </c>
      <c r="F23" s="8">
        <v>0</v>
      </c>
      <c r="G23" s="8">
        <v>7</v>
      </c>
      <c r="H23" s="8" t="s">
        <v>368</v>
      </c>
      <c r="I23" s="8">
        <v>528.375</v>
      </c>
      <c r="J23" s="3">
        <f t="shared" si="0"/>
        <v>43747.405453749998</v>
      </c>
    </row>
    <row r="24" spans="1:10" x14ac:dyDescent="0.25">
      <c r="A24" s="5" t="s">
        <v>369</v>
      </c>
      <c r="B24" s="6">
        <v>415.625</v>
      </c>
      <c r="C24" s="6">
        <v>20.478950000000001</v>
      </c>
      <c r="D24" s="6">
        <v>95</v>
      </c>
      <c r="E24" s="6">
        <v>0</v>
      </c>
      <c r="F24" s="6">
        <v>0</v>
      </c>
      <c r="G24" s="6">
        <v>19</v>
      </c>
      <c r="H24" s="6" t="s">
        <v>370</v>
      </c>
      <c r="I24" s="6">
        <v>533.4375</v>
      </c>
      <c r="J24" s="2">
        <f t="shared" si="0"/>
        <v>43747.405537071762</v>
      </c>
    </row>
    <row r="25" spans="1:10" x14ac:dyDescent="0.25">
      <c r="A25" s="7" t="s">
        <v>371</v>
      </c>
      <c r="B25" s="8">
        <v>400</v>
      </c>
      <c r="C25" s="8">
        <v>20.478950000000001</v>
      </c>
      <c r="D25" s="8">
        <v>95</v>
      </c>
      <c r="E25" s="8">
        <v>0</v>
      </c>
      <c r="F25" s="8">
        <v>0</v>
      </c>
      <c r="G25" s="8">
        <v>19</v>
      </c>
      <c r="H25" s="8" t="s">
        <v>372</v>
      </c>
      <c r="I25" s="8">
        <v>528.1875</v>
      </c>
      <c r="J25" s="3">
        <f t="shared" si="0"/>
        <v>43747.405620532409</v>
      </c>
    </row>
    <row r="26" spans="1:10" x14ac:dyDescent="0.25">
      <c r="A26" s="5" t="s">
        <v>373</v>
      </c>
      <c r="B26" s="6">
        <v>400</v>
      </c>
      <c r="C26" s="6">
        <v>20.478950000000001</v>
      </c>
      <c r="D26" s="6">
        <v>97</v>
      </c>
      <c r="E26" s="6">
        <v>0</v>
      </c>
      <c r="F26" s="6">
        <v>0</v>
      </c>
      <c r="G26" s="6">
        <v>10</v>
      </c>
      <c r="H26" s="6" t="s">
        <v>374</v>
      </c>
      <c r="I26" s="6">
        <v>528.375</v>
      </c>
      <c r="J26" s="2">
        <f t="shared" si="0"/>
        <v>43747.405703958335</v>
      </c>
    </row>
    <row r="27" spans="1:10" x14ac:dyDescent="0.25">
      <c r="A27" s="7" t="s">
        <v>375</v>
      </c>
      <c r="B27" s="8">
        <v>400</v>
      </c>
      <c r="C27" s="8">
        <v>20.478950000000001</v>
      </c>
      <c r="D27" s="8">
        <v>94</v>
      </c>
      <c r="E27" s="8">
        <v>0</v>
      </c>
      <c r="F27" s="8">
        <v>0</v>
      </c>
      <c r="G27" s="8">
        <v>18</v>
      </c>
      <c r="H27" s="8" t="s">
        <v>376</v>
      </c>
      <c r="I27" s="8">
        <v>528.375</v>
      </c>
      <c r="J27" s="3">
        <f t="shared" si="0"/>
        <v>43747.405787662035</v>
      </c>
    </row>
    <row r="28" spans="1:10" x14ac:dyDescent="0.25">
      <c r="A28" s="5" t="s">
        <v>377</v>
      </c>
      <c r="B28" s="6">
        <v>400</v>
      </c>
      <c r="C28" s="6">
        <v>20.478950000000001</v>
      </c>
      <c r="D28" s="6">
        <v>93</v>
      </c>
      <c r="E28" s="6">
        <v>0</v>
      </c>
      <c r="F28" s="6">
        <v>0</v>
      </c>
      <c r="G28" s="6">
        <v>15</v>
      </c>
      <c r="H28" s="6" t="s">
        <v>378</v>
      </c>
      <c r="I28" s="6">
        <v>528.9375</v>
      </c>
      <c r="J28" s="2">
        <f t="shared" si="0"/>
        <v>43747.405870995368</v>
      </c>
    </row>
    <row r="29" spans="1:10" x14ac:dyDescent="0.25">
      <c r="A29" s="7" t="s">
        <v>379</v>
      </c>
      <c r="B29" s="8">
        <v>403.125</v>
      </c>
      <c r="C29" s="8">
        <v>20.478950000000001</v>
      </c>
      <c r="D29" s="8">
        <v>93</v>
      </c>
      <c r="E29" s="8">
        <v>0</v>
      </c>
      <c r="F29" s="8">
        <v>0</v>
      </c>
      <c r="G29" s="8">
        <v>7</v>
      </c>
      <c r="H29" s="8" t="s">
        <v>380</v>
      </c>
      <c r="I29" s="8">
        <v>529.125</v>
      </c>
      <c r="J29" s="3">
        <f t="shared" si="0"/>
        <v>43747.405954317124</v>
      </c>
    </row>
    <row r="30" spans="1:10" x14ac:dyDescent="0.25">
      <c r="A30" s="5" t="s">
        <v>381</v>
      </c>
      <c r="B30" s="6">
        <v>403.125</v>
      </c>
      <c r="C30" s="6">
        <v>20.478950000000001</v>
      </c>
      <c r="D30" s="6">
        <v>93</v>
      </c>
      <c r="E30" s="6">
        <v>0</v>
      </c>
      <c r="F30" s="6">
        <v>0</v>
      </c>
      <c r="G30" s="6">
        <v>5</v>
      </c>
      <c r="H30" s="6" t="s">
        <v>382</v>
      </c>
      <c r="I30" s="6">
        <v>529.125</v>
      </c>
      <c r="J30" s="2">
        <f t="shared" si="0"/>
        <v>43747.406025856479</v>
      </c>
    </row>
    <row r="31" spans="1:10" x14ac:dyDescent="0.25">
      <c r="A31" s="7" t="s">
        <v>383</v>
      </c>
      <c r="B31" s="8">
        <v>400</v>
      </c>
      <c r="C31" s="8">
        <v>20.478950000000001</v>
      </c>
      <c r="D31" s="8">
        <v>93</v>
      </c>
      <c r="E31" s="8">
        <v>0</v>
      </c>
      <c r="F31" s="8">
        <v>0</v>
      </c>
      <c r="G31" s="8">
        <v>8</v>
      </c>
      <c r="H31" s="8" t="s">
        <v>384</v>
      </c>
      <c r="I31" s="8">
        <v>528.9375</v>
      </c>
      <c r="J31" s="3">
        <f t="shared" si="0"/>
        <v>43747.406109282405</v>
      </c>
    </row>
    <row r="32" spans="1:10" x14ac:dyDescent="0.25">
      <c r="A32" s="5" t="s">
        <v>385</v>
      </c>
      <c r="B32" s="6">
        <v>403.125</v>
      </c>
      <c r="C32" s="6">
        <v>20.478950000000001</v>
      </c>
      <c r="D32" s="6">
        <v>97</v>
      </c>
      <c r="E32" s="6">
        <v>0</v>
      </c>
      <c r="F32" s="6">
        <v>0</v>
      </c>
      <c r="G32" s="6">
        <v>8</v>
      </c>
      <c r="H32" s="6" t="s">
        <v>386</v>
      </c>
      <c r="I32" s="6">
        <v>529.125</v>
      </c>
      <c r="J32" s="2">
        <f t="shared" si="0"/>
        <v>43747.406192743052</v>
      </c>
    </row>
    <row r="33" spans="1:10" x14ac:dyDescent="0.25">
      <c r="A33" s="7" t="s">
        <v>387</v>
      </c>
      <c r="B33" s="8">
        <v>403.125</v>
      </c>
      <c r="C33" s="8">
        <v>20.478950000000001</v>
      </c>
      <c r="D33" s="8">
        <v>97</v>
      </c>
      <c r="E33" s="8">
        <v>0</v>
      </c>
      <c r="F33" s="8">
        <v>0</v>
      </c>
      <c r="G33" s="8">
        <v>17</v>
      </c>
      <c r="H33" s="8" t="s">
        <v>388</v>
      </c>
      <c r="I33" s="8">
        <v>529.125</v>
      </c>
      <c r="J33" s="3">
        <f t="shared" si="0"/>
        <v>43747.406276180554</v>
      </c>
    </row>
    <row r="34" spans="1:10" x14ac:dyDescent="0.25">
      <c r="A34" s="5" t="s">
        <v>389</v>
      </c>
      <c r="B34" s="6">
        <v>403.125</v>
      </c>
      <c r="C34" s="6">
        <v>20.531590000000001</v>
      </c>
      <c r="D34" s="6">
        <v>97</v>
      </c>
      <c r="E34" s="6">
        <v>0</v>
      </c>
      <c r="F34" s="6">
        <v>0</v>
      </c>
      <c r="G34" s="6">
        <v>14</v>
      </c>
      <c r="H34" s="6" t="s">
        <v>390</v>
      </c>
      <c r="I34" s="6">
        <v>529.125</v>
      </c>
      <c r="J34" s="2">
        <f t="shared" si="0"/>
        <v>43747.40635986111</v>
      </c>
    </row>
    <row r="35" spans="1:10" x14ac:dyDescent="0.25">
      <c r="A35" s="7" t="s">
        <v>391</v>
      </c>
      <c r="B35" s="8">
        <v>403.125</v>
      </c>
      <c r="C35" s="8">
        <v>20.478950000000001</v>
      </c>
      <c r="D35" s="8">
        <v>95</v>
      </c>
      <c r="E35" s="8">
        <v>0</v>
      </c>
      <c r="F35" s="8">
        <v>0</v>
      </c>
      <c r="G35" s="8">
        <v>2</v>
      </c>
      <c r="H35" s="8" t="s">
        <v>392</v>
      </c>
      <c r="I35" s="8">
        <v>529.125</v>
      </c>
      <c r="J35" s="3">
        <f t="shared" si="0"/>
        <v>43747.406443078704</v>
      </c>
    </row>
    <row r="36" spans="1:10" x14ac:dyDescent="0.25">
      <c r="A36" s="5" t="s">
        <v>393</v>
      </c>
      <c r="B36" s="6">
        <v>403.125</v>
      </c>
      <c r="C36" s="6">
        <v>20.478950000000001</v>
      </c>
      <c r="D36" s="6">
        <v>95</v>
      </c>
      <c r="E36" s="6">
        <v>0</v>
      </c>
      <c r="F36" s="6">
        <v>0</v>
      </c>
      <c r="G36" s="6">
        <v>3</v>
      </c>
      <c r="H36" s="6" t="s">
        <v>394</v>
      </c>
      <c r="I36" s="6">
        <v>529.125</v>
      </c>
      <c r="J36" s="2">
        <f t="shared" si="0"/>
        <v>43747.406538460644</v>
      </c>
    </row>
    <row r="37" spans="1:10" x14ac:dyDescent="0.25">
      <c r="A37" s="7" t="s">
        <v>395</v>
      </c>
      <c r="B37" s="8">
        <v>403.125</v>
      </c>
      <c r="C37" s="8">
        <v>20.478950000000001</v>
      </c>
      <c r="D37" s="8">
        <v>95</v>
      </c>
      <c r="E37" s="8">
        <v>0</v>
      </c>
      <c r="F37" s="8">
        <v>0</v>
      </c>
      <c r="G37" s="8">
        <v>8</v>
      </c>
      <c r="H37" s="8" t="s">
        <v>396</v>
      </c>
      <c r="I37" s="8">
        <v>529.125</v>
      </c>
      <c r="J37" s="3">
        <f t="shared" si="0"/>
        <v>43747.406609745369</v>
      </c>
    </row>
    <row r="38" spans="1:10" x14ac:dyDescent="0.25">
      <c r="A38" s="5" t="s">
        <v>397</v>
      </c>
      <c r="B38" s="6">
        <v>403.125</v>
      </c>
      <c r="C38" s="6">
        <v>20.478950000000001</v>
      </c>
      <c r="D38" s="6">
        <v>97</v>
      </c>
      <c r="E38" s="6">
        <v>0</v>
      </c>
      <c r="F38" s="6">
        <v>0</v>
      </c>
      <c r="G38" s="6">
        <v>1</v>
      </c>
      <c r="H38" s="6" t="s">
        <v>398</v>
      </c>
      <c r="I38" s="6">
        <v>529.125</v>
      </c>
      <c r="J38" s="2">
        <f t="shared" si="0"/>
        <v>43747.406693206016</v>
      </c>
    </row>
    <row r="39" spans="1:10" x14ac:dyDescent="0.25">
      <c r="A39" s="7" t="s">
        <v>399</v>
      </c>
      <c r="B39" s="8">
        <v>400</v>
      </c>
      <c r="C39" s="8">
        <v>20.478950000000001</v>
      </c>
      <c r="D39" s="8">
        <v>97</v>
      </c>
      <c r="E39" s="8">
        <v>0</v>
      </c>
      <c r="F39" s="8">
        <v>0</v>
      </c>
      <c r="G39" s="8">
        <v>15</v>
      </c>
      <c r="H39" s="8" t="s">
        <v>400</v>
      </c>
      <c r="I39" s="8">
        <v>528.1875</v>
      </c>
      <c r="J39" s="3">
        <f t="shared" si="0"/>
        <v>43747.406764976848</v>
      </c>
    </row>
    <row r="40" spans="1:10" x14ac:dyDescent="0.25">
      <c r="A40" s="5" t="s">
        <v>401</v>
      </c>
      <c r="B40" s="6">
        <v>400</v>
      </c>
      <c r="C40" s="6">
        <v>20.478950000000001</v>
      </c>
      <c r="D40" s="6">
        <v>97</v>
      </c>
      <c r="E40" s="6">
        <v>0</v>
      </c>
      <c r="F40" s="6">
        <v>0</v>
      </c>
      <c r="G40" s="6">
        <v>9</v>
      </c>
      <c r="H40" s="6" t="s">
        <v>402</v>
      </c>
      <c r="I40" s="6">
        <v>528.9375</v>
      </c>
      <c r="J40" s="2">
        <f t="shared" si="0"/>
        <v>43747.406848541665</v>
      </c>
    </row>
    <row r="41" spans="1:10" x14ac:dyDescent="0.25">
      <c r="A41" s="7" t="s">
        <v>403</v>
      </c>
      <c r="B41" s="8">
        <v>403.125</v>
      </c>
      <c r="C41" s="8">
        <v>20.478950000000001</v>
      </c>
      <c r="D41" s="8">
        <v>96</v>
      </c>
      <c r="E41" s="8">
        <v>0</v>
      </c>
      <c r="F41" s="8">
        <v>0</v>
      </c>
      <c r="G41" s="8">
        <v>11</v>
      </c>
      <c r="H41" s="8" t="s">
        <v>404</v>
      </c>
      <c r="I41" s="8">
        <v>529.125</v>
      </c>
      <c r="J41" s="3">
        <f t="shared" si="0"/>
        <v>43747.406931990736</v>
      </c>
    </row>
    <row r="42" spans="1:10" x14ac:dyDescent="0.25">
      <c r="A42" s="5" t="s">
        <v>405</v>
      </c>
      <c r="B42" s="6">
        <v>400</v>
      </c>
      <c r="C42" s="6">
        <v>20.478950000000001</v>
      </c>
      <c r="D42" s="6">
        <v>96</v>
      </c>
      <c r="E42" s="6">
        <v>0</v>
      </c>
      <c r="F42" s="6">
        <v>0</v>
      </c>
      <c r="G42" s="6">
        <v>10</v>
      </c>
      <c r="H42" s="6" t="s">
        <v>406</v>
      </c>
      <c r="I42" s="6">
        <v>528.1875</v>
      </c>
      <c r="J42" s="2">
        <f t="shared" si="0"/>
        <v>43747.407015474535</v>
      </c>
    </row>
    <row r="43" spans="1:10" x14ac:dyDescent="0.25">
      <c r="A43" s="7" t="s">
        <v>407</v>
      </c>
      <c r="B43" s="8">
        <v>400</v>
      </c>
      <c r="C43" s="8">
        <v>20.478950000000001</v>
      </c>
      <c r="D43" s="8">
        <v>96</v>
      </c>
      <c r="E43" s="8">
        <v>0</v>
      </c>
      <c r="F43" s="8">
        <v>0</v>
      </c>
      <c r="G43" s="8">
        <v>14</v>
      </c>
      <c r="H43" s="8" t="s">
        <v>408</v>
      </c>
      <c r="I43" s="8">
        <v>528.1875</v>
      </c>
      <c r="J43" s="3">
        <f t="shared" si="0"/>
        <v>43747.407098888885</v>
      </c>
    </row>
    <row r="44" spans="1:10" x14ac:dyDescent="0.25">
      <c r="A44" s="5" t="s">
        <v>409</v>
      </c>
      <c r="B44" s="6">
        <v>403.125</v>
      </c>
      <c r="C44" s="6">
        <v>20.478950000000001</v>
      </c>
      <c r="D44" s="6">
        <v>97</v>
      </c>
      <c r="E44" s="6">
        <v>0</v>
      </c>
      <c r="F44" s="6">
        <v>0</v>
      </c>
      <c r="G44" s="6">
        <v>14</v>
      </c>
      <c r="H44" s="6" t="s">
        <v>410</v>
      </c>
      <c r="I44" s="6">
        <v>529.125</v>
      </c>
      <c r="J44" s="2">
        <f t="shared" si="0"/>
        <v>43747.407182106479</v>
      </c>
    </row>
    <row r="45" spans="1:10" x14ac:dyDescent="0.25">
      <c r="A45" s="7" t="s">
        <v>411</v>
      </c>
      <c r="B45" s="8">
        <v>403.125</v>
      </c>
      <c r="C45" s="8">
        <v>20.478950000000001</v>
      </c>
      <c r="D45" s="8">
        <v>97</v>
      </c>
      <c r="E45" s="8">
        <v>0</v>
      </c>
      <c r="F45" s="8">
        <v>0</v>
      </c>
      <c r="G45" s="8">
        <v>15</v>
      </c>
      <c r="H45" s="8" t="s">
        <v>412</v>
      </c>
      <c r="I45" s="8">
        <v>529.125</v>
      </c>
      <c r="J45" s="3">
        <f t="shared" si="0"/>
        <v>43747.407253726851</v>
      </c>
    </row>
    <row r="46" spans="1:10" x14ac:dyDescent="0.25">
      <c r="A46" s="5" t="s">
        <v>413</v>
      </c>
      <c r="B46" s="6">
        <v>403.125</v>
      </c>
      <c r="C46" s="6">
        <v>20.478950000000001</v>
      </c>
      <c r="D46" s="6">
        <v>93</v>
      </c>
      <c r="E46" s="6">
        <v>0</v>
      </c>
      <c r="F46" s="6">
        <v>0</v>
      </c>
      <c r="G46" s="6">
        <v>10</v>
      </c>
      <c r="H46" s="6" t="s">
        <v>414</v>
      </c>
      <c r="I46" s="6">
        <v>529.125</v>
      </c>
      <c r="J46" s="2">
        <f t="shared" si="0"/>
        <v>43747.40733765046</v>
      </c>
    </row>
    <row r="47" spans="1:10" x14ac:dyDescent="0.25">
      <c r="A47" s="7" t="s">
        <v>415</v>
      </c>
      <c r="B47" s="8">
        <v>403.125</v>
      </c>
      <c r="C47" s="8">
        <v>20.478950000000001</v>
      </c>
      <c r="D47" s="8">
        <v>93</v>
      </c>
      <c r="E47" s="8">
        <v>0</v>
      </c>
      <c r="F47" s="8">
        <v>0</v>
      </c>
      <c r="G47" s="8">
        <v>12</v>
      </c>
      <c r="H47" s="8" t="s">
        <v>416</v>
      </c>
      <c r="I47" s="8">
        <v>529.875</v>
      </c>
      <c r="J47" s="3">
        <f t="shared" si="0"/>
        <v>43747.407420752315</v>
      </c>
    </row>
    <row r="48" spans="1:10" x14ac:dyDescent="0.25">
      <c r="A48" s="5" t="s">
        <v>417</v>
      </c>
      <c r="B48" s="6">
        <v>403.125</v>
      </c>
      <c r="C48" s="6">
        <v>20.531590000000001</v>
      </c>
      <c r="D48" s="6">
        <v>94</v>
      </c>
      <c r="E48" s="6">
        <v>0</v>
      </c>
      <c r="F48" s="6">
        <v>0</v>
      </c>
      <c r="G48" s="6">
        <v>11</v>
      </c>
      <c r="H48" s="6" t="s">
        <v>418</v>
      </c>
      <c r="I48" s="6">
        <v>529.875</v>
      </c>
      <c r="J48" s="2">
        <f t="shared" si="0"/>
        <v>43747.407504328701</v>
      </c>
    </row>
    <row r="49" spans="1:10" x14ac:dyDescent="0.25">
      <c r="A49" s="7" t="s">
        <v>419</v>
      </c>
      <c r="B49" s="8">
        <v>403.125</v>
      </c>
      <c r="C49" s="8">
        <v>20.478950000000001</v>
      </c>
      <c r="D49" s="8">
        <v>94</v>
      </c>
      <c r="E49" s="8">
        <v>0</v>
      </c>
      <c r="F49" s="8">
        <v>0</v>
      </c>
      <c r="G49" s="8">
        <v>12</v>
      </c>
      <c r="H49" s="8" t="s">
        <v>420</v>
      </c>
      <c r="I49" s="8">
        <v>529.875</v>
      </c>
      <c r="J49" s="3">
        <f t="shared" si="0"/>
        <v>43747.40758767361</v>
      </c>
    </row>
    <row r="50" spans="1:10" x14ac:dyDescent="0.25">
      <c r="A50" s="5" t="s">
        <v>421</v>
      </c>
      <c r="B50" s="6">
        <v>406.25</v>
      </c>
      <c r="C50" s="6">
        <v>20.531590000000001</v>
      </c>
      <c r="D50" s="6">
        <v>95</v>
      </c>
      <c r="E50" s="6">
        <v>0</v>
      </c>
      <c r="F50" s="6">
        <v>0</v>
      </c>
      <c r="G50" s="6">
        <v>10</v>
      </c>
      <c r="H50" s="6" t="s">
        <v>422</v>
      </c>
      <c r="I50" s="6">
        <v>530.625</v>
      </c>
      <c r="J50" s="2">
        <f t="shared" si="0"/>
        <v>43747.407671006942</v>
      </c>
    </row>
    <row r="51" spans="1:10" x14ac:dyDescent="0.25">
      <c r="A51" s="7" t="s">
        <v>423</v>
      </c>
      <c r="B51" s="8">
        <v>425</v>
      </c>
      <c r="C51" s="8">
        <v>20.478950000000001</v>
      </c>
      <c r="D51" s="8">
        <v>95</v>
      </c>
      <c r="E51" s="8">
        <v>0</v>
      </c>
      <c r="F51" s="8">
        <v>0</v>
      </c>
      <c r="G51" s="8">
        <v>13</v>
      </c>
      <c r="H51" s="8" t="s">
        <v>424</v>
      </c>
      <c r="I51" s="8">
        <v>536.25</v>
      </c>
      <c r="J51" s="3">
        <f t="shared" si="0"/>
        <v>43747.407754583335</v>
      </c>
    </row>
    <row r="52" spans="1:10" x14ac:dyDescent="0.25">
      <c r="A52" s="5" t="s">
        <v>425</v>
      </c>
      <c r="B52" s="6">
        <v>406.25</v>
      </c>
      <c r="C52" s="6">
        <v>20.478950000000001</v>
      </c>
      <c r="D52" s="6">
        <v>95</v>
      </c>
      <c r="E52" s="6">
        <v>0</v>
      </c>
      <c r="F52" s="6">
        <v>0</v>
      </c>
      <c r="G52" s="6">
        <v>12</v>
      </c>
      <c r="H52" s="6" t="s">
        <v>426</v>
      </c>
      <c r="I52" s="6">
        <v>530.625</v>
      </c>
      <c r="J52" s="2">
        <f t="shared" si="0"/>
        <v>43747.407837789353</v>
      </c>
    </row>
    <row r="53" spans="1:10" x14ac:dyDescent="0.25">
      <c r="A53" s="7" t="s">
        <v>427</v>
      </c>
      <c r="B53" s="8">
        <v>406.25</v>
      </c>
      <c r="C53" s="8">
        <v>20.478950000000001</v>
      </c>
      <c r="D53" s="8">
        <v>95</v>
      </c>
      <c r="E53" s="8">
        <v>0</v>
      </c>
      <c r="F53" s="8">
        <v>0</v>
      </c>
      <c r="G53" s="8">
        <v>10</v>
      </c>
      <c r="H53" s="8" t="s">
        <v>428</v>
      </c>
      <c r="I53" s="8">
        <v>530.625</v>
      </c>
      <c r="J53" s="3">
        <f t="shared" si="0"/>
        <v>43747.407909305555</v>
      </c>
    </row>
    <row r="54" spans="1:10" x14ac:dyDescent="0.25">
      <c r="A54" s="5" t="s">
        <v>429</v>
      </c>
      <c r="B54" s="6">
        <v>406.25</v>
      </c>
      <c r="C54" s="6">
        <v>20.478950000000001</v>
      </c>
      <c r="D54" s="6">
        <v>98</v>
      </c>
      <c r="E54" s="6">
        <v>0</v>
      </c>
      <c r="F54" s="6">
        <v>0</v>
      </c>
      <c r="G54" s="6">
        <v>15</v>
      </c>
      <c r="H54" s="6" t="s">
        <v>430</v>
      </c>
      <c r="I54" s="6">
        <v>530.8125</v>
      </c>
      <c r="J54" s="2">
        <f t="shared" si="0"/>
        <v>43747.407993217588</v>
      </c>
    </row>
    <row r="55" spans="1:10" x14ac:dyDescent="0.25">
      <c r="A55" s="7" t="s">
        <v>431</v>
      </c>
      <c r="B55" s="8">
        <v>403.125</v>
      </c>
      <c r="C55" s="8">
        <v>20.478950000000001</v>
      </c>
      <c r="D55" s="8">
        <v>96</v>
      </c>
      <c r="E55" s="8">
        <v>0</v>
      </c>
      <c r="F55" s="8">
        <v>0</v>
      </c>
      <c r="G55" s="8">
        <v>18</v>
      </c>
      <c r="H55" s="8" t="s">
        <v>432</v>
      </c>
      <c r="I55" s="8">
        <v>529.875</v>
      </c>
      <c r="J55" s="3">
        <f t="shared" si="0"/>
        <v>43747.408076550921</v>
      </c>
    </row>
    <row r="56" spans="1:10" x14ac:dyDescent="0.25">
      <c r="A56" s="5" t="s">
        <v>433</v>
      </c>
      <c r="B56" s="6">
        <v>428.125</v>
      </c>
      <c r="C56" s="6">
        <v>20.478950000000001</v>
      </c>
      <c r="D56" s="6">
        <v>95</v>
      </c>
      <c r="E56" s="6">
        <v>0</v>
      </c>
      <c r="F56" s="6">
        <v>0</v>
      </c>
      <c r="G56" s="6">
        <v>13</v>
      </c>
      <c r="H56" s="6" t="s">
        <v>434</v>
      </c>
      <c r="I56" s="6">
        <v>537.75</v>
      </c>
      <c r="J56" s="2">
        <f t="shared" si="0"/>
        <v>43747.408148067123</v>
      </c>
    </row>
    <row r="57" spans="1:10" x14ac:dyDescent="0.25">
      <c r="A57" s="7" t="s">
        <v>435</v>
      </c>
      <c r="B57" s="8">
        <v>403.125</v>
      </c>
      <c r="C57" s="8">
        <v>20.478950000000001</v>
      </c>
      <c r="D57" s="8">
        <v>94</v>
      </c>
      <c r="E57" s="8">
        <v>0</v>
      </c>
      <c r="F57" s="8">
        <v>0</v>
      </c>
      <c r="G57" s="8">
        <v>4</v>
      </c>
      <c r="H57" s="8" t="s">
        <v>436</v>
      </c>
      <c r="I57" s="8">
        <v>529.125</v>
      </c>
      <c r="J57" s="3">
        <f t="shared" si="0"/>
        <v>43747.408231516201</v>
      </c>
    </row>
    <row r="58" spans="1:10" x14ac:dyDescent="0.25">
      <c r="A58" s="5" t="s">
        <v>437</v>
      </c>
      <c r="B58" s="6">
        <v>403.125</v>
      </c>
      <c r="C58" s="6">
        <v>20.478950000000001</v>
      </c>
      <c r="D58" s="6">
        <v>95</v>
      </c>
      <c r="E58" s="6">
        <v>0</v>
      </c>
      <c r="F58" s="6">
        <v>0</v>
      </c>
      <c r="G58" s="6">
        <v>6</v>
      </c>
      <c r="H58" s="6" t="s">
        <v>438</v>
      </c>
      <c r="I58" s="6">
        <v>529.125</v>
      </c>
      <c r="J58" s="2">
        <f t="shared" si="0"/>
        <v>43747.40830304398</v>
      </c>
    </row>
    <row r="59" spans="1:10" x14ac:dyDescent="0.25">
      <c r="A59" s="7" t="s">
        <v>439</v>
      </c>
      <c r="B59" s="8">
        <v>403.125</v>
      </c>
      <c r="C59" s="8">
        <v>20.478950000000001</v>
      </c>
      <c r="D59" s="8">
        <v>94</v>
      </c>
      <c r="E59" s="8">
        <v>0</v>
      </c>
      <c r="F59" s="8">
        <v>0</v>
      </c>
      <c r="G59" s="8">
        <v>6</v>
      </c>
      <c r="H59" s="8" t="s">
        <v>440</v>
      </c>
      <c r="I59" s="8">
        <v>529.125</v>
      </c>
      <c r="J59" s="3">
        <f t="shared" si="0"/>
        <v>43747.408386284718</v>
      </c>
    </row>
    <row r="60" spans="1:10" x14ac:dyDescent="0.25">
      <c r="A60" s="5" t="s">
        <v>441</v>
      </c>
      <c r="B60" s="6">
        <v>403.125</v>
      </c>
      <c r="C60" s="6">
        <v>20.478950000000001</v>
      </c>
      <c r="D60" s="6">
        <v>95</v>
      </c>
      <c r="E60" s="6">
        <v>0</v>
      </c>
      <c r="F60" s="6">
        <v>0</v>
      </c>
      <c r="G60" s="6">
        <v>10</v>
      </c>
      <c r="H60" s="6" t="s">
        <v>442</v>
      </c>
      <c r="I60" s="6">
        <v>529.125</v>
      </c>
      <c r="J60" s="2">
        <f t="shared" si="0"/>
        <v>43747.408458148151</v>
      </c>
    </row>
    <row r="61" spans="1:10" x14ac:dyDescent="0.25">
      <c r="A61" s="7" t="s">
        <v>443</v>
      </c>
      <c r="B61" s="8">
        <v>403.125</v>
      </c>
      <c r="C61" s="8">
        <v>20.478950000000001</v>
      </c>
      <c r="D61" s="8">
        <v>95</v>
      </c>
      <c r="E61" s="8">
        <v>0</v>
      </c>
      <c r="F61" s="8">
        <v>0</v>
      </c>
      <c r="G61" s="8">
        <v>3</v>
      </c>
      <c r="H61" s="8" t="s">
        <v>444</v>
      </c>
      <c r="I61" s="8">
        <v>529.125</v>
      </c>
      <c r="J61" s="3">
        <f t="shared" si="0"/>
        <v>43747.408541365738</v>
      </c>
    </row>
    <row r="62" spans="1:10" x14ac:dyDescent="0.25">
      <c r="A62" s="5" t="s">
        <v>445</v>
      </c>
      <c r="B62" s="6">
        <v>418.75</v>
      </c>
      <c r="C62" s="6">
        <v>20.478950000000001</v>
      </c>
      <c r="D62" s="6">
        <v>96</v>
      </c>
      <c r="E62" s="6">
        <v>0</v>
      </c>
      <c r="F62" s="6">
        <v>0</v>
      </c>
      <c r="G62" s="6">
        <v>1</v>
      </c>
      <c r="H62" s="6" t="s">
        <v>446</v>
      </c>
      <c r="I62" s="6">
        <v>534.75</v>
      </c>
      <c r="J62" s="2">
        <f t="shared" si="0"/>
        <v>43747.408624930555</v>
      </c>
    </row>
    <row r="63" spans="1:10" x14ac:dyDescent="0.25">
      <c r="A63" s="7" t="s">
        <v>447</v>
      </c>
      <c r="B63" s="8">
        <v>403.125</v>
      </c>
      <c r="C63" s="8">
        <v>20.478950000000001</v>
      </c>
      <c r="D63" s="8">
        <v>95</v>
      </c>
      <c r="E63" s="8">
        <v>0</v>
      </c>
      <c r="F63" s="8">
        <v>0</v>
      </c>
      <c r="G63" s="8">
        <v>11</v>
      </c>
      <c r="H63" s="8" t="s">
        <v>448</v>
      </c>
      <c r="I63" s="8">
        <v>529.125</v>
      </c>
      <c r="J63" s="3">
        <f t="shared" si="0"/>
        <v>43747.408696446757</v>
      </c>
    </row>
    <row r="64" spans="1:10" x14ac:dyDescent="0.25">
      <c r="A64" s="5" t="s">
        <v>449</v>
      </c>
      <c r="B64" s="6">
        <v>400</v>
      </c>
      <c r="C64" s="6">
        <v>20.478950000000001</v>
      </c>
      <c r="D64" s="6">
        <v>98</v>
      </c>
      <c r="E64" s="6">
        <v>0</v>
      </c>
      <c r="F64" s="6">
        <v>0</v>
      </c>
      <c r="G64" s="6">
        <v>0</v>
      </c>
      <c r="H64" s="6" t="s">
        <v>450</v>
      </c>
      <c r="I64" s="6">
        <v>528.1875</v>
      </c>
      <c r="J64" s="2">
        <f t="shared" si="0"/>
        <v>43747.408779895828</v>
      </c>
    </row>
    <row r="65" spans="1:10" x14ac:dyDescent="0.25">
      <c r="A65" s="7" t="s">
        <v>451</v>
      </c>
      <c r="B65" s="8">
        <v>400</v>
      </c>
      <c r="C65" s="8">
        <v>20.531590000000001</v>
      </c>
      <c r="D65" s="8">
        <v>97</v>
      </c>
      <c r="E65" s="8">
        <v>0</v>
      </c>
      <c r="F65" s="8">
        <v>0</v>
      </c>
      <c r="G65" s="8">
        <v>1</v>
      </c>
      <c r="H65" s="8" t="s">
        <v>452</v>
      </c>
      <c r="I65" s="8">
        <v>528.1875</v>
      </c>
      <c r="J65" s="3">
        <f t="shared" si="0"/>
        <v>43747.408875162037</v>
      </c>
    </row>
    <row r="66" spans="1:10" x14ac:dyDescent="0.25">
      <c r="A66" s="5" t="s">
        <v>453</v>
      </c>
      <c r="B66" s="6">
        <v>400</v>
      </c>
      <c r="C66" s="6">
        <v>20.531590000000001</v>
      </c>
      <c r="D66" s="6">
        <v>97</v>
      </c>
      <c r="E66" s="6">
        <v>0</v>
      </c>
      <c r="F66" s="6">
        <v>0</v>
      </c>
      <c r="G66" s="6">
        <v>8</v>
      </c>
      <c r="H66" s="6" t="s">
        <v>454</v>
      </c>
      <c r="I66" s="6">
        <v>528.375</v>
      </c>
      <c r="J66" s="2">
        <f t="shared" ref="J66:J129" si="1">(H66/86400000)+25569+(7/24)</f>
        <v>43747.408946909716</v>
      </c>
    </row>
    <row r="67" spans="1:10" x14ac:dyDescent="0.25">
      <c r="A67" s="7" t="s">
        <v>455</v>
      </c>
      <c r="B67" s="8">
        <v>418.75</v>
      </c>
      <c r="C67" s="8">
        <v>20.478950000000001</v>
      </c>
      <c r="D67" s="8">
        <v>97</v>
      </c>
      <c r="E67" s="8">
        <v>0</v>
      </c>
      <c r="F67" s="8">
        <v>0</v>
      </c>
      <c r="G67" s="8">
        <v>6</v>
      </c>
      <c r="H67" s="8" t="s">
        <v>456</v>
      </c>
      <c r="I67" s="8">
        <v>534</v>
      </c>
      <c r="J67" s="3">
        <f t="shared" si="1"/>
        <v>43747.409030254632</v>
      </c>
    </row>
    <row r="68" spans="1:10" x14ac:dyDescent="0.25">
      <c r="A68" s="5" t="s">
        <v>457</v>
      </c>
      <c r="B68" s="6">
        <v>400</v>
      </c>
      <c r="C68" s="6">
        <v>20.478950000000001</v>
      </c>
      <c r="D68" s="6">
        <v>96</v>
      </c>
      <c r="E68" s="6">
        <v>0</v>
      </c>
      <c r="F68" s="6">
        <v>0</v>
      </c>
      <c r="G68" s="6">
        <v>6</v>
      </c>
      <c r="H68" s="6" t="s">
        <v>458</v>
      </c>
      <c r="I68" s="6">
        <v>528.1875</v>
      </c>
      <c r="J68" s="2">
        <f t="shared" si="1"/>
        <v>43747.409113958332</v>
      </c>
    </row>
    <row r="69" spans="1:10" x14ac:dyDescent="0.25">
      <c r="A69" s="7" t="s">
        <v>459</v>
      </c>
      <c r="B69" s="8">
        <v>403.125</v>
      </c>
      <c r="C69" s="8">
        <v>20.478950000000001</v>
      </c>
      <c r="D69" s="8">
        <v>99</v>
      </c>
      <c r="E69" s="8">
        <v>0</v>
      </c>
      <c r="F69" s="8">
        <v>0</v>
      </c>
      <c r="G69" s="8">
        <v>8</v>
      </c>
      <c r="H69" s="8" t="s">
        <v>460</v>
      </c>
      <c r="I69" s="8">
        <v>529.125</v>
      </c>
      <c r="J69" s="3">
        <f t="shared" si="1"/>
        <v>43747.409209189813</v>
      </c>
    </row>
    <row r="70" spans="1:10" x14ac:dyDescent="0.25">
      <c r="A70" s="5" t="s">
        <v>461</v>
      </c>
      <c r="B70" s="6">
        <v>403.125</v>
      </c>
      <c r="C70" s="6">
        <v>20.478950000000001</v>
      </c>
      <c r="D70" s="6">
        <v>99</v>
      </c>
      <c r="E70" s="6">
        <v>0</v>
      </c>
      <c r="F70" s="6">
        <v>0</v>
      </c>
      <c r="G70" s="6">
        <v>4</v>
      </c>
      <c r="H70" s="6" t="s">
        <v>462</v>
      </c>
      <c r="I70" s="6">
        <v>529.125</v>
      </c>
      <c r="J70" s="2">
        <f t="shared" si="1"/>
        <v>43747.409292638891</v>
      </c>
    </row>
    <row r="71" spans="1:10" x14ac:dyDescent="0.25">
      <c r="A71" s="7" t="s">
        <v>463</v>
      </c>
      <c r="B71" s="8">
        <v>400</v>
      </c>
      <c r="C71" s="8">
        <v>20.478950000000001</v>
      </c>
      <c r="D71" s="8">
        <v>98</v>
      </c>
      <c r="E71" s="8">
        <v>0</v>
      </c>
      <c r="F71" s="8">
        <v>0</v>
      </c>
      <c r="G71" s="8">
        <v>9</v>
      </c>
      <c r="H71" s="8" t="s">
        <v>464</v>
      </c>
      <c r="I71" s="8">
        <v>528.1875</v>
      </c>
      <c r="J71" s="3">
        <f t="shared" si="1"/>
        <v>43747.409376087962</v>
      </c>
    </row>
    <row r="72" spans="1:10" x14ac:dyDescent="0.25">
      <c r="A72" s="5" t="s">
        <v>465</v>
      </c>
      <c r="B72" s="6">
        <v>400</v>
      </c>
      <c r="C72" s="6">
        <v>20.478950000000001</v>
      </c>
      <c r="D72" s="6">
        <v>98</v>
      </c>
      <c r="E72" s="6">
        <v>0</v>
      </c>
      <c r="F72" s="6">
        <v>0</v>
      </c>
      <c r="G72" s="6">
        <v>7</v>
      </c>
      <c r="H72" s="6" t="s">
        <v>466</v>
      </c>
      <c r="I72" s="6">
        <v>528.1875</v>
      </c>
      <c r="J72" s="2">
        <f t="shared" si="1"/>
        <v>43747.409459525465</v>
      </c>
    </row>
    <row r="73" spans="1:10" x14ac:dyDescent="0.25">
      <c r="A73" s="7" t="s">
        <v>467</v>
      </c>
      <c r="B73" s="8">
        <v>403.125</v>
      </c>
      <c r="C73" s="8">
        <v>20.478950000000001</v>
      </c>
      <c r="D73" s="8">
        <v>99</v>
      </c>
      <c r="E73" s="8">
        <v>0</v>
      </c>
      <c r="F73" s="8">
        <v>0</v>
      </c>
      <c r="G73" s="8">
        <v>4</v>
      </c>
      <c r="H73" s="8" t="s">
        <v>468</v>
      </c>
      <c r="I73" s="8">
        <v>529.125</v>
      </c>
      <c r="J73" s="3">
        <f t="shared" si="1"/>
        <v>43747.409543055554</v>
      </c>
    </row>
    <row r="74" spans="1:10" x14ac:dyDescent="0.25">
      <c r="A74" s="5" t="s">
        <v>469</v>
      </c>
      <c r="B74" s="6">
        <v>403.125</v>
      </c>
      <c r="C74" s="6">
        <v>20.478950000000001</v>
      </c>
      <c r="D74" s="6">
        <v>99</v>
      </c>
      <c r="E74" s="6">
        <v>0</v>
      </c>
      <c r="F74" s="6">
        <v>0</v>
      </c>
      <c r="G74" s="6">
        <v>11</v>
      </c>
      <c r="H74" s="6" t="s">
        <v>470</v>
      </c>
      <c r="I74" s="6">
        <v>529.125</v>
      </c>
      <c r="J74" s="2">
        <f t="shared" si="1"/>
        <v>43747.409626550922</v>
      </c>
    </row>
    <row r="75" spans="1:10" x14ac:dyDescent="0.25">
      <c r="A75" s="7" t="s">
        <v>471</v>
      </c>
      <c r="B75" s="8">
        <v>400</v>
      </c>
      <c r="C75" s="8">
        <v>20.478950000000001</v>
      </c>
      <c r="D75" s="8">
        <v>100</v>
      </c>
      <c r="E75" s="8">
        <v>0</v>
      </c>
      <c r="F75" s="8">
        <v>0</v>
      </c>
      <c r="G75" s="8">
        <v>12</v>
      </c>
      <c r="H75" s="8" t="s">
        <v>472</v>
      </c>
      <c r="I75" s="8">
        <v>528.9375</v>
      </c>
      <c r="J75" s="3">
        <f t="shared" si="1"/>
        <v>43747.409709976848</v>
      </c>
    </row>
    <row r="76" spans="1:10" x14ac:dyDescent="0.25">
      <c r="A76" s="5" t="s">
        <v>473</v>
      </c>
      <c r="B76" s="6">
        <v>403.125</v>
      </c>
      <c r="C76" s="6">
        <v>20.478950000000001</v>
      </c>
      <c r="D76" s="6">
        <v>99</v>
      </c>
      <c r="E76" s="6">
        <v>0</v>
      </c>
      <c r="F76" s="6">
        <v>0</v>
      </c>
      <c r="G76" s="6">
        <v>5</v>
      </c>
      <c r="H76" s="6" t="s">
        <v>474</v>
      </c>
      <c r="I76" s="6">
        <v>529.125</v>
      </c>
      <c r="J76" s="2">
        <f t="shared" si="1"/>
        <v>43747.409793194442</v>
      </c>
    </row>
    <row r="77" spans="1:10" x14ac:dyDescent="0.25">
      <c r="A77" s="7" t="s">
        <v>475</v>
      </c>
      <c r="B77" s="8">
        <v>403.125</v>
      </c>
      <c r="C77" s="8">
        <v>20.478950000000001</v>
      </c>
      <c r="D77" s="8">
        <v>98</v>
      </c>
      <c r="E77" s="8">
        <v>0</v>
      </c>
      <c r="F77" s="8">
        <v>0</v>
      </c>
      <c r="G77" s="8">
        <v>9</v>
      </c>
      <c r="H77" s="8" t="s">
        <v>476</v>
      </c>
      <c r="I77" s="8">
        <v>529.125</v>
      </c>
      <c r="J77" s="3">
        <f t="shared" si="1"/>
        <v>43747.409876759259</v>
      </c>
    </row>
    <row r="78" spans="1:10" x14ac:dyDescent="0.25">
      <c r="A78" s="5" t="s">
        <v>477</v>
      </c>
      <c r="B78" s="6">
        <v>403.125</v>
      </c>
      <c r="C78" s="6">
        <v>20.478950000000001</v>
      </c>
      <c r="D78" s="6">
        <v>99</v>
      </c>
      <c r="E78" s="6">
        <v>0</v>
      </c>
      <c r="F78" s="6">
        <v>0</v>
      </c>
      <c r="G78" s="6">
        <v>13</v>
      </c>
      <c r="H78" s="6" t="s">
        <v>478</v>
      </c>
      <c r="I78" s="6">
        <v>529.125</v>
      </c>
      <c r="J78" s="2">
        <f t="shared" si="1"/>
        <v>43747.409972152775</v>
      </c>
    </row>
    <row r="79" spans="1:10" x14ac:dyDescent="0.25">
      <c r="A79" s="7" t="s">
        <v>479</v>
      </c>
      <c r="B79" s="8">
        <v>400</v>
      </c>
      <c r="C79" s="8">
        <v>20.478950000000001</v>
      </c>
      <c r="D79" s="8">
        <v>99</v>
      </c>
      <c r="E79" s="8">
        <v>0</v>
      </c>
      <c r="F79" s="8">
        <v>0</v>
      </c>
      <c r="G79" s="8">
        <v>3</v>
      </c>
      <c r="H79" s="8" t="s">
        <v>480</v>
      </c>
      <c r="I79" s="8">
        <v>528.9375</v>
      </c>
      <c r="J79" s="3">
        <f t="shared" si="1"/>
        <v>43747.410055706016</v>
      </c>
    </row>
    <row r="80" spans="1:10" x14ac:dyDescent="0.25">
      <c r="A80" s="5" t="s">
        <v>481</v>
      </c>
      <c r="B80" s="6">
        <v>418.75</v>
      </c>
      <c r="C80" s="6">
        <v>20.478950000000001</v>
      </c>
      <c r="D80" s="6">
        <v>99</v>
      </c>
      <c r="E80" s="6">
        <v>0</v>
      </c>
      <c r="F80" s="6">
        <v>0</v>
      </c>
      <c r="G80" s="6">
        <v>9</v>
      </c>
      <c r="H80" s="6" t="s">
        <v>482</v>
      </c>
      <c r="I80" s="6">
        <v>534.5625</v>
      </c>
      <c r="J80" s="2">
        <f t="shared" si="1"/>
        <v>43747.410139155087</v>
      </c>
    </row>
    <row r="81" spans="1:10" x14ac:dyDescent="0.25">
      <c r="A81" s="7" t="s">
        <v>483</v>
      </c>
      <c r="B81" s="8">
        <v>403.125</v>
      </c>
      <c r="C81" s="8">
        <v>20.478950000000001</v>
      </c>
      <c r="D81" s="8">
        <v>98</v>
      </c>
      <c r="E81" s="8">
        <v>0</v>
      </c>
      <c r="F81" s="8">
        <v>0</v>
      </c>
      <c r="G81" s="8">
        <v>4</v>
      </c>
      <c r="H81" s="8" t="s">
        <v>484</v>
      </c>
      <c r="I81" s="8">
        <v>529.125</v>
      </c>
      <c r="J81" s="3">
        <f t="shared" si="1"/>
        <v>43747.410222604165</v>
      </c>
    </row>
    <row r="82" spans="1:10" x14ac:dyDescent="0.25">
      <c r="A82" s="5" t="s">
        <v>485</v>
      </c>
      <c r="B82" s="6">
        <v>400</v>
      </c>
      <c r="C82" s="6">
        <v>20.478950000000001</v>
      </c>
      <c r="D82" s="6">
        <v>98</v>
      </c>
      <c r="E82" s="6">
        <v>0</v>
      </c>
      <c r="F82" s="6">
        <v>0</v>
      </c>
      <c r="G82" s="6">
        <v>4</v>
      </c>
      <c r="H82" s="6" t="s">
        <v>486</v>
      </c>
      <c r="I82" s="6">
        <v>528.9375</v>
      </c>
      <c r="J82" s="2">
        <f t="shared" si="1"/>
        <v>43747.410306053243</v>
      </c>
    </row>
    <row r="83" spans="1:10" x14ac:dyDescent="0.25">
      <c r="A83" s="7" t="s">
        <v>487</v>
      </c>
      <c r="B83" s="8">
        <v>403.125</v>
      </c>
      <c r="C83" s="8">
        <v>20.478950000000001</v>
      </c>
      <c r="D83" s="8">
        <v>98</v>
      </c>
      <c r="E83" s="8">
        <v>0</v>
      </c>
      <c r="F83" s="8">
        <v>0</v>
      </c>
      <c r="G83" s="8">
        <v>2</v>
      </c>
      <c r="H83" s="8" t="s">
        <v>488</v>
      </c>
      <c r="I83" s="8">
        <v>529.125</v>
      </c>
      <c r="J83" s="3">
        <f t="shared" si="1"/>
        <v>43747.410389502307</v>
      </c>
    </row>
    <row r="84" spans="1:10" x14ac:dyDescent="0.25">
      <c r="A84" s="5" t="s">
        <v>489</v>
      </c>
      <c r="B84" s="6">
        <v>403.125</v>
      </c>
      <c r="C84" s="6">
        <v>20.478950000000001</v>
      </c>
      <c r="D84" s="6">
        <v>98</v>
      </c>
      <c r="E84" s="6">
        <v>0</v>
      </c>
      <c r="F84" s="6">
        <v>0</v>
      </c>
      <c r="G84" s="6">
        <v>0</v>
      </c>
      <c r="H84" s="6" t="s">
        <v>490</v>
      </c>
      <c r="I84" s="6">
        <v>529.125</v>
      </c>
      <c r="J84" s="2">
        <f t="shared" si="1"/>
        <v>43747.410472962962</v>
      </c>
    </row>
    <row r="85" spans="1:10" x14ac:dyDescent="0.25">
      <c r="A85" s="7" t="s">
        <v>491</v>
      </c>
      <c r="B85" s="8">
        <v>400</v>
      </c>
      <c r="C85" s="8">
        <v>20.478950000000001</v>
      </c>
      <c r="D85" s="8">
        <v>99</v>
      </c>
      <c r="E85" s="8">
        <v>0</v>
      </c>
      <c r="F85" s="8">
        <v>0</v>
      </c>
      <c r="G85" s="8">
        <v>7</v>
      </c>
      <c r="H85" s="8" t="s">
        <v>492</v>
      </c>
      <c r="I85" s="8">
        <v>528.9375</v>
      </c>
      <c r="J85" s="3">
        <f t="shared" si="1"/>
        <v>43747.410556180555</v>
      </c>
    </row>
    <row r="86" spans="1:10" x14ac:dyDescent="0.25">
      <c r="A86" s="5" t="s">
        <v>493</v>
      </c>
      <c r="B86" s="6">
        <v>403.125</v>
      </c>
      <c r="C86" s="6">
        <v>20.478950000000001</v>
      </c>
      <c r="D86" s="6">
        <v>99</v>
      </c>
      <c r="E86" s="6">
        <v>0</v>
      </c>
      <c r="F86" s="6">
        <v>0</v>
      </c>
      <c r="G86" s="6">
        <v>16</v>
      </c>
      <c r="H86" s="6" t="s">
        <v>494</v>
      </c>
      <c r="I86" s="6">
        <v>529.875</v>
      </c>
      <c r="J86" s="2">
        <f t="shared" si="1"/>
        <v>43747.410627939811</v>
      </c>
    </row>
    <row r="87" spans="1:10" x14ac:dyDescent="0.25">
      <c r="A87" s="7" t="s">
        <v>495</v>
      </c>
      <c r="B87" s="8">
        <v>403.125</v>
      </c>
      <c r="C87" s="8">
        <v>20.478950000000001</v>
      </c>
      <c r="D87" s="8">
        <v>99</v>
      </c>
      <c r="E87" s="8">
        <v>0</v>
      </c>
      <c r="F87" s="8">
        <v>0</v>
      </c>
      <c r="G87" s="8">
        <v>14</v>
      </c>
      <c r="H87" s="8" t="s">
        <v>496</v>
      </c>
      <c r="I87" s="8">
        <v>529.875</v>
      </c>
      <c r="J87" s="3">
        <f t="shared" si="1"/>
        <v>43747.410711388882</v>
      </c>
    </row>
    <row r="88" spans="1:10" x14ac:dyDescent="0.25">
      <c r="A88" s="5" t="s">
        <v>497</v>
      </c>
      <c r="B88" s="6">
        <v>406.25</v>
      </c>
      <c r="C88" s="6">
        <v>20.478950000000001</v>
      </c>
      <c r="D88" s="6">
        <v>98</v>
      </c>
      <c r="E88" s="6">
        <v>0</v>
      </c>
      <c r="F88" s="6">
        <v>0</v>
      </c>
      <c r="G88" s="6">
        <v>10</v>
      </c>
      <c r="H88" s="6" t="s">
        <v>498</v>
      </c>
      <c r="I88" s="6">
        <v>530.625</v>
      </c>
      <c r="J88" s="2">
        <f t="shared" si="1"/>
        <v>43747.410794953706</v>
      </c>
    </row>
    <row r="89" spans="1:10" x14ac:dyDescent="0.25">
      <c r="A89" s="7" t="s">
        <v>499</v>
      </c>
      <c r="B89" s="8">
        <v>406.25</v>
      </c>
      <c r="C89" s="8">
        <v>20.478950000000001</v>
      </c>
      <c r="D89" s="8">
        <v>100</v>
      </c>
      <c r="E89" s="8">
        <v>0</v>
      </c>
      <c r="F89" s="8">
        <v>0</v>
      </c>
      <c r="G89" s="8">
        <v>4</v>
      </c>
      <c r="H89" s="8" t="s">
        <v>500</v>
      </c>
      <c r="I89" s="8">
        <v>530.625</v>
      </c>
      <c r="J89" s="3">
        <f t="shared" si="1"/>
        <v>43747.410878391202</v>
      </c>
    </row>
    <row r="90" spans="1:10" x14ac:dyDescent="0.25">
      <c r="A90" s="5" t="s">
        <v>501</v>
      </c>
      <c r="B90" s="6">
        <v>406.25</v>
      </c>
      <c r="C90" s="6">
        <v>20.531590000000001</v>
      </c>
      <c r="D90" s="6">
        <v>99</v>
      </c>
      <c r="E90" s="6">
        <v>0</v>
      </c>
      <c r="F90" s="6">
        <v>0</v>
      </c>
      <c r="G90" s="6">
        <v>3</v>
      </c>
      <c r="H90" s="6" t="s">
        <v>502</v>
      </c>
      <c r="I90" s="6">
        <v>530.625</v>
      </c>
      <c r="J90" s="2">
        <f t="shared" si="1"/>
        <v>43747.41096173611</v>
      </c>
    </row>
    <row r="91" spans="1:10" x14ac:dyDescent="0.25">
      <c r="A91" s="7" t="s">
        <v>503</v>
      </c>
      <c r="B91" s="8">
        <v>406.25</v>
      </c>
      <c r="C91" s="8">
        <v>20.478950000000001</v>
      </c>
      <c r="D91" s="8">
        <v>99</v>
      </c>
      <c r="E91" s="8">
        <v>0</v>
      </c>
      <c r="F91" s="8">
        <v>0</v>
      </c>
      <c r="G91" s="8">
        <v>11</v>
      </c>
      <c r="H91" s="8" t="s">
        <v>504</v>
      </c>
      <c r="I91" s="8">
        <v>530.625</v>
      </c>
      <c r="J91" s="3">
        <f t="shared" si="1"/>
        <v>43747.411045069442</v>
      </c>
    </row>
    <row r="92" spans="1:10" x14ac:dyDescent="0.25">
      <c r="A92" s="5" t="s">
        <v>505</v>
      </c>
      <c r="B92" s="6">
        <v>406.25</v>
      </c>
      <c r="C92" s="6">
        <v>20.531590000000001</v>
      </c>
      <c r="D92" s="6">
        <v>99</v>
      </c>
      <c r="E92" s="6">
        <v>0</v>
      </c>
      <c r="F92" s="6">
        <v>0</v>
      </c>
      <c r="G92" s="6">
        <v>7</v>
      </c>
      <c r="H92" s="6" t="s">
        <v>506</v>
      </c>
      <c r="I92" s="6">
        <v>530.625</v>
      </c>
      <c r="J92" s="2">
        <f t="shared" si="1"/>
        <v>43747.411128726853</v>
      </c>
    </row>
    <row r="93" spans="1:10" x14ac:dyDescent="0.25">
      <c r="A93" s="7" t="s">
        <v>507</v>
      </c>
      <c r="B93" s="8">
        <v>403.125</v>
      </c>
      <c r="C93" s="8">
        <v>20.478950000000001</v>
      </c>
      <c r="D93" s="8">
        <v>99</v>
      </c>
      <c r="E93" s="8">
        <v>0</v>
      </c>
      <c r="F93" s="8">
        <v>0</v>
      </c>
      <c r="G93" s="8">
        <v>13</v>
      </c>
      <c r="H93" s="8" t="s">
        <v>508</v>
      </c>
      <c r="I93" s="8">
        <v>529.875</v>
      </c>
      <c r="J93" s="3">
        <f t="shared" si="1"/>
        <v>43747.411211828701</v>
      </c>
    </row>
    <row r="94" spans="1:10" x14ac:dyDescent="0.25">
      <c r="A94" s="5" t="s">
        <v>509</v>
      </c>
      <c r="B94" s="6">
        <v>403.125</v>
      </c>
      <c r="C94" s="6">
        <v>20.478950000000001</v>
      </c>
      <c r="D94" s="6">
        <v>99</v>
      </c>
      <c r="E94" s="6">
        <v>0</v>
      </c>
      <c r="F94" s="6">
        <v>0</v>
      </c>
      <c r="G94" s="6">
        <v>4</v>
      </c>
      <c r="H94" s="6" t="s">
        <v>510</v>
      </c>
      <c r="I94" s="6">
        <v>529.875</v>
      </c>
      <c r="J94" s="2">
        <f t="shared" si="1"/>
        <v>43747.411283495363</v>
      </c>
    </row>
    <row r="95" spans="1:10" x14ac:dyDescent="0.25">
      <c r="A95" s="7" t="s">
        <v>511</v>
      </c>
      <c r="B95" s="8">
        <v>403.125</v>
      </c>
      <c r="C95" s="8">
        <v>20.478950000000001</v>
      </c>
      <c r="D95" s="8">
        <v>99</v>
      </c>
      <c r="E95" s="8">
        <v>0</v>
      </c>
      <c r="F95" s="8">
        <v>0</v>
      </c>
      <c r="G95" s="8">
        <v>13</v>
      </c>
      <c r="H95" s="8" t="s">
        <v>512</v>
      </c>
      <c r="I95" s="8">
        <v>529.875</v>
      </c>
      <c r="J95" s="3">
        <f t="shared" si="1"/>
        <v>43747.411367303233</v>
      </c>
    </row>
    <row r="96" spans="1:10" x14ac:dyDescent="0.25">
      <c r="A96" s="5" t="s">
        <v>513</v>
      </c>
      <c r="B96" s="6">
        <v>403.125</v>
      </c>
      <c r="C96" s="6">
        <v>20.478950000000001</v>
      </c>
      <c r="D96" s="6">
        <v>100</v>
      </c>
      <c r="E96" s="6">
        <v>0</v>
      </c>
      <c r="F96" s="6">
        <v>0</v>
      </c>
      <c r="G96" s="6">
        <v>5</v>
      </c>
      <c r="H96" s="6" t="s">
        <v>514</v>
      </c>
      <c r="I96" s="6">
        <v>529.875</v>
      </c>
      <c r="J96" s="2">
        <f t="shared" si="1"/>
        <v>43747.411450740743</v>
      </c>
    </row>
    <row r="97" spans="1:10" x14ac:dyDescent="0.25">
      <c r="A97" s="7" t="s">
        <v>515</v>
      </c>
      <c r="B97" s="8">
        <v>425</v>
      </c>
      <c r="C97" s="8">
        <v>20.478950000000001</v>
      </c>
      <c r="D97" s="8">
        <v>99</v>
      </c>
      <c r="E97" s="8">
        <v>0</v>
      </c>
      <c r="F97" s="8">
        <v>0</v>
      </c>
      <c r="G97" s="8">
        <v>7</v>
      </c>
      <c r="H97" s="8" t="s">
        <v>516</v>
      </c>
      <c r="I97" s="8">
        <v>536.4375</v>
      </c>
      <c r="J97" s="3">
        <f t="shared" si="1"/>
        <v>43747.411522268514</v>
      </c>
    </row>
    <row r="98" spans="1:10" x14ac:dyDescent="0.25">
      <c r="A98" s="5" t="s">
        <v>517</v>
      </c>
      <c r="B98" s="6">
        <v>403.125</v>
      </c>
      <c r="C98" s="6">
        <v>20.478950000000001</v>
      </c>
      <c r="D98" s="6">
        <v>101</v>
      </c>
      <c r="E98" s="6">
        <v>0</v>
      </c>
      <c r="F98" s="6">
        <v>0</v>
      </c>
      <c r="G98" s="6">
        <v>6</v>
      </c>
      <c r="H98" s="6" t="s">
        <v>518</v>
      </c>
      <c r="I98" s="6">
        <v>529.875</v>
      </c>
      <c r="J98" s="2">
        <f t="shared" si="1"/>
        <v>43747.411605706016</v>
      </c>
    </row>
    <row r="99" spans="1:10" x14ac:dyDescent="0.25">
      <c r="A99" s="7" t="s">
        <v>519</v>
      </c>
      <c r="B99" s="8">
        <v>403.125</v>
      </c>
      <c r="C99" s="8">
        <v>20.478950000000001</v>
      </c>
      <c r="D99" s="8">
        <v>101</v>
      </c>
      <c r="E99" s="8">
        <v>0</v>
      </c>
      <c r="F99" s="8">
        <v>0</v>
      </c>
      <c r="G99" s="8">
        <v>16</v>
      </c>
      <c r="H99" s="8" t="s">
        <v>520</v>
      </c>
      <c r="I99" s="8">
        <v>529.875</v>
      </c>
      <c r="J99" s="3">
        <f t="shared" si="1"/>
        <v>43747.411677118049</v>
      </c>
    </row>
    <row r="100" spans="1:10" x14ac:dyDescent="0.25">
      <c r="A100" s="5" t="s">
        <v>521</v>
      </c>
      <c r="B100" s="6">
        <v>403.125</v>
      </c>
      <c r="C100" s="6">
        <v>20.478950000000001</v>
      </c>
      <c r="D100" s="6">
        <v>101</v>
      </c>
      <c r="E100" s="6">
        <v>0</v>
      </c>
      <c r="F100" s="6">
        <v>0</v>
      </c>
      <c r="G100" s="6">
        <v>13</v>
      </c>
      <c r="H100" s="6" t="s">
        <v>522</v>
      </c>
      <c r="I100" s="6">
        <v>529.6875</v>
      </c>
      <c r="J100" s="2">
        <f t="shared" si="1"/>
        <v>43747.411772847219</v>
      </c>
    </row>
    <row r="101" spans="1:10" x14ac:dyDescent="0.25">
      <c r="A101" s="7" t="s">
        <v>523</v>
      </c>
      <c r="B101" s="8">
        <v>406.25</v>
      </c>
      <c r="C101" s="8">
        <v>20.478950000000001</v>
      </c>
      <c r="D101" s="8">
        <v>101</v>
      </c>
      <c r="E101" s="8">
        <v>0</v>
      </c>
      <c r="F101" s="8">
        <v>0</v>
      </c>
      <c r="G101" s="8">
        <v>8</v>
      </c>
      <c r="H101" s="8" t="s">
        <v>524</v>
      </c>
      <c r="I101" s="8">
        <v>530.625</v>
      </c>
      <c r="J101" s="3">
        <f t="shared" si="1"/>
        <v>43747.411856168976</v>
      </c>
    </row>
    <row r="102" spans="1:10" x14ac:dyDescent="0.25">
      <c r="A102" s="5" t="s">
        <v>525</v>
      </c>
      <c r="B102" s="6">
        <v>425</v>
      </c>
      <c r="C102" s="6">
        <v>20.478950000000001</v>
      </c>
      <c r="D102" s="6">
        <v>101</v>
      </c>
      <c r="E102" s="6">
        <v>0</v>
      </c>
      <c r="F102" s="6">
        <v>0</v>
      </c>
      <c r="G102" s="6">
        <v>8</v>
      </c>
      <c r="H102" s="6" t="s">
        <v>526</v>
      </c>
      <c r="I102" s="6">
        <v>536.4375</v>
      </c>
      <c r="J102" s="2">
        <f t="shared" si="1"/>
        <v>43747.41195603009</v>
      </c>
    </row>
    <row r="103" spans="1:10" x14ac:dyDescent="0.25">
      <c r="A103" s="7" t="s">
        <v>527</v>
      </c>
      <c r="B103" s="8">
        <v>406.25</v>
      </c>
      <c r="C103" s="8">
        <v>20.478950000000001</v>
      </c>
      <c r="D103" s="8">
        <v>100</v>
      </c>
      <c r="E103" s="8">
        <v>0</v>
      </c>
      <c r="F103" s="8">
        <v>0</v>
      </c>
      <c r="G103" s="8">
        <v>11</v>
      </c>
      <c r="H103" s="8" t="s">
        <v>528</v>
      </c>
      <c r="I103" s="8">
        <v>530.625</v>
      </c>
      <c r="J103" s="3">
        <f t="shared" si="1"/>
        <v>43747.412034872679</v>
      </c>
    </row>
    <row r="104" spans="1:10" x14ac:dyDescent="0.25">
      <c r="A104" s="5" t="s">
        <v>529</v>
      </c>
      <c r="B104" s="6">
        <v>425</v>
      </c>
      <c r="C104" s="6">
        <v>20.531590000000001</v>
      </c>
      <c r="D104" s="6">
        <v>100</v>
      </c>
      <c r="E104" s="6">
        <v>0</v>
      </c>
      <c r="F104" s="6">
        <v>0</v>
      </c>
      <c r="G104" s="6">
        <v>4</v>
      </c>
      <c r="H104" s="6" t="s">
        <v>530</v>
      </c>
      <c r="I104" s="6">
        <v>536.625</v>
      </c>
      <c r="J104" s="2">
        <f t="shared" si="1"/>
        <v>43747.412106400465</v>
      </c>
    </row>
    <row r="105" spans="1:10" x14ac:dyDescent="0.25">
      <c r="A105" s="7" t="s">
        <v>531</v>
      </c>
      <c r="B105" s="8">
        <v>406.25</v>
      </c>
      <c r="C105" s="8">
        <v>20.531590000000001</v>
      </c>
      <c r="D105" s="8">
        <v>98</v>
      </c>
      <c r="E105" s="8">
        <v>0</v>
      </c>
      <c r="F105" s="8">
        <v>0</v>
      </c>
      <c r="G105" s="8">
        <v>5</v>
      </c>
      <c r="H105" s="8" t="s">
        <v>532</v>
      </c>
      <c r="I105" s="8">
        <v>530.625</v>
      </c>
      <c r="J105" s="3">
        <f t="shared" si="1"/>
        <v>43747.412189525458</v>
      </c>
    </row>
    <row r="106" spans="1:10" x14ac:dyDescent="0.25">
      <c r="A106" s="5" t="s">
        <v>533</v>
      </c>
      <c r="B106" s="6">
        <v>431.25</v>
      </c>
      <c r="C106" s="6">
        <v>20.531590000000001</v>
      </c>
      <c r="D106" s="6">
        <v>98</v>
      </c>
      <c r="E106" s="6">
        <v>0</v>
      </c>
      <c r="F106" s="6">
        <v>0</v>
      </c>
      <c r="G106" s="6">
        <v>11</v>
      </c>
      <c r="H106" s="6" t="s">
        <v>534</v>
      </c>
      <c r="I106" s="6">
        <v>538.3125</v>
      </c>
      <c r="J106" s="2">
        <f t="shared" si="1"/>
        <v>43747.412285335646</v>
      </c>
    </row>
    <row r="107" spans="1:10" x14ac:dyDescent="0.25">
      <c r="A107" s="7" t="s">
        <v>535</v>
      </c>
      <c r="B107" s="8">
        <v>406.25</v>
      </c>
      <c r="C107" s="8">
        <v>20.478950000000001</v>
      </c>
      <c r="D107" s="8">
        <v>98</v>
      </c>
      <c r="E107" s="8">
        <v>0</v>
      </c>
      <c r="F107" s="8">
        <v>0</v>
      </c>
      <c r="G107" s="8">
        <v>14</v>
      </c>
      <c r="H107" s="8" t="s">
        <v>536</v>
      </c>
      <c r="I107" s="8">
        <v>530.625</v>
      </c>
      <c r="J107" s="3">
        <f t="shared" si="1"/>
        <v>43747.412368668978</v>
      </c>
    </row>
    <row r="108" spans="1:10" x14ac:dyDescent="0.25">
      <c r="A108" s="5" t="s">
        <v>537</v>
      </c>
      <c r="B108" s="6">
        <v>406.25</v>
      </c>
      <c r="C108" s="6">
        <v>20.478950000000001</v>
      </c>
      <c r="D108" s="6">
        <v>98</v>
      </c>
      <c r="E108" s="6">
        <v>0</v>
      </c>
      <c r="F108" s="6">
        <v>0</v>
      </c>
      <c r="G108" s="6">
        <v>17</v>
      </c>
      <c r="H108" s="6" t="s">
        <v>538</v>
      </c>
      <c r="I108" s="6">
        <v>530.625</v>
      </c>
      <c r="J108" s="2">
        <f t="shared" si="1"/>
        <v>43747.41245225694</v>
      </c>
    </row>
    <row r="109" spans="1:10" x14ac:dyDescent="0.25">
      <c r="A109" s="7" t="s">
        <v>539</v>
      </c>
      <c r="B109" s="8">
        <v>406.25</v>
      </c>
      <c r="C109" s="8">
        <v>20.478950000000001</v>
      </c>
      <c r="D109" s="8">
        <v>98</v>
      </c>
      <c r="E109" s="8">
        <v>0</v>
      </c>
      <c r="F109" s="8">
        <v>0</v>
      </c>
      <c r="G109" s="8">
        <v>14</v>
      </c>
      <c r="H109" s="8" t="s">
        <v>540</v>
      </c>
      <c r="I109" s="8">
        <v>530.625</v>
      </c>
      <c r="J109" s="3">
        <f t="shared" si="1"/>
        <v>43747.412535682866</v>
      </c>
    </row>
    <row r="110" spans="1:10" x14ac:dyDescent="0.25">
      <c r="A110" s="5" t="s">
        <v>541</v>
      </c>
      <c r="B110" s="6">
        <v>406.25</v>
      </c>
      <c r="C110" s="6">
        <v>20.478950000000001</v>
      </c>
      <c r="D110" s="6">
        <v>98</v>
      </c>
      <c r="E110" s="6">
        <v>0</v>
      </c>
      <c r="F110" s="6">
        <v>0</v>
      </c>
      <c r="G110" s="6">
        <v>7</v>
      </c>
      <c r="H110" s="6" t="s">
        <v>542</v>
      </c>
      <c r="I110" s="6">
        <v>530.625</v>
      </c>
      <c r="J110" s="2">
        <f t="shared" si="1"/>
        <v>43747.412619120369</v>
      </c>
    </row>
    <row r="111" spans="1:10" x14ac:dyDescent="0.25">
      <c r="A111" s="7" t="s">
        <v>543</v>
      </c>
      <c r="B111" s="8">
        <v>406.25</v>
      </c>
      <c r="C111" s="8">
        <v>20.478950000000001</v>
      </c>
      <c r="D111" s="8">
        <v>98</v>
      </c>
      <c r="E111" s="8">
        <v>0</v>
      </c>
      <c r="F111" s="8">
        <v>0</v>
      </c>
      <c r="G111" s="8">
        <v>7</v>
      </c>
      <c r="H111" s="8" t="s">
        <v>544</v>
      </c>
      <c r="I111" s="8">
        <v>530.8125</v>
      </c>
      <c r="J111" s="3">
        <f t="shared" si="1"/>
        <v>43747.41270256944</v>
      </c>
    </row>
    <row r="112" spans="1:10" x14ac:dyDescent="0.25">
      <c r="A112" s="5" t="s">
        <v>545</v>
      </c>
      <c r="B112" s="6">
        <v>403.125</v>
      </c>
      <c r="C112" s="6">
        <v>20.478950000000001</v>
      </c>
      <c r="D112" s="6">
        <v>98</v>
      </c>
      <c r="E112" s="6">
        <v>0</v>
      </c>
      <c r="F112" s="6">
        <v>0</v>
      </c>
      <c r="G112" s="6">
        <v>5</v>
      </c>
      <c r="H112" s="6" t="s">
        <v>546</v>
      </c>
      <c r="I112" s="6">
        <v>529.875</v>
      </c>
      <c r="J112" s="2">
        <f t="shared" si="1"/>
        <v>43747.41278579861</v>
      </c>
    </row>
    <row r="113" spans="1:10" x14ac:dyDescent="0.25">
      <c r="A113" s="7" t="s">
        <v>547</v>
      </c>
      <c r="B113" s="8">
        <v>428.125</v>
      </c>
      <c r="C113" s="8">
        <v>20.478950000000001</v>
      </c>
      <c r="D113" s="8">
        <v>98</v>
      </c>
      <c r="E113" s="8">
        <v>0</v>
      </c>
      <c r="F113" s="8">
        <v>0</v>
      </c>
      <c r="G113" s="8">
        <v>13</v>
      </c>
      <c r="H113" s="8" t="s">
        <v>548</v>
      </c>
      <c r="I113" s="8">
        <v>537.75</v>
      </c>
      <c r="J113" s="3">
        <f t="shared" si="1"/>
        <v>43747.412857557872</v>
      </c>
    </row>
    <row r="114" spans="1:10" x14ac:dyDescent="0.25">
      <c r="A114" s="5" t="s">
        <v>549</v>
      </c>
      <c r="B114" s="6">
        <v>403.125</v>
      </c>
      <c r="C114" s="6">
        <v>20.478950000000001</v>
      </c>
      <c r="D114" s="6">
        <v>98</v>
      </c>
      <c r="E114" s="6">
        <v>0</v>
      </c>
      <c r="F114" s="6">
        <v>0</v>
      </c>
      <c r="G114" s="6">
        <v>12</v>
      </c>
      <c r="H114" s="6" t="s">
        <v>550</v>
      </c>
      <c r="I114" s="6">
        <v>529.875</v>
      </c>
      <c r="J114" s="2">
        <f t="shared" si="1"/>
        <v>43747.412941006944</v>
      </c>
    </row>
    <row r="115" spans="1:10" x14ac:dyDescent="0.25">
      <c r="A115" s="7" t="s">
        <v>551</v>
      </c>
      <c r="B115" s="8">
        <v>403.125</v>
      </c>
      <c r="C115" s="8">
        <v>20.478950000000001</v>
      </c>
      <c r="D115" s="8">
        <v>96</v>
      </c>
      <c r="E115" s="8">
        <v>0</v>
      </c>
      <c r="F115" s="8">
        <v>0</v>
      </c>
      <c r="G115" s="8">
        <v>7</v>
      </c>
      <c r="H115" s="8" t="s">
        <v>552</v>
      </c>
      <c r="I115" s="8">
        <v>529.875</v>
      </c>
      <c r="J115" s="3">
        <f t="shared" si="1"/>
        <v>43747.413024467591</v>
      </c>
    </row>
    <row r="116" spans="1:10" x14ac:dyDescent="0.25">
      <c r="A116" s="5" t="s">
        <v>553</v>
      </c>
      <c r="B116" s="6">
        <v>403.125</v>
      </c>
      <c r="C116" s="6">
        <v>20.478950000000001</v>
      </c>
      <c r="D116" s="6">
        <v>97</v>
      </c>
      <c r="E116" s="6">
        <v>0</v>
      </c>
      <c r="F116" s="6">
        <v>0</v>
      </c>
      <c r="G116" s="6">
        <v>5</v>
      </c>
      <c r="H116" s="6" t="s">
        <v>554</v>
      </c>
      <c r="I116" s="6">
        <v>529.875</v>
      </c>
      <c r="J116" s="2">
        <f t="shared" si="1"/>
        <v>43747.413108032408</v>
      </c>
    </row>
    <row r="117" spans="1:10" x14ac:dyDescent="0.25">
      <c r="A117" s="7" t="s">
        <v>555</v>
      </c>
      <c r="B117" s="8">
        <v>403.125</v>
      </c>
      <c r="C117" s="8">
        <v>20.478950000000001</v>
      </c>
      <c r="D117" s="8">
        <v>97</v>
      </c>
      <c r="E117" s="8">
        <v>0</v>
      </c>
      <c r="F117" s="8">
        <v>0</v>
      </c>
      <c r="G117" s="8">
        <v>5</v>
      </c>
      <c r="H117" s="8" t="s">
        <v>556</v>
      </c>
      <c r="I117" s="8">
        <v>529.875</v>
      </c>
      <c r="J117" s="3">
        <f t="shared" si="1"/>
        <v>43747.413191481479</v>
      </c>
    </row>
    <row r="118" spans="1:10" x14ac:dyDescent="0.25">
      <c r="A118" s="5" t="s">
        <v>557</v>
      </c>
      <c r="B118" s="6">
        <v>428.125</v>
      </c>
      <c r="C118" s="6">
        <v>20.478950000000001</v>
      </c>
      <c r="D118" s="6">
        <v>97</v>
      </c>
      <c r="E118" s="6">
        <v>0</v>
      </c>
      <c r="F118" s="6">
        <v>0</v>
      </c>
      <c r="G118" s="6">
        <v>11</v>
      </c>
      <c r="H118" s="6" t="s">
        <v>558</v>
      </c>
      <c r="I118" s="6">
        <v>537.9375</v>
      </c>
      <c r="J118" s="2">
        <f t="shared" si="1"/>
        <v>43747.413274699073</v>
      </c>
    </row>
    <row r="119" spans="1:10" x14ac:dyDescent="0.25">
      <c r="A119" s="7" t="s">
        <v>559</v>
      </c>
      <c r="B119" s="8">
        <v>406.25</v>
      </c>
      <c r="C119" s="8">
        <v>20.478950000000001</v>
      </c>
      <c r="D119" s="8">
        <v>99</v>
      </c>
      <c r="E119" s="8">
        <v>0</v>
      </c>
      <c r="F119" s="8">
        <v>0</v>
      </c>
      <c r="G119" s="8">
        <v>14</v>
      </c>
      <c r="H119" s="8" t="s">
        <v>560</v>
      </c>
      <c r="I119" s="8">
        <v>530.625</v>
      </c>
      <c r="J119" s="3">
        <f t="shared" si="1"/>
        <v>43747.413358379628</v>
      </c>
    </row>
    <row r="120" spans="1:10" x14ac:dyDescent="0.25">
      <c r="A120" s="5" t="s">
        <v>561</v>
      </c>
      <c r="B120" s="6">
        <v>406.25</v>
      </c>
      <c r="C120" s="6">
        <v>20.478950000000001</v>
      </c>
      <c r="D120" s="6">
        <v>99</v>
      </c>
      <c r="E120" s="6">
        <v>0</v>
      </c>
      <c r="F120" s="6">
        <v>0</v>
      </c>
      <c r="G120" s="6">
        <v>5</v>
      </c>
      <c r="H120" s="6" t="s">
        <v>562</v>
      </c>
      <c r="I120" s="6">
        <v>530.625</v>
      </c>
      <c r="J120" s="2">
        <f t="shared" si="1"/>
        <v>43747.4134414699</v>
      </c>
    </row>
    <row r="121" spans="1:10" x14ac:dyDescent="0.25">
      <c r="A121" s="7" t="s">
        <v>563</v>
      </c>
      <c r="B121" s="8">
        <v>406.25</v>
      </c>
      <c r="C121" s="8">
        <v>20.478950000000001</v>
      </c>
      <c r="D121" s="8">
        <v>99</v>
      </c>
      <c r="E121" s="8">
        <v>0</v>
      </c>
      <c r="F121" s="8">
        <v>0</v>
      </c>
      <c r="G121" s="8">
        <v>2</v>
      </c>
      <c r="H121" s="8" t="s">
        <v>564</v>
      </c>
      <c r="I121" s="8">
        <v>530.625</v>
      </c>
      <c r="J121" s="3">
        <f t="shared" si="1"/>
        <v>43747.413513113424</v>
      </c>
    </row>
    <row r="122" spans="1:10" x14ac:dyDescent="0.25">
      <c r="A122" s="5" t="s">
        <v>565</v>
      </c>
      <c r="B122" s="6">
        <v>406.25</v>
      </c>
      <c r="C122" s="6">
        <v>20.478950000000001</v>
      </c>
      <c r="D122" s="6">
        <v>99</v>
      </c>
      <c r="E122" s="6">
        <v>0</v>
      </c>
      <c r="F122" s="6">
        <v>0</v>
      </c>
      <c r="G122" s="6">
        <v>9</v>
      </c>
      <c r="H122" s="6" t="s">
        <v>566</v>
      </c>
      <c r="I122" s="6">
        <v>530.625</v>
      </c>
      <c r="J122" s="2">
        <f t="shared" si="1"/>
        <v>43747.413596921295</v>
      </c>
    </row>
    <row r="123" spans="1:10" x14ac:dyDescent="0.25">
      <c r="A123" s="7" t="s">
        <v>567</v>
      </c>
      <c r="B123" s="8">
        <v>406.25</v>
      </c>
      <c r="C123" s="8">
        <v>20.478950000000001</v>
      </c>
      <c r="D123" s="8">
        <v>98</v>
      </c>
      <c r="E123" s="8">
        <v>0</v>
      </c>
      <c r="F123" s="8">
        <v>0</v>
      </c>
      <c r="G123" s="8">
        <v>8</v>
      </c>
      <c r="H123" s="8" t="s">
        <v>568</v>
      </c>
      <c r="I123" s="8">
        <v>530.625</v>
      </c>
      <c r="J123" s="3">
        <f t="shared" si="1"/>
        <v>43747.413680358797</v>
      </c>
    </row>
    <row r="124" spans="1:10" x14ac:dyDescent="0.25">
      <c r="A124" s="5" t="s">
        <v>569</v>
      </c>
      <c r="B124" s="6">
        <v>406.25</v>
      </c>
      <c r="C124" s="6">
        <v>20.531590000000001</v>
      </c>
      <c r="D124" s="6">
        <v>95</v>
      </c>
      <c r="E124" s="6">
        <v>0</v>
      </c>
      <c r="F124" s="6">
        <v>0</v>
      </c>
      <c r="G124" s="6">
        <v>3</v>
      </c>
      <c r="H124" s="6" t="s">
        <v>570</v>
      </c>
      <c r="I124" s="6">
        <v>530.625</v>
      </c>
      <c r="J124" s="2">
        <f t="shared" si="1"/>
        <v>43747.41376358796</v>
      </c>
    </row>
    <row r="125" spans="1:10" x14ac:dyDescent="0.25">
      <c r="A125" s="7" t="s">
        <v>571</v>
      </c>
      <c r="B125" s="8">
        <v>406.25</v>
      </c>
      <c r="C125" s="8">
        <v>20.478950000000001</v>
      </c>
      <c r="D125" s="8">
        <v>97</v>
      </c>
      <c r="E125" s="8">
        <v>0</v>
      </c>
      <c r="F125" s="8">
        <v>0</v>
      </c>
      <c r="G125" s="8">
        <v>7</v>
      </c>
      <c r="H125" s="8" t="s">
        <v>572</v>
      </c>
      <c r="I125" s="8">
        <v>530.625</v>
      </c>
      <c r="J125" s="3">
        <f t="shared" si="1"/>
        <v>43747.413846805553</v>
      </c>
    </row>
    <row r="126" spans="1:10" x14ac:dyDescent="0.25">
      <c r="A126" s="5" t="s">
        <v>573</v>
      </c>
      <c r="B126" s="6">
        <v>406.25</v>
      </c>
      <c r="C126" s="6">
        <v>20.478950000000001</v>
      </c>
      <c r="D126" s="6">
        <v>97</v>
      </c>
      <c r="E126" s="6">
        <v>0</v>
      </c>
      <c r="F126" s="6">
        <v>0</v>
      </c>
      <c r="G126" s="6">
        <v>14</v>
      </c>
      <c r="H126" s="6" t="s">
        <v>574</v>
      </c>
      <c r="I126" s="6">
        <v>530.625</v>
      </c>
      <c r="J126" s="2">
        <f t="shared" si="1"/>
        <v>43747.413928912036</v>
      </c>
    </row>
    <row r="127" spans="1:10" x14ac:dyDescent="0.25">
      <c r="A127" s="7" t="s">
        <v>575</v>
      </c>
      <c r="B127" s="8">
        <v>406.25</v>
      </c>
      <c r="C127" s="8">
        <v>20.478950000000001</v>
      </c>
      <c r="D127" s="8">
        <v>97</v>
      </c>
      <c r="E127" s="8">
        <v>0</v>
      </c>
      <c r="F127" s="8">
        <v>0</v>
      </c>
      <c r="G127" s="8">
        <v>12</v>
      </c>
      <c r="H127" s="8" t="s">
        <v>576</v>
      </c>
      <c r="I127" s="8">
        <v>530.625</v>
      </c>
      <c r="J127" s="3">
        <f t="shared" si="1"/>
        <v>43747.414002013888</v>
      </c>
    </row>
    <row r="128" spans="1:10" x14ac:dyDescent="0.25">
      <c r="A128" s="5" t="s">
        <v>577</v>
      </c>
      <c r="B128" s="6">
        <v>406.25</v>
      </c>
      <c r="C128" s="6">
        <v>20.478950000000001</v>
      </c>
      <c r="D128" s="6">
        <v>98</v>
      </c>
      <c r="E128" s="6">
        <v>0</v>
      </c>
      <c r="F128" s="6">
        <v>0</v>
      </c>
      <c r="G128" s="6">
        <v>8</v>
      </c>
      <c r="H128" s="6" t="s">
        <v>578</v>
      </c>
      <c r="I128" s="6">
        <v>530.625</v>
      </c>
      <c r="J128" s="2">
        <f t="shared" si="1"/>
        <v>43747.41408578703</v>
      </c>
    </row>
    <row r="129" spans="1:10" x14ac:dyDescent="0.25">
      <c r="A129" s="7" t="s">
        <v>579</v>
      </c>
      <c r="B129" s="8">
        <v>406.25</v>
      </c>
      <c r="C129" s="8">
        <v>20.478950000000001</v>
      </c>
      <c r="D129" s="8">
        <v>99</v>
      </c>
      <c r="E129" s="8">
        <v>0</v>
      </c>
      <c r="F129" s="8">
        <v>0</v>
      </c>
      <c r="G129" s="8">
        <v>14</v>
      </c>
      <c r="H129" s="8" t="s">
        <v>580</v>
      </c>
      <c r="I129" s="8">
        <v>530.625</v>
      </c>
      <c r="J129" s="3">
        <f t="shared" si="1"/>
        <v>43747.414176354163</v>
      </c>
    </row>
    <row r="130" spans="1:10" x14ac:dyDescent="0.25">
      <c r="A130" s="5" t="s">
        <v>581</v>
      </c>
      <c r="B130" s="6">
        <v>406.25</v>
      </c>
      <c r="C130" s="6">
        <v>20.478950000000001</v>
      </c>
      <c r="D130" s="6">
        <v>98</v>
      </c>
      <c r="E130" s="6">
        <v>0</v>
      </c>
      <c r="F130" s="6">
        <v>0</v>
      </c>
      <c r="G130" s="6">
        <v>4</v>
      </c>
      <c r="H130" s="6" t="s">
        <v>582</v>
      </c>
      <c r="I130" s="6">
        <v>530.625</v>
      </c>
      <c r="J130" s="2">
        <f t="shared" ref="J130:J193" si="2">(H130/86400000)+25569+(7/24)</f>
        <v>43747.414252812501</v>
      </c>
    </row>
    <row r="131" spans="1:10" x14ac:dyDescent="0.25">
      <c r="A131" s="7" t="s">
        <v>583</v>
      </c>
      <c r="B131" s="8">
        <v>406.25</v>
      </c>
      <c r="C131" s="8">
        <v>20.478950000000001</v>
      </c>
      <c r="D131" s="8">
        <v>99</v>
      </c>
      <c r="E131" s="8">
        <v>0</v>
      </c>
      <c r="F131" s="8">
        <v>0</v>
      </c>
      <c r="G131" s="8">
        <v>6</v>
      </c>
      <c r="H131" s="8" t="s">
        <v>584</v>
      </c>
      <c r="I131" s="8">
        <v>530.625</v>
      </c>
      <c r="J131" s="3">
        <f t="shared" si="2"/>
        <v>43747.414336041664</v>
      </c>
    </row>
    <row r="132" spans="1:10" x14ac:dyDescent="0.25">
      <c r="A132" s="5" t="s">
        <v>585</v>
      </c>
      <c r="B132" s="6">
        <v>406.25</v>
      </c>
      <c r="C132" s="6">
        <v>20.531590000000001</v>
      </c>
      <c r="D132" s="6">
        <v>100</v>
      </c>
      <c r="E132" s="6">
        <v>0</v>
      </c>
      <c r="F132" s="6">
        <v>0</v>
      </c>
      <c r="G132" s="6">
        <v>10</v>
      </c>
      <c r="H132" s="6" t="s">
        <v>586</v>
      </c>
      <c r="I132" s="6">
        <v>530.8125</v>
      </c>
      <c r="J132" s="2">
        <f t="shared" si="2"/>
        <v>43747.414419259258</v>
      </c>
    </row>
    <row r="133" spans="1:10" x14ac:dyDescent="0.25">
      <c r="A133" s="7" t="s">
        <v>587</v>
      </c>
      <c r="B133" s="8">
        <v>403.125</v>
      </c>
      <c r="C133" s="8">
        <v>20.478950000000001</v>
      </c>
      <c r="D133" s="8">
        <v>100</v>
      </c>
      <c r="E133" s="8">
        <v>0</v>
      </c>
      <c r="F133" s="8">
        <v>0</v>
      </c>
      <c r="G133" s="8">
        <v>0</v>
      </c>
      <c r="H133" s="8" t="s">
        <v>588</v>
      </c>
      <c r="I133" s="8">
        <v>529.875</v>
      </c>
      <c r="J133" s="3">
        <f t="shared" si="2"/>
        <v>43747.414490879622</v>
      </c>
    </row>
    <row r="134" spans="1:10" x14ac:dyDescent="0.25">
      <c r="A134" s="5" t="s">
        <v>589</v>
      </c>
      <c r="B134" s="6">
        <v>403.125</v>
      </c>
      <c r="C134" s="6">
        <v>20.478950000000001</v>
      </c>
      <c r="D134" s="6">
        <v>99</v>
      </c>
      <c r="E134" s="6">
        <v>0</v>
      </c>
      <c r="F134" s="6">
        <v>0</v>
      </c>
      <c r="G134" s="6">
        <v>3</v>
      </c>
      <c r="H134" s="6" t="s">
        <v>590</v>
      </c>
      <c r="I134" s="6">
        <v>529.875</v>
      </c>
      <c r="J134" s="2">
        <f t="shared" si="2"/>
        <v>43747.414574456016</v>
      </c>
    </row>
    <row r="135" spans="1:10" x14ac:dyDescent="0.25">
      <c r="A135" s="7" t="s">
        <v>591</v>
      </c>
      <c r="B135" s="8">
        <v>403.125</v>
      </c>
      <c r="C135" s="8">
        <v>20.531590000000001</v>
      </c>
      <c r="D135" s="8">
        <v>100</v>
      </c>
      <c r="E135" s="8">
        <v>0</v>
      </c>
      <c r="F135" s="8">
        <v>0</v>
      </c>
      <c r="G135" s="8">
        <v>9</v>
      </c>
      <c r="H135" s="8" t="s">
        <v>592</v>
      </c>
      <c r="I135" s="8">
        <v>529.875</v>
      </c>
      <c r="J135" s="3">
        <f t="shared" si="2"/>
        <v>43747.414658020833</v>
      </c>
    </row>
    <row r="136" spans="1:10" x14ac:dyDescent="0.25">
      <c r="A136" s="5" t="s">
        <v>593</v>
      </c>
      <c r="B136" s="6">
        <v>406.25</v>
      </c>
      <c r="C136" s="6">
        <v>20.478950000000001</v>
      </c>
      <c r="D136" s="6">
        <v>101</v>
      </c>
      <c r="E136" s="6">
        <v>0</v>
      </c>
      <c r="F136" s="6">
        <v>0</v>
      </c>
      <c r="G136" s="6">
        <v>9</v>
      </c>
      <c r="H136" s="6" t="s">
        <v>594</v>
      </c>
      <c r="I136" s="6">
        <v>530.625</v>
      </c>
      <c r="J136" s="2">
        <f t="shared" si="2"/>
        <v>43747.414753379628</v>
      </c>
    </row>
    <row r="137" spans="1:10" x14ac:dyDescent="0.25">
      <c r="A137" s="7" t="s">
        <v>595</v>
      </c>
      <c r="B137" s="8">
        <v>403.125</v>
      </c>
      <c r="C137" s="8">
        <v>20.478950000000001</v>
      </c>
      <c r="D137" s="8">
        <v>101</v>
      </c>
      <c r="E137" s="8">
        <v>0</v>
      </c>
      <c r="F137" s="8">
        <v>0</v>
      </c>
      <c r="G137" s="8">
        <v>6</v>
      </c>
      <c r="H137" s="8" t="s">
        <v>596</v>
      </c>
      <c r="I137" s="8">
        <v>529.875</v>
      </c>
      <c r="J137" s="3">
        <f t="shared" si="2"/>
        <v>43747.414824907406</v>
      </c>
    </row>
    <row r="138" spans="1:10" x14ac:dyDescent="0.25">
      <c r="A138" s="5" t="s">
        <v>597</v>
      </c>
      <c r="B138" s="6">
        <v>403.125</v>
      </c>
      <c r="C138" s="6">
        <v>20.478950000000001</v>
      </c>
      <c r="D138" s="6">
        <v>99</v>
      </c>
      <c r="E138" s="6">
        <v>0</v>
      </c>
      <c r="F138" s="6">
        <v>0</v>
      </c>
      <c r="G138" s="6">
        <v>5</v>
      </c>
      <c r="H138" s="6" t="s">
        <v>598</v>
      </c>
      <c r="I138" s="6">
        <v>529.875</v>
      </c>
      <c r="J138" s="2">
        <f t="shared" si="2"/>
        <v>43747.414908148145</v>
      </c>
    </row>
    <row r="139" spans="1:10" x14ac:dyDescent="0.25">
      <c r="A139" s="7" t="s">
        <v>599</v>
      </c>
      <c r="B139" s="8">
        <v>403.125</v>
      </c>
      <c r="C139" s="8">
        <v>20.531590000000001</v>
      </c>
      <c r="D139" s="8">
        <v>99</v>
      </c>
      <c r="E139" s="8">
        <v>0</v>
      </c>
      <c r="F139" s="8">
        <v>0</v>
      </c>
      <c r="G139" s="8">
        <v>7</v>
      </c>
      <c r="H139" s="8" t="s">
        <v>600</v>
      </c>
      <c r="I139" s="8">
        <v>529.875</v>
      </c>
      <c r="J139" s="3">
        <f t="shared" si="2"/>
        <v>43747.414979895831</v>
      </c>
    </row>
    <row r="140" spans="1:10" x14ac:dyDescent="0.25">
      <c r="A140" s="5" t="s">
        <v>601</v>
      </c>
      <c r="B140" s="6">
        <v>403.125</v>
      </c>
      <c r="C140" s="6">
        <v>20.478950000000001</v>
      </c>
      <c r="D140" s="6">
        <v>99</v>
      </c>
      <c r="E140" s="6">
        <v>0</v>
      </c>
      <c r="F140" s="6">
        <v>0</v>
      </c>
      <c r="G140" s="6">
        <v>9</v>
      </c>
      <c r="H140" s="6" t="s">
        <v>602</v>
      </c>
      <c r="I140" s="6">
        <v>529.875</v>
      </c>
      <c r="J140" s="2">
        <f t="shared" si="2"/>
        <v>43747.415063576387</v>
      </c>
    </row>
    <row r="141" spans="1:10" x14ac:dyDescent="0.25">
      <c r="A141" s="7" t="s">
        <v>603</v>
      </c>
      <c r="B141" s="8">
        <v>403.125</v>
      </c>
      <c r="C141" s="8">
        <v>20.478950000000001</v>
      </c>
      <c r="D141" s="8">
        <v>98</v>
      </c>
      <c r="E141" s="8">
        <v>0</v>
      </c>
      <c r="F141" s="8">
        <v>0</v>
      </c>
      <c r="G141" s="8">
        <v>4</v>
      </c>
      <c r="H141" s="8" t="s">
        <v>604</v>
      </c>
      <c r="I141" s="8">
        <v>529.875</v>
      </c>
      <c r="J141" s="3">
        <f t="shared" si="2"/>
        <v>43747.415146898151</v>
      </c>
    </row>
    <row r="142" spans="1:10" x14ac:dyDescent="0.25">
      <c r="A142" s="5" t="s">
        <v>605</v>
      </c>
      <c r="B142" s="6">
        <v>403.125</v>
      </c>
      <c r="C142" s="6">
        <v>20.478950000000001</v>
      </c>
      <c r="D142" s="6">
        <v>98</v>
      </c>
      <c r="E142" s="6">
        <v>0</v>
      </c>
      <c r="F142" s="6">
        <v>0</v>
      </c>
      <c r="G142" s="6">
        <v>0</v>
      </c>
      <c r="H142" s="6" t="s">
        <v>606</v>
      </c>
      <c r="I142" s="6">
        <v>529.875</v>
      </c>
      <c r="J142" s="2">
        <f t="shared" si="2"/>
        <v>43747.415230243052</v>
      </c>
    </row>
    <row r="143" spans="1:10" x14ac:dyDescent="0.25">
      <c r="A143" s="7" t="s">
        <v>607</v>
      </c>
      <c r="B143" s="8">
        <v>421.875</v>
      </c>
      <c r="C143" s="8">
        <v>20.478950000000001</v>
      </c>
      <c r="D143" s="8">
        <v>97</v>
      </c>
      <c r="E143" s="8">
        <v>0</v>
      </c>
      <c r="F143" s="8">
        <v>0</v>
      </c>
      <c r="G143" s="8">
        <v>8</v>
      </c>
      <c r="H143" s="8" t="s">
        <v>608</v>
      </c>
      <c r="I143" s="8">
        <v>535.6875</v>
      </c>
      <c r="J143" s="3">
        <f t="shared" si="2"/>
        <v>43747.41531344907</v>
      </c>
    </row>
    <row r="144" spans="1:10" x14ac:dyDescent="0.25">
      <c r="A144" s="5" t="s">
        <v>609</v>
      </c>
      <c r="B144" s="6">
        <v>403.125</v>
      </c>
      <c r="C144" s="6">
        <v>20.478950000000001</v>
      </c>
      <c r="D144" s="6">
        <v>97</v>
      </c>
      <c r="E144" s="6">
        <v>0</v>
      </c>
      <c r="F144" s="6">
        <v>0</v>
      </c>
      <c r="G144" s="6">
        <v>8</v>
      </c>
      <c r="H144" s="6" t="s">
        <v>610</v>
      </c>
      <c r="I144" s="6">
        <v>529.875</v>
      </c>
      <c r="J144" s="2">
        <f t="shared" si="2"/>
        <v>43747.415396921293</v>
      </c>
    </row>
    <row r="145" spans="1:10" x14ac:dyDescent="0.25">
      <c r="A145" s="7" t="s">
        <v>611</v>
      </c>
      <c r="B145" s="8">
        <v>403.125</v>
      </c>
      <c r="C145" s="8">
        <v>20.531590000000001</v>
      </c>
      <c r="D145" s="8">
        <v>97</v>
      </c>
      <c r="E145" s="8">
        <v>0</v>
      </c>
      <c r="F145" s="8">
        <v>0</v>
      </c>
      <c r="G145" s="8">
        <v>7</v>
      </c>
      <c r="H145" s="8" t="s">
        <v>612</v>
      </c>
      <c r="I145" s="8">
        <v>529.875</v>
      </c>
      <c r="J145" s="3">
        <f t="shared" si="2"/>
        <v>43747.415468692132</v>
      </c>
    </row>
    <row r="146" spans="1:10" x14ac:dyDescent="0.25">
      <c r="A146" s="5" t="s">
        <v>613</v>
      </c>
      <c r="B146" s="6">
        <v>403.125</v>
      </c>
      <c r="C146" s="6">
        <v>20.478950000000001</v>
      </c>
      <c r="D146" s="6">
        <v>99</v>
      </c>
      <c r="E146" s="6">
        <v>0</v>
      </c>
      <c r="F146" s="6">
        <v>0</v>
      </c>
      <c r="G146" s="6">
        <v>9</v>
      </c>
      <c r="H146" s="6" t="s">
        <v>614</v>
      </c>
      <c r="I146" s="6">
        <v>529.875</v>
      </c>
      <c r="J146" s="2">
        <f t="shared" si="2"/>
        <v>43747.415566134259</v>
      </c>
    </row>
    <row r="147" spans="1:10" x14ac:dyDescent="0.25">
      <c r="A147" s="7" t="s">
        <v>615</v>
      </c>
      <c r="B147" s="8">
        <v>406.25</v>
      </c>
      <c r="C147" s="8">
        <v>20.478950000000001</v>
      </c>
      <c r="D147" s="8">
        <v>99</v>
      </c>
      <c r="E147" s="8">
        <v>0</v>
      </c>
      <c r="F147" s="8">
        <v>0</v>
      </c>
      <c r="G147" s="8">
        <v>9</v>
      </c>
      <c r="H147" s="8" t="s">
        <v>616</v>
      </c>
      <c r="I147" s="8">
        <v>530.625</v>
      </c>
      <c r="J147" s="3">
        <f t="shared" si="2"/>
        <v>43747.415647708331</v>
      </c>
    </row>
    <row r="148" spans="1:10" x14ac:dyDescent="0.25">
      <c r="A148" s="5" t="s">
        <v>617</v>
      </c>
      <c r="B148" s="6">
        <v>406.25</v>
      </c>
      <c r="C148" s="6">
        <v>20.478950000000001</v>
      </c>
      <c r="D148" s="6">
        <v>98</v>
      </c>
      <c r="E148" s="6">
        <v>0</v>
      </c>
      <c r="F148" s="6">
        <v>0</v>
      </c>
      <c r="G148" s="6">
        <v>4</v>
      </c>
      <c r="H148" s="6" t="s">
        <v>618</v>
      </c>
      <c r="I148" s="6">
        <v>530.625</v>
      </c>
      <c r="J148" s="2">
        <f t="shared" si="2"/>
        <v>43747.415731168978</v>
      </c>
    </row>
    <row r="149" spans="1:10" x14ac:dyDescent="0.25">
      <c r="A149" s="7" t="s">
        <v>619</v>
      </c>
      <c r="B149" s="8">
        <v>406.25</v>
      </c>
      <c r="C149" s="8">
        <v>20.478950000000001</v>
      </c>
      <c r="D149" s="8">
        <v>97</v>
      </c>
      <c r="E149" s="8">
        <v>0</v>
      </c>
      <c r="F149" s="8">
        <v>0</v>
      </c>
      <c r="G149" s="8">
        <v>8</v>
      </c>
      <c r="H149" s="8" t="s">
        <v>620</v>
      </c>
      <c r="I149" s="8">
        <v>530.625</v>
      </c>
      <c r="J149" s="3">
        <f t="shared" si="2"/>
        <v>43747.415812974534</v>
      </c>
    </row>
    <row r="150" spans="1:10" x14ac:dyDescent="0.25">
      <c r="A150" s="5" t="s">
        <v>621</v>
      </c>
      <c r="B150" s="6">
        <v>406.25</v>
      </c>
      <c r="C150" s="6">
        <v>20.531590000000001</v>
      </c>
      <c r="D150" s="6">
        <v>97</v>
      </c>
      <c r="E150" s="6">
        <v>0</v>
      </c>
      <c r="F150" s="6">
        <v>0</v>
      </c>
      <c r="G150" s="6">
        <v>11</v>
      </c>
      <c r="H150" s="6" t="s">
        <v>622</v>
      </c>
      <c r="I150" s="6">
        <v>530.625</v>
      </c>
      <c r="J150" s="2">
        <f t="shared" si="2"/>
        <v>43747.415898067127</v>
      </c>
    </row>
    <row r="151" spans="1:10" x14ac:dyDescent="0.25">
      <c r="A151" s="7" t="s">
        <v>623</v>
      </c>
      <c r="B151" s="8">
        <v>406.25</v>
      </c>
      <c r="C151" s="8">
        <v>20.478950000000001</v>
      </c>
      <c r="D151" s="8">
        <v>97</v>
      </c>
      <c r="E151" s="8">
        <v>0</v>
      </c>
      <c r="F151" s="8">
        <v>0</v>
      </c>
      <c r="G151" s="8">
        <v>13</v>
      </c>
      <c r="H151" s="8" t="s">
        <v>624</v>
      </c>
      <c r="I151" s="8">
        <v>530.625</v>
      </c>
      <c r="J151" s="3">
        <f t="shared" si="2"/>
        <v>43747.415981516206</v>
      </c>
    </row>
    <row r="152" spans="1:10" x14ac:dyDescent="0.25">
      <c r="A152" s="5" t="s">
        <v>625</v>
      </c>
      <c r="B152" s="6">
        <v>406.25</v>
      </c>
      <c r="C152" s="6">
        <v>20.478950000000001</v>
      </c>
      <c r="D152" s="6">
        <v>98</v>
      </c>
      <c r="E152" s="6">
        <v>0</v>
      </c>
      <c r="F152" s="6">
        <v>0</v>
      </c>
      <c r="G152" s="6">
        <v>9</v>
      </c>
      <c r="H152" s="6" t="s">
        <v>626</v>
      </c>
      <c r="I152" s="6">
        <v>530.625</v>
      </c>
      <c r="J152" s="2">
        <f t="shared" si="2"/>
        <v>43747.416065069447</v>
      </c>
    </row>
    <row r="153" spans="1:10" x14ac:dyDescent="0.25">
      <c r="A153" s="7" t="s">
        <v>627</v>
      </c>
      <c r="B153" s="8">
        <v>406.25</v>
      </c>
      <c r="C153" s="8">
        <v>20.531590000000001</v>
      </c>
      <c r="D153" s="8">
        <v>102</v>
      </c>
      <c r="E153" s="8">
        <v>0</v>
      </c>
      <c r="F153" s="8">
        <v>0</v>
      </c>
      <c r="G153" s="8">
        <v>12</v>
      </c>
      <c r="H153" s="8" t="s">
        <v>628</v>
      </c>
      <c r="I153" s="8">
        <v>530.625</v>
      </c>
      <c r="J153" s="3">
        <f t="shared" si="2"/>
        <v>43747.416148518518</v>
      </c>
    </row>
    <row r="154" spans="1:10" x14ac:dyDescent="0.25">
      <c r="A154" s="5" t="s">
        <v>629</v>
      </c>
      <c r="B154" s="6">
        <v>403.125</v>
      </c>
      <c r="C154" s="6">
        <v>20.478950000000001</v>
      </c>
      <c r="D154" s="6">
        <v>100</v>
      </c>
      <c r="E154" s="6">
        <v>0</v>
      </c>
      <c r="F154" s="6">
        <v>0</v>
      </c>
      <c r="G154" s="6">
        <v>9</v>
      </c>
      <c r="H154" s="6" t="s">
        <v>630</v>
      </c>
      <c r="I154" s="6">
        <v>529.875</v>
      </c>
      <c r="J154" s="2">
        <f t="shared" si="2"/>
        <v>43747.416220069441</v>
      </c>
    </row>
    <row r="155" spans="1:10" x14ac:dyDescent="0.25">
      <c r="A155" s="7" t="s">
        <v>631</v>
      </c>
      <c r="B155" s="8">
        <v>421.875</v>
      </c>
      <c r="C155" s="8">
        <v>20.478950000000001</v>
      </c>
      <c r="D155" s="8">
        <v>100</v>
      </c>
      <c r="E155" s="8">
        <v>0</v>
      </c>
      <c r="F155" s="8">
        <v>0</v>
      </c>
      <c r="G155" s="8">
        <v>6</v>
      </c>
      <c r="H155" s="8" t="s">
        <v>632</v>
      </c>
      <c r="I155" s="8">
        <v>535.6875</v>
      </c>
      <c r="J155" s="3">
        <f t="shared" si="2"/>
        <v>43747.416291597219</v>
      </c>
    </row>
    <row r="156" spans="1:10" x14ac:dyDescent="0.25">
      <c r="A156" s="5" t="s">
        <v>633</v>
      </c>
      <c r="B156" s="6">
        <v>406.25</v>
      </c>
      <c r="C156" s="6">
        <v>20.478950000000001</v>
      </c>
      <c r="D156" s="6">
        <v>100</v>
      </c>
      <c r="E156" s="6">
        <v>0</v>
      </c>
      <c r="F156" s="6">
        <v>0</v>
      </c>
      <c r="G156" s="6">
        <v>3</v>
      </c>
      <c r="H156" s="6" t="s">
        <v>634</v>
      </c>
      <c r="I156" s="6">
        <v>530.625</v>
      </c>
      <c r="J156" s="2">
        <f t="shared" si="2"/>
        <v>43747.416374699074</v>
      </c>
    </row>
    <row r="157" spans="1:10" x14ac:dyDescent="0.25">
      <c r="A157" s="7" t="s">
        <v>635</v>
      </c>
      <c r="B157" s="8">
        <v>406.25</v>
      </c>
      <c r="C157" s="8">
        <v>20.478950000000001</v>
      </c>
      <c r="D157" s="8">
        <v>100</v>
      </c>
      <c r="E157" s="8">
        <v>0</v>
      </c>
      <c r="F157" s="8">
        <v>0</v>
      </c>
      <c r="G157" s="8">
        <v>1</v>
      </c>
      <c r="H157" s="8" t="s">
        <v>636</v>
      </c>
      <c r="I157" s="8">
        <v>530.625</v>
      </c>
      <c r="J157" s="3">
        <f t="shared" si="2"/>
        <v>43747.416446446754</v>
      </c>
    </row>
    <row r="158" spans="1:10" x14ac:dyDescent="0.25">
      <c r="A158" s="5" t="s">
        <v>637</v>
      </c>
      <c r="B158" s="6">
        <v>409.375</v>
      </c>
      <c r="C158" s="6">
        <v>20.478950000000001</v>
      </c>
      <c r="D158" s="6">
        <v>100</v>
      </c>
      <c r="E158" s="6">
        <v>0</v>
      </c>
      <c r="F158" s="6">
        <v>0</v>
      </c>
      <c r="G158" s="6">
        <v>1</v>
      </c>
      <c r="H158" s="6" t="s">
        <v>638</v>
      </c>
      <c r="I158" s="6">
        <v>531.5625</v>
      </c>
      <c r="J158" s="2">
        <f t="shared" si="2"/>
        <v>43747.416530034716</v>
      </c>
    </row>
    <row r="159" spans="1:10" x14ac:dyDescent="0.25">
      <c r="A159" s="7" t="s">
        <v>639</v>
      </c>
      <c r="B159" s="8">
        <v>406.25</v>
      </c>
      <c r="C159" s="8">
        <v>20.478950000000001</v>
      </c>
      <c r="D159" s="8">
        <v>101</v>
      </c>
      <c r="E159" s="8">
        <v>0</v>
      </c>
      <c r="F159" s="8">
        <v>0</v>
      </c>
      <c r="G159" s="8">
        <v>2</v>
      </c>
      <c r="H159" s="8" t="s">
        <v>640</v>
      </c>
      <c r="I159" s="8">
        <v>530.625</v>
      </c>
      <c r="J159" s="3">
        <f t="shared" si="2"/>
        <v>43747.416613564812</v>
      </c>
    </row>
    <row r="160" spans="1:10" x14ac:dyDescent="0.25">
      <c r="A160" s="5" t="s">
        <v>641</v>
      </c>
      <c r="B160" s="6">
        <v>406.25</v>
      </c>
      <c r="C160" s="6">
        <v>20.478950000000001</v>
      </c>
      <c r="D160" s="6">
        <v>99</v>
      </c>
      <c r="E160" s="6">
        <v>0</v>
      </c>
      <c r="F160" s="6">
        <v>0</v>
      </c>
      <c r="G160" s="6">
        <v>0</v>
      </c>
      <c r="H160" s="6" t="s">
        <v>642</v>
      </c>
      <c r="I160" s="6">
        <v>530.625</v>
      </c>
      <c r="J160" s="2">
        <f t="shared" si="2"/>
        <v>43747.416696979162</v>
      </c>
    </row>
    <row r="161" spans="1:10" x14ac:dyDescent="0.25">
      <c r="A161" s="7" t="s">
        <v>643</v>
      </c>
      <c r="B161" s="8">
        <v>409.375</v>
      </c>
      <c r="C161" s="8">
        <v>20.478950000000001</v>
      </c>
      <c r="D161" s="8">
        <v>97</v>
      </c>
      <c r="E161" s="8">
        <v>0</v>
      </c>
      <c r="F161" s="8">
        <v>0</v>
      </c>
      <c r="G161" s="8">
        <v>1</v>
      </c>
      <c r="H161" s="8" t="s">
        <v>644</v>
      </c>
      <c r="I161" s="8">
        <v>531.5625</v>
      </c>
      <c r="J161" s="3">
        <f t="shared" si="2"/>
        <v>43747.416780821753</v>
      </c>
    </row>
    <row r="162" spans="1:10" x14ac:dyDescent="0.25">
      <c r="A162" s="5" t="s">
        <v>645</v>
      </c>
      <c r="B162" s="6">
        <v>409.375</v>
      </c>
      <c r="C162" s="6">
        <v>20.531590000000001</v>
      </c>
      <c r="D162" s="6">
        <v>96</v>
      </c>
      <c r="E162" s="6">
        <v>0</v>
      </c>
      <c r="F162" s="6">
        <v>0</v>
      </c>
      <c r="G162" s="6">
        <v>0</v>
      </c>
      <c r="H162" s="6" t="s">
        <v>646</v>
      </c>
      <c r="I162" s="6">
        <v>531.375</v>
      </c>
      <c r="J162" s="2">
        <f t="shared" si="2"/>
        <v>43747.416863564817</v>
      </c>
    </row>
    <row r="163" spans="1:10" x14ac:dyDescent="0.25">
      <c r="A163" s="7" t="s">
        <v>647</v>
      </c>
      <c r="B163" s="8">
        <v>406.25</v>
      </c>
      <c r="C163" s="8">
        <v>20.478950000000001</v>
      </c>
      <c r="D163" s="8">
        <v>96</v>
      </c>
      <c r="E163" s="8">
        <v>0</v>
      </c>
      <c r="F163" s="8">
        <v>0</v>
      </c>
      <c r="G163" s="8">
        <v>11</v>
      </c>
      <c r="H163" s="8" t="s">
        <v>648</v>
      </c>
      <c r="I163" s="8">
        <v>530.8125</v>
      </c>
      <c r="J163" s="3">
        <f t="shared" si="2"/>
        <v>43747.416934999994</v>
      </c>
    </row>
    <row r="164" spans="1:10" x14ac:dyDescent="0.25">
      <c r="A164" s="5" t="s">
        <v>649</v>
      </c>
      <c r="B164" s="6">
        <v>409.375</v>
      </c>
      <c r="C164" s="6">
        <v>20.478950000000001</v>
      </c>
      <c r="D164" s="6">
        <v>96</v>
      </c>
      <c r="E164" s="6">
        <v>0</v>
      </c>
      <c r="F164" s="6">
        <v>0</v>
      </c>
      <c r="G164" s="6">
        <v>10</v>
      </c>
      <c r="H164" s="6" t="s">
        <v>650</v>
      </c>
      <c r="I164" s="6">
        <v>531.5625</v>
      </c>
      <c r="J164" s="2">
        <f t="shared" si="2"/>
        <v>43747.417006967589</v>
      </c>
    </row>
    <row r="165" spans="1:10" x14ac:dyDescent="0.25">
      <c r="A165" s="7" t="s">
        <v>651</v>
      </c>
      <c r="B165" s="8">
        <v>409.375</v>
      </c>
      <c r="C165" s="8">
        <v>20.478950000000001</v>
      </c>
      <c r="D165" s="8">
        <v>95</v>
      </c>
      <c r="E165" s="8">
        <v>0</v>
      </c>
      <c r="F165" s="8">
        <v>0</v>
      </c>
      <c r="G165" s="8">
        <v>3</v>
      </c>
      <c r="H165" s="8" t="s">
        <v>652</v>
      </c>
      <c r="I165" s="8">
        <v>531.375</v>
      </c>
      <c r="J165" s="3">
        <f t="shared" si="2"/>
        <v>43747.417090532406</v>
      </c>
    </row>
    <row r="166" spans="1:10" x14ac:dyDescent="0.25">
      <c r="A166" s="5" t="s">
        <v>653</v>
      </c>
      <c r="B166" s="6">
        <v>409.375</v>
      </c>
      <c r="C166" s="6">
        <v>20.478950000000001</v>
      </c>
      <c r="D166" s="6">
        <v>95</v>
      </c>
      <c r="E166" s="6">
        <v>0</v>
      </c>
      <c r="F166" s="6">
        <v>0</v>
      </c>
      <c r="G166" s="6">
        <v>16</v>
      </c>
      <c r="H166" s="6" t="s">
        <v>654</v>
      </c>
      <c r="I166" s="6">
        <v>531.5625</v>
      </c>
      <c r="J166" s="2">
        <f t="shared" si="2"/>
        <v>43747.417162071761</v>
      </c>
    </row>
    <row r="167" spans="1:10" x14ac:dyDescent="0.25">
      <c r="A167" s="7" t="s">
        <v>655</v>
      </c>
      <c r="B167" s="8">
        <v>412.5</v>
      </c>
      <c r="C167" s="8">
        <v>20.478950000000001</v>
      </c>
      <c r="D167" s="8">
        <v>95</v>
      </c>
      <c r="E167" s="8">
        <v>0</v>
      </c>
      <c r="F167" s="8">
        <v>0</v>
      </c>
      <c r="G167" s="8">
        <v>3</v>
      </c>
      <c r="H167" s="8" t="s">
        <v>656</v>
      </c>
      <c r="I167" s="8">
        <v>532.3125</v>
      </c>
      <c r="J167" s="3">
        <f t="shared" si="2"/>
        <v>43747.417245162032</v>
      </c>
    </row>
    <row r="168" spans="1:10" x14ac:dyDescent="0.25">
      <c r="A168" s="5" t="s">
        <v>657</v>
      </c>
      <c r="B168" s="6">
        <v>412.5</v>
      </c>
      <c r="C168" s="6">
        <v>20.478950000000001</v>
      </c>
      <c r="D168" s="6">
        <v>95</v>
      </c>
      <c r="E168" s="6">
        <v>0</v>
      </c>
      <c r="F168" s="6">
        <v>0</v>
      </c>
      <c r="G168" s="6">
        <v>11</v>
      </c>
      <c r="H168" s="6" t="s">
        <v>658</v>
      </c>
      <c r="I168" s="6">
        <v>532.3125</v>
      </c>
      <c r="J168" s="2">
        <f t="shared" si="2"/>
        <v>43747.417316817126</v>
      </c>
    </row>
    <row r="169" spans="1:10" x14ac:dyDescent="0.25">
      <c r="A169" s="7" t="s">
        <v>659</v>
      </c>
      <c r="B169" s="8">
        <v>412.5</v>
      </c>
      <c r="C169" s="8">
        <v>20.478950000000001</v>
      </c>
      <c r="D169" s="8">
        <v>96</v>
      </c>
      <c r="E169" s="8">
        <v>0</v>
      </c>
      <c r="F169" s="8">
        <v>0</v>
      </c>
      <c r="G169" s="8">
        <v>7</v>
      </c>
      <c r="H169" s="8" t="s">
        <v>660</v>
      </c>
      <c r="I169" s="8">
        <v>532.3125</v>
      </c>
      <c r="J169" s="3">
        <f t="shared" si="2"/>
        <v>43747.41741253472</v>
      </c>
    </row>
    <row r="170" spans="1:10" x14ac:dyDescent="0.25">
      <c r="A170" s="5" t="s">
        <v>661</v>
      </c>
      <c r="B170" s="6">
        <v>409.375</v>
      </c>
      <c r="C170" s="6">
        <v>20.478950000000001</v>
      </c>
      <c r="D170" s="6">
        <v>96</v>
      </c>
      <c r="E170" s="6">
        <v>0</v>
      </c>
      <c r="F170" s="6">
        <v>0</v>
      </c>
      <c r="G170" s="6">
        <v>10</v>
      </c>
      <c r="H170" s="6" t="s">
        <v>662</v>
      </c>
      <c r="I170" s="6">
        <v>531.375</v>
      </c>
      <c r="J170" s="2">
        <f t="shared" si="2"/>
        <v>43747.417483946752</v>
      </c>
    </row>
    <row r="171" spans="1:10" x14ac:dyDescent="0.25">
      <c r="A171" s="7" t="s">
        <v>663</v>
      </c>
      <c r="B171" s="8">
        <v>406.25</v>
      </c>
      <c r="C171" s="8">
        <v>20.478950000000001</v>
      </c>
      <c r="D171" s="8">
        <v>95</v>
      </c>
      <c r="E171" s="8">
        <v>0</v>
      </c>
      <c r="F171" s="8">
        <v>0</v>
      </c>
      <c r="G171" s="8">
        <v>0</v>
      </c>
      <c r="H171" s="8" t="s">
        <v>664</v>
      </c>
      <c r="I171" s="8">
        <v>530.8125</v>
      </c>
      <c r="J171" s="3">
        <f t="shared" si="2"/>
        <v>43747.417567268516</v>
      </c>
    </row>
    <row r="172" spans="1:10" x14ac:dyDescent="0.25">
      <c r="A172" s="5" t="s">
        <v>665</v>
      </c>
      <c r="B172" s="6">
        <v>406.25</v>
      </c>
      <c r="C172" s="6">
        <v>20.531590000000001</v>
      </c>
      <c r="D172" s="6">
        <v>95</v>
      </c>
      <c r="E172" s="6">
        <v>0</v>
      </c>
      <c r="F172" s="6">
        <v>0</v>
      </c>
      <c r="G172" s="6">
        <v>5</v>
      </c>
      <c r="H172" s="6" t="s">
        <v>666</v>
      </c>
      <c r="I172" s="6">
        <v>530.8125</v>
      </c>
      <c r="J172" s="2">
        <f t="shared" si="2"/>
        <v>43747.417650833326</v>
      </c>
    </row>
    <row r="173" spans="1:10" x14ac:dyDescent="0.25">
      <c r="A173" s="7" t="s">
        <v>667</v>
      </c>
      <c r="B173" s="8">
        <v>406.25</v>
      </c>
      <c r="C173" s="8">
        <v>20.478950000000001</v>
      </c>
      <c r="D173" s="8">
        <v>95</v>
      </c>
      <c r="E173" s="8">
        <v>0</v>
      </c>
      <c r="F173" s="8">
        <v>0</v>
      </c>
      <c r="G173" s="8">
        <v>1</v>
      </c>
      <c r="H173" s="8" t="s">
        <v>668</v>
      </c>
      <c r="I173" s="8">
        <v>530.8125</v>
      </c>
      <c r="J173" s="3">
        <f t="shared" si="2"/>
        <v>43747.41772237268</v>
      </c>
    </row>
    <row r="174" spans="1:10" x14ac:dyDescent="0.25">
      <c r="A174" s="5" t="s">
        <v>669</v>
      </c>
      <c r="B174" s="6">
        <v>406.25</v>
      </c>
      <c r="C174" s="6">
        <v>20.478950000000001</v>
      </c>
      <c r="D174" s="6">
        <v>96</v>
      </c>
      <c r="E174" s="6">
        <v>0</v>
      </c>
      <c r="F174" s="6">
        <v>0</v>
      </c>
      <c r="G174" s="6">
        <v>9</v>
      </c>
      <c r="H174" s="6" t="s">
        <v>670</v>
      </c>
      <c r="I174" s="6">
        <v>530.625</v>
      </c>
      <c r="J174" s="2">
        <f t="shared" si="2"/>
        <v>43747.417805937497</v>
      </c>
    </row>
    <row r="175" spans="1:10" x14ac:dyDescent="0.25">
      <c r="A175" s="7" t="s">
        <v>671</v>
      </c>
      <c r="B175" s="8">
        <v>406.25</v>
      </c>
      <c r="C175" s="8">
        <v>20.478950000000001</v>
      </c>
      <c r="D175" s="8">
        <v>96</v>
      </c>
      <c r="E175" s="8">
        <v>0</v>
      </c>
      <c r="F175" s="8">
        <v>0</v>
      </c>
      <c r="G175" s="8">
        <v>10</v>
      </c>
      <c r="H175" s="8" t="s">
        <v>672</v>
      </c>
      <c r="I175" s="8">
        <v>530.625</v>
      </c>
      <c r="J175" s="3">
        <f t="shared" si="2"/>
        <v>43747.417889490738</v>
      </c>
    </row>
    <row r="176" spans="1:10" x14ac:dyDescent="0.25">
      <c r="A176" s="5" t="s">
        <v>673</v>
      </c>
      <c r="B176" s="6">
        <v>409.375</v>
      </c>
      <c r="C176" s="6">
        <v>20.478950000000001</v>
      </c>
      <c r="D176" s="6">
        <v>96</v>
      </c>
      <c r="E176" s="6">
        <v>0</v>
      </c>
      <c r="F176" s="6">
        <v>0</v>
      </c>
      <c r="G176" s="6">
        <v>9</v>
      </c>
      <c r="H176" s="6" t="s">
        <v>674</v>
      </c>
      <c r="I176" s="6">
        <v>531.5625</v>
      </c>
      <c r="J176" s="2">
        <f t="shared" si="2"/>
        <v>43747.417972847215</v>
      </c>
    </row>
    <row r="177" spans="1:10" x14ac:dyDescent="0.25">
      <c r="A177" s="7" t="s">
        <v>675</v>
      </c>
      <c r="B177" s="8">
        <v>409.375</v>
      </c>
      <c r="C177" s="8">
        <v>20.478950000000001</v>
      </c>
      <c r="D177" s="8">
        <v>99</v>
      </c>
      <c r="E177" s="8">
        <v>0</v>
      </c>
      <c r="F177" s="8">
        <v>0</v>
      </c>
      <c r="G177" s="8">
        <v>13</v>
      </c>
      <c r="H177" s="8" t="s">
        <v>676</v>
      </c>
      <c r="I177" s="8">
        <v>531.5625</v>
      </c>
      <c r="J177" s="3">
        <f t="shared" si="2"/>
        <v>43747.418056168979</v>
      </c>
    </row>
    <row r="178" spans="1:10" x14ac:dyDescent="0.25">
      <c r="A178" s="5" t="s">
        <v>677</v>
      </c>
      <c r="B178" s="6">
        <v>409.375</v>
      </c>
      <c r="C178" s="6">
        <v>20.478950000000001</v>
      </c>
      <c r="D178" s="6">
        <v>98</v>
      </c>
      <c r="E178" s="6">
        <v>0</v>
      </c>
      <c r="F178" s="6">
        <v>0</v>
      </c>
      <c r="G178" s="6">
        <v>5</v>
      </c>
      <c r="H178" s="6" t="s">
        <v>678</v>
      </c>
      <c r="I178" s="6">
        <v>531.375</v>
      </c>
      <c r="J178" s="2">
        <f t="shared" si="2"/>
        <v>43747.41813972222</v>
      </c>
    </row>
    <row r="179" spans="1:10" x14ac:dyDescent="0.25">
      <c r="A179" s="7" t="s">
        <v>679</v>
      </c>
      <c r="B179" s="8">
        <v>428.125</v>
      </c>
      <c r="C179" s="8">
        <v>20.531590000000001</v>
      </c>
      <c r="D179" s="8">
        <v>99</v>
      </c>
      <c r="E179" s="8">
        <v>0</v>
      </c>
      <c r="F179" s="8">
        <v>0</v>
      </c>
      <c r="G179" s="8">
        <v>3</v>
      </c>
      <c r="H179" s="8" t="s">
        <v>680</v>
      </c>
      <c r="I179" s="8">
        <v>537</v>
      </c>
      <c r="J179" s="3">
        <f t="shared" si="2"/>
        <v>43747.418222824075</v>
      </c>
    </row>
    <row r="180" spans="1:10" x14ac:dyDescent="0.25">
      <c r="A180" s="5" t="s">
        <v>681</v>
      </c>
      <c r="B180" s="6">
        <v>409.375</v>
      </c>
      <c r="C180" s="6">
        <v>20.478950000000001</v>
      </c>
      <c r="D180" s="6">
        <v>99</v>
      </c>
      <c r="E180" s="6">
        <v>0</v>
      </c>
      <c r="F180" s="6">
        <v>0</v>
      </c>
      <c r="G180" s="6">
        <v>9</v>
      </c>
      <c r="H180" s="6" t="s">
        <v>682</v>
      </c>
      <c r="I180" s="6">
        <v>531.5625</v>
      </c>
      <c r="J180" s="2">
        <f t="shared" si="2"/>
        <v>43747.418294247684</v>
      </c>
    </row>
    <row r="181" spans="1:10" x14ac:dyDescent="0.25">
      <c r="A181" s="7" t="s">
        <v>683</v>
      </c>
      <c r="B181" s="8">
        <v>409.375</v>
      </c>
      <c r="C181" s="8">
        <v>20.478950000000001</v>
      </c>
      <c r="D181" s="8">
        <v>95</v>
      </c>
      <c r="E181" s="8">
        <v>0</v>
      </c>
      <c r="F181" s="8">
        <v>0</v>
      </c>
      <c r="G181" s="8">
        <v>7</v>
      </c>
      <c r="H181" s="8" t="s">
        <v>684</v>
      </c>
      <c r="I181" s="8">
        <v>531.5625</v>
      </c>
      <c r="J181" s="3">
        <f t="shared" si="2"/>
        <v>43747.418366354163</v>
      </c>
    </row>
    <row r="182" spans="1:10" x14ac:dyDescent="0.25">
      <c r="A182" s="5" t="s">
        <v>685</v>
      </c>
      <c r="B182" s="6">
        <v>409.375</v>
      </c>
      <c r="C182" s="6">
        <v>20.478950000000001</v>
      </c>
      <c r="D182" s="6">
        <v>97</v>
      </c>
      <c r="E182" s="6">
        <v>0</v>
      </c>
      <c r="F182" s="6">
        <v>0</v>
      </c>
      <c r="G182" s="6">
        <v>8</v>
      </c>
      <c r="H182" s="6" t="s">
        <v>686</v>
      </c>
      <c r="I182" s="6">
        <v>531.5625</v>
      </c>
      <c r="J182" s="2">
        <f t="shared" si="2"/>
        <v>43747.418449675919</v>
      </c>
    </row>
    <row r="183" spans="1:10" x14ac:dyDescent="0.25">
      <c r="A183" s="7" t="s">
        <v>687</v>
      </c>
      <c r="B183" s="8">
        <v>409.375</v>
      </c>
      <c r="C183" s="8">
        <v>20.478950000000001</v>
      </c>
      <c r="D183" s="8">
        <v>97</v>
      </c>
      <c r="E183" s="8">
        <v>0</v>
      </c>
      <c r="F183" s="8">
        <v>0</v>
      </c>
      <c r="G183" s="8">
        <v>6</v>
      </c>
      <c r="H183" s="8" t="s">
        <v>688</v>
      </c>
      <c r="I183" s="8">
        <v>531.375</v>
      </c>
      <c r="J183" s="3">
        <f t="shared" si="2"/>
        <v>43747.418521307867</v>
      </c>
    </row>
    <row r="184" spans="1:10" x14ac:dyDescent="0.25">
      <c r="A184" s="5" t="s">
        <v>689</v>
      </c>
      <c r="B184" s="6">
        <v>409.375</v>
      </c>
      <c r="C184" s="6">
        <v>20.478950000000001</v>
      </c>
      <c r="D184" s="6">
        <v>97</v>
      </c>
      <c r="E184" s="6">
        <v>0</v>
      </c>
      <c r="F184" s="6">
        <v>0</v>
      </c>
      <c r="G184" s="6">
        <v>0</v>
      </c>
      <c r="H184" s="6" t="s">
        <v>690</v>
      </c>
      <c r="I184" s="6">
        <v>531.375</v>
      </c>
      <c r="J184" s="2">
        <f t="shared" si="2"/>
        <v>43747.41859285879</v>
      </c>
    </row>
    <row r="185" spans="1:10" x14ac:dyDescent="0.25">
      <c r="A185" s="7" t="s">
        <v>691</v>
      </c>
      <c r="B185" s="8">
        <v>409.375</v>
      </c>
      <c r="C185" s="8">
        <v>20.478950000000001</v>
      </c>
      <c r="D185" s="8">
        <v>97</v>
      </c>
      <c r="E185" s="8">
        <v>0</v>
      </c>
      <c r="F185" s="8">
        <v>0</v>
      </c>
      <c r="G185" s="8">
        <v>12</v>
      </c>
      <c r="H185" s="8" t="s">
        <v>692</v>
      </c>
      <c r="I185" s="8">
        <v>531.375</v>
      </c>
      <c r="J185" s="3">
        <f t="shared" si="2"/>
        <v>43747.418676296293</v>
      </c>
    </row>
    <row r="186" spans="1:10" x14ac:dyDescent="0.25">
      <c r="A186" s="5" t="s">
        <v>693</v>
      </c>
      <c r="B186" s="6">
        <v>406.25</v>
      </c>
      <c r="C186" s="6">
        <v>20.478950000000001</v>
      </c>
      <c r="D186" s="6">
        <v>96</v>
      </c>
      <c r="E186" s="6">
        <v>0</v>
      </c>
      <c r="F186" s="6">
        <v>0</v>
      </c>
      <c r="G186" s="6">
        <v>9</v>
      </c>
      <c r="H186" s="6" t="s">
        <v>694</v>
      </c>
      <c r="I186" s="6">
        <v>530.625</v>
      </c>
      <c r="J186" s="2">
        <f t="shared" si="2"/>
        <v>43747.418759872678</v>
      </c>
    </row>
    <row r="187" spans="1:10" x14ac:dyDescent="0.25">
      <c r="A187" s="7" t="s">
        <v>695</v>
      </c>
      <c r="B187" s="8">
        <v>406.25</v>
      </c>
      <c r="C187" s="8">
        <v>20.478950000000001</v>
      </c>
      <c r="D187" s="8">
        <v>96</v>
      </c>
      <c r="E187" s="8">
        <v>0</v>
      </c>
      <c r="F187" s="8">
        <v>0</v>
      </c>
      <c r="G187" s="8">
        <v>9</v>
      </c>
      <c r="H187" s="8" t="s">
        <v>696</v>
      </c>
      <c r="I187" s="8">
        <v>530.625</v>
      </c>
      <c r="J187" s="3">
        <f t="shared" si="2"/>
        <v>43747.418843194442</v>
      </c>
    </row>
    <row r="188" spans="1:10" x14ac:dyDescent="0.25">
      <c r="A188" s="5" t="s">
        <v>697</v>
      </c>
      <c r="B188" s="6">
        <v>409.375</v>
      </c>
      <c r="C188" s="6">
        <v>20.478950000000001</v>
      </c>
      <c r="D188" s="6">
        <v>97</v>
      </c>
      <c r="E188" s="6">
        <v>0</v>
      </c>
      <c r="F188" s="6">
        <v>0</v>
      </c>
      <c r="G188" s="6">
        <v>11</v>
      </c>
      <c r="H188" s="6" t="s">
        <v>698</v>
      </c>
      <c r="I188" s="6">
        <v>531.375</v>
      </c>
      <c r="J188" s="2">
        <f t="shared" si="2"/>
        <v>43747.418926516206</v>
      </c>
    </row>
    <row r="189" spans="1:10" x14ac:dyDescent="0.25">
      <c r="A189" s="7" t="s">
        <v>699</v>
      </c>
      <c r="B189" s="8">
        <v>409.375</v>
      </c>
      <c r="C189" s="8">
        <v>20.478950000000001</v>
      </c>
      <c r="D189" s="8">
        <v>100</v>
      </c>
      <c r="E189" s="8">
        <v>0</v>
      </c>
      <c r="F189" s="8">
        <v>0</v>
      </c>
      <c r="G189" s="8">
        <v>4</v>
      </c>
      <c r="H189" s="8" t="s">
        <v>700</v>
      </c>
      <c r="I189" s="8">
        <v>531.5625</v>
      </c>
      <c r="J189" s="3">
        <f t="shared" si="2"/>
        <v>43747.419010092592</v>
      </c>
    </row>
    <row r="190" spans="1:10" x14ac:dyDescent="0.25">
      <c r="A190" s="5" t="s">
        <v>701</v>
      </c>
      <c r="B190" s="6">
        <v>425</v>
      </c>
      <c r="C190" s="6">
        <v>20.478950000000001</v>
      </c>
      <c r="D190" s="6">
        <v>100</v>
      </c>
      <c r="E190" s="6">
        <v>0</v>
      </c>
      <c r="F190" s="6">
        <v>0</v>
      </c>
      <c r="G190" s="6">
        <v>5</v>
      </c>
      <c r="H190" s="6" t="s">
        <v>702</v>
      </c>
      <c r="I190" s="6">
        <v>536.25</v>
      </c>
      <c r="J190" s="2">
        <f t="shared" si="2"/>
        <v>43747.419093194439</v>
      </c>
    </row>
    <row r="191" spans="1:10" x14ac:dyDescent="0.25">
      <c r="A191" s="7" t="s">
        <v>703</v>
      </c>
      <c r="B191" s="8">
        <v>406.25</v>
      </c>
      <c r="C191" s="8">
        <v>20.478950000000001</v>
      </c>
      <c r="D191" s="8">
        <v>100</v>
      </c>
      <c r="E191" s="8">
        <v>0</v>
      </c>
      <c r="F191" s="8">
        <v>0</v>
      </c>
      <c r="G191" s="8">
        <v>6</v>
      </c>
      <c r="H191" s="8" t="s">
        <v>704</v>
      </c>
      <c r="I191" s="8">
        <v>530.8125</v>
      </c>
      <c r="J191" s="3">
        <f t="shared" si="2"/>
        <v>43747.419164965271</v>
      </c>
    </row>
    <row r="192" spans="1:10" x14ac:dyDescent="0.25">
      <c r="A192" s="5" t="s">
        <v>705</v>
      </c>
      <c r="B192" s="6">
        <v>406.25</v>
      </c>
      <c r="C192" s="6">
        <v>20.478950000000001</v>
      </c>
      <c r="D192" s="6">
        <v>98</v>
      </c>
      <c r="E192" s="6">
        <v>0</v>
      </c>
      <c r="F192" s="6">
        <v>0</v>
      </c>
      <c r="G192" s="6">
        <v>3</v>
      </c>
      <c r="H192" s="6" t="s">
        <v>706</v>
      </c>
      <c r="I192" s="6">
        <v>530.625</v>
      </c>
      <c r="J192" s="2">
        <f t="shared" si="2"/>
        <v>43747.419248761573</v>
      </c>
    </row>
    <row r="193" spans="1:10" x14ac:dyDescent="0.25">
      <c r="A193" s="7" t="s">
        <v>707</v>
      </c>
      <c r="B193" s="8">
        <v>406.25</v>
      </c>
      <c r="C193" s="8">
        <v>20.478950000000001</v>
      </c>
      <c r="D193" s="8">
        <v>95</v>
      </c>
      <c r="E193" s="8">
        <v>0</v>
      </c>
      <c r="F193" s="8">
        <v>0</v>
      </c>
      <c r="G193" s="8">
        <v>6</v>
      </c>
      <c r="H193" s="8" t="s">
        <v>708</v>
      </c>
      <c r="I193" s="8">
        <v>530.625</v>
      </c>
      <c r="J193" s="3">
        <f t="shared" si="2"/>
        <v>43747.419332083329</v>
      </c>
    </row>
    <row r="194" spans="1:10" x14ac:dyDescent="0.25">
      <c r="A194" s="5" t="s">
        <v>709</v>
      </c>
      <c r="B194" s="6">
        <v>406.25</v>
      </c>
      <c r="C194" s="6">
        <v>20.478950000000001</v>
      </c>
      <c r="D194" s="6">
        <v>95</v>
      </c>
      <c r="E194" s="6">
        <v>0</v>
      </c>
      <c r="F194" s="6">
        <v>0</v>
      </c>
      <c r="G194" s="6">
        <v>5</v>
      </c>
      <c r="H194" s="6" t="s">
        <v>710</v>
      </c>
      <c r="I194" s="6">
        <v>530.8125</v>
      </c>
      <c r="J194" s="2">
        <f t="shared" ref="J194:J257" si="3">(H194/86400000)+25569+(7/24)</f>
        <v>43747.419415405086</v>
      </c>
    </row>
    <row r="195" spans="1:10" x14ac:dyDescent="0.25">
      <c r="A195" s="7" t="s">
        <v>711</v>
      </c>
      <c r="B195" s="8">
        <v>446.875</v>
      </c>
      <c r="C195" s="8">
        <v>20.478950000000001</v>
      </c>
      <c r="D195" s="8">
        <v>97</v>
      </c>
      <c r="E195" s="8">
        <v>0</v>
      </c>
      <c r="F195" s="8">
        <v>0</v>
      </c>
      <c r="G195" s="8">
        <v>8</v>
      </c>
      <c r="H195" s="8" t="s">
        <v>712</v>
      </c>
      <c r="I195" s="8">
        <v>543.9375</v>
      </c>
      <c r="J195" s="3">
        <f t="shared" si="3"/>
        <v>43747.419498981479</v>
      </c>
    </row>
    <row r="196" spans="1:10" x14ac:dyDescent="0.25">
      <c r="A196" s="5" t="s">
        <v>713</v>
      </c>
      <c r="B196" s="6">
        <v>406.25</v>
      </c>
      <c r="C196" s="6">
        <v>20.478950000000001</v>
      </c>
      <c r="D196" s="6">
        <v>99</v>
      </c>
      <c r="E196" s="6">
        <v>0</v>
      </c>
      <c r="F196" s="6">
        <v>0</v>
      </c>
      <c r="G196" s="6">
        <v>8</v>
      </c>
      <c r="H196" s="6" t="s">
        <v>714</v>
      </c>
      <c r="I196" s="6">
        <v>530.625</v>
      </c>
      <c r="J196" s="2">
        <f t="shared" si="3"/>
        <v>43747.419582199072</v>
      </c>
    </row>
    <row r="197" spans="1:10" x14ac:dyDescent="0.25">
      <c r="A197" s="7" t="s">
        <v>715</v>
      </c>
      <c r="B197" s="8">
        <v>406.25</v>
      </c>
      <c r="C197" s="8">
        <v>20.478950000000001</v>
      </c>
      <c r="D197" s="8">
        <v>99</v>
      </c>
      <c r="E197" s="8">
        <v>0</v>
      </c>
      <c r="F197" s="8">
        <v>0</v>
      </c>
      <c r="G197" s="8">
        <v>0</v>
      </c>
      <c r="H197" s="8" t="s">
        <v>716</v>
      </c>
      <c r="I197" s="8">
        <v>530.625</v>
      </c>
      <c r="J197" s="3">
        <f t="shared" si="3"/>
        <v>43747.419653854166</v>
      </c>
    </row>
    <row r="198" spans="1:10" x14ac:dyDescent="0.25">
      <c r="A198" s="5" t="s">
        <v>717</v>
      </c>
      <c r="B198" s="6">
        <v>406.25</v>
      </c>
      <c r="C198" s="6">
        <v>20.478950000000001</v>
      </c>
      <c r="D198" s="6">
        <v>99</v>
      </c>
      <c r="E198" s="6">
        <v>0</v>
      </c>
      <c r="F198" s="6">
        <v>0</v>
      </c>
      <c r="G198" s="6">
        <v>11</v>
      </c>
      <c r="H198" s="6" t="s">
        <v>718</v>
      </c>
      <c r="I198" s="6">
        <v>530.8125</v>
      </c>
      <c r="J198" s="2">
        <f t="shared" si="3"/>
        <v>43747.419737638884</v>
      </c>
    </row>
    <row r="199" spans="1:10" x14ac:dyDescent="0.25">
      <c r="A199" s="7" t="s">
        <v>719</v>
      </c>
      <c r="B199" s="8">
        <v>406.25</v>
      </c>
      <c r="C199" s="8">
        <v>20.478950000000001</v>
      </c>
      <c r="D199" s="8">
        <v>100</v>
      </c>
      <c r="E199" s="8">
        <v>0</v>
      </c>
      <c r="F199" s="8">
        <v>0</v>
      </c>
      <c r="G199" s="8">
        <v>12</v>
      </c>
      <c r="H199" s="8" t="s">
        <v>720</v>
      </c>
      <c r="I199" s="8">
        <v>530.625</v>
      </c>
      <c r="J199" s="3">
        <f t="shared" si="3"/>
        <v>43747.4198253125</v>
      </c>
    </row>
    <row r="200" spans="1:10" x14ac:dyDescent="0.25">
      <c r="A200" s="5" t="s">
        <v>721</v>
      </c>
      <c r="B200" s="6">
        <v>425</v>
      </c>
      <c r="C200" s="6">
        <v>20.478950000000001</v>
      </c>
      <c r="D200" s="6">
        <v>100</v>
      </c>
      <c r="E200" s="6">
        <v>0</v>
      </c>
      <c r="F200" s="6">
        <v>0</v>
      </c>
      <c r="G200" s="6">
        <v>7</v>
      </c>
      <c r="H200" s="6" t="s">
        <v>722</v>
      </c>
      <c r="I200" s="6">
        <v>536.25</v>
      </c>
      <c r="J200" s="2">
        <f t="shared" si="3"/>
        <v>43747.419904328701</v>
      </c>
    </row>
    <row r="201" spans="1:10" x14ac:dyDescent="0.25">
      <c r="A201" s="7" t="s">
        <v>723</v>
      </c>
      <c r="B201" s="8">
        <v>409.375</v>
      </c>
      <c r="C201" s="8">
        <v>20.478950000000001</v>
      </c>
      <c r="D201" s="8">
        <v>96</v>
      </c>
      <c r="E201" s="8">
        <v>0</v>
      </c>
      <c r="F201" s="8">
        <v>0</v>
      </c>
      <c r="G201" s="8">
        <v>11</v>
      </c>
      <c r="H201" s="8" t="s">
        <v>724</v>
      </c>
      <c r="I201" s="8">
        <v>531.5625</v>
      </c>
      <c r="J201" s="3">
        <f t="shared" si="3"/>
        <v>43747.419987870373</v>
      </c>
    </row>
    <row r="202" spans="1:10" x14ac:dyDescent="0.25">
      <c r="A202" s="5" t="s">
        <v>725</v>
      </c>
      <c r="B202" s="6">
        <v>409.375</v>
      </c>
      <c r="C202" s="6">
        <v>20.531590000000001</v>
      </c>
      <c r="D202" s="6">
        <v>96</v>
      </c>
      <c r="E202" s="6">
        <v>0</v>
      </c>
      <c r="F202" s="6">
        <v>0</v>
      </c>
      <c r="G202" s="6">
        <v>5</v>
      </c>
      <c r="H202" s="6" t="s">
        <v>726</v>
      </c>
      <c r="I202" s="6">
        <v>531.5625</v>
      </c>
      <c r="J202" s="2">
        <f t="shared" si="3"/>
        <v>43747.420085092592</v>
      </c>
    </row>
    <row r="203" spans="1:10" x14ac:dyDescent="0.25">
      <c r="A203" s="7" t="s">
        <v>727</v>
      </c>
      <c r="B203" s="8">
        <v>406.25</v>
      </c>
      <c r="C203" s="8">
        <v>20.478950000000001</v>
      </c>
      <c r="D203" s="8">
        <v>96</v>
      </c>
      <c r="E203" s="8">
        <v>0</v>
      </c>
      <c r="F203" s="8">
        <v>0</v>
      </c>
      <c r="G203" s="8">
        <v>0</v>
      </c>
      <c r="H203" s="8" t="s">
        <v>728</v>
      </c>
      <c r="I203" s="8">
        <v>530.625</v>
      </c>
      <c r="J203" s="3">
        <f t="shared" si="3"/>
        <v>43747.420166863427</v>
      </c>
    </row>
    <row r="204" spans="1:10" x14ac:dyDescent="0.25">
      <c r="A204" s="5" t="s">
        <v>729</v>
      </c>
      <c r="B204" s="6">
        <v>406.25</v>
      </c>
      <c r="C204" s="6">
        <v>20.478950000000001</v>
      </c>
      <c r="D204" s="6">
        <v>96</v>
      </c>
      <c r="E204" s="6">
        <v>0</v>
      </c>
      <c r="F204" s="6">
        <v>0</v>
      </c>
      <c r="G204" s="6">
        <v>11</v>
      </c>
      <c r="H204" s="6" t="s">
        <v>730</v>
      </c>
      <c r="I204" s="6">
        <v>530.625</v>
      </c>
      <c r="J204" s="2">
        <f t="shared" si="3"/>
        <v>43747.420250289353</v>
      </c>
    </row>
    <row r="205" spans="1:10" x14ac:dyDescent="0.25">
      <c r="A205" s="7" t="s">
        <v>731</v>
      </c>
      <c r="B205" s="8">
        <v>406.25</v>
      </c>
      <c r="C205" s="8">
        <v>20.478950000000001</v>
      </c>
      <c r="D205" s="8">
        <v>96</v>
      </c>
      <c r="E205" s="8">
        <v>0</v>
      </c>
      <c r="F205" s="8">
        <v>0</v>
      </c>
      <c r="G205" s="8">
        <v>7</v>
      </c>
      <c r="H205" s="8" t="s">
        <v>732</v>
      </c>
      <c r="I205" s="8">
        <v>530.625</v>
      </c>
      <c r="J205" s="3">
        <f t="shared" si="3"/>
        <v>43747.420333634254</v>
      </c>
    </row>
    <row r="206" spans="1:10" x14ac:dyDescent="0.25">
      <c r="A206" s="5" t="s">
        <v>733</v>
      </c>
      <c r="B206" s="6">
        <v>406.25</v>
      </c>
      <c r="C206" s="6">
        <v>20.478950000000001</v>
      </c>
      <c r="D206" s="6">
        <v>96</v>
      </c>
      <c r="E206" s="6">
        <v>0</v>
      </c>
      <c r="F206" s="6">
        <v>0</v>
      </c>
      <c r="G206" s="6">
        <v>14</v>
      </c>
      <c r="H206" s="6" t="s">
        <v>734</v>
      </c>
      <c r="I206" s="6">
        <v>530.625</v>
      </c>
      <c r="J206" s="2">
        <f t="shared" si="3"/>
        <v>43747.420405289355</v>
      </c>
    </row>
    <row r="207" spans="1:10" x14ac:dyDescent="0.25">
      <c r="A207" s="7" t="s">
        <v>735</v>
      </c>
      <c r="B207" s="8">
        <v>446.875</v>
      </c>
      <c r="C207" s="8">
        <v>20.478950000000001</v>
      </c>
      <c r="D207" s="8">
        <v>97</v>
      </c>
      <c r="E207" s="8">
        <v>0</v>
      </c>
      <c r="F207" s="8">
        <v>0</v>
      </c>
      <c r="G207" s="8">
        <v>8</v>
      </c>
      <c r="H207" s="8" t="s">
        <v>736</v>
      </c>
      <c r="I207" s="8">
        <v>543</v>
      </c>
      <c r="J207" s="3">
        <f t="shared" si="3"/>
        <v>43747.420476828702</v>
      </c>
    </row>
    <row r="208" spans="1:10" x14ac:dyDescent="0.25">
      <c r="A208" s="5" t="s">
        <v>737</v>
      </c>
      <c r="B208" s="6">
        <v>409.375</v>
      </c>
      <c r="C208" s="6">
        <v>20.478950000000001</v>
      </c>
      <c r="D208" s="6">
        <v>96</v>
      </c>
      <c r="E208" s="6">
        <v>0</v>
      </c>
      <c r="F208" s="6">
        <v>0</v>
      </c>
      <c r="G208" s="6">
        <v>4</v>
      </c>
      <c r="H208" s="6" t="s">
        <v>738</v>
      </c>
      <c r="I208" s="6">
        <v>531.375</v>
      </c>
      <c r="J208" s="2">
        <f t="shared" si="3"/>
        <v>43747.420560023143</v>
      </c>
    </row>
    <row r="209" spans="1:10" x14ac:dyDescent="0.25">
      <c r="A209" s="7" t="s">
        <v>739</v>
      </c>
      <c r="B209" s="8">
        <v>409.375</v>
      </c>
      <c r="C209" s="8">
        <v>20.531590000000001</v>
      </c>
      <c r="D209" s="8">
        <v>96</v>
      </c>
      <c r="E209" s="8">
        <v>0</v>
      </c>
      <c r="F209" s="8">
        <v>0</v>
      </c>
      <c r="G209" s="8">
        <v>8</v>
      </c>
      <c r="H209" s="8" t="s">
        <v>740</v>
      </c>
      <c r="I209" s="8">
        <v>531.5625</v>
      </c>
      <c r="J209" s="3">
        <f t="shared" si="3"/>
        <v>43747.420631539346</v>
      </c>
    </row>
    <row r="210" spans="1:10" x14ac:dyDescent="0.25">
      <c r="A210" s="5" t="s">
        <v>741</v>
      </c>
      <c r="B210" s="6">
        <v>409.375</v>
      </c>
      <c r="C210" s="6">
        <v>20.478950000000001</v>
      </c>
      <c r="D210" s="6">
        <v>95</v>
      </c>
      <c r="E210" s="6">
        <v>0</v>
      </c>
      <c r="F210" s="6">
        <v>0</v>
      </c>
      <c r="G210" s="6">
        <v>3</v>
      </c>
      <c r="H210" s="6" t="s">
        <v>742</v>
      </c>
      <c r="I210" s="6">
        <v>531.375</v>
      </c>
      <c r="J210" s="2">
        <f t="shared" si="3"/>
        <v>43747.420727025463</v>
      </c>
    </row>
    <row r="211" spans="1:10" x14ac:dyDescent="0.25">
      <c r="A211" s="7" t="s">
        <v>743</v>
      </c>
      <c r="B211" s="8">
        <v>409.375</v>
      </c>
      <c r="C211" s="8">
        <v>20.478950000000001</v>
      </c>
      <c r="D211" s="8">
        <v>96</v>
      </c>
      <c r="E211" s="8">
        <v>0</v>
      </c>
      <c r="F211" s="8">
        <v>0</v>
      </c>
      <c r="G211" s="8">
        <v>15</v>
      </c>
      <c r="H211" s="8" t="s">
        <v>744</v>
      </c>
      <c r="I211" s="8">
        <v>531.5625</v>
      </c>
      <c r="J211" s="3">
        <f t="shared" si="3"/>
        <v>43747.420798784718</v>
      </c>
    </row>
    <row r="212" spans="1:10" x14ac:dyDescent="0.25">
      <c r="A212" s="5" t="s">
        <v>745</v>
      </c>
      <c r="B212" s="6">
        <v>409.375</v>
      </c>
      <c r="C212" s="6">
        <v>20.478950000000001</v>
      </c>
      <c r="D212" s="6">
        <v>96</v>
      </c>
      <c r="E212" s="6">
        <v>0</v>
      </c>
      <c r="F212" s="6">
        <v>0</v>
      </c>
      <c r="G212" s="6">
        <v>6</v>
      </c>
      <c r="H212" s="6" t="s">
        <v>746</v>
      </c>
      <c r="I212" s="6">
        <v>531.375</v>
      </c>
      <c r="J212" s="2">
        <f t="shared" si="3"/>
        <v>43747.420882118058</v>
      </c>
    </row>
    <row r="213" spans="1:10" x14ac:dyDescent="0.25">
      <c r="A213" s="7" t="s">
        <v>747</v>
      </c>
      <c r="B213" s="8">
        <v>409.375</v>
      </c>
      <c r="C213" s="8">
        <v>20.478950000000001</v>
      </c>
      <c r="D213" s="8">
        <v>96</v>
      </c>
      <c r="E213" s="8">
        <v>0</v>
      </c>
      <c r="F213" s="8">
        <v>0</v>
      </c>
      <c r="G213" s="8">
        <v>5</v>
      </c>
      <c r="H213" s="8" t="s">
        <v>748</v>
      </c>
      <c r="I213" s="8">
        <v>531.375</v>
      </c>
      <c r="J213" s="3">
        <f t="shared" si="3"/>
        <v>43747.420965717589</v>
      </c>
    </row>
    <row r="214" spans="1:10" x14ac:dyDescent="0.25">
      <c r="A214" s="5" t="s">
        <v>749</v>
      </c>
      <c r="B214" s="6">
        <v>409.375</v>
      </c>
      <c r="C214" s="6">
        <v>20.478950000000001</v>
      </c>
      <c r="D214" s="6">
        <v>96</v>
      </c>
      <c r="E214" s="6">
        <v>0</v>
      </c>
      <c r="F214" s="6">
        <v>0</v>
      </c>
      <c r="G214" s="6">
        <v>1</v>
      </c>
      <c r="H214" s="6" t="s">
        <v>750</v>
      </c>
      <c r="I214" s="6">
        <v>531.5625</v>
      </c>
      <c r="J214" s="2">
        <f t="shared" si="3"/>
        <v>43747.421048807868</v>
      </c>
    </row>
    <row r="215" spans="1:10" x14ac:dyDescent="0.25">
      <c r="A215" s="7" t="s">
        <v>751</v>
      </c>
      <c r="B215" s="8">
        <v>428.125</v>
      </c>
      <c r="C215" s="8">
        <v>20.478950000000001</v>
      </c>
      <c r="D215" s="8">
        <v>96</v>
      </c>
      <c r="E215" s="8">
        <v>0</v>
      </c>
      <c r="F215" s="8">
        <v>0</v>
      </c>
      <c r="G215" s="8">
        <v>10</v>
      </c>
      <c r="H215" s="8" t="s">
        <v>752</v>
      </c>
      <c r="I215" s="8">
        <v>537.9375</v>
      </c>
      <c r="J215" s="3">
        <f t="shared" si="3"/>
        <v>43747.421120567124</v>
      </c>
    </row>
    <row r="216" spans="1:10" x14ac:dyDescent="0.25">
      <c r="A216" s="5" t="s">
        <v>753</v>
      </c>
      <c r="B216" s="6">
        <v>409.375</v>
      </c>
      <c r="C216" s="6">
        <v>20.478950000000001</v>
      </c>
      <c r="D216" s="6">
        <v>96</v>
      </c>
      <c r="E216" s="6">
        <v>0</v>
      </c>
      <c r="F216" s="6">
        <v>0</v>
      </c>
      <c r="G216" s="6">
        <v>7</v>
      </c>
      <c r="H216" s="6" t="s">
        <v>754</v>
      </c>
      <c r="I216" s="6">
        <v>531.375</v>
      </c>
      <c r="J216" s="2">
        <f t="shared" si="3"/>
        <v>43747.421204398146</v>
      </c>
    </row>
    <row r="217" spans="1:10" x14ac:dyDescent="0.25">
      <c r="A217" s="7" t="s">
        <v>755</v>
      </c>
      <c r="B217" s="8">
        <v>409.375</v>
      </c>
      <c r="C217" s="8">
        <v>20.478950000000001</v>
      </c>
      <c r="D217" s="8">
        <v>97</v>
      </c>
      <c r="E217" s="8">
        <v>0</v>
      </c>
      <c r="F217" s="8">
        <v>0</v>
      </c>
      <c r="G217" s="8">
        <v>4</v>
      </c>
      <c r="H217" s="8" t="s">
        <v>756</v>
      </c>
      <c r="I217" s="8">
        <v>531.375</v>
      </c>
      <c r="J217" s="3">
        <f t="shared" si="3"/>
        <v>43747.421293506944</v>
      </c>
    </row>
    <row r="218" spans="1:10" x14ac:dyDescent="0.25">
      <c r="A218" s="5" t="s">
        <v>757</v>
      </c>
      <c r="B218" s="6">
        <v>412.5</v>
      </c>
      <c r="C218" s="6">
        <v>20.478950000000001</v>
      </c>
      <c r="D218" s="6">
        <v>94</v>
      </c>
      <c r="E218" s="6">
        <v>0</v>
      </c>
      <c r="F218" s="6">
        <v>0</v>
      </c>
      <c r="G218" s="6">
        <v>6</v>
      </c>
      <c r="H218" s="6" t="s">
        <v>758</v>
      </c>
      <c r="I218" s="6">
        <v>532.3125</v>
      </c>
      <c r="J218" s="2">
        <f t="shared" si="3"/>
        <v>43747.421371006938</v>
      </c>
    </row>
    <row r="219" spans="1:10" x14ac:dyDescent="0.25">
      <c r="A219" s="7" t="s">
        <v>759</v>
      </c>
      <c r="B219" s="8">
        <v>412.5</v>
      </c>
      <c r="C219" s="8">
        <v>20.478950000000001</v>
      </c>
      <c r="D219" s="8">
        <v>94</v>
      </c>
      <c r="E219" s="8">
        <v>0</v>
      </c>
      <c r="F219" s="8">
        <v>0</v>
      </c>
      <c r="G219" s="8">
        <v>8</v>
      </c>
      <c r="H219" s="8" t="s">
        <v>760</v>
      </c>
      <c r="I219" s="8">
        <v>532.3125</v>
      </c>
      <c r="J219" s="3">
        <f t="shared" si="3"/>
        <v>43747.4214545949</v>
      </c>
    </row>
    <row r="220" spans="1:10" x14ac:dyDescent="0.25">
      <c r="A220" s="5" t="s">
        <v>761</v>
      </c>
      <c r="B220" s="6">
        <v>428.125</v>
      </c>
      <c r="C220" s="6">
        <v>20.478950000000001</v>
      </c>
      <c r="D220" s="6">
        <v>94</v>
      </c>
      <c r="E220" s="6">
        <v>0</v>
      </c>
      <c r="F220" s="6">
        <v>0</v>
      </c>
      <c r="G220" s="6">
        <v>0</v>
      </c>
      <c r="H220" s="6" t="s">
        <v>762</v>
      </c>
      <c r="I220" s="6">
        <v>537.75</v>
      </c>
      <c r="J220" s="2">
        <f t="shared" si="3"/>
        <v>43747.421537685186</v>
      </c>
    </row>
    <row r="221" spans="1:10" x14ac:dyDescent="0.25">
      <c r="A221" s="7" t="s">
        <v>763</v>
      </c>
      <c r="B221" s="8">
        <v>412.5</v>
      </c>
      <c r="C221" s="8">
        <v>20.478950000000001</v>
      </c>
      <c r="D221" s="8">
        <v>95</v>
      </c>
      <c r="E221" s="8">
        <v>0</v>
      </c>
      <c r="F221" s="8">
        <v>0</v>
      </c>
      <c r="G221" s="8">
        <v>1</v>
      </c>
      <c r="H221" s="8" t="s">
        <v>764</v>
      </c>
      <c r="I221" s="8">
        <v>532.3125</v>
      </c>
      <c r="J221" s="3">
        <f t="shared" si="3"/>
        <v>43747.421621493057</v>
      </c>
    </row>
    <row r="222" spans="1:10" x14ac:dyDescent="0.25">
      <c r="A222" s="5" t="s">
        <v>765</v>
      </c>
      <c r="B222" s="6">
        <v>412.5</v>
      </c>
      <c r="C222" s="6">
        <v>20.478950000000001</v>
      </c>
      <c r="D222" s="6">
        <v>94</v>
      </c>
      <c r="E222" s="6">
        <v>0</v>
      </c>
      <c r="F222" s="6">
        <v>0</v>
      </c>
      <c r="G222" s="6">
        <v>14</v>
      </c>
      <c r="H222" s="6" t="s">
        <v>766</v>
      </c>
      <c r="I222" s="6">
        <v>532.3125</v>
      </c>
      <c r="J222" s="2">
        <f t="shared" si="3"/>
        <v>43747.421704814813</v>
      </c>
    </row>
    <row r="223" spans="1:10" x14ac:dyDescent="0.25">
      <c r="A223" s="7" t="s">
        <v>767</v>
      </c>
      <c r="B223" s="8">
        <v>409.375</v>
      </c>
      <c r="C223" s="8">
        <v>20.478950000000001</v>
      </c>
      <c r="D223" s="8">
        <v>95</v>
      </c>
      <c r="E223" s="8">
        <v>0</v>
      </c>
      <c r="F223" s="8">
        <v>0</v>
      </c>
      <c r="G223" s="8">
        <v>11</v>
      </c>
      <c r="H223" s="8" t="s">
        <v>768</v>
      </c>
      <c r="I223" s="8">
        <v>531.375</v>
      </c>
      <c r="J223" s="3">
        <f t="shared" si="3"/>
        <v>43747.421776469906</v>
      </c>
    </row>
    <row r="224" spans="1:10" x14ac:dyDescent="0.25">
      <c r="A224" s="5" t="s">
        <v>769</v>
      </c>
      <c r="B224" s="6">
        <v>409.375</v>
      </c>
      <c r="C224" s="6">
        <v>20.478950000000001</v>
      </c>
      <c r="D224" s="6">
        <v>95</v>
      </c>
      <c r="E224" s="6">
        <v>0</v>
      </c>
      <c r="F224" s="6">
        <v>0</v>
      </c>
      <c r="G224" s="6">
        <v>0</v>
      </c>
      <c r="H224" s="6" t="s">
        <v>770</v>
      </c>
      <c r="I224" s="6">
        <v>531.5625</v>
      </c>
      <c r="J224" s="2">
        <f t="shared" si="3"/>
        <v>43747.421848101854</v>
      </c>
    </row>
    <row r="225" spans="1:10" x14ac:dyDescent="0.25">
      <c r="A225" s="7" t="s">
        <v>771</v>
      </c>
      <c r="B225" s="8">
        <v>409.375</v>
      </c>
      <c r="C225" s="8">
        <v>20.478950000000001</v>
      </c>
      <c r="D225" s="8">
        <v>97</v>
      </c>
      <c r="E225" s="8">
        <v>0</v>
      </c>
      <c r="F225" s="8">
        <v>0</v>
      </c>
      <c r="G225" s="8">
        <v>6</v>
      </c>
      <c r="H225" s="8" t="s">
        <v>772</v>
      </c>
      <c r="I225" s="8">
        <v>531.5625</v>
      </c>
      <c r="J225" s="3">
        <f t="shared" si="3"/>
        <v>43747.421931550918</v>
      </c>
    </row>
    <row r="226" spans="1:10" x14ac:dyDescent="0.25">
      <c r="A226" s="5" t="s">
        <v>773</v>
      </c>
      <c r="B226" s="6">
        <v>409.375</v>
      </c>
      <c r="C226" s="6">
        <v>20.478950000000001</v>
      </c>
      <c r="D226" s="6">
        <v>96</v>
      </c>
      <c r="E226" s="6">
        <v>0</v>
      </c>
      <c r="F226" s="6">
        <v>0</v>
      </c>
      <c r="G226" s="6">
        <v>5</v>
      </c>
      <c r="H226" s="6" t="s">
        <v>774</v>
      </c>
      <c r="I226" s="6">
        <v>531.375</v>
      </c>
      <c r="J226" s="2">
        <f t="shared" si="3"/>
        <v>43747.422014988428</v>
      </c>
    </row>
    <row r="227" spans="1:10" x14ac:dyDescent="0.25">
      <c r="A227" s="7" t="s">
        <v>775</v>
      </c>
      <c r="B227" s="8">
        <v>409.375</v>
      </c>
      <c r="C227" s="8">
        <v>20.531590000000001</v>
      </c>
      <c r="D227" s="8">
        <v>96</v>
      </c>
      <c r="E227" s="8">
        <v>0</v>
      </c>
      <c r="F227" s="8">
        <v>0</v>
      </c>
      <c r="G227" s="8">
        <v>3</v>
      </c>
      <c r="H227" s="8" t="s">
        <v>776</v>
      </c>
      <c r="I227" s="8">
        <v>531.375</v>
      </c>
      <c r="J227" s="3">
        <f t="shared" si="3"/>
        <v>43747.422098553237</v>
      </c>
    </row>
    <row r="228" spans="1:10" x14ac:dyDescent="0.25">
      <c r="A228" s="5" t="s">
        <v>777</v>
      </c>
      <c r="B228" s="6">
        <v>409.375</v>
      </c>
      <c r="C228" s="6">
        <v>20.478950000000001</v>
      </c>
      <c r="D228" s="6">
        <v>97</v>
      </c>
      <c r="E228" s="6">
        <v>0</v>
      </c>
      <c r="F228" s="6">
        <v>0</v>
      </c>
      <c r="G228" s="6">
        <v>1</v>
      </c>
      <c r="H228" s="6" t="s">
        <v>778</v>
      </c>
      <c r="I228" s="6">
        <v>531.375</v>
      </c>
      <c r="J228" s="2">
        <f t="shared" si="3"/>
        <v>43747.422182118054</v>
      </c>
    </row>
    <row r="229" spans="1:10" x14ac:dyDescent="0.25">
      <c r="A229" s="7" t="s">
        <v>779</v>
      </c>
      <c r="B229" s="8">
        <v>406.25</v>
      </c>
      <c r="C229" s="8">
        <v>20.478950000000001</v>
      </c>
      <c r="D229" s="8">
        <v>97</v>
      </c>
      <c r="E229" s="8">
        <v>0</v>
      </c>
      <c r="F229" s="8">
        <v>0</v>
      </c>
      <c r="G229" s="8">
        <v>1</v>
      </c>
      <c r="H229" s="8" t="s">
        <v>780</v>
      </c>
      <c r="I229" s="8">
        <v>530.625</v>
      </c>
      <c r="J229" s="3">
        <f t="shared" si="3"/>
        <v>43747.422265451387</v>
      </c>
    </row>
    <row r="230" spans="1:10" x14ac:dyDescent="0.25">
      <c r="A230" s="5" t="s">
        <v>781</v>
      </c>
      <c r="B230" s="6">
        <v>425</v>
      </c>
      <c r="C230" s="6">
        <v>20.478950000000001</v>
      </c>
      <c r="D230" s="6">
        <v>99</v>
      </c>
      <c r="E230" s="6">
        <v>0</v>
      </c>
      <c r="F230" s="6">
        <v>0</v>
      </c>
      <c r="G230" s="6">
        <v>6</v>
      </c>
      <c r="H230" s="6" t="s">
        <v>782</v>
      </c>
      <c r="I230" s="6">
        <v>536.8125</v>
      </c>
      <c r="J230" s="2">
        <f t="shared" si="3"/>
        <v>43747.422348796295</v>
      </c>
    </row>
    <row r="231" spans="1:10" x14ac:dyDescent="0.25">
      <c r="A231" s="7" t="s">
        <v>783</v>
      </c>
      <c r="B231" s="8">
        <v>406.25</v>
      </c>
      <c r="C231" s="8">
        <v>20.478950000000001</v>
      </c>
      <c r="D231" s="8">
        <v>97</v>
      </c>
      <c r="E231" s="8">
        <v>0</v>
      </c>
      <c r="F231" s="8">
        <v>0</v>
      </c>
      <c r="G231" s="8">
        <v>6</v>
      </c>
      <c r="H231" s="8" t="s">
        <v>784</v>
      </c>
      <c r="I231" s="8">
        <v>530.625</v>
      </c>
      <c r="J231" s="3">
        <f t="shared" si="3"/>
        <v>43747.422432581014</v>
      </c>
    </row>
    <row r="232" spans="1:10" x14ac:dyDescent="0.25">
      <c r="A232" s="5" t="s">
        <v>785</v>
      </c>
      <c r="B232" s="6">
        <v>403.125</v>
      </c>
      <c r="C232" s="6">
        <v>20.478950000000001</v>
      </c>
      <c r="D232" s="6">
        <v>97</v>
      </c>
      <c r="E232" s="6">
        <v>0</v>
      </c>
      <c r="F232" s="6">
        <v>0</v>
      </c>
      <c r="G232" s="6">
        <v>7</v>
      </c>
      <c r="H232" s="6" t="s">
        <v>786</v>
      </c>
      <c r="I232" s="6">
        <v>529.875</v>
      </c>
      <c r="J232" s="2">
        <f t="shared" si="3"/>
        <v>43747.422515590275</v>
      </c>
    </row>
    <row r="233" spans="1:10" x14ac:dyDescent="0.25">
      <c r="A233" s="7" t="s">
        <v>787</v>
      </c>
      <c r="B233" s="8">
        <v>403.125</v>
      </c>
      <c r="C233" s="8">
        <v>20.478950000000001</v>
      </c>
      <c r="D233" s="8">
        <v>97</v>
      </c>
      <c r="E233" s="8">
        <v>0</v>
      </c>
      <c r="F233" s="8">
        <v>0</v>
      </c>
      <c r="G233" s="8">
        <v>7</v>
      </c>
      <c r="H233" s="8" t="s">
        <v>788</v>
      </c>
      <c r="I233" s="8">
        <v>529.875</v>
      </c>
      <c r="J233" s="3">
        <f t="shared" si="3"/>
        <v>43747.42258716435</v>
      </c>
    </row>
    <row r="234" spans="1:10" x14ac:dyDescent="0.25">
      <c r="A234" s="5" t="s">
        <v>789</v>
      </c>
      <c r="B234" s="6">
        <v>403.125</v>
      </c>
      <c r="C234" s="6">
        <v>20.531590000000001</v>
      </c>
      <c r="D234" s="6">
        <v>97</v>
      </c>
      <c r="E234" s="6">
        <v>0</v>
      </c>
      <c r="F234" s="6">
        <v>0</v>
      </c>
      <c r="G234" s="6">
        <v>0</v>
      </c>
      <c r="H234" s="6" t="s">
        <v>790</v>
      </c>
      <c r="I234" s="6">
        <v>529.875</v>
      </c>
      <c r="J234" s="2">
        <f t="shared" si="3"/>
        <v>43747.422658981479</v>
      </c>
    </row>
    <row r="235" spans="1:10" x14ac:dyDescent="0.25">
      <c r="A235" s="7" t="s">
        <v>791</v>
      </c>
      <c r="B235" s="8">
        <v>403.125</v>
      </c>
      <c r="C235" s="8">
        <v>20.478950000000001</v>
      </c>
      <c r="D235" s="8">
        <v>97</v>
      </c>
      <c r="E235" s="8">
        <v>0</v>
      </c>
      <c r="F235" s="8">
        <v>0</v>
      </c>
      <c r="G235" s="8">
        <v>0</v>
      </c>
      <c r="H235" s="8" t="s">
        <v>792</v>
      </c>
      <c r="I235" s="8">
        <v>529.875</v>
      </c>
      <c r="J235" s="3">
        <f t="shared" si="3"/>
        <v>43747.422730555554</v>
      </c>
    </row>
    <row r="236" spans="1:10" x14ac:dyDescent="0.25">
      <c r="A236" s="5" t="s">
        <v>793</v>
      </c>
      <c r="B236" s="6">
        <v>406.25</v>
      </c>
      <c r="C236" s="6">
        <v>20.478950000000001</v>
      </c>
      <c r="D236" s="6">
        <v>97</v>
      </c>
      <c r="E236" s="6">
        <v>0</v>
      </c>
      <c r="F236" s="6">
        <v>0</v>
      </c>
      <c r="G236" s="6">
        <v>11</v>
      </c>
      <c r="H236" s="6" t="s">
        <v>794</v>
      </c>
      <c r="I236" s="6">
        <v>530.625</v>
      </c>
      <c r="J236" s="2">
        <f t="shared" si="3"/>
        <v>43747.422825972222</v>
      </c>
    </row>
    <row r="237" spans="1:10" x14ac:dyDescent="0.25">
      <c r="A237" s="7" t="s">
        <v>795</v>
      </c>
      <c r="B237" s="8">
        <v>406.25</v>
      </c>
      <c r="C237" s="8">
        <v>20.531590000000001</v>
      </c>
      <c r="D237" s="8">
        <v>97</v>
      </c>
      <c r="E237" s="8">
        <v>0</v>
      </c>
      <c r="F237" s="8">
        <v>0</v>
      </c>
      <c r="G237" s="8">
        <v>0</v>
      </c>
      <c r="H237" s="8" t="s">
        <v>796</v>
      </c>
      <c r="I237" s="8">
        <v>530.8125</v>
      </c>
      <c r="J237" s="3">
        <f t="shared" si="3"/>
        <v>43747.422897395831</v>
      </c>
    </row>
    <row r="238" spans="1:10" x14ac:dyDescent="0.25">
      <c r="A238" s="5" t="s">
        <v>797</v>
      </c>
      <c r="B238" s="6">
        <v>406.25</v>
      </c>
      <c r="C238" s="6">
        <v>20.478950000000001</v>
      </c>
      <c r="D238" s="6">
        <v>97</v>
      </c>
      <c r="E238" s="6">
        <v>0</v>
      </c>
      <c r="F238" s="6">
        <v>0</v>
      </c>
      <c r="G238" s="6">
        <v>1</v>
      </c>
      <c r="H238" s="6" t="s">
        <v>798</v>
      </c>
      <c r="I238" s="6">
        <v>530.625</v>
      </c>
      <c r="J238" s="2">
        <f t="shared" si="3"/>
        <v>43747.422981064818</v>
      </c>
    </row>
    <row r="239" spans="1:10" x14ac:dyDescent="0.25">
      <c r="A239" s="7" t="s">
        <v>799</v>
      </c>
      <c r="B239" s="8">
        <v>406.25</v>
      </c>
      <c r="C239" s="8">
        <v>20.478950000000001</v>
      </c>
      <c r="D239" s="8">
        <v>96</v>
      </c>
      <c r="E239" s="8">
        <v>0</v>
      </c>
      <c r="F239" s="8">
        <v>0</v>
      </c>
      <c r="G239" s="8">
        <v>9</v>
      </c>
      <c r="H239" s="8" t="s">
        <v>800</v>
      </c>
      <c r="I239" s="8">
        <v>530.625</v>
      </c>
      <c r="J239" s="3">
        <f t="shared" si="3"/>
        <v>43747.423052361111</v>
      </c>
    </row>
    <row r="240" spans="1:10" x14ac:dyDescent="0.25">
      <c r="A240" s="5" t="s">
        <v>801</v>
      </c>
      <c r="B240" s="6">
        <v>406.25</v>
      </c>
      <c r="C240" s="6">
        <v>20.478950000000001</v>
      </c>
      <c r="D240" s="6">
        <v>96</v>
      </c>
      <c r="E240" s="6">
        <v>0</v>
      </c>
      <c r="F240" s="6">
        <v>0</v>
      </c>
      <c r="G240" s="6">
        <v>2</v>
      </c>
      <c r="H240" s="6" t="s">
        <v>802</v>
      </c>
      <c r="I240" s="6">
        <v>530.625</v>
      </c>
      <c r="J240" s="2">
        <f t="shared" si="3"/>
        <v>43747.423155902776</v>
      </c>
    </row>
    <row r="241" spans="1:10" x14ac:dyDescent="0.25">
      <c r="A241" s="7" t="s">
        <v>803</v>
      </c>
      <c r="B241" s="8">
        <v>403.125</v>
      </c>
      <c r="C241" s="8">
        <v>20.478950000000001</v>
      </c>
      <c r="D241" s="8">
        <v>96</v>
      </c>
      <c r="E241" s="8">
        <v>0</v>
      </c>
      <c r="F241" s="8">
        <v>0</v>
      </c>
      <c r="G241" s="8">
        <v>8</v>
      </c>
      <c r="H241" s="8" t="s">
        <v>804</v>
      </c>
      <c r="I241" s="8">
        <v>529.875</v>
      </c>
      <c r="J241" s="3">
        <f t="shared" si="3"/>
        <v>43747.423231203698</v>
      </c>
    </row>
    <row r="242" spans="1:10" x14ac:dyDescent="0.25">
      <c r="A242" s="5" t="s">
        <v>805</v>
      </c>
      <c r="B242" s="6">
        <v>406.25</v>
      </c>
      <c r="C242" s="6">
        <v>20.478950000000001</v>
      </c>
      <c r="D242" s="6">
        <v>96</v>
      </c>
      <c r="E242" s="6">
        <v>0</v>
      </c>
      <c r="F242" s="6">
        <v>0</v>
      </c>
      <c r="G242" s="6">
        <v>5</v>
      </c>
      <c r="H242" s="6" t="s">
        <v>806</v>
      </c>
      <c r="I242" s="6">
        <v>530.625</v>
      </c>
      <c r="J242" s="2">
        <f t="shared" si="3"/>
        <v>43747.423302905088</v>
      </c>
    </row>
    <row r="243" spans="1:10" x14ac:dyDescent="0.25">
      <c r="A243" s="7" t="s">
        <v>807</v>
      </c>
      <c r="B243" s="8">
        <v>425</v>
      </c>
      <c r="C243" s="8">
        <v>20.478950000000001</v>
      </c>
      <c r="D243" s="8">
        <v>95</v>
      </c>
      <c r="E243" s="8">
        <v>0</v>
      </c>
      <c r="F243" s="8">
        <v>0</v>
      </c>
      <c r="G243" s="8">
        <v>4</v>
      </c>
      <c r="H243" s="8" t="s">
        <v>808</v>
      </c>
      <c r="I243" s="8">
        <v>536.25</v>
      </c>
      <c r="J243" s="3">
        <f t="shared" si="3"/>
        <v>43747.423398101848</v>
      </c>
    </row>
    <row r="244" spans="1:10" x14ac:dyDescent="0.25">
      <c r="A244" s="5" t="s">
        <v>809</v>
      </c>
      <c r="B244" s="6">
        <v>406.25</v>
      </c>
      <c r="C244" s="6">
        <v>20.478950000000001</v>
      </c>
      <c r="D244" s="6">
        <v>95</v>
      </c>
      <c r="E244" s="6">
        <v>0</v>
      </c>
      <c r="F244" s="6">
        <v>0</v>
      </c>
      <c r="G244" s="6">
        <v>12</v>
      </c>
      <c r="H244" s="6" t="s">
        <v>810</v>
      </c>
      <c r="I244" s="6">
        <v>530.625</v>
      </c>
      <c r="J244" s="2">
        <f t="shared" si="3"/>
        <v>43747.423470081012</v>
      </c>
    </row>
    <row r="245" spans="1:10" x14ac:dyDescent="0.25">
      <c r="A245" s="7" t="s">
        <v>811</v>
      </c>
      <c r="B245" s="8">
        <v>406.25</v>
      </c>
      <c r="C245" s="8">
        <v>20.531590000000001</v>
      </c>
      <c r="D245" s="8">
        <v>96</v>
      </c>
      <c r="E245" s="8">
        <v>0</v>
      </c>
      <c r="F245" s="8">
        <v>0</v>
      </c>
      <c r="G245" s="8">
        <v>4</v>
      </c>
      <c r="H245" s="8" t="s">
        <v>812</v>
      </c>
      <c r="I245" s="8">
        <v>530.625</v>
      </c>
      <c r="J245" s="3">
        <f t="shared" si="3"/>
        <v>43747.423541261574</v>
      </c>
    </row>
    <row r="246" spans="1:10" x14ac:dyDescent="0.25">
      <c r="A246" s="5" t="s">
        <v>813</v>
      </c>
      <c r="B246" s="6">
        <v>406.25</v>
      </c>
      <c r="C246" s="6">
        <v>20.531590000000001</v>
      </c>
      <c r="D246" s="6">
        <v>95</v>
      </c>
      <c r="E246" s="6">
        <v>0</v>
      </c>
      <c r="F246" s="6">
        <v>0</v>
      </c>
      <c r="G246" s="6">
        <v>6</v>
      </c>
      <c r="H246" s="6" t="s">
        <v>814</v>
      </c>
      <c r="I246" s="6">
        <v>530.625</v>
      </c>
      <c r="J246" s="2">
        <f t="shared" si="3"/>
        <v>43747.423624722222</v>
      </c>
    </row>
    <row r="247" spans="1:10" x14ac:dyDescent="0.25">
      <c r="A247" s="7" t="s">
        <v>815</v>
      </c>
      <c r="B247" s="8">
        <v>406.25</v>
      </c>
      <c r="C247" s="8">
        <v>20.478950000000001</v>
      </c>
      <c r="D247" s="8">
        <v>95</v>
      </c>
      <c r="E247" s="8">
        <v>0</v>
      </c>
      <c r="F247" s="8">
        <v>0</v>
      </c>
      <c r="G247" s="8">
        <v>5</v>
      </c>
      <c r="H247" s="8" t="s">
        <v>816</v>
      </c>
      <c r="I247" s="8">
        <v>530.625</v>
      </c>
      <c r="J247" s="3">
        <f t="shared" si="3"/>
        <v>43747.423696365739</v>
      </c>
    </row>
    <row r="248" spans="1:10" x14ac:dyDescent="0.25">
      <c r="A248" s="5" t="s">
        <v>817</v>
      </c>
      <c r="B248" s="6">
        <v>406.25</v>
      </c>
      <c r="C248" s="6">
        <v>20.478950000000001</v>
      </c>
      <c r="D248" s="6">
        <v>95</v>
      </c>
      <c r="E248" s="6">
        <v>0</v>
      </c>
      <c r="F248" s="6">
        <v>0</v>
      </c>
      <c r="G248" s="6">
        <v>8</v>
      </c>
      <c r="H248" s="6" t="s">
        <v>818</v>
      </c>
      <c r="I248" s="6">
        <v>530.625</v>
      </c>
      <c r="J248" s="2">
        <f t="shared" si="3"/>
        <v>43747.423768217595</v>
      </c>
    </row>
    <row r="249" spans="1:10" x14ac:dyDescent="0.25">
      <c r="A249" s="7" t="s">
        <v>819</v>
      </c>
      <c r="B249" s="8">
        <v>406.25</v>
      </c>
      <c r="C249" s="8">
        <v>20.478950000000001</v>
      </c>
      <c r="D249" s="8">
        <v>94</v>
      </c>
      <c r="E249" s="8">
        <v>0</v>
      </c>
      <c r="F249" s="8">
        <v>0</v>
      </c>
      <c r="G249" s="8">
        <v>6</v>
      </c>
      <c r="H249" s="8" t="s">
        <v>820</v>
      </c>
      <c r="I249" s="8">
        <v>530.8125</v>
      </c>
      <c r="J249" s="3">
        <f t="shared" si="3"/>
        <v>43747.423851493055</v>
      </c>
    </row>
    <row r="250" spans="1:10" x14ac:dyDescent="0.25">
      <c r="A250" s="5" t="s">
        <v>821</v>
      </c>
      <c r="B250" s="6">
        <v>406.25</v>
      </c>
      <c r="C250" s="6">
        <v>20.478950000000001</v>
      </c>
      <c r="D250" s="6">
        <v>94</v>
      </c>
      <c r="E250" s="6">
        <v>0</v>
      </c>
      <c r="F250" s="6">
        <v>0</v>
      </c>
      <c r="G250" s="6">
        <v>5</v>
      </c>
      <c r="H250" s="6" t="s">
        <v>822</v>
      </c>
      <c r="I250" s="6">
        <v>530.625</v>
      </c>
      <c r="J250" s="2">
        <f t="shared" si="3"/>
        <v>43747.423923043978</v>
      </c>
    </row>
    <row r="251" spans="1:10" x14ac:dyDescent="0.25">
      <c r="A251" s="7" t="s">
        <v>823</v>
      </c>
      <c r="B251" s="8">
        <v>406.25</v>
      </c>
      <c r="C251" s="8">
        <v>20.478950000000001</v>
      </c>
      <c r="D251" s="8">
        <v>94</v>
      </c>
      <c r="E251" s="8">
        <v>0</v>
      </c>
      <c r="F251" s="8">
        <v>0</v>
      </c>
      <c r="G251" s="8">
        <v>0</v>
      </c>
      <c r="H251" s="8" t="s">
        <v>824</v>
      </c>
      <c r="I251" s="8">
        <v>530.625</v>
      </c>
      <c r="J251" s="3">
        <f t="shared" si="3"/>
        <v>43747.423994328703</v>
      </c>
    </row>
    <row r="252" spans="1:10" x14ac:dyDescent="0.25">
      <c r="A252" s="5" t="s">
        <v>825</v>
      </c>
      <c r="B252" s="6">
        <v>406.25</v>
      </c>
      <c r="C252" s="6">
        <v>20.478950000000001</v>
      </c>
      <c r="D252" s="6">
        <v>93</v>
      </c>
      <c r="E252" s="6">
        <v>0</v>
      </c>
      <c r="F252" s="6">
        <v>0</v>
      </c>
      <c r="G252" s="6">
        <v>12</v>
      </c>
      <c r="H252" s="6" t="s">
        <v>826</v>
      </c>
      <c r="I252" s="6">
        <v>530.625</v>
      </c>
      <c r="J252" s="2">
        <f t="shared" si="3"/>
        <v>43747.424066562497</v>
      </c>
    </row>
    <row r="253" spans="1:10" x14ac:dyDescent="0.25">
      <c r="A253" s="7" t="s">
        <v>827</v>
      </c>
      <c r="B253" s="8">
        <v>406.25</v>
      </c>
      <c r="C253" s="8">
        <v>20.478950000000001</v>
      </c>
      <c r="D253" s="8">
        <v>93</v>
      </c>
      <c r="E253" s="8">
        <v>0</v>
      </c>
      <c r="F253" s="8">
        <v>0</v>
      </c>
      <c r="G253" s="8">
        <v>5</v>
      </c>
      <c r="H253" s="8" t="s">
        <v>828</v>
      </c>
      <c r="I253" s="8">
        <v>530.625</v>
      </c>
      <c r="J253" s="3">
        <f t="shared" si="3"/>
        <v>43747.424137581016</v>
      </c>
    </row>
    <row r="254" spans="1:10" x14ac:dyDescent="0.25">
      <c r="A254" s="5" t="s">
        <v>829</v>
      </c>
      <c r="B254" s="6">
        <v>406.25</v>
      </c>
      <c r="C254" s="6">
        <v>20.531590000000001</v>
      </c>
      <c r="D254" s="6">
        <v>94</v>
      </c>
      <c r="E254" s="6">
        <v>0</v>
      </c>
      <c r="F254" s="6">
        <v>0</v>
      </c>
      <c r="G254" s="6">
        <v>7</v>
      </c>
      <c r="H254" s="6" t="s">
        <v>830</v>
      </c>
      <c r="I254" s="6">
        <v>530.625</v>
      </c>
      <c r="J254" s="2">
        <f t="shared" si="3"/>
        <v>43747.424208865741</v>
      </c>
    </row>
    <row r="255" spans="1:10" x14ac:dyDescent="0.25">
      <c r="A255" s="7" t="s">
        <v>831</v>
      </c>
      <c r="B255" s="8">
        <v>403.125</v>
      </c>
      <c r="C255" s="8">
        <v>20.478950000000001</v>
      </c>
      <c r="D255" s="8">
        <v>94</v>
      </c>
      <c r="E255" s="8">
        <v>0</v>
      </c>
      <c r="F255" s="8">
        <v>0</v>
      </c>
      <c r="G255" s="8">
        <v>10</v>
      </c>
      <c r="H255" s="8" t="s">
        <v>832</v>
      </c>
      <c r="I255" s="8">
        <v>529.875</v>
      </c>
      <c r="J255" s="3">
        <f t="shared" si="3"/>
        <v>43747.424280497682</v>
      </c>
    </row>
    <row r="256" spans="1:10" x14ac:dyDescent="0.25">
      <c r="A256" s="5" t="s">
        <v>833</v>
      </c>
      <c r="B256" s="6">
        <v>403.125</v>
      </c>
      <c r="C256" s="6">
        <v>20.531590000000001</v>
      </c>
      <c r="D256" s="6">
        <v>96</v>
      </c>
      <c r="E256" s="6">
        <v>0</v>
      </c>
      <c r="F256" s="6">
        <v>0</v>
      </c>
      <c r="G256" s="6">
        <v>2</v>
      </c>
      <c r="H256" s="6" t="s">
        <v>834</v>
      </c>
      <c r="I256" s="6">
        <v>529.875</v>
      </c>
      <c r="J256" s="2">
        <f t="shared" si="3"/>
        <v>43747.424352199072</v>
      </c>
    </row>
    <row r="257" spans="1:10" x14ac:dyDescent="0.25">
      <c r="A257" s="7" t="s">
        <v>835</v>
      </c>
      <c r="B257" s="8">
        <v>403.125</v>
      </c>
      <c r="C257" s="8">
        <v>20.478950000000001</v>
      </c>
      <c r="D257" s="8">
        <v>98</v>
      </c>
      <c r="E257" s="8">
        <v>0</v>
      </c>
      <c r="F257" s="8">
        <v>0</v>
      </c>
      <c r="G257" s="8">
        <v>9</v>
      </c>
      <c r="H257" s="8" t="s">
        <v>836</v>
      </c>
      <c r="I257" s="8">
        <v>529.875</v>
      </c>
      <c r="J257" s="3">
        <f t="shared" si="3"/>
        <v>43747.424423877317</v>
      </c>
    </row>
    <row r="258" spans="1:10" x14ac:dyDescent="0.25">
      <c r="A258" s="5" t="s">
        <v>837</v>
      </c>
      <c r="B258" s="6">
        <v>421.875</v>
      </c>
      <c r="C258" s="6">
        <v>20.478950000000001</v>
      </c>
      <c r="D258" s="6">
        <v>96</v>
      </c>
      <c r="E258" s="6">
        <v>0</v>
      </c>
      <c r="F258" s="6">
        <v>0</v>
      </c>
      <c r="G258" s="6">
        <v>5</v>
      </c>
      <c r="H258" s="6" t="s">
        <v>838</v>
      </c>
      <c r="I258" s="6">
        <v>535.5</v>
      </c>
      <c r="J258" s="2">
        <f t="shared" ref="J258:J321" si="4">(H258/86400000)+25569+(7/24)</f>
        <v>43747.42449528935</v>
      </c>
    </row>
    <row r="259" spans="1:10" x14ac:dyDescent="0.25">
      <c r="A259" s="7" t="s">
        <v>839</v>
      </c>
      <c r="B259" s="8">
        <v>403.125</v>
      </c>
      <c r="C259" s="8">
        <v>20.478950000000001</v>
      </c>
      <c r="D259" s="8">
        <v>93</v>
      </c>
      <c r="E259" s="8">
        <v>0</v>
      </c>
      <c r="F259" s="8">
        <v>0</v>
      </c>
      <c r="G259" s="8">
        <v>3</v>
      </c>
      <c r="H259" s="8" t="s">
        <v>840</v>
      </c>
      <c r="I259" s="8">
        <v>529.875</v>
      </c>
      <c r="J259" s="3">
        <f t="shared" si="4"/>
        <v>43747.424578518512</v>
      </c>
    </row>
    <row r="260" spans="1:10" x14ac:dyDescent="0.25">
      <c r="A260" s="7" t="s">
        <v>841</v>
      </c>
      <c r="B260" s="8">
        <v>393.75</v>
      </c>
      <c r="C260" s="8">
        <v>20.531590000000001</v>
      </c>
      <c r="D260" s="8">
        <v>82</v>
      </c>
      <c r="E260" s="8">
        <v>0</v>
      </c>
      <c r="F260" s="8">
        <v>0</v>
      </c>
      <c r="G260" s="8">
        <v>6</v>
      </c>
      <c r="H260" s="8">
        <v>1570592818500</v>
      </c>
      <c r="I260" s="8">
        <v>526.6875</v>
      </c>
      <c r="J260" s="3">
        <f t="shared" si="4"/>
        <v>43747.449288194439</v>
      </c>
    </row>
    <row r="261" spans="1:10" x14ac:dyDescent="0.25">
      <c r="A261" s="5" t="s">
        <v>842</v>
      </c>
      <c r="B261" s="6">
        <v>393.75</v>
      </c>
      <c r="C261" s="6">
        <v>20.478950000000001</v>
      </c>
      <c r="D261" s="6">
        <v>82</v>
      </c>
      <c r="E261" s="6">
        <v>0</v>
      </c>
      <c r="F261" s="6">
        <v>0</v>
      </c>
      <c r="G261" s="6">
        <v>3</v>
      </c>
      <c r="H261" s="6" t="s">
        <v>843</v>
      </c>
      <c r="I261" s="6">
        <v>526.6875</v>
      </c>
      <c r="J261" s="2">
        <f t="shared" si="4"/>
        <v>43747.449371863426</v>
      </c>
    </row>
    <row r="262" spans="1:10" x14ac:dyDescent="0.25">
      <c r="A262" s="7" t="s">
        <v>844</v>
      </c>
      <c r="B262" s="8">
        <v>421.875</v>
      </c>
      <c r="C262" s="8">
        <v>20.531590000000001</v>
      </c>
      <c r="D262" s="8">
        <v>82</v>
      </c>
      <c r="E262" s="8">
        <v>0</v>
      </c>
      <c r="F262" s="8">
        <v>0</v>
      </c>
      <c r="G262" s="8">
        <v>8</v>
      </c>
      <c r="H262" s="8" t="s">
        <v>845</v>
      </c>
      <c r="I262" s="8">
        <v>535.6875</v>
      </c>
      <c r="J262" s="3">
        <f t="shared" si="4"/>
        <v>43747.449443287034</v>
      </c>
    </row>
    <row r="263" spans="1:10" x14ac:dyDescent="0.25">
      <c r="A263" s="5" t="s">
        <v>846</v>
      </c>
      <c r="B263" s="6">
        <v>393.75</v>
      </c>
      <c r="C263" s="6">
        <v>20.478950000000001</v>
      </c>
      <c r="D263" s="6">
        <v>82</v>
      </c>
      <c r="E263" s="6">
        <v>0</v>
      </c>
      <c r="F263" s="6">
        <v>0</v>
      </c>
      <c r="G263" s="6">
        <v>8</v>
      </c>
      <c r="H263" s="6" t="s">
        <v>847</v>
      </c>
      <c r="I263" s="6">
        <v>526.6875</v>
      </c>
      <c r="J263" s="2">
        <f t="shared" si="4"/>
        <v>43747.449526655088</v>
      </c>
    </row>
    <row r="264" spans="1:10" x14ac:dyDescent="0.25">
      <c r="A264" s="7" t="s">
        <v>848</v>
      </c>
      <c r="B264" s="8">
        <v>393.75</v>
      </c>
      <c r="C264" s="8">
        <v>20.478950000000001</v>
      </c>
      <c r="D264" s="8">
        <v>83</v>
      </c>
      <c r="E264" s="8">
        <v>0</v>
      </c>
      <c r="F264" s="8">
        <v>0</v>
      </c>
      <c r="G264" s="8">
        <v>9</v>
      </c>
      <c r="H264" s="8" t="s">
        <v>849</v>
      </c>
      <c r="I264" s="8">
        <v>526.5</v>
      </c>
      <c r="J264" s="3">
        <f t="shared" si="4"/>
        <v>43747.449610312498</v>
      </c>
    </row>
    <row r="265" spans="1:10" x14ac:dyDescent="0.25">
      <c r="A265" s="5" t="s">
        <v>850</v>
      </c>
      <c r="B265" s="6">
        <v>393.75</v>
      </c>
      <c r="C265" s="6">
        <v>20.531590000000001</v>
      </c>
      <c r="D265" s="6">
        <v>84</v>
      </c>
      <c r="E265" s="6">
        <v>0</v>
      </c>
      <c r="F265" s="6">
        <v>0</v>
      </c>
      <c r="G265" s="6">
        <v>3</v>
      </c>
      <c r="H265" s="6" t="s">
        <v>851</v>
      </c>
      <c r="I265" s="6">
        <v>526.6875</v>
      </c>
      <c r="J265" s="2">
        <f t="shared" si="4"/>
        <v>43747.44969700231</v>
      </c>
    </row>
    <row r="266" spans="1:10" x14ac:dyDescent="0.25">
      <c r="A266" s="7" t="s">
        <v>852</v>
      </c>
      <c r="B266" s="8">
        <v>393.75</v>
      </c>
      <c r="C266" s="8">
        <v>20.531590000000001</v>
      </c>
      <c r="D266" s="8">
        <v>84</v>
      </c>
      <c r="E266" s="8">
        <v>0</v>
      </c>
      <c r="F266" s="8">
        <v>0</v>
      </c>
      <c r="G266" s="8">
        <v>2</v>
      </c>
      <c r="H266" s="8" t="s">
        <v>853</v>
      </c>
      <c r="I266" s="8">
        <v>526.6875</v>
      </c>
      <c r="J266" s="3">
        <f t="shared" si="4"/>
        <v>43747.449777233793</v>
      </c>
    </row>
    <row r="267" spans="1:10" x14ac:dyDescent="0.25">
      <c r="A267" s="5" t="s">
        <v>854</v>
      </c>
      <c r="B267" s="6">
        <v>418.75</v>
      </c>
      <c r="C267" s="6">
        <v>20.478950000000001</v>
      </c>
      <c r="D267" s="6">
        <v>85</v>
      </c>
      <c r="E267" s="6">
        <v>0</v>
      </c>
      <c r="F267" s="6">
        <v>0</v>
      </c>
      <c r="G267" s="6">
        <v>4</v>
      </c>
      <c r="H267" s="6" t="s">
        <v>855</v>
      </c>
      <c r="I267" s="6">
        <v>534.375</v>
      </c>
      <c r="J267" s="2">
        <f t="shared" si="4"/>
        <v>43747.44986079861</v>
      </c>
    </row>
    <row r="268" spans="1:10" x14ac:dyDescent="0.25">
      <c r="A268" s="7" t="s">
        <v>856</v>
      </c>
      <c r="B268" s="8">
        <v>393.75</v>
      </c>
      <c r="C268" s="8">
        <v>20.478950000000001</v>
      </c>
      <c r="D268" s="8">
        <v>90</v>
      </c>
      <c r="E268" s="8">
        <v>0</v>
      </c>
      <c r="F268" s="8">
        <v>0</v>
      </c>
      <c r="G268" s="8">
        <v>1</v>
      </c>
      <c r="H268" s="8" t="s">
        <v>857</v>
      </c>
      <c r="I268" s="8">
        <v>526.6875</v>
      </c>
      <c r="J268" s="3">
        <f t="shared" si="4"/>
        <v>43747.449932210649</v>
      </c>
    </row>
    <row r="269" spans="1:10" x14ac:dyDescent="0.25">
      <c r="A269" s="5" t="s">
        <v>858</v>
      </c>
      <c r="B269" s="6">
        <v>393.75</v>
      </c>
      <c r="C269" s="6">
        <v>20.531590000000001</v>
      </c>
      <c r="D269" s="6">
        <v>90</v>
      </c>
      <c r="E269" s="6">
        <v>0</v>
      </c>
      <c r="F269" s="6">
        <v>0</v>
      </c>
      <c r="G269" s="6">
        <v>0</v>
      </c>
      <c r="H269" s="6" t="s">
        <v>859</v>
      </c>
      <c r="I269" s="6">
        <v>526.6875</v>
      </c>
      <c r="J269" s="2">
        <f t="shared" si="4"/>
        <v>43747.450015532406</v>
      </c>
    </row>
    <row r="270" spans="1:10" x14ac:dyDescent="0.25">
      <c r="A270" s="7" t="s">
        <v>860</v>
      </c>
      <c r="B270" s="8">
        <v>412.5</v>
      </c>
      <c r="C270" s="8">
        <v>20.478950000000001</v>
      </c>
      <c r="D270" s="8">
        <v>90</v>
      </c>
      <c r="E270" s="8">
        <v>0</v>
      </c>
      <c r="F270" s="8">
        <v>0</v>
      </c>
      <c r="G270" s="8">
        <v>0</v>
      </c>
      <c r="H270" s="8" t="s">
        <v>861</v>
      </c>
      <c r="I270" s="8">
        <v>532.125</v>
      </c>
      <c r="J270" s="3">
        <f t="shared" si="4"/>
        <v>43747.450087175923</v>
      </c>
    </row>
    <row r="271" spans="1:10" x14ac:dyDescent="0.25">
      <c r="A271" s="5" t="s">
        <v>862</v>
      </c>
      <c r="B271" s="6">
        <v>393.75</v>
      </c>
      <c r="C271" s="6">
        <v>20.478950000000001</v>
      </c>
      <c r="D271" s="6">
        <v>87</v>
      </c>
      <c r="E271" s="6">
        <v>0</v>
      </c>
      <c r="F271" s="6">
        <v>0</v>
      </c>
      <c r="G271" s="6">
        <v>9</v>
      </c>
      <c r="H271" s="6" t="s">
        <v>863</v>
      </c>
      <c r="I271" s="6">
        <v>526.5</v>
      </c>
      <c r="J271" s="2">
        <f t="shared" si="4"/>
        <v>43747.45017074074</v>
      </c>
    </row>
    <row r="272" spans="1:10" x14ac:dyDescent="0.25">
      <c r="A272" s="7" t="s">
        <v>864</v>
      </c>
      <c r="B272" s="8">
        <v>393.75</v>
      </c>
      <c r="C272" s="8">
        <v>20.531590000000001</v>
      </c>
      <c r="D272" s="8">
        <v>82</v>
      </c>
      <c r="E272" s="8">
        <v>0</v>
      </c>
      <c r="F272" s="8">
        <v>0</v>
      </c>
      <c r="G272" s="8">
        <v>1</v>
      </c>
      <c r="H272" s="8" t="s">
        <v>865</v>
      </c>
      <c r="I272" s="8">
        <v>526.6875</v>
      </c>
      <c r="J272" s="3">
        <f t="shared" si="4"/>
        <v>43747.450242280094</v>
      </c>
    </row>
    <row r="273" spans="1:10" x14ac:dyDescent="0.25">
      <c r="A273" s="5" t="s">
        <v>866</v>
      </c>
      <c r="B273" s="6">
        <v>393.75</v>
      </c>
      <c r="C273" s="6">
        <v>20.478950000000001</v>
      </c>
      <c r="D273" s="6">
        <v>82</v>
      </c>
      <c r="E273" s="6">
        <v>0</v>
      </c>
      <c r="F273" s="6">
        <v>0</v>
      </c>
      <c r="G273" s="6">
        <v>9</v>
      </c>
      <c r="H273" s="6" t="s">
        <v>867</v>
      </c>
      <c r="I273" s="6">
        <v>526.6875</v>
      </c>
      <c r="J273" s="2">
        <f t="shared" si="4"/>
        <v>43747.45033777778</v>
      </c>
    </row>
    <row r="274" spans="1:10" x14ac:dyDescent="0.25">
      <c r="A274" s="7" t="s">
        <v>868</v>
      </c>
      <c r="B274" s="8">
        <v>393.75</v>
      </c>
      <c r="C274" s="8">
        <v>20.478950000000001</v>
      </c>
      <c r="D274" s="8">
        <v>82</v>
      </c>
      <c r="E274" s="8">
        <v>0</v>
      </c>
      <c r="F274" s="8">
        <v>0</v>
      </c>
      <c r="G274" s="8">
        <v>11</v>
      </c>
      <c r="H274" s="8" t="s">
        <v>869</v>
      </c>
      <c r="I274" s="8">
        <v>526.6875</v>
      </c>
      <c r="J274" s="3">
        <f t="shared" si="4"/>
        <v>43747.450421215275</v>
      </c>
    </row>
    <row r="275" spans="1:10" x14ac:dyDescent="0.25">
      <c r="A275" s="5" t="s">
        <v>870</v>
      </c>
      <c r="B275" s="6">
        <v>415.625</v>
      </c>
      <c r="C275" s="6">
        <v>20.478950000000001</v>
      </c>
      <c r="D275" s="6">
        <v>83</v>
      </c>
      <c r="E275" s="6">
        <v>0</v>
      </c>
      <c r="F275" s="6">
        <v>0</v>
      </c>
      <c r="G275" s="6">
        <v>0</v>
      </c>
      <c r="H275" s="6" t="s">
        <v>871</v>
      </c>
      <c r="I275" s="6">
        <v>533.0625</v>
      </c>
      <c r="J275" s="2">
        <f t="shared" si="4"/>
        <v>43747.450504432869</v>
      </c>
    </row>
    <row r="276" spans="1:10" x14ac:dyDescent="0.25">
      <c r="A276" s="7" t="s">
        <v>872</v>
      </c>
      <c r="B276" s="8">
        <v>396.875</v>
      </c>
      <c r="C276" s="8">
        <v>20.478950000000001</v>
      </c>
      <c r="D276" s="8">
        <v>83</v>
      </c>
      <c r="E276" s="8">
        <v>0</v>
      </c>
      <c r="F276" s="8">
        <v>0</v>
      </c>
      <c r="G276" s="8">
        <v>0</v>
      </c>
      <c r="H276" s="8" t="s">
        <v>873</v>
      </c>
      <c r="I276" s="8">
        <v>527.4375</v>
      </c>
      <c r="J276" s="3">
        <f t="shared" si="4"/>
        <v>43747.450576076386</v>
      </c>
    </row>
    <row r="277" spans="1:10" x14ac:dyDescent="0.25">
      <c r="A277" s="5" t="s">
        <v>874</v>
      </c>
      <c r="B277" s="6">
        <v>393.75</v>
      </c>
      <c r="C277" s="6">
        <v>20.478950000000001</v>
      </c>
      <c r="D277" s="6">
        <v>86</v>
      </c>
      <c r="E277" s="6">
        <v>0</v>
      </c>
      <c r="F277" s="6">
        <v>0</v>
      </c>
      <c r="G277" s="6">
        <v>5</v>
      </c>
      <c r="H277" s="6" t="s">
        <v>875</v>
      </c>
      <c r="I277" s="6">
        <v>526.6875</v>
      </c>
      <c r="J277" s="2">
        <f t="shared" si="4"/>
        <v>43747.450659756942</v>
      </c>
    </row>
    <row r="278" spans="1:10" x14ac:dyDescent="0.25">
      <c r="A278" s="7" t="s">
        <v>876</v>
      </c>
      <c r="B278" s="8">
        <v>393.75</v>
      </c>
      <c r="C278" s="8">
        <v>20.531590000000001</v>
      </c>
      <c r="D278" s="8">
        <v>86</v>
      </c>
      <c r="E278" s="8">
        <v>0</v>
      </c>
      <c r="F278" s="8">
        <v>0</v>
      </c>
      <c r="G278" s="8">
        <v>3</v>
      </c>
      <c r="H278" s="8" t="s">
        <v>877</v>
      </c>
      <c r="I278" s="8">
        <v>526.5</v>
      </c>
      <c r="J278" s="3">
        <f t="shared" si="4"/>
        <v>43747.450743217589</v>
      </c>
    </row>
    <row r="279" spans="1:10" x14ac:dyDescent="0.25">
      <c r="A279" s="5" t="s">
        <v>878</v>
      </c>
      <c r="B279" s="6">
        <v>393.75</v>
      </c>
      <c r="C279" s="6">
        <v>20.478950000000001</v>
      </c>
      <c r="D279" s="6">
        <v>85</v>
      </c>
      <c r="E279" s="6">
        <v>0</v>
      </c>
      <c r="F279" s="6">
        <v>0</v>
      </c>
      <c r="G279" s="6">
        <v>7</v>
      </c>
      <c r="H279" s="6" t="s">
        <v>879</v>
      </c>
      <c r="I279" s="6">
        <v>526.5</v>
      </c>
      <c r="J279" s="2">
        <f t="shared" si="4"/>
        <v>43747.450839259262</v>
      </c>
    </row>
    <row r="280" spans="1:10" x14ac:dyDescent="0.25">
      <c r="A280" s="7" t="s">
        <v>880</v>
      </c>
      <c r="B280" s="8">
        <v>393.75</v>
      </c>
      <c r="C280" s="8">
        <v>20.478950000000001</v>
      </c>
      <c r="D280" s="8">
        <v>85</v>
      </c>
      <c r="E280" s="8">
        <v>0</v>
      </c>
      <c r="F280" s="8">
        <v>0</v>
      </c>
      <c r="G280" s="8">
        <v>12</v>
      </c>
      <c r="H280" s="8" t="s">
        <v>881</v>
      </c>
      <c r="I280" s="8">
        <v>526.6875</v>
      </c>
      <c r="J280" s="3">
        <f t="shared" si="4"/>
        <v>43747.450922164346</v>
      </c>
    </row>
    <row r="281" spans="1:10" x14ac:dyDescent="0.25">
      <c r="A281" s="5" t="s">
        <v>882</v>
      </c>
      <c r="B281" s="6">
        <v>393.75</v>
      </c>
      <c r="C281" s="6">
        <v>20.478950000000001</v>
      </c>
      <c r="D281" s="6">
        <v>86</v>
      </c>
      <c r="E281" s="6">
        <v>0</v>
      </c>
      <c r="F281" s="6">
        <v>0</v>
      </c>
      <c r="G281" s="6">
        <v>3</v>
      </c>
      <c r="H281" s="6" t="s">
        <v>883</v>
      </c>
      <c r="I281" s="6">
        <v>526.6875</v>
      </c>
      <c r="J281" s="2">
        <f t="shared" si="4"/>
        <v>43747.451005601848</v>
      </c>
    </row>
    <row r="282" spans="1:10" x14ac:dyDescent="0.25">
      <c r="A282" s="7" t="s">
        <v>884</v>
      </c>
      <c r="B282" s="8">
        <v>393.75</v>
      </c>
      <c r="C282" s="8">
        <v>20.531590000000001</v>
      </c>
      <c r="D282" s="8">
        <v>86</v>
      </c>
      <c r="E282" s="8">
        <v>0</v>
      </c>
      <c r="F282" s="8">
        <v>0</v>
      </c>
      <c r="G282" s="8">
        <v>6</v>
      </c>
      <c r="H282" s="8" t="s">
        <v>885</v>
      </c>
      <c r="I282" s="8">
        <v>526.6875</v>
      </c>
      <c r="J282" s="3">
        <f t="shared" si="4"/>
        <v>43747.45108903935</v>
      </c>
    </row>
    <row r="283" spans="1:10" x14ac:dyDescent="0.25">
      <c r="A283" s="5" t="s">
        <v>886</v>
      </c>
      <c r="B283" s="6">
        <v>393.75</v>
      </c>
      <c r="C283" s="6">
        <v>20.531590000000001</v>
      </c>
      <c r="D283" s="6">
        <v>86</v>
      </c>
      <c r="E283" s="6">
        <v>0</v>
      </c>
      <c r="F283" s="6">
        <v>0</v>
      </c>
      <c r="G283" s="6">
        <v>7</v>
      </c>
      <c r="H283" s="6" t="s">
        <v>887</v>
      </c>
      <c r="I283" s="6">
        <v>526.5</v>
      </c>
      <c r="J283" s="2">
        <f t="shared" si="4"/>
        <v>43747.451172488429</v>
      </c>
    </row>
    <row r="284" spans="1:10" x14ac:dyDescent="0.25">
      <c r="A284" s="7" t="s">
        <v>888</v>
      </c>
      <c r="B284" s="8">
        <v>415.625</v>
      </c>
      <c r="C284" s="8">
        <v>20.531590000000001</v>
      </c>
      <c r="D284" s="8">
        <v>84</v>
      </c>
      <c r="E284" s="8">
        <v>0</v>
      </c>
      <c r="F284" s="8">
        <v>0</v>
      </c>
      <c r="G284" s="8">
        <v>6</v>
      </c>
      <c r="H284" s="8" t="s">
        <v>889</v>
      </c>
      <c r="I284" s="8">
        <v>533.8125</v>
      </c>
      <c r="J284" s="3">
        <f t="shared" si="4"/>
        <v>43747.451255925924</v>
      </c>
    </row>
    <row r="285" spans="1:10" x14ac:dyDescent="0.25">
      <c r="A285" s="5" t="s">
        <v>890</v>
      </c>
      <c r="B285" s="6">
        <v>393.75</v>
      </c>
      <c r="C285" s="6">
        <v>20.478950000000001</v>
      </c>
      <c r="D285" s="6">
        <v>83</v>
      </c>
      <c r="E285" s="6">
        <v>0</v>
      </c>
      <c r="F285" s="6">
        <v>0</v>
      </c>
      <c r="G285" s="6">
        <v>9</v>
      </c>
      <c r="H285" s="6" t="s">
        <v>891</v>
      </c>
      <c r="I285" s="6">
        <v>526.6875</v>
      </c>
      <c r="J285" s="2">
        <f t="shared" si="4"/>
        <v>43747.451339502317</v>
      </c>
    </row>
    <row r="286" spans="1:10" x14ac:dyDescent="0.25">
      <c r="A286" s="7" t="s">
        <v>892</v>
      </c>
      <c r="B286" s="8">
        <v>393.75</v>
      </c>
      <c r="C286" s="8">
        <v>20.478950000000001</v>
      </c>
      <c r="D286" s="8">
        <v>84</v>
      </c>
      <c r="E286" s="8">
        <v>0</v>
      </c>
      <c r="F286" s="8">
        <v>0</v>
      </c>
      <c r="G286" s="8">
        <v>5</v>
      </c>
      <c r="H286" s="8" t="s">
        <v>893</v>
      </c>
      <c r="I286" s="8">
        <v>526.6875</v>
      </c>
      <c r="J286" s="3">
        <f t="shared" si="4"/>
        <v>43747.451422939812</v>
      </c>
    </row>
    <row r="287" spans="1:10" x14ac:dyDescent="0.25">
      <c r="A287" s="5" t="s">
        <v>894</v>
      </c>
      <c r="B287" s="6">
        <v>393.75</v>
      </c>
      <c r="C287" s="6">
        <v>20.478950000000001</v>
      </c>
      <c r="D287" s="6">
        <v>84</v>
      </c>
      <c r="E287" s="6">
        <v>0</v>
      </c>
      <c r="F287" s="6">
        <v>0</v>
      </c>
      <c r="G287" s="6">
        <v>6</v>
      </c>
      <c r="H287" s="6" t="s">
        <v>895</v>
      </c>
      <c r="I287" s="6">
        <v>526.6875</v>
      </c>
      <c r="J287" s="2">
        <f t="shared" si="4"/>
        <v>43747.45150638889</v>
      </c>
    </row>
    <row r="288" spans="1:10" x14ac:dyDescent="0.25">
      <c r="A288" s="7" t="s">
        <v>896</v>
      </c>
      <c r="B288" s="8">
        <v>393.75</v>
      </c>
      <c r="C288" s="8">
        <v>20.531590000000001</v>
      </c>
      <c r="D288" s="8">
        <v>85</v>
      </c>
      <c r="E288" s="8">
        <v>0</v>
      </c>
      <c r="F288" s="8">
        <v>0</v>
      </c>
      <c r="G288" s="8">
        <v>5</v>
      </c>
      <c r="H288" s="8" t="s">
        <v>897</v>
      </c>
      <c r="I288" s="8">
        <v>526.6875</v>
      </c>
      <c r="J288" s="3">
        <f t="shared" si="4"/>
        <v>43747.451589606477</v>
      </c>
    </row>
    <row r="289" spans="1:10" x14ac:dyDescent="0.25">
      <c r="A289" s="5" t="s">
        <v>898</v>
      </c>
      <c r="B289" s="6">
        <v>412.5</v>
      </c>
      <c r="C289" s="6">
        <v>20.531590000000001</v>
      </c>
      <c r="D289" s="6">
        <v>85</v>
      </c>
      <c r="E289" s="6">
        <v>0</v>
      </c>
      <c r="F289" s="6">
        <v>0</v>
      </c>
      <c r="G289" s="6">
        <v>6</v>
      </c>
      <c r="H289" s="6" t="s">
        <v>899</v>
      </c>
      <c r="I289" s="6">
        <v>532.125</v>
      </c>
      <c r="J289" s="2">
        <f t="shared" si="4"/>
        <v>43747.451661377308</v>
      </c>
    </row>
    <row r="290" spans="1:10" x14ac:dyDescent="0.25">
      <c r="A290" s="7" t="s">
        <v>900</v>
      </c>
      <c r="B290" s="8">
        <v>396.875</v>
      </c>
      <c r="C290" s="8">
        <v>20.478950000000001</v>
      </c>
      <c r="D290" s="8">
        <v>87</v>
      </c>
      <c r="E290" s="8">
        <v>0</v>
      </c>
      <c r="F290" s="8">
        <v>0</v>
      </c>
      <c r="G290" s="8">
        <v>5</v>
      </c>
      <c r="H290" s="8" t="s">
        <v>901</v>
      </c>
      <c r="I290" s="8">
        <v>527.4375</v>
      </c>
      <c r="J290" s="3">
        <f t="shared" si="4"/>
        <v>43747.451744930549</v>
      </c>
    </row>
    <row r="291" spans="1:10" x14ac:dyDescent="0.25">
      <c r="A291" s="5" t="s">
        <v>902</v>
      </c>
      <c r="B291" s="6">
        <v>396.875</v>
      </c>
      <c r="C291" s="6">
        <v>20.478950000000001</v>
      </c>
      <c r="D291" s="6">
        <v>87</v>
      </c>
      <c r="E291" s="6">
        <v>0</v>
      </c>
      <c r="F291" s="6">
        <v>0</v>
      </c>
      <c r="G291" s="6">
        <v>4</v>
      </c>
      <c r="H291" s="6" t="s">
        <v>903</v>
      </c>
      <c r="I291" s="6">
        <v>527.4375</v>
      </c>
      <c r="J291" s="2">
        <f t="shared" si="4"/>
        <v>43747.451828368052</v>
      </c>
    </row>
    <row r="292" spans="1:10" x14ac:dyDescent="0.25">
      <c r="A292" s="7" t="s">
        <v>904</v>
      </c>
      <c r="B292" s="8">
        <v>396.875</v>
      </c>
      <c r="C292" s="8">
        <v>20.478950000000001</v>
      </c>
      <c r="D292" s="8">
        <v>85</v>
      </c>
      <c r="E292" s="8">
        <v>0</v>
      </c>
      <c r="F292" s="8">
        <v>0</v>
      </c>
      <c r="G292" s="8">
        <v>0</v>
      </c>
      <c r="H292" s="8" t="s">
        <v>905</v>
      </c>
      <c r="I292" s="8">
        <v>527.4375</v>
      </c>
      <c r="J292" s="3">
        <f t="shared" si="4"/>
        <v>43747.451923749999</v>
      </c>
    </row>
    <row r="293" spans="1:10" x14ac:dyDescent="0.25">
      <c r="A293" s="5" t="s">
        <v>906</v>
      </c>
      <c r="B293" s="6">
        <v>396.875</v>
      </c>
      <c r="C293" s="6">
        <v>20.531590000000001</v>
      </c>
      <c r="D293" s="6">
        <v>85</v>
      </c>
      <c r="E293" s="6">
        <v>0</v>
      </c>
      <c r="F293" s="6">
        <v>0</v>
      </c>
      <c r="G293" s="6">
        <v>2</v>
      </c>
      <c r="H293" s="6" t="s">
        <v>907</v>
      </c>
      <c r="I293" s="6">
        <v>527.4375</v>
      </c>
      <c r="J293" s="2">
        <f t="shared" si="4"/>
        <v>43747.452019247685</v>
      </c>
    </row>
    <row r="294" spans="1:10" x14ac:dyDescent="0.25">
      <c r="A294" s="7" t="s">
        <v>908</v>
      </c>
      <c r="B294" s="8">
        <v>396.875</v>
      </c>
      <c r="C294" s="8">
        <v>20.531590000000001</v>
      </c>
      <c r="D294" s="8">
        <v>84</v>
      </c>
      <c r="E294" s="8">
        <v>0</v>
      </c>
      <c r="F294" s="8">
        <v>0</v>
      </c>
      <c r="G294" s="8">
        <v>0</v>
      </c>
      <c r="H294" s="8" t="s">
        <v>909</v>
      </c>
      <c r="I294" s="8">
        <v>527.4375</v>
      </c>
      <c r="J294" s="3">
        <f t="shared" si="4"/>
        <v>43747.452090659724</v>
      </c>
    </row>
    <row r="295" spans="1:10" x14ac:dyDescent="0.25">
      <c r="A295" s="5" t="s">
        <v>910</v>
      </c>
      <c r="B295" s="6">
        <v>396.875</v>
      </c>
      <c r="C295" s="6">
        <v>20.478950000000001</v>
      </c>
      <c r="D295" s="6">
        <v>84</v>
      </c>
      <c r="E295" s="6">
        <v>0</v>
      </c>
      <c r="F295" s="6">
        <v>0</v>
      </c>
      <c r="G295" s="6">
        <v>4</v>
      </c>
      <c r="H295" s="6" t="s">
        <v>911</v>
      </c>
      <c r="I295" s="6">
        <v>527.4375</v>
      </c>
      <c r="J295" s="2">
        <f t="shared" si="4"/>
        <v>43747.452162291665</v>
      </c>
    </row>
    <row r="296" spans="1:10" x14ac:dyDescent="0.25">
      <c r="A296" s="7" t="s">
        <v>912</v>
      </c>
      <c r="B296" s="8">
        <v>418.75</v>
      </c>
      <c r="C296" s="8">
        <v>20.531590000000001</v>
      </c>
      <c r="D296" s="8">
        <v>84</v>
      </c>
      <c r="E296" s="8">
        <v>0</v>
      </c>
      <c r="F296" s="8">
        <v>0</v>
      </c>
      <c r="G296" s="8">
        <v>0</v>
      </c>
      <c r="H296" s="8" t="s">
        <v>913</v>
      </c>
      <c r="I296" s="8">
        <v>534.1875</v>
      </c>
      <c r="J296" s="3">
        <f t="shared" si="4"/>
        <v>43747.452245879627</v>
      </c>
    </row>
    <row r="297" spans="1:10" x14ac:dyDescent="0.25">
      <c r="A297" s="5" t="s">
        <v>914</v>
      </c>
      <c r="B297" s="6">
        <v>396.875</v>
      </c>
      <c r="C297" s="6">
        <v>20.531590000000001</v>
      </c>
      <c r="D297" s="6">
        <v>82</v>
      </c>
      <c r="E297" s="6">
        <v>0</v>
      </c>
      <c r="F297" s="6">
        <v>0</v>
      </c>
      <c r="G297" s="6">
        <v>4</v>
      </c>
      <c r="H297" s="6" t="s">
        <v>915</v>
      </c>
      <c r="I297" s="6">
        <v>527.4375</v>
      </c>
      <c r="J297" s="2">
        <f t="shared" si="4"/>
        <v>43747.452329409723</v>
      </c>
    </row>
    <row r="298" spans="1:10" x14ac:dyDescent="0.25">
      <c r="A298" s="7" t="s">
        <v>916</v>
      </c>
      <c r="B298" s="8">
        <v>396.875</v>
      </c>
      <c r="C298" s="8">
        <v>20.531590000000001</v>
      </c>
      <c r="D298" s="8">
        <v>81</v>
      </c>
      <c r="E298" s="8">
        <v>0</v>
      </c>
      <c r="F298" s="8">
        <v>0</v>
      </c>
      <c r="G298" s="8">
        <v>6</v>
      </c>
      <c r="H298" s="8" t="s">
        <v>917</v>
      </c>
      <c r="I298" s="8">
        <v>527.4375</v>
      </c>
      <c r="J298" s="3">
        <f t="shared" si="4"/>
        <v>43747.452412766201</v>
      </c>
    </row>
    <row r="299" spans="1:10" x14ac:dyDescent="0.25">
      <c r="A299" s="5" t="s">
        <v>918</v>
      </c>
      <c r="B299" s="6">
        <v>396.875</v>
      </c>
      <c r="C299" s="6">
        <v>20.531590000000001</v>
      </c>
      <c r="D299" s="6">
        <v>82</v>
      </c>
      <c r="E299" s="6">
        <v>0</v>
      </c>
      <c r="F299" s="6">
        <v>0</v>
      </c>
      <c r="G299" s="6">
        <v>1</v>
      </c>
      <c r="H299" s="6" t="s">
        <v>919</v>
      </c>
      <c r="I299" s="6">
        <v>527.4375</v>
      </c>
      <c r="J299" s="2">
        <f t="shared" si="4"/>
        <v>43747.452496238424</v>
      </c>
    </row>
    <row r="300" spans="1:10" x14ac:dyDescent="0.25">
      <c r="A300" s="7" t="s">
        <v>920</v>
      </c>
      <c r="B300" s="8">
        <v>396.875</v>
      </c>
      <c r="C300" s="8">
        <v>20.478950000000001</v>
      </c>
      <c r="D300" s="8">
        <v>82</v>
      </c>
      <c r="E300" s="8">
        <v>0</v>
      </c>
      <c r="F300" s="8">
        <v>0</v>
      </c>
      <c r="G300" s="8">
        <v>1</v>
      </c>
      <c r="H300" s="8" t="s">
        <v>921</v>
      </c>
      <c r="I300" s="8">
        <v>527.625</v>
      </c>
      <c r="J300" s="3">
        <f t="shared" si="4"/>
        <v>43747.452579652774</v>
      </c>
    </row>
    <row r="301" spans="1:10" x14ac:dyDescent="0.25">
      <c r="A301" s="5" t="s">
        <v>922</v>
      </c>
      <c r="B301" s="6">
        <v>396.875</v>
      </c>
      <c r="C301" s="6">
        <v>20.478950000000001</v>
      </c>
      <c r="D301" s="6">
        <v>82</v>
      </c>
      <c r="E301" s="6">
        <v>0</v>
      </c>
      <c r="F301" s="6">
        <v>0</v>
      </c>
      <c r="G301" s="6">
        <v>0</v>
      </c>
      <c r="H301" s="6" t="s">
        <v>923</v>
      </c>
      <c r="I301" s="6">
        <v>527.625</v>
      </c>
      <c r="J301" s="2">
        <f t="shared" si="4"/>
        <v>43747.452663217591</v>
      </c>
    </row>
    <row r="302" spans="1:10" x14ac:dyDescent="0.25">
      <c r="A302" s="7" t="s">
        <v>924</v>
      </c>
      <c r="B302" s="8">
        <v>396.875</v>
      </c>
      <c r="C302" s="8">
        <v>20.531590000000001</v>
      </c>
      <c r="D302" s="8">
        <v>83</v>
      </c>
      <c r="E302" s="8">
        <v>0</v>
      </c>
      <c r="F302" s="8">
        <v>0</v>
      </c>
      <c r="G302" s="8">
        <v>0</v>
      </c>
      <c r="H302" s="8" t="s">
        <v>925</v>
      </c>
      <c r="I302" s="8">
        <v>527.4375</v>
      </c>
      <c r="J302" s="3">
        <f t="shared" si="4"/>
        <v>43747.452746689807</v>
      </c>
    </row>
    <row r="303" spans="1:10" x14ac:dyDescent="0.25">
      <c r="A303" s="5" t="s">
        <v>926</v>
      </c>
      <c r="B303" s="6">
        <v>415.625</v>
      </c>
      <c r="C303" s="6">
        <v>20.478950000000001</v>
      </c>
      <c r="D303" s="6">
        <v>84</v>
      </c>
      <c r="E303" s="6">
        <v>0</v>
      </c>
      <c r="F303" s="6">
        <v>0</v>
      </c>
      <c r="G303" s="6">
        <v>10</v>
      </c>
      <c r="H303" s="6" t="s">
        <v>927</v>
      </c>
      <c r="I303" s="6">
        <v>533.0625</v>
      </c>
      <c r="J303" s="2">
        <f t="shared" si="4"/>
        <v>43747.452830138885</v>
      </c>
    </row>
    <row r="304" spans="1:10" x14ac:dyDescent="0.25">
      <c r="A304" s="7" t="s">
        <v>928</v>
      </c>
      <c r="B304" s="8">
        <v>396.875</v>
      </c>
      <c r="C304" s="8">
        <v>20.584240000000001</v>
      </c>
      <c r="D304" s="8">
        <v>84</v>
      </c>
      <c r="E304" s="8">
        <v>0</v>
      </c>
      <c r="F304" s="8">
        <v>0</v>
      </c>
      <c r="G304" s="8">
        <v>6</v>
      </c>
      <c r="H304" s="8" t="s">
        <v>929</v>
      </c>
      <c r="I304" s="8">
        <v>527.4375</v>
      </c>
      <c r="J304" s="3">
        <f t="shared" si="4"/>
        <v>43747.452913564812</v>
      </c>
    </row>
    <row r="305" spans="1:10" x14ac:dyDescent="0.25">
      <c r="A305" s="5" t="s">
        <v>930</v>
      </c>
      <c r="B305" s="6">
        <v>396.875</v>
      </c>
      <c r="C305" s="6">
        <v>20.531590000000001</v>
      </c>
      <c r="D305" s="6">
        <v>84</v>
      </c>
      <c r="E305" s="6">
        <v>0</v>
      </c>
      <c r="F305" s="6">
        <v>0</v>
      </c>
      <c r="G305" s="6">
        <v>0</v>
      </c>
      <c r="H305" s="6" t="s">
        <v>931</v>
      </c>
      <c r="I305" s="6">
        <v>527.4375</v>
      </c>
      <c r="J305" s="2">
        <f t="shared" si="4"/>
        <v>43747.452997037035</v>
      </c>
    </row>
    <row r="306" spans="1:10" x14ac:dyDescent="0.25">
      <c r="A306" s="7" t="s">
        <v>932</v>
      </c>
      <c r="B306" s="8">
        <v>396.875</v>
      </c>
      <c r="C306" s="8">
        <v>20.478950000000001</v>
      </c>
      <c r="D306" s="8">
        <v>84</v>
      </c>
      <c r="E306" s="8">
        <v>0</v>
      </c>
      <c r="F306" s="8">
        <v>0</v>
      </c>
      <c r="G306" s="8">
        <v>6</v>
      </c>
      <c r="H306" s="8" t="s">
        <v>933</v>
      </c>
      <c r="I306" s="8">
        <v>527.4375</v>
      </c>
      <c r="J306" s="3">
        <f t="shared" si="4"/>
        <v>43747.453080497682</v>
      </c>
    </row>
    <row r="307" spans="1:10" x14ac:dyDescent="0.25">
      <c r="A307" s="5" t="s">
        <v>934</v>
      </c>
      <c r="B307" s="6">
        <v>393.75</v>
      </c>
      <c r="C307" s="6">
        <v>20.478950000000001</v>
      </c>
      <c r="D307" s="6">
        <v>78</v>
      </c>
      <c r="E307" s="6">
        <v>0</v>
      </c>
      <c r="F307" s="6">
        <v>0</v>
      </c>
      <c r="G307" s="6">
        <v>10</v>
      </c>
      <c r="H307" s="6" t="s">
        <v>935</v>
      </c>
      <c r="I307" s="6">
        <v>526.6875</v>
      </c>
      <c r="J307" s="2">
        <f t="shared" si="4"/>
        <v>43747.453163715276</v>
      </c>
    </row>
    <row r="308" spans="1:10" x14ac:dyDescent="0.25">
      <c r="A308" s="7" t="s">
        <v>936</v>
      </c>
      <c r="B308" s="8">
        <v>393.75</v>
      </c>
      <c r="C308" s="8">
        <v>20.478950000000001</v>
      </c>
      <c r="D308" s="8">
        <v>78</v>
      </c>
      <c r="E308" s="8">
        <v>0</v>
      </c>
      <c r="F308" s="8">
        <v>0</v>
      </c>
      <c r="G308" s="8">
        <v>0</v>
      </c>
      <c r="H308" s="8" t="s">
        <v>937</v>
      </c>
      <c r="I308" s="8">
        <v>526.6875</v>
      </c>
      <c r="J308" s="3">
        <f t="shared" si="4"/>
        <v>43747.453235787034</v>
      </c>
    </row>
    <row r="309" spans="1:10" x14ac:dyDescent="0.25">
      <c r="A309" s="5" t="s">
        <v>938</v>
      </c>
      <c r="B309" s="6">
        <v>393.75</v>
      </c>
      <c r="C309" s="6">
        <v>20.478950000000001</v>
      </c>
      <c r="D309" s="6">
        <v>79</v>
      </c>
      <c r="E309" s="6">
        <v>0</v>
      </c>
      <c r="F309" s="6">
        <v>0</v>
      </c>
      <c r="G309" s="6">
        <v>8</v>
      </c>
      <c r="H309" s="6" t="s">
        <v>939</v>
      </c>
      <c r="I309" s="6">
        <v>526.5</v>
      </c>
      <c r="J309" s="2">
        <f t="shared" si="4"/>
        <v>43747.453319259257</v>
      </c>
    </row>
    <row r="310" spans="1:10" x14ac:dyDescent="0.25">
      <c r="A310" s="7" t="s">
        <v>940</v>
      </c>
      <c r="B310" s="8">
        <v>393.75</v>
      </c>
      <c r="C310" s="8">
        <v>20.478950000000001</v>
      </c>
      <c r="D310" s="8">
        <v>79</v>
      </c>
      <c r="E310" s="8">
        <v>0</v>
      </c>
      <c r="F310" s="8">
        <v>0</v>
      </c>
      <c r="G310" s="8">
        <v>16</v>
      </c>
      <c r="H310" s="8" t="s">
        <v>941</v>
      </c>
      <c r="I310" s="8">
        <v>526.6875</v>
      </c>
      <c r="J310" s="3">
        <f t="shared" si="4"/>
        <v>43747.45340259259</v>
      </c>
    </row>
    <row r="311" spans="1:10" x14ac:dyDescent="0.25">
      <c r="A311" s="5" t="s">
        <v>942</v>
      </c>
      <c r="B311" s="6">
        <v>393.75</v>
      </c>
      <c r="C311" s="6">
        <v>20.478950000000001</v>
      </c>
      <c r="D311" s="6">
        <v>80</v>
      </c>
      <c r="E311" s="6">
        <v>0</v>
      </c>
      <c r="F311" s="6">
        <v>0</v>
      </c>
      <c r="G311" s="6">
        <v>10</v>
      </c>
      <c r="H311" s="6" t="s">
        <v>943</v>
      </c>
      <c r="I311" s="6">
        <v>526.6875</v>
      </c>
      <c r="J311" s="2">
        <f t="shared" si="4"/>
        <v>43747.453485925922</v>
      </c>
    </row>
    <row r="312" spans="1:10" x14ac:dyDescent="0.25">
      <c r="A312" s="7" t="s">
        <v>944</v>
      </c>
      <c r="B312" s="8">
        <v>393.75</v>
      </c>
      <c r="C312" s="8">
        <v>20.478950000000001</v>
      </c>
      <c r="D312" s="8">
        <v>84</v>
      </c>
      <c r="E312" s="8">
        <v>0</v>
      </c>
      <c r="F312" s="8">
        <v>0</v>
      </c>
      <c r="G312" s="8">
        <v>8</v>
      </c>
      <c r="H312" s="8" t="s">
        <v>945</v>
      </c>
      <c r="I312" s="8">
        <v>526.5</v>
      </c>
      <c r="J312" s="3">
        <f t="shared" si="4"/>
        <v>43747.453569502315</v>
      </c>
    </row>
    <row r="313" spans="1:10" x14ac:dyDescent="0.25">
      <c r="A313" s="5" t="s">
        <v>946</v>
      </c>
      <c r="B313" s="6">
        <v>393.75</v>
      </c>
      <c r="C313" s="6">
        <v>20.478950000000001</v>
      </c>
      <c r="D313" s="6">
        <v>84</v>
      </c>
      <c r="E313" s="6">
        <v>0</v>
      </c>
      <c r="F313" s="6">
        <v>0</v>
      </c>
      <c r="G313" s="6">
        <v>3</v>
      </c>
      <c r="H313" s="6" t="s">
        <v>947</v>
      </c>
      <c r="I313" s="6">
        <v>526.6875</v>
      </c>
      <c r="J313" s="2">
        <f t="shared" si="4"/>
        <v>43747.453664513887</v>
      </c>
    </row>
    <row r="314" spans="1:10" x14ac:dyDescent="0.25">
      <c r="A314" s="7" t="s">
        <v>948</v>
      </c>
      <c r="B314" s="8">
        <v>393.75</v>
      </c>
      <c r="C314" s="8">
        <v>20.531590000000001</v>
      </c>
      <c r="D314" s="8">
        <v>79</v>
      </c>
      <c r="E314" s="8">
        <v>0</v>
      </c>
      <c r="F314" s="8">
        <v>0</v>
      </c>
      <c r="G314" s="8">
        <v>8</v>
      </c>
      <c r="H314" s="8" t="s">
        <v>949</v>
      </c>
      <c r="I314" s="8">
        <v>526.6875</v>
      </c>
      <c r="J314" s="3">
        <f t="shared" si="4"/>
        <v>43747.453736504627</v>
      </c>
    </row>
    <row r="315" spans="1:10" x14ac:dyDescent="0.25">
      <c r="A315" s="5" t="s">
        <v>950</v>
      </c>
      <c r="B315" s="6">
        <v>412.5</v>
      </c>
      <c r="C315" s="6">
        <v>20.531590000000001</v>
      </c>
      <c r="D315" s="6">
        <v>79</v>
      </c>
      <c r="E315" s="6">
        <v>0</v>
      </c>
      <c r="F315" s="6">
        <v>0</v>
      </c>
      <c r="G315" s="6">
        <v>6</v>
      </c>
      <c r="H315" s="6" t="s">
        <v>951</v>
      </c>
      <c r="I315" s="6">
        <v>532.3125</v>
      </c>
      <c r="J315" s="2">
        <f t="shared" si="4"/>
        <v>43747.453820138886</v>
      </c>
    </row>
    <row r="316" spans="1:10" x14ac:dyDescent="0.25">
      <c r="A316" s="7" t="s">
        <v>952</v>
      </c>
      <c r="B316" s="8">
        <v>393.75</v>
      </c>
      <c r="C316" s="8">
        <v>20.478950000000001</v>
      </c>
      <c r="D316" s="8">
        <v>79</v>
      </c>
      <c r="E316" s="8">
        <v>0</v>
      </c>
      <c r="F316" s="8">
        <v>0</v>
      </c>
      <c r="G316" s="8">
        <v>0</v>
      </c>
      <c r="H316" s="8" t="s">
        <v>953</v>
      </c>
      <c r="I316" s="8">
        <v>526.5</v>
      </c>
      <c r="J316" s="3">
        <f t="shared" si="4"/>
        <v>43747.453891446756</v>
      </c>
    </row>
    <row r="317" spans="1:10" x14ac:dyDescent="0.25">
      <c r="A317" s="5" t="s">
        <v>954</v>
      </c>
      <c r="B317" s="6">
        <v>393.75</v>
      </c>
      <c r="C317" s="6">
        <v>20.478950000000001</v>
      </c>
      <c r="D317" s="6">
        <v>80</v>
      </c>
      <c r="E317" s="6">
        <v>0</v>
      </c>
      <c r="F317" s="6">
        <v>0</v>
      </c>
      <c r="G317" s="6">
        <v>12</v>
      </c>
      <c r="H317" s="6" t="s">
        <v>955</v>
      </c>
      <c r="I317" s="6">
        <v>526.6875</v>
      </c>
      <c r="J317" s="2">
        <f t="shared" si="4"/>
        <v>43747.453974884258</v>
      </c>
    </row>
    <row r="318" spans="1:10" x14ac:dyDescent="0.25">
      <c r="A318" s="7" t="s">
        <v>956</v>
      </c>
      <c r="B318" s="8">
        <v>393.75</v>
      </c>
      <c r="C318" s="8">
        <v>20.478950000000001</v>
      </c>
      <c r="D318" s="8">
        <v>80</v>
      </c>
      <c r="E318" s="8">
        <v>0</v>
      </c>
      <c r="F318" s="8">
        <v>0</v>
      </c>
      <c r="G318" s="8">
        <v>9</v>
      </c>
      <c r="H318" s="8" t="s">
        <v>957</v>
      </c>
      <c r="I318" s="8">
        <v>526.6875</v>
      </c>
      <c r="J318" s="3">
        <f t="shared" si="4"/>
        <v>43747.454046701387</v>
      </c>
    </row>
    <row r="319" spans="1:10" x14ac:dyDescent="0.25">
      <c r="A319" s="5" t="s">
        <v>958</v>
      </c>
      <c r="B319" s="6">
        <v>393.75</v>
      </c>
      <c r="C319" s="6">
        <v>20.478950000000001</v>
      </c>
      <c r="D319" s="6">
        <v>81</v>
      </c>
      <c r="E319" s="6">
        <v>0</v>
      </c>
      <c r="F319" s="6">
        <v>0</v>
      </c>
      <c r="G319" s="6">
        <v>7</v>
      </c>
      <c r="H319" s="6" t="s">
        <v>959</v>
      </c>
      <c r="I319" s="6">
        <v>526.6875</v>
      </c>
      <c r="J319" s="2">
        <f t="shared" si="4"/>
        <v>43747.45412996527</v>
      </c>
    </row>
    <row r="320" spans="1:10" x14ac:dyDescent="0.25">
      <c r="A320" s="7" t="s">
        <v>960</v>
      </c>
      <c r="B320" s="8">
        <v>393.75</v>
      </c>
      <c r="C320" s="8">
        <v>20.478950000000001</v>
      </c>
      <c r="D320" s="8">
        <v>81</v>
      </c>
      <c r="E320" s="8">
        <v>0</v>
      </c>
      <c r="F320" s="8">
        <v>0</v>
      </c>
      <c r="G320" s="8">
        <v>8</v>
      </c>
      <c r="H320" s="8" t="s">
        <v>961</v>
      </c>
      <c r="I320" s="8">
        <v>526.6875</v>
      </c>
      <c r="J320" s="3">
        <f t="shared" si="4"/>
        <v>43747.454213425925</v>
      </c>
    </row>
    <row r="321" spans="1:10" x14ac:dyDescent="0.25">
      <c r="A321" s="5" t="s">
        <v>962</v>
      </c>
      <c r="B321" s="6">
        <v>393.75</v>
      </c>
      <c r="C321" s="6">
        <v>20.478950000000001</v>
      </c>
      <c r="D321" s="6">
        <v>83</v>
      </c>
      <c r="E321" s="6">
        <v>0</v>
      </c>
      <c r="F321" s="6">
        <v>0</v>
      </c>
      <c r="G321" s="6">
        <v>4</v>
      </c>
      <c r="H321" s="6" t="s">
        <v>963</v>
      </c>
      <c r="I321" s="6">
        <v>526.6875</v>
      </c>
      <c r="J321" s="2">
        <f t="shared" si="4"/>
        <v>43747.454296990742</v>
      </c>
    </row>
    <row r="322" spans="1:10" x14ac:dyDescent="0.25">
      <c r="A322" s="7" t="s">
        <v>964</v>
      </c>
      <c r="B322" s="8">
        <v>393.75</v>
      </c>
      <c r="C322" s="8">
        <v>20.478950000000001</v>
      </c>
      <c r="D322" s="8">
        <v>83</v>
      </c>
      <c r="E322" s="8">
        <v>0</v>
      </c>
      <c r="F322" s="8">
        <v>0</v>
      </c>
      <c r="G322" s="8">
        <v>6</v>
      </c>
      <c r="H322" s="8" t="s">
        <v>965</v>
      </c>
      <c r="I322" s="8">
        <v>526.5</v>
      </c>
      <c r="J322" s="3">
        <f t="shared" ref="J322:J385" si="5">(H322/86400000)+25569+(7/24)</f>
        <v>43747.454380439813</v>
      </c>
    </row>
    <row r="323" spans="1:10" x14ac:dyDescent="0.25">
      <c r="A323" s="5" t="s">
        <v>966</v>
      </c>
      <c r="B323" s="6">
        <v>393.75</v>
      </c>
      <c r="C323" s="6">
        <v>20.478950000000001</v>
      </c>
      <c r="D323" s="6">
        <v>83</v>
      </c>
      <c r="E323" s="6">
        <v>0</v>
      </c>
      <c r="F323" s="6">
        <v>0</v>
      </c>
      <c r="G323" s="6">
        <v>5</v>
      </c>
      <c r="H323" s="6" t="s">
        <v>967</v>
      </c>
      <c r="I323" s="6">
        <v>526.6875</v>
      </c>
      <c r="J323" s="2">
        <f t="shared" si="5"/>
        <v>43747.454463692127</v>
      </c>
    </row>
    <row r="324" spans="1:10" x14ac:dyDescent="0.25">
      <c r="A324" s="7" t="s">
        <v>968</v>
      </c>
      <c r="B324" s="8">
        <v>393.75</v>
      </c>
      <c r="C324" s="8">
        <v>20.531590000000001</v>
      </c>
      <c r="D324" s="8">
        <v>83</v>
      </c>
      <c r="E324" s="8">
        <v>0</v>
      </c>
      <c r="F324" s="8">
        <v>0</v>
      </c>
      <c r="G324" s="8">
        <v>0</v>
      </c>
      <c r="H324" s="8" t="s">
        <v>969</v>
      </c>
      <c r="I324" s="8">
        <v>526.6875</v>
      </c>
      <c r="J324" s="3">
        <f t="shared" si="5"/>
        <v>43747.454538217593</v>
      </c>
    </row>
    <row r="325" spans="1:10" x14ac:dyDescent="0.25">
      <c r="A325" s="5" t="s">
        <v>970</v>
      </c>
      <c r="B325" s="6">
        <v>393.75</v>
      </c>
      <c r="C325" s="6">
        <v>20.478950000000001</v>
      </c>
      <c r="D325" s="6">
        <v>83</v>
      </c>
      <c r="E325" s="6">
        <v>0</v>
      </c>
      <c r="F325" s="6">
        <v>0</v>
      </c>
      <c r="G325" s="6">
        <v>12</v>
      </c>
      <c r="H325" s="6" t="s">
        <v>971</v>
      </c>
      <c r="I325" s="6">
        <v>526.6875</v>
      </c>
      <c r="J325" s="2">
        <f t="shared" si="5"/>
        <v>43747.45461896991</v>
      </c>
    </row>
    <row r="326" spans="1:10" x14ac:dyDescent="0.25">
      <c r="A326" s="7" t="s">
        <v>972</v>
      </c>
      <c r="B326" s="8">
        <v>393.75</v>
      </c>
      <c r="C326" s="8">
        <v>20.478950000000001</v>
      </c>
      <c r="D326" s="8">
        <v>83</v>
      </c>
      <c r="E326" s="8">
        <v>0</v>
      </c>
      <c r="F326" s="8">
        <v>0</v>
      </c>
      <c r="G326" s="8">
        <v>0</v>
      </c>
      <c r="H326" s="8" t="s">
        <v>973</v>
      </c>
      <c r="I326" s="8">
        <v>526.6875</v>
      </c>
      <c r="J326" s="3">
        <f t="shared" si="5"/>
        <v>43747.454715856475</v>
      </c>
    </row>
    <row r="327" spans="1:10" x14ac:dyDescent="0.25">
      <c r="A327" s="5" t="s">
        <v>974</v>
      </c>
      <c r="B327" s="6">
        <v>393.75</v>
      </c>
      <c r="C327" s="6">
        <v>20.584240000000001</v>
      </c>
      <c r="D327" s="6">
        <v>83</v>
      </c>
      <c r="E327" s="6">
        <v>0</v>
      </c>
      <c r="F327" s="6">
        <v>0</v>
      </c>
      <c r="G327" s="6">
        <v>0</v>
      </c>
      <c r="H327" s="6" t="s">
        <v>975</v>
      </c>
      <c r="I327" s="6">
        <v>526.6875</v>
      </c>
      <c r="J327" s="2">
        <f t="shared" si="5"/>
        <v>43747.454797800929</v>
      </c>
    </row>
    <row r="328" spans="1:10" x14ac:dyDescent="0.25">
      <c r="A328" s="7" t="s">
        <v>976</v>
      </c>
      <c r="B328" s="8">
        <v>393.75</v>
      </c>
      <c r="C328" s="8">
        <v>20.478950000000001</v>
      </c>
      <c r="D328" s="8">
        <v>84</v>
      </c>
      <c r="E328" s="8">
        <v>0</v>
      </c>
      <c r="F328" s="8">
        <v>0</v>
      </c>
      <c r="G328" s="8">
        <v>2</v>
      </c>
      <c r="H328" s="8" t="s">
        <v>977</v>
      </c>
      <c r="I328" s="8">
        <v>526.6875</v>
      </c>
      <c r="J328" s="3">
        <f t="shared" si="5"/>
        <v>43747.454869351852</v>
      </c>
    </row>
    <row r="329" spans="1:10" x14ac:dyDescent="0.25">
      <c r="A329" s="5" t="s">
        <v>978</v>
      </c>
      <c r="B329" s="6">
        <v>393.75</v>
      </c>
      <c r="C329" s="6">
        <v>20.478950000000001</v>
      </c>
      <c r="D329" s="6">
        <v>85</v>
      </c>
      <c r="E329" s="6">
        <v>0</v>
      </c>
      <c r="F329" s="6">
        <v>0</v>
      </c>
      <c r="G329" s="6">
        <v>5</v>
      </c>
      <c r="H329" s="6" t="s">
        <v>979</v>
      </c>
      <c r="I329" s="6">
        <v>526.6875</v>
      </c>
      <c r="J329" s="2">
        <f t="shared" si="5"/>
        <v>43747.45495255787</v>
      </c>
    </row>
    <row r="330" spans="1:10" x14ac:dyDescent="0.25">
      <c r="A330" s="7" t="s">
        <v>980</v>
      </c>
      <c r="B330" s="8">
        <v>393.75</v>
      </c>
      <c r="C330" s="8">
        <v>20.531590000000001</v>
      </c>
      <c r="D330" s="8">
        <v>85</v>
      </c>
      <c r="E330" s="8">
        <v>0</v>
      </c>
      <c r="F330" s="8">
        <v>0</v>
      </c>
      <c r="G330" s="8">
        <v>3</v>
      </c>
      <c r="H330" s="8" t="s">
        <v>981</v>
      </c>
      <c r="I330" s="8">
        <v>526.6875</v>
      </c>
      <c r="J330" s="3">
        <f t="shared" si="5"/>
        <v>43747.455036342588</v>
      </c>
    </row>
    <row r="331" spans="1:10" x14ac:dyDescent="0.25">
      <c r="A331" s="5" t="s">
        <v>982</v>
      </c>
      <c r="B331" s="6">
        <v>393.75</v>
      </c>
      <c r="C331" s="6">
        <v>20.531590000000001</v>
      </c>
      <c r="D331" s="6">
        <v>85</v>
      </c>
      <c r="E331" s="6">
        <v>0</v>
      </c>
      <c r="F331" s="6">
        <v>0</v>
      </c>
      <c r="G331" s="6">
        <v>9</v>
      </c>
      <c r="H331" s="6" t="s">
        <v>983</v>
      </c>
      <c r="I331" s="6">
        <v>526.6875</v>
      </c>
      <c r="J331" s="2">
        <f t="shared" si="5"/>
        <v>43747.45512006944</v>
      </c>
    </row>
    <row r="332" spans="1:10" x14ac:dyDescent="0.25">
      <c r="A332" s="7" t="s">
        <v>984</v>
      </c>
      <c r="B332" s="8">
        <v>393.75</v>
      </c>
      <c r="C332" s="8">
        <v>20.478950000000001</v>
      </c>
      <c r="D332" s="8">
        <v>85</v>
      </c>
      <c r="E332" s="8">
        <v>0</v>
      </c>
      <c r="F332" s="8">
        <v>0</v>
      </c>
      <c r="G332" s="8">
        <v>1</v>
      </c>
      <c r="H332" s="8" t="s">
        <v>985</v>
      </c>
      <c r="I332" s="8">
        <v>526.6875</v>
      </c>
      <c r="J332" s="3">
        <f t="shared" si="5"/>
        <v>43747.455191342589</v>
      </c>
    </row>
    <row r="333" spans="1:10" x14ac:dyDescent="0.25">
      <c r="A333" s="5" t="s">
        <v>986</v>
      </c>
      <c r="B333" s="6">
        <v>393.75</v>
      </c>
      <c r="C333" s="6">
        <v>20.478950000000001</v>
      </c>
      <c r="D333" s="6">
        <v>85</v>
      </c>
      <c r="E333" s="6">
        <v>0</v>
      </c>
      <c r="F333" s="6">
        <v>0</v>
      </c>
      <c r="G333" s="6">
        <v>9</v>
      </c>
      <c r="H333" s="6" t="s">
        <v>987</v>
      </c>
      <c r="I333" s="6">
        <v>526.6875</v>
      </c>
      <c r="J333" s="2">
        <f t="shared" si="5"/>
        <v>43747.455275115739</v>
      </c>
    </row>
    <row r="334" spans="1:10" x14ac:dyDescent="0.25">
      <c r="A334" s="7" t="s">
        <v>988</v>
      </c>
      <c r="B334" s="8">
        <v>393.75</v>
      </c>
      <c r="C334" s="8">
        <v>20.478950000000001</v>
      </c>
      <c r="D334" s="8">
        <v>86</v>
      </c>
      <c r="E334" s="8">
        <v>0</v>
      </c>
      <c r="F334" s="8">
        <v>0</v>
      </c>
      <c r="G334" s="8">
        <v>4</v>
      </c>
      <c r="H334" s="8" t="s">
        <v>989</v>
      </c>
      <c r="I334" s="8">
        <v>526.5</v>
      </c>
      <c r="J334" s="3">
        <f t="shared" si="5"/>
        <v>43747.455358356478</v>
      </c>
    </row>
    <row r="335" spans="1:10" x14ac:dyDescent="0.25">
      <c r="A335" s="5" t="s">
        <v>990</v>
      </c>
      <c r="B335" s="6">
        <v>393.75</v>
      </c>
      <c r="C335" s="6">
        <v>20.531590000000001</v>
      </c>
      <c r="D335" s="6">
        <v>86</v>
      </c>
      <c r="E335" s="6">
        <v>0</v>
      </c>
      <c r="F335" s="6">
        <v>0</v>
      </c>
      <c r="G335" s="6">
        <v>8</v>
      </c>
      <c r="H335" s="6" t="s">
        <v>991</v>
      </c>
      <c r="I335" s="6">
        <v>526.6875</v>
      </c>
      <c r="J335" s="2">
        <f t="shared" si="5"/>
        <v>43747.455441550926</v>
      </c>
    </row>
    <row r="336" spans="1:10" x14ac:dyDescent="0.25">
      <c r="A336" s="7" t="s">
        <v>992</v>
      </c>
      <c r="B336" s="8">
        <v>393.75</v>
      </c>
      <c r="C336" s="8">
        <v>20.478950000000001</v>
      </c>
      <c r="D336" s="8">
        <v>86</v>
      </c>
      <c r="E336" s="8">
        <v>0</v>
      </c>
      <c r="F336" s="8">
        <v>0</v>
      </c>
      <c r="G336" s="8">
        <v>7</v>
      </c>
      <c r="H336" s="8" t="s">
        <v>993</v>
      </c>
      <c r="I336" s="8">
        <v>526.6875</v>
      </c>
      <c r="J336" s="3">
        <f t="shared" si="5"/>
        <v>43747.455513090274</v>
      </c>
    </row>
    <row r="337" spans="1:10" x14ac:dyDescent="0.25">
      <c r="A337" s="5" t="s">
        <v>994</v>
      </c>
      <c r="B337" s="6">
        <v>393.75</v>
      </c>
      <c r="C337" s="6">
        <v>20.478950000000001</v>
      </c>
      <c r="D337" s="6">
        <v>88</v>
      </c>
      <c r="E337" s="6">
        <v>0</v>
      </c>
      <c r="F337" s="6">
        <v>0</v>
      </c>
      <c r="G337" s="6">
        <v>8</v>
      </c>
      <c r="H337" s="6" t="s">
        <v>995</v>
      </c>
      <c r="I337" s="6">
        <v>526.6875</v>
      </c>
      <c r="J337" s="2">
        <f t="shared" si="5"/>
        <v>43747.455597002314</v>
      </c>
    </row>
    <row r="338" spans="1:10" x14ac:dyDescent="0.25">
      <c r="A338" s="7" t="s">
        <v>996</v>
      </c>
      <c r="B338" s="8">
        <v>393.75</v>
      </c>
      <c r="C338" s="8">
        <v>20.478950000000001</v>
      </c>
      <c r="D338" s="8">
        <v>87</v>
      </c>
      <c r="E338" s="8">
        <v>0</v>
      </c>
      <c r="F338" s="8">
        <v>0</v>
      </c>
      <c r="G338" s="8">
        <v>3</v>
      </c>
      <c r="H338" s="8" t="s">
        <v>997</v>
      </c>
      <c r="I338" s="8">
        <v>526.6875</v>
      </c>
      <c r="J338" s="3">
        <f t="shared" si="5"/>
        <v>43747.455680347215</v>
      </c>
    </row>
    <row r="339" spans="1:10" x14ac:dyDescent="0.25">
      <c r="A339" s="5" t="s">
        <v>998</v>
      </c>
      <c r="B339" s="6">
        <v>393.75</v>
      </c>
      <c r="C339" s="6">
        <v>20.531590000000001</v>
      </c>
      <c r="D339" s="6">
        <v>86</v>
      </c>
      <c r="E339" s="6">
        <v>0</v>
      </c>
      <c r="F339" s="6">
        <v>0</v>
      </c>
      <c r="G339" s="6">
        <v>8</v>
      </c>
      <c r="H339" s="6" t="s">
        <v>999</v>
      </c>
      <c r="I339" s="6">
        <v>526.6875</v>
      </c>
      <c r="J339" s="2">
        <f t="shared" si="5"/>
        <v>43747.455763680555</v>
      </c>
    </row>
    <row r="340" spans="1:10" x14ac:dyDescent="0.25">
      <c r="A340" s="7" t="s">
        <v>1000</v>
      </c>
      <c r="B340" s="8">
        <v>393.75</v>
      </c>
      <c r="C340" s="8">
        <v>20.531590000000001</v>
      </c>
      <c r="D340" s="8">
        <v>86</v>
      </c>
      <c r="E340" s="8">
        <v>0</v>
      </c>
      <c r="F340" s="8">
        <v>0</v>
      </c>
      <c r="G340" s="8">
        <v>14</v>
      </c>
      <c r="H340" s="8" t="s">
        <v>1001</v>
      </c>
      <c r="I340" s="8">
        <v>526.6875</v>
      </c>
      <c r="J340" s="3">
        <f t="shared" si="5"/>
        <v>43747.455835324072</v>
      </c>
    </row>
    <row r="341" spans="1:10" x14ac:dyDescent="0.25">
      <c r="A341" s="5" t="s">
        <v>1002</v>
      </c>
      <c r="B341" s="6">
        <v>393.75</v>
      </c>
      <c r="C341" s="6">
        <v>20.478950000000001</v>
      </c>
      <c r="D341" s="6">
        <v>87</v>
      </c>
      <c r="E341" s="6">
        <v>0</v>
      </c>
      <c r="F341" s="6">
        <v>0</v>
      </c>
      <c r="G341" s="6">
        <v>22</v>
      </c>
      <c r="H341" s="6" t="s">
        <v>1003</v>
      </c>
      <c r="I341" s="6">
        <v>526.6875</v>
      </c>
      <c r="J341" s="2">
        <f t="shared" si="5"/>
        <v>43747.455918749998</v>
      </c>
    </row>
    <row r="342" spans="1:10" x14ac:dyDescent="0.25">
      <c r="A342" s="7" t="s">
        <v>1004</v>
      </c>
      <c r="B342" s="8">
        <v>393.75</v>
      </c>
      <c r="C342" s="8">
        <v>20.478950000000001</v>
      </c>
      <c r="D342" s="8">
        <v>87</v>
      </c>
      <c r="E342" s="8">
        <v>0</v>
      </c>
      <c r="F342" s="8">
        <v>0</v>
      </c>
      <c r="G342" s="8">
        <v>24</v>
      </c>
      <c r="H342" s="8" t="s">
        <v>1005</v>
      </c>
      <c r="I342" s="8">
        <v>526.6875</v>
      </c>
      <c r="J342" s="3">
        <f t="shared" si="5"/>
        <v>43747.456002314815</v>
      </c>
    </row>
    <row r="343" spans="1:10" x14ac:dyDescent="0.25">
      <c r="A343" s="5" t="s">
        <v>1006</v>
      </c>
      <c r="B343" s="6">
        <v>412.5</v>
      </c>
      <c r="C343" s="6">
        <v>20.478950000000001</v>
      </c>
      <c r="D343" s="6">
        <v>87</v>
      </c>
      <c r="E343" s="6">
        <v>0</v>
      </c>
      <c r="F343" s="6">
        <v>0</v>
      </c>
      <c r="G343" s="6">
        <v>14</v>
      </c>
      <c r="H343" s="6" t="s">
        <v>1007</v>
      </c>
      <c r="I343" s="6">
        <v>532.3125</v>
      </c>
      <c r="J343" s="2">
        <f t="shared" si="5"/>
        <v>43747.456085879625</v>
      </c>
    </row>
    <row r="344" spans="1:10" x14ac:dyDescent="0.25">
      <c r="A344" s="7" t="s">
        <v>1008</v>
      </c>
      <c r="B344" s="8">
        <v>393.75</v>
      </c>
      <c r="C344" s="8">
        <v>20.478950000000001</v>
      </c>
      <c r="D344" s="8">
        <v>86</v>
      </c>
      <c r="E344" s="8">
        <v>0</v>
      </c>
      <c r="F344" s="8">
        <v>0</v>
      </c>
      <c r="G344" s="8">
        <v>12</v>
      </c>
      <c r="H344" s="8" t="s">
        <v>1009</v>
      </c>
      <c r="I344" s="8">
        <v>526.6875</v>
      </c>
      <c r="J344" s="3">
        <f t="shared" si="5"/>
        <v>43747.456169212957</v>
      </c>
    </row>
    <row r="345" spans="1:10" x14ac:dyDescent="0.25">
      <c r="A345" s="5" t="s">
        <v>1010</v>
      </c>
      <c r="B345" s="6">
        <v>393.75</v>
      </c>
      <c r="C345" s="6">
        <v>20.478950000000001</v>
      </c>
      <c r="D345" s="6">
        <v>86</v>
      </c>
      <c r="E345" s="6">
        <v>0</v>
      </c>
      <c r="F345" s="6">
        <v>0</v>
      </c>
      <c r="G345" s="6">
        <v>13</v>
      </c>
      <c r="H345" s="6" t="s">
        <v>1011</v>
      </c>
      <c r="I345" s="6">
        <v>526.6875</v>
      </c>
      <c r="J345" s="2">
        <f t="shared" si="5"/>
        <v>43747.456263159715</v>
      </c>
    </row>
    <row r="346" spans="1:10" x14ac:dyDescent="0.25">
      <c r="A346" s="7" t="s">
        <v>1012</v>
      </c>
      <c r="B346" s="8">
        <v>393.75</v>
      </c>
      <c r="C346" s="8">
        <v>20.478950000000001</v>
      </c>
      <c r="D346" s="8">
        <v>85</v>
      </c>
      <c r="E346" s="8">
        <v>0</v>
      </c>
      <c r="F346" s="8">
        <v>0</v>
      </c>
      <c r="G346" s="8">
        <v>14</v>
      </c>
      <c r="H346" s="8" t="s">
        <v>1013</v>
      </c>
      <c r="I346" s="8">
        <v>526.5</v>
      </c>
      <c r="J346" s="3">
        <f t="shared" si="5"/>
        <v>43747.456336249998</v>
      </c>
    </row>
    <row r="347" spans="1:10" x14ac:dyDescent="0.25">
      <c r="A347" s="5" t="s">
        <v>1014</v>
      </c>
      <c r="B347" s="6">
        <v>393.75</v>
      </c>
      <c r="C347" s="6">
        <v>20.478950000000001</v>
      </c>
      <c r="D347" s="6">
        <v>84</v>
      </c>
      <c r="E347" s="6">
        <v>0</v>
      </c>
      <c r="F347" s="6">
        <v>0</v>
      </c>
      <c r="G347" s="6">
        <v>13</v>
      </c>
      <c r="H347" s="6" t="s">
        <v>1015</v>
      </c>
      <c r="I347" s="6">
        <v>526.6875</v>
      </c>
      <c r="J347" s="2">
        <f t="shared" si="5"/>
        <v>43747.456419340277</v>
      </c>
    </row>
    <row r="348" spans="1:10" x14ac:dyDescent="0.25">
      <c r="A348" s="7" t="s">
        <v>1016</v>
      </c>
      <c r="B348" s="8">
        <v>393.75</v>
      </c>
      <c r="C348" s="8">
        <v>20.478950000000001</v>
      </c>
      <c r="D348" s="8">
        <v>84</v>
      </c>
      <c r="E348" s="8">
        <v>0</v>
      </c>
      <c r="F348" s="8">
        <v>0</v>
      </c>
      <c r="G348" s="8">
        <v>13</v>
      </c>
      <c r="H348" s="8" t="s">
        <v>1017</v>
      </c>
      <c r="I348" s="8">
        <v>526.5</v>
      </c>
      <c r="J348" s="3">
        <f t="shared" si="5"/>
        <v>43747.456490868055</v>
      </c>
    </row>
    <row r="349" spans="1:10" x14ac:dyDescent="0.25">
      <c r="A349" s="5" t="s">
        <v>1018</v>
      </c>
      <c r="B349" s="6">
        <v>393.75</v>
      </c>
      <c r="C349" s="6">
        <v>20.531590000000001</v>
      </c>
      <c r="D349" s="6">
        <v>78</v>
      </c>
      <c r="E349" s="6">
        <v>0</v>
      </c>
      <c r="F349" s="6">
        <v>0</v>
      </c>
      <c r="G349" s="6">
        <v>8</v>
      </c>
      <c r="H349" s="6" t="s">
        <v>1019</v>
      </c>
      <c r="I349" s="6">
        <v>526.6875</v>
      </c>
      <c r="J349" s="2">
        <f t="shared" si="5"/>
        <v>43747.456600694444</v>
      </c>
    </row>
    <row r="350" spans="1:10" x14ac:dyDescent="0.25">
      <c r="A350" s="7" t="s">
        <v>1020</v>
      </c>
      <c r="B350" s="8">
        <v>393.75</v>
      </c>
      <c r="C350" s="8">
        <v>20.478950000000001</v>
      </c>
      <c r="D350" s="8">
        <v>79</v>
      </c>
      <c r="E350" s="8">
        <v>0</v>
      </c>
      <c r="F350" s="8">
        <v>0</v>
      </c>
      <c r="G350" s="8">
        <v>0</v>
      </c>
      <c r="H350" s="8" t="s">
        <v>1021</v>
      </c>
      <c r="I350" s="8">
        <v>526.6875</v>
      </c>
      <c r="J350" s="3">
        <f t="shared" si="5"/>
        <v>43747.45668221065</v>
      </c>
    </row>
    <row r="351" spans="1:10" x14ac:dyDescent="0.25">
      <c r="A351" s="5" t="s">
        <v>1022</v>
      </c>
      <c r="B351" s="6">
        <v>393.75</v>
      </c>
      <c r="C351" s="6">
        <v>20.531590000000001</v>
      </c>
      <c r="D351" s="6">
        <v>79</v>
      </c>
      <c r="E351" s="6">
        <v>0</v>
      </c>
      <c r="F351" s="6">
        <v>0</v>
      </c>
      <c r="G351" s="6">
        <v>5</v>
      </c>
      <c r="H351" s="6" t="s">
        <v>1023</v>
      </c>
      <c r="I351" s="6">
        <v>526.5</v>
      </c>
      <c r="J351" s="2">
        <f t="shared" si="5"/>
        <v>43747.45676552083</v>
      </c>
    </row>
    <row r="352" spans="1:10" x14ac:dyDescent="0.25">
      <c r="A352" s="7" t="s">
        <v>1024</v>
      </c>
      <c r="B352" s="8">
        <v>393.75</v>
      </c>
      <c r="C352" s="8">
        <v>20.478950000000001</v>
      </c>
      <c r="D352" s="8">
        <v>80</v>
      </c>
      <c r="E352" s="8">
        <v>0</v>
      </c>
      <c r="F352" s="8">
        <v>0</v>
      </c>
      <c r="G352" s="8">
        <v>7</v>
      </c>
      <c r="H352" s="8" t="s">
        <v>1025</v>
      </c>
      <c r="I352" s="8">
        <v>526.6875</v>
      </c>
      <c r="J352" s="3">
        <f t="shared" si="5"/>
        <v>43747.456848854163</v>
      </c>
    </row>
    <row r="353" spans="1:10" x14ac:dyDescent="0.25">
      <c r="A353" s="5" t="s">
        <v>1026</v>
      </c>
      <c r="B353" s="6">
        <v>393.75</v>
      </c>
      <c r="C353" s="6">
        <v>20.531590000000001</v>
      </c>
      <c r="D353" s="6">
        <v>81</v>
      </c>
      <c r="E353" s="6">
        <v>0</v>
      </c>
      <c r="F353" s="6">
        <v>0</v>
      </c>
      <c r="G353" s="6">
        <v>4</v>
      </c>
      <c r="H353" s="6" t="s">
        <v>1027</v>
      </c>
      <c r="I353" s="6">
        <v>526.6875</v>
      </c>
      <c r="J353" s="2">
        <f t="shared" si="5"/>
        <v>43747.456932546294</v>
      </c>
    </row>
    <row r="354" spans="1:10" x14ac:dyDescent="0.25">
      <c r="A354" s="7" t="s">
        <v>1028</v>
      </c>
      <c r="B354" s="8">
        <v>412.5</v>
      </c>
      <c r="C354" s="8">
        <v>20.478950000000001</v>
      </c>
      <c r="D354" s="8">
        <v>82</v>
      </c>
      <c r="E354" s="8">
        <v>0</v>
      </c>
      <c r="F354" s="8">
        <v>0</v>
      </c>
      <c r="G354" s="8">
        <v>5</v>
      </c>
      <c r="H354" s="8" t="s">
        <v>1029</v>
      </c>
      <c r="I354" s="8">
        <v>532.6875</v>
      </c>
      <c r="J354" s="3">
        <f t="shared" si="5"/>
        <v>43747.457015682863</v>
      </c>
    </row>
    <row r="355" spans="1:10" x14ac:dyDescent="0.25">
      <c r="A355" s="5" t="s">
        <v>1030</v>
      </c>
      <c r="B355" s="6">
        <v>393.75</v>
      </c>
      <c r="C355" s="6">
        <v>20.531590000000001</v>
      </c>
      <c r="D355" s="6">
        <v>82</v>
      </c>
      <c r="E355" s="6">
        <v>0</v>
      </c>
      <c r="F355" s="6">
        <v>0</v>
      </c>
      <c r="G355" s="6">
        <v>0</v>
      </c>
      <c r="H355" s="6" t="s">
        <v>1031</v>
      </c>
      <c r="I355" s="6">
        <v>526.5</v>
      </c>
      <c r="J355" s="2">
        <f t="shared" si="5"/>
        <v>43747.457087152776</v>
      </c>
    </row>
    <row r="356" spans="1:10" x14ac:dyDescent="0.25">
      <c r="A356" s="7" t="s">
        <v>1032</v>
      </c>
      <c r="B356" s="8">
        <v>393.75</v>
      </c>
      <c r="C356" s="8">
        <v>20.584240000000001</v>
      </c>
      <c r="D356" s="8">
        <v>82</v>
      </c>
      <c r="E356" s="8">
        <v>0</v>
      </c>
      <c r="F356" s="8">
        <v>0</v>
      </c>
      <c r="G356" s="8">
        <v>0</v>
      </c>
      <c r="H356" s="8" t="s">
        <v>1033</v>
      </c>
      <c r="I356" s="8">
        <v>526.6875</v>
      </c>
      <c r="J356" s="3">
        <f t="shared" si="5"/>
        <v>43747.457171087961</v>
      </c>
    </row>
    <row r="357" spans="1:10" x14ac:dyDescent="0.25">
      <c r="A357" s="5" t="s">
        <v>1034</v>
      </c>
      <c r="B357" s="6">
        <v>393.75</v>
      </c>
      <c r="C357" s="6">
        <v>20.478950000000001</v>
      </c>
      <c r="D357" s="6">
        <v>82</v>
      </c>
      <c r="E357" s="6">
        <v>0</v>
      </c>
      <c r="F357" s="6">
        <v>0</v>
      </c>
      <c r="G357" s="6">
        <v>9</v>
      </c>
      <c r="H357" s="6" t="s">
        <v>1035</v>
      </c>
      <c r="I357" s="6">
        <v>526.5</v>
      </c>
      <c r="J357" s="2">
        <f t="shared" si="5"/>
        <v>43747.457254409725</v>
      </c>
    </row>
    <row r="358" spans="1:10" x14ac:dyDescent="0.25">
      <c r="A358" s="7" t="s">
        <v>1036</v>
      </c>
      <c r="B358" s="8">
        <v>393.75</v>
      </c>
      <c r="C358" s="8">
        <v>20.478950000000001</v>
      </c>
      <c r="D358" s="8">
        <v>86</v>
      </c>
      <c r="E358" s="8">
        <v>0</v>
      </c>
      <c r="F358" s="8">
        <v>0</v>
      </c>
      <c r="G358" s="8">
        <v>0</v>
      </c>
      <c r="H358" s="8" t="s">
        <v>1037</v>
      </c>
      <c r="I358" s="8">
        <v>526.6875</v>
      </c>
      <c r="J358" s="3">
        <f t="shared" si="5"/>
        <v>43747.457337743057</v>
      </c>
    </row>
    <row r="359" spans="1:10" x14ac:dyDescent="0.25">
      <c r="A359" s="5" t="s">
        <v>1038</v>
      </c>
      <c r="B359" s="6">
        <v>393.75</v>
      </c>
      <c r="C359" s="6">
        <v>20.478950000000001</v>
      </c>
      <c r="D359" s="6">
        <v>86</v>
      </c>
      <c r="E359" s="6">
        <v>0</v>
      </c>
      <c r="F359" s="6">
        <v>0</v>
      </c>
      <c r="G359" s="6">
        <v>3</v>
      </c>
      <c r="H359" s="6" t="s">
        <v>1039</v>
      </c>
      <c r="I359" s="6">
        <v>526.5</v>
      </c>
      <c r="J359" s="2">
        <f t="shared" si="5"/>
        <v>43747.457421307867</v>
      </c>
    </row>
    <row r="360" spans="1:10" x14ac:dyDescent="0.25">
      <c r="A360" s="7" t="s">
        <v>1040</v>
      </c>
      <c r="B360" s="8">
        <v>393.75</v>
      </c>
      <c r="C360" s="8">
        <v>20.478950000000001</v>
      </c>
      <c r="D360" s="8">
        <v>88</v>
      </c>
      <c r="E360" s="8">
        <v>0</v>
      </c>
      <c r="F360" s="8">
        <v>0</v>
      </c>
      <c r="G360" s="8">
        <v>8</v>
      </c>
      <c r="H360" s="8" t="s">
        <v>1041</v>
      </c>
      <c r="I360" s="8">
        <v>526.5</v>
      </c>
      <c r="J360" s="3">
        <f t="shared" si="5"/>
        <v>43747.457516678238</v>
      </c>
    </row>
    <row r="361" spans="1:10" x14ac:dyDescent="0.25">
      <c r="A361" s="5" t="s">
        <v>1042</v>
      </c>
      <c r="B361" s="6">
        <v>393.75</v>
      </c>
      <c r="C361" s="6">
        <v>20.531590000000001</v>
      </c>
      <c r="D361" s="6">
        <v>85</v>
      </c>
      <c r="E361" s="6">
        <v>0</v>
      </c>
      <c r="F361" s="6">
        <v>0</v>
      </c>
      <c r="G361" s="6">
        <v>8</v>
      </c>
      <c r="H361" s="6" t="s">
        <v>1043</v>
      </c>
      <c r="I361" s="6">
        <v>526.5</v>
      </c>
      <c r="J361" s="2">
        <f t="shared" si="5"/>
        <v>43747.457600335641</v>
      </c>
    </row>
    <row r="362" spans="1:10" x14ac:dyDescent="0.25">
      <c r="A362" s="7" t="s">
        <v>1044</v>
      </c>
      <c r="B362" s="8">
        <v>393.75</v>
      </c>
      <c r="C362" s="8">
        <v>20.531590000000001</v>
      </c>
      <c r="D362" s="8">
        <v>84</v>
      </c>
      <c r="E362" s="8">
        <v>0</v>
      </c>
      <c r="F362" s="8">
        <v>0</v>
      </c>
      <c r="G362" s="8">
        <v>8</v>
      </c>
      <c r="H362" s="8" t="s">
        <v>1045</v>
      </c>
      <c r="I362" s="8">
        <v>526.6875</v>
      </c>
      <c r="J362" s="3">
        <f t="shared" si="5"/>
        <v>43747.457683668974</v>
      </c>
    </row>
    <row r="363" spans="1:10" x14ac:dyDescent="0.25">
      <c r="A363" s="5" t="s">
        <v>1046</v>
      </c>
      <c r="B363" s="6">
        <v>393.75</v>
      </c>
      <c r="C363" s="6">
        <v>20.478950000000001</v>
      </c>
      <c r="D363" s="6">
        <v>85</v>
      </c>
      <c r="E363" s="6">
        <v>0</v>
      </c>
      <c r="F363" s="6">
        <v>0</v>
      </c>
      <c r="G363" s="6">
        <v>8</v>
      </c>
      <c r="H363" s="6" t="s">
        <v>1047</v>
      </c>
      <c r="I363" s="6">
        <v>526.6875</v>
      </c>
      <c r="J363" s="2">
        <f t="shared" si="5"/>
        <v>43747.457767361113</v>
      </c>
    </row>
    <row r="364" spans="1:10" x14ac:dyDescent="0.25">
      <c r="A364" s="7" t="s">
        <v>1048</v>
      </c>
      <c r="B364" s="8">
        <v>393.75</v>
      </c>
      <c r="C364" s="8">
        <v>20.584240000000001</v>
      </c>
      <c r="D364" s="8">
        <v>83</v>
      </c>
      <c r="E364" s="8">
        <v>0</v>
      </c>
      <c r="F364" s="8">
        <v>0</v>
      </c>
      <c r="G364" s="8">
        <v>5</v>
      </c>
      <c r="H364" s="8" t="s">
        <v>1049</v>
      </c>
      <c r="I364" s="8">
        <v>526.6875</v>
      </c>
      <c r="J364" s="3">
        <f t="shared" si="5"/>
        <v>43747.457850601852</v>
      </c>
    </row>
    <row r="365" spans="1:10" x14ac:dyDescent="0.25">
      <c r="A365" s="5" t="s">
        <v>1050</v>
      </c>
      <c r="B365" s="6">
        <v>393.75</v>
      </c>
      <c r="C365" s="6">
        <v>20.478950000000001</v>
      </c>
      <c r="D365" s="6">
        <v>82</v>
      </c>
      <c r="E365" s="6">
        <v>0</v>
      </c>
      <c r="F365" s="6">
        <v>0</v>
      </c>
      <c r="G365" s="6">
        <v>0</v>
      </c>
      <c r="H365" s="6" t="s">
        <v>1051</v>
      </c>
      <c r="I365" s="6">
        <v>526.6875</v>
      </c>
      <c r="J365" s="2">
        <f t="shared" si="5"/>
        <v>43747.457934039347</v>
      </c>
    </row>
    <row r="366" spans="1:10" x14ac:dyDescent="0.25">
      <c r="A366" s="7" t="s">
        <v>1052</v>
      </c>
      <c r="B366" s="8">
        <v>393.75</v>
      </c>
      <c r="C366" s="8">
        <v>20.531590000000001</v>
      </c>
      <c r="D366" s="8">
        <v>82</v>
      </c>
      <c r="E366" s="8">
        <v>0</v>
      </c>
      <c r="F366" s="8">
        <v>0</v>
      </c>
      <c r="G366" s="8">
        <v>10</v>
      </c>
      <c r="H366" s="8" t="s">
        <v>1053</v>
      </c>
      <c r="I366" s="8">
        <v>526.6875</v>
      </c>
      <c r="J366" s="3">
        <f t="shared" si="5"/>
        <v>43747.458017592588</v>
      </c>
    </row>
    <row r="367" spans="1:10" x14ac:dyDescent="0.25">
      <c r="A367" s="5" t="s">
        <v>1054</v>
      </c>
      <c r="B367" s="6">
        <v>393.75</v>
      </c>
      <c r="C367" s="6">
        <v>20.478950000000001</v>
      </c>
      <c r="D367" s="6">
        <v>82</v>
      </c>
      <c r="E367" s="6">
        <v>0</v>
      </c>
      <c r="F367" s="6">
        <v>0</v>
      </c>
      <c r="G367" s="6">
        <v>2</v>
      </c>
      <c r="H367" s="6" t="s">
        <v>1055</v>
      </c>
      <c r="I367" s="6">
        <v>526.6875</v>
      </c>
      <c r="J367" s="2">
        <f t="shared" si="5"/>
        <v>43747.458100810181</v>
      </c>
    </row>
    <row r="368" spans="1:10" x14ac:dyDescent="0.25">
      <c r="A368" s="7" t="s">
        <v>1056</v>
      </c>
      <c r="B368" s="8">
        <v>412.5</v>
      </c>
      <c r="C368" s="8">
        <v>20.531590000000001</v>
      </c>
      <c r="D368" s="8">
        <v>82</v>
      </c>
      <c r="E368" s="8">
        <v>0</v>
      </c>
      <c r="F368" s="8">
        <v>0</v>
      </c>
      <c r="G368" s="8">
        <v>7</v>
      </c>
      <c r="H368" s="8" t="s">
        <v>1057</v>
      </c>
      <c r="I368" s="8">
        <v>532.125</v>
      </c>
      <c r="J368" s="3">
        <f t="shared" si="5"/>
        <v>43747.458172615741</v>
      </c>
    </row>
    <row r="369" spans="1:10" x14ac:dyDescent="0.25">
      <c r="A369" s="5" t="s">
        <v>1058</v>
      </c>
      <c r="B369" s="6">
        <v>393.75</v>
      </c>
      <c r="C369" s="6">
        <v>20.478950000000001</v>
      </c>
      <c r="D369" s="6">
        <v>81</v>
      </c>
      <c r="E369" s="6">
        <v>0</v>
      </c>
      <c r="F369" s="6">
        <v>0</v>
      </c>
      <c r="G369" s="6">
        <v>5</v>
      </c>
      <c r="H369" s="6" t="s">
        <v>1059</v>
      </c>
      <c r="I369" s="6">
        <v>526.6875</v>
      </c>
      <c r="J369" s="2">
        <f t="shared" si="5"/>
        <v>43747.458256261576</v>
      </c>
    </row>
    <row r="370" spans="1:10" x14ac:dyDescent="0.25">
      <c r="A370" s="7" t="s">
        <v>1060</v>
      </c>
      <c r="B370" s="8">
        <v>393.75</v>
      </c>
      <c r="C370" s="8">
        <v>20.478950000000001</v>
      </c>
      <c r="D370" s="8">
        <v>82</v>
      </c>
      <c r="E370" s="8">
        <v>0</v>
      </c>
      <c r="F370" s="8">
        <v>0</v>
      </c>
      <c r="G370" s="8">
        <v>4</v>
      </c>
      <c r="H370" s="8" t="s">
        <v>1061</v>
      </c>
      <c r="I370" s="8">
        <v>526.6875</v>
      </c>
      <c r="J370" s="3">
        <f t="shared" si="5"/>
        <v>43747.458339594908</v>
      </c>
    </row>
    <row r="371" spans="1:10" x14ac:dyDescent="0.25">
      <c r="A371" s="5" t="s">
        <v>1062</v>
      </c>
      <c r="B371" s="6">
        <v>393.75</v>
      </c>
      <c r="C371" s="6">
        <v>20.478950000000001</v>
      </c>
      <c r="D371" s="6">
        <v>80</v>
      </c>
      <c r="E371" s="6">
        <v>0</v>
      </c>
      <c r="F371" s="6">
        <v>0</v>
      </c>
      <c r="G371" s="6">
        <v>11</v>
      </c>
      <c r="H371" s="6" t="s">
        <v>1063</v>
      </c>
      <c r="I371" s="6">
        <v>526.6875</v>
      </c>
      <c r="J371" s="2">
        <f t="shared" si="5"/>
        <v>43747.458422916665</v>
      </c>
    </row>
    <row r="372" spans="1:10" x14ac:dyDescent="0.25">
      <c r="A372" s="7" t="s">
        <v>1064</v>
      </c>
      <c r="B372" s="8">
        <v>393.75</v>
      </c>
      <c r="C372" s="8">
        <v>20.478950000000001</v>
      </c>
      <c r="D372" s="8">
        <v>80</v>
      </c>
      <c r="E372" s="8">
        <v>0</v>
      </c>
      <c r="F372" s="8">
        <v>0</v>
      </c>
      <c r="G372" s="8">
        <v>5</v>
      </c>
      <c r="H372" s="8" t="s">
        <v>1065</v>
      </c>
      <c r="I372" s="8">
        <v>526.6875</v>
      </c>
      <c r="J372" s="3">
        <f t="shared" si="5"/>
        <v>43747.458506504627</v>
      </c>
    </row>
    <row r="373" spans="1:10" x14ac:dyDescent="0.25">
      <c r="A373" s="5" t="s">
        <v>1066</v>
      </c>
      <c r="B373" s="6">
        <v>393.75</v>
      </c>
      <c r="C373" s="6">
        <v>20.531590000000001</v>
      </c>
      <c r="D373" s="6">
        <v>82</v>
      </c>
      <c r="E373" s="6">
        <v>0</v>
      </c>
      <c r="F373" s="6">
        <v>0</v>
      </c>
      <c r="G373" s="6">
        <v>0</v>
      </c>
      <c r="H373" s="6" t="s">
        <v>1067</v>
      </c>
      <c r="I373" s="6">
        <v>526.6875</v>
      </c>
      <c r="J373" s="2">
        <f t="shared" si="5"/>
        <v>43747.458589699068</v>
      </c>
    </row>
    <row r="374" spans="1:10" x14ac:dyDescent="0.25">
      <c r="A374" s="7" t="s">
        <v>1068</v>
      </c>
      <c r="B374" s="8">
        <v>393.75</v>
      </c>
      <c r="C374" s="8">
        <v>20.478950000000001</v>
      </c>
      <c r="D374" s="8">
        <v>82</v>
      </c>
      <c r="E374" s="8">
        <v>0</v>
      </c>
      <c r="F374" s="8">
        <v>0</v>
      </c>
      <c r="G374" s="8">
        <v>7</v>
      </c>
      <c r="H374" s="8" t="s">
        <v>1069</v>
      </c>
      <c r="I374" s="8">
        <v>526.6875</v>
      </c>
      <c r="J374" s="3">
        <f t="shared" si="5"/>
        <v>43747.458661296296</v>
      </c>
    </row>
    <row r="375" spans="1:10" x14ac:dyDescent="0.25">
      <c r="A375" s="5" t="s">
        <v>1070</v>
      </c>
      <c r="B375" s="6">
        <v>393.75</v>
      </c>
      <c r="C375" s="6">
        <v>20.478950000000001</v>
      </c>
      <c r="D375" s="6">
        <v>83</v>
      </c>
      <c r="E375" s="6">
        <v>0</v>
      </c>
      <c r="F375" s="6">
        <v>0</v>
      </c>
      <c r="G375" s="6">
        <v>4</v>
      </c>
      <c r="H375" s="6" t="s">
        <v>1071</v>
      </c>
      <c r="I375" s="6">
        <v>526.6875</v>
      </c>
      <c r="J375" s="2">
        <f t="shared" si="5"/>
        <v>43747.458745150456</v>
      </c>
    </row>
    <row r="376" spans="1:10" x14ac:dyDescent="0.25">
      <c r="A376" s="7" t="s">
        <v>1072</v>
      </c>
      <c r="B376" s="8">
        <v>393.75</v>
      </c>
      <c r="C376" s="8">
        <v>20.478950000000001</v>
      </c>
      <c r="D376" s="8">
        <v>78</v>
      </c>
      <c r="E376" s="8">
        <v>0</v>
      </c>
      <c r="F376" s="8">
        <v>0</v>
      </c>
      <c r="G376" s="8">
        <v>10</v>
      </c>
      <c r="H376" s="8" t="s">
        <v>1073</v>
      </c>
      <c r="I376" s="8">
        <v>526.6875</v>
      </c>
      <c r="J376" s="3">
        <f t="shared" si="5"/>
        <v>43747.458840393512</v>
      </c>
    </row>
    <row r="377" spans="1:10" x14ac:dyDescent="0.25">
      <c r="A377" s="5" t="s">
        <v>1074</v>
      </c>
      <c r="B377" s="6">
        <v>393.75</v>
      </c>
      <c r="C377" s="6">
        <v>20.478950000000001</v>
      </c>
      <c r="D377" s="6">
        <v>78</v>
      </c>
      <c r="E377" s="6">
        <v>0</v>
      </c>
      <c r="F377" s="6">
        <v>0</v>
      </c>
      <c r="G377" s="6">
        <v>10</v>
      </c>
      <c r="H377" s="6" t="s">
        <v>1075</v>
      </c>
      <c r="I377" s="6">
        <v>526.6875</v>
      </c>
      <c r="J377" s="2">
        <f t="shared" si="5"/>
        <v>43747.458923854159</v>
      </c>
    </row>
    <row r="378" spans="1:10" x14ac:dyDescent="0.25">
      <c r="A378" s="7" t="s">
        <v>1076</v>
      </c>
      <c r="B378" s="8">
        <v>393.75</v>
      </c>
      <c r="C378" s="8">
        <v>20.478950000000001</v>
      </c>
      <c r="D378" s="8">
        <v>81</v>
      </c>
      <c r="E378" s="8">
        <v>0</v>
      </c>
      <c r="F378" s="8">
        <v>0</v>
      </c>
      <c r="G378" s="8">
        <v>8</v>
      </c>
      <c r="H378" s="8" t="s">
        <v>1077</v>
      </c>
      <c r="I378" s="8">
        <v>526.6875</v>
      </c>
      <c r="J378" s="3">
        <f t="shared" si="5"/>
        <v>43747.458995370369</v>
      </c>
    </row>
    <row r="379" spans="1:10" x14ac:dyDescent="0.25">
      <c r="A379" s="5" t="s">
        <v>1078</v>
      </c>
      <c r="B379" s="6">
        <v>393.75</v>
      </c>
      <c r="C379" s="6">
        <v>20.478950000000001</v>
      </c>
      <c r="D379" s="6">
        <v>81</v>
      </c>
      <c r="E379" s="6">
        <v>0</v>
      </c>
      <c r="F379" s="6">
        <v>0</v>
      </c>
      <c r="G379" s="6">
        <v>5</v>
      </c>
      <c r="H379" s="6" t="s">
        <v>1079</v>
      </c>
      <c r="I379" s="6">
        <v>526.6875</v>
      </c>
      <c r="J379" s="2">
        <f t="shared" si="5"/>
        <v>43747.459078587963</v>
      </c>
    </row>
    <row r="380" spans="1:10" x14ac:dyDescent="0.25">
      <c r="A380" s="7" t="s">
        <v>1080</v>
      </c>
      <c r="B380" s="8">
        <v>393.75</v>
      </c>
      <c r="C380" s="8">
        <v>20.584240000000001</v>
      </c>
      <c r="D380" s="8">
        <v>81</v>
      </c>
      <c r="E380" s="8">
        <v>0</v>
      </c>
      <c r="F380" s="8">
        <v>0</v>
      </c>
      <c r="G380" s="8">
        <v>2</v>
      </c>
      <c r="H380" s="8" t="s">
        <v>1081</v>
      </c>
      <c r="I380" s="8">
        <v>526.6875</v>
      </c>
      <c r="J380" s="3">
        <f t="shared" si="5"/>
        <v>43747.459149884256</v>
      </c>
    </row>
    <row r="381" spans="1:10" x14ac:dyDescent="0.25">
      <c r="A381" s="5" t="s">
        <v>1082</v>
      </c>
      <c r="B381" s="6">
        <v>393.75</v>
      </c>
      <c r="C381" s="6">
        <v>20.531590000000001</v>
      </c>
      <c r="D381" s="6">
        <v>81</v>
      </c>
      <c r="E381" s="6">
        <v>0</v>
      </c>
      <c r="F381" s="6">
        <v>0</v>
      </c>
      <c r="G381" s="6">
        <v>2</v>
      </c>
      <c r="H381" s="6" t="s">
        <v>1083</v>
      </c>
      <c r="I381" s="6">
        <v>526.6875</v>
      </c>
      <c r="J381" s="2">
        <f t="shared" si="5"/>
        <v>43747.459221874997</v>
      </c>
    </row>
    <row r="382" spans="1:10" x14ac:dyDescent="0.25">
      <c r="A382" s="7" t="s">
        <v>1084</v>
      </c>
      <c r="B382" s="8">
        <v>393.75</v>
      </c>
      <c r="C382" s="8">
        <v>20.584240000000001</v>
      </c>
      <c r="D382" s="8">
        <v>80</v>
      </c>
      <c r="E382" s="8">
        <v>0</v>
      </c>
      <c r="F382" s="8">
        <v>0</v>
      </c>
      <c r="G382" s="8">
        <v>0</v>
      </c>
      <c r="H382" s="8" t="s">
        <v>1085</v>
      </c>
      <c r="I382" s="8">
        <v>526.6875</v>
      </c>
      <c r="J382" s="3">
        <f t="shared" si="5"/>
        <v>43747.459305567128</v>
      </c>
    </row>
    <row r="383" spans="1:10" x14ac:dyDescent="0.25">
      <c r="A383" s="5" t="s">
        <v>1086</v>
      </c>
      <c r="B383" s="6">
        <v>393.75</v>
      </c>
      <c r="C383" s="6">
        <v>20.531590000000001</v>
      </c>
      <c r="D383" s="6">
        <v>81</v>
      </c>
      <c r="E383" s="6">
        <v>0</v>
      </c>
      <c r="F383" s="6">
        <v>0</v>
      </c>
      <c r="G383" s="6">
        <v>1</v>
      </c>
      <c r="H383" s="6" t="s">
        <v>1087</v>
      </c>
      <c r="I383" s="6">
        <v>526.5</v>
      </c>
      <c r="J383" s="2">
        <f t="shared" si="5"/>
        <v>43747.459388900461</v>
      </c>
    </row>
    <row r="384" spans="1:10" x14ac:dyDescent="0.25">
      <c r="A384" s="7" t="s">
        <v>1088</v>
      </c>
      <c r="B384" s="8">
        <v>393.75</v>
      </c>
      <c r="C384" s="8">
        <v>20.531590000000001</v>
      </c>
      <c r="D384" s="8">
        <v>81</v>
      </c>
      <c r="E384" s="8">
        <v>0</v>
      </c>
      <c r="F384" s="8">
        <v>0</v>
      </c>
      <c r="G384" s="8">
        <v>0</v>
      </c>
      <c r="H384" s="8" t="s">
        <v>1089</v>
      </c>
      <c r="I384" s="8">
        <v>526.6875</v>
      </c>
      <c r="J384" s="3">
        <f t="shared" si="5"/>
        <v>43747.459472326387</v>
      </c>
    </row>
    <row r="385" spans="1:10" x14ac:dyDescent="0.25">
      <c r="A385" s="5" t="s">
        <v>1090</v>
      </c>
      <c r="B385" s="6">
        <v>393.75</v>
      </c>
      <c r="C385" s="6">
        <v>20.531590000000001</v>
      </c>
      <c r="D385" s="6">
        <v>80</v>
      </c>
      <c r="E385" s="6">
        <v>0</v>
      </c>
      <c r="F385" s="6">
        <v>0</v>
      </c>
      <c r="G385" s="6">
        <v>3</v>
      </c>
      <c r="H385" s="6" t="s">
        <v>1091</v>
      </c>
      <c r="I385" s="6">
        <v>526.6875</v>
      </c>
      <c r="J385" s="2">
        <f t="shared" si="5"/>
        <v>43747.459555914349</v>
      </c>
    </row>
    <row r="386" spans="1:10" x14ac:dyDescent="0.25">
      <c r="A386" s="7" t="s">
        <v>1092</v>
      </c>
      <c r="B386" s="8">
        <v>393.75</v>
      </c>
      <c r="C386" s="8">
        <v>20.478950000000001</v>
      </c>
      <c r="D386" s="8">
        <v>79</v>
      </c>
      <c r="E386" s="8">
        <v>0</v>
      </c>
      <c r="F386" s="8">
        <v>0</v>
      </c>
      <c r="G386" s="8">
        <v>4</v>
      </c>
      <c r="H386" s="8" t="s">
        <v>1093</v>
      </c>
      <c r="I386" s="8">
        <v>526.6875</v>
      </c>
      <c r="J386" s="3">
        <f t="shared" ref="J386:J449" si="6">(H386/86400000)+25569+(7/24)</f>
        <v>43747.459639224537</v>
      </c>
    </row>
    <row r="387" spans="1:10" x14ac:dyDescent="0.25">
      <c r="A387" s="5" t="s">
        <v>1094</v>
      </c>
      <c r="B387" s="6">
        <v>393.75</v>
      </c>
      <c r="C387" s="6">
        <v>20.531590000000001</v>
      </c>
      <c r="D387" s="6">
        <v>79</v>
      </c>
      <c r="E387" s="6">
        <v>0</v>
      </c>
      <c r="F387" s="6">
        <v>0</v>
      </c>
      <c r="G387" s="6">
        <v>6</v>
      </c>
      <c r="H387" s="6" t="s">
        <v>1095</v>
      </c>
      <c r="I387" s="6">
        <v>526.6875</v>
      </c>
      <c r="J387" s="2">
        <f t="shared" si="6"/>
        <v>43747.459710868054</v>
      </c>
    </row>
    <row r="388" spans="1:10" x14ac:dyDescent="0.25">
      <c r="A388" s="7" t="s">
        <v>1096</v>
      </c>
      <c r="B388" s="8">
        <v>393.75</v>
      </c>
      <c r="C388" s="8">
        <v>20.531590000000001</v>
      </c>
      <c r="D388" s="8">
        <v>79</v>
      </c>
      <c r="E388" s="8">
        <v>0</v>
      </c>
      <c r="F388" s="8">
        <v>0</v>
      </c>
      <c r="G388" s="8">
        <v>4</v>
      </c>
      <c r="H388" s="8" t="s">
        <v>1097</v>
      </c>
      <c r="I388" s="8">
        <v>526.6875</v>
      </c>
      <c r="J388" s="3">
        <f t="shared" si="6"/>
        <v>43747.459794351853</v>
      </c>
    </row>
    <row r="389" spans="1:10" x14ac:dyDescent="0.25">
      <c r="A389" s="5" t="s">
        <v>1098</v>
      </c>
      <c r="B389" s="6">
        <v>393.75</v>
      </c>
      <c r="C389" s="6">
        <v>20.478950000000001</v>
      </c>
      <c r="D389" s="6">
        <v>82</v>
      </c>
      <c r="E389" s="6">
        <v>0</v>
      </c>
      <c r="F389" s="6">
        <v>0</v>
      </c>
      <c r="G389" s="6">
        <v>9</v>
      </c>
      <c r="H389" s="6" t="s">
        <v>1099</v>
      </c>
      <c r="I389" s="6">
        <v>526.5</v>
      </c>
      <c r="J389" s="2">
        <f t="shared" si="6"/>
        <v>43747.459865856479</v>
      </c>
    </row>
    <row r="390" spans="1:10" x14ac:dyDescent="0.25">
      <c r="A390" s="7" t="s">
        <v>1100</v>
      </c>
      <c r="B390" s="8">
        <v>393.75</v>
      </c>
      <c r="C390" s="8">
        <v>20.531590000000001</v>
      </c>
      <c r="D390" s="8">
        <v>81</v>
      </c>
      <c r="E390" s="8">
        <v>0</v>
      </c>
      <c r="F390" s="8">
        <v>0</v>
      </c>
      <c r="G390" s="8">
        <v>2</v>
      </c>
      <c r="H390" s="8" t="s">
        <v>1101</v>
      </c>
      <c r="I390" s="8">
        <v>526.5</v>
      </c>
      <c r="J390" s="3">
        <f t="shared" si="6"/>
        <v>43747.459949525459</v>
      </c>
    </row>
    <row r="391" spans="1:10" x14ac:dyDescent="0.25">
      <c r="A391" s="5" t="s">
        <v>1102</v>
      </c>
      <c r="B391" s="6">
        <v>393.75</v>
      </c>
      <c r="C391" s="6">
        <v>20.531590000000001</v>
      </c>
      <c r="D391" s="6">
        <v>81</v>
      </c>
      <c r="E391" s="6">
        <v>0</v>
      </c>
      <c r="F391" s="6">
        <v>0</v>
      </c>
      <c r="G391" s="6">
        <v>7</v>
      </c>
      <c r="H391" s="6" t="s">
        <v>1103</v>
      </c>
      <c r="I391" s="6">
        <v>526.6875</v>
      </c>
      <c r="J391" s="2">
        <f t="shared" si="6"/>
        <v>43747.460020949067</v>
      </c>
    </row>
    <row r="392" spans="1:10" x14ac:dyDescent="0.25">
      <c r="A392" s="7" t="s">
        <v>1104</v>
      </c>
      <c r="B392" s="8">
        <v>393.75</v>
      </c>
      <c r="C392" s="8">
        <v>20.531590000000001</v>
      </c>
      <c r="D392" s="8">
        <v>82</v>
      </c>
      <c r="E392" s="8">
        <v>0</v>
      </c>
      <c r="F392" s="8">
        <v>0</v>
      </c>
      <c r="G392" s="8">
        <v>7</v>
      </c>
      <c r="H392" s="8" t="s">
        <v>1105</v>
      </c>
      <c r="I392" s="8">
        <v>526.6875</v>
      </c>
      <c r="J392" s="3">
        <f t="shared" si="6"/>
        <v>43747.460104386577</v>
      </c>
    </row>
    <row r="393" spans="1:10" x14ac:dyDescent="0.25">
      <c r="A393" s="5" t="s">
        <v>1106</v>
      </c>
      <c r="B393" s="6">
        <v>393.75</v>
      </c>
      <c r="C393" s="6">
        <v>20.531590000000001</v>
      </c>
      <c r="D393" s="6">
        <v>82</v>
      </c>
      <c r="E393" s="6">
        <v>0</v>
      </c>
      <c r="F393" s="6">
        <v>0</v>
      </c>
      <c r="G393" s="6">
        <v>2</v>
      </c>
      <c r="H393" s="6" t="s">
        <v>1107</v>
      </c>
      <c r="I393" s="6">
        <v>526.6875</v>
      </c>
      <c r="J393" s="2">
        <f t="shared" si="6"/>
        <v>43747.460199942128</v>
      </c>
    </row>
    <row r="394" spans="1:10" x14ac:dyDescent="0.25">
      <c r="A394" s="7" t="s">
        <v>1108</v>
      </c>
      <c r="B394" s="8">
        <v>393.75</v>
      </c>
      <c r="C394" s="8">
        <v>20.478950000000001</v>
      </c>
      <c r="D394" s="8">
        <v>82</v>
      </c>
      <c r="E394" s="8">
        <v>0</v>
      </c>
      <c r="F394" s="8">
        <v>0</v>
      </c>
      <c r="G394" s="8">
        <v>12</v>
      </c>
      <c r="H394" s="8" t="s">
        <v>1109</v>
      </c>
      <c r="I394" s="8">
        <v>526.6875</v>
      </c>
      <c r="J394" s="3">
        <f t="shared" si="6"/>
        <v>43747.460283287037</v>
      </c>
    </row>
    <row r="395" spans="1:10" x14ac:dyDescent="0.25">
      <c r="A395" s="5" t="s">
        <v>1110</v>
      </c>
      <c r="B395" s="6">
        <v>393.75</v>
      </c>
      <c r="C395" s="6">
        <v>20.531590000000001</v>
      </c>
      <c r="D395" s="6">
        <v>84</v>
      </c>
      <c r="E395" s="6">
        <v>0</v>
      </c>
      <c r="F395" s="6">
        <v>0</v>
      </c>
      <c r="G395" s="6">
        <v>2</v>
      </c>
      <c r="H395" s="6" t="s">
        <v>1111</v>
      </c>
      <c r="I395" s="6">
        <v>526.6875</v>
      </c>
      <c r="J395" s="2">
        <f t="shared" si="6"/>
        <v>43747.460354999996</v>
      </c>
    </row>
    <row r="396" spans="1:10" x14ac:dyDescent="0.25">
      <c r="A396" s="7" t="s">
        <v>1112</v>
      </c>
      <c r="B396" s="8">
        <v>393.75</v>
      </c>
      <c r="C396" s="8">
        <v>20.478950000000001</v>
      </c>
      <c r="D396" s="8">
        <v>80</v>
      </c>
      <c r="E396" s="8">
        <v>0</v>
      </c>
      <c r="F396" s="8">
        <v>0</v>
      </c>
      <c r="G396" s="8">
        <v>0</v>
      </c>
      <c r="H396" s="8" t="s">
        <v>1113</v>
      </c>
      <c r="I396" s="8">
        <v>526.6875</v>
      </c>
      <c r="J396" s="3">
        <f t="shared" si="6"/>
        <v>43747.460438136572</v>
      </c>
    </row>
    <row r="397" spans="1:10" x14ac:dyDescent="0.25">
      <c r="A397" s="5" t="s">
        <v>1114</v>
      </c>
      <c r="B397" s="6">
        <v>393.75</v>
      </c>
      <c r="C397" s="6">
        <v>20.531590000000001</v>
      </c>
      <c r="D397" s="6">
        <v>80</v>
      </c>
      <c r="E397" s="6">
        <v>0</v>
      </c>
      <c r="F397" s="6">
        <v>0</v>
      </c>
      <c r="G397" s="6">
        <v>6</v>
      </c>
      <c r="H397" s="6" t="s">
        <v>1115</v>
      </c>
      <c r="I397" s="6">
        <v>526.6875</v>
      </c>
      <c r="J397" s="2">
        <f t="shared" si="6"/>
        <v>43747.460509999997</v>
      </c>
    </row>
    <row r="398" spans="1:10" x14ac:dyDescent="0.25">
      <c r="A398" s="7" t="s">
        <v>1116</v>
      </c>
      <c r="B398" s="8">
        <v>393.75</v>
      </c>
      <c r="C398" s="8">
        <v>20.478950000000001</v>
      </c>
      <c r="D398" s="8">
        <v>80</v>
      </c>
      <c r="E398" s="8">
        <v>0</v>
      </c>
      <c r="F398" s="8">
        <v>0</v>
      </c>
      <c r="G398" s="8">
        <v>9</v>
      </c>
      <c r="H398" s="8" t="s">
        <v>1117</v>
      </c>
      <c r="I398" s="8">
        <v>526.5</v>
      </c>
      <c r="J398" s="3">
        <f t="shared" si="6"/>
        <v>43747.460593344906</v>
      </c>
    </row>
    <row r="399" spans="1:10" x14ac:dyDescent="0.25">
      <c r="A399" s="5" t="s">
        <v>1118</v>
      </c>
      <c r="B399" s="6">
        <v>393.75</v>
      </c>
      <c r="C399" s="6">
        <v>20.531590000000001</v>
      </c>
      <c r="D399" s="6">
        <v>79</v>
      </c>
      <c r="E399" s="6">
        <v>0</v>
      </c>
      <c r="F399" s="6">
        <v>0</v>
      </c>
      <c r="G399" s="6">
        <v>8</v>
      </c>
      <c r="H399" s="6" t="s">
        <v>1119</v>
      </c>
      <c r="I399" s="6">
        <v>526.6875</v>
      </c>
      <c r="J399" s="2">
        <f t="shared" si="6"/>
        <v>43747.460665254628</v>
      </c>
    </row>
    <row r="400" spans="1:10" x14ac:dyDescent="0.25">
      <c r="A400" s="7" t="s">
        <v>1120</v>
      </c>
      <c r="B400" s="8">
        <v>393.75</v>
      </c>
      <c r="C400" s="8">
        <v>20.531590000000001</v>
      </c>
      <c r="D400" s="8">
        <v>80</v>
      </c>
      <c r="E400" s="8">
        <v>0</v>
      </c>
      <c r="F400" s="8">
        <v>0</v>
      </c>
      <c r="G400" s="8">
        <v>8</v>
      </c>
      <c r="H400" s="8" t="s">
        <v>1121</v>
      </c>
      <c r="I400" s="8">
        <v>526.5</v>
      </c>
      <c r="J400" s="3">
        <f t="shared" si="6"/>
        <v>43747.460748449077</v>
      </c>
    </row>
    <row r="401" spans="1:10" x14ac:dyDescent="0.25">
      <c r="A401" s="5" t="s">
        <v>1122</v>
      </c>
      <c r="B401" s="6">
        <v>393.75</v>
      </c>
      <c r="C401" s="6">
        <v>20.478950000000001</v>
      </c>
      <c r="D401" s="6">
        <v>79</v>
      </c>
      <c r="E401" s="6">
        <v>0</v>
      </c>
      <c r="F401" s="6">
        <v>0</v>
      </c>
      <c r="G401" s="6">
        <v>0</v>
      </c>
      <c r="H401" s="6" t="s">
        <v>1123</v>
      </c>
      <c r="I401" s="6">
        <v>526.6875</v>
      </c>
      <c r="J401" s="2">
        <f t="shared" si="6"/>
        <v>43747.460831886572</v>
      </c>
    </row>
    <row r="402" spans="1:10" x14ac:dyDescent="0.25">
      <c r="A402" s="7" t="s">
        <v>1124</v>
      </c>
      <c r="B402" s="8">
        <v>393.75</v>
      </c>
      <c r="C402" s="8">
        <v>20.478950000000001</v>
      </c>
      <c r="D402" s="8">
        <v>79</v>
      </c>
      <c r="E402" s="8">
        <v>0</v>
      </c>
      <c r="F402" s="8">
        <v>0</v>
      </c>
      <c r="G402" s="8">
        <v>6</v>
      </c>
      <c r="H402" s="8" t="s">
        <v>1125</v>
      </c>
      <c r="I402" s="8">
        <v>526.6875</v>
      </c>
      <c r="J402" s="3">
        <f t="shared" si="6"/>
        <v>43747.460915659722</v>
      </c>
    </row>
    <row r="403" spans="1:10" x14ac:dyDescent="0.25">
      <c r="A403" s="5" t="s">
        <v>1126</v>
      </c>
      <c r="B403" s="6">
        <v>393.75</v>
      </c>
      <c r="C403" s="6">
        <v>20.478950000000001</v>
      </c>
      <c r="D403" s="6">
        <v>79</v>
      </c>
      <c r="E403" s="6">
        <v>0</v>
      </c>
      <c r="F403" s="6">
        <v>0</v>
      </c>
      <c r="G403" s="6">
        <v>0</v>
      </c>
      <c r="H403" s="6" t="s">
        <v>1127</v>
      </c>
      <c r="I403" s="6">
        <v>526.6875</v>
      </c>
      <c r="J403" s="2">
        <f t="shared" si="6"/>
        <v>43747.460999004623</v>
      </c>
    </row>
    <row r="404" spans="1:10" x14ac:dyDescent="0.25">
      <c r="A404" s="7" t="s">
        <v>1128</v>
      </c>
      <c r="B404" s="8">
        <v>393.75</v>
      </c>
      <c r="C404" s="8">
        <v>20.478950000000001</v>
      </c>
      <c r="D404" s="8">
        <v>79</v>
      </c>
      <c r="E404" s="8">
        <v>0</v>
      </c>
      <c r="F404" s="8">
        <v>0</v>
      </c>
      <c r="G404" s="8">
        <v>6</v>
      </c>
      <c r="H404" s="8" t="s">
        <v>1129</v>
      </c>
      <c r="I404" s="8">
        <v>526.6875</v>
      </c>
      <c r="J404" s="3">
        <f t="shared" si="6"/>
        <v>43747.461082222224</v>
      </c>
    </row>
    <row r="405" spans="1:10" x14ac:dyDescent="0.25">
      <c r="A405" s="5" t="s">
        <v>1130</v>
      </c>
      <c r="B405" s="6">
        <v>393.75</v>
      </c>
      <c r="C405" s="6">
        <v>20.478950000000001</v>
      </c>
      <c r="D405" s="6">
        <v>79</v>
      </c>
      <c r="E405" s="6">
        <v>0</v>
      </c>
      <c r="F405" s="6">
        <v>0</v>
      </c>
      <c r="G405" s="6">
        <v>6</v>
      </c>
      <c r="H405" s="6" t="s">
        <v>1131</v>
      </c>
      <c r="I405" s="6">
        <v>526.5</v>
      </c>
      <c r="J405" s="2">
        <f t="shared" si="6"/>
        <v>43747.461154444441</v>
      </c>
    </row>
    <row r="406" spans="1:10" x14ac:dyDescent="0.25">
      <c r="A406" s="7" t="s">
        <v>1132</v>
      </c>
      <c r="B406" s="8">
        <v>393.75</v>
      </c>
      <c r="C406" s="8">
        <v>20.531590000000001</v>
      </c>
      <c r="D406" s="8">
        <v>78</v>
      </c>
      <c r="E406" s="8">
        <v>0</v>
      </c>
      <c r="F406" s="8">
        <v>0</v>
      </c>
      <c r="G406" s="8">
        <v>3</v>
      </c>
      <c r="H406" s="8" t="s">
        <v>1133</v>
      </c>
      <c r="I406" s="8">
        <v>526.6875</v>
      </c>
      <c r="J406" s="3">
        <f t="shared" si="6"/>
        <v>43747.461237430551</v>
      </c>
    </row>
    <row r="407" spans="1:10" x14ac:dyDescent="0.25">
      <c r="A407" s="5" t="s">
        <v>1134</v>
      </c>
      <c r="B407" s="6">
        <v>393.75</v>
      </c>
      <c r="C407" s="6">
        <v>20.531590000000001</v>
      </c>
      <c r="D407" s="6">
        <v>78</v>
      </c>
      <c r="E407" s="6">
        <v>0</v>
      </c>
      <c r="F407" s="6">
        <v>0</v>
      </c>
      <c r="G407" s="6">
        <v>8</v>
      </c>
      <c r="H407" s="6" t="s">
        <v>1135</v>
      </c>
      <c r="I407" s="6">
        <v>526.6875</v>
      </c>
      <c r="J407" s="2">
        <f t="shared" si="6"/>
        <v>43747.461308946753</v>
      </c>
    </row>
    <row r="408" spans="1:10" x14ac:dyDescent="0.25">
      <c r="A408" s="7" t="s">
        <v>1136</v>
      </c>
      <c r="B408" s="8">
        <v>393.75</v>
      </c>
      <c r="C408" s="8">
        <v>20.531590000000001</v>
      </c>
      <c r="D408" s="8">
        <v>78</v>
      </c>
      <c r="E408" s="8">
        <v>0</v>
      </c>
      <c r="F408" s="8">
        <v>0</v>
      </c>
      <c r="G408" s="8">
        <v>0</v>
      </c>
      <c r="H408" s="8" t="s">
        <v>1137</v>
      </c>
      <c r="I408" s="8">
        <v>526.6875</v>
      </c>
      <c r="J408" s="3">
        <f t="shared" si="6"/>
        <v>43747.461380381945</v>
      </c>
    </row>
    <row r="409" spans="1:10" x14ac:dyDescent="0.25">
      <c r="A409" s="5" t="s">
        <v>1138</v>
      </c>
      <c r="B409" s="6">
        <v>393.75</v>
      </c>
      <c r="C409" s="6">
        <v>20.531590000000001</v>
      </c>
      <c r="D409" s="6">
        <v>78</v>
      </c>
      <c r="E409" s="6">
        <v>0</v>
      </c>
      <c r="F409" s="6">
        <v>0</v>
      </c>
      <c r="G409" s="6">
        <v>13</v>
      </c>
      <c r="H409" s="6" t="s">
        <v>1139</v>
      </c>
      <c r="I409" s="6">
        <v>526.6875</v>
      </c>
      <c r="J409" s="2">
        <f t="shared" si="6"/>
        <v>43747.461463703701</v>
      </c>
    </row>
    <row r="410" spans="1:10" x14ac:dyDescent="0.25">
      <c r="A410" s="7" t="s">
        <v>1140</v>
      </c>
      <c r="B410" s="8">
        <v>393.75</v>
      </c>
      <c r="C410" s="8">
        <v>20.478950000000001</v>
      </c>
      <c r="D410" s="8">
        <v>78</v>
      </c>
      <c r="E410" s="8">
        <v>0</v>
      </c>
      <c r="F410" s="8">
        <v>0</v>
      </c>
      <c r="G410" s="8">
        <v>8</v>
      </c>
      <c r="H410" s="8" t="s">
        <v>1141</v>
      </c>
      <c r="I410" s="8">
        <v>526.6875</v>
      </c>
      <c r="J410" s="3">
        <f t="shared" si="6"/>
        <v>43747.461535347218</v>
      </c>
    </row>
    <row r="411" spans="1:10" x14ac:dyDescent="0.25">
      <c r="A411" s="5" t="s">
        <v>1142</v>
      </c>
      <c r="B411" s="6">
        <v>393.75</v>
      </c>
      <c r="C411" s="6">
        <v>20.478950000000001</v>
      </c>
      <c r="D411" s="6">
        <v>79</v>
      </c>
      <c r="E411" s="6">
        <v>0</v>
      </c>
      <c r="F411" s="6">
        <v>0</v>
      </c>
      <c r="G411" s="6">
        <v>2</v>
      </c>
      <c r="H411" s="6" t="s">
        <v>1143</v>
      </c>
      <c r="I411" s="6">
        <v>526.6875</v>
      </c>
      <c r="J411" s="2">
        <f t="shared" si="6"/>
        <v>43747.461619016198</v>
      </c>
    </row>
    <row r="412" spans="1:10" x14ac:dyDescent="0.25">
      <c r="A412" s="7" t="s">
        <v>1144</v>
      </c>
      <c r="B412" s="8">
        <v>393.75</v>
      </c>
      <c r="C412" s="8">
        <v>20.531590000000001</v>
      </c>
      <c r="D412" s="8">
        <v>79</v>
      </c>
      <c r="E412" s="8">
        <v>0</v>
      </c>
      <c r="F412" s="8">
        <v>0</v>
      </c>
      <c r="G412" s="8">
        <v>5</v>
      </c>
      <c r="H412" s="8" t="s">
        <v>1145</v>
      </c>
      <c r="I412" s="8">
        <v>526.6875</v>
      </c>
      <c r="J412" s="3">
        <f t="shared" si="6"/>
        <v>43747.461716944446</v>
      </c>
    </row>
    <row r="413" spans="1:10" x14ac:dyDescent="0.25">
      <c r="A413" s="5" t="s">
        <v>1146</v>
      </c>
      <c r="B413" s="6">
        <v>393.75</v>
      </c>
      <c r="C413" s="6">
        <v>20.478950000000001</v>
      </c>
      <c r="D413" s="6">
        <v>79</v>
      </c>
      <c r="E413" s="6">
        <v>0</v>
      </c>
      <c r="F413" s="6">
        <v>0</v>
      </c>
      <c r="G413" s="6">
        <v>2</v>
      </c>
      <c r="H413" s="6" t="s">
        <v>1147</v>
      </c>
      <c r="I413" s="6">
        <v>526.6875</v>
      </c>
      <c r="J413" s="2">
        <f t="shared" si="6"/>
        <v>43747.461797858792</v>
      </c>
    </row>
    <row r="414" spans="1:10" x14ac:dyDescent="0.25">
      <c r="A414" s="7" t="s">
        <v>1148</v>
      </c>
      <c r="B414" s="8">
        <v>393.75</v>
      </c>
      <c r="C414" s="8">
        <v>20.531590000000001</v>
      </c>
      <c r="D414" s="8">
        <v>79</v>
      </c>
      <c r="E414" s="8">
        <v>0</v>
      </c>
      <c r="F414" s="8">
        <v>0</v>
      </c>
      <c r="G414" s="8">
        <v>5</v>
      </c>
      <c r="H414" s="8" t="s">
        <v>1149</v>
      </c>
      <c r="I414" s="8">
        <v>526.6875</v>
      </c>
      <c r="J414" s="3">
        <f t="shared" si="6"/>
        <v>43747.461869375002</v>
      </c>
    </row>
    <row r="415" spans="1:10" x14ac:dyDescent="0.25">
      <c r="A415" s="5" t="s">
        <v>1150</v>
      </c>
      <c r="B415" s="6">
        <v>393.75</v>
      </c>
      <c r="C415" s="6">
        <v>20.478950000000001</v>
      </c>
      <c r="D415" s="6">
        <v>78</v>
      </c>
      <c r="E415" s="6">
        <v>0</v>
      </c>
      <c r="F415" s="6">
        <v>0</v>
      </c>
      <c r="G415" s="6">
        <v>2</v>
      </c>
      <c r="H415" s="6" t="s">
        <v>1151</v>
      </c>
      <c r="I415" s="6">
        <v>526.6875</v>
      </c>
      <c r="J415" s="2">
        <f t="shared" si="6"/>
        <v>43747.461952592588</v>
      </c>
    </row>
    <row r="416" spans="1:10" x14ac:dyDescent="0.25">
      <c r="A416" s="7" t="s">
        <v>1152</v>
      </c>
      <c r="B416" s="8">
        <v>393.75</v>
      </c>
      <c r="C416" s="8">
        <v>20.531590000000001</v>
      </c>
      <c r="D416" s="8">
        <v>78</v>
      </c>
      <c r="E416" s="8">
        <v>0</v>
      </c>
      <c r="F416" s="8">
        <v>0</v>
      </c>
      <c r="G416" s="8">
        <v>0</v>
      </c>
      <c r="H416" s="8" t="s">
        <v>1153</v>
      </c>
      <c r="I416" s="8">
        <v>526.6875</v>
      </c>
      <c r="J416" s="3">
        <f t="shared" si="6"/>
        <v>43747.462024351851</v>
      </c>
    </row>
    <row r="417" spans="1:10" x14ac:dyDescent="0.25">
      <c r="A417" s="5" t="s">
        <v>1154</v>
      </c>
      <c r="B417" s="6">
        <v>393.75</v>
      </c>
      <c r="C417" s="6">
        <v>20.531590000000001</v>
      </c>
      <c r="D417" s="6">
        <v>78</v>
      </c>
      <c r="E417" s="6">
        <v>0</v>
      </c>
      <c r="F417" s="6">
        <v>0</v>
      </c>
      <c r="G417" s="6">
        <v>0</v>
      </c>
      <c r="H417" s="6" t="s">
        <v>1155</v>
      </c>
      <c r="I417" s="6">
        <v>526.6875</v>
      </c>
      <c r="J417" s="2">
        <f t="shared" si="6"/>
        <v>43747.462108148145</v>
      </c>
    </row>
    <row r="418" spans="1:10" x14ac:dyDescent="0.25">
      <c r="A418" s="7" t="s">
        <v>1156</v>
      </c>
      <c r="B418" s="8">
        <v>393.75</v>
      </c>
      <c r="C418" s="8">
        <v>20.478950000000001</v>
      </c>
      <c r="D418" s="8">
        <v>78</v>
      </c>
      <c r="E418" s="8">
        <v>0</v>
      </c>
      <c r="F418" s="8">
        <v>0</v>
      </c>
      <c r="G418" s="8">
        <v>3</v>
      </c>
      <c r="H418" s="8" t="s">
        <v>1157</v>
      </c>
      <c r="I418" s="8">
        <v>526.6875</v>
      </c>
      <c r="J418" s="3">
        <f t="shared" si="6"/>
        <v>43747.462191377308</v>
      </c>
    </row>
    <row r="419" spans="1:10" x14ac:dyDescent="0.25">
      <c r="A419" s="5" t="s">
        <v>1158</v>
      </c>
      <c r="B419" s="6">
        <v>393.75</v>
      </c>
      <c r="C419" s="6">
        <v>20.531590000000001</v>
      </c>
      <c r="D419" s="6">
        <v>78</v>
      </c>
      <c r="E419" s="6">
        <v>0</v>
      </c>
      <c r="F419" s="6">
        <v>0</v>
      </c>
      <c r="G419" s="6">
        <v>9</v>
      </c>
      <c r="H419" s="6" t="s">
        <v>1159</v>
      </c>
      <c r="I419" s="6">
        <v>526.6875</v>
      </c>
      <c r="J419" s="2">
        <f t="shared" si="6"/>
        <v>43747.462283506939</v>
      </c>
    </row>
    <row r="420" spans="1:10" x14ac:dyDescent="0.25">
      <c r="A420" s="7" t="s">
        <v>1160</v>
      </c>
      <c r="B420" s="8">
        <v>412.5</v>
      </c>
      <c r="C420" s="8">
        <v>20.478950000000001</v>
      </c>
      <c r="D420" s="8">
        <v>76</v>
      </c>
      <c r="E420" s="8">
        <v>0</v>
      </c>
      <c r="F420" s="8">
        <v>0</v>
      </c>
      <c r="G420" s="8">
        <v>1</v>
      </c>
      <c r="H420" s="8" t="s">
        <v>1161</v>
      </c>
      <c r="I420" s="8">
        <v>532.5</v>
      </c>
      <c r="J420" s="3">
        <f t="shared" si="6"/>
        <v>43747.462358368051</v>
      </c>
    </row>
    <row r="421" spans="1:10" x14ac:dyDescent="0.25">
      <c r="A421" s="5" t="s">
        <v>1162</v>
      </c>
      <c r="B421" s="6">
        <v>393.75</v>
      </c>
      <c r="C421" s="6">
        <v>20.478950000000001</v>
      </c>
      <c r="D421" s="6">
        <v>76</v>
      </c>
      <c r="E421" s="6">
        <v>0</v>
      </c>
      <c r="F421" s="6">
        <v>0</v>
      </c>
      <c r="G421" s="6">
        <v>2</v>
      </c>
      <c r="H421" s="6" t="s">
        <v>1163</v>
      </c>
      <c r="I421" s="6">
        <v>526.6875</v>
      </c>
      <c r="J421" s="2">
        <f t="shared" si="6"/>
        <v>43747.462441493051</v>
      </c>
    </row>
    <row r="422" spans="1:10" x14ac:dyDescent="0.25">
      <c r="A422" s="7" t="s">
        <v>1164</v>
      </c>
      <c r="B422" s="8">
        <v>393.75</v>
      </c>
      <c r="C422" s="8">
        <v>20.478950000000001</v>
      </c>
      <c r="D422" s="8">
        <v>76</v>
      </c>
      <c r="E422" s="8">
        <v>0</v>
      </c>
      <c r="F422" s="8">
        <v>0</v>
      </c>
      <c r="G422" s="8">
        <v>0</v>
      </c>
      <c r="H422" s="8" t="s">
        <v>1165</v>
      </c>
      <c r="I422" s="8">
        <v>526.6875</v>
      </c>
      <c r="J422" s="3">
        <f t="shared" si="6"/>
        <v>43747.462513136568</v>
      </c>
    </row>
    <row r="423" spans="1:10" x14ac:dyDescent="0.25">
      <c r="A423" s="5" t="s">
        <v>1166</v>
      </c>
      <c r="B423" s="6">
        <v>393.75</v>
      </c>
      <c r="C423" s="6">
        <v>20.531590000000001</v>
      </c>
      <c r="D423" s="6">
        <v>75</v>
      </c>
      <c r="E423" s="6">
        <v>0</v>
      </c>
      <c r="F423" s="6">
        <v>0</v>
      </c>
      <c r="G423" s="6">
        <v>8</v>
      </c>
      <c r="H423" s="6" t="s">
        <v>1167</v>
      </c>
      <c r="I423" s="6">
        <v>526.5</v>
      </c>
      <c r="J423" s="2">
        <f t="shared" si="6"/>
        <v>43747.462597025464</v>
      </c>
    </row>
    <row r="424" spans="1:10" x14ac:dyDescent="0.25">
      <c r="A424" s="7" t="s">
        <v>1168</v>
      </c>
      <c r="B424" s="8">
        <v>393.75</v>
      </c>
      <c r="C424" s="8">
        <v>20.478950000000001</v>
      </c>
      <c r="D424" s="8">
        <v>76</v>
      </c>
      <c r="E424" s="8">
        <v>0</v>
      </c>
      <c r="F424" s="8">
        <v>0</v>
      </c>
      <c r="G424" s="8">
        <v>0</v>
      </c>
      <c r="H424" s="8" t="s">
        <v>1169</v>
      </c>
      <c r="I424" s="8">
        <v>526.5</v>
      </c>
      <c r="J424" s="3">
        <f t="shared" si="6"/>
        <v>43747.462680381941</v>
      </c>
    </row>
    <row r="425" spans="1:10" x14ac:dyDescent="0.25">
      <c r="A425" s="5" t="s">
        <v>1170</v>
      </c>
      <c r="B425" s="6">
        <v>393.75</v>
      </c>
      <c r="C425" s="6">
        <v>20.531590000000001</v>
      </c>
      <c r="D425" s="6">
        <v>75</v>
      </c>
      <c r="E425" s="6">
        <v>0</v>
      </c>
      <c r="F425" s="6">
        <v>0</v>
      </c>
      <c r="G425" s="6">
        <v>0</v>
      </c>
      <c r="H425" s="6" t="s">
        <v>1171</v>
      </c>
      <c r="I425" s="6">
        <v>526.5</v>
      </c>
      <c r="J425" s="2">
        <f t="shared" si="6"/>
        <v>43747.462763703697</v>
      </c>
    </row>
    <row r="426" spans="1:10" x14ac:dyDescent="0.25">
      <c r="A426" s="7" t="s">
        <v>1172</v>
      </c>
      <c r="B426" s="8">
        <v>393.75</v>
      </c>
      <c r="C426" s="8">
        <v>20.531590000000001</v>
      </c>
      <c r="D426" s="8">
        <v>83</v>
      </c>
      <c r="E426" s="8">
        <v>0</v>
      </c>
      <c r="F426" s="8">
        <v>0</v>
      </c>
      <c r="G426" s="8">
        <v>0</v>
      </c>
      <c r="H426" s="8" t="s">
        <v>1173</v>
      </c>
      <c r="I426" s="8">
        <v>526.6875</v>
      </c>
      <c r="J426" s="3">
        <f t="shared" si="6"/>
        <v>43747.463070949067</v>
      </c>
    </row>
    <row r="427" spans="1:10" x14ac:dyDescent="0.25">
      <c r="A427" s="5" t="s">
        <v>1174</v>
      </c>
      <c r="B427" s="6">
        <v>393.75</v>
      </c>
      <c r="C427" s="6">
        <v>20.478950000000001</v>
      </c>
      <c r="D427" s="6">
        <v>79</v>
      </c>
      <c r="E427" s="6">
        <v>0</v>
      </c>
      <c r="F427" s="6">
        <v>0</v>
      </c>
      <c r="G427" s="6">
        <v>0</v>
      </c>
      <c r="H427" s="6" t="s">
        <v>1175</v>
      </c>
      <c r="I427" s="6">
        <v>526.6875</v>
      </c>
      <c r="J427" s="2">
        <f t="shared" si="6"/>
        <v>43747.463150381947</v>
      </c>
    </row>
    <row r="428" spans="1:10" x14ac:dyDescent="0.25">
      <c r="A428" s="7" t="s">
        <v>1176</v>
      </c>
      <c r="B428" s="8">
        <v>393.75</v>
      </c>
      <c r="C428" s="8">
        <v>20.584240000000001</v>
      </c>
      <c r="D428" s="8">
        <v>77</v>
      </c>
      <c r="E428" s="8">
        <v>0</v>
      </c>
      <c r="F428" s="8">
        <v>0</v>
      </c>
      <c r="G428" s="8">
        <v>0</v>
      </c>
      <c r="H428" s="8" t="s">
        <v>1177</v>
      </c>
      <c r="I428" s="8">
        <v>526.6875</v>
      </c>
      <c r="J428" s="3">
        <f t="shared" si="6"/>
        <v>43747.463233831011</v>
      </c>
    </row>
    <row r="429" spans="1:10" x14ac:dyDescent="0.25">
      <c r="A429" s="5" t="s">
        <v>1178</v>
      </c>
      <c r="B429" s="6">
        <v>393.75</v>
      </c>
      <c r="C429" s="6">
        <v>20.531590000000001</v>
      </c>
      <c r="D429" s="6">
        <v>77</v>
      </c>
      <c r="E429" s="6">
        <v>0</v>
      </c>
      <c r="F429" s="6">
        <v>0</v>
      </c>
      <c r="G429" s="6">
        <v>0</v>
      </c>
      <c r="H429" s="6" t="s">
        <v>1179</v>
      </c>
      <c r="I429" s="6">
        <v>526.6875</v>
      </c>
      <c r="J429" s="2">
        <f t="shared" si="6"/>
        <v>43747.463306493053</v>
      </c>
    </row>
    <row r="430" spans="1:10" x14ac:dyDescent="0.25">
      <c r="A430" s="7" t="s">
        <v>1180</v>
      </c>
      <c r="B430" s="8">
        <v>393.75</v>
      </c>
      <c r="C430" s="8">
        <v>20.478950000000001</v>
      </c>
      <c r="D430" s="8">
        <v>71</v>
      </c>
      <c r="E430" s="8">
        <v>0</v>
      </c>
      <c r="F430" s="8">
        <v>0</v>
      </c>
      <c r="G430" s="8">
        <v>5</v>
      </c>
      <c r="H430" s="8" t="s">
        <v>1181</v>
      </c>
      <c r="I430" s="8">
        <v>526.6875</v>
      </c>
      <c r="J430" s="3">
        <f t="shared" si="6"/>
        <v>43747.463377002314</v>
      </c>
    </row>
    <row r="431" spans="1:10" x14ac:dyDescent="0.25">
      <c r="A431" s="5" t="s">
        <v>1182</v>
      </c>
      <c r="B431" s="6">
        <v>393.75</v>
      </c>
      <c r="C431" s="6">
        <v>20.531590000000001</v>
      </c>
      <c r="D431" s="6">
        <v>72</v>
      </c>
      <c r="E431" s="6">
        <v>0</v>
      </c>
      <c r="F431" s="6">
        <v>0</v>
      </c>
      <c r="G431" s="6">
        <v>6</v>
      </c>
      <c r="H431" s="6" t="s">
        <v>1183</v>
      </c>
      <c r="I431" s="6">
        <v>526.6875</v>
      </c>
      <c r="J431" s="2">
        <f t="shared" si="6"/>
        <v>43747.463460798608</v>
      </c>
    </row>
    <row r="432" spans="1:10" x14ac:dyDescent="0.25">
      <c r="A432" s="7" t="s">
        <v>1184</v>
      </c>
      <c r="B432" s="8">
        <v>393.75</v>
      </c>
      <c r="C432" s="8">
        <v>20.478950000000001</v>
      </c>
      <c r="D432" s="8">
        <v>73</v>
      </c>
      <c r="E432" s="8">
        <v>0</v>
      </c>
      <c r="F432" s="8">
        <v>0</v>
      </c>
      <c r="G432" s="8">
        <v>0</v>
      </c>
      <c r="H432" s="8" t="s">
        <v>1185</v>
      </c>
      <c r="I432" s="8">
        <v>526.6875</v>
      </c>
      <c r="J432" s="3">
        <f t="shared" si="6"/>
        <v>43747.463531875001</v>
      </c>
    </row>
    <row r="433" spans="1:10" x14ac:dyDescent="0.25">
      <c r="A433" s="5" t="s">
        <v>1186</v>
      </c>
      <c r="B433" s="6">
        <v>393.75</v>
      </c>
      <c r="C433" s="6">
        <v>20.478950000000001</v>
      </c>
      <c r="D433" s="6">
        <v>73</v>
      </c>
      <c r="E433" s="6">
        <v>0</v>
      </c>
      <c r="F433" s="6">
        <v>0</v>
      </c>
      <c r="G433" s="6">
        <v>3</v>
      </c>
      <c r="H433" s="6" t="s">
        <v>1187</v>
      </c>
      <c r="I433" s="6">
        <v>526.5</v>
      </c>
      <c r="J433" s="2">
        <f t="shared" si="6"/>
        <v>43747.463604074073</v>
      </c>
    </row>
    <row r="434" spans="1:10" x14ac:dyDescent="0.25">
      <c r="A434" s="7" t="s">
        <v>1188</v>
      </c>
      <c r="B434" s="8">
        <v>393.75</v>
      </c>
      <c r="C434" s="8">
        <v>20.478950000000001</v>
      </c>
      <c r="D434" s="8">
        <v>74</v>
      </c>
      <c r="E434" s="8">
        <v>0</v>
      </c>
      <c r="F434" s="8">
        <v>0</v>
      </c>
      <c r="G434" s="8">
        <v>1</v>
      </c>
      <c r="H434" s="8" t="s">
        <v>1189</v>
      </c>
      <c r="I434" s="8">
        <v>526.6875</v>
      </c>
      <c r="J434" s="3">
        <f t="shared" si="6"/>
        <v>43747.46368739583</v>
      </c>
    </row>
    <row r="435" spans="1:10" x14ac:dyDescent="0.25">
      <c r="A435" s="5" t="s">
        <v>1190</v>
      </c>
      <c r="B435" s="6">
        <v>393.75</v>
      </c>
      <c r="C435" s="6">
        <v>20.531590000000001</v>
      </c>
      <c r="D435" s="6">
        <v>76</v>
      </c>
      <c r="E435" s="6">
        <v>0</v>
      </c>
      <c r="F435" s="6">
        <v>0</v>
      </c>
      <c r="G435" s="6">
        <v>5</v>
      </c>
      <c r="H435" s="6" t="s">
        <v>1191</v>
      </c>
      <c r="I435" s="6">
        <v>526.6875</v>
      </c>
      <c r="J435" s="2">
        <f t="shared" si="6"/>
        <v>43747.463771122682</v>
      </c>
    </row>
    <row r="436" spans="1:10" x14ac:dyDescent="0.25">
      <c r="A436" s="7" t="s">
        <v>1192</v>
      </c>
      <c r="B436" s="8">
        <v>393.75</v>
      </c>
      <c r="C436" s="8">
        <v>20.478950000000001</v>
      </c>
      <c r="D436" s="8">
        <v>76</v>
      </c>
      <c r="E436" s="8">
        <v>0</v>
      </c>
      <c r="F436" s="8">
        <v>0</v>
      </c>
      <c r="G436" s="8">
        <v>0</v>
      </c>
      <c r="H436" s="8" t="s">
        <v>1193</v>
      </c>
      <c r="I436" s="8">
        <v>526.6875</v>
      </c>
      <c r="J436" s="3">
        <f t="shared" si="6"/>
        <v>43747.463854305555</v>
      </c>
    </row>
    <row r="437" spans="1:10" x14ac:dyDescent="0.25">
      <c r="A437" s="5" t="s">
        <v>1194</v>
      </c>
      <c r="B437" s="6">
        <v>412.5</v>
      </c>
      <c r="C437" s="6">
        <v>20.478950000000001</v>
      </c>
      <c r="D437" s="6">
        <v>76</v>
      </c>
      <c r="E437" s="6">
        <v>0</v>
      </c>
      <c r="F437" s="6">
        <v>0</v>
      </c>
      <c r="G437" s="6">
        <v>0</v>
      </c>
      <c r="H437" s="6" t="s">
        <v>1195</v>
      </c>
      <c r="I437" s="6">
        <v>532.5</v>
      </c>
      <c r="J437" s="2">
        <f t="shared" si="6"/>
        <v>43747.463937766202</v>
      </c>
    </row>
    <row r="438" spans="1:10" x14ac:dyDescent="0.25">
      <c r="A438" s="7" t="s">
        <v>1196</v>
      </c>
      <c r="B438" s="8">
        <v>393.75</v>
      </c>
      <c r="C438" s="8">
        <v>20.478950000000001</v>
      </c>
      <c r="D438" s="8">
        <v>79</v>
      </c>
      <c r="E438" s="8">
        <v>0</v>
      </c>
      <c r="F438" s="8">
        <v>0</v>
      </c>
      <c r="G438" s="8">
        <v>4</v>
      </c>
      <c r="H438" s="8" t="s">
        <v>1197</v>
      </c>
      <c r="I438" s="8">
        <v>526.6875</v>
      </c>
      <c r="J438" s="3">
        <f t="shared" si="6"/>
        <v>43747.464021319443</v>
      </c>
    </row>
    <row r="439" spans="1:10" x14ac:dyDescent="0.25">
      <c r="A439" s="5" t="s">
        <v>1198</v>
      </c>
      <c r="B439" s="6">
        <v>393.75</v>
      </c>
      <c r="C439" s="6">
        <v>20.478950000000001</v>
      </c>
      <c r="D439" s="6">
        <v>78</v>
      </c>
      <c r="E439" s="6">
        <v>0</v>
      </c>
      <c r="F439" s="6">
        <v>0</v>
      </c>
      <c r="G439" s="6">
        <v>5</v>
      </c>
      <c r="H439" s="6" t="s">
        <v>1199</v>
      </c>
      <c r="I439" s="6">
        <v>526.6875</v>
      </c>
      <c r="J439" s="2">
        <f t="shared" si="6"/>
        <v>43747.464104432867</v>
      </c>
    </row>
    <row r="440" spans="1:10" x14ac:dyDescent="0.25">
      <c r="A440" s="7" t="s">
        <v>1200</v>
      </c>
      <c r="B440" s="8">
        <v>393.75</v>
      </c>
      <c r="C440" s="8">
        <v>20.478950000000001</v>
      </c>
      <c r="D440" s="8">
        <v>78</v>
      </c>
      <c r="E440" s="8">
        <v>0</v>
      </c>
      <c r="F440" s="8">
        <v>0</v>
      </c>
      <c r="G440" s="8">
        <v>6</v>
      </c>
      <c r="H440" s="8" t="s">
        <v>1201</v>
      </c>
      <c r="I440" s="8">
        <v>526.6875</v>
      </c>
      <c r="J440" s="3">
        <f t="shared" si="6"/>
        <v>43747.464176307869</v>
      </c>
    </row>
    <row r="441" spans="1:10" x14ac:dyDescent="0.25">
      <c r="A441" s="5" t="s">
        <v>1202</v>
      </c>
      <c r="B441" s="6">
        <v>393.75</v>
      </c>
      <c r="C441" s="6">
        <v>20.478950000000001</v>
      </c>
      <c r="D441" s="6">
        <v>78</v>
      </c>
      <c r="E441" s="6">
        <v>0</v>
      </c>
      <c r="F441" s="6">
        <v>0</v>
      </c>
      <c r="G441" s="6">
        <v>1</v>
      </c>
      <c r="H441" s="6" t="s">
        <v>1203</v>
      </c>
      <c r="I441" s="6">
        <v>526.6875</v>
      </c>
      <c r="J441" s="2">
        <f t="shared" si="6"/>
        <v>43747.464260335641</v>
      </c>
    </row>
    <row r="442" spans="1:10" x14ac:dyDescent="0.25">
      <c r="A442" s="7" t="s">
        <v>1204</v>
      </c>
      <c r="B442" s="8">
        <v>393.75</v>
      </c>
      <c r="C442" s="8">
        <v>20.478950000000001</v>
      </c>
      <c r="D442" s="8">
        <v>78</v>
      </c>
      <c r="E442" s="8">
        <v>0</v>
      </c>
      <c r="F442" s="8">
        <v>0</v>
      </c>
      <c r="G442" s="8">
        <v>0</v>
      </c>
      <c r="H442" s="8" t="s">
        <v>1205</v>
      </c>
      <c r="I442" s="8">
        <v>526.6875</v>
      </c>
      <c r="J442" s="3">
        <f t="shared" si="6"/>
        <v>43747.464343310181</v>
      </c>
    </row>
    <row r="443" spans="1:10" x14ac:dyDescent="0.25">
      <c r="A443" s="5" t="s">
        <v>1206</v>
      </c>
      <c r="B443" s="6">
        <v>393.75</v>
      </c>
      <c r="C443" s="6">
        <v>20.531590000000001</v>
      </c>
      <c r="D443" s="6">
        <v>77</v>
      </c>
      <c r="E443" s="6">
        <v>0</v>
      </c>
      <c r="F443" s="6">
        <v>0</v>
      </c>
      <c r="G443" s="6">
        <v>4</v>
      </c>
      <c r="H443" s="6" t="s">
        <v>1207</v>
      </c>
      <c r="I443" s="6">
        <v>526.6875</v>
      </c>
      <c r="J443" s="2">
        <f t="shared" si="6"/>
        <v>43747.464426643513</v>
      </c>
    </row>
    <row r="444" spans="1:10" x14ac:dyDescent="0.25">
      <c r="A444" s="7" t="s">
        <v>1208</v>
      </c>
      <c r="B444" s="8">
        <v>393.75</v>
      </c>
      <c r="C444" s="8">
        <v>20.478950000000001</v>
      </c>
      <c r="D444" s="8">
        <v>77</v>
      </c>
      <c r="E444" s="8">
        <v>0</v>
      </c>
      <c r="F444" s="8">
        <v>0</v>
      </c>
      <c r="G444" s="8">
        <v>0</v>
      </c>
      <c r="H444" s="8" t="s">
        <v>1209</v>
      </c>
      <c r="I444" s="8">
        <v>526.6875</v>
      </c>
      <c r="J444" s="3">
        <f t="shared" si="6"/>
        <v>43747.464509861107</v>
      </c>
    </row>
    <row r="445" spans="1:10" x14ac:dyDescent="0.25">
      <c r="A445" s="5" t="s">
        <v>1210</v>
      </c>
      <c r="B445" s="6">
        <v>393.75</v>
      </c>
      <c r="C445" s="6">
        <v>20.478950000000001</v>
      </c>
      <c r="D445" s="6">
        <v>78</v>
      </c>
      <c r="E445" s="6">
        <v>0</v>
      </c>
      <c r="F445" s="6">
        <v>0</v>
      </c>
      <c r="G445" s="6">
        <v>0</v>
      </c>
      <c r="H445" s="6" t="s">
        <v>1211</v>
      </c>
      <c r="I445" s="6">
        <v>526.6875</v>
      </c>
      <c r="J445" s="2">
        <f t="shared" si="6"/>
        <v>43747.464581967586</v>
      </c>
    </row>
    <row r="446" spans="1:10" x14ac:dyDescent="0.25">
      <c r="A446" s="7" t="s">
        <v>1212</v>
      </c>
      <c r="B446" s="8">
        <v>393.75</v>
      </c>
      <c r="C446" s="8">
        <v>20.478950000000001</v>
      </c>
      <c r="D446" s="8">
        <v>79</v>
      </c>
      <c r="E446" s="8">
        <v>0</v>
      </c>
      <c r="F446" s="8">
        <v>0</v>
      </c>
      <c r="G446" s="8">
        <v>10</v>
      </c>
      <c r="H446" s="8" t="s">
        <v>1213</v>
      </c>
      <c r="I446" s="8">
        <v>526.6875</v>
      </c>
      <c r="J446" s="3">
        <f t="shared" si="6"/>
        <v>43747.464665196756</v>
      </c>
    </row>
    <row r="447" spans="1:10" x14ac:dyDescent="0.25">
      <c r="A447" s="5" t="s">
        <v>1214</v>
      </c>
      <c r="B447" s="6">
        <v>393.75</v>
      </c>
      <c r="C447" s="6">
        <v>20.478950000000001</v>
      </c>
      <c r="D447" s="6">
        <v>78</v>
      </c>
      <c r="E447" s="6">
        <v>0</v>
      </c>
      <c r="F447" s="6">
        <v>0</v>
      </c>
      <c r="G447" s="6">
        <v>20</v>
      </c>
      <c r="H447" s="6" t="s">
        <v>1215</v>
      </c>
      <c r="I447" s="6">
        <v>526.5</v>
      </c>
      <c r="J447" s="2">
        <f t="shared" si="6"/>
        <v>43747.464748865743</v>
      </c>
    </row>
    <row r="448" spans="1:10" x14ac:dyDescent="0.25">
      <c r="A448" s="7" t="s">
        <v>1216</v>
      </c>
      <c r="B448" s="8">
        <v>393.75</v>
      </c>
      <c r="C448" s="8">
        <v>20.478950000000001</v>
      </c>
      <c r="D448" s="8">
        <v>79</v>
      </c>
      <c r="E448" s="8">
        <v>0</v>
      </c>
      <c r="F448" s="8">
        <v>0</v>
      </c>
      <c r="G448" s="8">
        <v>5</v>
      </c>
      <c r="H448" s="8" t="s">
        <v>1217</v>
      </c>
      <c r="I448" s="8">
        <v>526.5</v>
      </c>
      <c r="J448" s="3">
        <f t="shared" si="6"/>
        <v>43747.464832199075</v>
      </c>
    </row>
    <row r="449" spans="1:10" x14ac:dyDescent="0.25">
      <c r="A449" s="5" t="s">
        <v>1218</v>
      </c>
      <c r="B449" s="6">
        <v>393.75</v>
      </c>
      <c r="C449" s="6">
        <v>20.531590000000001</v>
      </c>
      <c r="D449" s="6">
        <v>80</v>
      </c>
      <c r="E449" s="6">
        <v>0</v>
      </c>
      <c r="F449" s="6">
        <v>0</v>
      </c>
      <c r="G449" s="6">
        <v>5</v>
      </c>
      <c r="H449" s="6" t="s">
        <v>1219</v>
      </c>
      <c r="I449" s="6">
        <v>526.6875</v>
      </c>
      <c r="J449" s="2">
        <f t="shared" si="6"/>
        <v>43747.464915555553</v>
      </c>
    </row>
    <row r="450" spans="1:10" x14ac:dyDescent="0.25">
      <c r="A450" s="7" t="s">
        <v>1220</v>
      </c>
      <c r="B450" s="8">
        <v>393.75</v>
      </c>
      <c r="C450" s="8">
        <v>20.531590000000001</v>
      </c>
      <c r="D450" s="8">
        <v>80</v>
      </c>
      <c r="E450" s="8">
        <v>0</v>
      </c>
      <c r="F450" s="8">
        <v>0</v>
      </c>
      <c r="G450" s="8">
        <v>11</v>
      </c>
      <c r="H450" s="8" t="s">
        <v>1221</v>
      </c>
      <c r="I450" s="8">
        <v>526.6875</v>
      </c>
      <c r="J450" s="3">
        <f t="shared" ref="J450:J513" si="7">(H450/86400000)+25569+(7/24)</f>
        <v>43747.464987187494</v>
      </c>
    </row>
    <row r="451" spans="1:10" x14ac:dyDescent="0.25">
      <c r="A451" s="5" t="s">
        <v>1222</v>
      </c>
      <c r="B451" s="6">
        <v>393.75</v>
      </c>
      <c r="C451" s="6">
        <v>20.531590000000001</v>
      </c>
      <c r="D451" s="6">
        <v>80</v>
      </c>
      <c r="E451" s="6">
        <v>0</v>
      </c>
      <c r="F451" s="6">
        <v>0</v>
      </c>
      <c r="G451" s="6">
        <v>8</v>
      </c>
      <c r="H451" s="6" t="s">
        <v>1223</v>
      </c>
      <c r="I451" s="6">
        <v>526.6875</v>
      </c>
      <c r="J451" s="2">
        <f t="shared" si="7"/>
        <v>43747.465058715279</v>
      </c>
    </row>
    <row r="452" spans="1:10" x14ac:dyDescent="0.25">
      <c r="A452" s="7" t="s">
        <v>1224</v>
      </c>
      <c r="B452" s="8">
        <v>393.75</v>
      </c>
      <c r="C452" s="8">
        <v>20.584240000000001</v>
      </c>
      <c r="D452" s="8">
        <v>78</v>
      </c>
      <c r="E452" s="8">
        <v>0</v>
      </c>
      <c r="F452" s="8">
        <v>0</v>
      </c>
      <c r="G452" s="8">
        <v>0</v>
      </c>
      <c r="H452" s="8" t="s">
        <v>1225</v>
      </c>
      <c r="I452" s="8">
        <v>526.6875</v>
      </c>
      <c r="J452" s="3">
        <f t="shared" si="7"/>
        <v>43747.465142511566</v>
      </c>
    </row>
    <row r="453" spans="1:10" x14ac:dyDescent="0.25">
      <c r="A453" s="5" t="s">
        <v>1226</v>
      </c>
      <c r="B453" s="6">
        <v>393.75</v>
      </c>
      <c r="C453" s="6">
        <v>20.531590000000001</v>
      </c>
      <c r="D453" s="6">
        <v>78</v>
      </c>
      <c r="E453" s="6">
        <v>0</v>
      </c>
      <c r="F453" s="6">
        <v>0</v>
      </c>
      <c r="G453" s="6">
        <v>9</v>
      </c>
      <c r="H453" s="6" t="s">
        <v>1227</v>
      </c>
      <c r="I453" s="6">
        <v>526.6875</v>
      </c>
      <c r="J453" s="2">
        <f t="shared" si="7"/>
        <v>43747.465213831012</v>
      </c>
    </row>
    <row r="454" spans="1:10" x14ac:dyDescent="0.25">
      <c r="A454" s="7" t="s">
        <v>1228</v>
      </c>
      <c r="B454" s="8">
        <v>393.75</v>
      </c>
      <c r="C454" s="8">
        <v>20.478950000000001</v>
      </c>
      <c r="D454" s="8">
        <v>79</v>
      </c>
      <c r="E454" s="8">
        <v>0</v>
      </c>
      <c r="F454" s="8">
        <v>0</v>
      </c>
      <c r="G454" s="8">
        <v>9</v>
      </c>
      <c r="H454" s="8" t="s">
        <v>1229</v>
      </c>
      <c r="I454" s="8">
        <v>526.6875</v>
      </c>
      <c r="J454" s="3">
        <f t="shared" si="7"/>
        <v>43747.465297048613</v>
      </c>
    </row>
    <row r="455" spans="1:10" x14ac:dyDescent="0.25">
      <c r="A455" s="5" t="s">
        <v>1230</v>
      </c>
      <c r="B455" s="6">
        <v>393.75</v>
      </c>
      <c r="C455" s="6">
        <v>20.531590000000001</v>
      </c>
      <c r="D455" s="6">
        <v>79</v>
      </c>
      <c r="E455" s="6">
        <v>0</v>
      </c>
      <c r="F455" s="6">
        <v>0</v>
      </c>
      <c r="G455" s="6">
        <v>3</v>
      </c>
      <c r="H455" s="6" t="s">
        <v>1231</v>
      </c>
      <c r="I455" s="6">
        <v>526.5</v>
      </c>
      <c r="J455" s="2">
        <f t="shared" si="7"/>
        <v>43747.465368425925</v>
      </c>
    </row>
    <row r="456" spans="1:10" x14ac:dyDescent="0.25">
      <c r="A456" s="7" t="s">
        <v>1232</v>
      </c>
      <c r="B456" s="8">
        <v>412.5</v>
      </c>
      <c r="C456" s="8">
        <v>20.584240000000001</v>
      </c>
      <c r="D456" s="8">
        <v>78</v>
      </c>
      <c r="E456" s="8">
        <v>0</v>
      </c>
      <c r="F456" s="8">
        <v>0</v>
      </c>
      <c r="G456" s="8">
        <v>7</v>
      </c>
      <c r="H456" s="8" t="s">
        <v>1233</v>
      </c>
      <c r="I456" s="8">
        <v>532.6875</v>
      </c>
      <c r="J456" s="3">
        <f t="shared" si="7"/>
        <v>43747.465440428241</v>
      </c>
    </row>
    <row r="457" spans="1:10" x14ac:dyDescent="0.25">
      <c r="A457" s="5" t="s">
        <v>1234</v>
      </c>
      <c r="B457" s="6">
        <v>393.75</v>
      </c>
      <c r="C457" s="6">
        <v>20.531590000000001</v>
      </c>
      <c r="D457" s="6">
        <v>79</v>
      </c>
      <c r="E457" s="6">
        <v>0</v>
      </c>
      <c r="F457" s="6">
        <v>0</v>
      </c>
      <c r="G457" s="6">
        <v>8</v>
      </c>
      <c r="H457" s="6" t="s">
        <v>1235</v>
      </c>
      <c r="I457" s="6">
        <v>526.6875</v>
      </c>
      <c r="J457" s="2">
        <f t="shared" si="7"/>
        <v>43747.465523981482</v>
      </c>
    </row>
    <row r="458" spans="1:10" x14ac:dyDescent="0.25">
      <c r="A458" s="7" t="s">
        <v>1236</v>
      </c>
      <c r="B458" s="8">
        <v>393.75</v>
      </c>
      <c r="C458" s="8">
        <v>20.531590000000001</v>
      </c>
      <c r="D458" s="8">
        <v>79</v>
      </c>
      <c r="E458" s="8">
        <v>0</v>
      </c>
      <c r="F458" s="8">
        <v>0</v>
      </c>
      <c r="G458" s="8">
        <v>3</v>
      </c>
      <c r="H458" s="8" t="s">
        <v>1237</v>
      </c>
      <c r="I458" s="8">
        <v>526.5</v>
      </c>
      <c r="J458" s="3">
        <f t="shared" si="7"/>
        <v>43747.465607314814</v>
      </c>
    </row>
    <row r="459" spans="1:10" x14ac:dyDescent="0.25">
      <c r="A459" s="5" t="s">
        <v>1238</v>
      </c>
      <c r="B459" s="6">
        <v>393.75</v>
      </c>
      <c r="C459" s="6">
        <v>20.531590000000001</v>
      </c>
      <c r="D459" s="6">
        <v>77</v>
      </c>
      <c r="E459" s="6">
        <v>0</v>
      </c>
      <c r="F459" s="6">
        <v>0</v>
      </c>
      <c r="G459" s="6">
        <v>8</v>
      </c>
      <c r="H459" s="6" t="s">
        <v>1239</v>
      </c>
      <c r="I459" s="6">
        <v>526.5</v>
      </c>
      <c r="J459" s="2">
        <f t="shared" si="7"/>
        <v>43747.465702685186</v>
      </c>
    </row>
    <row r="460" spans="1:10" x14ac:dyDescent="0.25">
      <c r="A460" s="7" t="s">
        <v>1240</v>
      </c>
      <c r="B460" s="8">
        <v>412.5</v>
      </c>
      <c r="C460" s="8">
        <v>20.531590000000001</v>
      </c>
      <c r="D460" s="8">
        <v>78</v>
      </c>
      <c r="E460" s="8">
        <v>0</v>
      </c>
      <c r="F460" s="8">
        <v>0</v>
      </c>
      <c r="G460" s="8">
        <v>10</v>
      </c>
      <c r="H460" s="8" t="s">
        <v>1241</v>
      </c>
      <c r="I460" s="8">
        <v>532.3125</v>
      </c>
      <c r="J460" s="3">
        <f t="shared" si="7"/>
        <v>43747.46579819444</v>
      </c>
    </row>
    <row r="461" spans="1:10" x14ac:dyDescent="0.25">
      <c r="A461" s="5" t="s">
        <v>1242</v>
      </c>
      <c r="B461" s="6">
        <v>393.75</v>
      </c>
      <c r="C461" s="6">
        <v>20.531590000000001</v>
      </c>
      <c r="D461" s="6">
        <v>78</v>
      </c>
      <c r="E461" s="6">
        <v>0</v>
      </c>
      <c r="F461" s="6">
        <v>0</v>
      </c>
      <c r="G461" s="6">
        <v>6</v>
      </c>
      <c r="H461" s="6" t="s">
        <v>1243</v>
      </c>
      <c r="I461" s="6">
        <v>526.5</v>
      </c>
      <c r="J461" s="2">
        <f t="shared" si="7"/>
        <v>43747.465881944438</v>
      </c>
    </row>
    <row r="462" spans="1:10" x14ac:dyDescent="0.25">
      <c r="A462" s="7" t="s">
        <v>1244</v>
      </c>
      <c r="B462" s="8">
        <v>393.75</v>
      </c>
      <c r="C462" s="8">
        <v>20.478950000000001</v>
      </c>
      <c r="D462" s="8">
        <v>78</v>
      </c>
      <c r="E462" s="8">
        <v>0</v>
      </c>
      <c r="F462" s="8">
        <v>0</v>
      </c>
      <c r="G462" s="8">
        <v>12</v>
      </c>
      <c r="H462" s="8" t="s">
        <v>1245</v>
      </c>
      <c r="I462" s="8">
        <v>526.6875</v>
      </c>
      <c r="J462" s="3">
        <f t="shared" si="7"/>
        <v>43747.465965104166</v>
      </c>
    </row>
    <row r="463" spans="1:10" x14ac:dyDescent="0.25">
      <c r="A463" s="5" t="s">
        <v>1246</v>
      </c>
      <c r="B463" s="6">
        <v>393.75</v>
      </c>
      <c r="C463" s="6">
        <v>20.478950000000001</v>
      </c>
      <c r="D463" s="6">
        <v>77</v>
      </c>
      <c r="E463" s="6">
        <v>0</v>
      </c>
      <c r="F463" s="6">
        <v>0</v>
      </c>
      <c r="G463" s="6">
        <v>9</v>
      </c>
      <c r="H463" s="6" t="s">
        <v>1247</v>
      </c>
      <c r="I463" s="6">
        <v>526.6875</v>
      </c>
      <c r="J463" s="2">
        <f t="shared" si="7"/>
        <v>43747.46604890046</v>
      </c>
    </row>
    <row r="464" spans="1:10" x14ac:dyDescent="0.25">
      <c r="A464" s="7" t="s">
        <v>1248</v>
      </c>
      <c r="B464" s="8">
        <v>393.75</v>
      </c>
      <c r="C464" s="8">
        <v>20.531590000000001</v>
      </c>
      <c r="D464" s="8">
        <v>77</v>
      </c>
      <c r="E464" s="8">
        <v>0</v>
      </c>
      <c r="F464" s="8">
        <v>0</v>
      </c>
      <c r="G464" s="8">
        <v>16</v>
      </c>
      <c r="H464" s="8" t="s">
        <v>1249</v>
      </c>
      <c r="I464" s="8">
        <v>526.5</v>
      </c>
      <c r="J464" s="3">
        <f t="shared" si="7"/>
        <v>43747.466132106478</v>
      </c>
    </row>
    <row r="465" spans="1:10" x14ac:dyDescent="0.25">
      <c r="A465" s="5" t="s">
        <v>1250</v>
      </c>
      <c r="B465" s="6">
        <v>393.75</v>
      </c>
      <c r="C465" s="6">
        <v>20.531590000000001</v>
      </c>
      <c r="D465" s="6">
        <v>79</v>
      </c>
      <c r="E465" s="6">
        <v>0</v>
      </c>
      <c r="F465" s="6">
        <v>0</v>
      </c>
      <c r="G465" s="6">
        <v>12</v>
      </c>
      <c r="H465" s="6" t="s">
        <v>1251</v>
      </c>
      <c r="I465" s="6">
        <v>526.5</v>
      </c>
      <c r="J465" s="2">
        <f t="shared" si="7"/>
        <v>43747.466215567132</v>
      </c>
    </row>
    <row r="466" spans="1:10" x14ac:dyDescent="0.25">
      <c r="A466" s="7" t="s">
        <v>1252</v>
      </c>
      <c r="B466" s="8">
        <v>393.75</v>
      </c>
      <c r="C466" s="8">
        <v>20.478950000000001</v>
      </c>
      <c r="D466" s="8">
        <v>80</v>
      </c>
      <c r="E466" s="8">
        <v>0</v>
      </c>
      <c r="F466" s="8">
        <v>0</v>
      </c>
      <c r="G466" s="8">
        <v>15</v>
      </c>
      <c r="H466" s="8" t="s">
        <v>1253</v>
      </c>
      <c r="I466" s="8">
        <v>526.6875</v>
      </c>
      <c r="J466" s="3">
        <f t="shared" si="7"/>
        <v>43747.466299131942</v>
      </c>
    </row>
    <row r="467" spans="1:10" x14ac:dyDescent="0.25">
      <c r="A467" s="5" t="s">
        <v>1254</v>
      </c>
      <c r="B467" s="6">
        <v>412.5</v>
      </c>
      <c r="C467" s="6">
        <v>20.478950000000001</v>
      </c>
      <c r="D467" s="6">
        <v>80</v>
      </c>
      <c r="E467" s="6">
        <v>0</v>
      </c>
      <c r="F467" s="6">
        <v>0</v>
      </c>
      <c r="G467" s="6">
        <v>14</v>
      </c>
      <c r="H467" s="6" t="s">
        <v>1255</v>
      </c>
      <c r="I467" s="6">
        <v>532.3125</v>
      </c>
      <c r="J467" s="2">
        <f t="shared" si="7"/>
        <v>43747.466382418977</v>
      </c>
    </row>
    <row r="468" spans="1:10" x14ac:dyDescent="0.25">
      <c r="A468" s="7" t="s">
        <v>1256</v>
      </c>
      <c r="B468" s="8">
        <v>393.75</v>
      </c>
      <c r="C468" s="8">
        <v>20.478950000000001</v>
      </c>
      <c r="D468" s="8">
        <v>80</v>
      </c>
      <c r="E468" s="8">
        <v>0</v>
      </c>
      <c r="F468" s="8">
        <v>0</v>
      </c>
      <c r="G468" s="8">
        <v>14</v>
      </c>
      <c r="H468" s="8" t="s">
        <v>1257</v>
      </c>
      <c r="I468" s="8">
        <v>526.6875</v>
      </c>
      <c r="J468" s="3">
        <f t="shared" si="7"/>
        <v>43747.466453993053</v>
      </c>
    </row>
    <row r="469" spans="1:10" x14ac:dyDescent="0.25">
      <c r="A469" s="5" t="s">
        <v>1258</v>
      </c>
      <c r="B469" s="6">
        <v>393.75</v>
      </c>
      <c r="C469" s="6">
        <v>20.478950000000001</v>
      </c>
      <c r="D469" s="6">
        <v>80</v>
      </c>
      <c r="E469" s="6">
        <v>0</v>
      </c>
      <c r="F469" s="6">
        <v>0</v>
      </c>
      <c r="G469" s="6">
        <v>18</v>
      </c>
      <c r="H469" s="6" t="s">
        <v>1259</v>
      </c>
      <c r="I469" s="6">
        <v>526.5</v>
      </c>
      <c r="J469" s="2">
        <f t="shared" si="7"/>
        <v>43747.46653755787</v>
      </c>
    </row>
    <row r="470" spans="1:10" x14ac:dyDescent="0.25">
      <c r="A470" s="7" t="s">
        <v>1260</v>
      </c>
      <c r="B470" s="8">
        <v>393.75</v>
      </c>
      <c r="C470" s="8">
        <v>20.478950000000001</v>
      </c>
      <c r="D470" s="8">
        <v>80</v>
      </c>
      <c r="E470" s="8">
        <v>0</v>
      </c>
      <c r="F470" s="8">
        <v>0</v>
      </c>
      <c r="G470" s="8">
        <v>20</v>
      </c>
      <c r="H470" s="8" t="s">
        <v>1261</v>
      </c>
      <c r="I470" s="8">
        <v>526.6875</v>
      </c>
      <c r="J470" s="3">
        <f t="shared" si="7"/>
        <v>43747.466621099535</v>
      </c>
    </row>
    <row r="471" spans="1:10" x14ac:dyDescent="0.25">
      <c r="A471" s="5" t="s">
        <v>1262</v>
      </c>
      <c r="B471" s="6">
        <v>393.75</v>
      </c>
      <c r="C471" s="6">
        <v>20.478950000000001</v>
      </c>
      <c r="D471" s="6">
        <v>82</v>
      </c>
      <c r="E471" s="6">
        <v>0</v>
      </c>
      <c r="F471" s="6">
        <v>0</v>
      </c>
      <c r="G471" s="6">
        <v>25</v>
      </c>
      <c r="H471" s="6" t="s">
        <v>1263</v>
      </c>
      <c r="I471" s="6">
        <v>526.5</v>
      </c>
      <c r="J471" s="2">
        <f t="shared" si="7"/>
        <v>43747.466704571758</v>
      </c>
    </row>
    <row r="472" spans="1:10" x14ac:dyDescent="0.25">
      <c r="A472" s="7" t="s">
        <v>1264</v>
      </c>
      <c r="B472" s="8">
        <v>428.125</v>
      </c>
      <c r="C472" s="8">
        <v>20.478950000000001</v>
      </c>
      <c r="D472" s="8">
        <v>82</v>
      </c>
      <c r="E472" s="8">
        <v>0</v>
      </c>
      <c r="F472" s="8">
        <v>0</v>
      </c>
      <c r="G472" s="8">
        <v>16</v>
      </c>
      <c r="H472" s="8" t="s">
        <v>1265</v>
      </c>
      <c r="I472" s="8">
        <v>537</v>
      </c>
      <c r="J472" s="3">
        <f t="shared" si="7"/>
        <v>43747.466788090278</v>
      </c>
    </row>
    <row r="473" spans="1:10" x14ac:dyDescent="0.25">
      <c r="A473" s="5" t="s">
        <v>1266</v>
      </c>
      <c r="B473" s="6">
        <v>393.75</v>
      </c>
      <c r="C473" s="6">
        <v>20.478950000000001</v>
      </c>
      <c r="D473" s="6">
        <v>82</v>
      </c>
      <c r="E473" s="6">
        <v>0</v>
      </c>
      <c r="F473" s="6">
        <v>0</v>
      </c>
      <c r="G473" s="6">
        <v>7</v>
      </c>
      <c r="H473" s="6" t="s">
        <v>1267</v>
      </c>
      <c r="I473" s="6">
        <v>526.6875</v>
      </c>
      <c r="J473" s="2">
        <f t="shared" si="7"/>
        <v>43747.466883506939</v>
      </c>
    </row>
    <row r="474" spans="1:10" x14ac:dyDescent="0.25">
      <c r="A474" s="7" t="s">
        <v>1268</v>
      </c>
      <c r="B474" s="8">
        <v>393.75</v>
      </c>
      <c r="C474" s="8">
        <v>20.531590000000001</v>
      </c>
      <c r="D474" s="8">
        <v>81</v>
      </c>
      <c r="E474" s="8">
        <v>0</v>
      </c>
      <c r="F474" s="8">
        <v>0</v>
      </c>
      <c r="G474" s="8">
        <v>20</v>
      </c>
      <c r="H474" s="8" t="s">
        <v>1269</v>
      </c>
      <c r="I474" s="8">
        <v>526.6875</v>
      </c>
      <c r="J474" s="3">
        <f t="shared" si="7"/>
        <v>43747.46696672454</v>
      </c>
    </row>
    <row r="475" spans="1:10" x14ac:dyDescent="0.25">
      <c r="A475" s="5" t="s">
        <v>1270</v>
      </c>
      <c r="B475" s="6">
        <v>393.75</v>
      </c>
      <c r="C475" s="6">
        <v>20.531590000000001</v>
      </c>
      <c r="D475" s="6">
        <v>81</v>
      </c>
      <c r="E475" s="6">
        <v>0</v>
      </c>
      <c r="F475" s="6">
        <v>0</v>
      </c>
      <c r="G475" s="6">
        <v>6</v>
      </c>
      <c r="H475" s="6" t="s">
        <v>1271</v>
      </c>
      <c r="I475" s="6">
        <v>526.5</v>
      </c>
      <c r="J475" s="2">
        <f t="shared" si="7"/>
        <v>43747.467050277781</v>
      </c>
    </row>
    <row r="476" spans="1:10" x14ac:dyDescent="0.25">
      <c r="A476" s="7" t="s">
        <v>1272</v>
      </c>
      <c r="B476" s="8">
        <v>393.75</v>
      </c>
      <c r="C476" s="8">
        <v>20.531590000000001</v>
      </c>
      <c r="D476" s="8">
        <v>81</v>
      </c>
      <c r="E476" s="8">
        <v>0</v>
      </c>
      <c r="F476" s="8">
        <v>0</v>
      </c>
      <c r="G476" s="8">
        <v>16</v>
      </c>
      <c r="H476" s="8" t="s">
        <v>1273</v>
      </c>
      <c r="I476" s="8">
        <v>526.6875</v>
      </c>
      <c r="J476" s="3">
        <f t="shared" si="7"/>
        <v>43747.467133726845</v>
      </c>
    </row>
    <row r="477" spans="1:10" x14ac:dyDescent="0.25">
      <c r="A477" s="5" t="s">
        <v>1274</v>
      </c>
      <c r="B477" s="6">
        <v>393.75</v>
      </c>
      <c r="C477" s="6">
        <v>20.478950000000001</v>
      </c>
      <c r="D477" s="6">
        <v>81</v>
      </c>
      <c r="E477" s="6">
        <v>0</v>
      </c>
      <c r="F477" s="6">
        <v>0</v>
      </c>
      <c r="G477" s="6">
        <v>12</v>
      </c>
      <c r="H477" s="6" t="s">
        <v>1275</v>
      </c>
      <c r="I477" s="6">
        <v>526.6875</v>
      </c>
      <c r="J477" s="2">
        <f t="shared" si="7"/>
        <v>43747.467217291669</v>
      </c>
    </row>
    <row r="478" spans="1:10" x14ac:dyDescent="0.25">
      <c r="A478" s="7" t="s">
        <v>1276</v>
      </c>
      <c r="B478" s="8">
        <v>393.75</v>
      </c>
      <c r="C478" s="8">
        <v>20.531590000000001</v>
      </c>
      <c r="D478" s="8">
        <v>81</v>
      </c>
      <c r="E478" s="8">
        <v>0</v>
      </c>
      <c r="F478" s="8">
        <v>0</v>
      </c>
      <c r="G478" s="8">
        <v>15</v>
      </c>
      <c r="H478" s="8" t="s">
        <v>1277</v>
      </c>
      <c r="I478" s="8">
        <v>526.6875</v>
      </c>
      <c r="J478" s="3">
        <f t="shared" si="7"/>
        <v>43747.467300763885</v>
      </c>
    </row>
    <row r="479" spans="1:10" x14ac:dyDescent="0.25">
      <c r="A479" s="5" t="s">
        <v>1278</v>
      </c>
      <c r="B479" s="6">
        <v>393.75</v>
      </c>
      <c r="C479" s="6">
        <v>20.478950000000001</v>
      </c>
      <c r="D479" s="6">
        <v>81</v>
      </c>
      <c r="E479" s="6">
        <v>0</v>
      </c>
      <c r="F479" s="6">
        <v>0</v>
      </c>
      <c r="G479" s="6">
        <v>12</v>
      </c>
      <c r="H479" s="6" t="s">
        <v>1279</v>
      </c>
      <c r="I479" s="6">
        <v>526.6875</v>
      </c>
      <c r="J479" s="2">
        <f t="shared" si="7"/>
        <v>43747.467384305557</v>
      </c>
    </row>
    <row r="480" spans="1:10" x14ac:dyDescent="0.25">
      <c r="A480" s="7" t="s">
        <v>1280</v>
      </c>
      <c r="B480" s="8">
        <v>393.75</v>
      </c>
      <c r="C480" s="8">
        <v>20.531590000000001</v>
      </c>
      <c r="D480" s="8">
        <v>81</v>
      </c>
      <c r="E480" s="8">
        <v>0</v>
      </c>
      <c r="F480" s="8">
        <v>0</v>
      </c>
      <c r="G480" s="8">
        <v>12</v>
      </c>
      <c r="H480" s="8" t="s">
        <v>1281</v>
      </c>
      <c r="I480" s="8">
        <v>526.6875</v>
      </c>
      <c r="J480" s="3">
        <f t="shared" si="7"/>
        <v>43747.467455474536</v>
      </c>
    </row>
    <row r="481" spans="1:10" x14ac:dyDescent="0.25">
      <c r="A481" s="5" t="s">
        <v>1282</v>
      </c>
      <c r="B481" s="6">
        <v>393.75</v>
      </c>
      <c r="C481" s="6">
        <v>20.478950000000001</v>
      </c>
      <c r="D481" s="6">
        <v>80</v>
      </c>
      <c r="E481" s="6">
        <v>0</v>
      </c>
      <c r="F481" s="6">
        <v>0</v>
      </c>
      <c r="G481" s="6">
        <v>11</v>
      </c>
      <c r="H481" s="6" t="s">
        <v>1283</v>
      </c>
      <c r="I481" s="6">
        <v>526.5</v>
      </c>
      <c r="J481" s="2">
        <f t="shared" si="7"/>
        <v>43747.467538831021</v>
      </c>
    </row>
    <row r="482" spans="1:10" x14ac:dyDescent="0.25">
      <c r="A482" s="7" t="s">
        <v>1284</v>
      </c>
      <c r="B482" s="8">
        <v>393.75</v>
      </c>
      <c r="C482" s="8">
        <v>20.531590000000001</v>
      </c>
      <c r="D482" s="8">
        <v>80</v>
      </c>
      <c r="E482" s="8">
        <v>0</v>
      </c>
      <c r="F482" s="8">
        <v>0</v>
      </c>
      <c r="G482" s="8">
        <v>10</v>
      </c>
      <c r="H482" s="8" t="s">
        <v>1285</v>
      </c>
      <c r="I482" s="8">
        <v>526.6875</v>
      </c>
      <c r="J482" s="3">
        <f t="shared" si="7"/>
        <v>43747.467610706015</v>
      </c>
    </row>
    <row r="483" spans="1:10" x14ac:dyDescent="0.25">
      <c r="A483" s="5" t="s">
        <v>1286</v>
      </c>
      <c r="B483" s="6">
        <v>393.75</v>
      </c>
      <c r="C483" s="6">
        <v>20.478950000000001</v>
      </c>
      <c r="D483" s="6">
        <v>79</v>
      </c>
      <c r="E483" s="6">
        <v>0</v>
      </c>
      <c r="F483" s="6">
        <v>0</v>
      </c>
      <c r="G483" s="6">
        <v>10</v>
      </c>
      <c r="H483" s="6" t="s">
        <v>1287</v>
      </c>
      <c r="I483" s="6">
        <v>526.6875</v>
      </c>
      <c r="J483" s="2">
        <f t="shared" si="7"/>
        <v>43747.467694259256</v>
      </c>
    </row>
    <row r="484" spans="1:10" x14ac:dyDescent="0.25">
      <c r="A484" s="7" t="s">
        <v>1288</v>
      </c>
      <c r="B484" s="8">
        <v>428.125</v>
      </c>
      <c r="C484" s="8">
        <v>20.478950000000001</v>
      </c>
      <c r="D484" s="8">
        <v>79</v>
      </c>
      <c r="E484" s="8">
        <v>0</v>
      </c>
      <c r="F484" s="8">
        <v>0</v>
      </c>
      <c r="G484" s="8">
        <v>12</v>
      </c>
      <c r="H484" s="8" t="s">
        <v>1289</v>
      </c>
      <c r="I484" s="8">
        <v>537.1875</v>
      </c>
      <c r="J484" s="3">
        <f t="shared" si="7"/>
        <v>43747.46776579861</v>
      </c>
    </row>
    <row r="485" spans="1:10" x14ac:dyDescent="0.25">
      <c r="A485" s="5" t="s">
        <v>1290</v>
      </c>
      <c r="B485" s="6">
        <v>393.75</v>
      </c>
      <c r="C485" s="6">
        <v>20.478950000000001</v>
      </c>
      <c r="D485" s="6">
        <v>80</v>
      </c>
      <c r="E485" s="6">
        <v>0</v>
      </c>
      <c r="F485" s="6">
        <v>0</v>
      </c>
      <c r="G485" s="6">
        <v>15</v>
      </c>
      <c r="H485" s="6" t="s">
        <v>1291</v>
      </c>
      <c r="I485" s="6">
        <v>526.5</v>
      </c>
      <c r="J485" s="2">
        <f t="shared" si="7"/>
        <v>43747.467848900465</v>
      </c>
    </row>
    <row r="486" spans="1:10" x14ac:dyDescent="0.25">
      <c r="A486" s="7" t="s">
        <v>1292</v>
      </c>
      <c r="B486" s="8">
        <v>393.75</v>
      </c>
      <c r="C486" s="8">
        <v>20.531590000000001</v>
      </c>
      <c r="D486" s="8">
        <v>80</v>
      </c>
      <c r="E486" s="8">
        <v>0</v>
      </c>
      <c r="F486" s="8">
        <v>0</v>
      </c>
      <c r="G486" s="8">
        <v>9</v>
      </c>
      <c r="H486" s="8" t="s">
        <v>1293</v>
      </c>
      <c r="I486" s="8">
        <v>526.6875</v>
      </c>
      <c r="J486" s="3">
        <f t="shared" si="7"/>
        <v>43747.467920821757</v>
      </c>
    </row>
    <row r="487" spans="1:10" x14ac:dyDescent="0.25">
      <c r="A487" s="5" t="s">
        <v>1294</v>
      </c>
      <c r="B487" s="6">
        <v>393.75</v>
      </c>
      <c r="C487" s="6">
        <v>20.531590000000001</v>
      </c>
      <c r="D487" s="6">
        <v>79</v>
      </c>
      <c r="E487" s="6">
        <v>0</v>
      </c>
      <c r="F487" s="6">
        <v>0</v>
      </c>
      <c r="G487" s="6">
        <v>9</v>
      </c>
      <c r="H487" s="6" t="s">
        <v>1295</v>
      </c>
      <c r="I487" s="6">
        <v>526.6875</v>
      </c>
      <c r="J487" s="2">
        <f t="shared" si="7"/>
        <v>43747.468004212962</v>
      </c>
    </row>
    <row r="488" spans="1:10" x14ac:dyDescent="0.25">
      <c r="A488" s="7" t="s">
        <v>1296</v>
      </c>
      <c r="B488" s="8">
        <v>393.75</v>
      </c>
      <c r="C488" s="8">
        <v>20.531590000000001</v>
      </c>
      <c r="D488" s="8">
        <v>77</v>
      </c>
      <c r="E488" s="8">
        <v>0</v>
      </c>
      <c r="F488" s="8">
        <v>0</v>
      </c>
      <c r="G488" s="8">
        <v>4</v>
      </c>
      <c r="H488" s="8" t="s">
        <v>1297</v>
      </c>
      <c r="I488" s="8">
        <v>526.6875</v>
      </c>
      <c r="J488" s="3">
        <f t="shared" si="7"/>
        <v>43747.468087777779</v>
      </c>
    </row>
    <row r="489" spans="1:10" x14ac:dyDescent="0.25">
      <c r="A489" s="5" t="s">
        <v>1298</v>
      </c>
      <c r="B489" s="6">
        <v>412.5</v>
      </c>
      <c r="C489" s="6">
        <v>20.478950000000001</v>
      </c>
      <c r="D489" s="6">
        <v>77</v>
      </c>
      <c r="E489" s="6">
        <v>0</v>
      </c>
      <c r="F489" s="6">
        <v>0</v>
      </c>
      <c r="G489" s="6">
        <v>3</v>
      </c>
      <c r="H489" s="6" t="s">
        <v>1299</v>
      </c>
      <c r="I489" s="6">
        <v>532.3125</v>
      </c>
      <c r="J489" s="2">
        <f t="shared" si="7"/>
        <v>43747.46818314815</v>
      </c>
    </row>
    <row r="490" spans="1:10" x14ac:dyDescent="0.25">
      <c r="A490" s="7" t="s">
        <v>1300</v>
      </c>
      <c r="B490" s="8">
        <v>393.75</v>
      </c>
      <c r="C490" s="8">
        <v>20.478950000000001</v>
      </c>
      <c r="D490" s="8">
        <v>78</v>
      </c>
      <c r="E490" s="8">
        <v>0</v>
      </c>
      <c r="F490" s="8">
        <v>0</v>
      </c>
      <c r="G490" s="8">
        <v>13</v>
      </c>
      <c r="H490" s="8" t="s">
        <v>1301</v>
      </c>
      <c r="I490" s="8">
        <v>526.6875</v>
      </c>
      <c r="J490" s="3">
        <f t="shared" si="7"/>
        <v>43747.468254675921</v>
      </c>
    </row>
    <row r="491" spans="1:10" x14ac:dyDescent="0.25">
      <c r="A491" s="5" t="s">
        <v>1302</v>
      </c>
      <c r="B491" s="6">
        <v>393.75</v>
      </c>
      <c r="C491" s="6">
        <v>20.478950000000001</v>
      </c>
      <c r="D491" s="6">
        <v>77</v>
      </c>
      <c r="E491" s="6">
        <v>0</v>
      </c>
      <c r="F491" s="6">
        <v>0</v>
      </c>
      <c r="G491" s="6">
        <v>7</v>
      </c>
      <c r="H491" s="6" t="s">
        <v>1303</v>
      </c>
      <c r="I491" s="6">
        <v>526.5</v>
      </c>
      <c r="J491" s="2">
        <f t="shared" si="7"/>
        <v>43747.468337905091</v>
      </c>
    </row>
    <row r="492" spans="1:10" x14ac:dyDescent="0.25">
      <c r="A492" s="7" t="s">
        <v>1304</v>
      </c>
      <c r="B492" s="8">
        <v>412.5</v>
      </c>
      <c r="C492" s="8">
        <v>20.478950000000001</v>
      </c>
      <c r="D492" s="8">
        <v>77</v>
      </c>
      <c r="E492" s="8">
        <v>0</v>
      </c>
      <c r="F492" s="8">
        <v>0</v>
      </c>
      <c r="G492" s="8">
        <v>4</v>
      </c>
      <c r="H492" s="8" t="s">
        <v>1305</v>
      </c>
      <c r="I492" s="8">
        <v>532.125</v>
      </c>
      <c r="J492" s="3">
        <f t="shared" si="7"/>
        <v>43747.46840943287</v>
      </c>
    </row>
    <row r="493" spans="1:10" x14ac:dyDescent="0.25">
      <c r="A493" s="5" t="s">
        <v>1306</v>
      </c>
      <c r="B493" s="6">
        <v>393.75</v>
      </c>
      <c r="C493" s="6">
        <v>20.478950000000001</v>
      </c>
      <c r="D493" s="6">
        <v>74</v>
      </c>
      <c r="E493" s="6">
        <v>0</v>
      </c>
      <c r="F493" s="6">
        <v>0</v>
      </c>
      <c r="G493" s="6">
        <v>12</v>
      </c>
      <c r="H493" s="6" t="s">
        <v>1307</v>
      </c>
      <c r="I493" s="6">
        <v>526.6875</v>
      </c>
      <c r="J493" s="2">
        <f t="shared" si="7"/>
        <v>43747.468504895827</v>
      </c>
    </row>
    <row r="494" spans="1:10" x14ac:dyDescent="0.25">
      <c r="A494" s="7" t="s">
        <v>1308</v>
      </c>
      <c r="B494" s="8">
        <v>393.75</v>
      </c>
      <c r="C494" s="8">
        <v>20.478950000000001</v>
      </c>
      <c r="D494" s="8">
        <v>72</v>
      </c>
      <c r="E494" s="8">
        <v>0</v>
      </c>
      <c r="F494" s="8">
        <v>0</v>
      </c>
      <c r="G494" s="8">
        <v>7</v>
      </c>
      <c r="H494" s="8" t="s">
        <v>1309</v>
      </c>
      <c r="I494" s="8">
        <v>526.6875</v>
      </c>
      <c r="J494" s="3">
        <f t="shared" si="7"/>
        <v>43747.468576678242</v>
      </c>
    </row>
    <row r="495" spans="1:10" x14ac:dyDescent="0.25">
      <c r="A495" s="5" t="s">
        <v>1310</v>
      </c>
      <c r="B495" s="6">
        <v>393.75</v>
      </c>
      <c r="C495" s="6">
        <v>20.478950000000001</v>
      </c>
      <c r="D495" s="6">
        <v>71</v>
      </c>
      <c r="E495" s="6">
        <v>0</v>
      </c>
      <c r="F495" s="6">
        <v>0</v>
      </c>
      <c r="G495" s="6">
        <v>12</v>
      </c>
      <c r="H495" s="6" t="s">
        <v>1311</v>
      </c>
      <c r="I495" s="6">
        <v>526.6875</v>
      </c>
      <c r="J495" s="2">
        <f t="shared" si="7"/>
        <v>43747.468660011575</v>
      </c>
    </row>
    <row r="496" spans="1:10" x14ac:dyDescent="0.25">
      <c r="A496" s="7" t="s">
        <v>1312</v>
      </c>
      <c r="B496" s="8">
        <v>393.75</v>
      </c>
      <c r="C496" s="8">
        <v>20.478950000000001</v>
      </c>
      <c r="D496" s="8">
        <v>71</v>
      </c>
      <c r="E496" s="8">
        <v>0</v>
      </c>
      <c r="F496" s="8">
        <v>0</v>
      </c>
      <c r="G496" s="8">
        <v>11</v>
      </c>
      <c r="H496" s="8" t="s">
        <v>1313</v>
      </c>
      <c r="I496" s="8">
        <v>526.6875</v>
      </c>
      <c r="J496" s="3">
        <f t="shared" si="7"/>
        <v>43747.468731655092</v>
      </c>
    </row>
    <row r="497" spans="1:10" x14ac:dyDescent="0.25">
      <c r="A497" s="5" t="s">
        <v>1314</v>
      </c>
      <c r="B497" s="6">
        <v>393.75</v>
      </c>
      <c r="C497" s="6">
        <v>20.531590000000001</v>
      </c>
      <c r="D497" s="6">
        <v>72</v>
      </c>
      <c r="E497" s="6">
        <v>0</v>
      </c>
      <c r="F497" s="6">
        <v>0</v>
      </c>
      <c r="G497" s="6">
        <v>3</v>
      </c>
      <c r="H497" s="6" t="s">
        <v>1315</v>
      </c>
      <c r="I497" s="6">
        <v>526.6875</v>
      </c>
      <c r="J497" s="2">
        <f t="shared" si="7"/>
        <v>43747.468815219901</v>
      </c>
    </row>
    <row r="498" spans="1:10" x14ac:dyDescent="0.25">
      <c r="A498" s="7" t="s">
        <v>1316</v>
      </c>
      <c r="B498" s="8">
        <v>393.75</v>
      </c>
      <c r="C498" s="8">
        <v>20.478950000000001</v>
      </c>
      <c r="D498" s="8">
        <v>72</v>
      </c>
      <c r="E498" s="8">
        <v>0</v>
      </c>
      <c r="F498" s="8">
        <v>0</v>
      </c>
      <c r="G498" s="8">
        <v>5</v>
      </c>
      <c r="H498" s="8" t="s">
        <v>1317</v>
      </c>
      <c r="I498" s="8">
        <v>526.6875</v>
      </c>
      <c r="J498" s="3">
        <f t="shared" si="7"/>
        <v>43747.468886736104</v>
      </c>
    </row>
    <row r="499" spans="1:10" x14ac:dyDescent="0.25">
      <c r="A499" s="5" t="s">
        <v>1318</v>
      </c>
      <c r="B499" s="6">
        <v>393.75</v>
      </c>
      <c r="C499" s="6">
        <v>20.478950000000001</v>
      </c>
      <c r="D499" s="6">
        <v>72</v>
      </c>
      <c r="E499" s="6">
        <v>0</v>
      </c>
      <c r="F499" s="6">
        <v>0</v>
      </c>
      <c r="G499" s="6">
        <v>4</v>
      </c>
      <c r="H499" s="6" t="s">
        <v>1319</v>
      </c>
      <c r="I499" s="6">
        <v>526.5</v>
      </c>
      <c r="J499" s="2">
        <f t="shared" si="7"/>
        <v>43747.468958275458</v>
      </c>
    </row>
    <row r="500" spans="1:10" x14ac:dyDescent="0.25">
      <c r="A500" s="7" t="s">
        <v>1320</v>
      </c>
      <c r="B500" s="8">
        <v>393.75</v>
      </c>
      <c r="C500" s="8">
        <v>20.584240000000001</v>
      </c>
      <c r="D500" s="8">
        <v>74</v>
      </c>
      <c r="E500" s="8">
        <v>0</v>
      </c>
      <c r="F500" s="8">
        <v>0</v>
      </c>
      <c r="G500" s="8">
        <v>8</v>
      </c>
      <c r="H500" s="8" t="s">
        <v>1321</v>
      </c>
      <c r="I500" s="8">
        <v>526.6875</v>
      </c>
      <c r="J500" s="3">
        <f t="shared" si="7"/>
        <v>43747.469041493052</v>
      </c>
    </row>
    <row r="501" spans="1:10" x14ac:dyDescent="0.25">
      <c r="A501" s="5" t="s">
        <v>1322</v>
      </c>
      <c r="B501" s="6">
        <v>393.75</v>
      </c>
      <c r="C501" s="6">
        <v>20.531590000000001</v>
      </c>
      <c r="D501" s="6">
        <v>74</v>
      </c>
      <c r="E501" s="6">
        <v>0</v>
      </c>
      <c r="F501" s="6">
        <v>0</v>
      </c>
      <c r="G501" s="6">
        <v>5</v>
      </c>
      <c r="H501" s="6" t="s">
        <v>1323</v>
      </c>
      <c r="I501" s="6">
        <v>526.6875</v>
      </c>
      <c r="J501" s="2">
        <f t="shared" si="7"/>
        <v>43747.469113240739</v>
      </c>
    </row>
    <row r="502" spans="1:10" x14ac:dyDescent="0.25">
      <c r="A502" s="7" t="s">
        <v>1324</v>
      </c>
      <c r="B502" s="8">
        <v>393.75</v>
      </c>
      <c r="C502" s="8">
        <v>20.478950000000001</v>
      </c>
      <c r="D502" s="8">
        <v>75</v>
      </c>
      <c r="E502" s="8">
        <v>0</v>
      </c>
      <c r="F502" s="8">
        <v>0</v>
      </c>
      <c r="G502" s="8">
        <v>7</v>
      </c>
      <c r="H502" s="8" t="s">
        <v>1325</v>
      </c>
      <c r="I502" s="8">
        <v>526.6875</v>
      </c>
      <c r="J502" s="3">
        <f t="shared" si="7"/>
        <v>43747.469196817132</v>
      </c>
    </row>
    <row r="503" spans="1:10" x14ac:dyDescent="0.25">
      <c r="A503" s="5" t="s">
        <v>1326</v>
      </c>
      <c r="B503" s="6">
        <v>393.75</v>
      </c>
      <c r="C503" s="6">
        <v>20.478950000000001</v>
      </c>
      <c r="D503" s="6">
        <v>76</v>
      </c>
      <c r="E503" s="6">
        <v>0</v>
      </c>
      <c r="F503" s="6">
        <v>0</v>
      </c>
      <c r="G503" s="6">
        <v>9</v>
      </c>
      <c r="H503" s="6" t="s">
        <v>1327</v>
      </c>
      <c r="I503" s="6">
        <v>526.6875</v>
      </c>
      <c r="J503" s="2">
        <f t="shared" si="7"/>
        <v>43747.469283356484</v>
      </c>
    </row>
    <row r="504" spans="1:10" x14ac:dyDescent="0.25">
      <c r="A504" s="7" t="s">
        <v>1328</v>
      </c>
      <c r="B504" s="8">
        <v>393.75</v>
      </c>
      <c r="C504" s="8">
        <v>20.531590000000001</v>
      </c>
      <c r="D504" s="8">
        <v>74</v>
      </c>
      <c r="E504" s="8">
        <v>0</v>
      </c>
      <c r="F504" s="8">
        <v>0</v>
      </c>
      <c r="G504" s="8">
        <v>4</v>
      </c>
      <c r="H504" s="8" t="s">
        <v>1329</v>
      </c>
      <c r="I504" s="8">
        <v>526.6875</v>
      </c>
      <c r="J504" s="3">
        <f t="shared" si="7"/>
        <v>43747.469363715274</v>
      </c>
    </row>
    <row r="505" spans="1:10" x14ac:dyDescent="0.25">
      <c r="A505" s="5" t="s">
        <v>1330</v>
      </c>
      <c r="B505" s="6">
        <v>393.75</v>
      </c>
      <c r="C505" s="6">
        <v>20.478950000000001</v>
      </c>
      <c r="D505" s="6">
        <v>73</v>
      </c>
      <c r="E505" s="6">
        <v>0</v>
      </c>
      <c r="F505" s="6">
        <v>0</v>
      </c>
      <c r="G505" s="6">
        <v>2</v>
      </c>
      <c r="H505" s="6" t="s">
        <v>1331</v>
      </c>
      <c r="I505" s="6">
        <v>526.6875</v>
      </c>
      <c r="J505" s="2">
        <f t="shared" si="7"/>
        <v>43747.469435231476</v>
      </c>
    </row>
    <row r="506" spans="1:10" x14ac:dyDescent="0.25">
      <c r="A506" s="7" t="s">
        <v>1332</v>
      </c>
      <c r="B506" s="8">
        <v>393.75</v>
      </c>
      <c r="C506" s="8">
        <v>20.478950000000001</v>
      </c>
      <c r="D506" s="8">
        <v>73</v>
      </c>
      <c r="E506" s="8">
        <v>0</v>
      </c>
      <c r="F506" s="8">
        <v>0</v>
      </c>
      <c r="G506" s="8">
        <v>9</v>
      </c>
      <c r="H506" s="8" t="s">
        <v>1333</v>
      </c>
      <c r="I506" s="8">
        <v>526.6875</v>
      </c>
      <c r="J506" s="3">
        <f t="shared" si="7"/>
        <v>43747.469518796293</v>
      </c>
    </row>
    <row r="507" spans="1:10" x14ac:dyDescent="0.25">
      <c r="A507" s="5" t="s">
        <v>1334</v>
      </c>
      <c r="B507" s="6">
        <v>393.75</v>
      </c>
      <c r="C507" s="6">
        <v>20.531590000000001</v>
      </c>
      <c r="D507" s="6">
        <v>72</v>
      </c>
      <c r="E507" s="6">
        <v>0</v>
      </c>
      <c r="F507" s="6">
        <v>0</v>
      </c>
      <c r="G507" s="6">
        <v>15</v>
      </c>
      <c r="H507" s="6" t="s">
        <v>1335</v>
      </c>
      <c r="I507" s="6">
        <v>526.6875</v>
      </c>
      <c r="J507" s="2">
        <f t="shared" si="7"/>
        <v>43747.469602256941</v>
      </c>
    </row>
    <row r="508" spans="1:10" x14ac:dyDescent="0.25">
      <c r="A508" s="7" t="s">
        <v>1336</v>
      </c>
      <c r="B508" s="8">
        <v>393.75</v>
      </c>
      <c r="C508" s="8">
        <v>20.478950000000001</v>
      </c>
      <c r="D508" s="8">
        <v>72</v>
      </c>
      <c r="E508" s="8">
        <v>0</v>
      </c>
      <c r="F508" s="8">
        <v>0</v>
      </c>
      <c r="G508" s="8">
        <v>6</v>
      </c>
      <c r="H508" s="8" t="s">
        <v>1337</v>
      </c>
      <c r="I508" s="8">
        <v>526.6875</v>
      </c>
      <c r="J508" s="3">
        <f t="shared" si="7"/>
        <v>43747.469685694443</v>
      </c>
    </row>
    <row r="509" spans="1:10" x14ac:dyDescent="0.25">
      <c r="A509" s="5" t="s">
        <v>1338</v>
      </c>
      <c r="B509" s="6">
        <v>393.75</v>
      </c>
      <c r="C509" s="6">
        <v>20.531590000000001</v>
      </c>
      <c r="D509" s="6">
        <v>73</v>
      </c>
      <c r="E509" s="6">
        <v>0</v>
      </c>
      <c r="F509" s="6">
        <v>0</v>
      </c>
      <c r="G509" s="6">
        <v>14</v>
      </c>
      <c r="H509" s="6" t="s">
        <v>1339</v>
      </c>
      <c r="I509" s="6">
        <v>526.6875</v>
      </c>
      <c r="J509" s="2">
        <f t="shared" si="7"/>
        <v>43747.469769259253</v>
      </c>
    </row>
    <row r="510" spans="1:10" x14ac:dyDescent="0.25">
      <c r="A510" s="7" t="s">
        <v>1340</v>
      </c>
      <c r="B510" s="8">
        <v>393.75</v>
      </c>
      <c r="C510" s="8">
        <v>20.478950000000001</v>
      </c>
      <c r="D510" s="8">
        <v>74</v>
      </c>
      <c r="E510" s="8">
        <v>0</v>
      </c>
      <c r="F510" s="8">
        <v>0</v>
      </c>
      <c r="G510" s="8">
        <v>6</v>
      </c>
      <c r="H510" s="8" t="s">
        <v>1341</v>
      </c>
      <c r="I510" s="8">
        <v>526.6875</v>
      </c>
      <c r="J510" s="3">
        <f t="shared" si="7"/>
        <v>43747.469852604168</v>
      </c>
    </row>
    <row r="511" spans="1:10" x14ac:dyDescent="0.25">
      <c r="A511" s="5" t="s">
        <v>1342</v>
      </c>
      <c r="B511" s="6">
        <v>393.75</v>
      </c>
      <c r="C511" s="6">
        <v>20.531590000000001</v>
      </c>
      <c r="D511" s="6">
        <v>74</v>
      </c>
      <c r="E511" s="6">
        <v>0</v>
      </c>
      <c r="F511" s="6">
        <v>0</v>
      </c>
      <c r="G511" s="6">
        <v>0</v>
      </c>
      <c r="H511" s="6" t="s">
        <v>1343</v>
      </c>
      <c r="I511" s="6">
        <v>526.6875</v>
      </c>
      <c r="J511" s="2">
        <f t="shared" si="7"/>
        <v>43747.469936886577</v>
      </c>
    </row>
    <row r="512" spans="1:10" x14ac:dyDescent="0.25">
      <c r="A512" s="7" t="s">
        <v>1344</v>
      </c>
      <c r="B512" s="8">
        <v>393.75</v>
      </c>
      <c r="C512" s="8">
        <v>20.531590000000001</v>
      </c>
      <c r="D512" s="8">
        <v>75</v>
      </c>
      <c r="E512" s="8">
        <v>0</v>
      </c>
      <c r="F512" s="8">
        <v>0</v>
      </c>
      <c r="G512" s="8">
        <v>10</v>
      </c>
      <c r="H512" s="8" t="s">
        <v>1345</v>
      </c>
      <c r="I512" s="8">
        <v>526.5</v>
      </c>
      <c r="J512" s="3">
        <f t="shared" si="7"/>
        <v>43747.470019270833</v>
      </c>
    </row>
    <row r="513" spans="1:10" x14ac:dyDescent="0.25">
      <c r="A513" s="5" t="s">
        <v>1346</v>
      </c>
      <c r="B513" s="6">
        <v>393.75</v>
      </c>
      <c r="C513" s="6">
        <v>20.531590000000001</v>
      </c>
      <c r="D513" s="6">
        <v>74</v>
      </c>
      <c r="E513" s="6">
        <v>0</v>
      </c>
      <c r="F513" s="6">
        <v>0</v>
      </c>
      <c r="G513" s="6">
        <v>20</v>
      </c>
      <c r="H513" s="6" t="s">
        <v>1347</v>
      </c>
      <c r="I513" s="6">
        <v>526.6875</v>
      </c>
      <c r="J513" s="2">
        <f t="shared" si="7"/>
        <v>43747.470091018513</v>
      </c>
    </row>
    <row r="514" spans="1:10" x14ac:dyDescent="0.25">
      <c r="A514" s="7" t="s">
        <v>1348</v>
      </c>
      <c r="B514" s="8">
        <v>393.75</v>
      </c>
      <c r="C514" s="8">
        <v>20.478950000000001</v>
      </c>
      <c r="D514" s="8">
        <v>74</v>
      </c>
      <c r="E514" s="8">
        <v>0</v>
      </c>
      <c r="F514" s="8">
        <v>0</v>
      </c>
      <c r="G514" s="8">
        <v>11</v>
      </c>
      <c r="H514" s="8" t="s">
        <v>1349</v>
      </c>
      <c r="I514" s="8">
        <v>526.6875</v>
      </c>
      <c r="J514" s="3">
        <f t="shared" ref="J514:J577" si="8">(H514/86400000)+25569+(7/24)</f>
        <v>43747.470174456015</v>
      </c>
    </row>
    <row r="515" spans="1:10" x14ac:dyDescent="0.25">
      <c r="A515" s="5" t="s">
        <v>1350</v>
      </c>
      <c r="B515" s="6">
        <v>393.75</v>
      </c>
      <c r="C515" s="6">
        <v>20.478950000000001</v>
      </c>
      <c r="D515" s="6">
        <v>74</v>
      </c>
      <c r="E515" s="6">
        <v>0</v>
      </c>
      <c r="F515" s="6">
        <v>0</v>
      </c>
      <c r="G515" s="6">
        <v>8</v>
      </c>
      <c r="H515" s="6" t="s">
        <v>1351</v>
      </c>
      <c r="I515" s="6">
        <v>526.6875</v>
      </c>
      <c r="J515" s="2">
        <f t="shared" si="8"/>
        <v>43747.470257928238</v>
      </c>
    </row>
    <row r="516" spans="1:10" x14ac:dyDescent="0.25">
      <c r="A516" s="7" t="s">
        <v>1352</v>
      </c>
      <c r="B516" s="8">
        <v>393.75</v>
      </c>
      <c r="C516" s="8">
        <v>20.531590000000001</v>
      </c>
      <c r="D516" s="8">
        <v>75</v>
      </c>
      <c r="E516" s="8">
        <v>0</v>
      </c>
      <c r="F516" s="8">
        <v>0</v>
      </c>
      <c r="G516" s="8">
        <v>11</v>
      </c>
      <c r="H516" s="8" t="s">
        <v>1353</v>
      </c>
      <c r="I516" s="8">
        <v>526.6875</v>
      </c>
      <c r="J516" s="3">
        <f t="shared" si="8"/>
        <v>43747.470341493048</v>
      </c>
    </row>
    <row r="517" spans="1:10" x14ac:dyDescent="0.25">
      <c r="A517" s="5" t="s">
        <v>1354</v>
      </c>
      <c r="B517" s="6">
        <v>393.75</v>
      </c>
      <c r="C517" s="6">
        <v>20.531590000000001</v>
      </c>
      <c r="D517" s="6">
        <v>75</v>
      </c>
      <c r="E517" s="6">
        <v>0</v>
      </c>
      <c r="F517" s="6">
        <v>0</v>
      </c>
      <c r="G517" s="6">
        <v>6</v>
      </c>
      <c r="H517" s="6" t="s">
        <v>1355</v>
      </c>
      <c r="I517" s="6">
        <v>526.6875</v>
      </c>
      <c r="J517" s="2">
        <f t="shared" si="8"/>
        <v>43747.470424942127</v>
      </c>
    </row>
    <row r="518" spans="1:10" x14ac:dyDescent="0.25">
      <c r="A518" s="7" t="s">
        <v>1356</v>
      </c>
      <c r="B518" s="8">
        <v>421.875</v>
      </c>
      <c r="C518" s="8">
        <v>20.478950000000001</v>
      </c>
      <c r="D518" s="8">
        <v>75</v>
      </c>
      <c r="E518" s="8">
        <v>0</v>
      </c>
      <c r="F518" s="8">
        <v>0</v>
      </c>
      <c r="G518" s="8">
        <v>14</v>
      </c>
      <c r="H518" s="8" t="s">
        <v>1357</v>
      </c>
      <c r="I518" s="8">
        <v>535.6875</v>
      </c>
      <c r="J518" s="3">
        <f t="shared" si="8"/>
        <v>43747.470508171296</v>
      </c>
    </row>
    <row r="519" spans="1:10" x14ac:dyDescent="0.25">
      <c r="A519" s="5" t="s">
        <v>1358</v>
      </c>
      <c r="B519" s="6">
        <v>393.75</v>
      </c>
      <c r="C519" s="6">
        <v>20.478950000000001</v>
      </c>
      <c r="D519" s="6">
        <v>75</v>
      </c>
      <c r="E519" s="6">
        <v>0</v>
      </c>
      <c r="F519" s="6">
        <v>0</v>
      </c>
      <c r="G519" s="6">
        <v>6</v>
      </c>
      <c r="H519" s="6" t="s">
        <v>1359</v>
      </c>
      <c r="I519" s="6">
        <v>526.6875</v>
      </c>
      <c r="J519" s="2">
        <f t="shared" si="8"/>
        <v>43747.470580057867</v>
      </c>
    </row>
    <row r="520" spans="1:10" x14ac:dyDescent="0.25">
      <c r="A520" s="7" t="s">
        <v>1360</v>
      </c>
      <c r="B520" s="8">
        <v>393.75</v>
      </c>
      <c r="C520" s="8">
        <v>20.478950000000001</v>
      </c>
      <c r="D520" s="8">
        <v>75</v>
      </c>
      <c r="E520" s="8">
        <v>0</v>
      </c>
      <c r="F520" s="8">
        <v>0</v>
      </c>
      <c r="G520" s="8">
        <v>4</v>
      </c>
      <c r="H520" s="8" t="s">
        <v>1361</v>
      </c>
      <c r="I520" s="8">
        <v>526.6875</v>
      </c>
      <c r="J520" s="3">
        <f t="shared" si="8"/>
        <v>43747.470651539348</v>
      </c>
    </row>
    <row r="521" spans="1:10" x14ac:dyDescent="0.25">
      <c r="A521" s="5" t="s">
        <v>1362</v>
      </c>
      <c r="B521" s="6">
        <v>393.75</v>
      </c>
      <c r="C521" s="6">
        <v>20.531590000000001</v>
      </c>
      <c r="D521" s="6">
        <v>73</v>
      </c>
      <c r="E521" s="6">
        <v>0</v>
      </c>
      <c r="F521" s="6">
        <v>0</v>
      </c>
      <c r="G521" s="6">
        <v>0</v>
      </c>
      <c r="H521" s="6" t="s">
        <v>1363</v>
      </c>
      <c r="I521" s="6">
        <v>526.6875</v>
      </c>
      <c r="J521" s="2">
        <f t="shared" si="8"/>
        <v>43747.470735011571</v>
      </c>
    </row>
    <row r="522" spans="1:10" x14ac:dyDescent="0.25">
      <c r="A522" s="7" t="s">
        <v>1364</v>
      </c>
      <c r="B522" s="8">
        <v>393.75</v>
      </c>
      <c r="C522" s="8">
        <v>20.478950000000001</v>
      </c>
      <c r="D522" s="8">
        <v>73</v>
      </c>
      <c r="E522" s="8">
        <v>0</v>
      </c>
      <c r="F522" s="8">
        <v>0</v>
      </c>
      <c r="G522" s="8">
        <v>3</v>
      </c>
      <c r="H522" s="8" t="s">
        <v>1365</v>
      </c>
      <c r="I522" s="8">
        <v>526.6875</v>
      </c>
      <c r="J522" s="3">
        <f t="shared" si="8"/>
        <v>43747.470806666664</v>
      </c>
    </row>
    <row r="523" spans="1:10" x14ac:dyDescent="0.25">
      <c r="A523" s="5" t="s">
        <v>1366</v>
      </c>
      <c r="B523" s="6">
        <v>393.75</v>
      </c>
      <c r="C523" s="6">
        <v>20.478950000000001</v>
      </c>
      <c r="D523" s="6">
        <v>72</v>
      </c>
      <c r="E523" s="6">
        <v>0</v>
      </c>
      <c r="F523" s="6">
        <v>0</v>
      </c>
      <c r="G523" s="6">
        <v>10</v>
      </c>
      <c r="H523" s="6" t="s">
        <v>1367</v>
      </c>
      <c r="I523" s="6">
        <v>526.6875</v>
      </c>
      <c r="J523" s="2">
        <f t="shared" si="8"/>
        <v>43747.470889745367</v>
      </c>
    </row>
    <row r="524" spans="1:10" x14ac:dyDescent="0.25">
      <c r="A524" s="7" t="s">
        <v>1368</v>
      </c>
      <c r="B524" s="8">
        <v>393.75</v>
      </c>
      <c r="C524" s="8">
        <v>20.531590000000001</v>
      </c>
      <c r="D524" s="8">
        <v>72</v>
      </c>
      <c r="E524" s="8">
        <v>0</v>
      </c>
      <c r="F524" s="8">
        <v>0</v>
      </c>
      <c r="G524" s="8">
        <v>9</v>
      </c>
      <c r="H524" s="8" t="s">
        <v>1369</v>
      </c>
      <c r="I524" s="8">
        <v>526.6875</v>
      </c>
      <c r="J524" s="3">
        <f t="shared" si="8"/>
        <v>43747.470961284715</v>
      </c>
    </row>
    <row r="525" spans="1:10" x14ac:dyDescent="0.25">
      <c r="A525" s="5" t="s">
        <v>1370</v>
      </c>
      <c r="B525" s="6">
        <v>393.75</v>
      </c>
      <c r="C525" s="6">
        <v>20.478950000000001</v>
      </c>
      <c r="D525" s="6">
        <v>75</v>
      </c>
      <c r="E525" s="6">
        <v>0</v>
      </c>
      <c r="F525" s="6">
        <v>0</v>
      </c>
      <c r="G525" s="6">
        <v>1</v>
      </c>
      <c r="H525" s="6" t="s">
        <v>1371</v>
      </c>
      <c r="I525" s="6">
        <v>526.6875</v>
      </c>
      <c r="J525" s="2">
        <f t="shared" si="8"/>
        <v>43747.471045185179</v>
      </c>
    </row>
    <row r="526" spans="1:10" x14ac:dyDescent="0.25">
      <c r="A526" s="7" t="s">
        <v>1372</v>
      </c>
      <c r="B526" s="8">
        <v>393.75</v>
      </c>
      <c r="C526" s="8">
        <v>20.478950000000001</v>
      </c>
      <c r="D526" s="8">
        <v>74</v>
      </c>
      <c r="E526" s="8">
        <v>0</v>
      </c>
      <c r="F526" s="8">
        <v>0</v>
      </c>
      <c r="G526" s="8">
        <v>3</v>
      </c>
      <c r="H526" s="8" t="s">
        <v>1373</v>
      </c>
      <c r="I526" s="8">
        <v>526.6875</v>
      </c>
      <c r="J526" s="3">
        <f t="shared" si="8"/>
        <v>43747.471140462956</v>
      </c>
    </row>
    <row r="527" spans="1:10" x14ac:dyDescent="0.25">
      <c r="A527" s="5" t="s">
        <v>1374</v>
      </c>
      <c r="B527" s="6">
        <v>393.75</v>
      </c>
      <c r="C527" s="6">
        <v>20.531590000000001</v>
      </c>
      <c r="D527" s="6">
        <v>74</v>
      </c>
      <c r="E527" s="6">
        <v>0</v>
      </c>
      <c r="F527" s="6">
        <v>0</v>
      </c>
      <c r="G527" s="6">
        <v>2</v>
      </c>
      <c r="H527" s="6" t="s">
        <v>1375</v>
      </c>
      <c r="I527" s="6">
        <v>526.6875</v>
      </c>
      <c r="J527" s="2">
        <f t="shared" si="8"/>
        <v>43747.471223888882</v>
      </c>
    </row>
    <row r="528" spans="1:10" x14ac:dyDescent="0.25">
      <c r="A528" s="7" t="s">
        <v>1376</v>
      </c>
      <c r="B528" s="8">
        <v>393.75</v>
      </c>
      <c r="C528" s="8">
        <v>20.478950000000001</v>
      </c>
      <c r="D528" s="8">
        <v>74</v>
      </c>
      <c r="E528" s="8">
        <v>0</v>
      </c>
      <c r="F528" s="8">
        <v>0</v>
      </c>
      <c r="G528" s="8">
        <v>1</v>
      </c>
      <c r="H528" s="8" t="s">
        <v>1377</v>
      </c>
      <c r="I528" s="8">
        <v>526.5</v>
      </c>
      <c r="J528" s="3">
        <f t="shared" si="8"/>
        <v>43747.471295416668</v>
      </c>
    </row>
    <row r="529" spans="1:10" x14ac:dyDescent="0.25">
      <c r="A529" s="5" t="s">
        <v>1378</v>
      </c>
      <c r="B529" s="6">
        <v>393.75</v>
      </c>
      <c r="C529" s="6">
        <v>20.478950000000001</v>
      </c>
      <c r="D529" s="6">
        <v>74</v>
      </c>
      <c r="E529" s="6">
        <v>0</v>
      </c>
      <c r="F529" s="6">
        <v>0</v>
      </c>
      <c r="G529" s="6">
        <v>0</v>
      </c>
      <c r="H529" s="6" t="s">
        <v>1379</v>
      </c>
      <c r="I529" s="6">
        <v>526.6875</v>
      </c>
      <c r="J529" s="2">
        <f t="shared" si="8"/>
        <v>43747.471378518516</v>
      </c>
    </row>
    <row r="530" spans="1:10" x14ac:dyDescent="0.25">
      <c r="A530" s="7" t="s">
        <v>1380</v>
      </c>
      <c r="B530" s="8">
        <v>393.75</v>
      </c>
      <c r="C530" s="8">
        <v>20.531590000000001</v>
      </c>
      <c r="D530" s="8">
        <v>74</v>
      </c>
      <c r="E530" s="8">
        <v>0</v>
      </c>
      <c r="F530" s="8">
        <v>0</v>
      </c>
      <c r="G530" s="8">
        <v>1</v>
      </c>
      <c r="H530" s="8" t="s">
        <v>1381</v>
      </c>
      <c r="I530" s="8">
        <v>526.6875</v>
      </c>
      <c r="J530" s="3">
        <f t="shared" si="8"/>
        <v>43747.471450162033</v>
      </c>
    </row>
    <row r="531" spans="1:10" x14ac:dyDescent="0.25">
      <c r="A531" s="5" t="s">
        <v>1382</v>
      </c>
      <c r="B531" s="6">
        <v>393.75</v>
      </c>
      <c r="C531" s="6">
        <v>20.478950000000001</v>
      </c>
      <c r="D531" s="6">
        <v>74</v>
      </c>
      <c r="E531" s="6">
        <v>0</v>
      </c>
      <c r="F531" s="6">
        <v>0</v>
      </c>
      <c r="G531" s="6">
        <v>0</v>
      </c>
      <c r="H531" s="6" t="s">
        <v>1383</v>
      </c>
      <c r="I531" s="6">
        <v>526.5</v>
      </c>
      <c r="J531" s="2">
        <f t="shared" si="8"/>
        <v>43747.471521921289</v>
      </c>
    </row>
    <row r="532" spans="1:10" x14ac:dyDescent="0.25">
      <c r="A532" s="7" t="s">
        <v>1384</v>
      </c>
      <c r="B532" s="8">
        <v>393.75</v>
      </c>
      <c r="C532" s="8">
        <v>20.478950000000001</v>
      </c>
      <c r="D532" s="8">
        <v>73</v>
      </c>
      <c r="E532" s="8">
        <v>0</v>
      </c>
      <c r="F532" s="8">
        <v>0</v>
      </c>
      <c r="G532" s="8">
        <v>5</v>
      </c>
      <c r="H532" s="8" t="s">
        <v>1385</v>
      </c>
      <c r="I532" s="8">
        <v>526.6875</v>
      </c>
      <c r="J532" s="3">
        <f t="shared" si="8"/>
        <v>43747.471605381943</v>
      </c>
    </row>
    <row r="533" spans="1:10" x14ac:dyDescent="0.25">
      <c r="A533" s="5" t="s">
        <v>1386</v>
      </c>
      <c r="B533" s="6">
        <v>393.75</v>
      </c>
      <c r="C533" s="6">
        <v>20.531590000000001</v>
      </c>
      <c r="D533" s="6">
        <v>73</v>
      </c>
      <c r="E533" s="6">
        <v>0</v>
      </c>
      <c r="F533" s="6">
        <v>0</v>
      </c>
      <c r="G533" s="6">
        <v>8</v>
      </c>
      <c r="H533" s="6" t="s">
        <v>1387</v>
      </c>
      <c r="I533" s="6">
        <v>526.6875</v>
      </c>
      <c r="J533" s="2">
        <f t="shared" si="8"/>
        <v>43747.471688819445</v>
      </c>
    </row>
    <row r="534" spans="1:10" x14ac:dyDescent="0.25">
      <c r="A534" s="7" t="s">
        <v>1388</v>
      </c>
      <c r="B534" s="8">
        <v>393.75</v>
      </c>
      <c r="C534" s="8">
        <v>20.478950000000001</v>
      </c>
      <c r="D534" s="8">
        <v>73</v>
      </c>
      <c r="E534" s="8">
        <v>0</v>
      </c>
      <c r="F534" s="8">
        <v>0</v>
      </c>
      <c r="G534" s="8">
        <v>6</v>
      </c>
      <c r="H534" s="8" t="s">
        <v>1389</v>
      </c>
      <c r="I534" s="8">
        <v>526.5</v>
      </c>
      <c r="J534" s="3">
        <f t="shared" si="8"/>
        <v>43747.471772280092</v>
      </c>
    </row>
    <row r="535" spans="1:10" x14ac:dyDescent="0.25">
      <c r="A535" s="5" t="s">
        <v>1390</v>
      </c>
      <c r="B535" s="6">
        <v>393.75</v>
      </c>
      <c r="C535" s="6">
        <v>20.531590000000001</v>
      </c>
      <c r="D535" s="6">
        <v>74</v>
      </c>
      <c r="E535" s="6">
        <v>0</v>
      </c>
      <c r="F535" s="6">
        <v>0</v>
      </c>
      <c r="G535" s="6">
        <v>0</v>
      </c>
      <c r="H535" s="6" t="s">
        <v>1391</v>
      </c>
      <c r="I535" s="6">
        <v>526.6875</v>
      </c>
      <c r="J535" s="2">
        <f t="shared" si="8"/>
        <v>43747.471855717587</v>
      </c>
    </row>
    <row r="536" spans="1:10" x14ac:dyDescent="0.25">
      <c r="A536" s="7" t="s">
        <v>1392</v>
      </c>
      <c r="B536" s="8">
        <v>393.75</v>
      </c>
      <c r="C536" s="8">
        <v>20.478950000000001</v>
      </c>
      <c r="D536" s="8">
        <v>73</v>
      </c>
      <c r="E536" s="8">
        <v>0</v>
      </c>
      <c r="F536" s="8">
        <v>0</v>
      </c>
      <c r="G536" s="8">
        <v>6</v>
      </c>
      <c r="H536" s="8" t="s">
        <v>1393</v>
      </c>
      <c r="I536" s="8">
        <v>526.6875</v>
      </c>
      <c r="J536" s="3">
        <f t="shared" si="8"/>
        <v>43747.471939189811</v>
      </c>
    </row>
    <row r="537" spans="1:10" x14ac:dyDescent="0.25">
      <c r="A537" s="5" t="s">
        <v>1394</v>
      </c>
      <c r="B537" s="6">
        <v>412.5</v>
      </c>
      <c r="C537" s="6">
        <v>20.531590000000001</v>
      </c>
      <c r="D537" s="6">
        <v>73</v>
      </c>
      <c r="E537" s="6">
        <v>0</v>
      </c>
      <c r="F537" s="6">
        <v>0</v>
      </c>
      <c r="G537" s="6">
        <v>7</v>
      </c>
      <c r="H537" s="6" t="s">
        <v>1395</v>
      </c>
      <c r="I537" s="6">
        <v>532.6875</v>
      </c>
      <c r="J537" s="2">
        <f t="shared" si="8"/>
        <v>43747.472022627313</v>
      </c>
    </row>
    <row r="538" spans="1:10" x14ac:dyDescent="0.25">
      <c r="A538" s="7" t="s">
        <v>1396</v>
      </c>
      <c r="B538" s="8">
        <v>393.75</v>
      </c>
      <c r="C538" s="8">
        <v>20.531590000000001</v>
      </c>
      <c r="D538" s="8">
        <v>72</v>
      </c>
      <c r="E538" s="8">
        <v>0</v>
      </c>
      <c r="F538" s="8">
        <v>0</v>
      </c>
      <c r="G538" s="8">
        <v>0</v>
      </c>
      <c r="H538" s="8" t="s">
        <v>1397</v>
      </c>
      <c r="I538" s="8">
        <v>526.5</v>
      </c>
      <c r="J538" s="3">
        <f t="shared" si="8"/>
        <v>43747.472106076391</v>
      </c>
    </row>
    <row r="539" spans="1:10" x14ac:dyDescent="0.25">
      <c r="A539" s="5" t="s">
        <v>1398</v>
      </c>
      <c r="B539" s="6">
        <v>393.75</v>
      </c>
      <c r="C539" s="6">
        <v>20.584240000000001</v>
      </c>
      <c r="D539" s="6">
        <v>72</v>
      </c>
      <c r="E539" s="6">
        <v>0</v>
      </c>
      <c r="F539" s="6">
        <v>0</v>
      </c>
      <c r="G539" s="6">
        <v>0</v>
      </c>
      <c r="H539" s="6" t="s">
        <v>1399</v>
      </c>
      <c r="I539" s="6">
        <v>526.6875</v>
      </c>
      <c r="J539" s="2">
        <f t="shared" si="8"/>
        <v>43747.472177719908</v>
      </c>
    </row>
    <row r="540" spans="1:10" x14ac:dyDescent="0.25">
      <c r="A540" s="7" t="s">
        <v>1400</v>
      </c>
      <c r="B540" s="8">
        <v>393.75</v>
      </c>
      <c r="C540" s="8">
        <v>20.478950000000001</v>
      </c>
      <c r="D540" s="8">
        <v>74</v>
      </c>
      <c r="E540" s="8">
        <v>0</v>
      </c>
      <c r="F540" s="8">
        <v>0</v>
      </c>
      <c r="G540" s="8">
        <v>7</v>
      </c>
      <c r="H540" s="8" t="s">
        <v>1401</v>
      </c>
      <c r="I540" s="8">
        <v>526.6875</v>
      </c>
      <c r="J540" s="3">
        <f t="shared" si="8"/>
        <v>43747.472274039348</v>
      </c>
    </row>
    <row r="541" spans="1:10" x14ac:dyDescent="0.25">
      <c r="A541" s="5" t="s">
        <v>1402</v>
      </c>
      <c r="B541" s="6">
        <v>393.75</v>
      </c>
      <c r="C541" s="6">
        <v>20.531590000000001</v>
      </c>
      <c r="D541" s="6">
        <v>73</v>
      </c>
      <c r="E541" s="6">
        <v>0</v>
      </c>
      <c r="F541" s="6">
        <v>0</v>
      </c>
      <c r="G541" s="6">
        <v>2</v>
      </c>
      <c r="H541" s="6" t="s">
        <v>1403</v>
      </c>
      <c r="I541" s="6">
        <v>526.5</v>
      </c>
      <c r="J541" s="2">
        <f t="shared" si="8"/>
        <v>43747.472356319442</v>
      </c>
    </row>
    <row r="542" spans="1:10" x14ac:dyDescent="0.25">
      <c r="A542" s="7" t="s">
        <v>1404</v>
      </c>
      <c r="B542" s="8">
        <v>393.75</v>
      </c>
      <c r="C542" s="8">
        <v>20.478950000000001</v>
      </c>
      <c r="D542" s="8">
        <v>73</v>
      </c>
      <c r="E542" s="8">
        <v>0</v>
      </c>
      <c r="F542" s="8">
        <v>0</v>
      </c>
      <c r="G542" s="8">
        <v>7</v>
      </c>
      <c r="H542" s="8" t="s">
        <v>1405</v>
      </c>
      <c r="I542" s="8">
        <v>526.6875</v>
      </c>
      <c r="J542" s="3">
        <f t="shared" si="8"/>
        <v>43747.472428171292</v>
      </c>
    </row>
    <row r="543" spans="1:10" x14ac:dyDescent="0.25">
      <c r="A543" s="5" t="s">
        <v>1406</v>
      </c>
      <c r="B543" s="6">
        <v>393.75</v>
      </c>
      <c r="C543" s="6">
        <v>20.478950000000001</v>
      </c>
      <c r="D543" s="6">
        <v>76</v>
      </c>
      <c r="E543" s="6">
        <v>0</v>
      </c>
      <c r="F543" s="6">
        <v>0</v>
      </c>
      <c r="G543" s="6">
        <v>8</v>
      </c>
      <c r="H543" s="6" t="s">
        <v>1407</v>
      </c>
      <c r="I543" s="6">
        <v>526.6875</v>
      </c>
      <c r="J543" s="2">
        <f t="shared" si="8"/>
        <v>43747.472511527776</v>
      </c>
    </row>
    <row r="544" spans="1:10" x14ac:dyDescent="0.25">
      <c r="A544" s="7" t="s">
        <v>1408</v>
      </c>
      <c r="B544" s="8">
        <v>393.75</v>
      </c>
      <c r="C544" s="8">
        <v>20.478950000000001</v>
      </c>
      <c r="D544" s="8">
        <v>75</v>
      </c>
      <c r="E544" s="8">
        <v>0</v>
      </c>
      <c r="F544" s="8">
        <v>0</v>
      </c>
      <c r="G544" s="8">
        <v>4</v>
      </c>
      <c r="H544" s="8" t="s">
        <v>1409</v>
      </c>
      <c r="I544" s="8">
        <v>526.6875</v>
      </c>
      <c r="J544" s="3">
        <f t="shared" si="8"/>
        <v>43747.472594953702</v>
      </c>
    </row>
    <row r="545" spans="1:10" x14ac:dyDescent="0.25">
      <c r="A545" s="5" t="s">
        <v>1410</v>
      </c>
      <c r="B545" s="6">
        <v>393.75</v>
      </c>
      <c r="C545" s="6">
        <v>20.531590000000001</v>
      </c>
      <c r="D545" s="6">
        <v>75</v>
      </c>
      <c r="E545" s="6">
        <v>0</v>
      </c>
      <c r="F545" s="6">
        <v>0</v>
      </c>
      <c r="G545" s="6">
        <v>0</v>
      </c>
      <c r="H545" s="6" t="s">
        <v>1411</v>
      </c>
      <c r="I545" s="6">
        <v>526.6875</v>
      </c>
      <c r="J545" s="2">
        <f t="shared" si="8"/>
        <v>43747.472678773142</v>
      </c>
    </row>
    <row r="546" spans="1:10" x14ac:dyDescent="0.25">
      <c r="A546" s="7" t="s">
        <v>1412</v>
      </c>
      <c r="B546" s="8">
        <v>393.75</v>
      </c>
      <c r="C546" s="8">
        <v>20.531590000000001</v>
      </c>
      <c r="D546" s="8">
        <v>74</v>
      </c>
      <c r="E546" s="8">
        <v>0</v>
      </c>
      <c r="F546" s="8">
        <v>0</v>
      </c>
      <c r="G546" s="8">
        <v>16</v>
      </c>
      <c r="H546" s="8" t="s">
        <v>1413</v>
      </c>
      <c r="I546" s="8">
        <v>526.5</v>
      </c>
      <c r="J546" s="3">
        <f t="shared" si="8"/>
        <v>43747.472761979159</v>
      </c>
    </row>
    <row r="547" spans="1:10" x14ac:dyDescent="0.25">
      <c r="A547" s="5" t="s">
        <v>1414</v>
      </c>
      <c r="B547" s="6">
        <v>393.75</v>
      </c>
      <c r="C547" s="6">
        <v>20.478950000000001</v>
      </c>
      <c r="D547" s="6">
        <v>74</v>
      </c>
      <c r="E547" s="6">
        <v>0</v>
      </c>
      <c r="F547" s="6">
        <v>0</v>
      </c>
      <c r="G547" s="6">
        <v>0</v>
      </c>
      <c r="H547" s="6" t="s">
        <v>1415</v>
      </c>
      <c r="I547" s="6">
        <v>526.6875</v>
      </c>
      <c r="J547" s="2">
        <f t="shared" si="8"/>
        <v>43747.472845208329</v>
      </c>
    </row>
    <row r="548" spans="1:10" x14ac:dyDescent="0.25">
      <c r="A548" s="7" t="s">
        <v>1416</v>
      </c>
      <c r="B548" s="8">
        <v>393.75</v>
      </c>
      <c r="C548" s="8">
        <v>20.584240000000001</v>
      </c>
      <c r="D548" s="8">
        <v>74</v>
      </c>
      <c r="E548" s="8">
        <v>0</v>
      </c>
      <c r="F548" s="8">
        <v>0</v>
      </c>
      <c r="G548" s="8">
        <v>12</v>
      </c>
      <c r="H548" s="8" t="s">
        <v>1417</v>
      </c>
      <c r="I548" s="8">
        <v>526.6875</v>
      </c>
      <c r="J548" s="3">
        <f t="shared" si="8"/>
        <v>43747.472916493054</v>
      </c>
    </row>
    <row r="549" spans="1:10" x14ac:dyDescent="0.25">
      <c r="A549" s="5" t="s">
        <v>1418</v>
      </c>
      <c r="B549" s="6">
        <v>393.75</v>
      </c>
      <c r="C549" s="6">
        <v>20.531590000000001</v>
      </c>
      <c r="D549" s="6">
        <v>74</v>
      </c>
      <c r="E549" s="6">
        <v>0</v>
      </c>
      <c r="F549" s="6">
        <v>0</v>
      </c>
      <c r="G549" s="6">
        <v>8</v>
      </c>
      <c r="H549" s="6" t="s">
        <v>1419</v>
      </c>
      <c r="I549" s="6">
        <v>526.6875</v>
      </c>
      <c r="J549" s="2">
        <f t="shared" si="8"/>
        <v>43747.472988495363</v>
      </c>
    </row>
    <row r="550" spans="1:10" x14ac:dyDescent="0.25">
      <c r="A550" s="7" t="s">
        <v>1420</v>
      </c>
      <c r="B550" s="8">
        <v>412.5</v>
      </c>
      <c r="C550" s="8">
        <v>20.478950000000001</v>
      </c>
      <c r="D550" s="8">
        <v>75</v>
      </c>
      <c r="E550" s="8">
        <v>0</v>
      </c>
      <c r="F550" s="8">
        <v>0</v>
      </c>
      <c r="G550" s="8">
        <v>12</v>
      </c>
      <c r="H550" s="8" t="s">
        <v>1421</v>
      </c>
      <c r="I550" s="8">
        <v>532.3125</v>
      </c>
      <c r="J550" s="3">
        <f t="shared" si="8"/>
        <v>43747.473071944441</v>
      </c>
    </row>
    <row r="551" spans="1:10" x14ac:dyDescent="0.25">
      <c r="A551" s="5" t="s">
        <v>1422</v>
      </c>
      <c r="B551" s="6">
        <v>393.75</v>
      </c>
      <c r="C551" s="6">
        <v>20.584240000000001</v>
      </c>
      <c r="D551" s="6">
        <v>74</v>
      </c>
      <c r="E551" s="6">
        <v>0</v>
      </c>
      <c r="F551" s="6">
        <v>0</v>
      </c>
      <c r="G551" s="6">
        <v>8</v>
      </c>
      <c r="H551" s="6" t="s">
        <v>1423</v>
      </c>
      <c r="I551" s="6">
        <v>526.6875</v>
      </c>
      <c r="J551" s="2">
        <f t="shared" si="8"/>
        <v>43747.473143564814</v>
      </c>
    </row>
    <row r="552" spans="1:10" x14ac:dyDescent="0.25">
      <c r="A552" s="7" t="s">
        <v>1424</v>
      </c>
      <c r="B552" s="8">
        <v>393.75</v>
      </c>
      <c r="C552" s="8">
        <v>20.478950000000001</v>
      </c>
      <c r="D552" s="8">
        <v>74</v>
      </c>
      <c r="E552" s="8">
        <v>0</v>
      </c>
      <c r="F552" s="8">
        <v>0</v>
      </c>
      <c r="G552" s="8">
        <v>10</v>
      </c>
      <c r="H552" s="8" t="s">
        <v>1425</v>
      </c>
      <c r="I552" s="8">
        <v>526.6875</v>
      </c>
      <c r="J552" s="3">
        <f t="shared" si="8"/>
        <v>43747.473226666662</v>
      </c>
    </row>
    <row r="553" spans="1:10" x14ac:dyDescent="0.25">
      <c r="A553" s="5" t="s">
        <v>1426</v>
      </c>
      <c r="B553" s="6">
        <v>393.75</v>
      </c>
      <c r="C553" s="6">
        <v>20.531590000000001</v>
      </c>
      <c r="D553" s="6">
        <v>74</v>
      </c>
      <c r="E553" s="6">
        <v>0</v>
      </c>
      <c r="F553" s="6">
        <v>0</v>
      </c>
      <c r="G553" s="6">
        <v>6</v>
      </c>
      <c r="H553" s="6" t="s">
        <v>1427</v>
      </c>
      <c r="I553" s="6">
        <v>526.6875</v>
      </c>
      <c r="J553" s="2">
        <f t="shared" si="8"/>
        <v>43747.473298333331</v>
      </c>
    </row>
    <row r="554" spans="1:10" x14ac:dyDescent="0.25">
      <c r="A554" s="7" t="s">
        <v>1428</v>
      </c>
      <c r="B554" s="8">
        <v>393.75</v>
      </c>
      <c r="C554" s="8">
        <v>20.531590000000001</v>
      </c>
      <c r="D554" s="8">
        <v>71</v>
      </c>
      <c r="E554" s="8">
        <v>0</v>
      </c>
      <c r="F554" s="8">
        <v>0</v>
      </c>
      <c r="G554" s="8">
        <v>16</v>
      </c>
      <c r="H554" s="8" t="s">
        <v>1429</v>
      </c>
      <c r="I554" s="8">
        <v>526.5</v>
      </c>
      <c r="J554" s="3">
        <f t="shared" si="8"/>
        <v>43747.473382233795</v>
      </c>
    </row>
    <row r="555" spans="1:10" x14ac:dyDescent="0.25">
      <c r="A555" s="5" t="s">
        <v>1430</v>
      </c>
      <c r="B555" s="6">
        <v>393.75</v>
      </c>
      <c r="C555" s="6">
        <v>20.531590000000001</v>
      </c>
      <c r="D555" s="6">
        <v>69</v>
      </c>
      <c r="E555" s="6">
        <v>0</v>
      </c>
      <c r="F555" s="6">
        <v>0</v>
      </c>
      <c r="G555" s="6">
        <v>5</v>
      </c>
      <c r="H555" s="6" t="s">
        <v>1431</v>
      </c>
      <c r="I555" s="6">
        <v>526.6875</v>
      </c>
      <c r="J555" s="2">
        <f t="shared" si="8"/>
        <v>43747.473465439813</v>
      </c>
    </row>
    <row r="556" spans="1:10" x14ac:dyDescent="0.25">
      <c r="A556" s="7" t="s">
        <v>1432</v>
      </c>
      <c r="B556" s="8">
        <v>393.75</v>
      </c>
      <c r="C556" s="8">
        <v>20.531590000000001</v>
      </c>
      <c r="D556" s="8">
        <v>69</v>
      </c>
      <c r="E556" s="8">
        <v>0</v>
      </c>
      <c r="F556" s="8">
        <v>0</v>
      </c>
      <c r="G556" s="8">
        <v>2</v>
      </c>
      <c r="H556" s="8" t="s">
        <v>1433</v>
      </c>
      <c r="I556" s="8">
        <v>526.6875</v>
      </c>
      <c r="J556" s="3">
        <f t="shared" si="8"/>
        <v>43747.47354890046</v>
      </c>
    </row>
    <row r="557" spans="1:10" x14ac:dyDescent="0.25">
      <c r="A557" s="5" t="s">
        <v>1434</v>
      </c>
      <c r="B557" s="6">
        <v>393.75</v>
      </c>
      <c r="C557" s="6">
        <v>20.531590000000001</v>
      </c>
      <c r="D557" s="6">
        <v>70</v>
      </c>
      <c r="E557" s="6">
        <v>0</v>
      </c>
      <c r="F557" s="6">
        <v>0</v>
      </c>
      <c r="G557" s="6">
        <v>11</v>
      </c>
      <c r="H557" s="6" t="s">
        <v>1435</v>
      </c>
      <c r="I557" s="6">
        <v>526.6875</v>
      </c>
      <c r="J557" s="2">
        <f t="shared" si="8"/>
        <v>43747.473644398146</v>
      </c>
    </row>
    <row r="558" spans="1:10" x14ac:dyDescent="0.25">
      <c r="A558" s="7" t="s">
        <v>1436</v>
      </c>
      <c r="B558" s="8">
        <v>393.75</v>
      </c>
      <c r="C558" s="8">
        <v>20.531590000000001</v>
      </c>
      <c r="D558" s="8">
        <v>71</v>
      </c>
      <c r="E558" s="8">
        <v>0</v>
      </c>
      <c r="F558" s="8">
        <v>0</v>
      </c>
      <c r="G558" s="8">
        <v>8</v>
      </c>
      <c r="H558" s="8" t="s">
        <v>1437</v>
      </c>
      <c r="I558" s="8">
        <v>526.6875</v>
      </c>
      <c r="J558" s="3">
        <f t="shared" si="8"/>
        <v>43747.473727708326</v>
      </c>
    </row>
    <row r="559" spans="1:10" x14ac:dyDescent="0.25">
      <c r="A559" s="5" t="s">
        <v>1438</v>
      </c>
      <c r="B559" s="6">
        <v>393.75</v>
      </c>
      <c r="C559" s="6">
        <v>20.478950000000001</v>
      </c>
      <c r="D559" s="6">
        <v>70</v>
      </c>
      <c r="E559" s="6">
        <v>0</v>
      </c>
      <c r="F559" s="6">
        <v>0</v>
      </c>
      <c r="G559" s="6">
        <v>11</v>
      </c>
      <c r="H559" s="6" t="s">
        <v>1439</v>
      </c>
      <c r="I559" s="6">
        <v>526.6875</v>
      </c>
      <c r="J559" s="2">
        <f t="shared" si="8"/>
        <v>43747.473799374995</v>
      </c>
    </row>
    <row r="560" spans="1:10" x14ac:dyDescent="0.25">
      <c r="A560" s="7" t="s">
        <v>1440</v>
      </c>
      <c r="B560" s="8">
        <v>393.75</v>
      </c>
      <c r="C560" s="8">
        <v>20.531590000000001</v>
      </c>
      <c r="D560" s="8">
        <v>71</v>
      </c>
      <c r="E560" s="8">
        <v>0</v>
      </c>
      <c r="F560" s="8">
        <v>0</v>
      </c>
      <c r="G560" s="8">
        <v>3</v>
      </c>
      <c r="H560" s="8" t="s">
        <v>1441</v>
      </c>
      <c r="I560" s="8">
        <v>526.6875</v>
      </c>
      <c r="J560" s="3">
        <f t="shared" si="8"/>
        <v>43747.473894687493</v>
      </c>
    </row>
    <row r="561" spans="1:10" x14ac:dyDescent="0.25">
      <c r="A561" s="5" t="s">
        <v>1442</v>
      </c>
      <c r="B561" s="6">
        <v>393.75</v>
      </c>
      <c r="C561" s="6">
        <v>20.478950000000001</v>
      </c>
      <c r="D561" s="6">
        <v>68</v>
      </c>
      <c r="E561" s="6">
        <v>0</v>
      </c>
      <c r="F561" s="6">
        <v>0</v>
      </c>
      <c r="G561" s="6">
        <v>9</v>
      </c>
      <c r="H561" s="6" t="s">
        <v>1443</v>
      </c>
      <c r="I561" s="6">
        <v>526.6875</v>
      </c>
      <c r="J561" s="2">
        <f t="shared" si="8"/>
        <v>43747.473978240734</v>
      </c>
    </row>
    <row r="562" spans="1:10" x14ac:dyDescent="0.25">
      <c r="A562" s="7" t="s">
        <v>1444</v>
      </c>
      <c r="B562" s="8">
        <v>412.5</v>
      </c>
      <c r="C562" s="8">
        <v>20.478950000000001</v>
      </c>
      <c r="D562" s="8">
        <v>69</v>
      </c>
      <c r="E562" s="8">
        <v>0</v>
      </c>
      <c r="F562" s="8">
        <v>0</v>
      </c>
      <c r="G562" s="8">
        <v>12</v>
      </c>
      <c r="H562" s="8" t="s">
        <v>1445</v>
      </c>
      <c r="I562" s="8">
        <v>532.3125</v>
      </c>
      <c r="J562" s="3">
        <f t="shared" si="8"/>
        <v>43747.474061597219</v>
      </c>
    </row>
    <row r="563" spans="1:10" x14ac:dyDescent="0.25">
      <c r="A563" s="5" t="s">
        <v>1446</v>
      </c>
      <c r="B563" s="6">
        <v>393.75</v>
      </c>
      <c r="C563" s="6">
        <v>20.531590000000001</v>
      </c>
      <c r="D563" s="6">
        <v>71</v>
      </c>
      <c r="E563" s="6">
        <v>0</v>
      </c>
      <c r="F563" s="6">
        <v>0</v>
      </c>
      <c r="G563" s="6">
        <v>12</v>
      </c>
      <c r="H563" s="6" t="s">
        <v>1447</v>
      </c>
      <c r="I563" s="6">
        <v>526.5</v>
      </c>
      <c r="J563" s="2">
        <f t="shared" si="8"/>
        <v>43747.47414515046</v>
      </c>
    </row>
    <row r="564" spans="1:10" x14ac:dyDescent="0.25">
      <c r="A564" s="7" t="s">
        <v>1448</v>
      </c>
      <c r="B564" s="8">
        <v>393.75</v>
      </c>
      <c r="C564" s="8">
        <v>20.478950000000001</v>
      </c>
      <c r="D564" s="8">
        <v>72</v>
      </c>
      <c r="E564" s="8">
        <v>0</v>
      </c>
      <c r="F564" s="8">
        <v>0</v>
      </c>
      <c r="G564" s="8">
        <v>13</v>
      </c>
      <c r="H564" s="8" t="s">
        <v>1449</v>
      </c>
      <c r="I564" s="8">
        <v>526.6875</v>
      </c>
      <c r="J564" s="3">
        <f t="shared" si="8"/>
        <v>43747.474228587962</v>
      </c>
    </row>
    <row r="565" spans="1:10" x14ac:dyDescent="0.25">
      <c r="A565" s="5" t="s">
        <v>1450</v>
      </c>
      <c r="B565" s="6">
        <v>393.75</v>
      </c>
      <c r="C565" s="6">
        <v>20.531590000000001</v>
      </c>
      <c r="D565" s="6">
        <v>75</v>
      </c>
      <c r="E565" s="6">
        <v>0</v>
      </c>
      <c r="F565" s="6">
        <v>0</v>
      </c>
      <c r="G565" s="6">
        <v>10</v>
      </c>
      <c r="H565" s="6" t="s">
        <v>1451</v>
      </c>
      <c r="I565" s="6">
        <v>526.6875</v>
      </c>
      <c r="J565" s="2">
        <f t="shared" si="8"/>
        <v>43747.474323981478</v>
      </c>
    </row>
    <row r="566" spans="1:10" x14ac:dyDescent="0.25">
      <c r="A566" s="7" t="s">
        <v>1452</v>
      </c>
      <c r="B566" s="8">
        <v>393.75</v>
      </c>
      <c r="C566" s="8">
        <v>20.531590000000001</v>
      </c>
      <c r="D566" s="8">
        <v>78</v>
      </c>
      <c r="E566" s="8">
        <v>0</v>
      </c>
      <c r="F566" s="8">
        <v>0</v>
      </c>
      <c r="G566" s="8">
        <v>7</v>
      </c>
      <c r="H566" s="8" t="s">
        <v>1453</v>
      </c>
      <c r="I566" s="8">
        <v>526.6875</v>
      </c>
      <c r="J566" s="3">
        <f t="shared" si="8"/>
        <v>43747.474395509256</v>
      </c>
    </row>
    <row r="567" spans="1:10" x14ac:dyDescent="0.25">
      <c r="A567" s="5" t="s">
        <v>1454</v>
      </c>
      <c r="B567" s="6">
        <v>393.75</v>
      </c>
      <c r="C567" s="6">
        <v>20.531590000000001</v>
      </c>
      <c r="D567" s="6">
        <v>77</v>
      </c>
      <c r="E567" s="6">
        <v>0</v>
      </c>
      <c r="F567" s="6">
        <v>0</v>
      </c>
      <c r="G567" s="6">
        <v>9</v>
      </c>
      <c r="H567" s="6" t="s">
        <v>1455</v>
      </c>
      <c r="I567" s="6">
        <v>526.6875</v>
      </c>
      <c r="J567" s="2">
        <f t="shared" si="8"/>
        <v>43747.474478599535</v>
      </c>
    </row>
    <row r="568" spans="1:10" x14ac:dyDescent="0.25">
      <c r="A568" s="7" t="s">
        <v>1456</v>
      </c>
      <c r="B568" s="8">
        <v>393.75</v>
      </c>
      <c r="C568" s="8">
        <v>20.478950000000001</v>
      </c>
      <c r="D568" s="8">
        <v>77</v>
      </c>
      <c r="E568" s="8">
        <v>0</v>
      </c>
      <c r="F568" s="8">
        <v>0</v>
      </c>
      <c r="G568" s="8">
        <v>6</v>
      </c>
      <c r="H568" s="8" t="s">
        <v>1457</v>
      </c>
      <c r="I568" s="8">
        <v>526.5</v>
      </c>
      <c r="J568" s="3">
        <f t="shared" si="8"/>
        <v>43747.47455013889</v>
      </c>
    </row>
    <row r="569" spans="1:10" x14ac:dyDescent="0.25">
      <c r="A569" s="5" t="s">
        <v>1458</v>
      </c>
      <c r="B569" s="6">
        <v>393.75</v>
      </c>
      <c r="C569" s="6">
        <v>20.478950000000001</v>
      </c>
      <c r="D569" s="6">
        <v>76</v>
      </c>
      <c r="E569" s="6">
        <v>0</v>
      </c>
      <c r="F569" s="6">
        <v>0</v>
      </c>
      <c r="G569" s="6">
        <v>12</v>
      </c>
      <c r="H569" s="6" t="s">
        <v>1459</v>
      </c>
      <c r="I569" s="6">
        <v>526.5</v>
      </c>
      <c r="J569" s="2">
        <f t="shared" si="8"/>
        <v>43747.474634027771</v>
      </c>
    </row>
    <row r="570" spans="1:10" x14ac:dyDescent="0.25">
      <c r="A570" s="7" t="s">
        <v>1460</v>
      </c>
      <c r="B570" s="8">
        <v>393.75</v>
      </c>
      <c r="C570" s="8">
        <v>20.478950000000001</v>
      </c>
      <c r="D570" s="8">
        <v>75</v>
      </c>
      <c r="E570" s="8">
        <v>0</v>
      </c>
      <c r="F570" s="8">
        <v>0</v>
      </c>
      <c r="G570" s="8">
        <v>13</v>
      </c>
      <c r="H570" s="8" t="s">
        <v>1461</v>
      </c>
      <c r="I570" s="8">
        <v>526.6875</v>
      </c>
      <c r="J570" s="3">
        <f t="shared" si="8"/>
        <v>43747.474717476849</v>
      </c>
    </row>
    <row r="571" spans="1:10" x14ac:dyDescent="0.25">
      <c r="A571" s="5" t="s">
        <v>1462</v>
      </c>
      <c r="B571" s="6">
        <v>393.75</v>
      </c>
      <c r="C571" s="6">
        <v>20.478950000000001</v>
      </c>
      <c r="D571" s="6">
        <v>75</v>
      </c>
      <c r="E571" s="6">
        <v>0</v>
      </c>
      <c r="F571" s="6">
        <v>0</v>
      </c>
      <c r="G571" s="6">
        <v>8</v>
      </c>
      <c r="H571" s="6" t="s">
        <v>1463</v>
      </c>
      <c r="I571" s="6">
        <v>526.5</v>
      </c>
      <c r="J571" s="2">
        <f t="shared" si="8"/>
        <v>43747.474800694443</v>
      </c>
    </row>
    <row r="572" spans="1:10" x14ac:dyDescent="0.25">
      <c r="A572" s="7" t="s">
        <v>1464</v>
      </c>
      <c r="B572" s="8">
        <v>393.75</v>
      </c>
      <c r="C572" s="8">
        <v>20.531590000000001</v>
      </c>
      <c r="D572" s="8">
        <v>75</v>
      </c>
      <c r="E572" s="8">
        <v>0</v>
      </c>
      <c r="F572" s="8">
        <v>0</v>
      </c>
      <c r="G572" s="8">
        <v>17</v>
      </c>
      <c r="H572" s="8" t="s">
        <v>1465</v>
      </c>
      <c r="I572" s="8">
        <v>526.6875</v>
      </c>
      <c r="J572" s="3">
        <f t="shared" si="8"/>
        <v>43747.474872500003</v>
      </c>
    </row>
    <row r="573" spans="1:10" x14ac:dyDescent="0.25">
      <c r="A573" s="5" t="s">
        <v>1466</v>
      </c>
      <c r="B573" s="6">
        <v>393.75</v>
      </c>
      <c r="C573" s="6">
        <v>20.478950000000001</v>
      </c>
      <c r="D573" s="6">
        <v>74</v>
      </c>
      <c r="E573" s="6">
        <v>0</v>
      </c>
      <c r="F573" s="6">
        <v>0</v>
      </c>
      <c r="G573" s="6">
        <v>9</v>
      </c>
      <c r="H573" s="6" t="s">
        <v>1467</v>
      </c>
      <c r="I573" s="6">
        <v>526.5</v>
      </c>
      <c r="J573" s="2">
        <f t="shared" si="8"/>
        <v>43747.474955914346</v>
      </c>
    </row>
    <row r="574" spans="1:10" x14ac:dyDescent="0.25">
      <c r="A574" s="7" t="s">
        <v>1468</v>
      </c>
      <c r="B574" s="8">
        <v>393.75</v>
      </c>
      <c r="C574" s="8">
        <v>20.531590000000001</v>
      </c>
      <c r="D574" s="8">
        <v>73</v>
      </c>
      <c r="E574" s="8">
        <v>0</v>
      </c>
      <c r="F574" s="8">
        <v>0</v>
      </c>
      <c r="G574" s="8">
        <v>3</v>
      </c>
      <c r="H574" s="8" t="s">
        <v>1469</v>
      </c>
      <c r="I574" s="8">
        <v>526.6875</v>
      </c>
      <c r="J574" s="3">
        <f t="shared" si="8"/>
        <v>43747.475039363424</v>
      </c>
    </row>
    <row r="575" spans="1:10" x14ac:dyDescent="0.25">
      <c r="A575" s="5" t="s">
        <v>1470</v>
      </c>
      <c r="B575" s="6">
        <v>393.75</v>
      </c>
      <c r="C575" s="6">
        <v>20.531590000000001</v>
      </c>
      <c r="D575" s="6">
        <v>73</v>
      </c>
      <c r="E575" s="6">
        <v>0</v>
      </c>
      <c r="F575" s="6">
        <v>0</v>
      </c>
      <c r="G575" s="6">
        <v>0</v>
      </c>
      <c r="H575" s="6" t="s">
        <v>1471</v>
      </c>
      <c r="I575" s="6">
        <v>526.5</v>
      </c>
      <c r="J575" s="2">
        <f t="shared" si="8"/>
        <v>43747.475122928234</v>
      </c>
    </row>
    <row r="576" spans="1:10" x14ac:dyDescent="0.25">
      <c r="A576" s="7" t="s">
        <v>1472</v>
      </c>
      <c r="B576" s="8">
        <v>393.75</v>
      </c>
      <c r="C576" s="8">
        <v>20.531590000000001</v>
      </c>
      <c r="D576" s="8">
        <v>73</v>
      </c>
      <c r="E576" s="8">
        <v>0</v>
      </c>
      <c r="F576" s="8">
        <v>0</v>
      </c>
      <c r="G576" s="8">
        <v>3</v>
      </c>
      <c r="H576" s="8" t="s">
        <v>1473</v>
      </c>
      <c r="I576" s="8">
        <v>526.6875</v>
      </c>
      <c r="J576" s="3">
        <f t="shared" si="8"/>
        <v>43747.475206365743</v>
      </c>
    </row>
    <row r="577" spans="1:10" x14ac:dyDescent="0.25">
      <c r="A577" s="5" t="s">
        <v>1474</v>
      </c>
      <c r="B577" s="6">
        <v>393.75</v>
      </c>
      <c r="C577" s="6">
        <v>20.478950000000001</v>
      </c>
      <c r="D577" s="6">
        <v>73</v>
      </c>
      <c r="E577" s="6">
        <v>0</v>
      </c>
      <c r="F577" s="6">
        <v>0</v>
      </c>
      <c r="G577" s="6">
        <v>3</v>
      </c>
      <c r="H577" s="6" t="s">
        <v>1475</v>
      </c>
      <c r="I577" s="6">
        <v>526.6875</v>
      </c>
      <c r="J577" s="2">
        <f t="shared" si="8"/>
        <v>43747.475289594906</v>
      </c>
    </row>
    <row r="578" spans="1:10" x14ac:dyDescent="0.25">
      <c r="A578" s="7" t="s">
        <v>1476</v>
      </c>
      <c r="B578" s="8">
        <v>393.75</v>
      </c>
      <c r="C578" s="8">
        <v>20.531590000000001</v>
      </c>
      <c r="D578" s="8">
        <v>73</v>
      </c>
      <c r="E578" s="8">
        <v>0</v>
      </c>
      <c r="F578" s="8">
        <v>0</v>
      </c>
      <c r="G578" s="8">
        <v>9</v>
      </c>
      <c r="H578" s="8" t="s">
        <v>1477</v>
      </c>
      <c r="I578" s="8">
        <v>526.6875</v>
      </c>
      <c r="J578" s="3">
        <f t="shared" ref="J578:J641" si="9">(H578/86400000)+25569+(7/24)</f>
        <v>43747.475361226847</v>
      </c>
    </row>
    <row r="579" spans="1:10" x14ac:dyDescent="0.25">
      <c r="A579" s="5" t="s">
        <v>1478</v>
      </c>
      <c r="B579" s="6">
        <v>393.75</v>
      </c>
      <c r="C579" s="6">
        <v>20.478950000000001</v>
      </c>
      <c r="D579" s="6">
        <v>73</v>
      </c>
      <c r="E579" s="6">
        <v>0</v>
      </c>
      <c r="F579" s="6">
        <v>0</v>
      </c>
      <c r="G579" s="6">
        <v>9</v>
      </c>
      <c r="H579" s="6" t="s">
        <v>1479</v>
      </c>
      <c r="I579" s="6">
        <v>526.6875</v>
      </c>
      <c r="J579" s="2">
        <f t="shared" si="9"/>
        <v>43747.47544480324</v>
      </c>
    </row>
    <row r="580" spans="1:10" x14ac:dyDescent="0.25">
      <c r="A580" s="7" t="s">
        <v>1480</v>
      </c>
      <c r="B580" s="8">
        <v>393.75</v>
      </c>
      <c r="C580" s="8">
        <v>20.478950000000001</v>
      </c>
      <c r="D580" s="8">
        <v>76</v>
      </c>
      <c r="E580" s="8">
        <v>0</v>
      </c>
      <c r="F580" s="8">
        <v>0</v>
      </c>
      <c r="G580" s="8">
        <v>5</v>
      </c>
      <c r="H580" s="8" t="s">
        <v>1481</v>
      </c>
      <c r="I580" s="8">
        <v>526.6875</v>
      </c>
      <c r="J580" s="3">
        <f t="shared" si="9"/>
        <v>43747.475528240735</v>
      </c>
    </row>
    <row r="581" spans="1:10" x14ac:dyDescent="0.25">
      <c r="A581" s="5" t="s">
        <v>1482</v>
      </c>
      <c r="B581" s="6">
        <v>393.75</v>
      </c>
      <c r="C581" s="6">
        <v>20.478950000000001</v>
      </c>
      <c r="D581" s="6">
        <v>76</v>
      </c>
      <c r="E581" s="6">
        <v>0</v>
      </c>
      <c r="F581" s="6">
        <v>0</v>
      </c>
      <c r="G581" s="6">
        <v>8</v>
      </c>
      <c r="H581" s="6" t="s">
        <v>1483</v>
      </c>
      <c r="I581" s="6">
        <v>526.5</v>
      </c>
      <c r="J581" s="2">
        <f t="shared" si="9"/>
        <v>43747.475613865739</v>
      </c>
    </row>
    <row r="582" spans="1:10" x14ac:dyDescent="0.25">
      <c r="A582" s="7" t="s">
        <v>1484</v>
      </c>
      <c r="B582" s="8">
        <v>393.75</v>
      </c>
      <c r="C582" s="8">
        <v>20.531590000000001</v>
      </c>
      <c r="D582" s="8">
        <v>74</v>
      </c>
      <c r="E582" s="8">
        <v>0</v>
      </c>
      <c r="F582" s="8">
        <v>0</v>
      </c>
      <c r="G582" s="8">
        <v>0</v>
      </c>
      <c r="H582" s="8" t="s">
        <v>1485</v>
      </c>
      <c r="I582" s="8">
        <v>526.6875</v>
      </c>
      <c r="J582" s="3">
        <f t="shared" si="9"/>
        <v>43747.475695254623</v>
      </c>
    </row>
    <row r="583" spans="1:10" x14ac:dyDescent="0.25">
      <c r="A583" s="5" t="s">
        <v>1486</v>
      </c>
      <c r="B583" s="6">
        <v>393.75</v>
      </c>
      <c r="C583" s="6">
        <v>20.478950000000001</v>
      </c>
      <c r="D583" s="6">
        <v>73</v>
      </c>
      <c r="E583" s="6">
        <v>0</v>
      </c>
      <c r="F583" s="6">
        <v>0</v>
      </c>
      <c r="G583" s="6">
        <v>0</v>
      </c>
      <c r="H583" s="6" t="s">
        <v>1487</v>
      </c>
      <c r="I583" s="6">
        <v>526.6875</v>
      </c>
      <c r="J583" s="2">
        <f t="shared" si="9"/>
        <v>43747.475778483793</v>
      </c>
    </row>
    <row r="584" spans="1:10" x14ac:dyDescent="0.25">
      <c r="A584" s="7" t="s">
        <v>1488</v>
      </c>
      <c r="B584" s="8">
        <v>431.25</v>
      </c>
      <c r="C584" s="8">
        <v>20.584240000000001</v>
      </c>
      <c r="D584" s="8">
        <v>73</v>
      </c>
      <c r="E584" s="8">
        <v>0</v>
      </c>
      <c r="F584" s="8">
        <v>0</v>
      </c>
      <c r="G584" s="8">
        <v>1</v>
      </c>
      <c r="H584" s="8" t="s">
        <v>1489</v>
      </c>
      <c r="I584" s="8">
        <v>538.125</v>
      </c>
      <c r="J584" s="3">
        <f t="shared" si="9"/>
        <v>43747.475850474533</v>
      </c>
    </row>
    <row r="585" spans="1:10" x14ac:dyDescent="0.25">
      <c r="A585" s="5" t="s">
        <v>1490</v>
      </c>
      <c r="B585" s="6">
        <v>393.75</v>
      </c>
      <c r="C585" s="6">
        <v>20.478950000000001</v>
      </c>
      <c r="D585" s="6">
        <v>75</v>
      </c>
      <c r="E585" s="6">
        <v>0</v>
      </c>
      <c r="F585" s="6">
        <v>0</v>
      </c>
      <c r="G585" s="6">
        <v>0</v>
      </c>
      <c r="H585" s="6" t="s">
        <v>1491</v>
      </c>
      <c r="I585" s="6">
        <v>526.6875</v>
      </c>
      <c r="J585" s="2">
        <f t="shared" si="9"/>
        <v>43747.475933819442</v>
      </c>
    </row>
    <row r="586" spans="1:10" x14ac:dyDescent="0.25">
      <c r="A586" s="7" t="s">
        <v>1492</v>
      </c>
      <c r="B586" s="8">
        <v>393.75</v>
      </c>
      <c r="C586" s="8">
        <v>20.478950000000001</v>
      </c>
      <c r="D586" s="8">
        <v>75</v>
      </c>
      <c r="E586" s="8">
        <v>0</v>
      </c>
      <c r="F586" s="8">
        <v>0</v>
      </c>
      <c r="G586" s="8">
        <v>6</v>
      </c>
      <c r="H586" s="8" t="s">
        <v>1493</v>
      </c>
      <c r="I586" s="8">
        <v>526.6875</v>
      </c>
      <c r="J586" s="3">
        <f t="shared" si="9"/>
        <v>43747.476017129629</v>
      </c>
    </row>
    <row r="587" spans="1:10" x14ac:dyDescent="0.25">
      <c r="A587" s="5" t="s">
        <v>1494</v>
      </c>
      <c r="B587" s="6">
        <v>412.5</v>
      </c>
      <c r="C587" s="6">
        <v>20.531590000000001</v>
      </c>
      <c r="D587" s="6">
        <v>70</v>
      </c>
      <c r="E587" s="6">
        <v>0</v>
      </c>
      <c r="F587" s="6">
        <v>0</v>
      </c>
      <c r="G587" s="6">
        <v>6</v>
      </c>
      <c r="H587" s="6" t="s">
        <v>1495</v>
      </c>
      <c r="I587" s="6">
        <v>532.3125</v>
      </c>
      <c r="J587" s="2">
        <f t="shared" si="9"/>
        <v>43747.476088773146</v>
      </c>
    </row>
    <row r="588" spans="1:10" x14ac:dyDescent="0.25">
      <c r="A588" s="7" t="s">
        <v>1496</v>
      </c>
      <c r="B588" s="8">
        <v>393.75</v>
      </c>
      <c r="C588" s="8">
        <v>20.531590000000001</v>
      </c>
      <c r="D588" s="8">
        <v>71</v>
      </c>
      <c r="E588" s="8">
        <v>0</v>
      </c>
      <c r="F588" s="8">
        <v>0</v>
      </c>
      <c r="G588" s="8">
        <v>1</v>
      </c>
      <c r="H588" s="8" t="s">
        <v>1497</v>
      </c>
      <c r="I588" s="8">
        <v>526.6875</v>
      </c>
      <c r="J588" s="3">
        <f t="shared" si="9"/>
        <v>43747.476172222225</v>
      </c>
    </row>
    <row r="589" spans="1:10" x14ac:dyDescent="0.25">
      <c r="A589" s="5" t="s">
        <v>1498</v>
      </c>
      <c r="B589" s="6">
        <v>393.75</v>
      </c>
      <c r="C589" s="6">
        <v>20.531590000000001</v>
      </c>
      <c r="D589" s="6">
        <v>70</v>
      </c>
      <c r="E589" s="6">
        <v>0</v>
      </c>
      <c r="F589" s="6">
        <v>0</v>
      </c>
      <c r="G589" s="6">
        <v>6</v>
      </c>
      <c r="H589" s="6" t="s">
        <v>1499</v>
      </c>
      <c r="I589" s="6">
        <v>526.6875</v>
      </c>
      <c r="J589" s="2">
        <f t="shared" si="9"/>
        <v>43747.476255914349</v>
      </c>
    </row>
    <row r="590" spans="1:10" x14ac:dyDescent="0.25">
      <c r="A590" s="7" t="s">
        <v>1500</v>
      </c>
      <c r="B590" s="8">
        <v>393.75</v>
      </c>
      <c r="C590" s="8">
        <v>20.531590000000001</v>
      </c>
      <c r="D590" s="8">
        <v>71</v>
      </c>
      <c r="E590" s="8">
        <v>0</v>
      </c>
      <c r="F590" s="8">
        <v>0</v>
      </c>
      <c r="G590" s="8">
        <v>9</v>
      </c>
      <c r="H590" s="8" t="s">
        <v>1501</v>
      </c>
      <c r="I590" s="8">
        <v>526.6875</v>
      </c>
      <c r="J590" s="3">
        <f t="shared" si="9"/>
        <v>43747.476339120367</v>
      </c>
    </row>
    <row r="591" spans="1:10" x14ac:dyDescent="0.25">
      <c r="A591" s="5" t="s">
        <v>1502</v>
      </c>
      <c r="B591" s="6">
        <v>393.75</v>
      </c>
      <c r="C591" s="6">
        <v>20.478950000000001</v>
      </c>
      <c r="D591" s="6">
        <v>71</v>
      </c>
      <c r="E591" s="6">
        <v>0</v>
      </c>
      <c r="F591" s="6">
        <v>0</v>
      </c>
      <c r="G591" s="6">
        <v>0</v>
      </c>
      <c r="H591" s="6" t="s">
        <v>1503</v>
      </c>
      <c r="I591" s="6">
        <v>526.6875</v>
      </c>
      <c r="J591" s="2">
        <f t="shared" si="9"/>
        <v>43747.476422685184</v>
      </c>
    </row>
    <row r="592" spans="1:10" x14ac:dyDescent="0.25">
      <c r="A592" s="7" t="s">
        <v>1504</v>
      </c>
      <c r="B592" s="8">
        <v>393.75</v>
      </c>
      <c r="C592" s="8">
        <v>20.531590000000001</v>
      </c>
      <c r="D592" s="8">
        <v>70</v>
      </c>
      <c r="E592" s="8">
        <v>0</v>
      </c>
      <c r="F592" s="8">
        <v>0</v>
      </c>
      <c r="G592" s="8">
        <v>0</v>
      </c>
      <c r="H592" s="8" t="s">
        <v>1505</v>
      </c>
      <c r="I592" s="8">
        <v>526.6875</v>
      </c>
      <c r="J592" s="3">
        <f t="shared" si="9"/>
        <v>43747.476506134255</v>
      </c>
    </row>
    <row r="593" spans="1:10" x14ac:dyDescent="0.25">
      <c r="A593" s="5" t="s">
        <v>1506</v>
      </c>
      <c r="B593" s="6">
        <v>393.75</v>
      </c>
      <c r="C593" s="6">
        <v>20.478950000000001</v>
      </c>
      <c r="D593" s="6">
        <v>71</v>
      </c>
      <c r="E593" s="6">
        <v>0</v>
      </c>
      <c r="F593" s="6">
        <v>0</v>
      </c>
      <c r="G593" s="6">
        <v>5</v>
      </c>
      <c r="H593" s="6" t="s">
        <v>1507</v>
      </c>
      <c r="I593" s="6">
        <v>526.5</v>
      </c>
      <c r="J593" s="2">
        <f t="shared" si="9"/>
        <v>43747.476601527778</v>
      </c>
    </row>
    <row r="594" spans="1:10" x14ac:dyDescent="0.25">
      <c r="A594" s="7" t="s">
        <v>1508</v>
      </c>
      <c r="B594" s="8">
        <v>393.75</v>
      </c>
      <c r="C594" s="8">
        <v>20.478950000000001</v>
      </c>
      <c r="D594" s="8">
        <v>72</v>
      </c>
      <c r="E594" s="8">
        <v>0</v>
      </c>
      <c r="F594" s="8">
        <v>0</v>
      </c>
      <c r="G594" s="8">
        <v>18</v>
      </c>
      <c r="H594" s="8" t="s">
        <v>1509</v>
      </c>
      <c r="I594" s="8">
        <v>526.6875</v>
      </c>
      <c r="J594" s="3">
        <f t="shared" si="9"/>
        <v>43747.476673043981</v>
      </c>
    </row>
    <row r="595" spans="1:10" x14ac:dyDescent="0.25">
      <c r="A595" s="5" t="s">
        <v>1510</v>
      </c>
      <c r="B595" s="6">
        <v>393.75</v>
      </c>
      <c r="C595" s="6">
        <v>20.531590000000001</v>
      </c>
      <c r="D595" s="6">
        <v>73</v>
      </c>
      <c r="E595" s="6">
        <v>0</v>
      </c>
      <c r="F595" s="6">
        <v>0</v>
      </c>
      <c r="G595" s="6">
        <v>5</v>
      </c>
      <c r="H595" s="6" t="s">
        <v>1511</v>
      </c>
      <c r="I595" s="6">
        <v>526.6875</v>
      </c>
      <c r="J595" s="2">
        <f t="shared" si="9"/>
        <v>43747.476744837964</v>
      </c>
    </row>
    <row r="596" spans="1:10" x14ac:dyDescent="0.25">
      <c r="A596" s="7" t="s">
        <v>1512</v>
      </c>
      <c r="B596" s="8">
        <v>393.75</v>
      </c>
      <c r="C596" s="8">
        <v>20.478950000000001</v>
      </c>
      <c r="D596" s="8">
        <v>71</v>
      </c>
      <c r="E596" s="8">
        <v>0</v>
      </c>
      <c r="F596" s="8">
        <v>0</v>
      </c>
      <c r="G596" s="8">
        <v>9</v>
      </c>
      <c r="H596" s="8" t="s">
        <v>1513</v>
      </c>
      <c r="I596" s="8">
        <v>526.6875</v>
      </c>
      <c r="J596" s="3">
        <f t="shared" si="9"/>
        <v>43747.47682802083</v>
      </c>
    </row>
    <row r="597" spans="1:10" x14ac:dyDescent="0.25">
      <c r="A597" s="5" t="s">
        <v>1514</v>
      </c>
      <c r="B597" s="6">
        <v>393.75</v>
      </c>
      <c r="C597" s="6">
        <v>20.478950000000001</v>
      </c>
      <c r="D597" s="6">
        <v>70</v>
      </c>
      <c r="E597" s="6">
        <v>0</v>
      </c>
      <c r="F597" s="6">
        <v>0</v>
      </c>
      <c r="G597" s="6">
        <v>18</v>
      </c>
      <c r="H597" s="6" t="s">
        <v>1515</v>
      </c>
      <c r="I597" s="6">
        <v>526.6875</v>
      </c>
      <c r="J597" s="2">
        <f t="shared" si="9"/>
        <v>43747.476911597223</v>
      </c>
    </row>
    <row r="598" spans="1:10" x14ac:dyDescent="0.25">
      <c r="A598" s="7" t="s">
        <v>1516</v>
      </c>
      <c r="B598" s="8">
        <v>393.75</v>
      </c>
      <c r="C598" s="8">
        <v>20.531590000000001</v>
      </c>
      <c r="D598" s="8">
        <v>71</v>
      </c>
      <c r="E598" s="8">
        <v>0</v>
      </c>
      <c r="F598" s="8">
        <v>0</v>
      </c>
      <c r="G598" s="8">
        <v>11</v>
      </c>
      <c r="H598" s="8" t="s">
        <v>1517</v>
      </c>
      <c r="I598" s="8">
        <v>526.6875</v>
      </c>
      <c r="J598" s="3">
        <f t="shared" si="9"/>
        <v>43747.476994930556</v>
      </c>
    </row>
    <row r="599" spans="1:10" x14ac:dyDescent="0.25">
      <c r="A599" s="5" t="s">
        <v>1518</v>
      </c>
      <c r="B599" s="6">
        <v>393.75</v>
      </c>
      <c r="C599" s="6">
        <v>20.584240000000001</v>
      </c>
      <c r="D599" s="6">
        <v>71</v>
      </c>
      <c r="E599" s="6">
        <v>0</v>
      </c>
      <c r="F599" s="6">
        <v>0</v>
      </c>
      <c r="G599" s="6">
        <v>5</v>
      </c>
      <c r="H599" s="6" t="s">
        <v>1519</v>
      </c>
      <c r="I599" s="6">
        <v>526.6875</v>
      </c>
      <c r="J599" s="2">
        <f t="shared" si="9"/>
        <v>43747.47707847222</v>
      </c>
    </row>
    <row r="600" spans="1:10" x14ac:dyDescent="0.25">
      <c r="A600" s="7" t="s">
        <v>1520</v>
      </c>
      <c r="B600" s="8">
        <v>393.75</v>
      </c>
      <c r="C600" s="8">
        <v>20.478950000000001</v>
      </c>
      <c r="D600" s="8">
        <v>72</v>
      </c>
      <c r="E600" s="8">
        <v>0</v>
      </c>
      <c r="F600" s="8">
        <v>0</v>
      </c>
      <c r="G600" s="8">
        <v>4</v>
      </c>
      <c r="H600" s="8" t="s">
        <v>1521</v>
      </c>
      <c r="I600" s="8">
        <v>526.6875</v>
      </c>
      <c r="J600" s="3">
        <f t="shared" si="9"/>
        <v>43747.477161932868</v>
      </c>
    </row>
    <row r="601" spans="1:10" x14ac:dyDescent="0.25">
      <c r="A601" s="5" t="s">
        <v>1522</v>
      </c>
      <c r="B601" s="6">
        <v>393.75</v>
      </c>
      <c r="C601" s="6">
        <v>20.478950000000001</v>
      </c>
      <c r="D601" s="6">
        <v>71</v>
      </c>
      <c r="E601" s="6">
        <v>0</v>
      </c>
      <c r="F601" s="6">
        <v>0</v>
      </c>
      <c r="G601" s="6">
        <v>7</v>
      </c>
      <c r="H601" s="6" t="s">
        <v>1523</v>
      </c>
      <c r="I601" s="6">
        <v>526.6875</v>
      </c>
      <c r="J601" s="2">
        <f t="shared" si="9"/>
        <v>43747.47724516203</v>
      </c>
    </row>
    <row r="602" spans="1:10" x14ac:dyDescent="0.25">
      <c r="A602" s="7" t="s">
        <v>1524</v>
      </c>
      <c r="B602" s="8">
        <v>393.75</v>
      </c>
      <c r="C602" s="8">
        <v>20.531590000000001</v>
      </c>
      <c r="D602" s="8">
        <v>71</v>
      </c>
      <c r="E602" s="8">
        <v>0</v>
      </c>
      <c r="F602" s="8">
        <v>0</v>
      </c>
      <c r="G602" s="8">
        <v>5</v>
      </c>
      <c r="H602" s="8" t="s">
        <v>1525</v>
      </c>
      <c r="I602" s="8">
        <v>526.6875</v>
      </c>
      <c r="J602" s="3">
        <f t="shared" si="9"/>
        <v>43747.477316793978</v>
      </c>
    </row>
    <row r="603" spans="1:10" x14ac:dyDescent="0.25">
      <c r="A603" s="5" t="s">
        <v>1526</v>
      </c>
      <c r="B603" s="6">
        <v>393.75</v>
      </c>
      <c r="C603" s="6">
        <v>20.478950000000001</v>
      </c>
      <c r="D603" s="6">
        <v>71</v>
      </c>
      <c r="E603" s="6">
        <v>0</v>
      </c>
      <c r="F603" s="6">
        <v>0</v>
      </c>
      <c r="G603" s="6">
        <v>3</v>
      </c>
      <c r="H603" s="6" t="s">
        <v>1527</v>
      </c>
      <c r="I603" s="6">
        <v>526.6875</v>
      </c>
      <c r="J603" s="2">
        <f t="shared" si="9"/>
        <v>43747.47740048611</v>
      </c>
    </row>
    <row r="604" spans="1:10" x14ac:dyDescent="0.25">
      <c r="A604" s="7" t="s">
        <v>1528</v>
      </c>
      <c r="B604" s="8">
        <v>393.75</v>
      </c>
      <c r="C604" s="8">
        <v>20.531590000000001</v>
      </c>
      <c r="D604" s="8">
        <v>70</v>
      </c>
      <c r="E604" s="8">
        <v>0</v>
      </c>
      <c r="F604" s="8">
        <v>0</v>
      </c>
      <c r="G604" s="8">
        <v>2</v>
      </c>
      <c r="H604" s="8" t="s">
        <v>1529</v>
      </c>
      <c r="I604" s="8">
        <v>526.5</v>
      </c>
      <c r="J604" s="3">
        <f t="shared" si="9"/>
        <v>43747.477483958333</v>
      </c>
    </row>
    <row r="605" spans="1:10" x14ac:dyDescent="0.25">
      <c r="A605" s="5" t="s">
        <v>1530</v>
      </c>
      <c r="B605" s="6">
        <v>393.75</v>
      </c>
      <c r="C605" s="6">
        <v>20.478950000000001</v>
      </c>
      <c r="D605" s="6">
        <v>70</v>
      </c>
      <c r="E605" s="6">
        <v>0</v>
      </c>
      <c r="F605" s="6">
        <v>0</v>
      </c>
      <c r="G605" s="6">
        <v>6</v>
      </c>
      <c r="H605" s="6" t="s">
        <v>1531</v>
      </c>
      <c r="I605" s="6">
        <v>526.6875</v>
      </c>
      <c r="J605" s="2">
        <f t="shared" si="9"/>
        <v>43747.47756738426</v>
      </c>
    </row>
    <row r="606" spans="1:10" x14ac:dyDescent="0.25">
      <c r="A606" s="7" t="s">
        <v>1532</v>
      </c>
      <c r="B606" s="8">
        <v>393.75</v>
      </c>
      <c r="C606" s="8">
        <v>20.478950000000001</v>
      </c>
      <c r="D606" s="8">
        <v>72</v>
      </c>
      <c r="E606" s="8">
        <v>0</v>
      </c>
      <c r="F606" s="8">
        <v>0</v>
      </c>
      <c r="G606" s="8">
        <v>12</v>
      </c>
      <c r="H606" s="8" t="s">
        <v>1533</v>
      </c>
      <c r="I606" s="8">
        <v>526.6875</v>
      </c>
      <c r="J606" s="3">
        <f t="shared" si="9"/>
        <v>43747.477638888886</v>
      </c>
    </row>
    <row r="607" spans="1:10" x14ac:dyDescent="0.25">
      <c r="A607" s="5" t="s">
        <v>1534</v>
      </c>
      <c r="B607" s="6">
        <v>412.5</v>
      </c>
      <c r="C607" s="6">
        <v>20.531590000000001</v>
      </c>
      <c r="D607" s="6">
        <v>72</v>
      </c>
      <c r="E607" s="6">
        <v>0</v>
      </c>
      <c r="F607" s="6">
        <v>0</v>
      </c>
      <c r="G607" s="6">
        <v>12</v>
      </c>
      <c r="H607" s="6" t="s">
        <v>1535</v>
      </c>
      <c r="I607" s="6">
        <v>532.6875</v>
      </c>
      <c r="J607" s="2">
        <f t="shared" si="9"/>
        <v>43747.477722372678</v>
      </c>
    </row>
    <row r="608" spans="1:10" x14ac:dyDescent="0.25">
      <c r="A608" s="7" t="s">
        <v>1536</v>
      </c>
      <c r="B608" s="8">
        <v>393.75</v>
      </c>
      <c r="C608" s="8">
        <v>20.531590000000001</v>
      </c>
      <c r="D608" s="8">
        <v>71</v>
      </c>
      <c r="E608" s="8">
        <v>0</v>
      </c>
      <c r="F608" s="8">
        <v>0</v>
      </c>
      <c r="G608" s="8">
        <v>8</v>
      </c>
      <c r="H608" s="8" t="s">
        <v>1537</v>
      </c>
      <c r="I608" s="8">
        <v>526.6875</v>
      </c>
      <c r="J608" s="3">
        <f t="shared" si="9"/>
        <v>43747.477793657403</v>
      </c>
    </row>
    <row r="609" spans="1:10" x14ac:dyDescent="0.25">
      <c r="A609" s="5" t="s">
        <v>1538</v>
      </c>
      <c r="B609" s="6">
        <v>393.75</v>
      </c>
      <c r="C609" s="6">
        <v>20.478950000000001</v>
      </c>
      <c r="D609" s="6">
        <v>71</v>
      </c>
      <c r="E609" s="6">
        <v>0</v>
      </c>
      <c r="F609" s="6">
        <v>0</v>
      </c>
      <c r="G609" s="6">
        <v>1</v>
      </c>
      <c r="H609" s="6" t="s">
        <v>1539</v>
      </c>
      <c r="I609" s="6">
        <v>526.6875</v>
      </c>
      <c r="J609" s="2">
        <f t="shared" si="9"/>
        <v>43747.477865520828</v>
      </c>
    </row>
    <row r="610" spans="1:10" x14ac:dyDescent="0.25">
      <c r="A610" s="7" t="s">
        <v>1540</v>
      </c>
      <c r="B610" s="8">
        <v>393.75</v>
      </c>
      <c r="C610" s="8">
        <v>20.478950000000001</v>
      </c>
      <c r="D610" s="8">
        <v>70</v>
      </c>
      <c r="E610" s="8">
        <v>0</v>
      </c>
      <c r="F610" s="8">
        <v>0</v>
      </c>
      <c r="G610" s="8">
        <v>6</v>
      </c>
      <c r="H610" s="8" t="s">
        <v>1541</v>
      </c>
      <c r="I610" s="8">
        <v>526.6875</v>
      </c>
      <c r="J610" s="3">
        <f t="shared" si="9"/>
        <v>43747.477948865737</v>
      </c>
    </row>
    <row r="611" spans="1:10" x14ac:dyDescent="0.25">
      <c r="A611" s="5" t="s">
        <v>1542</v>
      </c>
      <c r="B611" s="6">
        <v>393.75</v>
      </c>
      <c r="C611" s="6">
        <v>20.531590000000001</v>
      </c>
      <c r="D611" s="6">
        <v>70</v>
      </c>
      <c r="E611" s="6">
        <v>0</v>
      </c>
      <c r="F611" s="6">
        <v>0</v>
      </c>
      <c r="G611" s="6">
        <v>5</v>
      </c>
      <c r="H611" s="6" t="s">
        <v>1543</v>
      </c>
      <c r="I611" s="6">
        <v>526.6875</v>
      </c>
      <c r="J611" s="2">
        <f t="shared" si="9"/>
        <v>43747.478032430554</v>
      </c>
    </row>
    <row r="612" spans="1:10" x14ac:dyDescent="0.25">
      <c r="A612" s="7" t="s">
        <v>1544</v>
      </c>
      <c r="B612" s="8">
        <v>393.75</v>
      </c>
      <c r="C612" s="8">
        <v>20.478950000000001</v>
      </c>
      <c r="D612" s="8">
        <v>71</v>
      </c>
      <c r="E612" s="8">
        <v>0</v>
      </c>
      <c r="F612" s="8">
        <v>0</v>
      </c>
      <c r="G612" s="8">
        <v>9</v>
      </c>
      <c r="H612" s="8" t="s">
        <v>1545</v>
      </c>
      <c r="I612" s="8">
        <v>526.6875</v>
      </c>
      <c r="J612" s="3">
        <f t="shared" si="9"/>
        <v>43747.478115543978</v>
      </c>
    </row>
    <row r="613" spans="1:10" x14ac:dyDescent="0.25">
      <c r="A613" s="5" t="s">
        <v>1546</v>
      </c>
      <c r="B613" s="6">
        <v>393.75</v>
      </c>
      <c r="C613" s="6">
        <v>20.531590000000001</v>
      </c>
      <c r="D613" s="6">
        <v>71</v>
      </c>
      <c r="E613" s="6">
        <v>0</v>
      </c>
      <c r="F613" s="6">
        <v>0</v>
      </c>
      <c r="G613" s="6">
        <v>16</v>
      </c>
      <c r="H613" s="6" t="s">
        <v>1547</v>
      </c>
      <c r="I613" s="6">
        <v>526.5</v>
      </c>
      <c r="J613" s="2">
        <f t="shared" si="9"/>
        <v>43747.47818716435</v>
      </c>
    </row>
    <row r="614" spans="1:10" x14ac:dyDescent="0.25">
      <c r="A614" s="7" t="s">
        <v>1548</v>
      </c>
      <c r="B614" s="8">
        <v>393.75</v>
      </c>
      <c r="C614" s="8">
        <v>20.584240000000001</v>
      </c>
      <c r="D614" s="8">
        <v>74</v>
      </c>
      <c r="E614" s="8">
        <v>0</v>
      </c>
      <c r="F614" s="8">
        <v>0</v>
      </c>
      <c r="G614" s="8">
        <v>11</v>
      </c>
      <c r="H614" s="8" t="s">
        <v>1549</v>
      </c>
      <c r="I614" s="8">
        <v>526.6875</v>
      </c>
      <c r="J614" s="3">
        <f t="shared" si="9"/>
        <v>43747.478270856482</v>
      </c>
    </row>
    <row r="615" spans="1:10" x14ac:dyDescent="0.25">
      <c r="A615" s="5" t="s">
        <v>1550</v>
      </c>
      <c r="B615" s="6">
        <v>393.75</v>
      </c>
      <c r="C615" s="6">
        <v>20.478950000000001</v>
      </c>
      <c r="D615" s="6">
        <v>76</v>
      </c>
      <c r="E615" s="6">
        <v>0</v>
      </c>
      <c r="F615" s="6">
        <v>0</v>
      </c>
      <c r="G615" s="6">
        <v>6</v>
      </c>
      <c r="H615" s="6" t="s">
        <v>1551</v>
      </c>
      <c r="I615" s="6">
        <v>526.6875</v>
      </c>
      <c r="J615" s="2">
        <f t="shared" si="9"/>
        <v>43747.478354305553</v>
      </c>
    </row>
    <row r="616" spans="1:10" x14ac:dyDescent="0.25">
      <c r="A616" s="7" t="s">
        <v>1552</v>
      </c>
      <c r="B616" s="8">
        <v>393.75</v>
      </c>
      <c r="C616" s="8">
        <v>20.531590000000001</v>
      </c>
      <c r="D616" s="8">
        <v>75</v>
      </c>
      <c r="E616" s="8">
        <v>0</v>
      </c>
      <c r="F616" s="8">
        <v>0</v>
      </c>
      <c r="G616" s="8">
        <v>12</v>
      </c>
      <c r="H616" s="8" t="s">
        <v>1553</v>
      </c>
      <c r="I616" s="8">
        <v>526.6875</v>
      </c>
      <c r="J616" s="3">
        <f t="shared" si="9"/>
        <v>43747.478437754624</v>
      </c>
    </row>
    <row r="617" spans="1:10" x14ac:dyDescent="0.25">
      <c r="A617" s="5" t="s">
        <v>1554</v>
      </c>
      <c r="B617" s="6">
        <v>393.75</v>
      </c>
      <c r="C617" s="6">
        <v>20.531590000000001</v>
      </c>
      <c r="D617" s="6">
        <v>75</v>
      </c>
      <c r="E617" s="6">
        <v>0</v>
      </c>
      <c r="F617" s="6">
        <v>0</v>
      </c>
      <c r="G617" s="6">
        <v>10</v>
      </c>
      <c r="H617" s="6" t="s">
        <v>1555</v>
      </c>
      <c r="I617" s="6">
        <v>526.6875</v>
      </c>
      <c r="J617" s="2">
        <f t="shared" si="9"/>
        <v>43747.478521296296</v>
      </c>
    </row>
    <row r="618" spans="1:10" x14ac:dyDescent="0.25">
      <c r="A618" s="7" t="s">
        <v>1556</v>
      </c>
      <c r="B618" s="8">
        <v>393.75</v>
      </c>
      <c r="C618" s="8">
        <v>20.531590000000001</v>
      </c>
      <c r="D618" s="8">
        <v>75</v>
      </c>
      <c r="E618" s="8">
        <v>0</v>
      </c>
      <c r="F618" s="8">
        <v>0</v>
      </c>
      <c r="G618" s="8">
        <v>16</v>
      </c>
      <c r="H618" s="8" t="s">
        <v>1557</v>
      </c>
      <c r="I618" s="8">
        <v>526.6875</v>
      </c>
      <c r="J618" s="3">
        <f t="shared" si="9"/>
        <v>43747.47860440972</v>
      </c>
    </row>
    <row r="619" spans="1:10" x14ac:dyDescent="0.25">
      <c r="A619" s="5" t="s">
        <v>1558</v>
      </c>
      <c r="B619" s="6">
        <v>393.75</v>
      </c>
      <c r="C619" s="6">
        <v>20.531590000000001</v>
      </c>
      <c r="D619" s="6">
        <v>74</v>
      </c>
      <c r="E619" s="6">
        <v>0</v>
      </c>
      <c r="F619" s="6">
        <v>0</v>
      </c>
      <c r="G619" s="6">
        <v>7</v>
      </c>
      <c r="H619" s="6" t="s">
        <v>1559</v>
      </c>
      <c r="I619" s="6">
        <v>526.6875</v>
      </c>
      <c r="J619" s="2">
        <f t="shared" si="9"/>
        <v>43747.478688206014</v>
      </c>
    </row>
    <row r="620" spans="1:10" x14ac:dyDescent="0.25">
      <c r="A620" s="7" t="s">
        <v>1560</v>
      </c>
      <c r="B620" s="8">
        <v>412.5</v>
      </c>
      <c r="C620" s="8">
        <v>20.531590000000001</v>
      </c>
      <c r="D620" s="8">
        <v>73</v>
      </c>
      <c r="E620" s="8">
        <v>0</v>
      </c>
      <c r="F620" s="8">
        <v>0</v>
      </c>
      <c r="G620" s="8">
        <v>10</v>
      </c>
      <c r="H620" s="8" t="s">
        <v>1561</v>
      </c>
      <c r="I620" s="8">
        <v>532.3125</v>
      </c>
      <c r="J620" s="3">
        <f t="shared" si="9"/>
        <v>43747.478771423608</v>
      </c>
    </row>
    <row r="621" spans="1:10" x14ac:dyDescent="0.25">
      <c r="A621" s="5" t="s">
        <v>1562</v>
      </c>
      <c r="B621" s="6">
        <v>393.75</v>
      </c>
      <c r="C621" s="6">
        <v>20.531590000000001</v>
      </c>
      <c r="D621" s="6">
        <v>71</v>
      </c>
      <c r="E621" s="6">
        <v>0</v>
      </c>
      <c r="F621" s="6">
        <v>0</v>
      </c>
      <c r="G621" s="6">
        <v>16</v>
      </c>
      <c r="H621" s="6" t="s">
        <v>1563</v>
      </c>
      <c r="I621" s="6">
        <v>526.5</v>
      </c>
      <c r="J621" s="2">
        <f t="shared" si="9"/>
        <v>43747.47884319444</v>
      </c>
    </row>
    <row r="622" spans="1:10" x14ac:dyDescent="0.25">
      <c r="A622" s="7" t="s">
        <v>1564</v>
      </c>
      <c r="B622" s="8">
        <v>393.75</v>
      </c>
      <c r="C622" s="8">
        <v>20.478950000000001</v>
      </c>
      <c r="D622" s="8">
        <v>72</v>
      </c>
      <c r="E622" s="8">
        <v>0</v>
      </c>
      <c r="F622" s="8">
        <v>0</v>
      </c>
      <c r="G622" s="8">
        <v>13</v>
      </c>
      <c r="H622" s="8" t="s">
        <v>1565</v>
      </c>
      <c r="I622" s="8">
        <v>526.6875</v>
      </c>
      <c r="J622" s="3">
        <f t="shared" si="9"/>
        <v>43747.478926643518</v>
      </c>
    </row>
    <row r="623" spans="1:10" x14ac:dyDescent="0.25">
      <c r="A623" s="5" t="s">
        <v>1566</v>
      </c>
      <c r="B623" s="6">
        <v>393.75</v>
      </c>
      <c r="C623" s="6">
        <v>20.531590000000001</v>
      </c>
      <c r="D623" s="6">
        <v>74</v>
      </c>
      <c r="E623" s="6">
        <v>0</v>
      </c>
      <c r="F623" s="6">
        <v>0</v>
      </c>
      <c r="G623" s="6">
        <v>8</v>
      </c>
      <c r="H623" s="6" t="s">
        <v>1567</v>
      </c>
      <c r="I623" s="6">
        <v>526.6875</v>
      </c>
      <c r="J623" s="2">
        <f t="shared" si="9"/>
        <v>43747.479010196759</v>
      </c>
    </row>
    <row r="624" spans="1:10" x14ac:dyDescent="0.25">
      <c r="A624" s="7" t="s">
        <v>1568</v>
      </c>
      <c r="B624" s="8">
        <v>393.75</v>
      </c>
      <c r="C624" s="8">
        <v>20.531590000000001</v>
      </c>
      <c r="D624" s="8">
        <v>75</v>
      </c>
      <c r="E624" s="8">
        <v>0</v>
      </c>
      <c r="F624" s="8">
        <v>0</v>
      </c>
      <c r="G624" s="8">
        <v>7</v>
      </c>
      <c r="H624" s="8" t="s">
        <v>1569</v>
      </c>
      <c r="I624" s="8">
        <v>526.6875</v>
      </c>
      <c r="J624" s="3">
        <f t="shared" si="9"/>
        <v>43747.479093298607</v>
      </c>
    </row>
    <row r="625" spans="1:10" x14ac:dyDescent="0.25">
      <c r="A625" s="5" t="s">
        <v>1570</v>
      </c>
      <c r="B625" s="6">
        <v>393.75</v>
      </c>
      <c r="C625" s="6">
        <v>20.531590000000001</v>
      </c>
      <c r="D625" s="6">
        <v>75</v>
      </c>
      <c r="E625" s="6">
        <v>0</v>
      </c>
      <c r="F625" s="6">
        <v>0</v>
      </c>
      <c r="G625" s="6">
        <v>1</v>
      </c>
      <c r="H625" s="6" t="s">
        <v>1571</v>
      </c>
      <c r="I625" s="6">
        <v>526.6875</v>
      </c>
      <c r="J625" s="2">
        <f t="shared" si="9"/>
        <v>43747.479165081015</v>
      </c>
    </row>
    <row r="626" spans="1:10" x14ac:dyDescent="0.25">
      <c r="A626" s="7" t="s">
        <v>1572</v>
      </c>
      <c r="B626" s="8">
        <v>393.75</v>
      </c>
      <c r="C626" s="8">
        <v>20.584240000000001</v>
      </c>
      <c r="D626" s="8">
        <v>69</v>
      </c>
      <c r="E626" s="8">
        <v>0</v>
      </c>
      <c r="F626" s="8">
        <v>0</v>
      </c>
      <c r="G626" s="8">
        <v>11</v>
      </c>
      <c r="H626" s="8" t="s">
        <v>1573</v>
      </c>
      <c r="I626" s="8">
        <v>526.5</v>
      </c>
      <c r="J626" s="3">
        <f t="shared" si="9"/>
        <v>43747.47926270833</v>
      </c>
    </row>
    <row r="627" spans="1:10" x14ac:dyDescent="0.25">
      <c r="A627" s="5" t="s">
        <v>1574</v>
      </c>
      <c r="B627" s="6">
        <v>412.5</v>
      </c>
      <c r="C627" s="6">
        <v>20.584240000000001</v>
      </c>
      <c r="D627" s="6">
        <v>70</v>
      </c>
      <c r="E627" s="6">
        <v>0</v>
      </c>
      <c r="F627" s="6">
        <v>0</v>
      </c>
      <c r="G627" s="6">
        <v>6</v>
      </c>
      <c r="H627" s="6" t="s">
        <v>1575</v>
      </c>
      <c r="I627" s="6">
        <v>532.3125</v>
      </c>
      <c r="J627" s="2">
        <f t="shared" si="9"/>
        <v>43747.479344004627</v>
      </c>
    </row>
    <row r="628" spans="1:10" x14ac:dyDescent="0.25">
      <c r="A628" s="7" t="s">
        <v>1576</v>
      </c>
      <c r="B628" s="8">
        <v>393.75</v>
      </c>
      <c r="C628" s="8">
        <v>20.478950000000001</v>
      </c>
      <c r="D628" s="8">
        <v>71</v>
      </c>
      <c r="E628" s="8">
        <v>0</v>
      </c>
      <c r="F628" s="8">
        <v>0</v>
      </c>
      <c r="G628" s="8">
        <v>15</v>
      </c>
      <c r="H628" s="8" t="s">
        <v>1577</v>
      </c>
      <c r="I628" s="8">
        <v>526.6875</v>
      </c>
      <c r="J628" s="3">
        <f t="shared" si="9"/>
        <v>43747.479427569437</v>
      </c>
    </row>
    <row r="629" spans="1:10" x14ac:dyDescent="0.25">
      <c r="A629" s="5" t="s">
        <v>1578</v>
      </c>
      <c r="B629" s="6">
        <v>393.75</v>
      </c>
      <c r="C629" s="6">
        <v>20.531590000000001</v>
      </c>
      <c r="D629" s="6">
        <v>71</v>
      </c>
      <c r="E629" s="6">
        <v>0</v>
      </c>
      <c r="F629" s="6">
        <v>0</v>
      </c>
      <c r="G629" s="6">
        <v>5</v>
      </c>
      <c r="H629" s="6" t="s">
        <v>1579</v>
      </c>
      <c r="I629" s="6">
        <v>526.6875</v>
      </c>
      <c r="J629" s="2">
        <f t="shared" si="9"/>
        <v>43747.479510902776</v>
      </c>
    </row>
    <row r="630" spans="1:10" x14ac:dyDescent="0.25">
      <c r="A630" s="7" t="s">
        <v>1580</v>
      </c>
      <c r="B630" s="8">
        <v>393.75</v>
      </c>
      <c r="C630" s="8">
        <v>20.531590000000001</v>
      </c>
      <c r="D630" s="8">
        <v>71</v>
      </c>
      <c r="E630" s="8">
        <v>0</v>
      </c>
      <c r="F630" s="8">
        <v>0</v>
      </c>
      <c r="G630" s="8">
        <v>3</v>
      </c>
      <c r="H630" s="8" t="s">
        <v>1581</v>
      </c>
      <c r="I630" s="8">
        <v>526.6875</v>
      </c>
      <c r="J630" s="3">
        <f t="shared" si="9"/>
        <v>43747.479606365734</v>
      </c>
    </row>
    <row r="631" spans="1:10" x14ac:dyDescent="0.25">
      <c r="A631" s="5" t="s">
        <v>1582</v>
      </c>
      <c r="B631" s="6">
        <v>393.75</v>
      </c>
      <c r="C631" s="6">
        <v>20.478950000000001</v>
      </c>
      <c r="D631" s="6">
        <v>71</v>
      </c>
      <c r="E631" s="6">
        <v>0</v>
      </c>
      <c r="F631" s="6">
        <v>0</v>
      </c>
      <c r="G631" s="6">
        <v>2</v>
      </c>
      <c r="H631" s="6" t="s">
        <v>1583</v>
      </c>
      <c r="I631" s="6">
        <v>526.6875</v>
      </c>
      <c r="J631" s="2">
        <f t="shared" si="9"/>
        <v>43747.479689618056</v>
      </c>
    </row>
    <row r="632" spans="1:10" x14ac:dyDescent="0.25">
      <c r="A632" s="7" t="s">
        <v>1584</v>
      </c>
      <c r="B632" s="8">
        <v>393.75</v>
      </c>
      <c r="C632" s="8">
        <v>20.478950000000001</v>
      </c>
      <c r="D632" s="8">
        <v>71</v>
      </c>
      <c r="E632" s="8">
        <v>0</v>
      </c>
      <c r="F632" s="8">
        <v>0</v>
      </c>
      <c r="G632" s="8">
        <v>4</v>
      </c>
      <c r="H632" s="8" t="s">
        <v>1585</v>
      </c>
      <c r="I632" s="8">
        <v>526.6875</v>
      </c>
      <c r="J632" s="3">
        <f t="shared" si="9"/>
        <v>43747.479761342591</v>
      </c>
    </row>
    <row r="633" spans="1:10" x14ac:dyDescent="0.25">
      <c r="A633" s="5" t="s">
        <v>1586</v>
      </c>
      <c r="B633" s="6">
        <v>393.75</v>
      </c>
      <c r="C633" s="6">
        <v>20.531590000000001</v>
      </c>
      <c r="D633" s="6">
        <v>72</v>
      </c>
      <c r="E633" s="6">
        <v>0</v>
      </c>
      <c r="F633" s="6">
        <v>0</v>
      </c>
      <c r="G633" s="6">
        <v>5</v>
      </c>
      <c r="H633" s="6" t="s">
        <v>1587</v>
      </c>
      <c r="I633" s="6">
        <v>526.6875</v>
      </c>
      <c r="J633" s="2">
        <f t="shared" si="9"/>
        <v>43747.479844791662</v>
      </c>
    </row>
    <row r="634" spans="1:10" x14ac:dyDescent="0.25">
      <c r="A634" s="7" t="s">
        <v>1588</v>
      </c>
      <c r="B634" s="8">
        <v>393.75</v>
      </c>
      <c r="C634" s="8">
        <v>20.478950000000001</v>
      </c>
      <c r="D634" s="8">
        <v>72</v>
      </c>
      <c r="E634" s="8">
        <v>0</v>
      </c>
      <c r="F634" s="8">
        <v>0</v>
      </c>
      <c r="G634" s="8">
        <v>2</v>
      </c>
      <c r="H634" s="8" t="s">
        <v>1589</v>
      </c>
      <c r="I634" s="8">
        <v>526.6875</v>
      </c>
      <c r="J634" s="3">
        <f t="shared" si="9"/>
        <v>43747.479940185185</v>
      </c>
    </row>
    <row r="635" spans="1:10" x14ac:dyDescent="0.25">
      <c r="A635" s="5" t="s">
        <v>1590</v>
      </c>
      <c r="B635" s="6">
        <v>393.75</v>
      </c>
      <c r="C635" s="6">
        <v>20.478950000000001</v>
      </c>
      <c r="D635" s="6">
        <v>72</v>
      </c>
      <c r="E635" s="6">
        <v>0</v>
      </c>
      <c r="F635" s="6">
        <v>0</v>
      </c>
      <c r="G635" s="6">
        <v>7</v>
      </c>
      <c r="H635" s="6" t="s">
        <v>1591</v>
      </c>
      <c r="I635" s="6">
        <v>526.6875</v>
      </c>
      <c r="J635" s="2">
        <f t="shared" si="9"/>
        <v>43747.480023611111</v>
      </c>
    </row>
    <row r="636" spans="1:10" x14ac:dyDescent="0.25">
      <c r="A636" s="7" t="s">
        <v>1592</v>
      </c>
      <c r="B636" s="8">
        <v>393.75</v>
      </c>
      <c r="C636" s="8">
        <v>20.478950000000001</v>
      </c>
      <c r="D636" s="8">
        <v>75</v>
      </c>
      <c r="E636" s="8">
        <v>0</v>
      </c>
      <c r="F636" s="8">
        <v>0</v>
      </c>
      <c r="G636" s="8">
        <v>14</v>
      </c>
      <c r="H636" s="8" t="s">
        <v>1593</v>
      </c>
      <c r="I636" s="8">
        <v>526.6875</v>
      </c>
      <c r="J636" s="3">
        <f t="shared" si="9"/>
        <v>43747.480095138882</v>
      </c>
    </row>
    <row r="637" spans="1:10" x14ac:dyDescent="0.25">
      <c r="A637" s="5" t="s">
        <v>1594</v>
      </c>
      <c r="B637" s="6">
        <v>393.75</v>
      </c>
      <c r="C637" s="6">
        <v>20.531590000000001</v>
      </c>
      <c r="D637" s="6">
        <v>75</v>
      </c>
      <c r="E637" s="6">
        <v>0</v>
      </c>
      <c r="F637" s="6">
        <v>0</v>
      </c>
      <c r="G637" s="6">
        <v>9</v>
      </c>
      <c r="H637" s="6" t="s">
        <v>1595</v>
      </c>
      <c r="I637" s="6">
        <v>526.6875</v>
      </c>
      <c r="J637" s="2">
        <f t="shared" si="9"/>
        <v>43747.480178483798</v>
      </c>
    </row>
    <row r="638" spans="1:10" x14ac:dyDescent="0.25">
      <c r="A638" s="7" t="s">
        <v>1596</v>
      </c>
      <c r="B638" s="8">
        <v>393.75</v>
      </c>
      <c r="C638" s="8">
        <v>20.531590000000001</v>
      </c>
      <c r="D638" s="8">
        <v>75</v>
      </c>
      <c r="E638" s="8">
        <v>0</v>
      </c>
      <c r="F638" s="8">
        <v>0</v>
      </c>
      <c r="G638" s="8">
        <v>2</v>
      </c>
      <c r="H638" s="8" t="s">
        <v>1597</v>
      </c>
      <c r="I638" s="8">
        <v>526.6875</v>
      </c>
      <c r="J638" s="3">
        <f t="shared" si="9"/>
        <v>43747.480250127315</v>
      </c>
    </row>
    <row r="639" spans="1:10" x14ac:dyDescent="0.25">
      <c r="A639" s="5" t="s">
        <v>1598</v>
      </c>
      <c r="B639" s="6">
        <v>393.75</v>
      </c>
      <c r="C639" s="6">
        <v>20.478950000000001</v>
      </c>
      <c r="D639" s="6">
        <v>75</v>
      </c>
      <c r="E639" s="6">
        <v>0</v>
      </c>
      <c r="F639" s="6">
        <v>0</v>
      </c>
      <c r="G639" s="6">
        <v>6</v>
      </c>
      <c r="H639" s="6" t="s">
        <v>1599</v>
      </c>
      <c r="I639" s="6">
        <v>526.6875</v>
      </c>
      <c r="J639" s="2">
        <f t="shared" si="9"/>
        <v>43747.480333576386</v>
      </c>
    </row>
    <row r="640" spans="1:10" x14ac:dyDescent="0.25">
      <c r="A640" s="7" t="s">
        <v>1600</v>
      </c>
      <c r="B640" s="8">
        <v>393.75</v>
      </c>
      <c r="C640" s="8">
        <v>20.584240000000001</v>
      </c>
      <c r="D640" s="8">
        <v>73</v>
      </c>
      <c r="E640" s="8">
        <v>0</v>
      </c>
      <c r="F640" s="8">
        <v>0</v>
      </c>
      <c r="G640" s="8">
        <v>11</v>
      </c>
      <c r="H640" s="8" t="s">
        <v>1601</v>
      </c>
      <c r="I640" s="8">
        <v>526.6875</v>
      </c>
      <c r="J640" s="3">
        <f t="shared" si="9"/>
        <v>43747.480417141203</v>
      </c>
    </row>
    <row r="641" spans="1:10" x14ac:dyDescent="0.25">
      <c r="A641" s="5" t="s">
        <v>1602</v>
      </c>
      <c r="B641" s="6">
        <v>393.75</v>
      </c>
      <c r="C641" s="6">
        <v>20.478950000000001</v>
      </c>
      <c r="D641" s="6">
        <v>73</v>
      </c>
      <c r="E641" s="6">
        <v>0</v>
      </c>
      <c r="F641" s="6">
        <v>0</v>
      </c>
      <c r="G641" s="6">
        <v>8</v>
      </c>
      <c r="H641" s="6" t="s">
        <v>1603</v>
      </c>
      <c r="I641" s="6">
        <v>526.6875</v>
      </c>
      <c r="J641" s="2">
        <f t="shared" si="9"/>
        <v>43747.480500706013</v>
      </c>
    </row>
    <row r="642" spans="1:10" x14ac:dyDescent="0.25">
      <c r="A642" s="7" t="s">
        <v>1604</v>
      </c>
      <c r="B642" s="8">
        <v>393.75</v>
      </c>
      <c r="C642" s="8">
        <v>20.478950000000001</v>
      </c>
      <c r="D642" s="8">
        <v>73</v>
      </c>
      <c r="E642" s="8">
        <v>0</v>
      </c>
      <c r="F642" s="8">
        <v>0</v>
      </c>
      <c r="G642" s="8">
        <v>8</v>
      </c>
      <c r="H642" s="8" t="s">
        <v>1605</v>
      </c>
      <c r="I642" s="8">
        <v>526.6875</v>
      </c>
      <c r="J642" s="3">
        <f t="shared" ref="J642:J705" si="10">(H642/86400000)+25569+(7/24)</f>
        <v>43747.480584039346</v>
      </c>
    </row>
    <row r="643" spans="1:10" x14ac:dyDescent="0.25">
      <c r="A643" s="5" t="s">
        <v>1606</v>
      </c>
      <c r="B643" s="6">
        <v>393.75</v>
      </c>
      <c r="C643" s="6">
        <v>20.531590000000001</v>
      </c>
      <c r="D643" s="6">
        <v>72</v>
      </c>
      <c r="E643" s="6">
        <v>0</v>
      </c>
      <c r="F643" s="6">
        <v>0</v>
      </c>
      <c r="G643" s="6">
        <v>3</v>
      </c>
      <c r="H643" s="6" t="s">
        <v>1607</v>
      </c>
      <c r="I643" s="6">
        <v>526.6875</v>
      </c>
      <c r="J643" s="2">
        <f t="shared" si="10"/>
        <v>43747.480667384261</v>
      </c>
    </row>
    <row r="644" spans="1:10" x14ac:dyDescent="0.25">
      <c r="A644" s="7" t="s">
        <v>1608</v>
      </c>
      <c r="B644" s="8">
        <v>412.5</v>
      </c>
      <c r="C644" s="8">
        <v>20.478950000000001</v>
      </c>
      <c r="D644" s="8">
        <v>71</v>
      </c>
      <c r="E644" s="8">
        <v>0</v>
      </c>
      <c r="F644" s="8">
        <v>0</v>
      </c>
      <c r="G644" s="8">
        <v>15</v>
      </c>
      <c r="H644" s="8" t="s">
        <v>1609</v>
      </c>
      <c r="I644" s="8">
        <v>532.125</v>
      </c>
      <c r="J644" s="3">
        <f t="shared" si="10"/>
        <v>43747.480750937502</v>
      </c>
    </row>
    <row r="645" spans="1:10" x14ac:dyDescent="0.25">
      <c r="A645" s="5" t="s">
        <v>1610</v>
      </c>
      <c r="B645" s="6">
        <v>393.75</v>
      </c>
      <c r="C645" s="6">
        <v>20.531590000000001</v>
      </c>
      <c r="D645" s="6">
        <v>71</v>
      </c>
      <c r="E645" s="6">
        <v>0</v>
      </c>
      <c r="F645" s="6">
        <v>0</v>
      </c>
      <c r="G645" s="6">
        <v>2</v>
      </c>
      <c r="H645" s="6" t="s">
        <v>1611</v>
      </c>
      <c r="I645" s="6">
        <v>526.6875</v>
      </c>
      <c r="J645" s="2">
        <f t="shared" si="10"/>
        <v>43747.480834155089</v>
      </c>
    </row>
    <row r="646" spans="1:10" x14ac:dyDescent="0.25">
      <c r="A646" s="7" t="s">
        <v>1612</v>
      </c>
      <c r="B646" s="8">
        <v>393.75</v>
      </c>
      <c r="C646" s="8">
        <v>20.531590000000001</v>
      </c>
      <c r="D646" s="8">
        <v>71</v>
      </c>
      <c r="E646" s="8">
        <v>0</v>
      </c>
      <c r="F646" s="8">
        <v>0</v>
      </c>
      <c r="G646" s="8">
        <v>8</v>
      </c>
      <c r="H646" s="8" t="s">
        <v>1613</v>
      </c>
      <c r="I646" s="8">
        <v>526.6875</v>
      </c>
      <c r="J646" s="3">
        <f t="shared" si="10"/>
        <v>43747.480905706012</v>
      </c>
    </row>
    <row r="647" spans="1:10" x14ac:dyDescent="0.25">
      <c r="A647" s="5" t="s">
        <v>1614</v>
      </c>
      <c r="B647" s="6">
        <v>393.75</v>
      </c>
      <c r="C647" s="6">
        <v>20.478950000000001</v>
      </c>
      <c r="D647" s="6">
        <v>71</v>
      </c>
      <c r="E647" s="6">
        <v>0</v>
      </c>
      <c r="F647" s="6">
        <v>0</v>
      </c>
      <c r="G647" s="6">
        <v>7</v>
      </c>
      <c r="H647" s="6" t="s">
        <v>1615</v>
      </c>
      <c r="I647" s="6">
        <v>526.6875</v>
      </c>
      <c r="J647" s="2">
        <f t="shared" si="10"/>
        <v>43747.480989606476</v>
      </c>
    </row>
    <row r="648" spans="1:10" x14ac:dyDescent="0.25">
      <c r="A648" s="7" t="s">
        <v>1616</v>
      </c>
      <c r="B648" s="8">
        <v>393.75</v>
      </c>
      <c r="C648" s="8">
        <v>20.531590000000001</v>
      </c>
      <c r="D648" s="8">
        <v>72</v>
      </c>
      <c r="E648" s="8">
        <v>0</v>
      </c>
      <c r="F648" s="8">
        <v>0</v>
      </c>
      <c r="G648" s="8">
        <v>10</v>
      </c>
      <c r="H648" s="8" t="s">
        <v>1617</v>
      </c>
      <c r="I648" s="8">
        <v>526.6875</v>
      </c>
      <c r="J648" s="3">
        <f t="shared" si="10"/>
        <v>43747.481072800925</v>
      </c>
    </row>
    <row r="649" spans="1:10" x14ac:dyDescent="0.25">
      <c r="A649" s="5" t="s">
        <v>1618</v>
      </c>
      <c r="B649" s="6">
        <v>412.5</v>
      </c>
      <c r="C649" s="6">
        <v>20.478950000000001</v>
      </c>
      <c r="D649" s="6">
        <v>73</v>
      </c>
      <c r="E649" s="6">
        <v>0</v>
      </c>
      <c r="F649" s="6">
        <v>0</v>
      </c>
      <c r="G649" s="6">
        <v>5</v>
      </c>
      <c r="H649" s="6" t="s">
        <v>1619</v>
      </c>
      <c r="I649" s="6">
        <v>532.3125</v>
      </c>
      <c r="J649" s="2">
        <f t="shared" si="10"/>
        <v>43747.481156249996</v>
      </c>
    </row>
    <row r="650" spans="1:10" x14ac:dyDescent="0.25">
      <c r="A650" s="7" t="s">
        <v>1620</v>
      </c>
      <c r="B650" s="8">
        <v>393.75</v>
      </c>
      <c r="C650" s="8">
        <v>20.531590000000001</v>
      </c>
      <c r="D650" s="8">
        <v>70</v>
      </c>
      <c r="E650" s="8">
        <v>0</v>
      </c>
      <c r="F650" s="8">
        <v>0</v>
      </c>
      <c r="G650" s="8">
        <v>8</v>
      </c>
      <c r="H650" s="8" t="s">
        <v>1621</v>
      </c>
      <c r="I650" s="8">
        <v>526.5</v>
      </c>
      <c r="J650" s="3">
        <f t="shared" si="10"/>
        <v>43747.481238020831</v>
      </c>
    </row>
    <row r="651" spans="1:10" x14ac:dyDescent="0.25">
      <c r="A651" s="5" t="s">
        <v>1622</v>
      </c>
      <c r="B651" s="6">
        <v>393.75</v>
      </c>
      <c r="C651" s="6">
        <v>20.478950000000001</v>
      </c>
      <c r="D651" s="6">
        <v>70</v>
      </c>
      <c r="E651" s="6">
        <v>0</v>
      </c>
      <c r="F651" s="6">
        <v>0</v>
      </c>
      <c r="G651" s="6">
        <v>0</v>
      </c>
      <c r="H651" s="6" t="s">
        <v>1623</v>
      </c>
      <c r="I651" s="6">
        <v>526.6875</v>
      </c>
      <c r="J651" s="2">
        <f t="shared" si="10"/>
        <v>43747.481311377313</v>
      </c>
    </row>
    <row r="652" spans="1:10" x14ac:dyDescent="0.25">
      <c r="A652" s="7" t="s">
        <v>1624</v>
      </c>
      <c r="B652" s="8">
        <v>393.75</v>
      </c>
      <c r="C652" s="8">
        <v>20.531590000000001</v>
      </c>
      <c r="D652" s="8">
        <v>70</v>
      </c>
      <c r="E652" s="8">
        <v>0</v>
      </c>
      <c r="F652" s="8">
        <v>0</v>
      </c>
      <c r="G652" s="8">
        <v>0</v>
      </c>
      <c r="H652" s="8" t="s">
        <v>1625</v>
      </c>
      <c r="I652" s="8">
        <v>526.6875</v>
      </c>
      <c r="J652" s="3">
        <f t="shared" si="10"/>
        <v>43747.481394826384</v>
      </c>
    </row>
    <row r="653" spans="1:10" x14ac:dyDescent="0.25">
      <c r="A653" s="5" t="s">
        <v>1626</v>
      </c>
      <c r="B653" s="6">
        <v>393.75</v>
      </c>
      <c r="C653" s="6">
        <v>20.531590000000001</v>
      </c>
      <c r="D653" s="6">
        <v>71</v>
      </c>
      <c r="E653" s="6">
        <v>0</v>
      </c>
      <c r="F653" s="6">
        <v>0</v>
      </c>
      <c r="G653" s="6">
        <v>9</v>
      </c>
      <c r="H653" s="6" t="s">
        <v>1627</v>
      </c>
      <c r="I653" s="6">
        <v>526.5</v>
      </c>
      <c r="J653" s="2">
        <f t="shared" si="10"/>
        <v>43747.48147825231</v>
      </c>
    </row>
    <row r="654" spans="1:10" x14ac:dyDescent="0.25">
      <c r="A654" s="7" t="s">
        <v>1628</v>
      </c>
      <c r="B654" s="8">
        <v>434.375</v>
      </c>
      <c r="C654" s="8">
        <v>20.478950000000001</v>
      </c>
      <c r="D654" s="8">
        <v>73</v>
      </c>
      <c r="E654" s="8">
        <v>0</v>
      </c>
      <c r="F654" s="8">
        <v>0</v>
      </c>
      <c r="G654" s="8">
        <v>4</v>
      </c>
      <c r="H654" s="8" t="s">
        <v>1629</v>
      </c>
      <c r="I654" s="8">
        <v>539.25</v>
      </c>
      <c r="J654" s="3">
        <f t="shared" si="10"/>
        <v>43747.481561701388</v>
      </c>
    </row>
    <row r="655" spans="1:10" x14ac:dyDescent="0.25">
      <c r="A655" s="5" t="s">
        <v>1630</v>
      </c>
      <c r="B655" s="6">
        <v>393.75</v>
      </c>
      <c r="C655" s="6">
        <v>20.478950000000001</v>
      </c>
      <c r="D655" s="6">
        <v>72</v>
      </c>
      <c r="E655" s="6">
        <v>0</v>
      </c>
      <c r="F655" s="6">
        <v>0</v>
      </c>
      <c r="G655" s="6">
        <v>4</v>
      </c>
      <c r="H655" s="6" t="s">
        <v>1631</v>
      </c>
      <c r="I655" s="6">
        <v>526.6875</v>
      </c>
      <c r="J655" s="2">
        <f t="shared" si="10"/>
        <v>43747.481645162035</v>
      </c>
    </row>
    <row r="656" spans="1:10" x14ac:dyDescent="0.25">
      <c r="A656" s="7" t="s">
        <v>1632</v>
      </c>
      <c r="B656" s="8">
        <v>393.75</v>
      </c>
      <c r="C656" s="8">
        <v>20.478950000000001</v>
      </c>
      <c r="D656" s="8">
        <v>72</v>
      </c>
      <c r="E656" s="8">
        <v>0</v>
      </c>
      <c r="F656" s="8">
        <v>0</v>
      </c>
      <c r="G656" s="8">
        <v>0</v>
      </c>
      <c r="H656" s="8" t="s">
        <v>1633</v>
      </c>
      <c r="I656" s="8">
        <v>526.6875</v>
      </c>
      <c r="J656" s="3">
        <f t="shared" si="10"/>
        <v>43747.481728611114</v>
      </c>
    </row>
    <row r="657" spans="1:10" x14ac:dyDescent="0.25">
      <c r="A657" s="5" t="s">
        <v>1634</v>
      </c>
      <c r="B657" s="6">
        <v>393.75</v>
      </c>
      <c r="C657" s="6">
        <v>20.531590000000001</v>
      </c>
      <c r="D657" s="6">
        <v>70</v>
      </c>
      <c r="E657" s="6">
        <v>0</v>
      </c>
      <c r="F657" s="6">
        <v>0</v>
      </c>
      <c r="G657" s="6">
        <v>0</v>
      </c>
      <c r="H657" s="6" t="s">
        <v>1635</v>
      </c>
      <c r="I657" s="6">
        <v>526.6875</v>
      </c>
      <c r="J657" s="2">
        <f t="shared" si="10"/>
        <v>43747.481811805548</v>
      </c>
    </row>
    <row r="658" spans="1:10" x14ac:dyDescent="0.25">
      <c r="A658" s="7" t="s">
        <v>1636</v>
      </c>
      <c r="B658" s="8">
        <v>393.75</v>
      </c>
      <c r="C658" s="8">
        <v>20.478950000000001</v>
      </c>
      <c r="D658" s="8">
        <v>70</v>
      </c>
      <c r="E658" s="8">
        <v>0</v>
      </c>
      <c r="F658" s="8">
        <v>0</v>
      </c>
      <c r="G658" s="8">
        <v>5</v>
      </c>
      <c r="H658" s="8" t="s">
        <v>1637</v>
      </c>
      <c r="I658" s="8">
        <v>526.6875</v>
      </c>
      <c r="J658" s="3">
        <f t="shared" si="10"/>
        <v>43747.481883587963</v>
      </c>
    </row>
    <row r="659" spans="1:10" x14ac:dyDescent="0.25">
      <c r="A659" s="5" t="s">
        <v>1638</v>
      </c>
      <c r="B659" s="6">
        <v>428.125</v>
      </c>
      <c r="C659" s="6">
        <v>20.584240000000001</v>
      </c>
      <c r="D659" s="6">
        <v>69</v>
      </c>
      <c r="E659" s="6">
        <v>0</v>
      </c>
      <c r="F659" s="6">
        <v>0</v>
      </c>
      <c r="G659" s="6">
        <v>9</v>
      </c>
      <c r="H659" s="6" t="s">
        <v>1639</v>
      </c>
      <c r="I659" s="6">
        <v>537.1875</v>
      </c>
      <c r="J659" s="2">
        <f t="shared" si="10"/>
        <v>43747.481967141204</v>
      </c>
    </row>
    <row r="660" spans="1:10" x14ac:dyDescent="0.25">
      <c r="A660" s="7" t="s">
        <v>1640</v>
      </c>
      <c r="B660" s="8">
        <v>393.75</v>
      </c>
      <c r="C660" s="8">
        <v>20.478950000000001</v>
      </c>
      <c r="D660" s="8">
        <v>68</v>
      </c>
      <c r="E660" s="8">
        <v>0</v>
      </c>
      <c r="F660" s="8">
        <v>0</v>
      </c>
      <c r="G660" s="8">
        <v>6</v>
      </c>
      <c r="H660" s="8" t="s">
        <v>1641</v>
      </c>
      <c r="I660" s="8">
        <v>526.6875</v>
      </c>
      <c r="J660" s="3">
        <f t="shared" si="10"/>
        <v>43747.48206263889</v>
      </c>
    </row>
    <row r="661" spans="1:10" x14ac:dyDescent="0.25">
      <c r="A661" s="5" t="s">
        <v>1642</v>
      </c>
      <c r="B661" s="6">
        <v>412.5</v>
      </c>
      <c r="C661" s="6">
        <v>20.531590000000001</v>
      </c>
      <c r="D661" s="6">
        <v>68</v>
      </c>
      <c r="E661" s="6">
        <v>0</v>
      </c>
      <c r="F661" s="6">
        <v>0</v>
      </c>
      <c r="G661" s="6">
        <v>5</v>
      </c>
      <c r="H661" s="6" t="s">
        <v>1643</v>
      </c>
      <c r="I661" s="6">
        <v>532.875</v>
      </c>
      <c r="J661" s="2">
        <f t="shared" si="10"/>
        <v>43747.482134039346</v>
      </c>
    </row>
    <row r="662" spans="1:10" x14ac:dyDescent="0.25">
      <c r="A662" s="7" t="s">
        <v>1644</v>
      </c>
      <c r="B662" s="8">
        <v>393.75</v>
      </c>
      <c r="C662" s="8">
        <v>20.584240000000001</v>
      </c>
      <c r="D662" s="8">
        <v>68</v>
      </c>
      <c r="E662" s="8">
        <v>0</v>
      </c>
      <c r="F662" s="8">
        <v>0</v>
      </c>
      <c r="G662" s="8">
        <v>0</v>
      </c>
      <c r="H662" s="8" t="s">
        <v>1645</v>
      </c>
      <c r="I662" s="8">
        <v>526.6875</v>
      </c>
      <c r="J662" s="3">
        <f t="shared" si="10"/>
        <v>43747.482217476849</v>
      </c>
    </row>
    <row r="663" spans="1:10" x14ac:dyDescent="0.25">
      <c r="A663" s="5" t="s">
        <v>1646</v>
      </c>
      <c r="B663" s="6">
        <v>393.75</v>
      </c>
      <c r="C663" s="6">
        <v>20.531590000000001</v>
      </c>
      <c r="D663" s="6">
        <v>70</v>
      </c>
      <c r="E663" s="6">
        <v>0</v>
      </c>
      <c r="F663" s="6">
        <v>0</v>
      </c>
      <c r="G663" s="6">
        <v>8</v>
      </c>
      <c r="H663" s="6" t="s">
        <v>1647</v>
      </c>
      <c r="I663" s="6">
        <v>526.6875</v>
      </c>
      <c r="J663" s="2">
        <f t="shared" si="10"/>
        <v>43747.482300706011</v>
      </c>
    </row>
    <row r="664" spans="1:10" x14ac:dyDescent="0.25">
      <c r="A664" s="7" t="s">
        <v>1648</v>
      </c>
      <c r="B664" s="8">
        <v>393.75</v>
      </c>
      <c r="C664" s="8">
        <v>20.478950000000001</v>
      </c>
      <c r="D664" s="8">
        <v>70</v>
      </c>
      <c r="E664" s="8">
        <v>0</v>
      </c>
      <c r="F664" s="8">
        <v>0</v>
      </c>
      <c r="G664" s="8">
        <v>3</v>
      </c>
      <c r="H664" s="8" t="s">
        <v>1649</v>
      </c>
      <c r="I664" s="8">
        <v>526.6875</v>
      </c>
      <c r="J664" s="3">
        <f t="shared" si="10"/>
        <v>43747.48237247685</v>
      </c>
    </row>
    <row r="665" spans="1:10" x14ac:dyDescent="0.25">
      <c r="A665" s="5" t="s">
        <v>1650</v>
      </c>
      <c r="B665" s="6">
        <v>393.75</v>
      </c>
      <c r="C665" s="6">
        <v>20.478950000000001</v>
      </c>
      <c r="D665" s="6">
        <v>71</v>
      </c>
      <c r="E665" s="6">
        <v>0</v>
      </c>
      <c r="F665" s="6">
        <v>0</v>
      </c>
      <c r="G665" s="6">
        <v>6</v>
      </c>
      <c r="H665" s="6" t="s">
        <v>1651</v>
      </c>
      <c r="I665" s="6">
        <v>526.5</v>
      </c>
      <c r="J665" s="2">
        <f t="shared" si="10"/>
        <v>43747.482444108791</v>
      </c>
    </row>
    <row r="666" spans="1:10" x14ac:dyDescent="0.25">
      <c r="A666" s="7" t="s">
        <v>1652</v>
      </c>
      <c r="B666" s="8">
        <v>393.75</v>
      </c>
      <c r="C666" s="8">
        <v>20.531590000000001</v>
      </c>
      <c r="D666" s="8">
        <v>68</v>
      </c>
      <c r="E666" s="8">
        <v>0</v>
      </c>
      <c r="F666" s="8">
        <v>0</v>
      </c>
      <c r="G666" s="8">
        <v>13</v>
      </c>
      <c r="H666" s="8" t="s">
        <v>1653</v>
      </c>
      <c r="I666" s="8">
        <v>526.6875</v>
      </c>
      <c r="J666" s="3">
        <f t="shared" si="10"/>
        <v>43747.482527569438</v>
      </c>
    </row>
    <row r="667" spans="1:10" x14ac:dyDescent="0.25">
      <c r="A667" s="5" t="s">
        <v>1654</v>
      </c>
      <c r="B667" s="6">
        <v>412.5</v>
      </c>
      <c r="C667" s="6">
        <v>20.478950000000001</v>
      </c>
      <c r="D667" s="6">
        <v>67</v>
      </c>
      <c r="E667" s="6">
        <v>0</v>
      </c>
      <c r="F667" s="6">
        <v>0</v>
      </c>
      <c r="G667" s="6">
        <v>4</v>
      </c>
      <c r="H667" s="6" t="s">
        <v>1655</v>
      </c>
      <c r="I667" s="6">
        <v>532.6875</v>
      </c>
      <c r="J667" s="2">
        <f t="shared" si="10"/>
        <v>43747.482611342588</v>
      </c>
    </row>
    <row r="668" spans="1:10" x14ac:dyDescent="0.25">
      <c r="A668" s="7" t="s">
        <v>1656</v>
      </c>
      <c r="B668" s="8">
        <v>393.75</v>
      </c>
      <c r="C668" s="8">
        <v>20.531590000000001</v>
      </c>
      <c r="D668" s="8">
        <v>67</v>
      </c>
      <c r="E668" s="8">
        <v>0</v>
      </c>
      <c r="F668" s="8">
        <v>0</v>
      </c>
      <c r="G668" s="8">
        <v>0</v>
      </c>
      <c r="H668" s="8" t="s">
        <v>1657</v>
      </c>
      <c r="I668" s="8">
        <v>526.5</v>
      </c>
      <c r="J668" s="3">
        <f t="shared" si="10"/>
        <v>43747.482706365736</v>
      </c>
    </row>
    <row r="669" spans="1:10" x14ac:dyDescent="0.25">
      <c r="A669" s="5" t="s">
        <v>1658</v>
      </c>
      <c r="B669" s="6">
        <v>393.75</v>
      </c>
      <c r="C669" s="6">
        <v>20.478950000000001</v>
      </c>
      <c r="D669" s="6">
        <v>67</v>
      </c>
      <c r="E669" s="6">
        <v>0</v>
      </c>
      <c r="F669" s="6">
        <v>0</v>
      </c>
      <c r="G669" s="6">
        <v>14</v>
      </c>
      <c r="H669" s="6" t="s">
        <v>1659</v>
      </c>
      <c r="I669" s="6">
        <v>526.6875</v>
      </c>
      <c r="J669" s="2">
        <f t="shared" si="10"/>
        <v>43747.482789606474</v>
      </c>
    </row>
    <row r="670" spans="1:10" x14ac:dyDescent="0.25">
      <c r="A670" s="7" t="s">
        <v>1660</v>
      </c>
      <c r="B670" s="8">
        <v>393.75</v>
      </c>
      <c r="C670" s="8">
        <v>20.478950000000001</v>
      </c>
      <c r="D670" s="8">
        <v>67</v>
      </c>
      <c r="E670" s="8">
        <v>0</v>
      </c>
      <c r="F670" s="8">
        <v>0</v>
      </c>
      <c r="G670" s="8">
        <v>8</v>
      </c>
      <c r="H670" s="8" t="s">
        <v>1661</v>
      </c>
      <c r="I670" s="8">
        <v>526.6875</v>
      </c>
      <c r="J670" s="3">
        <f t="shared" si="10"/>
        <v>43747.482861249999</v>
      </c>
    </row>
    <row r="671" spans="1:10" x14ac:dyDescent="0.25">
      <c r="A671" s="5" t="s">
        <v>1662</v>
      </c>
      <c r="B671" s="6">
        <v>393.75</v>
      </c>
      <c r="C671" s="6">
        <v>20.531590000000001</v>
      </c>
      <c r="D671" s="6">
        <v>70</v>
      </c>
      <c r="E671" s="6">
        <v>0</v>
      </c>
      <c r="F671" s="6">
        <v>0</v>
      </c>
      <c r="G671" s="6">
        <v>11</v>
      </c>
      <c r="H671" s="6" t="s">
        <v>1663</v>
      </c>
      <c r="I671" s="6">
        <v>526.6875</v>
      </c>
      <c r="J671" s="2">
        <f t="shared" si="10"/>
        <v>43747.482944791664</v>
      </c>
    </row>
    <row r="672" spans="1:10" x14ac:dyDescent="0.25">
      <c r="A672" s="7" t="s">
        <v>1664</v>
      </c>
      <c r="B672" s="8">
        <v>393.75</v>
      </c>
      <c r="C672" s="8">
        <v>20.531590000000001</v>
      </c>
      <c r="D672" s="8">
        <v>70</v>
      </c>
      <c r="E672" s="8">
        <v>0</v>
      </c>
      <c r="F672" s="8">
        <v>0</v>
      </c>
      <c r="G672" s="8">
        <v>3</v>
      </c>
      <c r="H672" s="8" t="s">
        <v>1665</v>
      </c>
      <c r="I672" s="8">
        <v>526.6875</v>
      </c>
      <c r="J672" s="3">
        <f t="shared" si="10"/>
        <v>43747.483028263887</v>
      </c>
    </row>
    <row r="673" spans="1:10" x14ac:dyDescent="0.25">
      <c r="A673" s="5" t="s">
        <v>1666</v>
      </c>
      <c r="B673" s="6">
        <v>393.75</v>
      </c>
      <c r="C673" s="6">
        <v>20.531590000000001</v>
      </c>
      <c r="D673" s="6">
        <v>70</v>
      </c>
      <c r="E673" s="6">
        <v>0</v>
      </c>
      <c r="F673" s="6">
        <v>0</v>
      </c>
      <c r="G673" s="6">
        <v>13</v>
      </c>
      <c r="H673" s="6" t="s">
        <v>1667</v>
      </c>
      <c r="I673" s="6">
        <v>526.6875</v>
      </c>
      <c r="J673" s="2">
        <f t="shared" si="10"/>
        <v>43747.483111828704</v>
      </c>
    </row>
    <row r="674" spans="1:10" x14ac:dyDescent="0.25">
      <c r="A674" s="7" t="s">
        <v>1668</v>
      </c>
      <c r="B674" s="8">
        <v>412.5</v>
      </c>
      <c r="C674" s="8">
        <v>20.584240000000001</v>
      </c>
      <c r="D674" s="8">
        <v>71</v>
      </c>
      <c r="E674" s="8">
        <v>0</v>
      </c>
      <c r="F674" s="8">
        <v>0</v>
      </c>
      <c r="G674" s="8">
        <v>0</v>
      </c>
      <c r="H674" s="8" t="s">
        <v>1669</v>
      </c>
      <c r="I674" s="8">
        <v>532.3125</v>
      </c>
      <c r="J674" s="3">
        <f t="shared" si="10"/>
        <v>43747.48319525463</v>
      </c>
    </row>
    <row r="675" spans="1:10" x14ac:dyDescent="0.25">
      <c r="A675" s="5" t="s">
        <v>1670</v>
      </c>
      <c r="B675" s="6">
        <v>393.75</v>
      </c>
      <c r="C675" s="6">
        <v>20.531590000000001</v>
      </c>
      <c r="D675" s="6">
        <v>72</v>
      </c>
      <c r="E675" s="6">
        <v>0</v>
      </c>
      <c r="F675" s="6">
        <v>0</v>
      </c>
      <c r="G675" s="6">
        <v>4</v>
      </c>
      <c r="H675" s="6" t="s">
        <v>1671</v>
      </c>
      <c r="I675" s="6">
        <v>526.6875</v>
      </c>
      <c r="J675" s="2">
        <f t="shared" si="10"/>
        <v>43747.483278506937</v>
      </c>
    </row>
    <row r="676" spans="1:10" x14ac:dyDescent="0.25">
      <c r="A676" s="7" t="s">
        <v>1672</v>
      </c>
      <c r="B676" s="8">
        <v>393.75</v>
      </c>
      <c r="C676" s="8">
        <v>20.478950000000001</v>
      </c>
      <c r="D676" s="8">
        <v>71</v>
      </c>
      <c r="E676" s="8">
        <v>0</v>
      </c>
      <c r="F676" s="8">
        <v>0</v>
      </c>
      <c r="G676" s="8">
        <v>4</v>
      </c>
      <c r="H676" s="8" t="s">
        <v>1673</v>
      </c>
      <c r="I676" s="8">
        <v>526.6875</v>
      </c>
      <c r="J676" s="3">
        <f t="shared" si="10"/>
        <v>43747.483362152772</v>
      </c>
    </row>
    <row r="677" spans="1:10" x14ac:dyDescent="0.25">
      <c r="A677" s="5" t="s">
        <v>1674</v>
      </c>
      <c r="B677" s="6">
        <v>393.75</v>
      </c>
      <c r="C677" s="6">
        <v>20.478950000000001</v>
      </c>
      <c r="D677" s="6">
        <v>67</v>
      </c>
      <c r="E677" s="6">
        <v>0</v>
      </c>
      <c r="F677" s="6">
        <v>0</v>
      </c>
      <c r="G677" s="6">
        <v>11</v>
      </c>
      <c r="H677" s="6" t="s">
        <v>1675</v>
      </c>
      <c r="I677" s="6">
        <v>526.6875</v>
      </c>
      <c r="J677" s="2">
        <f t="shared" si="10"/>
        <v>43747.483445324069</v>
      </c>
    </row>
    <row r="678" spans="1:10" x14ac:dyDescent="0.25">
      <c r="A678" s="7" t="s">
        <v>1676</v>
      </c>
      <c r="B678" s="8">
        <v>393.75</v>
      </c>
      <c r="C678" s="8">
        <v>20.531590000000001</v>
      </c>
      <c r="D678" s="8">
        <v>67</v>
      </c>
      <c r="E678" s="8">
        <v>0</v>
      </c>
      <c r="F678" s="8">
        <v>0</v>
      </c>
      <c r="G678" s="8">
        <v>5</v>
      </c>
      <c r="H678" s="8" t="s">
        <v>1677</v>
      </c>
      <c r="I678" s="8">
        <v>526.6875</v>
      </c>
      <c r="J678" s="3">
        <f t="shared" si="10"/>
        <v>43747.483516793982</v>
      </c>
    </row>
    <row r="679" spans="1:10" x14ac:dyDescent="0.25">
      <c r="A679" s="5" t="s">
        <v>1678</v>
      </c>
      <c r="B679" s="6">
        <v>393.75</v>
      </c>
      <c r="C679" s="6">
        <v>20.478950000000001</v>
      </c>
      <c r="D679" s="6">
        <v>67</v>
      </c>
      <c r="E679" s="6">
        <v>0</v>
      </c>
      <c r="F679" s="6">
        <v>0</v>
      </c>
      <c r="G679" s="6">
        <v>5</v>
      </c>
      <c r="H679" s="6" t="s">
        <v>1679</v>
      </c>
      <c r="I679" s="6">
        <v>526.6875</v>
      </c>
      <c r="J679" s="2">
        <f t="shared" si="10"/>
        <v>43747.483600717591</v>
      </c>
    </row>
    <row r="680" spans="1:10" x14ac:dyDescent="0.25">
      <c r="A680" s="7" t="s">
        <v>1680</v>
      </c>
      <c r="B680" s="8">
        <v>393.75</v>
      </c>
      <c r="C680" s="8">
        <v>20.584240000000001</v>
      </c>
      <c r="D680" s="8">
        <v>69</v>
      </c>
      <c r="E680" s="8">
        <v>0</v>
      </c>
      <c r="F680" s="8">
        <v>0</v>
      </c>
      <c r="G680" s="8">
        <v>4</v>
      </c>
      <c r="H680" s="8" t="s">
        <v>1681</v>
      </c>
      <c r="I680" s="8">
        <v>526.6875</v>
      </c>
      <c r="J680" s="3">
        <f t="shared" si="10"/>
        <v>43747.483684027779</v>
      </c>
    </row>
    <row r="681" spans="1:10" x14ac:dyDescent="0.25">
      <c r="A681" s="5" t="s">
        <v>1682</v>
      </c>
      <c r="B681" s="6">
        <v>393.75</v>
      </c>
      <c r="C681" s="6">
        <v>20.478950000000001</v>
      </c>
      <c r="D681" s="6">
        <v>69</v>
      </c>
      <c r="E681" s="6">
        <v>0</v>
      </c>
      <c r="F681" s="6">
        <v>0</v>
      </c>
      <c r="G681" s="6">
        <v>9</v>
      </c>
      <c r="H681" s="6" t="s">
        <v>1683</v>
      </c>
      <c r="I681" s="6">
        <v>526.6875</v>
      </c>
      <c r="J681" s="2">
        <f t="shared" si="10"/>
        <v>43747.48376737268</v>
      </c>
    </row>
    <row r="682" spans="1:10" x14ac:dyDescent="0.25">
      <c r="A682" s="7" t="s">
        <v>1684</v>
      </c>
      <c r="B682" s="8">
        <v>393.75</v>
      </c>
      <c r="C682" s="8">
        <v>20.531590000000001</v>
      </c>
      <c r="D682" s="8">
        <v>69</v>
      </c>
      <c r="E682" s="8">
        <v>0</v>
      </c>
      <c r="F682" s="8">
        <v>0</v>
      </c>
      <c r="G682" s="8">
        <v>9</v>
      </c>
      <c r="H682" s="8" t="s">
        <v>1685</v>
      </c>
      <c r="I682" s="8">
        <v>526.6875</v>
      </c>
      <c r="J682" s="3">
        <f t="shared" si="10"/>
        <v>43747.483839236105</v>
      </c>
    </row>
    <row r="683" spans="1:10" x14ac:dyDescent="0.25">
      <c r="A683" s="5" t="s">
        <v>1686</v>
      </c>
      <c r="B683" s="6">
        <v>393.75</v>
      </c>
      <c r="C683" s="6">
        <v>20.531590000000001</v>
      </c>
      <c r="D683" s="6">
        <v>69</v>
      </c>
      <c r="E683" s="6">
        <v>0</v>
      </c>
      <c r="F683" s="6">
        <v>0</v>
      </c>
      <c r="G683" s="6">
        <v>10</v>
      </c>
      <c r="H683" s="6" t="s">
        <v>1687</v>
      </c>
      <c r="I683" s="6">
        <v>526.6875</v>
      </c>
      <c r="J683" s="2">
        <f t="shared" si="10"/>
        <v>43747.483922569438</v>
      </c>
    </row>
    <row r="684" spans="1:10" x14ac:dyDescent="0.25">
      <c r="A684" s="7" t="s">
        <v>1688</v>
      </c>
      <c r="B684" s="8">
        <v>437.5</v>
      </c>
      <c r="C684" s="8">
        <v>20.531590000000001</v>
      </c>
      <c r="D684" s="8">
        <v>70</v>
      </c>
      <c r="E684" s="8">
        <v>0</v>
      </c>
      <c r="F684" s="8">
        <v>0</v>
      </c>
      <c r="G684" s="8">
        <v>0</v>
      </c>
      <c r="H684" s="8" t="s">
        <v>1689</v>
      </c>
      <c r="I684" s="8">
        <v>540.5625</v>
      </c>
      <c r="J684" s="3">
        <f t="shared" si="10"/>
        <v>43747.483993877315</v>
      </c>
    </row>
    <row r="685" spans="1:10" x14ac:dyDescent="0.25">
      <c r="A685" s="5" t="s">
        <v>1690</v>
      </c>
      <c r="B685" s="6">
        <v>393.75</v>
      </c>
      <c r="C685" s="6">
        <v>20.478950000000001</v>
      </c>
      <c r="D685" s="6">
        <v>71</v>
      </c>
      <c r="E685" s="6">
        <v>0</v>
      </c>
      <c r="F685" s="6">
        <v>0</v>
      </c>
      <c r="G685" s="6">
        <v>5</v>
      </c>
      <c r="H685" s="6" t="s">
        <v>1691</v>
      </c>
      <c r="I685" s="6">
        <v>526.6875</v>
      </c>
      <c r="J685" s="2">
        <f t="shared" si="10"/>
        <v>43747.48406563657</v>
      </c>
    </row>
    <row r="686" spans="1:10" x14ac:dyDescent="0.25">
      <c r="A686" s="7" t="s">
        <v>1692</v>
      </c>
      <c r="B686" s="8">
        <v>393.75</v>
      </c>
      <c r="C686" s="8">
        <v>20.531590000000001</v>
      </c>
      <c r="D686" s="8">
        <v>71</v>
      </c>
      <c r="E686" s="8">
        <v>0</v>
      </c>
      <c r="F686" s="8">
        <v>0</v>
      </c>
      <c r="G686" s="8">
        <v>7</v>
      </c>
      <c r="H686" s="8" t="s">
        <v>1693</v>
      </c>
      <c r="I686" s="8">
        <v>526.5</v>
      </c>
      <c r="J686" s="3">
        <f t="shared" si="10"/>
        <v>43747.484148935182</v>
      </c>
    </row>
    <row r="687" spans="1:10" x14ac:dyDescent="0.25">
      <c r="A687" s="5" t="s">
        <v>1694</v>
      </c>
      <c r="B687" s="6">
        <v>393.75</v>
      </c>
      <c r="C687" s="6">
        <v>20.584240000000001</v>
      </c>
      <c r="D687" s="6">
        <v>70</v>
      </c>
      <c r="E687" s="6">
        <v>0</v>
      </c>
      <c r="F687" s="6">
        <v>0</v>
      </c>
      <c r="G687" s="6">
        <v>6</v>
      </c>
      <c r="H687" s="6" t="s">
        <v>1695</v>
      </c>
      <c r="I687" s="6">
        <v>526.6875</v>
      </c>
      <c r="J687" s="2">
        <f t="shared" si="10"/>
        <v>43747.484232662035</v>
      </c>
    </row>
    <row r="688" spans="1:10" x14ac:dyDescent="0.25">
      <c r="A688" s="7" t="s">
        <v>1696</v>
      </c>
      <c r="B688" s="8">
        <v>393.75</v>
      </c>
      <c r="C688" s="8">
        <v>20.584240000000001</v>
      </c>
      <c r="D688" s="8">
        <v>71</v>
      </c>
      <c r="E688" s="8">
        <v>0</v>
      </c>
      <c r="F688" s="8">
        <v>0</v>
      </c>
      <c r="G688" s="8">
        <v>11</v>
      </c>
      <c r="H688" s="8" t="s">
        <v>1697</v>
      </c>
      <c r="I688" s="8">
        <v>526.6875</v>
      </c>
      <c r="J688" s="3">
        <f t="shared" si="10"/>
        <v>43747.4843162037</v>
      </c>
    </row>
    <row r="689" spans="1:10" x14ac:dyDescent="0.25">
      <c r="A689" s="5" t="s">
        <v>1698</v>
      </c>
      <c r="B689" s="6">
        <v>393.75</v>
      </c>
      <c r="C689" s="6">
        <v>20.478950000000001</v>
      </c>
      <c r="D689" s="6">
        <v>69</v>
      </c>
      <c r="E689" s="6">
        <v>0</v>
      </c>
      <c r="F689" s="6">
        <v>0</v>
      </c>
      <c r="G689" s="6">
        <v>6</v>
      </c>
      <c r="H689" s="6" t="s">
        <v>1699</v>
      </c>
      <c r="I689" s="6">
        <v>526.6875</v>
      </c>
      <c r="J689" s="2">
        <f t="shared" si="10"/>
        <v>43747.484387615739</v>
      </c>
    </row>
    <row r="690" spans="1:10" x14ac:dyDescent="0.25">
      <c r="A690" s="7" t="s">
        <v>1700</v>
      </c>
      <c r="B690" s="8">
        <v>393.75</v>
      </c>
      <c r="C690" s="8">
        <v>20.531590000000001</v>
      </c>
      <c r="D690" s="8">
        <v>66</v>
      </c>
      <c r="E690" s="8">
        <v>0</v>
      </c>
      <c r="F690" s="8">
        <v>0</v>
      </c>
      <c r="G690" s="8">
        <v>14</v>
      </c>
      <c r="H690" s="8" t="s">
        <v>1701</v>
      </c>
      <c r="I690" s="8">
        <v>526.6875</v>
      </c>
      <c r="J690" s="3">
        <f t="shared" si="10"/>
        <v>43747.484483159722</v>
      </c>
    </row>
    <row r="691" spans="1:10" x14ac:dyDescent="0.25">
      <c r="A691" s="5" t="s">
        <v>1702</v>
      </c>
      <c r="B691" s="6">
        <v>393.75</v>
      </c>
      <c r="C691" s="6">
        <v>20.531590000000001</v>
      </c>
      <c r="D691" s="6">
        <v>69</v>
      </c>
      <c r="E691" s="6">
        <v>0</v>
      </c>
      <c r="F691" s="6">
        <v>0</v>
      </c>
      <c r="G691" s="6">
        <v>4</v>
      </c>
      <c r="H691" s="6" t="s">
        <v>1703</v>
      </c>
      <c r="I691" s="6">
        <v>526.6875</v>
      </c>
      <c r="J691" s="2">
        <f t="shared" si="10"/>
        <v>43747.484554525457</v>
      </c>
    </row>
    <row r="692" spans="1:10" x14ac:dyDescent="0.25">
      <c r="A692" s="7" t="s">
        <v>1704</v>
      </c>
      <c r="B692" s="8">
        <v>393.75</v>
      </c>
      <c r="C692" s="8">
        <v>20.531590000000001</v>
      </c>
      <c r="D692" s="8">
        <v>69</v>
      </c>
      <c r="E692" s="8">
        <v>0</v>
      </c>
      <c r="F692" s="8">
        <v>0</v>
      </c>
      <c r="G692" s="8">
        <v>7</v>
      </c>
      <c r="H692" s="8" t="s">
        <v>1705</v>
      </c>
      <c r="I692" s="8">
        <v>526.6875</v>
      </c>
      <c r="J692" s="3">
        <f t="shared" si="10"/>
        <v>43747.484637766196</v>
      </c>
    </row>
    <row r="693" spans="1:10" x14ac:dyDescent="0.25">
      <c r="A693" s="5" t="s">
        <v>1706</v>
      </c>
      <c r="B693" s="6">
        <v>393.75</v>
      </c>
      <c r="C693" s="6">
        <v>20.531590000000001</v>
      </c>
      <c r="D693" s="6">
        <v>67</v>
      </c>
      <c r="E693" s="6">
        <v>0</v>
      </c>
      <c r="F693" s="6">
        <v>0</v>
      </c>
      <c r="G693" s="6">
        <v>13</v>
      </c>
      <c r="H693" s="6" t="s">
        <v>1707</v>
      </c>
      <c r="I693" s="6">
        <v>526.6875</v>
      </c>
      <c r="J693" s="2">
        <f t="shared" si="10"/>
        <v>43747.484733344907</v>
      </c>
    </row>
    <row r="694" spans="1:10" x14ac:dyDescent="0.25">
      <c r="A694" s="7" t="s">
        <v>1708</v>
      </c>
      <c r="B694" s="8">
        <v>393.75</v>
      </c>
      <c r="C694" s="8">
        <v>20.531590000000001</v>
      </c>
      <c r="D694" s="8">
        <v>68</v>
      </c>
      <c r="E694" s="8">
        <v>0</v>
      </c>
      <c r="F694" s="8">
        <v>0</v>
      </c>
      <c r="G694" s="8">
        <v>4</v>
      </c>
      <c r="H694" s="8" t="s">
        <v>1709</v>
      </c>
      <c r="I694" s="8">
        <v>526.6875</v>
      </c>
      <c r="J694" s="3">
        <f t="shared" si="10"/>
        <v>43747.484816793978</v>
      </c>
    </row>
    <row r="695" spans="1:10" x14ac:dyDescent="0.25">
      <c r="A695" s="5" t="s">
        <v>1710</v>
      </c>
      <c r="B695" s="6">
        <v>393.75</v>
      </c>
      <c r="C695" s="6">
        <v>20.531590000000001</v>
      </c>
      <c r="D695" s="6">
        <v>68</v>
      </c>
      <c r="E695" s="6">
        <v>0</v>
      </c>
      <c r="F695" s="6">
        <v>0</v>
      </c>
      <c r="G695" s="6">
        <v>5</v>
      </c>
      <c r="H695" s="6" t="s">
        <v>1711</v>
      </c>
      <c r="I695" s="6">
        <v>526.6875</v>
      </c>
      <c r="J695" s="2">
        <f t="shared" si="10"/>
        <v>43747.484900358795</v>
      </c>
    </row>
    <row r="696" spans="1:10" x14ac:dyDescent="0.25">
      <c r="A696" s="7" t="s">
        <v>1712</v>
      </c>
      <c r="B696" s="8">
        <v>393.75</v>
      </c>
      <c r="C696" s="8">
        <v>20.531590000000001</v>
      </c>
      <c r="D696" s="8">
        <v>68</v>
      </c>
      <c r="E696" s="8">
        <v>0</v>
      </c>
      <c r="F696" s="8">
        <v>0</v>
      </c>
      <c r="G696" s="8">
        <v>11</v>
      </c>
      <c r="H696" s="8" t="s">
        <v>1713</v>
      </c>
      <c r="I696" s="8">
        <v>526.6875</v>
      </c>
      <c r="J696" s="3">
        <f t="shared" si="10"/>
        <v>43747.484983842594</v>
      </c>
    </row>
    <row r="697" spans="1:10" x14ac:dyDescent="0.25">
      <c r="A697" s="5" t="s">
        <v>1714</v>
      </c>
      <c r="B697" s="6">
        <v>393.75</v>
      </c>
      <c r="C697" s="6">
        <v>20.478950000000001</v>
      </c>
      <c r="D697" s="6">
        <v>68</v>
      </c>
      <c r="E697" s="6">
        <v>0</v>
      </c>
      <c r="F697" s="6">
        <v>0</v>
      </c>
      <c r="G697" s="6">
        <v>14</v>
      </c>
      <c r="H697" s="6" t="s">
        <v>1715</v>
      </c>
      <c r="I697" s="6">
        <v>526.6875</v>
      </c>
      <c r="J697" s="2">
        <f t="shared" si="10"/>
        <v>43747.485067743051</v>
      </c>
    </row>
    <row r="698" spans="1:10" x14ac:dyDescent="0.25">
      <c r="A698" s="7" t="s">
        <v>1716</v>
      </c>
      <c r="B698" s="8">
        <v>393.75</v>
      </c>
      <c r="C698" s="8">
        <v>20.478950000000001</v>
      </c>
      <c r="D698" s="8">
        <v>68</v>
      </c>
      <c r="E698" s="8">
        <v>0</v>
      </c>
      <c r="F698" s="8">
        <v>0</v>
      </c>
      <c r="G698" s="8">
        <v>14</v>
      </c>
      <c r="H698" s="8" t="s">
        <v>1717</v>
      </c>
      <c r="I698" s="8">
        <v>526.6875</v>
      </c>
      <c r="J698" s="3">
        <f t="shared" si="10"/>
        <v>43747.485150729168</v>
      </c>
    </row>
    <row r="699" spans="1:10" x14ac:dyDescent="0.25">
      <c r="A699" s="5" t="s">
        <v>1718</v>
      </c>
      <c r="B699" s="6">
        <v>393.75</v>
      </c>
      <c r="C699" s="6">
        <v>20.478950000000001</v>
      </c>
      <c r="D699" s="6">
        <v>67</v>
      </c>
      <c r="E699" s="6">
        <v>0</v>
      </c>
      <c r="F699" s="6">
        <v>0</v>
      </c>
      <c r="G699" s="6">
        <v>7</v>
      </c>
      <c r="H699" s="6" t="s">
        <v>1719</v>
      </c>
      <c r="I699" s="6">
        <v>526.6875</v>
      </c>
      <c r="J699" s="2">
        <f t="shared" si="10"/>
        <v>43747.485234050924</v>
      </c>
    </row>
    <row r="700" spans="1:10" x14ac:dyDescent="0.25">
      <c r="A700" s="7" t="s">
        <v>1720</v>
      </c>
      <c r="B700" s="8">
        <v>393.75</v>
      </c>
      <c r="C700" s="8">
        <v>20.478950000000001</v>
      </c>
      <c r="D700" s="8">
        <v>68</v>
      </c>
      <c r="E700" s="8">
        <v>0</v>
      </c>
      <c r="F700" s="8">
        <v>0</v>
      </c>
      <c r="G700" s="8">
        <v>2</v>
      </c>
      <c r="H700" s="8" t="s">
        <v>1721</v>
      </c>
      <c r="I700" s="8">
        <v>526.6875</v>
      </c>
      <c r="J700" s="3">
        <f t="shared" si="10"/>
        <v>43747.485317604165</v>
      </c>
    </row>
    <row r="701" spans="1:10" x14ac:dyDescent="0.25">
      <c r="A701" s="5" t="s">
        <v>1722</v>
      </c>
      <c r="B701" s="6">
        <v>412.5</v>
      </c>
      <c r="C701" s="6">
        <v>20.478950000000001</v>
      </c>
      <c r="D701" s="6">
        <v>69</v>
      </c>
      <c r="E701" s="6">
        <v>0</v>
      </c>
      <c r="F701" s="6">
        <v>0</v>
      </c>
      <c r="G701" s="6">
        <v>0</v>
      </c>
      <c r="H701" s="6" t="s">
        <v>1723</v>
      </c>
      <c r="I701" s="6">
        <v>532.6875</v>
      </c>
      <c r="J701" s="2">
        <f t="shared" si="10"/>
        <v>43747.485400833328</v>
      </c>
    </row>
    <row r="702" spans="1:10" x14ac:dyDescent="0.25">
      <c r="A702" s="7" t="s">
        <v>1724</v>
      </c>
      <c r="B702" s="8">
        <v>393.75</v>
      </c>
      <c r="C702" s="8">
        <v>20.478950000000001</v>
      </c>
      <c r="D702" s="8">
        <v>69</v>
      </c>
      <c r="E702" s="8">
        <v>0</v>
      </c>
      <c r="F702" s="8">
        <v>0</v>
      </c>
      <c r="G702" s="8">
        <v>2</v>
      </c>
      <c r="H702" s="8" t="s">
        <v>1725</v>
      </c>
      <c r="I702" s="8">
        <v>526.6875</v>
      </c>
      <c r="J702" s="3">
        <f t="shared" si="10"/>
        <v>43747.485472465276</v>
      </c>
    </row>
    <row r="703" spans="1:10" x14ac:dyDescent="0.25">
      <c r="A703" s="5" t="s">
        <v>1726</v>
      </c>
      <c r="B703" s="6">
        <v>393.75</v>
      </c>
      <c r="C703" s="6">
        <v>20.478950000000001</v>
      </c>
      <c r="D703" s="6">
        <v>69</v>
      </c>
      <c r="E703" s="6">
        <v>0</v>
      </c>
      <c r="F703" s="6">
        <v>0</v>
      </c>
      <c r="G703" s="6">
        <v>6</v>
      </c>
      <c r="H703" s="6" t="s">
        <v>1727</v>
      </c>
      <c r="I703" s="6">
        <v>526.6875</v>
      </c>
      <c r="J703" s="2">
        <f t="shared" si="10"/>
        <v>43747.48555626157</v>
      </c>
    </row>
    <row r="704" spans="1:10" x14ac:dyDescent="0.25">
      <c r="A704" s="7" t="s">
        <v>1728</v>
      </c>
      <c r="B704" s="8">
        <v>393.75</v>
      </c>
      <c r="C704" s="8">
        <v>20.531590000000001</v>
      </c>
      <c r="D704" s="8">
        <v>70</v>
      </c>
      <c r="E704" s="8">
        <v>0</v>
      </c>
      <c r="F704" s="8">
        <v>0</v>
      </c>
      <c r="G704" s="8">
        <v>16</v>
      </c>
      <c r="H704" s="8" t="s">
        <v>1729</v>
      </c>
      <c r="I704" s="8">
        <v>526.6875</v>
      </c>
      <c r="J704" s="3">
        <f t="shared" si="10"/>
        <v>43747.485644189808</v>
      </c>
    </row>
    <row r="705" spans="1:10" x14ac:dyDescent="0.25">
      <c r="A705" s="5" t="s">
        <v>1730</v>
      </c>
      <c r="B705" s="6">
        <v>393.75</v>
      </c>
      <c r="C705" s="6">
        <v>20.531590000000001</v>
      </c>
      <c r="D705" s="6">
        <v>70</v>
      </c>
      <c r="E705" s="6">
        <v>0</v>
      </c>
      <c r="F705" s="6">
        <v>0</v>
      </c>
      <c r="G705" s="6">
        <v>13</v>
      </c>
      <c r="H705" s="6" t="s">
        <v>1731</v>
      </c>
      <c r="I705" s="6">
        <v>526.6875</v>
      </c>
      <c r="J705" s="2">
        <f t="shared" si="10"/>
        <v>43747.485735196758</v>
      </c>
    </row>
    <row r="706" spans="1:10" x14ac:dyDescent="0.25">
      <c r="A706" s="7" t="s">
        <v>1732</v>
      </c>
      <c r="B706" s="8">
        <v>393.75</v>
      </c>
      <c r="C706" s="8">
        <v>20.531590000000001</v>
      </c>
      <c r="D706" s="8">
        <v>69</v>
      </c>
      <c r="E706" s="8">
        <v>0</v>
      </c>
      <c r="F706" s="8">
        <v>0</v>
      </c>
      <c r="G706" s="8">
        <v>15</v>
      </c>
      <c r="H706" s="8" t="s">
        <v>1733</v>
      </c>
      <c r="I706" s="8">
        <v>526.6875</v>
      </c>
      <c r="J706" s="3">
        <f t="shared" ref="J706:J769" si="11">(H706/86400000)+25569+(7/24)</f>
        <v>43747.485818414345</v>
      </c>
    </row>
    <row r="707" spans="1:10" x14ac:dyDescent="0.25">
      <c r="A707" s="5" t="s">
        <v>1734</v>
      </c>
      <c r="B707" s="6">
        <v>393.75</v>
      </c>
      <c r="C707" s="6">
        <v>20.531590000000001</v>
      </c>
      <c r="D707" s="6">
        <v>69</v>
      </c>
      <c r="E707" s="6">
        <v>0</v>
      </c>
      <c r="F707" s="6">
        <v>0</v>
      </c>
      <c r="G707" s="6">
        <v>11</v>
      </c>
      <c r="H707" s="6" t="s">
        <v>1735</v>
      </c>
      <c r="I707" s="6">
        <v>526.6875</v>
      </c>
      <c r="J707" s="2">
        <f t="shared" si="11"/>
        <v>43747.485901874992</v>
      </c>
    </row>
    <row r="708" spans="1:10" x14ac:dyDescent="0.25">
      <c r="A708" s="7" t="s">
        <v>1736</v>
      </c>
      <c r="B708" s="8">
        <v>412.5</v>
      </c>
      <c r="C708" s="8">
        <v>20.531590000000001</v>
      </c>
      <c r="D708" s="8">
        <v>69</v>
      </c>
      <c r="E708" s="8">
        <v>0</v>
      </c>
      <c r="F708" s="8">
        <v>0</v>
      </c>
      <c r="G708" s="8">
        <v>3</v>
      </c>
      <c r="H708" s="8" t="s">
        <v>1737</v>
      </c>
      <c r="I708" s="8">
        <v>532.125</v>
      </c>
      <c r="J708" s="3">
        <f t="shared" si="11"/>
        <v>43747.48598532407</v>
      </c>
    </row>
    <row r="709" spans="1:10" x14ac:dyDescent="0.25">
      <c r="A709" s="5" t="s">
        <v>1738</v>
      </c>
      <c r="B709" s="6">
        <v>393.75</v>
      </c>
      <c r="C709" s="6">
        <v>20.531590000000001</v>
      </c>
      <c r="D709" s="6">
        <v>69</v>
      </c>
      <c r="E709" s="6">
        <v>0</v>
      </c>
      <c r="F709" s="6">
        <v>0</v>
      </c>
      <c r="G709" s="6">
        <v>4</v>
      </c>
      <c r="H709" s="6" t="s">
        <v>1739</v>
      </c>
      <c r="I709" s="6">
        <v>526.6875</v>
      </c>
      <c r="J709" s="2">
        <f t="shared" si="11"/>
        <v>43747.486068981474</v>
      </c>
    </row>
    <row r="710" spans="1:10" x14ac:dyDescent="0.25">
      <c r="A710" s="7" t="s">
        <v>1740</v>
      </c>
      <c r="B710" s="8">
        <v>393.75</v>
      </c>
      <c r="C710" s="8">
        <v>20.531590000000001</v>
      </c>
      <c r="D710" s="8">
        <v>69</v>
      </c>
      <c r="E710" s="8">
        <v>0</v>
      </c>
      <c r="F710" s="8">
        <v>0</v>
      </c>
      <c r="G710" s="8">
        <v>6</v>
      </c>
      <c r="H710" s="8" t="s">
        <v>1741</v>
      </c>
      <c r="I710" s="8">
        <v>526.6875</v>
      </c>
      <c r="J710" s="3">
        <f t="shared" si="11"/>
        <v>43747.48615232639</v>
      </c>
    </row>
    <row r="711" spans="1:10" x14ac:dyDescent="0.25">
      <c r="A711" s="5" t="s">
        <v>1742</v>
      </c>
      <c r="B711" s="6">
        <v>393.75</v>
      </c>
      <c r="C711" s="6">
        <v>20.584240000000001</v>
      </c>
      <c r="D711" s="6">
        <v>69</v>
      </c>
      <c r="E711" s="6">
        <v>0</v>
      </c>
      <c r="F711" s="6">
        <v>0</v>
      </c>
      <c r="G711" s="6">
        <v>6</v>
      </c>
      <c r="H711" s="6" t="s">
        <v>1743</v>
      </c>
      <c r="I711" s="6">
        <v>526.5</v>
      </c>
      <c r="J711" s="2">
        <f t="shared" si="11"/>
        <v>43747.486235682867</v>
      </c>
    </row>
    <row r="712" spans="1:10" x14ac:dyDescent="0.25">
      <c r="A712" s="7" t="s">
        <v>1744</v>
      </c>
      <c r="B712" s="8">
        <v>393.75</v>
      </c>
      <c r="C712" s="8">
        <v>20.584240000000001</v>
      </c>
      <c r="D712" s="8">
        <v>70</v>
      </c>
      <c r="E712" s="8">
        <v>0</v>
      </c>
      <c r="F712" s="8">
        <v>0</v>
      </c>
      <c r="G712" s="8">
        <v>4</v>
      </c>
      <c r="H712" s="8" t="s">
        <v>1745</v>
      </c>
      <c r="I712" s="8">
        <v>526.5</v>
      </c>
      <c r="J712" s="3">
        <f t="shared" si="11"/>
        <v>43747.486319236108</v>
      </c>
    </row>
    <row r="713" spans="1:10" x14ac:dyDescent="0.25">
      <c r="A713" s="5" t="s">
        <v>1746</v>
      </c>
      <c r="B713" s="6">
        <v>393.75</v>
      </c>
      <c r="C713" s="6">
        <v>20.584240000000001</v>
      </c>
      <c r="D713" s="6">
        <v>70</v>
      </c>
      <c r="E713" s="6">
        <v>0</v>
      </c>
      <c r="F713" s="6">
        <v>0</v>
      </c>
      <c r="G713" s="6">
        <v>10</v>
      </c>
      <c r="H713" s="6" t="s">
        <v>1747</v>
      </c>
      <c r="I713" s="6">
        <v>526.6875</v>
      </c>
      <c r="J713" s="2">
        <f t="shared" si="11"/>
        <v>43747.486403009258</v>
      </c>
    </row>
    <row r="714" spans="1:10" x14ac:dyDescent="0.25">
      <c r="A714" s="7" t="s">
        <v>1748</v>
      </c>
      <c r="B714" s="8">
        <v>393.75</v>
      </c>
      <c r="C714" s="8">
        <v>20.531590000000001</v>
      </c>
      <c r="D714" s="8">
        <v>70</v>
      </c>
      <c r="E714" s="8">
        <v>0</v>
      </c>
      <c r="F714" s="8">
        <v>0</v>
      </c>
      <c r="G714" s="8">
        <v>0</v>
      </c>
      <c r="H714" s="8" t="s">
        <v>1749</v>
      </c>
      <c r="I714" s="8">
        <v>526.6875</v>
      </c>
      <c r="J714" s="3">
        <f t="shared" si="11"/>
        <v>43747.486474189813</v>
      </c>
    </row>
    <row r="715" spans="1:10" x14ac:dyDescent="0.25">
      <c r="A715" s="5" t="s">
        <v>1750</v>
      </c>
      <c r="B715" s="6">
        <v>393.75</v>
      </c>
      <c r="C715" s="6">
        <v>20.531590000000001</v>
      </c>
      <c r="D715" s="6">
        <v>69</v>
      </c>
      <c r="E715" s="6">
        <v>0</v>
      </c>
      <c r="F715" s="6">
        <v>0</v>
      </c>
      <c r="G715" s="6">
        <v>4</v>
      </c>
      <c r="H715" s="6" t="s">
        <v>1751</v>
      </c>
      <c r="I715" s="6">
        <v>526.6875</v>
      </c>
      <c r="J715" s="2">
        <f t="shared" si="11"/>
        <v>43747.48655765046</v>
      </c>
    </row>
    <row r="716" spans="1:10" x14ac:dyDescent="0.25">
      <c r="A716" s="7" t="s">
        <v>1752</v>
      </c>
      <c r="B716" s="8">
        <v>393.75</v>
      </c>
      <c r="C716" s="8">
        <v>20.584240000000001</v>
      </c>
      <c r="D716" s="8">
        <v>69</v>
      </c>
      <c r="E716" s="8">
        <v>0</v>
      </c>
      <c r="F716" s="8">
        <v>0</v>
      </c>
      <c r="G716" s="8">
        <v>0</v>
      </c>
      <c r="H716" s="8" t="s">
        <v>1753</v>
      </c>
      <c r="I716" s="8">
        <v>526.6875</v>
      </c>
      <c r="J716" s="3">
        <f t="shared" si="11"/>
        <v>43747.486660150462</v>
      </c>
    </row>
    <row r="717" spans="1:10" x14ac:dyDescent="0.25">
      <c r="A717" s="5" t="s">
        <v>1754</v>
      </c>
      <c r="B717" s="6">
        <v>412.5</v>
      </c>
      <c r="C717" s="6">
        <v>20.478950000000001</v>
      </c>
      <c r="D717" s="6">
        <v>69</v>
      </c>
      <c r="E717" s="6">
        <v>0</v>
      </c>
      <c r="F717" s="6">
        <v>0</v>
      </c>
      <c r="G717" s="6">
        <v>2</v>
      </c>
      <c r="H717" s="6" t="s">
        <v>1755</v>
      </c>
      <c r="I717" s="6">
        <v>532.125</v>
      </c>
      <c r="J717" s="2">
        <f t="shared" si="11"/>
        <v>43747.486736782404</v>
      </c>
    </row>
    <row r="718" spans="1:10" x14ac:dyDescent="0.25">
      <c r="A718" s="7" t="s">
        <v>1756</v>
      </c>
      <c r="B718" s="8">
        <v>393.75</v>
      </c>
      <c r="C718" s="8">
        <v>20.531590000000001</v>
      </c>
      <c r="D718" s="8">
        <v>69</v>
      </c>
      <c r="E718" s="8">
        <v>0</v>
      </c>
      <c r="F718" s="8">
        <v>0</v>
      </c>
      <c r="G718" s="8">
        <v>5</v>
      </c>
      <c r="H718" s="8" t="s">
        <v>1757</v>
      </c>
      <c r="I718" s="8">
        <v>526.6875</v>
      </c>
      <c r="J718" s="3">
        <f t="shared" si="11"/>
        <v>43747.486820034719</v>
      </c>
    </row>
    <row r="719" spans="1:10" x14ac:dyDescent="0.25">
      <c r="A719" s="5" t="s">
        <v>1758</v>
      </c>
      <c r="B719" s="6">
        <v>393.75</v>
      </c>
      <c r="C719" s="6">
        <v>20.531590000000001</v>
      </c>
      <c r="D719" s="6">
        <v>69</v>
      </c>
      <c r="E719" s="6">
        <v>0</v>
      </c>
      <c r="F719" s="6">
        <v>0</v>
      </c>
      <c r="G719" s="6">
        <v>5</v>
      </c>
      <c r="H719" s="6" t="s">
        <v>1759</v>
      </c>
      <c r="I719" s="6">
        <v>526.6875</v>
      </c>
      <c r="J719" s="2">
        <f t="shared" si="11"/>
        <v>43747.486891562497</v>
      </c>
    </row>
    <row r="720" spans="1:10" x14ac:dyDescent="0.25">
      <c r="A720" s="7" t="s">
        <v>1760</v>
      </c>
      <c r="B720" s="8">
        <v>412.5</v>
      </c>
      <c r="C720" s="8">
        <v>20.478950000000001</v>
      </c>
      <c r="D720" s="8">
        <v>68</v>
      </c>
      <c r="E720" s="8">
        <v>0</v>
      </c>
      <c r="F720" s="8">
        <v>0</v>
      </c>
      <c r="G720" s="8">
        <v>7</v>
      </c>
      <c r="H720" s="8" t="s">
        <v>1761</v>
      </c>
      <c r="I720" s="8">
        <v>532.3125</v>
      </c>
      <c r="J720" s="3">
        <f t="shared" si="11"/>
        <v>43747.48697479166</v>
      </c>
    </row>
    <row r="721" spans="1:10" x14ac:dyDescent="0.25">
      <c r="A721" s="5" t="s">
        <v>1762</v>
      </c>
      <c r="B721" s="6">
        <v>393.75</v>
      </c>
      <c r="C721" s="6">
        <v>20.478950000000001</v>
      </c>
      <c r="D721" s="6">
        <v>68</v>
      </c>
      <c r="E721" s="6">
        <v>0</v>
      </c>
      <c r="F721" s="6">
        <v>0</v>
      </c>
      <c r="G721" s="6">
        <v>5</v>
      </c>
      <c r="H721" s="6" t="s">
        <v>1763</v>
      </c>
      <c r="I721" s="6">
        <v>526.6875</v>
      </c>
      <c r="J721" s="2">
        <f t="shared" si="11"/>
        <v>43747.487046435184</v>
      </c>
    </row>
    <row r="722" spans="1:10" x14ac:dyDescent="0.25">
      <c r="A722" s="7" t="s">
        <v>1764</v>
      </c>
      <c r="B722" s="8">
        <v>393.75</v>
      </c>
      <c r="C722" s="8">
        <v>20.478950000000001</v>
      </c>
      <c r="D722" s="8">
        <v>67</v>
      </c>
      <c r="E722" s="8">
        <v>0</v>
      </c>
      <c r="F722" s="8">
        <v>0</v>
      </c>
      <c r="G722" s="8">
        <v>5</v>
      </c>
      <c r="H722" s="8" t="s">
        <v>1765</v>
      </c>
      <c r="I722" s="8">
        <v>526.6875</v>
      </c>
      <c r="J722" s="3">
        <f t="shared" si="11"/>
        <v>43747.487130162037</v>
      </c>
    </row>
    <row r="723" spans="1:10" x14ac:dyDescent="0.25">
      <c r="A723" s="5" t="s">
        <v>1766</v>
      </c>
      <c r="B723" s="6">
        <v>393.75</v>
      </c>
      <c r="C723" s="6">
        <v>20.478950000000001</v>
      </c>
      <c r="D723" s="6">
        <v>67</v>
      </c>
      <c r="E723" s="6">
        <v>0</v>
      </c>
      <c r="F723" s="6">
        <v>0</v>
      </c>
      <c r="G723" s="6">
        <v>12</v>
      </c>
      <c r="H723" s="6" t="s">
        <v>1767</v>
      </c>
      <c r="I723" s="6">
        <v>526.5</v>
      </c>
      <c r="J723" s="2">
        <f t="shared" si="11"/>
        <v>43747.487213449072</v>
      </c>
    </row>
    <row r="724" spans="1:10" x14ac:dyDescent="0.25">
      <c r="A724" s="7" t="s">
        <v>1768</v>
      </c>
      <c r="B724" s="8">
        <v>393.75</v>
      </c>
      <c r="C724" s="8">
        <v>20.531590000000001</v>
      </c>
      <c r="D724" s="8">
        <v>67</v>
      </c>
      <c r="E724" s="8">
        <v>0</v>
      </c>
      <c r="F724" s="8">
        <v>0</v>
      </c>
      <c r="G724" s="8">
        <v>5</v>
      </c>
      <c r="H724" s="8" t="s">
        <v>1769</v>
      </c>
      <c r="I724" s="8">
        <v>526.6875</v>
      </c>
      <c r="J724" s="3">
        <f t="shared" si="11"/>
        <v>43747.487297013889</v>
      </c>
    </row>
    <row r="725" spans="1:10" x14ac:dyDescent="0.25">
      <c r="A725" s="5" t="s">
        <v>1770</v>
      </c>
      <c r="B725" s="6">
        <v>412.5</v>
      </c>
      <c r="C725" s="6">
        <v>20.531590000000001</v>
      </c>
      <c r="D725" s="6">
        <v>63</v>
      </c>
      <c r="E725" s="6">
        <v>0</v>
      </c>
      <c r="F725" s="6">
        <v>0</v>
      </c>
      <c r="G725" s="6">
        <v>0</v>
      </c>
      <c r="H725" s="6" t="s">
        <v>1771</v>
      </c>
      <c r="I725" s="6">
        <v>532.3125</v>
      </c>
      <c r="J725" s="2">
        <f t="shared" si="11"/>
        <v>43747.487380451385</v>
      </c>
    </row>
    <row r="726" spans="1:10" x14ac:dyDescent="0.25">
      <c r="A726" s="7" t="s">
        <v>1772</v>
      </c>
      <c r="B726" s="8">
        <v>393.75</v>
      </c>
      <c r="C726" s="8">
        <v>20.584240000000001</v>
      </c>
      <c r="D726" s="8">
        <v>65</v>
      </c>
      <c r="E726" s="8">
        <v>0</v>
      </c>
      <c r="F726" s="8">
        <v>0</v>
      </c>
      <c r="G726" s="8">
        <v>13</v>
      </c>
      <c r="H726" s="8" t="s">
        <v>1773</v>
      </c>
      <c r="I726" s="8">
        <v>526.6875</v>
      </c>
      <c r="J726" s="3">
        <f t="shared" si="11"/>
        <v>43747.487477465278</v>
      </c>
    </row>
    <row r="727" spans="1:10" x14ac:dyDescent="0.25">
      <c r="A727" s="5" t="s">
        <v>1774</v>
      </c>
      <c r="B727" s="6">
        <v>393.75</v>
      </c>
      <c r="C727" s="6">
        <v>20.531590000000001</v>
      </c>
      <c r="D727" s="6">
        <v>67</v>
      </c>
      <c r="E727" s="6">
        <v>0</v>
      </c>
      <c r="F727" s="6">
        <v>0</v>
      </c>
      <c r="G727" s="6">
        <v>10</v>
      </c>
      <c r="H727" s="6" t="s">
        <v>1775</v>
      </c>
      <c r="I727" s="6">
        <v>526.6875</v>
      </c>
      <c r="J727" s="2">
        <f t="shared" si="11"/>
        <v>43747.487558842586</v>
      </c>
    </row>
    <row r="728" spans="1:10" x14ac:dyDescent="0.25">
      <c r="A728" s="7" t="s">
        <v>1776</v>
      </c>
      <c r="B728" s="8">
        <v>393.75</v>
      </c>
      <c r="C728" s="8">
        <v>20.531590000000001</v>
      </c>
      <c r="D728" s="8">
        <v>68</v>
      </c>
      <c r="E728" s="8">
        <v>0</v>
      </c>
      <c r="F728" s="8">
        <v>0</v>
      </c>
      <c r="G728" s="8">
        <v>4</v>
      </c>
      <c r="H728" s="8" t="s">
        <v>1777</v>
      </c>
      <c r="I728" s="8">
        <v>526.6875</v>
      </c>
      <c r="J728" s="3">
        <f t="shared" si="11"/>
        <v>43747.48764284722</v>
      </c>
    </row>
    <row r="729" spans="1:10" x14ac:dyDescent="0.25">
      <c r="A729" s="5" t="s">
        <v>1778</v>
      </c>
      <c r="B729" s="6">
        <v>415.625</v>
      </c>
      <c r="C729" s="6">
        <v>20.531590000000001</v>
      </c>
      <c r="D729" s="6">
        <v>68</v>
      </c>
      <c r="E729" s="6">
        <v>0</v>
      </c>
      <c r="F729" s="6">
        <v>0</v>
      </c>
      <c r="G729" s="6">
        <v>6</v>
      </c>
      <c r="H729" s="6" t="s">
        <v>1779</v>
      </c>
      <c r="I729" s="6">
        <v>533.8125</v>
      </c>
      <c r="J729" s="2">
        <f t="shared" si="11"/>
        <v>43747.487726180552</v>
      </c>
    </row>
    <row r="730" spans="1:10" x14ac:dyDescent="0.25">
      <c r="A730" s="7" t="s">
        <v>1780</v>
      </c>
      <c r="B730" s="8">
        <v>393.75</v>
      </c>
      <c r="C730" s="8">
        <v>20.531590000000001</v>
      </c>
      <c r="D730" s="8">
        <v>68</v>
      </c>
      <c r="E730" s="8">
        <v>0</v>
      </c>
      <c r="F730" s="8">
        <v>0</v>
      </c>
      <c r="G730" s="8">
        <v>17</v>
      </c>
      <c r="H730" s="8" t="s">
        <v>1781</v>
      </c>
      <c r="I730" s="8">
        <v>526.6875</v>
      </c>
      <c r="J730" s="3">
        <f t="shared" si="11"/>
        <v>43747.487809722217</v>
      </c>
    </row>
    <row r="731" spans="1:10" x14ac:dyDescent="0.25">
      <c r="A731" s="5" t="s">
        <v>1782</v>
      </c>
      <c r="B731" s="6">
        <v>393.75</v>
      </c>
      <c r="C731" s="6">
        <v>20.478950000000001</v>
      </c>
      <c r="D731" s="6">
        <v>68</v>
      </c>
      <c r="E731" s="6">
        <v>0</v>
      </c>
      <c r="F731" s="6">
        <v>0</v>
      </c>
      <c r="G731" s="6">
        <v>6</v>
      </c>
      <c r="H731" s="6" t="s">
        <v>1783</v>
      </c>
      <c r="I731" s="6">
        <v>526.6875</v>
      </c>
      <c r="J731" s="2">
        <f t="shared" si="11"/>
        <v>43747.487881041663</v>
      </c>
    </row>
    <row r="732" spans="1:10" x14ac:dyDescent="0.25">
      <c r="A732" s="7" t="s">
        <v>1784</v>
      </c>
      <c r="B732" s="8">
        <v>412.5</v>
      </c>
      <c r="C732" s="8">
        <v>20.531590000000001</v>
      </c>
      <c r="D732" s="8">
        <v>70</v>
      </c>
      <c r="E732" s="8">
        <v>0</v>
      </c>
      <c r="F732" s="8">
        <v>0</v>
      </c>
      <c r="G732" s="8">
        <v>15</v>
      </c>
      <c r="H732" s="8" t="s">
        <v>1785</v>
      </c>
      <c r="I732" s="8">
        <v>532.125</v>
      </c>
      <c r="J732" s="3">
        <f t="shared" si="11"/>
        <v>43747.487964733795</v>
      </c>
    </row>
    <row r="733" spans="1:10" x14ac:dyDescent="0.25">
      <c r="A733" s="5" t="s">
        <v>1786</v>
      </c>
      <c r="B733" s="6">
        <v>393.75</v>
      </c>
      <c r="C733" s="6">
        <v>20.584240000000001</v>
      </c>
      <c r="D733" s="6">
        <v>70</v>
      </c>
      <c r="E733" s="6">
        <v>0</v>
      </c>
      <c r="F733" s="6">
        <v>0</v>
      </c>
      <c r="G733" s="6">
        <v>6</v>
      </c>
      <c r="H733" s="6" t="s">
        <v>1787</v>
      </c>
      <c r="I733" s="6">
        <v>526.5</v>
      </c>
      <c r="J733" s="2">
        <f t="shared" si="11"/>
        <v>43747.488036261573</v>
      </c>
    </row>
    <row r="734" spans="1:10" x14ac:dyDescent="0.25">
      <c r="A734" s="7" t="s">
        <v>1788</v>
      </c>
      <c r="B734" s="8">
        <v>393.75</v>
      </c>
      <c r="C734" s="8">
        <v>20.531590000000001</v>
      </c>
      <c r="D734" s="8">
        <v>68</v>
      </c>
      <c r="E734" s="8">
        <v>0</v>
      </c>
      <c r="F734" s="8">
        <v>0</v>
      </c>
      <c r="G734" s="8">
        <v>3</v>
      </c>
      <c r="H734" s="8" t="s">
        <v>1789</v>
      </c>
      <c r="I734" s="8">
        <v>526.6875</v>
      </c>
      <c r="J734" s="3">
        <f t="shared" si="11"/>
        <v>43747.488119351845</v>
      </c>
    </row>
    <row r="735" spans="1:10" x14ac:dyDescent="0.25">
      <c r="A735" s="5" t="s">
        <v>1790</v>
      </c>
      <c r="B735" s="6">
        <v>393.75</v>
      </c>
      <c r="C735" s="6">
        <v>20.531590000000001</v>
      </c>
      <c r="D735" s="6">
        <v>68</v>
      </c>
      <c r="E735" s="6">
        <v>0</v>
      </c>
      <c r="F735" s="6">
        <v>0</v>
      </c>
      <c r="G735" s="6">
        <v>3</v>
      </c>
      <c r="H735" s="6" t="s">
        <v>1791</v>
      </c>
      <c r="I735" s="6">
        <v>526.6875</v>
      </c>
      <c r="J735" s="2">
        <f t="shared" si="11"/>
        <v>43747.488190983793</v>
      </c>
    </row>
    <row r="736" spans="1:10" x14ac:dyDescent="0.25">
      <c r="A736" s="7" t="s">
        <v>1792</v>
      </c>
      <c r="B736" s="8">
        <v>393.75</v>
      </c>
      <c r="C736" s="8">
        <v>20.531590000000001</v>
      </c>
      <c r="D736" s="8">
        <v>68</v>
      </c>
      <c r="E736" s="8">
        <v>0</v>
      </c>
      <c r="F736" s="8">
        <v>0</v>
      </c>
      <c r="G736" s="8">
        <v>7</v>
      </c>
      <c r="H736" s="8" t="s">
        <v>1793</v>
      </c>
      <c r="I736" s="8">
        <v>526.6875</v>
      </c>
      <c r="J736" s="3">
        <f t="shared" si="11"/>
        <v>43747.48827480324</v>
      </c>
    </row>
    <row r="737" spans="1:10" x14ac:dyDescent="0.25">
      <c r="A737" s="5" t="s">
        <v>1794</v>
      </c>
      <c r="B737" s="6">
        <v>393.75</v>
      </c>
      <c r="C737" s="6">
        <v>20.478950000000001</v>
      </c>
      <c r="D737" s="6">
        <v>69</v>
      </c>
      <c r="E737" s="6">
        <v>0</v>
      </c>
      <c r="F737" s="6">
        <v>0</v>
      </c>
      <c r="G737" s="6">
        <v>5</v>
      </c>
      <c r="H737" s="6" t="s">
        <v>1795</v>
      </c>
      <c r="I737" s="6">
        <v>526.6875</v>
      </c>
      <c r="J737" s="2">
        <f t="shared" si="11"/>
        <v>43747.488358136572</v>
      </c>
    </row>
    <row r="738" spans="1:10" x14ac:dyDescent="0.25">
      <c r="A738" s="7" t="s">
        <v>1796</v>
      </c>
      <c r="B738" s="8">
        <v>393.75</v>
      </c>
      <c r="C738" s="8">
        <v>20.478950000000001</v>
      </c>
      <c r="D738" s="8">
        <v>69</v>
      </c>
      <c r="E738" s="8">
        <v>0</v>
      </c>
      <c r="F738" s="8">
        <v>0</v>
      </c>
      <c r="G738" s="8">
        <v>5</v>
      </c>
      <c r="H738" s="8" t="s">
        <v>1797</v>
      </c>
      <c r="I738" s="8">
        <v>526.6875</v>
      </c>
      <c r="J738" s="3">
        <f t="shared" si="11"/>
        <v>43747.488441469905</v>
      </c>
    </row>
    <row r="739" spans="1:10" x14ac:dyDescent="0.25">
      <c r="A739" s="5" t="s">
        <v>1798</v>
      </c>
      <c r="B739" s="6">
        <v>393.75</v>
      </c>
      <c r="C739" s="6">
        <v>20.531590000000001</v>
      </c>
      <c r="D739" s="6">
        <v>67</v>
      </c>
      <c r="E739" s="6">
        <v>0</v>
      </c>
      <c r="F739" s="6">
        <v>0</v>
      </c>
      <c r="G739" s="6">
        <v>20</v>
      </c>
      <c r="H739" s="6" t="s">
        <v>1799</v>
      </c>
      <c r="I739" s="6">
        <v>526.6875</v>
      </c>
      <c r="J739" s="2">
        <f t="shared" si="11"/>
        <v>43747.488525034722</v>
      </c>
    </row>
    <row r="740" spans="1:10" x14ac:dyDescent="0.25">
      <c r="A740" s="7" t="s">
        <v>1800</v>
      </c>
      <c r="B740" s="8">
        <v>393.75</v>
      </c>
      <c r="C740" s="8">
        <v>20.531590000000001</v>
      </c>
      <c r="D740" s="8">
        <v>67</v>
      </c>
      <c r="E740" s="8">
        <v>0</v>
      </c>
      <c r="F740" s="8">
        <v>0</v>
      </c>
      <c r="G740" s="8">
        <v>11</v>
      </c>
      <c r="H740" s="8" t="s">
        <v>1801</v>
      </c>
      <c r="I740" s="8">
        <v>526.6875</v>
      </c>
      <c r="J740" s="3">
        <f t="shared" si="11"/>
        <v>43747.488610682871</v>
      </c>
    </row>
    <row r="741" spans="1:10" x14ac:dyDescent="0.25">
      <c r="A741" s="5" t="s">
        <v>1802</v>
      </c>
      <c r="B741" s="6">
        <v>393.75</v>
      </c>
      <c r="C741" s="6">
        <v>20.531590000000001</v>
      </c>
      <c r="D741" s="6">
        <v>67</v>
      </c>
      <c r="E741" s="6">
        <v>0</v>
      </c>
      <c r="F741" s="6">
        <v>0</v>
      </c>
      <c r="G741" s="6">
        <v>7</v>
      </c>
      <c r="H741" s="6" t="s">
        <v>1803</v>
      </c>
      <c r="I741" s="6">
        <v>526.6875</v>
      </c>
      <c r="J741" s="2">
        <f t="shared" si="11"/>
        <v>43747.488679618058</v>
      </c>
    </row>
    <row r="742" spans="1:10" x14ac:dyDescent="0.25">
      <c r="A742" s="7" t="s">
        <v>1804</v>
      </c>
      <c r="B742" s="8">
        <v>393.75</v>
      </c>
      <c r="C742" s="8">
        <v>20.531590000000001</v>
      </c>
      <c r="D742" s="8">
        <v>65</v>
      </c>
      <c r="E742" s="8">
        <v>0</v>
      </c>
      <c r="F742" s="8">
        <v>0</v>
      </c>
      <c r="G742" s="8">
        <v>11</v>
      </c>
      <c r="H742" s="8" t="s">
        <v>1805</v>
      </c>
      <c r="I742" s="8">
        <v>526.6875</v>
      </c>
      <c r="J742" s="3">
        <f t="shared" si="11"/>
        <v>43747.4887514699</v>
      </c>
    </row>
    <row r="743" spans="1:10" x14ac:dyDescent="0.25">
      <c r="A743" s="5" t="s">
        <v>1806</v>
      </c>
      <c r="B743" s="6">
        <v>393.75</v>
      </c>
      <c r="C743" s="6">
        <v>20.531590000000001</v>
      </c>
      <c r="D743" s="6">
        <v>65</v>
      </c>
      <c r="E743" s="6">
        <v>0</v>
      </c>
      <c r="F743" s="6">
        <v>0</v>
      </c>
      <c r="G743" s="6">
        <v>8</v>
      </c>
      <c r="H743" s="6" t="s">
        <v>1807</v>
      </c>
      <c r="I743" s="6">
        <v>526.5</v>
      </c>
      <c r="J743" s="2">
        <f t="shared" si="11"/>
        <v>43747.488823182866</v>
      </c>
    </row>
    <row r="744" spans="1:10" x14ac:dyDescent="0.25">
      <c r="A744" s="7" t="s">
        <v>1808</v>
      </c>
      <c r="B744" s="8">
        <v>393.75</v>
      </c>
      <c r="C744" s="8">
        <v>20.531590000000001</v>
      </c>
      <c r="D744" s="8">
        <v>65</v>
      </c>
      <c r="E744" s="8">
        <v>0</v>
      </c>
      <c r="F744" s="8">
        <v>0</v>
      </c>
      <c r="G744" s="8">
        <v>1</v>
      </c>
      <c r="H744" s="8" t="s">
        <v>1809</v>
      </c>
      <c r="I744" s="8">
        <v>526.6875</v>
      </c>
      <c r="J744" s="3">
        <f t="shared" si="11"/>
        <v>43747.488906863422</v>
      </c>
    </row>
    <row r="745" spans="1:10" x14ac:dyDescent="0.25">
      <c r="A745" s="5" t="s">
        <v>1810</v>
      </c>
      <c r="B745" s="6">
        <v>393.75</v>
      </c>
      <c r="C745" s="6">
        <v>20.478950000000001</v>
      </c>
      <c r="D745" s="6">
        <v>65</v>
      </c>
      <c r="E745" s="6">
        <v>0</v>
      </c>
      <c r="F745" s="6">
        <v>0</v>
      </c>
      <c r="G745" s="6">
        <v>9</v>
      </c>
      <c r="H745" s="6" t="s">
        <v>1811</v>
      </c>
      <c r="I745" s="6">
        <v>526.6875</v>
      </c>
      <c r="J745" s="2">
        <f t="shared" si="11"/>
        <v>43747.488978043977</v>
      </c>
    </row>
    <row r="746" spans="1:10" x14ac:dyDescent="0.25">
      <c r="A746" s="7" t="s">
        <v>1812</v>
      </c>
      <c r="B746" s="8">
        <v>393.75</v>
      </c>
      <c r="C746" s="8">
        <v>20.478950000000001</v>
      </c>
      <c r="D746" s="8">
        <v>66</v>
      </c>
      <c r="E746" s="8">
        <v>0</v>
      </c>
      <c r="F746" s="8">
        <v>0</v>
      </c>
      <c r="G746" s="8">
        <v>5</v>
      </c>
      <c r="H746" s="8" t="s">
        <v>1813</v>
      </c>
      <c r="I746" s="8">
        <v>526.6875</v>
      </c>
      <c r="J746" s="3">
        <f t="shared" si="11"/>
        <v>43747.489049456017</v>
      </c>
    </row>
    <row r="747" spans="1:10" x14ac:dyDescent="0.25">
      <c r="A747" s="5" t="s">
        <v>1814</v>
      </c>
      <c r="B747" s="6">
        <v>393.75</v>
      </c>
      <c r="C747" s="6">
        <v>20.478950000000001</v>
      </c>
      <c r="D747" s="6">
        <v>66</v>
      </c>
      <c r="E747" s="6">
        <v>0</v>
      </c>
      <c r="F747" s="6">
        <v>0</v>
      </c>
      <c r="G747" s="6">
        <v>8</v>
      </c>
      <c r="H747" s="6" t="s">
        <v>1815</v>
      </c>
      <c r="I747" s="6">
        <v>526.6875</v>
      </c>
      <c r="J747" s="2">
        <f t="shared" si="11"/>
        <v>43747.489121145831</v>
      </c>
    </row>
    <row r="748" spans="1:10" x14ac:dyDescent="0.25">
      <c r="A748" s="7" t="s">
        <v>1816</v>
      </c>
      <c r="B748" s="8">
        <v>393.75</v>
      </c>
      <c r="C748" s="8">
        <v>20.531590000000001</v>
      </c>
      <c r="D748" s="8">
        <v>66</v>
      </c>
      <c r="E748" s="8">
        <v>0</v>
      </c>
      <c r="F748" s="8">
        <v>0</v>
      </c>
      <c r="G748" s="8">
        <v>8</v>
      </c>
      <c r="H748" s="8" t="s">
        <v>1817</v>
      </c>
      <c r="I748" s="8">
        <v>526.6875</v>
      </c>
      <c r="J748" s="3">
        <f t="shared" si="11"/>
        <v>43747.489192557863</v>
      </c>
    </row>
    <row r="749" spans="1:10" x14ac:dyDescent="0.25">
      <c r="A749" s="5" t="s">
        <v>1818</v>
      </c>
      <c r="B749" s="6">
        <v>393.75</v>
      </c>
      <c r="C749" s="6">
        <v>20.531590000000001</v>
      </c>
      <c r="D749" s="6">
        <v>72</v>
      </c>
      <c r="E749" s="6">
        <v>0</v>
      </c>
      <c r="F749" s="6">
        <v>0</v>
      </c>
      <c r="G749" s="6">
        <v>2</v>
      </c>
      <c r="H749" s="6" t="s">
        <v>1819</v>
      </c>
      <c r="I749" s="6">
        <v>526.6875</v>
      </c>
      <c r="J749" s="2">
        <f t="shared" si="11"/>
        <v>43747.489264675918</v>
      </c>
    </row>
    <row r="750" spans="1:10" x14ac:dyDescent="0.25">
      <c r="A750" s="7" t="s">
        <v>1820</v>
      </c>
      <c r="B750" s="8">
        <v>393.75</v>
      </c>
      <c r="C750" s="8">
        <v>20.531590000000001</v>
      </c>
      <c r="D750" s="8">
        <v>68</v>
      </c>
      <c r="E750" s="8">
        <v>0</v>
      </c>
      <c r="F750" s="8">
        <v>0</v>
      </c>
      <c r="G750" s="8">
        <v>1</v>
      </c>
      <c r="H750" s="8" t="s">
        <v>1821</v>
      </c>
      <c r="I750" s="8">
        <v>526.6875</v>
      </c>
      <c r="J750" s="3">
        <f t="shared" si="11"/>
        <v>43747.489335740735</v>
      </c>
    </row>
    <row r="751" spans="1:10" x14ac:dyDescent="0.25">
      <c r="A751" s="5" t="s">
        <v>1822</v>
      </c>
      <c r="B751" s="6">
        <v>412.5</v>
      </c>
      <c r="C751" s="6">
        <v>20.478950000000001</v>
      </c>
      <c r="D751" s="6">
        <v>67</v>
      </c>
      <c r="E751" s="6">
        <v>0</v>
      </c>
      <c r="F751" s="6">
        <v>0</v>
      </c>
      <c r="G751" s="6">
        <v>11</v>
      </c>
      <c r="H751" s="6" t="s">
        <v>1823</v>
      </c>
      <c r="I751" s="6">
        <v>532.5</v>
      </c>
      <c r="J751" s="2">
        <f t="shared" si="11"/>
        <v>43747.48940716435</v>
      </c>
    </row>
    <row r="752" spans="1:10" x14ac:dyDescent="0.25">
      <c r="A752" s="7" t="s">
        <v>1824</v>
      </c>
      <c r="B752" s="8">
        <v>393.75</v>
      </c>
      <c r="C752" s="8">
        <v>20.531590000000001</v>
      </c>
      <c r="D752" s="8">
        <v>67</v>
      </c>
      <c r="E752" s="8">
        <v>0</v>
      </c>
      <c r="F752" s="8">
        <v>0</v>
      </c>
      <c r="G752" s="8">
        <v>6</v>
      </c>
      <c r="H752" s="8" t="s">
        <v>1825</v>
      </c>
      <c r="I752" s="8">
        <v>526.6875</v>
      </c>
      <c r="J752" s="3">
        <f t="shared" si="11"/>
        <v>43747.489490648142</v>
      </c>
    </row>
    <row r="753" spans="1:10" x14ac:dyDescent="0.25">
      <c r="A753" s="5" t="s">
        <v>1826</v>
      </c>
      <c r="B753" s="6">
        <v>393.75</v>
      </c>
      <c r="C753" s="6">
        <v>20.584240000000001</v>
      </c>
      <c r="D753" s="6">
        <v>68</v>
      </c>
      <c r="E753" s="6">
        <v>0</v>
      </c>
      <c r="F753" s="6">
        <v>0</v>
      </c>
      <c r="G753" s="6">
        <v>4</v>
      </c>
      <c r="H753" s="6" t="s">
        <v>1827</v>
      </c>
      <c r="I753" s="6">
        <v>526.6875</v>
      </c>
      <c r="J753" s="2">
        <f t="shared" si="11"/>
        <v>43747.4895655324</v>
      </c>
    </row>
    <row r="754" spans="1:10" x14ac:dyDescent="0.25">
      <c r="A754" s="7" t="s">
        <v>1828</v>
      </c>
      <c r="B754" s="8">
        <v>434.375</v>
      </c>
      <c r="C754" s="8">
        <v>20.478950000000001</v>
      </c>
      <c r="D754" s="8">
        <v>67</v>
      </c>
      <c r="E754" s="8">
        <v>0</v>
      </c>
      <c r="F754" s="8">
        <v>0</v>
      </c>
      <c r="G754" s="8">
        <v>3</v>
      </c>
      <c r="H754" s="8" t="s">
        <v>1829</v>
      </c>
      <c r="I754" s="8">
        <v>539.0625</v>
      </c>
      <c r="J754" s="3">
        <f t="shared" si="11"/>
        <v>43747.489645798611</v>
      </c>
    </row>
    <row r="755" spans="1:10" x14ac:dyDescent="0.25">
      <c r="A755" s="5" t="s">
        <v>1830</v>
      </c>
      <c r="B755" s="6">
        <v>393.75</v>
      </c>
      <c r="C755" s="6">
        <v>20.531590000000001</v>
      </c>
      <c r="D755" s="6">
        <v>67</v>
      </c>
      <c r="E755" s="6">
        <v>0</v>
      </c>
      <c r="F755" s="6">
        <v>0</v>
      </c>
      <c r="G755" s="6">
        <v>7</v>
      </c>
      <c r="H755" s="6" t="s">
        <v>1831</v>
      </c>
      <c r="I755" s="6">
        <v>526.6875</v>
      </c>
      <c r="J755" s="2">
        <f t="shared" si="11"/>
        <v>43747.489717627315</v>
      </c>
    </row>
    <row r="756" spans="1:10" x14ac:dyDescent="0.25">
      <c r="A756" s="7" t="s">
        <v>1832</v>
      </c>
      <c r="B756" s="8">
        <v>393.75</v>
      </c>
      <c r="C756" s="8">
        <v>20.478950000000001</v>
      </c>
      <c r="D756" s="8">
        <v>67</v>
      </c>
      <c r="E756" s="8">
        <v>0</v>
      </c>
      <c r="F756" s="8">
        <v>0</v>
      </c>
      <c r="G756" s="8">
        <v>4</v>
      </c>
      <c r="H756" s="8" t="s">
        <v>1833</v>
      </c>
      <c r="I756" s="8">
        <v>526.6875</v>
      </c>
      <c r="J756" s="3">
        <f t="shared" si="11"/>
        <v>43747.489788981482</v>
      </c>
    </row>
    <row r="757" spans="1:10" x14ac:dyDescent="0.25">
      <c r="A757" s="5" t="s">
        <v>1834</v>
      </c>
      <c r="B757" s="6">
        <v>393.75</v>
      </c>
      <c r="C757" s="6">
        <v>20.478950000000001</v>
      </c>
      <c r="D757" s="6">
        <v>63</v>
      </c>
      <c r="E757" s="6">
        <v>0</v>
      </c>
      <c r="F757" s="6">
        <v>0</v>
      </c>
      <c r="G757" s="6">
        <v>0</v>
      </c>
      <c r="H757" s="6" t="s">
        <v>1835</v>
      </c>
      <c r="I757" s="6">
        <v>526.5</v>
      </c>
      <c r="J757" s="2">
        <f t="shared" si="11"/>
        <v>43747.489860578702</v>
      </c>
    </row>
    <row r="758" spans="1:10" x14ac:dyDescent="0.25">
      <c r="A758" s="7" t="s">
        <v>1836</v>
      </c>
      <c r="B758" s="8">
        <v>412.5</v>
      </c>
      <c r="C758" s="8">
        <v>20.584240000000001</v>
      </c>
      <c r="D758" s="8">
        <v>64</v>
      </c>
      <c r="E758" s="8">
        <v>0</v>
      </c>
      <c r="F758" s="8">
        <v>0</v>
      </c>
      <c r="G758" s="8">
        <v>5</v>
      </c>
      <c r="H758" s="8" t="s">
        <v>1837</v>
      </c>
      <c r="I758" s="8">
        <v>532.125</v>
      </c>
      <c r="J758" s="3">
        <f t="shared" si="11"/>
        <v>43747.489932094904</v>
      </c>
    </row>
    <row r="759" spans="1:10" x14ac:dyDescent="0.25">
      <c r="A759" s="5" t="s">
        <v>1838</v>
      </c>
      <c r="B759" s="6">
        <v>393.75</v>
      </c>
      <c r="C759" s="6">
        <v>20.478950000000001</v>
      </c>
      <c r="D759" s="6">
        <v>64</v>
      </c>
      <c r="E759" s="6">
        <v>0</v>
      </c>
      <c r="F759" s="6">
        <v>0</v>
      </c>
      <c r="G759" s="6">
        <v>0</v>
      </c>
      <c r="H759" s="6" t="s">
        <v>1839</v>
      </c>
      <c r="I759" s="6">
        <v>526.5</v>
      </c>
      <c r="J759" s="2">
        <f t="shared" si="11"/>
        <v>43747.490004027779</v>
      </c>
    </row>
    <row r="760" spans="1:10" x14ac:dyDescent="0.25">
      <c r="A760" s="7" t="s">
        <v>1840</v>
      </c>
      <c r="B760" s="8">
        <v>393.75</v>
      </c>
      <c r="C760" s="8">
        <v>20.531590000000001</v>
      </c>
      <c r="D760" s="8">
        <v>64</v>
      </c>
      <c r="E760" s="8">
        <v>0</v>
      </c>
      <c r="F760" s="8">
        <v>0</v>
      </c>
      <c r="G760" s="8">
        <v>5</v>
      </c>
      <c r="H760" s="8" t="s">
        <v>1841</v>
      </c>
      <c r="I760" s="8">
        <v>526.6875</v>
      </c>
      <c r="J760" s="3">
        <f t="shared" si="11"/>
        <v>43747.490098680551</v>
      </c>
    </row>
    <row r="761" spans="1:10" x14ac:dyDescent="0.25">
      <c r="A761" s="5" t="s">
        <v>1842</v>
      </c>
      <c r="B761" s="6">
        <v>393.75</v>
      </c>
      <c r="C761" s="6">
        <v>20.531590000000001</v>
      </c>
      <c r="D761" s="6">
        <v>65</v>
      </c>
      <c r="E761" s="6">
        <v>0</v>
      </c>
      <c r="F761" s="6">
        <v>0</v>
      </c>
      <c r="G761" s="6">
        <v>7</v>
      </c>
      <c r="H761" s="6" t="s">
        <v>1843</v>
      </c>
      <c r="I761" s="6">
        <v>526.6875</v>
      </c>
      <c r="J761" s="2">
        <f t="shared" si="11"/>
        <v>43747.490170497687</v>
      </c>
    </row>
    <row r="762" spans="1:10" x14ac:dyDescent="0.25">
      <c r="A762" s="7" t="s">
        <v>1844</v>
      </c>
      <c r="B762" s="8">
        <v>393.75</v>
      </c>
      <c r="C762" s="8">
        <v>20.478950000000001</v>
      </c>
      <c r="D762" s="8">
        <v>64</v>
      </c>
      <c r="E762" s="8">
        <v>0</v>
      </c>
      <c r="F762" s="8">
        <v>0</v>
      </c>
      <c r="G762" s="8">
        <v>0</v>
      </c>
      <c r="H762" s="8" t="s">
        <v>1845</v>
      </c>
      <c r="I762" s="8">
        <v>526.6875</v>
      </c>
      <c r="J762" s="3">
        <f t="shared" si="11"/>
        <v>43747.490241979169</v>
      </c>
    </row>
    <row r="763" spans="1:10" x14ac:dyDescent="0.25">
      <c r="A763" s="5" t="s">
        <v>1846</v>
      </c>
      <c r="B763" s="6">
        <v>393.75</v>
      </c>
      <c r="C763" s="6">
        <v>20.531590000000001</v>
      </c>
      <c r="D763" s="6">
        <v>64</v>
      </c>
      <c r="E763" s="6">
        <v>0</v>
      </c>
      <c r="F763" s="6">
        <v>0</v>
      </c>
      <c r="G763" s="6">
        <v>11</v>
      </c>
      <c r="H763" s="6" t="s">
        <v>1847</v>
      </c>
      <c r="I763" s="6">
        <v>526.6875</v>
      </c>
      <c r="J763" s="2">
        <f t="shared" si="11"/>
        <v>43747.490313784721</v>
      </c>
    </row>
    <row r="764" spans="1:10" x14ac:dyDescent="0.25">
      <c r="A764" s="7" t="s">
        <v>1848</v>
      </c>
      <c r="B764" s="8">
        <v>393.75</v>
      </c>
      <c r="C764" s="8">
        <v>20.531590000000001</v>
      </c>
      <c r="D764" s="8">
        <v>64</v>
      </c>
      <c r="E764" s="8">
        <v>0</v>
      </c>
      <c r="F764" s="8">
        <v>0</v>
      </c>
      <c r="G764" s="8">
        <v>5</v>
      </c>
      <c r="H764" s="8" t="s">
        <v>1849</v>
      </c>
      <c r="I764" s="8">
        <v>526.5</v>
      </c>
      <c r="J764" s="3">
        <f t="shared" si="11"/>
        <v>43747.490385486111</v>
      </c>
    </row>
    <row r="765" spans="1:10" x14ac:dyDescent="0.25">
      <c r="A765" s="5" t="s">
        <v>1850</v>
      </c>
      <c r="B765" s="6">
        <v>393.75</v>
      </c>
      <c r="C765" s="6">
        <v>20.531590000000001</v>
      </c>
      <c r="D765" s="6">
        <v>63</v>
      </c>
      <c r="E765" s="6">
        <v>0</v>
      </c>
      <c r="F765" s="6">
        <v>0</v>
      </c>
      <c r="G765" s="6">
        <v>6</v>
      </c>
      <c r="H765" s="6" t="s">
        <v>1851</v>
      </c>
      <c r="I765" s="6">
        <v>526.6875</v>
      </c>
      <c r="J765" s="2">
        <f t="shared" si="11"/>
        <v>43747.490468321754</v>
      </c>
    </row>
    <row r="766" spans="1:10" x14ac:dyDescent="0.25">
      <c r="A766" s="7" t="s">
        <v>1852</v>
      </c>
      <c r="B766" s="8">
        <v>393.75</v>
      </c>
      <c r="C766" s="8">
        <v>20.478950000000001</v>
      </c>
      <c r="D766" s="8">
        <v>63</v>
      </c>
      <c r="E766" s="8">
        <v>0</v>
      </c>
      <c r="F766" s="8">
        <v>0</v>
      </c>
      <c r="G766" s="8">
        <v>9</v>
      </c>
      <c r="H766" s="8" t="s">
        <v>1853</v>
      </c>
      <c r="I766" s="8">
        <v>526.5</v>
      </c>
      <c r="J766" s="3">
        <f t="shared" si="11"/>
        <v>43747.49054042824</v>
      </c>
    </row>
    <row r="767" spans="1:10" x14ac:dyDescent="0.25">
      <c r="A767" s="5" t="s">
        <v>1854</v>
      </c>
      <c r="B767" s="6">
        <v>393.75</v>
      </c>
      <c r="C767" s="6">
        <v>20.478950000000001</v>
      </c>
      <c r="D767" s="6">
        <v>63</v>
      </c>
      <c r="E767" s="6">
        <v>0</v>
      </c>
      <c r="F767" s="6">
        <v>0</v>
      </c>
      <c r="G767" s="6">
        <v>4</v>
      </c>
      <c r="H767" s="6" t="s">
        <v>1855</v>
      </c>
      <c r="I767" s="6">
        <v>526.6875</v>
      </c>
      <c r="J767" s="2">
        <f t="shared" si="11"/>
        <v>43747.490611469904</v>
      </c>
    </row>
    <row r="768" spans="1:10" x14ac:dyDescent="0.25">
      <c r="A768" s="7" t="s">
        <v>1856</v>
      </c>
      <c r="B768" s="8">
        <v>421.875</v>
      </c>
      <c r="C768" s="8">
        <v>20.531590000000001</v>
      </c>
      <c r="D768" s="8">
        <v>64</v>
      </c>
      <c r="E768" s="8">
        <v>0</v>
      </c>
      <c r="F768" s="8">
        <v>0</v>
      </c>
      <c r="G768" s="8">
        <v>4</v>
      </c>
      <c r="H768" s="8" t="s">
        <v>1857</v>
      </c>
      <c r="I768" s="8">
        <v>535.5</v>
      </c>
      <c r="J768" s="3">
        <f t="shared" si="11"/>
        <v>43747.490682939817</v>
      </c>
    </row>
    <row r="769" spans="1:10" x14ac:dyDescent="0.25">
      <c r="A769" s="5" t="s">
        <v>1858</v>
      </c>
      <c r="B769" s="6">
        <v>393.75</v>
      </c>
      <c r="C769" s="6">
        <v>20.531590000000001</v>
      </c>
      <c r="D769" s="6">
        <v>64</v>
      </c>
      <c r="E769" s="6">
        <v>0</v>
      </c>
      <c r="F769" s="6">
        <v>0</v>
      </c>
      <c r="G769" s="6">
        <v>3</v>
      </c>
      <c r="H769" s="6" t="s">
        <v>1859</v>
      </c>
      <c r="I769" s="6">
        <v>526.6875</v>
      </c>
      <c r="J769" s="2">
        <f t="shared" si="11"/>
        <v>43747.490757673608</v>
      </c>
    </row>
    <row r="770" spans="1:10" x14ac:dyDescent="0.25">
      <c r="A770" s="7" t="s">
        <v>1860</v>
      </c>
      <c r="B770" s="8">
        <v>393.75</v>
      </c>
      <c r="C770" s="8">
        <v>20.584240000000001</v>
      </c>
      <c r="D770" s="8">
        <v>64</v>
      </c>
      <c r="E770" s="8">
        <v>0</v>
      </c>
      <c r="F770" s="8">
        <v>0</v>
      </c>
      <c r="G770" s="8">
        <v>0</v>
      </c>
      <c r="H770" s="8" t="s">
        <v>1861</v>
      </c>
      <c r="I770" s="8">
        <v>526.6875</v>
      </c>
      <c r="J770" s="3">
        <f t="shared" ref="J770:J833" si="12">(H770/86400000)+25569+(7/24)</f>
        <v>43747.49083844907</v>
      </c>
    </row>
    <row r="771" spans="1:10" x14ac:dyDescent="0.25">
      <c r="A771" s="5" t="s">
        <v>1862</v>
      </c>
      <c r="B771" s="6">
        <v>393.75</v>
      </c>
      <c r="C771" s="6">
        <v>20.531590000000001</v>
      </c>
      <c r="D771" s="6">
        <v>65</v>
      </c>
      <c r="E771" s="6">
        <v>0</v>
      </c>
      <c r="F771" s="6">
        <v>0</v>
      </c>
      <c r="G771" s="6">
        <v>2</v>
      </c>
      <c r="H771" s="6" t="s">
        <v>1863</v>
      </c>
      <c r="I771" s="6">
        <v>526.6875</v>
      </c>
      <c r="J771" s="2">
        <f t="shared" si="12"/>
        <v>43747.49090996528</v>
      </c>
    </row>
    <row r="772" spans="1:10" x14ac:dyDescent="0.25">
      <c r="A772" s="7" t="s">
        <v>1864</v>
      </c>
      <c r="B772" s="8">
        <v>393.75</v>
      </c>
      <c r="C772" s="8">
        <v>20.584240000000001</v>
      </c>
      <c r="D772" s="8">
        <v>66</v>
      </c>
      <c r="E772" s="8">
        <v>0</v>
      </c>
      <c r="F772" s="8">
        <v>0</v>
      </c>
      <c r="G772" s="8">
        <v>4</v>
      </c>
      <c r="H772" s="8" t="s">
        <v>1865</v>
      </c>
      <c r="I772" s="8">
        <v>526.6875</v>
      </c>
      <c r="J772" s="3">
        <f t="shared" si="12"/>
        <v>43747.490981377312</v>
      </c>
    </row>
    <row r="773" spans="1:10" x14ac:dyDescent="0.25">
      <c r="A773" s="5" t="s">
        <v>1866</v>
      </c>
      <c r="B773" s="6">
        <v>393.75</v>
      </c>
      <c r="C773" s="6">
        <v>20.531590000000001</v>
      </c>
      <c r="D773" s="6">
        <v>66</v>
      </c>
      <c r="E773" s="6">
        <v>0</v>
      </c>
      <c r="F773" s="6">
        <v>0</v>
      </c>
      <c r="G773" s="6">
        <v>10</v>
      </c>
      <c r="H773" s="6" t="s">
        <v>1867</v>
      </c>
      <c r="I773" s="6">
        <v>526.6875</v>
      </c>
      <c r="J773" s="2">
        <f t="shared" si="12"/>
        <v>43747.491052557867</v>
      </c>
    </row>
    <row r="774" spans="1:10" x14ac:dyDescent="0.25">
      <c r="A774" s="7" t="s">
        <v>1868</v>
      </c>
      <c r="B774" s="8">
        <v>393.75</v>
      </c>
      <c r="C774" s="8">
        <v>20.531590000000001</v>
      </c>
      <c r="D774" s="8">
        <v>66</v>
      </c>
      <c r="E774" s="8">
        <v>0</v>
      </c>
      <c r="F774" s="8">
        <v>0</v>
      </c>
      <c r="G774" s="8">
        <v>2</v>
      </c>
      <c r="H774" s="8" t="s">
        <v>1869</v>
      </c>
      <c r="I774" s="8">
        <v>526.6875</v>
      </c>
      <c r="J774" s="3">
        <f t="shared" si="12"/>
        <v>43747.491124270826</v>
      </c>
    </row>
    <row r="775" spans="1:10" x14ac:dyDescent="0.25">
      <c r="A775" s="5" t="s">
        <v>1870</v>
      </c>
      <c r="B775" s="6">
        <v>393.75</v>
      </c>
      <c r="C775" s="6">
        <v>20.531590000000001</v>
      </c>
      <c r="D775" s="6">
        <v>66</v>
      </c>
      <c r="E775" s="6">
        <v>0</v>
      </c>
      <c r="F775" s="6">
        <v>0</v>
      </c>
      <c r="G775" s="6">
        <v>4</v>
      </c>
      <c r="H775" s="6" t="s">
        <v>1871</v>
      </c>
      <c r="I775" s="6">
        <v>526.5</v>
      </c>
      <c r="J775" s="2">
        <f t="shared" si="12"/>
        <v>43747.491195624993</v>
      </c>
    </row>
    <row r="776" spans="1:10" x14ac:dyDescent="0.25">
      <c r="A776" s="7" t="s">
        <v>1872</v>
      </c>
      <c r="B776" s="8">
        <v>428.125</v>
      </c>
      <c r="C776" s="8">
        <v>20.584240000000001</v>
      </c>
      <c r="D776" s="8">
        <v>66</v>
      </c>
      <c r="E776" s="8">
        <v>0</v>
      </c>
      <c r="F776" s="8">
        <v>0</v>
      </c>
      <c r="G776" s="8">
        <v>4</v>
      </c>
      <c r="H776" s="8" t="s">
        <v>1873</v>
      </c>
      <c r="I776" s="8">
        <v>537.375</v>
      </c>
      <c r="J776" s="3">
        <f t="shared" si="12"/>
        <v>43747.491267847225</v>
      </c>
    </row>
    <row r="777" spans="1:10" x14ac:dyDescent="0.25">
      <c r="A777" s="5" t="s">
        <v>1874</v>
      </c>
      <c r="B777" s="6">
        <v>393.75</v>
      </c>
      <c r="C777" s="6">
        <v>20.478950000000001</v>
      </c>
      <c r="D777" s="6">
        <v>66</v>
      </c>
      <c r="E777" s="6">
        <v>0</v>
      </c>
      <c r="F777" s="6">
        <v>0</v>
      </c>
      <c r="G777" s="6">
        <v>0</v>
      </c>
      <c r="H777" s="6" t="s">
        <v>1875</v>
      </c>
      <c r="I777" s="6">
        <v>526.6875</v>
      </c>
      <c r="J777" s="2">
        <f t="shared" si="12"/>
        <v>43747.491339155087</v>
      </c>
    </row>
    <row r="778" spans="1:10" x14ac:dyDescent="0.25">
      <c r="A778" s="7" t="s">
        <v>1876</v>
      </c>
      <c r="B778" s="8">
        <v>393.75</v>
      </c>
      <c r="C778" s="8">
        <v>20.531590000000001</v>
      </c>
      <c r="D778" s="8">
        <v>66</v>
      </c>
      <c r="E778" s="8">
        <v>0</v>
      </c>
      <c r="F778" s="8">
        <v>0</v>
      </c>
      <c r="G778" s="8">
        <v>2</v>
      </c>
      <c r="H778" s="8" t="s">
        <v>1877</v>
      </c>
      <c r="I778" s="8">
        <v>526.6875</v>
      </c>
      <c r="J778" s="3">
        <f t="shared" si="12"/>
        <v>43747.491422754632</v>
      </c>
    </row>
    <row r="779" spans="1:10" x14ac:dyDescent="0.25">
      <c r="A779" s="5" t="s">
        <v>1878</v>
      </c>
      <c r="B779" s="6">
        <v>393.75</v>
      </c>
      <c r="C779" s="6">
        <v>20.531590000000001</v>
      </c>
      <c r="D779" s="6">
        <v>66</v>
      </c>
      <c r="E779" s="6">
        <v>0</v>
      </c>
      <c r="F779" s="6">
        <v>0</v>
      </c>
      <c r="G779" s="6">
        <v>11</v>
      </c>
      <c r="H779" s="6" t="s">
        <v>1879</v>
      </c>
      <c r="I779" s="6">
        <v>526.6875</v>
      </c>
      <c r="J779" s="2">
        <f t="shared" si="12"/>
        <v>43747.491493819442</v>
      </c>
    </row>
    <row r="780" spans="1:10" x14ac:dyDescent="0.25">
      <c r="A780" s="7" t="s">
        <v>1880</v>
      </c>
      <c r="B780" s="8">
        <v>393.75</v>
      </c>
      <c r="C780" s="8">
        <v>20.531590000000001</v>
      </c>
      <c r="D780" s="8">
        <v>68</v>
      </c>
      <c r="E780" s="8">
        <v>0</v>
      </c>
      <c r="F780" s="8">
        <v>0</v>
      </c>
      <c r="G780" s="8">
        <v>1</v>
      </c>
      <c r="H780" s="8" t="s">
        <v>1881</v>
      </c>
      <c r="I780" s="8">
        <v>526.6875</v>
      </c>
      <c r="J780" s="3">
        <f t="shared" si="12"/>
        <v>43747.491565428238</v>
      </c>
    </row>
    <row r="781" spans="1:10" x14ac:dyDescent="0.25">
      <c r="A781" s="5" t="s">
        <v>1882</v>
      </c>
      <c r="B781" s="6">
        <v>393.75</v>
      </c>
      <c r="C781" s="6">
        <v>20.478950000000001</v>
      </c>
      <c r="D781" s="6">
        <v>67</v>
      </c>
      <c r="E781" s="6">
        <v>0</v>
      </c>
      <c r="F781" s="6">
        <v>0</v>
      </c>
      <c r="G781" s="6">
        <v>6</v>
      </c>
      <c r="H781" s="6" t="s">
        <v>1883</v>
      </c>
      <c r="I781" s="6">
        <v>526.6875</v>
      </c>
      <c r="J781" s="2">
        <f t="shared" si="12"/>
        <v>43747.491636932864</v>
      </c>
    </row>
    <row r="782" spans="1:10" x14ac:dyDescent="0.25">
      <c r="A782" s="7" t="s">
        <v>1884</v>
      </c>
      <c r="B782" s="8">
        <v>393.75</v>
      </c>
      <c r="C782" s="8">
        <v>20.584240000000001</v>
      </c>
      <c r="D782" s="8">
        <v>67</v>
      </c>
      <c r="E782" s="8">
        <v>0</v>
      </c>
      <c r="F782" s="8">
        <v>0</v>
      </c>
      <c r="G782" s="8">
        <v>8</v>
      </c>
      <c r="H782" s="8" t="s">
        <v>1885</v>
      </c>
      <c r="I782" s="8">
        <v>526.6875</v>
      </c>
      <c r="J782" s="3">
        <f t="shared" si="12"/>
        <v>43747.491708263886</v>
      </c>
    </row>
    <row r="783" spans="1:10" x14ac:dyDescent="0.25">
      <c r="A783" s="5" t="s">
        <v>1886</v>
      </c>
      <c r="B783" s="6">
        <v>393.75</v>
      </c>
      <c r="C783" s="6">
        <v>20.531590000000001</v>
      </c>
      <c r="D783" s="6">
        <v>62</v>
      </c>
      <c r="E783" s="6">
        <v>0</v>
      </c>
      <c r="F783" s="6">
        <v>0</v>
      </c>
      <c r="G783" s="6">
        <v>2</v>
      </c>
      <c r="H783" s="6" t="s">
        <v>1887</v>
      </c>
      <c r="I783" s="6">
        <v>526.6875</v>
      </c>
      <c r="J783" s="2">
        <f t="shared" si="12"/>
        <v>43747.491791967586</v>
      </c>
    </row>
    <row r="784" spans="1:10" x14ac:dyDescent="0.25">
      <c r="A784" s="7" t="s">
        <v>1888</v>
      </c>
      <c r="B784" s="8">
        <v>393.75</v>
      </c>
      <c r="C784" s="8">
        <v>20.531590000000001</v>
      </c>
      <c r="D784" s="8">
        <v>63</v>
      </c>
      <c r="E784" s="8">
        <v>0</v>
      </c>
      <c r="F784" s="8">
        <v>0</v>
      </c>
      <c r="G784" s="8">
        <v>6</v>
      </c>
      <c r="H784" s="8" t="s">
        <v>1889</v>
      </c>
      <c r="I784" s="8">
        <v>526.6875</v>
      </c>
      <c r="J784" s="3">
        <f t="shared" si="12"/>
        <v>43747.491875532403</v>
      </c>
    </row>
    <row r="785" spans="1:10" x14ac:dyDescent="0.25">
      <c r="A785" s="5" t="s">
        <v>1890</v>
      </c>
      <c r="B785" s="6">
        <v>393.75</v>
      </c>
      <c r="C785" s="6">
        <v>20.531590000000001</v>
      </c>
      <c r="D785" s="6">
        <v>65</v>
      </c>
      <c r="E785" s="6">
        <v>0</v>
      </c>
      <c r="F785" s="6">
        <v>0</v>
      </c>
      <c r="G785" s="6">
        <v>7</v>
      </c>
      <c r="H785" s="6" t="s">
        <v>1891</v>
      </c>
      <c r="I785" s="6">
        <v>526.5</v>
      </c>
      <c r="J785" s="2">
        <f t="shared" si="12"/>
        <v>43747.491958993058</v>
      </c>
    </row>
    <row r="786" spans="1:10" x14ac:dyDescent="0.25">
      <c r="A786" s="7" t="s">
        <v>1892</v>
      </c>
      <c r="B786" s="8">
        <v>393.75</v>
      </c>
      <c r="C786" s="8">
        <v>20.584240000000001</v>
      </c>
      <c r="D786" s="8">
        <v>65</v>
      </c>
      <c r="E786" s="8">
        <v>0</v>
      </c>
      <c r="F786" s="8">
        <v>0</v>
      </c>
      <c r="G786" s="8">
        <v>8</v>
      </c>
      <c r="H786" s="8" t="s">
        <v>1893</v>
      </c>
      <c r="I786" s="8">
        <v>526.6875</v>
      </c>
      <c r="J786" s="3">
        <f t="shared" si="12"/>
        <v>43747.492042361111</v>
      </c>
    </row>
    <row r="787" spans="1:10" x14ac:dyDescent="0.25">
      <c r="A787" s="5" t="s">
        <v>1894</v>
      </c>
      <c r="B787" s="6">
        <v>393.75</v>
      </c>
      <c r="C787" s="6">
        <v>20.531590000000001</v>
      </c>
      <c r="D787" s="6">
        <v>65</v>
      </c>
      <c r="E787" s="6">
        <v>0</v>
      </c>
      <c r="F787" s="6">
        <v>0</v>
      </c>
      <c r="G787" s="6">
        <v>14</v>
      </c>
      <c r="H787" s="6" t="s">
        <v>1895</v>
      </c>
      <c r="I787" s="6">
        <v>526.6875</v>
      </c>
      <c r="J787" s="2">
        <f t="shared" si="12"/>
        <v>43747.492113726847</v>
      </c>
    </row>
    <row r="788" spans="1:10" x14ac:dyDescent="0.25">
      <c r="A788" s="7" t="s">
        <v>1896</v>
      </c>
      <c r="B788" s="8">
        <v>393.75</v>
      </c>
      <c r="C788" s="8">
        <v>20.478950000000001</v>
      </c>
      <c r="D788" s="8">
        <v>66</v>
      </c>
      <c r="E788" s="8">
        <v>0</v>
      </c>
      <c r="F788" s="8">
        <v>0</v>
      </c>
      <c r="G788" s="8">
        <v>5</v>
      </c>
      <c r="H788" s="8" t="s">
        <v>1897</v>
      </c>
      <c r="I788" s="8">
        <v>526.6875</v>
      </c>
      <c r="J788" s="3">
        <f t="shared" si="12"/>
        <v>43747.492197071755</v>
      </c>
    </row>
    <row r="789" spans="1:10" x14ac:dyDescent="0.25">
      <c r="A789" s="5" t="s">
        <v>1898</v>
      </c>
      <c r="B789" s="6">
        <v>393.75</v>
      </c>
      <c r="C789" s="6">
        <v>20.531590000000001</v>
      </c>
      <c r="D789" s="6">
        <v>66</v>
      </c>
      <c r="E789" s="6">
        <v>0</v>
      </c>
      <c r="F789" s="6">
        <v>0</v>
      </c>
      <c r="G789" s="6">
        <v>8</v>
      </c>
      <c r="H789" s="6" t="s">
        <v>1899</v>
      </c>
      <c r="I789" s="6">
        <v>526.6875</v>
      </c>
      <c r="J789" s="2">
        <f t="shared" si="12"/>
        <v>43747.492268715279</v>
      </c>
    </row>
    <row r="790" spans="1:10" x14ac:dyDescent="0.25">
      <c r="A790" s="7" t="s">
        <v>1900</v>
      </c>
      <c r="B790" s="8">
        <v>393.75</v>
      </c>
      <c r="C790" s="8">
        <v>20.531590000000001</v>
      </c>
      <c r="D790" s="8">
        <v>67</v>
      </c>
      <c r="E790" s="8">
        <v>0</v>
      </c>
      <c r="F790" s="8">
        <v>0</v>
      </c>
      <c r="G790" s="8">
        <v>1</v>
      </c>
      <c r="H790" s="8" t="s">
        <v>1901</v>
      </c>
      <c r="I790" s="8">
        <v>526.6875</v>
      </c>
      <c r="J790" s="3">
        <f t="shared" si="12"/>
        <v>43747.492352627312</v>
      </c>
    </row>
    <row r="791" spans="1:10" x14ac:dyDescent="0.25">
      <c r="A791" s="5" t="s">
        <v>1902</v>
      </c>
      <c r="B791" s="6">
        <v>393.75</v>
      </c>
      <c r="C791" s="6">
        <v>20.584240000000001</v>
      </c>
      <c r="D791" s="6">
        <v>68</v>
      </c>
      <c r="E791" s="6">
        <v>0</v>
      </c>
      <c r="F791" s="6">
        <v>0</v>
      </c>
      <c r="G791" s="6">
        <v>6</v>
      </c>
      <c r="H791" s="6" t="s">
        <v>1903</v>
      </c>
      <c r="I791" s="6">
        <v>526.6875</v>
      </c>
      <c r="J791" s="2">
        <f t="shared" si="12"/>
        <v>43747.492435844906</v>
      </c>
    </row>
    <row r="792" spans="1:10" x14ac:dyDescent="0.25">
      <c r="A792" s="7" t="s">
        <v>1904</v>
      </c>
      <c r="B792" s="8">
        <v>393.75</v>
      </c>
      <c r="C792" s="8">
        <v>20.531590000000001</v>
      </c>
      <c r="D792" s="8">
        <v>68</v>
      </c>
      <c r="E792" s="8">
        <v>0</v>
      </c>
      <c r="F792" s="8">
        <v>0</v>
      </c>
      <c r="G792" s="8">
        <v>5</v>
      </c>
      <c r="H792" s="8" t="s">
        <v>1905</v>
      </c>
      <c r="I792" s="8">
        <v>526.6875</v>
      </c>
      <c r="J792" s="3">
        <f t="shared" si="12"/>
        <v>43747.492519282408</v>
      </c>
    </row>
    <row r="793" spans="1:10" x14ac:dyDescent="0.25">
      <c r="A793" s="5" t="s">
        <v>1906</v>
      </c>
      <c r="B793" s="6">
        <v>415.625</v>
      </c>
      <c r="C793" s="6">
        <v>20.478950000000001</v>
      </c>
      <c r="D793" s="6">
        <v>71</v>
      </c>
      <c r="E793" s="6">
        <v>0</v>
      </c>
      <c r="F793" s="6">
        <v>0</v>
      </c>
      <c r="G793" s="6">
        <v>3</v>
      </c>
      <c r="H793" s="6" t="s">
        <v>1907</v>
      </c>
      <c r="I793" s="6">
        <v>533.625</v>
      </c>
      <c r="J793" s="2">
        <f t="shared" si="12"/>
        <v>43747.492614768511</v>
      </c>
    </row>
    <row r="794" spans="1:10" x14ac:dyDescent="0.25">
      <c r="A794" s="7" t="s">
        <v>1908</v>
      </c>
      <c r="B794" s="8">
        <v>393.75</v>
      </c>
      <c r="C794" s="8">
        <v>20.531590000000001</v>
      </c>
      <c r="D794" s="8">
        <v>72</v>
      </c>
      <c r="E794" s="8">
        <v>0</v>
      </c>
      <c r="F794" s="8">
        <v>0</v>
      </c>
      <c r="G794" s="8">
        <v>4</v>
      </c>
      <c r="H794" s="8" t="s">
        <v>1909</v>
      </c>
      <c r="I794" s="8">
        <v>526.6875</v>
      </c>
      <c r="J794" s="3">
        <f t="shared" si="12"/>
        <v>43747.492686076388</v>
      </c>
    </row>
    <row r="795" spans="1:10" x14ac:dyDescent="0.25">
      <c r="A795" s="5" t="s">
        <v>1910</v>
      </c>
      <c r="B795" s="6">
        <v>393.75</v>
      </c>
      <c r="C795" s="6">
        <v>20.478950000000001</v>
      </c>
      <c r="D795" s="6">
        <v>72</v>
      </c>
      <c r="E795" s="6">
        <v>0</v>
      </c>
      <c r="F795" s="6">
        <v>0</v>
      </c>
      <c r="G795" s="6">
        <v>1</v>
      </c>
      <c r="H795" s="6" t="s">
        <v>1911</v>
      </c>
      <c r="I795" s="6">
        <v>526.6875</v>
      </c>
      <c r="J795" s="2">
        <f t="shared" si="12"/>
        <v>43747.492769629629</v>
      </c>
    </row>
    <row r="796" spans="1:10" x14ac:dyDescent="0.25">
      <c r="A796" s="7" t="s">
        <v>1912</v>
      </c>
      <c r="B796" s="8">
        <v>393.75</v>
      </c>
      <c r="C796" s="8">
        <v>20.478950000000001</v>
      </c>
      <c r="D796" s="8">
        <v>72</v>
      </c>
      <c r="E796" s="8">
        <v>0</v>
      </c>
      <c r="F796" s="8">
        <v>0</v>
      </c>
      <c r="G796" s="8">
        <v>7</v>
      </c>
      <c r="H796" s="8" t="s">
        <v>1913</v>
      </c>
      <c r="I796" s="8">
        <v>526.6875</v>
      </c>
      <c r="J796" s="3">
        <f t="shared" si="12"/>
        <v>43747.492853298609</v>
      </c>
    </row>
    <row r="797" spans="1:10" x14ac:dyDescent="0.25">
      <c r="A797" s="5" t="s">
        <v>1914</v>
      </c>
      <c r="B797" s="6">
        <v>393.75</v>
      </c>
      <c r="C797" s="6">
        <v>20.478950000000001</v>
      </c>
      <c r="D797" s="6">
        <v>73</v>
      </c>
      <c r="E797" s="6">
        <v>0</v>
      </c>
      <c r="F797" s="6">
        <v>0</v>
      </c>
      <c r="G797" s="6">
        <v>0</v>
      </c>
      <c r="H797" s="6" t="s">
        <v>1915</v>
      </c>
      <c r="I797" s="6">
        <v>526.6875</v>
      </c>
      <c r="J797" s="2">
        <f t="shared" si="12"/>
        <v>43747.492924733793</v>
      </c>
    </row>
    <row r="798" spans="1:10" x14ac:dyDescent="0.25">
      <c r="A798" s="7" t="s">
        <v>1916</v>
      </c>
      <c r="B798" s="8">
        <v>393.75</v>
      </c>
      <c r="C798" s="8">
        <v>20.531590000000001</v>
      </c>
      <c r="D798" s="8">
        <v>69</v>
      </c>
      <c r="E798" s="8">
        <v>0</v>
      </c>
      <c r="F798" s="8">
        <v>0</v>
      </c>
      <c r="G798" s="8">
        <v>11</v>
      </c>
      <c r="H798" s="8" t="s">
        <v>1917</v>
      </c>
      <c r="I798" s="8">
        <v>526.5</v>
      </c>
      <c r="J798" s="3">
        <f t="shared" si="12"/>
        <v>43747.493008240737</v>
      </c>
    </row>
    <row r="799" spans="1:10" x14ac:dyDescent="0.25">
      <c r="A799" s="5" t="s">
        <v>1918</v>
      </c>
      <c r="B799" s="6">
        <v>393.75</v>
      </c>
      <c r="C799" s="6">
        <v>20.478950000000001</v>
      </c>
      <c r="D799" s="6">
        <v>69</v>
      </c>
      <c r="E799" s="6">
        <v>0</v>
      </c>
      <c r="F799" s="6">
        <v>0</v>
      </c>
      <c r="G799" s="6">
        <v>3</v>
      </c>
      <c r="H799" s="6" t="s">
        <v>1919</v>
      </c>
      <c r="I799" s="6">
        <v>526.6875</v>
      </c>
      <c r="J799" s="2">
        <f t="shared" si="12"/>
        <v>43747.493091620367</v>
      </c>
    </row>
    <row r="800" spans="1:10" x14ac:dyDescent="0.25">
      <c r="A800" s="7" t="s">
        <v>1920</v>
      </c>
      <c r="B800" s="8">
        <v>393.75</v>
      </c>
      <c r="C800" s="8">
        <v>20.478950000000001</v>
      </c>
      <c r="D800" s="8">
        <v>69</v>
      </c>
      <c r="E800" s="8">
        <v>0</v>
      </c>
      <c r="F800" s="8">
        <v>0</v>
      </c>
      <c r="G800" s="8">
        <v>0</v>
      </c>
      <c r="H800" s="8" t="s">
        <v>1921</v>
      </c>
      <c r="I800" s="8">
        <v>526.6875</v>
      </c>
      <c r="J800" s="3">
        <f t="shared" si="12"/>
        <v>43747.49317483796</v>
      </c>
    </row>
    <row r="801" spans="1:10" x14ac:dyDescent="0.25">
      <c r="A801" s="5" t="s">
        <v>1922</v>
      </c>
      <c r="B801" s="6">
        <v>393.75</v>
      </c>
      <c r="C801" s="6">
        <v>20.531590000000001</v>
      </c>
      <c r="D801" s="6">
        <v>68</v>
      </c>
      <c r="E801" s="6">
        <v>0</v>
      </c>
      <c r="F801" s="6">
        <v>0</v>
      </c>
      <c r="G801" s="6">
        <v>3</v>
      </c>
      <c r="H801" s="6" t="s">
        <v>1923</v>
      </c>
      <c r="I801" s="6">
        <v>526.6875</v>
      </c>
      <c r="J801" s="2">
        <f t="shared" si="12"/>
        <v>43747.493258645831</v>
      </c>
    </row>
    <row r="802" spans="1:10" x14ac:dyDescent="0.25">
      <c r="A802" s="7" t="s">
        <v>1924</v>
      </c>
      <c r="B802" s="8">
        <v>393.75</v>
      </c>
      <c r="C802" s="8">
        <v>20.531590000000001</v>
      </c>
      <c r="D802" s="8">
        <v>68</v>
      </c>
      <c r="E802" s="8">
        <v>0</v>
      </c>
      <c r="F802" s="8">
        <v>0</v>
      </c>
      <c r="G802" s="8">
        <v>2</v>
      </c>
      <c r="H802" s="8" t="s">
        <v>1925</v>
      </c>
      <c r="I802" s="8">
        <v>526.6875</v>
      </c>
      <c r="J802" s="3">
        <f t="shared" si="12"/>
        <v>43747.493342210648</v>
      </c>
    </row>
    <row r="803" spans="1:10" x14ac:dyDescent="0.25">
      <c r="A803" s="5" t="s">
        <v>1926</v>
      </c>
      <c r="B803" s="6">
        <v>393.75</v>
      </c>
      <c r="C803" s="6">
        <v>20.478950000000001</v>
      </c>
      <c r="D803" s="6">
        <v>67</v>
      </c>
      <c r="E803" s="6">
        <v>0</v>
      </c>
      <c r="F803" s="6">
        <v>0</v>
      </c>
      <c r="G803" s="6">
        <v>0</v>
      </c>
      <c r="H803" s="6" t="s">
        <v>1927</v>
      </c>
      <c r="I803" s="6">
        <v>526.6875</v>
      </c>
      <c r="J803" s="2">
        <f t="shared" si="12"/>
        <v>43747.493413599535</v>
      </c>
    </row>
    <row r="804" spans="1:10" x14ac:dyDescent="0.25">
      <c r="A804" s="7" t="s">
        <v>1928</v>
      </c>
      <c r="B804" s="8">
        <v>393.75</v>
      </c>
      <c r="C804" s="8">
        <v>20.531590000000001</v>
      </c>
      <c r="D804" s="8">
        <v>68</v>
      </c>
      <c r="E804" s="8">
        <v>0</v>
      </c>
      <c r="F804" s="8">
        <v>0</v>
      </c>
      <c r="G804" s="8">
        <v>6</v>
      </c>
      <c r="H804" s="8" t="s">
        <v>1929</v>
      </c>
      <c r="I804" s="8">
        <v>526.5</v>
      </c>
      <c r="J804" s="3">
        <f t="shared" si="12"/>
        <v>43747.493497083335</v>
      </c>
    </row>
    <row r="805" spans="1:10" x14ac:dyDescent="0.25">
      <c r="A805" s="5" t="s">
        <v>1930</v>
      </c>
      <c r="B805" s="6">
        <v>393.75</v>
      </c>
      <c r="C805" s="6">
        <v>20.478950000000001</v>
      </c>
      <c r="D805" s="6">
        <v>67</v>
      </c>
      <c r="E805" s="6">
        <v>0</v>
      </c>
      <c r="F805" s="6">
        <v>0</v>
      </c>
      <c r="G805" s="6">
        <v>0</v>
      </c>
      <c r="H805" s="6" t="s">
        <v>1931</v>
      </c>
      <c r="I805" s="6">
        <v>526.6875</v>
      </c>
      <c r="J805" s="2">
        <f t="shared" si="12"/>
        <v>43747.49358052083</v>
      </c>
    </row>
    <row r="806" spans="1:10" x14ac:dyDescent="0.25">
      <c r="A806" s="7" t="s">
        <v>1932</v>
      </c>
      <c r="B806" s="8">
        <v>412.5</v>
      </c>
      <c r="C806" s="8">
        <v>20.531590000000001</v>
      </c>
      <c r="D806" s="8">
        <v>66</v>
      </c>
      <c r="E806" s="8">
        <v>0</v>
      </c>
      <c r="F806" s="8">
        <v>0</v>
      </c>
      <c r="G806" s="8">
        <v>3</v>
      </c>
      <c r="H806" s="8" t="s">
        <v>1933</v>
      </c>
      <c r="I806" s="8">
        <v>532.3125</v>
      </c>
      <c r="J806" s="3">
        <f t="shared" si="12"/>
        <v>43747.49366375</v>
      </c>
    </row>
    <row r="807" spans="1:10" x14ac:dyDescent="0.25">
      <c r="A807" s="5" t="s">
        <v>1934</v>
      </c>
      <c r="B807" s="6">
        <v>393.75</v>
      </c>
      <c r="C807" s="6">
        <v>20.531590000000001</v>
      </c>
      <c r="D807" s="6">
        <v>66</v>
      </c>
      <c r="E807" s="6">
        <v>0</v>
      </c>
      <c r="F807" s="6">
        <v>0</v>
      </c>
      <c r="G807" s="6">
        <v>8</v>
      </c>
      <c r="H807" s="6" t="s">
        <v>1935</v>
      </c>
      <c r="I807" s="6">
        <v>526.6875</v>
      </c>
      <c r="J807" s="2">
        <f t="shared" si="12"/>
        <v>43747.49373548611</v>
      </c>
    </row>
    <row r="808" spans="1:10" x14ac:dyDescent="0.25">
      <c r="A808" s="7" t="s">
        <v>1936</v>
      </c>
      <c r="B808" s="8">
        <v>393.75</v>
      </c>
      <c r="C808" s="8">
        <v>20.531590000000001</v>
      </c>
      <c r="D808" s="8">
        <v>66</v>
      </c>
      <c r="E808" s="8">
        <v>0</v>
      </c>
      <c r="F808" s="8">
        <v>0</v>
      </c>
      <c r="G808" s="8">
        <v>6</v>
      </c>
      <c r="H808" s="8" t="s">
        <v>1937</v>
      </c>
      <c r="I808" s="8">
        <v>526.6875</v>
      </c>
      <c r="J808" s="3">
        <f t="shared" si="12"/>
        <v>43747.493818935181</v>
      </c>
    </row>
    <row r="809" spans="1:10" x14ac:dyDescent="0.25">
      <c r="A809" s="5" t="s">
        <v>1938</v>
      </c>
      <c r="B809" s="6">
        <v>393.75</v>
      </c>
      <c r="C809" s="6">
        <v>20.531590000000001</v>
      </c>
      <c r="D809" s="6">
        <v>66</v>
      </c>
      <c r="E809" s="6">
        <v>0</v>
      </c>
      <c r="F809" s="6">
        <v>0</v>
      </c>
      <c r="G809" s="6">
        <v>7</v>
      </c>
      <c r="H809" s="6" t="s">
        <v>1939</v>
      </c>
      <c r="I809" s="6">
        <v>526.6875</v>
      </c>
      <c r="J809" s="2">
        <f t="shared" si="12"/>
        <v>43747.493902511567</v>
      </c>
    </row>
    <row r="810" spans="1:10" x14ac:dyDescent="0.25">
      <c r="A810" s="7" t="s">
        <v>1940</v>
      </c>
      <c r="B810" s="8">
        <v>393.75</v>
      </c>
      <c r="C810" s="8">
        <v>20.531590000000001</v>
      </c>
      <c r="D810" s="8">
        <v>61</v>
      </c>
      <c r="E810" s="8">
        <v>0</v>
      </c>
      <c r="F810" s="8">
        <v>0</v>
      </c>
      <c r="G810" s="8">
        <v>7</v>
      </c>
      <c r="H810" s="8" t="s">
        <v>1941</v>
      </c>
      <c r="I810" s="8">
        <v>526.6875</v>
      </c>
      <c r="J810" s="3">
        <f t="shared" si="12"/>
        <v>43747.494002858795</v>
      </c>
    </row>
    <row r="811" spans="1:10" x14ac:dyDescent="0.25">
      <c r="A811" s="5" t="s">
        <v>1942</v>
      </c>
      <c r="B811" s="6">
        <v>393.75</v>
      </c>
      <c r="C811" s="6">
        <v>20.584240000000001</v>
      </c>
      <c r="D811" s="6">
        <v>64</v>
      </c>
      <c r="E811" s="6">
        <v>0</v>
      </c>
      <c r="F811" s="6">
        <v>0</v>
      </c>
      <c r="G811" s="6">
        <v>4</v>
      </c>
      <c r="H811" s="6" t="s">
        <v>1943</v>
      </c>
      <c r="I811" s="6">
        <v>526.5</v>
      </c>
      <c r="J811" s="2">
        <f t="shared" si="12"/>
        <v>43747.494081319441</v>
      </c>
    </row>
    <row r="812" spans="1:10" x14ac:dyDescent="0.25">
      <c r="A812" s="7" t="s">
        <v>1944</v>
      </c>
      <c r="B812" s="8">
        <v>393.75</v>
      </c>
      <c r="C812" s="8">
        <v>20.531590000000001</v>
      </c>
      <c r="D812" s="8">
        <v>64</v>
      </c>
      <c r="E812" s="8">
        <v>0</v>
      </c>
      <c r="F812" s="8">
        <v>0</v>
      </c>
      <c r="G812" s="8">
        <v>10</v>
      </c>
      <c r="H812" s="8" t="s">
        <v>1945</v>
      </c>
      <c r="I812" s="8">
        <v>526.6875</v>
      </c>
      <c r="J812" s="3">
        <f t="shared" si="12"/>
        <v>43747.494164768512</v>
      </c>
    </row>
    <row r="813" spans="1:10" x14ac:dyDescent="0.25">
      <c r="A813" s="5" t="s">
        <v>1946</v>
      </c>
      <c r="B813" s="6">
        <v>412.5</v>
      </c>
      <c r="C813" s="6">
        <v>20.478950000000001</v>
      </c>
      <c r="D813" s="6">
        <v>65</v>
      </c>
      <c r="E813" s="6">
        <v>0</v>
      </c>
      <c r="F813" s="6">
        <v>0</v>
      </c>
      <c r="G813" s="6">
        <v>0</v>
      </c>
      <c r="H813" s="6" t="s">
        <v>1947</v>
      </c>
      <c r="I813" s="6">
        <v>532.3125</v>
      </c>
      <c r="J813" s="2">
        <f t="shared" si="12"/>
        <v>43747.494236296297</v>
      </c>
    </row>
    <row r="814" spans="1:10" x14ac:dyDescent="0.25">
      <c r="A814" s="7" t="s">
        <v>1948</v>
      </c>
      <c r="B814" s="8">
        <v>393.75</v>
      </c>
      <c r="C814" s="8">
        <v>20.531590000000001</v>
      </c>
      <c r="D814" s="8">
        <v>65</v>
      </c>
      <c r="E814" s="8">
        <v>0</v>
      </c>
      <c r="F814" s="8">
        <v>0</v>
      </c>
      <c r="G814" s="8">
        <v>2</v>
      </c>
      <c r="H814" s="8" t="s">
        <v>1949</v>
      </c>
      <c r="I814" s="8">
        <v>526.6875</v>
      </c>
      <c r="J814" s="3">
        <f t="shared" si="12"/>
        <v>43747.494319988422</v>
      </c>
    </row>
    <row r="815" spans="1:10" x14ac:dyDescent="0.25">
      <c r="A815" s="5" t="s">
        <v>1950</v>
      </c>
      <c r="B815" s="6">
        <v>393.75</v>
      </c>
      <c r="C815" s="6">
        <v>20.531590000000001</v>
      </c>
      <c r="D815" s="6">
        <v>65</v>
      </c>
      <c r="E815" s="6">
        <v>0</v>
      </c>
      <c r="F815" s="6">
        <v>0</v>
      </c>
      <c r="G815" s="6">
        <v>4</v>
      </c>
      <c r="H815" s="6" t="s">
        <v>1951</v>
      </c>
      <c r="I815" s="6">
        <v>526.6875</v>
      </c>
      <c r="J815" s="2">
        <f t="shared" si="12"/>
        <v>43747.494390914355</v>
      </c>
    </row>
    <row r="816" spans="1:10" x14ac:dyDescent="0.25">
      <c r="A816" s="7" t="s">
        <v>1952</v>
      </c>
      <c r="B816" s="8">
        <v>412.5</v>
      </c>
      <c r="C816" s="8">
        <v>20.478950000000001</v>
      </c>
      <c r="D816" s="8">
        <v>67</v>
      </c>
      <c r="E816" s="8">
        <v>0</v>
      </c>
      <c r="F816" s="8">
        <v>0</v>
      </c>
      <c r="G816" s="8">
        <v>5</v>
      </c>
      <c r="H816" s="8" t="s">
        <v>1953</v>
      </c>
      <c r="I816" s="8">
        <v>532.6875</v>
      </c>
      <c r="J816" s="3">
        <f t="shared" si="12"/>
        <v>43747.494474837957</v>
      </c>
    </row>
    <row r="817" spans="1:10" x14ac:dyDescent="0.25">
      <c r="A817" s="5" t="s">
        <v>1954</v>
      </c>
      <c r="B817" s="6">
        <v>393.75</v>
      </c>
      <c r="C817" s="6">
        <v>20.531590000000001</v>
      </c>
      <c r="D817" s="6">
        <v>65</v>
      </c>
      <c r="E817" s="6">
        <v>0</v>
      </c>
      <c r="F817" s="6">
        <v>0</v>
      </c>
      <c r="G817" s="6">
        <v>7</v>
      </c>
      <c r="H817" s="6" t="s">
        <v>1955</v>
      </c>
      <c r="I817" s="6">
        <v>526.6875</v>
      </c>
      <c r="J817" s="2">
        <f t="shared" si="12"/>
        <v>43747.494558298604</v>
      </c>
    </row>
    <row r="818" spans="1:10" x14ac:dyDescent="0.25">
      <c r="A818" s="7" t="s">
        <v>1956</v>
      </c>
      <c r="B818" s="8">
        <v>393.75</v>
      </c>
      <c r="C818" s="8">
        <v>20.478950000000001</v>
      </c>
      <c r="D818" s="8">
        <v>66</v>
      </c>
      <c r="E818" s="8">
        <v>0</v>
      </c>
      <c r="F818" s="8">
        <v>0</v>
      </c>
      <c r="G818" s="8">
        <v>0</v>
      </c>
      <c r="H818" s="8" t="s">
        <v>1957</v>
      </c>
      <c r="I818" s="8">
        <v>526.6875</v>
      </c>
      <c r="J818" s="3">
        <f t="shared" si="12"/>
        <v>43747.494641516205</v>
      </c>
    </row>
    <row r="819" spans="1:10" x14ac:dyDescent="0.25">
      <c r="A819" s="5" t="s">
        <v>1958</v>
      </c>
      <c r="B819" s="6">
        <v>393.75</v>
      </c>
      <c r="C819" s="6">
        <v>20.531590000000001</v>
      </c>
      <c r="D819" s="6">
        <v>66</v>
      </c>
      <c r="E819" s="6">
        <v>0</v>
      </c>
      <c r="F819" s="6">
        <v>0</v>
      </c>
      <c r="G819" s="6">
        <v>0</v>
      </c>
      <c r="H819" s="6" t="s">
        <v>1959</v>
      </c>
      <c r="I819" s="6">
        <v>526.6875</v>
      </c>
      <c r="J819" s="2">
        <f t="shared" si="12"/>
        <v>43747.494713148146</v>
      </c>
    </row>
    <row r="820" spans="1:10" x14ac:dyDescent="0.25">
      <c r="A820" s="7" t="s">
        <v>1960</v>
      </c>
      <c r="B820" s="8">
        <v>393.75</v>
      </c>
      <c r="C820" s="8">
        <v>20.531590000000001</v>
      </c>
      <c r="D820" s="8">
        <v>68</v>
      </c>
      <c r="E820" s="8">
        <v>0</v>
      </c>
      <c r="F820" s="8">
        <v>0</v>
      </c>
      <c r="G820" s="8">
        <v>6</v>
      </c>
      <c r="H820" s="8" t="s">
        <v>1961</v>
      </c>
      <c r="I820" s="8">
        <v>526.5</v>
      </c>
      <c r="J820" s="3">
        <f t="shared" si="12"/>
        <v>43747.494810127311</v>
      </c>
    </row>
    <row r="821" spans="1:10" x14ac:dyDescent="0.25">
      <c r="A821" s="5" t="s">
        <v>1962</v>
      </c>
      <c r="B821" s="6">
        <v>393.75</v>
      </c>
      <c r="C821" s="6">
        <v>20.478950000000001</v>
      </c>
      <c r="D821" s="6">
        <v>68</v>
      </c>
      <c r="E821" s="6">
        <v>0</v>
      </c>
      <c r="F821" s="6">
        <v>0</v>
      </c>
      <c r="G821" s="6">
        <v>0</v>
      </c>
      <c r="H821" s="6" t="s">
        <v>1963</v>
      </c>
      <c r="I821" s="6">
        <v>526.6875</v>
      </c>
      <c r="J821" s="2">
        <f t="shared" si="12"/>
        <v>43747.494892071758</v>
      </c>
    </row>
    <row r="822" spans="1:10" x14ac:dyDescent="0.25">
      <c r="A822" s="7" t="s">
        <v>1964</v>
      </c>
      <c r="B822" s="8">
        <v>393.75</v>
      </c>
      <c r="C822" s="8">
        <v>20.478950000000001</v>
      </c>
      <c r="D822" s="8">
        <v>68</v>
      </c>
      <c r="E822" s="8">
        <v>0</v>
      </c>
      <c r="F822" s="8">
        <v>0</v>
      </c>
      <c r="G822" s="8">
        <v>3</v>
      </c>
      <c r="H822" s="8" t="s">
        <v>1965</v>
      </c>
      <c r="I822" s="8">
        <v>526.6875</v>
      </c>
      <c r="J822" s="3">
        <f t="shared" si="12"/>
        <v>43747.494975532405</v>
      </c>
    </row>
    <row r="823" spans="1:10" x14ac:dyDescent="0.25">
      <c r="A823" s="5" t="s">
        <v>1966</v>
      </c>
      <c r="B823" s="6">
        <v>412.5</v>
      </c>
      <c r="C823" s="6">
        <v>20.584240000000001</v>
      </c>
      <c r="D823" s="6">
        <v>68</v>
      </c>
      <c r="E823" s="6">
        <v>0</v>
      </c>
      <c r="F823" s="6">
        <v>0</v>
      </c>
      <c r="G823" s="6">
        <v>5</v>
      </c>
      <c r="H823" s="6" t="s">
        <v>1967</v>
      </c>
      <c r="I823" s="6">
        <v>532.875</v>
      </c>
      <c r="J823" s="2">
        <f t="shared" si="12"/>
        <v>43747.495047048607</v>
      </c>
    </row>
    <row r="824" spans="1:10" x14ac:dyDescent="0.25">
      <c r="A824" s="7" t="s">
        <v>1968</v>
      </c>
      <c r="B824" s="8">
        <v>393.75</v>
      </c>
      <c r="C824" s="8">
        <v>20.478950000000001</v>
      </c>
      <c r="D824" s="8">
        <v>67</v>
      </c>
      <c r="E824" s="8">
        <v>0</v>
      </c>
      <c r="F824" s="8">
        <v>0</v>
      </c>
      <c r="G824" s="8">
        <v>8</v>
      </c>
      <c r="H824" s="8" t="s">
        <v>1969</v>
      </c>
      <c r="I824" s="8">
        <v>526.6875</v>
      </c>
      <c r="J824" s="3">
        <f t="shared" si="12"/>
        <v>43747.495130381947</v>
      </c>
    </row>
    <row r="825" spans="1:10" x14ac:dyDescent="0.25">
      <c r="A825" s="5" t="s">
        <v>1970</v>
      </c>
      <c r="B825" s="6">
        <v>393.75</v>
      </c>
      <c r="C825" s="6">
        <v>20.478950000000001</v>
      </c>
      <c r="D825" s="6">
        <v>67</v>
      </c>
      <c r="E825" s="6">
        <v>0</v>
      </c>
      <c r="F825" s="6">
        <v>0</v>
      </c>
      <c r="G825" s="6">
        <v>0</v>
      </c>
      <c r="H825" s="6" t="s">
        <v>1971</v>
      </c>
      <c r="I825" s="6">
        <v>526.6875</v>
      </c>
      <c r="J825" s="2">
        <f t="shared" si="12"/>
        <v>43747.495214317132</v>
      </c>
    </row>
    <row r="826" spans="1:10" x14ac:dyDescent="0.25">
      <c r="A826" s="7" t="s">
        <v>1972</v>
      </c>
      <c r="B826" s="8">
        <v>393.75</v>
      </c>
      <c r="C826" s="8">
        <v>20.584240000000001</v>
      </c>
      <c r="D826" s="8">
        <v>67</v>
      </c>
      <c r="E826" s="8">
        <v>0</v>
      </c>
      <c r="F826" s="8">
        <v>0</v>
      </c>
      <c r="G826" s="8">
        <v>13</v>
      </c>
      <c r="H826" s="8" t="s">
        <v>1973</v>
      </c>
      <c r="I826" s="8">
        <v>526.5</v>
      </c>
      <c r="J826" s="3">
        <f t="shared" si="12"/>
        <v>43747.495312256942</v>
      </c>
    </row>
    <row r="827" spans="1:10" x14ac:dyDescent="0.25">
      <c r="A827" s="5" t="s">
        <v>1974</v>
      </c>
      <c r="B827" s="6">
        <v>393.75</v>
      </c>
      <c r="C827" s="6">
        <v>20.478950000000001</v>
      </c>
      <c r="D827" s="6">
        <v>66</v>
      </c>
      <c r="E827" s="6">
        <v>0</v>
      </c>
      <c r="F827" s="6">
        <v>0</v>
      </c>
      <c r="G827" s="6">
        <v>1</v>
      </c>
      <c r="H827" s="6" t="s">
        <v>1975</v>
      </c>
      <c r="I827" s="6">
        <v>526.6875</v>
      </c>
      <c r="J827" s="2">
        <f t="shared" si="12"/>
        <v>43747.495392824072</v>
      </c>
    </row>
    <row r="828" spans="1:10" x14ac:dyDescent="0.25">
      <c r="A828" s="7" t="s">
        <v>1976</v>
      </c>
      <c r="B828" s="8">
        <v>393.75</v>
      </c>
      <c r="C828" s="8">
        <v>20.584240000000001</v>
      </c>
      <c r="D828" s="8">
        <v>65</v>
      </c>
      <c r="E828" s="8">
        <v>0</v>
      </c>
      <c r="F828" s="8">
        <v>0</v>
      </c>
      <c r="G828" s="8">
        <v>11</v>
      </c>
      <c r="H828" s="8" t="s">
        <v>1977</v>
      </c>
      <c r="I828" s="8">
        <v>526.6875</v>
      </c>
      <c r="J828" s="3">
        <f t="shared" si="12"/>
        <v>43747.495476400458</v>
      </c>
    </row>
    <row r="829" spans="1:10" x14ac:dyDescent="0.25">
      <c r="A829" s="5" t="s">
        <v>1978</v>
      </c>
      <c r="B829" s="6">
        <v>393.75</v>
      </c>
      <c r="C829" s="6">
        <v>20.584240000000001</v>
      </c>
      <c r="D829" s="6">
        <v>66</v>
      </c>
      <c r="E829" s="6">
        <v>0</v>
      </c>
      <c r="F829" s="6">
        <v>0</v>
      </c>
      <c r="G829" s="6">
        <v>8</v>
      </c>
      <c r="H829" s="6" t="s">
        <v>1979</v>
      </c>
      <c r="I829" s="6">
        <v>526.6875</v>
      </c>
      <c r="J829" s="2">
        <f t="shared" si="12"/>
        <v>43747.495559849536</v>
      </c>
    </row>
    <row r="830" spans="1:10" x14ac:dyDescent="0.25">
      <c r="A830" s="7" t="s">
        <v>1980</v>
      </c>
      <c r="B830" s="8">
        <v>412.5</v>
      </c>
      <c r="C830" s="8">
        <v>20.584240000000001</v>
      </c>
      <c r="D830" s="8">
        <v>67</v>
      </c>
      <c r="E830" s="8">
        <v>0</v>
      </c>
      <c r="F830" s="8">
        <v>0</v>
      </c>
      <c r="G830" s="8">
        <v>7</v>
      </c>
      <c r="H830" s="8" t="s">
        <v>1981</v>
      </c>
      <c r="I830" s="8">
        <v>532.3125</v>
      </c>
      <c r="J830" s="3">
        <f t="shared" si="12"/>
        <v>43747.495643321752</v>
      </c>
    </row>
    <row r="831" spans="1:10" x14ac:dyDescent="0.25">
      <c r="A831" s="5" t="s">
        <v>1982</v>
      </c>
      <c r="B831" s="6">
        <v>393.75</v>
      </c>
      <c r="C831" s="6">
        <v>20.478950000000001</v>
      </c>
      <c r="D831" s="6">
        <v>69</v>
      </c>
      <c r="E831" s="6">
        <v>0</v>
      </c>
      <c r="F831" s="6">
        <v>0</v>
      </c>
      <c r="G831" s="6">
        <v>7</v>
      </c>
      <c r="H831" s="6" t="s">
        <v>1983</v>
      </c>
      <c r="I831" s="6">
        <v>526.6875</v>
      </c>
      <c r="J831" s="2">
        <f t="shared" si="12"/>
        <v>43747.495726747678</v>
      </c>
    </row>
    <row r="832" spans="1:10" x14ac:dyDescent="0.25">
      <c r="A832" s="7" t="s">
        <v>1984</v>
      </c>
      <c r="B832" s="8">
        <v>393.75</v>
      </c>
      <c r="C832" s="8">
        <v>20.531590000000001</v>
      </c>
      <c r="D832" s="8">
        <v>68</v>
      </c>
      <c r="E832" s="8">
        <v>0</v>
      </c>
      <c r="F832" s="8">
        <v>0</v>
      </c>
      <c r="G832" s="8">
        <v>1</v>
      </c>
      <c r="H832" s="8" t="s">
        <v>1985</v>
      </c>
      <c r="I832" s="8">
        <v>526.5</v>
      </c>
      <c r="J832" s="3">
        <f t="shared" si="12"/>
        <v>43747.495810555549</v>
      </c>
    </row>
    <row r="833" spans="1:10" x14ac:dyDescent="0.25">
      <c r="A833" s="5" t="s">
        <v>1986</v>
      </c>
      <c r="B833" s="6">
        <v>393.75</v>
      </c>
      <c r="C833" s="6">
        <v>20.531590000000001</v>
      </c>
      <c r="D833" s="6">
        <v>68</v>
      </c>
      <c r="E833" s="6">
        <v>0</v>
      </c>
      <c r="F833" s="6">
        <v>0</v>
      </c>
      <c r="G833" s="6">
        <v>5</v>
      </c>
      <c r="H833" s="6" t="s">
        <v>1987</v>
      </c>
      <c r="I833" s="6">
        <v>526.6875</v>
      </c>
      <c r="J833" s="2">
        <f t="shared" si="12"/>
        <v>43747.495893414351</v>
      </c>
    </row>
    <row r="834" spans="1:10" x14ac:dyDescent="0.25">
      <c r="A834" s="7" t="s">
        <v>1988</v>
      </c>
      <c r="B834" s="8">
        <v>393.75</v>
      </c>
      <c r="C834" s="8">
        <v>20.531590000000001</v>
      </c>
      <c r="D834" s="8">
        <v>68</v>
      </c>
      <c r="E834" s="8">
        <v>0</v>
      </c>
      <c r="F834" s="8">
        <v>0</v>
      </c>
      <c r="G834" s="8">
        <v>1</v>
      </c>
      <c r="H834" s="8" t="s">
        <v>1989</v>
      </c>
      <c r="I834" s="8">
        <v>526.5</v>
      </c>
      <c r="J834" s="3">
        <f t="shared" ref="J834:J897" si="13">(H834/86400000)+25569+(7/24)</f>
        <v>43747.495965069444</v>
      </c>
    </row>
    <row r="835" spans="1:10" x14ac:dyDescent="0.25">
      <c r="A835" s="5" t="s">
        <v>1990</v>
      </c>
      <c r="B835" s="6">
        <v>393.75</v>
      </c>
      <c r="C835" s="6">
        <v>20.531590000000001</v>
      </c>
      <c r="D835" s="6">
        <v>69</v>
      </c>
      <c r="E835" s="6">
        <v>0</v>
      </c>
      <c r="F835" s="6">
        <v>0</v>
      </c>
      <c r="G835" s="6">
        <v>11</v>
      </c>
      <c r="H835" s="6" t="s">
        <v>1991</v>
      </c>
      <c r="I835" s="6">
        <v>526.6875</v>
      </c>
      <c r="J835" s="2">
        <f t="shared" si="13"/>
        <v>43747.49606020833</v>
      </c>
    </row>
    <row r="836" spans="1:10" x14ac:dyDescent="0.25">
      <c r="A836" s="7" t="s">
        <v>1992</v>
      </c>
      <c r="B836" s="8">
        <v>393.75</v>
      </c>
      <c r="C836" s="8">
        <v>20.478950000000001</v>
      </c>
      <c r="D836" s="8">
        <v>69</v>
      </c>
      <c r="E836" s="8">
        <v>0</v>
      </c>
      <c r="F836" s="8">
        <v>0</v>
      </c>
      <c r="G836" s="8">
        <v>7</v>
      </c>
      <c r="H836" s="8" t="s">
        <v>1993</v>
      </c>
      <c r="I836" s="8">
        <v>526.5</v>
      </c>
      <c r="J836" s="3">
        <f t="shared" si="13"/>
        <v>43747.49614398148</v>
      </c>
    </row>
    <row r="837" spans="1:10" x14ac:dyDescent="0.25">
      <c r="A837" s="5" t="s">
        <v>1994</v>
      </c>
      <c r="B837" s="6">
        <v>393.75</v>
      </c>
      <c r="C837" s="6">
        <v>20.531590000000001</v>
      </c>
      <c r="D837" s="6">
        <v>65</v>
      </c>
      <c r="E837" s="6">
        <v>0</v>
      </c>
      <c r="F837" s="6">
        <v>0</v>
      </c>
      <c r="G837" s="6">
        <v>10</v>
      </c>
      <c r="H837" s="6" t="s">
        <v>1995</v>
      </c>
      <c r="I837" s="6">
        <v>526.6875</v>
      </c>
      <c r="J837" s="2">
        <f t="shared" si="13"/>
        <v>43747.496227453703</v>
      </c>
    </row>
    <row r="838" spans="1:10" x14ac:dyDescent="0.25">
      <c r="A838" s="7" t="s">
        <v>1996</v>
      </c>
      <c r="B838" s="8">
        <v>393.75</v>
      </c>
      <c r="C838" s="8">
        <v>20.531590000000001</v>
      </c>
      <c r="D838" s="8">
        <v>66</v>
      </c>
      <c r="E838" s="8">
        <v>0</v>
      </c>
      <c r="F838" s="8">
        <v>0</v>
      </c>
      <c r="G838" s="8">
        <v>0</v>
      </c>
      <c r="H838" s="8" t="s">
        <v>1997</v>
      </c>
      <c r="I838" s="8">
        <v>526.6875</v>
      </c>
      <c r="J838" s="3">
        <f t="shared" si="13"/>
        <v>43747.496298981474</v>
      </c>
    </row>
    <row r="839" spans="1:10" x14ac:dyDescent="0.25">
      <c r="A839" s="5" t="s">
        <v>1998</v>
      </c>
      <c r="B839" s="6">
        <v>393.75</v>
      </c>
      <c r="C839" s="6">
        <v>20.478950000000001</v>
      </c>
      <c r="D839" s="6">
        <v>66</v>
      </c>
      <c r="E839" s="6">
        <v>0</v>
      </c>
      <c r="F839" s="6">
        <v>0</v>
      </c>
      <c r="G839" s="6">
        <v>12</v>
      </c>
      <c r="H839" s="6" t="s">
        <v>1999</v>
      </c>
      <c r="I839" s="6">
        <v>526.6875</v>
      </c>
      <c r="J839" s="2">
        <f t="shared" si="13"/>
        <v>43747.496382303238</v>
      </c>
    </row>
    <row r="840" spans="1:10" x14ac:dyDescent="0.25">
      <c r="A840" s="7" t="s">
        <v>2000</v>
      </c>
      <c r="B840" s="8">
        <v>393.75</v>
      </c>
      <c r="C840" s="8">
        <v>20.531590000000001</v>
      </c>
      <c r="D840" s="8">
        <v>65</v>
      </c>
      <c r="E840" s="8">
        <v>0</v>
      </c>
      <c r="F840" s="8">
        <v>0</v>
      </c>
      <c r="G840" s="8">
        <v>2</v>
      </c>
      <c r="H840" s="8" t="s">
        <v>2001</v>
      </c>
      <c r="I840" s="8">
        <v>526.6875</v>
      </c>
      <c r="J840" s="3">
        <f t="shared" si="13"/>
        <v>43747.496465995369</v>
      </c>
    </row>
    <row r="841" spans="1:10" x14ac:dyDescent="0.25">
      <c r="A841" s="5" t="s">
        <v>2002</v>
      </c>
      <c r="B841" s="6">
        <v>393.75</v>
      </c>
      <c r="C841" s="6">
        <v>20.531590000000001</v>
      </c>
      <c r="D841" s="6">
        <v>65</v>
      </c>
      <c r="E841" s="6">
        <v>0</v>
      </c>
      <c r="F841" s="6">
        <v>0</v>
      </c>
      <c r="G841" s="6">
        <v>0</v>
      </c>
      <c r="H841" s="6" t="s">
        <v>2003</v>
      </c>
      <c r="I841" s="6">
        <v>526.6875</v>
      </c>
      <c r="J841" s="2">
        <f t="shared" si="13"/>
        <v>43747.496549108793</v>
      </c>
    </row>
    <row r="842" spans="1:10" x14ac:dyDescent="0.25">
      <c r="A842" s="7" t="s">
        <v>2004</v>
      </c>
      <c r="B842" s="8">
        <v>412.5</v>
      </c>
      <c r="C842" s="8">
        <v>20.531590000000001</v>
      </c>
      <c r="D842" s="8">
        <v>65</v>
      </c>
      <c r="E842" s="8">
        <v>0</v>
      </c>
      <c r="F842" s="8">
        <v>0</v>
      </c>
      <c r="G842" s="8">
        <v>2</v>
      </c>
      <c r="H842" s="8" t="s">
        <v>2005</v>
      </c>
      <c r="I842" s="8">
        <v>532.125</v>
      </c>
      <c r="J842" s="3">
        <f t="shared" si="13"/>
        <v>43747.49662061342</v>
      </c>
    </row>
    <row r="843" spans="1:10" x14ac:dyDescent="0.25">
      <c r="A843" s="5" t="s">
        <v>2006</v>
      </c>
      <c r="B843" s="6">
        <v>393.75</v>
      </c>
      <c r="C843" s="6">
        <v>20.531590000000001</v>
      </c>
      <c r="D843" s="6">
        <v>64</v>
      </c>
      <c r="E843" s="6">
        <v>0</v>
      </c>
      <c r="F843" s="6">
        <v>0</v>
      </c>
      <c r="G843" s="6">
        <v>5</v>
      </c>
      <c r="H843" s="6" t="s">
        <v>2007</v>
      </c>
      <c r="I843" s="6">
        <v>526.6875</v>
      </c>
      <c r="J843" s="2">
        <f t="shared" si="13"/>
        <v>43747.49670452546</v>
      </c>
    </row>
    <row r="844" spans="1:10" x14ac:dyDescent="0.25">
      <c r="A844" s="7" t="s">
        <v>2008</v>
      </c>
      <c r="B844" s="8">
        <v>393.75</v>
      </c>
      <c r="C844" s="8">
        <v>20.531590000000001</v>
      </c>
      <c r="D844" s="8">
        <v>65</v>
      </c>
      <c r="E844" s="8">
        <v>0</v>
      </c>
      <c r="F844" s="8">
        <v>0</v>
      </c>
      <c r="G844" s="8">
        <v>3</v>
      </c>
      <c r="H844" s="8" t="s">
        <v>2009</v>
      </c>
      <c r="I844" s="8">
        <v>526.6875</v>
      </c>
      <c r="J844" s="3">
        <f t="shared" si="13"/>
        <v>43747.496787881937</v>
      </c>
    </row>
    <row r="845" spans="1:10" x14ac:dyDescent="0.25">
      <c r="A845" s="5" t="s">
        <v>2010</v>
      </c>
      <c r="B845" s="6">
        <v>393.75</v>
      </c>
      <c r="C845" s="6">
        <v>20.531590000000001</v>
      </c>
      <c r="D845" s="6">
        <v>65</v>
      </c>
      <c r="E845" s="6">
        <v>0</v>
      </c>
      <c r="F845" s="6">
        <v>0</v>
      </c>
      <c r="G845" s="6">
        <v>5</v>
      </c>
      <c r="H845" s="6" t="s">
        <v>2011</v>
      </c>
      <c r="I845" s="6">
        <v>526.6875</v>
      </c>
      <c r="J845" s="2">
        <f t="shared" si="13"/>
        <v>43747.496871203701</v>
      </c>
    </row>
    <row r="846" spans="1:10" x14ac:dyDescent="0.25">
      <c r="A846" s="7" t="s">
        <v>2012</v>
      </c>
      <c r="B846" s="8">
        <v>393.75</v>
      </c>
      <c r="C846" s="8">
        <v>20.531590000000001</v>
      </c>
      <c r="D846" s="8">
        <v>65</v>
      </c>
      <c r="E846" s="8">
        <v>0</v>
      </c>
      <c r="F846" s="8">
        <v>0</v>
      </c>
      <c r="G846" s="8">
        <v>11</v>
      </c>
      <c r="H846" s="8" t="s">
        <v>2013</v>
      </c>
      <c r="I846" s="8">
        <v>526.6875</v>
      </c>
      <c r="J846" s="3">
        <f t="shared" si="13"/>
        <v>43747.496954641203</v>
      </c>
    </row>
    <row r="847" spans="1:10" x14ac:dyDescent="0.25">
      <c r="A847" s="5" t="s">
        <v>2014</v>
      </c>
      <c r="B847" s="6">
        <v>393.75</v>
      </c>
      <c r="C847" s="6">
        <v>20.531590000000001</v>
      </c>
      <c r="D847" s="6">
        <v>65</v>
      </c>
      <c r="E847" s="6">
        <v>0</v>
      </c>
      <c r="F847" s="6">
        <v>0</v>
      </c>
      <c r="G847" s="6">
        <v>4</v>
      </c>
      <c r="H847" s="6" t="s">
        <v>2015</v>
      </c>
      <c r="I847" s="6">
        <v>526.6875</v>
      </c>
      <c r="J847" s="2">
        <f t="shared" si="13"/>
        <v>43747.497037870366</v>
      </c>
    </row>
    <row r="848" spans="1:10" x14ac:dyDescent="0.25">
      <c r="A848" s="7" t="s">
        <v>2016</v>
      </c>
      <c r="B848" s="8">
        <v>393.75</v>
      </c>
      <c r="C848" s="8">
        <v>20.531590000000001</v>
      </c>
      <c r="D848" s="8">
        <v>65</v>
      </c>
      <c r="E848" s="8">
        <v>0</v>
      </c>
      <c r="F848" s="8">
        <v>0</v>
      </c>
      <c r="G848" s="8">
        <v>0</v>
      </c>
      <c r="H848" s="8" t="s">
        <v>2017</v>
      </c>
      <c r="I848" s="8">
        <v>526.6875</v>
      </c>
      <c r="J848" s="3">
        <f t="shared" si="13"/>
        <v>43747.497109502314</v>
      </c>
    </row>
    <row r="849" spans="1:10" x14ac:dyDescent="0.25">
      <c r="A849" s="5" t="s">
        <v>2018</v>
      </c>
      <c r="B849" s="6">
        <v>393.75</v>
      </c>
      <c r="C849" s="6">
        <v>20.478950000000001</v>
      </c>
      <c r="D849" s="6">
        <v>66</v>
      </c>
      <c r="E849" s="6">
        <v>0</v>
      </c>
      <c r="F849" s="6">
        <v>0</v>
      </c>
      <c r="G849" s="6">
        <v>0</v>
      </c>
      <c r="H849" s="6" t="s">
        <v>2019</v>
      </c>
      <c r="I849" s="6">
        <v>526.6875</v>
      </c>
      <c r="J849" s="2">
        <f t="shared" si="13"/>
        <v>43747.497193425923</v>
      </c>
    </row>
    <row r="850" spans="1:10" x14ac:dyDescent="0.25">
      <c r="A850" s="7" t="s">
        <v>2020</v>
      </c>
      <c r="B850" s="8">
        <v>393.75</v>
      </c>
      <c r="C850" s="8">
        <v>20.584240000000001</v>
      </c>
      <c r="D850" s="8">
        <v>66</v>
      </c>
      <c r="E850" s="8">
        <v>0</v>
      </c>
      <c r="F850" s="8">
        <v>0</v>
      </c>
      <c r="G850" s="8">
        <v>0</v>
      </c>
      <c r="H850" s="8" t="s">
        <v>2021</v>
      </c>
      <c r="I850" s="8">
        <v>526.6875</v>
      </c>
      <c r="J850" s="3">
        <f t="shared" si="13"/>
        <v>43747.497276724534</v>
      </c>
    </row>
    <row r="851" spans="1:10" x14ac:dyDescent="0.25">
      <c r="A851" s="5" t="s">
        <v>2022</v>
      </c>
      <c r="B851" s="6">
        <v>393.75</v>
      </c>
      <c r="C851" s="6">
        <v>20.478950000000001</v>
      </c>
      <c r="D851" s="6">
        <v>65</v>
      </c>
      <c r="E851" s="6">
        <v>0</v>
      </c>
      <c r="F851" s="6">
        <v>0</v>
      </c>
      <c r="G851" s="6">
        <v>0</v>
      </c>
      <c r="H851" s="6" t="s">
        <v>2023</v>
      </c>
      <c r="I851" s="6">
        <v>526.5</v>
      </c>
      <c r="J851" s="2">
        <f t="shared" si="13"/>
        <v>43747.497360092595</v>
      </c>
    </row>
    <row r="852" spans="1:10" x14ac:dyDescent="0.25">
      <c r="A852" s="7" t="s">
        <v>2024</v>
      </c>
      <c r="B852" s="8">
        <v>412.5</v>
      </c>
      <c r="C852" s="8">
        <v>20.531590000000001</v>
      </c>
      <c r="D852" s="8">
        <v>64</v>
      </c>
      <c r="E852" s="8">
        <v>0</v>
      </c>
      <c r="F852" s="8">
        <v>0</v>
      </c>
      <c r="G852" s="8">
        <v>4</v>
      </c>
      <c r="H852" s="8" t="s">
        <v>2025</v>
      </c>
      <c r="I852" s="8">
        <v>532.5</v>
      </c>
      <c r="J852" s="3">
        <f t="shared" si="13"/>
        <v>43747.49744353009</v>
      </c>
    </row>
    <row r="853" spans="1:10" x14ac:dyDescent="0.25">
      <c r="A853" s="5" t="s">
        <v>2026</v>
      </c>
      <c r="B853" s="6">
        <v>393.75</v>
      </c>
      <c r="C853" s="6">
        <v>20.478950000000001</v>
      </c>
      <c r="D853" s="6">
        <v>63</v>
      </c>
      <c r="E853" s="6">
        <v>0</v>
      </c>
      <c r="F853" s="6">
        <v>0</v>
      </c>
      <c r="G853" s="6">
        <v>6</v>
      </c>
      <c r="H853" s="6" t="s">
        <v>2027</v>
      </c>
      <c r="I853" s="6">
        <v>526.6875</v>
      </c>
      <c r="J853" s="2">
        <f t="shared" si="13"/>
        <v>43747.49752684027</v>
      </c>
    </row>
    <row r="854" spans="1:10" x14ac:dyDescent="0.25">
      <c r="A854" s="7" t="s">
        <v>2028</v>
      </c>
      <c r="B854" s="8">
        <v>393.75</v>
      </c>
      <c r="C854" s="8">
        <v>20.531590000000001</v>
      </c>
      <c r="D854" s="8">
        <v>63</v>
      </c>
      <c r="E854" s="8">
        <v>0</v>
      </c>
      <c r="F854" s="8">
        <v>0</v>
      </c>
      <c r="G854" s="8">
        <v>7</v>
      </c>
      <c r="H854" s="8" t="s">
        <v>2029</v>
      </c>
      <c r="I854" s="8">
        <v>526.5</v>
      </c>
      <c r="J854" s="3">
        <f t="shared" si="13"/>
        <v>43747.497598518516</v>
      </c>
    </row>
    <row r="855" spans="1:10" x14ac:dyDescent="0.25">
      <c r="A855" s="5" t="s">
        <v>2030</v>
      </c>
      <c r="B855" s="6">
        <v>393.75</v>
      </c>
      <c r="C855" s="6">
        <v>20.531590000000001</v>
      </c>
      <c r="D855" s="6">
        <v>60</v>
      </c>
      <c r="E855" s="6">
        <v>0</v>
      </c>
      <c r="F855" s="6">
        <v>0</v>
      </c>
      <c r="G855" s="6">
        <v>2</v>
      </c>
      <c r="H855" s="6" t="s">
        <v>2031</v>
      </c>
      <c r="I855" s="6">
        <v>526.6875</v>
      </c>
      <c r="J855" s="2">
        <f t="shared" si="13"/>
        <v>43747.497682094901</v>
      </c>
    </row>
    <row r="856" spans="1:10" x14ac:dyDescent="0.25">
      <c r="A856" s="7" t="s">
        <v>2032</v>
      </c>
      <c r="B856" s="8">
        <v>393.75</v>
      </c>
      <c r="C856" s="8">
        <v>20.584240000000001</v>
      </c>
      <c r="D856" s="8">
        <v>62</v>
      </c>
      <c r="E856" s="8">
        <v>0</v>
      </c>
      <c r="F856" s="8">
        <v>0</v>
      </c>
      <c r="G856" s="8">
        <v>12</v>
      </c>
      <c r="H856" s="8" t="s">
        <v>2033</v>
      </c>
      <c r="I856" s="8">
        <v>526.6875</v>
      </c>
      <c r="J856" s="3">
        <f t="shared" si="13"/>
        <v>43747.49776554398</v>
      </c>
    </row>
    <row r="857" spans="1:10" x14ac:dyDescent="0.25">
      <c r="A857" s="5" t="s">
        <v>2034</v>
      </c>
      <c r="B857" s="6">
        <v>412.5</v>
      </c>
      <c r="C857" s="6">
        <v>20.531590000000001</v>
      </c>
      <c r="D857" s="6">
        <v>62</v>
      </c>
      <c r="E857" s="6">
        <v>0</v>
      </c>
      <c r="F857" s="6">
        <v>0</v>
      </c>
      <c r="G857" s="6">
        <v>9</v>
      </c>
      <c r="H857" s="6" t="s">
        <v>2035</v>
      </c>
      <c r="I857" s="6">
        <v>532.5</v>
      </c>
      <c r="J857" s="2">
        <f t="shared" si="13"/>
        <v>43747.4978490625</v>
      </c>
    </row>
    <row r="858" spans="1:10" x14ac:dyDescent="0.25">
      <c r="A858" s="7" t="s">
        <v>2036</v>
      </c>
      <c r="B858" s="8">
        <v>393.75</v>
      </c>
      <c r="C858" s="8">
        <v>20.531590000000001</v>
      </c>
      <c r="D858" s="8">
        <v>62</v>
      </c>
      <c r="E858" s="8">
        <v>0</v>
      </c>
      <c r="F858" s="8">
        <v>0</v>
      </c>
      <c r="G858" s="8">
        <v>7</v>
      </c>
      <c r="H858" s="8" t="s">
        <v>2037</v>
      </c>
      <c r="I858" s="8">
        <v>526.6875</v>
      </c>
      <c r="J858" s="3">
        <f t="shared" si="13"/>
        <v>43747.497932430553</v>
      </c>
    </row>
    <row r="859" spans="1:10" x14ac:dyDescent="0.25">
      <c r="A859" s="5" t="s">
        <v>2038</v>
      </c>
      <c r="B859" s="6">
        <v>393.75</v>
      </c>
      <c r="C859" s="6">
        <v>20.531590000000001</v>
      </c>
      <c r="D859" s="6">
        <v>62</v>
      </c>
      <c r="E859" s="6">
        <v>0</v>
      </c>
      <c r="F859" s="6">
        <v>0</v>
      </c>
      <c r="G859" s="6">
        <v>7</v>
      </c>
      <c r="H859" s="6" t="s">
        <v>2039</v>
      </c>
      <c r="I859" s="6">
        <v>526.6875</v>
      </c>
      <c r="J859" s="2">
        <f t="shared" si="13"/>
        <v>43747.498015648147</v>
      </c>
    </row>
    <row r="860" spans="1:10" x14ac:dyDescent="0.25">
      <c r="A860" s="7" t="s">
        <v>2040</v>
      </c>
      <c r="B860" s="8">
        <v>393.75</v>
      </c>
      <c r="C860" s="8">
        <v>20.584240000000001</v>
      </c>
      <c r="D860" s="8">
        <v>62</v>
      </c>
      <c r="E860" s="8">
        <v>0</v>
      </c>
      <c r="F860" s="8">
        <v>0</v>
      </c>
      <c r="G860" s="8">
        <v>11</v>
      </c>
      <c r="H860" s="8" t="s">
        <v>2041</v>
      </c>
      <c r="I860" s="8">
        <v>526.6875</v>
      </c>
      <c r="J860" s="3">
        <f t="shared" si="13"/>
        <v>43747.498111296292</v>
      </c>
    </row>
    <row r="861" spans="1:10" x14ac:dyDescent="0.25">
      <c r="A861" s="5" t="s">
        <v>2042</v>
      </c>
      <c r="B861" s="6">
        <v>393.75</v>
      </c>
      <c r="C861" s="6">
        <v>20.531590000000001</v>
      </c>
      <c r="D861" s="6">
        <v>64</v>
      </c>
      <c r="E861" s="6">
        <v>0</v>
      </c>
      <c r="F861" s="6">
        <v>0</v>
      </c>
      <c r="G861" s="6">
        <v>6</v>
      </c>
      <c r="H861" s="6" t="s">
        <v>2043</v>
      </c>
      <c r="I861" s="6">
        <v>526.6875</v>
      </c>
      <c r="J861" s="2">
        <f t="shared" si="13"/>
        <v>43747.498194629625</v>
      </c>
    </row>
    <row r="862" spans="1:10" x14ac:dyDescent="0.25">
      <c r="A862" s="7" t="s">
        <v>2044</v>
      </c>
      <c r="B862" s="8">
        <v>393.75</v>
      </c>
      <c r="C862" s="8">
        <v>20.531590000000001</v>
      </c>
      <c r="D862" s="8">
        <v>64</v>
      </c>
      <c r="E862" s="8">
        <v>0</v>
      </c>
      <c r="F862" s="8">
        <v>0</v>
      </c>
      <c r="G862" s="8">
        <v>11</v>
      </c>
      <c r="H862" s="8" t="s">
        <v>2045</v>
      </c>
      <c r="I862" s="8">
        <v>526.6875</v>
      </c>
      <c r="J862" s="3">
        <f t="shared" si="13"/>
        <v>43747.498289780087</v>
      </c>
    </row>
    <row r="863" spans="1:10" x14ac:dyDescent="0.25">
      <c r="A863" s="5" t="s">
        <v>2046</v>
      </c>
      <c r="B863" s="6">
        <v>415.625</v>
      </c>
      <c r="C863" s="6">
        <v>20.531590000000001</v>
      </c>
      <c r="D863" s="6">
        <v>64</v>
      </c>
      <c r="E863" s="6">
        <v>0</v>
      </c>
      <c r="F863" s="6">
        <v>0</v>
      </c>
      <c r="G863" s="6">
        <v>10</v>
      </c>
      <c r="H863" s="6" t="s">
        <v>2047</v>
      </c>
      <c r="I863" s="6">
        <v>533.4375</v>
      </c>
      <c r="J863" s="2">
        <f t="shared" si="13"/>
        <v>43747.498361319442</v>
      </c>
    </row>
    <row r="864" spans="1:10" x14ac:dyDescent="0.25">
      <c r="A864" s="7" t="s">
        <v>2048</v>
      </c>
      <c r="B864" s="8">
        <v>393.75</v>
      </c>
      <c r="C864" s="8">
        <v>20.584240000000001</v>
      </c>
      <c r="D864" s="8">
        <v>62</v>
      </c>
      <c r="E864" s="8">
        <v>0</v>
      </c>
      <c r="F864" s="8">
        <v>0</v>
      </c>
      <c r="G864" s="8">
        <v>0</v>
      </c>
      <c r="H864" s="8" t="s">
        <v>2049</v>
      </c>
      <c r="I864" s="8">
        <v>526.6875</v>
      </c>
      <c r="J864" s="3">
        <f t="shared" si="13"/>
        <v>43747.498445231475</v>
      </c>
    </row>
    <row r="865" spans="1:10" x14ac:dyDescent="0.25">
      <c r="A865" s="5" t="s">
        <v>2050</v>
      </c>
      <c r="B865" s="6">
        <v>393.75</v>
      </c>
      <c r="C865" s="6">
        <v>20.478950000000001</v>
      </c>
      <c r="D865" s="6">
        <v>61</v>
      </c>
      <c r="E865" s="6">
        <v>0</v>
      </c>
      <c r="F865" s="6">
        <v>0</v>
      </c>
      <c r="G865" s="6">
        <v>0</v>
      </c>
      <c r="H865" s="6" t="s">
        <v>2051</v>
      </c>
      <c r="I865" s="6">
        <v>526.6875</v>
      </c>
      <c r="J865" s="2">
        <f t="shared" si="13"/>
        <v>43747.49852854167</v>
      </c>
    </row>
    <row r="866" spans="1:10" x14ac:dyDescent="0.25">
      <c r="A866" s="7" t="s">
        <v>2052</v>
      </c>
      <c r="B866" s="8">
        <v>393.75</v>
      </c>
      <c r="C866" s="8">
        <v>20.531590000000001</v>
      </c>
      <c r="D866" s="8">
        <v>61</v>
      </c>
      <c r="E866" s="8">
        <v>0</v>
      </c>
      <c r="F866" s="8">
        <v>0</v>
      </c>
      <c r="G866" s="8">
        <v>12</v>
      </c>
      <c r="H866" s="8" t="s">
        <v>2053</v>
      </c>
      <c r="I866" s="8">
        <v>526.6875</v>
      </c>
      <c r="J866" s="3">
        <f t="shared" si="13"/>
        <v>43747.498600057872</v>
      </c>
    </row>
    <row r="867" spans="1:10" x14ac:dyDescent="0.25">
      <c r="A867" s="5" t="s">
        <v>2054</v>
      </c>
      <c r="B867" s="6">
        <v>393.75</v>
      </c>
      <c r="C867" s="6">
        <v>20.584240000000001</v>
      </c>
      <c r="D867" s="6">
        <v>62</v>
      </c>
      <c r="E867" s="6">
        <v>0</v>
      </c>
      <c r="F867" s="6">
        <v>0</v>
      </c>
      <c r="G867" s="6">
        <v>4</v>
      </c>
      <c r="H867" s="6" t="s">
        <v>2055</v>
      </c>
      <c r="I867" s="6">
        <v>526.5</v>
      </c>
      <c r="J867" s="2">
        <f t="shared" si="13"/>
        <v>43747.498683622682</v>
      </c>
    </row>
    <row r="868" spans="1:10" x14ac:dyDescent="0.25">
      <c r="A868" s="7" t="s">
        <v>2056</v>
      </c>
      <c r="B868" s="8">
        <v>393.75</v>
      </c>
      <c r="C868" s="8">
        <v>20.531590000000001</v>
      </c>
      <c r="D868" s="8">
        <v>62</v>
      </c>
      <c r="E868" s="8">
        <v>0</v>
      </c>
      <c r="F868" s="8">
        <v>0</v>
      </c>
      <c r="G868" s="8">
        <v>2</v>
      </c>
      <c r="H868" s="8" t="s">
        <v>2057</v>
      </c>
      <c r="I868" s="8">
        <v>526.6875</v>
      </c>
      <c r="J868" s="3">
        <f t="shared" si="13"/>
        <v>43747.498767094905</v>
      </c>
    </row>
    <row r="869" spans="1:10" x14ac:dyDescent="0.25">
      <c r="A869" s="5" t="s">
        <v>2058</v>
      </c>
      <c r="B869" s="6">
        <v>393.75</v>
      </c>
      <c r="C869" s="6">
        <v>20.531590000000001</v>
      </c>
      <c r="D869" s="6">
        <v>61</v>
      </c>
      <c r="E869" s="6">
        <v>0</v>
      </c>
      <c r="F869" s="6">
        <v>0</v>
      </c>
      <c r="G869" s="6">
        <v>13</v>
      </c>
      <c r="H869" s="6" t="s">
        <v>2059</v>
      </c>
      <c r="I869" s="6">
        <v>526.6875</v>
      </c>
      <c r="J869" s="2">
        <f t="shared" si="13"/>
        <v>43747.498850405093</v>
      </c>
    </row>
    <row r="870" spans="1:10" x14ac:dyDescent="0.25">
      <c r="A870" s="7" t="s">
        <v>2060</v>
      </c>
      <c r="B870" s="8">
        <v>393.75</v>
      </c>
      <c r="C870" s="8">
        <v>20.531590000000001</v>
      </c>
      <c r="D870" s="8">
        <v>63</v>
      </c>
      <c r="E870" s="8">
        <v>0</v>
      </c>
      <c r="F870" s="8">
        <v>0</v>
      </c>
      <c r="G870" s="8">
        <v>8</v>
      </c>
      <c r="H870" s="8" t="s">
        <v>2061</v>
      </c>
      <c r="I870" s="8">
        <v>526.6875</v>
      </c>
      <c r="J870" s="3">
        <f t="shared" si="13"/>
        <v>43747.498934108793</v>
      </c>
    </row>
    <row r="871" spans="1:10" x14ac:dyDescent="0.25">
      <c r="A871" s="5" t="s">
        <v>2062</v>
      </c>
      <c r="B871" s="6">
        <v>393.75</v>
      </c>
      <c r="C871" s="6">
        <v>20.531590000000001</v>
      </c>
      <c r="D871" s="6">
        <v>63</v>
      </c>
      <c r="E871" s="6">
        <v>0</v>
      </c>
      <c r="F871" s="6">
        <v>0</v>
      </c>
      <c r="G871" s="6">
        <v>8</v>
      </c>
      <c r="H871" s="6" t="s">
        <v>2063</v>
      </c>
      <c r="I871" s="6">
        <v>526.6875</v>
      </c>
      <c r="J871" s="2">
        <f t="shared" si="13"/>
        <v>43747.499017430549</v>
      </c>
    </row>
    <row r="872" spans="1:10" x14ac:dyDescent="0.25">
      <c r="A872" s="7" t="s">
        <v>2064</v>
      </c>
      <c r="B872" s="8">
        <v>393.75</v>
      </c>
      <c r="C872" s="8">
        <v>20.531590000000001</v>
      </c>
      <c r="D872" s="8">
        <v>64</v>
      </c>
      <c r="E872" s="8">
        <v>0</v>
      </c>
      <c r="F872" s="8">
        <v>0</v>
      </c>
      <c r="G872" s="8">
        <v>4</v>
      </c>
      <c r="H872" s="8" t="s">
        <v>2065</v>
      </c>
      <c r="I872" s="8">
        <v>526.5</v>
      </c>
      <c r="J872" s="3">
        <f t="shared" si="13"/>
        <v>43747.499100763882</v>
      </c>
    </row>
    <row r="873" spans="1:10" x14ac:dyDescent="0.25">
      <c r="A873" s="5" t="s">
        <v>2066</v>
      </c>
      <c r="B873" s="6">
        <v>393.75</v>
      </c>
      <c r="C873" s="6">
        <v>20.531590000000001</v>
      </c>
      <c r="D873" s="6">
        <v>64</v>
      </c>
      <c r="E873" s="6">
        <v>0</v>
      </c>
      <c r="F873" s="6">
        <v>0</v>
      </c>
      <c r="G873" s="6">
        <v>14</v>
      </c>
      <c r="H873" s="6" t="s">
        <v>2067</v>
      </c>
      <c r="I873" s="6">
        <v>526.6875</v>
      </c>
      <c r="J873" s="2">
        <f t="shared" si="13"/>
        <v>43747.49918421296</v>
      </c>
    </row>
    <row r="874" spans="1:10" x14ac:dyDescent="0.25">
      <c r="A874" s="7" t="s">
        <v>2068</v>
      </c>
      <c r="B874" s="8">
        <v>393.75</v>
      </c>
      <c r="C874" s="8">
        <v>20.531590000000001</v>
      </c>
      <c r="D874" s="8">
        <v>66</v>
      </c>
      <c r="E874" s="8">
        <v>0</v>
      </c>
      <c r="F874" s="8">
        <v>0</v>
      </c>
      <c r="G874" s="8">
        <v>7</v>
      </c>
      <c r="H874" s="8" t="s">
        <v>2069</v>
      </c>
      <c r="I874" s="8">
        <v>526.6875</v>
      </c>
      <c r="J874" s="3">
        <f t="shared" si="13"/>
        <v>43747.499267430554</v>
      </c>
    </row>
    <row r="875" spans="1:10" x14ac:dyDescent="0.25">
      <c r="A875" s="5" t="s">
        <v>2070</v>
      </c>
      <c r="B875" s="6">
        <v>393.75</v>
      </c>
      <c r="C875" s="6">
        <v>20.531590000000001</v>
      </c>
      <c r="D875" s="6">
        <v>66</v>
      </c>
      <c r="E875" s="6">
        <v>0</v>
      </c>
      <c r="F875" s="6">
        <v>0</v>
      </c>
      <c r="G875" s="6">
        <v>13</v>
      </c>
      <c r="H875" s="6" t="s">
        <v>2071</v>
      </c>
      <c r="I875" s="6">
        <v>526.6875</v>
      </c>
      <c r="J875" s="2">
        <f t="shared" si="13"/>
        <v>43747.499339201386</v>
      </c>
    </row>
    <row r="876" spans="1:10" x14ac:dyDescent="0.25">
      <c r="A876" s="7" t="s">
        <v>2072</v>
      </c>
      <c r="B876" s="8">
        <v>393.75</v>
      </c>
      <c r="C876" s="8">
        <v>20.531590000000001</v>
      </c>
      <c r="D876" s="8">
        <v>66</v>
      </c>
      <c r="E876" s="8">
        <v>0</v>
      </c>
      <c r="F876" s="8">
        <v>0</v>
      </c>
      <c r="G876" s="8">
        <v>1</v>
      </c>
      <c r="H876" s="8" t="s">
        <v>2073</v>
      </c>
      <c r="I876" s="8">
        <v>526.6875</v>
      </c>
      <c r="J876" s="3">
        <f t="shared" si="13"/>
        <v>43747.499422766203</v>
      </c>
    </row>
    <row r="877" spans="1:10" x14ac:dyDescent="0.25">
      <c r="A877" s="5" t="s">
        <v>2074</v>
      </c>
      <c r="B877" s="6">
        <v>393.75</v>
      </c>
      <c r="C877" s="6">
        <v>20.478950000000001</v>
      </c>
      <c r="D877" s="6">
        <v>67</v>
      </c>
      <c r="E877" s="6">
        <v>0</v>
      </c>
      <c r="F877" s="6">
        <v>0</v>
      </c>
      <c r="G877" s="6">
        <v>3</v>
      </c>
      <c r="H877" s="6" t="s">
        <v>2075</v>
      </c>
      <c r="I877" s="6">
        <v>526.6875</v>
      </c>
      <c r="J877" s="2">
        <f t="shared" si="13"/>
        <v>43747.499506215274</v>
      </c>
    </row>
    <row r="878" spans="1:10" x14ac:dyDescent="0.25">
      <c r="A878" s="7" t="s">
        <v>2076</v>
      </c>
      <c r="B878" s="8">
        <v>393.75</v>
      </c>
      <c r="C878" s="8">
        <v>20.531590000000001</v>
      </c>
      <c r="D878" s="8">
        <v>67</v>
      </c>
      <c r="E878" s="8">
        <v>0</v>
      </c>
      <c r="F878" s="8">
        <v>0</v>
      </c>
      <c r="G878" s="8">
        <v>5</v>
      </c>
      <c r="H878" s="8" t="s">
        <v>2077</v>
      </c>
      <c r="I878" s="8">
        <v>526.6875</v>
      </c>
      <c r="J878" s="3">
        <f t="shared" si="13"/>
        <v>43747.499589652776</v>
      </c>
    </row>
    <row r="879" spans="1:10" x14ac:dyDescent="0.25">
      <c r="A879" s="5" t="s">
        <v>2078</v>
      </c>
      <c r="B879" s="6">
        <v>393.75</v>
      </c>
      <c r="C879" s="6">
        <v>20.478950000000001</v>
      </c>
      <c r="D879" s="6">
        <v>67</v>
      </c>
      <c r="E879" s="6">
        <v>0</v>
      </c>
      <c r="F879" s="6">
        <v>0</v>
      </c>
      <c r="G879" s="6">
        <v>12</v>
      </c>
      <c r="H879" s="6" t="s">
        <v>2079</v>
      </c>
      <c r="I879" s="6">
        <v>526.6875</v>
      </c>
      <c r="J879" s="2">
        <f t="shared" si="13"/>
        <v>43747.499673113423</v>
      </c>
    </row>
    <row r="880" spans="1:10" x14ac:dyDescent="0.25">
      <c r="A880" s="7" t="s">
        <v>2080</v>
      </c>
      <c r="B880" s="8">
        <v>393.75</v>
      </c>
      <c r="C880" s="8">
        <v>20.478950000000001</v>
      </c>
      <c r="D880" s="8">
        <v>67</v>
      </c>
      <c r="E880" s="8">
        <v>0</v>
      </c>
      <c r="F880" s="8">
        <v>0</v>
      </c>
      <c r="G880" s="8">
        <v>10</v>
      </c>
      <c r="H880" s="8" t="s">
        <v>2081</v>
      </c>
      <c r="I880" s="8">
        <v>526.6875</v>
      </c>
      <c r="J880" s="3">
        <f t="shared" si="13"/>
        <v>43747.499756516198</v>
      </c>
    </row>
    <row r="881" spans="1:10" x14ac:dyDescent="0.25">
      <c r="A881" s="5" t="s">
        <v>2082</v>
      </c>
      <c r="B881" s="6">
        <v>393.75</v>
      </c>
      <c r="C881" s="6">
        <v>20.531590000000001</v>
      </c>
      <c r="D881" s="6">
        <v>67</v>
      </c>
      <c r="E881" s="6">
        <v>0</v>
      </c>
      <c r="F881" s="6">
        <v>0</v>
      </c>
      <c r="G881" s="6">
        <v>12</v>
      </c>
      <c r="H881" s="6" t="s">
        <v>2083</v>
      </c>
      <c r="I881" s="6">
        <v>526.6875</v>
      </c>
      <c r="J881" s="2">
        <f t="shared" si="13"/>
        <v>43747.499839999997</v>
      </c>
    </row>
    <row r="882" spans="1:10" x14ac:dyDescent="0.25">
      <c r="A882" s="7" t="s">
        <v>2084</v>
      </c>
      <c r="B882" s="8">
        <v>393.75</v>
      </c>
      <c r="C882" s="8">
        <v>20.584240000000001</v>
      </c>
      <c r="D882" s="8">
        <v>67</v>
      </c>
      <c r="E882" s="8">
        <v>0</v>
      </c>
      <c r="F882" s="8">
        <v>0</v>
      </c>
      <c r="G882" s="8">
        <v>9</v>
      </c>
      <c r="H882" s="8" t="s">
        <v>2085</v>
      </c>
      <c r="I882" s="8">
        <v>526.6875</v>
      </c>
      <c r="J882" s="3">
        <f t="shared" si="13"/>
        <v>43747.499923090276</v>
      </c>
    </row>
    <row r="883" spans="1:10" x14ac:dyDescent="0.25">
      <c r="A883" s="5" t="s">
        <v>2086</v>
      </c>
      <c r="B883" s="6">
        <v>393.75</v>
      </c>
      <c r="C883" s="6">
        <v>20.531590000000001</v>
      </c>
      <c r="D883" s="6">
        <v>67</v>
      </c>
      <c r="E883" s="6">
        <v>0</v>
      </c>
      <c r="F883" s="6">
        <v>0</v>
      </c>
      <c r="G883" s="6">
        <v>7</v>
      </c>
      <c r="H883" s="6" t="s">
        <v>2087</v>
      </c>
      <c r="I883" s="6">
        <v>526.6875</v>
      </c>
      <c r="J883" s="2">
        <f t="shared" si="13"/>
        <v>43747.499994629623</v>
      </c>
    </row>
    <row r="884" spans="1:10" x14ac:dyDescent="0.25">
      <c r="A884" s="7" t="s">
        <v>2088</v>
      </c>
      <c r="B884" s="8">
        <v>393.75</v>
      </c>
      <c r="C884" s="8">
        <v>20.478950000000001</v>
      </c>
      <c r="D884" s="8">
        <v>66</v>
      </c>
      <c r="E884" s="8">
        <v>0</v>
      </c>
      <c r="F884" s="8">
        <v>0</v>
      </c>
      <c r="G884" s="8">
        <v>5</v>
      </c>
      <c r="H884" s="8" t="s">
        <v>2089</v>
      </c>
      <c r="I884" s="8">
        <v>526.6875</v>
      </c>
      <c r="J884" s="3">
        <f t="shared" si="13"/>
        <v>43747.500078530087</v>
      </c>
    </row>
    <row r="885" spans="1:10" x14ac:dyDescent="0.25">
      <c r="A885" s="5" t="s">
        <v>2090</v>
      </c>
      <c r="B885" s="6">
        <v>393.75</v>
      </c>
      <c r="C885" s="6">
        <v>20.531590000000001</v>
      </c>
      <c r="D885" s="6">
        <v>66</v>
      </c>
      <c r="E885" s="6">
        <v>0</v>
      </c>
      <c r="F885" s="6">
        <v>0</v>
      </c>
      <c r="G885" s="6">
        <v>3</v>
      </c>
      <c r="H885" s="6" t="s">
        <v>2091</v>
      </c>
      <c r="I885" s="6">
        <v>526.6875</v>
      </c>
      <c r="J885" s="2">
        <f t="shared" si="13"/>
        <v>43747.500161875003</v>
      </c>
    </row>
    <row r="886" spans="1:10" x14ac:dyDescent="0.25">
      <c r="A886" s="7" t="s">
        <v>2092</v>
      </c>
      <c r="B886" s="8">
        <v>393.75</v>
      </c>
      <c r="C886" s="8">
        <v>20.531590000000001</v>
      </c>
      <c r="D886" s="8">
        <v>66</v>
      </c>
      <c r="E886" s="8">
        <v>0</v>
      </c>
      <c r="F886" s="8">
        <v>0</v>
      </c>
      <c r="G886" s="8">
        <v>3</v>
      </c>
      <c r="H886" s="8" t="s">
        <v>2093</v>
      </c>
      <c r="I886" s="8">
        <v>526.6875</v>
      </c>
      <c r="J886" s="3">
        <f t="shared" si="13"/>
        <v>43747.500245196752</v>
      </c>
    </row>
    <row r="887" spans="1:10" x14ac:dyDescent="0.25">
      <c r="A887" s="5" t="s">
        <v>2094</v>
      </c>
      <c r="B887" s="6">
        <v>393.75</v>
      </c>
      <c r="C887" s="6">
        <v>20.478950000000001</v>
      </c>
      <c r="D887" s="6">
        <v>61</v>
      </c>
      <c r="E887" s="6">
        <v>0</v>
      </c>
      <c r="F887" s="6">
        <v>0</v>
      </c>
      <c r="G887" s="6">
        <v>0</v>
      </c>
      <c r="H887" s="6" t="s">
        <v>2095</v>
      </c>
      <c r="I887" s="6">
        <v>526.6875</v>
      </c>
      <c r="J887" s="2">
        <f t="shared" si="13"/>
        <v>43747.500328888891</v>
      </c>
    </row>
    <row r="888" spans="1:10" x14ac:dyDescent="0.25">
      <c r="A888" s="7" t="s">
        <v>2096</v>
      </c>
      <c r="B888" s="8">
        <v>393.75</v>
      </c>
      <c r="C888" s="8">
        <v>20.531590000000001</v>
      </c>
      <c r="D888" s="8">
        <v>62</v>
      </c>
      <c r="E888" s="8">
        <v>0</v>
      </c>
      <c r="F888" s="8">
        <v>0</v>
      </c>
      <c r="G888" s="8">
        <v>6</v>
      </c>
      <c r="H888" s="8" t="s">
        <v>2097</v>
      </c>
      <c r="I888" s="8">
        <v>526.6875</v>
      </c>
      <c r="J888" s="3">
        <f t="shared" si="13"/>
        <v>43747.500412013884</v>
      </c>
    </row>
    <row r="889" spans="1:10" x14ac:dyDescent="0.25">
      <c r="A889" s="5" t="s">
        <v>2098</v>
      </c>
      <c r="B889" s="6">
        <v>393.75</v>
      </c>
      <c r="C889" s="6">
        <v>20.531590000000001</v>
      </c>
      <c r="D889" s="6">
        <v>62</v>
      </c>
      <c r="E889" s="6">
        <v>0</v>
      </c>
      <c r="F889" s="6">
        <v>0</v>
      </c>
      <c r="G889" s="6">
        <v>8</v>
      </c>
      <c r="H889" s="6" t="s">
        <v>2099</v>
      </c>
      <c r="I889" s="6">
        <v>526.6875</v>
      </c>
      <c r="J889" s="2">
        <f t="shared" si="13"/>
        <v>43747.500483634256</v>
      </c>
    </row>
    <row r="890" spans="1:10" x14ac:dyDescent="0.25">
      <c r="A890" s="7" t="s">
        <v>2100</v>
      </c>
      <c r="B890" s="8">
        <v>393.75</v>
      </c>
      <c r="C890" s="8">
        <v>20.531590000000001</v>
      </c>
      <c r="D890" s="8">
        <v>61</v>
      </c>
      <c r="E890" s="8">
        <v>0</v>
      </c>
      <c r="F890" s="8">
        <v>0</v>
      </c>
      <c r="G890" s="8">
        <v>7</v>
      </c>
      <c r="H890" s="8" t="s">
        <v>2101</v>
      </c>
      <c r="I890" s="8">
        <v>526.6875</v>
      </c>
      <c r="J890" s="3">
        <f t="shared" si="13"/>
        <v>43747.500567418982</v>
      </c>
    </row>
    <row r="891" spans="1:10" x14ac:dyDescent="0.25">
      <c r="A891" s="5" t="s">
        <v>2102</v>
      </c>
      <c r="B891" s="6">
        <v>393.75</v>
      </c>
      <c r="C891" s="6">
        <v>20.531590000000001</v>
      </c>
      <c r="D891" s="6">
        <v>61</v>
      </c>
      <c r="E891" s="6">
        <v>0</v>
      </c>
      <c r="F891" s="6">
        <v>0</v>
      </c>
      <c r="G891" s="6">
        <v>19</v>
      </c>
      <c r="H891" s="6" t="s">
        <v>2103</v>
      </c>
      <c r="I891" s="6">
        <v>526.6875</v>
      </c>
      <c r="J891" s="2">
        <f t="shared" si="13"/>
        <v>43747.500650810187</v>
      </c>
    </row>
    <row r="892" spans="1:10" x14ac:dyDescent="0.25">
      <c r="A892" s="7" t="s">
        <v>2104</v>
      </c>
      <c r="B892" s="8">
        <v>393.75</v>
      </c>
      <c r="C892" s="8">
        <v>20.584240000000001</v>
      </c>
      <c r="D892" s="8">
        <v>63</v>
      </c>
      <c r="E892" s="8">
        <v>0</v>
      </c>
      <c r="F892" s="8">
        <v>0</v>
      </c>
      <c r="G892" s="8">
        <v>14</v>
      </c>
      <c r="H892" s="8" t="s">
        <v>2105</v>
      </c>
      <c r="I892" s="8">
        <v>526.6875</v>
      </c>
      <c r="J892" s="3">
        <f t="shared" si="13"/>
        <v>43747.500734097215</v>
      </c>
    </row>
    <row r="893" spans="1:10" x14ac:dyDescent="0.25">
      <c r="A893" s="5" t="s">
        <v>2106</v>
      </c>
      <c r="B893" s="6">
        <v>393.75</v>
      </c>
      <c r="C893" s="6">
        <v>20.531590000000001</v>
      </c>
      <c r="D893" s="6">
        <v>65</v>
      </c>
      <c r="E893" s="6">
        <v>0</v>
      </c>
      <c r="F893" s="6">
        <v>0</v>
      </c>
      <c r="G893" s="6">
        <v>9</v>
      </c>
      <c r="H893" s="6" t="s">
        <v>2107</v>
      </c>
      <c r="I893" s="6">
        <v>526.6875</v>
      </c>
      <c r="J893" s="2">
        <f t="shared" si="13"/>
        <v>43747.500829629622</v>
      </c>
    </row>
    <row r="894" spans="1:10" x14ac:dyDescent="0.25">
      <c r="A894" s="7" t="s">
        <v>2108</v>
      </c>
      <c r="B894" s="8">
        <v>393.75</v>
      </c>
      <c r="C894" s="8">
        <v>20.531590000000001</v>
      </c>
      <c r="D894" s="8">
        <v>65</v>
      </c>
      <c r="E894" s="8">
        <v>0</v>
      </c>
      <c r="F894" s="8">
        <v>0</v>
      </c>
      <c r="G894" s="8">
        <v>15</v>
      </c>
      <c r="H894" s="8" t="s">
        <v>2109</v>
      </c>
      <c r="I894" s="8">
        <v>526.6875</v>
      </c>
      <c r="J894" s="3">
        <f t="shared" si="13"/>
        <v>43747.500913067131</v>
      </c>
    </row>
    <row r="895" spans="1:10" x14ac:dyDescent="0.25">
      <c r="A895" s="5" t="s">
        <v>2110</v>
      </c>
      <c r="B895" s="6">
        <v>393.75</v>
      </c>
      <c r="C895" s="6">
        <v>20.478950000000001</v>
      </c>
      <c r="D895" s="6">
        <v>64</v>
      </c>
      <c r="E895" s="6">
        <v>0</v>
      </c>
      <c r="F895" s="6">
        <v>0</v>
      </c>
      <c r="G895" s="6">
        <v>5</v>
      </c>
      <c r="H895" s="6" t="s">
        <v>2111</v>
      </c>
      <c r="I895" s="6">
        <v>526.6875</v>
      </c>
      <c r="J895" s="2">
        <f t="shared" si="13"/>
        <v>43747.500996516203</v>
      </c>
    </row>
    <row r="896" spans="1:10" x14ac:dyDescent="0.25">
      <c r="A896" s="7" t="s">
        <v>2112</v>
      </c>
      <c r="B896" s="8">
        <v>393.75</v>
      </c>
      <c r="C896" s="8">
        <v>20.531590000000001</v>
      </c>
      <c r="D896" s="8">
        <v>63</v>
      </c>
      <c r="E896" s="8">
        <v>0</v>
      </c>
      <c r="F896" s="8">
        <v>0</v>
      </c>
      <c r="G896" s="8">
        <v>8</v>
      </c>
      <c r="H896" s="8" t="s">
        <v>2113</v>
      </c>
      <c r="I896" s="8">
        <v>526.6875</v>
      </c>
      <c r="J896" s="3">
        <f t="shared" si="13"/>
        <v>43747.501079942129</v>
      </c>
    </row>
    <row r="897" spans="1:10" x14ac:dyDescent="0.25">
      <c r="A897" s="5" t="s">
        <v>2114</v>
      </c>
      <c r="B897" s="6">
        <v>412.5</v>
      </c>
      <c r="C897" s="6">
        <v>20.478950000000001</v>
      </c>
      <c r="D897" s="6">
        <v>63</v>
      </c>
      <c r="E897" s="6">
        <v>0</v>
      </c>
      <c r="F897" s="6">
        <v>0</v>
      </c>
      <c r="G897" s="6">
        <v>12</v>
      </c>
      <c r="H897" s="6" t="s">
        <v>2115</v>
      </c>
      <c r="I897" s="6">
        <v>532.6875</v>
      </c>
      <c r="J897" s="2">
        <f t="shared" si="13"/>
        <v>43747.501163414352</v>
      </c>
    </row>
    <row r="898" spans="1:10" x14ac:dyDescent="0.25">
      <c r="A898" s="7" t="s">
        <v>2116</v>
      </c>
      <c r="B898" s="8">
        <v>393.75</v>
      </c>
      <c r="C898" s="8">
        <v>20.478950000000001</v>
      </c>
      <c r="D898" s="8">
        <v>62</v>
      </c>
      <c r="E898" s="8">
        <v>0</v>
      </c>
      <c r="F898" s="8">
        <v>0</v>
      </c>
      <c r="G898" s="8">
        <v>5</v>
      </c>
      <c r="H898" s="8" t="s">
        <v>2117</v>
      </c>
      <c r="I898" s="8">
        <v>526.6875</v>
      </c>
      <c r="J898" s="3">
        <f t="shared" ref="J898:J961" si="14">(H898/86400000)+25569+(7/24)</f>
        <v>43747.501246851847</v>
      </c>
    </row>
    <row r="899" spans="1:10" x14ac:dyDescent="0.25">
      <c r="A899" s="5" t="s">
        <v>2118</v>
      </c>
      <c r="B899" s="6">
        <v>393.75</v>
      </c>
      <c r="C899" s="6">
        <v>20.478950000000001</v>
      </c>
      <c r="D899" s="6">
        <v>63</v>
      </c>
      <c r="E899" s="6">
        <v>0</v>
      </c>
      <c r="F899" s="6">
        <v>0</v>
      </c>
      <c r="G899" s="6">
        <v>0</v>
      </c>
      <c r="H899" s="6" t="s">
        <v>2119</v>
      </c>
      <c r="I899" s="6">
        <v>526.5</v>
      </c>
      <c r="J899" s="2">
        <f t="shared" si="14"/>
        <v>43747.50133042824</v>
      </c>
    </row>
    <row r="900" spans="1:10" x14ac:dyDescent="0.25">
      <c r="A900" s="7" t="s">
        <v>2120</v>
      </c>
      <c r="B900" s="8">
        <v>393.75</v>
      </c>
      <c r="C900" s="8">
        <v>20.584240000000001</v>
      </c>
      <c r="D900" s="8">
        <v>63</v>
      </c>
      <c r="E900" s="8">
        <v>0</v>
      </c>
      <c r="F900" s="8">
        <v>0</v>
      </c>
      <c r="G900" s="8">
        <v>6</v>
      </c>
      <c r="H900" s="8" t="s">
        <v>2121</v>
      </c>
      <c r="I900" s="8">
        <v>526.6875</v>
      </c>
      <c r="J900" s="3">
        <f t="shared" si="14"/>
        <v>43747.501413888887</v>
      </c>
    </row>
    <row r="901" spans="1:10" x14ac:dyDescent="0.25">
      <c r="A901" s="5" t="s">
        <v>2122</v>
      </c>
      <c r="B901" s="6">
        <v>393.75</v>
      </c>
      <c r="C901" s="6">
        <v>20.531590000000001</v>
      </c>
      <c r="D901" s="6">
        <v>64</v>
      </c>
      <c r="E901" s="6">
        <v>0</v>
      </c>
      <c r="F901" s="6">
        <v>0</v>
      </c>
      <c r="G901" s="6">
        <v>9</v>
      </c>
      <c r="H901" s="6" t="s">
        <v>2123</v>
      </c>
      <c r="I901" s="6">
        <v>526.6875</v>
      </c>
      <c r="J901" s="2">
        <f t="shared" si="14"/>
        <v>43747.50149722222</v>
      </c>
    </row>
    <row r="902" spans="1:10" x14ac:dyDescent="0.25">
      <c r="A902" s="7" t="s">
        <v>2124</v>
      </c>
      <c r="B902" s="8">
        <v>393.75</v>
      </c>
      <c r="C902" s="8">
        <v>20.478950000000001</v>
      </c>
      <c r="D902" s="8">
        <v>64</v>
      </c>
      <c r="E902" s="8">
        <v>0</v>
      </c>
      <c r="F902" s="8">
        <v>0</v>
      </c>
      <c r="G902" s="8">
        <v>3</v>
      </c>
      <c r="H902" s="8" t="s">
        <v>2125</v>
      </c>
      <c r="I902" s="8">
        <v>526.6875</v>
      </c>
      <c r="J902" s="3">
        <f t="shared" si="14"/>
        <v>43747.501568842592</v>
      </c>
    </row>
    <row r="903" spans="1:10" x14ac:dyDescent="0.25">
      <c r="A903" s="5" t="s">
        <v>2126</v>
      </c>
      <c r="B903" s="6">
        <v>393.75</v>
      </c>
      <c r="C903" s="6">
        <v>20.478950000000001</v>
      </c>
      <c r="D903" s="6">
        <v>63</v>
      </c>
      <c r="E903" s="6">
        <v>0</v>
      </c>
      <c r="F903" s="6">
        <v>0</v>
      </c>
      <c r="G903" s="6">
        <v>4</v>
      </c>
      <c r="H903" s="6" t="s">
        <v>2127</v>
      </c>
      <c r="I903" s="6">
        <v>526.6875</v>
      </c>
      <c r="J903" s="2">
        <f t="shared" si="14"/>
        <v>43747.501652291663</v>
      </c>
    </row>
    <row r="904" spans="1:10" x14ac:dyDescent="0.25">
      <c r="A904" s="7" t="s">
        <v>2128</v>
      </c>
      <c r="B904" s="8">
        <v>393.75</v>
      </c>
      <c r="C904" s="8">
        <v>20.584240000000001</v>
      </c>
      <c r="D904" s="8">
        <v>64</v>
      </c>
      <c r="E904" s="8">
        <v>0</v>
      </c>
      <c r="F904" s="8">
        <v>0</v>
      </c>
      <c r="G904" s="8">
        <v>0</v>
      </c>
      <c r="H904" s="8" t="s">
        <v>2129</v>
      </c>
      <c r="I904" s="8">
        <v>526.6875</v>
      </c>
      <c r="J904" s="3">
        <f t="shared" si="14"/>
        <v>43747.50173575231</v>
      </c>
    </row>
    <row r="905" spans="1:10" x14ac:dyDescent="0.25">
      <c r="A905" s="5" t="s">
        <v>2130</v>
      </c>
      <c r="B905" s="6">
        <v>393.75</v>
      </c>
      <c r="C905" s="6">
        <v>20.531590000000001</v>
      </c>
      <c r="D905" s="6">
        <v>63</v>
      </c>
      <c r="E905" s="6">
        <v>0</v>
      </c>
      <c r="F905" s="6">
        <v>0</v>
      </c>
      <c r="G905" s="6">
        <v>12</v>
      </c>
      <c r="H905" s="6" t="s">
        <v>2131</v>
      </c>
      <c r="I905" s="6">
        <v>526.6875</v>
      </c>
      <c r="J905" s="2">
        <f t="shared" si="14"/>
        <v>43747.501819317127</v>
      </c>
    </row>
    <row r="906" spans="1:10" x14ac:dyDescent="0.25">
      <c r="A906" s="7" t="s">
        <v>2132</v>
      </c>
      <c r="B906" s="8">
        <v>393.75</v>
      </c>
      <c r="C906" s="8">
        <v>20.584240000000001</v>
      </c>
      <c r="D906" s="8">
        <v>63</v>
      </c>
      <c r="E906" s="8">
        <v>0</v>
      </c>
      <c r="F906" s="8">
        <v>0</v>
      </c>
      <c r="G906" s="8">
        <v>6</v>
      </c>
      <c r="H906" s="8" t="s">
        <v>2133</v>
      </c>
      <c r="I906" s="8">
        <v>526.5</v>
      </c>
      <c r="J906" s="3">
        <f t="shared" si="14"/>
        <v>43747.501910949075</v>
      </c>
    </row>
    <row r="907" spans="1:10" x14ac:dyDescent="0.25">
      <c r="A907" s="5" t="s">
        <v>2134</v>
      </c>
      <c r="B907" s="6">
        <v>393.75</v>
      </c>
      <c r="C907" s="6">
        <v>20.531590000000001</v>
      </c>
      <c r="D907" s="6">
        <v>64</v>
      </c>
      <c r="E907" s="6">
        <v>0</v>
      </c>
      <c r="F907" s="6">
        <v>0</v>
      </c>
      <c r="G907" s="6">
        <v>13</v>
      </c>
      <c r="H907" s="6" t="s">
        <v>2135</v>
      </c>
      <c r="I907" s="6">
        <v>526.6875</v>
      </c>
      <c r="J907" s="2">
        <f t="shared" si="14"/>
        <v>43747.501985983792</v>
      </c>
    </row>
    <row r="908" spans="1:10" x14ac:dyDescent="0.25">
      <c r="A908" s="7" t="s">
        <v>2136</v>
      </c>
      <c r="B908" s="8">
        <v>393.75</v>
      </c>
      <c r="C908" s="8">
        <v>20.584240000000001</v>
      </c>
      <c r="D908" s="8">
        <v>63</v>
      </c>
      <c r="E908" s="8">
        <v>0</v>
      </c>
      <c r="F908" s="8">
        <v>0</v>
      </c>
      <c r="G908" s="8">
        <v>7</v>
      </c>
      <c r="H908" s="8" t="s">
        <v>2137</v>
      </c>
      <c r="I908" s="8">
        <v>526.6875</v>
      </c>
      <c r="J908" s="3">
        <f t="shared" si="14"/>
        <v>43747.502069560178</v>
      </c>
    </row>
    <row r="909" spans="1:10" x14ac:dyDescent="0.25">
      <c r="A909" s="5" t="s">
        <v>2138</v>
      </c>
      <c r="B909" s="6">
        <v>412.5</v>
      </c>
      <c r="C909" s="6">
        <v>20.531590000000001</v>
      </c>
      <c r="D909" s="6">
        <v>63</v>
      </c>
      <c r="E909" s="6">
        <v>0</v>
      </c>
      <c r="F909" s="6">
        <v>0</v>
      </c>
      <c r="G909" s="6">
        <v>9</v>
      </c>
      <c r="H909" s="6" t="s">
        <v>2139</v>
      </c>
      <c r="I909" s="6">
        <v>532.6875</v>
      </c>
      <c r="J909" s="2">
        <f t="shared" si="14"/>
        <v>43747.502152777779</v>
      </c>
    </row>
    <row r="910" spans="1:10" x14ac:dyDescent="0.25">
      <c r="A910" s="7" t="s">
        <v>2140</v>
      </c>
      <c r="B910" s="8">
        <v>393.75</v>
      </c>
      <c r="C910" s="8">
        <v>20.531590000000001</v>
      </c>
      <c r="D910" s="8">
        <v>63</v>
      </c>
      <c r="E910" s="8">
        <v>0</v>
      </c>
      <c r="F910" s="8">
        <v>0</v>
      </c>
      <c r="G910" s="8">
        <v>4</v>
      </c>
      <c r="H910" s="8" t="s">
        <v>2141</v>
      </c>
      <c r="I910" s="8">
        <v>526.6875</v>
      </c>
      <c r="J910" s="3">
        <f t="shared" si="14"/>
        <v>43747.502224293981</v>
      </c>
    </row>
    <row r="911" spans="1:10" x14ac:dyDescent="0.25">
      <c r="A911" s="5" t="s">
        <v>2142</v>
      </c>
      <c r="B911" s="6">
        <v>393.75</v>
      </c>
      <c r="C911" s="6">
        <v>20.584240000000001</v>
      </c>
      <c r="D911" s="6">
        <v>64</v>
      </c>
      <c r="E911" s="6">
        <v>0</v>
      </c>
      <c r="F911" s="6">
        <v>0</v>
      </c>
      <c r="G911" s="6">
        <v>12</v>
      </c>
      <c r="H911" s="6" t="s">
        <v>2143</v>
      </c>
      <c r="I911" s="6">
        <v>526.6875</v>
      </c>
      <c r="J911" s="2">
        <f t="shared" si="14"/>
        <v>43747.502308229166</v>
      </c>
    </row>
    <row r="912" spans="1:10" x14ac:dyDescent="0.25">
      <c r="A912" s="7" t="s">
        <v>2144</v>
      </c>
      <c r="B912" s="8">
        <v>393.75</v>
      </c>
      <c r="C912" s="8">
        <v>20.531590000000001</v>
      </c>
      <c r="D912" s="8">
        <v>64</v>
      </c>
      <c r="E912" s="8">
        <v>0</v>
      </c>
      <c r="F912" s="8">
        <v>0</v>
      </c>
      <c r="G912" s="8">
        <v>7</v>
      </c>
      <c r="H912" s="8" t="s">
        <v>2145</v>
      </c>
      <c r="I912" s="8">
        <v>526.6875</v>
      </c>
      <c r="J912" s="3">
        <f t="shared" si="14"/>
        <v>43747.502391435184</v>
      </c>
    </row>
    <row r="913" spans="1:10" x14ac:dyDescent="0.25">
      <c r="A913" s="5" t="s">
        <v>2146</v>
      </c>
      <c r="B913" s="6">
        <v>393.75</v>
      </c>
      <c r="C913" s="6">
        <v>20.584240000000001</v>
      </c>
      <c r="D913" s="6">
        <v>64</v>
      </c>
      <c r="E913" s="6">
        <v>0</v>
      </c>
      <c r="F913" s="6">
        <v>0</v>
      </c>
      <c r="G913" s="6">
        <v>2</v>
      </c>
      <c r="H913" s="6" t="s">
        <v>2147</v>
      </c>
      <c r="I913" s="6">
        <v>526.6875</v>
      </c>
      <c r="J913" s="2">
        <f t="shared" si="14"/>
        <v>43747.502463078701</v>
      </c>
    </row>
    <row r="914" spans="1:10" x14ac:dyDescent="0.25">
      <c r="A914" s="7" t="s">
        <v>2148</v>
      </c>
      <c r="B914" s="8">
        <v>393.75</v>
      </c>
      <c r="C914" s="8">
        <v>20.531590000000001</v>
      </c>
      <c r="D914" s="8">
        <v>63</v>
      </c>
      <c r="E914" s="8">
        <v>0</v>
      </c>
      <c r="F914" s="8">
        <v>0</v>
      </c>
      <c r="G914" s="8">
        <v>11</v>
      </c>
      <c r="H914" s="8" t="s">
        <v>2149</v>
      </c>
      <c r="I914" s="8">
        <v>526.6875</v>
      </c>
      <c r="J914" s="3">
        <f t="shared" si="14"/>
        <v>43747.502546516196</v>
      </c>
    </row>
    <row r="915" spans="1:10" x14ac:dyDescent="0.25">
      <c r="A915" s="5" t="s">
        <v>2150</v>
      </c>
      <c r="B915" s="6">
        <v>393.75</v>
      </c>
      <c r="C915" s="6">
        <v>20.531590000000001</v>
      </c>
      <c r="D915" s="6">
        <v>59</v>
      </c>
      <c r="E915" s="6">
        <v>0</v>
      </c>
      <c r="F915" s="6">
        <v>0</v>
      </c>
      <c r="G915" s="6">
        <v>5</v>
      </c>
      <c r="H915" s="6" t="s">
        <v>2151</v>
      </c>
      <c r="I915" s="6">
        <v>526.6875</v>
      </c>
      <c r="J915" s="2">
        <f t="shared" si="14"/>
        <v>43747.502630069437</v>
      </c>
    </row>
    <row r="916" spans="1:10" x14ac:dyDescent="0.25">
      <c r="A916" s="7" t="s">
        <v>2152</v>
      </c>
      <c r="B916" s="8">
        <v>393.75</v>
      </c>
      <c r="C916" s="8">
        <v>20.531590000000001</v>
      </c>
      <c r="D916" s="8">
        <v>60</v>
      </c>
      <c r="E916" s="8">
        <v>0</v>
      </c>
      <c r="F916" s="8">
        <v>0</v>
      </c>
      <c r="G916" s="8">
        <v>11</v>
      </c>
      <c r="H916" s="8" t="s">
        <v>2153</v>
      </c>
      <c r="I916" s="8">
        <v>526.6875</v>
      </c>
      <c r="J916" s="3">
        <f t="shared" si="14"/>
        <v>43747.502713402777</v>
      </c>
    </row>
    <row r="917" spans="1:10" x14ac:dyDescent="0.25">
      <c r="A917" s="5" t="s">
        <v>2154</v>
      </c>
      <c r="B917" s="6">
        <v>393.75</v>
      </c>
      <c r="C917" s="6">
        <v>20.584240000000001</v>
      </c>
      <c r="D917" s="6">
        <v>60</v>
      </c>
      <c r="E917" s="6">
        <v>0</v>
      </c>
      <c r="F917" s="6">
        <v>0</v>
      </c>
      <c r="G917" s="6">
        <v>17</v>
      </c>
      <c r="H917" s="6" t="s">
        <v>2155</v>
      </c>
      <c r="I917" s="6">
        <v>526.5</v>
      </c>
      <c r="J917" s="2">
        <f t="shared" si="14"/>
        <v>43747.502797199071</v>
      </c>
    </row>
    <row r="918" spans="1:10" x14ac:dyDescent="0.25">
      <c r="A918" s="7" t="s">
        <v>2156</v>
      </c>
      <c r="B918" s="8">
        <v>393.75</v>
      </c>
      <c r="C918" s="8">
        <v>20.531590000000001</v>
      </c>
      <c r="D918" s="8">
        <v>60</v>
      </c>
      <c r="E918" s="8">
        <v>0</v>
      </c>
      <c r="F918" s="8">
        <v>0</v>
      </c>
      <c r="G918" s="8">
        <v>0</v>
      </c>
      <c r="H918" s="8" t="s">
        <v>2157</v>
      </c>
      <c r="I918" s="8">
        <v>526.6875</v>
      </c>
      <c r="J918" s="3">
        <f t="shared" si="14"/>
        <v>43747.502880312495</v>
      </c>
    </row>
    <row r="919" spans="1:10" x14ac:dyDescent="0.25">
      <c r="A919" s="5" t="s">
        <v>2158</v>
      </c>
      <c r="B919" s="6">
        <v>393.75</v>
      </c>
      <c r="C919" s="6">
        <v>20.584240000000001</v>
      </c>
      <c r="D919" s="6">
        <v>61</v>
      </c>
      <c r="E919" s="6">
        <v>0</v>
      </c>
      <c r="F919" s="6">
        <v>0</v>
      </c>
      <c r="G919" s="6">
        <v>14</v>
      </c>
      <c r="H919" s="6" t="s">
        <v>2159</v>
      </c>
      <c r="I919" s="6">
        <v>526.6875</v>
      </c>
      <c r="J919" s="2">
        <f t="shared" si="14"/>
        <v>43747.502963865736</v>
      </c>
    </row>
    <row r="920" spans="1:10" x14ac:dyDescent="0.25">
      <c r="A920" s="7" t="s">
        <v>2160</v>
      </c>
      <c r="B920" s="8">
        <v>393.75</v>
      </c>
      <c r="C920" s="8">
        <v>20.531590000000001</v>
      </c>
      <c r="D920" s="8">
        <v>61</v>
      </c>
      <c r="E920" s="8">
        <v>0</v>
      </c>
      <c r="F920" s="8">
        <v>0</v>
      </c>
      <c r="G920" s="8">
        <v>8</v>
      </c>
      <c r="H920" s="8" t="s">
        <v>2161</v>
      </c>
      <c r="I920" s="8">
        <v>526.6875</v>
      </c>
      <c r="J920" s="3">
        <f t="shared" si="14"/>
        <v>43747.503056157402</v>
      </c>
    </row>
    <row r="921" spans="1:10" x14ac:dyDescent="0.25">
      <c r="A921" s="5" t="s">
        <v>2162</v>
      </c>
      <c r="B921" s="6">
        <v>393.75</v>
      </c>
      <c r="C921" s="6">
        <v>20.531590000000001</v>
      </c>
      <c r="D921" s="6">
        <v>61</v>
      </c>
      <c r="E921" s="6">
        <v>0</v>
      </c>
      <c r="F921" s="6">
        <v>0</v>
      </c>
      <c r="G921" s="6">
        <v>2</v>
      </c>
      <c r="H921" s="6" t="s">
        <v>2163</v>
      </c>
      <c r="I921" s="6">
        <v>526.6875</v>
      </c>
      <c r="J921" s="2">
        <f t="shared" si="14"/>
        <v>43747.503130428238</v>
      </c>
    </row>
    <row r="922" spans="1:10" x14ac:dyDescent="0.25">
      <c r="A922" s="7" t="s">
        <v>2164</v>
      </c>
      <c r="B922" s="8">
        <v>393.75</v>
      </c>
      <c r="C922" s="8">
        <v>20.478950000000001</v>
      </c>
      <c r="D922" s="8">
        <v>61</v>
      </c>
      <c r="E922" s="8">
        <v>0</v>
      </c>
      <c r="F922" s="8">
        <v>0</v>
      </c>
      <c r="G922" s="8">
        <v>3</v>
      </c>
      <c r="H922" s="8" t="s">
        <v>2165</v>
      </c>
      <c r="I922" s="8">
        <v>526.6875</v>
      </c>
      <c r="J922" s="3">
        <f t="shared" si="14"/>
        <v>43747.503202175925</v>
      </c>
    </row>
    <row r="923" spans="1:10" x14ac:dyDescent="0.25">
      <c r="A923" s="5" t="s">
        <v>2166</v>
      </c>
      <c r="B923" s="6">
        <v>393.75</v>
      </c>
      <c r="C923" s="6">
        <v>20.478950000000001</v>
      </c>
      <c r="D923" s="6">
        <v>65</v>
      </c>
      <c r="E923" s="6">
        <v>0</v>
      </c>
      <c r="F923" s="6">
        <v>0</v>
      </c>
      <c r="G923" s="6">
        <v>3</v>
      </c>
      <c r="H923" s="6" t="s">
        <v>2167</v>
      </c>
      <c r="I923" s="6">
        <v>526.5</v>
      </c>
      <c r="J923" s="2">
        <f t="shared" si="14"/>
        <v>43747.503285740742</v>
      </c>
    </row>
    <row r="924" spans="1:10" x14ac:dyDescent="0.25">
      <c r="A924" s="7" t="s">
        <v>2168</v>
      </c>
      <c r="B924" s="8">
        <v>393.75</v>
      </c>
      <c r="C924" s="8">
        <v>20.531590000000001</v>
      </c>
      <c r="D924" s="8">
        <v>65</v>
      </c>
      <c r="E924" s="8">
        <v>0</v>
      </c>
      <c r="F924" s="8">
        <v>0</v>
      </c>
      <c r="G924" s="8">
        <v>7</v>
      </c>
      <c r="H924" s="8" t="s">
        <v>2169</v>
      </c>
      <c r="I924" s="8">
        <v>526.5</v>
      </c>
      <c r="J924" s="3">
        <f t="shared" si="14"/>
        <v>43747.503369178237</v>
      </c>
    </row>
    <row r="925" spans="1:10" x14ac:dyDescent="0.25">
      <c r="A925" s="5" t="s">
        <v>2170</v>
      </c>
      <c r="B925" s="6">
        <v>393.75</v>
      </c>
      <c r="C925" s="6">
        <v>20.531590000000001</v>
      </c>
      <c r="D925" s="6">
        <v>66</v>
      </c>
      <c r="E925" s="6">
        <v>0</v>
      </c>
      <c r="F925" s="6">
        <v>0</v>
      </c>
      <c r="G925" s="6">
        <v>9</v>
      </c>
      <c r="H925" s="6" t="s">
        <v>2171</v>
      </c>
      <c r="I925" s="6">
        <v>526.6875</v>
      </c>
      <c r="J925" s="2">
        <f t="shared" si="14"/>
        <v>43747.503452650461</v>
      </c>
    </row>
    <row r="926" spans="1:10" x14ac:dyDescent="0.25">
      <c r="A926" s="7" t="s">
        <v>2172</v>
      </c>
      <c r="B926" s="8">
        <v>393.75</v>
      </c>
      <c r="C926" s="8">
        <v>20.531590000000001</v>
      </c>
      <c r="D926" s="8">
        <v>63</v>
      </c>
      <c r="E926" s="8">
        <v>0</v>
      </c>
      <c r="F926" s="8">
        <v>0</v>
      </c>
      <c r="G926" s="8">
        <v>7</v>
      </c>
      <c r="H926" s="8" t="s">
        <v>2173</v>
      </c>
      <c r="I926" s="8">
        <v>526.6875</v>
      </c>
      <c r="J926" s="3">
        <f t="shared" si="14"/>
        <v>43747.503548599539</v>
      </c>
    </row>
    <row r="927" spans="1:10" x14ac:dyDescent="0.25">
      <c r="A927" s="5" t="s">
        <v>2174</v>
      </c>
      <c r="B927" s="6">
        <v>393.75</v>
      </c>
      <c r="C927" s="6">
        <v>20.478950000000001</v>
      </c>
      <c r="D927" s="6">
        <v>63</v>
      </c>
      <c r="E927" s="6">
        <v>0</v>
      </c>
      <c r="F927" s="6">
        <v>0</v>
      </c>
      <c r="G927" s="6">
        <v>4</v>
      </c>
      <c r="H927" s="6" t="s">
        <v>2175</v>
      </c>
      <c r="I927" s="6">
        <v>526.6875</v>
      </c>
      <c r="J927" s="2">
        <f t="shared" si="14"/>
        <v>43747.503631458334</v>
      </c>
    </row>
    <row r="928" spans="1:10" x14ac:dyDescent="0.25">
      <c r="A928" s="7" t="s">
        <v>2176</v>
      </c>
      <c r="B928" s="8">
        <v>393.75</v>
      </c>
      <c r="C928" s="8">
        <v>20.584240000000001</v>
      </c>
      <c r="D928" s="8">
        <v>63</v>
      </c>
      <c r="E928" s="8">
        <v>0</v>
      </c>
      <c r="F928" s="8">
        <v>0</v>
      </c>
      <c r="G928" s="8">
        <v>8</v>
      </c>
      <c r="H928" s="8" t="s">
        <v>2177</v>
      </c>
      <c r="I928" s="8">
        <v>526.6875</v>
      </c>
      <c r="J928" s="3">
        <f t="shared" si="14"/>
        <v>43747.503702997681</v>
      </c>
    </row>
    <row r="929" spans="1:10" x14ac:dyDescent="0.25">
      <c r="A929" s="5" t="s">
        <v>2178</v>
      </c>
      <c r="B929" s="6">
        <v>393.75</v>
      </c>
      <c r="C929" s="6">
        <v>20.531590000000001</v>
      </c>
      <c r="D929" s="6">
        <v>63</v>
      </c>
      <c r="E929" s="6">
        <v>0</v>
      </c>
      <c r="F929" s="6">
        <v>0</v>
      </c>
      <c r="G929" s="6">
        <v>1</v>
      </c>
      <c r="H929" s="6" t="s">
        <v>2179</v>
      </c>
      <c r="I929" s="6">
        <v>526.6875</v>
      </c>
      <c r="J929" s="2">
        <f t="shared" si="14"/>
        <v>43747.503786678237</v>
      </c>
    </row>
    <row r="930" spans="1:10" x14ac:dyDescent="0.25">
      <c r="A930" s="7" t="s">
        <v>2180</v>
      </c>
      <c r="B930" s="8">
        <v>393.75</v>
      </c>
      <c r="C930" s="8">
        <v>20.531590000000001</v>
      </c>
      <c r="D930" s="8">
        <v>63</v>
      </c>
      <c r="E930" s="8">
        <v>0</v>
      </c>
      <c r="F930" s="8">
        <v>0</v>
      </c>
      <c r="G930" s="8">
        <v>14</v>
      </c>
      <c r="H930" s="8" t="s">
        <v>2181</v>
      </c>
      <c r="I930" s="8">
        <v>526.6875</v>
      </c>
      <c r="J930" s="3">
        <f t="shared" si="14"/>
        <v>43747.503857766198</v>
      </c>
    </row>
    <row r="931" spans="1:10" x14ac:dyDescent="0.25">
      <c r="A931" s="5" t="s">
        <v>2182</v>
      </c>
      <c r="B931" s="6">
        <v>393.75</v>
      </c>
      <c r="C931" s="6">
        <v>20.531590000000001</v>
      </c>
      <c r="D931" s="6">
        <v>62</v>
      </c>
      <c r="E931" s="6">
        <v>0</v>
      </c>
      <c r="F931" s="6">
        <v>0</v>
      </c>
      <c r="G931" s="6">
        <v>10</v>
      </c>
      <c r="H931" s="6" t="s">
        <v>2183</v>
      </c>
      <c r="I931" s="6">
        <v>526.5</v>
      </c>
      <c r="J931" s="2">
        <f t="shared" si="14"/>
        <v>43747.503941539348</v>
      </c>
    </row>
    <row r="932" spans="1:10" x14ac:dyDescent="0.25">
      <c r="A932" s="7" t="s">
        <v>2184</v>
      </c>
      <c r="B932" s="8">
        <v>393.75</v>
      </c>
      <c r="C932" s="8">
        <v>20.531590000000001</v>
      </c>
      <c r="D932" s="8">
        <v>62</v>
      </c>
      <c r="E932" s="8">
        <v>0</v>
      </c>
      <c r="F932" s="8">
        <v>0</v>
      </c>
      <c r="G932" s="8">
        <v>6</v>
      </c>
      <c r="H932" s="8" t="s">
        <v>2185</v>
      </c>
      <c r="I932" s="8">
        <v>526.6875</v>
      </c>
      <c r="J932" s="3">
        <f t="shared" si="14"/>
        <v>43747.504025324073</v>
      </c>
    </row>
    <row r="933" spans="1:10" x14ac:dyDescent="0.25">
      <c r="A933" s="5" t="s">
        <v>2186</v>
      </c>
      <c r="B933" s="6">
        <v>393.75</v>
      </c>
      <c r="C933" s="6">
        <v>20.531590000000001</v>
      </c>
      <c r="D933" s="6">
        <v>62</v>
      </c>
      <c r="E933" s="6">
        <v>0</v>
      </c>
      <c r="F933" s="6">
        <v>0</v>
      </c>
      <c r="G933" s="6">
        <v>7</v>
      </c>
      <c r="H933" s="6" t="s">
        <v>2187</v>
      </c>
      <c r="I933" s="6">
        <v>526.6875</v>
      </c>
      <c r="J933" s="2">
        <f t="shared" si="14"/>
        <v>43747.504108194444</v>
      </c>
    </row>
    <row r="934" spans="1:10" x14ac:dyDescent="0.25">
      <c r="A934" s="7" t="s">
        <v>2188</v>
      </c>
      <c r="B934" s="8">
        <v>412.5</v>
      </c>
      <c r="C934" s="8">
        <v>20.478950000000001</v>
      </c>
      <c r="D934" s="8">
        <v>62</v>
      </c>
      <c r="E934" s="8">
        <v>0</v>
      </c>
      <c r="F934" s="8">
        <v>0</v>
      </c>
      <c r="G934" s="8">
        <v>10</v>
      </c>
      <c r="H934" s="8" t="s">
        <v>2189</v>
      </c>
      <c r="I934" s="8">
        <v>532.3125</v>
      </c>
      <c r="J934" s="3">
        <f t="shared" si="14"/>
        <v>43747.504191886568</v>
      </c>
    </row>
    <row r="935" spans="1:10" x14ac:dyDescent="0.25">
      <c r="A935" s="5" t="s">
        <v>2190</v>
      </c>
      <c r="B935" s="6">
        <v>393.75</v>
      </c>
      <c r="C935" s="6">
        <v>20.531590000000001</v>
      </c>
      <c r="D935" s="6">
        <v>61</v>
      </c>
      <c r="E935" s="6">
        <v>0</v>
      </c>
      <c r="F935" s="6">
        <v>0</v>
      </c>
      <c r="G935" s="6">
        <v>7</v>
      </c>
      <c r="H935" s="6" t="s">
        <v>2191</v>
      </c>
      <c r="I935" s="6">
        <v>526.6875</v>
      </c>
      <c r="J935" s="2">
        <f t="shared" si="14"/>
        <v>43747.504287245371</v>
      </c>
    </row>
    <row r="936" spans="1:10" x14ac:dyDescent="0.25">
      <c r="A936" s="7" t="s">
        <v>2192</v>
      </c>
      <c r="B936" s="8">
        <v>393.75</v>
      </c>
      <c r="C936" s="8">
        <v>20.584240000000001</v>
      </c>
      <c r="D936" s="8">
        <v>58</v>
      </c>
      <c r="E936" s="8">
        <v>0</v>
      </c>
      <c r="F936" s="8">
        <v>0</v>
      </c>
      <c r="G936" s="8">
        <v>5</v>
      </c>
      <c r="H936" s="8" t="s">
        <v>2193</v>
      </c>
      <c r="I936" s="8">
        <v>526.6875</v>
      </c>
      <c r="J936" s="3">
        <f t="shared" si="14"/>
        <v>43747.504370694442</v>
      </c>
    </row>
    <row r="937" spans="1:10" x14ac:dyDescent="0.25">
      <c r="A937" s="5" t="s">
        <v>2194</v>
      </c>
      <c r="B937" s="6">
        <v>393.75</v>
      </c>
      <c r="C937" s="6">
        <v>20.584240000000001</v>
      </c>
      <c r="D937" s="6">
        <v>59</v>
      </c>
      <c r="E937" s="6">
        <v>0</v>
      </c>
      <c r="F937" s="6">
        <v>0</v>
      </c>
      <c r="G937" s="6">
        <v>11</v>
      </c>
      <c r="H937" s="6" t="s">
        <v>2195</v>
      </c>
      <c r="I937" s="6">
        <v>526.5</v>
      </c>
      <c r="J937" s="2">
        <f t="shared" si="14"/>
        <v>43747.504442465281</v>
      </c>
    </row>
    <row r="938" spans="1:10" x14ac:dyDescent="0.25">
      <c r="A938" s="7" t="s">
        <v>2196</v>
      </c>
      <c r="B938" s="8">
        <v>393.75</v>
      </c>
      <c r="C938" s="8">
        <v>20.531590000000001</v>
      </c>
      <c r="D938" s="8">
        <v>59</v>
      </c>
      <c r="E938" s="8">
        <v>0</v>
      </c>
      <c r="F938" s="8">
        <v>0</v>
      </c>
      <c r="G938" s="8">
        <v>6</v>
      </c>
      <c r="H938" s="8" t="s">
        <v>2197</v>
      </c>
      <c r="I938" s="8">
        <v>526.6875</v>
      </c>
      <c r="J938" s="3">
        <f t="shared" si="14"/>
        <v>43747.504513749998</v>
      </c>
    </row>
    <row r="939" spans="1:10" x14ac:dyDescent="0.25">
      <c r="A939" s="5" t="s">
        <v>2198</v>
      </c>
      <c r="B939" s="6">
        <v>412.5</v>
      </c>
      <c r="C939" s="6">
        <v>20.531590000000001</v>
      </c>
      <c r="D939" s="6">
        <v>59</v>
      </c>
      <c r="E939" s="6">
        <v>0</v>
      </c>
      <c r="F939" s="6">
        <v>0</v>
      </c>
      <c r="G939" s="6">
        <v>8</v>
      </c>
      <c r="H939" s="6" t="s">
        <v>2199</v>
      </c>
      <c r="I939" s="6">
        <v>532.3125</v>
      </c>
      <c r="J939" s="2">
        <f t="shared" si="14"/>
        <v>43747.504597094907</v>
      </c>
    </row>
    <row r="940" spans="1:10" x14ac:dyDescent="0.25">
      <c r="A940" s="7" t="s">
        <v>2200</v>
      </c>
      <c r="B940" s="8">
        <v>393.75</v>
      </c>
      <c r="C940" s="8">
        <v>20.531590000000001</v>
      </c>
      <c r="D940" s="8">
        <v>60</v>
      </c>
      <c r="E940" s="8">
        <v>0</v>
      </c>
      <c r="F940" s="8">
        <v>0</v>
      </c>
      <c r="G940" s="8">
        <v>10</v>
      </c>
      <c r="H940" s="8" t="s">
        <v>2201</v>
      </c>
      <c r="I940" s="8">
        <v>526.6875</v>
      </c>
      <c r="J940" s="3">
        <f t="shared" si="14"/>
        <v>43747.504680671293</v>
      </c>
    </row>
    <row r="941" spans="1:10" x14ac:dyDescent="0.25">
      <c r="A941" s="5" t="s">
        <v>2202</v>
      </c>
      <c r="B941" s="6">
        <v>393.75</v>
      </c>
      <c r="C941" s="6">
        <v>20.531590000000001</v>
      </c>
      <c r="D941" s="6">
        <v>60</v>
      </c>
      <c r="E941" s="6">
        <v>0</v>
      </c>
      <c r="F941" s="6">
        <v>0</v>
      </c>
      <c r="G941" s="6">
        <v>11</v>
      </c>
      <c r="H941" s="6" t="s">
        <v>2203</v>
      </c>
      <c r="I941" s="6">
        <v>526.6875</v>
      </c>
      <c r="J941" s="2">
        <f t="shared" si="14"/>
        <v>43747.504763888886</v>
      </c>
    </row>
    <row r="942" spans="1:10" x14ac:dyDescent="0.25">
      <c r="A942" s="7" t="s">
        <v>2204</v>
      </c>
      <c r="B942" s="8">
        <v>393.75</v>
      </c>
      <c r="C942" s="8">
        <v>20.584240000000001</v>
      </c>
      <c r="D942" s="8">
        <v>59</v>
      </c>
      <c r="E942" s="8">
        <v>0</v>
      </c>
      <c r="F942" s="8">
        <v>0</v>
      </c>
      <c r="G942" s="8">
        <v>0</v>
      </c>
      <c r="H942" s="8" t="s">
        <v>2205</v>
      </c>
      <c r="I942" s="8">
        <v>526.6875</v>
      </c>
      <c r="J942" s="3">
        <f t="shared" si="14"/>
        <v>43747.50484775463</v>
      </c>
    </row>
    <row r="943" spans="1:10" x14ac:dyDescent="0.25">
      <c r="A943" s="5" t="s">
        <v>2206</v>
      </c>
      <c r="B943" s="6">
        <v>393.75</v>
      </c>
      <c r="C943" s="6">
        <v>20.531590000000001</v>
      </c>
      <c r="D943" s="6">
        <v>59</v>
      </c>
      <c r="E943" s="6">
        <v>0</v>
      </c>
      <c r="F943" s="6">
        <v>0</v>
      </c>
      <c r="G943" s="6">
        <v>10</v>
      </c>
      <c r="H943" s="6" t="s">
        <v>2207</v>
      </c>
      <c r="I943" s="6">
        <v>526.6875</v>
      </c>
      <c r="J943" s="2">
        <f t="shared" si="14"/>
        <v>43747.50493135416</v>
      </c>
    </row>
    <row r="944" spans="1:10" x14ac:dyDescent="0.25">
      <c r="A944" s="7" t="s">
        <v>2208</v>
      </c>
      <c r="B944" s="8">
        <v>393.75</v>
      </c>
      <c r="C944" s="8">
        <v>20.584240000000001</v>
      </c>
      <c r="D944" s="8">
        <v>59</v>
      </c>
      <c r="E944" s="8">
        <v>0</v>
      </c>
      <c r="F944" s="8">
        <v>0</v>
      </c>
      <c r="G944" s="8">
        <v>0</v>
      </c>
      <c r="H944" s="8" t="s">
        <v>2209</v>
      </c>
      <c r="I944" s="8">
        <v>526.6875</v>
      </c>
      <c r="J944" s="3">
        <f t="shared" si="14"/>
        <v>43747.505002638885</v>
      </c>
    </row>
    <row r="945" spans="1:10" x14ac:dyDescent="0.25">
      <c r="A945" s="5" t="s">
        <v>2210</v>
      </c>
      <c r="B945" s="6">
        <v>393.75</v>
      </c>
      <c r="C945" s="6">
        <v>20.531590000000001</v>
      </c>
      <c r="D945" s="6">
        <v>59</v>
      </c>
      <c r="E945" s="6">
        <v>0</v>
      </c>
      <c r="F945" s="6">
        <v>0</v>
      </c>
      <c r="G945" s="6">
        <v>0</v>
      </c>
      <c r="H945" s="6" t="s">
        <v>2211</v>
      </c>
      <c r="I945" s="6">
        <v>526.5</v>
      </c>
      <c r="J945" s="2">
        <f t="shared" si="14"/>
        <v>43747.50508599537</v>
      </c>
    </row>
    <row r="946" spans="1:10" x14ac:dyDescent="0.25">
      <c r="A946" s="7" t="s">
        <v>2212</v>
      </c>
      <c r="B946" s="8">
        <v>393.75</v>
      </c>
      <c r="C946" s="8">
        <v>20.531590000000001</v>
      </c>
      <c r="D946" s="8">
        <v>59</v>
      </c>
      <c r="E946" s="8">
        <v>0</v>
      </c>
      <c r="F946" s="8">
        <v>0</v>
      </c>
      <c r="G946" s="8">
        <v>0</v>
      </c>
      <c r="H946" s="8" t="s">
        <v>2213</v>
      </c>
      <c r="I946" s="8">
        <v>526.6875</v>
      </c>
      <c r="J946" s="3">
        <f t="shared" si="14"/>
        <v>43747.505169537035</v>
      </c>
    </row>
    <row r="947" spans="1:10" x14ac:dyDescent="0.25">
      <c r="A947" s="5" t="s">
        <v>2214</v>
      </c>
      <c r="B947" s="6">
        <v>393.75</v>
      </c>
      <c r="C947" s="6">
        <v>20.531590000000001</v>
      </c>
      <c r="D947" s="6">
        <v>59</v>
      </c>
      <c r="E947" s="6">
        <v>0</v>
      </c>
      <c r="F947" s="6">
        <v>0</v>
      </c>
      <c r="G947" s="6">
        <v>8</v>
      </c>
      <c r="H947" s="6" t="s">
        <v>2215</v>
      </c>
      <c r="I947" s="6">
        <v>526.6875</v>
      </c>
      <c r="J947" s="2">
        <f t="shared" si="14"/>
        <v>43747.505253344905</v>
      </c>
    </row>
    <row r="948" spans="1:10" x14ac:dyDescent="0.25">
      <c r="A948" s="7" t="s">
        <v>2216</v>
      </c>
      <c r="B948" s="8">
        <v>393.75</v>
      </c>
      <c r="C948" s="8">
        <v>20.531590000000001</v>
      </c>
      <c r="D948" s="8">
        <v>59</v>
      </c>
      <c r="E948" s="8">
        <v>0</v>
      </c>
      <c r="F948" s="8">
        <v>0</v>
      </c>
      <c r="G948" s="8">
        <v>3</v>
      </c>
      <c r="H948" s="8" t="s">
        <v>2217</v>
      </c>
      <c r="I948" s="8">
        <v>526.6875</v>
      </c>
      <c r="J948" s="3">
        <f t="shared" si="14"/>
        <v>43747.505324293983</v>
      </c>
    </row>
    <row r="949" spans="1:10" x14ac:dyDescent="0.25">
      <c r="A949" s="5" t="s">
        <v>2218</v>
      </c>
      <c r="B949" s="6">
        <v>428.125</v>
      </c>
      <c r="C949" s="6">
        <v>20.531590000000001</v>
      </c>
      <c r="D949" s="6">
        <v>61</v>
      </c>
      <c r="E949" s="6">
        <v>0</v>
      </c>
      <c r="F949" s="6">
        <v>0</v>
      </c>
      <c r="G949" s="6">
        <v>0</v>
      </c>
      <c r="H949" s="6" t="s">
        <v>2219</v>
      </c>
      <c r="I949" s="6">
        <v>537.1875</v>
      </c>
      <c r="J949" s="2">
        <f t="shared" si="14"/>
        <v>43747.505408217585</v>
      </c>
    </row>
    <row r="950" spans="1:10" x14ac:dyDescent="0.25">
      <c r="A950" s="7" t="s">
        <v>2220</v>
      </c>
      <c r="B950" s="8">
        <v>393.75</v>
      </c>
      <c r="C950" s="8">
        <v>20.478950000000001</v>
      </c>
      <c r="D950" s="8">
        <v>61</v>
      </c>
      <c r="E950" s="8">
        <v>0</v>
      </c>
      <c r="F950" s="8">
        <v>0</v>
      </c>
      <c r="G950" s="8">
        <v>5</v>
      </c>
      <c r="H950" s="8" t="s">
        <v>2221</v>
      </c>
      <c r="I950" s="8">
        <v>526.6875</v>
      </c>
      <c r="J950" s="3">
        <f t="shared" si="14"/>
        <v>43747.505503356479</v>
      </c>
    </row>
    <row r="951" spans="1:10" x14ac:dyDescent="0.25">
      <c r="A951" s="5" t="s">
        <v>2222</v>
      </c>
      <c r="B951" s="6">
        <v>393.75</v>
      </c>
      <c r="C951" s="6">
        <v>20.478950000000001</v>
      </c>
      <c r="D951" s="6">
        <v>60</v>
      </c>
      <c r="E951" s="6">
        <v>0</v>
      </c>
      <c r="F951" s="6">
        <v>0</v>
      </c>
      <c r="G951" s="6">
        <v>5</v>
      </c>
      <c r="H951" s="6" t="s">
        <v>2223</v>
      </c>
      <c r="I951" s="6">
        <v>526.6875</v>
      </c>
      <c r="J951" s="2">
        <f t="shared" si="14"/>
        <v>43747.505587465275</v>
      </c>
    </row>
    <row r="952" spans="1:10" x14ac:dyDescent="0.25">
      <c r="A952" s="7" t="s">
        <v>2224</v>
      </c>
      <c r="B952" s="8">
        <v>393.75</v>
      </c>
      <c r="C952" s="8">
        <v>20.478950000000001</v>
      </c>
      <c r="D952" s="8">
        <v>60</v>
      </c>
      <c r="E952" s="8">
        <v>0</v>
      </c>
      <c r="F952" s="8">
        <v>0</v>
      </c>
      <c r="G952" s="8">
        <v>1</v>
      </c>
      <c r="H952" s="8" t="s">
        <v>2225</v>
      </c>
      <c r="I952" s="8">
        <v>526.6875</v>
      </c>
      <c r="J952" s="3">
        <f t="shared" si="14"/>
        <v>43747.505658425922</v>
      </c>
    </row>
    <row r="953" spans="1:10" x14ac:dyDescent="0.25">
      <c r="A953" s="5" t="s">
        <v>2226</v>
      </c>
      <c r="B953" s="6">
        <v>393.75</v>
      </c>
      <c r="C953" s="6">
        <v>20.531590000000001</v>
      </c>
      <c r="D953" s="6">
        <v>60</v>
      </c>
      <c r="E953" s="6">
        <v>0</v>
      </c>
      <c r="F953" s="6">
        <v>0</v>
      </c>
      <c r="G953" s="6">
        <v>0</v>
      </c>
      <c r="H953" s="6" t="s">
        <v>2227</v>
      </c>
      <c r="I953" s="6">
        <v>526.6875</v>
      </c>
      <c r="J953" s="2">
        <f t="shared" si="14"/>
        <v>43747.505741539346</v>
      </c>
    </row>
    <row r="954" spans="1:10" x14ac:dyDescent="0.25">
      <c r="A954" s="7" t="s">
        <v>2228</v>
      </c>
      <c r="B954" s="8">
        <v>393.75</v>
      </c>
      <c r="C954" s="8">
        <v>20.531590000000001</v>
      </c>
      <c r="D954" s="8">
        <v>60</v>
      </c>
      <c r="E954" s="8">
        <v>0</v>
      </c>
      <c r="F954" s="8">
        <v>0</v>
      </c>
      <c r="G954" s="8">
        <v>2</v>
      </c>
      <c r="H954" s="8" t="s">
        <v>2229</v>
      </c>
      <c r="I954" s="8">
        <v>526.6875</v>
      </c>
      <c r="J954" s="3">
        <f t="shared" si="14"/>
        <v>43747.505813182863</v>
      </c>
    </row>
    <row r="955" spans="1:10" x14ac:dyDescent="0.25">
      <c r="A955" s="5" t="s">
        <v>2230</v>
      </c>
      <c r="B955" s="6">
        <v>393.75</v>
      </c>
      <c r="C955" s="6">
        <v>20.531590000000001</v>
      </c>
      <c r="D955" s="6">
        <v>61</v>
      </c>
      <c r="E955" s="6">
        <v>0</v>
      </c>
      <c r="F955" s="6">
        <v>0</v>
      </c>
      <c r="G955" s="6">
        <v>1</v>
      </c>
      <c r="H955" s="6" t="s">
        <v>2231</v>
      </c>
      <c r="I955" s="6">
        <v>526.5</v>
      </c>
      <c r="J955" s="2">
        <f t="shared" si="14"/>
        <v>43747.50589685185</v>
      </c>
    </row>
    <row r="956" spans="1:10" x14ac:dyDescent="0.25">
      <c r="A956" s="7" t="s">
        <v>2232</v>
      </c>
      <c r="B956" s="8">
        <v>393.75</v>
      </c>
      <c r="C956" s="8">
        <v>20.478950000000001</v>
      </c>
      <c r="D956" s="8">
        <v>62</v>
      </c>
      <c r="E956" s="8">
        <v>0</v>
      </c>
      <c r="F956" s="8">
        <v>0</v>
      </c>
      <c r="G956" s="8">
        <v>3</v>
      </c>
      <c r="H956" s="8" t="s">
        <v>2233</v>
      </c>
      <c r="I956" s="8">
        <v>526.6875</v>
      </c>
      <c r="J956" s="3">
        <f t="shared" si="14"/>
        <v>43747.505980312497</v>
      </c>
    </row>
    <row r="957" spans="1:10" x14ac:dyDescent="0.25">
      <c r="A957" s="5" t="s">
        <v>2234</v>
      </c>
      <c r="B957" s="6">
        <v>393.75</v>
      </c>
      <c r="C957" s="6">
        <v>20.531590000000001</v>
      </c>
      <c r="D957" s="6">
        <v>62</v>
      </c>
      <c r="E957" s="6">
        <v>0</v>
      </c>
      <c r="F957" s="6">
        <v>0</v>
      </c>
      <c r="G957" s="6">
        <v>6</v>
      </c>
      <c r="H957" s="6" t="s">
        <v>2235</v>
      </c>
      <c r="I957" s="6">
        <v>526.6875</v>
      </c>
      <c r="J957" s="2">
        <f t="shared" si="14"/>
        <v>43747.506063761575</v>
      </c>
    </row>
    <row r="958" spans="1:10" x14ac:dyDescent="0.25">
      <c r="A958" s="7" t="s">
        <v>2236</v>
      </c>
      <c r="B958" s="8">
        <v>393.75</v>
      </c>
      <c r="C958" s="8">
        <v>20.478950000000001</v>
      </c>
      <c r="D958" s="8">
        <v>60</v>
      </c>
      <c r="E958" s="8">
        <v>0</v>
      </c>
      <c r="F958" s="8">
        <v>0</v>
      </c>
      <c r="G958" s="8">
        <v>16</v>
      </c>
      <c r="H958" s="8" t="s">
        <v>2237</v>
      </c>
      <c r="I958" s="8">
        <v>526.6875</v>
      </c>
      <c r="J958" s="3">
        <f t="shared" si="14"/>
        <v>43747.506159236109</v>
      </c>
    </row>
    <row r="959" spans="1:10" x14ac:dyDescent="0.25">
      <c r="A959" s="5" t="s">
        <v>2238</v>
      </c>
      <c r="B959" s="6">
        <v>393.75</v>
      </c>
      <c r="C959" s="6">
        <v>20.531590000000001</v>
      </c>
      <c r="D959" s="6">
        <v>59</v>
      </c>
      <c r="E959" s="6">
        <v>0</v>
      </c>
      <c r="F959" s="6">
        <v>0</v>
      </c>
      <c r="G959" s="6">
        <v>13</v>
      </c>
      <c r="H959" s="6" t="s">
        <v>2239</v>
      </c>
      <c r="I959" s="6">
        <v>526.6875</v>
      </c>
      <c r="J959" s="2">
        <f t="shared" si="14"/>
        <v>43747.506242719908</v>
      </c>
    </row>
    <row r="960" spans="1:10" x14ac:dyDescent="0.25">
      <c r="A960" s="7" t="s">
        <v>2240</v>
      </c>
      <c r="B960" s="8">
        <v>412.5</v>
      </c>
      <c r="C960" s="8">
        <v>20.478950000000001</v>
      </c>
      <c r="D960" s="8">
        <v>59</v>
      </c>
      <c r="E960" s="8">
        <v>0</v>
      </c>
      <c r="F960" s="8">
        <v>0</v>
      </c>
      <c r="G960" s="8">
        <v>4</v>
      </c>
      <c r="H960" s="8" t="s">
        <v>2241</v>
      </c>
      <c r="I960" s="8">
        <v>532.3125</v>
      </c>
      <c r="J960" s="3">
        <f t="shared" si="14"/>
        <v>43747.506337592589</v>
      </c>
    </row>
    <row r="961" spans="1:10" x14ac:dyDescent="0.25">
      <c r="A961" s="5" t="s">
        <v>2242</v>
      </c>
      <c r="B961" s="6">
        <v>393.75</v>
      </c>
      <c r="C961" s="6">
        <v>20.584240000000001</v>
      </c>
      <c r="D961" s="6">
        <v>59</v>
      </c>
      <c r="E961" s="6">
        <v>0</v>
      </c>
      <c r="F961" s="6">
        <v>0</v>
      </c>
      <c r="G961" s="6">
        <v>5</v>
      </c>
      <c r="H961" s="6" t="s">
        <v>2243</v>
      </c>
      <c r="I961" s="6">
        <v>526.5</v>
      </c>
      <c r="J961" s="2">
        <f t="shared" si="14"/>
        <v>43747.506409594906</v>
      </c>
    </row>
    <row r="962" spans="1:10" x14ac:dyDescent="0.25">
      <c r="A962" s="7" t="s">
        <v>2244</v>
      </c>
      <c r="B962" s="8">
        <v>393.75</v>
      </c>
      <c r="C962" s="8">
        <v>20.531590000000001</v>
      </c>
      <c r="D962" s="8">
        <v>60</v>
      </c>
      <c r="E962" s="8">
        <v>0</v>
      </c>
      <c r="F962" s="8">
        <v>0</v>
      </c>
      <c r="G962" s="8">
        <v>13</v>
      </c>
      <c r="H962" s="8" t="s">
        <v>2245</v>
      </c>
      <c r="I962" s="8">
        <v>526.6875</v>
      </c>
      <c r="J962" s="3">
        <f t="shared" ref="J962:J1025" si="15">(H962/86400000)+25569+(7/24)</f>
        <v>43747.506493020832</v>
      </c>
    </row>
    <row r="963" spans="1:10" x14ac:dyDescent="0.25">
      <c r="A963" s="5" t="s">
        <v>2246</v>
      </c>
      <c r="B963" s="6">
        <v>412.5</v>
      </c>
      <c r="C963" s="6">
        <v>20.478950000000001</v>
      </c>
      <c r="D963" s="6">
        <v>59</v>
      </c>
      <c r="E963" s="6">
        <v>0</v>
      </c>
      <c r="F963" s="6">
        <v>0</v>
      </c>
      <c r="G963" s="6">
        <v>13</v>
      </c>
      <c r="H963" s="6" t="s">
        <v>2247</v>
      </c>
      <c r="I963" s="6">
        <v>532.3125</v>
      </c>
      <c r="J963" s="2">
        <f t="shared" si="15"/>
        <v>43747.506576504624</v>
      </c>
    </row>
    <row r="964" spans="1:10" x14ac:dyDescent="0.25">
      <c r="A964" s="7" t="s">
        <v>2248</v>
      </c>
      <c r="B964" s="8">
        <v>393.75</v>
      </c>
      <c r="C964" s="8">
        <v>20.478950000000001</v>
      </c>
      <c r="D964" s="8">
        <v>59</v>
      </c>
      <c r="E964" s="8">
        <v>0</v>
      </c>
      <c r="F964" s="8">
        <v>0</v>
      </c>
      <c r="G964" s="8">
        <v>8</v>
      </c>
      <c r="H964" s="8" t="s">
        <v>2249</v>
      </c>
      <c r="I964" s="8">
        <v>526.6875</v>
      </c>
      <c r="J964" s="3">
        <f t="shared" si="15"/>
        <v>43747.506659826387</v>
      </c>
    </row>
    <row r="965" spans="1:10" x14ac:dyDescent="0.25">
      <c r="A965" s="5" t="s">
        <v>2250</v>
      </c>
      <c r="B965" s="6">
        <v>393.75</v>
      </c>
      <c r="C965" s="6">
        <v>20.531590000000001</v>
      </c>
      <c r="D965" s="6">
        <v>60</v>
      </c>
      <c r="E965" s="6">
        <v>0</v>
      </c>
      <c r="F965" s="6">
        <v>0</v>
      </c>
      <c r="G965" s="6">
        <v>0</v>
      </c>
      <c r="H965" s="6" t="s">
        <v>2251</v>
      </c>
      <c r="I965" s="6">
        <v>526.6875</v>
      </c>
      <c r="J965" s="2">
        <f t="shared" si="15"/>
        <v>43747.506743391197</v>
      </c>
    </row>
    <row r="966" spans="1:10" x14ac:dyDescent="0.25">
      <c r="A966" s="7" t="s">
        <v>2252</v>
      </c>
      <c r="B966" s="8">
        <v>393.75</v>
      </c>
      <c r="C966" s="8">
        <v>20.531590000000001</v>
      </c>
      <c r="D966" s="8">
        <v>55</v>
      </c>
      <c r="E966" s="8">
        <v>0</v>
      </c>
      <c r="F966" s="8">
        <v>0</v>
      </c>
      <c r="G966" s="8">
        <v>15</v>
      </c>
      <c r="H966" s="8" t="s">
        <v>2253</v>
      </c>
      <c r="I966" s="8">
        <v>526.6875</v>
      </c>
      <c r="J966" s="3">
        <f t="shared" si="15"/>
        <v>43747.50682672453</v>
      </c>
    </row>
    <row r="967" spans="1:10" x14ac:dyDescent="0.25">
      <c r="A967" s="5" t="s">
        <v>2254</v>
      </c>
      <c r="B967" s="6">
        <v>393.75</v>
      </c>
      <c r="C967" s="6">
        <v>20.531590000000001</v>
      </c>
      <c r="D967" s="6">
        <v>56</v>
      </c>
      <c r="E967" s="6">
        <v>0</v>
      </c>
      <c r="F967" s="6">
        <v>0</v>
      </c>
      <c r="G967" s="6">
        <v>8</v>
      </c>
      <c r="H967" s="6" t="s">
        <v>2255</v>
      </c>
      <c r="I967" s="6">
        <v>526.6875</v>
      </c>
      <c r="J967" s="2">
        <f t="shared" si="15"/>
        <v>43747.506917245373</v>
      </c>
    </row>
    <row r="968" spans="1:10" x14ac:dyDescent="0.25">
      <c r="A968" s="7" t="s">
        <v>2256</v>
      </c>
      <c r="B968" s="8">
        <v>393.75</v>
      </c>
      <c r="C968" s="8">
        <v>20.478950000000001</v>
      </c>
      <c r="D968" s="8">
        <v>56</v>
      </c>
      <c r="E968" s="8">
        <v>0</v>
      </c>
      <c r="F968" s="8">
        <v>0</v>
      </c>
      <c r="G968" s="8">
        <v>10</v>
      </c>
      <c r="H968" s="8" t="s">
        <v>2257</v>
      </c>
      <c r="I968" s="8">
        <v>526.6875</v>
      </c>
      <c r="J968" s="3">
        <f t="shared" si="15"/>
        <v>43747.506993483796</v>
      </c>
    </row>
    <row r="969" spans="1:10" x14ac:dyDescent="0.25">
      <c r="A969" s="5" t="s">
        <v>2258</v>
      </c>
      <c r="B969" s="6">
        <v>393.75</v>
      </c>
      <c r="C969" s="6">
        <v>20.531590000000001</v>
      </c>
      <c r="D969" s="6">
        <v>57</v>
      </c>
      <c r="E969" s="6">
        <v>0</v>
      </c>
      <c r="F969" s="6">
        <v>0</v>
      </c>
      <c r="G969" s="6">
        <v>9</v>
      </c>
      <c r="H969" s="6" t="s">
        <v>2259</v>
      </c>
      <c r="I969" s="6">
        <v>526.6875</v>
      </c>
      <c r="J969" s="2">
        <f t="shared" si="15"/>
        <v>43747.507077523151</v>
      </c>
    </row>
    <row r="970" spans="1:10" x14ac:dyDescent="0.25">
      <c r="A970" s="7" t="s">
        <v>2260</v>
      </c>
      <c r="B970" s="8">
        <v>393.75</v>
      </c>
      <c r="C970" s="8">
        <v>20.531590000000001</v>
      </c>
      <c r="D970" s="8">
        <v>57</v>
      </c>
      <c r="E970" s="8">
        <v>0</v>
      </c>
      <c r="F970" s="8">
        <v>0</v>
      </c>
      <c r="G970" s="8">
        <v>5</v>
      </c>
      <c r="H970" s="8" t="s">
        <v>2261</v>
      </c>
      <c r="I970" s="8">
        <v>526.6875</v>
      </c>
      <c r="J970" s="3">
        <f t="shared" si="15"/>
        <v>43747.507160856483</v>
      </c>
    </row>
    <row r="971" spans="1:10" x14ac:dyDescent="0.25">
      <c r="A971" s="5" t="s">
        <v>2262</v>
      </c>
      <c r="B971" s="6">
        <v>393.75</v>
      </c>
      <c r="C971" s="6">
        <v>20.531590000000001</v>
      </c>
      <c r="D971" s="6">
        <v>57</v>
      </c>
      <c r="E971" s="6">
        <v>0</v>
      </c>
      <c r="F971" s="6">
        <v>0</v>
      </c>
      <c r="G971" s="6">
        <v>18</v>
      </c>
      <c r="H971" s="6" t="s">
        <v>2263</v>
      </c>
      <c r="I971" s="6">
        <v>526.5</v>
      </c>
      <c r="J971" s="2">
        <f t="shared" si="15"/>
        <v>43747.507233101853</v>
      </c>
    </row>
    <row r="972" spans="1:10" x14ac:dyDescent="0.25">
      <c r="A972" s="7" t="s">
        <v>2264</v>
      </c>
      <c r="B972" s="8">
        <v>393.75</v>
      </c>
      <c r="C972" s="8">
        <v>20.531590000000001</v>
      </c>
      <c r="D972" s="8">
        <v>57</v>
      </c>
      <c r="E972" s="8">
        <v>0</v>
      </c>
      <c r="F972" s="8">
        <v>0</v>
      </c>
      <c r="G972" s="8">
        <v>10</v>
      </c>
      <c r="H972" s="8" t="s">
        <v>2265</v>
      </c>
      <c r="I972" s="8">
        <v>526.6875</v>
      </c>
      <c r="J972" s="3">
        <f t="shared" si="15"/>
        <v>43747.507315613424</v>
      </c>
    </row>
    <row r="973" spans="1:10" x14ac:dyDescent="0.25">
      <c r="A973" s="5" t="s">
        <v>2266</v>
      </c>
      <c r="B973" s="6">
        <v>393.75</v>
      </c>
      <c r="C973" s="6">
        <v>20.531590000000001</v>
      </c>
      <c r="D973" s="6">
        <v>57</v>
      </c>
      <c r="E973" s="6">
        <v>0</v>
      </c>
      <c r="F973" s="6">
        <v>0</v>
      </c>
      <c r="G973" s="6">
        <v>3</v>
      </c>
      <c r="H973" s="6" t="s">
        <v>2267</v>
      </c>
      <c r="I973" s="6">
        <v>526.6875</v>
      </c>
      <c r="J973" s="2">
        <f t="shared" si="15"/>
        <v>43747.507399178234</v>
      </c>
    </row>
    <row r="974" spans="1:10" x14ac:dyDescent="0.25">
      <c r="A974" s="7" t="s">
        <v>2268</v>
      </c>
      <c r="B974" s="8">
        <v>393.75</v>
      </c>
      <c r="C974" s="8">
        <v>20.584240000000001</v>
      </c>
      <c r="D974" s="8">
        <v>56</v>
      </c>
      <c r="E974" s="8">
        <v>0</v>
      </c>
      <c r="F974" s="8">
        <v>0</v>
      </c>
      <c r="G974" s="8">
        <v>11</v>
      </c>
      <c r="H974" s="8" t="s">
        <v>2269</v>
      </c>
      <c r="I974" s="8">
        <v>526.6875</v>
      </c>
      <c r="J974" s="3">
        <f t="shared" si="15"/>
        <v>43747.507482280089</v>
      </c>
    </row>
    <row r="975" spans="1:10" x14ac:dyDescent="0.25">
      <c r="A975" s="5" t="s">
        <v>2270</v>
      </c>
      <c r="B975" s="6">
        <v>412.5</v>
      </c>
      <c r="C975" s="6">
        <v>20.584240000000001</v>
      </c>
      <c r="D975" s="6">
        <v>56</v>
      </c>
      <c r="E975" s="6">
        <v>0</v>
      </c>
      <c r="F975" s="6">
        <v>0</v>
      </c>
      <c r="G975" s="6">
        <v>7</v>
      </c>
      <c r="H975" s="6" t="s">
        <v>2271</v>
      </c>
      <c r="I975" s="6">
        <v>532.125</v>
      </c>
      <c r="J975" s="2">
        <f t="shared" si="15"/>
        <v>43747.507566076391</v>
      </c>
    </row>
    <row r="976" spans="1:10" x14ac:dyDescent="0.25">
      <c r="A976" s="7" t="s">
        <v>2272</v>
      </c>
      <c r="B976" s="8">
        <v>393.75</v>
      </c>
      <c r="C976" s="8">
        <v>20.478950000000001</v>
      </c>
      <c r="D976" s="8">
        <v>57</v>
      </c>
      <c r="E976" s="8">
        <v>0</v>
      </c>
      <c r="F976" s="8">
        <v>0</v>
      </c>
      <c r="G976" s="8">
        <v>3</v>
      </c>
      <c r="H976" s="8" t="s">
        <v>2273</v>
      </c>
      <c r="I976" s="8">
        <v>526.6875</v>
      </c>
      <c r="J976" s="3">
        <f t="shared" si="15"/>
        <v>43747.507649756946</v>
      </c>
    </row>
    <row r="977" spans="1:10" x14ac:dyDescent="0.25">
      <c r="A977" s="5" t="s">
        <v>2274</v>
      </c>
      <c r="B977" s="6">
        <v>393.75</v>
      </c>
      <c r="C977" s="6">
        <v>20.478950000000001</v>
      </c>
      <c r="D977" s="6">
        <v>56</v>
      </c>
      <c r="E977" s="6">
        <v>0</v>
      </c>
      <c r="F977" s="6">
        <v>0</v>
      </c>
      <c r="G977" s="6">
        <v>8</v>
      </c>
      <c r="H977" s="6" t="s">
        <v>2275</v>
      </c>
      <c r="I977" s="6">
        <v>526.5</v>
      </c>
      <c r="J977" s="2">
        <f t="shared" si="15"/>
        <v>43747.507721041664</v>
      </c>
    </row>
    <row r="978" spans="1:10" x14ac:dyDescent="0.25">
      <c r="A978" s="7" t="s">
        <v>2276</v>
      </c>
      <c r="B978" s="8">
        <v>393.75</v>
      </c>
      <c r="C978" s="8">
        <v>20.478950000000001</v>
      </c>
      <c r="D978" s="8">
        <v>57</v>
      </c>
      <c r="E978" s="8">
        <v>0</v>
      </c>
      <c r="F978" s="8">
        <v>0</v>
      </c>
      <c r="G978" s="8">
        <v>2</v>
      </c>
      <c r="H978" s="8" t="s">
        <v>2277</v>
      </c>
      <c r="I978" s="8">
        <v>526.6875</v>
      </c>
      <c r="J978" s="3">
        <f t="shared" si="15"/>
        <v>43747.507804502311</v>
      </c>
    </row>
    <row r="979" spans="1:10" x14ac:dyDescent="0.25">
      <c r="A979" s="5" t="s">
        <v>2278</v>
      </c>
      <c r="B979" s="6">
        <v>393.75</v>
      </c>
      <c r="C979" s="6">
        <v>20.478950000000001</v>
      </c>
      <c r="D979" s="6">
        <v>57</v>
      </c>
      <c r="E979" s="6">
        <v>0</v>
      </c>
      <c r="F979" s="6">
        <v>0</v>
      </c>
      <c r="G979" s="6">
        <v>7</v>
      </c>
      <c r="H979" s="6" t="s">
        <v>2279</v>
      </c>
      <c r="I979" s="6">
        <v>526.6875</v>
      </c>
      <c r="J979" s="2">
        <f t="shared" si="15"/>
        <v>43747.507888807864</v>
      </c>
    </row>
    <row r="980" spans="1:10" x14ac:dyDescent="0.25">
      <c r="A980" s="7" t="s">
        <v>2280</v>
      </c>
      <c r="B980" s="8">
        <v>412.5</v>
      </c>
      <c r="C980" s="8">
        <v>20.531590000000001</v>
      </c>
      <c r="D980" s="8">
        <v>57</v>
      </c>
      <c r="E980" s="8">
        <v>0</v>
      </c>
      <c r="F980" s="8">
        <v>0</v>
      </c>
      <c r="G980" s="8">
        <v>9</v>
      </c>
      <c r="H980" s="8" t="s">
        <v>2281</v>
      </c>
      <c r="I980" s="8">
        <v>532.3125</v>
      </c>
      <c r="J980" s="3">
        <f t="shared" si="15"/>
        <v>43747.5079711574</v>
      </c>
    </row>
    <row r="981" spans="1:10" x14ac:dyDescent="0.25">
      <c r="A981" s="5" t="s">
        <v>2282</v>
      </c>
      <c r="B981" s="6">
        <v>393.75</v>
      </c>
      <c r="C981" s="6">
        <v>20.478950000000001</v>
      </c>
      <c r="D981" s="6">
        <v>57</v>
      </c>
      <c r="E981" s="6">
        <v>0</v>
      </c>
      <c r="F981" s="6">
        <v>0</v>
      </c>
      <c r="G981" s="6">
        <v>10</v>
      </c>
      <c r="H981" s="6" t="s">
        <v>2283</v>
      </c>
      <c r="I981" s="6">
        <v>526.6875</v>
      </c>
      <c r="J981" s="2">
        <f t="shared" si="15"/>
        <v>43747.508042916663</v>
      </c>
    </row>
    <row r="982" spans="1:10" x14ac:dyDescent="0.25">
      <c r="A982" s="7" t="s">
        <v>2284</v>
      </c>
      <c r="B982" s="8">
        <v>393.75</v>
      </c>
      <c r="C982" s="8">
        <v>20.531590000000001</v>
      </c>
      <c r="D982" s="8">
        <v>55</v>
      </c>
      <c r="E982" s="8">
        <v>0</v>
      </c>
      <c r="F982" s="8">
        <v>0</v>
      </c>
      <c r="G982" s="8">
        <v>0</v>
      </c>
      <c r="H982" s="8" t="s">
        <v>2285</v>
      </c>
      <c r="I982" s="8">
        <v>526.6875</v>
      </c>
      <c r="J982" s="3">
        <f t="shared" si="15"/>
        <v>43747.50812648148</v>
      </c>
    </row>
    <row r="983" spans="1:10" x14ac:dyDescent="0.25">
      <c r="A983" s="5" t="s">
        <v>2286</v>
      </c>
      <c r="B983" s="6">
        <v>393.75</v>
      </c>
      <c r="C983" s="6">
        <v>20.531590000000001</v>
      </c>
      <c r="D983" s="6">
        <v>55</v>
      </c>
      <c r="E983" s="6">
        <v>0</v>
      </c>
      <c r="F983" s="6">
        <v>0</v>
      </c>
      <c r="G983" s="6">
        <v>6</v>
      </c>
      <c r="H983" s="6" t="s">
        <v>2287</v>
      </c>
      <c r="I983" s="6">
        <v>526.6875</v>
      </c>
      <c r="J983" s="2">
        <f t="shared" si="15"/>
        <v>43747.508210034721</v>
      </c>
    </row>
    <row r="984" spans="1:10" x14ac:dyDescent="0.25">
      <c r="A984" s="7" t="s">
        <v>2288</v>
      </c>
      <c r="B984" s="8">
        <v>393.75</v>
      </c>
      <c r="C984" s="8">
        <v>20.531590000000001</v>
      </c>
      <c r="D984" s="8">
        <v>60</v>
      </c>
      <c r="E984" s="8">
        <v>0</v>
      </c>
      <c r="F984" s="8">
        <v>0</v>
      </c>
      <c r="G984" s="8">
        <v>6</v>
      </c>
      <c r="H984" s="8" t="s">
        <v>2289</v>
      </c>
      <c r="I984" s="8">
        <v>526.6875</v>
      </c>
      <c r="J984" s="3">
        <f t="shared" si="15"/>
        <v>43747.508293391198</v>
      </c>
    </row>
    <row r="985" spans="1:10" x14ac:dyDescent="0.25">
      <c r="A985" s="5" t="s">
        <v>2290</v>
      </c>
      <c r="B985" s="6">
        <v>428.125</v>
      </c>
      <c r="C985" s="6">
        <v>20.531590000000001</v>
      </c>
      <c r="D985" s="6">
        <v>60</v>
      </c>
      <c r="E985" s="6">
        <v>0</v>
      </c>
      <c r="F985" s="6">
        <v>0</v>
      </c>
      <c r="G985" s="6">
        <v>7</v>
      </c>
      <c r="H985" s="6" t="s">
        <v>2291</v>
      </c>
      <c r="I985" s="6">
        <v>537.1875</v>
      </c>
      <c r="J985" s="2">
        <f t="shared" si="15"/>
        <v>43747.5083768287</v>
      </c>
    </row>
    <row r="986" spans="1:10" x14ac:dyDescent="0.25">
      <c r="A986" s="7" t="s">
        <v>2292</v>
      </c>
      <c r="B986" s="8">
        <v>393.75</v>
      </c>
      <c r="C986" s="8">
        <v>20.531590000000001</v>
      </c>
      <c r="D986" s="8">
        <v>60</v>
      </c>
      <c r="E986" s="8">
        <v>0</v>
      </c>
      <c r="F986" s="8">
        <v>0</v>
      </c>
      <c r="G986" s="8">
        <v>0</v>
      </c>
      <c r="H986" s="8" t="s">
        <v>2293</v>
      </c>
      <c r="I986" s="8">
        <v>526.6875</v>
      </c>
      <c r="J986" s="3">
        <f t="shared" si="15"/>
        <v>43747.508460046294</v>
      </c>
    </row>
    <row r="987" spans="1:10" x14ac:dyDescent="0.25">
      <c r="A987" s="5" t="s">
        <v>2294</v>
      </c>
      <c r="B987" s="6">
        <v>393.75</v>
      </c>
      <c r="C987" s="6">
        <v>20.478950000000001</v>
      </c>
      <c r="D987" s="6">
        <v>60</v>
      </c>
      <c r="E987" s="6">
        <v>0</v>
      </c>
      <c r="F987" s="6">
        <v>0</v>
      </c>
      <c r="G987" s="6">
        <v>5</v>
      </c>
      <c r="H987" s="6" t="s">
        <v>2295</v>
      </c>
      <c r="I987" s="6">
        <v>526.6875</v>
      </c>
      <c r="J987" s="2">
        <f t="shared" si="15"/>
        <v>43747.508531805557</v>
      </c>
    </row>
    <row r="988" spans="1:10" x14ac:dyDescent="0.25">
      <c r="A988" s="7" t="s">
        <v>2296</v>
      </c>
      <c r="B988" s="8">
        <v>393.75</v>
      </c>
      <c r="C988" s="8">
        <v>20.584240000000001</v>
      </c>
      <c r="D988" s="8">
        <v>61</v>
      </c>
      <c r="E988" s="8">
        <v>0</v>
      </c>
      <c r="F988" s="8">
        <v>0</v>
      </c>
      <c r="G988" s="8">
        <v>10</v>
      </c>
      <c r="H988" s="8" t="s">
        <v>2297</v>
      </c>
      <c r="I988" s="8">
        <v>526.5</v>
      </c>
      <c r="J988" s="3">
        <f t="shared" si="15"/>
        <v>43747.508615266204</v>
      </c>
    </row>
    <row r="989" spans="1:10" x14ac:dyDescent="0.25">
      <c r="A989" s="5" t="s">
        <v>2298</v>
      </c>
      <c r="B989" s="6">
        <v>393.75</v>
      </c>
      <c r="C989" s="6">
        <v>20.531590000000001</v>
      </c>
      <c r="D989" s="6">
        <v>61</v>
      </c>
      <c r="E989" s="6">
        <v>0</v>
      </c>
      <c r="F989" s="6">
        <v>0</v>
      </c>
      <c r="G989" s="6">
        <v>8</v>
      </c>
      <c r="H989" s="6" t="s">
        <v>2299</v>
      </c>
      <c r="I989" s="6">
        <v>526.6875</v>
      </c>
      <c r="J989" s="2">
        <f t="shared" si="15"/>
        <v>43747.508698831014</v>
      </c>
    </row>
    <row r="990" spans="1:10" x14ac:dyDescent="0.25">
      <c r="A990" s="7" t="s">
        <v>2300</v>
      </c>
      <c r="B990" s="8">
        <v>421.875</v>
      </c>
      <c r="C990" s="8">
        <v>20.531590000000001</v>
      </c>
      <c r="D990" s="8">
        <v>61</v>
      </c>
      <c r="E990" s="8">
        <v>0</v>
      </c>
      <c r="F990" s="8">
        <v>0</v>
      </c>
      <c r="G990" s="8">
        <v>2</v>
      </c>
      <c r="H990" s="8" t="s">
        <v>2301</v>
      </c>
      <c r="I990" s="8">
        <v>535.6875</v>
      </c>
      <c r="J990" s="3">
        <f t="shared" si="15"/>
        <v>43747.508782280092</v>
      </c>
    </row>
    <row r="991" spans="1:10" x14ac:dyDescent="0.25">
      <c r="A991" s="5" t="s">
        <v>2302</v>
      </c>
      <c r="B991" s="6">
        <v>393.75</v>
      </c>
      <c r="C991" s="6">
        <v>20.531590000000001</v>
      </c>
      <c r="D991" s="6">
        <v>61</v>
      </c>
      <c r="E991" s="6">
        <v>0</v>
      </c>
      <c r="F991" s="6">
        <v>0</v>
      </c>
      <c r="G991" s="6">
        <v>6</v>
      </c>
      <c r="H991" s="6" t="s">
        <v>2303</v>
      </c>
      <c r="I991" s="6">
        <v>526.6875</v>
      </c>
      <c r="J991" s="2">
        <f t="shared" si="15"/>
        <v>43747.508865717587</v>
      </c>
    </row>
    <row r="992" spans="1:10" x14ac:dyDescent="0.25">
      <c r="A992" s="7" t="s">
        <v>2304</v>
      </c>
      <c r="B992" s="8">
        <v>393.75</v>
      </c>
      <c r="C992" s="8">
        <v>20.531590000000001</v>
      </c>
      <c r="D992" s="8">
        <v>61</v>
      </c>
      <c r="E992" s="8">
        <v>0</v>
      </c>
      <c r="F992" s="8">
        <v>0</v>
      </c>
      <c r="G992" s="8">
        <v>11</v>
      </c>
      <c r="H992" s="8" t="s">
        <v>2305</v>
      </c>
      <c r="I992" s="8">
        <v>526.5</v>
      </c>
      <c r="J992" s="3">
        <f t="shared" si="15"/>
        <v>43747.508948958326</v>
      </c>
    </row>
    <row r="993" spans="1:10" x14ac:dyDescent="0.25">
      <c r="A993" s="5" t="s">
        <v>2306</v>
      </c>
      <c r="B993" s="6">
        <v>393.75</v>
      </c>
      <c r="C993" s="6">
        <v>20.531590000000001</v>
      </c>
      <c r="D993" s="6">
        <v>61</v>
      </c>
      <c r="E993" s="6">
        <v>0</v>
      </c>
      <c r="F993" s="6">
        <v>0</v>
      </c>
      <c r="G993" s="6">
        <v>16</v>
      </c>
      <c r="H993" s="6" t="s">
        <v>2307</v>
      </c>
      <c r="I993" s="6">
        <v>526.6875</v>
      </c>
      <c r="J993" s="2">
        <f t="shared" si="15"/>
        <v>43747.509032604161</v>
      </c>
    </row>
    <row r="994" spans="1:10" x14ac:dyDescent="0.25">
      <c r="A994" s="7" t="s">
        <v>2308</v>
      </c>
      <c r="B994" s="8">
        <v>393.75</v>
      </c>
      <c r="C994" s="8">
        <v>20.584240000000001</v>
      </c>
      <c r="D994" s="8">
        <v>61</v>
      </c>
      <c r="E994" s="8">
        <v>0</v>
      </c>
      <c r="F994" s="8">
        <v>0</v>
      </c>
      <c r="G994" s="8">
        <v>9</v>
      </c>
      <c r="H994" s="8" t="s">
        <v>2309</v>
      </c>
      <c r="I994" s="8">
        <v>526.6875</v>
      </c>
      <c r="J994" s="3">
        <f t="shared" si="15"/>
        <v>43747.509124733791</v>
      </c>
    </row>
    <row r="995" spans="1:10" x14ac:dyDescent="0.25">
      <c r="A995" s="5" t="s">
        <v>2310</v>
      </c>
      <c r="B995" s="6">
        <v>393.75</v>
      </c>
      <c r="C995" s="6">
        <v>20.478950000000001</v>
      </c>
      <c r="D995" s="6">
        <v>61</v>
      </c>
      <c r="E995" s="6">
        <v>0</v>
      </c>
      <c r="F995" s="6">
        <v>0</v>
      </c>
      <c r="G995" s="6">
        <v>7</v>
      </c>
      <c r="H995" s="6" t="s">
        <v>2311</v>
      </c>
      <c r="I995" s="6">
        <v>526.5</v>
      </c>
      <c r="J995" s="2">
        <f t="shared" si="15"/>
        <v>43747.509199513886</v>
      </c>
    </row>
    <row r="996" spans="1:10" x14ac:dyDescent="0.25">
      <c r="A996" s="7" t="s">
        <v>2312</v>
      </c>
      <c r="B996" s="8">
        <v>393.75</v>
      </c>
      <c r="C996" s="8">
        <v>20.584240000000001</v>
      </c>
      <c r="D996" s="8">
        <v>61</v>
      </c>
      <c r="E996" s="8">
        <v>0</v>
      </c>
      <c r="F996" s="8">
        <v>0</v>
      </c>
      <c r="G996" s="8">
        <v>12</v>
      </c>
      <c r="H996" s="8" t="s">
        <v>2313</v>
      </c>
      <c r="I996" s="8">
        <v>526.6875</v>
      </c>
      <c r="J996" s="3">
        <f t="shared" si="15"/>
        <v>43747.509283078696</v>
      </c>
    </row>
    <row r="997" spans="1:10" x14ac:dyDescent="0.25">
      <c r="A997" s="5" t="s">
        <v>2314</v>
      </c>
      <c r="B997" s="6">
        <v>425</v>
      </c>
      <c r="C997" s="6">
        <v>20.531590000000001</v>
      </c>
      <c r="D997" s="6">
        <v>60</v>
      </c>
      <c r="E997" s="6">
        <v>0</v>
      </c>
      <c r="F997" s="6">
        <v>0</v>
      </c>
      <c r="G997" s="6">
        <v>8</v>
      </c>
      <c r="H997" s="6" t="s">
        <v>2315</v>
      </c>
      <c r="I997" s="6">
        <v>536.625</v>
      </c>
      <c r="J997" s="2">
        <f t="shared" si="15"/>
        <v>43747.509354490736</v>
      </c>
    </row>
    <row r="998" spans="1:10" x14ac:dyDescent="0.25">
      <c r="A998" s="7" t="s">
        <v>2316</v>
      </c>
      <c r="B998" s="8">
        <v>393.75</v>
      </c>
      <c r="C998" s="8">
        <v>20.531590000000001</v>
      </c>
      <c r="D998" s="8">
        <v>60</v>
      </c>
      <c r="E998" s="8">
        <v>0</v>
      </c>
      <c r="F998" s="8">
        <v>0</v>
      </c>
      <c r="G998" s="8">
        <v>5</v>
      </c>
      <c r="H998" s="8" t="s">
        <v>2317</v>
      </c>
      <c r="I998" s="8">
        <v>526.5</v>
      </c>
      <c r="J998" s="3">
        <f t="shared" si="15"/>
        <v>43747.509437754627</v>
      </c>
    </row>
    <row r="999" spans="1:10" x14ac:dyDescent="0.25">
      <c r="A999" s="5" t="s">
        <v>2318</v>
      </c>
      <c r="B999" s="6">
        <v>393.75</v>
      </c>
      <c r="C999" s="6">
        <v>20.531590000000001</v>
      </c>
      <c r="D999" s="6">
        <v>60</v>
      </c>
      <c r="E999" s="6">
        <v>0</v>
      </c>
      <c r="F999" s="6">
        <v>0</v>
      </c>
      <c r="G999" s="6">
        <v>12</v>
      </c>
      <c r="H999" s="6" t="s">
        <v>2319</v>
      </c>
      <c r="I999" s="6">
        <v>526.6875</v>
      </c>
      <c r="J999" s="2">
        <f t="shared" si="15"/>
        <v>43747.509509583331</v>
      </c>
    </row>
    <row r="1000" spans="1:10" x14ac:dyDescent="0.25">
      <c r="A1000" s="7" t="s">
        <v>2320</v>
      </c>
      <c r="B1000" s="8">
        <v>393.75</v>
      </c>
      <c r="C1000" s="8">
        <v>20.531590000000001</v>
      </c>
      <c r="D1000" s="8">
        <v>60</v>
      </c>
      <c r="E1000" s="8">
        <v>0</v>
      </c>
      <c r="F1000" s="8">
        <v>0</v>
      </c>
      <c r="G1000" s="8">
        <v>7</v>
      </c>
      <c r="H1000" s="8" t="s">
        <v>2321</v>
      </c>
      <c r="I1000" s="8">
        <v>526.6875</v>
      </c>
      <c r="J1000" s="3">
        <f t="shared" si="15"/>
        <v>43747.509593043978</v>
      </c>
    </row>
    <row r="1001" spans="1:10" x14ac:dyDescent="0.25">
      <c r="A1001" s="5" t="s">
        <v>2322</v>
      </c>
      <c r="B1001" s="6">
        <v>393.75</v>
      </c>
      <c r="C1001" s="6">
        <v>20.531590000000001</v>
      </c>
      <c r="D1001" s="6">
        <v>60</v>
      </c>
      <c r="E1001" s="6">
        <v>0</v>
      </c>
      <c r="F1001" s="6">
        <v>0</v>
      </c>
      <c r="G1001" s="6">
        <v>8</v>
      </c>
      <c r="H1001" s="6" t="s">
        <v>2323</v>
      </c>
      <c r="I1001" s="6">
        <v>526.6875</v>
      </c>
      <c r="J1001" s="2">
        <f t="shared" si="15"/>
        <v>43747.509676469905</v>
      </c>
    </row>
    <row r="1002" spans="1:10" x14ac:dyDescent="0.25">
      <c r="A1002" s="7" t="s">
        <v>2324</v>
      </c>
      <c r="B1002" s="8">
        <v>393.75</v>
      </c>
      <c r="C1002" s="8">
        <v>20.531590000000001</v>
      </c>
      <c r="D1002" s="8">
        <v>59</v>
      </c>
      <c r="E1002" s="8">
        <v>0</v>
      </c>
      <c r="F1002" s="8">
        <v>0</v>
      </c>
      <c r="G1002" s="8">
        <v>10</v>
      </c>
      <c r="H1002" s="8" t="s">
        <v>2325</v>
      </c>
      <c r="I1002" s="8">
        <v>526.6875</v>
      </c>
      <c r="J1002" s="3">
        <f t="shared" si="15"/>
        <v>43747.509760034714</v>
      </c>
    </row>
    <row r="1003" spans="1:10" x14ac:dyDescent="0.25">
      <c r="A1003" s="5" t="s">
        <v>2326</v>
      </c>
      <c r="B1003" s="6">
        <v>393.75</v>
      </c>
      <c r="C1003" s="6">
        <v>20.478950000000001</v>
      </c>
      <c r="D1003" s="6">
        <v>58</v>
      </c>
      <c r="E1003" s="6">
        <v>0</v>
      </c>
      <c r="F1003" s="6">
        <v>0</v>
      </c>
      <c r="G1003" s="6">
        <v>16</v>
      </c>
      <c r="H1003" s="6" t="s">
        <v>2327</v>
      </c>
      <c r="I1003" s="6">
        <v>526.5</v>
      </c>
      <c r="J1003" s="2">
        <f t="shared" si="15"/>
        <v>43747.50984337963</v>
      </c>
    </row>
    <row r="1004" spans="1:10" x14ac:dyDescent="0.25">
      <c r="A1004" s="7" t="s">
        <v>2328</v>
      </c>
      <c r="B1004" s="8">
        <v>393.75</v>
      </c>
      <c r="C1004" s="8">
        <v>20.584240000000001</v>
      </c>
      <c r="D1004" s="8">
        <v>58</v>
      </c>
      <c r="E1004" s="8">
        <v>0</v>
      </c>
      <c r="F1004" s="8">
        <v>0</v>
      </c>
      <c r="G1004" s="8">
        <v>10</v>
      </c>
      <c r="H1004" s="8" t="s">
        <v>2329</v>
      </c>
      <c r="I1004" s="8">
        <v>526.6875</v>
      </c>
      <c r="J1004" s="3">
        <f t="shared" si="15"/>
        <v>43747.509926701387</v>
      </c>
    </row>
    <row r="1005" spans="1:10" x14ac:dyDescent="0.25">
      <c r="A1005" s="5" t="s">
        <v>2330</v>
      </c>
      <c r="B1005" s="6">
        <v>412.5</v>
      </c>
      <c r="C1005" s="6">
        <v>20.531590000000001</v>
      </c>
      <c r="D1005" s="6">
        <v>58</v>
      </c>
      <c r="E1005" s="6">
        <v>0</v>
      </c>
      <c r="F1005" s="6">
        <v>0</v>
      </c>
      <c r="G1005" s="6">
        <v>5</v>
      </c>
      <c r="H1005" s="6" t="s">
        <v>2331</v>
      </c>
      <c r="I1005" s="6">
        <v>532.3125</v>
      </c>
      <c r="J1005" s="2">
        <f t="shared" si="15"/>
        <v>43747.510010254628</v>
      </c>
    </row>
    <row r="1006" spans="1:10" x14ac:dyDescent="0.25">
      <c r="A1006" s="7" t="s">
        <v>2332</v>
      </c>
      <c r="B1006" s="8">
        <v>393.75</v>
      </c>
      <c r="C1006" s="8">
        <v>20.584240000000001</v>
      </c>
      <c r="D1006" s="8">
        <v>57</v>
      </c>
      <c r="E1006" s="8">
        <v>0</v>
      </c>
      <c r="F1006" s="8">
        <v>0</v>
      </c>
      <c r="G1006" s="8">
        <v>10</v>
      </c>
      <c r="H1006" s="8" t="s">
        <v>2333</v>
      </c>
      <c r="I1006" s="8">
        <v>526.6875</v>
      </c>
      <c r="J1006" s="3">
        <f t="shared" si="15"/>
        <v>43747.51009348379</v>
      </c>
    </row>
    <row r="1007" spans="1:10" x14ac:dyDescent="0.25">
      <c r="A1007" s="5" t="s">
        <v>2334</v>
      </c>
      <c r="B1007" s="6">
        <v>393.75</v>
      </c>
      <c r="C1007" s="6">
        <v>20.584240000000001</v>
      </c>
      <c r="D1007" s="6">
        <v>57</v>
      </c>
      <c r="E1007" s="6">
        <v>0</v>
      </c>
      <c r="F1007" s="6">
        <v>0</v>
      </c>
      <c r="G1007" s="6">
        <v>21</v>
      </c>
      <c r="H1007" s="6" t="s">
        <v>2335</v>
      </c>
      <c r="I1007" s="6">
        <v>526.6875</v>
      </c>
      <c r="J1007" s="2">
        <f t="shared" si="15"/>
        <v>43747.510165023145</v>
      </c>
    </row>
    <row r="1008" spans="1:10" x14ac:dyDescent="0.25">
      <c r="A1008" s="7" t="s">
        <v>2336</v>
      </c>
      <c r="B1008" s="8">
        <v>393.75</v>
      </c>
      <c r="C1008" s="8">
        <v>20.584240000000001</v>
      </c>
      <c r="D1008" s="8">
        <v>57</v>
      </c>
      <c r="E1008" s="8">
        <v>0</v>
      </c>
      <c r="F1008" s="8">
        <v>0</v>
      </c>
      <c r="G1008" s="8">
        <v>10</v>
      </c>
      <c r="H1008" s="8" t="s">
        <v>2337</v>
      </c>
      <c r="I1008" s="8">
        <v>526.6875</v>
      </c>
      <c r="J1008" s="3">
        <f t="shared" si="15"/>
        <v>43747.510236539347</v>
      </c>
    </row>
    <row r="1009" spans="1:10" x14ac:dyDescent="0.25">
      <c r="A1009" s="5" t="s">
        <v>2338</v>
      </c>
      <c r="B1009" s="6">
        <v>393.75</v>
      </c>
      <c r="C1009" s="6">
        <v>20.531590000000001</v>
      </c>
      <c r="D1009" s="6">
        <v>59</v>
      </c>
      <c r="E1009" s="6">
        <v>0</v>
      </c>
      <c r="F1009" s="6">
        <v>0</v>
      </c>
      <c r="G1009" s="6">
        <v>2</v>
      </c>
      <c r="H1009" s="6" t="s">
        <v>2339</v>
      </c>
      <c r="I1009" s="6">
        <v>526.6875</v>
      </c>
      <c r="J1009" s="2">
        <f t="shared" si="15"/>
        <v>43747.510320324072</v>
      </c>
    </row>
    <row r="1010" spans="1:10" x14ac:dyDescent="0.25">
      <c r="A1010" s="7" t="s">
        <v>2340</v>
      </c>
      <c r="B1010" s="8">
        <v>393.75</v>
      </c>
      <c r="C1010" s="8">
        <v>20.531590000000001</v>
      </c>
      <c r="D1010" s="8">
        <v>60</v>
      </c>
      <c r="E1010" s="8">
        <v>0</v>
      </c>
      <c r="F1010" s="8">
        <v>0</v>
      </c>
      <c r="G1010" s="8">
        <v>6</v>
      </c>
      <c r="H1010" s="8" t="s">
        <v>2341</v>
      </c>
      <c r="I1010" s="8">
        <v>526.6875</v>
      </c>
      <c r="J1010" s="3">
        <f t="shared" si="15"/>
        <v>43747.510391851851</v>
      </c>
    </row>
    <row r="1011" spans="1:10" x14ac:dyDescent="0.25">
      <c r="A1011" s="5" t="s">
        <v>2342</v>
      </c>
      <c r="B1011" s="6">
        <v>393.75</v>
      </c>
      <c r="C1011" s="6">
        <v>20.531590000000001</v>
      </c>
      <c r="D1011" s="6">
        <v>58</v>
      </c>
      <c r="E1011" s="6">
        <v>0</v>
      </c>
      <c r="F1011" s="6">
        <v>0</v>
      </c>
      <c r="G1011" s="6">
        <v>0</v>
      </c>
      <c r="H1011" s="6" t="s">
        <v>2343</v>
      </c>
      <c r="I1011" s="6">
        <v>526.6875</v>
      </c>
      <c r="J1011" s="2">
        <f t="shared" si="15"/>
        <v>43747.510474953706</v>
      </c>
    </row>
    <row r="1012" spans="1:10" x14ac:dyDescent="0.25">
      <c r="A1012" s="7" t="s">
        <v>2344</v>
      </c>
      <c r="B1012" s="8">
        <v>393.75</v>
      </c>
      <c r="C1012" s="8">
        <v>20.584240000000001</v>
      </c>
      <c r="D1012" s="8">
        <v>58</v>
      </c>
      <c r="E1012" s="8">
        <v>0</v>
      </c>
      <c r="F1012" s="8">
        <v>0</v>
      </c>
      <c r="G1012" s="8">
        <v>16</v>
      </c>
      <c r="H1012" s="8" t="s">
        <v>2345</v>
      </c>
      <c r="I1012" s="8">
        <v>526.5</v>
      </c>
      <c r="J1012" s="3">
        <f t="shared" si="15"/>
        <v>43747.51054625</v>
      </c>
    </row>
    <row r="1013" spans="1:10" x14ac:dyDescent="0.25">
      <c r="A1013" s="5" t="s">
        <v>2346</v>
      </c>
      <c r="B1013" s="6">
        <v>393.75</v>
      </c>
      <c r="C1013" s="6">
        <v>20.531590000000001</v>
      </c>
      <c r="D1013" s="6">
        <v>58</v>
      </c>
      <c r="E1013" s="6">
        <v>0</v>
      </c>
      <c r="F1013" s="6">
        <v>0</v>
      </c>
      <c r="G1013" s="6">
        <v>8</v>
      </c>
      <c r="H1013" s="6" t="s">
        <v>2347</v>
      </c>
      <c r="I1013" s="6">
        <v>526.6875</v>
      </c>
      <c r="J1013" s="2">
        <f t="shared" si="15"/>
        <v>43747.510618483793</v>
      </c>
    </row>
    <row r="1014" spans="1:10" x14ac:dyDescent="0.25">
      <c r="A1014" s="7" t="s">
        <v>2348</v>
      </c>
      <c r="B1014" s="8">
        <v>425</v>
      </c>
      <c r="C1014" s="8">
        <v>20.531590000000001</v>
      </c>
      <c r="D1014" s="8">
        <v>57</v>
      </c>
      <c r="E1014" s="8">
        <v>0</v>
      </c>
      <c r="F1014" s="8">
        <v>0</v>
      </c>
      <c r="G1014" s="8">
        <v>7</v>
      </c>
      <c r="H1014" s="8" t="s">
        <v>2349</v>
      </c>
      <c r="I1014" s="8">
        <v>536.0625</v>
      </c>
      <c r="J1014" s="3">
        <f t="shared" si="15"/>
        <v>43747.510701921296</v>
      </c>
    </row>
    <row r="1015" spans="1:10" x14ac:dyDescent="0.25">
      <c r="A1015" s="5" t="s">
        <v>2350</v>
      </c>
      <c r="B1015" s="6">
        <v>393.75</v>
      </c>
      <c r="C1015" s="6">
        <v>20.531590000000001</v>
      </c>
      <c r="D1015" s="6">
        <v>57</v>
      </c>
      <c r="E1015" s="6">
        <v>0</v>
      </c>
      <c r="F1015" s="6">
        <v>0</v>
      </c>
      <c r="G1015" s="6">
        <v>13</v>
      </c>
      <c r="H1015" s="6" t="s">
        <v>2351</v>
      </c>
      <c r="I1015" s="6">
        <v>526.6875</v>
      </c>
      <c r="J1015" s="2">
        <f t="shared" si="15"/>
        <v>43747.510785393511</v>
      </c>
    </row>
    <row r="1016" spans="1:10" x14ac:dyDescent="0.25">
      <c r="A1016" s="7" t="s">
        <v>2352</v>
      </c>
      <c r="B1016" s="8">
        <v>393.75</v>
      </c>
      <c r="C1016" s="8">
        <v>20.531590000000001</v>
      </c>
      <c r="D1016" s="8">
        <v>57</v>
      </c>
      <c r="E1016" s="8">
        <v>0</v>
      </c>
      <c r="F1016" s="8">
        <v>0</v>
      </c>
      <c r="G1016" s="8">
        <v>18</v>
      </c>
      <c r="H1016" s="8" t="s">
        <v>2353</v>
      </c>
      <c r="I1016" s="8">
        <v>526.6875</v>
      </c>
      <c r="J1016" s="3">
        <f t="shared" si="15"/>
        <v>43747.510868819438</v>
      </c>
    </row>
    <row r="1017" spans="1:10" x14ac:dyDescent="0.25">
      <c r="A1017" s="5" t="s">
        <v>2354</v>
      </c>
      <c r="B1017" s="6">
        <v>393.75</v>
      </c>
      <c r="C1017" s="6">
        <v>20.531590000000001</v>
      </c>
      <c r="D1017" s="6">
        <v>57</v>
      </c>
      <c r="E1017" s="6">
        <v>0</v>
      </c>
      <c r="F1017" s="6">
        <v>0</v>
      </c>
      <c r="G1017" s="6">
        <v>9</v>
      </c>
      <c r="H1017" s="6" t="s">
        <v>2355</v>
      </c>
      <c r="I1017" s="6">
        <v>526.6875</v>
      </c>
      <c r="J1017" s="2">
        <f t="shared" si="15"/>
        <v>43747.510952291668</v>
      </c>
    </row>
    <row r="1018" spans="1:10" x14ac:dyDescent="0.25">
      <c r="A1018" s="7" t="s">
        <v>2356</v>
      </c>
      <c r="B1018" s="8">
        <v>393.75</v>
      </c>
      <c r="C1018" s="8">
        <v>20.584240000000001</v>
      </c>
      <c r="D1018" s="8">
        <v>57</v>
      </c>
      <c r="E1018" s="8">
        <v>0</v>
      </c>
      <c r="F1018" s="8">
        <v>0</v>
      </c>
      <c r="G1018" s="8">
        <v>11</v>
      </c>
      <c r="H1018" s="8" t="s">
        <v>2357</v>
      </c>
      <c r="I1018" s="8">
        <v>526.6875</v>
      </c>
      <c r="J1018" s="3">
        <f t="shared" si="15"/>
        <v>43747.511035833326</v>
      </c>
    </row>
    <row r="1019" spans="1:10" x14ac:dyDescent="0.25">
      <c r="A1019" s="5" t="s">
        <v>2358</v>
      </c>
      <c r="B1019" s="6">
        <v>393.75</v>
      </c>
      <c r="C1019" s="6">
        <v>20.531590000000001</v>
      </c>
      <c r="D1019" s="6">
        <v>58</v>
      </c>
      <c r="E1019" s="6">
        <v>0</v>
      </c>
      <c r="F1019" s="6">
        <v>0</v>
      </c>
      <c r="G1019" s="6">
        <v>11</v>
      </c>
      <c r="H1019" s="6" t="s">
        <v>2359</v>
      </c>
      <c r="I1019" s="6">
        <v>526.6875</v>
      </c>
      <c r="J1019" s="2">
        <f t="shared" si="15"/>
        <v>43747.511119305556</v>
      </c>
    </row>
    <row r="1020" spans="1:10" x14ac:dyDescent="0.25">
      <c r="A1020" s="7" t="s">
        <v>2360</v>
      </c>
      <c r="B1020" s="8">
        <v>393.75</v>
      </c>
      <c r="C1020" s="8">
        <v>20.531590000000001</v>
      </c>
      <c r="D1020" s="8">
        <v>58</v>
      </c>
      <c r="E1020" s="8">
        <v>0</v>
      </c>
      <c r="F1020" s="8">
        <v>0</v>
      </c>
      <c r="G1020" s="8">
        <v>26</v>
      </c>
      <c r="H1020" s="8" t="s">
        <v>2361</v>
      </c>
      <c r="I1020" s="8">
        <v>526.6875</v>
      </c>
      <c r="J1020" s="3">
        <f t="shared" si="15"/>
        <v>43747.511202638889</v>
      </c>
    </row>
    <row r="1021" spans="1:10" x14ac:dyDescent="0.25">
      <c r="A1021" s="5" t="s">
        <v>2362</v>
      </c>
      <c r="B1021" s="6">
        <v>393.75</v>
      </c>
      <c r="C1021" s="6">
        <v>20.531590000000001</v>
      </c>
      <c r="D1021" s="6">
        <v>59</v>
      </c>
      <c r="E1021" s="6">
        <v>0</v>
      </c>
      <c r="F1021" s="6">
        <v>0</v>
      </c>
      <c r="G1021" s="6">
        <v>12</v>
      </c>
      <c r="H1021" s="6" t="s">
        <v>2363</v>
      </c>
      <c r="I1021" s="6">
        <v>526.6875</v>
      </c>
      <c r="J1021" s="2">
        <f t="shared" si="15"/>
        <v>43747.511274282406</v>
      </c>
    </row>
    <row r="1022" spans="1:10" x14ac:dyDescent="0.25">
      <c r="A1022" s="7" t="s">
        <v>2364</v>
      </c>
      <c r="B1022" s="8">
        <v>393.75</v>
      </c>
      <c r="C1022" s="8">
        <v>20.531590000000001</v>
      </c>
      <c r="D1022" s="8">
        <v>59</v>
      </c>
      <c r="E1022" s="8">
        <v>0</v>
      </c>
      <c r="F1022" s="8">
        <v>0</v>
      </c>
      <c r="G1022" s="8">
        <v>19</v>
      </c>
      <c r="H1022" s="8" t="s">
        <v>2365</v>
      </c>
      <c r="I1022" s="8">
        <v>526.6875</v>
      </c>
      <c r="J1022" s="3">
        <f t="shared" si="15"/>
        <v>43747.511357731484</v>
      </c>
    </row>
    <row r="1023" spans="1:10" x14ac:dyDescent="0.25">
      <c r="A1023" s="5" t="s">
        <v>2366</v>
      </c>
      <c r="B1023" s="6">
        <v>393.75</v>
      </c>
      <c r="C1023" s="6">
        <v>20.584240000000001</v>
      </c>
      <c r="D1023" s="6">
        <v>63</v>
      </c>
      <c r="E1023" s="6">
        <v>0</v>
      </c>
      <c r="F1023" s="6">
        <v>0</v>
      </c>
      <c r="G1023" s="6">
        <v>11</v>
      </c>
      <c r="H1023" s="6" t="s">
        <v>2367</v>
      </c>
      <c r="I1023" s="6">
        <v>526.5</v>
      </c>
      <c r="J1023" s="2">
        <f t="shared" si="15"/>
        <v>43747.511429247686</v>
      </c>
    </row>
    <row r="1024" spans="1:10" x14ac:dyDescent="0.25">
      <c r="A1024" s="7" t="s">
        <v>2368</v>
      </c>
      <c r="B1024" s="8">
        <v>393.75</v>
      </c>
      <c r="C1024" s="8">
        <v>20.584240000000001</v>
      </c>
      <c r="D1024" s="8">
        <v>61</v>
      </c>
      <c r="E1024" s="8">
        <v>0</v>
      </c>
      <c r="F1024" s="8">
        <v>0</v>
      </c>
      <c r="G1024" s="8">
        <v>8</v>
      </c>
      <c r="H1024" s="8" t="s">
        <v>2369</v>
      </c>
      <c r="I1024" s="8">
        <v>526.6875</v>
      </c>
      <c r="J1024" s="3">
        <f t="shared" si="15"/>
        <v>43747.511512824072</v>
      </c>
    </row>
    <row r="1025" spans="1:10" x14ac:dyDescent="0.25">
      <c r="A1025" s="5" t="s">
        <v>2370</v>
      </c>
      <c r="B1025" s="6">
        <v>393.75</v>
      </c>
      <c r="C1025" s="6">
        <v>20.584240000000001</v>
      </c>
      <c r="D1025" s="6">
        <v>60</v>
      </c>
      <c r="E1025" s="6">
        <v>0</v>
      </c>
      <c r="F1025" s="6">
        <v>0</v>
      </c>
      <c r="G1025" s="6">
        <v>15</v>
      </c>
      <c r="H1025" s="6" t="s">
        <v>2371</v>
      </c>
      <c r="I1025" s="6">
        <v>526.6875</v>
      </c>
      <c r="J1025" s="2">
        <f t="shared" si="15"/>
        <v>43747.511583888881</v>
      </c>
    </row>
    <row r="1026" spans="1:10" x14ac:dyDescent="0.25">
      <c r="A1026" s="7" t="s">
        <v>2372</v>
      </c>
      <c r="B1026" s="8">
        <v>393.75</v>
      </c>
      <c r="C1026" s="8">
        <v>20.531590000000001</v>
      </c>
      <c r="D1026" s="8">
        <v>60</v>
      </c>
      <c r="E1026" s="8">
        <v>0</v>
      </c>
      <c r="F1026" s="8">
        <v>0</v>
      </c>
      <c r="G1026" s="8">
        <v>9</v>
      </c>
      <c r="H1026" s="8" t="s">
        <v>2373</v>
      </c>
      <c r="I1026" s="8">
        <v>526.6875</v>
      </c>
      <c r="J1026" s="3">
        <f t="shared" ref="J1026:J1089" si="16">(H1026/86400000)+25569+(7/24)</f>
        <v>43747.511681412034</v>
      </c>
    </row>
    <row r="1027" spans="1:10" x14ac:dyDescent="0.25">
      <c r="A1027" s="5" t="s">
        <v>2374</v>
      </c>
      <c r="B1027" s="6">
        <v>393.75</v>
      </c>
      <c r="C1027" s="6">
        <v>20.584240000000001</v>
      </c>
      <c r="D1027" s="6">
        <v>59</v>
      </c>
      <c r="E1027" s="6">
        <v>0</v>
      </c>
      <c r="F1027" s="6">
        <v>0</v>
      </c>
      <c r="G1027" s="6">
        <v>5</v>
      </c>
      <c r="H1027" s="6" t="s">
        <v>2375</v>
      </c>
      <c r="I1027" s="6">
        <v>526.5</v>
      </c>
      <c r="J1027" s="2">
        <f t="shared" si="16"/>
        <v>43747.511763032402</v>
      </c>
    </row>
    <row r="1028" spans="1:10" x14ac:dyDescent="0.25">
      <c r="A1028" s="7" t="s">
        <v>2376</v>
      </c>
      <c r="B1028" s="8">
        <v>393.75</v>
      </c>
      <c r="C1028" s="8">
        <v>20.531590000000001</v>
      </c>
      <c r="D1028" s="8">
        <v>59</v>
      </c>
      <c r="E1028" s="8">
        <v>0</v>
      </c>
      <c r="F1028" s="8">
        <v>0</v>
      </c>
      <c r="G1028" s="8">
        <v>9</v>
      </c>
      <c r="H1028" s="8" t="s">
        <v>2377</v>
      </c>
      <c r="I1028" s="8">
        <v>526.6875</v>
      </c>
      <c r="J1028" s="3">
        <f t="shared" si="16"/>
        <v>43747.511846701389</v>
      </c>
    </row>
    <row r="1029" spans="1:10" x14ac:dyDescent="0.25">
      <c r="A1029" s="5" t="s">
        <v>2378</v>
      </c>
      <c r="B1029" s="6">
        <v>393.75</v>
      </c>
      <c r="C1029" s="6">
        <v>20.531590000000001</v>
      </c>
      <c r="D1029" s="6">
        <v>59</v>
      </c>
      <c r="E1029" s="6">
        <v>0</v>
      </c>
      <c r="F1029" s="6">
        <v>0</v>
      </c>
      <c r="G1029" s="6">
        <v>5</v>
      </c>
      <c r="H1029" s="6" t="s">
        <v>2379</v>
      </c>
      <c r="I1029" s="6">
        <v>526.6875</v>
      </c>
      <c r="J1029" s="2">
        <f t="shared" si="16"/>
        <v>43747.511930069442</v>
      </c>
    </row>
    <row r="1030" spans="1:10" x14ac:dyDescent="0.25">
      <c r="A1030" s="7" t="s">
        <v>2380</v>
      </c>
      <c r="B1030" s="8">
        <v>393.75</v>
      </c>
      <c r="C1030" s="8">
        <v>20.531590000000001</v>
      </c>
      <c r="D1030" s="8">
        <v>59</v>
      </c>
      <c r="E1030" s="8">
        <v>0</v>
      </c>
      <c r="F1030" s="8">
        <v>0</v>
      </c>
      <c r="G1030" s="8">
        <v>1</v>
      </c>
      <c r="H1030" s="8" t="s">
        <v>2381</v>
      </c>
      <c r="I1030" s="8">
        <v>526.5</v>
      </c>
      <c r="J1030" s="3">
        <f t="shared" si="16"/>
        <v>43747.512013541666</v>
      </c>
    </row>
    <row r="1031" spans="1:10" x14ac:dyDescent="0.25">
      <c r="A1031" s="5" t="s">
        <v>2382</v>
      </c>
      <c r="B1031" s="6">
        <v>396.875</v>
      </c>
      <c r="C1031" s="6">
        <v>20.478950000000001</v>
      </c>
      <c r="D1031" s="6">
        <v>59</v>
      </c>
      <c r="E1031" s="6">
        <v>0</v>
      </c>
      <c r="F1031" s="6">
        <v>0</v>
      </c>
      <c r="G1031" s="6">
        <v>4</v>
      </c>
      <c r="H1031" s="6" t="s">
        <v>2383</v>
      </c>
      <c r="I1031" s="6">
        <v>527.4375</v>
      </c>
      <c r="J1031" s="2">
        <f t="shared" si="16"/>
        <v>43747.512097071762</v>
      </c>
    </row>
    <row r="1032" spans="1:10" x14ac:dyDescent="0.25">
      <c r="A1032" s="7" t="s">
        <v>2384</v>
      </c>
      <c r="B1032" s="8">
        <v>393.75</v>
      </c>
      <c r="C1032" s="8">
        <v>20.531590000000001</v>
      </c>
      <c r="D1032" s="8">
        <v>59</v>
      </c>
      <c r="E1032" s="8">
        <v>0</v>
      </c>
      <c r="F1032" s="8">
        <v>0</v>
      </c>
      <c r="G1032" s="8">
        <v>4</v>
      </c>
      <c r="H1032" s="8" t="s">
        <v>2385</v>
      </c>
      <c r="I1032" s="8">
        <v>526.6875</v>
      </c>
      <c r="J1032" s="3">
        <f t="shared" si="16"/>
        <v>43747.51218046296</v>
      </c>
    </row>
    <row r="1033" spans="1:10" x14ac:dyDescent="0.25">
      <c r="A1033" s="5" t="s">
        <v>2386</v>
      </c>
      <c r="B1033" s="6">
        <v>393.75</v>
      </c>
      <c r="C1033" s="6">
        <v>20.478950000000001</v>
      </c>
      <c r="D1033" s="6">
        <v>59</v>
      </c>
      <c r="E1033" s="6">
        <v>0</v>
      </c>
      <c r="F1033" s="6">
        <v>0</v>
      </c>
      <c r="G1033" s="6">
        <v>7</v>
      </c>
      <c r="H1033" s="6" t="s">
        <v>2387</v>
      </c>
      <c r="I1033" s="6">
        <v>526.6875</v>
      </c>
      <c r="J1033" s="2">
        <f t="shared" si="16"/>
        <v>43747.512263761571</v>
      </c>
    </row>
    <row r="1034" spans="1:10" x14ac:dyDescent="0.25">
      <c r="A1034" s="7" t="s">
        <v>2388</v>
      </c>
      <c r="B1034" s="8">
        <v>393.75</v>
      </c>
      <c r="C1034" s="8">
        <v>20.531590000000001</v>
      </c>
      <c r="D1034" s="8">
        <v>59</v>
      </c>
      <c r="E1034" s="8">
        <v>0</v>
      </c>
      <c r="F1034" s="8">
        <v>0</v>
      </c>
      <c r="G1034" s="8">
        <v>7</v>
      </c>
      <c r="H1034" s="8" t="s">
        <v>2389</v>
      </c>
      <c r="I1034" s="8">
        <v>526.6875</v>
      </c>
      <c r="J1034" s="3">
        <f t="shared" si="16"/>
        <v>43747.512335370368</v>
      </c>
    </row>
    <row r="1035" spans="1:10" x14ac:dyDescent="0.25">
      <c r="A1035" s="5" t="s">
        <v>2390</v>
      </c>
      <c r="B1035" s="6">
        <v>393.75</v>
      </c>
      <c r="C1035" s="6">
        <v>20.531590000000001</v>
      </c>
      <c r="D1035" s="6">
        <v>60</v>
      </c>
      <c r="E1035" s="6">
        <v>0</v>
      </c>
      <c r="F1035" s="6">
        <v>0</v>
      </c>
      <c r="G1035" s="6">
        <v>1</v>
      </c>
      <c r="H1035" s="6" t="s">
        <v>2391</v>
      </c>
      <c r="I1035" s="6">
        <v>526.6875</v>
      </c>
      <c r="J1035" s="2">
        <f t="shared" si="16"/>
        <v>43747.512418958329</v>
      </c>
    </row>
    <row r="1036" spans="1:10" x14ac:dyDescent="0.25">
      <c r="A1036" s="7" t="s">
        <v>2392</v>
      </c>
      <c r="B1036" s="8">
        <v>393.75</v>
      </c>
      <c r="C1036" s="8">
        <v>20.531590000000001</v>
      </c>
      <c r="D1036" s="8">
        <v>60</v>
      </c>
      <c r="E1036" s="8">
        <v>0</v>
      </c>
      <c r="F1036" s="8">
        <v>0</v>
      </c>
      <c r="G1036" s="8">
        <v>5</v>
      </c>
      <c r="H1036" s="8" t="s">
        <v>2393</v>
      </c>
      <c r="I1036" s="8">
        <v>526.6875</v>
      </c>
      <c r="J1036" s="3">
        <f t="shared" si="16"/>
        <v>43747.512502395832</v>
      </c>
    </row>
    <row r="1037" spans="1:10" x14ac:dyDescent="0.25">
      <c r="A1037" s="5" t="s">
        <v>2394</v>
      </c>
      <c r="B1037" s="6">
        <v>393.75</v>
      </c>
      <c r="C1037" s="6">
        <v>20.531590000000001</v>
      </c>
      <c r="D1037" s="6">
        <v>59</v>
      </c>
      <c r="E1037" s="6">
        <v>0</v>
      </c>
      <c r="F1037" s="6">
        <v>0</v>
      </c>
      <c r="G1037" s="6">
        <v>9</v>
      </c>
      <c r="H1037" s="6" t="s">
        <v>2395</v>
      </c>
      <c r="I1037" s="6">
        <v>526.6875</v>
      </c>
      <c r="J1037" s="2">
        <f t="shared" si="16"/>
        <v>43747.512585972225</v>
      </c>
    </row>
    <row r="1038" spans="1:10" x14ac:dyDescent="0.25">
      <c r="A1038" s="7" t="s">
        <v>2396</v>
      </c>
      <c r="B1038" s="8">
        <v>393.75</v>
      </c>
      <c r="C1038" s="8">
        <v>20.531590000000001</v>
      </c>
      <c r="D1038" s="8">
        <v>58</v>
      </c>
      <c r="E1038" s="8">
        <v>0</v>
      </c>
      <c r="F1038" s="8">
        <v>0</v>
      </c>
      <c r="G1038" s="8">
        <v>3</v>
      </c>
      <c r="H1038" s="8" t="s">
        <v>2397</v>
      </c>
      <c r="I1038" s="8">
        <v>526.6875</v>
      </c>
      <c r="J1038" s="3">
        <f t="shared" si="16"/>
        <v>43747.512669328702</v>
      </c>
    </row>
    <row r="1039" spans="1:10" x14ac:dyDescent="0.25">
      <c r="A1039" s="5" t="s">
        <v>2398</v>
      </c>
      <c r="B1039" s="6">
        <v>393.75</v>
      </c>
      <c r="C1039" s="6">
        <v>20.531590000000001</v>
      </c>
      <c r="D1039" s="6">
        <v>59</v>
      </c>
      <c r="E1039" s="6">
        <v>0</v>
      </c>
      <c r="F1039" s="6">
        <v>0</v>
      </c>
      <c r="G1039" s="6">
        <v>10</v>
      </c>
      <c r="H1039" s="6" t="s">
        <v>2399</v>
      </c>
      <c r="I1039" s="6">
        <v>526.6875</v>
      </c>
      <c r="J1039" s="2">
        <f t="shared" si="16"/>
        <v>43747.512752615738</v>
      </c>
    </row>
    <row r="1040" spans="1:10" x14ac:dyDescent="0.25">
      <c r="A1040" s="7" t="s">
        <v>2400</v>
      </c>
      <c r="B1040" s="8">
        <v>393.75</v>
      </c>
      <c r="C1040" s="8">
        <v>20.478950000000001</v>
      </c>
      <c r="D1040" s="8">
        <v>58</v>
      </c>
      <c r="E1040" s="8">
        <v>0</v>
      </c>
      <c r="F1040" s="8">
        <v>0</v>
      </c>
      <c r="G1040" s="8">
        <v>6</v>
      </c>
      <c r="H1040" s="8" t="s">
        <v>2401</v>
      </c>
      <c r="I1040" s="8">
        <v>526.6875</v>
      </c>
      <c r="J1040" s="3">
        <f t="shared" si="16"/>
        <v>43747.512836435184</v>
      </c>
    </row>
    <row r="1041" spans="1:10" x14ac:dyDescent="0.25">
      <c r="A1041" s="5" t="s">
        <v>2402</v>
      </c>
      <c r="B1041" s="6">
        <v>393.75</v>
      </c>
      <c r="C1041" s="6">
        <v>20.531590000000001</v>
      </c>
      <c r="D1041" s="6">
        <v>60</v>
      </c>
      <c r="E1041" s="6">
        <v>0</v>
      </c>
      <c r="F1041" s="6">
        <v>0</v>
      </c>
      <c r="G1041" s="6">
        <v>3</v>
      </c>
      <c r="H1041" s="6" t="s">
        <v>2403</v>
      </c>
      <c r="I1041" s="6">
        <v>526.6875</v>
      </c>
      <c r="J1041" s="2">
        <f t="shared" si="16"/>
        <v>43747.512919409717</v>
      </c>
    </row>
    <row r="1042" spans="1:10" x14ac:dyDescent="0.25">
      <c r="A1042" s="7" t="s">
        <v>2404</v>
      </c>
      <c r="B1042" s="8">
        <v>393.75</v>
      </c>
      <c r="C1042" s="8">
        <v>20.531590000000001</v>
      </c>
      <c r="D1042" s="8">
        <v>60</v>
      </c>
      <c r="E1042" s="8">
        <v>0</v>
      </c>
      <c r="F1042" s="8">
        <v>0</v>
      </c>
      <c r="G1042" s="8">
        <v>12</v>
      </c>
      <c r="H1042" s="8" t="s">
        <v>2405</v>
      </c>
      <c r="I1042" s="8">
        <v>526.6875</v>
      </c>
      <c r="J1042" s="3">
        <f t="shared" si="16"/>
        <v>43747.512990706011</v>
      </c>
    </row>
    <row r="1043" spans="1:10" x14ac:dyDescent="0.25">
      <c r="A1043" s="5" t="s">
        <v>2406</v>
      </c>
      <c r="B1043" s="6">
        <v>393.75</v>
      </c>
      <c r="C1043" s="6">
        <v>20.531590000000001</v>
      </c>
      <c r="D1043" s="6">
        <v>59</v>
      </c>
      <c r="E1043" s="6">
        <v>0</v>
      </c>
      <c r="F1043" s="6">
        <v>0</v>
      </c>
      <c r="G1043" s="6">
        <v>9</v>
      </c>
      <c r="H1043" s="6" t="s">
        <v>2407</v>
      </c>
      <c r="I1043" s="6">
        <v>526.6875</v>
      </c>
      <c r="J1043" s="2">
        <f t="shared" si="16"/>
        <v>43747.513062800928</v>
      </c>
    </row>
    <row r="1044" spans="1:10" x14ac:dyDescent="0.25">
      <c r="A1044" s="7" t="s">
        <v>2408</v>
      </c>
      <c r="B1044" s="8">
        <v>418.75</v>
      </c>
      <c r="C1044" s="8">
        <v>20.584240000000001</v>
      </c>
      <c r="D1044" s="8">
        <v>59</v>
      </c>
      <c r="E1044" s="8">
        <v>0</v>
      </c>
      <c r="F1044" s="8">
        <v>0</v>
      </c>
      <c r="G1044" s="8">
        <v>9</v>
      </c>
      <c r="H1044" s="8" t="s">
        <v>2409</v>
      </c>
      <c r="I1044" s="8">
        <v>534.5625</v>
      </c>
      <c r="J1044" s="3">
        <f t="shared" si="16"/>
        <v>43747.513146261575</v>
      </c>
    </row>
    <row r="1045" spans="1:10" x14ac:dyDescent="0.25">
      <c r="A1045" s="5" t="s">
        <v>2410</v>
      </c>
      <c r="B1045" s="6">
        <v>393.75</v>
      </c>
      <c r="C1045" s="6">
        <v>20.531590000000001</v>
      </c>
      <c r="D1045" s="6">
        <v>59</v>
      </c>
      <c r="E1045" s="6">
        <v>0</v>
      </c>
      <c r="F1045" s="6">
        <v>0</v>
      </c>
      <c r="G1045" s="6">
        <v>18</v>
      </c>
      <c r="H1045" s="6" t="s">
        <v>2411</v>
      </c>
      <c r="I1045" s="6">
        <v>526.6875</v>
      </c>
      <c r="J1045" s="2">
        <f t="shared" si="16"/>
        <v>43747.513217789347</v>
      </c>
    </row>
    <row r="1046" spans="1:10" x14ac:dyDescent="0.25">
      <c r="A1046" s="7" t="s">
        <v>2412</v>
      </c>
      <c r="B1046" s="8">
        <v>393.75</v>
      </c>
      <c r="C1046" s="8">
        <v>20.478950000000001</v>
      </c>
      <c r="D1046" s="8">
        <v>59</v>
      </c>
      <c r="E1046" s="8">
        <v>0</v>
      </c>
      <c r="F1046" s="8">
        <v>0</v>
      </c>
      <c r="G1046" s="8">
        <v>16</v>
      </c>
      <c r="H1046" s="8" t="s">
        <v>2413</v>
      </c>
      <c r="I1046" s="8">
        <v>526.5</v>
      </c>
      <c r="J1046" s="3">
        <f t="shared" si="16"/>
        <v>43747.513300891202</v>
      </c>
    </row>
    <row r="1047" spans="1:10" x14ac:dyDescent="0.25">
      <c r="A1047" s="5" t="s">
        <v>2414</v>
      </c>
      <c r="B1047" s="6">
        <v>412.5</v>
      </c>
      <c r="C1047" s="6">
        <v>20.584240000000001</v>
      </c>
      <c r="D1047" s="6">
        <v>59</v>
      </c>
      <c r="E1047" s="6">
        <v>0</v>
      </c>
      <c r="F1047" s="6">
        <v>0</v>
      </c>
      <c r="G1047" s="6">
        <v>2</v>
      </c>
      <c r="H1047" s="6" t="s">
        <v>2415</v>
      </c>
      <c r="I1047" s="6">
        <v>532.3125</v>
      </c>
      <c r="J1047" s="2">
        <f t="shared" si="16"/>
        <v>43747.513372662033</v>
      </c>
    </row>
    <row r="1048" spans="1:10" x14ac:dyDescent="0.25">
      <c r="A1048" s="7" t="s">
        <v>2416</v>
      </c>
      <c r="B1048" s="8">
        <v>393.75</v>
      </c>
      <c r="C1048" s="8">
        <v>20.584240000000001</v>
      </c>
      <c r="D1048" s="8">
        <v>59</v>
      </c>
      <c r="E1048" s="8">
        <v>0</v>
      </c>
      <c r="F1048" s="8">
        <v>0</v>
      </c>
      <c r="G1048" s="8">
        <v>9</v>
      </c>
      <c r="H1048" s="8" t="s">
        <v>2417</v>
      </c>
      <c r="I1048" s="8">
        <v>526.6875</v>
      </c>
      <c r="J1048" s="3">
        <f t="shared" si="16"/>
        <v>43747.513456342589</v>
      </c>
    </row>
    <row r="1049" spans="1:10" x14ac:dyDescent="0.25">
      <c r="A1049" s="5" t="s">
        <v>2418</v>
      </c>
      <c r="B1049" s="6">
        <v>393.75</v>
      </c>
      <c r="C1049" s="6">
        <v>20.531590000000001</v>
      </c>
      <c r="D1049" s="6">
        <v>59</v>
      </c>
      <c r="E1049" s="6">
        <v>0</v>
      </c>
      <c r="F1049" s="6">
        <v>0</v>
      </c>
      <c r="G1049" s="6">
        <v>14</v>
      </c>
      <c r="H1049" s="6" t="s">
        <v>2419</v>
      </c>
      <c r="I1049" s="6">
        <v>526.6875</v>
      </c>
      <c r="J1049" s="2">
        <f t="shared" si="16"/>
        <v>43747.513539675921</v>
      </c>
    </row>
    <row r="1050" spans="1:10" x14ac:dyDescent="0.25">
      <c r="A1050" s="7" t="s">
        <v>2420</v>
      </c>
      <c r="B1050" s="8">
        <v>393.75</v>
      </c>
      <c r="C1050" s="8">
        <v>20.584240000000001</v>
      </c>
      <c r="D1050" s="8">
        <v>57</v>
      </c>
      <c r="E1050" s="8">
        <v>0</v>
      </c>
      <c r="F1050" s="8">
        <v>0</v>
      </c>
      <c r="G1050" s="8">
        <v>13</v>
      </c>
      <c r="H1050" s="8" t="s">
        <v>2421</v>
      </c>
      <c r="I1050" s="8">
        <v>526.6875</v>
      </c>
      <c r="J1050" s="3">
        <f t="shared" si="16"/>
        <v>43747.513623009254</v>
      </c>
    </row>
    <row r="1051" spans="1:10" x14ac:dyDescent="0.25">
      <c r="A1051" s="5" t="s">
        <v>2422</v>
      </c>
      <c r="B1051" s="6">
        <v>393.75</v>
      </c>
      <c r="C1051" s="6">
        <v>20.531590000000001</v>
      </c>
      <c r="D1051" s="6">
        <v>57</v>
      </c>
      <c r="E1051" s="6">
        <v>0</v>
      </c>
      <c r="F1051" s="6">
        <v>0</v>
      </c>
      <c r="G1051" s="6">
        <v>8</v>
      </c>
      <c r="H1051" s="6" t="s">
        <v>2423</v>
      </c>
      <c r="I1051" s="6">
        <v>526.6875</v>
      </c>
      <c r="J1051" s="2">
        <f t="shared" si="16"/>
        <v>43747.51370668981</v>
      </c>
    </row>
    <row r="1052" spans="1:10" x14ac:dyDescent="0.25">
      <c r="A1052" s="7" t="s">
        <v>2424</v>
      </c>
      <c r="B1052" s="8">
        <v>393.75</v>
      </c>
      <c r="C1052" s="8">
        <v>20.531590000000001</v>
      </c>
      <c r="D1052" s="8">
        <v>57</v>
      </c>
      <c r="E1052" s="8">
        <v>0</v>
      </c>
      <c r="F1052" s="8">
        <v>0</v>
      </c>
      <c r="G1052" s="8">
        <v>11</v>
      </c>
      <c r="H1052" s="8" t="s">
        <v>2425</v>
      </c>
      <c r="I1052" s="8">
        <v>526.6875</v>
      </c>
      <c r="J1052" s="3">
        <f t="shared" si="16"/>
        <v>43747.513789826386</v>
      </c>
    </row>
    <row r="1053" spans="1:10" x14ac:dyDescent="0.25">
      <c r="A1053" s="5" t="s">
        <v>2426</v>
      </c>
      <c r="B1053" s="6">
        <v>393.75</v>
      </c>
      <c r="C1053" s="6">
        <v>20.584240000000001</v>
      </c>
      <c r="D1053" s="6">
        <v>58</v>
      </c>
      <c r="E1053" s="6">
        <v>0</v>
      </c>
      <c r="F1053" s="6">
        <v>0</v>
      </c>
      <c r="G1053" s="6">
        <v>7</v>
      </c>
      <c r="H1053" s="6" t="s">
        <v>2427</v>
      </c>
      <c r="I1053" s="6">
        <v>526.6875</v>
      </c>
      <c r="J1053" s="2">
        <f t="shared" si="16"/>
        <v>43747.513873587959</v>
      </c>
    </row>
    <row r="1054" spans="1:10" x14ac:dyDescent="0.25">
      <c r="A1054" s="7" t="s">
        <v>2428</v>
      </c>
      <c r="B1054" s="8">
        <v>393.75</v>
      </c>
      <c r="C1054" s="8">
        <v>20.531590000000001</v>
      </c>
      <c r="D1054" s="8">
        <v>59</v>
      </c>
      <c r="E1054" s="8">
        <v>0</v>
      </c>
      <c r="F1054" s="8">
        <v>0</v>
      </c>
      <c r="G1054" s="8">
        <v>6</v>
      </c>
      <c r="H1054" s="8" t="s">
        <v>2429</v>
      </c>
      <c r="I1054" s="8">
        <v>526.6875</v>
      </c>
      <c r="J1054" s="3">
        <f t="shared" si="16"/>
        <v>43747.513956689807</v>
      </c>
    </row>
    <row r="1055" spans="1:10" x14ac:dyDescent="0.25">
      <c r="A1055" s="5" t="s">
        <v>2430</v>
      </c>
      <c r="B1055" s="6">
        <v>393.75</v>
      </c>
      <c r="C1055" s="6">
        <v>20.531590000000001</v>
      </c>
      <c r="D1055" s="6">
        <v>63</v>
      </c>
      <c r="E1055" s="6">
        <v>0</v>
      </c>
      <c r="F1055" s="6">
        <v>0</v>
      </c>
      <c r="G1055" s="6">
        <v>17</v>
      </c>
      <c r="H1055" s="6" t="s">
        <v>2431</v>
      </c>
      <c r="I1055" s="6">
        <v>526.6875</v>
      </c>
      <c r="J1055" s="2">
        <f t="shared" si="16"/>
        <v>43747.514028564816</v>
      </c>
    </row>
    <row r="1056" spans="1:10" x14ac:dyDescent="0.25">
      <c r="A1056" s="7" t="s">
        <v>2432</v>
      </c>
      <c r="B1056" s="8">
        <v>393.75</v>
      </c>
      <c r="C1056" s="8">
        <v>20.584240000000001</v>
      </c>
      <c r="D1056" s="8">
        <v>63</v>
      </c>
      <c r="E1056" s="8">
        <v>0</v>
      </c>
      <c r="F1056" s="8">
        <v>0</v>
      </c>
      <c r="G1056" s="8">
        <v>0</v>
      </c>
      <c r="H1056" s="8" t="s">
        <v>2433</v>
      </c>
      <c r="I1056" s="8">
        <v>526.6875</v>
      </c>
      <c r="J1056" s="3">
        <f t="shared" si="16"/>
        <v>43747.51411196759</v>
      </c>
    </row>
    <row r="1057" spans="1:10" x14ac:dyDescent="0.25">
      <c r="A1057" s="5" t="s">
        <v>2434</v>
      </c>
      <c r="B1057" s="6">
        <v>412.5</v>
      </c>
      <c r="C1057" s="6">
        <v>20.531590000000001</v>
      </c>
      <c r="D1057" s="6">
        <v>63</v>
      </c>
      <c r="E1057" s="6">
        <v>0</v>
      </c>
      <c r="F1057" s="6">
        <v>0</v>
      </c>
      <c r="G1057" s="6">
        <v>11</v>
      </c>
      <c r="H1057" s="6" t="s">
        <v>2435</v>
      </c>
      <c r="I1057" s="6">
        <v>532.6875</v>
      </c>
      <c r="J1057" s="2">
        <f t="shared" si="16"/>
        <v>43747.514183657404</v>
      </c>
    </row>
    <row r="1058" spans="1:10" x14ac:dyDescent="0.25">
      <c r="A1058" s="7" t="s">
        <v>2436</v>
      </c>
      <c r="B1058" s="8">
        <v>393.75</v>
      </c>
      <c r="C1058" s="8">
        <v>20.584240000000001</v>
      </c>
      <c r="D1058" s="8">
        <v>63</v>
      </c>
      <c r="E1058" s="8">
        <v>0</v>
      </c>
      <c r="F1058" s="8">
        <v>0</v>
      </c>
      <c r="G1058" s="8">
        <v>16</v>
      </c>
      <c r="H1058" s="8" t="s">
        <v>2437</v>
      </c>
      <c r="I1058" s="8">
        <v>526.6875</v>
      </c>
      <c r="J1058" s="3">
        <f t="shared" si="16"/>
        <v>43747.51426733796</v>
      </c>
    </row>
    <row r="1059" spans="1:10" x14ac:dyDescent="0.25">
      <c r="A1059" s="5" t="s">
        <v>2438</v>
      </c>
      <c r="B1059" s="6">
        <v>393.75</v>
      </c>
      <c r="C1059" s="6">
        <v>20.478950000000001</v>
      </c>
      <c r="D1059" s="6">
        <v>61</v>
      </c>
      <c r="E1059" s="6">
        <v>0</v>
      </c>
      <c r="F1059" s="6">
        <v>0</v>
      </c>
      <c r="G1059" s="6">
        <v>6</v>
      </c>
      <c r="H1059" s="6" t="s">
        <v>2439</v>
      </c>
      <c r="I1059" s="6">
        <v>526.6875</v>
      </c>
      <c r="J1059" s="2">
        <f t="shared" si="16"/>
        <v>43747.514350543977</v>
      </c>
    </row>
    <row r="1060" spans="1:10" x14ac:dyDescent="0.25">
      <c r="A1060" s="7" t="s">
        <v>2440</v>
      </c>
      <c r="B1060" s="8">
        <v>393.75</v>
      </c>
      <c r="C1060" s="8">
        <v>20.531590000000001</v>
      </c>
      <c r="D1060" s="8">
        <v>60</v>
      </c>
      <c r="E1060" s="8">
        <v>0</v>
      </c>
      <c r="F1060" s="8">
        <v>0</v>
      </c>
      <c r="G1060" s="8">
        <v>9</v>
      </c>
      <c r="H1060" s="8" t="s">
        <v>2441</v>
      </c>
      <c r="I1060" s="8">
        <v>526.6875</v>
      </c>
      <c r="J1060" s="3">
        <f t="shared" si="16"/>
        <v>43747.51444554398</v>
      </c>
    </row>
    <row r="1061" spans="1:10" x14ac:dyDescent="0.25">
      <c r="A1061" s="5" t="s">
        <v>2442</v>
      </c>
      <c r="B1061" s="6">
        <v>393.75</v>
      </c>
      <c r="C1061" s="6">
        <v>20.531590000000001</v>
      </c>
      <c r="D1061" s="6">
        <v>60</v>
      </c>
      <c r="E1061" s="6">
        <v>0</v>
      </c>
      <c r="F1061" s="6">
        <v>0</v>
      </c>
      <c r="G1061" s="6">
        <v>10</v>
      </c>
      <c r="H1061" s="6" t="s">
        <v>2443</v>
      </c>
      <c r="I1061" s="6">
        <v>526.6875</v>
      </c>
      <c r="J1061" s="2">
        <f t="shared" si="16"/>
        <v>43747.514517534721</v>
      </c>
    </row>
    <row r="1062" spans="1:10" x14ac:dyDescent="0.25">
      <c r="A1062" s="7" t="s">
        <v>2444</v>
      </c>
      <c r="B1062" s="8">
        <v>393.75</v>
      </c>
      <c r="C1062" s="8">
        <v>20.478950000000001</v>
      </c>
      <c r="D1062" s="8">
        <v>60</v>
      </c>
      <c r="E1062" s="8">
        <v>0</v>
      </c>
      <c r="F1062" s="8">
        <v>0</v>
      </c>
      <c r="G1062" s="8">
        <v>14</v>
      </c>
      <c r="H1062" s="8" t="s">
        <v>2445</v>
      </c>
      <c r="I1062" s="8">
        <v>526.6875</v>
      </c>
      <c r="J1062" s="3">
        <f t="shared" si="16"/>
        <v>43747.514612800922</v>
      </c>
    </row>
    <row r="1063" spans="1:10" x14ac:dyDescent="0.25">
      <c r="A1063" s="5" t="s">
        <v>2446</v>
      </c>
      <c r="B1063" s="6">
        <v>393.75</v>
      </c>
      <c r="C1063" s="6">
        <v>20.531590000000001</v>
      </c>
      <c r="D1063" s="6">
        <v>59</v>
      </c>
      <c r="E1063" s="6">
        <v>0</v>
      </c>
      <c r="F1063" s="6">
        <v>0</v>
      </c>
      <c r="G1063" s="6">
        <v>8</v>
      </c>
      <c r="H1063" s="6" t="s">
        <v>2447</v>
      </c>
      <c r="I1063" s="6">
        <v>526.6875</v>
      </c>
      <c r="J1063" s="2">
        <f t="shared" si="16"/>
        <v>43747.5146843287</v>
      </c>
    </row>
    <row r="1064" spans="1:10" x14ac:dyDescent="0.25">
      <c r="A1064" s="7" t="s">
        <v>2448</v>
      </c>
      <c r="B1064" s="8">
        <v>393.75</v>
      </c>
      <c r="C1064" s="8">
        <v>20.584240000000001</v>
      </c>
      <c r="D1064" s="8">
        <v>61</v>
      </c>
      <c r="E1064" s="8">
        <v>0</v>
      </c>
      <c r="F1064" s="8">
        <v>0</v>
      </c>
      <c r="G1064" s="8">
        <v>7</v>
      </c>
      <c r="H1064" s="8" t="s">
        <v>2449</v>
      </c>
      <c r="I1064" s="8">
        <v>526.6875</v>
      </c>
      <c r="J1064" s="3">
        <f t="shared" si="16"/>
        <v>43747.514767546294</v>
      </c>
    </row>
    <row r="1065" spans="1:10" x14ac:dyDescent="0.25">
      <c r="A1065" s="5" t="s">
        <v>2450</v>
      </c>
      <c r="B1065" s="6">
        <v>393.75</v>
      </c>
      <c r="C1065" s="6">
        <v>20.584240000000001</v>
      </c>
      <c r="D1065" s="6">
        <v>61</v>
      </c>
      <c r="E1065" s="6">
        <v>0</v>
      </c>
      <c r="F1065" s="6">
        <v>0</v>
      </c>
      <c r="G1065" s="6">
        <v>11</v>
      </c>
      <c r="H1065" s="6" t="s">
        <v>2451</v>
      </c>
      <c r="I1065" s="6">
        <v>526.6875</v>
      </c>
      <c r="J1065" s="2">
        <f t="shared" si="16"/>
        <v>43747.514839178235</v>
      </c>
    </row>
    <row r="1066" spans="1:10" x14ac:dyDescent="0.25">
      <c r="A1066" s="7" t="s">
        <v>2452</v>
      </c>
      <c r="B1066" s="8">
        <v>393.75</v>
      </c>
      <c r="C1066" s="8">
        <v>20.584240000000001</v>
      </c>
      <c r="D1066" s="8">
        <v>62</v>
      </c>
      <c r="E1066" s="8">
        <v>0</v>
      </c>
      <c r="F1066" s="8">
        <v>0</v>
      </c>
      <c r="G1066" s="8">
        <v>8</v>
      </c>
      <c r="H1066" s="8" t="s">
        <v>2453</v>
      </c>
      <c r="I1066" s="8">
        <v>526.6875</v>
      </c>
      <c r="J1066" s="3">
        <f t="shared" si="16"/>
        <v>43747.514922986105</v>
      </c>
    </row>
    <row r="1067" spans="1:10" x14ac:dyDescent="0.25">
      <c r="A1067" s="5" t="s">
        <v>2454</v>
      </c>
      <c r="B1067" s="6">
        <v>393.75</v>
      </c>
      <c r="C1067" s="6">
        <v>20.584240000000001</v>
      </c>
      <c r="D1067" s="6">
        <v>62</v>
      </c>
      <c r="E1067" s="6">
        <v>0</v>
      </c>
      <c r="F1067" s="6">
        <v>0</v>
      </c>
      <c r="G1067" s="6">
        <v>10</v>
      </c>
      <c r="H1067" s="6" t="s">
        <v>2455</v>
      </c>
      <c r="I1067" s="6">
        <v>526.6875</v>
      </c>
      <c r="J1067" s="2">
        <f t="shared" si="16"/>
        <v>43747.515006180554</v>
      </c>
    </row>
    <row r="1068" spans="1:10" x14ac:dyDescent="0.25">
      <c r="A1068" s="7" t="s">
        <v>2456</v>
      </c>
      <c r="B1068" s="8">
        <v>393.75</v>
      </c>
      <c r="C1068" s="8">
        <v>20.584240000000001</v>
      </c>
      <c r="D1068" s="8">
        <v>62</v>
      </c>
      <c r="E1068" s="8">
        <v>0</v>
      </c>
      <c r="F1068" s="8">
        <v>0</v>
      </c>
      <c r="G1068" s="8">
        <v>5</v>
      </c>
      <c r="H1068" s="8" t="s">
        <v>2457</v>
      </c>
      <c r="I1068" s="8">
        <v>526.6875</v>
      </c>
      <c r="J1068" s="3">
        <f t="shared" si="16"/>
        <v>43747.515089641201</v>
      </c>
    </row>
    <row r="1069" spans="1:10" x14ac:dyDescent="0.25">
      <c r="A1069" s="5" t="s">
        <v>2458</v>
      </c>
      <c r="B1069" s="6">
        <v>393.75</v>
      </c>
      <c r="C1069" s="6">
        <v>20.531590000000001</v>
      </c>
      <c r="D1069" s="6">
        <v>62</v>
      </c>
      <c r="E1069" s="6">
        <v>0</v>
      </c>
      <c r="F1069" s="6">
        <v>0</v>
      </c>
      <c r="G1069" s="6">
        <v>9</v>
      </c>
      <c r="H1069" s="6" t="s">
        <v>2459</v>
      </c>
      <c r="I1069" s="6">
        <v>526.6875</v>
      </c>
      <c r="J1069" s="2">
        <f t="shared" si="16"/>
        <v>43747.515161296295</v>
      </c>
    </row>
    <row r="1070" spans="1:10" x14ac:dyDescent="0.25">
      <c r="A1070" s="7" t="s">
        <v>2460</v>
      </c>
      <c r="B1070" s="8">
        <v>393.75</v>
      </c>
      <c r="C1070" s="8">
        <v>20.478950000000001</v>
      </c>
      <c r="D1070" s="8">
        <v>62</v>
      </c>
      <c r="E1070" s="8">
        <v>0</v>
      </c>
      <c r="F1070" s="8">
        <v>0</v>
      </c>
      <c r="G1070" s="8">
        <v>3</v>
      </c>
      <c r="H1070" s="8" t="s">
        <v>2461</v>
      </c>
      <c r="I1070" s="8">
        <v>526.6875</v>
      </c>
      <c r="J1070" s="3">
        <f t="shared" si="16"/>
        <v>43747.515244733797</v>
      </c>
    </row>
    <row r="1071" spans="1:10" x14ac:dyDescent="0.25">
      <c r="A1071" s="5" t="s">
        <v>2462</v>
      </c>
      <c r="B1071" s="6">
        <v>393.75</v>
      </c>
      <c r="C1071" s="6">
        <v>20.584240000000001</v>
      </c>
      <c r="D1071" s="6">
        <v>61</v>
      </c>
      <c r="E1071" s="6">
        <v>0</v>
      </c>
      <c r="F1071" s="6">
        <v>0</v>
      </c>
      <c r="G1071" s="6">
        <v>10</v>
      </c>
      <c r="H1071" s="6" t="s">
        <v>2463</v>
      </c>
      <c r="I1071" s="6">
        <v>526.6875</v>
      </c>
      <c r="J1071" s="2">
        <f t="shared" si="16"/>
        <v>43747.515328287038</v>
      </c>
    </row>
    <row r="1072" spans="1:10" x14ac:dyDescent="0.25">
      <c r="A1072" s="7" t="s">
        <v>2464</v>
      </c>
      <c r="B1072" s="8">
        <v>393.75</v>
      </c>
      <c r="C1072" s="8">
        <v>20.584240000000001</v>
      </c>
      <c r="D1072" s="8">
        <v>60</v>
      </c>
      <c r="E1072" s="8">
        <v>0</v>
      </c>
      <c r="F1072" s="8">
        <v>0</v>
      </c>
      <c r="G1072" s="8">
        <v>5</v>
      </c>
      <c r="H1072" s="8" t="s">
        <v>2465</v>
      </c>
      <c r="I1072" s="8">
        <v>526.6875</v>
      </c>
      <c r="J1072" s="3">
        <f t="shared" si="16"/>
        <v>43747.515411886568</v>
      </c>
    </row>
    <row r="1073" spans="1:10" x14ac:dyDescent="0.25">
      <c r="A1073" s="5" t="s">
        <v>2466</v>
      </c>
      <c r="B1073" s="6">
        <v>393.75</v>
      </c>
      <c r="C1073" s="6">
        <v>20.584240000000001</v>
      </c>
      <c r="D1073" s="6">
        <v>60</v>
      </c>
      <c r="E1073" s="6">
        <v>0</v>
      </c>
      <c r="F1073" s="6">
        <v>0</v>
      </c>
      <c r="G1073" s="6">
        <v>6</v>
      </c>
      <c r="H1073" s="6" t="s">
        <v>2467</v>
      </c>
      <c r="I1073" s="6">
        <v>526.6875</v>
      </c>
      <c r="J1073" s="2">
        <f t="shared" si="16"/>
        <v>43747.51549518518</v>
      </c>
    </row>
    <row r="1074" spans="1:10" x14ac:dyDescent="0.25">
      <c r="A1074" s="7" t="s">
        <v>2468</v>
      </c>
      <c r="B1074" s="8">
        <v>393.75</v>
      </c>
      <c r="C1074" s="8">
        <v>20.584240000000001</v>
      </c>
      <c r="D1074" s="8">
        <v>60</v>
      </c>
      <c r="E1074" s="8">
        <v>0</v>
      </c>
      <c r="F1074" s="8">
        <v>0</v>
      </c>
      <c r="G1074" s="8">
        <v>6</v>
      </c>
      <c r="H1074" s="8" t="s">
        <v>2469</v>
      </c>
      <c r="I1074" s="8">
        <v>526.6875</v>
      </c>
      <c r="J1074" s="3">
        <f t="shared" si="16"/>
        <v>43747.515578541665</v>
      </c>
    </row>
    <row r="1075" spans="1:10" x14ac:dyDescent="0.25">
      <c r="A1075" s="5" t="s">
        <v>2470</v>
      </c>
      <c r="B1075" s="6">
        <v>393.75</v>
      </c>
      <c r="C1075" s="6">
        <v>20.584240000000001</v>
      </c>
      <c r="D1075" s="6">
        <v>59</v>
      </c>
      <c r="E1075" s="6">
        <v>0</v>
      </c>
      <c r="F1075" s="6">
        <v>0</v>
      </c>
      <c r="G1075" s="6">
        <v>13</v>
      </c>
      <c r="H1075" s="6" t="s">
        <v>2471</v>
      </c>
      <c r="I1075" s="6">
        <v>526.6875</v>
      </c>
      <c r="J1075" s="2">
        <f t="shared" si="16"/>
        <v>43747.515662430553</v>
      </c>
    </row>
    <row r="1076" spans="1:10" x14ac:dyDescent="0.25">
      <c r="A1076" s="7" t="s">
        <v>2472</v>
      </c>
      <c r="B1076" s="8">
        <v>393.75</v>
      </c>
      <c r="C1076" s="8">
        <v>20.531590000000001</v>
      </c>
      <c r="D1076" s="8">
        <v>61</v>
      </c>
      <c r="E1076" s="8">
        <v>0</v>
      </c>
      <c r="F1076" s="8">
        <v>0</v>
      </c>
      <c r="G1076" s="8">
        <v>6</v>
      </c>
      <c r="H1076" s="8" t="s">
        <v>2473</v>
      </c>
      <c r="I1076" s="8">
        <v>526.6875</v>
      </c>
      <c r="J1076" s="3">
        <f t="shared" si="16"/>
        <v>43747.515745196761</v>
      </c>
    </row>
    <row r="1077" spans="1:10" x14ac:dyDescent="0.25">
      <c r="A1077" s="5" t="s">
        <v>2474</v>
      </c>
      <c r="B1077" s="6">
        <v>393.75</v>
      </c>
      <c r="C1077" s="6">
        <v>20.531590000000001</v>
      </c>
      <c r="D1077" s="6">
        <v>61</v>
      </c>
      <c r="E1077" s="6">
        <v>0</v>
      </c>
      <c r="F1077" s="6">
        <v>0</v>
      </c>
      <c r="G1077" s="6">
        <v>16</v>
      </c>
      <c r="H1077" s="6" t="s">
        <v>2475</v>
      </c>
      <c r="I1077" s="6">
        <v>526.6875</v>
      </c>
      <c r="J1077" s="2">
        <f t="shared" si="16"/>
        <v>43747.515816956016</v>
      </c>
    </row>
    <row r="1078" spans="1:10" x14ac:dyDescent="0.25">
      <c r="A1078" s="7" t="s">
        <v>2476</v>
      </c>
      <c r="B1078" s="8">
        <v>393.75</v>
      </c>
      <c r="C1078" s="8">
        <v>20.531590000000001</v>
      </c>
      <c r="D1078" s="8">
        <v>61</v>
      </c>
      <c r="E1078" s="8">
        <v>0</v>
      </c>
      <c r="F1078" s="8">
        <v>0</v>
      </c>
      <c r="G1078" s="8">
        <v>9</v>
      </c>
      <c r="H1078" s="8" t="s">
        <v>2477</v>
      </c>
      <c r="I1078" s="8">
        <v>526.6875</v>
      </c>
      <c r="J1078" s="3">
        <f t="shared" si="16"/>
        <v>43747.515900740742</v>
      </c>
    </row>
    <row r="1079" spans="1:10" x14ac:dyDescent="0.25">
      <c r="A1079" s="5" t="s">
        <v>2478</v>
      </c>
      <c r="B1079" s="6">
        <v>393.75</v>
      </c>
      <c r="C1079" s="6">
        <v>20.584240000000001</v>
      </c>
      <c r="D1079" s="6">
        <v>61</v>
      </c>
      <c r="E1079" s="6">
        <v>0</v>
      </c>
      <c r="F1079" s="6">
        <v>0</v>
      </c>
      <c r="G1079" s="6">
        <v>19</v>
      </c>
      <c r="H1079" s="6" t="s">
        <v>2479</v>
      </c>
      <c r="I1079" s="6">
        <v>526.6875</v>
      </c>
      <c r="J1079" s="2">
        <f t="shared" si="16"/>
        <v>43747.515984097219</v>
      </c>
    </row>
    <row r="1080" spans="1:10" x14ac:dyDescent="0.25">
      <c r="A1080" s="7" t="s">
        <v>2480</v>
      </c>
      <c r="B1080" s="8">
        <v>393.75</v>
      </c>
      <c r="C1080" s="8">
        <v>20.531590000000001</v>
      </c>
      <c r="D1080" s="8">
        <v>61</v>
      </c>
      <c r="E1080" s="8">
        <v>0</v>
      </c>
      <c r="F1080" s="8">
        <v>0</v>
      </c>
      <c r="G1080" s="8">
        <v>6</v>
      </c>
      <c r="H1080" s="8" t="s">
        <v>2481</v>
      </c>
      <c r="I1080" s="8">
        <v>526.6875</v>
      </c>
      <c r="J1080" s="3">
        <f t="shared" si="16"/>
        <v>43747.516067442128</v>
      </c>
    </row>
    <row r="1081" spans="1:10" x14ac:dyDescent="0.25">
      <c r="A1081" s="5" t="s">
        <v>2482</v>
      </c>
      <c r="B1081" s="6">
        <v>393.75</v>
      </c>
      <c r="C1081" s="6">
        <v>20.531590000000001</v>
      </c>
      <c r="D1081" s="6">
        <v>61</v>
      </c>
      <c r="E1081" s="6">
        <v>0</v>
      </c>
      <c r="F1081" s="6">
        <v>0</v>
      </c>
      <c r="G1081" s="6">
        <v>6</v>
      </c>
      <c r="H1081" s="6" t="s">
        <v>2483</v>
      </c>
      <c r="I1081" s="6">
        <v>526.5</v>
      </c>
      <c r="J1081" s="2">
        <f t="shared" si="16"/>
        <v>43747.516139050924</v>
      </c>
    </row>
    <row r="1082" spans="1:10" x14ac:dyDescent="0.25">
      <c r="A1082" s="7" t="s">
        <v>2484</v>
      </c>
      <c r="B1082" s="8">
        <v>393.75</v>
      </c>
      <c r="C1082" s="8">
        <v>20.531590000000001</v>
      </c>
      <c r="D1082" s="8">
        <v>60</v>
      </c>
      <c r="E1082" s="8">
        <v>0</v>
      </c>
      <c r="F1082" s="8">
        <v>0</v>
      </c>
      <c r="G1082" s="8">
        <v>14</v>
      </c>
      <c r="H1082" s="8" t="s">
        <v>2485</v>
      </c>
      <c r="I1082" s="8">
        <v>526.6875</v>
      </c>
      <c r="J1082" s="3">
        <f t="shared" si="16"/>
        <v>43747.516222500002</v>
      </c>
    </row>
    <row r="1083" spans="1:10" x14ac:dyDescent="0.25">
      <c r="A1083" s="5" t="s">
        <v>2486</v>
      </c>
      <c r="B1083" s="6">
        <v>393.75</v>
      </c>
      <c r="C1083" s="6">
        <v>20.531590000000001</v>
      </c>
      <c r="D1083" s="6">
        <v>60</v>
      </c>
      <c r="E1083" s="6">
        <v>0</v>
      </c>
      <c r="F1083" s="6">
        <v>0</v>
      </c>
      <c r="G1083" s="6">
        <v>7</v>
      </c>
      <c r="H1083" s="6" t="s">
        <v>2487</v>
      </c>
      <c r="I1083" s="6">
        <v>526.6875</v>
      </c>
      <c r="J1083" s="2">
        <f t="shared" si="16"/>
        <v>43747.516305949073</v>
      </c>
    </row>
    <row r="1084" spans="1:10" x14ac:dyDescent="0.25">
      <c r="A1084" s="7" t="s">
        <v>2488</v>
      </c>
      <c r="B1084" s="8">
        <v>393.75</v>
      </c>
      <c r="C1084" s="8">
        <v>20.584240000000001</v>
      </c>
      <c r="D1084" s="8">
        <v>60</v>
      </c>
      <c r="E1084" s="8">
        <v>0</v>
      </c>
      <c r="F1084" s="8">
        <v>0</v>
      </c>
      <c r="G1084" s="8">
        <v>8</v>
      </c>
      <c r="H1084" s="8" t="s">
        <v>2489</v>
      </c>
      <c r="I1084" s="8">
        <v>526.6875</v>
      </c>
      <c r="J1084" s="3">
        <f t="shared" si="16"/>
        <v>43747.516389641205</v>
      </c>
    </row>
    <row r="1085" spans="1:10" x14ac:dyDescent="0.25">
      <c r="A1085" s="5" t="s">
        <v>2490</v>
      </c>
      <c r="B1085" s="6">
        <v>393.75</v>
      </c>
      <c r="C1085" s="6">
        <v>20.531590000000001</v>
      </c>
      <c r="D1085" s="6">
        <v>60</v>
      </c>
      <c r="E1085" s="6">
        <v>0</v>
      </c>
      <c r="F1085" s="6">
        <v>0</v>
      </c>
      <c r="G1085" s="6">
        <v>10</v>
      </c>
      <c r="H1085" s="6" t="s">
        <v>2491</v>
      </c>
      <c r="I1085" s="6">
        <v>526.6875</v>
      </c>
      <c r="J1085" s="2">
        <f t="shared" si="16"/>
        <v>43747.516472974537</v>
      </c>
    </row>
    <row r="1086" spans="1:10" x14ac:dyDescent="0.25">
      <c r="A1086" s="7" t="s">
        <v>2492</v>
      </c>
      <c r="B1086" s="8">
        <v>393.75</v>
      </c>
      <c r="C1086" s="8">
        <v>20.584240000000001</v>
      </c>
      <c r="D1086" s="8">
        <v>60</v>
      </c>
      <c r="E1086" s="8">
        <v>0</v>
      </c>
      <c r="F1086" s="8">
        <v>0</v>
      </c>
      <c r="G1086" s="8">
        <v>0</v>
      </c>
      <c r="H1086" s="8" t="s">
        <v>2493</v>
      </c>
      <c r="I1086" s="8">
        <v>526.6875</v>
      </c>
      <c r="J1086" s="3">
        <f t="shared" si="16"/>
        <v>43747.516544502309</v>
      </c>
    </row>
    <row r="1087" spans="1:10" x14ac:dyDescent="0.25">
      <c r="A1087" s="5" t="s">
        <v>2494</v>
      </c>
      <c r="B1087" s="6">
        <v>393.75</v>
      </c>
      <c r="C1087" s="6">
        <v>20.531590000000001</v>
      </c>
      <c r="D1087" s="6">
        <v>60</v>
      </c>
      <c r="E1087" s="6">
        <v>0</v>
      </c>
      <c r="F1087" s="6">
        <v>0</v>
      </c>
      <c r="G1087" s="6">
        <v>7</v>
      </c>
      <c r="H1087" s="6" t="s">
        <v>2495</v>
      </c>
      <c r="I1087" s="6">
        <v>526.5</v>
      </c>
      <c r="J1087" s="2">
        <f t="shared" si="16"/>
        <v>43747.516628182864</v>
      </c>
    </row>
    <row r="1088" spans="1:10" x14ac:dyDescent="0.25">
      <c r="A1088" s="7" t="s">
        <v>2496</v>
      </c>
      <c r="B1088" s="8">
        <v>393.75</v>
      </c>
      <c r="C1088" s="8">
        <v>20.531590000000001</v>
      </c>
      <c r="D1088" s="8">
        <v>59</v>
      </c>
      <c r="E1088" s="8">
        <v>0</v>
      </c>
      <c r="F1088" s="8">
        <v>0</v>
      </c>
      <c r="G1088" s="8">
        <v>7</v>
      </c>
      <c r="H1088" s="8" t="s">
        <v>2497</v>
      </c>
      <c r="I1088" s="8">
        <v>526.6875</v>
      </c>
      <c r="J1088" s="3">
        <f t="shared" si="16"/>
        <v>43747.516722986104</v>
      </c>
    </row>
    <row r="1089" spans="1:10" x14ac:dyDescent="0.25">
      <c r="A1089" s="5" t="s">
        <v>2498</v>
      </c>
      <c r="B1089" s="6">
        <v>393.75</v>
      </c>
      <c r="C1089" s="6">
        <v>20.584240000000001</v>
      </c>
      <c r="D1089" s="6">
        <v>59</v>
      </c>
      <c r="E1089" s="6">
        <v>0</v>
      </c>
      <c r="F1089" s="6">
        <v>0</v>
      </c>
      <c r="G1089" s="6">
        <v>8</v>
      </c>
      <c r="H1089" s="6" t="s">
        <v>2499</v>
      </c>
      <c r="I1089" s="6">
        <v>526.6875</v>
      </c>
      <c r="J1089" s="2">
        <f t="shared" si="16"/>
        <v>43747.516794849536</v>
      </c>
    </row>
    <row r="1090" spans="1:10" x14ac:dyDescent="0.25">
      <c r="A1090" s="7" t="s">
        <v>2500</v>
      </c>
      <c r="B1090" s="8">
        <v>393.75</v>
      </c>
      <c r="C1090" s="8">
        <v>20.531590000000001</v>
      </c>
      <c r="D1090" s="8">
        <v>59</v>
      </c>
      <c r="E1090" s="8">
        <v>0</v>
      </c>
      <c r="F1090" s="8">
        <v>0</v>
      </c>
      <c r="G1090" s="8">
        <v>12</v>
      </c>
      <c r="H1090" s="8" t="s">
        <v>2501</v>
      </c>
      <c r="I1090" s="8">
        <v>526.6875</v>
      </c>
      <c r="J1090" s="3">
        <f t="shared" ref="J1090:J1153" si="17">(H1090/86400000)+25569+(7/24)</f>
        <v>43747.516878622679</v>
      </c>
    </row>
    <row r="1091" spans="1:10" x14ac:dyDescent="0.25">
      <c r="A1091" s="5" t="s">
        <v>2502</v>
      </c>
      <c r="B1091" s="6">
        <v>393.75</v>
      </c>
      <c r="C1091" s="6">
        <v>20.584240000000001</v>
      </c>
      <c r="D1091" s="6">
        <v>58</v>
      </c>
      <c r="E1091" s="6">
        <v>0</v>
      </c>
      <c r="F1091" s="6">
        <v>0</v>
      </c>
      <c r="G1091" s="6">
        <v>13</v>
      </c>
      <c r="H1091" s="6" t="s">
        <v>2503</v>
      </c>
      <c r="I1091" s="6">
        <v>526.6875</v>
      </c>
      <c r="J1091" s="2">
        <f t="shared" si="17"/>
        <v>43747.516949942124</v>
      </c>
    </row>
    <row r="1092" spans="1:10" x14ac:dyDescent="0.25">
      <c r="A1092" s="7" t="s">
        <v>2504</v>
      </c>
      <c r="B1092" s="8">
        <v>393.75</v>
      </c>
      <c r="C1092" s="8">
        <v>20.584240000000001</v>
      </c>
      <c r="D1092" s="8">
        <v>58</v>
      </c>
      <c r="E1092" s="8">
        <v>0</v>
      </c>
      <c r="F1092" s="8">
        <v>0</v>
      </c>
      <c r="G1092" s="8">
        <v>10</v>
      </c>
      <c r="H1092" s="8" t="s">
        <v>2505</v>
      </c>
      <c r="I1092" s="8">
        <v>526.6875</v>
      </c>
      <c r="J1092" s="3">
        <f t="shared" si="17"/>
        <v>43747.517021481479</v>
      </c>
    </row>
    <row r="1093" spans="1:10" x14ac:dyDescent="0.25">
      <c r="A1093" s="5" t="s">
        <v>2506</v>
      </c>
      <c r="B1093" s="6">
        <v>393.75</v>
      </c>
      <c r="C1093" s="6">
        <v>20.531590000000001</v>
      </c>
      <c r="D1093" s="6">
        <v>59</v>
      </c>
      <c r="E1093" s="6">
        <v>0</v>
      </c>
      <c r="F1093" s="6">
        <v>0</v>
      </c>
      <c r="G1093" s="6">
        <v>5</v>
      </c>
      <c r="H1093" s="6" t="s">
        <v>2507</v>
      </c>
      <c r="I1093" s="6">
        <v>526.6875</v>
      </c>
      <c r="J1093" s="2">
        <f t="shared" si="17"/>
        <v>43747.51711685185</v>
      </c>
    </row>
    <row r="1094" spans="1:10" x14ac:dyDescent="0.25">
      <c r="A1094" s="7" t="s">
        <v>2508</v>
      </c>
      <c r="B1094" s="8">
        <v>393.75</v>
      </c>
      <c r="C1094" s="8">
        <v>20.531590000000001</v>
      </c>
      <c r="D1094" s="8">
        <v>58</v>
      </c>
      <c r="E1094" s="8">
        <v>0</v>
      </c>
      <c r="F1094" s="8">
        <v>0</v>
      </c>
      <c r="G1094" s="8">
        <v>3</v>
      </c>
      <c r="H1094" s="8" t="s">
        <v>2509</v>
      </c>
      <c r="I1094" s="8">
        <v>526.5</v>
      </c>
      <c r="J1094" s="3">
        <f t="shared" si="17"/>
        <v>43747.517200289345</v>
      </c>
    </row>
    <row r="1095" spans="1:10" x14ac:dyDescent="0.25">
      <c r="A1095" s="5" t="s">
        <v>2510</v>
      </c>
      <c r="B1095" s="6">
        <v>393.75</v>
      </c>
      <c r="C1095" s="6">
        <v>20.584240000000001</v>
      </c>
      <c r="D1095" s="6">
        <v>58</v>
      </c>
      <c r="E1095" s="6">
        <v>0</v>
      </c>
      <c r="F1095" s="6">
        <v>0</v>
      </c>
      <c r="G1095" s="6">
        <v>8</v>
      </c>
      <c r="H1095" s="6" t="s">
        <v>2511</v>
      </c>
      <c r="I1095" s="6">
        <v>526.5</v>
      </c>
      <c r="J1095" s="2">
        <f t="shared" si="17"/>
        <v>43747.517283634261</v>
      </c>
    </row>
    <row r="1096" spans="1:10" x14ac:dyDescent="0.25">
      <c r="A1096" s="7" t="s">
        <v>2512</v>
      </c>
      <c r="B1096" s="8">
        <v>393.75</v>
      </c>
      <c r="C1096" s="8">
        <v>20.531590000000001</v>
      </c>
      <c r="D1096" s="8">
        <v>58</v>
      </c>
      <c r="E1096" s="8">
        <v>0</v>
      </c>
      <c r="F1096" s="8">
        <v>0</v>
      </c>
      <c r="G1096" s="8">
        <v>4</v>
      </c>
      <c r="H1096" s="8" t="s">
        <v>2513</v>
      </c>
      <c r="I1096" s="8">
        <v>526.6875</v>
      </c>
      <c r="J1096" s="3">
        <f t="shared" si="17"/>
        <v>43747.517367430548</v>
      </c>
    </row>
    <row r="1097" spans="1:10" x14ac:dyDescent="0.25">
      <c r="A1097" s="5" t="s">
        <v>2514</v>
      </c>
      <c r="B1097" s="6">
        <v>434.375</v>
      </c>
      <c r="C1097" s="6">
        <v>20.584240000000001</v>
      </c>
      <c r="D1097" s="6">
        <v>57</v>
      </c>
      <c r="E1097" s="6">
        <v>0</v>
      </c>
      <c r="F1097" s="6">
        <v>0</v>
      </c>
      <c r="G1097" s="6">
        <v>7</v>
      </c>
      <c r="H1097" s="6" t="s">
        <v>2515</v>
      </c>
      <c r="I1097" s="6">
        <v>539.0625</v>
      </c>
      <c r="J1097" s="2">
        <f t="shared" si="17"/>
        <v>43747.517450752312</v>
      </c>
    </row>
    <row r="1098" spans="1:10" x14ac:dyDescent="0.25">
      <c r="A1098" s="7" t="s">
        <v>2516</v>
      </c>
      <c r="B1098" s="8">
        <v>393.75</v>
      </c>
      <c r="C1098" s="8">
        <v>20.531590000000001</v>
      </c>
      <c r="D1098" s="8">
        <v>57</v>
      </c>
      <c r="E1098" s="8">
        <v>0</v>
      </c>
      <c r="F1098" s="8">
        <v>0</v>
      </c>
      <c r="G1098" s="8">
        <v>15</v>
      </c>
      <c r="H1098" s="8" t="s">
        <v>2517</v>
      </c>
      <c r="I1098" s="8">
        <v>526.5</v>
      </c>
      <c r="J1098" s="3">
        <f t="shared" si="17"/>
        <v>43747.517534085644</v>
      </c>
    </row>
    <row r="1099" spans="1:10" x14ac:dyDescent="0.25">
      <c r="A1099" s="5" t="s">
        <v>2518</v>
      </c>
      <c r="B1099" s="6">
        <v>393.75</v>
      </c>
      <c r="C1099" s="6">
        <v>20.531590000000001</v>
      </c>
      <c r="D1099" s="6">
        <v>56</v>
      </c>
      <c r="E1099" s="6">
        <v>0</v>
      </c>
      <c r="F1099" s="6">
        <v>0</v>
      </c>
      <c r="G1099" s="6">
        <v>6</v>
      </c>
      <c r="H1099" s="6" t="s">
        <v>2519</v>
      </c>
      <c r="I1099" s="6">
        <v>526.6875</v>
      </c>
      <c r="J1099" s="2">
        <f t="shared" si="17"/>
        <v>43747.517617650461</v>
      </c>
    </row>
    <row r="1100" spans="1:10" x14ac:dyDescent="0.25">
      <c r="A1100" s="7" t="s">
        <v>2520</v>
      </c>
      <c r="B1100" s="8">
        <v>393.75</v>
      </c>
      <c r="C1100" s="8">
        <v>20.584240000000001</v>
      </c>
      <c r="D1100" s="8">
        <v>57</v>
      </c>
      <c r="E1100" s="8">
        <v>0</v>
      </c>
      <c r="F1100" s="8">
        <v>0</v>
      </c>
      <c r="G1100" s="8">
        <v>0</v>
      </c>
      <c r="H1100" s="8" t="s">
        <v>2521</v>
      </c>
      <c r="I1100" s="8">
        <v>526.5</v>
      </c>
      <c r="J1100" s="3">
        <f t="shared" si="17"/>
        <v>43747.517700752309</v>
      </c>
    </row>
    <row r="1101" spans="1:10" x14ac:dyDescent="0.25">
      <c r="A1101" s="5" t="s">
        <v>2522</v>
      </c>
      <c r="B1101" s="6">
        <v>393.75</v>
      </c>
      <c r="C1101" s="6">
        <v>20.531590000000001</v>
      </c>
      <c r="D1101" s="6">
        <v>57</v>
      </c>
      <c r="E1101" s="6">
        <v>0</v>
      </c>
      <c r="F1101" s="6">
        <v>0</v>
      </c>
      <c r="G1101" s="6">
        <v>7</v>
      </c>
      <c r="H1101" s="6" t="s">
        <v>2523</v>
      </c>
      <c r="I1101" s="6">
        <v>526.6875</v>
      </c>
      <c r="J1101" s="2">
        <f t="shared" si="17"/>
        <v>43747.517772175925</v>
      </c>
    </row>
    <row r="1102" spans="1:10" x14ac:dyDescent="0.25">
      <c r="A1102" s="7" t="s">
        <v>2524</v>
      </c>
      <c r="B1102" s="8">
        <v>412.5</v>
      </c>
      <c r="C1102" s="8">
        <v>20.531590000000001</v>
      </c>
      <c r="D1102" s="8">
        <v>56</v>
      </c>
      <c r="E1102" s="8">
        <v>0</v>
      </c>
      <c r="F1102" s="8">
        <v>0</v>
      </c>
      <c r="G1102" s="8">
        <v>18</v>
      </c>
      <c r="H1102" s="8" t="s">
        <v>2525</v>
      </c>
      <c r="I1102" s="8">
        <v>532.125</v>
      </c>
      <c r="J1102" s="3">
        <f t="shared" si="17"/>
        <v>43747.517856307866</v>
      </c>
    </row>
    <row r="1103" spans="1:10" x14ac:dyDescent="0.25">
      <c r="A1103" s="5" t="s">
        <v>2526</v>
      </c>
      <c r="B1103" s="6">
        <v>393.75</v>
      </c>
      <c r="C1103" s="6">
        <v>20.531590000000001</v>
      </c>
      <c r="D1103" s="6">
        <v>58</v>
      </c>
      <c r="E1103" s="6">
        <v>0</v>
      </c>
      <c r="F1103" s="6">
        <v>0</v>
      </c>
      <c r="G1103" s="6">
        <v>19</v>
      </c>
      <c r="H1103" s="6" t="s">
        <v>2527</v>
      </c>
      <c r="I1103" s="6">
        <v>526.6875</v>
      </c>
      <c r="J1103" s="2">
        <f t="shared" si="17"/>
        <v>43747.517939687496</v>
      </c>
    </row>
    <row r="1104" spans="1:10" x14ac:dyDescent="0.25">
      <c r="A1104" s="7" t="s">
        <v>2528</v>
      </c>
      <c r="B1104" s="8">
        <v>393.75</v>
      </c>
      <c r="C1104" s="8">
        <v>20.584240000000001</v>
      </c>
      <c r="D1104" s="8">
        <v>59</v>
      </c>
      <c r="E1104" s="8">
        <v>0</v>
      </c>
      <c r="F1104" s="8">
        <v>0</v>
      </c>
      <c r="G1104" s="8">
        <v>14</v>
      </c>
      <c r="H1104" s="8" t="s">
        <v>2529</v>
      </c>
      <c r="I1104" s="8">
        <v>526.6875</v>
      </c>
      <c r="J1104" s="3">
        <f t="shared" si="17"/>
        <v>43747.518022974538</v>
      </c>
    </row>
    <row r="1105" spans="1:10" x14ac:dyDescent="0.25">
      <c r="A1105" s="5" t="s">
        <v>2530</v>
      </c>
      <c r="B1105" s="6">
        <v>393.75</v>
      </c>
      <c r="C1105" s="6">
        <v>20.531590000000001</v>
      </c>
      <c r="D1105" s="6">
        <v>59</v>
      </c>
      <c r="E1105" s="6">
        <v>0</v>
      </c>
      <c r="F1105" s="6">
        <v>0</v>
      </c>
      <c r="G1105" s="6">
        <v>17</v>
      </c>
      <c r="H1105" s="6" t="s">
        <v>2531</v>
      </c>
      <c r="I1105" s="6">
        <v>526.6875</v>
      </c>
      <c r="J1105" s="2">
        <f t="shared" si="17"/>
        <v>43747.518106550924</v>
      </c>
    </row>
    <row r="1106" spans="1:10" x14ac:dyDescent="0.25">
      <c r="A1106" s="7" t="s">
        <v>2532</v>
      </c>
      <c r="B1106" s="8">
        <v>393.75</v>
      </c>
      <c r="C1106" s="8">
        <v>20.584240000000001</v>
      </c>
      <c r="D1106" s="8">
        <v>59</v>
      </c>
      <c r="E1106" s="8">
        <v>0</v>
      </c>
      <c r="F1106" s="8">
        <v>0</v>
      </c>
      <c r="G1106" s="8">
        <v>12</v>
      </c>
      <c r="H1106" s="8" t="s">
        <v>2533</v>
      </c>
      <c r="I1106" s="8">
        <v>526.6875</v>
      </c>
      <c r="J1106" s="3">
        <f t="shared" si="17"/>
        <v>43747.518189641203</v>
      </c>
    </row>
    <row r="1107" spans="1:10" x14ac:dyDescent="0.25">
      <c r="A1107" s="5" t="s">
        <v>2534</v>
      </c>
      <c r="B1107" s="6">
        <v>393.75</v>
      </c>
      <c r="C1107" s="6">
        <v>20.584240000000001</v>
      </c>
      <c r="D1107" s="6">
        <v>59</v>
      </c>
      <c r="E1107" s="6">
        <v>0</v>
      </c>
      <c r="F1107" s="6">
        <v>0</v>
      </c>
      <c r="G1107" s="6">
        <v>10</v>
      </c>
      <c r="H1107" s="6" t="s">
        <v>2535</v>
      </c>
      <c r="I1107" s="6">
        <v>526.6875</v>
      </c>
      <c r="J1107" s="2">
        <f t="shared" si="17"/>
        <v>43747.518261423604</v>
      </c>
    </row>
    <row r="1108" spans="1:10" x14ac:dyDescent="0.25">
      <c r="A1108" s="7" t="s">
        <v>2536</v>
      </c>
      <c r="B1108" s="8">
        <v>393.75</v>
      </c>
      <c r="C1108" s="8">
        <v>20.584240000000001</v>
      </c>
      <c r="D1108" s="8">
        <v>58</v>
      </c>
      <c r="E1108" s="8">
        <v>0</v>
      </c>
      <c r="F1108" s="8">
        <v>0</v>
      </c>
      <c r="G1108" s="8">
        <v>10</v>
      </c>
      <c r="H1108" s="8" t="s">
        <v>2537</v>
      </c>
      <c r="I1108" s="8">
        <v>526.6875</v>
      </c>
      <c r="J1108" s="3">
        <f t="shared" si="17"/>
        <v>43747.518344965276</v>
      </c>
    </row>
    <row r="1109" spans="1:10" x14ac:dyDescent="0.25">
      <c r="A1109" s="5" t="s">
        <v>2538</v>
      </c>
      <c r="B1109" s="6">
        <v>393.75</v>
      </c>
      <c r="C1109" s="6">
        <v>20.584240000000001</v>
      </c>
      <c r="D1109" s="6">
        <v>58</v>
      </c>
      <c r="E1109" s="6">
        <v>0</v>
      </c>
      <c r="F1109" s="6">
        <v>0</v>
      </c>
      <c r="G1109" s="6">
        <v>14</v>
      </c>
      <c r="H1109" s="6" t="s">
        <v>2539</v>
      </c>
      <c r="I1109" s="6">
        <v>526.5</v>
      </c>
      <c r="J1109" s="2">
        <f t="shared" si="17"/>
        <v>43747.518428425923</v>
      </c>
    </row>
    <row r="1110" spans="1:10" x14ac:dyDescent="0.25">
      <c r="A1110" s="7" t="s">
        <v>2540</v>
      </c>
      <c r="B1110" s="8">
        <v>393.75</v>
      </c>
      <c r="C1110" s="8">
        <v>20.531590000000001</v>
      </c>
      <c r="D1110" s="8">
        <v>58</v>
      </c>
      <c r="E1110" s="8">
        <v>0</v>
      </c>
      <c r="F1110" s="8">
        <v>0</v>
      </c>
      <c r="G1110" s="8">
        <v>15</v>
      </c>
      <c r="H1110" s="8" t="s">
        <v>2541</v>
      </c>
      <c r="I1110" s="8">
        <v>526.6875</v>
      </c>
      <c r="J1110" s="3">
        <f t="shared" si="17"/>
        <v>43747.518512060182</v>
      </c>
    </row>
    <row r="1111" spans="1:10" x14ac:dyDescent="0.25">
      <c r="A1111" s="5" t="s">
        <v>2542</v>
      </c>
      <c r="B1111" s="6">
        <v>393.75</v>
      </c>
      <c r="C1111" s="6">
        <v>20.531590000000001</v>
      </c>
      <c r="D1111" s="6">
        <v>58</v>
      </c>
      <c r="E1111" s="6">
        <v>0</v>
      </c>
      <c r="F1111" s="6">
        <v>0</v>
      </c>
      <c r="G1111" s="6">
        <v>17</v>
      </c>
      <c r="H1111" s="6" t="s">
        <v>2543</v>
      </c>
      <c r="I1111" s="6">
        <v>526.6875</v>
      </c>
      <c r="J1111" s="2">
        <f t="shared" si="17"/>
        <v>43747.518595335649</v>
      </c>
    </row>
    <row r="1112" spans="1:10" x14ac:dyDescent="0.25">
      <c r="A1112" s="7" t="s">
        <v>2544</v>
      </c>
      <c r="B1112" s="8">
        <v>393.75</v>
      </c>
      <c r="C1112" s="8">
        <v>20.584240000000001</v>
      </c>
      <c r="D1112" s="8">
        <v>56</v>
      </c>
      <c r="E1112" s="8">
        <v>0</v>
      </c>
      <c r="F1112" s="8">
        <v>0</v>
      </c>
      <c r="G1112" s="8">
        <v>15</v>
      </c>
      <c r="H1112" s="8" t="s">
        <v>2545</v>
      </c>
      <c r="I1112" s="8">
        <v>526.6875</v>
      </c>
      <c r="J1112" s="3">
        <f t="shared" si="17"/>
        <v>43747.518678541666</v>
      </c>
    </row>
    <row r="1113" spans="1:10" x14ac:dyDescent="0.25">
      <c r="A1113" s="5" t="s">
        <v>2546</v>
      </c>
      <c r="B1113" s="6">
        <v>393.75</v>
      </c>
      <c r="C1113" s="6">
        <v>20.531590000000001</v>
      </c>
      <c r="D1113" s="6">
        <v>56</v>
      </c>
      <c r="E1113" s="6">
        <v>0</v>
      </c>
      <c r="F1113" s="6">
        <v>0</v>
      </c>
      <c r="G1113" s="6">
        <v>10</v>
      </c>
      <c r="H1113" s="6" t="s">
        <v>2547</v>
      </c>
      <c r="I1113" s="6">
        <v>526.6875</v>
      </c>
      <c r="J1113" s="2">
        <f t="shared" si="17"/>
        <v>43747.518750312498</v>
      </c>
    </row>
    <row r="1114" spans="1:10" x14ac:dyDescent="0.25">
      <c r="A1114" s="7" t="s">
        <v>2548</v>
      </c>
      <c r="B1114" s="8">
        <v>393.75</v>
      </c>
      <c r="C1114" s="8">
        <v>20.584240000000001</v>
      </c>
      <c r="D1114" s="8">
        <v>55</v>
      </c>
      <c r="E1114" s="8">
        <v>0</v>
      </c>
      <c r="F1114" s="8">
        <v>0</v>
      </c>
      <c r="G1114" s="8">
        <v>9</v>
      </c>
      <c r="H1114" s="8" t="s">
        <v>2549</v>
      </c>
      <c r="I1114" s="8">
        <v>526.6875</v>
      </c>
      <c r="J1114" s="3">
        <f t="shared" si="17"/>
        <v>43747.518833749993</v>
      </c>
    </row>
    <row r="1115" spans="1:10" x14ac:dyDescent="0.25">
      <c r="A1115" s="5" t="s">
        <v>2550</v>
      </c>
      <c r="B1115" s="6">
        <v>393.75</v>
      </c>
      <c r="C1115" s="6">
        <v>20.531590000000001</v>
      </c>
      <c r="D1115" s="6">
        <v>55</v>
      </c>
      <c r="E1115" s="6">
        <v>0</v>
      </c>
      <c r="F1115" s="6">
        <v>0</v>
      </c>
      <c r="G1115" s="6">
        <v>3</v>
      </c>
      <c r="H1115" s="6" t="s">
        <v>2551</v>
      </c>
      <c r="I1115" s="6">
        <v>526.6875</v>
      </c>
      <c r="J1115" s="2">
        <f t="shared" si="17"/>
        <v>43747.518905497687</v>
      </c>
    </row>
    <row r="1116" spans="1:10" x14ac:dyDescent="0.25">
      <c r="A1116" s="7" t="s">
        <v>2552</v>
      </c>
      <c r="B1116" s="8">
        <v>393.75</v>
      </c>
      <c r="C1116" s="8">
        <v>20.584240000000001</v>
      </c>
      <c r="D1116" s="8">
        <v>55</v>
      </c>
      <c r="E1116" s="8">
        <v>0</v>
      </c>
      <c r="F1116" s="8">
        <v>0</v>
      </c>
      <c r="G1116" s="8">
        <v>2</v>
      </c>
      <c r="H1116" s="8" t="s">
        <v>2553</v>
      </c>
      <c r="I1116" s="8">
        <v>526.6875</v>
      </c>
      <c r="J1116" s="3">
        <f t="shared" si="17"/>
        <v>43747.518976932864</v>
      </c>
    </row>
    <row r="1117" spans="1:10" x14ac:dyDescent="0.25">
      <c r="A1117" s="5" t="s">
        <v>2554</v>
      </c>
      <c r="B1117" s="6">
        <v>393.75</v>
      </c>
      <c r="C1117" s="6">
        <v>20.584240000000001</v>
      </c>
      <c r="D1117" s="6">
        <v>55</v>
      </c>
      <c r="E1117" s="6">
        <v>0</v>
      </c>
      <c r="F1117" s="6">
        <v>0</v>
      </c>
      <c r="G1117" s="6">
        <v>0</v>
      </c>
      <c r="H1117" s="6" t="s">
        <v>2555</v>
      </c>
      <c r="I1117" s="6">
        <v>526.6875</v>
      </c>
      <c r="J1117" s="2">
        <f t="shared" si="17"/>
        <v>43747.51906006944</v>
      </c>
    </row>
    <row r="1118" spans="1:10" x14ac:dyDescent="0.25">
      <c r="A1118" s="7" t="s">
        <v>2556</v>
      </c>
      <c r="B1118" s="8">
        <v>393.75</v>
      </c>
      <c r="C1118" s="8">
        <v>20.584240000000001</v>
      </c>
      <c r="D1118" s="8">
        <v>55</v>
      </c>
      <c r="E1118" s="8">
        <v>0</v>
      </c>
      <c r="F1118" s="8">
        <v>0</v>
      </c>
      <c r="G1118" s="8">
        <v>0</v>
      </c>
      <c r="H1118" s="8" t="s">
        <v>2557</v>
      </c>
      <c r="I1118" s="8">
        <v>526.6875</v>
      </c>
      <c r="J1118" s="3">
        <f t="shared" si="17"/>
        <v>43747.519131307869</v>
      </c>
    </row>
    <row r="1119" spans="1:10" x14ac:dyDescent="0.25">
      <c r="A1119" s="5" t="s">
        <v>2558</v>
      </c>
      <c r="B1119" s="6">
        <v>393.75</v>
      </c>
      <c r="C1119" s="6">
        <v>20.584240000000001</v>
      </c>
      <c r="D1119" s="6">
        <v>55</v>
      </c>
      <c r="E1119" s="6">
        <v>0</v>
      </c>
      <c r="F1119" s="6">
        <v>0</v>
      </c>
      <c r="G1119" s="6">
        <v>2</v>
      </c>
      <c r="H1119" s="6" t="s">
        <v>2559</v>
      </c>
      <c r="I1119" s="6">
        <v>526.6875</v>
      </c>
      <c r="J1119" s="2">
        <f t="shared" si="17"/>
        <v>43747.519203530093</v>
      </c>
    </row>
    <row r="1120" spans="1:10" x14ac:dyDescent="0.25">
      <c r="A1120" s="7" t="s">
        <v>2560</v>
      </c>
      <c r="B1120" s="8">
        <v>393.75</v>
      </c>
      <c r="C1120" s="8">
        <v>20.531590000000001</v>
      </c>
      <c r="D1120" s="8">
        <v>55</v>
      </c>
      <c r="E1120" s="8">
        <v>0</v>
      </c>
      <c r="F1120" s="8">
        <v>0</v>
      </c>
      <c r="G1120" s="8">
        <v>0</v>
      </c>
      <c r="H1120" s="8" t="s">
        <v>2561</v>
      </c>
      <c r="I1120" s="8">
        <v>526.6875</v>
      </c>
      <c r="J1120" s="3">
        <f t="shared" si="17"/>
        <v>43747.519286898147</v>
      </c>
    </row>
    <row r="1121" spans="1:10" x14ac:dyDescent="0.25">
      <c r="A1121" s="5" t="s">
        <v>2562</v>
      </c>
      <c r="B1121" s="6">
        <v>431.25</v>
      </c>
      <c r="C1121" s="6">
        <v>20.531590000000001</v>
      </c>
      <c r="D1121" s="6">
        <v>55</v>
      </c>
      <c r="E1121" s="6">
        <v>0</v>
      </c>
      <c r="F1121" s="6">
        <v>0</v>
      </c>
      <c r="G1121" s="6">
        <v>11</v>
      </c>
      <c r="H1121" s="6" t="s">
        <v>2563</v>
      </c>
      <c r="I1121" s="6">
        <v>538.6875</v>
      </c>
      <c r="J1121" s="2">
        <f t="shared" si="17"/>
        <v>43747.519370428236</v>
      </c>
    </row>
    <row r="1122" spans="1:10" x14ac:dyDescent="0.25">
      <c r="A1122" s="7" t="s">
        <v>2564</v>
      </c>
      <c r="B1122" s="8">
        <v>393.75</v>
      </c>
      <c r="C1122" s="8">
        <v>20.584240000000001</v>
      </c>
      <c r="D1122" s="8">
        <v>51</v>
      </c>
      <c r="E1122" s="8">
        <v>0</v>
      </c>
      <c r="F1122" s="8">
        <v>0</v>
      </c>
      <c r="G1122" s="8">
        <v>4</v>
      </c>
      <c r="H1122" s="8" t="s">
        <v>2565</v>
      </c>
      <c r="I1122" s="8">
        <v>526.6875</v>
      </c>
      <c r="J1122" s="3">
        <f t="shared" si="17"/>
        <v>43747.519453877314</v>
      </c>
    </row>
    <row r="1123" spans="1:10" x14ac:dyDescent="0.25">
      <c r="A1123" s="5" t="s">
        <v>2566</v>
      </c>
      <c r="B1123" s="6">
        <v>393.75</v>
      </c>
      <c r="C1123" s="6">
        <v>20.584240000000001</v>
      </c>
      <c r="D1123" s="6">
        <v>51</v>
      </c>
      <c r="E1123" s="6">
        <v>0</v>
      </c>
      <c r="F1123" s="6">
        <v>0</v>
      </c>
      <c r="G1123" s="6">
        <v>0</v>
      </c>
      <c r="H1123" s="6" t="s">
        <v>2567</v>
      </c>
      <c r="I1123" s="6">
        <v>526.6875</v>
      </c>
      <c r="J1123" s="2">
        <f t="shared" si="17"/>
        <v>43747.519537337961</v>
      </c>
    </row>
    <row r="1124" spans="1:10" x14ac:dyDescent="0.25">
      <c r="A1124" s="7" t="s">
        <v>2568</v>
      </c>
      <c r="B1124" s="8">
        <v>393.75</v>
      </c>
      <c r="C1124" s="8">
        <v>20.531590000000001</v>
      </c>
      <c r="D1124" s="8">
        <v>51</v>
      </c>
      <c r="E1124" s="8">
        <v>0</v>
      </c>
      <c r="F1124" s="8">
        <v>0</v>
      </c>
      <c r="G1124" s="8">
        <v>2</v>
      </c>
      <c r="H1124" s="8" t="s">
        <v>2569</v>
      </c>
      <c r="I1124" s="8">
        <v>526.6875</v>
      </c>
      <c r="J1124" s="3">
        <f t="shared" si="17"/>
        <v>43747.519620787039</v>
      </c>
    </row>
    <row r="1125" spans="1:10" x14ac:dyDescent="0.25">
      <c r="A1125" s="5" t="s">
        <v>2570</v>
      </c>
      <c r="B1125" s="6">
        <v>393.75</v>
      </c>
      <c r="C1125" s="6">
        <v>20.531590000000001</v>
      </c>
      <c r="D1125" s="6">
        <v>53</v>
      </c>
      <c r="E1125" s="6">
        <v>0</v>
      </c>
      <c r="F1125" s="6">
        <v>0</v>
      </c>
      <c r="G1125" s="6">
        <v>10</v>
      </c>
      <c r="H1125" s="6" t="s">
        <v>2571</v>
      </c>
      <c r="I1125" s="6">
        <v>526.6875</v>
      </c>
      <c r="J1125" s="2">
        <f t="shared" si="17"/>
        <v>43747.519692303242</v>
      </c>
    </row>
    <row r="1126" spans="1:10" x14ac:dyDescent="0.25">
      <c r="A1126" s="7" t="s">
        <v>2572</v>
      </c>
      <c r="B1126" s="8">
        <v>393.75</v>
      </c>
      <c r="C1126" s="8">
        <v>20.584240000000001</v>
      </c>
      <c r="D1126" s="8">
        <v>53</v>
      </c>
      <c r="E1126" s="8">
        <v>0</v>
      </c>
      <c r="F1126" s="8">
        <v>0</v>
      </c>
      <c r="G1126" s="8">
        <v>9</v>
      </c>
      <c r="H1126" s="8" t="s">
        <v>2573</v>
      </c>
      <c r="I1126" s="8">
        <v>526.6875</v>
      </c>
      <c r="J1126" s="3">
        <f t="shared" si="17"/>
        <v>43747.519788611105</v>
      </c>
    </row>
    <row r="1127" spans="1:10" x14ac:dyDescent="0.25">
      <c r="A1127" s="5" t="s">
        <v>2574</v>
      </c>
      <c r="B1127" s="6">
        <v>393.75</v>
      </c>
      <c r="C1127" s="6">
        <v>20.531590000000001</v>
      </c>
      <c r="D1127" s="6">
        <v>53</v>
      </c>
      <c r="E1127" s="6">
        <v>0</v>
      </c>
      <c r="F1127" s="6">
        <v>0</v>
      </c>
      <c r="G1127" s="6">
        <v>10</v>
      </c>
      <c r="H1127" s="6" t="s">
        <v>2575</v>
      </c>
      <c r="I1127" s="6">
        <v>526.6875</v>
      </c>
      <c r="J1127" s="2">
        <f t="shared" si="17"/>
        <v>43747.519871261575</v>
      </c>
    </row>
    <row r="1128" spans="1:10" x14ac:dyDescent="0.25">
      <c r="A1128" s="7" t="s">
        <v>2576</v>
      </c>
      <c r="B1128" s="8">
        <v>412.5</v>
      </c>
      <c r="C1128" s="8">
        <v>20.531590000000001</v>
      </c>
      <c r="D1128" s="8">
        <v>54</v>
      </c>
      <c r="E1128" s="8">
        <v>0</v>
      </c>
      <c r="F1128" s="8">
        <v>0</v>
      </c>
      <c r="G1128" s="8">
        <v>8</v>
      </c>
      <c r="H1128" s="8" t="s">
        <v>2577</v>
      </c>
      <c r="I1128" s="8">
        <v>532.5</v>
      </c>
      <c r="J1128" s="3">
        <f t="shared" si="17"/>
        <v>43747.519954722222</v>
      </c>
    </row>
    <row r="1129" spans="1:10" x14ac:dyDescent="0.25">
      <c r="A1129" s="5" t="s">
        <v>2578</v>
      </c>
      <c r="B1129" s="6">
        <v>393.75</v>
      </c>
      <c r="C1129" s="6">
        <v>20.531590000000001</v>
      </c>
      <c r="D1129" s="6">
        <v>53</v>
      </c>
      <c r="E1129" s="6">
        <v>0</v>
      </c>
      <c r="F1129" s="6">
        <v>0</v>
      </c>
      <c r="G1129" s="6">
        <v>8</v>
      </c>
      <c r="H1129" s="6" t="s">
        <v>2579</v>
      </c>
      <c r="I1129" s="6">
        <v>526.6875</v>
      </c>
      <c r="J1129" s="2">
        <f t="shared" si="17"/>
        <v>43747.520037916664</v>
      </c>
    </row>
    <row r="1130" spans="1:10" x14ac:dyDescent="0.25">
      <c r="A1130" s="7" t="s">
        <v>2580</v>
      </c>
      <c r="B1130" s="8">
        <v>393.75</v>
      </c>
      <c r="C1130" s="8">
        <v>20.531590000000001</v>
      </c>
      <c r="D1130" s="8">
        <v>53</v>
      </c>
      <c r="E1130" s="8">
        <v>0</v>
      </c>
      <c r="F1130" s="8">
        <v>0</v>
      </c>
      <c r="G1130" s="8">
        <v>5</v>
      </c>
      <c r="H1130" s="8" t="s">
        <v>2581</v>
      </c>
      <c r="I1130" s="8">
        <v>526.6875</v>
      </c>
      <c r="J1130" s="3">
        <f t="shared" si="17"/>
        <v>43747.520109456011</v>
      </c>
    </row>
    <row r="1131" spans="1:10" x14ac:dyDescent="0.25">
      <c r="A1131" s="5" t="s">
        <v>2582</v>
      </c>
      <c r="B1131" s="6">
        <v>393.75</v>
      </c>
      <c r="C1131" s="6">
        <v>20.478950000000001</v>
      </c>
      <c r="D1131" s="6">
        <v>54</v>
      </c>
      <c r="E1131" s="6">
        <v>0</v>
      </c>
      <c r="F1131" s="6">
        <v>0</v>
      </c>
      <c r="G1131" s="6">
        <v>4</v>
      </c>
      <c r="H1131" s="6" t="s">
        <v>2583</v>
      </c>
      <c r="I1131" s="6">
        <v>526.6875</v>
      </c>
      <c r="J1131" s="2">
        <f t="shared" si="17"/>
        <v>43747.52019314815</v>
      </c>
    </row>
    <row r="1132" spans="1:10" x14ac:dyDescent="0.25">
      <c r="A1132" s="7" t="s">
        <v>2584</v>
      </c>
      <c r="B1132" s="8">
        <v>393.75</v>
      </c>
      <c r="C1132" s="8">
        <v>20.584240000000001</v>
      </c>
      <c r="D1132" s="8">
        <v>54</v>
      </c>
      <c r="E1132" s="8">
        <v>0</v>
      </c>
      <c r="F1132" s="8">
        <v>0</v>
      </c>
      <c r="G1132" s="8">
        <v>6</v>
      </c>
      <c r="H1132" s="8" t="s">
        <v>2585</v>
      </c>
      <c r="I1132" s="8">
        <v>526.6875</v>
      </c>
      <c r="J1132" s="3">
        <f t="shared" si="17"/>
        <v>43747.520276585645</v>
      </c>
    </row>
    <row r="1133" spans="1:10" x14ac:dyDescent="0.25">
      <c r="A1133" s="5" t="s">
        <v>2586</v>
      </c>
      <c r="B1133" s="6">
        <v>412.5</v>
      </c>
      <c r="C1133" s="6">
        <v>20.531590000000001</v>
      </c>
      <c r="D1133" s="6">
        <v>55</v>
      </c>
      <c r="E1133" s="6">
        <v>0</v>
      </c>
      <c r="F1133" s="6">
        <v>0</v>
      </c>
      <c r="G1133" s="6">
        <v>4</v>
      </c>
      <c r="H1133" s="6" t="s">
        <v>2587</v>
      </c>
      <c r="I1133" s="6">
        <v>532.3125</v>
      </c>
      <c r="J1133" s="2">
        <f t="shared" si="17"/>
        <v>43747.520360034723</v>
      </c>
    </row>
    <row r="1134" spans="1:10" x14ac:dyDescent="0.25">
      <c r="A1134" s="7" t="s">
        <v>2588</v>
      </c>
      <c r="B1134" s="8">
        <v>393.75</v>
      </c>
      <c r="C1134" s="8">
        <v>20.531590000000001</v>
      </c>
      <c r="D1134" s="8">
        <v>55</v>
      </c>
      <c r="E1134" s="8">
        <v>0</v>
      </c>
      <c r="F1134" s="8">
        <v>0</v>
      </c>
      <c r="G1134" s="8">
        <v>12</v>
      </c>
      <c r="H1134" s="8" t="s">
        <v>2589</v>
      </c>
      <c r="I1134" s="8">
        <v>526.6875</v>
      </c>
      <c r="J1134" s="3">
        <f t="shared" si="17"/>
        <v>43747.520443599533</v>
      </c>
    </row>
    <row r="1135" spans="1:10" x14ac:dyDescent="0.25">
      <c r="A1135" s="5" t="s">
        <v>2590</v>
      </c>
      <c r="B1135" s="6">
        <v>393.75</v>
      </c>
      <c r="C1135" s="6">
        <v>20.478950000000001</v>
      </c>
      <c r="D1135" s="6">
        <v>57</v>
      </c>
      <c r="E1135" s="6">
        <v>0</v>
      </c>
      <c r="F1135" s="6">
        <v>0</v>
      </c>
      <c r="G1135" s="6">
        <v>13</v>
      </c>
      <c r="H1135" s="6" t="s">
        <v>2591</v>
      </c>
      <c r="I1135" s="6">
        <v>526.6875</v>
      </c>
      <c r="J1135" s="2">
        <f t="shared" si="17"/>
        <v>43747.520526701388</v>
      </c>
    </row>
    <row r="1136" spans="1:10" x14ac:dyDescent="0.25">
      <c r="A1136" s="7" t="s">
        <v>2592</v>
      </c>
      <c r="B1136" s="8">
        <v>393.75</v>
      </c>
      <c r="C1136" s="8">
        <v>20.584240000000001</v>
      </c>
      <c r="D1136" s="8">
        <v>56</v>
      </c>
      <c r="E1136" s="8">
        <v>0</v>
      </c>
      <c r="F1136" s="8">
        <v>0</v>
      </c>
      <c r="G1136" s="8">
        <v>10</v>
      </c>
      <c r="H1136" s="8" t="s">
        <v>2593</v>
      </c>
      <c r="I1136" s="8">
        <v>526.6875</v>
      </c>
      <c r="J1136" s="3">
        <f t="shared" si="17"/>
        <v>43747.520598703697</v>
      </c>
    </row>
    <row r="1137" spans="1:10" x14ac:dyDescent="0.25">
      <c r="A1137" s="5" t="s">
        <v>2594</v>
      </c>
      <c r="B1137" s="6">
        <v>393.75</v>
      </c>
      <c r="C1137" s="6">
        <v>20.531590000000001</v>
      </c>
      <c r="D1137" s="6">
        <v>56</v>
      </c>
      <c r="E1137" s="6">
        <v>0</v>
      </c>
      <c r="F1137" s="6">
        <v>0</v>
      </c>
      <c r="G1137" s="6">
        <v>0</v>
      </c>
      <c r="H1137" s="6" t="s">
        <v>2595</v>
      </c>
      <c r="I1137" s="6">
        <v>526.5</v>
      </c>
      <c r="J1137" s="2">
        <f t="shared" si="17"/>
        <v>43747.520682152775</v>
      </c>
    </row>
    <row r="1138" spans="1:10" x14ac:dyDescent="0.25">
      <c r="A1138" s="7" t="s">
        <v>2596</v>
      </c>
      <c r="B1138" s="8">
        <v>393.75</v>
      </c>
      <c r="C1138" s="8">
        <v>20.478950000000001</v>
      </c>
      <c r="D1138" s="8">
        <v>57</v>
      </c>
      <c r="E1138" s="8">
        <v>0</v>
      </c>
      <c r="F1138" s="8">
        <v>0</v>
      </c>
      <c r="G1138" s="8">
        <v>8</v>
      </c>
      <c r="H1138" s="8" t="s">
        <v>2597</v>
      </c>
      <c r="I1138" s="8">
        <v>526.6875</v>
      </c>
      <c r="J1138" s="3">
        <f t="shared" si="17"/>
        <v>43747.520753553239</v>
      </c>
    </row>
    <row r="1139" spans="1:10" x14ac:dyDescent="0.25">
      <c r="A1139" s="5" t="s">
        <v>2598</v>
      </c>
      <c r="B1139" s="6">
        <v>393.75</v>
      </c>
      <c r="C1139" s="6">
        <v>20.584240000000001</v>
      </c>
      <c r="D1139" s="6">
        <v>57</v>
      </c>
      <c r="E1139" s="6">
        <v>0</v>
      </c>
      <c r="F1139" s="6">
        <v>0</v>
      </c>
      <c r="G1139" s="6">
        <v>0</v>
      </c>
      <c r="H1139" s="6" t="s">
        <v>2599</v>
      </c>
      <c r="I1139" s="6">
        <v>526.6875</v>
      </c>
      <c r="J1139" s="2">
        <f t="shared" si="17"/>
        <v>43747.520837013886</v>
      </c>
    </row>
    <row r="1140" spans="1:10" x14ac:dyDescent="0.25">
      <c r="A1140" s="7" t="s">
        <v>2600</v>
      </c>
      <c r="B1140" s="8">
        <v>393.75</v>
      </c>
      <c r="C1140" s="8">
        <v>20.584240000000001</v>
      </c>
      <c r="D1140" s="8">
        <v>57</v>
      </c>
      <c r="E1140" s="8">
        <v>0</v>
      </c>
      <c r="F1140" s="8">
        <v>0</v>
      </c>
      <c r="G1140" s="8">
        <v>12</v>
      </c>
      <c r="H1140" s="8" t="s">
        <v>2601</v>
      </c>
      <c r="I1140" s="8">
        <v>526.6875</v>
      </c>
      <c r="J1140" s="3">
        <f t="shared" si="17"/>
        <v>43747.520920451389</v>
      </c>
    </row>
    <row r="1141" spans="1:10" x14ac:dyDescent="0.25">
      <c r="A1141" s="5" t="s">
        <v>2602</v>
      </c>
      <c r="B1141" s="6">
        <v>393.75</v>
      </c>
      <c r="C1141" s="6">
        <v>20.584240000000001</v>
      </c>
      <c r="D1141" s="6">
        <v>56</v>
      </c>
      <c r="E1141" s="6">
        <v>0</v>
      </c>
      <c r="F1141" s="6">
        <v>0</v>
      </c>
      <c r="G1141" s="6">
        <v>8</v>
      </c>
      <c r="H1141" s="6" t="s">
        <v>2603</v>
      </c>
      <c r="I1141" s="6">
        <v>526.5</v>
      </c>
      <c r="J1141" s="2">
        <f t="shared" si="17"/>
        <v>43747.52100400463</v>
      </c>
    </row>
    <row r="1142" spans="1:10" x14ac:dyDescent="0.25">
      <c r="A1142" s="7" t="s">
        <v>2604</v>
      </c>
      <c r="B1142" s="8">
        <v>393.75</v>
      </c>
      <c r="C1142" s="8">
        <v>20.531590000000001</v>
      </c>
      <c r="D1142" s="8">
        <v>56</v>
      </c>
      <c r="E1142" s="8">
        <v>0</v>
      </c>
      <c r="F1142" s="8">
        <v>0</v>
      </c>
      <c r="G1142" s="8">
        <v>6</v>
      </c>
      <c r="H1142" s="8" t="s">
        <v>2605</v>
      </c>
      <c r="I1142" s="8">
        <v>526.6875</v>
      </c>
      <c r="J1142" s="3">
        <f t="shared" si="17"/>
        <v>43747.521087453701</v>
      </c>
    </row>
    <row r="1143" spans="1:10" x14ac:dyDescent="0.25">
      <c r="A1143" s="5" t="s">
        <v>2606</v>
      </c>
      <c r="B1143" s="6">
        <v>393.75</v>
      </c>
      <c r="C1143" s="6">
        <v>20.584240000000001</v>
      </c>
      <c r="D1143" s="6">
        <v>59</v>
      </c>
      <c r="E1143" s="6">
        <v>0</v>
      </c>
      <c r="F1143" s="6">
        <v>0</v>
      </c>
      <c r="G1143" s="6">
        <v>2</v>
      </c>
      <c r="H1143" s="6" t="s">
        <v>2607</v>
      </c>
      <c r="I1143" s="6">
        <v>526.5</v>
      </c>
      <c r="J1143" s="2">
        <f t="shared" si="17"/>
        <v>43747.521170925924</v>
      </c>
    </row>
    <row r="1144" spans="1:10" x14ac:dyDescent="0.25">
      <c r="A1144" s="7" t="s">
        <v>2608</v>
      </c>
      <c r="B1144" s="8">
        <v>393.75</v>
      </c>
      <c r="C1144" s="8">
        <v>20.584240000000001</v>
      </c>
      <c r="D1144" s="8">
        <v>59</v>
      </c>
      <c r="E1144" s="8">
        <v>0</v>
      </c>
      <c r="F1144" s="8">
        <v>0</v>
      </c>
      <c r="G1144" s="8">
        <v>5</v>
      </c>
      <c r="H1144" s="8" t="s">
        <v>2609</v>
      </c>
      <c r="I1144" s="8">
        <v>526.6875</v>
      </c>
      <c r="J1144" s="3">
        <f t="shared" si="17"/>
        <v>43747.521254363419</v>
      </c>
    </row>
    <row r="1145" spans="1:10" x14ac:dyDescent="0.25">
      <c r="A1145" s="5" t="s">
        <v>2610</v>
      </c>
      <c r="B1145" s="6">
        <v>393.75</v>
      </c>
      <c r="C1145" s="6">
        <v>20.584240000000001</v>
      </c>
      <c r="D1145" s="6">
        <v>59</v>
      </c>
      <c r="E1145" s="6">
        <v>0</v>
      </c>
      <c r="F1145" s="6">
        <v>0</v>
      </c>
      <c r="G1145" s="6">
        <v>6</v>
      </c>
      <c r="H1145" s="6" t="s">
        <v>2611</v>
      </c>
      <c r="I1145" s="6">
        <v>526.6875</v>
      </c>
      <c r="J1145" s="2">
        <f t="shared" si="17"/>
        <v>43747.521337812497</v>
      </c>
    </row>
    <row r="1146" spans="1:10" x14ac:dyDescent="0.25">
      <c r="A1146" s="7" t="s">
        <v>2612</v>
      </c>
      <c r="B1146" s="8">
        <v>393.75</v>
      </c>
      <c r="C1146" s="8">
        <v>20.531590000000001</v>
      </c>
      <c r="D1146" s="8">
        <v>60</v>
      </c>
      <c r="E1146" s="8">
        <v>0</v>
      </c>
      <c r="F1146" s="8">
        <v>0</v>
      </c>
      <c r="G1146" s="8">
        <v>13</v>
      </c>
      <c r="H1146" s="8" t="s">
        <v>2613</v>
      </c>
      <c r="I1146" s="8">
        <v>526.6875</v>
      </c>
      <c r="J1146" s="3">
        <f t="shared" si="17"/>
        <v>43747.521421400459</v>
      </c>
    </row>
    <row r="1147" spans="1:10" x14ac:dyDescent="0.25">
      <c r="A1147" s="5" t="s">
        <v>2614</v>
      </c>
      <c r="B1147" s="6">
        <v>393.75</v>
      </c>
      <c r="C1147" s="6">
        <v>20.584240000000001</v>
      </c>
      <c r="D1147" s="6">
        <v>59</v>
      </c>
      <c r="E1147" s="6">
        <v>0</v>
      </c>
      <c r="F1147" s="6">
        <v>0</v>
      </c>
      <c r="G1147" s="6">
        <v>15</v>
      </c>
      <c r="H1147" s="6" t="s">
        <v>2615</v>
      </c>
      <c r="I1147" s="6">
        <v>526.6875</v>
      </c>
      <c r="J1147" s="2">
        <f t="shared" si="17"/>
        <v>43747.521504479162</v>
      </c>
    </row>
    <row r="1148" spans="1:10" x14ac:dyDescent="0.25">
      <c r="A1148" s="7" t="s">
        <v>2616</v>
      </c>
      <c r="B1148" s="8">
        <v>393.75</v>
      </c>
      <c r="C1148" s="8">
        <v>20.584240000000001</v>
      </c>
      <c r="D1148" s="8">
        <v>59</v>
      </c>
      <c r="E1148" s="8">
        <v>0</v>
      </c>
      <c r="F1148" s="8">
        <v>0</v>
      </c>
      <c r="G1148" s="8">
        <v>6</v>
      </c>
      <c r="H1148" s="8" t="s">
        <v>2617</v>
      </c>
      <c r="I1148" s="8">
        <v>526.6875</v>
      </c>
      <c r="J1148" s="3">
        <f t="shared" si="17"/>
        <v>43747.521576134255</v>
      </c>
    </row>
    <row r="1149" spans="1:10" x14ac:dyDescent="0.25">
      <c r="A1149" s="5" t="s">
        <v>2618</v>
      </c>
      <c r="B1149" s="6">
        <v>393.75</v>
      </c>
      <c r="C1149" s="6">
        <v>20.584240000000001</v>
      </c>
      <c r="D1149" s="6">
        <v>57</v>
      </c>
      <c r="E1149" s="6">
        <v>0</v>
      </c>
      <c r="F1149" s="6">
        <v>0</v>
      </c>
      <c r="G1149" s="6">
        <v>0</v>
      </c>
      <c r="H1149" s="6" t="s">
        <v>2619</v>
      </c>
      <c r="I1149" s="6">
        <v>526.5</v>
      </c>
      <c r="J1149" s="2">
        <f t="shared" si="17"/>
        <v>43747.521659803235</v>
      </c>
    </row>
    <row r="1150" spans="1:10" x14ac:dyDescent="0.25">
      <c r="A1150" s="7" t="s">
        <v>2620</v>
      </c>
      <c r="B1150" s="8">
        <v>393.75</v>
      </c>
      <c r="C1150" s="8">
        <v>20.531590000000001</v>
      </c>
      <c r="D1150" s="8">
        <v>57</v>
      </c>
      <c r="E1150" s="8">
        <v>0</v>
      </c>
      <c r="F1150" s="8">
        <v>0</v>
      </c>
      <c r="G1150" s="8">
        <v>3</v>
      </c>
      <c r="H1150" s="8" t="s">
        <v>2621</v>
      </c>
      <c r="I1150" s="8">
        <v>526.6875</v>
      </c>
      <c r="J1150" s="3">
        <f t="shared" si="17"/>
        <v>43747.521743252313</v>
      </c>
    </row>
    <row r="1151" spans="1:10" x14ac:dyDescent="0.25">
      <c r="A1151" s="5" t="s">
        <v>2622</v>
      </c>
      <c r="B1151" s="6">
        <v>393.75</v>
      </c>
      <c r="C1151" s="6">
        <v>20.584240000000001</v>
      </c>
      <c r="D1151" s="6">
        <v>56</v>
      </c>
      <c r="E1151" s="6">
        <v>0</v>
      </c>
      <c r="F1151" s="6">
        <v>0</v>
      </c>
      <c r="G1151" s="6">
        <v>10</v>
      </c>
      <c r="H1151" s="6" t="s">
        <v>2623</v>
      </c>
      <c r="I1151" s="6">
        <v>526.6875</v>
      </c>
      <c r="J1151" s="2">
        <f t="shared" si="17"/>
        <v>43747.52182671296</v>
      </c>
    </row>
    <row r="1152" spans="1:10" x14ac:dyDescent="0.25">
      <c r="A1152" s="7" t="s">
        <v>2624</v>
      </c>
      <c r="B1152" s="8">
        <v>393.75</v>
      </c>
      <c r="C1152" s="8">
        <v>20.584240000000001</v>
      </c>
      <c r="D1152" s="8">
        <v>56</v>
      </c>
      <c r="E1152" s="8">
        <v>0</v>
      </c>
      <c r="F1152" s="8">
        <v>0</v>
      </c>
      <c r="G1152" s="8">
        <v>7</v>
      </c>
      <c r="H1152" s="8" t="s">
        <v>2625</v>
      </c>
      <c r="I1152" s="8">
        <v>526.6875</v>
      </c>
      <c r="J1152" s="3">
        <f t="shared" si="17"/>
        <v>43747.521910300922</v>
      </c>
    </row>
    <row r="1153" spans="1:10" x14ac:dyDescent="0.25">
      <c r="A1153" s="5" t="s">
        <v>2626</v>
      </c>
      <c r="B1153" s="6">
        <v>393.75</v>
      </c>
      <c r="C1153" s="6">
        <v>20.531590000000001</v>
      </c>
      <c r="D1153" s="6">
        <v>56</v>
      </c>
      <c r="E1153" s="6">
        <v>0</v>
      </c>
      <c r="F1153" s="6">
        <v>0</v>
      </c>
      <c r="G1153" s="6">
        <v>7</v>
      </c>
      <c r="H1153" s="6" t="s">
        <v>2627</v>
      </c>
      <c r="I1153" s="6">
        <v>526.6875</v>
      </c>
      <c r="J1153" s="2">
        <f t="shared" si="17"/>
        <v>43747.521993391201</v>
      </c>
    </row>
    <row r="1154" spans="1:10" x14ac:dyDescent="0.25">
      <c r="A1154" s="7" t="s">
        <v>2628</v>
      </c>
      <c r="B1154" s="8">
        <v>393.75</v>
      </c>
      <c r="C1154" s="8">
        <v>20.531590000000001</v>
      </c>
      <c r="D1154" s="8">
        <v>57</v>
      </c>
      <c r="E1154" s="8">
        <v>0</v>
      </c>
      <c r="F1154" s="8">
        <v>0</v>
      </c>
      <c r="G1154" s="8">
        <v>5</v>
      </c>
      <c r="H1154" s="8" t="s">
        <v>2629</v>
      </c>
      <c r="I1154" s="8">
        <v>526.6875</v>
      </c>
      <c r="J1154" s="3">
        <f t="shared" ref="J1154:J1217" si="18">(H1154/86400000)+25569+(7/24)</f>
        <v>43747.522065231482</v>
      </c>
    </row>
    <row r="1155" spans="1:10" x14ac:dyDescent="0.25">
      <c r="A1155" s="5" t="s">
        <v>2630</v>
      </c>
      <c r="B1155" s="6">
        <v>393.75</v>
      </c>
      <c r="C1155" s="6">
        <v>20.584240000000001</v>
      </c>
      <c r="D1155" s="6">
        <v>57</v>
      </c>
      <c r="E1155" s="6">
        <v>0</v>
      </c>
      <c r="F1155" s="6">
        <v>0</v>
      </c>
      <c r="G1155" s="6">
        <v>7</v>
      </c>
      <c r="H1155" s="6" t="s">
        <v>2631</v>
      </c>
      <c r="I1155" s="6">
        <v>526.6875</v>
      </c>
      <c r="J1155" s="2">
        <f t="shared" si="18"/>
        <v>43747.522148703698</v>
      </c>
    </row>
    <row r="1156" spans="1:10" x14ac:dyDescent="0.25">
      <c r="A1156" s="7" t="s">
        <v>2632</v>
      </c>
      <c r="B1156" s="8">
        <v>393.75</v>
      </c>
      <c r="C1156" s="8">
        <v>20.584240000000001</v>
      </c>
      <c r="D1156" s="8">
        <v>56</v>
      </c>
      <c r="E1156" s="8">
        <v>0</v>
      </c>
      <c r="F1156" s="8">
        <v>0</v>
      </c>
      <c r="G1156" s="8">
        <v>0</v>
      </c>
      <c r="H1156" s="8" t="s">
        <v>2633</v>
      </c>
      <c r="I1156" s="8">
        <v>526.6875</v>
      </c>
      <c r="J1156" s="3">
        <f t="shared" si="18"/>
        <v>43747.522233310177</v>
      </c>
    </row>
    <row r="1157" spans="1:10" x14ac:dyDescent="0.25">
      <c r="A1157" s="5" t="s">
        <v>2634</v>
      </c>
      <c r="B1157" s="6">
        <v>393.75</v>
      </c>
      <c r="C1157" s="6">
        <v>20.531590000000001</v>
      </c>
      <c r="D1157" s="6">
        <v>57</v>
      </c>
      <c r="E1157" s="6">
        <v>0</v>
      </c>
      <c r="F1157" s="6">
        <v>0</v>
      </c>
      <c r="G1157" s="6">
        <v>0</v>
      </c>
      <c r="H1157" s="6" t="s">
        <v>2635</v>
      </c>
      <c r="I1157" s="6">
        <v>526.6875</v>
      </c>
      <c r="J1157" s="2">
        <f t="shared" si="18"/>
        <v>43747.522315590271</v>
      </c>
    </row>
    <row r="1158" spans="1:10" x14ac:dyDescent="0.25">
      <c r="A1158" s="7" t="s">
        <v>2636</v>
      </c>
      <c r="B1158" s="8">
        <v>412.5</v>
      </c>
      <c r="C1158" s="8">
        <v>20.531590000000001</v>
      </c>
      <c r="D1158" s="8">
        <v>56</v>
      </c>
      <c r="E1158" s="8">
        <v>0</v>
      </c>
      <c r="F1158" s="8">
        <v>0</v>
      </c>
      <c r="G1158" s="8">
        <v>1</v>
      </c>
      <c r="H1158" s="8" t="s">
        <v>2637</v>
      </c>
      <c r="I1158" s="8">
        <v>532.3125</v>
      </c>
      <c r="J1158" s="3">
        <f t="shared" si="18"/>
        <v>43747.522399155088</v>
      </c>
    </row>
    <row r="1159" spans="1:10" x14ac:dyDescent="0.25">
      <c r="A1159" s="5" t="s">
        <v>2638</v>
      </c>
      <c r="B1159" s="6">
        <v>393.75</v>
      </c>
      <c r="C1159" s="6">
        <v>20.584240000000001</v>
      </c>
      <c r="D1159" s="6">
        <v>56</v>
      </c>
      <c r="E1159" s="6">
        <v>0</v>
      </c>
      <c r="F1159" s="6">
        <v>0</v>
      </c>
      <c r="G1159" s="6">
        <v>11</v>
      </c>
      <c r="H1159" s="6" t="s">
        <v>2639</v>
      </c>
      <c r="I1159" s="6">
        <v>526.6875</v>
      </c>
      <c r="J1159" s="2">
        <f t="shared" si="18"/>
        <v>43747.52248226852</v>
      </c>
    </row>
    <row r="1160" spans="1:10" x14ac:dyDescent="0.25">
      <c r="A1160" s="7" t="s">
        <v>2640</v>
      </c>
      <c r="B1160" s="8">
        <v>393.75</v>
      </c>
      <c r="C1160" s="8">
        <v>20.531590000000001</v>
      </c>
      <c r="D1160" s="8">
        <v>55</v>
      </c>
      <c r="E1160" s="8">
        <v>0</v>
      </c>
      <c r="F1160" s="8">
        <v>0</v>
      </c>
      <c r="G1160" s="8">
        <v>1</v>
      </c>
      <c r="H1160" s="8" t="s">
        <v>2641</v>
      </c>
      <c r="I1160" s="8">
        <v>526.6875</v>
      </c>
      <c r="J1160" s="3">
        <f t="shared" si="18"/>
        <v>43747.522578020835</v>
      </c>
    </row>
    <row r="1161" spans="1:10" x14ac:dyDescent="0.25">
      <c r="A1161" s="5" t="s">
        <v>2642</v>
      </c>
      <c r="B1161" s="6">
        <v>393.75</v>
      </c>
      <c r="C1161" s="6">
        <v>20.584240000000001</v>
      </c>
      <c r="D1161" s="6">
        <v>55</v>
      </c>
      <c r="E1161" s="6">
        <v>0</v>
      </c>
      <c r="F1161" s="6">
        <v>0</v>
      </c>
      <c r="G1161" s="6">
        <v>0</v>
      </c>
      <c r="H1161" s="6" t="s">
        <v>2643</v>
      </c>
      <c r="I1161" s="6">
        <v>526.6875</v>
      </c>
      <c r="J1161" s="2">
        <f t="shared" si="18"/>
        <v>43747.522661481482</v>
      </c>
    </row>
    <row r="1162" spans="1:10" x14ac:dyDescent="0.25">
      <c r="A1162" s="7" t="s">
        <v>2644</v>
      </c>
      <c r="B1162" s="8">
        <v>393.75</v>
      </c>
      <c r="C1162" s="8">
        <v>20.531590000000001</v>
      </c>
      <c r="D1162" s="8">
        <v>55</v>
      </c>
      <c r="E1162" s="8">
        <v>0</v>
      </c>
      <c r="F1162" s="8">
        <v>0</v>
      </c>
      <c r="G1162" s="8">
        <v>8</v>
      </c>
      <c r="H1162" s="8" t="s">
        <v>2645</v>
      </c>
      <c r="I1162" s="8">
        <v>526.6875</v>
      </c>
      <c r="J1162" s="3">
        <f t="shared" si="18"/>
        <v>43747.522749085641</v>
      </c>
    </row>
    <row r="1163" spans="1:10" x14ac:dyDescent="0.25">
      <c r="A1163" s="5" t="s">
        <v>2646</v>
      </c>
      <c r="B1163" s="6">
        <v>393.75</v>
      </c>
      <c r="C1163" s="6">
        <v>20.531590000000001</v>
      </c>
      <c r="D1163" s="6">
        <v>55</v>
      </c>
      <c r="E1163" s="6">
        <v>0</v>
      </c>
      <c r="F1163" s="6">
        <v>0</v>
      </c>
      <c r="G1163" s="6">
        <v>0</v>
      </c>
      <c r="H1163" s="6" t="s">
        <v>2647</v>
      </c>
      <c r="I1163" s="6">
        <v>526.6875</v>
      </c>
      <c r="J1163" s="2">
        <f t="shared" si="18"/>
        <v>43747.522828379624</v>
      </c>
    </row>
    <row r="1164" spans="1:10" x14ac:dyDescent="0.25">
      <c r="A1164" s="7" t="s">
        <v>2648</v>
      </c>
      <c r="B1164" s="8">
        <v>393.75</v>
      </c>
      <c r="C1164" s="8">
        <v>20.584240000000001</v>
      </c>
      <c r="D1164" s="8">
        <v>55</v>
      </c>
      <c r="E1164" s="8">
        <v>0</v>
      </c>
      <c r="F1164" s="8">
        <v>0</v>
      </c>
      <c r="G1164" s="8">
        <v>4</v>
      </c>
      <c r="H1164" s="8" t="s">
        <v>2649</v>
      </c>
      <c r="I1164" s="8">
        <v>526.6875</v>
      </c>
      <c r="J1164" s="3">
        <f t="shared" si="18"/>
        <v>43747.5229124537</v>
      </c>
    </row>
    <row r="1165" spans="1:10" x14ac:dyDescent="0.25">
      <c r="A1165" s="5" t="s">
        <v>2650</v>
      </c>
      <c r="B1165" s="6">
        <v>393.75</v>
      </c>
      <c r="C1165" s="6">
        <v>20.584240000000001</v>
      </c>
      <c r="D1165" s="6">
        <v>55</v>
      </c>
      <c r="E1165" s="6">
        <v>0</v>
      </c>
      <c r="F1165" s="6">
        <v>0</v>
      </c>
      <c r="G1165" s="6">
        <v>0</v>
      </c>
      <c r="H1165" s="6" t="s">
        <v>2651</v>
      </c>
      <c r="I1165" s="6">
        <v>526.6875</v>
      </c>
      <c r="J1165" s="2">
        <f t="shared" si="18"/>
        <v>43747.522995381943</v>
      </c>
    </row>
    <row r="1166" spans="1:10" x14ac:dyDescent="0.25">
      <c r="A1166" s="7" t="s">
        <v>2652</v>
      </c>
      <c r="B1166" s="8">
        <v>393.75</v>
      </c>
      <c r="C1166" s="8">
        <v>20.478950000000001</v>
      </c>
      <c r="D1166" s="8">
        <v>54</v>
      </c>
      <c r="E1166" s="8">
        <v>0</v>
      </c>
      <c r="F1166" s="8">
        <v>0</v>
      </c>
      <c r="G1166" s="8">
        <v>7</v>
      </c>
      <c r="H1166" s="8" t="s">
        <v>2653</v>
      </c>
      <c r="I1166" s="8">
        <v>526.6875</v>
      </c>
      <c r="J1166" s="3">
        <f t="shared" si="18"/>
        <v>43747.523078587961</v>
      </c>
    </row>
    <row r="1167" spans="1:10" x14ac:dyDescent="0.25">
      <c r="A1167" s="5" t="s">
        <v>2654</v>
      </c>
      <c r="B1167" s="6">
        <v>393.75</v>
      </c>
      <c r="C1167" s="6">
        <v>20.584240000000001</v>
      </c>
      <c r="D1167" s="6">
        <v>54</v>
      </c>
      <c r="E1167" s="6">
        <v>0</v>
      </c>
      <c r="F1167" s="6">
        <v>0</v>
      </c>
      <c r="G1167" s="6">
        <v>3</v>
      </c>
      <c r="H1167" s="6" t="s">
        <v>2655</v>
      </c>
      <c r="I1167" s="6">
        <v>526.6875</v>
      </c>
      <c r="J1167" s="2">
        <f t="shared" si="18"/>
        <v>43747.523150219909</v>
      </c>
    </row>
    <row r="1168" spans="1:10" x14ac:dyDescent="0.25">
      <c r="A1168" s="7" t="s">
        <v>2656</v>
      </c>
      <c r="B1168" s="8">
        <v>393.75</v>
      </c>
      <c r="C1168" s="8">
        <v>20.584240000000001</v>
      </c>
      <c r="D1168" s="8">
        <v>56</v>
      </c>
      <c r="E1168" s="8">
        <v>0</v>
      </c>
      <c r="F1168" s="8">
        <v>0</v>
      </c>
      <c r="G1168" s="8">
        <v>2</v>
      </c>
      <c r="H1168" s="8" t="s">
        <v>2657</v>
      </c>
      <c r="I1168" s="8">
        <v>526.6875</v>
      </c>
      <c r="J1168" s="3">
        <f t="shared" si="18"/>
        <v>43747.523233796295</v>
      </c>
    </row>
    <row r="1169" spans="1:10" x14ac:dyDescent="0.25">
      <c r="A1169" s="5" t="s">
        <v>2658</v>
      </c>
      <c r="B1169" s="6">
        <v>393.75</v>
      </c>
      <c r="C1169" s="6">
        <v>20.584240000000001</v>
      </c>
      <c r="D1169" s="6">
        <v>55</v>
      </c>
      <c r="E1169" s="6">
        <v>0</v>
      </c>
      <c r="F1169" s="6">
        <v>0</v>
      </c>
      <c r="G1169" s="6">
        <v>3</v>
      </c>
      <c r="H1169" s="6" t="s">
        <v>2659</v>
      </c>
      <c r="I1169" s="6">
        <v>526.6875</v>
      </c>
      <c r="J1169" s="2">
        <f t="shared" si="18"/>
        <v>43747.523317256942</v>
      </c>
    </row>
    <row r="1170" spans="1:10" x14ac:dyDescent="0.25">
      <c r="A1170" s="7" t="s">
        <v>2660</v>
      </c>
      <c r="B1170" s="8">
        <v>393.75</v>
      </c>
      <c r="C1170" s="8">
        <v>20.531590000000001</v>
      </c>
      <c r="D1170" s="8">
        <v>56</v>
      </c>
      <c r="E1170" s="8">
        <v>0</v>
      </c>
      <c r="F1170" s="8">
        <v>0</v>
      </c>
      <c r="G1170" s="8">
        <v>11</v>
      </c>
      <c r="H1170" s="8" t="s">
        <v>2661</v>
      </c>
      <c r="I1170" s="8">
        <v>526.6875</v>
      </c>
      <c r="J1170" s="3">
        <f t="shared" si="18"/>
        <v>43747.523400821759</v>
      </c>
    </row>
    <row r="1171" spans="1:10" x14ac:dyDescent="0.25">
      <c r="A1171" s="5" t="s">
        <v>2662</v>
      </c>
      <c r="B1171" s="6">
        <v>393.75</v>
      </c>
      <c r="C1171" s="6">
        <v>20.584240000000001</v>
      </c>
      <c r="D1171" s="6">
        <v>55</v>
      </c>
      <c r="E1171" s="6">
        <v>0</v>
      </c>
      <c r="F1171" s="6">
        <v>0</v>
      </c>
      <c r="G1171" s="6">
        <v>12</v>
      </c>
      <c r="H1171" s="6" t="s">
        <v>2663</v>
      </c>
      <c r="I1171" s="6">
        <v>526.6875</v>
      </c>
      <c r="J1171" s="2">
        <f t="shared" si="18"/>
        <v>43747.523484259254</v>
      </c>
    </row>
    <row r="1172" spans="1:10" x14ac:dyDescent="0.25">
      <c r="A1172" s="7" t="s">
        <v>2664</v>
      </c>
      <c r="B1172" s="8">
        <v>393.75</v>
      </c>
      <c r="C1172" s="8">
        <v>20.531590000000001</v>
      </c>
      <c r="D1172" s="8">
        <v>55</v>
      </c>
      <c r="E1172" s="8">
        <v>0</v>
      </c>
      <c r="F1172" s="8">
        <v>0</v>
      </c>
      <c r="G1172" s="8">
        <v>6</v>
      </c>
      <c r="H1172" s="8" t="s">
        <v>2665</v>
      </c>
      <c r="I1172" s="8">
        <v>526.6875</v>
      </c>
      <c r="J1172" s="3">
        <f t="shared" si="18"/>
        <v>43747.523567488424</v>
      </c>
    </row>
    <row r="1173" spans="1:10" x14ac:dyDescent="0.25">
      <c r="A1173" s="5" t="s">
        <v>2666</v>
      </c>
      <c r="B1173" s="6">
        <v>393.75</v>
      </c>
      <c r="C1173" s="6">
        <v>20.584240000000001</v>
      </c>
      <c r="D1173" s="6">
        <v>54</v>
      </c>
      <c r="E1173" s="6">
        <v>0</v>
      </c>
      <c r="F1173" s="6">
        <v>0</v>
      </c>
      <c r="G1173" s="6">
        <v>0</v>
      </c>
      <c r="H1173" s="6" t="s">
        <v>2667</v>
      </c>
      <c r="I1173" s="6">
        <v>526.6875</v>
      </c>
      <c r="J1173" s="2">
        <f t="shared" si="18"/>
        <v>43747.523639247687</v>
      </c>
    </row>
    <row r="1174" spans="1:10" x14ac:dyDescent="0.25">
      <c r="A1174" s="7" t="s">
        <v>2668</v>
      </c>
      <c r="B1174" s="8">
        <v>393.75</v>
      </c>
      <c r="C1174" s="8">
        <v>20.584240000000001</v>
      </c>
      <c r="D1174" s="8">
        <v>56</v>
      </c>
      <c r="E1174" s="8">
        <v>0</v>
      </c>
      <c r="F1174" s="8">
        <v>0</v>
      </c>
      <c r="G1174" s="8">
        <v>0</v>
      </c>
      <c r="H1174" s="8" t="s">
        <v>2669</v>
      </c>
      <c r="I1174" s="8">
        <v>526.6875</v>
      </c>
      <c r="J1174" s="3">
        <f t="shared" si="18"/>
        <v>43747.523722696758</v>
      </c>
    </row>
    <row r="1175" spans="1:10" x14ac:dyDescent="0.25">
      <c r="A1175" s="5" t="s">
        <v>2670</v>
      </c>
      <c r="B1175" s="6">
        <v>393.75</v>
      </c>
      <c r="C1175" s="6">
        <v>20.584240000000001</v>
      </c>
      <c r="D1175" s="6">
        <v>57</v>
      </c>
      <c r="E1175" s="6">
        <v>0</v>
      </c>
      <c r="F1175" s="6">
        <v>0</v>
      </c>
      <c r="G1175" s="6">
        <v>8</v>
      </c>
      <c r="H1175" s="6" t="s">
        <v>2671</v>
      </c>
      <c r="I1175" s="6">
        <v>526.6875</v>
      </c>
      <c r="J1175" s="2">
        <f t="shared" si="18"/>
        <v>43747.523806157405</v>
      </c>
    </row>
    <row r="1176" spans="1:10" x14ac:dyDescent="0.25">
      <c r="A1176" s="7" t="s">
        <v>2672</v>
      </c>
      <c r="B1176" s="8">
        <v>393.75</v>
      </c>
      <c r="C1176" s="8">
        <v>20.584240000000001</v>
      </c>
      <c r="D1176" s="8">
        <v>56</v>
      </c>
      <c r="E1176" s="8">
        <v>0</v>
      </c>
      <c r="F1176" s="8">
        <v>0</v>
      </c>
      <c r="G1176" s="8">
        <v>16</v>
      </c>
      <c r="H1176" s="8" t="s">
        <v>2673</v>
      </c>
      <c r="I1176" s="8">
        <v>526.6875</v>
      </c>
      <c r="J1176" s="3">
        <f t="shared" si="18"/>
        <v>43747.523895844904</v>
      </c>
    </row>
    <row r="1177" spans="1:10" x14ac:dyDescent="0.25">
      <c r="A1177" s="5" t="s">
        <v>2674</v>
      </c>
      <c r="B1177" s="6">
        <v>393.75</v>
      </c>
      <c r="C1177" s="6">
        <v>20.478950000000001</v>
      </c>
      <c r="D1177" s="6">
        <v>56</v>
      </c>
      <c r="E1177" s="6">
        <v>0</v>
      </c>
      <c r="F1177" s="6">
        <v>0</v>
      </c>
      <c r="G1177" s="6">
        <v>11</v>
      </c>
      <c r="H1177" s="6" t="s">
        <v>2675</v>
      </c>
      <c r="I1177" s="6">
        <v>526.6875</v>
      </c>
      <c r="J1177" s="2">
        <f t="shared" si="18"/>
        <v>43747.523973043979</v>
      </c>
    </row>
    <row r="1178" spans="1:10" x14ac:dyDescent="0.25">
      <c r="A1178" s="7" t="s">
        <v>2676</v>
      </c>
      <c r="B1178" s="8">
        <v>393.75</v>
      </c>
      <c r="C1178" s="8">
        <v>20.584240000000001</v>
      </c>
      <c r="D1178" s="8">
        <v>56</v>
      </c>
      <c r="E1178" s="8">
        <v>0</v>
      </c>
      <c r="F1178" s="8">
        <v>0</v>
      </c>
      <c r="G1178" s="8">
        <v>7</v>
      </c>
      <c r="H1178" s="8" t="s">
        <v>2677</v>
      </c>
      <c r="I1178" s="8">
        <v>526.6875</v>
      </c>
      <c r="J1178" s="3">
        <f t="shared" si="18"/>
        <v>43747.524056377311</v>
      </c>
    </row>
    <row r="1179" spans="1:10" x14ac:dyDescent="0.25">
      <c r="A1179" s="5" t="s">
        <v>2678</v>
      </c>
      <c r="B1179" s="6">
        <v>393.75</v>
      </c>
      <c r="C1179" s="6">
        <v>20.584240000000001</v>
      </c>
      <c r="D1179" s="6">
        <v>56</v>
      </c>
      <c r="E1179" s="6">
        <v>0</v>
      </c>
      <c r="F1179" s="6">
        <v>0</v>
      </c>
      <c r="G1179" s="6">
        <v>14</v>
      </c>
      <c r="H1179" s="6" t="s">
        <v>2679</v>
      </c>
      <c r="I1179" s="6">
        <v>526.6875</v>
      </c>
      <c r="J1179" s="2">
        <f t="shared" si="18"/>
        <v>43747.524127997684</v>
      </c>
    </row>
    <row r="1180" spans="1:10" x14ac:dyDescent="0.25">
      <c r="A1180" s="7" t="s">
        <v>2680</v>
      </c>
      <c r="B1180" s="8">
        <v>393.75</v>
      </c>
      <c r="C1180" s="8">
        <v>20.584240000000001</v>
      </c>
      <c r="D1180" s="8">
        <v>55</v>
      </c>
      <c r="E1180" s="8">
        <v>0</v>
      </c>
      <c r="F1180" s="8">
        <v>0</v>
      </c>
      <c r="G1180" s="8">
        <v>12</v>
      </c>
      <c r="H1180" s="8" t="s">
        <v>2681</v>
      </c>
      <c r="I1180" s="8">
        <v>526.6875</v>
      </c>
      <c r="J1180" s="3">
        <f t="shared" si="18"/>
        <v>43747.524211574077</v>
      </c>
    </row>
    <row r="1181" spans="1:10" x14ac:dyDescent="0.25">
      <c r="A1181" s="5" t="s">
        <v>2682</v>
      </c>
      <c r="B1181" s="6">
        <v>393.75</v>
      </c>
      <c r="C1181" s="6">
        <v>20.584240000000001</v>
      </c>
      <c r="D1181" s="6">
        <v>54</v>
      </c>
      <c r="E1181" s="6">
        <v>0</v>
      </c>
      <c r="F1181" s="6">
        <v>0</v>
      </c>
      <c r="G1181" s="6">
        <v>13</v>
      </c>
      <c r="H1181" s="6" t="s">
        <v>2683</v>
      </c>
      <c r="I1181" s="6">
        <v>526.6875</v>
      </c>
      <c r="J1181" s="2">
        <f t="shared" si="18"/>
        <v>43747.524295034724</v>
      </c>
    </row>
    <row r="1182" spans="1:10" x14ac:dyDescent="0.25">
      <c r="A1182" s="7" t="s">
        <v>2684</v>
      </c>
      <c r="B1182" s="8">
        <v>393.75</v>
      </c>
      <c r="C1182" s="8">
        <v>20.584240000000001</v>
      </c>
      <c r="D1182" s="8">
        <v>51</v>
      </c>
      <c r="E1182" s="8">
        <v>0</v>
      </c>
      <c r="F1182" s="8">
        <v>0</v>
      </c>
      <c r="G1182" s="8">
        <v>15</v>
      </c>
      <c r="H1182" s="8" t="s">
        <v>2685</v>
      </c>
      <c r="I1182" s="8">
        <v>526.6875</v>
      </c>
      <c r="J1182" s="3">
        <f t="shared" si="18"/>
        <v>43747.524378599534</v>
      </c>
    </row>
    <row r="1183" spans="1:10" x14ac:dyDescent="0.25">
      <c r="A1183" s="5" t="s">
        <v>2686</v>
      </c>
      <c r="B1183" s="6">
        <v>393.75</v>
      </c>
      <c r="C1183" s="6">
        <v>20.584240000000001</v>
      </c>
      <c r="D1183" s="6">
        <v>56</v>
      </c>
      <c r="E1183" s="6">
        <v>0</v>
      </c>
      <c r="F1183" s="6">
        <v>0</v>
      </c>
      <c r="G1183" s="6">
        <v>0</v>
      </c>
      <c r="H1183" s="6" t="s">
        <v>2687</v>
      </c>
      <c r="I1183" s="6">
        <v>526.5</v>
      </c>
      <c r="J1183" s="2">
        <f t="shared" si="18"/>
        <v>43747.524461932866</v>
      </c>
    </row>
    <row r="1184" spans="1:10" x14ac:dyDescent="0.25">
      <c r="A1184" s="7" t="s">
        <v>2688</v>
      </c>
      <c r="B1184" s="8">
        <v>393.75</v>
      </c>
      <c r="C1184" s="8">
        <v>20.531590000000001</v>
      </c>
      <c r="D1184" s="8">
        <v>56</v>
      </c>
      <c r="E1184" s="8">
        <v>0</v>
      </c>
      <c r="F1184" s="8">
        <v>0</v>
      </c>
      <c r="G1184" s="8">
        <v>5</v>
      </c>
      <c r="H1184" s="8" t="s">
        <v>2689</v>
      </c>
      <c r="I1184" s="8">
        <v>526.6875</v>
      </c>
      <c r="J1184" s="3">
        <f t="shared" si="18"/>
        <v>43747.524545266198</v>
      </c>
    </row>
    <row r="1185" spans="1:10" x14ac:dyDescent="0.25">
      <c r="A1185" s="5" t="s">
        <v>2690</v>
      </c>
      <c r="B1185" s="6">
        <v>393.75</v>
      </c>
      <c r="C1185" s="6">
        <v>20.584240000000001</v>
      </c>
      <c r="D1185" s="6">
        <v>55</v>
      </c>
      <c r="E1185" s="6">
        <v>0</v>
      </c>
      <c r="F1185" s="6">
        <v>0</v>
      </c>
      <c r="G1185" s="6">
        <v>13</v>
      </c>
      <c r="H1185" s="6" t="s">
        <v>2691</v>
      </c>
      <c r="I1185" s="6">
        <v>526.6875</v>
      </c>
      <c r="J1185" s="2">
        <f t="shared" si="18"/>
        <v>43747.524628831015</v>
      </c>
    </row>
    <row r="1186" spans="1:10" x14ac:dyDescent="0.25">
      <c r="A1186" s="7" t="s">
        <v>2692</v>
      </c>
      <c r="B1186" s="8">
        <v>393.75</v>
      </c>
      <c r="C1186" s="8">
        <v>20.584240000000001</v>
      </c>
      <c r="D1186" s="8">
        <v>55</v>
      </c>
      <c r="E1186" s="8">
        <v>0</v>
      </c>
      <c r="F1186" s="8">
        <v>0</v>
      </c>
      <c r="G1186" s="8">
        <v>7</v>
      </c>
      <c r="H1186" s="8" t="s">
        <v>2693</v>
      </c>
      <c r="I1186" s="8">
        <v>526.6875</v>
      </c>
      <c r="J1186" s="3">
        <f t="shared" si="18"/>
        <v>43747.524724305556</v>
      </c>
    </row>
    <row r="1187" spans="1:10" x14ac:dyDescent="0.25">
      <c r="A1187" s="5" t="s">
        <v>2694</v>
      </c>
      <c r="B1187" s="6">
        <v>393.75</v>
      </c>
      <c r="C1187" s="6">
        <v>20.531590000000001</v>
      </c>
      <c r="D1187" s="6">
        <v>56</v>
      </c>
      <c r="E1187" s="6">
        <v>0</v>
      </c>
      <c r="F1187" s="6">
        <v>0</v>
      </c>
      <c r="G1187" s="6">
        <v>4</v>
      </c>
      <c r="H1187" s="6" t="s">
        <v>2695</v>
      </c>
      <c r="I1187" s="6">
        <v>526.6875</v>
      </c>
      <c r="J1187" s="2">
        <f t="shared" si="18"/>
        <v>43747.524807766204</v>
      </c>
    </row>
    <row r="1188" spans="1:10" x14ac:dyDescent="0.25">
      <c r="A1188" s="7" t="s">
        <v>2696</v>
      </c>
      <c r="B1188" s="8">
        <v>393.75</v>
      </c>
      <c r="C1188" s="8">
        <v>20.584240000000001</v>
      </c>
      <c r="D1188" s="8">
        <v>57</v>
      </c>
      <c r="E1188" s="8">
        <v>0</v>
      </c>
      <c r="F1188" s="8">
        <v>0</v>
      </c>
      <c r="G1188" s="8">
        <v>5</v>
      </c>
      <c r="H1188" s="8" t="s">
        <v>2697</v>
      </c>
      <c r="I1188" s="8">
        <v>526.6875</v>
      </c>
      <c r="J1188" s="3">
        <f t="shared" si="18"/>
        <v>43747.524891215275</v>
      </c>
    </row>
    <row r="1189" spans="1:10" x14ac:dyDescent="0.25">
      <c r="A1189" s="5" t="s">
        <v>2698</v>
      </c>
      <c r="B1189" s="6">
        <v>393.75</v>
      </c>
      <c r="C1189" s="6">
        <v>20.584240000000001</v>
      </c>
      <c r="D1189" s="6">
        <v>57</v>
      </c>
      <c r="E1189" s="6">
        <v>0</v>
      </c>
      <c r="F1189" s="6">
        <v>0</v>
      </c>
      <c r="G1189" s="6">
        <v>18</v>
      </c>
      <c r="H1189" s="6" t="s">
        <v>2699</v>
      </c>
      <c r="I1189" s="6">
        <v>526.6875</v>
      </c>
      <c r="J1189" s="2">
        <f t="shared" si="18"/>
        <v>43747.524974675922</v>
      </c>
    </row>
    <row r="1190" spans="1:10" x14ac:dyDescent="0.25">
      <c r="A1190" s="7" t="s">
        <v>2700</v>
      </c>
      <c r="B1190" s="8">
        <v>393.75</v>
      </c>
      <c r="C1190" s="8">
        <v>20.531590000000001</v>
      </c>
      <c r="D1190" s="8">
        <v>56</v>
      </c>
      <c r="E1190" s="8">
        <v>0</v>
      </c>
      <c r="F1190" s="8">
        <v>0</v>
      </c>
      <c r="G1190" s="8">
        <v>15</v>
      </c>
      <c r="H1190" s="8" t="s">
        <v>2701</v>
      </c>
      <c r="I1190" s="8">
        <v>526.5</v>
      </c>
      <c r="J1190" s="3">
        <f t="shared" si="18"/>
        <v>43747.525057870364</v>
      </c>
    </row>
    <row r="1191" spans="1:10" x14ac:dyDescent="0.25">
      <c r="A1191" s="5" t="s">
        <v>2702</v>
      </c>
      <c r="B1191" s="6">
        <v>393.75</v>
      </c>
      <c r="C1191" s="6">
        <v>20.584240000000001</v>
      </c>
      <c r="D1191" s="6">
        <v>57</v>
      </c>
      <c r="E1191" s="6">
        <v>0</v>
      </c>
      <c r="F1191" s="6">
        <v>0</v>
      </c>
      <c r="G1191" s="6">
        <v>10</v>
      </c>
      <c r="H1191" s="6" t="s">
        <v>2703</v>
      </c>
      <c r="I1191" s="6">
        <v>526.6875</v>
      </c>
      <c r="J1191" s="2">
        <f t="shared" si="18"/>
        <v>43747.525141574071</v>
      </c>
    </row>
    <row r="1192" spans="1:10" x14ac:dyDescent="0.25">
      <c r="A1192" s="7" t="s">
        <v>2704</v>
      </c>
      <c r="B1192" s="8">
        <v>393.75</v>
      </c>
      <c r="C1192" s="8">
        <v>20.531590000000001</v>
      </c>
      <c r="D1192" s="8">
        <v>56</v>
      </c>
      <c r="E1192" s="8">
        <v>0</v>
      </c>
      <c r="F1192" s="8">
        <v>0</v>
      </c>
      <c r="G1192" s="8">
        <v>6</v>
      </c>
      <c r="H1192" s="8" t="s">
        <v>2705</v>
      </c>
      <c r="I1192" s="8">
        <v>526.6875</v>
      </c>
      <c r="J1192" s="3">
        <f t="shared" si="18"/>
        <v>43747.525225115744</v>
      </c>
    </row>
    <row r="1193" spans="1:10" x14ac:dyDescent="0.25">
      <c r="A1193" s="5" t="s">
        <v>2706</v>
      </c>
      <c r="B1193" s="6">
        <v>393.75</v>
      </c>
      <c r="C1193" s="6">
        <v>20.584240000000001</v>
      </c>
      <c r="D1193" s="6">
        <v>56</v>
      </c>
      <c r="E1193" s="6">
        <v>0</v>
      </c>
      <c r="F1193" s="6">
        <v>0</v>
      </c>
      <c r="G1193" s="6">
        <v>7</v>
      </c>
      <c r="H1193" s="6" t="s">
        <v>2707</v>
      </c>
      <c r="I1193" s="6">
        <v>526.6875</v>
      </c>
      <c r="J1193" s="2">
        <f t="shared" si="18"/>
        <v>43747.525320370369</v>
      </c>
    </row>
    <row r="1194" spans="1:10" x14ac:dyDescent="0.25">
      <c r="A1194" s="7" t="s">
        <v>2708</v>
      </c>
      <c r="B1194" s="8">
        <v>393.75</v>
      </c>
      <c r="C1194" s="8">
        <v>20.584240000000001</v>
      </c>
      <c r="D1194" s="8">
        <v>56</v>
      </c>
      <c r="E1194" s="8">
        <v>0</v>
      </c>
      <c r="F1194" s="8">
        <v>0</v>
      </c>
      <c r="G1194" s="8">
        <v>13</v>
      </c>
      <c r="H1194" s="8" t="s">
        <v>2709</v>
      </c>
      <c r="I1194" s="8">
        <v>526.6875</v>
      </c>
      <c r="J1194" s="3">
        <f t="shared" si="18"/>
        <v>43747.525391909723</v>
      </c>
    </row>
    <row r="1195" spans="1:10" x14ac:dyDescent="0.25">
      <c r="A1195" s="5" t="s">
        <v>2710</v>
      </c>
      <c r="B1195" s="6">
        <v>393.75</v>
      </c>
      <c r="C1195" s="6">
        <v>20.531590000000001</v>
      </c>
      <c r="D1195" s="6">
        <v>53</v>
      </c>
      <c r="E1195" s="6">
        <v>0</v>
      </c>
      <c r="F1195" s="6">
        <v>0</v>
      </c>
      <c r="G1195" s="6">
        <v>10</v>
      </c>
      <c r="H1195" s="6" t="s">
        <v>2711</v>
      </c>
      <c r="I1195" s="6">
        <v>526.5</v>
      </c>
      <c r="J1195" s="2">
        <f t="shared" si="18"/>
        <v>43747.525475011571</v>
      </c>
    </row>
    <row r="1196" spans="1:10" x14ac:dyDescent="0.25">
      <c r="A1196" s="7" t="s">
        <v>2712</v>
      </c>
      <c r="B1196" s="8">
        <v>393.75</v>
      </c>
      <c r="C1196" s="8">
        <v>20.584240000000001</v>
      </c>
      <c r="D1196" s="8">
        <v>53</v>
      </c>
      <c r="E1196" s="8">
        <v>0</v>
      </c>
      <c r="F1196" s="8">
        <v>0</v>
      </c>
      <c r="G1196" s="8">
        <v>13</v>
      </c>
      <c r="H1196" s="8" t="s">
        <v>2713</v>
      </c>
      <c r="I1196" s="8">
        <v>526.6875</v>
      </c>
      <c r="J1196" s="3">
        <f t="shared" si="18"/>
        <v>43747.52554678241</v>
      </c>
    </row>
    <row r="1197" spans="1:10" x14ac:dyDescent="0.25">
      <c r="A1197" s="5" t="s">
        <v>2714</v>
      </c>
      <c r="B1197" s="6">
        <v>393.75</v>
      </c>
      <c r="C1197" s="6">
        <v>20.531590000000001</v>
      </c>
      <c r="D1197" s="6">
        <v>53</v>
      </c>
      <c r="E1197" s="6">
        <v>0</v>
      </c>
      <c r="F1197" s="6">
        <v>0</v>
      </c>
      <c r="G1197" s="6">
        <v>1</v>
      </c>
      <c r="H1197" s="6" t="s">
        <v>2715</v>
      </c>
      <c r="I1197" s="6">
        <v>526.5</v>
      </c>
      <c r="J1197" s="2">
        <f t="shared" si="18"/>
        <v>43747.525630451382</v>
      </c>
    </row>
    <row r="1198" spans="1:10" x14ac:dyDescent="0.25">
      <c r="A1198" s="7" t="s">
        <v>2716</v>
      </c>
      <c r="B1198" s="8">
        <v>412.5</v>
      </c>
      <c r="C1198" s="8">
        <v>20.531590000000001</v>
      </c>
      <c r="D1198" s="8">
        <v>53</v>
      </c>
      <c r="E1198" s="8">
        <v>0</v>
      </c>
      <c r="F1198" s="8">
        <v>0</v>
      </c>
      <c r="G1198" s="8">
        <v>12</v>
      </c>
      <c r="H1198" s="8" t="s">
        <v>2717</v>
      </c>
      <c r="I1198" s="8">
        <v>532.5</v>
      </c>
      <c r="J1198" s="3">
        <f t="shared" si="18"/>
        <v>43747.525713807867</v>
      </c>
    </row>
    <row r="1199" spans="1:10" x14ac:dyDescent="0.25">
      <c r="A1199" s="5" t="s">
        <v>2718</v>
      </c>
      <c r="B1199" s="6">
        <v>393.75</v>
      </c>
      <c r="C1199" s="6">
        <v>20.584240000000001</v>
      </c>
      <c r="D1199" s="6">
        <v>52</v>
      </c>
      <c r="E1199" s="6">
        <v>0</v>
      </c>
      <c r="F1199" s="6">
        <v>0</v>
      </c>
      <c r="G1199" s="6">
        <v>8</v>
      </c>
      <c r="H1199" s="6" t="s">
        <v>2719</v>
      </c>
      <c r="I1199" s="6">
        <v>526.6875</v>
      </c>
      <c r="J1199" s="2">
        <f t="shared" si="18"/>
        <v>43747.525797129631</v>
      </c>
    </row>
    <row r="1200" spans="1:10" x14ac:dyDescent="0.25">
      <c r="A1200" s="7" t="s">
        <v>2720</v>
      </c>
      <c r="B1200" s="8">
        <v>393.75</v>
      </c>
      <c r="C1200" s="8">
        <v>20.584240000000001</v>
      </c>
      <c r="D1200" s="8">
        <v>52</v>
      </c>
      <c r="E1200" s="8">
        <v>0</v>
      </c>
      <c r="F1200" s="8">
        <v>0</v>
      </c>
      <c r="G1200" s="8">
        <v>7</v>
      </c>
      <c r="H1200" s="8" t="s">
        <v>2721</v>
      </c>
      <c r="I1200" s="8">
        <v>526.6875</v>
      </c>
      <c r="J1200" s="3">
        <f t="shared" si="18"/>
        <v>43747.525868773148</v>
      </c>
    </row>
    <row r="1201" spans="1:10" x14ac:dyDescent="0.25">
      <c r="A1201" s="5" t="s">
        <v>2722</v>
      </c>
      <c r="B1201" s="6">
        <v>393.75</v>
      </c>
      <c r="C1201" s="6">
        <v>20.531590000000001</v>
      </c>
      <c r="D1201" s="6">
        <v>56</v>
      </c>
      <c r="E1201" s="6">
        <v>0</v>
      </c>
      <c r="F1201" s="6">
        <v>0</v>
      </c>
      <c r="G1201" s="6">
        <v>8</v>
      </c>
      <c r="H1201" s="6" t="s">
        <v>2723</v>
      </c>
      <c r="I1201" s="6">
        <v>526.6875</v>
      </c>
      <c r="J1201" s="2">
        <f t="shared" si="18"/>
        <v>43747.525952326389</v>
      </c>
    </row>
    <row r="1202" spans="1:10" x14ac:dyDescent="0.25">
      <c r="A1202" s="7" t="s">
        <v>2724</v>
      </c>
      <c r="B1202" s="8">
        <v>393.75</v>
      </c>
      <c r="C1202" s="8">
        <v>20.584240000000001</v>
      </c>
      <c r="D1202" s="8">
        <v>55</v>
      </c>
      <c r="E1202" s="8">
        <v>0</v>
      </c>
      <c r="F1202" s="8">
        <v>0</v>
      </c>
      <c r="G1202" s="8">
        <v>8</v>
      </c>
      <c r="H1202" s="8" t="s">
        <v>2725</v>
      </c>
      <c r="I1202" s="8">
        <v>526.6875</v>
      </c>
      <c r="J1202" s="3">
        <f t="shared" si="18"/>
        <v>43747.52603577546</v>
      </c>
    </row>
    <row r="1203" spans="1:10" x14ac:dyDescent="0.25">
      <c r="A1203" s="5" t="s">
        <v>2726</v>
      </c>
      <c r="B1203" s="6">
        <v>412.5</v>
      </c>
      <c r="C1203" s="6">
        <v>20.531590000000001</v>
      </c>
      <c r="D1203" s="6">
        <v>54</v>
      </c>
      <c r="E1203" s="6">
        <v>0</v>
      </c>
      <c r="F1203" s="6">
        <v>0</v>
      </c>
      <c r="G1203" s="6">
        <v>2</v>
      </c>
      <c r="H1203" s="6" t="s">
        <v>2727</v>
      </c>
      <c r="I1203" s="6">
        <v>532.3125</v>
      </c>
      <c r="J1203" s="2">
        <f t="shared" si="18"/>
        <v>43747.526119328701</v>
      </c>
    </row>
    <row r="1204" spans="1:10" x14ac:dyDescent="0.25">
      <c r="A1204" s="7" t="s">
        <v>2728</v>
      </c>
      <c r="B1204" s="8">
        <v>393.75</v>
      </c>
      <c r="C1204" s="8">
        <v>20.531590000000001</v>
      </c>
      <c r="D1204" s="8">
        <v>54</v>
      </c>
      <c r="E1204" s="8">
        <v>0</v>
      </c>
      <c r="F1204" s="8">
        <v>0</v>
      </c>
      <c r="G1204" s="8">
        <v>6</v>
      </c>
      <c r="H1204" s="8" t="s">
        <v>2729</v>
      </c>
      <c r="I1204" s="8">
        <v>526.6875</v>
      </c>
      <c r="J1204" s="3">
        <f t="shared" si="18"/>
        <v>43747.526202662033</v>
      </c>
    </row>
    <row r="1205" spans="1:10" x14ac:dyDescent="0.25">
      <c r="A1205" s="5" t="s">
        <v>2730</v>
      </c>
      <c r="B1205" s="6">
        <v>393.75</v>
      </c>
      <c r="C1205" s="6">
        <v>20.531590000000001</v>
      </c>
      <c r="D1205" s="6">
        <v>54</v>
      </c>
      <c r="E1205" s="6">
        <v>0</v>
      </c>
      <c r="F1205" s="6">
        <v>0</v>
      </c>
      <c r="G1205" s="6">
        <v>7</v>
      </c>
      <c r="H1205" s="6" t="s">
        <v>2731</v>
      </c>
      <c r="I1205" s="6">
        <v>526.6875</v>
      </c>
      <c r="J1205" s="2">
        <f t="shared" si="18"/>
        <v>43747.526286030094</v>
      </c>
    </row>
    <row r="1206" spans="1:10" x14ac:dyDescent="0.25">
      <c r="A1206" s="7" t="s">
        <v>2732</v>
      </c>
      <c r="B1206" s="8">
        <v>393.75</v>
      </c>
      <c r="C1206" s="8">
        <v>20.531590000000001</v>
      </c>
      <c r="D1206" s="8">
        <v>54</v>
      </c>
      <c r="E1206" s="8">
        <v>0</v>
      </c>
      <c r="F1206" s="8">
        <v>0</v>
      </c>
      <c r="G1206" s="8">
        <v>10</v>
      </c>
      <c r="H1206" s="8" t="s">
        <v>2733</v>
      </c>
      <c r="I1206" s="8">
        <v>526.6875</v>
      </c>
      <c r="J1206" s="3">
        <f t="shared" si="18"/>
        <v>43747.52635763889</v>
      </c>
    </row>
    <row r="1207" spans="1:10" x14ac:dyDescent="0.25">
      <c r="A1207" s="5" t="s">
        <v>2734</v>
      </c>
      <c r="B1207" s="6">
        <v>393.75</v>
      </c>
      <c r="C1207" s="6">
        <v>20.531590000000001</v>
      </c>
      <c r="D1207" s="6">
        <v>54</v>
      </c>
      <c r="E1207" s="6">
        <v>0</v>
      </c>
      <c r="F1207" s="6">
        <v>0</v>
      </c>
      <c r="G1207" s="6">
        <v>9</v>
      </c>
      <c r="H1207" s="6" t="s">
        <v>2735</v>
      </c>
      <c r="I1207" s="6">
        <v>526.6875</v>
      </c>
      <c r="J1207" s="2">
        <f t="shared" si="18"/>
        <v>43747.526441215276</v>
      </c>
    </row>
    <row r="1208" spans="1:10" x14ac:dyDescent="0.25">
      <c r="A1208" s="7" t="s">
        <v>2736</v>
      </c>
      <c r="B1208" s="8">
        <v>393.75</v>
      </c>
      <c r="C1208" s="8">
        <v>20.531590000000001</v>
      </c>
      <c r="D1208" s="8">
        <v>54</v>
      </c>
      <c r="E1208" s="8">
        <v>0</v>
      </c>
      <c r="F1208" s="8">
        <v>0</v>
      </c>
      <c r="G1208" s="8">
        <v>5</v>
      </c>
      <c r="H1208" s="8" t="s">
        <v>2737</v>
      </c>
      <c r="I1208" s="8">
        <v>526.6875</v>
      </c>
      <c r="J1208" s="3">
        <f t="shared" si="18"/>
        <v>43747.526524664347</v>
      </c>
    </row>
    <row r="1209" spans="1:10" x14ac:dyDescent="0.25">
      <c r="A1209" s="5" t="s">
        <v>2738</v>
      </c>
      <c r="B1209" s="6">
        <v>393.75</v>
      </c>
      <c r="C1209" s="6">
        <v>20.584240000000001</v>
      </c>
      <c r="D1209" s="6">
        <v>55</v>
      </c>
      <c r="E1209" s="6">
        <v>0</v>
      </c>
      <c r="F1209" s="6">
        <v>0</v>
      </c>
      <c r="G1209" s="6">
        <v>8</v>
      </c>
      <c r="H1209" s="6" t="s">
        <v>2739</v>
      </c>
      <c r="I1209" s="6">
        <v>526.5</v>
      </c>
      <c r="J1209" s="2">
        <f t="shared" si="18"/>
        <v>43747.526608217588</v>
      </c>
    </row>
    <row r="1210" spans="1:10" x14ac:dyDescent="0.25">
      <c r="A1210" s="7" t="s">
        <v>2740</v>
      </c>
      <c r="B1210" s="8">
        <v>393.75</v>
      </c>
      <c r="C1210" s="8">
        <v>20.584240000000001</v>
      </c>
      <c r="D1210" s="8">
        <v>55</v>
      </c>
      <c r="E1210" s="8">
        <v>0</v>
      </c>
      <c r="F1210" s="8">
        <v>0</v>
      </c>
      <c r="G1210" s="8">
        <v>0</v>
      </c>
      <c r="H1210" s="8" t="s">
        <v>2741</v>
      </c>
      <c r="I1210" s="8">
        <v>526.6875</v>
      </c>
      <c r="J1210" s="3">
        <f t="shared" si="18"/>
        <v>43747.526691562496</v>
      </c>
    </row>
    <row r="1211" spans="1:10" x14ac:dyDescent="0.25">
      <c r="A1211" s="5" t="s">
        <v>2742</v>
      </c>
      <c r="B1211" s="6">
        <v>393.75</v>
      </c>
      <c r="C1211" s="6">
        <v>20.584240000000001</v>
      </c>
      <c r="D1211" s="6">
        <v>51</v>
      </c>
      <c r="E1211" s="6">
        <v>0</v>
      </c>
      <c r="F1211" s="6">
        <v>0</v>
      </c>
      <c r="G1211" s="6">
        <v>0</v>
      </c>
      <c r="H1211" s="6" t="s">
        <v>2743</v>
      </c>
      <c r="I1211" s="6">
        <v>526.6875</v>
      </c>
      <c r="J1211" s="2">
        <f t="shared" si="18"/>
        <v>43747.526775590275</v>
      </c>
    </row>
    <row r="1212" spans="1:10" x14ac:dyDescent="0.25">
      <c r="A1212" s="7" t="s">
        <v>2744</v>
      </c>
      <c r="B1212" s="8">
        <v>393.75</v>
      </c>
      <c r="C1212" s="8">
        <v>20.584240000000001</v>
      </c>
      <c r="D1212" s="8">
        <v>51</v>
      </c>
      <c r="E1212" s="8">
        <v>0</v>
      </c>
      <c r="F1212" s="8">
        <v>0</v>
      </c>
      <c r="G1212" s="8">
        <v>7</v>
      </c>
      <c r="H1212" s="8" t="s">
        <v>2745</v>
      </c>
      <c r="I1212" s="8">
        <v>526.6875</v>
      </c>
      <c r="J1212" s="3">
        <f t="shared" si="18"/>
        <v>43747.526858472214</v>
      </c>
    </row>
    <row r="1213" spans="1:10" x14ac:dyDescent="0.25">
      <c r="A1213" s="5" t="s">
        <v>2746</v>
      </c>
      <c r="B1213" s="6">
        <v>393.75</v>
      </c>
      <c r="C1213" s="6">
        <v>20.584240000000001</v>
      </c>
      <c r="D1213" s="6">
        <v>51</v>
      </c>
      <c r="E1213" s="6">
        <v>0</v>
      </c>
      <c r="F1213" s="6">
        <v>0</v>
      </c>
      <c r="G1213" s="6">
        <v>7</v>
      </c>
      <c r="H1213" s="6" t="s">
        <v>2747</v>
      </c>
      <c r="I1213" s="6">
        <v>526.6875</v>
      </c>
      <c r="J1213" s="2">
        <f t="shared" si="18"/>
        <v>43747.526941678239</v>
      </c>
    </row>
    <row r="1214" spans="1:10" x14ac:dyDescent="0.25">
      <c r="A1214" s="7" t="s">
        <v>2748</v>
      </c>
      <c r="B1214" s="8">
        <v>393.75</v>
      </c>
      <c r="C1214" s="8">
        <v>20.531590000000001</v>
      </c>
      <c r="D1214" s="8">
        <v>51</v>
      </c>
      <c r="E1214" s="8">
        <v>0</v>
      </c>
      <c r="F1214" s="8">
        <v>0</v>
      </c>
      <c r="G1214" s="8">
        <v>4</v>
      </c>
      <c r="H1214" s="8" t="s">
        <v>2749</v>
      </c>
      <c r="I1214" s="8">
        <v>526.6875</v>
      </c>
      <c r="J1214" s="3">
        <f t="shared" si="18"/>
        <v>43747.527037384258</v>
      </c>
    </row>
    <row r="1215" spans="1:10" x14ac:dyDescent="0.25">
      <c r="A1215" s="5" t="s">
        <v>2750</v>
      </c>
      <c r="B1215" s="6">
        <v>393.75</v>
      </c>
      <c r="C1215" s="6">
        <v>20.531590000000001</v>
      </c>
      <c r="D1215" s="6">
        <v>51</v>
      </c>
      <c r="E1215" s="6">
        <v>0</v>
      </c>
      <c r="F1215" s="6">
        <v>0</v>
      </c>
      <c r="G1215" s="6">
        <v>0</v>
      </c>
      <c r="H1215" s="6" t="s">
        <v>2751</v>
      </c>
      <c r="I1215" s="6">
        <v>526.6875</v>
      </c>
      <c r="J1215" s="2">
        <f t="shared" si="18"/>
        <v>43747.527120740742</v>
      </c>
    </row>
    <row r="1216" spans="1:10" x14ac:dyDescent="0.25">
      <c r="A1216" s="7" t="s">
        <v>2752</v>
      </c>
      <c r="B1216" s="8">
        <v>393.75</v>
      </c>
      <c r="C1216" s="8">
        <v>20.531590000000001</v>
      </c>
      <c r="D1216" s="8">
        <v>51</v>
      </c>
      <c r="E1216" s="8">
        <v>0</v>
      </c>
      <c r="F1216" s="8">
        <v>0</v>
      </c>
      <c r="G1216" s="8">
        <v>0</v>
      </c>
      <c r="H1216" s="8" t="s">
        <v>2753</v>
      </c>
      <c r="I1216" s="8">
        <v>526.6875</v>
      </c>
      <c r="J1216" s="3">
        <f t="shared" si="18"/>
        <v>43747.5272042824</v>
      </c>
    </row>
    <row r="1217" spans="1:10" x14ac:dyDescent="0.25">
      <c r="A1217" s="5" t="s">
        <v>2754</v>
      </c>
      <c r="B1217" s="6">
        <v>393.75</v>
      </c>
      <c r="C1217" s="6">
        <v>20.531590000000001</v>
      </c>
      <c r="D1217" s="6">
        <v>52</v>
      </c>
      <c r="E1217" s="6">
        <v>0</v>
      </c>
      <c r="F1217" s="6">
        <v>0</v>
      </c>
      <c r="G1217" s="6">
        <v>14</v>
      </c>
      <c r="H1217" s="6" t="s">
        <v>2755</v>
      </c>
      <c r="I1217" s="6">
        <v>526.6875</v>
      </c>
      <c r="J1217" s="2">
        <f t="shared" si="18"/>
        <v>43747.527287731478</v>
      </c>
    </row>
    <row r="1218" spans="1:10" x14ac:dyDescent="0.25">
      <c r="A1218" s="7" t="s">
        <v>2756</v>
      </c>
      <c r="B1218" s="8">
        <v>393.75</v>
      </c>
      <c r="C1218" s="8">
        <v>20.584240000000001</v>
      </c>
      <c r="D1218" s="8">
        <v>52</v>
      </c>
      <c r="E1218" s="8">
        <v>0</v>
      </c>
      <c r="F1218" s="8">
        <v>0</v>
      </c>
      <c r="G1218" s="8">
        <v>2</v>
      </c>
      <c r="H1218" s="8" t="s">
        <v>2757</v>
      </c>
      <c r="I1218" s="8">
        <v>526.6875</v>
      </c>
      <c r="J1218" s="3">
        <f t="shared" ref="J1218:J1281" si="19">(H1218/86400000)+25569+(7/24)</f>
        <v>43747.52737131944</v>
      </c>
    </row>
    <row r="1219" spans="1:10" x14ac:dyDescent="0.25">
      <c r="A1219" s="5" t="s">
        <v>2758</v>
      </c>
      <c r="B1219" s="6">
        <v>393.75</v>
      </c>
      <c r="C1219" s="6">
        <v>20.531590000000001</v>
      </c>
      <c r="D1219" s="6">
        <v>52</v>
      </c>
      <c r="E1219" s="6">
        <v>0</v>
      </c>
      <c r="F1219" s="6">
        <v>0</v>
      </c>
      <c r="G1219" s="6">
        <v>18</v>
      </c>
      <c r="H1219" s="6" t="s">
        <v>2759</v>
      </c>
      <c r="I1219" s="6">
        <v>526.5</v>
      </c>
      <c r="J1219" s="2">
        <f t="shared" si="19"/>
        <v>43747.527454629628</v>
      </c>
    </row>
    <row r="1220" spans="1:10" x14ac:dyDescent="0.25">
      <c r="A1220" s="7" t="s">
        <v>2760</v>
      </c>
      <c r="B1220" s="8">
        <v>393.75</v>
      </c>
      <c r="C1220" s="8">
        <v>20.531590000000001</v>
      </c>
      <c r="D1220" s="8">
        <v>52</v>
      </c>
      <c r="E1220" s="8">
        <v>0</v>
      </c>
      <c r="F1220" s="8">
        <v>0</v>
      </c>
      <c r="G1220" s="8">
        <v>9</v>
      </c>
      <c r="H1220" s="8" t="s">
        <v>2761</v>
      </c>
      <c r="I1220" s="8">
        <v>526.6875</v>
      </c>
      <c r="J1220" s="3">
        <f t="shared" si="19"/>
        <v>43747.52753785879</v>
      </c>
    </row>
    <row r="1221" spans="1:10" x14ac:dyDescent="0.25">
      <c r="A1221" s="5" t="s">
        <v>2762</v>
      </c>
      <c r="B1221" s="6">
        <v>393.75</v>
      </c>
      <c r="C1221" s="6">
        <v>20.531590000000001</v>
      </c>
      <c r="D1221" s="6">
        <v>52</v>
      </c>
      <c r="E1221" s="6">
        <v>0</v>
      </c>
      <c r="F1221" s="6">
        <v>0</v>
      </c>
      <c r="G1221" s="6">
        <v>8</v>
      </c>
      <c r="H1221" s="6" t="s">
        <v>2763</v>
      </c>
      <c r="I1221" s="6">
        <v>526.6875</v>
      </c>
      <c r="J1221" s="2">
        <f t="shared" si="19"/>
        <v>43747.527609849531</v>
      </c>
    </row>
    <row r="1222" spans="1:10" x14ac:dyDescent="0.25">
      <c r="A1222" s="7" t="s">
        <v>2764</v>
      </c>
      <c r="B1222" s="8">
        <v>412.5</v>
      </c>
      <c r="C1222" s="8">
        <v>20.531590000000001</v>
      </c>
      <c r="D1222" s="8">
        <v>52</v>
      </c>
      <c r="E1222" s="8">
        <v>0</v>
      </c>
      <c r="F1222" s="8">
        <v>0</v>
      </c>
      <c r="G1222" s="8">
        <v>13</v>
      </c>
      <c r="H1222" s="8" t="s">
        <v>2765</v>
      </c>
      <c r="I1222" s="8">
        <v>532.3125</v>
      </c>
      <c r="J1222" s="3">
        <f t="shared" si="19"/>
        <v>43747.527693182863</v>
      </c>
    </row>
    <row r="1223" spans="1:10" x14ac:dyDescent="0.25">
      <c r="A1223" s="5" t="s">
        <v>2766</v>
      </c>
      <c r="B1223" s="6">
        <v>393.75</v>
      </c>
      <c r="C1223" s="6">
        <v>20.531590000000001</v>
      </c>
      <c r="D1223" s="6">
        <v>51</v>
      </c>
      <c r="E1223" s="6">
        <v>0</v>
      </c>
      <c r="F1223" s="6">
        <v>0</v>
      </c>
      <c r="G1223" s="6">
        <v>5</v>
      </c>
      <c r="H1223" s="6" t="s">
        <v>2767</v>
      </c>
      <c r="I1223" s="6">
        <v>526.5</v>
      </c>
      <c r="J1223" s="2">
        <f t="shared" si="19"/>
        <v>43747.527776620373</v>
      </c>
    </row>
    <row r="1224" spans="1:10" x14ac:dyDescent="0.25">
      <c r="A1224" s="7" t="s">
        <v>2768</v>
      </c>
      <c r="B1224" s="8">
        <v>393.75</v>
      </c>
      <c r="C1224" s="8">
        <v>20.584240000000001</v>
      </c>
      <c r="D1224" s="8">
        <v>50</v>
      </c>
      <c r="E1224" s="8">
        <v>0</v>
      </c>
      <c r="F1224" s="8">
        <v>0</v>
      </c>
      <c r="G1224" s="8">
        <v>6</v>
      </c>
      <c r="H1224" s="8" t="s">
        <v>2769</v>
      </c>
      <c r="I1224" s="8">
        <v>526.6875</v>
      </c>
      <c r="J1224" s="3">
        <f t="shared" si="19"/>
        <v>43747.527860069444</v>
      </c>
    </row>
    <row r="1225" spans="1:10" x14ac:dyDescent="0.25">
      <c r="A1225" s="5" t="s">
        <v>2770</v>
      </c>
      <c r="B1225" s="6">
        <v>393.75</v>
      </c>
      <c r="C1225" s="6">
        <v>20.584240000000001</v>
      </c>
      <c r="D1225" s="6">
        <v>52</v>
      </c>
      <c r="E1225" s="6">
        <v>0</v>
      </c>
      <c r="F1225" s="6">
        <v>0</v>
      </c>
      <c r="G1225" s="6">
        <v>14</v>
      </c>
      <c r="H1225" s="6" t="s">
        <v>2771</v>
      </c>
      <c r="I1225" s="6">
        <v>526.6875</v>
      </c>
      <c r="J1225" s="2">
        <f t="shared" si="19"/>
        <v>43747.527951446762</v>
      </c>
    </row>
    <row r="1226" spans="1:10" x14ac:dyDescent="0.25">
      <c r="A1226" s="7" t="s">
        <v>2772</v>
      </c>
      <c r="B1226" s="8">
        <v>412.5</v>
      </c>
      <c r="C1226" s="8">
        <v>20.531590000000001</v>
      </c>
      <c r="D1226" s="8">
        <v>52</v>
      </c>
      <c r="E1226" s="8">
        <v>0</v>
      </c>
      <c r="F1226" s="8">
        <v>0</v>
      </c>
      <c r="G1226" s="8">
        <v>0</v>
      </c>
      <c r="H1226" s="8" t="s">
        <v>2773</v>
      </c>
      <c r="I1226" s="8">
        <v>532.875</v>
      </c>
      <c r="J1226" s="3">
        <f t="shared" si="19"/>
        <v>43747.528053043978</v>
      </c>
    </row>
    <row r="1227" spans="1:10" x14ac:dyDescent="0.25">
      <c r="A1227" s="5" t="s">
        <v>2774</v>
      </c>
      <c r="B1227" s="6">
        <v>393.75</v>
      </c>
      <c r="C1227" s="6">
        <v>20.584240000000001</v>
      </c>
      <c r="D1227" s="6">
        <v>52</v>
      </c>
      <c r="E1227" s="6">
        <v>0</v>
      </c>
      <c r="F1227" s="6">
        <v>0</v>
      </c>
      <c r="G1227" s="6">
        <v>2</v>
      </c>
      <c r="H1227" s="6" t="s">
        <v>2775</v>
      </c>
      <c r="I1227" s="6">
        <v>526.6875</v>
      </c>
      <c r="J1227" s="2">
        <f t="shared" si="19"/>
        <v>43747.528134085645</v>
      </c>
    </row>
    <row r="1228" spans="1:10" x14ac:dyDescent="0.25">
      <c r="A1228" s="7" t="s">
        <v>2776</v>
      </c>
      <c r="B1228" s="8">
        <v>412.5</v>
      </c>
      <c r="C1228" s="8">
        <v>20.584240000000001</v>
      </c>
      <c r="D1228" s="8">
        <v>52</v>
      </c>
      <c r="E1228" s="8">
        <v>0</v>
      </c>
      <c r="F1228" s="8">
        <v>0</v>
      </c>
      <c r="G1228" s="8">
        <v>12</v>
      </c>
      <c r="H1228" s="8" t="s">
        <v>2777</v>
      </c>
      <c r="I1228" s="8">
        <v>532.125</v>
      </c>
      <c r="J1228" s="3">
        <f t="shared" si="19"/>
        <v>43747.528217673607</v>
      </c>
    </row>
    <row r="1229" spans="1:10" x14ac:dyDescent="0.25">
      <c r="A1229" s="5" t="s">
        <v>2778</v>
      </c>
      <c r="B1229" s="6">
        <v>393.75</v>
      </c>
      <c r="C1229" s="6">
        <v>20.531590000000001</v>
      </c>
      <c r="D1229" s="6">
        <v>52</v>
      </c>
      <c r="E1229" s="6">
        <v>0</v>
      </c>
      <c r="F1229" s="6">
        <v>0</v>
      </c>
      <c r="G1229" s="6">
        <v>16</v>
      </c>
      <c r="H1229" s="6" t="s">
        <v>2779</v>
      </c>
      <c r="I1229" s="6">
        <v>526.6875</v>
      </c>
      <c r="J1229" s="2">
        <f t="shared" si="19"/>
        <v>43747.528300868049</v>
      </c>
    </row>
    <row r="1230" spans="1:10" x14ac:dyDescent="0.25">
      <c r="A1230" s="7" t="s">
        <v>2780</v>
      </c>
      <c r="B1230" s="8">
        <v>393.75</v>
      </c>
      <c r="C1230" s="8">
        <v>20.584240000000001</v>
      </c>
      <c r="D1230" s="8">
        <v>52</v>
      </c>
      <c r="E1230" s="8">
        <v>0</v>
      </c>
      <c r="F1230" s="8">
        <v>0</v>
      </c>
      <c r="G1230" s="8">
        <v>12</v>
      </c>
      <c r="H1230" s="8" t="s">
        <v>2781</v>
      </c>
      <c r="I1230" s="8">
        <v>526.6875</v>
      </c>
      <c r="J1230" s="3">
        <f t="shared" si="19"/>
        <v>43747.528372152774</v>
      </c>
    </row>
    <row r="1231" spans="1:10" x14ac:dyDescent="0.25">
      <c r="A1231" s="5" t="s">
        <v>2782</v>
      </c>
      <c r="B1231" s="6">
        <v>393.75</v>
      </c>
      <c r="C1231" s="6">
        <v>20.584240000000001</v>
      </c>
      <c r="D1231" s="6">
        <v>51</v>
      </c>
      <c r="E1231" s="6">
        <v>0</v>
      </c>
      <c r="F1231" s="6">
        <v>0</v>
      </c>
      <c r="G1231" s="6">
        <v>19</v>
      </c>
      <c r="H1231" s="6" t="s">
        <v>2783</v>
      </c>
      <c r="I1231" s="6">
        <v>526.6875</v>
      </c>
      <c r="J1231" s="2">
        <f t="shared" si="19"/>
        <v>43747.528444293981</v>
      </c>
    </row>
    <row r="1232" spans="1:10" x14ac:dyDescent="0.25">
      <c r="A1232" s="7" t="s">
        <v>2784</v>
      </c>
      <c r="B1232" s="8">
        <v>393.75</v>
      </c>
      <c r="C1232" s="8">
        <v>20.584240000000001</v>
      </c>
      <c r="D1232" s="8">
        <v>52</v>
      </c>
      <c r="E1232" s="8">
        <v>0</v>
      </c>
      <c r="F1232" s="8">
        <v>0</v>
      </c>
      <c r="G1232" s="8">
        <v>15</v>
      </c>
      <c r="H1232" s="8" t="s">
        <v>2785</v>
      </c>
      <c r="I1232" s="8">
        <v>526.5</v>
      </c>
      <c r="J1232" s="3">
        <f t="shared" si="19"/>
        <v>43747.528527743052</v>
      </c>
    </row>
    <row r="1233" spans="1:10" x14ac:dyDescent="0.25">
      <c r="A1233" s="5" t="s">
        <v>2786</v>
      </c>
      <c r="B1233" s="6">
        <v>393.75</v>
      </c>
      <c r="C1233" s="6">
        <v>20.584240000000001</v>
      </c>
      <c r="D1233" s="6">
        <v>52</v>
      </c>
      <c r="E1233" s="6">
        <v>0</v>
      </c>
      <c r="F1233" s="6">
        <v>0</v>
      </c>
      <c r="G1233" s="6">
        <v>14</v>
      </c>
      <c r="H1233" s="6" t="s">
        <v>2787</v>
      </c>
      <c r="I1233" s="6">
        <v>526.5</v>
      </c>
      <c r="J1233" s="2">
        <f t="shared" si="19"/>
        <v>43747.52859927083</v>
      </c>
    </row>
    <row r="1234" spans="1:10" x14ac:dyDescent="0.25">
      <c r="A1234" s="7" t="s">
        <v>2788</v>
      </c>
      <c r="B1234" s="8">
        <v>393.75</v>
      </c>
      <c r="C1234" s="8">
        <v>20.531590000000001</v>
      </c>
      <c r="D1234" s="8">
        <v>52</v>
      </c>
      <c r="E1234" s="8">
        <v>0</v>
      </c>
      <c r="F1234" s="8">
        <v>0</v>
      </c>
      <c r="G1234" s="8">
        <v>11</v>
      </c>
      <c r="H1234" s="8" t="s">
        <v>2789</v>
      </c>
      <c r="I1234" s="8">
        <v>526.6875</v>
      </c>
      <c r="J1234" s="3">
        <f t="shared" si="19"/>
        <v>43747.52868236111</v>
      </c>
    </row>
    <row r="1235" spans="1:10" x14ac:dyDescent="0.25">
      <c r="A1235" s="5" t="s">
        <v>2790</v>
      </c>
      <c r="B1235" s="6">
        <v>393.75</v>
      </c>
      <c r="C1235" s="6">
        <v>20.584240000000001</v>
      </c>
      <c r="D1235" s="6">
        <v>49</v>
      </c>
      <c r="E1235" s="6">
        <v>0</v>
      </c>
      <c r="F1235" s="6">
        <v>0</v>
      </c>
      <c r="G1235" s="6">
        <v>19</v>
      </c>
      <c r="H1235" s="6" t="s">
        <v>2791</v>
      </c>
      <c r="I1235" s="6">
        <v>526.6875</v>
      </c>
      <c r="J1235" s="2">
        <f t="shared" si="19"/>
        <v>43747.52875424768</v>
      </c>
    </row>
    <row r="1236" spans="1:10" x14ac:dyDescent="0.25">
      <c r="A1236" s="7" t="s">
        <v>2792</v>
      </c>
      <c r="B1236" s="8">
        <v>393.75</v>
      </c>
      <c r="C1236" s="8">
        <v>20.584240000000001</v>
      </c>
      <c r="D1236" s="8">
        <v>49</v>
      </c>
      <c r="E1236" s="8">
        <v>0</v>
      </c>
      <c r="F1236" s="8">
        <v>0</v>
      </c>
      <c r="G1236" s="8">
        <v>16</v>
      </c>
      <c r="H1236" s="8" t="s">
        <v>2793</v>
      </c>
      <c r="I1236" s="8">
        <v>526.6875</v>
      </c>
      <c r="J1236" s="3">
        <f t="shared" si="19"/>
        <v>43747.528837789352</v>
      </c>
    </row>
    <row r="1237" spans="1:10" x14ac:dyDescent="0.25">
      <c r="A1237" s="5" t="s">
        <v>2794</v>
      </c>
      <c r="B1237" s="6">
        <v>393.75</v>
      </c>
      <c r="C1237" s="6">
        <v>20.531590000000001</v>
      </c>
      <c r="D1237" s="6">
        <v>49</v>
      </c>
      <c r="E1237" s="6">
        <v>0</v>
      </c>
      <c r="F1237" s="6">
        <v>0</v>
      </c>
      <c r="G1237" s="6">
        <v>17</v>
      </c>
      <c r="H1237" s="6" t="s">
        <v>2795</v>
      </c>
      <c r="I1237" s="6">
        <v>526.6875</v>
      </c>
      <c r="J1237" s="2">
        <f t="shared" si="19"/>
        <v>43747.528921134253</v>
      </c>
    </row>
    <row r="1238" spans="1:10" x14ac:dyDescent="0.25">
      <c r="A1238" s="7" t="s">
        <v>2796</v>
      </c>
      <c r="B1238" s="8">
        <v>393.75</v>
      </c>
      <c r="C1238" s="8">
        <v>20.584240000000001</v>
      </c>
      <c r="D1238" s="8">
        <v>51</v>
      </c>
      <c r="E1238" s="8">
        <v>0</v>
      </c>
      <c r="F1238" s="8">
        <v>0</v>
      </c>
      <c r="G1238" s="8">
        <v>9</v>
      </c>
      <c r="H1238" s="8" t="s">
        <v>2797</v>
      </c>
      <c r="I1238" s="8">
        <v>526.6875</v>
      </c>
      <c r="J1238" s="3">
        <f t="shared" si="19"/>
        <v>43747.529004479169</v>
      </c>
    </row>
    <row r="1239" spans="1:10" x14ac:dyDescent="0.25">
      <c r="A1239" s="5" t="s">
        <v>2798</v>
      </c>
      <c r="B1239" s="6">
        <v>412.5</v>
      </c>
      <c r="C1239" s="6">
        <v>20.584240000000001</v>
      </c>
      <c r="D1239" s="6">
        <v>51</v>
      </c>
      <c r="E1239" s="6">
        <v>0</v>
      </c>
      <c r="F1239" s="6">
        <v>0</v>
      </c>
      <c r="G1239" s="6">
        <v>15</v>
      </c>
      <c r="H1239" s="6" t="s">
        <v>2799</v>
      </c>
      <c r="I1239" s="6">
        <v>532.5</v>
      </c>
      <c r="J1239" s="2">
        <f t="shared" si="19"/>
        <v>43747.52907611111</v>
      </c>
    </row>
    <row r="1240" spans="1:10" x14ac:dyDescent="0.25">
      <c r="A1240" s="7" t="s">
        <v>2800</v>
      </c>
      <c r="B1240" s="8">
        <v>393.75</v>
      </c>
      <c r="C1240" s="8">
        <v>20.584240000000001</v>
      </c>
      <c r="D1240" s="8">
        <v>54</v>
      </c>
      <c r="E1240" s="8">
        <v>0</v>
      </c>
      <c r="F1240" s="8">
        <v>0</v>
      </c>
      <c r="G1240" s="8">
        <v>7</v>
      </c>
      <c r="H1240" s="8" t="s">
        <v>2801</v>
      </c>
      <c r="I1240" s="8">
        <v>526.6875</v>
      </c>
      <c r="J1240" s="3">
        <f t="shared" si="19"/>
        <v>43747.529159687496</v>
      </c>
    </row>
    <row r="1241" spans="1:10" x14ac:dyDescent="0.25">
      <c r="A1241" s="5" t="s">
        <v>2802</v>
      </c>
      <c r="B1241" s="6">
        <v>393.75</v>
      </c>
      <c r="C1241" s="6">
        <v>20.584240000000001</v>
      </c>
      <c r="D1241" s="6">
        <v>54</v>
      </c>
      <c r="E1241" s="6">
        <v>0</v>
      </c>
      <c r="F1241" s="6">
        <v>0</v>
      </c>
      <c r="G1241" s="6">
        <v>4</v>
      </c>
      <c r="H1241" s="6" t="s">
        <v>2803</v>
      </c>
      <c r="I1241" s="6">
        <v>526.5</v>
      </c>
      <c r="J1241" s="2">
        <f t="shared" si="19"/>
        <v>43747.529243136574</v>
      </c>
    </row>
    <row r="1242" spans="1:10" x14ac:dyDescent="0.25">
      <c r="A1242" s="7" t="s">
        <v>2804</v>
      </c>
      <c r="B1242" s="8">
        <v>393.75</v>
      </c>
      <c r="C1242" s="8">
        <v>20.584240000000001</v>
      </c>
      <c r="D1242" s="8">
        <v>54</v>
      </c>
      <c r="E1242" s="8">
        <v>0</v>
      </c>
      <c r="F1242" s="8">
        <v>0</v>
      </c>
      <c r="G1242" s="8">
        <v>11</v>
      </c>
      <c r="H1242" s="8" t="s">
        <v>2805</v>
      </c>
      <c r="I1242" s="8">
        <v>526.6875</v>
      </c>
      <c r="J1242" s="3">
        <f t="shared" si="19"/>
        <v>43747.529326701384</v>
      </c>
    </row>
    <row r="1243" spans="1:10" x14ac:dyDescent="0.25">
      <c r="A1243" s="5" t="s">
        <v>2806</v>
      </c>
      <c r="B1243" s="6">
        <v>393.75</v>
      </c>
      <c r="C1243" s="6">
        <v>20.584240000000001</v>
      </c>
      <c r="D1243" s="6">
        <v>54</v>
      </c>
      <c r="E1243" s="6">
        <v>0</v>
      </c>
      <c r="F1243" s="6">
        <v>0</v>
      </c>
      <c r="G1243" s="6">
        <v>12</v>
      </c>
      <c r="H1243" s="6" t="s">
        <v>2807</v>
      </c>
      <c r="I1243" s="6">
        <v>526.6875</v>
      </c>
      <c r="J1243" s="2">
        <f t="shared" si="19"/>
        <v>43747.529410034716</v>
      </c>
    </row>
    <row r="1244" spans="1:10" x14ac:dyDescent="0.25">
      <c r="A1244" s="7" t="s">
        <v>2808</v>
      </c>
      <c r="B1244" s="8">
        <v>412.5</v>
      </c>
      <c r="C1244" s="8">
        <v>20.584240000000001</v>
      </c>
      <c r="D1244" s="8">
        <v>54</v>
      </c>
      <c r="E1244" s="8">
        <v>0</v>
      </c>
      <c r="F1244" s="8">
        <v>0</v>
      </c>
      <c r="G1244" s="8">
        <v>6</v>
      </c>
      <c r="H1244" s="8" t="s">
        <v>2809</v>
      </c>
      <c r="I1244" s="8">
        <v>532.3125</v>
      </c>
      <c r="J1244" s="3">
        <f t="shared" si="19"/>
        <v>43747.529501331017</v>
      </c>
    </row>
    <row r="1245" spans="1:10" x14ac:dyDescent="0.25">
      <c r="A1245" s="5" t="s">
        <v>2810</v>
      </c>
      <c r="B1245" s="6">
        <v>393.75</v>
      </c>
      <c r="C1245" s="6">
        <v>20.531590000000001</v>
      </c>
      <c r="D1245" s="6">
        <v>50</v>
      </c>
      <c r="E1245" s="6">
        <v>0</v>
      </c>
      <c r="F1245" s="6">
        <v>0</v>
      </c>
      <c r="G1245" s="6">
        <v>5</v>
      </c>
      <c r="H1245" s="6" t="s">
        <v>2811</v>
      </c>
      <c r="I1245" s="6">
        <v>526.6875</v>
      </c>
      <c r="J1245" s="2">
        <f t="shared" si="19"/>
        <v>43747.529576909721</v>
      </c>
    </row>
    <row r="1246" spans="1:10" x14ac:dyDescent="0.25">
      <c r="A1246" s="7" t="s">
        <v>2812</v>
      </c>
      <c r="B1246" s="8">
        <v>393.75</v>
      </c>
      <c r="C1246" s="8">
        <v>20.531590000000001</v>
      </c>
      <c r="D1246" s="8">
        <v>51</v>
      </c>
      <c r="E1246" s="8">
        <v>0</v>
      </c>
      <c r="F1246" s="8">
        <v>0</v>
      </c>
      <c r="G1246" s="8">
        <v>15</v>
      </c>
      <c r="H1246" s="8" t="s">
        <v>2813</v>
      </c>
      <c r="I1246" s="8">
        <v>526.5</v>
      </c>
      <c r="J1246" s="3">
        <f t="shared" si="19"/>
        <v>43747.529660138891</v>
      </c>
    </row>
    <row r="1247" spans="1:10" x14ac:dyDescent="0.25">
      <c r="A1247" s="5" t="s">
        <v>2814</v>
      </c>
      <c r="B1247" s="6">
        <v>393.75</v>
      </c>
      <c r="C1247" s="6">
        <v>20.584240000000001</v>
      </c>
      <c r="D1247" s="6">
        <v>51</v>
      </c>
      <c r="E1247" s="6">
        <v>0</v>
      </c>
      <c r="F1247" s="6">
        <v>0</v>
      </c>
      <c r="G1247" s="6">
        <v>11</v>
      </c>
      <c r="H1247" s="6" t="s">
        <v>2815</v>
      </c>
      <c r="I1247" s="6">
        <v>526.6875</v>
      </c>
      <c r="J1247" s="2">
        <f t="shared" si="19"/>
        <v>43747.529731655093</v>
      </c>
    </row>
    <row r="1248" spans="1:10" x14ac:dyDescent="0.25">
      <c r="A1248" s="7" t="s">
        <v>2816</v>
      </c>
      <c r="B1248" s="8">
        <v>393.75</v>
      </c>
      <c r="C1248" s="8">
        <v>20.584240000000001</v>
      </c>
      <c r="D1248" s="8">
        <v>55</v>
      </c>
      <c r="E1248" s="8">
        <v>0</v>
      </c>
      <c r="F1248" s="8">
        <v>0</v>
      </c>
      <c r="G1248" s="8">
        <v>8</v>
      </c>
      <c r="H1248" s="8" t="s">
        <v>2817</v>
      </c>
      <c r="I1248" s="8">
        <v>526.6875</v>
      </c>
      <c r="J1248" s="3">
        <f t="shared" si="19"/>
        <v>43747.529815590278</v>
      </c>
    </row>
    <row r="1249" spans="1:10" x14ac:dyDescent="0.25">
      <c r="A1249" s="5" t="s">
        <v>2818</v>
      </c>
      <c r="B1249" s="6">
        <v>393.75</v>
      </c>
      <c r="C1249" s="6">
        <v>20.531590000000001</v>
      </c>
      <c r="D1249" s="6">
        <v>52</v>
      </c>
      <c r="E1249" s="6">
        <v>0</v>
      </c>
      <c r="F1249" s="6">
        <v>0</v>
      </c>
      <c r="G1249" s="6">
        <v>7</v>
      </c>
      <c r="H1249" s="6" t="s">
        <v>2819</v>
      </c>
      <c r="I1249" s="6">
        <v>526.6875</v>
      </c>
      <c r="J1249" s="2">
        <f t="shared" si="19"/>
        <v>43747.529898923611</v>
      </c>
    </row>
    <row r="1250" spans="1:10" x14ac:dyDescent="0.25">
      <c r="A1250" s="7" t="s">
        <v>2820</v>
      </c>
      <c r="B1250" s="8">
        <v>393.75</v>
      </c>
      <c r="C1250" s="8">
        <v>20.584240000000001</v>
      </c>
      <c r="D1250" s="8">
        <v>52</v>
      </c>
      <c r="E1250" s="8">
        <v>0</v>
      </c>
      <c r="F1250" s="8">
        <v>0</v>
      </c>
      <c r="G1250" s="8">
        <v>11</v>
      </c>
      <c r="H1250" s="8" t="s">
        <v>2821</v>
      </c>
      <c r="I1250" s="8">
        <v>526.5</v>
      </c>
      <c r="J1250" s="3">
        <f t="shared" si="19"/>
        <v>43747.529995752317</v>
      </c>
    </row>
    <row r="1251" spans="1:10" x14ac:dyDescent="0.25">
      <c r="A1251" s="5" t="s">
        <v>2822</v>
      </c>
      <c r="B1251" s="6">
        <v>412.5</v>
      </c>
      <c r="C1251" s="6">
        <v>20.584240000000001</v>
      </c>
      <c r="D1251" s="6">
        <v>53</v>
      </c>
      <c r="E1251" s="6">
        <v>0</v>
      </c>
      <c r="F1251" s="6">
        <v>0</v>
      </c>
      <c r="G1251" s="6">
        <v>14</v>
      </c>
      <c r="H1251" s="6" t="s">
        <v>2823</v>
      </c>
      <c r="I1251" s="6">
        <v>532.3125</v>
      </c>
      <c r="J1251" s="2">
        <f t="shared" si="19"/>
        <v>43747.530077754629</v>
      </c>
    </row>
    <row r="1252" spans="1:10" x14ac:dyDescent="0.25">
      <c r="A1252" s="7" t="s">
        <v>2824</v>
      </c>
      <c r="B1252" s="8">
        <v>393.75</v>
      </c>
      <c r="C1252" s="8">
        <v>20.584240000000001</v>
      </c>
      <c r="D1252" s="8">
        <v>53</v>
      </c>
      <c r="E1252" s="8">
        <v>0</v>
      </c>
      <c r="F1252" s="8">
        <v>0</v>
      </c>
      <c r="G1252" s="8">
        <v>16</v>
      </c>
      <c r="H1252" s="8" t="s">
        <v>2825</v>
      </c>
      <c r="I1252" s="8">
        <v>526.6875</v>
      </c>
      <c r="J1252" s="3">
        <f t="shared" si="19"/>
        <v>43747.530161168979</v>
      </c>
    </row>
    <row r="1253" spans="1:10" x14ac:dyDescent="0.25">
      <c r="A1253" s="5" t="s">
        <v>2826</v>
      </c>
      <c r="B1253" s="6">
        <v>393.75</v>
      </c>
      <c r="C1253" s="6">
        <v>20.584240000000001</v>
      </c>
      <c r="D1253" s="6">
        <v>54</v>
      </c>
      <c r="E1253" s="6">
        <v>0</v>
      </c>
      <c r="F1253" s="6">
        <v>0</v>
      </c>
      <c r="G1253" s="6">
        <v>9</v>
      </c>
      <c r="H1253" s="6" t="s">
        <v>2827</v>
      </c>
      <c r="I1253" s="6">
        <v>526.6875</v>
      </c>
      <c r="J1253" s="2">
        <f t="shared" si="19"/>
        <v>43747.530244629626</v>
      </c>
    </row>
    <row r="1254" spans="1:10" x14ac:dyDescent="0.25">
      <c r="A1254" s="7" t="s">
        <v>2828</v>
      </c>
      <c r="B1254" s="8">
        <v>393.75</v>
      </c>
      <c r="C1254" s="8">
        <v>20.531590000000001</v>
      </c>
      <c r="D1254" s="8">
        <v>52</v>
      </c>
      <c r="E1254" s="8">
        <v>0</v>
      </c>
      <c r="F1254" s="8">
        <v>0</v>
      </c>
      <c r="G1254" s="8">
        <v>8</v>
      </c>
      <c r="H1254" s="8" t="s">
        <v>2829</v>
      </c>
      <c r="I1254" s="8">
        <v>526.6875</v>
      </c>
      <c r="J1254" s="3">
        <f t="shared" si="19"/>
        <v>43747.530328090274</v>
      </c>
    </row>
    <row r="1255" spans="1:10" x14ac:dyDescent="0.25">
      <c r="A1255" s="5" t="s">
        <v>2830</v>
      </c>
      <c r="B1255" s="6">
        <v>393.75</v>
      </c>
      <c r="C1255" s="6">
        <v>20.584240000000001</v>
      </c>
      <c r="D1255" s="6">
        <v>50</v>
      </c>
      <c r="E1255" s="6">
        <v>0</v>
      </c>
      <c r="F1255" s="6">
        <v>0</v>
      </c>
      <c r="G1255" s="6">
        <v>9</v>
      </c>
      <c r="H1255" s="6" t="s">
        <v>2831</v>
      </c>
      <c r="I1255" s="6">
        <v>526.6875</v>
      </c>
      <c r="J1255" s="2">
        <f t="shared" si="19"/>
        <v>43747.530411655091</v>
      </c>
    </row>
    <row r="1256" spans="1:10" x14ac:dyDescent="0.25">
      <c r="A1256" s="7" t="s">
        <v>2832</v>
      </c>
      <c r="B1256" s="8">
        <v>393.75</v>
      </c>
      <c r="C1256" s="8">
        <v>20.531590000000001</v>
      </c>
      <c r="D1256" s="8">
        <v>51</v>
      </c>
      <c r="E1256" s="8">
        <v>0</v>
      </c>
      <c r="F1256" s="8">
        <v>0</v>
      </c>
      <c r="G1256" s="8">
        <v>11</v>
      </c>
      <c r="H1256" s="8" t="s">
        <v>2833</v>
      </c>
      <c r="I1256" s="8">
        <v>526.6875</v>
      </c>
      <c r="J1256" s="3">
        <f t="shared" si="19"/>
        <v>43747.530495104169</v>
      </c>
    </row>
    <row r="1257" spans="1:10" x14ac:dyDescent="0.25">
      <c r="A1257" s="5" t="s">
        <v>2834</v>
      </c>
      <c r="B1257" s="6">
        <v>393.75</v>
      </c>
      <c r="C1257" s="6">
        <v>20.531590000000001</v>
      </c>
      <c r="D1257" s="6">
        <v>49</v>
      </c>
      <c r="E1257" s="6">
        <v>0</v>
      </c>
      <c r="F1257" s="6">
        <v>0</v>
      </c>
      <c r="G1257" s="6">
        <v>4</v>
      </c>
      <c r="H1257" s="6" t="s">
        <v>2835</v>
      </c>
      <c r="I1257" s="6">
        <v>526.6875</v>
      </c>
      <c r="J1257" s="2">
        <f t="shared" si="19"/>
        <v>43747.530578645827</v>
      </c>
    </row>
    <row r="1258" spans="1:10" x14ac:dyDescent="0.25">
      <c r="A1258" s="7" t="s">
        <v>2836</v>
      </c>
      <c r="B1258" s="8">
        <v>393.75</v>
      </c>
      <c r="C1258" s="8">
        <v>20.584240000000001</v>
      </c>
      <c r="D1258" s="8">
        <v>50</v>
      </c>
      <c r="E1258" s="8">
        <v>0</v>
      </c>
      <c r="F1258" s="8">
        <v>0</v>
      </c>
      <c r="G1258" s="8">
        <v>11</v>
      </c>
      <c r="H1258" s="8" t="s">
        <v>2837</v>
      </c>
      <c r="I1258" s="8">
        <v>526.6875</v>
      </c>
      <c r="J1258" s="3">
        <f t="shared" si="19"/>
        <v>43747.530661874996</v>
      </c>
    </row>
    <row r="1259" spans="1:10" x14ac:dyDescent="0.25">
      <c r="A1259" s="5" t="s">
        <v>2838</v>
      </c>
      <c r="B1259" s="6">
        <v>393.75</v>
      </c>
      <c r="C1259" s="6">
        <v>20.584240000000001</v>
      </c>
      <c r="D1259" s="6">
        <v>51</v>
      </c>
      <c r="E1259" s="6">
        <v>0</v>
      </c>
      <c r="F1259" s="6">
        <v>0</v>
      </c>
      <c r="G1259" s="6">
        <v>9</v>
      </c>
      <c r="H1259" s="6" t="s">
        <v>2839</v>
      </c>
      <c r="I1259" s="6">
        <v>526.6875</v>
      </c>
      <c r="J1259" s="2">
        <f t="shared" si="19"/>
        <v>43747.530733530089</v>
      </c>
    </row>
    <row r="1260" spans="1:10" x14ac:dyDescent="0.25">
      <c r="A1260" s="7" t="s">
        <v>2840</v>
      </c>
      <c r="B1260" s="8">
        <v>428.125</v>
      </c>
      <c r="C1260" s="8">
        <v>20.584240000000001</v>
      </c>
      <c r="D1260" s="8">
        <v>52</v>
      </c>
      <c r="E1260" s="8">
        <v>0</v>
      </c>
      <c r="F1260" s="8">
        <v>0</v>
      </c>
      <c r="G1260" s="8">
        <v>10</v>
      </c>
      <c r="H1260" s="8" t="s">
        <v>2841</v>
      </c>
      <c r="I1260" s="8">
        <v>537.375</v>
      </c>
      <c r="J1260" s="3">
        <f t="shared" si="19"/>
        <v>43747.530828923605</v>
      </c>
    </row>
    <row r="1261" spans="1:10" x14ac:dyDescent="0.25">
      <c r="A1261" s="5" t="s">
        <v>2842</v>
      </c>
      <c r="B1261" s="6">
        <v>393.75</v>
      </c>
      <c r="C1261" s="6">
        <v>20.531590000000001</v>
      </c>
      <c r="D1261" s="6">
        <v>51</v>
      </c>
      <c r="E1261" s="6">
        <v>0</v>
      </c>
      <c r="F1261" s="6">
        <v>0</v>
      </c>
      <c r="G1261" s="6">
        <v>10</v>
      </c>
      <c r="H1261" s="6" t="s">
        <v>2843</v>
      </c>
      <c r="I1261" s="6">
        <v>526.6875</v>
      </c>
      <c r="J1261" s="2">
        <f t="shared" si="19"/>
        <v>43747.530912013892</v>
      </c>
    </row>
    <row r="1262" spans="1:10" x14ac:dyDescent="0.25">
      <c r="A1262" s="7" t="s">
        <v>2844</v>
      </c>
      <c r="B1262" s="8">
        <v>393.75</v>
      </c>
      <c r="C1262" s="8">
        <v>20.531590000000001</v>
      </c>
      <c r="D1262" s="8">
        <v>51</v>
      </c>
      <c r="E1262" s="8">
        <v>0</v>
      </c>
      <c r="F1262" s="8">
        <v>0</v>
      </c>
      <c r="G1262" s="8">
        <v>8</v>
      </c>
      <c r="H1262" s="8" t="s">
        <v>2845</v>
      </c>
      <c r="I1262" s="8">
        <v>526.6875</v>
      </c>
      <c r="J1262" s="3">
        <f t="shared" si="19"/>
        <v>43747.530995810179</v>
      </c>
    </row>
    <row r="1263" spans="1:10" x14ac:dyDescent="0.25">
      <c r="A1263" s="5" t="s">
        <v>2846</v>
      </c>
      <c r="B1263" s="6">
        <v>393.75</v>
      </c>
      <c r="C1263" s="6">
        <v>20.531590000000001</v>
      </c>
      <c r="D1263" s="6">
        <v>51</v>
      </c>
      <c r="E1263" s="6">
        <v>0</v>
      </c>
      <c r="F1263" s="6">
        <v>0</v>
      </c>
      <c r="G1263" s="6">
        <v>14</v>
      </c>
      <c r="H1263" s="6" t="s">
        <v>2847</v>
      </c>
      <c r="I1263" s="6">
        <v>526.6875</v>
      </c>
      <c r="J1263" s="2">
        <f t="shared" si="19"/>
        <v>43747.531079386572</v>
      </c>
    </row>
    <row r="1264" spans="1:10" x14ac:dyDescent="0.25">
      <c r="A1264" s="7" t="s">
        <v>2848</v>
      </c>
      <c r="B1264" s="8">
        <v>393.75</v>
      </c>
      <c r="C1264" s="8">
        <v>20.584240000000001</v>
      </c>
      <c r="D1264" s="8">
        <v>51</v>
      </c>
      <c r="E1264" s="8">
        <v>0</v>
      </c>
      <c r="F1264" s="8">
        <v>0</v>
      </c>
      <c r="G1264" s="8">
        <v>9</v>
      </c>
      <c r="H1264" s="8" t="s">
        <v>2849</v>
      </c>
      <c r="I1264" s="8">
        <v>526.6875</v>
      </c>
      <c r="J1264" s="3">
        <f t="shared" si="19"/>
        <v>43747.53115091435</v>
      </c>
    </row>
    <row r="1265" spans="1:10" x14ac:dyDescent="0.25">
      <c r="A1265" s="5" t="s">
        <v>2850</v>
      </c>
      <c r="B1265" s="6">
        <v>393.75</v>
      </c>
      <c r="C1265" s="6">
        <v>20.584240000000001</v>
      </c>
      <c r="D1265" s="6">
        <v>51</v>
      </c>
      <c r="E1265" s="6">
        <v>0</v>
      </c>
      <c r="F1265" s="6">
        <v>0</v>
      </c>
      <c r="G1265" s="6">
        <v>9</v>
      </c>
      <c r="H1265" s="6" t="s">
        <v>2851</v>
      </c>
      <c r="I1265" s="6">
        <v>526.6875</v>
      </c>
      <c r="J1265" s="2">
        <f t="shared" si="19"/>
        <v>43747.531234108792</v>
      </c>
    </row>
    <row r="1266" spans="1:10" x14ac:dyDescent="0.25">
      <c r="A1266" s="7" t="s">
        <v>2852</v>
      </c>
      <c r="B1266" s="8">
        <v>393.75</v>
      </c>
      <c r="C1266" s="8">
        <v>20.584240000000001</v>
      </c>
      <c r="D1266" s="8">
        <v>51</v>
      </c>
      <c r="E1266" s="8">
        <v>0</v>
      </c>
      <c r="F1266" s="8">
        <v>0</v>
      </c>
      <c r="G1266" s="8">
        <v>19</v>
      </c>
      <c r="H1266" s="8" t="s">
        <v>2853</v>
      </c>
      <c r="I1266" s="8">
        <v>526.6875</v>
      </c>
      <c r="J1266" s="3">
        <f t="shared" si="19"/>
        <v>43747.531317465277</v>
      </c>
    </row>
    <row r="1267" spans="1:10" x14ac:dyDescent="0.25">
      <c r="A1267" s="5" t="s">
        <v>2854</v>
      </c>
      <c r="B1267" s="6">
        <v>393.75</v>
      </c>
      <c r="C1267" s="6">
        <v>20.584240000000001</v>
      </c>
      <c r="D1267" s="6">
        <v>53</v>
      </c>
      <c r="E1267" s="6">
        <v>0</v>
      </c>
      <c r="F1267" s="6">
        <v>0</v>
      </c>
      <c r="G1267" s="6">
        <v>19</v>
      </c>
      <c r="H1267" s="6" t="s">
        <v>2855</v>
      </c>
      <c r="I1267" s="6">
        <v>526.6875</v>
      </c>
      <c r="J1267" s="2">
        <f t="shared" si="19"/>
        <v>43747.531400902772</v>
      </c>
    </row>
    <row r="1268" spans="1:10" x14ac:dyDescent="0.25">
      <c r="A1268" s="7" t="s">
        <v>2856</v>
      </c>
      <c r="B1268" s="8">
        <v>393.75</v>
      </c>
      <c r="C1268" s="8">
        <v>20.531590000000001</v>
      </c>
      <c r="D1268" s="8">
        <v>53</v>
      </c>
      <c r="E1268" s="8">
        <v>0</v>
      </c>
      <c r="F1268" s="8">
        <v>0</v>
      </c>
      <c r="G1268" s="8">
        <v>16</v>
      </c>
      <c r="H1268" s="8" t="s">
        <v>2857</v>
      </c>
      <c r="I1268" s="8">
        <v>526.6875</v>
      </c>
      <c r="J1268" s="3">
        <f t="shared" si="19"/>
        <v>43747.531472430557</v>
      </c>
    </row>
    <row r="1269" spans="1:10" x14ac:dyDescent="0.25">
      <c r="A1269" s="5" t="s">
        <v>2858</v>
      </c>
      <c r="B1269" s="6">
        <v>393.75</v>
      </c>
      <c r="C1269" s="6">
        <v>20.531590000000001</v>
      </c>
      <c r="D1269" s="6">
        <v>53</v>
      </c>
      <c r="E1269" s="6">
        <v>0</v>
      </c>
      <c r="F1269" s="6">
        <v>0</v>
      </c>
      <c r="G1269" s="6">
        <v>10</v>
      </c>
      <c r="H1269" s="6" t="s">
        <v>2859</v>
      </c>
      <c r="I1269" s="6">
        <v>526.6875</v>
      </c>
      <c r="J1269" s="2">
        <f t="shared" si="19"/>
        <v>43747.531556377311</v>
      </c>
    </row>
    <row r="1270" spans="1:10" x14ac:dyDescent="0.25">
      <c r="A1270" s="7" t="s">
        <v>2860</v>
      </c>
      <c r="B1270" s="8">
        <v>393.75</v>
      </c>
      <c r="C1270" s="8">
        <v>20.531590000000001</v>
      </c>
      <c r="D1270" s="8">
        <v>52</v>
      </c>
      <c r="E1270" s="8">
        <v>0</v>
      </c>
      <c r="F1270" s="8">
        <v>0</v>
      </c>
      <c r="G1270" s="8">
        <v>10</v>
      </c>
      <c r="H1270" s="8" t="s">
        <v>2861</v>
      </c>
      <c r="I1270" s="8">
        <v>526.6875</v>
      </c>
      <c r="J1270" s="3">
        <f t="shared" si="19"/>
        <v>43747.531639664354</v>
      </c>
    </row>
    <row r="1271" spans="1:10" x14ac:dyDescent="0.25">
      <c r="A1271" s="5" t="s">
        <v>2862</v>
      </c>
      <c r="B1271" s="6">
        <v>393.75</v>
      </c>
      <c r="C1271" s="6">
        <v>20.531590000000001</v>
      </c>
      <c r="D1271" s="6">
        <v>52</v>
      </c>
      <c r="E1271" s="6">
        <v>0</v>
      </c>
      <c r="F1271" s="6">
        <v>0</v>
      </c>
      <c r="G1271" s="6">
        <v>22</v>
      </c>
      <c r="H1271" s="6" t="s">
        <v>2863</v>
      </c>
      <c r="I1271" s="6">
        <v>526.6875</v>
      </c>
      <c r="J1271" s="2">
        <f t="shared" si="19"/>
        <v>43747.531723009255</v>
      </c>
    </row>
    <row r="1272" spans="1:10" x14ac:dyDescent="0.25">
      <c r="A1272" s="7" t="s">
        <v>2864</v>
      </c>
      <c r="B1272" s="8">
        <v>393.75</v>
      </c>
      <c r="C1272" s="8">
        <v>20.584240000000001</v>
      </c>
      <c r="D1272" s="8">
        <v>52</v>
      </c>
      <c r="E1272" s="8">
        <v>0</v>
      </c>
      <c r="F1272" s="8">
        <v>0</v>
      </c>
      <c r="G1272" s="8">
        <v>7</v>
      </c>
      <c r="H1272" s="8" t="s">
        <v>2865</v>
      </c>
      <c r="I1272" s="8">
        <v>526.6875</v>
      </c>
      <c r="J1272" s="3">
        <f t="shared" si="19"/>
        <v>43747.531794895833</v>
      </c>
    </row>
    <row r="1273" spans="1:10" x14ac:dyDescent="0.25">
      <c r="A1273" s="5" t="s">
        <v>2866</v>
      </c>
      <c r="B1273" s="6">
        <v>393.75</v>
      </c>
      <c r="C1273" s="6">
        <v>20.531590000000001</v>
      </c>
      <c r="D1273" s="6">
        <v>52</v>
      </c>
      <c r="E1273" s="6">
        <v>0</v>
      </c>
      <c r="F1273" s="6">
        <v>0</v>
      </c>
      <c r="G1273" s="6">
        <v>4</v>
      </c>
      <c r="H1273" s="6" t="s">
        <v>2867</v>
      </c>
      <c r="I1273" s="6">
        <v>526.6875</v>
      </c>
      <c r="J1273" s="2">
        <f t="shared" si="19"/>
        <v>43747.531889814811</v>
      </c>
    </row>
    <row r="1274" spans="1:10" x14ac:dyDescent="0.25">
      <c r="A1274" s="7" t="s">
        <v>2868</v>
      </c>
      <c r="B1274" s="8">
        <v>393.75</v>
      </c>
      <c r="C1274" s="8">
        <v>20.584240000000001</v>
      </c>
      <c r="D1274" s="8">
        <v>52</v>
      </c>
      <c r="E1274" s="8">
        <v>0</v>
      </c>
      <c r="F1274" s="8">
        <v>0</v>
      </c>
      <c r="G1274" s="8">
        <v>12</v>
      </c>
      <c r="H1274" s="8" t="s">
        <v>2869</v>
      </c>
      <c r="I1274" s="8">
        <v>526.6875</v>
      </c>
      <c r="J1274" s="3">
        <f t="shared" si="19"/>
        <v>43747.531961435183</v>
      </c>
    </row>
    <row r="1275" spans="1:10" x14ac:dyDescent="0.25">
      <c r="A1275" s="5" t="s">
        <v>2870</v>
      </c>
      <c r="B1275" s="6">
        <v>393.75</v>
      </c>
      <c r="C1275" s="6">
        <v>20.531590000000001</v>
      </c>
      <c r="D1275" s="6">
        <v>51</v>
      </c>
      <c r="E1275" s="6">
        <v>0</v>
      </c>
      <c r="F1275" s="6">
        <v>0</v>
      </c>
      <c r="G1275" s="6">
        <v>10</v>
      </c>
      <c r="H1275" s="6" t="s">
        <v>2871</v>
      </c>
      <c r="I1275" s="6">
        <v>526.6875</v>
      </c>
      <c r="J1275" s="2">
        <f t="shared" si="19"/>
        <v>43747.532045243053</v>
      </c>
    </row>
    <row r="1276" spans="1:10" x14ac:dyDescent="0.25">
      <c r="A1276" s="7" t="s">
        <v>2872</v>
      </c>
      <c r="B1276" s="8">
        <v>393.75</v>
      </c>
      <c r="C1276" s="8">
        <v>20.531590000000001</v>
      </c>
      <c r="D1276" s="8">
        <v>51</v>
      </c>
      <c r="E1276" s="8">
        <v>0</v>
      </c>
      <c r="F1276" s="8">
        <v>0</v>
      </c>
      <c r="G1276" s="8">
        <v>5</v>
      </c>
      <c r="H1276" s="8" t="s">
        <v>2873</v>
      </c>
      <c r="I1276" s="8">
        <v>526.6875</v>
      </c>
      <c r="J1276" s="3">
        <f t="shared" si="19"/>
        <v>43747.532116655093</v>
      </c>
    </row>
    <row r="1277" spans="1:10" x14ac:dyDescent="0.25">
      <c r="A1277" s="5" t="s">
        <v>2874</v>
      </c>
      <c r="B1277" s="6">
        <v>393.75</v>
      </c>
      <c r="C1277" s="6">
        <v>20.584240000000001</v>
      </c>
      <c r="D1277" s="6">
        <v>51</v>
      </c>
      <c r="E1277" s="6">
        <v>0</v>
      </c>
      <c r="F1277" s="6">
        <v>0</v>
      </c>
      <c r="G1277" s="6">
        <v>12</v>
      </c>
      <c r="H1277" s="6" t="s">
        <v>2875</v>
      </c>
      <c r="I1277" s="6">
        <v>526.5</v>
      </c>
      <c r="J1277" s="2">
        <f t="shared" si="19"/>
        <v>43747.532188182864</v>
      </c>
    </row>
    <row r="1278" spans="1:10" x14ac:dyDescent="0.25">
      <c r="A1278" s="7" t="s">
        <v>2876</v>
      </c>
      <c r="B1278" s="8">
        <v>393.75</v>
      </c>
      <c r="C1278" s="8">
        <v>20.531590000000001</v>
      </c>
      <c r="D1278" s="8">
        <v>51</v>
      </c>
      <c r="E1278" s="8">
        <v>0</v>
      </c>
      <c r="F1278" s="8">
        <v>0</v>
      </c>
      <c r="G1278" s="8">
        <v>11</v>
      </c>
      <c r="H1278" s="8" t="s">
        <v>2877</v>
      </c>
      <c r="I1278" s="8">
        <v>526.6875</v>
      </c>
      <c r="J1278" s="3">
        <f t="shared" si="19"/>
        <v>43747.532271284719</v>
      </c>
    </row>
    <row r="1279" spans="1:10" x14ac:dyDescent="0.25">
      <c r="A1279" s="5" t="s">
        <v>2878</v>
      </c>
      <c r="B1279" s="6">
        <v>393.75</v>
      </c>
      <c r="C1279" s="6">
        <v>20.478950000000001</v>
      </c>
      <c r="D1279" s="6">
        <v>51</v>
      </c>
      <c r="E1279" s="6">
        <v>0</v>
      </c>
      <c r="F1279" s="6">
        <v>0</v>
      </c>
      <c r="G1279" s="6">
        <v>18</v>
      </c>
      <c r="H1279" s="6" t="s">
        <v>2879</v>
      </c>
      <c r="I1279" s="6">
        <v>526.6875</v>
      </c>
      <c r="J1279" s="2">
        <f t="shared" si="19"/>
        <v>43747.532342916667</v>
      </c>
    </row>
    <row r="1280" spans="1:10" x14ac:dyDescent="0.25">
      <c r="A1280" s="7" t="s">
        <v>2880</v>
      </c>
      <c r="B1280" s="8">
        <v>393.75</v>
      </c>
      <c r="C1280" s="8">
        <v>20.584240000000001</v>
      </c>
      <c r="D1280" s="8">
        <v>54</v>
      </c>
      <c r="E1280" s="8">
        <v>0</v>
      </c>
      <c r="F1280" s="8">
        <v>0</v>
      </c>
      <c r="G1280" s="8">
        <v>7</v>
      </c>
      <c r="H1280" s="8" t="s">
        <v>2881</v>
      </c>
      <c r="I1280" s="8">
        <v>526.6875</v>
      </c>
      <c r="J1280" s="3">
        <f t="shared" si="19"/>
        <v>43747.532426724538</v>
      </c>
    </row>
    <row r="1281" spans="1:10" x14ac:dyDescent="0.25">
      <c r="A1281" s="5" t="s">
        <v>2882</v>
      </c>
      <c r="B1281" s="6">
        <v>393.75</v>
      </c>
      <c r="C1281" s="6">
        <v>20.584240000000001</v>
      </c>
      <c r="D1281" s="6">
        <v>54</v>
      </c>
      <c r="E1281" s="6">
        <v>0</v>
      </c>
      <c r="F1281" s="6">
        <v>0</v>
      </c>
      <c r="G1281" s="6">
        <v>19</v>
      </c>
      <c r="H1281" s="6" t="s">
        <v>2883</v>
      </c>
      <c r="I1281" s="6">
        <v>526.6875</v>
      </c>
      <c r="J1281" s="2">
        <f t="shared" si="19"/>
        <v>43747.532510046294</v>
      </c>
    </row>
    <row r="1282" spans="1:10" x14ac:dyDescent="0.25">
      <c r="A1282" s="7" t="s">
        <v>2884</v>
      </c>
      <c r="B1282" s="8">
        <v>393.75</v>
      </c>
      <c r="C1282" s="8">
        <v>20.584240000000001</v>
      </c>
      <c r="D1282" s="8">
        <v>52</v>
      </c>
      <c r="E1282" s="8">
        <v>0</v>
      </c>
      <c r="F1282" s="8">
        <v>0</v>
      </c>
      <c r="G1282" s="8">
        <v>16</v>
      </c>
      <c r="H1282" s="8" t="s">
        <v>2885</v>
      </c>
      <c r="I1282" s="8">
        <v>526.6875</v>
      </c>
      <c r="J1282" s="3">
        <f t="shared" ref="J1282:J1345" si="20">(H1282/86400000)+25569+(7/24)</f>
        <v>43747.532593379627</v>
      </c>
    </row>
    <row r="1283" spans="1:10" x14ac:dyDescent="0.25">
      <c r="A1283" s="5" t="s">
        <v>2886</v>
      </c>
      <c r="B1283" s="6">
        <v>393.75</v>
      </c>
      <c r="C1283" s="6">
        <v>20.584240000000001</v>
      </c>
      <c r="D1283" s="6">
        <v>52</v>
      </c>
      <c r="E1283" s="6">
        <v>0</v>
      </c>
      <c r="F1283" s="6">
        <v>0</v>
      </c>
      <c r="G1283" s="6">
        <v>9</v>
      </c>
      <c r="H1283" s="6" t="s">
        <v>2887</v>
      </c>
      <c r="I1283" s="6">
        <v>526.6875</v>
      </c>
      <c r="J1283" s="2">
        <f t="shared" si="20"/>
        <v>43747.532665023151</v>
      </c>
    </row>
    <row r="1284" spans="1:10" x14ac:dyDescent="0.25">
      <c r="A1284" s="7" t="s">
        <v>2888</v>
      </c>
      <c r="B1284" s="8">
        <v>418.75</v>
      </c>
      <c r="C1284" s="8">
        <v>20.584240000000001</v>
      </c>
      <c r="D1284" s="8">
        <v>49</v>
      </c>
      <c r="E1284" s="8">
        <v>0</v>
      </c>
      <c r="F1284" s="8">
        <v>0</v>
      </c>
      <c r="G1284" s="8">
        <v>16</v>
      </c>
      <c r="H1284" s="8" t="s">
        <v>2889</v>
      </c>
      <c r="I1284" s="8">
        <v>534.9375</v>
      </c>
      <c r="J1284" s="3">
        <f t="shared" si="20"/>
        <v>43747.532748692123</v>
      </c>
    </row>
    <row r="1285" spans="1:10" x14ac:dyDescent="0.25">
      <c r="A1285" s="5" t="s">
        <v>2890</v>
      </c>
      <c r="B1285" s="6">
        <v>393.75</v>
      </c>
      <c r="C1285" s="6">
        <v>20.531590000000001</v>
      </c>
      <c r="D1285" s="6">
        <v>48</v>
      </c>
      <c r="E1285" s="6">
        <v>0</v>
      </c>
      <c r="F1285" s="6">
        <v>0</v>
      </c>
      <c r="G1285" s="6">
        <v>13</v>
      </c>
      <c r="H1285" s="6" t="s">
        <v>2891</v>
      </c>
      <c r="I1285" s="6">
        <v>526.6875</v>
      </c>
      <c r="J1285" s="2">
        <f t="shared" si="20"/>
        <v>43747.532832037039</v>
      </c>
    </row>
    <row r="1286" spans="1:10" x14ac:dyDescent="0.25">
      <c r="A1286" s="7" t="s">
        <v>2892</v>
      </c>
      <c r="B1286" s="8">
        <v>393.75</v>
      </c>
      <c r="C1286" s="8">
        <v>20.584240000000001</v>
      </c>
      <c r="D1286" s="8">
        <v>48</v>
      </c>
      <c r="E1286" s="8">
        <v>0</v>
      </c>
      <c r="F1286" s="8">
        <v>0</v>
      </c>
      <c r="G1286" s="8">
        <v>14</v>
      </c>
      <c r="H1286" s="8" t="s">
        <v>2893</v>
      </c>
      <c r="I1286" s="8">
        <v>526.6875</v>
      </c>
      <c r="J1286" s="3">
        <f t="shared" si="20"/>
        <v>43747.532915613425</v>
      </c>
    </row>
    <row r="1287" spans="1:10" x14ac:dyDescent="0.25">
      <c r="A1287" s="5" t="s">
        <v>2894</v>
      </c>
      <c r="B1287" s="6">
        <v>393.75</v>
      </c>
      <c r="C1287" s="6">
        <v>20.584240000000001</v>
      </c>
      <c r="D1287" s="6">
        <v>54</v>
      </c>
      <c r="E1287" s="6">
        <v>0</v>
      </c>
      <c r="F1287" s="6">
        <v>0</v>
      </c>
      <c r="G1287" s="6">
        <v>9</v>
      </c>
      <c r="H1287" s="6" t="s">
        <v>2895</v>
      </c>
      <c r="I1287" s="6">
        <v>526.6875</v>
      </c>
      <c r="J1287" s="2">
        <f t="shared" si="20"/>
        <v>43747.532998935181</v>
      </c>
    </row>
    <row r="1288" spans="1:10" x14ac:dyDescent="0.25">
      <c r="A1288" s="7" t="s">
        <v>2896</v>
      </c>
      <c r="B1288" s="8">
        <v>393.75</v>
      </c>
      <c r="C1288" s="8">
        <v>20.531590000000001</v>
      </c>
      <c r="D1288" s="8">
        <v>54</v>
      </c>
      <c r="E1288" s="8">
        <v>0</v>
      </c>
      <c r="F1288" s="8">
        <v>0</v>
      </c>
      <c r="G1288" s="8">
        <v>15</v>
      </c>
      <c r="H1288" s="8" t="s">
        <v>2897</v>
      </c>
      <c r="I1288" s="8">
        <v>526.6875</v>
      </c>
      <c r="J1288" s="3">
        <f t="shared" si="20"/>
        <v>43747.53308228009</v>
      </c>
    </row>
    <row r="1289" spans="1:10" x14ac:dyDescent="0.25">
      <c r="A1289" s="5" t="s">
        <v>2898</v>
      </c>
      <c r="B1289" s="6">
        <v>393.75</v>
      </c>
      <c r="C1289" s="6">
        <v>20.531590000000001</v>
      </c>
      <c r="D1289" s="6">
        <v>54</v>
      </c>
      <c r="E1289" s="6">
        <v>0</v>
      </c>
      <c r="F1289" s="6">
        <v>0</v>
      </c>
      <c r="G1289" s="6">
        <v>20</v>
      </c>
      <c r="H1289" s="6" t="s">
        <v>2899</v>
      </c>
      <c r="I1289" s="6">
        <v>526.6875</v>
      </c>
      <c r="J1289" s="2">
        <f t="shared" si="20"/>
        <v>43747.533165833331</v>
      </c>
    </row>
    <row r="1290" spans="1:10" x14ac:dyDescent="0.25">
      <c r="A1290" s="7" t="s">
        <v>2900</v>
      </c>
      <c r="B1290" s="8">
        <v>393.75</v>
      </c>
      <c r="C1290" s="8">
        <v>20.584240000000001</v>
      </c>
      <c r="D1290" s="8">
        <v>54</v>
      </c>
      <c r="E1290" s="8">
        <v>0</v>
      </c>
      <c r="F1290" s="8">
        <v>0</v>
      </c>
      <c r="G1290" s="8">
        <v>12</v>
      </c>
      <c r="H1290" s="8" t="s">
        <v>2901</v>
      </c>
      <c r="I1290" s="8">
        <v>526.6875</v>
      </c>
      <c r="J1290" s="3">
        <f t="shared" si="20"/>
        <v>43747.533248946762</v>
      </c>
    </row>
    <row r="1291" spans="1:10" x14ac:dyDescent="0.25">
      <c r="A1291" s="5" t="s">
        <v>2902</v>
      </c>
      <c r="B1291" s="6">
        <v>415.625</v>
      </c>
      <c r="C1291" s="6">
        <v>20.584240000000001</v>
      </c>
      <c r="D1291" s="6">
        <v>54</v>
      </c>
      <c r="E1291" s="6">
        <v>0</v>
      </c>
      <c r="F1291" s="6">
        <v>0</v>
      </c>
      <c r="G1291" s="6">
        <v>13</v>
      </c>
      <c r="H1291" s="6" t="s">
        <v>2903</v>
      </c>
      <c r="I1291" s="6">
        <v>533.625</v>
      </c>
      <c r="J1291" s="2">
        <f t="shared" si="20"/>
        <v>43747.533332384257</v>
      </c>
    </row>
    <row r="1292" spans="1:10" x14ac:dyDescent="0.25">
      <c r="A1292" s="7" t="s">
        <v>2904</v>
      </c>
      <c r="B1292" s="8">
        <v>393.75</v>
      </c>
      <c r="C1292" s="8">
        <v>20.584240000000001</v>
      </c>
      <c r="D1292" s="8">
        <v>65</v>
      </c>
      <c r="E1292" s="8">
        <v>0</v>
      </c>
      <c r="F1292" s="8">
        <v>0</v>
      </c>
      <c r="G1292" s="8">
        <v>0</v>
      </c>
      <c r="H1292" s="8" t="s">
        <v>2905</v>
      </c>
      <c r="I1292" s="8">
        <v>526.6875</v>
      </c>
      <c r="J1292" s="3">
        <f t="shared" si="20"/>
        <v>43747.533652928243</v>
      </c>
    </row>
    <row r="1293" spans="1:10" x14ac:dyDescent="0.25">
      <c r="A1293" s="5" t="s">
        <v>2906</v>
      </c>
      <c r="B1293" s="6">
        <v>393.75</v>
      </c>
      <c r="C1293" s="6">
        <v>20.531590000000001</v>
      </c>
      <c r="D1293" s="6">
        <v>58</v>
      </c>
      <c r="E1293" s="6">
        <v>0</v>
      </c>
      <c r="F1293" s="6">
        <v>0</v>
      </c>
      <c r="G1293" s="6">
        <v>0</v>
      </c>
      <c r="H1293" s="6" t="s">
        <v>2907</v>
      </c>
      <c r="I1293" s="6">
        <v>526.6875</v>
      </c>
      <c r="J1293" s="2">
        <f t="shared" si="20"/>
        <v>43747.533733692129</v>
      </c>
    </row>
    <row r="1294" spans="1:10" x14ac:dyDescent="0.25">
      <c r="A1294" s="7" t="s">
        <v>2908</v>
      </c>
      <c r="B1294" s="8">
        <v>393.75</v>
      </c>
      <c r="C1294" s="8">
        <v>20.531590000000001</v>
      </c>
      <c r="D1294" s="8">
        <v>56</v>
      </c>
      <c r="E1294" s="8">
        <v>0</v>
      </c>
      <c r="F1294" s="8">
        <v>0</v>
      </c>
      <c r="G1294" s="8">
        <v>0</v>
      </c>
      <c r="H1294" s="8" t="s">
        <v>2909</v>
      </c>
      <c r="I1294" s="8">
        <v>526.6875</v>
      </c>
      <c r="J1294" s="3">
        <f t="shared" si="20"/>
        <v>43747.533817256939</v>
      </c>
    </row>
    <row r="1295" spans="1:10" x14ac:dyDescent="0.25">
      <c r="A1295" s="5" t="s">
        <v>2910</v>
      </c>
      <c r="B1295" s="6">
        <v>393.75</v>
      </c>
      <c r="C1295" s="6">
        <v>20.584240000000001</v>
      </c>
      <c r="D1295" s="6">
        <v>53</v>
      </c>
      <c r="E1295" s="6">
        <v>0</v>
      </c>
      <c r="F1295" s="6">
        <v>0</v>
      </c>
      <c r="G1295" s="6">
        <v>1</v>
      </c>
      <c r="H1295" s="6" t="s">
        <v>2911</v>
      </c>
      <c r="I1295" s="6">
        <v>526.6875</v>
      </c>
      <c r="J1295" s="2">
        <f t="shared" si="20"/>
        <v>43747.533900821756</v>
      </c>
    </row>
    <row r="1296" spans="1:10" x14ac:dyDescent="0.25">
      <c r="A1296" s="7" t="s">
        <v>2912</v>
      </c>
      <c r="B1296" s="8">
        <v>393.75</v>
      </c>
      <c r="C1296" s="8">
        <v>20.584240000000001</v>
      </c>
      <c r="D1296" s="8">
        <v>52</v>
      </c>
      <c r="E1296" s="8">
        <v>0</v>
      </c>
      <c r="F1296" s="8">
        <v>0</v>
      </c>
      <c r="G1296" s="8">
        <v>4</v>
      </c>
      <c r="H1296" s="8" t="s">
        <v>2913</v>
      </c>
      <c r="I1296" s="8">
        <v>526.6875</v>
      </c>
      <c r="J1296" s="3">
        <f t="shared" si="20"/>
        <v>43747.53398472222</v>
      </c>
    </row>
    <row r="1297" spans="1:10" x14ac:dyDescent="0.25">
      <c r="A1297" s="5" t="s">
        <v>2914</v>
      </c>
      <c r="B1297" s="6">
        <v>393.75</v>
      </c>
      <c r="C1297" s="6">
        <v>20.584240000000001</v>
      </c>
      <c r="D1297" s="6">
        <v>53</v>
      </c>
      <c r="E1297" s="6">
        <v>0</v>
      </c>
      <c r="F1297" s="6">
        <v>0</v>
      </c>
      <c r="G1297" s="6">
        <v>0</v>
      </c>
      <c r="H1297" s="6" t="s">
        <v>2915</v>
      </c>
      <c r="I1297" s="6">
        <v>526.6875</v>
      </c>
      <c r="J1297" s="2">
        <f t="shared" si="20"/>
        <v>43747.534067488428</v>
      </c>
    </row>
    <row r="1298" spans="1:10" x14ac:dyDescent="0.25">
      <c r="A1298" s="7" t="s">
        <v>2916</v>
      </c>
      <c r="B1298" s="8">
        <v>412.5</v>
      </c>
      <c r="C1298" s="8">
        <v>20.531590000000001</v>
      </c>
      <c r="D1298" s="8">
        <v>53</v>
      </c>
      <c r="E1298" s="8">
        <v>0</v>
      </c>
      <c r="F1298" s="8">
        <v>0</v>
      </c>
      <c r="G1298" s="8">
        <v>5</v>
      </c>
      <c r="H1298" s="8" t="s">
        <v>2917</v>
      </c>
      <c r="I1298" s="8">
        <v>532.125</v>
      </c>
      <c r="J1298" s="3">
        <f t="shared" si="20"/>
        <v>43747.534139247684</v>
      </c>
    </row>
    <row r="1299" spans="1:10" x14ac:dyDescent="0.25">
      <c r="A1299" s="5" t="s">
        <v>2918</v>
      </c>
      <c r="B1299" s="6">
        <v>393.75</v>
      </c>
      <c r="C1299" s="6">
        <v>20.584240000000001</v>
      </c>
      <c r="D1299" s="6">
        <v>52</v>
      </c>
      <c r="E1299" s="6">
        <v>0</v>
      </c>
      <c r="F1299" s="6">
        <v>0</v>
      </c>
      <c r="G1299" s="6">
        <v>0</v>
      </c>
      <c r="H1299" s="6" t="s">
        <v>2919</v>
      </c>
      <c r="I1299" s="6">
        <v>526.6875</v>
      </c>
      <c r="J1299" s="2">
        <f t="shared" si="20"/>
        <v>43747.53422256944</v>
      </c>
    </row>
    <row r="1300" spans="1:10" x14ac:dyDescent="0.25">
      <c r="A1300" s="7" t="s">
        <v>2920</v>
      </c>
      <c r="B1300" s="8">
        <v>393.75</v>
      </c>
      <c r="C1300" s="8">
        <v>20.584240000000001</v>
      </c>
      <c r="D1300" s="8">
        <v>53</v>
      </c>
      <c r="E1300" s="8">
        <v>0</v>
      </c>
      <c r="F1300" s="8">
        <v>0</v>
      </c>
      <c r="G1300" s="8">
        <v>7</v>
      </c>
      <c r="H1300" s="8" t="s">
        <v>2921</v>
      </c>
      <c r="I1300" s="8">
        <v>526.6875</v>
      </c>
      <c r="J1300" s="3">
        <f t="shared" si="20"/>
        <v>43747.534306134257</v>
      </c>
    </row>
    <row r="1301" spans="1:10" x14ac:dyDescent="0.25">
      <c r="A1301" s="5" t="s">
        <v>2922</v>
      </c>
      <c r="B1301" s="6">
        <v>393.75</v>
      </c>
      <c r="C1301" s="6">
        <v>20.584240000000001</v>
      </c>
      <c r="D1301" s="6">
        <v>52</v>
      </c>
      <c r="E1301" s="6">
        <v>0</v>
      </c>
      <c r="F1301" s="6">
        <v>0</v>
      </c>
      <c r="G1301" s="6">
        <v>4</v>
      </c>
      <c r="H1301" s="6" t="s">
        <v>2923</v>
      </c>
      <c r="I1301" s="6">
        <v>526.6875</v>
      </c>
      <c r="J1301" s="2">
        <f t="shared" si="20"/>
        <v>43747.534377673604</v>
      </c>
    </row>
    <row r="1302" spans="1:10" x14ac:dyDescent="0.25">
      <c r="A1302" s="7" t="s">
        <v>2924</v>
      </c>
      <c r="B1302" s="8">
        <v>393.75</v>
      </c>
      <c r="C1302" s="8">
        <v>20.584240000000001</v>
      </c>
      <c r="D1302" s="8">
        <v>51</v>
      </c>
      <c r="E1302" s="8">
        <v>0</v>
      </c>
      <c r="F1302" s="8">
        <v>0</v>
      </c>
      <c r="G1302" s="8">
        <v>0</v>
      </c>
      <c r="H1302" s="8" t="s">
        <v>2925</v>
      </c>
      <c r="I1302" s="8">
        <v>526.6875</v>
      </c>
      <c r="J1302" s="3">
        <f t="shared" si="20"/>
        <v>43747.534461006937</v>
      </c>
    </row>
    <row r="1303" spans="1:10" x14ac:dyDescent="0.25">
      <c r="A1303" s="5" t="s">
        <v>2926</v>
      </c>
      <c r="B1303" s="6">
        <v>393.75</v>
      </c>
      <c r="C1303" s="6">
        <v>20.531590000000001</v>
      </c>
      <c r="D1303" s="6">
        <v>51</v>
      </c>
      <c r="E1303" s="6">
        <v>0</v>
      </c>
      <c r="F1303" s="6">
        <v>0</v>
      </c>
      <c r="G1303" s="6">
        <v>0</v>
      </c>
      <c r="H1303" s="6" t="s">
        <v>2927</v>
      </c>
      <c r="I1303" s="6">
        <v>526.6875</v>
      </c>
      <c r="J1303" s="2">
        <f t="shared" si="20"/>
        <v>43747.534532627316</v>
      </c>
    </row>
    <row r="1304" spans="1:10" x14ac:dyDescent="0.25">
      <c r="A1304" s="7" t="s">
        <v>2928</v>
      </c>
      <c r="B1304" s="8">
        <v>393.75</v>
      </c>
      <c r="C1304" s="8">
        <v>20.584240000000001</v>
      </c>
      <c r="D1304" s="8">
        <v>51</v>
      </c>
      <c r="E1304" s="8">
        <v>0</v>
      </c>
      <c r="F1304" s="8">
        <v>0</v>
      </c>
      <c r="G1304" s="8">
        <v>6</v>
      </c>
      <c r="H1304" s="8" t="s">
        <v>2929</v>
      </c>
      <c r="I1304" s="8">
        <v>526.6875</v>
      </c>
      <c r="J1304" s="3">
        <f t="shared" si="20"/>
        <v>43747.534616331017</v>
      </c>
    </row>
    <row r="1305" spans="1:10" x14ac:dyDescent="0.25">
      <c r="A1305" s="5" t="s">
        <v>2930</v>
      </c>
      <c r="B1305" s="6">
        <v>393.75</v>
      </c>
      <c r="C1305" s="6">
        <v>20.531590000000001</v>
      </c>
      <c r="D1305" s="6">
        <v>50</v>
      </c>
      <c r="E1305" s="6">
        <v>0</v>
      </c>
      <c r="F1305" s="6">
        <v>0</v>
      </c>
      <c r="G1305" s="6">
        <v>16</v>
      </c>
      <c r="H1305" s="6" t="s">
        <v>2931</v>
      </c>
      <c r="I1305" s="6">
        <v>526.6875</v>
      </c>
      <c r="J1305" s="2">
        <f t="shared" si="20"/>
        <v>43747.534699537035</v>
      </c>
    </row>
    <row r="1306" spans="1:10" x14ac:dyDescent="0.25">
      <c r="A1306" s="7" t="s">
        <v>2932</v>
      </c>
      <c r="B1306" s="8">
        <v>393.75</v>
      </c>
      <c r="C1306" s="8">
        <v>20.584240000000001</v>
      </c>
      <c r="D1306" s="8">
        <v>50</v>
      </c>
      <c r="E1306" s="8">
        <v>0</v>
      </c>
      <c r="F1306" s="8">
        <v>0</v>
      </c>
      <c r="G1306" s="8">
        <v>12</v>
      </c>
      <c r="H1306" s="8" t="s">
        <v>2933</v>
      </c>
      <c r="I1306" s="8">
        <v>526.6875</v>
      </c>
      <c r="J1306" s="3">
        <f t="shared" si="20"/>
        <v>43747.53478311342</v>
      </c>
    </row>
    <row r="1307" spans="1:10" x14ac:dyDescent="0.25">
      <c r="A1307" s="5" t="s">
        <v>2934</v>
      </c>
      <c r="B1307" s="6">
        <v>393.75</v>
      </c>
      <c r="C1307" s="6">
        <v>20.531590000000001</v>
      </c>
      <c r="D1307" s="6">
        <v>51</v>
      </c>
      <c r="E1307" s="6">
        <v>0</v>
      </c>
      <c r="F1307" s="6">
        <v>0</v>
      </c>
      <c r="G1307" s="6">
        <v>9</v>
      </c>
      <c r="H1307" s="6" t="s">
        <v>2935</v>
      </c>
      <c r="I1307" s="6">
        <v>526.6875</v>
      </c>
      <c r="J1307" s="2">
        <f t="shared" si="20"/>
        <v>43747.534854722217</v>
      </c>
    </row>
    <row r="1308" spans="1:10" x14ac:dyDescent="0.25">
      <c r="A1308" s="7" t="s">
        <v>2936</v>
      </c>
      <c r="B1308" s="8">
        <v>393.75</v>
      </c>
      <c r="C1308" s="8">
        <v>20.584240000000001</v>
      </c>
      <c r="D1308" s="8">
        <v>51</v>
      </c>
      <c r="E1308" s="8">
        <v>0</v>
      </c>
      <c r="F1308" s="8">
        <v>0</v>
      </c>
      <c r="G1308" s="8">
        <v>11</v>
      </c>
      <c r="H1308" s="8" t="s">
        <v>2937</v>
      </c>
      <c r="I1308" s="8">
        <v>526.6875</v>
      </c>
      <c r="J1308" s="3">
        <f t="shared" si="20"/>
        <v>43747.534937858793</v>
      </c>
    </row>
    <row r="1309" spans="1:10" x14ac:dyDescent="0.25">
      <c r="A1309" s="5" t="s">
        <v>2938</v>
      </c>
      <c r="B1309" s="6">
        <v>412.5</v>
      </c>
      <c r="C1309" s="6">
        <v>20.531590000000001</v>
      </c>
      <c r="D1309" s="6">
        <v>51</v>
      </c>
      <c r="E1309" s="6">
        <v>0</v>
      </c>
      <c r="F1309" s="6">
        <v>0</v>
      </c>
      <c r="G1309" s="6">
        <v>14</v>
      </c>
      <c r="H1309" s="6" t="s">
        <v>2939</v>
      </c>
      <c r="I1309" s="6">
        <v>532.5</v>
      </c>
      <c r="J1309" s="2">
        <f t="shared" si="20"/>
        <v>43747.535009722218</v>
      </c>
    </row>
    <row r="1310" spans="1:10" x14ac:dyDescent="0.25">
      <c r="A1310" s="7" t="s">
        <v>2940</v>
      </c>
      <c r="B1310" s="8">
        <v>393.75</v>
      </c>
      <c r="C1310" s="8">
        <v>20.584240000000001</v>
      </c>
      <c r="D1310" s="8">
        <v>53</v>
      </c>
      <c r="E1310" s="8">
        <v>0</v>
      </c>
      <c r="F1310" s="8">
        <v>0</v>
      </c>
      <c r="G1310" s="8">
        <v>12</v>
      </c>
      <c r="H1310" s="8" t="s">
        <v>2941</v>
      </c>
      <c r="I1310" s="8">
        <v>526.6875</v>
      </c>
      <c r="J1310" s="3">
        <f t="shared" si="20"/>
        <v>43747.53509315972</v>
      </c>
    </row>
    <row r="1311" spans="1:10" x14ac:dyDescent="0.25">
      <c r="A1311" s="5" t="s">
        <v>2942</v>
      </c>
      <c r="B1311" s="6">
        <v>393.75</v>
      </c>
      <c r="C1311" s="6">
        <v>20.584240000000001</v>
      </c>
      <c r="D1311" s="6">
        <v>52</v>
      </c>
      <c r="E1311" s="6">
        <v>0</v>
      </c>
      <c r="F1311" s="6">
        <v>0</v>
      </c>
      <c r="G1311" s="6">
        <v>13</v>
      </c>
      <c r="H1311" s="6" t="s">
        <v>2943</v>
      </c>
      <c r="I1311" s="6">
        <v>526.6875</v>
      </c>
      <c r="J1311" s="2">
        <f t="shared" si="20"/>
        <v>43747.535176504629</v>
      </c>
    </row>
    <row r="1312" spans="1:10" x14ac:dyDescent="0.25">
      <c r="A1312" s="7" t="s">
        <v>2944</v>
      </c>
      <c r="B1312" s="8">
        <v>393.75</v>
      </c>
      <c r="C1312" s="8">
        <v>20.584240000000001</v>
      </c>
      <c r="D1312" s="8">
        <v>52</v>
      </c>
      <c r="E1312" s="8">
        <v>0</v>
      </c>
      <c r="F1312" s="8">
        <v>0</v>
      </c>
      <c r="G1312" s="8">
        <v>18</v>
      </c>
      <c r="H1312" s="8" t="s">
        <v>2945</v>
      </c>
      <c r="I1312" s="8">
        <v>526.6875</v>
      </c>
      <c r="J1312" s="3">
        <f t="shared" si="20"/>
        <v>43747.535260069439</v>
      </c>
    </row>
    <row r="1313" spans="1:10" x14ac:dyDescent="0.25">
      <c r="A1313" s="5" t="s">
        <v>2946</v>
      </c>
      <c r="B1313" s="6">
        <v>393.75</v>
      </c>
      <c r="C1313" s="6">
        <v>20.584240000000001</v>
      </c>
      <c r="D1313" s="6">
        <v>52</v>
      </c>
      <c r="E1313" s="6">
        <v>0</v>
      </c>
      <c r="F1313" s="6">
        <v>0</v>
      </c>
      <c r="G1313" s="6">
        <v>12</v>
      </c>
      <c r="H1313" s="6" t="s">
        <v>2947</v>
      </c>
      <c r="I1313" s="6">
        <v>526.6875</v>
      </c>
      <c r="J1313" s="2">
        <f t="shared" si="20"/>
        <v>43747.535343414354</v>
      </c>
    </row>
    <row r="1314" spans="1:10" x14ac:dyDescent="0.25">
      <c r="A1314" s="7" t="s">
        <v>2948</v>
      </c>
      <c r="B1314" s="8">
        <v>412.5</v>
      </c>
      <c r="C1314" s="8">
        <v>20.584240000000001</v>
      </c>
      <c r="D1314" s="8">
        <v>52</v>
      </c>
      <c r="E1314" s="8">
        <v>0</v>
      </c>
      <c r="F1314" s="8">
        <v>0</v>
      </c>
      <c r="G1314" s="8">
        <v>10</v>
      </c>
      <c r="H1314" s="8" t="s">
        <v>2949</v>
      </c>
      <c r="I1314" s="8">
        <v>532.5</v>
      </c>
      <c r="J1314" s="3">
        <f t="shared" si="20"/>
        <v>43747.535426759256</v>
      </c>
    </row>
    <row r="1315" spans="1:10" x14ac:dyDescent="0.25">
      <c r="A1315" s="5" t="s">
        <v>2950</v>
      </c>
      <c r="B1315" s="6">
        <v>393.75</v>
      </c>
      <c r="C1315" s="6">
        <v>20.584240000000001</v>
      </c>
      <c r="D1315" s="6">
        <v>51</v>
      </c>
      <c r="E1315" s="6">
        <v>0</v>
      </c>
      <c r="F1315" s="6">
        <v>0</v>
      </c>
      <c r="G1315" s="6">
        <v>10</v>
      </c>
      <c r="H1315" s="6" t="s">
        <v>2951</v>
      </c>
      <c r="I1315" s="6">
        <v>526.6875</v>
      </c>
      <c r="J1315" s="2">
        <f t="shared" si="20"/>
        <v>43747.53551040509</v>
      </c>
    </row>
    <row r="1316" spans="1:10" x14ac:dyDescent="0.25">
      <c r="A1316" s="7" t="s">
        <v>2952</v>
      </c>
      <c r="B1316" s="8">
        <v>393.75</v>
      </c>
      <c r="C1316" s="8">
        <v>20.584240000000001</v>
      </c>
      <c r="D1316" s="8">
        <v>50</v>
      </c>
      <c r="E1316" s="8">
        <v>0</v>
      </c>
      <c r="F1316" s="8">
        <v>0</v>
      </c>
      <c r="G1316" s="8">
        <v>9</v>
      </c>
      <c r="H1316" s="8" t="s">
        <v>2953</v>
      </c>
      <c r="I1316" s="8">
        <v>526.6875</v>
      </c>
      <c r="J1316" s="3">
        <f t="shared" si="20"/>
        <v>43747.535593506946</v>
      </c>
    </row>
    <row r="1317" spans="1:10" x14ac:dyDescent="0.25">
      <c r="A1317" s="5" t="s">
        <v>2954</v>
      </c>
      <c r="B1317" s="6">
        <v>393.75</v>
      </c>
      <c r="C1317" s="6">
        <v>20.531590000000001</v>
      </c>
      <c r="D1317" s="6">
        <v>52</v>
      </c>
      <c r="E1317" s="6">
        <v>0</v>
      </c>
      <c r="F1317" s="6">
        <v>0</v>
      </c>
      <c r="G1317" s="6">
        <v>10</v>
      </c>
      <c r="H1317" s="6" t="s">
        <v>2955</v>
      </c>
      <c r="I1317" s="6">
        <v>526.6875</v>
      </c>
      <c r="J1317" s="2">
        <f t="shared" si="20"/>
        <v>43747.535677314816</v>
      </c>
    </row>
    <row r="1318" spans="1:10" x14ac:dyDescent="0.25">
      <c r="A1318" s="7" t="s">
        <v>2956</v>
      </c>
      <c r="B1318" s="8">
        <v>393.75</v>
      </c>
      <c r="C1318" s="8">
        <v>20.584240000000001</v>
      </c>
      <c r="D1318" s="8">
        <v>52</v>
      </c>
      <c r="E1318" s="8">
        <v>0</v>
      </c>
      <c r="F1318" s="8">
        <v>0</v>
      </c>
      <c r="G1318" s="8">
        <v>12</v>
      </c>
      <c r="H1318" s="8" t="s">
        <v>2957</v>
      </c>
      <c r="I1318" s="8">
        <v>526.5</v>
      </c>
      <c r="J1318" s="3">
        <f t="shared" si="20"/>
        <v>43747.535760891202</v>
      </c>
    </row>
    <row r="1319" spans="1:10" x14ac:dyDescent="0.25">
      <c r="A1319" s="5" t="s">
        <v>2958</v>
      </c>
      <c r="B1319" s="6">
        <v>393.75</v>
      </c>
      <c r="C1319" s="6">
        <v>20.584240000000001</v>
      </c>
      <c r="D1319" s="6">
        <v>52</v>
      </c>
      <c r="E1319" s="6">
        <v>0</v>
      </c>
      <c r="F1319" s="6">
        <v>0</v>
      </c>
      <c r="G1319" s="6">
        <v>17</v>
      </c>
      <c r="H1319" s="6" t="s">
        <v>2959</v>
      </c>
      <c r="I1319" s="6">
        <v>526.6875</v>
      </c>
      <c r="J1319" s="2">
        <f t="shared" si="20"/>
        <v>43747.535832314818</v>
      </c>
    </row>
    <row r="1320" spans="1:10" x14ac:dyDescent="0.25">
      <c r="A1320" s="7" t="s">
        <v>2960</v>
      </c>
      <c r="B1320" s="8">
        <v>393.75</v>
      </c>
      <c r="C1320" s="8">
        <v>20.531590000000001</v>
      </c>
      <c r="D1320" s="8">
        <v>52</v>
      </c>
      <c r="E1320" s="8">
        <v>0</v>
      </c>
      <c r="F1320" s="8">
        <v>0</v>
      </c>
      <c r="G1320" s="8">
        <v>4</v>
      </c>
      <c r="H1320" s="8" t="s">
        <v>2961</v>
      </c>
      <c r="I1320" s="8">
        <v>526.6875</v>
      </c>
      <c r="J1320" s="3">
        <f t="shared" si="20"/>
        <v>43747.535915636567</v>
      </c>
    </row>
    <row r="1321" spans="1:10" x14ac:dyDescent="0.25">
      <c r="A1321" s="5" t="s">
        <v>2962</v>
      </c>
      <c r="B1321" s="6">
        <v>393.75</v>
      </c>
      <c r="C1321" s="6">
        <v>20.531590000000001</v>
      </c>
      <c r="D1321" s="6">
        <v>51</v>
      </c>
      <c r="E1321" s="6">
        <v>0</v>
      </c>
      <c r="F1321" s="6">
        <v>0</v>
      </c>
      <c r="G1321" s="6">
        <v>15</v>
      </c>
      <c r="H1321" s="6" t="s">
        <v>2963</v>
      </c>
      <c r="I1321" s="6">
        <v>526.6875</v>
      </c>
      <c r="J1321" s="2">
        <f t="shared" si="20"/>
        <v>43747.535999201391</v>
      </c>
    </row>
    <row r="1322" spans="1:10" x14ac:dyDescent="0.25">
      <c r="A1322" s="7" t="s">
        <v>2964</v>
      </c>
      <c r="B1322" s="8">
        <v>393.75</v>
      </c>
      <c r="C1322" s="8">
        <v>20.584240000000001</v>
      </c>
      <c r="D1322" s="8">
        <v>51</v>
      </c>
      <c r="E1322" s="8">
        <v>0</v>
      </c>
      <c r="F1322" s="8">
        <v>0</v>
      </c>
      <c r="G1322" s="8">
        <v>8</v>
      </c>
      <c r="H1322" s="8" t="s">
        <v>2965</v>
      </c>
      <c r="I1322" s="8">
        <v>526.6875</v>
      </c>
      <c r="J1322" s="3">
        <f t="shared" si="20"/>
        <v>43747.536082418977</v>
      </c>
    </row>
    <row r="1323" spans="1:10" x14ac:dyDescent="0.25">
      <c r="A1323" s="5" t="s">
        <v>2966</v>
      </c>
      <c r="B1323" s="6">
        <v>393.75</v>
      </c>
      <c r="C1323" s="6">
        <v>20.584240000000001</v>
      </c>
      <c r="D1323" s="6">
        <v>51</v>
      </c>
      <c r="E1323" s="6">
        <v>0</v>
      </c>
      <c r="F1323" s="6">
        <v>0</v>
      </c>
      <c r="G1323" s="6">
        <v>17</v>
      </c>
      <c r="H1323" s="6" t="s">
        <v>2967</v>
      </c>
      <c r="I1323" s="6">
        <v>526.6875</v>
      </c>
      <c r="J1323" s="2">
        <f t="shared" si="20"/>
        <v>43747.536154050926</v>
      </c>
    </row>
    <row r="1324" spans="1:10" x14ac:dyDescent="0.25">
      <c r="A1324" s="7" t="s">
        <v>2968</v>
      </c>
      <c r="B1324" s="8">
        <v>393.75</v>
      </c>
      <c r="C1324" s="8">
        <v>20.584240000000001</v>
      </c>
      <c r="D1324" s="8">
        <v>51</v>
      </c>
      <c r="E1324" s="8">
        <v>0</v>
      </c>
      <c r="F1324" s="8">
        <v>0</v>
      </c>
      <c r="G1324" s="8">
        <v>13</v>
      </c>
      <c r="H1324" s="8" t="s">
        <v>2969</v>
      </c>
      <c r="I1324" s="8">
        <v>526.6875</v>
      </c>
      <c r="J1324" s="3">
        <f t="shared" si="20"/>
        <v>43747.536237893517</v>
      </c>
    </row>
    <row r="1325" spans="1:10" x14ac:dyDescent="0.25">
      <c r="A1325" s="5" t="s">
        <v>2970</v>
      </c>
      <c r="B1325" s="6">
        <v>393.75</v>
      </c>
      <c r="C1325" s="6">
        <v>20.584240000000001</v>
      </c>
      <c r="D1325" s="6">
        <v>51</v>
      </c>
      <c r="E1325" s="6">
        <v>0</v>
      </c>
      <c r="F1325" s="6">
        <v>0</v>
      </c>
      <c r="G1325" s="6">
        <v>9</v>
      </c>
      <c r="H1325" s="6" t="s">
        <v>2971</v>
      </c>
      <c r="I1325" s="6">
        <v>526.6875</v>
      </c>
      <c r="J1325" s="2">
        <f t="shared" si="20"/>
        <v>43747.536321192129</v>
      </c>
    </row>
    <row r="1326" spans="1:10" x14ac:dyDescent="0.25">
      <c r="A1326" s="7" t="s">
        <v>2972</v>
      </c>
      <c r="B1326" s="8">
        <v>390.625</v>
      </c>
      <c r="C1326" s="8">
        <v>20.584240000000001</v>
      </c>
      <c r="D1326" s="8">
        <v>51</v>
      </c>
      <c r="E1326" s="8">
        <v>0</v>
      </c>
      <c r="F1326" s="8">
        <v>0</v>
      </c>
      <c r="G1326" s="8">
        <v>16</v>
      </c>
      <c r="H1326" s="8" t="s">
        <v>2973</v>
      </c>
      <c r="I1326" s="8">
        <v>525.9375</v>
      </c>
      <c r="J1326" s="3">
        <f t="shared" si="20"/>
        <v>43747.536430856482</v>
      </c>
    </row>
    <row r="1327" spans="1:10" x14ac:dyDescent="0.25">
      <c r="A1327" s="5" t="s">
        <v>2974</v>
      </c>
      <c r="B1327" s="6">
        <v>393.75</v>
      </c>
      <c r="C1327" s="6">
        <v>20.531590000000001</v>
      </c>
      <c r="D1327" s="6">
        <v>50</v>
      </c>
      <c r="E1327" s="6">
        <v>0</v>
      </c>
      <c r="F1327" s="6">
        <v>0</v>
      </c>
      <c r="G1327" s="6">
        <v>15</v>
      </c>
      <c r="H1327" s="6" t="s">
        <v>2975</v>
      </c>
      <c r="I1327" s="6">
        <v>526.5</v>
      </c>
      <c r="J1327" s="2">
        <f t="shared" si="20"/>
        <v>43747.53651194444</v>
      </c>
    </row>
    <row r="1328" spans="1:10" x14ac:dyDescent="0.25">
      <c r="A1328" s="7" t="s">
        <v>2976</v>
      </c>
      <c r="B1328" s="8">
        <v>393.75</v>
      </c>
      <c r="C1328" s="8">
        <v>20.584240000000001</v>
      </c>
      <c r="D1328" s="8">
        <v>51</v>
      </c>
      <c r="E1328" s="8">
        <v>0</v>
      </c>
      <c r="F1328" s="8">
        <v>0</v>
      </c>
      <c r="G1328" s="8">
        <v>12</v>
      </c>
      <c r="H1328" s="8" t="s">
        <v>2977</v>
      </c>
      <c r="I1328" s="8">
        <v>526.6875</v>
      </c>
      <c r="J1328" s="3">
        <f t="shared" si="20"/>
        <v>43747.536595509257</v>
      </c>
    </row>
    <row r="1329" spans="1:10" x14ac:dyDescent="0.25">
      <c r="A1329" s="5" t="s">
        <v>2978</v>
      </c>
      <c r="B1329" s="6">
        <v>393.75</v>
      </c>
      <c r="C1329" s="6">
        <v>20.584240000000001</v>
      </c>
      <c r="D1329" s="6">
        <v>51</v>
      </c>
      <c r="E1329" s="6">
        <v>0</v>
      </c>
      <c r="F1329" s="6">
        <v>0</v>
      </c>
      <c r="G1329" s="6">
        <v>15</v>
      </c>
      <c r="H1329" s="6" t="s">
        <v>2979</v>
      </c>
      <c r="I1329" s="6">
        <v>526.5</v>
      </c>
      <c r="J1329" s="2">
        <f t="shared" si="20"/>
        <v>43747.536678796292</v>
      </c>
    </row>
    <row r="1330" spans="1:10" x14ac:dyDescent="0.25">
      <c r="A1330" s="7" t="s">
        <v>2980</v>
      </c>
      <c r="B1330" s="8">
        <v>415.625</v>
      </c>
      <c r="C1330" s="8">
        <v>20.584240000000001</v>
      </c>
      <c r="D1330" s="8">
        <v>51</v>
      </c>
      <c r="E1330" s="8">
        <v>0</v>
      </c>
      <c r="F1330" s="8">
        <v>0</v>
      </c>
      <c r="G1330" s="8">
        <v>23</v>
      </c>
      <c r="H1330" s="8" t="s">
        <v>2981</v>
      </c>
      <c r="I1330" s="8">
        <v>533.0625</v>
      </c>
      <c r="J1330" s="3">
        <f t="shared" si="20"/>
        <v>43747.536762384254</v>
      </c>
    </row>
    <row r="1331" spans="1:10" x14ac:dyDescent="0.25">
      <c r="A1331" s="5" t="s">
        <v>2982</v>
      </c>
      <c r="B1331" s="6">
        <v>393.75</v>
      </c>
      <c r="C1331" s="6">
        <v>20.531590000000001</v>
      </c>
      <c r="D1331" s="6">
        <v>51</v>
      </c>
      <c r="E1331" s="6">
        <v>0</v>
      </c>
      <c r="F1331" s="6">
        <v>0</v>
      </c>
      <c r="G1331" s="6">
        <v>15</v>
      </c>
      <c r="H1331" s="6" t="s">
        <v>2983</v>
      </c>
      <c r="I1331" s="6">
        <v>526.6875</v>
      </c>
      <c r="J1331" s="2">
        <f t="shared" si="20"/>
        <v>43747.536845613424</v>
      </c>
    </row>
    <row r="1332" spans="1:10" x14ac:dyDescent="0.25">
      <c r="A1332" s="7" t="s">
        <v>2984</v>
      </c>
      <c r="B1332" s="8">
        <v>393.75</v>
      </c>
      <c r="C1332" s="8">
        <v>20.584240000000001</v>
      </c>
      <c r="D1332" s="8">
        <v>51</v>
      </c>
      <c r="E1332" s="8">
        <v>0</v>
      </c>
      <c r="F1332" s="8">
        <v>0</v>
      </c>
      <c r="G1332" s="8">
        <v>15</v>
      </c>
      <c r="H1332" s="8" t="s">
        <v>2985</v>
      </c>
      <c r="I1332" s="8">
        <v>526.6875</v>
      </c>
      <c r="J1332" s="3">
        <f t="shared" si="20"/>
        <v>43747.536917361103</v>
      </c>
    </row>
    <row r="1333" spans="1:10" x14ac:dyDescent="0.25">
      <c r="A1333" s="5" t="s">
        <v>2986</v>
      </c>
      <c r="B1333" s="6">
        <v>393.75</v>
      </c>
      <c r="C1333" s="6">
        <v>20.584240000000001</v>
      </c>
      <c r="D1333" s="6">
        <v>49</v>
      </c>
      <c r="E1333" s="6">
        <v>0</v>
      </c>
      <c r="F1333" s="6">
        <v>0</v>
      </c>
      <c r="G1333" s="6">
        <v>17</v>
      </c>
      <c r="H1333" s="6" t="s">
        <v>2987</v>
      </c>
      <c r="I1333" s="6">
        <v>526.6875</v>
      </c>
      <c r="J1333" s="2">
        <f t="shared" si="20"/>
        <v>43747.537000833334</v>
      </c>
    </row>
    <row r="1334" spans="1:10" x14ac:dyDescent="0.25">
      <c r="A1334" s="7" t="s">
        <v>2988</v>
      </c>
      <c r="B1334" s="8">
        <v>393.75</v>
      </c>
      <c r="C1334" s="8">
        <v>20.584240000000001</v>
      </c>
      <c r="D1334" s="8">
        <v>49</v>
      </c>
      <c r="E1334" s="8">
        <v>0</v>
      </c>
      <c r="F1334" s="8">
        <v>0</v>
      </c>
      <c r="G1334" s="8">
        <v>16</v>
      </c>
      <c r="H1334" s="8" t="s">
        <v>2989</v>
      </c>
      <c r="I1334" s="8">
        <v>526.6875</v>
      </c>
      <c r="J1334" s="3">
        <f t="shared" si="20"/>
        <v>43747.537084386575</v>
      </c>
    </row>
    <row r="1335" spans="1:10" x14ac:dyDescent="0.25">
      <c r="A1335" s="5" t="s">
        <v>2990</v>
      </c>
      <c r="B1335" s="6">
        <v>393.75</v>
      </c>
      <c r="C1335" s="6">
        <v>20.584240000000001</v>
      </c>
      <c r="D1335" s="6">
        <v>49</v>
      </c>
      <c r="E1335" s="6">
        <v>0</v>
      </c>
      <c r="F1335" s="6">
        <v>0</v>
      </c>
      <c r="G1335" s="6">
        <v>5</v>
      </c>
      <c r="H1335" s="6" t="s">
        <v>2991</v>
      </c>
      <c r="I1335" s="6">
        <v>526.6875</v>
      </c>
      <c r="J1335" s="2">
        <f t="shared" si="20"/>
        <v>43747.537167488423</v>
      </c>
    </row>
    <row r="1336" spans="1:10" x14ac:dyDescent="0.25">
      <c r="A1336" s="7" t="s">
        <v>2992</v>
      </c>
      <c r="B1336" s="8">
        <v>393.75</v>
      </c>
      <c r="C1336" s="8">
        <v>20.531590000000001</v>
      </c>
      <c r="D1336" s="8">
        <v>49</v>
      </c>
      <c r="E1336" s="8">
        <v>0</v>
      </c>
      <c r="F1336" s="8">
        <v>0</v>
      </c>
      <c r="G1336" s="8">
        <v>19</v>
      </c>
      <c r="H1336" s="8" t="s">
        <v>2993</v>
      </c>
      <c r="I1336" s="8">
        <v>526.6875</v>
      </c>
      <c r="J1336" s="3">
        <f t="shared" si="20"/>
        <v>43747.537239247678</v>
      </c>
    </row>
    <row r="1337" spans="1:10" x14ac:dyDescent="0.25">
      <c r="A1337" s="5" t="s">
        <v>2994</v>
      </c>
      <c r="B1337" s="6">
        <v>393.75</v>
      </c>
      <c r="C1337" s="6">
        <v>20.531590000000001</v>
      </c>
      <c r="D1337" s="6">
        <v>49</v>
      </c>
      <c r="E1337" s="6">
        <v>0</v>
      </c>
      <c r="F1337" s="6">
        <v>0</v>
      </c>
      <c r="G1337" s="6">
        <v>18</v>
      </c>
      <c r="H1337" s="6" t="s">
        <v>2995</v>
      </c>
      <c r="I1337" s="6">
        <v>526.6875</v>
      </c>
      <c r="J1337" s="2">
        <f t="shared" si="20"/>
        <v>43747.537334594905</v>
      </c>
    </row>
    <row r="1338" spans="1:10" x14ac:dyDescent="0.25">
      <c r="A1338" s="7" t="s">
        <v>2996</v>
      </c>
      <c r="B1338" s="8">
        <v>393.75</v>
      </c>
      <c r="C1338" s="8">
        <v>20.584240000000001</v>
      </c>
      <c r="D1338" s="8">
        <v>48</v>
      </c>
      <c r="E1338" s="8">
        <v>0</v>
      </c>
      <c r="F1338" s="8">
        <v>0</v>
      </c>
      <c r="G1338" s="8">
        <v>15</v>
      </c>
      <c r="H1338" s="8" t="s">
        <v>2997</v>
      </c>
      <c r="I1338" s="8">
        <v>526.6875</v>
      </c>
      <c r="J1338" s="3">
        <f t="shared" si="20"/>
        <v>43747.537406041665</v>
      </c>
    </row>
    <row r="1339" spans="1:10" x14ac:dyDescent="0.25">
      <c r="A1339" s="5" t="s">
        <v>2998</v>
      </c>
      <c r="B1339" s="6">
        <v>393.75</v>
      </c>
      <c r="C1339" s="6">
        <v>20.584240000000001</v>
      </c>
      <c r="D1339" s="6">
        <v>49</v>
      </c>
      <c r="E1339" s="6">
        <v>0</v>
      </c>
      <c r="F1339" s="6">
        <v>0</v>
      </c>
      <c r="G1339" s="6">
        <v>10</v>
      </c>
      <c r="H1339" s="6" t="s">
        <v>2999</v>
      </c>
      <c r="I1339" s="6">
        <v>526.6875</v>
      </c>
      <c r="J1339" s="2">
        <f t="shared" si="20"/>
        <v>43747.537489710645</v>
      </c>
    </row>
    <row r="1340" spans="1:10" x14ac:dyDescent="0.25">
      <c r="A1340" s="7" t="s">
        <v>3000</v>
      </c>
      <c r="B1340" s="8">
        <v>393.75</v>
      </c>
      <c r="C1340" s="8">
        <v>20.584240000000001</v>
      </c>
      <c r="D1340" s="8">
        <v>49</v>
      </c>
      <c r="E1340" s="8">
        <v>0</v>
      </c>
      <c r="F1340" s="8">
        <v>0</v>
      </c>
      <c r="G1340" s="8">
        <v>13</v>
      </c>
      <c r="H1340" s="8" t="s">
        <v>3001</v>
      </c>
      <c r="I1340" s="8">
        <v>526.5</v>
      </c>
      <c r="J1340" s="3">
        <f t="shared" si="20"/>
        <v>43747.537589131942</v>
      </c>
    </row>
    <row r="1341" spans="1:10" x14ac:dyDescent="0.25">
      <c r="A1341" s="5" t="s">
        <v>3002</v>
      </c>
      <c r="B1341" s="6">
        <v>393.75</v>
      </c>
      <c r="C1341" s="6">
        <v>20.584240000000001</v>
      </c>
      <c r="D1341" s="6">
        <v>49</v>
      </c>
      <c r="E1341" s="6">
        <v>0</v>
      </c>
      <c r="F1341" s="6">
        <v>0</v>
      </c>
      <c r="G1341" s="6">
        <v>15</v>
      </c>
      <c r="H1341" s="6" t="s">
        <v>3003</v>
      </c>
      <c r="I1341" s="6">
        <v>526.6875</v>
      </c>
      <c r="J1341" s="2">
        <f t="shared" si="20"/>
        <v>43747.537668657409</v>
      </c>
    </row>
    <row r="1342" spans="1:10" x14ac:dyDescent="0.25">
      <c r="A1342" s="7" t="s">
        <v>3004</v>
      </c>
      <c r="B1342" s="8">
        <v>415.625</v>
      </c>
      <c r="C1342" s="8">
        <v>20.584240000000001</v>
      </c>
      <c r="D1342" s="8">
        <v>54</v>
      </c>
      <c r="E1342" s="8">
        <v>0</v>
      </c>
      <c r="F1342" s="8">
        <v>0</v>
      </c>
      <c r="G1342" s="8">
        <v>17</v>
      </c>
      <c r="H1342" s="8" t="s">
        <v>3005</v>
      </c>
      <c r="I1342" s="8">
        <v>533.0625</v>
      </c>
      <c r="J1342" s="3">
        <f t="shared" si="20"/>
        <v>43747.537752291661</v>
      </c>
    </row>
    <row r="1343" spans="1:10" x14ac:dyDescent="0.25">
      <c r="A1343" s="5" t="s">
        <v>3006</v>
      </c>
      <c r="B1343" s="6">
        <v>393.75</v>
      </c>
      <c r="C1343" s="6">
        <v>20.584240000000001</v>
      </c>
      <c r="D1343" s="6">
        <v>53</v>
      </c>
      <c r="E1343" s="6">
        <v>0</v>
      </c>
      <c r="F1343" s="6">
        <v>0</v>
      </c>
      <c r="G1343" s="6">
        <v>14</v>
      </c>
      <c r="H1343" s="6" t="s">
        <v>3007</v>
      </c>
      <c r="I1343" s="6">
        <v>526.6875</v>
      </c>
      <c r="J1343" s="2">
        <f t="shared" si="20"/>
        <v>43747.537847453706</v>
      </c>
    </row>
    <row r="1344" spans="1:10" x14ac:dyDescent="0.25">
      <c r="A1344" s="7" t="s">
        <v>3008</v>
      </c>
      <c r="B1344" s="8">
        <v>412.5</v>
      </c>
      <c r="C1344" s="8">
        <v>20.584240000000001</v>
      </c>
      <c r="D1344" s="8">
        <v>52</v>
      </c>
      <c r="E1344" s="8">
        <v>0</v>
      </c>
      <c r="F1344" s="8">
        <v>0</v>
      </c>
      <c r="G1344" s="8">
        <v>17</v>
      </c>
      <c r="H1344" s="8" t="s">
        <v>3009</v>
      </c>
      <c r="I1344" s="8">
        <v>532.3125</v>
      </c>
      <c r="J1344" s="3">
        <f t="shared" si="20"/>
        <v>43747.537931134262</v>
      </c>
    </row>
    <row r="1345" spans="1:10" x14ac:dyDescent="0.25">
      <c r="A1345" s="5" t="s">
        <v>3010</v>
      </c>
      <c r="B1345" s="6">
        <v>393.75</v>
      </c>
      <c r="C1345" s="6">
        <v>20.584240000000001</v>
      </c>
      <c r="D1345" s="6">
        <v>48</v>
      </c>
      <c r="E1345" s="6">
        <v>0</v>
      </c>
      <c r="F1345" s="6">
        <v>0</v>
      </c>
      <c r="G1345" s="6">
        <v>5</v>
      </c>
      <c r="H1345" s="6" t="s">
        <v>3011</v>
      </c>
      <c r="I1345" s="6">
        <v>526.6875</v>
      </c>
      <c r="J1345" s="2">
        <f t="shared" si="20"/>
        <v>43747.538002569439</v>
      </c>
    </row>
    <row r="1346" spans="1:10" x14ac:dyDescent="0.25">
      <c r="A1346" s="7" t="s">
        <v>3012</v>
      </c>
      <c r="B1346" s="8">
        <v>393.75</v>
      </c>
      <c r="C1346" s="8">
        <v>20.584240000000001</v>
      </c>
      <c r="D1346" s="8">
        <v>46</v>
      </c>
      <c r="E1346" s="8">
        <v>0</v>
      </c>
      <c r="F1346" s="8">
        <v>0</v>
      </c>
      <c r="G1346" s="8">
        <v>9</v>
      </c>
      <c r="H1346" s="8" t="s">
        <v>3013</v>
      </c>
      <c r="I1346" s="8">
        <v>526.6875</v>
      </c>
      <c r="J1346" s="3">
        <f t="shared" ref="J1346:J1409" si="21">(H1346/86400000)+25569+(7/24)</f>
        <v>43747.538086041663</v>
      </c>
    </row>
    <row r="1347" spans="1:10" x14ac:dyDescent="0.25">
      <c r="A1347" s="5" t="s">
        <v>3014</v>
      </c>
      <c r="B1347" s="6">
        <v>393.75</v>
      </c>
      <c r="C1347" s="6">
        <v>20.584240000000001</v>
      </c>
      <c r="D1347" s="6">
        <v>46</v>
      </c>
      <c r="E1347" s="6">
        <v>0</v>
      </c>
      <c r="F1347" s="6">
        <v>0</v>
      </c>
      <c r="G1347" s="6">
        <v>9</v>
      </c>
      <c r="H1347" s="6" t="s">
        <v>3015</v>
      </c>
      <c r="I1347" s="6">
        <v>526.6875</v>
      </c>
      <c r="J1347" s="2">
        <f t="shared" si="21"/>
        <v>43747.538169467589</v>
      </c>
    </row>
    <row r="1348" spans="1:10" x14ac:dyDescent="0.25">
      <c r="A1348" s="7" t="s">
        <v>3016</v>
      </c>
      <c r="B1348" s="8">
        <v>393.75</v>
      </c>
      <c r="C1348" s="8">
        <v>20.584240000000001</v>
      </c>
      <c r="D1348" s="8">
        <v>47</v>
      </c>
      <c r="E1348" s="8">
        <v>0</v>
      </c>
      <c r="F1348" s="8">
        <v>0</v>
      </c>
      <c r="G1348" s="8">
        <v>4</v>
      </c>
      <c r="H1348" s="8" t="s">
        <v>3017</v>
      </c>
      <c r="I1348" s="8">
        <v>526.6875</v>
      </c>
      <c r="J1348" s="3">
        <f t="shared" si="21"/>
        <v>43747.538252685183</v>
      </c>
    </row>
    <row r="1349" spans="1:10" x14ac:dyDescent="0.25">
      <c r="A1349" s="5" t="s">
        <v>3018</v>
      </c>
      <c r="B1349" s="6">
        <v>415.625</v>
      </c>
      <c r="C1349" s="6">
        <v>20.584240000000001</v>
      </c>
      <c r="D1349" s="6">
        <v>47</v>
      </c>
      <c r="E1349" s="6">
        <v>0</v>
      </c>
      <c r="F1349" s="6">
        <v>0</v>
      </c>
      <c r="G1349" s="6">
        <v>0</v>
      </c>
      <c r="H1349" s="6" t="s">
        <v>3019</v>
      </c>
      <c r="I1349" s="6">
        <v>533.625</v>
      </c>
      <c r="J1349" s="2">
        <f t="shared" si="21"/>
        <v>43747.538324317131</v>
      </c>
    </row>
    <row r="1350" spans="1:10" x14ac:dyDescent="0.25">
      <c r="A1350" s="7" t="s">
        <v>3020</v>
      </c>
      <c r="B1350" s="8">
        <v>393.75</v>
      </c>
      <c r="C1350" s="8">
        <v>20.584240000000001</v>
      </c>
      <c r="D1350" s="8">
        <v>49</v>
      </c>
      <c r="E1350" s="8">
        <v>0</v>
      </c>
      <c r="F1350" s="8">
        <v>0</v>
      </c>
      <c r="G1350" s="8">
        <v>17</v>
      </c>
      <c r="H1350" s="8" t="s">
        <v>3021</v>
      </c>
      <c r="I1350" s="8">
        <v>526.6875</v>
      </c>
      <c r="J1350" s="3">
        <f t="shared" si="21"/>
        <v>43747.538407986103</v>
      </c>
    </row>
    <row r="1351" spans="1:10" x14ac:dyDescent="0.25">
      <c r="A1351" s="5" t="s">
        <v>3022</v>
      </c>
      <c r="B1351" s="6">
        <v>393.75</v>
      </c>
      <c r="C1351" s="6">
        <v>20.531590000000001</v>
      </c>
      <c r="D1351" s="6">
        <v>49</v>
      </c>
      <c r="E1351" s="6">
        <v>0</v>
      </c>
      <c r="F1351" s="6">
        <v>0</v>
      </c>
      <c r="G1351" s="6">
        <v>10</v>
      </c>
      <c r="H1351" s="6" t="s">
        <v>3023</v>
      </c>
      <c r="I1351" s="6">
        <v>526.6875</v>
      </c>
      <c r="J1351" s="2">
        <f t="shared" si="21"/>
        <v>43747.538491458334</v>
      </c>
    </row>
    <row r="1352" spans="1:10" x14ac:dyDescent="0.25">
      <c r="A1352" s="7" t="s">
        <v>3024</v>
      </c>
      <c r="B1352" s="8">
        <v>393.75</v>
      </c>
      <c r="C1352" s="8">
        <v>20.584240000000001</v>
      </c>
      <c r="D1352" s="8">
        <v>50</v>
      </c>
      <c r="E1352" s="8">
        <v>0</v>
      </c>
      <c r="F1352" s="8">
        <v>0</v>
      </c>
      <c r="G1352" s="8">
        <v>12</v>
      </c>
      <c r="H1352" s="8" t="s">
        <v>3025</v>
      </c>
      <c r="I1352" s="8">
        <v>526.5</v>
      </c>
      <c r="J1352" s="3">
        <f t="shared" si="21"/>
        <v>43747.538574895829</v>
      </c>
    </row>
    <row r="1353" spans="1:10" x14ac:dyDescent="0.25">
      <c r="A1353" s="5" t="s">
        <v>3026</v>
      </c>
      <c r="B1353" s="6">
        <v>393.75</v>
      </c>
      <c r="C1353" s="6">
        <v>20.531590000000001</v>
      </c>
      <c r="D1353" s="6">
        <v>50</v>
      </c>
      <c r="E1353" s="6">
        <v>0</v>
      </c>
      <c r="F1353" s="6">
        <v>0</v>
      </c>
      <c r="G1353" s="6">
        <v>8</v>
      </c>
      <c r="H1353" s="6" t="s">
        <v>3027</v>
      </c>
      <c r="I1353" s="6">
        <v>526.5</v>
      </c>
      <c r="J1353" s="2">
        <f t="shared" si="21"/>
        <v>43747.538658344907</v>
      </c>
    </row>
    <row r="1354" spans="1:10" x14ac:dyDescent="0.25">
      <c r="A1354" s="7" t="s">
        <v>3028</v>
      </c>
      <c r="B1354" s="8">
        <v>415.625</v>
      </c>
      <c r="C1354" s="8">
        <v>20.584240000000001</v>
      </c>
      <c r="D1354" s="8">
        <v>50</v>
      </c>
      <c r="E1354" s="8">
        <v>0</v>
      </c>
      <c r="F1354" s="8">
        <v>0</v>
      </c>
      <c r="G1354" s="8">
        <v>10</v>
      </c>
      <c r="H1354" s="8" t="s">
        <v>3029</v>
      </c>
      <c r="I1354" s="8">
        <v>533.4375</v>
      </c>
      <c r="J1354" s="3">
        <f t="shared" si="21"/>
        <v>43747.538741446762</v>
      </c>
    </row>
    <row r="1355" spans="1:10" x14ac:dyDescent="0.25">
      <c r="A1355" s="5" t="s">
        <v>3030</v>
      </c>
      <c r="B1355" s="6">
        <v>393.75</v>
      </c>
      <c r="C1355" s="6">
        <v>20.584240000000001</v>
      </c>
      <c r="D1355" s="6">
        <v>50</v>
      </c>
      <c r="E1355" s="6">
        <v>0</v>
      </c>
      <c r="F1355" s="6">
        <v>0</v>
      </c>
      <c r="G1355" s="6">
        <v>9</v>
      </c>
      <c r="H1355" s="6" t="s">
        <v>3031</v>
      </c>
      <c r="I1355" s="6">
        <v>526.5</v>
      </c>
      <c r="J1355" s="2">
        <f t="shared" si="21"/>
        <v>43747.538813206011</v>
      </c>
    </row>
    <row r="1356" spans="1:10" x14ac:dyDescent="0.25">
      <c r="A1356" s="7" t="s">
        <v>3032</v>
      </c>
      <c r="B1356" s="8">
        <v>393.75</v>
      </c>
      <c r="C1356" s="8">
        <v>20.584240000000001</v>
      </c>
      <c r="D1356" s="8">
        <v>50</v>
      </c>
      <c r="E1356" s="8">
        <v>0</v>
      </c>
      <c r="F1356" s="8">
        <v>0</v>
      </c>
      <c r="G1356" s="8">
        <v>9</v>
      </c>
      <c r="H1356" s="8" t="s">
        <v>3033</v>
      </c>
      <c r="I1356" s="8">
        <v>526.6875</v>
      </c>
      <c r="J1356" s="3">
        <f t="shared" si="21"/>
        <v>43747.538896886566</v>
      </c>
    </row>
    <row r="1357" spans="1:10" x14ac:dyDescent="0.25">
      <c r="A1357" s="5" t="s">
        <v>3034</v>
      </c>
      <c r="B1357" s="6">
        <v>393.75</v>
      </c>
      <c r="C1357" s="6">
        <v>20.584240000000001</v>
      </c>
      <c r="D1357" s="6">
        <v>50</v>
      </c>
      <c r="E1357" s="6">
        <v>0</v>
      </c>
      <c r="F1357" s="6">
        <v>0</v>
      </c>
      <c r="G1357" s="6">
        <v>19</v>
      </c>
      <c r="H1357" s="6" t="s">
        <v>3035</v>
      </c>
      <c r="I1357" s="6">
        <v>526.6875</v>
      </c>
      <c r="J1357" s="2">
        <f t="shared" si="21"/>
        <v>43747.538980324076</v>
      </c>
    </row>
    <row r="1358" spans="1:10" x14ac:dyDescent="0.25">
      <c r="A1358" s="7" t="s">
        <v>3036</v>
      </c>
      <c r="B1358" s="8">
        <v>393.75</v>
      </c>
      <c r="C1358" s="8">
        <v>20.584240000000001</v>
      </c>
      <c r="D1358" s="8">
        <v>49</v>
      </c>
      <c r="E1358" s="8">
        <v>0</v>
      </c>
      <c r="F1358" s="8">
        <v>0</v>
      </c>
      <c r="G1358" s="8">
        <v>12</v>
      </c>
      <c r="H1358" s="8" t="s">
        <v>3037</v>
      </c>
      <c r="I1358" s="8">
        <v>526.6875</v>
      </c>
      <c r="J1358" s="3">
        <f t="shared" si="21"/>
        <v>43747.539063796292</v>
      </c>
    </row>
    <row r="1359" spans="1:10" x14ac:dyDescent="0.25">
      <c r="A1359" s="5" t="s">
        <v>3038</v>
      </c>
      <c r="B1359" s="6">
        <v>393.75</v>
      </c>
      <c r="C1359" s="6">
        <v>20.584240000000001</v>
      </c>
      <c r="D1359" s="6">
        <v>49</v>
      </c>
      <c r="E1359" s="6">
        <v>0</v>
      </c>
      <c r="F1359" s="6">
        <v>0</v>
      </c>
      <c r="G1359" s="6">
        <v>16</v>
      </c>
      <c r="H1359" s="6" t="s">
        <v>3039</v>
      </c>
      <c r="I1359" s="6">
        <v>526.6875</v>
      </c>
      <c r="J1359" s="2">
        <f t="shared" si="21"/>
        <v>43747.539159155094</v>
      </c>
    </row>
    <row r="1360" spans="1:10" x14ac:dyDescent="0.25">
      <c r="A1360" s="7" t="s">
        <v>3040</v>
      </c>
      <c r="B1360" s="8">
        <v>393.75</v>
      </c>
      <c r="C1360" s="8">
        <v>20.584240000000001</v>
      </c>
      <c r="D1360" s="8">
        <v>48</v>
      </c>
      <c r="E1360" s="8">
        <v>0</v>
      </c>
      <c r="F1360" s="8">
        <v>0</v>
      </c>
      <c r="G1360" s="8">
        <v>11</v>
      </c>
      <c r="H1360" s="8" t="s">
        <v>3041</v>
      </c>
      <c r="I1360" s="8">
        <v>526.6875</v>
      </c>
      <c r="J1360" s="3">
        <f t="shared" si="21"/>
        <v>43747.53924273148</v>
      </c>
    </row>
    <row r="1361" spans="1:10" x14ac:dyDescent="0.25">
      <c r="A1361" s="5" t="s">
        <v>3042</v>
      </c>
      <c r="B1361" s="6">
        <v>412.5</v>
      </c>
      <c r="C1361" s="6">
        <v>20.584240000000001</v>
      </c>
      <c r="D1361" s="6">
        <v>49</v>
      </c>
      <c r="E1361" s="6">
        <v>0</v>
      </c>
      <c r="F1361" s="6">
        <v>0</v>
      </c>
      <c r="G1361" s="6">
        <v>9</v>
      </c>
      <c r="H1361" s="6" t="s">
        <v>3043</v>
      </c>
      <c r="I1361" s="6">
        <v>532.3125</v>
      </c>
      <c r="J1361" s="2">
        <f t="shared" si="21"/>
        <v>43747.539326041668</v>
      </c>
    </row>
    <row r="1362" spans="1:10" x14ac:dyDescent="0.25">
      <c r="A1362" s="7" t="s">
        <v>3044</v>
      </c>
      <c r="B1362" s="8">
        <v>393.75</v>
      </c>
      <c r="C1362" s="8">
        <v>20.584240000000001</v>
      </c>
      <c r="D1362" s="8">
        <v>49</v>
      </c>
      <c r="E1362" s="8">
        <v>0</v>
      </c>
      <c r="F1362" s="8">
        <v>0</v>
      </c>
      <c r="G1362" s="8">
        <v>13</v>
      </c>
      <c r="H1362" s="8" t="s">
        <v>3045</v>
      </c>
      <c r="I1362" s="8">
        <v>526.6875</v>
      </c>
      <c r="J1362" s="3">
        <f t="shared" si="21"/>
        <v>43747.539409687502</v>
      </c>
    </row>
    <row r="1363" spans="1:10" x14ac:dyDescent="0.25">
      <c r="A1363" s="5" t="s">
        <v>3046</v>
      </c>
      <c r="B1363" s="6">
        <v>393.75</v>
      </c>
      <c r="C1363" s="6">
        <v>20.584240000000001</v>
      </c>
      <c r="D1363" s="6">
        <v>50</v>
      </c>
      <c r="E1363" s="6">
        <v>0</v>
      </c>
      <c r="F1363" s="6">
        <v>0</v>
      </c>
      <c r="G1363" s="6">
        <v>13</v>
      </c>
      <c r="H1363" s="6" t="s">
        <v>3047</v>
      </c>
      <c r="I1363" s="6">
        <v>526.6875</v>
      </c>
      <c r="J1363" s="2">
        <f t="shared" si="21"/>
        <v>43747.539493067125</v>
      </c>
    </row>
    <row r="1364" spans="1:10" x14ac:dyDescent="0.25">
      <c r="A1364" s="7" t="s">
        <v>3048</v>
      </c>
      <c r="B1364" s="8">
        <v>393.75</v>
      </c>
      <c r="C1364" s="8">
        <v>20.584240000000001</v>
      </c>
      <c r="D1364" s="8">
        <v>50</v>
      </c>
      <c r="E1364" s="8">
        <v>0</v>
      </c>
      <c r="F1364" s="8">
        <v>0</v>
      </c>
      <c r="G1364" s="8">
        <v>13</v>
      </c>
      <c r="H1364" s="8" t="s">
        <v>3049</v>
      </c>
      <c r="I1364" s="8">
        <v>526.6875</v>
      </c>
      <c r="J1364" s="3">
        <f t="shared" si="21"/>
        <v>43747.539576516203</v>
      </c>
    </row>
    <row r="1365" spans="1:10" x14ac:dyDescent="0.25">
      <c r="A1365" s="5" t="s">
        <v>3050</v>
      </c>
      <c r="B1365" s="6">
        <v>412.5</v>
      </c>
      <c r="C1365" s="6">
        <v>20.584240000000001</v>
      </c>
      <c r="D1365" s="6">
        <v>47</v>
      </c>
      <c r="E1365" s="6">
        <v>0</v>
      </c>
      <c r="F1365" s="6">
        <v>0</v>
      </c>
      <c r="G1365" s="6">
        <v>12</v>
      </c>
      <c r="H1365" s="6" t="s">
        <v>3051</v>
      </c>
      <c r="I1365" s="6">
        <v>532.125</v>
      </c>
      <c r="J1365" s="2">
        <f t="shared" si="21"/>
        <v>43747.539671863422</v>
      </c>
    </row>
    <row r="1366" spans="1:10" x14ac:dyDescent="0.25">
      <c r="A1366" s="7" t="s">
        <v>3052</v>
      </c>
      <c r="B1366" s="8">
        <v>393.75</v>
      </c>
      <c r="C1366" s="8">
        <v>20.584240000000001</v>
      </c>
      <c r="D1366" s="8">
        <v>47</v>
      </c>
      <c r="E1366" s="8">
        <v>0</v>
      </c>
      <c r="F1366" s="8">
        <v>0</v>
      </c>
      <c r="G1366" s="8">
        <v>16</v>
      </c>
      <c r="H1366" s="8" t="s">
        <v>3053</v>
      </c>
      <c r="I1366" s="8">
        <v>526.6875</v>
      </c>
      <c r="J1366" s="3">
        <f t="shared" si="21"/>
        <v>43747.5397433912</v>
      </c>
    </row>
    <row r="1367" spans="1:10" x14ac:dyDescent="0.25">
      <c r="A1367" s="5" t="s">
        <v>3054</v>
      </c>
      <c r="B1367" s="6">
        <v>393.75</v>
      </c>
      <c r="C1367" s="6">
        <v>20.584240000000001</v>
      </c>
      <c r="D1367" s="6">
        <v>48</v>
      </c>
      <c r="E1367" s="6">
        <v>0</v>
      </c>
      <c r="F1367" s="6">
        <v>0</v>
      </c>
      <c r="G1367" s="6">
        <v>11</v>
      </c>
      <c r="H1367" s="6" t="s">
        <v>3055</v>
      </c>
      <c r="I1367" s="6">
        <v>526.6875</v>
      </c>
      <c r="J1367" s="2">
        <f t="shared" si="21"/>
        <v>43747.539826736109</v>
      </c>
    </row>
    <row r="1368" spans="1:10" x14ac:dyDescent="0.25">
      <c r="A1368" s="7" t="s">
        <v>3056</v>
      </c>
      <c r="B1368" s="8">
        <v>412.5</v>
      </c>
      <c r="C1368" s="8">
        <v>20.584240000000001</v>
      </c>
      <c r="D1368" s="8">
        <v>48</v>
      </c>
      <c r="E1368" s="8">
        <v>0</v>
      </c>
      <c r="F1368" s="8">
        <v>0</v>
      </c>
      <c r="G1368" s="8">
        <v>15</v>
      </c>
      <c r="H1368" s="8" t="s">
        <v>3057</v>
      </c>
      <c r="I1368" s="8">
        <v>532.3125</v>
      </c>
      <c r="J1368" s="3">
        <f t="shared" si="21"/>
        <v>43747.539898495372</v>
      </c>
    </row>
    <row r="1369" spans="1:10" x14ac:dyDescent="0.25">
      <c r="A1369" s="5" t="s">
        <v>3058</v>
      </c>
      <c r="B1369" s="6">
        <v>393.75</v>
      </c>
      <c r="C1369" s="6">
        <v>20.584240000000001</v>
      </c>
      <c r="D1369" s="6">
        <v>48</v>
      </c>
      <c r="E1369" s="6">
        <v>0</v>
      </c>
      <c r="F1369" s="6">
        <v>0</v>
      </c>
      <c r="G1369" s="6">
        <v>17</v>
      </c>
      <c r="H1369" s="6" t="s">
        <v>3059</v>
      </c>
      <c r="I1369" s="6">
        <v>526.6875</v>
      </c>
      <c r="J1369" s="2">
        <f t="shared" si="21"/>
        <v>43747.539981932867</v>
      </c>
    </row>
    <row r="1370" spans="1:10" x14ac:dyDescent="0.25">
      <c r="A1370" s="7" t="s">
        <v>3060</v>
      </c>
      <c r="B1370" s="8">
        <v>393.75</v>
      </c>
      <c r="C1370" s="8">
        <v>20.584240000000001</v>
      </c>
      <c r="D1370" s="8">
        <v>48</v>
      </c>
      <c r="E1370" s="8">
        <v>0</v>
      </c>
      <c r="F1370" s="8">
        <v>0</v>
      </c>
      <c r="G1370" s="8">
        <v>15</v>
      </c>
      <c r="H1370" s="8" t="s">
        <v>3061</v>
      </c>
      <c r="I1370" s="8">
        <v>526.6875</v>
      </c>
      <c r="J1370" s="3">
        <f t="shared" si="21"/>
        <v>43747.540065682864</v>
      </c>
    </row>
    <row r="1371" spans="1:10" x14ac:dyDescent="0.25">
      <c r="A1371" s="5" t="s">
        <v>3062</v>
      </c>
      <c r="B1371" s="6">
        <v>393.75</v>
      </c>
      <c r="C1371" s="6">
        <v>20.584240000000001</v>
      </c>
      <c r="D1371" s="6">
        <v>48</v>
      </c>
      <c r="E1371" s="6">
        <v>0</v>
      </c>
      <c r="F1371" s="6">
        <v>0</v>
      </c>
      <c r="G1371" s="6">
        <v>16</v>
      </c>
      <c r="H1371" s="6" t="s">
        <v>3063</v>
      </c>
      <c r="I1371" s="6">
        <v>526.6875</v>
      </c>
      <c r="J1371" s="2">
        <f t="shared" si="21"/>
        <v>43747.540148993052</v>
      </c>
    </row>
    <row r="1372" spans="1:10" x14ac:dyDescent="0.25">
      <c r="A1372" s="7" t="s">
        <v>3064</v>
      </c>
      <c r="B1372" s="8">
        <v>393.75</v>
      </c>
      <c r="C1372" s="8">
        <v>20.584240000000001</v>
      </c>
      <c r="D1372" s="8">
        <v>48</v>
      </c>
      <c r="E1372" s="8">
        <v>0</v>
      </c>
      <c r="F1372" s="8">
        <v>0</v>
      </c>
      <c r="G1372" s="8">
        <v>14</v>
      </c>
      <c r="H1372" s="8" t="s">
        <v>3065</v>
      </c>
      <c r="I1372" s="8">
        <v>526.6875</v>
      </c>
      <c r="J1372" s="3">
        <f t="shared" si="21"/>
        <v>43747.540232291663</v>
      </c>
    </row>
    <row r="1373" spans="1:10" x14ac:dyDescent="0.25">
      <c r="A1373" s="5" t="s">
        <v>3066</v>
      </c>
      <c r="B1373" s="6">
        <v>412.5</v>
      </c>
      <c r="C1373" s="6">
        <v>20.584240000000001</v>
      </c>
      <c r="D1373" s="6">
        <v>48</v>
      </c>
      <c r="E1373" s="6">
        <v>0</v>
      </c>
      <c r="F1373" s="6">
        <v>0</v>
      </c>
      <c r="G1373" s="6">
        <v>12</v>
      </c>
      <c r="H1373" s="6" t="s">
        <v>3067</v>
      </c>
      <c r="I1373" s="6">
        <v>532.3125</v>
      </c>
      <c r="J1373" s="2">
        <f t="shared" si="21"/>
        <v>43747.540315624996</v>
      </c>
    </row>
    <row r="1374" spans="1:10" x14ac:dyDescent="0.25">
      <c r="A1374" s="7" t="s">
        <v>3068</v>
      </c>
      <c r="B1374" s="8">
        <v>393.75</v>
      </c>
      <c r="C1374" s="8">
        <v>20.584240000000001</v>
      </c>
      <c r="D1374" s="8">
        <v>48</v>
      </c>
      <c r="E1374" s="8">
        <v>0</v>
      </c>
      <c r="F1374" s="8">
        <v>0</v>
      </c>
      <c r="G1374" s="8">
        <v>18</v>
      </c>
      <c r="H1374" s="8" t="s">
        <v>3069</v>
      </c>
      <c r="I1374" s="8">
        <v>526.6875</v>
      </c>
      <c r="J1374" s="3">
        <f t="shared" si="21"/>
        <v>43747.540399293975</v>
      </c>
    </row>
    <row r="1375" spans="1:10" x14ac:dyDescent="0.25">
      <c r="A1375" s="5" t="s">
        <v>3070</v>
      </c>
      <c r="B1375" s="6">
        <v>393.75</v>
      </c>
      <c r="C1375" s="6">
        <v>20.584240000000001</v>
      </c>
      <c r="D1375" s="6">
        <v>48</v>
      </c>
      <c r="E1375" s="6">
        <v>0</v>
      </c>
      <c r="F1375" s="6">
        <v>0</v>
      </c>
      <c r="G1375" s="6">
        <v>17</v>
      </c>
      <c r="H1375" s="6" t="s">
        <v>3071</v>
      </c>
      <c r="I1375" s="6">
        <v>526.6875</v>
      </c>
      <c r="J1375" s="2">
        <f t="shared" si="21"/>
        <v>43747.540482418983</v>
      </c>
    </row>
    <row r="1376" spans="1:10" x14ac:dyDescent="0.25">
      <c r="A1376" s="7" t="s">
        <v>3072</v>
      </c>
      <c r="B1376" s="8">
        <v>393.75</v>
      </c>
      <c r="C1376" s="8">
        <v>20.584240000000001</v>
      </c>
      <c r="D1376" s="8">
        <v>48</v>
      </c>
      <c r="E1376" s="8">
        <v>0</v>
      </c>
      <c r="F1376" s="8">
        <v>0</v>
      </c>
      <c r="G1376" s="8">
        <v>17</v>
      </c>
      <c r="H1376" s="8" t="s">
        <v>3073</v>
      </c>
      <c r="I1376" s="8">
        <v>526.6875</v>
      </c>
      <c r="J1376" s="3">
        <f t="shared" si="21"/>
        <v>43747.540554050924</v>
      </c>
    </row>
    <row r="1377" spans="1:10" x14ac:dyDescent="0.25">
      <c r="A1377" s="5" t="s">
        <v>3074</v>
      </c>
      <c r="B1377" s="6">
        <v>393.75</v>
      </c>
      <c r="C1377" s="6">
        <v>20.584240000000001</v>
      </c>
      <c r="D1377" s="6">
        <v>48</v>
      </c>
      <c r="E1377" s="6">
        <v>0</v>
      </c>
      <c r="F1377" s="6">
        <v>0</v>
      </c>
      <c r="G1377" s="6">
        <v>18</v>
      </c>
      <c r="H1377" s="6" t="s">
        <v>3075</v>
      </c>
      <c r="I1377" s="6">
        <v>526.6875</v>
      </c>
      <c r="J1377" s="2">
        <f t="shared" si="21"/>
        <v>43747.540625925925</v>
      </c>
    </row>
    <row r="1378" spans="1:10" x14ac:dyDescent="0.25">
      <c r="A1378" s="7" t="s">
        <v>3076</v>
      </c>
      <c r="B1378" s="8">
        <v>393.75</v>
      </c>
      <c r="C1378" s="8">
        <v>20.584240000000001</v>
      </c>
      <c r="D1378" s="8">
        <v>48</v>
      </c>
      <c r="E1378" s="8">
        <v>0</v>
      </c>
      <c r="F1378" s="8">
        <v>0</v>
      </c>
      <c r="G1378" s="8">
        <v>10</v>
      </c>
      <c r="H1378" s="8" t="s">
        <v>3077</v>
      </c>
      <c r="I1378" s="8">
        <v>526.6875</v>
      </c>
      <c r="J1378" s="3">
        <f t="shared" si="21"/>
        <v>43747.540721064812</v>
      </c>
    </row>
    <row r="1379" spans="1:10" x14ac:dyDescent="0.25">
      <c r="A1379" s="5" t="s">
        <v>3078</v>
      </c>
      <c r="B1379" s="6">
        <v>393.75</v>
      </c>
      <c r="C1379" s="6">
        <v>20.584240000000001</v>
      </c>
      <c r="D1379" s="6">
        <v>49</v>
      </c>
      <c r="E1379" s="6">
        <v>0</v>
      </c>
      <c r="F1379" s="6">
        <v>0</v>
      </c>
      <c r="G1379" s="6">
        <v>14</v>
      </c>
      <c r="H1379" s="6" t="s">
        <v>3079</v>
      </c>
      <c r="I1379" s="6">
        <v>526.6875</v>
      </c>
      <c r="J1379" s="2">
        <f t="shared" si="21"/>
        <v>43747.540804502314</v>
      </c>
    </row>
    <row r="1380" spans="1:10" x14ac:dyDescent="0.25">
      <c r="A1380" s="7" t="s">
        <v>3080</v>
      </c>
      <c r="B1380" s="8">
        <v>393.75</v>
      </c>
      <c r="C1380" s="8">
        <v>20.584240000000001</v>
      </c>
      <c r="D1380" s="8">
        <v>49</v>
      </c>
      <c r="E1380" s="8">
        <v>0</v>
      </c>
      <c r="F1380" s="8">
        <v>0</v>
      </c>
      <c r="G1380" s="8">
        <v>13</v>
      </c>
      <c r="H1380" s="8" t="s">
        <v>3081</v>
      </c>
      <c r="I1380" s="8">
        <v>526.6875</v>
      </c>
      <c r="J1380" s="3">
        <f t="shared" si="21"/>
        <v>43747.540876284715</v>
      </c>
    </row>
    <row r="1381" spans="1:10" x14ac:dyDescent="0.25">
      <c r="A1381" s="5" t="s">
        <v>3082</v>
      </c>
      <c r="B1381" s="6">
        <v>393.75</v>
      </c>
      <c r="C1381" s="6">
        <v>20.531590000000001</v>
      </c>
      <c r="D1381" s="6">
        <v>52</v>
      </c>
      <c r="E1381" s="6">
        <v>0</v>
      </c>
      <c r="F1381" s="6">
        <v>0</v>
      </c>
      <c r="G1381" s="6">
        <v>7</v>
      </c>
      <c r="H1381" s="6" t="s">
        <v>3083</v>
      </c>
      <c r="I1381" s="6">
        <v>526.6875</v>
      </c>
      <c r="J1381" s="2">
        <f t="shared" si="21"/>
        <v>43747.540959849539</v>
      </c>
    </row>
    <row r="1382" spans="1:10" x14ac:dyDescent="0.25">
      <c r="A1382" s="7" t="s">
        <v>3084</v>
      </c>
      <c r="B1382" s="8">
        <v>393.75</v>
      </c>
      <c r="C1382" s="8">
        <v>20.531590000000001</v>
      </c>
      <c r="D1382" s="8">
        <v>51</v>
      </c>
      <c r="E1382" s="8">
        <v>0</v>
      </c>
      <c r="F1382" s="8">
        <v>0</v>
      </c>
      <c r="G1382" s="8">
        <v>14</v>
      </c>
      <c r="H1382" s="8" t="s">
        <v>3085</v>
      </c>
      <c r="I1382" s="8">
        <v>526.5</v>
      </c>
      <c r="J1382" s="3">
        <f t="shared" si="21"/>
        <v>43747.541042928242</v>
      </c>
    </row>
    <row r="1383" spans="1:10" x14ac:dyDescent="0.25">
      <c r="A1383" s="5" t="s">
        <v>3086</v>
      </c>
      <c r="B1383" s="6">
        <v>393.75</v>
      </c>
      <c r="C1383" s="6">
        <v>20.531590000000001</v>
      </c>
      <c r="D1383" s="6">
        <v>52</v>
      </c>
      <c r="E1383" s="6">
        <v>0</v>
      </c>
      <c r="F1383" s="6">
        <v>0</v>
      </c>
      <c r="G1383" s="6">
        <v>15</v>
      </c>
      <c r="H1383" s="6" t="s">
        <v>3087</v>
      </c>
      <c r="I1383" s="6">
        <v>526.6875</v>
      </c>
      <c r="J1383" s="2">
        <f t="shared" si="21"/>
        <v>43747.541114791667</v>
      </c>
    </row>
    <row r="1384" spans="1:10" x14ac:dyDescent="0.25">
      <c r="A1384" s="7" t="s">
        <v>3088</v>
      </c>
      <c r="B1384" s="8">
        <v>393.75</v>
      </c>
      <c r="C1384" s="8">
        <v>20.584240000000001</v>
      </c>
      <c r="D1384" s="8">
        <v>52</v>
      </c>
      <c r="E1384" s="8">
        <v>0</v>
      </c>
      <c r="F1384" s="8">
        <v>0</v>
      </c>
      <c r="G1384" s="8">
        <v>18</v>
      </c>
      <c r="H1384" s="8" t="s">
        <v>3089</v>
      </c>
      <c r="I1384" s="8">
        <v>526.5</v>
      </c>
      <c r="J1384" s="3">
        <f t="shared" si="21"/>
        <v>43747.541198263883</v>
      </c>
    </row>
    <row r="1385" spans="1:10" x14ac:dyDescent="0.25">
      <c r="A1385" s="5" t="s">
        <v>3090</v>
      </c>
      <c r="B1385" s="6">
        <v>393.75</v>
      </c>
      <c r="C1385" s="6">
        <v>20.531590000000001</v>
      </c>
      <c r="D1385" s="6">
        <v>52</v>
      </c>
      <c r="E1385" s="6">
        <v>0</v>
      </c>
      <c r="F1385" s="6">
        <v>0</v>
      </c>
      <c r="G1385" s="6">
        <v>11</v>
      </c>
      <c r="H1385" s="6" t="s">
        <v>3091</v>
      </c>
      <c r="I1385" s="6">
        <v>526.6875</v>
      </c>
      <c r="J1385" s="2">
        <f t="shared" si="21"/>
        <v>43747.541281840276</v>
      </c>
    </row>
    <row r="1386" spans="1:10" x14ac:dyDescent="0.25">
      <c r="A1386" s="7" t="s">
        <v>3092</v>
      </c>
      <c r="B1386" s="8">
        <v>393.75</v>
      </c>
      <c r="C1386" s="8">
        <v>20.531590000000001</v>
      </c>
      <c r="D1386" s="8">
        <v>52</v>
      </c>
      <c r="E1386" s="8">
        <v>0</v>
      </c>
      <c r="F1386" s="8">
        <v>0</v>
      </c>
      <c r="G1386" s="8">
        <v>6</v>
      </c>
      <c r="H1386" s="8" t="s">
        <v>3093</v>
      </c>
      <c r="I1386" s="8">
        <v>526.6875</v>
      </c>
      <c r="J1386" s="3">
        <f t="shared" si="21"/>
        <v>43747.541365162033</v>
      </c>
    </row>
    <row r="1387" spans="1:10" x14ac:dyDescent="0.25">
      <c r="A1387" s="5" t="s">
        <v>3094</v>
      </c>
      <c r="B1387" s="6">
        <v>393.75</v>
      </c>
      <c r="C1387" s="6">
        <v>20.584240000000001</v>
      </c>
      <c r="D1387" s="6">
        <v>49</v>
      </c>
      <c r="E1387" s="6">
        <v>0</v>
      </c>
      <c r="F1387" s="6">
        <v>0</v>
      </c>
      <c r="G1387" s="6">
        <v>5</v>
      </c>
      <c r="H1387" s="6" t="s">
        <v>3095</v>
      </c>
      <c r="I1387" s="6">
        <v>526.6875</v>
      </c>
      <c r="J1387" s="2">
        <f t="shared" si="21"/>
        <v>43747.54144872685</v>
      </c>
    </row>
    <row r="1388" spans="1:10" x14ac:dyDescent="0.25">
      <c r="A1388" s="7" t="s">
        <v>3096</v>
      </c>
      <c r="B1388" s="8">
        <v>393.75</v>
      </c>
      <c r="C1388" s="8">
        <v>20.531590000000001</v>
      </c>
      <c r="D1388" s="8">
        <v>47</v>
      </c>
      <c r="E1388" s="8">
        <v>0</v>
      </c>
      <c r="F1388" s="8">
        <v>0</v>
      </c>
      <c r="G1388" s="8">
        <v>13</v>
      </c>
      <c r="H1388" s="8" t="s">
        <v>3097</v>
      </c>
      <c r="I1388" s="8">
        <v>526.6875</v>
      </c>
      <c r="J1388" s="3">
        <f t="shared" si="21"/>
        <v>43747.541532164345</v>
      </c>
    </row>
    <row r="1389" spans="1:10" x14ac:dyDescent="0.25">
      <c r="A1389" s="5" t="s">
        <v>3098</v>
      </c>
      <c r="B1389" s="6">
        <v>393.75</v>
      </c>
      <c r="C1389" s="6">
        <v>20.531590000000001</v>
      </c>
      <c r="D1389" s="6">
        <v>48</v>
      </c>
      <c r="E1389" s="6">
        <v>0</v>
      </c>
      <c r="F1389" s="6">
        <v>0</v>
      </c>
      <c r="G1389" s="6">
        <v>1</v>
      </c>
      <c r="H1389" s="6" t="s">
        <v>3099</v>
      </c>
      <c r="I1389" s="6">
        <v>526.5</v>
      </c>
      <c r="J1389" s="2">
        <f t="shared" si="21"/>
        <v>43747.541615613423</v>
      </c>
    </row>
    <row r="1390" spans="1:10" x14ac:dyDescent="0.25">
      <c r="A1390" s="7" t="s">
        <v>3100</v>
      </c>
      <c r="B1390" s="8">
        <v>393.75</v>
      </c>
      <c r="C1390" s="8">
        <v>20.584240000000001</v>
      </c>
      <c r="D1390" s="8">
        <v>48</v>
      </c>
      <c r="E1390" s="8">
        <v>0</v>
      </c>
      <c r="F1390" s="8">
        <v>0</v>
      </c>
      <c r="G1390" s="8">
        <v>3</v>
      </c>
      <c r="H1390" s="8" t="s">
        <v>3101</v>
      </c>
      <c r="I1390" s="8">
        <v>526.6875</v>
      </c>
      <c r="J1390" s="3">
        <f t="shared" si="21"/>
        <v>43747.541699062502</v>
      </c>
    </row>
    <row r="1391" spans="1:10" x14ac:dyDescent="0.25">
      <c r="A1391" s="5" t="s">
        <v>3102</v>
      </c>
      <c r="B1391" s="6">
        <v>393.75</v>
      </c>
      <c r="C1391" s="6">
        <v>20.584240000000001</v>
      </c>
      <c r="D1391" s="6">
        <v>48</v>
      </c>
      <c r="E1391" s="6">
        <v>0</v>
      </c>
      <c r="F1391" s="6">
        <v>0</v>
      </c>
      <c r="G1391" s="6">
        <v>8</v>
      </c>
      <c r="H1391" s="6" t="s">
        <v>3103</v>
      </c>
      <c r="I1391" s="6">
        <v>526.5</v>
      </c>
      <c r="J1391" s="2">
        <f t="shared" si="21"/>
        <v>43747.541782280088</v>
      </c>
    </row>
    <row r="1392" spans="1:10" x14ac:dyDescent="0.25">
      <c r="A1392" s="7" t="s">
        <v>3104</v>
      </c>
      <c r="B1392" s="8">
        <v>393.75</v>
      </c>
      <c r="C1392" s="8">
        <v>20.584240000000001</v>
      </c>
      <c r="D1392" s="8">
        <v>48</v>
      </c>
      <c r="E1392" s="8">
        <v>0</v>
      </c>
      <c r="F1392" s="8">
        <v>0</v>
      </c>
      <c r="G1392" s="8">
        <v>1</v>
      </c>
      <c r="H1392" s="8" t="s">
        <v>3105</v>
      </c>
      <c r="I1392" s="8">
        <v>526.6875</v>
      </c>
      <c r="J1392" s="3">
        <f t="shared" si="21"/>
        <v>43747.541866759253</v>
      </c>
    </row>
    <row r="1393" spans="1:10" x14ac:dyDescent="0.25">
      <c r="A1393" s="5" t="s">
        <v>3106</v>
      </c>
      <c r="B1393" s="6">
        <v>393.75</v>
      </c>
      <c r="C1393" s="6">
        <v>20.584240000000001</v>
      </c>
      <c r="D1393" s="6">
        <v>49</v>
      </c>
      <c r="E1393" s="6">
        <v>0</v>
      </c>
      <c r="F1393" s="6">
        <v>0</v>
      </c>
      <c r="G1393" s="6">
        <v>0</v>
      </c>
      <c r="H1393" s="6" t="s">
        <v>3107</v>
      </c>
      <c r="I1393" s="6">
        <v>526.6875</v>
      </c>
      <c r="J1393" s="2">
        <f t="shared" si="21"/>
        <v>43747.541949629631</v>
      </c>
    </row>
    <row r="1394" spans="1:10" x14ac:dyDescent="0.25">
      <c r="A1394" s="7" t="s">
        <v>3108</v>
      </c>
      <c r="B1394" s="8">
        <v>393.75</v>
      </c>
      <c r="C1394" s="8">
        <v>20.531590000000001</v>
      </c>
      <c r="D1394" s="8">
        <v>49</v>
      </c>
      <c r="E1394" s="8">
        <v>0</v>
      </c>
      <c r="F1394" s="8">
        <v>0</v>
      </c>
      <c r="G1394" s="8">
        <v>5</v>
      </c>
      <c r="H1394" s="8" t="s">
        <v>3109</v>
      </c>
      <c r="I1394" s="8">
        <v>526.6875</v>
      </c>
      <c r="J1394" s="3">
        <f t="shared" si="21"/>
        <v>43747.542020706016</v>
      </c>
    </row>
    <row r="1395" spans="1:10" x14ac:dyDescent="0.25">
      <c r="A1395" s="5" t="s">
        <v>3110</v>
      </c>
      <c r="B1395" s="6">
        <v>393.75</v>
      </c>
      <c r="C1395" s="6">
        <v>20.531590000000001</v>
      </c>
      <c r="D1395" s="6">
        <v>49</v>
      </c>
      <c r="E1395" s="6">
        <v>0</v>
      </c>
      <c r="F1395" s="6">
        <v>0</v>
      </c>
      <c r="G1395" s="6">
        <v>8</v>
      </c>
      <c r="H1395" s="6" t="s">
        <v>3111</v>
      </c>
      <c r="I1395" s="6">
        <v>526.6875</v>
      </c>
      <c r="J1395" s="2">
        <f t="shared" si="21"/>
        <v>43747.542104490734</v>
      </c>
    </row>
    <row r="1396" spans="1:10" x14ac:dyDescent="0.25">
      <c r="A1396" s="7" t="s">
        <v>3112</v>
      </c>
      <c r="B1396" s="8">
        <v>393.75</v>
      </c>
      <c r="C1396" s="8">
        <v>20.584240000000001</v>
      </c>
      <c r="D1396" s="8">
        <v>48</v>
      </c>
      <c r="E1396" s="8">
        <v>0</v>
      </c>
      <c r="F1396" s="8">
        <v>0</v>
      </c>
      <c r="G1396" s="8">
        <v>2</v>
      </c>
      <c r="H1396" s="8" t="s">
        <v>3113</v>
      </c>
      <c r="I1396" s="8">
        <v>526.6875</v>
      </c>
      <c r="J1396" s="3">
        <f t="shared" si="21"/>
        <v>43747.542187962965</v>
      </c>
    </row>
    <row r="1397" spans="1:10" x14ac:dyDescent="0.25">
      <c r="A1397" s="5" t="s">
        <v>3114</v>
      </c>
      <c r="B1397" s="6">
        <v>393.75</v>
      </c>
      <c r="C1397" s="6">
        <v>20.584240000000001</v>
      </c>
      <c r="D1397" s="6">
        <v>49</v>
      </c>
      <c r="E1397" s="6">
        <v>0</v>
      </c>
      <c r="F1397" s="6">
        <v>0</v>
      </c>
      <c r="G1397" s="6">
        <v>4</v>
      </c>
      <c r="H1397" s="6" t="s">
        <v>3115</v>
      </c>
      <c r="I1397" s="6">
        <v>526.6875</v>
      </c>
      <c r="J1397" s="2">
        <f t="shared" si="21"/>
        <v>43747.542271249993</v>
      </c>
    </row>
    <row r="1398" spans="1:10" x14ac:dyDescent="0.25">
      <c r="A1398" s="7" t="s">
        <v>3116</v>
      </c>
      <c r="B1398" s="8">
        <v>403.125</v>
      </c>
      <c r="C1398" s="8">
        <v>20.584240000000001</v>
      </c>
      <c r="D1398" s="8">
        <v>49</v>
      </c>
      <c r="E1398" s="8">
        <v>0</v>
      </c>
      <c r="F1398" s="8">
        <v>0</v>
      </c>
      <c r="G1398" s="8">
        <v>7</v>
      </c>
      <c r="H1398" s="8" t="s">
        <v>3117</v>
      </c>
      <c r="I1398" s="8">
        <v>529.5</v>
      </c>
      <c r="J1398" s="3">
        <f t="shared" si="21"/>
        <v>43747.542342905093</v>
      </c>
    </row>
    <row r="1399" spans="1:10" x14ac:dyDescent="0.25">
      <c r="A1399" s="5" t="s">
        <v>3118</v>
      </c>
      <c r="B1399" s="6">
        <v>393.75</v>
      </c>
      <c r="C1399" s="6">
        <v>20.584240000000001</v>
      </c>
      <c r="D1399" s="6">
        <v>50</v>
      </c>
      <c r="E1399" s="6">
        <v>0</v>
      </c>
      <c r="F1399" s="6">
        <v>0</v>
      </c>
      <c r="G1399" s="6">
        <v>12</v>
      </c>
      <c r="H1399" s="6" t="s">
        <v>3119</v>
      </c>
      <c r="I1399" s="6">
        <v>526.6875</v>
      </c>
      <c r="J1399" s="2">
        <f t="shared" si="21"/>
        <v>43747.542426574073</v>
      </c>
    </row>
    <row r="1400" spans="1:10" x14ac:dyDescent="0.25">
      <c r="A1400" s="7" t="s">
        <v>3120</v>
      </c>
      <c r="B1400" s="8">
        <v>393.75</v>
      </c>
      <c r="C1400" s="8">
        <v>20.584240000000001</v>
      </c>
      <c r="D1400" s="8">
        <v>50</v>
      </c>
      <c r="E1400" s="8">
        <v>0</v>
      </c>
      <c r="F1400" s="8">
        <v>0</v>
      </c>
      <c r="G1400" s="8">
        <v>6</v>
      </c>
      <c r="H1400" s="8" t="s">
        <v>3121</v>
      </c>
      <c r="I1400" s="8">
        <v>526.6875</v>
      </c>
      <c r="J1400" s="3">
        <f t="shared" si="21"/>
        <v>43747.542509583327</v>
      </c>
    </row>
    <row r="1401" spans="1:10" x14ac:dyDescent="0.25">
      <c r="A1401" s="5" t="s">
        <v>3122</v>
      </c>
      <c r="B1401" s="6">
        <v>393.75</v>
      </c>
      <c r="C1401" s="6">
        <v>20.531590000000001</v>
      </c>
      <c r="D1401" s="6">
        <v>49</v>
      </c>
      <c r="E1401" s="6">
        <v>0</v>
      </c>
      <c r="F1401" s="6">
        <v>0</v>
      </c>
      <c r="G1401" s="6">
        <v>15</v>
      </c>
      <c r="H1401" s="6" t="s">
        <v>3123</v>
      </c>
      <c r="I1401" s="6">
        <v>526.6875</v>
      </c>
      <c r="J1401" s="2">
        <f t="shared" si="21"/>
        <v>43747.54259341435</v>
      </c>
    </row>
    <row r="1402" spans="1:10" x14ac:dyDescent="0.25">
      <c r="A1402" s="7" t="s">
        <v>3124</v>
      </c>
      <c r="B1402" s="8">
        <v>393.75</v>
      </c>
      <c r="C1402" s="8">
        <v>20.584240000000001</v>
      </c>
      <c r="D1402" s="8">
        <v>49</v>
      </c>
      <c r="E1402" s="8">
        <v>0</v>
      </c>
      <c r="F1402" s="8">
        <v>0</v>
      </c>
      <c r="G1402" s="8">
        <v>20</v>
      </c>
      <c r="H1402" s="8" t="s">
        <v>3125</v>
      </c>
      <c r="I1402" s="8">
        <v>526.6875</v>
      </c>
      <c r="J1402" s="3">
        <f t="shared" si="21"/>
        <v>43747.542676944438</v>
      </c>
    </row>
    <row r="1403" spans="1:10" x14ac:dyDescent="0.25">
      <c r="A1403" s="5" t="s">
        <v>3126</v>
      </c>
      <c r="B1403" s="6">
        <v>393.75</v>
      </c>
      <c r="C1403" s="6">
        <v>20.584240000000001</v>
      </c>
      <c r="D1403" s="6">
        <v>48</v>
      </c>
      <c r="E1403" s="6">
        <v>0</v>
      </c>
      <c r="F1403" s="6">
        <v>0</v>
      </c>
      <c r="G1403" s="6">
        <v>13</v>
      </c>
      <c r="H1403" s="6" t="s">
        <v>3127</v>
      </c>
      <c r="I1403" s="6">
        <v>526.6875</v>
      </c>
      <c r="J1403" s="2">
        <f t="shared" si="21"/>
        <v>43747.54276005787</v>
      </c>
    </row>
    <row r="1404" spans="1:10" x14ac:dyDescent="0.25">
      <c r="A1404" s="7" t="s">
        <v>3128</v>
      </c>
      <c r="B1404" s="8">
        <v>393.75</v>
      </c>
      <c r="C1404" s="8">
        <v>20.584240000000001</v>
      </c>
      <c r="D1404" s="8">
        <v>48</v>
      </c>
      <c r="E1404" s="8">
        <v>0</v>
      </c>
      <c r="F1404" s="8">
        <v>0</v>
      </c>
      <c r="G1404" s="8">
        <v>15</v>
      </c>
      <c r="H1404" s="8" t="s">
        <v>3129</v>
      </c>
      <c r="I1404" s="8">
        <v>526.6875</v>
      </c>
      <c r="J1404" s="3">
        <f t="shared" si="21"/>
        <v>43747.542831701387</v>
      </c>
    </row>
    <row r="1405" spans="1:10" x14ac:dyDescent="0.25">
      <c r="A1405" s="5" t="s">
        <v>3130</v>
      </c>
      <c r="B1405" s="6">
        <v>393.75</v>
      </c>
      <c r="C1405" s="6">
        <v>20.584240000000001</v>
      </c>
      <c r="D1405" s="6">
        <v>48</v>
      </c>
      <c r="E1405" s="6">
        <v>0</v>
      </c>
      <c r="F1405" s="6">
        <v>0</v>
      </c>
      <c r="G1405" s="6">
        <v>20</v>
      </c>
      <c r="H1405" s="6" t="s">
        <v>3131</v>
      </c>
      <c r="I1405" s="6">
        <v>526.6875</v>
      </c>
      <c r="J1405" s="2">
        <f t="shared" si="21"/>
        <v>43747.542915613427</v>
      </c>
    </row>
    <row r="1406" spans="1:10" x14ac:dyDescent="0.25">
      <c r="A1406" s="7" t="s">
        <v>3132</v>
      </c>
      <c r="B1406" s="8">
        <v>393.75</v>
      </c>
      <c r="C1406" s="8">
        <v>20.584240000000001</v>
      </c>
      <c r="D1406" s="8">
        <v>48</v>
      </c>
      <c r="E1406" s="8">
        <v>0</v>
      </c>
      <c r="F1406" s="8">
        <v>0</v>
      </c>
      <c r="G1406" s="8">
        <v>12</v>
      </c>
      <c r="H1406" s="8" t="s">
        <v>3133</v>
      </c>
      <c r="I1406" s="8">
        <v>526.6875</v>
      </c>
      <c r="J1406" s="3">
        <f t="shared" si="21"/>
        <v>43747.542998935183</v>
      </c>
    </row>
    <row r="1407" spans="1:10" x14ac:dyDescent="0.25">
      <c r="A1407" s="5" t="s">
        <v>3134</v>
      </c>
      <c r="B1407" s="6">
        <v>393.75</v>
      </c>
      <c r="C1407" s="6">
        <v>20.584240000000001</v>
      </c>
      <c r="D1407" s="6">
        <v>48</v>
      </c>
      <c r="E1407" s="6">
        <v>0</v>
      </c>
      <c r="F1407" s="6">
        <v>0</v>
      </c>
      <c r="G1407" s="6">
        <v>11</v>
      </c>
      <c r="H1407" s="6" t="s">
        <v>3135</v>
      </c>
      <c r="I1407" s="6">
        <v>526.6875</v>
      </c>
      <c r="J1407" s="2">
        <f t="shared" si="21"/>
        <v>43747.543082303237</v>
      </c>
    </row>
    <row r="1408" spans="1:10" x14ac:dyDescent="0.25">
      <c r="A1408" s="7" t="s">
        <v>3136</v>
      </c>
      <c r="B1408" s="8">
        <v>412.5</v>
      </c>
      <c r="C1408" s="8">
        <v>20.531590000000001</v>
      </c>
      <c r="D1408" s="8">
        <v>48</v>
      </c>
      <c r="E1408" s="8">
        <v>0</v>
      </c>
      <c r="F1408" s="8">
        <v>0</v>
      </c>
      <c r="G1408" s="8">
        <v>19</v>
      </c>
      <c r="H1408" s="8" t="s">
        <v>3137</v>
      </c>
      <c r="I1408" s="8">
        <v>532.5</v>
      </c>
      <c r="J1408" s="3">
        <f t="shared" si="21"/>
        <v>43747.543165844902</v>
      </c>
    </row>
    <row r="1409" spans="1:10" x14ac:dyDescent="0.25">
      <c r="A1409" s="5" t="s">
        <v>3138</v>
      </c>
      <c r="B1409" s="6">
        <v>393.75</v>
      </c>
      <c r="C1409" s="6">
        <v>20.584240000000001</v>
      </c>
      <c r="D1409" s="6">
        <v>47</v>
      </c>
      <c r="E1409" s="6">
        <v>0</v>
      </c>
      <c r="F1409" s="6">
        <v>0</v>
      </c>
      <c r="G1409" s="6">
        <v>13</v>
      </c>
      <c r="H1409" s="6" t="s">
        <v>3139</v>
      </c>
      <c r="I1409" s="6">
        <v>526.6875</v>
      </c>
      <c r="J1409" s="2">
        <f t="shared" si="21"/>
        <v>43747.543248958333</v>
      </c>
    </row>
    <row r="1410" spans="1:10" x14ac:dyDescent="0.25">
      <c r="A1410" s="7" t="s">
        <v>3140</v>
      </c>
      <c r="B1410" s="8">
        <v>412.5</v>
      </c>
      <c r="C1410" s="8">
        <v>20.531590000000001</v>
      </c>
      <c r="D1410" s="8">
        <v>47</v>
      </c>
      <c r="E1410" s="8">
        <v>0</v>
      </c>
      <c r="F1410" s="8">
        <v>0</v>
      </c>
      <c r="G1410" s="8">
        <v>19</v>
      </c>
      <c r="H1410" s="8" t="s">
        <v>3141</v>
      </c>
      <c r="I1410" s="8">
        <v>532.6875</v>
      </c>
      <c r="J1410" s="3">
        <f t="shared" ref="J1410:J1473" si="22">(H1410/86400000)+25569+(7/24)</f>
        <v>43747.543332743058</v>
      </c>
    </row>
    <row r="1411" spans="1:10" x14ac:dyDescent="0.25">
      <c r="A1411" s="5" t="s">
        <v>3142</v>
      </c>
      <c r="B1411" s="6">
        <v>393.75</v>
      </c>
      <c r="C1411" s="6">
        <v>20.584240000000001</v>
      </c>
      <c r="D1411" s="6">
        <v>47</v>
      </c>
      <c r="E1411" s="6">
        <v>0</v>
      </c>
      <c r="F1411" s="6">
        <v>0</v>
      </c>
      <c r="G1411" s="6">
        <v>16</v>
      </c>
      <c r="H1411" s="6" t="s">
        <v>3143</v>
      </c>
      <c r="I1411" s="6">
        <v>526.5</v>
      </c>
      <c r="J1411" s="2">
        <f t="shared" si="22"/>
        <v>43747.543416423614</v>
      </c>
    </row>
    <row r="1412" spans="1:10" x14ac:dyDescent="0.25">
      <c r="A1412" s="7" t="s">
        <v>3144</v>
      </c>
      <c r="B1412" s="8">
        <v>393.75</v>
      </c>
      <c r="C1412" s="8">
        <v>20.584240000000001</v>
      </c>
      <c r="D1412" s="8">
        <v>49</v>
      </c>
      <c r="E1412" s="8">
        <v>0</v>
      </c>
      <c r="F1412" s="8">
        <v>0</v>
      </c>
      <c r="G1412" s="8">
        <v>20</v>
      </c>
      <c r="H1412" s="8" t="s">
        <v>3145</v>
      </c>
      <c r="I1412" s="8">
        <v>526.6875</v>
      </c>
      <c r="J1412" s="3">
        <f t="shared" si="22"/>
        <v>43747.543499756946</v>
      </c>
    </row>
    <row r="1413" spans="1:10" x14ac:dyDescent="0.25">
      <c r="A1413" s="5" t="s">
        <v>3146</v>
      </c>
      <c r="B1413" s="6">
        <v>393.75</v>
      </c>
      <c r="C1413" s="6">
        <v>20.584240000000001</v>
      </c>
      <c r="D1413" s="6">
        <v>49</v>
      </c>
      <c r="E1413" s="6">
        <v>0</v>
      </c>
      <c r="F1413" s="6">
        <v>0</v>
      </c>
      <c r="G1413" s="6">
        <v>14</v>
      </c>
      <c r="H1413" s="6" t="s">
        <v>3147</v>
      </c>
      <c r="I1413" s="6">
        <v>526.6875</v>
      </c>
      <c r="J1413" s="2">
        <f t="shared" si="22"/>
        <v>43747.543583206018</v>
      </c>
    </row>
    <row r="1414" spans="1:10" x14ac:dyDescent="0.25">
      <c r="A1414" s="7" t="s">
        <v>3148</v>
      </c>
      <c r="B1414" s="8">
        <v>393.75</v>
      </c>
      <c r="C1414" s="8">
        <v>20.584240000000001</v>
      </c>
      <c r="D1414" s="8">
        <v>49</v>
      </c>
      <c r="E1414" s="8">
        <v>0</v>
      </c>
      <c r="F1414" s="8">
        <v>0</v>
      </c>
      <c r="G1414" s="8">
        <v>8</v>
      </c>
      <c r="H1414" s="8" t="s">
        <v>3149</v>
      </c>
      <c r="I1414" s="8">
        <v>526.5</v>
      </c>
      <c r="J1414" s="3">
        <f t="shared" si="22"/>
        <v>43747.543662905089</v>
      </c>
    </row>
    <row r="1415" spans="1:10" x14ac:dyDescent="0.25">
      <c r="A1415" s="5" t="s">
        <v>3150</v>
      </c>
      <c r="B1415" s="6">
        <v>412.5</v>
      </c>
      <c r="C1415" s="6">
        <v>20.584240000000001</v>
      </c>
      <c r="D1415" s="6">
        <v>50</v>
      </c>
      <c r="E1415" s="6">
        <v>0</v>
      </c>
      <c r="F1415" s="6">
        <v>0</v>
      </c>
      <c r="G1415" s="6">
        <v>19</v>
      </c>
      <c r="H1415" s="6" t="s">
        <v>3151</v>
      </c>
      <c r="I1415" s="6">
        <v>532.6875</v>
      </c>
      <c r="J1415" s="2">
        <f t="shared" si="22"/>
        <v>43747.543737824068</v>
      </c>
    </row>
    <row r="1416" spans="1:10" x14ac:dyDescent="0.25">
      <c r="A1416" s="7" t="s">
        <v>3152</v>
      </c>
      <c r="B1416" s="8">
        <v>393.75</v>
      </c>
      <c r="C1416" s="8">
        <v>20.584240000000001</v>
      </c>
      <c r="D1416" s="8">
        <v>50</v>
      </c>
      <c r="E1416" s="8">
        <v>0</v>
      </c>
      <c r="F1416" s="8">
        <v>0</v>
      </c>
      <c r="G1416" s="8">
        <v>20</v>
      </c>
      <c r="H1416" s="8" t="s">
        <v>3153</v>
      </c>
      <c r="I1416" s="8">
        <v>526.6875</v>
      </c>
      <c r="J1416" s="3">
        <f t="shared" si="22"/>
        <v>43747.543809594907</v>
      </c>
    </row>
    <row r="1417" spans="1:10" x14ac:dyDescent="0.25">
      <c r="A1417" s="5" t="s">
        <v>3154</v>
      </c>
      <c r="B1417" s="6">
        <v>393.75</v>
      </c>
      <c r="C1417" s="6">
        <v>20.584240000000001</v>
      </c>
      <c r="D1417" s="6">
        <v>51</v>
      </c>
      <c r="E1417" s="6">
        <v>0</v>
      </c>
      <c r="F1417" s="6">
        <v>0</v>
      </c>
      <c r="G1417" s="6">
        <v>12</v>
      </c>
      <c r="H1417" s="6" t="s">
        <v>3155</v>
      </c>
      <c r="I1417" s="6">
        <v>526.6875</v>
      </c>
      <c r="J1417" s="2">
        <f t="shared" si="22"/>
        <v>43747.543893379632</v>
      </c>
    </row>
    <row r="1418" spans="1:10" x14ac:dyDescent="0.25">
      <c r="A1418" s="7" t="s">
        <v>3156</v>
      </c>
      <c r="B1418" s="8">
        <v>393.75</v>
      </c>
      <c r="C1418" s="8">
        <v>20.584240000000001</v>
      </c>
      <c r="D1418" s="8">
        <v>52</v>
      </c>
      <c r="E1418" s="8">
        <v>0</v>
      </c>
      <c r="F1418" s="8">
        <v>0</v>
      </c>
      <c r="G1418" s="8">
        <v>16</v>
      </c>
      <c r="H1418" s="8" t="s">
        <v>3157</v>
      </c>
      <c r="I1418" s="8">
        <v>526.6875</v>
      </c>
      <c r="J1418" s="3">
        <f t="shared" si="22"/>
        <v>43747.543987002311</v>
      </c>
    </row>
    <row r="1419" spans="1:10" x14ac:dyDescent="0.25">
      <c r="A1419" s="5" t="s">
        <v>3158</v>
      </c>
      <c r="B1419" s="6">
        <v>393.75</v>
      </c>
      <c r="C1419" s="6">
        <v>20.584240000000001</v>
      </c>
      <c r="D1419" s="6">
        <v>51</v>
      </c>
      <c r="E1419" s="6">
        <v>0</v>
      </c>
      <c r="F1419" s="6">
        <v>0</v>
      </c>
      <c r="G1419" s="6">
        <v>9</v>
      </c>
      <c r="H1419" s="6" t="s">
        <v>3159</v>
      </c>
      <c r="I1419" s="6">
        <v>526.5</v>
      </c>
      <c r="J1419" s="2">
        <f t="shared" si="22"/>
        <v>43747.544087384253</v>
      </c>
    </row>
    <row r="1420" spans="1:10" x14ac:dyDescent="0.25">
      <c r="A1420" s="7" t="s">
        <v>3160</v>
      </c>
      <c r="B1420" s="8">
        <v>393.75</v>
      </c>
      <c r="C1420" s="8">
        <v>20.531590000000001</v>
      </c>
      <c r="D1420" s="8">
        <v>49</v>
      </c>
      <c r="E1420" s="8">
        <v>0</v>
      </c>
      <c r="F1420" s="8">
        <v>0</v>
      </c>
      <c r="G1420" s="8">
        <v>10</v>
      </c>
      <c r="H1420" s="8" t="s">
        <v>3161</v>
      </c>
      <c r="I1420" s="8">
        <v>526.6875</v>
      </c>
      <c r="J1420" s="3">
        <f t="shared" si="22"/>
        <v>43747.544167465276</v>
      </c>
    </row>
    <row r="1421" spans="1:10" x14ac:dyDescent="0.25">
      <c r="A1421" s="5" t="s">
        <v>3162</v>
      </c>
      <c r="B1421" s="6">
        <v>393.75</v>
      </c>
      <c r="C1421" s="6">
        <v>20.531590000000001</v>
      </c>
      <c r="D1421" s="6">
        <v>50</v>
      </c>
      <c r="E1421" s="6">
        <v>0</v>
      </c>
      <c r="F1421" s="6">
        <v>0</v>
      </c>
      <c r="G1421" s="6">
        <v>2</v>
      </c>
      <c r="H1421" s="6" t="s">
        <v>3163</v>
      </c>
      <c r="I1421" s="6">
        <v>526.6875</v>
      </c>
      <c r="J1421" s="2">
        <f t="shared" si="22"/>
        <v>43747.544250925923</v>
      </c>
    </row>
    <row r="1422" spans="1:10" x14ac:dyDescent="0.25">
      <c r="A1422" s="7" t="s">
        <v>3164</v>
      </c>
      <c r="B1422" s="8">
        <v>393.75</v>
      </c>
      <c r="C1422" s="8">
        <v>20.584240000000001</v>
      </c>
      <c r="D1422" s="8">
        <v>50</v>
      </c>
      <c r="E1422" s="8">
        <v>0</v>
      </c>
      <c r="F1422" s="8">
        <v>0</v>
      </c>
      <c r="G1422" s="8">
        <v>8</v>
      </c>
      <c r="H1422" s="8" t="s">
        <v>3165</v>
      </c>
      <c r="I1422" s="8">
        <v>526.6875</v>
      </c>
      <c r="J1422" s="3">
        <f t="shared" si="22"/>
        <v>43747.544334120372</v>
      </c>
    </row>
    <row r="1423" spans="1:10" x14ac:dyDescent="0.25">
      <c r="A1423" s="5" t="s">
        <v>3166</v>
      </c>
      <c r="B1423" s="6">
        <v>393.75</v>
      </c>
      <c r="C1423" s="6">
        <v>20.584240000000001</v>
      </c>
      <c r="D1423" s="6">
        <v>50</v>
      </c>
      <c r="E1423" s="6">
        <v>0</v>
      </c>
      <c r="F1423" s="6">
        <v>0</v>
      </c>
      <c r="G1423" s="6">
        <v>8</v>
      </c>
      <c r="H1423" s="6" t="s">
        <v>3167</v>
      </c>
      <c r="I1423" s="6">
        <v>526.6875</v>
      </c>
      <c r="J1423" s="2">
        <f t="shared" si="22"/>
        <v>43747.544405914348</v>
      </c>
    </row>
    <row r="1424" spans="1:10" x14ac:dyDescent="0.25">
      <c r="A1424" s="7" t="s">
        <v>3168</v>
      </c>
      <c r="B1424" s="8">
        <v>393.75</v>
      </c>
      <c r="C1424" s="8">
        <v>20.584240000000001</v>
      </c>
      <c r="D1424" s="8">
        <v>50</v>
      </c>
      <c r="E1424" s="8">
        <v>0</v>
      </c>
      <c r="F1424" s="8">
        <v>0</v>
      </c>
      <c r="G1424" s="8">
        <v>13</v>
      </c>
      <c r="H1424" s="8" t="s">
        <v>3169</v>
      </c>
      <c r="I1424" s="8">
        <v>526.6875</v>
      </c>
      <c r="J1424" s="3">
        <f t="shared" si="22"/>
        <v>43747.544489444444</v>
      </c>
    </row>
    <row r="1425" spans="1:10" x14ac:dyDescent="0.25">
      <c r="A1425" s="5" t="s">
        <v>3170</v>
      </c>
      <c r="B1425" s="6">
        <v>393.75</v>
      </c>
      <c r="C1425" s="6">
        <v>20.584240000000001</v>
      </c>
      <c r="D1425" s="6">
        <v>50</v>
      </c>
      <c r="E1425" s="6">
        <v>0</v>
      </c>
      <c r="F1425" s="6">
        <v>0</v>
      </c>
      <c r="G1425" s="6">
        <v>3</v>
      </c>
      <c r="H1425" s="6" t="s">
        <v>3171</v>
      </c>
      <c r="I1425" s="6">
        <v>526.6875</v>
      </c>
      <c r="J1425" s="2">
        <f t="shared" si="22"/>
        <v>43747.54457291666</v>
      </c>
    </row>
    <row r="1426" spans="1:10" x14ac:dyDescent="0.25">
      <c r="A1426" s="7" t="s">
        <v>3172</v>
      </c>
      <c r="B1426" s="8">
        <v>393.75</v>
      </c>
      <c r="C1426" s="8">
        <v>20.584240000000001</v>
      </c>
      <c r="D1426" s="8">
        <v>49</v>
      </c>
      <c r="E1426" s="8">
        <v>0</v>
      </c>
      <c r="F1426" s="8">
        <v>0</v>
      </c>
      <c r="G1426" s="8">
        <v>9</v>
      </c>
      <c r="H1426" s="8" t="s">
        <v>3173</v>
      </c>
      <c r="I1426" s="8">
        <v>526.6875</v>
      </c>
      <c r="J1426" s="3">
        <f t="shared" si="22"/>
        <v>43747.544668391201</v>
      </c>
    </row>
    <row r="1427" spans="1:10" x14ac:dyDescent="0.25">
      <c r="A1427" s="5" t="s">
        <v>3174</v>
      </c>
      <c r="B1427" s="6">
        <v>393.75</v>
      </c>
      <c r="C1427" s="6">
        <v>20.584240000000001</v>
      </c>
      <c r="D1427" s="6">
        <v>48</v>
      </c>
      <c r="E1427" s="6">
        <v>0</v>
      </c>
      <c r="F1427" s="6">
        <v>0</v>
      </c>
      <c r="G1427" s="6">
        <v>5</v>
      </c>
      <c r="H1427" s="6" t="s">
        <v>3175</v>
      </c>
      <c r="I1427" s="6">
        <v>526.6875</v>
      </c>
      <c r="J1427" s="2">
        <f t="shared" si="22"/>
        <v>43747.544739780089</v>
      </c>
    </row>
    <row r="1428" spans="1:10" x14ac:dyDescent="0.25">
      <c r="A1428" s="7" t="s">
        <v>3176</v>
      </c>
      <c r="B1428" s="8">
        <v>393.75</v>
      </c>
      <c r="C1428" s="8">
        <v>20.584240000000001</v>
      </c>
      <c r="D1428" s="8">
        <v>48</v>
      </c>
      <c r="E1428" s="8">
        <v>0</v>
      </c>
      <c r="F1428" s="8">
        <v>0</v>
      </c>
      <c r="G1428" s="8">
        <v>2</v>
      </c>
      <c r="H1428" s="8" t="s">
        <v>3177</v>
      </c>
      <c r="I1428" s="8">
        <v>526.6875</v>
      </c>
      <c r="J1428" s="3">
        <f t="shared" si="22"/>
        <v>43747.544823067125</v>
      </c>
    </row>
    <row r="1429" spans="1:10" x14ac:dyDescent="0.25">
      <c r="A1429" s="5" t="s">
        <v>3178</v>
      </c>
      <c r="B1429" s="6">
        <v>393.75</v>
      </c>
      <c r="C1429" s="6">
        <v>20.531590000000001</v>
      </c>
      <c r="D1429" s="6">
        <v>48</v>
      </c>
      <c r="E1429" s="6">
        <v>0</v>
      </c>
      <c r="F1429" s="6">
        <v>0</v>
      </c>
      <c r="G1429" s="6">
        <v>14</v>
      </c>
      <c r="H1429" s="6" t="s">
        <v>3179</v>
      </c>
      <c r="I1429" s="6">
        <v>526.6875</v>
      </c>
      <c r="J1429" s="2">
        <f t="shared" si="22"/>
        <v>43747.544894756946</v>
      </c>
    </row>
    <row r="1430" spans="1:10" x14ac:dyDescent="0.25">
      <c r="A1430" s="7" t="s">
        <v>3180</v>
      </c>
      <c r="B1430" s="8">
        <v>393.75</v>
      </c>
      <c r="C1430" s="8">
        <v>20.584240000000001</v>
      </c>
      <c r="D1430" s="8">
        <v>49</v>
      </c>
      <c r="E1430" s="8">
        <v>0</v>
      </c>
      <c r="F1430" s="8">
        <v>0</v>
      </c>
      <c r="G1430" s="8">
        <v>11</v>
      </c>
      <c r="H1430" s="8" t="s">
        <v>3181</v>
      </c>
      <c r="I1430" s="8">
        <v>526.6875</v>
      </c>
      <c r="J1430" s="3">
        <f t="shared" si="22"/>
        <v>43747.544978321755</v>
      </c>
    </row>
    <row r="1431" spans="1:10" x14ac:dyDescent="0.25">
      <c r="A1431" s="5" t="s">
        <v>3182</v>
      </c>
      <c r="B1431" s="6">
        <v>393.75</v>
      </c>
      <c r="C1431" s="6">
        <v>20.584240000000001</v>
      </c>
      <c r="D1431" s="6">
        <v>48</v>
      </c>
      <c r="E1431" s="6">
        <v>0</v>
      </c>
      <c r="F1431" s="6">
        <v>0</v>
      </c>
      <c r="G1431" s="6">
        <v>3</v>
      </c>
      <c r="H1431" s="6" t="s">
        <v>3183</v>
      </c>
      <c r="I1431" s="6">
        <v>526.6875</v>
      </c>
      <c r="J1431" s="2">
        <f t="shared" si="22"/>
        <v>43747.545061793979</v>
      </c>
    </row>
    <row r="1432" spans="1:10" x14ac:dyDescent="0.25">
      <c r="A1432" s="7" t="s">
        <v>3184</v>
      </c>
      <c r="B1432" s="8">
        <v>393.75</v>
      </c>
      <c r="C1432" s="8">
        <v>20.584240000000001</v>
      </c>
      <c r="D1432" s="8">
        <v>49</v>
      </c>
      <c r="E1432" s="8">
        <v>0</v>
      </c>
      <c r="F1432" s="8">
        <v>0</v>
      </c>
      <c r="G1432" s="8">
        <v>4</v>
      </c>
      <c r="H1432" s="8" t="s">
        <v>3185</v>
      </c>
      <c r="I1432" s="8">
        <v>526.6875</v>
      </c>
      <c r="J1432" s="3">
        <f t="shared" si="22"/>
        <v>43747.545145231481</v>
      </c>
    </row>
    <row r="1433" spans="1:10" x14ac:dyDescent="0.25">
      <c r="A1433" s="5" t="s">
        <v>3186</v>
      </c>
      <c r="B1433" s="6">
        <v>393.75</v>
      </c>
      <c r="C1433" s="6">
        <v>20.584240000000001</v>
      </c>
      <c r="D1433" s="6">
        <v>49</v>
      </c>
      <c r="E1433" s="6">
        <v>0</v>
      </c>
      <c r="F1433" s="6">
        <v>0</v>
      </c>
      <c r="G1433" s="6">
        <v>4</v>
      </c>
      <c r="H1433" s="6" t="s">
        <v>3187</v>
      </c>
      <c r="I1433" s="6">
        <v>526.6875</v>
      </c>
      <c r="J1433" s="2">
        <f t="shared" si="22"/>
        <v>43747.545216747683</v>
      </c>
    </row>
    <row r="1434" spans="1:10" x14ac:dyDescent="0.25">
      <c r="A1434" s="7" t="s">
        <v>3188</v>
      </c>
      <c r="B1434" s="8">
        <v>393.75</v>
      </c>
      <c r="C1434" s="8">
        <v>20.584240000000001</v>
      </c>
      <c r="D1434" s="8">
        <v>52</v>
      </c>
      <c r="E1434" s="8">
        <v>0</v>
      </c>
      <c r="F1434" s="8">
        <v>0</v>
      </c>
      <c r="G1434" s="8">
        <v>2</v>
      </c>
      <c r="H1434" s="8" t="s">
        <v>3189</v>
      </c>
      <c r="I1434" s="8">
        <v>526.6875</v>
      </c>
      <c r="J1434" s="3">
        <f t="shared" si="22"/>
        <v>43747.545300428239</v>
      </c>
    </row>
    <row r="1435" spans="1:10" x14ac:dyDescent="0.25">
      <c r="A1435" s="5" t="s">
        <v>3190</v>
      </c>
      <c r="B1435" s="6">
        <v>393.75</v>
      </c>
      <c r="C1435" s="6">
        <v>20.584240000000001</v>
      </c>
      <c r="D1435" s="6">
        <v>51</v>
      </c>
      <c r="E1435" s="6">
        <v>0</v>
      </c>
      <c r="F1435" s="6">
        <v>0</v>
      </c>
      <c r="G1435" s="6">
        <v>5</v>
      </c>
      <c r="H1435" s="6" t="s">
        <v>3191</v>
      </c>
      <c r="I1435" s="6">
        <v>526.6875</v>
      </c>
      <c r="J1435" s="2">
        <f t="shared" si="22"/>
        <v>43747.545383657409</v>
      </c>
    </row>
    <row r="1436" spans="1:10" x14ac:dyDescent="0.25">
      <c r="A1436" s="7" t="s">
        <v>3192</v>
      </c>
      <c r="B1436" s="8">
        <v>393.75</v>
      </c>
      <c r="C1436" s="8">
        <v>20.584240000000001</v>
      </c>
      <c r="D1436" s="8">
        <v>50</v>
      </c>
      <c r="E1436" s="8">
        <v>0</v>
      </c>
      <c r="F1436" s="8">
        <v>0</v>
      </c>
      <c r="G1436" s="8">
        <v>14</v>
      </c>
      <c r="H1436" s="8" t="s">
        <v>3193</v>
      </c>
      <c r="I1436" s="8">
        <v>526.6875</v>
      </c>
      <c r="J1436" s="3">
        <f t="shared" si="22"/>
        <v>43747.545467233795</v>
      </c>
    </row>
    <row r="1437" spans="1:10" x14ac:dyDescent="0.25">
      <c r="A1437" s="5" t="s">
        <v>3194</v>
      </c>
      <c r="B1437" s="6">
        <v>412.5</v>
      </c>
      <c r="C1437" s="6">
        <v>20.531590000000001</v>
      </c>
      <c r="D1437" s="6">
        <v>51</v>
      </c>
      <c r="E1437" s="6">
        <v>0</v>
      </c>
      <c r="F1437" s="6">
        <v>0</v>
      </c>
      <c r="G1437" s="6">
        <v>7</v>
      </c>
      <c r="H1437" s="6" t="s">
        <v>3195</v>
      </c>
      <c r="I1437" s="6">
        <v>532.5</v>
      </c>
      <c r="J1437" s="2">
        <f t="shared" si="22"/>
        <v>43747.545550671297</v>
      </c>
    </row>
    <row r="1438" spans="1:10" x14ac:dyDescent="0.25">
      <c r="A1438" s="7" t="s">
        <v>3196</v>
      </c>
      <c r="B1438" s="8">
        <v>393.75</v>
      </c>
      <c r="C1438" s="8">
        <v>20.584240000000001</v>
      </c>
      <c r="D1438" s="8">
        <v>50</v>
      </c>
      <c r="E1438" s="8">
        <v>0</v>
      </c>
      <c r="F1438" s="8">
        <v>0</v>
      </c>
      <c r="G1438" s="8">
        <v>9</v>
      </c>
      <c r="H1438" s="8" t="s">
        <v>3197</v>
      </c>
      <c r="I1438" s="8">
        <v>526.6875</v>
      </c>
      <c r="J1438" s="3">
        <f t="shared" si="22"/>
        <v>43747.545634108792</v>
      </c>
    </row>
    <row r="1439" spans="1:10" x14ac:dyDescent="0.25">
      <c r="A1439" s="5" t="s">
        <v>3198</v>
      </c>
      <c r="B1439" s="6">
        <v>393.75</v>
      </c>
      <c r="C1439" s="6">
        <v>20.584240000000001</v>
      </c>
      <c r="D1439" s="6">
        <v>47</v>
      </c>
      <c r="E1439" s="6">
        <v>0</v>
      </c>
      <c r="F1439" s="6">
        <v>0</v>
      </c>
      <c r="G1439" s="6">
        <v>4</v>
      </c>
      <c r="H1439" s="6" t="s">
        <v>3199</v>
      </c>
      <c r="I1439" s="6">
        <v>526.6875</v>
      </c>
      <c r="J1439" s="2">
        <f t="shared" si="22"/>
        <v>43747.54571755787</v>
      </c>
    </row>
    <row r="1440" spans="1:10" x14ac:dyDescent="0.25">
      <c r="A1440" s="7" t="s">
        <v>3200</v>
      </c>
      <c r="B1440" s="8">
        <v>393.75</v>
      </c>
      <c r="C1440" s="8">
        <v>20.584240000000001</v>
      </c>
      <c r="D1440" s="8">
        <v>49</v>
      </c>
      <c r="E1440" s="8">
        <v>0</v>
      </c>
      <c r="F1440" s="8">
        <v>0</v>
      </c>
      <c r="G1440" s="8">
        <v>1</v>
      </c>
      <c r="H1440" s="8" t="s">
        <v>3201</v>
      </c>
      <c r="I1440" s="8">
        <v>526.6875</v>
      </c>
      <c r="J1440" s="3">
        <f t="shared" si="22"/>
        <v>43747.545800775457</v>
      </c>
    </row>
    <row r="1441" spans="1:10" x14ac:dyDescent="0.25">
      <c r="A1441" s="5" t="s">
        <v>3202</v>
      </c>
      <c r="B1441" s="6">
        <v>393.75</v>
      </c>
      <c r="C1441" s="6">
        <v>20.584240000000001</v>
      </c>
      <c r="D1441" s="6">
        <v>49</v>
      </c>
      <c r="E1441" s="6">
        <v>0</v>
      </c>
      <c r="F1441" s="6">
        <v>0</v>
      </c>
      <c r="G1441" s="6">
        <v>0</v>
      </c>
      <c r="H1441" s="6" t="s">
        <v>3203</v>
      </c>
      <c r="I1441" s="6">
        <v>526.6875</v>
      </c>
      <c r="J1441" s="2">
        <f t="shared" si="22"/>
        <v>43747.545872418974</v>
      </c>
    </row>
    <row r="1442" spans="1:10" x14ac:dyDescent="0.25">
      <c r="A1442" s="7" t="s">
        <v>3204</v>
      </c>
      <c r="B1442" s="8">
        <v>412.5</v>
      </c>
      <c r="C1442" s="8">
        <v>20.584240000000001</v>
      </c>
      <c r="D1442" s="8">
        <v>48</v>
      </c>
      <c r="E1442" s="8">
        <v>0</v>
      </c>
      <c r="F1442" s="8">
        <v>0</v>
      </c>
      <c r="G1442" s="8">
        <v>8</v>
      </c>
      <c r="H1442" s="8" t="s">
        <v>3205</v>
      </c>
      <c r="I1442" s="8">
        <v>532.5</v>
      </c>
      <c r="J1442" s="3">
        <f t="shared" si="22"/>
        <v>43747.545956111113</v>
      </c>
    </row>
    <row r="1443" spans="1:10" x14ac:dyDescent="0.25">
      <c r="A1443" s="5" t="s">
        <v>3206</v>
      </c>
      <c r="B1443" s="6">
        <v>393.75</v>
      </c>
      <c r="C1443" s="6">
        <v>20.584240000000001</v>
      </c>
      <c r="D1443" s="6">
        <v>48</v>
      </c>
      <c r="E1443" s="6">
        <v>0</v>
      </c>
      <c r="F1443" s="6">
        <v>0</v>
      </c>
      <c r="G1443" s="6">
        <v>2</v>
      </c>
      <c r="H1443" s="6" t="s">
        <v>3207</v>
      </c>
      <c r="I1443" s="6">
        <v>526.6875</v>
      </c>
      <c r="J1443" s="2">
        <f t="shared" si="22"/>
        <v>43747.546039560184</v>
      </c>
    </row>
    <row r="1444" spans="1:10" x14ac:dyDescent="0.25">
      <c r="A1444" s="7" t="s">
        <v>3208</v>
      </c>
      <c r="B1444" s="8">
        <v>393.75</v>
      </c>
      <c r="C1444" s="8">
        <v>20.584240000000001</v>
      </c>
      <c r="D1444" s="8">
        <v>48</v>
      </c>
      <c r="E1444" s="8">
        <v>0</v>
      </c>
      <c r="F1444" s="8">
        <v>0</v>
      </c>
      <c r="G1444" s="8">
        <v>6</v>
      </c>
      <c r="H1444" s="8" t="s">
        <v>3209</v>
      </c>
      <c r="I1444" s="8">
        <v>526.6875</v>
      </c>
      <c r="J1444" s="3">
        <f t="shared" si="22"/>
        <v>43747.546123009255</v>
      </c>
    </row>
    <row r="1445" spans="1:10" x14ac:dyDescent="0.25">
      <c r="A1445" s="5" t="s">
        <v>3210</v>
      </c>
      <c r="B1445" s="6">
        <v>393.75</v>
      </c>
      <c r="C1445" s="6">
        <v>20.584240000000001</v>
      </c>
      <c r="D1445" s="6">
        <v>48</v>
      </c>
      <c r="E1445" s="6">
        <v>0</v>
      </c>
      <c r="F1445" s="6">
        <v>0</v>
      </c>
      <c r="G1445" s="6">
        <v>4</v>
      </c>
      <c r="H1445" s="6" t="s">
        <v>3211</v>
      </c>
      <c r="I1445" s="6">
        <v>526.6875</v>
      </c>
      <c r="J1445" s="2">
        <f t="shared" si="22"/>
        <v>43747.546206574072</v>
      </c>
    </row>
    <row r="1446" spans="1:10" x14ac:dyDescent="0.25">
      <c r="A1446" s="7" t="s">
        <v>3212</v>
      </c>
      <c r="B1446" s="8">
        <v>393.75</v>
      </c>
      <c r="C1446" s="8">
        <v>20.584240000000001</v>
      </c>
      <c r="D1446" s="8">
        <v>48</v>
      </c>
      <c r="E1446" s="8">
        <v>0</v>
      </c>
      <c r="F1446" s="8">
        <v>0</v>
      </c>
      <c r="G1446" s="8">
        <v>2</v>
      </c>
      <c r="H1446" s="8" t="s">
        <v>3213</v>
      </c>
      <c r="I1446" s="8">
        <v>526.6875</v>
      </c>
      <c r="J1446" s="3">
        <f t="shared" si="22"/>
        <v>43747.546289699072</v>
      </c>
    </row>
    <row r="1447" spans="1:10" x14ac:dyDescent="0.25">
      <c r="A1447" s="5" t="s">
        <v>3214</v>
      </c>
      <c r="B1447" s="6">
        <v>393.75</v>
      </c>
      <c r="C1447" s="6">
        <v>20.584240000000001</v>
      </c>
      <c r="D1447" s="6">
        <v>48</v>
      </c>
      <c r="E1447" s="6">
        <v>0</v>
      </c>
      <c r="F1447" s="6">
        <v>0</v>
      </c>
      <c r="G1447" s="6">
        <v>4</v>
      </c>
      <c r="H1447" s="6" t="s">
        <v>3215</v>
      </c>
      <c r="I1447" s="6">
        <v>526.6875</v>
      </c>
      <c r="J1447" s="2">
        <f t="shared" si="22"/>
        <v>43747.546361550929</v>
      </c>
    </row>
    <row r="1448" spans="1:10" x14ac:dyDescent="0.25">
      <c r="A1448" s="7" t="s">
        <v>3216</v>
      </c>
      <c r="B1448" s="8">
        <v>393.75</v>
      </c>
      <c r="C1448" s="8">
        <v>20.584240000000001</v>
      </c>
      <c r="D1448" s="8">
        <v>48</v>
      </c>
      <c r="E1448" s="8">
        <v>0</v>
      </c>
      <c r="F1448" s="8">
        <v>0</v>
      </c>
      <c r="G1448" s="8">
        <v>4</v>
      </c>
      <c r="H1448" s="8" t="s">
        <v>3217</v>
      </c>
      <c r="I1448" s="8">
        <v>526.6875</v>
      </c>
      <c r="J1448" s="3">
        <f t="shared" si="22"/>
        <v>43747.546445231477</v>
      </c>
    </row>
    <row r="1449" spans="1:10" x14ac:dyDescent="0.25">
      <c r="A1449" s="5" t="s">
        <v>3218</v>
      </c>
      <c r="B1449" s="6">
        <v>393.75</v>
      </c>
      <c r="C1449" s="6">
        <v>20.584240000000001</v>
      </c>
      <c r="D1449" s="6">
        <v>46</v>
      </c>
      <c r="E1449" s="6">
        <v>0</v>
      </c>
      <c r="F1449" s="6">
        <v>0</v>
      </c>
      <c r="G1449" s="6">
        <v>6</v>
      </c>
      <c r="H1449" s="6" t="s">
        <v>3219</v>
      </c>
      <c r="I1449" s="6">
        <v>526.6875</v>
      </c>
      <c r="J1449" s="2">
        <f t="shared" si="22"/>
        <v>43747.546528564817</v>
      </c>
    </row>
    <row r="1450" spans="1:10" x14ac:dyDescent="0.25">
      <c r="A1450" s="7" t="s">
        <v>3220</v>
      </c>
      <c r="B1450" s="8">
        <v>393.75</v>
      </c>
      <c r="C1450" s="8">
        <v>20.531590000000001</v>
      </c>
      <c r="D1450" s="8">
        <v>46</v>
      </c>
      <c r="E1450" s="8">
        <v>0</v>
      </c>
      <c r="F1450" s="8">
        <v>0</v>
      </c>
      <c r="G1450" s="8">
        <v>5</v>
      </c>
      <c r="H1450" s="8" t="s">
        <v>3221</v>
      </c>
      <c r="I1450" s="8">
        <v>526.6875</v>
      </c>
      <c r="J1450" s="3">
        <f t="shared" si="22"/>
        <v>43747.546611886573</v>
      </c>
    </row>
    <row r="1451" spans="1:10" x14ac:dyDescent="0.25">
      <c r="A1451" s="5" t="s">
        <v>3222</v>
      </c>
      <c r="B1451" s="6">
        <v>393.75</v>
      </c>
      <c r="C1451" s="6">
        <v>20.584240000000001</v>
      </c>
      <c r="D1451" s="6">
        <v>45</v>
      </c>
      <c r="E1451" s="6">
        <v>0</v>
      </c>
      <c r="F1451" s="6">
        <v>0</v>
      </c>
      <c r="G1451" s="6">
        <v>9</v>
      </c>
      <c r="H1451" s="6" t="s">
        <v>3223</v>
      </c>
      <c r="I1451" s="6">
        <v>526.5</v>
      </c>
      <c r="J1451" s="2">
        <f t="shared" si="22"/>
        <v>43747.546695462959</v>
      </c>
    </row>
    <row r="1452" spans="1:10" x14ac:dyDescent="0.25">
      <c r="A1452" s="7" t="s">
        <v>3224</v>
      </c>
      <c r="B1452" s="8">
        <v>393.75</v>
      </c>
      <c r="C1452" s="8">
        <v>20.584240000000001</v>
      </c>
      <c r="D1452" s="8">
        <v>46</v>
      </c>
      <c r="E1452" s="8">
        <v>0</v>
      </c>
      <c r="F1452" s="8">
        <v>0</v>
      </c>
      <c r="G1452" s="8">
        <v>9</v>
      </c>
      <c r="H1452" s="8" t="s">
        <v>3225</v>
      </c>
      <c r="I1452" s="8">
        <v>526.6875</v>
      </c>
      <c r="J1452" s="3">
        <f t="shared" si="22"/>
        <v>43747.546778564814</v>
      </c>
    </row>
    <row r="1453" spans="1:10" x14ac:dyDescent="0.25">
      <c r="A1453" s="5" t="s">
        <v>3226</v>
      </c>
      <c r="B1453" s="6">
        <v>393.75</v>
      </c>
      <c r="C1453" s="6">
        <v>20.531590000000001</v>
      </c>
      <c r="D1453" s="6">
        <v>46</v>
      </c>
      <c r="E1453" s="6">
        <v>0</v>
      </c>
      <c r="F1453" s="6">
        <v>0</v>
      </c>
      <c r="G1453" s="6">
        <v>11</v>
      </c>
      <c r="H1453" s="6" t="s">
        <v>3227</v>
      </c>
      <c r="I1453" s="6">
        <v>526.6875</v>
      </c>
      <c r="J1453" s="2">
        <f t="shared" si="22"/>
        <v>43747.546850196755</v>
      </c>
    </row>
    <row r="1454" spans="1:10" x14ac:dyDescent="0.25">
      <c r="A1454" s="7" t="s">
        <v>3228</v>
      </c>
      <c r="B1454" s="8">
        <v>393.75</v>
      </c>
      <c r="C1454" s="8">
        <v>20.584240000000001</v>
      </c>
      <c r="D1454" s="8">
        <v>46</v>
      </c>
      <c r="E1454" s="8">
        <v>0</v>
      </c>
      <c r="F1454" s="8">
        <v>0</v>
      </c>
      <c r="G1454" s="8">
        <v>9</v>
      </c>
      <c r="H1454" s="8" t="s">
        <v>3229</v>
      </c>
      <c r="I1454" s="8">
        <v>526.6875</v>
      </c>
      <c r="J1454" s="3">
        <f t="shared" si="22"/>
        <v>43747.546934120364</v>
      </c>
    </row>
    <row r="1455" spans="1:10" x14ac:dyDescent="0.25">
      <c r="A1455" s="5" t="s">
        <v>3230</v>
      </c>
      <c r="B1455" s="6">
        <v>393.75</v>
      </c>
      <c r="C1455" s="6">
        <v>20.584240000000001</v>
      </c>
      <c r="D1455" s="6">
        <v>46</v>
      </c>
      <c r="E1455" s="6">
        <v>0</v>
      </c>
      <c r="F1455" s="6">
        <v>0</v>
      </c>
      <c r="G1455" s="6">
        <v>4</v>
      </c>
      <c r="H1455" s="6" t="s">
        <v>3231</v>
      </c>
      <c r="I1455" s="6">
        <v>526.6875</v>
      </c>
      <c r="J1455" s="2">
        <f t="shared" si="22"/>
        <v>43747.54701746528</v>
      </c>
    </row>
    <row r="1456" spans="1:10" x14ac:dyDescent="0.25">
      <c r="A1456" s="7" t="s">
        <v>3232</v>
      </c>
      <c r="B1456" s="8">
        <v>393.75</v>
      </c>
      <c r="C1456" s="8">
        <v>20.584240000000001</v>
      </c>
      <c r="D1456" s="8">
        <v>46</v>
      </c>
      <c r="E1456" s="8">
        <v>0</v>
      </c>
      <c r="F1456" s="8">
        <v>0</v>
      </c>
      <c r="G1456" s="8">
        <v>3</v>
      </c>
      <c r="H1456" s="8" t="s">
        <v>3233</v>
      </c>
      <c r="I1456" s="8">
        <v>526.6875</v>
      </c>
      <c r="J1456" s="3">
        <f t="shared" si="22"/>
        <v>43747.547100787029</v>
      </c>
    </row>
    <row r="1457" spans="1:10" x14ac:dyDescent="0.25">
      <c r="A1457" s="5" t="s">
        <v>3234</v>
      </c>
      <c r="B1457" s="6">
        <v>393.75</v>
      </c>
      <c r="C1457" s="6">
        <v>20.584240000000001</v>
      </c>
      <c r="D1457" s="6">
        <v>46</v>
      </c>
      <c r="E1457" s="6">
        <v>0</v>
      </c>
      <c r="F1457" s="6">
        <v>0</v>
      </c>
      <c r="G1457" s="6">
        <v>2</v>
      </c>
      <c r="H1457" s="6" t="s">
        <v>3235</v>
      </c>
      <c r="I1457" s="6">
        <v>526.6875</v>
      </c>
      <c r="J1457" s="2">
        <f t="shared" si="22"/>
        <v>43747.547172418977</v>
      </c>
    </row>
    <row r="1458" spans="1:10" x14ac:dyDescent="0.25">
      <c r="A1458" s="7" t="s">
        <v>3236</v>
      </c>
      <c r="B1458" s="8">
        <v>393.75</v>
      </c>
      <c r="C1458" s="8">
        <v>20.584240000000001</v>
      </c>
      <c r="D1458" s="8">
        <v>45</v>
      </c>
      <c r="E1458" s="8">
        <v>0</v>
      </c>
      <c r="F1458" s="8">
        <v>0</v>
      </c>
      <c r="G1458" s="8">
        <v>3</v>
      </c>
      <c r="H1458" s="8" t="s">
        <v>3237</v>
      </c>
      <c r="I1458" s="8">
        <v>526.6875</v>
      </c>
      <c r="J1458" s="3">
        <f t="shared" si="22"/>
        <v>43747.547255868056</v>
      </c>
    </row>
    <row r="1459" spans="1:10" x14ac:dyDescent="0.25">
      <c r="A1459" s="5" t="s">
        <v>3238</v>
      </c>
      <c r="B1459" s="6">
        <v>393.75</v>
      </c>
      <c r="C1459" s="6">
        <v>20.584240000000001</v>
      </c>
      <c r="D1459" s="6">
        <v>47</v>
      </c>
      <c r="E1459" s="6">
        <v>0</v>
      </c>
      <c r="F1459" s="6">
        <v>0</v>
      </c>
      <c r="G1459" s="6">
        <v>13</v>
      </c>
      <c r="H1459" s="6" t="s">
        <v>3239</v>
      </c>
      <c r="I1459" s="6">
        <v>526.6875</v>
      </c>
      <c r="J1459" s="2">
        <f t="shared" si="22"/>
        <v>43747.547374895832</v>
      </c>
    </row>
    <row r="1460" spans="1:10" x14ac:dyDescent="0.25">
      <c r="A1460" s="7" t="s">
        <v>3240</v>
      </c>
      <c r="B1460" s="8">
        <v>393.75</v>
      </c>
      <c r="C1460" s="8">
        <v>20.584240000000001</v>
      </c>
      <c r="D1460" s="8">
        <v>47</v>
      </c>
      <c r="E1460" s="8">
        <v>0</v>
      </c>
      <c r="F1460" s="8">
        <v>0</v>
      </c>
      <c r="G1460" s="8">
        <v>0</v>
      </c>
      <c r="H1460" s="8" t="s">
        <v>3241</v>
      </c>
      <c r="I1460" s="8">
        <v>526.6875</v>
      </c>
      <c r="J1460" s="3">
        <f t="shared" si="22"/>
        <v>43747.547446516204</v>
      </c>
    </row>
    <row r="1461" spans="1:10" x14ac:dyDescent="0.25">
      <c r="A1461" s="5" t="s">
        <v>3242</v>
      </c>
      <c r="B1461" s="6">
        <v>393.75</v>
      </c>
      <c r="C1461" s="6">
        <v>20.584240000000001</v>
      </c>
      <c r="D1461" s="6">
        <v>48</v>
      </c>
      <c r="E1461" s="6">
        <v>0</v>
      </c>
      <c r="F1461" s="6">
        <v>0</v>
      </c>
      <c r="G1461" s="6">
        <v>11</v>
      </c>
      <c r="H1461" s="6" t="s">
        <v>3243</v>
      </c>
      <c r="I1461" s="6">
        <v>526.6875</v>
      </c>
      <c r="J1461" s="2">
        <f t="shared" si="22"/>
        <v>43747.547530428237</v>
      </c>
    </row>
    <row r="1462" spans="1:10" x14ac:dyDescent="0.25">
      <c r="A1462" s="7" t="s">
        <v>3244</v>
      </c>
      <c r="B1462" s="8">
        <v>393.75</v>
      </c>
      <c r="C1462" s="8">
        <v>20.584240000000001</v>
      </c>
      <c r="D1462" s="8">
        <v>48</v>
      </c>
      <c r="E1462" s="8">
        <v>0</v>
      </c>
      <c r="F1462" s="8">
        <v>0</v>
      </c>
      <c r="G1462" s="8">
        <v>0</v>
      </c>
      <c r="H1462" s="8" t="s">
        <v>3245</v>
      </c>
      <c r="I1462" s="8">
        <v>526.6875</v>
      </c>
      <c r="J1462" s="3">
        <f t="shared" si="22"/>
        <v>43747.547613668976</v>
      </c>
    </row>
    <row r="1463" spans="1:10" x14ac:dyDescent="0.25">
      <c r="A1463" s="5" t="s">
        <v>3246</v>
      </c>
      <c r="B1463" s="6">
        <v>393.75</v>
      </c>
      <c r="C1463" s="6">
        <v>20.531590000000001</v>
      </c>
      <c r="D1463" s="6">
        <v>48</v>
      </c>
      <c r="E1463" s="6">
        <v>0</v>
      </c>
      <c r="F1463" s="6">
        <v>0</v>
      </c>
      <c r="G1463" s="6">
        <v>1</v>
      </c>
      <c r="H1463" s="6" t="s">
        <v>3247</v>
      </c>
      <c r="I1463" s="6">
        <v>526.6875</v>
      </c>
      <c r="J1463" s="2">
        <f t="shared" si="22"/>
        <v>43747.547697094902</v>
      </c>
    </row>
    <row r="1464" spans="1:10" x14ac:dyDescent="0.25">
      <c r="A1464" s="7" t="s">
        <v>3248</v>
      </c>
      <c r="B1464" s="8">
        <v>393.75</v>
      </c>
      <c r="C1464" s="8">
        <v>20.584240000000001</v>
      </c>
      <c r="D1464" s="8">
        <v>47</v>
      </c>
      <c r="E1464" s="8">
        <v>0</v>
      </c>
      <c r="F1464" s="8">
        <v>0</v>
      </c>
      <c r="G1464" s="8">
        <v>4</v>
      </c>
      <c r="H1464" s="8" t="s">
        <v>3249</v>
      </c>
      <c r="I1464" s="8">
        <v>526.6875</v>
      </c>
      <c r="J1464" s="3">
        <f t="shared" si="22"/>
        <v>43747.547780671295</v>
      </c>
    </row>
    <row r="1465" spans="1:10" x14ac:dyDescent="0.25">
      <c r="A1465" s="5" t="s">
        <v>3250</v>
      </c>
      <c r="B1465" s="6">
        <v>393.75</v>
      </c>
      <c r="C1465" s="6">
        <v>20.531590000000001</v>
      </c>
      <c r="D1465" s="6">
        <v>47</v>
      </c>
      <c r="E1465" s="6">
        <v>0</v>
      </c>
      <c r="F1465" s="6">
        <v>0</v>
      </c>
      <c r="G1465" s="6">
        <v>8</v>
      </c>
      <c r="H1465" s="6" t="s">
        <v>3251</v>
      </c>
      <c r="I1465" s="6">
        <v>526.6875</v>
      </c>
      <c r="J1465" s="2">
        <f t="shared" si="22"/>
        <v>43747.54786446759</v>
      </c>
    </row>
    <row r="1466" spans="1:10" x14ac:dyDescent="0.25">
      <c r="A1466" s="7" t="s">
        <v>3252</v>
      </c>
      <c r="B1466" s="8">
        <v>393.75</v>
      </c>
      <c r="C1466" s="8">
        <v>20.531590000000001</v>
      </c>
      <c r="D1466" s="8">
        <v>47</v>
      </c>
      <c r="E1466" s="8">
        <v>0</v>
      </c>
      <c r="F1466" s="8">
        <v>0</v>
      </c>
      <c r="G1466" s="8">
        <v>4</v>
      </c>
      <c r="H1466" s="8" t="s">
        <v>3253</v>
      </c>
      <c r="I1466" s="8">
        <v>526.6875</v>
      </c>
      <c r="J1466" s="3">
        <f t="shared" si="22"/>
        <v>43747.54793552083</v>
      </c>
    </row>
    <row r="1467" spans="1:10" x14ac:dyDescent="0.25">
      <c r="A1467" s="5" t="s">
        <v>3254</v>
      </c>
      <c r="B1467" s="6">
        <v>393.75</v>
      </c>
      <c r="C1467" s="6">
        <v>20.584240000000001</v>
      </c>
      <c r="D1467" s="6">
        <v>46</v>
      </c>
      <c r="E1467" s="6">
        <v>0</v>
      </c>
      <c r="F1467" s="6">
        <v>0</v>
      </c>
      <c r="G1467" s="6">
        <v>3</v>
      </c>
      <c r="H1467" s="6" t="s">
        <v>3255</v>
      </c>
      <c r="I1467" s="6">
        <v>526.6875</v>
      </c>
      <c r="J1467" s="2">
        <f t="shared" si="22"/>
        <v>43747.548018877314</v>
      </c>
    </row>
    <row r="1468" spans="1:10" x14ac:dyDescent="0.25">
      <c r="A1468" s="7" t="s">
        <v>3256</v>
      </c>
      <c r="B1468" s="8">
        <v>393.75</v>
      </c>
      <c r="C1468" s="8">
        <v>20.584240000000001</v>
      </c>
      <c r="D1468" s="8">
        <v>47</v>
      </c>
      <c r="E1468" s="8">
        <v>0</v>
      </c>
      <c r="F1468" s="8">
        <v>0</v>
      </c>
      <c r="G1468" s="8">
        <v>4</v>
      </c>
      <c r="H1468" s="8" t="s">
        <v>3257</v>
      </c>
      <c r="I1468" s="8">
        <v>526.5</v>
      </c>
      <c r="J1468" s="3">
        <f t="shared" si="22"/>
        <v>43747.548102534718</v>
      </c>
    </row>
    <row r="1469" spans="1:10" x14ac:dyDescent="0.25">
      <c r="A1469" s="5" t="s">
        <v>3258</v>
      </c>
      <c r="B1469" s="6">
        <v>393.75</v>
      </c>
      <c r="C1469" s="6">
        <v>20.584240000000001</v>
      </c>
      <c r="D1469" s="6">
        <v>46</v>
      </c>
      <c r="E1469" s="6">
        <v>0</v>
      </c>
      <c r="F1469" s="6">
        <v>0</v>
      </c>
      <c r="G1469" s="6">
        <v>0</v>
      </c>
      <c r="H1469" s="6" t="s">
        <v>3259</v>
      </c>
      <c r="I1469" s="6">
        <v>526.6875</v>
      </c>
      <c r="J1469" s="2">
        <f t="shared" si="22"/>
        <v>43747.548185995365</v>
      </c>
    </row>
    <row r="1470" spans="1:10" x14ac:dyDescent="0.25">
      <c r="A1470" s="7" t="s">
        <v>3260</v>
      </c>
      <c r="B1470" s="8">
        <v>393.75</v>
      </c>
      <c r="C1470" s="8">
        <v>20.584240000000001</v>
      </c>
      <c r="D1470" s="8">
        <v>46</v>
      </c>
      <c r="E1470" s="8">
        <v>0</v>
      </c>
      <c r="F1470" s="8">
        <v>0</v>
      </c>
      <c r="G1470" s="8">
        <v>0</v>
      </c>
      <c r="H1470" s="8" t="s">
        <v>3261</v>
      </c>
      <c r="I1470" s="8">
        <v>526.6875</v>
      </c>
      <c r="J1470" s="3">
        <f t="shared" si="22"/>
        <v>43747.548269548606</v>
      </c>
    </row>
    <row r="1471" spans="1:10" x14ac:dyDescent="0.25">
      <c r="A1471" s="5" t="s">
        <v>3262</v>
      </c>
      <c r="B1471" s="6">
        <v>393.75</v>
      </c>
      <c r="C1471" s="6">
        <v>20.584240000000001</v>
      </c>
      <c r="D1471" s="6">
        <v>45</v>
      </c>
      <c r="E1471" s="6">
        <v>0</v>
      </c>
      <c r="F1471" s="6">
        <v>0</v>
      </c>
      <c r="G1471" s="6">
        <v>0</v>
      </c>
      <c r="H1471" s="6" t="s">
        <v>3263</v>
      </c>
      <c r="I1471" s="6">
        <v>526.6875</v>
      </c>
      <c r="J1471" s="2">
        <f t="shared" si="22"/>
        <v>43747.548352650461</v>
      </c>
    </row>
    <row r="1472" spans="1:10" x14ac:dyDescent="0.25">
      <c r="A1472" s="7" t="s">
        <v>3264</v>
      </c>
      <c r="B1472" s="8">
        <v>393.75</v>
      </c>
      <c r="C1472" s="8">
        <v>20.584240000000001</v>
      </c>
      <c r="D1472" s="8">
        <v>45</v>
      </c>
      <c r="E1472" s="8">
        <v>0</v>
      </c>
      <c r="F1472" s="8">
        <v>0</v>
      </c>
      <c r="G1472" s="8">
        <v>7</v>
      </c>
      <c r="H1472" s="8" t="s">
        <v>3265</v>
      </c>
      <c r="I1472" s="8">
        <v>526.6875</v>
      </c>
      <c r="J1472" s="3">
        <f t="shared" si="22"/>
        <v>43747.548424305554</v>
      </c>
    </row>
    <row r="1473" spans="1:10" x14ac:dyDescent="0.25">
      <c r="A1473" s="5" t="s">
        <v>3266</v>
      </c>
      <c r="B1473" s="6">
        <v>393.75</v>
      </c>
      <c r="C1473" s="6">
        <v>20.584240000000001</v>
      </c>
      <c r="D1473" s="6">
        <v>46</v>
      </c>
      <c r="E1473" s="6">
        <v>0</v>
      </c>
      <c r="F1473" s="6">
        <v>0</v>
      </c>
      <c r="G1473" s="6">
        <v>18</v>
      </c>
      <c r="H1473" s="6" t="s">
        <v>3267</v>
      </c>
      <c r="I1473" s="6">
        <v>526.5</v>
      </c>
      <c r="J1473" s="2">
        <f t="shared" si="22"/>
        <v>43747.548508217595</v>
      </c>
    </row>
    <row r="1474" spans="1:10" x14ac:dyDescent="0.25">
      <c r="A1474" s="7" t="s">
        <v>3268</v>
      </c>
      <c r="B1474" s="8">
        <v>393.75</v>
      </c>
      <c r="C1474" s="8">
        <v>20.531590000000001</v>
      </c>
      <c r="D1474" s="8">
        <v>44</v>
      </c>
      <c r="E1474" s="8">
        <v>0</v>
      </c>
      <c r="F1474" s="8">
        <v>0</v>
      </c>
      <c r="G1474" s="8">
        <v>13</v>
      </c>
      <c r="H1474" s="8" t="s">
        <v>3269</v>
      </c>
      <c r="I1474" s="8">
        <v>526.6875</v>
      </c>
      <c r="J1474" s="3">
        <f t="shared" ref="J1474:J1537" si="23">(H1474/86400000)+25569+(7/24)</f>
        <v>43747.548591446757</v>
      </c>
    </row>
    <row r="1475" spans="1:10" x14ac:dyDescent="0.25">
      <c r="A1475" s="5" t="s">
        <v>3270</v>
      </c>
      <c r="B1475" s="6">
        <v>393.75</v>
      </c>
      <c r="C1475" s="6">
        <v>20.584240000000001</v>
      </c>
      <c r="D1475" s="6">
        <v>44</v>
      </c>
      <c r="E1475" s="6">
        <v>0</v>
      </c>
      <c r="F1475" s="6">
        <v>0</v>
      </c>
      <c r="G1475" s="6">
        <v>7</v>
      </c>
      <c r="H1475" s="6" t="s">
        <v>3271</v>
      </c>
      <c r="I1475" s="6">
        <v>526.6875</v>
      </c>
      <c r="J1475" s="2">
        <f t="shared" si="23"/>
        <v>43747.548674872683</v>
      </c>
    </row>
    <row r="1476" spans="1:10" x14ac:dyDescent="0.25">
      <c r="A1476" s="7" t="s">
        <v>3272</v>
      </c>
      <c r="B1476" s="8">
        <v>393.75</v>
      </c>
      <c r="C1476" s="8">
        <v>20.584240000000001</v>
      </c>
      <c r="D1476" s="8">
        <v>44</v>
      </c>
      <c r="E1476" s="8">
        <v>0</v>
      </c>
      <c r="F1476" s="8">
        <v>0</v>
      </c>
      <c r="G1476" s="8">
        <v>0</v>
      </c>
      <c r="H1476" s="8" t="s">
        <v>3273</v>
      </c>
      <c r="I1476" s="8">
        <v>526.6875</v>
      </c>
      <c r="J1476" s="3">
        <f t="shared" si="23"/>
        <v>43747.548758321755</v>
      </c>
    </row>
    <row r="1477" spans="1:10" x14ac:dyDescent="0.25">
      <c r="A1477" s="5" t="s">
        <v>3274</v>
      </c>
      <c r="B1477" s="6">
        <v>393.75</v>
      </c>
      <c r="C1477" s="6">
        <v>20.584240000000001</v>
      </c>
      <c r="D1477" s="6">
        <v>44</v>
      </c>
      <c r="E1477" s="6">
        <v>0</v>
      </c>
      <c r="F1477" s="6">
        <v>0</v>
      </c>
      <c r="G1477" s="6">
        <v>0</v>
      </c>
      <c r="H1477" s="6" t="s">
        <v>3275</v>
      </c>
      <c r="I1477" s="6">
        <v>526.6875</v>
      </c>
      <c r="J1477" s="2">
        <f t="shared" si="23"/>
        <v>43747.548841562493</v>
      </c>
    </row>
    <row r="1478" spans="1:10" x14ac:dyDescent="0.25">
      <c r="A1478" s="7" t="s">
        <v>3276</v>
      </c>
      <c r="B1478" s="8">
        <v>412.5</v>
      </c>
      <c r="C1478" s="8">
        <v>20.531590000000001</v>
      </c>
      <c r="D1478" s="8">
        <v>44</v>
      </c>
      <c r="E1478" s="8">
        <v>0</v>
      </c>
      <c r="F1478" s="8">
        <v>0</v>
      </c>
      <c r="G1478" s="8">
        <v>15</v>
      </c>
      <c r="H1478" s="8" t="s">
        <v>3277</v>
      </c>
      <c r="I1478" s="8">
        <v>532.6875</v>
      </c>
      <c r="J1478" s="3">
        <f t="shared" si="23"/>
        <v>43747.548913310187</v>
      </c>
    </row>
    <row r="1479" spans="1:10" x14ac:dyDescent="0.25">
      <c r="A1479" s="5" t="s">
        <v>3278</v>
      </c>
      <c r="B1479" s="6">
        <v>393.75</v>
      </c>
      <c r="C1479" s="6">
        <v>20.584240000000001</v>
      </c>
      <c r="D1479" s="6">
        <v>44</v>
      </c>
      <c r="E1479" s="6">
        <v>0</v>
      </c>
      <c r="F1479" s="6">
        <v>0</v>
      </c>
      <c r="G1479" s="6">
        <v>8</v>
      </c>
      <c r="H1479" s="6" t="s">
        <v>3279</v>
      </c>
      <c r="I1479" s="6">
        <v>526.6875</v>
      </c>
      <c r="J1479" s="2">
        <f t="shared" si="23"/>
        <v>43747.548984965273</v>
      </c>
    </row>
    <row r="1480" spans="1:10" x14ac:dyDescent="0.25">
      <c r="A1480" s="7" t="s">
        <v>3280</v>
      </c>
      <c r="B1480" s="8">
        <v>393.75</v>
      </c>
      <c r="C1480" s="8">
        <v>20.584240000000001</v>
      </c>
      <c r="D1480" s="8">
        <v>51</v>
      </c>
      <c r="E1480" s="8">
        <v>0</v>
      </c>
      <c r="F1480" s="8">
        <v>0</v>
      </c>
      <c r="G1480" s="8">
        <v>5</v>
      </c>
      <c r="H1480" s="8" t="s">
        <v>3281</v>
      </c>
      <c r="I1480" s="8">
        <v>526.6875</v>
      </c>
      <c r="J1480" s="3">
        <f t="shared" si="23"/>
        <v>43747.549068518514</v>
      </c>
    </row>
    <row r="1481" spans="1:10" x14ac:dyDescent="0.25">
      <c r="A1481" s="5" t="s">
        <v>3282</v>
      </c>
      <c r="B1481" s="6">
        <v>393.75</v>
      </c>
      <c r="C1481" s="6">
        <v>20.584240000000001</v>
      </c>
      <c r="D1481" s="6">
        <v>49</v>
      </c>
      <c r="E1481" s="6">
        <v>0</v>
      </c>
      <c r="F1481" s="6">
        <v>0</v>
      </c>
      <c r="G1481" s="6">
        <v>5</v>
      </c>
      <c r="H1481" s="6" t="s">
        <v>3283</v>
      </c>
      <c r="I1481" s="6">
        <v>526.6875</v>
      </c>
      <c r="J1481" s="2">
        <f t="shared" si="23"/>
        <v>43747.549139942123</v>
      </c>
    </row>
    <row r="1482" spans="1:10" x14ac:dyDescent="0.25">
      <c r="A1482" s="7" t="s">
        <v>3284</v>
      </c>
      <c r="B1482" s="8">
        <v>393.75</v>
      </c>
      <c r="C1482" s="8">
        <v>20.584240000000001</v>
      </c>
      <c r="D1482" s="8">
        <v>48</v>
      </c>
      <c r="E1482" s="8">
        <v>0</v>
      </c>
      <c r="F1482" s="8">
        <v>0</v>
      </c>
      <c r="G1482" s="8">
        <v>7</v>
      </c>
      <c r="H1482" s="8" t="s">
        <v>3285</v>
      </c>
      <c r="I1482" s="8">
        <v>526.6875</v>
      </c>
      <c r="J1482" s="3">
        <f t="shared" si="23"/>
        <v>43747.549223159724</v>
      </c>
    </row>
    <row r="1483" spans="1:10" x14ac:dyDescent="0.25">
      <c r="A1483" s="5" t="s">
        <v>3286</v>
      </c>
      <c r="B1483" s="6">
        <v>393.75</v>
      </c>
      <c r="C1483" s="6">
        <v>20.531590000000001</v>
      </c>
      <c r="D1483" s="6">
        <v>48</v>
      </c>
      <c r="E1483" s="6">
        <v>0</v>
      </c>
      <c r="F1483" s="6">
        <v>0</v>
      </c>
      <c r="G1483" s="6">
        <v>14</v>
      </c>
      <c r="H1483" s="6" t="s">
        <v>3287</v>
      </c>
      <c r="I1483" s="6">
        <v>526.6875</v>
      </c>
      <c r="J1483" s="2">
        <f t="shared" si="23"/>
        <v>43747.549294803241</v>
      </c>
    </row>
    <row r="1484" spans="1:10" x14ac:dyDescent="0.25">
      <c r="A1484" s="7" t="s">
        <v>3288</v>
      </c>
      <c r="B1484" s="8">
        <v>412.5</v>
      </c>
      <c r="C1484" s="8">
        <v>20.531590000000001</v>
      </c>
      <c r="D1484" s="8">
        <v>46</v>
      </c>
      <c r="E1484" s="8">
        <v>0</v>
      </c>
      <c r="F1484" s="8">
        <v>0</v>
      </c>
      <c r="G1484" s="8">
        <v>8</v>
      </c>
      <c r="H1484" s="8" t="s">
        <v>3289</v>
      </c>
      <c r="I1484" s="8">
        <v>532.3125</v>
      </c>
      <c r="J1484" s="3">
        <f t="shared" si="23"/>
        <v>43747.549390497683</v>
      </c>
    </row>
    <row r="1485" spans="1:10" x14ac:dyDescent="0.25">
      <c r="A1485" s="5" t="s">
        <v>3290</v>
      </c>
      <c r="B1485" s="6">
        <v>393.75</v>
      </c>
      <c r="C1485" s="6">
        <v>20.584240000000001</v>
      </c>
      <c r="D1485" s="6">
        <v>46</v>
      </c>
      <c r="E1485" s="6">
        <v>0</v>
      </c>
      <c r="F1485" s="6">
        <v>0</v>
      </c>
      <c r="G1485" s="6">
        <v>3</v>
      </c>
      <c r="H1485" s="6" t="s">
        <v>3291</v>
      </c>
      <c r="I1485" s="6">
        <v>526.6875</v>
      </c>
      <c r="J1485" s="2">
        <f t="shared" si="23"/>
        <v>43747.549461932867</v>
      </c>
    </row>
    <row r="1486" spans="1:10" x14ac:dyDescent="0.25">
      <c r="A1486" s="7" t="s">
        <v>3292</v>
      </c>
      <c r="B1486" s="8">
        <v>393.75</v>
      </c>
      <c r="C1486" s="8">
        <v>20.584240000000001</v>
      </c>
      <c r="D1486" s="8">
        <v>46</v>
      </c>
      <c r="E1486" s="8">
        <v>0</v>
      </c>
      <c r="F1486" s="8">
        <v>0</v>
      </c>
      <c r="G1486" s="8">
        <v>1</v>
      </c>
      <c r="H1486" s="8" t="s">
        <v>3293</v>
      </c>
      <c r="I1486" s="8">
        <v>526.6875</v>
      </c>
      <c r="J1486" s="3">
        <f t="shared" si="23"/>
        <v>43747.549545254624</v>
      </c>
    </row>
    <row r="1487" spans="1:10" x14ac:dyDescent="0.25">
      <c r="A1487" s="5" t="s">
        <v>3294</v>
      </c>
      <c r="B1487" s="6">
        <v>393.75</v>
      </c>
      <c r="C1487" s="6">
        <v>20.584240000000001</v>
      </c>
      <c r="D1487" s="6">
        <v>49</v>
      </c>
      <c r="E1487" s="6">
        <v>0</v>
      </c>
      <c r="F1487" s="6">
        <v>0</v>
      </c>
      <c r="G1487" s="6">
        <v>6</v>
      </c>
      <c r="H1487" s="6" t="s">
        <v>3295</v>
      </c>
      <c r="I1487" s="6">
        <v>526.6875</v>
      </c>
      <c r="J1487" s="2">
        <f t="shared" si="23"/>
        <v>43747.549628807865</v>
      </c>
    </row>
    <row r="1488" spans="1:10" x14ac:dyDescent="0.25">
      <c r="A1488" s="7" t="s">
        <v>3296</v>
      </c>
      <c r="B1488" s="8">
        <v>393.75</v>
      </c>
      <c r="C1488" s="8">
        <v>20.584240000000001</v>
      </c>
      <c r="D1488" s="8">
        <v>49</v>
      </c>
      <c r="E1488" s="8">
        <v>0</v>
      </c>
      <c r="F1488" s="8">
        <v>0</v>
      </c>
      <c r="G1488" s="8">
        <v>11</v>
      </c>
      <c r="H1488" s="8" t="s">
        <v>3297</v>
      </c>
      <c r="I1488" s="8">
        <v>526.6875</v>
      </c>
      <c r="J1488" s="3">
        <f t="shared" si="23"/>
        <v>43747.549712037035</v>
      </c>
    </row>
    <row r="1489" spans="1:10" x14ac:dyDescent="0.25">
      <c r="A1489" s="5" t="s">
        <v>3298</v>
      </c>
      <c r="B1489" s="6">
        <v>437.5</v>
      </c>
      <c r="C1489" s="6">
        <v>20.584240000000001</v>
      </c>
      <c r="D1489" s="6">
        <v>49</v>
      </c>
      <c r="E1489" s="6">
        <v>0</v>
      </c>
      <c r="F1489" s="6">
        <v>0</v>
      </c>
      <c r="G1489" s="6">
        <v>3</v>
      </c>
      <c r="H1489" s="6" t="s">
        <v>3299</v>
      </c>
      <c r="I1489" s="6">
        <v>540.75</v>
      </c>
      <c r="J1489" s="2">
        <f t="shared" si="23"/>
        <v>43747.549783564813</v>
      </c>
    </row>
    <row r="1490" spans="1:10" x14ac:dyDescent="0.25">
      <c r="A1490" s="7" t="s">
        <v>3300</v>
      </c>
      <c r="B1490" s="8">
        <v>393.75</v>
      </c>
      <c r="C1490" s="8">
        <v>20.584240000000001</v>
      </c>
      <c r="D1490" s="8">
        <v>48</v>
      </c>
      <c r="E1490" s="8">
        <v>0</v>
      </c>
      <c r="F1490" s="8">
        <v>0</v>
      </c>
      <c r="G1490" s="8">
        <v>3</v>
      </c>
      <c r="H1490" s="8" t="s">
        <v>3301</v>
      </c>
      <c r="I1490" s="8">
        <v>526.6875</v>
      </c>
      <c r="J1490" s="3">
        <f t="shared" si="23"/>
        <v>43747.549867581016</v>
      </c>
    </row>
    <row r="1491" spans="1:10" x14ac:dyDescent="0.25">
      <c r="A1491" s="5" t="s">
        <v>3302</v>
      </c>
      <c r="B1491" s="6">
        <v>393.75</v>
      </c>
      <c r="C1491" s="6">
        <v>20.584240000000001</v>
      </c>
      <c r="D1491" s="6">
        <v>48</v>
      </c>
      <c r="E1491" s="6">
        <v>0</v>
      </c>
      <c r="F1491" s="6">
        <v>0</v>
      </c>
      <c r="G1491" s="6">
        <v>2</v>
      </c>
      <c r="H1491" s="6" t="s">
        <v>3303</v>
      </c>
      <c r="I1491" s="6">
        <v>526.5</v>
      </c>
      <c r="J1491" s="2">
        <f t="shared" si="23"/>
        <v>43747.549938888886</v>
      </c>
    </row>
    <row r="1492" spans="1:10" x14ac:dyDescent="0.25">
      <c r="A1492" s="7" t="s">
        <v>3304</v>
      </c>
      <c r="B1492" s="8">
        <v>393.75</v>
      </c>
      <c r="C1492" s="8">
        <v>20.584240000000001</v>
      </c>
      <c r="D1492" s="8">
        <v>48</v>
      </c>
      <c r="E1492" s="8">
        <v>0</v>
      </c>
      <c r="F1492" s="8">
        <v>0</v>
      </c>
      <c r="G1492" s="8">
        <v>1</v>
      </c>
      <c r="H1492" s="8" t="s">
        <v>3305</v>
      </c>
      <c r="I1492" s="8">
        <v>526.6875</v>
      </c>
      <c r="J1492" s="3">
        <f t="shared" si="23"/>
        <v>43747.550036875</v>
      </c>
    </row>
    <row r="1493" spans="1:10" x14ac:dyDescent="0.25">
      <c r="A1493" s="5" t="s">
        <v>3306</v>
      </c>
      <c r="B1493" s="6">
        <v>393.75</v>
      </c>
      <c r="C1493" s="6">
        <v>20.584240000000001</v>
      </c>
      <c r="D1493" s="6">
        <v>48</v>
      </c>
      <c r="E1493" s="6">
        <v>0</v>
      </c>
      <c r="F1493" s="6">
        <v>0</v>
      </c>
      <c r="G1493" s="6">
        <v>1</v>
      </c>
      <c r="H1493" s="6" t="s">
        <v>3307</v>
      </c>
      <c r="I1493" s="6">
        <v>526.6875</v>
      </c>
      <c r="J1493" s="2">
        <f t="shared" si="23"/>
        <v>43747.550117696759</v>
      </c>
    </row>
    <row r="1494" spans="1:10" x14ac:dyDescent="0.25">
      <c r="A1494" s="7" t="s">
        <v>3308</v>
      </c>
      <c r="B1494" s="8">
        <v>431.25</v>
      </c>
      <c r="C1494" s="8">
        <v>20.584240000000001</v>
      </c>
      <c r="D1494" s="8">
        <v>49</v>
      </c>
      <c r="E1494" s="8">
        <v>0</v>
      </c>
      <c r="F1494" s="8">
        <v>0</v>
      </c>
      <c r="G1494" s="8">
        <v>3</v>
      </c>
      <c r="H1494" s="8" t="s">
        <v>3309</v>
      </c>
      <c r="I1494" s="8">
        <v>538.875</v>
      </c>
      <c r="J1494" s="3">
        <f t="shared" si="23"/>
        <v>43747.550200798607</v>
      </c>
    </row>
    <row r="1495" spans="1:10" x14ac:dyDescent="0.25">
      <c r="A1495" s="5" t="s">
        <v>3310</v>
      </c>
      <c r="B1495" s="6">
        <v>393.75</v>
      </c>
      <c r="C1495" s="6">
        <v>20.584240000000001</v>
      </c>
      <c r="D1495" s="6">
        <v>49</v>
      </c>
      <c r="E1495" s="6">
        <v>0</v>
      </c>
      <c r="F1495" s="6">
        <v>0</v>
      </c>
      <c r="G1495" s="6">
        <v>13</v>
      </c>
      <c r="H1495" s="6" t="s">
        <v>3311</v>
      </c>
      <c r="I1495" s="6">
        <v>526.6875</v>
      </c>
      <c r="J1495" s="2">
        <f t="shared" si="23"/>
        <v>43747.550272546294</v>
      </c>
    </row>
    <row r="1496" spans="1:10" x14ac:dyDescent="0.25">
      <c r="A1496" s="7" t="s">
        <v>3312</v>
      </c>
      <c r="B1496" s="8">
        <v>393.75</v>
      </c>
      <c r="C1496" s="8">
        <v>20.584240000000001</v>
      </c>
      <c r="D1496" s="8">
        <v>48</v>
      </c>
      <c r="E1496" s="8">
        <v>0</v>
      </c>
      <c r="F1496" s="8">
        <v>0</v>
      </c>
      <c r="G1496" s="8">
        <v>21</v>
      </c>
      <c r="H1496" s="8" t="s">
        <v>3313</v>
      </c>
      <c r="I1496" s="8">
        <v>526.6875</v>
      </c>
      <c r="J1496" s="3">
        <f t="shared" si="23"/>
        <v>43747.550356365733</v>
      </c>
    </row>
    <row r="1497" spans="1:10" x14ac:dyDescent="0.25">
      <c r="A1497" s="5" t="s">
        <v>3314</v>
      </c>
      <c r="B1497" s="6">
        <v>412.5</v>
      </c>
      <c r="C1497" s="6">
        <v>20.584240000000001</v>
      </c>
      <c r="D1497" s="6">
        <v>48</v>
      </c>
      <c r="E1497" s="6">
        <v>0</v>
      </c>
      <c r="F1497" s="6">
        <v>0</v>
      </c>
      <c r="G1497" s="6">
        <v>6</v>
      </c>
      <c r="H1497" s="6" t="s">
        <v>3315</v>
      </c>
      <c r="I1497" s="6">
        <v>532.3125</v>
      </c>
      <c r="J1497" s="2">
        <f t="shared" si="23"/>
        <v>43747.550439699073</v>
      </c>
    </row>
    <row r="1498" spans="1:10" x14ac:dyDescent="0.25">
      <c r="A1498" s="7" t="s">
        <v>3316</v>
      </c>
      <c r="B1498" s="8">
        <v>393.75</v>
      </c>
      <c r="C1498" s="8">
        <v>20.584240000000001</v>
      </c>
      <c r="D1498" s="8">
        <v>44</v>
      </c>
      <c r="E1498" s="8">
        <v>0</v>
      </c>
      <c r="F1498" s="8">
        <v>0</v>
      </c>
      <c r="G1498" s="8">
        <v>15</v>
      </c>
      <c r="H1498" s="8" t="s">
        <v>3317</v>
      </c>
      <c r="I1498" s="8">
        <v>526.6875</v>
      </c>
      <c r="J1498" s="3">
        <f t="shared" si="23"/>
        <v>43747.550523043981</v>
      </c>
    </row>
    <row r="1499" spans="1:10" x14ac:dyDescent="0.25">
      <c r="A1499" s="5" t="s">
        <v>3318</v>
      </c>
      <c r="B1499" s="6">
        <v>393.75</v>
      </c>
      <c r="C1499" s="6">
        <v>20.584240000000001</v>
      </c>
      <c r="D1499" s="6">
        <v>48</v>
      </c>
      <c r="E1499" s="6">
        <v>0</v>
      </c>
      <c r="F1499" s="6">
        <v>0</v>
      </c>
      <c r="G1499" s="6">
        <v>13</v>
      </c>
      <c r="H1499" s="6" t="s">
        <v>3319</v>
      </c>
      <c r="I1499" s="6">
        <v>526.6875</v>
      </c>
      <c r="J1499" s="2">
        <f t="shared" si="23"/>
        <v>43747.55060657407</v>
      </c>
    </row>
    <row r="1500" spans="1:10" x14ac:dyDescent="0.25">
      <c r="A1500" s="7" t="s">
        <v>3320</v>
      </c>
      <c r="B1500" s="8">
        <v>393.75</v>
      </c>
      <c r="C1500" s="8">
        <v>20.584240000000001</v>
      </c>
      <c r="D1500" s="8">
        <v>48</v>
      </c>
      <c r="E1500" s="8">
        <v>0</v>
      </c>
      <c r="F1500" s="8">
        <v>0</v>
      </c>
      <c r="G1500" s="8">
        <v>4</v>
      </c>
      <c r="H1500" s="8" t="s">
        <v>3321</v>
      </c>
      <c r="I1500" s="8">
        <v>526.5</v>
      </c>
      <c r="J1500" s="3">
        <f t="shared" si="23"/>
        <v>43747.55068969907</v>
      </c>
    </row>
    <row r="1501" spans="1:10" x14ac:dyDescent="0.25">
      <c r="A1501" s="5" t="s">
        <v>3322</v>
      </c>
      <c r="B1501" s="6">
        <v>393.75</v>
      </c>
      <c r="C1501" s="6">
        <v>20.584240000000001</v>
      </c>
      <c r="D1501" s="6">
        <v>48</v>
      </c>
      <c r="E1501" s="6">
        <v>0</v>
      </c>
      <c r="F1501" s="6">
        <v>0</v>
      </c>
      <c r="G1501" s="6">
        <v>8</v>
      </c>
      <c r="H1501" s="6" t="s">
        <v>3323</v>
      </c>
      <c r="I1501" s="6">
        <v>526.5</v>
      </c>
      <c r="J1501" s="2">
        <f t="shared" si="23"/>
        <v>43747.550761331011</v>
      </c>
    </row>
    <row r="1502" spans="1:10" x14ac:dyDescent="0.25">
      <c r="A1502" s="7" t="s">
        <v>3324</v>
      </c>
      <c r="B1502" s="8">
        <v>412.5</v>
      </c>
      <c r="C1502" s="8">
        <v>20.584240000000001</v>
      </c>
      <c r="D1502" s="8">
        <v>49</v>
      </c>
      <c r="E1502" s="8">
        <v>0</v>
      </c>
      <c r="F1502" s="8">
        <v>0</v>
      </c>
      <c r="G1502" s="8">
        <v>6</v>
      </c>
      <c r="H1502" s="8" t="s">
        <v>3325</v>
      </c>
      <c r="I1502" s="8">
        <v>532.125</v>
      </c>
      <c r="J1502" s="3">
        <f t="shared" si="23"/>
        <v>43747.550845254627</v>
      </c>
    </row>
    <row r="1503" spans="1:10" x14ac:dyDescent="0.25">
      <c r="A1503" s="5" t="s">
        <v>3326</v>
      </c>
      <c r="B1503" s="6">
        <v>393.75</v>
      </c>
      <c r="C1503" s="6">
        <v>20.584240000000001</v>
      </c>
      <c r="D1503" s="6">
        <v>49</v>
      </c>
      <c r="E1503" s="6">
        <v>0</v>
      </c>
      <c r="F1503" s="6">
        <v>0</v>
      </c>
      <c r="G1503" s="6">
        <v>12</v>
      </c>
      <c r="H1503" s="6" t="s">
        <v>3327</v>
      </c>
      <c r="I1503" s="6">
        <v>526.6875</v>
      </c>
      <c r="J1503" s="2">
        <f t="shared" si="23"/>
        <v>43747.550928576391</v>
      </c>
    </row>
    <row r="1504" spans="1:10" x14ac:dyDescent="0.25">
      <c r="A1504" s="7" t="s">
        <v>3328</v>
      </c>
      <c r="B1504" s="8">
        <v>393.75</v>
      </c>
      <c r="C1504" s="8">
        <v>20.584240000000001</v>
      </c>
      <c r="D1504" s="8">
        <v>47</v>
      </c>
      <c r="E1504" s="8">
        <v>0</v>
      </c>
      <c r="F1504" s="8">
        <v>0</v>
      </c>
      <c r="G1504" s="8">
        <v>7</v>
      </c>
      <c r="H1504" s="8" t="s">
        <v>3329</v>
      </c>
      <c r="I1504" s="8">
        <v>526.6875</v>
      </c>
      <c r="J1504" s="3">
        <f t="shared" si="23"/>
        <v>43747.551011909723</v>
      </c>
    </row>
    <row r="1505" spans="1:10" x14ac:dyDescent="0.25">
      <c r="A1505" s="5" t="s">
        <v>3330</v>
      </c>
      <c r="B1505" s="6">
        <v>393.75</v>
      </c>
      <c r="C1505" s="6">
        <v>20.584240000000001</v>
      </c>
      <c r="D1505" s="6">
        <v>47</v>
      </c>
      <c r="E1505" s="6">
        <v>0</v>
      </c>
      <c r="F1505" s="6">
        <v>0</v>
      </c>
      <c r="G1505" s="6">
        <v>5</v>
      </c>
      <c r="H1505" s="6" t="s">
        <v>3331</v>
      </c>
      <c r="I1505" s="6">
        <v>526.6875</v>
      </c>
      <c r="J1505" s="2">
        <f t="shared" si="23"/>
        <v>43747.551100567129</v>
      </c>
    </row>
    <row r="1506" spans="1:10" x14ac:dyDescent="0.25">
      <c r="A1506" s="7" t="s">
        <v>3332</v>
      </c>
      <c r="B1506" s="8">
        <v>393.75</v>
      </c>
      <c r="C1506" s="8">
        <v>20.584240000000001</v>
      </c>
      <c r="D1506" s="8">
        <v>48</v>
      </c>
      <c r="E1506" s="8">
        <v>0</v>
      </c>
      <c r="F1506" s="8">
        <v>0</v>
      </c>
      <c r="G1506" s="8">
        <v>15</v>
      </c>
      <c r="H1506" s="8" t="s">
        <v>3333</v>
      </c>
      <c r="I1506" s="8">
        <v>526.5</v>
      </c>
      <c r="J1506" s="3">
        <f t="shared" si="23"/>
        <v>43747.551178587957</v>
      </c>
    </row>
    <row r="1507" spans="1:10" x14ac:dyDescent="0.25">
      <c r="A1507" s="5" t="s">
        <v>3334</v>
      </c>
      <c r="B1507" s="6">
        <v>393.75</v>
      </c>
      <c r="C1507" s="6">
        <v>20.584240000000001</v>
      </c>
      <c r="D1507" s="6">
        <v>48</v>
      </c>
      <c r="E1507" s="6">
        <v>0</v>
      </c>
      <c r="F1507" s="6">
        <v>0</v>
      </c>
      <c r="G1507" s="6">
        <v>10</v>
      </c>
      <c r="H1507" s="6" t="s">
        <v>3335</v>
      </c>
      <c r="I1507" s="6">
        <v>526.6875</v>
      </c>
      <c r="J1507" s="2">
        <f t="shared" si="23"/>
        <v>43747.551249895834</v>
      </c>
    </row>
    <row r="1508" spans="1:10" x14ac:dyDescent="0.25">
      <c r="A1508" s="7" t="s">
        <v>3336</v>
      </c>
      <c r="B1508" s="8">
        <v>393.75</v>
      </c>
      <c r="C1508" s="8">
        <v>20.584240000000001</v>
      </c>
      <c r="D1508" s="8">
        <v>48</v>
      </c>
      <c r="E1508" s="8">
        <v>0</v>
      </c>
      <c r="F1508" s="8">
        <v>0</v>
      </c>
      <c r="G1508" s="8">
        <v>11</v>
      </c>
      <c r="H1508" s="8" t="s">
        <v>3337</v>
      </c>
      <c r="I1508" s="8">
        <v>526.6875</v>
      </c>
      <c r="J1508" s="3">
        <f t="shared" si="23"/>
        <v>43747.5513220949</v>
      </c>
    </row>
    <row r="1509" spans="1:10" x14ac:dyDescent="0.25">
      <c r="A1509" s="5" t="s">
        <v>3338</v>
      </c>
      <c r="B1509" s="6">
        <v>393.75</v>
      </c>
      <c r="C1509" s="6">
        <v>20.531590000000001</v>
      </c>
      <c r="D1509" s="6">
        <v>48</v>
      </c>
      <c r="E1509" s="6">
        <v>0</v>
      </c>
      <c r="F1509" s="6">
        <v>0</v>
      </c>
      <c r="G1509" s="6">
        <v>6</v>
      </c>
      <c r="H1509" s="6" t="s">
        <v>3339</v>
      </c>
      <c r="I1509" s="6">
        <v>526.6875</v>
      </c>
      <c r="J1509" s="2">
        <f t="shared" si="23"/>
        <v>43747.55140546296</v>
      </c>
    </row>
    <row r="1510" spans="1:10" x14ac:dyDescent="0.25">
      <c r="A1510" s="7" t="s">
        <v>3340</v>
      </c>
      <c r="B1510" s="8">
        <v>412.5</v>
      </c>
      <c r="C1510" s="8">
        <v>20.584240000000001</v>
      </c>
      <c r="D1510" s="8">
        <v>48</v>
      </c>
      <c r="E1510" s="8">
        <v>0</v>
      </c>
      <c r="F1510" s="8">
        <v>0</v>
      </c>
      <c r="G1510" s="8">
        <v>8</v>
      </c>
      <c r="H1510" s="8" t="s">
        <v>3341</v>
      </c>
      <c r="I1510" s="8">
        <v>532.3125</v>
      </c>
      <c r="J1510" s="3">
        <f t="shared" si="23"/>
        <v>43747.55147706018</v>
      </c>
    </row>
    <row r="1511" spans="1:10" x14ac:dyDescent="0.25">
      <c r="A1511" s="5" t="s">
        <v>3342</v>
      </c>
      <c r="B1511" s="6">
        <v>393.75</v>
      </c>
      <c r="C1511" s="6">
        <v>20.584240000000001</v>
      </c>
      <c r="D1511" s="6">
        <v>47</v>
      </c>
      <c r="E1511" s="6">
        <v>0</v>
      </c>
      <c r="F1511" s="6">
        <v>0</v>
      </c>
      <c r="G1511" s="6">
        <v>13</v>
      </c>
      <c r="H1511" s="6" t="s">
        <v>3343</v>
      </c>
      <c r="I1511" s="6">
        <v>526.6875</v>
      </c>
      <c r="J1511" s="2">
        <f t="shared" si="23"/>
        <v>43747.551560173604</v>
      </c>
    </row>
    <row r="1512" spans="1:10" x14ac:dyDescent="0.25">
      <c r="A1512" s="7" t="s">
        <v>3344</v>
      </c>
      <c r="B1512" s="8">
        <v>393.75</v>
      </c>
      <c r="C1512" s="8">
        <v>20.584240000000001</v>
      </c>
      <c r="D1512" s="8">
        <v>47</v>
      </c>
      <c r="E1512" s="8">
        <v>0</v>
      </c>
      <c r="F1512" s="8">
        <v>0</v>
      </c>
      <c r="G1512" s="8">
        <v>10</v>
      </c>
      <c r="H1512" s="8" t="s">
        <v>3345</v>
      </c>
      <c r="I1512" s="8">
        <v>526.6875</v>
      </c>
      <c r="J1512" s="3">
        <f t="shared" si="23"/>
        <v>43747.551632199073</v>
      </c>
    </row>
    <row r="1513" spans="1:10" x14ac:dyDescent="0.25">
      <c r="A1513" s="5" t="s">
        <v>3346</v>
      </c>
      <c r="B1513" s="6">
        <v>412.5</v>
      </c>
      <c r="C1513" s="6">
        <v>20.584240000000001</v>
      </c>
      <c r="D1513" s="6">
        <v>46</v>
      </c>
      <c r="E1513" s="6">
        <v>0</v>
      </c>
      <c r="F1513" s="6">
        <v>0</v>
      </c>
      <c r="G1513" s="6">
        <v>8</v>
      </c>
      <c r="H1513" s="6" t="s">
        <v>3347</v>
      </c>
      <c r="I1513" s="6">
        <v>532.3125</v>
      </c>
      <c r="J1513" s="2">
        <f t="shared" si="23"/>
        <v>43747.551715729169</v>
      </c>
    </row>
    <row r="1514" spans="1:10" x14ac:dyDescent="0.25">
      <c r="A1514" s="7" t="s">
        <v>3348</v>
      </c>
      <c r="B1514" s="8">
        <v>393.75</v>
      </c>
      <c r="C1514" s="8">
        <v>20.584240000000001</v>
      </c>
      <c r="D1514" s="8">
        <v>47</v>
      </c>
      <c r="E1514" s="8">
        <v>0</v>
      </c>
      <c r="F1514" s="8">
        <v>0</v>
      </c>
      <c r="G1514" s="8">
        <v>0</v>
      </c>
      <c r="H1514" s="8" t="s">
        <v>3349</v>
      </c>
      <c r="I1514" s="8">
        <v>526.6875</v>
      </c>
      <c r="J1514" s="3">
        <f t="shared" si="23"/>
        <v>43747.551798969907</v>
      </c>
    </row>
    <row r="1515" spans="1:10" x14ac:dyDescent="0.25">
      <c r="A1515" s="5" t="s">
        <v>3350</v>
      </c>
      <c r="B1515" s="6">
        <v>393.75</v>
      </c>
      <c r="C1515" s="6">
        <v>20.584240000000001</v>
      </c>
      <c r="D1515" s="6">
        <v>47</v>
      </c>
      <c r="E1515" s="6">
        <v>0</v>
      </c>
      <c r="F1515" s="6">
        <v>0</v>
      </c>
      <c r="G1515" s="6">
        <v>9</v>
      </c>
      <c r="H1515" s="6" t="s">
        <v>3351</v>
      </c>
      <c r="I1515" s="6">
        <v>526.5</v>
      </c>
      <c r="J1515" s="2">
        <f t="shared" si="23"/>
        <v>43747.551870115734</v>
      </c>
    </row>
    <row r="1516" spans="1:10" x14ac:dyDescent="0.25">
      <c r="A1516" s="7" t="s">
        <v>3352</v>
      </c>
      <c r="B1516" s="8">
        <v>393.75</v>
      </c>
      <c r="C1516" s="8">
        <v>20.584240000000001</v>
      </c>
      <c r="D1516" s="8">
        <v>48</v>
      </c>
      <c r="E1516" s="8">
        <v>0</v>
      </c>
      <c r="F1516" s="8">
        <v>0</v>
      </c>
      <c r="G1516" s="8">
        <v>6</v>
      </c>
      <c r="H1516" s="8" t="s">
        <v>3353</v>
      </c>
      <c r="I1516" s="8">
        <v>526.6875</v>
      </c>
      <c r="J1516" s="3">
        <f t="shared" si="23"/>
        <v>43747.551953946757</v>
      </c>
    </row>
    <row r="1517" spans="1:10" x14ac:dyDescent="0.25">
      <c r="A1517" s="5" t="s">
        <v>3354</v>
      </c>
      <c r="B1517" s="6">
        <v>393.75</v>
      </c>
      <c r="C1517" s="6">
        <v>20.584240000000001</v>
      </c>
      <c r="D1517" s="6">
        <v>48</v>
      </c>
      <c r="E1517" s="6">
        <v>0</v>
      </c>
      <c r="F1517" s="6">
        <v>0</v>
      </c>
      <c r="G1517" s="6">
        <v>10</v>
      </c>
      <c r="H1517" s="6" t="s">
        <v>3355</v>
      </c>
      <c r="I1517" s="6">
        <v>526.6875</v>
      </c>
      <c r="J1517" s="2">
        <f t="shared" si="23"/>
        <v>43747.552037928239</v>
      </c>
    </row>
    <row r="1518" spans="1:10" x14ac:dyDescent="0.25">
      <c r="A1518" s="7" t="s">
        <v>3356</v>
      </c>
      <c r="B1518" s="8">
        <v>393.75</v>
      </c>
      <c r="C1518" s="8">
        <v>20.584240000000001</v>
      </c>
      <c r="D1518" s="8">
        <v>47</v>
      </c>
      <c r="E1518" s="8">
        <v>0</v>
      </c>
      <c r="F1518" s="8">
        <v>0</v>
      </c>
      <c r="G1518" s="8">
        <v>0</v>
      </c>
      <c r="H1518" s="8" t="s">
        <v>3357</v>
      </c>
      <c r="I1518" s="8">
        <v>526.6875</v>
      </c>
      <c r="J1518" s="3">
        <f t="shared" si="23"/>
        <v>43747.552120949076</v>
      </c>
    </row>
    <row r="1519" spans="1:10" x14ac:dyDescent="0.25">
      <c r="A1519" s="5" t="s">
        <v>3358</v>
      </c>
      <c r="B1519" s="6">
        <v>393.75</v>
      </c>
      <c r="C1519" s="6">
        <v>20.584240000000001</v>
      </c>
      <c r="D1519" s="6">
        <v>45</v>
      </c>
      <c r="E1519" s="6">
        <v>0</v>
      </c>
      <c r="F1519" s="6">
        <v>0</v>
      </c>
      <c r="G1519" s="6">
        <v>3</v>
      </c>
      <c r="H1519" s="6" t="s">
        <v>3359</v>
      </c>
      <c r="I1519" s="6">
        <v>526.6875</v>
      </c>
      <c r="J1519" s="2">
        <f t="shared" si="23"/>
        <v>43747.552204513886</v>
      </c>
    </row>
    <row r="1520" spans="1:10" x14ac:dyDescent="0.25">
      <c r="A1520" s="7" t="s">
        <v>3360</v>
      </c>
      <c r="B1520" s="8">
        <v>393.75</v>
      </c>
      <c r="C1520" s="8">
        <v>20.584240000000001</v>
      </c>
      <c r="D1520" s="8">
        <v>46</v>
      </c>
      <c r="E1520" s="8">
        <v>0</v>
      </c>
      <c r="F1520" s="8">
        <v>0</v>
      </c>
      <c r="G1520" s="8">
        <v>7</v>
      </c>
      <c r="H1520" s="8" t="s">
        <v>3361</v>
      </c>
      <c r="I1520" s="8">
        <v>526.6875</v>
      </c>
      <c r="J1520" s="3">
        <f t="shared" si="23"/>
        <v>43747.552287824066</v>
      </c>
    </row>
    <row r="1521" spans="1:10" x14ac:dyDescent="0.25">
      <c r="A1521" s="5" t="s">
        <v>3362</v>
      </c>
      <c r="B1521" s="6">
        <v>393.75</v>
      </c>
      <c r="C1521" s="6">
        <v>20.584240000000001</v>
      </c>
      <c r="D1521" s="6">
        <v>46</v>
      </c>
      <c r="E1521" s="6">
        <v>0</v>
      </c>
      <c r="F1521" s="6">
        <v>0</v>
      </c>
      <c r="G1521" s="6">
        <v>1</v>
      </c>
      <c r="H1521" s="6" t="s">
        <v>3363</v>
      </c>
      <c r="I1521" s="6">
        <v>526.6875</v>
      </c>
      <c r="J1521" s="2">
        <f t="shared" si="23"/>
        <v>43747.552371168982</v>
      </c>
    </row>
    <row r="1522" spans="1:10" x14ac:dyDescent="0.25">
      <c r="A1522" s="7" t="s">
        <v>3364</v>
      </c>
      <c r="B1522" s="8">
        <v>393.75</v>
      </c>
      <c r="C1522" s="8">
        <v>20.584240000000001</v>
      </c>
      <c r="D1522" s="8">
        <v>46</v>
      </c>
      <c r="E1522" s="8">
        <v>0</v>
      </c>
      <c r="F1522" s="8">
        <v>0</v>
      </c>
      <c r="G1522" s="8">
        <v>2</v>
      </c>
      <c r="H1522" s="8" t="s">
        <v>3365</v>
      </c>
      <c r="I1522" s="8">
        <v>526.6875</v>
      </c>
      <c r="J1522" s="3">
        <f t="shared" si="23"/>
        <v>43747.552454733792</v>
      </c>
    </row>
    <row r="1523" spans="1:10" x14ac:dyDescent="0.25">
      <c r="A1523" s="5" t="s">
        <v>3366</v>
      </c>
      <c r="B1523" s="6">
        <v>393.75</v>
      </c>
      <c r="C1523" s="6">
        <v>20.584240000000001</v>
      </c>
      <c r="D1523" s="6">
        <v>45</v>
      </c>
      <c r="E1523" s="6">
        <v>0</v>
      </c>
      <c r="F1523" s="6">
        <v>0</v>
      </c>
      <c r="G1523" s="6">
        <v>13</v>
      </c>
      <c r="H1523" s="6" t="s">
        <v>3367</v>
      </c>
      <c r="I1523" s="6">
        <v>526.5</v>
      </c>
      <c r="J1523" s="2">
        <f t="shared" si="23"/>
        <v>43747.552537962962</v>
      </c>
    </row>
    <row r="1524" spans="1:10" x14ac:dyDescent="0.25">
      <c r="A1524" s="7" t="s">
        <v>3368</v>
      </c>
      <c r="B1524" s="8">
        <v>393.75</v>
      </c>
      <c r="C1524" s="8">
        <v>20.531590000000001</v>
      </c>
      <c r="D1524" s="8">
        <v>45</v>
      </c>
      <c r="E1524" s="8">
        <v>0</v>
      </c>
      <c r="F1524" s="8">
        <v>0</v>
      </c>
      <c r="G1524" s="8">
        <v>11</v>
      </c>
      <c r="H1524" s="8" t="s">
        <v>3369</v>
      </c>
      <c r="I1524" s="8">
        <v>526.6875</v>
      </c>
      <c r="J1524" s="3">
        <f t="shared" si="23"/>
        <v>43747.552609583327</v>
      </c>
    </row>
    <row r="1525" spans="1:10" x14ac:dyDescent="0.25">
      <c r="A1525" s="5" t="s">
        <v>3370</v>
      </c>
      <c r="B1525" s="6">
        <v>393.75</v>
      </c>
      <c r="C1525" s="6">
        <v>20.584240000000001</v>
      </c>
      <c r="D1525" s="6">
        <v>45</v>
      </c>
      <c r="E1525" s="6">
        <v>0</v>
      </c>
      <c r="F1525" s="6">
        <v>0</v>
      </c>
      <c r="G1525" s="6">
        <v>4</v>
      </c>
      <c r="H1525" s="6" t="s">
        <v>3371</v>
      </c>
      <c r="I1525" s="6">
        <v>526.6875</v>
      </c>
      <c r="J1525" s="2">
        <f t="shared" si="23"/>
        <v>43747.552693391197</v>
      </c>
    </row>
    <row r="1526" spans="1:10" x14ac:dyDescent="0.25">
      <c r="A1526" s="7" t="s">
        <v>3372</v>
      </c>
      <c r="B1526" s="8">
        <v>393.75</v>
      </c>
      <c r="C1526" s="8">
        <v>20.584240000000001</v>
      </c>
      <c r="D1526" s="8">
        <v>45</v>
      </c>
      <c r="E1526" s="8">
        <v>0</v>
      </c>
      <c r="F1526" s="8">
        <v>0</v>
      </c>
      <c r="G1526" s="8">
        <v>10</v>
      </c>
      <c r="H1526" s="8" t="s">
        <v>3373</v>
      </c>
      <c r="I1526" s="8">
        <v>526.6875</v>
      </c>
      <c r="J1526" s="3">
        <f t="shared" si="23"/>
        <v>43747.552788668974</v>
      </c>
    </row>
    <row r="1527" spans="1:10" x14ac:dyDescent="0.25">
      <c r="A1527" s="5" t="s">
        <v>3374</v>
      </c>
      <c r="B1527" s="6">
        <v>393.75</v>
      </c>
      <c r="C1527" s="6">
        <v>20.584240000000001</v>
      </c>
      <c r="D1527" s="6">
        <v>44</v>
      </c>
      <c r="E1527" s="6">
        <v>0</v>
      </c>
      <c r="F1527" s="6">
        <v>0</v>
      </c>
      <c r="G1527" s="6">
        <v>9</v>
      </c>
      <c r="H1527" s="6" t="s">
        <v>3375</v>
      </c>
      <c r="I1527" s="6">
        <v>526.6875</v>
      </c>
      <c r="J1527" s="2">
        <f t="shared" si="23"/>
        <v>43747.552872175926</v>
      </c>
    </row>
    <row r="1528" spans="1:10" x14ac:dyDescent="0.25">
      <c r="A1528" s="7" t="s">
        <v>3376</v>
      </c>
      <c r="B1528" s="8">
        <v>393.75</v>
      </c>
      <c r="C1528" s="8">
        <v>20.584240000000001</v>
      </c>
      <c r="D1528" s="8">
        <v>44</v>
      </c>
      <c r="E1528" s="8">
        <v>0</v>
      </c>
      <c r="F1528" s="8">
        <v>0</v>
      </c>
      <c r="G1528" s="8">
        <v>12</v>
      </c>
      <c r="H1528" s="8" t="s">
        <v>3377</v>
      </c>
      <c r="I1528" s="8">
        <v>526.6875</v>
      </c>
      <c r="J1528" s="3">
        <f t="shared" si="23"/>
        <v>43747.55294371528</v>
      </c>
    </row>
    <row r="1529" spans="1:10" x14ac:dyDescent="0.25">
      <c r="A1529" s="5" t="s">
        <v>3378</v>
      </c>
      <c r="B1529" s="6">
        <v>393.75</v>
      </c>
      <c r="C1529" s="6">
        <v>20.584240000000001</v>
      </c>
      <c r="D1529" s="6">
        <v>44</v>
      </c>
      <c r="E1529" s="6">
        <v>0</v>
      </c>
      <c r="F1529" s="6">
        <v>0</v>
      </c>
      <c r="G1529" s="6">
        <v>10</v>
      </c>
      <c r="H1529" s="6" t="s">
        <v>3379</v>
      </c>
      <c r="I1529" s="6">
        <v>526.6875</v>
      </c>
      <c r="J1529" s="2">
        <f t="shared" si="23"/>
        <v>43747.553026805552</v>
      </c>
    </row>
    <row r="1530" spans="1:10" x14ac:dyDescent="0.25">
      <c r="A1530" s="7" t="s">
        <v>3380</v>
      </c>
      <c r="B1530" s="8">
        <v>393.75</v>
      </c>
      <c r="C1530" s="8">
        <v>20.531590000000001</v>
      </c>
      <c r="D1530" s="8">
        <v>44</v>
      </c>
      <c r="E1530" s="8">
        <v>0</v>
      </c>
      <c r="F1530" s="8">
        <v>0</v>
      </c>
      <c r="G1530" s="8">
        <v>9</v>
      </c>
      <c r="H1530" s="8" t="s">
        <v>3381</v>
      </c>
      <c r="I1530" s="8">
        <v>526.6875</v>
      </c>
      <c r="J1530" s="3">
        <f t="shared" si="23"/>
        <v>43747.553098344906</v>
      </c>
    </row>
    <row r="1531" spans="1:10" x14ac:dyDescent="0.25">
      <c r="A1531" s="5" t="s">
        <v>3382</v>
      </c>
      <c r="B1531" s="6">
        <v>393.75</v>
      </c>
      <c r="C1531" s="6">
        <v>20.584240000000001</v>
      </c>
      <c r="D1531" s="6">
        <v>44</v>
      </c>
      <c r="E1531" s="6">
        <v>0</v>
      </c>
      <c r="F1531" s="6">
        <v>0</v>
      </c>
      <c r="G1531" s="6">
        <v>0</v>
      </c>
      <c r="H1531" s="6" t="s">
        <v>3383</v>
      </c>
      <c r="I1531" s="6">
        <v>526.6875</v>
      </c>
      <c r="J1531" s="2">
        <f t="shared" si="23"/>
        <v>43747.553182361109</v>
      </c>
    </row>
    <row r="1532" spans="1:10" x14ac:dyDescent="0.25">
      <c r="A1532" s="7" t="s">
        <v>3384</v>
      </c>
      <c r="B1532" s="8">
        <v>393.75</v>
      </c>
      <c r="C1532" s="8">
        <v>20.531590000000001</v>
      </c>
      <c r="D1532" s="8">
        <v>45</v>
      </c>
      <c r="E1532" s="8">
        <v>0</v>
      </c>
      <c r="F1532" s="8">
        <v>0</v>
      </c>
      <c r="G1532" s="8">
        <v>8</v>
      </c>
      <c r="H1532" s="8" t="s">
        <v>3385</v>
      </c>
      <c r="I1532" s="8">
        <v>526.6875</v>
      </c>
      <c r="J1532" s="3">
        <f t="shared" si="23"/>
        <v>43747.553265601848</v>
      </c>
    </row>
    <row r="1533" spans="1:10" x14ac:dyDescent="0.25">
      <c r="A1533" s="5" t="s">
        <v>3386</v>
      </c>
      <c r="B1533" s="6">
        <v>393.75</v>
      </c>
      <c r="C1533" s="6">
        <v>20.584240000000001</v>
      </c>
      <c r="D1533" s="6">
        <v>45</v>
      </c>
      <c r="E1533" s="6">
        <v>0</v>
      </c>
      <c r="F1533" s="6">
        <v>0</v>
      </c>
      <c r="G1533" s="6">
        <v>3</v>
      </c>
      <c r="H1533" s="6" t="s">
        <v>3387</v>
      </c>
      <c r="I1533" s="6">
        <v>526.6875</v>
      </c>
      <c r="J1533" s="2">
        <f t="shared" si="23"/>
        <v>43747.553349120368</v>
      </c>
    </row>
    <row r="1534" spans="1:10" x14ac:dyDescent="0.25">
      <c r="A1534" s="7" t="s">
        <v>3388</v>
      </c>
      <c r="B1534" s="8">
        <v>393.75</v>
      </c>
      <c r="C1534" s="8">
        <v>20.584240000000001</v>
      </c>
      <c r="D1534" s="8">
        <v>45</v>
      </c>
      <c r="E1534" s="8">
        <v>0</v>
      </c>
      <c r="F1534" s="8">
        <v>0</v>
      </c>
      <c r="G1534" s="8">
        <v>1</v>
      </c>
      <c r="H1534" s="8" t="s">
        <v>3389</v>
      </c>
      <c r="I1534" s="8">
        <v>526.5</v>
      </c>
      <c r="J1534" s="3">
        <f t="shared" si="23"/>
        <v>43747.553420567128</v>
      </c>
    </row>
    <row r="1535" spans="1:10" x14ac:dyDescent="0.25">
      <c r="A1535" s="5" t="s">
        <v>3390</v>
      </c>
      <c r="B1535" s="6">
        <v>393.75</v>
      </c>
      <c r="C1535" s="6">
        <v>20.584240000000001</v>
      </c>
      <c r="D1535" s="6">
        <v>46</v>
      </c>
      <c r="E1535" s="6">
        <v>0</v>
      </c>
      <c r="F1535" s="6">
        <v>0</v>
      </c>
      <c r="G1535" s="6">
        <v>9</v>
      </c>
      <c r="H1535" s="6" t="s">
        <v>3391</v>
      </c>
      <c r="I1535" s="6">
        <v>526.5</v>
      </c>
      <c r="J1535" s="2">
        <f t="shared" si="23"/>
        <v>43747.553504143514</v>
      </c>
    </row>
    <row r="1536" spans="1:10" x14ac:dyDescent="0.25">
      <c r="A1536" s="7" t="s">
        <v>3392</v>
      </c>
      <c r="B1536" s="8">
        <v>393.75</v>
      </c>
      <c r="C1536" s="8">
        <v>20.584240000000001</v>
      </c>
      <c r="D1536" s="8">
        <v>45</v>
      </c>
      <c r="E1536" s="8">
        <v>0</v>
      </c>
      <c r="F1536" s="8">
        <v>0</v>
      </c>
      <c r="G1536" s="8">
        <v>9</v>
      </c>
      <c r="H1536" s="8" t="s">
        <v>3393</v>
      </c>
      <c r="I1536" s="8">
        <v>526.6875</v>
      </c>
      <c r="J1536" s="3">
        <f t="shared" si="23"/>
        <v>43747.55358756944</v>
      </c>
    </row>
    <row r="1537" spans="1:10" x14ac:dyDescent="0.25">
      <c r="A1537" s="5" t="s">
        <v>3394</v>
      </c>
      <c r="B1537" s="6">
        <v>393.75</v>
      </c>
      <c r="C1537" s="6">
        <v>20.584240000000001</v>
      </c>
      <c r="D1537" s="6">
        <v>47</v>
      </c>
      <c r="E1537" s="6">
        <v>0</v>
      </c>
      <c r="F1537" s="6">
        <v>0</v>
      </c>
      <c r="G1537" s="6">
        <v>11</v>
      </c>
      <c r="H1537" s="6" t="s">
        <v>3395</v>
      </c>
      <c r="I1537" s="6">
        <v>526.6875</v>
      </c>
      <c r="J1537" s="2">
        <f t="shared" si="23"/>
        <v>43747.553671168978</v>
      </c>
    </row>
    <row r="1538" spans="1:10" x14ac:dyDescent="0.25">
      <c r="A1538" s="7" t="s">
        <v>3396</v>
      </c>
      <c r="B1538" s="8">
        <v>412.5</v>
      </c>
      <c r="C1538" s="8">
        <v>20.584240000000001</v>
      </c>
      <c r="D1538" s="8">
        <v>47</v>
      </c>
      <c r="E1538" s="8">
        <v>0</v>
      </c>
      <c r="F1538" s="8">
        <v>0</v>
      </c>
      <c r="G1538" s="8">
        <v>11</v>
      </c>
      <c r="H1538" s="8" t="s">
        <v>3397</v>
      </c>
      <c r="I1538" s="8">
        <v>532.3125</v>
      </c>
      <c r="J1538" s="3">
        <f t="shared" ref="J1538:J1601" si="24">(H1538/86400000)+25569+(7/24)</f>
        <v>43747.553754606481</v>
      </c>
    </row>
    <row r="1539" spans="1:10" x14ac:dyDescent="0.25">
      <c r="A1539" s="5" t="s">
        <v>3398</v>
      </c>
      <c r="B1539" s="6">
        <v>393.75</v>
      </c>
      <c r="C1539" s="6">
        <v>20.584240000000001</v>
      </c>
      <c r="D1539" s="6">
        <v>46</v>
      </c>
      <c r="E1539" s="6">
        <v>0</v>
      </c>
      <c r="F1539" s="6">
        <v>0</v>
      </c>
      <c r="G1539" s="6">
        <v>13</v>
      </c>
      <c r="H1539" s="6" t="s">
        <v>3399</v>
      </c>
      <c r="I1539" s="6">
        <v>526.6875</v>
      </c>
      <c r="J1539" s="2">
        <f t="shared" si="24"/>
        <v>43747.55383783565</v>
      </c>
    </row>
    <row r="1540" spans="1:10" x14ac:dyDescent="0.25">
      <c r="A1540" s="7" t="s">
        <v>3400</v>
      </c>
      <c r="B1540" s="8">
        <v>393.75</v>
      </c>
      <c r="C1540" s="8">
        <v>20.584240000000001</v>
      </c>
      <c r="D1540" s="8">
        <v>46</v>
      </c>
      <c r="E1540" s="8">
        <v>0</v>
      </c>
      <c r="F1540" s="8">
        <v>0</v>
      </c>
      <c r="G1540" s="8">
        <v>9</v>
      </c>
      <c r="H1540" s="8" t="s">
        <v>3401</v>
      </c>
      <c r="I1540" s="8">
        <v>526.6875</v>
      </c>
      <c r="J1540" s="3">
        <f t="shared" si="24"/>
        <v>43747.553921493054</v>
      </c>
    </row>
    <row r="1541" spans="1:10" x14ac:dyDescent="0.25">
      <c r="A1541" s="5" t="s">
        <v>3402</v>
      </c>
      <c r="B1541" s="6">
        <v>393.75</v>
      </c>
      <c r="C1541" s="6">
        <v>20.584240000000001</v>
      </c>
      <c r="D1541" s="6">
        <v>47</v>
      </c>
      <c r="E1541" s="6">
        <v>0</v>
      </c>
      <c r="F1541" s="6">
        <v>0</v>
      </c>
      <c r="G1541" s="6">
        <v>9</v>
      </c>
      <c r="H1541" s="6" t="s">
        <v>3403</v>
      </c>
      <c r="I1541" s="6">
        <v>526.6875</v>
      </c>
      <c r="J1541" s="2">
        <f t="shared" si="24"/>
        <v>43747.554004583326</v>
      </c>
    </row>
    <row r="1542" spans="1:10" x14ac:dyDescent="0.25">
      <c r="A1542" s="7" t="s">
        <v>3404</v>
      </c>
      <c r="B1542" s="8">
        <v>393.75</v>
      </c>
      <c r="C1542" s="8">
        <v>20.584240000000001</v>
      </c>
      <c r="D1542" s="8">
        <v>47</v>
      </c>
      <c r="E1542" s="8">
        <v>0</v>
      </c>
      <c r="F1542" s="8">
        <v>0</v>
      </c>
      <c r="G1542" s="8">
        <v>12</v>
      </c>
      <c r="H1542" s="8" t="s">
        <v>3405</v>
      </c>
      <c r="I1542" s="8">
        <v>526.5</v>
      </c>
      <c r="J1542" s="3">
        <f t="shared" si="24"/>
        <v>43747.554076238426</v>
      </c>
    </row>
    <row r="1543" spans="1:10" x14ac:dyDescent="0.25">
      <c r="A1543" s="5" t="s">
        <v>3406</v>
      </c>
      <c r="B1543" s="6">
        <v>412.5</v>
      </c>
      <c r="C1543" s="6">
        <v>20.584240000000001</v>
      </c>
      <c r="D1543" s="6">
        <v>47</v>
      </c>
      <c r="E1543" s="6">
        <v>0</v>
      </c>
      <c r="F1543" s="6">
        <v>0</v>
      </c>
      <c r="G1543" s="6">
        <v>16</v>
      </c>
      <c r="H1543" s="6" t="s">
        <v>3407</v>
      </c>
      <c r="I1543" s="6">
        <v>532.3125</v>
      </c>
      <c r="J1543" s="2">
        <f t="shared" si="24"/>
        <v>43747.554160057865</v>
      </c>
    </row>
    <row r="1544" spans="1:10" x14ac:dyDescent="0.25">
      <c r="A1544" s="7" t="s">
        <v>3408</v>
      </c>
      <c r="B1544" s="8">
        <v>393.75</v>
      </c>
      <c r="C1544" s="8">
        <v>20.584240000000001</v>
      </c>
      <c r="D1544" s="8">
        <v>46</v>
      </c>
      <c r="E1544" s="8">
        <v>0</v>
      </c>
      <c r="F1544" s="8">
        <v>0</v>
      </c>
      <c r="G1544" s="8">
        <v>6</v>
      </c>
      <c r="H1544" s="8" t="s">
        <v>3409</v>
      </c>
      <c r="I1544" s="8">
        <v>526.6875</v>
      </c>
      <c r="J1544" s="3">
        <f t="shared" si="24"/>
        <v>43747.554243379629</v>
      </c>
    </row>
    <row r="1545" spans="1:10" x14ac:dyDescent="0.25">
      <c r="A1545" s="5" t="s">
        <v>3410</v>
      </c>
      <c r="B1545" s="6">
        <v>393.75</v>
      </c>
      <c r="C1545" s="6">
        <v>20.584240000000001</v>
      </c>
      <c r="D1545" s="6">
        <v>46</v>
      </c>
      <c r="E1545" s="6">
        <v>0</v>
      </c>
      <c r="F1545" s="6">
        <v>0</v>
      </c>
      <c r="G1545" s="6">
        <v>8</v>
      </c>
      <c r="H1545" s="6" t="s">
        <v>3411</v>
      </c>
      <c r="I1545" s="6">
        <v>526.6875</v>
      </c>
      <c r="J1545" s="2">
        <f t="shared" si="24"/>
        <v>43747.554326689809</v>
      </c>
    </row>
    <row r="1546" spans="1:10" x14ac:dyDescent="0.25">
      <c r="A1546" s="7" t="s">
        <v>3412</v>
      </c>
      <c r="B1546" s="8">
        <v>393.75</v>
      </c>
      <c r="C1546" s="8">
        <v>20.584240000000001</v>
      </c>
      <c r="D1546" s="8">
        <v>46</v>
      </c>
      <c r="E1546" s="8">
        <v>0</v>
      </c>
      <c r="F1546" s="8">
        <v>0</v>
      </c>
      <c r="G1546" s="8">
        <v>9</v>
      </c>
      <c r="H1546" s="8" t="s">
        <v>3413</v>
      </c>
      <c r="I1546" s="8">
        <v>526.6875</v>
      </c>
      <c r="J1546" s="3">
        <f t="shared" si="24"/>
        <v>43747.554398460641</v>
      </c>
    </row>
    <row r="1547" spans="1:10" x14ac:dyDescent="0.25">
      <c r="A1547" s="5" t="s">
        <v>3414</v>
      </c>
      <c r="B1547" s="6">
        <v>393.75</v>
      </c>
      <c r="C1547" s="6">
        <v>20.584240000000001</v>
      </c>
      <c r="D1547" s="6">
        <v>45</v>
      </c>
      <c r="E1547" s="6">
        <v>0</v>
      </c>
      <c r="F1547" s="6">
        <v>0</v>
      </c>
      <c r="G1547" s="6">
        <v>7</v>
      </c>
      <c r="H1547" s="6" t="s">
        <v>3415</v>
      </c>
      <c r="I1547" s="6">
        <v>526.6875</v>
      </c>
      <c r="J1547" s="2">
        <f t="shared" si="24"/>
        <v>43747.554481898151</v>
      </c>
    </row>
    <row r="1548" spans="1:10" x14ac:dyDescent="0.25">
      <c r="A1548" s="7" t="s">
        <v>3416</v>
      </c>
      <c r="B1548" s="8">
        <v>431.25</v>
      </c>
      <c r="C1548" s="8">
        <v>20.531590000000001</v>
      </c>
      <c r="D1548" s="8">
        <v>45</v>
      </c>
      <c r="E1548" s="8">
        <v>0</v>
      </c>
      <c r="F1548" s="8">
        <v>0</v>
      </c>
      <c r="G1548" s="8">
        <v>10</v>
      </c>
      <c r="H1548" s="8" t="s">
        <v>3417</v>
      </c>
      <c r="I1548" s="8">
        <v>538.6875</v>
      </c>
      <c r="J1548" s="3">
        <f t="shared" si="24"/>
        <v>43747.554565486113</v>
      </c>
    </row>
    <row r="1549" spans="1:10" x14ac:dyDescent="0.25">
      <c r="A1549" s="5" t="s">
        <v>3418</v>
      </c>
      <c r="B1549" s="6">
        <v>393.75</v>
      </c>
      <c r="C1549" s="6">
        <v>20.584240000000001</v>
      </c>
      <c r="D1549" s="6">
        <v>47</v>
      </c>
      <c r="E1549" s="6">
        <v>0</v>
      </c>
      <c r="F1549" s="6">
        <v>0</v>
      </c>
      <c r="G1549" s="6">
        <v>4</v>
      </c>
      <c r="H1549" s="6" t="s">
        <v>3419</v>
      </c>
      <c r="I1549" s="6">
        <v>526.6875</v>
      </c>
      <c r="J1549" s="2">
        <f t="shared" si="24"/>
        <v>43747.554648935184</v>
      </c>
    </row>
    <row r="1550" spans="1:10" x14ac:dyDescent="0.25">
      <c r="A1550" s="7" t="s">
        <v>3420</v>
      </c>
      <c r="B1550" s="8">
        <v>393.75</v>
      </c>
      <c r="C1550" s="8">
        <v>20.584240000000001</v>
      </c>
      <c r="D1550" s="8">
        <v>46</v>
      </c>
      <c r="E1550" s="8">
        <v>0</v>
      </c>
      <c r="F1550" s="8">
        <v>0</v>
      </c>
      <c r="G1550" s="8">
        <v>10</v>
      </c>
      <c r="H1550" s="8" t="s">
        <v>3421</v>
      </c>
      <c r="I1550" s="8">
        <v>526.6875</v>
      </c>
      <c r="J1550" s="3">
        <f t="shared" si="24"/>
        <v>43747.55473236111</v>
      </c>
    </row>
    <row r="1551" spans="1:10" x14ac:dyDescent="0.25">
      <c r="A1551" s="5" t="s">
        <v>3422</v>
      </c>
      <c r="B1551" s="6">
        <v>393.75</v>
      </c>
      <c r="C1551" s="6">
        <v>20.584240000000001</v>
      </c>
      <c r="D1551" s="6">
        <v>47</v>
      </c>
      <c r="E1551" s="6">
        <v>0</v>
      </c>
      <c r="F1551" s="6">
        <v>0</v>
      </c>
      <c r="G1551" s="6">
        <v>13</v>
      </c>
      <c r="H1551" s="6" t="s">
        <v>3423</v>
      </c>
      <c r="I1551" s="6">
        <v>526.6875</v>
      </c>
      <c r="J1551" s="2">
        <f t="shared" si="24"/>
        <v>43747.554815590272</v>
      </c>
    </row>
    <row r="1552" spans="1:10" x14ac:dyDescent="0.25">
      <c r="A1552" s="7" t="s">
        <v>3424</v>
      </c>
      <c r="B1552" s="8">
        <v>393.75</v>
      </c>
      <c r="C1552" s="8">
        <v>20.584240000000001</v>
      </c>
      <c r="D1552" s="8">
        <v>47</v>
      </c>
      <c r="E1552" s="8">
        <v>0</v>
      </c>
      <c r="F1552" s="8">
        <v>0</v>
      </c>
      <c r="G1552" s="8">
        <v>7</v>
      </c>
      <c r="H1552" s="8" t="s">
        <v>3425</v>
      </c>
      <c r="I1552" s="8">
        <v>526.6875</v>
      </c>
      <c r="J1552" s="3">
        <f t="shared" si="24"/>
        <v>43747.554887337959</v>
      </c>
    </row>
    <row r="1553" spans="1:10" x14ac:dyDescent="0.25">
      <c r="A1553" s="5" t="s">
        <v>3426</v>
      </c>
      <c r="B1553" s="6">
        <v>425</v>
      </c>
      <c r="C1553" s="6">
        <v>20.584240000000001</v>
      </c>
      <c r="D1553" s="6">
        <v>44</v>
      </c>
      <c r="E1553" s="6">
        <v>0</v>
      </c>
      <c r="F1553" s="6">
        <v>0</v>
      </c>
      <c r="G1553" s="6">
        <v>10</v>
      </c>
      <c r="H1553" s="6" t="s">
        <v>3427</v>
      </c>
      <c r="I1553" s="6">
        <v>536.625</v>
      </c>
      <c r="J1553" s="2">
        <f t="shared" si="24"/>
        <v>43747.554970914345</v>
      </c>
    </row>
    <row r="1554" spans="1:10" x14ac:dyDescent="0.25">
      <c r="A1554" s="7" t="s">
        <v>3428</v>
      </c>
      <c r="B1554" s="8">
        <v>393.75</v>
      </c>
      <c r="C1554" s="8">
        <v>20.584240000000001</v>
      </c>
      <c r="D1554" s="8">
        <v>48</v>
      </c>
      <c r="E1554" s="8">
        <v>0</v>
      </c>
      <c r="F1554" s="8">
        <v>0</v>
      </c>
      <c r="G1554" s="8">
        <v>3</v>
      </c>
      <c r="H1554" s="8" t="s">
        <v>3429</v>
      </c>
      <c r="I1554" s="8">
        <v>526.6875</v>
      </c>
      <c r="J1554" s="3">
        <f t="shared" si="24"/>
        <v>43747.555054351855</v>
      </c>
    </row>
    <row r="1555" spans="1:10" x14ac:dyDescent="0.25">
      <c r="A1555" s="5" t="s">
        <v>3430</v>
      </c>
      <c r="B1555" s="6">
        <v>393.75</v>
      </c>
      <c r="C1555" s="6">
        <v>20.584240000000001</v>
      </c>
      <c r="D1555" s="6">
        <v>48</v>
      </c>
      <c r="E1555" s="6">
        <v>0</v>
      </c>
      <c r="F1555" s="6">
        <v>0</v>
      </c>
      <c r="G1555" s="6">
        <v>4</v>
      </c>
      <c r="H1555" s="6" t="s">
        <v>3431</v>
      </c>
      <c r="I1555" s="6">
        <v>526.6875</v>
      </c>
      <c r="J1555" s="2">
        <f t="shared" si="24"/>
        <v>43747.555151747678</v>
      </c>
    </row>
    <row r="1556" spans="1:10" x14ac:dyDescent="0.25">
      <c r="A1556" s="7" t="s">
        <v>3432</v>
      </c>
      <c r="B1556" s="8">
        <v>393.75</v>
      </c>
      <c r="C1556" s="8">
        <v>20.584240000000001</v>
      </c>
      <c r="D1556" s="8">
        <v>48</v>
      </c>
      <c r="E1556" s="8">
        <v>0</v>
      </c>
      <c r="F1556" s="8">
        <v>0</v>
      </c>
      <c r="G1556" s="8">
        <v>13</v>
      </c>
      <c r="H1556" s="8" t="s">
        <v>3433</v>
      </c>
      <c r="I1556" s="8">
        <v>526.6875</v>
      </c>
      <c r="J1556" s="3">
        <f t="shared" si="24"/>
        <v>43747.555233206018</v>
      </c>
    </row>
    <row r="1557" spans="1:10" x14ac:dyDescent="0.25">
      <c r="A1557" s="5" t="s">
        <v>3434</v>
      </c>
      <c r="B1557" s="6">
        <v>393.75</v>
      </c>
      <c r="C1557" s="6">
        <v>20.584240000000001</v>
      </c>
      <c r="D1557" s="6">
        <v>48</v>
      </c>
      <c r="E1557" s="6">
        <v>0</v>
      </c>
      <c r="F1557" s="6">
        <v>0</v>
      </c>
      <c r="G1557" s="6">
        <v>1</v>
      </c>
      <c r="H1557" s="6" t="s">
        <v>3435</v>
      </c>
      <c r="I1557" s="6">
        <v>526.5</v>
      </c>
      <c r="J1557" s="2">
        <f t="shared" si="24"/>
        <v>43747.555316655089</v>
      </c>
    </row>
    <row r="1558" spans="1:10" x14ac:dyDescent="0.25">
      <c r="A1558" s="7" t="s">
        <v>3436</v>
      </c>
      <c r="B1558" s="8">
        <v>393.75</v>
      </c>
      <c r="C1558" s="8">
        <v>20.584240000000001</v>
      </c>
      <c r="D1558" s="8">
        <v>46</v>
      </c>
      <c r="E1558" s="8">
        <v>0</v>
      </c>
      <c r="F1558" s="8">
        <v>0</v>
      </c>
      <c r="G1558" s="8">
        <v>7</v>
      </c>
      <c r="H1558" s="8" t="s">
        <v>3437</v>
      </c>
      <c r="I1558" s="8">
        <v>526.6875</v>
      </c>
      <c r="J1558" s="3">
        <f t="shared" si="24"/>
        <v>43747.555387916662</v>
      </c>
    </row>
    <row r="1559" spans="1:10" x14ac:dyDescent="0.25">
      <c r="A1559" s="5" t="s">
        <v>3438</v>
      </c>
      <c r="B1559" s="6">
        <v>393.75</v>
      </c>
      <c r="C1559" s="6">
        <v>20.584240000000001</v>
      </c>
      <c r="D1559" s="6">
        <v>46</v>
      </c>
      <c r="E1559" s="6">
        <v>0</v>
      </c>
      <c r="F1559" s="6">
        <v>0</v>
      </c>
      <c r="G1559" s="6">
        <v>7</v>
      </c>
      <c r="H1559" s="6" t="s">
        <v>3439</v>
      </c>
      <c r="I1559" s="6">
        <v>526.6875</v>
      </c>
      <c r="J1559" s="2">
        <f t="shared" si="24"/>
        <v>43747.555483761571</v>
      </c>
    </row>
    <row r="1560" spans="1:10" x14ac:dyDescent="0.25">
      <c r="A1560" s="7" t="s">
        <v>3440</v>
      </c>
      <c r="B1560" s="8">
        <v>393.75</v>
      </c>
      <c r="C1560" s="8">
        <v>20.584240000000001</v>
      </c>
      <c r="D1560" s="8">
        <v>47</v>
      </c>
      <c r="E1560" s="8">
        <v>0</v>
      </c>
      <c r="F1560" s="8">
        <v>0</v>
      </c>
      <c r="G1560" s="8">
        <v>15</v>
      </c>
      <c r="H1560" s="8" t="s">
        <v>3441</v>
      </c>
      <c r="I1560" s="8">
        <v>526.6875</v>
      </c>
      <c r="J1560" s="3">
        <f t="shared" si="24"/>
        <v>43747.555567094903</v>
      </c>
    </row>
    <row r="1561" spans="1:10" x14ac:dyDescent="0.25">
      <c r="A1561" s="5" t="s">
        <v>3442</v>
      </c>
      <c r="B1561" s="6">
        <v>393.75</v>
      </c>
      <c r="C1561" s="6">
        <v>20.531590000000001</v>
      </c>
      <c r="D1561" s="6">
        <v>47</v>
      </c>
      <c r="E1561" s="6">
        <v>0</v>
      </c>
      <c r="F1561" s="6">
        <v>0</v>
      </c>
      <c r="G1561" s="6">
        <v>15</v>
      </c>
      <c r="H1561" s="6" t="s">
        <v>3443</v>
      </c>
      <c r="I1561" s="6">
        <v>526.6875</v>
      </c>
      <c r="J1561" s="2">
        <f t="shared" si="24"/>
        <v>43747.555650648144</v>
      </c>
    </row>
    <row r="1562" spans="1:10" x14ac:dyDescent="0.25">
      <c r="A1562" s="7" t="s">
        <v>3444</v>
      </c>
      <c r="B1562" s="8">
        <v>393.75</v>
      </c>
      <c r="C1562" s="8">
        <v>20.584240000000001</v>
      </c>
      <c r="D1562" s="8">
        <v>47</v>
      </c>
      <c r="E1562" s="8">
        <v>0</v>
      </c>
      <c r="F1562" s="8">
        <v>0</v>
      </c>
      <c r="G1562" s="8">
        <v>14</v>
      </c>
      <c r="H1562" s="8" t="s">
        <v>3445</v>
      </c>
      <c r="I1562" s="8">
        <v>526.6875</v>
      </c>
      <c r="J1562" s="3">
        <f t="shared" si="24"/>
        <v>43747.555734120368</v>
      </c>
    </row>
    <row r="1563" spans="1:10" x14ac:dyDescent="0.25">
      <c r="A1563" s="5" t="s">
        <v>3446</v>
      </c>
      <c r="B1563" s="6">
        <v>393.75</v>
      </c>
      <c r="C1563" s="6">
        <v>20.584240000000001</v>
      </c>
      <c r="D1563" s="6">
        <v>44</v>
      </c>
      <c r="E1563" s="6">
        <v>0</v>
      </c>
      <c r="F1563" s="6">
        <v>0</v>
      </c>
      <c r="G1563" s="6">
        <v>21</v>
      </c>
      <c r="H1563" s="6" t="s">
        <v>3447</v>
      </c>
      <c r="I1563" s="6">
        <v>526.6875</v>
      </c>
      <c r="J1563" s="2">
        <f t="shared" si="24"/>
        <v>43747.555817511573</v>
      </c>
    </row>
    <row r="1564" spans="1:10" x14ac:dyDescent="0.25">
      <c r="A1564" s="7" t="s">
        <v>3448</v>
      </c>
      <c r="B1564" s="8">
        <v>393.75</v>
      </c>
      <c r="C1564" s="8">
        <v>20.584240000000001</v>
      </c>
      <c r="D1564" s="8">
        <v>45</v>
      </c>
      <c r="E1564" s="8">
        <v>0</v>
      </c>
      <c r="F1564" s="8">
        <v>0</v>
      </c>
      <c r="G1564" s="8">
        <v>15</v>
      </c>
      <c r="H1564" s="8" t="s">
        <v>3449</v>
      </c>
      <c r="I1564" s="8">
        <v>526.6875</v>
      </c>
      <c r="J1564" s="3">
        <f t="shared" si="24"/>
        <v>43747.555889085641</v>
      </c>
    </row>
    <row r="1565" spans="1:10" x14ac:dyDescent="0.25">
      <c r="A1565" s="5" t="s">
        <v>3450</v>
      </c>
      <c r="B1565" s="6">
        <v>393.75</v>
      </c>
      <c r="C1565" s="6">
        <v>20.584240000000001</v>
      </c>
      <c r="D1565" s="6">
        <v>48</v>
      </c>
      <c r="E1565" s="6">
        <v>0</v>
      </c>
      <c r="F1565" s="6">
        <v>0</v>
      </c>
      <c r="G1565" s="6">
        <v>7</v>
      </c>
      <c r="H1565" s="6" t="s">
        <v>3451</v>
      </c>
      <c r="I1565" s="6">
        <v>526.6875</v>
      </c>
      <c r="J1565" s="2">
        <f t="shared" si="24"/>
        <v>43747.555972534719</v>
      </c>
    </row>
    <row r="1566" spans="1:10" x14ac:dyDescent="0.25">
      <c r="A1566" s="7" t="s">
        <v>3452</v>
      </c>
      <c r="B1566" s="8">
        <v>393.75</v>
      </c>
      <c r="C1566" s="8">
        <v>20.584240000000001</v>
      </c>
      <c r="D1566" s="8">
        <v>48</v>
      </c>
      <c r="E1566" s="8">
        <v>0</v>
      </c>
      <c r="F1566" s="8">
        <v>0</v>
      </c>
      <c r="G1566" s="8">
        <v>9</v>
      </c>
      <c r="H1566" s="8" t="s">
        <v>3453</v>
      </c>
      <c r="I1566" s="8">
        <v>526.6875</v>
      </c>
      <c r="J1566" s="3">
        <f t="shared" si="24"/>
        <v>43747.556055995366</v>
      </c>
    </row>
    <row r="1567" spans="1:10" x14ac:dyDescent="0.25">
      <c r="A1567" s="5" t="s">
        <v>3454</v>
      </c>
      <c r="B1567" s="6">
        <v>412.5</v>
      </c>
      <c r="C1567" s="6">
        <v>20.584240000000001</v>
      </c>
      <c r="D1567" s="6">
        <v>44</v>
      </c>
      <c r="E1567" s="6">
        <v>0</v>
      </c>
      <c r="F1567" s="6">
        <v>0</v>
      </c>
      <c r="G1567" s="6">
        <v>8</v>
      </c>
      <c r="H1567" s="6" t="s">
        <v>3455</v>
      </c>
      <c r="I1567" s="6">
        <v>532.3125</v>
      </c>
      <c r="J1567" s="2">
        <f t="shared" si="24"/>
        <v>43747.556139456014</v>
      </c>
    </row>
    <row r="1568" spans="1:10" x14ac:dyDescent="0.25">
      <c r="A1568" s="7" t="s">
        <v>3456</v>
      </c>
      <c r="B1568" s="8">
        <v>393.75</v>
      </c>
      <c r="C1568" s="8">
        <v>20.584240000000001</v>
      </c>
      <c r="D1568" s="8">
        <v>44</v>
      </c>
      <c r="E1568" s="8">
        <v>0</v>
      </c>
      <c r="F1568" s="8">
        <v>0</v>
      </c>
      <c r="G1568" s="8">
        <v>5</v>
      </c>
      <c r="H1568" s="8" t="s">
        <v>3457</v>
      </c>
      <c r="I1568" s="8">
        <v>526.6875</v>
      </c>
      <c r="J1568" s="3">
        <f t="shared" si="24"/>
        <v>43747.556223009255</v>
      </c>
    </row>
    <row r="1569" spans="1:10" x14ac:dyDescent="0.25">
      <c r="A1569" s="5" t="s">
        <v>3458</v>
      </c>
      <c r="B1569" s="6">
        <v>393.75</v>
      </c>
      <c r="C1569" s="6">
        <v>20.584240000000001</v>
      </c>
      <c r="D1569" s="6">
        <v>48</v>
      </c>
      <c r="E1569" s="6">
        <v>0</v>
      </c>
      <c r="F1569" s="6">
        <v>0</v>
      </c>
      <c r="G1569" s="6">
        <v>7</v>
      </c>
      <c r="H1569" s="6" t="s">
        <v>3459</v>
      </c>
      <c r="I1569" s="6">
        <v>526.6875</v>
      </c>
      <c r="J1569" s="2">
        <f t="shared" si="24"/>
        <v>43747.556306631937</v>
      </c>
    </row>
    <row r="1570" spans="1:10" x14ac:dyDescent="0.25">
      <c r="A1570" s="7" t="s">
        <v>3460</v>
      </c>
      <c r="B1570" s="8">
        <v>393.75</v>
      </c>
      <c r="C1570" s="8">
        <v>20.584240000000001</v>
      </c>
      <c r="D1570" s="8">
        <v>48</v>
      </c>
      <c r="E1570" s="8">
        <v>0</v>
      </c>
      <c r="F1570" s="8">
        <v>0</v>
      </c>
      <c r="G1570" s="8">
        <v>3</v>
      </c>
      <c r="H1570" s="8" t="s">
        <v>3461</v>
      </c>
      <c r="I1570" s="8">
        <v>526.6875</v>
      </c>
      <c r="J1570" s="3">
        <f t="shared" si="24"/>
        <v>43747.55639719907</v>
      </c>
    </row>
    <row r="1571" spans="1:10" x14ac:dyDescent="0.25">
      <c r="A1571" s="5" t="s">
        <v>3462</v>
      </c>
      <c r="B1571" s="6">
        <v>393.75</v>
      </c>
      <c r="C1571" s="6">
        <v>20.584240000000001</v>
      </c>
      <c r="D1571" s="6">
        <v>47</v>
      </c>
      <c r="E1571" s="6">
        <v>0</v>
      </c>
      <c r="F1571" s="6">
        <v>0</v>
      </c>
      <c r="G1571" s="6">
        <v>4</v>
      </c>
      <c r="H1571" s="6" t="s">
        <v>3463</v>
      </c>
      <c r="I1571" s="6">
        <v>526.6875</v>
      </c>
      <c r="J1571" s="2">
        <f t="shared" si="24"/>
        <v>43747.556473020835</v>
      </c>
    </row>
    <row r="1572" spans="1:10" x14ac:dyDescent="0.25">
      <c r="A1572" s="7" t="s">
        <v>3464</v>
      </c>
      <c r="B1572" s="8">
        <v>393.75</v>
      </c>
      <c r="C1572" s="8">
        <v>20.584240000000001</v>
      </c>
      <c r="D1572" s="8">
        <v>47</v>
      </c>
      <c r="E1572" s="8">
        <v>0</v>
      </c>
      <c r="F1572" s="8">
        <v>0</v>
      </c>
      <c r="G1572" s="8">
        <v>7</v>
      </c>
      <c r="H1572" s="8" t="s">
        <v>3465</v>
      </c>
      <c r="I1572" s="8">
        <v>526.6875</v>
      </c>
      <c r="J1572" s="3">
        <f t="shared" si="24"/>
        <v>43747.556556446762</v>
      </c>
    </row>
    <row r="1573" spans="1:10" x14ac:dyDescent="0.25">
      <c r="A1573" s="5" t="s">
        <v>3466</v>
      </c>
      <c r="B1573" s="6">
        <v>393.75</v>
      </c>
      <c r="C1573" s="6">
        <v>20.584240000000001</v>
      </c>
      <c r="D1573" s="6">
        <v>47</v>
      </c>
      <c r="E1573" s="6">
        <v>0</v>
      </c>
      <c r="F1573" s="6">
        <v>0</v>
      </c>
      <c r="G1573" s="6">
        <v>4</v>
      </c>
      <c r="H1573" s="6" t="s">
        <v>3467</v>
      </c>
      <c r="I1573" s="6">
        <v>526.6875</v>
      </c>
      <c r="J1573" s="2">
        <f t="shared" si="24"/>
        <v>43747.556628090279</v>
      </c>
    </row>
    <row r="1574" spans="1:10" x14ac:dyDescent="0.25">
      <c r="A1574" s="7" t="s">
        <v>3468</v>
      </c>
      <c r="B1574" s="8">
        <v>393.75</v>
      </c>
      <c r="C1574" s="8">
        <v>20.584240000000001</v>
      </c>
      <c r="D1574" s="8">
        <v>45</v>
      </c>
      <c r="E1574" s="8">
        <v>0</v>
      </c>
      <c r="F1574" s="8">
        <v>0</v>
      </c>
      <c r="G1574" s="8">
        <v>6</v>
      </c>
      <c r="H1574" s="8" t="s">
        <v>3469</v>
      </c>
      <c r="I1574" s="8">
        <v>526.6875</v>
      </c>
      <c r="J1574" s="3">
        <f t="shared" si="24"/>
        <v>43747.556711886573</v>
      </c>
    </row>
    <row r="1575" spans="1:10" x14ac:dyDescent="0.25">
      <c r="A1575" s="5" t="s">
        <v>3470</v>
      </c>
      <c r="B1575" s="6">
        <v>393.75</v>
      </c>
      <c r="C1575" s="6">
        <v>20.584240000000001</v>
      </c>
      <c r="D1575" s="6">
        <v>46</v>
      </c>
      <c r="E1575" s="6">
        <v>0</v>
      </c>
      <c r="F1575" s="6">
        <v>0</v>
      </c>
      <c r="G1575" s="6">
        <v>4</v>
      </c>
      <c r="H1575" s="6" t="s">
        <v>3471</v>
      </c>
      <c r="I1575" s="6">
        <v>526.6875</v>
      </c>
      <c r="J1575" s="2">
        <f t="shared" si="24"/>
        <v>43747.556795324075</v>
      </c>
    </row>
    <row r="1576" spans="1:10" x14ac:dyDescent="0.25">
      <c r="A1576" s="7" t="s">
        <v>3472</v>
      </c>
      <c r="B1576" s="8">
        <v>393.75</v>
      </c>
      <c r="C1576" s="8">
        <v>20.584240000000001</v>
      </c>
      <c r="D1576" s="8">
        <v>46</v>
      </c>
      <c r="E1576" s="8">
        <v>0</v>
      </c>
      <c r="F1576" s="8">
        <v>0</v>
      </c>
      <c r="G1576" s="8">
        <v>3</v>
      </c>
      <c r="H1576" s="8" t="s">
        <v>3473</v>
      </c>
      <c r="I1576" s="8">
        <v>526.6875</v>
      </c>
      <c r="J1576" s="3">
        <f t="shared" si="24"/>
        <v>43747.556878541662</v>
      </c>
    </row>
    <row r="1577" spans="1:10" x14ac:dyDescent="0.25">
      <c r="A1577" s="5" t="s">
        <v>3474</v>
      </c>
      <c r="B1577" s="6">
        <v>393.75</v>
      </c>
      <c r="C1577" s="6">
        <v>20.584240000000001</v>
      </c>
      <c r="D1577" s="6">
        <v>47</v>
      </c>
      <c r="E1577" s="6">
        <v>0</v>
      </c>
      <c r="F1577" s="6">
        <v>0</v>
      </c>
      <c r="G1577" s="6">
        <v>0</v>
      </c>
      <c r="H1577" s="6" t="s">
        <v>3475</v>
      </c>
      <c r="I1577" s="6">
        <v>526.6875</v>
      </c>
      <c r="J1577" s="2">
        <f t="shared" si="24"/>
        <v>43747.556962129624</v>
      </c>
    </row>
    <row r="1578" spans="1:10" x14ac:dyDescent="0.25">
      <c r="A1578" s="7" t="s">
        <v>3476</v>
      </c>
      <c r="B1578" s="8">
        <v>393.75</v>
      </c>
      <c r="C1578" s="8">
        <v>20.531590000000001</v>
      </c>
      <c r="D1578" s="8">
        <v>47</v>
      </c>
      <c r="E1578" s="8">
        <v>0</v>
      </c>
      <c r="F1578" s="8">
        <v>0</v>
      </c>
      <c r="G1578" s="8">
        <v>10</v>
      </c>
      <c r="H1578" s="8" t="s">
        <v>3477</v>
      </c>
      <c r="I1578" s="8">
        <v>526.6875</v>
      </c>
      <c r="J1578" s="3">
        <f t="shared" si="24"/>
        <v>43747.557033657409</v>
      </c>
    </row>
    <row r="1579" spans="1:10" x14ac:dyDescent="0.25">
      <c r="A1579" s="5" t="s">
        <v>3478</v>
      </c>
      <c r="B1579" s="6">
        <v>393.75</v>
      </c>
      <c r="C1579" s="6">
        <v>20.584240000000001</v>
      </c>
      <c r="D1579" s="6">
        <v>47</v>
      </c>
      <c r="E1579" s="6">
        <v>0</v>
      </c>
      <c r="F1579" s="6">
        <v>0</v>
      </c>
      <c r="G1579" s="6">
        <v>6</v>
      </c>
      <c r="H1579" s="6" t="s">
        <v>3479</v>
      </c>
      <c r="I1579" s="6">
        <v>526.6875</v>
      </c>
      <c r="J1579" s="2">
        <f t="shared" si="24"/>
        <v>43747.557117083335</v>
      </c>
    </row>
    <row r="1580" spans="1:10" x14ac:dyDescent="0.25">
      <c r="A1580" s="7" t="s">
        <v>3480</v>
      </c>
      <c r="B1580" s="8">
        <v>393.75</v>
      </c>
      <c r="C1580" s="8">
        <v>20.531590000000001</v>
      </c>
      <c r="D1580" s="8">
        <v>47</v>
      </c>
      <c r="E1580" s="8">
        <v>0</v>
      </c>
      <c r="F1580" s="8">
        <v>0</v>
      </c>
      <c r="G1580" s="8">
        <v>0</v>
      </c>
      <c r="H1580" s="8" t="s">
        <v>3481</v>
      </c>
      <c r="I1580" s="8">
        <v>526.6875</v>
      </c>
      <c r="J1580" s="3">
        <f t="shared" si="24"/>
        <v>43747.55720077546</v>
      </c>
    </row>
    <row r="1581" spans="1:10" x14ac:dyDescent="0.25">
      <c r="A1581" s="5" t="s">
        <v>3482</v>
      </c>
      <c r="B1581" s="6">
        <v>393.75</v>
      </c>
      <c r="C1581" s="6">
        <v>20.584240000000001</v>
      </c>
      <c r="D1581" s="6">
        <v>46</v>
      </c>
      <c r="E1581" s="6">
        <v>0</v>
      </c>
      <c r="F1581" s="6">
        <v>0</v>
      </c>
      <c r="G1581" s="6">
        <v>6</v>
      </c>
      <c r="H1581" s="6" t="s">
        <v>3483</v>
      </c>
      <c r="I1581" s="6">
        <v>526.6875</v>
      </c>
      <c r="J1581" s="2">
        <f t="shared" si="24"/>
        <v>43747.557284131944</v>
      </c>
    </row>
    <row r="1582" spans="1:10" x14ac:dyDescent="0.25">
      <c r="A1582" s="7" t="s">
        <v>3484</v>
      </c>
      <c r="B1582" s="8">
        <v>393.75</v>
      </c>
      <c r="C1582" s="8">
        <v>20.584240000000001</v>
      </c>
      <c r="D1582" s="8">
        <v>45</v>
      </c>
      <c r="E1582" s="8">
        <v>0</v>
      </c>
      <c r="F1582" s="8">
        <v>0</v>
      </c>
      <c r="G1582" s="8">
        <v>7</v>
      </c>
      <c r="H1582" s="8" t="s">
        <v>3485</v>
      </c>
      <c r="I1582" s="8">
        <v>526.5</v>
      </c>
      <c r="J1582" s="3">
        <f t="shared" si="24"/>
        <v>43747.557367442125</v>
      </c>
    </row>
    <row r="1583" spans="1:10" x14ac:dyDescent="0.25">
      <c r="A1583" s="5" t="s">
        <v>3486</v>
      </c>
      <c r="B1583" s="6">
        <v>393.75</v>
      </c>
      <c r="C1583" s="6">
        <v>20.584240000000001</v>
      </c>
      <c r="D1583" s="6">
        <v>45</v>
      </c>
      <c r="E1583" s="6">
        <v>0</v>
      </c>
      <c r="F1583" s="6">
        <v>0</v>
      </c>
      <c r="G1583" s="6">
        <v>8</v>
      </c>
      <c r="H1583" s="6" t="s">
        <v>3487</v>
      </c>
      <c r="I1583" s="6">
        <v>526.6875</v>
      </c>
      <c r="J1583" s="2">
        <f t="shared" si="24"/>
        <v>43747.557451018518</v>
      </c>
    </row>
    <row r="1584" spans="1:10" x14ac:dyDescent="0.25">
      <c r="A1584" s="7" t="s">
        <v>3488</v>
      </c>
      <c r="B1584" s="8">
        <v>412.5</v>
      </c>
      <c r="C1584" s="8">
        <v>20.584240000000001</v>
      </c>
      <c r="D1584" s="8">
        <v>42</v>
      </c>
      <c r="E1584" s="8">
        <v>0</v>
      </c>
      <c r="F1584" s="8">
        <v>0</v>
      </c>
      <c r="G1584" s="8">
        <v>13</v>
      </c>
      <c r="H1584" s="8" t="s">
        <v>3489</v>
      </c>
      <c r="I1584" s="8">
        <v>532.3125</v>
      </c>
      <c r="J1584" s="3">
        <f t="shared" si="24"/>
        <v>43747.557534120373</v>
      </c>
    </row>
    <row r="1585" spans="1:10" x14ac:dyDescent="0.25">
      <c r="A1585" s="5" t="s">
        <v>3490</v>
      </c>
      <c r="B1585" s="6">
        <v>393.75</v>
      </c>
      <c r="C1585" s="6">
        <v>20.584240000000001</v>
      </c>
      <c r="D1585" s="6">
        <v>42</v>
      </c>
      <c r="E1585" s="6">
        <v>0</v>
      </c>
      <c r="F1585" s="6">
        <v>0</v>
      </c>
      <c r="G1585" s="6">
        <v>10</v>
      </c>
      <c r="H1585" s="6" t="s">
        <v>3491</v>
      </c>
      <c r="I1585" s="6">
        <v>526.6875</v>
      </c>
      <c r="J1585" s="2">
        <f t="shared" si="24"/>
        <v>43747.557605891205</v>
      </c>
    </row>
    <row r="1586" spans="1:10" x14ac:dyDescent="0.25">
      <c r="A1586" s="7" t="s">
        <v>3492</v>
      </c>
      <c r="B1586" s="8">
        <v>393.75</v>
      </c>
      <c r="C1586" s="8">
        <v>20.584240000000001</v>
      </c>
      <c r="D1586" s="8">
        <v>42</v>
      </c>
      <c r="E1586" s="8">
        <v>0</v>
      </c>
      <c r="F1586" s="8">
        <v>0</v>
      </c>
      <c r="G1586" s="8">
        <v>9</v>
      </c>
      <c r="H1586" s="8" t="s">
        <v>3493</v>
      </c>
      <c r="I1586" s="8">
        <v>526.6875</v>
      </c>
      <c r="J1586" s="3">
        <f t="shared" si="24"/>
        <v>43747.557677523146</v>
      </c>
    </row>
    <row r="1587" spans="1:10" x14ac:dyDescent="0.25">
      <c r="A1587" s="5" t="s">
        <v>3494</v>
      </c>
      <c r="B1587" s="6">
        <v>393.75</v>
      </c>
      <c r="C1587" s="6">
        <v>20.584240000000001</v>
      </c>
      <c r="D1587" s="6">
        <v>42</v>
      </c>
      <c r="E1587" s="6">
        <v>0</v>
      </c>
      <c r="F1587" s="6">
        <v>0</v>
      </c>
      <c r="G1587" s="6">
        <v>0</v>
      </c>
      <c r="H1587" s="6" t="s">
        <v>3495</v>
      </c>
      <c r="I1587" s="6">
        <v>526.5</v>
      </c>
      <c r="J1587" s="2">
        <f t="shared" si="24"/>
        <v>43747.557760960648</v>
      </c>
    </row>
    <row r="1588" spans="1:10" x14ac:dyDescent="0.25">
      <c r="A1588" s="7" t="s">
        <v>3496</v>
      </c>
      <c r="B1588" s="8">
        <v>393.75</v>
      </c>
      <c r="C1588" s="8">
        <v>20.584240000000001</v>
      </c>
      <c r="D1588" s="8">
        <v>42</v>
      </c>
      <c r="E1588" s="8">
        <v>0</v>
      </c>
      <c r="F1588" s="8">
        <v>0</v>
      </c>
      <c r="G1588" s="8">
        <v>10</v>
      </c>
      <c r="H1588" s="8" t="s">
        <v>3497</v>
      </c>
      <c r="I1588" s="8">
        <v>526.6875</v>
      </c>
      <c r="J1588" s="3">
        <f t="shared" si="24"/>
        <v>43747.557832500002</v>
      </c>
    </row>
    <row r="1589" spans="1:10" x14ac:dyDescent="0.25">
      <c r="A1589" s="5" t="s">
        <v>3498</v>
      </c>
      <c r="B1589" s="6">
        <v>393.75</v>
      </c>
      <c r="C1589" s="6">
        <v>20.584240000000001</v>
      </c>
      <c r="D1589" s="6">
        <v>42</v>
      </c>
      <c r="E1589" s="6">
        <v>0</v>
      </c>
      <c r="F1589" s="6">
        <v>0</v>
      </c>
      <c r="G1589" s="6">
        <v>14</v>
      </c>
      <c r="H1589" s="6" t="s">
        <v>3499</v>
      </c>
      <c r="I1589" s="6">
        <v>526.6875</v>
      </c>
      <c r="J1589" s="2">
        <f t="shared" si="24"/>
        <v>43747.55791570602</v>
      </c>
    </row>
    <row r="1590" spans="1:10" x14ac:dyDescent="0.25">
      <c r="A1590" s="7" t="s">
        <v>3500</v>
      </c>
      <c r="B1590" s="8">
        <v>393.75</v>
      </c>
      <c r="C1590" s="8">
        <v>20.584240000000001</v>
      </c>
      <c r="D1590" s="8">
        <v>42</v>
      </c>
      <c r="E1590" s="8">
        <v>0</v>
      </c>
      <c r="F1590" s="8">
        <v>0</v>
      </c>
      <c r="G1590" s="8">
        <v>3</v>
      </c>
      <c r="H1590" s="8" t="s">
        <v>3501</v>
      </c>
      <c r="I1590" s="8">
        <v>526.6875</v>
      </c>
      <c r="J1590" s="3">
        <f t="shared" si="24"/>
        <v>43747.557987592591</v>
      </c>
    </row>
    <row r="1591" spans="1:10" x14ac:dyDescent="0.25">
      <c r="A1591" s="5" t="s">
        <v>3502</v>
      </c>
      <c r="B1591" s="6">
        <v>393.75</v>
      </c>
      <c r="C1591" s="6">
        <v>20.584240000000001</v>
      </c>
      <c r="D1591" s="6">
        <v>42</v>
      </c>
      <c r="E1591" s="6">
        <v>0</v>
      </c>
      <c r="F1591" s="6">
        <v>0</v>
      </c>
      <c r="G1591" s="6">
        <v>7</v>
      </c>
      <c r="H1591" s="6" t="s">
        <v>3503</v>
      </c>
      <c r="I1591" s="6">
        <v>526.6875</v>
      </c>
      <c r="J1591" s="2">
        <f t="shared" si="24"/>
        <v>43747.558071157408</v>
      </c>
    </row>
    <row r="1592" spans="1:10" x14ac:dyDescent="0.25">
      <c r="A1592" s="7" t="s">
        <v>3504</v>
      </c>
      <c r="B1592" s="8">
        <v>393.75</v>
      </c>
      <c r="C1592" s="8">
        <v>20.584240000000001</v>
      </c>
      <c r="D1592" s="8">
        <v>42</v>
      </c>
      <c r="E1592" s="8">
        <v>0</v>
      </c>
      <c r="F1592" s="8">
        <v>0</v>
      </c>
      <c r="G1592" s="8">
        <v>8</v>
      </c>
      <c r="H1592" s="8" t="s">
        <v>3505</v>
      </c>
      <c r="I1592" s="8">
        <v>526.875</v>
      </c>
      <c r="J1592" s="3">
        <f t="shared" si="24"/>
        <v>43747.558166446754</v>
      </c>
    </row>
    <row r="1593" spans="1:10" x14ac:dyDescent="0.25">
      <c r="A1593" s="5" t="s">
        <v>3506</v>
      </c>
      <c r="B1593" s="6">
        <v>393.75</v>
      </c>
      <c r="C1593" s="6">
        <v>20.584240000000001</v>
      </c>
      <c r="D1593" s="6">
        <v>42</v>
      </c>
      <c r="E1593" s="6">
        <v>0</v>
      </c>
      <c r="F1593" s="6">
        <v>0</v>
      </c>
      <c r="G1593" s="6">
        <v>4</v>
      </c>
      <c r="H1593" s="6" t="s">
        <v>3507</v>
      </c>
      <c r="I1593" s="6">
        <v>526.6875</v>
      </c>
      <c r="J1593" s="2">
        <f t="shared" si="24"/>
        <v>43747.558249895832</v>
      </c>
    </row>
    <row r="1594" spans="1:10" x14ac:dyDescent="0.25">
      <c r="A1594" s="7" t="s">
        <v>3508</v>
      </c>
      <c r="B1594" s="8">
        <v>393.75</v>
      </c>
      <c r="C1594" s="8">
        <v>20.584240000000001</v>
      </c>
      <c r="D1594" s="8">
        <v>43</v>
      </c>
      <c r="E1594" s="8">
        <v>0</v>
      </c>
      <c r="F1594" s="8">
        <v>0</v>
      </c>
      <c r="G1594" s="8">
        <v>0</v>
      </c>
      <c r="H1594" s="8" t="s">
        <v>3509</v>
      </c>
      <c r="I1594" s="8">
        <v>526.6875</v>
      </c>
      <c r="J1594" s="3">
        <f t="shared" si="24"/>
        <v>43747.558321412034</v>
      </c>
    </row>
    <row r="1595" spans="1:10" x14ac:dyDescent="0.25">
      <c r="A1595" s="5" t="s">
        <v>3510</v>
      </c>
      <c r="B1595" s="6">
        <v>393.75</v>
      </c>
      <c r="C1595" s="6">
        <v>20.584240000000001</v>
      </c>
      <c r="D1595" s="6">
        <v>43</v>
      </c>
      <c r="E1595" s="6">
        <v>0</v>
      </c>
      <c r="F1595" s="6">
        <v>0</v>
      </c>
      <c r="G1595" s="6">
        <v>6</v>
      </c>
      <c r="H1595" s="6" t="s">
        <v>3511</v>
      </c>
      <c r="I1595" s="6">
        <v>526.6875</v>
      </c>
      <c r="J1595" s="2">
        <f t="shared" si="24"/>
        <v>43747.558392685183</v>
      </c>
    </row>
    <row r="1596" spans="1:10" x14ac:dyDescent="0.25">
      <c r="A1596" s="7" t="s">
        <v>3512</v>
      </c>
      <c r="B1596" s="8">
        <v>393.75</v>
      </c>
      <c r="C1596" s="8">
        <v>20.584240000000001</v>
      </c>
      <c r="D1596" s="8">
        <v>43</v>
      </c>
      <c r="E1596" s="8">
        <v>0</v>
      </c>
      <c r="F1596" s="8">
        <v>0</v>
      </c>
      <c r="G1596" s="8">
        <v>3</v>
      </c>
      <c r="H1596" s="8" t="s">
        <v>3513</v>
      </c>
      <c r="I1596" s="8">
        <v>526.6875</v>
      </c>
      <c r="J1596" s="3">
        <f t="shared" si="24"/>
        <v>43747.558476493054</v>
      </c>
    </row>
    <row r="1597" spans="1:10" x14ac:dyDescent="0.25">
      <c r="A1597" s="5" t="s">
        <v>3514</v>
      </c>
      <c r="B1597" s="6">
        <v>393.75</v>
      </c>
      <c r="C1597" s="6">
        <v>20.584240000000001</v>
      </c>
      <c r="D1597" s="6">
        <v>45</v>
      </c>
      <c r="E1597" s="6">
        <v>0</v>
      </c>
      <c r="F1597" s="6">
        <v>0</v>
      </c>
      <c r="G1597" s="6">
        <v>3</v>
      </c>
      <c r="H1597" s="6" t="s">
        <v>3515</v>
      </c>
      <c r="I1597" s="6">
        <v>526.6875</v>
      </c>
      <c r="J1597" s="2">
        <f t="shared" si="24"/>
        <v>43747.558560081015</v>
      </c>
    </row>
    <row r="1598" spans="1:10" x14ac:dyDescent="0.25">
      <c r="A1598" s="7" t="s">
        <v>3516</v>
      </c>
      <c r="B1598" s="8">
        <v>393.75</v>
      </c>
      <c r="C1598" s="8">
        <v>20.584240000000001</v>
      </c>
      <c r="D1598" s="8">
        <v>44</v>
      </c>
      <c r="E1598" s="8">
        <v>0</v>
      </c>
      <c r="F1598" s="8">
        <v>0</v>
      </c>
      <c r="G1598" s="8">
        <v>0</v>
      </c>
      <c r="H1598" s="8" t="s">
        <v>3517</v>
      </c>
      <c r="I1598" s="8">
        <v>526.6875</v>
      </c>
      <c r="J1598" s="3">
        <f t="shared" si="24"/>
        <v>43747.558643402772</v>
      </c>
    </row>
    <row r="1599" spans="1:10" x14ac:dyDescent="0.25">
      <c r="A1599" s="5" t="s">
        <v>3518</v>
      </c>
      <c r="B1599" s="6">
        <v>393.75</v>
      </c>
      <c r="C1599" s="6">
        <v>20.584240000000001</v>
      </c>
      <c r="D1599" s="6">
        <v>45</v>
      </c>
      <c r="E1599" s="6">
        <v>0</v>
      </c>
      <c r="F1599" s="6">
        <v>0</v>
      </c>
      <c r="G1599" s="6">
        <v>0</v>
      </c>
      <c r="H1599" s="6" t="s">
        <v>3519</v>
      </c>
      <c r="I1599" s="6">
        <v>526.6875</v>
      </c>
      <c r="J1599" s="2">
        <f t="shared" si="24"/>
        <v>43747.558726747688</v>
      </c>
    </row>
    <row r="1600" spans="1:10" x14ac:dyDescent="0.25">
      <c r="A1600" s="7" t="s">
        <v>3520</v>
      </c>
      <c r="B1600" s="8">
        <v>393.75</v>
      </c>
      <c r="C1600" s="8">
        <v>20.584240000000001</v>
      </c>
      <c r="D1600" s="8">
        <v>45</v>
      </c>
      <c r="E1600" s="8">
        <v>0</v>
      </c>
      <c r="F1600" s="8">
        <v>0</v>
      </c>
      <c r="G1600" s="8">
        <v>11</v>
      </c>
      <c r="H1600" s="8" t="s">
        <v>3521</v>
      </c>
      <c r="I1600" s="8">
        <v>526.5</v>
      </c>
      <c r="J1600" s="3">
        <f t="shared" si="24"/>
        <v>43747.558810289345</v>
      </c>
    </row>
    <row r="1601" spans="1:10" x14ac:dyDescent="0.25">
      <c r="A1601" s="5" t="s">
        <v>3522</v>
      </c>
      <c r="B1601" s="6">
        <v>393.75</v>
      </c>
      <c r="C1601" s="6">
        <v>20.584240000000001</v>
      </c>
      <c r="D1601" s="6">
        <v>45</v>
      </c>
      <c r="E1601" s="6">
        <v>0</v>
      </c>
      <c r="F1601" s="6">
        <v>0</v>
      </c>
      <c r="G1601" s="6">
        <v>4</v>
      </c>
      <c r="H1601" s="6" t="s">
        <v>3523</v>
      </c>
      <c r="I1601" s="6">
        <v>526.6875</v>
      </c>
      <c r="J1601" s="2">
        <f t="shared" si="24"/>
        <v>43747.558893518515</v>
      </c>
    </row>
    <row r="1602" spans="1:10" x14ac:dyDescent="0.25">
      <c r="A1602" s="7" t="s">
        <v>3524</v>
      </c>
      <c r="B1602" s="8">
        <v>393.75</v>
      </c>
      <c r="C1602" s="8">
        <v>20.584240000000001</v>
      </c>
      <c r="D1602" s="8">
        <v>45</v>
      </c>
      <c r="E1602" s="8">
        <v>0</v>
      </c>
      <c r="F1602" s="8">
        <v>0</v>
      </c>
      <c r="G1602" s="8">
        <v>14</v>
      </c>
      <c r="H1602" s="8" t="s">
        <v>3525</v>
      </c>
      <c r="I1602" s="8">
        <v>526.5</v>
      </c>
      <c r="J1602" s="3">
        <f t="shared" ref="J1602:J1665" si="25">(H1602/86400000)+25569+(7/24)</f>
        <v>43747.558965046293</v>
      </c>
    </row>
    <row r="1603" spans="1:10" x14ac:dyDescent="0.25">
      <c r="A1603" s="5" t="s">
        <v>3526</v>
      </c>
      <c r="B1603" s="6">
        <v>393.75</v>
      </c>
      <c r="C1603" s="6">
        <v>20.584240000000001</v>
      </c>
      <c r="D1603" s="6">
        <v>44</v>
      </c>
      <c r="E1603" s="6">
        <v>0</v>
      </c>
      <c r="F1603" s="6">
        <v>0</v>
      </c>
      <c r="G1603" s="6">
        <v>17</v>
      </c>
      <c r="H1603" s="6" t="s">
        <v>3527</v>
      </c>
      <c r="I1603" s="6">
        <v>526.6875</v>
      </c>
      <c r="J1603" s="2">
        <f t="shared" si="25"/>
        <v>43747.559049062496</v>
      </c>
    </row>
    <row r="1604" spans="1:10" x14ac:dyDescent="0.25">
      <c r="A1604" s="7" t="s">
        <v>3528</v>
      </c>
      <c r="B1604" s="8">
        <v>393.75</v>
      </c>
      <c r="C1604" s="8">
        <v>20.584240000000001</v>
      </c>
      <c r="D1604" s="8">
        <v>44</v>
      </c>
      <c r="E1604" s="8">
        <v>0</v>
      </c>
      <c r="F1604" s="8">
        <v>0</v>
      </c>
      <c r="G1604" s="8">
        <v>11</v>
      </c>
      <c r="H1604" s="8" t="s">
        <v>3529</v>
      </c>
      <c r="I1604" s="8">
        <v>526.6875</v>
      </c>
      <c r="J1604" s="3">
        <f t="shared" si="25"/>
        <v>43747.559132303235</v>
      </c>
    </row>
    <row r="1605" spans="1:10" x14ac:dyDescent="0.25">
      <c r="A1605" s="5" t="s">
        <v>3530</v>
      </c>
      <c r="B1605" s="6">
        <v>393.75</v>
      </c>
      <c r="C1605" s="6">
        <v>20.584240000000001</v>
      </c>
      <c r="D1605" s="6">
        <v>47</v>
      </c>
      <c r="E1605" s="6">
        <v>0</v>
      </c>
      <c r="F1605" s="6">
        <v>0</v>
      </c>
      <c r="G1605" s="6">
        <v>8</v>
      </c>
      <c r="H1605" s="6" t="s">
        <v>3531</v>
      </c>
      <c r="I1605" s="6">
        <v>526.6875</v>
      </c>
      <c r="J1605" s="2">
        <f t="shared" si="25"/>
        <v>43747.559215613423</v>
      </c>
    </row>
    <row r="1606" spans="1:10" x14ac:dyDescent="0.25">
      <c r="A1606" s="7" t="s">
        <v>3532</v>
      </c>
      <c r="B1606" s="8">
        <v>393.75</v>
      </c>
      <c r="C1606" s="8">
        <v>20.584240000000001</v>
      </c>
      <c r="D1606" s="8">
        <v>47</v>
      </c>
      <c r="E1606" s="8">
        <v>0</v>
      </c>
      <c r="F1606" s="8">
        <v>0</v>
      </c>
      <c r="G1606" s="8">
        <v>14</v>
      </c>
      <c r="H1606" s="8" t="s">
        <v>3533</v>
      </c>
      <c r="I1606" s="8">
        <v>526.6875</v>
      </c>
      <c r="J1606" s="3">
        <f t="shared" si="25"/>
        <v>43747.55929917824</v>
      </c>
    </row>
    <row r="1607" spans="1:10" x14ac:dyDescent="0.25">
      <c r="A1607" s="5" t="s">
        <v>3534</v>
      </c>
      <c r="B1607" s="6">
        <v>393.75</v>
      </c>
      <c r="C1607" s="6">
        <v>20.584240000000001</v>
      </c>
      <c r="D1607" s="6">
        <v>45</v>
      </c>
      <c r="E1607" s="6">
        <v>0</v>
      </c>
      <c r="F1607" s="6">
        <v>0</v>
      </c>
      <c r="G1607" s="6">
        <v>23</v>
      </c>
      <c r="H1607" s="6" t="s">
        <v>3535</v>
      </c>
      <c r="I1607" s="6">
        <v>526.6875</v>
      </c>
      <c r="J1607" s="2">
        <f t="shared" si="25"/>
        <v>43747.559382395826</v>
      </c>
    </row>
    <row r="1608" spans="1:10" x14ac:dyDescent="0.25">
      <c r="A1608" s="7" t="s">
        <v>3536</v>
      </c>
      <c r="B1608" s="8">
        <v>393.75</v>
      </c>
      <c r="C1608" s="8">
        <v>20.584240000000001</v>
      </c>
      <c r="D1608" s="8">
        <v>45</v>
      </c>
      <c r="E1608" s="8">
        <v>0</v>
      </c>
      <c r="F1608" s="8">
        <v>0</v>
      </c>
      <c r="G1608" s="8">
        <v>7</v>
      </c>
      <c r="H1608" s="8" t="s">
        <v>3537</v>
      </c>
      <c r="I1608" s="8">
        <v>526.6875</v>
      </c>
      <c r="J1608" s="3">
        <f t="shared" si="25"/>
        <v>43747.55945393518</v>
      </c>
    </row>
    <row r="1609" spans="1:10" x14ac:dyDescent="0.25">
      <c r="A1609" s="5" t="s">
        <v>3538</v>
      </c>
      <c r="B1609" s="6">
        <v>393.75</v>
      </c>
      <c r="C1609" s="6">
        <v>20.584240000000001</v>
      </c>
      <c r="D1609" s="6">
        <v>47</v>
      </c>
      <c r="E1609" s="6">
        <v>0</v>
      </c>
      <c r="F1609" s="6">
        <v>0</v>
      </c>
      <c r="G1609" s="6">
        <v>12</v>
      </c>
      <c r="H1609" s="6" t="s">
        <v>3539</v>
      </c>
      <c r="I1609" s="6">
        <v>526.6875</v>
      </c>
      <c r="J1609" s="2">
        <f t="shared" si="25"/>
        <v>43747.559537962959</v>
      </c>
    </row>
    <row r="1610" spans="1:10" x14ac:dyDescent="0.25">
      <c r="A1610" s="7" t="s">
        <v>3540</v>
      </c>
      <c r="B1610" s="8">
        <v>393.75</v>
      </c>
      <c r="C1610" s="8">
        <v>20.584240000000001</v>
      </c>
      <c r="D1610" s="8">
        <v>47</v>
      </c>
      <c r="E1610" s="8">
        <v>0</v>
      </c>
      <c r="F1610" s="8">
        <v>0</v>
      </c>
      <c r="G1610" s="8">
        <v>12</v>
      </c>
      <c r="H1610" s="8" t="s">
        <v>3541</v>
      </c>
      <c r="I1610" s="8">
        <v>526.6875</v>
      </c>
      <c r="J1610" s="3">
        <f t="shared" si="25"/>
        <v>43747.559621180553</v>
      </c>
    </row>
    <row r="1611" spans="1:10" x14ac:dyDescent="0.25">
      <c r="A1611" s="5" t="s">
        <v>3542</v>
      </c>
      <c r="B1611" s="6">
        <v>393.75</v>
      </c>
      <c r="C1611" s="6">
        <v>20.584240000000001</v>
      </c>
      <c r="D1611" s="6">
        <v>47</v>
      </c>
      <c r="E1611" s="6">
        <v>0</v>
      </c>
      <c r="F1611" s="6">
        <v>0</v>
      </c>
      <c r="G1611" s="6">
        <v>13</v>
      </c>
      <c r="H1611" s="6" t="s">
        <v>3543</v>
      </c>
      <c r="I1611" s="6">
        <v>526.6875</v>
      </c>
      <c r="J1611" s="2">
        <f t="shared" si="25"/>
        <v>43747.55970450231</v>
      </c>
    </row>
    <row r="1612" spans="1:10" x14ac:dyDescent="0.25">
      <c r="A1612" s="7" t="s">
        <v>3544</v>
      </c>
      <c r="B1612" s="8">
        <v>393.75</v>
      </c>
      <c r="C1612" s="8">
        <v>20.584240000000001</v>
      </c>
      <c r="D1612" s="8">
        <v>46</v>
      </c>
      <c r="E1612" s="8">
        <v>0</v>
      </c>
      <c r="F1612" s="8">
        <v>0</v>
      </c>
      <c r="G1612" s="8">
        <v>8</v>
      </c>
      <c r="H1612" s="8" t="s">
        <v>3545</v>
      </c>
      <c r="I1612" s="8">
        <v>526.6875</v>
      </c>
      <c r="J1612" s="3">
        <f t="shared" si="25"/>
        <v>43747.559788090271</v>
      </c>
    </row>
    <row r="1613" spans="1:10" x14ac:dyDescent="0.25">
      <c r="A1613" s="5" t="s">
        <v>3546</v>
      </c>
      <c r="B1613" s="6">
        <v>393.75</v>
      </c>
      <c r="C1613" s="6">
        <v>20.584240000000001</v>
      </c>
      <c r="D1613" s="6">
        <v>45</v>
      </c>
      <c r="E1613" s="6">
        <v>0</v>
      </c>
      <c r="F1613" s="6">
        <v>0</v>
      </c>
      <c r="G1613" s="6">
        <v>3</v>
      </c>
      <c r="H1613" s="6" t="s">
        <v>3547</v>
      </c>
      <c r="I1613" s="6">
        <v>526.6875</v>
      </c>
      <c r="J1613" s="2">
        <f t="shared" si="25"/>
        <v>43747.559871296289</v>
      </c>
    </row>
    <row r="1614" spans="1:10" x14ac:dyDescent="0.25">
      <c r="A1614" s="7" t="s">
        <v>3548</v>
      </c>
      <c r="B1614" s="8">
        <v>393.75</v>
      </c>
      <c r="C1614" s="8">
        <v>20.584240000000001</v>
      </c>
      <c r="D1614" s="8">
        <v>45</v>
      </c>
      <c r="E1614" s="8">
        <v>0</v>
      </c>
      <c r="F1614" s="8">
        <v>0</v>
      </c>
      <c r="G1614" s="8">
        <v>12</v>
      </c>
      <c r="H1614" s="8" t="s">
        <v>3549</v>
      </c>
      <c r="I1614" s="8">
        <v>526.6875</v>
      </c>
      <c r="J1614" s="3">
        <f t="shared" si="25"/>
        <v>43747.559942812499</v>
      </c>
    </row>
    <row r="1615" spans="1:10" x14ac:dyDescent="0.25">
      <c r="A1615" s="5" t="s">
        <v>3550</v>
      </c>
      <c r="B1615" s="6">
        <v>393.75</v>
      </c>
      <c r="C1615" s="6">
        <v>20.531590000000001</v>
      </c>
      <c r="D1615" s="6">
        <v>44</v>
      </c>
      <c r="E1615" s="6">
        <v>0</v>
      </c>
      <c r="F1615" s="6">
        <v>0</v>
      </c>
      <c r="G1615" s="6">
        <v>4</v>
      </c>
      <c r="H1615" s="6" t="s">
        <v>3551</v>
      </c>
      <c r="I1615" s="6">
        <v>526.6875</v>
      </c>
      <c r="J1615" s="2">
        <f t="shared" si="25"/>
        <v>43747.560026747684</v>
      </c>
    </row>
    <row r="1616" spans="1:10" x14ac:dyDescent="0.25">
      <c r="A1616" s="7" t="s">
        <v>3552</v>
      </c>
      <c r="B1616" s="8">
        <v>393.75</v>
      </c>
      <c r="C1616" s="8">
        <v>20.584240000000001</v>
      </c>
      <c r="D1616" s="8">
        <v>43</v>
      </c>
      <c r="E1616" s="8">
        <v>0</v>
      </c>
      <c r="F1616" s="8">
        <v>0</v>
      </c>
      <c r="G1616" s="8">
        <v>11</v>
      </c>
      <c r="H1616" s="8" t="s">
        <v>3553</v>
      </c>
      <c r="I1616" s="8">
        <v>526.6875</v>
      </c>
      <c r="J1616" s="3">
        <f t="shared" si="25"/>
        <v>43747.560110057871</v>
      </c>
    </row>
    <row r="1617" spans="1:10" x14ac:dyDescent="0.25">
      <c r="A1617" s="5" t="s">
        <v>3554</v>
      </c>
      <c r="B1617" s="6">
        <v>393.75</v>
      </c>
      <c r="C1617" s="6">
        <v>20.584240000000001</v>
      </c>
      <c r="D1617" s="6">
        <v>42</v>
      </c>
      <c r="E1617" s="6">
        <v>0</v>
      </c>
      <c r="F1617" s="6">
        <v>0</v>
      </c>
      <c r="G1617" s="6">
        <v>12</v>
      </c>
      <c r="H1617" s="6" t="s">
        <v>3555</v>
      </c>
      <c r="I1617" s="6">
        <v>526.6875</v>
      </c>
      <c r="J1617" s="2">
        <f t="shared" si="25"/>
        <v>43747.560181724533</v>
      </c>
    </row>
    <row r="1618" spans="1:10" x14ac:dyDescent="0.25">
      <c r="A1618" s="7" t="s">
        <v>3556</v>
      </c>
      <c r="B1618" s="8">
        <v>393.75</v>
      </c>
      <c r="C1618" s="8">
        <v>20.584240000000001</v>
      </c>
      <c r="D1618" s="8">
        <v>42</v>
      </c>
      <c r="E1618" s="8">
        <v>0</v>
      </c>
      <c r="F1618" s="8">
        <v>0</v>
      </c>
      <c r="G1618" s="8">
        <v>13</v>
      </c>
      <c r="H1618" s="8" t="s">
        <v>3557</v>
      </c>
      <c r="I1618" s="8">
        <v>526.5</v>
      </c>
      <c r="J1618" s="3">
        <f t="shared" si="25"/>
        <v>43747.560265034721</v>
      </c>
    </row>
    <row r="1619" spans="1:10" x14ac:dyDescent="0.25">
      <c r="A1619" s="5" t="s">
        <v>3558</v>
      </c>
      <c r="B1619" s="6">
        <v>393.75</v>
      </c>
      <c r="C1619" s="6">
        <v>20.584240000000001</v>
      </c>
      <c r="D1619" s="6">
        <v>44</v>
      </c>
      <c r="E1619" s="6">
        <v>0</v>
      </c>
      <c r="F1619" s="6">
        <v>0</v>
      </c>
      <c r="G1619" s="6">
        <v>8</v>
      </c>
      <c r="H1619" s="6" t="s">
        <v>3559</v>
      </c>
      <c r="I1619" s="6">
        <v>526.6875</v>
      </c>
      <c r="J1619" s="2">
        <f t="shared" si="25"/>
        <v>43747.560348599531</v>
      </c>
    </row>
    <row r="1620" spans="1:10" x14ac:dyDescent="0.25">
      <c r="A1620" s="7" t="s">
        <v>3560</v>
      </c>
      <c r="B1620" s="8">
        <v>393.75</v>
      </c>
      <c r="C1620" s="8">
        <v>20.584240000000001</v>
      </c>
      <c r="D1620" s="8">
        <v>44</v>
      </c>
      <c r="E1620" s="8">
        <v>0</v>
      </c>
      <c r="F1620" s="8">
        <v>0</v>
      </c>
      <c r="G1620" s="8">
        <v>13</v>
      </c>
      <c r="H1620" s="8" t="s">
        <v>3561</v>
      </c>
      <c r="I1620" s="8">
        <v>526.6875</v>
      </c>
      <c r="J1620" s="3">
        <f t="shared" si="25"/>
        <v>43747.560432060178</v>
      </c>
    </row>
    <row r="1621" spans="1:10" x14ac:dyDescent="0.25">
      <c r="A1621" s="5" t="s">
        <v>3562</v>
      </c>
      <c r="B1621" s="6">
        <v>393.75</v>
      </c>
      <c r="C1621" s="6">
        <v>20.584240000000001</v>
      </c>
      <c r="D1621" s="6">
        <v>43</v>
      </c>
      <c r="E1621" s="6">
        <v>0</v>
      </c>
      <c r="F1621" s="6">
        <v>0</v>
      </c>
      <c r="G1621" s="6">
        <v>6</v>
      </c>
      <c r="H1621" s="6" t="s">
        <v>3563</v>
      </c>
      <c r="I1621" s="6">
        <v>526.6875</v>
      </c>
      <c r="J1621" s="2">
        <f t="shared" si="25"/>
        <v>43747.560515636571</v>
      </c>
    </row>
    <row r="1622" spans="1:10" x14ac:dyDescent="0.25">
      <c r="A1622" s="7" t="s">
        <v>3564</v>
      </c>
      <c r="B1622" s="8">
        <v>393.75</v>
      </c>
      <c r="C1622" s="8">
        <v>20.584240000000001</v>
      </c>
      <c r="D1622" s="8">
        <v>44</v>
      </c>
      <c r="E1622" s="8">
        <v>0</v>
      </c>
      <c r="F1622" s="8">
        <v>0</v>
      </c>
      <c r="G1622" s="8">
        <v>5</v>
      </c>
      <c r="H1622" s="8" t="s">
        <v>3565</v>
      </c>
      <c r="I1622" s="8">
        <v>526.6875</v>
      </c>
      <c r="J1622" s="3">
        <f t="shared" si="25"/>
        <v>43747.560598958335</v>
      </c>
    </row>
    <row r="1623" spans="1:10" x14ac:dyDescent="0.25">
      <c r="A1623" s="5" t="s">
        <v>3566</v>
      </c>
      <c r="B1623" s="6">
        <v>393.75</v>
      </c>
      <c r="C1623" s="6">
        <v>20.584240000000001</v>
      </c>
      <c r="D1623" s="6">
        <v>41</v>
      </c>
      <c r="E1623" s="6">
        <v>0</v>
      </c>
      <c r="F1623" s="6">
        <v>0</v>
      </c>
      <c r="G1623" s="6">
        <v>19</v>
      </c>
      <c r="H1623" s="6" t="s">
        <v>3567</v>
      </c>
      <c r="I1623" s="6">
        <v>526.6875</v>
      </c>
      <c r="J1623" s="2">
        <f t="shared" si="25"/>
        <v>43747.560682291667</v>
      </c>
    </row>
    <row r="1624" spans="1:10" x14ac:dyDescent="0.25">
      <c r="A1624" s="7" t="s">
        <v>3568</v>
      </c>
      <c r="B1624" s="8">
        <v>393.75</v>
      </c>
      <c r="C1624" s="8">
        <v>20.584240000000001</v>
      </c>
      <c r="D1624" s="8">
        <v>41</v>
      </c>
      <c r="E1624" s="8">
        <v>0</v>
      </c>
      <c r="F1624" s="8">
        <v>0</v>
      </c>
      <c r="G1624" s="8">
        <v>7</v>
      </c>
      <c r="H1624" s="8" t="s">
        <v>3569</v>
      </c>
      <c r="I1624" s="8">
        <v>526.6875</v>
      </c>
      <c r="J1624" s="3">
        <f t="shared" si="25"/>
        <v>43747.560754247686</v>
      </c>
    </row>
    <row r="1625" spans="1:10" x14ac:dyDescent="0.25">
      <c r="A1625" s="5" t="s">
        <v>3570</v>
      </c>
      <c r="B1625" s="6">
        <v>393.75</v>
      </c>
      <c r="C1625" s="6">
        <v>20.584240000000001</v>
      </c>
      <c r="D1625" s="6">
        <v>42</v>
      </c>
      <c r="E1625" s="6">
        <v>0</v>
      </c>
      <c r="F1625" s="6">
        <v>0</v>
      </c>
      <c r="G1625" s="6">
        <v>7</v>
      </c>
      <c r="H1625" s="6" t="s">
        <v>3571</v>
      </c>
      <c r="I1625" s="6">
        <v>526.6875</v>
      </c>
      <c r="J1625" s="2">
        <f t="shared" si="25"/>
        <v>43747.560837488425</v>
      </c>
    </row>
    <row r="1626" spans="1:10" x14ac:dyDescent="0.25">
      <c r="A1626" s="7" t="s">
        <v>3572</v>
      </c>
      <c r="B1626" s="8">
        <v>393.75</v>
      </c>
      <c r="C1626" s="8">
        <v>20.584240000000001</v>
      </c>
      <c r="D1626" s="8">
        <v>42</v>
      </c>
      <c r="E1626" s="8">
        <v>0</v>
      </c>
      <c r="F1626" s="8">
        <v>0</v>
      </c>
      <c r="G1626" s="8">
        <v>11</v>
      </c>
      <c r="H1626" s="8" t="s">
        <v>3573</v>
      </c>
      <c r="I1626" s="8">
        <v>526.6875</v>
      </c>
      <c r="J1626" s="3">
        <f t="shared" si="25"/>
        <v>43747.560932986111</v>
      </c>
    </row>
    <row r="1627" spans="1:10" x14ac:dyDescent="0.25">
      <c r="A1627" s="5" t="s">
        <v>3574</v>
      </c>
      <c r="B1627" s="6">
        <v>393.75</v>
      </c>
      <c r="C1627" s="6">
        <v>20.584240000000001</v>
      </c>
      <c r="D1627" s="6">
        <v>44</v>
      </c>
      <c r="E1627" s="6">
        <v>0</v>
      </c>
      <c r="F1627" s="6">
        <v>0</v>
      </c>
      <c r="G1627" s="6">
        <v>11</v>
      </c>
      <c r="H1627" s="6" t="s">
        <v>3575</v>
      </c>
      <c r="I1627" s="6">
        <v>526.6875</v>
      </c>
      <c r="J1627" s="2">
        <f t="shared" si="25"/>
        <v>43747.561016446758</v>
      </c>
    </row>
    <row r="1628" spans="1:10" x14ac:dyDescent="0.25">
      <c r="A1628" s="7" t="s">
        <v>3576</v>
      </c>
      <c r="B1628" s="8">
        <v>393.75</v>
      </c>
      <c r="C1628" s="8">
        <v>20.584240000000001</v>
      </c>
      <c r="D1628" s="8">
        <v>44</v>
      </c>
      <c r="E1628" s="8">
        <v>0</v>
      </c>
      <c r="F1628" s="8">
        <v>0</v>
      </c>
      <c r="G1628" s="8">
        <v>10</v>
      </c>
      <c r="H1628" s="8" t="s">
        <v>3577</v>
      </c>
      <c r="I1628" s="8">
        <v>526.6875</v>
      </c>
      <c r="J1628" s="3">
        <f t="shared" si="25"/>
        <v>43747.561087951392</v>
      </c>
    </row>
    <row r="1629" spans="1:10" x14ac:dyDescent="0.25">
      <c r="A1629" s="5" t="s">
        <v>3578</v>
      </c>
      <c r="B1629" s="6">
        <v>393.75</v>
      </c>
      <c r="C1629" s="6">
        <v>20.531590000000001</v>
      </c>
      <c r="D1629" s="6">
        <v>44</v>
      </c>
      <c r="E1629" s="6">
        <v>0</v>
      </c>
      <c r="F1629" s="6">
        <v>0</v>
      </c>
      <c r="G1629" s="6">
        <v>5</v>
      </c>
      <c r="H1629" s="6" t="s">
        <v>3579</v>
      </c>
      <c r="I1629" s="6">
        <v>526.6875</v>
      </c>
      <c r="J1629" s="2">
        <f t="shared" si="25"/>
        <v>43747.561171180554</v>
      </c>
    </row>
    <row r="1630" spans="1:10" x14ac:dyDescent="0.25">
      <c r="A1630" s="7" t="s">
        <v>3580</v>
      </c>
      <c r="B1630" s="8">
        <v>393.75</v>
      </c>
      <c r="C1630" s="8">
        <v>20.531590000000001</v>
      </c>
      <c r="D1630" s="8">
        <v>44</v>
      </c>
      <c r="E1630" s="8">
        <v>0</v>
      </c>
      <c r="F1630" s="8">
        <v>0</v>
      </c>
      <c r="G1630" s="8">
        <v>6</v>
      </c>
      <c r="H1630" s="8" t="s">
        <v>3581</v>
      </c>
      <c r="I1630" s="8">
        <v>526.6875</v>
      </c>
      <c r="J1630" s="3">
        <f t="shared" si="25"/>
        <v>43747.561242951386</v>
      </c>
    </row>
    <row r="1631" spans="1:10" x14ac:dyDescent="0.25">
      <c r="A1631" s="5" t="s">
        <v>3582</v>
      </c>
      <c r="B1631" s="6">
        <v>393.75</v>
      </c>
      <c r="C1631" s="6">
        <v>20.584240000000001</v>
      </c>
      <c r="D1631" s="6">
        <v>46</v>
      </c>
      <c r="E1631" s="6">
        <v>0</v>
      </c>
      <c r="F1631" s="6">
        <v>0</v>
      </c>
      <c r="G1631" s="6">
        <v>15</v>
      </c>
      <c r="H1631" s="6" t="s">
        <v>3583</v>
      </c>
      <c r="I1631" s="6">
        <v>526.6875</v>
      </c>
      <c r="J1631" s="2">
        <f t="shared" si="25"/>
        <v>43747.561326736111</v>
      </c>
    </row>
    <row r="1632" spans="1:10" x14ac:dyDescent="0.25">
      <c r="A1632" s="7" t="s">
        <v>3584</v>
      </c>
      <c r="B1632" s="8">
        <v>393.75</v>
      </c>
      <c r="C1632" s="8">
        <v>20.584240000000001</v>
      </c>
      <c r="D1632" s="8">
        <v>44</v>
      </c>
      <c r="E1632" s="8">
        <v>0</v>
      </c>
      <c r="F1632" s="8">
        <v>0</v>
      </c>
      <c r="G1632" s="8">
        <v>10</v>
      </c>
      <c r="H1632" s="8" t="s">
        <v>3585</v>
      </c>
      <c r="I1632" s="8">
        <v>526.6875</v>
      </c>
      <c r="J1632" s="3">
        <f t="shared" si="25"/>
        <v>43747.561410081013</v>
      </c>
    </row>
    <row r="1633" spans="1:10" x14ac:dyDescent="0.25">
      <c r="A1633" s="5" t="s">
        <v>3586</v>
      </c>
      <c r="B1633" s="6">
        <v>393.75</v>
      </c>
      <c r="C1633" s="6">
        <v>20.584240000000001</v>
      </c>
      <c r="D1633" s="6">
        <v>44</v>
      </c>
      <c r="E1633" s="6">
        <v>0</v>
      </c>
      <c r="F1633" s="6">
        <v>0</v>
      </c>
      <c r="G1633" s="6">
        <v>9</v>
      </c>
      <c r="H1633" s="6" t="s">
        <v>3587</v>
      </c>
      <c r="I1633" s="6">
        <v>526.6875</v>
      </c>
      <c r="J1633" s="2">
        <f t="shared" si="25"/>
        <v>43747.561493437497</v>
      </c>
    </row>
    <row r="1634" spans="1:10" x14ac:dyDescent="0.25">
      <c r="A1634" s="7" t="s">
        <v>3588</v>
      </c>
      <c r="B1634" s="8">
        <v>393.75</v>
      </c>
      <c r="C1634" s="8">
        <v>20.584240000000001</v>
      </c>
      <c r="D1634" s="8">
        <v>45</v>
      </c>
      <c r="E1634" s="8">
        <v>0</v>
      </c>
      <c r="F1634" s="8">
        <v>0</v>
      </c>
      <c r="G1634" s="8">
        <v>6</v>
      </c>
      <c r="H1634" s="8" t="s">
        <v>3589</v>
      </c>
      <c r="I1634" s="8">
        <v>526.6875</v>
      </c>
      <c r="J1634" s="3">
        <f t="shared" si="25"/>
        <v>43747.561577083332</v>
      </c>
    </row>
    <row r="1635" spans="1:10" x14ac:dyDescent="0.25">
      <c r="A1635" s="5" t="s">
        <v>3590</v>
      </c>
      <c r="B1635" s="6">
        <v>393.75</v>
      </c>
      <c r="C1635" s="6">
        <v>20.584240000000001</v>
      </c>
      <c r="D1635" s="6">
        <v>45</v>
      </c>
      <c r="E1635" s="6">
        <v>0</v>
      </c>
      <c r="F1635" s="6">
        <v>0</v>
      </c>
      <c r="G1635" s="6">
        <v>10</v>
      </c>
      <c r="H1635" s="6" t="s">
        <v>3591</v>
      </c>
      <c r="I1635" s="6">
        <v>526.6875</v>
      </c>
      <c r="J1635" s="2">
        <f t="shared" si="25"/>
        <v>43747.561660081017</v>
      </c>
    </row>
    <row r="1636" spans="1:10" x14ac:dyDescent="0.25">
      <c r="A1636" s="7" t="s">
        <v>3592</v>
      </c>
      <c r="B1636" s="8">
        <v>393.75</v>
      </c>
      <c r="C1636" s="8">
        <v>20.531590000000001</v>
      </c>
      <c r="D1636" s="8">
        <v>45</v>
      </c>
      <c r="E1636" s="8">
        <v>0</v>
      </c>
      <c r="F1636" s="8">
        <v>0</v>
      </c>
      <c r="G1636" s="8">
        <v>6</v>
      </c>
      <c r="H1636" s="8" t="s">
        <v>3593</v>
      </c>
      <c r="I1636" s="8">
        <v>526.6875</v>
      </c>
      <c r="J1636" s="3">
        <f t="shared" si="25"/>
        <v>43747.561731840273</v>
      </c>
    </row>
    <row r="1637" spans="1:10" x14ac:dyDescent="0.25">
      <c r="A1637" s="5" t="s">
        <v>3594</v>
      </c>
      <c r="B1637" s="6">
        <v>393.75</v>
      </c>
      <c r="C1637" s="6">
        <v>20.584240000000001</v>
      </c>
      <c r="D1637" s="6">
        <v>46</v>
      </c>
      <c r="E1637" s="6">
        <v>0</v>
      </c>
      <c r="F1637" s="6">
        <v>0</v>
      </c>
      <c r="G1637" s="6">
        <v>6</v>
      </c>
      <c r="H1637" s="6" t="s">
        <v>3595</v>
      </c>
      <c r="I1637" s="6">
        <v>526.6875</v>
      </c>
      <c r="J1637" s="2">
        <f t="shared" si="25"/>
        <v>43747.561815613422</v>
      </c>
    </row>
    <row r="1638" spans="1:10" x14ac:dyDescent="0.25">
      <c r="A1638" s="7" t="s">
        <v>3596</v>
      </c>
      <c r="B1638" s="8">
        <v>412.5</v>
      </c>
      <c r="C1638" s="8">
        <v>20.584240000000001</v>
      </c>
      <c r="D1638" s="8">
        <v>45</v>
      </c>
      <c r="E1638" s="8">
        <v>0</v>
      </c>
      <c r="F1638" s="8">
        <v>0</v>
      </c>
      <c r="G1638" s="8">
        <v>0</v>
      </c>
      <c r="H1638" s="8" t="s">
        <v>3597</v>
      </c>
      <c r="I1638" s="8">
        <v>532.3125</v>
      </c>
      <c r="J1638" s="3">
        <f t="shared" si="25"/>
        <v>43747.561898969907</v>
      </c>
    </row>
    <row r="1639" spans="1:10" x14ac:dyDescent="0.25">
      <c r="A1639" s="5" t="s">
        <v>3598</v>
      </c>
      <c r="B1639" s="6">
        <v>393.75</v>
      </c>
      <c r="C1639" s="6">
        <v>20.584240000000001</v>
      </c>
      <c r="D1639" s="6">
        <v>46</v>
      </c>
      <c r="E1639" s="6">
        <v>0</v>
      </c>
      <c r="F1639" s="6">
        <v>0</v>
      </c>
      <c r="G1639" s="6">
        <v>4</v>
      </c>
      <c r="H1639" s="6" t="s">
        <v>3599</v>
      </c>
      <c r="I1639" s="6">
        <v>526.6875</v>
      </c>
      <c r="J1639" s="2">
        <f t="shared" si="25"/>
        <v>43747.561982291663</v>
      </c>
    </row>
    <row r="1640" spans="1:10" x14ac:dyDescent="0.25">
      <c r="A1640" s="7" t="s">
        <v>3600</v>
      </c>
      <c r="B1640" s="8">
        <v>393.75</v>
      </c>
      <c r="C1640" s="8">
        <v>20.584240000000001</v>
      </c>
      <c r="D1640" s="8">
        <v>45</v>
      </c>
      <c r="E1640" s="8">
        <v>0</v>
      </c>
      <c r="F1640" s="8">
        <v>0</v>
      </c>
      <c r="G1640" s="8">
        <v>11</v>
      </c>
      <c r="H1640" s="8" t="s">
        <v>3601</v>
      </c>
      <c r="I1640" s="8">
        <v>526.6875</v>
      </c>
      <c r="J1640" s="3">
        <f t="shared" si="25"/>
        <v>43747.56206561342</v>
      </c>
    </row>
    <row r="1641" spans="1:10" x14ac:dyDescent="0.25">
      <c r="A1641" s="5" t="s">
        <v>3602</v>
      </c>
      <c r="B1641" s="6">
        <v>393.75</v>
      </c>
      <c r="C1641" s="6">
        <v>20.584240000000001</v>
      </c>
      <c r="D1641" s="6">
        <v>45</v>
      </c>
      <c r="E1641" s="6">
        <v>0</v>
      </c>
      <c r="F1641" s="6">
        <v>0</v>
      </c>
      <c r="G1641" s="6">
        <v>4</v>
      </c>
      <c r="H1641" s="6" t="s">
        <v>3603</v>
      </c>
      <c r="I1641" s="6">
        <v>526.6875</v>
      </c>
      <c r="J1641" s="2">
        <f t="shared" si="25"/>
        <v>43747.56214908565</v>
      </c>
    </row>
    <row r="1642" spans="1:10" x14ac:dyDescent="0.25">
      <c r="A1642" s="7" t="s">
        <v>3604</v>
      </c>
      <c r="B1642" s="8">
        <v>393.75</v>
      </c>
      <c r="C1642" s="8">
        <v>20.584240000000001</v>
      </c>
      <c r="D1642" s="8">
        <v>45</v>
      </c>
      <c r="E1642" s="8">
        <v>0</v>
      </c>
      <c r="F1642" s="8">
        <v>0</v>
      </c>
      <c r="G1642" s="8">
        <v>9</v>
      </c>
      <c r="H1642" s="8" t="s">
        <v>3605</v>
      </c>
      <c r="I1642" s="8">
        <v>526.6875</v>
      </c>
      <c r="J1642" s="3">
        <f t="shared" si="25"/>
        <v>43747.562220601852</v>
      </c>
    </row>
    <row r="1643" spans="1:10" x14ac:dyDescent="0.25">
      <c r="A1643" s="5" t="s">
        <v>3606</v>
      </c>
      <c r="B1643" s="6">
        <v>412.5</v>
      </c>
      <c r="C1643" s="6">
        <v>20.584240000000001</v>
      </c>
      <c r="D1643" s="6">
        <v>45</v>
      </c>
      <c r="E1643" s="6">
        <v>0</v>
      </c>
      <c r="F1643" s="6">
        <v>0</v>
      </c>
      <c r="G1643" s="6">
        <v>9</v>
      </c>
      <c r="H1643" s="6" t="s">
        <v>3607</v>
      </c>
      <c r="I1643" s="6">
        <v>532.3125</v>
      </c>
      <c r="J1643" s="2">
        <f t="shared" si="25"/>
        <v>43747.562304537038</v>
      </c>
    </row>
    <row r="1644" spans="1:10" x14ac:dyDescent="0.25">
      <c r="A1644" s="7" t="s">
        <v>3608</v>
      </c>
      <c r="B1644" s="8">
        <v>393.75</v>
      </c>
      <c r="C1644" s="8">
        <v>20.584240000000001</v>
      </c>
      <c r="D1644" s="8">
        <v>44</v>
      </c>
      <c r="E1644" s="8">
        <v>0</v>
      </c>
      <c r="F1644" s="8">
        <v>0</v>
      </c>
      <c r="G1644" s="8">
        <v>13</v>
      </c>
      <c r="H1644" s="8" t="s">
        <v>3609</v>
      </c>
      <c r="I1644" s="8">
        <v>526.6875</v>
      </c>
      <c r="J1644" s="3">
        <f t="shared" si="25"/>
        <v>43747.562399768511</v>
      </c>
    </row>
    <row r="1645" spans="1:10" x14ac:dyDescent="0.25">
      <c r="A1645" s="5" t="s">
        <v>3610</v>
      </c>
      <c r="B1645" s="6">
        <v>393.75</v>
      </c>
      <c r="C1645" s="6">
        <v>20.584240000000001</v>
      </c>
      <c r="D1645" s="6">
        <v>47</v>
      </c>
      <c r="E1645" s="6">
        <v>0</v>
      </c>
      <c r="F1645" s="6">
        <v>0</v>
      </c>
      <c r="G1645" s="6">
        <v>10</v>
      </c>
      <c r="H1645" s="6" t="s">
        <v>3611</v>
      </c>
      <c r="I1645" s="6">
        <v>526.6875</v>
      </c>
      <c r="J1645" s="2">
        <f t="shared" si="25"/>
        <v>43747.56248325231</v>
      </c>
    </row>
    <row r="1646" spans="1:10" x14ac:dyDescent="0.25">
      <c r="A1646" s="7" t="s">
        <v>3612</v>
      </c>
      <c r="B1646" s="8">
        <v>393.75</v>
      </c>
      <c r="C1646" s="8">
        <v>20.584240000000001</v>
      </c>
      <c r="D1646" s="8">
        <v>47</v>
      </c>
      <c r="E1646" s="8">
        <v>0</v>
      </c>
      <c r="F1646" s="8">
        <v>0</v>
      </c>
      <c r="G1646" s="8">
        <v>17</v>
      </c>
      <c r="H1646" s="8" t="s">
        <v>3613</v>
      </c>
      <c r="I1646" s="8">
        <v>526.6875</v>
      </c>
      <c r="J1646" s="3">
        <f t="shared" si="25"/>
        <v>43747.562554872682</v>
      </c>
    </row>
    <row r="1647" spans="1:10" x14ac:dyDescent="0.25">
      <c r="A1647" s="5" t="s">
        <v>3614</v>
      </c>
      <c r="B1647" s="6">
        <v>393.75</v>
      </c>
      <c r="C1647" s="6">
        <v>20.584240000000001</v>
      </c>
      <c r="D1647" s="6">
        <v>44</v>
      </c>
      <c r="E1647" s="6">
        <v>0</v>
      </c>
      <c r="F1647" s="6">
        <v>0</v>
      </c>
      <c r="G1647" s="6">
        <v>4</v>
      </c>
      <c r="H1647" s="6" t="s">
        <v>3615</v>
      </c>
      <c r="I1647" s="6">
        <v>526.5</v>
      </c>
      <c r="J1647" s="2">
        <f t="shared" si="25"/>
        <v>43747.56263797453</v>
      </c>
    </row>
    <row r="1648" spans="1:10" x14ac:dyDescent="0.25">
      <c r="A1648" s="7" t="s">
        <v>3616</v>
      </c>
      <c r="B1648" s="8">
        <v>393.75</v>
      </c>
      <c r="C1648" s="8">
        <v>20.584240000000001</v>
      </c>
      <c r="D1648" s="8">
        <v>44</v>
      </c>
      <c r="E1648" s="8">
        <v>0</v>
      </c>
      <c r="F1648" s="8">
        <v>0</v>
      </c>
      <c r="G1648" s="8">
        <v>4</v>
      </c>
      <c r="H1648" s="8" t="s">
        <v>3617</v>
      </c>
      <c r="I1648" s="8">
        <v>526.6875</v>
      </c>
      <c r="J1648" s="3">
        <f t="shared" si="25"/>
        <v>43747.562709479163</v>
      </c>
    </row>
    <row r="1649" spans="1:10" x14ac:dyDescent="0.25">
      <c r="A1649" s="5" t="s">
        <v>3618</v>
      </c>
      <c r="B1649" s="6">
        <v>393.75</v>
      </c>
      <c r="C1649" s="6">
        <v>20.584240000000001</v>
      </c>
      <c r="D1649" s="6">
        <v>44</v>
      </c>
      <c r="E1649" s="6">
        <v>0</v>
      </c>
      <c r="F1649" s="6">
        <v>0</v>
      </c>
      <c r="G1649" s="6">
        <v>0</v>
      </c>
      <c r="H1649" s="6" t="s">
        <v>3619</v>
      </c>
      <c r="I1649" s="6">
        <v>526.6875</v>
      </c>
      <c r="J1649" s="2">
        <f t="shared" si="25"/>
        <v>43747.562793414349</v>
      </c>
    </row>
    <row r="1650" spans="1:10" x14ac:dyDescent="0.25">
      <c r="A1650" s="7" t="s">
        <v>3620</v>
      </c>
      <c r="B1650" s="8">
        <v>393.75</v>
      </c>
      <c r="C1650" s="8">
        <v>20.584240000000001</v>
      </c>
      <c r="D1650" s="8">
        <v>43</v>
      </c>
      <c r="E1650" s="8">
        <v>0</v>
      </c>
      <c r="F1650" s="8">
        <v>0</v>
      </c>
      <c r="G1650" s="8">
        <v>5</v>
      </c>
      <c r="H1650" s="8" t="s">
        <v>3621</v>
      </c>
      <c r="I1650" s="8">
        <v>526.6875</v>
      </c>
      <c r="J1650" s="3">
        <f t="shared" si="25"/>
        <v>43747.562876759257</v>
      </c>
    </row>
    <row r="1651" spans="1:10" x14ac:dyDescent="0.25">
      <c r="A1651" s="5" t="s">
        <v>3622</v>
      </c>
      <c r="B1651" s="6">
        <v>393.75</v>
      </c>
      <c r="C1651" s="6">
        <v>20.584240000000001</v>
      </c>
      <c r="D1651" s="6">
        <v>44</v>
      </c>
      <c r="E1651" s="6">
        <v>0</v>
      </c>
      <c r="F1651" s="6">
        <v>0</v>
      </c>
      <c r="G1651" s="6">
        <v>4</v>
      </c>
      <c r="H1651" s="6" t="s">
        <v>3623</v>
      </c>
      <c r="I1651" s="6">
        <v>526.6875</v>
      </c>
      <c r="J1651" s="2">
        <f t="shared" si="25"/>
        <v>43747.562960069445</v>
      </c>
    </row>
    <row r="1652" spans="1:10" x14ac:dyDescent="0.25">
      <c r="A1652" s="7" t="s">
        <v>3624</v>
      </c>
      <c r="B1652" s="8">
        <v>393.75</v>
      </c>
      <c r="C1652" s="8">
        <v>20.584240000000001</v>
      </c>
      <c r="D1652" s="8">
        <v>43</v>
      </c>
      <c r="E1652" s="8">
        <v>0</v>
      </c>
      <c r="F1652" s="8">
        <v>0</v>
      </c>
      <c r="G1652" s="8">
        <v>4</v>
      </c>
      <c r="H1652" s="8" t="s">
        <v>3625</v>
      </c>
      <c r="I1652" s="8">
        <v>526.6875</v>
      </c>
      <c r="J1652" s="3">
        <f t="shared" si="25"/>
        <v>43747.563043761569</v>
      </c>
    </row>
    <row r="1653" spans="1:10" x14ac:dyDescent="0.25">
      <c r="A1653" s="5" t="s">
        <v>3626</v>
      </c>
      <c r="B1653" s="6">
        <v>393.75</v>
      </c>
      <c r="C1653" s="6">
        <v>20.584240000000001</v>
      </c>
      <c r="D1653" s="6">
        <v>43</v>
      </c>
      <c r="E1653" s="6">
        <v>0</v>
      </c>
      <c r="F1653" s="6">
        <v>0</v>
      </c>
      <c r="G1653" s="6">
        <v>11</v>
      </c>
      <c r="H1653" s="6" t="s">
        <v>3627</v>
      </c>
      <c r="I1653" s="6">
        <v>526.6875</v>
      </c>
      <c r="J1653" s="2">
        <f t="shared" si="25"/>
        <v>43747.563126851848</v>
      </c>
    </row>
    <row r="1654" spans="1:10" x14ac:dyDescent="0.25">
      <c r="A1654" s="7" t="s">
        <v>3628</v>
      </c>
      <c r="B1654" s="8">
        <v>393.75</v>
      </c>
      <c r="C1654" s="8">
        <v>20.584240000000001</v>
      </c>
      <c r="D1654" s="8">
        <v>43</v>
      </c>
      <c r="E1654" s="8">
        <v>0</v>
      </c>
      <c r="F1654" s="8">
        <v>0</v>
      </c>
      <c r="G1654" s="8">
        <v>0</v>
      </c>
      <c r="H1654" s="8" t="s">
        <v>3629</v>
      </c>
      <c r="I1654" s="8">
        <v>526.6875</v>
      </c>
      <c r="J1654" s="3">
        <f t="shared" si="25"/>
        <v>43747.563198391203</v>
      </c>
    </row>
    <row r="1655" spans="1:10" x14ac:dyDescent="0.25">
      <c r="A1655" s="5" t="s">
        <v>3630</v>
      </c>
      <c r="B1655" s="6">
        <v>393.75</v>
      </c>
      <c r="C1655" s="6">
        <v>20.584240000000001</v>
      </c>
      <c r="D1655" s="6">
        <v>44</v>
      </c>
      <c r="E1655" s="6">
        <v>0</v>
      </c>
      <c r="F1655" s="6">
        <v>0</v>
      </c>
      <c r="G1655" s="6">
        <v>3</v>
      </c>
      <c r="H1655" s="6" t="s">
        <v>3631</v>
      </c>
      <c r="I1655" s="6">
        <v>526.6875</v>
      </c>
      <c r="J1655" s="2">
        <f t="shared" si="25"/>
        <v>43747.563282303243</v>
      </c>
    </row>
    <row r="1656" spans="1:10" x14ac:dyDescent="0.25">
      <c r="A1656" s="7" t="s">
        <v>3632</v>
      </c>
      <c r="B1656" s="8">
        <v>393.75</v>
      </c>
      <c r="C1656" s="8">
        <v>20.584240000000001</v>
      </c>
      <c r="D1656" s="8">
        <v>45</v>
      </c>
      <c r="E1656" s="8">
        <v>0</v>
      </c>
      <c r="F1656" s="8">
        <v>0</v>
      </c>
      <c r="G1656" s="8">
        <v>2</v>
      </c>
      <c r="H1656" s="8" t="s">
        <v>3633</v>
      </c>
      <c r="I1656" s="8">
        <v>526.6875</v>
      </c>
      <c r="J1656" s="3">
        <f t="shared" si="25"/>
        <v>43747.563365636575</v>
      </c>
    </row>
    <row r="1657" spans="1:10" x14ac:dyDescent="0.25">
      <c r="A1657" s="5" t="s">
        <v>3634</v>
      </c>
      <c r="B1657" s="6">
        <v>393.75</v>
      </c>
      <c r="C1657" s="6">
        <v>20.584240000000001</v>
      </c>
      <c r="D1657" s="6">
        <v>45</v>
      </c>
      <c r="E1657" s="6">
        <v>0</v>
      </c>
      <c r="F1657" s="6">
        <v>0</v>
      </c>
      <c r="G1657" s="6">
        <v>12</v>
      </c>
      <c r="H1657" s="6" t="s">
        <v>3635</v>
      </c>
      <c r="I1657" s="6">
        <v>526.6875</v>
      </c>
      <c r="J1657" s="2">
        <f t="shared" si="25"/>
        <v>43747.563448969908</v>
      </c>
    </row>
    <row r="1658" spans="1:10" x14ac:dyDescent="0.25">
      <c r="A1658" s="7" t="s">
        <v>3636</v>
      </c>
      <c r="B1658" s="8">
        <v>393.75</v>
      </c>
      <c r="C1658" s="8">
        <v>20.584240000000001</v>
      </c>
      <c r="D1658" s="8">
        <v>45</v>
      </c>
      <c r="E1658" s="8">
        <v>0</v>
      </c>
      <c r="F1658" s="8">
        <v>0</v>
      </c>
      <c r="G1658" s="8">
        <v>17</v>
      </c>
      <c r="H1658" s="8" t="s">
        <v>3637</v>
      </c>
      <c r="I1658" s="8">
        <v>526.6875</v>
      </c>
      <c r="J1658" s="3">
        <f t="shared" si="25"/>
        <v>43747.563520590273</v>
      </c>
    </row>
    <row r="1659" spans="1:10" x14ac:dyDescent="0.25">
      <c r="A1659" s="5" t="s">
        <v>3638</v>
      </c>
      <c r="B1659" s="6">
        <v>393.75</v>
      </c>
      <c r="C1659" s="6">
        <v>20.584240000000001</v>
      </c>
      <c r="D1659" s="6">
        <v>46</v>
      </c>
      <c r="E1659" s="6">
        <v>0</v>
      </c>
      <c r="F1659" s="6">
        <v>0</v>
      </c>
      <c r="G1659" s="6">
        <v>8</v>
      </c>
      <c r="H1659" s="6" t="s">
        <v>3639</v>
      </c>
      <c r="I1659" s="6">
        <v>526.6875</v>
      </c>
      <c r="J1659" s="2">
        <f t="shared" si="25"/>
        <v>43747.563615729166</v>
      </c>
    </row>
    <row r="1660" spans="1:10" x14ac:dyDescent="0.25">
      <c r="A1660" s="7" t="s">
        <v>3640</v>
      </c>
      <c r="B1660" s="8">
        <v>437.5</v>
      </c>
      <c r="C1660" s="8">
        <v>20.584240000000001</v>
      </c>
      <c r="D1660" s="8">
        <v>46</v>
      </c>
      <c r="E1660" s="8">
        <v>0</v>
      </c>
      <c r="F1660" s="8">
        <v>0</v>
      </c>
      <c r="G1660" s="8">
        <v>9</v>
      </c>
      <c r="H1660" s="8" t="s">
        <v>3641</v>
      </c>
      <c r="I1660" s="8">
        <v>540</v>
      </c>
      <c r="J1660" s="3">
        <f t="shared" si="25"/>
        <v>43747.563687465277</v>
      </c>
    </row>
    <row r="1661" spans="1:10" x14ac:dyDescent="0.25">
      <c r="A1661" s="5" t="s">
        <v>3642</v>
      </c>
      <c r="B1661" s="6">
        <v>393.75</v>
      </c>
      <c r="C1661" s="6">
        <v>20.584240000000001</v>
      </c>
      <c r="D1661" s="6">
        <v>44</v>
      </c>
      <c r="E1661" s="6">
        <v>0</v>
      </c>
      <c r="F1661" s="6">
        <v>0</v>
      </c>
      <c r="G1661" s="6">
        <v>12</v>
      </c>
      <c r="H1661" s="6" t="s">
        <v>3643</v>
      </c>
      <c r="I1661" s="6">
        <v>526.6875</v>
      </c>
      <c r="J1661" s="2">
        <f t="shared" si="25"/>
        <v>43747.563786203704</v>
      </c>
    </row>
    <row r="1662" spans="1:10" x14ac:dyDescent="0.25">
      <c r="A1662" s="7" t="s">
        <v>3644</v>
      </c>
      <c r="B1662" s="8">
        <v>393.75</v>
      </c>
      <c r="C1662" s="8">
        <v>20.584240000000001</v>
      </c>
      <c r="D1662" s="8">
        <v>44</v>
      </c>
      <c r="E1662" s="8">
        <v>0</v>
      </c>
      <c r="F1662" s="8">
        <v>0</v>
      </c>
      <c r="G1662" s="8">
        <v>12</v>
      </c>
      <c r="H1662" s="8" t="s">
        <v>3645</v>
      </c>
      <c r="I1662" s="8">
        <v>526.6875</v>
      </c>
      <c r="J1662" s="3">
        <f t="shared" si="25"/>
        <v>43747.563866539349</v>
      </c>
    </row>
    <row r="1663" spans="1:10" x14ac:dyDescent="0.25">
      <c r="A1663" s="5" t="s">
        <v>3646</v>
      </c>
      <c r="B1663" s="6">
        <v>393.75</v>
      </c>
      <c r="C1663" s="6">
        <v>20.531590000000001</v>
      </c>
      <c r="D1663" s="6">
        <v>43</v>
      </c>
      <c r="E1663" s="6">
        <v>0</v>
      </c>
      <c r="F1663" s="6">
        <v>0</v>
      </c>
      <c r="G1663" s="6">
        <v>11</v>
      </c>
      <c r="H1663" s="6" t="s">
        <v>3647</v>
      </c>
      <c r="I1663" s="6">
        <v>526.6875</v>
      </c>
      <c r="J1663" s="2">
        <f t="shared" si="25"/>
        <v>43747.563949999996</v>
      </c>
    </row>
    <row r="1664" spans="1:10" x14ac:dyDescent="0.25">
      <c r="A1664" s="7" t="s">
        <v>3648</v>
      </c>
      <c r="B1664" s="8">
        <v>393.75</v>
      </c>
      <c r="C1664" s="8">
        <v>20.531590000000001</v>
      </c>
      <c r="D1664" s="8">
        <v>43</v>
      </c>
      <c r="E1664" s="8">
        <v>0</v>
      </c>
      <c r="F1664" s="8">
        <v>0</v>
      </c>
      <c r="G1664" s="8">
        <v>17</v>
      </c>
      <c r="H1664" s="8" t="s">
        <v>3649</v>
      </c>
      <c r="I1664" s="8">
        <v>526.6875</v>
      </c>
      <c r="J1664" s="3">
        <f t="shared" si="25"/>
        <v>43747.564021516206</v>
      </c>
    </row>
    <row r="1665" spans="1:10" x14ac:dyDescent="0.25">
      <c r="A1665" s="5" t="s">
        <v>3650</v>
      </c>
      <c r="B1665" s="6">
        <v>431.25</v>
      </c>
      <c r="C1665" s="6">
        <v>20.584240000000001</v>
      </c>
      <c r="D1665" s="6">
        <v>44</v>
      </c>
      <c r="E1665" s="6">
        <v>0</v>
      </c>
      <c r="F1665" s="6">
        <v>0</v>
      </c>
      <c r="G1665" s="6">
        <v>6</v>
      </c>
      <c r="H1665" s="6" t="s">
        <v>3651</v>
      </c>
      <c r="I1665" s="6">
        <v>538.5</v>
      </c>
      <c r="J1665" s="2">
        <f t="shared" si="25"/>
        <v>43747.564104861107</v>
      </c>
    </row>
    <row r="1666" spans="1:10" x14ac:dyDescent="0.25">
      <c r="A1666" s="7" t="s">
        <v>3652</v>
      </c>
      <c r="B1666" s="8">
        <v>393.75</v>
      </c>
      <c r="C1666" s="8">
        <v>20.584240000000001</v>
      </c>
      <c r="D1666" s="8">
        <v>43</v>
      </c>
      <c r="E1666" s="8">
        <v>0</v>
      </c>
      <c r="F1666" s="8">
        <v>0</v>
      </c>
      <c r="G1666" s="8">
        <v>15</v>
      </c>
      <c r="H1666" s="8" t="s">
        <v>3653</v>
      </c>
      <c r="I1666" s="8">
        <v>526.5</v>
      </c>
      <c r="J1666" s="3">
        <f t="shared" ref="J1666:J1729" si="26">(H1666/86400000)+25569+(7/24)</f>
        <v>43747.564176504624</v>
      </c>
    </row>
    <row r="1667" spans="1:10" x14ac:dyDescent="0.25">
      <c r="A1667" s="5" t="s">
        <v>3654</v>
      </c>
      <c r="B1667" s="6">
        <v>393.75</v>
      </c>
      <c r="C1667" s="6">
        <v>20.584240000000001</v>
      </c>
      <c r="D1667" s="6">
        <v>43</v>
      </c>
      <c r="E1667" s="6">
        <v>0</v>
      </c>
      <c r="F1667" s="6">
        <v>0</v>
      </c>
      <c r="G1667" s="6">
        <v>0</v>
      </c>
      <c r="H1667" s="6" t="s">
        <v>3655</v>
      </c>
      <c r="I1667" s="6">
        <v>526.6875</v>
      </c>
      <c r="J1667" s="2">
        <f t="shared" si="26"/>
        <v>43747.564260081017</v>
      </c>
    </row>
    <row r="1668" spans="1:10" x14ac:dyDescent="0.25">
      <c r="A1668" s="7" t="s">
        <v>3656</v>
      </c>
      <c r="B1668" s="8">
        <v>412.5</v>
      </c>
      <c r="C1668" s="8">
        <v>20.584240000000001</v>
      </c>
      <c r="D1668" s="8">
        <v>44</v>
      </c>
      <c r="E1668" s="8">
        <v>0</v>
      </c>
      <c r="F1668" s="8">
        <v>0</v>
      </c>
      <c r="G1668" s="8">
        <v>10</v>
      </c>
      <c r="H1668" s="8" t="s">
        <v>3657</v>
      </c>
      <c r="I1668" s="8">
        <v>532.3125</v>
      </c>
      <c r="J1668" s="3">
        <f t="shared" si="26"/>
        <v>43747.564342395832</v>
      </c>
    </row>
    <row r="1669" spans="1:10" x14ac:dyDescent="0.25">
      <c r="A1669" s="5" t="s">
        <v>3658</v>
      </c>
      <c r="B1669" s="6">
        <v>393.75</v>
      </c>
      <c r="C1669" s="6">
        <v>20.584240000000001</v>
      </c>
      <c r="D1669" s="6">
        <v>44</v>
      </c>
      <c r="E1669" s="6">
        <v>0</v>
      </c>
      <c r="F1669" s="6">
        <v>0</v>
      </c>
      <c r="G1669" s="6">
        <v>3</v>
      </c>
      <c r="H1669" s="6" t="s">
        <v>3659</v>
      </c>
      <c r="I1669" s="6">
        <v>526.6875</v>
      </c>
      <c r="J1669" s="2">
        <f t="shared" si="26"/>
        <v>43747.564415069442</v>
      </c>
    </row>
    <row r="1670" spans="1:10" x14ac:dyDescent="0.25">
      <c r="A1670" s="7" t="s">
        <v>3660</v>
      </c>
      <c r="B1670" s="8">
        <v>393.75</v>
      </c>
      <c r="C1670" s="8">
        <v>20.584240000000001</v>
      </c>
      <c r="D1670" s="8">
        <v>45</v>
      </c>
      <c r="E1670" s="8">
        <v>0</v>
      </c>
      <c r="F1670" s="8">
        <v>0</v>
      </c>
      <c r="G1670" s="8">
        <v>10</v>
      </c>
      <c r="H1670" s="8" t="s">
        <v>3661</v>
      </c>
      <c r="I1670" s="8">
        <v>526.6875</v>
      </c>
      <c r="J1670" s="3">
        <f t="shared" si="26"/>
        <v>43747.564498518514</v>
      </c>
    </row>
    <row r="1671" spans="1:10" x14ac:dyDescent="0.25">
      <c r="A1671" s="5" t="s">
        <v>3662</v>
      </c>
      <c r="B1671" s="6">
        <v>393.75</v>
      </c>
      <c r="C1671" s="6">
        <v>20.584240000000001</v>
      </c>
      <c r="D1671" s="6">
        <v>44</v>
      </c>
      <c r="E1671" s="6">
        <v>0</v>
      </c>
      <c r="F1671" s="6">
        <v>0</v>
      </c>
      <c r="G1671" s="6">
        <v>4</v>
      </c>
      <c r="H1671" s="6" t="s">
        <v>3663</v>
      </c>
      <c r="I1671" s="6">
        <v>526.6875</v>
      </c>
      <c r="J1671" s="2">
        <f t="shared" si="26"/>
        <v>43747.56458204861</v>
      </c>
    </row>
    <row r="1672" spans="1:10" x14ac:dyDescent="0.25">
      <c r="A1672" s="7" t="s">
        <v>3664</v>
      </c>
      <c r="B1672" s="8">
        <v>393.75</v>
      </c>
      <c r="C1672" s="8">
        <v>20.584240000000001</v>
      </c>
      <c r="D1672" s="8">
        <v>44</v>
      </c>
      <c r="E1672" s="8">
        <v>0</v>
      </c>
      <c r="F1672" s="8">
        <v>0</v>
      </c>
      <c r="G1672" s="8">
        <v>11</v>
      </c>
      <c r="H1672" s="8" t="s">
        <v>3665</v>
      </c>
      <c r="I1672" s="8">
        <v>526.6875</v>
      </c>
      <c r="J1672" s="3">
        <f t="shared" si="26"/>
        <v>43747.564665509257</v>
      </c>
    </row>
    <row r="1673" spans="1:10" x14ac:dyDescent="0.25">
      <c r="A1673" s="5" t="s">
        <v>3666</v>
      </c>
      <c r="B1673" s="6">
        <v>418.75</v>
      </c>
      <c r="C1673" s="6">
        <v>20.584240000000001</v>
      </c>
      <c r="D1673" s="6">
        <v>44</v>
      </c>
      <c r="E1673" s="6">
        <v>0</v>
      </c>
      <c r="F1673" s="6">
        <v>0</v>
      </c>
      <c r="G1673" s="6">
        <v>12</v>
      </c>
      <c r="H1673" s="6" t="s">
        <v>3667</v>
      </c>
      <c r="I1673" s="6">
        <v>534.5625</v>
      </c>
      <c r="J1673" s="2">
        <f t="shared" si="26"/>
        <v>43747.564737048604</v>
      </c>
    </row>
    <row r="1674" spans="1:10" x14ac:dyDescent="0.25">
      <c r="A1674" s="7" t="s">
        <v>3668</v>
      </c>
      <c r="B1674" s="8">
        <v>393.75</v>
      </c>
      <c r="C1674" s="8">
        <v>20.531590000000001</v>
      </c>
      <c r="D1674" s="8">
        <v>44</v>
      </c>
      <c r="E1674" s="8">
        <v>0</v>
      </c>
      <c r="F1674" s="8">
        <v>0</v>
      </c>
      <c r="G1674" s="8">
        <v>10</v>
      </c>
      <c r="H1674" s="8" t="s">
        <v>3669</v>
      </c>
      <c r="I1674" s="8">
        <v>526.5</v>
      </c>
      <c r="J1674" s="3">
        <f t="shared" si="26"/>
        <v>43747.564820590276</v>
      </c>
    </row>
    <row r="1675" spans="1:10" x14ac:dyDescent="0.25">
      <c r="A1675" s="5" t="s">
        <v>3670</v>
      </c>
      <c r="B1675" s="6">
        <v>393.75</v>
      </c>
      <c r="C1675" s="6">
        <v>20.584240000000001</v>
      </c>
      <c r="D1675" s="6">
        <v>44</v>
      </c>
      <c r="E1675" s="6">
        <v>0</v>
      </c>
      <c r="F1675" s="6">
        <v>0</v>
      </c>
      <c r="G1675" s="6">
        <v>4</v>
      </c>
      <c r="H1675" s="6" t="s">
        <v>3671</v>
      </c>
      <c r="I1675" s="6">
        <v>526.6875</v>
      </c>
      <c r="J1675" s="2">
        <f t="shared" si="26"/>
        <v>43747.564904062492</v>
      </c>
    </row>
    <row r="1676" spans="1:10" x14ac:dyDescent="0.25">
      <c r="A1676" s="7" t="s">
        <v>3672</v>
      </c>
      <c r="B1676" s="8">
        <v>393.75</v>
      </c>
      <c r="C1676" s="8">
        <v>20.531590000000001</v>
      </c>
      <c r="D1676" s="8">
        <v>44</v>
      </c>
      <c r="E1676" s="8">
        <v>0</v>
      </c>
      <c r="F1676" s="8">
        <v>0</v>
      </c>
      <c r="G1676" s="8">
        <v>7</v>
      </c>
      <c r="H1676" s="8" t="s">
        <v>3673</v>
      </c>
      <c r="I1676" s="8">
        <v>526.6875</v>
      </c>
      <c r="J1676" s="3">
        <f t="shared" si="26"/>
        <v>43747.564987581012</v>
      </c>
    </row>
    <row r="1677" spans="1:10" x14ac:dyDescent="0.25">
      <c r="A1677" s="5" t="s">
        <v>3674</v>
      </c>
      <c r="B1677" s="6">
        <v>393.75</v>
      </c>
      <c r="C1677" s="6">
        <v>20.584240000000001</v>
      </c>
      <c r="D1677" s="6">
        <v>45</v>
      </c>
      <c r="E1677" s="6">
        <v>0</v>
      </c>
      <c r="F1677" s="6">
        <v>0</v>
      </c>
      <c r="G1677" s="6">
        <v>15</v>
      </c>
      <c r="H1677" s="6" t="s">
        <v>3675</v>
      </c>
      <c r="I1677" s="6">
        <v>526.5</v>
      </c>
      <c r="J1677" s="2">
        <f t="shared" si="26"/>
        <v>43747.565071388883</v>
      </c>
    </row>
    <row r="1678" spans="1:10" x14ac:dyDescent="0.25">
      <c r="A1678" s="7" t="s">
        <v>3676</v>
      </c>
      <c r="B1678" s="8">
        <v>418.75</v>
      </c>
      <c r="C1678" s="8">
        <v>20.584240000000001</v>
      </c>
      <c r="D1678" s="8">
        <v>45</v>
      </c>
      <c r="E1678" s="8">
        <v>0</v>
      </c>
      <c r="F1678" s="8">
        <v>0</v>
      </c>
      <c r="G1678" s="8">
        <v>6</v>
      </c>
      <c r="H1678" s="8" t="s">
        <v>3677</v>
      </c>
      <c r="I1678" s="8">
        <v>534</v>
      </c>
      <c r="J1678" s="3">
        <f t="shared" si="26"/>
        <v>43747.565154502314</v>
      </c>
    </row>
    <row r="1679" spans="1:10" x14ac:dyDescent="0.25">
      <c r="A1679" s="5" t="s">
        <v>3678</v>
      </c>
      <c r="B1679" s="6">
        <v>393.75</v>
      </c>
      <c r="C1679" s="6">
        <v>20.584240000000001</v>
      </c>
      <c r="D1679" s="6">
        <v>44</v>
      </c>
      <c r="E1679" s="6">
        <v>0</v>
      </c>
      <c r="F1679" s="6">
        <v>0</v>
      </c>
      <c r="G1679" s="6">
        <v>7</v>
      </c>
      <c r="H1679" s="6" t="s">
        <v>3679</v>
      </c>
      <c r="I1679" s="6">
        <v>526.6875</v>
      </c>
      <c r="J1679" s="2">
        <f t="shared" si="26"/>
        <v>43747.565237847222</v>
      </c>
    </row>
    <row r="1680" spans="1:10" x14ac:dyDescent="0.25">
      <c r="A1680" s="7" t="s">
        <v>3680</v>
      </c>
      <c r="B1680" s="8">
        <v>393.75</v>
      </c>
      <c r="C1680" s="8">
        <v>20.584240000000001</v>
      </c>
      <c r="D1680" s="8">
        <v>45</v>
      </c>
      <c r="E1680" s="8">
        <v>0</v>
      </c>
      <c r="F1680" s="8">
        <v>0</v>
      </c>
      <c r="G1680" s="8">
        <v>0</v>
      </c>
      <c r="H1680" s="8" t="s">
        <v>3681</v>
      </c>
      <c r="I1680" s="8">
        <v>526.6875</v>
      </c>
      <c r="J1680" s="3">
        <f t="shared" si="26"/>
        <v>43747.565321423608</v>
      </c>
    </row>
    <row r="1681" spans="1:10" x14ac:dyDescent="0.25">
      <c r="A1681" s="5" t="s">
        <v>3682</v>
      </c>
      <c r="B1681" s="6">
        <v>393.75</v>
      </c>
      <c r="C1681" s="6">
        <v>20.584240000000001</v>
      </c>
      <c r="D1681" s="6">
        <v>45</v>
      </c>
      <c r="E1681" s="6">
        <v>0</v>
      </c>
      <c r="F1681" s="6">
        <v>0</v>
      </c>
      <c r="G1681" s="6">
        <v>6</v>
      </c>
      <c r="H1681" s="6" t="s">
        <v>3683</v>
      </c>
      <c r="I1681" s="6">
        <v>526.5</v>
      </c>
      <c r="J1681" s="2">
        <f t="shared" si="26"/>
        <v>43747.565404513887</v>
      </c>
    </row>
    <row r="1682" spans="1:10" x14ac:dyDescent="0.25">
      <c r="A1682" s="7" t="s">
        <v>3684</v>
      </c>
      <c r="B1682" s="8">
        <v>393.75</v>
      </c>
      <c r="C1682" s="8">
        <v>20.584240000000001</v>
      </c>
      <c r="D1682" s="8">
        <v>45</v>
      </c>
      <c r="E1682" s="8">
        <v>0</v>
      </c>
      <c r="F1682" s="8">
        <v>0</v>
      </c>
      <c r="G1682" s="8">
        <v>0</v>
      </c>
      <c r="H1682" s="8" t="s">
        <v>3685</v>
      </c>
      <c r="I1682" s="8">
        <v>526.6875</v>
      </c>
      <c r="J1682" s="3">
        <f t="shared" si="26"/>
        <v>43747.565476157404</v>
      </c>
    </row>
    <row r="1683" spans="1:10" x14ac:dyDescent="0.25">
      <c r="A1683" s="5" t="s">
        <v>3686</v>
      </c>
      <c r="B1683" s="6">
        <v>415.625</v>
      </c>
      <c r="C1683" s="6">
        <v>20.584240000000001</v>
      </c>
      <c r="D1683" s="6">
        <v>44</v>
      </c>
      <c r="E1683" s="6">
        <v>0</v>
      </c>
      <c r="F1683" s="6">
        <v>0</v>
      </c>
      <c r="G1683" s="6">
        <v>0</v>
      </c>
      <c r="H1683" s="6" t="s">
        <v>3687</v>
      </c>
      <c r="I1683" s="6">
        <v>533.625</v>
      </c>
      <c r="J1683" s="2">
        <f t="shared" si="26"/>
        <v>43747.565560057868</v>
      </c>
    </row>
    <row r="1684" spans="1:10" x14ac:dyDescent="0.25">
      <c r="A1684" s="7" t="s">
        <v>3688</v>
      </c>
      <c r="B1684" s="8">
        <v>393.75</v>
      </c>
      <c r="C1684" s="8">
        <v>20.584240000000001</v>
      </c>
      <c r="D1684" s="8">
        <v>45</v>
      </c>
      <c r="E1684" s="8">
        <v>0</v>
      </c>
      <c r="F1684" s="8">
        <v>0</v>
      </c>
      <c r="G1684" s="8">
        <v>0</v>
      </c>
      <c r="H1684" s="8" t="s">
        <v>3689</v>
      </c>
      <c r="I1684" s="8">
        <v>526.6875</v>
      </c>
      <c r="J1684" s="3">
        <f t="shared" si="26"/>
        <v>43747.565643391201</v>
      </c>
    </row>
    <row r="1685" spans="1:10" x14ac:dyDescent="0.25">
      <c r="A1685" s="5" t="s">
        <v>3690</v>
      </c>
      <c r="B1685" s="6">
        <v>412.5</v>
      </c>
      <c r="C1685" s="6">
        <v>20.584240000000001</v>
      </c>
      <c r="D1685" s="6">
        <v>44</v>
      </c>
      <c r="E1685" s="6">
        <v>0</v>
      </c>
      <c r="F1685" s="6">
        <v>0</v>
      </c>
      <c r="G1685" s="6">
        <v>0</v>
      </c>
      <c r="H1685" s="6" t="s">
        <v>3691</v>
      </c>
      <c r="I1685" s="6">
        <v>532.125</v>
      </c>
      <c r="J1685" s="2">
        <f t="shared" si="26"/>
        <v>43747.565753958326</v>
      </c>
    </row>
    <row r="1686" spans="1:10" x14ac:dyDescent="0.25">
      <c r="A1686" s="7" t="s">
        <v>3692</v>
      </c>
      <c r="B1686" s="8">
        <v>393.75</v>
      </c>
      <c r="C1686" s="8">
        <v>20.584240000000001</v>
      </c>
      <c r="D1686" s="8">
        <v>44</v>
      </c>
      <c r="E1686" s="8">
        <v>0</v>
      </c>
      <c r="F1686" s="8">
        <v>0</v>
      </c>
      <c r="G1686" s="8">
        <v>0</v>
      </c>
      <c r="H1686" s="8" t="s">
        <v>3693</v>
      </c>
      <c r="I1686" s="8">
        <v>526.6875</v>
      </c>
      <c r="J1686" s="3">
        <f t="shared" si="26"/>
        <v>43747.565834131943</v>
      </c>
    </row>
    <row r="1687" spans="1:10" x14ac:dyDescent="0.25">
      <c r="A1687" s="5" t="s">
        <v>3694</v>
      </c>
      <c r="B1687" s="6">
        <v>393.75</v>
      </c>
      <c r="C1687" s="6">
        <v>20.584240000000001</v>
      </c>
      <c r="D1687" s="6">
        <v>45</v>
      </c>
      <c r="E1687" s="6">
        <v>0</v>
      </c>
      <c r="F1687" s="6">
        <v>0</v>
      </c>
      <c r="G1687" s="6">
        <v>6</v>
      </c>
      <c r="H1687" s="6" t="s">
        <v>3695</v>
      </c>
      <c r="I1687" s="6">
        <v>526.6875</v>
      </c>
      <c r="J1687" s="2">
        <f t="shared" si="26"/>
        <v>43747.565917777778</v>
      </c>
    </row>
    <row r="1688" spans="1:10" x14ac:dyDescent="0.25">
      <c r="A1688" s="7" t="s">
        <v>3696</v>
      </c>
      <c r="B1688" s="8">
        <v>393.75</v>
      </c>
      <c r="C1688" s="8">
        <v>20.584240000000001</v>
      </c>
      <c r="D1688" s="8">
        <v>45</v>
      </c>
      <c r="E1688" s="8">
        <v>0</v>
      </c>
      <c r="F1688" s="8">
        <v>0</v>
      </c>
      <c r="G1688" s="8">
        <v>8</v>
      </c>
      <c r="H1688" s="8" t="s">
        <v>3697</v>
      </c>
      <c r="I1688" s="8">
        <v>526.6875</v>
      </c>
      <c r="J1688" s="3">
        <f t="shared" si="26"/>
        <v>43747.566000810184</v>
      </c>
    </row>
    <row r="1689" spans="1:10" x14ac:dyDescent="0.25">
      <c r="A1689" s="5" t="s">
        <v>3698</v>
      </c>
      <c r="B1689" s="6">
        <v>440.625</v>
      </c>
      <c r="C1689" s="6">
        <v>20.584240000000001</v>
      </c>
      <c r="D1689" s="6">
        <v>45</v>
      </c>
      <c r="E1689" s="6">
        <v>0</v>
      </c>
      <c r="F1689" s="6">
        <v>0</v>
      </c>
      <c r="G1689" s="6">
        <v>11</v>
      </c>
      <c r="H1689" s="6" t="s">
        <v>3699</v>
      </c>
      <c r="I1689" s="6">
        <v>541.3125</v>
      </c>
      <c r="J1689" s="2">
        <f t="shared" si="26"/>
        <v>43747.566072442125</v>
      </c>
    </row>
    <row r="1690" spans="1:10" x14ac:dyDescent="0.25">
      <c r="A1690" s="7" t="s">
        <v>3700</v>
      </c>
      <c r="B1690" s="8">
        <v>393.75</v>
      </c>
      <c r="C1690" s="8">
        <v>20.584240000000001</v>
      </c>
      <c r="D1690" s="8">
        <v>43</v>
      </c>
      <c r="E1690" s="8">
        <v>0</v>
      </c>
      <c r="F1690" s="8">
        <v>0</v>
      </c>
      <c r="G1690" s="8">
        <v>4</v>
      </c>
      <c r="H1690" s="8" t="s">
        <v>3701</v>
      </c>
      <c r="I1690" s="8">
        <v>526.6875</v>
      </c>
      <c r="J1690" s="3">
        <f t="shared" si="26"/>
        <v>43747.56615637731</v>
      </c>
    </row>
    <row r="1691" spans="1:10" x14ac:dyDescent="0.25">
      <c r="A1691" s="5" t="s">
        <v>3702</v>
      </c>
      <c r="B1691" s="6">
        <v>393.75</v>
      </c>
      <c r="C1691" s="6">
        <v>20.584240000000001</v>
      </c>
      <c r="D1691" s="6">
        <v>43</v>
      </c>
      <c r="E1691" s="6">
        <v>0</v>
      </c>
      <c r="F1691" s="6">
        <v>0</v>
      </c>
      <c r="G1691" s="6">
        <v>3</v>
      </c>
      <c r="H1691" s="6" t="s">
        <v>3703</v>
      </c>
      <c r="I1691" s="6">
        <v>526.6875</v>
      </c>
      <c r="J1691" s="2">
        <f t="shared" si="26"/>
        <v>43747.56625171296</v>
      </c>
    </row>
    <row r="1692" spans="1:10" x14ac:dyDescent="0.25">
      <c r="A1692" s="7" t="s">
        <v>3704</v>
      </c>
      <c r="B1692" s="8">
        <v>393.75</v>
      </c>
      <c r="C1692" s="8">
        <v>20.531590000000001</v>
      </c>
      <c r="D1692" s="8">
        <v>43</v>
      </c>
      <c r="E1692" s="8">
        <v>0</v>
      </c>
      <c r="F1692" s="8">
        <v>0</v>
      </c>
      <c r="G1692" s="8">
        <v>3</v>
      </c>
      <c r="H1692" s="8" t="s">
        <v>3705</v>
      </c>
      <c r="I1692" s="8">
        <v>526.6875</v>
      </c>
      <c r="J1692" s="3">
        <f t="shared" si="26"/>
        <v>43747.566349189809</v>
      </c>
    </row>
    <row r="1693" spans="1:10" x14ac:dyDescent="0.25">
      <c r="A1693" s="5" t="s">
        <v>3706</v>
      </c>
      <c r="B1693" s="6">
        <v>393.75</v>
      </c>
      <c r="C1693" s="6">
        <v>20.584240000000001</v>
      </c>
      <c r="D1693" s="6">
        <v>44</v>
      </c>
      <c r="E1693" s="6">
        <v>0</v>
      </c>
      <c r="F1693" s="6">
        <v>0</v>
      </c>
      <c r="G1693" s="6">
        <v>11</v>
      </c>
      <c r="H1693" s="6" t="s">
        <v>3707</v>
      </c>
      <c r="I1693" s="6">
        <v>526.6875</v>
      </c>
      <c r="J1693" s="2">
        <f t="shared" si="26"/>
        <v>43747.566430439816</v>
      </c>
    </row>
    <row r="1694" spans="1:10" x14ac:dyDescent="0.25">
      <c r="A1694" s="7" t="s">
        <v>3708</v>
      </c>
      <c r="B1694" s="8">
        <v>393.75</v>
      </c>
      <c r="C1694" s="8">
        <v>20.584240000000001</v>
      </c>
      <c r="D1694" s="8">
        <v>44</v>
      </c>
      <c r="E1694" s="8">
        <v>0</v>
      </c>
      <c r="F1694" s="8">
        <v>0</v>
      </c>
      <c r="G1694" s="8">
        <v>6</v>
      </c>
      <c r="H1694" s="8" t="s">
        <v>3709</v>
      </c>
      <c r="I1694" s="8">
        <v>526.6875</v>
      </c>
      <c r="J1694" s="3">
        <f t="shared" si="26"/>
        <v>43747.566514120372</v>
      </c>
    </row>
    <row r="1695" spans="1:10" x14ac:dyDescent="0.25">
      <c r="A1695" s="5" t="s">
        <v>3710</v>
      </c>
      <c r="B1695" s="6">
        <v>393.75</v>
      </c>
      <c r="C1695" s="6">
        <v>20.531590000000001</v>
      </c>
      <c r="D1695" s="6">
        <v>43</v>
      </c>
      <c r="E1695" s="6">
        <v>0</v>
      </c>
      <c r="F1695" s="6">
        <v>0</v>
      </c>
      <c r="G1695" s="6">
        <v>16</v>
      </c>
      <c r="H1695" s="6" t="s">
        <v>3711</v>
      </c>
      <c r="I1695" s="6">
        <v>526.6875</v>
      </c>
      <c r="J1695" s="2">
        <f t="shared" si="26"/>
        <v>43747.566597245364</v>
      </c>
    </row>
    <row r="1696" spans="1:10" x14ac:dyDescent="0.25">
      <c r="A1696" s="7" t="s">
        <v>3712</v>
      </c>
      <c r="B1696" s="8">
        <v>393.75</v>
      </c>
      <c r="C1696" s="8">
        <v>20.584240000000001</v>
      </c>
      <c r="D1696" s="8">
        <v>43</v>
      </c>
      <c r="E1696" s="8">
        <v>0</v>
      </c>
      <c r="F1696" s="8">
        <v>0</v>
      </c>
      <c r="G1696" s="8">
        <v>9</v>
      </c>
      <c r="H1696" s="8" t="s">
        <v>3713</v>
      </c>
      <c r="I1696" s="8">
        <v>526.6875</v>
      </c>
      <c r="J1696" s="3">
        <f t="shared" si="26"/>
        <v>43747.566668749998</v>
      </c>
    </row>
    <row r="1697" spans="1:10" x14ac:dyDescent="0.25">
      <c r="A1697" s="5" t="s">
        <v>3714</v>
      </c>
      <c r="B1697" s="6">
        <v>393.75</v>
      </c>
      <c r="C1697" s="6">
        <v>20.531590000000001</v>
      </c>
      <c r="D1697" s="6">
        <v>44</v>
      </c>
      <c r="E1697" s="6">
        <v>0</v>
      </c>
      <c r="F1697" s="6">
        <v>0</v>
      </c>
      <c r="G1697" s="6">
        <v>9</v>
      </c>
      <c r="H1697" s="6" t="s">
        <v>3715</v>
      </c>
      <c r="I1697" s="6">
        <v>526.6875</v>
      </c>
      <c r="J1697" s="2">
        <f t="shared" si="26"/>
        <v>43747.566752662031</v>
      </c>
    </row>
    <row r="1698" spans="1:10" x14ac:dyDescent="0.25">
      <c r="A1698" s="7" t="s">
        <v>3716</v>
      </c>
      <c r="B1698" s="8">
        <v>393.75</v>
      </c>
      <c r="C1698" s="8">
        <v>20.584240000000001</v>
      </c>
      <c r="D1698" s="8">
        <v>45</v>
      </c>
      <c r="E1698" s="8">
        <v>0</v>
      </c>
      <c r="F1698" s="8">
        <v>0</v>
      </c>
      <c r="G1698" s="8">
        <v>7</v>
      </c>
      <c r="H1698" s="8" t="s">
        <v>3717</v>
      </c>
      <c r="I1698" s="8">
        <v>526.6875</v>
      </c>
      <c r="J1698" s="3">
        <f t="shared" si="26"/>
        <v>43747.566835891201</v>
      </c>
    </row>
    <row r="1699" spans="1:10" x14ac:dyDescent="0.25">
      <c r="A1699" s="5" t="s">
        <v>3718</v>
      </c>
      <c r="B1699" s="6">
        <v>393.75</v>
      </c>
      <c r="C1699" s="6">
        <v>20.584240000000001</v>
      </c>
      <c r="D1699" s="6">
        <v>45</v>
      </c>
      <c r="E1699" s="6">
        <v>0</v>
      </c>
      <c r="F1699" s="6">
        <v>0</v>
      </c>
      <c r="G1699" s="6">
        <v>2</v>
      </c>
      <c r="H1699" s="6" t="s">
        <v>3719</v>
      </c>
      <c r="I1699" s="6">
        <v>526.6875</v>
      </c>
      <c r="J1699" s="2">
        <f t="shared" si="26"/>
        <v>43747.566919363424</v>
      </c>
    </row>
    <row r="1700" spans="1:10" x14ac:dyDescent="0.25">
      <c r="A1700" s="7" t="s">
        <v>3720</v>
      </c>
      <c r="B1700" s="8">
        <v>393.75</v>
      </c>
      <c r="C1700" s="8">
        <v>20.584240000000001</v>
      </c>
      <c r="D1700" s="8">
        <v>43</v>
      </c>
      <c r="E1700" s="8">
        <v>0</v>
      </c>
      <c r="F1700" s="8">
        <v>0</v>
      </c>
      <c r="G1700" s="8">
        <v>13</v>
      </c>
      <c r="H1700" s="8" t="s">
        <v>3721</v>
      </c>
      <c r="I1700" s="8">
        <v>526.6875</v>
      </c>
      <c r="J1700" s="3">
        <f t="shared" si="26"/>
        <v>43747.567003368058</v>
      </c>
    </row>
    <row r="1701" spans="1:10" x14ac:dyDescent="0.25">
      <c r="A1701" s="5" t="s">
        <v>3722</v>
      </c>
      <c r="B1701" s="6">
        <v>393.75</v>
      </c>
      <c r="C1701" s="6">
        <v>20.584240000000001</v>
      </c>
      <c r="D1701" s="6">
        <v>43</v>
      </c>
      <c r="E1701" s="6">
        <v>0</v>
      </c>
      <c r="F1701" s="6">
        <v>0</v>
      </c>
      <c r="G1701" s="6">
        <v>3</v>
      </c>
      <c r="H1701" s="6" t="s">
        <v>3723</v>
      </c>
      <c r="I1701" s="6">
        <v>526.6875</v>
      </c>
      <c r="J1701" s="2">
        <f t="shared" si="26"/>
        <v>43747.567086018513</v>
      </c>
    </row>
    <row r="1702" spans="1:10" x14ac:dyDescent="0.25">
      <c r="A1702" s="7" t="s">
        <v>3724</v>
      </c>
      <c r="B1702" s="8">
        <v>393.75</v>
      </c>
      <c r="C1702" s="8">
        <v>20.584240000000001</v>
      </c>
      <c r="D1702" s="8">
        <v>43</v>
      </c>
      <c r="E1702" s="8">
        <v>0</v>
      </c>
      <c r="F1702" s="8">
        <v>0</v>
      </c>
      <c r="G1702" s="8">
        <v>17</v>
      </c>
      <c r="H1702" s="8" t="s">
        <v>3725</v>
      </c>
      <c r="I1702" s="8">
        <v>526.6875</v>
      </c>
      <c r="J1702" s="3">
        <f t="shared" si="26"/>
        <v>43747.56715766203</v>
      </c>
    </row>
    <row r="1703" spans="1:10" x14ac:dyDescent="0.25">
      <c r="A1703" s="5" t="s">
        <v>3726</v>
      </c>
      <c r="B1703" s="6">
        <v>393.75</v>
      </c>
      <c r="C1703" s="6">
        <v>20.584240000000001</v>
      </c>
      <c r="D1703" s="6">
        <v>43</v>
      </c>
      <c r="E1703" s="6">
        <v>0</v>
      </c>
      <c r="F1703" s="6">
        <v>0</v>
      </c>
      <c r="G1703" s="6">
        <v>7</v>
      </c>
      <c r="H1703" s="6" t="s">
        <v>3727</v>
      </c>
      <c r="I1703" s="6">
        <v>526.6875</v>
      </c>
      <c r="J1703" s="2">
        <f t="shared" si="26"/>
        <v>43747.56724157407</v>
      </c>
    </row>
    <row r="1704" spans="1:10" x14ac:dyDescent="0.25">
      <c r="A1704" s="7" t="s">
        <v>3728</v>
      </c>
      <c r="B1704" s="8">
        <v>393.75</v>
      </c>
      <c r="C1704" s="8">
        <v>20.584240000000001</v>
      </c>
      <c r="D1704" s="8">
        <v>44</v>
      </c>
      <c r="E1704" s="8">
        <v>0</v>
      </c>
      <c r="F1704" s="8">
        <v>0</v>
      </c>
      <c r="G1704" s="8">
        <v>7</v>
      </c>
      <c r="H1704" s="8" t="s">
        <v>3729</v>
      </c>
      <c r="I1704" s="8">
        <v>526.5</v>
      </c>
      <c r="J1704" s="3">
        <f t="shared" si="26"/>
        <v>43747.56732490741</v>
      </c>
    </row>
    <row r="1705" spans="1:10" x14ac:dyDescent="0.25">
      <c r="A1705" s="5" t="s">
        <v>3730</v>
      </c>
      <c r="B1705" s="6">
        <v>393.75</v>
      </c>
      <c r="C1705" s="6">
        <v>20.584240000000001</v>
      </c>
      <c r="D1705" s="6">
        <v>45</v>
      </c>
      <c r="E1705" s="6">
        <v>0</v>
      </c>
      <c r="F1705" s="6">
        <v>0</v>
      </c>
      <c r="G1705" s="6">
        <v>6</v>
      </c>
      <c r="H1705" s="6" t="s">
        <v>3731</v>
      </c>
      <c r="I1705" s="6">
        <v>526.6875</v>
      </c>
      <c r="J1705" s="2">
        <f t="shared" si="26"/>
        <v>43747.567408333336</v>
      </c>
    </row>
    <row r="1706" spans="1:10" x14ac:dyDescent="0.25">
      <c r="A1706" s="7" t="s">
        <v>3732</v>
      </c>
      <c r="B1706" s="8">
        <v>393.75</v>
      </c>
      <c r="C1706" s="8">
        <v>20.584240000000001</v>
      </c>
      <c r="D1706" s="8">
        <v>45</v>
      </c>
      <c r="E1706" s="8">
        <v>0</v>
      </c>
      <c r="F1706" s="8">
        <v>0</v>
      </c>
      <c r="G1706" s="8">
        <v>6</v>
      </c>
      <c r="H1706" s="8" t="s">
        <v>3733</v>
      </c>
      <c r="I1706" s="8">
        <v>526.6875</v>
      </c>
      <c r="J1706" s="3">
        <f t="shared" si="26"/>
        <v>43747.567492002308</v>
      </c>
    </row>
    <row r="1707" spans="1:10" x14ac:dyDescent="0.25">
      <c r="A1707" s="5" t="s">
        <v>3734</v>
      </c>
      <c r="B1707" s="6">
        <v>393.75</v>
      </c>
      <c r="C1707" s="6">
        <v>20.584240000000001</v>
      </c>
      <c r="D1707" s="6">
        <v>46</v>
      </c>
      <c r="E1707" s="6">
        <v>0</v>
      </c>
      <c r="F1707" s="6">
        <v>0</v>
      </c>
      <c r="G1707" s="6">
        <v>1</v>
      </c>
      <c r="H1707" s="6" t="s">
        <v>3735</v>
      </c>
      <c r="I1707" s="6">
        <v>526.6875</v>
      </c>
      <c r="J1707" s="2">
        <f t="shared" si="26"/>
        <v>43747.56757501157</v>
      </c>
    </row>
    <row r="1708" spans="1:10" x14ac:dyDescent="0.25">
      <c r="A1708" s="7" t="s">
        <v>3736</v>
      </c>
      <c r="B1708" s="8">
        <v>412.5</v>
      </c>
      <c r="C1708" s="8">
        <v>20.584240000000001</v>
      </c>
      <c r="D1708" s="8">
        <v>46</v>
      </c>
      <c r="E1708" s="8">
        <v>0</v>
      </c>
      <c r="F1708" s="8">
        <v>0</v>
      </c>
      <c r="G1708" s="8">
        <v>4</v>
      </c>
      <c r="H1708" s="8" t="s">
        <v>3737</v>
      </c>
      <c r="I1708" s="8">
        <v>532.3125</v>
      </c>
      <c r="J1708" s="3">
        <f t="shared" si="26"/>
        <v>43747.567646643518</v>
      </c>
    </row>
    <row r="1709" spans="1:10" x14ac:dyDescent="0.25">
      <c r="A1709" s="5" t="s">
        <v>3738</v>
      </c>
      <c r="B1709" s="6">
        <v>393.75</v>
      </c>
      <c r="C1709" s="6">
        <v>20.584240000000001</v>
      </c>
      <c r="D1709" s="6">
        <v>45</v>
      </c>
      <c r="E1709" s="6">
        <v>0</v>
      </c>
      <c r="F1709" s="6">
        <v>0</v>
      </c>
      <c r="G1709" s="6">
        <v>5</v>
      </c>
      <c r="H1709" s="6" t="s">
        <v>3739</v>
      </c>
      <c r="I1709" s="6">
        <v>526.6875</v>
      </c>
      <c r="J1709" s="2">
        <f t="shared" si="26"/>
        <v>43747.567730462957</v>
      </c>
    </row>
    <row r="1710" spans="1:10" x14ac:dyDescent="0.25">
      <c r="A1710" s="7" t="s">
        <v>3740</v>
      </c>
      <c r="B1710" s="8">
        <v>393.75</v>
      </c>
      <c r="C1710" s="8">
        <v>20.584240000000001</v>
      </c>
      <c r="D1710" s="8">
        <v>45</v>
      </c>
      <c r="E1710" s="8">
        <v>0</v>
      </c>
      <c r="F1710" s="8">
        <v>0</v>
      </c>
      <c r="G1710" s="8">
        <v>4</v>
      </c>
      <c r="H1710" s="8" t="s">
        <v>3741</v>
      </c>
      <c r="I1710" s="8">
        <v>526.5</v>
      </c>
      <c r="J1710" s="3">
        <f t="shared" si="26"/>
        <v>43747.567813900459</v>
      </c>
    </row>
    <row r="1711" spans="1:10" x14ac:dyDescent="0.25">
      <c r="A1711" s="5" t="s">
        <v>3742</v>
      </c>
      <c r="B1711" s="6">
        <v>393.75</v>
      </c>
      <c r="C1711" s="6">
        <v>20.584240000000001</v>
      </c>
      <c r="D1711" s="6">
        <v>41</v>
      </c>
      <c r="E1711" s="6">
        <v>0</v>
      </c>
      <c r="F1711" s="6">
        <v>0</v>
      </c>
      <c r="G1711" s="6">
        <v>5</v>
      </c>
      <c r="H1711" s="6" t="s">
        <v>3743</v>
      </c>
      <c r="I1711" s="6">
        <v>526.6875</v>
      </c>
      <c r="J1711" s="2">
        <f t="shared" si="26"/>
        <v>43747.567897118053</v>
      </c>
    </row>
    <row r="1712" spans="1:10" x14ac:dyDescent="0.25">
      <c r="A1712" s="7" t="s">
        <v>3744</v>
      </c>
      <c r="B1712" s="8">
        <v>393.75</v>
      </c>
      <c r="C1712" s="8">
        <v>20.584240000000001</v>
      </c>
      <c r="D1712" s="8">
        <v>41</v>
      </c>
      <c r="E1712" s="8">
        <v>0</v>
      </c>
      <c r="F1712" s="8">
        <v>0</v>
      </c>
      <c r="G1712" s="8">
        <v>14</v>
      </c>
      <c r="H1712" s="8" t="s">
        <v>3745</v>
      </c>
      <c r="I1712" s="8">
        <v>526.6875</v>
      </c>
      <c r="J1712" s="3">
        <f t="shared" si="26"/>
        <v>43747.567968877316</v>
      </c>
    </row>
    <row r="1713" spans="1:10" x14ac:dyDescent="0.25">
      <c r="A1713" s="5" t="s">
        <v>3746</v>
      </c>
      <c r="B1713" s="6">
        <v>393.75</v>
      </c>
      <c r="C1713" s="6">
        <v>20.584240000000001</v>
      </c>
      <c r="D1713" s="6">
        <v>42</v>
      </c>
      <c r="E1713" s="6">
        <v>0</v>
      </c>
      <c r="F1713" s="6">
        <v>0</v>
      </c>
      <c r="G1713" s="6">
        <v>8</v>
      </c>
      <c r="H1713" s="6" t="s">
        <v>3747</v>
      </c>
      <c r="I1713" s="6">
        <v>526.6875</v>
      </c>
      <c r="J1713" s="2">
        <f t="shared" si="26"/>
        <v>43747.568052314811</v>
      </c>
    </row>
    <row r="1714" spans="1:10" x14ac:dyDescent="0.25">
      <c r="A1714" s="7" t="s">
        <v>3748</v>
      </c>
      <c r="B1714" s="8">
        <v>393.75</v>
      </c>
      <c r="C1714" s="8">
        <v>20.584240000000001</v>
      </c>
      <c r="D1714" s="8">
        <v>42</v>
      </c>
      <c r="E1714" s="8">
        <v>0</v>
      </c>
      <c r="F1714" s="8">
        <v>0</v>
      </c>
      <c r="G1714" s="8">
        <v>4</v>
      </c>
      <c r="H1714" s="8" t="s">
        <v>3749</v>
      </c>
      <c r="I1714" s="8">
        <v>526.6875</v>
      </c>
      <c r="J1714" s="3">
        <f t="shared" si="26"/>
        <v>43747.568135787034</v>
      </c>
    </row>
    <row r="1715" spans="1:10" x14ac:dyDescent="0.25">
      <c r="A1715" s="5" t="s">
        <v>3750</v>
      </c>
      <c r="B1715" s="6">
        <v>393.75</v>
      </c>
      <c r="C1715" s="6">
        <v>20.584240000000001</v>
      </c>
      <c r="D1715" s="6">
        <v>43</v>
      </c>
      <c r="E1715" s="6">
        <v>0</v>
      </c>
      <c r="F1715" s="6">
        <v>0</v>
      </c>
      <c r="G1715" s="6">
        <v>12</v>
      </c>
      <c r="H1715" s="6" t="s">
        <v>3751</v>
      </c>
      <c r="I1715" s="6">
        <v>526.6875</v>
      </c>
      <c r="J1715" s="2">
        <f t="shared" si="26"/>
        <v>43747.568207430551</v>
      </c>
    </row>
    <row r="1716" spans="1:10" x14ac:dyDescent="0.25">
      <c r="A1716" s="7" t="s">
        <v>3752</v>
      </c>
      <c r="B1716" s="8">
        <v>393.75</v>
      </c>
      <c r="C1716" s="8">
        <v>20.584240000000001</v>
      </c>
      <c r="D1716" s="8">
        <v>41</v>
      </c>
      <c r="E1716" s="8">
        <v>0</v>
      </c>
      <c r="F1716" s="8">
        <v>0</v>
      </c>
      <c r="G1716" s="8">
        <v>7</v>
      </c>
      <c r="H1716" s="8" t="s">
        <v>3753</v>
      </c>
      <c r="I1716" s="8">
        <v>526.6875</v>
      </c>
      <c r="J1716" s="3">
        <f t="shared" si="26"/>
        <v>43747.568290891206</v>
      </c>
    </row>
    <row r="1717" spans="1:10" x14ac:dyDescent="0.25">
      <c r="A1717" s="5" t="s">
        <v>3754</v>
      </c>
      <c r="B1717" s="6">
        <v>393.75</v>
      </c>
      <c r="C1717" s="6">
        <v>20.584240000000001</v>
      </c>
      <c r="D1717" s="6">
        <v>42</v>
      </c>
      <c r="E1717" s="6">
        <v>0</v>
      </c>
      <c r="F1717" s="6">
        <v>0</v>
      </c>
      <c r="G1717" s="6">
        <v>4</v>
      </c>
      <c r="H1717" s="6" t="s">
        <v>3755</v>
      </c>
      <c r="I1717" s="6">
        <v>526.6875</v>
      </c>
      <c r="J1717" s="2">
        <f t="shared" si="26"/>
        <v>43747.568362372687</v>
      </c>
    </row>
    <row r="1718" spans="1:10" x14ac:dyDescent="0.25">
      <c r="A1718" s="7" t="s">
        <v>3756</v>
      </c>
      <c r="B1718" s="8">
        <v>393.75</v>
      </c>
      <c r="C1718" s="8">
        <v>20.584240000000001</v>
      </c>
      <c r="D1718" s="8">
        <v>38</v>
      </c>
      <c r="E1718" s="8">
        <v>0</v>
      </c>
      <c r="F1718" s="8">
        <v>0</v>
      </c>
      <c r="G1718" s="8">
        <v>9</v>
      </c>
      <c r="H1718" s="8" t="s">
        <v>3757</v>
      </c>
      <c r="I1718" s="8">
        <v>526.6875</v>
      </c>
      <c r="J1718" s="3">
        <f t="shared" si="26"/>
        <v>43747.568445624995</v>
      </c>
    </row>
    <row r="1719" spans="1:10" x14ac:dyDescent="0.25">
      <c r="A1719" s="5" t="s">
        <v>3758</v>
      </c>
      <c r="B1719" s="6">
        <v>418.75</v>
      </c>
      <c r="C1719" s="6">
        <v>20.584240000000001</v>
      </c>
      <c r="D1719" s="6">
        <v>38</v>
      </c>
      <c r="E1719" s="6">
        <v>0</v>
      </c>
      <c r="F1719" s="6">
        <v>0</v>
      </c>
      <c r="G1719" s="6">
        <v>8</v>
      </c>
      <c r="H1719" s="6" t="s">
        <v>3759</v>
      </c>
      <c r="I1719" s="6">
        <v>534.5625</v>
      </c>
      <c r="J1719" s="2">
        <f t="shared" si="26"/>
        <v>43747.568517361105</v>
      </c>
    </row>
    <row r="1720" spans="1:10" x14ac:dyDescent="0.25">
      <c r="A1720" s="7" t="s">
        <v>3760</v>
      </c>
      <c r="B1720" s="8">
        <v>393.75</v>
      </c>
      <c r="C1720" s="8">
        <v>20.584240000000001</v>
      </c>
      <c r="D1720" s="8">
        <v>38</v>
      </c>
      <c r="E1720" s="8">
        <v>0</v>
      </c>
      <c r="F1720" s="8">
        <v>0</v>
      </c>
      <c r="G1720" s="8">
        <v>12</v>
      </c>
      <c r="H1720" s="8" t="s">
        <v>3761</v>
      </c>
      <c r="I1720" s="8">
        <v>526.6875</v>
      </c>
      <c r="J1720" s="3">
        <f t="shared" si="26"/>
        <v>43747.568600833336</v>
      </c>
    </row>
    <row r="1721" spans="1:10" x14ac:dyDescent="0.25">
      <c r="A1721" s="5" t="s">
        <v>3762</v>
      </c>
      <c r="B1721" s="6">
        <v>393.75</v>
      </c>
      <c r="C1721" s="6">
        <v>20.584240000000001</v>
      </c>
      <c r="D1721" s="6">
        <v>40</v>
      </c>
      <c r="E1721" s="6">
        <v>0</v>
      </c>
      <c r="F1721" s="6">
        <v>0</v>
      </c>
      <c r="G1721" s="6">
        <v>4</v>
      </c>
      <c r="H1721" s="6" t="s">
        <v>3763</v>
      </c>
      <c r="I1721" s="6">
        <v>526.6875</v>
      </c>
      <c r="J1721" s="2">
        <f t="shared" si="26"/>
        <v>43747.568684421298</v>
      </c>
    </row>
    <row r="1722" spans="1:10" x14ac:dyDescent="0.25">
      <c r="A1722" s="7" t="s">
        <v>3764</v>
      </c>
      <c r="B1722" s="8">
        <v>393.75</v>
      </c>
      <c r="C1722" s="8">
        <v>20.584240000000001</v>
      </c>
      <c r="D1722" s="8">
        <v>40</v>
      </c>
      <c r="E1722" s="8">
        <v>0</v>
      </c>
      <c r="F1722" s="8">
        <v>0</v>
      </c>
      <c r="G1722" s="8">
        <v>12</v>
      </c>
      <c r="H1722" s="8" t="s">
        <v>3765</v>
      </c>
      <c r="I1722" s="8">
        <v>526.6875</v>
      </c>
      <c r="J1722" s="3">
        <f t="shared" si="26"/>
        <v>43747.568779768517</v>
      </c>
    </row>
    <row r="1723" spans="1:10" x14ac:dyDescent="0.25">
      <c r="A1723" s="5" t="s">
        <v>3766</v>
      </c>
      <c r="B1723" s="6">
        <v>393.75</v>
      </c>
      <c r="C1723" s="6">
        <v>20.584240000000001</v>
      </c>
      <c r="D1723" s="6">
        <v>40</v>
      </c>
      <c r="E1723" s="6">
        <v>0</v>
      </c>
      <c r="F1723" s="6">
        <v>0</v>
      </c>
      <c r="G1723" s="6">
        <v>4</v>
      </c>
      <c r="H1723" s="6" t="s">
        <v>3767</v>
      </c>
      <c r="I1723" s="6">
        <v>526.6875</v>
      </c>
      <c r="J1723" s="2">
        <f t="shared" si="26"/>
        <v>43747.568863217595</v>
      </c>
    </row>
    <row r="1724" spans="1:10" x14ac:dyDescent="0.25">
      <c r="A1724" s="7" t="s">
        <v>3768</v>
      </c>
      <c r="B1724" s="8">
        <v>393.75</v>
      </c>
      <c r="C1724" s="8">
        <v>20.584240000000001</v>
      </c>
      <c r="D1724" s="8">
        <v>41</v>
      </c>
      <c r="E1724" s="8">
        <v>0</v>
      </c>
      <c r="F1724" s="8">
        <v>0</v>
      </c>
      <c r="G1724" s="8">
        <v>12</v>
      </c>
      <c r="H1724" s="8" t="s">
        <v>3769</v>
      </c>
      <c r="I1724" s="8">
        <v>526.6875</v>
      </c>
      <c r="J1724" s="3">
        <f t="shared" si="26"/>
        <v>43747.568946759253</v>
      </c>
    </row>
    <row r="1725" spans="1:10" x14ac:dyDescent="0.25">
      <c r="A1725" s="5" t="s">
        <v>3770</v>
      </c>
      <c r="B1725" s="6">
        <v>393.75</v>
      </c>
      <c r="C1725" s="6">
        <v>20.584240000000001</v>
      </c>
      <c r="D1725" s="6">
        <v>42</v>
      </c>
      <c r="E1725" s="6">
        <v>0</v>
      </c>
      <c r="F1725" s="6">
        <v>0</v>
      </c>
      <c r="G1725" s="6">
        <v>9</v>
      </c>
      <c r="H1725" s="6" t="s">
        <v>3771</v>
      </c>
      <c r="I1725" s="6">
        <v>526.5</v>
      </c>
      <c r="J1725" s="2">
        <f t="shared" si="26"/>
        <v>43747.5690302199</v>
      </c>
    </row>
    <row r="1726" spans="1:10" x14ac:dyDescent="0.25">
      <c r="A1726" s="7" t="s">
        <v>3772</v>
      </c>
      <c r="B1726" s="8">
        <v>393.75</v>
      </c>
      <c r="C1726" s="8">
        <v>20.584240000000001</v>
      </c>
      <c r="D1726" s="8">
        <v>42</v>
      </c>
      <c r="E1726" s="8">
        <v>0</v>
      </c>
      <c r="F1726" s="8">
        <v>0</v>
      </c>
      <c r="G1726" s="8">
        <v>0</v>
      </c>
      <c r="H1726" s="8" t="s">
        <v>3773</v>
      </c>
      <c r="I1726" s="8">
        <v>526.6875</v>
      </c>
      <c r="J1726" s="3">
        <f t="shared" si="26"/>
        <v>43747.56912555555</v>
      </c>
    </row>
    <row r="1727" spans="1:10" x14ac:dyDescent="0.25">
      <c r="A1727" s="5" t="s">
        <v>3774</v>
      </c>
      <c r="B1727" s="6">
        <v>393.75</v>
      </c>
      <c r="C1727" s="6">
        <v>20.531590000000001</v>
      </c>
      <c r="D1727" s="6">
        <v>44</v>
      </c>
      <c r="E1727" s="6">
        <v>0</v>
      </c>
      <c r="F1727" s="6">
        <v>0</v>
      </c>
      <c r="G1727" s="6">
        <v>6</v>
      </c>
      <c r="H1727" s="6" t="s">
        <v>3775</v>
      </c>
      <c r="I1727" s="6">
        <v>526.6875</v>
      </c>
      <c r="J1727" s="2">
        <f t="shared" si="26"/>
        <v>43747.569209004629</v>
      </c>
    </row>
    <row r="1728" spans="1:10" x14ac:dyDescent="0.25">
      <c r="A1728" s="7" t="s">
        <v>3776</v>
      </c>
      <c r="B1728" s="8">
        <v>393.75</v>
      </c>
      <c r="C1728" s="8">
        <v>20.531590000000001</v>
      </c>
      <c r="D1728" s="8">
        <v>44</v>
      </c>
      <c r="E1728" s="8">
        <v>0</v>
      </c>
      <c r="F1728" s="8">
        <v>0</v>
      </c>
      <c r="G1728" s="8">
        <v>0</v>
      </c>
      <c r="H1728" s="8" t="s">
        <v>3777</v>
      </c>
      <c r="I1728" s="8">
        <v>526.6875</v>
      </c>
      <c r="J1728" s="3">
        <f t="shared" si="26"/>
        <v>43747.569292581014</v>
      </c>
    </row>
    <row r="1729" spans="1:10" x14ac:dyDescent="0.25">
      <c r="A1729" s="5" t="s">
        <v>3778</v>
      </c>
      <c r="B1729" s="6">
        <v>393.75</v>
      </c>
      <c r="C1729" s="6">
        <v>20.584240000000001</v>
      </c>
      <c r="D1729" s="6">
        <v>44</v>
      </c>
      <c r="E1729" s="6">
        <v>0</v>
      </c>
      <c r="F1729" s="6">
        <v>0</v>
      </c>
      <c r="G1729" s="6">
        <v>0</v>
      </c>
      <c r="H1729" s="6" t="s">
        <v>3779</v>
      </c>
      <c r="I1729" s="6">
        <v>526.6875</v>
      </c>
      <c r="J1729" s="2">
        <f t="shared" si="26"/>
        <v>43747.569376030086</v>
      </c>
    </row>
    <row r="1730" spans="1:10" x14ac:dyDescent="0.25">
      <c r="A1730" s="7" t="s">
        <v>3780</v>
      </c>
      <c r="B1730" s="8">
        <v>412.5</v>
      </c>
      <c r="C1730" s="8">
        <v>20.584240000000001</v>
      </c>
      <c r="D1730" s="8">
        <v>44</v>
      </c>
      <c r="E1730" s="8">
        <v>0</v>
      </c>
      <c r="F1730" s="8">
        <v>0</v>
      </c>
      <c r="G1730" s="8">
        <v>9</v>
      </c>
      <c r="H1730" s="8" t="s">
        <v>3781</v>
      </c>
      <c r="I1730" s="8">
        <v>532.3125</v>
      </c>
      <c r="J1730" s="3">
        <f t="shared" ref="J1730:J1793" si="27">(H1730/86400000)+25569+(7/24)</f>
        <v>43747.569459467595</v>
      </c>
    </row>
    <row r="1731" spans="1:10" x14ac:dyDescent="0.25">
      <c r="A1731" s="5" t="s">
        <v>3782</v>
      </c>
      <c r="B1731" s="6">
        <v>393.75</v>
      </c>
      <c r="C1731" s="6">
        <v>20.584240000000001</v>
      </c>
      <c r="D1731" s="6">
        <v>44</v>
      </c>
      <c r="E1731" s="6">
        <v>0</v>
      </c>
      <c r="F1731" s="6">
        <v>0</v>
      </c>
      <c r="G1731" s="6">
        <v>3</v>
      </c>
      <c r="H1731" s="6" t="s">
        <v>3783</v>
      </c>
      <c r="I1731" s="6">
        <v>526.6875</v>
      </c>
      <c r="J1731" s="2">
        <f t="shared" si="27"/>
        <v>43747.569542928242</v>
      </c>
    </row>
    <row r="1732" spans="1:10" x14ac:dyDescent="0.25">
      <c r="A1732" s="7" t="s">
        <v>3784</v>
      </c>
      <c r="B1732" s="8">
        <v>393.75</v>
      </c>
      <c r="C1732" s="8">
        <v>20.584240000000001</v>
      </c>
      <c r="D1732" s="8">
        <v>45</v>
      </c>
      <c r="E1732" s="8">
        <v>0</v>
      </c>
      <c r="F1732" s="8">
        <v>0</v>
      </c>
      <c r="G1732" s="8">
        <v>0</v>
      </c>
      <c r="H1732" s="8" t="s">
        <v>3785</v>
      </c>
      <c r="I1732" s="8">
        <v>526.6875</v>
      </c>
      <c r="J1732" s="3">
        <f t="shared" si="27"/>
        <v>43747.569626377313</v>
      </c>
    </row>
    <row r="1733" spans="1:10" x14ac:dyDescent="0.25">
      <c r="A1733" s="5" t="s">
        <v>3786</v>
      </c>
      <c r="B1733" s="6">
        <v>393.75</v>
      </c>
      <c r="C1733" s="6">
        <v>20.531590000000001</v>
      </c>
      <c r="D1733" s="6">
        <v>45</v>
      </c>
      <c r="E1733" s="6">
        <v>0</v>
      </c>
      <c r="F1733" s="6">
        <v>0</v>
      </c>
      <c r="G1733" s="6">
        <v>0</v>
      </c>
      <c r="H1733" s="6" t="s">
        <v>3787</v>
      </c>
      <c r="I1733" s="6">
        <v>526.6875</v>
      </c>
      <c r="J1733" s="2">
        <f t="shared" si="27"/>
        <v>43747.569709918978</v>
      </c>
    </row>
    <row r="1734" spans="1:10" x14ac:dyDescent="0.25">
      <c r="A1734" s="7" t="s">
        <v>3788</v>
      </c>
      <c r="B1734" s="8">
        <v>393.75</v>
      </c>
      <c r="C1734" s="8">
        <v>20.531590000000001</v>
      </c>
      <c r="D1734" s="8">
        <v>44</v>
      </c>
      <c r="E1734" s="8">
        <v>0</v>
      </c>
      <c r="F1734" s="8">
        <v>0</v>
      </c>
      <c r="G1734" s="8">
        <v>9</v>
      </c>
      <c r="H1734" s="8" t="s">
        <v>3789</v>
      </c>
      <c r="I1734" s="8">
        <v>526.6875</v>
      </c>
      <c r="J1734" s="3">
        <f t="shared" si="27"/>
        <v>43747.569805312502</v>
      </c>
    </row>
    <row r="1735" spans="1:10" x14ac:dyDescent="0.25">
      <c r="A1735" s="5" t="s">
        <v>3790</v>
      </c>
      <c r="B1735" s="6">
        <v>393.75</v>
      </c>
      <c r="C1735" s="6">
        <v>20.584240000000001</v>
      </c>
      <c r="D1735" s="6">
        <v>42</v>
      </c>
      <c r="E1735" s="6">
        <v>0</v>
      </c>
      <c r="F1735" s="6">
        <v>0</v>
      </c>
      <c r="G1735" s="6">
        <v>7</v>
      </c>
      <c r="H1735" s="6" t="s">
        <v>3791</v>
      </c>
      <c r="I1735" s="6">
        <v>526.6875</v>
      </c>
      <c r="J1735" s="2">
        <f t="shared" si="27"/>
        <v>43747.569888749997</v>
      </c>
    </row>
    <row r="1736" spans="1:10" x14ac:dyDescent="0.25">
      <c r="A1736" s="7" t="s">
        <v>3792</v>
      </c>
      <c r="B1736" s="8">
        <v>393.75</v>
      </c>
      <c r="C1736" s="8">
        <v>20.584240000000001</v>
      </c>
      <c r="D1736" s="8">
        <v>42</v>
      </c>
      <c r="E1736" s="8">
        <v>0</v>
      </c>
      <c r="F1736" s="8">
        <v>0</v>
      </c>
      <c r="G1736" s="8">
        <v>17</v>
      </c>
      <c r="H1736" s="8" t="s">
        <v>3793</v>
      </c>
      <c r="I1736" s="8">
        <v>526.6875</v>
      </c>
      <c r="J1736" s="3">
        <f t="shared" si="27"/>
        <v>43747.569972199075</v>
      </c>
    </row>
    <row r="1737" spans="1:10" x14ac:dyDescent="0.25">
      <c r="A1737" s="5" t="s">
        <v>3794</v>
      </c>
      <c r="B1737" s="6">
        <v>393.75</v>
      </c>
      <c r="C1737" s="6">
        <v>20.584240000000001</v>
      </c>
      <c r="D1737" s="6">
        <v>43</v>
      </c>
      <c r="E1737" s="6">
        <v>0</v>
      </c>
      <c r="F1737" s="6">
        <v>0</v>
      </c>
      <c r="G1737" s="6">
        <v>2</v>
      </c>
      <c r="H1737" s="6" t="s">
        <v>3795</v>
      </c>
      <c r="I1737" s="6">
        <v>526.6875</v>
      </c>
      <c r="J1737" s="2">
        <f t="shared" si="27"/>
        <v>43747.570055625001</v>
      </c>
    </row>
    <row r="1738" spans="1:10" x14ac:dyDescent="0.25">
      <c r="A1738" s="7" t="s">
        <v>3796</v>
      </c>
      <c r="B1738" s="8">
        <v>393.75</v>
      </c>
      <c r="C1738" s="8">
        <v>20.531590000000001</v>
      </c>
      <c r="D1738" s="8">
        <v>42</v>
      </c>
      <c r="E1738" s="8">
        <v>0</v>
      </c>
      <c r="F1738" s="8">
        <v>0</v>
      </c>
      <c r="G1738" s="8">
        <v>14</v>
      </c>
      <c r="H1738" s="8" t="s">
        <v>3797</v>
      </c>
      <c r="I1738" s="8">
        <v>526.6875</v>
      </c>
      <c r="J1738" s="3">
        <f t="shared" si="27"/>
        <v>43747.57012684027</v>
      </c>
    </row>
    <row r="1739" spans="1:10" x14ac:dyDescent="0.25">
      <c r="A1739" s="5" t="s">
        <v>3798</v>
      </c>
      <c r="B1739" s="6">
        <v>393.75</v>
      </c>
      <c r="C1739" s="6">
        <v>20.584240000000001</v>
      </c>
      <c r="D1739" s="6">
        <v>43</v>
      </c>
      <c r="E1739" s="6">
        <v>0</v>
      </c>
      <c r="F1739" s="6">
        <v>0</v>
      </c>
      <c r="G1739" s="6">
        <v>9</v>
      </c>
      <c r="H1739" s="6" t="s">
        <v>3799</v>
      </c>
      <c r="I1739" s="6">
        <v>526.6875</v>
      </c>
      <c r="J1739" s="2">
        <f t="shared" si="27"/>
        <v>43747.570198483794</v>
      </c>
    </row>
    <row r="1740" spans="1:10" x14ac:dyDescent="0.25">
      <c r="A1740" s="7" t="s">
        <v>3800</v>
      </c>
      <c r="B1740" s="8">
        <v>400</v>
      </c>
      <c r="C1740" s="8">
        <v>20.584240000000001</v>
      </c>
      <c r="D1740" s="8">
        <v>42</v>
      </c>
      <c r="E1740" s="8">
        <v>0</v>
      </c>
      <c r="F1740" s="8">
        <v>0</v>
      </c>
      <c r="G1740" s="8">
        <v>6</v>
      </c>
      <c r="H1740" s="8" t="s">
        <v>3801</v>
      </c>
      <c r="I1740" s="8">
        <v>528.9375</v>
      </c>
      <c r="J1740" s="3">
        <f t="shared" si="27"/>
        <v>43747.570270474534</v>
      </c>
    </row>
    <row r="1741" spans="1:10" x14ac:dyDescent="0.25">
      <c r="A1741" s="5" t="s">
        <v>3802</v>
      </c>
      <c r="B1741" s="6">
        <v>393.75</v>
      </c>
      <c r="C1741" s="6">
        <v>20.584240000000001</v>
      </c>
      <c r="D1741" s="6">
        <v>46</v>
      </c>
      <c r="E1741" s="6">
        <v>0</v>
      </c>
      <c r="F1741" s="6">
        <v>0</v>
      </c>
      <c r="G1741" s="6">
        <v>8</v>
      </c>
      <c r="H1741" s="6" t="s">
        <v>3803</v>
      </c>
      <c r="I1741" s="6">
        <v>526.6875</v>
      </c>
      <c r="J1741" s="2">
        <f t="shared" si="27"/>
        <v>43747.570353796291</v>
      </c>
    </row>
    <row r="1742" spans="1:10" x14ac:dyDescent="0.25">
      <c r="A1742" s="7" t="s">
        <v>3804</v>
      </c>
      <c r="B1742" s="8">
        <v>393.75</v>
      </c>
      <c r="C1742" s="8">
        <v>20.584240000000001</v>
      </c>
      <c r="D1742" s="8">
        <v>46</v>
      </c>
      <c r="E1742" s="8">
        <v>0</v>
      </c>
      <c r="F1742" s="8">
        <v>0</v>
      </c>
      <c r="G1742" s="8">
        <v>13</v>
      </c>
      <c r="H1742" s="8" t="s">
        <v>3805</v>
      </c>
      <c r="I1742" s="8">
        <v>526.6875</v>
      </c>
      <c r="J1742" s="3">
        <f t="shared" si="27"/>
        <v>43747.570437291659</v>
      </c>
    </row>
    <row r="1743" spans="1:10" x14ac:dyDescent="0.25">
      <c r="A1743" s="5" t="s">
        <v>3806</v>
      </c>
      <c r="B1743" s="6">
        <v>393.75</v>
      </c>
      <c r="C1743" s="6">
        <v>20.584240000000001</v>
      </c>
      <c r="D1743" s="6">
        <v>46</v>
      </c>
      <c r="E1743" s="6">
        <v>0</v>
      </c>
      <c r="F1743" s="6">
        <v>0</v>
      </c>
      <c r="G1743" s="6">
        <v>4</v>
      </c>
      <c r="H1743" s="6" t="s">
        <v>3807</v>
      </c>
      <c r="I1743" s="6">
        <v>526.6875</v>
      </c>
      <c r="J1743" s="2">
        <f t="shared" si="27"/>
        <v>43747.570520706016</v>
      </c>
    </row>
    <row r="1744" spans="1:10" x14ac:dyDescent="0.25">
      <c r="A1744" s="7" t="s">
        <v>3808</v>
      </c>
      <c r="B1744" s="8">
        <v>393.75</v>
      </c>
      <c r="C1744" s="8">
        <v>20.584240000000001</v>
      </c>
      <c r="D1744" s="8">
        <v>46</v>
      </c>
      <c r="E1744" s="8">
        <v>0</v>
      </c>
      <c r="F1744" s="8">
        <v>0</v>
      </c>
      <c r="G1744" s="8">
        <v>8</v>
      </c>
      <c r="H1744" s="8" t="s">
        <v>3809</v>
      </c>
      <c r="I1744" s="8">
        <v>526.6875</v>
      </c>
      <c r="J1744" s="3">
        <f t="shared" si="27"/>
        <v>43747.570592118056</v>
      </c>
    </row>
    <row r="1745" spans="1:10" x14ac:dyDescent="0.25">
      <c r="A1745" s="5" t="s">
        <v>3810</v>
      </c>
      <c r="B1745" s="6">
        <v>393.75</v>
      </c>
      <c r="C1745" s="6">
        <v>20.584240000000001</v>
      </c>
      <c r="D1745" s="6">
        <v>46</v>
      </c>
      <c r="E1745" s="6">
        <v>0</v>
      </c>
      <c r="F1745" s="6">
        <v>0</v>
      </c>
      <c r="G1745" s="6">
        <v>9</v>
      </c>
      <c r="H1745" s="6" t="s">
        <v>3811</v>
      </c>
      <c r="I1745" s="6">
        <v>526.6875</v>
      </c>
      <c r="J1745" s="2">
        <f t="shared" si="27"/>
        <v>43747.57067577546</v>
      </c>
    </row>
    <row r="1746" spans="1:10" x14ac:dyDescent="0.25">
      <c r="A1746" s="7" t="s">
        <v>3812</v>
      </c>
      <c r="B1746" s="8">
        <v>393.75</v>
      </c>
      <c r="C1746" s="8">
        <v>20.584240000000001</v>
      </c>
      <c r="D1746" s="8">
        <v>45</v>
      </c>
      <c r="E1746" s="8">
        <v>0</v>
      </c>
      <c r="F1746" s="8">
        <v>0</v>
      </c>
      <c r="G1746" s="8">
        <v>18</v>
      </c>
      <c r="H1746" s="8" t="s">
        <v>3813</v>
      </c>
      <c r="I1746" s="8">
        <v>526.6875</v>
      </c>
      <c r="J1746" s="3">
        <f t="shared" si="27"/>
        <v>43747.570759236107</v>
      </c>
    </row>
    <row r="1747" spans="1:10" x14ac:dyDescent="0.25">
      <c r="A1747" s="5" t="s">
        <v>3814</v>
      </c>
      <c r="B1747" s="6">
        <v>393.75</v>
      </c>
      <c r="C1747" s="6">
        <v>20.584240000000001</v>
      </c>
      <c r="D1747" s="6">
        <v>45</v>
      </c>
      <c r="E1747" s="6">
        <v>0</v>
      </c>
      <c r="F1747" s="6">
        <v>0</v>
      </c>
      <c r="G1747" s="6">
        <v>16</v>
      </c>
      <c r="H1747" s="6" t="s">
        <v>3815</v>
      </c>
      <c r="I1747" s="6">
        <v>526.6875</v>
      </c>
      <c r="J1747" s="2">
        <f t="shared" si="27"/>
        <v>43747.570847453702</v>
      </c>
    </row>
    <row r="1748" spans="1:10" x14ac:dyDescent="0.25">
      <c r="A1748" s="7" t="s">
        <v>3816</v>
      </c>
      <c r="B1748" s="8">
        <v>393.75</v>
      </c>
      <c r="C1748" s="8">
        <v>20.584240000000001</v>
      </c>
      <c r="D1748" s="8">
        <v>46</v>
      </c>
      <c r="E1748" s="8">
        <v>0</v>
      </c>
      <c r="F1748" s="8">
        <v>0</v>
      </c>
      <c r="G1748" s="8">
        <v>7</v>
      </c>
      <c r="H1748" s="8" t="s">
        <v>3817</v>
      </c>
      <c r="I1748" s="8">
        <v>526.6875</v>
      </c>
      <c r="J1748" s="3">
        <f t="shared" si="27"/>
        <v>43747.570926238426</v>
      </c>
    </row>
    <row r="1749" spans="1:10" x14ac:dyDescent="0.25">
      <c r="A1749" s="5" t="s">
        <v>3818</v>
      </c>
      <c r="B1749" s="6">
        <v>393.75</v>
      </c>
      <c r="C1749" s="6">
        <v>20.584240000000001</v>
      </c>
      <c r="D1749" s="6">
        <v>46</v>
      </c>
      <c r="E1749" s="6">
        <v>0</v>
      </c>
      <c r="F1749" s="6">
        <v>0</v>
      </c>
      <c r="G1749" s="6">
        <v>16</v>
      </c>
      <c r="H1749" s="6" t="s">
        <v>3819</v>
      </c>
      <c r="I1749" s="6">
        <v>526.6875</v>
      </c>
      <c r="J1749" s="2">
        <f t="shared" si="27"/>
        <v>43747.571009236104</v>
      </c>
    </row>
    <row r="1750" spans="1:10" x14ac:dyDescent="0.25">
      <c r="A1750" s="7" t="s">
        <v>3820</v>
      </c>
      <c r="B1750" s="8">
        <v>412.5</v>
      </c>
      <c r="C1750" s="8">
        <v>20.584240000000001</v>
      </c>
      <c r="D1750" s="8">
        <v>46</v>
      </c>
      <c r="E1750" s="8">
        <v>0</v>
      </c>
      <c r="F1750" s="8">
        <v>0</v>
      </c>
      <c r="G1750" s="8">
        <v>12</v>
      </c>
      <c r="H1750" s="8" t="s">
        <v>3821</v>
      </c>
      <c r="I1750" s="8">
        <v>532.3125</v>
      </c>
      <c r="J1750" s="3">
        <f t="shared" si="27"/>
        <v>43747.571081215276</v>
      </c>
    </row>
    <row r="1751" spans="1:10" x14ac:dyDescent="0.25">
      <c r="A1751" s="5" t="s">
        <v>3822</v>
      </c>
      <c r="B1751" s="6">
        <v>393.75</v>
      </c>
      <c r="C1751" s="6">
        <v>20.584240000000001</v>
      </c>
      <c r="D1751" s="6">
        <v>46</v>
      </c>
      <c r="E1751" s="6">
        <v>0</v>
      </c>
      <c r="F1751" s="6">
        <v>0</v>
      </c>
      <c r="G1751" s="6">
        <v>4</v>
      </c>
      <c r="H1751" s="6" t="s">
        <v>3823</v>
      </c>
      <c r="I1751" s="6">
        <v>526.6875</v>
      </c>
      <c r="J1751" s="2">
        <f t="shared" si="27"/>
        <v>43747.57115265046</v>
      </c>
    </row>
    <row r="1752" spans="1:10" x14ac:dyDescent="0.25">
      <c r="A1752" s="7" t="s">
        <v>3824</v>
      </c>
      <c r="B1752" s="8">
        <v>393.75</v>
      </c>
      <c r="C1752" s="8">
        <v>20.584240000000001</v>
      </c>
      <c r="D1752" s="8">
        <v>47</v>
      </c>
      <c r="E1752" s="8">
        <v>0</v>
      </c>
      <c r="F1752" s="8">
        <v>0</v>
      </c>
      <c r="G1752" s="8">
        <v>7</v>
      </c>
      <c r="H1752" s="8" t="s">
        <v>3825</v>
      </c>
      <c r="I1752" s="8">
        <v>526.6875</v>
      </c>
      <c r="J1752" s="3">
        <f t="shared" si="27"/>
        <v>43747.571224409716</v>
      </c>
    </row>
    <row r="1753" spans="1:10" x14ac:dyDescent="0.25">
      <c r="A1753" s="5" t="s">
        <v>3826</v>
      </c>
      <c r="B1753" s="6">
        <v>393.75</v>
      </c>
      <c r="C1753" s="6">
        <v>20.584240000000001</v>
      </c>
      <c r="D1753" s="6">
        <v>48</v>
      </c>
      <c r="E1753" s="6">
        <v>0</v>
      </c>
      <c r="F1753" s="6">
        <v>0</v>
      </c>
      <c r="G1753" s="6">
        <v>1</v>
      </c>
      <c r="H1753" s="6" t="s">
        <v>3827</v>
      </c>
      <c r="I1753" s="6">
        <v>526.6875</v>
      </c>
      <c r="J1753" s="2">
        <f t="shared" si="27"/>
        <v>43747.571307835642</v>
      </c>
    </row>
    <row r="1754" spans="1:10" x14ac:dyDescent="0.25">
      <c r="A1754" s="7" t="s">
        <v>3828</v>
      </c>
      <c r="B1754" s="8">
        <v>393.75</v>
      </c>
      <c r="C1754" s="8">
        <v>20.584240000000001</v>
      </c>
      <c r="D1754" s="8">
        <v>48</v>
      </c>
      <c r="E1754" s="8">
        <v>0</v>
      </c>
      <c r="F1754" s="8">
        <v>0</v>
      </c>
      <c r="G1754" s="8">
        <v>9</v>
      </c>
      <c r="H1754" s="8" t="s">
        <v>3829</v>
      </c>
      <c r="I1754" s="8">
        <v>526.6875</v>
      </c>
      <c r="J1754" s="3">
        <f t="shared" si="27"/>
        <v>43747.571391192127</v>
      </c>
    </row>
    <row r="1755" spans="1:10" x14ac:dyDescent="0.25">
      <c r="A1755" s="5" t="s">
        <v>3830</v>
      </c>
      <c r="B1755" s="6">
        <v>393.75</v>
      </c>
      <c r="C1755" s="6">
        <v>20.584240000000001</v>
      </c>
      <c r="D1755" s="6">
        <v>46</v>
      </c>
      <c r="E1755" s="6">
        <v>0</v>
      </c>
      <c r="F1755" s="6">
        <v>0</v>
      </c>
      <c r="G1755" s="6">
        <v>6</v>
      </c>
      <c r="H1755" s="6" t="s">
        <v>3831</v>
      </c>
      <c r="I1755" s="6">
        <v>526.6875</v>
      </c>
      <c r="J1755" s="2">
        <f t="shared" si="27"/>
        <v>43747.57147484953</v>
      </c>
    </row>
    <row r="1756" spans="1:10" x14ac:dyDescent="0.25">
      <c r="A1756" s="7" t="s">
        <v>3832</v>
      </c>
      <c r="B1756" s="8">
        <v>412.5</v>
      </c>
      <c r="C1756" s="8">
        <v>20.584240000000001</v>
      </c>
      <c r="D1756" s="8">
        <v>46</v>
      </c>
      <c r="E1756" s="8">
        <v>0</v>
      </c>
      <c r="F1756" s="8">
        <v>0</v>
      </c>
      <c r="G1756" s="8">
        <v>14</v>
      </c>
      <c r="H1756" s="8" t="s">
        <v>3833</v>
      </c>
      <c r="I1756" s="8">
        <v>532.3125</v>
      </c>
      <c r="J1756" s="3">
        <f t="shared" si="27"/>
        <v>43747.5715580787</v>
      </c>
    </row>
    <row r="1757" spans="1:10" x14ac:dyDescent="0.25">
      <c r="A1757" s="5" t="s">
        <v>3834</v>
      </c>
      <c r="B1757" s="6">
        <v>393.75</v>
      </c>
      <c r="C1757" s="6">
        <v>20.584240000000001</v>
      </c>
      <c r="D1757" s="6">
        <v>44</v>
      </c>
      <c r="E1757" s="6">
        <v>0</v>
      </c>
      <c r="F1757" s="6">
        <v>0</v>
      </c>
      <c r="G1757" s="6">
        <v>11</v>
      </c>
      <c r="H1757" s="6" t="s">
        <v>3835</v>
      </c>
      <c r="I1757" s="6">
        <v>526.6875</v>
      </c>
      <c r="J1757" s="2">
        <f t="shared" si="27"/>
        <v>43747.571641539347</v>
      </c>
    </row>
    <row r="1758" spans="1:10" x14ac:dyDescent="0.25">
      <c r="A1758" s="7" t="s">
        <v>3836</v>
      </c>
      <c r="B1758" s="8">
        <v>393.75</v>
      </c>
      <c r="C1758" s="8">
        <v>20.584240000000001</v>
      </c>
      <c r="D1758" s="8">
        <v>41</v>
      </c>
      <c r="E1758" s="8">
        <v>0</v>
      </c>
      <c r="F1758" s="8">
        <v>0</v>
      </c>
      <c r="G1758" s="8">
        <v>4</v>
      </c>
      <c r="H1758" s="8" t="s">
        <v>3837</v>
      </c>
      <c r="I1758" s="8">
        <v>526.6875</v>
      </c>
      <c r="J1758" s="3">
        <f t="shared" si="27"/>
        <v>43747.571725081019</v>
      </c>
    </row>
    <row r="1759" spans="1:10" x14ac:dyDescent="0.25">
      <c r="A1759" s="5" t="s">
        <v>3838</v>
      </c>
      <c r="B1759" s="6">
        <v>393.75</v>
      </c>
      <c r="C1759" s="6">
        <v>20.584240000000001</v>
      </c>
      <c r="D1759" s="6">
        <v>42</v>
      </c>
      <c r="E1759" s="6">
        <v>0</v>
      </c>
      <c r="F1759" s="6">
        <v>0</v>
      </c>
      <c r="G1759" s="6">
        <v>18</v>
      </c>
      <c r="H1759" s="6" t="s">
        <v>3839</v>
      </c>
      <c r="I1759" s="6">
        <v>526.6875</v>
      </c>
      <c r="J1759" s="2">
        <f t="shared" si="27"/>
        <v>43747.571832384252</v>
      </c>
    </row>
    <row r="1760" spans="1:10" x14ac:dyDescent="0.25">
      <c r="A1760" s="7" t="s">
        <v>3840</v>
      </c>
      <c r="B1760" s="8">
        <v>393.75</v>
      </c>
      <c r="C1760" s="8">
        <v>20.584240000000001</v>
      </c>
      <c r="D1760" s="8">
        <v>44</v>
      </c>
      <c r="E1760" s="8">
        <v>0</v>
      </c>
      <c r="F1760" s="8">
        <v>0</v>
      </c>
      <c r="G1760" s="8">
        <v>18</v>
      </c>
      <c r="H1760" s="8" t="s">
        <v>3841</v>
      </c>
      <c r="I1760" s="8">
        <v>526.6875</v>
      </c>
      <c r="J1760" s="3">
        <f t="shared" si="27"/>
        <v>43747.571915624998</v>
      </c>
    </row>
    <row r="1761" spans="1:10" x14ac:dyDescent="0.25">
      <c r="A1761" s="5" t="s">
        <v>3842</v>
      </c>
      <c r="B1761" s="6">
        <v>393.75</v>
      </c>
      <c r="C1761" s="6">
        <v>20.531590000000001</v>
      </c>
      <c r="D1761" s="6">
        <v>44</v>
      </c>
      <c r="E1761" s="6">
        <v>0</v>
      </c>
      <c r="F1761" s="6">
        <v>0</v>
      </c>
      <c r="G1761" s="6">
        <v>12</v>
      </c>
      <c r="H1761" s="6" t="s">
        <v>3843</v>
      </c>
      <c r="I1761" s="6">
        <v>526.5</v>
      </c>
      <c r="J1761" s="2">
        <f t="shared" si="27"/>
        <v>43747.571987384254</v>
      </c>
    </row>
    <row r="1762" spans="1:10" x14ac:dyDescent="0.25">
      <c r="A1762" s="7" t="s">
        <v>3844</v>
      </c>
      <c r="B1762" s="8">
        <v>393.75</v>
      </c>
      <c r="C1762" s="8">
        <v>20.584240000000001</v>
      </c>
      <c r="D1762" s="8">
        <v>46</v>
      </c>
      <c r="E1762" s="8">
        <v>0</v>
      </c>
      <c r="F1762" s="8">
        <v>0</v>
      </c>
      <c r="G1762" s="8">
        <v>12</v>
      </c>
      <c r="H1762" s="8" t="s">
        <v>3845</v>
      </c>
      <c r="I1762" s="8">
        <v>526.6875</v>
      </c>
      <c r="J1762" s="3">
        <f t="shared" si="27"/>
        <v>43747.572070925926</v>
      </c>
    </row>
    <row r="1763" spans="1:10" x14ac:dyDescent="0.25">
      <c r="A1763" s="5" t="s">
        <v>3846</v>
      </c>
      <c r="B1763" s="6">
        <v>393.75</v>
      </c>
      <c r="C1763" s="6">
        <v>20.584240000000001</v>
      </c>
      <c r="D1763" s="6">
        <v>46</v>
      </c>
      <c r="E1763" s="6">
        <v>0</v>
      </c>
      <c r="F1763" s="6">
        <v>0</v>
      </c>
      <c r="G1763" s="6">
        <v>10</v>
      </c>
      <c r="H1763" s="6" t="s">
        <v>3847</v>
      </c>
      <c r="I1763" s="6">
        <v>526.6875</v>
      </c>
      <c r="J1763" s="2">
        <f t="shared" si="27"/>
        <v>43747.572154386573</v>
      </c>
    </row>
    <row r="1764" spans="1:10" x14ac:dyDescent="0.25">
      <c r="A1764" s="7" t="s">
        <v>3848</v>
      </c>
      <c r="B1764" s="8">
        <v>393.75</v>
      </c>
      <c r="C1764" s="8">
        <v>20.584240000000001</v>
      </c>
      <c r="D1764" s="8">
        <v>45</v>
      </c>
      <c r="E1764" s="8">
        <v>0</v>
      </c>
      <c r="F1764" s="8">
        <v>0</v>
      </c>
      <c r="G1764" s="8">
        <v>5</v>
      </c>
      <c r="H1764" s="8" t="s">
        <v>3849</v>
      </c>
      <c r="I1764" s="8">
        <v>526.6875</v>
      </c>
      <c r="J1764" s="3">
        <f t="shared" si="27"/>
        <v>43747.572237835644</v>
      </c>
    </row>
    <row r="1765" spans="1:10" x14ac:dyDescent="0.25">
      <c r="A1765" s="5" t="s">
        <v>3850</v>
      </c>
      <c r="B1765" s="6">
        <v>393.75</v>
      </c>
      <c r="C1765" s="6">
        <v>20.584240000000001</v>
      </c>
      <c r="D1765" s="6">
        <v>46</v>
      </c>
      <c r="E1765" s="6">
        <v>0</v>
      </c>
      <c r="F1765" s="6">
        <v>0</v>
      </c>
      <c r="G1765" s="6">
        <v>4</v>
      </c>
      <c r="H1765" s="6" t="s">
        <v>3851</v>
      </c>
      <c r="I1765" s="6">
        <v>526.6875</v>
      </c>
      <c r="J1765" s="2">
        <f t="shared" si="27"/>
        <v>43747.572321273146</v>
      </c>
    </row>
    <row r="1766" spans="1:10" x14ac:dyDescent="0.25">
      <c r="A1766" s="7" t="s">
        <v>3852</v>
      </c>
      <c r="B1766" s="8">
        <v>393.75</v>
      </c>
      <c r="C1766" s="8">
        <v>20.584240000000001</v>
      </c>
      <c r="D1766" s="8">
        <v>45</v>
      </c>
      <c r="E1766" s="8">
        <v>0</v>
      </c>
      <c r="F1766" s="8">
        <v>0</v>
      </c>
      <c r="G1766" s="8">
        <v>10</v>
      </c>
      <c r="H1766" s="8" t="s">
        <v>3853</v>
      </c>
      <c r="I1766" s="8">
        <v>526.6875</v>
      </c>
      <c r="J1766" s="3">
        <f t="shared" si="27"/>
        <v>43747.572404479164</v>
      </c>
    </row>
    <row r="1767" spans="1:10" x14ac:dyDescent="0.25">
      <c r="A1767" s="5" t="s">
        <v>3854</v>
      </c>
      <c r="B1767" s="6">
        <v>412.5</v>
      </c>
      <c r="C1767" s="6">
        <v>20.584240000000001</v>
      </c>
      <c r="D1767" s="6">
        <v>45</v>
      </c>
      <c r="E1767" s="6">
        <v>0</v>
      </c>
      <c r="F1767" s="6">
        <v>0</v>
      </c>
      <c r="G1767" s="6">
        <v>10</v>
      </c>
      <c r="H1767" s="6" t="s">
        <v>3855</v>
      </c>
      <c r="I1767" s="6">
        <v>532.3125</v>
      </c>
      <c r="J1767" s="2">
        <f t="shared" si="27"/>
        <v>43747.572476273148</v>
      </c>
    </row>
    <row r="1768" spans="1:10" x14ac:dyDescent="0.25">
      <c r="A1768" s="7" t="s">
        <v>3856</v>
      </c>
      <c r="B1768" s="8">
        <v>393.75</v>
      </c>
      <c r="C1768" s="8">
        <v>20.584240000000001</v>
      </c>
      <c r="D1768" s="8">
        <v>43</v>
      </c>
      <c r="E1768" s="8">
        <v>0</v>
      </c>
      <c r="F1768" s="8">
        <v>0</v>
      </c>
      <c r="G1768" s="8">
        <v>11</v>
      </c>
      <c r="H1768" s="8" t="s">
        <v>3857</v>
      </c>
      <c r="I1768" s="8">
        <v>526.6875</v>
      </c>
      <c r="J1768" s="3">
        <f t="shared" si="27"/>
        <v>43747.572559826389</v>
      </c>
    </row>
    <row r="1769" spans="1:10" x14ac:dyDescent="0.25">
      <c r="A1769" s="5" t="s">
        <v>3858</v>
      </c>
      <c r="B1769" s="6">
        <v>393.75</v>
      </c>
      <c r="C1769" s="6">
        <v>20.584240000000001</v>
      </c>
      <c r="D1769" s="6">
        <v>43</v>
      </c>
      <c r="E1769" s="6">
        <v>0</v>
      </c>
      <c r="F1769" s="6">
        <v>0</v>
      </c>
      <c r="G1769" s="6">
        <v>8</v>
      </c>
      <c r="H1769" s="6" t="s">
        <v>3859</v>
      </c>
      <c r="I1769" s="6">
        <v>526.6875</v>
      </c>
      <c r="J1769" s="2">
        <f t="shared" si="27"/>
        <v>43747.572642951382</v>
      </c>
    </row>
    <row r="1770" spans="1:10" x14ac:dyDescent="0.25">
      <c r="A1770" s="7" t="s">
        <v>3860</v>
      </c>
      <c r="B1770" s="8">
        <v>393.75</v>
      </c>
      <c r="C1770" s="8">
        <v>20.584240000000001</v>
      </c>
      <c r="D1770" s="8">
        <v>41</v>
      </c>
      <c r="E1770" s="8">
        <v>0</v>
      </c>
      <c r="F1770" s="8">
        <v>0</v>
      </c>
      <c r="G1770" s="8">
        <v>17</v>
      </c>
      <c r="H1770" s="8" t="s">
        <v>3861</v>
      </c>
      <c r="I1770" s="8">
        <v>526.6875</v>
      </c>
      <c r="J1770" s="3">
        <f t="shared" si="27"/>
        <v>43747.572726736107</v>
      </c>
    </row>
    <row r="1771" spans="1:10" x14ac:dyDescent="0.25">
      <c r="A1771" s="5" t="s">
        <v>3862</v>
      </c>
      <c r="B1771" s="6">
        <v>393.75</v>
      </c>
      <c r="C1771" s="6">
        <v>20.584240000000001</v>
      </c>
      <c r="D1771" s="6">
        <v>44</v>
      </c>
      <c r="E1771" s="6">
        <v>0</v>
      </c>
      <c r="F1771" s="6">
        <v>0</v>
      </c>
      <c r="G1771" s="6">
        <v>14</v>
      </c>
      <c r="H1771" s="6" t="s">
        <v>3863</v>
      </c>
      <c r="I1771" s="6">
        <v>526.6875</v>
      </c>
      <c r="J1771" s="2">
        <f t="shared" si="27"/>
        <v>43747.572798356479</v>
      </c>
    </row>
    <row r="1772" spans="1:10" x14ac:dyDescent="0.25">
      <c r="A1772" s="7" t="s">
        <v>3864</v>
      </c>
      <c r="B1772" s="8">
        <v>393.75</v>
      </c>
      <c r="C1772" s="8">
        <v>20.584240000000001</v>
      </c>
      <c r="D1772" s="8">
        <v>43</v>
      </c>
      <c r="E1772" s="8">
        <v>0</v>
      </c>
      <c r="F1772" s="8">
        <v>0</v>
      </c>
      <c r="G1772" s="8">
        <v>16</v>
      </c>
      <c r="H1772" s="8" t="s">
        <v>3865</v>
      </c>
      <c r="I1772" s="8">
        <v>526.5</v>
      </c>
      <c r="J1772" s="3">
        <f t="shared" si="27"/>
        <v>43747.572881793974</v>
      </c>
    </row>
    <row r="1773" spans="1:10" x14ac:dyDescent="0.25">
      <c r="A1773" s="5" t="s">
        <v>3866</v>
      </c>
      <c r="B1773" s="6">
        <v>393.75</v>
      </c>
      <c r="C1773" s="6">
        <v>20.584240000000001</v>
      </c>
      <c r="D1773" s="6">
        <v>44</v>
      </c>
      <c r="E1773" s="6">
        <v>0</v>
      </c>
      <c r="F1773" s="6">
        <v>0</v>
      </c>
      <c r="G1773" s="6">
        <v>12</v>
      </c>
      <c r="H1773" s="6" t="s">
        <v>3867</v>
      </c>
      <c r="I1773" s="6">
        <v>526.6875</v>
      </c>
      <c r="J1773" s="2">
        <f t="shared" si="27"/>
        <v>43747.572965127314</v>
      </c>
    </row>
    <row r="1774" spans="1:10" x14ac:dyDescent="0.25">
      <c r="A1774" s="7" t="s">
        <v>3868</v>
      </c>
      <c r="B1774" s="8">
        <v>393.75</v>
      </c>
      <c r="C1774" s="8">
        <v>20.584240000000001</v>
      </c>
      <c r="D1774" s="8">
        <v>44</v>
      </c>
      <c r="E1774" s="8">
        <v>0</v>
      </c>
      <c r="F1774" s="8">
        <v>0</v>
      </c>
      <c r="G1774" s="8">
        <v>8</v>
      </c>
      <c r="H1774" s="8" t="s">
        <v>3869</v>
      </c>
      <c r="I1774" s="8">
        <v>526.6875</v>
      </c>
      <c r="J1774" s="3">
        <f t="shared" si="27"/>
        <v>43747.573048923608</v>
      </c>
    </row>
    <row r="1775" spans="1:10" x14ac:dyDescent="0.25">
      <c r="A1775" s="5" t="s">
        <v>3870</v>
      </c>
      <c r="B1775" s="6">
        <v>393.75</v>
      </c>
      <c r="C1775" s="6">
        <v>20.584240000000001</v>
      </c>
      <c r="D1775" s="6">
        <v>45</v>
      </c>
      <c r="E1775" s="6">
        <v>0</v>
      </c>
      <c r="F1775" s="6">
        <v>0</v>
      </c>
      <c r="G1775" s="6">
        <v>11</v>
      </c>
      <c r="H1775" s="6" t="s">
        <v>3871</v>
      </c>
      <c r="I1775" s="6">
        <v>526.6875</v>
      </c>
      <c r="J1775" s="2">
        <f t="shared" si="27"/>
        <v>43747.573132141202</v>
      </c>
    </row>
    <row r="1776" spans="1:10" x14ac:dyDescent="0.25">
      <c r="A1776" s="7" t="s">
        <v>3872</v>
      </c>
      <c r="B1776" s="8">
        <v>393.75</v>
      </c>
      <c r="C1776" s="8">
        <v>20.584240000000001</v>
      </c>
      <c r="D1776" s="8">
        <v>45</v>
      </c>
      <c r="E1776" s="8">
        <v>0</v>
      </c>
      <c r="F1776" s="8">
        <v>0</v>
      </c>
      <c r="G1776" s="8">
        <v>10</v>
      </c>
      <c r="H1776" s="8" t="s">
        <v>3873</v>
      </c>
      <c r="I1776" s="8">
        <v>526.6875</v>
      </c>
      <c r="J1776" s="3">
        <f t="shared" si="27"/>
        <v>43747.573215590273</v>
      </c>
    </row>
    <row r="1777" spans="1:10" x14ac:dyDescent="0.25">
      <c r="A1777" s="5" t="s">
        <v>3874</v>
      </c>
      <c r="B1777" s="6">
        <v>393.75</v>
      </c>
      <c r="C1777" s="6">
        <v>20.584240000000001</v>
      </c>
      <c r="D1777" s="6">
        <v>45</v>
      </c>
      <c r="E1777" s="6">
        <v>0</v>
      </c>
      <c r="F1777" s="6">
        <v>0</v>
      </c>
      <c r="G1777" s="6">
        <v>14</v>
      </c>
      <c r="H1777" s="6" t="s">
        <v>3875</v>
      </c>
      <c r="I1777" s="6">
        <v>526.6875</v>
      </c>
      <c r="J1777" s="2">
        <f t="shared" si="27"/>
        <v>43747.573299166666</v>
      </c>
    </row>
    <row r="1778" spans="1:10" x14ac:dyDescent="0.25">
      <c r="A1778" s="7" t="s">
        <v>3876</v>
      </c>
      <c r="B1778" s="8">
        <v>393.75</v>
      </c>
      <c r="C1778" s="8">
        <v>20.584240000000001</v>
      </c>
      <c r="D1778" s="8">
        <v>45</v>
      </c>
      <c r="E1778" s="8">
        <v>0</v>
      </c>
      <c r="F1778" s="8">
        <v>0</v>
      </c>
      <c r="G1778" s="8">
        <v>10</v>
      </c>
      <c r="H1778" s="8" t="s">
        <v>3877</v>
      </c>
      <c r="I1778" s="8">
        <v>526.6875</v>
      </c>
      <c r="J1778" s="3">
        <f t="shared" si="27"/>
        <v>43747.573382372684</v>
      </c>
    </row>
    <row r="1779" spans="1:10" x14ac:dyDescent="0.25">
      <c r="A1779" s="5" t="s">
        <v>3878</v>
      </c>
      <c r="B1779" s="6">
        <v>393.75</v>
      </c>
      <c r="C1779" s="6">
        <v>20.584240000000001</v>
      </c>
      <c r="D1779" s="6">
        <v>45</v>
      </c>
      <c r="E1779" s="6">
        <v>0</v>
      </c>
      <c r="F1779" s="6">
        <v>0</v>
      </c>
      <c r="G1779" s="6">
        <v>6</v>
      </c>
      <c r="H1779" s="6" t="s">
        <v>3879</v>
      </c>
      <c r="I1779" s="6">
        <v>526.6875</v>
      </c>
      <c r="J1779" s="2">
        <f t="shared" si="27"/>
        <v>43747.573454039353</v>
      </c>
    </row>
    <row r="1780" spans="1:10" x14ac:dyDescent="0.25">
      <c r="A1780" s="7" t="s">
        <v>3880</v>
      </c>
      <c r="B1780" s="8">
        <v>393.75</v>
      </c>
      <c r="C1780" s="8">
        <v>20.584240000000001</v>
      </c>
      <c r="D1780" s="8">
        <v>45</v>
      </c>
      <c r="E1780" s="8">
        <v>0</v>
      </c>
      <c r="F1780" s="8">
        <v>0</v>
      </c>
      <c r="G1780" s="8">
        <v>6</v>
      </c>
      <c r="H1780" s="8" t="s">
        <v>3881</v>
      </c>
      <c r="I1780" s="8">
        <v>526.6875</v>
      </c>
      <c r="J1780" s="3">
        <f t="shared" si="27"/>
        <v>43747.573525590276</v>
      </c>
    </row>
    <row r="1781" spans="1:10" x14ac:dyDescent="0.25">
      <c r="A1781" s="5" t="s">
        <v>3882</v>
      </c>
      <c r="B1781" s="6">
        <v>393.75</v>
      </c>
      <c r="C1781" s="6">
        <v>20.584240000000001</v>
      </c>
      <c r="D1781" s="6">
        <v>44</v>
      </c>
      <c r="E1781" s="6">
        <v>0</v>
      </c>
      <c r="F1781" s="6">
        <v>0</v>
      </c>
      <c r="G1781" s="6">
        <v>9</v>
      </c>
      <c r="H1781" s="6" t="s">
        <v>3883</v>
      </c>
      <c r="I1781" s="6">
        <v>526.6875</v>
      </c>
      <c r="J1781" s="2">
        <f t="shared" si="27"/>
        <v>43747.573609143517</v>
      </c>
    </row>
    <row r="1782" spans="1:10" x14ac:dyDescent="0.25">
      <c r="A1782" s="7" t="s">
        <v>3884</v>
      </c>
      <c r="B1782" s="8">
        <v>393.75</v>
      </c>
      <c r="C1782" s="8">
        <v>20.584240000000001</v>
      </c>
      <c r="D1782" s="8">
        <v>43</v>
      </c>
      <c r="E1782" s="8">
        <v>0</v>
      </c>
      <c r="F1782" s="8">
        <v>0</v>
      </c>
      <c r="G1782" s="8">
        <v>10</v>
      </c>
      <c r="H1782" s="8" t="s">
        <v>3885</v>
      </c>
      <c r="I1782" s="8">
        <v>526.6875</v>
      </c>
      <c r="J1782" s="3">
        <f t="shared" si="27"/>
        <v>43747.573680833331</v>
      </c>
    </row>
    <row r="1783" spans="1:10" x14ac:dyDescent="0.25">
      <c r="A1783" s="5" t="s">
        <v>3886</v>
      </c>
      <c r="B1783" s="6">
        <v>428.125</v>
      </c>
      <c r="C1783" s="6">
        <v>20.584240000000001</v>
      </c>
      <c r="D1783" s="6">
        <v>43</v>
      </c>
      <c r="E1783" s="6">
        <v>0</v>
      </c>
      <c r="F1783" s="6">
        <v>0</v>
      </c>
      <c r="G1783" s="6">
        <v>11</v>
      </c>
      <c r="H1783" s="6" t="s">
        <v>3887</v>
      </c>
      <c r="I1783" s="6">
        <v>537.9375</v>
      </c>
      <c r="J1783" s="2">
        <f t="shared" si="27"/>
        <v>43747.573752060183</v>
      </c>
    </row>
    <row r="1784" spans="1:10" x14ac:dyDescent="0.25">
      <c r="A1784" s="7" t="s">
        <v>3888</v>
      </c>
      <c r="B1784" s="8">
        <v>393.75</v>
      </c>
      <c r="C1784" s="8">
        <v>20.584240000000001</v>
      </c>
      <c r="D1784" s="8">
        <v>43</v>
      </c>
      <c r="E1784" s="8">
        <v>0</v>
      </c>
      <c r="F1784" s="8">
        <v>0</v>
      </c>
      <c r="G1784" s="8">
        <v>7</v>
      </c>
      <c r="H1784" s="8" t="s">
        <v>3889</v>
      </c>
      <c r="I1784" s="8">
        <v>526.5</v>
      </c>
      <c r="J1784" s="3">
        <f t="shared" si="27"/>
        <v>43747.573835740739</v>
      </c>
    </row>
    <row r="1785" spans="1:10" x14ac:dyDescent="0.25">
      <c r="A1785" s="5" t="s">
        <v>3890</v>
      </c>
      <c r="B1785" s="6">
        <v>393.75</v>
      </c>
      <c r="C1785" s="6">
        <v>20.584240000000001</v>
      </c>
      <c r="D1785" s="6">
        <v>43</v>
      </c>
      <c r="E1785" s="6">
        <v>0</v>
      </c>
      <c r="F1785" s="6">
        <v>0</v>
      </c>
      <c r="G1785" s="6">
        <v>4</v>
      </c>
      <c r="H1785" s="6" t="s">
        <v>3891</v>
      </c>
      <c r="I1785" s="6">
        <v>526.6875</v>
      </c>
      <c r="J1785" s="2">
        <f t="shared" si="27"/>
        <v>43747.57391929398</v>
      </c>
    </row>
    <row r="1786" spans="1:10" x14ac:dyDescent="0.25">
      <c r="A1786" s="7" t="s">
        <v>3892</v>
      </c>
      <c r="B1786" s="8">
        <v>393.75</v>
      </c>
      <c r="C1786" s="8">
        <v>20.584240000000001</v>
      </c>
      <c r="D1786" s="8">
        <v>44</v>
      </c>
      <c r="E1786" s="8">
        <v>0</v>
      </c>
      <c r="F1786" s="8">
        <v>0</v>
      </c>
      <c r="G1786" s="8">
        <v>11</v>
      </c>
      <c r="H1786" s="8" t="s">
        <v>3893</v>
      </c>
      <c r="I1786" s="8">
        <v>526.6875</v>
      </c>
      <c r="J1786" s="3">
        <f t="shared" si="27"/>
        <v>43747.574002766203</v>
      </c>
    </row>
    <row r="1787" spans="1:10" x14ac:dyDescent="0.25">
      <c r="A1787" s="5" t="s">
        <v>3894</v>
      </c>
      <c r="B1787" s="6">
        <v>393.75</v>
      </c>
      <c r="C1787" s="6">
        <v>20.584240000000001</v>
      </c>
      <c r="D1787" s="6">
        <v>44</v>
      </c>
      <c r="E1787" s="6">
        <v>0</v>
      </c>
      <c r="F1787" s="6">
        <v>0</v>
      </c>
      <c r="G1787" s="6">
        <v>5</v>
      </c>
      <c r="H1787" s="6" t="s">
        <v>3895</v>
      </c>
      <c r="I1787" s="6">
        <v>526.6875</v>
      </c>
      <c r="J1787" s="2">
        <f t="shared" si="27"/>
        <v>43747.574085995373</v>
      </c>
    </row>
    <row r="1788" spans="1:10" x14ac:dyDescent="0.25">
      <c r="A1788" s="7" t="s">
        <v>3896</v>
      </c>
      <c r="B1788" s="8">
        <v>393.75</v>
      </c>
      <c r="C1788" s="8">
        <v>20.584240000000001</v>
      </c>
      <c r="D1788" s="8">
        <v>44</v>
      </c>
      <c r="E1788" s="8">
        <v>0</v>
      </c>
      <c r="F1788" s="8">
        <v>0</v>
      </c>
      <c r="G1788" s="8">
        <v>5</v>
      </c>
      <c r="H1788" s="8" t="s">
        <v>3897</v>
      </c>
      <c r="I1788" s="8">
        <v>526.6875</v>
      </c>
      <c r="J1788" s="3">
        <f t="shared" si="27"/>
        <v>43747.574157627314</v>
      </c>
    </row>
    <row r="1789" spans="1:10" x14ac:dyDescent="0.25">
      <c r="A1789" s="5" t="s">
        <v>3898</v>
      </c>
      <c r="B1789" s="6">
        <v>393.75</v>
      </c>
      <c r="C1789" s="6">
        <v>20.584240000000001</v>
      </c>
      <c r="D1789" s="6">
        <v>44</v>
      </c>
      <c r="E1789" s="6">
        <v>0</v>
      </c>
      <c r="F1789" s="6">
        <v>0</v>
      </c>
      <c r="G1789" s="6">
        <v>10</v>
      </c>
      <c r="H1789" s="6" t="s">
        <v>3899</v>
      </c>
      <c r="I1789" s="6">
        <v>526.6875</v>
      </c>
      <c r="J1789" s="2">
        <f t="shared" si="27"/>
        <v>43747.57424130787</v>
      </c>
    </row>
    <row r="1790" spans="1:10" x14ac:dyDescent="0.25">
      <c r="A1790" s="7" t="s">
        <v>3900</v>
      </c>
      <c r="B1790" s="8">
        <v>393.75</v>
      </c>
      <c r="C1790" s="8">
        <v>20.584240000000001</v>
      </c>
      <c r="D1790" s="8">
        <v>44</v>
      </c>
      <c r="E1790" s="8">
        <v>0</v>
      </c>
      <c r="F1790" s="8">
        <v>0</v>
      </c>
      <c r="G1790" s="8">
        <v>18</v>
      </c>
      <c r="H1790" s="8" t="s">
        <v>3901</v>
      </c>
      <c r="I1790" s="8">
        <v>526.6875</v>
      </c>
      <c r="J1790" s="3">
        <f t="shared" si="27"/>
        <v>43747.574324756941</v>
      </c>
    </row>
    <row r="1791" spans="1:10" x14ac:dyDescent="0.25">
      <c r="A1791" s="5" t="s">
        <v>3902</v>
      </c>
      <c r="B1791" s="6">
        <v>393.75</v>
      </c>
      <c r="C1791" s="6">
        <v>20.584240000000001</v>
      </c>
      <c r="D1791" s="6">
        <v>44</v>
      </c>
      <c r="E1791" s="6">
        <v>0</v>
      </c>
      <c r="F1791" s="6">
        <v>0</v>
      </c>
      <c r="G1791" s="6">
        <v>3</v>
      </c>
      <c r="H1791" s="6" t="s">
        <v>3903</v>
      </c>
      <c r="I1791" s="6">
        <v>526.6875</v>
      </c>
      <c r="J1791" s="2">
        <f t="shared" si="27"/>
        <v>43747.574408206019</v>
      </c>
    </row>
    <row r="1792" spans="1:10" x14ac:dyDescent="0.25">
      <c r="A1792" s="7" t="s">
        <v>3904</v>
      </c>
      <c r="B1792" s="8">
        <v>393.75</v>
      </c>
      <c r="C1792" s="8">
        <v>20.584240000000001</v>
      </c>
      <c r="D1792" s="8">
        <v>44</v>
      </c>
      <c r="E1792" s="8">
        <v>0</v>
      </c>
      <c r="F1792" s="8">
        <v>0</v>
      </c>
      <c r="G1792" s="8">
        <v>0</v>
      </c>
      <c r="H1792" s="8" t="s">
        <v>3905</v>
      </c>
      <c r="I1792" s="8">
        <v>526.6875</v>
      </c>
      <c r="J1792" s="3">
        <f t="shared" si="27"/>
        <v>43747.574503310178</v>
      </c>
    </row>
    <row r="1793" spans="1:10" x14ac:dyDescent="0.25">
      <c r="A1793" s="5" t="s">
        <v>3906</v>
      </c>
      <c r="B1793" s="6">
        <v>412.5</v>
      </c>
      <c r="C1793" s="6">
        <v>20.584240000000001</v>
      </c>
      <c r="D1793" s="6">
        <v>46</v>
      </c>
      <c r="E1793" s="6">
        <v>0</v>
      </c>
      <c r="F1793" s="6">
        <v>0</v>
      </c>
      <c r="G1793" s="6">
        <v>0</v>
      </c>
      <c r="H1793" s="6" t="s">
        <v>3907</v>
      </c>
      <c r="I1793" s="6">
        <v>532.125</v>
      </c>
      <c r="J1793" s="2">
        <f t="shared" si="27"/>
        <v>43747.574574849532</v>
      </c>
    </row>
    <row r="1794" spans="1:10" x14ac:dyDescent="0.25">
      <c r="A1794" s="7" t="s">
        <v>3908</v>
      </c>
      <c r="B1794" s="8">
        <v>393.75</v>
      </c>
      <c r="C1794" s="8">
        <v>20.584240000000001</v>
      </c>
      <c r="D1794" s="8">
        <v>46</v>
      </c>
      <c r="E1794" s="8">
        <v>0</v>
      </c>
      <c r="F1794" s="8">
        <v>0</v>
      </c>
      <c r="G1794" s="8">
        <v>7</v>
      </c>
      <c r="H1794" s="8" t="s">
        <v>3909</v>
      </c>
      <c r="I1794" s="8">
        <v>526.6875</v>
      </c>
      <c r="J1794" s="3">
        <f t="shared" ref="J1794:J1857" si="28">(H1794/86400000)+25569+(7/24)</f>
        <v>43747.574646597219</v>
      </c>
    </row>
    <row r="1795" spans="1:10" x14ac:dyDescent="0.25">
      <c r="A1795" s="5" t="s">
        <v>3910</v>
      </c>
      <c r="B1795" s="6">
        <v>393.75</v>
      </c>
      <c r="C1795" s="6">
        <v>20.584240000000001</v>
      </c>
      <c r="D1795" s="6">
        <v>46</v>
      </c>
      <c r="E1795" s="6">
        <v>0</v>
      </c>
      <c r="F1795" s="6">
        <v>0</v>
      </c>
      <c r="G1795" s="6">
        <v>12</v>
      </c>
      <c r="H1795" s="6" t="s">
        <v>3911</v>
      </c>
      <c r="I1795" s="6">
        <v>526.6875</v>
      </c>
      <c r="J1795" s="2">
        <f t="shared" si="28"/>
        <v>43747.57473015046</v>
      </c>
    </row>
    <row r="1796" spans="1:10" x14ac:dyDescent="0.25">
      <c r="A1796" s="7" t="s">
        <v>3912</v>
      </c>
      <c r="B1796" s="8">
        <v>412.5</v>
      </c>
      <c r="C1796" s="8">
        <v>20.584240000000001</v>
      </c>
      <c r="D1796" s="8">
        <v>46</v>
      </c>
      <c r="E1796" s="8">
        <v>0</v>
      </c>
      <c r="F1796" s="8">
        <v>0</v>
      </c>
      <c r="G1796" s="8">
        <v>16</v>
      </c>
      <c r="H1796" s="8" t="s">
        <v>3913</v>
      </c>
      <c r="I1796" s="8">
        <v>532.3125</v>
      </c>
      <c r="J1796" s="3">
        <f t="shared" si="28"/>
        <v>43747.574813611107</v>
      </c>
    </row>
    <row r="1797" spans="1:10" x14ac:dyDescent="0.25">
      <c r="A1797" s="5" t="s">
        <v>3914</v>
      </c>
      <c r="B1797" s="6">
        <v>393.75</v>
      </c>
      <c r="C1797" s="6">
        <v>20.584240000000001</v>
      </c>
      <c r="D1797" s="6">
        <v>46</v>
      </c>
      <c r="E1797" s="6">
        <v>0</v>
      </c>
      <c r="F1797" s="6">
        <v>0</v>
      </c>
      <c r="G1797" s="6">
        <v>7</v>
      </c>
      <c r="H1797" s="6" t="s">
        <v>3915</v>
      </c>
      <c r="I1797" s="6">
        <v>526.6875</v>
      </c>
      <c r="J1797" s="2">
        <f t="shared" si="28"/>
        <v>43747.574897048609</v>
      </c>
    </row>
    <row r="1798" spans="1:10" x14ac:dyDescent="0.25">
      <c r="A1798" s="7" t="s">
        <v>3916</v>
      </c>
      <c r="B1798" s="8">
        <v>393.75</v>
      </c>
      <c r="C1798" s="8">
        <v>20.584240000000001</v>
      </c>
      <c r="D1798" s="8">
        <v>46</v>
      </c>
      <c r="E1798" s="8">
        <v>0</v>
      </c>
      <c r="F1798" s="8">
        <v>0</v>
      </c>
      <c r="G1798" s="8">
        <v>7</v>
      </c>
      <c r="H1798" s="8" t="s">
        <v>3917</v>
      </c>
      <c r="I1798" s="8">
        <v>526.6875</v>
      </c>
      <c r="J1798" s="3">
        <f t="shared" si="28"/>
        <v>43747.574992546295</v>
      </c>
    </row>
    <row r="1799" spans="1:10" x14ac:dyDescent="0.25">
      <c r="A1799" s="5" t="s">
        <v>3918</v>
      </c>
      <c r="B1799" s="6">
        <v>393.75</v>
      </c>
      <c r="C1799" s="6">
        <v>20.584240000000001</v>
      </c>
      <c r="D1799" s="6">
        <v>46</v>
      </c>
      <c r="E1799" s="6">
        <v>0</v>
      </c>
      <c r="F1799" s="6">
        <v>0</v>
      </c>
      <c r="G1799" s="6">
        <v>14</v>
      </c>
      <c r="H1799" s="6" t="s">
        <v>3919</v>
      </c>
      <c r="I1799" s="6">
        <v>526.6875</v>
      </c>
      <c r="J1799" s="2">
        <f t="shared" si="28"/>
        <v>43747.575075995366</v>
      </c>
    </row>
    <row r="1800" spans="1:10" x14ac:dyDescent="0.25">
      <c r="A1800" s="7" t="s">
        <v>3920</v>
      </c>
      <c r="B1800" s="8">
        <v>425</v>
      </c>
      <c r="C1800" s="8">
        <v>20.584240000000001</v>
      </c>
      <c r="D1800" s="8">
        <v>44</v>
      </c>
      <c r="E1800" s="8">
        <v>0</v>
      </c>
      <c r="F1800" s="8">
        <v>0</v>
      </c>
      <c r="G1800" s="8">
        <v>13</v>
      </c>
      <c r="H1800" s="8" t="s">
        <v>3921</v>
      </c>
      <c r="I1800" s="8">
        <v>536.8125</v>
      </c>
      <c r="J1800" s="3">
        <f t="shared" si="28"/>
        <v>43747.575159571752</v>
      </c>
    </row>
    <row r="1801" spans="1:10" x14ac:dyDescent="0.25">
      <c r="A1801" s="5" t="s">
        <v>3922</v>
      </c>
      <c r="B1801" s="6">
        <v>393.75</v>
      </c>
      <c r="C1801" s="6">
        <v>20.584240000000001</v>
      </c>
      <c r="D1801" s="6">
        <v>44</v>
      </c>
      <c r="E1801" s="6">
        <v>0</v>
      </c>
      <c r="F1801" s="6">
        <v>0</v>
      </c>
      <c r="G1801" s="6">
        <v>12</v>
      </c>
      <c r="H1801" s="6" t="s">
        <v>3923</v>
      </c>
      <c r="I1801" s="6">
        <v>526.6875</v>
      </c>
      <c r="J1801" s="2">
        <f t="shared" si="28"/>
        <v>43747.575243009262</v>
      </c>
    </row>
    <row r="1802" spans="1:10" x14ac:dyDescent="0.25">
      <c r="A1802" s="7" t="s">
        <v>3924</v>
      </c>
      <c r="B1802" s="8">
        <v>393.75</v>
      </c>
      <c r="C1802" s="8">
        <v>20.584240000000001</v>
      </c>
      <c r="D1802" s="8">
        <v>43</v>
      </c>
      <c r="E1802" s="8">
        <v>0</v>
      </c>
      <c r="F1802" s="8">
        <v>0</v>
      </c>
      <c r="G1802" s="8">
        <v>10</v>
      </c>
      <c r="H1802" s="8" t="s">
        <v>3925</v>
      </c>
      <c r="I1802" s="8">
        <v>526.6875</v>
      </c>
      <c r="J1802" s="3">
        <f t="shared" si="28"/>
        <v>43747.575314548609</v>
      </c>
    </row>
    <row r="1803" spans="1:10" x14ac:dyDescent="0.25">
      <c r="A1803" s="5" t="s">
        <v>3926</v>
      </c>
      <c r="B1803" s="6">
        <v>393.75</v>
      </c>
      <c r="C1803" s="6">
        <v>20.584240000000001</v>
      </c>
      <c r="D1803" s="6">
        <v>43</v>
      </c>
      <c r="E1803" s="6">
        <v>0</v>
      </c>
      <c r="F1803" s="6">
        <v>0</v>
      </c>
      <c r="G1803" s="6">
        <v>9</v>
      </c>
      <c r="H1803" s="6" t="s">
        <v>3927</v>
      </c>
      <c r="I1803" s="6">
        <v>526.6875</v>
      </c>
      <c r="J1803" s="2">
        <f t="shared" si="28"/>
        <v>43747.57539810185</v>
      </c>
    </row>
    <row r="1804" spans="1:10" x14ac:dyDescent="0.25">
      <c r="A1804" s="7" t="s">
        <v>3928</v>
      </c>
      <c r="B1804" s="8">
        <v>393.75</v>
      </c>
      <c r="C1804" s="8">
        <v>20.584240000000001</v>
      </c>
      <c r="D1804" s="8">
        <v>43</v>
      </c>
      <c r="E1804" s="8">
        <v>0</v>
      </c>
      <c r="F1804" s="8">
        <v>0</v>
      </c>
      <c r="G1804" s="8">
        <v>10</v>
      </c>
      <c r="H1804" s="8" t="s">
        <v>3929</v>
      </c>
      <c r="I1804" s="8">
        <v>526.5</v>
      </c>
      <c r="J1804" s="3">
        <f t="shared" si="28"/>
        <v>43747.575469293981</v>
      </c>
    </row>
    <row r="1805" spans="1:10" x14ac:dyDescent="0.25">
      <c r="A1805" s="5" t="s">
        <v>3930</v>
      </c>
      <c r="B1805" s="6">
        <v>393.75</v>
      </c>
      <c r="C1805" s="6">
        <v>20.584240000000001</v>
      </c>
      <c r="D1805" s="6">
        <v>43</v>
      </c>
      <c r="E1805" s="6">
        <v>0</v>
      </c>
      <c r="F1805" s="6">
        <v>0</v>
      </c>
      <c r="G1805" s="6">
        <v>7</v>
      </c>
      <c r="H1805" s="6" t="s">
        <v>3931</v>
      </c>
      <c r="I1805" s="6">
        <v>526.6875</v>
      </c>
      <c r="J1805" s="2">
        <f t="shared" si="28"/>
        <v>43747.575552743052</v>
      </c>
    </row>
    <row r="1806" spans="1:10" x14ac:dyDescent="0.25">
      <c r="A1806" s="7" t="s">
        <v>3932</v>
      </c>
      <c r="B1806" s="8">
        <v>393.75</v>
      </c>
      <c r="C1806" s="8">
        <v>20.584240000000001</v>
      </c>
      <c r="D1806" s="8">
        <v>43</v>
      </c>
      <c r="E1806" s="8">
        <v>0</v>
      </c>
      <c r="F1806" s="8">
        <v>0</v>
      </c>
      <c r="G1806" s="8">
        <v>6</v>
      </c>
      <c r="H1806" s="8" t="s">
        <v>3933</v>
      </c>
      <c r="I1806" s="8">
        <v>526.5</v>
      </c>
      <c r="J1806" s="3">
        <f t="shared" si="28"/>
        <v>43747.575648460646</v>
      </c>
    </row>
    <row r="1807" spans="1:10" x14ac:dyDescent="0.25">
      <c r="A1807" s="5" t="s">
        <v>3934</v>
      </c>
      <c r="B1807" s="6">
        <v>393.75</v>
      </c>
      <c r="C1807" s="6">
        <v>20.584240000000001</v>
      </c>
      <c r="D1807" s="6">
        <v>43</v>
      </c>
      <c r="E1807" s="6">
        <v>0</v>
      </c>
      <c r="F1807" s="6">
        <v>0</v>
      </c>
      <c r="G1807" s="6">
        <v>0</v>
      </c>
      <c r="H1807" s="6" t="s">
        <v>3935</v>
      </c>
      <c r="I1807" s="6">
        <v>526.6875</v>
      </c>
      <c r="J1807" s="2">
        <f t="shared" si="28"/>
        <v>43747.575731909725</v>
      </c>
    </row>
    <row r="1808" spans="1:10" x14ac:dyDescent="0.25">
      <c r="A1808" s="7" t="s">
        <v>3936</v>
      </c>
      <c r="B1808" s="8">
        <v>393.75</v>
      </c>
      <c r="C1808" s="8">
        <v>20.584240000000001</v>
      </c>
      <c r="D1808" s="8">
        <v>44</v>
      </c>
      <c r="E1808" s="8">
        <v>0</v>
      </c>
      <c r="F1808" s="8">
        <v>0</v>
      </c>
      <c r="G1808" s="8">
        <v>0</v>
      </c>
      <c r="H1808" s="8" t="s">
        <v>3937</v>
      </c>
      <c r="I1808" s="8">
        <v>526.6875</v>
      </c>
      <c r="J1808" s="3">
        <f t="shared" si="28"/>
        <v>43747.575815567128</v>
      </c>
    </row>
    <row r="1809" spans="1:10" x14ac:dyDescent="0.25">
      <c r="A1809" s="5" t="s">
        <v>3938</v>
      </c>
      <c r="B1809" s="6">
        <v>393.75</v>
      </c>
      <c r="C1809" s="6">
        <v>20.584240000000001</v>
      </c>
      <c r="D1809" s="6">
        <v>44</v>
      </c>
      <c r="E1809" s="6">
        <v>0</v>
      </c>
      <c r="F1809" s="6">
        <v>0</v>
      </c>
      <c r="G1809" s="6">
        <v>0</v>
      </c>
      <c r="H1809" s="6" t="s">
        <v>3939</v>
      </c>
      <c r="I1809" s="6">
        <v>526.5</v>
      </c>
      <c r="J1809" s="2">
        <f t="shared" si="28"/>
        <v>43747.575898900461</v>
      </c>
    </row>
    <row r="1810" spans="1:10" x14ac:dyDescent="0.25">
      <c r="A1810" s="7" t="s">
        <v>3940</v>
      </c>
      <c r="B1810" s="8">
        <v>393.75</v>
      </c>
      <c r="C1810" s="8">
        <v>20.584240000000001</v>
      </c>
      <c r="D1810" s="8">
        <v>42</v>
      </c>
      <c r="E1810" s="8">
        <v>0</v>
      </c>
      <c r="F1810" s="8">
        <v>0</v>
      </c>
      <c r="G1810" s="8">
        <v>8</v>
      </c>
      <c r="H1810" s="8" t="s">
        <v>3941</v>
      </c>
      <c r="I1810" s="8">
        <v>526.6875</v>
      </c>
      <c r="J1810" s="3">
        <f t="shared" si="28"/>
        <v>43747.575982256945</v>
      </c>
    </row>
    <row r="1811" spans="1:10" x14ac:dyDescent="0.25">
      <c r="A1811" s="5" t="s">
        <v>3942</v>
      </c>
      <c r="B1811" s="6">
        <v>393.75</v>
      </c>
      <c r="C1811" s="6">
        <v>20.584240000000001</v>
      </c>
      <c r="D1811" s="6">
        <v>42</v>
      </c>
      <c r="E1811" s="6">
        <v>0</v>
      </c>
      <c r="F1811" s="6">
        <v>0</v>
      </c>
      <c r="G1811" s="6">
        <v>10</v>
      </c>
      <c r="H1811" s="6" t="s">
        <v>3943</v>
      </c>
      <c r="I1811" s="6">
        <v>526.6875</v>
      </c>
      <c r="J1811" s="2">
        <f t="shared" si="28"/>
        <v>43747.576065821755</v>
      </c>
    </row>
    <row r="1812" spans="1:10" x14ac:dyDescent="0.25">
      <c r="A1812" s="7" t="s">
        <v>3944</v>
      </c>
      <c r="B1812" s="8">
        <v>412.5</v>
      </c>
      <c r="C1812" s="8">
        <v>20.584240000000001</v>
      </c>
      <c r="D1812" s="8">
        <v>42</v>
      </c>
      <c r="E1812" s="8">
        <v>0</v>
      </c>
      <c r="F1812" s="8">
        <v>0</v>
      </c>
      <c r="G1812" s="8">
        <v>4</v>
      </c>
      <c r="H1812" s="8" t="s">
        <v>3945</v>
      </c>
      <c r="I1812" s="8">
        <v>532.6875</v>
      </c>
      <c r="J1812" s="3">
        <f t="shared" si="28"/>
        <v>43747.576149016204</v>
      </c>
    </row>
    <row r="1813" spans="1:10" x14ac:dyDescent="0.25">
      <c r="A1813" s="5" t="s">
        <v>3946</v>
      </c>
      <c r="B1813" s="6">
        <v>393.75</v>
      </c>
      <c r="C1813" s="6">
        <v>20.584240000000001</v>
      </c>
      <c r="D1813" s="6">
        <v>41</v>
      </c>
      <c r="E1813" s="6">
        <v>0</v>
      </c>
      <c r="F1813" s="6">
        <v>0</v>
      </c>
      <c r="G1813" s="6">
        <v>7</v>
      </c>
      <c r="H1813" s="6" t="s">
        <v>3947</v>
      </c>
      <c r="I1813" s="6">
        <v>526.6875</v>
      </c>
      <c r="J1813" s="2">
        <f t="shared" si="28"/>
        <v>43747.576232812498</v>
      </c>
    </row>
    <row r="1814" spans="1:10" x14ac:dyDescent="0.25">
      <c r="A1814" s="7" t="s">
        <v>3948</v>
      </c>
      <c r="B1814" s="8">
        <v>393.75</v>
      </c>
      <c r="C1814" s="8">
        <v>20.584240000000001</v>
      </c>
      <c r="D1814" s="8">
        <v>41</v>
      </c>
      <c r="E1814" s="8">
        <v>0</v>
      </c>
      <c r="F1814" s="8">
        <v>0</v>
      </c>
      <c r="G1814" s="8">
        <v>12</v>
      </c>
      <c r="H1814" s="8" t="s">
        <v>3949</v>
      </c>
      <c r="I1814" s="8">
        <v>526.6875</v>
      </c>
      <c r="J1814" s="3">
        <f t="shared" si="28"/>
        <v>43747.576328206014</v>
      </c>
    </row>
    <row r="1815" spans="1:10" x14ac:dyDescent="0.25">
      <c r="A1815" s="5" t="s">
        <v>3950</v>
      </c>
      <c r="B1815" s="6">
        <v>393.75</v>
      </c>
      <c r="C1815" s="6">
        <v>20.584240000000001</v>
      </c>
      <c r="D1815" s="6">
        <v>41</v>
      </c>
      <c r="E1815" s="6">
        <v>0</v>
      </c>
      <c r="F1815" s="6">
        <v>0</v>
      </c>
      <c r="G1815" s="6">
        <v>8</v>
      </c>
      <c r="H1815" s="6" t="s">
        <v>3951</v>
      </c>
      <c r="I1815" s="6">
        <v>526.6875</v>
      </c>
      <c r="J1815" s="2">
        <f t="shared" si="28"/>
        <v>43747.57641188657</v>
      </c>
    </row>
    <row r="1816" spans="1:10" x14ac:dyDescent="0.25">
      <c r="A1816" s="7" t="s">
        <v>3952</v>
      </c>
      <c r="B1816" s="8">
        <v>393.75</v>
      </c>
      <c r="C1816" s="8">
        <v>20.584240000000001</v>
      </c>
      <c r="D1816" s="8">
        <v>43</v>
      </c>
      <c r="E1816" s="8">
        <v>0</v>
      </c>
      <c r="F1816" s="8">
        <v>0</v>
      </c>
      <c r="G1816" s="8">
        <v>0</v>
      </c>
      <c r="H1816" s="8" t="s">
        <v>3953</v>
      </c>
      <c r="I1816" s="8">
        <v>526.6875</v>
      </c>
      <c r="J1816" s="3">
        <f t="shared" si="28"/>
        <v>43747.57648329861</v>
      </c>
    </row>
    <row r="1817" spans="1:10" x14ac:dyDescent="0.25">
      <c r="A1817" s="5" t="s">
        <v>3954</v>
      </c>
      <c r="B1817" s="6">
        <v>393.75</v>
      </c>
      <c r="C1817" s="6">
        <v>20.531590000000001</v>
      </c>
      <c r="D1817" s="6">
        <v>43</v>
      </c>
      <c r="E1817" s="6">
        <v>0</v>
      </c>
      <c r="F1817" s="6">
        <v>0</v>
      </c>
      <c r="G1817" s="6">
        <v>22</v>
      </c>
      <c r="H1817" s="6" t="s">
        <v>3955</v>
      </c>
      <c r="I1817" s="6">
        <v>526.6875</v>
      </c>
      <c r="J1817" s="2">
        <f t="shared" si="28"/>
        <v>43747.576566724536</v>
      </c>
    </row>
    <row r="1818" spans="1:10" x14ac:dyDescent="0.25">
      <c r="A1818" s="7" t="s">
        <v>3956</v>
      </c>
      <c r="B1818" s="8">
        <v>393.75</v>
      </c>
      <c r="C1818" s="8">
        <v>20.584240000000001</v>
      </c>
      <c r="D1818" s="8">
        <v>42</v>
      </c>
      <c r="E1818" s="8">
        <v>0</v>
      </c>
      <c r="F1818" s="8">
        <v>0</v>
      </c>
      <c r="G1818" s="8">
        <v>8</v>
      </c>
      <c r="H1818" s="8" t="s">
        <v>3957</v>
      </c>
      <c r="I1818" s="8">
        <v>526.6875</v>
      </c>
      <c r="J1818" s="3">
        <f t="shared" si="28"/>
        <v>43747.576650185183</v>
      </c>
    </row>
    <row r="1819" spans="1:10" x14ac:dyDescent="0.25">
      <c r="A1819" s="5" t="s">
        <v>3958</v>
      </c>
      <c r="B1819" s="6">
        <v>412.5</v>
      </c>
      <c r="C1819" s="6">
        <v>20.584240000000001</v>
      </c>
      <c r="D1819" s="6">
        <v>42</v>
      </c>
      <c r="E1819" s="6">
        <v>0</v>
      </c>
      <c r="F1819" s="6">
        <v>0</v>
      </c>
      <c r="G1819" s="6">
        <v>6</v>
      </c>
      <c r="H1819" s="6" t="s">
        <v>3959</v>
      </c>
      <c r="I1819" s="6">
        <v>532.3125</v>
      </c>
      <c r="J1819" s="2">
        <f t="shared" si="28"/>
        <v>43747.576734282404</v>
      </c>
    </row>
    <row r="1820" spans="1:10" x14ac:dyDescent="0.25">
      <c r="A1820" s="7" t="s">
        <v>3960</v>
      </c>
      <c r="B1820" s="8">
        <v>393.75</v>
      </c>
      <c r="C1820" s="8">
        <v>20.584240000000001</v>
      </c>
      <c r="D1820" s="8">
        <v>42</v>
      </c>
      <c r="E1820" s="8">
        <v>0</v>
      </c>
      <c r="F1820" s="8">
        <v>0</v>
      </c>
      <c r="G1820" s="8">
        <v>10</v>
      </c>
      <c r="H1820" s="8" t="s">
        <v>3961</v>
      </c>
      <c r="I1820" s="8">
        <v>526.6875</v>
      </c>
      <c r="J1820" s="3">
        <f t="shared" si="28"/>
        <v>43747.576829108795</v>
      </c>
    </row>
    <row r="1821" spans="1:10" x14ac:dyDescent="0.25">
      <c r="A1821" s="5" t="s">
        <v>3962</v>
      </c>
      <c r="B1821" s="6">
        <v>393.75</v>
      </c>
      <c r="C1821" s="6">
        <v>20.584240000000001</v>
      </c>
      <c r="D1821" s="6">
        <v>43</v>
      </c>
      <c r="E1821" s="6">
        <v>0</v>
      </c>
      <c r="F1821" s="6">
        <v>0</v>
      </c>
      <c r="G1821" s="6">
        <v>15</v>
      </c>
      <c r="H1821" s="6" t="s">
        <v>3963</v>
      </c>
      <c r="I1821" s="6">
        <v>526.6875</v>
      </c>
      <c r="J1821" s="2">
        <f t="shared" si="28"/>
        <v>43747.576912673605</v>
      </c>
    </row>
    <row r="1822" spans="1:10" x14ac:dyDescent="0.25">
      <c r="A1822" s="7" t="s">
        <v>3964</v>
      </c>
      <c r="B1822" s="8">
        <v>393.75</v>
      </c>
      <c r="C1822" s="8">
        <v>20.584240000000001</v>
      </c>
      <c r="D1822" s="8">
        <v>43</v>
      </c>
      <c r="E1822" s="8">
        <v>0</v>
      </c>
      <c r="F1822" s="8">
        <v>0</v>
      </c>
      <c r="G1822" s="8">
        <v>19</v>
      </c>
      <c r="H1822" s="8" t="s">
        <v>3965</v>
      </c>
      <c r="I1822" s="8">
        <v>526.6875</v>
      </c>
      <c r="J1822" s="3">
        <f t="shared" si="28"/>
        <v>43747.576984108797</v>
      </c>
    </row>
    <row r="1823" spans="1:10" x14ac:dyDescent="0.25">
      <c r="A1823" s="5" t="s">
        <v>3966</v>
      </c>
      <c r="B1823" s="6">
        <v>393.75</v>
      </c>
      <c r="C1823" s="6">
        <v>20.584240000000001</v>
      </c>
      <c r="D1823" s="6">
        <v>42</v>
      </c>
      <c r="E1823" s="6">
        <v>0</v>
      </c>
      <c r="F1823" s="6">
        <v>0</v>
      </c>
      <c r="G1823" s="6">
        <v>11</v>
      </c>
      <c r="H1823" s="6" t="s">
        <v>3967</v>
      </c>
      <c r="I1823" s="6">
        <v>526.6875</v>
      </c>
      <c r="J1823" s="2">
        <f t="shared" si="28"/>
        <v>43747.577067442129</v>
      </c>
    </row>
    <row r="1824" spans="1:10" x14ac:dyDescent="0.25">
      <c r="A1824" s="7" t="s">
        <v>3968</v>
      </c>
      <c r="B1824" s="8">
        <v>393.75</v>
      </c>
      <c r="C1824" s="8">
        <v>20.584240000000001</v>
      </c>
      <c r="D1824" s="8">
        <v>42</v>
      </c>
      <c r="E1824" s="8">
        <v>0</v>
      </c>
      <c r="F1824" s="8">
        <v>0</v>
      </c>
      <c r="G1824" s="8">
        <v>10</v>
      </c>
      <c r="H1824" s="8" t="s">
        <v>3969</v>
      </c>
      <c r="I1824" s="8">
        <v>526.6875</v>
      </c>
      <c r="J1824" s="3">
        <f t="shared" si="28"/>
        <v>43747.577151099533</v>
      </c>
    </row>
    <row r="1825" spans="1:10" x14ac:dyDescent="0.25">
      <c r="A1825" s="5" t="s">
        <v>3970</v>
      </c>
      <c r="B1825" s="6">
        <v>393.75</v>
      </c>
      <c r="C1825" s="6">
        <v>20.584240000000001</v>
      </c>
      <c r="D1825" s="6">
        <v>42</v>
      </c>
      <c r="E1825" s="6">
        <v>0</v>
      </c>
      <c r="F1825" s="6">
        <v>0</v>
      </c>
      <c r="G1825" s="6">
        <v>9</v>
      </c>
      <c r="H1825" s="6" t="s">
        <v>3971</v>
      </c>
      <c r="I1825" s="6">
        <v>526.6875</v>
      </c>
      <c r="J1825" s="2">
        <f t="shared" si="28"/>
        <v>43747.577234201388</v>
      </c>
    </row>
    <row r="1826" spans="1:10" x14ac:dyDescent="0.25">
      <c r="A1826" s="7" t="s">
        <v>3972</v>
      </c>
      <c r="B1826" s="8">
        <v>393.75</v>
      </c>
      <c r="C1826" s="8">
        <v>20.584240000000001</v>
      </c>
      <c r="D1826" s="8">
        <v>40</v>
      </c>
      <c r="E1826" s="8">
        <v>0</v>
      </c>
      <c r="F1826" s="8">
        <v>0</v>
      </c>
      <c r="G1826" s="8">
        <v>15</v>
      </c>
      <c r="H1826" s="8" t="s">
        <v>3973</v>
      </c>
      <c r="I1826" s="8">
        <v>526.875</v>
      </c>
      <c r="J1826" s="3">
        <f t="shared" si="28"/>
        <v>43747.577330046297</v>
      </c>
    </row>
    <row r="1827" spans="1:10" x14ac:dyDescent="0.25">
      <c r="A1827" s="5" t="s">
        <v>3974</v>
      </c>
      <c r="B1827" s="6">
        <v>393.75</v>
      </c>
      <c r="C1827" s="6">
        <v>20.584240000000001</v>
      </c>
      <c r="D1827" s="6">
        <v>40</v>
      </c>
      <c r="E1827" s="6">
        <v>0</v>
      </c>
      <c r="F1827" s="6">
        <v>0</v>
      </c>
      <c r="G1827" s="6">
        <v>10</v>
      </c>
      <c r="H1827" s="6" t="s">
        <v>3975</v>
      </c>
      <c r="I1827" s="6">
        <v>526.6875</v>
      </c>
      <c r="J1827" s="2">
        <f t="shared" si="28"/>
        <v>43747.577413182873</v>
      </c>
    </row>
    <row r="1828" spans="1:10" x14ac:dyDescent="0.25">
      <c r="A1828" s="7" t="s">
        <v>3976</v>
      </c>
      <c r="B1828" s="8">
        <v>393.75</v>
      </c>
      <c r="C1828" s="8">
        <v>20.584240000000001</v>
      </c>
      <c r="D1828" s="8">
        <v>39</v>
      </c>
      <c r="E1828" s="8">
        <v>0</v>
      </c>
      <c r="F1828" s="8">
        <v>0</v>
      </c>
      <c r="G1828" s="8">
        <v>10</v>
      </c>
      <c r="H1828" s="8" t="s">
        <v>3977</v>
      </c>
      <c r="I1828" s="8">
        <v>526.6875</v>
      </c>
      <c r="J1828" s="3">
        <f t="shared" si="28"/>
        <v>43747.577497210645</v>
      </c>
    </row>
    <row r="1829" spans="1:10" x14ac:dyDescent="0.25">
      <c r="A1829" s="5" t="s">
        <v>3978</v>
      </c>
      <c r="B1829" s="6">
        <v>393.75</v>
      </c>
      <c r="C1829" s="6">
        <v>20.584240000000001</v>
      </c>
      <c r="D1829" s="6">
        <v>40</v>
      </c>
      <c r="E1829" s="6">
        <v>0</v>
      </c>
      <c r="F1829" s="6">
        <v>0</v>
      </c>
      <c r="G1829" s="6">
        <v>13</v>
      </c>
      <c r="H1829" s="6" t="s">
        <v>3979</v>
      </c>
      <c r="I1829" s="6">
        <v>526.6875</v>
      </c>
      <c r="J1829" s="2">
        <f t="shared" si="28"/>
        <v>43747.577592361107</v>
      </c>
    </row>
    <row r="1830" spans="1:10" x14ac:dyDescent="0.25">
      <c r="A1830" s="7" t="s">
        <v>3980</v>
      </c>
      <c r="B1830" s="8">
        <v>393.75</v>
      </c>
      <c r="C1830" s="8">
        <v>20.584240000000001</v>
      </c>
      <c r="D1830" s="8">
        <v>39</v>
      </c>
      <c r="E1830" s="8">
        <v>0</v>
      </c>
      <c r="F1830" s="8">
        <v>0</v>
      </c>
      <c r="G1830" s="8">
        <v>15</v>
      </c>
      <c r="H1830" s="8" t="s">
        <v>3981</v>
      </c>
      <c r="I1830" s="8">
        <v>526.6875</v>
      </c>
      <c r="J1830" s="3">
        <f t="shared" si="28"/>
        <v>43747.577675925924</v>
      </c>
    </row>
    <row r="1831" spans="1:10" x14ac:dyDescent="0.25">
      <c r="A1831" s="5" t="s">
        <v>3982</v>
      </c>
      <c r="B1831" s="6">
        <v>393.75</v>
      </c>
      <c r="C1831" s="6">
        <v>20.584240000000001</v>
      </c>
      <c r="D1831" s="6">
        <v>40</v>
      </c>
      <c r="E1831" s="6">
        <v>0</v>
      </c>
      <c r="F1831" s="6">
        <v>0</v>
      </c>
      <c r="G1831" s="6">
        <v>6</v>
      </c>
      <c r="H1831" s="6" t="s">
        <v>3983</v>
      </c>
      <c r="I1831" s="6">
        <v>526.6875</v>
      </c>
      <c r="J1831" s="2">
        <f t="shared" si="28"/>
        <v>43747.577747326388</v>
      </c>
    </row>
    <row r="1832" spans="1:10" x14ac:dyDescent="0.25">
      <c r="A1832" s="7" t="s">
        <v>3984</v>
      </c>
      <c r="B1832" s="8">
        <v>393.75</v>
      </c>
      <c r="C1832" s="8">
        <v>20.531590000000001</v>
      </c>
      <c r="D1832" s="8">
        <v>40</v>
      </c>
      <c r="E1832" s="8">
        <v>0</v>
      </c>
      <c r="F1832" s="8">
        <v>0</v>
      </c>
      <c r="G1832" s="8">
        <v>7</v>
      </c>
      <c r="H1832" s="8" t="s">
        <v>3985</v>
      </c>
      <c r="I1832" s="8">
        <v>526.6875</v>
      </c>
      <c r="J1832" s="3">
        <f t="shared" si="28"/>
        <v>43747.577830439812</v>
      </c>
    </row>
    <row r="1833" spans="1:10" x14ac:dyDescent="0.25">
      <c r="A1833" s="5" t="s">
        <v>3986</v>
      </c>
      <c r="B1833" s="6">
        <v>393.75</v>
      </c>
      <c r="C1833" s="6">
        <v>20.584240000000001</v>
      </c>
      <c r="D1833" s="6">
        <v>41</v>
      </c>
      <c r="E1833" s="6">
        <v>0</v>
      </c>
      <c r="F1833" s="6">
        <v>0</v>
      </c>
      <c r="G1833" s="6">
        <v>7</v>
      </c>
      <c r="H1833" s="6" t="s">
        <v>3987</v>
      </c>
      <c r="I1833" s="6">
        <v>526.6875</v>
      </c>
      <c r="J1833" s="2">
        <f t="shared" si="28"/>
        <v>43747.577902430552</v>
      </c>
    </row>
    <row r="1834" spans="1:10" x14ac:dyDescent="0.25">
      <c r="A1834" s="7" t="s">
        <v>3988</v>
      </c>
      <c r="B1834" s="8">
        <v>393.75</v>
      </c>
      <c r="C1834" s="8">
        <v>20.584240000000001</v>
      </c>
      <c r="D1834" s="8">
        <v>40</v>
      </c>
      <c r="E1834" s="8">
        <v>0</v>
      </c>
      <c r="F1834" s="8">
        <v>0</v>
      </c>
      <c r="G1834" s="8">
        <v>14</v>
      </c>
      <c r="H1834" s="8" t="s">
        <v>3989</v>
      </c>
      <c r="I1834" s="8">
        <v>526.6875</v>
      </c>
      <c r="J1834" s="3">
        <f t="shared" si="28"/>
        <v>43747.577991192127</v>
      </c>
    </row>
    <row r="1835" spans="1:10" x14ac:dyDescent="0.25">
      <c r="A1835" s="5" t="s">
        <v>3990</v>
      </c>
      <c r="B1835" s="6">
        <v>412.5</v>
      </c>
      <c r="C1835" s="6">
        <v>20.584240000000001</v>
      </c>
      <c r="D1835" s="6">
        <v>41</v>
      </c>
      <c r="E1835" s="6">
        <v>0</v>
      </c>
      <c r="F1835" s="6">
        <v>0</v>
      </c>
      <c r="G1835" s="6">
        <v>12</v>
      </c>
      <c r="H1835" s="6" t="s">
        <v>3991</v>
      </c>
      <c r="I1835" s="6">
        <v>532.3125</v>
      </c>
      <c r="J1835" s="2">
        <f t="shared" si="28"/>
        <v>43747.578069317125</v>
      </c>
    </row>
    <row r="1836" spans="1:10" x14ac:dyDescent="0.25">
      <c r="A1836" s="7" t="s">
        <v>3992</v>
      </c>
      <c r="B1836" s="8">
        <v>393.75</v>
      </c>
      <c r="C1836" s="8">
        <v>20.584240000000001</v>
      </c>
      <c r="D1836" s="8">
        <v>41</v>
      </c>
      <c r="E1836" s="8">
        <v>0</v>
      </c>
      <c r="F1836" s="8">
        <v>0</v>
      </c>
      <c r="G1836" s="8">
        <v>18</v>
      </c>
      <c r="H1836" s="8" t="s">
        <v>3993</v>
      </c>
      <c r="I1836" s="8">
        <v>526.6875</v>
      </c>
      <c r="J1836" s="3">
        <f t="shared" si="28"/>
        <v>43747.578152650465</v>
      </c>
    </row>
    <row r="1837" spans="1:10" x14ac:dyDescent="0.25">
      <c r="A1837" s="5" t="s">
        <v>3994</v>
      </c>
      <c r="B1837" s="6">
        <v>393.75</v>
      </c>
      <c r="C1837" s="6">
        <v>20.584240000000001</v>
      </c>
      <c r="D1837" s="6">
        <v>41</v>
      </c>
      <c r="E1837" s="6">
        <v>0</v>
      </c>
      <c r="F1837" s="6">
        <v>0</v>
      </c>
      <c r="G1837" s="6">
        <v>14</v>
      </c>
      <c r="H1837" s="6" t="s">
        <v>3995</v>
      </c>
      <c r="I1837" s="6">
        <v>526.6875</v>
      </c>
      <c r="J1837" s="2">
        <f t="shared" si="28"/>
        <v>43747.578224293982</v>
      </c>
    </row>
    <row r="1838" spans="1:10" x14ac:dyDescent="0.25">
      <c r="A1838" s="7" t="s">
        <v>3996</v>
      </c>
      <c r="B1838" s="8">
        <v>393.75</v>
      </c>
      <c r="C1838" s="8">
        <v>20.584240000000001</v>
      </c>
      <c r="D1838" s="8">
        <v>40</v>
      </c>
      <c r="E1838" s="8">
        <v>0</v>
      </c>
      <c r="F1838" s="8">
        <v>0</v>
      </c>
      <c r="G1838" s="8">
        <v>7</v>
      </c>
      <c r="H1838" s="8" t="s">
        <v>3997</v>
      </c>
      <c r="I1838" s="8">
        <v>526.6875</v>
      </c>
      <c r="J1838" s="3">
        <f t="shared" si="28"/>
        <v>43747.578307858792</v>
      </c>
    </row>
    <row r="1839" spans="1:10" x14ac:dyDescent="0.25">
      <c r="A1839" s="5" t="s">
        <v>3998</v>
      </c>
      <c r="B1839" s="6">
        <v>393.75</v>
      </c>
      <c r="C1839" s="6">
        <v>20.584240000000001</v>
      </c>
      <c r="D1839" s="6">
        <v>41</v>
      </c>
      <c r="E1839" s="6">
        <v>0</v>
      </c>
      <c r="F1839" s="6">
        <v>0</v>
      </c>
      <c r="G1839" s="6">
        <v>15</v>
      </c>
      <c r="H1839" s="6" t="s">
        <v>3999</v>
      </c>
      <c r="I1839" s="6">
        <v>526.6875</v>
      </c>
      <c r="J1839" s="2">
        <f t="shared" si="28"/>
        <v>43747.578391296294</v>
      </c>
    </row>
    <row r="1840" spans="1:10" x14ac:dyDescent="0.25">
      <c r="A1840" s="7" t="s">
        <v>4000</v>
      </c>
      <c r="B1840" s="8">
        <v>418.75</v>
      </c>
      <c r="C1840" s="8">
        <v>20.584240000000001</v>
      </c>
      <c r="D1840" s="8">
        <v>41</v>
      </c>
      <c r="E1840" s="8">
        <v>0</v>
      </c>
      <c r="F1840" s="8">
        <v>0</v>
      </c>
      <c r="G1840" s="8">
        <v>15</v>
      </c>
      <c r="H1840" s="8" t="s">
        <v>4001</v>
      </c>
      <c r="I1840" s="8">
        <v>534.375</v>
      </c>
      <c r="J1840" s="3">
        <f t="shared" si="28"/>
        <v>43747.578474884256</v>
      </c>
    </row>
    <row r="1841" spans="1:10" x14ac:dyDescent="0.25">
      <c r="A1841" s="5" t="s">
        <v>4002</v>
      </c>
      <c r="B1841" s="6">
        <v>393.75</v>
      </c>
      <c r="C1841" s="6">
        <v>20.584240000000001</v>
      </c>
      <c r="D1841" s="6">
        <v>41</v>
      </c>
      <c r="E1841" s="6">
        <v>0</v>
      </c>
      <c r="F1841" s="6">
        <v>0</v>
      </c>
      <c r="G1841" s="6">
        <v>7</v>
      </c>
      <c r="H1841" s="6" t="s">
        <v>4003</v>
      </c>
      <c r="I1841" s="6">
        <v>526.6875</v>
      </c>
      <c r="J1841" s="2">
        <f t="shared" si="28"/>
        <v>43747.57854628472</v>
      </c>
    </row>
    <row r="1842" spans="1:10" x14ac:dyDescent="0.25">
      <c r="A1842" s="7" t="s">
        <v>4004</v>
      </c>
      <c r="B1842" s="8">
        <v>393.75</v>
      </c>
      <c r="C1842" s="8">
        <v>20.584240000000001</v>
      </c>
      <c r="D1842" s="8">
        <v>42</v>
      </c>
      <c r="E1842" s="8">
        <v>0</v>
      </c>
      <c r="F1842" s="8">
        <v>0</v>
      </c>
      <c r="G1842" s="8">
        <v>7</v>
      </c>
      <c r="H1842" s="8" t="s">
        <v>4005</v>
      </c>
      <c r="I1842" s="8">
        <v>526.6875</v>
      </c>
      <c r="J1842" s="3">
        <f t="shared" si="28"/>
        <v>43747.578641550928</v>
      </c>
    </row>
    <row r="1843" spans="1:10" x14ac:dyDescent="0.25">
      <c r="A1843" s="5" t="s">
        <v>4006</v>
      </c>
      <c r="B1843" s="6">
        <v>393.75</v>
      </c>
      <c r="C1843" s="6">
        <v>20.584240000000001</v>
      </c>
      <c r="D1843" s="6">
        <v>42</v>
      </c>
      <c r="E1843" s="6">
        <v>0</v>
      </c>
      <c r="F1843" s="6">
        <v>0</v>
      </c>
      <c r="G1843" s="6">
        <v>7</v>
      </c>
      <c r="H1843" s="6" t="s">
        <v>4007</v>
      </c>
      <c r="I1843" s="6">
        <v>526.6875</v>
      </c>
      <c r="J1843" s="2">
        <f t="shared" si="28"/>
        <v>43747.578713182869</v>
      </c>
    </row>
    <row r="1844" spans="1:10" x14ac:dyDescent="0.25">
      <c r="A1844" s="7" t="s">
        <v>4008</v>
      </c>
      <c r="B1844" s="8">
        <v>393.75</v>
      </c>
      <c r="C1844" s="8">
        <v>20.584240000000001</v>
      </c>
      <c r="D1844" s="8">
        <v>46</v>
      </c>
      <c r="E1844" s="8">
        <v>0</v>
      </c>
      <c r="F1844" s="8">
        <v>0</v>
      </c>
      <c r="G1844" s="8">
        <v>6</v>
      </c>
      <c r="H1844" s="8" t="s">
        <v>4009</v>
      </c>
      <c r="I1844" s="8">
        <v>526.6875</v>
      </c>
      <c r="J1844" s="3">
        <f t="shared" si="28"/>
        <v>43747.578796747686</v>
      </c>
    </row>
    <row r="1845" spans="1:10" x14ac:dyDescent="0.25">
      <c r="A1845" s="5" t="s">
        <v>4010</v>
      </c>
      <c r="B1845" s="6">
        <v>393.75</v>
      </c>
      <c r="C1845" s="6">
        <v>20.584240000000001</v>
      </c>
      <c r="D1845" s="6">
        <v>45</v>
      </c>
      <c r="E1845" s="6">
        <v>0</v>
      </c>
      <c r="F1845" s="6">
        <v>0</v>
      </c>
      <c r="G1845" s="6">
        <v>17</v>
      </c>
      <c r="H1845" s="6" t="s">
        <v>4011</v>
      </c>
      <c r="I1845" s="6">
        <v>526.5</v>
      </c>
      <c r="J1845" s="2">
        <f t="shared" si="28"/>
        <v>43747.578880196757</v>
      </c>
    </row>
    <row r="1846" spans="1:10" x14ac:dyDescent="0.25">
      <c r="A1846" s="7" t="s">
        <v>4012</v>
      </c>
      <c r="B1846" s="8">
        <v>393.75</v>
      </c>
      <c r="C1846" s="8">
        <v>20.584240000000001</v>
      </c>
      <c r="D1846" s="8">
        <v>43</v>
      </c>
      <c r="E1846" s="8">
        <v>0</v>
      </c>
      <c r="F1846" s="8">
        <v>0</v>
      </c>
      <c r="G1846" s="8">
        <v>12</v>
      </c>
      <c r="H1846" s="8" t="s">
        <v>4013</v>
      </c>
      <c r="I1846" s="8">
        <v>526.6875</v>
      </c>
      <c r="J1846" s="3">
        <f t="shared" si="28"/>
        <v>43747.578963761574</v>
      </c>
    </row>
    <row r="1847" spans="1:10" x14ac:dyDescent="0.25">
      <c r="A1847" s="5" t="s">
        <v>4014</v>
      </c>
      <c r="B1847" s="6">
        <v>393.75</v>
      </c>
      <c r="C1847" s="6">
        <v>20.584240000000001</v>
      </c>
      <c r="D1847" s="6">
        <v>41</v>
      </c>
      <c r="E1847" s="6">
        <v>0</v>
      </c>
      <c r="F1847" s="6">
        <v>0</v>
      </c>
      <c r="G1847" s="6">
        <v>10</v>
      </c>
      <c r="H1847" s="6" t="s">
        <v>4015</v>
      </c>
      <c r="I1847" s="6">
        <v>526.6875</v>
      </c>
      <c r="J1847" s="2">
        <f t="shared" si="28"/>
        <v>43747.579035173614</v>
      </c>
    </row>
    <row r="1848" spans="1:10" x14ac:dyDescent="0.25">
      <c r="A1848" s="7" t="s">
        <v>4016</v>
      </c>
      <c r="B1848" s="8">
        <v>431.25</v>
      </c>
      <c r="C1848" s="8">
        <v>20.584240000000001</v>
      </c>
      <c r="D1848" s="8">
        <v>41</v>
      </c>
      <c r="E1848" s="8">
        <v>0</v>
      </c>
      <c r="F1848" s="8">
        <v>0</v>
      </c>
      <c r="G1848" s="8">
        <v>14</v>
      </c>
      <c r="H1848" s="8" t="s">
        <v>4017</v>
      </c>
      <c r="I1848" s="8">
        <v>538.6875</v>
      </c>
      <c r="J1848" s="3">
        <f t="shared" si="28"/>
        <v>43747.579106805548</v>
      </c>
    </row>
    <row r="1849" spans="1:10" x14ac:dyDescent="0.25">
      <c r="A1849" s="5" t="s">
        <v>4018</v>
      </c>
      <c r="B1849" s="6">
        <v>393.75</v>
      </c>
      <c r="C1849" s="6">
        <v>20.584240000000001</v>
      </c>
      <c r="D1849" s="6">
        <v>41</v>
      </c>
      <c r="E1849" s="6">
        <v>0</v>
      </c>
      <c r="F1849" s="6">
        <v>0</v>
      </c>
      <c r="G1849" s="6">
        <v>7</v>
      </c>
      <c r="H1849" s="6" t="s">
        <v>4019</v>
      </c>
      <c r="I1849" s="6">
        <v>526.6875</v>
      </c>
      <c r="J1849" s="2">
        <f t="shared" si="28"/>
        <v>43747.579190370372</v>
      </c>
    </row>
    <row r="1850" spans="1:10" x14ac:dyDescent="0.25">
      <c r="A1850" s="7" t="s">
        <v>4020</v>
      </c>
      <c r="B1850" s="8">
        <v>393.75</v>
      </c>
      <c r="C1850" s="8">
        <v>20.531590000000001</v>
      </c>
      <c r="D1850" s="8">
        <v>41</v>
      </c>
      <c r="E1850" s="8">
        <v>0</v>
      </c>
      <c r="F1850" s="8">
        <v>0</v>
      </c>
      <c r="G1850" s="8">
        <v>16</v>
      </c>
      <c r="H1850" s="8" t="s">
        <v>4021</v>
      </c>
      <c r="I1850" s="8">
        <v>526.6875</v>
      </c>
      <c r="J1850" s="3">
        <f t="shared" si="28"/>
        <v>43747.579261446757</v>
      </c>
    </row>
    <row r="1851" spans="1:10" x14ac:dyDescent="0.25">
      <c r="A1851" s="5" t="s">
        <v>4022</v>
      </c>
      <c r="B1851" s="6">
        <v>393.75</v>
      </c>
      <c r="C1851" s="6">
        <v>20.584240000000001</v>
      </c>
      <c r="D1851" s="6">
        <v>39</v>
      </c>
      <c r="E1851" s="6">
        <v>0</v>
      </c>
      <c r="F1851" s="6">
        <v>0</v>
      </c>
      <c r="G1851" s="6">
        <v>9</v>
      </c>
      <c r="H1851" s="6" t="s">
        <v>4023</v>
      </c>
      <c r="I1851" s="6">
        <v>526.6875</v>
      </c>
      <c r="J1851" s="2">
        <f t="shared" si="28"/>
        <v>43747.579345254628</v>
      </c>
    </row>
    <row r="1852" spans="1:10" x14ac:dyDescent="0.25">
      <c r="A1852" s="7" t="s">
        <v>4024</v>
      </c>
      <c r="B1852" s="8">
        <v>393.75</v>
      </c>
      <c r="C1852" s="8">
        <v>20.584240000000001</v>
      </c>
      <c r="D1852" s="8">
        <v>39</v>
      </c>
      <c r="E1852" s="8">
        <v>0</v>
      </c>
      <c r="F1852" s="8">
        <v>0</v>
      </c>
      <c r="G1852" s="8">
        <v>8</v>
      </c>
      <c r="H1852" s="8" t="s">
        <v>4025</v>
      </c>
      <c r="I1852" s="8">
        <v>526.6875</v>
      </c>
      <c r="J1852" s="3">
        <f t="shared" si="28"/>
        <v>43747.579416874993</v>
      </c>
    </row>
    <row r="1853" spans="1:10" x14ac:dyDescent="0.25">
      <c r="A1853" s="5" t="s">
        <v>4026</v>
      </c>
      <c r="B1853" s="6">
        <v>393.75</v>
      </c>
      <c r="C1853" s="6">
        <v>20.584240000000001</v>
      </c>
      <c r="D1853" s="6">
        <v>42</v>
      </c>
      <c r="E1853" s="6">
        <v>0</v>
      </c>
      <c r="F1853" s="6">
        <v>0</v>
      </c>
      <c r="G1853" s="6">
        <v>13</v>
      </c>
      <c r="H1853" s="6" t="s">
        <v>4027</v>
      </c>
      <c r="I1853" s="6">
        <v>526.6875</v>
      </c>
      <c r="J1853" s="2">
        <f t="shared" si="28"/>
        <v>43747.579500219908</v>
      </c>
    </row>
    <row r="1854" spans="1:10" x14ac:dyDescent="0.25">
      <c r="A1854" s="7" t="s">
        <v>4028</v>
      </c>
      <c r="B1854" s="8">
        <v>412.5</v>
      </c>
      <c r="C1854" s="8">
        <v>20.584240000000001</v>
      </c>
      <c r="D1854" s="8">
        <v>43</v>
      </c>
      <c r="E1854" s="8">
        <v>0</v>
      </c>
      <c r="F1854" s="8">
        <v>0</v>
      </c>
      <c r="G1854" s="8">
        <v>9</v>
      </c>
      <c r="H1854" s="8" t="s">
        <v>4029</v>
      </c>
      <c r="I1854" s="8">
        <v>532.3125</v>
      </c>
      <c r="J1854" s="3">
        <f t="shared" si="28"/>
        <v>43747.579583784718</v>
      </c>
    </row>
    <row r="1855" spans="1:10" x14ac:dyDescent="0.25">
      <c r="A1855" s="5" t="s">
        <v>4030</v>
      </c>
      <c r="B1855" s="6">
        <v>393.75</v>
      </c>
      <c r="C1855" s="6">
        <v>20.584240000000001</v>
      </c>
      <c r="D1855" s="6">
        <v>44</v>
      </c>
      <c r="E1855" s="6">
        <v>0</v>
      </c>
      <c r="F1855" s="6">
        <v>0</v>
      </c>
      <c r="G1855" s="6">
        <v>0</v>
      </c>
      <c r="H1855" s="6" t="s">
        <v>4031</v>
      </c>
      <c r="I1855" s="6">
        <v>526.6875</v>
      </c>
      <c r="J1855" s="2">
        <f t="shared" si="28"/>
        <v>43747.579667453705</v>
      </c>
    </row>
    <row r="1856" spans="1:10" x14ac:dyDescent="0.25">
      <c r="A1856" s="7" t="s">
        <v>4032</v>
      </c>
      <c r="B1856" s="8">
        <v>393.75</v>
      </c>
      <c r="C1856" s="8">
        <v>20.584240000000001</v>
      </c>
      <c r="D1856" s="8">
        <v>44</v>
      </c>
      <c r="E1856" s="8">
        <v>0</v>
      </c>
      <c r="F1856" s="8">
        <v>0</v>
      </c>
      <c r="G1856" s="8">
        <v>9</v>
      </c>
      <c r="H1856" s="8" t="s">
        <v>4033</v>
      </c>
      <c r="I1856" s="8">
        <v>526.6875</v>
      </c>
      <c r="J1856" s="3">
        <f t="shared" si="28"/>
        <v>43747.579750775461</v>
      </c>
    </row>
    <row r="1857" spans="1:10" x14ac:dyDescent="0.25">
      <c r="A1857" s="5" t="s">
        <v>4034</v>
      </c>
      <c r="B1857" s="6">
        <v>393.75</v>
      </c>
      <c r="C1857" s="6">
        <v>20.584240000000001</v>
      </c>
      <c r="D1857" s="6">
        <v>45</v>
      </c>
      <c r="E1857" s="6">
        <v>0</v>
      </c>
      <c r="F1857" s="6">
        <v>0</v>
      </c>
      <c r="G1857" s="6">
        <v>17</v>
      </c>
      <c r="H1857" s="6" t="s">
        <v>4035</v>
      </c>
      <c r="I1857" s="6">
        <v>526.6875</v>
      </c>
      <c r="J1857" s="2">
        <f t="shared" si="28"/>
        <v>43747.57983412037</v>
      </c>
    </row>
    <row r="1858" spans="1:10" x14ac:dyDescent="0.25">
      <c r="A1858" s="7" t="s">
        <v>4036</v>
      </c>
      <c r="B1858" s="8">
        <v>393.75</v>
      </c>
      <c r="C1858" s="8">
        <v>20.584240000000001</v>
      </c>
      <c r="D1858" s="8">
        <v>45</v>
      </c>
      <c r="E1858" s="8">
        <v>0</v>
      </c>
      <c r="F1858" s="8">
        <v>0</v>
      </c>
      <c r="G1858" s="8">
        <v>9</v>
      </c>
      <c r="H1858" s="8" t="s">
        <v>4037</v>
      </c>
      <c r="I1858" s="8">
        <v>526.6875</v>
      </c>
      <c r="J1858" s="3">
        <f t="shared" ref="J1858:J1921" si="29">(H1858/86400000)+25569+(7/24)</f>
        <v>43747.57991768518</v>
      </c>
    </row>
    <row r="1859" spans="1:10" x14ac:dyDescent="0.25">
      <c r="A1859" s="5" t="s">
        <v>4038</v>
      </c>
      <c r="B1859" s="6">
        <v>393.75</v>
      </c>
      <c r="C1859" s="6">
        <v>20.584240000000001</v>
      </c>
      <c r="D1859" s="6">
        <v>45</v>
      </c>
      <c r="E1859" s="6">
        <v>0</v>
      </c>
      <c r="F1859" s="6">
        <v>0</v>
      </c>
      <c r="G1859" s="6">
        <v>11</v>
      </c>
      <c r="H1859" s="6" t="s">
        <v>4039</v>
      </c>
      <c r="I1859" s="6">
        <v>526.5</v>
      </c>
      <c r="J1859" s="2">
        <f t="shared" si="29"/>
        <v>43747.580012743048</v>
      </c>
    </row>
    <row r="1860" spans="1:10" x14ac:dyDescent="0.25">
      <c r="A1860" s="7" t="s">
        <v>4040</v>
      </c>
      <c r="B1860" s="8">
        <v>393.75</v>
      </c>
      <c r="C1860" s="8">
        <v>20.584240000000001</v>
      </c>
      <c r="D1860" s="8">
        <v>45</v>
      </c>
      <c r="E1860" s="8">
        <v>0</v>
      </c>
      <c r="F1860" s="8">
        <v>0</v>
      </c>
      <c r="G1860" s="8">
        <v>10</v>
      </c>
      <c r="H1860" s="8" t="s">
        <v>4041</v>
      </c>
      <c r="I1860" s="8">
        <v>526.6875</v>
      </c>
      <c r="J1860" s="3">
        <f t="shared" si="29"/>
        <v>43747.580084606474</v>
      </c>
    </row>
    <row r="1861" spans="1:10" x14ac:dyDescent="0.25">
      <c r="A1861" s="5" t="s">
        <v>4042</v>
      </c>
      <c r="B1861" s="6">
        <v>393.75</v>
      </c>
      <c r="C1861" s="6">
        <v>20.584240000000001</v>
      </c>
      <c r="D1861" s="6">
        <v>43</v>
      </c>
      <c r="E1861" s="6">
        <v>0</v>
      </c>
      <c r="F1861" s="6">
        <v>0</v>
      </c>
      <c r="G1861" s="6">
        <v>15</v>
      </c>
      <c r="H1861" s="6" t="s">
        <v>4043</v>
      </c>
      <c r="I1861" s="6">
        <v>526.6875</v>
      </c>
      <c r="J1861" s="2">
        <f t="shared" si="29"/>
        <v>43747.58016828703</v>
      </c>
    </row>
    <row r="1862" spans="1:10" x14ac:dyDescent="0.25">
      <c r="A1862" s="7" t="s">
        <v>4044</v>
      </c>
      <c r="B1862" s="8">
        <v>393.75</v>
      </c>
      <c r="C1862" s="8">
        <v>20.584240000000001</v>
      </c>
      <c r="D1862" s="8">
        <v>43</v>
      </c>
      <c r="E1862" s="8">
        <v>0</v>
      </c>
      <c r="F1862" s="8">
        <v>0</v>
      </c>
      <c r="G1862" s="8">
        <v>8</v>
      </c>
      <c r="H1862" s="8" t="s">
        <v>4045</v>
      </c>
      <c r="I1862" s="8">
        <v>526.6875</v>
      </c>
      <c r="J1862" s="3">
        <f t="shared" si="29"/>
        <v>43747.580239710645</v>
      </c>
    </row>
    <row r="1863" spans="1:10" x14ac:dyDescent="0.25">
      <c r="A1863" s="5" t="s">
        <v>4046</v>
      </c>
      <c r="B1863" s="6">
        <v>412.5</v>
      </c>
      <c r="C1863" s="6">
        <v>20.584240000000001</v>
      </c>
      <c r="D1863" s="6">
        <v>43</v>
      </c>
      <c r="E1863" s="6">
        <v>0</v>
      </c>
      <c r="F1863" s="6">
        <v>0</v>
      </c>
      <c r="G1863" s="6">
        <v>9</v>
      </c>
      <c r="H1863" s="6" t="s">
        <v>4047</v>
      </c>
      <c r="I1863" s="6">
        <v>532.5</v>
      </c>
      <c r="J1863" s="2">
        <f t="shared" si="29"/>
        <v>43747.58033506944</v>
      </c>
    </row>
    <row r="1864" spans="1:10" x14ac:dyDescent="0.25">
      <c r="A1864" s="7" t="s">
        <v>4048</v>
      </c>
      <c r="B1864" s="8">
        <v>393.75</v>
      </c>
      <c r="C1864" s="8">
        <v>20.584240000000001</v>
      </c>
      <c r="D1864" s="8">
        <v>44</v>
      </c>
      <c r="E1864" s="8">
        <v>0</v>
      </c>
      <c r="F1864" s="8">
        <v>0</v>
      </c>
      <c r="G1864" s="8">
        <v>11</v>
      </c>
      <c r="H1864" s="8" t="s">
        <v>4049</v>
      </c>
      <c r="I1864" s="8">
        <v>526.6875</v>
      </c>
      <c r="J1864" s="3">
        <f t="shared" si="29"/>
        <v>43747.580406620364</v>
      </c>
    </row>
    <row r="1865" spans="1:10" x14ac:dyDescent="0.25">
      <c r="A1865" s="5" t="s">
        <v>4050</v>
      </c>
      <c r="B1865" s="6">
        <v>393.75</v>
      </c>
      <c r="C1865" s="6">
        <v>20.584240000000001</v>
      </c>
      <c r="D1865" s="6">
        <v>45</v>
      </c>
      <c r="E1865" s="6">
        <v>0</v>
      </c>
      <c r="F1865" s="6">
        <v>0</v>
      </c>
      <c r="G1865" s="6">
        <v>18</v>
      </c>
      <c r="H1865" s="6" t="s">
        <v>4051</v>
      </c>
      <c r="I1865" s="6">
        <v>526.6875</v>
      </c>
      <c r="J1865" s="2">
        <f t="shared" si="29"/>
        <v>43747.580489699067</v>
      </c>
    </row>
    <row r="1866" spans="1:10" x14ac:dyDescent="0.25">
      <c r="A1866" s="7" t="s">
        <v>4052</v>
      </c>
      <c r="B1866" s="8">
        <v>412.5</v>
      </c>
      <c r="C1866" s="8">
        <v>20.531590000000001</v>
      </c>
      <c r="D1866" s="8">
        <v>45</v>
      </c>
      <c r="E1866" s="8">
        <v>0</v>
      </c>
      <c r="F1866" s="8">
        <v>0</v>
      </c>
      <c r="G1866" s="8">
        <v>13</v>
      </c>
      <c r="H1866" s="8" t="s">
        <v>4053</v>
      </c>
      <c r="I1866" s="8">
        <v>532.3125</v>
      </c>
      <c r="J1866" s="3">
        <f t="shared" si="29"/>
        <v>43747.58056149305</v>
      </c>
    </row>
    <row r="1867" spans="1:10" x14ac:dyDescent="0.25">
      <c r="A1867" s="5" t="s">
        <v>4054</v>
      </c>
      <c r="B1867" s="6">
        <v>393.75</v>
      </c>
      <c r="C1867" s="6">
        <v>20.584240000000001</v>
      </c>
      <c r="D1867" s="6">
        <v>45</v>
      </c>
      <c r="E1867" s="6">
        <v>0</v>
      </c>
      <c r="F1867" s="6">
        <v>0</v>
      </c>
      <c r="G1867" s="6">
        <v>14</v>
      </c>
      <c r="H1867" s="6" t="s">
        <v>4055</v>
      </c>
      <c r="I1867" s="6">
        <v>526.6875</v>
      </c>
      <c r="J1867" s="2">
        <f t="shared" si="29"/>
        <v>43747.5806452662</v>
      </c>
    </row>
    <row r="1868" spans="1:10" x14ac:dyDescent="0.25">
      <c r="A1868" s="7" t="s">
        <v>4056</v>
      </c>
      <c r="B1868" s="8">
        <v>393.75</v>
      </c>
      <c r="C1868" s="8">
        <v>20.584240000000001</v>
      </c>
      <c r="D1868" s="8">
        <v>44</v>
      </c>
      <c r="E1868" s="8">
        <v>0</v>
      </c>
      <c r="F1868" s="8">
        <v>0</v>
      </c>
      <c r="G1868" s="8">
        <v>11</v>
      </c>
      <c r="H1868" s="8" t="s">
        <v>4057</v>
      </c>
      <c r="I1868" s="8">
        <v>526.6875</v>
      </c>
      <c r="J1868" s="3">
        <f t="shared" si="29"/>
        <v>43747.580740520832</v>
      </c>
    </row>
    <row r="1869" spans="1:10" x14ac:dyDescent="0.25">
      <c r="A1869" s="5" t="s">
        <v>4058</v>
      </c>
      <c r="B1869" s="6">
        <v>393.75</v>
      </c>
      <c r="C1869" s="6">
        <v>20.584240000000001</v>
      </c>
      <c r="D1869" s="6">
        <v>46</v>
      </c>
      <c r="E1869" s="6">
        <v>0</v>
      </c>
      <c r="F1869" s="6">
        <v>0</v>
      </c>
      <c r="G1869" s="6">
        <v>10</v>
      </c>
      <c r="H1869" s="6" t="s">
        <v>4059</v>
      </c>
      <c r="I1869" s="6">
        <v>526.6875</v>
      </c>
      <c r="J1869" s="2">
        <f t="shared" si="29"/>
        <v>43747.580811932865</v>
      </c>
    </row>
    <row r="1870" spans="1:10" x14ac:dyDescent="0.25">
      <c r="A1870" s="7" t="s">
        <v>4060</v>
      </c>
      <c r="B1870" s="8">
        <v>393.75</v>
      </c>
      <c r="C1870" s="8">
        <v>20.584240000000001</v>
      </c>
      <c r="D1870" s="8">
        <v>44</v>
      </c>
      <c r="E1870" s="8">
        <v>0</v>
      </c>
      <c r="F1870" s="8">
        <v>0</v>
      </c>
      <c r="G1870" s="8">
        <v>18</v>
      </c>
      <c r="H1870" s="8" t="s">
        <v>4061</v>
      </c>
      <c r="I1870" s="8">
        <v>526.6875</v>
      </c>
      <c r="J1870" s="3">
        <f t="shared" si="29"/>
        <v>43747.580895601852</v>
      </c>
    </row>
    <row r="1871" spans="1:10" x14ac:dyDescent="0.25">
      <c r="A1871" s="5" t="s">
        <v>4062</v>
      </c>
      <c r="B1871" s="6">
        <v>412.5</v>
      </c>
      <c r="C1871" s="6">
        <v>20.584240000000001</v>
      </c>
      <c r="D1871" s="6">
        <v>45</v>
      </c>
      <c r="E1871" s="6">
        <v>0</v>
      </c>
      <c r="F1871" s="6">
        <v>0</v>
      </c>
      <c r="G1871" s="6">
        <v>9</v>
      </c>
      <c r="H1871" s="6" t="s">
        <v>4063</v>
      </c>
      <c r="I1871" s="6">
        <v>532.3125</v>
      </c>
      <c r="J1871" s="2">
        <f t="shared" si="29"/>
        <v>43747.580978715276</v>
      </c>
    </row>
    <row r="1872" spans="1:10" x14ac:dyDescent="0.25">
      <c r="A1872" s="7" t="s">
        <v>4064</v>
      </c>
      <c r="B1872" s="8">
        <v>393.75</v>
      </c>
      <c r="C1872" s="8">
        <v>20.584240000000001</v>
      </c>
      <c r="D1872" s="8">
        <v>45</v>
      </c>
      <c r="E1872" s="8">
        <v>0</v>
      </c>
      <c r="F1872" s="8">
        <v>0</v>
      </c>
      <c r="G1872" s="8">
        <v>5</v>
      </c>
      <c r="H1872" s="8" t="s">
        <v>4065</v>
      </c>
      <c r="I1872" s="8">
        <v>526.6875</v>
      </c>
      <c r="J1872" s="3">
        <f t="shared" si="29"/>
        <v>43747.58105059027</v>
      </c>
    </row>
    <row r="1873" spans="1:10" x14ac:dyDescent="0.25">
      <c r="A1873" s="5" t="s">
        <v>4066</v>
      </c>
      <c r="B1873" s="6">
        <v>393.75</v>
      </c>
      <c r="C1873" s="6">
        <v>20.584240000000001</v>
      </c>
      <c r="D1873" s="6">
        <v>42</v>
      </c>
      <c r="E1873" s="6">
        <v>0</v>
      </c>
      <c r="F1873" s="6">
        <v>0</v>
      </c>
      <c r="G1873" s="6">
        <v>18</v>
      </c>
      <c r="H1873" s="6" t="s">
        <v>4067</v>
      </c>
      <c r="I1873" s="6">
        <v>526.6875</v>
      </c>
      <c r="J1873" s="2">
        <f t="shared" si="29"/>
        <v>43747.581134155094</v>
      </c>
    </row>
    <row r="1874" spans="1:10" x14ac:dyDescent="0.25">
      <c r="A1874" s="7" t="s">
        <v>4068</v>
      </c>
      <c r="B1874" s="8">
        <v>393.75</v>
      </c>
      <c r="C1874" s="8">
        <v>20.584240000000001</v>
      </c>
      <c r="D1874" s="8">
        <v>42</v>
      </c>
      <c r="E1874" s="8">
        <v>0</v>
      </c>
      <c r="F1874" s="8">
        <v>0</v>
      </c>
      <c r="G1874" s="8">
        <v>7</v>
      </c>
      <c r="H1874" s="8" t="s">
        <v>4069</v>
      </c>
      <c r="I1874" s="8">
        <v>526.6875</v>
      </c>
      <c r="J1874" s="3">
        <f t="shared" si="29"/>
        <v>43747.581217488427</v>
      </c>
    </row>
    <row r="1875" spans="1:10" x14ac:dyDescent="0.25">
      <c r="A1875" s="5" t="s">
        <v>4070</v>
      </c>
      <c r="B1875" s="6">
        <v>393.75</v>
      </c>
      <c r="C1875" s="6">
        <v>20.584240000000001</v>
      </c>
      <c r="D1875" s="6">
        <v>42</v>
      </c>
      <c r="E1875" s="6">
        <v>0</v>
      </c>
      <c r="F1875" s="6">
        <v>0</v>
      </c>
      <c r="G1875" s="6">
        <v>14</v>
      </c>
      <c r="H1875" s="6" t="s">
        <v>4071</v>
      </c>
      <c r="I1875" s="6">
        <v>526.6875</v>
      </c>
      <c r="J1875" s="2">
        <f t="shared" si="29"/>
        <v>43747.581314467585</v>
      </c>
    </row>
    <row r="1876" spans="1:10" x14ac:dyDescent="0.25">
      <c r="A1876" s="7" t="s">
        <v>4072</v>
      </c>
      <c r="B1876" s="8">
        <v>393.75</v>
      </c>
      <c r="C1876" s="8">
        <v>20.584240000000001</v>
      </c>
      <c r="D1876" s="8">
        <v>42</v>
      </c>
      <c r="E1876" s="8">
        <v>0</v>
      </c>
      <c r="F1876" s="8">
        <v>0</v>
      </c>
      <c r="G1876" s="8">
        <v>4</v>
      </c>
      <c r="H1876" s="8" t="s">
        <v>4073</v>
      </c>
      <c r="I1876" s="8">
        <v>526.6875</v>
      </c>
      <c r="J1876" s="3">
        <f t="shared" si="29"/>
        <v>43747.581396296293</v>
      </c>
    </row>
    <row r="1877" spans="1:10" x14ac:dyDescent="0.25">
      <c r="A1877" s="5" t="s">
        <v>4074</v>
      </c>
      <c r="B1877" s="6">
        <v>393.75</v>
      </c>
      <c r="C1877" s="6">
        <v>20.584240000000001</v>
      </c>
      <c r="D1877" s="6">
        <v>44</v>
      </c>
      <c r="E1877" s="6">
        <v>0</v>
      </c>
      <c r="F1877" s="6">
        <v>0</v>
      </c>
      <c r="G1877" s="6">
        <v>13</v>
      </c>
      <c r="H1877" s="6" t="s">
        <v>4075</v>
      </c>
      <c r="I1877" s="6">
        <v>526.6875</v>
      </c>
      <c r="J1877" s="2">
        <f t="shared" si="29"/>
        <v>43747.58149178241</v>
      </c>
    </row>
    <row r="1878" spans="1:10" x14ac:dyDescent="0.25">
      <c r="A1878" s="7" t="s">
        <v>4076</v>
      </c>
      <c r="B1878" s="8">
        <v>393.75</v>
      </c>
      <c r="C1878" s="8">
        <v>20.584240000000001</v>
      </c>
      <c r="D1878" s="8">
        <v>44</v>
      </c>
      <c r="E1878" s="8">
        <v>0</v>
      </c>
      <c r="F1878" s="8">
        <v>0</v>
      </c>
      <c r="G1878" s="8">
        <v>8</v>
      </c>
      <c r="H1878" s="8" t="s">
        <v>4077</v>
      </c>
      <c r="I1878" s="8">
        <v>526.5</v>
      </c>
      <c r="J1878" s="3">
        <f t="shared" si="29"/>
        <v>43747.581574895834</v>
      </c>
    </row>
    <row r="1879" spans="1:10" x14ac:dyDescent="0.25">
      <c r="A1879" s="5" t="s">
        <v>4078</v>
      </c>
      <c r="B1879" s="6">
        <v>393.75</v>
      </c>
      <c r="C1879" s="6">
        <v>20.584240000000001</v>
      </c>
      <c r="D1879" s="6">
        <v>44</v>
      </c>
      <c r="E1879" s="6">
        <v>0</v>
      </c>
      <c r="F1879" s="6">
        <v>0</v>
      </c>
      <c r="G1879" s="6">
        <v>11</v>
      </c>
      <c r="H1879" s="6" t="s">
        <v>4079</v>
      </c>
      <c r="I1879" s="6">
        <v>526.6875</v>
      </c>
      <c r="J1879" s="2">
        <f t="shared" si="29"/>
        <v>43747.581646307866</v>
      </c>
    </row>
    <row r="1880" spans="1:10" x14ac:dyDescent="0.25">
      <c r="A1880" s="7" t="s">
        <v>4080</v>
      </c>
      <c r="B1880" s="8">
        <v>393.75</v>
      </c>
      <c r="C1880" s="8">
        <v>20.584240000000001</v>
      </c>
      <c r="D1880" s="8">
        <v>49</v>
      </c>
      <c r="E1880" s="8">
        <v>0</v>
      </c>
      <c r="F1880" s="8">
        <v>0</v>
      </c>
      <c r="G1880" s="8">
        <v>18</v>
      </c>
      <c r="H1880" s="8" t="s">
        <v>4081</v>
      </c>
      <c r="I1880" s="8">
        <v>526.6875</v>
      </c>
      <c r="J1880" s="3">
        <f t="shared" si="29"/>
        <v>43747.581718287031</v>
      </c>
    </row>
    <row r="1881" spans="1:10" x14ac:dyDescent="0.25">
      <c r="A1881" s="5" t="s">
        <v>4082</v>
      </c>
      <c r="B1881" s="6">
        <v>393.75</v>
      </c>
      <c r="C1881" s="6">
        <v>20.584240000000001</v>
      </c>
      <c r="D1881" s="6">
        <v>48</v>
      </c>
      <c r="E1881" s="6">
        <v>0</v>
      </c>
      <c r="F1881" s="6">
        <v>0</v>
      </c>
      <c r="G1881" s="6">
        <v>14</v>
      </c>
      <c r="H1881" s="6" t="s">
        <v>4083</v>
      </c>
      <c r="I1881" s="6">
        <v>526.6875</v>
      </c>
      <c r="J1881" s="2">
        <f t="shared" si="29"/>
        <v>43747.581801817127</v>
      </c>
    </row>
    <row r="1882" spans="1:10" x14ac:dyDescent="0.25">
      <c r="A1882" s="7" t="s">
        <v>4084</v>
      </c>
      <c r="B1882" s="8">
        <v>393.75</v>
      </c>
      <c r="C1882" s="8">
        <v>20.584240000000001</v>
      </c>
      <c r="D1882" s="8">
        <v>48</v>
      </c>
      <c r="E1882" s="8">
        <v>0</v>
      </c>
      <c r="F1882" s="8">
        <v>0</v>
      </c>
      <c r="G1882" s="8">
        <v>14</v>
      </c>
      <c r="H1882" s="8" t="s">
        <v>4085</v>
      </c>
      <c r="I1882" s="8">
        <v>526.6875</v>
      </c>
      <c r="J1882" s="3">
        <f t="shared" si="29"/>
        <v>43747.581873391202</v>
      </c>
    </row>
    <row r="1883" spans="1:10" x14ac:dyDescent="0.25">
      <c r="A1883" s="5" t="s">
        <v>4086</v>
      </c>
      <c r="B1883" s="6">
        <v>393.75</v>
      </c>
      <c r="C1883" s="6">
        <v>20.584240000000001</v>
      </c>
      <c r="D1883" s="6">
        <v>44</v>
      </c>
      <c r="E1883" s="6">
        <v>0</v>
      </c>
      <c r="F1883" s="6">
        <v>0</v>
      </c>
      <c r="G1883" s="6">
        <v>3</v>
      </c>
      <c r="H1883" s="6" t="s">
        <v>4087</v>
      </c>
      <c r="I1883" s="6">
        <v>526.6875</v>
      </c>
      <c r="J1883" s="2">
        <f t="shared" si="29"/>
        <v>43747.581944999998</v>
      </c>
    </row>
    <row r="1884" spans="1:10" x14ac:dyDescent="0.25">
      <c r="A1884" s="7" t="s">
        <v>4088</v>
      </c>
      <c r="B1884" s="8">
        <v>412.5</v>
      </c>
      <c r="C1884" s="8">
        <v>20.584240000000001</v>
      </c>
      <c r="D1884" s="8">
        <v>42</v>
      </c>
      <c r="E1884" s="8">
        <v>0</v>
      </c>
      <c r="F1884" s="8">
        <v>0</v>
      </c>
      <c r="G1884" s="8">
        <v>15</v>
      </c>
      <c r="H1884" s="8" t="s">
        <v>4089</v>
      </c>
      <c r="I1884" s="8">
        <v>532.125</v>
      </c>
      <c r="J1884" s="3">
        <f t="shared" si="29"/>
        <v>43747.582028368051</v>
      </c>
    </row>
    <row r="1885" spans="1:10" x14ac:dyDescent="0.25">
      <c r="A1885" s="5" t="s">
        <v>4090</v>
      </c>
      <c r="B1885" s="6">
        <v>393.75</v>
      </c>
      <c r="C1885" s="6">
        <v>20.584240000000001</v>
      </c>
      <c r="D1885" s="6">
        <v>41</v>
      </c>
      <c r="E1885" s="6">
        <v>0</v>
      </c>
      <c r="F1885" s="6">
        <v>0</v>
      </c>
      <c r="G1885" s="6">
        <v>8</v>
      </c>
      <c r="H1885" s="6" t="s">
        <v>4091</v>
      </c>
      <c r="I1885" s="6">
        <v>526.6875</v>
      </c>
      <c r="J1885" s="2">
        <f t="shared" si="29"/>
        <v>43747.582111921292</v>
      </c>
    </row>
    <row r="1886" spans="1:10" x14ac:dyDescent="0.25">
      <c r="A1886" s="7" t="s">
        <v>4092</v>
      </c>
      <c r="B1886" s="8">
        <v>393.75</v>
      </c>
      <c r="C1886" s="8">
        <v>20.584240000000001</v>
      </c>
      <c r="D1886" s="8">
        <v>42</v>
      </c>
      <c r="E1886" s="8">
        <v>0</v>
      </c>
      <c r="F1886" s="8">
        <v>0</v>
      </c>
      <c r="G1886" s="8">
        <v>14</v>
      </c>
      <c r="H1886" s="8" t="s">
        <v>4093</v>
      </c>
      <c r="I1886" s="8">
        <v>526.6875</v>
      </c>
      <c r="J1886" s="3">
        <f t="shared" si="29"/>
        <v>43747.582195254632</v>
      </c>
    </row>
    <row r="1887" spans="1:10" x14ac:dyDescent="0.25">
      <c r="A1887" s="5" t="s">
        <v>4094</v>
      </c>
      <c r="B1887" s="6">
        <v>393.75</v>
      </c>
      <c r="C1887" s="6">
        <v>20.584240000000001</v>
      </c>
      <c r="D1887" s="6">
        <v>42</v>
      </c>
      <c r="E1887" s="6">
        <v>0</v>
      </c>
      <c r="F1887" s="6">
        <v>0</v>
      </c>
      <c r="G1887" s="6">
        <v>11</v>
      </c>
      <c r="H1887" s="6" t="s">
        <v>4095</v>
      </c>
      <c r="I1887" s="6">
        <v>526.6875</v>
      </c>
      <c r="J1887" s="2">
        <f t="shared" si="29"/>
        <v>43747.582278703696</v>
      </c>
    </row>
    <row r="1888" spans="1:10" x14ac:dyDescent="0.25">
      <c r="A1888" s="7" t="s">
        <v>4096</v>
      </c>
      <c r="B1888" s="8">
        <v>393.75</v>
      </c>
      <c r="C1888" s="8">
        <v>20.584240000000001</v>
      </c>
      <c r="D1888" s="8">
        <v>42</v>
      </c>
      <c r="E1888" s="8">
        <v>0</v>
      </c>
      <c r="F1888" s="8">
        <v>0</v>
      </c>
      <c r="G1888" s="8">
        <v>14</v>
      </c>
      <c r="H1888" s="8" t="s">
        <v>4097</v>
      </c>
      <c r="I1888" s="8">
        <v>526.6875</v>
      </c>
      <c r="J1888" s="3">
        <f t="shared" si="29"/>
        <v>43747.582350578705</v>
      </c>
    </row>
    <row r="1889" spans="1:10" x14ac:dyDescent="0.25">
      <c r="A1889" s="5" t="s">
        <v>4098</v>
      </c>
      <c r="B1889" s="6">
        <v>412.5</v>
      </c>
      <c r="C1889" s="6">
        <v>20.584240000000001</v>
      </c>
      <c r="D1889" s="6">
        <v>42</v>
      </c>
      <c r="E1889" s="6">
        <v>0</v>
      </c>
      <c r="F1889" s="6">
        <v>0</v>
      </c>
      <c r="G1889" s="6">
        <v>13</v>
      </c>
      <c r="H1889" s="6" t="s">
        <v>4099</v>
      </c>
      <c r="I1889" s="6">
        <v>532.3125</v>
      </c>
      <c r="J1889" s="2">
        <f t="shared" si="29"/>
        <v>43747.582433807867</v>
      </c>
    </row>
    <row r="1890" spans="1:10" x14ac:dyDescent="0.25">
      <c r="A1890" s="7" t="s">
        <v>4100</v>
      </c>
      <c r="B1890" s="8">
        <v>393.75</v>
      </c>
      <c r="C1890" s="8">
        <v>20.584240000000001</v>
      </c>
      <c r="D1890" s="8">
        <v>44</v>
      </c>
      <c r="E1890" s="8">
        <v>0</v>
      </c>
      <c r="F1890" s="8">
        <v>0</v>
      </c>
      <c r="G1890" s="8">
        <v>18</v>
      </c>
      <c r="H1890" s="8" t="s">
        <v>4101</v>
      </c>
      <c r="I1890" s="8">
        <v>526.6875</v>
      </c>
      <c r="J1890" s="3">
        <f t="shared" si="29"/>
        <v>43747.582517349532</v>
      </c>
    </row>
    <row r="1891" spans="1:10" x14ac:dyDescent="0.25">
      <c r="A1891" s="5" t="s">
        <v>4102</v>
      </c>
      <c r="B1891" s="6">
        <v>393.75</v>
      </c>
      <c r="C1891" s="6">
        <v>20.584240000000001</v>
      </c>
      <c r="D1891" s="6">
        <v>44</v>
      </c>
      <c r="E1891" s="6">
        <v>0</v>
      </c>
      <c r="F1891" s="6">
        <v>0</v>
      </c>
      <c r="G1891" s="6">
        <v>5</v>
      </c>
      <c r="H1891" s="6" t="s">
        <v>4103</v>
      </c>
      <c r="I1891" s="6">
        <v>526.6875</v>
      </c>
      <c r="J1891" s="2">
        <f t="shared" si="29"/>
        <v>43747.582610844904</v>
      </c>
    </row>
    <row r="1892" spans="1:10" x14ac:dyDescent="0.25">
      <c r="A1892" s="7" t="s">
        <v>4104</v>
      </c>
      <c r="B1892" s="8">
        <v>393.75</v>
      </c>
      <c r="C1892" s="8">
        <v>20.584240000000001</v>
      </c>
      <c r="D1892" s="8">
        <v>44</v>
      </c>
      <c r="E1892" s="8">
        <v>0</v>
      </c>
      <c r="F1892" s="8">
        <v>0</v>
      </c>
      <c r="G1892" s="8">
        <v>18</v>
      </c>
      <c r="H1892" s="8" t="s">
        <v>4105</v>
      </c>
      <c r="I1892" s="8">
        <v>526.6875</v>
      </c>
      <c r="J1892" s="3">
        <f t="shared" si="29"/>
        <v>43747.582700347215</v>
      </c>
    </row>
    <row r="1893" spans="1:10" x14ac:dyDescent="0.25">
      <c r="A1893" s="5" t="s">
        <v>4106</v>
      </c>
      <c r="B1893" s="6">
        <v>412.5</v>
      </c>
      <c r="C1893" s="6">
        <v>20.584240000000001</v>
      </c>
      <c r="D1893" s="6">
        <v>44</v>
      </c>
      <c r="E1893" s="6">
        <v>0</v>
      </c>
      <c r="F1893" s="6">
        <v>0</v>
      </c>
      <c r="G1893" s="6">
        <v>10</v>
      </c>
      <c r="H1893" s="6" t="s">
        <v>4107</v>
      </c>
      <c r="I1893" s="6">
        <v>532.3125</v>
      </c>
      <c r="J1893" s="2">
        <f t="shared" si="29"/>
        <v>43747.582779525459</v>
      </c>
    </row>
    <row r="1894" spans="1:10" x14ac:dyDescent="0.25">
      <c r="A1894" s="7" t="s">
        <v>4108</v>
      </c>
      <c r="B1894" s="8">
        <v>393.75</v>
      </c>
      <c r="C1894" s="8">
        <v>20.584240000000001</v>
      </c>
      <c r="D1894" s="8">
        <v>44</v>
      </c>
      <c r="E1894" s="8">
        <v>0</v>
      </c>
      <c r="F1894" s="8">
        <v>0</v>
      </c>
      <c r="G1894" s="8">
        <v>13</v>
      </c>
      <c r="H1894" s="8" t="s">
        <v>4109</v>
      </c>
      <c r="I1894" s="8">
        <v>526.6875</v>
      </c>
      <c r="J1894" s="3">
        <f t="shared" si="29"/>
        <v>43747.582851087958</v>
      </c>
    </row>
    <row r="1895" spans="1:10" x14ac:dyDescent="0.25">
      <c r="A1895" s="5" t="s">
        <v>4110</v>
      </c>
      <c r="B1895" s="6">
        <v>393.75</v>
      </c>
      <c r="C1895" s="6">
        <v>20.584240000000001</v>
      </c>
      <c r="D1895" s="6">
        <v>43</v>
      </c>
      <c r="E1895" s="6">
        <v>0</v>
      </c>
      <c r="F1895" s="6">
        <v>0</v>
      </c>
      <c r="G1895" s="6">
        <v>9</v>
      </c>
      <c r="H1895" s="6" t="s">
        <v>4111</v>
      </c>
      <c r="I1895" s="6">
        <v>526.6875</v>
      </c>
      <c r="J1895" s="2">
        <f t="shared" si="29"/>
        <v>43747.582934293976</v>
      </c>
    </row>
    <row r="1896" spans="1:10" x14ac:dyDescent="0.25">
      <c r="A1896" s="7" t="s">
        <v>4112</v>
      </c>
      <c r="B1896" s="8">
        <v>412.5</v>
      </c>
      <c r="C1896" s="8">
        <v>20.584240000000001</v>
      </c>
      <c r="D1896" s="8">
        <v>41</v>
      </c>
      <c r="E1896" s="8">
        <v>0</v>
      </c>
      <c r="F1896" s="8">
        <v>0</v>
      </c>
      <c r="G1896" s="8">
        <v>10</v>
      </c>
      <c r="H1896" s="8" t="s">
        <v>4113</v>
      </c>
      <c r="I1896" s="8">
        <v>532.3125</v>
      </c>
      <c r="J1896" s="3">
        <f t="shared" si="29"/>
        <v>43747.583018078702</v>
      </c>
    </row>
    <row r="1897" spans="1:10" x14ac:dyDescent="0.25">
      <c r="A1897" s="5" t="s">
        <v>4114</v>
      </c>
      <c r="B1897" s="6">
        <v>393.75</v>
      </c>
      <c r="C1897" s="6">
        <v>20.584240000000001</v>
      </c>
      <c r="D1897" s="6">
        <v>43</v>
      </c>
      <c r="E1897" s="6">
        <v>0</v>
      </c>
      <c r="F1897" s="6">
        <v>0</v>
      </c>
      <c r="G1897" s="6">
        <v>15</v>
      </c>
      <c r="H1897" s="6" t="s">
        <v>4115</v>
      </c>
      <c r="I1897" s="6">
        <v>526.6875</v>
      </c>
      <c r="J1897" s="2">
        <f t="shared" si="29"/>
        <v>43747.583101655087</v>
      </c>
    </row>
    <row r="1898" spans="1:10" x14ac:dyDescent="0.25">
      <c r="A1898" s="7" t="s">
        <v>4116</v>
      </c>
      <c r="B1898" s="8">
        <v>393.75</v>
      </c>
      <c r="C1898" s="8">
        <v>20.584240000000001</v>
      </c>
      <c r="D1898" s="8">
        <v>45</v>
      </c>
      <c r="E1898" s="8">
        <v>0</v>
      </c>
      <c r="F1898" s="8">
        <v>0</v>
      </c>
      <c r="G1898" s="8">
        <v>9</v>
      </c>
      <c r="H1898" s="8" t="s">
        <v>4117</v>
      </c>
      <c r="I1898" s="8">
        <v>526.6875</v>
      </c>
      <c r="J1898" s="3">
        <f t="shared" si="29"/>
        <v>43747.583184976851</v>
      </c>
    </row>
    <row r="1899" spans="1:10" x14ac:dyDescent="0.25">
      <c r="A1899" s="5" t="s">
        <v>4118</v>
      </c>
      <c r="B1899" s="6">
        <v>393.75</v>
      </c>
      <c r="C1899" s="6">
        <v>20.584240000000001</v>
      </c>
      <c r="D1899" s="6">
        <v>44</v>
      </c>
      <c r="E1899" s="6">
        <v>0</v>
      </c>
      <c r="F1899" s="6">
        <v>0</v>
      </c>
      <c r="G1899" s="6">
        <v>9</v>
      </c>
      <c r="H1899" s="6" t="s">
        <v>4119</v>
      </c>
      <c r="I1899" s="6">
        <v>526.6875</v>
      </c>
      <c r="J1899" s="2">
        <f t="shared" si="29"/>
        <v>43747.583268541661</v>
      </c>
    </row>
    <row r="1900" spans="1:10" x14ac:dyDescent="0.25">
      <c r="A1900" s="7" t="s">
        <v>4120</v>
      </c>
      <c r="B1900" s="8">
        <v>393.75</v>
      </c>
      <c r="C1900" s="8">
        <v>20.584240000000001</v>
      </c>
      <c r="D1900" s="8">
        <v>44</v>
      </c>
      <c r="E1900" s="8">
        <v>0</v>
      </c>
      <c r="F1900" s="8">
        <v>0</v>
      </c>
      <c r="G1900" s="8">
        <v>5</v>
      </c>
      <c r="H1900" s="8" t="s">
        <v>4121</v>
      </c>
      <c r="I1900" s="8">
        <v>526.6875</v>
      </c>
      <c r="J1900" s="3">
        <f t="shared" si="29"/>
        <v>43747.583351874993</v>
      </c>
    </row>
    <row r="1901" spans="1:10" x14ac:dyDescent="0.25">
      <c r="A1901" s="5" t="s">
        <v>4122</v>
      </c>
      <c r="B1901" s="6">
        <v>393.75</v>
      </c>
      <c r="C1901" s="6">
        <v>20.584240000000001</v>
      </c>
      <c r="D1901" s="6">
        <v>44</v>
      </c>
      <c r="E1901" s="6">
        <v>0</v>
      </c>
      <c r="F1901" s="6">
        <v>0</v>
      </c>
      <c r="G1901" s="6">
        <v>14</v>
      </c>
      <c r="H1901" s="6" t="s">
        <v>4123</v>
      </c>
      <c r="I1901" s="6">
        <v>526.6875</v>
      </c>
      <c r="J1901" s="2">
        <f t="shared" si="29"/>
        <v>43747.583435439818</v>
      </c>
    </row>
    <row r="1902" spans="1:10" x14ac:dyDescent="0.25">
      <c r="A1902" s="7" t="s">
        <v>4124</v>
      </c>
      <c r="B1902" s="8">
        <v>393.75</v>
      </c>
      <c r="C1902" s="8">
        <v>20.584240000000001</v>
      </c>
      <c r="D1902" s="8">
        <v>43</v>
      </c>
      <c r="E1902" s="8">
        <v>0</v>
      </c>
      <c r="F1902" s="8">
        <v>0</v>
      </c>
      <c r="G1902" s="8">
        <v>15</v>
      </c>
      <c r="H1902" s="8" t="s">
        <v>4125</v>
      </c>
      <c r="I1902" s="8">
        <v>526.6875</v>
      </c>
      <c r="J1902" s="3">
        <f t="shared" si="29"/>
        <v>43747.583518888881</v>
      </c>
    </row>
    <row r="1903" spans="1:10" x14ac:dyDescent="0.25">
      <c r="A1903" s="5" t="s">
        <v>4126</v>
      </c>
      <c r="B1903" s="6">
        <v>393.75</v>
      </c>
      <c r="C1903" s="6">
        <v>20.584240000000001</v>
      </c>
      <c r="D1903" s="6">
        <v>44</v>
      </c>
      <c r="E1903" s="6">
        <v>0</v>
      </c>
      <c r="F1903" s="6">
        <v>0</v>
      </c>
      <c r="G1903" s="6">
        <v>9</v>
      </c>
      <c r="H1903" s="6" t="s">
        <v>4127</v>
      </c>
      <c r="I1903" s="6">
        <v>526.6875</v>
      </c>
      <c r="J1903" s="2">
        <f t="shared" si="29"/>
        <v>43747.58361115741</v>
      </c>
    </row>
    <row r="1904" spans="1:10" x14ac:dyDescent="0.25">
      <c r="A1904" s="7" t="s">
        <v>4128</v>
      </c>
      <c r="B1904" s="8">
        <v>393.75</v>
      </c>
      <c r="C1904" s="8">
        <v>20.584240000000001</v>
      </c>
      <c r="D1904" s="8">
        <v>44</v>
      </c>
      <c r="E1904" s="8">
        <v>0</v>
      </c>
      <c r="F1904" s="8">
        <v>0</v>
      </c>
      <c r="G1904" s="8">
        <v>13</v>
      </c>
      <c r="H1904" s="8" t="s">
        <v>4129</v>
      </c>
      <c r="I1904" s="8">
        <v>526.6875</v>
      </c>
      <c r="J1904" s="3">
        <f t="shared" si="29"/>
        <v>43747.583686018515</v>
      </c>
    </row>
    <row r="1905" spans="1:10" x14ac:dyDescent="0.25">
      <c r="A1905" s="5" t="s">
        <v>4130</v>
      </c>
      <c r="B1905" s="6">
        <v>418.75</v>
      </c>
      <c r="C1905" s="6">
        <v>20.584240000000001</v>
      </c>
      <c r="D1905" s="6">
        <v>44</v>
      </c>
      <c r="E1905" s="6">
        <v>0</v>
      </c>
      <c r="F1905" s="6">
        <v>0</v>
      </c>
      <c r="G1905" s="6">
        <v>1</v>
      </c>
      <c r="H1905" s="6" t="s">
        <v>4131</v>
      </c>
      <c r="I1905" s="6">
        <v>534.1875</v>
      </c>
      <c r="J1905" s="2">
        <f t="shared" si="29"/>
        <v>43747.583769340279</v>
      </c>
    </row>
    <row r="1906" spans="1:10" x14ac:dyDescent="0.25">
      <c r="A1906" s="7" t="s">
        <v>4132</v>
      </c>
      <c r="B1906" s="8">
        <v>393.75</v>
      </c>
      <c r="C1906" s="8">
        <v>20.584240000000001</v>
      </c>
      <c r="D1906" s="8">
        <v>44</v>
      </c>
      <c r="E1906" s="8">
        <v>0</v>
      </c>
      <c r="F1906" s="8">
        <v>0</v>
      </c>
      <c r="G1906" s="8">
        <v>15</v>
      </c>
      <c r="H1906" s="8" t="s">
        <v>4133</v>
      </c>
      <c r="I1906" s="8">
        <v>526.6875</v>
      </c>
      <c r="J1906" s="3">
        <f t="shared" si="29"/>
        <v>43747.58385268518</v>
      </c>
    </row>
    <row r="1907" spans="1:10" x14ac:dyDescent="0.25">
      <c r="A1907" s="5" t="s">
        <v>4134</v>
      </c>
      <c r="B1907" s="6">
        <v>393.75</v>
      </c>
      <c r="C1907" s="6">
        <v>20.584240000000001</v>
      </c>
      <c r="D1907" s="6">
        <v>43</v>
      </c>
      <c r="E1907" s="6">
        <v>0</v>
      </c>
      <c r="F1907" s="6">
        <v>0</v>
      </c>
      <c r="G1907" s="6">
        <v>13</v>
      </c>
      <c r="H1907" s="6" t="s">
        <v>4135</v>
      </c>
      <c r="I1907" s="6">
        <v>526.6875</v>
      </c>
      <c r="J1907" s="2">
        <f t="shared" si="29"/>
        <v>43747.583948159721</v>
      </c>
    </row>
    <row r="1908" spans="1:10" x14ac:dyDescent="0.25">
      <c r="A1908" s="7" t="s">
        <v>4136</v>
      </c>
      <c r="B1908" s="8">
        <v>393.75</v>
      </c>
      <c r="C1908" s="8">
        <v>20.584240000000001</v>
      </c>
      <c r="D1908" s="8">
        <v>43</v>
      </c>
      <c r="E1908" s="8">
        <v>0</v>
      </c>
      <c r="F1908" s="8">
        <v>0</v>
      </c>
      <c r="G1908" s="8">
        <v>8</v>
      </c>
      <c r="H1908" s="8" t="s">
        <v>4137</v>
      </c>
      <c r="I1908" s="8">
        <v>526.6875</v>
      </c>
      <c r="J1908" s="3">
        <f t="shared" si="29"/>
        <v>43747.584019351845</v>
      </c>
    </row>
    <row r="1909" spans="1:10" x14ac:dyDescent="0.25">
      <c r="A1909" s="5" t="s">
        <v>4138</v>
      </c>
      <c r="B1909" s="6">
        <v>393.75</v>
      </c>
      <c r="C1909" s="6">
        <v>20.584240000000001</v>
      </c>
      <c r="D1909" s="6">
        <v>43</v>
      </c>
      <c r="E1909" s="6">
        <v>0</v>
      </c>
      <c r="F1909" s="6">
        <v>0</v>
      </c>
      <c r="G1909" s="6">
        <v>7</v>
      </c>
      <c r="H1909" s="6" t="s">
        <v>4139</v>
      </c>
      <c r="I1909" s="6">
        <v>526.6875</v>
      </c>
      <c r="J1909" s="2">
        <f t="shared" si="29"/>
        <v>43747.584090995369</v>
      </c>
    </row>
    <row r="1910" spans="1:10" x14ac:dyDescent="0.25">
      <c r="A1910" s="7" t="s">
        <v>4140</v>
      </c>
      <c r="B1910" s="8">
        <v>418.75</v>
      </c>
      <c r="C1910" s="8">
        <v>20.584240000000001</v>
      </c>
      <c r="D1910" s="8">
        <v>44</v>
      </c>
      <c r="E1910" s="8">
        <v>0</v>
      </c>
      <c r="F1910" s="8">
        <v>0</v>
      </c>
      <c r="G1910" s="8">
        <v>16</v>
      </c>
      <c r="H1910" s="8" t="s">
        <v>4141</v>
      </c>
      <c r="I1910" s="8">
        <v>534.75</v>
      </c>
      <c r="J1910" s="3">
        <f t="shared" si="29"/>
        <v>43747.584174930555</v>
      </c>
    </row>
    <row r="1911" spans="1:10" x14ac:dyDescent="0.25">
      <c r="A1911" s="5" t="s">
        <v>4142</v>
      </c>
      <c r="B1911" s="6">
        <v>393.75</v>
      </c>
      <c r="C1911" s="6">
        <v>20.584240000000001</v>
      </c>
      <c r="D1911" s="6">
        <v>44</v>
      </c>
      <c r="E1911" s="6">
        <v>0</v>
      </c>
      <c r="F1911" s="6">
        <v>0</v>
      </c>
      <c r="G1911" s="6">
        <v>19</v>
      </c>
      <c r="H1911" s="6" t="s">
        <v>4143</v>
      </c>
      <c r="I1911" s="6">
        <v>526.6875</v>
      </c>
      <c r="J1911" s="2">
        <f t="shared" si="29"/>
        <v>43747.584258240742</v>
      </c>
    </row>
    <row r="1912" spans="1:10" x14ac:dyDescent="0.25">
      <c r="A1912" s="7" t="s">
        <v>4144</v>
      </c>
      <c r="B1912" s="8">
        <v>393.75</v>
      </c>
      <c r="C1912" s="8">
        <v>20.531590000000001</v>
      </c>
      <c r="D1912" s="8">
        <v>43</v>
      </c>
      <c r="E1912" s="8">
        <v>0</v>
      </c>
      <c r="F1912" s="8">
        <v>0</v>
      </c>
      <c r="G1912" s="8">
        <v>9</v>
      </c>
      <c r="H1912" s="8" t="s">
        <v>4145</v>
      </c>
      <c r="I1912" s="8">
        <v>526.6875</v>
      </c>
      <c r="J1912" s="3">
        <f t="shared" si="29"/>
        <v>43747.584341562499</v>
      </c>
    </row>
    <row r="1913" spans="1:10" x14ac:dyDescent="0.25">
      <c r="A1913" s="5" t="s">
        <v>4146</v>
      </c>
      <c r="B1913" s="6">
        <v>393.75</v>
      </c>
      <c r="C1913" s="6">
        <v>20.584240000000001</v>
      </c>
      <c r="D1913" s="6">
        <v>43</v>
      </c>
      <c r="E1913" s="6">
        <v>0</v>
      </c>
      <c r="F1913" s="6">
        <v>0</v>
      </c>
      <c r="G1913" s="6">
        <v>13</v>
      </c>
      <c r="H1913" s="6" t="s">
        <v>4147</v>
      </c>
      <c r="I1913" s="6">
        <v>526.6875</v>
      </c>
      <c r="J1913" s="2">
        <f t="shared" si="29"/>
        <v>43747.58442525463</v>
      </c>
    </row>
    <row r="1914" spans="1:10" x14ac:dyDescent="0.25">
      <c r="A1914" s="7" t="s">
        <v>4148</v>
      </c>
      <c r="B1914" s="8">
        <v>393.75</v>
      </c>
      <c r="C1914" s="8">
        <v>20.584240000000001</v>
      </c>
      <c r="D1914" s="8">
        <v>41</v>
      </c>
      <c r="E1914" s="8">
        <v>0</v>
      </c>
      <c r="F1914" s="8">
        <v>0</v>
      </c>
      <c r="G1914" s="8">
        <v>10</v>
      </c>
      <c r="H1914" s="8" t="s">
        <v>4149</v>
      </c>
      <c r="I1914" s="8">
        <v>526.6875</v>
      </c>
      <c r="J1914" s="3">
        <f t="shared" si="29"/>
        <v>43747.584508368054</v>
      </c>
    </row>
    <row r="1915" spans="1:10" x14ac:dyDescent="0.25">
      <c r="A1915" s="5" t="s">
        <v>4150</v>
      </c>
      <c r="B1915" s="6">
        <v>393.75</v>
      </c>
      <c r="C1915" s="6">
        <v>20.584240000000001</v>
      </c>
      <c r="D1915" s="6">
        <v>41</v>
      </c>
      <c r="E1915" s="6">
        <v>0</v>
      </c>
      <c r="F1915" s="6">
        <v>0</v>
      </c>
      <c r="G1915" s="6">
        <v>18</v>
      </c>
      <c r="H1915" s="6" t="s">
        <v>4151</v>
      </c>
      <c r="I1915" s="6">
        <v>526.6875</v>
      </c>
      <c r="J1915" s="2">
        <f t="shared" si="29"/>
        <v>43747.584579895833</v>
      </c>
    </row>
    <row r="1916" spans="1:10" x14ac:dyDescent="0.25">
      <c r="A1916" s="7" t="s">
        <v>4152</v>
      </c>
      <c r="B1916" s="8">
        <v>393.75</v>
      </c>
      <c r="C1916" s="8">
        <v>20.584240000000001</v>
      </c>
      <c r="D1916" s="8">
        <v>42</v>
      </c>
      <c r="E1916" s="8">
        <v>0</v>
      </c>
      <c r="F1916" s="8">
        <v>0</v>
      </c>
      <c r="G1916" s="8">
        <v>13</v>
      </c>
      <c r="H1916" s="8" t="s">
        <v>4153</v>
      </c>
      <c r="I1916" s="8">
        <v>526.6875</v>
      </c>
      <c r="J1916" s="3">
        <f t="shared" si="29"/>
        <v>43747.584651759258</v>
      </c>
    </row>
    <row r="1917" spans="1:10" x14ac:dyDescent="0.25">
      <c r="A1917" s="5" t="s">
        <v>4154</v>
      </c>
      <c r="B1917" s="6">
        <v>393.75</v>
      </c>
      <c r="C1917" s="6">
        <v>20.584240000000001</v>
      </c>
      <c r="D1917" s="6">
        <v>43</v>
      </c>
      <c r="E1917" s="6">
        <v>0</v>
      </c>
      <c r="F1917" s="6">
        <v>0</v>
      </c>
      <c r="G1917" s="6">
        <v>12</v>
      </c>
      <c r="H1917" s="6" t="s">
        <v>4155</v>
      </c>
      <c r="I1917" s="6">
        <v>526.6875</v>
      </c>
      <c r="J1917" s="2">
        <f t="shared" si="29"/>
        <v>43747.58473519676</v>
      </c>
    </row>
    <row r="1918" spans="1:10" x14ac:dyDescent="0.25">
      <c r="A1918" s="7" t="s">
        <v>4156</v>
      </c>
      <c r="B1918" s="8">
        <v>412.5</v>
      </c>
      <c r="C1918" s="8">
        <v>20.584240000000001</v>
      </c>
      <c r="D1918" s="8">
        <v>43</v>
      </c>
      <c r="E1918" s="8">
        <v>0</v>
      </c>
      <c r="F1918" s="8">
        <v>0</v>
      </c>
      <c r="G1918" s="8">
        <v>12</v>
      </c>
      <c r="H1918" s="8" t="s">
        <v>4157</v>
      </c>
      <c r="I1918" s="8">
        <v>532.3125</v>
      </c>
      <c r="J1918" s="3">
        <f t="shared" si="29"/>
        <v>43747.584818773146</v>
      </c>
    </row>
    <row r="1919" spans="1:10" x14ac:dyDescent="0.25">
      <c r="A1919" s="5" t="s">
        <v>4158</v>
      </c>
      <c r="B1919" s="6">
        <v>393.75</v>
      </c>
      <c r="C1919" s="6">
        <v>20.584240000000001</v>
      </c>
      <c r="D1919" s="6">
        <v>43</v>
      </c>
      <c r="E1919" s="6">
        <v>0</v>
      </c>
      <c r="F1919" s="6">
        <v>0</v>
      </c>
      <c r="G1919" s="6">
        <v>11</v>
      </c>
      <c r="H1919" s="6" t="s">
        <v>4159</v>
      </c>
      <c r="I1919" s="6">
        <v>526.6875</v>
      </c>
      <c r="J1919" s="2">
        <f t="shared" si="29"/>
        <v>43747.584902106479</v>
      </c>
    </row>
    <row r="1920" spans="1:10" x14ac:dyDescent="0.25">
      <c r="A1920" s="7" t="s">
        <v>4160</v>
      </c>
      <c r="B1920" s="8">
        <v>393.75</v>
      </c>
      <c r="C1920" s="8">
        <v>20.584240000000001</v>
      </c>
      <c r="D1920" s="8">
        <v>42</v>
      </c>
      <c r="E1920" s="8">
        <v>0</v>
      </c>
      <c r="F1920" s="8">
        <v>0</v>
      </c>
      <c r="G1920" s="8">
        <v>18</v>
      </c>
      <c r="H1920" s="8" t="s">
        <v>4161</v>
      </c>
      <c r="I1920" s="8">
        <v>526.6875</v>
      </c>
      <c r="J1920" s="3">
        <f t="shared" si="29"/>
        <v>43747.58498565972</v>
      </c>
    </row>
    <row r="1921" spans="1:10" x14ac:dyDescent="0.25">
      <c r="A1921" s="5" t="s">
        <v>4162</v>
      </c>
      <c r="B1921" s="6">
        <v>393.75</v>
      </c>
      <c r="C1921" s="6">
        <v>20.584240000000001</v>
      </c>
      <c r="D1921" s="6">
        <v>42</v>
      </c>
      <c r="E1921" s="6">
        <v>0</v>
      </c>
      <c r="F1921" s="6">
        <v>0</v>
      </c>
      <c r="G1921" s="6">
        <v>21</v>
      </c>
      <c r="H1921" s="6" t="s">
        <v>4163</v>
      </c>
      <c r="I1921" s="6">
        <v>526.6875</v>
      </c>
      <c r="J1921" s="2">
        <f t="shared" si="29"/>
        <v>43747.585069120367</v>
      </c>
    </row>
    <row r="1922" spans="1:10" x14ac:dyDescent="0.25">
      <c r="A1922" s="7" t="s">
        <v>4164</v>
      </c>
      <c r="B1922" s="8">
        <v>393.75</v>
      </c>
      <c r="C1922" s="8">
        <v>20.584240000000001</v>
      </c>
      <c r="D1922" s="8">
        <v>43</v>
      </c>
      <c r="E1922" s="8">
        <v>0</v>
      </c>
      <c r="F1922" s="8">
        <v>0</v>
      </c>
      <c r="G1922" s="8">
        <v>9</v>
      </c>
      <c r="H1922" s="8" t="s">
        <v>4165</v>
      </c>
      <c r="I1922" s="8">
        <v>526.6875</v>
      </c>
      <c r="J1922" s="3">
        <f t="shared" ref="J1922:J1985" si="30">(H1922/86400000)+25569+(7/24)</f>
        <v>43747.585152685184</v>
      </c>
    </row>
    <row r="1923" spans="1:10" x14ac:dyDescent="0.25">
      <c r="A1923" s="5" t="s">
        <v>4166</v>
      </c>
      <c r="B1923" s="6">
        <v>393.75</v>
      </c>
      <c r="C1923" s="6">
        <v>20.584240000000001</v>
      </c>
      <c r="D1923" s="6">
        <v>43</v>
      </c>
      <c r="E1923" s="6">
        <v>0</v>
      </c>
      <c r="F1923" s="6">
        <v>0</v>
      </c>
      <c r="G1923" s="6">
        <v>16</v>
      </c>
      <c r="H1923" s="6" t="s">
        <v>4167</v>
      </c>
      <c r="I1923" s="6">
        <v>526.5</v>
      </c>
      <c r="J1923" s="2">
        <f t="shared" si="30"/>
        <v>43747.585248055555</v>
      </c>
    </row>
    <row r="1924" spans="1:10" x14ac:dyDescent="0.25">
      <c r="A1924" s="7" t="s">
        <v>4168</v>
      </c>
      <c r="B1924" s="8">
        <v>393.75</v>
      </c>
      <c r="C1924" s="8">
        <v>20.584240000000001</v>
      </c>
      <c r="D1924" s="8">
        <v>43</v>
      </c>
      <c r="E1924" s="8">
        <v>0</v>
      </c>
      <c r="F1924" s="8">
        <v>0</v>
      </c>
      <c r="G1924" s="8">
        <v>6</v>
      </c>
      <c r="H1924" s="8" t="s">
        <v>4169</v>
      </c>
      <c r="I1924" s="8">
        <v>526.6875</v>
      </c>
      <c r="J1924" s="3">
        <f t="shared" si="30"/>
        <v>43747.585331516202</v>
      </c>
    </row>
    <row r="1925" spans="1:10" x14ac:dyDescent="0.25">
      <c r="A1925" s="5" t="s">
        <v>4170</v>
      </c>
      <c r="B1925" s="6">
        <v>393.75</v>
      </c>
      <c r="C1925" s="6">
        <v>20.584240000000001</v>
      </c>
      <c r="D1925" s="6">
        <v>42</v>
      </c>
      <c r="E1925" s="6">
        <v>0</v>
      </c>
      <c r="F1925" s="6">
        <v>0</v>
      </c>
      <c r="G1925" s="6">
        <v>11</v>
      </c>
      <c r="H1925" s="6" t="s">
        <v>4171</v>
      </c>
      <c r="I1925" s="6">
        <v>526.6875</v>
      </c>
      <c r="J1925" s="2">
        <f t="shared" si="30"/>
        <v>43747.585414953697</v>
      </c>
    </row>
    <row r="1926" spans="1:10" x14ac:dyDescent="0.25">
      <c r="A1926" s="7" t="s">
        <v>4172</v>
      </c>
      <c r="B1926" s="8">
        <v>393.75</v>
      </c>
      <c r="C1926" s="8">
        <v>20.584240000000001</v>
      </c>
      <c r="D1926" s="8">
        <v>41</v>
      </c>
      <c r="E1926" s="8">
        <v>0</v>
      </c>
      <c r="F1926" s="8">
        <v>0</v>
      </c>
      <c r="G1926" s="8">
        <v>7</v>
      </c>
      <c r="H1926" s="8" t="s">
        <v>4173</v>
      </c>
      <c r="I1926" s="8">
        <v>526.6875</v>
      </c>
      <c r="J1926" s="3">
        <f t="shared" si="30"/>
        <v>43747.585510289347</v>
      </c>
    </row>
    <row r="1927" spans="1:10" x14ac:dyDescent="0.25">
      <c r="A1927" s="5" t="s">
        <v>4174</v>
      </c>
      <c r="B1927" s="6">
        <v>393.75</v>
      </c>
      <c r="C1927" s="6">
        <v>20.584240000000001</v>
      </c>
      <c r="D1927" s="6">
        <v>42</v>
      </c>
      <c r="E1927" s="6">
        <v>0</v>
      </c>
      <c r="F1927" s="6">
        <v>0</v>
      </c>
      <c r="G1927" s="6">
        <v>14</v>
      </c>
      <c r="H1927" s="6" t="s">
        <v>4175</v>
      </c>
      <c r="I1927" s="6">
        <v>526.6875</v>
      </c>
      <c r="J1927" s="2">
        <f t="shared" si="30"/>
        <v>43747.585593391203</v>
      </c>
    </row>
    <row r="1928" spans="1:10" x14ac:dyDescent="0.25">
      <c r="A1928" s="7" t="s">
        <v>4176</v>
      </c>
      <c r="B1928" s="8">
        <v>393.75</v>
      </c>
      <c r="C1928" s="8">
        <v>20.584240000000001</v>
      </c>
      <c r="D1928" s="8">
        <v>42</v>
      </c>
      <c r="E1928" s="8">
        <v>0</v>
      </c>
      <c r="F1928" s="8">
        <v>0</v>
      </c>
      <c r="G1928" s="8">
        <v>9</v>
      </c>
      <c r="H1928" s="8" t="s">
        <v>4177</v>
      </c>
      <c r="I1928" s="8">
        <v>526.6875</v>
      </c>
      <c r="J1928" s="3">
        <f t="shared" si="30"/>
        <v>43747.585665162034</v>
      </c>
    </row>
    <row r="1929" spans="1:10" x14ac:dyDescent="0.25">
      <c r="A1929" s="5" t="s">
        <v>4178</v>
      </c>
      <c r="B1929" s="6">
        <v>412.5</v>
      </c>
      <c r="C1929" s="6">
        <v>20.584240000000001</v>
      </c>
      <c r="D1929" s="6">
        <v>40</v>
      </c>
      <c r="E1929" s="6">
        <v>0</v>
      </c>
      <c r="F1929" s="6">
        <v>0</v>
      </c>
      <c r="G1929" s="6">
        <v>8</v>
      </c>
      <c r="H1929" s="6" t="s">
        <v>4179</v>
      </c>
      <c r="I1929" s="6">
        <v>532.5</v>
      </c>
      <c r="J1929" s="2">
        <f t="shared" si="30"/>
        <v>43747.585748946753</v>
      </c>
    </row>
    <row r="1930" spans="1:10" x14ac:dyDescent="0.25">
      <c r="A1930" s="7" t="s">
        <v>4180</v>
      </c>
      <c r="B1930" s="8">
        <v>393.75</v>
      </c>
      <c r="C1930" s="8">
        <v>20.584240000000001</v>
      </c>
      <c r="D1930" s="8">
        <v>41</v>
      </c>
      <c r="E1930" s="8">
        <v>0</v>
      </c>
      <c r="F1930" s="8">
        <v>0</v>
      </c>
      <c r="G1930" s="8">
        <v>9</v>
      </c>
      <c r="H1930" s="8" t="s">
        <v>4181</v>
      </c>
      <c r="I1930" s="8">
        <v>526.6875</v>
      </c>
      <c r="J1930" s="3">
        <f t="shared" si="30"/>
        <v>43747.585832268516</v>
      </c>
    </row>
    <row r="1931" spans="1:10" x14ac:dyDescent="0.25">
      <c r="A1931" s="5" t="s">
        <v>4182</v>
      </c>
      <c r="B1931" s="6">
        <v>393.75</v>
      </c>
      <c r="C1931" s="6">
        <v>20.584240000000001</v>
      </c>
      <c r="D1931" s="6">
        <v>42</v>
      </c>
      <c r="E1931" s="6">
        <v>0</v>
      </c>
      <c r="F1931" s="6">
        <v>0</v>
      </c>
      <c r="G1931" s="6">
        <v>9</v>
      </c>
      <c r="H1931" s="6" t="s">
        <v>4183</v>
      </c>
      <c r="I1931" s="6">
        <v>526.6875</v>
      </c>
      <c r="J1931" s="2">
        <f t="shared" si="30"/>
        <v>43747.585915613425</v>
      </c>
    </row>
    <row r="1932" spans="1:10" x14ac:dyDescent="0.25">
      <c r="A1932" s="7" t="s">
        <v>4184</v>
      </c>
      <c r="B1932" s="8">
        <v>393.75</v>
      </c>
      <c r="C1932" s="8">
        <v>20.584240000000001</v>
      </c>
      <c r="D1932" s="8">
        <v>42</v>
      </c>
      <c r="E1932" s="8">
        <v>0</v>
      </c>
      <c r="F1932" s="8">
        <v>0</v>
      </c>
      <c r="G1932" s="8">
        <v>13</v>
      </c>
      <c r="H1932" s="8" t="s">
        <v>4185</v>
      </c>
      <c r="I1932" s="8">
        <v>526.6875</v>
      </c>
      <c r="J1932" s="3">
        <f t="shared" si="30"/>
        <v>43747.585999189811</v>
      </c>
    </row>
    <row r="1933" spans="1:10" x14ac:dyDescent="0.25">
      <c r="A1933" s="5" t="s">
        <v>4186</v>
      </c>
      <c r="B1933" s="6">
        <v>393.75</v>
      </c>
      <c r="C1933" s="6">
        <v>20.584240000000001</v>
      </c>
      <c r="D1933" s="6">
        <v>42</v>
      </c>
      <c r="E1933" s="6">
        <v>0</v>
      </c>
      <c r="F1933" s="6">
        <v>0</v>
      </c>
      <c r="G1933" s="6">
        <v>18</v>
      </c>
      <c r="H1933" s="6" t="s">
        <v>4187</v>
      </c>
      <c r="I1933" s="6">
        <v>526.6875</v>
      </c>
      <c r="J1933" s="2">
        <f t="shared" si="30"/>
        <v>43747.586082835645</v>
      </c>
    </row>
    <row r="1934" spans="1:10" x14ac:dyDescent="0.25">
      <c r="A1934" s="7" t="s">
        <v>4188</v>
      </c>
      <c r="B1934" s="8">
        <v>393.75</v>
      </c>
      <c r="C1934" s="8">
        <v>20.584240000000001</v>
      </c>
      <c r="D1934" s="8">
        <v>43</v>
      </c>
      <c r="E1934" s="8">
        <v>0</v>
      </c>
      <c r="F1934" s="8">
        <v>0</v>
      </c>
      <c r="G1934" s="8">
        <v>10</v>
      </c>
      <c r="H1934" s="8" t="s">
        <v>4189</v>
      </c>
      <c r="I1934" s="8">
        <v>526.6875</v>
      </c>
      <c r="J1934" s="3">
        <f t="shared" si="30"/>
        <v>43747.586166180554</v>
      </c>
    </row>
    <row r="1935" spans="1:10" x14ac:dyDescent="0.25">
      <c r="A1935" s="5" t="s">
        <v>4190</v>
      </c>
      <c r="B1935" s="6">
        <v>393.75</v>
      </c>
      <c r="C1935" s="6">
        <v>20.584240000000001</v>
      </c>
      <c r="D1935" s="6">
        <v>42</v>
      </c>
      <c r="E1935" s="6">
        <v>0</v>
      </c>
      <c r="F1935" s="6">
        <v>0</v>
      </c>
      <c r="G1935" s="6">
        <v>5</v>
      </c>
      <c r="H1935" s="6" t="s">
        <v>4191</v>
      </c>
      <c r="I1935" s="6">
        <v>526.6875</v>
      </c>
      <c r="J1935" s="2">
        <f t="shared" si="30"/>
        <v>43747.586249768516</v>
      </c>
    </row>
    <row r="1936" spans="1:10" x14ac:dyDescent="0.25">
      <c r="A1936" s="7" t="s">
        <v>4192</v>
      </c>
      <c r="B1936" s="8">
        <v>412.5</v>
      </c>
      <c r="C1936" s="8">
        <v>20.584240000000001</v>
      </c>
      <c r="D1936" s="8">
        <v>42</v>
      </c>
      <c r="E1936" s="8">
        <v>0</v>
      </c>
      <c r="F1936" s="8">
        <v>0</v>
      </c>
      <c r="G1936" s="8">
        <v>10</v>
      </c>
      <c r="H1936" s="8" t="s">
        <v>4193</v>
      </c>
      <c r="I1936" s="8">
        <v>532.3125</v>
      </c>
      <c r="J1936" s="3">
        <f t="shared" si="30"/>
        <v>43747.586321180548</v>
      </c>
    </row>
    <row r="1937" spans="1:10" x14ac:dyDescent="0.25">
      <c r="A1937" s="5" t="s">
        <v>4194</v>
      </c>
      <c r="B1937" s="6">
        <v>393.75</v>
      </c>
      <c r="C1937" s="6">
        <v>20.584240000000001</v>
      </c>
      <c r="D1937" s="6">
        <v>41</v>
      </c>
      <c r="E1937" s="6">
        <v>0</v>
      </c>
      <c r="F1937" s="6">
        <v>0</v>
      </c>
      <c r="G1937" s="6">
        <v>10</v>
      </c>
      <c r="H1937" s="6" t="s">
        <v>4195</v>
      </c>
      <c r="I1937" s="6">
        <v>526.6875</v>
      </c>
      <c r="J1937" s="2">
        <f t="shared" si="30"/>
        <v>43747.586404513888</v>
      </c>
    </row>
    <row r="1938" spans="1:10" x14ac:dyDescent="0.25">
      <c r="A1938" s="7" t="s">
        <v>4196</v>
      </c>
      <c r="B1938" s="8">
        <v>393.75</v>
      </c>
      <c r="C1938" s="8">
        <v>20.584240000000001</v>
      </c>
      <c r="D1938" s="8">
        <v>42</v>
      </c>
      <c r="E1938" s="8">
        <v>0</v>
      </c>
      <c r="F1938" s="8">
        <v>0</v>
      </c>
      <c r="G1938" s="8">
        <v>13</v>
      </c>
      <c r="H1938" s="8" t="s">
        <v>4197</v>
      </c>
      <c r="I1938" s="8">
        <v>526.6875</v>
      </c>
      <c r="J1938" s="3">
        <f t="shared" si="30"/>
        <v>43747.586488078705</v>
      </c>
    </row>
    <row r="1939" spans="1:10" x14ac:dyDescent="0.25">
      <c r="A1939" s="5" t="s">
        <v>4198</v>
      </c>
      <c r="B1939" s="6">
        <v>393.75</v>
      </c>
      <c r="C1939" s="6">
        <v>20.584240000000001</v>
      </c>
      <c r="D1939" s="6">
        <v>41</v>
      </c>
      <c r="E1939" s="6">
        <v>0</v>
      </c>
      <c r="F1939" s="6">
        <v>0</v>
      </c>
      <c r="G1939" s="6">
        <v>15</v>
      </c>
      <c r="H1939" s="6" t="s">
        <v>4199</v>
      </c>
      <c r="I1939" s="6">
        <v>526.6875</v>
      </c>
      <c r="J1939" s="2">
        <f t="shared" si="30"/>
        <v>43747.586571203698</v>
      </c>
    </row>
    <row r="1940" spans="1:10" x14ac:dyDescent="0.25">
      <c r="A1940" s="7" t="s">
        <v>4200</v>
      </c>
      <c r="B1940" s="8">
        <v>393.75</v>
      </c>
      <c r="C1940" s="8">
        <v>20.584240000000001</v>
      </c>
      <c r="D1940" s="8">
        <v>41</v>
      </c>
      <c r="E1940" s="8">
        <v>0</v>
      </c>
      <c r="F1940" s="8">
        <v>0</v>
      </c>
      <c r="G1940" s="8">
        <v>16</v>
      </c>
      <c r="H1940" s="8" t="s">
        <v>4201</v>
      </c>
      <c r="I1940" s="8">
        <v>526.6875</v>
      </c>
      <c r="J1940" s="3">
        <f t="shared" si="30"/>
        <v>43747.586642812494</v>
      </c>
    </row>
    <row r="1941" spans="1:10" x14ac:dyDescent="0.25">
      <c r="A1941" s="5" t="s">
        <v>4202</v>
      </c>
      <c r="B1941" s="6">
        <v>393.75</v>
      </c>
      <c r="C1941" s="6">
        <v>20.584240000000001</v>
      </c>
      <c r="D1941" s="6">
        <v>42</v>
      </c>
      <c r="E1941" s="6">
        <v>0</v>
      </c>
      <c r="F1941" s="6">
        <v>0</v>
      </c>
      <c r="G1941" s="6">
        <v>11</v>
      </c>
      <c r="H1941" s="6" t="s">
        <v>4203</v>
      </c>
      <c r="I1941" s="6">
        <v>526.6875</v>
      </c>
      <c r="J1941" s="2">
        <f t="shared" si="30"/>
        <v>43747.586726724534</v>
      </c>
    </row>
    <row r="1942" spans="1:10" x14ac:dyDescent="0.25">
      <c r="A1942" s="7" t="s">
        <v>4204</v>
      </c>
      <c r="B1942" s="8">
        <v>393.75</v>
      </c>
      <c r="C1942" s="8">
        <v>20.584240000000001</v>
      </c>
      <c r="D1942" s="8">
        <v>42</v>
      </c>
      <c r="E1942" s="8">
        <v>0</v>
      </c>
      <c r="F1942" s="8">
        <v>0</v>
      </c>
      <c r="G1942" s="8">
        <v>3</v>
      </c>
      <c r="H1942" s="8" t="s">
        <v>4205</v>
      </c>
      <c r="I1942" s="8">
        <v>526.6875</v>
      </c>
      <c r="J1942" s="3">
        <f t="shared" si="30"/>
        <v>43747.58681015046</v>
      </c>
    </row>
    <row r="1943" spans="1:10" x14ac:dyDescent="0.25">
      <c r="A1943" s="5" t="s">
        <v>4206</v>
      </c>
      <c r="B1943" s="6">
        <v>393.75</v>
      </c>
      <c r="C1943" s="6">
        <v>20.584240000000001</v>
      </c>
      <c r="D1943" s="6">
        <v>42</v>
      </c>
      <c r="E1943" s="6">
        <v>0</v>
      </c>
      <c r="F1943" s="6">
        <v>0</v>
      </c>
      <c r="G1943" s="6">
        <v>23</v>
      </c>
      <c r="H1943" s="6" t="s">
        <v>4207</v>
      </c>
      <c r="I1943" s="6">
        <v>526.6875</v>
      </c>
      <c r="J1943" s="2">
        <f t="shared" si="30"/>
        <v>43747.586893402775</v>
      </c>
    </row>
    <row r="1944" spans="1:10" x14ac:dyDescent="0.25">
      <c r="A1944" s="7" t="s">
        <v>4208</v>
      </c>
      <c r="B1944" s="8">
        <v>393.75</v>
      </c>
      <c r="C1944" s="8">
        <v>20.584240000000001</v>
      </c>
      <c r="D1944" s="8">
        <v>42</v>
      </c>
      <c r="E1944" s="8">
        <v>0</v>
      </c>
      <c r="F1944" s="8">
        <v>0</v>
      </c>
      <c r="G1944" s="8">
        <v>10</v>
      </c>
      <c r="H1944" s="8" t="s">
        <v>4209</v>
      </c>
      <c r="I1944" s="8">
        <v>526.6875</v>
      </c>
      <c r="J1944" s="3">
        <f t="shared" si="30"/>
        <v>43747.586977071762</v>
      </c>
    </row>
    <row r="1945" spans="1:10" x14ac:dyDescent="0.25">
      <c r="A1945" s="5" t="s">
        <v>4210</v>
      </c>
      <c r="B1945" s="6">
        <v>393.75</v>
      </c>
      <c r="C1945" s="6">
        <v>20.584240000000001</v>
      </c>
      <c r="D1945" s="6">
        <v>42</v>
      </c>
      <c r="E1945" s="6">
        <v>0</v>
      </c>
      <c r="F1945" s="6">
        <v>0</v>
      </c>
      <c r="G1945" s="6">
        <v>0</v>
      </c>
      <c r="H1945" s="6" t="s">
        <v>4211</v>
      </c>
      <c r="I1945" s="6">
        <v>526.6875</v>
      </c>
      <c r="J1945" s="2">
        <f t="shared" si="30"/>
        <v>43747.58706006944</v>
      </c>
    </row>
    <row r="1946" spans="1:10" x14ac:dyDescent="0.25">
      <c r="A1946" s="7" t="s">
        <v>4212</v>
      </c>
      <c r="B1946" s="8">
        <v>437.5</v>
      </c>
      <c r="C1946" s="8">
        <v>20.584240000000001</v>
      </c>
      <c r="D1946" s="8">
        <v>42</v>
      </c>
      <c r="E1946" s="8">
        <v>0</v>
      </c>
      <c r="F1946" s="8">
        <v>0</v>
      </c>
      <c r="G1946" s="8">
        <v>22</v>
      </c>
      <c r="H1946" s="8" t="s">
        <v>4213</v>
      </c>
      <c r="I1946" s="8">
        <v>540.9375</v>
      </c>
      <c r="J1946" s="3">
        <f t="shared" si="30"/>
        <v>43747.58713190972</v>
      </c>
    </row>
    <row r="1947" spans="1:10" x14ac:dyDescent="0.25">
      <c r="A1947" s="5" t="s">
        <v>4214</v>
      </c>
      <c r="B1947" s="6">
        <v>393.75</v>
      </c>
      <c r="C1947" s="6">
        <v>20.584240000000001</v>
      </c>
      <c r="D1947" s="6">
        <v>42</v>
      </c>
      <c r="E1947" s="6">
        <v>0</v>
      </c>
      <c r="F1947" s="6">
        <v>0</v>
      </c>
      <c r="G1947" s="6">
        <v>5</v>
      </c>
      <c r="H1947" s="6" t="s">
        <v>4215</v>
      </c>
      <c r="I1947" s="6">
        <v>526.6875</v>
      </c>
      <c r="J1947" s="2">
        <f t="shared" si="30"/>
        <v>43747.587215624997</v>
      </c>
    </row>
    <row r="1948" spans="1:10" x14ac:dyDescent="0.25">
      <c r="A1948" s="7" t="s">
        <v>4216</v>
      </c>
      <c r="B1948" s="8">
        <v>393.75</v>
      </c>
      <c r="C1948" s="8">
        <v>20.584240000000001</v>
      </c>
      <c r="D1948" s="8">
        <v>42</v>
      </c>
      <c r="E1948" s="8">
        <v>0</v>
      </c>
      <c r="F1948" s="8">
        <v>0</v>
      </c>
      <c r="G1948" s="8">
        <v>11</v>
      </c>
      <c r="H1948" s="8" t="s">
        <v>4217</v>
      </c>
      <c r="I1948" s="8">
        <v>526.6875</v>
      </c>
      <c r="J1948" s="3">
        <f t="shared" si="30"/>
        <v>43747.587304710651</v>
      </c>
    </row>
    <row r="1949" spans="1:10" x14ac:dyDescent="0.25">
      <c r="A1949" s="5" t="s">
        <v>4218</v>
      </c>
      <c r="B1949" s="6">
        <v>393.75</v>
      </c>
      <c r="C1949" s="6">
        <v>20.584240000000001</v>
      </c>
      <c r="D1949" s="6">
        <v>43</v>
      </c>
      <c r="E1949" s="6">
        <v>0</v>
      </c>
      <c r="F1949" s="6">
        <v>0</v>
      </c>
      <c r="G1949" s="6">
        <v>8</v>
      </c>
      <c r="H1949" s="6" t="s">
        <v>4219</v>
      </c>
      <c r="I1949" s="6">
        <v>526.6875</v>
      </c>
      <c r="J1949" s="2">
        <f t="shared" si="30"/>
        <v>43747.587382291669</v>
      </c>
    </row>
    <row r="1950" spans="1:10" x14ac:dyDescent="0.25">
      <c r="A1950" s="7" t="s">
        <v>4220</v>
      </c>
      <c r="B1950" s="8">
        <v>393.75</v>
      </c>
      <c r="C1950" s="8">
        <v>20.584240000000001</v>
      </c>
      <c r="D1950" s="8">
        <v>44</v>
      </c>
      <c r="E1950" s="8">
        <v>0</v>
      </c>
      <c r="F1950" s="8">
        <v>0</v>
      </c>
      <c r="G1950" s="8">
        <v>9</v>
      </c>
      <c r="H1950" s="8" t="s">
        <v>4221</v>
      </c>
      <c r="I1950" s="8">
        <v>526.6875</v>
      </c>
      <c r="J1950" s="3">
        <f t="shared" si="30"/>
        <v>43747.58746584491</v>
      </c>
    </row>
    <row r="1951" spans="1:10" x14ac:dyDescent="0.25">
      <c r="A1951" s="5" t="s">
        <v>4222</v>
      </c>
      <c r="B1951" s="6">
        <v>434.375</v>
      </c>
      <c r="C1951" s="6">
        <v>20.584240000000001</v>
      </c>
      <c r="D1951" s="6">
        <v>41</v>
      </c>
      <c r="E1951" s="6">
        <v>0</v>
      </c>
      <c r="F1951" s="6">
        <v>0</v>
      </c>
      <c r="G1951" s="6">
        <v>8</v>
      </c>
      <c r="H1951" s="6" t="s">
        <v>4223</v>
      </c>
      <c r="I1951" s="6">
        <v>539.8125</v>
      </c>
      <c r="J1951" s="2">
        <f t="shared" si="30"/>
        <v>43747.587548958334</v>
      </c>
    </row>
    <row r="1952" spans="1:10" x14ac:dyDescent="0.25">
      <c r="A1952" s="7" t="s">
        <v>4224</v>
      </c>
      <c r="B1952" s="8">
        <v>393.75</v>
      </c>
      <c r="C1952" s="8">
        <v>20.584240000000001</v>
      </c>
      <c r="D1952" s="8">
        <v>41</v>
      </c>
      <c r="E1952" s="8">
        <v>0</v>
      </c>
      <c r="F1952" s="8">
        <v>0</v>
      </c>
      <c r="G1952" s="8">
        <v>10</v>
      </c>
      <c r="H1952" s="8" t="s">
        <v>4225</v>
      </c>
      <c r="I1952" s="8">
        <v>526.6875</v>
      </c>
      <c r="J1952" s="3">
        <f t="shared" si="30"/>
        <v>43747.587620590275</v>
      </c>
    </row>
    <row r="1953" spans="1:10" x14ac:dyDescent="0.25">
      <c r="A1953" s="5" t="s">
        <v>4226</v>
      </c>
      <c r="B1953" s="6">
        <v>393.75</v>
      </c>
      <c r="C1953" s="6">
        <v>20.584240000000001</v>
      </c>
      <c r="D1953" s="6">
        <v>42</v>
      </c>
      <c r="E1953" s="6">
        <v>0</v>
      </c>
      <c r="F1953" s="6">
        <v>0</v>
      </c>
      <c r="G1953" s="6">
        <v>24</v>
      </c>
      <c r="H1953" s="6" t="s">
        <v>4227</v>
      </c>
      <c r="I1953" s="6">
        <v>526.6875</v>
      </c>
      <c r="J1953" s="2">
        <f t="shared" si="30"/>
        <v>43747.587704537036</v>
      </c>
    </row>
    <row r="1954" spans="1:10" x14ac:dyDescent="0.25">
      <c r="A1954" s="7" t="s">
        <v>4228</v>
      </c>
      <c r="B1954" s="8">
        <v>412.5</v>
      </c>
      <c r="C1954" s="8">
        <v>20.584240000000001</v>
      </c>
      <c r="D1954" s="8">
        <v>44</v>
      </c>
      <c r="E1954" s="8">
        <v>0</v>
      </c>
      <c r="F1954" s="8">
        <v>0</v>
      </c>
      <c r="G1954" s="8">
        <v>8</v>
      </c>
      <c r="H1954" s="8" t="s">
        <v>4229</v>
      </c>
      <c r="I1954" s="8">
        <v>532.3125</v>
      </c>
      <c r="J1954" s="3">
        <f t="shared" si="30"/>
        <v>43747.587787951386</v>
      </c>
    </row>
    <row r="1955" spans="1:10" x14ac:dyDescent="0.25">
      <c r="A1955" s="5" t="s">
        <v>4230</v>
      </c>
      <c r="B1955" s="6">
        <v>393.75</v>
      </c>
      <c r="C1955" s="6">
        <v>20.584240000000001</v>
      </c>
      <c r="D1955" s="6">
        <v>44</v>
      </c>
      <c r="E1955" s="6">
        <v>0</v>
      </c>
      <c r="F1955" s="6">
        <v>0</v>
      </c>
      <c r="G1955" s="6">
        <v>15</v>
      </c>
      <c r="H1955" s="6" t="s">
        <v>4231</v>
      </c>
      <c r="I1955" s="6">
        <v>526.6875</v>
      </c>
      <c r="J1955" s="2">
        <f t="shared" si="30"/>
        <v>43747.587871157404</v>
      </c>
    </row>
    <row r="1956" spans="1:10" x14ac:dyDescent="0.25">
      <c r="A1956" s="7" t="s">
        <v>4232</v>
      </c>
      <c r="B1956" s="8">
        <v>393.75</v>
      </c>
      <c r="C1956" s="8">
        <v>20.584240000000001</v>
      </c>
      <c r="D1956" s="8">
        <v>43</v>
      </c>
      <c r="E1956" s="8">
        <v>0</v>
      </c>
      <c r="F1956" s="8">
        <v>0</v>
      </c>
      <c r="G1956" s="8">
        <v>12</v>
      </c>
      <c r="H1956" s="8" t="s">
        <v>4233</v>
      </c>
      <c r="I1956" s="8">
        <v>526.6875</v>
      </c>
      <c r="J1956" s="3">
        <f t="shared" si="30"/>
        <v>43747.587954872688</v>
      </c>
    </row>
    <row r="1957" spans="1:10" x14ac:dyDescent="0.25">
      <c r="A1957" s="5" t="s">
        <v>4234</v>
      </c>
      <c r="B1957" s="6">
        <v>393.75</v>
      </c>
      <c r="C1957" s="6">
        <v>20.531590000000001</v>
      </c>
      <c r="D1957" s="6">
        <v>43</v>
      </c>
      <c r="E1957" s="6">
        <v>0</v>
      </c>
      <c r="F1957" s="6">
        <v>0</v>
      </c>
      <c r="G1957" s="6">
        <v>11</v>
      </c>
      <c r="H1957" s="6" t="s">
        <v>4235</v>
      </c>
      <c r="I1957" s="6">
        <v>526.6875</v>
      </c>
      <c r="J1957" s="2">
        <f t="shared" si="30"/>
        <v>43747.588038009257</v>
      </c>
    </row>
    <row r="1958" spans="1:10" x14ac:dyDescent="0.25">
      <c r="A1958" s="7" t="s">
        <v>4236</v>
      </c>
      <c r="B1958" s="8">
        <v>393.75</v>
      </c>
      <c r="C1958" s="8">
        <v>20.584240000000001</v>
      </c>
      <c r="D1958" s="8">
        <v>43</v>
      </c>
      <c r="E1958" s="8">
        <v>0</v>
      </c>
      <c r="F1958" s="8">
        <v>0</v>
      </c>
      <c r="G1958" s="8">
        <v>15</v>
      </c>
      <c r="H1958" s="8" t="s">
        <v>4237</v>
      </c>
      <c r="I1958" s="8">
        <v>526.6875</v>
      </c>
      <c r="J1958" s="3">
        <f t="shared" si="30"/>
        <v>43747.588109710647</v>
      </c>
    </row>
    <row r="1959" spans="1:10" x14ac:dyDescent="0.25">
      <c r="A1959" s="5" t="s">
        <v>4238</v>
      </c>
      <c r="B1959" s="6">
        <v>393.75</v>
      </c>
      <c r="C1959" s="6">
        <v>20.584240000000001</v>
      </c>
      <c r="D1959" s="6">
        <v>43</v>
      </c>
      <c r="E1959" s="6">
        <v>0</v>
      </c>
      <c r="F1959" s="6">
        <v>0</v>
      </c>
      <c r="G1959" s="6">
        <v>8</v>
      </c>
      <c r="H1959" s="6" t="s">
        <v>4239</v>
      </c>
      <c r="I1959" s="6">
        <v>526.6875</v>
      </c>
      <c r="J1959" s="2">
        <f t="shared" si="30"/>
        <v>43747.588205231477</v>
      </c>
    </row>
    <row r="1960" spans="1:10" x14ac:dyDescent="0.25">
      <c r="A1960" s="7" t="s">
        <v>4240</v>
      </c>
      <c r="B1960" s="8">
        <v>393.75</v>
      </c>
      <c r="C1960" s="8">
        <v>20.584240000000001</v>
      </c>
      <c r="D1960" s="8">
        <v>44</v>
      </c>
      <c r="E1960" s="8">
        <v>0</v>
      </c>
      <c r="F1960" s="8">
        <v>0</v>
      </c>
      <c r="G1960" s="8">
        <v>11</v>
      </c>
      <c r="H1960" s="8" t="s">
        <v>4241</v>
      </c>
      <c r="I1960" s="8">
        <v>526.6875</v>
      </c>
      <c r="J1960" s="3">
        <f t="shared" si="30"/>
        <v>43747.588276759256</v>
      </c>
    </row>
    <row r="1961" spans="1:10" x14ac:dyDescent="0.25">
      <c r="A1961" s="5" t="s">
        <v>4242</v>
      </c>
      <c r="B1961" s="6">
        <v>393.75</v>
      </c>
      <c r="C1961" s="6">
        <v>20.584240000000001</v>
      </c>
      <c r="D1961" s="6">
        <v>44</v>
      </c>
      <c r="E1961" s="6">
        <v>0</v>
      </c>
      <c r="F1961" s="6">
        <v>0</v>
      </c>
      <c r="G1961" s="6">
        <v>11</v>
      </c>
      <c r="H1961" s="6" t="s">
        <v>4243</v>
      </c>
      <c r="I1961" s="6">
        <v>526.6875</v>
      </c>
      <c r="J1961" s="2">
        <f t="shared" si="30"/>
        <v>43747.588360092595</v>
      </c>
    </row>
    <row r="1962" spans="1:10" x14ac:dyDescent="0.25">
      <c r="A1962" s="7" t="s">
        <v>4244</v>
      </c>
      <c r="B1962" s="8">
        <v>393.75</v>
      </c>
      <c r="C1962" s="8">
        <v>20.531590000000001</v>
      </c>
      <c r="D1962" s="8">
        <v>41</v>
      </c>
      <c r="E1962" s="8">
        <v>0</v>
      </c>
      <c r="F1962" s="8">
        <v>0</v>
      </c>
      <c r="G1962" s="8">
        <v>11</v>
      </c>
      <c r="H1962" s="8" t="s">
        <v>4245</v>
      </c>
      <c r="I1962" s="8">
        <v>526.6875</v>
      </c>
      <c r="J1962" s="3">
        <f t="shared" si="30"/>
        <v>43747.588443773151</v>
      </c>
    </row>
    <row r="1963" spans="1:10" x14ac:dyDescent="0.25">
      <c r="A1963" s="5" t="s">
        <v>4246</v>
      </c>
      <c r="B1963" s="6">
        <v>393.75</v>
      </c>
      <c r="C1963" s="6">
        <v>20.584240000000001</v>
      </c>
      <c r="D1963" s="6">
        <v>42</v>
      </c>
      <c r="E1963" s="6">
        <v>0</v>
      </c>
      <c r="F1963" s="6">
        <v>0</v>
      </c>
      <c r="G1963" s="6">
        <v>11</v>
      </c>
      <c r="H1963" s="6" t="s">
        <v>4247</v>
      </c>
      <c r="I1963" s="6">
        <v>526.6875</v>
      </c>
      <c r="J1963" s="2">
        <f t="shared" si="30"/>
        <v>43747.588526874999</v>
      </c>
    </row>
    <row r="1964" spans="1:10" x14ac:dyDescent="0.25">
      <c r="A1964" s="7" t="s">
        <v>4248</v>
      </c>
      <c r="B1964" s="8">
        <v>393.75</v>
      </c>
      <c r="C1964" s="8">
        <v>20.531590000000001</v>
      </c>
      <c r="D1964" s="8">
        <v>42</v>
      </c>
      <c r="E1964" s="8">
        <v>0</v>
      </c>
      <c r="F1964" s="8">
        <v>0</v>
      </c>
      <c r="G1964" s="8">
        <v>8</v>
      </c>
      <c r="H1964" s="8" t="s">
        <v>4249</v>
      </c>
      <c r="I1964" s="8">
        <v>526.6875</v>
      </c>
      <c r="J1964" s="3">
        <f t="shared" si="30"/>
        <v>43747.588598391201</v>
      </c>
    </row>
    <row r="1965" spans="1:10" x14ac:dyDescent="0.25">
      <c r="A1965" s="5" t="s">
        <v>4250</v>
      </c>
      <c r="B1965" s="6">
        <v>393.75</v>
      </c>
      <c r="C1965" s="6">
        <v>20.584240000000001</v>
      </c>
      <c r="D1965" s="6">
        <v>42</v>
      </c>
      <c r="E1965" s="6">
        <v>0</v>
      </c>
      <c r="F1965" s="6">
        <v>0</v>
      </c>
      <c r="G1965" s="6">
        <v>15</v>
      </c>
      <c r="H1965" s="6" t="s">
        <v>4251</v>
      </c>
      <c r="I1965" s="6">
        <v>526.6875</v>
      </c>
      <c r="J1965" s="2">
        <f t="shared" si="30"/>
        <v>43747.58868231481</v>
      </c>
    </row>
    <row r="1966" spans="1:10" x14ac:dyDescent="0.25">
      <c r="A1966" s="7" t="s">
        <v>4252</v>
      </c>
      <c r="B1966" s="8">
        <v>393.75</v>
      </c>
      <c r="C1966" s="8">
        <v>20.584240000000001</v>
      </c>
      <c r="D1966" s="8">
        <v>42</v>
      </c>
      <c r="E1966" s="8">
        <v>0</v>
      </c>
      <c r="F1966" s="8">
        <v>0</v>
      </c>
      <c r="G1966" s="8">
        <v>9</v>
      </c>
      <c r="H1966" s="8" t="s">
        <v>4253</v>
      </c>
      <c r="I1966" s="8">
        <v>526.6875</v>
      </c>
      <c r="J1966" s="3">
        <f t="shared" si="30"/>
        <v>43747.588765648143</v>
      </c>
    </row>
    <row r="1967" spans="1:10" x14ac:dyDescent="0.25">
      <c r="A1967" s="5" t="s">
        <v>4254</v>
      </c>
      <c r="B1967" s="6">
        <v>393.75</v>
      </c>
      <c r="C1967" s="6">
        <v>20.584240000000001</v>
      </c>
      <c r="D1967" s="6">
        <v>41</v>
      </c>
      <c r="E1967" s="6">
        <v>0</v>
      </c>
      <c r="F1967" s="6">
        <v>0</v>
      </c>
      <c r="G1967" s="6">
        <v>13</v>
      </c>
      <c r="H1967" s="6" t="s">
        <v>4255</v>
      </c>
      <c r="I1967" s="6">
        <v>526.6875</v>
      </c>
      <c r="J1967" s="2">
        <f t="shared" si="30"/>
        <v>43747.588848993058</v>
      </c>
    </row>
    <row r="1968" spans="1:10" x14ac:dyDescent="0.25">
      <c r="A1968" s="7" t="s">
        <v>4256</v>
      </c>
      <c r="B1968" s="8">
        <v>393.75</v>
      </c>
      <c r="C1968" s="8">
        <v>20.584240000000001</v>
      </c>
      <c r="D1968" s="8">
        <v>41</v>
      </c>
      <c r="E1968" s="8">
        <v>0</v>
      </c>
      <c r="F1968" s="8">
        <v>0</v>
      </c>
      <c r="G1968" s="8">
        <v>10</v>
      </c>
      <c r="H1968" s="8" t="s">
        <v>4257</v>
      </c>
      <c r="I1968" s="8">
        <v>526.6875</v>
      </c>
      <c r="J1968" s="3">
        <f t="shared" si="30"/>
        <v>43747.588920624992</v>
      </c>
    </row>
    <row r="1969" spans="1:10" x14ac:dyDescent="0.25">
      <c r="A1969" s="5" t="s">
        <v>4258</v>
      </c>
      <c r="B1969" s="6">
        <v>415.625</v>
      </c>
      <c r="C1969" s="6">
        <v>20.584240000000001</v>
      </c>
      <c r="D1969" s="6">
        <v>43</v>
      </c>
      <c r="E1969" s="6">
        <v>0</v>
      </c>
      <c r="F1969" s="6">
        <v>0</v>
      </c>
      <c r="G1969" s="6">
        <v>12</v>
      </c>
      <c r="H1969" s="6" t="s">
        <v>4259</v>
      </c>
      <c r="I1969" s="6">
        <v>533.8125</v>
      </c>
      <c r="J1969" s="2">
        <f t="shared" si="30"/>
        <v>43747.589004189816</v>
      </c>
    </row>
    <row r="1970" spans="1:10" x14ac:dyDescent="0.25">
      <c r="A1970" s="7" t="s">
        <v>4260</v>
      </c>
      <c r="B1970" s="8">
        <v>393.75</v>
      </c>
      <c r="C1970" s="8">
        <v>20.584240000000001</v>
      </c>
      <c r="D1970" s="8">
        <v>43</v>
      </c>
      <c r="E1970" s="8">
        <v>0</v>
      </c>
      <c r="F1970" s="8">
        <v>0</v>
      </c>
      <c r="G1970" s="8">
        <v>10</v>
      </c>
      <c r="H1970" s="8" t="s">
        <v>4261</v>
      </c>
      <c r="I1970" s="8">
        <v>526.6875</v>
      </c>
      <c r="J1970" s="3">
        <f t="shared" si="30"/>
        <v>43747.589091099529</v>
      </c>
    </row>
    <row r="1971" spans="1:10" x14ac:dyDescent="0.25">
      <c r="A1971" s="5" t="s">
        <v>4262</v>
      </c>
      <c r="B1971" s="6">
        <v>393.75</v>
      </c>
      <c r="C1971" s="6">
        <v>20.584240000000001</v>
      </c>
      <c r="D1971" s="6">
        <v>43</v>
      </c>
      <c r="E1971" s="6">
        <v>0</v>
      </c>
      <c r="F1971" s="6">
        <v>0</v>
      </c>
      <c r="G1971" s="6">
        <v>12</v>
      </c>
      <c r="H1971" s="6" t="s">
        <v>4263</v>
      </c>
      <c r="I1971" s="6">
        <v>526.6875</v>
      </c>
      <c r="J1971" s="2">
        <f t="shared" si="30"/>
        <v>43747.589171192129</v>
      </c>
    </row>
    <row r="1972" spans="1:10" x14ac:dyDescent="0.25">
      <c r="A1972" s="7" t="s">
        <v>4264</v>
      </c>
      <c r="B1972" s="8">
        <v>393.75</v>
      </c>
      <c r="C1972" s="8">
        <v>20.584240000000001</v>
      </c>
      <c r="D1972" s="8">
        <v>40</v>
      </c>
      <c r="E1972" s="8">
        <v>0</v>
      </c>
      <c r="F1972" s="8">
        <v>0</v>
      </c>
      <c r="G1972" s="8">
        <v>8</v>
      </c>
      <c r="H1972" s="8" t="s">
        <v>4265</v>
      </c>
      <c r="I1972" s="8">
        <v>526.6875</v>
      </c>
      <c r="J1972" s="3">
        <f t="shared" si="30"/>
        <v>43747.589254537037</v>
      </c>
    </row>
    <row r="1973" spans="1:10" x14ac:dyDescent="0.25">
      <c r="A1973" s="5" t="s">
        <v>4266</v>
      </c>
      <c r="B1973" s="6">
        <v>393.75</v>
      </c>
      <c r="C1973" s="6">
        <v>20.584240000000001</v>
      </c>
      <c r="D1973" s="6">
        <v>41</v>
      </c>
      <c r="E1973" s="6">
        <v>0</v>
      </c>
      <c r="F1973" s="6">
        <v>0</v>
      </c>
      <c r="G1973" s="6">
        <v>10</v>
      </c>
      <c r="H1973" s="6" t="s">
        <v>4267</v>
      </c>
      <c r="I1973" s="6">
        <v>526.6875</v>
      </c>
      <c r="J1973" s="2">
        <f t="shared" si="30"/>
        <v>43747.589337870369</v>
      </c>
    </row>
    <row r="1974" spans="1:10" x14ac:dyDescent="0.25">
      <c r="A1974" s="7" t="s">
        <v>4268</v>
      </c>
      <c r="B1974" s="8">
        <v>393.75</v>
      </c>
      <c r="C1974" s="8">
        <v>20.584240000000001</v>
      </c>
      <c r="D1974" s="8">
        <v>40</v>
      </c>
      <c r="E1974" s="8">
        <v>0</v>
      </c>
      <c r="F1974" s="8">
        <v>0</v>
      </c>
      <c r="G1974" s="8">
        <v>15</v>
      </c>
      <c r="H1974" s="8" t="s">
        <v>4269</v>
      </c>
      <c r="I1974" s="8">
        <v>526.6875</v>
      </c>
      <c r="J1974" s="3">
        <f t="shared" si="30"/>
        <v>43747.589421550925</v>
      </c>
    </row>
    <row r="1975" spans="1:10" x14ac:dyDescent="0.25">
      <c r="A1975" s="5" t="s">
        <v>4270</v>
      </c>
      <c r="B1975" s="6">
        <v>393.75</v>
      </c>
      <c r="C1975" s="6">
        <v>20.584240000000001</v>
      </c>
      <c r="D1975" s="6">
        <v>40</v>
      </c>
      <c r="E1975" s="6">
        <v>0</v>
      </c>
      <c r="F1975" s="6">
        <v>0</v>
      </c>
      <c r="G1975" s="6">
        <v>9</v>
      </c>
      <c r="H1975" s="6" t="s">
        <v>4271</v>
      </c>
      <c r="I1975" s="6">
        <v>526.6875</v>
      </c>
      <c r="J1975" s="2">
        <f t="shared" si="30"/>
        <v>43747.589504641197</v>
      </c>
    </row>
    <row r="1976" spans="1:10" x14ac:dyDescent="0.25">
      <c r="A1976" s="7" t="s">
        <v>4272</v>
      </c>
      <c r="B1976" s="8">
        <v>418.75</v>
      </c>
      <c r="C1976" s="8">
        <v>20.584240000000001</v>
      </c>
      <c r="D1976" s="8">
        <v>40</v>
      </c>
      <c r="E1976" s="8">
        <v>0</v>
      </c>
      <c r="F1976" s="8">
        <v>0</v>
      </c>
      <c r="G1976" s="8">
        <v>11</v>
      </c>
      <c r="H1976" s="8" t="s">
        <v>4273</v>
      </c>
      <c r="I1976" s="8">
        <v>534.5625</v>
      </c>
      <c r="J1976" s="3">
        <f t="shared" si="30"/>
        <v>43747.589576157407</v>
      </c>
    </row>
    <row r="1977" spans="1:10" x14ac:dyDescent="0.25">
      <c r="A1977" s="5" t="s">
        <v>4274</v>
      </c>
      <c r="B1977" s="6">
        <v>393.75</v>
      </c>
      <c r="C1977" s="6">
        <v>20.584240000000001</v>
      </c>
      <c r="D1977" s="6">
        <v>40</v>
      </c>
      <c r="E1977" s="6">
        <v>0</v>
      </c>
      <c r="F1977" s="6">
        <v>0</v>
      </c>
      <c r="G1977" s="6">
        <v>8</v>
      </c>
      <c r="H1977" s="6" t="s">
        <v>4275</v>
      </c>
      <c r="I1977" s="6">
        <v>526.6875</v>
      </c>
      <c r="J1977" s="2">
        <f t="shared" si="30"/>
        <v>43747.589660092592</v>
      </c>
    </row>
    <row r="1978" spans="1:10" x14ac:dyDescent="0.25">
      <c r="A1978" s="7" t="s">
        <v>4276</v>
      </c>
      <c r="B1978" s="8">
        <v>393.75</v>
      </c>
      <c r="C1978" s="8">
        <v>20.584240000000001</v>
      </c>
      <c r="D1978" s="8">
        <v>42</v>
      </c>
      <c r="E1978" s="8">
        <v>0</v>
      </c>
      <c r="F1978" s="8">
        <v>0</v>
      </c>
      <c r="G1978" s="8">
        <v>3</v>
      </c>
      <c r="H1978" s="8" t="s">
        <v>4277</v>
      </c>
      <c r="I1978" s="8">
        <v>526.6875</v>
      </c>
      <c r="J1978" s="3">
        <f t="shared" si="30"/>
        <v>43747.589750312494</v>
      </c>
    </row>
    <row r="1979" spans="1:10" x14ac:dyDescent="0.25">
      <c r="A1979" s="5" t="s">
        <v>4278</v>
      </c>
      <c r="B1979" s="6">
        <v>393.75</v>
      </c>
      <c r="C1979" s="6">
        <v>20.584240000000001</v>
      </c>
      <c r="D1979" s="6">
        <v>42</v>
      </c>
      <c r="E1979" s="6">
        <v>0</v>
      </c>
      <c r="F1979" s="6">
        <v>0</v>
      </c>
      <c r="G1979" s="6">
        <v>3</v>
      </c>
      <c r="H1979" s="6" t="s">
        <v>4279</v>
      </c>
      <c r="I1979" s="6">
        <v>526.6875</v>
      </c>
      <c r="J1979" s="2">
        <f t="shared" si="30"/>
        <v>43747.589826759257</v>
      </c>
    </row>
    <row r="1980" spans="1:10" x14ac:dyDescent="0.25">
      <c r="A1980" s="7" t="s">
        <v>4280</v>
      </c>
      <c r="B1980" s="8">
        <v>393.75</v>
      </c>
      <c r="C1980" s="8">
        <v>20.584240000000001</v>
      </c>
      <c r="D1980" s="8">
        <v>42</v>
      </c>
      <c r="E1980" s="8">
        <v>0</v>
      </c>
      <c r="F1980" s="8">
        <v>0</v>
      </c>
      <c r="G1980" s="8">
        <v>6</v>
      </c>
      <c r="H1980" s="8" t="s">
        <v>4281</v>
      </c>
      <c r="I1980" s="8">
        <v>526.6875</v>
      </c>
      <c r="J1980" s="3">
        <f t="shared" si="30"/>
        <v>43747.589898402774</v>
      </c>
    </row>
    <row r="1981" spans="1:10" x14ac:dyDescent="0.25">
      <c r="A1981" s="5" t="s">
        <v>4282</v>
      </c>
      <c r="B1981" s="6">
        <v>393.75</v>
      </c>
      <c r="C1981" s="6">
        <v>20.584240000000001</v>
      </c>
      <c r="D1981" s="6">
        <v>41</v>
      </c>
      <c r="E1981" s="6">
        <v>0</v>
      </c>
      <c r="F1981" s="6">
        <v>0</v>
      </c>
      <c r="G1981" s="6">
        <v>5</v>
      </c>
      <c r="H1981" s="6" t="s">
        <v>4283</v>
      </c>
      <c r="I1981" s="6">
        <v>526.6875</v>
      </c>
      <c r="J1981" s="2">
        <f t="shared" si="30"/>
        <v>43747.589981967591</v>
      </c>
    </row>
    <row r="1982" spans="1:10" x14ac:dyDescent="0.25">
      <c r="A1982" s="7" t="s">
        <v>4284</v>
      </c>
      <c r="B1982" s="8">
        <v>393.75</v>
      </c>
      <c r="C1982" s="8">
        <v>20.584240000000001</v>
      </c>
      <c r="D1982" s="8">
        <v>43</v>
      </c>
      <c r="E1982" s="8">
        <v>0</v>
      </c>
      <c r="F1982" s="8">
        <v>0</v>
      </c>
      <c r="G1982" s="8">
        <v>6</v>
      </c>
      <c r="H1982" s="8" t="s">
        <v>4285</v>
      </c>
      <c r="I1982" s="8">
        <v>526.6875</v>
      </c>
      <c r="J1982" s="3">
        <f t="shared" si="30"/>
        <v>43747.5900655324</v>
      </c>
    </row>
    <row r="1983" spans="1:10" x14ac:dyDescent="0.25">
      <c r="A1983" s="5" t="s">
        <v>4286</v>
      </c>
      <c r="B1983" s="6">
        <v>393.75</v>
      </c>
      <c r="C1983" s="6">
        <v>20.584240000000001</v>
      </c>
      <c r="D1983" s="6">
        <v>43</v>
      </c>
      <c r="E1983" s="6">
        <v>0</v>
      </c>
      <c r="F1983" s="6">
        <v>0</v>
      </c>
      <c r="G1983" s="6">
        <v>14</v>
      </c>
      <c r="H1983" s="6" t="s">
        <v>4287</v>
      </c>
      <c r="I1983" s="6">
        <v>526.6875</v>
      </c>
      <c r="J1983" s="2">
        <f t="shared" si="30"/>
        <v>43747.590148981479</v>
      </c>
    </row>
    <row r="1984" spans="1:10" x14ac:dyDescent="0.25">
      <c r="A1984" s="7" t="s">
        <v>4288</v>
      </c>
      <c r="B1984" s="8">
        <v>412.5</v>
      </c>
      <c r="C1984" s="8">
        <v>20.584240000000001</v>
      </c>
      <c r="D1984" s="8">
        <v>43</v>
      </c>
      <c r="E1984" s="8">
        <v>0</v>
      </c>
      <c r="F1984" s="8">
        <v>0</v>
      </c>
      <c r="G1984" s="8">
        <v>13</v>
      </c>
      <c r="H1984" s="8" t="s">
        <v>4289</v>
      </c>
      <c r="I1984" s="8">
        <v>532.3125</v>
      </c>
      <c r="J1984" s="3">
        <f t="shared" si="30"/>
        <v>43747.590232430557</v>
      </c>
    </row>
    <row r="1985" spans="1:10" x14ac:dyDescent="0.25">
      <c r="A1985" s="5" t="s">
        <v>4290</v>
      </c>
      <c r="B1985" s="6">
        <v>393.75</v>
      </c>
      <c r="C1985" s="6">
        <v>20.584240000000001</v>
      </c>
      <c r="D1985" s="6">
        <v>44</v>
      </c>
      <c r="E1985" s="6">
        <v>0</v>
      </c>
      <c r="F1985" s="6">
        <v>0</v>
      </c>
      <c r="G1985" s="6">
        <v>3</v>
      </c>
      <c r="H1985" s="6" t="s">
        <v>4291</v>
      </c>
      <c r="I1985" s="6">
        <v>526.6875</v>
      </c>
      <c r="J1985" s="2">
        <f t="shared" si="30"/>
        <v>43747.590315636575</v>
      </c>
    </row>
    <row r="1986" spans="1:10" x14ac:dyDescent="0.25">
      <c r="A1986" s="7" t="s">
        <v>4292</v>
      </c>
      <c r="B1986" s="8">
        <v>393.75</v>
      </c>
      <c r="C1986" s="8">
        <v>20.584240000000001</v>
      </c>
      <c r="D1986" s="8">
        <v>44</v>
      </c>
      <c r="E1986" s="8">
        <v>0</v>
      </c>
      <c r="F1986" s="8">
        <v>0</v>
      </c>
      <c r="G1986" s="8">
        <v>10</v>
      </c>
      <c r="H1986" s="8" t="s">
        <v>4293</v>
      </c>
      <c r="I1986" s="8">
        <v>526.5</v>
      </c>
      <c r="J1986" s="3">
        <f t="shared" ref="J1986:J2049" si="31">(H1986/86400000)+25569+(7/24)</f>
        <v>43747.590387291661</v>
      </c>
    </row>
    <row r="1987" spans="1:10" x14ac:dyDescent="0.25">
      <c r="A1987" s="5" t="s">
        <v>4294</v>
      </c>
      <c r="B1987" s="6">
        <v>393.75</v>
      </c>
      <c r="C1987" s="6">
        <v>20.584240000000001</v>
      </c>
      <c r="D1987" s="6">
        <v>44</v>
      </c>
      <c r="E1987" s="6">
        <v>0</v>
      </c>
      <c r="F1987" s="6">
        <v>0</v>
      </c>
      <c r="G1987" s="6">
        <v>7</v>
      </c>
      <c r="H1987" s="6" t="s">
        <v>4295</v>
      </c>
      <c r="I1987" s="6">
        <v>526.6875</v>
      </c>
      <c r="J1987" s="2">
        <f t="shared" si="31"/>
        <v>43747.590470856478</v>
      </c>
    </row>
    <row r="1988" spans="1:10" x14ac:dyDescent="0.25">
      <c r="A1988" s="7" t="s">
        <v>4296</v>
      </c>
      <c r="B1988" s="8">
        <v>393.75</v>
      </c>
      <c r="C1988" s="8">
        <v>20.584240000000001</v>
      </c>
      <c r="D1988" s="8">
        <v>43</v>
      </c>
      <c r="E1988" s="8">
        <v>0</v>
      </c>
      <c r="F1988" s="8">
        <v>0</v>
      </c>
      <c r="G1988" s="8">
        <v>14</v>
      </c>
      <c r="H1988" s="8" t="s">
        <v>4297</v>
      </c>
      <c r="I1988" s="8">
        <v>526.6875</v>
      </c>
      <c r="J1988" s="3">
        <f t="shared" si="31"/>
        <v>43747.590554398143</v>
      </c>
    </row>
    <row r="1989" spans="1:10" x14ac:dyDescent="0.25">
      <c r="A1989" s="5" t="s">
        <v>4298</v>
      </c>
      <c r="B1989" s="6">
        <v>393.75</v>
      </c>
      <c r="C1989" s="6">
        <v>20.584240000000001</v>
      </c>
      <c r="D1989" s="6">
        <v>42</v>
      </c>
      <c r="E1989" s="6">
        <v>0</v>
      </c>
      <c r="F1989" s="6">
        <v>0</v>
      </c>
      <c r="G1989" s="6">
        <v>12</v>
      </c>
      <c r="H1989" s="6" t="s">
        <v>4299</v>
      </c>
      <c r="I1989" s="6">
        <v>526.6875</v>
      </c>
      <c r="J1989" s="2">
        <f t="shared" si="31"/>
        <v>43747.59063785879</v>
      </c>
    </row>
    <row r="1990" spans="1:10" x14ac:dyDescent="0.25">
      <c r="A1990" s="7" t="s">
        <v>4300</v>
      </c>
      <c r="B1990" s="8">
        <v>393.75</v>
      </c>
      <c r="C1990" s="8">
        <v>20.584240000000001</v>
      </c>
      <c r="D1990" s="8">
        <v>43</v>
      </c>
      <c r="E1990" s="8">
        <v>0</v>
      </c>
      <c r="F1990" s="8">
        <v>0</v>
      </c>
      <c r="G1990" s="8">
        <v>15</v>
      </c>
      <c r="H1990" s="8" t="s">
        <v>4301</v>
      </c>
      <c r="I1990" s="8">
        <v>526.6875</v>
      </c>
      <c r="J1990" s="3">
        <f t="shared" si="31"/>
        <v>43747.590721319437</v>
      </c>
    </row>
    <row r="1991" spans="1:10" x14ac:dyDescent="0.25">
      <c r="A1991" s="5" t="s">
        <v>4302</v>
      </c>
      <c r="B1991" s="6">
        <v>393.75</v>
      </c>
      <c r="C1991" s="6">
        <v>20.584240000000001</v>
      </c>
      <c r="D1991" s="6">
        <v>43</v>
      </c>
      <c r="E1991" s="6">
        <v>0</v>
      </c>
      <c r="F1991" s="6">
        <v>0</v>
      </c>
      <c r="G1991" s="6">
        <v>11</v>
      </c>
      <c r="H1991" s="6" t="s">
        <v>4303</v>
      </c>
      <c r="I1991" s="6">
        <v>526.6875</v>
      </c>
      <c r="J1991" s="2">
        <f t="shared" si="31"/>
        <v>43747.590804525462</v>
      </c>
    </row>
    <row r="1992" spans="1:10" x14ac:dyDescent="0.25">
      <c r="A1992" s="7" t="s">
        <v>4304</v>
      </c>
      <c r="B1992" s="8">
        <v>393.75</v>
      </c>
      <c r="C1992" s="8">
        <v>20.584240000000001</v>
      </c>
      <c r="D1992" s="8">
        <v>43</v>
      </c>
      <c r="E1992" s="8">
        <v>0</v>
      </c>
      <c r="F1992" s="8">
        <v>0</v>
      </c>
      <c r="G1992" s="8">
        <v>12</v>
      </c>
      <c r="H1992" s="8" t="s">
        <v>4305</v>
      </c>
      <c r="I1992" s="8">
        <v>526.6875</v>
      </c>
      <c r="J1992" s="3">
        <f t="shared" si="31"/>
        <v>43747.590888761573</v>
      </c>
    </row>
    <row r="1993" spans="1:10" x14ac:dyDescent="0.25">
      <c r="A1993" s="5" t="s">
        <v>4306</v>
      </c>
      <c r="B1993" s="6">
        <v>393.75</v>
      </c>
      <c r="C1993" s="6">
        <v>20.584240000000001</v>
      </c>
      <c r="D1993" s="6">
        <v>42</v>
      </c>
      <c r="E1993" s="6">
        <v>0</v>
      </c>
      <c r="F1993" s="6">
        <v>0</v>
      </c>
      <c r="G1993" s="6">
        <v>10</v>
      </c>
      <c r="H1993" s="6" t="s">
        <v>4307</v>
      </c>
      <c r="I1993" s="6">
        <v>526.6875</v>
      </c>
      <c r="J1993" s="2">
        <f t="shared" si="31"/>
        <v>43747.590971863428</v>
      </c>
    </row>
    <row r="1994" spans="1:10" x14ac:dyDescent="0.25">
      <c r="A1994" s="7" t="s">
        <v>4308</v>
      </c>
      <c r="B1994" s="8">
        <v>393.75</v>
      </c>
      <c r="C1994" s="8">
        <v>20.584240000000001</v>
      </c>
      <c r="D1994" s="8">
        <v>41</v>
      </c>
      <c r="E1994" s="8">
        <v>0</v>
      </c>
      <c r="F1994" s="8">
        <v>0</v>
      </c>
      <c r="G1994" s="8">
        <v>11</v>
      </c>
      <c r="H1994" s="8" t="s">
        <v>4309</v>
      </c>
      <c r="I1994" s="8">
        <v>526.6875</v>
      </c>
      <c r="J1994" s="3">
        <f t="shared" si="31"/>
        <v>43747.591043379631</v>
      </c>
    </row>
    <row r="1995" spans="1:10" x14ac:dyDescent="0.25">
      <c r="A1995" s="5" t="s">
        <v>4310</v>
      </c>
      <c r="B1995" s="6">
        <v>393.75</v>
      </c>
      <c r="C1995" s="6">
        <v>20.584240000000001</v>
      </c>
      <c r="D1995" s="6">
        <v>40</v>
      </c>
      <c r="E1995" s="6">
        <v>0</v>
      </c>
      <c r="F1995" s="6">
        <v>0</v>
      </c>
      <c r="G1995" s="6">
        <v>9</v>
      </c>
      <c r="H1995" s="6" t="s">
        <v>4311</v>
      </c>
      <c r="I1995" s="6">
        <v>526.6875</v>
      </c>
      <c r="J1995" s="2">
        <f t="shared" si="31"/>
        <v>43747.591126747684</v>
      </c>
    </row>
    <row r="1996" spans="1:10" x14ac:dyDescent="0.25">
      <c r="A1996" s="7" t="s">
        <v>4312</v>
      </c>
      <c r="B1996" s="8">
        <v>393.75</v>
      </c>
      <c r="C1996" s="8">
        <v>20.584240000000001</v>
      </c>
      <c r="D1996" s="8">
        <v>41</v>
      </c>
      <c r="E1996" s="8">
        <v>0</v>
      </c>
      <c r="F1996" s="8">
        <v>0</v>
      </c>
      <c r="G1996" s="8">
        <v>4</v>
      </c>
      <c r="H1996" s="8" t="s">
        <v>4313</v>
      </c>
      <c r="I1996" s="8">
        <v>526.6875</v>
      </c>
      <c r="J1996" s="3">
        <f t="shared" si="31"/>
        <v>43747.591210185179</v>
      </c>
    </row>
    <row r="1997" spans="1:10" x14ac:dyDescent="0.25">
      <c r="A1997" s="5" t="s">
        <v>4314</v>
      </c>
      <c r="B1997" s="6">
        <v>393.75</v>
      </c>
      <c r="C1997" s="6">
        <v>20.584240000000001</v>
      </c>
      <c r="D1997" s="6">
        <v>44</v>
      </c>
      <c r="E1997" s="6">
        <v>0</v>
      </c>
      <c r="F1997" s="6">
        <v>0</v>
      </c>
      <c r="G1997" s="6">
        <v>9</v>
      </c>
      <c r="H1997" s="6" t="s">
        <v>4315</v>
      </c>
      <c r="I1997" s="6">
        <v>526.6875</v>
      </c>
      <c r="J1997" s="2">
        <f t="shared" si="31"/>
        <v>43747.591293530095</v>
      </c>
    </row>
    <row r="1998" spans="1:10" x14ac:dyDescent="0.25">
      <c r="A1998" s="7" t="s">
        <v>4316</v>
      </c>
      <c r="B1998" s="8">
        <v>393.75</v>
      </c>
      <c r="C1998" s="8">
        <v>20.584240000000001</v>
      </c>
      <c r="D1998" s="8">
        <v>44</v>
      </c>
      <c r="E1998" s="8">
        <v>0</v>
      </c>
      <c r="F1998" s="8">
        <v>0</v>
      </c>
      <c r="G1998" s="8">
        <v>15</v>
      </c>
      <c r="H1998" s="8" t="s">
        <v>4317</v>
      </c>
      <c r="I1998" s="8">
        <v>526.6875</v>
      </c>
      <c r="J1998" s="3">
        <f t="shared" si="31"/>
        <v>43747.591365173612</v>
      </c>
    </row>
    <row r="1999" spans="1:10" x14ac:dyDescent="0.25">
      <c r="A1999" s="5" t="s">
        <v>4318</v>
      </c>
      <c r="B1999" s="6">
        <v>412.5</v>
      </c>
      <c r="C1999" s="6">
        <v>20.584240000000001</v>
      </c>
      <c r="D1999" s="6">
        <v>45</v>
      </c>
      <c r="E1999" s="6">
        <v>0</v>
      </c>
      <c r="F1999" s="6">
        <v>0</v>
      </c>
      <c r="G1999" s="6">
        <v>7</v>
      </c>
      <c r="H1999" s="6" t="s">
        <v>4319</v>
      </c>
      <c r="I1999" s="6">
        <v>532.6875</v>
      </c>
      <c r="J1999" s="2">
        <f t="shared" si="31"/>
        <v>43747.591449201391</v>
      </c>
    </row>
    <row r="2000" spans="1:10" x14ac:dyDescent="0.25">
      <c r="A2000" s="7" t="s">
        <v>4320</v>
      </c>
      <c r="B2000" s="8">
        <v>393.75</v>
      </c>
      <c r="C2000" s="8">
        <v>20.584240000000001</v>
      </c>
      <c r="D2000" s="8">
        <v>44</v>
      </c>
      <c r="E2000" s="8">
        <v>0</v>
      </c>
      <c r="F2000" s="8">
        <v>0</v>
      </c>
      <c r="G2000" s="8">
        <v>3</v>
      </c>
      <c r="H2000" s="8" t="s">
        <v>4321</v>
      </c>
      <c r="I2000" s="8">
        <v>526.6875</v>
      </c>
      <c r="J2000" s="3">
        <f t="shared" si="31"/>
        <v>43747.5915321875</v>
      </c>
    </row>
    <row r="2001" spans="1:10" x14ac:dyDescent="0.25">
      <c r="A2001" s="5" t="s">
        <v>4322</v>
      </c>
      <c r="B2001" s="6">
        <v>393.75</v>
      </c>
      <c r="C2001" s="6">
        <v>20.584240000000001</v>
      </c>
      <c r="D2001" s="6">
        <v>43</v>
      </c>
      <c r="E2001" s="6">
        <v>0</v>
      </c>
      <c r="F2001" s="6">
        <v>0</v>
      </c>
      <c r="G2001" s="6">
        <v>9</v>
      </c>
      <c r="H2001" s="6" t="s">
        <v>4323</v>
      </c>
      <c r="I2001" s="6">
        <v>526.6875</v>
      </c>
      <c r="J2001" s="2">
        <f t="shared" si="31"/>
        <v>43747.591615624995</v>
      </c>
    </row>
    <row r="2002" spans="1:10" x14ac:dyDescent="0.25">
      <c r="A2002" s="7" t="s">
        <v>4324</v>
      </c>
      <c r="B2002" s="8">
        <v>393.75</v>
      </c>
      <c r="C2002" s="8">
        <v>20.584240000000001</v>
      </c>
      <c r="D2002" s="8">
        <v>43</v>
      </c>
      <c r="E2002" s="8">
        <v>0</v>
      </c>
      <c r="F2002" s="8">
        <v>0</v>
      </c>
      <c r="G2002" s="8">
        <v>3</v>
      </c>
      <c r="H2002" s="8" t="s">
        <v>4325</v>
      </c>
      <c r="I2002" s="8">
        <v>526.6875</v>
      </c>
      <c r="J2002" s="3">
        <f t="shared" si="31"/>
        <v>43747.591699189812</v>
      </c>
    </row>
    <row r="2003" spans="1:10" x14ac:dyDescent="0.25">
      <c r="A2003" s="5" t="s">
        <v>4326</v>
      </c>
      <c r="B2003" s="6">
        <v>393.75</v>
      </c>
      <c r="C2003" s="6">
        <v>20.584240000000001</v>
      </c>
      <c r="D2003" s="6">
        <v>43</v>
      </c>
      <c r="E2003" s="6">
        <v>0</v>
      </c>
      <c r="F2003" s="6">
        <v>0</v>
      </c>
      <c r="G2003" s="6">
        <v>8</v>
      </c>
      <c r="H2003" s="6" t="s">
        <v>4327</v>
      </c>
      <c r="I2003" s="6">
        <v>526.6875</v>
      </c>
      <c r="J2003" s="2">
        <f t="shared" si="31"/>
        <v>43747.591782303243</v>
      </c>
    </row>
    <row r="2004" spans="1:10" x14ac:dyDescent="0.25">
      <c r="A2004" s="7" t="s">
        <v>4328</v>
      </c>
      <c r="B2004" s="8">
        <v>393.75</v>
      </c>
      <c r="C2004" s="8">
        <v>20.584240000000001</v>
      </c>
      <c r="D2004" s="8">
        <v>43</v>
      </c>
      <c r="E2004" s="8">
        <v>0</v>
      </c>
      <c r="F2004" s="8">
        <v>0</v>
      </c>
      <c r="G2004" s="8">
        <v>16</v>
      </c>
      <c r="H2004" s="8" t="s">
        <v>4329</v>
      </c>
      <c r="I2004" s="8">
        <v>526.6875</v>
      </c>
      <c r="J2004" s="3">
        <f t="shared" si="31"/>
        <v>43747.59185394676</v>
      </c>
    </row>
    <row r="2005" spans="1:10" x14ac:dyDescent="0.25">
      <c r="A2005" s="5" t="s">
        <v>4330</v>
      </c>
      <c r="B2005" s="6">
        <v>393.75</v>
      </c>
      <c r="C2005" s="6">
        <v>20.584240000000001</v>
      </c>
      <c r="D2005" s="6">
        <v>44</v>
      </c>
      <c r="E2005" s="6">
        <v>0</v>
      </c>
      <c r="F2005" s="6">
        <v>0</v>
      </c>
      <c r="G2005" s="6">
        <v>13</v>
      </c>
      <c r="H2005" s="6" t="s">
        <v>4331</v>
      </c>
      <c r="I2005" s="6">
        <v>526.6875</v>
      </c>
      <c r="J2005" s="2">
        <f t="shared" si="31"/>
        <v>43747.591938796293</v>
      </c>
    </row>
    <row r="2006" spans="1:10" x14ac:dyDescent="0.25">
      <c r="A2006" s="7" t="s">
        <v>4332</v>
      </c>
      <c r="B2006" s="8">
        <v>393.75</v>
      </c>
      <c r="C2006" s="8">
        <v>20.584240000000001</v>
      </c>
      <c r="D2006" s="8">
        <v>44</v>
      </c>
      <c r="E2006" s="8">
        <v>0</v>
      </c>
      <c r="F2006" s="8">
        <v>0</v>
      </c>
      <c r="G2006" s="8">
        <v>5</v>
      </c>
      <c r="H2006" s="8" t="s">
        <v>4333</v>
      </c>
      <c r="I2006" s="8">
        <v>526.6875</v>
      </c>
      <c r="J2006" s="3">
        <f t="shared" si="31"/>
        <v>43747.592021168981</v>
      </c>
    </row>
    <row r="2007" spans="1:10" x14ac:dyDescent="0.25">
      <c r="A2007" s="5" t="s">
        <v>4334</v>
      </c>
      <c r="B2007" s="6">
        <v>393.75</v>
      </c>
      <c r="C2007" s="6">
        <v>20.584240000000001</v>
      </c>
      <c r="D2007" s="6">
        <v>44</v>
      </c>
      <c r="E2007" s="6">
        <v>0</v>
      </c>
      <c r="F2007" s="6">
        <v>0</v>
      </c>
      <c r="G2007" s="6">
        <v>5</v>
      </c>
      <c r="H2007" s="6" t="s">
        <v>4335</v>
      </c>
      <c r="I2007" s="6">
        <v>526.6875</v>
      </c>
      <c r="J2007" s="2">
        <f t="shared" si="31"/>
        <v>43747.592116562497</v>
      </c>
    </row>
    <row r="2008" spans="1:10" x14ac:dyDescent="0.25">
      <c r="A2008" s="7" t="s">
        <v>4336</v>
      </c>
      <c r="B2008" s="8">
        <v>393.75</v>
      </c>
      <c r="C2008" s="8">
        <v>20.584240000000001</v>
      </c>
      <c r="D2008" s="8">
        <v>44</v>
      </c>
      <c r="E2008" s="8">
        <v>0</v>
      </c>
      <c r="F2008" s="8">
        <v>0</v>
      </c>
      <c r="G2008" s="8">
        <v>11</v>
      </c>
      <c r="H2008" s="8" t="s">
        <v>4337</v>
      </c>
      <c r="I2008" s="8">
        <v>526.6875</v>
      </c>
      <c r="J2008" s="3">
        <f t="shared" si="31"/>
        <v>43747.592188078699</v>
      </c>
    </row>
    <row r="2009" spans="1:10" x14ac:dyDescent="0.25">
      <c r="A2009" s="5" t="s">
        <v>4338</v>
      </c>
      <c r="B2009" s="6">
        <v>393.75</v>
      </c>
      <c r="C2009" s="6">
        <v>20.584240000000001</v>
      </c>
      <c r="D2009" s="6">
        <v>43</v>
      </c>
      <c r="E2009" s="6">
        <v>0</v>
      </c>
      <c r="F2009" s="6">
        <v>0</v>
      </c>
      <c r="G2009" s="6">
        <v>14</v>
      </c>
      <c r="H2009" s="6" t="s">
        <v>4339</v>
      </c>
      <c r="I2009" s="6">
        <v>526.6875</v>
      </c>
      <c r="J2009" s="2">
        <f t="shared" si="31"/>
        <v>43747.592271192123</v>
      </c>
    </row>
    <row r="2010" spans="1:10" x14ac:dyDescent="0.25">
      <c r="A2010" s="7" t="s">
        <v>4340</v>
      </c>
      <c r="B2010" s="8">
        <v>393.75</v>
      </c>
      <c r="C2010" s="8">
        <v>20.584240000000001</v>
      </c>
      <c r="D2010" s="8">
        <v>43</v>
      </c>
      <c r="E2010" s="8">
        <v>0</v>
      </c>
      <c r="F2010" s="8">
        <v>0</v>
      </c>
      <c r="G2010" s="8">
        <v>7</v>
      </c>
      <c r="H2010" s="8" t="s">
        <v>4341</v>
      </c>
      <c r="I2010" s="8">
        <v>526.5</v>
      </c>
      <c r="J2010" s="3">
        <f t="shared" si="31"/>
        <v>43747.592342488424</v>
      </c>
    </row>
    <row r="2011" spans="1:10" x14ac:dyDescent="0.25">
      <c r="A2011" s="5" t="s">
        <v>4342</v>
      </c>
      <c r="B2011" s="6">
        <v>393.75</v>
      </c>
      <c r="C2011" s="6">
        <v>20.584240000000001</v>
      </c>
      <c r="D2011" s="6">
        <v>40</v>
      </c>
      <c r="E2011" s="6">
        <v>0</v>
      </c>
      <c r="F2011" s="6">
        <v>0</v>
      </c>
      <c r="G2011" s="6">
        <v>12</v>
      </c>
      <c r="H2011" s="6" t="s">
        <v>4343</v>
      </c>
      <c r="I2011" s="6">
        <v>526.6875</v>
      </c>
      <c r="J2011" s="2">
        <f t="shared" si="31"/>
        <v>43747.592414699073</v>
      </c>
    </row>
    <row r="2012" spans="1:10" x14ac:dyDescent="0.25">
      <c r="A2012" s="7" t="s">
        <v>4344</v>
      </c>
      <c r="B2012" s="8">
        <v>412.5</v>
      </c>
      <c r="C2012" s="8">
        <v>20.584240000000001</v>
      </c>
      <c r="D2012" s="8">
        <v>40</v>
      </c>
      <c r="E2012" s="8">
        <v>0</v>
      </c>
      <c r="F2012" s="8">
        <v>0</v>
      </c>
      <c r="G2012" s="8">
        <v>4</v>
      </c>
      <c r="H2012" s="8" t="s">
        <v>4345</v>
      </c>
      <c r="I2012" s="8">
        <v>532.875</v>
      </c>
      <c r="J2012" s="3">
        <f t="shared" si="31"/>
        <v>43747.592485995367</v>
      </c>
    </row>
    <row r="2013" spans="1:10" x14ac:dyDescent="0.25">
      <c r="A2013" s="5" t="s">
        <v>4346</v>
      </c>
      <c r="B2013" s="6">
        <v>393.75</v>
      </c>
      <c r="C2013" s="6">
        <v>20.584240000000001</v>
      </c>
      <c r="D2013" s="6">
        <v>40</v>
      </c>
      <c r="E2013" s="6">
        <v>0</v>
      </c>
      <c r="F2013" s="6">
        <v>0</v>
      </c>
      <c r="G2013" s="6">
        <v>13</v>
      </c>
      <c r="H2013" s="6" t="s">
        <v>4347</v>
      </c>
      <c r="I2013" s="6">
        <v>526.6875</v>
      </c>
      <c r="J2013" s="2">
        <f t="shared" si="31"/>
        <v>43747.59255765046</v>
      </c>
    </row>
    <row r="2014" spans="1:10" x14ac:dyDescent="0.25">
      <c r="A2014" s="7" t="s">
        <v>4348</v>
      </c>
      <c r="B2014" s="8">
        <v>393.75</v>
      </c>
      <c r="C2014" s="8">
        <v>20.584240000000001</v>
      </c>
      <c r="D2014" s="8">
        <v>42</v>
      </c>
      <c r="E2014" s="8">
        <v>0</v>
      </c>
      <c r="F2014" s="8">
        <v>0</v>
      </c>
      <c r="G2014" s="8">
        <v>1</v>
      </c>
      <c r="H2014" s="8" t="s">
        <v>4349</v>
      </c>
      <c r="I2014" s="8">
        <v>526.6875</v>
      </c>
      <c r="J2014" s="3">
        <f t="shared" si="31"/>
        <v>43747.592641215277</v>
      </c>
    </row>
    <row r="2015" spans="1:10" x14ac:dyDescent="0.25">
      <c r="A2015" s="5" t="s">
        <v>4350</v>
      </c>
      <c r="B2015" s="6">
        <v>393.75</v>
      </c>
      <c r="C2015" s="6">
        <v>20.584240000000001</v>
      </c>
      <c r="D2015" s="6">
        <v>41</v>
      </c>
      <c r="E2015" s="6">
        <v>0</v>
      </c>
      <c r="F2015" s="6">
        <v>0</v>
      </c>
      <c r="G2015" s="6">
        <v>0</v>
      </c>
      <c r="H2015" s="6" t="s">
        <v>4351</v>
      </c>
      <c r="I2015" s="6">
        <v>526.6875</v>
      </c>
      <c r="J2015" s="2">
        <f t="shared" si="31"/>
        <v>43747.592724780094</v>
      </c>
    </row>
    <row r="2016" spans="1:10" x14ac:dyDescent="0.25">
      <c r="A2016" s="7" t="s">
        <v>4352</v>
      </c>
      <c r="B2016" s="8">
        <v>393.75</v>
      </c>
      <c r="C2016" s="8">
        <v>20.584240000000001</v>
      </c>
      <c r="D2016" s="8">
        <v>41</v>
      </c>
      <c r="E2016" s="8">
        <v>0</v>
      </c>
      <c r="F2016" s="8">
        <v>0</v>
      </c>
      <c r="G2016" s="8">
        <v>0</v>
      </c>
      <c r="H2016" s="8" t="s">
        <v>4353</v>
      </c>
      <c r="I2016" s="8">
        <v>526.6875</v>
      </c>
      <c r="J2016" s="3">
        <f t="shared" si="31"/>
        <v>43747.592808229165</v>
      </c>
    </row>
    <row r="2017" spans="1:10" x14ac:dyDescent="0.25">
      <c r="A2017" s="5" t="s">
        <v>4354</v>
      </c>
      <c r="B2017" s="6">
        <v>412.5</v>
      </c>
      <c r="C2017" s="6">
        <v>20.584240000000001</v>
      </c>
      <c r="D2017" s="6">
        <v>42</v>
      </c>
      <c r="E2017" s="6">
        <v>0</v>
      </c>
      <c r="F2017" s="6">
        <v>0</v>
      </c>
      <c r="G2017" s="6">
        <v>5</v>
      </c>
      <c r="H2017" s="6" t="s">
        <v>4355</v>
      </c>
      <c r="I2017" s="6">
        <v>532.3125</v>
      </c>
      <c r="J2017" s="2">
        <f t="shared" si="31"/>
        <v>43747.592903611112</v>
      </c>
    </row>
    <row r="2018" spans="1:10" x14ac:dyDescent="0.25">
      <c r="A2018" s="7" t="s">
        <v>4356</v>
      </c>
      <c r="B2018" s="8">
        <v>393.75</v>
      </c>
      <c r="C2018" s="8">
        <v>20.584240000000001</v>
      </c>
      <c r="D2018" s="8">
        <v>42</v>
      </c>
      <c r="E2018" s="8">
        <v>0</v>
      </c>
      <c r="F2018" s="8">
        <v>0</v>
      </c>
      <c r="G2018" s="8">
        <v>9</v>
      </c>
      <c r="H2018" s="8" t="s">
        <v>4357</v>
      </c>
      <c r="I2018" s="8">
        <v>526.6875</v>
      </c>
      <c r="J2018" s="3">
        <f t="shared" si="31"/>
        <v>43747.592987060183</v>
      </c>
    </row>
    <row r="2019" spans="1:10" x14ac:dyDescent="0.25">
      <c r="A2019" s="5" t="s">
        <v>4358</v>
      </c>
      <c r="B2019" s="6">
        <v>393.75</v>
      </c>
      <c r="C2019" s="6">
        <v>20.584240000000001</v>
      </c>
      <c r="D2019" s="6">
        <v>42</v>
      </c>
      <c r="E2019" s="6">
        <v>0</v>
      </c>
      <c r="F2019" s="6">
        <v>0</v>
      </c>
      <c r="G2019" s="6">
        <v>7</v>
      </c>
      <c r="H2019" s="6" t="s">
        <v>4359</v>
      </c>
      <c r="I2019" s="6">
        <v>526.6875</v>
      </c>
      <c r="J2019" s="2">
        <f t="shared" si="31"/>
        <v>43747.593070590279</v>
      </c>
    </row>
    <row r="2020" spans="1:10" x14ac:dyDescent="0.25">
      <c r="A2020" s="7" t="s">
        <v>4360</v>
      </c>
      <c r="B2020" s="8">
        <v>393.75</v>
      </c>
      <c r="C2020" s="8">
        <v>20.584240000000001</v>
      </c>
      <c r="D2020" s="8">
        <v>42</v>
      </c>
      <c r="E2020" s="8">
        <v>0</v>
      </c>
      <c r="F2020" s="8">
        <v>0</v>
      </c>
      <c r="G2020" s="8">
        <v>18</v>
      </c>
      <c r="H2020" s="8" t="s">
        <v>4361</v>
      </c>
      <c r="I2020" s="8">
        <v>526.6875</v>
      </c>
      <c r="J2020" s="3">
        <f t="shared" si="31"/>
        <v>43747.593153946757</v>
      </c>
    </row>
    <row r="2021" spans="1:10" x14ac:dyDescent="0.25">
      <c r="A2021" s="5" t="s">
        <v>4362</v>
      </c>
      <c r="B2021" s="6">
        <v>393.75</v>
      </c>
      <c r="C2021" s="6">
        <v>20.584240000000001</v>
      </c>
      <c r="D2021" s="6">
        <v>43</v>
      </c>
      <c r="E2021" s="6">
        <v>0</v>
      </c>
      <c r="F2021" s="6">
        <v>0</v>
      </c>
      <c r="G2021" s="6">
        <v>8</v>
      </c>
      <c r="H2021" s="6" t="s">
        <v>4363</v>
      </c>
      <c r="I2021" s="6">
        <v>526.6875</v>
      </c>
      <c r="J2021" s="2">
        <f t="shared" si="31"/>
        <v>43747.593247534714</v>
      </c>
    </row>
    <row r="2022" spans="1:10" x14ac:dyDescent="0.25">
      <c r="A2022" s="7" t="s">
        <v>4364</v>
      </c>
      <c r="B2022" s="8">
        <v>393.75</v>
      </c>
      <c r="C2022" s="8">
        <v>20.584240000000001</v>
      </c>
      <c r="D2022" s="8">
        <v>43</v>
      </c>
      <c r="E2022" s="8">
        <v>0</v>
      </c>
      <c r="F2022" s="8">
        <v>0</v>
      </c>
      <c r="G2022" s="8">
        <v>13</v>
      </c>
      <c r="H2022" s="8" t="s">
        <v>4365</v>
      </c>
      <c r="I2022" s="8">
        <v>526.6875</v>
      </c>
      <c r="J2022" s="3">
        <f t="shared" si="31"/>
        <v>43747.593320613429</v>
      </c>
    </row>
    <row r="2023" spans="1:10" x14ac:dyDescent="0.25">
      <c r="A2023" s="5" t="s">
        <v>4366</v>
      </c>
      <c r="B2023" s="6">
        <v>393.75</v>
      </c>
      <c r="C2023" s="6">
        <v>20.584240000000001</v>
      </c>
      <c r="D2023" s="6">
        <v>43</v>
      </c>
      <c r="E2023" s="6">
        <v>0</v>
      </c>
      <c r="F2023" s="6">
        <v>0</v>
      </c>
      <c r="G2023" s="6">
        <v>6</v>
      </c>
      <c r="H2023" s="6" t="s">
        <v>4367</v>
      </c>
      <c r="I2023" s="6">
        <v>526.6875</v>
      </c>
      <c r="J2023" s="2">
        <f t="shared" si="31"/>
        <v>43747.59340450231</v>
      </c>
    </row>
    <row r="2024" spans="1:10" x14ac:dyDescent="0.25">
      <c r="A2024" s="7" t="s">
        <v>4368</v>
      </c>
      <c r="B2024" s="8">
        <v>412.5</v>
      </c>
      <c r="C2024" s="8">
        <v>20.584240000000001</v>
      </c>
      <c r="D2024" s="8">
        <v>43</v>
      </c>
      <c r="E2024" s="8">
        <v>0</v>
      </c>
      <c r="F2024" s="8">
        <v>0</v>
      </c>
      <c r="G2024" s="8">
        <v>12</v>
      </c>
      <c r="H2024" s="8" t="s">
        <v>4369</v>
      </c>
      <c r="I2024" s="8">
        <v>532.3125</v>
      </c>
      <c r="J2024" s="3">
        <f t="shared" si="31"/>
        <v>43747.593487847218</v>
      </c>
    </row>
    <row r="2025" spans="1:10" x14ac:dyDescent="0.25">
      <c r="A2025" s="5" t="s">
        <v>4370</v>
      </c>
      <c r="B2025" s="6">
        <v>393.75</v>
      </c>
      <c r="C2025" s="6">
        <v>20.584240000000001</v>
      </c>
      <c r="D2025" s="6">
        <v>43</v>
      </c>
      <c r="E2025" s="6">
        <v>0</v>
      </c>
      <c r="F2025" s="6">
        <v>0</v>
      </c>
      <c r="G2025" s="6">
        <v>8</v>
      </c>
      <c r="H2025" s="6" t="s">
        <v>4371</v>
      </c>
      <c r="I2025" s="6">
        <v>526.6875</v>
      </c>
      <c r="J2025" s="2">
        <f t="shared" si="31"/>
        <v>43747.593571180558</v>
      </c>
    </row>
    <row r="2026" spans="1:10" x14ac:dyDescent="0.25">
      <c r="A2026" s="7" t="s">
        <v>4372</v>
      </c>
      <c r="B2026" s="8">
        <v>393.75</v>
      </c>
      <c r="C2026" s="8">
        <v>20.584240000000001</v>
      </c>
      <c r="D2026" s="8">
        <v>43</v>
      </c>
      <c r="E2026" s="8">
        <v>0</v>
      </c>
      <c r="F2026" s="8">
        <v>0</v>
      </c>
      <c r="G2026" s="8">
        <v>20</v>
      </c>
      <c r="H2026" s="8" t="s">
        <v>4373</v>
      </c>
      <c r="I2026" s="8">
        <v>526.6875</v>
      </c>
      <c r="J2026" s="3">
        <f t="shared" si="31"/>
        <v>43747.59366677083</v>
      </c>
    </row>
    <row r="2027" spans="1:10" x14ac:dyDescent="0.25">
      <c r="A2027" s="5" t="s">
        <v>4374</v>
      </c>
      <c r="B2027" s="6">
        <v>393.75</v>
      </c>
      <c r="C2027" s="6">
        <v>20.584240000000001</v>
      </c>
      <c r="D2027" s="6">
        <v>43</v>
      </c>
      <c r="E2027" s="6">
        <v>0</v>
      </c>
      <c r="F2027" s="6">
        <v>0</v>
      </c>
      <c r="G2027" s="6">
        <v>14</v>
      </c>
      <c r="H2027" s="6" t="s">
        <v>4375</v>
      </c>
      <c r="I2027" s="6">
        <v>526.6875</v>
      </c>
      <c r="J2027" s="2">
        <f t="shared" si="31"/>
        <v>43747.593750208332</v>
      </c>
    </row>
    <row r="2028" spans="1:10" x14ac:dyDescent="0.25">
      <c r="A2028" s="7" t="s">
        <v>4376</v>
      </c>
      <c r="B2028" s="8">
        <v>412.5</v>
      </c>
      <c r="C2028" s="8">
        <v>20.584240000000001</v>
      </c>
      <c r="D2028" s="8">
        <v>43</v>
      </c>
      <c r="E2028" s="8">
        <v>0</v>
      </c>
      <c r="F2028" s="8">
        <v>0</v>
      </c>
      <c r="G2028" s="8">
        <v>8</v>
      </c>
      <c r="H2028" s="8" t="s">
        <v>4377</v>
      </c>
      <c r="I2028" s="8">
        <v>532.6875</v>
      </c>
      <c r="J2028" s="3">
        <f t="shared" si="31"/>
        <v>43747.593833900457</v>
      </c>
    </row>
    <row r="2029" spans="1:10" x14ac:dyDescent="0.25">
      <c r="A2029" s="5" t="s">
        <v>4378</v>
      </c>
      <c r="B2029" s="6">
        <v>393.75</v>
      </c>
      <c r="C2029" s="6">
        <v>20.584240000000001</v>
      </c>
      <c r="D2029" s="6">
        <v>43</v>
      </c>
      <c r="E2029" s="6">
        <v>0</v>
      </c>
      <c r="F2029" s="6">
        <v>0</v>
      </c>
      <c r="G2029" s="6">
        <v>10</v>
      </c>
      <c r="H2029" s="6" t="s">
        <v>4379</v>
      </c>
      <c r="I2029" s="6">
        <v>526.6875</v>
      </c>
      <c r="J2029" s="2">
        <f t="shared" si="31"/>
        <v>43747.593917094906</v>
      </c>
    </row>
    <row r="2030" spans="1:10" x14ac:dyDescent="0.25">
      <c r="A2030" s="7" t="s">
        <v>4380</v>
      </c>
      <c r="B2030" s="8">
        <v>393.75</v>
      </c>
      <c r="C2030" s="8">
        <v>20.584240000000001</v>
      </c>
      <c r="D2030" s="8">
        <v>41</v>
      </c>
      <c r="E2030" s="8">
        <v>0</v>
      </c>
      <c r="F2030" s="8">
        <v>0</v>
      </c>
      <c r="G2030" s="8">
        <v>9</v>
      </c>
      <c r="H2030" s="8" t="s">
        <v>4381</v>
      </c>
      <c r="I2030" s="8">
        <v>526.6875</v>
      </c>
      <c r="J2030" s="3">
        <f t="shared" si="31"/>
        <v>43747.594000810182</v>
      </c>
    </row>
    <row r="2031" spans="1:10" x14ac:dyDescent="0.25">
      <c r="A2031" s="5" t="s">
        <v>4382</v>
      </c>
      <c r="B2031" s="6">
        <v>393.75</v>
      </c>
      <c r="C2031" s="6">
        <v>20.584240000000001</v>
      </c>
      <c r="D2031" s="6">
        <v>41</v>
      </c>
      <c r="E2031" s="6">
        <v>0</v>
      </c>
      <c r="F2031" s="6">
        <v>0</v>
      </c>
      <c r="G2031" s="6">
        <v>15</v>
      </c>
      <c r="H2031" s="6" t="s">
        <v>4383</v>
      </c>
      <c r="I2031" s="6">
        <v>526.6875</v>
      </c>
      <c r="J2031" s="2">
        <f t="shared" si="31"/>
        <v>43747.594084120363</v>
      </c>
    </row>
    <row r="2032" spans="1:10" x14ac:dyDescent="0.25">
      <c r="A2032" s="7" t="s">
        <v>4384</v>
      </c>
      <c r="B2032" s="8">
        <v>393.75</v>
      </c>
      <c r="C2032" s="8">
        <v>20.584240000000001</v>
      </c>
      <c r="D2032" s="8">
        <v>41</v>
      </c>
      <c r="E2032" s="8">
        <v>0</v>
      </c>
      <c r="F2032" s="8">
        <v>0</v>
      </c>
      <c r="G2032" s="8">
        <v>7</v>
      </c>
      <c r="H2032" s="8" t="s">
        <v>4385</v>
      </c>
      <c r="I2032" s="8">
        <v>526.6875</v>
      </c>
      <c r="J2032" s="3">
        <f t="shared" si="31"/>
        <v>43747.594167453703</v>
      </c>
    </row>
    <row r="2033" spans="1:10" x14ac:dyDescent="0.25">
      <c r="A2033" s="5" t="s">
        <v>4386</v>
      </c>
      <c r="B2033" s="6">
        <v>393.75</v>
      </c>
      <c r="C2033" s="6">
        <v>20.584240000000001</v>
      </c>
      <c r="D2033" s="6">
        <v>42</v>
      </c>
      <c r="E2033" s="6">
        <v>0</v>
      </c>
      <c r="F2033" s="6">
        <v>0</v>
      </c>
      <c r="G2033" s="6">
        <v>12</v>
      </c>
      <c r="H2033" s="6" t="s">
        <v>4387</v>
      </c>
      <c r="I2033" s="6">
        <v>526.6875</v>
      </c>
      <c r="J2033" s="2">
        <f t="shared" si="31"/>
        <v>43747.594251134258</v>
      </c>
    </row>
    <row r="2034" spans="1:10" x14ac:dyDescent="0.25">
      <c r="A2034" s="7" t="s">
        <v>4388</v>
      </c>
      <c r="B2034" s="8">
        <v>393.75</v>
      </c>
      <c r="C2034" s="8">
        <v>20.584240000000001</v>
      </c>
      <c r="D2034" s="8">
        <v>42</v>
      </c>
      <c r="E2034" s="8">
        <v>0</v>
      </c>
      <c r="F2034" s="8">
        <v>0</v>
      </c>
      <c r="G2034" s="8">
        <v>6</v>
      </c>
      <c r="H2034" s="8" t="s">
        <v>4389</v>
      </c>
      <c r="I2034" s="8">
        <v>526.6875</v>
      </c>
      <c r="J2034" s="3">
        <f t="shared" si="31"/>
        <v>43747.594346527774</v>
      </c>
    </row>
    <row r="2035" spans="1:10" x14ac:dyDescent="0.25">
      <c r="A2035" s="5" t="s">
        <v>4390</v>
      </c>
      <c r="B2035" s="6">
        <v>393.75</v>
      </c>
      <c r="C2035" s="6">
        <v>20.584240000000001</v>
      </c>
      <c r="D2035" s="6">
        <v>43</v>
      </c>
      <c r="E2035" s="6">
        <v>0</v>
      </c>
      <c r="F2035" s="6">
        <v>0</v>
      </c>
      <c r="G2035" s="6">
        <v>0</v>
      </c>
      <c r="H2035" s="6" t="s">
        <v>4391</v>
      </c>
      <c r="I2035" s="6">
        <v>526.6875</v>
      </c>
      <c r="J2035" s="2">
        <f t="shared" si="31"/>
        <v>43747.5944299537</v>
      </c>
    </row>
    <row r="2036" spans="1:10" x14ac:dyDescent="0.25">
      <c r="A2036" s="7" t="s">
        <v>4392</v>
      </c>
      <c r="B2036" s="8">
        <v>393.75</v>
      </c>
      <c r="C2036" s="8">
        <v>20.584240000000001</v>
      </c>
      <c r="D2036" s="8">
        <v>43</v>
      </c>
      <c r="E2036" s="8">
        <v>0</v>
      </c>
      <c r="F2036" s="8">
        <v>0</v>
      </c>
      <c r="G2036" s="8">
        <v>11</v>
      </c>
      <c r="H2036" s="8" t="s">
        <v>4393</v>
      </c>
      <c r="I2036" s="8">
        <v>526.6875</v>
      </c>
      <c r="J2036" s="3">
        <f t="shared" si="31"/>
        <v>43747.594513425924</v>
      </c>
    </row>
    <row r="2037" spans="1:10" x14ac:dyDescent="0.25">
      <c r="A2037" s="5" t="s">
        <v>4394</v>
      </c>
      <c r="B2037" s="6">
        <v>393.75</v>
      </c>
      <c r="C2037" s="6">
        <v>20.584240000000001</v>
      </c>
      <c r="D2037" s="6">
        <v>44</v>
      </c>
      <c r="E2037" s="6">
        <v>0</v>
      </c>
      <c r="F2037" s="6">
        <v>0</v>
      </c>
      <c r="G2037" s="6">
        <v>4</v>
      </c>
      <c r="H2037" s="6" t="s">
        <v>4395</v>
      </c>
      <c r="I2037" s="6">
        <v>526.6875</v>
      </c>
      <c r="J2037" s="2">
        <f t="shared" si="31"/>
        <v>43747.594597083335</v>
      </c>
    </row>
    <row r="2038" spans="1:10" x14ac:dyDescent="0.25">
      <c r="A2038" s="7" t="s">
        <v>4396</v>
      </c>
      <c r="B2038" s="8">
        <v>393.75</v>
      </c>
      <c r="C2038" s="8">
        <v>20.584240000000001</v>
      </c>
      <c r="D2038" s="8">
        <v>43</v>
      </c>
      <c r="E2038" s="8">
        <v>0</v>
      </c>
      <c r="F2038" s="8">
        <v>0</v>
      </c>
      <c r="G2038" s="8">
        <v>5</v>
      </c>
      <c r="H2038" s="8" t="s">
        <v>4397</v>
      </c>
      <c r="I2038" s="8">
        <v>526.6875</v>
      </c>
      <c r="J2038" s="3">
        <f t="shared" si="31"/>
        <v>43747.594680324073</v>
      </c>
    </row>
    <row r="2039" spans="1:10" x14ac:dyDescent="0.25">
      <c r="A2039" s="5" t="s">
        <v>4398</v>
      </c>
      <c r="B2039" s="6">
        <v>415.625</v>
      </c>
      <c r="C2039" s="6">
        <v>20.584240000000001</v>
      </c>
      <c r="D2039" s="6">
        <v>43</v>
      </c>
      <c r="E2039" s="6">
        <v>0</v>
      </c>
      <c r="F2039" s="6">
        <v>0</v>
      </c>
      <c r="G2039" s="6">
        <v>7</v>
      </c>
      <c r="H2039" s="6" t="s">
        <v>4399</v>
      </c>
      <c r="I2039" s="6">
        <v>533.8125</v>
      </c>
      <c r="J2039" s="2">
        <f t="shared" si="31"/>
        <v>43747.594763761568</v>
      </c>
    </row>
    <row r="2040" spans="1:10" x14ac:dyDescent="0.25">
      <c r="A2040" s="7" t="s">
        <v>4400</v>
      </c>
      <c r="B2040" s="8">
        <v>393.75</v>
      </c>
      <c r="C2040" s="8">
        <v>20.584240000000001</v>
      </c>
      <c r="D2040" s="8">
        <v>43</v>
      </c>
      <c r="E2040" s="8">
        <v>0</v>
      </c>
      <c r="F2040" s="8">
        <v>0</v>
      </c>
      <c r="G2040" s="8">
        <v>0</v>
      </c>
      <c r="H2040" s="8" t="s">
        <v>4401</v>
      </c>
      <c r="I2040" s="8">
        <v>526.6875</v>
      </c>
      <c r="J2040" s="3">
        <f t="shared" si="31"/>
        <v>43747.594847314809</v>
      </c>
    </row>
    <row r="2041" spans="1:10" x14ac:dyDescent="0.25">
      <c r="A2041" s="5" t="s">
        <v>4402</v>
      </c>
      <c r="B2041" s="6">
        <v>393.75</v>
      </c>
      <c r="C2041" s="6">
        <v>20.584240000000001</v>
      </c>
      <c r="D2041" s="6">
        <v>42</v>
      </c>
      <c r="E2041" s="6">
        <v>0</v>
      </c>
      <c r="F2041" s="6">
        <v>0</v>
      </c>
      <c r="G2041" s="6">
        <v>1</v>
      </c>
      <c r="H2041" s="6" t="s">
        <v>4403</v>
      </c>
      <c r="I2041" s="6">
        <v>526.6875</v>
      </c>
      <c r="J2041" s="2">
        <f t="shared" si="31"/>
        <v>43747.594930416664</v>
      </c>
    </row>
    <row r="2042" spans="1:10" x14ac:dyDescent="0.25">
      <c r="A2042" s="7" t="s">
        <v>4404</v>
      </c>
      <c r="B2042" s="8">
        <v>393.75</v>
      </c>
      <c r="C2042" s="8">
        <v>20.584240000000001</v>
      </c>
      <c r="D2042" s="8">
        <v>39</v>
      </c>
      <c r="E2042" s="8">
        <v>0</v>
      </c>
      <c r="F2042" s="8">
        <v>0</v>
      </c>
      <c r="G2042" s="8">
        <v>12</v>
      </c>
      <c r="H2042" s="8" t="s">
        <v>4405</v>
      </c>
      <c r="I2042" s="8">
        <v>526.6875</v>
      </c>
      <c r="J2042" s="3">
        <f t="shared" si="31"/>
        <v>43747.595026134259</v>
      </c>
    </row>
    <row r="2043" spans="1:10" x14ac:dyDescent="0.25">
      <c r="A2043" s="5" t="s">
        <v>4406</v>
      </c>
      <c r="B2043" s="6">
        <v>393.75</v>
      </c>
      <c r="C2043" s="6">
        <v>20.584240000000001</v>
      </c>
      <c r="D2043" s="6">
        <v>38</v>
      </c>
      <c r="E2043" s="6">
        <v>0</v>
      </c>
      <c r="F2043" s="6">
        <v>0</v>
      </c>
      <c r="G2043" s="6">
        <v>6</v>
      </c>
      <c r="H2043" s="6" t="s">
        <v>4407</v>
      </c>
      <c r="I2043" s="6">
        <v>526.6875</v>
      </c>
      <c r="J2043" s="2">
        <f t="shared" si="31"/>
        <v>43747.595109699068</v>
      </c>
    </row>
    <row r="2044" spans="1:10" x14ac:dyDescent="0.25">
      <c r="A2044" s="7" t="s">
        <v>4408</v>
      </c>
      <c r="B2044" s="8">
        <v>393.75</v>
      </c>
      <c r="C2044" s="8">
        <v>20.584240000000001</v>
      </c>
      <c r="D2044" s="8">
        <v>38</v>
      </c>
      <c r="E2044" s="8">
        <v>0</v>
      </c>
      <c r="F2044" s="8">
        <v>0</v>
      </c>
      <c r="G2044" s="8">
        <v>8</v>
      </c>
      <c r="H2044" s="8" t="s">
        <v>4409</v>
      </c>
      <c r="I2044" s="8">
        <v>526.6875</v>
      </c>
      <c r="J2044" s="3">
        <f t="shared" si="31"/>
        <v>43747.595193159716</v>
      </c>
    </row>
    <row r="2045" spans="1:10" x14ac:dyDescent="0.25">
      <c r="A2045" s="5" t="s">
        <v>4410</v>
      </c>
      <c r="B2045" s="6">
        <v>393.75</v>
      </c>
      <c r="C2045" s="6">
        <v>20.584240000000001</v>
      </c>
      <c r="D2045" s="6">
        <v>42</v>
      </c>
      <c r="E2045" s="6">
        <v>0</v>
      </c>
      <c r="F2045" s="6">
        <v>0</v>
      </c>
      <c r="G2045" s="6">
        <v>12</v>
      </c>
      <c r="H2045" s="6" t="s">
        <v>4411</v>
      </c>
      <c r="I2045" s="6">
        <v>526.6875</v>
      </c>
      <c r="J2045" s="2">
        <f t="shared" si="31"/>
        <v>43747.595276597225</v>
      </c>
    </row>
    <row r="2046" spans="1:10" x14ac:dyDescent="0.25">
      <c r="A2046" s="7" t="s">
        <v>4412</v>
      </c>
      <c r="B2046" s="8">
        <v>393.75</v>
      </c>
      <c r="C2046" s="8">
        <v>20.584240000000001</v>
      </c>
      <c r="D2046" s="8">
        <v>42</v>
      </c>
      <c r="E2046" s="8">
        <v>0</v>
      </c>
      <c r="F2046" s="8">
        <v>0</v>
      </c>
      <c r="G2046" s="8">
        <v>14</v>
      </c>
      <c r="H2046" s="8" t="s">
        <v>4413</v>
      </c>
      <c r="I2046" s="8">
        <v>526.6875</v>
      </c>
      <c r="J2046" s="3">
        <f t="shared" si="31"/>
        <v>43747.595360069441</v>
      </c>
    </row>
    <row r="2047" spans="1:10" x14ac:dyDescent="0.25">
      <c r="A2047" s="5" t="s">
        <v>4414</v>
      </c>
      <c r="B2047" s="6">
        <v>393.75</v>
      </c>
      <c r="C2047" s="6">
        <v>20.584240000000001</v>
      </c>
      <c r="D2047" s="6">
        <v>41</v>
      </c>
      <c r="E2047" s="6">
        <v>0</v>
      </c>
      <c r="F2047" s="6">
        <v>0</v>
      </c>
      <c r="G2047" s="6">
        <v>3</v>
      </c>
      <c r="H2047" s="6" t="s">
        <v>4415</v>
      </c>
      <c r="I2047" s="6">
        <v>526.6875</v>
      </c>
      <c r="J2047" s="2">
        <f t="shared" si="31"/>
        <v>43747.595443634258</v>
      </c>
    </row>
    <row r="2048" spans="1:10" x14ac:dyDescent="0.25">
      <c r="A2048" s="7" t="s">
        <v>4416</v>
      </c>
      <c r="B2048" s="8">
        <v>393.75</v>
      </c>
      <c r="C2048" s="8">
        <v>20.584240000000001</v>
      </c>
      <c r="D2048" s="8">
        <v>42</v>
      </c>
      <c r="E2048" s="8">
        <v>0</v>
      </c>
      <c r="F2048" s="8">
        <v>0</v>
      </c>
      <c r="G2048" s="8">
        <v>7</v>
      </c>
      <c r="H2048" s="8" t="s">
        <v>4417</v>
      </c>
      <c r="I2048" s="8">
        <v>526.6875</v>
      </c>
      <c r="J2048" s="3">
        <f t="shared" si="31"/>
        <v>43747.595526736106</v>
      </c>
    </row>
    <row r="2049" spans="1:10" x14ac:dyDescent="0.25">
      <c r="A2049" s="5" t="s">
        <v>4418</v>
      </c>
      <c r="B2049" s="6">
        <v>393.75</v>
      </c>
      <c r="C2049" s="6">
        <v>20.584240000000001</v>
      </c>
      <c r="D2049" s="6">
        <v>42</v>
      </c>
      <c r="E2049" s="6">
        <v>0</v>
      </c>
      <c r="F2049" s="6">
        <v>0</v>
      </c>
      <c r="G2049" s="6">
        <v>11</v>
      </c>
      <c r="H2049" s="6" t="s">
        <v>4419</v>
      </c>
      <c r="I2049" s="6">
        <v>526.6875</v>
      </c>
      <c r="J2049" s="2">
        <f t="shared" si="31"/>
        <v>43747.595598368054</v>
      </c>
    </row>
    <row r="2050" spans="1:10" x14ac:dyDescent="0.25">
      <c r="A2050" s="7" t="s">
        <v>4420</v>
      </c>
      <c r="B2050" s="8">
        <v>393.75</v>
      </c>
      <c r="C2050" s="8">
        <v>20.584240000000001</v>
      </c>
      <c r="D2050" s="8">
        <v>42</v>
      </c>
      <c r="E2050" s="8">
        <v>0</v>
      </c>
      <c r="F2050" s="8">
        <v>0</v>
      </c>
      <c r="G2050" s="8">
        <v>14</v>
      </c>
      <c r="H2050" s="8" t="s">
        <v>4421</v>
      </c>
      <c r="I2050" s="8">
        <v>526.6875</v>
      </c>
      <c r="J2050" s="3">
        <f t="shared" ref="J2050:J2113" si="32">(H2050/86400000)+25569+(7/24)</f>
        <v>43747.595682384257</v>
      </c>
    </row>
    <row r="2051" spans="1:10" x14ac:dyDescent="0.25">
      <c r="A2051" s="5" t="s">
        <v>4422</v>
      </c>
      <c r="B2051" s="6">
        <v>393.75</v>
      </c>
      <c r="C2051" s="6">
        <v>20.584240000000001</v>
      </c>
      <c r="D2051" s="6">
        <v>41</v>
      </c>
      <c r="E2051" s="6">
        <v>0</v>
      </c>
      <c r="F2051" s="6">
        <v>0</v>
      </c>
      <c r="G2051" s="6">
        <v>12</v>
      </c>
      <c r="H2051" s="6" t="s">
        <v>4423</v>
      </c>
      <c r="I2051" s="6">
        <v>526.6875</v>
      </c>
      <c r="J2051" s="2">
        <f t="shared" si="32"/>
        <v>43747.595765625003</v>
      </c>
    </row>
    <row r="2052" spans="1:10" x14ac:dyDescent="0.25">
      <c r="A2052" s="7" t="s">
        <v>4424</v>
      </c>
      <c r="B2052" s="8">
        <v>393.75</v>
      </c>
      <c r="C2052" s="8">
        <v>20.584240000000001</v>
      </c>
      <c r="D2052" s="8">
        <v>41</v>
      </c>
      <c r="E2052" s="8">
        <v>0</v>
      </c>
      <c r="F2052" s="8">
        <v>0</v>
      </c>
      <c r="G2052" s="8">
        <v>11</v>
      </c>
      <c r="H2052" s="8" t="s">
        <v>4425</v>
      </c>
      <c r="I2052" s="8">
        <v>526.6875</v>
      </c>
      <c r="J2052" s="3">
        <f t="shared" si="32"/>
        <v>43747.595848969904</v>
      </c>
    </row>
    <row r="2053" spans="1:10" x14ac:dyDescent="0.25">
      <c r="A2053" s="5" t="s">
        <v>4426</v>
      </c>
      <c r="B2053" s="6">
        <v>412.5</v>
      </c>
      <c r="C2053" s="6">
        <v>20.584240000000001</v>
      </c>
      <c r="D2053" s="6">
        <v>42</v>
      </c>
      <c r="E2053" s="6">
        <v>0</v>
      </c>
      <c r="F2053" s="6">
        <v>0</v>
      </c>
      <c r="G2053" s="6">
        <v>4</v>
      </c>
      <c r="H2053" s="6" t="s">
        <v>4427</v>
      </c>
      <c r="I2053" s="6">
        <v>532.3125</v>
      </c>
      <c r="J2053" s="2">
        <f t="shared" si="32"/>
        <v>43747.595932523145</v>
      </c>
    </row>
    <row r="2054" spans="1:10" x14ac:dyDescent="0.25">
      <c r="A2054" s="7" t="s">
        <v>4428</v>
      </c>
      <c r="B2054" s="8">
        <v>393.75</v>
      </c>
      <c r="C2054" s="8">
        <v>20.584240000000001</v>
      </c>
      <c r="D2054" s="8">
        <v>41</v>
      </c>
      <c r="E2054" s="8">
        <v>0</v>
      </c>
      <c r="F2054" s="8">
        <v>0</v>
      </c>
      <c r="G2054" s="8">
        <v>5</v>
      </c>
      <c r="H2054" s="8" t="s">
        <v>4429</v>
      </c>
      <c r="I2054" s="8">
        <v>526.5</v>
      </c>
      <c r="J2054" s="3">
        <f t="shared" si="32"/>
        <v>43747.596015613424</v>
      </c>
    </row>
    <row r="2055" spans="1:10" x14ac:dyDescent="0.25">
      <c r="A2055" s="5" t="s">
        <v>4430</v>
      </c>
      <c r="B2055" s="6">
        <v>393.75</v>
      </c>
      <c r="C2055" s="6">
        <v>20.584240000000001</v>
      </c>
      <c r="D2055" s="6">
        <v>41</v>
      </c>
      <c r="E2055" s="6">
        <v>0</v>
      </c>
      <c r="F2055" s="6">
        <v>0</v>
      </c>
      <c r="G2055" s="6">
        <v>9</v>
      </c>
      <c r="H2055" s="6" t="s">
        <v>4431</v>
      </c>
      <c r="I2055" s="6">
        <v>526.5</v>
      </c>
      <c r="J2055" s="2">
        <f t="shared" si="32"/>
        <v>43747.596087245365</v>
      </c>
    </row>
    <row r="2056" spans="1:10" x14ac:dyDescent="0.25">
      <c r="A2056" s="7" t="s">
        <v>4432</v>
      </c>
      <c r="B2056" s="8">
        <v>393.75</v>
      </c>
      <c r="C2056" s="8">
        <v>20.584240000000001</v>
      </c>
      <c r="D2056" s="8">
        <v>40</v>
      </c>
      <c r="E2056" s="8">
        <v>0</v>
      </c>
      <c r="F2056" s="8">
        <v>0</v>
      </c>
      <c r="G2056" s="8">
        <v>4</v>
      </c>
      <c r="H2056" s="8" t="s">
        <v>4433</v>
      </c>
      <c r="I2056" s="8">
        <v>526.6875</v>
      </c>
      <c r="J2056" s="3">
        <f t="shared" si="32"/>
        <v>43747.596170925921</v>
      </c>
    </row>
    <row r="2057" spans="1:10" x14ac:dyDescent="0.25">
      <c r="A2057" s="5" t="s">
        <v>4434</v>
      </c>
      <c r="B2057" s="6">
        <v>393.75</v>
      </c>
      <c r="C2057" s="6">
        <v>20.531590000000001</v>
      </c>
      <c r="D2057" s="6">
        <v>41</v>
      </c>
      <c r="E2057" s="6">
        <v>0</v>
      </c>
      <c r="F2057" s="6">
        <v>0</v>
      </c>
      <c r="G2057" s="6">
        <v>8</v>
      </c>
      <c r="H2057" s="6" t="s">
        <v>4435</v>
      </c>
      <c r="I2057" s="6">
        <v>526.6875</v>
      </c>
      <c r="J2057" s="2">
        <f t="shared" si="32"/>
        <v>43747.59624259259</v>
      </c>
    </row>
    <row r="2058" spans="1:10" x14ac:dyDescent="0.25">
      <c r="A2058" s="7" t="s">
        <v>4436</v>
      </c>
      <c r="B2058" s="8">
        <v>393.75</v>
      </c>
      <c r="C2058" s="8">
        <v>20.584240000000001</v>
      </c>
      <c r="D2058" s="8">
        <v>41</v>
      </c>
      <c r="E2058" s="8">
        <v>0</v>
      </c>
      <c r="F2058" s="8">
        <v>0</v>
      </c>
      <c r="G2058" s="8">
        <v>0</v>
      </c>
      <c r="H2058" s="8" t="s">
        <v>4437</v>
      </c>
      <c r="I2058" s="8">
        <v>526.6875</v>
      </c>
      <c r="J2058" s="3">
        <f t="shared" si="32"/>
        <v>43747.596326030085</v>
      </c>
    </row>
    <row r="2059" spans="1:10" x14ac:dyDescent="0.25">
      <c r="A2059" s="5" t="s">
        <v>4438</v>
      </c>
      <c r="B2059" s="6">
        <v>393.75</v>
      </c>
      <c r="C2059" s="6">
        <v>20.584240000000001</v>
      </c>
      <c r="D2059" s="6">
        <v>40</v>
      </c>
      <c r="E2059" s="6">
        <v>0</v>
      </c>
      <c r="F2059" s="6">
        <v>0</v>
      </c>
      <c r="G2059" s="6">
        <v>9</v>
      </c>
      <c r="H2059" s="6" t="s">
        <v>4439</v>
      </c>
      <c r="I2059" s="6">
        <v>526.6875</v>
      </c>
      <c r="J2059" s="2">
        <f t="shared" si="32"/>
        <v>43747.596421365735</v>
      </c>
    </row>
    <row r="2060" spans="1:10" x14ac:dyDescent="0.25">
      <c r="A2060" s="7" t="s">
        <v>4440</v>
      </c>
      <c r="B2060" s="8">
        <v>393.75</v>
      </c>
      <c r="C2060" s="8">
        <v>20.584240000000001</v>
      </c>
      <c r="D2060" s="8">
        <v>39</v>
      </c>
      <c r="E2060" s="8">
        <v>0</v>
      </c>
      <c r="F2060" s="8">
        <v>0</v>
      </c>
      <c r="G2060" s="8">
        <v>3</v>
      </c>
      <c r="H2060" s="8" t="s">
        <v>4441</v>
      </c>
      <c r="I2060" s="8">
        <v>526.6875</v>
      </c>
      <c r="J2060" s="3">
        <f t="shared" si="32"/>
        <v>43747.596504571753</v>
      </c>
    </row>
    <row r="2061" spans="1:10" x14ac:dyDescent="0.25">
      <c r="A2061" s="5" t="s">
        <v>4442</v>
      </c>
      <c r="B2061" s="6">
        <v>393.75</v>
      </c>
      <c r="C2061" s="6">
        <v>20.584240000000001</v>
      </c>
      <c r="D2061" s="6">
        <v>39</v>
      </c>
      <c r="E2061" s="6">
        <v>0</v>
      </c>
      <c r="F2061" s="6">
        <v>0</v>
      </c>
      <c r="G2061" s="6">
        <v>4</v>
      </c>
      <c r="H2061" s="6" t="s">
        <v>4443</v>
      </c>
      <c r="I2061" s="6">
        <v>526.6875</v>
      </c>
      <c r="J2061" s="2">
        <f t="shared" si="32"/>
        <v>43747.596576099539</v>
      </c>
    </row>
    <row r="2062" spans="1:10" x14ac:dyDescent="0.25">
      <c r="A2062" s="7" t="s">
        <v>4444</v>
      </c>
      <c r="B2062" s="8">
        <v>393.75</v>
      </c>
      <c r="C2062" s="8">
        <v>20.584240000000001</v>
      </c>
      <c r="D2062" s="8">
        <v>40</v>
      </c>
      <c r="E2062" s="8">
        <v>0</v>
      </c>
      <c r="F2062" s="8">
        <v>0</v>
      </c>
      <c r="G2062" s="8">
        <v>7</v>
      </c>
      <c r="H2062" s="8" t="s">
        <v>4445</v>
      </c>
      <c r="I2062" s="8">
        <v>526.6875</v>
      </c>
      <c r="J2062" s="3">
        <f t="shared" si="32"/>
        <v>43747.596660011572</v>
      </c>
    </row>
    <row r="2063" spans="1:10" x14ac:dyDescent="0.25">
      <c r="A2063" s="5" t="s">
        <v>4446</v>
      </c>
      <c r="B2063" s="6">
        <v>418.75</v>
      </c>
      <c r="C2063" s="6">
        <v>20.584240000000001</v>
      </c>
      <c r="D2063" s="6">
        <v>41</v>
      </c>
      <c r="E2063" s="6">
        <v>0</v>
      </c>
      <c r="F2063" s="6">
        <v>0</v>
      </c>
      <c r="G2063" s="6">
        <v>5</v>
      </c>
      <c r="H2063" s="6" t="s">
        <v>4447</v>
      </c>
      <c r="I2063" s="6">
        <v>534.1875</v>
      </c>
      <c r="J2063" s="2">
        <f t="shared" si="32"/>
        <v>43747.59674346065</v>
      </c>
    </row>
    <row r="2064" spans="1:10" x14ac:dyDescent="0.25">
      <c r="A2064" s="7" t="s">
        <v>4448</v>
      </c>
      <c r="B2064" s="8">
        <v>393.75</v>
      </c>
      <c r="C2064" s="8">
        <v>20.584240000000001</v>
      </c>
      <c r="D2064" s="8">
        <v>41</v>
      </c>
      <c r="E2064" s="8">
        <v>0</v>
      </c>
      <c r="F2064" s="8">
        <v>0</v>
      </c>
      <c r="G2064" s="8">
        <v>9</v>
      </c>
      <c r="H2064" s="8" t="s">
        <v>4449</v>
      </c>
      <c r="I2064" s="8">
        <v>526.6875</v>
      </c>
      <c r="J2064" s="3">
        <f t="shared" si="32"/>
        <v>43747.596838113423</v>
      </c>
    </row>
    <row r="2065" spans="1:10" x14ac:dyDescent="0.25">
      <c r="A2065" s="5" t="s">
        <v>4450</v>
      </c>
      <c r="B2065" s="6">
        <v>412.5</v>
      </c>
      <c r="C2065" s="6">
        <v>20.584240000000001</v>
      </c>
      <c r="D2065" s="6">
        <v>41</v>
      </c>
      <c r="E2065" s="6">
        <v>0</v>
      </c>
      <c r="F2065" s="6">
        <v>0</v>
      </c>
      <c r="G2065" s="6">
        <v>0</v>
      </c>
      <c r="H2065" s="6" t="s">
        <v>4451</v>
      </c>
      <c r="I2065" s="6">
        <v>532.3125</v>
      </c>
      <c r="J2065" s="2">
        <f t="shared" si="32"/>
        <v>43747.596910358792</v>
      </c>
    </row>
    <row r="2066" spans="1:10" x14ac:dyDescent="0.25">
      <c r="A2066" s="7" t="s">
        <v>4452</v>
      </c>
      <c r="B2066" s="8">
        <v>393.75</v>
      </c>
      <c r="C2066" s="8">
        <v>20.584240000000001</v>
      </c>
      <c r="D2066" s="8">
        <v>42</v>
      </c>
      <c r="E2066" s="8">
        <v>0</v>
      </c>
      <c r="F2066" s="8">
        <v>0</v>
      </c>
      <c r="G2066" s="8">
        <v>12</v>
      </c>
      <c r="H2066" s="8" t="s">
        <v>4453</v>
      </c>
      <c r="I2066" s="8">
        <v>526.6875</v>
      </c>
      <c r="J2066" s="3">
        <f t="shared" si="32"/>
        <v>43747.596981886571</v>
      </c>
    </row>
    <row r="2067" spans="1:10" x14ac:dyDescent="0.25">
      <c r="A2067" s="5" t="s">
        <v>4454</v>
      </c>
      <c r="B2067" s="6">
        <v>393.75</v>
      </c>
      <c r="C2067" s="6">
        <v>20.584240000000001</v>
      </c>
      <c r="D2067" s="6">
        <v>41</v>
      </c>
      <c r="E2067" s="6">
        <v>0</v>
      </c>
      <c r="F2067" s="6">
        <v>0</v>
      </c>
      <c r="G2067" s="6">
        <v>2</v>
      </c>
      <c r="H2067" s="6" t="s">
        <v>4455</v>
      </c>
      <c r="I2067" s="6">
        <v>526.6875</v>
      </c>
      <c r="J2067" s="2">
        <f t="shared" si="32"/>
        <v>43747.597065578702</v>
      </c>
    </row>
    <row r="2068" spans="1:10" x14ac:dyDescent="0.25">
      <c r="A2068" s="7" t="s">
        <v>4456</v>
      </c>
      <c r="B2068" s="8">
        <v>393.75</v>
      </c>
      <c r="C2068" s="8">
        <v>20.584240000000001</v>
      </c>
      <c r="D2068" s="8">
        <v>41</v>
      </c>
      <c r="E2068" s="8">
        <v>0</v>
      </c>
      <c r="F2068" s="8">
        <v>0</v>
      </c>
      <c r="G2068" s="8">
        <v>11</v>
      </c>
      <c r="H2068" s="8" t="s">
        <v>4457</v>
      </c>
      <c r="I2068" s="8">
        <v>526.6875</v>
      </c>
      <c r="J2068" s="3">
        <f t="shared" si="32"/>
        <v>43747.597148923604</v>
      </c>
    </row>
    <row r="2069" spans="1:10" x14ac:dyDescent="0.25">
      <c r="A2069" s="5" t="s">
        <v>4458</v>
      </c>
      <c r="B2069" s="6">
        <v>393.75</v>
      </c>
      <c r="C2069" s="6">
        <v>20.584240000000001</v>
      </c>
      <c r="D2069" s="6">
        <v>39</v>
      </c>
      <c r="E2069" s="6">
        <v>0</v>
      </c>
      <c r="F2069" s="6">
        <v>0</v>
      </c>
      <c r="G2069" s="6">
        <v>5</v>
      </c>
      <c r="H2069" s="6" t="s">
        <v>4459</v>
      </c>
      <c r="I2069" s="6">
        <v>526.6875</v>
      </c>
      <c r="J2069" s="2">
        <f t="shared" si="32"/>
        <v>43747.597232233798</v>
      </c>
    </row>
    <row r="2070" spans="1:10" x14ac:dyDescent="0.25">
      <c r="A2070" s="7" t="s">
        <v>4460</v>
      </c>
      <c r="B2070" s="8">
        <v>393.75</v>
      </c>
      <c r="C2070" s="8">
        <v>20.584240000000001</v>
      </c>
      <c r="D2070" s="8">
        <v>39</v>
      </c>
      <c r="E2070" s="8">
        <v>0</v>
      </c>
      <c r="F2070" s="8">
        <v>0</v>
      </c>
      <c r="G2070" s="8">
        <v>1</v>
      </c>
      <c r="H2070" s="8" t="s">
        <v>4461</v>
      </c>
      <c r="I2070" s="8">
        <v>526.6875</v>
      </c>
      <c r="J2070" s="3">
        <f t="shared" si="32"/>
        <v>43747.597315590276</v>
      </c>
    </row>
    <row r="2071" spans="1:10" x14ac:dyDescent="0.25">
      <c r="A2071" s="5" t="s">
        <v>4462</v>
      </c>
      <c r="B2071" s="6">
        <v>393.75</v>
      </c>
      <c r="C2071" s="6">
        <v>20.584240000000001</v>
      </c>
      <c r="D2071" s="6">
        <v>41</v>
      </c>
      <c r="E2071" s="6">
        <v>0</v>
      </c>
      <c r="F2071" s="6">
        <v>0</v>
      </c>
      <c r="G2071" s="6">
        <v>8</v>
      </c>
      <c r="H2071" s="6" t="s">
        <v>4463</v>
      </c>
      <c r="I2071" s="6">
        <v>526.6875</v>
      </c>
      <c r="J2071" s="2">
        <f t="shared" si="32"/>
        <v>43747.597387337963</v>
      </c>
    </row>
    <row r="2072" spans="1:10" x14ac:dyDescent="0.25">
      <c r="A2072" s="7" t="s">
        <v>4464</v>
      </c>
      <c r="B2072" s="8">
        <v>393.75</v>
      </c>
      <c r="C2072" s="8">
        <v>20.584240000000001</v>
      </c>
      <c r="D2072" s="8">
        <v>41</v>
      </c>
      <c r="E2072" s="8">
        <v>0</v>
      </c>
      <c r="F2072" s="8">
        <v>0</v>
      </c>
      <c r="G2072" s="8">
        <v>7</v>
      </c>
      <c r="H2072" s="8" t="s">
        <v>4465</v>
      </c>
      <c r="I2072" s="8">
        <v>526.6875</v>
      </c>
      <c r="J2072" s="3">
        <f t="shared" si="32"/>
        <v>43747.59747079861</v>
      </c>
    </row>
    <row r="2073" spans="1:10" x14ac:dyDescent="0.25">
      <c r="A2073" s="5" t="s">
        <v>4466</v>
      </c>
      <c r="B2073" s="6">
        <v>393.75</v>
      </c>
      <c r="C2073" s="6">
        <v>20.584240000000001</v>
      </c>
      <c r="D2073" s="6">
        <v>39</v>
      </c>
      <c r="E2073" s="6">
        <v>0</v>
      </c>
      <c r="F2073" s="6">
        <v>0</v>
      </c>
      <c r="G2073" s="6">
        <v>3</v>
      </c>
      <c r="H2073" s="6" t="s">
        <v>4467</v>
      </c>
      <c r="I2073" s="6">
        <v>526.6875</v>
      </c>
      <c r="J2073" s="2">
        <f t="shared" si="32"/>
        <v>43747.597542430558</v>
      </c>
    </row>
    <row r="2074" spans="1:10" x14ac:dyDescent="0.25">
      <c r="A2074" s="7" t="s">
        <v>4468</v>
      </c>
      <c r="B2074" s="8">
        <v>393.75</v>
      </c>
      <c r="C2074" s="8">
        <v>20.584240000000001</v>
      </c>
      <c r="D2074" s="8">
        <v>40</v>
      </c>
      <c r="E2074" s="8">
        <v>0</v>
      </c>
      <c r="F2074" s="8">
        <v>0</v>
      </c>
      <c r="G2074" s="8">
        <v>8</v>
      </c>
      <c r="H2074" s="8" t="s">
        <v>4469</v>
      </c>
      <c r="I2074" s="8">
        <v>526.6875</v>
      </c>
      <c r="J2074" s="3">
        <f t="shared" si="32"/>
        <v>43747.597613831014</v>
      </c>
    </row>
    <row r="2075" spans="1:10" x14ac:dyDescent="0.25">
      <c r="A2075" s="5" t="s">
        <v>4470</v>
      </c>
      <c r="B2075" s="6">
        <v>393.75</v>
      </c>
      <c r="C2075" s="6">
        <v>20.584240000000001</v>
      </c>
      <c r="D2075" s="6">
        <v>41</v>
      </c>
      <c r="E2075" s="6">
        <v>0</v>
      </c>
      <c r="F2075" s="6">
        <v>0</v>
      </c>
      <c r="G2075" s="6">
        <v>9</v>
      </c>
      <c r="H2075" s="6" t="s">
        <v>4471</v>
      </c>
      <c r="I2075" s="6">
        <v>526.6875</v>
      </c>
      <c r="J2075" s="2">
        <f t="shared" si="32"/>
        <v>43747.597697881945</v>
      </c>
    </row>
    <row r="2076" spans="1:10" x14ac:dyDescent="0.25">
      <c r="A2076" s="7" t="s">
        <v>4472</v>
      </c>
      <c r="B2076" s="8">
        <v>393.75</v>
      </c>
      <c r="C2076" s="8">
        <v>20.584240000000001</v>
      </c>
      <c r="D2076" s="8">
        <v>41</v>
      </c>
      <c r="E2076" s="8">
        <v>0</v>
      </c>
      <c r="F2076" s="8">
        <v>0</v>
      </c>
      <c r="G2076" s="8">
        <v>6</v>
      </c>
      <c r="H2076" s="8" t="s">
        <v>4473</v>
      </c>
      <c r="I2076" s="8">
        <v>526.6875</v>
      </c>
      <c r="J2076" s="3">
        <f t="shared" si="32"/>
        <v>43747.597768819447</v>
      </c>
    </row>
    <row r="2077" spans="1:10" x14ac:dyDescent="0.25">
      <c r="A2077" s="5" t="s">
        <v>4474</v>
      </c>
      <c r="B2077" s="6">
        <v>393.75</v>
      </c>
      <c r="C2077" s="6">
        <v>20.584240000000001</v>
      </c>
      <c r="D2077" s="6">
        <v>42</v>
      </c>
      <c r="E2077" s="6">
        <v>0</v>
      </c>
      <c r="F2077" s="6">
        <v>0</v>
      </c>
      <c r="G2077" s="6">
        <v>12</v>
      </c>
      <c r="H2077" s="6" t="s">
        <v>4475</v>
      </c>
      <c r="I2077" s="6">
        <v>526.6875</v>
      </c>
      <c r="J2077" s="2">
        <f t="shared" si="32"/>
        <v>43747.597852604165</v>
      </c>
    </row>
    <row r="2078" spans="1:10" x14ac:dyDescent="0.25">
      <c r="A2078" s="7" t="s">
        <v>4476</v>
      </c>
      <c r="B2078" s="8">
        <v>393.75</v>
      </c>
      <c r="C2078" s="8">
        <v>20.584240000000001</v>
      </c>
      <c r="D2078" s="8">
        <v>41</v>
      </c>
      <c r="E2078" s="8">
        <v>0</v>
      </c>
      <c r="F2078" s="8">
        <v>0</v>
      </c>
      <c r="G2078" s="8">
        <v>4</v>
      </c>
      <c r="H2078" s="8" t="s">
        <v>4477</v>
      </c>
      <c r="I2078" s="8">
        <v>526.6875</v>
      </c>
      <c r="J2078" s="3">
        <f t="shared" si="32"/>
        <v>43747.597935833335</v>
      </c>
    </row>
    <row r="2079" spans="1:10" x14ac:dyDescent="0.25">
      <c r="A2079" s="5" t="s">
        <v>4478</v>
      </c>
      <c r="B2079" s="6">
        <v>393.75</v>
      </c>
      <c r="C2079" s="6">
        <v>20.584240000000001</v>
      </c>
      <c r="D2079" s="6">
        <v>41</v>
      </c>
      <c r="E2079" s="6">
        <v>0</v>
      </c>
      <c r="F2079" s="6">
        <v>0</v>
      </c>
      <c r="G2079" s="6">
        <v>12</v>
      </c>
      <c r="H2079" s="6" t="s">
        <v>4479</v>
      </c>
      <c r="I2079" s="6">
        <v>526.6875</v>
      </c>
      <c r="J2079" s="2">
        <f t="shared" si="32"/>
        <v>43747.59801927083</v>
      </c>
    </row>
    <row r="2080" spans="1:10" x14ac:dyDescent="0.25">
      <c r="A2080" s="7" t="s">
        <v>4480</v>
      </c>
      <c r="B2080" s="8">
        <v>393.75</v>
      </c>
      <c r="C2080" s="8">
        <v>20.584240000000001</v>
      </c>
      <c r="D2080" s="8">
        <v>40</v>
      </c>
      <c r="E2080" s="8">
        <v>0</v>
      </c>
      <c r="F2080" s="8">
        <v>0</v>
      </c>
      <c r="G2080" s="8">
        <v>2</v>
      </c>
      <c r="H2080" s="8" t="s">
        <v>4481</v>
      </c>
      <c r="I2080" s="8">
        <v>526.6875</v>
      </c>
      <c r="J2080" s="3">
        <f t="shared" si="32"/>
        <v>43747.598102835647</v>
      </c>
    </row>
    <row r="2081" spans="1:10" x14ac:dyDescent="0.25">
      <c r="A2081" s="5" t="s">
        <v>4482</v>
      </c>
      <c r="B2081" s="6">
        <v>393.75</v>
      </c>
      <c r="C2081" s="6">
        <v>20.584240000000001</v>
      </c>
      <c r="D2081" s="6">
        <v>40</v>
      </c>
      <c r="E2081" s="6">
        <v>0</v>
      </c>
      <c r="F2081" s="6">
        <v>0</v>
      </c>
      <c r="G2081" s="6">
        <v>9</v>
      </c>
      <c r="H2081" s="6" t="s">
        <v>4483</v>
      </c>
      <c r="I2081" s="6">
        <v>526.5</v>
      </c>
      <c r="J2081" s="2">
        <f t="shared" si="32"/>
        <v>43747.598185949071</v>
      </c>
    </row>
    <row r="2082" spans="1:10" x14ac:dyDescent="0.25">
      <c r="A2082" s="7" t="s">
        <v>4484</v>
      </c>
      <c r="B2082" s="8">
        <v>393.75</v>
      </c>
      <c r="C2082" s="8">
        <v>20.584240000000001</v>
      </c>
      <c r="D2082" s="8">
        <v>40</v>
      </c>
      <c r="E2082" s="8">
        <v>0</v>
      </c>
      <c r="F2082" s="8">
        <v>0</v>
      </c>
      <c r="G2082" s="8">
        <v>1</v>
      </c>
      <c r="H2082" s="8" t="s">
        <v>4485</v>
      </c>
      <c r="I2082" s="8">
        <v>526.6875</v>
      </c>
      <c r="J2082" s="3">
        <f t="shared" si="32"/>
        <v>43747.598257581012</v>
      </c>
    </row>
    <row r="2083" spans="1:10" x14ac:dyDescent="0.25">
      <c r="A2083" s="5" t="s">
        <v>4486</v>
      </c>
      <c r="B2083" s="6">
        <v>393.75</v>
      </c>
      <c r="C2083" s="6">
        <v>20.584240000000001</v>
      </c>
      <c r="D2083" s="6">
        <v>41</v>
      </c>
      <c r="E2083" s="6">
        <v>0</v>
      </c>
      <c r="F2083" s="6">
        <v>0</v>
      </c>
      <c r="G2083" s="6">
        <v>11</v>
      </c>
      <c r="H2083" s="6" t="s">
        <v>4487</v>
      </c>
      <c r="I2083" s="6">
        <v>526.6875</v>
      </c>
      <c r="J2083" s="2">
        <f t="shared" si="32"/>
        <v>43747.598341516197</v>
      </c>
    </row>
    <row r="2084" spans="1:10" x14ac:dyDescent="0.25">
      <c r="A2084" s="7" t="s">
        <v>4488</v>
      </c>
      <c r="B2084" s="8">
        <v>393.75</v>
      </c>
      <c r="C2084" s="8">
        <v>20.584240000000001</v>
      </c>
      <c r="D2084" s="8">
        <v>41</v>
      </c>
      <c r="E2084" s="8">
        <v>0</v>
      </c>
      <c r="F2084" s="8">
        <v>0</v>
      </c>
      <c r="G2084" s="8">
        <v>6</v>
      </c>
      <c r="H2084" s="8" t="s">
        <v>4489</v>
      </c>
      <c r="I2084" s="8">
        <v>526.6875</v>
      </c>
      <c r="J2084" s="3">
        <f t="shared" si="32"/>
        <v>43747.598424710646</v>
      </c>
    </row>
    <row r="2085" spans="1:10" x14ac:dyDescent="0.25">
      <c r="A2085" s="5" t="s">
        <v>4490</v>
      </c>
      <c r="B2085" s="6">
        <v>393.75</v>
      </c>
      <c r="C2085" s="6">
        <v>20.584240000000001</v>
      </c>
      <c r="D2085" s="6">
        <v>42</v>
      </c>
      <c r="E2085" s="6">
        <v>0</v>
      </c>
      <c r="F2085" s="6">
        <v>0</v>
      </c>
      <c r="G2085" s="6">
        <v>5</v>
      </c>
      <c r="H2085" s="6" t="s">
        <v>4491</v>
      </c>
      <c r="I2085" s="6">
        <v>526.6875</v>
      </c>
      <c r="J2085" s="2">
        <f t="shared" si="32"/>
        <v>43747.598508263887</v>
      </c>
    </row>
    <row r="2086" spans="1:10" x14ac:dyDescent="0.25">
      <c r="A2086" s="7" t="s">
        <v>4492</v>
      </c>
      <c r="B2086" s="8">
        <v>393.75</v>
      </c>
      <c r="C2086" s="8">
        <v>20.584240000000001</v>
      </c>
      <c r="D2086" s="8">
        <v>42</v>
      </c>
      <c r="E2086" s="8">
        <v>0</v>
      </c>
      <c r="F2086" s="8">
        <v>0</v>
      </c>
      <c r="G2086" s="8">
        <v>10</v>
      </c>
      <c r="H2086" s="8" t="s">
        <v>4493</v>
      </c>
      <c r="I2086" s="8">
        <v>526.6875</v>
      </c>
      <c r="J2086" s="3">
        <f t="shared" si="32"/>
        <v>43747.59859173611</v>
      </c>
    </row>
    <row r="2087" spans="1:10" x14ac:dyDescent="0.25">
      <c r="A2087" s="5" t="s">
        <v>4494</v>
      </c>
      <c r="B2087" s="6">
        <v>393.75</v>
      </c>
      <c r="C2087" s="6">
        <v>20.584240000000001</v>
      </c>
      <c r="D2087" s="6">
        <v>41</v>
      </c>
      <c r="E2087" s="6">
        <v>0</v>
      </c>
      <c r="F2087" s="6">
        <v>0</v>
      </c>
      <c r="G2087" s="6">
        <v>3</v>
      </c>
      <c r="H2087" s="6" t="s">
        <v>4495</v>
      </c>
      <c r="I2087" s="6">
        <v>526.6875</v>
      </c>
      <c r="J2087" s="2">
        <f t="shared" si="32"/>
        <v>43747.598687094905</v>
      </c>
    </row>
    <row r="2088" spans="1:10" x14ac:dyDescent="0.25">
      <c r="A2088" s="7" t="s">
        <v>4496</v>
      </c>
      <c r="B2088" s="8">
        <v>393.75</v>
      </c>
      <c r="C2088" s="8">
        <v>20.584240000000001</v>
      </c>
      <c r="D2088" s="8">
        <v>41</v>
      </c>
      <c r="E2088" s="8">
        <v>0</v>
      </c>
      <c r="F2088" s="8">
        <v>0</v>
      </c>
      <c r="G2088" s="8">
        <v>8</v>
      </c>
      <c r="H2088" s="8" t="s">
        <v>4497</v>
      </c>
      <c r="I2088" s="8">
        <v>526.6875</v>
      </c>
      <c r="J2088" s="3">
        <f t="shared" si="32"/>
        <v>43747.598770555553</v>
      </c>
    </row>
    <row r="2089" spans="1:10" x14ac:dyDescent="0.25">
      <c r="A2089" s="5" t="s">
        <v>4498</v>
      </c>
      <c r="B2089" s="6">
        <v>393.75</v>
      </c>
      <c r="C2089" s="6">
        <v>20.584240000000001</v>
      </c>
      <c r="D2089" s="6">
        <v>41</v>
      </c>
      <c r="E2089" s="6">
        <v>0</v>
      </c>
      <c r="F2089" s="6">
        <v>0</v>
      </c>
      <c r="G2089" s="6">
        <v>3</v>
      </c>
      <c r="H2089" s="6" t="s">
        <v>4499</v>
      </c>
      <c r="I2089" s="6">
        <v>526.6875</v>
      </c>
      <c r="J2089" s="2">
        <f t="shared" si="32"/>
        <v>43747.598842314816</v>
      </c>
    </row>
    <row r="2090" spans="1:10" x14ac:dyDescent="0.25">
      <c r="A2090" s="7" t="s">
        <v>4500</v>
      </c>
      <c r="B2090" s="8">
        <v>393.75</v>
      </c>
      <c r="C2090" s="8">
        <v>20.584240000000001</v>
      </c>
      <c r="D2090" s="8">
        <v>41</v>
      </c>
      <c r="E2090" s="8">
        <v>0</v>
      </c>
      <c r="F2090" s="8">
        <v>0</v>
      </c>
      <c r="G2090" s="8">
        <v>1</v>
      </c>
      <c r="H2090" s="8" t="s">
        <v>4501</v>
      </c>
      <c r="I2090" s="8">
        <v>526.6875</v>
      </c>
      <c r="J2090" s="3">
        <f t="shared" si="32"/>
        <v>43747.598913726848</v>
      </c>
    </row>
    <row r="2091" spans="1:10" x14ac:dyDescent="0.25">
      <c r="A2091" s="5" t="s">
        <v>4502</v>
      </c>
      <c r="B2091" s="6">
        <v>393.75</v>
      </c>
      <c r="C2091" s="6">
        <v>20.584240000000001</v>
      </c>
      <c r="D2091" s="6">
        <v>41</v>
      </c>
      <c r="E2091" s="6">
        <v>0</v>
      </c>
      <c r="F2091" s="6">
        <v>0</v>
      </c>
      <c r="G2091" s="6">
        <v>5</v>
      </c>
      <c r="H2091" s="6" t="s">
        <v>4503</v>
      </c>
      <c r="I2091" s="6">
        <v>526.6875</v>
      </c>
      <c r="J2091" s="2">
        <f t="shared" si="32"/>
        <v>43747.599010486105</v>
      </c>
    </row>
    <row r="2092" spans="1:10" x14ac:dyDescent="0.25">
      <c r="A2092" s="7" t="s">
        <v>4504</v>
      </c>
      <c r="B2092" s="8">
        <v>393.75</v>
      </c>
      <c r="C2092" s="8">
        <v>20.584240000000001</v>
      </c>
      <c r="D2092" s="8">
        <v>41</v>
      </c>
      <c r="E2092" s="8">
        <v>0</v>
      </c>
      <c r="F2092" s="8">
        <v>0</v>
      </c>
      <c r="G2092" s="8">
        <v>3</v>
      </c>
      <c r="H2092" s="8" t="s">
        <v>4505</v>
      </c>
      <c r="I2092" s="8">
        <v>526.6875</v>
      </c>
      <c r="J2092" s="3">
        <f t="shared" si="32"/>
        <v>43747.599107361108</v>
      </c>
    </row>
    <row r="2093" spans="1:10" x14ac:dyDescent="0.25">
      <c r="A2093" s="5" t="s">
        <v>4506</v>
      </c>
      <c r="B2093" s="6">
        <v>393.75</v>
      </c>
      <c r="C2093" s="6">
        <v>20.584240000000001</v>
      </c>
      <c r="D2093" s="6">
        <v>41</v>
      </c>
      <c r="E2093" s="6">
        <v>0</v>
      </c>
      <c r="F2093" s="6">
        <v>0</v>
      </c>
      <c r="G2093" s="6">
        <v>5</v>
      </c>
      <c r="H2093" s="6" t="s">
        <v>4507</v>
      </c>
      <c r="I2093" s="6">
        <v>526.6875</v>
      </c>
      <c r="J2093" s="2">
        <f t="shared" si="32"/>
        <v>43747.599187939813</v>
      </c>
    </row>
    <row r="2094" spans="1:10" x14ac:dyDescent="0.25">
      <c r="A2094" s="7" t="s">
        <v>4508</v>
      </c>
      <c r="B2094" s="8">
        <v>393.75</v>
      </c>
      <c r="C2094" s="8">
        <v>20.584240000000001</v>
      </c>
      <c r="D2094" s="8">
        <v>41</v>
      </c>
      <c r="E2094" s="8">
        <v>0</v>
      </c>
      <c r="F2094" s="8">
        <v>0</v>
      </c>
      <c r="G2094" s="8">
        <v>6</v>
      </c>
      <c r="H2094" s="8" t="s">
        <v>4509</v>
      </c>
      <c r="I2094" s="8">
        <v>526.6875</v>
      </c>
      <c r="J2094" s="3">
        <f t="shared" si="32"/>
        <v>43747.599271192128</v>
      </c>
    </row>
    <row r="2095" spans="1:10" x14ac:dyDescent="0.25">
      <c r="A2095" s="5" t="s">
        <v>4510</v>
      </c>
      <c r="B2095" s="6">
        <v>393.75</v>
      </c>
      <c r="C2095" s="6">
        <v>20.584240000000001</v>
      </c>
      <c r="D2095" s="6">
        <v>42</v>
      </c>
      <c r="E2095" s="6">
        <v>0</v>
      </c>
      <c r="F2095" s="6">
        <v>0</v>
      </c>
      <c r="G2095" s="6">
        <v>0</v>
      </c>
      <c r="H2095" s="6" t="s">
        <v>4511</v>
      </c>
      <c r="I2095" s="6">
        <v>526.6875</v>
      </c>
      <c r="J2095" s="2">
        <f t="shared" si="32"/>
        <v>43747.599354953702</v>
      </c>
    </row>
    <row r="2096" spans="1:10" x14ac:dyDescent="0.25">
      <c r="A2096" s="7" t="s">
        <v>4512</v>
      </c>
      <c r="B2096" s="8">
        <v>393.75</v>
      </c>
      <c r="C2096" s="8">
        <v>20.584240000000001</v>
      </c>
      <c r="D2096" s="8">
        <v>41</v>
      </c>
      <c r="E2096" s="8">
        <v>0</v>
      </c>
      <c r="F2096" s="8">
        <v>0</v>
      </c>
      <c r="G2096" s="8">
        <v>2</v>
      </c>
      <c r="H2096" s="8" t="s">
        <v>4513</v>
      </c>
      <c r="I2096" s="8">
        <v>526.6875</v>
      </c>
      <c r="J2096" s="3">
        <f t="shared" si="32"/>
        <v>43747.599438182871</v>
      </c>
    </row>
    <row r="2097" spans="1:10" x14ac:dyDescent="0.25">
      <c r="A2097" s="5" t="s">
        <v>4514</v>
      </c>
      <c r="B2097" s="6">
        <v>393.75</v>
      </c>
      <c r="C2097" s="6">
        <v>20.584240000000001</v>
      </c>
      <c r="D2097" s="6">
        <v>38</v>
      </c>
      <c r="E2097" s="6">
        <v>0</v>
      </c>
      <c r="F2097" s="6">
        <v>0</v>
      </c>
      <c r="G2097" s="6">
        <v>5</v>
      </c>
      <c r="H2097" s="6" t="s">
        <v>4515</v>
      </c>
      <c r="I2097" s="6">
        <v>526.6875</v>
      </c>
      <c r="J2097" s="2">
        <f t="shared" si="32"/>
        <v>43747.599509942127</v>
      </c>
    </row>
    <row r="2098" spans="1:10" x14ac:dyDescent="0.25">
      <c r="A2098" s="7" t="s">
        <v>4516</v>
      </c>
      <c r="B2098" s="8">
        <v>412.5</v>
      </c>
      <c r="C2098" s="8">
        <v>20.584240000000001</v>
      </c>
      <c r="D2098" s="8">
        <v>39</v>
      </c>
      <c r="E2098" s="8">
        <v>0</v>
      </c>
      <c r="F2098" s="8">
        <v>0</v>
      </c>
      <c r="G2098" s="8">
        <v>6</v>
      </c>
      <c r="H2098" s="8" t="s">
        <v>4517</v>
      </c>
      <c r="I2098" s="8">
        <v>532.5</v>
      </c>
      <c r="J2098" s="3">
        <f t="shared" si="32"/>
        <v>43747.599593402774</v>
      </c>
    </row>
    <row r="2099" spans="1:10" x14ac:dyDescent="0.25">
      <c r="A2099" s="5" t="s">
        <v>4518</v>
      </c>
      <c r="B2099" s="6">
        <v>393.75</v>
      </c>
      <c r="C2099" s="6">
        <v>20.531590000000001</v>
      </c>
      <c r="D2099" s="6">
        <v>41</v>
      </c>
      <c r="E2099" s="6">
        <v>0</v>
      </c>
      <c r="F2099" s="6">
        <v>0</v>
      </c>
      <c r="G2099" s="6">
        <v>0</v>
      </c>
      <c r="H2099" s="6" t="s">
        <v>4519</v>
      </c>
      <c r="I2099" s="6">
        <v>526.6875</v>
      </c>
      <c r="J2099" s="2">
        <f t="shared" si="32"/>
        <v>43747.599676851845</v>
      </c>
    </row>
    <row r="2100" spans="1:10" x14ac:dyDescent="0.25">
      <c r="A2100" s="7" t="s">
        <v>4520</v>
      </c>
      <c r="B2100" s="8">
        <v>393.75</v>
      </c>
      <c r="C2100" s="8">
        <v>20.584240000000001</v>
      </c>
      <c r="D2100" s="8">
        <v>41</v>
      </c>
      <c r="E2100" s="8">
        <v>0</v>
      </c>
      <c r="F2100" s="8">
        <v>0</v>
      </c>
      <c r="G2100" s="8">
        <v>7</v>
      </c>
      <c r="H2100" s="8" t="s">
        <v>4521</v>
      </c>
      <c r="I2100" s="8">
        <v>526.6875</v>
      </c>
      <c r="J2100" s="3">
        <f t="shared" si="32"/>
        <v>43747.599760069446</v>
      </c>
    </row>
    <row r="2101" spans="1:10" x14ac:dyDescent="0.25">
      <c r="A2101" s="5" t="s">
        <v>4522</v>
      </c>
      <c r="B2101" s="6">
        <v>393.75</v>
      </c>
      <c r="C2101" s="6">
        <v>20.584240000000001</v>
      </c>
      <c r="D2101" s="6">
        <v>41</v>
      </c>
      <c r="E2101" s="6">
        <v>0</v>
      </c>
      <c r="F2101" s="6">
        <v>0</v>
      </c>
      <c r="G2101" s="6">
        <v>3</v>
      </c>
      <c r="H2101" s="6" t="s">
        <v>4523</v>
      </c>
      <c r="I2101" s="6">
        <v>526.6875</v>
      </c>
      <c r="J2101" s="2">
        <f t="shared" si="32"/>
        <v>43747.599831724532</v>
      </c>
    </row>
    <row r="2102" spans="1:10" x14ac:dyDescent="0.25">
      <c r="A2102" s="7" t="s">
        <v>4524</v>
      </c>
      <c r="B2102" s="8">
        <v>393.75</v>
      </c>
      <c r="C2102" s="8">
        <v>20.584240000000001</v>
      </c>
      <c r="D2102" s="8">
        <v>44</v>
      </c>
      <c r="E2102" s="8">
        <v>0</v>
      </c>
      <c r="F2102" s="8">
        <v>0</v>
      </c>
      <c r="G2102" s="8">
        <v>9</v>
      </c>
      <c r="H2102" s="8" t="s">
        <v>4525</v>
      </c>
      <c r="I2102" s="8">
        <v>526.6875</v>
      </c>
      <c r="J2102" s="3">
        <f t="shared" si="32"/>
        <v>43747.599915706021</v>
      </c>
    </row>
    <row r="2103" spans="1:10" x14ac:dyDescent="0.25">
      <c r="A2103" s="5" t="s">
        <v>4526</v>
      </c>
      <c r="B2103" s="6">
        <v>390.625</v>
      </c>
      <c r="C2103" s="6">
        <v>20.584240000000001</v>
      </c>
      <c r="D2103" s="6">
        <v>42</v>
      </c>
      <c r="E2103" s="6">
        <v>0</v>
      </c>
      <c r="F2103" s="6">
        <v>0</v>
      </c>
      <c r="G2103" s="6">
        <v>0</v>
      </c>
      <c r="H2103" s="6" t="s">
        <v>4527</v>
      </c>
      <c r="I2103" s="6">
        <v>525.9375</v>
      </c>
      <c r="J2103" s="2">
        <f t="shared" si="32"/>
        <v>43747.599998831014</v>
      </c>
    </row>
    <row r="2104" spans="1:10" x14ac:dyDescent="0.25">
      <c r="A2104" s="7" t="s">
        <v>4528</v>
      </c>
      <c r="B2104" s="8">
        <v>393.75</v>
      </c>
      <c r="C2104" s="8">
        <v>20.584240000000001</v>
      </c>
      <c r="D2104" s="8">
        <v>42</v>
      </c>
      <c r="E2104" s="8">
        <v>0</v>
      </c>
      <c r="F2104" s="8">
        <v>0</v>
      </c>
      <c r="G2104" s="8">
        <v>13</v>
      </c>
      <c r="H2104" s="8" t="s">
        <v>4529</v>
      </c>
      <c r="I2104" s="8">
        <v>526.6875</v>
      </c>
      <c r="J2104" s="3">
        <f t="shared" si="32"/>
        <v>43747.600082291661</v>
      </c>
    </row>
    <row r="2105" spans="1:10" x14ac:dyDescent="0.25">
      <c r="A2105" s="5" t="s">
        <v>4530</v>
      </c>
      <c r="B2105" s="6">
        <v>393.75</v>
      </c>
      <c r="C2105" s="6">
        <v>20.584240000000001</v>
      </c>
      <c r="D2105" s="6">
        <v>42</v>
      </c>
      <c r="E2105" s="6">
        <v>0</v>
      </c>
      <c r="F2105" s="6">
        <v>0</v>
      </c>
      <c r="G2105" s="6">
        <v>1</v>
      </c>
      <c r="H2105" s="6" t="s">
        <v>4531</v>
      </c>
      <c r="I2105" s="6">
        <v>526.6875</v>
      </c>
      <c r="J2105" s="2">
        <f t="shared" si="32"/>
        <v>43747.600165717588</v>
      </c>
    </row>
    <row r="2106" spans="1:10" x14ac:dyDescent="0.25">
      <c r="A2106" s="7" t="s">
        <v>4532</v>
      </c>
      <c r="B2106" s="8">
        <v>393.75</v>
      </c>
      <c r="C2106" s="8">
        <v>20.584240000000001</v>
      </c>
      <c r="D2106" s="8">
        <v>43</v>
      </c>
      <c r="E2106" s="8">
        <v>0</v>
      </c>
      <c r="F2106" s="8">
        <v>0</v>
      </c>
      <c r="G2106" s="8">
        <v>6</v>
      </c>
      <c r="H2106" s="8" t="s">
        <v>4533</v>
      </c>
      <c r="I2106" s="8">
        <v>526.6875</v>
      </c>
      <c r="J2106" s="3">
        <f t="shared" si="32"/>
        <v>43747.600255717589</v>
      </c>
    </row>
    <row r="2107" spans="1:10" x14ac:dyDescent="0.25">
      <c r="A2107" s="5" t="s">
        <v>4534</v>
      </c>
      <c r="B2107" s="6">
        <v>393.75</v>
      </c>
      <c r="C2107" s="6">
        <v>20.584240000000001</v>
      </c>
      <c r="D2107" s="6">
        <v>43</v>
      </c>
      <c r="E2107" s="6">
        <v>0</v>
      </c>
      <c r="F2107" s="6">
        <v>0</v>
      </c>
      <c r="G2107" s="6">
        <v>5</v>
      </c>
      <c r="H2107" s="6" t="s">
        <v>4535</v>
      </c>
      <c r="I2107" s="6">
        <v>526.6875</v>
      </c>
      <c r="J2107" s="2">
        <f t="shared" si="32"/>
        <v>43747.600332731476</v>
      </c>
    </row>
    <row r="2108" spans="1:10" x14ac:dyDescent="0.25">
      <c r="A2108" s="7" t="s">
        <v>4536</v>
      </c>
      <c r="B2108" s="8">
        <v>393.75</v>
      </c>
      <c r="C2108" s="8">
        <v>20.584240000000001</v>
      </c>
      <c r="D2108" s="8">
        <v>42</v>
      </c>
      <c r="E2108" s="8">
        <v>0</v>
      </c>
      <c r="F2108" s="8">
        <v>0</v>
      </c>
      <c r="G2108" s="8">
        <v>8</v>
      </c>
      <c r="H2108" s="8" t="s">
        <v>4537</v>
      </c>
      <c r="I2108" s="8">
        <v>526.6875</v>
      </c>
      <c r="J2108" s="3">
        <f t="shared" si="32"/>
        <v>43747.600415949077</v>
      </c>
    </row>
    <row r="2109" spans="1:10" x14ac:dyDescent="0.25">
      <c r="A2109" s="5" t="s">
        <v>4538</v>
      </c>
      <c r="B2109" s="6">
        <v>393.75</v>
      </c>
      <c r="C2109" s="6">
        <v>20.584240000000001</v>
      </c>
      <c r="D2109" s="6">
        <v>42</v>
      </c>
      <c r="E2109" s="6">
        <v>0</v>
      </c>
      <c r="F2109" s="6">
        <v>0</v>
      </c>
      <c r="G2109" s="6">
        <v>5</v>
      </c>
      <c r="H2109" s="6" t="s">
        <v>4539</v>
      </c>
      <c r="I2109" s="6">
        <v>526.5</v>
      </c>
      <c r="J2109" s="2">
        <f t="shared" si="32"/>
        <v>43747.600487708332</v>
      </c>
    </row>
    <row r="2110" spans="1:10" x14ac:dyDescent="0.25">
      <c r="A2110" s="7" t="s">
        <v>4540</v>
      </c>
      <c r="B2110" s="8">
        <v>393.75</v>
      </c>
      <c r="C2110" s="8">
        <v>20.584240000000001</v>
      </c>
      <c r="D2110" s="8">
        <v>42</v>
      </c>
      <c r="E2110" s="8">
        <v>0</v>
      </c>
      <c r="F2110" s="8">
        <v>0</v>
      </c>
      <c r="G2110" s="8">
        <v>3</v>
      </c>
      <c r="H2110" s="8" t="s">
        <v>4541</v>
      </c>
      <c r="I2110" s="8">
        <v>526.6875</v>
      </c>
      <c r="J2110" s="3">
        <f t="shared" si="32"/>
        <v>43747.60057116898</v>
      </c>
    </row>
    <row r="2111" spans="1:10" x14ac:dyDescent="0.25">
      <c r="A2111" s="5" t="s">
        <v>4542</v>
      </c>
      <c r="B2111" s="6">
        <v>393.75</v>
      </c>
      <c r="C2111" s="6">
        <v>20.584240000000001</v>
      </c>
      <c r="D2111" s="6">
        <v>43</v>
      </c>
      <c r="E2111" s="6">
        <v>0</v>
      </c>
      <c r="F2111" s="6">
        <v>0</v>
      </c>
      <c r="G2111" s="6">
        <v>14</v>
      </c>
      <c r="H2111" s="6" t="s">
        <v>4543</v>
      </c>
      <c r="I2111" s="6">
        <v>526.6875</v>
      </c>
      <c r="J2111" s="2">
        <f t="shared" si="32"/>
        <v>43747.600654745365</v>
      </c>
    </row>
    <row r="2112" spans="1:10" x14ac:dyDescent="0.25">
      <c r="A2112" s="7" t="s">
        <v>4544</v>
      </c>
      <c r="B2112" s="8">
        <v>393.75</v>
      </c>
      <c r="C2112" s="8">
        <v>20.584240000000001</v>
      </c>
      <c r="D2112" s="8">
        <v>43</v>
      </c>
      <c r="E2112" s="8">
        <v>0</v>
      </c>
      <c r="F2112" s="8">
        <v>0</v>
      </c>
      <c r="G2112" s="8">
        <v>4</v>
      </c>
      <c r="H2112" s="8" t="s">
        <v>4545</v>
      </c>
      <c r="I2112" s="8">
        <v>526.6875</v>
      </c>
      <c r="J2112" s="3">
        <f t="shared" si="32"/>
        <v>43747.600737824068</v>
      </c>
    </row>
    <row r="2113" spans="1:10" x14ac:dyDescent="0.25">
      <c r="A2113" s="5" t="s">
        <v>4546</v>
      </c>
      <c r="B2113" s="6">
        <v>393.75</v>
      </c>
      <c r="C2113" s="6">
        <v>20.584240000000001</v>
      </c>
      <c r="D2113" s="6">
        <v>43</v>
      </c>
      <c r="E2113" s="6">
        <v>0</v>
      </c>
      <c r="F2113" s="6">
        <v>0</v>
      </c>
      <c r="G2113" s="6">
        <v>5</v>
      </c>
      <c r="H2113" s="6" t="s">
        <v>4547</v>
      </c>
      <c r="I2113" s="6">
        <v>526.6875</v>
      </c>
      <c r="J2113" s="2">
        <f t="shared" si="32"/>
        <v>43747.600809490737</v>
      </c>
    </row>
    <row r="2114" spans="1:10" x14ac:dyDescent="0.25">
      <c r="A2114" s="7" t="s">
        <v>4548</v>
      </c>
      <c r="B2114" s="8">
        <v>393.75</v>
      </c>
      <c r="C2114" s="8">
        <v>20.584240000000001</v>
      </c>
      <c r="D2114" s="8">
        <v>43</v>
      </c>
      <c r="E2114" s="8">
        <v>0</v>
      </c>
      <c r="F2114" s="8">
        <v>0</v>
      </c>
      <c r="G2114" s="8">
        <v>8</v>
      </c>
      <c r="H2114" s="8" t="s">
        <v>4549</v>
      </c>
      <c r="I2114" s="8">
        <v>526.6875</v>
      </c>
      <c r="J2114" s="3">
        <f t="shared" ref="J2114:J2177" si="33">(H2114/86400000)+25569+(7/24)</f>
        <v>43747.600904861109</v>
      </c>
    </row>
    <row r="2115" spans="1:10" x14ac:dyDescent="0.25">
      <c r="A2115" s="5" t="s">
        <v>4550</v>
      </c>
      <c r="B2115" s="6">
        <v>393.75</v>
      </c>
      <c r="C2115" s="6">
        <v>20.584240000000001</v>
      </c>
      <c r="D2115" s="6">
        <v>43</v>
      </c>
      <c r="E2115" s="6">
        <v>0</v>
      </c>
      <c r="F2115" s="6">
        <v>0</v>
      </c>
      <c r="G2115" s="6">
        <v>12</v>
      </c>
      <c r="H2115" s="6" t="s">
        <v>4551</v>
      </c>
      <c r="I2115" s="6">
        <v>526.6875</v>
      </c>
      <c r="J2115" s="2">
        <f t="shared" si="33"/>
        <v>43747.600976597219</v>
      </c>
    </row>
    <row r="2116" spans="1:10" x14ac:dyDescent="0.25">
      <c r="A2116" s="7" t="s">
        <v>4552</v>
      </c>
      <c r="B2116" s="8">
        <v>393.75</v>
      </c>
      <c r="C2116" s="8">
        <v>20.584240000000001</v>
      </c>
      <c r="D2116" s="8">
        <v>43</v>
      </c>
      <c r="E2116" s="8">
        <v>0</v>
      </c>
      <c r="F2116" s="8">
        <v>0</v>
      </c>
      <c r="G2116" s="8">
        <v>4</v>
      </c>
      <c r="H2116" s="8" t="s">
        <v>4553</v>
      </c>
      <c r="I2116" s="8">
        <v>526.6875</v>
      </c>
      <c r="J2116" s="3">
        <f t="shared" si="33"/>
        <v>43747.601060081019</v>
      </c>
    </row>
    <row r="2117" spans="1:10" x14ac:dyDescent="0.25">
      <c r="A2117" s="5" t="s">
        <v>4554</v>
      </c>
      <c r="B2117" s="6">
        <v>393.75</v>
      </c>
      <c r="C2117" s="6">
        <v>20.584240000000001</v>
      </c>
      <c r="D2117" s="6">
        <v>42</v>
      </c>
      <c r="E2117" s="6">
        <v>0</v>
      </c>
      <c r="F2117" s="6">
        <v>0</v>
      </c>
      <c r="G2117" s="6">
        <v>0</v>
      </c>
      <c r="H2117" s="6" t="s">
        <v>4555</v>
      </c>
      <c r="I2117" s="6">
        <v>526.5</v>
      </c>
      <c r="J2117" s="2">
        <f t="shared" si="33"/>
        <v>43747.601143611108</v>
      </c>
    </row>
    <row r="2118" spans="1:10" x14ac:dyDescent="0.25">
      <c r="A2118" s="7" t="s">
        <v>4556</v>
      </c>
      <c r="B2118" s="8">
        <v>393.75</v>
      </c>
      <c r="C2118" s="8">
        <v>20.584240000000001</v>
      </c>
      <c r="D2118" s="8">
        <v>41</v>
      </c>
      <c r="E2118" s="8">
        <v>0</v>
      </c>
      <c r="F2118" s="8">
        <v>0</v>
      </c>
      <c r="G2118" s="8">
        <v>8</v>
      </c>
      <c r="H2118" s="8" t="s">
        <v>4557</v>
      </c>
      <c r="I2118" s="8">
        <v>526.6875</v>
      </c>
      <c r="J2118" s="3">
        <f t="shared" si="33"/>
        <v>43747.601226712963</v>
      </c>
    </row>
    <row r="2119" spans="1:10" x14ac:dyDescent="0.25">
      <c r="A2119" s="5" t="s">
        <v>4558</v>
      </c>
      <c r="B2119" s="6">
        <v>393.75</v>
      </c>
      <c r="C2119" s="6">
        <v>20.531590000000001</v>
      </c>
      <c r="D2119" s="6">
        <v>41</v>
      </c>
      <c r="E2119" s="6">
        <v>0</v>
      </c>
      <c r="F2119" s="6">
        <v>0</v>
      </c>
      <c r="G2119" s="6">
        <v>8</v>
      </c>
      <c r="H2119" s="6" t="s">
        <v>4559</v>
      </c>
      <c r="I2119" s="6">
        <v>526.6875</v>
      </c>
      <c r="J2119" s="2">
        <f t="shared" si="33"/>
        <v>43747.60129835648</v>
      </c>
    </row>
    <row r="2120" spans="1:10" x14ac:dyDescent="0.25">
      <c r="A2120" s="7" t="s">
        <v>4560</v>
      </c>
      <c r="B2120" s="8">
        <v>393.75</v>
      </c>
      <c r="C2120" s="8">
        <v>20.584240000000001</v>
      </c>
      <c r="D2120" s="8">
        <v>41</v>
      </c>
      <c r="E2120" s="8">
        <v>0</v>
      </c>
      <c r="F2120" s="8">
        <v>0</v>
      </c>
      <c r="G2120" s="8">
        <v>4</v>
      </c>
      <c r="H2120" s="8" t="s">
        <v>4561</v>
      </c>
      <c r="I2120" s="8">
        <v>526.5</v>
      </c>
      <c r="J2120" s="3">
        <f t="shared" si="33"/>
        <v>43747.601384085647</v>
      </c>
    </row>
    <row r="2121" spans="1:10" x14ac:dyDescent="0.25">
      <c r="A2121" s="5" t="s">
        <v>4562</v>
      </c>
      <c r="B2121" s="6">
        <v>393.75</v>
      </c>
      <c r="C2121" s="6">
        <v>20.584240000000001</v>
      </c>
      <c r="D2121" s="6">
        <v>42</v>
      </c>
      <c r="E2121" s="6">
        <v>0</v>
      </c>
      <c r="F2121" s="6">
        <v>0</v>
      </c>
      <c r="G2121" s="6">
        <v>12</v>
      </c>
      <c r="H2121" s="6" t="s">
        <v>4563</v>
      </c>
      <c r="I2121" s="6">
        <v>526.6875</v>
      </c>
      <c r="J2121" s="2">
        <f t="shared" si="33"/>
        <v>43747.601465509259</v>
      </c>
    </row>
    <row r="2122" spans="1:10" x14ac:dyDescent="0.25">
      <c r="A2122" s="7" t="s">
        <v>4564</v>
      </c>
      <c r="B2122" s="8">
        <v>393.75</v>
      </c>
      <c r="C2122" s="8">
        <v>20.584240000000001</v>
      </c>
      <c r="D2122" s="8">
        <v>41</v>
      </c>
      <c r="E2122" s="8">
        <v>0</v>
      </c>
      <c r="F2122" s="8">
        <v>0</v>
      </c>
      <c r="G2122" s="8">
        <v>2</v>
      </c>
      <c r="H2122" s="8" t="s">
        <v>4565</v>
      </c>
      <c r="I2122" s="8">
        <v>526.6875</v>
      </c>
      <c r="J2122" s="3">
        <f t="shared" si="33"/>
        <v>43747.60154895833</v>
      </c>
    </row>
    <row r="2123" spans="1:10" x14ac:dyDescent="0.25">
      <c r="A2123" s="5" t="s">
        <v>4566</v>
      </c>
      <c r="B2123" s="6">
        <v>412.5</v>
      </c>
      <c r="C2123" s="6">
        <v>20.584240000000001</v>
      </c>
      <c r="D2123" s="6">
        <v>42</v>
      </c>
      <c r="E2123" s="6">
        <v>0</v>
      </c>
      <c r="F2123" s="6">
        <v>0</v>
      </c>
      <c r="G2123" s="6">
        <v>14</v>
      </c>
      <c r="H2123" s="6" t="s">
        <v>4567</v>
      </c>
      <c r="I2123" s="6">
        <v>532.3125</v>
      </c>
      <c r="J2123" s="2">
        <f t="shared" si="33"/>
        <v>43747.601632511571</v>
      </c>
    </row>
    <row r="2124" spans="1:10" x14ac:dyDescent="0.25">
      <c r="A2124" s="7" t="s">
        <v>4568</v>
      </c>
      <c r="B2124" s="8">
        <v>393.75</v>
      </c>
      <c r="C2124" s="8">
        <v>20.584240000000001</v>
      </c>
      <c r="D2124" s="8">
        <v>41</v>
      </c>
      <c r="E2124" s="8">
        <v>0</v>
      </c>
      <c r="F2124" s="8">
        <v>0</v>
      </c>
      <c r="G2124" s="8">
        <v>3</v>
      </c>
      <c r="H2124" s="8" t="s">
        <v>4569</v>
      </c>
      <c r="I2124" s="8">
        <v>526.6875</v>
      </c>
      <c r="J2124" s="3">
        <f t="shared" si="33"/>
        <v>43747.60171560185</v>
      </c>
    </row>
    <row r="2125" spans="1:10" x14ac:dyDescent="0.25">
      <c r="A2125" s="5" t="s">
        <v>4570</v>
      </c>
      <c r="B2125" s="6">
        <v>393.75</v>
      </c>
      <c r="C2125" s="6">
        <v>20.584240000000001</v>
      </c>
      <c r="D2125" s="6">
        <v>41</v>
      </c>
      <c r="E2125" s="6">
        <v>0</v>
      </c>
      <c r="F2125" s="6">
        <v>0</v>
      </c>
      <c r="G2125" s="6">
        <v>14</v>
      </c>
      <c r="H2125" s="6" t="s">
        <v>4571</v>
      </c>
      <c r="I2125" s="6">
        <v>526.6875</v>
      </c>
      <c r="J2125" s="2">
        <f t="shared" si="33"/>
        <v>43747.601787245367</v>
      </c>
    </row>
    <row r="2126" spans="1:10" x14ac:dyDescent="0.25">
      <c r="A2126" s="7" t="s">
        <v>4572</v>
      </c>
      <c r="B2126" s="8">
        <v>393.75</v>
      </c>
      <c r="C2126" s="8">
        <v>20.584240000000001</v>
      </c>
      <c r="D2126" s="8">
        <v>43</v>
      </c>
      <c r="E2126" s="8">
        <v>0</v>
      </c>
      <c r="F2126" s="8">
        <v>0</v>
      </c>
      <c r="G2126" s="8">
        <v>6</v>
      </c>
      <c r="H2126" s="8" t="s">
        <v>4573</v>
      </c>
      <c r="I2126" s="8">
        <v>526.6875</v>
      </c>
      <c r="J2126" s="3">
        <f t="shared" si="33"/>
        <v>43747.601882627314</v>
      </c>
    </row>
    <row r="2127" spans="1:10" x14ac:dyDescent="0.25">
      <c r="A2127" s="5" t="s">
        <v>4574</v>
      </c>
      <c r="B2127" s="6">
        <v>393.75</v>
      </c>
      <c r="C2127" s="6">
        <v>20.584240000000001</v>
      </c>
      <c r="D2127" s="6">
        <v>43</v>
      </c>
      <c r="E2127" s="6">
        <v>0</v>
      </c>
      <c r="F2127" s="6">
        <v>0</v>
      </c>
      <c r="G2127" s="6">
        <v>8</v>
      </c>
      <c r="H2127" s="6" t="s">
        <v>4575</v>
      </c>
      <c r="I2127" s="6">
        <v>526.6875</v>
      </c>
      <c r="J2127" s="2">
        <f t="shared" si="33"/>
        <v>43747.601954490739</v>
      </c>
    </row>
    <row r="2128" spans="1:10" x14ac:dyDescent="0.25">
      <c r="A2128" s="7" t="s">
        <v>4576</v>
      </c>
      <c r="B2128" s="8">
        <v>412.5</v>
      </c>
      <c r="C2128" s="8">
        <v>20.584240000000001</v>
      </c>
      <c r="D2128" s="8">
        <v>43</v>
      </c>
      <c r="E2128" s="8">
        <v>0</v>
      </c>
      <c r="F2128" s="8">
        <v>0</v>
      </c>
      <c r="G2128" s="8">
        <v>4</v>
      </c>
      <c r="H2128" s="8" t="s">
        <v>4577</v>
      </c>
      <c r="I2128" s="8">
        <v>532.3125</v>
      </c>
      <c r="J2128" s="3">
        <f t="shared" si="33"/>
        <v>43747.602037835641</v>
      </c>
    </row>
    <row r="2129" spans="1:10" x14ac:dyDescent="0.25">
      <c r="A2129" s="5" t="s">
        <v>4578</v>
      </c>
      <c r="B2129" s="6">
        <v>393.75</v>
      </c>
      <c r="C2129" s="6">
        <v>20.584240000000001</v>
      </c>
      <c r="D2129" s="6">
        <v>43</v>
      </c>
      <c r="E2129" s="6">
        <v>0</v>
      </c>
      <c r="F2129" s="6">
        <v>0</v>
      </c>
      <c r="G2129" s="6">
        <v>15</v>
      </c>
      <c r="H2129" s="6" t="s">
        <v>4579</v>
      </c>
      <c r="I2129" s="6">
        <v>526.6875</v>
      </c>
      <c r="J2129" s="2">
        <f t="shared" si="33"/>
        <v>43747.602121400465</v>
      </c>
    </row>
    <row r="2130" spans="1:10" x14ac:dyDescent="0.25">
      <c r="A2130" s="7" t="s">
        <v>4580</v>
      </c>
      <c r="B2130" s="8">
        <v>393.75</v>
      </c>
      <c r="C2130" s="8">
        <v>20.584240000000001</v>
      </c>
      <c r="D2130" s="8">
        <v>43</v>
      </c>
      <c r="E2130" s="8">
        <v>0</v>
      </c>
      <c r="F2130" s="8">
        <v>0</v>
      </c>
      <c r="G2130" s="8">
        <v>1</v>
      </c>
      <c r="H2130" s="8" t="s">
        <v>4581</v>
      </c>
      <c r="I2130" s="8">
        <v>526.6875</v>
      </c>
      <c r="J2130" s="3">
        <f t="shared" si="33"/>
        <v>43747.602204525458</v>
      </c>
    </row>
    <row r="2131" spans="1:10" x14ac:dyDescent="0.25">
      <c r="A2131" s="5" t="s">
        <v>4582</v>
      </c>
      <c r="B2131" s="6">
        <v>393.75</v>
      </c>
      <c r="C2131" s="6">
        <v>20.584240000000001</v>
      </c>
      <c r="D2131" s="6">
        <v>43</v>
      </c>
      <c r="E2131" s="6">
        <v>0</v>
      </c>
      <c r="F2131" s="6">
        <v>0</v>
      </c>
      <c r="G2131" s="6">
        <v>1</v>
      </c>
      <c r="H2131" s="6" t="s">
        <v>4583</v>
      </c>
      <c r="I2131" s="6">
        <v>526.6875</v>
      </c>
      <c r="J2131" s="2">
        <f t="shared" si="33"/>
        <v>43747.602276168975</v>
      </c>
    </row>
    <row r="2132" spans="1:10" x14ac:dyDescent="0.25">
      <c r="A2132" s="7" t="s">
        <v>4584</v>
      </c>
      <c r="B2132" s="8">
        <v>390.625</v>
      </c>
      <c r="C2132" s="8">
        <v>20.584240000000001</v>
      </c>
      <c r="D2132" s="8">
        <v>42</v>
      </c>
      <c r="E2132" s="8">
        <v>0</v>
      </c>
      <c r="F2132" s="8">
        <v>0</v>
      </c>
      <c r="G2132" s="8">
        <v>0</v>
      </c>
      <c r="H2132" s="8" t="s">
        <v>4585</v>
      </c>
      <c r="I2132" s="8">
        <v>525.9375</v>
      </c>
      <c r="J2132" s="3">
        <f t="shared" si="33"/>
        <v>43747.602360081015</v>
      </c>
    </row>
    <row r="2133" spans="1:10" x14ac:dyDescent="0.25">
      <c r="A2133" s="5" t="s">
        <v>4586</v>
      </c>
      <c r="B2133" s="6">
        <v>437.5</v>
      </c>
      <c r="C2133" s="6">
        <v>20.584240000000001</v>
      </c>
      <c r="D2133" s="6">
        <v>42</v>
      </c>
      <c r="E2133" s="6">
        <v>0</v>
      </c>
      <c r="F2133" s="6">
        <v>0</v>
      </c>
      <c r="G2133" s="6">
        <v>0</v>
      </c>
      <c r="H2133" s="6" t="s">
        <v>4587</v>
      </c>
      <c r="I2133" s="6">
        <v>540.375</v>
      </c>
      <c r="J2133" s="2">
        <f t="shared" si="33"/>
        <v>43747.602443530086</v>
      </c>
    </row>
    <row r="2134" spans="1:10" x14ac:dyDescent="0.25">
      <c r="A2134" s="7" t="s">
        <v>4588</v>
      </c>
      <c r="B2134" s="8">
        <v>393.75</v>
      </c>
      <c r="C2134" s="8">
        <v>20.584240000000001</v>
      </c>
      <c r="D2134" s="8">
        <v>45</v>
      </c>
      <c r="E2134" s="8">
        <v>0</v>
      </c>
      <c r="F2134" s="8">
        <v>0</v>
      </c>
      <c r="G2134" s="8">
        <v>5</v>
      </c>
      <c r="H2134" s="8" t="s">
        <v>4589</v>
      </c>
      <c r="I2134" s="8">
        <v>526.6875</v>
      </c>
      <c r="J2134" s="3">
        <f t="shared" si="33"/>
        <v>43747.602526724535</v>
      </c>
    </row>
    <row r="2135" spans="1:10" x14ac:dyDescent="0.25">
      <c r="A2135" s="5" t="s">
        <v>4590</v>
      </c>
      <c r="B2135" s="6">
        <v>393.75</v>
      </c>
      <c r="C2135" s="6">
        <v>20.584240000000001</v>
      </c>
      <c r="D2135" s="6">
        <v>45</v>
      </c>
      <c r="E2135" s="6">
        <v>0</v>
      </c>
      <c r="F2135" s="6">
        <v>0</v>
      </c>
      <c r="G2135" s="6">
        <v>7</v>
      </c>
      <c r="H2135" s="6" t="s">
        <v>4591</v>
      </c>
      <c r="I2135" s="6">
        <v>526.6875</v>
      </c>
      <c r="J2135" s="2">
        <f t="shared" si="33"/>
        <v>43747.602610289345</v>
      </c>
    </row>
    <row r="2136" spans="1:10" x14ac:dyDescent="0.25">
      <c r="A2136" s="7" t="s">
        <v>4592</v>
      </c>
      <c r="B2136" s="8">
        <v>393.75</v>
      </c>
      <c r="C2136" s="8">
        <v>20.584240000000001</v>
      </c>
      <c r="D2136" s="8">
        <v>44</v>
      </c>
      <c r="E2136" s="8">
        <v>0</v>
      </c>
      <c r="F2136" s="8">
        <v>0</v>
      </c>
      <c r="G2136" s="8">
        <v>5</v>
      </c>
      <c r="H2136" s="8" t="s">
        <v>4593</v>
      </c>
      <c r="I2136" s="8">
        <v>526.6875</v>
      </c>
      <c r="J2136" s="3">
        <f t="shared" si="33"/>
        <v>43747.602693402776</v>
      </c>
    </row>
    <row r="2137" spans="1:10" x14ac:dyDescent="0.25">
      <c r="A2137" s="5" t="s">
        <v>4594</v>
      </c>
      <c r="B2137" s="6">
        <v>393.75</v>
      </c>
      <c r="C2137" s="6">
        <v>20.584240000000001</v>
      </c>
      <c r="D2137" s="6">
        <v>44</v>
      </c>
      <c r="E2137" s="6">
        <v>0</v>
      </c>
      <c r="F2137" s="6">
        <v>0</v>
      </c>
      <c r="G2137" s="6">
        <v>7</v>
      </c>
      <c r="H2137" s="6" t="s">
        <v>4595</v>
      </c>
      <c r="I2137" s="6">
        <v>526.6875</v>
      </c>
      <c r="J2137" s="2">
        <f t="shared" si="33"/>
        <v>43747.602765266201</v>
      </c>
    </row>
    <row r="2138" spans="1:10" x14ac:dyDescent="0.25">
      <c r="A2138" s="7" t="s">
        <v>4596</v>
      </c>
      <c r="B2138" s="8">
        <v>431.25</v>
      </c>
      <c r="C2138" s="8">
        <v>20.584240000000001</v>
      </c>
      <c r="D2138" s="8">
        <v>43</v>
      </c>
      <c r="E2138" s="8">
        <v>0</v>
      </c>
      <c r="F2138" s="8">
        <v>0</v>
      </c>
      <c r="G2138" s="8">
        <v>10</v>
      </c>
      <c r="H2138" s="8" t="s">
        <v>4597</v>
      </c>
      <c r="I2138" s="8">
        <v>538.6875</v>
      </c>
      <c r="J2138" s="3">
        <f t="shared" si="33"/>
        <v>43747.602848969902</v>
      </c>
    </row>
    <row r="2139" spans="1:10" x14ac:dyDescent="0.25">
      <c r="A2139" s="5" t="s">
        <v>4598</v>
      </c>
      <c r="B2139" s="6">
        <v>393.75</v>
      </c>
      <c r="C2139" s="6">
        <v>20.584240000000001</v>
      </c>
      <c r="D2139" s="6">
        <v>43</v>
      </c>
      <c r="E2139" s="6">
        <v>0</v>
      </c>
      <c r="F2139" s="6">
        <v>0</v>
      </c>
      <c r="G2139" s="6">
        <v>13</v>
      </c>
      <c r="H2139" s="6" t="s">
        <v>4599</v>
      </c>
      <c r="I2139" s="6">
        <v>526.6875</v>
      </c>
      <c r="J2139" s="2">
        <f t="shared" si="33"/>
        <v>43747.602932291666</v>
      </c>
    </row>
    <row r="2140" spans="1:10" x14ac:dyDescent="0.25">
      <c r="A2140" s="7" t="s">
        <v>4600</v>
      </c>
      <c r="B2140" s="8">
        <v>393.75</v>
      </c>
      <c r="C2140" s="8">
        <v>20.584240000000001</v>
      </c>
      <c r="D2140" s="8">
        <v>43</v>
      </c>
      <c r="E2140" s="8">
        <v>0</v>
      </c>
      <c r="F2140" s="8">
        <v>0</v>
      </c>
      <c r="G2140" s="8">
        <v>2</v>
      </c>
      <c r="H2140" s="8" t="s">
        <v>4601</v>
      </c>
      <c r="I2140" s="8">
        <v>526.6875</v>
      </c>
      <c r="J2140" s="3">
        <f t="shared" si="33"/>
        <v>43747.603015636567</v>
      </c>
    </row>
    <row r="2141" spans="1:10" x14ac:dyDescent="0.25">
      <c r="A2141" s="5" t="s">
        <v>4602</v>
      </c>
      <c r="B2141" s="6">
        <v>393.75</v>
      </c>
      <c r="C2141" s="6">
        <v>20.584240000000001</v>
      </c>
      <c r="D2141" s="6">
        <v>41</v>
      </c>
      <c r="E2141" s="6">
        <v>0</v>
      </c>
      <c r="F2141" s="6">
        <v>0</v>
      </c>
      <c r="G2141" s="6">
        <v>10</v>
      </c>
      <c r="H2141" s="6" t="s">
        <v>4603</v>
      </c>
      <c r="I2141" s="6">
        <v>526.6875</v>
      </c>
      <c r="J2141" s="2">
        <f t="shared" si="33"/>
        <v>43747.603099178239</v>
      </c>
    </row>
    <row r="2142" spans="1:10" x14ac:dyDescent="0.25">
      <c r="A2142" s="7" t="s">
        <v>4604</v>
      </c>
      <c r="B2142" s="8">
        <v>393.75</v>
      </c>
      <c r="C2142" s="8">
        <v>20.584240000000001</v>
      </c>
      <c r="D2142" s="8">
        <v>41</v>
      </c>
      <c r="E2142" s="8">
        <v>0</v>
      </c>
      <c r="F2142" s="8">
        <v>0</v>
      </c>
      <c r="G2142" s="8">
        <v>8</v>
      </c>
      <c r="H2142" s="8" t="s">
        <v>4605</v>
      </c>
      <c r="I2142" s="8">
        <v>526.6875</v>
      </c>
      <c r="J2142" s="3">
        <f t="shared" si="33"/>
        <v>43747.603182303239</v>
      </c>
    </row>
    <row r="2143" spans="1:10" x14ac:dyDescent="0.25">
      <c r="A2143" s="5" t="s">
        <v>4606</v>
      </c>
      <c r="B2143" s="6">
        <v>393.75</v>
      </c>
      <c r="C2143" s="6">
        <v>20.584240000000001</v>
      </c>
      <c r="D2143" s="6">
        <v>41</v>
      </c>
      <c r="E2143" s="6">
        <v>0</v>
      </c>
      <c r="F2143" s="6">
        <v>0</v>
      </c>
      <c r="G2143" s="6">
        <v>6</v>
      </c>
      <c r="H2143" s="6" t="s">
        <v>4607</v>
      </c>
      <c r="I2143" s="6">
        <v>526.6875</v>
      </c>
      <c r="J2143" s="2">
        <f t="shared" si="33"/>
        <v>43747.603253946756</v>
      </c>
    </row>
    <row r="2144" spans="1:10" x14ac:dyDescent="0.25">
      <c r="A2144" s="7" t="s">
        <v>4608</v>
      </c>
      <c r="B2144" s="8">
        <v>393.75</v>
      </c>
      <c r="C2144" s="8">
        <v>20.584240000000001</v>
      </c>
      <c r="D2144" s="8">
        <v>42</v>
      </c>
      <c r="E2144" s="8">
        <v>0</v>
      </c>
      <c r="F2144" s="8">
        <v>0</v>
      </c>
      <c r="G2144" s="8">
        <v>11</v>
      </c>
      <c r="H2144" s="8" t="s">
        <v>4609</v>
      </c>
      <c r="I2144" s="8">
        <v>526.6875</v>
      </c>
      <c r="J2144" s="3">
        <f t="shared" si="33"/>
        <v>43747.603337858796</v>
      </c>
    </row>
    <row r="2145" spans="1:10" x14ac:dyDescent="0.25">
      <c r="A2145" s="5" t="s">
        <v>4610</v>
      </c>
      <c r="B2145" s="6">
        <v>393.75</v>
      </c>
      <c r="C2145" s="6">
        <v>20.584240000000001</v>
      </c>
      <c r="D2145" s="6">
        <v>43</v>
      </c>
      <c r="E2145" s="6">
        <v>0</v>
      </c>
      <c r="F2145" s="6">
        <v>0</v>
      </c>
      <c r="G2145" s="6">
        <v>8</v>
      </c>
      <c r="H2145" s="6" t="s">
        <v>4611</v>
      </c>
      <c r="I2145" s="6">
        <v>526.6875</v>
      </c>
      <c r="J2145" s="2">
        <f t="shared" si="33"/>
        <v>43747.603421296291</v>
      </c>
    </row>
    <row r="2146" spans="1:10" x14ac:dyDescent="0.25">
      <c r="A2146" s="7" t="s">
        <v>4612</v>
      </c>
      <c r="B2146" s="8">
        <v>393.75</v>
      </c>
      <c r="C2146" s="8">
        <v>20.584240000000001</v>
      </c>
      <c r="D2146" s="8">
        <v>42</v>
      </c>
      <c r="E2146" s="8">
        <v>0</v>
      </c>
      <c r="F2146" s="8">
        <v>0</v>
      </c>
      <c r="G2146" s="8">
        <v>10</v>
      </c>
      <c r="H2146" s="8" t="s">
        <v>4613</v>
      </c>
      <c r="I2146" s="8">
        <v>526.6875</v>
      </c>
      <c r="J2146" s="3">
        <f t="shared" si="33"/>
        <v>43747.603504525461</v>
      </c>
    </row>
    <row r="2147" spans="1:10" x14ac:dyDescent="0.25">
      <c r="A2147" s="5" t="s">
        <v>4614</v>
      </c>
      <c r="B2147" s="6">
        <v>393.75</v>
      </c>
      <c r="C2147" s="6">
        <v>20.584240000000001</v>
      </c>
      <c r="D2147" s="6">
        <v>42</v>
      </c>
      <c r="E2147" s="6">
        <v>0</v>
      </c>
      <c r="F2147" s="6">
        <v>0</v>
      </c>
      <c r="G2147" s="6">
        <v>9</v>
      </c>
      <c r="H2147" s="6" t="s">
        <v>4615</v>
      </c>
      <c r="I2147" s="6">
        <v>526.6875</v>
      </c>
      <c r="J2147" s="2">
        <f t="shared" si="33"/>
        <v>43747.603588078702</v>
      </c>
    </row>
    <row r="2148" spans="1:10" x14ac:dyDescent="0.25">
      <c r="A2148" s="7" t="s">
        <v>4616</v>
      </c>
      <c r="B2148" s="8">
        <v>393.75</v>
      </c>
      <c r="C2148" s="8">
        <v>20.584240000000001</v>
      </c>
      <c r="D2148" s="8">
        <v>42</v>
      </c>
      <c r="E2148" s="8">
        <v>0</v>
      </c>
      <c r="F2148" s="8">
        <v>0</v>
      </c>
      <c r="G2148" s="8">
        <v>15</v>
      </c>
      <c r="H2148" s="8" t="s">
        <v>4617</v>
      </c>
      <c r="I2148" s="8">
        <v>526.6875</v>
      </c>
      <c r="J2148" s="3">
        <f t="shared" si="33"/>
        <v>43747.603671203702</v>
      </c>
    </row>
    <row r="2149" spans="1:10" x14ac:dyDescent="0.25">
      <c r="A2149" s="5" t="s">
        <v>4618</v>
      </c>
      <c r="B2149" s="6">
        <v>393.75</v>
      </c>
      <c r="C2149" s="6">
        <v>20.584240000000001</v>
      </c>
      <c r="D2149" s="6">
        <v>42</v>
      </c>
      <c r="E2149" s="6">
        <v>0</v>
      </c>
      <c r="F2149" s="6">
        <v>0</v>
      </c>
      <c r="G2149" s="6">
        <v>4</v>
      </c>
      <c r="H2149" s="6" t="s">
        <v>4619</v>
      </c>
      <c r="I2149" s="6">
        <v>526.6875</v>
      </c>
      <c r="J2149" s="2">
        <f t="shared" si="33"/>
        <v>43747.603742962958</v>
      </c>
    </row>
    <row r="2150" spans="1:10" x14ac:dyDescent="0.25">
      <c r="A2150" s="7" t="s">
        <v>4620</v>
      </c>
      <c r="B2150" s="8">
        <v>393.75</v>
      </c>
      <c r="C2150" s="8">
        <v>20.584240000000001</v>
      </c>
      <c r="D2150" s="8">
        <v>43</v>
      </c>
      <c r="E2150" s="8">
        <v>0</v>
      </c>
      <c r="F2150" s="8">
        <v>0</v>
      </c>
      <c r="G2150" s="8">
        <v>13</v>
      </c>
      <c r="H2150" s="8" t="s">
        <v>4621</v>
      </c>
      <c r="I2150" s="8">
        <v>526.6875</v>
      </c>
      <c r="J2150" s="3">
        <f t="shared" si="33"/>
        <v>43747.603826516199</v>
      </c>
    </row>
    <row r="2151" spans="1:10" x14ac:dyDescent="0.25">
      <c r="A2151" s="5" t="s">
        <v>4622</v>
      </c>
      <c r="B2151" s="6">
        <v>393.75</v>
      </c>
      <c r="C2151" s="6">
        <v>20.584240000000001</v>
      </c>
      <c r="D2151" s="6">
        <v>43</v>
      </c>
      <c r="E2151" s="6">
        <v>0</v>
      </c>
      <c r="F2151" s="6">
        <v>0</v>
      </c>
      <c r="G2151" s="6">
        <v>15</v>
      </c>
      <c r="H2151" s="6" t="s">
        <v>4623</v>
      </c>
      <c r="I2151" s="6">
        <v>526.6875</v>
      </c>
      <c r="J2151" s="2">
        <f t="shared" si="33"/>
        <v>43747.603910196754</v>
      </c>
    </row>
    <row r="2152" spans="1:10" x14ac:dyDescent="0.25">
      <c r="A2152" s="7" t="s">
        <v>4624</v>
      </c>
      <c r="B2152" s="8">
        <v>393.75</v>
      </c>
      <c r="C2152" s="8">
        <v>20.531590000000001</v>
      </c>
      <c r="D2152" s="8">
        <v>43</v>
      </c>
      <c r="E2152" s="8">
        <v>0</v>
      </c>
      <c r="F2152" s="8">
        <v>0</v>
      </c>
      <c r="G2152" s="8">
        <v>21</v>
      </c>
      <c r="H2152" s="8" t="s">
        <v>4625</v>
      </c>
      <c r="I2152" s="8">
        <v>526.6875</v>
      </c>
      <c r="J2152" s="3">
        <f t="shared" si="33"/>
        <v>43747.603993402772</v>
      </c>
    </row>
    <row r="2153" spans="1:10" x14ac:dyDescent="0.25">
      <c r="A2153" s="5" t="s">
        <v>4626</v>
      </c>
      <c r="B2153" s="6">
        <v>412.5</v>
      </c>
      <c r="C2153" s="6">
        <v>20.584240000000001</v>
      </c>
      <c r="D2153" s="6">
        <v>44</v>
      </c>
      <c r="E2153" s="6">
        <v>0</v>
      </c>
      <c r="F2153" s="6">
        <v>0</v>
      </c>
      <c r="G2153" s="6">
        <v>15</v>
      </c>
      <c r="H2153" s="6" t="s">
        <v>4627</v>
      </c>
      <c r="I2153" s="6">
        <v>532.3125</v>
      </c>
      <c r="J2153" s="2">
        <f t="shared" si="33"/>
        <v>43747.60408493055</v>
      </c>
    </row>
    <row r="2154" spans="1:10" x14ac:dyDescent="0.25">
      <c r="A2154" s="7" t="s">
        <v>4628</v>
      </c>
      <c r="B2154" s="8">
        <v>393.75</v>
      </c>
      <c r="C2154" s="8">
        <v>20.584240000000001</v>
      </c>
      <c r="D2154" s="8">
        <v>44</v>
      </c>
      <c r="E2154" s="8">
        <v>0</v>
      </c>
      <c r="F2154" s="8">
        <v>0</v>
      </c>
      <c r="G2154" s="8">
        <v>7</v>
      </c>
      <c r="H2154" s="8" t="s">
        <v>4629</v>
      </c>
      <c r="I2154" s="8">
        <v>526.6875</v>
      </c>
      <c r="J2154" s="3">
        <f t="shared" si="33"/>
        <v>43747.604160057868</v>
      </c>
    </row>
    <row r="2155" spans="1:10" x14ac:dyDescent="0.25">
      <c r="A2155" s="5" t="s">
        <v>4630</v>
      </c>
      <c r="B2155" s="6">
        <v>393.75</v>
      </c>
      <c r="C2155" s="6">
        <v>20.584240000000001</v>
      </c>
      <c r="D2155" s="6">
        <v>44</v>
      </c>
      <c r="E2155" s="6">
        <v>0</v>
      </c>
      <c r="F2155" s="6">
        <v>0</v>
      </c>
      <c r="G2155" s="6">
        <v>8</v>
      </c>
      <c r="H2155" s="6" t="s">
        <v>4631</v>
      </c>
      <c r="I2155" s="6">
        <v>526.6875</v>
      </c>
      <c r="J2155" s="2">
        <f t="shared" si="33"/>
        <v>43747.604231354162</v>
      </c>
    </row>
    <row r="2156" spans="1:10" x14ac:dyDescent="0.25">
      <c r="A2156" s="7" t="s">
        <v>4632</v>
      </c>
      <c r="B2156" s="8">
        <v>393.75</v>
      </c>
      <c r="C2156" s="8">
        <v>20.584240000000001</v>
      </c>
      <c r="D2156" s="8">
        <v>42</v>
      </c>
      <c r="E2156" s="8">
        <v>0</v>
      </c>
      <c r="F2156" s="8">
        <v>0</v>
      </c>
      <c r="G2156" s="8">
        <v>5</v>
      </c>
      <c r="H2156" s="8" t="s">
        <v>4633</v>
      </c>
      <c r="I2156" s="8">
        <v>526.6875</v>
      </c>
      <c r="J2156" s="3">
        <f t="shared" si="33"/>
        <v>43747.604303599532</v>
      </c>
    </row>
    <row r="2157" spans="1:10" x14ac:dyDescent="0.25">
      <c r="A2157" s="5" t="s">
        <v>4634</v>
      </c>
      <c r="B2157" s="6">
        <v>393.75</v>
      </c>
      <c r="C2157" s="6">
        <v>20.584240000000001</v>
      </c>
      <c r="D2157" s="6">
        <v>42</v>
      </c>
      <c r="E2157" s="6">
        <v>0</v>
      </c>
      <c r="F2157" s="6">
        <v>0</v>
      </c>
      <c r="G2157" s="6">
        <v>8</v>
      </c>
      <c r="H2157" s="6" t="s">
        <v>4635</v>
      </c>
      <c r="I2157" s="6">
        <v>526.6875</v>
      </c>
      <c r="J2157" s="2">
        <f t="shared" si="33"/>
        <v>43747.604387025458</v>
      </c>
    </row>
    <row r="2158" spans="1:10" x14ac:dyDescent="0.25">
      <c r="A2158" s="7" t="s">
        <v>4636</v>
      </c>
      <c r="B2158" s="8">
        <v>393.75</v>
      </c>
      <c r="C2158" s="8">
        <v>20.584240000000001</v>
      </c>
      <c r="D2158" s="8">
        <v>42</v>
      </c>
      <c r="E2158" s="8">
        <v>0</v>
      </c>
      <c r="F2158" s="8">
        <v>0</v>
      </c>
      <c r="G2158" s="8">
        <v>15</v>
      </c>
      <c r="H2158" s="8" t="s">
        <v>4637</v>
      </c>
      <c r="I2158" s="8">
        <v>526.6875</v>
      </c>
      <c r="J2158" s="3">
        <f t="shared" si="33"/>
        <v>43747.604458437498</v>
      </c>
    </row>
    <row r="2159" spans="1:10" x14ac:dyDescent="0.25">
      <c r="A2159" s="5" t="s">
        <v>4638</v>
      </c>
      <c r="B2159" s="6">
        <v>393.75</v>
      </c>
      <c r="C2159" s="6">
        <v>20.584240000000001</v>
      </c>
      <c r="D2159" s="6">
        <v>42</v>
      </c>
      <c r="E2159" s="6">
        <v>0</v>
      </c>
      <c r="F2159" s="6">
        <v>0</v>
      </c>
      <c r="G2159" s="6">
        <v>12</v>
      </c>
      <c r="H2159" s="6" t="s">
        <v>4639</v>
      </c>
      <c r="I2159" s="6">
        <v>526.6875</v>
      </c>
      <c r="J2159" s="2">
        <f t="shared" si="33"/>
        <v>43747.604553645833</v>
      </c>
    </row>
    <row r="2160" spans="1:10" x14ac:dyDescent="0.25">
      <c r="A2160" s="7" t="s">
        <v>4640</v>
      </c>
      <c r="B2160" s="8">
        <v>393.75</v>
      </c>
      <c r="C2160" s="8">
        <v>20.584240000000001</v>
      </c>
      <c r="D2160" s="8">
        <v>43</v>
      </c>
      <c r="E2160" s="8">
        <v>0</v>
      </c>
      <c r="F2160" s="8">
        <v>0</v>
      </c>
      <c r="G2160" s="8">
        <v>9</v>
      </c>
      <c r="H2160" s="8" t="s">
        <v>4641</v>
      </c>
      <c r="I2160" s="8">
        <v>526.5</v>
      </c>
      <c r="J2160" s="3">
        <f t="shared" si="33"/>
        <v>43747.604625416665</v>
      </c>
    </row>
    <row r="2161" spans="1:10" x14ac:dyDescent="0.25">
      <c r="A2161" s="5" t="s">
        <v>4642</v>
      </c>
      <c r="B2161" s="6">
        <v>393.75</v>
      </c>
      <c r="C2161" s="6">
        <v>20.584240000000001</v>
      </c>
      <c r="D2161" s="6">
        <v>43</v>
      </c>
      <c r="E2161" s="6">
        <v>0</v>
      </c>
      <c r="F2161" s="6">
        <v>0</v>
      </c>
      <c r="G2161" s="6">
        <v>6</v>
      </c>
      <c r="H2161" s="6" t="s">
        <v>4643</v>
      </c>
      <c r="I2161" s="6">
        <v>526.6875</v>
      </c>
      <c r="J2161" s="2">
        <f t="shared" si="33"/>
        <v>43747.604708981475</v>
      </c>
    </row>
    <row r="2162" spans="1:10" x14ac:dyDescent="0.25">
      <c r="A2162" s="7" t="s">
        <v>4644</v>
      </c>
      <c r="B2162" s="8">
        <v>393.75</v>
      </c>
      <c r="C2162" s="8">
        <v>20.584240000000001</v>
      </c>
      <c r="D2162" s="8">
        <v>43</v>
      </c>
      <c r="E2162" s="8">
        <v>0</v>
      </c>
      <c r="F2162" s="8">
        <v>0</v>
      </c>
      <c r="G2162" s="8">
        <v>5</v>
      </c>
      <c r="H2162" s="8" t="s">
        <v>4645</v>
      </c>
      <c r="I2162" s="8">
        <v>526.6875</v>
      </c>
      <c r="J2162" s="3">
        <f t="shared" si="33"/>
        <v>43747.604780578702</v>
      </c>
    </row>
    <row r="2163" spans="1:10" x14ac:dyDescent="0.25">
      <c r="A2163" s="5" t="s">
        <v>4646</v>
      </c>
      <c r="B2163" s="6">
        <v>393.75</v>
      </c>
      <c r="C2163" s="6">
        <v>20.531590000000001</v>
      </c>
      <c r="D2163" s="6">
        <v>43</v>
      </c>
      <c r="E2163" s="6">
        <v>0</v>
      </c>
      <c r="F2163" s="6">
        <v>0</v>
      </c>
      <c r="G2163" s="6">
        <v>11</v>
      </c>
      <c r="H2163" s="6" t="s">
        <v>4647</v>
      </c>
      <c r="I2163" s="6">
        <v>526.6875</v>
      </c>
      <c r="J2163" s="2">
        <f t="shared" si="33"/>
        <v>43747.604852037031</v>
      </c>
    </row>
    <row r="2164" spans="1:10" x14ac:dyDescent="0.25">
      <c r="A2164" s="7" t="s">
        <v>4648</v>
      </c>
      <c r="B2164" s="8">
        <v>393.75</v>
      </c>
      <c r="C2164" s="8">
        <v>20.584240000000001</v>
      </c>
      <c r="D2164" s="8">
        <v>43</v>
      </c>
      <c r="E2164" s="8">
        <v>0</v>
      </c>
      <c r="F2164" s="8">
        <v>0</v>
      </c>
      <c r="G2164" s="8">
        <v>9</v>
      </c>
      <c r="H2164" s="8" t="s">
        <v>4649</v>
      </c>
      <c r="I2164" s="8">
        <v>526.6875</v>
      </c>
      <c r="J2164" s="3">
        <f t="shared" si="33"/>
        <v>43747.60493548611</v>
      </c>
    </row>
    <row r="2165" spans="1:10" x14ac:dyDescent="0.25">
      <c r="A2165" s="5" t="s">
        <v>4650</v>
      </c>
      <c r="B2165" s="6">
        <v>393.75</v>
      </c>
      <c r="C2165" s="6">
        <v>20.584240000000001</v>
      </c>
      <c r="D2165" s="6">
        <v>43</v>
      </c>
      <c r="E2165" s="6">
        <v>0</v>
      </c>
      <c r="F2165" s="6">
        <v>0</v>
      </c>
      <c r="G2165" s="6">
        <v>8</v>
      </c>
      <c r="H2165" s="6" t="s">
        <v>4651</v>
      </c>
      <c r="I2165" s="6">
        <v>526.6875</v>
      </c>
      <c r="J2165" s="2">
        <f t="shared" si="33"/>
        <v>43747.605018935188</v>
      </c>
    </row>
    <row r="2166" spans="1:10" x14ac:dyDescent="0.25">
      <c r="A2166" s="7" t="s">
        <v>4652</v>
      </c>
      <c r="B2166" s="8">
        <v>393.75</v>
      </c>
      <c r="C2166" s="8">
        <v>20.531590000000001</v>
      </c>
      <c r="D2166" s="8">
        <v>43</v>
      </c>
      <c r="E2166" s="8">
        <v>0</v>
      </c>
      <c r="F2166" s="8">
        <v>0</v>
      </c>
      <c r="G2166" s="8">
        <v>0</v>
      </c>
      <c r="H2166" s="8" t="s">
        <v>4653</v>
      </c>
      <c r="I2166" s="8">
        <v>526.6875</v>
      </c>
      <c r="J2166" s="3">
        <f t="shared" si="33"/>
        <v>43747.60510252315</v>
      </c>
    </row>
    <row r="2167" spans="1:10" x14ac:dyDescent="0.25">
      <c r="A2167" s="5" t="s">
        <v>4654</v>
      </c>
      <c r="B2167" s="6">
        <v>393.75</v>
      </c>
      <c r="C2167" s="6">
        <v>20.531590000000001</v>
      </c>
      <c r="D2167" s="6">
        <v>43</v>
      </c>
      <c r="E2167" s="6">
        <v>0</v>
      </c>
      <c r="F2167" s="6">
        <v>0</v>
      </c>
      <c r="G2167" s="6">
        <v>11</v>
      </c>
      <c r="H2167" s="6" t="s">
        <v>4655</v>
      </c>
      <c r="I2167" s="6">
        <v>526.6875</v>
      </c>
      <c r="J2167" s="2">
        <f t="shared" si="33"/>
        <v>43747.605185949076</v>
      </c>
    </row>
    <row r="2168" spans="1:10" x14ac:dyDescent="0.25">
      <c r="A2168" s="7" t="s">
        <v>4656</v>
      </c>
      <c r="B2168" s="8">
        <v>393.75</v>
      </c>
      <c r="C2168" s="8">
        <v>20.584240000000001</v>
      </c>
      <c r="D2168" s="8">
        <v>42</v>
      </c>
      <c r="E2168" s="8">
        <v>0</v>
      </c>
      <c r="F2168" s="8">
        <v>0</v>
      </c>
      <c r="G2168" s="8">
        <v>7</v>
      </c>
      <c r="H2168" s="8" t="s">
        <v>4657</v>
      </c>
      <c r="I2168" s="8">
        <v>526.5</v>
      </c>
      <c r="J2168" s="3">
        <f t="shared" si="33"/>
        <v>43747.605269398147</v>
      </c>
    </row>
    <row r="2169" spans="1:10" x14ac:dyDescent="0.25">
      <c r="A2169" s="5" t="s">
        <v>4658</v>
      </c>
      <c r="B2169" s="6">
        <v>412.5</v>
      </c>
      <c r="C2169" s="6">
        <v>20.584240000000001</v>
      </c>
      <c r="D2169" s="6">
        <v>42</v>
      </c>
      <c r="E2169" s="6">
        <v>0</v>
      </c>
      <c r="F2169" s="6">
        <v>0</v>
      </c>
      <c r="G2169" s="6">
        <v>11</v>
      </c>
      <c r="H2169" s="6" t="s">
        <v>4659</v>
      </c>
      <c r="I2169" s="6">
        <v>532.5</v>
      </c>
      <c r="J2169" s="2">
        <f t="shared" si="33"/>
        <v>43747.605353310188</v>
      </c>
    </row>
    <row r="2170" spans="1:10" x14ac:dyDescent="0.25">
      <c r="A2170" s="7" t="s">
        <v>4660</v>
      </c>
      <c r="B2170" s="8">
        <v>393.75</v>
      </c>
      <c r="C2170" s="8">
        <v>20.584240000000001</v>
      </c>
      <c r="D2170" s="8">
        <v>42</v>
      </c>
      <c r="E2170" s="8">
        <v>0</v>
      </c>
      <c r="F2170" s="8">
        <v>0</v>
      </c>
      <c r="G2170" s="8">
        <v>16</v>
      </c>
      <c r="H2170" s="8" t="s">
        <v>4661</v>
      </c>
      <c r="I2170" s="8">
        <v>526.6875</v>
      </c>
      <c r="J2170" s="3">
        <f t="shared" si="33"/>
        <v>43747.605424293979</v>
      </c>
    </row>
    <row r="2171" spans="1:10" x14ac:dyDescent="0.25">
      <c r="A2171" s="5" t="s">
        <v>4662</v>
      </c>
      <c r="B2171" s="6">
        <v>393.75</v>
      </c>
      <c r="C2171" s="6">
        <v>20.584240000000001</v>
      </c>
      <c r="D2171" s="6">
        <v>42</v>
      </c>
      <c r="E2171" s="6">
        <v>0</v>
      </c>
      <c r="F2171" s="6">
        <v>0</v>
      </c>
      <c r="G2171" s="6">
        <v>3</v>
      </c>
      <c r="H2171" s="6" t="s">
        <v>4663</v>
      </c>
      <c r="I2171" s="6">
        <v>526.6875</v>
      </c>
      <c r="J2171" s="2">
        <f t="shared" si="33"/>
        <v>43747.605496018521</v>
      </c>
    </row>
    <row r="2172" spans="1:10" x14ac:dyDescent="0.25">
      <c r="A2172" s="7" t="s">
        <v>4664</v>
      </c>
      <c r="B2172" s="8">
        <v>393.75</v>
      </c>
      <c r="C2172" s="8">
        <v>20.584240000000001</v>
      </c>
      <c r="D2172" s="8">
        <v>43</v>
      </c>
      <c r="E2172" s="8">
        <v>0</v>
      </c>
      <c r="F2172" s="8">
        <v>0</v>
      </c>
      <c r="G2172" s="8">
        <v>5</v>
      </c>
      <c r="H2172" s="8" t="s">
        <v>4665</v>
      </c>
      <c r="I2172" s="8">
        <v>526.6875</v>
      </c>
      <c r="J2172" s="3">
        <f t="shared" si="33"/>
        <v>43747.605579502313</v>
      </c>
    </row>
    <row r="2173" spans="1:10" x14ac:dyDescent="0.25">
      <c r="A2173" s="5" t="s">
        <v>4666</v>
      </c>
      <c r="B2173" s="6">
        <v>393.75</v>
      </c>
      <c r="C2173" s="6">
        <v>20.584240000000001</v>
      </c>
      <c r="D2173" s="6">
        <v>43</v>
      </c>
      <c r="E2173" s="6">
        <v>0</v>
      </c>
      <c r="F2173" s="6">
        <v>0</v>
      </c>
      <c r="G2173" s="6">
        <v>14</v>
      </c>
      <c r="H2173" s="6" t="s">
        <v>4667</v>
      </c>
      <c r="I2173" s="6">
        <v>526.6875</v>
      </c>
      <c r="J2173" s="2">
        <f t="shared" si="33"/>
        <v>43747.605651099533</v>
      </c>
    </row>
    <row r="2174" spans="1:10" x14ac:dyDescent="0.25">
      <c r="A2174" s="7" t="s">
        <v>4668</v>
      </c>
      <c r="B2174" s="8">
        <v>393.75</v>
      </c>
      <c r="C2174" s="8">
        <v>20.584240000000001</v>
      </c>
      <c r="D2174" s="8">
        <v>43</v>
      </c>
      <c r="E2174" s="8">
        <v>0</v>
      </c>
      <c r="F2174" s="8">
        <v>0</v>
      </c>
      <c r="G2174" s="8">
        <v>10</v>
      </c>
      <c r="H2174" s="8" t="s">
        <v>4669</v>
      </c>
      <c r="I2174" s="8">
        <v>526.6875</v>
      </c>
      <c r="J2174" s="3">
        <f t="shared" si="33"/>
        <v>43747.605734224533</v>
      </c>
    </row>
    <row r="2175" spans="1:10" x14ac:dyDescent="0.25">
      <c r="A2175" s="5" t="s">
        <v>4670</v>
      </c>
      <c r="B2175" s="6">
        <v>437.5</v>
      </c>
      <c r="C2175" s="6">
        <v>20.584240000000001</v>
      </c>
      <c r="D2175" s="6">
        <v>43</v>
      </c>
      <c r="E2175" s="6">
        <v>0</v>
      </c>
      <c r="F2175" s="6">
        <v>0</v>
      </c>
      <c r="G2175" s="6">
        <v>14</v>
      </c>
      <c r="H2175" s="6" t="s">
        <v>4671</v>
      </c>
      <c r="I2175" s="6">
        <v>540</v>
      </c>
      <c r="J2175" s="2">
        <f t="shared" si="33"/>
        <v>43747.605805729159</v>
      </c>
    </row>
    <row r="2176" spans="1:10" x14ac:dyDescent="0.25">
      <c r="A2176" s="7" t="s">
        <v>4672</v>
      </c>
      <c r="B2176" s="8">
        <v>393.75</v>
      </c>
      <c r="C2176" s="8">
        <v>20.584240000000001</v>
      </c>
      <c r="D2176" s="8">
        <v>44</v>
      </c>
      <c r="E2176" s="8">
        <v>0</v>
      </c>
      <c r="F2176" s="8">
        <v>0</v>
      </c>
      <c r="G2176" s="8">
        <v>10</v>
      </c>
      <c r="H2176" s="8" t="s">
        <v>4673</v>
      </c>
      <c r="I2176" s="8">
        <v>526.6875</v>
      </c>
      <c r="J2176" s="3">
        <f t="shared" si="33"/>
        <v>43747.605913368054</v>
      </c>
    </row>
    <row r="2177" spans="1:10" x14ac:dyDescent="0.25">
      <c r="A2177" s="5" t="s">
        <v>4674</v>
      </c>
      <c r="B2177" s="6">
        <v>393.75</v>
      </c>
      <c r="C2177" s="6">
        <v>20.584240000000001</v>
      </c>
      <c r="D2177" s="6">
        <v>43</v>
      </c>
      <c r="E2177" s="6">
        <v>0</v>
      </c>
      <c r="F2177" s="6">
        <v>0</v>
      </c>
      <c r="G2177" s="6">
        <v>9</v>
      </c>
      <c r="H2177" s="6" t="s">
        <v>4675</v>
      </c>
      <c r="I2177" s="6">
        <v>526.6875</v>
      </c>
      <c r="J2177" s="2">
        <f t="shared" si="33"/>
        <v>43747.605997048609</v>
      </c>
    </row>
    <row r="2178" spans="1:10" x14ac:dyDescent="0.25">
      <c r="A2178" s="7" t="s">
        <v>4676</v>
      </c>
      <c r="B2178" s="8">
        <v>393.75</v>
      </c>
      <c r="C2178" s="8">
        <v>20.531590000000001</v>
      </c>
      <c r="D2178" s="8">
        <v>44</v>
      </c>
      <c r="E2178" s="8">
        <v>0</v>
      </c>
      <c r="F2178" s="8">
        <v>0</v>
      </c>
      <c r="G2178" s="8">
        <v>14</v>
      </c>
      <c r="H2178" s="8" t="s">
        <v>4677</v>
      </c>
      <c r="I2178" s="8">
        <v>526.6875</v>
      </c>
      <c r="J2178" s="3">
        <f t="shared" ref="J2178:J2241" si="34">(H2178/86400000)+25569+(7/24)</f>
        <v>43747.606080405087</v>
      </c>
    </row>
    <row r="2179" spans="1:10" x14ac:dyDescent="0.25">
      <c r="A2179" s="5" t="s">
        <v>4678</v>
      </c>
      <c r="B2179" s="6">
        <v>393.75</v>
      </c>
      <c r="C2179" s="6">
        <v>20.584240000000001</v>
      </c>
      <c r="D2179" s="6">
        <v>44</v>
      </c>
      <c r="E2179" s="6">
        <v>0</v>
      </c>
      <c r="F2179" s="6">
        <v>0</v>
      </c>
      <c r="G2179" s="6">
        <v>14</v>
      </c>
      <c r="H2179" s="6" t="s">
        <v>4679</v>
      </c>
      <c r="I2179" s="6">
        <v>526.6875</v>
      </c>
      <c r="J2179" s="2">
        <f t="shared" si="34"/>
        <v>43747.606151921289</v>
      </c>
    </row>
    <row r="2180" spans="1:10" x14ac:dyDescent="0.25">
      <c r="A2180" s="7" t="s">
        <v>4680</v>
      </c>
      <c r="B2180" s="8">
        <v>393.75</v>
      </c>
      <c r="C2180" s="8">
        <v>20.584240000000001</v>
      </c>
      <c r="D2180" s="8">
        <v>44</v>
      </c>
      <c r="E2180" s="8">
        <v>0</v>
      </c>
      <c r="F2180" s="8">
        <v>0</v>
      </c>
      <c r="G2180" s="8">
        <v>11</v>
      </c>
      <c r="H2180" s="8" t="s">
        <v>4681</v>
      </c>
      <c r="I2180" s="8">
        <v>526.5</v>
      </c>
      <c r="J2180" s="3">
        <f t="shared" si="34"/>
        <v>43747.606235358799</v>
      </c>
    </row>
    <row r="2181" spans="1:10" x14ac:dyDescent="0.25">
      <c r="A2181" s="5" t="s">
        <v>4682</v>
      </c>
      <c r="B2181" s="6">
        <v>393.75</v>
      </c>
      <c r="C2181" s="6">
        <v>20.584240000000001</v>
      </c>
      <c r="D2181" s="6">
        <v>43</v>
      </c>
      <c r="E2181" s="6">
        <v>0</v>
      </c>
      <c r="F2181" s="6">
        <v>0</v>
      </c>
      <c r="G2181" s="6">
        <v>11</v>
      </c>
      <c r="H2181" s="6" t="s">
        <v>4683</v>
      </c>
      <c r="I2181" s="6">
        <v>526.6875</v>
      </c>
      <c r="J2181" s="2">
        <f t="shared" si="34"/>
        <v>43747.606318923608</v>
      </c>
    </row>
    <row r="2182" spans="1:10" x14ac:dyDescent="0.25">
      <c r="A2182" s="7" t="s">
        <v>4684</v>
      </c>
      <c r="B2182" s="8">
        <v>412.5</v>
      </c>
      <c r="C2182" s="8">
        <v>20.531590000000001</v>
      </c>
      <c r="D2182" s="8">
        <v>42</v>
      </c>
      <c r="E2182" s="8">
        <v>0</v>
      </c>
      <c r="F2182" s="8">
        <v>0</v>
      </c>
      <c r="G2182" s="8">
        <v>12</v>
      </c>
      <c r="H2182" s="8" t="s">
        <v>4685</v>
      </c>
      <c r="I2182" s="8">
        <v>532.3125</v>
      </c>
      <c r="J2182" s="3">
        <f t="shared" si="34"/>
        <v>43747.606402384255</v>
      </c>
    </row>
    <row r="2183" spans="1:10" x14ac:dyDescent="0.25">
      <c r="A2183" s="5" t="s">
        <v>4686</v>
      </c>
      <c r="B2183" s="6">
        <v>393.75</v>
      </c>
      <c r="C2183" s="6">
        <v>20.584240000000001</v>
      </c>
      <c r="D2183" s="6">
        <v>42</v>
      </c>
      <c r="E2183" s="6">
        <v>0</v>
      </c>
      <c r="F2183" s="6">
        <v>0</v>
      </c>
      <c r="G2183" s="6">
        <v>17</v>
      </c>
      <c r="H2183" s="6" t="s">
        <v>4687</v>
      </c>
      <c r="I2183" s="6">
        <v>526.6875</v>
      </c>
      <c r="J2183" s="2">
        <f t="shared" si="34"/>
        <v>43747.606485937496</v>
      </c>
    </row>
    <row r="2184" spans="1:10" x14ac:dyDescent="0.25">
      <c r="A2184" s="7" t="s">
        <v>4688</v>
      </c>
      <c r="B2184" s="8">
        <v>393.75</v>
      </c>
      <c r="C2184" s="8">
        <v>20.584240000000001</v>
      </c>
      <c r="D2184" s="8">
        <v>41</v>
      </c>
      <c r="E2184" s="8">
        <v>0</v>
      </c>
      <c r="F2184" s="8">
        <v>0</v>
      </c>
      <c r="G2184" s="8">
        <v>2</v>
      </c>
      <c r="H2184" s="8" t="s">
        <v>4689</v>
      </c>
      <c r="I2184" s="8">
        <v>526.6875</v>
      </c>
      <c r="J2184" s="3">
        <f t="shared" si="34"/>
        <v>43747.606569270829</v>
      </c>
    </row>
    <row r="2185" spans="1:10" x14ac:dyDescent="0.25">
      <c r="A2185" s="5" t="s">
        <v>4690</v>
      </c>
      <c r="B2185" s="6">
        <v>393.75</v>
      </c>
      <c r="C2185" s="6">
        <v>20.584240000000001</v>
      </c>
      <c r="D2185" s="6">
        <v>41</v>
      </c>
      <c r="E2185" s="6">
        <v>0</v>
      </c>
      <c r="F2185" s="6">
        <v>0</v>
      </c>
      <c r="G2185" s="6">
        <v>9</v>
      </c>
      <c r="H2185" s="6" t="s">
        <v>4691</v>
      </c>
      <c r="I2185" s="6">
        <v>526.6875</v>
      </c>
      <c r="J2185" s="2">
        <f t="shared" si="34"/>
        <v>43747.606666377316</v>
      </c>
    </row>
    <row r="2186" spans="1:10" x14ac:dyDescent="0.25">
      <c r="A2186" s="7" t="s">
        <v>4692</v>
      </c>
      <c r="B2186" s="8">
        <v>393.75</v>
      </c>
      <c r="C2186" s="8">
        <v>20.584240000000001</v>
      </c>
      <c r="D2186" s="8">
        <v>40</v>
      </c>
      <c r="E2186" s="8">
        <v>0</v>
      </c>
      <c r="F2186" s="8">
        <v>0</v>
      </c>
      <c r="G2186" s="8">
        <v>12</v>
      </c>
      <c r="H2186" s="8" t="s">
        <v>4693</v>
      </c>
      <c r="I2186" s="8">
        <v>526.6875</v>
      </c>
      <c r="J2186" s="3">
        <f t="shared" si="34"/>
        <v>43747.606748263883</v>
      </c>
    </row>
    <row r="2187" spans="1:10" x14ac:dyDescent="0.25">
      <c r="A2187" s="5" t="s">
        <v>4694</v>
      </c>
      <c r="B2187" s="6">
        <v>393.75</v>
      </c>
      <c r="C2187" s="6">
        <v>20.584240000000001</v>
      </c>
      <c r="D2187" s="6">
        <v>39</v>
      </c>
      <c r="E2187" s="6">
        <v>0</v>
      </c>
      <c r="F2187" s="6">
        <v>0</v>
      </c>
      <c r="G2187" s="6">
        <v>6</v>
      </c>
      <c r="H2187" s="6" t="s">
        <v>4695</v>
      </c>
      <c r="I2187" s="6">
        <v>526.6875</v>
      </c>
      <c r="J2187" s="2">
        <f t="shared" si="34"/>
        <v>43747.60683172453</v>
      </c>
    </row>
    <row r="2188" spans="1:10" x14ac:dyDescent="0.25">
      <c r="A2188" s="7" t="s">
        <v>4696</v>
      </c>
      <c r="B2188" s="8">
        <v>393.75</v>
      </c>
      <c r="C2188" s="8">
        <v>20.584240000000001</v>
      </c>
      <c r="D2188" s="8">
        <v>40</v>
      </c>
      <c r="E2188" s="8">
        <v>0</v>
      </c>
      <c r="F2188" s="8">
        <v>0</v>
      </c>
      <c r="G2188" s="8">
        <v>10</v>
      </c>
      <c r="H2188" s="8" t="s">
        <v>4697</v>
      </c>
      <c r="I2188" s="8">
        <v>526.6875</v>
      </c>
      <c r="J2188" s="3">
        <f t="shared" si="34"/>
        <v>43747.606915219905</v>
      </c>
    </row>
    <row r="2189" spans="1:10" x14ac:dyDescent="0.25">
      <c r="A2189" s="5" t="s">
        <v>4698</v>
      </c>
      <c r="B2189" s="6">
        <v>393.75</v>
      </c>
      <c r="C2189" s="6">
        <v>20.584240000000001</v>
      </c>
      <c r="D2189" s="6">
        <v>40</v>
      </c>
      <c r="E2189" s="6">
        <v>0</v>
      </c>
      <c r="F2189" s="6">
        <v>0</v>
      </c>
      <c r="G2189" s="6">
        <v>9</v>
      </c>
      <c r="H2189" s="6" t="s">
        <v>4699</v>
      </c>
      <c r="I2189" s="6">
        <v>526.6875</v>
      </c>
      <c r="J2189" s="2">
        <f t="shared" si="34"/>
        <v>43747.606998124997</v>
      </c>
    </row>
    <row r="2190" spans="1:10" x14ac:dyDescent="0.25">
      <c r="A2190" s="7" t="s">
        <v>4700</v>
      </c>
      <c r="B2190" s="8">
        <v>393.75</v>
      </c>
      <c r="C2190" s="8">
        <v>20.584240000000001</v>
      </c>
      <c r="D2190" s="8">
        <v>40</v>
      </c>
      <c r="E2190" s="8">
        <v>0</v>
      </c>
      <c r="F2190" s="8">
        <v>0</v>
      </c>
      <c r="G2190" s="8">
        <v>12</v>
      </c>
      <c r="H2190" s="8" t="s">
        <v>4701</v>
      </c>
      <c r="I2190" s="8">
        <v>526.6875</v>
      </c>
      <c r="J2190" s="3">
        <f t="shared" si="34"/>
        <v>43747.607070219907</v>
      </c>
    </row>
    <row r="2191" spans="1:10" x14ac:dyDescent="0.25">
      <c r="A2191" s="5" t="s">
        <v>4702</v>
      </c>
      <c r="B2191" s="6">
        <v>393.75</v>
      </c>
      <c r="C2191" s="6">
        <v>20.584240000000001</v>
      </c>
      <c r="D2191" s="6">
        <v>40</v>
      </c>
      <c r="E2191" s="6">
        <v>0</v>
      </c>
      <c r="F2191" s="6">
        <v>0</v>
      </c>
      <c r="G2191" s="6">
        <v>17</v>
      </c>
      <c r="H2191" s="6" t="s">
        <v>4703</v>
      </c>
      <c r="I2191" s="6">
        <v>526.6875</v>
      </c>
      <c r="J2191" s="2">
        <f t="shared" si="34"/>
        <v>43747.607141493056</v>
      </c>
    </row>
    <row r="2192" spans="1:10" x14ac:dyDescent="0.25">
      <c r="A2192" s="7" t="s">
        <v>4704</v>
      </c>
      <c r="B2192" s="8">
        <v>393.75</v>
      </c>
      <c r="C2192" s="8">
        <v>20.531590000000001</v>
      </c>
      <c r="D2192" s="8">
        <v>40</v>
      </c>
      <c r="E2192" s="8">
        <v>0</v>
      </c>
      <c r="F2192" s="8">
        <v>0</v>
      </c>
      <c r="G2192" s="8">
        <v>11</v>
      </c>
      <c r="H2192" s="8" t="s">
        <v>4705</v>
      </c>
      <c r="I2192" s="8">
        <v>526.6875</v>
      </c>
      <c r="J2192" s="3">
        <f t="shared" si="34"/>
        <v>43747.607227094901</v>
      </c>
    </row>
    <row r="2193" spans="1:10" x14ac:dyDescent="0.25">
      <c r="A2193" s="5" t="s">
        <v>4706</v>
      </c>
      <c r="B2193" s="6">
        <v>393.75</v>
      </c>
      <c r="C2193" s="6">
        <v>20.531590000000001</v>
      </c>
      <c r="D2193" s="6">
        <v>40</v>
      </c>
      <c r="E2193" s="6">
        <v>0</v>
      </c>
      <c r="F2193" s="6">
        <v>0</v>
      </c>
      <c r="G2193" s="6">
        <v>15</v>
      </c>
      <c r="H2193" s="6" t="s">
        <v>4707</v>
      </c>
      <c r="I2193" s="6">
        <v>526.6875</v>
      </c>
      <c r="J2193" s="2">
        <f t="shared" si="34"/>
        <v>43747.60730891204</v>
      </c>
    </row>
    <row r="2194" spans="1:10" x14ac:dyDescent="0.25">
      <c r="A2194" s="7" t="s">
        <v>4708</v>
      </c>
      <c r="B2194" s="8">
        <v>412.5</v>
      </c>
      <c r="C2194" s="8">
        <v>20.584240000000001</v>
      </c>
      <c r="D2194" s="8">
        <v>41</v>
      </c>
      <c r="E2194" s="8">
        <v>0</v>
      </c>
      <c r="F2194" s="8">
        <v>0</v>
      </c>
      <c r="G2194" s="8">
        <v>17</v>
      </c>
      <c r="H2194" s="8" t="s">
        <v>4709</v>
      </c>
      <c r="I2194" s="8">
        <v>532.3125</v>
      </c>
      <c r="J2194" s="3">
        <f t="shared" si="34"/>
        <v>43747.607380335648</v>
      </c>
    </row>
    <row r="2195" spans="1:10" x14ac:dyDescent="0.25">
      <c r="A2195" s="5" t="s">
        <v>4710</v>
      </c>
      <c r="B2195" s="6">
        <v>393.75</v>
      </c>
      <c r="C2195" s="6">
        <v>20.584240000000001</v>
      </c>
      <c r="D2195" s="6">
        <v>41</v>
      </c>
      <c r="E2195" s="6">
        <v>0</v>
      </c>
      <c r="F2195" s="6">
        <v>0</v>
      </c>
      <c r="G2195" s="6">
        <v>15</v>
      </c>
      <c r="H2195" s="6" t="s">
        <v>4711</v>
      </c>
      <c r="I2195" s="6">
        <v>526.6875</v>
      </c>
      <c r="J2195" s="2">
        <f t="shared" si="34"/>
        <v>43747.607463761575</v>
      </c>
    </row>
    <row r="2196" spans="1:10" x14ac:dyDescent="0.25">
      <c r="A2196" s="7" t="s">
        <v>4712</v>
      </c>
      <c r="B2196" s="8">
        <v>393.75</v>
      </c>
      <c r="C2196" s="8">
        <v>20.584240000000001</v>
      </c>
      <c r="D2196" s="8">
        <v>41</v>
      </c>
      <c r="E2196" s="8">
        <v>0</v>
      </c>
      <c r="F2196" s="8">
        <v>0</v>
      </c>
      <c r="G2196" s="8">
        <v>11</v>
      </c>
      <c r="H2196" s="8" t="s">
        <v>4713</v>
      </c>
      <c r="I2196" s="8">
        <v>526.6875</v>
      </c>
      <c r="J2196" s="3">
        <f t="shared" si="34"/>
        <v>43747.607547222222</v>
      </c>
    </row>
    <row r="2197" spans="1:10" x14ac:dyDescent="0.25">
      <c r="A2197" s="5" t="s">
        <v>4714</v>
      </c>
      <c r="B2197" s="6">
        <v>393.75</v>
      </c>
      <c r="C2197" s="6">
        <v>20.584240000000001</v>
      </c>
      <c r="D2197" s="6">
        <v>41</v>
      </c>
      <c r="E2197" s="6">
        <v>0</v>
      </c>
      <c r="F2197" s="6">
        <v>0</v>
      </c>
      <c r="G2197" s="6">
        <v>16</v>
      </c>
      <c r="H2197" s="6" t="s">
        <v>4715</v>
      </c>
      <c r="I2197" s="6">
        <v>526.6875</v>
      </c>
      <c r="J2197" s="2">
        <f t="shared" si="34"/>
        <v>43747.607630439808</v>
      </c>
    </row>
    <row r="2198" spans="1:10" x14ac:dyDescent="0.25">
      <c r="A2198" s="7" t="s">
        <v>4716</v>
      </c>
      <c r="B2198" s="8">
        <v>393.75</v>
      </c>
      <c r="C2198" s="8">
        <v>20.584240000000001</v>
      </c>
      <c r="D2198" s="8">
        <v>41</v>
      </c>
      <c r="E2198" s="8">
        <v>0</v>
      </c>
      <c r="F2198" s="8">
        <v>0</v>
      </c>
      <c r="G2198" s="8">
        <v>15</v>
      </c>
      <c r="H2198" s="8" t="s">
        <v>4717</v>
      </c>
      <c r="I2198" s="8">
        <v>526.6875</v>
      </c>
      <c r="J2198" s="3">
        <f t="shared" si="34"/>
        <v>43747.607702210647</v>
      </c>
    </row>
    <row r="2199" spans="1:10" x14ac:dyDescent="0.25">
      <c r="A2199" s="5" t="s">
        <v>4718</v>
      </c>
      <c r="B2199" s="6">
        <v>393.75</v>
      </c>
      <c r="C2199" s="6">
        <v>20.584240000000001</v>
      </c>
      <c r="D2199" s="6">
        <v>41</v>
      </c>
      <c r="E2199" s="6">
        <v>0</v>
      </c>
      <c r="F2199" s="6">
        <v>0</v>
      </c>
      <c r="G2199" s="6">
        <v>14</v>
      </c>
      <c r="H2199" s="6" t="s">
        <v>4719</v>
      </c>
      <c r="I2199" s="6">
        <v>526.6875</v>
      </c>
      <c r="J2199" s="2">
        <f t="shared" si="34"/>
        <v>43747.607786018518</v>
      </c>
    </row>
    <row r="2200" spans="1:10" x14ac:dyDescent="0.25">
      <c r="A2200" s="7" t="s">
        <v>4720</v>
      </c>
      <c r="B2200" s="8">
        <v>393.75</v>
      </c>
      <c r="C2200" s="8">
        <v>20.531590000000001</v>
      </c>
      <c r="D2200" s="8">
        <v>41</v>
      </c>
      <c r="E2200" s="8">
        <v>0</v>
      </c>
      <c r="F2200" s="8">
        <v>0</v>
      </c>
      <c r="G2200" s="8">
        <v>15</v>
      </c>
      <c r="H2200" s="8" t="s">
        <v>4721</v>
      </c>
      <c r="I2200" s="8">
        <v>526.6875</v>
      </c>
      <c r="J2200" s="3">
        <f t="shared" si="34"/>
        <v>43747.607869305553</v>
      </c>
    </row>
    <row r="2201" spans="1:10" x14ac:dyDescent="0.25">
      <c r="A2201" s="5" t="s">
        <v>4722</v>
      </c>
      <c r="B2201" s="6">
        <v>393.75</v>
      </c>
      <c r="C2201" s="6">
        <v>20.584240000000001</v>
      </c>
      <c r="D2201" s="6">
        <v>41</v>
      </c>
      <c r="E2201" s="6">
        <v>0</v>
      </c>
      <c r="F2201" s="6">
        <v>0</v>
      </c>
      <c r="G2201" s="6">
        <v>17</v>
      </c>
      <c r="H2201" s="6" t="s">
        <v>4723</v>
      </c>
      <c r="I2201" s="6">
        <v>526.6875</v>
      </c>
      <c r="J2201" s="2">
        <f t="shared" si="34"/>
        <v>43747.607973958329</v>
      </c>
    </row>
    <row r="2202" spans="1:10" x14ac:dyDescent="0.25">
      <c r="A2202" s="7" t="s">
        <v>4724</v>
      </c>
      <c r="B2202" s="8">
        <v>393.75</v>
      </c>
      <c r="C2202" s="8">
        <v>20.584240000000001</v>
      </c>
      <c r="D2202" s="8">
        <v>41</v>
      </c>
      <c r="E2202" s="8">
        <v>0</v>
      </c>
      <c r="F2202" s="8">
        <v>0</v>
      </c>
      <c r="G2202" s="8">
        <v>21</v>
      </c>
      <c r="H2202" s="8" t="s">
        <v>4725</v>
      </c>
      <c r="I2202" s="8">
        <v>526.6875</v>
      </c>
      <c r="J2202" s="3">
        <f t="shared" si="34"/>
        <v>43747.60804814814</v>
      </c>
    </row>
    <row r="2203" spans="1:10" x14ac:dyDescent="0.25">
      <c r="A2203" s="5" t="s">
        <v>4726</v>
      </c>
      <c r="B2203" s="6">
        <v>393.75</v>
      </c>
      <c r="C2203" s="6">
        <v>20.584240000000001</v>
      </c>
      <c r="D2203" s="6">
        <v>41</v>
      </c>
      <c r="E2203" s="6">
        <v>0</v>
      </c>
      <c r="F2203" s="6">
        <v>0</v>
      </c>
      <c r="G2203" s="6">
        <v>12</v>
      </c>
      <c r="H2203" s="6" t="s">
        <v>4727</v>
      </c>
      <c r="I2203" s="6">
        <v>526.6875</v>
      </c>
      <c r="J2203" s="2">
        <f t="shared" si="34"/>
        <v>43747.608131597219</v>
      </c>
    </row>
    <row r="2204" spans="1:10" x14ac:dyDescent="0.25">
      <c r="A2204" s="7" t="s">
        <v>4728</v>
      </c>
      <c r="B2204" s="8">
        <v>393.75</v>
      </c>
      <c r="C2204" s="8">
        <v>20.584240000000001</v>
      </c>
      <c r="D2204" s="8">
        <v>41</v>
      </c>
      <c r="E2204" s="8">
        <v>0</v>
      </c>
      <c r="F2204" s="8">
        <v>0</v>
      </c>
      <c r="G2204" s="8">
        <v>8</v>
      </c>
      <c r="H2204" s="8" t="s">
        <v>4729</v>
      </c>
      <c r="I2204" s="8">
        <v>526.6875</v>
      </c>
      <c r="J2204" s="3">
        <f t="shared" si="34"/>
        <v>43747.608203113421</v>
      </c>
    </row>
    <row r="2205" spans="1:10" x14ac:dyDescent="0.25">
      <c r="A2205" s="5" t="s">
        <v>4730</v>
      </c>
      <c r="B2205" s="6">
        <v>393.75</v>
      </c>
      <c r="C2205" s="6">
        <v>20.584240000000001</v>
      </c>
      <c r="D2205" s="6">
        <v>42</v>
      </c>
      <c r="E2205" s="6">
        <v>0</v>
      </c>
      <c r="F2205" s="6">
        <v>0</v>
      </c>
      <c r="G2205" s="6">
        <v>13</v>
      </c>
      <c r="H2205" s="6" t="s">
        <v>4731</v>
      </c>
      <c r="I2205" s="6">
        <v>526.6875</v>
      </c>
      <c r="J2205" s="2">
        <f t="shared" si="34"/>
        <v>43747.608286342591</v>
      </c>
    </row>
    <row r="2206" spans="1:10" x14ac:dyDescent="0.25">
      <c r="A2206" s="7" t="s">
        <v>4732</v>
      </c>
      <c r="B2206" s="8">
        <v>393.75</v>
      </c>
      <c r="C2206" s="8">
        <v>20.584240000000001</v>
      </c>
      <c r="D2206" s="8">
        <v>41</v>
      </c>
      <c r="E2206" s="8">
        <v>0</v>
      </c>
      <c r="F2206" s="8">
        <v>0</v>
      </c>
      <c r="G2206" s="8">
        <v>13</v>
      </c>
      <c r="H2206" s="8" t="s">
        <v>4733</v>
      </c>
      <c r="I2206" s="8">
        <v>526.6875</v>
      </c>
      <c r="J2206" s="3">
        <f t="shared" si="34"/>
        <v>43747.608358182864</v>
      </c>
    </row>
    <row r="2207" spans="1:10" x14ac:dyDescent="0.25">
      <c r="A2207" s="5" t="s">
        <v>4734</v>
      </c>
      <c r="B2207" s="6">
        <v>393.75</v>
      </c>
      <c r="C2207" s="6">
        <v>20.584240000000001</v>
      </c>
      <c r="D2207" s="6">
        <v>41</v>
      </c>
      <c r="E2207" s="6">
        <v>0</v>
      </c>
      <c r="F2207" s="6">
        <v>0</v>
      </c>
      <c r="G2207" s="6">
        <v>12</v>
      </c>
      <c r="H2207" s="6" t="s">
        <v>4735</v>
      </c>
      <c r="I2207" s="6">
        <v>526.6875</v>
      </c>
      <c r="J2207" s="2">
        <f t="shared" si="34"/>
        <v>43747.608441550925</v>
      </c>
    </row>
    <row r="2208" spans="1:10" x14ac:dyDescent="0.25">
      <c r="A2208" s="7" t="s">
        <v>4736</v>
      </c>
      <c r="B2208" s="8">
        <v>393.75</v>
      </c>
      <c r="C2208" s="8">
        <v>20.531590000000001</v>
      </c>
      <c r="D2208" s="8">
        <v>42</v>
      </c>
      <c r="E2208" s="8">
        <v>0</v>
      </c>
      <c r="F2208" s="8">
        <v>0</v>
      </c>
      <c r="G2208" s="8">
        <v>8</v>
      </c>
      <c r="H2208" s="8" t="s">
        <v>4737</v>
      </c>
      <c r="I2208" s="8">
        <v>526.6875</v>
      </c>
      <c r="J2208" s="3">
        <f t="shared" si="34"/>
        <v>43747.608525115742</v>
      </c>
    </row>
    <row r="2209" spans="1:10" x14ac:dyDescent="0.25">
      <c r="A2209" s="5" t="s">
        <v>4738</v>
      </c>
      <c r="B2209" s="6">
        <v>418.75</v>
      </c>
      <c r="C2209" s="6">
        <v>20.584240000000001</v>
      </c>
      <c r="D2209" s="6">
        <v>42</v>
      </c>
      <c r="E2209" s="6">
        <v>0</v>
      </c>
      <c r="F2209" s="6">
        <v>0</v>
      </c>
      <c r="G2209" s="6">
        <v>12</v>
      </c>
      <c r="H2209" s="6" t="s">
        <v>4739</v>
      </c>
      <c r="I2209" s="6">
        <v>534</v>
      </c>
      <c r="J2209" s="2">
        <f t="shared" si="34"/>
        <v>43747.608608356481</v>
      </c>
    </row>
    <row r="2210" spans="1:10" x14ac:dyDescent="0.25">
      <c r="A2210" s="7" t="s">
        <v>4740</v>
      </c>
      <c r="B2210" s="8">
        <v>393.75</v>
      </c>
      <c r="C2210" s="8">
        <v>20.584240000000001</v>
      </c>
      <c r="D2210" s="8">
        <v>42</v>
      </c>
      <c r="E2210" s="8">
        <v>0</v>
      </c>
      <c r="F2210" s="8">
        <v>0</v>
      </c>
      <c r="G2210" s="8">
        <v>10</v>
      </c>
      <c r="H2210" s="8" t="s">
        <v>4741</v>
      </c>
      <c r="I2210" s="8">
        <v>526.6875</v>
      </c>
      <c r="J2210" s="3">
        <f t="shared" si="34"/>
        <v>43747.608680092591</v>
      </c>
    </row>
    <row r="2211" spans="1:10" x14ac:dyDescent="0.25">
      <c r="A2211" s="5" t="s">
        <v>4742</v>
      </c>
      <c r="B2211" s="6">
        <v>393.75</v>
      </c>
      <c r="C2211" s="6">
        <v>20.584240000000001</v>
      </c>
      <c r="D2211" s="6">
        <v>42</v>
      </c>
      <c r="E2211" s="6">
        <v>0</v>
      </c>
      <c r="F2211" s="6">
        <v>0</v>
      </c>
      <c r="G2211" s="6">
        <v>11</v>
      </c>
      <c r="H2211" s="6" t="s">
        <v>4743</v>
      </c>
      <c r="I2211" s="6">
        <v>526.6875</v>
      </c>
      <c r="J2211" s="2">
        <f t="shared" si="34"/>
        <v>43747.608766053243</v>
      </c>
    </row>
    <row r="2212" spans="1:10" x14ac:dyDescent="0.25">
      <c r="A2212" s="7" t="s">
        <v>4744</v>
      </c>
      <c r="B2212" s="8">
        <v>393.75</v>
      </c>
      <c r="C2212" s="8">
        <v>20.584240000000001</v>
      </c>
      <c r="D2212" s="8">
        <v>41</v>
      </c>
      <c r="E2212" s="8">
        <v>0</v>
      </c>
      <c r="F2212" s="8">
        <v>0</v>
      </c>
      <c r="G2212" s="8">
        <v>17</v>
      </c>
      <c r="H2212" s="8" t="s">
        <v>4745</v>
      </c>
      <c r="I2212" s="8">
        <v>526.6875</v>
      </c>
      <c r="J2212" s="3">
        <f t="shared" si="34"/>
        <v>43747.608847094903</v>
      </c>
    </row>
    <row r="2213" spans="1:10" x14ac:dyDescent="0.25">
      <c r="A2213" s="5" t="s">
        <v>4746</v>
      </c>
      <c r="B2213" s="6">
        <v>393.75</v>
      </c>
      <c r="C2213" s="6">
        <v>20.584240000000001</v>
      </c>
      <c r="D2213" s="6">
        <v>42</v>
      </c>
      <c r="E2213" s="6">
        <v>0</v>
      </c>
      <c r="F2213" s="6">
        <v>0</v>
      </c>
      <c r="G2213" s="6">
        <v>10</v>
      </c>
      <c r="H2213" s="6" t="s">
        <v>4747</v>
      </c>
      <c r="I2213" s="6">
        <v>526.6875</v>
      </c>
      <c r="J2213" s="2">
        <f t="shared" si="34"/>
        <v>43747.608918622682</v>
      </c>
    </row>
    <row r="2214" spans="1:10" x14ac:dyDescent="0.25">
      <c r="A2214" s="7" t="s">
        <v>4748</v>
      </c>
      <c r="B2214" s="8">
        <v>393.75</v>
      </c>
      <c r="C2214" s="8">
        <v>20.531590000000001</v>
      </c>
      <c r="D2214" s="8">
        <v>41</v>
      </c>
      <c r="E2214" s="8">
        <v>0</v>
      </c>
      <c r="F2214" s="8">
        <v>0</v>
      </c>
      <c r="G2214" s="8">
        <v>3</v>
      </c>
      <c r="H2214" s="8" t="s">
        <v>4749</v>
      </c>
      <c r="I2214" s="8">
        <v>526.6875</v>
      </c>
      <c r="J2214" s="3">
        <f t="shared" si="34"/>
        <v>43747.609002083329</v>
      </c>
    </row>
    <row r="2215" spans="1:10" x14ac:dyDescent="0.25">
      <c r="A2215" s="5" t="s">
        <v>4750</v>
      </c>
      <c r="B2215" s="6">
        <v>393.75</v>
      </c>
      <c r="C2215" s="6">
        <v>20.584240000000001</v>
      </c>
      <c r="D2215" s="6">
        <v>41</v>
      </c>
      <c r="E2215" s="6">
        <v>0</v>
      </c>
      <c r="F2215" s="6">
        <v>0</v>
      </c>
      <c r="G2215" s="6">
        <v>7</v>
      </c>
      <c r="H2215" s="6" t="s">
        <v>4751</v>
      </c>
      <c r="I2215" s="6">
        <v>526.6875</v>
      </c>
      <c r="J2215" s="2">
        <f t="shared" si="34"/>
        <v>43747.609073715277</v>
      </c>
    </row>
    <row r="2216" spans="1:10" x14ac:dyDescent="0.25">
      <c r="A2216" s="7" t="s">
        <v>4752</v>
      </c>
      <c r="B2216" s="8">
        <v>393.75</v>
      </c>
      <c r="C2216" s="8">
        <v>20.584240000000001</v>
      </c>
      <c r="D2216" s="8">
        <v>44</v>
      </c>
      <c r="E2216" s="8">
        <v>0</v>
      </c>
      <c r="F2216" s="8">
        <v>0</v>
      </c>
      <c r="G2216" s="8">
        <v>18</v>
      </c>
      <c r="H2216" s="8" t="s">
        <v>4753</v>
      </c>
      <c r="I2216" s="8">
        <v>526.6875</v>
      </c>
      <c r="J2216" s="3">
        <f t="shared" si="34"/>
        <v>43747.609167395836</v>
      </c>
    </row>
    <row r="2217" spans="1:10" x14ac:dyDescent="0.25">
      <c r="A2217" s="5" t="s">
        <v>4754</v>
      </c>
      <c r="B2217" s="6">
        <v>412.5</v>
      </c>
      <c r="C2217" s="6">
        <v>20.531590000000001</v>
      </c>
      <c r="D2217" s="6">
        <v>43</v>
      </c>
      <c r="E2217" s="6">
        <v>0</v>
      </c>
      <c r="F2217" s="6">
        <v>0</v>
      </c>
      <c r="G2217" s="6">
        <v>8</v>
      </c>
      <c r="H2217" s="6" t="s">
        <v>4755</v>
      </c>
      <c r="I2217" s="6">
        <v>532.3125</v>
      </c>
      <c r="J2217" s="2">
        <f t="shared" si="34"/>
        <v>43747.609252662034</v>
      </c>
    </row>
    <row r="2218" spans="1:10" x14ac:dyDescent="0.25">
      <c r="A2218" s="7" t="s">
        <v>4756</v>
      </c>
      <c r="B2218" s="8">
        <v>393.75</v>
      </c>
      <c r="C2218" s="8">
        <v>20.584240000000001</v>
      </c>
      <c r="D2218" s="8">
        <v>43</v>
      </c>
      <c r="E2218" s="8">
        <v>0</v>
      </c>
      <c r="F2218" s="8">
        <v>0</v>
      </c>
      <c r="G2218" s="8">
        <v>17</v>
      </c>
      <c r="H2218" s="8" t="s">
        <v>4757</v>
      </c>
      <c r="I2218" s="8">
        <v>526.6875</v>
      </c>
      <c r="J2218" s="3">
        <f t="shared" si="34"/>
        <v>43747.609336111105</v>
      </c>
    </row>
    <row r="2219" spans="1:10" x14ac:dyDescent="0.25">
      <c r="A2219" s="5" t="s">
        <v>4758</v>
      </c>
      <c r="B2219" s="6">
        <v>393.75</v>
      </c>
      <c r="C2219" s="6">
        <v>20.584240000000001</v>
      </c>
      <c r="D2219" s="6">
        <v>42</v>
      </c>
      <c r="E2219" s="6">
        <v>0</v>
      </c>
      <c r="F2219" s="6">
        <v>0</v>
      </c>
      <c r="G2219" s="6">
        <v>9</v>
      </c>
      <c r="H2219" s="6" t="s">
        <v>4759</v>
      </c>
      <c r="I2219" s="6">
        <v>526.6875</v>
      </c>
      <c r="J2219" s="2">
        <f t="shared" si="34"/>
        <v>43747.609419328706</v>
      </c>
    </row>
    <row r="2220" spans="1:10" x14ac:dyDescent="0.25">
      <c r="A2220" s="7" t="s">
        <v>4760</v>
      </c>
      <c r="B2220" s="8">
        <v>393.75</v>
      </c>
      <c r="C2220" s="8">
        <v>20.584240000000001</v>
      </c>
      <c r="D2220" s="8">
        <v>44</v>
      </c>
      <c r="E2220" s="8">
        <v>0</v>
      </c>
      <c r="F2220" s="8">
        <v>0</v>
      </c>
      <c r="G2220" s="8">
        <v>21</v>
      </c>
      <c r="H2220" s="8" t="s">
        <v>4761</v>
      </c>
      <c r="I2220" s="8">
        <v>526.6875</v>
      </c>
      <c r="J2220" s="3">
        <f t="shared" si="34"/>
        <v>43747.609514930555</v>
      </c>
    </row>
    <row r="2221" spans="1:10" x14ac:dyDescent="0.25">
      <c r="A2221" s="5" t="s">
        <v>4762</v>
      </c>
      <c r="B2221" s="6">
        <v>393.75</v>
      </c>
      <c r="C2221" s="6">
        <v>20.584240000000001</v>
      </c>
      <c r="D2221" s="6">
        <v>43</v>
      </c>
      <c r="E2221" s="6">
        <v>0</v>
      </c>
      <c r="F2221" s="6">
        <v>0</v>
      </c>
      <c r="G2221" s="6">
        <v>14</v>
      </c>
      <c r="H2221" s="6" t="s">
        <v>4763</v>
      </c>
      <c r="I2221" s="6">
        <v>526.6875</v>
      </c>
      <c r="J2221" s="2">
        <f t="shared" si="34"/>
        <v>43747.609586099534</v>
      </c>
    </row>
    <row r="2222" spans="1:10" x14ac:dyDescent="0.25">
      <c r="A2222" s="7" t="s">
        <v>4764</v>
      </c>
      <c r="B2222" s="8">
        <v>393.75</v>
      </c>
      <c r="C2222" s="8">
        <v>20.584240000000001</v>
      </c>
      <c r="D2222" s="8">
        <v>43</v>
      </c>
      <c r="E2222" s="8">
        <v>0</v>
      </c>
      <c r="F2222" s="8">
        <v>0</v>
      </c>
      <c r="G2222" s="8">
        <v>6</v>
      </c>
      <c r="H2222" s="8" t="s">
        <v>4765</v>
      </c>
      <c r="I2222" s="8">
        <v>526.6875</v>
      </c>
      <c r="J2222" s="3">
        <f t="shared" si="34"/>
        <v>43747.609669907404</v>
      </c>
    </row>
    <row r="2223" spans="1:10" x14ac:dyDescent="0.25">
      <c r="A2223" s="5" t="s">
        <v>4766</v>
      </c>
      <c r="B2223" s="6">
        <v>393.75</v>
      </c>
      <c r="C2223" s="6">
        <v>20.584240000000001</v>
      </c>
      <c r="D2223" s="6">
        <v>43</v>
      </c>
      <c r="E2223" s="6">
        <v>0</v>
      </c>
      <c r="F2223" s="6">
        <v>0</v>
      </c>
      <c r="G2223" s="6">
        <v>12</v>
      </c>
      <c r="H2223" s="6" t="s">
        <v>4767</v>
      </c>
      <c r="I2223" s="6">
        <v>526.6875</v>
      </c>
      <c r="J2223" s="2">
        <f t="shared" si="34"/>
        <v>43747.609753344906</v>
      </c>
    </row>
    <row r="2224" spans="1:10" x14ac:dyDescent="0.25">
      <c r="A2224" s="7" t="s">
        <v>4768</v>
      </c>
      <c r="B2224" s="8">
        <v>412.5</v>
      </c>
      <c r="C2224" s="8">
        <v>20.531590000000001</v>
      </c>
      <c r="D2224" s="8">
        <v>43</v>
      </c>
      <c r="E2224" s="8">
        <v>0</v>
      </c>
      <c r="F2224" s="8">
        <v>0</v>
      </c>
      <c r="G2224" s="8">
        <v>8</v>
      </c>
      <c r="H2224" s="8" t="s">
        <v>4769</v>
      </c>
      <c r="I2224" s="8">
        <v>532.3125</v>
      </c>
      <c r="J2224" s="3">
        <f t="shared" si="34"/>
        <v>43747.609825081017</v>
      </c>
    </row>
    <row r="2225" spans="1:10" x14ac:dyDescent="0.25">
      <c r="A2225" s="5" t="s">
        <v>4770</v>
      </c>
      <c r="B2225" s="6">
        <v>393.75</v>
      </c>
      <c r="C2225" s="6">
        <v>20.584240000000001</v>
      </c>
      <c r="D2225" s="6">
        <v>42</v>
      </c>
      <c r="E2225" s="6">
        <v>0</v>
      </c>
      <c r="F2225" s="6">
        <v>0</v>
      </c>
      <c r="G2225" s="6">
        <v>11</v>
      </c>
      <c r="H2225" s="6" t="s">
        <v>4771</v>
      </c>
      <c r="I2225" s="6">
        <v>526.6875</v>
      </c>
      <c r="J2225" s="2">
        <f t="shared" si="34"/>
        <v>43747.609908217586</v>
      </c>
    </row>
    <row r="2226" spans="1:10" x14ac:dyDescent="0.25">
      <c r="A2226" s="7" t="s">
        <v>4772</v>
      </c>
      <c r="B2226" s="8">
        <v>428.125</v>
      </c>
      <c r="C2226" s="8">
        <v>20.584240000000001</v>
      </c>
      <c r="D2226" s="8">
        <v>44</v>
      </c>
      <c r="E2226" s="8">
        <v>0</v>
      </c>
      <c r="F2226" s="8">
        <v>0</v>
      </c>
      <c r="G2226" s="8">
        <v>11</v>
      </c>
      <c r="H2226" s="8" t="s">
        <v>4773</v>
      </c>
      <c r="I2226" s="8">
        <v>537.5625</v>
      </c>
      <c r="J2226" s="3">
        <f t="shared" si="34"/>
        <v>43747.610003854163</v>
      </c>
    </row>
    <row r="2227" spans="1:10" x14ac:dyDescent="0.25">
      <c r="A2227" s="5" t="s">
        <v>4774</v>
      </c>
      <c r="B2227" s="6">
        <v>393.75</v>
      </c>
      <c r="C2227" s="6">
        <v>20.584240000000001</v>
      </c>
      <c r="D2227" s="6">
        <v>46</v>
      </c>
      <c r="E2227" s="6">
        <v>0</v>
      </c>
      <c r="F2227" s="6">
        <v>0</v>
      </c>
      <c r="G2227" s="6">
        <v>5</v>
      </c>
      <c r="H2227" s="6" t="s">
        <v>4775</v>
      </c>
      <c r="I2227" s="6">
        <v>526.6875</v>
      </c>
      <c r="J2227" s="2">
        <f t="shared" si="34"/>
        <v>43747.610087395828</v>
      </c>
    </row>
    <row r="2228" spans="1:10" x14ac:dyDescent="0.25">
      <c r="A2228" s="7" t="s">
        <v>4776</v>
      </c>
      <c r="B2228" s="8">
        <v>393.75</v>
      </c>
      <c r="C2228" s="8">
        <v>20.584240000000001</v>
      </c>
      <c r="D2228" s="8">
        <v>45</v>
      </c>
      <c r="E2228" s="8">
        <v>0</v>
      </c>
      <c r="F2228" s="8">
        <v>0</v>
      </c>
      <c r="G2228" s="8">
        <v>3</v>
      </c>
      <c r="H2228" s="8" t="s">
        <v>4777</v>
      </c>
      <c r="I2228" s="8">
        <v>526.6875</v>
      </c>
      <c r="J2228" s="3">
        <f t="shared" si="34"/>
        <v>43747.610170752312</v>
      </c>
    </row>
    <row r="2229" spans="1:10" x14ac:dyDescent="0.25">
      <c r="A2229" s="5" t="s">
        <v>4778</v>
      </c>
      <c r="B2229" s="6">
        <v>393.75</v>
      </c>
      <c r="C2229" s="6">
        <v>20.584240000000001</v>
      </c>
      <c r="D2229" s="6">
        <v>45</v>
      </c>
      <c r="E2229" s="6">
        <v>0</v>
      </c>
      <c r="F2229" s="6">
        <v>0</v>
      </c>
      <c r="G2229" s="6">
        <v>16</v>
      </c>
      <c r="H2229" s="6" t="s">
        <v>4779</v>
      </c>
      <c r="I2229" s="6">
        <v>526.6875</v>
      </c>
      <c r="J2229" s="2">
        <f t="shared" si="34"/>
        <v>43747.610254050924</v>
      </c>
    </row>
    <row r="2230" spans="1:10" x14ac:dyDescent="0.25">
      <c r="A2230" s="7" t="s">
        <v>4780</v>
      </c>
      <c r="B2230" s="8">
        <v>393.75</v>
      </c>
      <c r="C2230" s="8">
        <v>20.584240000000001</v>
      </c>
      <c r="D2230" s="8">
        <v>45</v>
      </c>
      <c r="E2230" s="8">
        <v>0</v>
      </c>
      <c r="F2230" s="8">
        <v>0</v>
      </c>
      <c r="G2230" s="8">
        <v>12</v>
      </c>
      <c r="H2230" s="8" t="s">
        <v>4781</v>
      </c>
      <c r="I2230" s="8">
        <v>526.6875</v>
      </c>
      <c r="J2230" s="3">
        <f t="shared" si="34"/>
        <v>43747.610337893515</v>
      </c>
    </row>
    <row r="2231" spans="1:10" x14ac:dyDescent="0.25">
      <c r="A2231" s="5" t="s">
        <v>4782</v>
      </c>
      <c r="B2231" s="6">
        <v>393.75</v>
      </c>
      <c r="C2231" s="6">
        <v>20.584240000000001</v>
      </c>
      <c r="D2231" s="6">
        <v>45</v>
      </c>
      <c r="E2231" s="6">
        <v>0</v>
      </c>
      <c r="F2231" s="6">
        <v>0</v>
      </c>
      <c r="G2231" s="6">
        <v>14</v>
      </c>
      <c r="H2231" s="6" t="s">
        <v>4783</v>
      </c>
      <c r="I2231" s="6">
        <v>526.6875</v>
      </c>
      <c r="J2231" s="2">
        <f t="shared" si="34"/>
        <v>43747.610421215279</v>
      </c>
    </row>
    <row r="2232" spans="1:10" x14ac:dyDescent="0.25">
      <c r="A2232" s="7" t="s">
        <v>4784</v>
      </c>
      <c r="B2232" s="8">
        <v>393.75</v>
      </c>
      <c r="C2232" s="8">
        <v>20.584240000000001</v>
      </c>
      <c r="D2232" s="8">
        <v>42</v>
      </c>
      <c r="E2232" s="8">
        <v>0</v>
      </c>
      <c r="F2232" s="8">
        <v>0</v>
      </c>
      <c r="G2232" s="8">
        <v>13</v>
      </c>
      <c r="H2232" s="8" t="s">
        <v>4785</v>
      </c>
      <c r="I2232" s="8">
        <v>526.6875</v>
      </c>
      <c r="J2232" s="3">
        <f t="shared" si="34"/>
        <v>43747.61050456018</v>
      </c>
    </row>
    <row r="2233" spans="1:10" x14ac:dyDescent="0.25">
      <c r="A2233" s="5" t="s">
        <v>4786</v>
      </c>
      <c r="B2233" s="6">
        <v>434.375</v>
      </c>
      <c r="C2233" s="6">
        <v>20.584240000000001</v>
      </c>
      <c r="D2233" s="6">
        <v>42</v>
      </c>
      <c r="E2233" s="6">
        <v>0</v>
      </c>
      <c r="F2233" s="6">
        <v>0</v>
      </c>
      <c r="G2233" s="6">
        <v>8</v>
      </c>
      <c r="H2233" s="6" t="s">
        <v>4787</v>
      </c>
      <c r="I2233" s="6">
        <v>539.4375</v>
      </c>
      <c r="J2233" s="2">
        <f t="shared" si="34"/>
        <v>43747.610588101852</v>
      </c>
    </row>
    <row r="2234" spans="1:10" x14ac:dyDescent="0.25">
      <c r="A2234" s="7" t="s">
        <v>4788</v>
      </c>
      <c r="B2234" s="8">
        <v>393.75</v>
      </c>
      <c r="C2234" s="8">
        <v>20.531590000000001</v>
      </c>
      <c r="D2234" s="8">
        <v>41</v>
      </c>
      <c r="E2234" s="8">
        <v>0</v>
      </c>
      <c r="F2234" s="8">
        <v>0</v>
      </c>
      <c r="G2234" s="8">
        <v>11</v>
      </c>
      <c r="H2234" s="8" t="s">
        <v>4789</v>
      </c>
      <c r="I2234" s="8">
        <v>526.6875</v>
      </c>
      <c r="J2234" s="3">
        <f t="shared" si="34"/>
        <v>43747.610671319439</v>
      </c>
    </row>
    <row r="2235" spans="1:10" x14ac:dyDescent="0.25">
      <c r="A2235" s="5" t="s">
        <v>4790</v>
      </c>
      <c r="B2235" s="6">
        <v>393.75</v>
      </c>
      <c r="C2235" s="6">
        <v>20.584240000000001</v>
      </c>
      <c r="D2235" s="6">
        <v>41</v>
      </c>
      <c r="E2235" s="6">
        <v>0</v>
      </c>
      <c r="F2235" s="6">
        <v>0</v>
      </c>
      <c r="G2235" s="6">
        <v>17</v>
      </c>
      <c r="H2235" s="6" t="s">
        <v>4791</v>
      </c>
      <c r="I2235" s="6">
        <v>526.6875</v>
      </c>
      <c r="J2235" s="2">
        <f t="shared" si="34"/>
        <v>43747.610743043981</v>
      </c>
    </row>
    <row r="2236" spans="1:10" x14ac:dyDescent="0.25">
      <c r="A2236" s="7" t="s">
        <v>4792</v>
      </c>
      <c r="B2236" s="8">
        <v>393.75</v>
      </c>
      <c r="C2236" s="8">
        <v>20.584240000000001</v>
      </c>
      <c r="D2236" s="8">
        <v>44</v>
      </c>
      <c r="E2236" s="8">
        <v>0</v>
      </c>
      <c r="F2236" s="8">
        <v>0</v>
      </c>
      <c r="G2236" s="8">
        <v>15</v>
      </c>
      <c r="H2236" s="8" t="s">
        <v>4793</v>
      </c>
      <c r="I2236" s="8">
        <v>526.6875</v>
      </c>
      <c r="J2236" s="3">
        <f t="shared" si="34"/>
        <v>43747.610826770826</v>
      </c>
    </row>
    <row r="2237" spans="1:10" x14ac:dyDescent="0.25">
      <c r="A2237" s="5" t="s">
        <v>4794</v>
      </c>
      <c r="B2237" s="6">
        <v>393.75</v>
      </c>
      <c r="C2237" s="6">
        <v>20.584240000000001</v>
      </c>
      <c r="D2237" s="6">
        <v>44</v>
      </c>
      <c r="E2237" s="6">
        <v>0</v>
      </c>
      <c r="F2237" s="6">
        <v>0</v>
      </c>
      <c r="G2237" s="6">
        <v>22</v>
      </c>
      <c r="H2237" s="6" t="s">
        <v>4795</v>
      </c>
      <c r="I2237" s="6">
        <v>526.6875</v>
      </c>
      <c r="J2237" s="2">
        <f t="shared" si="34"/>
        <v>43747.610910173607</v>
      </c>
    </row>
    <row r="2238" spans="1:10" x14ac:dyDescent="0.25">
      <c r="A2238" s="7" t="s">
        <v>4796</v>
      </c>
      <c r="B2238" s="8">
        <v>412.5</v>
      </c>
      <c r="C2238" s="8">
        <v>20.584240000000001</v>
      </c>
      <c r="D2238" s="8">
        <v>43</v>
      </c>
      <c r="E2238" s="8">
        <v>0</v>
      </c>
      <c r="F2238" s="8">
        <v>0</v>
      </c>
      <c r="G2238" s="8">
        <v>16</v>
      </c>
      <c r="H2238" s="8" t="s">
        <v>4797</v>
      </c>
      <c r="I2238" s="8">
        <v>532.3125</v>
      </c>
      <c r="J2238" s="3">
        <f t="shared" si="34"/>
        <v>43747.61099340277</v>
      </c>
    </row>
    <row r="2239" spans="1:10" x14ac:dyDescent="0.25">
      <c r="A2239" s="5" t="s">
        <v>4798</v>
      </c>
      <c r="B2239" s="6">
        <v>393.75</v>
      </c>
      <c r="C2239" s="6">
        <v>20.531590000000001</v>
      </c>
      <c r="D2239" s="6">
        <v>43</v>
      </c>
      <c r="E2239" s="6">
        <v>0</v>
      </c>
      <c r="F2239" s="6">
        <v>0</v>
      </c>
      <c r="G2239" s="6">
        <v>21</v>
      </c>
      <c r="H2239" s="6" t="s">
        <v>4799</v>
      </c>
      <c r="I2239" s="6">
        <v>526.6875</v>
      </c>
      <c r="J2239" s="2">
        <f t="shared" si="34"/>
        <v>43747.611065046294</v>
      </c>
    </row>
    <row r="2240" spans="1:10" x14ac:dyDescent="0.25">
      <c r="A2240" s="7" t="s">
        <v>4800</v>
      </c>
      <c r="B2240" s="8">
        <v>393.75</v>
      </c>
      <c r="C2240" s="8">
        <v>20.531590000000001</v>
      </c>
      <c r="D2240" s="8">
        <v>43</v>
      </c>
      <c r="E2240" s="8">
        <v>0</v>
      </c>
      <c r="F2240" s="8">
        <v>0</v>
      </c>
      <c r="G2240" s="8">
        <v>13</v>
      </c>
      <c r="H2240" s="8" t="s">
        <v>4801</v>
      </c>
      <c r="I2240" s="8">
        <v>526.6875</v>
      </c>
      <c r="J2240" s="3">
        <f t="shared" si="34"/>
        <v>43747.611148599535</v>
      </c>
    </row>
    <row r="2241" spans="1:10" x14ac:dyDescent="0.25">
      <c r="A2241" s="5" t="s">
        <v>4802</v>
      </c>
      <c r="B2241" s="6">
        <v>412.5</v>
      </c>
      <c r="C2241" s="6">
        <v>20.584240000000001</v>
      </c>
      <c r="D2241" s="6">
        <v>43</v>
      </c>
      <c r="E2241" s="6">
        <v>0</v>
      </c>
      <c r="F2241" s="6">
        <v>0</v>
      </c>
      <c r="G2241" s="6">
        <v>13</v>
      </c>
      <c r="H2241" s="6" t="s">
        <v>4803</v>
      </c>
      <c r="I2241" s="6">
        <v>532.3125</v>
      </c>
      <c r="J2241" s="2">
        <f t="shared" si="34"/>
        <v>43747.611232175921</v>
      </c>
    </row>
    <row r="2242" spans="1:10" x14ac:dyDescent="0.25">
      <c r="A2242" s="7" t="s">
        <v>4804</v>
      </c>
      <c r="B2242" s="8">
        <v>393.75</v>
      </c>
      <c r="C2242" s="8">
        <v>20.584240000000001</v>
      </c>
      <c r="D2242" s="8">
        <v>43</v>
      </c>
      <c r="E2242" s="8">
        <v>0</v>
      </c>
      <c r="F2242" s="8">
        <v>0</v>
      </c>
      <c r="G2242" s="8">
        <v>6</v>
      </c>
      <c r="H2242" s="8" t="s">
        <v>4805</v>
      </c>
      <c r="I2242" s="8">
        <v>526.6875</v>
      </c>
      <c r="J2242" s="3">
        <f t="shared" ref="J2242:J2305" si="35">(H2242/86400000)+25569+(7/24)</f>
        <v>43747.611315706017</v>
      </c>
    </row>
    <row r="2243" spans="1:10" x14ac:dyDescent="0.25">
      <c r="A2243" s="5" t="s">
        <v>4806</v>
      </c>
      <c r="B2243" s="6">
        <v>393.75</v>
      </c>
      <c r="C2243" s="6">
        <v>20.584240000000001</v>
      </c>
      <c r="D2243" s="6">
        <v>41</v>
      </c>
      <c r="E2243" s="6">
        <v>0</v>
      </c>
      <c r="F2243" s="6">
        <v>0</v>
      </c>
      <c r="G2243" s="6">
        <v>11</v>
      </c>
      <c r="H2243" s="6" t="s">
        <v>4807</v>
      </c>
      <c r="I2243" s="6">
        <v>526.6875</v>
      </c>
      <c r="J2243" s="2">
        <f t="shared" si="35"/>
        <v>43747.611399074071</v>
      </c>
    </row>
    <row r="2244" spans="1:10" x14ac:dyDescent="0.25">
      <c r="A2244" s="7" t="s">
        <v>4808</v>
      </c>
      <c r="B2244" s="8">
        <v>393.75</v>
      </c>
      <c r="C2244" s="8">
        <v>20.584240000000001</v>
      </c>
      <c r="D2244" s="8">
        <v>40</v>
      </c>
      <c r="E2244" s="8">
        <v>0</v>
      </c>
      <c r="F2244" s="8">
        <v>0</v>
      </c>
      <c r="G2244" s="8">
        <v>17</v>
      </c>
      <c r="H2244" s="8" t="s">
        <v>4809</v>
      </c>
      <c r="I2244" s="8">
        <v>526.6875</v>
      </c>
      <c r="J2244" s="3">
        <f t="shared" si="35"/>
        <v>43747.611482326385</v>
      </c>
    </row>
    <row r="2245" spans="1:10" x14ac:dyDescent="0.25">
      <c r="A2245" s="5" t="s">
        <v>4810</v>
      </c>
      <c r="B2245" s="6">
        <v>393.75</v>
      </c>
      <c r="C2245" s="6">
        <v>20.584240000000001</v>
      </c>
      <c r="D2245" s="6">
        <v>40</v>
      </c>
      <c r="E2245" s="6">
        <v>0</v>
      </c>
      <c r="F2245" s="6">
        <v>0</v>
      </c>
      <c r="G2245" s="6">
        <v>9</v>
      </c>
      <c r="H2245" s="6" t="s">
        <v>4811</v>
      </c>
      <c r="I2245" s="6">
        <v>526.6875</v>
      </c>
      <c r="J2245" s="2">
        <f t="shared" si="35"/>
        <v>43747.611554050927</v>
      </c>
    </row>
    <row r="2246" spans="1:10" x14ac:dyDescent="0.25">
      <c r="A2246" s="7" t="s">
        <v>4812</v>
      </c>
      <c r="B2246" s="8">
        <v>412.5</v>
      </c>
      <c r="C2246" s="8">
        <v>20.531590000000001</v>
      </c>
      <c r="D2246" s="8">
        <v>41</v>
      </c>
      <c r="E2246" s="8">
        <v>0</v>
      </c>
      <c r="F2246" s="8">
        <v>0</v>
      </c>
      <c r="G2246" s="8">
        <v>24</v>
      </c>
      <c r="H2246" s="8" t="s">
        <v>4813</v>
      </c>
      <c r="I2246" s="8">
        <v>532.3125</v>
      </c>
      <c r="J2246" s="3">
        <f t="shared" si="35"/>
        <v>43747.611637615737</v>
      </c>
    </row>
    <row r="2247" spans="1:10" x14ac:dyDescent="0.25">
      <c r="A2247" s="5" t="s">
        <v>4814</v>
      </c>
      <c r="B2247" s="6">
        <v>393.75</v>
      </c>
      <c r="C2247" s="6">
        <v>20.584240000000001</v>
      </c>
      <c r="D2247" s="6">
        <v>42</v>
      </c>
      <c r="E2247" s="6">
        <v>0</v>
      </c>
      <c r="F2247" s="6">
        <v>0</v>
      </c>
      <c r="G2247" s="6">
        <v>13</v>
      </c>
      <c r="H2247" s="6" t="s">
        <v>4815</v>
      </c>
      <c r="I2247" s="6">
        <v>526.6875</v>
      </c>
      <c r="J2247" s="2">
        <f t="shared" si="35"/>
        <v>43747.611721076384</v>
      </c>
    </row>
    <row r="2248" spans="1:10" x14ac:dyDescent="0.25">
      <c r="A2248" s="7" t="s">
        <v>4816</v>
      </c>
      <c r="B2248" s="8">
        <v>393.75</v>
      </c>
      <c r="C2248" s="8">
        <v>20.584240000000001</v>
      </c>
      <c r="D2248" s="8">
        <v>42</v>
      </c>
      <c r="E2248" s="8">
        <v>0</v>
      </c>
      <c r="F2248" s="8">
        <v>0</v>
      </c>
      <c r="G2248" s="8">
        <v>6</v>
      </c>
      <c r="H2248" s="8" t="s">
        <v>4817</v>
      </c>
      <c r="I2248" s="8">
        <v>526.6875</v>
      </c>
      <c r="J2248" s="3">
        <f t="shared" si="35"/>
        <v>43747.61180450231</v>
      </c>
    </row>
    <row r="2249" spans="1:10" x14ac:dyDescent="0.25">
      <c r="A2249" s="5" t="s">
        <v>4818</v>
      </c>
      <c r="B2249" s="6">
        <v>393.75</v>
      </c>
      <c r="C2249" s="6">
        <v>20.584240000000001</v>
      </c>
      <c r="D2249" s="6">
        <v>43</v>
      </c>
      <c r="E2249" s="6">
        <v>0</v>
      </c>
      <c r="F2249" s="6">
        <v>0</v>
      </c>
      <c r="G2249" s="6">
        <v>15</v>
      </c>
      <c r="H2249" s="6" t="s">
        <v>4819</v>
      </c>
      <c r="I2249" s="6">
        <v>526.6875</v>
      </c>
      <c r="J2249" s="2">
        <f t="shared" si="35"/>
        <v>43747.611888078703</v>
      </c>
    </row>
    <row r="2250" spans="1:10" x14ac:dyDescent="0.25">
      <c r="A2250" s="7" t="s">
        <v>4820</v>
      </c>
      <c r="B2250" s="8">
        <v>434.375</v>
      </c>
      <c r="C2250" s="8">
        <v>20.584240000000001</v>
      </c>
      <c r="D2250" s="8">
        <v>43</v>
      </c>
      <c r="E2250" s="8">
        <v>0</v>
      </c>
      <c r="F2250" s="8">
        <v>0</v>
      </c>
      <c r="G2250" s="8">
        <v>17</v>
      </c>
      <c r="H2250" s="8" t="s">
        <v>4821</v>
      </c>
      <c r="I2250" s="8">
        <v>539.0625</v>
      </c>
      <c r="J2250" s="3">
        <f t="shared" si="35"/>
        <v>43747.611983449075</v>
      </c>
    </row>
    <row r="2251" spans="1:10" x14ac:dyDescent="0.25">
      <c r="A2251" s="5" t="s">
        <v>4822</v>
      </c>
      <c r="B2251" s="6">
        <v>393.75</v>
      </c>
      <c r="C2251" s="6">
        <v>20.584240000000001</v>
      </c>
      <c r="D2251" s="6">
        <v>44</v>
      </c>
      <c r="E2251" s="6">
        <v>0</v>
      </c>
      <c r="F2251" s="6">
        <v>0</v>
      </c>
      <c r="G2251" s="6">
        <v>12</v>
      </c>
      <c r="H2251" s="6" t="s">
        <v>4823</v>
      </c>
      <c r="I2251" s="6">
        <v>526.6875</v>
      </c>
      <c r="J2251" s="2">
        <f t="shared" si="35"/>
        <v>43747.612066898146</v>
      </c>
    </row>
    <row r="2252" spans="1:10" x14ac:dyDescent="0.25">
      <c r="A2252" s="7" t="s">
        <v>4824</v>
      </c>
      <c r="B2252" s="8">
        <v>393.75</v>
      </c>
      <c r="C2252" s="8">
        <v>20.584240000000001</v>
      </c>
      <c r="D2252" s="8">
        <v>44</v>
      </c>
      <c r="E2252" s="8">
        <v>0</v>
      </c>
      <c r="F2252" s="8">
        <v>0</v>
      </c>
      <c r="G2252" s="8">
        <v>20</v>
      </c>
      <c r="H2252" s="8" t="s">
        <v>4825</v>
      </c>
      <c r="I2252" s="8">
        <v>526.6875</v>
      </c>
      <c r="J2252" s="3">
        <f t="shared" si="35"/>
        <v>43747.612150543981</v>
      </c>
    </row>
    <row r="2253" spans="1:10" x14ac:dyDescent="0.25">
      <c r="A2253" s="5" t="s">
        <v>4826</v>
      </c>
      <c r="B2253" s="6">
        <v>393.75</v>
      </c>
      <c r="C2253" s="6">
        <v>20.584240000000001</v>
      </c>
      <c r="D2253" s="6">
        <v>45</v>
      </c>
      <c r="E2253" s="6">
        <v>0</v>
      </c>
      <c r="F2253" s="6">
        <v>0</v>
      </c>
      <c r="G2253" s="6">
        <v>19</v>
      </c>
      <c r="H2253" s="6" t="s">
        <v>4827</v>
      </c>
      <c r="I2253" s="6">
        <v>526.6875</v>
      </c>
      <c r="J2253" s="2">
        <f t="shared" si="35"/>
        <v>43747.612233935179</v>
      </c>
    </row>
    <row r="2254" spans="1:10" x14ac:dyDescent="0.25">
      <c r="A2254" s="7" t="s">
        <v>4828</v>
      </c>
      <c r="B2254" s="8">
        <v>393.75</v>
      </c>
      <c r="C2254" s="8">
        <v>20.584240000000001</v>
      </c>
      <c r="D2254" s="8">
        <v>45</v>
      </c>
      <c r="E2254" s="8">
        <v>0</v>
      </c>
      <c r="F2254" s="8">
        <v>0</v>
      </c>
      <c r="G2254" s="8">
        <v>17</v>
      </c>
      <c r="H2254" s="8" t="s">
        <v>4829</v>
      </c>
      <c r="I2254" s="8">
        <v>526.6875</v>
      </c>
      <c r="J2254" s="3">
        <f t="shared" si="35"/>
        <v>43747.612317361105</v>
      </c>
    </row>
    <row r="2255" spans="1:10" x14ac:dyDescent="0.25">
      <c r="A2255" s="5" t="s">
        <v>4830</v>
      </c>
      <c r="B2255" s="6">
        <v>393.75</v>
      </c>
      <c r="C2255" s="6">
        <v>20.584240000000001</v>
      </c>
      <c r="D2255" s="6">
        <v>45</v>
      </c>
      <c r="E2255" s="6">
        <v>0</v>
      </c>
      <c r="F2255" s="6">
        <v>0</v>
      </c>
      <c r="G2255" s="6">
        <v>15</v>
      </c>
      <c r="H2255" s="6" t="s">
        <v>4831</v>
      </c>
      <c r="I2255" s="6">
        <v>526.6875</v>
      </c>
      <c r="J2255" s="2">
        <f t="shared" si="35"/>
        <v>43747.612400798607</v>
      </c>
    </row>
    <row r="2256" spans="1:10" x14ac:dyDescent="0.25">
      <c r="A2256" s="7" t="s">
        <v>4832</v>
      </c>
      <c r="B2256" s="8">
        <v>393.75</v>
      </c>
      <c r="C2256" s="8">
        <v>20.584240000000001</v>
      </c>
      <c r="D2256" s="8">
        <v>45</v>
      </c>
      <c r="E2256" s="8">
        <v>0</v>
      </c>
      <c r="F2256" s="8">
        <v>0</v>
      </c>
      <c r="G2256" s="8">
        <v>12</v>
      </c>
      <c r="H2256" s="8" t="s">
        <v>4833</v>
      </c>
      <c r="I2256" s="8">
        <v>526.6875</v>
      </c>
      <c r="J2256" s="3">
        <f t="shared" si="35"/>
        <v>43747.612484282407</v>
      </c>
    </row>
    <row r="2257" spans="1:10" x14ac:dyDescent="0.25">
      <c r="A2257" s="5" t="s">
        <v>4834</v>
      </c>
      <c r="B2257" s="6">
        <v>412.5</v>
      </c>
      <c r="C2257" s="6">
        <v>20.584240000000001</v>
      </c>
      <c r="D2257" s="6">
        <v>45</v>
      </c>
      <c r="E2257" s="6">
        <v>0</v>
      </c>
      <c r="F2257" s="6">
        <v>0</v>
      </c>
      <c r="G2257" s="6">
        <v>19</v>
      </c>
      <c r="H2257" s="6" t="s">
        <v>4835</v>
      </c>
      <c r="I2257" s="6">
        <v>532.3125</v>
      </c>
      <c r="J2257" s="2">
        <f t="shared" si="35"/>
        <v>43747.612567465279</v>
      </c>
    </row>
    <row r="2258" spans="1:10" x14ac:dyDescent="0.25">
      <c r="A2258" s="7" t="s">
        <v>4836</v>
      </c>
      <c r="B2258" s="8">
        <v>393.75</v>
      </c>
      <c r="C2258" s="8">
        <v>20.584240000000001</v>
      </c>
      <c r="D2258" s="8">
        <v>45</v>
      </c>
      <c r="E2258" s="8">
        <v>0</v>
      </c>
      <c r="F2258" s="8">
        <v>0</v>
      </c>
      <c r="G2258" s="8">
        <v>17</v>
      </c>
      <c r="H2258" s="8" t="s">
        <v>4837</v>
      </c>
      <c r="I2258" s="8">
        <v>526.6875</v>
      </c>
      <c r="J2258" s="3">
        <f t="shared" si="35"/>
        <v>43747.612639108796</v>
      </c>
    </row>
    <row r="2259" spans="1:10" x14ac:dyDescent="0.25">
      <c r="A2259" s="5" t="s">
        <v>4838</v>
      </c>
      <c r="B2259" s="6">
        <v>393.75</v>
      </c>
      <c r="C2259" s="6">
        <v>20.584240000000001</v>
      </c>
      <c r="D2259" s="6">
        <v>46</v>
      </c>
      <c r="E2259" s="6">
        <v>0</v>
      </c>
      <c r="F2259" s="6">
        <v>0</v>
      </c>
      <c r="G2259" s="6">
        <v>18</v>
      </c>
      <c r="H2259" s="6" t="s">
        <v>4839</v>
      </c>
      <c r="I2259" s="6">
        <v>526.6875</v>
      </c>
      <c r="J2259" s="2">
        <f t="shared" si="35"/>
        <v>43747.612734930553</v>
      </c>
    </row>
    <row r="2260" spans="1:10" x14ac:dyDescent="0.25">
      <c r="A2260" s="7" t="s">
        <v>4840</v>
      </c>
      <c r="B2260" s="8">
        <v>393.75</v>
      </c>
      <c r="C2260" s="8">
        <v>20.584240000000001</v>
      </c>
      <c r="D2260" s="8">
        <v>47</v>
      </c>
      <c r="E2260" s="8">
        <v>0</v>
      </c>
      <c r="F2260" s="8">
        <v>0</v>
      </c>
      <c r="G2260" s="8">
        <v>17</v>
      </c>
      <c r="H2260" s="8" t="s">
        <v>4841</v>
      </c>
      <c r="I2260" s="8">
        <v>526.6875</v>
      </c>
      <c r="J2260" s="3">
        <f t="shared" si="35"/>
        <v>43747.612805983794</v>
      </c>
    </row>
    <row r="2261" spans="1:10" x14ac:dyDescent="0.25">
      <c r="A2261" s="5" t="s">
        <v>4842</v>
      </c>
      <c r="B2261" s="6">
        <v>393.75</v>
      </c>
      <c r="C2261" s="6">
        <v>20.531590000000001</v>
      </c>
      <c r="D2261" s="6">
        <v>46</v>
      </c>
      <c r="E2261" s="6">
        <v>0</v>
      </c>
      <c r="F2261" s="6">
        <v>0</v>
      </c>
      <c r="G2261" s="6">
        <v>8</v>
      </c>
      <c r="H2261" s="6" t="s">
        <v>4843</v>
      </c>
      <c r="I2261" s="6">
        <v>526.6875</v>
      </c>
      <c r="J2261" s="2">
        <f t="shared" si="35"/>
        <v>43747.612889814809</v>
      </c>
    </row>
    <row r="2262" spans="1:10" x14ac:dyDescent="0.25">
      <c r="A2262" s="7" t="s">
        <v>4844</v>
      </c>
      <c r="B2262" s="8">
        <v>437.5</v>
      </c>
      <c r="C2262" s="8">
        <v>20.531590000000001</v>
      </c>
      <c r="D2262" s="8">
        <v>45</v>
      </c>
      <c r="E2262" s="8">
        <v>0</v>
      </c>
      <c r="F2262" s="8">
        <v>0</v>
      </c>
      <c r="G2262" s="8">
        <v>12</v>
      </c>
      <c r="H2262" s="8" t="s">
        <v>4845</v>
      </c>
      <c r="I2262" s="8">
        <v>540.375</v>
      </c>
      <c r="J2262" s="3">
        <f t="shared" si="35"/>
        <v>43747.612973240735</v>
      </c>
    </row>
    <row r="2263" spans="1:10" x14ac:dyDescent="0.25">
      <c r="A2263" s="5" t="s">
        <v>4846</v>
      </c>
      <c r="B2263" s="6">
        <v>393.75</v>
      </c>
      <c r="C2263" s="6">
        <v>20.584240000000001</v>
      </c>
      <c r="D2263" s="6">
        <v>47</v>
      </c>
      <c r="E2263" s="6">
        <v>0</v>
      </c>
      <c r="F2263" s="6">
        <v>0</v>
      </c>
      <c r="G2263" s="6">
        <v>7</v>
      </c>
      <c r="H2263" s="6" t="s">
        <v>4847</v>
      </c>
      <c r="I2263" s="6">
        <v>526.6875</v>
      </c>
      <c r="J2263" s="2">
        <f t="shared" si="35"/>
        <v>43747.61305634259</v>
      </c>
    </row>
    <row r="2264" spans="1:10" x14ac:dyDescent="0.25">
      <c r="A2264" s="7" t="s">
        <v>4848</v>
      </c>
      <c r="B2264" s="8">
        <v>393.75</v>
      </c>
      <c r="C2264" s="8">
        <v>20.584240000000001</v>
      </c>
      <c r="D2264" s="8">
        <v>47</v>
      </c>
      <c r="E2264" s="8">
        <v>0</v>
      </c>
      <c r="F2264" s="8">
        <v>0</v>
      </c>
      <c r="G2264" s="8">
        <v>13</v>
      </c>
      <c r="H2264" s="8" t="s">
        <v>4849</v>
      </c>
      <c r="I2264" s="8">
        <v>526.6875</v>
      </c>
      <c r="J2264" s="3">
        <f t="shared" si="35"/>
        <v>43747.613127974539</v>
      </c>
    </row>
    <row r="2265" spans="1:10" x14ac:dyDescent="0.25">
      <c r="A2265" s="5" t="s">
        <v>4850</v>
      </c>
      <c r="B2265" s="6">
        <v>393.75</v>
      </c>
      <c r="C2265" s="6">
        <v>20.584240000000001</v>
      </c>
      <c r="D2265" s="6">
        <v>48</v>
      </c>
      <c r="E2265" s="6">
        <v>0</v>
      </c>
      <c r="F2265" s="6">
        <v>0</v>
      </c>
      <c r="G2265" s="6">
        <v>8</v>
      </c>
      <c r="H2265" s="6" t="s">
        <v>4851</v>
      </c>
      <c r="I2265" s="6">
        <v>526.6875</v>
      </c>
      <c r="J2265" s="2">
        <f t="shared" si="35"/>
        <v>43747.61321189814</v>
      </c>
    </row>
    <row r="2266" spans="1:10" x14ac:dyDescent="0.25">
      <c r="A2266" s="7" t="s">
        <v>4852</v>
      </c>
      <c r="B2266" s="8">
        <v>393.75</v>
      </c>
      <c r="C2266" s="8">
        <v>20.531590000000001</v>
      </c>
      <c r="D2266" s="8">
        <v>43</v>
      </c>
      <c r="E2266" s="8">
        <v>0</v>
      </c>
      <c r="F2266" s="8">
        <v>0</v>
      </c>
      <c r="G2266" s="8">
        <v>14</v>
      </c>
      <c r="H2266" s="8" t="s">
        <v>4853</v>
      </c>
      <c r="I2266" s="8">
        <v>526.6875</v>
      </c>
      <c r="J2266" s="3">
        <f t="shared" si="35"/>
        <v>43747.613295254625</v>
      </c>
    </row>
    <row r="2267" spans="1:10" x14ac:dyDescent="0.25">
      <c r="A2267" s="5" t="s">
        <v>4854</v>
      </c>
      <c r="B2267" s="6">
        <v>418.75</v>
      </c>
      <c r="C2267" s="6">
        <v>20.584240000000001</v>
      </c>
      <c r="D2267" s="6">
        <v>43</v>
      </c>
      <c r="E2267" s="6">
        <v>0</v>
      </c>
      <c r="F2267" s="6">
        <v>0</v>
      </c>
      <c r="G2267" s="6">
        <v>13</v>
      </c>
      <c r="H2267" s="6" t="s">
        <v>4855</v>
      </c>
      <c r="I2267" s="6">
        <v>534.1875</v>
      </c>
      <c r="J2267" s="2">
        <f t="shared" si="35"/>
        <v>43747.613378564813</v>
      </c>
    </row>
    <row r="2268" spans="1:10" x14ac:dyDescent="0.25">
      <c r="A2268" s="7" t="s">
        <v>4856</v>
      </c>
      <c r="B2268" s="8">
        <v>393.75</v>
      </c>
      <c r="C2268" s="8">
        <v>20.531590000000001</v>
      </c>
      <c r="D2268" s="8">
        <v>44</v>
      </c>
      <c r="E2268" s="8">
        <v>0</v>
      </c>
      <c r="F2268" s="8">
        <v>0</v>
      </c>
      <c r="G2268" s="8">
        <v>18</v>
      </c>
      <c r="H2268" s="8" t="s">
        <v>4857</v>
      </c>
      <c r="I2268" s="8">
        <v>526.6875</v>
      </c>
      <c r="J2268" s="3">
        <f t="shared" si="35"/>
        <v>43747.613462141198</v>
      </c>
    </row>
    <row r="2269" spans="1:10" x14ac:dyDescent="0.25">
      <c r="A2269" s="5" t="s">
        <v>4858</v>
      </c>
      <c r="B2269" s="6">
        <v>393.75</v>
      </c>
      <c r="C2269" s="6">
        <v>20.584240000000001</v>
      </c>
      <c r="D2269" s="6">
        <v>43</v>
      </c>
      <c r="E2269" s="6">
        <v>0</v>
      </c>
      <c r="F2269" s="6">
        <v>0</v>
      </c>
      <c r="G2269" s="6">
        <v>17</v>
      </c>
      <c r="H2269" s="6" t="s">
        <v>4859</v>
      </c>
      <c r="I2269" s="6">
        <v>526.6875</v>
      </c>
      <c r="J2269" s="2">
        <f t="shared" si="35"/>
        <v>43747.613545219901</v>
      </c>
    </row>
    <row r="2270" spans="1:10" x14ac:dyDescent="0.25">
      <c r="A2270" s="7" t="s">
        <v>4860</v>
      </c>
      <c r="B2270" s="8">
        <v>393.75</v>
      </c>
      <c r="C2270" s="8">
        <v>20.584240000000001</v>
      </c>
      <c r="D2270" s="8">
        <v>43</v>
      </c>
      <c r="E2270" s="8">
        <v>0</v>
      </c>
      <c r="F2270" s="8">
        <v>0</v>
      </c>
      <c r="G2270" s="8">
        <v>15</v>
      </c>
      <c r="H2270" s="8" t="s">
        <v>4861</v>
      </c>
      <c r="I2270" s="8">
        <v>526.6875</v>
      </c>
      <c r="J2270" s="3">
        <f t="shared" si="35"/>
        <v>43747.613616990733</v>
      </c>
    </row>
    <row r="2271" spans="1:10" x14ac:dyDescent="0.25">
      <c r="A2271" s="5" t="s">
        <v>4862</v>
      </c>
      <c r="B2271" s="6">
        <v>393.75</v>
      </c>
      <c r="C2271" s="6">
        <v>20.584240000000001</v>
      </c>
      <c r="D2271" s="6">
        <v>43</v>
      </c>
      <c r="E2271" s="6">
        <v>0</v>
      </c>
      <c r="F2271" s="6">
        <v>0</v>
      </c>
      <c r="G2271" s="6">
        <v>18</v>
      </c>
      <c r="H2271" s="6" t="s">
        <v>4863</v>
      </c>
      <c r="I2271" s="6">
        <v>526.6875</v>
      </c>
      <c r="J2271" s="2">
        <f t="shared" si="35"/>
        <v>43747.613701018512</v>
      </c>
    </row>
    <row r="2272" spans="1:10" x14ac:dyDescent="0.25">
      <c r="A2272" s="7" t="s">
        <v>4864</v>
      </c>
      <c r="B2272" s="8">
        <v>393.75</v>
      </c>
      <c r="C2272" s="8">
        <v>20.584240000000001</v>
      </c>
      <c r="D2272" s="8">
        <v>44</v>
      </c>
      <c r="E2272" s="8">
        <v>0</v>
      </c>
      <c r="F2272" s="8">
        <v>0</v>
      </c>
      <c r="G2272" s="8">
        <v>18</v>
      </c>
      <c r="H2272" s="8" t="s">
        <v>4865</v>
      </c>
      <c r="I2272" s="8">
        <v>526.6875</v>
      </c>
      <c r="J2272" s="3">
        <f t="shared" si="35"/>
        <v>43747.613784247682</v>
      </c>
    </row>
    <row r="2273" spans="1:10" x14ac:dyDescent="0.25">
      <c r="A2273" s="5" t="s">
        <v>4866</v>
      </c>
      <c r="B2273" s="6">
        <v>393.75</v>
      </c>
      <c r="C2273" s="6">
        <v>20.584240000000001</v>
      </c>
      <c r="D2273" s="6">
        <v>42</v>
      </c>
      <c r="E2273" s="6">
        <v>0</v>
      </c>
      <c r="F2273" s="6">
        <v>0</v>
      </c>
      <c r="G2273" s="6">
        <v>16</v>
      </c>
      <c r="H2273" s="6" t="s">
        <v>4867</v>
      </c>
      <c r="I2273" s="6">
        <v>526.5</v>
      </c>
      <c r="J2273" s="2">
        <f t="shared" si="35"/>
        <v>43747.6138674537</v>
      </c>
    </row>
    <row r="2274" spans="1:10" x14ac:dyDescent="0.25">
      <c r="A2274" s="7" t="s">
        <v>4868</v>
      </c>
      <c r="B2274" s="8">
        <v>393.75</v>
      </c>
      <c r="C2274" s="8">
        <v>20.584240000000001</v>
      </c>
      <c r="D2274" s="8">
        <v>42</v>
      </c>
      <c r="E2274" s="8">
        <v>0</v>
      </c>
      <c r="F2274" s="8">
        <v>0</v>
      </c>
      <c r="G2274" s="8">
        <v>14</v>
      </c>
      <c r="H2274" s="8" t="s">
        <v>4869</v>
      </c>
      <c r="I2274" s="8">
        <v>526.6875</v>
      </c>
      <c r="J2274" s="3">
        <f t="shared" si="35"/>
        <v>43747.613951122687</v>
      </c>
    </row>
    <row r="2275" spans="1:10" x14ac:dyDescent="0.25">
      <c r="A2275" s="5" t="s">
        <v>4870</v>
      </c>
      <c r="B2275" s="6">
        <v>393.75</v>
      </c>
      <c r="C2275" s="6">
        <v>20.584240000000001</v>
      </c>
      <c r="D2275" s="6">
        <v>43</v>
      </c>
      <c r="E2275" s="6">
        <v>0</v>
      </c>
      <c r="F2275" s="6">
        <v>0</v>
      </c>
      <c r="G2275" s="6">
        <v>13</v>
      </c>
      <c r="H2275" s="6" t="s">
        <v>4871</v>
      </c>
      <c r="I2275" s="6">
        <v>526.6875</v>
      </c>
      <c r="J2275" s="2">
        <f t="shared" si="35"/>
        <v>43747.614034224534</v>
      </c>
    </row>
    <row r="2276" spans="1:10" x14ac:dyDescent="0.25">
      <c r="A2276" s="7" t="s">
        <v>4872</v>
      </c>
      <c r="B2276" s="8">
        <v>393.75</v>
      </c>
      <c r="C2276" s="8">
        <v>20.531590000000001</v>
      </c>
      <c r="D2276" s="8">
        <v>43</v>
      </c>
      <c r="E2276" s="8">
        <v>0</v>
      </c>
      <c r="F2276" s="8">
        <v>0</v>
      </c>
      <c r="G2276" s="8">
        <v>15</v>
      </c>
      <c r="H2276" s="8" t="s">
        <v>4873</v>
      </c>
      <c r="I2276" s="8">
        <v>526.6875</v>
      </c>
      <c r="J2276" s="3">
        <f t="shared" si="35"/>
        <v>43747.614105775465</v>
      </c>
    </row>
    <row r="2277" spans="1:10" x14ac:dyDescent="0.25">
      <c r="A2277" s="5" t="s">
        <v>4874</v>
      </c>
      <c r="B2277" s="6">
        <v>393.75</v>
      </c>
      <c r="C2277" s="6">
        <v>20.584240000000001</v>
      </c>
      <c r="D2277" s="6">
        <v>43</v>
      </c>
      <c r="E2277" s="6">
        <v>0</v>
      </c>
      <c r="F2277" s="6">
        <v>0</v>
      </c>
      <c r="G2277" s="6">
        <v>16</v>
      </c>
      <c r="H2277" s="6" t="s">
        <v>4875</v>
      </c>
      <c r="I2277" s="6">
        <v>526.6875</v>
      </c>
      <c r="J2277" s="2">
        <f t="shared" si="35"/>
        <v>43747.614189849533</v>
      </c>
    </row>
    <row r="2278" spans="1:10" x14ac:dyDescent="0.25">
      <c r="A2278" s="7" t="s">
        <v>4876</v>
      </c>
      <c r="B2278" s="8">
        <v>393.75</v>
      </c>
      <c r="C2278" s="8">
        <v>20.584240000000001</v>
      </c>
      <c r="D2278" s="8">
        <v>43</v>
      </c>
      <c r="E2278" s="8">
        <v>0</v>
      </c>
      <c r="F2278" s="8">
        <v>0</v>
      </c>
      <c r="G2278" s="8">
        <v>14</v>
      </c>
      <c r="H2278" s="8" t="s">
        <v>4877</v>
      </c>
      <c r="I2278" s="8">
        <v>526.6875</v>
      </c>
      <c r="J2278" s="3">
        <f t="shared" si="35"/>
        <v>43747.614273009262</v>
      </c>
    </row>
    <row r="2279" spans="1:10" x14ac:dyDescent="0.25">
      <c r="A2279" s="5" t="s">
        <v>4878</v>
      </c>
      <c r="B2279" s="6">
        <v>393.75</v>
      </c>
      <c r="C2279" s="6">
        <v>20.531590000000001</v>
      </c>
      <c r="D2279" s="6">
        <v>43</v>
      </c>
      <c r="E2279" s="6">
        <v>0</v>
      </c>
      <c r="F2279" s="6">
        <v>0</v>
      </c>
      <c r="G2279" s="6">
        <v>16</v>
      </c>
      <c r="H2279" s="6" t="s">
        <v>4879</v>
      </c>
      <c r="I2279" s="6">
        <v>526.6875</v>
      </c>
      <c r="J2279" s="2">
        <f t="shared" si="35"/>
        <v>43747.614356319442</v>
      </c>
    </row>
    <row r="2280" spans="1:10" x14ac:dyDescent="0.25">
      <c r="A2280" s="7" t="s">
        <v>4880</v>
      </c>
      <c r="B2280" s="8">
        <v>393.75</v>
      </c>
      <c r="C2280" s="8">
        <v>20.584240000000001</v>
      </c>
      <c r="D2280" s="8">
        <v>43</v>
      </c>
      <c r="E2280" s="8">
        <v>0</v>
      </c>
      <c r="F2280" s="8">
        <v>0</v>
      </c>
      <c r="G2280" s="8">
        <v>15</v>
      </c>
      <c r="H2280" s="8" t="s">
        <v>4881</v>
      </c>
      <c r="I2280" s="8">
        <v>526.6875</v>
      </c>
      <c r="J2280" s="3">
        <f t="shared" si="35"/>
        <v>43747.614440011566</v>
      </c>
    </row>
    <row r="2281" spans="1:10" x14ac:dyDescent="0.25">
      <c r="A2281" s="5" t="s">
        <v>4882</v>
      </c>
      <c r="B2281" s="6">
        <v>393.75</v>
      </c>
      <c r="C2281" s="6">
        <v>20.584240000000001</v>
      </c>
      <c r="D2281" s="6">
        <v>42</v>
      </c>
      <c r="E2281" s="6">
        <v>0</v>
      </c>
      <c r="F2281" s="6">
        <v>0</v>
      </c>
      <c r="G2281" s="6">
        <v>20</v>
      </c>
      <c r="H2281" s="6" t="s">
        <v>4883</v>
      </c>
      <c r="I2281" s="6">
        <v>526.6875</v>
      </c>
      <c r="J2281" s="2">
        <f t="shared" si="35"/>
        <v>43747.614523124998</v>
      </c>
    </row>
    <row r="2282" spans="1:10" x14ac:dyDescent="0.25">
      <c r="A2282" s="7" t="s">
        <v>4884</v>
      </c>
      <c r="B2282" s="8">
        <v>412.5</v>
      </c>
      <c r="C2282" s="8">
        <v>20.584240000000001</v>
      </c>
      <c r="D2282" s="8">
        <v>42</v>
      </c>
      <c r="E2282" s="8">
        <v>0</v>
      </c>
      <c r="F2282" s="8">
        <v>0</v>
      </c>
      <c r="G2282" s="8">
        <v>17</v>
      </c>
      <c r="H2282" s="8" t="s">
        <v>4885</v>
      </c>
      <c r="I2282" s="8">
        <v>532.3125</v>
      </c>
      <c r="J2282" s="3">
        <f t="shared" si="35"/>
        <v>43747.61459474537</v>
      </c>
    </row>
    <row r="2283" spans="1:10" x14ac:dyDescent="0.25">
      <c r="A2283" s="5" t="s">
        <v>4886</v>
      </c>
      <c r="B2283" s="6">
        <v>393.75</v>
      </c>
      <c r="C2283" s="6">
        <v>20.584240000000001</v>
      </c>
      <c r="D2283" s="6">
        <v>42</v>
      </c>
      <c r="E2283" s="6">
        <v>0</v>
      </c>
      <c r="F2283" s="6">
        <v>0</v>
      </c>
      <c r="G2283" s="6">
        <v>12</v>
      </c>
      <c r="H2283" s="6" t="s">
        <v>4887</v>
      </c>
      <c r="I2283" s="6">
        <v>526.6875</v>
      </c>
      <c r="J2283" s="2">
        <f t="shared" si="35"/>
        <v>43747.61467855324</v>
      </c>
    </row>
    <row r="2284" spans="1:10" x14ac:dyDescent="0.25">
      <c r="A2284" s="7" t="s">
        <v>4888</v>
      </c>
      <c r="B2284" s="8">
        <v>393.75</v>
      </c>
      <c r="C2284" s="8">
        <v>20.584240000000001</v>
      </c>
      <c r="D2284" s="8">
        <v>44</v>
      </c>
      <c r="E2284" s="8">
        <v>0</v>
      </c>
      <c r="F2284" s="8">
        <v>0</v>
      </c>
      <c r="G2284" s="8">
        <v>19</v>
      </c>
      <c r="H2284" s="8" t="s">
        <v>4889</v>
      </c>
      <c r="I2284" s="8">
        <v>526.6875</v>
      </c>
      <c r="J2284" s="3">
        <f t="shared" si="35"/>
        <v>43747.614761655095</v>
      </c>
    </row>
    <row r="2285" spans="1:10" x14ac:dyDescent="0.25">
      <c r="A2285" s="5" t="s">
        <v>4890</v>
      </c>
      <c r="B2285" s="6">
        <v>393.75</v>
      </c>
      <c r="C2285" s="6">
        <v>20.531590000000001</v>
      </c>
      <c r="D2285" s="6">
        <v>41</v>
      </c>
      <c r="E2285" s="6">
        <v>0</v>
      </c>
      <c r="F2285" s="6">
        <v>0</v>
      </c>
      <c r="G2285" s="6">
        <v>19</v>
      </c>
      <c r="H2285" s="6" t="s">
        <v>4891</v>
      </c>
      <c r="I2285" s="6">
        <v>526.6875</v>
      </c>
      <c r="J2285" s="2">
        <f t="shared" si="35"/>
        <v>43747.614833541666</v>
      </c>
    </row>
    <row r="2286" spans="1:10" x14ac:dyDescent="0.25">
      <c r="A2286" s="7" t="s">
        <v>4892</v>
      </c>
      <c r="B2286" s="8">
        <v>390.625</v>
      </c>
      <c r="C2286" s="8">
        <v>20.584240000000001</v>
      </c>
      <c r="D2286" s="8">
        <v>43</v>
      </c>
      <c r="E2286" s="8">
        <v>0</v>
      </c>
      <c r="F2286" s="8">
        <v>0</v>
      </c>
      <c r="G2286" s="8">
        <v>13</v>
      </c>
      <c r="H2286" s="8" t="s">
        <v>4893</v>
      </c>
      <c r="I2286" s="8">
        <v>525.9375</v>
      </c>
      <c r="J2286" s="3">
        <f t="shared" si="35"/>
        <v>43747.614917013889</v>
      </c>
    </row>
    <row r="2287" spans="1:10" x14ac:dyDescent="0.25">
      <c r="A2287" s="5" t="s">
        <v>4894</v>
      </c>
      <c r="B2287" s="6">
        <v>390.625</v>
      </c>
      <c r="C2287" s="6">
        <v>20.584240000000001</v>
      </c>
      <c r="D2287" s="6">
        <v>43</v>
      </c>
      <c r="E2287" s="6">
        <v>0</v>
      </c>
      <c r="F2287" s="6">
        <v>0</v>
      </c>
      <c r="G2287" s="6">
        <v>16</v>
      </c>
      <c r="H2287" s="6" t="s">
        <v>4895</v>
      </c>
      <c r="I2287" s="6">
        <v>525.9375</v>
      </c>
      <c r="J2287" s="2">
        <f t="shared" si="35"/>
        <v>43747.615000439815</v>
      </c>
    </row>
    <row r="2288" spans="1:10" x14ac:dyDescent="0.25">
      <c r="A2288" s="7" t="s">
        <v>4896</v>
      </c>
      <c r="B2288" s="8">
        <v>393.75</v>
      </c>
      <c r="C2288" s="8">
        <v>20.584240000000001</v>
      </c>
      <c r="D2288" s="8">
        <v>43</v>
      </c>
      <c r="E2288" s="8">
        <v>0</v>
      </c>
      <c r="F2288" s="8">
        <v>0</v>
      </c>
      <c r="G2288" s="8">
        <v>18</v>
      </c>
      <c r="H2288" s="8" t="s">
        <v>4897</v>
      </c>
      <c r="I2288" s="8">
        <v>526.6875</v>
      </c>
      <c r="J2288" s="3">
        <f t="shared" si="35"/>
        <v>43747.615083993056</v>
      </c>
    </row>
    <row r="2289" spans="1:10" x14ac:dyDescent="0.25">
      <c r="A2289" s="5" t="s">
        <v>4898</v>
      </c>
      <c r="B2289" s="6">
        <v>390.625</v>
      </c>
      <c r="C2289" s="6">
        <v>20.584240000000001</v>
      </c>
      <c r="D2289" s="6">
        <v>41</v>
      </c>
      <c r="E2289" s="6">
        <v>0</v>
      </c>
      <c r="F2289" s="6">
        <v>0</v>
      </c>
      <c r="G2289" s="6">
        <v>13</v>
      </c>
      <c r="H2289" s="6" t="s">
        <v>4899</v>
      </c>
      <c r="I2289" s="6">
        <v>525.75</v>
      </c>
      <c r="J2289" s="2">
        <f t="shared" si="35"/>
        <v>43747.615167476848</v>
      </c>
    </row>
    <row r="2290" spans="1:10" x14ac:dyDescent="0.25">
      <c r="A2290" s="7" t="s">
        <v>4900</v>
      </c>
      <c r="B2290" s="8">
        <v>390.625</v>
      </c>
      <c r="C2290" s="8">
        <v>20.584240000000001</v>
      </c>
      <c r="D2290" s="8">
        <v>40</v>
      </c>
      <c r="E2290" s="8">
        <v>0</v>
      </c>
      <c r="F2290" s="8">
        <v>0</v>
      </c>
      <c r="G2290" s="8">
        <v>19</v>
      </c>
      <c r="H2290" s="8" t="s">
        <v>4901</v>
      </c>
      <c r="I2290" s="8">
        <v>525.75</v>
      </c>
      <c r="J2290" s="3">
        <f t="shared" si="35"/>
        <v>43747.615250879629</v>
      </c>
    </row>
    <row r="2291" spans="1:10" x14ac:dyDescent="0.25">
      <c r="A2291" s="5" t="s">
        <v>4902</v>
      </c>
      <c r="B2291" s="6">
        <v>390.625</v>
      </c>
      <c r="C2291" s="6">
        <v>20.584240000000001</v>
      </c>
      <c r="D2291" s="6">
        <v>40</v>
      </c>
      <c r="E2291" s="6">
        <v>0</v>
      </c>
      <c r="F2291" s="6">
        <v>0</v>
      </c>
      <c r="G2291" s="6">
        <v>15</v>
      </c>
      <c r="H2291" s="6" t="s">
        <v>4903</v>
      </c>
      <c r="I2291" s="6">
        <v>525.75</v>
      </c>
      <c r="J2291" s="2">
        <f t="shared" si="35"/>
        <v>43747.615334016205</v>
      </c>
    </row>
    <row r="2292" spans="1:10" x14ac:dyDescent="0.25">
      <c r="A2292" s="7" t="s">
        <v>4904</v>
      </c>
      <c r="B2292" s="8">
        <v>418.75</v>
      </c>
      <c r="C2292" s="8">
        <v>20.584240000000001</v>
      </c>
      <c r="D2292" s="8">
        <v>42</v>
      </c>
      <c r="E2292" s="8">
        <v>0</v>
      </c>
      <c r="F2292" s="8">
        <v>0</v>
      </c>
      <c r="G2292" s="8">
        <v>11</v>
      </c>
      <c r="H2292" s="8" t="s">
        <v>4905</v>
      </c>
      <c r="I2292" s="8">
        <v>534.375</v>
      </c>
      <c r="J2292" s="3">
        <f t="shared" si="35"/>
        <v>43747.615418703703</v>
      </c>
    </row>
    <row r="2293" spans="1:10" x14ac:dyDescent="0.25">
      <c r="A2293" s="5" t="s">
        <v>4906</v>
      </c>
      <c r="B2293" s="6">
        <v>390.625</v>
      </c>
      <c r="C2293" s="6">
        <v>20.584240000000001</v>
      </c>
      <c r="D2293" s="6">
        <v>42</v>
      </c>
      <c r="E2293" s="6">
        <v>0</v>
      </c>
      <c r="F2293" s="6">
        <v>0</v>
      </c>
      <c r="G2293" s="6">
        <v>19</v>
      </c>
      <c r="H2293" s="6" t="s">
        <v>4907</v>
      </c>
      <c r="I2293" s="6">
        <v>525.9375</v>
      </c>
      <c r="J2293" s="2">
        <f t="shared" si="35"/>
        <v>43747.615501458327</v>
      </c>
    </row>
    <row r="2294" spans="1:10" x14ac:dyDescent="0.25">
      <c r="A2294" s="7" t="s">
        <v>4908</v>
      </c>
      <c r="B2294" s="8">
        <v>418.75</v>
      </c>
      <c r="C2294" s="8">
        <v>20.584240000000001</v>
      </c>
      <c r="D2294" s="8">
        <v>39</v>
      </c>
      <c r="E2294" s="8">
        <v>0</v>
      </c>
      <c r="F2294" s="8">
        <v>0</v>
      </c>
      <c r="G2294" s="8">
        <v>14</v>
      </c>
      <c r="H2294" s="8" t="s">
        <v>4909</v>
      </c>
      <c r="I2294" s="8">
        <v>534.9375</v>
      </c>
      <c r="J2294" s="3">
        <f t="shared" si="35"/>
        <v>43747.615584826388</v>
      </c>
    </row>
    <row r="2295" spans="1:10" x14ac:dyDescent="0.25">
      <c r="A2295" s="5" t="s">
        <v>4910</v>
      </c>
      <c r="B2295" s="6">
        <v>390.625</v>
      </c>
      <c r="C2295" s="6">
        <v>20.584240000000001</v>
      </c>
      <c r="D2295" s="6">
        <v>39</v>
      </c>
      <c r="E2295" s="6">
        <v>0</v>
      </c>
      <c r="F2295" s="6">
        <v>0</v>
      </c>
      <c r="G2295" s="6">
        <v>9</v>
      </c>
      <c r="H2295" s="6" t="s">
        <v>4911</v>
      </c>
      <c r="I2295" s="6">
        <v>525.9375</v>
      </c>
      <c r="J2295" s="2">
        <f t="shared" si="35"/>
        <v>43747.615668321756</v>
      </c>
    </row>
    <row r="2296" spans="1:10" x14ac:dyDescent="0.25">
      <c r="A2296" s="7" t="s">
        <v>4912</v>
      </c>
      <c r="B2296" s="8">
        <v>390.625</v>
      </c>
      <c r="C2296" s="8">
        <v>20.531590000000001</v>
      </c>
      <c r="D2296" s="8">
        <v>40</v>
      </c>
      <c r="E2296" s="8">
        <v>0</v>
      </c>
      <c r="F2296" s="8">
        <v>0</v>
      </c>
      <c r="G2296" s="8">
        <v>14</v>
      </c>
      <c r="H2296" s="8" t="s">
        <v>4913</v>
      </c>
      <c r="I2296" s="8">
        <v>525.9375</v>
      </c>
      <c r="J2296" s="3">
        <f t="shared" si="35"/>
        <v>43747.615739837966</v>
      </c>
    </row>
    <row r="2297" spans="1:10" x14ac:dyDescent="0.25">
      <c r="A2297" s="5" t="s">
        <v>4914</v>
      </c>
      <c r="B2297" s="6">
        <v>409.375</v>
      </c>
      <c r="C2297" s="6">
        <v>20.584240000000001</v>
      </c>
      <c r="D2297" s="6">
        <v>41</v>
      </c>
      <c r="E2297" s="6">
        <v>0</v>
      </c>
      <c r="F2297" s="6">
        <v>0</v>
      </c>
      <c r="G2297" s="6">
        <v>10</v>
      </c>
      <c r="H2297" s="6" t="s">
        <v>4915</v>
      </c>
      <c r="I2297" s="6">
        <v>531.5625</v>
      </c>
      <c r="J2297" s="2">
        <f t="shared" si="35"/>
        <v>43747.615823067128</v>
      </c>
    </row>
    <row r="2298" spans="1:10" x14ac:dyDescent="0.25">
      <c r="A2298" s="7" t="s">
        <v>4916</v>
      </c>
      <c r="B2298" s="8">
        <v>390.625</v>
      </c>
      <c r="C2298" s="8">
        <v>20.584240000000001</v>
      </c>
      <c r="D2298" s="8">
        <v>41</v>
      </c>
      <c r="E2298" s="8">
        <v>0</v>
      </c>
      <c r="F2298" s="8">
        <v>0</v>
      </c>
      <c r="G2298" s="8">
        <v>11</v>
      </c>
      <c r="H2298" s="8" t="s">
        <v>4917</v>
      </c>
      <c r="I2298" s="8">
        <v>525.75</v>
      </c>
      <c r="J2298" s="3">
        <f t="shared" si="35"/>
        <v>43747.615894849536</v>
      </c>
    </row>
    <row r="2299" spans="1:10" x14ac:dyDescent="0.25">
      <c r="A2299" s="5" t="s">
        <v>4918</v>
      </c>
      <c r="B2299" s="6">
        <v>390.625</v>
      </c>
      <c r="C2299" s="6">
        <v>20.584240000000001</v>
      </c>
      <c r="D2299" s="6">
        <v>42</v>
      </c>
      <c r="E2299" s="6">
        <v>0</v>
      </c>
      <c r="F2299" s="6">
        <v>0</v>
      </c>
      <c r="G2299" s="6">
        <v>9</v>
      </c>
      <c r="H2299" s="6" t="s">
        <v>4919</v>
      </c>
      <c r="I2299" s="6">
        <v>525.9375</v>
      </c>
      <c r="J2299" s="2">
        <f t="shared" si="35"/>
        <v>43747.615978333335</v>
      </c>
    </row>
    <row r="2300" spans="1:10" x14ac:dyDescent="0.25">
      <c r="A2300" s="7" t="s">
        <v>4920</v>
      </c>
      <c r="B2300" s="8">
        <v>409.375</v>
      </c>
      <c r="C2300" s="8">
        <v>20.584240000000001</v>
      </c>
      <c r="D2300" s="8">
        <v>42</v>
      </c>
      <c r="E2300" s="8">
        <v>0</v>
      </c>
      <c r="F2300" s="8">
        <v>0</v>
      </c>
      <c r="G2300" s="8">
        <v>33</v>
      </c>
      <c r="H2300" s="8" t="s">
        <v>4921</v>
      </c>
      <c r="I2300" s="8">
        <v>531.5625</v>
      </c>
      <c r="J2300" s="3">
        <f t="shared" si="35"/>
        <v>43747.616049872682</v>
      </c>
    </row>
    <row r="2301" spans="1:10" x14ac:dyDescent="0.25">
      <c r="A2301" s="5" t="s">
        <v>4922</v>
      </c>
      <c r="B2301" s="6">
        <v>390.625</v>
      </c>
      <c r="C2301" s="6">
        <v>20.584240000000001</v>
      </c>
      <c r="D2301" s="6">
        <v>42</v>
      </c>
      <c r="E2301" s="6">
        <v>0</v>
      </c>
      <c r="F2301" s="6">
        <v>0</v>
      </c>
      <c r="G2301" s="6">
        <v>19</v>
      </c>
      <c r="H2301" s="6" t="s">
        <v>4923</v>
      </c>
      <c r="I2301" s="6">
        <v>525.75</v>
      </c>
      <c r="J2301" s="2">
        <f t="shared" si="35"/>
        <v>43747.61612136574</v>
      </c>
    </row>
    <row r="2302" spans="1:10" x14ac:dyDescent="0.25">
      <c r="A2302" s="7" t="s">
        <v>4924</v>
      </c>
      <c r="B2302" s="8">
        <v>390.625</v>
      </c>
      <c r="C2302" s="8">
        <v>20.584240000000001</v>
      </c>
      <c r="D2302" s="8">
        <v>43</v>
      </c>
      <c r="E2302" s="8">
        <v>0</v>
      </c>
      <c r="F2302" s="8">
        <v>0</v>
      </c>
      <c r="G2302" s="8">
        <v>14</v>
      </c>
      <c r="H2302" s="8" t="s">
        <v>4925</v>
      </c>
      <c r="I2302" s="8">
        <v>525.75</v>
      </c>
      <c r="J2302" s="3">
        <f t="shared" si="35"/>
        <v>43747.616204467595</v>
      </c>
    </row>
    <row r="2303" spans="1:10" x14ac:dyDescent="0.25">
      <c r="A2303" s="5" t="s">
        <v>4926</v>
      </c>
      <c r="B2303" s="6">
        <v>390.625</v>
      </c>
      <c r="C2303" s="6">
        <v>20.584240000000001</v>
      </c>
      <c r="D2303" s="6">
        <v>43</v>
      </c>
      <c r="E2303" s="6">
        <v>0</v>
      </c>
      <c r="F2303" s="6">
        <v>0</v>
      </c>
      <c r="G2303" s="6">
        <v>21</v>
      </c>
      <c r="H2303" s="6" t="s">
        <v>4927</v>
      </c>
      <c r="I2303" s="6">
        <v>525.9375</v>
      </c>
      <c r="J2303" s="2">
        <f t="shared" si="35"/>
        <v>43747.616278113426</v>
      </c>
    </row>
    <row r="2304" spans="1:10" x14ac:dyDescent="0.25">
      <c r="A2304" s="7" t="s">
        <v>4928</v>
      </c>
      <c r="B2304" s="8">
        <v>390.625</v>
      </c>
      <c r="C2304" s="8">
        <v>20.531590000000001</v>
      </c>
      <c r="D2304" s="8">
        <v>44</v>
      </c>
      <c r="E2304" s="8">
        <v>0</v>
      </c>
      <c r="F2304" s="8">
        <v>0</v>
      </c>
      <c r="G2304" s="8">
        <v>16</v>
      </c>
      <c r="H2304" s="8" t="s">
        <v>4929</v>
      </c>
      <c r="I2304" s="8">
        <v>525.9375</v>
      </c>
      <c r="J2304" s="3">
        <f t="shared" si="35"/>
        <v>43747.616360057866</v>
      </c>
    </row>
    <row r="2305" spans="1:10" x14ac:dyDescent="0.25">
      <c r="A2305" s="5" t="s">
        <v>4930</v>
      </c>
      <c r="B2305" s="6">
        <v>390.625</v>
      </c>
      <c r="C2305" s="6">
        <v>20.584240000000001</v>
      </c>
      <c r="D2305" s="6">
        <v>44</v>
      </c>
      <c r="E2305" s="6">
        <v>0</v>
      </c>
      <c r="F2305" s="6">
        <v>0</v>
      </c>
      <c r="G2305" s="6">
        <v>20</v>
      </c>
      <c r="H2305" s="6" t="s">
        <v>4931</v>
      </c>
      <c r="I2305" s="6">
        <v>525.9375</v>
      </c>
      <c r="J2305" s="2">
        <f t="shared" si="35"/>
        <v>43747.616445393513</v>
      </c>
    </row>
    <row r="2306" spans="1:10" x14ac:dyDescent="0.25">
      <c r="A2306" s="7" t="s">
        <v>4932</v>
      </c>
      <c r="B2306" s="8">
        <v>390.625</v>
      </c>
      <c r="C2306" s="8">
        <v>20.531590000000001</v>
      </c>
      <c r="D2306" s="8">
        <v>43</v>
      </c>
      <c r="E2306" s="8">
        <v>0</v>
      </c>
      <c r="F2306" s="8">
        <v>0</v>
      </c>
      <c r="G2306" s="8">
        <v>15</v>
      </c>
      <c r="H2306" s="8" t="s">
        <v>4933</v>
      </c>
      <c r="I2306" s="8">
        <v>525.9375</v>
      </c>
      <c r="J2306" s="3">
        <f t="shared" ref="J2306:J2369" si="36">(H2306/86400000)+25569+(7/24)</f>
        <v>43747.616526701386</v>
      </c>
    </row>
    <row r="2307" spans="1:10" x14ac:dyDescent="0.25">
      <c r="A2307" s="5" t="s">
        <v>4934</v>
      </c>
      <c r="B2307" s="6">
        <v>390.625</v>
      </c>
      <c r="C2307" s="6">
        <v>20.584240000000001</v>
      </c>
      <c r="D2307" s="6">
        <v>43</v>
      </c>
      <c r="E2307" s="6">
        <v>0</v>
      </c>
      <c r="F2307" s="6">
        <v>0</v>
      </c>
      <c r="G2307" s="6">
        <v>22</v>
      </c>
      <c r="H2307" s="6" t="s">
        <v>4935</v>
      </c>
      <c r="I2307" s="6">
        <v>525.75</v>
      </c>
      <c r="J2307" s="2">
        <f t="shared" si="36"/>
        <v>43747.616622777779</v>
      </c>
    </row>
    <row r="2308" spans="1:10" x14ac:dyDescent="0.25">
      <c r="A2308" s="7" t="s">
        <v>4936</v>
      </c>
      <c r="B2308" s="8">
        <v>390.625</v>
      </c>
      <c r="C2308" s="8">
        <v>20.531590000000001</v>
      </c>
      <c r="D2308" s="8">
        <v>42</v>
      </c>
      <c r="E2308" s="8">
        <v>0</v>
      </c>
      <c r="F2308" s="8">
        <v>0</v>
      </c>
      <c r="G2308" s="8">
        <v>19</v>
      </c>
      <c r="H2308" s="8" t="s">
        <v>4937</v>
      </c>
      <c r="I2308" s="8">
        <v>525.9375</v>
      </c>
      <c r="J2308" s="3">
        <f t="shared" si="36"/>
        <v>43747.616705763889</v>
      </c>
    </row>
    <row r="2309" spans="1:10" x14ac:dyDescent="0.25">
      <c r="A2309" s="5" t="s">
        <v>4938</v>
      </c>
      <c r="B2309" s="6">
        <v>390.625</v>
      </c>
      <c r="C2309" s="6">
        <v>20.584240000000001</v>
      </c>
      <c r="D2309" s="6">
        <v>41</v>
      </c>
      <c r="E2309" s="6">
        <v>0</v>
      </c>
      <c r="F2309" s="6">
        <v>0</v>
      </c>
      <c r="G2309" s="6">
        <v>16</v>
      </c>
      <c r="H2309" s="6" t="s">
        <v>4939</v>
      </c>
      <c r="I2309" s="6">
        <v>525.75</v>
      </c>
      <c r="J2309" s="2">
        <f t="shared" si="36"/>
        <v>43747.61680077546</v>
      </c>
    </row>
    <row r="2310" spans="1:10" x14ac:dyDescent="0.25">
      <c r="A2310" s="7" t="s">
        <v>4940</v>
      </c>
      <c r="B2310" s="8">
        <v>390.625</v>
      </c>
      <c r="C2310" s="8">
        <v>20.531590000000001</v>
      </c>
      <c r="D2310" s="8">
        <v>41</v>
      </c>
      <c r="E2310" s="8">
        <v>0</v>
      </c>
      <c r="F2310" s="8">
        <v>0</v>
      </c>
      <c r="G2310" s="8">
        <v>15</v>
      </c>
      <c r="H2310" s="8" t="s">
        <v>4941</v>
      </c>
      <c r="I2310" s="8">
        <v>525.9375</v>
      </c>
      <c r="J2310" s="3">
        <f t="shared" si="36"/>
        <v>43747.616872881939</v>
      </c>
    </row>
    <row r="2311" spans="1:10" x14ac:dyDescent="0.25">
      <c r="A2311" s="5" t="s">
        <v>4942</v>
      </c>
      <c r="B2311" s="6">
        <v>390.625</v>
      </c>
      <c r="C2311" s="6">
        <v>20.584240000000001</v>
      </c>
      <c r="D2311" s="6">
        <v>43</v>
      </c>
      <c r="E2311" s="6">
        <v>0</v>
      </c>
      <c r="F2311" s="6">
        <v>0</v>
      </c>
      <c r="G2311" s="6">
        <v>19</v>
      </c>
      <c r="H2311" s="6" t="s">
        <v>4943</v>
      </c>
      <c r="I2311" s="6">
        <v>525.9375</v>
      </c>
      <c r="J2311" s="2">
        <f t="shared" si="36"/>
        <v>43747.616956354163</v>
      </c>
    </row>
    <row r="2312" spans="1:10" x14ac:dyDescent="0.25">
      <c r="A2312" s="7" t="s">
        <v>4944</v>
      </c>
      <c r="B2312" s="8">
        <v>390.625</v>
      </c>
      <c r="C2312" s="8">
        <v>20.531590000000001</v>
      </c>
      <c r="D2312" s="8">
        <v>43</v>
      </c>
      <c r="E2312" s="8">
        <v>0</v>
      </c>
      <c r="F2312" s="8">
        <v>0</v>
      </c>
      <c r="G2312" s="8">
        <v>20</v>
      </c>
      <c r="H2312" s="8" t="s">
        <v>4945</v>
      </c>
      <c r="I2312" s="8">
        <v>525.9375</v>
      </c>
      <c r="J2312" s="3">
        <f t="shared" si="36"/>
        <v>43747.617039780089</v>
      </c>
    </row>
    <row r="2313" spans="1:10" x14ac:dyDescent="0.25">
      <c r="A2313" s="5" t="s">
        <v>4946</v>
      </c>
      <c r="B2313" s="6">
        <v>390.625</v>
      </c>
      <c r="C2313" s="6">
        <v>20.584240000000001</v>
      </c>
      <c r="D2313" s="6">
        <v>42</v>
      </c>
      <c r="E2313" s="6">
        <v>0</v>
      </c>
      <c r="F2313" s="6">
        <v>0</v>
      </c>
      <c r="G2313" s="6">
        <v>17</v>
      </c>
      <c r="H2313" s="6" t="s">
        <v>4947</v>
      </c>
      <c r="I2313" s="6">
        <v>525.9375</v>
      </c>
      <c r="J2313" s="2">
        <f t="shared" si="36"/>
        <v>43747.617123009259</v>
      </c>
    </row>
    <row r="2314" spans="1:10" x14ac:dyDescent="0.25">
      <c r="A2314" s="7" t="s">
        <v>4948</v>
      </c>
      <c r="B2314" s="8">
        <v>390.625</v>
      </c>
      <c r="C2314" s="8">
        <v>20.531590000000001</v>
      </c>
      <c r="D2314" s="8">
        <v>44</v>
      </c>
      <c r="E2314" s="8">
        <v>0</v>
      </c>
      <c r="F2314" s="8">
        <v>0</v>
      </c>
      <c r="G2314" s="8">
        <v>8</v>
      </c>
      <c r="H2314" s="8" t="s">
        <v>4949</v>
      </c>
      <c r="I2314" s="8">
        <v>525.9375</v>
      </c>
      <c r="J2314" s="3">
        <f t="shared" si="36"/>
        <v>43747.617206574076</v>
      </c>
    </row>
    <row r="2315" spans="1:10" x14ac:dyDescent="0.25">
      <c r="A2315" s="5" t="s">
        <v>4950</v>
      </c>
      <c r="B2315" s="6">
        <v>390.625</v>
      </c>
      <c r="C2315" s="6">
        <v>20.584240000000001</v>
      </c>
      <c r="D2315" s="6">
        <v>44</v>
      </c>
      <c r="E2315" s="6">
        <v>0</v>
      </c>
      <c r="F2315" s="6">
        <v>0</v>
      </c>
      <c r="G2315" s="6">
        <v>15</v>
      </c>
      <c r="H2315" s="6" t="s">
        <v>4951</v>
      </c>
      <c r="I2315" s="6">
        <v>525.75</v>
      </c>
      <c r="J2315" s="2">
        <f t="shared" si="36"/>
        <v>43747.617289780093</v>
      </c>
    </row>
    <row r="2316" spans="1:10" x14ac:dyDescent="0.25">
      <c r="A2316" s="7" t="s">
        <v>4952</v>
      </c>
      <c r="B2316" s="8">
        <v>390.625</v>
      </c>
      <c r="C2316" s="8">
        <v>20.584240000000001</v>
      </c>
      <c r="D2316" s="8">
        <v>44</v>
      </c>
      <c r="E2316" s="8">
        <v>0</v>
      </c>
      <c r="F2316" s="8">
        <v>0</v>
      </c>
      <c r="G2316" s="8">
        <v>16</v>
      </c>
      <c r="H2316" s="8" t="s">
        <v>4953</v>
      </c>
      <c r="I2316" s="8">
        <v>525.9375</v>
      </c>
      <c r="J2316" s="3">
        <f t="shared" si="36"/>
        <v>43747.617361307864</v>
      </c>
    </row>
    <row r="2317" spans="1:10" x14ac:dyDescent="0.25">
      <c r="A2317" s="5" t="s">
        <v>4954</v>
      </c>
      <c r="B2317" s="6">
        <v>390.625</v>
      </c>
      <c r="C2317" s="6">
        <v>20.584240000000001</v>
      </c>
      <c r="D2317" s="6">
        <v>43</v>
      </c>
      <c r="E2317" s="6">
        <v>0</v>
      </c>
      <c r="F2317" s="6">
        <v>0</v>
      </c>
      <c r="G2317" s="6">
        <v>20</v>
      </c>
      <c r="H2317" s="6" t="s">
        <v>4955</v>
      </c>
      <c r="I2317" s="6">
        <v>525.9375</v>
      </c>
      <c r="J2317" s="2">
        <f t="shared" si="36"/>
        <v>43747.617445312499</v>
      </c>
    </row>
    <row r="2318" spans="1:10" x14ac:dyDescent="0.25">
      <c r="A2318" s="7" t="s">
        <v>4956</v>
      </c>
      <c r="B2318" s="8">
        <v>390.625</v>
      </c>
      <c r="C2318" s="8">
        <v>20.584240000000001</v>
      </c>
      <c r="D2318" s="8">
        <v>44</v>
      </c>
      <c r="E2318" s="8">
        <v>0</v>
      </c>
      <c r="F2318" s="8">
        <v>0</v>
      </c>
      <c r="G2318" s="8">
        <v>16</v>
      </c>
      <c r="H2318" s="8" t="s">
        <v>4957</v>
      </c>
      <c r="I2318" s="8">
        <v>525.9375</v>
      </c>
      <c r="J2318" s="3">
        <f t="shared" si="36"/>
        <v>43747.617528553237</v>
      </c>
    </row>
    <row r="2319" spans="1:10" x14ac:dyDescent="0.25">
      <c r="A2319" s="5" t="s">
        <v>4958</v>
      </c>
      <c r="B2319" s="6">
        <v>390.625</v>
      </c>
      <c r="C2319" s="6">
        <v>20.531590000000001</v>
      </c>
      <c r="D2319" s="6">
        <v>44</v>
      </c>
      <c r="E2319" s="6">
        <v>0</v>
      </c>
      <c r="F2319" s="6">
        <v>0</v>
      </c>
      <c r="G2319" s="6">
        <v>15</v>
      </c>
      <c r="H2319" s="6" t="s">
        <v>4959</v>
      </c>
      <c r="I2319" s="6">
        <v>525.9375</v>
      </c>
      <c r="J2319" s="2">
        <f t="shared" si="36"/>
        <v>43747.617611886577</v>
      </c>
    </row>
    <row r="2320" spans="1:10" x14ac:dyDescent="0.25">
      <c r="A2320" s="7" t="s">
        <v>4960</v>
      </c>
      <c r="B2320" s="8">
        <v>390.625</v>
      </c>
      <c r="C2320" s="8">
        <v>20.584240000000001</v>
      </c>
      <c r="D2320" s="8">
        <v>45</v>
      </c>
      <c r="E2320" s="8">
        <v>0</v>
      </c>
      <c r="F2320" s="8">
        <v>0</v>
      </c>
      <c r="G2320" s="8">
        <v>18</v>
      </c>
      <c r="H2320" s="8" t="s">
        <v>4961</v>
      </c>
      <c r="I2320" s="8">
        <v>525.9375</v>
      </c>
      <c r="J2320" s="3">
        <f t="shared" si="36"/>
        <v>43747.617695231478</v>
      </c>
    </row>
    <row r="2321" spans="1:10" x14ac:dyDescent="0.25">
      <c r="A2321" s="5" t="s">
        <v>4962</v>
      </c>
      <c r="B2321" s="6">
        <v>393.75</v>
      </c>
      <c r="C2321" s="6">
        <v>20.531590000000001</v>
      </c>
      <c r="D2321" s="6">
        <v>45</v>
      </c>
      <c r="E2321" s="6">
        <v>0</v>
      </c>
      <c r="F2321" s="6">
        <v>0</v>
      </c>
      <c r="G2321" s="6">
        <v>21</v>
      </c>
      <c r="H2321" s="6" t="s">
        <v>4963</v>
      </c>
      <c r="I2321" s="6">
        <v>526.6875</v>
      </c>
      <c r="J2321" s="2">
        <f t="shared" si="36"/>
        <v>43747.617778657404</v>
      </c>
    </row>
    <row r="2322" spans="1:10" x14ac:dyDescent="0.25">
      <c r="A2322" s="7" t="s">
        <v>4964</v>
      </c>
      <c r="B2322" s="8">
        <v>428.125</v>
      </c>
      <c r="C2322" s="8">
        <v>20.584240000000001</v>
      </c>
      <c r="D2322" s="8">
        <v>43</v>
      </c>
      <c r="E2322" s="8">
        <v>0</v>
      </c>
      <c r="F2322" s="8">
        <v>0</v>
      </c>
      <c r="G2322" s="8">
        <v>25</v>
      </c>
      <c r="H2322" s="8" t="s">
        <v>4965</v>
      </c>
      <c r="I2322" s="8">
        <v>537.375</v>
      </c>
      <c r="J2322" s="3">
        <f t="shared" si="36"/>
        <v>43747.617850671297</v>
      </c>
    </row>
    <row r="2323" spans="1:10" x14ac:dyDescent="0.25">
      <c r="A2323" s="5" t="s">
        <v>4966</v>
      </c>
      <c r="B2323" s="6">
        <v>390.625</v>
      </c>
      <c r="C2323" s="6">
        <v>20.584240000000001</v>
      </c>
      <c r="D2323" s="6">
        <v>44</v>
      </c>
      <c r="E2323" s="6">
        <v>0</v>
      </c>
      <c r="F2323" s="6">
        <v>0</v>
      </c>
      <c r="G2323" s="6">
        <v>16</v>
      </c>
      <c r="H2323" s="6" t="s">
        <v>4967</v>
      </c>
      <c r="I2323" s="6">
        <v>525.9375</v>
      </c>
      <c r="J2323" s="2">
        <f t="shared" si="36"/>
        <v>43747.617934178234</v>
      </c>
    </row>
    <row r="2324" spans="1:10" x14ac:dyDescent="0.25">
      <c r="A2324" s="7" t="s">
        <v>4968</v>
      </c>
      <c r="B2324" s="8">
        <v>390.625</v>
      </c>
      <c r="C2324" s="8">
        <v>20.531590000000001</v>
      </c>
      <c r="D2324" s="8">
        <v>43</v>
      </c>
      <c r="E2324" s="8">
        <v>0</v>
      </c>
      <c r="F2324" s="8">
        <v>0</v>
      </c>
      <c r="G2324" s="8">
        <v>16</v>
      </c>
      <c r="H2324" s="8" t="s">
        <v>4969</v>
      </c>
      <c r="I2324" s="8">
        <v>525.9375</v>
      </c>
      <c r="J2324" s="3">
        <f t="shared" si="36"/>
        <v>43747.618018564812</v>
      </c>
    </row>
    <row r="2325" spans="1:10" x14ac:dyDescent="0.25">
      <c r="A2325" s="5" t="s">
        <v>4970</v>
      </c>
      <c r="B2325" s="6">
        <v>390.625</v>
      </c>
      <c r="C2325" s="6">
        <v>20.584240000000001</v>
      </c>
      <c r="D2325" s="6">
        <v>43</v>
      </c>
      <c r="E2325" s="6">
        <v>0</v>
      </c>
      <c r="F2325" s="6">
        <v>0</v>
      </c>
      <c r="G2325" s="6">
        <v>19</v>
      </c>
      <c r="H2325" s="6" t="s">
        <v>4971</v>
      </c>
      <c r="I2325" s="6">
        <v>525.9375</v>
      </c>
      <c r="J2325" s="2">
        <f t="shared" si="36"/>
        <v>43747.61810078704</v>
      </c>
    </row>
    <row r="2326" spans="1:10" x14ac:dyDescent="0.25">
      <c r="A2326" s="7" t="s">
        <v>4972</v>
      </c>
      <c r="B2326" s="8">
        <v>390.625</v>
      </c>
      <c r="C2326" s="8">
        <v>20.584240000000001</v>
      </c>
      <c r="D2326" s="8">
        <v>44</v>
      </c>
      <c r="E2326" s="8">
        <v>0</v>
      </c>
      <c r="F2326" s="8">
        <v>0</v>
      </c>
      <c r="G2326" s="8">
        <v>22</v>
      </c>
      <c r="H2326" s="8" t="s">
        <v>4973</v>
      </c>
      <c r="I2326" s="8">
        <v>525.9375</v>
      </c>
      <c r="J2326" s="3">
        <f t="shared" si="36"/>
        <v>43747.618196423609</v>
      </c>
    </row>
    <row r="2327" spans="1:10" x14ac:dyDescent="0.25">
      <c r="A2327" s="5" t="s">
        <v>4974</v>
      </c>
      <c r="B2327" s="6">
        <v>390.625</v>
      </c>
      <c r="C2327" s="6">
        <v>20.584240000000001</v>
      </c>
      <c r="D2327" s="6">
        <v>44</v>
      </c>
      <c r="E2327" s="6">
        <v>0</v>
      </c>
      <c r="F2327" s="6">
        <v>0</v>
      </c>
      <c r="G2327" s="6">
        <v>22</v>
      </c>
      <c r="H2327" s="6" t="s">
        <v>4975</v>
      </c>
      <c r="I2327" s="6">
        <v>525.9375</v>
      </c>
      <c r="J2327" s="2">
        <f t="shared" si="36"/>
        <v>43747.618279872688</v>
      </c>
    </row>
    <row r="2328" spans="1:10" x14ac:dyDescent="0.25">
      <c r="A2328" s="7" t="s">
        <v>4976</v>
      </c>
      <c r="B2328" s="8">
        <v>390.625</v>
      </c>
      <c r="C2328" s="8">
        <v>20.584240000000001</v>
      </c>
      <c r="D2328" s="8">
        <v>43</v>
      </c>
      <c r="E2328" s="8">
        <v>0</v>
      </c>
      <c r="F2328" s="8">
        <v>0</v>
      </c>
      <c r="G2328" s="8">
        <v>14</v>
      </c>
      <c r="H2328" s="8" t="s">
        <v>4977</v>
      </c>
      <c r="I2328" s="8">
        <v>525.9375</v>
      </c>
      <c r="J2328" s="3">
        <f t="shared" si="36"/>
        <v>43747.618351412035</v>
      </c>
    </row>
    <row r="2329" spans="1:10" x14ac:dyDescent="0.25">
      <c r="A2329" s="5" t="s">
        <v>4978</v>
      </c>
      <c r="B2329" s="6">
        <v>390.625</v>
      </c>
      <c r="C2329" s="6">
        <v>20.531590000000001</v>
      </c>
      <c r="D2329" s="6">
        <v>43</v>
      </c>
      <c r="E2329" s="6">
        <v>0</v>
      </c>
      <c r="F2329" s="6">
        <v>0</v>
      </c>
      <c r="G2329" s="6">
        <v>26</v>
      </c>
      <c r="H2329" s="6" t="s">
        <v>4979</v>
      </c>
      <c r="I2329" s="6">
        <v>525.9375</v>
      </c>
      <c r="J2329" s="2">
        <f t="shared" si="36"/>
        <v>43747.618423009255</v>
      </c>
    </row>
    <row r="2330" spans="1:10" x14ac:dyDescent="0.25">
      <c r="A2330" s="7" t="s">
        <v>4980</v>
      </c>
      <c r="B2330" s="8">
        <v>390.625</v>
      </c>
      <c r="C2330" s="8">
        <v>20.584240000000001</v>
      </c>
      <c r="D2330" s="8">
        <v>43</v>
      </c>
      <c r="E2330" s="8">
        <v>0</v>
      </c>
      <c r="F2330" s="8">
        <v>0</v>
      </c>
      <c r="G2330" s="8">
        <v>18</v>
      </c>
      <c r="H2330" s="8" t="s">
        <v>4981</v>
      </c>
      <c r="I2330" s="8">
        <v>525.9375</v>
      </c>
      <c r="J2330" s="3">
        <f t="shared" si="36"/>
        <v>43747.618506493054</v>
      </c>
    </row>
    <row r="2331" spans="1:10" x14ac:dyDescent="0.25">
      <c r="A2331" s="5" t="s">
        <v>4982</v>
      </c>
      <c r="B2331" s="6">
        <v>393.75</v>
      </c>
      <c r="C2331" s="6">
        <v>20.584240000000001</v>
      </c>
      <c r="D2331" s="6">
        <v>43</v>
      </c>
      <c r="E2331" s="6">
        <v>0</v>
      </c>
      <c r="F2331" s="6">
        <v>0</v>
      </c>
      <c r="G2331" s="6">
        <v>12</v>
      </c>
      <c r="H2331" s="6" t="s">
        <v>4983</v>
      </c>
      <c r="I2331" s="6">
        <v>526.6875</v>
      </c>
      <c r="J2331" s="2">
        <f t="shared" si="36"/>
        <v>43747.618589722224</v>
      </c>
    </row>
    <row r="2332" spans="1:10" x14ac:dyDescent="0.25">
      <c r="A2332" s="7" t="s">
        <v>4984</v>
      </c>
      <c r="B2332" s="8">
        <v>390.625</v>
      </c>
      <c r="C2332" s="8">
        <v>20.584240000000001</v>
      </c>
      <c r="D2332" s="8">
        <v>43</v>
      </c>
      <c r="E2332" s="8">
        <v>0</v>
      </c>
      <c r="F2332" s="8">
        <v>0</v>
      </c>
      <c r="G2332" s="8">
        <v>15</v>
      </c>
      <c r="H2332" s="8" t="s">
        <v>4985</v>
      </c>
      <c r="I2332" s="8">
        <v>525.9375</v>
      </c>
      <c r="J2332" s="3">
        <f t="shared" si="36"/>
        <v>43747.618673391196</v>
      </c>
    </row>
    <row r="2333" spans="1:10" x14ac:dyDescent="0.25">
      <c r="A2333" s="5" t="s">
        <v>4986</v>
      </c>
      <c r="B2333" s="6">
        <v>390.625</v>
      </c>
      <c r="C2333" s="6">
        <v>20.584240000000001</v>
      </c>
      <c r="D2333" s="6">
        <v>44</v>
      </c>
      <c r="E2333" s="6">
        <v>0</v>
      </c>
      <c r="F2333" s="6">
        <v>0</v>
      </c>
      <c r="G2333" s="6">
        <v>23</v>
      </c>
      <c r="H2333" s="6" t="s">
        <v>4987</v>
      </c>
      <c r="I2333" s="6">
        <v>525.9375</v>
      </c>
      <c r="J2333" s="2">
        <f t="shared" si="36"/>
        <v>43747.618756724536</v>
      </c>
    </row>
    <row r="2334" spans="1:10" x14ac:dyDescent="0.25">
      <c r="A2334" s="7" t="s">
        <v>4988</v>
      </c>
      <c r="B2334" s="8">
        <v>390.625</v>
      </c>
      <c r="C2334" s="8">
        <v>20.531590000000001</v>
      </c>
      <c r="D2334" s="8">
        <v>43</v>
      </c>
      <c r="E2334" s="8">
        <v>0</v>
      </c>
      <c r="F2334" s="8">
        <v>0</v>
      </c>
      <c r="G2334" s="8">
        <v>17</v>
      </c>
      <c r="H2334" s="8" t="s">
        <v>4989</v>
      </c>
      <c r="I2334" s="8">
        <v>525.75</v>
      </c>
      <c r="J2334" s="3">
        <f t="shared" si="36"/>
        <v>43747.618828460647</v>
      </c>
    </row>
    <row r="2335" spans="1:10" x14ac:dyDescent="0.25">
      <c r="A2335" s="5" t="s">
        <v>4990</v>
      </c>
      <c r="B2335" s="6">
        <v>390.625</v>
      </c>
      <c r="C2335" s="6">
        <v>20.584240000000001</v>
      </c>
      <c r="D2335" s="6">
        <v>42</v>
      </c>
      <c r="E2335" s="6">
        <v>0</v>
      </c>
      <c r="F2335" s="6">
        <v>0</v>
      </c>
      <c r="G2335" s="6">
        <v>12</v>
      </c>
      <c r="H2335" s="6" t="s">
        <v>4991</v>
      </c>
      <c r="I2335" s="6">
        <v>525.9375</v>
      </c>
      <c r="J2335" s="2">
        <f t="shared" si="36"/>
        <v>43747.61891193287</v>
      </c>
    </row>
    <row r="2336" spans="1:10" x14ac:dyDescent="0.25">
      <c r="A2336" s="7" t="s">
        <v>4992</v>
      </c>
      <c r="B2336" s="8">
        <v>390.625</v>
      </c>
      <c r="C2336" s="8">
        <v>20.584240000000001</v>
      </c>
      <c r="D2336" s="8">
        <v>40</v>
      </c>
      <c r="E2336" s="8">
        <v>0</v>
      </c>
      <c r="F2336" s="8">
        <v>0</v>
      </c>
      <c r="G2336" s="8">
        <v>18</v>
      </c>
      <c r="H2336" s="8" t="s">
        <v>4993</v>
      </c>
      <c r="I2336" s="8">
        <v>525.75</v>
      </c>
      <c r="J2336" s="3">
        <f t="shared" si="36"/>
        <v>43747.618995370365</v>
      </c>
    </row>
    <row r="2337" spans="1:10" x14ac:dyDescent="0.25">
      <c r="A2337" s="5" t="s">
        <v>4994</v>
      </c>
      <c r="B2337" s="6">
        <v>390.625</v>
      </c>
      <c r="C2337" s="6">
        <v>20.584240000000001</v>
      </c>
      <c r="D2337" s="6">
        <v>41</v>
      </c>
      <c r="E2337" s="6">
        <v>0</v>
      </c>
      <c r="F2337" s="6">
        <v>0</v>
      </c>
      <c r="G2337" s="6">
        <v>18</v>
      </c>
      <c r="H2337" s="6" t="s">
        <v>4995</v>
      </c>
      <c r="I2337" s="6">
        <v>525.75</v>
      </c>
      <c r="J2337" s="2">
        <f t="shared" si="36"/>
        <v>43747.619078599535</v>
      </c>
    </row>
    <row r="2338" spans="1:10" x14ac:dyDescent="0.25">
      <c r="A2338" s="7" t="s">
        <v>4996</v>
      </c>
      <c r="B2338" s="8">
        <v>390.625</v>
      </c>
      <c r="C2338" s="8">
        <v>20.584240000000001</v>
      </c>
      <c r="D2338" s="8">
        <v>41</v>
      </c>
      <c r="E2338" s="8">
        <v>0</v>
      </c>
      <c r="F2338" s="8">
        <v>0</v>
      </c>
      <c r="G2338" s="8">
        <v>19</v>
      </c>
      <c r="H2338" s="8" t="s">
        <v>4997</v>
      </c>
      <c r="I2338" s="8">
        <v>525.9375</v>
      </c>
      <c r="J2338" s="3">
        <f t="shared" si="36"/>
        <v>43747.619150347215</v>
      </c>
    </row>
    <row r="2339" spans="1:10" x14ac:dyDescent="0.25">
      <c r="A2339" s="5" t="s">
        <v>4998</v>
      </c>
      <c r="B2339" s="6">
        <v>390.625</v>
      </c>
      <c r="C2339" s="6">
        <v>20.584240000000001</v>
      </c>
      <c r="D2339" s="6">
        <v>41</v>
      </c>
      <c r="E2339" s="6">
        <v>0</v>
      </c>
      <c r="F2339" s="6">
        <v>0</v>
      </c>
      <c r="G2339" s="6">
        <v>18</v>
      </c>
      <c r="H2339" s="6" t="s">
        <v>4999</v>
      </c>
      <c r="I2339" s="6">
        <v>525.9375</v>
      </c>
      <c r="J2339" s="2">
        <f t="shared" si="36"/>
        <v>43747.619233923608</v>
      </c>
    </row>
    <row r="2340" spans="1:10" x14ac:dyDescent="0.25">
      <c r="A2340" s="7" t="s">
        <v>5000</v>
      </c>
      <c r="B2340" s="8">
        <v>409.375</v>
      </c>
      <c r="C2340" s="8">
        <v>20.584240000000001</v>
      </c>
      <c r="D2340" s="8">
        <v>42</v>
      </c>
      <c r="E2340" s="8">
        <v>0</v>
      </c>
      <c r="F2340" s="8">
        <v>0</v>
      </c>
      <c r="G2340" s="8">
        <v>25</v>
      </c>
      <c r="H2340" s="8" t="s">
        <v>5001</v>
      </c>
      <c r="I2340" s="8">
        <v>531.5625</v>
      </c>
      <c r="J2340" s="3">
        <f t="shared" si="36"/>
        <v>43747.619317372686</v>
      </c>
    </row>
    <row r="2341" spans="1:10" x14ac:dyDescent="0.25">
      <c r="A2341" s="5" t="s">
        <v>5002</v>
      </c>
      <c r="B2341" s="6">
        <v>390.625</v>
      </c>
      <c r="C2341" s="6">
        <v>20.584240000000001</v>
      </c>
      <c r="D2341" s="6">
        <v>42</v>
      </c>
      <c r="E2341" s="6">
        <v>0</v>
      </c>
      <c r="F2341" s="6">
        <v>0</v>
      </c>
      <c r="G2341" s="6">
        <v>18</v>
      </c>
      <c r="H2341" s="6" t="s">
        <v>5003</v>
      </c>
      <c r="I2341" s="6">
        <v>525.9375</v>
      </c>
      <c r="J2341" s="2">
        <f t="shared" si="36"/>
        <v>43747.619400833333</v>
      </c>
    </row>
    <row r="2342" spans="1:10" x14ac:dyDescent="0.25">
      <c r="A2342" s="7" t="s">
        <v>5004</v>
      </c>
      <c r="B2342" s="8">
        <v>390.625</v>
      </c>
      <c r="C2342" s="8">
        <v>20.584240000000001</v>
      </c>
      <c r="D2342" s="8">
        <v>41</v>
      </c>
      <c r="E2342" s="8">
        <v>0</v>
      </c>
      <c r="F2342" s="8">
        <v>0</v>
      </c>
      <c r="G2342" s="8">
        <v>21</v>
      </c>
      <c r="H2342" s="8" t="s">
        <v>5005</v>
      </c>
      <c r="I2342" s="8">
        <v>525.75</v>
      </c>
      <c r="J2342" s="3">
        <f t="shared" si="36"/>
        <v>43747.619484270828</v>
      </c>
    </row>
    <row r="2343" spans="1:10" x14ac:dyDescent="0.25">
      <c r="A2343" s="5" t="s">
        <v>5006</v>
      </c>
      <c r="B2343" s="6">
        <v>390.625</v>
      </c>
      <c r="C2343" s="6">
        <v>20.584240000000001</v>
      </c>
      <c r="D2343" s="6">
        <v>43</v>
      </c>
      <c r="E2343" s="6">
        <v>0</v>
      </c>
      <c r="F2343" s="6">
        <v>0</v>
      </c>
      <c r="G2343" s="6">
        <v>24</v>
      </c>
      <c r="H2343" s="6" t="s">
        <v>5007</v>
      </c>
      <c r="I2343" s="6">
        <v>525.9375</v>
      </c>
      <c r="J2343" s="2">
        <f t="shared" si="36"/>
        <v>43747.619567476846</v>
      </c>
    </row>
    <row r="2344" spans="1:10" x14ac:dyDescent="0.25">
      <c r="A2344" s="7" t="s">
        <v>5008</v>
      </c>
      <c r="B2344" s="8">
        <v>390.625</v>
      </c>
      <c r="C2344" s="8">
        <v>20.584240000000001</v>
      </c>
      <c r="D2344" s="8">
        <v>43</v>
      </c>
      <c r="E2344" s="8">
        <v>0</v>
      </c>
      <c r="F2344" s="8">
        <v>0</v>
      </c>
      <c r="G2344" s="8">
        <v>18</v>
      </c>
      <c r="H2344" s="8" t="s">
        <v>5009</v>
      </c>
      <c r="I2344" s="8">
        <v>525.9375</v>
      </c>
      <c r="J2344" s="3">
        <f t="shared" si="36"/>
        <v>43747.619651354165</v>
      </c>
    </row>
    <row r="2345" spans="1:10" x14ac:dyDescent="0.25">
      <c r="A2345" s="5" t="s">
        <v>5010</v>
      </c>
      <c r="B2345" s="6">
        <v>393.75</v>
      </c>
      <c r="C2345" s="6">
        <v>20.584240000000001</v>
      </c>
      <c r="D2345" s="6">
        <v>44</v>
      </c>
      <c r="E2345" s="6">
        <v>0</v>
      </c>
      <c r="F2345" s="6">
        <v>0</v>
      </c>
      <c r="G2345" s="6">
        <v>32</v>
      </c>
      <c r="H2345" s="6" t="s">
        <v>5011</v>
      </c>
      <c r="I2345" s="6">
        <v>526.5</v>
      </c>
      <c r="J2345" s="2">
        <f t="shared" si="36"/>
        <v>43747.619734525462</v>
      </c>
    </row>
    <row r="2346" spans="1:10" x14ac:dyDescent="0.25">
      <c r="A2346" s="7" t="s">
        <v>5012</v>
      </c>
      <c r="B2346" s="8">
        <v>393.75</v>
      </c>
      <c r="C2346" s="8">
        <v>20.531590000000001</v>
      </c>
      <c r="D2346" s="8">
        <v>44</v>
      </c>
      <c r="E2346" s="8">
        <v>0</v>
      </c>
      <c r="F2346" s="8">
        <v>0</v>
      </c>
      <c r="G2346" s="8">
        <v>20</v>
      </c>
      <c r="H2346" s="8" t="s">
        <v>5013</v>
      </c>
      <c r="I2346" s="8">
        <v>526.6875</v>
      </c>
      <c r="J2346" s="3">
        <f t="shared" si="36"/>
        <v>43747.619806365743</v>
      </c>
    </row>
    <row r="2347" spans="1:10" x14ac:dyDescent="0.25">
      <c r="A2347" s="5" t="s">
        <v>5014</v>
      </c>
      <c r="B2347" s="6">
        <v>390.625</v>
      </c>
      <c r="C2347" s="6">
        <v>20.584240000000001</v>
      </c>
      <c r="D2347" s="6">
        <v>42</v>
      </c>
      <c r="E2347" s="6">
        <v>0</v>
      </c>
      <c r="F2347" s="6">
        <v>0</v>
      </c>
      <c r="G2347" s="6">
        <v>21</v>
      </c>
      <c r="H2347" s="6" t="s">
        <v>5015</v>
      </c>
      <c r="I2347" s="6">
        <v>525.9375</v>
      </c>
      <c r="J2347" s="2">
        <f t="shared" si="36"/>
        <v>43747.619889699075</v>
      </c>
    </row>
    <row r="2348" spans="1:10" x14ac:dyDescent="0.25">
      <c r="A2348" s="7" t="s">
        <v>5016</v>
      </c>
      <c r="B2348" s="8">
        <v>390.625</v>
      </c>
      <c r="C2348" s="8">
        <v>20.584240000000001</v>
      </c>
      <c r="D2348" s="8">
        <v>43</v>
      </c>
      <c r="E2348" s="8">
        <v>0</v>
      </c>
      <c r="F2348" s="8">
        <v>0</v>
      </c>
      <c r="G2348" s="8">
        <v>27</v>
      </c>
      <c r="H2348" s="8" t="s">
        <v>5017</v>
      </c>
      <c r="I2348" s="8">
        <v>525.9375</v>
      </c>
      <c r="J2348" s="3">
        <f t="shared" si="36"/>
        <v>43747.619973263885</v>
      </c>
    </row>
    <row r="2349" spans="1:10" x14ac:dyDescent="0.25">
      <c r="A2349" s="5" t="s">
        <v>5018</v>
      </c>
      <c r="B2349" s="6">
        <v>390.625</v>
      </c>
      <c r="C2349" s="6">
        <v>20.584240000000001</v>
      </c>
      <c r="D2349" s="6">
        <v>42</v>
      </c>
      <c r="E2349" s="6">
        <v>0</v>
      </c>
      <c r="F2349" s="6">
        <v>0</v>
      </c>
      <c r="G2349" s="6">
        <v>24</v>
      </c>
      <c r="H2349" s="6" t="s">
        <v>5019</v>
      </c>
      <c r="I2349" s="6">
        <v>525.9375</v>
      </c>
      <c r="J2349" s="2">
        <f t="shared" si="36"/>
        <v>43747.620056481479</v>
      </c>
    </row>
    <row r="2350" spans="1:10" x14ac:dyDescent="0.25">
      <c r="A2350" s="7" t="s">
        <v>5020</v>
      </c>
      <c r="B2350" s="8">
        <v>390.625</v>
      </c>
      <c r="C2350" s="8">
        <v>20.584240000000001</v>
      </c>
      <c r="D2350" s="8">
        <v>42</v>
      </c>
      <c r="E2350" s="8">
        <v>0</v>
      </c>
      <c r="F2350" s="8">
        <v>0</v>
      </c>
      <c r="G2350" s="8">
        <v>20</v>
      </c>
      <c r="H2350" s="8" t="s">
        <v>5021</v>
      </c>
      <c r="I2350" s="8">
        <v>525.9375</v>
      </c>
      <c r="J2350" s="3">
        <f t="shared" si="36"/>
        <v>43747.620140312494</v>
      </c>
    </row>
    <row r="2351" spans="1:10" x14ac:dyDescent="0.25">
      <c r="A2351" s="5" t="s">
        <v>5022</v>
      </c>
      <c r="B2351" s="6">
        <v>390.625</v>
      </c>
      <c r="C2351" s="6">
        <v>20.584240000000001</v>
      </c>
      <c r="D2351" s="6">
        <v>42</v>
      </c>
      <c r="E2351" s="6">
        <v>0</v>
      </c>
      <c r="F2351" s="6">
        <v>0</v>
      </c>
      <c r="G2351" s="6">
        <v>24</v>
      </c>
      <c r="H2351" s="6" t="s">
        <v>5023</v>
      </c>
      <c r="I2351" s="6">
        <v>525.75</v>
      </c>
      <c r="J2351" s="2">
        <f t="shared" si="36"/>
        <v>43747.620223391197</v>
      </c>
    </row>
    <row r="2352" spans="1:10" x14ac:dyDescent="0.25">
      <c r="A2352" s="7" t="s">
        <v>5024</v>
      </c>
      <c r="B2352" s="8">
        <v>412.5</v>
      </c>
      <c r="C2352" s="8">
        <v>20.584240000000001</v>
      </c>
      <c r="D2352" s="8">
        <v>47</v>
      </c>
      <c r="E2352" s="8">
        <v>0</v>
      </c>
      <c r="F2352" s="8">
        <v>0</v>
      </c>
      <c r="G2352" s="8">
        <v>22</v>
      </c>
      <c r="H2352" s="8" t="s">
        <v>5025</v>
      </c>
      <c r="I2352" s="8">
        <v>532.3125</v>
      </c>
      <c r="J2352" s="3">
        <f t="shared" si="36"/>
        <v>43747.620295381937</v>
      </c>
    </row>
    <row r="2353" spans="1:10" x14ac:dyDescent="0.25">
      <c r="A2353" s="5" t="s">
        <v>5026</v>
      </c>
      <c r="B2353" s="6">
        <v>390.625</v>
      </c>
      <c r="C2353" s="6">
        <v>20.584240000000001</v>
      </c>
      <c r="D2353" s="6">
        <v>48</v>
      </c>
      <c r="E2353" s="6">
        <v>0</v>
      </c>
      <c r="F2353" s="6">
        <v>0</v>
      </c>
      <c r="G2353" s="6">
        <v>17</v>
      </c>
      <c r="H2353" s="6" t="s">
        <v>5027</v>
      </c>
      <c r="I2353" s="6">
        <v>525.75</v>
      </c>
      <c r="J2353" s="2">
        <f t="shared" si="36"/>
        <v>43747.620378599539</v>
      </c>
    </row>
    <row r="2354" spans="1:10" x14ac:dyDescent="0.25">
      <c r="A2354" s="7" t="s">
        <v>5028</v>
      </c>
      <c r="B2354" s="8">
        <v>390.625</v>
      </c>
      <c r="C2354" s="8">
        <v>20.584240000000001</v>
      </c>
      <c r="D2354" s="8">
        <v>48</v>
      </c>
      <c r="E2354" s="8">
        <v>0</v>
      </c>
      <c r="F2354" s="8">
        <v>0</v>
      </c>
      <c r="G2354" s="8">
        <v>13</v>
      </c>
      <c r="H2354" s="8" t="s">
        <v>5029</v>
      </c>
      <c r="I2354" s="8">
        <v>525.9375</v>
      </c>
      <c r="J2354" s="3">
        <f t="shared" si="36"/>
        <v>43747.620450254624</v>
      </c>
    </row>
    <row r="2355" spans="1:10" x14ac:dyDescent="0.25">
      <c r="A2355" s="5" t="s">
        <v>5030</v>
      </c>
      <c r="B2355" s="6">
        <v>434.375</v>
      </c>
      <c r="C2355" s="6">
        <v>20.584240000000001</v>
      </c>
      <c r="D2355" s="6">
        <v>48</v>
      </c>
      <c r="E2355" s="6">
        <v>0</v>
      </c>
      <c r="F2355" s="6">
        <v>0</v>
      </c>
      <c r="G2355" s="6">
        <v>15</v>
      </c>
      <c r="H2355" s="6" t="s">
        <v>5031</v>
      </c>
      <c r="I2355" s="6">
        <v>539.625</v>
      </c>
      <c r="J2355" s="2">
        <f t="shared" si="36"/>
        <v>43747.620533796297</v>
      </c>
    </row>
    <row r="2356" spans="1:10" x14ac:dyDescent="0.25">
      <c r="A2356" s="7" t="s">
        <v>5032</v>
      </c>
      <c r="B2356" s="8">
        <v>390.625</v>
      </c>
      <c r="C2356" s="8">
        <v>20.584240000000001</v>
      </c>
      <c r="D2356" s="8">
        <v>43</v>
      </c>
      <c r="E2356" s="8">
        <v>0</v>
      </c>
      <c r="F2356" s="8">
        <v>0</v>
      </c>
      <c r="G2356" s="8">
        <v>21</v>
      </c>
      <c r="H2356" s="8" t="s">
        <v>5033</v>
      </c>
      <c r="I2356" s="8">
        <v>525.9375</v>
      </c>
      <c r="J2356" s="3">
        <f t="shared" si="36"/>
        <v>43747.620617245368</v>
      </c>
    </row>
    <row r="2357" spans="1:10" x14ac:dyDescent="0.25">
      <c r="A2357" s="5" t="s">
        <v>5034</v>
      </c>
      <c r="B2357" s="6">
        <v>390.625</v>
      </c>
      <c r="C2357" s="6">
        <v>20.531590000000001</v>
      </c>
      <c r="D2357" s="6">
        <v>43</v>
      </c>
      <c r="E2357" s="6">
        <v>0</v>
      </c>
      <c r="F2357" s="6">
        <v>0</v>
      </c>
      <c r="G2357" s="6">
        <v>18</v>
      </c>
      <c r="H2357" s="6" t="s">
        <v>5035</v>
      </c>
      <c r="I2357" s="6">
        <v>525.9375</v>
      </c>
      <c r="J2357" s="2">
        <f t="shared" si="36"/>
        <v>43747.620700821753</v>
      </c>
    </row>
    <row r="2358" spans="1:10" x14ac:dyDescent="0.25">
      <c r="A2358" s="7" t="s">
        <v>5036</v>
      </c>
      <c r="B2358" s="8">
        <v>393.75</v>
      </c>
      <c r="C2358" s="8">
        <v>20.584240000000001</v>
      </c>
      <c r="D2358" s="8">
        <v>42</v>
      </c>
      <c r="E2358" s="8">
        <v>0</v>
      </c>
      <c r="F2358" s="8">
        <v>0</v>
      </c>
      <c r="G2358" s="8">
        <v>17</v>
      </c>
      <c r="H2358" s="8" t="s">
        <v>5037</v>
      </c>
      <c r="I2358" s="8">
        <v>526.6875</v>
      </c>
      <c r="J2358" s="3">
        <f t="shared" si="36"/>
        <v>43747.620784282401</v>
      </c>
    </row>
    <row r="2359" spans="1:10" x14ac:dyDescent="0.25">
      <c r="A2359" s="5" t="s">
        <v>5038</v>
      </c>
      <c r="B2359" s="6">
        <v>437.5</v>
      </c>
      <c r="C2359" s="6">
        <v>20.584240000000001</v>
      </c>
      <c r="D2359" s="6">
        <v>42</v>
      </c>
      <c r="E2359" s="6">
        <v>0</v>
      </c>
      <c r="F2359" s="6">
        <v>0</v>
      </c>
      <c r="G2359" s="6">
        <v>22</v>
      </c>
      <c r="H2359" s="6" t="s">
        <v>5039</v>
      </c>
      <c r="I2359" s="6">
        <v>540.375</v>
      </c>
      <c r="J2359" s="2">
        <f t="shared" si="36"/>
        <v>43747.620879710645</v>
      </c>
    </row>
    <row r="2360" spans="1:10" x14ac:dyDescent="0.25">
      <c r="A2360" s="7" t="s">
        <v>5040</v>
      </c>
      <c r="B2360" s="8">
        <v>393.75</v>
      </c>
      <c r="C2360" s="8">
        <v>20.584240000000001</v>
      </c>
      <c r="D2360" s="8">
        <v>43</v>
      </c>
      <c r="E2360" s="8">
        <v>0</v>
      </c>
      <c r="F2360" s="8">
        <v>0</v>
      </c>
      <c r="G2360" s="8">
        <v>20</v>
      </c>
      <c r="H2360" s="8" t="s">
        <v>5041</v>
      </c>
      <c r="I2360" s="8">
        <v>526.6875</v>
      </c>
      <c r="J2360" s="3">
        <f t="shared" si="36"/>
        <v>43747.620963194444</v>
      </c>
    </row>
    <row r="2361" spans="1:10" x14ac:dyDescent="0.25">
      <c r="A2361" s="5" t="s">
        <v>5042</v>
      </c>
      <c r="B2361" s="6">
        <v>393.75</v>
      </c>
      <c r="C2361" s="6">
        <v>20.584240000000001</v>
      </c>
      <c r="D2361" s="6">
        <v>45</v>
      </c>
      <c r="E2361" s="6">
        <v>0</v>
      </c>
      <c r="F2361" s="6">
        <v>0</v>
      </c>
      <c r="G2361" s="6">
        <v>22</v>
      </c>
      <c r="H2361" s="6" t="s">
        <v>5043</v>
      </c>
      <c r="I2361" s="6">
        <v>526.6875</v>
      </c>
      <c r="J2361" s="2">
        <f t="shared" si="36"/>
        <v>43747.62104662037</v>
      </c>
    </row>
    <row r="2362" spans="1:10" x14ac:dyDescent="0.25">
      <c r="A2362" s="7" t="s">
        <v>5044</v>
      </c>
      <c r="B2362" s="8">
        <v>393.75</v>
      </c>
      <c r="C2362" s="8">
        <v>20.584240000000001</v>
      </c>
      <c r="D2362" s="8">
        <v>45</v>
      </c>
      <c r="E2362" s="8">
        <v>0</v>
      </c>
      <c r="F2362" s="8">
        <v>0</v>
      </c>
      <c r="G2362" s="8">
        <v>13</v>
      </c>
      <c r="H2362" s="8" t="s">
        <v>5045</v>
      </c>
      <c r="I2362" s="8">
        <v>526.6875</v>
      </c>
      <c r="J2362" s="3">
        <f t="shared" si="36"/>
        <v>43747.621130081017</v>
      </c>
    </row>
    <row r="2363" spans="1:10" x14ac:dyDescent="0.25">
      <c r="A2363" s="5" t="s">
        <v>5046</v>
      </c>
      <c r="B2363" s="6">
        <v>393.75</v>
      </c>
      <c r="C2363" s="6">
        <v>20.584240000000001</v>
      </c>
      <c r="D2363" s="6">
        <v>44</v>
      </c>
      <c r="E2363" s="6">
        <v>0</v>
      </c>
      <c r="F2363" s="6">
        <v>0</v>
      </c>
      <c r="G2363" s="6">
        <v>18</v>
      </c>
      <c r="H2363" s="6" t="s">
        <v>5047</v>
      </c>
      <c r="I2363" s="6">
        <v>526.6875</v>
      </c>
      <c r="J2363" s="2">
        <f t="shared" si="36"/>
        <v>43747.621220613422</v>
      </c>
    </row>
    <row r="2364" spans="1:10" x14ac:dyDescent="0.25">
      <c r="A2364" s="7" t="s">
        <v>5048</v>
      </c>
      <c r="B2364" s="8">
        <v>390.625</v>
      </c>
      <c r="C2364" s="8">
        <v>20.584240000000001</v>
      </c>
      <c r="D2364" s="8">
        <v>44</v>
      </c>
      <c r="E2364" s="8">
        <v>0</v>
      </c>
      <c r="F2364" s="8">
        <v>0</v>
      </c>
      <c r="G2364" s="8">
        <v>17</v>
      </c>
      <c r="H2364" s="8" t="s">
        <v>5049</v>
      </c>
      <c r="I2364" s="8">
        <v>525.9375</v>
      </c>
      <c r="J2364" s="3">
        <f t="shared" si="36"/>
        <v>43747.621297118058</v>
      </c>
    </row>
    <row r="2365" spans="1:10" x14ac:dyDescent="0.25">
      <c r="A2365" s="5" t="s">
        <v>5050</v>
      </c>
      <c r="B2365" s="6">
        <v>393.75</v>
      </c>
      <c r="C2365" s="6">
        <v>20.584240000000001</v>
      </c>
      <c r="D2365" s="6">
        <v>43</v>
      </c>
      <c r="E2365" s="6">
        <v>0</v>
      </c>
      <c r="F2365" s="6">
        <v>0</v>
      </c>
      <c r="G2365" s="6">
        <v>24</v>
      </c>
      <c r="H2365" s="6" t="s">
        <v>5051</v>
      </c>
      <c r="I2365" s="6">
        <v>526.6875</v>
      </c>
      <c r="J2365" s="2">
        <f t="shared" si="36"/>
        <v>43747.621380555553</v>
      </c>
    </row>
    <row r="2366" spans="1:10" x14ac:dyDescent="0.25">
      <c r="A2366" s="7" t="s">
        <v>5052</v>
      </c>
      <c r="B2366" s="8">
        <v>393.75</v>
      </c>
      <c r="C2366" s="8">
        <v>20.584240000000001</v>
      </c>
      <c r="D2366" s="8">
        <v>43</v>
      </c>
      <c r="E2366" s="8">
        <v>0</v>
      </c>
      <c r="F2366" s="8">
        <v>0</v>
      </c>
      <c r="G2366" s="8">
        <v>26</v>
      </c>
      <c r="H2366" s="8" t="s">
        <v>5053</v>
      </c>
      <c r="I2366" s="8">
        <v>526.6875</v>
      </c>
      <c r="J2366" s="3">
        <f t="shared" si="36"/>
        <v>43747.621463784722</v>
      </c>
    </row>
    <row r="2367" spans="1:10" x14ac:dyDescent="0.25">
      <c r="A2367" s="5" t="s">
        <v>5054</v>
      </c>
      <c r="B2367" s="6">
        <v>390.625</v>
      </c>
      <c r="C2367" s="6">
        <v>20.584240000000001</v>
      </c>
      <c r="D2367" s="6">
        <v>43</v>
      </c>
      <c r="E2367" s="6">
        <v>0</v>
      </c>
      <c r="F2367" s="6">
        <v>0</v>
      </c>
      <c r="G2367" s="6">
        <v>21</v>
      </c>
      <c r="H2367" s="6" t="s">
        <v>5055</v>
      </c>
      <c r="I2367" s="6">
        <v>525.75</v>
      </c>
      <c r="J2367" s="2">
        <f t="shared" si="36"/>
        <v>43747.621535543978</v>
      </c>
    </row>
    <row r="2368" spans="1:10" x14ac:dyDescent="0.25">
      <c r="A2368" s="7" t="s">
        <v>5056</v>
      </c>
      <c r="B2368" s="8">
        <v>390.625</v>
      </c>
      <c r="C2368" s="8">
        <v>20.584240000000001</v>
      </c>
      <c r="D2368" s="8">
        <v>43</v>
      </c>
      <c r="E2368" s="8">
        <v>0</v>
      </c>
      <c r="F2368" s="8">
        <v>0</v>
      </c>
      <c r="G2368" s="8">
        <v>20</v>
      </c>
      <c r="H2368" s="8" t="s">
        <v>5057</v>
      </c>
      <c r="I2368" s="8">
        <v>525.9375</v>
      </c>
      <c r="J2368" s="3">
        <f t="shared" si="36"/>
        <v>43747.621619074074</v>
      </c>
    </row>
    <row r="2369" spans="1:10" x14ac:dyDescent="0.25">
      <c r="A2369" s="5" t="s">
        <v>5058</v>
      </c>
      <c r="B2369" s="6">
        <v>409.375</v>
      </c>
      <c r="C2369" s="6">
        <v>20.584240000000001</v>
      </c>
      <c r="D2369" s="6">
        <v>43</v>
      </c>
      <c r="E2369" s="6">
        <v>0</v>
      </c>
      <c r="F2369" s="6">
        <v>0</v>
      </c>
      <c r="G2369" s="6">
        <v>22</v>
      </c>
      <c r="H2369" s="6" t="s">
        <v>5059</v>
      </c>
      <c r="I2369" s="6">
        <v>531.5625</v>
      </c>
      <c r="J2369" s="2">
        <f t="shared" si="36"/>
        <v>43747.621702523145</v>
      </c>
    </row>
    <row r="2370" spans="1:10" x14ac:dyDescent="0.25">
      <c r="A2370" s="7" t="s">
        <v>5060</v>
      </c>
      <c r="B2370" s="8">
        <v>390.625</v>
      </c>
      <c r="C2370" s="8">
        <v>20.584240000000001</v>
      </c>
      <c r="D2370" s="8">
        <v>42</v>
      </c>
      <c r="E2370" s="8">
        <v>0</v>
      </c>
      <c r="F2370" s="8">
        <v>0</v>
      </c>
      <c r="G2370" s="8">
        <v>24</v>
      </c>
      <c r="H2370" s="8" t="s">
        <v>5061</v>
      </c>
      <c r="I2370" s="8">
        <v>525.75</v>
      </c>
      <c r="J2370" s="3">
        <f t="shared" ref="J2370:J2433" si="37">(H2370/86400000)+25569+(7/24)</f>
        <v>43747.621785995369</v>
      </c>
    </row>
    <row r="2371" spans="1:10" x14ac:dyDescent="0.25">
      <c r="A2371" s="5" t="s">
        <v>5062</v>
      </c>
      <c r="B2371" s="6">
        <v>390.625</v>
      </c>
      <c r="C2371" s="6">
        <v>20.584240000000001</v>
      </c>
      <c r="D2371" s="6">
        <v>44</v>
      </c>
      <c r="E2371" s="6">
        <v>0</v>
      </c>
      <c r="F2371" s="6">
        <v>0</v>
      </c>
      <c r="G2371" s="6">
        <v>21</v>
      </c>
      <c r="H2371" s="6" t="s">
        <v>5063</v>
      </c>
      <c r="I2371" s="6">
        <v>525.9375</v>
      </c>
      <c r="J2371" s="2">
        <f t="shared" si="37"/>
        <v>43747.621869432864</v>
      </c>
    </row>
    <row r="2372" spans="1:10" x14ac:dyDescent="0.25">
      <c r="A2372" s="7" t="s">
        <v>5064</v>
      </c>
      <c r="B2372" s="8">
        <v>390.625</v>
      </c>
      <c r="C2372" s="8">
        <v>20.584240000000001</v>
      </c>
      <c r="D2372" s="8">
        <v>44</v>
      </c>
      <c r="E2372" s="8">
        <v>0</v>
      </c>
      <c r="F2372" s="8">
        <v>0</v>
      </c>
      <c r="G2372" s="8">
        <v>22</v>
      </c>
      <c r="H2372" s="8" t="s">
        <v>5065</v>
      </c>
      <c r="I2372" s="8">
        <v>525.9375</v>
      </c>
      <c r="J2372" s="3">
        <f t="shared" si="37"/>
        <v>43747.621952662033</v>
      </c>
    </row>
    <row r="2373" spans="1:10" x14ac:dyDescent="0.25">
      <c r="A2373" s="5" t="s">
        <v>5066</v>
      </c>
      <c r="B2373" s="6">
        <v>390.625</v>
      </c>
      <c r="C2373" s="6">
        <v>20.531590000000001</v>
      </c>
      <c r="D2373" s="6">
        <v>45</v>
      </c>
      <c r="E2373" s="6">
        <v>0</v>
      </c>
      <c r="F2373" s="6">
        <v>0</v>
      </c>
      <c r="G2373" s="6">
        <v>27</v>
      </c>
      <c r="H2373" s="6" t="s">
        <v>5067</v>
      </c>
      <c r="I2373" s="6">
        <v>525.9375</v>
      </c>
      <c r="J2373" s="2">
        <f t="shared" si="37"/>
        <v>43747.622036793975</v>
      </c>
    </row>
    <row r="2374" spans="1:10" x14ac:dyDescent="0.25">
      <c r="A2374" s="7" t="s">
        <v>5068</v>
      </c>
      <c r="B2374" s="8">
        <v>390.625</v>
      </c>
      <c r="C2374" s="8">
        <v>20.584240000000001</v>
      </c>
      <c r="D2374" s="8">
        <v>44</v>
      </c>
      <c r="E2374" s="8">
        <v>0</v>
      </c>
      <c r="F2374" s="8">
        <v>0</v>
      </c>
      <c r="G2374" s="8">
        <v>18</v>
      </c>
      <c r="H2374" s="8" t="s">
        <v>5069</v>
      </c>
      <c r="I2374" s="8">
        <v>525.9375</v>
      </c>
      <c r="J2374" s="3">
        <f t="shared" si="37"/>
        <v>43747.622119675922</v>
      </c>
    </row>
    <row r="2375" spans="1:10" x14ac:dyDescent="0.25">
      <c r="A2375" s="5" t="s">
        <v>5070</v>
      </c>
      <c r="B2375" s="6">
        <v>390.625</v>
      </c>
      <c r="C2375" s="6">
        <v>20.584240000000001</v>
      </c>
      <c r="D2375" s="6">
        <v>44</v>
      </c>
      <c r="E2375" s="6">
        <v>0</v>
      </c>
      <c r="F2375" s="6">
        <v>0</v>
      </c>
      <c r="G2375" s="6">
        <v>21</v>
      </c>
      <c r="H2375" s="6" t="s">
        <v>5071</v>
      </c>
      <c r="I2375" s="6">
        <v>525.75</v>
      </c>
      <c r="J2375" s="2">
        <f t="shared" si="37"/>
        <v>43747.622191527778</v>
      </c>
    </row>
    <row r="2376" spans="1:10" x14ac:dyDescent="0.25">
      <c r="A2376" s="7" t="s">
        <v>5072</v>
      </c>
      <c r="B2376" s="8">
        <v>390.625</v>
      </c>
      <c r="C2376" s="8">
        <v>20.531590000000001</v>
      </c>
      <c r="D2376" s="8">
        <v>44</v>
      </c>
      <c r="E2376" s="8">
        <v>0</v>
      </c>
      <c r="F2376" s="8">
        <v>0</v>
      </c>
      <c r="G2376" s="8">
        <v>22</v>
      </c>
      <c r="H2376" s="8" t="s">
        <v>5073</v>
      </c>
      <c r="I2376" s="8">
        <v>525.9375</v>
      </c>
      <c r="J2376" s="3">
        <f t="shared" si="37"/>
        <v>43747.622274861111</v>
      </c>
    </row>
    <row r="2377" spans="1:10" x14ac:dyDescent="0.25">
      <c r="A2377" s="5" t="s">
        <v>5074</v>
      </c>
      <c r="B2377" s="6">
        <v>390.625</v>
      </c>
      <c r="C2377" s="6">
        <v>20.531590000000001</v>
      </c>
      <c r="D2377" s="6">
        <v>44</v>
      </c>
      <c r="E2377" s="6">
        <v>0</v>
      </c>
      <c r="F2377" s="6">
        <v>0</v>
      </c>
      <c r="G2377" s="6">
        <v>33</v>
      </c>
      <c r="H2377" s="6" t="s">
        <v>5075</v>
      </c>
      <c r="I2377" s="6">
        <v>525.9375</v>
      </c>
      <c r="J2377" s="2">
        <f t="shared" si="37"/>
        <v>43747.622358425921</v>
      </c>
    </row>
    <row r="2378" spans="1:10" x14ac:dyDescent="0.25">
      <c r="A2378" s="7" t="s">
        <v>5076</v>
      </c>
      <c r="B2378" s="8">
        <v>390.625</v>
      </c>
      <c r="C2378" s="8">
        <v>20.584240000000001</v>
      </c>
      <c r="D2378" s="8">
        <v>45</v>
      </c>
      <c r="E2378" s="8">
        <v>0</v>
      </c>
      <c r="F2378" s="8">
        <v>0</v>
      </c>
      <c r="G2378" s="8">
        <v>23</v>
      </c>
      <c r="H2378" s="8" t="s">
        <v>5077</v>
      </c>
      <c r="I2378" s="8">
        <v>525.9375</v>
      </c>
      <c r="J2378" s="3">
        <f t="shared" si="37"/>
        <v>43747.622441527776</v>
      </c>
    </row>
    <row r="2379" spans="1:10" x14ac:dyDescent="0.25">
      <c r="A2379" s="5" t="s">
        <v>5078</v>
      </c>
      <c r="B2379" s="6">
        <v>390.625</v>
      </c>
      <c r="C2379" s="6">
        <v>20.584240000000001</v>
      </c>
      <c r="D2379" s="6">
        <v>45</v>
      </c>
      <c r="E2379" s="6">
        <v>0</v>
      </c>
      <c r="F2379" s="6">
        <v>0</v>
      </c>
      <c r="G2379" s="6">
        <v>21</v>
      </c>
      <c r="H2379" s="6" t="s">
        <v>5079</v>
      </c>
      <c r="I2379" s="6">
        <v>525.9375</v>
      </c>
      <c r="J2379" s="2">
        <f t="shared" si="37"/>
        <v>43747.622513182869</v>
      </c>
    </row>
    <row r="2380" spans="1:10" x14ac:dyDescent="0.25">
      <c r="A2380" s="7" t="s">
        <v>5080</v>
      </c>
      <c r="B2380" s="8">
        <v>393.75</v>
      </c>
      <c r="C2380" s="8">
        <v>20.584240000000001</v>
      </c>
      <c r="D2380" s="8">
        <v>46</v>
      </c>
      <c r="E2380" s="8">
        <v>0</v>
      </c>
      <c r="F2380" s="8">
        <v>0</v>
      </c>
      <c r="G2380" s="8">
        <v>22</v>
      </c>
      <c r="H2380" s="8" t="s">
        <v>5081</v>
      </c>
      <c r="I2380" s="8">
        <v>526.5</v>
      </c>
      <c r="J2380" s="3">
        <f t="shared" si="37"/>
        <v>43747.622597094909</v>
      </c>
    </row>
    <row r="2381" spans="1:10" x14ac:dyDescent="0.25">
      <c r="A2381" s="5" t="s">
        <v>5082</v>
      </c>
      <c r="B2381" s="6">
        <v>393.75</v>
      </c>
      <c r="C2381" s="6">
        <v>20.584240000000001</v>
      </c>
      <c r="D2381" s="6">
        <v>47</v>
      </c>
      <c r="E2381" s="6">
        <v>0</v>
      </c>
      <c r="F2381" s="6">
        <v>0</v>
      </c>
      <c r="G2381" s="6">
        <v>24</v>
      </c>
      <c r="H2381" s="6" t="s">
        <v>5083</v>
      </c>
      <c r="I2381" s="6">
        <v>526.5</v>
      </c>
      <c r="J2381" s="2">
        <f t="shared" si="37"/>
        <v>43747.622680324072</v>
      </c>
    </row>
    <row r="2382" spans="1:10" x14ac:dyDescent="0.25">
      <c r="A2382" s="7" t="s">
        <v>5084</v>
      </c>
      <c r="B2382" s="8">
        <v>390.625</v>
      </c>
      <c r="C2382" s="8">
        <v>20.584240000000001</v>
      </c>
      <c r="D2382" s="8">
        <v>46</v>
      </c>
      <c r="E2382" s="8">
        <v>0</v>
      </c>
      <c r="F2382" s="8">
        <v>0</v>
      </c>
      <c r="G2382" s="8">
        <v>19</v>
      </c>
      <c r="H2382" s="8" t="s">
        <v>5085</v>
      </c>
      <c r="I2382" s="8">
        <v>525.9375</v>
      </c>
      <c r="J2382" s="3">
        <f t="shared" si="37"/>
        <v>43747.622763749998</v>
      </c>
    </row>
    <row r="2383" spans="1:10" x14ac:dyDescent="0.25">
      <c r="A2383" s="5" t="s">
        <v>5086</v>
      </c>
      <c r="B2383" s="6">
        <v>390.625</v>
      </c>
      <c r="C2383" s="6">
        <v>20.531590000000001</v>
      </c>
      <c r="D2383" s="6">
        <v>46</v>
      </c>
      <c r="E2383" s="6">
        <v>0</v>
      </c>
      <c r="F2383" s="6">
        <v>0</v>
      </c>
      <c r="G2383" s="6">
        <v>30</v>
      </c>
      <c r="H2383" s="6" t="s">
        <v>5087</v>
      </c>
      <c r="I2383" s="6">
        <v>525.9375</v>
      </c>
      <c r="J2383" s="2">
        <f t="shared" si="37"/>
        <v>43747.622847326384</v>
      </c>
    </row>
    <row r="2384" spans="1:10" x14ac:dyDescent="0.25">
      <c r="A2384" s="7" t="s">
        <v>5088</v>
      </c>
      <c r="B2384" s="8">
        <v>390.625</v>
      </c>
      <c r="C2384" s="8">
        <v>20.584240000000001</v>
      </c>
      <c r="D2384" s="8">
        <v>46</v>
      </c>
      <c r="E2384" s="8">
        <v>0</v>
      </c>
      <c r="F2384" s="8">
        <v>0</v>
      </c>
      <c r="G2384" s="8">
        <v>29</v>
      </c>
      <c r="H2384" s="8" t="s">
        <v>5089</v>
      </c>
      <c r="I2384" s="8">
        <v>525.9375</v>
      </c>
      <c r="J2384" s="3">
        <f t="shared" si="37"/>
        <v>43747.622930439808</v>
      </c>
    </row>
    <row r="2385" spans="1:10" x14ac:dyDescent="0.25">
      <c r="A2385" s="5" t="s">
        <v>5090</v>
      </c>
      <c r="B2385" s="6">
        <v>393.75</v>
      </c>
      <c r="C2385" s="6">
        <v>20.584240000000001</v>
      </c>
      <c r="D2385" s="6">
        <v>46</v>
      </c>
      <c r="E2385" s="6">
        <v>0</v>
      </c>
      <c r="F2385" s="6">
        <v>0</v>
      </c>
      <c r="G2385" s="6">
        <v>24</v>
      </c>
      <c r="H2385" s="6" t="s">
        <v>5091</v>
      </c>
      <c r="I2385" s="6">
        <v>526.6875</v>
      </c>
      <c r="J2385" s="2">
        <f t="shared" si="37"/>
        <v>43747.623002071756</v>
      </c>
    </row>
    <row r="2386" spans="1:10" x14ac:dyDescent="0.25">
      <c r="A2386" s="7" t="s">
        <v>5092</v>
      </c>
      <c r="B2386" s="8">
        <v>393.75</v>
      </c>
      <c r="C2386" s="8">
        <v>20.584240000000001</v>
      </c>
      <c r="D2386" s="8">
        <v>47</v>
      </c>
      <c r="E2386" s="8">
        <v>0</v>
      </c>
      <c r="F2386" s="8">
        <v>0</v>
      </c>
      <c r="G2386" s="8">
        <v>22</v>
      </c>
      <c r="H2386" s="8" t="s">
        <v>5093</v>
      </c>
      <c r="I2386" s="8">
        <v>526.6875</v>
      </c>
      <c r="J2386" s="3">
        <f t="shared" si="37"/>
        <v>43747.623085983789</v>
      </c>
    </row>
    <row r="2387" spans="1:10" x14ac:dyDescent="0.25">
      <c r="A2387" s="5" t="s">
        <v>5094</v>
      </c>
      <c r="B2387" s="6">
        <v>393.75</v>
      </c>
      <c r="C2387" s="6">
        <v>20.584240000000001</v>
      </c>
      <c r="D2387" s="6">
        <v>47</v>
      </c>
      <c r="E2387" s="6">
        <v>0</v>
      </c>
      <c r="F2387" s="6">
        <v>0</v>
      </c>
      <c r="G2387" s="6">
        <v>26</v>
      </c>
      <c r="H2387" s="6" t="s">
        <v>5095</v>
      </c>
      <c r="I2387" s="6">
        <v>526.6875</v>
      </c>
      <c r="J2387" s="2">
        <f t="shared" si="37"/>
        <v>43747.623169317128</v>
      </c>
    </row>
    <row r="2388" spans="1:10" x14ac:dyDescent="0.25">
      <c r="A2388" s="7" t="s">
        <v>5096</v>
      </c>
      <c r="B2388" s="8">
        <v>390.625</v>
      </c>
      <c r="C2388" s="8">
        <v>20.584240000000001</v>
      </c>
      <c r="D2388" s="8">
        <v>46</v>
      </c>
      <c r="E2388" s="8">
        <v>0</v>
      </c>
      <c r="F2388" s="8">
        <v>0</v>
      </c>
      <c r="G2388" s="8">
        <v>24</v>
      </c>
      <c r="H2388" s="8" t="s">
        <v>5097</v>
      </c>
      <c r="I2388" s="8">
        <v>525.9375</v>
      </c>
      <c r="J2388" s="3">
        <f t="shared" si="37"/>
        <v>43747.623252638885</v>
      </c>
    </row>
    <row r="2389" spans="1:10" x14ac:dyDescent="0.25">
      <c r="A2389" s="5" t="s">
        <v>5098</v>
      </c>
      <c r="B2389" s="6">
        <v>390.625</v>
      </c>
      <c r="C2389" s="6">
        <v>20.584240000000001</v>
      </c>
      <c r="D2389" s="6">
        <v>46</v>
      </c>
      <c r="E2389" s="6">
        <v>0</v>
      </c>
      <c r="F2389" s="6">
        <v>0</v>
      </c>
      <c r="G2389" s="6">
        <v>27</v>
      </c>
      <c r="H2389" s="6" t="s">
        <v>5099</v>
      </c>
      <c r="I2389" s="6">
        <v>525.9375</v>
      </c>
      <c r="J2389" s="2">
        <f t="shared" si="37"/>
        <v>43747.623351967595</v>
      </c>
    </row>
    <row r="2390" spans="1:10" x14ac:dyDescent="0.25">
      <c r="A2390" s="7" t="s">
        <v>5100</v>
      </c>
      <c r="B2390" s="8">
        <v>390.625</v>
      </c>
      <c r="C2390" s="8">
        <v>20.531590000000001</v>
      </c>
      <c r="D2390" s="8">
        <v>46</v>
      </c>
      <c r="E2390" s="8">
        <v>0</v>
      </c>
      <c r="F2390" s="8">
        <v>0</v>
      </c>
      <c r="G2390" s="8">
        <v>25</v>
      </c>
      <c r="H2390" s="8" t="s">
        <v>5101</v>
      </c>
      <c r="I2390" s="8">
        <v>525.9375</v>
      </c>
      <c r="J2390" s="3">
        <f t="shared" si="37"/>
        <v>43747.623431585649</v>
      </c>
    </row>
    <row r="2391" spans="1:10" x14ac:dyDescent="0.25">
      <c r="A2391" s="5" t="s">
        <v>5102</v>
      </c>
      <c r="B2391" s="6">
        <v>390.625</v>
      </c>
      <c r="C2391" s="6">
        <v>20.584240000000001</v>
      </c>
      <c r="D2391" s="6">
        <v>46</v>
      </c>
      <c r="E2391" s="6">
        <v>0</v>
      </c>
      <c r="F2391" s="6">
        <v>0</v>
      </c>
      <c r="G2391" s="6">
        <v>30</v>
      </c>
      <c r="H2391" s="6" t="s">
        <v>5103</v>
      </c>
      <c r="I2391" s="6">
        <v>525.75</v>
      </c>
      <c r="J2391" s="2">
        <f t="shared" si="37"/>
        <v>43747.623515046296</v>
      </c>
    </row>
    <row r="2392" spans="1:10" x14ac:dyDescent="0.25">
      <c r="A2392" s="7" t="s">
        <v>5104</v>
      </c>
      <c r="B2392" s="8">
        <v>390.625</v>
      </c>
      <c r="C2392" s="8">
        <v>20.584240000000001</v>
      </c>
      <c r="D2392" s="8">
        <v>46</v>
      </c>
      <c r="E2392" s="8">
        <v>0</v>
      </c>
      <c r="F2392" s="8">
        <v>0</v>
      </c>
      <c r="G2392" s="8">
        <v>19</v>
      </c>
      <c r="H2392" s="8" t="s">
        <v>5105</v>
      </c>
      <c r="I2392" s="8">
        <v>525.75</v>
      </c>
      <c r="J2392" s="3">
        <f t="shared" si="37"/>
        <v>43747.623610937495</v>
      </c>
    </row>
    <row r="2393" spans="1:10" x14ac:dyDescent="0.25">
      <c r="A2393" s="5" t="s">
        <v>5106</v>
      </c>
      <c r="B2393" s="6">
        <v>390.625</v>
      </c>
      <c r="C2393" s="6">
        <v>20.584240000000001</v>
      </c>
      <c r="D2393" s="6">
        <v>46</v>
      </c>
      <c r="E2393" s="6">
        <v>0</v>
      </c>
      <c r="F2393" s="6">
        <v>0</v>
      </c>
      <c r="G2393" s="6">
        <v>25</v>
      </c>
      <c r="H2393" s="6" t="s">
        <v>5107</v>
      </c>
      <c r="I2393" s="6">
        <v>525.75</v>
      </c>
      <c r="J2393" s="2">
        <f t="shared" si="37"/>
        <v>43747.623694050919</v>
      </c>
    </row>
    <row r="2394" spans="1:10" x14ac:dyDescent="0.25">
      <c r="A2394" s="7" t="s">
        <v>5108</v>
      </c>
      <c r="B2394" s="8">
        <v>393.75</v>
      </c>
      <c r="C2394" s="8">
        <v>20.584240000000001</v>
      </c>
      <c r="D2394" s="8">
        <v>42</v>
      </c>
      <c r="E2394" s="8">
        <v>0</v>
      </c>
      <c r="F2394" s="8">
        <v>0</v>
      </c>
      <c r="G2394" s="8">
        <v>21</v>
      </c>
      <c r="H2394" s="8" t="s">
        <v>5109</v>
      </c>
      <c r="I2394" s="8">
        <v>526.6875</v>
      </c>
      <c r="J2394" s="3">
        <f t="shared" si="37"/>
        <v>43747.62376545139</v>
      </c>
    </row>
    <row r="2395" spans="1:10" x14ac:dyDescent="0.25">
      <c r="A2395" s="5" t="s">
        <v>5110</v>
      </c>
      <c r="B2395" s="6">
        <v>393.75</v>
      </c>
      <c r="C2395" s="6">
        <v>20.531590000000001</v>
      </c>
      <c r="D2395" s="6">
        <v>43</v>
      </c>
      <c r="E2395" s="6">
        <v>0</v>
      </c>
      <c r="F2395" s="6">
        <v>0</v>
      </c>
      <c r="G2395" s="6">
        <v>19</v>
      </c>
      <c r="H2395" s="6" t="s">
        <v>5111</v>
      </c>
      <c r="I2395" s="6">
        <v>526.6875</v>
      </c>
      <c r="J2395" s="2">
        <f t="shared" si="37"/>
        <v>43747.623848912037</v>
      </c>
    </row>
    <row r="2396" spans="1:10" x14ac:dyDescent="0.25">
      <c r="A2396" s="7" t="s">
        <v>5112</v>
      </c>
      <c r="B2396" s="8">
        <v>390.625</v>
      </c>
      <c r="C2396" s="8">
        <v>20.584240000000001</v>
      </c>
      <c r="D2396" s="8">
        <v>43</v>
      </c>
      <c r="E2396" s="8">
        <v>0</v>
      </c>
      <c r="F2396" s="8">
        <v>0</v>
      </c>
      <c r="G2396" s="8">
        <v>23</v>
      </c>
      <c r="H2396" s="8" t="s">
        <v>5113</v>
      </c>
      <c r="I2396" s="8">
        <v>525.9375</v>
      </c>
      <c r="J2396" s="3">
        <f t="shared" si="37"/>
        <v>43747.623932488423</v>
      </c>
    </row>
    <row r="2397" spans="1:10" x14ac:dyDescent="0.25">
      <c r="A2397" s="5" t="s">
        <v>5114</v>
      </c>
      <c r="B2397" s="6">
        <v>390.625</v>
      </c>
      <c r="C2397" s="6">
        <v>20.584240000000001</v>
      </c>
      <c r="D2397" s="6">
        <v>44</v>
      </c>
      <c r="E2397" s="6">
        <v>0</v>
      </c>
      <c r="F2397" s="6">
        <v>0</v>
      </c>
      <c r="G2397" s="6">
        <v>21</v>
      </c>
      <c r="H2397" s="6" t="s">
        <v>5115</v>
      </c>
      <c r="I2397" s="6">
        <v>525.75</v>
      </c>
      <c r="J2397" s="2">
        <f t="shared" si="37"/>
        <v>43747.624015578702</v>
      </c>
    </row>
    <row r="2398" spans="1:10" x14ac:dyDescent="0.25">
      <c r="A2398" s="7" t="s">
        <v>5116</v>
      </c>
      <c r="B2398" s="8">
        <v>390.625</v>
      </c>
      <c r="C2398" s="8">
        <v>20.584240000000001</v>
      </c>
      <c r="D2398" s="8">
        <v>44</v>
      </c>
      <c r="E2398" s="8">
        <v>0</v>
      </c>
      <c r="F2398" s="8">
        <v>0</v>
      </c>
      <c r="G2398" s="8">
        <v>22</v>
      </c>
      <c r="H2398" s="8" t="s">
        <v>5117</v>
      </c>
      <c r="I2398" s="8">
        <v>525.9375</v>
      </c>
      <c r="J2398" s="3">
        <f t="shared" si="37"/>
        <v>43747.62408721065</v>
      </c>
    </row>
    <row r="2399" spans="1:10" x14ac:dyDescent="0.25">
      <c r="A2399" s="5" t="s">
        <v>5118</v>
      </c>
      <c r="B2399" s="6">
        <v>390.625</v>
      </c>
      <c r="C2399" s="6">
        <v>20.584240000000001</v>
      </c>
      <c r="D2399" s="6">
        <v>45</v>
      </c>
      <c r="E2399" s="6">
        <v>0</v>
      </c>
      <c r="F2399" s="6">
        <v>0</v>
      </c>
      <c r="G2399" s="6">
        <v>26</v>
      </c>
      <c r="H2399" s="6" t="s">
        <v>5119</v>
      </c>
      <c r="I2399" s="6">
        <v>525.9375</v>
      </c>
      <c r="J2399" s="2">
        <f t="shared" si="37"/>
        <v>43747.624170949071</v>
      </c>
    </row>
    <row r="2400" spans="1:10" x14ac:dyDescent="0.25">
      <c r="A2400" s="7" t="s">
        <v>5120</v>
      </c>
      <c r="B2400" s="8">
        <v>390.625</v>
      </c>
      <c r="C2400" s="8">
        <v>20.584240000000001</v>
      </c>
      <c r="D2400" s="8">
        <v>45</v>
      </c>
      <c r="E2400" s="8">
        <v>0</v>
      </c>
      <c r="F2400" s="8">
        <v>0</v>
      </c>
      <c r="G2400" s="8">
        <v>27</v>
      </c>
      <c r="H2400" s="8" t="s">
        <v>5121</v>
      </c>
      <c r="I2400" s="8">
        <v>525.75</v>
      </c>
      <c r="J2400" s="3">
        <f t="shared" si="37"/>
        <v>43747.624265949074</v>
      </c>
    </row>
    <row r="2401" spans="1:10" x14ac:dyDescent="0.25">
      <c r="A2401" s="5" t="s">
        <v>5122</v>
      </c>
      <c r="B2401" s="6">
        <v>390.625</v>
      </c>
      <c r="C2401" s="6">
        <v>20.584240000000001</v>
      </c>
      <c r="D2401" s="6">
        <v>49</v>
      </c>
      <c r="E2401" s="6">
        <v>0</v>
      </c>
      <c r="F2401" s="6">
        <v>0</v>
      </c>
      <c r="G2401" s="6">
        <v>28</v>
      </c>
      <c r="H2401" s="6" t="s">
        <v>5123</v>
      </c>
      <c r="I2401" s="6">
        <v>525.9375</v>
      </c>
      <c r="J2401" s="2">
        <f t="shared" si="37"/>
        <v>43747.624349722224</v>
      </c>
    </row>
    <row r="2402" spans="1:10" x14ac:dyDescent="0.25">
      <c r="A2402" s="7" t="s">
        <v>5124</v>
      </c>
      <c r="B2402" s="8">
        <v>390.625</v>
      </c>
      <c r="C2402" s="8">
        <v>20.584240000000001</v>
      </c>
      <c r="D2402" s="8">
        <v>48</v>
      </c>
      <c r="E2402" s="8">
        <v>0</v>
      </c>
      <c r="F2402" s="8">
        <v>0</v>
      </c>
      <c r="G2402" s="8">
        <v>27</v>
      </c>
      <c r="H2402" s="8" t="s">
        <v>5125</v>
      </c>
      <c r="I2402" s="8">
        <v>525.9375</v>
      </c>
      <c r="J2402" s="3">
        <f t="shared" si="37"/>
        <v>43747.62442137731</v>
      </c>
    </row>
    <row r="2403" spans="1:10" x14ac:dyDescent="0.25">
      <c r="A2403" s="5" t="s">
        <v>5126</v>
      </c>
      <c r="B2403" s="6">
        <v>390.625</v>
      </c>
      <c r="C2403" s="6">
        <v>20.584240000000001</v>
      </c>
      <c r="D2403" s="6">
        <v>47</v>
      </c>
      <c r="E2403" s="6">
        <v>0</v>
      </c>
      <c r="F2403" s="6">
        <v>0</v>
      </c>
      <c r="G2403" s="6">
        <v>28</v>
      </c>
      <c r="H2403" s="6" t="s">
        <v>5127</v>
      </c>
      <c r="I2403" s="6">
        <v>525.9375</v>
      </c>
      <c r="J2403" s="2">
        <f t="shared" si="37"/>
        <v>43747.624504594904</v>
      </c>
    </row>
    <row r="2404" spans="1:10" x14ac:dyDescent="0.25">
      <c r="A2404" s="7" t="s">
        <v>5128</v>
      </c>
      <c r="B2404" s="8">
        <v>390.625</v>
      </c>
      <c r="C2404" s="8">
        <v>20.531590000000001</v>
      </c>
      <c r="D2404" s="8">
        <v>47</v>
      </c>
      <c r="E2404" s="8">
        <v>0</v>
      </c>
      <c r="F2404" s="8">
        <v>0</v>
      </c>
      <c r="G2404" s="8">
        <v>24</v>
      </c>
      <c r="H2404" s="8" t="s">
        <v>5129</v>
      </c>
      <c r="I2404" s="8">
        <v>525.9375</v>
      </c>
      <c r="J2404" s="3">
        <f t="shared" si="37"/>
        <v>43747.624576122682</v>
      </c>
    </row>
    <row r="2405" spans="1:10" x14ac:dyDescent="0.25">
      <c r="A2405" s="5" t="s">
        <v>5130</v>
      </c>
      <c r="B2405" s="6">
        <v>390.625</v>
      </c>
      <c r="C2405" s="6">
        <v>20.531590000000001</v>
      </c>
      <c r="D2405" s="6">
        <v>45</v>
      </c>
      <c r="E2405" s="6">
        <v>0</v>
      </c>
      <c r="F2405" s="6">
        <v>0</v>
      </c>
      <c r="G2405" s="6">
        <v>26</v>
      </c>
      <c r="H2405" s="6" t="s">
        <v>5131</v>
      </c>
      <c r="I2405" s="6">
        <v>525.9375</v>
      </c>
      <c r="J2405" s="2">
        <f t="shared" si="37"/>
        <v>43747.624660069443</v>
      </c>
    </row>
    <row r="2406" spans="1:10" x14ac:dyDescent="0.25">
      <c r="A2406" s="7" t="s">
        <v>5132</v>
      </c>
      <c r="B2406" s="8">
        <v>390.625</v>
      </c>
      <c r="C2406" s="8">
        <v>20.584240000000001</v>
      </c>
      <c r="D2406" s="8">
        <v>44</v>
      </c>
      <c r="E2406" s="8">
        <v>0</v>
      </c>
      <c r="F2406" s="8">
        <v>0</v>
      </c>
      <c r="G2406" s="8">
        <v>29</v>
      </c>
      <c r="H2406" s="8" t="s">
        <v>5133</v>
      </c>
      <c r="I2406" s="8">
        <v>525.9375</v>
      </c>
      <c r="J2406" s="3">
        <f t="shared" si="37"/>
        <v>43747.624731435186</v>
      </c>
    </row>
    <row r="2407" spans="1:10" x14ac:dyDescent="0.25">
      <c r="A2407" s="5" t="s">
        <v>5134</v>
      </c>
      <c r="B2407" s="6">
        <v>390.625</v>
      </c>
      <c r="C2407" s="6">
        <v>20.584240000000001</v>
      </c>
      <c r="D2407" s="6">
        <v>43</v>
      </c>
      <c r="E2407" s="6">
        <v>0</v>
      </c>
      <c r="F2407" s="6">
        <v>0</v>
      </c>
      <c r="G2407" s="6">
        <v>23</v>
      </c>
      <c r="H2407" s="6" t="s">
        <v>5135</v>
      </c>
      <c r="I2407" s="6">
        <v>525.9375</v>
      </c>
      <c r="J2407" s="2">
        <f t="shared" si="37"/>
        <v>43747.624826701387</v>
      </c>
    </row>
    <row r="2408" spans="1:10" x14ac:dyDescent="0.25">
      <c r="A2408" s="7" t="s">
        <v>5136</v>
      </c>
      <c r="B2408" s="8">
        <v>390.625</v>
      </c>
      <c r="C2408" s="8">
        <v>20.584240000000001</v>
      </c>
      <c r="D2408" s="8">
        <v>43</v>
      </c>
      <c r="E2408" s="8">
        <v>0</v>
      </c>
      <c r="F2408" s="8">
        <v>0</v>
      </c>
      <c r="G2408" s="8">
        <v>24</v>
      </c>
      <c r="H2408" s="8" t="s">
        <v>5137</v>
      </c>
      <c r="I2408" s="8">
        <v>525.9375</v>
      </c>
      <c r="J2408" s="3">
        <f t="shared" si="37"/>
        <v>43747.624910254628</v>
      </c>
    </row>
    <row r="2409" spans="1:10" x14ac:dyDescent="0.25">
      <c r="A2409" s="5" t="s">
        <v>5138</v>
      </c>
      <c r="B2409" s="6">
        <v>393.75</v>
      </c>
      <c r="C2409" s="6">
        <v>20.531590000000001</v>
      </c>
      <c r="D2409" s="6">
        <v>44</v>
      </c>
      <c r="E2409" s="6">
        <v>0</v>
      </c>
      <c r="F2409" s="6">
        <v>0</v>
      </c>
      <c r="G2409" s="6">
        <v>32</v>
      </c>
      <c r="H2409" s="6" t="s">
        <v>5139</v>
      </c>
      <c r="I2409" s="6">
        <v>526.6875</v>
      </c>
      <c r="J2409" s="2">
        <f t="shared" si="37"/>
        <v>43747.625005636575</v>
      </c>
    </row>
    <row r="2410" spans="1:10" x14ac:dyDescent="0.25">
      <c r="A2410" s="7" t="s">
        <v>5140</v>
      </c>
      <c r="B2410" s="8">
        <v>390.625</v>
      </c>
      <c r="C2410" s="8">
        <v>20.584240000000001</v>
      </c>
      <c r="D2410" s="8">
        <v>44</v>
      </c>
      <c r="E2410" s="8">
        <v>0</v>
      </c>
      <c r="F2410" s="8">
        <v>0</v>
      </c>
      <c r="G2410" s="8">
        <v>30</v>
      </c>
      <c r="H2410" s="8" t="s">
        <v>5141</v>
      </c>
      <c r="I2410" s="8">
        <v>525.9375</v>
      </c>
      <c r="J2410" s="3">
        <f t="shared" si="37"/>
        <v>43747.625089097222</v>
      </c>
    </row>
    <row r="2411" spans="1:10" x14ac:dyDescent="0.25">
      <c r="A2411" s="5" t="s">
        <v>5142</v>
      </c>
      <c r="B2411" s="6">
        <v>390.625</v>
      </c>
      <c r="C2411" s="6">
        <v>20.584240000000001</v>
      </c>
      <c r="D2411" s="6">
        <v>44</v>
      </c>
      <c r="E2411" s="6">
        <v>0</v>
      </c>
      <c r="F2411" s="6">
        <v>0</v>
      </c>
      <c r="G2411" s="6">
        <v>24</v>
      </c>
      <c r="H2411" s="6" t="s">
        <v>5143</v>
      </c>
      <c r="I2411" s="6">
        <v>525.9375</v>
      </c>
      <c r="J2411" s="2">
        <f t="shared" si="37"/>
        <v>43747.625160833333</v>
      </c>
    </row>
    <row r="2412" spans="1:10" x14ac:dyDescent="0.25">
      <c r="A2412" s="7" t="s">
        <v>5144</v>
      </c>
      <c r="B2412" s="8">
        <v>390.625</v>
      </c>
      <c r="C2412" s="8">
        <v>20.531590000000001</v>
      </c>
      <c r="D2412" s="8">
        <v>44</v>
      </c>
      <c r="E2412" s="8">
        <v>0</v>
      </c>
      <c r="F2412" s="8">
        <v>0</v>
      </c>
      <c r="G2412" s="8">
        <v>25</v>
      </c>
      <c r="H2412" s="8" t="s">
        <v>5145</v>
      </c>
      <c r="I2412" s="8">
        <v>525.75</v>
      </c>
      <c r="J2412" s="3">
        <f t="shared" si="37"/>
        <v>43747.625232245373</v>
      </c>
    </row>
    <row r="2413" spans="1:10" x14ac:dyDescent="0.25">
      <c r="A2413" s="5" t="s">
        <v>5146</v>
      </c>
      <c r="B2413" s="6">
        <v>390.625</v>
      </c>
      <c r="C2413" s="6">
        <v>20.584240000000001</v>
      </c>
      <c r="D2413" s="6">
        <v>43</v>
      </c>
      <c r="E2413" s="6">
        <v>0</v>
      </c>
      <c r="F2413" s="6">
        <v>0</v>
      </c>
      <c r="G2413" s="6">
        <v>19</v>
      </c>
      <c r="H2413" s="6" t="s">
        <v>5147</v>
      </c>
      <c r="I2413" s="6">
        <v>525.9375</v>
      </c>
      <c r="J2413" s="2">
        <f t="shared" si="37"/>
        <v>43747.625315578705</v>
      </c>
    </row>
    <row r="2414" spans="1:10" x14ac:dyDescent="0.25">
      <c r="A2414" s="7" t="s">
        <v>5148</v>
      </c>
      <c r="B2414" s="8">
        <v>390.625</v>
      </c>
      <c r="C2414" s="8">
        <v>20.584240000000001</v>
      </c>
      <c r="D2414" s="8">
        <v>43</v>
      </c>
      <c r="E2414" s="8">
        <v>0</v>
      </c>
      <c r="F2414" s="8">
        <v>0</v>
      </c>
      <c r="G2414" s="8">
        <v>21</v>
      </c>
      <c r="H2414" s="8" t="s">
        <v>5149</v>
      </c>
      <c r="I2414" s="8">
        <v>525.9375</v>
      </c>
      <c r="J2414" s="3">
        <f t="shared" si="37"/>
        <v>43747.625399166667</v>
      </c>
    </row>
    <row r="2415" spans="1:10" x14ac:dyDescent="0.25">
      <c r="A2415" s="5" t="s">
        <v>5150</v>
      </c>
      <c r="B2415" s="6">
        <v>409.375</v>
      </c>
      <c r="C2415" s="6">
        <v>20.584240000000001</v>
      </c>
      <c r="D2415" s="6">
        <v>43</v>
      </c>
      <c r="E2415" s="6">
        <v>0</v>
      </c>
      <c r="F2415" s="6">
        <v>0</v>
      </c>
      <c r="G2415" s="6">
        <v>30</v>
      </c>
      <c r="H2415" s="6" t="s">
        <v>5151</v>
      </c>
      <c r="I2415" s="6">
        <v>531.5625</v>
      </c>
      <c r="J2415" s="2">
        <f t="shared" si="37"/>
        <v>43747.625482372685</v>
      </c>
    </row>
    <row r="2416" spans="1:10" x14ac:dyDescent="0.25">
      <c r="A2416" s="7" t="s">
        <v>5152</v>
      </c>
      <c r="B2416" s="8">
        <v>390.625</v>
      </c>
      <c r="C2416" s="8">
        <v>20.531590000000001</v>
      </c>
      <c r="D2416" s="8">
        <v>43</v>
      </c>
      <c r="E2416" s="8">
        <v>0</v>
      </c>
      <c r="F2416" s="8">
        <v>0</v>
      </c>
      <c r="G2416" s="8">
        <v>24</v>
      </c>
      <c r="H2416" s="8" t="s">
        <v>5153</v>
      </c>
      <c r="I2416" s="8">
        <v>525.9375</v>
      </c>
      <c r="J2416" s="3">
        <f t="shared" si="37"/>
        <v>43747.625553900456</v>
      </c>
    </row>
    <row r="2417" spans="1:10" x14ac:dyDescent="0.25">
      <c r="A2417" s="5" t="s">
        <v>5154</v>
      </c>
      <c r="B2417" s="6">
        <v>390.625</v>
      </c>
      <c r="C2417" s="6">
        <v>20.584240000000001</v>
      </c>
      <c r="D2417" s="6">
        <v>43</v>
      </c>
      <c r="E2417" s="6">
        <v>0</v>
      </c>
      <c r="F2417" s="6">
        <v>0</v>
      </c>
      <c r="G2417" s="6">
        <v>21</v>
      </c>
      <c r="H2417" s="6" t="s">
        <v>5155</v>
      </c>
      <c r="I2417" s="6">
        <v>525.9375</v>
      </c>
      <c r="J2417" s="2">
        <f t="shared" si="37"/>
        <v>43747.625637812496</v>
      </c>
    </row>
    <row r="2418" spans="1:10" x14ac:dyDescent="0.25">
      <c r="A2418" s="7" t="s">
        <v>5156</v>
      </c>
      <c r="B2418" s="8">
        <v>390.625</v>
      </c>
      <c r="C2418" s="8">
        <v>20.584240000000001</v>
      </c>
      <c r="D2418" s="8">
        <v>43</v>
      </c>
      <c r="E2418" s="8">
        <v>0</v>
      </c>
      <c r="F2418" s="8">
        <v>0</v>
      </c>
      <c r="G2418" s="8">
        <v>23</v>
      </c>
      <c r="H2418" s="8" t="s">
        <v>5157</v>
      </c>
      <c r="I2418" s="8">
        <v>525.9375</v>
      </c>
      <c r="J2418" s="3">
        <f t="shared" si="37"/>
        <v>43747.625721226847</v>
      </c>
    </row>
    <row r="2419" spans="1:10" x14ac:dyDescent="0.25">
      <c r="A2419" s="5" t="s">
        <v>5158</v>
      </c>
      <c r="B2419" s="6">
        <v>390.625</v>
      </c>
      <c r="C2419" s="6">
        <v>20.584240000000001</v>
      </c>
      <c r="D2419" s="6">
        <v>43</v>
      </c>
      <c r="E2419" s="6">
        <v>0</v>
      </c>
      <c r="F2419" s="6">
        <v>0</v>
      </c>
      <c r="G2419" s="6">
        <v>24</v>
      </c>
      <c r="H2419" s="6" t="s">
        <v>5159</v>
      </c>
      <c r="I2419" s="6">
        <v>525.9375</v>
      </c>
      <c r="J2419" s="2">
        <f t="shared" si="37"/>
        <v>43747.625804467585</v>
      </c>
    </row>
    <row r="2420" spans="1:10" x14ac:dyDescent="0.25">
      <c r="A2420" s="7" t="s">
        <v>5160</v>
      </c>
      <c r="B2420" s="8">
        <v>390.625</v>
      </c>
      <c r="C2420" s="8">
        <v>20.584240000000001</v>
      </c>
      <c r="D2420" s="8">
        <v>43</v>
      </c>
      <c r="E2420" s="8">
        <v>0</v>
      </c>
      <c r="F2420" s="8">
        <v>0</v>
      </c>
      <c r="G2420" s="8">
        <v>19</v>
      </c>
      <c r="H2420" s="8" t="s">
        <v>5161</v>
      </c>
      <c r="I2420" s="8">
        <v>525.9375</v>
      </c>
      <c r="J2420" s="3">
        <f t="shared" si="37"/>
        <v>43747.625888136572</v>
      </c>
    </row>
    <row r="2421" spans="1:10" x14ac:dyDescent="0.25">
      <c r="A2421" s="5" t="s">
        <v>5162</v>
      </c>
      <c r="B2421" s="6">
        <v>393.75</v>
      </c>
      <c r="C2421" s="6">
        <v>20.584240000000001</v>
      </c>
      <c r="D2421" s="6">
        <v>43</v>
      </c>
      <c r="E2421" s="6">
        <v>0</v>
      </c>
      <c r="F2421" s="6">
        <v>0</v>
      </c>
      <c r="G2421" s="6">
        <v>24</v>
      </c>
      <c r="H2421" s="6" t="s">
        <v>5163</v>
      </c>
      <c r="I2421" s="6">
        <v>526.6875</v>
      </c>
      <c r="J2421" s="2">
        <f t="shared" si="37"/>
        <v>43747.625971261572</v>
      </c>
    </row>
    <row r="2422" spans="1:10" x14ac:dyDescent="0.25">
      <c r="A2422" s="7" t="s">
        <v>5164</v>
      </c>
      <c r="B2422" s="8">
        <v>393.75</v>
      </c>
      <c r="C2422" s="8">
        <v>20.584240000000001</v>
      </c>
      <c r="D2422" s="8">
        <v>43</v>
      </c>
      <c r="E2422" s="8">
        <v>0</v>
      </c>
      <c r="F2422" s="8">
        <v>0</v>
      </c>
      <c r="G2422" s="8">
        <v>21</v>
      </c>
      <c r="H2422" s="8" t="s">
        <v>5165</v>
      </c>
      <c r="I2422" s="8">
        <v>526.6875</v>
      </c>
      <c r="J2422" s="3">
        <f t="shared" si="37"/>
        <v>43747.626046435187</v>
      </c>
    </row>
    <row r="2423" spans="1:10" x14ac:dyDescent="0.25">
      <c r="A2423" s="5" t="s">
        <v>5166</v>
      </c>
      <c r="B2423" s="6">
        <v>393.75</v>
      </c>
      <c r="C2423" s="6">
        <v>20.584240000000001</v>
      </c>
      <c r="D2423" s="6">
        <v>43</v>
      </c>
      <c r="E2423" s="6">
        <v>0</v>
      </c>
      <c r="F2423" s="6">
        <v>0</v>
      </c>
      <c r="G2423" s="6">
        <v>25</v>
      </c>
      <c r="H2423" s="6" t="s">
        <v>5167</v>
      </c>
      <c r="I2423" s="6">
        <v>526.6875</v>
      </c>
      <c r="J2423" s="2">
        <f t="shared" si="37"/>
        <v>43747.626126701383</v>
      </c>
    </row>
    <row r="2424" spans="1:10" x14ac:dyDescent="0.25">
      <c r="A2424" s="7" t="s">
        <v>5168</v>
      </c>
      <c r="B2424" s="8">
        <v>393.75</v>
      </c>
      <c r="C2424" s="8">
        <v>20.531590000000001</v>
      </c>
      <c r="D2424" s="8">
        <v>43</v>
      </c>
      <c r="E2424" s="8">
        <v>0</v>
      </c>
      <c r="F2424" s="8">
        <v>0</v>
      </c>
      <c r="G2424" s="8">
        <v>29</v>
      </c>
      <c r="H2424" s="8" t="s">
        <v>5169</v>
      </c>
      <c r="I2424" s="8">
        <v>526.6875</v>
      </c>
      <c r="J2424" s="3">
        <f t="shared" si="37"/>
        <v>43747.626210150462</v>
      </c>
    </row>
    <row r="2425" spans="1:10" x14ac:dyDescent="0.25">
      <c r="A2425" s="5" t="s">
        <v>5170</v>
      </c>
      <c r="B2425" s="6">
        <v>409.375</v>
      </c>
      <c r="C2425" s="6">
        <v>20.584240000000001</v>
      </c>
      <c r="D2425" s="6">
        <v>45</v>
      </c>
      <c r="E2425" s="6">
        <v>0</v>
      </c>
      <c r="F2425" s="6">
        <v>0</v>
      </c>
      <c r="G2425" s="6">
        <v>26</v>
      </c>
      <c r="H2425" s="6" t="s">
        <v>5171</v>
      </c>
      <c r="I2425" s="6">
        <v>531</v>
      </c>
      <c r="J2425" s="2">
        <f t="shared" si="37"/>
        <v>43747.626293449073</v>
      </c>
    </row>
    <row r="2426" spans="1:10" x14ac:dyDescent="0.25">
      <c r="A2426" s="7" t="s">
        <v>5172</v>
      </c>
      <c r="B2426" s="8">
        <v>390.625</v>
      </c>
      <c r="C2426" s="8">
        <v>20.531590000000001</v>
      </c>
      <c r="D2426" s="8">
        <v>45</v>
      </c>
      <c r="E2426" s="8">
        <v>0</v>
      </c>
      <c r="F2426" s="8">
        <v>0</v>
      </c>
      <c r="G2426" s="8">
        <v>31</v>
      </c>
      <c r="H2426" s="8" t="s">
        <v>5173</v>
      </c>
      <c r="I2426" s="8">
        <v>525.9375</v>
      </c>
      <c r="J2426" s="3">
        <f t="shared" si="37"/>
        <v>43747.626393993058</v>
      </c>
    </row>
    <row r="2427" spans="1:10" x14ac:dyDescent="0.25">
      <c r="A2427" s="5" t="s">
        <v>5174</v>
      </c>
      <c r="B2427" s="6">
        <v>390.625</v>
      </c>
      <c r="C2427" s="6">
        <v>20.584240000000001</v>
      </c>
      <c r="D2427" s="6">
        <v>49</v>
      </c>
      <c r="E2427" s="6">
        <v>0</v>
      </c>
      <c r="F2427" s="6">
        <v>0</v>
      </c>
      <c r="G2427" s="6">
        <v>22</v>
      </c>
      <c r="H2427" s="6" t="s">
        <v>5175</v>
      </c>
      <c r="I2427" s="6">
        <v>525.75</v>
      </c>
      <c r="J2427" s="2">
        <f t="shared" si="37"/>
        <v>43747.6264725</v>
      </c>
    </row>
    <row r="2428" spans="1:10" x14ac:dyDescent="0.25">
      <c r="A2428" s="7" t="s">
        <v>5176</v>
      </c>
      <c r="B2428" s="8">
        <v>390.625</v>
      </c>
      <c r="C2428" s="8">
        <v>20.531590000000001</v>
      </c>
      <c r="D2428" s="8">
        <v>48</v>
      </c>
      <c r="E2428" s="8">
        <v>0</v>
      </c>
      <c r="F2428" s="8">
        <v>0</v>
      </c>
      <c r="G2428" s="8">
        <v>34</v>
      </c>
      <c r="H2428" s="8" t="s">
        <v>5177</v>
      </c>
      <c r="I2428" s="8">
        <v>525.9375</v>
      </c>
      <c r="J2428" s="3">
        <f t="shared" si="37"/>
        <v>43747.626556030089</v>
      </c>
    </row>
    <row r="2429" spans="1:10" x14ac:dyDescent="0.25">
      <c r="A2429" s="5" t="s">
        <v>5178</v>
      </c>
      <c r="B2429" s="6">
        <v>390.625</v>
      </c>
      <c r="C2429" s="6">
        <v>20.584240000000001</v>
      </c>
      <c r="D2429" s="6">
        <v>48</v>
      </c>
      <c r="E2429" s="6">
        <v>0</v>
      </c>
      <c r="F2429" s="6">
        <v>0</v>
      </c>
      <c r="G2429" s="6">
        <v>22</v>
      </c>
      <c r="H2429" s="6" t="s">
        <v>5179</v>
      </c>
      <c r="I2429" s="6">
        <v>525.9375</v>
      </c>
      <c r="J2429" s="2">
        <f t="shared" si="37"/>
        <v>43747.626639479167</v>
      </c>
    </row>
    <row r="2430" spans="1:10" x14ac:dyDescent="0.25">
      <c r="A2430" s="7" t="s">
        <v>5180</v>
      </c>
      <c r="B2430" s="8">
        <v>390.625</v>
      </c>
      <c r="C2430" s="8">
        <v>20.584240000000001</v>
      </c>
      <c r="D2430" s="8">
        <v>48</v>
      </c>
      <c r="E2430" s="8">
        <v>0</v>
      </c>
      <c r="F2430" s="8">
        <v>0</v>
      </c>
      <c r="G2430" s="8">
        <v>20</v>
      </c>
      <c r="H2430" s="8" t="s">
        <v>5181</v>
      </c>
      <c r="I2430" s="8">
        <v>525.9375</v>
      </c>
      <c r="J2430" s="3">
        <f t="shared" si="37"/>
        <v>43747.626722800924</v>
      </c>
    </row>
    <row r="2431" spans="1:10" x14ac:dyDescent="0.25">
      <c r="A2431" s="5" t="s">
        <v>5182</v>
      </c>
      <c r="B2431" s="6">
        <v>390.625</v>
      </c>
      <c r="C2431" s="6">
        <v>20.584240000000001</v>
      </c>
      <c r="D2431" s="6">
        <v>44</v>
      </c>
      <c r="E2431" s="6">
        <v>0</v>
      </c>
      <c r="F2431" s="6">
        <v>0</v>
      </c>
      <c r="G2431" s="6">
        <v>25</v>
      </c>
      <c r="H2431" s="6" t="s">
        <v>5183</v>
      </c>
      <c r="I2431" s="6">
        <v>525.9375</v>
      </c>
      <c r="J2431" s="2">
        <f t="shared" si="37"/>
        <v>43747.626806365741</v>
      </c>
    </row>
    <row r="2432" spans="1:10" x14ac:dyDescent="0.25">
      <c r="A2432" s="7" t="s">
        <v>5184</v>
      </c>
      <c r="B2432" s="8">
        <v>390.625</v>
      </c>
      <c r="C2432" s="8">
        <v>20.584240000000001</v>
      </c>
      <c r="D2432" s="8">
        <v>44</v>
      </c>
      <c r="E2432" s="8">
        <v>0</v>
      </c>
      <c r="F2432" s="8">
        <v>0</v>
      </c>
      <c r="G2432" s="8">
        <v>29</v>
      </c>
      <c r="H2432" s="8" t="s">
        <v>5185</v>
      </c>
      <c r="I2432" s="8">
        <v>525.9375</v>
      </c>
      <c r="J2432" s="3">
        <f t="shared" si="37"/>
        <v>43747.626889722218</v>
      </c>
    </row>
    <row r="2433" spans="1:10" x14ac:dyDescent="0.25">
      <c r="A2433" s="5" t="s">
        <v>5186</v>
      </c>
      <c r="B2433" s="6">
        <v>390.625</v>
      </c>
      <c r="C2433" s="6">
        <v>20.584240000000001</v>
      </c>
      <c r="D2433" s="6">
        <v>45</v>
      </c>
      <c r="E2433" s="6">
        <v>0</v>
      </c>
      <c r="F2433" s="6">
        <v>0</v>
      </c>
      <c r="G2433" s="6">
        <v>25</v>
      </c>
      <c r="H2433" s="6" t="s">
        <v>5187</v>
      </c>
      <c r="I2433" s="6">
        <v>525.9375</v>
      </c>
      <c r="J2433" s="2">
        <f t="shared" si="37"/>
        <v>43747.626973287035</v>
      </c>
    </row>
    <row r="2434" spans="1:10" x14ac:dyDescent="0.25">
      <c r="A2434" s="7" t="s">
        <v>5188</v>
      </c>
      <c r="B2434" s="8">
        <v>390.625</v>
      </c>
      <c r="C2434" s="8">
        <v>20.584240000000001</v>
      </c>
      <c r="D2434" s="8">
        <v>43</v>
      </c>
      <c r="E2434" s="8">
        <v>0</v>
      </c>
      <c r="F2434" s="8">
        <v>0</v>
      </c>
      <c r="G2434" s="8">
        <v>26</v>
      </c>
      <c r="H2434" s="8" t="s">
        <v>5189</v>
      </c>
      <c r="I2434" s="8">
        <v>525.9375</v>
      </c>
      <c r="J2434" s="3">
        <f t="shared" ref="J2434:J2497" si="38">(H2434/86400000)+25569+(7/24)</f>
        <v>43747.627056504629</v>
      </c>
    </row>
    <row r="2435" spans="1:10" x14ac:dyDescent="0.25">
      <c r="A2435" s="5" t="s">
        <v>5190</v>
      </c>
      <c r="B2435" s="6">
        <v>390.625</v>
      </c>
      <c r="C2435" s="6">
        <v>20.531590000000001</v>
      </c>
      <c r="D2435" s="6">
        <v>43</v>
      </c>
      <c r="E2435" s="6">
        <v>0</v>
      </c>
      <c r="F2435" s="6">
        <v>0</v>
      </c>
      <c r="G2435" s="6">
        <v>33</v>
      </c>
      <c r="H2435" s="6" t="s">
        <v>5191</v>
      </c>
      <c r="I2435" s="6">
        <v>525.9375</v>
      </c>
      <c r="J2435" s="2">
        <f t="shared" si="38"/>
        <v>43747.627128564811</v>
      </c>
    </row>
    <row r="2436" spans="1:10" x14ac:dyDescent="0.25">
      <c r="A2436" s="7" t="s">
        <v>5192</v>
      </c>
      <c r="B2436" s="8">
        <v>390.625</v>
      </c>
      <c r="C2436" s="8">
        <v>20.584240000000001</v>
      </c>
      <c r="D2436" s="8">
        <v>44</v>
      </c>
      <c r="E2436" s="8">
        <v>0</v>
      </c>
      <c r="F2436" s="8">
        <v>0</v>
      </c>
      <c r="G2436" s="8">
        <v>26</v>
      </c>
      <c r="H2436" s="8" t="s">
        <v>5193</v>
      </c>
      <c r="I2436" s="8">
        <v>525.9375</v>
      </c>
      <c r="J2436" s="3">
        <f t="shared" si="38"/>
        <v>43747.627211921295</v>
      </c>
    </row>
    <row r="2437" spans="1:10" x14ac:dyDescent="0.25">
      <c r="A2437" s="5" t="s">
        <v>5194</v>
      </c>
      <c r="B2437" s="6">
        <v>390.625</v>
      </c>
      <c r="C2437" s="6">
        <v>20.584240000000001</v>
      </c>
      <c r="D2437" s="6">
        <v>44</v>
      </c>
      <c r="E2437" s="6">
        <v>0</v>
      </c>
      <c r="F2437" s="6">
        <v>0</v>
      </c>
      <c r="G2437" s="6">
        <v>26</v>
      </c>
      <c r="H2437" s="6" t="s">
        <v>5195</v>
      </c>
      <c r="I2437" s="6">
        <v>525.9375</v>
      </c>
      <c r="J2437" s="2">
        <f t="shared" si="38"/>
        <v>43747.627295358798</v>
      </c>
    </row>
    <row r="2438" spans="1:10" x14ac:dyDescent="0.25">
      <c r="A2438" s="7" t="s">
        <v>5196</v>
      </c>
      <c r="B2438" s="8">
        <v>390.625</v>
      </c>
      <c r="C2438" s="8">
        <v>20.584240000000001</v>
      </c>
      <c r="D2438" s="8">
        <v>44</v>
      </c>
      <c r="E2438" s="8">
        <v>0</v>
      </c>
      <c r="F2438" s="8">
        <v>0</v>
      </c>
      <c r="G2438" s="8">
        <v>30</v>
      </c>
      <c r="H2438" s="8" t="s">
        <v>5197</v>
      </c>
      <c r="I2438" s="8">
        <v>525.75</v>
      </c>
      <c r="J2438" s="3">
        <f t="shared" si="38"/>
        <v>43747.62737858796</v>
      </c>
    </row>
    <row r="2439" spans="1:10" x14ac:dyDescent="0.25">
      <c r="A2439" s="5" t="s">
        <v>5198</v>
      </c>
      <c r="B2439" s="6">
        <v>409.375</v>
      </c>
      <c r="C2439" s="6">
        <v>20.584240000000001</v>
      </c>
      <c r="D2439" s="6">
        <v>44</v>
      </c>
      <c r="E2439" s="6">
        <v>0</v>
      </c>
      <c r="F2439" s="6">
        <v>0</v>
      </c>
      <c r="G2439" s="6">
        <v>24</v>
      </c>
      <c r="H2439" s="6" t="s">
        <v>5199</v>
      </c>
      <c r="I2439" s="6">
        <v>531.5625</v>
      </c>
      <c r="J2439" s="2">
        <f t="shared" si="38"/>
        <v>43747.627450347216</v>
      </c>
    </row>
    <row r="2440" spans="1:10" x14ac:dyDescent="0.25">
      <c r="A2440" s="7" t="s">
        <v>5200</v>
      </c>
      <c r="B2440" s="8">
        <v>390.625</v>
      </c>
      <c r="C2440" s="8">
        <v>20.584240000000001</v>
      </c>
      <c r="D2440" s="8">
        <v>44</v>
      </c>
      <c r="E2440" s="8">
        <v>0</v>
      </c>
      <c r="F2440" s="8">
        <v>0</v>
      </c>
      <c r="G2440" s="8">
        <v>28</v>
      </c>
      <c r="H2440" s="8" t="s">
        <v>5201</v>
      </c>
      <c r="I2440" s="8">
        <v>525.9375</v>
      </c>
      <c r="J2440" s="3">
        <f t="shared" si="38"/>
        <v>43747.627533923609</v>
      </c>
    </row>
    <row r="2441" spans="1:10" x14ac:dyDescent="0.25">
      <c r="A2441" s="5" t="s">
        <v>5202</v>
      </c>
      <c r="B2441" s="6">
        <v>390.625</v>
      </c>
      <c r="C2441" s="6">
        <v>20.584240000000001</v>
      </c>
      <c r="D2441" s="6">
        <v>44</v>
      </c>
      <c r="E2441" s="6">
        <v>0</v>
      </c>
      <c r="F2441" s="6">
        <v>0</v>
      </c>
      <c r="G2441" s="6">
        <v>25</v>
      </c>
      <c r="H2441" s="6" t="s">
        <v>5203</v>
      </c>
      <c r="I2441" s="6">
        <v>525.9375</v>
      </c>
      <c r="J2441" s="2">
        <f t="shared" si="38"/>
        <v>43747.627617245373</v>
      </c>
    </row>
    <row r="2442" spans="1:10" x14ac:dyDescent="0.25">
      <c r="A2442" s="7" t="s">
        <v>5204</v>
      </c>
      <c r="B2442" s="8">
        <v>390.625</v>
      </c>
      <c r="C2442" s="8">
        <v>20.584240000000001</v>
      </c>
      <c r="D2442" s="8">
        <v>45</v>
      </c>
      <c r="E2442" s="8">
        <v>0</v>
      </c>
      <c r="F2442" s="8">
        <v>0</v>
      </c>
      <c r="G2442" s="8">
        <v>20</v>
      </c>
      <c r="H2442" s="8" t="s">
        <v>5205</v>
      </c>
      <c r="I2442" s="8">
        <v>525.75</v>
      </c>
      <c r="J2442" s="3">
        <f t="shared" si="38"/>
        <v>43747.627712627313</v>
      </c>
    </row>
    <row r="2443" spans="1:10" x14ac:dyDescent="0.25">
      <c r="A2443" s="5" t="s">
        <v>5206</v>
      </c>
      <c r="B2443" s="6">
        <v>390.625</v>
      </c>
      <c r="C2443" s="6">
        <v>20.584240000000001</v>
      </c>
      <c r="D2443" s="6">
        <v>45</v>
      </c>
      <c r="E2443" s="6">
        <v>0</v>
      </c>
      <c r="F2443" s="6">
        <v>0</v>
      </c>
      <c r="G2443" s="6">
        <v>28</v>
      </c>
      <c r="H2443" s="6" t="s">
        <v>5207</v>
      </c>
      <c r="I2443" s="6">
        <v>525.9375</v>
      </c>
      <c r="J2443" s="2">
        <f t="shared" si="38"/>
        <v>43747.627784166667</v>
      </c>
    </row>
    <row r="2444" spans="1:10" x14ac:dyDescent="0.25">
      <c r="A2444" s="7" t="s">
        <v>5208</v>
      </c>
      <c r="B2444" s="8">
        <v>409.375</v>
      </c>
      <c r="C2444" s="8">
        <v>20.584240000000001</v>
      </c>
      <c r="D2444" s="8">
        <v>44</v>
      </c>
      <c r="E2444" s="8">
        <v>0</v>
      </c>
      <c r="F2444" s="8">
        <v>0</v>
      </c>
      <c r="G2444" s="8">
        <v>20</v>
      </c>
      <c r="H2444" s="8" t="s">
        <v>5209</v>
      </c>
      <c r="I2444" s="8">
        <v>531.5625</v>
      </c>
      <c r="J2444" s="3">
        <f t="shared" si="38"/>
        <v>43747.627867499999</v>
      </c>
    </row>
    <row r="2445" spans="1:10" x14ac:dyDescent="0.25">
      <c r="A2445" s="5" t="s">
        <v>5210</v>
      </c>
      <c r="B2445" s="6">
        <v>390.625</v>
      </c>
      <c r="C2445" s="6">
        <v>20.584240000000001</v>
      </c>
      <c r="D2445" s="6">
        <v>44</v>
      </c>
      <c r="E2445" s="6">
        <v>0</v>
      </c>
      <c r="F2445" s="6">
        <v>0</v>
      </c>
      <c r="G2445" s="6">
        <v>23</v>
      </c>
      <c r="H2445" s="6" t="s">
        <v>5211</v>
      </c>
      <c r="I2445" s="6">
        <v>525.9375</v>
      </c>
      <c r="J2445" s="2">
        <f t="shared" si="38"/>
        <v>43747.627951180555</v>
      </c>
    </row>
    <row r="2446" spans="1:10" x14ac:dyDescent="0.25">
      <c r="A2446" s="7" t="s">
        <v>5212</v>
      </c>
      <c r="B2446" s="8">
        <v>390.625</v>
      </c>
      <c r="C2446" s="8">
        <v>20.584240000000001</v>
      </c>
      <c r="D2446" s="8">
        <v>44</v>
      </c>
      <c r="E2446" s="8">
        <v>0</v>
      </c>
      <c r="F2446" s="8">
        <v>0</v>
      </c>
      <c r="G2446" s="8">
        <v>26</v>
      </c>
      <c r="H2446" s="8" t="s">
        <v>5213</v>
      </c>
      <c r="I2446" s="8">
        <v>525.75</v>
      </c>
      <c r="J2446" s="3">
        <f t="shared" si="38"/>
        <v>43747.628034259258</v>
      </c>
    </row>
    <row r="2447" spans="1:10" x14ac:dyDescent="0.25">
      <c r="A2447" s="5" t="s">
        <v>5214</v>
      </c>
      <c r="B2447" s="6">
        <v>390.625</v>
      </c>
      <c r="C2447" s="6">
        <v>20.584240000000001</v>
      </c>
      <c r="D2447" s="6">
        <v>44</v>
      </c>
      <c r="E2447" s="6">
        <v>0</v>
      </c>
      <c r="F2447" s="6">
        <v>0</v>
      </c>
      <c r="G2447" s="6">
        <v>23</v>
      </c>
      <c r="H2447" s="6" t="s">
        <v>5215</v>
      </c>
      <c r="I2447" s="6">
        <v>525.9375</v>
      </c>
      <c r="J2447" s="2">
        <f t="shared" si="38"/>
        <v>43747.628105787029</v>
      </c>
    </row>
    <row r="2448" spans="1:10" x14ac:dyDescent="0.25">
      <c r="A2448" s="7" t="s">
        <v>5216</v>
      </c>
      <c r="B2448" s="8">
        <v>390.625</v>
      </c>
      <c r="C2448" s="8">
        <v>20.584240000000001</v>
      </c>
      <c r="D2448" s="8">
        <v>42</v>
      </c>
      <c r="E2448" s="8">
        <v>0</v>
      </c>
      <c r="F2448" s="8">
        <v>0</v>
      </c>
      <c r="G2448" s="8">
        <v>28</v>
      </c>
      <c r="H2448" s="8" t="s">
        <v>5217</v>
      </c>
      <c r="I2448" s="8">
        <v>525.9375</v>
      </c>
      <c r="J2448" s="3">
        <f t="shared" si="38"/>
        <v>43747.628177800922</v>
      </c>
    </row>
    <row r="2449" spans="1:10" x14ac:dyDescent="0.25">
      <c r="A2449" s="5" t="s">
        <v>5218</v>
      </c>
      <c r="B2449" s="6">
        <v>390.625</v>
      </c>
      <c r="C2449" s="6">
        <v>20.584240000000001</v>
      </c>
      <c r="D2449" s="6">
        <v>45</v>
      </c>
      <c r="E2449" s="6">
        <v>0</v>
      </c>
      <c r="F2449" s="6">
        <v>0</v>
      </c>
      <c r="G2449" s="6">
        <v>27</v>
      </c>
      <c r="H2449" s="6" t="s">
        <v>5219</v>
      </c>
      <c r="I2449" s="6">
        <v>525.9375</v>
      </c>
      <c r="J2449" s="2">
        <f t="shared" si="38"/>
        <v>43747.628273148141</v>
      </c>
    </row>
    <row r="2450" spans="1:10" x14ac:dyDescent="0.25">
      <c r="A2450" s="7" t="s">
        <v>5220</v>
      </c>
      <c r="B2450" s="8">
        <v>390.625</v>
      </c>
      <c r="C2450" s="8">
        <v>20.584240000000001</v>
      </c>
      <c r="D2450" s="8">
        <v>44</v>
      </c>
      <c r="E2450" s="8">
        <v>0</v>
      </c>
      <c r="F2450" s="8">
        <v>0</v>
      </c>
      <c r="G2450" s="8">
        <v>28</v>
      </c>
      <c r="H2450" s="8" t="s">
        <v>5221</v>
      </c>
      <c r="I2450" s="8">
        <v>525.9375</v>
      </c>
      <c r="J2450" s="3">
        <f t="shared" si="38"/>
        <v>43747.628356365742</v>
      </c>
    </row>
    <row r="2451" spans="1:10" x14ac:dyDescent="0.25">
      <c r="A2451" s="5" t="s">
        <v>5222</v>
      </c>
      <c r="B2451" s="6">
        <v>390.625</v>
      </c>
      <c r="C2451" s="6">
        <v>20.531590000000001</v>
      </c>
      <c r="D2451" s="6">
        <v>44</v>
      </c>
      <c r="E2451" s="6">
        <v>0</v>
      </c>
      <c r="F2451" s="6">
        <v>0</v>
      </c>
      <c r="G2451" s="6">
        <v>27</v>
      </c>
      <c r="H2451" s="6" t="s">
        <v>5223</v>
      </c>
      <c r="I2451" s="6">
        <v>525.9375</v>
      </c>
      <c r="J2451" s="2">
        <f t="shared" si="38"/>
        <v>43747.628428472221</v>
      </c>
    </row>
    <row r="2452" spans="1:10" x14ac:dyDescent="0.25">
      <c r="A2452" s="7" t="s">
        <v>5224</v>
      </c>
      <c r="B2452" s="8">
        <v>390.625</v>
      </c>
      <c r="C2452" s="8">
        <v>20.584240000000001</v>
      </c>
      <c r="D2452" s="8">
        <v>45</v>
      </c>
      <c r="E2452" s="8">
        <v>0</v>
      </c>
      <c r="F2452" s="8">
        <v>0</v>
      </c>
      <c r="G2452" s="8">
        <v>30</v>
      </c>
      <c r="H2452" s="8" t="s">
        <v>5225</v>
      </c>
      <c r="I2452" s="8">
        <v>525.75</v>
      </c>
      <c r="J2452" s="3">
        <f t="shared" si="38"/>
        <v>43747.628511712959</v>
      </c>
    </row>
    <row r="2453" spans="1:10" x14ac:dyDescent="0.25">
      <c r="A2453" s="5" t="s">
        <v>5226</v>
      </c>
      <c r="B2453" s="6">
        <v>390.625</v>
      </c>
      <c r="C2453" s="6">
        <v>20.531590000000001</v>
      </c>
      <c r="D2453" s="6">
        <v>45</v>
      </c>
      <c r="E2453" s="6">
        <v>0</v>
      </c>
      <c r="F2453" s="6">
        <v>0</v>
      </c>
      <c r="G2453" s="6">
        <v>32</v>
      </c>
      <c r="H2453" s="6" t="s">
        <v>5227</v>
      </c>
      <c r="I2453" s="6">
        <v>525.9375</v>
      </c>
      <c r="J2453" s="2">
        <f t="shared" si="38"/>
        <v>43747.628595138885</v>
      </c>
    </row>
    <row r="2454" spans="1:10" x14ac:dyDescent="0.25">
      <c r="A2454" s="7" t="s">
        <v>5228</v>
      </c>
      <c r="B2454" s="8">
        <v>390.625</v>
      </c>
      <c r="C2454" s="8">
        <v>20.531590000000001</v>
      </c>
      <c r="D2454" s="8">
        <v>46</v>
      </c>
      <c r="E2454" s="8">
        <v>0</v>
      </c>
      <c r="F2454" s="8">
        <v>0</v>
      </c>
      <c r="G2454" s="8">
        <v>29</v>
      </c>
      <c r="H2454" s="8" t="s">
        <v>5229</v>
      </c>
      <c r="I2454" s="8">
        <v>525.9375</v>
      </c>
      <c r="J2454" s="3">
        <f t="shared" si="38"/>
        <v>43747.62867859954</v>
      </c>
    </row>
    <row r="2455" spans="1:10" x14ac:dyDescent="0.25">
      <c r="A2455" s="5" t="s">
        <v>5230</v>
      </c>
      <c r="B2455" s="6">
        <v>390.625</v>
      </c>
      <c r="C2455" s="6">
        <v>20.531590000000001</v>
      </c>
      <c r="D2455" s="6">
        <v>44</v>
      </c>
      <c r="E2455" s="6">
        <v>0</v>
      </c>
      <c r="F2455" s="6">
        <v>0</v>
      </c>
      <c r="G2455" s="6">
        <v>29</v>
      </c>
      <c r="H2455" s="6" t="s">
        <v>5231</v>
      </c>
      <c r="I2455" s="6">
        <v>525.9375</v>
      </c>
      <c r="J2455" s="2">
        <f t="shared" si="38"/>
        <v>43747.62876216435</v>
      </c>
    </row>
    <row r="2456" spans="1:10" x14ac:dyDescent="0.25">
      <c r="A2456" s="7" t="s">
        <v>5232</v>
      </c>
      <c r="B2456" s="8">
        <v>390.625</v>
      </c>
      <c r="C2456" s="8">
        <v>20.584240000000001</v>
      </c>
      <c r="D2456" s="8">
        <v>43</v>
      </c>
      <c r="E2456" s="8">
        <v>0</v>
      </c>
      <c r="F2456" s="8">
        <v>0</v>
      </c>
      <c r="G2456" s="8">
        <v>31</v>
      </c>
      <c r="H2456" s="8" t="s">
        <v>5233</v>
      </c>
      <c r="I2456" s="8">
        <v>525.75</v>
      </c>
      <c r="J2456" s="3">
        <f t="shared" si="38"/>
        <v>43747.628845254629</v>
      </c>
    </row>
    <row r="2457" spans="1:10" x14ac:dyDescent="0.25">
      <c r="A2457" s="5" t="s">
        <v>5234</v>
      </c>
      <c r="B2457" s="6">
        <v>390.625</v>
      </c>
      <c r="C2457" s="6">
        <v>20.531590000000001</v>
      </c>
      <c r="D2457" s="6">
        <v>43</v>
      </c>
      <c r="E2457" s="6">
        <v>0</v>
      </c>
      <c r="F2457" s="6">
        <v>0</v>
      </c>
      <c r="G2457" s="6">
        <v>27</v>
      </c>
      <c r="H2457" s="6" t="s">
        <v>5235</v>
      </c>
      <c r="I2457" s="6">
        <v>525.9375</v>
      </c>
      <c r="J2457" s="2">
        <f t="shared" si="38"/>
        <v>43747.628916898146</v>
      </c>
    </row>
    <row r="2458" spans="1:10" x14ac:dyDescent="0.25">
      <c r="A2458" s="7" t="s">
        <v>5236</v>
      </c>
      <c r="B2458" s="8">
        <v>390.625</v>
      </c>
      <c r="C2458" s="8">
        <v>20.584240000000001</v>
      </c>
      <c r="D2458" s="8">
        <v>44</v>
      </c>
      <c r="E2458" s="8">
        <v>0</v>
      </c>
      <c r="F2458" s="8">
        <v>0</v>
      </c>
      <c r="G2458" s="8">
        <v>24</v>
      </c>
      <c r="H2458" s="8" t="s">
        <v>5237</v>
      </c>
      <c r="I2458" s="8">
        <v>525.9375</v>
      </c>
      <c r="J2458" s="3">
        <f t="shared" si="38"/>
        <v>43747.629012754631</v>
      </c>
    </row>
    <row r="2459" spans="1:10" x14ac:dyDescent="0.25">
      <c r="A2459" s="5" t="s">
        <v>5238</v>
      </c>
      <c r="B2459" s="6">
        <v>390.625</v>
      </c>
      <c r="C2459" s="6">
        <v>20.584240000000001</v>
      </c>
      <c r="D2459" s="6">
        <v>43</v>
      </c>
      <c r="E2459" s="6">
        <v>0</v>
      </c>
      <c r="F2459" s="6">
        <v>0</v>
      </c>
      <c r="G2459" s="6">
        <v>22</v>
      </c>
      <c r="H2459" s="6" t="s">
        <v>5239</v>
      </c>
      <c r="I2459" s="6">
        <v>525.9375</v>
      </c>
      <c r="J2459" s="2">
        <f t="shared" si="38"/>
        <v>43747.629107986104</v>
      </c>
    </row>
    <row r="2460" spans="1:10" x14ac:dyDescent="0.25">
      <c r="A2460" s="7" t="s">
        <v>5240</v>
      </c>
      <c r="B2460" s="8">
        <v>390.625</v>
      </c>
      <c r="C2460" s="8">
        <v>20.531590000000001</v>
      </c>
      <c r="D2460" s="8">
        <v>44</v>
      </c>
      <c r="E2460" s="8">
        <v>0</v>
      </c>
      <c r="F2460" s="8">
        <v>0</v>
      </c>
      <c r="G2460" s="8">
        <v>26</v>
      </c>
      <c r="H2460" s="8" t="s">
        <v>5241</v>
      </c>
      <c r="I2460" s="8">
        <v>525.9375</v>
      </c>
      <c r="J2460" s="3">
        <f t="shared" si="38"/>
        <v>43747.629191446758</v>
      </c>
    </row>
    <row r="2461" spans="1:10" x14ac:dyDescent="0.25">
      <c r="A2461" s="5" t="s">
        <v>5242</v>
      </c>
      <c r="B2461" s="6">
        <v>390.625</v>
      </c>
      <c r="C2461" s="6">
        <v>20.584240000000001</v>
      </c>
      <c r="D2461" s="6">
        <v>48</v>
      </c>
      <c r="E2461" s="6">
        <v>0</v>
      </c>
      <c r="F2461" s="6">
        <v>0</v>
      </c>
      <c r="G2461" s="6">
        <v>27</v>
      </c>
      <c r="H2461" s="6" t="s">
        <v>5243</v>
      </c>
      <c r="I2461" s="6">
        <v>525.9375</v>
      </c>
      <c r="J2461" s="2">
        <f t="shared" si="38"/>
        <v>43747.629274884261</v>
      </c>
    </row>
    <row r="2462" spans="1:10" x14ac:dyDescent="0.25">
      <c r="A2462" s="7" t="s">
        <v>5244</v>
      </c>
      <c r="B2462" s="8">
        <v>390.625</v>
      </c>
      <c r="C2462" s="8">
        <v>20.584240000000001</v>
      </c>
      <c r="D2462" s="8">
        <v>47</v>
      </c>
      <c r="E2462" s="8">
        <v>0</v>
      </c>
      <c r="F2462" s="8">
        <v>0</v>
      </c>
      <c r="G2462" s="8">
        <v>21</v>
      </c>
      <c r="H2462" s="8" t="s">
        <v>5245</v>
      </c>
      <c r="I2462" s="8">
        <v>525.75</v>
      </c>
      <c r="J2462" s="3">
        <f t="shared" si="38"/>
        <v>43747.629358333332</v>
      </c>
    </row>
    <row r="2463" spans="1:10" x14ac:dyDescent="0.25">
      <c r="A2463" s="5" t="s">
        <v>5246</v>
      </c>
      <c r="B2463" s="6">
        <v>390.625</v>
      </c>
      <c r="C2463" s="6">
        <v>20.584240000000001</v>
      </c>
      <c r="D2463" s="6">
        <v>46</v>
      </c>
      <c r="E2463" s="6">
        <v>0</v>
      </c>
      <c r="F2463" s="6">
        <v>0</v>
      </c>
      <c r="G2463" s="6">
        <v>31</v>
      </c>
      <c r="H2463" s="6" t="s">
        <v>5247</v>
      </c>
      <c r="I2463" s="6">
        <v>525.9375</v>
      </c>
      <c r="J2463" s="2">
        <f t="shared" si="38"/>
        <v>43747.62944157407</v>
      </c>
    </row>
    <row r="2464" spans="1:10" x14ac:dyDescent="0.25">
      <c r="A2464" s="7" t="s">
        <v>5248</v>
      </c>
      <c r="B2464" s="8">
        <v>390.625</v>
      </c>
      <c r="C2464" s="8">
        <v>20.584240000000001</v>
      </c>
      <c r="D2464" s="8">
        <v>46</v>
      </c>
      <c r="E2464" s="8">
        <v>0</v>
      </c>
      <c r="F2464" s="8">
        <v>0</v>
      </c>
      <c r="G2464" s="8">
        <v>28</v>
      </c>
      <c r="H2464" s="8" t="s">
        <v>5249</v>
      </c>
      <c r="I2464" s="8">
        <v>525.9375</v>
      </c>
      <c r="J2464" s="3">
        <f t="shared" si="38"/>
        <v>43747.62951342592</v>
      </c>
    </row>
    <row r="2465" spans="1:10" x14ac:dyDescent="0.25">
      <c r="A2465" s="5" t="s">
        <v>5250</v>
      </c>
      <c r="B2465" s="6">
        <v>390.625</v>
      </c>
      <c r="C2465" s="6">
        <v>20.584240000000001</v>
      </c>
      <c r="D2465" s="6">
        <v>47</v>
      </c>
      <c r="E2465" s="6">
        <v>0</v>
      </c>
      <c r="F2465" s="6">
        <v>0</v>
      </c>
      <c r="G2465" s="6">
        <v>28</v>
      </c>
      <c r="H2465" s="6" t="s">
        <v>5251</v>
      </c>
      <c r="I2465" s="6">
        <v>525.9375</v>
      </c>
      <c r="J2465" s="2">
        <f t="shared" si="38"/>
        <v>43747.629596874998</v>
      </c>
    </row>
    <row r="2466" spans="1:10" x14ac:dyDescent="0.25">
      <c r="A2466" s="7" t="s">
        <v>5252</v>
      </c>
      <c r="B2466" s="8">
        <v>390.625</v>
      </c>
      <c r="C2466" s="8">
        <v>20.584240000000001</v>
      </c>
      <c r="D2466" s="8">
        <v>47</v>
      </c>
      <c r="E2466" s="8">
        <v>0</v>
      </c>
      <c r="F2466" s="8">
        <v>0</v>
      </c>
      <c r="G2466" s="8">
        <v>25</v>
      </c>
      <c r="H2466" s="8" t="s">
        <v>5253</v>
      </c>
      <c r="I2466" s="8">
        <v>525.9375</v>
      </c>
      <c r="J2466" s="3">
        <f t="shared" si="38"/>
        <v>43747.629691377311</v>
      </c>
    </row>
    <row r="2467" spans="1:10" x14ac:dyDescent="0.25">
      <c r="A2467" s="5" t="s">
        <v>5254</v>
      </c>
      <c r="B2467" s="6">
        <v>390.625</v>
      </c>
      <c r="C2467" s="6">
        <v>20.584240000000001</v>
      </c>
      <c r="D2467" s="6">
        <v>48</v>
      </c>
      <c r="E2467" s="6">
        <v>0</v>
      </c>
      <c r="F2467" s="6">
        <v>0</v>
      </c>
      <c r="G2467" s="6">
        <v>32</v>
      </c>
      <c r="H2467" s="6" t="s">
        <v>5255</v>
      </c>
      <c r="I2467" s="6">
        <v>525.9375</v>
      </c>
      <c r="J2467" s="2">
        <f t="shared" si="38"/>
        <v>43747.629775821755</v>
      </c>
    </row>
    <row r="2468" spans="1:10" x14ac:dyDescent="0.25">
      <c r="A2468" s="7" t="s">
        <v>5256</v>
      </c>
      <c r="B2468" s="8">
        <v>390.625</v>
      </c>
      <c r="C2468" s="8">
        <v>20.584240000000001</v>
      </c>
      <c r="D2468" s="8">
        <v>48</v>
      </c>
      <c r="E2468" s="8">
        <v>0</v>
      </c>
      <c r="F2468" s="8">
        <v>0</v>
      </c>
      <c r="G2468" s="8">
        <v>38</v>
      </c>
      <c r="H2468" s="8" t="s">
        <v>5257</v>
      </c>
      <c r="I2468" s="8">
        <v>525.75</v>
      </c>
      <c r="J2468" s="3">
        <f t="shared" si="38"/>
        <v>43747.62984736111</v>
      </c>
    </row>
    <row r="2469" spans="1:10" x14ac:dyDescent="0.25">
      <c r="A2469" s="5" t="s">
        <v>5258</v>
      </c>
      <c r="B2469" s="6">
        <v>390.625</v>
      </c>
      <c r="C2469" s="6">
        <v>20.584240000000001</v>
      </c>
      <c r="D2469" s="6">
        <v>46</v>
      </c>
      <c r="E2469" s="6">
        <v>0</v>
      </c>
      <c r="F2469" s="6">
        <v>0</v>
      </c>
      <c r="G2469" s="6">
        <v>21</v>
      </c>
      <c r="H2469" s="6" t="s">
        <v>5259</v>
      </c>
      <c r="I2469" s="6">
        <v>525.9375</v>
      </c>
      <c r="J2469" s="2">
        <f t="shared" si="38"/>
        <v>43747.629930439813</v>
      </c>
    </row>
    <row r="2470" spans="1:10" x14ac:dyDescent="0.25">
      <c r="A2470" s="7" t="s">
        <v>5260</v>
      </c>
      <c r="B2470" s="8">
        <v>390.625</v>
      </c>
      <c r="C2470" s="8">
        <v>20.584240000000001</v>
      </c>
      <c r="D2470" s="8">
        <v>46</v>
      </c>
      <c r="E2470" s="8">
        <v>0</v>
      </c>
      <c r="F2470" s="8">
        <v>0</v>
      </c>
      <c r="G2470" s="8">
        <v>26</v>
      </c>
      <c r="H2470" s="8" t="s">
        <v>5261</v>
      </c>
      <c r="I2470" s="8">
        <v>525.9375</v>
      </c>
      <c r="J2470" s="3">
        <f t="shared" si="38"/>
        <v>43747.63000208333</v>
      </c>
    </row>
    <row r="2471" spans="1:10" x14ac:dyDescent="0.25">
      <c r="A2471" s="5" t="s">
        <v>5262</v>
      </c>
      <c r="B2471" s="6">
        <v>390.625</v>
      </c>
      <c r="C2471" s="6">
        <v>20.584240000000001</v>
      </c>
      <c r="D2471" s="6">
        <v>47</v>
      </c>
      <c r="E2471" s="6">
        <v>0</v>
      </c>
      <c r="F2471" s="6">
        <v>0</v>
      </c>
      <c r="G2471" s="6">
        <v>35</v>
      </c>
      <c r="H2471" s="6" t="s">
        <v>5263</v>
      </c>
      <c r="I2471" s="6">
        <v>525.9375</v>
      </c>
      <c r="J2471" s="2">
        <f t="shared" si="38"/>
        <v>43747.63008599537</v>
      </c>
    </row>
    <row r="2472" spans="1:10" x14ac:dyDescent="0.25">
      <c r="A2472" s="7" t="s">
        <v>5264</v>
      </c>
      <c r="B2472" s="8">
        <v>390.625</v>
      </c>
      <c r="C2472" s="8">
        <v>20.584240000000001</v>
      </c>
      <c r="D2472" s="8">
        <v>46</v>
      </c>
      <c r="E2472" s="8">
        <v>0</v>
      </c>
      <c r="F2472" s="8">
        <v>0</v>
      </c>
      <c r="G2472" s="8">
        <v>31</v>
      </c>
      <c r="H2472" s="8" t="s">
        <v>5265</v>
      </c>
      <c r="I2472" s="8">
        <v>525.9375</v>
      </c>
      <c r="J2472" s="3">
        <f t="shared" si="38"/>
        <v>43747.630169317126</v>
      </c>
    </row>
    <row r="2473" spans="1:10" x14ac:dyDescent="0.25">
      <c r="A2473" s="5" t="s">
        <v>5266</v>
      </c>
      <c r="B2473" s="6">
        <v>390.625</v>
      </c>
      <c r="C2473" s="6">
        <v>20.584240000000001</v>
      </c>
      <c r="D2473" s="6">
        <v>47</v>
      </c>
      <c r="E2473" s="6">
        <v>0</v>
      </c>
      <c r="F2473" s="6">
        <v>0</v>
      </c>
      <c r="G2473" s="6">
        <v>23</v>
      </c>
      <c r="H2473" s="6" t="s">
        <v>5267</v>
      </c>
      <c r="I2473" s="6">
        <v>525.9375</v>
      </c>
      <c r="J2473" s="2">
        <f t="shared" si="38"/>
        <v>43747.630252673604</v>
      </c>
    </row>
    <row r="2474" spans="1:10" x14ac:dyDescent="0.25">
      <c r="A2474" s="7" t="s">
        <v>5268</v>
      </c>
      <c r="B2474" s="8">
        <v>390.625</v>
      </c>
      <c r="C2474" s="8">
        <v>20.584240000000001</v>
      </c>
      <c r="D2474" s="8">
        <v>46</v>
      </c>
      <c r="E2474" s="8">
        <v>0</v>
      </c>
      <c r="F2474" s="8">
        <v>0</v>
      </c>
      <c r="G2474" s="8">
        <v>29</v>
      </c>
      <c r="H2474" s="8" t="s">
        <v>5269</v>
      </c>
      <c r="I2474" s="8">
        <v>525.9375</v>
      </c>
      <c r="J2474" s="3">
        <f t="shared" si="38"/>
        <v>43747.630336226845</v>
      </c>
    </row>
    <row r="2475" spans="1:10" x14ac:dyDescent="0.25">
      <c r="A2475" s="5" t="s">
        <v>5270</v>
      </c>
      <c r="B2475" s="6">
        <v>390.625</v>
      </c>
      <c r="C2475" s="6">
        <v>20.584240000000001</v>
      </c>
      <c r="D2475" s="6">
        <v>46</v>
      </c>
      <c r="E2475" s="6">
        <v>0</v>
      </c>
      <c r="F2475" s="6">
        <v>0</v>
      </c>
      <c r="G2475" s="6">
        <v>29</v>
      </c>
      <c r="H2475" s="6" t="s">
        <v>5271</v>
      </c>
      <c r="I2475" s="6">
        <v>525.9375</v>
      </c>
      <c r="J2475" s="2">
        <f t="shared" si="38"/>
        <v>43747.63041943287</v>
      </c>
    </row>
    <row r="2476" spans="1:10" x14ac:dyDescent="0.25">
      <c r="A2476" s="7" t="s">
        <v>5272</v>
      </c>
      <c r="B2476" s="8">
        <v>390.625</v>
      </c>
      <c r="C2476" s="8">
        <v>20.584240000000001</v>
      </c>
      <c r="D2476" s="8">
        <v>46</v>
      </c>
      <c r="E2476" s="8">
        <v>0</v>
      </c>
      <c r="F2476" s="8">
        <v>0</v>
      </c>
      <c r="G2476" s="8">
        <v>39</v>
      </c>
      <c r="H2476" s="8" t="s">
        <v>5273</v>
      </c>
      <c r="I2476" s="8">
        <v>525.9375</v>
      </c>
      <c r="J2476" s="3">
        <f t="shared" si="38"/>
        <v>43747.630490983793</v>
      </c>
    </row>
    <row r="2477" spans="1:10" x14ac:dyDescent="0.25">
      <c r="A2477" s="5" t="s">
        <v>5274</v>
      </c>
      <c r="B2477" s="6">
        <v>390.625</v>
      </c>
      <c r="C2477" s="6">
        <v>20.584240000000001</v>
      </c>
      <c r="D2477" s="6">
        <v>47</v>
      </c>
      <c r="E2477" s="6">
        <v>0</v>
      </c>
      <c r="F2477" s="6">
        <v>0</v>
      </c>
      <c r="G2477" s="6">
        <v>38</v>
      </c>
      <c r="H2477" s="6" t="s">
        <v>5275</v>
      </c>
      <c r="I2477" s="6">
        <v>525.75</v>
      </c>
      <c r="J2477" s="2">
        <f t="shared" si="38"/>
        <v>43747.630574884257</v>
      </c>
    </row>
    <row r="2478" spans="1:10" x14ac:dyDescent="0.25">
      <c r="A2478" s="7" t="s">
        <v>5276</v>
      </c>
      <c r="B2478" s="8">
        <v>390.625</v>
      </c>
      <c r="C2478" s="8">
        <v>20.531590000000001</v>
      </c>
      <c r="D2478" s="8">
        <v>46</v>
      </c>
      <c r="E2478" s="8">
        <v>0</v>
      </c>
      <c r="F2478" s="8">
        <v>0</v>
      </c>
      <c r="G2478" s="8">
        <v>30</v>
      </c>
      <c r="H2478" s="8" t="s">
        <v>5277</v>
      </c>
      <c r="I2478" s="8">
        <v>525.9375</v>
      </c>
      <c r="J2478" s="3">
        <f t="shared" si="38"/>
        <v>43747.630658206013</v>
      </c>
    </row>
    <row r="2479" spans="1:10" x14ac:dyDescent="0.25">
      <c r="A2479" s="5" t="s">
        <v>5278</v>
      </c>
      <c r="B2479" s="6">
        <v>390.625</v>
      </c>
      <c r="C2479" s="6">
        <v>20.531590000000001</v>
      </c>
      <c r="D2479" s="6">
        <v>46</v>
      </c>
      <c r="E2479" s="6">
        <v>0</v>
      </c>
      <c r="F2479" s="6">
        <v>0</v>
      </c>
      <c r="G2479" s="6">
        <v>32</v>
      </c>
      <c r="H2479" s="6" t="s">
        <v>5279</v>
      </c>
      <c r="I2479" s="6">
        <v>525.9375</v>
      </c>
      <c r="J2479" s="2">
        <f t="shared" si="38"/>
        <v>43747.630743981477</v>
      </c>
    </row>
    <row r="2480" spans="1:10" x14ac:dyDescent="0.25">
      <c r="A2480" s="7" t="s">
        <v>5280</v>
      </c>
      <c r="B2480" s="8">
        <v>390.625</v>
      </c>
      <c r="C2480" s="8">
        <v>20.531590000000001</v>
      </c>
      <c r="D2480" s="8">
        <v>45</v>
      </c>
      <c r="E2480" s="8">
        <v>0</v>
      </c>
      <c r="F2480" s="8">
        <v>0</v>
      </c>
      <c r="G2480" s="8">
        <v>35</v>
      </c>
      <c r="H2480" s="8" t="s">
        <v>5281</v>
      </c>
      <c r="I2480" s="8">
        <v>525.75</v>
      </c>
      <c r="J2480" s="3">
        <f t="shared" si="38"/>
        <v>43747.630825254622</v>
      </c>
    </row>
    <row r="2481" spans="1:10" x14ac:dyDescent="0.25">
      <c r="A2481" s="5" t="s">
        <v>5282</v>
      </c>
      <c r="B2481" s="6">
        <v>390.625</v>
      </c>
      <c r="C2481" s="6">
        <v>20.584240000000001</v>
      </c>
      <c r="D2481" s="6">
        <v>46</v>
      </c>
      <c r="E2481" s="6">
        <v>0</v>
      </c>
      <c r="F2481" s="6">
        <v>0</v>
      </c>
      <c r="G2481" s="6">
        <v>29</v>
      </c>
      <c r="H2481" s="6" t="s">
        <v>5283</v>
      </c>
      <c r="I2481" s="6">
        <v>525.9375</v>
      </c>
      <c r="J2481" s="2">
        <f t="shared" si="38"/>
        <v>43747.630908321757</v>
      </c>
    </row>
    <row r="2482" spans="1:10" x14ac:dyDescent="0.25">
      <c r="A2482" s="7" t="s">
        <v>5284</v>
      </c>
      <c r="B2482" s="8">
        <v>390.625</v>
      </c>
      <c r="C2482" s="8">
        <v>20.584240000000001</v>
      </c>
      <c r="D2482" s="8">
        <v>46</v>
      </c>
      <c r="E2482" s="8">
        <v>0</v>
      </c>
      <c r="F2482" s="8">
        <v>0</v>
      </c>
      <c r="G2482" s="8">
        <v>36</v>
      </c>
      <c r="H2482" s="8" t="s">
        <v>5285</v>
      </c>
      <c r="I2482" s="8">
        <v>525.75</v>
      </c>
      <c r="J2482" s="3">
        <f t="shared" si="38"/>
        <v>43747.63097997685</v>
      </c>
    </row>
    <row r="2483" spans="1:10" x14ac:dyDescent="0.25">
      <c r="A2483" s="5" t="s">
        <v>5286</v>
      </c>
      <c r="B2483" s="6">
        <v>409.375</v>
      </c>
      <c r="C2483" s="6">
        <v>20.584240000000001</v>
      </c>
      <c r="D2483" s="6">
        <v>45</v>
      </c>
      <c r="E2483" s="6">
        <v>0</v>
      </c>
      <c r="F2483" s="6">
        <v>0</v>
      </c>
      <c r="G2483" s="6">
        <v>33</v>
      </c>
      <c r="H2483" s="6" t="s">
        <v>5287</v>
      </c>
      <c r="I2483" s="6">
        <v>531.5625</v>
      </c>
      <c r="J2483" s="2">
        <f t="shared" si="38"/>
        <v>43747.631063773144</v>
      </c>
    </row>
    <row r="2484" spans="1:10" x14ac:dyDescent="0.25">
      <c r="A2484" s="7" t="s">
        <v>5288</v>
      </c>
      <c r="B2484" s="8">
        <v>390.625</v>
      </c>
      <c r="C2484" s="8">
        <v>20.584240000000001</v>
      </c>
      <c r="D2484" s="8">
        <v>47</v>
      </c>
      <c r="E2484" s="8">
        <v>0</v>
      </c>
      <c r="F2484" s="8">
        <v>0</v>
      </c>
      <c r="G2484" s="8">
        <v>36</v>
      </c>
      <c r="H2484" s="8" t="s">
        <v>5289</v>
      </c>
      <c r="I2484" s="8">
        <v>525.75</v>
      </c>
      <c r="J2484" s="3">
        <f t="shared" si="38"/>
        <v>43747.631147222222</v>
      </c>
    </row>
    <row r="2485" spans="1:10" x14ac:dyDescent="0.25">
      <c r="A2485" s="5" t="s">
        <v>5290</v>
      </c>
      <c r="B2485" s="6">
        <v>390.625</v>
      </c>
      <c r="C2485" s="6">
        <v>20.584240000000001</v>
      </c>
      <c r="D2485" s="6">
        <v>47</v>
      </c>
      <c r="E2485" s="6">
        <v>0</v>
      </c>
      <c r="F2485" s="6">
        <v>0</v>
      </c>
      <c r="G2485" s="6">
        <v>37</v>
      </c>
      <c r="H2485" s="6" t="s">
        <v>5291</v>
      </c>
      <c r="I2485" s="6">
        <v>525.75</v>
      </c>
      <c r="J2485" s="2">
        <f t="shared" si="38"/>
        <v>43747.63123042824</v>
      </c>
    </row>
    <row r="2486" spans="1:10" x14ac:dyDescent="0.25">
      <c r="A2486" s="7" t="s">
        <v>5292</v>
      </c>
      <c r="B2486" s="8">
        <v>390.625</v>
      </c>
      <c r="C2486" s="8">
        <v>20.584240000000001</v>
      </c>
      <c r="D2486" s="8">
        <v>47</v>
      </c>
      <c r="E2486" s="8">
        <v>0</v>
      </c>
      <c r="F2486" s="8">
        <v>0</v>
      </c>
      <c r="G2486" s="8">
        <v>28</v>
      </c>
      <c r="H2486" s="8" t="s">
        <v>5293</v>
      </c>
      <c r="I2486" s="8">
        <v>525.9375</v>
      </c>
      <c r="J2486" s="3">
        <f t="shared" si="38"/>
        <v>43747.631326134258</v>
      </c>
    </row>
    <row r="2487" spans="1:10" x14ac:dyDescent="0.25">
      <c r="A2487" s="5" t="s">
        <v>5294</v>
      </c>
      <c r="B2487" s="6">
        <v>390.625</v>
      </c>
      <c r="C2487" s="6">
        <v>20.531590000000001</v>
      </c>
      <c r="D2487" s="6">
        <v>47</v>
      </c>
      <c r="E2487" s="6">
        <v>0</v>
      </c>
      <c r="F2487" s="6">
        <v>0</v>
      </c>
      <c r="G2487" s="6">
        <v>28</v>
      </c>
      <c r="H2487" s="6" t="s">
        <v>5295</v>
      </c>
      <c r="I2487" s="6">
        <v>525.9375</v>
      </c>
      <c r="J2487" s="2">
        <f t="shared" si="38"/>
        <v>43747.63140958333</v>
      </c>
    </row>
    <row r="2488" spans="1:10" x14ac:dyDescent="0.25">
      <c r="A2488" s="7" t="s">
        <v>5296</v>
      </c>
      <c r="B2488" s="8">
        <v>390.625</v>
      </c>
      <c r="C2488" s="8">
        <v>20.584240000000001</v>
      </c>
      <c r="D2488" s="8">
        <v>47</v>
      </c>
      <c r="E2488" s="8">
        <v>0</v>
      </c>
      <c r="F2488" s="8">
        <v>0</v>
      </c>
      <c r="G2488" s="8">
        <v>33</v>
      </c>
      <c r="H2488" s="8" t="s">
        <v>5297</v>
      </c>
      <c r="I2488" s="8">
        <v>525.9375</v>
      </c>
      <c r="J2488" s="3">
        <f t="shared" si="38"/>
        <v>43747.631504583333</v>
      </c>
    </row>
    <row r="2489" spans="1:10" x14ac:dyDescent="0.25">
      <c r="A2489" s="5" t="s">
        <v>5298</v>
      </c>
      <c r="B2489" s="6">
        <v>390.625</v>
      </c>
      <c r="C2489" s="6">
        <v>20.531590000000001</v>
      </c>
      <c r="D2489" s="6">
        <v>47</v>
      </c>
      <c r="E2489" s="6">
        <v>0</v>
      </c>
      <c r="F2489" s="6">
        <v>0</v>
      </c>
      <c r="G2489" s="6">
        <v>31</v>
      </c>
      <c r="H2489" s="6" t="s">
        <v>5299</v>
      </c>
      <c r="I2489" s="6">
        <v>525.9375</v>
      </c>
      <c r="J2489" s="2">
        <f t="shared" si="38"/>
        <v>43747.63157612268</v>
      </c>
    </row>
    <row r="2490" spans="1:10" x14ac:dyDescent="0.25">
      <c r="A2490" s="7" t="s">
        <v>5300</v>
      </c>
      <c r="B2490" s="8">
        <v>390.625</v>
      </c>
      <c r="C2490" s="8">
        <v>20.584240000000001</v>
      </c>
      <c r="D2490" s="8">
        <v>48</v>
      </c>
      <c r="E2490" s="8">
        <v>0</v>
      </c>
      <c r="F2490" s="8">
        <v>0</v>
      </c>
      <c r="G2490" s="8">
        <v>37</v>
      </c>
      <c r="H2490" s="8" t="s">
        <v>5301</v>
      </c>
      <c r="I2490" s="8">
        <v>525.75</v>
      </c>
      <c r="J2490" s="3">
        <f t="shared" si="38"/>
        <v>43747.631660046296</v>
      </c>
    </row>
    <row r="2491" spans="1:10" x14ac:dyDescent="0.25">
      <c r="A2491" s="5" t="s">
        <v>5302</v>
      </c>
      <c r="B2491" s="6">
        <v>390.625</v>
      </c>
      <c r="C2491" s="6">
        <v>20.584240000000001</v>
      </c>
      <c r="D2491" s="6">
        <v>48</v>
      </c>
      <c r="E2491" s="6">
        <v>0</v>
      </c>
      <c r="F2491" s="6">
        <v>0</v>
      </c>
      <c r="G2491" s="6">
        <v>30</v>
      </c>
      <c r="H2491" s="6" t="s">
        <v>5303</v>
      </c>
      <c r="I2491" s="6">
        <v>525.9375</v>
      </c>
      <c r="J2491" s="2">
        <f t="shared" si="38"/>
        <v>43747.631743483791</v>
      </c>
    </row>
    <row r="2492" spans="1:10" x14ac:dyDescent="0.25">
      <c r="A2492" s="7" t="s">
        <v>5304</v>
      </c>
      <c r="B2492" s="8">
        <v>390.625</v>
      </c>
      <c r="C2492" s="8">
        <v>20.584240000000001</v>
      </c>
      <c r="D2492" s="8">
        <v>47</v>
      </c>
      <c r="E2492" s="8">
        <v>0</v>
      </c>
      <c r="F2492" s="8">
        <v>0</v>
      </c>
      <c r="G2492" s="8">
        <v>27</v>
      </c>
      <c r="H2492" s="8" t="s">
        <v>5305</v>
      </c>
      <c r="I2492" s="8">
        <v>525.75</v>
      </c>
      <c r="J2492" s="3">
        <f t="shared" si="38"/>
        <v>43747.631840891197</v>
      </c>
    </row>
    <row r="2493" spans="1:10" x14ac:dyDescent="0.25">
      <c r="A2493" s="5" t="s">
        <v>5306</v>
      </c>
      <c r="B2493" s="6">
        <v>390.625</v>
      </c>
      <c r="C2493" s="6">
        <v>20.584240000000001</v>
      </c>
      <c r="D2493" s="6">
        <v>47</v>
      </c>
      <c r="E2493" s="6">
        <v>0</v>
      </c>
      <c r="F2493" s="6">
        <v>0</v>
      </c>
      <c r="G2493" s="6">
        <v>31</v>
      </c>
      <c r="H2493" s="6" t="s">
        <v>5307</v>
      </c>
      <c r="I2493" s="6">
        <v>525.9375</v>
      </c>
      <c r="J2493" s="2">
        <f t="shared" si="38"/>
        <v>43747.63192234953</v>
      </c>
    </row>
    <row r="2494" spans="1:10" x14ac:dyDescent="0.25">
      <c r="A2494" s="7" t="s">
        <v>5308</v>
      </c>
      <c r="B2494" s="8">
        <v>390.625</v>
      </c>
      <c r="C2494" s="8">
        <v>20.584240000000001</v>
      </c>
      <c r="D2494" s="8">
        <v>47</v>
      </c>
      <c r="E2494" s="8">
        <v>0</v>
      </c>
      <c r="F2494" s="8">
        <v>0</v>
      </c>
      <c r="G2494" s="8">
        <v>35</v>
      </c>
      <c r="H2494" s="8" t="s">
        <v>5309</v>
      </c>
      <c r="I2494" s="8">
        <v>525.9375</v>
      </c>
      <c r="J2494" s="3">
        <f t="shared" si="38"/>
        <v>43747.632005914355</v>
      </c>
    </row>
    <row r="2495" spans="1:10" x14ac:dyDescent="0.25">
      <c r="A2495" s="5" t="s">
        <v>5310</v>
      </c>
      <c r="B2495" s="6">
        <v>390.625</v>
      </c>
      <c r="C2495" s="6">
        <v>20.584240000000001</v>
      </c>
      <c r="D2495" s="6">
        <v>47</v>
      </c>
      <c r="E2495" s="6">
        <v>0</v>
      </c>
      <c r="F2495" s="6">
        <v>0</v>
      </c>
      <c r="G2495" s="6">
        <v>34</v>
      </c>
      <c r="H2495" s="6" t="s">
        <v>5311</v>
      </c>
      <c r="I2495" s="6">
        <v>525.9375</v>
      </c>
      <c r="J2495" s="2">
        <f t="shared" si="38"/>
        <v>43747.632089467596</v>
      </c>
    </row>
    <row r="2496" spans="1:10" x14ac:dyDescent="0.25">
      <c r="A2496" s="7" t="s">
        <v>5312</v>
      </c>
      <c r="B2496" s="8">
        <v>409.375</v>
      </c>
      <c r="C2496" s="8">
        <v>20.584240000000001</v>
      </c>
      <c r="D2496" s="8">
        <v>47</v>
      </c>
      <c r="E2496" s="8">
        <v>0</v>
      </c>
      <c r="F2496" s="8">
        <v>0</v>
      </c>
      <c r="G2496" s="8">
        <v>36</v>
      </c>
      <c r="H2496" s="8" t="s">
        <v>5313</v>
      </c>
      <c r="I2496" s="8">
        <v>531.75</v>
      </c>
      <c r="J2496" s="3">
        <f t="shared" si="38"/>
        <v>43747.632172824073</v>
      </c>
    </row>
    <row r="2497" spans="1:10" x14ac:dyDescent="0.25">
      <c r="A2497" s="5" t="s">
        <v>5314</v>
      </c>
      <c r="B2497" s="6">
        <v>390.625</v>
      </c>
      <c r="C2497" s="6">
        <v>20.584240000000001</v>
      </c>
      <c r="D2497" s="6">
        <v>42</v>
      </c>
      <c r="E2497" s="6">
        <v>0</v>
      </c>
      <c r="F2497" s="6">
        <v>0</v>
      </c>
      <c r="G2497" s="6">
        <v>27</v>
      </c>
      <c r="H2497" s="6" t="s">
        <v>5315</v>
      </c>
      <c r="I2497" s="6">
        <v>525.9375</v>
      </c>
      <c r="J2497" s="2">
        <f t="shared" si="38"/>
        <v>43747.632256504628</v>
      </c>
    </row>
    <row r="2498" spans="1:10" x14ac:dyDescent="0.25">
      <c r="A2498" s="7" t="s">
        <v>5316</v>
      </c>
      <c r="B2498" s="8">
        <v>393.75</v>
      </c>
      <c r="C2498" s="8">
        <v>20.584240000000001</v>
      </c>
      <c r="D2498" s="8">
        <v>43</v>
      </c>
      <c r="E2498" s="8">
        <v>0</v>
      </c>
      <c r="F2498" s="8">
        <v>0</v>
      </c>
      <c r="G2498" s="8">
        <v>31</v>
      </c>
      <c r="H2498" s="8" t="s">
        <v>5317</v>
      </c>
      <c r="I2498" s="8">
        <v>526.6875</v>
      </c>
      <c r="J2498" s="3">
        <f t="shared" ref="J2498:J2561" si="39">(H2498/86400000)+25569+(7/24)</f>
        <v>43747.632339837961</v>
      </c>
    </row>
    <row r="2499" spans="1:10" x14ac:dyDescent="0.25">
      <c r="A2499" s="5" t="s">
        <v>5318</v>
      </c>
      <c r="B2499" s="6">
        <v>390.625</v>
      </c>
      <c r="C2499" s="6">
        <v>20.531590000000001</v>
      </c>
      <c r="D2499" s="6">
        <v>44</v>
      </c>
      <c r="E2499" s="6">
        <v>0</v>
      </c>
      <c r="F2499" s="6">
        <v>0</v>
      </c>
      <c r="G2499" s="6">
        <v>38</v>
      </c>
      <c r="H2499" s="6" t="s">
        <v>5319</v>
      </c>
      <c r="I2499" s="6">
        <v>525.75</v>
      </c>
      <c r="J2499" s="2">
        <f t="shared" si="39"/>
        <v>43747.63242282407</v>
      </c>
    </row>
    <row r="2500" spans="1:10" x14ac:dyDescent="0.25">
      <c r="A2500" s="7" t="s">
        <v>5320</v>
      </c>
      <c r="B2500" s="8">
        <v>390.625</v>
      </c>
      <c r="C2500" s="8">
        <v>20.584240000000001</v>
      </c>
      <c r="D2500" s="8">
        <v>45</v>
      </c>
      <c r="E2500" s="8">
        <v>0</v>
      </c>
      <c r="F2500" s="8">
        <v>0</v>
      </c>
      <c r="G2500" s="8">
        <v>26</v>
      </c>
      <c r="H2500" s="8" t="s">
        <v>5321</v>
      </c>
      <c r="I2500" s="8">
        <v>525.9375</v>
      </c>
      <c r="J2500" s="3">
        <f t="shared" si="39"/>
        <v>43747.632508877308</v>
      </c>
    </row>
    <row r="2501" spans="1:10" x14ac:dyDescent="0.25">
      <c r="A2501" s="5" t="s">
        <v>5322</v>
      </c>
      <c r="B2501" s="6">
        <v>390.625</v>
      </c>
      <c r="C2501" s="6">
        <v>20.584240000000001</v>
      </c>
      <c r="D2501" s="6">
        <v>45</v>
      </c>
      <c r="E2501" s="6">
        <v>0</v>
      </c>
      <c r="F2501" s="6">
        <v>0</v>
      </c>
      <c r="G2501" s="6">
        <v>36</v>
      </c>
      <c r="H2501" s="6" t="s">
        <v>5323</v>
      </c>
      <c r="I2501" s="6">
        <v>525.9375</v>
      </c>
      <c r="J2501" s="2">
        <f t="shared" si="39"/>
        <v>43747.632589826382</v>
      </c>
    </row>
    <row r="2502" spans="1:10" x14ac:dyDescent="0.25">
      <c r="A2502" s="7" t="s">
        <v>5324</v>
      </c>
      <c r="B2502" s="8">
        <v>390.625</v>
      </c>
      <c r="C2502" s="8">
        <v>20.584240000000001</v>
      </c>
      <c r="D2502" s="8">
        <v>46</v>
      </c>
      <c r="E2502" s="8">
        <v>0</v>
      </c>
      <c r="F2502" s="8">
        <v>0</v>
      </c>
      <c r="G2502" s="8">
        <v>30</v>
      </c>
      <c r="H2502" s="8" t="s">
        <v>5325</v>
      </c>
      <c r="I2502" s="8">
        <v>525.9375</v>
      </c>
      <c r="J2502" s="3">
        <f t="shared" si="39"/>
        <v>43747.632661689808</v>
      </c>
    </row>
    <row r="2503" spans="1:10" x14ac:dyDescent="0.25">
      <c r="A2503" s="5" t="s">
        <v>5326</v>
      </c>
      <c r="B2503" s="6">
        <v>390.625</v>
      </c>
      <c r="C2503" s="6">
        <v>20.584240000000001</v>
      </c>
      <c r="D2503" s="6">
        <v>46</v>
      </c>
      <c r="E2503" s="6">
        <v>0</v>
      </c>
      <c r="F2503" s="6">
        <v>0</v>
      </c>
      <c r="G2503" s="6">
        <v>31</v>
      </c>
      <c r="H2503" s="6" t="s">
        <v>5327</v>
      </c>
      <c r="I2503" s="6">
        <v>525.9375</v>
      </c>
      <c r="J2503" s="2">
        <f t="shared" si="39"/>
        <v>43747.632745266201</v>
      </c>
    </row>
    <row r="2504" spans="1:10" x14ac:dyDescent="0.25">
      <c r="A2504" s="7" t="s">
        <v>5328</v>
      </c>
      <c r="B2504" s="8">
        <v>390.625</v>
      </c>
      <c r="C2504" s="8">
        <v>20.584240000000001</v>
      </c>
      <c r="D2504" s="8">
        <v>46</v>
      </c>
      <c r="E2504" s="8">
        <v>0</v>
      </c>
      <c r="F2504" s="8">
        <v>0</v>
      </c>
      <c r="G2504" s="8">
        <v>26</v>
      </c>
      <c r="H2504" s="8" t="s">
        <v>5329</v>
      </c>
      <c r="I2504" s="8">
        <v>525.9375</v>
      </c>
      <c r="J2504" s="3">
        <f t="shared" si="39"/>
        <v>43747.632828831018</v>
      </c>
    </row>
    <row r="2505" spans="1:10" x14ac:dyDescent="0.25">
      <c r="A2505" s="5" t="s">
        <v>5330</v>
      </c>
      <c r="B2505" s="6">
        <v>390.625</v>
      </c>
      <c r="C2505" s="6">
        <v>20.584240000000001</v>
      </c>
      <c r="D2505" s="6">
        <v>47</v>
      </c>
      <c r="E2505" s="6">
        <v>0</v>
      </c>
      <c r="F2505" s="6">
        <v>0</v>
      </c>
      <c r="G2505" s="6">
        <v>36</v>
      </c>
      <c r="H2505" s="6" t="s">
        <v>5331</v>
      </c>
      <c r="I2505" s="6">
        <v>525.75</v>
      </c>
      <c r="J2505" s="2">
        <f t="shared" si="39"/>
        <v>43747.632912037036</v>
      </c>
    </row>
    <row r="2506" spans="1:10" x14ac:dyDescent="0.25">
      <c r="A2506" s="7" t="s">
        <v>5332</v>
      </c>
      <c r="B2506" s="8">
        <v>390.625</v>
      </c>
      <c r="C2506" s="8">
        <v>20.584240000000001</v>
      </c>
      <c r="D2506" s="8">
        <v>47</v>
      </c>
      <c r="E2506" s="8">
        <v>0</v>
      </c>
      <c r="F2506" s="8">
        <v>0</v>
      </c>
      <c r="G2506" s="8">
        <v>26</v>
      </c>
      <c r="H2506" s="8" t="s">
        <v>5333</v>
      </c>
      <c r="I2506" s="8">
        <v>525.9375</v>
      </c>
      <c r="J2506" s="3">
        <f t="shared" si="39"/>
        <v>43747.632983692129</v>
      </c>
    </row>
    <row r="2507" spans="1:10" x14ac:dyDescent="0.25">
      <c r="A2507" s="5" t="s">
        <v>5334</v>
      </c>
      <c r="B2507" s="6">
        <v>390.625</v>
      </c>
      <c r="C2507" s="6">
        <v>20.531590000000001</v>
      </c>
      <c r="D2507" s="6">
        <v>47</v>
      </c>
      <c r="E2507" s="6">
        <v>0</v>
      </c>
      <c r="F2507" s="6">
        <v>0</v>
      </c>
      <c r="G2507" s="6">
        <v>27</v>
      </c>
      <c r="H2507" s="6" t="s">
        <v>5335</v>
      </c>
      <c r="I2507" s="6">
        <v>525.75</v>
      </c>
      <c r="J2507" s="2">
        <f t="shared" si="39"/>
        <v>43747.633070138887</v>
      </c>
    </row>
    <row r="2508" spans="1:10" x14ac:dyDescent="0.25">
      <c r="A2508" s="7" t="s">
        <v>5336</v>
      </c>
      <c r="B2508" s="8">
        <v>390.625</v>
      </c>
      <c r="C2508" s="8">
        <v>20.584240000000001</v>
      </c>
      <c r="D2508" s="8">
        <v>47</v>
      </c>
      <c r="E2508" s="8">
        <v>0</v>
      </c>
      <c r="F2508" s="8">
        <v>0</v>
      </c>
      <c r="G2508" s="8">
        <v>38</v>
      </c>
      <c r="H2508" s="8" t="s">
        <v>5337</v>
      </c>
      <c r="I2508" s="8">
        <v>525.75</v>
      </c>
      <c r="J2508" s="3">
        <f t="shared" si="39"/>
        <v>43747.633150590271</v>
      </c>
    </row>
    <row r="2509" spans="1:10" x14ac:dyDescent="0.25">
      <c r="A2509" s="5" t="s">
        <v>5338</v>
      </c>
      <c r="B2509" s="6">
        <v>390.625</v>
      </c>
      <c r="C2509" s="6">
        <v>20.584240000000001</v>
      </c>
      <c r="D2509" s="6">
        <v>47</v>
      </c>
      <c r="E2509" s="6">
        <v>0</v>
      </c>
      <c r="F2509" s="6">
        <v>0</v>
      </c>
      <c r="G2509" s="6">
        <v>33</v>
      </c>
      <c r="H2509" s="6" t="s">
        <v>5339</v>
      </c>
      <c r="I2509" s="6">
        <v>525.9375</v>
      </c>
      <c r="J2509" s="2">
        <f t="shared" si="39"/>
        <v>43747.633234166664</v>
      </c>
    </row>
    <row r="2510" spans="1:10" x14ac:dyDescent="0.25">
      <c r="A2510" s="7" t="s">
        <v>5340</v>
      </c>
      <c r="B2510" s="8">
        <v>390.625</v>
      </c>
      <c r="C2510" s="8">
        <v>20.584240000000001</v>
      </c>
      <c r="D2510" s="8">
        <v>45</v>
      </c>
      <c r="E2510" s="8">
        <v>0</v>
      </c>
      <c r="F2510" s="8">
        <v>0</v>
      </c>
      <c r="G2510" s="8">
        <v>26</v>
      </c>
      <c r="H2510" s="8" t="s">
        <v>5341</v>
      </c>
      <c r="I2510" s="8">
        <v>525.9375</v>
      </c>
      <c r="J2510" s="3">
        <f t="shared" si="39"/>
        <v>43747.633317604159</v>
      </c>
    </row>
    <row r="2511" spans="1:10" x14ac:dyDescent="0.25">
      <c r="A2511" s="5" t="s">
        <v>5342</v>
      </c>
      <c r="B2511" s="6">
        <v>390.625</v>
      </c>
      <c r="C2511" s="6">
        <v>20.531590000000001</v>
      </c>
      <c r="D2511" s="6">
        <v>42</v>
      </c>
      <c r="E2511" s="6">
        <v>0</v>
      </c>
      <c r="F2511" s="6">
        <v>0</v>
      </c>
      <c r="G2511" s="6">
        <v>29</v>
      </c>
      <c r="H2511" s="6" t="s">
        <v>5343</v>
      </c>
      <c r="I2511" s="6">
        <v>525.9375</v>
      </c>
      <c r="J2511" s="2">
        <f t="shared" si="39"/>
        <v>43747.63340082176</v>
      </c>
    </row>
    <row r="2512" spans="1:10" x14ac:dyDescent="0.25">
      <c r="A2512" s="7" t="s">
        <v>5344</v>
      </c>
      <c r="B2512" s="8">
        <v>390.625</v>
      </c>
      <c r="C2512" s="8">
        <v>20.531590000000001</v>
      </c>
      <c r="D2512" s="8">
        <v>42</v>
      </c>
      <c r="E2512" s="8">
        <v>0</v>
      </c>
      <c r="F2512" s="8">
        <v>0</v>
      </c>
      <c r="G2512" s="8">
        <v>39</v>
      </c>
      <c r="H2512" s="8" t="s">
        <v>5345</v>
      </c>
      <c r="I2512" s="8">
        <v>525.9375</v>
      </c>
      <c r="J2512" s="3">
        <f t="shared" si="39"/>
        <v>43747.633472627313</v>
      </c>
    </row>
    <row r="2513" spans="1:10" x14ac:dyDescent="0.25">
      <c r="A2513" s="5" t="s">
        <v>5346</v>
      </c>
      <c r="B2513" s="6">
        <v>390.625</v>
      </c>
      <c r="C2513" s="6">
        <v>20.584240000000001</v>
      </c>
      <c r="D2513" s="6">
        <v>42</v>
      </c>
      <c r="E2513" s="6">
        <v>0</v>
      </c>
      <c r="F2513" s="6">
        <v>0</v>
      </c>
      <c r="G2513" s="6">
        <v>28</v>
      </c>
      <c r="H2513" s="6" t="s">
        <v>5347</v>
      </c>
      <c r="I2513" s="6">
        <v>525.75</v>
      </c>
      <c r="J2513" s="2">
        <f t="shared" si="39"/>
        <v>43747.63355637731</v>
      </c>
    </row>
    <row r="2514" spans="1:10" x14ac:dyDescent="0.25">
      <c r="A2514" s="7" t="s">
        <v>5348</v>
      </c>
      <c r="B2514" s="8">
        <v>390.625</v>
      </c>
      <c r="C2514" s="8">
        <v>20.531590000000001</v>
      </c>
      <c r="D2514" s="8">
        <v>43</v>
      </c>
      <c r="E2514" s="8">
        <v>0</v>
      </c>
      <c r="F2514" s="8">
        <v>0</v>
      </c>
      <c r="G2514" s="8">
        <v>25</v>
      </c>
      <c r="H2514" s="8" t="s">
        <v>5349</v>
      </c>
      <c r="I2514" s="8">
        <v>525.9375</v>
      </c>
      <c r="J2514" s="3">
        <f t="shared" si="39"/>
        <v>43747.633643009256</v>
      </c>
    </row>
    <row r="2515" spans="1:10" x14ac:dyDescent="0.25">
      <c r="A2515" s="5" t="s">
        <v>5350</v>
      </c>
      <c r="B2515" s="6">
        <v>390.625</v>
      </c>
      <c r="C2515" s="6">
        <v>20.584240000000001</v>
      </c>
      <c r="D2515" s="6">
        <v>44</v>
      </c>
      <c r="E2515" s="6">
        <v>0</v>
      </c>
      <c r="F2515" s="6">
        <v>0</v>
      </c>
      <c r="G2515" s="6">
        <v>32</v>
      </c>
      <c r="H2515" s="6" t="s">
        <v>5351</v>
      </c>
      <c r="I2515" s="6">
        <v>525.75</v>
      </c>
      <c r="J2515" s="2">
        <f t="shared" si="39"/>
        <v>43747.633723067127</v>
      </c>
    </row>
    <row r="2516" spans="1:10" x14ac:dyDescent="0.25">
      <c r="A2516" s="7" t="s">
        <v>5352</v>
      </c>
      <c r="B2516" s="8">
        <v>390.625</v>
      </c>
      <c r="C2516" s="8">
        <v>20.584240000000001</v>
      </c>
      <c r="D2516" s="8">
        <v>44</v>
      </c>
      <c r="E2516" s="8">
        <v>0</v>
      </c>
      <c r="F2516" s="8">
        <v>0</v>
      </c>
      <c r="G2516" s="8">
        <v>34</v>
      </c>
      <c r="H2516" s="8" t="s">
        <v>5353</v>
      </c>
      <c r="I2516" s="8">
        <v>525.9375</v>
      </c>
      <c r="J2516" s="3">
        <f t="shared" si="39"/>
        <v>43747.633806481484</v>
      </c>
    </row>
    <row r="2517" spans="1:10" x14ac:dyDescent="0.25">
      <c r="A2517" s="5" t="s">
        <v>5354</v>
      </c>
      <c r="B2517" s="6">
        <v>390.625</v>
      </c>
      <c r="C2517" s="6">
        <v>20.584240000000001</v>
      </c>
      <c r="D2517" s="6">
        <v>45</v>
      </c>
      <c r="E2517" s="6">
        <v>0</v>
      </c>
      <c r="F2517" s="6">
        <v>0</v>
      </c>
      <c r="G2517" s="6">
        <v>26</v>
      </c>
      <c r="H2517" s="6" t="s">
        <v>5355</v>
      </c>
      <c r="I2517" s="6">
        <v>525.9375</v>
      </c>
      <c r="J2517" s="2">
        <f t="shared" si="39"/>
        <v>43747.633889699071</v>
      </c>
    </row>
    <row r="2518" spans="1:10" x14ac:dyDescent="0.25">
      <c r="A2518" s="7" t="s">
        <v>5356</v>
      </c>
      <c r="B2518" s="8">
        <v>390.625</v>
      </c>
      <c r="C2518" s="8">
        <v>20.584240000000001</v>
      </c>
      <c r="D2518" s="8">
        <v>45</v>
      </c>
      <c r="E2518" s="8">
        <v>0</v>
      </c>
      <c r="F2518" s="8">
        <v>0</v>
      </c>
      <c r="G2518" s="8">
        <v>39</v>
      </c>
      <c r="H2518" s="8" t="s">
        <v>5357</v>
      </c>
      <c r="I2518" s="8">
        <v>525.9375</v>
      </c>
      <c r="J2518" s="3">
        <f t="shared" si="39"/>
        <v>43747.633961458334</v>
      </c>
    </row>
    <row r="2519" spans="1:10" x14ac:dyDescent="0.25">
      <c r="A2519" s="5" t="s">
        <v>5358</v>
      </c>
      <c r="B2519" s="6">
        <v>390.625</v>
      </c>
      <c r="C2519" s="6">
        <v>20.584240000000001</v>
      </c>
      <c r="D2519" s="6">
        <v>44</v>
      </c>
      <c r="E2519" s="6">
        <v>0</v>
      </c>
      <c r="F2519" s="6">
        <v>0</v>
      </c>
      <c r="G2519" s="6">
        <v>29</v>
      </c>
      <c r="H2519" s="6" t="s">
        <v>5359</v>
      </c>
      <c r="I2519" s="6">
        <v>525.9375</v>
      </c>
      <c r="J2519" s="2">
        <f t="shared" si="39"/>
        <v>43747.634045046296</v>
      </c>
    </row>
    <row r="2520" spans="1:10" x14ac:dyDescent="0.25">
      <c r="A2520" s="7" t="s">
        <v>5360</v>
      </c>
      <c r="B2520" s="8">
        <v>390.625</v>
      </c>
      <c r="C2520" s="8">
        <v>20.584240000000001</v>
      </c>
      <c r="D2520" s="8">
        <v>44</v>
      </c>
      <c r="E2520" s="8">
        <v>0</v>
      </c>
      <c r="F2520" s="8">
        <v>0</v>
      </c>
      <c r="G2520" s="8">
        <v>37</v>
      </c>
      <c r="H2520" s="8" t="s">
        <v>5361</v>
      </c>
      <c r="I2520" s="8">
        <v>525.75</v>
      </c>
      <c r="J2520" s="3">
        <f t="shared" si="39"/>
        <v>43747.634128506943</v>
      </c>
    </row>
    <row r="2521" spans="1:10" x14ac:dyDescent="0.25">
      <c r="A2521" s="5" t="s">
        <v>5362</v>
      </c>
      <c r="B2521" s="6">
        <v>409.375</v>
      </c>
      <c r="C2521" s="6">
        <v>20.584240000000001</v>
      </c>
      <c r="D2521" s="6">
        <v>44</v>
      </c>
      <c r="E2521" s="6">
        <v>0</v>
      </c>
      <c r="F2521" s="6">
        <v>0</v>
      </c>
      <c r="G2521" s="6">
        <v>32</v>
      </c>
      <c r="H2521" s="6" t="s">
        <v>5363</v>
      </c>
      <c r="I2521" s="6">
        <v>531.5625</v>
      </c>
      <c r="J2521" s="2">
        <f t="shared" si="39"/>
        <v>43747.634226689814</v>
      </c>
    </row>
    <row r="2522" spans="1:10" x14ac:dyDescent="0.25">
      <c r="A2522" s="7" t="s">
        <v>5364</v>
      </c>
      <c r="B2522" s="8">
        <v>390.625</v>
      </c>
      <c r="C2522" s="8">
        <v>20.584240000000001</v>
      </c>
      <c r="D2522" s="8">
        <v>43</v>
      </c>
      <c r="E2522" s="8">
        <v>0</v>
      </c>
      <c r="F2522" s="8">
        <v>0</v>
      </c>
      <c r="G2522" s="8">
        <v>31</v>
      </c>
      <c r="H2522" s="8" t="s">
        <v>5365</v>
      </c>
      <c r="I2522" s="8">
        <v>525.9375</v>
      </c>
      <c r="J2522" s="3">
        <f t="shared" si="39"/>
        <v>43747.634307314809</v>
      </c>
    </row>
    <row r="2523" spans="1:10" x14ac:dyDescent="0.25">
      <c r="A2523" s="5" t="s">
        <v>5366</v>
      </c>
      <c r="B2523" s="6">
        <v>390.625</v>
      </c>
      <c r="C2523" s="6">
        <v>20.584240000000001</v>
      </c>
      <c r="D2523" s="6">
        <v>43</v>
      </c>
      <c r="E2523" s="6">
        <v>0</v>
      </c>
      <c r="F2523" s="6">
        <v>0</v>
      </c>
      <c r="G2523" s="6">
        <v>31</v>
      </c>
      <c r="H2523" s="6" t="s">
        <v>5367</v>
      </c>
      <c r="I2523" s="6">
        <v>525.9375</v>
      </c>
      <c r="J2523" s="2">
        <f t="shared" si="39"/>
        <v>43747.634390405095</v>
      </c>
    </row>
    <row r="2524" spans="1:10" x14ac:dyDescent="0.25">
      <c r="A2524" s="7" t="s">
        <v>5368</v>
      </c>
      <c r="B2524" s="8">
        <v>390.625</v>
      </c>
      <c r="C2524" s="8">
        <v>20.584240000000001</v>
      </c>
      <c r="D2524" s="8">
        <v>43</v>
      </c>
      <c r="E2524" s="8">
        <v>0</v>
      </c>
      <c r="F2524" s="8">
        <v>0</v>
      </c>
      <c r="G2524" s="8">
        <v>37</v>
      </c>
      <c r="H2524" s="8" t="s">
        <v>5369</v>
      </c>
      <c r="I2524" s="8">
        <v>525.9375</v>
      </c>
      <c r="J2524" s="3">
        <f t="shared" si="39"/>
        <v>43747.634462407404</v>
      </c>
    </row>
    <row r="2525" spans="1:10" x14ac:dyDescent="0.25">
      <c r="A2525" s="5" t="s">
        <v>5370</v>
      </c>
      <c r="B2525" s="6">
        <v>390.625</v>
      </c>
      <c r="C2525" s="6">
        <v>20.584240000000001</v>
      </c>
      <c r="D2525" s="6">
        <v>44</v>
      </c>
      <c r="E2525" s="6">
        <v>0</v>
      </c>
      <c r="F2525" s="6">
        <v>0</v>
      </c>
      <c r="G2525" s="6">
        <v>36</v>
      </c>
      <c r="H2525" s="6" t="s">
        <v>5371</v>
      </c>
      <c r="I2525" s="6">
        <v>525.9375</v>
      </c>
      <c r="J2525" s="2">
        <f t="shared" si="39"/>
        <v>43747.634545972222</v>
      </c>
    </row>
    <row r="2526" spans="1:10" x14ac:dyDescent="0.25">
      <c r="A2526" s="7" t="s">
        <v>5372</v>
      </c>
      <c r="B2526" s="8">
        <v>390.625</v>
      </c>
      <c r="C2526" s="8">
        <v>20.584240000000001</v>
      </c>
      <c r="D2526" s="8">
        <v>45</v>
      </c>
      <c r="E2526" s="8">
        <v>0</v>
      </c>
      <c r="F2526" s="8">
        <v>0</v>
      </c>
      <c r="G2526" s="8">
        <v>33</v>
      </c>
      <c r="H2526" s="8" t="s">
        <v>5373</v>
      </c>
      <c r="I2526" s="8">
        <v>525.9375</v>
      </c>
      <c r="J2526" s="3">
        <f t="shared" si="39"/>
        <v>43747.634641168981</v>
      </c>
    </row>
    <row r="2527" spans="1:10" x14ac:dyDescent="0.25">
      <c r="A2527" s="5" t="s">
        <v>5374</v>
      </c>
      <c r="B2527" s="6">
        <v>393.75</v>
      </c>
      <c r="C2527" s="6">
        <v>20.584240000000001</v>
      </c>
      <c r="D2527" s="6">
        <v>44</v>
      </c>
      <c r="E2527" s="6">
        <v>0</v>
      </c>
      <c r="F2527" s="6">
        <v>0</v>
      </c>
      <c r="G2527" s="6">
        <v>33</v>
      </c>
      <c r="H2527" s="6" t="s">
        <v>5375</v>
      </c>
      <c r="I2527" s="6">
        <v>526.6875</v>
      </c>
      <c r="J2527" s="2">
        <f t="shared" si="39"/>
        <v>43747.634724722222</v>
      </c>
    </row>
    <row r="2528" spans="1:10" x14ac:dyDescent="0.25">
      <c r="A2528" s="7" t="s">
        <v>5376</v>
      </c>
      <c r="B2528" s="8">
        <v>393.75</v>
      </c>
      <c r="C2528" s="8">
        <v>20.584240000000001</v>
      </c>
      <c r="D2528" s="8">
        <v>45</v>
      </c>
      <c r="E2528" s="8">
        <v>0</v>
      </c>
      <c r="F2528" s="8">
        <v>0</v>
      </c>
      <c r="G2528" s="8">
        <v>31</v>
      </c>
      <c r="H2528" s="8" t="s">
        <v>5377</v>
      </c>
      <c r="I2528" s="8">
        <v>526.6875</v>
      </c>
      <c r="J2528" s="3">
        <f t="shared" si="39"/>
        <v>43747.634808171293</v>
      </c>
    </row>
    <row r="2529" spans="1:10" x14ac:dyDescent="0.25">
      <c r="A2529" s="5" t="s">
        <v>5378</v>
      </c>
      <c r="B2529" s="6">
        <v>393.75</v>
      </c>
      <c r="C2529" s="6">
        <v>20.584240000000001</v>
      </c>
      <c r="D2529" s="6">
        <v>46</v>
      </c>
      <c r="E2529" s="6">
        <v>0</v>
      </c>
      <c r="F2529" s="6">
        <v>0</v>
      </c>
      <c r="G2529" s="6">
        <v>30</v>
      </c>
      <c r="H2529" s="6" t="s">
        <v>5379</v>
      </c>
      <c r="I2529" s="6">
        <v>526.6875</v>
      </c>
      <c r="J2529" s="2">
        <f t="shared" si="39"/>
        <v>43747.634891284724</v>
      </c>
    </row>
    <row r="2530" spans="1:10" x14ac:dyDescent="0.25">
      <c r="A2530" s="7" t="s">
        <v>5380</v>
      </c>
      <c r="B2530" s="8">
        <v>390.625</v>
      </c>
      <c r="C2530" s="8">
        <v>20.584240000000001</v>
      </c>
      <c r="D2530" s="8">
        <v>45</v>
      </c>
      <c r="E2530" s="8">
        <v>0</v>
      </c>
      <c r="F2530" s="8">
        <v>0</v>
      </c>
      <c r="G2530" s="8">
        <v>31</v>
      </c>
      <c r="H2530" s="8" t="s">
        <v>5381</v>
      </c>
      <c r="I2530" s="8">
        <v>525.9375</v>
      </c>
      <c r="J2530" s="3">
        <f t="shared" si="39"/>
        <v>43747.634974849534</v>
      </c>
    </row>
    <row r="2531" spans="1:10" x14ac:dyDescent="0.25">
      <c r="A2531" s="5" t="s">
        <v>5382</v>
      </c>
      <c r="B2531" s="6">
        <v>390.625</v>
      </c>
      <c r="C2531" s="6">
        <v>20.584240000000001</v>
      </c>
      <c r="D2531" s="6">
        <v>45</v>
      </c>
      <c r="E2531" s="6">
        <v>0</v>
      </c>
      <c r="F2531" s="6">
        <v>0</v>
      </c>
      <c r="G2531" s="6">
        <v>35</v>
      </c>
      <c r="H2531" s="6" t="s">
        <v>5383</v>
      </c>
      <c r="I2531" s="6">
        <v>525.9375</v>
      </c>
      <c r="J2531" s="2">
        <f t="shared" si="39"/>
        <v>43747.635046134259</v>
      </c>
    </row>
    <row r="2532" spans="1:10" x14ac:dyDescent="0.25">
      <c r="A2532" s="7" t="s">
        <v>5384</v>
      </c>
      <c r="B2532" s="8">
        <v>390.625</v>
      </c>
      <c r="C2532" s="8">
        <v>20.584240000000001</v>
      </c>
      <c r="D2532" s="8">
        <v>45</v>
      </c>
      <c r="E2532" s="8">
        <v>0</v>
      </c>
      <c r="F2532" s="8">
        <v>0</v>
      </c>
      <c r="G2532" s="8">
        <v>34</v>
      </c>
      <c r="H2532" s="8" t="s">
        <v>5385</v>
      </c>
      <c r="I2532" s="8">
        <v>525.9375</v>
      </c>
      <c r="J2532" s="3">
        <f t="shared" si="39"/>
        <v>43747.635118229162</v>
      </c>
    </row>
    <row r="2533" spans="1:10" x14ac:dyDescent="0.25">
      <c r="A2533" s="5" t="s">
        <v>5386</v>
      </c>
      <c r="B2533" s="6">
        <v>390.625</v>
      </c>
      <c r="C2533" s="6">
        <v>20.531590000000001</v>
      </c>
      <c r="D2533" s="6">
        <v>46</v>
      </c>
      <c r="E2533" s="6">
        <v>0</v>
      </c>
      <c r="F2533" s="6">
        <v>0</v>
      </c>
      <c r="G2533" s="6">
        <v>36</v>
      </c>
      <c r="H2533" s="6" t="s">
        <v>5387</v>
      </c>
      <c r="I2533" s="6">
        <v>525.9375</v>
      </c>
      <c r="J2533" s="2">
        <f t="shared" si="39"/>
        <v>43747.635201689809</v>
      </c>
    </row>
    <row r="2534" spans="1:10" x14ac:dyDescent="0.25">
      <c r="A2534" s="7" t="s">
        <v>5388</v>
      </c>
      <c r="B2534" s="8">
        <v>390.625</v>
      </c>
      <c r="C2534" s="8">
        <v>20.584240000000001</v>
      </c>
      <c r="D2534" s="8">
        <v>46</v>
      </c>
      <c r="E2534" s="8">
        <v>0</v>
      </c>
      <c r="F2534" s="8">
        <v>0</v>
      </c>
      <c r="G2534" s="8">
        <v>27</v>
      </c>
      <c r="H2534" s="8" t="s">
        <v>5389</v>
      </c>
      <c r="I2534" s="8">
        <v>525.75</v>
      </c>
      <c r="J2534" s="3">
        <f t="shared" si="39"/>
        <v>43747.635273113425</v>
      </c>
    </row>
    <row r="2535" spans="1:10" x14ac:dyDescent="0.25">
      <c r="A2535" s="5" t="s">
        <v>5390</v>
      </c>
      <c r="B2535" s="6">
        <v>390.625</v>
      </c>
      <c r="C2535" s="6">
        <v>20.584240000000001</v>
      </c>
      <c r="D2535" s="6">
        <v>45</v>
      </c>
      <c r="E2535" s="6">
        <v>0</v>
      </c>
      <c r="F2535" s="6">
        <v>0</v>
      </c>
      <c r="G2535" s="6">
        <v>30</v>
      </c>
      <c r="H2535" s="6" t="s">
        <v>5391</v>
      </c>
      <c r="I2535" s="6">
        <v>525.75</v>
      </c>
      <c r="J2535" s="2">
        <f t="shared" si="39"/>
        <v>43747.635356319443</v>
      </c>
    </row>
    <row r="2536" spans="1:10" x14ac:dyDescent="0.25">
      <c r="A2536" s="7" t="s">
        <v>5392</v>
      </c>
      <c r="B2536" s="8">
        <v>390.625</v>
      </c>
      <c r="C2536" s="8">
        <v>20.584240000000001</v>
      </c>
      <c r="D2536" s="8">
        <v>45</v>
      </c>
      <c r="E2536" s="8">
        <v>0</v>
      </c>
      <c r="F2536" s="8">
        <v>0</v>
      </c>
      <c r="G2536" s="8">
        <v>31</v>
      </c>
      <c r="H2536" s="8" t="s">
        <v>5393</v>
      </c>
      <c r="I2536" s="8">
        <v>525.9375</v>
      </c>
      <c r="J2536" s="3">
        <f t="shared" si="39"/>
        <v>43747.635428194444</v>
      </c>
    </row>
    <row r="2537" spans="1:10" x14ac:dyDescent="0.25">
      <c r="A2537" s="5" t="s">
        <v>5394</v>
      </c>
      <c r="B2537" s="6">
        <v>393.75</v>
      </c>
      <c r="C2537" s="6">
        <v>20.584240000000001</v>
      </c>
      <c r="D2537" s="6">
        <v>45</v>
      </c>
      <c r="E2537" s="6">
        <v>0</v>
      </c>
      <c r="F2537" s="6">
        <v>0</v>
      </c>
      <c r="G2537" s="6">
        <v>39</v>
      </c>
      <c r="H2537" s="6" t="s">
        <v>5395</v>
      </c>
      <c r="I2537" s="6">
        <v>526.6875</v>
      </c>
      <c r="J2537" s="2">
        <f t="shared" si="39"/>
        <v>43747.635511643515</v>
      </c>
    </row>
    <row r="2538" spans="1:10" x14ac:dyDescent="0.25">
      <c r="A2538" s="7" t="s">
        <v>5396</v>
      </c>
      <c r="B2538" s="8">
        <v>393.75</v>
      </c>
      <c r="C2538" s="8">
        <v>20.531590000000001</v>
      </c>
      <c r="D2538" s="8">
        <v>44</v>
      </c>
      <c r="E2538" s="8">
        <v>0</v>
      </c>
      <c r="F2538" s="8">
        <v>0</v>
      </c>
      <c r="G2538" s="8">
        <v>33</v>
      </c>
      <c r="H2538" s="8" t="s">
        <v>5397</v>
      </c>
      <c r="I2538" s="8">
        <v>526.6875</v>
      </c>
      <c r="J2538" s="3">
        <f t="shared" si="39"/>
        <v>43747.635611469908</v>
      </c>
    </row>
    <row r="2539" spans="1:10" x14ac:dyDescent="0.25">
      <c r="A2539" s="5" t="s">
        <v>5398</v>
      </c>
      <c r="B2539" s="6">
        <v>390.625</v>
      </c>
      <c r="C2539" s="6">
        <v>20.584240000000001</v>
      </c>
      <c r="D2539" s="6">
        <v>42</v>
      </c>
      <c r="E2539" s="6">
        <v>0</v>
      </c>
      <c r="F2539" s="6">
        <v>0</v>
      </c>
      <c r="G2539" s="6">
        <v>30</v>
      </c>
      <c r="H2539" s="6" t="s">
        <v>5399</v>
      </c>
      <c r="I2539" s="6">
        <v>525.9375</v>
      </c>
      <c r="J2539" s="2">
        <f t="shared" si="39"/>
        <v>43747.635690694442</v>
      </c>
    </row>
    <row r="2540" spans="1:10" x14ac:dyDescent="0.25">
      <c r="A2540" s="7" t="s">
        <v>5400</v>
      </c>
      <c r="B2540" s="8">
        <v>390.625</v>
      </c>
      <c r="C2540" s="8">
        <v>20.584240000000001</v>
      </c>
      <c r="D2540" s="8">
        <v>43</v>
      </c>
      <c r="E2540" s="8">
        <v>0</v>
      </c>
      <c r="F2540" s="8">
        <v>0</v>
      </c>
      <c r="G2540" s="8">
        <v>28</v>
      </c>
      <c r="H2540" s="8" t="s">
        <v>5401</v>
      </c>
      <c r="I2540" s="8">
        <v>525.9375</v>
      </c>
      <c r="J2540" s="3">
        <f t="shared" si="39"/>
        <v>43747.635774027774</v>
      </c>
    </row>
    <row r="2541" spans="1:10" x14ac:dyDescent="0.25">
      <c r="A2541" s="5" t="s">
        <v>5402</v>
      </c>
      <c r="B2541" s="6">
        <v>390.625</v>
      </c>
      <c r="C2541" s="6">
        <v>20.584240000000001</v>
      </c>
      <c r="D2541" s="6">
        <v>43</v>
      </c>
      <c r="E2541" s="6">
        <v>0</v>
      </c>
      <c r="F2541" s="6">
        <v>0</v>
      </c>
      <c r="G2541" s="6">
        <v>33</v>
      </c>
      <c r="H2541" s="6" t="s">
        <v>5403</v>
      </c>
      <c r="I2541" s="6">
        <v>525.9375</v>
      </c>
      <c r="J2541" s="2">
        <f t="shared" si="39"/>
        <v>43747.635857488429</v>
      </c>
    </row>
    <row r="2542" spans="1:10" x14ac:dyDescent="0.25">
      <c r="A2542" s="7" t="s">
        <v>5404</v>
      </c>
      <c r="B2542" s="8">
        <v>390.625</v>
      </c>
      <c r="C2542" s="8">
        <v>20.531590000000001</v>
      </c>
      <c r="D2542" s="8">
        <v>46</v>
      </c>
      <c r="E2542" s="8">
        <v>0</v>
      </c>
      <c r="F2542" s="8">
        <v>0</v>
      </c>
      <c r="G2542" s="8">
        <v>25</v>
      </c>
      <c r="H2542" s="8" t="s">
        <v>5405</v>
      </c>
      <c r="I2542" s="8">
        <v>525.9375</v>
      </c>
      <c r="J2542" s="3">
        <f t="shared" si="39"/>
        <v>43747.635940925924</v>
      </c>
    </row>
    <row r="2543" spans="1:10" x14ac:dyDescent="0.25">
      <c r="A2543" s="5" t="s">
        <v>5406</v>
      </c>
      <c r="B2543" s="6">
        <v>393.75</v>
      </c>
      <c r="C2543" s="6">
        <v>20.584240000000001</v>
      </c>
      <c r="D2543" s="6">
        <v>46</v>
      </c>
      <c r="E2543" s="6">
        <v>0</v>
      </c>
      <c r="F2543" s="6">
        <v>0</v>
      </c>
      <c r="G2543" s="6">
        <v>32</v>
      </c>
      <c r="H2543" s="6" t="s">
        <v>5407</v>
      </c>
      <c r="I2543" s="6">
        <v>526.6875</v>
      </c>
      <c r="J2543" s="2">
        <f t="shared" si="39"/>
        <v>43747.636024502317</v>
      </c>
    </row>
    <row r="2544" spans="1:10" x14ac:dyDescent="0.25">
      <c r="A2544" s="7" t="s">
        <v>5408</v>
      </c>
      <c r="B2544" s="8">
        <v>390.625</v>
      </c>
      <c r="C2544" s="8">
        <v>20.584240000000001</v>
      </c>
      <c r="D2544" s="8">
        <v>45</v>
      </c>
      <c r="E2544" s="8">
        <v>0</v>
      </c>
      <c r="F2544" s="8">
        <v>0</v>
      </c>
      <c r="G2544" s="8">
        <v>27</v>
      </c>
      <c r="H2544" s="8" t="s">
        <v>5409</v>
      </c>
      <c r="I2544" s="8">
        <v>525.9375</v>
      </c>
      <c r="J2544" s="3">
        <f t="shared" si="39"/>
        <v>43747.63611266204</v>
      </c>
    </row>
    <row r="2545" spans="1:10" x14ac:dyDescent="0.25">
      <c r="A2545" s="5" t="s">
        <v>5410</v>
      </c>
      <c r="B2545" s="6">
        <v>390.625</v>
      </c>
      <c r="C2545" s="6">
        <v>20.531590000000001</v>
      </c>
      <c r="D2545" s="6">
        <v>46</v>
      </c>
      <c r="E2545" s="6">
        <v>0</v>
      </c>
      <c r="F2545" s="6">
        <v>0</v>
      </c>
      <c r="G2545" s="6">
        <v>28</v>
      </c>
      <c r="H2545" s="6" t="s">
        <v>5411</v>
      </c>
      <c r="I2545" s="6">
        <v>525.9375</v>
      </c>
      <c r="J2545" s="2">
        <f t="shared" si="39"/>
        <v>43747.63619138889</v>
      </c>
    </row>
    <row r="2546" spans="1:10" x14ac:dyDescent="0.25">
      <c r="A2546" s="7" t="s">
        <v>5412</v>
      </c>
      <c r="B2546" s="8">
        <v>390.625</v>
      </c>
      <c r="C2546" s="8">
        <v>20.584240000000001</v>
      </c>
      <c r="D2546" s="8">
        <v>46</v>
      </c>
      <c r="E2546" s="8">
        <v>0</v>
      </c>
      <c r="F2546" s="8">
        <v>0</v>
      </c>
      <c r="G2546" s="8">
        <v>28</v>
      </c>
      <c r="H2546" s="8" t="s">
        <v>5413</v>
      </c>
      <c r="I2546" s="8">
        <v>525.9375</v>
      </c>
      <c r="J2546" s="3">
        <f t="shared" si="39"/>
        <v>43747.6362749537</v>
      </c>
    </row>
    <row r="2547" spans="1:10" x14ac:dyDescent="0.25">
      <c r="A2547" s="5" t="s">
        <v>5414</v>
      </c>
      <c r="B2547" s="6">
        <v>390.625</v>
      </c>
      <c r="C2547" s="6">
        <v>20.584240000000001</v>
      </c>
      <c r="D2547" s="6">
        <v>45</v>
      </c>
      <c r="E2547" s="6">
        <v>0</v>
      </c>
      <c r="F2547" s="6">
        <v>0</v>
      </c>
      <c r="G2547" s="6">
        <v>36</v>
      </c>
      <c r="H2547" s="6" t="s">
        <v>5415</v>
      </c>
      <c r="I2547" s="6">
        <v>525.75</v>
      </c>
      <c r="J2547" s="2">
        <f t="shared" si="39"/>
        <v>43747.636358414347</v>
      </c>
    </row>
    <row r="2548" spans="1:10" x14ac:dyDescent="0.25">
      <c r="A2548" s="7" t="s">
        <v>5416</v>
      </c>
      <c r="B2548" s="8">
        <v>390.625</v>
      </c>
      <c r="C2548" s="8">
        <v>20.584240000000001</v>
      </c>
      <c r="D2548" s="8">
        <v>43</v>
      </c>
      <c r="E2548" s="8">
        <v>0</v>
      </c>
      <c r="F2548" s="8">
        <v>0</v>
      </c>
      <c r="G2548" s="8">
        <v>27</v>
      </c>
      <c r="H2548" s="8" t="s">
        <v>5417</v>
      </c>
      <c r="I2548" s="8">
        <v>525.9375</v>
      </c>
      <c r="J2548" s="3">
        <f t="shared" si="39"/>
        <v>43747.636441516202</v>
      </c>
    </row>
    <row r="2549" spans="1:10" x14ac:dyDescent="0.25">
      <c r="A2549" s="5" t="s">
        <v>5418</v>
      </c>
      <c r="B2549" s="6">
        <v>390.625</v>
      </c>
      <c r="C2549" s="6">
        <v>20.584240000000001</v>
      </c>
      <c r="D2549" s="6">
        <v>43</v>
      </c>
      <c r="E2549" s="6">
        <v>0</v>
      </c>
      <c r="F2549" s="6">
        <v>0</v>
      </c>
      <c r="G2549" s="6">
        <v>38</v>
      </c>
      <c r="H2549" s="6" t="s">
        <v>5419</v>
      </c>
      <c r="I2549" s="6">
        <v>525.9375</v>
      </c>
      <c r="J2549" s="2">
        <f t="shared" si="39"/>
        <v>43747.636513159719</v>
      </c>
    </row>
    <row r="2550" spans="1:10" x14ac:dyDescent="0.25">
      <c r="A2550" s="7" t="s">
        <v>5420</v>
      </c>
      <c r="B2550" s="8">
        <v>390.625</v>
      </c>
      <c r="C2550" s="8">
        <v>20.584240000000001</v>
      </c>
      <c r="D2550" s="8">
        <v>44</v>
      </c>
      <c r="E2550" s="8">
        <v>0</v>
      </c>
      <c r="F2550" s="8">
        <v>0</v>
      </c>
      <c r="G2550" s="8">
        <v>37</v>
      </c>
      <c r="H2550" s="8" t="s">
        <v>5421</v>
      </c>
      <c r="I2550" s="8">
        <v>525.9375</v>
      </c>
      <c r="J2550" s="3">
        <f t="shared" si="39"/>
        <v>43747.636597048608</v>
      </c>
    </row>
    <row r="2551" spans="1:10" x14ac:dyDescent="0.25">
      <c r="A2551" s="5" t="s">
        <v>5422</v>
      </c>
      <c r="B2551" s="6">
        <v>390.625</v>
      </c>
      <c r="C2551" s="6">
        <v>20.531590000000001</v>
      </c>
      <c r="D2551" s="6">
        <v>44</v>
      </c>
      <c r="E2551" s="6">
        <v>0</v>
      </c>
      <c r="F2551" s="6">
        <v>0</v>
      </c>
      <c r="G2551" s="6">
        <v>33</v>
      </c>
      <c r="H2551" s="6" t="s">
        <v>5423</v>
      </c>
      <c r="I2551" s="6">
        <v>525.9375</v>
      </c>
      <c r="J2551" s="2">
        <f t="shared" si="39"/>
        <v>43747.636689837957</v>
      </c>
    </row>
    <row r="2552" spans="1:10" x14ac:dyDescent="0.25">
      <c r="A2552" s="7" t="s">
        <v>5424</v>
      </c>
      <c r="B2552" s="8">
        <v>409.375</v>
      </c>
      <c r="C2552" s="8">
        <v>20.584240000000001</v>
      </c>
      <c r="D2552" s="8">
        <v>46</v>
      </c>
      <c r="E2552" s="8">
        <v>0</v>
      </c>
      <c r="F2552" s="8">
        <v>0</v>
      </c>
      <c r="G2552" s="8">
        <v>42</v>
      </c>
      <c r="H2552" s="8" t="s">
        <v>5425</v>
      </c>
      <c r="I2552" s="8">
        <v>531.375</v>
      </c>
      <c r="J2552" s="3">
        <f t="shared" si="39"/>
        <v>43747.63676371528</v>
      </c>
    </row>
    <row r="2553" spans="1:10" x14ac:dyDescent="0.25">
      <c r="A2553" s="5" t="s">
        <v>5426</v>
      </c>
      <c r="B2553" s="6">
        <v>390.625</v>
      </c>
      <c r="C2553" s="6">
        <v>20.584240000000001</v>
      </c>
      <c r="D2553" s="6">
        <v>46</v>
      </c>
      <c r="E2553" s="6">
        <v>0</v>
      </c>
      <c r="F2553" s="6">
        <v>0</v>
      </c>
      <c r="G2553" s="6">
        <v>34</v>
      </c>
      <c r="H2553" s="6" t="s">
        <v>5427</v>
      </c>
      <c r="I2553" s="6">
        <v>525.9375</v>
      </c>
      <c r="J2553" s="2">
        <f t="shared" si="39"/>
        <v>43747.636847951384</v>
      </c>
    </row>
    <row r="2554" spans="1:10" x14ac:dyDescent="0.25">
      <c r="A2554" s="7" t="s">
        <v>5428</v>
      </c>
      <c r="B2554" s="8">
        <v>390.625</v>
      </c>
      <c r="C2554" s="8">
        <v>20.584240000000001</v>
      </c>
      <c r="D2554" s="8">
        <v>46</v>
      </c>
      <c r="E2554" s="8">
        <v>0</v>
      </c>
      <c r="F2554" s="8">
        <v>0</v>
      </c>
      <c r="G2554" s="8">
        <v>26</v>
      </c>
      <c r="H2554" s="8" t="s">
        <v>5429</v>
      </c>
      <c r="I2554" s="8">
        <v>525.9375</v>
      </c>
      <c r="J2554" s="3">
        <f t="shared" si="39"/>
        <v>43747.636919004632</v>
      </c>
    </row>
    <row r="2555" spans="1:10" x14ac:dyDescent="0.25">
      <c r="A2555" s="5" t="s">
        <v>5430</v>
      </c>
      <c r="B2555" s="6">
        <v>415.625</v>
      </c>
      <c r="C2555" s="6">
        <v>20.531590000000001</v>
      </c>
      <c r="D2555" s="6">
        <v>45</v>
      </c>
      <c r="E2555" s="6">
        <v>0</v>
      </c>
      <c r="F2555" s="6">
        <v>0</v>
      </c>
      <c r="G2555" s="6">
        <v>31</v>
      </c>
      <c r="H2555" s="6" t="s">
        <v>5431</v>
      </c>
      <c r="I2555" s="6">
        <v>533.625</v>
      </c>
      <c r="J2555" s="2">
        <f t="shared" si="39"/>
        <v>43747.636990416664</v>
      </c>
    </row>
    <row r="2556" spans="1:10" x14ac:dyDescent="0.25">
      <c r="A2556" s="7" t="s">
        <v>5432</v>
      </c>
      <c r="B2556" s="8">
        <v>390.625</v>
      </c>
      <c r="C2556" s="8">
        <v>20.584240000000001</v>
      </c>
      <c r="D2556" s="8">
        <v>45</v>
      </c>
      <c r="E2556" s="8">
        <v>0</v>
      </c>
      <c r="F2556" s="8">
        <v>0</v>
      </c>
      <c r="G2556" s="8">
        <v>39</v>
      </c>
      <c r="H2556" s="8" t="s">
        <v>5433</v>
      </c>
      <c r="I2556" s="8">
        <v>525.75</v>
      </c>
      <c r="J2556" s="3">
        <f t="shared" si="39"/>
        <v>43747.637062164351</v>
      </c>
    </row>
    <row r="2557" spans="1:10" x14ac:dyDescent="0.25">
      <c r="A2557" s="5" t="s">
        <v>5434</v>
      </c>
      <c r="B2557" s="6">
        <v>390.625</v>
      </c>
      <c r="C2557" s="6">
        <v>20.531590000000001</v>
      </c>
      <c r="D2557" s="6">
        <v>46</v>
      </c>
      <c r="E2557" s="6">
        <v>0</v>
      </c>
      <c r="F2557" s="6">
        <v>0</v>
      </c>
      <c r="G2557" s="6">
        <v>32</v>
      </c>
      <c r="H2557" s="6" t="s">
        <v>5435</v>
      </c>
      <c r="I2557" s="6">
        <v>525.9375</v>
      </c>
      <c r="J2557" s="2">
        <f t="shared" si="39"/>
        <v>43747.637133645832</v>
      </c>
    </row>
    <row r="2558" spans="1:10" x14ac:dyDescent="0.25">
      <c r="A2558" s="7" t="s">
        <v>5436</v>
      </c>
      <c r="B2558" s="8">
        <v>390.625</v>
      </c>
      <c r="C2558" s="8">
        <v>20.531590000000001</v>
      </c>
      <c r="D2558" s="8">
        <v>45</v>
      </c>
      <c r="E2558" s="8">
        <v>0</v>
      </c>
      <c r="F2558" s="8">
        <v>0</v>
      </c>
      <c r="G2558" s="8">
        <v>38</v>
      </c>
      <c r="H2558" s="8" t="s">
        <v>5437</v>
      </c>
      <c r="I2558" s="8">
        <v>525.9375</v>
      </c>
      <c r="J2558" s="3">
        <f t="shared" si="39"/>
        <v>43747.637205289349</v>
      </c>
    </row>
    <row r="2559" spans="1:10" x14ac:dyDescent="0.25">
      <c r="A2559" s="5" t="s">
        <v>5438</v>
      </c>
      <c r="B2559" s="6">
        <v>390.625</v>
      </c>
      <c r="C2559" s="6">
        <v>20.584240000000001</v>
      </c>
      <c r="D2559" s="6">
        <v>46</v>
      </c>
      <c r="E2559" s="6">
        <v>0</v>
      </c>
      <c r="F2559" s="6">
        <v>0</v>
      </c>
      <c r="G2559" s="6">
        <v>34</v>
      </c>
      <c r="H2559" s="6" t="s">
        <v>5439</v>
      </c>
      <c r="I2559" s="6">
        <v>525.9375</v>
      </c>
      <c r="J2559" s="2">
        <f t="shared" si="39"/>
        <v>43747.637300729162</v>
      </c>
    </row>
    <row r="2560" spans="1:10" x14ac:dyDescent="0.25">
      <c r="A2560" s="7" t="s">
        <v>5440</v>
      </c>
      <c r="B2560" s="8">
        <v>390.625</v>
      </c>
      <c r="C2560" s="8">
        <v>20.584240000000001</v>
      </c>
      <c r="D2560" s="8">
        <v>45</v>
      </c>
      <c r="E2560" s="8">
        <v>0</v>
      </c>
      <c r="F2560" s="8">
        <v>0</v>
      </c>
      <c r="G2560" s="8">
        <v>39</v>
      </c>
      <c r="H2560" s="8" t="s">
        <v>5441</v>
      </c>
      <c r="I2560" s="8">
        <v>525.75</v>
      </c>
      <c r="J2560" s="3">
        <f t="shared" si="39"/>
        <v>43747.637372094905</v>
      </c>
    </row>
    <row r="2561" spans="1:10" x14ac:dyDescent="0.25">
      <c r="A2561" s="5" t="s">
        <v>5442</v>
      </c>
      <c r="B2561" s="6">
        <v>390.625</v>
      </c>
      <c r="C2561" s="6">
        <v>20.584240000000001</v>
      </c>
      <c r="D2561" s="6">
        <v>45</v>
      </c>
      <c r="E2561" s="6">
        <v>0</v>
      </c>
      <c r="F2561" s="6">
        <v>0</v>
      </c>
      <c r="G2561" s="6">
        <v>37</v>
      </c>
      <c r="H2561" s="6" t="s">
        <v>5443</v>
      </c>
      <c r="I2561" s="6">
        <v>525.75</v>
      </c>
      <c r="J2561" s="2">
        <f t="shared" si="39"/>
        <v>43747.637443310181</v>
      </c>
    </row>
    <row r="2562" spans="1:10" x14ac:dyDescent="0.25">
      <c r="A2562" s="7" t="s">
        <v>5444</v>
      </c>
      <c r="B2562" s="8">
        <v>409.375</v>
      </c>
      <c r="C2562" s="8">
        <v>20.531590000000001</v>
      </c>
      <c r="D2562" s="8">
        <v>45</v>
      </c>
      <c r="E2562" s="8">
        <v>0</v>
      </c>
      <c r="F2562" s="8">
        <v>0</v>
      </c>
      <c r="G2562" s="8">
        <v>36</v>
      </c>
      <c r="H2562" s="8" t="s">
        <v>5445</v>
      </c>
      <c r="I2562" s="8">
        <v>531.5625</v>
      </c>
      <c r="J2562" s="3">
        <f t="shared" ref="J2562:J2625" si="40">(H2562/86400000)+25569+(7/24)</f>
        <v>43747.637528865736</v>
      </c>
    </row>
    <row r="2563" spans="1:10" x14ac:dyDescent="0.25">
      <c r="A2563" s="5" t="s">
        <v>5446</v>
      </c>
      <c r="B2563" s="6">
        <v>390.625</v>
      </c>
      <c r="C2563" s="6">
        <v>20.531590000000001</v>
      </c>
      <c r="D2563" s="6">
        <v>45</v>
      </c>
      <c r="E2563" s="6">
        <v>0</v>
      </c>
      <c r="F2563" s="6">
        <v>0</v>
      </c>
      <c r="G2563" s="6">
        <v>30</v>
      </c>
      <c r="H2563" s="6" t="s">
        <v>5447</v>
      </c>
      <c r="I2563" s="6">
        <v>525.9375</v>
      </c>
      <c r="J2563" s="2">
        <f t="shared" si="40"/>
        <v>43747.637610543978</v>
      </c>
    </row>
    <row r="2564" spans="1:10" x14ac:dyDescent="0.25">
      <c r="A2564" s="7" t="s">
        <v>5448</v>
      </c>
      <c r="B2564" s="8">
        <v>390.625</v>
      </c>
      <c r="C2564" s="8">
        <v>20.584240000000001</v>
      </c>
      <c r="D2564" s="8">
        <v>45</v>
      </c>
      <c r="E2564" s="8">
        <v>0</v>
      </c>
      <c r="F2564" s="8">
        <v>0</v>
      </c>
      <c r="G2564" s="8">
        <v>34</v>
      </c>
      <c r="H2564" s="8" t="s">
        <v>5449</v>
      </c>
      <c r="I2564" s="8">
        <v>525.9375</v>
      </c>
      <c r="J2564" s="3">
        <f t="shared" si="40"/>
        <v>43747.637694097219</v>
      </c>
    </row>
    <row r="2565" spans="1:10" x14ac:dyDescent="0.25">
      <c r="A2565" s="5" t="s">
        <v>5450</v>
      </c>
      <c r="B2565" s="6">
        <v>390.625</v>
      </c>
      <c r="C2565" s="6">
        <v>20.531590000000001</v>
      </c>
      <c r="D2565" s="6">
        <v>45</v>
      </c>
      <c r="E2565" s="6">
        <v>0</v>
      </c>
      <c r="F2565" s="6">
        <v>0</v>
      </c>
      <c r="G2565" s="6">
        <v>38</v>
      </c>
      <c r="H2565" s="6" t="s">
        <v>5451</v>
      </c>
      <c r="I2565" s="6">
        <v>525.75</v>
      </c>
      <c r="J2565" s="2">
        <f t="shared" si="40"/>
        <v>43747.637777430551</v>
      </c>
    </row>
    <row r="2566" spans="1:10" x14ac:dyDescent="0.25">
      <c r="A2566" s="7" t="s">
        <v>5452</v>
      </c>
      <c r="B2566" s="8">
        <v>390.625</v>
      </c>
      <c r="C2566" s="8">
        <v>20.584240000000001</v>
      </c>
      <c r="D2566" s="8">
        <v>45</v>
      </c>
      <c r="E2566" s="8">
        <v>0</v>
      </c>
      <c r="F2566" s="8">
        <v>0</v>
      </c>
      <c r="G2566" s="8">
        <v>38</v>
      </c>
      <c r="H2566" s="8" t="s">
        <v>5453</v>
      </c>
      <c r="I2566" s="8">
        <v>525.9375</v>
      </c>
      <c r="J2566" s="3">
        <f t="shared" si="40"/>
        <v>43747.637861006944</v>
      </c>
    </row>
    <row r="2567" spans="1:10" x14ac:dyDescent="0.25">
      <c r="A2567" s="5" t="s">
        <v>5454</v>
      </c>
      <c r="B2567" s="6">
        <v>390.625</v>
      </c>
      <c r="C2567" s="6">
        <v>20.584240000000001</v>
      </c>
      <c r="D2567" s="6">
        <v>45</v>
      </c>
      <c r="E2567" s="6">
        <v>0</v>
      </c>
      <c r="F2567" s="6">
        <v>0</v>
      </c>
      <c r="G2567" s="6">
        <v>35</v>
      </c>
      <c r="H2567" s="6" t="s">
        <v>5455</v>
      </c>
      <c r="I2567" s="6">
        <v>525.9375</v>
      </c>
      <c r="J2567" s="2">
        <f t="shared" si="40"/>
        <v>43747.637944467591</v>
      </c>
    </row>
    <row r="2568" spans="1:10" x14ac:dyDescent="0.25">
      <c r="A2568" s="7" t="s">
        <v>5456</v>
      </c>
      <c r="B2568" s="8">
        <v>390.625</v>
      </c>
      <c r="C2568" s="8">
        <v>20.584240000000001</v>
      </c>
      <c r="D2568" s="8">
        <v>46</v>
      </c>
      <c r="E2568" s="8">
        <v>0</v>
      </c>
      <c r="F2568" s="8">
        <v>0</v>
      </c>
      <c r="G2568" s="8">
        <v>34</v>
      </c>
      <c r="H2568" s="8" t="s">
        <v>5457</v>
      </c>
      <c r="I2568" s="8">
        <v>525.9375</v>
      </c>
      <c r="J2568" s="3">
        <f t="shared" si="40"/>
        <v>43747.638027905086</v>
      </c>
    </row>
    <row r="2569" spans="1:10" x14ac:dyDescent="0.25">
      <c r="A2569" s="5" t="s">
        <v>5458</v>
      </c>
      <c r="B2569" s="6">
        <v>390.625</v>
      </c>
      <c r="C2569" s="6">
        <v>20.584240000000001</v>
      </c>
      <c r="D2569" s="6">
        <v>46</v>
      </c>
      <c r="E2569" s="6">
        <v>0</v>
      </c>
      <c r="F2569" s="6">
        <v>0</v>
      </c>
      <c r="G2569" s="6">
        <v>44</v>
      </c>
      <c r="H2569" s="6" t="s">
        <v>5459</v>
      </c>
      <c r="I2569" s="6">
        <v>525.75</v>
      </c>
      <c r="J2569" s="2">
        <f t="shared" si="40"/>
        <v>43747.638111342589</v>
      </c>
    </row>
    <row r="2570" spans="1:10" x14ac:dyDescent="0.25">
      <c r="A2570" s="7" t="s">
        <v>5460</v>
      </c>
      <c r="B2570" s="8">
        <v>390.625</v>
      </c>
      <c r="C2570" s="8">
        <v>20.584240000000001</v>
      </c>
      <c r="D2570" s="8">
        <v>46</v>
      </c>
      <c r="E2570" s="8">
        <v>0</v>
      </c>
      <c r="F2570" s="8">
        <v>0</v>
      </c>
      <c r="G2570" s="8">
        <v>45</v>
      </c>
      <c r="H2570" s="8" t="s">
        <v>5461</v>
      </c>
      <c r="I2570" s="8">
        <v>525.75</v>
      </c>
      <c r="J2570" s="3">
        <f t="shared" si="40"/>
        <v>43747.638194907406</v>
      </c>
    </row>
    <row r="2571" spans="1:10" x14ac:dyDescent="0.25">
      <c r="A2571" s="5" t="s">
        <v>5462</v>
      </c>
      <c r="B2571" s="6">
        <v>428.125</v>
      </c>
      <c r="C2571" s="6">
        <v>20.531590000000001</v>
      </c>
      <c r="D2571" s="6">
        <v>46</v>
      </c>
      <c r="E2571" s="6">
        <v>0</v>
      </c>
      <c r="F2571" s="6">
        <v>0</v>
      </c>
      <c r="G2571" s="6">
        <v>44</v>
      </c>
      <c r="H2571" s="6" t="s">
        <v>5463</v>
      </c>
      <c r="I2571" s="6">
        <v>537.9375</v>
      </c>
      <c r="J2571" s="2">
        <f t="shared" si="40"/>
        <v>43747.638278506944</v>
      </c>
    </row>
    <row r="2572" spans="1:10" x14ac:dyDescent="0.25">
      <c r="A2572" s="7" t="s">
        <v>5464</v>
      </c>
      <c r="B2572" s="8">
        <v>390.625</v>
      </c>
      <c r="C2572" s="8">
        <v>20.584240000000001</v>
      </c>
      <c r="D2572" s="8">
        <v>45</v>
      </c>
      <c r="E2572" s="8">
        <v>0</v>
      </c>
      <c r="F2572" s="8">
        <v>0</v>
      </c>
      <c r="G2572" s="8">
        <v>35</v>
      </c>
      <c r="H2572" s="8" t="s">
        <v>5465</v>
      </c>
      <c r="I2572" s="8">
        <v>525.9375</v>
      </c>
      <c r="J2572" s="3">
        <f t="shared" si="40"/>
        <v>43747.6383618287</v>
      </c>
    </row>
    <row r="2573" spans="1:10" x14ac:dyDescent="0.25">
      <c r="A2573" s="5" t="s">
        <v>5466</v>
      </c>
      <c r="B2573" s="6">
        <v>390.625</v>
      </c>
      <c r="C2573" s="6">
        <v>20.584240000000001</v>
      </c>
      <c r="D2573" s="6">
        <v>42</v>
      </c>
      <c r="E2573" s="6">
        <v>0</v>
      </c>
      <c r="F2573" s="6">
        <v>0</v>
      </c>
      <c r="G2573" s="6">
        <v>40</v>
      </c>
      <c r="H2573" s="6" t="s">
        <v>5467</v>
      </c>
      <c r="I2573" s="6">
        <v>525.9375</v>
      </c>
      <c r="J2573" s="2">
        <f t="shared" si="40"/>
        <v>43747.638445150464</v>
      </c>
    </row>
    <row r="2574" spans="1:10" x14ac:dyDescent="0.25">
      <c r="A2574" s="7" t="s">
        <v>5468</v>
      </c>
      <c r="B2574" s="8">
        <v>390.625</v>
      </c>
      <c r="C2574" s="8">
        <v>20.531590000000001</v>
      </c>
      <c r="D2574" s="8">
        <v>42</v>
      </c>
      <c r="E2574" s="8">
        <v>0</v>
      </c>
      <c r="F2574" s="8">
        <v>0</v>
      </c>
      <c r="G2574" s="8">
        <v>40</v>
      </c>
      <c r="H2574" s="8" t="s">
        <v>5469</v>
      </c>
      <c r="I2574" s="8">
        <v>525.75</v>
      </c>
      <c r="J2574" s="3">
        <f t="shared" si="40"/>
        <v>43747.638516782405</v>
      </c>
    </row>
    <row r="2575" spans="1:10" x14ac:dyDescent="0.25">
      <c r="A2575" s="5" t="s">
        <v>5470</v>
      </c>
      <c r="B2575" s="6">
        <v>390.625</v>
      </c>
      <c r="C2575" s="6">
        <v>20.584240000000001</v>
      </c>
      <c r="D2575" s="6">
        <v>46</v>
      </c>
      <c r="E2575" s="6">
        <v>0</v>
      </c>
      <c r="F2575" s="6">
        <v>0</v>
      </c>
      <c r="G2575" s="6">
        <v>44</v>
      </c>
      <c r="H2575" s="6" t="s">
        <v>5471</v>
      </c>
      <c r="I2575" s="6">
        <v>525.75</v>
      </c>
      <c r="J2575" s="2">
        <f t="shared" si="40"/>
        <v>43747.638600335646</v>
      </c>
    </row>
    <row r="2576" spans="1:10" x14ac:dyDescent="0.25">
      <c r="A2576" s="7" t="s">
        <v>5472</v>
      </c>
      <c r="B2576" s="8">
        <v>390.625</v>
      </c>
      <c r="C2576" s="8">
        <v>20.584240000000001</v>
      </c>
      <c r="D2576" s="8">
        <v>46</v>
      </c>
      <c r="E2576" s="8">
        <v>0</v>
      </c>
      <c r="F2576" s="8">
        <v>0</v>
      </c>
      <c r="G2576" s="8">
        <v>42</v>
      </c>
      <c r="H2576" s="8" t="s">
        <v>5473</v>
      </c>
      <c r="I2576" s="8">
        <v>525.75</v>
      </c>
      <c r="J2576" s="3">
        <f t="shared" si="40"/>
        <v>43747.638684050922</v>
      </c>
    </row>
    <row r="2577" spans="1:10" x14ac:dyDescent="0.25">
      <c r="A2577" s="5" t="s">
        <v>5474</v>
      </c>
      <c r="B2577" s="6">
        <v>390.625</v>
      </c>
      <c r="C2577" s="6">
        <v>20.584240000000001</v>
      </c>
      <c r="D2577" s="6">
        <v>48</v>
      </c>
      <c r="E2577" s="6">
        <v>0</v>
      </c>
      <c r="F2577" s="6">
        <v>0</v>
      </c>
      <c r="G2577" s="6">
        <v>41</v>
      </c>
      <c r="H2577" s="6" t="s">
        <v>5475</v>
      </c>
      <c r="I2577" s="6">
        <v>525.75</v>
      </c>
      <c r="J2577" s="2">
        <f t="shared" si="40"/>
        <v>43747.638767384262</v>
      </c>
    </row>
    <row r="2578" spans="1:10" x14ac:dyDescent="0.25">
      <c r="A2578" s="7" t="s">
        <v>5476</v>
      </c>
      <c r="B2578" s="8">
        <v>390.625</v>
      </c>
      <c r="C2578" s="8">
        <v>20.584240000000001</v>
      </c>
      <c r="D2578" s="8">
        <v>48</v>
      </c>
      <c r="E2578" s="8">
        <v>0</v>
      </c>
      <c r="F2578" s="8">
        <v>0</v>
      </c>
      <c r="G2578" s="8">
        <v>34</v>
      </c>
      <c r="H2578" s="8" t="s">
        <v>5477</v>
      </c>
      <c r="I2578" s="8">
        <v>525.9375</v>
      </c>
      <c r="J2578" s="3">
        <f t="shared" si="40"/>
        <v>43747.638850833326</v>
      </c>
    </row>
    <row r="2579" spans="1:10" x14ac:dyDescent="0.25">
      <c r="A2579" s="5" t="s">
        <v>5478</v>
      </c>
      <c r="B2579" s="6">
        <v>393.75</v>
      </c>
      <c r="C2579" s="6">
        <v>20.584240000000001</v>
      </c>
      <c r="D2579" s="6">
        <v>47</v>
      </c>
      <c r="E2579" s="6">
        <v>0</v>
      </c>
      <c r="F2579" s="6">
        <v>0</v>
      </c>
      <c r="G2579" s="6">
        <v>35</v>
      </c>
      <c r="H2579" s="6" t="s">
        <v>5479</v>
      </c>
      <c r="I2579" s="6">
        <v>526.6875</v>
      </c>
      <c r="J2579" s="2">
        <f t="shared" si="40"/>
        <v>43747.638934525465</v>
      </c>
    </row>
    <row r="2580" spans="1:10" x14ac:dyDescent="0.25">
      <c r="A2580" s="7" t="s">
        <v>5480</v>
      </c>
      <c r="B2580" s="8">
        <v>390.625</v>
      </c>
      <c r="C2580" s="8">
        <v>20.584240000000001</v>
      </c>
      <c r="D2580" s="8">
        <v>47</v>
      </c>
      <c r="E2580" s="8">
        <v>0</v>
      </c>
      <c r="F2580" s="8">
        <v>0</v>
      </c>
      <c r="G2580" s="8">
        <v>39</v>
      </c>
      <c r="H2580" s="8" t="s">
        <v>5481</v>
      </c>
      <c r="I2580" s="8">
        <v>525.75</v>
      </c>
      <c r="J2580" s="3">
        <f t="shared" si="40"/>
        <v>43747.639005775462</v>
      </c>
    </row>
    <row r="2581" spans="1:10" x14ac:dyDescent="0.25">
      <c r="A2581" s="5" t="s">
        <v>5482</v>
      </c>
      <c r="B2581" s="6">
        <v>390.625</v>
      </c>
      <c r="C2581" s="6">
        <v>20.584240000000001</v>
      </c>
      <c r="D2581" s="6">
        <v>45</v>
      </c>
      <c r="E2581" s="6">
        <v>0</v>
      </c>
      <c r="F2581" s="6">
        <v>0</v>
      </c>
      <c r="G2581" s="6">
        <v>39</v>
      </c>
      <c r="H2581" s="6" t="s">
        <v>5483</v>
      </c>
      <c r="I2581" s="6">
        <v>525.9375</v>
      </c>
      <c r="J2581" s="2">
        <f t="shared" si="40"/>
        <v>43747.639089247685</v>
      </c>
    </row>
    <row r="2582" spans="1:10" x14ac:dyDescent="0.25">
      <c r="A2582" s="7" t="s">
        <v>5484</v>
      </c>
      <c r="B2582" s="8">
        <v>390.625</v>
      </c>
      <c r="C2582" s="8">
        <v>20.584240000000001</v>
      </c>
      <c r="D2582" s="8">
        <v>45</v>
      </c>
      <c r="E2582" s="8">
        <v>0</v>
      </c>
      <c r="F2582" s="8">
        <v>0</v>
      </c>
      <c r="G2582" s="8">
        <v>37</v>
      </c>
      <c r="H2582" s="8" t="s">
        <v>5485</v>
      </c>
      <c r="I2582" s="8">
        <v>525.9375</v>
      </c>
      <c r="J2582" s="3">
        <f t="shared" si="40"/>
        <v>43747.639172800926</v>
      </c>
    </row>
    <row r="2583" spans="1:10" x14ac:dyDescent="0.25">
      <c r="A2583" s="5" t="s">
        <v>5486</v>
      </c>
      <c r="B2583" s="6">
        <v>390.625</v>
      </c>
      <c r="C2583" s="6">
        <v>20.531590000000001</v>
      </c>
      <c r="D2583" s="6">
        <v>45</v>
      </c>
      <c r="E2583" s="6">
        <v>0</v>
      </c>
      <c r="F2583" s="6">
        <v>0</v>
      </c>
      <c r="G2583" s="6">
        <v>49</v>
      </c>
      <c r="H2583" s="6" t="s">
        <v>5487</v>
      </c>
      <c r="I2583" s="6">
        <v>525.9375</v>
      </c>
      <c r="J2583" s="2">
        <f t="shared" si="40"/>
        <v>43747.639256319446</v>
      </c>
    </row>
    <row r="2584" spans="1:10" x14ac:dyDescent="0.25">
      <c r="A2584" s="7" t="s">
        <v>5488</v>
      </c>
      <c r="B2584" s="8">
        <v>390.625</v>
      </c>
      <c r="C2584" s="8">
        <v>20.531590000000001</v>
      </c>
      <c r="D2584" s="8">
        <v>45</v>
      </c>
      <c r="E2584" s="8">
        <v>0</v>
      </c>
      <c r="F2584" s="8">
        <v>0</v>
      </c>
      <c r="G2584" s="8">
        <v>36</v>
      </c>
      <c r="H2584" s="8" t="s">
        <v>5489</v>
      </c>
      <c r="I2584" s="8">
        <v>525.9375</v>
      </c>
      <c r="J2584" s="3">
        <f t="shared" si="40"/>
        <v>43747.639339710644</v>
      </c>
    </row>
    <row r="2585" spans="1:10" x14ac:dyDescent="0.25">
      <c r="A2585" s="5" t="s">
        <v>5490</v>
      </c>
      <c r="B2585" s="6">
        <v>390.625</v>
      </c>
      <c r="C2585" s="6">
        <v>20.584240000000001</v>
      </c>
      <c r="D2585" s="6">
        <v>44</v>
      </c>
      <c r="E2585" s="6">
        <v>0</v>
      </c>
      <c r="F2585" s="6">
        <v>0</v>
      </c>
      <c r="G2585" s="6">
        <v>36</v>
      </c>
      <c r="H2585" s="6" t="s">
        <v>5491</v>
      </c>
      <c r="I2585" s="6">
        <v>525.9375</v>
      </c>
      <c r="J2585" s="2">
        <f t="shared" si="40"/>
        <v>43747.639434722216</v>
      </c>
    </row>
    <row r="2586" spans="1:10" x14ac:dyDescent="0.25">
      <c r="A2586" s="7" t="s">
        <v>5492</v>
      </c>
      <c r="B2586" s="8">
        <v>390.625</v>
      </c>
      <c r="C2586" s="8">
        <v>20.531590000000001</v>
      </c>
      <c r="D2586" s="8">
        <v>45</v>
      </c>
      <c r="E2586" s="8">
        <v>0</v>
      </c>
      <c r="F2586" s="8">
        <v>0</v>
      </c>
      <c r="G2586" s="8">
        <v>41</v>
      </c>
      <c r="H2586" s="8" t="s">
        <v>5493</v>
      </c>
      <c r="I2586" s="8">
        <v>525.9375</v>
      </c>
      <c r="J2586" s="3">
        <f t="shared" si="40"/>
        <v>43747.639506840271</v>
      </c>
    </row>
    <row r="2587" spans="1:10" x14ac:dyDescent="0.25">
      <c r="A2587" s="5" t="s">
        <v>5494</v>
      </c>
      <c r="B2587" s="6">
        <v>393.75</v>
      </c>
      <c r="C2587" s="6">
        <v>20.584240000000001</v>
      </c>
      <c r="D2587" s="6">
        <v>44</v>
      </c>
      <c r="E2587" s="6">
        <v>0</v>
      </c>
      <c r="F2587" s="6">
        <v>0</v>
      </c>
      <c r="G2587" s="6">
        <v>40</v>
      </c>
      <c r="H2587" s="6" t="s">
        <v>5495</v>
      </c>
      <c r="I2587" s="6">
        <v>526.6875</v>
      </c>
      <c r="J2587" s="2">
        <f t="shared" si="40"/>
        <v>43747.63959027778</v>
      </c>
    </row>
    <row r="2588" spans="1:10" x14ac:dyDescent="0.25">
      <c r="A2588" s="7" t="s">
        <v>5496</v>
      </c>
      <c r="B2588" s="8">
        <v>393.75</v>
      </c>
      <c r="C2588" s="8">
        <v>20.584240000000001</v>
      </c>
      <c r="D2588" s="8">
        <v>44</v>
      </c>
      <c r="E2588" s="8">
        <v>0</v>
      </c>
      <c r="F2588" s="8">
        <v>0</v>
      </c>
      <c r="G2588" s="8">
        <v>31</v>
      </c>
      <c r="H2588" s="8" t="s">
        <v>5497</v>
      </c>
      <c r="I2588" s="8">
        <v>526.6875</v>
      </c>
      <c r="J2588" s="3">
        <f t="shared" si="40"/>
        <v>43747.639661689813</v>
      </c>
    </row>
    <row r="2589" spans="1:10" x14ac:dyDescent="0.25">
      <c r="A2589" s="5" t="s">
        <v>5498</v>
      </c>
      <c r="B2589" s="6">
        <v>390.625</v>
      </c>
      <c r="C2589" s="6">
        <v>20.584240000000001</v>
      </c>
      <c r="D2589" s="6">
        <v>45</v>
      </c>
      <c r="E2589" s="6">
        <v>0</v>
      </c>
      <c r="F2589" s="6">
        <v>0</v>
      </c>
      <c r="G2589" s="6">
        <v>41</v>
      </c>
      <c r="H2589" s="6" t="s">
        <v>5499</v>
      </c>
      <c r="I2589" s="6">
        <v>525.9375</v>
      </c>
      <c r="J2589" s="2">
        <f t="shared" si="40"/>
        <v>43747.639745127315</v>
      </c>
    </row>
    <row r="2590" spans="1:10" x14ac:dyDescent="0.25">
      <c r="A2590" s="7" t="s">
        <v>5500</v>
      </c>
      <c r="B2590" s="8">
        <v>393.75</v>
      </c>
      <c r="C2590" s="8">
        <v>20.584240000000001</v>
      </c>
      <c r="D2590" s="8">
        <v>44</v>
      </c>
      <c r="E2590" s="8">
        <v>0</v>
      </c>
      <c r="F2590" s="8">
        <v>0</v>
      </c>
      <c r="G2590" s="8">
        <v>34</v>
      </c>
      <c r="H2590" s="8" t="s">
        <v>5501</v>
      </c>
      <c r="I2590" s="8">
        <v>526.6875</v>
      </c>
      <c r="J2590" s="3">
        <f t="shared" si="40"/>
        <v>43747.639829768515</v>
      </c>
    </row>
    <row r="2591" spans="1:10" x14ac:dyDescent="0.25">
      <c r="A2591" s="5" t="s">
        <v>5502</v>
      </c>
      <c r="B2591" s="6">
        <v>412.5</v>
      </c>
      <c r="C2591" s="6">
        <v>20.584240000000001</v>
      </c>
      <c r="D2591" s="6">
        <v>44</v>
      </c>
      <c r="E2591" s="6">
        <v>0</v>
      </c>
      <c r="F2591" s="6">
        <v>0</v>
      </c>
      <c r="G2591" s="6">
        <v>48</v>
      </c>
      <c r="H2591" s="6" t="s">
        <v>5503</v>
      </c>
      <c r="I2591" s="6">
        <v>532.3125</v>
      </c>
      <c r="J2591" s="2">
        <f t="shared" si="40"/>
        <v>43747.639911805549</v>
      </c>
    </row>
    <row r="2592" spans="1:10" x14ac:dyDescent="0.25">
      <c r="A2592" s="7" t="s">
        <v>5504</v>
      </c>
      <c r="B2592" s="8">
        <v>393.75</v>
      </c>
      <c r="C2592" s="8">
        <v>20.584240000000001</v>
      </c>
      <c r="D2592" s="8">
        <v>44</v>
      </c>
      <c r="E2592" s="8">
        <v>0</v>
      </c>
      <c r="F2592" s="8">
        <v>0</v>
      </c>
      <c r="G2592" s="8">
        <v>39</v>
      </c>
      <c r="H2592" s="8" t="s">
        <v>5505</v>
      </c>
      <c r="I2592" s="8">
        <v>526.6875</v>
      </c>
      <c r="J2592" s="3">
        <f t="shared" si="40"/>
        <v>43747.640030972216</v>
      </c>
    </row>
    <row r="2593" spans="1:10" x14ac:dyDescent="0.25">
      <c r="A2593" s="5" t="s">
        <v>5506</v>
      </c>
      <c r="B2593" s="6">
        <v>393.75</v>
      </c>
      <c r="C2593" s="6">
        <v>20.584240000000001</v>
      </c>
      <c r="D2593" s="6">
        <v>42</v>
      </c>
      <c r="E2593" s="6">
        <v>0</v>
      </c>
      <c r="F2593" s="6">
        <v>0</v>
      </c>
      <c r="G2593" s="6">
        <v>34</v>
      </c>
      <c r="H2593" s="6" t="s">
        <v>5507</v>
      </c>
      <c r="I2593" s="6">
        <v>526.6875</v>
      </c>
      <c r="J2593" s="2">
        <f t="shared" si="40"/>
        <v>43747.640102881945</v>
      </c>
    </row>
    <row r="2594" spans="1:10" x14ac:dyDescent="0.25">
      <c r="A2594" s="7" t="s">
        <v>5508</v>
      </c>
      <c r="B2594" s="8">
        <v>393.75</v>
      </c>
      <c r="C2594" s="8">
        <v>20.584240000000001</v>
      </c>
      <c r="D2594" s="8">
        <v>42</v>
      </c>
      <c r="E2594" s="8">
        <v>0</v>
      </c>
      <c r="F2594" s="8">
        <v>0</v>
      </c>
      <c r="G2594" s="8">
        <v>42</v>
      </c>
      <c r="H2594" s="8" t="s">
        <v>5509</v>
      </c>
      <c r="I2594" s="8">
        <v>526.6875</v>
      </c>
      <c r="J2594" s="3">
        <f t="shared" si="40"/>
        <v>43747.640186562501</v>
      </c>
    </row>
    <row r="2595" spans="1:10" x14ac:dyDescent="0.25">
      <c r="A2595" s="5" t="s">
        <v>5510</v>
      </c>
      <c r="B2595" s="6">
        <v>393.75</v>
      </c>
      <c r="C2595" s="6">
        <v>20.584240000000001</v>
      </c>
      <c r="D2595" s="6">
        <v>44</v>
      </c>
      <c r="E2595" s="6">
        <v>0</v>
      </c>
      <c r="F2595" s="6">
        <v>0</v>
      </c>
      <c r="G2595" s="6">
        <v>33</v>
      </c>
      <c r="H2595" s="6" t="s">
        <v>5511</v>
      </c>
      <c r="I2595" s="6">
        <v>526.6875</v>
      </c>
      <c r="J2595" s="2">
        <f t="shared" si="40"/>
        <v>43747.64025798611</v>
      </c>
    </row>
    <row r="2596" spans="1:10" x14ac:dyDescent="0.25">
      <c r="A2596" s="7" t="s">
        <v>5512</v>
      </c>
      <c r="B2596" s="8">
        <v>393.75</v>
      </c>
      <c r="C2596" s="8">
        <v>20.584240000000001</v>
      </c>
      <c r="D2596" s="8">
        <v>44</v>
      </c>
      <c r="E2596" s="8">
        <v>0</v>
      </c>
      <c r="F2596" s="8">
        <v>0</v>
      </c>
      <c r="G2596" s="8">
        <v>38</v>
      </c>
      <c r="H2596" s="8" t="s">
        <v>5513</v>
      </c>
      <c r="I2596" s="8">
        <v>526.6875</v>
      </c>
      <c r="J2596" s="3">
        <f t="shared" si="40"/>
        <v>43747.640341423605</v>
      </c>
    </row>
    <row r="2597" spans="1:10" x14ac:dyDescent="0.25">
      <c r="A2597" s="5" t="s">
        <v>5514</v>
      </c>
      <c r="B2597" s="6">
        <v>393.75</v>
      </c>
      <c r="C2597" s="6">
        <v>20.584240000000001</v>
      </c>
      <c r="D2597" s="6">
        <v>44</v>
      </c>
      <c r="E2597" s="6">
        <v>0</v>
      </c>
      <c r="F2597" s="6">
        <v>0</v>
      </c>
      <c r="G2597" s="6">
        <v>34</v>
      </c>
      <c r="H2597" s="6" t="s">
        <v>5515</v>
      </c>
      <c r="I2597" s="6">
        <v>526.6875</v>
      </c>
      <c r="J2597" s="2">
        <f t="shared" si="40"/>
        <v>43747.640424884252</v>
      </c>
    </row>
    <row r="2598" spans="1:10" x14ac:dyDescent="0.25">
      <c r="A2598" s="7" t="s">
        <v>5516</v>
      </c>
      <c r="B2598" s="8">
        <v>393.75</v>
      </c>
      <c r="C2598" s="8">
        <v>20.584240000000001</v>
      </c>
      <c r="D2598" s="8">
        <v>43</v>
      </c>
      <c r="E2598" s="8">
        <v>0</v>
      </c>
      <c r="F2598" s="8">
        <v>0</v>
      </c>
      <c r="G2598" s="8">
        <v>36</v>
      </c>
      <c r="H2598" s="8" t="s">
        <v>5517</v>
      </c>
      <c r="I2598" s="8">
        <v>526.6875</v>
      </c>
      <c r="J2598" s="3">
        <f t="shared" si="40"/>
        <v>43747.640508090277</v>
      </c>
    </row>
    <row r="2599" spans="1:10" x14ac:dyDescent="0.25">
      <c r="A2599" s="5" t="s">
        <v>5518</v>
      </c>
      <c r="B2599" s="6">
        <v>393.75</v>
      </c>
      <c r="C2599" s="6">
        <v>20.584240000000001</v>
      </c>
      <c r="D2599" s="6">
        <v>43</v>
      </c>
      <c r="E2599" s="6">
        <v>0</v>
      </c>
      <c r="F2599" s="6">
        <v>0</v>
      </c>
      <c r="G2599" s="6">
        <v>39</v>
      </c>
      <c r="H2599" s="6" t="s">
        <v>5519</v>
      </c>
      <c r="I2599" s="6">
        <v>526.5</v>
      </c>
      <c r="J2599" s="2">
        <f t="shared" si="40"/>
        <v>43747.640579756939</v>
      </c>
    </row>
    <row r="2600" spans="1:10" x14ac:dyDescent="0.25">
      <c r="A2600" s="7" t="s">
        <v>5520</v>
      </c>
      <c r="B2600" s="8">
        <v>418.75</v>
      </c>
      <c r="C2600" s="8">
        <v>20.531590000000001</v>
      </c>
      <c r="D2600" s="8">
        <v>43</v>
      </c>
      <c r="E2600" s="8">
        <v>0</v>
      </c>
      <c r="F2600" s="8">
        <v>0</v>
      </c>
      <c r="G2600" s="8">
        <v>36</v>
      </c>
      <c r="H2600" s="8" t="s">
        <v>5521</v>
      </c>
      <c r="I2600" s="8">
        <v>534</v>
      </c>
      <c r="J2600" s="3">
        <f t="shared" si="40"/>
        <v>43747.640663668979</v>
      </c>
    </row>
    <row r="2601" spans="1:10" x14ac:dyDescent="0.25">
      <c r="A2601" s="5" t="s">
        <v>5522</v>
      </c>
      <c r="B2601" s="6">
        <v>393.75</v>
      </c>
      <c r="C2601" s="6">
        <v>20.584240000000001</v>
      </c>
      <c r="D2601" s="6">
        <v>44</v>
      </c>
      <c r="E2601" s="6">
        <v>0</v>
      </c>
      <c r="F2601" s="6">
        <v>0</v>
      </c>
      <c r="G2601" s="6">
        <v>44</v>
      </c>
      <c r="H2601" s="6" t="s">
        <v>5523</v>
      </c>
      <c r="I2601" s="6">
        <v>526.6875</v>
      </c>
      <c r="J2601" s="2">
        <f t="shared" si="40"/>
        <v>43747.640735069443</v>
      </c>
    </row>
    <row r="2602" spans="1:10" x14ac:dyDescent="0.25">
      <c r="A2602" s="7" t="s">
        <v>5524</v>
      </c>
      <c r="B2602" s="8">
        <v>393.75</v>
      </c>
      <c r="C2602" s="8">
        <v>20.584240000000001</v>
      </c>
      <c r="D2602" s="8">
        <v>44</v>
      </c>
      <c r="E2602" s="8">
        <v>0</v>
      </c>
      <c r="F2602" s="8">
        <v>0</v>
      </c>
      <c r="G2602" s="8">
        <v>38</v>
      </c>
      <c r="H2602" s="8" t="s">
        <v>5525</v>
      </c>
      <c r="I2602" s="8">
        <v>526.6875</v>
      </c>
      <c r="J2602" s="3">
        <f t="shared" si="40"/>
        <v>43747.640806620366</v>
      </c>
    </row>
    <row r="2603" spans="1:10" x14ac:dyDescent="0.25">
      <c r="A2603" s="5" t="s">
        <v>5526</v>
      </c>
      <c r="B2603" s="6">
        <v>393.75</v>
      </c>
      <c r="C2603" s="6">
        <v>20.584240000000001</v>
      </c>
      <c r="D2603" s="6">
        <v>45</v>
      </c>
      <c r="E2603" s="6">
        <v>0</v>
      </c>
      <c r="F2603" s="6">
        <v>0</v>
      </c>
      <c r="G2603" s="6">
        <v>35</v>
      </c>
      <c r="H2603" s="6" t="s">
        <v>5527</v>
      </c>
      <c r="I2603" s="6">
        <v>526.6875</v>
      </c>
      <c r="J2603" s="2">
        <f t="shared" si="40"/>
        <v>43747.6408896875</v>
      </c>
    </row>
    <row r="2604" spans="1:10" x14ac:dyDescent="0.25">
      <c r="A2604" s="7" t="s">
        <v>5528</v>
      </c>
      <c r="B2604" s="8">
        <v>393.75</v>
      </c>
      <c r="C2604" s="8">
        <v>20.584240000000001</v>
      </c>
      <c r="D2604" s="8">
        <v>45</v>
      </c>
      <c r="E2604" s="8">
        <v>0</v>
      </c>
      <c r="F2604" s="8">
        <v>0</v>
      </c>
      <c r="G2604" s="8">
        <v>39</v>
      </c>
      <c r="H2604" s="8" t="s">
        <v>5529</v>
      </c>
      <c r="I2604" s="8">
        <v>526.6875</v>
      </c>
      <c r="J2604" s="3">
        <f t="shared" si="40"/>
        <v>43747.640961238423</v>
      </c>
    </row>
    <row r="2605" spans="1:10" x14ac:dyDescent="0.25">
      <c r="A2605" s="5" t="s">
        <v>5530</v>
      </c>
      <c r="B2605" s="6">
        <v>390.625</v>
      </c>
      <c r="C2605" s="6">
        <v>20.584240000000001</v>
      </c>
      <c r="D2605" s="6">
        <v>43</v>
      </c>
      <c r="E2605" s="6">
        <v>0</v>
      </c>
      <c r="F2605" s="6">
        <v>0</v>
      </c>
      <c r="G2605" s="6">
        <v>46</v>
      </c>
      <c r="H2605" s="6" t="s">
        <v>5531</v>
      </c>
      <c r="I2605" s="6">
        <v>525.9375</v>
      </c>
      <c r="J2605" s="2">
        <f t="shared" si="40"/>
        <v>43747.641045127311</v>
      </c>
    </row>
    <row r="2606" spans="1:10" x14ac:dyDescent="0.25">
      <c r="A2606" s="7" t="s">
        <v>5532</v>
      </c>
      <c r="B2606" s="8">
        <v>390.625</v>
      </c>
      <c r="C2606" s="8">
        <v>20.584240000000001</v>
      </c>
      <c r="D2606" s="8">
        <v>42</v>
      </c>
      <c r="E2606" s="8">
        <v>0</v>
      </c>
      <c r="F2606" s="8">
        <v>0</v>
      </c>
      <c r="G2606" s="8">
        <v>32</v>
      </c>
      <c r="H2606" s="8" t="s">
        <v>5533</v>
      </c>
      <c r="I2606" s="8">
        <v>525.75</v>
      </c>
      <c r="J2606" s="3">
        <f t="shared" si="40"/>
        <v>43747.641128587966</v>
      </c>
    </row>
    <row r="2607" spans="1:10" x14ac:dyDescent="0.25">
      <c r="A2607" s="5" t="s">
        <v>5534</v>
      </c>
      <c r="B2607" s="6">
        <v>390.625</v>
      </c>
      <c r="C2607" s="6">
        <v>20.531590000000001</v>
      </c>
      <c r="D2607" s="6">
        <v>45</v>
      </c>
      <c r="E2607" s="6">
        <v>0</v>
      </c>
      <c r="F2607" s="6">
        <v>0</v>
      </c>
      <c r="G2607" s="6">
        <v>32</v>
      </c>
      <c r="H2607" s="6" t="s">
        <v>5535</v>
      </c>
      <c r="I2607" s="6">
        <v>525.9375</v>
      </c>
      <c r="J2607" s="2">
        <f t="shared" si="40"/>
        <v>43747.641211793984</v>
      </c>
    </row>
    <row r="2608" spans="1:10" x14ac:dyDescent="0.25">
      <c r="A2608" s="7" t="s">
        <v>5536</v>
      </c>
      <c r="B2608" s="8">
        <v>390.625</v>
      </c>
      <c r="C2608" s="8">
        <v>20.584240000000001</v>
      </c>
      <c r="D2608" s="8">
        <v>45</v>
      </c>
      <c r="E2608" s="8">
        <v>0</v>
      </c>
      <c r="F2608" s="8">
        <v>0</v>
      </c>
      <c r="G2608" s="8">
        <v>41</v>
      </c>
      <c r="H2608" s="8" t="s">
        <v>5537</v>
      </c>
      <c r="I2608" s="8">
        <v>525.75</v>
      </c>
      <c r="J2608" s="3">
        <f t="shared" si="40"/>
        <v>43747.641301631942</v>
      </c>
    </row>
    <row r="2609" spans="1:10" x14ac:dyDescent="0.25">
      <c r="A2609" s="5" t="s">
        <v>5538</v>
      </c>
      <c r="B2609" s="6">
        <v>390.625</v>
      </c>
      <c r="C2609" s="6">
        <v>20.531590000000001</v>
      </c>
      <c r="D2609" s="6">
        <v>46</v>
      </c>
      <c r="E2609" s="6">
        <v>0</v>
      </c>
      <c r="F2609" s="6">
        <v>0</v>
      </c>
      <c r="G2609" s="6">
        <v>40</v>
      </c>
      <c r="H2609" s="6" t="s">
        <v>5539</v>
      </c>
      <c r="I2609" s="6">
        <v>525.75</v>
      </c>
      <c r="J2609" s="2">
        <f t="shared" si="40"/>
        <v>43747.641378831016</v>
      </c>
    </row>
    <row r="2610" spans="1:10" x14ac:dyDescent="0.25">
      <c r="A2610" s="7" t="s">
        <v>5540</v>
      </c>
      <c r="B2610" s="8">
        <v>390.625</v>
      </c>
      <c r="C2610" s="8">
        <v>20.584240000000001</v>
      </c>
      <c r="D2610" s="8">
        <v>46</v>
      </c>
      <c r="E2610" s="8">
        <v>0</v>
      </c>
      <c r="F2610" s="8">
        <v>0</v>
      </c>
      <c r="G2610" s="8">
        <v>35</v>
      </c>
      <c r="H2610" s="8" t="s">
        <v>5541</v>
      </c>
      <c r="I2610" s="8">
        <v>525.9375</v>
      </c>
      <c r="J2610" s="3">
        <f t="shared" si="40"/>
        <v>43747.641462997686</v>
      </c>
    </row>
    <row r="2611" spans="1:10" x14ac:dyDescent="0.25">
      <c r="A2611" s="5" t="s">
        <v>5542</v>
      </c>
      <c r="B2611" s="6">
        <v>393.75</v>
      </c>
      <c r="C2611" s="6">
        <v>20.584240000000001</v>
      </c>
      <c r="D2611" s="6">
        <v>46</v>
      </c>
      <c r="E2611" s="6">
        <v>0</v>
      </c>
      <c r="F2611" s="6">
        <v>0</v>
      </c>
      <c r="G2611" s="6">
        <v>47</v>
      </c>
      <c r="H2611" s="6" t="s">
        <v>5543</v>
      </c>
      <c r="I2611" s="6">
        <v>526.6875</v>
      </c>
      <c r="J2611" s="2">
        <f t="shared" si="40"/>
        <v>43747.641545972219</v>
      </c>
    </row>
    <row r="2612" spans="1:10" x14ac:dyDescent="0.25">
      <c r="A2612" s="7" t="s">
        <v>5544</v>
      </c>
      <c r="B2612" s="8">
        <v>393.75</v>
      </c>
      <c r="C2612" s="8">
        <v>20.584240000000001</v>
      </c>
      <c r="D2612" s="8">
        <v>46</v>
      </c>
      <c r="E2612" s="8">
        <v>0</v>
      </c>
      <c r="F2612" s="8">
        <v>0</v>
      </c>
      <c r="G2612" s="8">
        <v>45</v>
      </c>
      <c r="H2612" s="8" t="s">
        <v>5545</v>
      </c>
      <c r="I2612" s="8">
        <v>526.6875</v>
      </c>
      <c r="J2612" s="3">
        <f t="shared" si="40"/>
        <v>43747.641629513884</v>
      </c>
    </row>
    <row r="2613" spans="1:10" x14ac:dyDescent="0.25">
      <c r="A2613" s="5" t="s">
        <v>5546</v>
      </c>
      <c r="B2613" s="6">
        <v>434.375</v>
      </c>
      <c r="C2613" s="6">
        <v>20.584240000000001</v>
      </c>
      <c r="D2613" s="6">
        <v>44</v>
      </c>
      <c r="E2613" s="6">
        <v>0</v>
      </c>
      <c r="F2613" s="6">
        <v>0</v>
      </c>
      <c r="G2613" s="6">
        <v>43</v>
      </c>
      <c r="H2613" s="6" t="s">
        <v>5547</v>
      </c>
      <c r="I2613" s="6">
        <v>539.25</v>
      </c>
      <c r="J2613" s="2">
        <f t="shared" si="40"/>
        <v>43747.641712974531</v>
      </c>
    </row>
    <row r="2614" spans="1:10" x14ac:dyDescent="0.25">
      <c r="A2614" s="7" t="s">
        <v>5548</v>
      </c>
      <c r="B2614" s="8">
        <v>390.625</v>
      </c>
      <c r="C2614" s="8">
        <v>20.584240000000001</v>
      </c>
      <c r="D2614" s="8">
        <v>44</v>
      </c>
      <c r="E2614" s="8">
        <v>0</v>
      </c>
      <c r="F2614" s="8">
        <v>0</v>
      </c>
      <c r="G2614" s="8">
        <v>42</v>
      </c>
      <c r="H2614" s="8" t="s">
        <v>5549</v>
      </c>
      <c r="I2614" s="8">
        <v>525.9375</v>
      </c>
      <c r="J2614" s="3">
        <f t="shared" si="40"/>
        <v>43747.641796412034</v>
      </c>
    </row>
    <row r="2615" spans="1:10" x14ac:dyDescent="0.25">
      <c r="A2615" s="5" t="s">
        <v>5550</v>
      </c>
      <c r="B2615" s="6">
        <v>390.625</v>
      </c>
      <c r="C2615" s="6">
        <v>20.584240000000001</v>
      </c>
      <c r="D2615" s="6">
        <v>45</v>
      </c>
      <c r="E2615" s="6">
        <v>0</v>
      </c>
      <c r="F2615" s="6">
        <v>0</v>
      </c>
      <c r="G2615" s="6">
        <v>42</v>
      </c>
      <c r="H2615" s="6" t="s">
        <v>5551</v>
      </c>
      <c r="I2615" s="6">
        <v>525.9375</v>
      </c>
      <c r="J2615" s="2">
        <f t="shared" si="40"/>
        <v>43747.641927766199</v>
      </c>
    </row>
    <row r="2616" spans="1:10" x14ac:dyDescent="0.25">
      <c r="A2616" s="7" t="s">
        <v>5552</v>
      </c>
      <c r="B2616" s="8">
        <v>393.75</v>
      </c>
      <c r="C2616" s="8">
        <v>20.584240000000001</v>
      </c>
      <c r="D2616" s="8">
        <v>45</v>
      </c>
      <c r="E2616" s="8">
        <v>0</v>
      </c>
      <c r="F2616" s="8">
        <v>0</v>
      </c>
      <c r="G2616" s="8">
        <v>46</v>
      </c>
      <c r="H2616" s="8" t="s">
        <v>5553</v>
      </c>
      <c r="I2616" s="8">
        <v>526.6875</v>
      </c>
      <c r="J2616" s="3">
        <f t="shared" si="40"/>
        <v>43747.642011099531</v>
      </c>
    </row>
    <row r="2617" spans="1:10" x14ac:dyDescent="0.25">
      <c r="A2617" s="5" t="s">
        <v>5554</v>
      </c>
      <c r="B2617" s="6">
        <v>393.75</v>
      </c>
      <c r="C2617" s="6">
        <v>20.584240000000001</v>
      </c>
      <c r="D2617" s="6">
        <v>46</v>
      </c>
      <c r="E2617" s="6">
        <v>0</v>
      </c>
      <c r="F2617" s="6">
        <v>0</v>
      </c>
      <c r="G2617" s="6">
        <v>42</v>
      </c>
      <c r="H2617" s="6" t="s">
        <v>5555</v>
      </c>
      <c r="I2617" s="6">
        <v>526.6875</v>
      </c>
      <c r="J2617" s="2">
        <f t="shared" si="40"/>
        <v>43747.642094999996</v>
      </c>
    </row>
    <row r="2618" spans="1:10" x14ac:dyDescent="0.25">
      <c r="A2618" s="7" t="s">
        <v>5556</v>
      </c>
      <c r="B2618" s="8">
        <v>412.5</v>
      </c>
      <c r="C2618" s="8">
        <v>20.584240000000001</v>
      </c>
      <c r="D2618" s="8">
        <v>44</v>
      </c>
      <c r="E2618" s="8">
        <v>0</v>
      </c>
      <c r="F2618" s="8">
        <v>0</v>
      </c>
      <c r="G2618" s="8">
        <v>41</v>
      </c>
      <c r="H2618" s="8" t="s">
        <v>5557</v>
      </c>
      <c r="I2618" s="8">
        <v>532.6875</v>
      </c>
      <c r="J2618" s="3">
        <f t="shared" si="40"/>
        <v>43747.642178009257</v>
      </c>
    </row>
    <row r="2619" spans="1:10" x14ac:dyDescent="0.25">
      <c r="A2619" s="5" t="s">
        <v>5558</v>
      </c>
      <c r="B2619" s="6">
        <v>393.75</v>
      </c>
      <c r="C2619" s="6">
        <v>20.584240000000001</v>
      </c>
      <c r="D2619" s="6">
        <v>44</v>
      </c>
      <c r="E2619" s="6">
        <v>0</v>
      </c>
      <c r="F2619" s="6">
        <v>0</v>
      </c>
      <c r="G2619" s="6">
        <v>38</v>
      </c>
      <c r="H2619" s="6" t="s">
        <v>5559</v>
      </c>
      <c r="I2619" s="6">
        <v>526.6875</v>
      </c>
      <c r="J2619" s="2">
        <f t="shared" si="40"/>
        <v>43747.642261469904</v>
      </c>
    </row>
    <row r="2620" spans="1:10" x14ac:dyDescent="0.25">
      <c r="A2620" s="7" t="s">
        <v>5560</v>
      </c>
      <c r="B2620" s="8">
        <v>393.75</v>
      </c>
      <c r="C2620" s="8">
        <v>20.531590000000001</v>
      </c>
      <c r="D2620" s="8">
        <v>45</v>
      </c>
      <c r="E2620" s="8">
        <v>0</v>
      </c>
      <c r="F2620" s="8">
        <v>0</v>
      </c>
      <c r="G2620" s="8">
        <v>42</v>
      </c>
      <c r="H2620" s="8" t="s">
        <v>5561</v>
      </c>
      <c r="I2620" s="8">
        <v>526.6875</v>
      </c>
      <c r="J2620" s="3">
        <f t="shared" si="40"/>
        <v>43747.64234515046</v>
      </c>
    </row>
    <row r="2621" spans="1:10" x14ac:dyDescent="0.25">
      <c r="A2621" s="5" t="s">
        <v>5562</v>
      </c>
      <c r="B2621" s="6">
        <v>393.75</v>
      </c>
      <c r="C2621" s="6">
        <v>20.584240000000001</v>
      </c>
      <c r="D2621" s="6">
        <v>45</v>
      </c>
      <c r="E2621" s="6">
        <v>0</v>
      </c>
      <c r="F2621" s="6">
        <v>0</v>
      </c>
      <c r="G2621" s="6">
        <v>40</v>
      </c>
      <c r="H2621" s="6" t="s">
        <v>5563</v>
      </c>
      <c r="I2621" s="6">
        <v>526.6875</v>
      </c>
      <c r="J2621" s="2">
        <f t="shared" si="40"/>
        <v>43747.642428495368</v>
      </c>
    </row>
    <row r="2622" spans="1:10" x14ac:dyDescent="0.25">
      <c r="A2622" s="7" t="s">
        <v>5564</v>
      </c>
      <c r="B2622" s="8">
        <v>393.75</v>
      </c>
      <c r="C2622" s="8">
        <v>20.584240000000001</v>
      </c>
      <c r="D2622" s="8">
        <v>45</v>
      </c>
      <c r="E2622" s="8">
        <v>0</v>
      </c>
      <c r="F2622" s="8">
        <v>0</v>
      </c>
      <c r="G2622" s="8">
        <v>36</v>
      </c>
      <c r="H2622" s="8" t="s">
        <v>5565</v>
      </c>
      <c r="I2622" s="8">
        <v>526.6875</v>
      </c>
      <c r="J2622" s="3">
        <f t="shared" si="40"/>
        <v>43747.642499988426</v>
      </c>
    </row>
    <row r="2623" spans="1:10" x14ac:dyDescent="0.25">
      <c r="A2623" s="5" t="s">
        <v>5566</v>
      </c>
      <c r="B2623" s="6">
        <v>393.75</v>
      </c>
      <c r="C2623" s="6">
        <v>20.584240000000001</v>
      </c>
      <c r="D2623" s="6">
        <v>46</v>
      </c>
      <c r="E2623" s="6">
        <v>0</v>
      </c>
      <c r="F2623" s="6">
        <v>0</v>
      </c>
      <c r="G2623" s="6">
        <v>34</v>
      </c>
      <c r="H2623" s="6" t="s">
        <v>5567</v>
      </c>
      <c r="I2623" s="6">
        <v>526.6875</v>
      </c>
      <c r="J2623" s="2">
        <f t="shared" si="40"/>
        <v>43747.642599884253</v>
      </c>
    </row>
    <row r="2624" spans="1:10" x14ac:dyDescent="0.25">
      <c r="A2624" s="7" t="s">
        <v>5568</v>
      </c>
      <c r="B2624" s="8">
        <v>393.75</v>
      </c>
      <c r="C2624" s="8">
        <v>20.584240000000001</v>
      </c>
      <c r="D2624" s="8">
        <v>46</v>
      </c>
      <c r="E2624" s="8">
        <v>0</v>
      </c>
      <c r="F2624" s="8">
        <v>0</v>
      </c>
      <c r="G2624" s="8">
        <v>42</v>
      </c>
      <c r="H2624" s="8" t="s">
        <v>5569</v>
      </c>
      <c r="I2624" s="8">
        <v>526.6875</v>
      </c>
      <c r="J2624" s="3">
        <f t="shared" si="40"/>
        <v>43747.642690844907</v>
      </c>
    </row>
    <row r="2625" spans="1:10" x14ac:dyDescent="0.25">
      <c r="A2625" s="5" t="s">
        <v>5570</v>
      </c>
      <c r="B2625" s="6">
        <v>393.75</v>
      </c>
      <c r="C2625" s="6">
        <v>20.584240000000001</v>
      </c>
      <c r="D2625" s="6">
        <v>45</v>
      </c>
      <c r="E2625" s="6">
        <v>0</v>
      </c>
      <c r="F2625" s="6">
        <v>0</v>
      </c>
      <c r="G2625" s="6">
        <v>39</v>
      </c>
      <c r="H2625" s="6" t="s">
        <v>5571</v>
      </c>
      <c r="I2625" s="6">
        <v>526.6875</v>
      </c>
      <c r="J2625" s="2">
        <f t="shared" si="40"/>
        <v>43747.64277431713</v>
      </c>
    </row>
    <row r="2626" spans="1:10" x14ac:dyDescent="0.25">
      <c r="A2626" s="7" t="s">
        <v>5572</v>
      </c>
      <c r="B2626" s="8">
        <v>393.75</v>
      </c>
      <c r="C2626" s="8">
        <v>20.531590000000001</v>
      </c>
      <c r="D2626" s="8">
        <v>43</v>
      </c>
      <c r="E2626" s="8">
        <v>0</v>
      </c>
      <c r="F2626" s="8">
        <v>0</v>
      </c>
      <c r="G2626" s="8">
        <v>36</v>
      </c>
      <c r="H2626" s="8" t="s">
        <v>5573</v>
      </c>
      <c r="I2626" s="8">
        <v>526.6875</v>
      </c>
      <c r="J2626" s="3">
        <f t="shared" ref="J2626:J2689" si="41">(H2626/86400000)+25569+(7/24)</f>
        <v>43747.642869780095</v>
      </c>
    </row>
    <row r="2627" spans="1:10" x14ac:dyDescent="0.25">
      <c r="A2627" s="5" t="s">
        <v>5574</v>
      </c>
      <c r="B2627" s="6">
        <v>393.75</v>
      </c>
      <c r="C2627" s="6">
        <v>20.584240000000001</v>
      </c>
      <c r="D2627" s="6">
        <v>43</v>
      </c>
      <c r="E2627" s="6">
        <v>0</v>
      </c>
      <c r="F2627" s="6">
        <v>0</v>
      </c>
      <c r="G2627" s="6">
        <v>38</v>
      </c>
      <c r="H2627" s="6" t="s">
        <v>5575</v>
      </c>
      <c r="I2627" s="6">
        <v>526.6875</v>
      </c>
      <c r="J2627" s="2">
        <f t="shared" si="41"/>
        <v>43747.642953449067</v>
      </c>
    </row>
    <row r="2628" spans="1:10" x14ac:dyDescent="0.25">
      <c r="A2628" s="7" t="s">
        <v>5576</v>
      </c>
      <c r="B2628" s="8">
        <v>393.75</v>
      </c>
      <c r="C2628" s="8">
        <v>20.584240000000001</v>
      </c>
      <c r="D2628" s="8">
        <v>43</v>
      </c>
      <c r="E2628" s="8">
        <v>0</v>
      </c>
      <c r="F2628" s="8">
        <v>0</v>
      </c>
      <c r="G2628" s="8">
        <v>41</v>
      </c>
      <c r="H2628" s="8" t="s">
        <v>5577</v>
      </c>
      <c r="I2628" s="8">
        <v>526.6875</v>
      </c>
      <c r="J2628" s="3">
        <f t="shared" si="41"/>
        <v>43747.643024745368</v>
      </c>
    </row>
    <row r="2629" spans="1:10" x14ac:dyDescent="0.25">
      <c r="A2629" s="5" t="s">
        <v>5578</v>
      </c>
      <c r="B2629" s="6">
        <v>412.5</v>
      </c>
      <c r="C2629" s="6">
        <v>20.584240000000001</v>
      </c>
      <c r="D2629" s="6">
        <v>43</v>
      </c>
      <c r="E2629" s="6">
        <v>0</v>
      </c>
      <c r="F2629" s="6">
        <v>0</v>
      </c>
      <c r="G2629" s="6">
        <v>44</v>
      </c>
      <c r="H2629" s="6" t="s">
        <v>5579</v>
      </c>
      <c r="I2629" s="6">
        <v>532.875</v>
      </c>
      <c r="J2629" s="2">
        <f t="shared" si="41"/>
        <v>43747.643108090277</v>
      </c>
    </row>
    <row r="2630" spans="1:10" x14ac:dyDescent="0.25">
      <c r="A2630" s="7" t="s">
        <v>5580</v>
      </c>
      <c r="B2630" s="8">
        <v>393.75</v>
      </c>
      <c r="C2630" s="8">
        <v>20.584240000000001</v>
      </c>
      <c r="D2630" s="8">
        <v>43</v>
      </c>
      <c r="E2630" s="8">
        <v>0</v>
      </c>
      <c r="F2630" s="8">
        <v>0</v>
      </c>
      <c r="G2630" s="8">
        <v>38</v>
      </c>
      <c r="H2630" s="8" t="s">
        <v>5581</v>
      </c>
      <c r="I2630" s="8">
        <v>526.6875</v>
      </c>
      <c r="J2630" s="3">
        <f t="shared" si="41"/>
        <v>43747.643179733794</v>
      </c>
    </row>
    <row r="2631" spans="1:10" x14ac:dyDescent="0.25">
      <c r="A2631" s="5" t="s">
        <v>5582</v>
      </c>
      <c r="B2631" s="6">
        <v>393.75</v>
      </c>
      <c r="C2631" s="6">
        <v>20.584240000000001</v>
      </c>
      <c r="D2631" s="6">
        <v>46</v>
      </c>
      <c r="E2631" s="6">
        <v>0</v>
      </c>
      <c r="F2631" s="6">
        <v>0</v>
      </c>
      <c r="G2631" s="6">
        <v>44</v>
      </c>
      <c r="H2631" s="6" t="s">
        <v>5583</v>
      </c>
      <c r="I2631" s="6">
        <v>526.6875</v>
      </c>
      <c r="J2631" s="2">
        <f t="shared" si="41"/>
        <v>43747.643263310187</v>
      </c>
    </row>
    <row r="2632" spans="1:10" x14ac:dyDescent="0.25">
      <c r="A2632" s="7" t="s">
        <v>5584</v>
      </c>
      <c r="B2632" s="8">
        <v>412.5</v>
      </c>
      <c r="C2632" s="8">
        <v>20.478950000000001</v>
      </c>
      <c r="D2632" s="8">
        <v>45</v>
      </c>
      <c r="E2632" s="8">
        <v>0</v>
      </c>
      <c r="F2632" s="8">
        <v>0</v>
      </c>
      <c r="G2632" s="8">
        <v>38</v>
      </c>
      <c r="H2632" s="8" t="s">
        <v>5585</v>
      </c>
      <c r="I2632" s="8">
        <v>532.3125</v>
      </c>
      <c r="J2632" s="3">
        <f t="shared" si="41"/>
        <v>43747.643346736113</v>
      </c>
    </row>
    <row r="2633" spans="1:10" x14ac:dyDescent="0.25">
      <c r="A2633" s="5" t="s">
        <v>5586</v>
      </c>
      <c r="B2633" s="6">
        <v>393.75</v>
      </c>
      <c r="C2633" s="6">
        <v>20.584240000000001</v>
      </c>
      <c r="D2633" s="6">
        <v>46</v>
      </c>
      <c r="E2633" s="6">
        <v>0</v>
      </c>
      <c r="F2633" s="6">
        <v>0</v>
      </c>
      <c r="G2633" s="6">
        <v>41</v>
      </c>
      <c r="H2633" s="6" t="s">
        <v>5587</v>
      </c>
      <c r="I2633" s="6">
        <v>526.6875</v>
      </c>
      <c r="J2633" s="2">
        <f t="shared" si="41"/>
        <v>43747.643430335644</v>
      </c>
    </row>
    <row r="2634" spans="1:10" x14ac:dyDescent="0.25">
      <c r="A2634" s="7" t="s">
        <v>5588</v>
      </c>
      <c r="B2634" s="8">
        <v>393.75</v>
      </c>
      <c r="C2634" s="8">
        <v>20.584240000000001</v>
      </c>
      <c r="D2634" s="8">
        <v>45</v>
      </c>
      <c r="E2634" s="8">
        <v>0</v>
      </c>
      <c r="F2634" s="8">
        <v>0</v>
      </c>
      <c r="G2634" s="8">
        <v>37</v>
      </c>
      <c r="H2634" s="8" t="s">
        <v>5589</v>
      </c>
      <c r="I2634" s="8">
        <v>526.6875</v>
      </c>
      <c r="J2634" s="3">
        <f t="shared" si="41"/>
        <v>43747.64351386574</v>
      </c>
    </row>
    <row r="2635" spans="1:10" x14ac:dyDescent="0.25">
      <c r="A2635" s="5" t="s">
        <v>5590</v>
      </c>
      <c r="B2635" s="6">
        <v>393.75</v>
      </c>
      <c r="C2635" s="6">
        <v>20.531590000000001</v>
      </c>
      <c r="D2635" s="6">
        <v>45</v>
      </c>
      <c r="E2635" s="6">
        <v>0</v>
      </c>
      <c r="F2635" s="6">
        <v>0</v>
      </c>
      <c r="G2635" s="6">
        <v>39</v>
      </c>
      <c r="H2635" s="6" t="s">
        <v>5591</v>
      </c>
      <c r="I2635" s="6">
        <v>526.6875</v>
      </c>
      <c r="J2635" s="2">
        <f t="shared" si="41"/>
        <v>43747.64359699074</v>
      </c>
    </row>
    <row r="2636" spans="1:10" x14ac:dyDescent="0.25">
      <c r="A2636" s="7" t="s">
        <v>5592</v>
      </c>
      <c r="B2636" s="8">
        <v>393.75</v>
      </c>
      <c r="C2636" s="8">
        <v>20.584240000000001</v>
      </c>
      <c r="D2636" s="8">
        <v>46</v>
      </c>
      <c r="E2636" s="8">
        <v>0</v>
      </c>
      <c r="F2636" s="8">
        <v>0</v>
      </c>
      <c r="G2636" s="8">
        <v>51</v>
      </c>
      <c r="H2636" s="8" t="s">
        <v>5593</v>
      </c>
      <c r="I2636" s="8">
        <v>526.6875</v>
      </c>
      <c r="J2636" s="3">
        <f t="shared" si="41"/>
        <v>43747.643668738419</v>
      </c>
    </row>
    <row r="2637" spans="1:10" x14ac:dyDescent="0.25">
      <c r="A2637" s="5" t="s">
        <v>5594</v>
      </c>
      <c r="B2637" s="6">
        <v>412.5</v>
      </c>
      <c r="C2637" s="6">
        <v>20.584240000000001</v>
      </c>
      <c r="D2637" s="6">
        <v>45</v>
      </c>
      <c r="E2637" s="6">
        <v>0</v>
      </c>
      <c r="F2637" s="6">
        <v>0</v>
      </c>
      <c r="G2637" s="6">
        <v>38</v>
      </c>
      <c r="H2637" s="6" t="s">
        <v>5595</v>
      </c>
      <c r="I2637" s="6">
        <v>532.3125</v>
      </c>
      <c r="J2637" s="2">
        <f t="shared" si="41"/>
        <v>43747.643752199067</v>
      </c>
    </row>
    <row r="2638" spans="1:10" x14ac:dyDescent="0.25">
      <c r="A2638" s="7" t="s">
        <v>5596</v>
      </c>
      <c r="B2638" s="8">
        <v>390.625</v>
      </c>
      <c r="C2638" s="8">
        <v>20.584240000000001</v>
      </c>
      <c r="D2638" s="8">
        <v>45</v>
      </c>
      <c r="E2638" s="8">
        <v>0</v>
      </c>
      <c r="F2638" s="8">
        <v>0</v>
      </c>
      <c r="G2638" s="8">
        <v>40</v>
      </c>
      <c r="H2638" s="8" t="s">
        <v>5597</v>
      </c>
      <c r="I2638" s="8">
        <v>525.75</v>
      </c>
      <c r="J2638" s="3">
        <f t="shared" si="41"/>
        <v>43747.643835648145</v>
      </c>
    </row>
    <row r="2639" spans="1:10" x14ac:dyDescent="0.25">
      <c r="A2639" s="5" t="s">
        <v>5598</v>
      </c>
      <c r="B2639" s="6">
        <v>390.625</v>
      </c>
      <c r="C2639" s="6">
        <v>20.531590000000001</v>
      </c>
      <c r="D2639" s="6">
        <v>45</v>
      </c>
      <c r="E2639" s="6">
        <v>0</v>
      </c>
      <c r="F2639" s="6">
        <v>0</v>
      </c>
      <c r="G2639" s="6">
        <v>37</v>
      </c>
      <c r="H2639" s="6" t="s">
        <v>5599</v>
      </c>
      <c r="I2639" s="6">
        <v>525.9375</v>
      </c>
      <c r="J2639" s="2">
        <f t="shared" si="41"/>
        <v>43747.643931238425</v>
      </c>
    </row>
    <row r="2640" spans="1:10" x14ac:dyDescent="0.25">
      <c r="A2640" s="7" t="s">
        <v>5600</v>
      </c>
      <c r="B2640" s="8">
        <v>390.625</v>
      </c>
      <c r="C2640" s="8">
        <v>20.531590000000001</v>
      </c>
      <c r="D2640" s="8">
        <v>45</v>
      </c>
      <c r="E2640" s="8">
        <v>0</v>
      </c>
      <c r="F2640" s="8">
        <v>0</v>
      </c>
      <c r="G2640" s="8">
        <v>48</v>
      </c>
      <c r="H2640" s="8" t="s">
        <v>5601</v>
      </c>
      <c r="I2640" s="8">
        <v>525.9375</v>
      </c>
      <c r="J2640" s="3">
        <f t="shared" si="41"/>
        <v>43747.644002662033</v>
      </c>
    </row>
    <row r="2641" spans="1:10" x14ac:dyDescent="0.25">
      <c r="A2641" s="5" t="s">
        <v>5602</v>
      </c>
      <c r="B2641" s="6">
        <v>390.625</v>
      </c>
      <c r="C2641" s="6">
        <v>20.531590000000001</v>
      </c>
      <c r="D2641" s="6">
        <v>47</v>
      </c>
      <c r="E2641" s="6">
        <v>0</v>
      </c>
      <c r="F2641" s="6">
        <v>0</v>
      </c>
      <c r="G2641" s="6">
        <v>39</v>
      </c>
      <c r="H2641" s="6" t="s">
        <v>5603</v>
      </c>
      <c r="I2641" s="6">
        <v>525.75</v>
      </c>
      <c r="J2641" s="2">
        <f t="shared" si="41"/>
        <v>43747.644085891203</v>
      </c>
    </row>
    <row r="2642" spans="1:10" x14ac:dyDescent="0.25">
      <c r="A2642" s="7" t="s">
        <v>5604</v>
      </c>
      <c r="B2642" s="8">
        <v>390.625</v>
      </c>
      <c r="C2642" s="8">
        <v>20.531590000000001</v>
      </c>
      <c r="D2642" s="8">
        <v>47</v>
      </c>
      <c r="E2642" s="8">
        <v>0</v>
      </c>
      <c r="F2642" s="8">
        <v>0</v>
      </c>
      <c r="G2642" s="8">
        <v>38</v>
      </c>
      <c r="H2642" s="8" t="s">
        <v>5605</v>
      </c>
      <c r="I2642" s="8">
        <v>525.9375</v>
      </c>
      <c r="J2642" s="3">
        <f t="shared" si="41"/>
        <v>43747.644157627314</v>
      </c>
    </row>
    <row r="2643" spans="1:10" x14ac:dyDescent="0.25">
      <c r="A2643" s="5" t="s">
        <v>5606</v>
      </c>
      <c r="B2643" s="6">
        <v>390.625</v>
      </c>
      <c r="C2643" s="6">
        <v>20.584240000000001</v>
      </c>
      <c r="D2643" s="6">
        <v>47</v>
      </c>
      <c r="E2643" s="6">
        <v>0</v>
      </c>
      <c r="F2643" s="6">
        <v>0</v>
      </c>
      <c r="G2643" s="6">
        <v>49</v>
      </c>
      <c r="H2643" s="6" t="s">
        <v>5607</v>
      </c>
      <c r="I2643" s="6">
        <v>525.75</v>
      </c>
      <c r="J2643" s="2">
        <f t="shared" si="41"/>
        <v>43747.644241423608</v>
      </c>
    </row>
    <row r="2644" spans="1:10" x14ac:dyDescent="0.25">
      <c r="A2644" s="7" t="s">
        <v>5608</v>
      </c>
      <c r="B2644" s="8">
        <v>390.625</v>
      </c>
      <c r="C2644" s="8">
        <v>20.584240000000001</v>
      </c>
      <c r="D2644" s="8">
        <v>46</v>
      </c>
      <c r="E2644" s="8">
        <v>0</v>
      </c>
      <c r="F2644" s="8">
        <v>0</v>
      </c>
      <c r="G2644" s="8">
        <v>46</v>
      </c>
      <c r="H2644" s="8" t="s">
        <v>5609</v>
      </c>
      <c r="I2644" s="8">
        <v>525.75</v>
      </c>
      <c r="J2644" s="3">
        <f t="shared" si="41"/>
        <v>43747.644324652771</v>
      </c>
    </row>
    <row r="2645" spans="1:10" x14ac:dyDescent="0.25">
      <c r="A2645" s="5" t="s">
        <v>5610</v>
      </c>
      <c r="B2645" s="6">
        <v>390.625</v>
      </c>
      <c r="C2645" s="6">
        <v>20.584240000000001</v>
      </c>
      <c r="D2645" s="6">
        <v>46</v>
      </c>
      <c r="E2645" s="6">
        <v>0</v>
      </c>
      <c r="F2645" s="6">
        <v>0</v>
      </c>
      <c r="G2645" s="6">
        <v>45</v>
      </c>
      <c r="H2645" s="6" t="s">
        <v>5611</v>
      </c>
      <c r="I2645" s="6">
        <v>525.9375</v>
      </c>
      <c r="J2645" s="2">
        <f t="shared" si="41"/>
        <v>43747.644408101849</v>
      </c>
    </row>
    <row r="2646" spans="1:10" x14ac:dyDescent="0.25">
      <c r="A2646" s="7" t="s">
        <v>5612</v>
      </c>
      <c r="B2646" s="8">
        <v>390.625</v>
      </c>
      <c r="C2646" s="8">
        <v>20.584240000000001</v>
      </c>
      <c r="D2646" s="8">
        <v>47</v>
      </c>
      <c r="E2646" s="8">
        <v>0</v>
      </c>
      <c r="F2646" s="8">
        <v>0</v>
      </c>
      <c r="G2646" s="8">
        <v>37</v>
      </c>
      <c r="H2646" s="8" t="s">
        <v>5613</v>
      </c>
      <c r="I2646" s="8">
        <v>525.9375</v>
      </c>
      <c r="J2646" s="3">
        <f t="shared" si="41"/>
        <v>43747.644491643521</v>
      </c>
    </row>
    <row r="2647" spans="1:10" x14ac:dyDescent="0.25">
      <c r="A2647" s="5" t="s">
        <v>5614</v>
      </c>
      <c r="B2647" s="6">
        <v>390.625</v>
      </c>
      <c r="C2647" s="6">
        <v>20.584240000000001</v>
      </c>
      <c r="D2647" s="6">
        <v>46</v>
      </c>
      <c r="E2647" s="6">
        <v>0</v>
      </c>
      <c r="F2647" s="6">
        <v>0</v>
      </c>
      <c r="G2647" s="6">
        <v>37</v>
      </c>
      <c r="H2647" s="6" t="s">
        <v>5615</v>
      </c>
      <c r="I2647" s="6">
        <v>525.75</v>
      </c>
      <c r="J2647" s="2">
        <f t="shared" si="41"/>
        <v>43747.644574768514</v>
      </c>
    </row>
    <row r="2648" spans="1:10" x14ac:dyDescent="0.25">
      <c r="A2648" s="7" t="s">
        <v>5616</v>
      </c>
      <c r="B2648" s="8">
        <v>390.625</v>
      </c>
      <c r="C2648" s="8">
        <v>20.584240000000001</v>
      </c>
      <c r="D2648" s="8">
        <v>46</v>
      </c>
      <c r="E2648" s="8">
        <v>0</v>
      </c>
      <c r="F2648" s="8">
        <v>0</v>
      </c>
      <c r="G2648" s="8">
        <v>42</v>
      </c>
      <c r="H2648" s="8" t="s">
        <v>5617</v>
      </c>
      <c r="I2648" s="8">
        <v>525.75</v>
      </c>
      <c r="J2648" s="3">
        <f t="shared" si="41"/>
        <v>43747.644646516201</v>
      </c>
    </row>
    <row r="2649" spans="1:10" x14ac:dyDescent="0.25">
      <c r="A2649" s="5" t="s">
        <v>5618</v>
      </c>
      <c r="B2649" s="6">
        <v>390.625</v>
      </c>
      <c r="C2649" s="6">
        <v>20.584240000000001</v>
      </c>
      <c r="D2649" s="6">
        <v>47</v>
      </c>
      <c r="E2649" s="6">
        <v>0</v>
      </c>
      <c r="F2649" s="6">
        <v>0</v>
      </c>
      <c r="G2649" s="6">
        <v>42</v>
      </c>
      <c r="H2649" s="6" t="s">
        <v>5619</v>
      </c>
      <c r="I2649" s="6">
        <v>525.9375</v>
      </c>
      <c r="J2649" s="2">
        <f t="shared" si="41"/>
        <v>43747.644730312495</v>
      </c>
    </row>
    <row r="2650" spans="1:10" x14ac:dyDescent="0.25">
      <c r="A2650" s="7" t="s">
        <v>5620</v>
      </c>
      <c r="B2650" s="8">
        <v>390.625</v>
      </c>
      <c r="C2650" s="8">
        <v>20.584240000000001</v>
      </c>
      <c r="D2650" s="8">
        <v>46</v>
      </c>
      <c r="E2650" s="8">
        <v>0</v>
      </c>
      <c r="F2650" s="8">
        <v>0</v>
      </c>
      <c r="G2650" s="8">
        <v>43</v>
      </c>
      <c r="H2650" s="8" t="s">
        <v>5621</v>
      </c>
      <c r="I2650" s="8">
        <v>525.9375</v>
      </c>
      <c r="J2650" s="3">
        <f t="shared" si="41"/>
        <v>43747.644813518513</v>
      </c>
    </row>
    <row r="2651" spans="1:10" x14ac:dyDescent="0.25">
      <c r="A2651" s="5" t="s">
        <v>5622</v>
      </c>
      <c r="B2651" s="6">
        <v>390.625</v>
      </c>
      <c r="C2651" s="6">
        <v>20.584240000000001</v>
      </c>
      <c r="D2651" s="6">
        <v>47</v>
      </c>
      <c r="E2651" s="6">
        <v>0</v>
      </c>
      <c r="F2651" s="6">
        <v>0</v>
      </c>
      <c r="G2651" s="6">
        <v>37</v>
      </c>
      <c r="H2651" s="6" t="s">
        <v>5623</v>
      </c>
      <c r="I2651" s="6">
        <v>525.9375</v>
      </c>
      <c r="J2651" s="2">
        <f t="shared" si="41"/>
        <v>43747.64489697916</v>
      </c>
    </row>
    <row r="2652" spans="1:10" x14ac:dyDescent="0.25">
      <c r="A2652" s="7" t="s">
        <v>5624</v>
      </c>
      <c r="B2652" s="8">
        <v>390.625</v>
      </c>
      <c r="C2652" s="8">
        <v>20.584240000000001</v>
      </c>
      <c r="D2652" s="8">
        <v>46</v>
      </c>
      <c r="E2652" s="8">
        <v>0</v>
      </c>
      <c r="F2652" s="8">
        <v>0</v>
      </c>
      <c r="G2652" s="8">
        <v>48</v>
      </c>
      <c r="H2652" s="8" t="s">
        <v>5625</v>
      </c>
      <c r="I2652" s="8">
        <v>525.9375</v>
      </c>
      <c r="J2652" s="3">
        <f t="shared" si="41"/>
        <v>43747.644980555553</v>
      </c>
    </row>
    <row r="2653" spans="1:10" x14ac:dyDescent="0.25">
      <c r="A2653" s="5" t="s">
        <v>5626</v>
      </c>
      <c r="B2653" s="6">
        <v>390.625</v>
      </c>
      <c r="C2653" s="6">
        <v>20.584240000000001</v>
      </c>
      <c r="D2653" s="6">
        <v>47</v>
      </c>
      <c r="E2653" s="6">
        <v>0</v>
      </c>
      <c r="F2653" s="6">
        <v>0</v>
      </c>
      <c r="G2653" s="6">
        <v>38</v>
      </c>
      <c r="H2653" s="6" t="s">
        <v>5627</v>
      </c>
      <c r="I2653" s="6">
        <v>525.9375</v>
      </c>
      <c r="J2653" s="2">
        <f t="shared" si="41"/>
        <v>43747.645063645832</v>
      </c>
    </row>
    <row r="2654" spans="1:10" x14ac:dyDescent="0.25">
      <c r="A2654" s="7" t="s">
        <v>5628</v>
      </c>
      <c r="B2654" s="8">
        <v>412.5</v>
      </c>
      <c r="C2654" s="8">
        <v>20.584240000000001</v>
      </c>
      <c r="D2654" s="8">
        <v>47</v>
      </c>
      <c r="E2654" s="8">
        <v>0</v>
      </c>
      <c r="F2654" s="8">
        <v>0</v>
      </c>
      <c r="G2654" s="8">
        <v>42</v>
      </c>
      <c r="H2654" s="8" t="s">
        <v>5629</v>
      </c>
      <c r="I2654" s="8">
        <v>532.125</v>
      </c>
      <c r="J2654" s="3">
        <f t="shared" si="41"/>
        <v>43747.645135300925</v>
      </c>
    </row>
    <row r="2655" spans="1:10" x14ac:dyDescent="0.25">
      <c r="A2655" s="5" t="s">
        <v>5630</v>
      </c>
      <c r="B2655" s="6">
        <v>393.75</v>
      </c>
      <c r="C2655" s="6">
        <v>20.584240000000001</v>
      </c>
      <c r="D2655" s="6">
        <v>45</v>
      </c>
      <c r="E2655" s="6">
        <v>0</v>
      </c>
      <c r="F2655" s="6">
        <v>0</v>
      </c>
      <c r="G2655" s="6">
        <v>42</v>
      </c>
      <c r="H2655" s="6" t="s">
        <v>5631</v>
      </c>
      <c r="I2655" s="6">
        <v>526.6875</v>
      </c>
      <c r="J2655" s="2">
        <f t="shared" si="41"/>
        <v>43747.645219201389</v>
      </c>
    </row>
    <row r="2656" spans="1:10" x14ac:dyDescent="0.25">
      <c r="A2656" s="7" t="s">
        <v>5632</v>
      </c>
      <c r="B2656" s="8">
        <v>393.75</v>
      </c>
      <c r="C2656" s="8">
        <v>20.584240000000001</v>
      </c>
      <c r="D2656" s="8">
        <v>45</v>
      </c>
      <c r="E2656" s="8">
        <v>0</v>
      </c>
      <c r="F2656" s="8">
        <v>0</v>
      </c>
      <c r="G2656" s="8">
        <v>45</v>
      </c>
      <c r="H2656" s="8" t="s">
        <v>5633</v>
      </c>
      <c r="I2656" s="8">
        <v>526.6875</v>
      </c>
      <c r="J2656" s="3">
        <f t="shared" si="41"/>
        <v>43747.645290717592</v>
      </c>
    </row>
    <row r="2657" spans="1:10" x14ac:dyDescent="0.25">
      <c r="A2657" s="5" t="s">
        <v>5634</v>
      </c>
      <c r="B2657" s="6">
        <v>393.75</v>
      </c>
      <c r="C2657" s="6">
        <v>20.531590000000001</v>
      </c>
      <c r="D2657" s="6">
        <v>45</v>
      </c>
      <c r="E2657" s="6">
        <v>0</v>
      </c>
      <c r="F2657" s="6">
        <v>0</v>
      </c>
      <c r="G2657" s="6">
        <v>35</v>
      </c>
      <c r="H2657" s="6" t="s">
        <v>5635</v>
      </c>
      <c r="I2657" s="6">
        <v>526.6875</v>
      </c>
      <c r="J2657" s="2">
        <f t="shared" si="41"/>
        <v>43747.645374062493</v>
      </c>
    </row>
    <row r="2658" spans="1:10" x14ac:dyDescent="0.25">
      <c r="A2658" s="7" t="s">
        <v>5636</v>
      </c>
      <c r="B2658" s="8">
        <v>393.75</v>
      </c>
      <c r="C2658" s="8">
        <v>20.584240000000001</v>
      </c>
      <c r="D2658" s="8">
        <v>36</v>
      </c>
      <c r="E2658" s="8">
        <v>0</v>
      </c>
      <c r="F2658" s="8">
        <v>0</v>
      </c>
      <c r="G2658" s="8">
        <v>0</v>
      </c>
      <c r="H2658" s="8" t="s">
        <v>5637</v>
      </c>
      <c r="I2658" s="8">
        <v>526.6875</v>
      </c>
      <c r="J2658" s="3">
        <f t="shared" si="41"/>
        <v>43747.645715300925</v>
      </c>
    </row>
    <row r="2659" spans="1:10" x14ac:dyDescent="0.25">
      <c r="A2659" s="5" t="s">
        <v>5638</v>
      </c>
      <c r="B2659" s="6">
        <v>393.75</v>
      </c>
      <c r="C2659" s="6">
        <v>20.584240000000001</v>
      </c>
      <c r="D2659" s="6">
        <v>39</v>
      </c>
      <c r="E2659" s="6">
        <v>0</v>
      </c>
      <c r="F2659" s="6">
        <v>0</v>
      </c>
      <c r="G2659" s="6">
        <v>0</v>
      </c>
      <c r="H2659" s="6" t="s">
        <v>5639</v>
      </c>
      <c r="I2659" s="6">
        <v>526.6875</v>
      </c>
      <c r="J2659" s="2">
        <f t="shared" si="41"/>
        <v>43747.645797916666</v>
      </c>
    </row>
    <row r="2660" spans="1:10" x14ac:dyDescent="0.25">
      <c r="A2660" s="7" t="s">
        <v>5640</v>
      </c>
      <c r="B2660" s="8">
        <v>393.75</v>
      </c>
      <c r="C2660" s="8">
        <v>20.531590000000001</v>
      </c>
      <c r="D2660" s="8">
        <v>40</v>
      </c>
      <c r="E2660" s="8">
        <v>0</v>
      </c>
      <c r="F2660" s="8">
        <v>0</v>
      </c>
      <c r="G2660" s="8">
        <v>0</v>
      </c>
      <c r="H2660" s="8" t="s">
        <v>5641</v>
      </c>
      <c r="I2660" s="8">
        <v>526.6875</v>
      </c>
      <c r="J2660" s="3">
        <f t="shared" si="41"/>
        <v>43747.645882175922</v>
      </c>
    </row>
    <row r="2661" spans="1:10" x14ac:dyDescent="0.25">
      <c r="A2661" s="5" t="s">
        <v>5642</v>
      </c>
      <c r="B2661" s="6">
        <v>393.75</v>
      </c>
      <c r="C2661" s="6">
        <v>20.584240000000001</v>
      </c>
      <c r="D2661" s="6">
        <v>41</v>
      </c>
      <c r="E2661" s="6">
        <v>0</v>
      </c>
      <c r="F2661" s="6">
        <v>0</v>
      </c>
      <c r="G2661" s="6">
        <v>1</v>
      </c>
      <c r="H2661" s="6" t="s">
        <v>5643</v>
      </c>
      <c r="I2661" s="6">
        <v>526.6875</v>
      </c>
      <c r="J2661" s="2">
        <f t="shared" si="41"/>
        <v>43747.645964826392</v>
      </c>
    </row>
    <row r="2662" spans="1:10" x14ac:dyDescent="0.25">
      <c r="A2662" s="7" t="s">
        <v>5644</v>
      </c>
      <c r="B2662" s="8">
        <v>393.75</v>
      </c>
      <c r="C2662" s="8">
        <v>20.584240000000001</v>
      </c>
      <c r="D2662" s="8">
        <v>43</v>
      </c>
      <c r="E2662" s="8">
        <v>0</v>
      </c>
      <c r="F2662" s="8">
        <v>0</v>
      </c>
      <c r="G2662" s="8">
        <v>0</v>
      </c>
      <c r="H2662" s="8" t="s">
        <v>5645</v>
      </c>
      <c r="I2662" s="8">
        <v>526.6875</v>
      </c>
      <c r="J2662" s="3">
        <f t="shared" si="41"/>
        <v>43747.646048263887</v>
      </c>
    </row>
    <row r="2663" spans="1:10" x14ac:dyDescent="0.25">
      <c r="A2663" s="5" t="s">
        <v>5646</v>
      </c>
      <c r="B2663" s="6">
        <v>393.75</v>
      </c>
      <c r="C2663" s="6">
        <v>20.584240000000001</v>
      </c>
      <c r="D2663" s="6">
        <v>45</v>
      </c>
      <c r="E2663" s="6">
        <v>0</v>
      </c>
      <c r="F2663" s="6">
        <v>0</v>
      </c>
      <c r="G2663" s="6">
        <v>0</v>
      </c>
      <c r="H2663" s="6" t="s">
        <v>5647</v>
      </c>
      <c r="I2663" s="6">
        <v>526.6875</v>
      </c>
      <c r="J2663" s="2">
        <f t="shared" si="41"/>
        <v>43747.64613173611</v>
      </c>
    </row>
    <row r="2664" spans="1:10" x14ac:dyDescent="0.25">
      <c r="A2664" s="7" t="s">
        <v>5648</v>
      </c>
      <c r="B2664" s="8">
        <v>393.75</v>
      </c>
      <c r="C2664" s="8">
        <v>20.584240000000001</v>
      </c>
      <c r="D2664" s="8">
        <v>45</v>
      </c>
      <c r="E2664" s="8">
        <v>0</v>
      </c>
      <c r="F2664" s="8">
        <v>0</v>
      </c>
      <c r="G2664" s="8">
        <v>0</v>
      </c>
      <c r="H2664" s="8" t="s">
        <v>5649</v>
      </c>
      <c r="I2664" s="8">
        <v>526.6875</v>
      </c>
      <c r="J2664" s="3">
        <f t="shared" si="41"/>
        <v>43747.646215300927</v>
      </c>
    </row>
    <row r="2665" spans="1:10" x14ac:dyDescent="0.25">
      <c r="A2665" s="5" t="s">
        <v>5650</v>
      </c>
      <c r="B2665" s="6">
        <v>393.75</v>
      </c>
      <c r="C2665" s="6">
        <v>20.531590000000001</v>
      </c>
      <c r="D2665" s="6">
        <v>46</v>
      </c>
      <c r="E2665" s="6">
        <v>0</v>
      </c>
      <c r="F2665" s="6">
        <v>0</v>
      </c>
      <c r="G2665" s="6">
        <v>3</v>
      </c>
      <c r="H2665" s="6" t="s">
        <v>5651</v>
      </c>
      <c r="I2665" s="6">
        <v>526.6875</v>
      </c>
      <c r="J2665" s="2">
        <f t="shared" si="41"/>
        <v>43747.646298738422</v>
      </c>
    </row>
    <row r="2666" spans="1:10" x14ac:dyDescent="0.25">
      <c r="A2666" s="7" t="s">
        <v>5652</v>
      </c>
      <c r="B2666" s="8">
        <v>393.75</v>
      </c>
      <c r="C2666" s="8">
        <v>20.531590000000001</v>
      </c>
      <c r="D2666" s="8">
        <v>47</v>
      </c>
      <c r="E2666" s="8">
        <v>0</v>
      </c>
      <c r="F2666" s="8">
        <v>0</v>
      </c>
      <c r="G2666" s="8">
        <v>0</v>
      </c>
      <c r="H2666" s="8" t="s">
        <v>5653</v>
      </c>
      <c r="I2666" s="8">
        <v>526.5</v>
      </c>
      <c r="J2666" s="3">
        <f t="shared" si="41"/>
        <v>43747.6463821875</v>
      </c>
    </row>
    <row r="2667" spans="1:10" x14ac:dyDescent="0.25">
      <c r="A2667" s="5" t="s">
        <v>5654</v>
      </c>
      <c r="B2667" s="6">
        <v>393.75</v>
      </c>
      <c r="C2667" s="6">
        <v>20.584240000000001</v>
      </c>
      <c r="D2667" s="6">
        <v>44</v>
      </c>
      <c r="E2667" s="6">
        <v>0</v>
      </c>
      <c r="F2667" s="6">
        <v>0</v>
      </c>
      <c r="G2667" s="6">
        <v>2</v>
      </c>
      <c r="H2667" s="6" t="s">
        <v>5655</v>
      </c>
      <c r="I2667" s="6">
        <v>526.6875</v>
      </c>
      <c r="J2667" s="2">
        <f t="shared" si="41"/>
        <v>43747.646465636572</v>
      </c>
    </row>
    <row r="2668" spans="1:10" x14ac:dyDescent="0.25">
      <c r="A2668" s="7" t="s">
        <v>5656</v>
      </c>
      <c r="B2668" s="8">
        <v>393.75</v>
      </c>
      <c r="C2668" s="8">
        <v>20.531590000000001</v>
      </c>
      <c r="D2668" s="8">
        <v>45</v>
      </c>
      <c r="E2668" s="8">
        <v>0</v>
      </c>
      <c r="F2668" s="8">
        <v>0</v>
      </c>
      <c r="G2668" s="8">
        <v>8</v>
      </c>
      <c r="H2668" s="8" t="s">
        <v>5657</v>
      </c>
      <c r="I2668" s="8">
        <v>526.6875</v>
      </c>
      <c r="J2668" s="3">
        <f t="shared" si="41"/>
        <v>43747.646548854165</v>
      </c>
    </row>
    <row r="2669" spans="1:10" x14ac:dyDescent="0.25">
      <c r="A2669" s="5" t="s">
        <v>5658</v>
      </c>
      <c r="B2669" s="6">
        <v>393.75</v>
      </c>
      <c r="C2669" s="6">
        <v>20.584240000000001</v>
      </c>
      <c r="D2669" s="6">
        <v>45</v>
      </c>
      <c r="E2669" s="6">
        <v>0</v>
      </c>
      <c r="F2669" s="6">
        <v>0</v>
      </c>
      <c r="G2669" s="6">
        <v>4</v>
      </c>
      <c r="H2669" s="6" t="s">
        <v>5659</v>
      </c>
      <c r="I2669" s="6">
        <v>526.6875</v>
      </c>
      <c r="J2669" s="2">
        <f t="shared" si="41"/>
        <v>43747.646620613428</v>
      </c>
    </row>
    <row r="2670" spans="1:10" x14ac:dyDescent="0.25">
      <c r="A2670" s="7" t="s">
        <v>5660</v>
      </c>
      <c r="B2670" s="8">
        <v>393.75</v>
      </c>
      <c r="C2670" s="8">
        <v>20.584240000000001</v>
      </c>
      <c r="D2670" s="8">
        <v>45</v>
      </c>
      <c r="E2670" s="8">
        <v>0</v>
      </c>
      <c r="F2670" s="8">
        <v>0</v>
      </c>
      <c r="G2670" s="8">
        <v>9</v>
      </c>
      <c r="H2670" s="8" t="s">
        <v>5661</v>
      </c>
      <c r="I2670" s="8">
        <v>526.6875</v>
      </c>
      <c r="J2670" s="3">
        <f t="shared" si="41"/>
        <v>43747.646704074075</v>
      </c>
    </row>
    <row r="2671" spans="1:10" x14ac:dyDescent="0.25">
      <c r="A2671" s="5" t="s">
        <v>5662</v>
      </c>
      <c r="B2671" s="6">
        <v>393.75</v>
      </c>
      <c r="C2671" s="6">
        <v>20.531590000000001</v>
      </c>
      <c r="D2671" s="6">
        <v>44</v>
      </c>
      <c r="E2671" s="6">
        <v>0</v>
      </c>
      <c r="F2671" s="6">
        <v>0</v>
      </c>
      <c r="G2671" s="6">
        <v>17</v>
      </c>
      <c r="H2671" s="6" t="s">
        <v>5663</v>
      </c>
      <c r="I2671" s="6">
        <v>526.6875</v>
      </c>
      <c r="J2671" s="2">
        <f t="shared" si="41"/>
        <v>43747.646787731479</v>
      </c>
    </row>
    <row r="2672" spans="1:10" x14ac:dyDescent="0.25">
      <c r="A2672" s="7" t="s">
        <v>5664</v>
      </c>
      <c r="B2672" s="8">
        <v>393.75</v>
      </c>
      <c r="C2672" s="8">
        <v>20.584240000000001</v>
      </c>
      <c r="D2672" s="8">
        <v>45</v>
      </c>
      <c r="E2672" s="8">
        <v>0</v>
      </c>
      <c r="F2672" s="8">
        <v>0</v>
      </c>
      <c r="G2672" s="8">
        <v>12</v>
      </c>
      <c r="H2672" s="8" t="s">
        <v>5665</v>
      </c>
      <c r="I2672" s="8">
        <v>526.6875</v>
      </c>
      <c r="J2672" s="3">
        <f t="shared" si="41"/>
        <v>43747.646871064811</v>
      </c>
    </row>
    <row r="2673" spans="1:10" x14ac:dyDescent="0.25">
      <c r="A2673" s="5" t="s">
        <v>5666</v>
      </c>
      <c r="B2673" s="6">
        <v>390.625</v>
      </c>
      <c r="C2673" s="6">
        <v>20.584240000000001</v>
      </c>
      <c r="D2673" s="6">
        <v>43</v>
      </c>
      <c r="E2673" s="6">
        <v>0</v>
      </c>
      <c r="F2673" s="6">
        <v>0</v>
      </c>
      <c r="G2673" s="6">
        <v>2</v>
      </c>
      <c r="H2673" s="6" t="s">
        <v>5667</v>
      </c>
      <c r="I2673" s="6">
        <v>525.9375</v>
      </c>
      <c r="J2673" s="2">
        <f t="shared" si="41"/>
        <v>43747.646954525459</v>
      </c>
    </row>
    <row r="2674" spans="1:10" x14ac:dyDescent="0.25">
      <c r="A2674" s="7" t="s">
        <v>5668</v>
      </c>
      <c r="B2674" s="8">
        <v>390.625</v>
      </c>
      <c r="C2674" s="8">
        <v>20.584240000000001</v>
      </c>
      <c r="D2674" s="8">
        <v>42</v>
      </c>
      <c r="E2674" s="8">
        <v>0</v>
      </c>
      <c r="F2674" s="8">
        <v>0</v>
      </c>
      <c r="G2674" s="8">
        <v>0</v>
      </c>
      <c r="H2674" s="8" t="s">
        <v>5669</v>
      </c>
      <c r="I2674" s="8">
        <v>525.9375</v>
      </c>
      <c r="J2674" s="3">
        <f t="shared" si="41"/>
        <v>43747.647037731476</v>
      </c>
    </row>
    <row r="2675" spans="1:10" x14ac:dyDescent="0.25">
      <c r="A2675" s="5" t="s">
        <v>5670</v>
      </c>
      <c r="B2675" s="6">
        <v>390.625</v>
      </c>
      <c r="C2675" s="6">
        <v>20.584240000000001</v>
      </c>
      <c r="D2675" s="6">
        <v>42</v>
      </c>
      <c r="E2675" s="6">
        <v>0</v>
      </c>
      <c r="F2675" s="6">
        <v>0</v>
      </c>
      <c r="G2675" s="6">
        <v>10</v>
      </c>
      <c r="H2675" s="6" t="s">
        <v>5671</v>
      </c>
      <c r="I2675" s="6">
        <v>525.9375</v>
      </c>
      <c r="J2675" s="2">
        <f t="shared" si="41"/>
        <v>43747.647109502308</v>
      </c>
    </row>
    <row r="2676" spans="1:10" x14ac:dyDescent="0.25">
      <c r="A2676" s="7" t="s">
        <v>5672</v>
      </c>
      <c r="B2676" s="8">
        <v>393.75</v>
      </c>
      <c r="C2676" s="8">
        <v>20.584240000000001</v>
      </c>
      <c r="D2676" s="8">
        <v>44</v>
      </c>
      <c r="E2676" s="8">
        <v>0</v>
      </c>
      <c r="F2676" s="8">
        <v>0</v>
      </c>
      <c r="G2676" s="8">
        <v>0</v>
      </c>
      <c r="H2676" s="8" t="s">
        <v>5673</v>
      </c>
      <c r="I2676" s="8">
        <v>526.6875</v>
      </c>
      <c r="J2676" s="3">
        <f t="shared" si="41"/>
        <v>43747.647193391203</v>
      </c>
    </row>
    <row r="2677" spans="1:10" x14ac:dyDescent="0.25">
      <c r="A2677" s="5" t="s">
        <v>5674</v>
      </c>
      <c r="B2677" s="6">
        <v>393.75</v>
      </c>
      <c r="C2677" s="6">
        <v>20.531590000000001</v>
      </c>
      <c r="D2677" s="6">
        <v>45</v>
      </c>
      <c r="E2677" s="6">
        <v>0</v>
      </c>
      <c r="F2677" s="6">
        <v>0</v>
      </c>
      <c r="G2677" s="6">
        <v>6</v>
      </c>
      <c r="H2677" s="6" t="s">
        <v>5675</v>
      </c>
      <c r="I2677" s="6">
        <v>526.6875</v>
      </c>
      <c r="J2677" s="2">
        <f t="shared" si="41"/>
        <v>43747.647276504627</v>
      </c>
    </row>
    <row r="2678" spans="1:10" x14ac:dyDescent="0.25">
      <c r="A2678" s="7" t="s">
        <v>5676</v>
      </c>
      <c r="B2678" s="8">
        <v>393.75</v>
      </c>
      <c r="C2678" s="8">
        <v>20.584240000000001</v>
      </c>
      <c r="D2678" s="8">
        <v>45</v>
      </c>
      <c r="E2678" s="8">
        <v>0</v>
      </c>
      <c r="F2678" s="8">
        <v>0</v>
      </c>
      <c r="G2678" s="8">
        <v>6</v>
      </c>
      <c r="H2678" s="8" t="s">
        <v>5677</v>
      </c>
      <c r="I2678" s="8">
        <v>526.6875</v>
      </c>
      <c r="J2678" s="3">
        <f t="shared" si="41"/>
        <v>43747.647360046292</v>
      </c>
    </row>
    <row r="2679" spans="1:10" x14ac:dyDescent="0.25">
      <c r="A2679" s="5" t="s">
        <v>5678</v>
      </c>
      <c r="B2679" s="6">
        <v>393.75</v>
      </c>
      <c r="C2679" s="6">
        <v>20.584240000000001</v>
      </c>
      <c r="D2679" s="6">
        <v>45</v>
      </c>
      <c r="E2679" s="6">
        <v>0</v>
      </c>
      <c r="F2679" s="6">
        <v>0</v>
      </c>
      <c r="G2679" s="6">
        <v>11</v>
      </c>
      <c r="H2679" s="6" t="s">
        <v>5679</v>
      </c>
      <c r="I2679" s="6">
        <v>526.6875</v>
      </c>
      <c r="J2679" s="2">
        <f t="shared" si="41"/>
        <v>43747.647443553236</v>
      </c>
    </row>
    <row r="2680" spans="1:10" x14ac:dyDescent="0.25">
      <c r="A2680" s="7" t="s">
        <v>5680</v>
      </c>
      <c r="B2680" s="8">
        <v>393.75</v>
      </c>
      <c r="C2680" s="8">
        <v>20.531590000000001</v>
      </c>
      <c r="D2680" s="8">
        <v>47</v>
      </c>
      <c r="E2680" s="8">
        <v>0</v>
      </c>
      <c r="F2680" s="8">
        <v>0</v>
      </c>
      <c r="G2680" s="8">
        <v>0</v>
      </c>
      <c r="H2680" s="8" t="s">
        <v>5681</v>
      </c>
      <c r="I2680" s="8">
        <v>526.6875</v>
      </c>
      <c r="J2680" s="3">
        <f t="shared" si="41"/>
        <v>43747.647526631939</v>
      </c>
    </row>
    <row r="2681" spans="1:10" x14ac:dyDescent="0.25">
      <c r="A2681" s="5" t="s">
        <v>5682</v>
      </c>
      <c r="B2681" s="6">
        <v>393.75</v>
      </c>
      <c r="C2681" s="6">
        <v>20.584240000000001</v>
      </c>
      <c r="D2681" s="6">
        <v>47</v>
      </c>
      <c r="E2681" s="6">
        <v>0</v>
      </c>
      <c r="F2681" s="6">
        <v>0</v>
      </c>
      <c r="G2681" s="6">
        <v>9</v>
      </c>
      <c r="H2681" s="6" t="s">
        <v>5683</v>
      </c>
      <c r="I2681" s="6">
        <v>526.6875</v>
      </c>
      <c r="J2681" s="2">
        <f t="shared" si="41"/>
        <v>43747.647598495365</v>
      </c>
    </row>
    <row r="2682" spans="1:10" x14ac:dyDescent="0.25">
      <c r="A2682" s="7" t="s">
        <v>5684</v>
      </c>
      <c r="B2682" s="8">
        <v>393.75</v>
      </c>
      <c r="C2682" s="8">
        <v>20.584240000000001</v>
      </c>
      <c r="D2682" s="8">
        <v>48</v>
      </c>
      <c r="E2682" s="8">
        <v>0</v>
      </c>
      <c r="F2682" s="8">
        <v>0</v>
      </c>
      <c r="G2682" s="8">
        <v>7</v>
      </c>
      <c r="H2682" s="8" t="s">
        <v>5685</v>
      </c>
      <c r="I2682" s="8">
        <v>526.6875</v>
      </c>
      <c r="J2682" s="3">
        <f t="shared" si="41"/>
        <v>43747.647682175921</v>
      </c>
    </row>
    <row r="2683" spans="1:10" x14ac:dyDescent="0.25">
      <c r="A2683" s="5" t="s">
        <v>5686</v>
      </c>
      <c r="B2683" s="6">
        <v>412.5</v>
      </c>
      <c r="C2683" s="6">
        <v>20.584240000000001</v>
      </c>
      <c r="D2683" s="6">
        <v>48</v>
      </c>
      <c r="E2683" s="6">
        <v>0</v>
      </c>
      <c r="F2683" s="6">
        <v>0</v>
      </c>
      <c r="G2683" s="6">
        <v>9</v>
      </c>
      <c r="H2683" s="6" t="s">
        <v>5687</v>
      </c>
      <c r="I2683" s="6">
        <v>532.5</v>
      </c>
      <c r="J2683" s="2">
        <f t="shared" si="41"/>
        <v>43747.64776540509</v>
      </c>
    </row>
    <row r="2684" spans="1:10" x14ac:dyDescent="0.25">
      <c r="A2684" s="7" t="s">
        <v>5688</v>
      </c>
      <c r="B2684" s="8">
        <v>393.75</v>
      </c>
      <c r="C2684" s="8">
        <v>20.584240000000001</v>
      </c>
      <c r="D2684" s="8">
        <v>48</v>
      </c>
      <c r="E2684" s="8">
        <v>0</v>
      </c>
      <c r="F2684" s="8">
        <v>0</v>
      </c>
      <c r="G2684" s="8">
        <v>8</v>
      </c>
      <c r="H2684" s="8" t="s">
        <v>5689</v>
      </c>
      <c r="I2684" s="8">
        <v>526.6875</v>
      </c>
      <c r="J2684" s="3">
        <f t="shared" si="41"/>
        <v>43747.647848854169</v>
      </c>
    </row>
    <row r="2685" spans="1:10" x14ac:dyDescent="0.25">
      <c r="A2685" s="5" t="s">
        <v>5690</v>
      </c>
      <c r="B2685" s="6">
        <v>393.75</v>
      </c>
      <c r="C2685" s="6">
        <v>20.531590000000001</v>
      </c>
      <c r="D2685" s="6">
        <v>47</v>
      </c>
      <c r="E2685" s="6">
        <v>0</v>
      </c>
      <c r="F2685" s="6">
        <v>0</v>
      </c>
      <c r="G2685" s="6">
        <v>14</v>
      </c>
      <c r="H2685" s="6" t="s">
        <v>5691</v>
      </c>
      <c r="I2685" s="6">
        <v>526.6875</v>
      </c>
      <c r="J2685" s="2">
        <f t="shared" si="41"/>
        <v>43747.647932291664</v>
      </c>
    </row>
    <row r="2686" spans="1:10" x14ac:dyDescent="0.25">
      <c r="A2686" s="7" t="s">
        <v>5692</v>
      </c>
      <c r="B2686" s="8">
        <v>393.75</v>
      </c>
      <c r="C2686" s="8">
        <v>20.531590000000001</v>
      </c>
      <c r="D2686" s="8">
        <v>46</v>
      </c>
      <c r="E2686" s="8">
        <v>0</v>
      </c>
      <c r="F2686" s="8">
        <v>0</v>
      </c>
      <c r="G2686" s="8">
        <v>4</v>
      </c>
      <c r="H2686" s="8" t="s">
        <v>5693</v>
      </c>
      <c r="I2686" s="8">
        <v>526.6875</v>
      </c>
      <c r="J2686" s="3">
        <f t="shared" si="41"/>
        <v>43747.648015497682</v>
      </c>
    </row>
    <row r="2687" spans="1:10" x14ac:dyDescent="0.25">
      <c r="A2687" s="5" t="s">
        <v>5694</v>
      </c>
      <c r="B2687" s="6">
        <v>393.75</v>
      </c>
      <c r="C2687" s="6">
        <v>20.584240000000001</v>
      </c>
      <c r="D2687" s="6">
        <v>46</v>
      </c>
      <c r="E2687" s="6">
        <v>0</v>
      </c>
      <c r="F2687" s="6">
        <v>0</v>
      </c>
      <c r="G2687" s="6">
        <v>14</v>
      </c>
      <c r="H2687" s="6" t="s">
        <v>5695</v>
      </c>
      <c r="I2687" s="6">
        <v>526.6875</v>
      </c>
      <c r="J2687" s="2">
        <f t="shared" si="41"/>
        <v>43747.648087268513</v>
      </c>
    </row>
    <row r="2688" spans="1:10" x14ac:dyDescent="0.25">
      <c r="A2688" s="7" t="s">
        <v>5696</v>
      </c>
      <c r="B2688" s="8">
        <v>393.75</v>
      </c>
      <c r="C2688" s="8">
        <v>20.531590000000001</v>
      </c>
      <c r="D2688" s="8">
        <v>46</v>
      </c>
      <c r="E2688" s="8">
        <v>0</v>
      </c>
      <c r="F2688" s="8">
        <v>0</v>
      </c>
      <c r="G2688" s="8">
        <v>1</v>
      </c>
      <c r="H2688" s="8" t="s">
        <v>5697</v>
      </c>
      <c r="I2688" s="8">
        <v>526.6875</v>
      </c>
      <c r="J2688" s="3">
        <f t="shared" si="41"/>
        <v>43747.648182974539</v>
      </c>
    </row>
    <row r="2689" spans="1:10" x14ac:dyDescent="0.25">
      <c r="A2689" s="5" t="s">
        <v>5698</v>
      </c>
      <c r="B2689" s="6">
        <v>393.75</v>
      </c>
      <c r="C2689" s="6">
        <v>20.584240000000001</v>
      </c>
      <c r="D2689" s="6">
        <v>46</v>
      </c>
      <c r="E2689" s="6">
        <v>0</v>
      </c>
      <c r="F2689" s="6">
        <v>0</v>
      </c>
      <c r="G2689" s="6">
        <v>6</v>
      </c>
      <c r="H2689" s="6" t="s">
        <v>5699</v>
      </c>
      <c r="I2689" s="6">
        <v>526.6875</v>
      </c>
      <c r="J2689" s="2">
        <f t="shared" si="41"/>
        <v>43747.648254317122</v>
      </c>
    </row>
    <row r="2690" spans="1:10" x14ac:dyDescent="0.25">
      <c r="A2690" s="7" t="s">
        <v>5700</v>
      </c>
      <c r="B2690" s="8">
        <v>393.75</v>
      </c>
      <c r="C2690" s="8">
        <v>20.584240000000001</v>
      </c>
      <c r="D2690" s="8">
        <v>46</v>
      </c>
      <c r="E2690" s="8">
        <v>0</v>
      </c>
      <c r="F2690" s="8">
        <v>0</v>
      </c>
      <c r="G2690" s="8">
        <v>9</v>
      </c>
      <c r="H2690" s="8" t="s">
        <v>5701</v>
      </c>
      <c r="I2690" s="8">
        <v>526.6875</v>
      </c>
      <c r="J2690" s="3">
        <f t="shared" ref="J2690:J2753" si="42">(H2690/86400000)+25569+(7/24)</f>
        <v>43747.64833773148</v>
      </c>
    </row>
    <row r="2691" spans="1:10" x14ac:dyDescent="0.25">
      <c r="A2691" s="5" t="s">
        <v>5702</v>
      </c>
      <c r="B2691" s="6">
        <v>393.75</v>
      </c>
      <c r="C2691" s="6">
        <v>20.584240000000001</v>
      </c>
      <c r="D2691" s="6">
        <v>46</v>
      </c>
      <c r="E2691" s="6">
        <v>0</v>
      </c>
      <c r="F2691" s="6">
        <v>0</v>
      </c>
      <c r="G2691" s="6">
        <v>10</v>
      </c>
      <c r="H2691" s="6" t="s">
        <v>5703</v>
      </c>
      <c r="I2691" s="6">
        <v>526.6875</v>
      </c>
      <c r="J2691" s="2">
        <f t="shared" si="42"/>
        <v>43747.648421284721</v>
      </c>
    </row>
    <row r="2692" spans="1:10" x14ac:dyDescent="0.25">
      <c r="A2692" s="7" t="s">
        <v>5704</v>
      </c>
      <c r="B2692" s="8">
        <v>393.75</v>
      </c>
      <c r="C2692" s="8">
        <v>20.531590000000001</v>
      </c>
      <c r="D2692" s="8">
        <v>45</v>
      </c>
      <c r="E2692" s="8">
        <v>0</v>
      </c>
      <c r="F2692" s="8">
        <v>0</v>
      </c>
      <c r="G2692" s="8">
        <v>10</v>
      </c>
      <c r="H2692" s="8" t="s">
        <v>5705</v>
      </c>
      <c r="I2692" s="8">
        <v>526.6875</v>
      </c>
      <c r="J2692" s="3">
        <f t="shared" si="42"/>
        <v>43747.64851663194</v>
      </c>
    </row>
    <row r="2693" spans="1:10" x14ac:dyDescent="0.25">
      <c r="A2693" s="5" t="s">
        <v>5706</v>
      </c>
      <c r="B2693" s="6">
        <v>393.75</v>
      </c>
      <c r="C2693" s="6">
        <v>20.584240000000001</v>
      </c>
      <c r="D2693" s="6">
        <v>45</v>
      </c>
      <c r="E2693" s="6">
        <v>0</v>
      </c>
      <c r="F2693" s="6">
        <v>0</v>
      </c>
      <c r="G2693" s="6">
        <v>8</v>
      </c>
      <c r="H2693" s="6" t="s">
        <v>5707</v>
      </c>
      <c r="I2693" s="6">
        <v>526.6875</v>
      </c>
      <c r="J2693" s="2">
        <f t="shared" si="42"/>
        <v>43747.648600092587</v>
      </c>
    </row>
    <row r="2694" spans="1:10" x14ac:dyDescent="0.25">
      <c r="A2694" s="7" t="s">
        <v>5708</v>
      </c>
      <c r="B2694" s="8">
        <v>415.625</v>
      </c>
      <c r="C2694" s="8">
        <v>20.531590000000001</v>
      </c>
      <c r="D2694" s="8">
        <v>45</v>
      </c>
      <c r="E2694" s="8">
        <v>0</v>
      </c>
      <c r="F2694" s="8">
        <v>0</v>
      </c>
      <c r="G2694" s="8">
        <v>5</v>
      </c>
      <c r="H2694" s="8" t="s">
        <v>5709</v>
      </c>
      <c r="I2694" s="8">
        <v>533.25</v>
      </c>
      <c r="J2694" s="3">
        <f t="shared" si="42"/>
        <v>43747.648683541665</v>
      </c>
    </row>
    <row r="2695" spans="1:10" x14ac:dyDescent="0.25">
      <c r="A2695" s="5" t="s">
        <v>5710</v>
      </c>
      <c r="B2695" s="6">
        <v>393.75</v>
      </c>
      <c r="C2695" s="6">
        <v>20.531590000000001</v>
      </c>
      <c r="D2695" s="6">
        <v>44</v>
      </c>
      <c r="E2695" s="6">
        <v>0</v>
      </c>
      <c r="F2695" s="6">
        <v>0</v>
      </c>
      <c r="G2695" s="6">
        <v>7</v>
      </c>
      <c r="H2695" s="6" t="s">
        <v>5711</v>
      </c>
      <c r="I2695" s="6">
        <v>526.6875</v>
      </c>
      <c r="J2695" s="2">
        <f t="shared" si="42"/>
        <v>43747.648767002313</v>
      </c>
    </row>
    <row r="2696" spans="1:10" x14ac:dyDescent="0.25">
      <c r="A2696" s="7" t="s">
        <v>5712</v>
      </c>
      <c r="B2696" s="8">
        <v>393.75</v>
      </c>
      <c r="C2696" s="8">
        <v>20.584240000000001</v>
      </c>
      <c r="D2696" s="8">
        <v>44</v>
      </c>
      <c r="E2696" s="8">
        <v>0</v>
      </c>
      <c r="F2696" s="8">
        <v>0</v>
      </c>
      <c r="G2696" s="8">
        <v>0</v>
      </c>
      <c r="H2696" s="8" t="s">
        <v>5713</v>
      </c>
      <c r="I2696" s="8">
        <v>526.6875</v>
      </c>
      <c r="J2696" s="3">
        <f t="shared" si="42"/>
        <v>43747.648850543977</v>
      </c>
    </row>
    <row r="2697" spans="1:10" x14ac:dyDescent="0.25">
      <c r="A2697" s="5" t="s">
        <v>5714</v>
      </c>
      <c r="B2697" s="6">
        <v>393.75</v>
      </c>
      <c r="C2697" s="6">
        <v>20.584240000000001</v>
      </c>
      <c r="D2697" s="6">
        <v>45</v>
      </c>
      <c r="E2697" s="6">
        <v>0</v>
      </c>
      <c r="F2697" s="6">
        <v>0</v>
      </c>
      <c r="G2697" s="6">
        <v>5</v>
      </c>
      <c r="H2697" s="6" t="s">
        <v>5715</v>
      </c>
      <c r="I2697" s="6">
        <v>526.6875</v>
      </c>
      <c r="J2697" s="2">
        <f t="shared" si="42"/>
        <v>43747.648934004632</v>
      </c>
    </row>
    <row r="2698" spans="1:10" x14ac:dyDescent="0.25">
      <c r="A2698" s="7" t="s">
        <v>5716</v>
      </c>
      <c r="B2698" s="8">
        <v>393.75</v>
      </c>
      <c r="C2698" s="8">
        <v>20.584240000000001</v>
      </c>
      <c r="D2698" s="8">
        <v>45</v>
      </c>
      <c r="E2698" s="8">
        <v>0</v>
      </c>
      <c r="F2698" s="8">
        <v>0</v>
      </c>
      <c r="G2698" s="8">
        <v>3</v>
      </c>
      <c r="H2698" s="8" t="s">
        <v>5717</v>
      </c>
      <c r="I2698" s="8">
        <v>526.6875</v>
      </c>
      <c r="J2698" s="3">
        <f t="shared" si="42"/>
        <v>43747.649017442127</v>
      </c>
    </row>
    <row r="2699" spans="1:10" x14ac:dyDescent="0.25">
      <c r="A2699" s="5" t="s">
        <v>5718</v>
      </c>
      <c r="B2699" s="6">
        <v>415.625</v>
      </c>
      <c r="C2699" s="6">
        <v>20.584240000000001</v>
      </c>
      <c r="D2699" s="6">
        <v>45</v>
      </c>
      <c r="E2699" s="6">
        <v>0</v>
      </c>
      <c r="F2699" s="6">
        <v>0</v>
      </c>
      <c r="G2699" s="6">
        <v>18</v>
      </c>
      <c r="H2699" s="6" t="s">
        <v>5719</v>
      </c>
      <c r="I2699" s="6">
        <v>533.0625</v>
      </c>
      <c r="J2699" s="2">
        <f t="shared" si="42"/>
        <v>43747.649100671297</v>
      </c>
    </row>
    <row r="2700" spans="1:10" x14ac:dyDescent="0.25">
      <c r="A2700" s="7" t="s">
        <v>5720</v>
      </c>
      <c r="B2700" s="8">
        <v>390.625</v>
      </c>
      <c r="C2700" s="8">
        <v>20.531590000000001</v>
      </c>
      <c r="D2700" s="8">
        <v>46</v>
      </c>
      <c r="E2700" s="8">
        <v>0</v>
      </c>
      <c r="F2700" s="8">
        <v>0</v>
      </c>
      <c r="G2700" s="8">
        <v>13</v>
      </c>
      <c r="H2700" s="8" t="s">
        <v>5721</v>
      </c>
      <c r="I2700" s="8">
        <v>525.9375</v>
      </c>
      <c r="J2700" s="3">
        <f t="shared" si="42"/>
        <v>43747.649184351852</v>
      </c>
    </row>
    <row r="2701" spans="1:10" x14ac:dyDescent="0.25">
      <c r="A2701" s="5" t="s">
        <v>5722</v>
      </c>
      <c r="B2701" s="6">
        <v>390.625</v>
      </c>
      <c r="C2701" s="6">
        <v>20.584240000000001</v>
      </c>
      <c r="D2701" s="6">
        <v>46</v>
      </c>
      <c r="E2701" s="6">
        <v>0</v>
      </c>
      <c r="F2701" s="6">
        <v>0</v>
      </c>
      <c r="G2701" s="6">
        <v>10</v>
      </c>
      <c r="H2701" s="6" t="s">
        <v>5723</v>
      </c>
      <c r="I2701" s="6">
        <v>525.75</v>
      </c>
      <c r="J2701" s="2">
        <f t="shared" si="42"/>
        <v>43747.649255763885</v>
      </c>
    </row>
    <row r="2702" spans="1:10" x14ac:dyDescent="0.25">
      <c r="A2702" s="7" t="s">
        <v>5724</v>
      </c>
      <c r="B2702" s="8">
        <v>390.625</v>
      </c>
      <c r="C2702" s="8">
        <v>20.584240000000001</v>
      </c>
      <c r="D2702" s="8">
        <v>45</v>
      </c>
      <c r="E2702" s="8">
        <v>0</v>
      </c>
      <c r="F2702" s="8">
        <v>0</v>
      </c>
      <c r="G2702" s="8">
        <v>15</v>
      </c>
      <c r="H2702" s="8" t="s">
        <v>5725</v>
      </c>
      <c r="I2702" s="8">
        <v>525.9375</v>
      </c>
      <c r="J2702" s="3">
        <f t="shared" si="42"/>
        <v>43747.649347974533</v>
      </c>
    </row>
    <row r="2703" spans="1:10" x14ac:dyDescent="0.25">
      <c r="A2703" s="5" t="s">
        <v>5726</v>
      </c>
      <c r="B2703" s="6">
        <v>390.625</v>
      </c>
      <c r="C2703" s="6">
        <v>20.531590000000001</v>
      </c>
      <c r="D2703" s="6">
        <v>44</v>
      </c>
      <c r="E2703" s="6">
        <v>0</v>
      </c>
      <c r="F2703" s="6">
        <v>0</v>
      </c>
      <c r="G2703" s="6">
        <v>8</v>
      </c>
      <c r="H2703" s="6" t="s">
        <v>5727</v>
      </c>
      <c r="I2703" s="6">
        <v>525.9375</v>
      </c>
      <c r="J2703" s="2">
        <f t="shared" si="42"/>
        <v>43747.649422905095</v>
      </c>
    </row>
    <row r="2704" spans="1:10" x14ac:dyDescent="0.25">
      <c r="A2704" s="7" t="s">
        <v>5728</v>
      </c>
      <c r="B2704" s="8">
        <v>390.625</v>
      </c>
      <c r="C2704" s="8">
        <v>20.584240000000001</v>
      </c>
      <c r="D2704" s="8">
        <v>43</v>
      </c>
      <c r="E2704" s="8">
        <v>0</v>
      </c>
      <c r="F2704" s="8">
        <v>0</v>
      </c>
      <c r="G2704" s="8">
        <v>13</v>
      </c>
      <c r="H2704" s="8" t="s">
        <v>5729</v>
      </c>
      <c r="I2704" s="8">
        <v>525.9375</v>
      </c>
      <c r="J2704" s="3">
        <f t="shared" si="42"/>
        <v>43747.649506331021</v>
      </c>
    </row>
    <row r="2705" spans="1:10" x14ac:dyDescent="0.25">
      <c r="A2705" s="5" t="s">
        <v>5730</v>
      </c>
      <c r="B2705" s="6">
        <v>393.75</v>
      </c>
      <c r="C2705" s="6">
        <v>20.584240000000001</v>
      </c>
      <c r="D2705" s="6">
        <v>45</v>
      </c>
      <c r="E2705" s="6">
        <v>0</v>
      </c>
      <c r="F2705" s="6">
        <v>0</v>
      </c>
      <c r="G2705" s="6">
        <v>10</v>
      </c>
      <c r="H2705" s="6" t="s">
        <v>5731</v>
      </c>
      <c r="I2705" s="6">
        <v>526.6875</v>
      </c>
      <c r="J2705" s="2">
        <f t="shared" si="42"/>
        <v>43747.649589548608</v>
      </c>
    </row>
    <row r="2706" spans="1:10" x14ac:dyDescent="0.25">
      <c r="A2706" s="7" t="s">
        <v>5732</v>
      </c>
      <c r="B2706" s="8">
        <v>393.75</v>
      </c>
      <c r="C2706" s="8">
        <v>20.584240000000001</v>
      </c>
      <c r="D2706" s="8">
        <v>45</v>
      </c>
      <c r="E2706" s="8">
        <v>0</v>
      </c>
      <c r="F2706" s="8">
        <v>0</v>
      </c>
      <c r="G2706" s="8">
        <v>9</v>
      </c>
      <c r="H2706" s="8" t="s">
        <v>5733</v>
      </c>
      <c r="I2706" s="8">
        <v>526.6875</v>
      </c>
      <c r="J2706" s="3">
        <f t="shared" si="42"/>
        <v>43747.649661770833</v>
      </c>
    </row>
    <row r="2707" spans="1:10" x14ac:dyDescent="0.25">
      <c r="A2707" s="5" t="s">
        <v>5734</v>
      </c>
      <c r="B2707" s="6">
        <v>393.75</v>
      </c>
      <c r="C2707" s="6">
        <v>20.584240000000001</v>
      </c>
      <c r="D2707" s="6">
        <v>46</v>
      </c>
      <c r="E2707" s="6">
        <v>0</v>
      </c>
      <c r="F2707" s="6">
        <v>0</v>
      </c>
      <c r="G2707" s="6">
        <v>2</v>
      </c>
      <c r="H2707" s="6" t="s">
        <v>5735</v>
      </c>
      <c r="I2707" s="6">
        <v>526.6875</v>
      </c>
      <c r="J2707" s="2">
        <f t="shared" si="42"/>
        <v>43747.649744861112</v>
      </c>
    </row>
    <row r="2708" spans="1:10" x14ac:dyDescent="0.25">
      <c r="A2708" s="7" t="s">
        <v>5736</v>
      </c>
      <c r="B2708" s="8">
        <v>393.75</v>
      </c>
      <c r="C2708" s="8">
        <v>20.584240000000001</v>
      </c>
      <c r="D2708" s="8">
        <v>45</v>
      </c>
      <c r="E2708" s="8">
        <v>0</v>
      </c>
      <c r="F2708" s="8">
        <v>0</v>
      </c>
      <c r="G2708" s="8">
        <v>11</v>
      </c>
      <c r="H2708" s="8" t="s">
        <v>5737</v>
      </c>
      <c r="I2708" s="8">
        <v>526.6875</v>
      </c>
      <c r="J2708" s="3">
        <f t="shared" si="42"/>
        <v>43747.649828333328</v>
      </c>
    </row>
    <row r="2709" spans="1:10" x14ac:dyDescent="0.25">
      <c r="A2709" s="5" t="s">
        <v>5738</v>
      </c>
      <c r="B2709" s="6">
        <v>393.75</v>
      </c>
      <c r="C2709" s="6">
        <v>20.584240000000001</v>
      </c>
      <c r="D2709" s="6">
        <v>45</v>
      </c>
      <c r="E2709" s="6">
        <v>0</v>
      </c>
      <c r="F2709" s="6">
        <v>0</v>
      </c>
      <c r="G2709" s="6">
        <v>15</v>
      </c>
      <c r="H2709" s="6" t="s">
        <v>5739</v>
      </c>
      <c r="I2709" s="6">
        <v>526.5</v>
      </c>
      <c r="J2709" s="2">
        <f t="shared" si="42"/>
        <v>43747.649923136567</v>
      </c>
    </row>
    <row r="2710" spans="1:10" x14ac:dyDescent="0.25">
      <c r="A2710" s="7" t="s">
        <v>5740</v>
      </c>
      <c r="B2710" s="8">
        <v>393.75</v>
      </c>
      <c r="C2710" s="8">
        <v>20.531590000000001</v>
      </c>
      <c r="D2710" s="8">
        <v>44</v>
      </c>
      <c r="E2710" s="8">
        <v>0</v>
      </c>
      <c r="F2710" s="8">
        <v>0</v>
      </c>
      <c r="G2710" s="8">
        <v>13</v>
      </c>
      <c r="H2710" s="8" t="s">
        <v>5741</v>
      </c>
      <c r="I2710" s="8">
        <v>526.6875</v>
      </c>
      <c r="J2710" s="3">
        <f t="shared" si="42"/>
        <v>43747.649995324071</v>
      </c>
    </row>
    <row r="2711" spans="1:10" x14ac:dyDescent="0.25">
      <c r="A2711" s="5" t="s">
        <v>5742</v>
      </c>
      <c r="B2711" s="6">
        <v>390.625</v>
      </c>
      <c r="C2711" s="6">
        <v>20.584240000000001</v>
      </c>
      <c r="D2711" s="6">
        <v>43</v>
      </c>
      <c r="E2711" s="6">
        <v>0</v>
      </c>
      <c r="F2711" s="6">
        <v>0</v>
      </c>
      <c r="G2711" s="6">
        <v>1</v>
      </c>
      <c r="H2711" s="6" t="s">
        <v>5743</v>
      </c>
      <c r="I2711" s="6">
        <v>525.9375</v>
      </c>
      <c r="J2711" s="2">
        <f t="shared" si="42"/>
        <v>43747.650078437502</v>
      </c>
    </row>
    <row r="2712" spans="1:10" x14ac:dyDescent="0.25">
      <c r="A2712" s="7" t="s">
        <v>5744</v>
      </c>
      <c r="B2712" s="8">
        <v>390.625</v>
      </c>
      <c r="C2712" s="8">
        <v>20.584240000000001</v>
      </c>
      <c r="D2712" s="8">
        <v>43</v>
      </c>
      <c r="E2712" s="8">
        <v>0</v>
      </c>
      <c r="F2712" s="8">
        <v>0</v>
      </c>
      <c r="G2712" s="8">
        <v>16</v>
      </c>
      <c r="H2712" s="8" t="s">
        <v>5745</v>
      </c>
      <c r="I2712" s="8">
        <v>525.9375</v>
      </c>
      <c r="J2712" s="3">
        <f t="shared" si="42"/>
        <v>43747.650150196758</v>
      </c>
    </row>
    <row r="2713" spans="1:10" x14ac:dyDescent="0.25">
      <c r="A2713" s="5" t="s">
        <v>5746</v>
      </c>
      <c r="B2713" s="6">
        <v>390.625</v>
      </c>
      <c r="C2713" s="6">
        <v>20.584240000000001</v>
      </c>
      <c r="D2713" s="6">
        <v>44</v>
      </c>
      <c r="E2713" s="6">
        <v>0</v>
      </c>
      <c r="F2713" s="6">
        <v>0</v>
      </c>
      <c r="G2713" s="6">
        <v>8</v>
      </c>
      <c r="H2713" s="6" t="s">
        <v>5747</v>
      </c>
      <c r="I2713" s="6">
        <v>525.9375</v>
      </c>
      <c r="J2713" s="2">
        <f t="shared" si="42"/>
        <v>43747.650233993052</v>
      </c>
    </row>
    <row r="2714" spans="1:10" x14ac:dyDescent="0.25">
      <c r="A2714" s="7" t="s">
        <v>5748</v>
      </c>
      <c r="B2714" s="8">
        <v>390.625</v>
      </c>
      <c r="C2714" s="8">
        <v>20.584240000000001</v>
      </c>
      <c r="D2714" s="8">
        <v>44</v>
      </c>
      <c r="E2714" s="8">
        <v>0</v>
      </c>
      <c r="F2714" s="8">
        <v>0</v>
      </c>
      <c r="G2714" s="8">
        <v>13</v>
      </c>
      <c r="H2714" s="8" t="s">
        <v>5749</v>
      </c>
      <c r="I2714" s="8">
        <v>525.75</v>
      </c>
      <c r="J2714" s="3">
        <f t="shared" si="42"/>
        <v>43747.650305393516</v>
      </c>
    </row>
    <row r="2715" spans="1:10" x14ac:dyDescent="0.25">
      <c r="A2715" s="5" t="s">
        <v>5750</v>
      </c>
      <c r="B2715" s="6">
        <v>390.625</v>
      </c>
      <c r="C2715" s="6">
        <v>20.531590000000001</v>
      </c>
      <c r="D2715" s="6">
        <v>44</v>
      </c>
      <c r="E2715" s="6">
        <v>0</v>
      </c>
      <c r="F2715" s="6">
        <v>0</v>
      </c>
      <c r="G2715" s="6">
        <v>6</v>
      </c>
      <c r="H2715" s="6" t="s">
        <v>5751</v>
      </c>
      <c r="I2715" s="6">
        <v>525.9375</v>
      </c>
      <c r="J2715" s="2">
        <f t="shared" si="42"/>
        <v>43747.650376597223</v>
      </c>
    </row>
    <row r="2716" spans="1:10" x14ac:dyDescent="0.25">
      <c r="A2716" s="7" t="s">
        <v>5752</v>
      </c>
      <c r="B2716" s="8">
        <v>390.625</v>
      </c>
      <c r="C2716" s="8">
        <v>20.584240000000001</v>
      </c>
      <c r="D2716" s="8">
        <v>44</v>
      </c>
      <c r="E2716" s="8">
        <v>0</v>
      </c>
      <c r="F2716" s="8">
        <v>0</v>
      </c>
      <c r="G2716" s="8">
        <v>7</v>
      </c>
      <c r="H2716" s="8" t="s">
        <v>5753</v>
      </c>
      <c r="I2716" s="8">
        <v>525.9375</v>
      </c>
      <c r="J2716" s="3">
        <f t="shared" si="42"/>
        <v>43747.650472303234</v>
      </c>
    </row>
    <row r="2717" spans="1:10" x14ac:dyDescent="0.25">
      <c r="A2717" s="5" t="s">
        <v>5754</v>
      </c>
      <c r="B2717" s="6">
        <v>409.375</v>
      </c>
      <c r="C2717" s="6">
        <v>20.531590000000001</v>
      </c>
      <c r="D2717" s="6">
        <v>45</v>
      </c>
      <c r="E2717" s="6">
        <v>0</v>
      </c>
      <c r="F2717" s="6">
        <v>0</v>
      </c>
      <c r="G2717" s="6">
        <v>9</v>
      </c>
      <c r="H2717" s="6" t="s">
        <v>5755</v>
      </c>
      <c r="I2717" s="6">
        <v>531.75</v>
      </c>
      <c r="J2717" s="2">
        <f t="shared" si="42"/>
        <v>43747.650555856475</v>
      </c>
    </row>
    <row r="2718" spans="1:10" x14ac:dyDescent="0.25">
      <c r="A2718" s="7" t="s">
        <v>5756</v>
      </c>
      <c r="B2718" s="8">
        <v>390.625</v>
      </c>
      <c r="C2718" s="8">
        <v>20.584240000000001</v>
      </c>
      <c r="D2718" s="8">
        <v>46</v>
      </c>
      <c r="E2718" s="8">
        <v>0</v>
      </c>
      <c r="F2718" s="8">
        <v>0</v>
      </c>
      <c r="G2718" s="8">
        <v>5</v>
      </c>
      <c r="H2718" s="8" t="s">
        <v>5757</v>
      </c>
      <c r="I2718" s="8">
        <v>525.9375</v>
      </c>
      <c r="J2718" s="3">
        <f t="shared" si="42"/>
        <v>43747.650627291667</v>
      </c>
    </row>
    <row r="2719" spans="1:10" x14ac:dyDescent="0.25">
      <c r="A2719" s="5" t="s">
        <v>5758</v>
      </c>
      <c r="B2719" s="6">
        <v>390.625</v>
      </c>
      <c r="C2719" s="6">
        <v>20.531590000000001</v>
      </c>
      <c r="D2719" s="6">
        <v>46</v>
      </c>
      <c r="E2719" s="6">
        <v>0</v>
      </c>
      <c r="F2719" s="6">
        <v>0</v>
      </c>
      <c r="G2719" s="6">
        <v>11</v>
      </c>
      <c r="H2719" s="6" t="s">
        <v>5759</v>
      </c>
      <c r="I2719" s="6">
        <v>525.9375</v>
      </c>
      <c r="J2719" s="2">
        <f t="shared" si="42"/>
        <v>43747.650698935184</v>
      </c>
    </row>
    <row r="2720" spans="1:10" x14ac:dyDescent="0.25">
      <c r="A2720" s="7" t="s">
        <v>5760</v>
      </c>
      <c r="B2720" s="8">
        <v>390.625</v>
      </c>
      <c r="C2720" s="8">
        <v>20.584240000000001</v>
      </c>
      <c r="D2720" s="8">
        <v>46</v>
      </c>
      <c r="E2720" s="8">
        <v>0</v>
      </c>
      <c r="F2720" s="8">
        <v>0</v>
      </c>
      <c r="G2720" s="8">
        <v>7</v>
      </c>
      <c r="H2720" s="8" t="s">
        <v>5761</v>
      </c>
      <c r="I2720" s="8">
        <v>525.75</v>
      </c>
      <c r="J2720" s="3">
        <f t="shared" si="42"/>
        <v>43747.65078215277</v>
      </c>
    </row>
    <row r="2721" spans="1:10" x14ac:dyDescent="0.25">
      <c r="A2721" s="5" t="s">
        <v>5762</v>
      </c>
      <c r="B2721" s="6">
        <v>390.625</v>
      </c>
      <c r="C2721" s="6">
        <v>20.584240000000001</v>
      </c>
      <c r="D2721" s="6">
        <v>46</v>
      </c>
      <c r="E2721" s="6">
        <v>0</v>
      </c>
      <c r="F2721" s="6">
        <v>0</v>
      </c>
      <c r="G2721" s="6">
        <v>15</v>
      </c>
      <c r="H2721" s="6" t="s">
        <v>5763</v>
      </c>
      <c r="I2721" s="6">
        <v>525.75</v>
      </c>
      <c r="J2721" s="2">
        <f t="shared" si="42"/>
        <v>43747.650853912033</v>
      </c>
    </row>
    <row r="2722" spans="1:10" x14ac:dyDescent="0.25">
      <c r="A2722" s="7" t="s">
        <v>5764</v>
      </c>
      <c r="B2722" s="8">
        <v>390.625</v>
      </c>
      <c r="C2722" s="8">
        <v>20.584240000000001</v>
      </c>
      <c r="D2722" s="8">
        <v>47</v>
      </c>
      <c r="E2722" s="8">
        <v>0</v>
      </c>
      <c r="F2722" s="8">
        <v>0</v>
      </c>
      <c r="G2722" s="8">
        <v>5</v>
      </c>
      <c r="H2722" s="8" t="s">
        <v>5765</v>
      </c>
      <c r="I2722" s="8">
        <v>525.9375</v>
      </c>
      <c r="J2722" s="3">
        <f t="shared" si="42"/>
        <v>43747.65093747685</v>
      </c>
    </row>
    <row r="2723" spans="1:10" x14ac:dyDescent="0.25">
      <c r="A2723" s="5" t="s">
        <v>5766</v>
      </c>
      <c r="B2723" s="6">
        <v>421.875</v>
      </c>
      <c r="C2723" s="6">
        <v>20.584240000000001</v>
      </c>
      <c r="D2723" s="6">
        <v>45</v>
      </c>
      <c r="E2723" s="6">
        <v>0</v>
      </c>
      <c r="F2723" s="6">
        <v>0</v>
      </c>
      <c r="G2723" s="6">
        <v>10</v>
      </c>
      <c r="H2723" s="6" t="s">
        <v>5767</v>
      </c>
      <c r="I2723" s="6">
        <v>535.6875</v>
      </c>
      <c r="J2723" s="2">
        <f t="shared" si="42"/>
        <v>43747.651021053236</v>
      </c>
    </row>
    <row r="2724" spans="1:10" x14ac:dyDescent="0.25">
      <c r="A2724" s="7" t="s">
        <v>5768</v>
      </c>
      <c r="B2724" s="8">
        <v>390.625</v>
      </c>
      <c r="C2724" s="8">
        <v>20.531590000000001</v>
      </c>
      <c r="D2724" s="8">
        <v>46</v>
      </c>
      <c r="E2724" s="8">
        <v>0</v>
      </c>
      <c r="F2724" s="8">
        <v>0</v>
      </c>
      <c r="G2724" s="8">
        <v>9</v>
      </c>
      <c r="H2724" s="8" t="s">
        <v>5769</v>
      </c>
      <c r="I2724" s="8">
        <v>525.9375</v>
      </c>
      <c r="J2724" s="3">
        <f t="shared" si="42"/>
        <v>43747.651104386568</v>
      </c>
    </row>
    <row r="2725" spans="1:10" x14ac:dyDescent="0.25">
      <c r="A2725" s="5" t="s">
        <v>5770</v>
      </c>
      <c r="B2725" s="6">
        <v>409.375</v>
      </c>
      <c r="C2725" s="6">
        <v>20.584240000000001</v>
      </c>
      <c r="D2725" s="6">
        <v>47</v>
      </c>
      <c r="E2725" s="6">
        <v>0</v>
      </c>
      <c r="F2725" s="6">
        <v>0</v>
      </c>
      <c r="G2725" s="6">
        <v>9</v>
      </c>
      <c r="H2725" s="6" t="s">
        <v>5771</v>
      </c>
      <c r="I2725" s="6">
        <v>531.5625</v>
      </c>
      <c r="J2725" s="2">
        <f t="shared" si="42"/>
        <v>43747.651199884254</v>
      </c>
    </row>
    <row r="2726" spans="1:10" x14ac:dyDescent="0.25">
      <c r="A2726" s="7" t="s">
        <v>5772</v>
      </c>
      <c r="B2726" s="8">
        <v>390.625</v>
      </c>
      <c r="C2726" s="8">
        <v>20.531590000000001</v>
      </c>
      <c r="D2726" s="8">
        <v>47</v>
      </c>
      <c r="E2726" s="8">
        <v>0</v>
      </c>
      <c r="F2726" s="8">
        <v>0</v>
      </c>
      <c r="G2726" s="8">
        <v>8</v>
      </c>
      <c r="H2726" s="8" t="s">
        <v>5773</v>
      </c>
      <c r="I2726" s="8">
        <v>525.9375</v>
      </c>
      <c r="J2726" s="3">
        <f t="shared" si="42"/>
        <v>43747.651283356478</v>
      </c>
    </row>
    <row r="2727" spans="1:10" x14ac:dyDescent="0.25">
      <c r="A2727" s="5" t="s">
        <v>5774</v>
      </c>
      <c r="B2727" s="6">
        <v>390.625</v>
      </c>
      <c r="C2727" s="6">
        <v>20.584240000000001</v>
      </c>
      <c r="D2727" s="6">
        <v>46</v>
      </c>
      <c r="E2727" s="6">
        <v>0</v>
      </c>
      <c r="F2727" s="6">
        <v>0</v>
      </c>
      <c r="G2727" s="6">
        <v>16</v>
      </c>
      <c r="H2727" s="6" t="s">
        <v>5775</v>
      </c>
      <c r="I2727" s="6">
        <v>525.75</v>
      </c>
      <c r="J2727" s="2">
        <f t="shared" si="42"/>
        <v>43747.65136679398</v>
      </c>
    </row>
    <row r="2728" spans="1:10" x14ac:dyDescent="0.25">
      <c r="A2728" s="7" t="s">
        <v>5776</v>
      </c>
      <c r="B2728" s="8">
        <v>390.625</v>
      </c>
      <c r="C2728" s="8">
        <v>20.531590000000001</v>
      </c>
      <c r="D2728" s="8">
        <v>46</v>
      </c>
      <c r="E2728" s="8">
        <v>0</v>
      </c>
      <c r="F2728" s="8">
        <v>0</v>
      </c>
      <c r="G2728" s="8">
        <v>10</v>
      </c>
      <c r="H2728" s="8" t="s">
        <v>5777</v>
      </c>
      <c r="I2728" s="8">
        <v>525.9375</v>
      </c>
      <c r="J2728" s="3">
        <f t="shared" si="42"/>
        <v>43747.65145542824</v>
      </c>
    </row>
    <row r="2729" spans="1:10" x14ac:dyDescent="0.25">
      <c r="A2729" s="5" t="s">
        <v>5778</v>
      </c>
      <c r="B2729" s="6">
        <v>390.625</v>
      </c>
      <c r="C2729" s="6">
        <v>20.584240000000001</v>
      </c>
      <c r="D2729" s="6">
        <v>48</v>
      </c>
      <c r="E2729" s="6">
        <v>0</v>
      </c>
      <c r="F2729" s="6">
        <v>0</v>
      </c>
      <c r="G2729" s="6">
        <v>12</v>
      </c>
      <c r="H2729" s="6" t="s">
        <v>5779</v>
      </c>
      <c r="I2729" s="6">
        <v>525.75</v>
      </c>
      <c r="J2729" s="2">
        <f t="shared" si="42"/>
        <v>43747.6515340162</v>
      </c>
    </row>
    <row r="2730" spans="1:10" x14ac:dyDescent="0.25">
      <c r="A2730" s="7" t="s">
        <v>5780</v>
      </c>
      <c r="B2730" s="8">
        <v>390.625</v>
      </c>
      <c r="C2730" s="8">
        <v>20.584240000000001</v>
      </c>
      <c r="D2730" s="8">
        <v>48</v>
      </c>
      <c r="E2730" s="8">
        <v>0</v>
      </c>
      <c r="F2730" s="8">
        <v>0</v>
      </c>
      <c r="G2730" s="8">
        <v>13</v>
      </c>
      <c r="H2730" s="8" t="s">
        <v>5781</v>
      </c>
      <c r="I2730" s="8">
        <v>525.9375</v>
      </c>
      <c r="J2730" s="3">
        <f t="shared" si="42"/>
        <v>43747.651617245363</v>
      </c>
    </row>
    <row r="2731" spans="1:10" x14ac:dyDescent="0.25">
      <c r="A2731" s="5" t="s">
        <v>5782</v>
      </c>
      <c r="B2731" s="6">
        <v>390.625</v>
      </c>
      <c r="C2731" s="6">
        <v>20.584240000000001</v>
      </c>
      <c r="D2731" s="6">
        <v>47</v>
      </c>
      <c r="E2731" s="6">
        <v>0</v>
      </c>
      <c r="F2731" s="6">
        <v>0</v>
      </c>
      <c r="G2731" s="6">
        <v>11</v>
      </c>
      <c r="H2731" s="6" t="s">
        <v>5783</v>
      </c>
      <c r="I2731" s="6">
        <v>525.75</v>
      </c>
      <c r="J2731" s="2">
        <f t="shared" si="42"/>
        <v>43747.651700694441</v>
      </c>
    </row>
    <row r="2732" spans="1:10" x14ac:dyDescent="0.25">
      <c r="A2732" s="7" t="s">
        <v>5784</v>
      </c>
      <c r="B2732" s="8">
        <v>409.375</v>
      </c>
      <c r="C2732" s="8">
        <v>20.531590000000001</v>
      </c>
      <c r="D2732" s="8">
        <v>47</v>
      </c>
      <c r="E2732" s="8">
        <v>0</v>
      </c>
      <c r="F2732" s="8">
        <v>0</v>
      </c>
      <c r="G2732" s="8">
        <v>8</v>
      </c>
      <c r="H2732" s="8" t="s">
        <v>5785</v>
      </c>
      <c r="I2732" s="8">
        <v>531.5625</v>
      </c>
      <c r="J2732" s="3">
        <f t="shared" si="42"/>
        <v>43747.65177261574</v>
      </c>
    </row>
    <row r="2733" spans="1:10" x14ac:dyDescent="0.25">
      <c r="A2733" s="5" t="s">
        <v>5786</v>
      </c>
      <c r="B2733" s="6">
        <v>390.625</v>
      </c>
      <c r="C2733" s="6">
        <v>20.531590000000001</v>
      </c>
      <c r="D2733" s="6">
        <v>46</v>
      </c>
      <c r="E2733" s="6">
        <v>0</v>
      </c>
      <c r="F2733" s="6">
        <v>0</v>
      </c>
      <c r="G2733" s="6">
        <v>10</v>
      </c>
      <c r="H2733" s="6" t="s">
        <v>5787</v>
      </c>
      <c r="I2733" s="6">
        <v>525.9375</v>
      </c>
      <c r="J2733" s="2">
        <f t="shared" si="42"/>
        <v>43747.651855810182</v>
      </c>
    </row>
    <row r="2734" spans="1:10" x14ac:dyDescent="0.25">
      <c r="A2734" s="7" t="s">
        <v>5788</v>
      </c>
      <c r="B2734" s="8">
        <v>390.625</v>
      </c>
      <c r="C2734" s="8">
        <v>20.584240000000001</v>
      </c>
      <c r="D2734" s="8">
        <v>44</v>
      </c>
      <c r="E2734" s="8">
        <v>0</v>
      </c>
      <c r="F2734" s="8">
        <v>0</v>
      </c>
      <c r="G2734" s="8">
        <v>9</v>
      </c>
      <c r="H2734" s="8" t="s">
        <v>5789</v>
      </c>
      <c r="I2734" s="8">
        <v>525.9375</v>
      </c>
      <c r="J2734" s="3">
        <f t="shared" si="42"/>
        <v>43747.651939236108</v>
      </c>
    </row>
    <row r="2735" spans="1:10" x14ac:dyDescent="0.25">
      <c r="A2735" s="5" t="s">
        <v>5790</v>
      </c>
      <c r="B2735" s="6">
        <v>390.625</v>
      </c>
      <c r="C2735" s="6">
        <v>20.531590000000001</v>
      </c>
      <c r="D2735" s="6">
        <v>43</v>
      </c>
      <c r="E2735" s="6">
        <v>0</v>
      </c>
      <c r="F2735" s="6">
        <v>0</v>
      </c>
      <c r="G2735" s="6">
        <v>9</v>
      </c>
      <c r="H2735" s="6" t="s">
        <v>5791</v>
      </c>
      <c r="I2735" s="6">
        <v>525.9375</v>
      </c>
      <c r="J2735" s="2">
        <f t="shared" si="42"/>
        <v>43747.652022905088</v>
      </c>
    </row>
    <row r="2736" spans="1:10" x14ac:dyDescent="0.25">
      <c r="A2736" s="7" t="s">
        <v>5792</v>
      </c>
      <c r="B2736" s="8">
        <v>390.625</v>
      </c>
      <c r="C2736" s="8">
        <v>20.531590000000001</v>
      </c>
      <c r="D2736" s="8">
        <v>42</v>
      </c>
      <c r="E2736" s="8">
        <v>0</v>
      </c>
      <c r="F2736" s="8">
        <v>0</v>
      </c>
      <c r="G2736" s="8">
        <v>10</v>
      </c>
      <c r="H2736" s="8" t="s">
        <v>5793</v>
      </c>
      <c r="I2736" s="8">
        <v>525.9375</v>
      </c>
      <c r="J2736" s="3">
        <f t="shared" si="42"/>
        <v>43747.652113680553</v>
      </c>
    </row>
    <row r="2737" spans="1:10" x14ac:dyDescent="0.25">
      <c r="A2737" s="5" t="s">
        <v>5794</v>
      </c>
      <c r="B2737" s="6">
        <v>390.625</v>
      </c>
      <c r="C2737" s="6">
        <v>20.531590000000001</v>
      </c>
      <c r="D2737" s="6">
        <v>43</v>
      </c>
      <c r="E2737" s="6">
        <v>0</v>
      </c>
      <c r="F2737" s="6">
        <v>0</v>
      </c>
      <c r="G2737" s="6">
        <v>6</v>
      </c>
      <c r="H2737" s="6" t="s">
        <v>5795</v>
      </c>
      <c r="I2737" s="6">
        <v>525.9375</v>
      </c>
      <c r="J2737" s="2">
        <f t="shared" si="42"/>
        <v>43747.652189583336</v>
      </c>
    </row>
    <row r="2738" spans="1:10" x14ac:dyDescent="0.25">
      <c r="A2738" s="7" t="s">
        <v>5796</v>
      </c>
      <c r="B2738" s="8">
        <v>390.625</v>
      </c>
      <c r="C2738" s="8">
        <v>20.584240000000001</v>
      </c>
      <c r="D2738" s="8">
        <v>43</v>
      </c>
      <c r="E2738" s="8">
        <v>0</v>
      </c>
      <c r="F2738" s="8">
        <v>0</v>
      </c>
      <c r="G2738" s="8">
        <v>6</v>
      </c>
      <c r="H2738" s="8" t="s">
        <v>5797</v>
      </c>
      <c r="I2738" s="8">
        <v>525.9375</v>
      </c>
      <c r="J2738" s="3">
        <f t="shared" si="42"/>
        <v>43747.652273252308</v>
      </c>
    </row>
    <row r="2739" spans="1:10" x14ac:dyDescent="0.25">
      <c r="A2739" s="5" t="s">
        <v>5798</v>
      </c>
      <c r="B2739" s="6">
        <v>390.625</v>
      </c>
      <c r="C2739" s="6">
        <v>20.584240000000001</v>
      </c>
      <c r="D2739" s="6">
        <v>45</v>
      </c>
      <c r="E2739" s="6">
        <v>0</v>
      </c>
      <c r="F2739" s="6">
        <v>0</v>
      </c>
      <c r="G2739" s="6">
        <v>7</v>
      </c>
      <c r="H2739" s="6" t="s">
        <v>5799</v>
      </c>
      <c r="I2739" s="6">
        <v>525.9375</v>
      </c>
      <c r="J2739" s="2">
        <f t="shared" si="42"/>
        <v>43747.652356354163</v>
      </c>
    </row>
    <row r="2740" spans="1:10" x14ac:dyDescent="0.25">
      <c r="A2740" s="7" t="s">
        <v>5800</v>
      </c>
      <c r="B2740" s="8">
        <v>390.625</v>
      </c>
      <c r="C2740" s="8">
        <v>20.584240000000001</v>
      </c>
      <c r="D2740" s="8">
        <v>45</v>
      </c>
      <c r="E2740" s="8">
        <v>0</v>
      </c>
      <c r="F2740" s="8">
        <v>0</v>
      </c>
      <c r="G2740" s="8">
        <v>13</v>
      </c>
      <c r="H2740" s="8" t="s">
        <v>5801</v>
      </c>
      <c r="I2740" s="8">
        <v>525.75</v>
      </c>
      <c r="J2740" s="3">
        <f t="shared" si="42"/>
        <v>43747.652427893518</v>
      </c>
    </row>
    <row r="2741" spans="1:10" x14ac:dyDescent="0.25">
      <c r="A2741" s="5" t="s">
        <v>5802</v>
      </c>
      <c r="B2741" s="6">
        <v>390.625</v>
      </c>
      <c r="C2741" s="6">
        <v>20.584240000000001</v>
      </c>
      <c r="D2741" s="6">
        <v>46</v>
      </c>
      <c r="E2741" s="6">
        <v>0</v>
      </c>
      <c r="F2741" s="6">
        <v>0</v>
      </c>
      <c r="G2741" s="6">
        <v>16</v>
      </c>
      <c r="H2741" s="6" t="s">
        <v>5803</v>
      </c>
      <c r="I2741" s="6">
        <v>525.75</v>
      </c>
      <c r="J2741" s="2">
        <f t="shared" si="42"/>
        <v>43747.652511793982</v>
      </c>
    </row>
    <row r="2742" spans="1:10" x14ac:dyDescent="0.25">
      <c r="A2742" s="7" t="s">
        <v>5804</v>
      </c>
      <c r="B2742" s="8">
        <v>409.375</v>
      </c>
      <c r="C2742" s="8">
        <v>20.584240000000001</v>
      </c>
      <c r="D2742" s="8">
        <v>45</v>
      </c>
      <c r="E2742" s="8">
        <v>0</v>
      </c>
      <c r="F2742" s="8">
        <v>0</v>
      </c>
      <c r="G2742" s="8">
        <v>10</v>
      </c>
      <c r="H2742" s="8" t="s">
        <v>5805</v>
      </c>
      <c r="I2742" s="8">
        <v>531.5625</v>
      </c>
      <c r="J2742" s="3">
        <f t="shared" si="42"/>
        <v>43747.652594131941</v>
      </c>
    </row>
    <row r="2743" spans="1:10" x14ac:dyDescent="0.25">
      <c r="A2743" s="5" t="s">
        <v>5806</v>
      </c>
      <c r="B2743" s="6">
        <v>390.625</v>
      </c>
      <c r="C2743" s="6">
        <v>20.531590000000001</v>
      </c>
      <c r="D2743" s="6">
        <v>45</v>
      </c>
      <c r="E2743" s="6">
        <v>0</v>
      </c>
      <c r="F2743" s="6">
        <v>0</v>
      </c>
      <c r="G2743" s="6">
        <v>5</v>
      </c>
      <c r="H2743" s="6" t="s">
        <v>5807</v>
      </c>
      <c r="I2743" s="6">
        <v>525.9375</v>
      </c>
      <c r="J2743" s="2">
        <f t="shared" si="42"/>
        <v>43747.652678449071</v>
      </c>
    </row>
    <row r="2744" spans="1:10" x14ac:dyDescent="0.25">
      <c r="A2744" s="7" t="s">
        <v>5808</v>
      </c>
      <c r="B2744" s="8">
        <v>390.625</v>
      </c>
      <c r="C2744" s="8">
        <v>20.584240000000001</v>
      </c>
      <c r="D2744" s="8">
        <v>45</v>
      </c>
      <c r="E2744" s="8">
        <v>0</v>
      </c>
      <c r="F2744" s="8">
        <v>0</v>
      </c>
      <c r="G2744" s="8">
        <v>10</v>
      </c>
      <c r="H2744" s="8" t="s">
        <v>5809</v>
      </c>
      <c r="I2744" s="8">
        <v>525.9375</v>
      </c>
      <c r="J2744" s="3">
        <f t="shared" si="42"/>
        <v>43747.652750127316</v>
      </c>
    </row>
    <row r="2745" spans="1:10" x14ac:dyDescent="0.25">
      <c r="A2745" s="5" t="s">
        <v>5810</v>
      </c>
      <c r="B2745" s="6">
        <v>390.625</v>
      </c>
      <c r="C2745" s="6">
        <v>20.584240000000001</v>
      </c>
      <c r="D2745" s="6">
        <v>46</v>
      </c>
      <c r="E2745" s="6">
        <v>0</v>
      </c>
      <c r="F2745" s="6">
        <v>0</v>
      </c>
      <c r="G2745" s="6">
        <v>15</v>
      </c>
      <c r="H2745" s="6" t="s">
        <v>5811</v>
      </c>
      <c r="I2745" s="6">
        <v>525.9375</v>
      </c>
      <c r="J2745" s="2">
        <f t="shared" si="42"/>
        <v>43747.652833784719</v>
      </c>
    </row>
    <row r="2746" spans="1:10" x14ac:dyDescent="0.25">
      <c r="A2746" s="7" t="s">
        <v>5812</v>
      </c>
      <c r="B2746" s="8">
        <v>390.625</v>
      </c>
      <c r="C2746" s="8">
        <v>20.584240000000001</v>
      </c>
      <c r="D2746" s="8">
        <v>47</v>
      </c>
      <c r="E2746" s="8">
        <v>0</v>
      </c>
      <c r="F2746" s="8">
        <v>0</v>
      </c>
      <c r="G2746" s="8">
        <v>8</v>
      </c>
      <c r="H2746" s="8" t="s">
        <v>5813</v>
      </c>
      <c r="I2746" s="8">
        <v>525.9375</v>
      </c>
      <c r="J2746" s="3">
        <f t="shared" si="42"/>
        <v>43747.652917222214</v>
      </c>
    </row>
    <row r="2747" spans="1:10" x14ac:dyDescent="0.25">
      <c r="A2747" s="5" t="s">
        <v>5814</v>
      </c>
      <c r="B2747" s="6">
        <v>409.375</v>
      </c>
      <c r="C2747" s="6">
        <v>20.584240000000001</v>
      </c>
      <c r="D2747" s="6">
        <v>48</v>
      </c>
      <c r="E2747" s="6">
        <v>0</v>
      </c>
      <c r="F2747" s="6">
        <v>0</v>
      </c>
      <c r="G2747" s="6">
        <v>8</v>
      </c>
      <c r="H2747" s="6" t="s">
        <v>5815</v>
      </c>
      <c r="I2747" s="6">
        <v>531.5625</v>
      </c>
      <c r="J2747" s="2">
        <f t="shared" si="42"/>
        <v>43747.653000682869</v>
      </c>
    </row>
    <row r="2748" spans="1:10" x14ac:dyDescent="0.25">
      <c r="A2748" s="7" t="s">
        <v>5816</v>
      </c>
      <c r="B2748" s="8">
        <v>390.625</v>
      </c>
      <c r="C2748" s="8">
        <v>20.584240000000001</v>
      </c>
      <c r="D2748" s="8">
        <v>48</v>
      </c>
      <c r="E2748" s="8">
        <v>0</v>
      </c>
      <c r="F2748" s="8">
        <v>0</v>
      </c>
      <c r="G2748" s="8">
        <v>12</v>
      </c>
      <c r="H2748" s="8" t="s">
        <v>5817</v>
      </c>
      <c r="I2748" s="8">
        <v>525.9375</v>
      </c>
      <c r="J2748" s="3">
        <f t="shared" si="42"/>
        <v>43747.653072210647</v>
      </c>
    </row>
    <row r="2749" spans="1:10" x14ac:dyDescent="0.25">
      <c r="A2749" s="5" t="s">
        <v>5818</v>
      </c>
      <c r="B2749" s="6">
        <v>390.625</v>
      </c>
      <c r="C2749" s="6">
        <v>20.584240000000001</v>
      </c>
      <c r="D2749" s="6">
        <v>48</v>
      </c>
      <c r="E2749" s="6">
        <v>0</v>
      </c>
      <c r="F2749" s="6">
        <v>0</v>
      </c>
      <c r="G2749" s="6">
        <v>14</v>
      </c>
      <c r="H2749" s="6" t="s">
        <v>5819</v>
      </c>
      <c r="I2749" s="6">
        <v>525.9375</v>
      </c>
      <c r="J2749" s="2">
        <f t="shared" si="42"/>
        <v>43747.653155775457</v>
      </c>
    </row>
    <row r="2750" spans="1:10" x14ac:dyDescent="0.25">
      <c r="A2750" s="7" t="s">
        <v>5820</v>
      </c>
      <c r="B2750" s="8">
        <v>390.625</v>
      </c>
      <c r="C2750" s="8">
        <v>20.584240000000001</v>
      </c>
      <c r="D2750" s="8">
        <v>48</v>
      </c>
      <c r="E2750" s="8">
        <v>0</v>
      </c>
      <c r="F2750" s="8">
        <v>0</v>
      </c>
      <c r="G2750" s="8">
        <v>16</v>
      </c>
      <c r="H2750" s="8" t="s">
        <v>5821</v>
      </c>
      <c r="I2750" s="8">
        <v>525.9375</v>
      </c>
      <c r="J2750" s="3">
        <f t="shared" si="42"/>
        <v>43747.653239236104</v>
      </c>
    </row>
    <row r="2751" spans="1:10" x14ac:dyDescent="0.25">
      <c r="A2751" s="5" t="s">
        <v>5822</v>
      </c>
      <c r="B2751" s="6">
        <v>390.625</v>
      </c>
      <c r="C2751" s="6">
        <v>20.584240000000001</v>
      </c>
      <c r="D2751" s="6">
        <v>47</v>
      </c>
      <c r="E2751" s="6">
        <v>0</v>
      </c>
      <c r="F2751" s="6">
        <v>0</v>
      </c>
      <c r="G2751" s="6">
        <v>6</v>
      </c>
      <c r="H2751" s="6" t="s">
        <v>5823</v>
      </c>
      <c r="I2751" s="6">
        <v>525.75</v>
      </c>
      <c r="J2751" s="2">
        <f t="shared" si="42"/>
        <v>43747.653322893515</v>
      </c>
    </row>
    <row r="2752" spans="1:10" x14ac:dyDescent="0.25">
      <c r="A2752" s="7" t="s">
        <v>5824</v>
      </c>
      <c r="B2752" s="8">
        <v>390.625</v>
      </c>
      <c r="C2752" s="8">
        <v>20.584240000000001</v>
      </c>
      <c r="D2752" s="8">
        <v>49</v>
      </c>
      <c r="E2752" s="8">
        <v>0</v>
      </c>
      <c r="F2752" s="8">
        <v>0</v>
      </c>
      <c r="G2752" s="8">
        <v>15</v>
      </c>
      <c r="H2752" s="8" t="s">
        <v>5825</v>
      </c>
      <c r="I2752" s="8">
        <v>525.75</v>
      </c>
      <c r="J2752" s="3">
        <f t="shared" si="42"/>
        <v>43747.653394421293</v>
      </c>
    </row>
    <row r="2753" spans="1:10" x14ac:dyDescent="0.25">
      <c r="A2753" s="5" t="s">
        <v>5826</v>
      </c>
      <c r="B2753" s="6">
        <v>390.625</v>
      </c>
      <c r="C2753" s="6">
        <v>20.584240000000001</v>
      </c>
      <c r="D2753" s="6">
        <v>49</v>
      </c>
      <c r="E2753" s="6">
        <v>0</v>
      </c>
      <c r="F2753" s="6">
        <v>0</v>
      </c>
      <c r="G2753" s="6">
        <v>10</v>
      </c>
      <c r="H2753" s="6" t="s">
        <v>5827</v>
      </c>
      <c r="I2753" s="6">
        <v>525.9375</v>
      </c>
      <c r="J2753" s="2">
        <f t="shared" si="42"/>
        <v>43747.653477766202</v>
      </c>
    </row>
    <row r="2754" spans="1:10" x14ac:dyDescent="0.25">
      <c r="A2754" s="7" t="s">
        <v>5828</v>
      </c>
      <c r="B2754" s="8">
        <v>390.625</v>
      </c>
      <c r="C2754" s="8">
        <v>20.531590000000001</v>
      </c>
      <c r="D2754" s="8">
        <v>50</v>
      </c>
      <c r="E2754" s="8">
        <v>0</v>
      </c>
      <c r="F2754" s="8">
        <v>0</v>
      </c>
      <c r="G2754" s="8">
        <v>1</v>
      </c>
      <c r="H2754" s="8" t="s">
        <v>5829</v>
      </c>
      <c r="I2754" s="8">
        <v>525.9375</v>
      </c>
      <c r="J2754" s="3">
        <f t="shared" ref="J2754:J2817" si="43">(H2754/86400000)+25569+(7/24)</f>
        <v>43747.653561817126</v>
      </c>
    </row>
    <row r="2755" spans="1:10" x14ac:dyDescent="0.25">
      <c r="A2755" s="5" t="s">
        <v>5830</v>
      </c>
      <c r="B2755" s="6">
        <v>390.625</v>
      </c>
      <c r="C2755" s="6">
        <v>20.584240000000001</v>
      </c>
      <c r="D2755" s="6">
        <v>44</v>
      </c>
      <c r="E2755" s="6">
        <v>0</v>
      </c>
      <c r="F2755" s="6">
        <v>0</v>
      </c>
      <c r="G2755" s="6">
        <v>4</v>
      </c>
      <c r="H2755" s="6" t="s">
        <v>5831</v>
      </c>
      <c r="I2755" s="6">
        <v>525.9375</v>
      </c>
      <c r="J2755" s="2">
        <f t="shared" si="43"/>
        <v>43747.653645081016</v>
      </c>
    </row>
    <row r="2756" spans="1:10" x14ac:dyDescent="0.25">
      <c r="A2756" s="7" t="s">
        <v>5832</v>
      </c>
      <c r="B2756" s="8">
        <v>390.625</v>
      </c>
      <c r="C2756" s="8">
        <v>20.584240000000001</v>
      </c>
      <c r="D2756" s="8">
        <v>44</v>
      </c>
      <c r="E2756" s="8">
        <v>0</v>
      </c>
      <c r="F2756" s="8">
        <v>0</v>
      </c>
      <c r="G2756" s="8">
        <v>14</v>
      </c>
      <c r="H2756" s="8" t="s">
        <v>5833</v>
      </c>
      <c r="I2756" s="8">
        <v>525.9375</v>
      </c>
      <c r="J2756" s="3">
        <f t="shared" si="43"/>
        <v>43747.653728229161</v>
      </c>
    </row>
    <row r="2757" spans="1:10" x14ac:dyDescent="0.25">
      <c r="A2757" s="5" t="s">
        <v>5834</v>
      </c>
      <c r="B2757" s="6">
        <v>421.875</v>
      </c>
      <c r="C2757" s="6">
        <v>20.531590000000001</v>
      </c>
      <c r="D2757" s="6">
        <v>44</v>
      </c>
      <c r="E2757" s="6">
        <v>0</v>
      </c>
      <c r="F2757" s="6">
        <v>0</v>
      </c>
      <c r="G2757" s="6">
        <v>10</v>
      </c>
      <c r="H2757" s="6" t="s">
        <v>5835</v>
      </c>
      <c r="I2757" s="6">
        <v>535.6875</v>
      </c>
      <c r="J2757" s="2">
        <f t="shared" si="43"/>
        <v>43747.653811782402</v>
      </c>
    </row>
    <row r="2758" spans="1:10" x14ac:dyDescent="0.25">
      <c r="A2758" s="7" t="s">
        <v>5836</v>
      </c>
      <c r="B2758" s="8">
        <v>390.625</v>
      </c>
      <c r="C2758" s="8">
        <v>20.584240000000001</v>
      </c>
      <c r="D2758" s="8">
        <v>45</v>
      </c>
      <c r="E2758" s="8">
        <v>0</v>
      </c>
      <c r="F2758" s="8">
        <v>0</v>
      </c>
      <c r="G2758" s="8">
        <v>8</v>
      </c>
      <c r="H2758" s="8" t="s">
        <v>5837</v>
      </c>
      <c r="I2758" s="8">
        <v>525.9375</v>
      </c>
      <c r="J2758" s="3">
        <f t="shared" si="43"/>
        <v>43747.653912152775</v>
      </c>
    </row>
    <row r="2759" spans="1:10" x14ac:dyDescent="0.25">
      <c r="A2759" s="5" t="s">
        <v>5838</v>
      </c>
      <c r="B2759" s="6">
        <v>390.625</v>
      </c>
      <c r="C2759" s="6">
        <v>20.584240000000001</v>
      </c>
      <c r="D2759" s="6">
        <v>45</v>
      </c>
      <c r="E2759" s="6">
        <v>0</v>
      </c>
      <c r="F2759" s="6">
        <v>0</v>
      </c>
      <c r="G2759" s="6">
        <v>11</v>
      </c>
      <c r="H2759" s="6" t="s">
        <v>5839</v>
      </c>
      <c r="I2759" s="6">
        <v>525.9375</v>
      </c>
      <c r="J2759" s="2">
        <f t="shared" si="43"/>
        <v>43747.653990289349</v>
      </c>
    </row>
    <row r="2760" spans="1:10" x14ac:dyDescent="0.25">
      <c r="A2760" s="7" t="s">
        <v>5840</v>
      </c>
      <c r="B2760" s="8">
        <v>390.625</v>
      </c>
      <c r="C2760" s="8">
        <v>20.584240000000001</v>
      </c>
      <c r="D2760" s="8">
        <v>46</v>
      </c>
      <c r="E2760" s="8">
        <v>0</v>
      </c>
      <c r="F2760" s="8">
        <v>0</v>
      </c>
      <c r="G2760" s="8">
        <v>8</v>
      </c>
      <c r="H2760" s="8" t="s">
        <v>5841</v>
      </c>
      <c r="I2760" s="8">
        <v>525.9375</v>
      </c>
      <c r="J2760" s="3">
        <f t="shared" si="43"/>
        <v>43747.654062175927</v>
      </c>
    </row>
    <row r="2761" spans="1:10" x14ac:dyDescent="0.25">
      <c r="A2761" s="5" t="s">
        <v>5842</v>
      </c>
      <c r="B2761" s="6">
        <v>390.625</v>
      </c>
      <c r="C2761" s="6">
        <v>20.584240000000001</v>
      </c>
      <c r="D2761" s="6">
        <v>48</v>
      </c>
      <c r="E2761" s="6">
        <v>0</v>
      </c>
      <c r="F2761" s="6">
        <v>0</v>
      </c>
      <c r="G2761" s="6">
        <v>7</v>
      </c>
      <c r="H2761" s="6" t="s">
        <v>5843</v>
      </c>
      <c r="I2761" s="6">
        <v>525.9375</v>
      </c>
      <c r="J2761" s="2">
        <f t="shared" si="43"/>
        <v>43747.654145277775</v>
      </c>
    </row>
    <row r="2762" spans="1:10" x14ac:dyDescent="0.25">
      <c r="A2762" s="7" t="s">
        <v>5844</v>
      </c>
      <c r="B2762" s="8">
        <v>390.625</v>
      </c>
      <c r="C2762" s="8">
        <v>20.584240000000001</v>
      </c>
      <c r="D2762" s="8">
        <v>48</v>
      </c>
      <c r="E2762" s="8">
        <v>0</v>
      </c>
      <c r="F2762" s="8">
        <v>0</v>
      </c>
      <c r="G2762" s="8">
        <v>4</v>
      </c>
      <c r="H2762" s="8" t="s">
        <v>5845</v>
      </c>
      <c r="I2762" s="8">
        <v>525.9375</v>
      </c>
      <c r="J2762" s="3">
        <f t="shared" si="43"/>
        <v>43747.654217025462</v>
      </c>
    </row>
    <row r="2763" spans="1:10" x14ac:dyDescent="0.25">
      <c r="A2763" s="5" t="s">
        <v>5846</v>
      </c>
      <c r="B2763" s="6">
        <v>390.625</v>
      </c>
      <c r="C2763" s="6">
        <v>20.584240000000001</v>
      </c>
      <c r="D2763" s="6">
        <v>45</v>
      </c>
      <c r="E2763" s="6">
        <v>0</v>
      </c>
      <c r="F2763" s="6">
        <v>0</v>
      </c>
      <c r="G2763" s="6">
        <v>0</v>
      </c>
      <c r="H2763" s="6" t="s">
        <v>5847</v>
      </c>
      <c r="I2763" s="6">
        <v>525.9375</v>
      </c>
      <c r="J2763" s="2">
        <f t="shared" si="43"/>
        <v>43747.654300717586</v>
      </c>
    </row>
    <row r="2764" spans="1:10" x14ac:dyDescent="0.25">
      <c r="A2764" s="7" t="s">
        <v>5848</v>
      </c>
      <c r="B2764" s="8">
        <v>390.625</v>
      </c>
      <c r="C2764" s="8">
        <v>20.531590000000001</v>
      </c>
      <c r="D2764" s="8">
        <v>46</v>
      </c>
      <c r="E2764" s="8">
        <v>0</v>
      </c>
      <c r="F2764" s="8">
        <v>0</v>
      </c>
      <c r="G2764" s="8">
        <v>10</v>
      </c>
      <c r="H2764" s="8" t="s">
        <v>5849</v>
      </c>
      <c r="I2764" s="8">
        <v>525.9375</v>
      </c>
      <c r="J2764" s="3">
        <f t="shared" si="43"/>
        <v>43747.654384155096</v>
      </c>
    </row>
    <row r="2765" spans="1:10" x14ac:dyDescent="0.25">
      <c r="A2765" s="5" t="s">
        <v>5850</v>
      </c>
      <c r="B2765" s="6">
        <v>390.625</v>
      </c>
      <c r="C2765" s="6">
        <v>20.531590000000001</v>
      </c>
      <c r="D2765" s="6">
        <v>46</v>
      </c>
      <c r="E2765" s="6">
        <v>0</v>
      </c>
      <c r="F2765" s="6">
        <v>0</v>
      </c>
      <c r="G2765" s="6">
        <v>10</v>
      </c>
      <c r="H2765" s="6" t="s">
        <v>5851</v>
      </c>
      <c r="I2765" s="6">
        <v>525.9375</v>
      </c>
      <c r="J2765" s="2">
        <f t="shared" si="43"/>
        <v>43747.654467395834</v>
      </c>
    </row>
    <row r="2766" spans="1:10" x14ac:dyDescent="0.25">
      <c r="A2766" s="7" t="s">
        <v>5852</v>
      </c>
      <c r="B2766" s="8">
        <v>390.625</v>
      </c>
      <c r="C2766" s="8">
        <v>20.584240000000001</v>
      </c>
      <c r="D2766" s="8">
        <v>46</v>
      </c>
      <c r="E2766" s="8">
        <v>0</v>
      </c>
      <c r="F2766" s="8">
        <v>0</v>
      </c>
      <c r="G2766" s="8">
        <v>9</v>
      </c>
      <c r="H2766" s="8" t="s">
        <v>5853</v>
      </c>
      <c r="I2766" s="8">
        <v>525.9375</v>
      </c>
      <c r="J2766" s="3">
        <f t="shared" si="43"/>
        <v>43747.654539027775</v>
      </c>
    </row>
    <row r="2767" spans="1:10" x14ac:dyDescent="0.25">
      <c r="A2767" s="5" t="s">
        <v>5854</v>
      </c>
      <c r="B2767" s="6">
        <v>390.625</v>
      </c>
      <c r="C2767" s="6">
        <v>20.531590000000001</v>
      </c>
      <c r="D2767" s="6">
        <v>46</v>
      </c>
      <c r="E2767" s="6">
        <v>0</v>
      </c>
      <c r="F2767" s="6">
        <v>0</v>
      </c>
      <c r="G2767" s="6">
        <v>16</v>
      </c>
      <c r="H2767" s="6" t="s">
        <v>5855</v>
      </c>
      <c r="I2767" s="6">
        <v>525.9375</v>
      </c>
      <c r="J2767" s="2">
        <f t="shared" si="43"/>
        <v>43747.654622708331</v>
      </c>
    </row>
    <row r="2768" spans="1:10" x14ac:dyDescent="0.25">
      <c r="A2768" s="7" t="s">
        <v>5856</v>
      </c>
      <c r="B2768" s="8">
        <v>390.625</v>
      </c>
      <c r="C2768" s="8">
        <v>20.584240000000001</v>
      </c>
      <c r="D2768" s="8">
        <v>46</v>
      </c>
      <c r="E2768" s="8">
        <v>0</v>
      </c>
      <c r="F2768" s="8">
        <v>0</v>
      </c>
      <c r="G2768" s="8">
        <v>6</v>
      </c>
      <c r="H2768" s="8" t="s">
        <v>5857</v>
      </c>
      <c r="I2768" s="8">
        <v>525.9375</v>
      </c>
      <c r="J2768" s="3">
        <f t="shared" si="43"/>
        <v>43747.654706145833</v>
      </c>
    </row>
    <row r="2769" spans="1:10" x14ac:dyDescent="0.25">
      <c r="A2769" s="5" t="s">
        <v>5858</v>
      </c>
      <c r="B2769" s="6">
        <v>390.625</v>
      </c>
      <c r="C2769" s="6">
        <v>20.584240000000001</v>
      </c>
      <c r="D2769" s="6">
        <v>46</v>
      </c>
      <c r="E2769" s="6">
        <v>0</v>
      </c>
      <c r="F2769" s="6">
        <v>0</v>
      </c>
      <c r="G2769" s="6">
        <v>15</v>
      </c>
      <c r="H2769" s="6" t="s">
        <v>5859</v>
      </c>
      <c r="I2769" s="6">
        <v>525.9375</v>
      </c>
      <c r="J2769" s="2">
        <f t="shared" si="43"/>
        <v>43747.65478960648</v>
      </c>
    </row>
    <row r="2770" spans="1:10" x14ac:dyDescent="0.25">
      <c r="A2770" s="7" t="s">
        <v>5860</v>
      </c>
      <c r="B2770" s="8">
        <v>390.625</v>
      </c>
      <c r="C2770" s="8">
        <v>20.584240000000001</v>
      </c>
      <c r="D2770" s="8">
        <v>45</v>
      </c>
      <c r="E2770" s="8">
        <v>0</v>
      </c>
      <c r="F2770" s="8">
        <v>0</v>
      </c>
      <c r="G2770" s="8">
        <v>10</v>
      </c>
      <c r="H2770" s="8" t="s">
        <v>5861</v>
      </c>
      <c r="I2770" s="8">
        <v>525.75</v>
      </c>
      <c r="J2770" s="3">
        <f t="shared" si="43"/>
        <v>43747.65487317129</v>
      </c>
    </row>
    <row r="2771" spans="1:10" x14ac:dyDescent="0.25">
      <c r="A2771" s="5" t="s">
        <v>5862</v>
      </c>
      <c r="B2771" s="6">
        <v>390.625</v>
      </c>
      <c r="C2771" s="6">
        <v>20.584240000000001</v>
      </c>
      <c r="D2771" s="6">
        <v>45</v>
      </c>
      <c r="E2771" s="6">
        <v>0</v>
      </c>
      <c r="F2771" s="6">
        <v>0</v>
      </c>
      <c r="G2771" s="6">
        <v>11</v>
      </c>
      <c r="H2771" s="6" t="s">
        <v>5863</v>
      </c>
      <c r="I2771" s="6">
        <v>525.9375</v>
      </c>
      <c r="J2771" s="2">
        <f t="shared" si="43"/>
        <v>43747.654956296297</v>
      </c>
    </row>
    <row r="2772" spans="1:10" x14ac:dyDescent="0.25">
      <c r="A2772" s="7" t="s">
        <v>5864</v>
      </c>
      <c r="B2772" s="8">
        <v>409.375</v>
      </c>
      <c r="C2772" s="8">
        <v>20.584240000000001</v>
      </c>
      <c r="D2772" s="8">
        <v>45</v>
      </c>
      <c r="E2772" s="8">
        <v>0</v>
      </c>
      <c r="F2772" s="8">
        <v>0</v>
      </c>
      <c r="G2772" s="8">
        <v>10</v>
      </c>
      <c r="H2772" s="8" t="s">
        <v>5865</v>
      </c>
      <c r="I2772" s="8">
        <v>531.375</v>
      </c>
      <c r="J2772" s="3">
        <f t="shared" si="43"/>
        <v>43747.655027905093</v>
      </c>
    </row>
    <row r="2773" spans="1:10" x14ac:dyDescent="0.25">
      <c r="A2773" s="5" t="s">
        <v>5866</v>
      </c>
      <c r="B2773" s="6">
        <v>390.625</v>
      </c>
      <c r="C2773" s="6">
        <v>20.584240000000001</v>
      </c>
      <c r="D2773" s="6">
        <v>46</v>
      </c>
      <c r="E2773" s="6">
        <v>0</v>
      </c>
      <c r="F2773" s="6">
        <v>0</v>
      </c>
      <c r="G2773" s="6">
        <v>16</v>
      </c>
      <c r="H2773" s="6" t="s">
        <v>5867</v>
      </c>
      <c r="I2773" s="6">
        <v>525.9375</v>
      </c>
      <c r="J2773" s="2">
        <f t="shared" si="43"/>
        <v>43747.655111817126</v>
      </c>
    </row>
    <row r="2774" spans="1:10" x14ac:dyDescent="0.25">
      <c r="A2774" s="7" t="s">
        <v>5868</v>
      </c>
      <c r="B2774" s="8">
        <v>390.625</v>
      </c>
      <c r="C2774" s="8">
        <v>20.531590000000001</v>
      </c>
      <c r="D2774" s="8">
        <v>46</v>
      </c>
      <c r="E2774" s="8">
        <v>0</v>
      </c>
      <c r="F2774" s="8">
        <v>0</v>
      </c>
      <c r="G2774" s="8">
        <v>14</v>
      </c>
      <c r="H2774" s="8" t="s">
        <v>5869</v>
      </c>
      <c r="I2774" s="8">
        <v>525.9375</v>
      </c>
      <c r="J2774" s="3">
        <f t="shared" si="43"/>
        <v>43747.65519503472</v>
      </c>
    </row>
    <row r="2775" spans="1:10" x14ac:dyDescent="0.25">
      <c r="A2775" s="5" t="s">
        <v>5870</v>
      </c>
      <c r="B2775" s="6">
        <v>390.625</v>
      </c>
      <c r="C2775" s="6">
        <v>20.584240000000001</v>
      </c>
      <c r="D2775" s="6">
        <v>46</v>
      </c>
      <c r="E2775" s="6">
        <v>0</v>
      </c>
      <c r="F2775" s="6">
        <v>0</v>
      </c>
      <c r="G2775" s="6">
        <v>4</v>
      </c>
      <c r="H2775" s="6" t="s">
        <v>5871</v>
      </c>
      <c r="I2775" s="6">
        <v>525.9375</v>
      </c>
      <c r="J2775" s="2">
        <f t="shared" si="43"/>
        <v>43747.655278576385</v>
      </c>
    </row>
    <row r="2776" spans="1:10" x14ac:dyDescent="0.25">
      <c r="A2776" s="7" t="s">
        <v>5872</v>
      </c>
      <c r="B2776" s="8">
        <v>390.625</v>
      </c>
      <c r="C2776" s="8">
        <v>20.584240000000001</v>
      </c>
      <c r="D2776" s="8">
        <v>46</v>
      </c>
      <c r="E2776" s="8">
        <v>0</v>
      </c>
      <c r="F2776" s="8">
        <v>0</v>
      </c>
      <c r="G2776" s="8">
        <v>11</v>
      </c>
      <c r="H2776" s="8" t="s">
        <v>5873</v>
      </c>
      <c r="I2776" s="8">
        <v>525.9375</v>
      </c>
      <c r="J2776" s="3">
        <f t="shared" si="43"/>
        <v>43747.655362152778</v>
      </c>
    </row>
    <row r="2777" spans="1:10" x14ac:dyDescent="0.25">
      <c r="A2777" s="5" t="s">
        <v>5874</v>
      </c>
      <c r="B2777" s="6">
        <v>409.375</v>
      </c>
      <c r="C2777" s="6">
        <v>20.531590000000001</v>
      </c>
      <c r="D2777" s="6">
        <v>45</v>
      </c>
      <c r="E2777" s="6">
        <v>0</v>
      </c>
      <c r="F2777" s="6">
        <v>0</v>
      </c>
      <c r="G2777" s="6">
        <v>8</v>
      </c>
      <c r="H2777" s="6" t="s">
        <v>5875</v>
      </c>
      <c r="I2777" s="6">
        <v>531.375</v>
      </c>
      <c r="J2777" s="2">
        <f t="shared" si="43"/>
        <v>43747.655445150456</v>
      </c>
    </row>
    <row r="2778" spans="1:10" x14ac:dyDescent="0.25">
      <c r="A2778" s="7" t="s">
        <v>5876</v>
      </c>
      <c r="B2778" s="8">
        <v>390.625</v>
      </c>
      <c r="C2778" s="8">
        <v>20.478950000000001</v>
      </c>
      <c r="D2778" s="8">
        <v>47</v>
      </c>
      <c r="E2778" s="8">
        <v>0</v>
      </c>
      <c r="F2778" s="8">
        <v>0</v>
      </c>
      <c r="G2778" s="8">
        <v>11</v>
      </c>
      <c r="H2778" s="8" t="s">
        <v>5877</v>
      </c>
      <c r="I2778" s="8">
        <v>525.9375</v>
      </c>
      <c r="J2778" s="3">
        <f t="shared" si="43"/>
        <v>43747.65552896991</v>
      </c>
    </row>
    <row r="2779" spans="1:10" x14ac:dyDescent="0.25">
      <c r="A2779" s="5" t="s">
        <v>5878</v>
      </c>
      <c r="B2779" s="6">
        <v>390.625</v>
      </c>
      <c r="C2779" s="6">
        <v>20.531590000000001</v>
      </c>
      <c r="D2779" s="6">
        <v>48</v>
      </c>
      <c r="E2779" s="6">
        <v>0</v>
      </c>
      <c r="F2779" s="6">
        <v>0</v>
      </c>
      <c r="G2779" s="6">
        <v>16</v>
      </c>
      <c r="H2779" s="6" t="s">
        <v>5879</v>
      </c>
      <c r="I2779" s="6">
        <v>525.9375</v>
      </c>
      <c r="J2779" s="2">
        <f t="shared" si="43"/>
        <v>43747.655612627314</v>
      </c>
    </row>
    <row r="2780" spans="1:10" x14ac:dyDescent="0.25">
      <c r="A2780" s="7" t="s">
        <v>5880</v>
      </c>
      <c r="B2780" s="8">
        <v>390.625</v>
      </c>
      <c r="C2780" s="8">
        <v>20.584240000000001</v>
      </c>
      <c r="D2780" s="8">
        <v>49</v>
      </c>
      <c r="E2780" s="8">
        <v>0</v>
      </c>
      <c r="F2780" s="8">
        <v>0</v>
      </c>
      <c r="G2780" s="8">
        <v>15</v>
      </c>
      <c r="H2780" s="8" t="s">
        <v>5881</v>
      </c>
      <c r="I2780" s="8">
        <v>525.9375</v>
      </c>
      <c r="J2780" s="3">
        <f t="shared" si="43"/>
        <v>43747.655683923607</v>
      </c>
    </row>
    <row r="2781" spans="1:10" x14ac:dyDescent="0.25">
      <c r="A2781" s="5" t="s">
        <v>5882</v>
      </c>
      <c r="B2781" s="6">
        <v>390.625</v>
      </c>
      <c r="C2781" s="6">
        <v>20.584240000000001</v>
      </c>
      <c r="D2781" s="6">
        <v>49</v>
      </c>
      <c r="E2781" s="6">
        <v>0</v>
      </c>
      <c r="F2781" s="6">
        <v>0</v>
      </c>
      <c r="G2781" s="6">
        <v>21</v>
      </c>
      <c r="H2781" s="6" t="s">
        <v>5883</v>
      </c>
      <c r="I2781" s="6">
        <v>525.9375</v>
      </c>
      <c r="J2781" s="2">
        <f t="shared" si="43"/>
        <v>43747.655767372686</v>
      </c>
    </row>
    <row r="2782" spans="1:10" x14ac:dyDescent="0.25">
      <c r="A2782" s="7" t="s">
        <v>5884</v>
      </c>
      <c r="B2782" s="8">
        <v>412.5</v>
      </c>
      <c r="C2782" s="8">
        <v>20.584240000000001</v>
      </c>
      <c r="D2782" s="8">
        <v>49</v>
      </c>
      <c r="E2782" s="8">
        <v>0</v>
      </c>
      <c r="F2782" s="8">
        <v>0</v>
      </c>
      <c r="G2782" s="8">
        <v>15</v>
      </c>
      <c r="H2782" s="8" t="s">
        <v>5885</v>
      </c>
      <c r="I2782" s="8">
        <v>532.875</v>
      </c>
      <c r="J2782" s="3">
        <f t="shared" si="43"/>
        <v>43747.655839027771</v>
      </c>
    </row>
    <row r="2783" spans="1:10" x14ac:dyDescent="0.25">
      <c r="A2783" s="5" t="s">
        <v>5886</v>
      </c>
      <c r="B2783" s="6">
        <v>390.625</v>
      </c>
      <c r="C2783" s="6">
        <v>20.584240000000001</v>
      </c>
      <c r="D2783" s="6">
        <v>50</v>
      </c>
      <c r="E2783" s="6">
        <v>0</v>
      </c>
      <c r="F2783" s="6">
        <v>0</v>
      </c>
      <c r="G2783" s="6">
        <v>12</v>
      </c>
      <c r="H2783" s="6" t="s">
        <v>5887</v>
      </c>
      <c r="I2783" s="6">
        <v>525.9375</v>
      </c>
      <c r="J2783" s="2">
        <f t="shared" si="43"/>
        <v>43747.65592247685</v>
      </c>
    </row>
    <row r="2784" spans="1:10" x14ac:dyDescent="0.25">
      <c r="A2784" s="7" t="s">
        <v>5888</v>
      </c>
      <c r="B2784" s="8">
        <v>390.625</v>
      </c>
      <c r="C2784" s="8">
        <v>20.584240000000001</v>
      </c>
      <c r="D2784" s="8">
        <v>48</v>
      </c>
      <c r="E2784" s="8">
        <v>0</v>
      </c>
      <c r="F2784" s="8">
        <v>0</v>
      </c>
      <c r="G2784" s="8">
        <v>14</v>
      </c>
      <c r="H2784" s="8" t="s">
        <v>5889</v>
      </c>
      <c r="I2784" s="8">
        <v>525.75</v>
      </c>
      <c r="J2784" s="3">
        <f t="shared" si="43"/>
        <v>43747.656006064812</v>
      </c>
    </row>
    <row r="2785" spans="1:10" x14ac:dyDescent="0.25">
      <c r="A2785" s="5" t="s">
        <v>5890</v>
      </c>
      <c r="B2785" s="6">
        <v>390.625</v>
      </c>
      <c r="C2785" s="6">
        <v>20.531590000000001</v>
      </c>
      <c r="D2785" s="6">
        <v>48</v>
      </c>
      <c r="E2785" s="6">
        <v>0</v>
      </c>
      <c r="F2785" s="6">
        <v>0</v>
      </c>
      <c r="G2785" s="6">
        <v>22</v>
      </c>
      <c r="H2785" s="6" t="s">
        <v>5891</v>
      </c>
      <c r="I2785" s="6">
        <v>525.75</v>
      </c>
      <c r="J2785" s="2">
        <f t="shared" si="43"/>
        <v>43747.656089606484</v>
      </c>
    </row>
    <row r="2786" spans="1:10" x14ac:dyDescent="0.25">
      <c r="A2786" s="7" t="s">
        <v>5892</v>
      </c>
      <c r="B2786" s="8">
        <v>390.625</v>
      </c>
      <c r="C2786" s="8">
        <v>20.584240000000001</v>
      </c>
      <c r="D2786" s="8">
        <v>49</v>
      </c>
      <c r="E2786" s="8">
        <v>0</v>
      </c>
      <c r="F2786" s="8">
        <v>0</v>
      </c>
      <c r="G2786" s="8">
        <v>13</v>
      </c>
      <c r="H2786" s="8" t="s">
        <v>5893</v>
      </c>
      <c r="I2786" s="8">
        <v>525.9375</v>
      </c>
      <c r="J2786" s="3">
        <f t="shared" si="43"/>
        <v>43747.656173055548</v>
      </c>
    </row>
    <row r="2787" spans="1:10" x14ac:dyDescent="0.25">
      <c r="A2787" s="5" t="s">
        <v>5894</v>
      </c>
      <c r="B2787" s="6">
        <v>390.625</v>
      </c>
      <c r="C2787" s="6">
        <v>20.531590000000001</v>
      </c>
      <c r="D2787" s="6">
        <v>48</v>
      </c>
      <c r="E2787" s="6">
        <v>0</v>
      </c>
      <c r="F2787" s="6">
        <v>0</v>
      </c>
      <c r="G2787" s="6">
        <v>6</v>
      </c>
      <c r="H2787" s="6" t="s">
        <v>5895</v>
      </c>
      <c r="I2787" s="6">
        <v>525.9375</v>
      </c>
      <c r="J2787" s="2">
        <f t="shared" si="43"/>
        <v>43747.656268576386</v>
      </c>
    </row>
    <row r="2788" spans="1:10" x14ac:dyDescent="0.25">
      <c r="A2788" s="7" t="s">
        <v>5896</v>
      </c>
      <c r="B2788" s="8">
        <v>390.625</v>
      </c>
      <c r="C2788" s="8">
        <v>20.584240000000001</v>
      </c>
      <c r="D2788" s="8">
        <v>48</v>
      </c>
      <c r="E2788" s="8">
        <v>0</v>
      </c>
      <c r="F2788" s="8">
        <v>0</v>
      </c>
      <c r="G2788" s="8">
        <v>9</v>
      </c>
      <c r="H2788" s="8" t="s">
        <v>5897</v>
      </c>
      <c r="I2788" s="8">
        <v>525.9375</v>
      </c>
      <c r="J2788" s="3">
        <f t="shared" si="43"/>
        <v>43747.656351874997</v>
      </c>
    </row>
    <row r="2789" spans="1:10" x14ac:dyDescent="0.25">
      <c r="A2789" s="5" t="s">
        <v>5898</v>
      </c>
      <c r="B2789" s="6">
        <v>409.375</v>
      </c>
      <c r="C2789" s="6">
        <v>20.584240000000001</v>
      </c>
      <c r="D2789" s="6">
        <v>48</v>
      </c>
      <c r="E2789" s="6">
        <v>0</v>
      </c>
      <c r="F2789" s="6">
        <v>0</v>
      </c>
      <c r="G2789" s="6">
        <v>13</v>
      </c>
      <c r="H2789" s="6" t="s">
        <v>5899</v>
      </c>
      <c r="I2789" s="6">
        <v>531.375</v>
      </c>
      <c r="J2789" s="2">
        <f t="shared" si="43"/>
        <v>43747.656435312492</v>
      </c>
    </row>
    <row r="2790" spans="1:10" x14ac:dyDescent="0.25">
      <c r="A2790" s="7" t="s">
        <v>5900</v>
      </c>
      <c r="B2790" s="8">
        <v>390.625</v>
      </c>
      <c r="C2790" s="8">
        <v>20.584240000000001</v>
      </c>
      <c r="D2790" s="8">
        <v>48</v>
      </c>
      <c r="E2790" s="8">
        <v>0</v>
      </c>
      <c r="F2790" s="8">
        <v>0</v>
      </c>
      <c r="G2790" s="8">
        <v>13</v>
      </c>
      <c r="H2790" s="8" t="s">
        <v>5901</v>
      </c>
      <c r="I2790" s="8">
        <v>525.75</v>
      </c>
      <c r="J2790" s="3">
        <f t="shared" si="43"/>
        <v>43747.656518900461</v>
      </c>
    </row>
    <row r="2791" spans="1:10" x14ac:dyDescent="0.25">
      <c r="A2791" s="5" t="s">
        <v>5902</v>
      </c>
      <c r="B2791" s="6">
        <v>393.75</v>
      </c>
      <c r="C2791" s="6">
        <v>20.584240000000001</v>
      </c>
      <c r="D2791" s="6">
        <v>45</v>
      </c>
      <c r="E2791" s="6">
        <v>0</v>
      </c>
      <c r="F2791" s="6">
        <v>0</v>
      </c>
      <c r="G2791" s="6">
        <v>14</v>
      </c>
      <c r="H2791" s="6" t="s">
        <v>5903</v>
      </c>
      <c r="I2791" s="6">
        <v>526.6875</v>
      </c>
      <c r="J2791" s="2">
        <f t="shared" si="43"/>
        <v>43747.656602337964</v>
      </c>
    </row>
    <row r="2792" spans="1:10" x14ac:dyDescent="0.25">
      <c r="A2792" s="7" t="s">
        <v>5904</v>
      </c>
      <c r="B2792" s="8">
        <v>393.75</v>
      </c>
      <c r="C2792" s="8">
        <v>20.584240000000001</v>
      </c>
      <c r="D2792" s="8">
        <v>46</v>
      </c>
      <c r="E2792" s="8">
        <v>0</v>
      </c>
      <c r="F2792" s="8">
        <v>0</v>
      </c>
      <c r="G2792" s="8">
        <v>7</v>
      </c>
      <c r="H2792" s="8" t="s">
        <v>5905</v>
      </c>
      <c r="I2792" s="8">
        <v>526.5</v>
      </c>
      <c r="J2792" s="3">
        <f t="shared" si="43"/>
        <v>43747.656700393512</v>
      </c>
    </row>
    <row r="2793" spans="1:10" x14ac:dyDescent="0.25">
      <c r="A2793" s="5" t="s">
        <v>5906</v>
      </c>
      <c r="B2793" s="6">
        <v>412.5</v>
      </c>
      <c r="C2793" s="6">
        <v>20.584240000000001</v>
      </c>
      <c r="D2793" s="6">
        <v>47</v>
      </c>
      <c r="E2793" s="6">
        <v>0</v>
      </c>
      <c r="F2793" s="6">
        <v>0</v>
      </c>
      <c r="G2793" s="6">
        <v>11</v>
      </c>
      <c r="H2793" s="6" t="s">
        <v>5907</v>
      </c>
      <c r="I2793" s="6">
        <v>532.3125</v>
      </c>
      <c r="J2793" s="2">
        <f t="shared" si="43"/>
        <v>43747.65678114583</v>
      </c>
    </row>
    <row r="2794" spans="1:10" x14ac:dyDescent="0.25">
      <c r="A2794" s="7" t="s">
        <v>5908</v>
      </c>
      <c r="B2794" s="8">
        <v>393.75</v>
      </c>
      <c r="C2794" s="8">
        <v>20.584240000000001</v>
      </c>
      <c r="D2794" s="8">
        <v>47</v>
      </c>
      <c r="E2794" s="8">
        <v>0</v>
      </c>
      <c r="F2794" s="8">
        <v>0</v>
      </c>
      <c r="G2794" s="8">
        <v>8</v>
      </c>
      <c r="H2794" s="8" t="s">
        <v>5909</v>
      </c>
      <c r="I2794" s="8">
        <v>526.5</v>
      </c>
      <c r="J2794" s="3">
        <f t="shared" si="43"/>
        <v>43747.656864594908</v>
      </c>
    </row>
    <row r="2795" spans="1:10" x14ac:dyDescent="0.25">
      <c r="A2795" s="5" t="s">
        <v>5910</v>
      </c>
      <c r="B2795" s="6">
        <v>393.75</v>
      </c>
      <c r="C2795" s="6">
        <v>20.531590000000001</v>
      </c>
      <c r="D2795" s="6">
        <v>46</v>
      </c>
      <c r="E2795" s="6">
        <v>0</v>
      </c>
      <c r="F2795" s="6">
        <v>0</v>
      </c>
      <c r="G2795" s="6">
        <v>20</v>
      </c>
      <c r="H2795" s="6" t="s">
        <v>5911</v>
      </c>
      <c r="I2795" s="6">
        <v>526.875</v>
      </c>
      <c r="J2795" s="2">
        <f t="shared" si="43"/>
        <v>43747.656936215273</v>
      </c>
    </row>
    <row r="2796" spans="1:10" x14ac:dyDescent="0.25">
      <c r="A2796" s="7" t="s">
        <v>5912</v>
      </c>
      <c r="B2796" s="8">
        <v>393.75</v>
      </c>
      <c r="C2796" s="8">
        <v>20.584240000000001</v>
      </c>
      <c r="D2796" s="8">
        <v>46</v>
      </c>
      <c r="E2796" s="8">
        <v>0</v>
      </c>
      <c r="F2796" s="8">
        <v>0</v>
      </c>
      <c r="G2796" s="8">
        <v>7</v>
      </c>
      <c r="H2796" s="8" t="s">
        <v>5913</v>
      </c>
      <c r="I2796" s="8">
        <v>526.6875</v>
      </c>
      <c r="J2796" s="3">
        <f t="shared" si="43"/>
        <v>43747.65701934028</v>
      </c>
    </row>
    <row r="2797" spans="1:10" x14ac:dyDescent="0.25">
      <c r="A2797" s="5" t="s">
        <v>5914</v>
      </c>
      <c r="B2797" s="6">
        <v>393.75</v>
      </c>
      <c r="C2797" s="6">
        <v>20.584240000000001</v>
      </c>
      <c r="D2797" s="6">
        <v>46</v>
      </c>
      <c r="E2797" s="6">
        <v>0</v>
      </c>
      <c r="F2797" s="6">
        <v>0</v>
      </c>
      <c r="G2797" s="6">
        <v>18</v>
      </c>
      <c r="H2797" s="6" t="s">
        <v>5915</v>
      </c>
      <c r="I2797" s="6">
        <v>526.6875</v>
      </c>
      <c r="J2797" s="2">
        <f t="shared" si="43"/>
        <v>43747.657090983797</v>
      </c>
    </row>
    <row r="2798" spans="1:10" x14ac:dyDescent="0.25">
      <c r="A2798" s="7" t="s">
        <v>5916</v>
      </c>
      <c r="B2798" s="8">
        <v>390.625</v>
      </c>
      <c r="C2798" s="8">
        <v>20.584240000000001</v>
      </c>
      <c r="D2798" s="8">
        <v>47</v>
      </c>
      <c r="E2798" s="8">
        <v>0</v>
      </c>
      <c r="F2798" s="8">
        <v>0</v>
      </c>
      <c r="G2798" s="8">
        <v>11</v>
      </c>
      <c r="H2798" s="8" t="s">
        <v>5917</v>
      </c>
      <c r="I2798" s="8">
        <v>525.9375</v>
      </c>
      <c r="J2798" s="3">
        <f t="shared" si="43"/>
        <v>43747.657174780092</v>
      </c>
    </row>
    <row r="2799" spans="1:10" x14ac:dyDescent="0.25">
      <c r="A2799" s="5" t="s">
        <v>5918</v>
      </c>
      <c r="B2799" s="6">
        <v>390.625</v>
      </c>
      <c r="C2799" s="6">
        <v>20.584240000000001</v>
      </c>
      <c r="D2799" s="6">
        <v>46</v>
      </c>
      <c r="E2799" s="6">
        <v>0</v>
      </c>
      <c r="F2799" s="6">
        <v>0</v>
      </c>
      <c r="G2799" s="6">
        <v>4</v>
      </c>
      <c r="H2799" s="6" t="s">
        <v>5919</v>
      </c>
      <c r="I2799" s="6">
        <v>525.9375</v>
      </c>
      <c r="J2799" s="2">
        <f t="shared" si="43"/>
        <v>43747.657258229163</v>
      </c>
    </row>
    <row r="2800" spans="1:10" x14ac:dyDescent="0.25">
      <c r="A2800" s="7" t="s">
        <v>5920</v>
      </c>
      <c r="B2800" s="8">
        <v>390.625</v>
      </c>
      <c r="C2800" s="8">
        <v>20.584240000000001</v>
      </c>
      <c r="D2800" s="8">
        <v>47</v>
      </c>
      <c r="E2800" s="8">
        <v>0</v>
      </c>
      <c r="F2800" s="8">
        <v>0</v>
      </c>
      <c r="G2800" s="8">
        <v>11</v>
      </c>
      <c r="H2800" s="8" t="s">
        <v>5921</v>
      </c>
      <c r="I2800" s="8">
        <v>525.75</v>
      </c>
      <c r="J2800" s="3">
        <f t="shared" si="43"/>
        <v>43747.657341435181</v>
      </c>
    </row>
    <row r="2801" spans="1:10" x14ac:dyDescent="0.25">
      <c r="A2801" s="5" t="s">
        <v>5922</v>
      </c>
      <c r="B2801" s="6">
        <v>409.375</v>
      </c>
      <c r="C2801" s="6">
        <v>20.584240000000001</v>
      </c>
      <c r="D2801" s="6">
        <v>48</v>
      </c>
      <c r="E2801" s="6">
        <v>0</v>
      </c>
      <c r="F2801" s="6">
        <v>0</v>
      </c>
      <c r="G2801" s="6">
        <v>10</v>
      </c>
      <c r="H2801" s="6" t="s">
        <v>5923</v>
      </c>
      <c r="I2801" s="6">
        <v>531.375</v>
      </c>
      <c r="J2801" s="2">
        <f t="shared" si="43"/>
        <v>43747.657439884257</v>
      </c>
    </row>
    <row r="2802" spans="1:10" x14ac:dyDescent="0.25">
      <c r="A2802" s="7" t="s">
        <v>5924</v>
      </c>
      <c r="B2802" s="8">
        <v>390.625</v>
      </c>
      <c r="C2802" s="8">
        <v>20.584240000000001</v>
      </c>
      <c r="D2802" s="8">
        <v>44</v>
      </c>
      <c r="E2802" s="8">
        <v>0</v>
      </c>
      <c r="F2802" s="8">
        <v>0</v>
      </c>
      <c r="G2802" s="8">
        <v>17</v>
      </c>
      <c r="H2802" s="8" t="s">
        <v>5925</v>
      </c>
      <c r="I2802" s="8">
        <v>525.9375</v>
      </c>
      <c r="J2802" s="3">
        <f t="shared" si="43"/>
        <v>43747.657520486107</v>
      </c>
    </row>
    <row r="2803" spans="1:10" x14ac:dyDescent="0.25">
      <c r="A2803" s="5" t="s">
        <v>5926</v>
      </c>
      <c r="B2803" s="6">
        <v>390.625</v>
      </c>
      <c r="C2803" s="6">
        <v>20.531590000000001</v>
      </c>
      <c r="D2803" s="6">
        <v>44</v>
      </c>
      <c r="E2803" s="6">
        <v>0</v>
      </c>
      <c r="F2803" s="6">
        <v>0</v>
      </c>
      <c r="G2803" s="6">
        <v>3</v>
      </c>
      <c r="H2803" s="6" t="s">
        <v>5927</v>
      </c>
      <c r="I2803" s="6">
        <v>525.9375</v>
      </c>
      <c r="J2803" s="2">
        <f t="shared" si="43"/>
        <v>43747.6576040625</v>
      </c>
    </row>
    <row r="2804" spans="1:10" x14ac:dyDescent="0.25">
      <c r="A2804" s="7" t="s">
        <v>5928</v>
      </c>
      <c r="B2804" s="8">
        <v>390.625</v>
      </c>
      <c r="C2804" s="8">
        <v>20.584240000000001</v>
      </c>
      <c r="D2804" s="8">
        <v>45</v>
      </c>
      <c r="E2804" s="8">
        <v>0</v>
      </c>
      <c r="F2804" s="8">
        <v>0</v>
      </c>
      <c r="G2804" s="8">
        <v>15</v>
      </c>
      <c r="H2804" s="8" t="s">
        <v>5929</v>
      </c>
      <c r="I2804" s="8">
        <v>525.9375</v>
      </c>
      <c r="J2804" s="3">
        <f t="shared" si="43"/>
        <v>43747.657687488427</v>
      </c>
    </row>
    <row r="2805" spans="1:10" x14ac:dyDescent="0.25">
      <c r="A2805" s="5" t="s">
        <v>5930</v>
      </c>
      <c r="B2805" s="6">
        <v>409.375</v>
      </c>
      <c r="C2805" s="6">
        <v>20.531590000000001</v>
      </c>
      <c r="D2805" s="6">
        <v>46</v>
      </c>
      <c r="E2805" s="6">
        <v>0</v>
      </c>
      <c r="F2805" s="6">
        <v>0</v>
      </c>
      <c r="G2805" s="6">
        <v>12</v>
      </c>
      <c r="H2805" s="6" t="s">
        <v>5931</v>
      </c>
      <c r="I2805" s="6">
        <v>531.375</v>
      </c>
      <c r="J2805" s="2">
        <f t="shared" si="43"/>
        <v>43747.657771076389</v>
      </c>
    </row>
    <row r="2806" spans="1:10" x14ac:dyDescent="0.25">
      <c r="A2806" s="7" t="s">
        <v>5932</v>
      </c>
      <c r="B2806" s="8">
        <v>390.625</v>
      </c>
      <c r="C2806" s="8">
        <v>20.531590000000001</v>
      </c>
      <c r="D2806" s="8">
        <v>48</v>
      </c>
      <c r="E2806" s="8">
        <v>0</v>
      </c>
      <c r="F2806" s="8">
        <v>0</v>
      </c>
      <c r="G2806" s="8">
        <v>16</v>
      </c>
      <c r="H2806" s="8" t="s">
        <v>5933</v>
      </c>
      <c r="I2806" s="8">
        <v>525.9375</v>
      </c>
      <c r="J2806" s="3">
        <f t="shared" si="43"/>
        <v>43747.65785452546</v>
      </c>
    </row>
    <row r="2807" spans="1:10" x14ac:dyDescent="0.25">
      <c r="A2807" s="5" t="s">
        <v>5934</v>
      </c>
      <c r="B2807" s="6">
        <v>393.75</v>
      </c>
      <c r="C2807" s="6">
        <v>20.584240000000001</v>
      </c>
      <c r="D2807" s="6">
        <v>48</v>
      </c>
      <c r="E2807" s="6">
        <v>0</v>
      </c>
      <c r="F2807" s="6">
        <v>0</v>
      </c>
      <c r="G2807" s="6">
        <v>14</v>
      </c>
      <c r="H2807" s="6" t="s">
        <v>5935</v>
      </c>
      <c r="I2807" s="6">
        <v>526.6875</v>
      </c>
      <c r="J2807" s="2">
        <f t="shared" si="43"/>
        <v>43747.657937754622</v>
      </c>
    </row>
    <row r="2808" spans="1:10" x14ac:dyDescent="0.25">
      <c r="A2808" s="7" t="s">
        <v>5936</v>
      </c>
      <c r="B2808" s="8">
        <v>393.75</v>
      </c>
      <c r="C2808" s="8">
        <v>20.584240000000001</v>
      </c>
      <c r="D2808" s="8">
        <v>48</v>
      </c>
      <c r="E2808" s="8">
        <v>0</v>
      </c>
      <c r="F2808" s="8">
        <v>0</v>
      </c>
      <c r="G2808" s="8">
        <v>6</v>
      </c>
      <c r="H2808" s="8" t="s">
        <v>5937</v>
      </c>
      <c r="I2808" s="8">
        <v>526.6875</v>
      </c>
      <c r="J2808" s="3">
        <f t="shared" si="43"/>
        <v>43747.658009502316</v>
      </c>
    </row>
    <row r="2809" spans="1:10" x14ac:dyDescent="0.25">
      <c r="A2809" s="5" t="s">
        <v>5938</v>
      </c>
      <c r="B2809" s="6">
        <v>393.75</v>
      </c>
      <c r="C2809" s="6">
        <v>20.531590000000001</v>
      </c>
      <c r="D2809" s="6">
        <v>48</v>
      </c>
      <c r="E2809" s="6">
        <v>0</v>
      </c>
      <c r="F2809" s="6">
        <v>0</v>
      </c>
      <c r="G2809" s="6">
        <v>16</v>
      </c>
      <c r="H2809" s="6" t="s">
        <v>5939</v>
      </c>
      <c r="I2809" s="6">
        <v>526.6875</v>
      </c>
      <c r="J2809" s="2">
        <f t="shared" si="43"/>
        <v>43747.658092928243</v>
      </c>
    </row>
    <row r="2810" spans="1:10" x14ac:dyDescent="0.25">
      <c r="A2810" s="7" t="s">
        <v>5940</v>
      </c>
      <c r="B2810" s="8">
        <v>390.625</v>
      </c>
      <c r="C2810" s="8">
        <v>20.531590000000001</v>
      </c>
      <c r="D2810" s="8">
        <v>48</v>
      </c>
      <c r="E2810" s="8">
        <v>0</v>
      </c>
      <c r="F2810" s="8">
        <v>0</v>
      </c>
      <c r="G2810" s="8">
        <v>20</v>
      </c>
      <c r="H2810" s="8" t="s">
        <v>5941</v>
      </c>
      <c r="I2810" s="8">
        <v>525.75</v>
      </c>
      <c r="J2810" s="3">
        <f t="shared" si="43"/>
        <v>43747.658164699074</v>
      </c>
    </row>
    <row r="2811" spans="1:10" x14ac:dyDescent="0.25">
      <c r="A2811" s="5" t="s">
        <v>5942</v>
      </c>
      <c r="B2811" s="6">
        <v>390.625</v>
      </c>
      <c r="C2811" s="6">
        <v>20.584240000000001</v>
      </c>
      <c r="D2811" s="6">
        <v>49</v>
      </c>
      <c r="E2811" s="6">
        <v>0</v>
      </c>
      <c r="F2811" s="6">
        <v>0</v>
      </c>
      <c r="G2811" s="6">
        <v>14</v>
      </c>
      <c r="H2811" s="6" t="s">
        <v>5943</v>
      </c>
      <c r="I2811" s="6">
        <v>525.9375</v>
      </c>
      <c r="J2811" s="2">
        <f t="shared" si="43"/>
        <v>43747.658248043976</v>
      </c>
    </row>
    <row r="2812" spans="1:10" x14ac:dyDescent="0.25">
      <c r="A2812" s="7" t="s">
        <v>5944</v>
      </c>
      <c r="B2812" s="8">
        <v>390.625</v>
      </c>
      <c r="C2812" s="8">
        <v>20.584240000000001</v>
      </c>
      <c r="D2812" s="8">
        <v>49</v>
      </c>
      <c r="E2812" s="8">
        <v>0</v>
      </c>
      <c r="F2812" s="8">
        <v>0</v>
      </c>
      <c r="G2812" s="8">
        <v>16</v>
      </c>
      <c r="H2812" s="8" t="s">
        <v>5945</v>
      </c>
      <c r="I2812" s="8">
        <v>525.9375</v>
      </c>
      <c r="J2812" s="3">
        <f t="shared" si="43"/>
        <v>43747.658331620369</v>
      </c>
    </row>
    <row r="2813" spans="1:10" x14ac:dyDescent="0.25">
      <c r="A2813" s="5" t="s">
        <v>5946</v>
      </c>
      <c r="B2813" s="6">
        <v>393.75</v>
      </c>
      <c r="C2813" s="6">
        <v>20.531590000000001</v>
      </c>
      <c r="D2813" s="6">
        <v>49</v>
      </c>
      <c r="E2813" s="6">
        <v>0</v>
      </c>
      <c r="F2813" s="6">
        <v>0</v>
      </c>
      <c r="G2813" s="6">
        <v>6</v>
      </c>
      <c r="H2813" s="6" t="s">
        <v>5947</v>
      </c>
      <c r="I2813" s="6">
        <v>526.6875</v>
      </c>
      <c r="J2813" s="2">
        <f t="shared" si="43"/>
        <v>43747.658414942132</v>
      </c>
    </row>
    <row r="2814" spans="1:10" x14ac:dyDescent="0.25">
      <c r="A2814" s="7" t="s">
        <v>5948</v>
      </c>
      <c r="B2814" s="8">
        <v>393.75</v>
      </c>
      <c r="C2814" s="8">
        <v>20.584240000000001</v>
      </c>
      <c r="D2814" s="8">
        <v>48</v>
      </c>
      <c r="E2814" s="8">
        <v>0</v>
      </c>
      <c r="F2814" s="8">
        <v>0</v>
      </c>
      <c r="G2814" s="8">
        <v>11</v>
      </c>
      <c r="H2814" s="8" t="s">
        <v>5949</v>
      </c>
      <c r="I2814" s="8">
        <v>526.6875</v>
      </c>
      <c r="J2814" s="3">
        <f t="shared" si="43"/>
        <v>43747.658501469901</v>
      </c>
    </row>
    <row r="2815" spans="1:10" x14ac:dyDescent="0.25">
      <c r="A2815" s="5" t="s">
        <v>5950</v>
      </c>
      <c r="B2815" s="6">
        <v>431.25</v>
      </c>
      <c r="C2815" s="6">
        <v>20.531590000000001</v>
      </c>
      <c r="D2815" s="6">
        <v>47</v>
      </c>
      <c r="E2815" s="6">
        <v>0</v>
      </c>
      <c r="F2815" s="6">
        <v>0</v>
      </c>
      <c r="G2815" s="6">
        <v>6</v>
      </c>
      <c r="H2815" s="6" t="s">
        <v>5951</v>
      </c>
      <c r="I2815" s="6">
        <v>538.3125</v>
      </c>
      <c r="J2815" s="2">
        <f t="shared" si="43"/>
        <v>43747.65858195602</v>
      </c>
    </row>
    <row r="2816" spans="1:10" x14ac:dyDescent="0.25">
      <c r="A2816" s="7" t="s">
        <v>5952</v>
      </c>
      <c r="B2816" s="8">
        <v>390.625</v>
      </c>
      <c r="C2816" s="8">
        <v>20.531590000000001</v>
      </c>
      <c r="D2816" s="8">
        <v>46</v>
      </c>
      <c r="E2816" s="8">
        <v>0</v>
      </c>
      <c r="F2816" s="8">
        <v>0</v>
      </c>
      <c r="G2816" s="8">
        <v>16</v>
      </c>
      <c r="H2816" s="8" t="s">
        <v>5953</v>
      </c>
      <c r="I2816" s="8">
        <v>525.9375</v>
      </c>
      <c r="J2816" s="3">
        <f t="shared" si="43"/>
        <v>43747.658665393516</v>
      </c>
    </row>
    <row r="2817" spans="1:10" x14ac:dyDescent="0.25">
      <c r="A2817" s="5" t="s">
        <v>5954</v>
      </c>
      <c r="B2817" s="6">
        <v>390.625</v>
      </c>
      <c r="C2817" s="6">
        <v>20.584240000000001</v>
      </c>
      <c r="D2817" s="6">
        <v>46</v>
      </c>
      <c r="E2817" s="6">
        <v>0</v>
      </c>
      <c r="F2817" s="6">
        <v>0</v>
      </c>
      <c r="G2817" s="6">
        <v>14</v>
      </c>
      <c r="H2817" s="6" t="s">
        <v>5955</v>
      </c>
      <c r="I2817" s="6">
        <v>525.9375</v>
      </c>
      <c r="J2817" s="2">
        <f t="shared" si="43"/>
        <v>43747.658748842594</v>
      </c>
    </row>
    <row r="2818" spans="1:10" x14ac:dyDescent="0.25">
      <c r="A2818" s="7" t="s">
        <v>5956</v>
      </c>
      <c r="B2818" s="8">
        <v>390.625</v>
      </c>
      <c r="C2818" s="8">
        <v>20.584240000000001</v>
      </c>
      <c r="D2818" s="8">
        <v>46</v>
      </c>
      <c r="E2818" s="8">
        <v>0</v>
      </c>
      <c r="F2818" s="8">
        <v>0</v>
      </c>
      <c r="G2818" s="8">
        <v>8</v>
      </c>
      <c r="H2818" s="8" t="s">
        <v>5957</v>
      </c>
      <c r="I2818" s="8">
        <v>525.9375</v>
      </c>
      <c r="J2818" s="3">
        <f t="shared" ref="J2818:J2881" si="44">(H2818/86400000)+25569+(7/24)</f>
        <v>43747.658832187495</v>
      </c>
    </row>
    <row r="2819" spans="1:10" x14ac:dyDescent="0.25">
      <c r="A2819" s="5" t="s">
        <v>5958</v>
      </c>
      <c r="B2819" s="6">
        <v>390.625</v>
      </c>
      <c r="C2819" s="6">
        <v>20.584240000000001</v>
      </c>
      <c r="D2819" s="6">
        <v>44</v>
      </c>
      <c r="E2819" s="6">
        <v>0</v>
      </c>
      <c r="F2819" s="6">
        <v>0</v>
      </c>
      <c r="G2819" s="6">
        <v>20</v>
      </c>
      <c r="H2819" s="6" t="s">
        <v>5959</v>
      </c>
      <c r="I2819" s="6">
        <v>525.9375</v>
      </c>
      <c r="J2819" s="2">
        <f t="shared" si="44"/>
        <v>43747.658915520828</v>
      </c>
    </row>
    <row r="2820" spans="1:10" x14ac:dyDescent="0.25">
      <c r="A2820" s="7" t="s">
        <v>5960</v>
      </c>
      <c r="B2820" s="8">
        <v>390.625</v>
      </c>
      <c r="C2820" s="8">
        <v>20.584240000000001</v>
      </c>
      <c r="D2820" s="8">
        <v>44</v>
      </c>
      <c r="E2820" s="8">
        <v>0</v>
      </c>
      <c r="F2820" s="8">
        <v>0</v>
      </c>
      <c r="G2820" s="8">
        <v>20</v>
      </c>
      <c r="H2820" s="8" t="s">
        <v>5961</v>
      </c>
      <c r="I2820" s="8">
        <v>525.9375</v>
      </c>
      <c r="J2820" s="3">
        <f t="shared" si="44"/>
        <v>43747.658987152776</v>
      </c>
    </row>
    <row r="2821" spans="1:10" x14ac:dyDescent="0.25">
      <c r="A2821" s="5" t="s">
        <v>5962</v>
      </c>
      <c r="B2821" s="6">
        <v>390.625</v>
      </c>
      <c r="C2821" s="6">
        <v>20.531590000000001</v>
      </c>
      <c r="D2821" s="6">
        <v>45</v>
      </c>
      <c r="E2821" s="6">
        <v>0</v>
      </c>
      <c r="F2821" s="6">
        <v>0</v>
      </c>
      <c r="G2821" s="6">
        <v>22</v>
      </c>
      <c r="H2821" s="6" t="s">
        <v>5963</v>
      </c>
      <c r="I2821" s="6">
        <v>525.9375</v>
      </c>
      <c r="J2821" s="2">
        <f t="shared" si="44"/>
        <v>43747.659071076385</v>
      </c>
    </row>
    <row r="2822" spans="1:10" x14ac:dyDescent="0.25">
      <c r="A2822" s="7" t="s">
        <v>5964</v>
      </c>
      <c r="B2822" s="8">
        <v>390.625</v>
      </c>
      <c r="C2822" s="8">
        <v>20.584240000000001</v>
      </c>
      <c r="D2822" s="8">
        <v>45</v>
      </c>
      <c r="E2822" s="8">
        <v>0</v>
      </c>
      <c r="F2822" s="8">
        <v>0</v>
      </c>
      <c r="G2822" s="8">
        <v>17</v>
      </c>
      <c r="H2822" s="8" t="s">
        <v>5965</v>
      </c>
      <c r="I2822" s="8">
        <v>525.9375</v>
      </c>
      <c r="J2822" s="3">
        <f t="shared" si="44"/>
        <v>43747.65915446759</v>
      </c>
    </row>
    <row r="2823" spans="1:10" x14ac:dyDescent="0.25">
      <c r="A2823" s="5" t="s">
        <v>5966</v>
      </c>
      <c r="B2823" s="6">
        <v>390.625</v>
      </c>
      <c r="C2823" s="6">
        <v>20.531590000000001</v>
      </c>
      <c r="D2823" s="6">
        <v>46</v>
      </c>
      <c r="E2823" s="6">
        <v>0</v>
      </c>
      <c r="F2823" s="6">
        <v>0</v>
      </c>
      <c r="G2823" s="6">
        <v>16</v>
      </c>
      <c r="H2823" s="6" t="s">
        <v>5967</v>
      </c>
      <c r="I2823" s="6">
        <v>525.9375</v>
      </c>
      <c r="J2823" s="2">
        <f t="shared" si="44"/>
        <v>43747.659237743057</v>
      </c>
    </row>
    <row r="2824" spans="1:10" x14ac:dyDescent="0.25">
      <c r="A2824" s="7" t="s">
        <v>5968</v>
      </c>
      <c r="B2824" s="8">
        <v>390.625</v>
      </c>
      <c r="C2824" s="8">
        <v>20.584240000000001</v>
      </c>
      <c r="D2824" s="8">
        <v>46</v>
      </c>
      <c r="E2824" s="8">
        <v>0</v>
      </c>
      <c r="F2824" s="8">
        <v>0</v>
      </c>
      <c r="G2824" s="8">
        <v>14</v>
      </c>
      <c r="H2824" s="8" t="s">
        <v>5969</v>
      </c>
      <c r="I2824" s="8">
        <v>525.9375</v>
      </c>
      <c r="J2824" s="3">
        <f t="shared" si="44"/>
        <v>43747.659321458334</v>
      </c>
    </row>
    <row r="2825" spans="1:10" x14ac:dyDescent="0.25">
      <c r="A2825" s="5" t="s">
        <v>5970</v>
      </c>
      <c r="B2825" s="6">
        <v>390.625</v>
      </c>
      <c r="C2825" s="6">
        <v>20.584240000000001</v>
      </c>
      <c r="D2825" s="6">
        <v>44</v>
      </c>
      <c r="E2825" s="6">
        <v>0</v>
      </c>
      <c r="F2825" s="6">
        <v>0</v>
      </c>
      <c r="G2825" s="6">
        <v>20</v>
      </c>
      <c r="H2825" s="6" t="s">
        <v>5971</v>
      </c>
      <c r="I2825" s="6">
        <v>525.75</v>
      </c>
      <c r="J2825" s="2">
        <f t="shared" si="44"/>
        <v>43747.659416354167</v>
      </c>
    </row>
    <row r="2826" spans="1:10" x14ac:dyDescent="0.25">
      <c r="A2826" s="7" t="s">
        <v>5972</v>
      </c>
      <c r="B2826" s="8">
        <v>390.625</v>
      </c>
      <c r="C2826" s="8">
        <v>20.584240000000001</v>
      </c>
      <c r="D2826" s="8">
        <v>44</v>
      </c>
      <c r="E2826" s="8">
        <v>0</v>
      </c>
      <c r="F2826" s="8">
        <v>0</v>
      </c>
      <c r="G2826" s="8">
        <v>16</v>
      </c>
      <c r="H2826" s="8" t="s">
        <v>5973</v>
      </c>
      <c r="I2826" s="8">
        <v>525.9375</v>
      </c>
      <c r="J2826" s="3">
        <f t="shared" si="44"/>
        <v>43747.659487962963</v>
      </c>
    </row>
    <row r="2827" spans="1:10" x14ac:dyDescent="0.25">
      <c r="A2827" s="5" t="s">
        <v>5974</v>
      </c>
      <c r="B2827" s="6">
        <v>415.625</v>
      </c>
      <c r="C2827" s="6">
        <v>20.531590000000001</v>
      </c>
      <c r="D2827" s="6">
        <v>45</v>
      </c>
      <c r="E2827" s="6">
        <v>0</v>
      </c>
      <c r="F2827" s="6">
        <v>0</v>
      </c>
      <c r="G2827" s="6">
        <v>12</v>
      </c>
      <c r="H2827" s="6" t="s">
        <v>5975</v>
      </c>
      <c r="I2827" s="6">
        <v>533.8125</v>
      </c>
      <c r="J2827" s="2">
        <f t="shared" si="44"/>
        <v>43747.659571539349</v>
      </c>
    </row>
    <row r="2828" spans="1:10" x14ac:dyDescent="0.25">
      <c r="A2828" s="7" t="s">
        <v>5976</v>
      </c>
      <c r="B2828" s="8">
        <v>390.625</v>
      </c>
      <c r="C2828" s="8">
        <v>20.584240000000001</v>
      </c>
      <c r="D2828" s="8">
        <v>45</v>
      </c>
      <c r="E2828" s="8">
        <v>0</v>
      </c>
      <c r="F2828" s="8">
        <v>0</v>
      </c>
      <c r="G2828" s="8">
        <v>10</v>
      </c>
      <c r="H2828" s="8" t="s">
        <v>5977</v>
      </c>
      <c r="I2828" s="8">
        <v>525.9375</v>
      </c>
      <c r="J2828" s="3">
        <f t="shared" si="44"/>
        <v>43747.659643287036</v>
      </c>
    </row>
    <row r="2829" spans="1:10" x14ac:dyDescent="0.25">
      <c r="A2829" s="5" t="s">
        <v>5978</v>
      </c>
      <c r="B2829" s="6">
        <v>390.625</v>
      </c>
      <c r="C2829" s="6">
        <v>20.584240000000001</v>
      </c>
      <c r="D2829" s="6">
        <v>45</v>
      </c>
      <c r="E2829" s="6">
        <v>0</v>
      </c>
      <c r="F2829" s="6">
        <v>0</v>
      </c>
      <c r="G2829" s="6">
        <v>14</v>
      </c>
      <c r="H2829" s="6" t="s">
        <v>5979</v>
      </c>
      <c r="I2829" s="6">
        <v>525.9375</v>
      </c>
      <c r="J2829" s="2">
        <f t="shared" si="44"/>
        <v>43747.65972664352</v>
      </c>
    </row>
    <row r="2830" spans="1:10" x14ac:dyDescent="0.25">
      <c r="A2830" s="7" t="s">
        <v>5980</v>
      </c>
      <c r="B2830" s="8">
        <v>390.625</v>
      </c>
      <c r="C2830" s="8">
        <v>20.531590000000001</v>
      </c>
      <c r="D2830" s="8">
        <v>45</v>
      </c>
      <c r="E2830" s="8">
        <v>0</v>
      </c>
      <c r="F2830" s="8">
        <v>0</v>
      </c>
      <c r="G2830" s="8">
        <v>12</v>
      </c>
      <c r="H2830" s="8" t="s">
        <v>5981</v>
      </c>
      <c r="I2830" s="8">
        <v>525.9375</v>
      </c>
      <c r="J2830" s="3">
        <f t="shared" si="44"/>
        <v>43747.659810335645</v>
      </c>
    </row>
    <row r="2831" spans="1:10" x14ac:dyDescent="0.25">
      <c r="A2831" s="5" t="s">
        <v>5982</v>
      </c>
      <c r="B2831" s="6">
        <v>390.625</v>
      </c>
      <c r="C2831" s="6">
        <v>20.584240000000001</v>
      </c>
      <c r="D2831" s="6">
        <v>45</v>
      </c>
      <c r="E2831" s="6">
        <v>0</v>
      </c>
      <c r="F2831" s="6">
        <v>0</v>
      </c>
      <c r="G2831" s="6">
        <v>10</v>
      </c>
      <c r="H2831" s="6" t="s">
        <v>5983</v>
      </c>
      <c r="I2831" s="6">
        <v>525.75</v>
      </c>
      <c r="J2831" s="2">
        <f t="shared" si="44"/>
        <v>43747.659905682864</v>
      </c>
    </row>
    <row r="2832" spans="1:10" x14ac:dyDescent="0.25">
      <c r="A2832" s="7" t="s">
        <v>5984</v>
      </c>
      <c r="B2832" s="8">
        <v>390.625</v>
      </c>
      <c r="C2832" s="8">
        <v>20.584240000000001</v>
      </c>
      <c r="D2832" s="8">
        <v>45</v>
      </c>
      <c r="E2832" s="8">
        <v>0</v>
      </c>
      <c r="F2832" s="8">
        <v>0</v>
      </c>
      <c r="G2832" s="8">
        <v>14</v>
      </c>
      <c r="H2832" s="8" t="s">
        <v>5985</v>
      </c>
      <c r="I2832" s="8">
        <v>525.9375</v>
      </c>
      <c r="J2832" s="3">
        <f t="shared" si="44"/>
        <v>43747.660002534722</v>
      </c>
    </row>
    <row r="2833" spans="1:10" x14ac:dyDescent="0.25">
      <c r="A2833" s="5" t="s">
        <v>5986</v>
      </c>
      <c r="B2833" s="6">
        <v>390.625</v>
      </c>
      <c r="C2833" s="6">
        <v>20.584240000000001</v>
      </c>
      <c r="D2833" s="6">
        <v>48</v>
      </c>
      <c r="E2833" s="6">
        <v>0</v>
      </c>
      <c r="F2833" s="6">
        <v>0</v>
      </c>
      <c r="G2833" s="6">
        <v>19</v>
      </c>
      <c r="H2833" s="6" t="s">
        <v>5987</v>
      </c>
      <c r="I2833" s="6">
        <v>525.9375</v>
      </c>
      <c r="J2833" s="2">
        <f t="shared" si="44"/>
        <v>43747.660084525465</v>
      </c>
    </row>
    <row r="2834" spans="1:10" x14ac:dyDescent="0.25">
      <c r="A2834" s="7" t="s">
        <v>5988</v>
      </c>
      <c r="B2834" s="8">
        <v>393.75</v>
      </c>
      <c r="C2834" s="8">
        <v>20.531590000000001</v>
      </c>
      <c r="D2834" s="8">
        <v>48</v>
      </c>
      <c r="E2834" s="8">
        <v>0</v>
      </c>
      <c r="F2834" s="8">
        <v>0</v>
      </c>
      <c r="G2834" s="8">
        <v>14</v>
      </c>
      <c r="H2834" s="8" t="s">
        <v>5989</v>
      </c>
      <c r="I2834" s="8">
        <v>526.6875</v>
      </c>
      <c r="J2834" s="3">
        <f t="shared" si="44"/>
        <v>43747.660179884253</v>
      </c>
    </row>
    <row r="2835" spans="1:10" x14ac:dyDescent="0.25">
      <c r="A2835" s="5" t="s">
        <v>5990</v>
      </c>
      <c r="B2835" s="6">
        <v>393.75</v>
      </c>
      <c r="C2835" s="6">
        <v>20.584240000000001</v>
      </c>
      <c r="D2835" s="6">
        <v>48</v>
      </c>
      <c r="E2835" s="6">
        <v>0</v>
      </c>
      <c r="F2835" s="6">
        <v>0</v>
      </c>
      <c r="G2835" s="6">
        <v>18</v>
      </c>
      <c r="H2835" s="6" t="s">
        <v>5991</v>
      </c>
      <c r="I2835" s="6">
        <v>526.6875</v>
      </c>
      <c r="J2835" s="2">
        <f t="shared" si="44"/>
        <v>43747.660263506943</v>
      </c>
    </row>
    <row r="2836" spans="1:10" x14ac:dyDescent="0.25">
      <c r="A2836" s="7" t="s">
        <v>5992</v>
      </c>
      <c r="B2836" s="8">
        <v>393.75</v>
      </c>
      <c r="C2836" s="8">
        <v>20.584240000000001</v>
      </c>
      <c r="D2836" s="8">
        <v>47</v>
      </c>
      <c r="E2836" s="8">
        <v>0</v>
      </c>
      <c r="F2836" s="8">
        <v>0</v>
      </c>
      <c r="G2836" s="8">
        <v>13</v>
      </c>
      <c r="H2836" s="8" t="s">
        <v>5993</v>
      </c>
      <c r="I2836" s="8">
        <v>526.6875</v>
      </c>
      <c r="J2836" s="3">
        <f t="shared" si="44"/>
        <v>43747.660346886572</v>
      </c>
    </row>
    <row r="2837" spans="1:10" x14ac:dyDescent="0.25">
      <c r="A2837" s="5" t="s">
        <v>5994</v>
      </c>
      <c r="B2837" s="6">
        <v>390.625</v>
      </c>
      <c r="C2837" s="6">
        <v>20.584240000000001</v>
      </c>
      <c r="D2837" s="6">
        <v>48</v>
      </c>
      <c r="E2837" s="6">
        <v>0</v>
      </c>
      <c r="F2837" s="6">
        <v>0</v>
      </c>
      <c r="G2837" s="6">
        <v>20</v>
      </c>
      <c r="H2837" s="6" t="s">
        <v>5995</v>
      </c>
      <c r="I2837" s="6">
        <v>525.75</v>
      </c>
      <c r="J2837" s="2">
        <f t="shared" si="44"/>
        <v>43747.660430335651</v>
      </c>
    </row>
    <row r="2838" spans="1:10" x14ac:dyDescent="0.25">
      <c r="A2838" s="7" t="s">
        <v>5996</v>
      </c>
      <c r="B2838" s="8">
        <v>390.625</v>
      </c>
      <c r="C2838" s="8">
        <v>20.584240000000001</v>
      </c>
      <c r="D2838" s="8">
        <v>47</v>
      </c>
      <c r="E2838" s="8">
        <v>0</v>
      </c>
      <c r="F2838" s="8">
        <v>0</v>
      </c>
      <c r="G2838" s="8">
        <v>14</v>
      </c>
      <c r="H2838" s="8" t="s">
        <v>5997</v>
      </c>
      <c r="I2838" s="8">
        <v>525.9375</v>
      </c>
      <c r="J2838" s="3">
        <f t="shared" si="44"/>
        <v>43747.660513784715</v>
      </c>
    </row>
    <row r="2839" spans="1:10" x14ac:dyDescent="0.25">
      <c r="A2839" s="5" t="s">
        <v>5998</v>
      </c>
      <c r="B2839" s="6">
        <v>390.625</v>
      </c>
      <c r="C2839" s="6">
        <v>20.531590000000001</v>
      </c>
      <c r="D2839" s="6">
        <v>46</v>
      </c>
      <c r="E2839" s="6">
        <v>0</v>
      </c>
      <c r="F2839" s="6">
        <v>0</v>
      </c>
      <c r="G2839" s="6">
        <v>14</v>
      </c>
      <c r="H2839" s="6" t="s">
        <v>5999</v>
      </c>
      <c r="I2839" s="6">
        <v>525.9375</v>
      </c>
      <c r="J2839" s="2">
        <f t="shared" si="44"/>
        <v>43747.660597013884</v>
      </c>
    </row>
    <row r="2840" spans="1:10" x14ac:dyDescent="0.25">
      <c r="A2840" s="7" t="s">
        <v>6000</v>
      </c>
      <c r="B2840" s="8">
        <v>409.375</v>
      </c>
      <c r="C2840" s="8">
        <v>20.531590000000001</v>
      </c>
      <c r="D2840" s="8">
        <v>46</v>
      </c>
      <c r="E2840" s="8">
        <v>0</v>
      </c>
      <c r="F2840" s="8">
        <v>0</v>
      </c>
      <c r="G2840" s="8">
        <v>18</v>
      </c>
      <c r="H2840" s="8" t="s">
        <v>6001</v>
      </c>
      <c r="I2840" s="8">
        <v>531.9375</v>
      </c>
      <c r="J2840" s="3">
        <f t="shared" si="44"/>
        <v>43747.660668645833</v>
      </c>
    </row>
    <row r="2841" spans="1:10" x14ac:dyDescent="0.25">
      <c r="A2841" s="5" t="s">
        <v>6002</v>
      </c>
      <c r="B2841" s="6">
        <v>390.625</v>
      </c>
      <c r="C2841" s="6">
        <v>20.531590000000001</v>
      </c>
      <c r="D2841" s="6">
        <v>45</v>
      </c>
      <c r="E2841" s="6">
        <v>0</v>
      </c>
      <c r="F2841" s="6">
        <v>0</v>
      </c>
      <c r="G2841" s="6">
        <v>13</v>
      </c>
      <c r="H2841" s="6" t="s">
        <v>6003</v>
      </c>
      <c r="I2841" s="6">
        <v>525.75</v>
      </c>
      <c r="J2841" s="2">
        <f t="shared" si="44"/>
        <v>43747.660752557866</v>
      </c>
    </row>
    <row r="2842" spans="1:10" x14ac:dyDescent="0.25">
      <c r="A2842" s="7" t="s">
        <v>6004</v>
      </c>
      <c r="B2842" s="8">
        <v>390.625</v>
      </c>
      <c r="C2842" s="8">
        <v>20.531590000000001</v>
      </c>
      <c r="D2842" s="8">
        <v>45</v>
      </c>
      <c r="E2842" s="8">
        <v>0</v>
      </c>
      <c r="F2842" s="8">
        <v>0</v>
      </c>
      <c r="G2842" s="8">
        <v>7</v>
      </c>
      <c r="H2842" s="8" t="s">
        <v>6005</v>
      </c>
      <c r="I2842" s="8">
        <v>525.75</v>
      </c>
      <c r="J2842" s="3">
        <f t="shared" si="44"/>
        <v>43747.660824074068</v>
      </c>
    </row>
    <row r="2843" spans="1:10" x14ac:dyDescent="0.25">
      <c r="A2843" s="5" t="s">
        <v>6006</v>
      </c>
      <c r="B2843" s="6">
        <v>390.625</v>
      </c>
      <c r="C2843" s="6">
        <v>20.584240000000001</v>
      </c>
      <c r="D2843" s="6">
        <v>45</v>
      </c>
      <c r="E2843" s="6">
        <v>0</v>
      </c>
      <c r="F2843" s="6">
        <v>0</v>
      </c>
      <c r="G2843" s="6">
        <v>11</v>
      </c>
      <c r="H2843" s="6" t="s">
        <v>6007</v>
      </c>
      <c r="I2843" s="6">
        <v>525.9375</v>
      </c>
      <c r="J2843" s="2">
        <f t="shared" si="44"/>
        <v>43747.66089515046</v>
      </c>
    </row>
    <row r="2844" spans="1:10" x14ac:dyDescent="0.25">
      <c r="A2844" s="7" t="s">
        <v>6008</v>
      </c>
      <c r="B2844" s="8">
        <v>390.625</v>
      </c>
      <c r="C2844" s="8">
        <v>20.584240000000001</v>
      </c>
      <c r="D2844" s="8">
        <v>45</v>
      </c>
      <c r="E2844" s="8">
        <v>0</v>
      </c>
      <c r="F2844" s="8">
        <v>0</v>
      </c>
      <c r="G2844" s="8">
        <v>15</v>
      </c>
      <c r="H2844" s="8" t="s">
        <v>6009</v>
      </c>
      <c r="I2844" s="8">
        <v>525.9375</v>
      </c>
      <c r="J2844" s="3">
        <f t="shared" si="44"/>
        <v>43747.660978587963</v>
      </c>
    </row>
    <row r="2845" spans="1:10" x14ac:dyDescent="0.25">
      <c r="A2845" s="5" t="s">
        <v>6010</v>
      </c>
      <c r="B2845" s="6">
        <v>390.625</v>
      </c>
      <c r="C2845" s="6">
        <v>20.531590000000001</v>
      </c>
      <c r="D2845" s="6">
        <v>45</v>
      </c>
      <c r="E2845" s="6">
        <v>0</v>
      </c>
      <c r="F2845" s="6">
        <v>0</v>
      </c>
      <c r="G2845" s="6">
        <v>20</v>
      </c>
      <c r="H2845" s="6" t="s">
        <v>6011</v>
      </c>
      <c r="I2845" s="6">
        <v>525.9375</v>
      </c>
      <c r="J2845" s="2">
        <f t="shared" si="44"/>
        <v>43747.66105023148</v>
      </c>
    </row>
    <row r="2846" spans="1:10" x14ac:dyDescent="0.25">
      <c r="A2846" s="7" t="s">
        <v>6012</v>
      </c>
      <c r="B2846" s="8">
        <v>390.625</v>
      </c>
      <c r="C2846" s="8">
        <v>20.584240000000001</v>
      </c>
      <c r="D2846" s="8">
        <v>47</v>
      </c>
      <c r="E2846" s="8">
        <v>0</v>
      </c>
      <c r="F2846" s="8">
        <v>0</v>
      </c>
      <c r="G2846" s="8">
        <v>12</v>
      </c>
      <c r="H2846" s="8" t="s">
        <v>6013</v>
      </c>
      <c r="I2846" s="8">
        <v>525.9375</v>
      </c>
      <c r="J2846" s="3">
        <f t="shared" si="44"/>
        <v>43747.661134027774</v>
      </c>
    </row>
    <row r="2847" spans="1:10" x14ac:dyDescent="0.25">
      <c r="A2847" s="5" t="s">
        <v>6014</v>
      </c>
      <c r="B2847" s="6">
        <v>390.625</v>
      </c>
      <c r="C2847" s="6">
        <v>20.584240000000001</v>
      </c>
      <c r="D2847" s="6">
        <v>47</v>
      </c>
      <c r="E2847" s="6">
        <v>0</v>
      </c>
      <c r="F2847" s="6">
        <v>0</v>
      </c>
      <c r="G2847" s="6">
        <v>9</v>
      </c>
      <c r="H2847" s="6" t="s">
        <v>6015</v>
      </c>
      <c r="I2847" s="6">
        <v>525.75</v>
      </c>
      <c r="J2847" s="2">
        <f t="shared" si="44"/>
        <v>43747.661217499997</v>
      </c>
    </row>
    <row r="2848" spans="1:10" x14ac:dyDescent="0.25">
      <c r="A2848" s="7" t="s">
        <v>6016</v>
      </c>
      <c r="B2848" s="8">
        <v>390.625</v>
      </c>
      <c r="C2848" s="8">
        <v>20.531590000000001</v>
      </c>
      <c r="D2848" s="8">
        <v>48</v>
      </c>
      <c r="E2848" s="8">
        <v>0</v>
      </c>
      <c r="F2848" s="8">
        <v>0</v>
      </c>
      <c r="G2848" s="8">
        <v>24</v>
      </c>
      <c r="H2848" s="8" t="s">
        <v>6017</v>
      </c>
      <c r="I2848" s="8">
        <v>525.75</v>
      </c>
      <c r="J2848" s="3">
        <f t="shared" si="44"/>
        <v>43747.661300717591</v>
      </c>
    </row>
    <row r="2849" spans="1:10" x14ac:dyDescent="0.25">
      <c r="A2849" s="5" t="s">
        <v>6018</v>
      </c>
      <c r="B2849" s="6">
        <v>390.625</v>
      </c>
      <c r="C2849" s="6">
        <v>20.584240000000001</v>
      </c>
      <c r="D2849" s="6">
        <v>48</v>
      </c>
      <c r="E2849" s="6">
        <v>0</v>
      </c>
      <c r="F2849" s="6">
        <v>0</v>
      </c>
      <c r="G2849" s="6">
        <v>13</v>
      </c>
      <c r="H2849" s="6" t="s">
        <v>6019</v>
      </c>
      <c r="I2849" s="6">
        <v>525.9375</v>
      </c>
      <c r="J2849" s="2">
        <f t="shared" si="44"/>
        <v>43747.661372453702</v>
      </c>
    </row>
    <row r="2850" spans="1:10" x14ac:dyDescent="0.25">
      <c r="A2850" s="7" t="s">
        <v>6020</v>
      </c>
      <c r="B2850" s="8">
        <v>390.625</v>
      </c>
      <c r="C2850" s="8">
        <v>20.531590000000001</v>
      </c>
      <c r="D2850" s="8">
        <v>47</v>
      </c>
      <c r="E2850" s="8">
        <v>0</v>
      </c>
      <c r="F2850" s="8">
        <v>0</v>
      </c>
      <c r="G2850" s="8">
        <v>6</v>
      </c>
      <c r="H2850" s="8" t="s">
        <v>6021</v>
      </c>
      <c r="I2850" s="8">
        <v>525.9375</v>
      </c>
      <c r="J2850" s="3">
        <f t="shared" si="44"/>
        <v>43747.661456030088</v>
      </c>
    </row>
    <row r="2851" spans="1:10" x14ac:dyDescent="0.25">
      <c r="A2851" s="5" t="s">
        <v>6022</v>
      </c>
      <c r="B2851" s="6">
        <v>390.625</v>
      </c>
      <c r="C2851" s="6">
        <v>20.584240000000001</v>
      </c>
      <c r="D2851" s="6">
        <v>46</v>
      </c>
      <c r="E2851" s="6">
        <v>0</v>
      </c>
      <c r="F2851" s="6">
        <v>0</v>
      </c>
      <c r="G2851" s="6">
        <v>25</v>
      </c>
      <c r="H2851" s="6" t="s">
        <v>6023</v>
      </c>
      <c r="I2851" s="6">
        <v>525.75</v>
      </c>
      <c r="J2851" s="2">
        <f t="shared" si="44"/>
        <v>43747.661539490735</v>
      </c>
    </row>
    <row r="2852" spans="1:10" x14ac:dyDescent="0.25">
      <c r="A2852" s="7" t="s">
        <v>6024</v>
      </c>
      <c r="B2852" s="8">
        <v>390.625</v>
      </c>
      <c r="C2852" s="8">
        <v>20.584240000000001</v>
      </c>
      <c r="D2852" s="8">
        <v>46</v>
      </c>
      <c r="E2852" s="8">
        <v>0</v>
      </c>
      <c r="F2852" s="8">
        <v>0</v>
      </c>
      <c r="G2852" s="8">
        <v>11</v>
      </c>
      <c r="H2852" s="8" t="s">
        <v>6025</v>
      </c>
      <c r="I2852" s="8">
        <v>525.9375</v>
      </c>
      <c r="J2852" s="3">
        <f t="shared" si="44"/>
        <v>43747.661623020831</v>
      </c>
    </row>
    <row r="2853" spans="1:10" x14ac:dyDescent="0.25">
      <c r="A2853" s="5" t="s">
        <v>6026</v>
      </c>
      <c r="B2853" s="6">
        <v>390.625</v>
      </c>
      <c r="C2853" s="6">
        <v>20.584240000000001</v>
      </c>
      <c r="D2853" s="6">
        <v>47</v>
      </c>
      <c r="E2853" s="6">
        <v>0</v>
      </c>
      <c r="F2853" s="6">
        <v>0</v>
      </c>
      <c r="G2853" s="6">
        <v>22</v>
      </c>
      <c r="H2853" s="6" t="s">
        <v>6027</v>
      </c>
      <c r="I2853" s="6">
        <v>525.9375</v>
      </c>
      <c r="J2853" s="2">
        <f t="shared" si="44"/>
        <v>43747.661706493054</v>
      </c>
    </row>
    <row r="2854" spans="1:10" x14ac:dyDescent="0.25">
      <c r="A2854" s="7" t="s">
        <v>6028</v>
      </c>
      <c r="B2854" s="8">
        <v>390.625</v>
      </c>
      <c r="C2854" s="8">
        <v>20.584240000000001</v>
      </c>
      <c r="D2854" s="8">
        <v>47</v>
      </c>
      <c r="E2854" s="8">
        <v>0</v>
      </c>
      <c r="F2854" s="8">
        <v>0</v>
      </c>
      <c r="G2854" s="8">
        <v>24</v>
      </c>
      <c r="H2854" s="8" t="s">
        <v>6029</v>
      </c>
      <c r="I2854" s="8">
        <v>525.9375</v>
      </c>
      <c r="J2854" s="3">
        <f t="shared" si="44"/>
        <v>43747.661789606478</v>
      </c>
    </row>
    <row r="2855" spans="1:10" x14ac:dyDescent="0.25">
      <c r="A2855" s="5" t="s">
        <v>6030</v>
      </c>
      <c r="B2855" s="6">
        <v>390.625</v>
      </c>
      <c r="C2855" s="6">
        <v>20.531590000000001</v>
      </c>
      <c r="D2855" s="6">
        <v>47</v>
      </c>
      <c r="E2855" s="6">
        <v>0</v>
      </c>
      <c r="F2855" s="6">
        <v>0</v>
      </c>
      <c r="G2855" s="6">
        <v>19</v>
      </c>
      <c r="H2855" s="6" t="s">
        <v>6031</v>
      </c>
      <c r="I2855" s="6">
        <v>525.75</v>
      </c>
      <c r="J2855" s="2">
        <f t="shared" si="44"/>
        <v>43747.66186122685</v>
      </c>
    </row>
    <row r="2856" spans="1:10" x14ac:dyDescent="0.25">
      <c r="A2856" s="7" t="s">
        <v>6032</v>
      </c>
      <c r="B2856" s="8">
        <v>390.625</v>
      </c>
      <c r="C2856" s="8">
        <v>20.584240000000001</v>
      </c>
      <c r="D2856" s="8">
        <v>48</v>
      </c>
      <c r="E2856" s="8">
        <v>0</v>
      </c>
      <c r="F2856" s="8">
        <v>0</v>
      </c>
      <c r="G2856" s="8">
        <v>20</v>
      </c>
      <c r="H2856" s="8" t="s">
        <v>6033</v>
      </c>
      <c r="I2856" s="8">
        <v>525.75</v>
      </c>
      <c r="J2856" s="3">
        <f t="shared" si="44"/>
        <v>43747.661944918982</v>
      </c>
    </row>
    <row r="2857" spans="1:10" x14ac:dyDescent="0.25">
      <c r="A2857" s="5" t="s">
        <v>6034</v>
      </c>
      <c r="B2857" s="6">
        <v>390.625</v>
      </c>
      <c r="C2857" s="6">
        <v>20.584240000000001</v>
      </c>
      <c r="D2857" s="6">
        <v>48</v>
      </c>
      <c r="E2857" s="6">
        <v>0</v>
      </c>
      <c r="F2857" s="6">
        <v>0</v>
      </c>
      <c r="G2857" s="6">
        <v>14</v>
      </c>
      <c r="H2857" s="6" t="s">
        <v>6035</v>
      </c>
      <c r="I2857" s="6">
        <v>525.9375</v>
      </c>
      <c r="J2857" s="2">
        <f t="shared" si="44"/>
        <v>43747.662028379629</v>
      </c>
    </row>
    <row r="2858" spans="1:10" x14ac:dyDescent="0.25">
      <c r="A2858" s="7" t="s">
        <v>6036</v>
      </c>
      <c r="B2858" s="8">
        <v>390.625</v>
      </c>
      <c r="C2858" s="8">
        <v>20.531590000000001</v>
      </c>
      <c r="D2858" s="8">
        <v>48</v>
      </c>
      <c r="E2858" s="8">
        <v>0</v>
      </c>
      <c r="F2858" s="8">
        <v>0</v>
      </c>
      <c r="G2858" s="8">
        <v>19</v>
      </c>
      <c r="H2858" s="8" t="s">
        <v>6037</v>
      </c>
      <c r="I2858" s="8">
        <v>525.75</v>
      </c>
      <c r="J2858" s="3">
        <f t="shared" si="44"/>
        <v>43747.662126157404</v>
      </c>
    </row>
    <row r="2859" spans="1:10" x14ac:dyDescent="0.25">
      <c r="A2859" s="5" t="s">
        <v>6038</v>
      </c>
      <c r="B2859" s="6">
        <v>390.625</v>
      </c>
      <c r="C2859" s="6">
        <v>20.584240000000001</v>
      </c>
      <c r="D2859" s="6">
        <v>48</v>
      </c>
      <c r="E2859" s="6">
        <v>0</v>
      </c>
      <c r="F2859" s="6">
        <v>0</v>
      </c>
      <c r="G2859" s="6">
        <v>12</v>
      </c>
      <c r="H2859" s="6" t="s">
        <v>6039</v>
      </c>
      <c r="I2859" s="6">
        <v>525.9375</v>
      </c>
      <c r="J2859" s="2">
        <f t="shared" si="44"/>
        <v>43747.66220731481</v>
      </c>
    </row>
    <row r="2860" spans="1:10" x14ac:dyDescent="0.25">
      <c r="A2860" s="7" t="s">
        <v>6040</v>
      </c>
      <c r="B2860" s="8">
        <v>390.625</v>
      </c>
      <c r="C2860" s="8">
        <v>20.531590000000001</v>
      </c>
      <c r="D2860" s="8">
        <v>47</v>
      </c>
      <c r="E2860" s="8">
        <v>0</v>
      </c>
      <c r="F2860" s="8">
        <v>0</v>
      </c>
      <c r="G2860" s="8">
        <v>17</v>
      </c>
      <c r="H2860" s="8" t="s">
        <v>6041</v>
      </c>
      <c r="I2860" s="8">
        <v>525.75</v>
      </c>
      <c r="J2860" s="3">
        <f t="shared" si="44"/>
        <v>43747.662278587959</v>
      </c>
    </row>
    <row r="2861" spans="1:10" x14ac:dyDescent="0.25">
      <c r="A2861" s="5" t="s">
        <v>6042</v>
      </c>
      <c r="B2861" s="6">
        <v>390.625</v>
      </c>
      <c r="C2861" s="6">
        <v>20.584240000000001</v>
      </c>
      <c r="D2861" s="6">
        <v>47</v>
      </c>
      <c r="E2861" s="6">
        <v>0</v>
      </c>
      <c r="F2861" s="6">
        <v>0</v>
      </c>
      <c r="G2861" s="6">
        <v>11</v>
      </c>
      <c r="H2861" s="6" t="s">
        <v>6043</v>
      </c>
      <c r="I2861" s="6">
        <v>525.9375</v>
      </c>
      <c r="J2861" s="2">
        <f t="shared" si="44"/>
        <v>43747.662349918981</v>
      </c>
    </row>
    <row r="2862" spans="1:10" x14ac:dyDescent="0.25">
      <c r="A2862" s="7" t="s">
        <v>6044</v>
      </c>
      <c r="B2862" s="8">
        <v>390.625</v>
      </c>
      <c r="C2862" s="8">
        <v>20.584240000000001</v>
      </c>
      <c r="D2862" s="8">
        <v>47</v>
      </c>
      <c r="E2862" s="8">
        <v>0</v>
      </c>
      <c r="F2862" s="8">
        <v>0</v>
      </c>
      <c r="G2862" s="8">
        <v>12</v>
      </c>
      <c r="H2862" s="8" t="s">
        <v>6045</v>
      </c>
      <c r="I2862" s="8">
        <v>525.9375</v>
      </c>
      <c r="J2862" s="3">
        <f t="shared" si="44"/>
        <v>43747.662434050922</v>
      </c>
    </row>
    <row r="2863" spans="1:10" x14ac:dyDescent="0.25">
      <c r="A2863" s="5" t="s">
        <v>6046</v>
      </c>
      <c r="B2863" s="6">
        <v>393.75</v>
      </c>
      <c r="C2863" s="6">
        <v>20.531590000000001</v>
      </c>
      <c r="D2863" s="6">
        <v>48</v>
      </c>
      <c r="E2863" s="6">
        <v>0</v>
      </c>
      <c r="F2863" s="6">
        <v>0</v>
      </c>
      <c r="G2863" s="6">
        <v>23</v>
      </c>
      <c r="H2863" s="6" t="s">
        <v>6047</v>
      </c>
      <c r="I2863" s="6">
        <v>526.6875</v>
      </c>
      <c r="J2863" s="2">
        <f t="shared" si="44"/>
        <v>43747.662517384255</v>
      </c>
    </row>
    <row r="2864" spans="1:10" x14ac:dyDescent="0.25">
      <c r="A2864" s="7" t="s">
        <v>6048</v>
      </c>
      <c r="B2864" s="8">
        <v>412.5</v>
      </c>
      <c r="C2864" s="8">
        <v>20.531590000000001</v>
      </c>
      <c r="D2864" s="8">
        <v>48</v>
      </c>
      <c r="E2864" s="8">
        <v>0</v>
      </c>
      <c r="F2864" s="8">
        <v>0</v>
      </c>
      <c r="G2864" s="8">
        <v>16</v>
      </c>
      <c r="H2864" s="8" t="s">
        <v>6049</v>
      </c>
      <c r="I2864" s="8">
        <v>532.3125</v>
      </c>
      <c r="J2864" s="3">
        <f t="shared" si="44"/>
        <v>43747.662600740739</v>
      </c>
    </row>
    <row r="2865" spans="1:10" x14ac:dyDescent="0.25">
      <c r="A2865" s="5" t="s">
        <v>6050</v>
      </c>
      <c r="B2865" s="6">
        <v>393.75</v>
      </c>
      <c r="C2865" s="6">
        <v>20.584240000000001</v>
      </c>
      <c r="D2865" s="6">
        <v>49</v>
      </c>
      <c r="E2865" s="6">
        <v>0</v>
      </c>
      <c r="F2865" s="6">
        <v>0</v>
      </c>
      <c r="G2865" s="6">
        <v>17</v>
      </c>
      <c r="H2865" s="6" t="s">
        <v>6051</v>
      </c>
      <c r="I2865" s="6">
        <v>526.6875</v>
      </c>
      <c r="J2865" s="2">
        <f t="shared" si="44"/>
        <v>43747.662684282404</v>
      </c>
    </row>
    <row r="2866" spans="1:10" x14ac:dyDescent="0.25">
      <c r="A2866" s="7" t="s">
        <v>6052</v>
      </c>
      <c r="B2866" s="8">
        <v>393.75</v>
      </c>
      <c r="C2866" s="8">
        <v>20.584240000000001</v>
      </c>
      <c r="D2866" s="8">
        <v>48</v>
      </c>
      <c r="E2866" s="8">
        <v>0</v>
      </c>
      <c r="F2866" s="8">
        <v>0</v>
      </c>
      <c r="G2866" s="8">
        <v>22</v>
      </c>
      <c r="H2866" s="8" t="s">
        <v>6053</v>
      </c>
      <c r="I2866" s="8">
        <v>526.6875</v>
      </c>
      <c r="J2866" s="3">
        <f t="shared" si="44"/>
        <v>43747.662767395836</v>
      </c>
    </row>
    <row r="2867" spans="1:10" x14ac:dyDescent="0.25">
      <c r="A2867" s="5" t="s">
        <v>6054</v>
      </c>
      <c r="B2867" s="6">
        <v>393.75</v>
      </c>
      <c r="C2867" s="6">
        <v>20.584240000000001</v>
      </c>
      <c r="D2867" s="6">
        <v>48</v>
      </c>
      <c r="E2867" s="6">
        <v>0</v>
      </c>
      <c r="F2867" s="6">
        <v>0</v>
      </c>
      <c r="G2867" s="6">
        <v>18</v>
      </c>
      <c r="H2867" s="6" t="s">
        <v>6055</v>
      </c>
      <c r="I2867" s="6">
        <v>526.6875</v>
      </c>
      <c r="J2867" s="2">
        <f t="shared" si="44"/>
        <v>43747.662839328703</v>
      </c>
    </row>
    <row r="2868" spans="1:10" x14ac:dyDescent="0.25">
      <c r="A2868" s="7" t="s">
        <v>6056</v>
      </c>
      <c r="B2868" s="8">
        <v>393.75</v>
      </c>
      <c r="C2868" s="8">
        <v>20.584240000000001</v>
      </c>
      <c r="D2868" s="8">
        <v>48</v>
      </c>
      <c r="E2868" s="8">
        <v>0</v>
      </c>
      <c r="F2868" s="8">
        <v>0</v>
      </c>
      <c r="G2868" s="8">
        <v>11</v>
      </c>
      <c r="H2868" s="8" t="s">
        <v>6057</v>
      </c>
      <c r="I2868" s="8">
        <v>526.6875</v>
      </c>
      <c r="J2868" s="3">
        <f t="shared" si="44"/>
        <v>43747.662922939817</v>
      </c>
    </row>
    <row r="2869" spans="1:10" x14ac:dyDescent="0.25">
      <c r="A2869" s="5" t="s">
        <v>6058</v>
      </c>
      <c r="B2869" s="6">
        <v>418.75</v>
      </c>
      <c r="C2869" s="6">
        <v>20.584240000000001</v>
      </c>
      <c r="D2869" s="6">
        <v>48</v>
      </c>
      <c r="E2869" s="6">
        <v>0</v>
      </c>
      <c r="F2869" s="6">
        <v>0</v>
      </c>
      <c r="G2869" s="6">
        <v>18</v>
      </c>
      <c r="H2869" s="6" t="s">
        <v>6059</v>
      </c>
      <c r="I2869" s="6">
        <v>534.375</v>
      </c>
      <c r="J2869" s="2">
        <f t="shared" si="44"/>
        <v>43747.66300630787</v>
      </c>
    </row>
    <row r="2870" spans="1:10" x14ac:dyDescent="0.25">
      <c r="A2870" s="7" t="s">
        <v>6060</v>
      </c>
      <c r="B2870" s="8">
        <v>393.75</v>
      </c>
      <c r="C2870" s="8">
        <v>20.584240000000001</v>
      </c>
      <c r="D2870" s="8">
        <v>48</v>
      </c>
      <c r="E2870" s="8">
        <v>0</v>
      </c>
      <c r="F2870" s="8">
        <v>0</v>
      </c>
      <c r="G2870" s="8">
        <v>18</v>
      </c>
      <c r="H2870" s="8" t="s">
        <v>6061</v>
      </c>
      <c r="I2870" s="8">
        <v>526.6875</v>
      </c>
      <c r="J2870" s="3">
        <f t="shared" si="44"/>
        <v>43747.663089641203</v>
      </c>
    </row>
    <row r="2871" spans="1:10" x14ac:dyDescent="0.25">
      <c r="A2871" s="5" t="s">
        <v>6062</v>
      </c>
      <c r="B2871" s="6">
        <v>393.75</v>
      </c>
      <c r="C2871" s="6">
        <v>20.584240000000001</v>
      </c>
      <c r="D2871" s="6">
        <v>48</v>
      </c>
      <c r="E2871" s="6">
        <v>0</v>
      </c>
      <c r="F2871" s="6">
        <v>0</v>
      </c>
      <c r="G2871" s="6">
        <v>15</v>
      </c>
      <c r="H2871" s="6" t="s">
        <v>6063</v>
      </c>
      <c r="I2871" s="6">
        <v>526.6875</v>
      </c>
      <c r="J2871" s="2">
        <f t="shared" si="44"/>
        <v>43747.663173206012</v>
      </c>
    </row>
    <row r="2872" spans="1:10" x14ac:dyDescent="0.25">
      <c r="A2872" s="7" t="s">
        <v>6064</v>
      </c>
      <c r="B2872" s="8">
        <v>393.75</v>
      </c>
      <c r="C2872" s="8">
        <v>20.584240000000001</v>
      </c>
      <c r="D2872" s="8">
        <v>48</v>
      </c>
      <c r="E2872" s="8">
        <v>0</v>
      </c>
      <c r="F2872" s="8">
        <v>0</v>
      </c>
      <c r="G2872" s="8">
        <v>8</v>
      </c>
      <c r="H2872" s="8" t="s">
        <v>6065</v>
      </c>
      <c r="I2872" s="8">
        <v>526.6875</v>
      </c>
      <c r="J2872" s="3">
        <f t="shared" si="44"/>
        <v>43747.663256446758</v>
      </c>
    </row>
    <row r="2873" spans="1:10" x14ac:dyDescent="0.25">
      <c r="A2873" s="5" t="s">
        <v>6066</v>
      </c>
      <c r="B2873" s="6">
        <v>393.75</v>
      </c>
      <c r="C2873" s="6">
        <v>20.584240000000001</v>
      </c>
      <c r="D2873" s="6">
        <v>48</v>
      </c>
      <c r="E2873" s="6">
        <v>0</v>
      </c>
      <c r="F2873" s="6">
        <v>0</v>
      </c>
      <c r="G2873" s="6">
        <v>12</v>
      </c>
      <c r="H2873" s="6" t="s">
        <v>6067</v>
      </c>
      <c r="I2873" s="6">
        <v>526.6875</v>
      </c>
      <c r="J2873" s="2">
        <f t="shared" si="44"/>
        <v>43747.663340231484</v>
      </c>
    </row>
    <row r="2874" spans="1:10" x14ac:dyDescent="0.25">
      <c r="A2874" s="7" t="s">
        <v>6068</v>
      </c>
      <c r="B2874" s="8">
        <v>393.75</v>
      </c>
      <c r="C2874" s="8">
        <v>20.584240000000001</v>
      </c>
      <c r="D2874" s="8">
        <v>48</v>
      </c>
      <c r="E2874" s="8">
        <v>0</v>
      </c>
      <c r="F2874" s="8">
        <v>0</v>
      </c>
      <c r="G2874" s="8">
        <v>11</v>
      </c>
      <c r="H2874" s="8" t="s">
        <v>6069</v>
      </c>
      <c r="I2874" s="8">
        <v>526.6875</v>
      </c>
      <c r="J2874" s="3">
        <f t="shared" si="44"/>
        <v>43747.66342344907</v>
      </c>
    </row>
    <row r="2875" spans="1:10" x14ac:dyDescent="0.25">
      <c r="A2875" s="5" t="s">
        <v>6070</v>
      </c>
      <c r="B2875" s="6">
        <v>393.75</v>
      </c>
      <c r="C2875" s="6">
        <v>20.531590000000001</v>
      </c>
      <c r="D2875" s="6">
        <v>49</v>
      </c>
      <c r="E2875" s="6">
        <v>0</v>
      </c>
      <c r="F2875" s="6">
        <v>0</v>
      </c>
      <c r="G2875" s="6">
        <v>19</v>
      </c>
      <c r="H2875" s="6" t="s">
        <v>6071</v>
      </c>
      <c r="I2875" s="6">
        <v>526.6875</v>
      </c>
      <c r="J2875" s="2">
        <f t="shared" si="44"/>
        <v>43747.663495219902</v>
      </c>
    </row>
    <row r="2876" spans="1:10" x14ac:dyDescent="0.25">
      <c r="A2876" s="7" t="s">
        <v>6072</v>
      </c>
      <c r="B2876" s="8">
        <v>393.75</v>
      </c>
      <c r="C2876" s="8">
        <v>20.584240000000001</v>
      </c>
      <c r="D2876" s="8">
        <v>49</v>
      </c>
      <c r="E2876" s="8">
        <v>0</v>
      </c>
      <c r="F2876" s="8">
        <v>0</v>
      </c>
      <c r="G2876" s="8">
        <v>19</v>
      </c>
      <c r="H2876" s="8" t="s">
        <v>6073</v>
      </c>
      <c r="I2876" s="8">
        <v>526.6875</v>
      </c>
      <c r="J2876" s="3">
        <f t="shared" si="44"/>
        <v>43747.66357853009</v>
      </c>
    </row>
    <row r="2877" spans="1:10" x14ac:dyDescent="0.25">
      <c r="A2877" s="5" t="s">
        <v>6074</v>
      </c>
      <c r="B2877" s="6">
        <v>393.75</v>
      </c>
      <c r="C2877" s="6">
        <v>20.584240000000001</v>
      </c>
      <c r="D2877" s="6">
        <v>49</v>
      </c>
      <c r="E2877" s="6">
        <v>0</v>
      </c>
      <c r="F2877" s="6">
        <v>0</v>
      </c>
      <c r="G2877" s="6">
        <v>15</v>
      </c>
      <c r="H2877" s="6" t="s">
        <v>6075</v>
      </c>
      <c r="I2877" s="6">
        <v>526.6875</v>
      </c>
      <c r="J2877" s="2">
        <f t="shared" si="44"/>
        <v>43747.663650185183</v>
      </c>
    </row>
    <row r="2878" spans="1:10" x14ac:dyDescent="0.25">
      <c r="A2878" s="7" t="s">
        <v>6076</v>
      </c>
      <c r="B2878" s="8">
        <v>393.75</v>
      </c>
      <c r="C2878" s="8">
        <v>20.531590000000001</v>
      </c>
      <c r="D2878" s="8">
        <v>49</v>
      </c>
      <c r="E2878" s="8">
        <v>0</v>
      </c>
      <c r="F2878" s="8">
        <v>0</v>
      </c>
      <c r="G2878" s="8">
        <v>18</v>
      </c>
      <c r="H2878" s="8" t="s">
        <v>6077</v>
      </c>
      <c r="I2878" s="8">
        <v>526.6875</v>
      </c>
      <c r="J2878" s="3">
        <f t="shared" si="44"/>
        <v>43747.6637218287</v>
      </c>
    </row>
    <row r="2879" spans="1:10" x14ac:dyDescent="0.25">
      <c r="A2879" s="5" t="s">
        <v>6078</v>
      </c>
      <c r="B2879" s="6">
        <v>393.75</v>
      </c>
      <c r="C2879" s="6">
        <v>20.531590000000001</v>
      </c>
      <c r="D2879" s="6">
        <v>49</v>
      </c>
      <c r="E2879" s="6">
        <v>0</v>
      </c>
      <c r="F2879" s="6">
        <v>0</v>
      </c>
      <c r="G2879" s="6">
        <v>14</v>
      </c>
      <c r="H2879" s="6" t="s">
        <v>6079</v>
      </c>
      <c r="I2879" s="6">
        <v>526.6875</v>
      </c>
      <c r="J2879" s="2">
        <f t="shared" si="44"/>
        <v>43747.663805277778</v>
      </c>
    </row>
    <row r="2880" spans="1:10" x14ac:dyDescent="0.25">
      <c r="A2880" s="7" t="s">
        <v>6080</v>
      </c>
      <c r="B2880" s="8">
        <v>393.75</v>
      </c>
      <c r="C2880" s="8">
        <v>20.584240000000001</v>
      </c>
      <c r="D2880" s="8">
        <v>50</v>
      </c>
      <c r="E2880" s="8">
        <v>0</v>
      </c>
      <c r="F2880" s="8">
        <v>0</v>
      </c>
      <c r="G2880" s="8">
        <v>15</v>
      </c>
      <c r="H2880" s="8" t="s">
        <v>6081</v>
      </c>
      <c r="I2880" s="8">
        <v>526.6875</v>
      </c>
      <c r="J2880" s="3">
        <f t="shared" si="44"/>
        <v>43747.663876805549</v>
      </c>
    </row>
    <row r="2881" spans="1:10" x14ac:dyDescent="0.25">
      <c r="A2881" s="5" t="s">
        <v>6082</v>
      </c>
      <c r="B2881" s="6">
        <v>393.75</v>
      </c>
      <c r="C2881" s="6">
        <v>20.584240000000001</v>
      </c>
      <c r="D2881" s="6">
        <v>49</v>
      </c>
      <c r="E2881" s="6">
        <v>0</v>
      </c>
      <c r="F2881" s="6">
        <v>0</v>
      </c>
      <c r="G2881" s="6">
        <v>7</v>
      </c>
      <c r="H2881" s="6" t="s">
        <v>6083</v>
      </c>
      <c r="I2881" s="6">
        <v>526.6875</v>
      </c>
      <c r="J2881" s="2">
        <f t="shared" si="44"/>
        <v>43747.663960034719</v>
      </c>
    </row>
    <row r="2882" spans="1:10" x14ac:dyDescent="0.25">
      <c r="A2882" s="7" t="s">
        <v>6084</v>
      </c>
      <c r="B2882" s="8">
        <v>393.75</v>
      </c>
      <c r="C2882" s="8">
        <v>20.531590000000001</v>
      </c>
      <c r="D2882" s="8">
        <v>49</v>
      </c>
      <c r="E2882" s="8">
        <v>0</v>
      </c>
      <c r="F2882" s="8">
        <v>0</v>
      </c>
      <c r="G2882" s="8">
        <v>20</v>
      </c>
      <c r="H2882" s="8" t="s">
        <v>6085</v>
      </c>
      <c r="I2882" s="8">
        <v>526.6875</v>
      </c>
      <c r="J2882" s="3">
        <f t="shared" ref="J2882:J2945" si="45">(H2882/86400000)+25569+(7/24)</f>
        <v>43747.664031678236</v>
      </c>
    </row>
    <row r="2883" spans="1:10" x14ac:dyDescent="0.25">
      <c r="A2883" s="5" t="s">
        <v>6086</v>
      </c>
      <c r="B2883" s="6">
        <v>393.75</v>
      </c>
      <c r="C2883" s="6">
        <v>20.584240000000001</v>
      </c>
      <c r="D2883" s="6">
        <v>49</v>
      </c>
      <c r="E2883" s="6">
        <v>0</v>
      </c>
      <c r="F2883" s="6">
        <v>0</v>
      </c>
      <c r="G2883" s="6">
        <v>13</v>
      </c>
      <c r="H2883" s="6" t="s">
        <v>6087</v>
      </c>
      <c r="I2883" s="6">
        <v>526.6875</v>
      </c>
      <c r="J2883" s="2">
        <f t="shared" si="45"/>
        <v>43747.664115219908</v>
      </c>
    </row>
    <row r="2884" spans="1:10" x14ac:dyDescent="0.25">
      <c r="A2884" s="7" t="s">
        <v>6088</v>
      </c>
      <c r="B2884" s="8">
        <v>393.75</v>
      </c>
      <c r="C2884" s="8">
        <v>20.584240000000001</v>
      </c>
      <c r="D2884" s="8">
        <v>48</v>
      </c>
      <c r="E2884" s="8">
        <v>0</v>
      </c>
      <c r="F2884" s="8">
        <v>0</v>
      </c>
      <c r="G2884" s="8">
        <v>12</v>
      </c>
      <c r="H2884" s="8" t="s">
        <v>6089</v>
      </c>
      <c r="I2884" s="8">
        <v>526.5</v>
      </c>
      <c r="J2884" s="3">
        <f t="shared" si="45"/>
        <v>43747.664198796294</v>
      </c>
    </row>
    <row r="2885" spans="1:10" x14ac:dyDescent="0.25">
      <c r="A2885" s="5" t="s">
        <v>6090</v>
      </c>
      <c r="B2885" s="6">
        <v>393.75</v>
      </c>
      <c r="C2885" s="6">
        <v>20.531590000000001</v>
      </c>
      <c r="D2885" s="6">
        <v>49</v>
      </c>
      <c r="E2885" s="6">
        <v>0</v>
      </c>
      <c r="F2885" s="6">
        <v>0</v>
      </c>
      <c r="G2885" s="6">
        <v>19</v>
      </c>
      <c r="H2885" s="6" t="s">
        <v>6091</v>
      </c>
      <c r="I2885" s="6">
        <v>526.6875</v>
      </c>
      <c r="J2885" s="2">
        <f t="shared" si="45"/>
        <v>43747.664282233796</v>
      </c>
    </row>
    <row r="2886" spans="1:10" x14ac:dyDescent="0.25">
      <c r="A2886" s="7" t="s">
        <v>6092</v>
      </c>
      <c r="B2886" s="8">
        <v>393.75</v>
      </c>
      <c r="C2886" s="8">
        <v>20.584240000000001</v>
      </c>
      <c r="D2886" s="8">
        <v>49</v>
      </c>
      <c r="E2886" s="8">
        <v>0</v>
      </c>
      <c r="F2886" s="8">
        <v>0</v>
      </c>
      <c r="G2886" s="8">
        <v>15</v>
      </c>
      <c r="H2886" s="8" t="s">
        <v>6093</v>
      </c>
      <c r="I2886" s="8">
        <v>526.6875</v>
      </c>
      <c r="J2886" s="3">
        <f t="shared" si="45"/>
        <v>43747.664365706012</v>
      </c>
    </row>
    <row r="2887" spans="1:10" x14ac:dyDescent="0.25">
      <c r="A2887" s="5" t="s">
        <v>6094</v>
      </c>
      <c r="B2887" s="6">
        <v>393.75</v>
      </c>
      <c r="C2887" s="6">
        <v>20.584240000000001</v>
      </c>
      <c r="D2887" s="6">
        <v>49</v>
      </c>
      <c r="E2887" s="6">
        <v>0</v>
      </c>
      <c r="F2887" s="6">
        <v>0</v>
      </c>
      <c r="G2887" s="6">
        <v>12</v>
      </c>
      <c r="H2887" s="6" t="s">
        <v>6095</v>
      </c>
      <c r="I2887" s="6">
        <v>526.6875</v>
      </c>
      <c r="J2887" s="2">
        <f t="shared" si="45"/>
        <v>43747.66444891203</v>
      </c>
    </row>
    <row r="2888" spans="1:10" x14ac:dyDescent="0.25">
      <c r="A2888" s="7" t="s">
        <v>6096</v>
      </c>
      <c r="B2888" s="8">
        <v>393.75</v>
      </c>
      <c r="C2888" s="8">
        <v>20.584240000000001</v>
      </c>
      <c r="D2888" s="8">
        <v>49</v>
      </c>
      <c r="E2888" s="8">
        <v>0</v>
      </c>
      <c r="F2888" s="8">
        <v>0</v>
      </c>
      <c r="G2888" s="8">
        <v>18</v>
      </c>
      <c r="H2888" s="8" t="s">
        <v>6097</v>
      </c>
      <c r="I2888" s="8">
        <v>526.6875</v>
      </c>
      <c r="J2888" s="3">
        <f t="shared" si="45"/>
        <v>43747.66452056713</v>
      </c>
    </row>
    <row r="2889" spans="1:10" x14ac:dyDescent="0.25">
      <c r="A2889" s="5" t="s">
        <v>6098</v>
      </c>
      <c r="B2889" s="6">
        <v>393.75</v>
      </c>
      <c r="C2889" s="6">
        <v>20.584240000000001</v>
      </c>
      <c r="D2889" s="6">
        <v>48</v>
      </c>
      <c r="E2889" s="6">
        <v>0</v>
      </c>
      <c r="F2889" s="6">
        <v>0</v>
      </c>
      <c r="G2889" s="6">
        <v>17</v>
      </c>
      <c r="H2889" s="6" t="s">
        <v>6099</v>
      </c>
      <c r="I2889" s="6">
        <v>526.6875</v>
      </c>
      <c r="J2889" s="2">
        <f t="shared" si="45"/>
        <v>43747.664604189813</v>
      </c>
    </row>
    <row r="2890" spans="1:10" x14ac:dyDescent="0.25">
      <c r="A2890" s="7" t="s">
        <v>6100</v>
      </c>
      <c r="B2890" s="8">
        <v>393.75</v>
      </c>
      <c r="C2890" s="8">
        <v>20.584240000000001</v>
      </c>
      <c r="D2890" s="8">
        <v>48</v>
      </c>
      <c r="E2890" s="8">
        <v>0</v>
      </c>
      <c r="F2890" s="8">
        <v>0</v>
      </c>
      <c r="G2890" s="8">
        <v>21</v>
      </c>
      <c r="H2890" s="8" t="s">
        <v>6101</v>
      </c>
      <c r="I2890" s="8">
        <v>526.6875</v>
      </c>
      <c r="J2890" s="3">
        <f t="shared" si="45"/>
        <v>43747.66468765046</v>
      </c>
    </row>
    <row r="2891" spans="1:10" x14ac:dyDescent="0.25">
      <c r="A2891" s="5" t="s">
        <v>6102</v>
      </c>
      <c r="B2891" s="6">
        <v>393.75</v>
      </c>
      <c r="C2891" s="6">
        <v>20.584240000000001</v>
      </c>
      <c r="D2891" s="6">
        <v>46</v>
      </c>
      <c r="E2891" s="6">
        <v>0</v>
      </c>
      <c r="F2891" s="6">
        <v>0</v>
      </c>
      <c r="G2891" s="6">
        <v>0</v>
      </c>
      <c r="H2891" s="6" t="s">
        <v>6103</v>
      </c>
      <c r="I2891" s="6">
        <v>526.6875</v>
      </c>
      <c r="J2891" s="2">
        <f t="shared" si="45"/>
        <v>43747.664985428237</v>
      </c>
    </row>
    <row r="2892" spans="1:10" x14ac:dyDescent="0.25">
      <c r="A2892" s="7" t="s">
        <v>6104</v>
      </c>
      <c r="B2892" s="8">
        <v>393.75</v>
      </c>
      <c r="C2892" s="8">
        <v>20.584240000000001</v>
      </c>
      <c r="D2892" s="8">
        <v>46</v>
      </c>
      <c r="E2892" s="8">
        <v>0</v>
      </c>
      <c r="F2892" s="8">
        <v>0</v>
      </c>
      <c r="G2892" s="8">
        <v>0</v>
      </c>
      <c r="H2892" s="8" t="s">
        <v>6105</v>
      </c>
      <c r="I2892" s="8">
        <v>526.6875</v>
      </c>
      <c r="J2892" s="3">
        <f t="shared" si="45"/>
        <v>43747.66506634259</v>
      </c>
    </row>
    <row r="2893" spans="1:10" x14ac:dyDescent="0.25">
      <c r="A2893" s="5" t="s">
        <v>6106</v>
      </c>
      <c r="B2893" s="6">
        <v>393.75</v>
      </c>
      <c r="C2893" s="6">
        <v>20.584240000000001</v>
      </c>
      <c r="D2893" s="6">
        <v>45</v>
      </c>
      <c r="E2893" s="6">
        <v>0</v>
      </c>
      <c r="F2893" s="6">
        <v>0</v>
      </c>
      <c r="G2893" s="6">
        <v>0</v>
      </c>
      <c r="H2893" s="6" t="s">
        <v>6107</v>
      </c>
      <c r="I2893" s="6">
        <v>526.6875</v>
      </c>
      <c r="J2893" s="2">
        <f t="shared" si="45"/>
        <v>43747.665161736113</v>
      </c>
    </row>
    <row r="2894" spans="1:10" x14ac:dyDescent="0.25">
      <c r="A2894" s="7" t="s">
        <v>6108</v>
      </c>
      <c r="B2894" s="8">
        <v>393.75</v>
      </c>
      <c r="C2894" s="8">
        <v>20.584240000000001</v>
      </c>
      <c r="D2894" s="8">
        <v>46</v>
      </c>
      <c r="E2894" s="8">
        <v>0</v>
      </c>
      <c r="F2894" s="8">
        <v>0</v>
      </c>
      <c r="G2894" s="8">
        <v>0</v>
      </c>
      <c r="H2894" s="8" t="s">
        <v>6109</v>
      </c>
      <c r="I2894" s="8">
        <v>526.6875</v>
      </c>
      <c r="J2894" s="3">
        <f t="shared" si="45"/>
        <v>43747.665245289354</v>
      </c>
    </row>
    <row r="2895" spans="1:10" x14ac:dyDescent="0.25">
      <c r="A2895" s="5" t="s">
        <v>6110</v>
      </c>
      <c r="B2895" s="6">
        <v>393.75</v>
      </c>
      <c r="C2895" s="6">
        <v>20.584240000000001</v>
      </c>
      <c r="D2895" s="6">
        <v>47</v>
      </c>
      <c r="E2895" s="6">
        <v>0</v>
      </c>
      <c r="F2895" s="6">
        <v>0</v>
      </c>
      <c r="G2895" s="6">
        <v>1</v>
      </c>
      <c r="H2895" s="6" t="s">
        <v>6111</v>
      </c>
      <c r="I2895" s="6">
        <v>526.6875</v>
      </c>
      <c r="J2895" s="2">
        <f t="shared" si="45"/>
        <v>43747.66532861111</v>
      </c>
    </row>
    <row r="2896" spans="1:10" x14ac:dyDescent="0.25">
      <c r="A2896" s="7" t="s">
        <v>6112</v>
      </c>
      <c r="B2896" s="8">
        <v>393.75</v>
      </c>
      <c r="C2896" s="8">
        <v>20.584240000000001</v>
      </c>
      <c r="D2896" s="8">
        <v>48</v>
      </c>
      <c r="E2896" s="8">
        <v>0</v>
      </c>
      <c r="F2896" s="8">
        <v>0</v>
      </c>
      <c r="G2896" s="8">
        <v>7</v>
      </c>
      <c r="H2896" s="8" t="s">
        <v>6113</v>
      </c>
      <c r="I2896" s="8">
        <v>526.6875</v>
      </c>
      <c r="J2896" s="3">
        <f t="shared" si="45"/>
        <v>43747.665411840273</v>
      </c>
    </row>
    <row r="2897" spans="1:10" x14ac:dyDescent="0.25">
      <c r="A2897" s="5" t="s">
        <v>6114</v>
      </c>
      <c r="B2897" s="6">
        <v>393.75</v>
      </c>
      <c r="C2897" s="6">
        <v>20.584240000000001</v>
      </c>
      <c r="D2897" s="6">
        <v>48</v>
      </c>
      <c r="E2897" s="6">
        <v>0</v>
      </c>
      <c r="F2897" s="6">
        <v>0</v>
      </c>
      <c r="G2897" s="6">
        <v>12</v>
      </c>
      <c r="H2897" s="6" t="s">
        <v>6115</v>
      </c>
      <c r="I2897" s="6">
        <v>526.5</v>
      </c>
      <c r="J2897" s="2">
        <f t="shared" si="45"/>
        <v>43747.66549550926</v>
      </c>
    </row>
    <row r="2898" spans="1:10" x14ac:dyDescent="0.25">
      <c r="A2898" s="7" t="s">
        <v>6116</v>
      </c>
      <c r="B2898" s="8">
        <v>393.75</v>
      </c>
      <c r="C2898" s="8">
        <v>20.584240000000001</v>
      </c>
      <c r="D2898" s="8">
        <v>48</v>
      </c>
      <c r="E2898" s="8">
        <v>0</v>
      </c>
      <c r="F2898" s="8">
        <v>0</v>
      </c>
      <c r="G2898" s="8">
        <v>0</v>
      </c>
      <c r="H2898" s="8" t="s">
        <v>6117</v>
      </c>
      <c r="I2898" s="8">
        <v>526.5</v>
      </c>
      <c r="J2898" s="3">
        <f t="shared" si="45"/>
        <v>43747.66557931713</v>
      </c>
    </row>
    <row r="2899" spans="1:10" x14ac:dyDescent="0.25">
      <c r="A2899" s="5" t="s">
        <v>6118</v>
      </c>
      <c r="B2899" s="6">
        <v>393.75</v>
      </c>
      <c r="C2899" s="6">
        <v>20.584240000000001</v>
      </c>
      <c r="D2899" s="6">
        <v>48</v>
      </c>
      <c r="E2899" s="6">
        <v>0</v>
      </c>
      <c r="F2899" s="6">
        <v>0</v>
      </c>
      <c r="G2899" s="6">
        <v>6</v>
      </c>
      <c r="H2899" s="6" t="s">
        <v>6119</v>
      </c>
      <c r="I2899" s="6">
        <v>526.6875</v>
      </c>
      <c r="J2899" s="2">
        <f t="shared" si="45"/>
        <v>43747.665650601848</v>
      </c>
    </row>
    <row r="2900" spans="1:10" x14ac:dyDescent="0.25">
      <c r="A2900" s="7" t="s">
        <v>6120</v>
      </c>
      <c r="B2900" s="8">
        <v>393.75</v>
      </c>
      <c r="C2900" s="8">
        <v>20.584240000000001</v>
      </c>
      <c r="D2900" s="8">
        <v>49</v>
      </c>
      <c r="E2900" s="8">
        <v>0</v>
      </c>
      <c r="F2900" s="8">
        <v>0</v>
      </c>
      <c r="G2900" s="8">
        <v>0</v>
      </c>
      <c r="H2900" s="8" t="s">
        <v>6121</v>
      </c>
      <c r="I2900" s="8">
        <v>526.6875</v>
      </c>
      <c r="J2900" s="3">
        <f t="shared" si="45"/>
        <v>43747.665734178234</v>
      </c>
    </row>
    <row r="2901" spans="1:10" x14ac:dyDescent="0.25">
      <c r="A2901" s="5" t="s">
        <v>6122</v>
      </c>
      <c r="B2901" s="6">
        <v>393.75</v>
      </c>
      <c r="C2901" s="6">
        <v>20.584240000000001</v>
      </c>
      <c r="D2901" s="6">
        <v>50</v>
      </c>
      <c r="E2901" s="6">
        <v>0</v>
      </c>
      <c r="F2901" s="6">
        <v>0</v>
      </c>
      <c r="G2901" s="6">
        <v>2</v>
      </c>
      <c r="H2901" s="6" t="s">
        <v>6123</v>
      </c>
      <c r="I2901" s="6">
        <v>526.6875</v>
      </c>
      <c r="J2901" s="2">
        <f t="shared" si="45"/>
        <v>43747.665817627312</v>
      </c>
    </row>
    <row r="2902" spans="1:10" x14ac:dyDescent="0.25">
      <c r="A2902" s="7" t="s">
        <v>6124</v>
      </c>
      <c r="B2902" s="8">
        <v>393.75</v>
      </c>
      <c r="C2902" s="8">
        <v>20.584240000000001</v>
      </c>
      <c r="D2902" s="8">
        <v>50</v>
      </c>
      <c r="E2902" s="8">
        <v>0</v>
      </c>
      <c r="F2902" s="8">
        <v>0</v>
      </c>
      <c r="G2902" s="8">
        <v>0</v>
      </c>
      <c r="H2902" s="8" t="s">
        <v>6125</v>
      </c>
      <c r="I2902" s="8">
        <v>526.6875</v>
      </c>
      <c r="J2902" s="3">
        <f t="shared" si="45"/>
        <v>43747.665900844906</v>
      </c>
    </row>
    <row r="2903" spans="1:10" x14ac:dyDescent="0.25">
      <c r="A2903" s="5" t="s">
        <v>6126</v>
      </c>
      <c r="B2903" s="6">
        <v>393.75</v>
      </c>
      <c r="C2903" s="6">
        <v>20.584240000000001</v>
      </c>
      <c r="D2903" s="6">
        <v>50</v>
      </c>
      <c r="E2903" s="6">
        <v>0</v>
      </c>
      <c r="F2903" s="6">
        <v>0</v>
      </c>
      <c r="G2903" s="6">
        <v>6</v>
      </c>
      <c r="H2903" s="6" t="s">
        <v>6127</v>
      </c>
      <c r="I2903" s="6">
        <v>526.6875</v>
      </c>
      <c r="J2903" s="2">
        <f t="shared" si="45"/>
        <v>43747.665972615738</v>
      </c>
    </row>
    <row r="2904" spans="1:10" x14ac:dyDescent="0.25">
      <c r="A2904" s="7" t="s">
        <v>6128</v>
      </c>
      <c r="B2904" s="8">
        <v>393.75</v>
      </c>
      <c r="C2904" s="8">
        <v>20.531590000000001</v>
      </c>
      <c r="D2904" s="8">
        <v>50</v>
      </c>
      <c r="E2904" s="8">
        <v>0</v>
      </c>
      <c r="F2904" s="8">
        <v>0</v>
      </c>
      <c r="G2904" s="8">
        <v>8</v>
      </c>
      <c r="H2904" s="8" t="s">
        <v>6129</v>
      </c>
      <c r="I2904" s="8">
        <v>526.6875</v>
      </c>
      <c r="J2904" s="3">
        <f t="shared" si="45"/>
        <v>43747.666043912039</v>
      </c>
    </row>
    <row r="2905" spans="1:10" x14ac:dyDescent="0.25">
      <c r="A2905" s="5" t="s">
        <v>6130</v>
      </c>
      <c r="B2905" s="6">
        <v>390.625</v>
      </c>
      <c r="C2905" s="6">
        <v>20.584240000000001</v>
      </c>
      <c r="D2905" s="6">
        <v>49</v>
      </c>
      <c r="E2905" s="6">
        <v>0</v>
      </c>
      <c r="F2905" s="6">
        <v>0</v>
      </c>
      <c r="G2905" s="6">
        <v>8</v>
      </c>
      <c r="H2905" s="6" t="s">
        <v>6131</v>
      </c>
      <c r="I2905" s="6">
        <v>525.75</v>
      </c>
      <c r="J2905" s="2">
        <f t="shared" si="45"/>
        <v>43747.666127708326</v>
      </c>
    </row>
    <row r="2906" spans="1:10" x14ac:dyDescent="0.25">
      <c r="A2906" s="7" t="s">
        <v>6132</v>
      </c>
      <c r="B2906" s="8">
        <v>390.625</v>
      </c>
      <c r="C2906" s="8">
        <v>20.584240000000001</v>
      </c>
      <c r="D2906" s="8">
        <v>49</v>
      </c>
      <c r="E2906" s="8">
        <v>0</v>
      </c>
      <c r="F2906" s="8">
        <v>0</v>
      </c>
      <c r="G2906" s="8">
        <v>8</v>
      </c>
      <c r="H2906" s="8" t="s">
        <v>6133</v>
      </c>
      <c r="I2906" s="8">
        <v>525.9375</v>
      </c>
      <c r="J2906" s="3">
        <f t="shared" si="45"/>
        <v>43747.666199236111</v>
      </c>
    </row>
    <row r="2907" spans="1:10" x14ac:dyDescent="0.25">
      <c r="A2907" s="5" t="s">
        <v>6134</v>
      </c>
      <c r="B2907" s="6">
        <v>390.625</v>
      </c>
      <c r="C2907" s="6">
        <v>20.584240000000001</v>
      </c>
      <c r="D2907" s="6">
        <v>49</v>
      </c>
      <c r="E2907" s="6">
        <v>0</v>
      </c>
      <c r="F2907" s="6">
        <v>0</v>
      </c>
      <c r="G2907" s="6">
        <v>6</v>
      </c>
      <c r="H2907" s="6" t="s">
        <v>6135</v>
      </c>
      <c r="I2907" s="6">
        <v>525.9375</v>
      </c>
      <c r="J2907" s="2">
        <f t="shared" si="45"/>
        <v>43747.666282430553</v>
      </c>
    </row>
    <row r="2908" spans="1:10" x14ac:dyDescent="0.25">
      <c r="A2908" s="7" t="s">
        <v>6136</v>
      </c>
      <c r="B2908" s="8">
        <v>390.625</v>
      </c>
      <c r="C2908" s="8">
        <v>20.584240000000001</v>
      </c>
      <c r="D2908" s="8">
        <v>48</v>
      </c>
      <c r="E2908" s="8">
        <v>0</v>
      </c>
      <c r="F2908" s="8">
        <v>0</v>
      </c>
      <c r="G2908" s="8">
        <v>7</v>
      </c>
      <c r="H2908" s="8" t="s">
        <v>6137</v>
      </c>
      <c r="I2908" s="8">
        <v>525.75</v>
      </c>
      <c r="J2908" s="3">
        <f t="shared" si="45"/>
        <v>43747.66636625</v>
      </c>
    </row>
    <row r="2909" spans="1:10" x14ac:dyDescent="0.25">
      <c r="A2909" s="5" t="s">
        <v>6138</v>
      </c>
      <c r="B2909" s="6">
        <v>390.625</v>
      </c>
      <c r="C2909" s="6">
        <v>20.531590000000001</v>
      </c>
      <c r="D2909" s="6">
        <v>48</v>
      </c>
      <c r="E2909" s="6">
        <v>0</v>
      </c>
      <c r="F2909" s="6">
        <v>0</v>
      </c>
      <c r="G2909" s="6">
        <v>10</v>
      </c>
      <c r="H2909" s="6" t="s">
        <v>6139</v>
      </c>
      <c r="I2909" s="6">
        <v>525.9375</v>
      </c>
      <c r="J2909" s="2">
        <f t="shared" si="45"/>
        <v>43747.666449675926</v>
      </c>
    </row>
    <row r="2910" spans="1:10" x14ac:dyDescent="0.25">
      <c r="A2910" s="7" t="s">
        <v>6140</v>
      </c>
      <c r="B2910" s="8">
        <v>393.75</v>
      </c>
      <c r="C2910" s="8">
        <v>20.584240000000001</v>
      </c>
      <c r="D2910" s="8">
        <v>44</v>
      </c>
      <c r="E2910" s="8">
        <v>0</v>
      </c>
      <c r="F2910" s="8">
        <v>0</v>
      </c>
      <c r="G2910" s="8">
        <v>7</v>
      </c>
      <c r="H2910" s="8" t="s">
        <v>6141</v>
      </c>
      <c r="I2910" s="8">
        <v>526.6875</v>
      </c>
      <c r="J2910" s="3">
        <f t="shared" si="45"/>
        <v>43747.666521203697</v>
      </c>
    </row>
    <row r="2911" spans="1:10" x14ac:dyDescent="0.25">
      <c r="A2911" s="5" t="s">
        <v>6142</v>
      </c>
      <c r="B2911" s="6">
        <v>393.75</v>
      </c>
      <c r="C2911" s="6">
        <v>20.584240000000001</v>
      </c>
      <c r="D2911" s="6">
        <v>47</v>
      </c>
      <c r="E2911" s="6">
        <v>0</v>
      </c>
      <c r="F2911" s="6">
        <v>0</v>
      </c>
      <c r="G2911" s="6">
        <v>6</v>
      </c>
      <c r="H2911" s="6" t="s">
        <v>6143</v>
      </c>
      <c r="I2911" s="6">
        <v>526.6875</v>
      </c>
      <c r="J2911" s="2">
        <f t="shared" si="45"/>
        <v>43747.666604444443</v>
      </c>
    </row>
    <row r="2912" spans="1:10" x14ac:dyDescent="0.25">
      <c r="A2912" s="7" t="s">
        <v>6144</v>
      </c>
      <c r="B2912" s="8">
        <v>393.75</v>
      </c>
      <c r="C2912" s="8">
        <v>20.584240000000001</v>
      </c>
      <c r="D2912" s="8">
        <v>47</v>
      </c>
      <c r="E2912" s="8">
        <v>0</v>
      </c>
      <c r="F2912" s="8">
        <v>0</v>
      </c>
      <c r="G2912" s="8">
        <v>14</v>
      </c>
      <c r="H2912" s="8" t="s">
        <v>6145</v>
      </c>
      <c r="I2912" s="8">
        <v>526.6875</v>
      </c>
      <c r="J2912" s="3">
        <f t="shared" si="45"/>
        <v>43747.666676307868</v>
      </c>
    </row>
    <row r="2913" spans="1:10" x14ac:dyDescent="0.25">
      <c r="A2913" s="5" t="s">
        <v>6146</v>
      </c>
      <c r="B2913" s="6">
        <v>393.75</v>
      </c>
      <c r="C2913" s="6">
        <v>20.584240000000001</v>
      </c>
      <c r="D2913" s="6">
        <v>47</v>
      </c>
      <c r="E2913" s="6">
        <v>0</v>
      </c>
      <c r="F2913" s="6">
        <v>0</v>
      </c>
      <c r="G2913" s="6">
        <v>0</v>
      </c>
      <c r="H2913" s="6" t="s">
        <v>6147</v>
      </c>
      <c r="I2913" s="6">
        <v>526.6875</v>
      </c>
      <c r="J2913" s="2">
        <f t="shared" si="45"/>
        <v>43747.666759641201</v>
      </c>
    </row>
    <row r="2914" spans="1:10" x14ac:dyDescent="0.25">
      <c r="A2914" s="7" t="s">
        <v>6148</v>
      </c>
      <c r="B2914" s="8">
        <v>393.75</v>
      </c>
      <c r="C2914" s="8">
        <v>20.584240000000001</v>
      </c>
      <c r="D2914" s="8">
        <v>48</v>
      </c>
      <c r="E2914" s="8">
        <v>0</v>
      </c>
      <c r="F2914" s="8">
        <v>0</v>
      </c>
      <c r="G2914" s="8">
        <v>4</v>
      </c>
      <c r="H2914" s="8" t="s">
        <v>6149</v>
      </c>
      <c r="I2914" s="8">
        <v>526.6875</v>
      </c>
      <c r="J2914" s="3">
        <f t="shared" si="45"/>
        <v>43747.666843229163</v>
      </c>
    </row>
    <row r="2915" spans="1:10" x14ac:dyDescent="0.25">
      <c r="A2915" s="5" t="s">
        <v>6150</v>
      </c>
      <c r="B2915" s="6">
        <v>393.75</v>
      </c>
      <c r="C2915" s="6">
        <v>20.584240000000001</v>
      </c>
      <c r="D2915" s="6">
        <v>48</v>
      </c>
      <c r="E2915" s="6">
        <v>0</v>
      </c>
      <c r="F2915" s="6">
        <v>0</v>
      </c>
      <c r="G2915" s="6">
        <v>13</v>
      </c>
      <c r="H2915" s="6" t="s">
        <v>6151</v>
      </c>
      <c r="I2915" s="6">
        <v>526.6875</v>
      </c>
      <c r="J2915" s="2">
        <f t="shared" si="45"/>
        <v>43747.666926782404</v>
      </c>
    </row>
    <row r="2916" spans="1:10" x14ac:dyDescent="0.25">
      <c r="A2916" s="7" t="s">
        <v>6152</v>
      </c>
      <c r="B2916" s="8">
        <v>393.75</v>
      </c>
      <c r="C2916" s="8">
        <v>20.584240000000001</v>
      </c>
      <c r="D2916" s="8">
        <v>48</v>
      </c>
      <c r="E2916" s="8">
        <v>0</v>
      </c>
      <c r="F2916" s="8">
        <v>0</v>
      </c>
      <c r="G2916" s="8">
        <v>10</v>
      </c>
      <c r="H2916" s="8" t="s">
        <v>6153</v>
      </c>
      <c r="I2916" s="8">
        <v>526.6875</v>
      </c>
      <c r="J2916" s="3">
        <f t="shared" si="45"/>
        <v>43747.667010231475</v>
      </c>
    </row>
    <row r="2917" spans="1:10" x14ac:dyDescent="0.25">
      <c r="A2917" s="5" t="s">
        <v>6154</v>
      </c>
      <c r="B2917" s="6">
        <v>393.75</v>
      </c>
      <c r="C2917" s="6">
        <v>20.584240000000001</v>
      </c>
      <c r="D2917" s="6">
        <v>48</v>
      </c>
      <c r="E2917" s="6">
        <v>0</v>
      </c>
      <c r="F2917" s="6">
        <v>0</v>
      </c>
      <c r="G2917" s="6">
        <v>12</v>
      </c>
      <c r="H2917" s="6" t="s">
        <v>6155</v>
      </c>
      <c r="I2917" s="6">
        <v>526.5</v>
      </c>
      <c r="J2917" s="2">
        <f t="shared" si="45"/>
        <v>43747.667093321761</v>
      </c>
    </row>
    <row r="2918" spans="1:10" x14ac:dyDescent="0.25">
      <c r="A2918" s="7" t="s">
        <v>6156</v>
      </c>
      <c r="B2918" s="8">
        <v>393.75</v>
      </c>
      <c r="C2918" s="8">
        <v>20.584240000000001</v>
      </c>
      <c r="D2918" s="8">
        <v>48</v>
      </c>
      <c r="E2918" s="8">
        <v>0</v>
      </c>
      <c r="F2918" s="8">
        <v>0</v>
      </c>
      <c r="G2918" s="8">
        <v>8</v>
      </c>
      <c r="H2918" s="8" t="s">
        <v>6157</v>
      </c>
      <c r="I2918" s="8">
        <v>526.6875</v>
      </c>
      <c r="J2918" s="3">
        <f t="shared" si="45"/>
        <v>43747.667165092593</v>
      </c>
    </row>
    <row r="2919" spans="1:10" x14ac:dyDescent="0.25">
      <c r="A2919" s="5" t="s">
        <v>6158</v>
      </c>
      <c r="B2919" s="6">
        <v>393.75</v>
      </c>
      <c r="C2919" s="6">
        <v>20.584240000000001</v>
      </c>
      <c r="D2919" s="6">
        <v>49</v>
      </c>
      <c r="E2919" s="6">
        <v>0</v>
      </c>
      <c r="F2919" s="6">
        <v>0</v>
      </c>
      <c r="G2919" s="6">
        <v>6</v>
      </c>
      <c r="H2919" s="6" t="s">
        <v>6159</v>
      </c>
      <c r="I2919" s="6">
        <v>526.6875</v>
      </c>
      <c r="J2919" s="2">
        <f t="shared" si="45"/>
        <v>43747.667248645834</v>
      </c>
    </row>
    <row r="2920" spans="1:10" x14ac:dyDescent="0.25">
      <c r="A2920" s="7" t="s">
        <v>6160</v>
      </c>
      <c r="B2920" s="8">
        <v>393.75</v>
      </c>
      <c r="C2920" s="8">
        <v>20.584240000000001</v>
      </c>
      <c r="D2920" s="8">
        <v>49</v>
      </c>
      <c r="E2920" s="8">
        <v>0</v>
      </c>
      <c r="F2920" s="8">
        <v>0</v>
      </c>
      <c r="G2920" s="8">
        <v>9</v>
      </c>
      <c r="H2920" s="8" t="s">
        <v>6161</v>
      </c>
      <c r="I2920" s="8">
        <v>526.6875</v>
      </c>
      <c r="J2920" s="3">
        <f t="shared" si="45"/>
        <v>43747.667332094905</v>
      </c>
    </row>
    <row r="2921" spans="1:10" x14ac:dyDescent="0.25">
      <c r="A2921" s="5" t="s">
        <v>6162</v>
      </c>
      <c r="B2921" s="6">
        <v>393.75</v>
      </c>
      <c r="C2921" s="6">
        <v>20.584240000000001</v>
      </c>
      <c r="D2921" s="6">
        <v>48</v>
      </c>
      <c r="E2921" s="6">
        <v>0</v>
      </c>
      <c r="F2921" s="6">
        <v>0</v>
      </c>
      <c r="G2921" s="6">
        <v>11</v>
      </c>
      <c r="H2921" s="6" t="s">
        <v>6163</v>
      </c>
      <c r="I2921" s="6">
        <v>526.6875</v>
      </c>
      <c r="J2921" s="2">
        <f t="shared" si="45"/>
        <v>43747.667415532407</v>
      </c>
    </row>
    <row r="2922" spans="1:10" x14ac:dyDescent="0.25">
      <c r="A2922" s="7" t="s">
        <v>6164</v>
      </c>
      <c r="B2922" s="8">
        <v>393.75</v>
      </c>
      <c r="C2922" s="8">
        <v>20.531590000000001</v>
      </c>
      <c r="D2922" s="8">
        <v>49</v>
      </c>
      <c r="E2922" s="8">
        <v>0</v>
      </c>
      <c r="F2922" s="8">
        <v>0</v>
      </c>
      <c r="G2922" s="8">
        <v>8</v>
      </c>
      <c r="H2922" s="8" t="s">
        <v>6165</v>
      </c>
      <c r="I2922" s="8">
        <v>526.6875</v>
      </c>
      <c r="J2922" s="3">
        <f t="shared" si="45"/>
        <v>43747.667499120369</v>
      </c>
    </row>
    <row r="2923" spans="1:10" x14ac:dyDescent="0.25">
      <c r="A2923" s="5" t="s">
        <v>6166</v>
      </c>
      <c r="B2923" s="6">
        <v>393.75</v>
      </c>
      <c r="C2923" s="6">
        <v>20.584240000000001</v>
      </c>
      <c r="D2923" s="6">
        <v>50</v>
      </c>
      <c r="E2923" s="6">
        <v>0</v>
      </c>
      <c r="F2923" s="6">
        <v>0</v>
      </c>
      <c r="G2923" s="6">
        <v>12</v>
      </c>
      <c r="H2923" s="6" t="s">
        <v>6167</v>
      </c>
      <c r="I2923" s="6">
        <v>526.6875</v>
      </c>
      <c r="J2923" s="2">
        <f t="shared" si="45"/>
        <v>43747.667582222224</v>
      </c>
    </row>
    <row r="2924" spans="1:10" x14ac:dyDescent="0.25">
      <c r="A2924" s="7" t="s">
        <v>6168</v>
      </c>
      <c r="B2924" s="8">
        <v>393.75</v>
      </c>
      <c r="C2924" s="8">
        <v>20.584240000000001</v>
      </c>
      <c r="D2924" s="8">
        <v>50</v>
      </c>
      <c r="E2924" s="8">
        <v>0</v>
      </c>
      <c r="F2924" s="8">
        <v>0</v>
      </c>
      <c r="G2924" s="8">
        <v>14</v>
      </c>
      <c r="H2924" s="8" t="s">
        <v>6169</v>
      </c>
      <c r="I2924" s="8">
        <v>526.6875</v>
      </c>
      <c r="J2924" s="3">
        <f t="shared" si="45"/>
        <v>43747.66765416666</v>
      </c>
    </row>
    <row r="2925" spans="1:10" x14ac:dyDescent="0.25">
      <c r="A2925" s="5" t="s">
        <v>6170</v>
      </c>
      <c r="B2925" s="6">
        <v>390.625</v>
      </c>
      <c r="C2925" s="6">
        <v>20.584240000000001</v>
      </c>
      <c r="D2925" s="6">
        <v>49</v>
      </c>
      <c r="E2925" s="6">
        <v>0</v>
      </c>
      <c r="F2925" s="6">
        <v>0</v>
      </c>
      <c r="G2925" s="6">
        <v>11</v>
      </c>
      <c r="H2925" s="6" t="s">
        <v>6171</v>
      </c>
      <c r="I2925" s="6">
        <v>525.9375</v>
      </c>
      <c r="J2925" s="2">
        <f t="shared" si="45"/>
        <v>43747.667749351851</v>
      </c>
    </row>
    <row r="2926" spans="1:10" x14ac:dyDescent="0.25">
      <c r="A2926" s="7" t="s">
        <v>6172</v>
      </c>
      <c r="B2926" s="8">
        <v>390.625</v>
      </c>
      <c r="C2926" s="8">
        <v>20.584240000000001</v>
      </c>
      <c r="D2926" s="8">
        <v>49</v>
      </c>
      <c r="E2926" s="8">
        <v>0</v>
      </c>
      <c r="F2926" s="8">
        <v>0</v>
      </c>
      <c r="G2926" s="8">
        <v>16</v>
      </c>
      <c r="H2926" s="8" t="s">
        <v>6173</v>
      </c>
      <c r="I2926" s="8">
        <v>525.9375</v>
      </c>
      <c r="J2926" s="3">
        <f t="shared" si="45"/>
        <v>43747.667820995368</v>
      </c>
    </row>
    <row r="2927" spans="1:10" x14ac:dyDescent="0.25">
      <c r="A2927" s="5" t="s">
        <v>6174</v>
      </c>
      <c r="B2927" s="6">
        <v>390.625</v>
      </c>
      <c r="C2927" s="6">
        <v>20.584240000000001</v>
      </c>
      <c r="D2927" s="6">
        <v>46</v>
      </c>
      <c r="E2927" s="6">
        <v>0</v>
      </c>
      <c r="F2927" s="6">
        <v>0</v>
      </c>
      <c r="G2927" s="6">
        <v>1</v>
      </c>
      <c r="H2927" s="6" t="s">
        <v>6175</v>
      </c>
      <c r="I2927" s="6">
        <v>525.75</v>
      </c>
      <c r="J2927" s="2">
        <f t="shared" si="45"/>
        <v>43747.667904560185</v>
      </c>
    </row>
    <row r="2928" spans="1:10" x14ac:dyDescent="0.25">
      <c r="A2928" s="7" t="s">
        <v>6176</v>
      </c>
      <c r="B2928" s="8">
        <v>390.625</v>
      </c>
      <c r="C2928" s="8">
        <v>20.584240000000001</v>
      </c>
      <c r="D2928" s="8">
        <v>46</v>
      </c>
      <c r="E2928" s="8">
        <v>0</v>
      </c>
      <c r="F2928" s="8">
        <v>0</v>
      </c>
      <c r="G2928" s="8">
        <v>14</v>
      </c>
      <c r="H2928" s="8" t="s">
        <v>6177</v>
      </c>
      <c r="I2928" s="8">
        <v>525.9375</v>
      </c>
      <c r="J2928" s="3">
        <f t="shared" si="45"/>
        <v>43747.667988032401</v>
      </c>
    </row>
    <row r="2929" spans="1:10" x14ac:dyDescent="0.25">
      <c r="A2929" s="5" t="s">
        <v>6178</v>
      </c>
      <c r="B2929" s="6">
        <v>390.625</v>
      </c>
      <c r="C2929" s="6">
        <v>20.584240000000001</v>
      </c>
      <c r="D2929" s="6">
        <v>47</v>
      </c>
      <c r="E2929" s="6">
        <v>0</v>
      </c>
      <c r="F2929" s="6">
        <v>0</v>
      </c>
      <c r="G2929" s="6">
        <v>5</v>
      </c>
      <c r="H2929" s="6" t="s">
        <v>6179</v>
      </c>
      <c r="I2929" s="6">
        <v>525.9375</v>
      </c>
      <c r="J2929" s="2">
        <f t="shared" si="45"/>
        <v>43747.668071238419</v>
      </c>
    </row>
    <row r="2930" spans="1:10" x14ac:dyDescent="0.25">
      <c r="A2930" s="7" t="s">
        <v>6180</v>
      </c>
      <c r="B2930" s="8">
        <v>390.625</v>
      </c>
      <c r="C2930" s="8">
        <v>20.584240000000001</v>
      </c>
      <c r="D2930" s="8">
        <v>47</v>
      </c>
      <c r="E2930" s="8">
        <v>0</v>
      </c>
      <c r="F2930" s="8">
        <v>0</v>
      </c>
      <c r="G2930" s="8">
        <v>13</v>
      </c>
      <c r="H2930" s="8" t="s">
        <v>6181</v>
      </c>
      <c r="I2930" s="8">
        <v>525.75</v>
      </c>
      <c r="J2930" s="3">
        <f t="shared" si="45"/>
        <v>43747.66815489583</v>
      </c>
    </row>
    <row r="2931" spans="1:10" x14ac:dyDescent="0.25">
      <c r="A2931" s="5" t="s">
        <v>6182</v>
      </c>
      <c r="B2931" s="6">
        <v>390.625</v>
      </c>
      <c r="C2931" s="6">
        <v>20.584240000000001</v>
      </c>
      <c r="D2931" s="6">
        <v>48</v>
      </c>
      <c r="E2931" s="6">
        <v>0</v>
      </c>
      <c r="F2931" s="6">
        <v>0</v>
      </c>
      <c r="G2931" s="6">
        <v>11</v>
      </c>
      <c r="H2931" s="6" t="s">
        <v>6183</v>
      </c>
      <c r="I2931" s="6">
        <v>525.9375</v>
      </c>
      <c r="J2931" s="2">
        <f t="shared" si="45"/>
        <v>43747.668238240738</v>
      </c>
    </row>
    <row r="2932" spans="1:10" x14ac:dyDescent="0.25">
      <c r="A2932" s="7" t="s">
        <v>6184</v>
      </c>
      <c r="B2932" s="8">
        <v>390.625</v>
      </c>
      <c r="C2932" s="8">
        <v>20.584240000000001</v>
      </c>
      <c r="D2932" s="8">
        <v>48</v>
      </c>
      <c r="E2932" s="8">
        <v>0</v>
      </c>
      <c r="F2932" s="8">
        <v>0</v>
      </c>
      <c r="G2932" s="8">
        <v>5</v>
      </c>
      <c r="H2932" s="8" t="s">
        <v>6185</v>
      </c>
      <c r="I2932" s="8">
        <v>525.9375</v>
      </c>
      <c r="J2932" s="3">
        <f t="shared" si="45"/>
        <v>43747.668309988425</v>
      </c>
    </row>
    <row r="2933" spans="1:10" x14ac:dyDescent="0.25">
      <c r="A2933" s="5" t="s">
        <v>6186</v>
      </c>
      <c r="B2933" s="6">
        <v>390.625</v>
      </c>
      <c r="C2933" s="6">
        <v>20.531590000000001</v>
      </c>
      <c r="D2933" s="6">
        <v>49</v>
      </c>
      <c r="E2933" s="6">
        <v>0</v>
      </c>
      <c r="F2933" s="6">
        <v>0</v>
      </c>
      <c r="G2933" s="6">
        <v>7</v>
      </c>
      <c r="H2933" s="6" t="s">
        <v>6187</v>
      </c>
      <c r="I2933" s="6">
        <v>525.75</v>
      </c>
      <c r="J2933" s="2">
        <f t="shared" si="45"/>
        <v>43747.668393321757</v>
      </c>
    </row>
    <row r="2934" spans="1:10" x14ac:dyDescent="0.25">
      <c r="A2934" s="7" t="s">
        <v>6188</v>
      </c>
      <c r="B2934" s="8">
        <v>409.375</v>
      </c>
      <c r="C2934" s="8">
        <v>20.584240000000001</v>
      </c>
      <c r="D2934" s="8">
        <v>49</v>
      </c>
      <c r="E2934" s="8">
        <v>0</v>
      </c>
      <c r="F2934" s="8">
        <v>0</v>
      </c>
      <c r="G2934" s="8">
        <v>9</v>
      </c>
      <c r="H2934" s="8" t="s">
        <v>6189</v>
      </c>
      <c r="I2934" s="8">
        <v>531.75</v>
      </c>
      <c r="J2934" s="3">
        <f t="shared" si="45"/>
        <v>43747.668476886574</v>
      </c>
    </row>
    <row r="2935" spans="1:10" x14ac:dyDescent="0.25">
      <c r="A2935" s="5" t="s">
        <v>6190</v>
      </c>
      <c r="B2935" s="6">
        <v>393.75</v>
      </c>
      <c r="C2935" s="6">
        <v>20.584240000000001</v>
      </c>
      <c r="D2935" s="6">
        <v>47</v>
      </c>
      <c r="E2935" s="6">
        <v>0</v>
      </c>
      <c r="F2935" s="6">
        <v>0</v>
      </c>
      <c r="G2935" s="6">
        <v>7</v>
      </c>
      <c r="H2935" s="6" t="s">
        <v>6191</v>
      </c>
      <c r="I2935" s="6">
        <v>526.6875</v>
      </c>
      <c r="J2935" s="2">
        <f t="shared" si="45"/>
        <v>43747.668574062496</v>
      </c>
    </row>
    <row r="2936" spans="1:10" x14ac:dyDescent="0.25">
      <c r="A2936" s="7" t="s">
        <v>6192</v>
      </c>
      <c r="B2936" s="8">
        <v>390.625</v>
      </c>
      <c r="C2936" s="8">
        <v>20.584240000000001</v>
      </c>
      <c r="D2936" s="8">
        <v>47</v>
      </c>
      <c r="E2936" s="8">
        <v>0</v>
      </c>
      <c r="F2936" s="8">
        <v>0</v>
      </c>
      <c r="G2936" s="8">
        <v>14</v>
      </c>
      <c r="H2936" s="8" t="s">
        <v>6193</v>
      </c>
      <c r="I2936" s="8">
        <v>525.9375</v>
      </c>
      <c r="J2936" s="3">
        <f t="shared" si="45"/>
        <v>43747.668669479164</v>
      </c>
    </row>
    <row r="2937" spans="1:10" x14ac:dyDescent="0.25">
      <c r="A2937" s="5" t="s">
        <v>6194</v>
      </c>
      <c r="B2937" s="6">
        <v>390.625</v>
      </c>
      <c r="C2937" s="6">
        <v>20.584240000000001</v>
      </c>
      <c r="D2937" s="6">
        <v>47</v>
      </c>
      <c r="E2937" s="6">
        <v>0</v>
      </c>
      <c r="F2937" s="6">
        <v>0</v>
      </c>
      <c r="G2937" s="6">
        <v>2</v>
      </c>
      <c r="H2937" s="6" t="s">
        <v>6195</v>
      </c>
      <c r="I2937" s="6">
        <v>525.75</v>
      </c>
      <c r="J2937" s="2">
        <f t="shared" si="45"/>
        <v>43747.668751168974</v>
      </c>
    </row>
    <row r="2938" spans="1:10" x14ac:dyDescent="0.25">
      <c r="A2938" s="7" t="s">
        <v>6196</v>
      </c>
      <c r="B2938" s="8">
        <v>393.75</v>
      </c>
      <c r="C2938" s="8">
        <v>20.584240000000001</v>
      </c>
      <c r="D2938" s="8">
        <v>47</v>
      </c>
      <c r="E2938" s="8">
        <v>0</v>
      </c>
      <c r="F2938" s="8">
        <v>0</v>
      </c>
      <c r="G2938" s="8">
        <v>11</v>
      </c>
      <c r="H2938" s="8" t="s">
        <v>6197</v>
      </c>
      <c r="I2938" s="8">
        <v>526.6875</v>
      </c>
      <c r="J2938" s="3">
        <f t="shared" si="45"/>
        <v>43747.668834861113</v>
      </c>
    </row>
    <row r="2939" spans="1:10" x14ac:dyDescent="0.25">
      <c r="A2939" s="5" t="s">
        <v>6198</v>
      </c>
      <c r="B2939" s="6">
        <v>393.75</v>
      </c>
      <c r="C2939" s="6">
        <v>20.531590000000001</v>
      </c>
      <c r="D2939" s="6">
        <v>47</v>
      </c>
      <c r="E2939" s="6">
        <v>0</v>
      </c>
      <c r="F2939" s="6">
        <v>0</v>
      </c>
      <c r="G2939" s="6">
        <v>6</v>
      </c>
      <c r="H2939" s="6" t="s">
        <v>6199</v>
      </c>
      <c r="I2939" s="6">
        <v>526.6875</v>
      </c>
      <c r="J2939" s="2">
        <f t="shared" si="45"/>
        <v>43747.668918217591</v>
      </c>
    </row>
    <row r="2940" spans="1:10" x14ac:dyDescent="0.25">
      <c r="A2940" s="7" t="s">
        <v>6200</v>
      </c>
      <c r="B2940" s="8">
        <v>393.75</v>
      </c>
      <c r="C2940" s="8">
        <v>20.531590000000001</v>
      </c>
      <c r="D2940" s="8">
        <v>47</v>
      </c>
      <c r="E2940" s="8">
        <v>0</v>
      </c>
      <c r="F2940" s="8">
        <v>0</v>
      </c>
      <c r="G2940" s="8">
        <v>15</v>
      </c>
      <c r="H2940" s="8" t="s">
        <v>6201</v>
      </c>
      <c r="I2940" s="8">
        <v>526.6875</v>
      </c>
      <c r="J2940" s="3">
        <f t="shared" si="45"/>
        <v>43747.669001655093</v>
      </c>
    </row>
    <row r="2941" spans="1:10" x14ac:dyDescent="0.25">
      <c r="A2941" s="5" t="s">
        <v>6202</v>
      </c>
      <c r="B2941" s="6">
        <v>393.75</v>
      </c>
      <c r="C2941" s="6">
        <v>20.584240000000001</v>
      </c>
      <c r="D2941" s="6">
        <v>47</v>
      </c>
      <c r="E2941" s="6">
        <v>0</v>
      </c>
      <c r="F2941" s="6">
        <v>0</v>
      </c>
      <c r="G2941" s="6">
        <v>13</v>
      </c>
      <c r="H2941" s="6" t="s">
        <v>6203</v>
      </c>
      <c r="I2941" s="6">
        <v>526.6875</v>
      </c>
      <c r="J2941" s="2">
        <f t="shared" si="45"/>
        <v>43747.669073194447</v>
      </c>
    </row>
    <row r="2942" spans="1:10" x14ac:dyDescent="0.25">
      <c r="A2942" s="7" t="s">
        <v>6204</v>
      </c>
      <c r="B2942" s="8">
        <v>393.75</v>
      </c>
      <c r="C2942" s="8">
        <v>20.584240000000001</v>
      </c>
      <c r="D2942" s="8">
        <v>46</v>
      </c>
      <c r="E2942" s="8">
        <v>0</v>
      </c>
      <c r="F2942" s="8">
        <v>0</v>
      </c>
      <c r="G2942" s="8">
        <v>8</v>
      </c>
      <c r="H2942" s="8" t="s">
        <v>6205</v>
      </c>
      <c r="I2942" s="8">
        <v>526.6875</v>
      </c>
      <c r="J2942" s="3">
        <f t="shared" si="45"/>
        <v>43747.669156412034</v>
      </c>
    </row>
    <row r="2943" spans="1:10" x14ac:dyDescent="0.25">
      <c r="A2943" s="5" t="s">
        <v>6206</v>
      </c>
      <c r="B2943" s="6">
        <v>390.625</v>
      </c>
      <c r="C2943" s="6">
        <v>20.584240000000001</v>
      </c>
      <c r="D2943" s="6">
        <v>46</v>
      </c>
      <c r="E2943" s="6">
        <v>0</v>
      </c>
      <c r="F2943" s="6">
        <v>0</v>
      </c>
      <c r="G2943" s="6">
        <v>12</v>
      </c>
      <c r="H2943" s="6" t="s">
        <v>6207</v>
      </c>
      <c r="I2943" s="6">
        <v>525.9375</v>
      </c>
      <c r="J2943" s="2">
        <f t="shared" si="45"/>
        <v>43747.669252118052</v>
      </c>
    </row>
    <row r="2944" spans="1:10" x14ac:dyDescent="0.25">
      <c r="A2944" s="7" t="s">
        <v>6208</v>
      </c>
      <c r="B2944" s="8">
        <v>390.625</v>
      </c>
      <c r="C2944" s="8">
        <v>20.584240000000001</v>
      </c>
      <c r="D2944" s="8">
        <v>45</v>
      </c>
      <c r="E2944" s="8">
        <v>0</v>
      </c>
      <c r="F2944" s="8">
        <v>0</v>
      </c>
      <c r="G2944" s="8">
        <v>11</v>
      </c>
      <c r="H2944" s="8" t="s">
        <v>6209</v>
      </c>
      <c r="I2944" s="8">
        <v>525.9375</v>
      </c>
      <c r="J2944" s="3">
        <f t="shared" si="45"/>
        <v>43747.669335578707</v>
      </c>
    </row>
    <row r="2945" spans="1:10" x14ac:dyDescent="0.25">
      <c r="A2945" s="5" t="s">
        <v>6210</v>
      </c>
      <c r="B2945" s="6">
        <v>390.625</v>
      </c>
      <c r="C2945" s="6">
        <v>20.584240000000001</v>
      </c>
      <c r="D2945" s="6">
        <v>46</v>
      </c>
      <c r="E2945" s="6">
        <v>0</v>
      </c>
      <c r="F2945" s="6">
        <v>0</v>
      </c>
      <c r="G2945" s="6">
        <v>13</v>
      </c>
      <c r="H2945" s="6" t="s">
        <v>6211</v>
      </c>
      <c r="I2945" s="6">
        <v>525.9375</v>
      </c>
      <c r="J2945" s="2">
        <f t="shared" si="45"/>
        <v>43747.669419016202</v>
      </c>
    </row>
    <row r="2946" spans="1:10" x14ac:dyDescent="0.25">
      <c r="A2946" s="7" t="s">
        <v>6212</v>
      </c>
      <c r="B2946" s="8">
        <v>393.75</v>
      </c>
      <c r="C2946" s="8">
        <v>20.531590000000001</v>
      </c>
      <c r="D2946" s="8">
        <v>45</v>
      </c>
      <c r="E2946" s="8">
        <v>0</v>
      </c>
      <c r="F2946" s="8">
        <v>0</v>
      </c>
      <c r="G2946" s="8">
        <v>3</v>
      </c>
      <c r="H2946" s="8" t="s">
        <v>6213</v>
      </c>
      <c r="I2946" s="8">
        <v>526.6875</v>
      </c>
      <c r="J2946" s="3">
        <f t="shared" ref="J2946:J3009" si="46">(H2946/86400000)+25569+(7/24)</f>
        <v>43747.669502488425</v>
      </c>
    </row>
    <row r="2947" spans="1:10" x14ac:dyDescent="0.25">
      <c r="A2947" s="5" t="s">
        <v>6214</v>
      </c>
      <c r="B2947" s="6">
        <v>393.75</v>
      </c>
      <c r="C2947" s="6">
        <v>20.584240000000001</v>
      </c>
      <c r="D2947" s="6">
        <v>45</v>
      </c>
      <c r="E2947" s="6">
        <v>0</v>
      </c>
      <c r="F2947" s="6">
        <v>0</v>
      </c>
      <c r="G2947" s="6">
        <v>8</v>
      </c>
      <c r="H2947" s="6" t="s">
        <v>6215</v>
      </c>
      <c r="I2947" s="6">
        <v>526.6875</v>
      </c>
      <c r="J2947" s="2">
        <f t="shared" si="46"/>
        <v>43747.669585925927</v>
      </c>
    </row>
    <row r="2948" spans="1:10" x14ac:dyDescent="0.25">
      <c r="A2948" s="7" t="s">
        <v>6216</v>
      </c>
      <c r="B2948" s="8">
        <v>393.75</v>
      </c>
      <c r="C2948" s="8">
        <v>20.584240000000001</v>
      </c>
      <c r="D2948" s="8">
        <v>45</v>
      </c>
      <c r="E2948" s="8">
        <v>0</v>
      </c>
      <c r="F2948" s="8">
        <v>0</v>
      </c>
      <c r="G2948" s="8">
        <v>4</v>
      </c>
      <c r="H2948" s="8" t="s">
        <v>6217</v>
      </c>
      <c r="I2948" s="8">
        <v>526.6875</v>
      </c>
      <c r="J2948" s="3">
        <f t="shared" si="46"/>
        <v>43747.669669374998</v>
      </c>
    </row>
    <row r="2949" spans="1:10" x14ac:dyDescent="0.25">
      <c r="A2949" s="5" t="s">
        <v>6218</v>
      </c>
      <c r="B2949" s="6">
        <v>421.875</v>
      </c>
      <c r="C2949" s="6">
        <v>20.531590000000001</v>
      </c>
      <c r="D2949" s="6">
        <v>45</v>
      </c>
      <c r="E2949" s="6">
        <v>0</v>
      </c>
      <c r="F2949" s="6">
        <v>0</v>
      </c>
      <c r="G2949" s="6">
        <v>11</v>
      </c>
      <c r="H2949" s="6" t="s">
        <v>6219</v>
      </c>
      <c r="I2949" s="6">
        <v>535.875</v>
      </c>
      <c r="J2949" s="2">
        <f t="shared" si="46"/>
        <v>43747.669752592592</v>
      </c>
    </row>
    <row r="2950" spans="1:10" x14ac:dyDescent="0.25">
      <c r="A2950" s="7" t="s">
        <v>6220</v>
      </c>
      <c r="B2950" s="8">
        <v>390.625</v>
      </c>
      <c r="C2950" s="8">
        <v>20.584240000000001</v>
      </c>
      <c r="D2950" s="8">
        <v>45</v>
      </c>
      <c r="E2950" s="8">
        <v>0</v>
      </c>
      <c r="F2950" s="8">
        <v>0</v>
      </c>
      <c r="G2950" s="8">
        <v>3</v>
      </c>
      <c r="H2950" s="8" t="s">
        <v>6221</v>
      </c>
      <c r="I2950" s="8">
        <v>525.9375</v>
      </c>
      <c r="J2950" s="3">
        <f t="shared" si="46"/>
        <v>43747.669824340272</v>
      </c>
    </row>
    <row r="2951" spans="1:10" x14ac:dyDescent="0.25">
      <c r="A2951" s="5" t="s">
        <v>6222</v>
      </c>
      <c r="B2951" s="6">
        <v>390.625</v>
      </c>
      <c r="C2951" s="6">
        <v>20.584240000000001</v>
      </c>
      <c r="D2951" s="6">
        <v>45</v>
      </c>
      <c r="E2951" s="6">
        <v>0</v>
      </c>
      <c r="F2951" s="6">
        <v>0</v>
      </c>
      <c r="G2951" s="6">
        <v>11</v>
      </c>
      <c r="H2951" s="6" t="s">
        <v>6223</v>
      </c>
      <c r="I2951" s="6">
        <v>525.75</v>
      </c>
      <c r="J2951" s="2">
        <f t="shared" si="46"/>
        <v>43747.669895995372</v>
      </c>
    </row>
    <row r="2952" spans="1:10" x14ac:dyDescent="0.25">
      <c r="A2952" s="7" t="s">
        <v>6224</v>
      </c>
      <c r="B2952" s="8">
        <v>390.625</v>
      </c>
      <c r="C2952" s="8">
        <v>20.531590000000001</v>
      </c>
      <c r="D2952" s="8">
        <v>46</v>
      </c>
      <c r="E2952" s="8">
        <v>0</v>
      </c>
      <c r="F2952" s="8">
        <v>0</v>
      </c>
      <c r="G2952" s="8">
        <v>11</v>
      </c>
      <c r="H2952" s="8" t="s">
        <v>6225</v>
      </c>
      <c r="I2952" s="8">
        <v>525.75</v>
      </c>
      <c r="J2952" s="3">
        <f t="shared" si="46"/>
        <v>43747.669979456019</v>
      </c>
    </row>
    <row r="2953" spans="1:10" x14ac:dyDescent="0.25">
      <c r="A2953" s="5" t="s">
        <v>6226</v>
      </c>
      <c r="B2953" s="6">
        <v>390.625</v>
      </c>
      <c r="C2953" s="6">
        <v>20.584240000000001</v>
      </c>
      <c r="D2953" s="6">
        <v>45</v>
      </c>
      <c r="E2953" s="6">
        <v>0</v>
      </c>
      <c r="F2953" s="6">
        <v>0</v>
      </c>
      <c r="G2953" s="6">
        <v>15</v>
      </c>
      <c r="H2953" s="6" t="s">
        <v>6227</v>
      </c>
      <c r="I2953" s="6">
        <v>525.9375</v>
      </c>
      <c r="J2953" s="2">
        <f t="shared" si="46"/>
        <v>43747.670051076384</v>
      </c>
    </row>
    <row r="2954" spans="1:10" x14ac:dyDescent="0.25">
      <c r="A2954" s="7" t="s">
        <v>6228</v>
      </c>
      <c r="B2954" s="8">
        <v>390.625</v>
      </c>
      <c r="C2954" s="8">
        <v>20.531590000000001</v>
      </c>
      <c r="D2954" s="8">
        <v>45</v>
      </c>
      <c r="E2954" s="8">
        <v>0</v>
      </c>
      <c r="F2954" s="8">
        <v>0</v>
      </c>
      <c r="G2954" s="8">
        <v>6</v>
      </c>
      <c r="H2954" s="8" t="s">
        <v>6229</v>
      </c>
      <c r="I2954" s="8">
        <v>525.75</v>
      </c>
      <c r="J2954" s="3">
        <f t="shared" si="46"/>
        <v>43747.670134178239</v>
      </c>
    </row>
    <row r="2955" spans="1:10" x14ac:dyDescent="0.25">
      <c r="A2955" s="5" t="s">
        <v>6230</v>
      </c>
      <c r="B2955" s="6">
        <v>390.625</v>
      </c>
      <c r="C2955" s="6">
        <v>20.584240000000001</v>
      </c>
      <c r="D2955" s="6">
        <v>45</v>
      </c>
      <c r="E2955" s="6">
        <v>0</v>
      </c>
      <c r="F2955" s="6">
        <v>0</v>
      </c>
      <c r="G2955" s="6">
        <v>10</v>
      </c>
      <c r="H2955" s="6" t="s">
        <v>6231</v>
      </c>
      <c r="I2955" s="6">
        <v>525.9375</v>
      </c>
      <c r="J2955" s="2">
        <f t="shared" si="46"/>
        <v>43747.670205821756</v>
      </c>
    </row>
    <row r="2956" spans="1:10" x14ac:dyDescent="0.25">
      <c r="A2956" s="7" t="s">
        <v>6232</v>
      </c>
      <c r="B2956" s="8">
        <v>390.625</v>
      </c>
      <c r="C2956" s="8">
        <v>20.584240000000001</v>
      </c>
      <c r="D2956" s="8">
        <v>43</v>
      </c>
      <c r="E2956" s="8">
        <v>0</v>
      </c>
      <c r="F2956" s="8">
        <v>0</v>
      </c>
      <c r="G2956" s="8">
        <v>11</v>
      </c>
      <c r="H2956" s="8" t="s">
        <v>6233</v>
      </c>
      <c r="I2956" s="8">
        <v>525.9375</v>
      </c>
      <c r="J2956" s="3">
        <f t="shared" si="46"/>
        <v>43747.670289618058</v>
      </c>
    </row>
    <row r="2957" spans="1:10" x14ac:dyDescent="0.25">
      <c r="A2957" s="5" t="s">
        <v>6234</v>
      </c>
      <c r="B2957" s="6">
        <v>390.625</v>
      </c>
      <c r="C2957" s="6">
        <v>20.584240000000001</v>
      </c>
      <c r="D2957" s="6">
        <v>45</v>
      </c>
      <c r="E2957" s="6">
        <v>0</v>
      </c>
      <c r="F2957" s="6">
        <v>0</v>
      </c>
      <c r="G2957" s="6">
        <v>12</v>
      </c>
      <c r="H2957" s="6" t="s">
        <v>6235</v>
      </c>
      <c r="I2957" s="6">
        <v>525.9375</v>
      </c>
      <c r="J2957" s="2">
        <f t="shared" si="46"/>
        <v>43747.670373067129</v>
      </c>
    </row>
    <row r="2958" spans="1:10" x14ac:dyDescent="0.25">
      <c r="A2958" s="7" t="s">
        <v>6236</v>
      </c>
      <c r="B2958" s="8">
        <v>390.625</v>
      </c>
      <c r="C2958" s="8">
        <v>20.584240000000001</v>
      </c>
      <c r="D2958" s="8">
        <v>47</v>
      </c>
      <c r="E2958" s="8">
        <v>0</v>
      </c>
      <c r="F2958" s="8">
        <v>0</v>
      </c>
      <c r="G2958" s="8">
        <v>8</v>
      </c>
      <c r="H2958" s="8" t="s">
        <v>6237</v>
      </c>
      <c r="I2958" s="8">
        <v>525.9375</v>
      </c>
      <c r="J2958" s="3">
        <f t="shared" si="46"/>
        <v>43747.670468414348</v>
      </c>
    </row>
    <row r="2959" spans="1:10" x14ac:dyDescent="0.25">
      <c r="A2959" s="5" t="s">
        <v>6238</v>
      </c>
      <c r="B2959" s="6">
        <v>393.75</v>
      </c>
      <c r="C2959" s="6">
        <v>20.584240000000001</v>
      </c>
      <c r="D2959" s="6">
        <v>49</v>
      </c>
      <c r="E2959" s="6">
        <v>0</v>
      </c>
      <c r="F2959" s="6">
        <v>0</v>
      </c>
      <c r="G2959" s="6">
        <v>3</v>
      </c>
      <c r="H2959" s="6" t="s">
        <v>6239</v>
      </c>
      <c r="I2959" s="6">
        <v>526.6875</v>
      </c>
      <c r="J2959" s="2">
        <f t="shared" si="46"/>
        <v>43747.670539942126</v>
      </c>
    </row>
    <row r="2960" spans="1:10" x14ac:dyDescent="0.25">
      <c r="A2960" s="7" t="s">
        <v>6240</v>
      </c>
      <c r="B2960" s="8">
        <v>393.75</v>
      </c>
      <c r="C2960" s="8">
        <v>20.531590000000001</v>
      </c>
      <c r="D2960" s="8">
        <v>49</v>
      </c>
      <c r="E2960" s="8">
        <v>0</v>
      </c>
      <c r="F2960" s="8">
        <v>0</v>
      </c>
      <c r="G2960" s="8">
        <v>9</v>
      </c>
      <c r="H2960" s="8" t="s">
        <v>6241</v>
      </c>
      <c r="I2960" s="8">
        <v>526.6875</v>
      </c>
      <c r="J2960" s="3">
        <f t="shared" si="46"/>
        <v>43747.670623043981</v>
      </c>
    </row>
    <row r="2961" spans="1:10" x14ac:dyDescent="0.25">
      <c r="A2961" s="5" t="s">
        <v>6242</v>
      </c>
      <c r="B2961" s="6">
        <v>393.75</v>
      </c>
      <c r="C2961" s="6">
        <v>20.584240000000001</v>
      </c>
      <c r="D2961" s="6">
        <v>47</v>
      </c>
      <c r="E2961" s="6">
        <v>0</v>
      </c>
      <c r="F2961" s="6">
        <v>0</v>
      </c>
      <c r="G2961" s="6">
        <v>7</v>
      </c>
      <c r="H2961" s="6" t="s">
        <v>6243</v>
      </c>
      <c r="I2961" s="6">
        <v>526.6875</v>
      </c>
      <c r="J2961" s="2">
        <f t="shared" si="46"/>
        <v>43747.670706840276</v>
      </c>
    </row>
    <row r="2962" spans="1:10" x14ac:dyDescent="0.25">
      <c r="A2962" s="7" t="s">
        <v>6244</v>
      </c>
      <c r="B2962" s="8">
        <v>393.75</v>
      </c>
      <c r="C2962" s="8">
        <v>20.584240000000001</v>
      </c>
      <c r="D2962" s="8">
        <v>47</v>
      </c>
      <c r="E2962" s="8">
        <v>0</v>
      </c>
      <c r="F2962" s="8">
        <v>0</v>
      </c>
      <c r="G2962" s="8">
        <v>11</v>
      </c>
      <c r="H2962" s="8" t="s">
        <v>6245</v>
      </c>
      <c r="I2962" s="8">
        <v>526.6875</v>
      </c>
      <c r="J2962" s="3">
        <f t="shared" si="46"/>
        <v>43747.67079059028</v>
      </c>
    </row>
    <row r="2963" spans="1:10" x14ac:dyDescent="0.25">
      <c r="A2963" s="5" t="s">
        <v>6246</v>
      </c>
      <c r="B2963" s="6">
        <v>393.75</v>
      </c>
      <c r="C2963" s="6">
        <v>20.531590000000001</v>
      </c>
      <c r="D2963" s="6">
        <v>47</v>
      </c>
      <c r="E2963" s="6">
        <v>0</v>
      </c>
      <c r="F2963" s="6">
        <v>0</v>
      </c>
      <c r="G2963" s="6">
        <v>16</v>
      </c>
      <c r="H2963" s="6" t="s">
        <v>6247</v>
      </c>
      <c r="I2963" s="6">
        <v>526.6875</v>
      </c>
      <c r="J2963" s="2">
        <f t="shared" si="46"/>
        <v>43747.670861921295</v>
      </c>
    </row>
    <row r="2964" spans="1:10" x14ac:dyDescent="0.25">
      <c r="A2964" s="7" t="s">
        <v>6248</v>
      </c>
      <c r="B2964" s="8">
        <v>393.75</v>
      </c>
      <c r="C2964" s="8">
        <v>20.584240000000001</v>
      </c>
      <c r="D2964" s="8">
        <v>47</v>
      </c>
      <c r="E2964" s="8">
        <v>0</v>
      </c>
      <c r="F2964" s="8">
        <v>0</v>
      </c>
      <c r="G2964" s="8">
        <v>10</v>
      </c>
      <c r="H2964" s="8" t="s">
        <v>6249</v>
      </c>
      <c r="I2964" s="8">
        <v>526.6875</v>
      </c>
      <c r="J2964" s="3">
        <f t="shared" si="46"/>
        <v>43747.670945266196</v>
      </c>
    </row>
    <row r="2965" spans="1:10" x14ac:dyDescent="0.25">
      <c r="A2965" s="5" t="s">
        <v>6250</v>
      </c>
      <c r="B2965" s="6">
        <v>393.75</v>
      </c>
      <c r="C2965" s="6">
        <v>20.531590000000001</v>
      </c>
      <c r="D2965" s="6">
        <v>44</v>
      </c>
      <c r="E2965" s="6">
        <v>0</v>
      </c>
      <c r="F2965" s="6">
        <v>0</v>
      </c>
      <c r="G2965" s="6">
        <v>15</v>
      </c>
      <c r="H2965" s="6" t="s">
        <v>6251</v>
      </c>
      <c r="I2965" s="6">
        <v>526.5</v>
      </c>
      <c r="J2965" s="2">
        <f t="shared" si="46"/>
        <v>43747.671028842589</v>
      </c>
    </row>
    <row r="2966" spans="1:10" x14ac:dyDescent="0.25">
      <c r="A2966" s="7" t="s">
        <v>6252</v>
      </c>
      <c r="B2966" s="8">
        <v>393.75</v>
      </c>
      <c r="C2966" s="8">
        <v>20.584240000000001</v>
      </c>
      <c r="D2966" s="8">
        <v>47</v>
      </c>
      <c r="E2966" s="8">
        <v>0</v>
      </c>
      <c r="F2966" s="8">
        <v>0</v>
      </c>
      <c r="G2966" s="8">
        <v>9</v>
      </c>
      <c r="H2966" s="8" t="s">
        <v>6253</v>
      </c>
      <c r="I2966" s="8">
        <v>526.6875</v>
      </c>
      <c r="J2966" s="3">
        <f t="shared" si="46"/>
        <v>43747.671111932868</v>
      </c>
    </row>
    <row r="2967" spans="1:10" x14ac:dyDescent="0.25">
      <c r="A2967" s="5" t="s">
        <v>6254</v>
      </c>
      <c r="B2967" s="6">
        <v>393.75</v>
      </c>
      <c r="C2967" s="6">
        <v>20.531590000000001</v>
      </c>
      <c r="D2967" s="6">
        <v>47</v>
      </c>
      <c r="E2967" s="6">
        <v>0</v>
      </c>
      <c r="F2967" s="6">
        <v>0</v>
      </c>
      <c r="G2967" s="6">
        <v>4</v>
      </c>
      <c r="H2967" s="6" t="s">
        <v>6255</v>
      </c>
      <c r="I2967" s="6">
        <v>526.6875</v>
      </c>
      <c r="J2967" s="2">
        <f t="shared" si="46"/>
        <v>43747.671199872682</v>
      </c>
    </row>
    <row r="2968" spans="1:10" x14ac:dyDescent="0.25">
      <c r="A2968" s="7" t="s">
        <v>6256</v>
      </c>
      <c r="B2968" s="8">
        <v>390.625</v>
      </c>
      <c r="C2968" s="8">
        <v>20.584240000000001</v>
      </c>
      <c r="D2968" s="8">
        <v>48</v>
      </c>
      <c r="E2968" s="8">
        <v>0</v>
      </c>
      <c r="F2968" s="8">
        <v>0</v>
      </c>
      <c r="G2968" s="8">
        <v>13</v>
      </c>
      <c r="H2968" s="8" t="s">
        <v>6257</v>
      </c>
      <c r="I2968" s="8">
        <v>525.9375</v>
      </c>
      <c r="J2968" s="3">
        <f t="shared" si="46"/>
        <v>43747.671279421294</v>
      </c>
    </row>
    <row r="2969" spans="1:10" x14ac:dyDescent="0.25">
      <c r="A2969" s="5" t="s">
        <v>6258</v>
      </c>
      <c r="B2969" s="6">
        <v>390.625</v>
      </c>
      <c r="C2969" s="6">
        <v>20.584240000000001</v>
      </c>
      <c r="D2969" s="6">
        <v>49</v>
      </c>
      <c r="E2969" s="6">
        <v>0</v>
      </c>
      <c r="F2969" s="6">
        <v>0</v>
      </c>
      <c r="G2969" s="6">
        <v>13</v>
      </c>
      <c r="H2969" s="6" t="s">
        <v>6259</v>
      </c>
      <c r="I2969" s="6">
        <v>525.75</v>
      </c>
      <c r="J2969" s="2">
        <f t="shared" si="46"/>
        <v>43747.671350821758</v>
      </c>
    </row>
    <row r="2970" spans="1:10" x14ac:dyDescent="0.25">
      <c r="A2970" s="7" t="s">
        <v>6260</v>
      </c>
      <c r="B2970" s="8">
        <v>390.625</v>
      </c>
      <c r="C2970" s="8">
        <v>20.584240000000001</v>
      </c>
      <c r="D2970" s="8">
        <v>48</v>
      </c>
      <c r="E2970" s="8">
        <v>0</v>
      </c>
      <c r="F2970" s="8">
        <v>0</v>
      </c>
      <c r="G2970" s="8">
        <v>5</v>
      </c>
      <c r="H2970" s="8" t="s">
        <v>6261</v>
      </c>
      <c r="I2970" s="8">
        <v>525.9375</v>
      </c>
      <c r="J2970" s="3">
        <f t="shared" si="46"/>
        <v>43747.671434027776</v>
      </c>
    </row>
    <row r="2971" spans="1:10" x14ac:dyDescent="0.25">
      <c r="A2971" s="5" t="s">
        <v>6262</v>
      </c>
      <c r="B2971" s="6">
        <v>390.625</v>
      </c>
      <c r="C2971" s="6">
        <v>20.584240000000001</v>
      </c>
      <c r="D2971" s="6">
        <v>48</v>
      </c>
      <c r="E2971" s="6">
        <v>0</v>
      </c>
      <c r="F2971" s="6">
        <v>0</v>
      </c>
      <c r="G2971" s="6">
        <v>12</v>
      </c>
      <c r="H2971" s="6" t="s">
        <v>6263</v>
      </c>
      <c r="I2971" s="6">
        <v>525.9375</v>
      </c>
      <c r="J2971" s="2">
        <f t="shared" si="46"/>
        <v>43747.671505798608</v>
      </c>
    </row>
    <row r="2972" spans="1:10" x14ac:dyDescent="0.25">
      <c r="A2972" s="7" t="s">
        <v>6264</v>
      </c>
      <c r="B2972" s="8">
        <v>390.625</v>
      </c>
      <c r="C2972" s="8">
        <v>20.531590000000001</v>
      </c>
      <c r="D2972" s="8">
        <v>48</v>
      </c>
      <c r="E2972" s="8">
        <v>0</v>
      </c>
      <c r="F2972" s="8">
        <v>0</v>
      </c>
      <c r="G2972" s="8">
        <v>11</v>
      </c>
      <c r="H2972" s="8" t="s">
        <v>6265</v>
      </c>
      <c r="I2972" s="8">
        <v>525.9375</v>
      </c>
      <c r="J2972" s="3">
        <f t="shared" si="46"/>
        <v>43747.671589247686</v>
      </c>
    </row>
    <row r="2973" spans="1:10" x14ac:dyDescent="0.25">
      <c r="A2973" s="5" t="s">
        <v>6266</v>
      </c>
      <c r="B2973" s="6">
        <v>390.625</v>
      </c>
      <c r="C2973" s="6">
        <v>20.584240000000001</v>
      </c>
      <c r="D2973" s="6">
        <v>48</v>
      </c>
      <c r="E2973" s="6">
        <v>0</v>
      </c>
      <c r="F2973" s="6">
        <v>0</v>
      </c>
      <c r="G2973" s="6">
        <v>7</v>
      </c>
      <c r="H2973" s="6" t="s">
        <v>6267</v>
      </c>
      <c r="I2973" s="6">
        <v>525.9375</v>
      </c>
      <c r="J2973" s="2">
        <f t="shared" si="46"/>
        <v>43747.671672800927</v>
      </c>
    </row>
    <row r="2974" spans="1:10" x14ac:dyDescent="0.25">
      <c r="A2974" s="7" t="s">
        <v>6268</v>
      </c>
      <c r="B2974" s="8">
        <v>390.625</v>
      </c>
      <c r="C2974" s="8">
        <v>20.584240000000001</v>
      </c>
      <c r="D2974" s="8">
        <v>48</v>
      </c>
      <c r="E2974" s="8">
        <v>0</v>
      </c>
      <c r="F2974" s="8">
        <v>0</v>
      </c>
      <c r="G2974" s="8">
        <v>13</v>
      </c>
      <c r="H2974" s="8" t="s">
        <v>6269</v>
      </c>
      <c r="I2974" s="8">
        <v>525.9375</v>
      </c>
      <c r="J2974" s="3">
        <f t="shared" si="46"/>
        <v>43747.671756261574</v>
      </c>
    </row>
    <row r="2975" spans="1:10" x14ac:dyDescent="0.25">
      <c r="A2975" s="5" t="s">
        <v>6270</v>
      </c>
      <c r="B2975" s="6">
        <v>390.625</v>
      </c>
      <c r="C2975" s="6">
        <v>20.584240000000001</v>
      </c>
      <c r="D2975" s="6">
        <v>48</v>
      </c>
      <c r="E2975" s="6">
        <v>0</v>
      </c>
      <c r="F2975" s="6">
        <v>0</v>
      </c>
      <c r="G2975" s="6">
        <v>9</v>
      </c>
      <c r="H2975" s="6" t="s">
        <v>6271</v>
      </c>
      <c r="I2975" s="6">
        <v>525.75</v>
      </c>
      <c r="J2975" s="2">
        <f t="shared" si="46"/>
        <v>43747.671839710645</v>
      </c>
    </row>
    <row r="2976" spans="1:10" x14ac:dyDescent="0.25">
      <c r="A2976" s="7" t="s">
        <v>6272</v>
      </c>
      <c r="B2976" s="8">
        <v>390.625</v>
      </c>
      <c r="C2976" s="8">
        <v>20.584240000000001</v>
      </c>
      <c r="D2976" s="8">
        <v>49</v>
      </c>
      <c r="E2976" s="8">
        <v>0</v>
      </c>
      <c r="F2976" s="8">
        <v>0</v>
      </c>
      <c r="G2976" s="8">
        <v>6</v>
      </c>
      <c r="H2976" s="8" t="s">
        <v>6273</v>
      </c>
      <c r="I2976" s="8">
        <v>525.9375</v>
      </c>
      <c r="J2976" s="3">
        <f t="shared" si="46"/>
        <v>43747.671922928239</v>
      </c>
    </row>
    <row r="2977" spans="1:10" x14ac:dyDescent="0.25">
      <c r="A2977" s="5" t="s">
        <v>6274</v>
      </c>
      <c r="B2977" s="6">
        <v>390.625</v>
      </c>
      <c r="C2977" s="6">
        <v>20.531590000000001</v>
      </c>
      <c r="D2977" s="6">
        <v>49</v>
      </c>
      <c r="E2977" s="6">
        <v>0</v>
      </c>
      <c r="F2977" s="6">
        <v>0</v>
      </c>
      <c r="G2977" s="6">
        <v>7</v>
      </c>
      <c r="H2977" s="6" t="s">
        <v>6275</v>
      </c>
      <c r="I2977" s="6">
        <v>525.9375</v>
      </c>
      <c r="J2977" s="2">
        <f t="shared" si="46"/>
        <v>43747.672021134254</v>
      </c>
    </row>
    <row r="2978" spans="1:10" x14ac:dyDescent="0.25">
      <c r="A2978" s="7" t="s">
        <v>6276</v>
      </c>
      <c r="B2978" s="8">
        <v>390.625</v>
      </c>
      <c r="C2978" s="8">
        <v>20.584240000000001</v>
      </c>
      <c r="D2978" s="8">
        <v>49</v>
      </c>
      <c r="E2978" s="8">
        <v>0</v>
      </c>
      <c r="F2978" s="8">
        <v>0</v>
      </c>
      <c r="G2978" s="8">
        <v>7</v>
      </c>
      <c r="H2978" s="8" t="s">
        <v>6277</v>
      </c>
      <c r="I2978" s="8">
        <v>525.9375</v>
      </c>
      <c r="J2978" s="3">
        <f t="shared" si="46"/>
        <v>43747.672102094904</v>
      </c>
    </row>
    <row r="2979" spans="1:10" x14ac:dyDescent="0.25">
      <c r="A2979" s="5" t="s">
        <v>6278</v>
      </c>
      <c r="B2979" s="6">
        <v>390.625</v>
      </c>
      <c r="C2979" s="6">
        <v>20.584240000000001</v>
      </c>
      <c r="D2979" s="6">
        <v>50</v>
      </c>
      <c r="E2979" s="6">
        <v>0</v>
      </c>
      <c r="F2979" s="6">
        <v>0</v>
      </c>
      <c r="G2979" s="6">
        <v>22</v>
      </c>
      <c r="H2979" s="6" t="s">
        <v>6279</v>
      </c>
      <c r="I2979" s="6">
        <v>525.9375</v>
      </c>
      <c r="J2979" s="2">
        <f t="shared" si="46"/>
        <v>43747.672185659721</v>
      </c>
    </row>
    <row r="2980" spans="1:10" x14ac:dyDescent="0.25">
      <c r="A2980" s="7" t="s">
        <v>6280</v>
      </c>
      <c r="B2980" s="8">
        <v>390.625</v>
      </c>
      <c r="C2980" s="8">
        <v>20.584240000000001</v>
      </c>
      <c r="D2980" s="8">
        <v>50</v>
      </c>
      <c r="E2980" s="8">
        <v>0</v>
      </c>
      <c r="F2980" s="8">
        <v>0</v>
      </c>
      <c r="G2980" s="8">
        <v>13</v>
      </c>
      <c r="H2980" s="8" t="s">
        <v>6281</v>
      </c>
      <c r="I2980" s="8">
        <v>525.75</v>
      </c>
      <c r="J2980" s="3">
        <f t="shared" si="46"/>
        <v>43747.672268981478</v>
      </c>
    </row>
    <row r="2981" spans="1:10" x14ac:dyDescent="0.25">
      <c r="A2981" s="5" t="s">
        <v>6282</v>
      </c>
      <c r="B2981" s="6">
        <v>390.625</v>
      </c>
      <c r="C2981" s="6">
        <v>20.531590000000001</v>
      </c>
      <c r="D2981" s="6">
        <v>50</v>
      </c>
      <c r="E2981" s="6">
        <v>0</v>
      </c>
      <c r="F2981" s="6">
        <v>0</v>
      </c>
      <c r="G2981" s="6">
        <v>9</v>
      </c>
      <c r="H2981" s="6" t="s">
        <v>6283</v>
      </c>
      <c r="I2981" s="6">
        <v>525.75</v>
      </c>
      <c r="J2981" s="2">
        <f t="shared" si="46"/>
        <v>43747.672352557864</v>
      </c>
    </row>
    <row r="2982" spans="1:10" x14ac:dyDescent="0.25">
      <c r="A2982" s="7" t="s">
        <v>6284</v>
      </c>
      <c r="B2982" s="8">
        <v>390.625</v>
      </c>
      <c r="C2982" s="8">
        <v>20.584240000000001</v>
      </c>
      <c r="D2982" s="8">
        <v>50</v>
      </c>
      <c r="E2982" s="8">
        <v>0</v>
      </c>
      <c r="F2982" s="8">
        <v>0</v>
      </c>
      <c r="G2982" s="8">
        <v>7</v>
      </c>
      <c r="H2982" s="8" t="s">
        <v>6285</v>
      </c>
      <c r="I2982" s="8">
        <v>525.9375</v>
      </c>
      <c r="J2982" s="3">
        <f t="shared" si="46"/>
        <v>43747.672435995373</v>
      </c>
    </row>
    <row r="2983" spans="1:10" x14ac:dyDescent="0.25">
      <c r="A2983" s="5" t="s">
        <v>6286</v>
      </c>
      <c r="B2983" s="6">
        <v>390.625</v>
      </c>
      <c r="C2983" s="6">
        <v>20.584240000000001</v>
      </c>
      <c r="D2983" s="6">
        <v>50</v>
      </c>
      <c r="E2983" s="6">
        <v>0</v>
      </c>
      <c r="F2983" s="6">
        <v>0</v>
      </c>
      <c r="G2983" s="6">
        <v>3</v>
      </c>
      <c r="H2983" s="6" t="s">
        <v>6287</v>
      </c>
      <c r="I2983" s="6">
        <v>525.9375</v>
      </c>
      <c r="J2983" s="2">
        <f t="shared" si="46"/>
        <v>43747.672531828699</v>
      </c>
    </row>
    <row r="2984" spans="1:10" x14ac:dyDescent="0.25">
      <c r="A2984" s="7" t="s">
        <v>6288</v>
      </c>
      <c r="B2984" s="8">
        <v>393.75</v>
      </c>
      <c r="C2984" s="8">
        <v>20.584240000000001</v>
      </c>
      <c r="D2984" s="8">
        <v>50</v>
      </c>
      <c r="E2984" s="8">
        <v>0</v>
      </c>
      <c r="F2984" s="8">
        <v>0</v>
      </c>
      <c r="G2984" s="8">
        <v>18</v>
      </c>
      <c r="H2984" s="8" t="s">
        <v>6289</v>
      </c>
      <c r="I2984" s="8">
        <v>526.6875</v>
      </c>
      <c r="J2984" s="3">
        <f t="shared" si="46"/>
        <v>43747.672614826392</v>
      </c>
    </row>
    <row r="2985" spans="1:10" x14ac:dyDescent="0.25">
      <c r="A2985" s="5" t="s">
        <v>6290</v>
      </c>
      <c r="B2985" s="6">
        <v>393.75</v>
      </c>
      <c r="C2985" s="6">
        <v>20.584240000000001</v>
      </c>
      <c r="D2985" s="6">
        <v>50</v>
      </c>
      <c r="E2985" s="6">
        <v>0</v>
      </c>
      <c r="F2985" s="6">
        <v>0</v>
      </c>
      <c r="G2985" s="6">
        <v>6</v>
      </c>
      <c r="H2985" s="6" t="s">
        <v>6291</v>
      </c>
      <c r="I2985" s="6">
        <v>526.6875</v>
      </c>
      <c r="J2985" s="2">
        <f t="shared" si="46"/>
        <v>43747.672698263887</v>
      </c>
    </row>
    <row r="2986" spans="1:10" x14ac:dyDescent="0.25">
      <c r="A2986" s="7" t="s">
        <v>6292</v>
      </c>
      <c r="B2986" s="8">
        <v>412.5</v>
      </c>
      <c r="C2986" s="8">
        <v>20.584240000000001</v>
      </c>
      <c r="D2986" s="8">
        <v>46</v>
      </c>
      <c r="E2986" s="8">
        <v>0</v>
      </c>
      <c r="F2986" s="8">
        <v>0</v>
      </c>
      <c r="G2986" s="8">
        <v>6</v>
      </c>
      <c r="H2986" s="8" t="s">
        <v>6293</v>
      </c>
      <c r="I2986" s="8">
        <v>532.125</v>
      </c>
      <c r="J2986" s="3">
        <f t="shared" si="46"/>
        <v>43747.672781828696</v>
      </c>
    </row>
    <row r="2987" spans="1:10" x14ac:dyDescent="0.25">
      <c r="A2987" s="5" t="s">
        <v>6294</v>
      </c>
      <c r="B2987" s="6">
        <v>393.75</v>
      </c>
      <c r="C2987" s="6">
        <v>20.584240000000001</v>
      </c>
      <c r="D2987" s="6">
        <v>48</v>
      </c>
      <c r="E2987" s="6">
        <v>0</v>
      </c>
      <c r="F2987" s="6">
        <v>0</v>
      </c>
      <c r="G2987" s="6">
        <v>3</v>
      </c>
      <c r="H2987" s="6" t="s">
        <v>6295</v>
      </c>
      <c r="I2987" s="6">
        <v>526.6875</v>
      </c>
      <c r="J2987" s="2">
        <f t="shared" si="46"/>
        <v>43747.672865277775</v>
      </c>
    </row>
    <row r="2988" spans="1:10" x14ac:dyDescent="0.25">
      <c r="A2988" s="7" t="s">
        <v>6296</v>
      </c>
      <c r="B2988" s="8">
        <v>393.75</v>
      </c>
      <c r="C2988" s="8">
        <v>20.584240000000001</v>
      </c>
      <c r="D2988" s="8">
        <v>50</v>
      </c>
      <c r="E2988" s="8">
        <v>0</v>
      </c>
      <c r="F2988" s="8">
        <v>0</v>
      </c>
      <c r="G2988" s="8">
        <v>12</v>
      </c>
      <c r="H2988" s="8" t="s">
        <v>6297</v>
      </c>
      <c r="I2988" s="8">
        <v>526.6875</v>
      </c>
      <c r="J2988" s="3">
        <f t="shared" si="46"/>
        <v>43747.672948842592</v>
      </c>
    </row>
    <row r="2989" spans="1:10" x14ac:dyDescent="0.25">
      <c r="A2989" s="5" t="s">
        <v>6298</v>
      </c>
      <c r="B2989" s="6">
        <v>393.75</v>
      </c>
      <c r="C2989" s="6">
        <v>20.531590000000001</v>
      </c>
      <c r="D2989" s="6">
        <v>49</v>
      </c>
      <c r="E2989" s="6">
        <v>0</v>
      </c>
      <c r="F2989" s="6">
        <v>0</v>
      </c>
      <c r="G2989" s="6">
        <v>7</v>
      </c>
      <c r="H2989" s="6" t="s">
        <v>6299</v>
      </c>
      <c r="I2989" s="6">
        <v>526.6875</v>
      </c>
      <c r="J2989" s="2">
        <f t="shared" si="46"/>
        <v>43747.673032175924</v>
      </c>
    </row>
    <row r="2990" spans="1:10" x14ac:dyDescent="0.25">
      <c r="A2990" s="7" t="s">
        <v>6300</v>
      </c>
      <c r="B2990" s="8">
        <v>393.75</v>
      </c>
      <c r="C2990" s="8">
        <v>20.478950000000001</v>
      </c>
      <c r="D2990" s="8">
        <v>51</v>
      </c>
      <c r="E2990" s="8">
        <v>0</v>
      </c>
      <c r="F2990" s="8">
        <v>0</v>
      </c>
      <c r="G2990" s="8">
        <v>6</v>
      </c>
      <c r="H2990" s="8" t="s">
        <v>6301</v>
      </c>
      <c r="I2990" s="8">
        <v>526.6875</v>
      </c>
      <c r="J2990" s="3">
        <f t="shared" si="46"/>
        <v>43747.673115636571</v>
      </c>
    </row>
    <row r="2991" spans="1:10" x14ac:dyDescent="0.25">
      <c r="A2991" s="5" t="s">
        <v>6302</v>
      </c>
      <c r="B2991" s="6">
        <v>390.625</v>
      </c>
      <c r="C2991" s="6">
        <v>20.584240000000001</v>
      </c>
      <c r="D2991" s="6">
        <v>50</v>
      </c>
      <c r="E2991" s="6">
        <v>0</v>
      </c>
      <c r="F2991" s="6">
        <v>0</v>
      </c>
      <c r="G2991" s="6">
        <v>11</v>
      </c>
      <c r="H2991" s="6" t="s">
        <v>6303</v>
      </c>
      <c r="I2991" s="6">
        <v>525.9375</v>
      </c>
      <c r="J2991" s="2">
        <f t="shared" si="46"/>
        <v>43747.673211516201</v>
      </c>
    </row>
    <row r="2992" spans="1:10" x14ac:dyDescent="0.25">
      <c r="A2992" s="7" t="s">
        <v>6304</v>
      </c>
      <c r="B2992" s="8">
        <v>390.625</v>
      </c>
      <c r="C2992" s="8">
        <v>20.584240000000001</v>
      </c>
      <c r="D2992" s="8">
        <v>48</v>
      </c>
      <c r="E2992" s="8">
        <v>0</v>
      </c>
      <c r="F2992" s="8">
        <v>0</v>
      </c>
      <c r="G2992" s="8">
        <v>11</v>
      </c>
      <c r="H2992" s="8" t="s">
        <v>6305</v>
      </c>
      <c r="I2992" s="8">
        <v>525.9375</v>
      </c>
      <c r="J2992" s="3">
        <f t="shared" si="46"/>
        <v>43747.673294432869</v>
      </c>
    </row>
    <row r="2993" spans="1:10" x14ac:dyDescent="0.25">
      <c r="A2993" s="5" t="s">
        <v>6306</v>
      </c>
      <c r="B2993" s="6">
        <v>390.625</v>
      </c>
      <c r="C2993" s="6">
        <v>20.531590000000001</v>
      </c>
      <c r="D2993" s="6">
        <v>51</v>
      </c>
      <c r="E2993" s="6">
        <v>0</v>
      </c>
      <c r="F2993" s="6">
        <v>0</v>
      </c>
      <c r="G2993" s="6">
        <v>14</v>
      </c>
      <c r="H2993" s="6" t="s">
        <v>6307</v>
      </c>
      <c r="I2993" s="6">
        <v>525.75</v>
      </c>
      <c r="J2993" s="2">
        <f t="shared" si="46"/>
        <v>43747.673366099531</v>
      </c>
    </row>
    <row r="2994" spans="1:10" x14ac:dyDescent="0.25">
      <c r="A2994" s="7" t="s">
        <v>6308</v>
      </c>
      <c r="B2994" s="8">
        <v>390.625</v>
      </c>
      <c r="C2994" s="8">
        <v>20.531590000000001</v>
      </c>
      <c r="D2994" s="8">
        <v>51</v>
      </c>
      <c r="E2994" s="8">
        <v>0</v>
      </c>
      <c r="F2994" s="8">
        <v>0</v>
      </c>
      <c r="G2994" s="8">
        <v>11</v>
      </c>
      <c r="H2994" s="8" t="s">
        <v>6309</v>
      </c>
      <c r="I2994" s="8">
        <v>525.9375</v>
      </c>
      <c r="J2994" s="3">
        <f t="shared" si="46"/>
        <v>43747.673449641203</v>
      </c>
    </row>
    <row r="2995" spans="1:10" x14ac:dyDescent="0.25">
      <c r="A2995" s="5" t="s">
        <v>6310</v>
      </c>
      <c r="B2995" s="6">
        <v>390.625</v>
      </c>
      <c r="C2995" s="6">
        <v>20.584240000000001</v>
      </c>
      <c r="D2995" s="6">
        <v>51</v>
      </c>
      <c r="E2995" s="6">
        <v>0</v>
      </c>
      <c r="F2995" s="6">
        <v>0</v>
      </c>
      <c r="G2995" s="6">
        <v>14</v>
      </c>
      <c r="H2995" s="6" t="s">
        <v>6311</v>
      </c>
      <c r="I2995" s="6">
        <v>525.9375</v>
      </c>
      <c r="J2995" s="2">
        <f t="shared" si="46"/>
        <v>43747.673521053242</v>
      </c>
    </row>
    <row r="2996" spans="1:10" x14ac:dyDescent="0.25">
      <c r="A2996" s="7" t="s">
        <v>6312</v>
      </c>
      <c r="B2996" s="8">
        <v>390.625</v>
      </c>
      <c r="C2996" s="8">
        <v>20.584240000000001</v>
      </c>
      <c r="D2996" s="8">
        <v>49</v>
      </c>
      <c r="E2996" s="8">
        <v>0</v>
      </c>
      <c r="F2996" s="8">
        <v>0</v>
      </c>
      <c r="G2996" s="8">
        <v>12</v>
      </c>
      <c r="H2996" s="8" t="s">
        <v>6313</v>
      </c>
      <c r="I2996" s="8">
        <v>525.9375</v>
      </c>
      <c r="J2996" s="3">
        <f t="shared" si="46"/>
        <v>43747.67360451389</v>
      </c>
    </row>
    <row r="2997" spans="1:10" x14ac:dyDescent="0.25">
      <c r="A2997" s="5" t="s">
        <v>6314</v>
      </c>
      <c r="B2997" s="6">
        <v>390.625</v>
      </c>
      <c r="C2997" s="6">
        <v>20.584240000000001</v>
      </c>
      <c r="D2997" s="6">
        <v>49</v>
      </c>
      <c r="E2997" s="6">
        <v>0</v>
      </c>
      <c r="F2997" s="6">
        <v>0</v>
      </c>
      <c r="G2997" s="6">
        <v>15</v>
      </c>
      <c r="H2997" s="6" t="s">
        <v>6315</v>
      </c>
      <c r="I2997" s="6">
        <v>525.9375</v>
      </c>
      <c r="J2997" s="2">
        <f t="shared" si="46"/>
        <v>43747.673687974537</v>
      </c>
    </row>
    <row r="2998" spans="1:10" x14ac:dyDescent="0.25">
      <c r="A2998" s="7" t="s">
        <v>6316</v>
      </c>
      <c r="B2998" s="8">
        <v>409.375</v>
      </c>
      <c r="C2998" s="8">
        <v>20.584240000000001</v>
      </c>
      <c r="D2998" s="8">
        <v>49</v>
      </c>
      <c r="E2998" s="8">
        <v>0</v>
      </c>
      <c r="F2998" s="8">
        <v>0</v>
      </c>
      <c r="G2998" s="8">
        <v>11</v>
      </c>
      <c r="H2998" s="8" t="s">
        <v>6317</v>
      </c>
      <c r="I2998" s="8">
        <v>531.5625</v>
      </c>
      <c r="J2998" s="3">
        <f t="shared" si="46"/>
        <v>43747.673771296293</v>
      </c>
    </row>
    <row r="2999" spans="1:10" x14ac:dyDescent="0.25">
      <c r="A2999" s="5" t="s">
        <v>6318</v>
      </c>
      <c r="B2999" s="6">
        <v>393.75</v>
      </c>
      <c r="C2999" s="6">
        <v>20.584240000000001</v>
      </c>
      <c r="D2999" s="6">
        <v>49</v>
      </c>
      <c r="E2999" s="6">
        <v>0</v>
      </c>
      <c r="F2999" s="6">
        <v>0</v>
      </c>
      <c r="G2999" s="6">
        <v>2</v>
      </c>
      <c r="H2999" s="6" t="s">
        <v>6319</v>
      </c>
      <c r="I2999" s="6">
        <v>526.6875</v>
      </c>
      <c r="J2999" s="2">
        <f t="shared" si="46"/>
        <v>43747.673842974538</v>
      </c>
    </row>
    <row r="3000" spans="1:10" x14ac:dyDescent="0.25">
      <c r="A3000" s="7" t="s">
        <v>6320</v>
      </c>
      <c r="B3000" s="8">
        <v>393.75</v>
      </c>
      <c r="C3000" s="8">
        <v>20.531590000000001</v>
      </c>
      <c r="D3000" s="8">
        <v>50</v>
      </c>
      <c r="E3000" s="8">
        <v>0</v>
      </c>
      <c r="F3000" s="8">
        <v>0</v>
      </c>
      <c r="G3000" s="8">
        <v>11</v>
      </c>
      <c r="H3000" s="8" t="s">
        <v>6321</v>
      </c>
      <c r="I3000" s="8">
        <v>526.6875</v>
      </c>
      <c r="J3000" s="3">
        <f t="shared" si="46"/>
        <v>43747.673926782409</v>
      </c>
    </row>
    <row r="3001" spans="1:10" x14ac:dyDescent="0.25">
      <c r="A3001" s="5" t="s">
        <v>6322</v>
      </c>
      <c r="B3001" s="6">
        <v>393.75</v>
      </c>
      <c r="C3001" s="6">
        <v>20.531590000000001</v>
      </c>
      <c r="D3001" s="6">
        <v>51</v>
      </c>
      <c r="E3001" s="6">
        <v>0</v>
      </c>
      <c r="F3001" s="6">
        <v>0</v>
      </c>
      <c r="G3001" s="6">
        <v>13</v>
      </c>
      <c r="H3001" s="6" t="s">
        <v>6323</v>
      </c>
      <c r="I3001" s="6">
        <v>526.6875</v>
      </c>
      <c r="J3001" s="2">
        <f t="shared" si="46"/>
        <v>43747.674009988426</v>
      </c>
    </row>
    <row r="3002" spans="1:10" x14ac:dyDescent="0.25">
      <c r="A3002" s="7" t="s">
        <v>6324</v>
      </c>
      <c r="B3002" s="8">
        <v>393.75</v>
      </c>
      <c r="C3002" s="8">
        <v>20.531590000000001</v>
      </c>
      <c r="D3002" s="8">
        <v>50</v>
      </c>
      <c r="E3002" s="8">
        <v>0</v>
      </c>
      <c r="F3002" s="8">
        <v>0</v>
      </c>
      <c r="G3002" s="8">
        <v>11</v>
      </c>
      <c r="H3002" s="8" t="s">
        <v>6325</v>
      </c>
      <c r="I3002" s="8">
        <v>526.6875</v>
      </c>
      <c r="J3002" s="3">
        <f t="shared" si="46"/>
        <v>43747.674093449074</v>
      </c>
    </row>
    <row r="3003" spans="1:10" x14ac:dyDescent="0.25">
      <c r="A3003" s="5" t="s">
        <v>6326</v>
      </c>
      <c r="B3003" s="6">
        <v>415.625</v>
      </c>
      <c r="C3003" s="6">
        <v>20.584240000000001</v>
      </c>
      <c r="D3003" s="6">
        <v>51</v>
      </c>
      <c r="E3003" s="6">
        <v>0</v>
      </c>
      <c r="F3003" s="6">
        <v>0</v>
      </c>
      <c r="G3003" s="6">
        <v>16</v>
      </c>
      <c r="H3003" s="6" t="s">
        <v>6327</v>
      </c>
      <c r="I3003" s="6">
        <v>533.8125</v>
      </c>
      <c r="J3003" s="2">
        <f t="shared" si="46"/>
        <v>43747.674176875</v>
      </c>
    </row>
    <row r="3004" spans="1:10" x14ac:dyDescent="0.25">
      <c r="A3004" s="7" t="s">
        <v>6328</v>
      </c>
      <c r="B3004" s="8">
        <v>393.75</v>
      </c>
      <c r="C3004" s="8">
        <v>20.584240000000001</v>
      </c>
      <c r="D3004" s="8">
        <v>50</v>
      </c>
      <c r="E3004" s="8">
        <v>0</v>
      </c>
      <c r="F3004" s="8">
        <v>0</v>
      </c>
      <c r="G3004" s="8">
        <v>20</v>
      </c>
      <c r="H3004" s="8" t="s">
        <v>6329</v>
      </c>
      <c r="I3004" s="8">
        <v>526.5</v>
      </c>
      <c r="J3004" s="3">
        <f t="shared" si="46"/>
        <v>43747.674260081018</v>
      </c>
    </row>
    <row r="3005" spans="1:10" x14ac:dyDescent="0.25">
      <c r="A3005" s="5" t="s">
        <v>6330</v>
      </c>
      <c r="B3005" s="6">
        <v>393.75</v>
      </c>
      <c r="C3005" s="6">
        <v>20.584240000000001</v>
      </c>
      <c r="D3005" s="6">
        <v>50</v>
      </c>
      <c r="E3005" s="6">
        <v>0</v>
      </c>
      <c r="F3005" s="6">
        <v>0</v>
      </c>
      <c r="G3005" s="6">
        <v>17</v>
      </c>
      <c r="H3005" s="6" t="s">
        <v>6331</v>
      </c>
      <c r="I3005" s="6">
        <v>526.6875</v>
      </c>
      <c r="J3005" s="2">
        <f t="shared" si="46"/>
        <v>43747.674331736103</v>
      </c>
    </row>
    <row r="3006" spans="1:10" x14ac:dyDescent="0.25">
      <c r="A3006" s="7" t="s">
        <v>6332</v>
      </c>
      <c r="B3006" s="8">
        <v>393.75</v>
      </c>
      <c r="C3006" s="8">
        <v>20.584240000000001</v>
      </c>
      <c r="D3006" s="8">
        <v>48</v>
      </c>
      <c r="E3006" s="8">
        <v>0</v>
      </c>
      <c r="F3006" s="8">
        <v>0</v>
      </c>
      <c r="G3006" s="8">
        <v>9</v>
      </c>
      <c r="H3006" s="8" t="s">
        <v>6333</v>
      </c>
      <c r="I3006" s="8">
        <v>526.6875</v>
      </c>
      <c r="J3006" s="3">
        <f t="shared" si="46"/>
        <v>43747.674415648151</v>
      </c>
    </row>
    <row r="3007" spans="1:10" x14ac:dyDescent="0.25">
      <c r="A3007" s="5" t="s">
        <v>6334</v>
      </c>
      <c r="B3007" s="6">
        <v>393.75</v>
      </c>
      <c r="C3007" s="6">
        <v>20.584240000000001</v>
      </c>
      <c r="D3007" s="6">
        <v>47</v>
      </c>
      <c r="E3007" s="6">
        <v>0</v>
      </c>
      <c r="F3007" s="6">
        <v>0</v>
      </c>
      <c r="G3007" s="6">
        <v>12</v>
      </c>
      <c r="H3007" s="6" t="s">
        <v>6335</v>
      </c>
      <c r="I3007" s="6">
        <v>526.5</v>
      </c>
      <c r="J3007" s="2">
        <f t="shared" si="46"/>
        <v>43747.674498854169</v>
      </c>
    </row>
    <row r="3008" spans="1:10" x14ac:dyDescent="0.25">
      <c r="A3008" s="7" t="s">
        <v>6336</v>
      </c>
      <c r="B3008" s="8">
        <v>393.75</v>
      </c>
      <c r="C3008" s="8">
        <v>20.584240000000001</v>
      </c>
      <c r="D3008" s="8">
        <v>46</v>
      </c>
      <c r="E3008" s="8">
        <v>0</v>
      </c>
      <c r="F3008" s="8">
        <v>0</v>
      </c>
      <c r="G3008" s="8">
        <v>8</v>
      </c>
      <c r="H3008" s="8" t="s">
        <v>6337</v>
      </c>
      <c r="I3008" s="8">
        <v>526.6875</v>
      </c>
      <c r="J3008" s="3">
        <f t="shared" si="46"/>
        <v>43747.674582337961</v>
      </c>
    </row>
    <row r="3009" spans="1:10" x14ac:dyDescent="0.25">
      <c r="A3009" s="5" t="s">
        <v>6338</v>
      </c>
      <c r="B3009" s="6">
        <v>393.75</v>
      </c>
      <c r="C3009" s="6">
        <v>20.584240000000001</v>
      </c>
      <c r="D3009" s="6">
        <v>46</v>
      </c>
      <c r="E3009" s="6">
        <v>0</v>
      </c>
      <c r="F3009" s="6">
        <v>0</v>
      </c>
      <c r="G3009" s="6">
        <v>10</v>
      </c>
      <c r="H3009" s="6" t="s">
        <v>6339</v>
      </c>
      <c r="I3009" s="6">
        <v>526.6875</v>
      </c>
      <c r="J3009" s="2">
        <f t="shared" si="46"/>
        <v>43747.674665763887</v>
      </c>
    </row>
    <row r="3010" spans="1:10" x14ac:dyDescent="0.25">
      <c r="A3010" s="7" t="s">
        <v>6340</v>
      </c>
      <c r="B3010" s="8">
        <v>393.75</v>
      </c>
      <c r="C3010" s="8">
        <v>20.531590000000001</v>
      </c>
      <c r="D3010" s="8">
        <v>47</v>
      </c>
      <c r="E3010" s="8">
        <v>0</v>
      </c>
      <c r="F3010" s="8">
        <v>0</v>
      </c>
      <c r="G3010" s="8">
        <v>14</v>
      </c>
      <c r="H3010" s="8" t="s">
        <v>6341</v>
      </c>
      <c r="I3010" s="8">
        <v>526.6875</v>
      </c>
      <c r="J3010" s="3">
        <f t="shared" ref="J3010:J3073" si="47">(H3010/86400000)+25569+(7/24)</f>
        <v>43747.674748993049</v>
      </c>
    </row>
    <row r="3011" spans="1:10" x14ac:dyDescent="0.25">
      <c r="A3011" s="5" t="s">
        <v>6342</v>
      </c>
      <c r="B3011" s="6">
        <v>393.75</v>
      </c>
      <c r="C3011" s="6">
        <v>20.584240000000001</v>
      </c>
      <c r="D3011" s="6">
        <v>47</v>
      </c>
      <c r="E3011" s="6">
        <v>0</v>
      </c>
      <c r="F3011" s="6">
        <v>0</v>
      </c>
      <c r="G3011" s="6">
        <v>8</v>
      </c>
      <c r="H3011" s="6" t="s">
        <v>6343</v>
      </c>
      <c r="I3011" s="6">
        <v>526.6875</v>
      </c>
      <c r="J3011" s="2">
        <f t="shared" si="47"/>
        <v>43747.674820624998</v>
      </c>
    </row>
    <row r="3012" spans="1:10" x14ac:dyDescent="0.25">
      <c r="A3012" s="7" t="s">
        <v>6344</v>
      </c>
      <c r="B3012" s="8">
        <v>393.75</v>
      </c>
      <c r="C3012" s="8">
        <v>20.584240000000001</v>
      </c>
      <c r="D3012" s="8">
        <v>46</v>
      </c>
      <c r="E3012" s="8">
        <v>0</v>
      </c>
      <c r="F3012" s="8">
        <v>0</v>
      </c>
      <c r="G3012" s="8">
        <v>12</v>
      </c>
      <c r="H3012" s="8" t="s">
        <v>6345</v>
      </c>
      <c r="I3012" s="8">
        <v>526.6875</v>
      </c>
      <c r="J3012" s="3">
        <f t="shared" si="47"/>
        <v>43747.674904537031</v>
      </c>
    </row>
    <row r="3013" spans="1:10" x14ac:dyDescent="0.25">
      <c r="A3013" s="5" t="s">
        <v>6346</v>
      </c>
      <c r="B3013" s="6">
        <v>393.75</v>
      </c>
      <c r="C3013" s="6">
        <v>20.584240000000001</v>
      </c>
      <c r="D3013" s="6">
        <v>46</v>
      </c>
      <c r="E3013" s="6">
        <v>0</v>
      </c>
      <c r="F3013" s="6">
        <v>0</v>
      </c>
      <c r="G3013" s="6">
        <v>9</v>
      </c>
      <c r="H3013" s="6" t="s">
        <v>6347</v>
      </c>
      <c r="I3013" s="6">
        <v>526.6875</v>
      </c>
      <c r="J3013" s="2">
        <f t="shared" si="47"/>
        <v>43747.674987754632</v>
      </c>
    </row>
    <row r="3014" spans="1:10" x14ac:dyDescent="0.25">
      <c r="A3014" s="7" t="s">
        <v>6348</v>
      </c>
      <c r="B3014" s="8">
        <v>393.75</v>
      </c>
      <c r="C3014" s="8">
        <v>20.584240000000001</v>
      </c>
      <c r="D3014" s="8">
        <v>47</v>
      </c>
      <c r="E3014" s="8">
        <v>0</v>
      </c>
      <c r="F3014" s="8">
        <v>0</v>
      </c>
      <c r="G3014" s="8">
        <v>9</v>
      </c>
      <c r="H3014" s="8" t="s">
        <v>6349</v>
      </c>
      <c r="I3014" s="8">
        <v>526.6875</v>
      </c>
      <c r="J3014" s="3">
        <f t="shared" si="47"/>
        <v>43747.675071215279</v>
      </c>
    </row>
    <row r="3015" spans="1:10" x14ac:dyDescent="0.25">
      <c r="A3015" s="5" t="s">
        <v>6350</v>
      </c>
      <c r="B3015" s="6">
        <v>393.75</v>
      </c>
      <c r="C3015" s="6">
        <v>20.531590000000001</v>
      </c>
      <c r="D3015" s="6">
        <v>47</v>
      </c>
      <c r="E3015" s="6">
        <v>0</v>
      </c>
      <c r="F3015" s="6">
        <v>0</v>
      </c>
      <c r="G3015" s="6">
        <v>11</v>
      </c>
      <c r="H3015" s="6" t="s">
        <v>6351</v>
      </c>
      <c r="I3015" s="6">
        <v>526.6875</v>
      </c>
      <c r="J3015" s="2">
        <f t="shared" si="47"/>
        <v>43747.675154652774</v>
      </c>
    </row>
    <row r="3016" spans="1:10" x14ac:dyDescent="0.25">
      <c r="A3016" s="7" t="s">
        <v>6352</v>
      </c>
      <c r="B3016" s="8">
        <v>393.75</v>
      </c>
      <c r="C3016" s="8">
        <v>20.584240000000001</v>
      </c>
      <c r="D3016" s="8">
        <v>48</v>
      </c>
      <c r="E3016" s="8">
        <v>0</v>
      </c>
      <c r="F3016" s="8">
        <v>0</v>
      </c>
      <c r="G3016" s="8">
        <v>11</v>
      </c>
      <c r="H3016" s="8" t="s">
        <v>6353</v>
      </c>
      <c r="I3016" s="8">
        <v>526.5</v>
      </c>
      <c r="J3016" s="3">
        <f t="shared" si="47"/>
        <v>43747.675237870368</v>
      </c>
    </row>
    <row r="3017" spans="1:10" x14ac:dyDescent="0.25">
      <c r="A3017" s="5" t="s">
        <v>6354</v>
      </c>
      <c r="B3017" s="6">
        <v>393.75</v>
      </c>
      <c r="C3017" s="6">
        <v>20.584240000000001</v>
      </c>
      <c r="D3017" s="6">
        <v>53</v>
      </c>
      <c r="E3017" s="6">
        <v>0</v>
      </c>
      <c r="F3017" s="6">
        <v>0</v>
      </c>
      <c r="G3017" s="6">
        <v>14</v>
      </c>
      <c r="H3017" s="6" t="s">
        <v>6355</v>
      </c>
      <c r="I3017" s="6">
        <v>526.5</v>
      </c>
      <c r="J3017" s="2">
        <f t="shared" si="47"/>
        <v>43747.675309756938</v>
      </c>
    </row>
    <row r="3018" spans="1:10" x14ac:dyDescent="0.25">
      <c r="A3018" s="7" t="s">
        <v>6356</v>
      </c>
      <c r="B3018" s="8">
        <v>393.75</v>
      </c>
      <c r="C3018" s="8">
        <v>20.584240000000001</v>
      </c>
      <c r="D3018" s="8">
        <v>51</v>
      </c>
      <c r="E3018" s="8">
        <v>0</v>
      </c>
      <c r="F3018" s="8">
        <v>0</v>
      </c>
      <c r="G3018" s="8">
        <v>14</v>
      </c>
      <c r="H3018" s="8" t="s">
        <v>6357</v>
      </c>
      <c r="I3018" s="8">
        <v>526.5</v>
      </c>
      <c r="J3018" s="3">
        <f t="shared" si="47"/>
        <v>43747.675393090271</v>
      </c>
    </row>
    <row r="3019" spans="1:10" x14ac:dyDescent="0.25">
      <c r="A3019" s="5" t="s">
        <v>6358</v>
      </c>
      <c r="B3019" s="6">
        <v>393.75</v>
      </c>
      <c r="C3019" s="6">
        <v>20.584240000000001</v>
      </c>
      <c r="D3019" s="6">
        <v>51</v>
      </c>
      <c r="E3019" s="6">
        <v>0</v>
      </c>
      <c r="F3019" s="6">
        <v>0</v>
      </c>
      <c r="G3019" s="6">
        <v>7</v>
      </c>
      <c r="H3019" s="6" t="s">
        <v>6359</v>
      </c>
      <c r="I3019" s="6">
        <v>526.6875</v>
      </c>
      <c r="J3019" s="2">
        <f t="shared" si="47"/>
        <v>43747.675476643512</v>
      </c>
    </row>
    <row r="3020" spans="1:10" x14ac:dyDescent="0.25">
      <c r="A3020" s="7" t="s">
        <v>6360</v>
      </c>
      <c r="B3020" s="8">
        <v>393.75</v>
      </c>
      <c r="C3020" s="8">
        <v>20.584240000000001</v>
      </c>
      <c r="D3020" s="8">
        <v>50</v>
      </c>
      <c r="E3020" s="8">
        <v>0</v>
      </c>
      <c r="F3020" s="8">
        <v>0</v>
      </c>
      <c r="G3020" s="8">
        <v>14</v>
      </c>
      <c r="H3020" s="8" t="s">
        <v>6361</v>
      </c>
      <c r="I3020" s="8">
        <v>526.6875</v>
      </c>
      <c r="J3020" s="3">
        <f t="shared" si="47"/>
        <v>43747.675559988427</v>
      </c>
    </row>
    <row r="3021" spans="1:10" x14ac:dyDescent="0.25">
      <c r="A3021" s="5" t="s">
        <v>6362</v>
      </c>
      <c r="B3021" s="6">
        <v>393.75</v>
      </c>
      <c r="C3021" s="6">
        <v>20.584240000000001</v>
      </c>
      <c r="D3021" s="6">
        <v>49</v>
      </c>
      <c r="E3021" s="6">
        <v>0</v>
      </c>
      <c r="F3021" s="6">
        <v>0</v>
      </c>
      <c r="G3021" s="6">
        <v>11</v>
      </c>
      <c r="H3021" s="6" t="s">
        <v>6363</v>
      </c>
      <c r="I3021" s="6">
        <v>526.6875</v>
      </c>
      <c r="J3021" s="2">
        <f t="shared" si="47"/>
        <v>43747.675643518516</v>
      </c>
    </row>
    <row r="3022" spans="1:10" x14ac:dyDescent="0.25">
      <c r="A3022" s="7" t="s">
        <v>6364</v>
      </c>
      <c r="B3022" s="8">
        <v>393.75</v>
      </c>
      <c r="C3022" s="8">
        <v>20.584240000000001</v>
      </c>
      <c r="D3022" s="8">
        <v>49</v>
      </c>
      <c r="E3022" s="8">
        <v>0</v>
      </c>
      <c r="F3022" s="8">
        <v>0</v>
      </c>
      <c r="G3022" s="8">
        <v>16</v>
      </c>
      <c r="H3022" s="8" t="s">
        <v>6365</v>
      </c>
      <c r="I3022" s="8">
        <v>526.6875</v>
      </c>
      <c r="J3022" s="3">
        <f t="shared" si="47"/>
        <v>43747.675715289348</v>
      </c>
    </row>
    <row r="3023" spans="1:10" x14ac:dyDescent="0.25">
      <c r="A3023" s="5" t="s">
        <v>6366</v>
      </c>
      <c r="B3023" s="6">
        <v>393.75</v>
      </c>
      <c r="C3023" s="6">
        <v>20.584240000000001</v>
      </c>
      <c r="D3023" s="6">
        <v>49</v>
      </c>
      <c r="E3023" s="6">
        <v>0</v>
      </c>
      <c r="F3023" s="6">
        <v>0</v>
      </c>
      <c r="G3023" s="6">
        <v>14</v>
      </c>
      <c r="H3023" s="6" t="s">
        <v>6367</v>
      </c>
      <c r="I3023" s="6">
        <v>526.6875</v>
      </c>
      <c r="J3023" s="2">
        <f t="shared" si="47"/>
        <v>43747.675798530086</v>
      </c>
    </row>
    <row r="3024" spans="1:10" x14ac:dyDescent="0.25">
      <c r="A3024" s="7" t="s">
        <v>6368</v>
      </c>
      <c r="B3024" s="8">
        <v>393.75</v>
      </c>
      <c r="C3024" s="8">
        <v>20.584240000000001</v>
      </c>
      <c r="D3024" s="8">
        <v>49</v>
      </c>
      <c r="E3024" s="8">
        <v>0</v>
      </c>
      <c r="F3024" s="8">
        <v>0</v>
      </c>
      <c r="G3024" s="8">
        <v>10</v>
      </c>
      <c r="H3024" s="8" t="s">
        <v>6369</v>
      </c>
      <c r="I3024" s="8">
        <v>526.6875</v>
      </c>
      <c r="J3024" s="3">
        <f t="shared" si="47"/>
        <v>43747.675882303236</v>
      </c>
    </row>
    <row r="3025" spans="1:10" x14ac:dyDescent="0.25">
      <c r="A3025" s="5" t="s">
        <v>6370</v>
      </c>
      <c r="B3025" s="6">
        <v>412.5</v>
      </c>
      <c r="C3025" s="6">
        <v>20.584240000000001</v>
      </c>
      <c r="D3025" s="6">
        <v>48</v>
      </c>
      <c r="E3025" s="6">
        <v>0</v>
      </c>
      <c r="F3025" s="6">
        <v>0</v>
      </c>
      <c r="G3025" s="6">
        <v>15</v>
      </c>
      <c r="H3025" s="6" t="s">
        <v>6371</v>
      </c>
      <c r="I3025" s="6">
        <v>532.3125</v>
      </c>
      <c r="J3025" s="2">
        <f t="shared" si="47"/>
        <v>43747.67597744213</v>
      </c>
    </row>
    <row r="3026" spans="1:10" x14ac:dyDescent="0.25">
      <c r="A3026" s="7" t="s">
        <v>6372</v>
      </c>
      <c r="B3026" s="8">
        <v>393.75</v>
      </c>
      <c r="C3026" s="8">
        <v>20.584240000000001</v>
      </c>
      <c r="D3026" s="8">
        <v>47</v>
      </c>
      <c r="E3026" s="8">
        <v>0</v>
      </c>
      <c r="F3026" s="8">
        <v>0</v>
      </c>
      <c r="G3026" s="8">
        <v>12</v>
      </c>
      <c r="H3026" s="8" t="s">
        <v>6373</v>
      </c>
      <c r="I3026" s="8">
        <v>526.6875</v>
      </c>
      <c r="J3026" s="3">
        <f t="shared" si="47"/>
        <v>43747.67606100694</v>
      </c>
    </row>
    <row r="3027" spans="1:10" x14ac:dyDescent="0.25">
      <c r="A3027" s="5" t="s">
        <v>6374</v>
      </c>
      <c r="B3027" s="6">
        <v>393.75</v>
      </c>
      <c r="C3027" s="6">
        <v>20.584240000000001</v>
      </c>
      <c r="D3027" s="6">
        <v>48</v>
      </c>
      <c r="E3027" s="6">
        <v>0</v>
      </c>
      <c r="F3027" s="6">
        <v>0</v>
      </c>
      <c r="G3027" s="6">
        <v>11</v>
      </c>
      <c r="H3027" s="6" t="s">
        <v>6375</v>
      </c>
      <c r="I3027" s="6">
        <v>526.6875</v>
      </c>
      <c r="J3027" s="2">
        <f t="shared" si="47"/>
        <v>43747.676132534725</v>
      </c>
    </row>
    <row r="3028" spans="1:10" x14ac:dyDescent="0.25">
      <c r="A3028" s="7" t="s">
        <v>6376</v>
      </c>
      <c r="B3028" s="8">
        <v>393.75</v>
      </c>
      <c r="C3028" s="8">
        <v>20.584240000000001</v>
      </c>
      <c r="D3028" s="8">
        <v>48</v>
      </c>
      <c r="E3028" s="8">
        <v>0</v>
      </c>
      <c r="F3028" s="8">
        <v>0</v>
      </c>
      <c r="G3028" s="8">
        <v>18</v>
      </c>
      <c r="H3028" s="8" t="s">
        <v>6377</v>
      </c>
      <c r="I3028" s="8">
        <v>526.6875</v>
      </c>
      <c r="J3028" s="3">
        <f t="shared" si="47"/>
        <v>43747.676215636573</v>
      </c>
    </row>
    <row r="3029" spans="1:10" x14ac:dyDescent="0.25">
      <c r="A3029" s="5" t="s">
        <v>6378</v>
      </c>
      <c r="B3029" s="6">
        <v>393.75</v>
      </c>
      <c r="C3029" s="6">
        <v>20.584240000000001</v>
      </c>
      <c r="D3029" s="6">
        <v>48</v>
      </c>
      <c r="E3029" s="6">
        <v>0</v>
      </c>
      <c r="F3029" s="6">
        <v>0</v>
      </c>
      <c r="G3029" s="6">
        <v>10</v>
      </c>
      <c r="H3029" s="6" t="s">
        <v>6379</v>
      </c>
      <c r="I3029" s="6">
        <v>526.6875</v>
      </c>
      <c r="J3029" s="2">
        <f t="shared" si="47"/>
        <v>43747.676299432867</v>
      </c>
    </row>
    <row r="3030" spans="1:10" x14ac:dyDescent="0.25">
      <c r="A3030" s="7" t="s">
        <v>6380</v>
      </c>
      <c r="B3030" s="8">
        <v>393.75</v>
      </c>
      <c r="C3030" s="8">
        <v>20.584240000000001</v>
      </c>
      <c r="D3030" s="8">
        <v>47</v>
      </c>
      <c r="E3030" s="8">
        <v>0</v>
      </c>
      <c r="F3030" s="8">
        <v>0</v>
      </c>
      <c r="G3030" s="8">
        <v>15</v>
      </c>
      <c r="H3030" s="8" t="s">
        <v>6381</v>
      </c>
      <c r="I3030" s="8">
        <v>526.6875</v>
      </c>
      <c r="J3030" s="3">
        <f t="shared" si="47"/>
        <v>43747.676382881946</v>
      </c>
    </row>
    <row r="3031" spans="1:10" x14ac:dyDescent="0.25">
      <c r="A3031" s="5" t="s">
        <v>6382</v>
      </c>
      <c r="B3031" s="6">
        <v>390.625</v>
      </c>
      <c r="C3031" s="6">
        <v>20.584240000000001</v>
      </c>
      <c r="D3031" s="6">
        <v>54</v>
      </c>
      <c r="E3031" s="6">
        <v>0</v>
      </c>
      <c r="F3031" s="6">
        <v>0</v>
      </c>
      <c r="G3031" s="6">
        <v>12</v>
      </c>
      <c r="H3031" s="6" t="s">
        <v>6383</v>
      </c>
      <c r="I3031" s="6">
        <v>525.9375</v>
      </c>
      <c r="J3031" s="2">
        <f t="shared" si="47"/>
        <v>43747.676454432869</v>
      </c>
    </row>
    <row r="3032" spans="1:10" x14ac:dyDescent="0.25">
      <c r="A3032" s="7" t="s">
        <v>6384</v>
      </c>
      <c r="B3032" s="8">
        <v>390.625</v>
      </c>
      <c r="C3032" s="8">
        <v>20.584240000000001</v>
      </c>
      <c r="D3032" s="8">
        <v>53</v>
      </c>
      <c r="E3032" s="8">
        <v>0</v>
      </c>
      <c r="F3032" s="8">
        <v>0</v>
      </c>
      <c r="G3032" s="8">
        <v>13</v>
      </c>
      <c r="H3032" s="8" t="s">
        <v>6385</v>
      </c>
      <c r="I3032" s="8">
        <v>525.75</v>
      </c>
      <c r="J3032" s="3">
        <f t="shared" si="47"/>
        <v>43747.676537754633</v>
      </c>
    </row>
    <row r="3033" spans="1:10" x14ac:dyDescent="0.25">
      <c r="A3033" s="5" t="s">
        <v>6386</v>
      </c>
      <c r="B3033" s="6">
        <v>409.375</v>
      </c>
      <c r="C3033" s="6">
        <v>20.584240000000001</v>
      </c>
      <c r="D3033" s="6">
        <v>53</v>
      </c>
      <c r="E3033" s="6">
        <v>0</v>
      </c>
      <c r="F3033" s="6">
        <v>0</v>
      </c>
      <c r="G3033" s="6">
        <v>23</v>
      </c>
      <c r="H3033" s="6" t="s">
        <v>6387</v>
      </c>
      <c r="I3033" s="6">
        <v>531.75</v>
      </c>
      <c r="J3033" s="2">
        <f t="shared" si="47"/>
        <v>43747.67662140046</v>
      </c>
    </row>
    <row r="3034" spans="1:10" x14ac:dyDescent="0.25">
      <c r="A3034" s="7" t="s">
        <v>6388</v>
      </c>
      <c r="B3034" s="8">
        <v>393.75</v>
      </c>
      <c r="C3034" s="8">
        <v>20.531590000000001</v>
      </c>
      <c r="D3034" s="8">
        <v>52</v>
      </c>
      <c r="E3034" s="8">
        <v>0</v>
      </c>
      <c r="F3034" s="8">
        <v>0</v>
      </c>
      <c r="G3034" s="8">
        <v>4</v>
      </c>
      <c r="H3034" s="8" t="s">
        <v>6389</v>
      </c>
      <c r="I3034" s="8">
        <v>526.6875</v>
      </c>
      <c r="J3034" s="3">
        <f t="shared" si="47"/>
        <v>43747.676704513891</v>
      </c>
    </row>
    <row r="3035" spans="1:10" x14ac:dyDescent="0.25">
      <c r="A3035" s="5" t="s">
        <v>6390</v>
      </c>
      <c r="B3035" s="6">
        <v>390.625</v>
      </c>
      <c r="C3035" s="6">
        <v>20.584240000000001</v>
      </c>
      <c r="D3035" s="6">
        <v>52</v>
      </c>
      <c r="E3035" s="6">
        <v>0</v>
      </c>
      <c r="F3035" s="6">
        <v>0</v>
      </c>
      <c r="G3035" s="6">
        <v>5</v>
      </c>
      <c r="H3035" s="6" t="s">
        <v>6391</v>
      </c>
      <c r="I3035" s="6">
        <v>525.75</v>
      </c>
      <c r="J3035" s="2">
        <f t="shared" si="47"/>
        <v>43747.676776168977</v>
      </c>
    </row>
    <row r="3036" spans="1:10" x14ac:dyDescent="0.25">
      <c r="A3036" s="7" t="s">
        <v>6392</v>
      </c>
      <c r="B3036" s="8">
        <v>390.625</v>
      </c>
      <c r="C3036" s="8">
        <v>20.584240000000001</v>
      </c>
      <c r="D3036" s="8">
        <v>50</v>
      </c>
      <c r="E3036" s="8">
        <v>0</v>
      </c>
      <c r="F3036" s="8">
        <v>0</v>
      </c>
      <c r="G3036" s="8">
        <v>6</v>
      </c>
      <c r="H3036" s="8" t="s">
        <v>6393</v>
      </c>
      <c r="I3036" s="8">
        <v>525.9375</v>
      </c>
      <c r="J3036" s="3">
        <f t="shared" si="47"/>
        <v>43747.676859965279</v>
      </c>
    </row>
    <row r="3037" spans="1:10" x14ac:dyDescent="0.25">
      <c r="A3037" s="5" t="s">
        <v>6394</v>
      </c>
      <c r="B3037" s="6">
        <v>390.625</v>
      </c>
      <c r="C3037" s="6">
        <v>20.584240000000001</v>
      </c>
      <c r="D3037" s="6">
        <v>48</v>
      </c>
      <c r="E3037" s="6">
        <v>0</v>
      </c>
      <c r="F3037" s="6">
        <v>0</v>
      </c>
      <c r="G3037" s="6">
        <v>9</v>
      </c>
      <c r="H3037" s="6" t="s">
        <v>6395</v>
      </c>
      <c r="I3037" s="6">
        <v>525.75</v>
      </c>
      <c r="J3037" s="2">
        <f t="shared" si="47"/>
        <v>43747.676943298611</v>
      </c>
    </row>
    <row r="3038" spans="1:10" x14ac:dyDescent="0.25">
      <c r="A3038" s="7" t="s">
        <v>6396</v>
      </c>
      <c r="B3038" s="8">
        <v>409.375</v>
      </c>
      <c r="C3038" s="8">
        <v>20.584240000000001</v>
      </c>
      <c r="D3038" s="8">
        <v>48</v>
      </c>
      <c r="E3038" s="8">
        <v>0</v>
      </c>
      <c r="F3038" s="8">
        <v>0</v>
      </c>
      <c r="G3038" s="8">
        <v>15</v>
      </c>
      <c r="H3038" s="8" t="s">
        <v>6397</v>
      </c>
      <c r="I3038" s="8">
        <v>531.75</v>
      </c>
      <c r="J3038" s="3">
        <f t="shared" si="47"/>
        <v>43747.677026493053</v>
      </c>
    </row>
    <row r="3039" spans="1:10" x14ac:dyDescent="0.25">
      <c r="A3039" s="5" t="s">
        <v>6398</v>
      </c>
      <c r="B3039" s="6">
        <v>390.625</v>
      </c>
      <c r="C3039" s="6">
        <v>20.584240000000001</v>
      </c>
      <c r="D3039" s="6">
        <v>47</v>
      </c>
      <c r="E3039" s="6">
        <v>0</v>
      </c>
      <c r="F3039" s="6">
        <v>0</v>
      </c>
      <c r="G3039" s="6">
        <v>14</v>
      </c>
      <c r="H3039" s="6" t="s">
        <v>6399</v>
      </c>
      <c r="I3039" s="6">
        <v>525.75</v>
      </c>
      <c r="J3039" s="2">
        <f t="shared" si="47"/>
        <v>43747.677110312499</v>
      </c>
    </row>
    <row r="3040" spans="1:10" x14ac:dyDescent="0.25">
      <c r="A3040" s="7" t="s">
        <v>6400</v>
      </c>
      <c r="B3040" s="8">
        <v>390.625</v>
      </c>
      <c r="C3040" s="8">
        <v>20.584240000000001</v>
      </c>
      <c r="D3040" s="8">
        <v>43</v>
      </c>
      <c r="E3040" s="8">
        <v>0</v>
      </c>
      <c r="F3040" s="8">
        <v>0</v>
      </c>
      <c r="G3040" s="8">
        <v>12</v>
      </c>
      <c r="H3040" s="8" t="s">
        <v>6401</v>
      </c>
      <c r="I3040" s="8">
        <v>525.9375</v>
      </c>
      <c r="J3040" s="3">
        <f t="shared" si="47"/>
        <v>43747.677193402771</v>
      </c>
    </row>
    <row r="3041" spans="1:10" x14ac:dyDescent="0.25">
      <c r="A3041" s="5" t="s">
        <v>6402</v>
      </c>
      <c r="B3041" s="6">
        <v>390.625</v>
      </c>
      <c r="C3041" s="6">
        <v>20.531590000000001</v>
      </c>
      <c r="D3041" s="6">
        <v>43</v>
      </c>
      <c r="E3041" s="6">
        <v>0</v>
      </c>
      <c r="F3041" s="6">
        <v>0</v>
      </c>
      <c r="G3041" s="6">
        <v>9</v>
      </c>
      <c r="H3041" s="6" t="s">
        <v>6403</v>
      </c>
      <c r="I3041" s="6">
        <v>525.9375</v>
      </c>
      <c r="J3041" s="2">
        <f t="shared" si="47"/>
        <v>43747.677265057871</v>
      </c>
    </row>
    <row r="3042" spans="1:10" x14ac:dyDescent="0.25">
      <c r="A3042" s="7" t="s">
        <v>6404</v>
      </c>
      <c r="B3042" s="8">
        <v>390.625</v>
      </c>
      <c r="C3042" s="8">
        <v>20.584240000000001</v>
      </c>
      <c r="D3042" s="8">
        <v>48</v>
      </c>
      <c r="E3042" s="8">
        <v>0</v>
      </c>
      <c r="F3042" s="8">
        <v>0</v>
      </c>
      <c r="G3042" s="8">
        <v>11</v>
      </c>
      <c r="H3042" s="8" t="s">
        <v>6405</v>
      </c>
      <c r="I3042" s="8">
        <v>525.75</v>
      </c>
      <c r="J3042" s="3">
        <f t="shared" si="47"/>
        <v>43747.677348854166</v>
      </c>
    </row>
    <row r="3043" spans="1:10" x14ac:dyDescent="0.25">
      <c r="A3043" s="5" t="s">
        <v>6406</v>
      </c>
      <c r="B3043" s="6">
        <v>390.625</v>
      </c>
      <c r="C3043" s="6">
        <v>20.584240000000001</v>
      </c>
      <c r="D3043" s="6">
        <v>48</v>
      </c>
      <c r="E3043" s="6">
        <v>0</v>
      </c>
      <c r="F3043" s="6">
        <v>0</v>
      </c>
      <c r="G3043" s="6">
        <v>9</v>
      </c>
      <c r="H3043" s="6" t="s">
        <v>6407</v>
      </c>
      <c r="I3043" s="6">
        <v>525.9375</v>
      </c>
      <c r="J3043" s="2">
        <f t="shared" si="47"/>
        <v>43747.677420266198</v>
      </c>
    </row>
    <row r="3044" spans="1:10" x14ac:dyDescent="0.25">
      <c r="A3044" s="7" t="s">
        <v>6408</v>
      </c>
      <c r="B3044" s="8">
        <v>390.625</v>
      </c>
      <c r="C3044" s="8">
        <v>20.584240000000001</v>
      </c>
      <c r="D3044" s="8">
        <v>48</v>
      </c>
      <c r="E3044" s="8">
        <v>0</v>
      </c>
      <c r="F3044" s="8">
        <v>0</v>
      </c>
      <c r="G3044" s="8">
        <v>5</v>
      </c>
      <c r="H3044" s="8" t="s">
        <v>6409</v>
      </c>
      <c r="I3044" s="8">
        <v>525.9375</v>
      </c>
      <c r="J3044" s="3">
        <f t="shared" si="47"/>
        <v>43747.677491793984</v>
      </c>
    </row>
    <row r="3045" spans="1:10" x14ac:dyDescent="0.25">
      <c r="A3045" s="5" t="s">
        <v>6410</v>
      </c>
      <c r="B3045" s="6">
        <v>390.625</v>
      </c>
      <c r="C3045" s="6">
        <v>20.584240000000001</v>
      </c>
      <c r="D3045" s="6">
        <v>47</v>
      </c>
      <c r="E3045" s="6">
        <v>0</v>
      </c>
      <c r="F3045" s="6">
        <v>0</v>
      </c>
      <c r="G3045" s="6">
        <v>0</v>
      </c>
      <c r="H3045" s="6" t="s">
        <v>6411</v>
      </c>
      <c r="I3045" s="6">
        <v>525.75</v>
      </c>
      <c r="J3045" s="2">
        <f t="shared" si="47"/>
        <v>43747.677575810179</v>
      </c>
    </row>
    <row r="3046" spans="1:10" x14ac:dyDescent="0.25">
      <c r="A3046" s="7" t="s">
        <v>6412</v>
      </c>
      <c r="B3046" s="8">
        <v>390.625</v>
      </c>
      <c r="C3046" s="8">
        <v>20.531590000000001</v>
      </c>
      <c r="D3046" s="8">
        <v>47</v>
      </c>
      <c r="E3046" s="8">
        <v>0</v>
      </c>
      <c r="F3046" s="8">
        <v>0</v>
      </c>
      <c r="G3046" s="8">
        <v>7</v>
      </c>
      <c r="H3046" s="8" t="s">
        <v>6413</v>
      </c>
      <c r="I3046" s="8">
        <v>525.9375</v>
      </c>
      <c r="J3046" s="3">
        <f t="shared" si="47"/>
        <v>43747.677646539349</v>
      </c>
    </row>
    <row r="3047" spans="1:10" x14ac:dyDescent="0.25">
      <c r="A3047" s="5" t="s">
        <v>6414</v>
      </c>
      <c r="B3047" s="6">
        <v>390.625</v>
      </c>
      <c r="C3047" s="6">
        <v>20.584240000000001</v>
      </c>
      <c r="D3047" s="6">
        <v>47</v>
      </c>
      <c r="E3047" s="6">
        <v>0</v>
      </c>
      <c r="F3047" s="6">
        <v>0</v>
      </c>
      <c r="G3047" s="6">
        <v>14</v>
      </c>
      <c r="H3047" s="6" t="s">
        <v>6415</v>
      </c>
      <c r="I3047" s="6">
        <v>525.75</v>
      </c>
      <c r="J3047" s="2">
        <f t="shared" si="47"/>
        <v>43747.677730462958</v>
      </c>
    </row>
    <row r="3048" spans="1:10" x14ac:dyDescent="0.25">
      <c r="A3048" s="7" t="s">
        <v>6416</v>
      </c>
      <c r="B3048" s="8">
        <v>390.625</v>
      </c>
      <c r="C3048" s="8">
        <v>20.584240000000001</v>
      </c>
      <c r="D3048" s="8">
        <v>47</v>
      </c>
      <c r="E3048" s="8">
        <v>0</v>
      </c>
      <c r="F3048" s="8">
        <v>0</v>
      </c>
      <c r="G3048" s="8">
        <v>9</v>
      </c>
      <c r="H3048" s="8" t="s">
        <v>6417</v>
      </c>
      <c r="I3048" s="8">
        <v>525.9375</v>
      </c>
      <c r="J3048" s="3">
        <f t="shared" si="47"/>
        <v>43747.67781390046</v>
      </c>
    </row>
    <row r="3049" spans="1:10" x14ac:dyDescent="0.25">
      <c r="A3049" s="5" t="s">
        <v>6418</v>
      </c>
      <c r="B3049" s="6">
        <v>431.25</v>
      </c>
      <c r="C3049" s="6">
        <v>20.531590000000001</v>
      </c>
      <c r="D3049" s="6">
        <v>47</v>
      </c>
      <c r="E3049" s="6">
        <v>0</v>
      </c>
      <c r="F3049" s="6">
        <v>0</v>
      </c>
      <c r="G3049" s="6">
        <v>10</v>
      </c>
      <c r="H3049" s="6" t="s">
        <v>6419</v>
      </c>
      <c r="I3049" s="6">
        <v>538.125</v>
      </c>
      <c r="J3049" s="2">
        <f t="shared" si="47"/>
        <v>43747.677896990739</v>
      </c>
    </row>
    <row r="3050" spans="1:10" x14ac:dyDescent="0.25">
      <c r="A3050" s="7" t="s">
        <v>6420</v>
      </c>
      <c r="B3050" s="8">
        <v>390.625</v>
      </c>
      <c r="C3050" s="8">
        <v>20.531590000000001</v>
      </c>
      <c r="D3050" s="8">
        <v>47</v>
      </c>
      <c r="E3050" s="8">
        <v>0</v>
      </c>
      <c r="F3050" s="8">
        <v>0</v>
      </c>
      <c r="G3050" s="8">
        <v>9</v>
      </c>
      <c r="H3050" s="8" t="s">
        <v>6421</v>
      </c>
      <c r="I3050" s="8">
        <v>525.9375</v>
      </c>
      <c r="J3050" s="3">
        <f t="shared" si="47"/>
        <v>43747.677968750002</v>
      </c>
    </row>
    <row r="3051" spans="1:10" x14ac:dyDescent="0.25">
      <c r="A3051" s="5" t="s">
        <v>6422</v>
      </c>
      <c r="B3051" s="6">
        <v>390.625</v>
      </c>
      <c r="C3051" s="6">
        <v>20.584240000000001</v>
      </c>
      <c r="D3051" s="6">
        <v>47</v>
      </c>
      <c r="E3051" s="6">
        <v>0</v>
      </c>
      <c r="F3051" s="6">
        <v>0</v>
      </c>
      <c r="G3051" s="6">
        <v>8</v>
      </c>
      <c r="H3051" s="6" t="s">
        <v>6423</v>
      </c>
      <c r="I3051" s="6">
        <v>525.9375</v>
      </c>
      <c r="J3051" s="2">
        <f t="shared" si="47"/>
        <v>43747.678063888881</v>
      </c>
    </row>
    <row r="3052" spans="1:10" x14ac:dyDescent="0.25">
      <c r="A3052" s="7" t="s">
        <v>6424</v>
      </c>
      <c r="B3052" s="8">
        <v>390.625</v>
      </c>
      <c r="C3052" s="8">
        <v>20.584240000000001</v>
      </c>
      <c r="D3052" s="8">
        <v>47</v>
      </c>
      <c r="E3052" s="8">
        <v>0</v>
      </c>
      <c r="F3052" s="8">
        <v>0</v>
      </c>
      <c r="G3052" s="8">
        <v>15</v>
      </c>
      <c r="H3052" s="8" t="s">
        <v>6425</v>
      </c>
      <c r="I3052" s="8">
        <v>525.9375</v>
      </c>
      <c r="J3052" s="3">
        <f t="shared" si="47"/>
        <v>43747.678135428236</v>
      </c>
    </row>
    <row r="3053" spans="1:10" x14ac:dyDescent="0.25">
      <c r="A3053" s="5" t="s">
        <v>6426</v>
      </c>
      <c r="B3053" s="6">
        <v>390.625</v>
      </c>
      <c r="C3053" s="6">
        <v>20.584240000000001</v>
      </c>
      <c r="D3053" s="6">
        <v>48</v>
      </c>
      <c r="E3053" s="6">
        <v>0</v>
      </c>
      <c r="F3053" s="6">
        <v>0</v>
      </c>
      <c r="G3053" s="6">
        <v>8</v>
      </c>
      <c r="H3053" s="6" t="s">
        <v>6427</v>
      </c>
      <c r="I3053" s="6">
        <v>525.9375</v>
      </c>
      <c r="J3053" s="2">
        <f t="shared" si="47"/>
        <v>43747.678219421294</v>
      </c>
    </row>
    <row r="3054" spans="1:10" x14ac:dyDescent="0.25">
      <c r="A3054" s="7" t="s">
        <v>6428</v>
      </c>
      <c r="B3054" s="8">
        <v>390.625</v>
      </c>
      <c r="C3054" s="8">
        <v>20.584240000000001</v>
      </c>
      <c r="D3054" s="8">
        <v>47</v>
      </c>
      <c r="E3054" s="8">
        <v>0</v>
      </c>
      <c r="F3054" s="8">
        <v>0</v>
      </c>
      <c r="G3054" s="8">
        <v>6</v>
      </c>
      <c r="H3054" s="8" t="s">
        <v>6429</v>
      </c>
      <c r="I3054" s="8">
        <v>525.9375</v>
      </c>
      <c r="J3054" s="3">
        <f t="shared" si="47"/>
        <v>43747.678302673608</v>
      </c>
    </row>
    <row r="3055" spans="1:10" x14ac:dyDescent="0.25">
      <c r="A3055" s="5" t="s">
        <v>6430</v>
      </c>
      <c r="B3055" s="6">
        <v>390.625</v>
      </c>
      <c r="C3055" s="6">
        <v>20.584240000000001</v>
      </c>
      <c r="D3055" s="6">
        <v>47</v>
      </c>
      <c r="E3055" s="6">
        <v>0</v>
      </c>
      <c r="F3055" s="6">
        <v>0</v>
      </c>
      <c r="G3055" s="6">
        <v>13</v>
      </c>
      <c r="H3055" s="6" t="s">
        <v>6431</v>
      </c>
      <c r="I3055" s="6">
        <v>525.75</v>
      </c>
      <c r="J3055" s="2">
        <f t="shared" si="47"/>
        <v>43747.678385879626</v>
      </c>
    </row>
    <row r="3056" spans="1:10" x14ac:dyDescent="0.25">
      <c r="A3056" s="7" t="s">
        <v>6432</v>
      </c>
      <c r="B3056" s="8">
        <v>390.625</v>
      </c>
      <c r="C3056" s="8">
        <v>20.584240000000001</v>
      </c>
      <c r="D3056" s="8">
        <v>46</v>
      </c>
      <c r="E3056" s="8">
        <v>0</v>
      </c>
      <c r="F3056" s="8">
        <v>0</v>
      </c>
      <c r="G3056" s="8">
        <v>12</v>
      </c>
      <c r="H3056" s="8" t="s">
        <v>6433</v>
      </c>
      <c r="I3056" s="8">
        <v>525.9375</v>
      </c>
      <c r="J3056" s="3">
        <f t="shared" si="47"/>
        <v>43747.678457766197</v>
      </c>
    </row>
    <row r="3057" spans="1:10" x14ac:dyDescent="0.25">
      <c r="A3057" s="5" t="s">
        <v>6434</v>
      </c>
      <c r="B3057" s="6">
        <v>409.375</v>
      </c>
      <c r="C3057" s="6">
        <v>20.584240000000001</v>
      </c>
      <c r="D3057" s="6">
        <v>47</v>
      </c>
      <c r="E3057" s="6">
        <v>0</v>
      </c>
      <c r="F3057" s="6">
        <v>0</v>
      </c>
      <c r="G3057" s="6">
        <v>4</v>
      </c>
      <c r="H3057" s="6" t="s">
        <v>6435</v>
      </c>
      <c r="I3057" s="6">
        <v>531.5625</v>
      </c>
      <c r="J3057" s="2">
        <f t="shared" si="47"/>
        <v>43747.678541203706</v>
      </c>
    </row>
    <row r="3058" spans="1:10" x14ac:dyDescent="0.25">
      <c r="A3058" s="7" t="s">
        <v>6436</v>
      </c>
      <c r="B3058" s="8">
        <v>390.625</v>
      </c>
      <c r="C3058" s="8">
        <v>20.584240000000001</v>
      </c>
      <c r="D3058" s="8">
        <v>47</v>
      </c>
      <c r="E3058" s="8">
        <v>0</v>
      </c>
      <c r="F3058" s="8">
        <v>0</v>
      </c>
      <c r="G3058" s="8">
        <v>9</v>
      </c>
      <c r="H3058" s="8" t="s">
        <v>6437</v>
      </c>
      <c r="I3058" s="8">
        <v>525.9375</v>
      </c>
      <c r="J3058" s="3">
        <f t="shared" si="47"/>
        <v>43747.67863657407</v>
      </c>
    </row>
    <row r="3059" spans="1:10" x14ac:dyDescent="0.25">
      <c r="A3059" s="5" t="s">
        <v>6438</v>
      </c>
      <c r="B3059" s="6">
        <v>390.625</v>
      </c>
      <c r="C3059" s="6">
        <v>20.584240000000001</v>
      </c>
      <c r="D3059" s="6">
        <v>46</v>
      </c>
      <c r="E3059" s="6">
        <v>0</v>
      </c>
      <c r="F3059" s="6">
        <v>0</v>
      </c>
      <c r="G3059" s="6">
        <v>9</v>
      </c>
      <c r="H3059" s="6" t="s">
        <v>6439</v>
      </c>
      <c r="I3059" s="6">
        <v>525.9375</v>
      </c>
      <c r="J3059" s="2">
        <f t="shared" si="47"/>
        <v>43747.678720034724</v>
      </c>
    </row>
    <row r="3060" spans="1:10" x14ac:dyDescent="0.25">
      <c r="A3060" s="7" t="s">
        <v>6440</v>
      </c>
      <c r="B3060" s="8">
        <v>390.625</v>
      </c>
      <c r="C3060" s="8">
        <v>20.584240000000001</v>
      </c>
      <c r="D3060" s="8">
        <v>46</v>
      </c>
      <c r="E3060" s="8">
        <v>0</v>
      </c>
      <c r="F3060" s="8">
        <v>0</v>
      </c>
      <c r="G3060" s="8">
        <v>11</v>
      </c>
      <c r="H3060" s="8" t="s">
        <v>6441</v>
      </c>
      <c r="I3060" s="8">
        <v>525.75</v>
      </c>
      <c r="J3060" s="3">
        <f t="shared" si="47"/>
        <v>43747.678791539351</v>
      </c>
    </row>
    <row r="3061" spans="1:10" x14ac:dyDescent="0.25">
      <c r="A3061" s="5" t="s">
        <v>6442</v>
      </c>
      <c r="B3061" s="6">
        <v>390.625</v>
      </c>
      <c r="C3061" s="6">
        <v>20.584240000000001</v>
      </c>
      <c r="D3061" s="6">
        <v>46</v>
      </c>
      <c r="E3061" s="6">
        <v>0</v>
      </c>
      <c r="F3061" s="6">
        <v>0</v>
      </c>
      <c r="G3061" s="6">
        <v>2</v>
      </c>
      <c r="H3061" s="6" t="s">
        <v>6443</v>
      </c>
      <c r="I3061" s="6">
        <v>525.75</v>
      </c>
      <c r="J3061" s="2">
        <f t="shared" si="47"/>
        <v>43747.678889722221</v>
      </c>
    </row>
    <row r="3062" spans="1:10" x14ac:dyDescent="0.25">
      <c r="A3062" s="7" t="s">
        <v>6444</v>
      </c>
      <c r="B3062" s="8">
        <v>393.75</v>
      </c>
      <c r="C3062" s="8">
        <v>20.584240000000001</v>
      </c>
      <c r="D3062" s="8">
        <v>46</v>
      </c>
      <c r="E3062" s="8">
        <v>0</v>
      </c>
      <c r="F3062" s="8">
        <v>0</v>
      </c>
      <c r="G3062" s="8">
        <v>9</v>
      </c>
      <c r="H3062" s="8" t="s">
        <v>6445</v>
      </c>
      <c r="I3062" s="8">
        <v>526.6875</v>
      </c>
      <c r="J3062" s="3">
        <f t="shared" si="47"/>
        <v>43747.678975277777</v>
      </c>
    </row>
    <row r="3063" spans="1:10" x14ac:dyDescent="0.25">
      <c r="A3063" s="5" t="s">
        <v>6446</v>
      </c>
      <c r="B3063" s="6">
        <v>393.75</v>
      </c>
      <c r="C3063" s="6">
        <v>20.531590000000001</v>
      </c>
      <c r="D3063" s="6">
        <v>49</v>
      </c>
      <c r="E3063" s="6">
        <v>0</v>
      </c>
      <c r="F3063" s="6">
        <v>0</v>
      </c>
      <c r="G3063" s="6">
        <v>5</v>
      </c>
      <c r="H3063" s="6" t="s">
        <v>6447</v>
      </c>
      <c r="I3063" s="6">
        <v>526.6875</v>
      </c>
      <c r="J3063" s="2">
        <f t="shared" si="47"/>
        <v>43747.679053958331</v>
      </c>
    </row>
    <row r="3064" spans="1:10" x14ac:dyDescent="0.25">
      <c r="A3064" s="7" t="s">
        <v>6448</v>
      </c>
      <c r="B3064" s="8">
        <v>396.875</v>
      </c>
      <c r="C3064" s="8">
        <v>20.584240000000001</v>
      </c>
      <c r="D3064" s="8">
        <v>49</v>
      </c>
      <c r="E3064" s="8">
        <v>0</v>
      </c>
      <c r="F3064" s="8">
        <v>0</v>
      </c>
      <c r="G3064" s="8">
        <v>5</v>
      </c>
      <c r="H3064" s="8" t="s">
        <v>6449</v>
      </c>
      <c r="I3064" s="8">
        <v>527.4375</v>
      </c>
      <c r="J3064" s="3">
        <f t="shared" si="47"/>
        <v>43747.679137430554</v>
      </c>
    </row>
    <row r="3065" spans="1:10" x14ac:dyDescent="0.25">
      <c r="A3065" s="5" t="s">
        <v>6450</v>
      </c>
      <c r="B3065" s="6">
        <v>396.875</v>
      </c>
      <c r="C3065" s="6">
        <v>20.584240000000001</v>
      </c>
      <c r="D3065" s="6">
        <v>49</v>
      </c>
      <c r="E3065" s="6">
        <v>0</v>
      </c>
      <c r="F3065" s="6">
        <v>0</v>
      </c>
      <c r="G3065" s="6">
        <v>14</v>
      </c>
      <c r="H3065" s="6" t="s">
        <v>6451</v>
      </c>
      <c r="I3065" s="6">
        <v>527.4375</v>
      </c>
      <c r="J3065" s="2">
        <f t="shared" si="47"/>
        <v>43747.679208969908</v>
      </c>
    </row>
    <row r="3066" spans="1:10" x14ac:dyDescent="0.25">
      <c r="A3066" s="7" t="s">
        <v>6452</v>
      </c>
      <c r="B3066" s="8">
        <v>396.875</v>
      </c>
      <c r="C3066" s="8">
        <v>20.584240000000001</v>
      </c>
      <c r="D3066" s="8">
        <v>49</v>
      </c>
      <c r="E3066" s="8">
        <v>0</v>
      </c>
      <c r="F3066" s="8">
        <v>0</v>
      </c>
      <c r="G3066" s="8">
        <v>7</v>
      </c>
      <c r="H3066" s="8" t="s">
        <v>6453</v>
      </c>
      <c r="I3066" s="8">
        <v>527.4375</v>
      </c>
      <c r="J3066" s="3">
        <f t="shared" si="47"/>
        <v>43747.679280567128</v>
      </c>
    </row>
    <row r="3067" spans="1:10" x14ac:dyDescent="0.25">
      <c r="A3067" s="5" t="s">
        <v>6454</v>
      </c>
      <c r="B3067" s="6">
        <v>396.875</v>
      </c>
      <c r="C3067" s="6">
        <v>20.584240000000001</v>
      </c>
      <c r="D3067" s="6">
        <v>50</v>
      </c>
      <c r="E3067" s="6">
        <v>0</v>
      </c>
      <c r="F3067" s="6">
        <v>0</v>
      </c>
      <c r="G3067" s="6">
        <v>7</v>
      </c>
      <c r="H3067" s="6" t="s">
        <v>6455</v>
      </c>
      <c r="I3067" s="6">
        <v>527.4375</v>
      </c>
      <c r="J3067" s="2">
        <f t="shared" si="47"/>
        <v>43747.679363726849</v>
      </c>
    </row>
    <row r="3068" spans="1:10" x14ac:dyDescent="0.25">
      <c r="A3068" s="7" t="s">
        <v>6456</v>
      </c>
      <c r="B3068" s="8">
        <v>393.75</v>
      </c>
      <c r="C3068" s="8">
        <v>20.584240000000001</v>
      </c>
      <c r="D3068" s="8">
        <v>50</v>
      </c>
      <c r="E3068" s="8">
        <v>0</v>
      </c>
      <c r="F3068" s="8">
        <v>0</v>
      </c>
      <c r="G3068" s="8">
        <v>9</v>
      </c>
      <c r="H3068" s="8" t="s">
        <v>6457</v>
      </c>
      <c r="I3068" s="8">
        <v>526.6875</v>
      </c>
      <c r="J3068" s="3">
        <f t="shared" si="47"/>
        <v>43747.679435567123</v>
      </c>
    </row>
    <row r="3069" spans="1:10" x14ac:dyDescent="0.25">
      <c r="A3069" s="5" t="s">
        <v>6458</v>
      </c>
      <c r="B3069" s="6">
        <v>393.75</v>
      </c>
      <c r="C3069" s="6">
        <v>20.584240000000001</v>
      </c>
      <c r="D3069" s="6">
        <v>49</v>
      </c>
      <c r="E3069" s="6">
        <v>0</v>
      </c>
      <c r="F3069" s="6">
        <v>0</v>
      </c>
      <c r="G3069" s="6">
        <v>10</v>
      </c>
      <c r="H3069" s="6" t="s">
        <v>6459</v>
      </c>
      <c r="I3069" s="6">
        <v>526.6875</v>
      </c>
      <c r="J3069" s="2">
        <f t="shared" si="47"/>
        <v>43747.679519166668</v>
      </c>
    </row>
    <row r="3070" spans="1:10" x14ac:dyDescent="0.25">
      <c r="A3070" s="7" t="s">
        <v>6460</v>
      </c>
      <c r="B3070" s="8">
        <v>396.875</v>
      </c>
      <c r="C3070" s="8">
        <v>20.584240000000001</v>
      </c>
      <c r="D3070" s="8">
        <v>49</v>
      </c>
      <c r="E3070" s="8">
        <v>0</v>
      </c>
      <c r="F3070" s="8">
        <v>0</v>
      </c>
      <c r="G3070" s="8">
        <v>2</v>
      </c>
      <c r="H3070" s="8" t="s">
        <v>6461</v>
      </c>
      <c r="I3070" s="8">
        <v>527.4375</v>
      </c>
      <c r="J3070" s="3">
        <f t="shared" si="47"/>
        <v>43747.679602511569</v>
      </c>
    </row>
    <row r="3071" spans="1:10" x14ac:dyDescent="0.25">
      <c r="A3071" s="5" t="s">
        <v>6462</v>
      </c>
      <c r="B3071" s="6">
        <v>396.875</v>
      </c>
      <c r="C3071" s="6">
        <v>20.584240000000001</v>
      </c>
      <c r="D3071" s="6">
        <v>50</v>
      </c>
      <c r="E3071" s="6">
        <v>0</v>
      </c>
      <c r="F3071" s="6">
        <v>0</v>
      </c>
      <c r="G3071" s="6">
        <v>0</v>
      </c>
      <c r="H3071" s="6" t="s">
        <v>6463</v>
      </c>
      <c r="I3071" s="6">
        <v>527.4375</v>
      </c>
      <c r="J3071" s="2">
        <f t="shared" si="47"/>
        <v>43747.679686076386</v>
      </c>
    </row>
    <row r="3072" spans="1:10" x14ac:dyDescent="0.25">
      <c r="A3072" s="7" t="s">
        <v>6464</v>
      </c>
      <c r="B3072" s="8">
        <v>396.875</v>
      </c>
      <c r="C3072" s="8">
        <v>20.584240000000001</v>
      </c>
      <c r="D3072" s="8">
        <v>49</v>
      </c>
      <c r="E3072" s="8">
        <v>0</v>
      </c>
      <c r="F3072" s="8">
        <v>0</v>
      </c>
      <c r="G3072" s="8">
        <v>2</v>
      </c>
      <c r="H3072" s="8" t="s">
        <v>6465</v>
      </c>
      <c r="I3072" s="8">
        <v>527.4375</v>
      </c>
      <c r="J3072" s="3">
        <f t="shared" si="47"/>
        <v>43747.679769525457</v>
      </c>
    </row>
    <row r="3073" spans="1:10" x14ac:dyDescent="0.25">
      <c r="A3073" s="5" t="s">
        <v>6466</v>
      </c>
      <c r="B3073" s="6">
        <v>396.875</v>
      </c>
      <c r="C3073" s="6">
        <v>20.584240000000001</v>
      </c>
      <c r="D3073" s="6">
        <v>50</v>
      </c>
      <c r="E3073" s="6">
        <v>0</v>
      </c>
      <c r="F3073" s="6">
        <v>0</v>
      </c>
      <c r="G3073" s="6">
        <v>15</v>
      </c>
      <c r="H3073" s="6" t="s">
        <v>6467</v>
      </c>
      <c r="I3073" s="6">
        <v>527.4375</v>
      </c>
      <c r="J3073" s="2">
        <f t="shared" si="47"/>
        <v>43747.67985270833</v>
      </c>
    </row>
    <row r="3074" spans="1:10" x14ac:dyDescent="0.25">
      <c r="A3074" s="7" t="s">
        <v>6468</v>
      </c>
      <c r="B3074" s="8">
        <v>425</v>
      </c>
      <c r="C3074" s="8">
        <v>20.584240000000001</v>
      </c>
      <c r="D3074" s="8">
        <v>50</v>
      </c>
      <c r="E3074" s="8">
        <v>0</v>
      </c>
      <c r="F3074" s="8">
        <v>0</v>
      </c>
      <c r="G3074" s="8">
        <v>8</v>
      </c>
      <c r="H3074" s="8" t="s">
        <v>6469</v>
      </c>
      <c r="I3074" s="8">
        <v>536.4375</v>
      </c>
      <c r="J3074" s="3">
        <f t="shared" ref="J3074:J3137" si="48">(H3074/86400000)+25569+(7/24)</f>
        <v>43747.679936516201</v>
      </c>
    </row>
    <row r="3075" spans="1:10" x14ac:dyDescent="0.25">
      <c r="A3075" s="5" t="s">
        <v>6470</v>
      </c>
      <c r="B3075" s="6">
        <v>396.875</v>
      </c>
      <c r="C3075" s="6">
        <v>20.584240000000001</v>
      </c>
      <c r="D3075" s="6">
        <v>49</v>
      </c>
      <c r="E3075" s="6">
        <v>0</v>
      </c>
      <c r="F3075" s="6">
        <v>0</v>
      </c>
      <c r="G3075" s="6">
        <v>0</v>
      </c>
      <c r="H3075" s="6" t="s">
        <v>6471</v>
      </c>
      <c r="I3075" s="6">
        <v>527.4375</v>
      </c>
      <c r="J3075" s="2">
        <f t="shared" si="48"/>
        <v>43747.680020208332</v>
      </c>
    </row>
    <row r="3076" spans="1:10" x14ac:dyDescent="0.25">
      <c r="A3076" s="7" t="s">
        <v>6472</v>
      </c>
      <c r="B3076" s="8">
        <v>396.875</v>
      </c>
      <c r="C3076" s="8">
        <v>20.531590000000001</v>
      </c>
      <c r="D3076" s="8">
        <v>49</v>
      </c>
      <c r="E3076" s="8">
        <v>0</v>
      </c>
      <c r="F3076" s="8">
        <v>0</v>
      </c>
      <c r="G3076" s="8">
        <v>3</v>
      </c>
      <c r="H3076" s="8" t="s">
        <v>6473</v>
      </c>
      <c r="I3076" s="8">
        <v>527.625</v>
      </c>
      <c r="J3076" s="3">
        <f t="shared" si="48"/>
        <v>43747.680091504626</v>
      </c>
    </row>
    <row r="3077" spans="1:10" x14ac:dyDescent="0.25">
      <c r="A3077" s="5" t="s">
        <v>6474</v>
      </c>
      <c r="B3077" s="6">
        <v>396.875</v>
      </c>
      <c r="C3077" s="6">
        <v>20.531590000000001</v>
      </c>
      <c r="D3077" s="6">
        <v>52</v>
      </c>
      <c r="E3077" s="6">
        <v>0</v>
      </c>
      <c r="F3077" s="6">
        <v>0</v>
      </c>
      <c r="G3077" s="6">
        <v>10</v>
      </c>
      <c r="H3077" s="6" t="s">
        <v>6475</v>
      </c>
      <c r="I3077" s="6">
        <v>527.4375</v>
      </c>
      <c r="J3077" s="2">
        <f t="shared" si="48"/>
        <v>43747.680174849535</v>
      </c>
    </row>
    <row r="3078" spans="1:10" x14ac:dyDescent="0.25">
      <c r="A3078" s="7" t="s">
        <v>6476</v>
      </c>
      <c r="B3078" s="8">
        <v>393.75</v>
      </c>
      <c r="C3078" s="8">
        <v>20.531590000000001</v>
      </c>
      <c r="D3078" s="8">
        <v>52</v>
      </c>
      <c r="E3078" s="8">
        <v>0</v>
      </c>
      <c r="F3078" s="8">
        <v>0</v>
      </c>
      <c r="G3078" s="8">
        <v>16</v>
      </c>
      <c r="H3078" s="8" t="s">
        <v>6477</v>
      </c>
      <c r="I3078" s="8">
        <v>526.6875</v>
      </c>
      <c r="J3078" s="3">
        <f t="shared" si="48"/>
        <v>43747.680258506945</v>
      </c>
    </row>
    <row r="3079" spans="1:10" x14ac:dyDescent="0.25">
      <c r="A3079" s="5" t="s">
        <v>6478</v>
      </c>
      <c r="B3079" s="6">
        <v>418.75</v>
      </c>
      <c r="C3079" s="6">
        <v>20.584240000000001</v>
      </c>
      <c r="D3079" s="6">
        <v>51</v>
      </c>
      <c r="E3079" s="6">
        <v>0</v>
      </c>
      <c r="F3079" s="6">
        <v>0</v>
      </c>
      <c r="G3079" s="6">
        <v>1</v>
      </c>
      <c r="H3079" s="6" t="s">
        <v>6479</v>
      </c>
      <c r="I3079" s="6">
        <v>534.75</v>
      </c>
      <c r="J3079" s="2">
        <f t="shared" si="48"/>
        <v>43747.680341608793</v>
      </c>
    </row>
    <row r="3080" spans="1:10" x14ac:dyDescent="0.25">
      <c r="A3080" s="7" t="s">
        <v>6480</v>
      </c>
      <c r="B3080" s="8">
        <v>393.75</v>
      </c>
      <c r="C3080" s="8">
        <v>20.584240000000001</v>
      </c>
      <c r="D3080" s="8">
        <v>51</v>
      </c>
      <c r="E3080" s="8">
        <v>0</v>
      </c>
      <c r="F3080" s="8">
        <v>0</v>
      </c>
      <c r="G3080" s="8">
        <v>11</v>
      </c>
      <c r="H3080" s="8" t="s">
        <v>6481</v>
      </c>
      <c r="I3080" s="8">
        <v>526.6875</v>
      </c>
      <c r="J3080" s="3">
        <f t="shared" si="48"/>
        <v>43747.680413263886</v>
      </c>
    </row>
    <row r="3081" spans="1:10" x14ac:dyDescent="0.25">
      <c r="A3081" s="5" t="s">
        <v>6482</v>
      </c>
      <c r="B3081" s="6">
        <v>393.75</v>
      </c>
      <c r="C3081" s="6">
        <v>20.584240000000001</v>
      </c>
      <c r="D3081" s="6">
        <v>48</v>
      </c>
      <c r="E3081" s="6">
        <v>0</v>
      </c>
      <c r="F3081" s="6">
        <v>0</v>
      </c>
      <c r="G3081" s="6">
        <v>0</v>
      </c>
      <c r="H3081" s="6" t="s">
        <v>6483</v>
      </c>
      <c r="I3081" s="6">
        <v>526.6875</v>
      </c>
      <c r="J3081" s="2">
        <f t="shared" si="48"/>
        <v>43747.680497175919</v>
      </c>
    </row>
    <row r="3082" spans="1:10" x14ac:dyDescent="0.25">
      <c r="A3082" s="7" t="s">
        <v>6484</v>
      </c>
      <c r="B3082" s="8">
        <v>412.5</v>
      </c>
      <c r="C3082" s="8">
        <v>20.584240000000001</v>
      </c>
      <c r="D3082" s="8">
        <v>47</v>
      </c>
      <c r="E3082" s="8">
        <v>0</v>
      </c>
      <c r="F3082" s="8">
        <v>0</v>
      </c>
      <c r="G3082" s="8">
        <v>20</v>
      </c>
      <c r="H3082" s="8" t="s">
        <v>6485</v>
      </c>
      <c r="I3082" s="8">
        <v>532.3125</v>
      </c>
      <c r="J3082" s="3">
        <f t="shared" si="48"/>
        <v>43747.680580381937</v>
      </c>
    </row>
    <row r="3083" spans="1:10" x14ac:dyDescent="0.25">
      <c r="A3083" s="5" t="s">
        <v>6486</v>
      </c>
      <c r="B3083" s="6">
        <v>393.75</v>
      </c>
      <c r="C3083" s="6">
        <v>20.584240000000001</v>
      </c>
      <c r="D3083" s="6">
        <v>48</v>
      </c>
      <c r="E3083" s="6">
        <v>0</v>
      </c>
      <c r="F3083" s="6">
        <v>0</v>
      </c>
      <c r="G3083" s="6">
        <v>8</v>
      </c>
      <c r="H3083" s="6" t="s">
        <v>6487</v>
      </c>
      <c r="I3083" s="6">
        <v>526.5</v>
      </c>
      <c r="J3083" s="2">
        <f t="shared" si="48"/>
        <v>43747.680663726853</v>
      </c>
    </row>
    <row r="3084" spans="1:10" x14ac:dyDescent="0.25">
      <c r="A3084" s="7" t="s">
        <v>6488</v>
      </c>
      <c r="B3084" s="8">
        <v>396.875</v>
      </c>
      <c r="C3084" s="8">
        <v>20.584240000000001</v>
      </c>
      <c r="D3084" s="8">
        <v>46</v>
      </c>
      <c r="E3084" s="8">
        <v>0</v>
      </c>
      <c r="F3084" s="8">
        <v>0</v>
      </c>
      <c r="G3084" s="8">
        <v>14</v>
      </c>
      <c r="H3084" s="8" t="s">
        <v>6489</v>
      </c>
      <c r="I3084" s="8">
        <v>527.4375</v>
      </c>
      <c r="J3084" s="3">
        <f t="shared" si="48"/>
        <v>43747.680747407408</v>
      </c>
    </row>
    <row r="3085" spans="1:10" x14ac:dyDescent="0.25">
      <c r="A3085" s="5" t="s">
        <v>6490</v>
      </c>
      <c r="B3085" s="6">
        <v>396.875</v>
      </c>
      <c r="C3085" s="6">
        <v>20.584240000000001</v>
      </c>
      <c r="D3085" s="6">
        <v>46</v>
      </c>
      <c r="E3085" s="6">
        <v>0</v>
      </c>
      <c r="F3085" s="6">
        <v>0</v>
      </c>
      <c r="G3085" s="6">
        <v>9</v>
      </c>
      <c r="H3085" s="6" t="s">
        <v>6491</v>
      </c>
      <c r="I3085" s="6">
        <v>527.4375</v>
      </c>
      <c r="J3085" s="2">
        <f t="shared" si="48"/>
        <v>43747.680830486112</v>
      </c>
    </row>
    <row r="3086" spans="1:10" x14ac:dyDescent="0.25">
      <c r="A3086" s="7" t="s">
        <v>6492</v>
      </c>
      <c r="B3086" s="8">
        <v>396.875</v>
      </c>
      <c r="C3086" s="8">
        <v>20.584240000000001</v>
      </c>
      <c r="D3086" s="8">
        <v>46</v>
      </c>
      <c r="E3086" s="8">
        <v>0</v>
      </c>
      <c r="F3086" s="8">
        <v>0</v>
      </c>
      <c r="G3086" s="8">
        <v>5</v>
      </c>
      <c r="H3086" s="8" t="s">
        <v>6493</v>
      </c>
      <c r="I3086" s="8">
        <v>527.4375</v>
      </c>
      <c r="J3086" s="3">
        <f t="shared" si="48"/>
        <v>43747.680902141197</v>
      </c>
    </row>
    <row r="3087" spans="1:10" x14ac:dyDescent="0.25">
      <c r="A3087" s="5" t="s">
        <v>6494</v>
      </c>
      <c r="B3087" s="6">
        <v>415.625</v>
      </c>
      <c r="C3087" s="6">
        <v>20.584240000000001</v>
      </c>
      <c r="D3087" s="6">
        <v>48</v>
      </c>
      <c r="E3087" s="6">
        <v>0</v>
      </c>
      <c r="F3087" s="6">
        <v>0</v>
      </c>
      <c r="G3087" s="6">
        <v>3</v>
      </c>
      <c r="H3087" s="6" t="s">
        <v>6495</v>
      </c>
      <c r="I3087" s="6">
        <v>533.0625</v>
      </c>
      <c r="J3087" s="2">
        <f t="shared" si="48"/>
        <v>43747.680986053238</v>
      </c>
    </row>
    <row r="3088" spans="1:10" x14ac:dyDescent="0.25">
      <c r="A3088" s="7" t="s">
        <v>6496</v>
      </c>
      <c r="B3088" s="8">
        <v>393.75</v>
      </c>
      <c r="C3088" s="8">
        <v>20.584240000000001</v>
      </c>
      <c r="D3088" s="8">
        <v>47</v>
      </c>
      <c r="E3088" s="8">
        <v>0</v>
      </c>
      <c r="F3088" s="8">
        <v>0</v>
      </c>
      <c r="G3088" s="8">
        <v>13</v>
      </c>
      <c r="H3088" s="8" t="s">
        <v>6497</v>
      </c>
      <c r="I3088" s="8">
        <v>526.6875</v>
      </c>
      <c r="J3088" s="3">
        <f t="shared" si="48"/>
        <v>43747.681069409715</v>
      </c>
    </row>
    <row r="3089" spans="1:10" x14ac:dyDescent="0.25">
      <c r="A3089" s="5" t="s">
        <v>6498</v>
      </c>
      <c r="B3089" s="6">
        <v>393.75</v>
      </c>
      <c r="C3089" s="6">
        <v>20.584240000000001</v>
      </c>
      <c r="D3089" s="6">
        <v>48</v>
      </c>
      <c r="E3089" s="6">
        <v>0</v>
      </c>
      <c r="F3089" s="6">
        <v>0</v>
      </c>
      <c r="G3089" s="6">
        <v>7</v>
      </c>
      <c r="H3089" s="6" t="s">
        <v>6499</v>
      </c>
      <c r="I3089" s="6">
        <v>526.6875</v>
      </c>
      <c r="J3089" s="2">
        <f t="shared" si="48"/>
        <v>43747.681152638885</v>
      </c>
    </row>
    <row r="3090" spans="1:10" x14ac:dyDescent="0.25">
      <c r="A3090" s="7" t="s">
        <v>6500</v>
      </c>
      <c r="B3090" s="8">
        <v>393.75</v>
      </c>
      <c r="C3090" s="8">
        <v>20.584240000000001</v>
      </c>
      <c r="D3090" s="8">
        <v>48</v>
      </c>
      <c r="E3090" s="8">
        <v>0</v>
      </c>
      <c r="F3090" s="8">
        <v>0</v>
      </c>
      <c r="G3090" s="8">
        <v>5</v>
      </c>
      <c r="H3090" s="8" t="s">
        <v>6501</v>
      </c>
      <c r="I3090" s="8">
        <v>526.6875</v>
      </c>
      <c r="J3090" s="3">
        <f t="shared" si="48"/>
        <v>43747.681224363427</v>
      </c>
    </row>
    <row r="3091" spans="1:10" x14ac:dyDescent="0.25">
      <c r="A3091" s="5" t="s">
        <v>6502</v>
      </c>
      <c r="B3091" s="6">
        <v>393.75</v>
      </c>
      <c r="C3091" s="6">
        <v>20.584240000000001</v>
      </c>
      <c r="D3091" s="6">
        <v>48</v>
      </c>
      <c r="E3091" s="6">
        <v>0</v>
      </c>
      <c r="F3091" s="6">
        <v>0</v>
      </c>
      <c r="G3091" s="6">
        <v>12</v>
      </c>
      <c r="H3091" s="6" t="s">
        <v>6503</v>
      </c>
      <c r="I3091" s="6">
        <v>526.6875</v>
      </c>
      <c r="J3091" s="2">
        <f t="shared" si="48"/>
        <v>43747.681322615739</v>
      </c>
    </row>
    <row r="3092" spans="1:10" x14ac:dyDescent="0.25">
      <c r="A3092" s="7" t="s">
        <v>6504</v>
      </c>
      <c r="B3092" s="8">
        <v>393.75</v>
      </c>
      <c r="C3092" s="8">
        <v>20.584240000000001</v>
      </c>
      <c r="D3092" s="8">
        <v>49</v>
      </c>
      <c r="E3092" s="8">
        <v>0</v>
      </c>
      <c r="F3092" s="8">
        <v>0</v>
      </c>
      <c r="G3092" s="8">
        <v>1</v>
      </c>
      <c r="H3092" s="8" t="s">
        <v>6505</v>
      </c>
      <c r="I3092" s="8">
        <v>526.6875</v>
      </c>
      <c r="J3092" s="3">
        <f t="shared" si="48"/>
        <v>43747.681419652778</v>
      </c>
    </row>
    <row r="3093" spans="1:10" x14ac:dyDescent="0.25">
      <c r="A3093" s="5" t="s">
        <v>6506</v>
      </c>
      <c r="B3093" s="6">
        <v>393.75</v>
      </c>
      <c r="C3093" s="6">
        <v>20.531590000000001</v>
      </c>
      <c r="D3093" s="6">
        <v>49</v>
      </c>
      <c r="E3093" s="6">
        <v>0</v>
      </c>
      <c r="F3093" s="6">
        <v>0</v>
      </c>
      <c r="G3093" s="6">
        <v>9</v>
      </c>
      <c r="H3093" s="6" t="s">
        <v>6507</v>
      </c>
      <c r="I3093" s="6">
        <v>526.6875</v>
      </c>
      <c r="J3093" s="2">
        <f t="shared" si="48"/>
        <v>43747.681498576385</v>
      </c>
    </row>
    <row r="3094" spans="1:10" x14ac:dyDescent="0.25">
      <c r="A3094" s="7" t="s">
        <v>6508</v>
      </c>
      <c r="B3094" s="8">
        <v>393.75</v>
      </c>
      <c r="C3094" s="8">
        <v>20.584240000000001</v>
      </c>
      <c r="D3094" s="8">
        <v>48</v>
      </c>
      <c r="E3094" s="8">
        <v>0</v>
      </c>
      <c r="F3094" s="8">
        <v>0</v>
      </c>
      <c r="G3094" s="8">
        <v>10</v>
      </c>
      <c r="H3094" s="8" t="s">
        <v>6509</v>
      </c>
      <c r="I3094" s="8">
        <v>526.5</v>
      </c>
      <c r="J3094" s="3">
        <f t="shared" si="48"/>
        <v>43747.68158236111</v>
      </c>
    </row>
    <row r="3095" spans="1:10" x14ac:dyDescent="0.25">
      <c r="A3095" s="5" t="s">
        <v>6510</v>
      </c>
      <c r="B3095" s="6">
        <v>393.75</v>
      </c>
      <c r="C3095" s="6">
        <v>20.584240000000001</v>
      </c>
      <c r="D3095" s="6">
        <v>47</v>
      </c>
      <c r="E3095" s="6">
        <v>0</v>
      </c>
      <c r="F3095" s="6">
        <v>0</v>
      </c>
      <c r="G3095" s="6">
        <v>5</v>
      </c>
      <c r="H3095" s="6" t="s">
        <v>6511</v>
      </c>
      <c r="I3095" s="6">
        <v>526.6875</v>
      </c>
      <c r="J3095" s="2">
        <f t="shared" si="48"/>
        <v>43747.681665578704</v>
      </c>
    </row>
    <row r="3096" spans="1:10" x14ac:dyDescent="0.25">
      <c r="A3096" s="7" t="s">
        <v>6512</v>
      </c>
      <c r="B3096" s="8">
        <v>393.75</v>
      </c>
      <c r="C3096" s="8">
        <v>20.584240000000001</v>
      </c>
      <c r="D3096" s="8">
        <v>48</v>
      </c>
      <c r="E3096" s="8">
        <v>0</v>
      </c>
      <c r="F3096" s="8">
        <v>0</v>
      </c>
      <c r="G3096" s="8">
        <v>12</v>
      </c>
      <c r="H3096" s="8" t="s">
        <v>6513</v>
      </c>
      <c r="I3096" s="8">
        <v>526.6875</v>
      </c>
      <c r="J3096" s="3">
        <f t="shared" si="48"/>
        <v>43747.681749004631</v>
      </c>
    </row>
    <row r="3097" spans="1:10" x14ac:dyDescent="0.25">
      <c r="A3097" s="5" t="s">
        <v>6514</v>
      </c>
      <c r="B3097" s="6">
        <v>393.75</v>
      </c>
      <c r="C3097" s="6">
        <v>20.584240000000001</v>
      </c>
      <c r="D3097" s="6">
        <v>47</v>
      </c>
      <c r="E3097" s="6">
        <v>0</v>
      </c>
      <c r="F3097" s="6">
        <v>0</v>
      </c>
      <c r="G3097" s="6">
        <v>0</v>
      </c>
      <c r="H3097" s="6" t="s">
        <v>6515</v>
      </c>
      <c r="I3097" s="6">
        <v>526.6875</v>
      </c>
      <c r="J3097" s="2">
        <f t="shared" si="48"/>
        <v>43747.68184331018</v>
      </c>
    </row>
    <row r="3098" spans="1:10" x14ac:dyDescent="0.25">
      <c r="A3098" s="7" t="s">
        <v>6516</v>
      </c>
      <c r="B3098" s="8">
        <v>393.75</v>
      </c>
      <c r="C3098" s="8">
        <v>20.584240000000001</v>
      </c>
      <c r="D3098" s="8">
        <v>49</v>
      </c>
      <c r="E3098" s="8">
        <v>0</v>
      </c>
      <c r="F3098" s="8">
        <v>0</v>
      </c>
      <c r="G3098" s="8">
        <v>7</v>
      </c>
      <c r="H3098" s="8" t="s">
        <v>6517</v>
      </c>
      <c r="I3098" s="8">
        <v>526.6875</v>
      </c>
      <c r="J3098" s="3">
        <f t="shared" si="48"/>
        <v>43747.681927974532</v>
      </c>
    </row>
    <row r="3099" spans="1:10" x14ac:dyDescent="0.25">
      <c r="A3099" s="5" t="s">
        <v>6518</v>
      </c>
      <c r="B3099" s="6">
        <v>393.75</v>
      </c>
      <c r="C3099" s="6">
        <v>20.584240000000001</v>
      </c>
      <c r="D3099" s="6">
        <v>48</v>
      </c>
      <c r="E3099" s="6">
        <v>0</v>
      </c>
      <c r="F3099" s="6">
        <v>0</v>
      </c>
      <c r="G3099" s="6">
        <v>4</v>
      </c>
      <c r="H3099" s="6" t="s">
        <v>6519</v>
      </c>
      <c r="I3099" s="6">
        <v>526.6875</v>
      </c>
      <c r="J3099" s="2">
        <f t="shared" si="48"/>
        <v>43747.682011400459</v>
      </c>
    </row>
    <row r="3100" spans="1:10" x14ac:dyDescent="0.25">
      <c r="A3100" s="7" t="s">
        <v>6520</v>
      </c>
      <c r="B3100" s="8">
        <v>393.75</v>
      </c>
      <c r="C3100" s="8">
        <v>20.584240000000001</v>
      </c>
      <c r="D3100" s="8">
        <v>48</v>
      </c>
      <c r="E3100" s="8">
        <v>0</v>
      </c>
      <c r="F3100" s="8">
        <v>0</v>
      </c>
      <c r="G3100" s="8">
        <v>12</v>
      </c>
      <c r="H3100" s="8" t="s">
        <v>6521</v>
      </c>
      <c r="I3100" s="8">
        <v>526.6875</v>
      </c>
      <c r="J3100" s="3">
        <f t="shared" si="48"/>
        <v>43747.682094849537</v>
      </c>
    </row>
    <row r="3101" spans="1:10" x14ac:dyDescent="0.25">
      <c r="A3101" s="5" t="s">
        <v>6522</v>
      </c>
      <c r="B3101" s="6">
        <v>393.75</v>
      </c>
      <c r="C3101" s="6">
        <v>20.584240000000001</v>
      </c>
      <c r="D3101" s="6">
        <v>45</v>
      </c>
      <c r="E3101" s="6">
        <v>0</v>
      </c>
      <c r="F3101" s="6">
        <v>0</v>
      </c>
      <c r="G3101" s="6">
        <v>4</v>
      </c>
      <c r="H3101" s="6" t="s">
        <v>6523</v>
      </c>
      <c r="I3101" s="6">
        <v>526.6875</v>
      </c>
      <c r="J3101" s="2">
        <f t="shared" si="48"/>
        <v>43747.682179340271</v>
      </c>
    </row>
    <row r="3102" spans="1:10" x14ac:dyDescent="0.25">
      <c r="A3102" s="7" t="s">
        <v>6524</v>
      </c>
      <c r="B3102" s="8">
        <v>421.875</v>
      </c>
      <c r="C3102" s="8">
        <v>20.584240000000001</v>
      </c>
      <c r="D3102" s="8">
        <v>46</v>
      </c>
      <c r="E3102" s="8">
        <v>0</v>
      </c>
      <c r="F3102" s="8">
        <v>0</v>
      </c>
      <c r="G3102" s="8">
        <v>6</v>
      </c>
      <c r="H3102" s="8" t="s">
        <v>6525</v>
      </c>
      <c r="I3102" s="8">
        <v>535.6875</v>
      </c>
      <c r="J3102" s="3">
        <f t="shared" si="48"/>
        <v>43747.682261874994</v>
      </c>
    </row>
    <row r="3103" spans="1:10" x14ac:dyDescent="0.25">
      <c r="A3103" s="5" t="s">
        <v>6526</v>
      </c>
      <c r="B3103" s="6">
        <v>393.75</v>
      </c>
      <c r="C3103" s="6">
        <v>20.584240000000001</v>
      </c>
      <c r="D3103" s="6">
        <v>46</v>
      </c>
      <c r="E3103" s="6">
        <v>0</v>
      </c>
      <c r="F3103" s="6">
        <v>0</v>
      </c>
      <c r="G3103" s="6">
        <v>14</v>
      </c>
      <c r="H3103" s="6" t="s">
        <v>6527</v>
      </c>
      <c r="I3103" s="6">
        <v>526.6875</v>
      </c>
      <c r="J3103" s="2">
        <f t="shared" si="48"/>
        <v>43747.682345312496</v>
      </c>
    </row>
    <row r="3104" spans="1:10" x14ac:dyDescent="0.25">
      <c r="A3104" s="7" t="s">
        <v>6528</v>
      </c>
      <c r="B3104" s="8">
        <v>393.75</v>
      </c>
      <c r="C3104" s="8">
        <v>20.531590000000001</v>
      </c>
      <c r="D3104" s="8">
        <v>47</v>
      </c>
      <c r="E3104" s="8">
        <v>0</v>
      </c>
      <c r="F3104" s="8">
        <v>0</v>
      </c>
      <c r="G3104" s="8">
        <v>4</v>
      </c>
      <c r="H3104" s="8" t="s">
        <v>6529</v>
      </c>
      <c r="I3104" s="8">
        <v>526.6875</v>
      </c>
      <c r="J3104" s="3">
        <f t="shared" si="48"/>
        <v>43747.682428993052</v>
      </c>
    </row>
    <row r="3105" spans="1:10" x14ac:dyDescent="0.25">
      <c r="A3105" s="5" t="s">
        <v>6530</v>
      </c>
      <c r="B3105" s="6">
        <v>393.75</v>
      </c>
      <c r="C3105" s="6">
        <v>20.584240000000001</v>
      </c>
      <c r="D3105" s="6">
        <v>48</v>
      </c>
      <c r="E3105" s="6">
        <v>0</v>
      </c>
      <c r="F3105" s="6">
        <v>0</v>
      </c>
      <c r="G3105" s="6">
        <v>11</v>
      </c>
      <c r="H3105" s="6" t="s">
        <v>6531</v>
      </c>
      <c r="I3105" s="6">
        <v>526.6875</v>
      </c>
      <c r="J3105" s="2">
        <f t="shared" si="48"/>
        <v>43747.682512071762</v>
      </c>
    </row>
    <row r="3106" spans="1:10" x14ac:dyDescent="0.25">
      <c r="A3106" s="7" t="s">
        <v>6532</v>
      </c>
      <c r="B3106" s="8">
        <v>393.75</v>
      </c>
      <c r="C3106" s="8">
        <v>20.584240000000001</v>
      </c>
      <c r="D3106" s="8">
        <v>48</v>
      </c>
      <c r="E3106" s="8">
        <v>0</v>
      </c>
      <c r="F3106" s="8">
        <v>0</v>
      </c>
      <c r="G3106" s="8">
        <v>17</v>
      </c>
      <c r="H3106" s="8" t="s">
        <v>6533</v>
      </c>
      <c r="I3106" s="8">
        <v>526.6875</v>
      </c>
      <c r="J3106" s="3">
        <f t="shared" si="48"/>
        <v>43747.68258364583</v>
      </c>
    </row>
    <row r="3107" spans="1:10" x14ac:dyDescent="0.25">
      <c r="A3107" s="5" t="s">
        <v>6534</v>
      </c>
      <c r="B3107" s="6">
        <v>393.75</v>
      </c>
      <c r="C3107" s="6">
        <v>20.584240000000001</v>
      </c>
      <c r="D3107" s="6">
        <v>49</v>
      </c>
      <c r="E3107" s="6">
        <v>0</v>
      </c>
      <c r="F3107" s="6">
        <v>0</v>
      </c>
      <c r="G3107" s="6">
        <v>5</v>
      </c>
      <c r="H3107" s="6" t="s">
        <v>6535</v>
      </c>
      <c r="I3107" s="6">
        <v>526.5</v>
      </c>
      <c r="J3107" s="2">
        <f t="shared" si="48"/>
        <v>43747.682667442125</v>
      </c>
    </row>
    <row r="3108" spans="1:10" x14ac:dyDescent="0.25">
      <c r="A3108" s="7" t="s">
        <v>6536</v>
      </c>
      <c r="B3108" s="8">
        <v>393.75</v>
      </c>
      <c r="C3108" s="8">
        <v>20.584240000000001</v>
      </c>
      <c r="D3108" s="8">
        <v>49</v>
      </c>
      <c r="E3108" s="8">
        <v>0</v>
      </c>
      <c r="F3108" s="8">
        <v>0</v>
      </c>
      <c r="G3108" s="8">
        <v>4</v>
      </c>
      <c r="H3108" s="8" t="s">
        <v>6537</v>
      </c>
      <c r="I3108" s="8">
        <v>526.6875</v>
      </c>
      <c r="J3108" s="3">
        <f t="shared" si="48"/>
        <v>43747.682750763888</v>
      </c>
    </row>
    <row r="3109" spans="1:10" x14ac:dyDescent="0.25">
      <c r="A3109" s="5" t="s">
        <v>6538</v>
      </c>
      <c r="B3109" s="6">
        <v>393.75</v>
      </c>
      <c r="C3109" s="6">
        <v>20.584240000000001</v>
      </c>
      <c r="D3109" s="6">
        <v>48</v>
      </c>
      <c r="E3109" s="6">
        <v>0</v>
      </c>
      <c r="F3109" s="6">
        <v>0</v>
      </c>
      <c r="G3109" s="6">
        <v>10</v>
      </c>
      <c r="H3109" s="6" t="s">
        <v>6539</v>
      </c>
      <c r="I3109" s="6">
        <v>526.6875</v>
      </c>
      <c r="J3109" s="2">
        <f t="shared" si="48"/>
        <v>43747.682834201383</v>
      </c>
    </row>
    <row r="3110" spans="1:10" x14ac:dyDescent="0.25">
      <c r="A3110" s="7" t="s">
        <v>6540</v>
      </c>
      <c r="B3110" s="8">
        <v>393.75</v>
      </c>
      <c r="C3110" s="8">
        <v>20.584240000000001</v>
      </c>
      <c r="D3110" s="8">
        <v>48</v>
      </c>
      <c r="E3110" s="8">
        <v>0</v>
      </c>
      <c r="F3110" s="8">
        <v>0</v>
      </c>
      <c r="G3110" s="8">
        <v>10</v>
      </c>
      <c r="H3110" s="8" t="s">
        <v>6541</v>
      </c>
      <c r="I3110" s="8">
        <v>526.6875</v>
      </c>
      <c r="J3110" s="3">
        <f t="shared" si="48"/>
        <v>43747.682917650462</v>
      </c>
    </row>
    <row r="3111" spans="1:10" x14ac:dyDescent="0.25">
      <c r="A3111" s="5" t="s">
        <v>6542</v>
      </c>
      <c r="B3111" s="6">
        <v>393.75</v>
      </c>
      <c r="C3111" s="6">
        <v>20.584240000000001</v>
      </c>
      <c r="D3111" s="6">
        <v>49</v>
      </c>
      <c r="E3111" s="6">
        <v>0</v>
      </c>
      <c r="F3111" s="6">
        <v>0</v>
      </c>
      <c r="G3111" s="6">
        <v>14</v>
      </c>
      <c r="H3111" s="6" t="s">
        <v>6543</v>
      </c>
      <c r="I3111" s="6">
        <v>526.6875</v>
      </c>
      <c r="J3111" s="2">
        <f t="shared" si="48"/>
        <v>43747.683000960642</v>
      </c>
    </row>
    <row r="3112" spans="1:10" x14ac:dyDescent="0.25">
      <c r="A3112" s="7" t="s">
        <v>6544</v>
      </c>
      <c r="B3112" s="8">
        <v>393.75</v>
      </c>
      <c r="C3112" s="8">
        <v>20.584240000000001</v>
      </c>
      <c r="D3112" s="8">
        <v>49</v>
      </c>
      <c r="E3112" s="8">
        <v>0</v>
      </c>
      <c r="F3112" s="8">
        <v>0</v>
      </c>
      <c r="G3112" s="8">
        <v>13</v>
      </c>
      <c r="H3112" s="8" t="s">
        <v>6545</v>
      </c>
      <c r="I3112" s="8">
        <v>526.5</v>
      </c>
      <c r="J3112" s="3">
        <f t="shared" si="48"/>
        <v>43747.683072511572</v>
      </c>
    </row>
    <row r="3113" spans="1:10" x14ac:dyDescent="0.25">
      <c r="A3113" s="5" t="s">
        <v>6546</v>
      </c>
      <c r="B3113" s="6">
        <v>396.875</v>
      </c>
      <c r="C3113" s="6">
        <v>20.584240000000001</v>
      </c>
      <c r="D3113" s="6">
        <v>50</v>
      </c>
      <c r="E3113" s="6">
        <v>0</v>
      </c>
      <c r="F3113" s="6">
        <v>0</v>
      </c>
      <c r="G3113" s="6">
        <v>6</v>
      </c>
      <c r="H3113" s="6" t="s">
        <v>6547</v>
      </c>
      <c r="I3113" s="6">
        <v>527.4375</v>
      </c>
      <c r="J3113" s="2">
        <f t="shared" si="48"/>
        <v>43747.683156307867</v>
      </c>
    </row>
    <row r="3114" spans="1:10" x14ac:dyDescent="0.25">
      <c r="A3114" s="7" t="s">
        <v>6548</v>
      </c>
      <c r="B3114" s="8">
        <v>396.875</v>
      </c>
      <c r="C3114" s="8">
        <v>20.531590000000001</v>
      </c>
      <c r="D3114" s="8">
        <v>50</v>
      </c>
      <c r="E3114" s="8">
        <v>0</v>
      </c>
      <c r="F3114" s="8">
        <v>0</v>
      </c>
      <c r="G3114" s="8">
        <v>6</v>
      </c>
      <c r="H3114" s="8" t="s">
        <v>6549</v>
      </c>
      <c r="I3114" s="8">
        <v>527.4375</v>
      </c>
      <c r="J3114" s="3">
        <f t="shared" si="48"/>
        <v>43747.683239641199</v>
      </c>
    </row>
    <row r="3115" spans="1:10" x14ac:dyDescent="0.25">
      <c r="A3115" s="5" t="s">
        <v>6550</v>
      </c>
      <c r="B3115" s="6">
        <v>393.75</v>
      </c>
      <c r="C3115" s="6">
        <v>20.584240000000001</v>
      </c>
      <c r="D3115" s="6">
        <v>47</v>
      </c>
      <c r="E3115" s="6">
        <v>0</v>
      </c>
      <c r="F3115" s="6">
        <v>0</v>
      </c>
      <c r="G3115" s="6">
        <v>4</v>
      </c>
      <c r="H3115" s="6" t="s">
        <v>6551</v>
      </c>
      <c r="I3115" s="6">
        <v>526.6875</v>
      </c>
      <c r="J3115" s="2">
        <f t="shared" si="48"/>
        <v>43747.683323009252</v>
      </c>
    </row>
    <row r="3116" spans="1:10" x14ac:dyDescent="0.25">
      <c r="A3116" s="7" t="s">
        <v>6552</v>
      </c>
      <c r="B3116" s="8">
        <v>393.75</v>
      </c>
      <c r="C3116" s="8">
        <v>20.584240000000001</v>
      </c>
      <c r="D3116" s="8">
        <v>47</v>
      </c>
      <c r="E3116" s="8">
        <v>0</v>
      </c>
      <c r="F3116" s="8">
        <v>0</v>
      </c>
      <c r="G3116" s="8">
        <v>5</v>
      </c>
      <c r="H3116" s="8" t="s">
        <v>6553</v>
      </c>
      <c r="I3116" s="8">
        <v>526.5</v>
      </c>
      <c r="J3116" s="3">
        <f t="shared" si="48"/>
        <v>43747.683417638887</v>
      </c>
    </row>
    <row r="3117" spans="1:10" x14ac:dyDescent="0.25">
      <c r="A3117" s="5" t="s">
        <v>6554</v>
      </c>
      <c r="B3117" s="6">
        <v>396.875</v>
      </c>
      <c r="C3117" s="6">
        <v>20.531590000000001</v>
      </c>
      <c r="D3117" s="6">
        <v>47</v>
      </c>
      <c r="E3117" s="6">
        <v>0</v>
      </c>
      <c r="F3117" s="6">
        <v>0</v>
      </c>
      <c r="G3117" s="6">
        <v>11</v>
      </c>
      <c r="H3117" s="6" t="s">
        <v>6555</v>
      </c>
      <c r="I3117" s="6">
        <v>527.4375</v>
      </c>
      <c r="J3117" s="2">
        <f t="shared" si="48"/>
        <v>43747.68350190972</v>
      </c>
    </row>
    <row r="3118" spans="1:10" x14ac:dyDescent="0.25">
      <c r="A3118" s="7" t="s">
        <v>6556</v>
      </c>
      <c r="B3118" s="8">
        <v>393.75</v>
      </c>
      <c r="C3118" s="8">
        <v>20.584240000000001</v>
      </c>
      <c r="D3118" s="8">
        <v>47</v>
      </c>
      <c r="E3118" s="8">
        <v>0</v>
      </c>
      <c r="F3118" s="8">
        <v>0</v>
      </c>
      <c r="G3118" s="8">
        <v>7</v>
      </c>
      <c r="H3118" s="8" t="s">
        <v>6557</v>
      </c>
      <c r="I3118" s="8">
        <v>526.6875</v>
      </c>
      <c r="J3118" s="3">
        <f t="shared" si="48"/>
        <v>43747.683585370367</v>
      </c>
    </row>
    <row r="3119" spans="1:10" x14ac:dyDescent="0.25">
      <c r="A3119" s="5" t="s">
        <v>6558</v>
      </c>
      <c r="B3119" s="6">
        <v>393.75</v>
      </c>
      <c r="C3119" s="6">
        <v>20.584240000000001</v>
      </c>
      <c r="D3119" s="6">
        <v>47</v>
      </c>
      <c r="E3119" s="6">
        <v>0</v>
      </c>
      <c r="F3119" s="6">
        <v>0</v>
      </c>
      <c r="G3119" s="6">
        <v>3</v>
      </c>
      <c r="H3119" s="6" t="s">
        <v>6559</v>
      </c>
      <c r="I3119" s="6">
        <v>526.6875</v>
      </c>
      <c r="J3119" s="2">
        <f t="shared" si="48"/>
        <v>43747.683668472215</v>
      </c>
    </row>
    <row r="3120" spans="1:10" x14ac:dyDescent="0.25">
      <c r="A3120" s="7" t="s">
        <v>6560</v>
      </c>
      <c r="B3120" s="8">
        <v>393.75</v>
      </c>
      <c r="C3120" s="8">
        <v>20.584240000000001</v>
      </c>
      <c r="D3120" s="8">
        <v>47</v>
      </c>
      <c r="E3120" s="8">
        <v>0</v>
      </c>
      <c r="F3120" s="8">
        <v>0</v>
      </c>
      <c r="G3120" s="8">
        <v>7</v>
      </c>
      <c r="H3120" s="8" t="s">
        <v>6561</v>
      </c>
      <c r="I3120" s="8">
        <v>526.6875</v>
      </c>
      <c r="J3120" s="3">
        <f t="shared" si="48"/>
        <v>43747.68374054398</v>
      </c>
    </row>
    <row r="3121" spans="1:10" x14ac:dyDescent="0.25">
      <c r="A3121" s="5" t="s">
        <v>6562</v>
      </c>
      <c r="B3121" s="6">
        <v>393.75</v>
      </c>
      <c r="C3121" s="6">
        <v>20.531590000000001</v>
      </c>
      <c r="D3121" s="6">
        <v>47</v>
      </c>
      <c r="E3121" s="6">
        <v>0</v>
      </c>
      <c r="F3121" s="6">
        <v>0</v>
      </c>
      <c r="G3121" s="6">
        <v>6</v>
      </c>
      <c r="H3121" s="6" t="s">
        <v>6563</v>
      </c>
      <c r="I3121" s="6">
        <v>526.6875</v>
      </c>
      <c r="J3121" s="2">
        <f t="shared" si="48"/>
        <v>43747.683824016196</v>
      </c>
    </row>
    <row r="3122" spans="1:10" x14ac:dyDescent="0.25">
      <c r="A3122" s="7" t="s">
        <v>6564</v>
      </c>
      <c r="B3122" s="8">
        <v>393.75</v>
      </c>
      <c r="C3122" s="8">
        <v>20.584240000000001</v>
      </c>
      <c r="D3122" s="8">
        <v>46</v>
      </c>
      <c r="E3122" s="8">
        <v>0</v>
      </c>
      <c r="F3122" s="8">
        <v>0</v>
      </c>
      <c r="G3122" s="8">
        <v>5</v>
      </c>
      <c r="H3122" s="8" t="s">
        <v>6565</v>
      </c>
      <c r="I3122" s="8">
        <v>526.6875</v>
      </c>
      <c r="J3122" s="3">
        <f t="shared" si="48"/>
        <v>43747.683895092589</v>
      </c>
    </row>
    <row r="3123" spans="1:10" x14ac:dyDescent="0.25">
      <c r="A3123" s="5" t="s">
        <v>6566</v>
      </c>
      <c r="B3123" s="6">
        <v>393.75</v>
      </c>
      <c r="C3123" s="6">
        <v>20.584240000000001</v>
      </c>
      <c r="D3123" s="6">
        <v>48</v>
      </c>
      <c r="E3123" s="6">
        <v>0</v>
      </c>
      <c r="F3123" s="6">
        <v>0</v>
      </c>
      <c r="G3123" s="6">
        <v>5</v>
      </c>
      <c r="H3123" s="6" t="s">
        <v>6567</v>
      </c>
      <c r="I3123" s="6">
        <v>526.6875</v>
      </c>
      <c r="J3123" s="2">
        <f t="shared" si="48"/>
        <v>43747.68397854166</v>
      </c>
    </row>
    <row r="3124" spans="1:10" x14ac:dyDescent="0.25">
      <c r="A3124" s="7" t="s">
        <v>6568</v>
      </c>
      <c r="B3124" s="8">
        <v>393.75</v>
      </c>
      <c r="C3124" s="8">
        <v>20.584240000000001</v>
      </c>
      <c r="D3124" s="8">
        <v>48</v>
      </c>
      <c r="E3124" s="8">
        <v>0</v>
      </c>
      <c r="F3124" s="8">
        <v>0</v>
      </c>
      <c r="G3124" s="8">
        <v>16</v>
      </c>
      <c r="H3124" s="8" t="s">
        <v>6569</v>
      </c>
      <c r="I3124" s="8">
        <v>526.6875</v>
      </c>
      <c r="J3124" s="3">
        <f t="shared" si="48"/>
        <v>43747.684050289354</v>
      </c>
    </row>
    <row r="3125" spans="1:10" x14ac:dyDescent="0.25">
      <c r="A3125" s="5" t="s">
        <v>6570</v>
      </c>
      <c r="B3125" s="6">
        <v>393.75</v>
      </c>
      <c r="C3125" s="6">
        <v>20.584240000000001</v>
      </c>
      <c r="D3125" s="6">
        <v>47</v>
      </c>
      <c r="E3125" s="6">
        <v>0</v>
      </c>
      <c r="F3125" s="6">
        <v>0</v>
      </c>
      <c r="G3125" s="6">
        <v>10</v>
      </c>
      <c r="H3125" s="6" t="s">
        <v>6571</v>
      </c>
      <c r="I3125" s="6">
        <v>526.6875</v>
      </c>
      <c r="J3125" s="2">
        <f t="shared" si="48"/>
        <v>43747.684146030086</v>
      </c>
    </row>
    <row r="3126" spans="1:10" x14ac:dyDescent="0.25">
      <c r="A3126" s="7" t="s">
        <v>6572</v>
      </c>
      <c r="B3126" s="8">
        <v>393.75</v>
      </c>
      <c r="C3126" s="8">
        <v>20.584240000000001</v>
      </c>
      <c r="D3126" s="8">
        <v>49</v>
      </c>
      <c r="E3126" s="8">
        <v>0</v>
      </c>
      <c r="F3126" s="8">
        <v>0</v>
      </c>
      <c r="G3126" s="8">
        <v>15</v>
      </c>
      <c r="H3126" s="8" t="s">
        <v>6573</v>
      </c>
      <c r="I3126" s="8">
        <v>526.5</v>
      </c>
      <c r="J3126" s="3">
        <f t="shared" si="48"/>
        <v>43747.684217233793</v>
      </c>
    </row>
    <row r="3127" spans="1:10" x14ac:dyDescent="0.25">
      <c r="A3127" s="5" t="s">
        <v>6574</v>
      </c>
      <c r="B3127" s="6">
        <v>412.5</v>
      </c>
      <c r="C3127" s="6">
        <v>20.584240000000001</v>
      </c>
      <c r="D3127" s="6">
        <v>48</v>
      </c>
      <c r="E3127" s="6">
        <v>0</v>
      </c>
      <c r="F3127" s="6">
        <v>0</v>
      </c>
      <c r="G3127" s="6">
        <v>10</v>
      </c>
      <c r="H3127" s="6" t="s">
        <v>6575</v>
      </c>
      <c r="I3127" s="6">
        <v>532.3125</v>
      </c>
      <c r="J3127" s="2">
        <f t="shared" si="48"/>
        <v>43747.684300706016</v>
      </c>
    </row>
    <row r="3128" spans="1:10" x14ac:dyDescent="0.25">
      <c r="A3128" s="7" t="s">
        <v>6576</v>
      </c>
      <c r="B3128" s="8">
        <v>393.75</v>
      </c>
      <c r="C3128" s="8">
        <v>20.531590000000001</v>
      </c>
      <c r="D3128" s="8">
        <v>49</v>
      </c>
      <c r="E3128" s="8">
        <v>0</v>
      </c>
      <c r="F3128" s="8">
        <v>0</v>
      </c>
      <c r="G3128" s="8">
        <v>11</v>
      </c>
      <c r="H3128" s="8" t="s">
        <v>6577</v>
      </c>
      <c r="I3128" s="8">
        <v>526.6875</v>
      </c>
      <c r="J3128" s="3">
        <f t="shared" si="48"/>
        <v>43747.684384247681</v>
      </c>
    </row>
    <row r="3129" spans="1:10" x14ac:dyDescent="0.25">
      <c r="A3129" s="5" t="s">
        <v>6578</v>
      </c>
      <c r="B3129" s="6">
        <v>393.75</v>
      </c>
      <c r="C3129" s="6">
        <v>20.531590000000001</v>
      </c>
      <c r="D3129" s="6">
        <v>49</v>
      </c>
      <c r="E3129" s="6">
        <v>0</v>
      </c>
      <c r="F3129" s="6">
        <v>0</v>
      </c>
      <c r="G3129" s="6">
        <v>10</v>
      </c>
      <c r="H3129" s="6" t="s">
        <v>6579</v>
      </c>
      <c r="I3129" s="6">
        <v>526.6875</v>
      </c>
      <c r="J3129" s="2">
        <f t="shared" si="48"/>
        <v>43747.684467465275</v>
      </c>
    </row>
    <row r="3130" spans="1:10" x14ac:dyDescent="0.25">
      <c r="A3130" s="7" t="s">
        <v>6580</v>
      </c>
      <c r="B3130" s="8">
        <v>393.75</v>
      </c>
      <c r="C3130" s="8">
        <v>20.584240000000001</v>
      </c>
      <c r="D3130" s="8">
        <v>52</v>
      </c>
      <c r="E3130" s="8">
        <v>0</v>
      </c>
      <c r="F3130" s="8">
        <v>0</v>
      </c>
      <c r="G3130" s="8">
        <v>9</v>
      </c>
      <c r="H3130" s="8" t="s">
        <v>6581</v>
      </c>
      <c r="I3130" s="8">
        <v>526.6875</v>
      </c>
      <c r="J3130" s="3">
        <f t="shared" si="48"/>
        <v>43747.684551168983</v>
      </c>
    </row>
    <row r="3131" spans="1:10" x14ac:dyDescent="0.25">
      <c r="A3131" s="5" t="s">
        <v>6582</v>
      </c>
      <c r="B3131" s="6">
        <v>393.75</v>
      </c>
      <c r="C3131" s="6">
        <v>20.584240000000001</v>
      </c>
      <c r="D3131" s="6">
        <v>50</v>
      </c>
      <c r="E3131" s="6">
        <v>0</v>
      </c>
      <c r="F3131" s="6">
        <v>0</v>
      </c>
      <c r="G3131" s="6">
        <v>10</v>
      </c>
      <c r="H3131" s="6" t="s">
        <v>6583</v>
      </c>
      <c r="I3131" s="6">
        <v>526.6875</v>
      </c>
      <c r="J3131" s="2">
        <f t="shared" si="48"/>
        <v>43747.684634733792</v>
      </c>
    </row>
    <row r="3132" spans="1:10" x14ac:dyDescent="0.25">
      <c r="A3132" s="7" t="s">
        <v>6584</v>
      </c>
      <c r="B3132" s="8">
        <v>393.75</v>
      </c>
      <c r="C3132" s="8">
        <v>20.584240000000001</v>
      </c>
      <c r="D3132" s="8">
        <v>50</v>
      </c>
      <c r="E3132" s="8">
        <v>0</v>
      </c>
      <c r="F3132" s="8">
        <v>0</v>
      </c>
      <c r="G3132" s="8">
        <v>9</v>
      </c>
      <c r="H3132" s="8" t="s">
        <v>6585</v>
      </c>
      <c r="I3132" s="8">
        <v>526.6875</v>
      </c>
      <c r="J3132" s="3">
        <f t="shared" si="48"/>
        <v>43747.684706238426</v>
      </c>
    </row>
    <row r="3133" spans="1:10" x14ac:dyDescent="0.25">
      <c r="A3133" s="5" t="s">
        <v>6586</v>
      </c>
      <c r="B3133" s="6">
        <v>393.75</v>
      </c>
      <c r="C3133" s="6">
        <v>20.584240000000001</v>
      </c>
      <c r="D3133" s="6">
        <v>51</v>
      </c>
      <c r="E3133" s="6">
        <v>0</v>
      </c>
      <c r="F3133" s="6">
        <v>0</v>
      </c>
      <c r="G3133" s="6">
        <v>15</v>
      </c>
      <c r="H3133" s="6" t="s">
        <v>6587</v>
      </c>
      <c r="I3133" s="6">
        <v>526.6875</v>
      </c>
      <c r="J3133" s="2">
        <f t="shared" si="48"/>
        <v>43747.684777916664</v>
      </c>
    </row>
    <row r="3134" spans="1:10" x14ac:dyDescent="0.25">
      <c r="A3134" s="7" t="s">
        <v>6588</v>
      </c>
      <c r="B3134" s="8">
        <v>393.75</v>
      </c>
      <c r="C3134" s="8">
        <v>20.584240000000001</v>
      </c>
      <c r="D3134" s="8">
        <v>52</v>
      </c>
      <c r="E3134" s="8">
        <v>0</v>
      </c>
      <c r="F3134" s="8">
        <v>0</v>
      </c>
      <c r="G3134" s="8">
        <v>9</v>
      </c>
      <c r="H3134" s="8" t="s">
        <v>6589</v>
      </c>
      <c r="I3134" s="8">
        <v>526.6875</v>
      </c>
      <c r="J3134" s="3">
        <f t="shared" si="48"/>
        <v>43747.684861238427</v>
      </c>
    </row>
    <row r="3135" spans="1:10" x14ac:dyDescent="0.25">
      <c r="A3135" s="5" t="s">
        <v>6590</v>
      </c>
      <c r="B3135" s="6">
        <v>393.75</v>
      </c>
      <c r="C3135" s="6">
        <v>20.584240000000001</v>
      </c>
      <c r="D3135" s="6">
        <v>50</v>
      </c>
      <c r="E3135" s="6">
        <v>0</v>
      </c>
      <c r="F3135" s="6">
        <v>0</v>
      </c>
      <c r="G3135" s="6">
        <v>9</v>
      </c>
      <c r="H3135" s="6" t="s">
        <v>6591</v>
      </c>
      <c r="I3135" s="6">
        <v>526.6875</v>
      </c>
      <c r="J3135" s="2">
        <f t="shared" si="48"/>
        <v>43747.684944664354</v>
      </c>
    </row>
    <row r="3136" spans="1:10" x14ac:dyDescent="0.25">
      <c r="A3136" s="7" t="s">
        <v>6592</v>
      </c>
      <c r="B3136" s="8">
        <v>393.75</v>
      </c>
      <c r="C3136" s="8">
        <v>20.584240000000001</v>
      </c>
      <c r="D3136" s="8">
        <v>51</v>
      </c>
      <c r="E3136" s="8">
        <v>0</v>
      </c>
      <c r="F3136" s="8">
        <v>0</v>
      </c>
      <c r="G3136" s="8">
        <v>8</v>
      </c>
      <c r="H3136" s="8" t="s">
        <v>6593</v>
      </c>
      <c r="I3136" s="8">
        <v>526.6875</v>
      </c>
      <c r="J3136" s="3">
        <f t="shared" si="48"/>
        <v>43747.68502813657</v>
      </c>
    </row>
    <row r="3137" spans="1:10" x14ac:dyDescent="0.25">
      <c r="A3137" s="5" t="s">
        <v>6594</v>
      </c>
      <c r="B3137" s="6">
        <v>418.75</v>
      </c>
      <c r="C3137" s="6">
        <v>20.584240000000001</v>
      </c>
      <c r="D3137" s="6">
        <v>51</v>
      </c>
      <c r="E3137" s="6">
        <v>0</v>
      </c>
      <c r="F3137" s="6">
        <v>0</v>
      </c>
      <c r="G3137" s="6">
        <v>10</v>
      </c>
      <c r="H3137" s="6" t="s">
        <v>6595</v>
      </c>
      <c r="I3137" s="6">
        <v>534.9375</v>
      </c>
      <c r="J3137" s="2">
        <f t="shared" si="48"/>
        <v>43747.685111701387</v>
      </c>
    </row>
    <row r="3138" spans="1:10" x14ac:dyDescent="0.25">
      <c r="A3138" s="7" t="s">
        <v>6596</v>
      </c>
      <c r="B3138" s="8">
        <v>393.75</v>
      </c>
      <c r="C3138" s="8">
        <v>20.584240000000001</v>
      </c>
      <c r="D3138" s="8">
        <v>51</v>
      </c>
      <c r="E3138" s="8">
        <v>0</v>
      </c>
      <c r="F3138" s="8">
        <v>0</v>
      </c>
      <c r="G3138" s="8">
        <v>8</v>
      </c>
      <c r="H3138" s="8" t="s">
        <v>6597</v>
      </c>
      <c r="I3138" s="8">
        <v>526.6875</v>
      </c>
      <c r="J3138" s="3">
        <f t="shared" ref="J3138:J3201" si="49">(H3138/86400000)+25569+(7/24)</f>
        <v>43747.685195127313</v>
      </c>
    </row>
    <row r="3139" spans="1:10" x14ac:dyDescent="0.25">
      <c r="A3139" s="5" t="s">
        <v>6598</v>
      </c>
      <c r="B3139" s="6">
        <v>393.75</v>
      </c>
      <c r="C3139" s="6">
        <v>20.584240000000001</v>
      </c>
      <c r="D3139" s="6">
        <v>50</v>
      </c>
      <c r="E3139" s="6">
        <v>0</v>
      </c>
      <c r="F3139" s="6">
        <v>0</v>
      </c>
      <c r="G3139" s="6">
        <v>8</v>
      </c>
      <c r="H3139" s="6" t="s">
        <v>6599</v>
      </c>
      <c r="I3139" s="6">
        <v>526.6875</v>
      </c>
      <c r="J3139" s="2">
        <f t="shared" si="49"/>
        <v>43747.685278472221</v>
      </c>
    </row>
    <row r="3140" spans="1:10" x14ac:dyDescent="0.25">
      <c r="A3140" s="7" t="s">
        <v>6600</v>
      </c>
      <c r="B3140" s="8">
        <v>393.75</v>
      </c>
      <c r="C3140" s="8">
        <v>20.584240000000001</v>
      </c>
      <c r="D3140" s="8">
        <v>50</v>
      </c>
      <c r="E3140" s="8">
        <v>0</v>
      </c>
      <c r="F3140" s="8">
        <v>0</v>
      </c>
      <c r="G3140" s="8">
        <v>5</v>
      </c>
      <c r="H3140" s="8" t="s">
        <v>6601</v>
      </c>
      <c r="I3140" s="8">
        <v>526.6875</v>
      </c>
      <c r="J3140" s="3">
        <f t="shared" si="49"/>
        <v>43747.685362025462</v>
      </c>
    </row>
    <row r="3141" spans="1:10" x14ac:dyDescent="0.25">
      <c r="A3141" s="5" t="s">
        <v>6602</v>
      </c>
      <c r="B3141" s="6">
        <v>393.75</v>
      </c>
      <c r="C3141" s="6">
        <v>20.584240000000001</v>
      </c>
      <c r="D3141" s="6">
        <v>49</v>
      </c>
      <c r="E3141" s="6">
        <v>0</v>
      </c>
      <c r="F3141" s="6">
        <v>0</v>
      </c>
      <c r="G3141" s="6">
        <v>0</v>
      </c>
      <c r="H3141" s="6" t="s">
        <v>6603</v>
      </c>
      <c r="I3141" s="6">
        <v>526.6875</v>
      </c>
      <c r="J3141" s="2">
        <f t="shared" si="49"/>
        <v>43747.685445243049</v>
      </c>
    </row>
    <row r="3142" spans="1:10" x14ac:dyDescent="0.25">
      <c r="A3142" s="7" t="s">
        <v>6604</v>
      </c>
      <c r="B3142" s="8">
        <v>393.75</v>
      </c>
      <c r="C3142" s="8">
        <v>20.584240000000001</v>
      </c>
      <c r="D3142" s="8">
        <v>49</v>
      </c>
      <c r="E3142" s="8">
        <v>0</v>
      </c>
      <c r="F3142" s="8">
        <v>0</v>
      </c>
      <c r="G3142" s="8">
        <v>3</v>
      </c>
      <c r="H3142" s="8" t="s">
        <v>6605</v>
      </c>
      <c r="I3142" s="8">
        <v>526.6875</v>
      </c>
      <c r="J3142" s="3">
        <f t="shared" si="49"/>
        <v>43747.685532881944</v>
      </c>
    </row>
    <row r="3143" spans="1:10" x14ac:dyDescent="0.25">
      <c r="A3143" s="5" t="s">
        <v>6606</v>
      </c>
      <c r="B3143" s="6">
        <v>393.75</v>
      </c>
      <c r="C3143" s="6">
        <v>20.584240000000001</v>
      </c>
      <c r="D3143" s="6">
        <v>49</v>
      </c>
      <c r="E3143" s="6">
        <v>0</v>
      </c>
      <c r="F3143" s="6">
        <v>0</v>
      </c>
      <c r="G3143" s="6">
        <v>8</v>
      </c>
      <c r="H3143" s="6" t="s">
        <v>6607</v>
      </c>
      <c r="I3143" s="6">
        <v>526.6875</v>
      </c>
      <c r="J3143" s="2">
        <f t="shared" si="49"/>
        <v>43747.68561260416</v>
      </c>
    </row>
    <row r="3144" spans="1:10" x14ac:dyDescent="0.25">
      <c r="A3144" s="7" t="s">
        <v>6608</v>
      </c>
      <c r="B3144" s="8">
        <v>425</v>
      </c>
      <c r="C3144" s="8">
        <v>20.584240000000001</v>
      </c>
      <c r="D3144" s="8">
        <v>48</v>
      </c>
      <c r="E3144" s="8">
        <v>0</v>
      </c>
      <c r="F3144" s="8">
        <v>0</v>
      </c>
      <c r="G3144" s="8">
        <v>9</v>
      </c>
      <c r="H3144" s="8" t="s">
        <v>6609</v>
      </c>
      <c r="I3144" s="8">
        <v>536.0625</v>
      </c>
      <c r="J3144" s="3">
        <f t="shared" si="49"/>
        <v>43747.685684039352</v>
      </c>
    </row>
    <row r="3145" spans="1:10" x14ac:dyDescent="0.25">
      <c r="A3145" s="5" t="s">
        <v>6610</v>
      </c>
      <c r="B3145" s="6">
        <v>393.75</v>
      </c>
      <c r="C3145" s="6">
        <v>20.584240000000001</v>
      </c>
      <c r="D3145" s="6">
        <v>49</v>
      </c>
      <c r="E3145" s="6">
        <v>0</v>
      </c>
      <c r="F3145" s="6">
        <v>0</v>
      </c>
      <c r="G3145" s="6">
        <v>9</v>
      </c>
      <c r="H3145" s="6" t="s">
        <v>6611</v>
      </c>
      <c r="I3145" s="6">
        <v>526.6875</v>
      </c>
      <c r="J3145" s="2">
        <f t="shared" si="49"/>
        <v>43747.685767372684</v>
      </c>
    </row>
    <row r="3146" spans="1:10" x14ac:dyDescent="0.25">
      <c r="A3146" s="7" t="s">
        <v>6612</v>
      </c>
      <c r="B3146" s="8">
        <v>393.75</v>
      </c>
      <c r="C3146" s="8">
        <v>20.584240000000001</v>
      </c>
      <c r="D3146" s="8">
        <v>48</v>
      </c>
      <c r="E3146" s="8">
        <v>0</v>
      </c>
      <c r="F3146" s="8">
        <v>0</v>
      </c>
      <c r="G3146" s="8">
        <v>1</v>
      </c>
      <c r="H3146" s="8" t="s">
        <v>6613</v>
      </c>
      <c r="I3146" s="8">
        <v>526.5</v>
      </c>
      <c r="J3146" s="3">
        <f t="shared" si="49"/>
        <v>43747.685839016201</v>
      </c>
    </row>
    <row r="3147" spans="1:10" x14ac:dyDescent="0.25">
      <c r="A3147" s="5" t="s">
        <v>6614</v>
      </c>
      <c r="B3147" s="6">
        <v>393.75</v>
      </c>
      <c r="C3147" s="6">
        <v>20.584240000000001</v>
      </c>
      <c r="D3147" s="6">
        <v>48</v>
      </c>
      <c r="E3147" s="6">
        <v>0</v>
      </c>
      <c r="F3147" s="6">
        <v>0</v>
      </c>
      <c r="G3147" s="6">
        <v>9</v>
      </c>
      <c r="H3147" s="6" t="s">
        <v>6615</v>
      </c>
      <c r="I3147" s="6">
        <v>526.5</v>
      </c>
      <c r="J3147" s="2">
        <f t="shared" si="49"/>
        <v>43747.685922557866</v>
      </c>
    </row>
    <row r="3148" spans="1:10" x14ac:dyDescent="0.25">
      <c r="A3148" s="7" t="s">
        <v>6616</v>
      </c>
      <c r="B3148" s="8">
        <v>393.75</v>
      </c>
      <c r="C3148" s="8">
        <v>20.584240000000001</v>
      </c>
      <c r="D3148" s="8">
        <v>49</v>
      </c>
      <c r="E3148" s="8">
        <v>0</v>
      </c>
      <c r="F3148" s="8">
        <v>0</v>
      </c>
      <c r="G3148" s="8">
        <v>3</v>
      </c>
      <c r="H3148" s="8" t="s">
        <v>6617</v>
      </c>
      <c r="I3148" s="8">
        <v>526.6875</v>
      </c>
      <c r="J3148" s="3">
        <f t="shared" si="49"/>
        <v>43747.686006018521</v>
      </c>
    </row>
    <row r="3149" spans="1:10" x14ac:dyDescent="0.25">
      <c r="A3149" s="5" t="s">
        <v>6618</v>
      </c>
      <c r="B3149" s="6">
        <v>393.75</v>
      </c>
      <c r="C3149" s="6">
        <v>20.584240000000001</v>
      </c>
      <c r="D3149" s="6">
        <v>48</v>
      </c>
      <c r="E3149" s="6">
        <v>0</v>
      </c>
      <c r="F3149" s="6">
        <v>0</v>
      </c>
      <c r="G3149" s="6">
        <v>15</v>
      </c>
      <c r="H3149" s="6" t="s">
        <v>6619</v>
      </c>
      <c r="I3149" s="6">
        <v>526.6875</v>
      </c>
      <c r="J3149" s="2">
        <f t="shared" si="49"/>
        <v>43747.686089594907</v>
      </c>
    </row>
    <row r="3150" spans="1:10" x14ac:dyDescent="0.25">
      <c r="A3150" s="7" t="s">
        <v>6620</v>
      </c>
      <c r="B3150" s="8">
        <v>393.75</v>
      </c>
      <c r="C3150" s="8">
        <v>20.584240000000001</v>
      </c>
      <c r="D3150" s="8">
        <v>48</v>
      </c>
      <c r="E3150" s="8">
        <v>0</v>
      </c>
      <c r="F3150" s="8">
        <v>0</v>
      </c>
      <c r="G3150" s="8">
        <v>11</v>
      </c>
      <c r="H3150" s="8" t="s">
        <v>6621</v>
      </c>
      <c r="I3150" s="8">
        <v>526.6875</v>
      </c>
      <c r="J3150" s="3">
        <f t="shared" si="49"/>
        <v>43747.686184907405</v>
      </c>
    </row>
    <row r="3151" spans="1:10" x14ac:dyDescent="0.25">
      <c r="A3151" s="5" t="s">
        <v>6622</v>
      </c>
      <c r="B3151" s="6">
        <v>393.75</v>
      </c>
      <c r="C3151" s="6">
        <v>20.584240000000001</v>
      </c>
      <c r="D3151" s="6">
        <v>49</v>
      </c>
      <c r="E3151" s="6">
        <v>0</v>
      </c>
      <c r="F3151" s="6">
        <v>0</v>
      </c>
      <c r="G3151" s="6">
        <v>8</v>
      </c>
      <c r="H3151" s="6" t="s">
        <v>6623</v>
      </c>
      <c r="I3151" s="6">
        <v>526.6875</v>
      </c>
      <c r="J3151" s="2">
        <f t="shared" si="49"/>
        <v>43747.686268414349</v>
      </c>
    </row>
    <row r="3152" spans="1:10" x14ac:dyDescent="0.25">
      <c r="A3152" s="7" t="s">
        <v>6624</v>
      </c>
      <c r="B3152" s="8">
        <v>393.75</v>
      </c>
      <c r="C3152" s="8">
        <v>20.531590000000001</v>
      </c>
      <c r="D3152" s="8">
        <v>48</v>
      </c>
      <c r="E3152" s="8">
        <v>0</v>
      </c>
      <c r="F3152" s="8">
        <v>0</v>
      </c>
      <c r="G3152" s="8">
        <v>7</v>
      </c>
      <c r="H3152" s="8" t="s">
        <v>6625</v>
      </c>
      <c r="I3152" s="8">
        <v>526.6875</v>
      </c>
      <c r="J3152" s="3">
        <f t="shared" si="49"/>
        <v>43747.686339918982</v>
      </c>
    </row>
    <row r="3153" spans="1:10" x14ac:dyDescent="0.25">
      <c r="A3153" s="5" t="s">
        <v>6626</v>
      </c>
      <c r="B3153" s="6">
        <v>393.75</v>
      </c>
      <c r="C3153" s="6">
        <v>20.584240000000001</v>
      </c>
      <c r="D3153" s="6">
        <v>48</v>
      </c>
      <c r="E3153" s="6">
        <v>0</v>
      </c>
      <c r="F3153" s="6">
        <v>0</v>
      </c>
      <c r="G3153" s="6">
        <v>6</v>
      </c>
      <c r="H3153" s="6" t="s">
        <v>6627</v>
      </c>
      <c r="I3153" s="6">
        <v>526.6875</v>
      </c>
      <c r="J3153" s="2">
        <f t="shared" si="49"/>
        <v>43747.686423032406</v>
      </c>
    </row>
    <row r="3154" spans="1:10" x14ac:dyDescent="0.25">
      <c r="A3154" s="7" t="s">
        <v>6628</v>
      </c>
      <c r="B3154" s="8">
        <v>396.875</v>
      </c>
      <c r="C3154" s="8">
        <v>20.584240000000001</v>
      </c>
      <c r="D3154" s="8">
        <v>48</v>
      </c>
      <c r="E3154" s="8">
        <v>0</v>
      </c>
      <c r="F3154" s="8">
        <v>0</v>
      </c>
      <c r="G3154" s="8">
        <v>10</v>
      </c>
      <c r="H3154" s="8" t="s">
        <v>6629</v>
      </c>
      <c r="I3154" s="8">
        <v>527.4375</v>
      </c>
      <c r="J3154" s="3">
        <f t="shared" si="49"/>
        <v>43747.686495254624</v>
      </c>
    </row>
    <row r="3155" spans="1:10" x14ac:dyDescent="0.25">
      <c r="A3155" s="5" t="s">
        <v>6630</v>
      </c>
      <c r="B3155" s="6">
        <v>400</v>
      </c>
      <c r="C3155" s="6">
        <v>20.584240000000001</v>
      </c>
      <c r="D3155" s="6">
        <v>48</v>
      </c>
      <c r="E3155" s="6">
        <v>0</v>
      </c>
      <c r="F3155" s="6">
        <v>0</v>
      </c>
      <c r="G3155" s="6">
        <v>8</v>
      </c>
      <c r="H3155" s="6" t="s">
        <v>6631</v>
      </c>
      <c r="I3155" s="6">
        <v>528.375</v>
      </c>
      <c r="J3155" s="2">
        <f t="shared" si="49"/>
        <v>43747.686578472225</v>
      </c>
    </row>
    <row r="3156" spans="1:10" x14ac:dyDescent="0.25">
      <c r="A3156" s="7" t="s">
        <v>6632</v>
      </c>
      <c r="B3156" s="8">
        <v>400</v>
      </c>
      <c r="C3156" s="8">
        <v>20.584240000000001</v>
      </c>
      <c r="D3156" s="8">
        <v>49</v>
      </c>
      <c r="E3156" s="8">
        <v>0</v>
      </c>
      <c r="F3156" s="8">
        <v>0</v>
      </c>
      <c r="G3156" s="8">
        <v>11</v>
      </c>
      <c r="H3156" s="8" t="s">
        <v>6633</v>
      </c>
      <c r="I3156" s="8">
        <v>528.375</v>
      </c>
      <c r="J3156" s="3">
        <f t="shared" si="49"/>
        <v>43747.686668784721</v>
      </c>
    </row>
    <row r="3157" spans="1:10" x14ac:dyDescent="0.25">
      <c r="A3157" s="5" t="s">
        <v>6634</v>
      </c>
      <c r="B3157" s="6">
        <v>400</v>
      </c>
      <c r="C3157" s="6">
        <v>20.584240000000001</v>
      </c>
      <c r="D3157" s="6">
        <v>48</v>
      </c>
      <c r="E3157" s="6">
        <v>0</v>
      </c>
      <c r="F3157" s="6">
        <v>0</v>
      </c>
      <c r="G3157" s="6">
        <v>0</v>
      </c>
      <c r="H3157" s="6" t="s">
        <v>6635</v>
      </c>
      <c r="I3157" s="6">
        <v>528.375</v>
      </c>
      <c r="J3157" s="2">
        <f t="shared" si="49"/>
        <v>43747.686745266205</v>
      </c>
    </row>
    <row r="3158" spans="1:10" x14ac:dyDescent="0.25">
      <c r="A3158" s="7" t="s">
        <v>6636</v>
      </c>
      <c r="B3158" s="8">
        <v>403.125</v>
      </c>
      <c r="C3158" s="8">
        <v>20.584240000000001</v>
      </c>
      <c r="D3158" s="8">
        <v>49</v>
      </c>
      <c r="E3158" s="8">
        <v>0</v>
      </c>
      <c r="F3158" s="8">
        <v>0</v>
      </c>
      <c r="G3158" s="8">
        <v>1</v>
      </c>
      <c r="H3158" s="8" t="s">
        <v>6637</v>
      </c>
      <c r="I3158" s="8">
        <v>529.125</v>
      </c>
      <c r="J3158" s="3">
        <f t="shared" si="49"/>
        <v>43747.686840613424</v>
      </c>
    </row>
    <row r="3159" spans="1:10" x14ac:dyDescent="0.25">
      <c r="A3159" s="5" t="s">
        <v>6638</v>
      </c>
      <c r="B3159" s="6">
        <v>403.125</v>
      </c>
      <c r="C3159" s="6">
        <v>20.584240000000001</v>
      </c>
      <c r="D3159" s="6">
        <v>49</v>
      </c>
      <c r="E3159" s="6">
        <v>0</v>
      </c>
      <c r="F3159" s="6">
        <v>0</v>
      </c>
      <c r="G3159" s="6">
        <v>4</v>
      </c>
      <c r="H3159" s="6" t="s">
        <v>6639</v>
      </c>
      <c r="I3159" s="6">
        <v>529.125</v>
      </c>
      <c r="J3159" s="2">
        <f t="shared" si="49"/>
        <v>43747.686924178233</v>
      </c>
    </row>
    <row r="3160" spans="1:10" x14ac:dyDescent="0.25">
      <c r="A3160" s="7" t="s">
        <v>6640</v>
      </c>
      <c r="B3160" s="8">
        <v>400</v>
      </c>
      <c r="C3160" s="8">
        <v>20.584240000000001</v>
      </c>
      <c r="D3160" s="8">
        <v>49</v>
      </c>
      <c r="E3160" s="8">
        <v>0</v>
      </c>
      <c r="F3160" s="8">
        <v>0</v>
      </c>
      <c r="G3160" s="8">
        <v>2</v>
      </c>
      <c r="H3160" s="8" t="s">
        <v>6641</v>
      </c>
      <c r="I3160" s="8">
        <v>528.1875</v>
      </c>
      <c r="J3160" s="3">
        <f t="shared" si="49"/>
        <v>43747.687007638888</v>
      </c>
    </row>
    <row r="3161" spans="1:10" x14ac:dyDescent="0.25">
      <c r="A3161" s="5" t="s">
        <v>6642</v>
      </c>
      <c r="B3161" s="6">
        <v>400</v>
      </c>
      <c r="C3161" s="6">
        <v>20.584240000000001</v>
      </c>
      <c r="D3161" s="6">
        <v>49</v>
      </c>
      <c r="E3161" s="6">
        <v>0</v>
      </c>
      <c r="F3161" s="6">
        <v>0</v>
      </c>
      <c r="G3161" s="6">
        <v>0</v>
      </c>
      <c r="H3161" s="6" t="s">
        <v>6643</v>
      </c>
      <c r="I3161" s="6">
        <v>528.375</v>
      </c>
      <c r="J3161" s="2">
        <f t="shared" si="49"/>
        <v>43747.687079386575</v>
      </c>
    </row>
    <row r="3162" spans="1:10" x14ac:dyDescent="0.25">
      <c r="A3162" s="7" t="s">
        <v>6644</v>
      </c>
      <c r="B3162" s="8">
        <v>400</v>
      </c>
      <c r="C3162" s="8">
        <v>20.584240000000001</v>
      </c>
      <c r="D3162" s="8">
        <v>49</v>
      </c>
      <c r="E3162" s="8">
        <v>0</v>
      </c>
      <c r="F3162" s="8">
        <v>0</v>
      </c>
      <c r="G3162" s="8">
        <v>0</v>
      </c>
      <c r="H3162" s="8" t="s">
        <v>6645</v>
      </c>
      <c r="I3162" s="8">
        <v>528.1875</v>
      </c>
      <c r="J3162" s="3">
        <f t="shared" si="49"/>
        <v>43747.687159062501</v>
      </c>
    </row>
    <row r="3163" spans="1:10" x14ac:dyDescent="0.25">
      <c r="A3163" s="5" t="s">
        <v>6646</v>
      </c>
      <c r="B3163" s="6">
        <v>396.875</v>
      </c>
      <c r="C3163" s="6">
        <v>20.584240000000001</v>
      </c>
      <c r="D3163" s="6">
        <v>49</v>
      </c>
      <c r="E3163" s="6">
        <v>0</v>
      </c>
      <c r="F3163" s="6">
        <v>0</v>
      </c>
      <c r="G3163" s="6">
        <v>3</v>
      </c>
      <c r="H3163" s="6" t="s">
        <v>6647</v>
      </c>
      <c r="I3163" s="6">
        <v>527.4375</v>
      </c>
      <c r="J3163" s="2">
        <f t="shared" si="49"/>
        <v>43747.687234016201</v>
      </c>
    </row>
    <row r="3164" spans="1:10" x14ac:dyDescent="0.25">
      <c r="A3164" s="7" t="s">
        <v>6648</v>
      </c>
      <c r="B3164" s="8">
        <v>396.875</v>
      </c>
      <c r="C3164" s="8">
        <v>20.584240000000001</v>
      </c>
      <c r="D3164" s="8">
        <v>51</v>
      </c>
      <c r="E3164" s="8">
        <v>0</v>
      </c>
      <c r="F3164" s="8">
        <v>0</v>
      </c>
      <c r="G3164" s="8">
        <v>3</v>
      </c>
      <c r="H3164" s="8" t="s">
        <v>6649</v>
      </c>
      <c r="I3164" s="8">
        <v>527.4375</v>
      </c>
      <c r="J3164" s="3">
        <f t="shared" si="49"/>
        <v>43747.687317685188</v>
      </c>
    </row>
    <row r="3165" spans="1:10" x14ac:dyDescent="0.25">
      <c r="A3165" s="5" t="s">
        <v>6650</v>
      </c>
      <c r="B3165" s="6">
        <v>393.75</v>
      </c>
      <c r="C3165" s="6">
        <v>20.584240000000001</v>
      </c>
      <c r="D3165" s="6">
        <v>49</v>
      </c>
      <c r="E3165" s="6">
        <v>0</v>
      </c>
      <c r="F3165" s="6">
        <v>0</v>
      </c>
      <c r="G3165" s="6">
        <v>3</v>
      </c>
      <c r="H3165" s="6" t="s">
        <v>6651</v>
      </c>
      <c r="I3165" s="6">
        <v>526.6875</v>
      </c>
      <c r="J3165" s="2">
        <f t="shared" si="49"/>
        <v>43747.68740077546</v>
      </c>
    </row>
    <row r="3166" spans="1:10" x14ac:dyDescent="0.25">
      <c r="A3166" s="7" t="s">
        <v>6652</v>
      </c>
      <c r="B3166" s="8">
        <v>393.75</v>
      </c>
      <c r="C3166" s="8">
        <v>20.584240000000001</v>
      </c>
      <c r="D3166" s="8">
        <v>49</v>
      </c>
      <c r="E3166" s="8">
        <v>0</v>
      </c>
      <c r="F3166" s="8">
        <v>0</v>
      </c>
      <c r="G3166" s="8">
        <v>4</v>
      </c>
      <c r="H3166" s="8" t="s">
        <v>6653</v>
      </c>
      <c r="I3166" s="8">
        <v>526.5</v>
      </c>
      <c r="J3166" s="3">
        <f t="shared" si="49"/>
        <v>43747.687472523146</v>
      </c>
    </row>
    <row r="3167" spans="1:10" x14ac:dyDescent="0.25">
      <c r="A3167" s="5" t="s">
        <v>6654</v>
      </c>
      <c r="B3167" s="6">
        <v>412.5</v>
      </c>
      <c r="C3167" s="6">
        <v>20.584240000000001</v>
      </c>
      <c r="D3167" s="6">
        <v>50</v>
      </c>
      <c r="E3167" s="6">
        <v>0</v>
      </c>
      <c r="F3167" s="6">
        <v>0</v>
      </c>
      <c r="G3167" s="6">
        <v>6</v>
      </c>
      <c r="H3167" s="6" t="s">
        <v>6655</v>
      </c>
      <c r="I3167" s="6">
        <v>532.875</v>
      </c>
      <c r="J3167" s="2">
        <f t="shared" si="49"/>
        <v>43747.687556238423</v>
      </c>
    </row>
    <row r="3168" spans="1:10" x14ac:dyDescent="0.25">
      <c r="A3168" s="7" t="s">
        <v>6656</v>
      </c>
      <c r="B3168" s="8">
        <v>393.75</v>
      </c>
      <c r="C3168" s="8">
        <v>20.584240000000001</v>
      </c>
      <c r="D3168" s="8">
        <v>50</v>
      </c>
      <c r="E3168" s="8">
        <v>0</v>
      </c>
      <c r="F3168" s="8">
        <v>0</v>
      </c>
      <c r="G3168" s="8">
        <v>5</v>
      </c>
      <c r="H3168" s="8" t="s">
        <v>6657</v>
      </c>
      <c r="I3168" s="8">
        <v>526.6875</v>
      </c>
      <c r="J3168" s="3">
        <f t="shared" si="49"/>
        <v>43747.687654016197</v>
      </c>
    </row>
    <row r="3169" spans="1:10" x14ac:dyDescent="0.25">
      <c r="A3169" s="5" t="s">
        <v>6658</v>
      </c>
      <c r="B3169" s="6">
        <v>393.75</v>
      </c>
      <c r="C3169" s="6">
        <v>20.531590000000001</v>
      </c>
      <c r="D3169" s="6">
        <v>51</v>
      </c>
      <c r="E3169" s="6">
        <v>0</v>
      </c>
      <c r="F3169" s="6">
        <v>0</v>
      </c>
      <c r="G3169" s="6">
        <v>3</v>
      </c>
      <c r="H3169" s="6" t="s">
        <v>6659</v>
      </c>
      <c r="I3169" s="6">
        <v>526.6875</v>
      </c>
      <c r="J3169" s="2">
        <f t="shared" si="49"/>
        <v>43747.687735277774</v>
      </c>
    </row>
    <row r="3170" spans="1:10" x14ac:dyDescent="0.25">
      <c r="A3170" s="7" t="s">
        <v>6660</v>
      </c>
      <c r="B3170" s="8">
        <v>393.75</v>
      </c>
      <c r="C3170" s="8">
        <v>20.584240000000001</v>
      </c>
      <c r="D3170" s="8">
        <v>51</v>
      </c>
      <c r="E3170" s="8">
        <v>0</v>
      </c>
      <c r="F3170" s="8">
        <v>0</v>
      </c>
      <c r="G3170" s="8">
        <v>1</v>
      </c>
      <c r="H3170" s="8" t="s">
        <v>6661</v>
      </c>
      <c r="I3170" s="8">
        <v>526.6875</v>
      </c>
      <c r="J3170" s="3">
        <f t="shared" si="49"/>
        <v>43747.687818495368</v>
      </c>
    </row>
    <row r="3171" spans="1:10" x14ac:dyDescent="0.25">
      <c r="A3171" s="5" t="s">
        <v>6662</v>
      </c>
      <c r="B3171" s="6">
        <v>393.75</v>
      </c>
      <c r="C3171" s="6">
        <v>20.584240000000001</v>
      </c>
      <c r="D3171" s="6">
        <v>50</v>
      </c>
      <c r="E3171" s="6">
        <v>0</v>
      </c>
      <c r="F3171" s="6">
        <v>0</v>
      </c>
      <c r="G3171" s="6">
        <v>3</v>
      </c>
      <c r="H3171" s="6" t="s">
        <v>6663</v>
      </c>
      <c r="I3171" s="6">
        <v>526.6875</v>
      </c>
      <c r="J3171" s="2">
        <f t="shared" si="49"/>
        <v>43747.687889675923</v>
      </c>
    </row>
    <row r="3172" spans="1:10" x14ac:dyDescent="0.25">
      <c r="A3172" s="7" t="s">
        <v>6664</v>
      </c>
      <c r="B3172" s="8">
        <v>393.75</v>
      </c>
      <c r="C3172" s="8">
        <v>20.584240000000001</v>
      </c>
      <c r="D3172" s="8">
        <v>50</v>
      </c>
      <c r="E3172" s="8">
        <v>0</v>
      </c>
      <c r="F3172" s="8">
        <v>0</v>
      </c>
      <c r="G3172" s="8">
        <v>7</v>
      </c>
      <c r="H3172" s="8" t="s">
        <v>6665</v>
      </c>
      <c r="I3172" s="8">
        <v>526.6875</v>
      </c>
      <c r="J3172" s="3">
        <f t="shared" si="49"/>
        <v>43747.687961331016</v>
      </c>
    </row>
    <row r="3173" spans="1:10" x14ac:dyDescent="0.25">
      <c r="A3173" s="5" t="s">
        <v>6666</v>
      </c>
      <c r="B3173" s="6">
        <v>393.75</v>
      </c>
      <c r="C3173" s="6">
        <v>20.584240000000001</v>
      </c>
      <c r="D3173" s="6">
        <v>49</v>
      </c>
      <c r="E3173" s="6">
        <v>0</v>
      </c>
      <c r="F3173" s="6">
        <v>0</v>
      </c>
      <c r="G3173" s="6">
        <v>10</v>
      </c>
      <c r="H3173" s="6" t="s">
        <v>6667</v>
      </c>
      <c r="I3173" s="6">
        <v>526.6875</v>
      </c>
      <c r="J3173" s="2">
        <f t="shared" si="49"/>
        <v>43747.688045138886</v>
      </c>
    </row>
    <row r="3174" spans="1:10" x14ac:dyDescent="0.25">
      <c r="A3174" s="7" t="s">
        <v>6668</v>
      </c>
      <c r="B3174" s="8">
        <v>393.75</v>
      </c>
      <c r="C3174" s="8">
        <v>20.584240000000001</v>
      </c>
      <c r="D3174" s="8">
        <v>50</v>
      </c>
      <c r="E3174" s="8">
        <v>0</v>
      </c>
      <c r="F3174" s="8">
        <v>0</v>
      </c>
      <c r="G3174" s="8">
        <v>7</v>
      </c>
      <c r="H3174" s="8" t="s">
        <v>6669</v>
      </c>
      <c r="I3174" s="8">
        <v>526.6875</v>
      </c>
      <c r="J3174" s="3">
        <f t="shared" si="49"/>
        <v>43747.688128449074</v>
      </c>
    </row>
    <row r="3175" spans="1:10" x14ac:dyDescent="0.25">
      <c r="A3175" s="5" t="s">
        <v>6670</v>
      </c>
      <c r="B3175" s="6">
        <v>393.75</v>
      </c>
      <c r="C3175" s="6">
        <v>20.584240000000001</v>
      </c>
      <c r="D3175" s="6">
        <v>50</v>
      </c>
      <c r="E3175" s="6">
        <v>0</v>
      </c>
      <c r="F3175" s="6">
        <v>0</v>
      </c>
      <c r="G3175" s="6">
        <v>6</v>
      </c>
      <c r="H3175" s="6" t="s">
        <v>6671</v>
      </c>
      <c r="I3175" s="6">
        <v>526.6875</v>
      </c>
      <c r="J3175" s="2">
        <f t="shared" si="49"/>
        <v>43747.688211782406</v>
      </c>
    </row>
    <row r="3176" spans="1:10" x14ac:dyDescent="0.25">
      <c r="A3176" s="7" t="s">
        <v>6672</v>
      </c>
      <c r="B3176" s="8">
        <v>393.75</v>
      </c>
      <c r="C3176" s="8">
        <v>20.584240000000001</v>
      </c>
      <c r="D3176" s="8">
        <v>47</v>
      </c>
      <c r="E3176" s="8">
        <v>0</v>
      </c>
      <c r="F3176" s="8">
        <v>0</v>
      </c>
      <c r="G3176" s="8">
        <v>9</v>
      </c>
      <c r="H3176" s="8" t="s">
        <v>6673</v>
      </c>
      <c r="I3176" s="8">
        <v>526.6875</v>
      </c>
      <c r="J3176" s="3">
        <f t="shared" si="49"/>
        <v>43747.688295462962</v>
      </c>
    </row>
    <row r="3177" spans="1:10" x14ac:dyDescent="0.25">
      <c r="A3177" s="5" t="s">
        <v>6674</v>
      </c>
      <c r="B3177" s="6">
        <v>393.75</v>
      </c>
      <c r="C3177" s="6">
        <v>20.584240000000001</v>
      </c>
      <c r="D3177" s="6">
        <v>46</v>
      </c>
      <c r="E3177" s="6">
        <v>0</v>
      </c>
      <c r="F3177" s="6">
        <v>0</v>
      </c>
      <c r="G3177" s="6">
        <v>4</v>
      </c>
      <c r="H3177" s="6" t="s">
        <v>6675</v>
      </c>
      <c r="I3177" s="6">
        <v>526.6875</v>
      </c>
      <c r="J3177" s="2">
        <f t="shared" si="49"/>
        <v>43747.688378657404</v>
      </c>
    </row>
    <row r="3178" spans="1:10" x14ac:dyDescent="0.25">
      <c r="A3178" s="7" t="s">
        <v>6676</v>
      </c>
      <c r="B3178" s="8">
        <v>393.75</v>
      </c>
      <c r="C3178" s="8">
        <v>20.531590000000001</v>
      </c>
      <c r="D3178" s="8">
        <v>46</v>
      </c>
      <c r="E3178" s="8">
        <v>0</v>
      </c>
      <c r="F3178" s="8">
        <v>0</v>
      </c>
      <c r="G3178" s="8">
        <v>0</v>
      </c>
      <c r="H3178" s="8" t="s">
        <v>6677</v>
      </c>
      <c r="I3178" s="8">
        <v>526.6875</v>
      </c>
      <c r="J3178" s="3">
        <f t="shared" si="49"/>
        <v>43747.688450289344</v>
      </c>
    </row>
    <row r="3179" spans="1:10" x14ac:dyDescent="0.25">
      <c r="A3179" s="5" t="s">
        <v>6678</v>
      </c>
      <c r="B3179" s="6">
        <v>393.75</v>
      </c>
      <c r="C3179" s="6">
        <v>20.584240000000001</v>
      </c>
      <c r="D3179" s="6">
        <v>46</v>
      </c>
      <c r="E3179" s="6">
        <v>0</v>
      </c>
      <c r="F3179" s="6">
        <v>0</v>
      </c>
      <c r="G3179" s="6">
        <v>3</v>
      </c>
      <c r="H3179" s="6" t="s">
        <v>6679</v>
      </c>
      <c r="I3179" s="6">
        <v>526.6875</v>
      </c>
      <c r="J3179" s="2">
        <f t="shared" si="49"/>
        <v>43747.688522083328</v>
      </c>
    </row>
    <row r="3180" spans="1:10" x14ac:dyDescent="0.25">
      <c r="A3180" s="7" t="s">
        <v>6680</v>
      </c>
      <c r="B3180" s="8">
        <v>412.5</v>
      </c>
      <c r="C3180" s="8">
        <v>20.584240000000001</v>
      </c>
      <c r="D3180" s="8">
        <v>46</v>
      </c>
      <c r="E3180" s="8">
        <v>0</v>
      </c>
      <c r="F3180" s="8">
        <v>0</v>
      </c>
      <c r="G3180" s="8">
        <v>3</v>
      </c>
      <c r="H3180" s="8" t="s">
        <v>6681</v>
      </c>
      <c r="I3180" s="8">
        <v>532.5</v>
      </c>
      <c r="J3180" s="3">
        <f t="shared" si="49"/>
        <v>43747.688605185183</v>
      </c>
    </row>
    <row r="3181" spans="1:10" x14ac:dyDescent="0.25">
      <c r="A3181" s="5" t="s">
        <v>6682</v>
      </c>
      <c r="B3181" s="6">
        <v>393.75</v>
      </c>
      <c r="C3181" s="6">
        <v>20.584240000000001</v>
      </c>
      <c r="D3181" s="6">
        <v>48</v>
      </c>
      <c r="E3181" s="6">
        <v>0</v>
      </c>
      <c r="F3181" s="6">
        <v>0</v>
      </c>
      <c r="G3181" s="6">
        <v>5</v>
      </c>
      <c r="H3181" s="6" t="s">
        <v>6683</v>
      </c>
      <c r="I3181" s="6">
        <v>526.6875</v>
      </c>
      <c r="J3181" s="2">
        <f t="shared" si="49"/>
        <v>43747.688677071761</v>
      </c>
    </row>
    <row r="3182" spans="1:10" x14ac:dyDescent="0.25">
      <c r="A3182" s="7" t="s">
        <v>6684</v>
      </c>
      <c r="B3182" s="8">
        <v>393.75</v>
      </c>
      <c r="C3182" s="8">
        <v>20.584240000000001</v>
      </c>
      <c r="D3182" s="8">
        <v>48</v>
      </c>
      <c r="E3182" s="8">
        <v>0</v>
      </c>
      <c r="F3182" s="8">
        <v>0</v>
      </c>
      <c r="G3182" s="8">
        <v>6</v>
      </c>
      <c r="H3182" s="8" t="s">
        <v>6685</v>
      </c>
      <c r="I3182" s="8">
        <v>526.6875</v>
      </c>
      <c r="J3182" s="3">
        <f t="shared" si="49"/>
        <v>43747.688760162033</v>
      </c>
    </row>
    <row r="3183" spans="1:10" x14ac:dyDescent="0.25">
      <c r="A3183" s="5" t="s">
        <v>6686</v>
      </c>
      <c r="B3183" s="6">
        <v>393.75</v>
      </c>
      <c r="C3183" s="6">
        <v>20.584240000000001</v>
      </c>
      <c r="D3183" s="6">
        <v>49</v>
      </c>
      <c r="E3183" s="6">
        <v>0</v>
      </c>
      <c r="F3183" s="6">
        <v>0</v>
      </c>
      <c r="G3183" s="6">
        <v>2</v>
      </c>
      <c r="H3183" s="6" t="s">
        <v>6687</v>
      </c>
      <c r="I3183" s="6">
        <v>526.6875</v>
      </c>
      <c r="J3183" s="2">
        <f t="shared" si="49"/>
        <v>43747.688843981479</v>
      </c>
    </row>
    <row r="3184" spans="1:10" x14ac:dyDescent="0.25">
      <c r="A3184" s="7" t="s">
        <v>6688</v>
      </c>
      <c r="B3184" s="8">
        <v>393.75</v>
      </c>
      <c r="C3184" s="8">
        <v>20.584240000000001</v>
      </c>
      <c r="D3184" s="8">
        <v>49</v>
      </c>
      <c r="E3184" s="8">
        <v>0</v>
      </c>
      <c r="F3184" s="8">
        <v>0</v>
      </c>
      <c r="G3184" s="8">
        <v>10</v>
      </c>
      <c r="H3184" s="8" t="s">
        <v>6689</v>
      </c>
      <c r="I3184" s="8">
        <v>526.6875</v>
      </c>
      <c r="J3184" s="3">
        <f t="shared" si="49"/>
        <v>43747.688927407406</v>
      </c>
    </row>
    <row r="3185" spans="1:10" x14ac:dyDescent="0.25">
      <c r="A3185" s="5" t="s">
        <v>6690</v>
      </c>
      <c r="B3185" s="6">
        <v>434.375</v>
      </c>
      <c r="C3185" s="6">
        <v>20.584240000000001</v>
      </c>
      <c r="D3185" s="6">
        <v>49</v>
      </c>
      <c r="E3185" s="6">
        <v>0</v>
      </c>
      <c r="F3185" s="6">
        <v>0</v>
      </c>
      <c r="G3185" s="6">
        <v>0</v>
      </c>
      <c r="H3185" s="6" t="s">
        <v>6691</v>
      </c>
      <c r="I3185" s="6">
        <v>539.4375</v>
      </c>
      <c r="J3185" s="2">
        <f t="shared" si="49"/>
        <v>43747.689010937502</v>
      </c>
    </row>
    <row r="3186" spans="1:10" x14ac:dyDescent="0.25">
      <c r="A3186" s="7" t="s">
        <v>6692</v>
      </c>
      <c r="B3186" s="8">
        <v>393.75</v>
      </c>
      <c r="C3186" s="8">
        <v>20.584240000000001</v>
      </c>
      <c r="D3186" s="8">
        <v>50</v>
      </c>
      <c r="E3186" s="8">
        <v>0</v>
      </c>
      <c r="F3186" s="8">
        <v>0</v>
      </c>
      <c r="G3186" s="8">
        <v>4</v>
      </c>
      <c r="H3186" s="8" t="s">
        <v>6693</v>
      </c>
      <c r="I3186" s="8">
        <v>526.6875</v>
      </c>
      <c r="J3186" s="3">
        <f t="shared" si="49"/>
        <v>43747.689094421294</v>
      </c>
    </row>
    <row r="3187" spans="1:10" x14ac:dyDescent="0.25">
      <c r="A3187" s="5" t="s">
        <v>6694</v>
      </c>
      <c r="B3187" s="6">
        <v>393.75</v>
      </c>
      <c r="C3187" s="6">
        <v>20.584240000000001</v>
      </c>
      <c r="D3187" s="6">
        <v>51</v>
      </c>
      <c r="E3187" s="6">
        <v>0</v>
      </c>
      <c r="F3187" s="6">
        <v>0</v>
      </c>
      <c r="G3187" s="6">
        <v>2</v>
      </c>
      <c r="H3187" s="6" t="s">
        <v>6695</v>
      </c>
      <c r="I3187" s="6">
        <v>526.6875</v>
      </c>
      <c r="J3187" s="2">
        <f t="shared" si="49"/>
        <v>43747.689165960641</v>
      </c>
    </row>
    <row r="3188" spans="1:10" x14ac:dyDescent="0.25">
      <c r="A3188" s="7" t="s">
        <v>6696</v>
      </c>
      <c r="B3188" s="8">
        <v>393.75</v>
      </c>
      <c r="C3188" s="8">
        <v>20.531590000000001</v>
      </c>
      <c r="D3188" s="8">
        <v>50</v>
      </c>
      <c r="E3188" s="8">
        <v>0</v>
      </c>
      <c r="F3188" s="8">
        <v>0</v>
      </c>
      <c r="G3188" s="8">
        <v>6</v>
      </c>
      <c r="H3188" s="8" t="s">
        <v>6697</v>
      </c>
      <c r="I3188" s="8">
        <v>526.6875</v>
      </c>
      <c r="J3188" s="3">
        <f t="shared" si="49"/>
        <v>43747.689249629628</v>
      </c>
    </row>
    <row r="3189" spans="1:10" x14ac:dyDescent="0.25">
      <c r="A3189" s="5" t="s">
        <v>6698</v>
      </c>
      <c r="B3189" s="6">
        <v>393.75</v>
      </c>
      <c r="C3189" s="6">
        <v>20.531590000000001</v>
      </c>
      <c r="D3189" s="6">
        <v>50</v>
      </c>
      <c r="E3189" s="6">
        <v>0</v>
      </c>
      <c r="F3189" s="6">
        <v>0</v>
      </c>
      <c r="G3189" s="6">
        <v>2</v>
      </c>
      <c r="H3189" s="6" t="s">
        <v>6699</v>
      </c>
      <c r="I3189" s="6">
        <v>526.6875</v>
      </c>
      <c r="J3189" s="2">
        <f t="shared" si="49"/>
        <v>43747.689321041667</v>
      </c>
    </row>
    <row r="3190" spans="1:10" x14ac:dyDescent="0.25">
      <c r="A3190" s="7" t="s">
        <v>6700</v>
      </c>
      <c r="B3190" s="8">
        <v>393.75</v>
      </c>
      <c r="C3190" s="8">
        <v>20.584240000000001</v>
      </c>
      <c r="D3190" s="8">
        <v>50</v>
      </c>
      <c r="E3190" s="8">
        <v>0</v>
      </c>
      <c r="F3190" s="8">
        <v>0</v>
      </c>
      <c r="G3190" s="8">
        <v>4</v>
      </c>
      <c r="H3190" s="8" t="s">
        <v>6701</v>
      </c>
      <c r="I3190" s="8">
        <v>526.6875</v>
      </c>
      <c r="J3190" s="3">
        <f t="shared" si="49"/>
        <v>43747.689404386569</v>
      </c>
    </row>
    <row r="3191" spans="1:10" x14ac:dyDescent="0.25">
      <c r="A3191" s="5" t="s">
        <v>6702</v>
      </c>
      <c r="B3191" s="6">
        <v>393.75</v>
      </c>
      <c r="C3191" s="6">
        <v>20.584240000000001</v>
      </c>
      <c r="D3191" s="6">
        <v>50</v>
      </c>
      <c r="E3191" s="6">
        <v>0</v>
      </c>
      <c r="F3191" s="6">
        <v>0</v>
      </c>
      <c r="G3191" s="6">
        <v>11</v>
      </c>
      <c r="H3191" s="6" t="s">
        <v>6703</v>
      </c>
      <c r="I3191" s="6">
        <v>526.6875</v>
      </c>
      <c r="J3191" s="2">
        <f t="shared" si="49"/>
        <v>43747.689499780092</v>
      </c>
    </row>
    <row r="3192" spans="1:10" x14ac:dyDescent="0.25">
      <c r="A3192" s="7" t="s">
        <v>6704</v>
      </c>
      <c r="B3192" s="8">
        <v>393.75</v>
      </c>
      <c r="C3192" s="8">
        <v>20.584240000000001</v>
      </c>
      <c r="D3192" s="8">
        <v>50</v>
      </c>
      <c r="E3192" s="8">
        <v>0</v>
      </c>
      <c r="F3192" s="8">
        <v>0</v>
      </c>
      <c r="G3192" s="8">
        <v>1</v>
      </c>
      <c r="H3192" s="8" t="s">
        <v>6705</v>
      </c>
      <c r="I3192" s="8">
        <v>526.6875</v>
      </c>
      <c r="J3192" s="3">
        <f t="shared" si="49"/>
        <v>43747.689571192132</v>
      </c>
    </row>
    <row r="3193" spans="1:10" x14ac:dyDescent="0.25">
      <c r="A3193" s="5" t="s">
        <v>6706</v>
      </c>
      <c r="B3193" s="6">
        <v>412.5</v>
      </c>
      <c r="C3193" s="6">
        <v>20.584240000000001</v>
      </c>
      <c r="D3193" s="6">
        <v>50</v>
      </c>
      <c r="E3193" s="6">
        <v>0</v>
      </c>
      <c r="F3193" s="6">
        <v>0</v>
      </c>
      <c r="G3193" s="6">
        <v>12</v>
      </c>
      <c r="H3193" s="6" t="s">
        <v>6707</v>
      </c>
      <c r="I3193" s="6">
        <v>532.3125</v>
      </c>
      <c r="J3193" s="2">
        <f t="shared" si="49"/>
        <v>43747.689642858793</v>
      </c>
    </row>
    <row r="3194" spans="1:10" x14ac:dyDescent="0.25">
      <c r="A3194" s="7" t="s">
        <v>6708</v>
      </c>
      <c r="B3194" s="8">
        <v>393.75</v>
      </c>
      <c r="C3194" s="8">
        <v>20.584240000000001</v>
      </c>
      <c r="D3194" s="8">
        <v>50</v>
      </c>
      <c r="E3194" s="8">
        <v>0</v>
      </c>
      <c r="F3194" s="8">
        <v>0</v>
      </c>
      <c r="G3194" s="8">
        <v>0</v>
      </c>
      <c r="H3194" s="8" t="s">
        <v>6709</v>
      </c>
      <c r="I3194" s="8">
        <v>526.6875</v>
      </c>
      <c r="J3194" s="3">
        <f t="shared" si="49"/>
        <v>43747.689726747682</v>
      </c>
    </row>
    <row r="3195" spans="1:10" x14ac:dyDescent="0.25">
      <c r="A3195" s="5" t="s">
        <v>6710</v>
      </c>
      <c r="B3195" s="6">
        <v>393.75</v>
      </c>
      <c r="C3195" s="6">
        <v>20.584240000000001</v>
      </c>
      <c r="D3195" s="6">
        <v>50</v>
      </c>
      <c r="E3195" s="6">
        <v>0</v>
      </c>
      <c r="F3195" s="6">
        <v>0</v>
      </c>
      <c r="G3195" s="6">
        <v>0</v>
      </c>
      <c r="H3195" s="6" t="s">
        <v>6711</v>
      </c>
      <c r="I3195" s="6">
        <v>526.6875</v>
      </c>
      <c r="J3195" s="2">
        <f t="shared" si="49"/>
        <v>43747.689809965275</v>
      </c>
    </row>
    <row r="3196" spans="1:10" x14ac:dyDescent="0.25">
      <c r="A3196" s="7" t="s">
        <v>6712</v>
      </c>
      <c r="B3196" s="8">
        <v>393.75</v>
      </c>
      <c r="C3196" s="8">
        <v>20.584240000000001</v>
      </c>
      <c r="D3196" s="8">
        <v>50</v>
      </c>
      <c r="E3196" s="8">
        <v>0</v>
      </c>
      <c r="F3196" s="8">
        <v>0</v>
      </c>
      <c r="G3196" s="8">
        <v>6</v>
      </c>
      <c r="H3196" s="8" t="s">
        <v>6713</v>
      </c>
      <c r="I3196" s="8">
        <v>526.6875</v>
      </c>
      <c r="J3196" s="3">
        <f t="shared" si="49"/>
        <v>43747.68989587963</v>
      </c>
    </row>
    <row r="3197" spans="1:10" x14ac:dyDescent="0.25">
      <c r="A3197" s="5" t="s">
        <v>6714</v>
      </c>
      <c r="B3197" s="6">
        <v>393.75</v>
      </c>
      <c r="C3197" s="6">
        <v>20.584240000000001</v>
      </c>
      <c r="D3197" s="6">
        <v>49</v>
      </c>
      <c r="E3197" s="6">
        <v>0</v>
      </c>
      <c r="F3197" s="6">
        <v>0</v>
      </c>
      <c r="G3197" s="6">
        <v>0</v>
      </c>
      <c r="H3197" s="6" t="s">
        <v>6715</v>
      </c>
      <c r="I3197" s="6">
        <v>526.6875</v>
      </c>
      <c r="J3197" s="2">
        <f t="shared" si="49"/>
        <v>43747.689976874994</v>
      </c>
    </row>
    <row r="3198" spans="1:10" x14ac:dyDescent="0.25">
      <c r="A3198" s="7" t="s">
        <v>6716</v>
      </c>
      <c r="B3198" s="8">
        <v>412.5</v>
      </c>
      <c r="C3198" s="8">
        <v>20.584240000000001</v>
      </c>
      <c r="D3198" s="8">
        <v>49</v>
      </c>
      <c r="E3198" s="8">
        <v>0</v>
      </c>
      <c r="F3198" s="8">
        <v>0</v>
      </c>
      <c r="G3198" s="8">
        <v>7</v>
      </c>
      <c r="H3198" s="8" t="s">
        <v>6717</v>
      </c>
      <c r="I3198" s="8">
        <v>532.3125</v>
      </c>
      <c r="J3198" s="3">
        <f t="shared" si="49"/>
        <v>43747.690060081011</v>
      </c>
    </row>
    <row r="3199" spans="1:10" x14ac:dyDescent="0.25">
      <c r="A3199" s="5" t="s">
        <v>6718</v>
      </c>
      <c r="B3199" s="6">
        <v>393.75</v>
      </c>
      <c r="C3199" s="6">
        <v>20.584240000000001</v>
      </c>
      <c r="D3199" s="6">
        <v>48</v>
      </c>
      <c r="E3199" s="6">
        <v>0</v>
      </c>
      <c r="F3199" s="6">
        <v>0</v>
      </c>
      <c r="G3199" s="6">
        <v>3</v>
      </c>
      <c r="H3199" s="6" t="s">
        <v>6719</v>
      </c>
      <c r="I3199" s="6">
        <v>526.6875</v>
      </c>
      <c r="J3199" s="2">
        <f t="shared" si="49"/>
        <v>43747.690131828705</v>
      </c>
    </row>
    <row r="3200" spans="1:10" x14ac:dyDescent="0.25">
      <c r="A3200" s="7" t="s">
        <v>6720</v>
      </c>
      <c r="B3200" s="8">
        <v>393.75</v>
      </c>
      <c r="C3200" s="8">
        <v>20.531590000000001</v>
      </c>
      <c r="D3200" s="8">
        <v>49</v>
      </c>
      <c r="E3200" s="8">
        <v>0</v>
      </c>
      <c r="F3200" s="8">
        <v>0</v>
      </c>
      <c r="G3200" s="8">
        <v>0</v>
      </c>
      <c r="H3200" s="8" t="s">
        <v>6721</v>
      </c>
      <c r="I3200" s="8">
        <v>526.5</v>
      </c>
      <c r="J3200" s="3">
        <f t="shared" si="49"/>
        <v>43747.69021552083</v>
      </c>
    </row>
    <row r="3201" spans="1:10" x14ac:dyDescent="0.25">
      <c r="A3201" s="5" t="s">
        <v>6722</v>
      </c>
      <c r="B3201" s="6">
        <v>393.75</v>
      </c>
      <c r="C3201" s="6">
        <v>20.584240000000001</v>
      </c>
      <c r="D3201" s="6">
        <v>49</v>
      </c>
      <c r="E3201" s="6">
        <v>0</v>
      </c>
      <c r="F3201" s="6">
        <v>0</v>
      </c>
      <c r="G3201" s="6">
        <v>3</v>
      </c>
      <c r="H3201" s="6" t="s">
        <v>6723</v>
      </c>
      <c r="I3201" s="6">
        <v>526.6875</v>
      </c>
      <c r="J3201" s="2">
        <f t="shared" si="49"/>
        <v>43747.690298969908</v>
      </c>
    </row>
    <row r="3202" spans="1:10" x14ac:dyDescent="0.25">
      <c r="A3202" s="7" t="s">
        <v>6724</v>
      </c>
      <c r="B3202" s="8">
        <v>393.75</v>
      </c>
      <c r="C3202" s="8">
        <v>20.584240000000001</v>
      </c>
      <c r="D3202" s="8">
        <v>48</v>
      </c>
      <c r="E3202" s="8">
        <v>0</v>
      </c>
      <c r="F3202" s="8">
        <v>0</v>
      </c>
      <c r="G3202" s="8">
        <v>4</v>
      </c>
      <c r="H3202" s="8" t="s">
        <v>6725</v>
      </c>
      <c r="I3202" s="8">
        <v>526.5</v>
      </c>
      <c r="J3202" s="3">
        <f t="shared" ref="J3202:J3265" si="50">(H3202/86400000)+25569+(7/24)</f>
        <v>43747.690382430555</v>
      </c>
    </row>
    <row r="3203" spans="1:10" x14ac:dyDescent="0.25">
      <c r="A3203" s="5" t="s">
        <v>6726</v>
      </c>
      <c r="B3203" s="6">
        <v>425</v>
      </c>
      <c r="C3203" s="6">
        <v>20.531590000000001</v>
      </c>
      <c r="D3203" s="6">
        <v>47</v>
      </c>
      <c r="E3203" s="6">
        <v>0</v>
      </c>
      <c r="F3203" s="6">
        <v>0</v>
      </c>
      <c r="G3203" s="6">
        <v>1</v>
      </c>
      <c r="H3203" s="6" t="s">
        <v>6727</v>
      </c>
      <c r="I3203" s="6">
        <v>536.625</v>
      </c>
      <c r="J3203" s="2">
        <f t="shared" si="50"/>
        <v>43747.690465763888</v>
      </c>
    </row>
    <row r="3204" spans="1:10" x14ac:dyDescent="0.25">
      <c r="A3204" s="7" t="s">
        <v>6728</v>
      </c>
      <c r="B3204" s="8">
        <v>393.75</v>
      </c>
      <c r="C3204" s="8">
        <v>20.584240000000001</v>
      </c>
      <c r="D3204" s="8">
        <v>47</v>
      </c>
      <c r="E3204" s="8">
        <v>0</v>
      </c>
      <c r="F3204" s="8">
        <v>0</v>
      </c>
      <c r="G3204" s="8">
        <v>2</v>
      </c>
      <c r="H3204" s="8" t="s">
        <v>6729</v>
      </c>
      <c r="I3204" s="8">
        <v>526.6875</v>
      </c>
      <c r="J3204" s="3">
        <f t="shared" si="50"/>
        <v>43747.690537430557</v>
      </c>
    </row>
    <row r="3205" spans="1:10" x14ac:dyDescent="0.25">
      <c r="A3205" s="5" t="s">
        <v>6730</v>
      </c>
      <c r="B3205" s="6">
        <v>393.75</v>
      </c>
      <c r="C3205" s="6">
        <v>20.584240000000001</v>
      </c>
      <c r="D3205" s="6">
        <v>47</v>
      </c>
      <c r="E3205" s="6">
        <v>0</v>
      </c>
      <c r="F3205" s="6">
        <v>0</v>
      </c>
      <c r="G3205" s="6">
        <v>6</v>
      </c>
      <c r="H3205" s="6" t="s">
        <v>6731</v>
      </c>
      <c r="I3205" s="6">
        <v>526.6875</v>
      </c>
      <c r="J3205" s="2">
        <f t="shared" si="50"/>
        <v>43747.690620729169</v>
      </c>
    </row>
    <row r="3206" spans="1:10" x14ac:dyDescent="0.25">
      <c r="A3206" s="7" t="s">
        <v>6732</v>
      </c>
      <c r="B3206" s="8">
        <v>393.75</v>
      </c>
      <c r="C3206" s="8">
        <v>20.531590000000001</v>
      </c>
      <c r="D3206" s="8">
        <v>49</v>
      </c>
      <c r="E3206" s="8">
        <v>0</v>
      </c>
      <c r="F3206" s="8">
        <v>0</v>
      </c>
      <c r="G3206" s="8">
        <v>5</v>
      </c>
      <c r="H3206" s="8" t="s">
        <v>6733</v>
      </c>
      <c r="I3206" s="8">
        <v>526.6875</v>
      </c>
      <c r="J3206" s="3">
        <f t="shared" si="50"/>
        <v>43747.690704537039</v>
      </c>
    </row>
    <row r="3207" spans="1:10" x14ac:dyDescent="0.25">
      <c r="A3207" s="5" t="s">
        <v>6734</v>
      </c>
      <c r="B3207" s="6">
        <v>393.75</v>
      </c>
      <c r="C3207" s="6">
        <v>20.584240000000001</v>
      </c>
      <c r="D3207" s="6">
        <v>48</v>
      </c>
      <c r="E3207" s="6">
        <v>0</v>
      </c>
      <c r="F3207" s="6">
        <v>0</v>
      </c>
      <c r="G3207" s="6">
        <v>0</v>
      </c>
      <c r="H3207" s="6" t="s">
        <v>6735</v>
      </c>
      <c r="I3207" s="6">
        <v>526.6875</v>
      </c>
      <c r="J3207" s="2">
        <f t="shared" si="50"/>
        <v>43747.690787754625</v>
      </c>
    </row>
    <row r="3208" spans="1:10" x14ac:dyDescent="0.25">
      <c r="A3208" s="7" t="s">
        <v>6736</v>
      </c>
      <c r="B3208" s="8">
        <v>393.75</v>
      </c>
      <c r="C3208" s="8">
        <v>20.584240000000001</v>
      </c>
      <c r="D3208" s="8">
        <v>48</v>
      </c>
      <c r="E3208" s="8">
        <v>0</v>
      </c>
      <c r="F3208" s="8">
        <v>0</v>
      </c>
      <c r="G3208" s="8">
        <v>0</v>
      </c>
      <c r="H3208" s="8" t="s">
        <v>6737</v>
      </c>
      <c r="I3208" s="8">
        <v>526.6875</v>
      </c>
      <c r="J3208" s="3">
        <f t="shared" si="50"/>
        <v>43747.690859374998</v>
      </c>
    </row>
    <row r="3209" spans="1:10" x14ac:dyDescent="0.25">
      <c r="A3209" s="5" t="s">
        <v>6738</v>
      </c>
      <c r="B3209" s="6">
        <v>393.75</v>
      </c>
      <c r="C3209" s="6">
        <v>20.531590000000001</v>
      </c>
      <c r="D3209" s="6">
        <v>48</v>
      </c>
      <c r="E3209" s="6">
        <v>0</v>
      </c>
      <c r="F3209" s="6">
        <v>0</v>
      </c>
      <c r="G3209" s="6">
        <v>0</v>
      </c>
      <c r="H3209" s="6" t="s">
        <v>6739</v>
      </c>
      <c r="I3209" s="6">
        <v>526.6875</v>
      </c>
      <c r="J3209" s="2">
        <f t="shared" si="50"/>
        <v>43747.690942731475</v>
      </c>
    </row>
    <row r="3210" spans="1:10" x14ac:dyDescent="0.25">
      <c r="A3210" s="7" t="s">
        <v>6740</v>
      </c>
      <c r="B3210" s="8">
        <v>393.75</v>
      </c>
      <c r="C3210" s="8">
        <v>20.584240000000001</v>
      </c>
      <c r="D3210" s="8">
        <v>48</v>
      </c>
      <c r="E3210" s="8">
        <v>0</v>
      </c>
      <c r="F3210" s="8">
        <v>0</v>
      </c>
      <c r="G3210" s="8">
        <v>6</v>
      </c>
      <c r="H3210" s="8" t="s">
        <v>6741</v>
      </c>
      <c r="I3210" s="8">
        <v>526.6875</v>
      </c>
      <c r="J3210" s="3">
        <f t="shared" si="50"/>
        <v>43747.691026180553</v>
      </c>
    </row>
    <row r="3211" spans="1:10" x14ac:dyDescent="0.25">
      <c r="A3211" s="5" t="s">
        <v>6742</v>
      </c>
      <c r="B3211" s="6">
        <v>412.5</v>
      </c>
      <c r="C3211" s="6">
        <v>20.584240000000001</v>
      </c>
      <c r="D3211" s="6">
        <v>48</v>
      </c>
      <c r="E3211" s="6">
        <v>0</v>
      </c>
      <c r="F3211" s="6">
        <v>0</v>
      </c>
      <c r="G3211" s="6">
        <v>3</v>
      </c>
      <c r="H3211" s="6" t="s">
        <v>6743</v>
      </c>
      <c r="I3211" s="6">
        <v>532.3125</v>
      </c>
      <c r="J3211" s="2">
        <f t="shared" si="50"/>
        <v>43747.691109629632</v>
      </c>
    </row>
    <row r="3212" spans="1:10" x14ac:dyDescent="0.25">
      <c r="A3212" s="7" t="s">
        <v>6744</v>
      </c>
      <c r="B3212" s="8">
        <v>393.75</v>
      </c>
      <c r="C3212" s="8">
        <v>20.584240000000001</v>
      </c>
      <c r="D3212" s="8">
        <v>48</v>
      </c>
      <c r="E3212" s="8">
        <v>0</v>
      </c>
      <c r="F3212" s="8">
        <v>0</v>
      </c>
      <c r="G3212" s="8">
        <v>5</v>
      </c>
      <c r="H3212" s="8" t="s">
        <v>6745</v>
      </c>
      <c r="I3212" s="8">
        <v>526.6875</v>
      </c>
      <c r="J3212" s="3">
        <f t="shared" si="50"/>
        <v>43747.691193425919</v>
      </c>
    </row>
    <row r="3213" spans="1:10" x14ac:dyDescent="0.25">
      <c r="A3213" s="5" t="s">
        <v>6746</v>
      </c>
      <c r="B3213" s="6">
        <v>393.75</v>
      </c>
      <c r="C3213" s="6">
        <v>20.531590000000001</v>
      </c>
      <c r="D3213" s="6">
        <v>49</v>
      </c>
      <c r="E3213" s="6">
        <v>0</v>
      </c>
      <c r="F3213" s="6">
        <v>0</v>
      </c>
      <c r="G3213" s="6">
        <v>4</v>
      </c>
      <c r="H3213" s="6" t="s">
        <v>6747</v>
      </c>
      <c r="I3213" s="6">
        <v>526.6875</v>
      </c>
      <c r="J3213" s="2">
        <f t="shared" si="50"/>
        <v>43747.69127664352</v>
      </c>
    </row>
    <row r="3214" spans="1:10" x14ac:dyDescent="0.25">
      <c r="A3214" s="7" t="s">
        <v>6748</v>
      </c>
      <c r="B3214" s="8">
        <v>393.75</v>
      </c>
      <c r="C3214" s="8">
        <v>20.584240000000001</v>
      </c>
      <c r="D3214" s="8">
        <v>48</v>
      </c>
      <c r="E3214" s="8">
        <v>0</v>
      </c>
      <c r="F3214" s="8">
        <v>0</v>
      </c>
      <c r="G3214" s="8">
        <v>0</v>
      </c>
      <c r="H3214" s="8" t="s">
        <v>6749</v>
      </c>
      <c r="I3214" s="8">
        <v>526.6875</v>
      </c>
      <c r="J3214" s="3">
        <f t="shared" si="50"/>
        <v>43747.691360092591</v>
      </c>
    </row>
    <row r="3215" spans="1:10" x14ac:dyDescent="0.25">
      <c r="A3215" s="5" t="s">
        <v>6750</v>
      </c>
      <c r="B3215" s="6">
        <v>412.5</v>
      </c>
      <c r="C3215" s="6">
        <v>20.531590000000001</v>
      </c>
      <c r="D3215" s="6">
        <v>47</v>
      </c>
      <c r="E3215" s="6">
        <v>0</v>
      </c>
      <c r="F3215" s="6">
        <v>0</v>
      </c>
      <c r="G3215" s="6">
        <v>0</v>
      </c>
      <c r="H3215" s="6" t="s">
        <v>6751</v>
      </c>
      <c r="I3215" s="6">
        <v>532.3125</v>
      </c>
      <c r="J3215" s="2">
        <f t="shared" si="50"/>
        <v>43747.691455451386</v>
      </c>
    </row>
    <row r="3216" spans="1:10" x14ac:dyDescent="0.25">
      <c r="A3216" s="7" t="s">
        <v>6752</v>
      </c>
      <c r="B3216" s="8">
        <v>393.75</v>
      </c>
      <c r="C3216" s="8">
        <v>20.584240000000001</v>
      </c>
      <c r="D3216" s="8">
        <v>47</v>
      </c>
      <c r="E3216" s="8">
        <v>0</v>
      </c>
      <c r="F3216" s="8">
        <v>0</v>
      </c>
      <c r="G3216" s="8">
        <v>7</v>
      </c>
      <c r="H3216" s="8" t="s">
        <v>6753</v>
      </c>
      <c r="I3216" s="8">
        <v>526.6875</v>
      </c>
      <c r="J3216" s="3">
        <f t="shared" si="50"/>
        <v>43747.691539027779</v>
      </c>
    </row>
    <row r="3217" spans="1:10" x14ac:dyDescent="0.25">
      <c r="A3217" s="5" t="s">
        <v>6754</v>
      </c>
      <c r="B3217" s="6">
        <v>393.75</v>
      </c>
      <c r="C3217" s="6">
        <v>20.584240000000001</v>
      </c>
      <c r="D3217" s="6">
        <v>46</v>
      </c>
      <c r="E3217" s="6">
        <v>0</v>
      </c>
      <c r="F3217" s="6">
        <v>0</v>
      </c>
      <c r="G3217" s="6">
        <v>11</v>
      </c>
      <c r="H3217" s="6" t="s">
        <v>6755</v>
      </c>
      <c r="I3217" s="6">
        <v>526.6875</v>
      </c>
      <c r="J3217" s="2">
        <f t="shared" si="50"/>
        <v>43747.691635659721</v>
      </c>
    </row>
    <row r="3218" spans="1:10" x14ac:dyDescent="0.25">
      <c r="A3218" s="7" t="s">
        <v>6756</v>
      </c>
      <c r="B3218" s="8">
        <v>393.75</v>
      </c>
      <c r="C3218" s="8">
        <v>20.584240000000001</v>
      </c>
      <c r="D3218" s="8">
        <v>46</v>
      </c>
      <c r="E3218" s="8">
        <v>0</v>
      </c>
      <c r="F3218" s="8">
        <v>0</v>
      </c>
      <c r="G3218" s="8">
        <v>0</v>
      </c>
      <c r="H3218" s="8" t="s">
        <v>6757</v>
      </c>
      <c r="I3218" s="8">
        <v>526.6875</v>
      </c>
      <c r="J3218" s="3">
        <f t="shared" si="50"/>
        <v>43747.691717824076</v>
      </c>
    </row>
    <row r="3219" spans="1:10" x14ac:dyDescent="0.25">
      <c r="A3219" s="5" t="s">
        <v>6758</v>
      </c>
      <c r="B3219" s="6">
        <v>393.75</v>
      </c>
      <c r="C3219" s="6">
        <v>20.584240000000001</v>
      </c>
      <c r="D3219" s="6">
        <v>44</v>
      </c>
      <c r="E3219" s="6">
        <v>0</v>
      </c>
      <c r="F3219" s="6">
        <v>0</v>
      </c>
      <c r="G3219" s="6">
        <v>1</v>
      </c>
      <c r="H3219" s="6" t="s">
        <v>6759</v>
      </c>
      <c r="I3219" s="6">
        <v>526.6875</v>
      </c>
      <c r="J3219" s="2">
        <f t="shared" si="50"/>
        <v>43747.691801516201</v>
      </c>
    </row>
    <row r="3220" spans="1:10" x14ac:dyDescent="0.25">
      <c r="A3220" s="7" t="s">
        <v>6760</v>
      </c>
      <c r="B3220" s="8">
        <v>393.75</v>
      </c>
      <c r="C3220" s="8">
        <v>20.584240000000001</v>
      </c>
      <c r="D3220" s="8">
        <v>44</v>
      </c>
      <c r="E3220" s="8">
        <v>0</v>
      </c>
      <c r="F3220" s="8">
        <v>0</v>
      </c>
      <c r="G3220" s="8">
        <v>0</v>
      </c>
      <c r="H3220" s="8" t="s">
        <v>6761</v>
      </c>
      <c r="I3220" s="8">
        <v>526.5</v>
      </c>
      <c r="J3220" s="3">
        <f t="shared" si="50"/>
        <v>43747.691872812495</v>
      </c>
    </row>
    <row r="3221" spans="1:10" x14ac:dyDescent="0.25">
      <c r="A3221" s="5" t="s">
        <v>6762</v>
      </c>
      <c r="B3221" s="6">
        <v>393.75</v>
      </c>
      <c r="C3221" s="6">
        <v>20.584240000000001</v>
      </c>
      <c r="D3221" s="6">
        <v>44</v>
      </c>
      <c r="E3221" s="6">
        <v>0</v>
      </c>
      <c r="F3221" s="6">
        <v>0</v>
      </c>
      <c r="G3221" s="6">
        <v>0</v>
      </c>
      <c r="H3221" s="6" t="s">
        <v>6763</v>
      </c>
      <c r="I3221" s="6">
        <v>526.6875</v>
      </c>
      <c r="J3221" s="2">
        <f t="shared" si="50"/>
        <v>43747.691956400457</v>
      </c>
    </row>
    <row r="3222" spans="1:10" x14ac:dyDescent="0.25">
      <c r="A3222" s="7" t="s">
        <v>6764</v>
      </c>
      <c r="B3222" s="8">
        <v>393.75</v>
      </c>
      <c r="C3222" s="8">
        <v>20.531590000000001</v>
      </c>
      <c r="D3222" s="8">
        <v>45</v>
      </c>
      <c r="E3222" s="8">
        <v>0</v>
      </c>
      <c r="F3222" s="8">
        <v>0</v>
      </c>
      <c r="G3222" s="8">
        <v>0</v>
      </c>
      <c r="H3222" s="8" t="s">
        <v>6765</v>
      </c>
      <c r="I3222" s="8">
        <v>526.6875</v>
      </c>
      <c r="J3222" s="3">
        <f t="shared" si="50"/>
        <v>43747.692051747683</v>
      </c>
    </row>
    <row r="3223" spans="1:10" x14ac:dyDescent="0.25">
      <c r="A3223" s="5" t="s">
        <v>6766</v>
      </c>
      <c r="B3223" s="6">
        <v>393.75</v>
      </c>
      <c r="C3223" s="6">
        <v>20.584240000000001</v>
      </c>
      <c r="D3223" s="6">
        <v>45</v>
      </c>
      <c r="E3223" s="6">
        <v>0</v>
      </c>
      <c r="F3223" s="6">
        <v>0</v>
      </c>
      <c r="G3223" s="6">
        <v>0</v>
      </c>
      <c r="H3223" s="6" t="s">
        <v>6767</v>
      </c>
      <c r="I3223" s="6">
        <v>526.5</v>
      </c>
      <c r="J3223" s="2">
        <f t="shared" si="50"/>
        <v>43747.692135219906</v>
      </c>
    </row>
    <row r="3224" spans="1:10" x14ac:dyDescent="0.25">
      <c r="A3224" s="7" t="s">
        <v>6768</v>
      </c>
      <c r="B3224" s="8">
        <v>393.75</v>
      </c>
      <c r="C3224" s="8">
        <v>20.584240000000001</v>
      </c>
      <c r="D3224" s="8">
        <v>43</v>
      </c>
      <c r="E3224" s="8">
        <v>0</v>
      </c>
      <c r="F3224" s="8">
        <v>0</v>
      </c>
      <c r="G3224" s="8">
        <v>0</v>
      </c>
      <c r="H3224" s="8" t="s">
        <v>6769</v>
      </c>
      <c r="I3224" s="8">
        <v>526.6875</v>
      </c>
      <c r="J3224" s="3">
        <f t="shared" si="50"/>
        <v>43747.692218657401</v>
      </c>
    </row>
    <row r="3225" spans="1:10" x14ac:dyDescent="0.25">
      <c r="A3225" s="5" t="s">
        <v>6770</v>
      </c>
      <c r="B3225" s="6">
        <v>393.75</v>
      </c>
      <c r="C3225" s="6">
        <v>20.531590000000001</v>
      </c>
      <c r="D3225" s="6">
        <v>45</v>
      </c>
      <c r="E3225" s="6">
        <v>0</v>
      </c>
      <c r="F3225" s="6">
        <v>0</v>
      </c>
      <c r="G3225" s="6">
        <v>0</v>
      </c>
      <c r="H3225" s="6" t="s">
        <v>6771</v>
      </c>
      <c r="I3225" s="6">
        <v>526.6875</v>
      </c>
      <c r="J3225" s="2">
        <f t="shared" si="50"/>
        <v>43747.692313981483</v>
      </c>
    </row>
    <row r="3226" spans="1:10" x14ac:dyDescent="0.25">
      <c r="A3226" s="7" t="s">
        <v>6772</v>
      </c>
      <c r="B3226" s="8">
        <v>393.75</v>
      </c>
      <c r="C3226" s="8">
        <v>20.531590000000001</v>
      </c>
      <c r="D3226" s="8">
        <v>45</v>
      </c>
      <c r="E3226" s="8">
        <v>0</v>
      </c>
      <c r="F3226" s="8">
        <v>0</v>
      </c>
      <c r="G3226" s="8">
        <v>0</v>
      </c>
      <c r="H3226" s="8" t="s">
        <v>6773</v>
      </c>
      <c r="I3226" s="8">
        <v>526.6875</v>
      </c>
      <c r="J3226" s="3">
        <f t="shared" si="50"/>
        <v>43747.692397210645</v>
      </c>
    </row>
    <row r="3227" spans="1:10" x14ac:dyDescent="0.25">
      <c r="A3227" s="5" t="s">
        <v>6774</v>
      </c>
      <c r="B3227" s="6">
        <v>393.75</v>
      </c>
      <c r="C3227" s="6">
        <v>20.584240000000001</v>
      </c>
      <c r="D3227" s="6">
        <v>45</v>
      </c>
      <c r="E3227" s="6">
        <v>0</v>
      </c>
      <c r="F3227" s="6">
        <v>0</v>
      </c>
      <c r="G3227" s="6">
        <v>0</v>
      </c>
      <c r="H3227" s="6" t="s">
        <v>6775</v>
      </c>
      <c r="I3227" s="6">
        <v>526.6875</v>
      </c>
      <c r="J3227" s="2">
        <f t="shared" si="50"/>
        <v>43747.692468749992</v>
      </c>
    </row>
    <row r="3228" spans="1:10" x14ac:dyDescent="0.25">
      <c r="A3228" s="7" t="s">
        <v>6776</v>
      </c>
      <c r="B3228" s="8">
        <v>393.75</v>
      </c>
      <c r="C3228" s="8">
        <v>20.584240000000001</v>
      </c>
      <c r="D3228" s="8">
        <v>47</v>
      </c>
      <c r="E3228" s="8">
        <v>0</v>
      </c>
      <c r="F3228" s="8">
        <v>0</v>
      </c>
      <c r="G3228" s="8">
        <v>14</v>
      </c>
      <c r="H3228" s="8" t="s">
        <v>6777</v>
      </c>
      <c r="I3228" s="8">
        <v>526.6875</v>
      </c>
      <c r="J3228" s="3">
        <f t="shared" si="50"/>
        <v>43747.692564108795</v>
      </c>
    </row>
    <row r="3229" spans="1:10" x14ac:dyDescent="0.25">
      <c r="A3229" s="5" t="s">
        <v>6778</v>
      </c>
      <c r="B3229" s="6">
        <v>393.75</v>
      </c>
      <c r="C3229" s="6">
        <v>20.584240000000001</v>
      </c>
      <c r="D3229" s="6">
        <v>48</v>
      </c>
      <c r="E3229" s="6">
        <v>0</v>
      </c>
      <c r="F3229" s="6">
        <v>0</v>
      </c>
      <c r="G3229" s="6">
        <v>0</v>
      </c>
      <c r="H3229" s="6" t="s">
        <v>6779</v>
      </c>
      <c r="I3229" s="6">
        <v>526.6875</v>
      </c>
      <c r="J3229" s="2">
        <f t="shared" si="50"/>
        <v>43747.69263597222</v>
      </c>
    </row>
    <row r="3230" spans="1:10" x14ac:dyDescent="0.25">
      <c r="A3230" s="7" t="s">
        <v>6780</v>
      </c>
      <c r="B3230" s="8">
        <v>393.75</v>
      </c>
      <c r="C3230" s="8">
        <v>20.584240000000001</v>
      </c>
      <c r="D3230" s="8">
        <v>45</v>
      </c>
      <c r="E3230" s="8">
        <v>0</v>
      </c>
      <c r="F3230" s="8">
        <v>0</v>
      </c>
      <c r="G3230" s="8">
        <v>6</v>
      </c>
      <c r="H3230" s="8" t="s">
        <v>6781</v>
      </c>
      <c r="I3230" s="8">
        <v>526.6875</v>
      </c>
      <c r="J3230" s="3">
        <f t="shared" si="50"/>
        <v>43747.692719189814</v>
      </c>
    </row>
    <row r="3231" spans="1:10" x14ac:dyDescent="0.25">
      <c r="A3231" s="5" t="s">
        <v>6782</v>
      </c>
      <c r="B3231" s="6">
        <v>393.75</v>
      </c>
      <c r="C3231" s="6">
        <v>20.584240000000001</v>
      </c>
      <c r="D3231" s="6">
        <v>45</v>
      </c>
      <c r="E3231" s="6">
        <v>0</v>
      </c>
      <c r="F3231" s="6">
        <v>0</v>
      </c>
      <c r="G3231" s="6">
        <v>7</v>
      </c>
      <c r="H3231" s="6" t="s">
        <v>6783</v>
      </c>
      <c r="I3231" s="6">
        <v>526.6875</v>
      </c>
      <c r="J3231" s="2">
        <f t="shared" si="50"/>
        <v>43747.692790613422</v>
      </c>
    </row>
    <row r="3232" spans="1:10" x14ac:dyDescent="0.25">
      <c r="A3232" s="7" t="s">
        <v>6784</v>
      </c>
      <c r="B3232" s="8">
        <v>393.75</v>
      </c>
      <c r="C3232" s="8">
        <v>20.531590000000001</v>
      </c>
      <c r="D3232" s="8">
        <v>47</v>
      </c>
      <c r="E3232" s="8">
        <v>0</v>
      </c>
      <c r="F3232" s="8">
        <v>0</v>
      </c>
      <c r="G3232" s="8">
        <v>8</v>
      </c>
      <c r="H3232" s="8" t="s">
        <v>6785</v>
      </c>
      <c r="I3232" s="8">
        <v>526.6875</v>
      </c>
      <c r="J3232" s="3">
        <f t="shared" si="50"/>
        <v>43747.692862592587</v>
      </c>
    </row>
    <row r="3233" spans="1:10" x14ac:dyDescent="0.25">
      <c r="A3233" s="5" t="s">
        <v>6786</v>
      </c>
      <c r="B3233" s="6">
        <v>393.75</v>
      </c>
      <c r="C3233" s="6">
        <v>20.531590000000001</v>
      </c>
      <c r="D3233" s="6">
        <v>50</v>
      </c>
      <c r="E3233" s="6">
        <v>0</v>
      </c>
      <c r="F3233" s="6">
        <v>0</v>
      </c>
      <c r="G3233" s="6">
        <v>2</v>
      </c>
      <c r="H3233" s="6" t="s">
        <v>6787</v>
      </c>
      <c r="I3233" s="6">
        <v>526.6875</v>
      </c>
      <c r="J3233" s="2">
        <f t="shared" si="50"/>
        <v>43747.692946157404</v>
      </c>
    </row>
    <row r="3234" spans="1:10" x14ac:dyDescent="0.25">
      <c r="A3234" s="7" t="s">
        <v>6788</v>
      </c>
      <c r="B3234" s="8">
        <v>412.5</v>
      </c>
      <c r="C3234" s="8">
        <v>20.584240000000001</v>
      </c>
      <c r="D3234" s="8">
        <v>49</v>
      </c>
      <c r="E3234" s="8">
        <v>0</v>
      </c>
      <c r="F3234" s="8">
        <v>0</v>
      </c>
      <c r="G3234" s="8">
        <v>4</v>
      </c>
      <c r="H3234" s="8" t="s">
        <v>6789</v>
      </c>
      <c r="I3234" s="8">
        <v>532.3125</v>
      </c>
      <c r="J3234" s="3">
        <f t="shared" si="50"/>
        <v>43747.693017673613</v>
      </c>
    </row>
    <row r="3235" spans="1:10" x14ac:dyDescent="0.25">
      <c r="A3235" s="5" t="s">
        <v>6790</v>
      </c>
      <c r="B3235" s="6">
        <v>393.75</v>
      </c>
      <c r="C3235" s="6">
        <v>20.531590000000001</v>
      </c>
      <c r="D3235" s="6">
        <v>49</v>
      </c>
      <c r="E3235" s="6">
        <v>0</v>
      </c>
      <c r="F3235" s="6">
        <v>0</v>
      </c>
      <c r="G3235" s="6">
        <v>4</v>
      </c>
      <c r="H3235" s="6" t="s">
        <v>6791</v>
      </c>
      <c r="I3235" s="6">
        <v>526.6875</v>
      </c>
      <c r="J3235" s="2">
        <f t="shared" si="50"/>
        <v>43747.693100810182</v>
      </c>
    </row>
    <row r="3236" spans="1:10" x14ac:dyDescent="0.25">
      <c r="A3236" s="7" t="s">
        <v>6792</v>
      </c>
      <c r="B3236" s="8">
        <v>393.75</v>
      </c>
      <c r="C3236" s="8">
        <v>20.531590000000001</v>
      </c>
      <c r="D3236" s="8">
        <v>49</v>
      </c>
      <c r="E3236" s="8">
        <v>0</v>
      </c>
      <c r="F3236" s="8">
        <v>0</v>
      </c>
      <c r="G3236" s="8">
        <v>5</v>
      </c>
      <c r="H3236" s="8" t="s">
        <v>6793</v>
      </c>
      <c r="I3236" s="8">
        <v>526.5</v>
      </c>
      <c r="J3236" s="3">
        <f t="shared" si="50"/>
        <v>43747.693172546293</v>
      </c>
    </row>
    <row r="3237" spans="1:10" x14ac:dyDescent="0.25">
      <c r="A3237" s="5" t="s">
        <v>6794</v>
      </c>
      <c r="B3237" s="6">
        <v>425</v>
      </c>
      <c r="C3237" s="6">
        <v>20.584240000000001</v>
      </c>
      <c r="D3237" s="6">
        <v>48</v>
      </c>
      <c r="E3237" s="6">
        <v>0</v>
      </c>
      <c r="F3237" s="6">
        <v>0</v>
      </c>
      <c r="G3237" s="6">
        <v>4</v>
      </c>
      <c r="H3237" s="6" t="s">
        <v>6795</v>
      </c>
      <c r="I3237" s="6">
        <v>536.0625</v>
      </c>
      <c r="J3237" s="2">
        <f t="shared" si="50"/>
        <v>43747.693256238425</v>
      </c>
    </row>
    <row r="3238" spans="1:10" x14ac:dyDescent="0.25">
      <c r="A3238" s="7" t="s">
        <v>6796</v>
      </c>
      <c r="B3238" s="8">
        <v>393.75</v>
      </c>
      <c r="C3238" s="8">
        <v>20.584240000000001</v>
      </c>
      <c r="D3238" s="8">
        <v>47</v>
      </c>
      <c r="E3238" s="8">
        <v>0</v>
      </c>
      <c r="F3238" s="8">
        <v>0</v>
      </c>
      <c r="G3238" s="8">
        <v>2</v>
      </c>
      <c r="H3238" s="8" t="s">
        <v>6797</v>
      </c>
      <c r="I3238" s="8">
        <v>526.6875</v>
      </c>
      <c r="J3238" s="3">
        <f t="shared" si="50"/>
        <v>43747.693339560188</v>
      </c>
    </row>
    <row r="3239" spans="1:10" x14ac:dyDescent="0.25">
      <c r="A3239" s="5" t="s">
        <v>6798</v>
      </c>
      <c r="B3239" s="6">
        <v>393.75</v>
      </c>
      <c r="C3239" s="6">
        <v>20.531590000000001</v>
      </c>
      <c r="D3239" s="6">
        <v>47</v>
      </c>
      <c r="E3239" s="6">
        <v>0</v>
      </c>
      <c r="F3239" s="6">
        <v>0</v>
      </c>
      <c r="G3239" s="6">
        <v>0</v>
      </c>
      <c r="H3239" s="6" t="s">
        <v>6799</v>
      </c>
      <c r="I3239" s="6">
        <v>526.6875</v>
      </c>
      <c r="J3239" s="2">
        <f t="shared" si="50"/>
        <v>43747.693422905089</v>
      </c>
    </row>
    <row r="3240" spans="1:10" x14ac:dyDescent="0.25">
      <c r="A3240" s="7" t="s">
        <v>6800</v>
      </c>
      <c r="B3240" s="8">
        <v>393.75</v>
      </c>
      <c r="C3240" s="8">
        <v>20.531590000000001</v>
      </c>
      <c r="D3240" s="8">
        <v>48</v>
      </c>
      <c r="E3240" s="8">
        <v>0</v>
      </c>
      <c r="F3240" s="8">
        <v>0</v>
      </c>
      <c r="G3240" s="8">
        <v>1</v>
      </c>
      <c r="H3240" s="8" t="s">
        <v>6801</v>
      </c>
      <c r="I3240" s="8">
        <v>526.6875</v>
      </c>
      <c r="J3240" s="3">
        <f t="shared" si="50"/>
        <v>43747.693506631942</v>
      </c>
    </row>
    <row r="3241" spans="1:10" x14ac:dyDescent="0.25">
      <c r="A3241" s="5" t="s">
        <v>6802</v>
      </c>
      <c r="B3241" s="6">
        <v>393.75</v>
      </c>
      <c r="C3241" s="6">
        <v>20.584240000000001</v>
      </c>
      <c r="D3241" s="6">
        <v>49</v>
      </c>
      <c r="E3241" s="6">
        <v>0</v>
      </c>
      <c r="F3241" s="6">
        <v>0</v>
      </c>
      <c r="G3241" s="6">
        <v>0</v>
      </c>
      <c r="H3241" s="6" t="s">
        <v>6803</v>
      </c>
      <c r="I3241" s="6">
        <v>526.6875</v>
      </c>
      <c r="J3241" s="2">
        <f t="shared" si="50"/>
        <v>43747.693589675924</v>
      </c>
    </row>
    <row r="3242" spans="1:10" x14ac:dyDescent="0.25">
      <c r="A3242" s="7" t="s">
        <v>6804</v>
      </c>
      <c r="B3242" s="8">
        <v>393.75</v>
      </c>
      <c r="C3242" s="8">
        <v>20.584240000000001</v>
      </c>
      <c r="D3242" s="8">
        <v>49</v>
      </c>
      <c r="E3242" s="8">
        <v>0</v>
      </c>
      <c r="F3242" s="8">
        <v>0</v>
      </c>
      <c r="G3242" s="8">
        <v>0</v>
      </c>
      <c r="H3242" s="8" t="s">
        <v>6805</v>
      </c>
      <c r="I3242" s="8">
        <v>526.6875</v>
      </c>
      <c r="J3242" s="3">
        <f t="shared" si="50"/>
        <v>43747.693673472219</v>
      </c>
    </row>
    <row r="3243" spans="1:10" x14ac:dyDescent="0.25">
      <c r="A3243" s="5" t="s">
        <v>6806</v>
      </c>
      <c r="B3243" s="6">
        <v>393.75</v>
      </c>
      <c r="C3243" s="6">
        <v>20.584240000000001</v>
      </c>
      <c r="D3243" s="6">
        <v>47</v>
      </c>
      <c r="E3243" s="6">
        <v>0</v>
      </c>
      <c r="F3243" s="6">
        <v>0</v>
      </c>
      <c r="G3243" s="6">
        <v>0</v>
      </c>
      <c r="H3243" s="6" t="s">
        <v>6807</v>
      </c>
      <c r="I3243" s="6">
        <v>526.6875</v>
      </c>
      <c r="J3243" s="2">
        <f t="shared" si="50"/>
        <v>43747.69375716435</v>
      </c>
    </row>
    <row r="3244" spans="1:10" x14ac:dyDescent="0.25">
      <c r="A3244" s="7" t="s">
        <v>6808</v>
      </c>
      <c r="B3244" s="8">
        <v>428.125</v>
      </c>
      <c r="C3244" s="8">
        <v>20.584240000000001</v>
      </c>
      <c r="D3244" s="8">
        <v>47</v>
      </c>
      <c r="E3244" s="8">
        <v>0</v>
      </c>
      <c r="F3244" s="8">
        <v>0</v>
      </c>
      <c r="G3244" s="8">
        <v>0</v>
      </c>
      <c r="H3244" s="8" t="s">
        <v>6809</v>
      </c>
      <c r="I3244" s="8">
        <v>537.9375</v>
      </c>
      <c r="J3244" s="3">
        <f t="shared" si="50"/>
        <v>43747.693828576383</v>
      </c>
    </row>
    <row r="3245" spans="1:10" x14ac:dyDescent="0.25">
      <c r="A3245" s="5" t="s">
        <v>6810</v>
      </c>
      <c r="B3245" s="6">
        <v>393.75</v>
      </c>
      <c r="C3245" s="6">
        <v>20.531590000000001</v>
      </c>
      <c r="D3245" s="6">
        <v>48</v>
      </c>
      <c r="E3245" s="6">
        <v>0</v>
      </c>
      <c r="F3245" s="6">
        <v>0</v>
      </c>
      <c r="G3245" s="6">
        <v>0</v>
      </c>
      <c r="H3245" s="6" t="s">
        <v>6811</v>
      </c>
      <c r="I3245" s="6">
        <v>526.6875</v>
      </c>
      <c r="J3245" s="2">
        <f t="shared" si="50"/>
        <v>43747.693911828705</v>
      </c>
    </row>
    <row r="3246" spans="1:10" x14ac:dyDescent="0.25">
      <c r="A3246" s="7" t="s">
        <v>6812</v>
      </c>
      <c r="B3246" s="8">
        <v>393.75</v>
      </c>
      <c r="C3246" s="8">
        <v>20.531590000000001</v>
      </c>
      <c r="D3246" s="8">
        <v>48</v>
      </c>
      <c r="E3246" s="8">
        <v>0</v>
      </c>
      <c r="F3246" s="8">
        <v>0</v>
      </c>
      <c r="G3246" s="8">
        <v>0</v>
      </c>
      <c r="H3246" s="8" t="s">
        <v>6813</v>
      </c>
      <c r="I3246" s="8">
        <v>526.6875</v>
      </c>
      <c r="J3246" s="3">
        <f t="shared" si="50"/>
        <v>43747.693995462956</v>
      </c>
    </row>
    <row r="3247" spans="1:10" x14ac:dyDescent="0.25">
      <c r="A3247" s="5" t="s">
        <v>6814</v>
      </c>
      <c r="B3247" s="6">
        <v>393.75</v>
      </c>
      <c r="C3247" s="6">
        <v>20.584240000000001</v>
      </c>
      <c r="D3247" s="6">
        <v>48</v>
      </c>
      <c r="E3247" s="6">
        <v>0</v>
      </c>
      <c r="F3247" s="6">
        <v>0</v>
      </c>
      <c r="G3247" s="6">
        <v>0</v>
      </c>
      <c r="H3247" s="6" t="s">
        <v>6815</v>
      </c>
      <c r="I3247" s="6">
        <v>526.6875</v>
      </c>
      <c r="J3247" s="2">
        <f t="shared" si="50"/>
        <v>43747.694078888882</v>
      </c>
    </row>
    <row r="3248" spans="1:10" x14ac:dyDescent="0.25">
      <c r="A3248" s="7" t="s">
        <v>6816</v>
      </c>
      <c r="B3248" s="8">
        <v>393.75</v>
      </c>
      <c r="C3248" s="8">
        <v>20.531590000000001</v>
      </c>
      <c r="D3248" s="8">
        <v>48</v>
      </c>
      <c r="E3248" s="8">
        <v>0</v>
      </c>
      <c r="F3248" s="8">
        <v>0</v>
      </c>
      <c r="G3248" s="8">
        <v>0</v>
      </c>
      <c r="H3248" s="8" t="s">
        <v>6817</v>
      </c>
      <c r="I3248" s="8">
        <v>526.6875</v>
      </c>
      <c r="J3248" s="3">
        <f t="shared" si="50"/>
        <v>43747.694178356476</v>
      </c>
    </row>
    <row r="3249" spans="1:10" x14ac:dyDescent="0.25">
      <c r="A3249" s="5" t="s">
        <v>6818</v>
      </c>
      <c r="B3249" s="6">
        <v>393.75</v>
      </c>
      <c r="C3249" s="6">
        <v>20.584240000000001</v>
      </c>
      <c r="D3249" s="6">
        <v>47</v>
      </c>
      <c r="E3249" s="6">
        <v>0</v>
      </c>
      <c r="F3249" s="6">
        <v>0</v>
      </c>
      <c r="G3249" s="6">
        <v>7</v>
      </c>
      <c r="H3249" s="6" t="s">
        <v>6819</v>
      </c>
      <c r="I3249" s="6">
        <v>526.6875</v>
      </c>
      <c r="J3249" s="2">
        <f t="shared" si="50"/>
        <v>43747.694257870367</v>
      </c>
    </row>
    <row r="3250" spans="1:10" x14ac:dyDescent="0.25">
      <c r="A3250" s="7" t="s">
        <v>6820</v>
      </c>
      <c r="B3250" s="8">
        <v>393.75</v>
      </c>
      <c r="C3250" s="8">
        <v>20.584240000000001</v>
      </c>
      <c r="D3250" s="8">
        <v>47</v>
      </c>
      <c r="E3250" s="8">
        <v>0</v>
      </c>
      <c r="F3250" s="8">
        <v>0</v>
      </c>
      <c r="G3250" s="8">
        <v>0</v>
      </c>
      <c r="H3250" s="8" t="s">
        <v>6821</v>
      </c>
      <c r="I3250" s="8">
        <v>526.6875</v>
      </c>
      <c r="J3250" s="3">
        <f t="shared" si="50"/>
        <v>43747.69434141204</v>
      </c>
    </row>
    <row r="3251" spans="1:10" x14ac:dyDescent="0.25">
      <c r="A3251" s="5" t="s">
        <v>6822</v>
      </c>
      <c r="B3251" s="6">
        <v>412.5</v>
      </c>
      <c r="C3251" s="6">
        <v>20.584240000000001</v>
      </c>
      <c r="D3251" s="6">
        <v>47</v>
      </c>
      <c r="E3251" s="6">
        <v>0</v>
      </c>
      <c r="F3251" s="6">
        <v>0</v>
      </c>
      <c r="G3251" s="6">
        <v>14</v>
      </c>
      <c r="H3251" s="6" t="s">
        <v>6823</v>
      </c>
      <c r="I3251" s="6">
        <v>532.125</v>
      </c>
      <c r="J3251" s="2">
        <f t="shared" si="50"/>
        <v>43747.694424745372</v>
      </c>
    </row>
    <row r="3252" spans="1:10" x14ac:dyDescent="0.25">
      <c r="A3252" s="7" t="s">
        <v>6824</v>
      </c>
      <c r="B3252" s="8">
        <v>393.75</v>
      </c>
      <c r="C3252" s="8">
        <v>20.584240000000001</v>
      </c>
      <c r="D3252" s="8">
        <v>48</v>
      </c>
      <c r="E3252" s="8">
        <v>0</v>
      </c>
      <c r="F3252" s="8">
        <v>0</v>
      </c>
      <c r="G3252" s="8">
        <v>15</v>
      </c>
      <c r="H3252" s="8" t="s">
        <v>6825</v>
      </c>
      <c r="I3252" s="8">
        <v>526.6875</v>
      </c>
      <c r="J3252" s="3">
        <f t="shared" si="50"/>
        <v>43747.694508078705</v>
      </c>
    </row>
    <row r="3253" spans="1:10" x14ac:dyDescent="0.25">
      <c r="A3253" s="5" t="s">
        <v>6826</v>
      </c>
      <c r="B3253" s="6">
        <v>393.75</v>
      </c>
      <c r="C3253" s="6">
        <v>20.584240000000001</v>
      </c>
      <c r="D3253" s="6">
        <v>48</v>
      </c>
      <c r="E3253" s="6">
        <v>0</v>
      </c>
      <c r="F3253" s="6">
        <v>0</v>
      </c>
      <c r="G3253" s="6">
        <v>6</v>
      </c>
      <c r="H3253" s="6" t="s">
        <v>6827</v>
      </c>
      <c r="I3253" s="6">
        <v>526.6875</v>
      </c>
      <c r="J3253" s="2">
        <f t="shared" si="50"/>
        <v>43747.69459175926</v>
      </c>
    </row>
    <row r="3254" spans="1:10" x14ac:dyDescent="0.25">
      <c r="A3254" s="7" t="s">
        <v>6828</v>
      </c>
      <c r="B3254" s="8">
        <v>393.75</v>
      </c>
      <c r="C3254" s="8">
        <v>20.531590000000001</v>
      </c>
      <c r="D3254" s="8">
        <v>49</v>
      </c>
      <c r="E3254" s="8">
        <v>0</v>
      </c>
      <c r="F3254" s="8">
        <v>0</v>
      </c>
      <c r="G3254" s="8">
        <v>14</v>
      </c>
      <c r="H3254" s="8" t="s">
        <v>6829</v>
      </c>
      <c r="I3254" s="8">
        <v>526.6875</v>
      </c>
      <c r="J3254" s="3">
        <f t="shared" si="50"/>
        <v>43747.694674861108</v>
      </c>
    </row>
    <row r="3255" spans="1:10" x14ac:dyDescent="0.25">
      <c r="A3255" s="5" t="s">
        <v>6830</v>
      </c>
      <c r="B3255" s="6">
        <v>393.75</v>
      </c>
      <c r="C3255" s="6">
        <v>20.531590000000001</v>
      </c>
      <c r="D3255" s="6">
        <v>49</v>
      </c>
      <c r="E3255" s="6">
        <v>0</v>
      </c>
      <c r="F3255" s="6">
        <v>0</v>
      </c>
      <c r="G3255" s="6">
        <v>7</v>
      </c>
      <c r="H3255" s="6" t="s">
        <v>6831</v>
      </c>
      <c r="I3255" s="6">
        <v>526.6875</v>
      </c>
      <c r="J3255" s="2">
        <f t="shared" si="50"/>
        <v>43747.694746527777</v>
      </c>
    </row>
    <row r="3256" spans="1:10" x14ac:dyDescent="0.25">
      <c r="A3256" s="7" t="s">
        <v>6832</v>
      </c>
      <c r="B3256" s="8">
        <v>412.5</v>
      </c>
      <c r="C3256" s="8">
        <v>20.584240000000001</v>
      </c>
      <c r="D3256" s="8">
        <v>49</v>
      </c>
      <c r="E3256" s="8">
        <v>0</v>
      </c>
      <c r="F3256" s="8">
        <v>0</v>
      </c>
      <c r="G3256" s="8">
        <v>9</v>
      </c>
      <c r="H3256" s="8" t="s">
        <v>6833</v>
      </c>
      <c r="I3256" s="8">
        <v>532.3125</v>
      </c>
      <c r="J3256" s="3">
        <f t="shared" si="50"/>
        <v>43747.694830312503</v>
      </c>
    </row>
    <row r="3257" spans="1:10" x14ac:dyDescent="0.25">
      <c r="A3257" s="5" t="s">
        <v>6834</v>
      </c>
      <c r="B3257" s="6">
        <v>393.75</v>
      </c>
      <c r="C3257" s="6">
        <v>20.584240000000001</v>
      </c>
      <c r="D3257" s="6">
        <v>49</v>
      </c>
      <c r="E3257" s="6">
        <v>0</v>
      </c>
      <c r="F3257" s="6">
        <v>0</v>
      </c>
      <c r="G3257" s="6">
        <v>7</v>
      </c>
      <c r="H3257" s="6" t="s">
        <v>6835</v>
      </c>
      <c r="I3257" s="6">
        <v>526.6875</v>
      </c>
      <c r="J3257" s="2">
        <f t="shared" si="50"/>
        <v>43747.694913761567</v>
      </c>
    </row>
    <row r="3258" spans="1:10" x14ac:dyDescent="0.25">
      <c r="A3258" s="7" t="s">
        <v>6836</v>
      </c>
      <c r="B3258" s="8">
        <v>393.75</v>
      </c>
      <c r="C3258" s="8">
        <v>20.584240000000001</v>
      </c>
      <c r="D3258" s="8">
        <v>49</v>
      </c>
      <c r="E3258" s="8">
        <v>0</v>
      </c>
      <c r="F3258" s="8">
        <v>0</v>
      </c>
      <c r="G3258" s="8">
        <v>7</v>
      </c>
      <c r="H3258" s="8" t="s">
        <v>6837</v>
      </c>
      <c r="I3258" s="8">
        <v>526.5</v>
      </c>
      <c r="J3258" s="3">
        <f t="shared" si="50"/>
        <v>43747.695021111103</v>
      </c>
    </row>
    <row r="3259" spans="1:10" x14ac:dyDescent="0.25">
      <c r="A3259" s="5" t="s">
        <v>6838</v>
      </c>
      <c r="B3259" s="6">
        <v>393.75</v>
      </c>
      <c r="C3259" s="6">
        <v>20.584240000000001</v>
      </c>
      <c r="D3259" s="6">
        <v>49</v>
      </c>
      <c r="E3259" s="6">
        <v>0</v>
      </c>
      <c r="F3259" s="6">
        <v>0</v>
      </c>
      <c r="G3259" s="6">
        <v>4</v>
      </c>
      <c r="H3259" s="6" t="s">
        <v>6839</v>
      </c>
      <c r="I3259" s="6">
        <v>526.6875</v>
      </c>
      <c r="J3259" s="2">
        <f t="shared" si="50"/>
        <v>43747.695104421298</v>
      </c>
    </row>
    <row r="3260" spans="1:10" x14ac:dyDescent="0.25">
      <c r="A3260" s="7" t="s">
        <v>6840</v>
      </c>
      <c r="B3260" s="8">
        <v>393.75</v>
      </c>
      <c r="C3260" s="8">
        <v>20.584240000000001</v>
      </c>
      <c r="D3260" s="8">
        <v>48</v>
      </c>
      <c r="E3260" s="8">
        <v>0</v>
      </c>
      <c r="F3260" s="8">
        <v>0</v>
      </c>
      <c r="G3260" s="8">
        <v>15</v>
      </c>
      <c r="H3260" s="8" t="s">
        <v>6841</v>
      </c>
      <c r="I3260" s="8">
        <v>526.6875</v>
      </c>
      <c r="J3260" s="3">
        <f t="shared" si="50"/>
        <v>43747.69518800926</v>
      </c>
    </row>
    <row r="3261" spans="1:10" x14ac:dyDescent="0.25">
      <c r="A3261" s="5" t="s">
        <v>6842</v>
      </c>
      <c r="B3261" s="6">
        <v>393.75</v>
      </c>
      <c r="C3261" s="6">
        <v>20.531590000000001</v>
      </c>
      <c r="D3261" s="6">
        <v>48</v>
      </c>
      <c r="E3261" s="6">
        <v>0</v>
      </c>
      <c r="F3261" s="6">
        <v>0</v>
      </c>
      <c r="G3261" s="6">
        <v>23</v>
      </c>
      <c r="H3261" s="6" t="s">
        <v>6843</v>
      </c>
      <c r="I3261" s="6">
        <v>526.6875</v>
      </c>
      <c r="J3261" s="2">
        <f t="shared" si="50"/>
        <v>43747.695271203702</v>
      </c>
    </row>
    <row r="3262" spans="1:10" x14ac:dyDescent="0.25">
      <c r="A3262" s="7" t="s">
        <v>6844</v>
      </c>
      <c r="B3262" s="8">
        <v>412.5</v>
      </c>
      <c r="C3262" s="8">
        <v>20.584240000000001</v>
      </c>
      <c r="D3262" s="8">
        <v>48</v>
      </c>
      <c r="E3262" s="8">
        <v>0</v>
      </c>
      <c r="F3262" s="8">
        <v>0</v>
      </c>
      <c r="G3262" s="8">
        <v>16</v>
      </c>
      <c r="H3262" s="8" t="s">
        <v>6845</v>
      </c>
      <c r="I3262" s="8">
        <v>532.5</v>
      </c>
      <c r="J3262" s="3">
        <f t="shared" si="50"/>
        <v>43747.695342962958</v>
      </c>
    </row>
    <row r="3263" spans="1:10" x14ac:dyDescent="0.25">
      <c r="A3263" s="5" t="s">
        <v>6846</v>
      </c>
      <c r="B3263" s="6">
        <v>393.75</v>
      </c>
      <c r="C3263" s="6">
        <v>20.478950000000001</v>
      </c>
      <c r="D3263" s="6">
        <v>46</v>
      </c>
      <c r="E3263" s="6">
        <v>0</v>
      </c>
      <c r="F3263" s="6">
        <v>0</v>
      </c>
      <c r="G3263" s="6">
        <v>14</v>
      </c>
      <c r="H3263" s="6" t="s">
        <v>6847</v>
      </c>
      <c r="I3263" s="6">
        <v>526.6875</v>
      </c>
      <c r="J3263" s="2">
        <f t="shared" si="50"/>
        <v>43747.695426770828</v>
      </c>
    </row>
    <row r="3264" spans="1:10" x14ac:dyDescent="0.25">
      <c r="A3264" s="7" t="s">
        <v>6848</v>
      </c>
      <c r="B3264" s="8">
        <v>393.75</v>
      </c>
      <c r="C3264" s="8">
        <v>20.584240000000001</v>
      </c>
      <c r="D3264" s="8">
        <v>47</v>
      </c>
      <c r="E3264" s="8">
        <v>0</v>
      </c>
      <c r="F3264" s="8">
        <v>0</v>
      </c>
      <c r="G3264" s="8">
        <v>17</v>
      </c>
      <c r="H3264" s="8" t="s">
        <v>6849</v>
      </c>
      <c r="I3264" s="8">
        <v>526.6875</v>
      </c>
      <c r="J3264" s="3">
        <f t="shared" si="50"/>
        <v>43747.695509988422</v>
      </c>
    </row>
    <row r="3265" spans="1:10" x14ac:dyDescent="0.25">
      <c r="A3265" s="5" t="s">
        <v>6850</v>
      </c>
      <c r="B3265" s="6">
        <v>393.75</v>
      </c>
      <c r="C3265" s="6">
        <v>20.584240000000001</v>
      </c>
      <c r="D3265" s="6">
        <v>47</v>
      </c>
      <c r="E3265" s="6">
        <v>0</v>
      </c>
      <c r="F3265" s="6">
        <v>0</v>
      </c>
      <c r="G3265" s="6">
        <v>10</v>
      </c>
      <c r="H3265" s="6" t="s">
        <v>6851</v>
      </c>
      <c r="I3265" s="6">
        <v>526.6875</v>
      </c>
      <c r="J3265" s="2">
        <f t="shared" si="50"/>
        <v>43747.695593425924</v>
      </c>
    </row>
    <row r="3266" spans="1:10" x14ac:dyDescent="0.25">
      <c r="A3266" s="7" t="s">
        <v>6852</v>
      </c>
      <c r="B3266" s="8">
        <v>393.75</v>
      </c>
      <c r="C3266" s="8">
        <v>20.584240000000001</v>
      </c>
      <c r="D3266" s="8">
        <v>50</v>
      </c>
      <c r="E3266" s="8">
        <v>0</v>
      </c>
      <c r="F3266" s="8">
        <v>0</v>
      </c>
      <c r="G3266" s="8">
        <v>13</v>
      </c>
      <c r="H3266" s="8" t="s">
        <v>6853</v>
      </c>
      <c r="I3266" s="8">
        <v>526.6875</v>
      </c>
      <c r="J3266" s="3">
        <f t="shared" ref="J3266:J3329" si="51">(H3266/86400000)+25569+(7/24)</f>
        <v>43747.695691527777</v>
      </c>
    </row>
    <row r="3267" spans="1:10" x14ac:dyDescent="0.25">
      <c r="A3267" s="5" t="s">
        <v>6854</v>
      </c>
      <c r="B3267" s="6">
        <v>393.75</v>
      </c>
      <c r="C3267" s="6">
        <v>20.531590000000001</v>
      </c>
      <c r="D3267" s="6">
        <v>47</v>
      </c>
      <c r="E3267" s="6">
        <v>0</v>
      </c>
      <c r="F3267" s="6">
        <v>0</v>
      </c>
      <c r="G3267" s="6">
        <v>11</v>
      </c>
      <c r="H3267" s="6" t="s">
        <v>6855</v>
      </c>
      <c r="I3267" s="6">
        <v>526.6875</v>
      </c>
      <c r="J3267" s="2">
        <f t="shared" si="51"/>
        <v>43747.695772361105</v>
      </c>
    </row>
    <row r="3268" spans="1:10" x14ac:dyDescent="0.25">
      <c r="A3268" s="7" t="s">
        <v>6856</v>
      </c>
      <c r="B3268" s="8">
        <v>393.75</v>
      </c>
      <c r="C3268" s="8">
        <v>20.584240000000001</v>
      </c>
      <c r="D3268" s="8">
        <v>47</v>
      </c>
      <c r="E3268" s="8">
        <v>0</v>
      </c>
      <c r="F3268" s="8">
        <v>0</v>
      </c>
      <c r="G3268" s="8">
        <v>15</v>
      </c>
      <c r="H3268" s="8" t="s">
        <v>6857</v>
      </c>
      <c r="I3268" s="8">
        <v>526.6875</v>
      </c>
      <c r="J3268" s="3">
        <f t="shared" si="51"/>
        <v>43747.695855810183</v>
      </c>
    </row>
    <row r="3269" spans="1:10" x14ac:dyDescent="0.25">
      <c r="A3269" s="5" t="s">
        <v>6858</v>
      </c>
      <c r="B3269" s="6">
        <v>393.75</v>
      </c>
      <c r="C3269" s="6">
        <v>20.584240000000001</v>
      </c>
      <c r="D3269" s="6">
        <v>47</v>
      </c>
      <c r="E3269" s="6">
        <v>0</v>
      </c>
      <c r="F3269" s="6">
        <v>0</v>
      </c>
      <c r="G3269" s="6">
        <v>12</v>
      </c>
      <c r="H3269" s="6" t="s">
        <v>6859</v>
      </c>
      <c r="I3269" s="6">
        <v>526.6875</v>
      </c>
      <c r="J3269" s="2">
        <f t="shared" si="51"/>
        <v>43747.69593927083</v>
      </c>
    </row>
    <row r="3270" spans="1:10" x14ac:dyDescent="0.25">
      <c r="A3270" s="7" t="s">
        <v>6860</v>
      </c>
      <c r="B3270" s="8">
        <v>393.75</v>
      </c>
      <c r="C3270" s="8">
        <v>20.584240000000001</v>
      </c>
      <c r="D3270" s="8">
        <v>42</v>
      </c>
      <c r="E3270" s="8">
        <v>0</v>
      </c>
      <c r="F3270" s="8">
        <v>0</v>
      </c>
      <c r="G3270" s="8">
        <v>14</v>
      </c>
      <c r="H3270" s="8" t="s">
        <v>6861</v>
      </c>
      <c r="I3270" s="8">
        <v>526.6875</v>
      </c>
      <c r="J3270" s="3">
        <f t="shared" si="51"/>
        <v>43747.696022719909</v>
      </c>
    </row>
    <row r="3271" spans="1:10" x14ac:dyDescent="0.25">
      <c r="A3271" s="5" t="s">
        <v>6862</v>
      </c>
      <c r="B3271" s="6">
        <v>393.75</v>
      </c>
      <c r="C3271" s="6">
        <v>20.531590000000001</v>
      </c>
      <c r="D3271" s="6">
        <v>44</v>
      </c>
      <c r="E3271" s="6">
        <v>0</v>
      </c>
      <c r="F3271" s="6">
        <v>0</v>
      </c>
      <c r="G3271" s="6">
        <v>9</v>
      </c>
      <c r="H3271" s="6" t="s">
        <v>6863</v>
      </c>
      <c r="I3271" s="6">
        <v>526.6875</v>
      </c>
      <c r="J3271" s="2">
        <f t="shared" si="51"/>
        <v>43747.69610616898</v>
      </c>
    </row>
    <row r="3272" spans="1:10" x14ac:dyDescent="0.25">
      <c r="A3272" s="7" t="s">
        <v>6864</v>
      </c>
      <c r="B3272" s="8">
        <v>393.75</v>
      </c>
      <c r="C3272" s="8">
        <v>20.584240000000001</v>
      </c>
      <c r="D3272" s="8">
        <v>45</v>
      </c>
      <c r="E3272" s="8">
        <v>0</v>
      </c>
      <c r="F3272" s="8">
        <v>0</v>
      </c>
      <c r="G3272" s="8">
        <v>17</v>
      </c>
      <c r="H3272" s="8" t="s">
        <v>6865</v>
      </c>
      <c r="I3272" s="8">
        <v>526.6875</v>
      </c>
      <c r="J3272" s="3">
        <f t="shared" si="51"/>
        <v>43747.696189629627</v>
      </c>
    </row>
    <row r="3273" spans="1:10" x14ac:dyDescent="0.25">
      <c r="A3273" s="5" t="s">
        <v>6866</v>
      </c>
      <c r="B3273" s="6">
        <v>393.75</v>
      </c>
      <c r="C3273" s="6">
        <v>20.531590000000001</v>
      </c>
      <c r="D3273" s="6">
        <v>45</v>
      </c>
      <c r="E3273" s="6">
        <v>0</v>
      </c>
      <c r="F3273" s="6">
        <v>0</v>
      </c>
      <c r="G3273" s="6">
        <v>4</v>
      </c>
      <c r="H3273" s="6" t="s">
        <v>6867</v>
      </c>
      <c r="I3273" s="6">
        <v>526.6875</v>
      </c>
      <c r="J3273" s="2">
        <f t="shared" si="51"/>
        <v>43747.696273067129</v>
      </c>
    </row>
    <row r="3274" spans="1:10" x14ac:dyDescent="0.25">
      <c r="A3274" s="7" t="s">
        <v>6868</v>
      </c>
      <c r="B3274" s="8">
        <v>393.75</v>
      </c>
      <c r="C3274" s="8">
        <v>20.584240000000001</v>
      </c>
      <c r="D3274" s="8">
        <v>45</v>
      </c>
      <c r="E3274" s="8">
        <v>0</v>
      </c>
      <c r="F3274" s="8">
        <v>0</v>
      </c>
      <c r="G3274" s="8">
        <v>11</v>
      </c>
      <c r="H3274" s="8" t="s">
        <v>6869</v>
      </c>
      <c r="I3274" s="8">
        <v>526.5</v>
      </c>
      <c r="J3274" s="3">
        <f t="shared" si="51"/>
        <v>43747.696356493056</v>
      </c>
    </row>
    <row r="3275" spans="1:10" x14ac:dyDescent="0.25">
      <c r="A3275" s="5" t="s">
        <v>6870</v>
      </c>
      <c r="B3275" s="6">
        <v>393.75</v>
      </c>
      <c r="C3275" s="6">
        <v>20.584240000000001</v>
      </c>
      <c r="D3275" s="6">
        <v>45</v>
      </c>
      <c r="E3275" s="6">
        <v>0</v>
      </c>
      <c r="F3275" s="6">
        <v>0</v>
      </c>
      <c r="G3275" s="6">
        <v>10</v>
      </c>
      <c r="H3275" s="6" t="s">
        <v>6871</v>
      </c>
      <c r="I3275" s="6">
        <v>526.6875</v>
      </c>
      <c r="J3275" s="2">
        <f t="shared" si="51"/>
        <v>43747.696428043979</v>
      </c>
    </row>
    <row r="3276" spans="1:10" x14ac:dyDescent="0.25">
      <c r="A3276" s="7" t="s">
        <v>6872</v>
      </c>
      <c r="B3276" s="8">
        <v>393.75</v>
      </c>
      <c r="C3276" s="8">
        <v>20.584240000000001</v>
      </c>
      <c r="D3276" s="8">
        <v>45</v>
      </c>
      <c r="E3276" s="8">
        <v>0</v>
      </c>
      <c r="F3276" s="8">
        <v>0</v>
      </c>
      <c r="G3276" s="8">
        <v>0</v>
      </c>
      <c r="H3276" s="8" t="s">
        <v>6873</v>
      </c>
      <c r="I3276" s="8">
        <v>526.6875</v>
      </c>
      <c r="J3276" s="3">
        <f t="shared" si="51"/>
        <v>43747.696511608789</v>
      </c>
    </row>
    <row r="3277" spans="1:10" x14ac:dyDescent="0.25">
      <c r="A3277" s="5" t="s">
        <v>6874</v>
      </c>
      <c r="B3277" s="6">
        <v>393.75</v>
      </c>
      <c r="C3277" s="6">
        <v>20.584240000000001</v>
      </c>
      <c r="D3277" s="6">
        <v>46</v>
      </c>
      <c r="E3277" s="6">
        <v>0</v>
      </c>
      <c r="F3277" s="6">
        <v>0</v>
      </c>
      <c r="G3277" s="6">
        <v>10</v>
      </c>
      <c r="H3277" s="6" t="s">
        <v>6875</v>
      </c>
      <c r="I3277" s="6">
        <v>526.6875</v>
      </c>
      <c r="J3277" s="2">
        <f t="shared" si="51"/>
        <v>43747.696595034715</v>
      </c>
    </row>
    <row r="3278" spans="1:10" x14ac:dyDescent="0.25">
      <c r="A3278" s="7" t="s">
        <v>6876</v>
      </c>
      <c r="B3278" s="8">
        <v>393.75</v>
      </c>
      <c r="C3278" s="8">
        <v>20.584240000000001</v>
      </c>
      <c r="D3278" s="8">
        <v>45</v>
      </c>
      <c r="E3278" s="8">
        <v>0</v>
      </c>
      <c r="F3278" s="8">
        <v>0</v>
      </c>
      <c r="G3278" s="8">
        <v>9</v>
      </c>
      <c r="H3278" s="8" t="s">
        <v>6877</v>
      </c>
      <c r="I3278" s="8">
        <v>526.6875</v>
      </c>
      <c r="J3278" s="3">
        <f t="shared" si="51"/>
        <v>43747.69667863426</v>
      </c>
    </row>
    <row r="3279" spans="1:10" x14ac:dyDescent="0.25">
      <c r="A3279" s="5" t="s">
        <v>6878</v>
      </c>
      <c r="B3279" s="6">
        <v>393.75</v>
      </c>
      <c r="C3279" s="6">
        <v>20.531590000000001</v>
      </c>
      <c r="D3279" s="6">
        <v>46</v>
      </c>
      <c r="E3279" s="6">
        <v>0</v>
      </c>
      <c r="F3279" s="6">
        <v>0</v>
      </c>
      <c r="G3279" s="6">
        <v>8</v>
      </c>
      <c r="H3279" s="6" t="s">
        <v>6879</v>
      </c>
      <c r="I3279" s="6">
        <v>526.6875</v>
      </c>
      <c r="J3279" s="2">
        <f t="shared" si="51"/>
        <v>43747.696762175925</v>
      </c>
    </row>
    <row r="3280" spans="1:10" x14ac:dyDescent="0.25">
      <c r="A3280" s="7" t="s">
        <v>6880</v>
      </c>
      <c r="B3280" s="8">
        <v>393.75</v>
      </c>
      <c r="C3280" s="8">
        <v>20.584240000000001</v>
      </c>
      <c r="D3280" s="8">
        <v>48</v>
      </c>
      <c r="E3280" s="8">
        <v>0</v>
      </c>
      <c r="F3280" s="8">
        <v>0</v>
      </c>
      <c r="G3280" s="8">
        <v>6</v>
      </c>
      <c r="H3280" s="8" t="s">
        <v>6881</v>
      </c>
      <c r="I3280" s="8">
        <v>526.6875</v>
      </c>
      <c r="J3280" s="3">
        <f t="shared" si="51"/>
        <v>43747.696845289349</v>
      </c>
    </row>
    <row r="3281" spans="1:10" x14ac:dyDescent="0.25">
      <c r="A3281" s="5" t="s">
        <v>6882</v>
      </c>
      <c r="B3281" s="6">
        <v>393.75</v>
      </c>
      <c r="C3281" s="6">
        <v>20.584240000000001</v>
      </c>
      <c r="D3281" s="6">
        <v>48</v>
      </c>
      <c r="E3281" s="6">
        <v>0</v>
      </c>
      <c r="F3281" s="6">
        <v>0</v>
      </c>
      <c r="G3281" s="6">
        <v>4</v>
      </c>
      <c r="H3281" s="6" t="s">
        <v>6883</v>
      </c>
      <c r="I3281" s="6">
        <v>526.6875</v>
      </c>
      <c r="J3281" s="2">
        <f t="shared" si="51"/>
        <v>43747.69691716435</v>
      </c>
    </row>
    <row r="3282" spans="1:10" x14ac:dyDescent="0.25">
      <c r="A3282" s="7" t="s">
        <v>6884</v>
      </c>
      <c r="B3282" s="8">
        <v>393.75</v>
      </c>
      <c r="C3282" s="8">
        <v>20.584240000000001</v>
      </c>
      <c r="D3282" s="8">
        <v>47</v>
      </c>
      <c r="E3282" s="8">
        <v>0</v>
      </c>
      <c r="F3282" s="8">
        <v>0</v>
      </c>
      <c r="G3282" s="8">
        <v>7</v>
      </c>
      <c r="H3282" s="8" t="s">
        <v>6885</v>
      </c>
      <c r="I3282" s="8">
        <v>526.6875</v>
      </c>
      <c r="J3282" s="3">
        <f t="shared" si="51"/>
        <v>43747.697000613429</v>
      </c>
    </row>
    <row r="3283" spans="1:10" x14ac:dyDescent="0.25">
      <c r="A3283" s="5" t="s">
        <v>6886</v>
      </c>
      <c r="B3283" s="6">
        <v>393.75</v>
      </c>
      <c r="C3283" s="6">
        <v>20.584240000000001</v>
      </c>
      <c r="D3283" s="6">
        <v>50</v>
      </c>
      <c r="E3283" s="6">
        <v>0</v>
      </c>
      <c r="F3283" s="6">
        <v>0</v>
      </c>
      <c r="G3283" s="6">
        <v>0</v>
      </c>
      <c r="H3283" s="6" t="s">
        <v>6887</v>
      </c>
      <c r="I3283" s="6">
        <v>526.6875</v>
      </c>
      <c r="J3283" s="2">
        <f t="shared" si="51"/>
        <v>43747.697084062493</v>
      </c>
    </row>
    <row r="3284" spans="1:10" x14ac:dyDescent="0.25">
      <c r="A3284" s="7" t="s">
        <v>6888</v>
      </c>
      <c r="B3284" s="8">
        <v>393.75</v>
      </c>
      <c r="C3284" s="8">
        <v>20.584240000000001</v>
      </c>
      <c r="D3284" s="8">
        <v>49</v>
      </c>
      <c r="E3284" s="8">
        <v>0</v>
      </c>
      <c r="F3284" s="8">
        <v>0</v>
      </c>
      <c r="G3284" s="8">
        <v>11</v>
      </c>
      <c r="H3284" s="8" t="s">
        <v>6889</v>
      </c>
      <c r="I3284" s="8">
        <v>526.6875</v>
      </c>
      <c r="J3284" s="3">
        <f t="shared" si="51"/>
        <v>43747.697167523147</v>
      </c>
    </row>
    <row r="3285" spans="1:10" x14ac:dyDescent="0.25">
      <c r="A3285" s="5" t="s">
        <v>6890</v>
      </c>
      <c r="B3285" s="6">
        <v>393.75</v>
      </c>
      <c r="C3285" s="6">
        <v>20.584240000000001</v>
      </c>
      <c r="D3285" s="6">
        <v>49</v>
      </c>
      <c r="E3285" s="6">
        <v>0</v>
      </c>
      <c r="F3285" s="6">
        <v>0</v>
      </c>
      <c r="G3285" s="6">
        <v>7</v>
      </c>
      <c r="H3285" s="6" t="s">
        <v>6891</v>
      </c>
      <c r="I3285" s="6">
        <v>526.6875</v>
      </c>
      <c r="J3285" s="2">
        <f t="shared" si="51"/>
        <v>43747.697250960649</v>
      </c>
    </row>
    <row r="3286" spans="1:10" x14ac:dyDescent="0.25">
      <c r="A3286" s="7" t="s">
        <v>6892</v>
      </c>
      <c r="B3286" s="8">
        <v>393.75</v>
      </c>
      <c r="C3286" s="8">
        <v>20.584240000000001</v>
      </c>
      <c r="D3286" s="8">
        <v>49</v>
      </c>
      <c r="E3286" s="8">
        <v>0</v>
      </c>
      <c r="F3286" s="8">
        <v>0</v>
      </c>
      <c r="G3286" s="8">
        <v>12</v>
      </c>
      <c r="H3286" s="8" t="s">
        <v>6893</v>
      </c>
      <c r="I3286" s="8">
        <v>526.6875</v>
      </c>
      <c r="J3286" s="3">
        <f t="shared" si="51"/>
        <v>43747.697346446752</v>
      </c>
    </row>
    <row r="3287" spans="1:10" x14ac:dyDescent="0.25">
      <c r="A3287" s="5" t="s">
        <v>6894</v>
      </c>
      <c r="B3287" s="6">
        <v>396.875</v>
      </c>
      <c r="C3287" s="6">
        <v>20.584240000000001</v>
      </c>
      <c r="D3287" s="6">
        <v>49</v>
      </c>
      <c r="E3287" s="6">
        <v>0</v>
      </c>
      <c r="F3287" s="6">
        <v>0</v>
      </c>
      <c r="G3287" s="6">
        <v>13</v>
      </c>
      <c r="H3287" s="6" t="s">
        <v>6895</v>
      </c>
      <c r="I3287" s="6">
        <v>527.4375</v>
      </c>
      <c r="J3287" s="2">
        <f t="shared" si="51"/>
        <v>43747.69742989583</v>
      </c>
    </row>
    <row r="3288" spans="1:10" x14ac:dyDescent="0.25">
      <c r="A3288" s="7" t="s">
        <v>6896</v>
      </c>
      <c r="B3288" s="8">
        <v>396.875</v>
      </c>
      <c r="C3288" s="8">
        <v>20.584240000000001</v>
      </c>
      <c r="D3288" s="8">
        <v>48</v>
      </c>
      <c r="E3288" s="8">
        <v>0</v>
      </c>
      <c r="F3288" s="8">
        <v>0</v>
      </c>
      <c r="G3288" s="8">
        <v>4</v>
      </c>
      <c r="H3288" s="8" t="s">
        <v>6897</v>
      </c>
      <c r="I3288" s="8">
        <v>527.4375</v>
      </c>
      <c r="J3288" s="3">
        <f t="shared" si="51"/>
        <v>43747.697501527779</v>
      </c>
    </row>
    <row r="3289" spans="1:10" x14ac:dyDescent="0.25">
      <c r="A3289" s="5" t="s">
        <v>6898</v>
      </c>
      <c r="B3289" s="6">
        <v>396.875</v>
      </c>
      <c r="C3289" s="6">
        <v>20.584240000000001</v>
      </c>
      <c r="D3289" s="6">
        <v>48</v>
      </c>
      <c r="E3289" s="6">
        <v>0</v>
      </c>
      <c r="F3289" s="6">
        <v>0</v>
      </c>
      <c r="G3289" s="6">
        <v>13</v>
      </c>
      <c r="H3289" s="6" t="s">
        <v>6899</v>
      </c>
      <c r="I3289" s="6">
        <v>527.4375</v>
      </c>
      <c r="J3289" s="2">
        <f t="shared" si="51"/>
        <v>43747.697572928235</v>
      </c>
    </row>
    <row r="3290" spans="1:10" x14ac:dyDescent="0.25">
      <c r="A3290" s="7" t="s">
        <v>6900</v>
      </c>
      <c r="B3290" s="8">
        <v>400</v>
      </c>
      <c r="C3290" s="8">
        <v>20.531590000000001</v>
      </c>
      <c r="D3290" s="8">
        <v>48</v>
      </c>
      <c r="E3290" s="8">
        <v>0</v>
      </c>
      <c r="F3290" s="8">
        <v>0</v>
      </c>
      <c r="G3290" s="8">
        <v>9</v>
      </c>
      <c r="H3290" s="8" t="s">
        <v>6901</v>
      </c>
      <c r="I3290" s="8">
        <v>528.375</v>
      </c>
      <c r="J3290" s="3">
        <f t="shared" si="51"/>
        <v>43747.697656284719</v>
      </c>
    </row>
    <row r="3291" spans="1:10" x14ac:dyDescent="0.25">
      <c r="A3291" s="5" t="s">
        <v>6902</v>
      </c>
      <c r="B3291" s="6">
        <v>418.75</v>
      </c>
      <c r="C3291" s="6">
        <v>20.478950000000001</v>
      </c>
      <c r="D3291" s="6">
        <v>48</v>
      </c>
      <c r="E3291" s="6">
        <v>0</v>
      </c>
      <c r="F3291" s="6">
        <v>0</v>
      </c>
      <c r="G3291" s="6">
        <v>5</v>
      </c>
      <c r="H3291" s="6" t="s">
        <v>6903</v>
      </c>
      <c r="I3291" s="6">
        <v>534</v>
      </c>
      <c r="J3291" s="2">
        <f t="shared" si="51"/>
        <v>43747.69775579861</v>
      </c>
    </row>
    <row r="3292" spans="1:10" x14ac:dyDescent="0.25">
      <c r="A3292" s="7" t="s">
        <v>6904</v>
      </c>
      <c r="B3292" s="8">
        <v>396.875</v>
      </c>
      <c r="C3292" s="8">
        <v>20.531590000000001</v>
      </c>
      <c r="D3292" s="8">
        <v>48</v>
      </c>
      <c r="E3292" s="8">
        <v>0</v>
      </c>
      <c r="F3292" s="8">
        <v>0</v>
      </c>
      <c r="G3292" s="8">
        <v>14</v>
      </c>
      <c r="H3292" s="8" t="s">
        <v>6905</v>
      </c>
      <c r="I3292" s="8">
        <v>527.4375</v>
      </c>
      <c r="J3292" s="3">
        <f t="shared" si="51"/>
        <v>43747.697835347215</v>
      </c>
    </row>
    <row r="3293" spans="1:10" x14ac:dyDescent="0.25">
      <c r="A3293" s="5" t="s">
        <v>6906</v>
      </c>
      <c r="B3293" s="6">
        <v>396.875</v>
      </c>
      <c r="C3293" s="6">
        <v>20.531590000000001</v>
      </c>
      <c r="D3293" s="6">
        <v>48</v>
      </c>
      <c r="E3293" s="6">
        <v>0</v>
      </c>
      <c r="F3293" s="6">
        <v>0</v>
      </c>
      <c r="G3293" s="6">
        <v>14</v>
      </c>
      <c r="H3293" s="6" t="s">
        <v>6907</v>
      </c>
      <c r="I3293" s="6">
        <v>527.4375</v>
      </c>
      <c r="J3293" s="2">
        <f t="shared" si="51"/>
        <v>43747.697918784725</v>
      </c>
    </row>
    <row r="3294" spans="1:10" x14ac:dyDescent="0.25">
      <c r="A3294" s="7" t="s">
        <v>6908</v>
      </c>
      <c r="B3294" s="8">
        <v>396.875</v>
      </c>
      <c r="C3294" s="8">
        <v>20.584240000000001</v>
      </c>
      <c r="D3294" s="8">
        <v>48</v>
      </c>
      <c r="E3294" s="8">
        <v>0</v>
      </c>
      <c r="F3294" s="8">
        <v>0</v>
      </c>
      <c r="G3294" s="8">
        <v>7</v>
      </c>
      <c r="H3294" s="8" t="s">
        <v>6909</v>
      </c>
      <c r="I3294" s="8">
        <v>527.4375</v>
      </c>
      <c r="J3294" s="3">
        <f t="shared" si="51"/>
        <v>43747.697989733795</v>
      </c>
    </row>
    <row r="3295" spans="1:10" x14ac:dyDescent="0.25">
      <c r="A3295" s="5" t="s">
        <v>6910</v>
      </c>
      <c r="B3295" s="6">
        <v>393.75</v>
      </c>
      <c r="C3295" s="6">
        <v>20.584240000000001</v>
      </c>
      <c r="D3295" s="6">
        <v>50</v>
      </c>
      <c r="E3295" s="6">
        <v>0</v>
      </c>
      <c r="F3295" s="6">
        <v>0</v>
      </c>
      <c r="G3295" s="6">
        <v>9</v>
      </c>
      <c r="H3295" s="6" t="s">
        <v>6911</v>
      </c>
      <c r="I3295" s="6">
        <v>526.6875</v>
      </c>
      <c r="J3295" s="2">
        <f t="shared" si="51"/>
        <v>43747.698061840274</v>
      </c>
    </row>
    <row r="3296" spans="1:10" x14ac:dyDescent="0.25">
      <c r="A3296" s="7" t="s">
        <v>6912</v>
      </c>
      <c r="B3296" s="8">
        <v>415.625</v>
      </c>
      <c r="C3296" s="8">
        <v>20.584240000000001</v>
      </c>
      <c r="D3296" s="8">
        <v>50</v>
      </c>
      <c r="E3296" s="8">
        <v>0</v>
      </c>
      <c r="F3296" s="8">
        <v>0</v>
      </c>
      <c r="G3296" s="8">
        <v>8</v>
      </c>
      <c r="H3296" s="8" t="s">
        <v>6913</v>
      </c>
      <c r="I3296" s="8">
        <v>533.25</v>
      </c>
      <c r="J3296" s="3">
        <f t="shared" si="51"/>
        <v>43747.698145173614</v>
      </c>
    </row>
    <row r="3297" spans="1:10" x14ac:dyDescent="0.25">
      <c r="A3297" s="5" t="s">
        <v>6914</v>
      </c>
      <c r="B3297" s="6">
        <v>396.875</v>
      </c>
      <c r="C3297" s="6">
        <v>20.584240000000001</v>
      </c>
      <c r="D3297" s="6">
        <v>47</v>
      </c>
      <c r="E3297" s="6">
        <v>0</v>
      </c>
      <c r="F3297" s="6">
        <v>0</v>
      </c>
      <c r="G3297" s="6">
        <v>8</v>
      </c>
      <c r="H3297" s="6" t="s">
        <v>6915</v>
      </c>
      <c r="I3297" s="6">
        <v>527.4375</v>
      </c>
      <c r="J3297" s="2">
        <f t="shared" si="51"/>
        <v>43747.698228865738</v>
      </c>
    </row>
    <row r="3298" spans="1:10" x14ac:dyDescent="0.25">
      <c r="A3298" s="7" t="s">
        <v>6916</v>
      </c>
      <c r="B3298" s="8">
        <v>396.875</v>
      </c>
      <c r="C3298" s="8">
        <v>20.584240000000001</v>
      </c>
      <c r="D3298" s="8">
        <v>47</v>
      </c>
      <c r="E3298" s="8">
        <v>0</v>
      </c>
      <c r="F3298" s="8">
        <v>0</v>
      </c>
      <c r="G3298" s="8">
        <v>0</v>
      </c>
      <c r="H3298" s="8" t="s">
        <v>6917</v>
      </c>
      <c r="I3298" s="8">
        <v>527.4375</v>
      </c>
      <c r="J3298" s="3">
        <f t="shared" si="51"/>
        <v>43747.698311979162</v>
      </c>
    </row>
    <row r="3299" spans="1:10" x14ac:dyDescent="0.25">
      <c r="A3299" s="5" t="s">
        <v>6918</v>
      </c>
      <c r="B3299" s="6">
        <v>396.875</v>
      </c>
      <c r="C3299" s="6">
        <v>20.584240000000001</v>
      </c>
      <c r="D3299" s="6">
        <v>47</v>
      </c>
      <c r="E3299" s="6">
        <v>0</v>
      </c>
      <c r="F3299" s="6">
        <v>0</v>
      </c>
      <c r="G3299" s="6">
        <v>8</v>
      </c>
      <c r="H3299" s="6" t="s">
        <v>6919</v>
      </c>
      <c r="I3299" s="6">
        <v>527.4375</v>
      </c>
      <c r="J3299" s="2">
        <f t="shared" si="51"/>
        <v>43747.698383622679</v>
      </c>
    </row>
    <row r="3300" spans="1:10" x14ac:dyDescent="0.25">
      <c r="A3300" s="7" t="s">
        <v>6920</v>
      </c>
      <c r="B3300" s="8">
        <v>393.75</v>
      </c>
      <c r="C3300" s="8">
        <v>20.584240000000001</v>
      </c>
      <c r="D3300" s="8">
        <v>48</v>
      </c>
      <c r="E3300" s="8">
        <v>0</v>
      </c>
      <c r="F3300" s="8">
        <v>0</v>
      </c>
      <c r="G3300" s="8">
        <v>4</v>
      </c>
      <c r="H3300" s="8" t="s">
        <v>6921</v>
      </c>
      <c r="I3300" s="8">
        <v>526.6875</v>
      </c>
      <c r="J3300" s="3">
        <f t="shared" si="51"/>
        <v>43747.698467418981</v>
      </c>
    </row>
    <row r="3301" spans="1:10" x14ac:dyDescent="0.25">
      <c r="A3301" s="5" t="s">
        <v>6922</v>
      </c>
      <c r="B3301" s="6">
        <v>393.75</v>
      </c>
      <c r="C3301" s="6">
        <v>20.584240000000001</v>
      </c>
      <c r="D3301" s="6">
        <v>47</v>
      </c>
      <c r="E3301" s="6">
        <v>0</v>
      </c>
      <c r="F3301" s="6">
        <v>0</v>
      </c>
      <c r="G3301" s="6">
        <v>2</v>
      </c>
      <c r="H3301" s="6" t="s">
        <v>6923</v>
      </c>
      <c r="I3301" s="6">
        <v>526.6875</v>
      </c>
      <c r="J3301" s="2">
        <f t="shared" si="51"/>
        <v>43747.698550844907</v>
      </c>
    </row>
    <row r="3302" spans="1:10" x14ac:dyDescent="0.25">
      <c r="A3302" s="7" t="s">
        <v>6924</v>
      </c>
      <c r="B3302" s="8">
        <v>393.75</v>
      </c>
      <c r="C3302" s="8">
        <v>20.584240000000001</v>
      </c>
      <c r="D3302" s="8">
        <v>46</v>
      </c>
      <c r="E3302" s="8">
        <v>0</v>
      </c>
      <c r="F3302" s="8">
        <v>0</v>
      </c>
      <c r="G3302" s="8">
        <v>5</v>
      </c>
      <c r="H3302" s="8" t="s">
        <v>6925</v>
      </c>
      <c r="I3302" s="8">
        <v>526.6875</v>
      </c>
      <c r="J3302" s="3">
        <f t="shared" si="51"/>
        <v>43747.698634062494</v>
      </c>
    </row>
    <row r="3303" spans="1:10" x14ac:dyDescent="0.25">
      <c r="A3303" s="5" t="s">
        <v>6926</v>
      </c>
      <c r="B3303" s="6">
        <v>393.75</v>
      </c>
      <c r="C3303" s="6">
        <v>20.584240000000001</v>
      </c>
      <c r="D3303" s="6">
        <v>46</v>
      </c>
      <c r="E3303" s="6">
        <v>0</v>
      </c>
      <c r="F3303" s="6">
        <v>0</v>
      </c>
      <c r="G3303" s="6">
        <v>0</v>
      </c>
      <c r="H3303" s="6" t="s">
        <v>6927</v>
      </c>
      <c r="I3303" s="6">
        <v>526.5</v>
      </c>
      <c r="J3303" s="2">
        <f t="shared" si="51"/>
        <v>43747.698717800922</v>
      </c>
    </row>
    <row r="3304" spans="1:10" x14ac:dyDescent="0.25">
      <c r="A3304" s="7" t="s">
        <v>6928</v>
      </c>
      <c r="B3304" s="8">
        <v>393.75</v>
      </c>
      <c r="C3304" s="8">
        <v>20.584240000000001</v>
      </c>
      <c r="D3304" s="8">
        <v>44</v>
      </c>
      <c r="E3304" s="8">
        <v>0</v>
      </c>
      <c r="F3304" s="8">
        <v>0</v>
      </c>
      <c r="G3304" s="8">
        <v>4</v>
      </c>
      <c r="H3304" s="8" t="s">
        <v>6929</v>
      </c>
      <c r="I3304" s="8">
        <v>526.6875</v>
      </c>
      <c r="J3304" s="3">
        <f t="shared" si="51"/>
        <v>43747.698800983795</v>
      </c>
    </row>
    <row r="3305" spans="1:10" x14ac:dyDescent="0.25">
      <c r="A3305" s="5" t="s">
        <v>6930</v>
      </c>
      <c r="B3305" s="6">
        <v>393.75</v>
      </c>
      <c r="C3305" s="6">
        <v>20.584240000000001</v>
      </c>
      <c r="D3305" s="6">
        <v>44</v>
      </c>
      <c r="E3305" s="6">
        <v>0</v>
      </c>
      <c r="F3305" s="6">
        <v>0</v>
      </c>
      <c r="G3305" s="6">
        <v>9</v>
      </c>
      <c r="H3305" s="6" t="s">
        <v>6931</v>
      </c>
      <c r="I3305" s="6">
        <v>526.6875</v>
      </c>
      <c r="J3305" s="2">
        <f t="shared" si="51"/>
        <v>43747.698872499997</v>
      </c>
    </row>
    <row r="3306" spans="1:10" x14ac:dyDescent="0.25">
      <c r="A3306" s="7" t="s">
        <v>6932</v>
      </c>
      <c r="B3306" s="8">
        <v>393.75</v>
      </c>
      <c r="C3306" s="8">
        <v>20.584240000000001</v>
      </c>
      <c r="D3306" s="8">
        <v>44</v>
      </c>
      <c r="E3306" s="8">
        <v>0</v>
      </c>
      <c r="F3306" s="8">
        <v>0</v>
      </c>
      <c r="G3306" s="8">
        <v>9</v>
      </c>
      <c r="H3306" s="8" t="s">
        <v>6933</v>
      </c>
      <c r="I3306" s="8">
        <v>526.6875</v>
      </c>
      <c r="J3306" s="3">
        <f t="shared" si="51"/>
        <v>43747.698956400462</v>
      </c>
    </row>
    <row r="3307" spans="1:10" x14ac:dyDescent="0.25">
      <c r="A3307" s="5" t="s">
        <v>6934</v>
      </c>
      <c r="B3307" s="6">
        <v>393.75</v>
      </c>
      <c r="C3307" s="6">
        <v>20.584240000000001</v>
      </c>
      <c r="D3307" s="6">
        <v>44</v>
      </c>
      <c r="E3307" s="6">
        <v>0</v>
      </c>
      <c r="F3307" s="6">
        <v>0</v>
      </c>
      <c r="G3307" s="6">
        <v>10</v>
      </c>
      <c r="H3307" s="6" t="s">
        <v>6935</v>
      </c>
      <c r="I3307" s="6">
        <v>526.6875</v>
      </c>
      <c r="J3307" s="2">
        <f t="shared" si="51"/>
        <v>43747.69903974537</v>
      </c>
    </row>
    <row r="3308" spans="1:10" x14ac:dyDescent="0.25">
      <c r="A3308" s="7" t="s">
        <v>6936</v>
      </c>
      <c r="B3308" s="8">
        <v>393.75</v>
      </c>
      <c r="C3308" s="8">
        <v>20.531590000000001</v>
      </c>
      <c r="D3308" s="8">
        <v>44</v>
      </c>
      <c r="E3308" s="8">
        <v>0</v>
      </c>
      <c r="F3308" s="8">
        <v>0</v>
      </c>
      <c r="G3308" s="8">
        <v>10</v>
      </c>
      <c r="H3308" s="8" t="s">
        <v>6937</v>
      </c>
      <c r="I3308" s="8">
        <v>526.5</v>
      </c>
      <c r="J3308" s="3">
        <f t="shared" si="51"/>
        <v>43747.699122986109</v>
      </c>
    </row>
    <row r="3309" spans="1:10" x14ac:dyDescent="0.25">
      <c r="A3309" s="5" t="s">
        <v>6938</v>
      </c>
      <c r="B3309" s="6">
        <v>393.75</v>
      </c>
      <c r="C3309" s="6">
        <v>20.584240000000001</v>
      </c>
      <c r="D3309" s="6">
        <v>43</v>
      </c>
      <c r="E3309" s="6">
        <v>0</v>
      </c>
      <c r="F3309" s="6">
        <v>0</v>
      </c>
      <c r="G3309" s="6">
        <v>9</v>
      </c>
      <c r="H3309" s="6" t="s">
        <v>6939</v>
      </c>
      <c r="I3309" s="6">
        <v>526.6875</v>
      </c>
      <c r="J3309" s="2">
        <f t="shared" si="51"/>
        <v>43747.699206666664</v>
      </c>
    </row>
    <row r="3310" spans="1:10" x14ac:dyDescent="0.25">
      <c r="A3310" s="7" t="s">
        <v>6940</v>
      </c>
      <c r="B3310" s="8">
        <v>393.75</v>
      </c>
      <c r="C3310" s="8">
        <v>20.584240000000001</v>
      </c>
      <c r="D3310" s="8">
        <v>43</v>
      </c>
      <c r="E3310" s="8">
        <v>0</v>
      </c>
      <c r="F3310" s="8">
        <v>0</v>
      </c>
      <c r="G3310" s="8">
        <v>9</v>
      </c>
      <c r="H3310" s="8" t="s">
        <v>6941</v>
      </c>
      <c r="I3310" s="8">
        <v>526.6875</v>
      </c>
      <c r="J3310" s="3">
        <f t="shared" si="51"/>
        <v>43747.699302187502</v>
      </c>
    </row>
    <row r="3311" spans="1:10" x14ac:dyDescent="0.25">
      <c r="A3311" s="5" t="s">
        <v>6942</v>
      </c>
      <c r="B3311" s="6">
        <v>396.875</v>
      </c>
      <c r="C3311" s="6">
        <v>20.531590000000001</v>
      </c>
      <c r="D3311" s="6">
        <v>45</v>
      </c>
      <c r="E3311" s="6">
        <v>0</v>
      </c>
      <c r="F3311" s="6">
        <v>0</v>
      </c>
      <c r="G3311" s="6">
        <v>17</v>
      </c>
      <c r="H3311" s="6" t="s">
        <v>6943</v>
      </c>
      <c r="I3311" s="6">
        <v>527.4375</v>
      </c>
      <c r="J3311" s="2">
        <f t="shared" si="51"/>
        <v>43747.6993855787</v>
      </c>
    </row>
    <row r="3312" spans="1:10" x14ac:dyDescent="0.25">
      <c r="A3312" s="7" t="s">
        <v>6944</v>
      </c>
      <c r="B3312" s="8">
        <v>393.75</v>
      </c>
      <c r="C3312" s="8">
        <v>20.584240000000001</v>
      </c>
      <c r="D3312" s="8">
        <v>45</v>
      </c>
      <c r="E3312" s="8">
        <v>0</v>
      </c>
      <c r="F3312" s="8">
        <v>0</v>
      </c>
      <c r="G3312" s="8">
        <v>7</v>
      </c>
      <c r="H3312" s="8" t="s">
        <v>6945</v>
      </c>
      <c r="I3312" s="8">
        <v>526.5</v>
      </c>
      <c r="J3312" s="3">
        <f t="shared" si="51"/>
        <v>43747.699469016203</v>
      </c>
    </row>
    <row r="3313" spans="1:10" x14ac:dyDescent="0.25">
      <c r="A3313" s="5" t="s">
        <v>6946</v>
      </c>
      <c r="B3313" s="6">
        <v>396.875</v>
      </c>
      <c r="C3313" s="6">
        <v>20.531590000000001</v>
      </c>
      <c r="D3313" s="6">
        <v>45</v>
      </c>
      <c r="E3313" s="6">
        <v>0</v>
      </c>
      <c r="F3313" s="6">
        <v>0</v>
      </c>
      <c r="G3313" s="6">
        <v>3</v>
      </c>
      <c r="H3313" s="6" t="s">
        <v>6947</v>
      </c>
      <c r="I3313" s="6">
        <v>527.4375</v>
      </c>
      <c r="J3313" s="2">
        <f t="shared" si="51"/>
        <v>43747.699552592589</v>
      </c>
    </row>
    <row r="3314" spans="1:10" x14ac:dyDescent="0.25">
      <c r="A3314" s="7" t="s">
        <v>6948</v>
      </c>
      <c r="B3314" s="8">
        <v>393.75</v>
      </c>
      <c r="C3314" s="8">
        <v>20.584240000000001</v>
      </c>
      <c r="D3314" s="8">
        <v>46</v>
      </c>
      <c r="E3314" s="8">
        <v>0</v>
      </c>
      <c r="F3314" s="8">
        <v>0</v>
      </c>
      <c r="G3314" s="8">
        <v>3</v>
      </c>
      <c r="H3314" s="8" t="s">
        <v>6949</v>
      </c>
      <c r="I3314" s="8">
        <v>526.6875</v>
      </c>
      <c r="J3314" s="3">
        <f t="shared" si="51"/>
        <v>43747.69963604166</v>
      </c>
    </row>
    <row r="3315" spans="1:10" x14ac:dyDescent="0.25">
      <c r="A3315" s="5" t="s">
        <v>6950</v>
      </c>
      <c r="B3315" s="6">
        <v>393.75</v>
      </c>
      <c r="C3315" s="6">
        <v>20.584240000000001</v>
      </c>
      <c r="D3315" s="6">
        <v>45</v>
      </c>
      <c r="E3315" s="6">
        <v>0</v>
      </c>
      <c r="F3315" s="6">
        <v>0</v>
      </c>
      <c r="G3315" s="6">
        <v>5</v>
      </c>
      <c r="H3315" s="6" t="s">
        <v>6951</v>
      </c>
      <c r="I3315" s="6">
        <v>526.5</v>
      </c>
      <c r="J3315" s="2">
        <f t="shared" si="51"/>
        <v>43747.699719351855</v>
      </c>
    </row>
    <row r="3316" spans="1:10" x14ac:dyDescent="0.25">
      <c r="A3316" s="7" t="s">
        <v>6952</v>
      </c>
      <c r="B3316" s="8">
        <v>393.75</v>
      </c>
      <c r="C3316" s="8">
        <v>20.584240000000001</v>
      </c>
      <c r="D3316" s="8">
        <v>45</v>
      </c>
      <c r="E3316" s="8">
        <v>0</v>
      </c>
      <c r="F3316" s="8">
        <v>0</v>
      </c>
      <c r="G3316" s="8">
        <v>17</v>
      </c>
      <c r="H3316" s="8" t="s">
        <v>6953</v>
      </c>
      <c r="I3316" s="8">
        <v>526.6875</v>
      </c>
      <c r="J3316" s="3">
        <f t="shared" si="51"/>
        <v>43747.69979100694</v>
      </c>
    </row>
    <row r="3317" spans="1:10" x14ac:dyDescent="0.25">
      <c r="A3317" s="5" t="s">
        <v>6954</v>
      </c>
      <c r="B3317" s="6">
        <v>393.75</v>
      </c>
      <c r="C3317" s="6">
        <v>20.531590000000001</v>
      </c>
      <c r="D3317" s="6">
        <v>43</v>
      </c>
      <c r="E3317" s="6">
        <v>0</v>
      </c>
      <c r="F3317" s="6">
        <v>0</v>
      </c>
      <c r="G3317" s="6">
        <v>10</v>
      </c>
      <c r="H3317" s="6" t="s">
        <v>6955</v>
      </c>
      <c r="I3317" s="6">
        <v>526.6875</v>
      </c>
      <c r="J3317" s="2">
        <f t="shared" si="51"/>
        <v>43747.699874479164</v>
      </c>
    </row>
    <row r="3318" spans="1:10" x14ac:dyDescent="0.25">
      <c r="A3318" s="7" t="s">
        <v>6956</v>
      </c>
      <c r="B3318" s="8">
        <v>393.75</v>
      </c>
      <c r="C3318" s="8">
        <v>20.584240000000001</v>
      </c>
      <c r="D3318" s="8">
        <v>44</v>
      </c>
      <c r="E3318" s="8">
        <v>0</v>
      </c>
      <c r="F3318" s="8">
        <v>0</v>
      </c>
      <c r="G3318" s="8">
        <v>11</v>
      </c>
      <c r="H3318" s="8" t="s">
        <v>6957</v>
      </c>
      <c r="I3318" s="8">
        <v>526.6875</v>
      </c>
      <c r="J3318" s="3">
        <f t="shared" si="51"/>
        <v>43747.699958032405</v>
      </c>
    </row>
    <row r="3319" spans="1:10" x14ac:dyDescent="0.25">
      <c r="A3319" s="5" t="s">
        <v>6958</v>
      </c>
      <c r="B3319" s="6">
        <v>393.75</v>
      </c>
      <c r="C3319" s="6">
        <v>20.531590000000001</v>
      </c>
      <c r="D3319" s="6">
        <v>45</v>
      </c>
      <c r="E3319" s="6">
        <v>0</v>
      </c>
      <c r="F3319" s="6">
        <v>0</v>
      </c>
      <c r="G3319" s="6">
        <v>13</v>
      </c>
      <c r="H3319" s="6" t="s">
        <v>6959</v>
      </c>
      <c r="I3319" s="6">
        <v>526.6875</v>
      </c>
      <c r="J3319" s="2">
        <f t="shared" si="51"/>
        <v>43747.70004160879</v>
      </c>
    </row>
    <row r="3320" spans="1:10" x14ac:dyDescent="0.25">
      <c r="A3320" s="7" t="s">
        <v>6960</v>
      </c>
      <c r="B3320" s="8">
        <v>412.5</v>
      </c>
      <c r="C3320" s="8">
        <v>20.584240000000001</v>
      </c>
      <c r="D3320" s="8">
        <v>45</v>
      </c>
      <c r="E3320" s="8">
        <v>0</v>
      </c>
      <c r="F3320" s="8">
        <v>0</v>
      </c>
      <c r="G3320" s="8">
        <v>13</v>
      </c>
      <c r="H3320" s="8" t="s">
        <v>6961</v>
      </c>
      <c r="I3320" s="8">
        <v>532.3125</v>
      </c>
      <c r="J3320" s="3">
        <f t="shared" si="51"/>
        <v>43747.700124930554</v>
      </c>
    </row>
    <row r="3321" spans="1:10" x14ac:dyDescent="0.25">
      <c r="A3321" s="5" t="s">
        <v>6962</v>
      </c>
      <c r="B3321" s="6">
        <v>393.75</v>
      </c>
      <c r="C3321" s="6">
        <v>20.531590000000001</v>
      </c>
      <c r="D3321" s="6">
        <v>45</v>
      </c>
      <c r="E3321" s="6">
        <v>0</v>
      </c>
      <c r="F3321" s="6">
        <v>0</v>
      </c>
      <c r="G3321" s="6">
        <v>7</v>
      </c>
      <c r="H3321" s="6" t="s">
        <v>6963</v>
      </c>
      <c r="I3321" s="6">
        <v>526.6875</v>
      </c>
      <c r="J3321" s="2">
        <f t="shared" si="51"/>
        <v>43747.700208136572</v>
      </c>
    </row>
    <row r="3322" spans="1:10" x14ac:dyDescent="0.25">
      <c r="A3322" s="7" t="s">
        <v>6964</v>
      </c>
      <c r="B3322" s="8">
        <v>393.75</v>
      </c>
      <c r="C3322" s="8">
        <v>20.531590000000001</v>
      </c>
      <c r="D3322" s="8">
        <v>45</v>
      </c>
      <c r="E3322" s="8">
        <v>0</v>
      </c>
      <c r="F3322" s="8">
        <v>0</v>
      </c>
      <c r="G3322" s="8">
        <v>6</v>
      </c>
      <c r="H3322" s="8" t="s">
        <v>6965</v>
      </c>
      <c r="I3322" s="8">
        <v>526.6875</v>
      </c>
      <c r="J3322" s="3">
        <f t="shared" si="51"/>
        <v>43747.700291956011</v>
      </c>
    </row>
    <row r="3323" spans="1:10" x14ac:dyDescent="0.25">
      <c r="A3323" s="5" t="s">
        <v>6966</v>
      </c>
      <c r="B3323" s="6">
        <v>393.75</v>
      </c>
      <c r="C3323" s="6">
        <v>20.584240000000001</v>
      </c>
      <c r="D3323" s="6">
        <v>44</v>
      </c>
      <c r="E3323" s="6">
        <v>0</v>
      </c>
      <c r="F3323" s="6">
        <v>0</v>
      </c>
      <c r="G3323" s="6">
        <v>2</v>
      </c>
      <c r="H3323" s="6" t="s">
        <v>6967</v>
      </c>
      <c r="I3323" s="6">
        <v>526.6875</v>
      </c>
      <c r="J3323" s="2">
        <f t="shared" si="51"/>
        <v>43747.700375613422</v>
      </c>
    </row>
    <row r="3324" spans="1:10" x14ac:dyDescent="0.25">
      <c r="A3324" s="7" t="s">
        <v>6968</v>
      </c>
      <c r="B3324" s="8">
        <v>393.75</v>
      </c>
      <c r="C3324" s="8">
        <v>20.584240000000001</v>
      </c>
      <c r="D3324" s="8">
        <v>44</v>
      </c>
      <c r="E3324" s="8">
        <v>0</v>
      </c>
      <c r="F3324" s="8">
        <v>0</v>
      </c>
      <c r="G3324" s="8">
        <v>0</v>
      </c>
      <c r="H3324" s="8" t="s">
        <v>6969</v>
      </c>
      <c r="I3324" s="8">
        <v>526.6875</v>
      </c>
      <c r="J3324" s="3">
        <f t="shared" si="51"/>
        <v>43747.700446921292</v>
      </c>
    </row>
    <row r="3325" spans="1:10" x14ac:dyDescent="0.25">
      <c r="A3325" s="5" t="s">
        <v>6970</v>
      </c>
      <c r="B3325" s="6">
        <v>396.875</v>
      </c>
      <c r="C3325" s="6">
        <v>20.584240000000001</v>
      </c>
      <c r="D3325" s="6">
        <v>44</v>
      </c>
      <c r="E3325" s="6">
        <v>0</v>
      </c>
      <c r="F3325" s="6">
        <v>0</v>
      </c>
      <c r="G3325" s="6">
        <v>0</v>
      </c>
      <c r="H3325" s="6" t="s">
        <v>6971</v>
      </c>
      <c r="I3325" s="6">
        <v>527.4375</v>
      </c>
      <c r="J3325" s="2">
        <f t="shared" si="51"/>
        <v>43747.700542395833</v>
      </c>
    </row>
    <row r="3326" spans="1:10" x14ac:dyDescent="0.25">
      <c r="A3326" s="7" t="s">
        <v>6972</v>
      </c>
      <c r="B3326" s="8">
        <v>396.875</v>
      </c>
      <c r="C3326" s="8">
        <v>20.531590000000001</v>
      </c>
      <c r="D3326" s="8">
        <v>44</v>
      </c>
      <c r="E3326" s="8">
        <v>0</v>
      </c>
      <c r="F3326" s="8">
        <v>0</v>
      </c>
      <c r="G3326" s="8">
        <v>1</v>
      </c>
      <c r="H3326" s="8" t="s">
        <v>6973</v>
      </c>
      <c r="I3326" s="8">
        <v>527.4375</v>
      </c>
      <c r="J3326" s="3">
        <f t="shared" si="51"/>
        <v>43747.700614050926</v>
      </c>
    </row>
    <row r="3327" spans="1:10" x14ac:dyDescent="0.25">
      <c r="A3327" s="5" t="s">
        <v>6974</v>
      </c>
      <c r="B3327" s="6">
        <v>396.875</v>
      </c>
      <c r="C3327" s="6">
        <v>20.531590000000001</v>
      </c>
      <c r="D3327" s="6">
        <v>44</v>
      </c>
      <c r="E3327" s="6">
        <v>0</v>
      </c>
      <c r="F3327" s="6">
        <v>0</v>
      </c>
      <c r="G3327" s="6">
        <v>10</v>
      </c>
      <c r="H3327" s="6" t="s">
        <v>6975</v>
      </c>
      <c r="I3327" s="6">
        <v>527.4375</v>
      </c>
      <c r="J3327" s="2">
        <f t="shared" si="51"/>
        <v>43747.700697141197</v>
      </c>
    </row>
    <row r="3328" spans="1:10" x14ac:dyDescent="0.25">
      <c r="A3328" s="7" t="s">
        <v>6976</v>
      </c>
      <c r="B3328" s="8">
        <v>396.875</v>
      </c>
      <c r="C3328" s="8">
        <v>20.584240000000001</v>
      </c>
      <c r="D3328" s="8">
        <v>44</v>
      </c>
      <c r="E3328" s="8">
        <v>0</v>
      </c>
      <c r="F3328" s="8">
        <v>0</v>
      </c>
      <c r="G3328" s="8">
        <v>0</v>
      </c>
      <c r="H3328" s="8" t="s">
        <v>6977</v>
      </c>
      <c r="I3328" s="8">
        <v>527.4375</v>
      </c>
      <c r="J3328" s="3">
        <f t="shared" si="51"/>
        <v>43747.700768784714</v>
      </c>
    </row>
    <row r="3329" spans="1:10" x14ac:dyDescent="0.25">
      <c r="A3329" s="5" t="s">
        <v>6978</v>
      </c>
      <c r="B3329" s="6">
        <v>396.875</v>
      </c>
      <c r="C3329" s="6">
        <v>20.584240000000001</v>
      </c>
      <c r="D3329" s="6">
        <v>44</v>
      </c>
      <c r="E3329" s="6">
        <v>0</v>
      </c>
      <c r="F3329" s="6">
        <v>0</v>
      </c>
      <c r="G3329" s="6">
        <v>0</v>
      </c>
      <c r="H3329" s="6" t="s">
        <v>6979</v>
      </c>
      <c r="I3329" s="6">
        <v>527.4375</v>
      </c>
      <c r="J3329" s="2">
        <f t="shared" si="51"/>
        <v>43747.700852708331</v>
      </c>
    </row>
    <row r="3330" spans="1:10" x14ac:dyDescent="0.25">
      <c r="A3330" s="7" t="s">
        <v>6980</v>
      </c>
      <c r="B3330" s="8">
        <v>396.875</v>
      </c>
      <c r="C3330" s="8">
        <v>20.584240000000001</v>
      </c>
      <c r="D3330" s="8">
        <v>44</v>
      </c>
      <c r="E3330" s="8">
        <v>0</v>
      </c>
      <c r="F3330" s="8">
        <v>0</v>
      </c>
      <c r="G3330" s="8">
        <v>11</v>
      </c>
      <c r="H3330" s="8" t="s">
        <v>6981</v>
      </c>
      <c r="I3330" s="8">
        <v>527.4375</v>
      </c>
      <c r="J3330" s="3">
        <f t="shared" ref="J3330:J3393" si="52">(H3330/86400000)+25569+(7/24)</f>
        <v>43747.700935914349</v>
      </c>
    </row>
    <row r="3331" spans="1:10" x14ac:dyDescent="0.25">
      <c r="A3331" s="5" t="s">
        <v>6982</v>
      </c>
      <c r="B3331" s="6">
        <v>393.75</v>
      </c>
      <c r="C3331" s="6">
        <v>20.531590000000001</v>
      </c>
      <c r="D3331" s="6">
        <v>45</v>
      </c>
      <c r="E3331" s="6">
        <v>0</v>
      </c>
      <c r="F3331" s="6">
        <v>0</v>
      </c>
      <c r="G3331" s="6">
        <v>4</v>
      </c>
      <c r="H3331" s="6" t="s">
        <v>6983</v>
      </c>
      <c r="I3331" s="6">
        <v>526.6875</v>
      </c>
      <c r="J3331" s="2">
        <f t="shared" si="52"/>
        <v>43747.701019259257</v>
      </c>
    </row>
    <row r="3332" spans="1:10" x14ac:dyDescent="0.25">
      <c r="A3332" s="7" t="s">
        <v>6984</v>
      </c>
      <c r="B3332" s="8">
        <v>393.75</v>
      </c>
      <c r="C3332" s="8">
        <v>20.584240000000001</v>
      </c>
      <c r="D3332" s="8">
        <v>46</v>
      </c>
      <c r="E3332" s="8">
        <v>0</v>
      </c>
      <c r="F3332" s="8">
        <v>0</v>
      </c>
      <c r="G3332" s="8">
        <v>7</v>
      </c>
      <c r="H3332" s="8" t="s">
        <v>6985</v>
      </c>
      <c r="I3332" s="8">
        <v>526.6875</v>
      </c>
      <c r="J3332" s="3">
        <f t="shared" si="52"/>
        <v>43747.701102835643</v>
      </c>
    </row>
    <row r="3333" spans="1:10" x14ac:dyDescent="0.25">
      <c r="A3333" s="5" t="s">
        <v>6986</v>
      </c>
      <c r="B3333" s="6">
        <v>393.75</v>
      </c>
      <c r="C3333" s="6">
        <v>20.584240000000001</v>
      </c>
      <c r="D3333" s="6">
        <v>51</v>
      </c>
      <c r="E3333" s="6">
        <v>0</v>
      </c>
      <c r="F3333" s="6">
        <v>0</v>
      </c>
      <c r="G3333" s="6">
        <v>15</v>
      </c>
      <c r="H3333" s="6" t="s">
        <v>6987</v>
      </c>
      <c r="I3333" s="6">
        <v>526.6875</v>
      </c>
      <c r="J3333" s="2">
        <f t="shared" si="52"/>
        <v>43747.701186041661</v>
      </c>
    </row>
    <row r="3334" spans="1:10" x14ac:dyDescent="0.25">
      <c r="A3334" s="7" t="s">
        <v>6988</v>
      </c>
      <c r="B3334" s="8">
        <v>393.75</v>
      </c>
      <c r="C3334" s="8">
        <v>20.584240000000001</v>
      </c>
      <c r="D3334" s="8">
        <v>51</v>
      </c>
      <c r="E3334" s="8">
        <v>0</v>
      </c>
      <c r="F3334" s="8">
        <v>0</v>
      </c>
      <c r="G3334" s="8">
        <v>8</v>
      </c>
      <c r="H3334" s="8" t="s">
        <v>6989</v>
      </c>
      <c r="I3334" s="8">
        <v>526.6875</v>
      </c>
      <c r="J3334" s="3">
        <f t="shared" si="52"/>
        <v>43747.701257685178</v>
      </c>
    </row>
    <row r="3335" spans="1:10" x14ac:dyDescent="0.25">
      <c r="A3335" s="5" t="s">
        <v>6990</v>
      </c>
      <c r="B3335" s="6">
        <v>393.75</v>
      </c>
      <c r="C3335" s="6">
        <v>20.584240000000001</v>
      </c>
      <c r="D3335" s="6">
        <v>52</v>
      </c>
      <c r="E3335" s="6">
        <v>0</v>
      </c>
      <c r="F3335" s="6">
        <v>0</v>
      </c>
      <c r="G3335" s="6">
        <v>11</v>
      </c>
      <c r="H3335" s="6" t="s">
        <v>6991</v>
      </c>
      <c r="I3335" s="6">
        <v>526.6875</v>
      </c>
      <c r="J3335" s="2">
        <f t="shared" si="52"/>
        <v>43747.701341481479</v>
      </c>
    </row>
    <row r="3336" spans="1:10" x14ac:dyDescent="0.25">
      <c r="A3336" s="7" t="s">
        <v>6992</v>
      </c>
      <c r="B3336" s="8">
        <v>393.75</v>
      </c>
      <c r="C3336" s="8">
        <v>20.584240000000001</v>
      </c>
      <c r="D3336" s="8">
        <v>51</v>
      </c>
      <c r="E3336" s="8">
        <v>0</v>
      </c>
      <c r="F3336" s="8">
        <v>0</v>
      </c>
      <c r="G3336" s="8">
        <v>7</v>
      </c>
      <c r="H3336" s="8" t="s">
        <v>6993</v>
      </c>
      <c r="I3336" s="8">
        <v>526.6875</v>
      </c>
      <c r="J3336" s="3">
        <f t="shared" si="52"/>
        <v>43747.70142479166</v>
      </c>
    </row>
    <row r="3337" spans="1:10" x14ac:dyDescent="0.25">
      <c r="A3337" s="5" t="s">
        <v>6994</v>
      </c>
      <c r="B3337" s="6">
        <v>393.75</v>
      </c>
      <c r="C3337" s="6">
        <v>20.584240000000001</v>
      </c>
      <c r="D3337" s="6">
        <v>50</v>
      </c>
      <c r="E3337" s="6">
        <v>0</v>
      </c>
      <c r="F3337" s="6">
        <v>0</v>
      </c>
      <c r="G3337" s="6">
        <v>4</v>
      </c>
      <c r="H3337" s="6" t="s">
        <v>6995</v>
      </c>
      <c r="I3337" s="6">
        <v>526.6875</v>
      </c>
      <c r="J3337" s="2">
        <f t="shared" si="52"/>
        <v>43747.701508136575</v>
      </c>
    </row>
    <row r="3338" spans="1:10" x14ac:dyDescent="0.25">
      <c r="A3338" s="7" t="s">
        <v>6996</v>
      </c>
      <c r="B3338" s="8">
        <v>393.75</v>
      </c>
      <c r="C3338" s="8">
        <v>20.531590000000001</v>
      </c>
      <c r="D3338" s="8">
        <v>50</v>
      </c>
      <c r="E3338" s="8">
        <v>0</v>
      </c>
      <c r="F3338" s="8">
        <v>0</v>
      </c>
      <c r="G3338" s="8">
        <v>14</v>
      </c>
      <c r="H3338" s="8" t="s">
        <v>6997</v>
      </c>
      <c r="I3338" s="8">
        <v>526.6875</v>
      </c>
      <c r="J3338" s="3">
        <f t="shared" si="52"/>
        <v>43747.701591817131</v>
      </c>
    </row>
    <row r="3339" spans="1:10" x14ac:dyDescent="0.25">
      <c r="A3339" s="5" t="s">
        <v>6998</v>
      </c>
      <c r="B3339" s="6">
        <v>393.75</v>
      </c>
      <c r="C3339" s="6">
        <v>20.531590000000001</v>
      </c>
      <c r="D3339" s="6">
        <v>50</v>
      </c>
      <c r="E3339" s="6">
        <v>0</v>
      </c>
      <c r="F3339" s="6">
        <v>0</v>
      </c>
      <c r="G3339" s="6">
        <v>6</v>
      </c>
      <c r="H3339" s="6" t="s">
        <v>6999</v>
      </c>
      <c r="I3339" s="6">
        <v>526.6875</v>
      </c>
      <c r="J3339" s="2">
        <f t="shared" si="52"/>
        <v>43747.701674999997</v>
      </c>
    </row>
    <row r="3340" spans="1:10" x14ac:dyDescent="0.25">
      <c r="A3340" s="7" t="s">
        <v>7000</v>
      </c>
      <c r="B3340" s="8">
        <v>393.75</v>
      </c>
      <c r="C3340" s="8">
        <v>20.584240000000001</v>
      </c>
      <c r="D3340" s="8">
        <v>50</v>
      </c>
      <c r="E3340" s="8">
        <v>0</v>
      </c>
      <c r="F3340" s="8">
        <v>0</v>
      </c>
      <c r="G3340" s="8">
        <v>17</v>
      </c>
      <c r="H3340" s="8" t="s">
        <v>7001</v>
      </c>
      <c r="I3340" s="8">
        <v>526.6875</v>
      </c>
      <c r="J3340" s="3">
        <f t="shared" si="52"/>
        <v>43747.701746562496</v>
      </c>
    </row>
    <row r="3341" spans="1:10" x14ac:dyDescent="0.25">
      <c r="A3341" s="5" t="s">
        <v>7002</v>
      </c>
      <c r="B3341" s="6">
        <v>393.75</v>
      </c>
      <c r="C3341" s="6">
        <v>20.584240000000001</v>
      </c>
      <c r="D3341" s="6">
        <v>46</v>
      </c>
      <c r="E3341" s="6">
        <v>0</v>
      </c>
      <c r="F3341" s="6">
        <v>0</v>
      </c>
      <c r="G3341" s="6">
        <v>9</v>
      </c>
      <c r="H3341" s="6" t="s">
        <v>7003</v>
      </c>
      <c r="I3341" s="6">
        <v>526.6875</v>
      </c>
      <c r="J3341" s="2">
        <f t="shared" si="52"/>
        <v>43747.701830486105</v>
      </c>
    </row>
    <row r="3342" spans="1:10" x14ac:dyDescent="0.25">
      <c r="A3342" s="7" t="s">
        <v>7004</v>
      </c>
      <c r="B3342" s="8">
        <v>393.75</v>
      </c>
      <c r="C3342" s="8">
        <v>20.531590000000001</v>
      </c>
      <c r="D3342" s="8">
        <v>46</v>
      </c>
      <c r="E3342" s="8">
        <v>0</v>
      </c>
      <c r="F3342" s="8">
        <v>0</v>
      </c>
      <c r="G3342" s="8">
        <v>3</v>
      </c>
      <c r="H3342" s="8" t="s">
        <v>7005</v>
      </c>
      <c r="I3342" s="8">
        <v>526.6875</v>
      </c>
      <c r="J3342" s="3">
        <f t="shared" si="52"/>
        <v>43747.701913796293</v>
      </c>
    </row>
    <row r="3343" spans="1:10" x14ac:dyDescent="0.25">
      <c r="A3343" s="5" t="s">
        <v>7006</v>
      </c>
      <c r="B3343" s="6">
        <v>393.75</v>
      </c>
      <c r="C3343" s="6">
        <v>20.584240000000001</v>
      </c>
      <c r="D3343" s="6">
        <v>46</v>
      </c>
      <c r="E3343" s="6">
        <v>0</v>
      </c>
      <c r="F3343" s="6">
        <v>0</v>
      </c>
      <c r="G3343" s="6">
        <v>8</v>
      </c>
      <c r="H3343" s="6" t="s">
        <v>7007</v>
      </c>
      <c r="I3343" s="6">
        <v>526.5</v>
      </c>
      <c r="J3343" s="2">
        <f t="shared" si="52"/>
        <v>43747.701997025462</v>
      </c>
    </row>
    <row r="3344" spans="1:10" x14ac:dyDescent="0.25">
      <c r="A3344" s="7" t="s">
        <v>7008</v>
      </c>
      <c r="B3344" s="8">
        <v>393.75</v>
      </c>
      <c r="C3344" s="8">
        <v>20.584240000000001</v>
      </c>
      <c r="D3344" s="8">
        <v>45</v>
      </c>
      <c r="E3344" s="8">
        <v>0</v>
      </c>
      <c r="F3344" s="8">
        <v>0</v>
      </c>
      <c r="G3344" s="8">
        <v>5</v>
      </c>
      <c r="H3344" s="8" t="s">
        <v>7009</v>
      </c>
      <c r="I3344" s="8">
        <v>526.6875</v>
      </c>
      <c r="J3344" s="3">
        <f t="shared" si="52"/>
        <v>43747.702080706011</v>
      </c>
    </row>
    <row r="3345" spans="1:10" x14ac:dyDescent="0.25">
      <c r="A3345" s="5" t="s">
        <v>7010</v>
      </c>
      <c r="B3345" s="6">
        <v>393.75</v>
      </c>
      <c r="C3345" s="6">
        <v>20.531590000000001</v>
      </c>
      <c r="D3345" s="6">
        <v>45</v>
      </c>
      <c r="E3345" s="6">
        <v>0</v>
      </c>
      <c r="F3345" s="6">
        <v>0</v>
      </c>
      <c r="G3345" s="6">
        <v>11</v>
      </c>
      <c r="H3345" s="6" t="s">
        <v>7011</v>
      </c>
      <c r="I3345" s="6">
        <v>526.6875</v>
      </c>
      <c r="J3345" s="2">
        <f t="shared" si="52"/>
        <v>43747.702163935181</v>
      </c>
    </row>
    <row r="3346" spans="1:10" x14ac:dyDescent="0.25">
      <c r="A3346" s="7" t="s">
        <v>7012</v>
      </c>
      <c r="B3346" s="8">
        <v>393.75</v>
      </c>
      <c r="C3346" s="8">
        <v>20.531590000000001</v>
      </c>
      <c r="D3346" s="8">
        <v>45</v>
      </c>
      <c r="E3346" s="8">
        <v>0</v>
      </c>
      <c r="F3346" s="8">
        <v>0</v>
      </c>
      <c r="G3346" s="8">
        <v>18</v>
      </c>
      <c r="H3346" s="8" t="s">
        <v>7013</v>
      </c>
      <c r="I3346" s="8">
        <v>526.6875</v>
      </c>
      <c r="J3346" s="3">
        <f t="shared" si="52"/>
        <v>43747.702235462959</v>
      </c>
    </row>
    <row r="3347" spans="1:10" x14ac:dyDescent="0.25">
      <c r="A3347" s="5" t="s">
        <v>7014</v>
      </c>
      <c r="B3347" s="6">
        <v>393.75</v>
      </c>
      <c r="C3347" s="6">
        <v>20.584240000000001</v>
      </c>
      <c r="D3347" s="6">
        <v>45</v>
      </c>
      <c r="E3347" s="6">
        <v>0</v>
      </c>
      <c r="F3347" s="6">
        <v>0</v>
      </c>
      <c r="G3347" s="6">
        <v>5</v>
      </c>
      <c r="H3347" s="6" t="s">
        <v>7015</v>
      </c>
      <c r="I3347" s="6">
        <v>526.6875</v>
      </c>
      <c r="J3347" s="2">
        <f t="shared" si="52"/>
        <v>43747.702319374999</v>
      </c>
    </row>
    <row r="3348" spans="1:10" x14ac:dyDescent="0.25">
      <c r="A3348" s="7" t="s">
        <v>7016</v>
      </c>
      <c r="B3348" s="8">
        <v>393.75</v>
      </c>
      <c r="C3348" s="8">
        <v>20.584240000000001</v>
      </c>
      <c r="D3348" s="8">
        <v>47</v>
      </c>
      <c r="E3348" s="8">
        <v>0</v>
      </c>
      <c r="F3348" s="8">
        <v>0</v>
      </c>
      <c r="G3348" s="8">
        <v>0</v>
      </c>
      <c r="H3348" s="8" t="s">
        <v>7017</v>
      </c>
      <c r="I3348" s="8">
        <v>526.6875</v>
      </c>
      <c r="J3348" s="3">
        <f t="shared" si="52"/>
        <v>43747.702402708332</v>
      </c>
    </row>
    <row r="3349" spans="1:10" x14ac:dyDescent="0.25">
      <c r="A3349" s="5" t="s">
        <v>7018</v>
      </c>
      <c r="B3349" s="6">
        <v>393.75</v>
      </c>
      <c r="C3349" s="6">
        <v>20.531590000000001</v>
      </c>
      <c r="D3349" s="6">
        <v>47</v>
      </c>
      <c r="E3349" s="6">
        <v>0</v>
      </c>
      <c r="F3349" s="6">
        <v>0</v>
      </c>
      <c r="G3349" s="6">
        <v>4</v>
      </c>
      <c r="H3349" s="6" t="s">
        <v>7019</v>
      </c>
      <c r="I3349" s="6">
        <v>526.6875</v>
      </c>
      <c r="J3349" s="2">
        <f t="shared" si="52"/>
        <v>43747.702485925918</v>
      </c>
    </row>
    <row r="3350" spans="1:10" x14ac:dyDescent="0.25">
      <c r="A3350" s="7" t="s">
        <v>7020</v>
      </c>
      <c r="B3350" s="8">
        <v>412.5</v>
      </c>
      <c r="C3350" s="8">
        <v>20.584240000000001</v>
      </c>
      <c r="D3350" s="8">
        <v>47</v>
      </c>
      <c r="E3350" s="8">
        <v>0</v>
      </c>
      <c r="F3350" s="8">
        <v>0</v>
      </c>
      <c r="G3350" s="8">
        <v>0</v>
      </c>
      <c r="H3350" s="8" t="s">
        <v>7021</v>
      </c>
      <c r="I3350" s="8">
        <v>532.3125</v>
      </c>
      <c r="J3350" s="3">
        <f t="shared" si="52"/>
        <v>43747.702557685181</v>
      </c>
    </row>
    <row r="3351" spans="1:10" x14ac:dyDescent="0.25">
      <c r="A3351" s="5" t="s">
        <v>7022</v>
      </c>
      <c r="B3351" s="6">
        <v>393.75</v>
      </c>
      <c r="C3351" s="6">
        <v>20.584240000000001</v>
      </c>
      <c r="D3351" s="6">
        <v>47</v>
      </c>
      <c r="E3351" s="6">
        <v>0</v>
      </c>
      <c r="F3351" s="6">
        <v>0</v>
      </c>
      <c r="G3351" s="6">
        <v>13</v>
      </c>
      <c r="H3351" s="6" t="s">
        <v>7023</v>
      </c>
      <c r="I3351" s="6">
        <v>526.6875</v>
      </c>
      <c r="J3351" s="2">
        <f t="shared" si="52"/>
        <v>43747.702641238422</v>
      </c>
    </row>
    <row r="3352" spans="1:10" x14ac:dyDescent="0.25">
      <c r="A3352" s="7" t="s">
        <v>7024</v>
      </c>
      <c r="B3352" s="8">
        <v>393.75</v>
      </c>
      <c r="C3352" s="8">
        <v>20.531590000000001</v>
      </c>
      <c r="D3352" s="8">
        <v>47</v>
      </c>
      <c r="E3352" s="8">
        <v>0</v>
      </c>
      <c r="F3352" s="8">
        <v>0</v>
      </c>
      <c r="G3352" s="8">
        <v>5</v>
      </c>
      <c r="H3352" s="8" t="s">
        <v>7025</v>
      </c>
      <c r="I3352" s="8">
        <v>526.6875</v>
      </c>
      <c r="J3352" s="3">
        <f t="shared" si="52"/>
        <v>43747.702724722221</v>
      </c>
    </row>
    <row r="3353" spans="1:10" x14ac:dyDescent="0.25">
      <c r="A3353" s="5" t="s">
        <v>7026</v>
      </c>
      <c r="B3353" s="6">
        <v>393.75</v>
      </c>
      <c r="C3353" s="6">
        <v>20.584240000000001</v>
      </c>
      <c r="D3353" s="6">
        <v>47</v>
      </c>
      <c r="E3353" s="6">
        <v>0</v>
      </c>
      <c r="F3353" s="6">
        <v>0</v>
      </c>
      <c r="G3353" s="6">
        <v>14</v>
      </c>
      <c r="H3353" s="6" t="s">
        <v>7027</v>
      </c>
      <c r="I3353" s="6">
        <v>526.6875</v>
      </c>
      <c r="J3353" s="2">
        <f t="shared" si="52"/>
        <v>43747.702808368056</v>
      </c>
    </row>
    <row r="3354" spans="1:10" x14ac:dyDescent="0.25">
      <c r="A3354" s="7" t="s">
        <v>7028</v>
      </c>
      <c r="B3354" s="8">
        <v>393.75</v>
      </c>
      <c r="C3354" s="8">
        <v>20.584240000000001</v>
      </c>
      <c r="D3354" s="8">
        <v>49</v>
      </c>
      <c r="E3354" s="8">
        <v>0</v>
      </c>
      <c r="F3354" s="8">
        <v>0</v>
      </c>
      <c r="G3354" s="8">
        <v>7</v>
      </c>
      <c r="H3354" s="8" t="s">
        <v>7029</v>
      </c>
      <c r="I3354" s="8">
        <v>526.5</v>
      </c>
      <c r="J3354" s="3">
        <f t="shared" si="52"/>
        <v>43747.702891712957</v>
      </c>
    </row>
    <row r="3355" spans="1:10" x14ac:dyDescent="0.25">
      <c r="A3355" s="5" t="s">
        <v>7030</v>
      </c>
      <c r="B3355" s="6">
        <v>415.625</v>
      </c>
      <c r="C3355" s="6">
        <v>20.584240000000001</v>
      </c>
      <c r="D3355" s="6">
        <v>49</v>
      </c>
      <c r="E3355" s="6">
        <v>0</v>
      </c>
      <c r="F3355" s="6">
        <v>0</v>
      </c>
      <c r="G3355" s="6">
        <v>2</v>
      </c>
      <c r="H3355" s="6" t="s">
        <v>7031</v>
      </c>
      <c r="I3355" s="6">
        <v>533.0625</v>
      </c>
      <c r="J3355" s="2">
        <f t="shared" si="52"/>
        <v>43747.702974918975</v>
      </c>
    </row>
    <row r="3356" spans="1:10" x14ac:dyDescent="0.25">
      <c r="A3356" s="7" t="s">
        <v>7032</v>
      </c>
      <c r="B3356" s="8">
        <v>400</v>
      </c>
      <c r="C3356" s="8">
        <v>20.531590000000001</v>
      </c>
      <c r="D3356" s="8">
        <v>49</v>
      </c>
      <c r="E3356" s="8">
        <v>0</v>
      </c>
      <c r="F3356" s="8">
        <v>0</v>
      </c>
      <c r="G3356" s="8">
        <v>4</v>
      </c>
      <c r="H3356" s="8" t="s">
        <v>7033</v>
      </c>
      <c r="I3356" s="8">
        <v>528.1875</v>
      </c>
      <c r="J3356" s="3">
        <f t="shared" si="52"/>
        <v>43747.703046562499</v>
      </c>
    </row>
    <row r="3357" spans="1:10" x14ac:dyDescent="0.25">
      <c r="A3357" s="5" t="s">
        <v>7034</v>
      </c>
      <c r="B3357" s="6">
        <v>400</v>
      </c>
      <c r="C3357" s="6">
        <v>20.531590000000001</v>
      </c>
      <c r="D3357" s="6">
        <v>49</v>
      </c>
      <c r="E3357" s="6">
        <v>0</v>
      </c>
      <c r="F3357" s="6">
        <v>0</v>
      </c>
      <c r="G3357" s="6">
        <v>0</v>
      </c>
      <c r="H3357" s="6" t="s">
        <v>7035</v>
      </c>
      <c r="I3357" s="6">
        <v>528.1875</v>
      </c>
      <c r="J3357" s="2">
        <f t="shared" si="52"/>
        <v>43747.703130127316</v>
      </c>
    </row>
    <row r="3358" spans="1:10" x14ac:dyDescent="0.25">
      <c r="A3358" s="7" t="s">
        <v>7036</v>
      </c>
      <c r="B3358" s="8">
        <v>403.125</v>
      </c>
      <c r="C3358" s="8">
        <v>20.584240000000001</v>
      </c>
      <c r="D3358" s="8">
        <v>49</v>
      </c>
      <c r="E3358" s="8">
        <v>0</v>
      </c>
      <c r="F3358" s="8">
        <v>0</v>
      </c>
      <c r="G3358" s="8">
        <v>1</v>
      </c>
      <c r="H3358" s="8" t="s">
        <v>7037</v>
      </c>
      <c r="I3358" s="8">
        <v>529.125</v>
      </c>
      <c r="J3358" s="3">
        <f t="shared" si="52"/>
        <v>43747.703225648147</v>
      </c>
    </row>
    <row r="3359" spans="1:10" x14ac:dyDescent="0.25">
      <c r="A3359" s="5" t="s">
        <v>7038</v>
      </c>
      <c r="B3359" s="6">
        <v>400</v>
      </c>
      <c r="C3359" s="6">
        <v>20.584240000000001</v>
      </c>
      <c r="D3359" s="6">
        <v>49</v>
      </c>
      <c r="E3359" s="6">
        <v>0</v>
      </c>
      <c r="F3359" s="6">
        <v>0</v>
      </c>
      <c r="G3359" s="6">
        <v>0</v>
      </c>
      <c r="H3359" s="6" t="s">
        <v>7039</v>
      </c>
      <c r="I3359" s="6">
        <v>528.1875</v>
      </c>
      <c r="J3359" s="2">
        <f t="shared" si="52"/>
        <v>43747.703309097218</v>
      </c>
    </row>
    <row r="3360" spans="1:10" x14ac:dyDescent="0.25">
      <c r="A3360" s="7" t="s">
        <v>7040</v>
      </c>
      <c r="B3360" s="8">
        <v>400</v>
      </c>
      <c r="C3360" s="8">
        <v>20.584240000000001</v>
      </c>
      <c r="D3360" s="8">
        <v>48</v>
      </c>
      <c r="E3360" s="8">
        <v>0</v>
      </c>
      <c r="F3360" s="8">
        <v>0</v>
      </c>
      <c r="G3360" s="8">
        <v>8</v>
      </c>
      <c r="H3360" s="8" t="s">
        <v>7041</v>
      </c>
      <c r="I3360" s="8">
        <v>528.1875</v>
      </c>
      <c r="J3360" s="3">
        <f t="shared" si="52"/>
        <v>43747.703380752311</v>
      </c>
    </row>
    <row r="3361" spans="1:10" x14ac:dyDescent="0.25">
      <c r="A3361" s="5" t="s">
        <v>7042</v>
      </c>
      <c r="B3361" s="6">
        <v>400</v>
      </c>
      <c r="C3361" s="6">
        <v>20.531590000000001</v>
      </c>
      <c r="D3361" s="6">
        <v>45</v>
      </c>
      <c r="E3361" s="6">
        <v>0</v>
      </c>
      <c r="F3361" s="6">
        <v>0</v>
      </c>
      <c r="G3361" s="6">
        <v>0</v>
      </c>
      <c r="H3361" s="6" t="s">
        <v>7043</v>
      </c>
      <c r="I3361" s="6">
        <v>528.1875</v>
      </c>
      <c r="J3361" s="2">
        <f t="shared" si="52"/>
        <v>43747.703463877311</v>
      </c>
    </row>
    <row r="3362" spans="1:10" x14ac:dyDescent="0.25">
      <c r="A3362" s="7" t="s">
        <v>7044</v>
      </c>
      <c r="B3362" s="8">
        <v>400</v>
      </c>
      <c r="C3362" s="8">
        <v>20.584240000000001</v>
      </c>
      <c r="D3362" s="8">
        <v>45</v>
      </c>
      <c r="E3362" s="8">
        <v>0</v>
      </c>
      <c r="F3362" s="8">
        <v>0</v>
      </c>
      <c r="G3362" s="8">
        <v>9</v>
      </c>
      <c r="H3362" s="8" t="s">
        <v>7045</v>
      </c>
      <c r="I3362" s="8">
        <v>528.1875</v>
      </c>
      <c r="J3362" s="3">
        <f t="shared" si="52"/>
        <v>43747.703549710648</v>
      </c>
    </row>
    <row r="3363" spans="1:10" x14ac:dyDescent="0.25">
      <c r="A3363" s="5" t="s">
        <v>7046</v>
      </c>
      <c r="B3363" s="6">
        <v>396.875</v>
      </c>
      <c r="C3363" s="6">
        <v>20.584240000000001</v>
      </c>
      <c r="D3363" s="6">
        <v>47</v>
      </c>
      <c r="E3363" s="6">
        <v>0</v>
      </c>
      <c r="F3363" s="6">
        <v>0</v>
      </c>
      <c r="G3363" s="6">
        <v>0</v>
      </c>
      <c r="H3363" s="6" t="s">
        <v>7047</v>
      </c>
      <c r="I3363" s="6">
        <v>527.4375</v>
      </c>
      <c r="J3363" s="2">
        <f t="shared" si="52"/>
        <v>43747.703630937496</v>
      </c>
    </row>
    <row r="3364" spans="1:10" x14ac:dyDescent="0.25">
      <c r="A3364" s="7" t="s">
        <v>7048</v>
      </c>
      <c r="B3364" s="8">
        <v>396.875</v>
      </c>
      <c r="C3364" s="8">
        <v>20.531590000000001</v>
      </c>
      <c r="D3364" s="8">
        <v>47</v>
      </c>
      <c r="E3364" s="8">
        <v>0</v>
      </c>
      <c r="F3364" s="8">
        <v>0</v>
      </c>
      <c r="G3364" s="8">
        <v>5</v>
      </c>
      <c r="H3364" s="8" t="s">
        <v>7049</v>
      </c>
      <c r="I3364" s="8">
        <v>527.4375</v>
      </c>
      <c r="J3364" s="3">
        <f t="shared" si="52"/>
        <v>43747.703702719904</v>
      </c>
    </row>
    <row r="3365" spans="1:10" x14ac:dyDescent="0.25">
      <c r="A3365" s="5" t="s">
        <v>7050</v>
      </c>
      <c r="B3365" s="6">
        <v>425</v>
      </c>
      <c r="C3365" s="6">
        <v>20.531590000000001</v>
      </c>
      <c r="D3365" s="6">
        <v>48</v>
      </c>
      <c r="E3365" s="6">
        <v>0</v>
      </c>
      <c r="F3365" s="6">
        <v>0</v>
      </c>
      <c r="G3365" s="6">
        <v>0</v>
      </c>
      <c r="H3365" s="6" t="s">
        <v>7051</v>
      </c>
      <c r="I3365" s="6">
        <v>536.25</v>
      </c>
      <c r="J3365" s="2">
        <f t="shared" si="52"/>
        <v>43747.703785949074</v>
      </c>
    </row>
    <row r="3366" spans="1:10" x14ac:dyDescent="0.25">
      <c r="A3366" s="7" t="s">
        <v>7052</v>
      </c>
      <c r="B3366" s="8">
        <v>396.875</v>
      </c>
      <c r="C3366" s="8">
        <v>20.584240000000001</v>
      </c>
      <c r="D3366" s="8">
        <v>48</v>
      </c>
      <c r="E3366" s="8">
        <v>0</v>
      </c>
      <c r="F3366" s="8">
        <v>0</v>
      </c>
      <c r="G3366" s="8">
        <v>0</v>
      </c>
      <c r="H3366" s="8" t="s">
        <v>7053</v>
      </c>
      <c r="I3366" s="8">
        <v>527.4375</v>
      </c>
      <c r="J3366" s="3">
        <f t="shared" si="52"/>
        <v>43747.703869733792</v>
      </c>
    </row>
    <row r="3367" spans="1:10" x14ac:dyDescent="0.25">
      <c r="A3367" s="5" t="s">
        <v>7054</v>
      </c>
      <c r="B3367" s="6">
        <v>396.875</v>
      </c>
      <c r="C3367" s="6">
        <v>20.531590000000001</v>
      </c>
      <c r="D3367" s="6">
        <v>47</v>
      </c>
      <c r="E3367" s="6">
        <v>0</v>
      </c>
      <c r="F3367" s="6">
        <v>0</v>
      </c>
      <c r="G3367" s="6">
        <v>0</v>
      </c>
      <c r="H3367" s="6" t="s">
        <v>7055</v>
      </c>
      <c r="I3367" s="6">
        <v>527.4375</v>
      </c>
      <c r="J3367" s="2">
        <f t="shared" si="52"/>
        <v>43747.703952731477</v>
      </c>
    </row>
    <row r="3368" spans="1:10" x14ac:dyDescent="0.25">
      <c r="A3368" s="7" t="s">
        <v>7056</v>
      </c>
      <c r="B3368" s="8">
        <v>396.875</v>
      </c>
      <c r="C3368" s="8">
        <v>20.584240000000001</v>
      </c>
      <c r="D3368" s="8">
        <v>47</v>
      </c>
      <c r="E3368" s="8">
        <v>0</v>
      </c>
      <c r="F3368" s="8">
        <v>0</v>
      </c>
      <c r="G3368" s="8">
        <v>10</v>
      </c>
      <c r="H3368" s="8" t="s">
        <v>7057</v>
      </c>
      <c r="I3368" s="8">
        <v>527.4375</v>
      </c>
      <c r="J3368" s="3">
        <f t="shared" si="52"/>
        <v>43747.704024363418</v>
      </c>
    </row>
    <row r="3369" spans="1:10" x14ac:dyDescent="0.25">
      <c r="A3369" s="5" t="s">
        <v>7058</v>
      </c>
      <c r="B3369" s="6">
        <v>396.875</v>
      </c>
      <c r="C3369" s="6">
        <v>20.584240000000001</v>
      </c>
      <c r="D3369" s="6">
        <v>44</v>
      </c>
      <c r="E3369" s="6">
        <v>0</v>
      </c>
      <c r="F3369" s="6">
        <v>0</v>
      </c>
      <c r="G3369" s="6">
        <v>0</v>
      </c>
      <c r="H3369" s="6" t="s">
        <v>7059</v>
      </c>
      <c r="I3369" s="6">
        <v>527.25</v>
      </c>
      <c r="J3369" s="2">
        <f t="shared" si="52"/>
        <v>43747.704108275466</v>
      </c>
    </row>
    <row r="3370" spans="1:10" x14ac:dyDescent="0.25">
      <c r="A3370" s="7" t="s">
        <v>7060</v>
      </c>
      <c r="B3370" s="8">
        <v>393.75</v>
      </c>
      <c r="C3370" s="8">
        <v>20.584240000000001</v>
      </c>
      <c r="D3370" s="8">
        <v>45</v>
      </c>
      <c r="E3370" s="8">
        <v>0</v>
      </c>
      <c r="F3370" s="8">
        <v>0</v>
      </c>
      <c r="G3370" s="8">
        <v>6</v>
      </c>
      <c r="H3370" s="8" t="s">
        <v>7061</v>
      </c>
      <c r="I3370" s="8">
        <v>526.6875</v>
      </c>
      <c r="J3370" s="3">
        <f t="shared" si="52"/>
        <v>43747.704204884256</v>
      </c>
    </row>
    <row r="3371" spans="1:10" x14ac:dyDescent="0.25">
      <c r="A3371" s="5" t="s">
        <v>7062</v>
      </c>
      <c r="B3371" s="6">
        <v>393.75</v>
      </c>
      <c r="C3371" s="6">
        <v>20.584240000000001</v>
      </c>
      <c r="D3371" s="6">
        <v>45</v>
      </c>
      <c r="E3371" s="6">
        <v>0</v>
      </c>
      <c r="F3371" s="6">
        <v>0</v>
      </c>
      <c r="G3371" s="6">
        <v>15</v>
      </c>
      <c r="H3371" s="6" t="s">
        <v>7063</v>
      </c>
      <c r="I3371" s="6">
        <v>526.6875</v>
      </c>
      <c r="J3371" s="2">
        <f t="shared" si="52"/>
        <v>43747.704287025459</v>
      </c>
    </row>
    <row r="3372" spans="1:10" x14ac:dyDescent="0.25">
      <c r="A3372" s="7" t="s">
        <v>7064</v>
      </c>
      <c r="B3372" s="8">
        <v>428.125</v>
      </c>
      <c r="C3372" s="8">
        <v>20.584240000000001</v>
      </c>
      <c r="D3372" s="8">
        <v>45</v>
      </c>
      <c r="E3372" s="8">
        <v>0</v>
      </c>
      <c r="F3372" s="8">
        <v>0</v>
      </c>
      <c r="G3372" s="8">
        <v>11</v>
      </c>
      <c r="H3372" s="8" t="s">
        <v>7065</v>
      </c>
      <c r="I3372" s="8">
        <v>537.1875</v>
      </c>
      <c r="J3372" s="3">
        <f t="shared" si="52"/>
        <v>43747.704358518517</v>
      </c>
    </row>
    <row r="3373" spans="1:10" x14ac:dyDescent="0.25">
      <c r="A3373" s="5" t="s">
        <v>7066</v>
      </c>
      <c r="B3373" s="6">
        <v>393.75</v>
      </c>
      <c r="C3373" s="6">
        <v>20.584240000000001</v>
      </c>
      <c r="D3373" s="6">
        <v>46</v>
      </c>
      <c r="E3373" s="6">
        <v>0</v>
      </c>
      <c r="F3373" s="6">
        <v>0</v>
      </c>
      <c r="G3373" s="6">
        <v>9</v>
      </c>
      <c r="H3373" s="6" t="s">
        <v>7067</v>
      </c>
      <c r="I3373" s="6">
        <v>526.6875</v>
      </c>
      <c r="J3373" s="2">
        <f t="shared" si="52"/>
        <v>43747.704458206012</v>
      </c>
    </row>
    <row r="3374" spans="1:10" x14ac:dyDescent="0.25">
      <c r="A3374" s="7" t="s">
        <v>7068</v>
      </c>
      <c r="B3374" s="8">
        <v>437.5</v>
      </c>
      <c r="C3374" s="8">
        <v>20.584240000000001</v>
      </c>
      <c r="D3374" s="8">
        <v>47</v>
      </c>
      <c r="E3374" s="8">
        <v>0</v>
      </c>
      <c r="F3374" s="8">
        <v>0</v>
      </c>
      <c r="G3374" s="8">
        <v>10</v>
      </c>
      <c r="H3374" s="8" t="s">
        <v>7069</v>
      </c>
      <c r="I3374" s="8">
        <v>540.9375</v>
      </c>
      <c r="J3374" s="3">
        <f t="shared" si="52"/>
        <v>43747.70453732639</v>
      </c>
    </row>
    <row r="3375" spans="1:10" x14ac:dyDescent="0.25">
      <c r="A3375" s="5" t="s">
        <v>7070</v>
      </c>
      <c r="B3375" s="6">
        <v>393.75</v>
      </c>
      <c r="C3375" s="6">
        <v>20.584240000000001</v>
      </c>
      <c r="D3375" s="6">
        <v>46</v>
      </c>
      <c r="E3375" s="6">
        <v>0</v>
      </c>
      <c r="F3375" s="6">
        <v>0</v>
      </c>
      <c r="G3375" s="6">
        <v>1</v>
      </c>
      <c r="H3375" s="6" t="s">
        <v>7071</v>
      </c>
      <c r="I3375" s="6">
        <v>526.6875</v>
      </c>
      <c r="J3375" s="2">
        <f t="shared" si="52"/>
        <v>43747.7046208912</v>
      </c>
    </row>
    <row r="3376" spans="1:10" x14ac:dyDescent="0.25">
      <c r="A3376" s="7" t="s">
        <v>7072</v>
      </c>
      <c r="B3376" s="8">
        <v>393.75</v>
      </c>
      <c r="C3376" s="8">
        <v>20.584240000000001</v>
      </c>
      <c r="D3376" s="8">
        <v>46</v>
      </c>
      <c r="E3376" s="8">
        <v>0</v>
      </c>
      <c r="F3376" s="8">
        <v>0</v>
      </c>
      <c r="G3376" s="8">
        <v>6</v>
      </c>
      <c r="H3376" s="8" t="s">
        <v>7073</v>
      </c>
      <c r="I3376" s="8">
        <v>526.6875</v>
      </c>
      <c r="J3376" s="3">
        <f t="shared" si="52"/>
        <v>43747.704704456017</v>
      </c>
    </row>
    <row r="3377" spans="1:10" x14ac:dyDescent="0.25">
      <c r="A3377" s="5" t="s">
        <v>7074</v>
      </c>
      <c r="B3377" s="6">
        <v>393.75</v>
      </c>
      <c r="C3377" s="6">
        <v>20.584240000000001</v>
      </c>
      <c r="D3377" s="6">
        <v>46</v>
      </c>
      <c r="E3377" s="6">
        <v>0</v>
      </c>
      <c r="F3377" s="6">
        <v>0</v>
      </c>
      <c r="G3377" s="6">
        <v>15</v>
      </c>
      <c r="H3377" s="6" t="s">
        <v>7075</v>
      </c>
      <c r="I3377" s="6">
        <v>526.6875</v>
      </c>
      <c r="J3377" s="2">
        <f t="shared" si="52"/>
        <v>43747.704787800925</v>
      </c>
    </row>
    <row r="3378" spans="1:10" x14ac:dyDescent="0.25">
      <c r="A3378" s="7" t="s">
        <v>7076</v>
      </c>
      <c r="B3378" s="8">
        <v>393.75</v>
      </c>
      <c r="C3378" s="8">
        <v>20.584240000000001</v>
      </c>
      <c r="D3378" s="8">
        <v>47</v>
      </c>
      <c r="E3378" s="8">
        <v>0</v>
      </c>
      <c r="F3378" s="8">
        <v>0</v>
      </c>
      <c r="G3378" s="8">
        <v>7</v>
      </c>
      <c r="H3378" s="8" t="s">
        <v>7077</v>
      </c>
      <c r="I3378" s="8">
        <v>526.5</v>
      </c>
      <c r="J3378" s="3">
        <f t="shared" si="52"/>
        <v>43747.704883194441</v>
      </c>
    </row>
    <row r="3379" spans="1:10" x14ac:dyDescent="0.25">
      <c r="A3379" s="5" t="s">
        <v>7078</v>
      </c>
      <c r="B3379" s="6">
        <v>393.75</v>
      </c>
      <c r="C3379" s="6">
        <v>20.584240000000001</v>
      </c>
      <c r="D3379" s="6">
        <v>47</v>
      </c>
      <c r="E3379" s="6">
        <v>0</v>
      </c>
      <c r="F3379" s="6">
        <v>0</v>
      </c>
      <c r="G3379" s="6">
        <v>6</v>
      </c>
      <c r="H3379" s="6" t="s">
        <v>7079</v>
      </c>
      <c r="I3379" s="6">
        <v>526.6875</v>
      </c>
      <c r="J3379" s="2">
        <f t="shared" si="52"/>
        <v>43747.704954814813</v>
      </c>
    </row>
    <row r="3380" spans="1:10" x14ac:dyDescent="0.25">
      <c r="A3380" s="7" t="s">
        <v>7080</v>
      </c>
      <c r="B3380" s="8">
        <v>393.75</v>
      </c>
      <c r="C3380" s="8">
        <v>20.531590000000001</v>
      </c>
      <c r="D3380" s="8">
        <v>46</v>
      </c>
      <c r="E3380" s="8">
        <v>0</v>
      </c>
      <c r="F3380" s="8">
        <v>0</v>
      </c>
      <c r="G3380" s="8">
        <v>16</v>
      </c>
      <c r="H3380" s="8" t="s">
        <v>7081</v>
      </c>
      <c r="I3380" s="8">
        <v>526.6875</v>
      </c>
      <c r="J3380" s="3">
        <f t="shared" si="52"/>
        <v>43747.705037916669</v>
      </c>
    </row>
    <row r="3381" spans="1:10" x14ac:dyDescent="0.25">
      <c r="A3381" s="5" t="s">
        <v>7082</v>
      </c>
      <c r="B3381" s="6">
        <v>393.75</v>
      </c>
      <c r="C3381" s="6">
        <v>20.584240000000001</v>
      </c>
      <c r="D3381" s="6">
        <v>46</v>
      </c>
      <c r="E3381" s="6">
        <v>0</v>
      </c>
      <c r="F3381" s="6">
        <v>0</v>
      </c>
      <c r="G3381" s="6">
        <v>12</v>
      </c>
      <c r="H3381" s="6" t="s">
        <v>7083</v>
      </c>
      <c r="I3381" s="6">
        <v>526.6875</v>
      </c>
      <c r="J3381" s="2">
        <f t="shared" si="52"/>
        <v>43747.705109548609</v>
      </c>
    </row>
    <row r="3382" spans="1:10" x14ac:dyDescent="0.25">
      <c r="A3382" s="7" t="s">
        <v>7084</v>
      </c>
      <c r="B3382" s="8">
        <v>393.75</v>
      </c>
      <c r="C3382" s="8">
        <v>20.584240000000001</v>
      </c>
      <c r="D3382" s="8">
        <v>49</v>
      </c>
      <c r="E3382" s="8">
        <v>0</v>
      </c>
      <c r="F3382" s="8">
        <v>0</v>
      </c>
      <c r="G3382" s="8">
        <v>11</v>
      </c>
      <c r="H3382" s="8" t="s">
        <v>7085</v>
      </c>
      <c r="I3382" s="8">
        <v>526.5</v>
      </c>
      <c r="J3382" s="3">
        <f t="shared" si="52"/>
        <v>43747.705193344904</v>
      </c>
    </row>
    <row r="3383" spans="1:10" x14ac:dyDescent="0.25">
      <c r="A3383" s="5" t="s">
        <v>7086</v>
      </c>
      <c r="B3383" s="6">
        <v>393.75</v>
      </c>
      <c r="C3383" s="6">
        <v>20.584240000000001</v>
      </c>
      <c r="D3383" s="6">
        <v>49</v>
      </c>
      <c r="E3383" s="6">
        <v>0</v>
      </c>
      <c r="F3383" s="6">
        <v>0</v>
      </c>
      <c r="G3383" s="6">
        <v>13</v>
      </c>
      <c r="H3383" s="6" t="s">
        <v>7087</v>
      </c>
      <c r="I3383" s="6">
        <v>526.6875</v>
      </c>
      <c r="J3383" s="2">
        <f t="shared" si="52"/>
        <v>43747.705276701388</v>
      </c>
    </row>
    <row r="3384" spans="1:10" x14ac:dyDescent="0.25">
      <c r="A3384" s="7" t="s">
        <v>7088</v>
      </c>
      <c r="B3384" s="8">
        <v>412.5</v>
      </c>
      <c r="C3384" s="8">
        <v>20.584240000000001</v>
      </c>
      <c r="D3384" s="8">
        <v>49</v>
      </c>
      <c r="E3384" s="8">
        <v>0</v>
      </c>
      <c r="F3384" s="8">
        <v>0</v>
      </c>
      <c r="G3384" s="8">
        <v>15</v>
      </c>
      <c r="H3384" s="8" t="s">
        <v>7089</v>
      </c>
      <c r="I3384" s="8">
        <v>532.125</v>
      </c>
      <c r="J3384" s="3">
        <f t="shared" si="52"/>
        <v>43747.70536004629</v>
      </c>
    </row>
    <row r="3385" spans="1:10" x14ac:dyDescent="0.25">
      <c r="A3385" s="5" t="s">
        <v>7090</v>
      </c>
      <c r="B3385" s="6">
        <v>393.75</v>
      </c>
      <c r="C3385" s="6">
        <v>20.584240000000001</v>
      </c>
      <c r="D3385" s="6">
        <v>49</v>
      </c>
      <c r="E3385" s="6">
        <v>0</v>
      </c>
      <c r="F3385" s="6">
        <v>0</v>
      </c>
      <c r="G3385" s="6">
        <v>14</v>
      </c>
      <c r="H3385" s="6" t="s">
        <v>7091</v>
      </c>
      <c r="I3385" s="6">
        <v>526.6875</v>
      </c>
      <c r="J3385" s="2">
        <f t="shared" si="52"/>
        <v>43747.705443692124</v>
      </c>
    </row>
    <row r="3386" spans="1:10" x14ac:dyDescent="0.25">
      <c r="A3386" s="7" t="s">
        <v>7092</v>
      </c>
      <c r="B3386" s="8">
        <v>396.875</v>
      </c>
      <c r="C3386" s="8">
        <v>20.531590000000001</v>
      </c>
      <c r="D3386" s="8">
        <v>49</v>
      </c>
      <c r="E3386" s="8">
        <v>0</v>
      </c>
      <c r="F3386" s="8">
        <v>0</v>
      </c>
      <c r="G3386" s="8">
        <v>20</v>
      </c>
      <c r="H3386" s="8" t="s">
        <v>7093</v>
      </c>
      <c r="I3386" s="8">
        <v>527.4375</v>
      </c>
      <c r="J3386" s="3">
        <f t="shared" si="52"/>
        <v>43747.705526817132</v>
      </c>
    </row>
    <row r="3387" spans="1:10" x14ac:dyDescent="0.25">
      <c r="A3387" s="5" t="s">
        <v>7094</v>
      </c>
      <c r="B3387" s="6">
        <v>396.875</v>
      </c>
      <c r="C3387" s="6">
        <v>20.531590000000001</v>
      </c>
      <c r="D3387" s="6">
        <v>49</v>
      </c>
      <c r="E3387" s="6">
        <v>0</v>
      </c>
      <c r="F3387" s="6">
        <v>0</v>
      </c>
      <c r="G3387" s="6">
        <v>12</v>
      </c>
      <c r="H3387" s="6" t="s">
        <v>7095</v>
      </c>
      <c r="I3387" s="6">
        <v>527.4375</v>
      </c>
      <c r="J3387" s="2">
        <f t="shared" si="52"/>
        <v>43747.705598449073</v>
      </c>
    </row>
    <row r="3388" spans="1:10" x14ac:dyDescent="0.25">
      <c r="A3388" s="7" t="s">
        <v>7096</v>
      </c>
      <c r="B3388" s="8">
        <v>400</v>
      </c>
      <c r="C3388" s="8">
        <v>20.584240000000001</v>
      </c>
      <c r="D3388" s="8">
        <v>49</v>
      </c>
      <c r="E3388" s="8">
        <v>0</v>
      </c>
      <c r="F3388" s="8">
        <v>0</v>
      </c>
      <c r="G3388" s="8">
        <v>16</v>
      </c>
      <c r="H3388" s="8" t="s">
        <v>7097</v>
      </c>
      <c r="I3388" s="8">
        <v>528.1875</v>
      </c>
      <c r="J3388" s="3">
        <f t="shared" si="52"/>
        <v>43747.705682245367</v>
      </c>
    </row>
    <row r="3389" spans="1:10" x14ac:dyDescent="0.25">
      <c r="A3389" s="5" t="s">
        <v>7098</v>
      </c>
      <c r="B3389" s="6">
        <v>428.125</v>
      </c>
      <c r="C3389" s="6">
        <v>20.584240000000001</v>
      </c>
      <c r="D3389" s="6">
        <v>48</v>
      </c>
      <c r="E3389" s="6">
        <v>0</v>
      </c>
      <c r="F3389" s="6">
        <v>0</v>
      </c>
      <c r="G3389" s="6">
        <v>15</v>
      </c>
      <c r="H3389" s="6" t="s">
        <v>7099</v>
      </c>
      <c r="I3389" s="6">
        <v>537.5625</v>
      </c>
      <c r="J3389" s="2">
        <f t="shared" si="52"/>
        <v>43747.705765578699</v>
      </c>
    </row>
    <row r="3390" spans="1:10" x14ac:dyDescent="0.25">
      <c r="A3390" s="7" t="s">
        <v>7100</v>
      </c>
      <c r="B3390" s="8">
        <v>400</v>
      </c>
      <c r="C3390" s="8">
        <v>20.531590000000001</v>
      </c>
      <c r="D3390" s="8">
        <v>48</v>
      </c>
      <c r="E3390" s="8">
        <v>0</v>
      </c>
      <c r="F3390" s="8">
        <v>0</v>
      </c>
      <c r="G3390" s="8">
        <v>19</v>
      </c>
      <c r="H3390" s="8" t="s">
        <v>7101</v>
      </c>
      <c r="I3390" s="8">
        <v>528.1875</v>
      </c>
      <c r="J3390" s="3">
        <f t="shared" si="52"/>
        <v>43747.705848923608</v>
      </c>
    </row>
    <row r="3391" spans="1:10" x14ac:dyDescent="0.25">
      <c r="A3391" s="5" t="s">
        <v>7102</v>
      </c>
      <c r="B3391" s="6">
        <v>400</v>
      </c>
      <c r="C3391" s="6">
        <v>20.584240000000001</v>
      </c>
      <c r="D3391" s="6">
        <v>48</v>
      </c>
      <c r="E3391" s="6">
        <v>0</v>
      </c>
      <c r="F3391" s="6">
        <v>0</v>
      </c>
      <c r="G3391" s="6">
        <v>12</v>
      </c>
      <c r="H3391" s="6" t="s">
        <v>7103</v>
      </c>
      <c r="I3391" s="6">
        <v>528.1875</v>
      </c>
      <c r="J3391" s="2">
        <f t="shared" si="52"/>
        <v>43747.705943993053</v>
      </c>
    </row>
    <row r="3392" spans="1:10" x14ac:dyDescent="0.25">
      <c r="A3392" s="7" t="s">
        <v>7104</v>
      </c>
      <c r="B3392" s="8">
        <v>403.125</v>
      </c>
      <c r="C3392" s="8">
        <v>20.584240000000001</v>
      </c>
      <c r="D3392" s="8">
        <v>48</v>
      </c>
      <c r="E3392" s="8">
        <v>0</v>
      </c>
      <c r="F3392" s="8">
        <v>0</v>
      </c>
      <c r="G3392" s="8">
        <v>16</v>
      </c>
      <c r="H3392" s="8" t="s">
        <v>7105</v>
      </c>
      <c r="I3392" s="8">
        <v>529.125</v>
      </c>
      <c r="J3392" s="3">
        <f t="shared" si="52"/>
        <v>43747.706015752316</v>
      </c>
    </row>
    <row r="3393" spans="1:10" x14ac:dyDescent="0.25">
      <c r="A3393" s="5" t="s">
        <v>7106</v>
      </c>
      <c r="B3393" s="6">
        <v>403.125</v>
      </c>
      <c r="C3393" s="6">
        <v>20.584240000000001</v>
      </c>
      <c r="D3393" s="6">
        <v>48</v>
      </c>
      <c r="E3393" s="6">
        <v>0</v>
      </c>
      <c r="F3393" s="6">
        <v>0</v>
      </c>
      <c r="G3393" s="6">
        <v>19</v>
      </c>
      <c r="H3393" s="6" t="s">
        <v>7107</v>
      </c>
      <c r="I3393" s="6">
        <v>529.125</v>
      </c>
      <c r="J3393" s="2">
        <f t="shared" si="52"/>
        <v>43747.706087314808</v>
      </c>
    </row>
    <row r="3394" spans="1:10" x14ac:dyDescent="0.25">
      <c r="A3394" s="7" t="s">
        <v>7108</v>
      </c>
      <c r="B3394" s="8">
        <v>428.125</v>
      </c>
      <c r="C3394" s="8">
        <v>20.584240000000001</v>
      </c>
      <c r="D3394" s="8">
        <v>51</v>
      </c>
      <c r="E3394" s="8">
        <v>0</v>
      </c>
      <c r="F3394" s="8">
        <v>0</v>
      </c>
      <c r="G3394" s="8">
        <v>4</v>
      </c>
      <c r="H3394" s="8" t="s">
        <v>7109</v>
      </c>
      <c r="I3394" s="8">
        <v>537.5625</v>
      </c>
      <c r="J3394" s="3">
        <f t="shared" ref="J3394:J3457" si="53">(H3394/86400000)+25569+(7/24)</f>
        <v>43747.706171099533</v>
      </c>
    </row>
    <row r="3395" spans="1:10" x14ac:dyDescent="0.25">
      <c r="A3395" s="5" t="s">
        <v>7110</v>
      </c>
      <c r="B3395" s="6">
        <v>403.125</v>
      </c>
      <c r="C3395" s="6">
        <v>20.584240000000001</v>
      </c>
      <c r="D3395" s="6">
        <v>52</v>
      </c>
      <c r="E3395" s="6">
        <v>0</v>
      </c>
      <c r="F3395" s="6">
        <v>0</v>
      </c>
      <c r="G3395" s="6">
        <v>17</v>
      </c>
      <c r="H3395" s="6" t="s">
        <v>7111</v>
      </c>
      <c r="I3395" s="6">
        <v>529.125</v>
      </c>
      <c r="J3395" s="2">
        <f t="shared" si="53"/>
        <v>43747.706254537035</v>
      </c>
    </row>
    <row r="3396" spans="1:10" x14ac:dyDescent="0.25">
      <c r="A3396" s="7" t="s">
        <v>7112</v>
      </c>
      <c r="B3396" s="8">
        <v>403.125</v>
      </c>
      <c r="C3396" s="8">
        <v>20.584240000000001</v>
      </c>
      <c r="D3396" s="8">
        <v>53</v>
      </c>
      <c r="E3396" s="8">
        <v>0</v>
      </c>
      <c r="F3396" s="8">
        <v>0</v>
      </c>
      <c r="G3396" s="8">
        <v>17</v>
      </c>
      <c r="H3396" s="8" t="s">
        <v>7113</v>
      </c>
      <c r="I3396" s="8">
        <v>529.125</v>
      </c>
      <c r="J3396" s="3">
        <f t="shared" si="53"/>
        <v>43747.706326099535</v>
      </c>
    </row>
    <row r="3397" spans="1:10" x14ac:dyDescent="0.25">
      <c r="A3397" s="5" t="s">
        <v>7114</v>
      </c>
      <c r="B3397" s="6">
        <v>418.75</v>
      </c>
      <c r="C3397" s="6">
        <v>20.584240000000001</v>
      </c>
      <c r="D3397" s="6">
        <v>53</v>
      </c>
      <c r="E3397" s="6">
        <v>0</v>
      </c>
      <c r="F3397" s="6">
        <v>0</v>
      </c>
      <c r="G3397" s="6">
        <v>16</v>
      </c>
      <c r="H3397" s="6" t="s">
        <v>7115</v>
      </c>
      <c r="I3397" s="6">
        <v>534.75</v>
      </c>
      <c r="J3397" s="2">
        <f t="shared" si="53"/>
        <v>43747.706409513885</v>
      </c>
    </row>
    <row r="3398" spans="1:10" x14ac:dyDescent="0.25">
      <c r="A3398" s="7" t="s">
        <v>7116</v>
      </c>
      <c r="B3398" s="8">
        <v>396.875</v>
      </c>
      <c r="C3398" s="8">
        <v>20.531590000000001</v>
      </c>
      <c r="D3398" s="8">
        <v>52</v>
      </c>
      <c r="E3398" s="8">
        <v>0</v>
      </c>
      <c r="F3398" s="8">
        <v>0</v>
      </c>
      <c r="G3398" s="8">
        <v>2</v>
      </c>
      <c r="H3398" s="8" t="s">
        <v>7117</v>
      </c>
      <c r="I3398" s="8">
        <v>527.4375</v>
      </c>
      <c r="J3398" s="3">
        <f t="shared" si="53"/>
        <v>43747.706492974532</v>
      </c>
    </row>
    <row r="3399" spans="1:10" x14ac:dyDescent="0.25">
      <c r="A3399" s="5" t="s">
        <v>7118</v>
      </c>
      <c r="B3399" s="6">
        <v>396.875</v>
      </c>
      <c r="C3399" s="6">
        <v>20.531590000000001</v>
      </c>
      <c r="D3399" s="6">
        <v>52</v>
      </c>
      <c r="E3399" s="6">
        <v>0</v>
      </c>
      <c r="F3399" s="6">
        <v>0</v>
      </c>
      <c r="G3399" s="6">
        <v>11</v>
      </c>
      <c r="H3399" s="6" t="s">
        <v>7119</v>
      </c>
      <c r="I3399" s="6">
        <v>527.4375</v>
      </c>
      <c r="J3399" s="2">
        <f t="shared" si="53"/>
        <v>43747.70657642361</v>
      </c>
    </row>
    <row r="3400" spans="1:10" x14ac:dyDescent="0.25">
      <c r="A3400" s="7" t="s">
        <v>7120</v>
      </c>
      <c r="B3400" s="8">
        <v>396.875</v>
      </c>
      <c r="C3400" s="8">
        <v>20.584240000000001</v>
      </c>
      <c r="D3400" s="8">
        <v>52</v>
      </c>
      <c r="E3400" s="8">
        <v>0</v>
      </c>
      <c r="F3400" s="8">
        <v>0</v>
      </c>
      <c r="G3400" s="8">
        <v>15</v>
      </c>
      <c r="H3400" s="8" t="s">
        <v>7121</v>
      </c>
      <c r="I3400" s="8">
        <v>527.4375</v>
      </c>
      <c r="J3400" s="3">
        <f t="shared" si="53"/>
        <v>43747.706660162039</v>
      </c>
    </row>
    <row r="3401" spans="1:10" x14ac:dyDescent="0.25">
      <c r="A3401" s="5" t="s">
        <v>7122</v>
      </c>
      <c r="B3401" s="6">
        <v>396.875</v>
      </c>
      <c r="C3401" s="6">
        <v>20.584240000000001</v>
      </c>
      <c r="D3401" s="6">
        <v>51</v>
      </c>
      <c r="E3401" s="6">
        <v>0</v>
      </c>
      <c r="F3401" s="6">
        <v>0</v>
      </c>
      <c r="G3401" s="6">
        <v>15</v>
      </c>
      <c r="H3401" s="6" t="s">
        <v>7123</v>
      </c>
      <c r="I3401" s="6">
        <v>527.4375</v>
      </c>
      <c r="J3401" s="2">
        <f t="shared" si="53"/>
        <v>43747.706743310184</v>
      </c>
    </row>
    <row r="3402" spans="1:10" x14ac:dyDescent="0.25">
      <c r="A3402" s="7" t="s">
        <v>7124</v>
      </c>
      <c r="B3402" s="8">
        <v>396.875</v>
      </c>
      <c r="C3402" s="8">
        <v>20.584240000000001</v>
      </c>
      <c r="D3402" s="8">
        <v>50</v>
      </c>
      <c r="E3402" s="8">
        <v>0</v>
      </c>
      <c r="F3402" s="8">
        <v>0</v>
      </c>
      <c r="G3402" s="8">
        <v>15</v>
      </c>
      <c r="H3402" s="8" t="s">
        <v>7125</v>
      </c>
      <c r="I3402" s="8">
        <v>527.4375</v>
      </c>
      <c r="J3402" s="3">
        <f t="shared" si="53"/>
        <v>43747.706826655085</v>
      </c>
    </row>
    <row r="3403" spans="1:10" x14ac:dyDescent="0.25">
      <c r="A3403" s="5" t="s">
        <v>7126</v>
      </c>
      <c r="B3403" s="6">
        <v>396.875</v>
      </c>
      <c r="C3403" s="6">
        <v>20.584240000000001</v>
      </c>
      <c r="D3403" s="6">
        <v>51</v>
      </c>
      <c r="E3403" s="6">
        <v>0</v>
      </c>
      <c r="F3403" s="6">
        <v>0</v>
      </c>
      <c r="G3403" s="6">
        <v>18</v>
      </c>
      <c r="H3403" s="6" t="s">
        <v>7127</v>
      </c>
      <c r="I3403" s="6">
        <v>527.4375</v>
      </c>
      <c r="J3403" s="2">
        <f t="shared" si="53"/>
        <v>43747.706910324072</v>
      </c>
    </row>
    <row r="3404" spans="1:10" x14ac:dyDescent="0.25">
      <c r="A3404" s="7" t="s">
        <v>7128</v>
      </c>
      <c r="B3404" s="8">
        <v>400</v>
      </c>
      <c r="C3404" s="8">
        <v>20.584240000000001</v>
      </c>
      <c r="D3404" s="8">
        <v>51</v>
      </c>
      <c r="E3404" s="8">
        <v>0</v>
      </c>
      <c r="F3404" s="8">
        <v>0</v>
      </c>
      <c r="G3404" s="8">
        <v>12</v>
      </c>
      <c r="H3404" s="8" t="s">
        <v>7129</v>
      </c>
      <c r="I3404" s="8">
        <v>528.375</v>
      </c>
      <c r="J3404" s="3">
        <f t="shared" si="53"/>
        <v>43747.706993449072</v>
      </c>
    </row>
    <row r="3405" spans="1:10" x14ac:dyDescent="0.25">
      <c r="A3405" s="5" t="s">
        <v>7130</v>
      </c>
      <c r="B3405" s="6">
        <v>403.125</v>
      </c>
      <c r="C3405" s="6">
        <v>20.584240000000001</v>
      </c>
      <c r="D3405" s="6">
        <v>51</v>
      </c>
      <c r="E3405" s="6">
        <v>0</v>
      </c>
      <c r="F3405" s="6">
        <v>0</v>
      </c>
      <c r="G3405" s="6">
        <v>18</v>
      </c>
      <c r="H3405" s="6" t="s">
        <v>7131</v>
      </c>
      <c r="I3405" s="6">
        <v>529.125</v>
      </c>
      <c r="J3405" s="2">
        <f t="shared" si="53"/>
        <v>43747.707065196759</v>
      </c>
    </row>
    <row r="3406" spans="1:10" x14ac:dyDescent="0.25">
      <c r="A3406" s="7" t="s">
        <v>7132</v>
      </c>
      <c r="B3406" s="8">
        <v>403.125</v>
      </c>
      <c r="C3406" s="8">
        <v>20.584240000000001</v>
      </c>
      <c r="D3406" s="8">
        <v>47</v>
      </c>
      <c r="E3406" s="8">
        <v>0</v>
      </c>
      <c r="F3406" s="8">
        <v>0</v>
      </c>
      <c r="G3406" s="8">
        <v>21</v>
      </c>
      <c r="H3406" s="8" t="s">
        <v>7133</v>
      </c>
      <c r="I3406" s="8">
        <v>529.125</v>
      </c>
      <c r="J3406" s="3">
        <f t="shared" si="53"/>
        <v>43747.707148888883</v>
      </c>
    </row>
    <row r="3407" spans="1:10" x14ac:dyDescent="0.25">
      <c r="A3407" s="5" t="s">
        <v>7134</v>
      </c>
      <c r="B3407" s="6">
        <v>400</v>
      </c>
      <c r="C3407" s="6">
        <v>20.584240000000001</v>
      </c>
      <c r="D3407" s="6">
        <v>47</v>
      </c>
      <c r="E3407" s="6">
        <v>0</v>
      </c>
      <c r="F3407" s="6">
        <v>0</v>
      </c>
      <c r="G3407" s="6">
        <v>9</v>
      </c>
      <c r="H3407" s="6" t="s">
        <v>7135</v>
      </c>
      <c r="I3407" s="6">
        <v>528.1875</v>
      </c>
      <c r="J3407" s="2">
        <f t="shared" si="53"/>
        <v>43747.70723231481</v>
      </c>
    </row>
    <row r="3408" spans="1:10" x14ac:dyDescent="0.25">
      <c r="A3408" s="7" t="s">
        <v>7136</v>
      </c>
      <c r="B3408" s="8">
        <v>400</v>
      </c>
      <c r="C3408" s="8">
        <v>20.584240000000001</v>
      </c>
      <c r="D3408" s="8">
        <v>47</v>
      </c>
      <c r="E3408" s="8">
        <v>0</v>
      </c>
      <c r="F3408" s="8">
        <v>0</v>
      </c>
      <c r="G3408" s="8">
        <v>17</v>
      </c>
      <c r="H3408" s="8" t="s">
        <v>7137</v>
      </c>
      <c r="I3408" s="8">
        <v>528.375</v>
      </c>
      <c r="J3408" s="3">
        <f t="shared" si="53"/>
        <v>43747.707315532403</v>
      </c>
    </row>
    <row r="3409" spans="1:10" x14ac:dyDescent="0.25">
      <c r="A3409" s="5" t="s">
        <v>7138</v>
      </c>
      <c r="B3409" s="6">
        <v>418.75</v>
      </c>
      <c r="C3409" s="6">
        <v>20.584240000000001</v>
      </c>
      <c r="D3409" s="6">
        <v>48</v>
      </c>
      <c r="E3409" s="6">
        <v>0</v>
      </c>
      <c r="F3409" s="6">
        <v>0</v>
      </c>
      <c r="G3409" s="6">
        <v>10</v>
      </c>
      <c r="H3409" s="6" t="s">
        <v>7139</v>
      </c>
      <c r="I3409" s="6">
        <v>534</v>
      </c>
      <c r="J3409" s="2">
        <f t="shared" si="53"/>
        <v>43747.707399224535</v>
      </c>
    </row>
    <row r="3410" spans="1:10" x14ac:dyDescent="0.25">
      <c r="A3410" s="7" t="s">
        <v>7140</v>
      </c>
      <c r="B3410" s="8">
        <v>400</v>
      </c>
      <c r="C3410" s="8">
        <v>20.584240000000001</v>
      </c>
      <c r="D3410" s="8">
        <v>48</v>
      </c>
      <c r="E3410" s="8">
        <v>0</v>
      </c>
      <c r="F3410" s="8">
        <v>0</v>
      </c>
      <c r="G3410" s="8">
        <v>13</v>
      </c>
      <c r="H3410" s="8" t="s">
        <v>7141</v>
      </c>
      <c r="I3410" s="8">
        <v>528.9375</v>
      </c>
      <c r="J3410" s="3">
        <f t="shared" si="53"/>
        <v>43747.707482361111</v>
      </c>
    </row>
    <row r="3411" spans="1:10" x14ac:dyDescent="0.25">
      <c r="A3411" s="5" t="s">
        <v>7142</v>
      </c>
      <c r="B3411" s="6">
        <v>403.125</v>
      </c>
      <c r="C3411" s="6">
        <v>20.584240000000001</v>
      </c>
      <c r="D3411" s="6">
        <v>48</v>
      </c>
      <c r="E3411" s="6">
        <v>0</v>
      </c>
      <c r="F3411" s="6">
        <v>0</v>
      </c>
      <c r="G3411" s="6">
        <v>23</v>
      </c>
      <c r="H3411" s="6" t="s">
        <v>7143</v>
      </c>
      <c r="I3411" s="6">
        <v>529.125</v>
      </c>
      <c r="J3411" s="2">
        <f t="shared" si="53"/>
        <v>43747.707553981476</v>
      </c>
    </row>
    <row r="3412" spans="1:10" x14ac:dyDescent="0.25">
      <c r="A3412" s="7" t="s">
        <v>7144</v>
      </c>
      <c r="B3412" s="8">
        <v>403.125</v>
      </c>
      <c r="C3412" s="8">
        <v>20.584240000000001</v>
      </c>
      <c r="D3412" s="8">
        <v>48</v>
      </c>
      <c r="E3412" s="8">
        <v>0</v>
      </c>
      <c r="F3412" s="8">
        <v>0</v>
      </c>
      <c r="G3412" s="8">
        <v>18</v>
      </c>
      <c r="H3412" s="8" t="s">
        <v>7145</v>
      </c>
      <c r="I3412" s="8">
        <v>529.125</v>
      </c>
      <c r="J3412" s="3">
        <f t="shared" si="53"/>
        <v>43747.707637789346</v>
      </c>
    </row>
    <row r="3413" spans="1:10" x14ac:dyDescent="0.25">
      <c r="A3413" s="5" t="s">
        <v>7146</v>
      </c>
      <c r="B3413" s="6">
        <v>403.125</v>
      </c>
      <c r="C3413" s="6">
        <v>20.531590000000001</v>
      </c>
      <c r="D3413" s="6">
        <v>47</v>
      </c>
      <c r="E3413" s="6">
        <v>0</v>
      </c>
      <c r="F3413" s="6">
        <v>0</v>
      </c>
      <c r="G3413" s="6">
        <v>12</v>
      </c>
      <c r="H3413" s="6" t="s">
        <v>7147</v>
      </c>
      <c r="I3413" s="6">
        <v>529.125</v>
      </c>
      <c r="J3413" s="2">
        <f t="shared" si="53"/>
        <v>43747.707721226849</v>
      </c>
    </row>
    <row r="3414" spans="1:10" x14ac:dyDescent="0.25">
      <c r="A3414" s="7" t="s">
        <v>7148</v>
      </c>
      <c r="B3414" s="8">
        <v>421.875</v>
      </c>
      <c r="C3414" s="8">
        <v>20.584240000000001</v>
      </c>
      <c r="D3414" s="8">
        <v>47</v>
      </c>
      <c r="E3414" s="8">
        <v>0</v>
      </c>
      <c r="F3414" s="8">
        <v>0</v>
      </c>
      <c r="G3414" s="8">
        <v>12</v>
      </c>
      <c r="H3414" s="8" t="s">
        <v>7149</v>
      </c>
      <c r="I3414" s="8">
        <v>535.875</v>
      </c>
      <c r="J3414" s="3">
        <f t="shared" si="53"/>
        <v>43747.707792754627</v>
      </c>
    </row>
    <row r="3415" spans="1:10" x14ac:dyDescent="0.25">
      <c r="A3415" s="5" t="s">
        <v>7150</v>
      </c>
      <c r="B3415" s="6">
        <v>400</v>
      </c>
      <c r="C3415" s="6">
        <v>20.584240000000001</v>
      </c>
      <c r="D3415" s="6">
        <v>47</v>
      </c>
      <c r="E3415" s="6">
        <v>0</v>
      </c>
      <c r="F3415" s="6">
        <v>0</v>
      </c>
      <c r="G3415" s="6">
        <v>20</v>
      </c>
      <c r="H3415" s="6" t="s">
        <v>7151</v>
      </c>
      <c r="I3415" s="6">
        <v>528.375</v>
      </c>
      <c r="J3415" s="2">
        <f t="shared" si="53"/>
        <v>43747.707876203705</v>
      </c>
    </row>
    <row r="3416" spans="1:10" x14ac:dyDescent="0.25">
      <c r="A3416" s="7" t="s">
        <v>7152</v>
      </c>
      <c r="B3416" s="8">
        <v>396.875</v>
      </c>
      <c r="C3416" s="8">
        <v>20.531590000000001</v>
      </c>
      <c r="D3416" s="8">
        <v>47</v>
      </c>
      <c r="E3416" s="8">
        <v>0</v>
      </c>
      <c r="F3416" s="8">
        <v>0</v>
      </c>
      <c r="G3416" s="8">
        <v>19</v>
      </c>
      <c r="H3416" s="8" t="s">
        <v>7153</v>
      </c>
      <c r="I3416" s="8">
        <v>527.4375</v>
      </c>
      <c r="J3416" s="3">
        <f t="shared" si="53"/>
        <v>43747.707959733794</v>
      </c>
    </row>
    <row r="3417" spans="1:10" x14ac:dyDescent="0.25">
      <c r="A3417" s="5" t="s">
        <v>7154</v>
      </c>
      <c r="B3417" s="6">
        <v>396.875</v>
      </c>
      <c r="C3417" s="6">
        <v>20.584240000000001</v>
      </c>
      <c r="D3417" s="6">
        <v>47</v>
      </c>
      <c r="E3417" s="6">
        <v>0</v>
      </c>
      <c r="F3417" s="6">
        <v>0</v>
      </c>
      <c r="G3417" s="6">
        <v>10</v>
      </c>
      <c r="H3417" s="6" t="s">
        <v>7155</v>
      </c>
      <c r="I3417" s="6">
        <v>527.4375</v>
      </c>
      <c r="J3417" s="2">
        <f t="shared" si="53"/>
        <v>43747.708043113424</v>
      </c>
    </row>
    <row r="3418" spans="1:10" x14ac:dyDescent="0.25">
      <c r="A3418" s="7" t="s">
        <v>7156</v>
      </c>
      <c r="B3418" s="8">
        <v>396.875</v>
      </c>
      <c r="C3418" s="8">
        <v>20.584240000000001</v>
      </c>
      <c r="D3418" s="8">
        <v>48</v>
      </c>
      <c r="E3418" s="8">
        <v>0</v>
      </c>
      <c r="F3418" s="8">
        <v>0</v>
      </c>
      <c r="G3418" s="8">
        <v>16</v>
      </c>
      <c r="H3418" s="8" t="s">
        <v>7157</v>
      </c>
      <c r="I3418" s="8">
        <v>527.4375</v>
      </c>
      <c r="J3418" s="3">
        <f t="shared" si="53"/>
        <v>43747.70811472222</v>
      </c>
    </row>
    <row r="3419" spans="1:10" x14ac:dyDescent="0.25">
      <c r="A3419" s="5" t="s">
        <v>7158</v>
      </c>
      <c r="B3419" s="6">
        <v>393.75</v>
      </c>
      <c r="C3419" s="6">
        <v>20.584240000000001</v>
      </c>
      <c r="D3419" s="6">
        <v>48</v>
      </c>
      <c r="E3419" s="6">
        <v>0</v>
      </c>
      <c r="F3419" s="6">
        <v>0</v>
      </c>
      <c r="G3419" s="6">
        <v>16</v>
      </c>
      <c r="H3419" s="6" t="s">
        <v>7159</v>
      </c>
      <c r="I3419" s="6">
        <v>526.6875</v>
      </c>
      <c r="J3419" s="2">
        <f t="shared" si="53"/>
        <v>43747.708198194443</v>
      </c>
    </row>
    <row r="3420" spans="1:10" x14ac:dyDescent="0.25">
      <c r="A3420" s="7" t="s">
        <v>7160</v>
      </c>
      <c r="B3420" s="8">
        <v>396.875</v>
      </c>
      <c r="C3420" s="8">
        <v>20.584240000000001</v>
      </c>
      <c r="D3420" s="8">
        <v>47</v>
      </c>
      <c r="E3420" s="8">
        <v>0</v>
      </c>
      <c r="F3420" s="8">
        <v>0</v>
      </c>
      <c r="G3420" s="8">
        <v>22</v>
      </c>
      <c r="H3420" s="8" t="s">
        <v>7161</v>
      </c>
      <c r="I3420" s="8">
        <v>527.4375</v>
      </c>
      <c r="J3420" s="3">
        <f t="shared" si="53"/>
        <v>43747.70828165509</v>
      </c>
    </row>
    <row r="3421" spans="1:10" x14ac:dyDescent="0.25">
      <c r="A3421" s="5" t="s">
        <v>7162</v>
      </c>
      <c r="B3421" s="6">
        <v>393.75</v>
      </c>
      <c r="C3421" s="6">
        <v>20.584240000000001</v>
      </c>
      <c r="D3421" s="6">
        <v>47</v>
      </c>
      <c r="E3421" s="6">
        <v>0</v>
      </c>
      <c r="F3421" s="6">
        <v>0</v>
      </c>
      <c r="G3421" s="6">
        <v>20</v>
      </c>
      <c r="H3421" s="6" t="s">
        <v>7163</v>
      </c>
      <c r="I3421" s="6">
        <v>526.6875</v>
      </c>
      <c r="J3421" s="2">
        <f t="shared" si="53"/>
        <v>43747.708365081016</v>
      </c>
    </row>
    <row r="3422" spans="1:10" x14ac:dyDescent="0.25">
      <c r="A3422" s="7" t="s">
        <v>7164</v>
      </c>
      <c r="B3422" s="8">
        <v>393.75</v>
      </c>
      <c r="C3422" s="8">
        <v>20.584240000000001</v>
      </c>
      <c r="D3422" s="8">
        <v>48</v>
      </c>
      <c r="E3422" s="8">
        <v>0</v>
      </c>
      <c r="F3422" s="8">
        <v>0</v>
      </c>
      <c r="G3422" s="8">
        <v>19</v>
      </c>
      <c r="H3422" s="8" t="s">
        <v>7165</v>
      </c>
      <c r="I3422" s="8">
        <v>526.6875</v>
      </c>
      <c r="J3422" s="3">
        <f t="shared" si="53"/>
        <v>43747.708448657409</v>
      </c>
    </row>
    <row r="3423" spans="1:10" x14ac:dyDescent="0.25">
      <c r="A3423" s="5" t="s">
        <v>7166</v>
      </c>
      <c r="B3423" s="6">
        <v>393.75</v>
      </c>
      <c r="C3423" s="6">
        <v>20.584240000000001</v>
      </c>
      <c r="D3423" s="6">
        <v>48</v>
      </c>
      <c r="E3423" s="6">
        <v>0</v>
      </c>
      <c r="F3423" s="6">
        <v>0</v>
      </c>
      <c r="G3423" s="6">
        <v>19</v>
      </c>
      <c r="H3423" s="6" t="s">
        <v>7167</v>
      </c>
      <c r="I3423" s="6">
        <v>526.6875</v>
      </c>
      <c r="J3423" s="2">
        <f t="shared" si="53"/>
        <v>43747.708532094905</v>
      </c>
    </row>
    <row r="3424" spans="1:10" x14ac:dyDescent="0.25">
      <c r="A3424" s="7" t="s">
        <v>7168</v>
      </c>
      <c r="B3424" s="8">
        <v>412.5</v>
      </c>
      <c r="C3424" s="8">
        <v>20.531590000000001</v>
      </c>
      <c r="D3424" s="8">
        <v>48</v>
      </c>
      <c r="E3424" s="8">
        <v>0</v>
      </c>
      <c r="F3424" s="8">
        <v>0</v>
      </c>
      <c r="G3424" s="8">
        <v>18</v>
      </c>
      <c r="H3424" s="8" t="s">
        <v>7169</v>
      </c>
      <c r="I3424" s="8">
        <v>532.5</v>
      </c>
      <c r="J3424" s="3">
        <f t="shared" si="53"/>
        <v>43747.708615601849</v>
      </c>
    </row>
    <row r="3425" spans="1:10" x14ac:dyDescent="0.25">
      <c r="A3425" s="5" t="s">
        <v>7170</v>
      </c>
      <c r="B3425" s="6">
        <v>393.75</v>
      </c>
      <c r="C3425" s="6">
        <v>20.584240000000001</v>
      </c>
      <c r="D3425" s="6">
        <v>50</v>
      </c>
      <c r="E3425" s="6">
        <v>0</v>
      </c>
      <c r="F3425" s="6">
        <v>0</v>
      </c>
      <c r="G3425" s="6">
        <v>22</v>
      </c>
      <c r="H3425" s="6" t="s">
        <v>7171</v>
      </c>
      <c r="I3425" s="6">
        <v>526.5</v>
      </c>
      <c r="J3425" s="2">
        <f t="shared" si="53"/>
        <v>43747.708711053237</v>
      </c>
    </row>
    <row r="3426" spans="1:10" x14ac:dyDescent="0.25">
      <c r="A3426" s="7" t="s">
        <v>7172</v>
      </c>
      <c r="B3426" s="8">
        <v>412.5</v>
      </c>
      <c r="C3426" s="8">
        <v>20.584240000000001</v>
      </c>
      <c r="D3426" s="8">
        <v>50</v>
      </c>
      <c r="E3426" s="8">
        <v>0</v>
      </c>
      <c r="F3426" s="8">
        <v>0</v>
      </c>
      <c r="G3426" s="8">
        <v>23</v>
      </c>
      <c r="H3426" s="8" t="s">
        <v>7173</v>
      </c>
      <c r="I3426" s="8">
        <v>532.125</v>
      </c>
      <c r="J3426" s="3">
        <f t="shared" si="53"/>
        <v>43747.70879449074</v>
      </c>
    </row>
    <row r="3427" spans="1:10" x14ac:dyDescent="0.25">
      <c r="A3427" s="5" t="s">
        <v>7174</v>
      </c>
      <c r="B3427" s="6">
        <v>393.75</v>
      </c>
      <c r="C3427" s="6">
        <v>20.584240000000001</v>
      </c>
      <c r="D3427" s="6">
        <v>50</v>
      </c>
      <c r="E3427" s="6">
        <v>0</v>
      </c>
      <c r="F3427" s="6">
        <v>0</v>
      </c>
      <c r="G3427" s="6">
        <v>12</v>
      </c>
      <c r="H3427" s="6" t="s">
        <v>7175</v>
      </c>
      <c r="I3427" s="6">
        <v>526.6875</v>
      </c>
      <c r="J3427" s="2">
        <f t="shared" si="53"/>
        <v>43747.70887751157</v>
      </c>
    </row>
    <row r="3428" spans="1:10" x14ac:dyDescent="0.25">
      <c r="A3428" s="7" t="s">
        <v>7176</v>
      </c>
      <c r="B3428" s="8">
        <v>393.75</v>
      </c>
      <c r="C3428" s="8">
        <v>20.531590000000001</v>
      </c>
      <c r="D3428" s="8">
        <v>50</v>
      </c>
      <c r="E3428" s="8">
        <v>0</v>
      </c>
      <c r="F3428" s="8">
        <v>0</v>
      </c>
      <c r="G3428" s="8">
        <v>20</v>
      </c>
      <c r="H3428" s="8" t="s">
        <v>7177</v>
      </c>
      <c r="I3428" s="8">
        <v>526.6875</v>
      </c>
      <c r="J3428" s="3">
        <f t="shared" si="53"/>
        <v>43747.708961388889</v>
      </c>
    </row>
    <row r="3429" spans="1:10" x14ac:dyDescent="0.25">
      <c r="A3429" s="5" t="s">
        <v>7178</v>
      </c>
      <c r="B3429" s="6">
        <v>393.75</v>
      </c>
      <c r="C3429" s="6">
        <v>20.584240000000001</v>
      </c>
      <c r="D3429" s="6">
        <v>50</v>
      </c>
      <c r="E3429" s="6">
        <v>0</v>
      </c>
      <c r="F3429" s="6">
        <v>0</v>
      </c>
      <c r="G3429" s="6">
        <v>22</v>
      </c>
      <c r="H3429" s="6" t="s">
        <v>7179</v>
      </c>
      <c r="I3429" s="6">
        <v>526.6875</v>
      </c>
      <c r="J3429" s="2">
        <f t="shared" si="53"/>
        <v>43747.709044953699</v>
      </c>
    </row>
    <row r="3430" spans="1:10" x14ac:dyDescent="0.25">
      <c r="A3430" s="7" t="s">
        <v>7180</v>
      </c>
      <c r="B3430" s="8">
        <v>393.75</v>
      </c>
      <c r="C3430" s="8">
        <v>20.584240000000001</v>
      </c>
      <c r="D3430" s="8">
        <v>50</v>
      </c>
      <c r="E3430" s="8">
        <v>0</v>
      </c>
      <c r="F3430" s="8">
        <v>0</v>
      </c>
      <c r="G3430" s="8">
        <v>19</v>
      </c>
      <c r="H3430" s="8" t="s">
        <v>7181</v>
      </c>
      <c r="I3430" s="8">
        <v>526.6875</v>
      </c>
      <c r="J3430" s="3">
        <f t="shared" si="53"/>
        <v>43747.709116655089</v>
      </c>
    </row>
    <row r="3431" spans="1:10" x14ac:dyDescent="0.25">
      <c r="A3431" s="5" t="s">
        <v>7182</v>
      </c>
      <c r="B3431" s="6">
        <v>393.75</v>
      </c>
      <c r="C3431" s="6">
        <v>20.584240000000001</v>
      </c>
      <c r="D3431" s="6">
        <v>49</v>
      </c>
      <c r="E3431" s="6">
        <v>0</v>
      </c>
      <c r="F3431" s="6">
        <v>0</v>
      </c>
      <c r="G3431" s="6">
        <v>31</v>
      </c>
      <c r="H3431" s="6" t="s">
        <v>7183</v>
      </c>
      <c r="I3431" s="6">
        <v>526.6875</v>
      </c>
      <c r="J3431" s="2">
        <f t="shared" si="53"/>
        <v>43747.709211956018</v>
      </c>
    </row>
    <row r="3432" spans="1:10" x14ac:dyDescent="0.25">
      <c r="A3432" s="7" t="s">
        <v>7184</v>
      </c>
      <c r="B3432" s="8">
        <v>393.75</v>
      </c>
      <c r="C3432" s="8">
        <v>20.584240000000001</v>
      </c>
      <c r="D3432" s="8">
        <v>45</v>
      </c>
      <c r="E3432" s="8">
        <v>0</v>
      </c>
      <c r="F3432" s="8">
        <v>0</v>
      </c>
      <c r="G3432" s="8">
        <v>21</v>
      </c>
      <c r="H3432" s="8" t="s">
        <v>7185</v>
      </c>
      <c r="I3432" s="8">
        <v>526.6875</v>
      </c>
      <c r="J3432" s="3">
        <f t="shared" si="53"/>
        <v>43747.709295312503</v>
      </c>
    </row>
    <row r="3433" spans="1:10" x14ac:dyDescent="0.25">
      <c r="A3433" s="5" t="s">
        <v>7186</v>
      </c>
      <c r="B3433" s="6">
        <v>393.75</v>
      </c>
      <c r="C3433" s="6">
        <v>20.584240000000001</v>
      </c>
      <c r="D3433" s="6">
        <v>45</v>
      </c>
      <c r="E3433" s="6">
        <v>0</v>
      </c>
      <c r="F3433" s="6">
        <v>0</v>
      </c>
      <c r="G3433" s="6">
        <v>27</v>
      </c>
      <c r="H3433" s="6" t="s">
        <v>7187</v>
      </c>
      <c r="I3433" s="6">
        <v>526.6875</v>
      </c>
      <c r="J3433" s="2">
        <f t="shared" si="53"/>
        <v>43747.709378518521</v>
      </c>
    </row>
    <row r="3434" spans="1:10" x14ac:dyDescent="0.25">
      <c r="A3434" s="7" t="s">
        <v>7188</v>
      </c>
      <c r="B3434" s="8">
        <v>393.75</v>
      </c>
      <c r="C3434" s="8">
        <v>20.584240000000001</v>
      </c>
      <c r="D3434" s="8">
        <v>45</v>
      </c>
      <c r="E3434" s="8">
        <v>0</v>
      </c>
      <c r="F3434" s="8">
        <v>0</v>
      </c>
      <c r="G3434" s="8">
        <v>19</v>
      </c>
      <c r="H3434" s="8" t="s">
        <v>7189</v>
      </c>
      <c r="I3434" s="8">
        <v>526.6875</v>
      </c>
      <c r="J3434" s="3">
        <f t="shared" si="53"/>
        <v>43747.709462326391</v>
      </c>
    </row>
    <row r="3435" spans="1:10" x14ac:dyDescent="0.25">
      <c r="A3435" s="5" t="s">
        <v>7190</v>
      </c>
      <c r="B3435" s="6">
        <v>425</v>
      </c>
      <c r="C3435" s="6">
        <v>20.584240000000001</v>
      </c>
      <c r="D3435" s="6">
        <v>44</v>
      </c>
      <c r="E3435" s="6">
        <v>0</v>
      </c>
      <c r="F3435" s="6">
        <v>0</v>
      </c>
      <c r="G3435" s="6">
        <v>22</v>
      </c>
      <c r="H3435" s="6" t="s">
        <v>7191</v>
      </c>
      <c r="I3435" s="6">
        <v>536.0625</v>
      </c>
      <c r="J3435" s="2">
        <f t="shared" si="53"/>
        <v>43747.709546006947</v>
      </c>
    </row>
    <row r="3436" spans="1:10" x14ac:dyDescent="0.25">
      <c r="A3436" s="7" t="s">
        <v>7192</v>
      </c>
      <c r="B3436" s="8">
        <v>393.75</v>
      </c>
      <c r="C3436" s="8">
        <v>20.584240000000001</v>
      </c>
      <c r="D3436" s="8">
        <v>44</v>
      </c>
      <c r="E3436" s="8">
        <v>0</v>
      </c>
      <c r="F3436" s="8">
        <v>0</v>
      </c>
      <c r="G3436" s="8">
        <v>17</v>
      </c>
      <c r="H3436" s="8" t="s">
        <v>7193</v>
      </c>
      <c r="I3436" s="8">
        <v>526.6875</v>
      </c>
      <c r="J3436" s="3">
        <f t="shared" si="53"/>
        <v>43747.709616956017</v>
      </c>
    </row>
    <row r="3437" spans="1:10" x14ac:dyDescent="0.25">
      <c r="A3437" s="5" t="s">
        <v>7194</v>
      </c>
      <c r="B3437" s="6">
        <v>393.75</v>
      </c>
      <c r="C3437" s="6">
        <v>20.584240000000001</v>
      </c>
      <c r="D3437" s="6">
        <v>45</v>
      </c>
      <c r="E3437" s="6">
        <v>0</v>
      </c>
      <c r="F3437" s="6">
        <v>0</v>
      </c>
      <c r="G3437" s="6">
        <v>22</v>
      </c>
      <c r="H3437" s="6" t="s">
        <v>7195</v>
      </c>
      <c r="I3437" s="6">
        <v>526.6875</v>
      </c>
      <c r="J3437" s="2">
        <f t="shared" si="53"/>
        <v>43747.709712662036</v>
      </c>
    </row>
    <row r="3438" spans="1:10" x14ac:dyDescent="0.25">
      <c r="A3438" s="7" t="s">
        <v>7196</v>
      </c>
      <c r="B3438" s="8">
        <v>393.75</v>
      </c>
      <c r="C3438" s="8">
        <v>20.584240000000001</v>
      </c>
      <c r="D3438" s="8">
        <v>48</v>
      </c>
      <c r="E3438" s="8">
        <v>0</v>
      </c>
      <c r="F3438" s="8">
        <v>0</v>
      </c>
      <c r="G3438" s="8">
        <v>24</v>
      </c>
      <c r="H3438" s="8" t="s">
        <v>7197</v>
      </c>
      <c r="I3438" s="8">
        <v>526.5</v>
      </c>
      <c r="J3438" s="3">
        <f t="shared" si="53"/>
        <v>43747.709784189814</v>
      </c>
    </row>
    <row r="3439" spans="1:10" x14ac:dyDescent="0.25">
      <c r="A3439" s="5" t="s">
        <v>7198</v>
      </c>
      <c r="B3439" s="6">
        <v>393.75</v>
      </c>
      <c r="C3439" s="6">
        <v>20.584240000000001</v>
      </c>
      <c r="D3439" s="6">
        <v>48</v>
      </c>
      <c r="E3439" s="6">
        <v>0</v>
      </c>
      <c r="F3439" s="6">
        <v>0</v>
      </c>
      <c r="G3439" s="6">
        <v>28</v>
      </c>
      <c r="H3439" s="6" t="s">
        <v>7199</v>
      </c>
      <c r="I3439" s="6">
        <v>526.6875</v>
      </c>
      <c r="J3439" s="2">
        <f t="shared" si="53"/>
        <v>43747.7098674074</v>
      </c>
    </row>
    <row r="3440" spans="1:10" x14ac:dyDescent="0.25">
      <c r="A3440" s="7" t="s">
        <v>7200</v>
      </c>
      <c r="B3440" s="8">
        <v>393.75</v>
      </c>
      <c r="C3440" s="8">
        <v>20.584240000000001</v>
      </c>
      <c r="D3440" s="8">
        <v>48</v>
      </c>
      <c r="E3440" s="8">
        <v>0</v>
      </c>
      <c r="F3440" s="8">
        <v>0</v>
      </c>
      <c r="G3440" s="8">
        <v>21</v>
      </c>
      <c r="H3440" s="8" t="s">
        <v>7201</v>
      </c>
      <c r="I3440" s="8">
        <v>526.6875</v>
      </c>
      <c r="J3440" s="3">
        <f t="shared" si="53"/>
        <v>43747.709951238423</v>
      </c>
    </row>
    <row r="3441" spans="1:10" x14ac:dyDescent="0.25">
      <c r="A3441" s="5" t="s">
        <v>7202</v>
      </c>
      <c r="B3441" s="6">
        <v>393.75</v>
      </c>
      <c r="C3441" s="6">
        <v>20.584240000000001</v>
      </c>
      <c r="D3441" s="6">
        <v>47</v>
      </c>
      <c r="E3441" s="6">
        <v>0</v>
      </c>
      <c r="F3441" s="6">
        <v>0</v>
      </c>
      <c r="G3441" s="6">
        <v>23</v>
      </c>
      <c r="H3441" s="6" t="s">
        <v>7203</v>
      </c>
      <c r="I3441" s="6">
        <v>526.5</v>
      </c>
      <c r="J3441" s="2">
        <f t="shared" si="53"/>
        <v>43747.710034317126</v>
      </c>
    </row>
    <row r="3442" spans="1:10" x14ac:dyDescent="0.25">
      <c r="A3442" s="7" t="s">
        <v>7204</v>
      </c>
      <c r="B3442" s="8">
        <v>393.75</v>
      </c>
      <c r="C3442" s="8">
        <v>20.584240000000001</v>
      </c>
      <c r="D3442" s="8">
        <v>46</v>
      </c>
      <c r="E3442" s="8">
        <v>0</v>
      </c>
      <c r="F3442" s="8">
        <v>0</v>
      </c>
      <c r="G3442" s="8">
        <v>16</v>
      </c>
      <c r="H3442" s="8" t="s">
        <v>7205</v>
      </c>
      <c r="I3442" s="8">
        <v>526.6875</v>
      </c>
      <c r="J3442" s="3">
        <f t="shared" si="53"/>
        <v>43747.710118113428</v>
      </c>
    </row>
    <row r="3443" spans="1:10" x14ac:dyDescent="0.25">
      <c r="A3443" s="5" t="s">
        <v>7206</v>
      </c>
      <c r="B3443" s="6">
        <v>393.75</v>
      </c>
      <c r="C3443" s="6">
        <v>20.584240000000001</v>
      </c>
      <c r="D3443" s="6">
        <v>49</v>
      </c>
      <c r="E3443" s="6">
        <v>0</v>
      </c>
      <c r="F3443" s="6">
        <v>0</v>
      </c>
      <c r="G3443" s="6">
        <v>20</v>
      </c>
      <c r="H3443" s="6" t="s">
        <v>7207</v>
      </c>
      <c r="I3443" s="6">
        <v>526.6875</v>
      </c>
      <c r="J3443" s="2">
        <f t="shared" si="53"/>
        <v>43747.710201585644</v>
      </c>
    </row>
    <row r="3444" spans="1:10" x14ac:dyDescent="0.25">
      <c r="A3444" s="7" t="s">
        <v>7208</v>
      </c>
      <c r="B3444" s="8">
        <v>393.75</v>
      </c>
      <c r="C3444" s="8">
        <v>20.584240000000001</v>
      </c>
      <c r="D3444" s="8">
        <v>49</v>
      </c>
      <c r="E3444" s="8">
        <v>0</v>
      </c>
      <c r="F3444" s="8">
        <v>0</v>
      </c>
      <c r="G3444" s="8">
        <v>23</v>
      </c>
      <c r="H3444" s="8" t="s">
        <v>7209</v>
      </c>
      <c r="I3444" s="8">
        <v>526.6875</v>
      </c>
      <c r="J3444" s="3">
        <f t="shared" si="53"/>
        <v>43747.710272881937</v>
      </c>
    </row>
    <row r="3445" spans="1:10" x14ac:dyDescent="0.25">
      <c r="A3445" s="5" t="s">
        <v>7210</v>
      </c>
      <c r="B3445" s="6">
        <v>393.75</v>
      </c>
      <c r="C3445" s="6">
        <v>20.584240000000001</v>
      </c>
      <c r="D3445" s="6">
        <v>45</v>
      </c>
      <c r="E3445" s="6">
        <v>0</v>
      </c>
      <c r="F3445" s="6">
        <v>0</v>
      </c>
      <c r="G3445" s="6">
        <v>25</v>
      </c>
      <c r="H3445" s="6" t="s">
        <v>7211</v>
      </c>
      <c r="I3445" s="6">
        <v>526.6875</v>
      </c>
      <c r="J3445" s="2">
        <f t="shared" si="53"/>
        <v>43747.710356400457</v>
      </c>
    </row>
    <row r="3446" spans="1:10" x14ac:dyDescent="0.25">
      <c r="A3446" s="7" t="s">
        <v>7212</v>
      </c>
      <c r="B3446" s="8">
        <v>393.75</v>
      </c>
      <c r="C3446" s="8">
        <v>20.584240000000001</v>
      </c>
      <c r="D3446" s="8">
        <v>45</v>
      </c>
      <c r="E3446" s="8">
        <v>0</v>
      </c>
      <c r="F3446" s="8">
        <v>0</v>
      </c>
      <c r="G3446" s="8">
        <v>18</v>
      </c>
      <c r="H3446" s="8" t="s">
        <v>7213</v>
      </c>
      <c r="I3446" s="8">
        <v>526.6875</v>
      </c>
      <c r="J3446" s="3">
        <f t="shared" si="53"/>
        <v>43747.710428055558</v>
      </c>
    </row>
    <row r="3447" spans="1:10" x14ac:dyDescent="0.25">
      <c r="A3447" s="5" t="s">
        <v>7214</v>
      </c>
      <c r="B3447" s="6">
        <v>393.75</v>
      </c>
      <c r="C3447" s="6">
        <v>20.584240000000001</v>
      </c>
      <c r="D3447" s="6">
        <v>45</v>
      </c>
      <c r="E3447" s="6">
        <v>0</v>
      </c>
      <c r="F3447" s="6">
        <v>0</v>
      </c>
      <c r="G3447" s="6">
        <v>21</v>
      </c>
      <c r="H3447" s="6" t="s">
        <v>7215</v>
      </c>
      <c r="I3447" s="6">
        <v>526.6875</v>
      </c>
      <c r="J3447" s="2">
        <f t="shared" si="53"/>
        <v>43747.710511631944</v>
      </c>
    </row>
    <row r="3448" spans="1:10" x14ac:dyDescent="0.25">
      <c r="A3448" s="7" t="s">
        <v>7216</v>
      </c>
      <c r="B3448" s="8">
        <v>415.625</v>
      </c>
      <c r="C3448" s="8">
        <v>20.584240000000001</v>
      </c>
      <c r="D3448" s="8">
        <v>46</v>
      </c>
      <c r="E3448" s="8">
        <v>0</v>
      </c>
      <c r="F3448" s="8">
        <v>0</v>
      </c>
      <c r="G3448" s="8">
        <v>22</v>
      </c>
      <c r="H3448" s="8" t="s">
        <v>7217</v>
      </c>
      <c r="I3448" s="8">
        <v>533.25</v>
      </c>
      <c r="J3448" s="3">
        <f t="shared" si="53"/>
        <v>43747.710595069446</v>
      </c>
    </row>
    <row r="3449" spans="1:10" x14ac:dyDescent="0.25">
      <c r="A3449" s="5" t="s">
        <v>7218</v>
      </c>
      <c r="B3449" s="6">
        <v>393.75</v>
      </c>
      <c r="C3449" s="6">
        <v>20.584240000000001</v>
      </c>
      <c r="D3449" s="6">
        <v>46</v>
      </c>
      <c r="E3449" s="6">
        <v>0</v>
      </c>
      <c r="F3449" s="6">
        <v>0</v>
      </c>
      <c r="G3449" s="6">
        <v>25</v>
      </c>
      <c r="H3449" s="6" t="s">
        <v>7219</v>
      </c>
      <c r="I3449" s="6">
        <v>526.6875</v>
      </c>
      <c r="J3449" s="2">
        <f t="shared" si="53"/>
        <v>43747.710678726849</v>
      </c>
    </row>
    <row r="3450" spans="1:10" x14ac:dyDescent="0.25">
      <c r="A3450" s="7" t="s">
        <v>7220</v>
      </c>
      <c r="B3450" s="8">
        <v>393.75</v>
      </c>
      <c r="C3450" s="8">
        <v>20.584240000000001</v>
      </c>
      <c r="D3450" s="8">
        <v>47</v>
      </c>
      <c r="E3450" s="8">
        <v>0</v>
      </c>
      <c r="F3450" s="8">
        <v>0</v>
      </c>
      <c r="G3450" s="8">
        <v>28</v>
      </c>
      <c r="H3450" s="8" t="s">
        <v>7221</v>
      </c>
      <c r="I3450" s="8">
        <v>526.6875</v>
      </c>
      <c r="J3450" s="3">
        <f t="shared" si="53"/>
        <v>43747.710750057864</v>
      </c>
    </row>
    <row r="3451" spans="1:10" x14ac:dyDescent="0.25">
      <c r="A3451" s="5" t="s">
        <v>7222</v>
      </c>
      <c r="B3451" s="6">
        <v>393.75</v>
      </c>
      <c r="C3451" s="6">
        <v>20.584240000000001</v>
      </c>
      <c r="D3451" s="6">
        <v>48</v>
      </c>
      <c r="E3451" s="6">
        <v>0</v>
      </c>
      <c r="F3451" s="6">
        <v>0</v>
      </c>
      <c r="G3451" s="6">
        <v>25</v>
      </c>
      <c r="H3451" s="6" t="s">
        <v>7223</v>
      </c>
      <c r="I3451" s="6">
        <v>526.6875</v>
      </c>
      <c r="J3451" s="2">
        <f t="shared" si="53"/>
        <v>43747.710834074074</v>
      </c>
    </row>
    <row r="3452" spans="1:10" x14ac:dyDescent="0.25">
      <c r="A3452" s="7" t="s">
        <v>7224</v>
      </c>
      <c r="B3452" s="8">
        <v>396.875</v>
      </c>
      <c r="C3452" s="8">
        <v>20.584240000000001</v>
      </c>
      <c r="D3452" s="8">
        <v>47</v>
      </c>
      <c r="E3452" s="8">
        <v>0</v>
      </c>
      <c r="F3452" s="8">
        <v>0</v>
      </c>
      <c r="G3452" s="8">
        <v>22</v>
      </c>
      <c r="H3452" s="8" t="s">
        <v>7225</v>
      </c>
      <c r="I3452" s="8">
        <v>527.4375</v>
      </c>
      <c r="J3452" s="3">
        <f t="shared" si="53"/>
        <v>43747.710917060183</v>
      </c>
    </row>
    <row r="3453" spans="1:10" x14ac:dyDescent="0.25">
      <c r="A3453" s="5" t="s">
        <v>7226</v>
      </c>
      <c r="B3453" s="6">
        <v>415.625</v>
      </c>
      <c r="C3453" s="6">
        <v>20.531590000000001</v>
      </c>
      <c r="D3453" s="6">
        <v>47</v>
      </c>
      <c r="E3453" s="6">
        <v>0</v>
      </c>
      <c r="F3453" s="6">
        <v>0</v>
      </c>
      <c r="G3453" s="6">
        <v>23</v>
      </c>
      <c r="H3453" s="6" t="s">
        <v>7227</v>
      </c>
      <c r="I3453" s="6">
        <v>533.8125</v>
      </c>
      <c r="J3453" s="2">
        <f t="shared" si="53"/>
        <v>43747.711000497678</v>
      </c>
    </row>
    <row r="3454" spans="1:10" x14ac:dyDescent="0.25">
      <c r="A3454" s="7" t="s">
        <v>7228</v>
      </c>
      <c r="B3454" s="8">
        <v>396.875</v>
      </c>
      <c r="C3454" s="8">
        <v>20.584240000000001</v>
      </c>
      <c r="D3454" s="8">
        <v>47</v>
      </c>
      <c r="E3454" s="8">
        <v>0</v>
      </c>
      <c r="F3454" s="8">
        <v>0</v>
      </c>
      <c r="G3454" s="8">
        <v>31</v>
      </c>
      <c r="H3454" s="8" t="s">
        <v>7229</v>
      </c>
      <c r="I3454" s="8">
        <v>527.4375</v>
      </c>
      <c r="J3454" s="3">
        <f t="shared" si="53"/>
        <v>43747.711083946757</v>
      </c>
    </row>
    <row r="3455" spans="1:10" x14ac:dyDescent="0.25">
      <c r="A3455" s="5" t="s">
        <v>7230</v>
      </c>
      <c r="B3455" s="6">
        <v>396.875</v>
      </c>
      <c r="C3455" s="6">
        <v>20.584240000000001</v>
      </c>
      <c r="D3455" s="6">
        <v>48</v>
      </c>
      <c r="E3455" s="6">
        <v>0</v>
      </c>
      <c r="F3455" s="6">
        <v>0</v>
      </c>
      <c r="G3455" s="6">
        <v>28</v>
      </c>
      <c r="H3455" s="6" t="s">
        <v>7231</v>
      </c>
      <c r="I3455" s="6">
        <v>527.4375</v>
      </c>
      <c r="J3455" s="2">
        <f t="shared" si="53"/>
        <v>43747.711155474535</v>
      </c>
    </row>
    <row r="3456" spans="1:10" x14ac:dyDescent="0.25">
      <c r="A3456" s="7" t="s">
        <v>7232</v>
      </c>
      <c r="B3456" s="8">
        <v>396.875</v>
      </c>
      <c r="C3456" s="8">
        <v>20.584240000000001</v>
      </c>
      <c r="D3456" s="8">
        <v>48</v>
      </c>
      <c r="E3456" s="8">
        <v>0</v>
      </c>
      <c r="F3456" s="8">
        <v>0</v>
      </c>
      <c r="G3456" s="8">
        <v>28</v>
      </c>
      <c r="H3456" s="8" t="s">
        <v>7233</v>
      </c>
      <c r="I3456" s="8">
        <v>527.4375</v>
      </c>
      <c r="J3456" s="3">
        <f t="shared" si="53"/>
        <v>43747.711239050921</v>
      </c>
    </row>
    <row r="3457" spans="1:10" x14ac:dyDescent="0.25">
      <c r="A3457" s="5" t="s">
        <v>7234</v>
      </c>
      <c r="B3457" s="6">
        <v>396.875</v>
      </c>
      <c r="C3457" s="6">
        <v>20.584240000000001</v>
      </c>
      <c r="D3457" s="6">
        <v>48</v>
      </c>
      <c r="E3457" s="6">
        <v>0</v>
      </c>
      <c r="F3457" s="6">
        <v>0</v>
      </c>
      <c r="G3457" s="6">
        <v>22</v>
      </c>
      <c r="H3457" s="6" t="s">
        <v>7235</v>
      </c>
      <c r="I3457" s="6">
        <v>527.4375</v>
      </c>
      <c r="J3457" s="2">
        <f t="shared" si="53"/>
        <v>43747.71132253472</v>
      </c>
    </row>
    <row r="3458" spans="1:10" x14ac:dyDescent="0.25">
      <c r="A3458" s="7" t="s">
        <v>7236</v>
      </c>
      <c r="B3458" s="8">
        <v>393.75</v>
      </c>
      <c r="C3458" s="8">
        <v>20.584240000000001</v>
      </c>
      <c r="D3458" s="8">
        <v>48</v>
      </c>
      <c r="E3458" s="8">
        <v>0</v>
      </c>
      <c r="F3458" s="8">
        <v>0</v>
      </c>
      <c r="G3458" s="8">
        <v>25</v>
      </c>
      <c r="H3458" s="8" t="s">
        <v>7237</v>
      </c>
      <c r="I3458" s="8">
        <v>526.6875</v>
      </c>
      <c r="J3458" s="3">
        <f t="shared" ref="J3458:J3521" si="54">(H3458/86400000)+25569+(7/24)</f>
        <v>43747.711417824066</v>
      </c>
    </row>
    <row r="3459" spans="1:10" x14ac:dyDescent="0.25">
      <c r="A3459" s="5" t="s">
        <v>7238</v>
      </c>
      <c r="B3459" s="6">
        <v>393.75</v>
      </c>
      <c r="C3459" s="6">
        <v>20.531590000000001</v>
      </c>
      <c r="D3459" s="6">
        <v>49</v>
      </c>
      <c r="E3459" s="6">
        <v>0</v>
      </c>
      <c r="F3459" s="6">
        <v>0</v>
      </c>
      <c r="G3459" s="6">
        <v>32</v>
      </c>
      <c r="H3459" s="6" t="s">
        <v>7239</v>
      </c>
      <c r="I3459" s="6">
        <v>526.6875</v>
      </c>
      <c r="J3459" s="2">
        <f t="shared" si="54"/>
        <v>43747.711501516205</v>
      </c>
    </row>
    <row r="3460" spans="1:10" x14ac:dyDescent="0.25">
      <c r="A3460" s="7" t="s">
        <v>7240</v>
      </c>
      <c r="B3460" s="8">
        <v>415.625</v>
      </c>
      <c r="C3460" s="8">
        <v>20.584240000000001</v>
      </c>
      <c r="D3460" s="8">
        <v>49</v>
      </c>
      <c r="E3460" s="8">
        <v>0</v>
      </c>
      <c r="F3460" s="8">
        <v>0</v>
      </c>
      <c r="G3460" s="8">
        <v>21</v>
      </c>
      <c r="H3460" s="8" t="s">
        <v>7241</v>
      </c>
      <c r="I3460" s="8">
        <v>533.0625</v>
      </c>
      <c r="J3460" s="3">
        <f t="shared" si="54"/>
        <v>43747.711572824068</v>
      </c>
    </row>
    <row r="3461" spans="1:10" x14ac:dyDescent="0.25">
      <c r="A3461" s="5" t="s">
        <v>7242</v>
      </c>
      <c r="B3461" s="6">
        <v>393.75</v>
      </c>
      <c r="C3461" s="6">
        <v>20.584240000000001</v>
      </c>
      <c r="D3461" s="6">
        <v>53</v>
      </c>
      <c r="E3461" s="6">
        <v>0</v>
      </c>
      <c r="F3461" s="6">
        <v>0</v>
      </c>
      <c r="G3461" s="6">
        <v>27</v>
      </c>
      <c r="H3461" s="6" t="s">
        <v>7243</v>
      </c>
      <c r="I3461" s="6">
        <v>526.6875</v>
      </c>
      <c r="J3461" s="2">
        <f t="shared" si="54"/>
        <v>43747.711656377309</v>
      </c>
    </row>
    <row r="3462" spans="1:10" x14ac:dyDescent="0.25">
      <c r="A3462" s="7" t="s">
        <v>7244</v>
      </c>
      <c r="B3462" s="8">
        <v>393.75</v>
      </c>
      <c r="C3462" s="8">
        <v>20.584240000000001</v>
      </c>
      <c r="D3462" s="8">
        <v>51</v>
      </c>
      <c r="E3462" s="8">
        <v>0</v>
      </c>
      <c r="F3462" s="8">
        <v>0</v>
      </c>
      <c r="G3462" s="8">
        <v>22</v>
      </c>
      <c r="H3462" s="8" t="s">
        <v>7245</v>
      </c>
      <c r="I3462" s="8">
        <v>526.6875</v>
      </c>
      <c r="J3462" s="3">
        <f t="shared" si="54"/>
        <v>43747.711739826387</v>
      </c>
    </row>
    <row r="3463" spans="1:10" x14ac:dyDescent="0.25">
      <c r="A3463" s="5" t="s">
        <v>7246</v>
      </c>
      <c r="B3463" s="6">
        <v>393.75</v>
      </c>
      <c r="C3463" s="6">
        <v>20.584240000000001</v>
      </c>
      <c r="D3463" s="6">
        <v>51</v>
      </c>
      <c r="E3463" s="6">
        <v>0</v>
      </c>
      <c r="F3463" s="6">
        <v>0</v>
      </c>
      <c r="G3463" s="6">
        <v>25</v>
      </c>
      <c r="H3463" s="6" t="s">
        <v>7247</v>
      </c>
      <c r="I3463" s="6">
        <v>526.6875</v>
      </c>
      <c r="J3463" s="2">
        <f t="shared" si="54"/>
        <v>43747.711811226851</v>
      </c>
    </row>
    <row r="3464" spans="1:10" x14ac:dyDescent="0.25">
      <c r="A3464" s="7" t="s">
        <v>7248</v>
      </c>
      <c r="B3464" s="8">
        <v>393.75</v>
      </c>
      <c r="C3464" s="8">
        <v>20.584240000000001</v>
      </c>
      <c r="D3464" s="8">
        <v>50</v>
      </c>
      <c r="E3464" s="8">
        <v>0</v>
      </c>
      <c r="F3464" s="8">
        <v>0</v>
      </c>
      <c r="G3464" s="8">
        <v>26</v>
      </c>
      <c r="H3464" s="8" t="s">
        <v>7249</v>
      </c>
      <c r="I3464" s="8">
        <v>526.6875</v>
      </c>
      <c r="J3464" s="3">
        <f t="shared" si="54"/>
        <v>43747.711894560183</v>
      </c>
    </row>
    <row r="3465" spans="1:10" x14ac:dyDescent="0.25">
      <c r="A3465" s="5" t="s">
        <v>7250</v>
      </c>
      <c r="B3465" s="6">
        <v>393.75</v>
      </c>
      <c r="C3465" s="6">
        <v>20.584240000000001</v>
      </c>
      <c r="D3465" s="6">
        <v>50</v>
      </c>
      <c r="E3465" s="6">
        <v>0</v>
      </c>
      <c r="F3465" s="6">
        <v>0</v>
      </c>
      <c r="G3465" s="6">
        <v>19</v>
      </c>
      <c r="H3465" s="6" t="s">
        <v>7251</v>
      </c>
      <c r="I3465" s="6">
        <v>526.6875</v>
      </c>
      <c r="J3465" s="2">
        <f t="shared" si="54"/>
        <v>43747.711966527779</v>
      </c>
    </row>
    <row r="3466" spans="1:10" x14ac:dyDescent="0.25">
      <c r="A3466" s="7" t="s">
        <v>7252</v>
      </c>
      <c r="B3466" s="8">
        <v>393.75</v>
      </c>
      <c r="C3466" s="8">
        <v>20.584240000000001</v>
      </c>
      <c r="D3466" s="8">
        <v>50</v>
      </c>
      <c r="E3466" s="8">
        <v>0</v>
      </c>
      <c r="F3466" s="8">
        <v>0</v>
      </c>
      <c r="G3466" s="8">
        <v>22</v>
      </c>
      <c r="H3466" s="8" t="s">
        <v>7253</v>
      </c>
      <c r="I3466" s="8">
        <v>526.6875</v>
      </c>
      <c r="J3466" s="3">
        <f t="shared" si="54"/>
        <v>43747.712037743055</v>
      </c>
    </row>
    <row r="3467" spans="1:10" x14ac:dyDescent="0.25">
      <c r="A3467" s="5" t="s">
        <v>7254</v>
      </c>
      <c r="B3467" s="6">
        <v>393.75</v>
      </c>
      <c r="C3467" s="6">
        <v>20.584240000000001</v>
      </c>
      <c r="D3467" s="6">
        <v>50</v>
      </c>
      <c r="E3467" s="6">
        <v>0</v>
      </c>
      <c r="F3467" s="6">
        <v>0</v>
      </c>
      <c r="G3467" s="6">
        <v>24</v>
      </c>
      <c r="H3467" s="6" t="s">
        <v>7255</v>
      </c>
      <c r="I3467" s="6">
        <v>526.6875</v>
      </c>
      <c r="J3467" s="2">
        <f t="shared" si="54"/>
        <v>43747.712109814813</v>
      </c>
    </row>
    <row r="3468" spans="1:10" x14ac:dyDescent="0.25">
      <c r="A3468" s="7" t="s">
        <v>7256</v>
      </c>
      <c r="B3468" s="8">
        <v>393.75</v>
      </c>
      <c r="C3468" s="8">
        <v>20.584240000000001</v>
      </c>
      <c r="D3468" s="8">
        <v>50</v>
      </c>
      <c r="E3468" s="8">
        <v>0</v>
      </c>
      <c r="F3468" s="8">
        <v>0</v>
      </c>
      <c r="G3468" s="8">
        <v>18</v>
      </c>
      <c r="H3468" s="8" t="s">
        <v>7257</v>
      </c>
      <c r="I3468" s="8">
        <v>526.6875</v>
      </c>
      <c r="J3468" s="3">
        <f t="shared" si="54"/>
        <v>43747.712180821756</v>
      </c>
    </row>
    <row r="3469" spans="1:10" x14ac:dyDescent="0.25">
      <c r="A3469" s="5" t="s">
        <v>7258</v>
      </c>
      <c r="B3469" s="6">
        <v>393.75</v>
      </c>
      <c r="C3469" s="6">
        <v>20.584240000000001</v>
      </c>
      <c r="D3469" s="6">
        <v>49</v>
      </c>
      <c r="E3469" s="6">
        <v>0</v>
      </c>
      <c r="F3469" s="6">
        <v>0</v>
      </c>
      <c r="G3469" s="6">
        <v>24</v>
      </c>
      <c r="H3469" s="6" t="s">
        <v>7259</v>
      </c>
      <c r="I3469" s="6">
        <v>526.6875</v>
      </c>
      <c r="J3469" s="2">
        <f t="shared" si="54"/>
        <v>43747.7122646875</v>
      </c>
    </row>
    <row r="3470" spans="1:10" x14ac:dyDescent="0.25">
      <c r="A3470" s="7" t="s">
        <v>7260</v>
      </c>
      <c r="B3470" s="8">
        <v>393.75</v>
      </c>
      <c r="C3470" s="8">
        <v>20.531590000000001</v>
      </c>
      <c r="D3470" s="8">
        <v>50</v>
      </c>
      <c r="E3470" s="8">
        <v>0</v>
      </c>
      <c r="F3470" s="8">
        <v>0</v>
      </c>
      <c r="G3470" s="8">
        <v>21</v>
      </c>
      <c r="H3470" s="8" t="s">
        <v>7261</v>
      </c>
      <c r="I3470" s="8">
        <v>526.6875</v>
      </c>
      <c r="J3470" s="3">
        <f t="shared" si="54"/>
        <v>43747.71233613426</v>
      </c>
    </row>
    <row r="3471" spans="1:10" x14ac:dyDescent="0.25">
      <c r="A3471" s="5" t="s">
        <v>7262</v>
      </c>
      <c r="B3471" s="6">
        <v>393.75</v>
      </c>
      <c r="C3471" s="6">
        <v>20.531590000000001</v>
      </c>
      <c r="D3471" s="6">
        <v>50</v>
      </c>
      <c r="E3471" s="6">
        <v>0</v>
      </c>
      <c r="F3471" s="6">
        <v>0</v>
      </c>
      <c r="G3471" s="6">
        <v>32</v>
      </c>
      <c r="H3471" s="6" t="s">
        <v>7263</v>
      </c>
      <c r="I3471" s="6">
        <v>526.6875</v>
      </c>
      <c r="J3471" s="2">
        <f t="shared" si="54"/>
        <v>43747.712419351847</v>
      </c>
    </row>
    <row r="3472" spans="1:10" x14ac:dyDescent="0.25">
      <c r="A3472" s="7" t="s">
        <v>7264</v>
      </c>
      <c r="B3472" s="8">
        <v>393.75</v>
      </c>
      <c r="C3472" s="8">
        <v>20.531590000000001</v>
      </c>
      <c r="D3472" s="8">
        <v>50</v>
      </c>
      <c r="E3472" s="8">
        <v>0</v>
      </c>
      <c r="F3472" s="8">
        <v>0</v>
      </c>
      <c r="G3472" s="8">
        <v>17</v>
      </c>
      <c r="H3472" s="8" t="s">
        <v>7265</v>
      </c>
      <c r="I3472" s="8">
        <v>526.6875</v>
      </c>
      <c r="J3472" s="3">
        <f t="shared" si="54"/>
        <v>43747.712504143514</v>
      </c>
    </row>
    <row r="3473" spans="1:10" x14ac:dyDescent="0.25">
      <c r="A3473" s="5" t="s">
        <v>7266</v>
      </c>
      <c r="B3473" s="6">
        <v>393.75</v>
      </c>
      <c r="C3473" s="6">
        <v>20.584240000000001</v>
      </c>
      <c r="D3473" s="6">
        <v>51</v>
      </c>
      <c r="E3473" s="6">
        <v>0</v>
      </c>
      <c r="F3473" s="6">
        <v>0</v>
      </c>
      <c r="G3473" s="6">
        <v>17</v>
      </c>
      <c r="H3473" s="6" t="s">
        <v>7267</v>
      </c>
      <c r="I3473" s="6">
        <v>526.6875</v>
      </c>
      <c r="J3473" s="2">
        <f t="shared" si="54"/>
        <v>43747.712586701389</v>
      </c>
    </row>
    <row r="3474" spans="1:10" x14ac:dyDescent="0.25">
      <c r="A3474" s="7" t="s">
        <v>7268</v>
      </c>
      <c r="B3474" s="8">
        <v>393.75</v>
      </c>
      <c r="C3474" s="8">
        <v>20.584240000000001</v>
      </c>
      <c r="D3474" s="8">
        <v>52</v>
      </c>
      <c r="E3474" s="8">
        <v>0</v>
      </c>
      <c r="F3474" s="8">
        <v>0</v>
      </c>
      <c r="G3474" s="8">
        <v>25</v>
      </c>
      <c r="H3474" s="8" t="s">
        <v>7269</v>
      </c>
      <c r="I3474" s="8">
        <v>526.6875</v>
      </c>
      <c r="J3474" s="3">
        <f t="shared" si="54"/>
        <v>43747.712658101846</v>
      </c>
    </row>
    <row r="3475" spans="1:10" x14ac:dyDescent="0.25">
      <c r="A3475" s="5" t="s">
        <v>7270</v>
      </c>
      <c r="B3475" s="6">
        <v>393.75</v>
      </c>
      <c r="C3475" s="6">
        <v>20.584240000000001</v>
      </c>
      <c r="D3475" s="6">
        <v>52</v>
      </c>
      <c r="E3475" s="6">
        <v>0</v>
      </c>
      <c r="F3475" s="6">
        <v>0</v>
      </c>
      <c r="G3475" s="6">
        <v>25</v>
      </c>
      <c r="H3475" s="6" t="s">
        <v>7271</v>
      </c>
      <c r="I3475" s="6">
        <v>526.6875</v>
      </c>
      <c r="J3475" s="2">
        <f t="shared" si="54"/>
        <v>43747.712741446761</v>
      </c>
    </row>
    <row r="3476" spans="1:10" x14ac:dyDescent="0.25">
      <c r="A3476" s="7" t="s">
        <v>7272</v>
      </c>
      <c r="B3476" s="8">
        <v>393.75</v>
      </c>
      <c r="C3476" s="8">
        <v>20.531590000000001</v>
      </c>
      <c r="D3476" s="8">
        <v>53</v>
      </c>
      <c r="E3476" s="8">
        <v>0</v>
      </c>
      <c r="F3476" s="8">
        <v>0</v>
      </c>
      <c r="G3476" s="8">
        <v>19</v>
      </c>
      <c r="H3476" s="8" t="s">
        <v>7273</v>
      </c>
      <c r="I3476" s="8">
        <v>526.6875</v>
      </c>
      <c r="J3476" s="3">
        <f t="shared" si="54"/>
        <v>43747.712825138886</v>
      </c>
    </row>
    <row r="3477" spans="1:10" x14ac:dyDescent="0.25">
      <c r="A3477" s="5" t="s">
        <v>7274</v>
      </c>
      <c r="B3477" s="6">
        <v>393.75</v>
      </c>
      <c r="C3477" s="6">
        <v>20.584240000000001</v>
      </c>
      <c r="D3477" s="6">
        <v>53</v>
      </c>
      <c r="E3477" s="6">
        <v>0</v>
      </c>
      <c r="F3477" s="6">
        <v>0</v>
      </c>
      <c r="G3477" s="6">
        <v>20</v>
      </c>
      <c r="H3477" s="6" t="s">
        <v>7275</v>
      </c>
      <c r="I3477" s="6">
        <v>526.6875</v>
      </c>
      <c r="J3477" s="2">
        <f t="shared" si="54"/>
        <v>43747.712908229165</v>
      </c>
    </row>
    <row r="3478" spans="1:10" x14ac:dyDescent="0.25">
      <c r="A3478" s="7" t="s">
        <v>7276</v>
      </c>
      <c r="B3478" s="8">
        <v>393.75</v>
      </c>
      <c r="C3478" s="8">
        <v>20.584240000000001</v>
      </c>
      <c r="D3478" s="8">
        <v>53</v>
      </c>
      <c r="E3478" s="8">
        <v>0</v>
      </c>
      <c r="F3478" s="8">
        <v>0</v>
      </c>
      <c r="G3478" s="8">
        <v>17</v>
      </c>
      <c r="H3478" s="8" t="s">
        <v>7277</v>
      </c>
      <c r="I3478" s="8">
        <v>526.6875</v>
      </c>
      <c r="J3478" s="3">
        <f t="shared" si="54"/>
        <v>43747.712979895827</v>
      </c>
    </row>
    <row r="3479" spans="1:10" x14ac:dyDescent="0.25">
      <c r="A3479" s="5" t="s">
        <v>7278</v>
      </c>
      <c r="B3479" s="6">
        <v>393.75</v>
      </c>
      <c r="C3479" s="6">
        <v>20.584240000000001</v>
      </c>
      <c r="D3479" s="6">
        <v>53</v>
      </c>
      <c r="E3479" s="6">
        <v>0</v>
      </c>
      <c r="F3479" s="6">
        <v>0</v>
      </c>
      <c r="G3479" s="6">
        <v>15</v>
      </c>
      <c r="H3479" s="6" t="s">
        <v>7279</v>
      </c>
      <c r="I3479" s="6">
        <v>526.6875</v>
      </c>
      <c r="J3479" s="2">
        <f t="shared" si="54"/>
        <v>43747.713063773146</v>
      </c>
    </row>
    <row r="3480" spans="1:10" x14ac:dyDescent="0.25">
      <c r="A3480" s="7" t="s">
        <v>7280</v>
      </c>
      <c r="B3480" s="8">
        <v>412.5</v>
      </c>
      <c r="C3480" s="8">
        <v>20.531590000000001</v>
      </c>
      <c r="D3480" s="8">
        <v>53</v>
      </c>
      <c r="E3480" s="8">
        <v>0</v>
      </c>
      <c r="F3480" s="8">
        <v>0</v>
      </c>
      <c r="G3480" s="8">
        <v>15</v>
      </c>
      <c r="H3480" s="8" t="s">
        <v>7281</v>
      </c>
      <c r="I3480" s="8">
        <v>532.3125</v>
      </c>
      <c r="J3480" s="3">
        <f t="shared" si="54"/>
        <v>43747.713147118055</v>
      </c>
    </row>
    <row r="3481" spans="1:10" x14ac:dyDescent="0.25">
      <c r="A3481" s="5" t="s">
        <v>7282</v>
      </c>
      <c r="B3481" s="6">
        <v>393.75</v>
      </c>
      <c r="C3481" s="6">
        <v>20.584240000000001</v>
      </c>
      <c r="D3481" s="6">
        <v>53</v>
      </c>
      <c r="E3481" s="6">
        <v>0</v>
      </c>
      <c r="F3481" s="6">
        <v>0</v>
      </c>
      <c r="G3481" s="6">
        <v>20</v>
      </c>
      <c r="H3481" s="6" t="s">
        <v>7283</v>
      </c>
      <c r="I3481" s="6">
        <v>526.6875</v>
      </c>
      <c r="J3481" s="2">
        <f t="shared" si="54"/>
        <v>43747.713230347224</v>
      </c>
    </row>
    <row r="3482" spans="1:10" x14ac:dyDescent="0.25">
      <c r="A3482" s="7" t="s">
        <v>7284</v>
      </c>
      <c r="B3482" s="8">
        <v>393.75</v>
      </c>
      <c r="C3482" s="8">
        <v>20.584240000000001</v>
      </c>
      <c r="D3482" s="8">
        <v>51</v>
      </c>
      <c r="E3482" s="8">
        <v>0</v>
      </c>
      <c r="F3482" s="8">
        <v>0</v>
      </c>
      <c r="G3482" s="8">
        <v>23</v>
      </c>
      <c r="H3482" s="8" t="s">
        <v>7285</v>
      </c>
      <c r="I3482" s="8">
        <v>526.6875</v>
      </c>
      <c r="J3482" s="3">
        <f t="shared" si="54"/>
        <v>43747.713302094904</v>
      </c>
    </row>
    <row r="3483" spans="1:10" x14ac:dyDescent="0.25">
      <c r="A3483" s="5" t="s">
        <v>7286</v>
      </c>
      <c r="B3483" s="6">
        <v>415.625</v>
      </c>
      <c r="C3483" s="6">
        <v>20.584240000000001</v>
      </c>
      <c r="D3483" s="6">
        <v>51</v>
      </c>
      <c r="E3483" s="6">
        <v>0</v>
      </c>
      <c r="F3483" s="6">
        <v>0</v>
      </c>
      <c r="G3483" s="6">
        <v>25</v>
      </c>
      <c r="H3483" s="6" t="s">
        <v>7287</v>
      </c>
      <c r="I3483" s="6">
        <v>533.0625</v>
      </c>
      <c r="J3483" s="2">
        <f t="shared" si="54"/>
        <v>43747.713385567127</v>
      </c>
    </row>
    <row r="3484" spans="1:10" x14ac:dyDescent="0.25">
      <c r="A3484" s="7" t="s">
        <v>7288</v>
      </c>
      <c r="B3484" s="8">
        <v>393.75</v>
      </c>
      <c r="C3484" s="8">
        <v>20.584240000000001</v>
      </c>
      <c r="D3484" s="8">
        <v>52</v>
      </c>
      <c r="E3484" s="8">
        <v>0</v>
      </c>
      <c r="F3484" s="8">
        <v>0</v>
      </c>
      <c r="G3484" s="8">
        <v>25</v>
      </c>
      <c r="H3484" s="8" t="s">
        <v>7289</v>
      </c>
      <c r="I3484" s="8">
        <v>526.6875</v>
      </c>
      <c r="J3484" s="3">
        <f t="shared" si="54"/>
        <v>43747.713468993054</v>
      </c>
    </row>
    <row r="3485" spans="1:10" x14ac:dyDescent="0.25">
      <c r="A3485" s="5" t="s">
        <v>7290</v>
      </c>
      <c r="B3485" s="6">
        <v>393.75</v>
      </c>
      <c r="C3485" s="6">
        <v>20.531590000000001</v>
      </c>
      <c r="D3485" s="6">
        <v>52</v>
      </c>
      <c r="E3485" s="6">
        <v>0</v>
      </c>
      <c r="F3485" s="6">
        <v>0</v>
      </c>
      <c r="G3485" s="6">
        <v>27</v>
      </c>
      <c r="H3485" s="6" t="s">
        <v>7291</v>
      </c>
      <c r="I3485" s="6">
        <v>526.6875</v>
      </c>
      <c r="J3485" s="2">
        <f t="shared" si="54"/>
        <v>43747.713552557871</v>
      </c>
    </row>
    <row r="3486" spans="1:10" x14ac:dyDescent="0.25">
      <c r="A3486" s="7" t="s">
        <v>7292</v>
      </c>
      <c r="B3486" s="8">
        <v>393.75</v>
      </c>
      <c r="C3486" s="8">
        <v>20.584240000000001</v>
      </c>
      <c r="D3486" s="8">
        <v>52</v>
      </c>
      <c r="E3486" s="8">
        <v>0</v>
      </c>
      <c r="F3486" s="8">
        <v>0</v>
      </c>
      <c r="G3486" s="8">
        <v>29</v>
      </c>
      <c r="H3486" s="8" t="s">
        <v>7293</v>
      </c>
      <c r="I3486" s="8">
        <v>526.6875</v>
      </c>
      <c r="J3486" s="3">
        <f t="shared" si="54"/>
        <v>43747.713635891203</v>
      </c>
    </row>
    <row r="3487" spans="1:10" x14ac:dyDescent="0.25">
      <c r="A3487" s="5" t="s">
        <v>7294</v>
      </c>
      <c r="B3487" s="6">
        <v>393.75</v>
      </c>
      <c r="C3487" s="6">
        <v>20.584240000000001</v>
      </c>
      <c r="D3487" s="6">
        <v>52</v>
      </c>
      <c r="E3487" s="6">
        <v>0</v>
      </c>
      <c r="F3487" s="6">
        <v>0</v>
      </c>
      <c r="G3487" s="6">
        <v>21</v>
      </c>
      <c r="H3487" s="6" t="s">
        <v>7295</v>
      </c>
      <c r="I3487" s="6">
        <v>526.5</v>
      </c>
      <c r="J3487" s="2">
        <f t="shared" si="54"/>
        <v>43747.713719224535</v>
      </c>
    </row>
    <row r="3488" spans="1:10" x14ac:dyDescent="0.25">
      <c r="A3488" s="7" t="s">
        <v>7296</v>
      </c>
      <c r="B3488" s="8">
        <v>393.75</v>
      </c>
      <c r="C3488" s="8">
        <v>20.584240000000001</v>
      </c>
      <c r="D3488" s="8">
        <v>52</v>
      </c>
      <c r="E3488" s="8">
        <v>0</v>
      </c>
      <c r="F3488" s="8">
        <v>0</v>
      </c>
      <c r="G3488" s="8">
        <v>23</v>
      </c>
      <c r="H3488" s="8" t="s">
        <v>7297</v>
      </c>
      <c r="I3488" s="8">
        <v>526.6875</v>
      </c>
      <c r="J3488" s="3">
        <f t="shared" si="54"/>
        <v>43747.713802997685</v>
      </c>
    </row>
    <row r="3489" spans="1:10" x14ac:dyDescent="0.25">
      <c r="A3489" s="5" t="s">
        <v>7298</v>
      </c>
      <c r="B3489" s="6">
        <v>393.75</v>
      </c>
      <c r="C3489" s="6">
        <v>20.584240000000001</v>
      </c>
      <c r="D3489" s="6">
        <v>51</v>
      </c>
      <c r="E3489" s="6">
        <v>0</v>
      </c>
      <c r="F3489" s="6">
        <v>0</v>
      </c>
      <c r="G3489" s="6">
        <v>26</v>
      </c>
      <c r="H3489" s="6" t="s">
        <v>7299</v>
      </c>
      <c r="I3489" s="6">
        <v>526.6875</v>
      </c>
      <c r="J3489" s="2">
        <f t="shared" si="54"/>
        <v>43747.713886006946</v>
      </c>
    </row>
    <row r="3490" spans="1:10" x14ac:dyDescent="0.25">
      <c r="A3490" s="7" t="s">
        <v>7300</v>
      </c>
      <c r="B3490" s="8">
        <v>393.75</v>
      </c>
      <c r="C3490" s="8">
        <v>20.584240000000001</v>
      </c>
      <c r="D3490" s="8">
        <v>50</v>
      </c>
      <c r="E3490" s="8">
        <v>0</v>
      </c>
      <c r="F3490" s="8">
        <v>0</v>
      </c>
      <c r="G3490" s="8">
        <v>27</v>
      </c>
      <c r="H3490" s="8" t="s">
        <v>7301</v>
      </c>
      <c r="I3490" s="8">
        <v>526.6875</v>
      </c>
      <c r="J3490" s="3">
        <f t="shared" si="54"/>
        <v>43747.713957893517</v>
      </c>
    </row>
    <row r="3491" spans="1:10" x14ac:dyDescent="0.25">
      <c r="A3491" s="5" t="s">
        <v>7302</v>
      </c>
      <c r="B3491" s="6">
        <v>393.75</v>
      </c>
      <c r="C3491" s="6">
        <v>20.584240000000001</v>
      </c>
      <c r="D3491" s="6">
        <v>51</v>
      </c>
      <c r="E3491" s="6">
        <v>0</v>
      </c>
      <c r="F3491" s="6">
        <v>0</v>
      </c>
      <c r="G3491" s="6">
        <v>26</v>
      </c>
      <c r="H3491" s="6" t="s">
        <v>7303</v>
      </c>
      <c r="I3491" s="6">
        <v>526.6875</v>
      </c>
      <c r="J3491" s="2">
        <f t="shared" si="54"/>
        <v>43747.714055208329</v>
      </c>
    </row>
    <row r="3492" spans="1:10" x14ac:dyDescent="0.25">
      <c r="A3492" s="7" t="s">
        <v>7304</v>
      </c>
      <c r="B3492" s="8">
        <v>396.875</v>
      </c>
      <c r="C3492" s="8">
        <v>20.584240000000001</v>
      </c>
      <c r="D3492" s="8">
        <v>51</v>
      </c>
      <c r="E3492" s="8">
        <v>0</v>
      </c>
      <c r="F3492" s="8">
        <v>0</v>
      </c>
      <c r="G3492" s="8">
        <v>25</v>
      </c>
      <c r="H3492" s="8" t="s">
        <v>7305</v>
      </c>
      <c r="I3492" s="8">
        <v>527.4375</v>
      </c>
      <c r="J3492" s="3">
        <f t="shared" si="54"/>
        <v>43747.714136817129</v>
      </c>
    </row>
    <row r="3493" spans="1:10" x14ac:dyDescent="0.25">
      <c r="A3493" s="5" t="s">
        <v>7306</v>
      </c>
      <c r="B3493" s="6">
        <v>396.875</v>
      </c>
      <c r="C3493" s="6">
        <v>20.584240000000001</v>
      </c>
      <c r="D3493" s="6">
        <v>48</v>
      </c>
      <c r="E3493" s="6">
        <v>0</v>
      </c>
      <c r="F3493" s="6">
        <v>0</v>
      </c>
      <c r="G3493" s="6">
        <v>22</v>
      </c>
      <c r="H3493" s="6" t="s">
        <v>7307</v>
      </c>
      <c r="I3493" s="6">
        <v>527.4375</v>
      </c>
      <c r="J3493" s="2">
        <f t="shared" si="54"/>
        <v>43747.7142202662</v>
      </c>
    </row>
    <row r="3494" spans="1:10" x14ac:dyDescent="0.25">
      <c r="A3494" s="7" t="s">
        <v>7308</v>
      </c>
      <c r="B3494" s="8">
        <v>396.875</v>
      </c>
      <c r="C3494" s="8">
        <v>20.584240000000001</v>
      </c>
      <c r="D3494" s="8">
        <v>48</v>
      </c>
      <c r="E3494" s="8">
        <v>0</v>
      </c>
      <c r="F3494" s="8">
        <v>0</v>
      </c>
      <c r="G3494" s="8">
        <v>20</v>
      </c>
      <c r="H3494" s="8" t="s">
        <v>7309</v>
      </c>
      <c r="I3494" s="8">
        <v>527.4375</v>
      </c>
      <c r="J3494" s="3">
        <f t="shared" si="54"/>
        <v>43747.714291793978</v>
      </c>
    </row>
    <row r="3495" spans="1:10" x14ac:dyDescent="0.25">
      <c r="A3495" s="5" t="s">
        <v>7310</v>
      </c>
      <c r="B3495" s="6">
        <v>418.75</v>
      </c>
      <c r="C3495" s="6">
        <v>20.531590000000001</v>
      </c>
      <c r="D3495" s="6">
        <v>48</v>
      </c>
      <c r="E3495" s="6">
        <v>0</v>
      </c>
      <c r="F3495" s="6">
        <v>0</v>
      </c>
      <c r="G3495" s="6">
        <v>32</v>
      </c>
      <c r="H3495" s="6" t="s">
        <v>7311</v>
      </c>
      <c r="I3495" s="6">
        <v>534</v>
      </c>
      <c r="J3495" s="2">
        <f t="shared" si="54"/>
        <v>43747.714374907409</v>
      </c>
    </row>
    <row r="3496" spans="1:10" x14ac:dyDescent="0.25">
      <c r="A3496" s="7" t="s">
        <v>7312</v>
      </c>
      <c r="B3496" s="8">
        <v>396.875</v>
      </c>
      <c r="C3496" s="8">
        <v>20.584240000000001</v>
      </c>
      <c r="D3496" s="8">
        <v>48</v>
      </c>
      <c r="E3496" s="8">
        <v>0</v>
      </c>
      <c r="F3496" s="8">
        <v>0</v>
      </c>
      <c r="G3496" s="8">
        <v>25</v>
      </c>
      <c r="H3496" s="8" t="s">
        <v>7313</v>
      </c>
      <c r="I3496" s="8">
        <v>527.4375</v>
      </c>
      <c r="J3496" s="3">
        <f t="shared" si="54"/>
        <v>43747.714446678241</v>
      </c>
    </row>
    <row r="3497" spans="1:10" x14ac:dyDescent="0.25">
      <c r="A3497" s="5" t="s">
        <v>7314</v>
      </c>
      <c r="B3497" s="6">
        <v>396.875</v>
      </c>
      <c r="C3497" s="6">
        <v>20.584240000000001</v>
      </c>
      <c r="D3497" s="6">
        <v>49</v>
      </c>
      <c r="E3497" s="6">
        <v>0</v>
      </c>
      <c r="F3497" s="6">
        <v>0</v>
      </c>
      <c r="G3497" s="6">
        <v>21</v>
      </c>
      <c r="H3497" s="6" t="s">
        <v>7315</v>
      </c>
      <c r="I3497" s="6">
        <v>527.4375</v>
      </c>
      <c r="J3497" s="2">
        <f t="shared" si="54"/>
        <v>43747.714530347221</v>
      </c>
    </row>
    <row r="3498" spans="1:10" x14ac:dyDescent="0.25">
      <c r="A3498" s="7" t="s">
        <v>7316</v>
      </c>
      <c r="B3498" s="8">
        <v>415.625</v>
      </c>
      <c r="C3498" s="8">
        <v>20.584240000000001</v>
      </c>
      <c r="D3498" s="8">
        <v>48</v>
      </c>
      <c r="E3498" s="8">
        <v>0</v>
      </c>
      <c r="F3498" s="8">
        <v>0</v>
      </c>
      <c r="G3498" s="8">
        <v>25</v>
      </c>
      <c r="H3498" s="8" t="s">
        <v>7317</v>
      </c>
      <c r="I3498" s="8">
        <v>533.0625</v>
      </c>
      <c r="J3498" s="3">
        <f t="shared" si="54"/>
        <v>43747.714601863423</v>
      </c>
    </row>
    <row r="3499" spans="1:10" x14ac:dyDescent="0.25">
      <c r="A3499" s="5" t="s">
        <v>7318</v>
      </c>
      <c r="B3499" s="6">
        <v>396.875</v>
      </c>
      <c r="C3499" s="6">
        <v>20.584240000000001</v>
      </c>
      <c r="D3499" s="6">
        <v>50</v>
      </c>
      <c r="E3499" s="6">
        <v>0</v>
      </c>
      <c r="F3499" s="6">
        <v>0</v>
      </c>
      <c r="G3499" s="6">
        <v>26</v>
      </c>
      <c r="H3499" s="6" t="s">
        <v>7319</v>
      </c>
      <c r="I3499" s="6">
        <v>527.4375</v>
      </c>
      <c r="J3499" s="2">
        <f t="shared" si="54"/>
        <v>43747.714685335646</v>
      </c>
    </row>
    <row r="3500" spans="1:10" x14ac:dyDescent="0.25">
      <c r="A3500" s="7" t="s">
        <v>7320</v>
      </c>
      <c r="B3500" s="8">
        <v>396.875</v>
      </c>
      <c r="C3500" s="8">
        <v>20.584240000000001</v>
      </c>
      <c r="D3500" s="8">
        <v>53</v>
      </c>
      <c r="E3500" s="8">
        <v>0</v>
      </c>
      <c r="F3500" s="8">
        <v>0</v>
      </c>
      <c r="G3500" s="8">
        <v>19</v>
      </c>
      <c r="H3500" s="8" t="s">
        <v>7321</v>
      </c>
      <c r="I3500" s="8">
        <v>527.4375</v>
      </c>
      <c r="J3500" s="3">
        <f t="shared" si="54"/>
        <v>43747.714768761572</v>
      </c>
    </row>
    <row r="3501" spans="1:10" x14ac:dyDescent="0.25">
      <c r="A3501" s="5" t="s">
        <v>7322</v>
      </c>
      <c r="B3501" s="6">
        <v>393.75</v>
      </c>
      <c r="C3501" s="6">
        <v>20.584240000000001</v>
      </c>
      <c r="D3501" s="6">
        <v>53</v>
      </c>
      <c r="E3501" s="6">
        <v>0</v>
      </c>
      <c r="F3501" s="6">
        <v>0</v>
      </c>
      <c r="G3501" s="6">
        <v>27</v>
      </c>
      <c r="H3501" s="6" t="s">
        <v>7323</v>
      </c>
      <c r="I3501" s="6">
        <v>526.6875</v>
      </c>
      <c r="J3501" s="2">
        <f t="shared" si="54"/>
        <v>43747.714852349534</v>
      </c>
    </row>
    <row r="3502" spans="1:10" x14ac:dyDescent="0.25">
      <c r="A3502" s="7" t="s">
        <v>7324</v>
      </c>
      <c r="B3502" s="8">
        <v>393.75</v>
      </c>
      <c r="C3502" s="8">
        <v>20.531590000000001</v>
      </c>
      <c r="D3502" s="8">
        <v>52</v>
      </c>
      <c r="E3502" s="8">
        <v>0</v>
      </c>
      <c r="F3502" s="8">
        <v>0</v>
      </c>
      <c r="G3502" s="8">
        <v>34</v>
      </c>
      <c r="H3502" s="8" t="s">
        <v>7325</v>
      </c>
      <c r="I3502" s="8">
        <v>526.6875</v>
      </c>
      <c r="J3502" s="3">
        <f t="shared" si="54"/>
        <v>43747.714935671298</v>
      </c>
    </row>
    <row r="3503" spans="1:10" x14ac:dyDescent="0.25">
      <c r="A3503" s="5" t="s">
        <v>7326</v>
      </c>
      <c r="B3503" s="6">
        <v>396.875</v>
      </c>
      <c r="C3503" s="6">
        <v>20.531590000000001</v>
      </c>
      <c r="D3503" s="6">
        <v>51</v>
      </c>
      <c r="E3503" s="6">
        <v>0</v>
      </c>
      <c r="F3503" s="6">
        <v>0</v>
      </c>
      <c r="G3503" s="6">
        <v>23</v>
      </c>
      <c r="H3503" s="6" t="s">
        <v>7327</v>
      </c>
      <c r="I3503" s="6">
        <v>527.4375</v>
      </c>
      <c r="J3503" s="2">
        <f t="shared" si="54"/>
        <v>43747.71501934027</v>
      </c>
    </row>
    <row r="3504" spans="1:10" x14ac:dyDescent="0.25">
      <c r="A3504" s="7" t="s">
        <v>7328</v>
      </c>
      <c r="B3504" s="8">
        <v>393.75</v>
      </c>
      <c r="C3504" s="8">
        <v>20.584240000000001</v>
      </c>
      <c r="D3504" s="8">
        <v>51</v>
      </c>
      <c r="E3504" s="8">
        <v>0</v>
      </c>
      <c r="F3504" s="8">
        <v>0</v>
      </c>
      <c r="G3504" s="8">
        <v>26</v>
      </c>
      <c r="H3504" s="8" t="s">
        <v>7329</v>
      </c>
      <c r="I3504" s="8">
        <v>526.6875</v>
      </c>
      <c r="J3504" s="3">
        <f t="shared" si="54"/>
        <v>43747.715102685186</v>
      </c>
    </row>
    <row r="3505" spans="1:10" x14ac:dyDescent="0.25">
      <c r="A3505" s="5" t="s">
        <v>7330</v>
      </c>
      <c r="B3505" s="6">
        <v>393.75</v>
      </c>
      <c r="C3505" s="6">
        <v>20.584240000000001</v>
      </c>
      <c r="D3505" s="6">
        <v>50</v>
      </c>
      <c r="E3505" s="6">
        <v>0</v>
      </c>
      <c r="F3505" s="6">
        <v>0</v>
      </c>
      <c r="G3505" s="6">
        <v>27</v>
      </c>
      <c r="H3505" s="6" t="s">
        <v>7331</v>
      </c>
      <c r="I3505" s="6">
        <v>526.5</v>
      </c>
      <c r="J3505" s="2">
        <f t="shared" si="54"/>
        <v>43747.715185902773</v>
      </c>
    </row>
    <row r="3506" spans="1:10" x14ac:dyDescent="0.25">
      <c r="A3506" s="7" t="s">
        <v>7332</v>
      </c>
      <c r="B3506" s="8">
        <v>396.875</v>
      </c>
      <c r="C3506" s="8">
        <v>20.584240000000001</v>
      </c>
      <c r="D3506" s="8">
        <v>51</v>
      </c>
      <c r="E3506" s="8">
        <v>0</v>
      </c>
      <c r="F3506" s="8">
        <v>0</v>
      </c>
      <c r="G3506" s="8">
        <v>26</v>
      </c>
      <c r="H3506" s="8" t="s">
        <v>7333</v>
      </c>
      <c r="I3506" s="8">
        <v>527.4375</v>
      </c>
      <c r="J3506" s="3">
        <f t="shared" si="54"/>
        <v>43747.715281817123</v>
      </c>
    </row>
    <row r="3507" spans="1:10" x14ac:dyDescent="0.25">
      <c r="A3507" s="5" t="s">
        <v>7334</v>
      </c>
      <c r="B3507" s="6">
        <v>415.625</v>
      </c>
      <c r="C3507" s="6">
        <v>20.531590000000001</v>
      </c>
      <c r="D3507" s="6">
        <v>52</v>
      </c>
      <c r="E3507" s="6">
        <v>0</v>
      </c>
      <c r="F3507" s="6">
        <v>0</v>
      </c>
      <c r="G3507" s="6">
        <v>24</v>
      </c>
      <c r="H3507" s="6" t="s">
        <v>7335</v>
      </c>
      <c r="I3507" s="6">
        <v>533.4375</v>
      </c>
      <c r="J3507" s="2">
        <f t="shared" si="54"/>
        <v>43747.715365081014</v>
      </c>
    </row>
    <row r="3508" spans="1:10" x14ac:dyDescent="0.25">
      <c r="A3508" s="7" t="s">
        <v>7336</v>
      </c>
      <c r="B3508" s="8">
        <v>396.875</v>
      </c>
      <c r="C3508" s="8">
        <v>20.584240000000001</v>
      </c>
      <c r="D3508" s="8">
        <v>52</v>
      </c>
      <c r="E3508" s="8">
        <v>0</v>
      </c>
      <c r="F3508" s="8">
        <v>0</v>
      </c>
      <c r="G3508" s="8">
        <v>24</v>
      </c>
      <c r="H3508" s="8" t="s">
        <v>7337</v>
      </c>
      <c r="I3508" s="8">
        <v>527.4375</v>
      </c>
      <c r="J3508" s="3">
        <f t="shared" si="54"/>
        <v>43747.71544850694</v>
      </c>
    </row>
    <row r="3509" spans="1:10" x14ac:dyDescent="0.25">
      <c r="A3509" s="5" t="s">
        <v>7338</v>
      </c>
      <c r="B3509" s="6">
        <v>396.875</v>
      </c>
      <c r="C3509" s="6">
        <v>20.584240000000001</v>
      </c>
      <c r="D3509" s="6">
        <v>52</v>
      </c>
      <c r="E3509" s="6">
        <v>0</v>
      </c>
      <c r="F3509" s="6">
        <v>0</v>
      </c>
      <c r="G3509" s="6">
        <v>19</v>
      </c>
      <c r="H3509" s="6" t="s">
        <v>7339</v>
      </c>
      <c r="I3509" s="6">
        <v>527.4375</v>
      </c>
      <c r="J3509" s="2">
        <f t="shared" si="54"/>
        <v>43747.715531956019</v>
      </c>
    </row>
    <row r="3510" spans="1:10" x14ac:dyDescent="0.25">
      <c r="A3510" s="7" t="s">
        <v>7340</v>
      </c>
      <c r="B3510" s="8">
        <v>400</v>
      </c>
      <c r="C3510" s="8">
        <v>20.584240000000001</v>
      </c>
      <c r="D3510" s="8">
        <v>51</v>
      </c>
      <c r="E3510" s="8">
        <v>0</v>
      </c>
      <c r="F3510" s="8">
        <v>0</v>
      </c>
      <c r="G3510" s="8">
        <v>26</v>
      </c>
      <c r="H3510" s="8" t="s">
        <v>7341</v>
      </c>
      <c r="I3510" s="8">
        <v>528.375</v>
      </c>
      <c r="J3510" s="3">
        <f t="shared" si="54"/>
        <v>43747.715615543981</v>
      </c>
    </row>
    <row r="3511" spans="1:10" x14ac:dyDescent="0.25">
      <c r="A3511" s="5" t="s">
        <v>7342</v>
      </c>
      <c r="B3511" s="6">
        <v>400</v>
      </c>
      <c r="C3511" s="6">
        <v>20.584240000000001</v>
      </c>
      <c r="D3511" s="6">
        <v>50</v>
      </c>
      <c r="E3511" s="6">
        <v>0</v>
      </c>
      <c r="F3511" s="6">
        <v>0</v>
      </c>
      <c r="G3511" s="6">
        <v>18</v>
      </c>
      <c r="H3511" s="6" t="s">
        <v>7343</v>
      </c>
      <c r="I3511" s="6">
        <v>528.1875</v>
      </c>
      <c r="J3511" s="2">
        <f t="shared" si="54"/>
        <v>43747.715698865737</v>
      </c>
    </row>
    <row r="3512" spans="1:10" x14ac:dyDescent="0.25">
      <c r="A3512" s="7" t="s">
        <v>7344</v>
      </c>
      <c r="B3512" s="8">
        <v>400</v>
      </c>
      <c r="C3512" s="8">
        <v>20.584240000000001</v>
      </c>
      <c r="D3512" s="8">
        <v>50</v>
      </c>
      <c r="E3512" s="8">
        <v>0</v>
      </c>
      <c r="F3512" s="8">
        <v>0</v>
      </c>
      <c r="G3512" s="8">
        <v>23</v>
      </c>
      <c r="H3512" s="8" t="s">
        <v>7345</v>
      </c>
      <c r="I3512" s="8">
        <v>528.375</v>
      </c>
      <c r="J3512" s="3">
        <f t="shared" si="54"/>
        <v>43747.715782199077</v>
      </c>
    </row>
    <row r="3513" spans="1:10" x14ac:dyDescent="0.25">
      <c r="A3513" s="5" t="s">
        <v>7346</v>
      </c>
      <c r="B3513" s="6">
        <v>400</v>
      </c>
      <c r="C3513" s="6">
        <v>20.584240000000001</v>
      </c>
      <c r="D3513" s="6">
        <v>51</v>
      </c>
      <c r="E3513" s="6">
        <v>0</v>
      </c>
      <c r="F3513" s="6">
        <v>0</v>
      </c>
      <c r="G3513" s="6">
        <v>20</v>
      </c>
      <c r="H3513" s="6" t="s">
        <v>7347</v>
      </c>
      <c r="I3513" s="6">
        <v>528.1875</v>
      </c>
      <c r="J3513" s="2">
        <f t="shared" si="54"/>
        <v>43747.71586590277</v>
      </c>
    </row>
    <row r="3514" spans="1:10" x14ac:dyDescent="0.25">
      <c r="A3514" s="7" t="s">
        <v>7348</v>
      </c>
      <c r="B3514" s="8">
        <v>418.75</v>
      </c>
      <c r="C3514" s="8">
        <v>20.584240000000001</v>
      </c>
      <c r="D3514" s="8">
        <v>51</v>
      </c>
      <c r="E3514" s="8">
        <v>0</v>
      </c>
      <c r="F3514" s="8">
        <v>0</v>
      </c>
      <c r="G3514" s="8">
        <v>23</v>
      </c>
      <c r="H3514" s="8" t="s">
        <v>7349</v>
      </c>
      <c r="I3514" s="8">
        <v>534.75</v>
      </c>
      <c r="J3514" s="3">
        <f t="shared" si="54"/>
        <v>43747.71594908565</v>
      </c>
    </row>
    <row r="3515" spans="1:10" x14ac:dyDescent="0.25">
      <c r="A3515" s="5" t="s">
        <v>7350</v>
      </c>
      <c r="B3515" s="6">
        <v>403.125</v>
      </c>
      <c r="C3515" s="6">
        <v>20.584240000000001</v>
      </c>
      <c r="D3515" s="6">
        <v>51</v>
      </c>
      <c r="E3515" s="6">
        <v>0</v>
      </c>
      <c r="F3515" s="6">
        <v>0</v>
      </c>
      <c r="G3515" s="6">
        <v>21</v>
      </c>
      <c r="H3515" s="6" t="s">
        <v>7351</v>
      </c>
      <c r="I3515" s="6">
        <v>529.125</v>
      </c>
      <c r="J3515" s="2">
        <f t="shared" si="54"/>
        <v>43747.716020624997</v>
      </c>
    </row>
    <row r="3516" spans="1:10" x14ac:dyDescent="0.25">
      <c r="A3516" s="7" t="s">
        <v>7352</v>
      </c>
      <c r="B3516" s="8">
        <v>403.125</v>
      </c>
      <c r="C3516" s="8">
        <v>20.584240000000001</v>
      </c>
      <c r="D3516" s="8">
        <v>51</v>
      </c>
      <c r="E3516" s="8">
        <v>0</v>
      </c>
      <c r="F3516" s="8">
        <v>0</v>
      </c>
      <c r="G3516" s="8">
        <v>28</v>
      </c>
      <c r="H3516" s="8" t="s">
        <v>7353</v>
      </c>
      <c r="I3516" s="8">
        <v>529.125</v>
      </c>
      <c r="J3516" s="3">
        <f t="shared" si="54"/>
        <v>43747.716104560182</v>
      </c>
    </row>
    <row r="3517" spans="1:10" x14ac:dyDescent="0.25">
      <c r="A3517" s="5" t="s">
        <v>7354</v>
      </c>
      <c r="B3517" s="6">
        <v>403.125</v>
      </c>
      <c r="C3517" s="6">
        <v>20.531590000000001</v>
      </c>
      <c r="D3517" s="6">
        <v>51</v>
      </c>
      <c r="E3517" s="6">
        <v>0</v>
      </c>
      <c r="F3517" s="6">
        <v>0</v>
      </c>
      <c r="G3517" s="6">
        <v>28</v>
      </c>
      <c r="H3517" s="6" t="s">
        <v>7355</v>
      </c>
      <c r="I3517" s="6">
        <v>529.875</v>
      </c>
      <c r="J3517" s="2">
        <f t="shared" si="54"/>
        <v>43747.71618787037</v>
      </c>
    </row>
    <row r="3518" spans="1:10" x14ac:dyDescent="0.25">
      <c r="A3518" s="7" t="s">
        <v>7356</v>
      </c>
      <c r="B3518" s="8">
        <v>403.125</v>
      </c>
      <c r="C3518" s="8">
        <v>20.584240000000001</v>
      </c>
      <c r="D3518" s="8">
        <v>49</v>
      </c>
      <c r="E3518" s="8">
        <v>0</v>
      </c>
      <c r="F3518" s="8">
        <v>0</v>
      </c>
      <c r="G3518" s="8">
        <v>28</v>
      </c>
      <c r="H3518" s="8" t="s">
        <v>7357</v>
      </c>
      <c r="I3518" s="8">
        <v>529.875</v>
      </c>
      <c r="J3518" s="3">
        <f t="shared" si="54"/>
        <v>43747.71628325231</v>
      </c>
    </row>
    <row r="3519" spans="1:10" x14ac:dyDescent="0.25">
      <c r="A3519" s="5" t="s">
        <v>7358</v>
      </c>
      <c r="B3519" s="6">
        <v>403.125</v>
      </c>
      <c r="C3519" s="6">
        <v>20.531590000000001</v>
      </c>
      <c r="D3519" s="6">
        <v>50</v>
      </c>
      <c r="E3519" s="6">
        <v>0</v>
      </c>
      <c r="F3519" s="6">
        <v>0</v>
      </c>
      <c r="G3519" s="6">
        <v>30</v>
      </c>
      <c r="H3519" s="6" t="s">
        <v>7359</v>
      </c>
      <c r="I3519" s="6">
        <v>529.875</v>
      </c>
      <c r="J3519" s="2">
        <f t="shared" si="54"/>
        <v>43747.716354872682</v>
      </c>
    </row>
    <row r="3520" spans="1:10" x14ac:dyDescent="0.25">
      <c r="A3520" s="7" t="s">
        <v>7360</v>
      </c>
      <c r="B3520" s="8">
        <v>403.125</v>
      </c>
      <c r="C3520" s="8">
        <v>20.584240000000001</v>
      </c>
      <c r="D3520" s="8">
        <v>48</v>
      </c>
      <c r="E3520" s="8">
        <v>0</v>
      </c>
      <c r="F3520" s="8">
        <v>0</v>
      </c>
      <c r="G3520" s="8">
        <v>24</v>
      </c>
      <c r="H3520" s="8" t="s">
        <v>7361</v>
      </c>
      <c r="I3520" s="8">
        <v>529.125</v>
      </c>
      <c r="J3520" s="3">
        <f t="shared" si="54"/>
        <v>43747.716437997682</v>
      </c>
    </row>
    <row r="3521" spans="1:10" x14ac:dyDescent="0.25">
      <c r="A3521" s="5" t="s">
        <v>7362</v>
      </c>
      <c r="B3521" s="6">
        <v>400</v>
      </c>
      <c r="C3521" s="6">
        <v>20.584240000000001</v>
      </c>
      <c r="D3521" s="6">
        <v>48</v>
      </c>
      <c r="E3521" s="6">
        <v>0</v>
      </c>
      <c r="F3521" s="6">
        <v>0</v>
      </c>
      <c r="G3521" s="6">
        <v>27</v>
      </c>
      <c r="H3521" s="6" t="s">
        <v>7363</v>
      </c>
      <c r="I3521" s="6">
        <v>528.9375</v>
      </c>
      <c r="J3521" s="2">
        <f t="shared" si="54"/>
        <v>43747.71650952546</v>
      </c>
    </row>
    <row r="3522" spans="1:10" x14ac:dyDescent="0.25">
      <c r="A3522" s="7" t="s">
        <v>7364</v>
      </c>
      <c r="B3522" s="8">
        <v>400</v>
      </c>
      <c r="C3522" s="8">
        <v>20.531590000000001</v>
      </c>
      <c r="D3522" s="8">
        <v>49</v>
      </c>
      <c r="E3522" s="8">
        <v>0</v>
      </c>
      <c r="F3522" s="8">
        <v>0</v>
      </c>
      <c r="G3522" s="8">
        <v>31</v>
      </c>
      <c r="H3522" s="8" t="s">
        <v>7365</v>
      </c>
      <c r="I3522" s="8">
        <v>528.375</v>
      </c>
      <c r="J3522" s="3">
        <f t="shared" ref="J3522:J3585" si="55">(H3522/86400000)+25569+(7/24)</f>
        <v>43747.716593437501</v>
      </c>
    </row>
    <row r="3523" spans="1:10" x14ac:dyDescent="0.25">
      <c r="A3523" s="5" t="s">
        <v>7366</v>
      </c>
      <c r="B3523" s="6">
        <v>396.875</v>
      </c>
      <c r="C3523" s="6">
        <v>20.584240000000001</v>
      </c>
      <c r="D3523" s="6">
        <v>49</v>
      </c>
      <c r="E3523" s="6">
        <v>0</v>
      </c>
      <c r="F3523" s="6">
        <v>0</v>
      </c>
      <c r="G3523" s="6">
        <v>27</v>
      </c>
      <c r="H3523" s="6" t="s">
        <v>7367</v>
      </c>
      <c r="I3523" s="6">
        <v>527.4375</v>
      </c>
      <c r="J3523" s="2">
        <f t="shared" si="55"/>
        <v>43747.716676874996</v>
      </c>
    </row>
    <row r="3524" spans="1:10" x14ac:dyDescent="0.25">
      <c r="A3524" s="7" t="s">
        <v>7368</v>
      </c>
      <c r="B3524" s="8">
        <v>415.625</v>
      </c>
      <c r="C3524" s="8">
        <v>20.584240000000001</v>
      </c>
      <c r="D3524" s="8">
        <v>46</v>
      </c>
      <c r="E3524" s="8">
        <v>0</v>
      </c>
      <c r="F3524" s="8">
        <v>0</v>
      </c>
      <c r="G3524" s="8">
        <v>26</v>
      </c>
      <c r="H3524" s="8" t="s">
        <v>7369</v>
      </c>
      <c r="I3524" s="8">
        <v>533.4375</v>
      </c>
      <c r="J3524" s="3">
        <f t="shared" si="55"/>
        <v>43747.716759965275</v>
      </c>
    </row>
    <row r="3525" spans="1:10" x14ac:dyDescent="0.25">
      <c r="A3525" s="5" t="s">
        <v>7370</v>
      </c>
      <c r="B3525" s="6">
        <v>393.75</v>
      </c>
      <c r="C3525" s="6">
        <v>20.584240000000001</v>
      </c>
      <c r="D3525" s="6">
        <v>46</v>
      </c>
      <c r="E3525" s="6">
        <v>0</v>
      </c>
      <c r="F3525" s="6">
        <v>0</v>
      </c>
      <c r="G3525" s="6">
        <v>23</v>
      </c>
      <c r="H3525" s="6" t="s">
        <v>7371</v>
      </c>
      <c r="I3525" s="6">
        <v>526.6875</v>
      </c>
      <c r="J3525" s="2">
        <f t="shared" si="55"/>
        <v>43747.716855567131</v>
      </c>
    </row>
    <row r="3526" spans="1:10" x14ac:dyDescent="0.25">
      <c r="A3526" s="7" t="s">
        <v>7372</v>
      </c>
      <c r="B3526" s="8">
        <v>412.5</v>
      </c>
      <c r="C3526" s="8">
        <v>20.584240000000001</v>
      </c>
      <c r="D3526" s="8">
        <v>46</v>
      </c>
      <c r="E3526" s="8">
        <v>0</v>
      </c>
      <c r="F3526" s="8">
        <v>0</v>
      </c>
      <c r="G3526" s="8">
        <v>23</v>
      </c>
      <c r="H3526" s="8" t="s">
        <v>7373</v>
      </c>
      <c r="I3526" s="8">
        <v>532.3125</v>
      </c>
      <c r="J3526" s="3">
        <f t="shared" si="55"/>
        <v>43747.716939143516</v>
      </c>
    </row>
    <row r="3527" spans="1:10" x14ac:dyDescent="0.25">
      <c r="A3527" s="5" t="s">
        <v>7374</v>
      </c>
      <c r="B3527" s="6">
        <v>393.75</v>
      </c>
      <c r="C3527" s="6">
        <v>20.531590000000001</v>
      </c>
      <c r="D3527" s="6">
        <v>47</v>
      </c>
      <c r="E3527" s="6">
        <v>0</v>
      </c>
      <c r="F3527" s="6">
        <v>0</v>
      </c>
      <c r="G3527" s="6">
        <v>17</v>
      </c>
      <c r="H3527" s="6" t="s">
        <v>7375</v>
      </c>
      <c r="I3527" s="6">
        <v>526.6875</v>
      </c>
      <c r="J3527" s="2">
        <f t="shared" si="55"/>
        <v>43747.717022581019</v>
      </c>
    </row>
    <row r="3528" spans="1:10" x14ac:dyDescent="0.25">
      <c r="A3528" s="7" t="s">
        <v>7376</v>
      </c>
      <c r="B3528" s="8">
        <v>393.75</v>
      </c>
      <c r="C3528" s="8">
        <v>20.584240000000001</v>
      </c>
      <c r="D3528" s="8">
        <v>48</v>
      </c>
      <c r="E3528" s="8">
        <v>0</v>
      </c>
      <c r="F3528" s="8">
        <v>0</v>
      </c>
      <c r="G3528" s="8">
        <v>22</v>
      </c>
      <c r="H3528" s="8" t="s">
        <v>7377</v>
      </c>
      <c r="I3528" s="8">
        <v>526.6875</v>
      </c>
      <c r="J3528" s="3">
        <f t="shared" si="55"/>
        <v>43747.71709410879</v>
      </c>
    </row>
    <row r="3529" spans="1:10" x14ac:dyDescent="0.25">
      <c r="A3529" s="5" t="s">
        <v>7378</v>
      </c>
      <c r="B3529" s="6">
        <v>393.75</v>
      </c>
      <c r="C3529" s="6">
        <v>20.531590000000001</v>
      </c>
      <c r="D3529" s="6">
        <v>49</v>
      </c>
      <c r="E3529" s="6">
        <v>0</v>
      </c>
      <c r="F3529" s="6">
        <v>0</v>
      </c>
      <c r="G3529" s="6">
        <v>25</v>
      </c>
      <c r="H3529" s="6" t="s">
        <v>7379</v>
      </c>
      <c r="I3529" s="6">
        <v>526.6875</v>
      </c>
      <c r="J3529" s="2">
        <f t="shared" si="55"/>
        <v>43747.717169895834</v>
      </c>
    </row>
    <row r="3530" spans="1:10" x14ac:dyDescent="0.25">
      <c r="A3530" s="7" t="s">
        <v>7380</v>
      </c>
      <c r="B3530" s="8">
        <v>393.75</v>
      </c>
      <c r="C3530" s="8">
        <v>20.531590000000001</v>
      </c>
      <c r="D3530" s="8">
        <v>49</v>
      </c>
      <c r="E3530" s="8">
        <v>0</v>
      </c>
      <c r="F3530" s="8">
        <v>0</v>
      </c>
      <c r="G3530" s="8">
        <v>29</v>
      </c>
      <c r="H3530" s="8" t="s">
        <v>7381</v>
      </c>
      <c r="I3530" s="8">
        <v>526.6875</v>
      </c>
      <c r="J3530" s="3">
        <f t="shared" si="55"/>
        <v>43747.717248865738</v>
      </c>
    </row>
    <row r="3531" spans="1:10" x14ac:dyDescent="0.25">
      <c r="A3531" s="5" t="s">
        <v>7382</v>
      </c>
      <c r="B3531" s="6">
        <v>393.75</v>
      </c>
      <c r="C3531" s="6">
        <v>20.531590000000001</v>
      </c>
      <c r="D3531" s="6">
        <v>49</v>
      </c>
      <c r="E3531" s="6">
        <v>0</v>
      </c>
      <c r="F3531" s="6">
        <v>0</v>
      </c>
      <c r="G3531" s="6">
        <v>28</v>
      </c>
      <c r="H3531" s="6" t="s">
        <v>7383</v>
      </c>
      <c r="I3531" s="6">
        <v>526.6875</v>
      </c>
      <c r="J3531" s="2">
        <f t="shared" si="55"/>
        <v>43747.717320497679</v>
      </c>
    </row>
    <row r="3532" spans="1:10" x14ac:dyDescent="0.25">
      <c r="A3532" s="7" t="s">
        <v>7384</v>
      </c>
      <c r="B3532" s="8">
        <v>393.75</v>
      </c>
      <c r="C3532" s="8">
        <v>20.584240000000001</v>
      </c>
      <c r="D3532" s="8">
        <v>50</v>
      </c>
      <c r="E3532" s="8">
        <v>0</v>
      </c>
      <c r="F3532" s="8">
        <v>0</v>
      </c>
      <c r="G3532" s="8">
        <v>25</v>
      </c>
      <c r="H3532" s="8" t="s">
        <v>7385</v>
      </c>
      <c r="I3532" s="8">
        <v>526.6875</v>
      </c>
      <c r="J3532" s="3">
        <f t="shared" si="55"/>
        <v>43747.717404178235</v>
      </c>
    </row>
    <row r="3533" spans="1:10" x14ac:dyDescent="0.25">
      <c r="A3533" s="5" t="s">
        <v>7386</v>
      </c>
      <c r="B3533" s="6">
        <v>393.75</v>
      </c>
      <c r="C3533" s="6">
        <v>20.584240000000001</v>
      </c>
      <c r="D3533" s="6">
        <v>51</v>
      </c>
      <c r="E3533" s="6">
        <v>0</v>
      </c>
      <c r="F3533" s="6">
        <v>0</v>
      </c>
      <c r="G3533" s="6">
        <v>30</v>
      </c>
      <c r="H3533" s="6" t="s">
        <v>7387</v>
      </c>
      <c r="I3533" s="6">
        <v>526.6875</v>
      </c>
      <c r="J3533" s="2">
        <f t="shared" si="55"/>
        <v>43747.717487662034</v>
      </c>
    </row>
    <row r="3534" spans="1:10" x14ac:dyDescent="0.25">
      <c r="A3534" s="7" t="s">
        <v>7388</v>
      </c>
      <c r="B3534" s="8">
        <v>393.75</v>
      </c>
      <c r="C3534" s="8">
        <v>20.584240000000001</v>
      </c>
      <c r="D3534" s="8">
        <v>51</v>
      </c>
      <c r="E3534" s="8">
        <v>0</v>
      </c>
      <c r="F3534" s="8">
        <v>0</v>
      </c>
      <c r="G3534" s="8">
        <v>32</v>
      </c>
      <c r="H3534" s="8" t="s">
        <v>7389</v>
      </c>
      <c r="I3534" s="8">
        <v>526.6875</v>
      </c>
      <c r="J3534" s="3">
        <f t="shared" si="55"/>
        <v>43747.717571215275</v>
      </c>
    </row>
    <row r="3535" spans="1:10" x14ac:dyDescent="0.25">
      <c r="A3535" s="5" t="s">
        <v>7390</v>
      </c>
      <c r="B3535" s="6">
        <v>393.75</v>
      </c>
      <c r="C3535" s="6">
        <v>20.531590000000001</v>
      </c>
      <c r="D3535" s="6">
        <v>50</v>
      </c>
      <c r="E3535" s="6">
        <v>0</v>
      </c>
      <c r="F3535" s="6">
        <v>0</v>
      </c>
      <c r="G3535" s="6">
        <v>29</v>
      </c>
      <c r="H3535" s="6" t="s">
        <v>7391</v>
      </c>
      <c r="I3535" s="6">
        <v>526.6875</v>
      </c>
      <c r="J3535" s="2">
        <f t="shared" si="55"/>
        <v>43747.717654525455</v>
      </c>
    </row>
    <row r="3536" spans="1:10" x14ac:dyDescent="0.25">
      <c r="A3536" s="7" t="s">
        <v>7392</v>
      </c>
      <c r="B3536" s="8">
        <v>393.75</v>
      </c>
      <c r="C3536" s="8">
        <v>20.584240000000001</v>
      </c>
      <c r="D3536" s="8">
        <v>51</v>
      </c>
      <c r="E3536" s="8">
        <v>0</v>
      </c>
      <c r="F3536" s="8">
        <v>0</v>
      </c>
      <c r="G3536" s="8">
        <v>25</v>
      </c>
      <c r="H3536" s="8" t="s">
        <v>7393</v>
      </c>
      <c r="I3536" s="8">
        <v>526.6875</v>
      </c>
      <c r="J3536" s="3">
        <f t="shared" si="55"/>
        <v>43747.717737743056</v>
      </c>
    </row>
    <row r="3537" spans="1:10" x14ac:dyDescent="0.25">
      <c r="A3537" s="5" t="s">
        <v>7394</v>
      </c>
      <c r="B3537" s="6">
        <v>396.875</v>
      </c>
      <c r="C3537" s="6">
        <v>20.584240000000001</v>
      </c>
      <c r="D3537" s="6">
        <v>51</v>
      </c>
      <c r="E3537" s="6">
        <v>0</v>
      </c>
      <c r="F3537" s="6">
        <v>0</v>
      </c>
      <c r="G3537" s="6">
        <v>34</v>
      </c>
      <c r="H3537" s="6" t="s">
        <v>7395</v>
      </c>
      <c r="I3537" s="6">
        <v>527.4375</v>
      </c>
      <c r="J3537" s="2">
        <f t="shared" si="55"/>
        <v>43747.717809502312</v>
      </c>
    </row>
    <row r="3538" spans="1:10" x14ac:dyDescent="0.25">
      <c r="A3538" s="7" t="s">
        <v>7396</v>
      </c>
      <c r="B3538" s="8">
        <v>393.75</v>
      </c>
      <c r="C3538" s="8">
        <v>20.584240000000001</v>
      </c>
      <c r="D3538" s="8">
        <v>56</v>
      </c>
      <c r="E3538" s="8">
        <v>0</v>
      </c>
      <c r="F3538" s="8">
        <v>0</v>
      </c>
      <c r="G3538" s="8">
        <v>32</v>
      </c>
      <c r="H3538" s="8" t="s">
        <v>7397</v>
      </c>
      <c r="I3538" s="8">
        <v>526.6875</v>
      </c>
      <c r="J3538" s="3">
        <f t="shared" si="55"/>
        <v>43747.717893078698</v>
      </c>
    </row>
    <row r="3539" spans="1:10" x14ac:dyDescent="0.25">
      <c r="A3539" s="5" t="s">
        <v>7398</v>
      </c>
      <c r="B3539" s="6">
        <v>393.75</v>
      </c>
      <c r="C3539" s="6">
        <v>20.584240000000001</v>
      </c>
      <c r="D3539" s="6">
        <v>63</v>
      </c>
      <c r="E3539" s="6">
        <v>0</v>
      </c>
      <c r="F3539" s="6">
        <v>0</v>
      </c>
      <c r="G3539" s="6">
        <v>35</v>
      </c>
      <c r="H3539" s="6" t="s">
        <v>7399</v>
      </c>
      <c r="I3539" s="6">
        <v>526.6875</v>
      </c>
      <c r="J3539" s="2">
        <f t="shared" si="55"/>
        <v>43747.717964733798</v>
      </c>
    </row>
    <row r="3540" spans="1:10" x14ac:dyDescent="0.25">
      <c r="A3540" s="7" t="s">
        <v>7400</v>
      </c>
      <c r="B3540" s="8">
        <v>393.75</v>
      </c>
      <c r="C3540" s="8">
        <v>20.584240000000001</v>
      </c>
      <c r="D3540" s="8">
        <v>73</v>
      </c>
      <c r="E3540" s="8">
        <v>0</v>
      </c>
      <c r="F3540" s="8">
        <v>0</v>
      </c>
      <c r="G3540" s="8">
        <v>33</v>
      </c>
      <c r="H3540" s="8" t="s">
        <v>7401</v>
      </c>
      <c r="I3540" s="8">
        <v>526.6875</v>
      </c>
      <c r="J3540" s="3">
        <f t="shared" si="55"/>
        <v>43747.718036157406</v>
      </c>
    </row>
    <row r="3541" spans="1:10" x14ac:dyDescent="0.25">
      <c r="A3541" s="5" t="s">
        <v>7402</v>
      </c>
      <c r="B3541" s="6">
        <v>396.875</v>
      </c>
      <c r="C3541" s="6">
        <v>20.584240000000001</v>
      </c>
      <c r="D3541" s="6">
        <v>75</v>
      </c>
      <c r="E3541" s="6">
        <v>0</v>
      </c>
      <c r="F3541" s="6">
        <v>0</v>
      </c>
      <c r="G3541" s="6">
        <v>39</v>
      </c>
      <c r="H3541" s="6" t="s">
        <v>7403</v>
      </c>
      <c r="I3541" s="6">
        <v>527.4375</v>
      </c>
      <c r="J3541" s="2">
        <f t="shared" si="55"/>
        <v>43747.718119363424</v>
      </c>
    </row>
    <row r="3542" spans="1:10" x14ac:dyDescent="0.25">
      <c r="A3542" s="7" t="s">
        <v>7404</v>
      </c>
      <c r="B3542" s="8">
        <v>396.875</v>
      </c>
      <c r="C3542" s="8">
        <v>20.584240000000001</v>
      </c>
      <c r="D3542" s="8">
        <v>75</v>
      </c>
      <c r="E3542" s="8">
        <v>0</v>
      </c>
      <c r="F3542" s="8">
        <v>0</v>
      </c>
      <c r="G3542" s="8">
        <v>36</v>
      </c>
      <c r="H3542" s="8" t="s">
        <v>7405</v>
      </c>
      <c r="I3542" s="8">
        <v>527.4375</v>
      </c>
      <c r="J3542" s="3">
        <f t="shared" si="55"/>
        <v>43747.718190995372</v>
      </c>
    </row>
    <row r="3543" spans="1:10" x14ac:dyDescent="0.25">
      <c r="A3543" s="5" t="s">
        <v>7406</v>
      </c>
      <c r="B3543" s="6">
        <v>396.875</v>
      </c>
      <c r="C3543" s="6">
        <v>20.531590000000001</v>
      </c>
      <c r="D3543" s="6">
        <v>69</v>
      </c>
      <c r="E3543" s="6">
        <v>0</v>
      </c>
      <c r="F3543" s="6">
        <v>0</v>
      </c>
      <c r="G3543" s="6">
        <v>32</v>
      </c>
      <c r="H3543" s="6" t="s">
        <v>7407</v>
      </c>
      <c r="I3543" s="6">
        <v>527.4375</v>
      </c>
      <c r="J3543" s="2">
        <f t="shared" si="55"/>
        <v>43747.71828671296</v>
      </c>
    </row>
    <row r="3544" spans="1:10" x14ac:dyDescent="0.25">
      <c r="A3544" s="7" t="s">
        <v>7408</v>
      </c>
      <c r="B3544" s="8">
        <v>400</v>
      </c>
      <c r="C3544" s="8">
        <v>20.584240000000001</v>
      </c>
      <c r="D3544" s="8">
        <v>70</v>
      </c>
      <c r="E3544" s="8">
        <v>0</v>
      </c>
      <c r="F3544" s="8">
        <v>0</v>
      </c>
      <c r="G3544" s="8">
        <v>43</v>
      </c>
      <c r="H3544" s="8" t="s">
        <v>7409</v>
      </c>
      <c r="I3544" s="8">
        <v>528.1875</v>
      </c>
      <c r="J3544" s="3">
        <f t="shared" si="55"/>
        <v>43747.718358124999</v>
      </c>
    </row>
    <row r="3545" spans="1:10" x14ac:dyDescent="0.25">
      <c r="A3545" s="5" t="s">
        <v>7410</v>
      </c>
      <c r="B3545" s="6">
        <v>403.125</v>
      </c>
      <c r="C3545" s="6">
        <v>20.584240000000001</v>
      </c>
      <c r="D3545" s="6">
        <v>67</v>
      </c>
      <c r="E3545" s="6">
        <v>0</v>
      </c>
      <c r="F3545" s="6">
        <v>0</v>
      </c>
      <c r="G3545" s="6">
        <v>35</v>
      </c>
      <c r="H3545" s="6" t="s">
        <v>7411</v>
      </c>
      <c r="I3545" s="6">
        <v>529.125</v>
      </c>
      <c r="J3545" s="2">
        <f t="shared" si="55"/>
        <v>43747.71844157407</v>
      </c>
    </row>
    <row r="3546" spans="1:10" x14ac:dyDescent="0.25">
      <c r="A3546" s="7" t="s">
        <v>7412</v>
      </c>
      <c r="B3546" s="8">
        <v>400</v>
      </c>
      <c r="C3546" s="8">
        <v>20.584240000000001</v>
      </c>
      <c r="D3546" s="8">
        <v>67</v>
      </c>
      <c r="E3546" s="8">
        <v>0</v>
      </c>
      <c r="F3546" s="8">
        <v>0</v>
      </c>
      <c r="G3546" s="8">
        <v>32</v>
      </c>
      <c r="H3546" s="8" t="s">
        <v>7413</v>
      </c>
      <c r="I3546" s="8">
        <v>528.375</v>
      </c>
      <c r="J3546" s="3">
        <f t="shared" si="55"/>
        <v>43747.718525023149</v>
      </c>
    </row>
    <row r="3547" spans="1:10" x14ac:dyDescent="0.25">
      <c r="A3547" s="5" t="s">
        <v>7414</v>
      </c>
      <c r="B3547" s="6">
        <v>400</v>
      </c>
      <c r="C3547" s="6">
        <v>20.584240000000001</v>
      </c>
      <c r="D3547" s="6">
        <v>71</v>
      </c>
      <c r="E3547" s="6">
        <v>0</v>
      </c>
      <c r="F3547" s="6">
        <v>0</v>
      </c>
      <c r="G3547" s="6">
        <v>38</v>
      </c>
      <c r="H3547" s="6" t="s">
        <v>7415</v>
      </c>
      <c r="I3547" s="6">
        <v>528.375</v>
      </c>
      <c r="J3547" s="2">
        <f t="shared" si="55"/>
        <v>43747.718608240735</v>
      </c>
    </row>
    <row r="3548" spans="1:10" x14ac:dyDescent="0.25">
      <c r="A3548" s="7" t="s">
        <v>7416</v>
      </c>
      <c r="B3548" s="8">
        <v>400</v>
      </c>
      <c r="C3548" s="8">
        <v>20.531590000000001</v>
      </c>
      <c r="D3548" s="8">
        <v>71</v>
      </c>
      <c r="E3548" s="8">
        <v>0</v>
      </c>
      <c r="F3548" s="8">
        <v>0</v>
      </c>
      <c r="G3548" s="8">
        <v>40</v>
      </c>
      <c r="H3548" s="8" t="s">
        <v>7417</v>
      </c>
      <c r="I3548" s="8">
        <v>528.1875</v>
      </c>
      <c r="J3548" s="3">
        <f t="shared" si="55"/>
        <v>43747.718679872683</v>
      </c>
    </row>
    <row r="3549" spans="1:10" x14ac:dyDescent="0.25">
      <c r="A3549" s="5" t="s">
        <v>7418</v>
      </c>
      <c r="B3549" s="6">
        <v>400</v>
      </c>
      <c r="C3549" s="6">
        <v>20.584240000000001</v>
      </c>
      <c r="D3549" s="6">
        <v>72</v>
      </c>
      <c r="E3549" s="6">
        <v>0</v>
      </c>
      <c r="F3549" s="6">
        <v>0</v>
      </c>
      <c r="G3549" s="6">
        <v>33</v>
      </c>
      <c r="H3549" s="6" t="s">
        <v>7419</v>
      </c>
      <c r="I3549" s="6">
        <v>528.1875</v>
      </c>
      <c r="J3549" s="2">
        <f t="shared" si="55"/>
        <v>43747.718763796292</v>
      </c>
    </row>
    <row r="3550" spans="1:10" x14ac:dyDescent="0.25">
      <c r="A3550" s="7" t="s">
        <v>7420</v>
      </c>
      <c r="B3550" s="8">
        <v>400</v>
      </c>
      <c r="C3550" s="8">
        <v>20.531590000000001</v>
      </c>
      <c r="D3550" s="8">
        <v>71</v>
      </c>
      <c r="E3550" s="8">
        <v>0</v>
      </c>
      <c r="F3550" s="8">
        <v>0</v>
      </c>
      <c r="G3550" s="8">
        <v>41</v>
      </c>
      <c r="H3550" s="8" t="s">
        <v>7421</v>
      </c>
      <c r="I3550" s="8">
        <v>528.1875</v>
      </c>
      <c r="J3550" s="3">
        <f t="shared" si="55"/>
        <v>43747.718847013886</v>
      </c>
    </row>
    <row r="3551" spans="1:10" x14ac:dyDescent="0.25">
      <c r="A3551" s="5" t="s">
        <v>7422</v>
      </c>
      <c r="B3551" s="6">
        <v>396.875</v>
      </c>
      <c r="C3551" s="6">
        <v>20.584240000000001</v>
      </c>
      <c r="D3551" s="6">
        <v>71</v>
      </c>
      <c r="E3551" s="6">
        <v>0</v>
      </c>
      <c r="F3551" s="6">
        <v>0</v>
      </c>
      <c r="G3551" s="6">
        <v>38</v>
      </c>
      <c r="H3551" s="6" t="s">
        <v>7423</v>
      </c>
      <c r="I3551" s="6">
        <v>527.4375</v>
      </c>
      <c r="J3551" s="2">
        <f t="shared" si="55"/>
        <v>43747.718930462965</v>
      </c>
    </row>
    <row r="3552" spans="1:10" x14ac:dyDescent="0.25">
      <c r="A3552" s="7" t="s">
        <v>7424</v>
      </c>
      <c r="B3552" s="8">
        <v>393.75</v>
      </c>
      <c r="C3552" s="8">
        <v>20.531590000000001</v>
      </c>
      <c r="D3552" s="8">
        <v>74</v>
      </c>
      <c r="E3552" s="8">
        <v>0</v>
      </c>
      <c r="F3552" s="8">
        <v>0</v>
      </c>
      <c r="G3552" s="8">
        <v>33</v>
      </c>
      <c r="H3552" s="8" t="s">
        <v>7425</v>
      </c>
      <c r="I3552" s="8">
        <v>526.6875</v>
      </c>
      <c r="J3552" s="3">
        <f t="shared" si="55"/>
        <v>43747.719013923612</v>
      </c>
    </row>
    <row r="3553" spans="1:10" x14ac:dyDescent="0.25">
      <c r="A3553" s="5" t="s">
        <v>7426</v>
      </c>
      <c r="B3553" s="6">
        <v>393.75</v>
      </c>
      <c r="C3553" s="6">
        <v>20.584240000000001</v>
      </c>
      <c r="D3553" s="6">
        <v>74</v>
      </c>
      <c r="E3553" s="6">
        <v>0</v>
      </c>
      <c r="F3553" s="6">
        <v>0</v>
      </c>
      <c r="G3553" s="6">
        <v>32</v>
      </c>
      <c r="H3553" s="6" t="s">
        <v>7427</v>
      </c>
      <c r="I3553" s="6">
        <v>526.6875</v>
      </c>
      <c r="J3553" s="2">
        <f t="shared" si="55"/>
        <v>43747.719097118053</v>
      </c>
    </row>
    <row r="3554" spans="1:10" x14ac:dyDescent="0.25">
      <c r="A3554" s="7" t="s">
        <v>7428</v>
      </c>
      <c r="B3554" s="8">
        <v>393.75</v>
      </c>
      <c r="C3554" s="8">
        <v>20.584240000000001</v>
      </c>
      <c r="D3554" s="8">
        <v>74</v>
      </c>
      <c r="E3554" s="8">
        <v>0</v>
      </c>
      <c r="F3554" s="8">
        <v>0</v>
      </c>
      <c r="G3554" s="8">
        <v>52</v>
      </c>
      <c r="H3554" s="8" t="s">
        <v>7429</v>
      </c>
      <c r="I3554" s="8">
        <v>526.6875</v>
      </c>
      <c r="J3554" s="3">
        <f t="shared" si="55"/>
        <v>43747.719168900461</v>
      </c>
    </row>
    <row r="3555" spans="1:10" x14ac:dyDescent="0.25">
      <c r="A3555" s="5" t="s">
        <v>7430</v>
      </c>
      <c r="B3555" s="6">
        <v>393.75</v>
      </c>
      <c r="C3555" s="6">
        <v>20.584240000000001</v>
      </c>
      <c r="D3555" s="6">
        <v>77</v>
      </c>
      <c r="E3555" s="6">
        <v>0</v>
      </c>
      <c r="F3555" s="6">
        <v>0</v>
      </c>
      <c r="G3555" s="6">
        <v>38</v>
      </c>
      <c r="H3555" s="6" t="s">
        <v>7431</v>
      </c>
      <c r="I3555" s="6">
        <v>526.6875</v>
      </c>
      <c r="J3555" s="2">
        <f t="shared" si="55"/>
        <v>43747.719252615738</v>
      </c>
    </row>
    <row r="3556" spans="1:10" x14ac:dyDescent="0.25">
      <c r="A3556" s="7" t="s">
        <v>7432</v>
      </c>
      <c r="B3556" s="8">
        <v>393.75</v>
      </c>
      <c r="C3556" s="8">
        <v>20.531590000000001</v>
      </c>
      <c r="D3556" s="8">
        <v>108</v>
      </c>
      <c r="E3556" s="8">
        <v>0</v>
      </c>
      <c r="F3556" s="8">
        <v>0</v>
      </c>
      <c r="G3556" s="8">
        <v>57</v>
      </c>
      <c r="H3556" s="8" t="s">
        <v>7433</v>
      </c>
      <c r="I3556" s="8">
        <v>526.6875</v>
      </c>
      <c r="J3556" s="3">
        <f t="shared" si="55"/>
        <v>43747.719335925918</v>
      </c>
    </row>
    <row r="3557" spans="1:10" x14ac:dyDescent="0.25">
      <c r="A3557" s="5" t="s">
        <v>7434</v>
      </c>
      <c r="B3557" s="6">
        <v>393.75</v>
      </c>
      <c r="C3557" s="6">
        <v>20.531590000000001</v>
      </c>
      <c r="D3557" s="6">
        <v>108</v>
      </c>
      <c r="E3557" s="6">
        <v>0</v>
      </c>
      <c r="F3557" s="6">
        <v>0</v>
      </c>
      <c r="G3557" s="6">
        <v>65</v>
      </c>
      <c r="H3557" s="6" t="s">
        <v>7435</v>
      </c>
      <c r="I3557" s="6">
        <v>526.6875</v>
      </c>
      <c r="J3557" s="2">
        <f t="shared" si="55"/>
        <v>43747.719419340276</v>
      </c>
    </row>
    <row r="3558" spans="1:10" x14ac:dyDescent="0.25">
      <c r="A3558" s="7" t="s">
        <v>7436</v>
      </c>
      <c r="B3558" s="8">
        <v>393.75</v>
      </c>
      <c r="C3558" s="8">
        <v>20.531590000000001</v>
      </c>
      <c r="D3558" s="8">
        <v>77</v>
      </c>
      <c r="E3558" s="8">
        <v>0</v>
      </c>
      <c r="F3558" s="8">
        <v>0</v>
      </c>
      <c r="G3558" s="8">
        <v>62</v>
      </c>
      <c r="H3558" s="8" t="s">
        <v>7437</v>
      </c>
      <c r="I3558" s="8">
        <v>526.6875</v>
      </c>
      <c r="J3558" s="3">
        <f t="shared" si="55"/>
        <v>43747.719514826385</v>
      </c>
    </row>
    <row r="3559" spans="1:10" x14ac:dyDescent="0.25">
      <c r="A3559" s="5" t="s">
        <v>7438</v>
      </c>
      <c r="B3559" s="6">
        <v>393.75</v>
      </c>
      <c r="C3559" s="6">
        <v>20.478950000000001</v>
      </c>
      <c r="D3559" s="6">
        <v>75</v>
      </c>
      <c r="E3559" s="6">
        <v>0</v>
      </c>
      <c r="F3559" s="6">
        <v>0</v>
      </c>
      <c r="G3559" s="6">
        <v>52</v>
      </c>
      <c r="H3559" s="6" t="s">
        <v>7439</v>
      </c>
      <c r="I3559" s="6">
        <v>526.6875</v>
      </c>
      <c r="J3559" s="2">
        <f t="shared" si="55"/>
        <v>43747.719598263888</v>
      </c>
    </row>
    <row r="3560" spans="1:10" x14ac:dyDescent="0.25">
      <c r="A3560" s="7" t="s">
        <v>7440</v>
      </c>
      <c r="B3560" s="8">
        <v>393.75</v>
      </c>
      <c r="C3560" s="8">
        <v>20.531590000000001</v>
      </c>
      <c r="D3560" s="8">
        <v>77</v>
      </c>
      <c r="E3560" s="8">
        <v>0</v>
      </c>
      <c r="F3560" s="8">
        <v>0</v>
      </c>
      <c r="G3560" s="8">
        <v>64</v>
      </c>
      <c r="H3560" s="8" t="s">
        <v>7441</v>
      </c>
      <c r="I3560" s="8">
        <v>526.6875</v>
      </c>
      <c r="J3560" s="3">
        <f t="shared" si="55"/>
        <v>43747.719681689814</v>
      </c>
    </row>
    <row r="3561" spans="1:10" x14ac:dyDescent="0.25">
      <c r="A3561" s="5" t="s">
        <v>7442</v>
      </c>
      <c r="B3561" s="6">
        <v>393.75</v>
      </c>
      <c r="C3561" s="6">
        <v>20.584240000000001</v>
      </c>
      <c r="D3561" s="6">
        <v>76</v>
      </c>
      <c r="E3561" s="6">
        <v>0</v>
      </c>
      <c r="F3561" s="6">
        <v>0</v>
      </c>
      <c r="G3561" s="6">
        <v>60</v>
      </c>
      <c r="H3561" s="6" t="s">
        <v>7443</v>
      </c>
      <c r="I3561" s="6">
        <v>526.6875</v>
      </c>
      <c r="J3561" s="2">
        <f t="shared" si="55"/>
        <v>43747.71976516203</v>
      </c>
    </row>
    <row r="3562" spans="1:10" x14ac:dyDescent="0.25">
      <c r="A3562" s="7" t="s">
        <v>7444</v>
      </c>
      <c r="B3562" s="8">
        <v>396.875</v>
      </c>
      <c r="C3562" s="8">
        <v>20.531590000000001</v>
      </c>
      <c r="D3562" s="8">
        <v>75</v>
      </c>
      <c r="E3562" s="8">
        <v>0</v>
      </c>
      <c r="F3562" s="8">
        <v>0</v>
      </c>
      <c r="G3562" s="8">
        <v>52</v>
      </c>
      <c r="H3562" s="8" t="s">
        <v>7445</v>
      </c>
      <c r="I3562" s="8">
        <v>527.4375</v>
      </c>
      <c r="J3562" s="3">
        <f t="shared" si="55"/>
        <v>43747.719848611108</v>
      </c>
    </row>
    <row r="3563" spans="1:10" x14ac:dyDescent="0.25">
      <c r="A3563" s="5" t="s">
        <v>7446</v>
      </c>
      <c r="B3563" s="6">
        <v>396.875</v>
      </c>
      <c r="C3563" s="6">
        <v>20.584240000000001</v>
      </c>
      <c r="D3563" s="6">
        <v>66</v>
      </c>
      <c r="E3563" s="6">
        <v>0</v>
      </c>
      <c r="F3563" s="6">
        <v>0</v>
      </c>
      <c r="G3563" s="6">
        <v>53</v>
      </c>
      <c r="H3563" s="6" t="s">
        <v>7447</v>
      </c>
      <c r="I3563" s="6">
        <v>527.4375</v>
      </c>
      <c r="J3563" s="2">
        <f t="shared" si="55"/>
        <v>43747.719932060187</v>
      </c>
    </row>
    <row r="3564" spans="1:10" x14ac:dyDescent="0.25">
      <c r="A3564" s="7" t="s">
        <v>7448</v>
      </c>
      <c r="B3564" s="8">
        <v>440.625</v>
      </c>
      <c r="C3564" s="8">
        <v>20.584240000000001</v>
      </c>
      <c r="D3564" s="8">
        <v>67</v>
      </c>
      <c r="E3564" s="8">
        <v>0</v>
      </c>
      <c r="F3564" s="8">
        <v>0</v>
      </c>
      <c r="G3564" s="8">
        <v>55</v>
      </c>
      <c r="H3564" s="8" t="s">
        <v>7449</v>
      </c>
      <c r="I3564" s="8">
        <v>541.6875</v>
      </c>
      <c r="J3564" s="3">
        <f t="shared" si="55"/>
        <v>43747.720015486113</v>
      </c>
    </row>
    <row r="3565" spans="1:10" x14ac:dyDescent="0.25">
      <c r="A3565" s="5" t="s">
        <v>7450</v>
      </c>
      <c r="B3565" s="6">
        <v>396.875</v>
      </c>
      <c r="C3565" s="6">
        <v>20.478950000000001</v>
      </c>
      <c r="D3565" s="6">
        <v>73</v>
      </c>
      <c r="E3565" s="6">
        <v>0</v>
      </c>
      <c r="F3565" s="6">
        <v>0</v>
      </c>
      <c r="G3565" s="6">
        <v>51</v>
      </c>
      <c r="H3565" s="6" t="s">
        <v>7451</v>
      </c>
      <c r="I3565" s="6">
        <v>527.4375</v>
      </c>
      <c r="J3565" s="2">
        <f t="shared" si="55"/>
        <v>43747.720099027771</v>
      </c>
    </row>
    <row r="3566" spans="1:10" x14ac:dyDescent="0.25">
      <c r="A3566" s="7" t="s">
        <v>7452</v>
      </c>
      <c r="B3566" s="8">
        <v>393.75</v>
      </c>
      <c r="C3566" s="8">
        <v>20.531590000000001</v>
      </c>
      <c r="D3566" s="8">
        <v>73</v>
      </c>
      <c r="E3566" s="8">
        <v>0</v>
      </c>
      <c r="F3566" s="8">
        <v>0</v>
      </c>
      <c r="G3566" s="8">
        <v>56</v>
      </c>
      <c r="H3566" s="8" t="s">
        <v>7453</v>
      </c>
      <c r="I3566" s="8">
        <v>526.6875</v>
      </c>
      <c r="J3566" s="3">
        <f t="shared" si="55"/>
        <v>43747.720182175923</v>
      </c>
    </row>
    <row r="3567" spans="1:10" x14ac:dyDescent="0.25">
      <c r="A3567" s="5" t="s">
        <v>7454</v>
      </c>
      <c r="B3567" s="6">
        <v>393.75</v>
      </c>
      <c r="C3567" s="6">
        <v>20.531590000000001</v>
      </c>
      <c r="D3567" s="6">
        <v>72</v>
      </c>
      <c r="E3567" s="6">
        <v>0</v>
      </c>
      <c r="F3567" s="6">
        <v>0</v>
      </c>
      <c r="G3567" s="6">
        <v>58</v>
      </c>
      <c r="H3567" s="6" t="s">
        <v>7455</v>
      </c>
      <c r="I3567" s="6">
        <v>526.6875</v>
      </c>
      <c r="J3567" s="2">
        <f t="shared" si="55"/>
        <v>43747.720265960648</v>
      </c>
    </row>
    <row r="3568" spans="1:10" x14ac:dyDescent="0.25">
      <c r="A3568" s="7" t="s">
        <v>7456</v>
      </c>
      <c r="B3568" s="8">
        <v>393.75</v>
      </c>
      <c r="C3568" s="8">
        <v>20.584240000000001</v>
      </c>
      <c r="D3568" s="8">
        <v>72</v>
      </c>
      <c r="E3568" s="8">
        <v>0</v>
      </c>
      <c r="F3568" s="8">
        <v>0</v>
      </c>
      <c r="G3568" s="8">
        <v>55</v>
      </c>
      <c r="H3568" s="8" t="s">
        <v>7457</v>
      </c>
      <c r="I3568" s="8">
        <v>526.6875</v>
      </c>
      <c r="J3568" s="3">
        <f t="shared" si="55"/>
        <v>43747.720349687494</v>
      </c>
    </row>
    <row r="3569" spans="1:10" x14ac:dyDescent="0.25">
      <c r="A3569" s="5" t="s">
        <v>7458</v>
      </c>
      <c r="B3569" s="6">
        <v>393.75</v>
      </c>
      <c r="C3569" s="6">
        <v>20.531590000000001</v>
      </c>
      <c r="D3569" s="6">
        <v>74</v>
      </c>
      <c r="E3569" s="6">
        <v>0</v>
      </c>
      <c r="F3569" s="6">
        <v>0</v>
      </c>
      <c r="G3569" s="6">
        <v>41</v>
      </c>
      <c r="H3569" s="6" t="s">
        <v>7459</v>
      </c>
      <c r="I3569" s="6">
        <v>526.6875</v>
      </c>
      <c r="J3569" s="2">
        <f t="shared" si="55"/>
        <v>43747.720421053244</v>
      </c>
    </row>
    <row r="3570" spans="1:10" x14ac:dyDescent="0.25">
      <c r="A3570" s="7" t="s">
        <v>7460</v>
      </c>
      <c r="B3570" s="8">
        <v>393.75</v>
      </c>
      <c r="C3570" s="8">
        <v>20.584240000000001</v>
      </c>
      <c r="D3570" s="8">
        <v>74</v>
      </c>
      <c r="E3570" s="8">
        <v>0</v>
      </c>
      <c r="F3570" s="8">
        <v>0</v>
      </c>
      <c r="G3570" s="8">
        <v>56</v>
      </c>
      <c r="H3570" s="8" t="s">
        <v>7461</v>
      </c>
      <c r="I3570" s="8">
        <v>526.6875</v>
      </c>
      <c r="J3570" s="3">
        <f t="shared" si="55"/>
        <v>43747.720504409721</v>
      </c>
    </row>
    <row r="3571" spans="1:10" x14ac:dyDescent="0.25">
      <c r="A3571" s="5" t="s">
        <v>7462</v>
      </c>
      <c r="B3571" s="6">
        <v>393.75</v>
      </c>
      <c r="C3571" s="6">
        <v>20.531590000000001</v>
      </c>
      <c r="D3571" s="6">
        <v>75</v>
      </c>
      <c r="E3571" s="6">
        <v>0</v>
      </c>
      <c r="F3571" s="6">
        <v>0</v>
      </c>
      <c r="G3571" s="6">
        <v>43</v>
      </c>
      <c r="H3571" s="6" t="s">
        <v>7463</v>
      </c>
      <c r="I3571" s="6">
        <v>526.6875</v>
      </c>
      <c r="J3571" s="2">
        <f t="shared" si="55"/>
        <v>43747.720587962962</v>
      </c>
    </row>
    <row r="3572" spans="1:10" x14ac:dyDescent="0.25">
      <c r="A3572" s="7" t="s">
        <v>7464</v>
      </c>
      <c r="B3572" s="8">
        <v>393.75</v>
      </c>
      <c r="C3572" s="8">
        <v>20.584240000000001</v>
      </c>
      <c r="D3572" s="8">
        <v>75</v>
      </c>
      <c r="E3572" s="8">
        <v>0</v>
      </c>
      <c r="F3572" s="8">
        <v>0</v>
      </c>
      <c r="G3572" s="8">
        <v>49</v>
      </c>
      <c r="H3572" s="8" t="s">
        <v>7465</v>
      </c>
      <c r="I3572" s="8">
        <v>526.6875</v>
      </c>
      <c r="J3572" s="3">
        <f t="shared" si="55"/>
        <v>43747.720671145835</v>
      </c>
    </row>
    <row r="3573" spans="1:10" x14ac:dyDescent="0.25">
      <c r="A3573" s="5" t="s">
        <v>7466</v>
      </c>
      <c r="B3573" s="6">
        <v>393.75</v>
      </c>
      <c r="C3573" s="6">
        <v>20.531590000000001</v>
      </c>
      <c r="D3573" s="6">
        <v>75</v>
      </c>
      <c r="E3573" s="6">
        <v>0</v>
      </c>
      <c r="F3573" s="6">
        <v>0</v>
      </c>
      <c r="G3573" s="6">
        <v>52</v>
      </c>
      <c r="H3573" s="6" t="s">
        <v>7467</v>
      </c>
      <c r="I3573" s="6">
        <v>526.6875</v>
      </c>
      <c r="J3573" s="2">
        <f t="shared" si="55"/>
        <v>43747.720755925919</v>
      </c>
    </row>
    <row r="3574" spans="1:10" x14ac:dyDescent="0.25">
      <c r="A3574" s="7" t="s">
        <v>7468</v>
      </c>
      <c r="B3574" s="8">
        <v>393.75</v>
      </c>
      <c r="C3574" s="8">
        <v>20.478950000000001</v>
      </c>
      <c r="D3574" s="8">
        <v>75</v>
      </c>
      <c r="E3574" s="8">
        <v>0</v>
      </c>
      <c r="F3574" s="8">
        <v>0</v>
      </c>
      <c r="G3574" s="8">
        <v>55</v>
      </c>
      <c r="H3574" s="8" t="s">
        <v>7469</v>
      </c>
      <c r="I3574" s="8">
        <v>526.5</v>
      </c>
      <c r="J3574" s="3">
        <f t="shared" si="55"/>
        <v>43747.720838518515</v>
      </c>
    </row>
    <row r="3575" spans="1:10" x14ac:dyDescent="0.25">
      <c r="A3575" s="5" t="s">
        <v>7470</v>
      </c>
      <c r="B3575" s="6">
        <v>393.75</v>
      </c>
      <c r="C3575" s="6">
        <v>20.584240000000001</v>
      </c>
      <c r="D3575" s="6">
        <v>74</v>
      </c>
      <c r="E3575" s="6">
        <v>0</v>
      </c>
      <c r="F3575" s="6">
        <v>0</v>
      </c>
      <c r="G3575" s="6">
        <v>47</v>
      </c>
      <c r="H3575" s="6" t="s">
        <v>7471</v>
      </c>
      <c r="I3575" s="6">
        <v>526.6875</v>
      </c>
      <c r="J3575" s="2">
        <f t="shared" si="55"/>
        <v>43747.720909930555</v>
      </c>
    </row>
    <row r="3576" spans="1:10" x14ac:dyDescent="0.25">
      <c r="A3576" s="7" t="s">
        <v>7472</v>
      </c>
      <c r="B3576" s="8">
        <v>393.75</v>
      </c>
      <c r="C3576" s="8">
        <v>20.531590000000001</v>
      </c>
      <c r="D3576" s="8">
        <v>73</v>
      </c>
      <c r="E3576" s="8">
        <v>0</v>
      </c>
      <c r="F3576" s="8">
        <v>0</v>
      </c>
      <c r="G3576" s="8">
        <v>49</v>
      </c>
      <c r="H3576" s="8" t="s">
        <v>7473</v>
      </c>
      <c r="I3576" s="8">
        <v>526.6875</v>
      </c>
      <c r="J3576" s="3">
        <f t="shared" si="55"/>
        <v>43747.720993310184</v>
      </c>
    </row>
    <row r="3577" spans="1:10" x14ac:dyDescent="0.25">
      <c r="A3577" s="5" t="s">
        <v>7474</v>
      </c>
      <c r="B3577" s="6">
        <v>393.75</v>
      </c>
      <c r="C3577" s="6">
        <v>20.531590000000001</v>
      </c>
      <c r="D3577" s="6">
        <v>68</v>
      </c>
      <c r="E3577" s="6">
        <v>0</v>
      </c>
      <c r="F3577" s="6">
        <v>0</v>
      </c>
      <c r="G3577" s="6">
        <v>49</v>
      </c>
      <c r="H3577" s="6" t="s">
        <v>7475</v>
      </c>
      <c r="I3577" s="6">
        <v>526.6875</v>
      </c>
      <c r="J3577" s="2">
        <f t="shared" si="55"/>
        <v>43747.721076828697</v>
      </c>
    </row>
    <row r="3578" spans="1:10" x14ac:dyDescent="0.25">
      <c r="A3578" s="7" t="s">
        <v>7476</v>
      </c>
      <c r="B3578" s="8">
        <v>393.75</v>
      </c>
      <c r="C3578" s="8">
        <v>20.584240000000001</v>
      </c>
      <c r="D3578" s="8">
        <v>67</v>
      </c>
      <c r="E3578" s="8">
        <v>0</v>
      </c>
      <c r="F3578" s="8">
        <v>0</v>
      </c>
      <c r="G3578" s="8">
        <v>43</v>
      </c>
      <c r="H3578" s="8" t="s">
        <v>7477</v>
      </c>
      <c r="I3578" s="8">
        <v>526.5</v>
      </c>
      <c r="J3578" s="3">
        <f t="shared" si="55"/>
        <v>43747.721159953704</v>
      </c>
    </row>
    <row r="3579" spans="1:10" x14ac:dyDescent="0.25">
      <c r="A3579" s="5" t="s">
        <v>7478</v>
      </c>
      <c r="B3579" s="6">
        <v>412.5</v>
      </c>
      <c r="C3579" s="6">
        <v>20.531590000000001</v>
      </c>
      <c r="D3579" s="6">
        <v>67</v>
      </c>
      <c r="E3579" s="6">
        <v>0</v>
      </c>
      <c r="F3579" s="6">
        <v>0</v>
      </c>
      <c r="G3579" s="6">
        <v>42</v>
      </c>
      <c r="H3579" s="6" t="s">
        <v>7479</v>
      </c>
      <c r="I3579" s="6">
        <v>532.125</v>
      </c>
      <c r="J3579" s="2">
        <f t="shared" si="55"/>
        <v>43747.721243611108</v>
      </c>
    </row>
    <row r="3580" spans="1:10" x14ac:dyDescent="0.25">
      <c r="A3580" s="7" t="s">
        <v>7480</v>
      </c>
      <c r="B3580" s="8">
        <v>393.75</v>
      </c>
      <c r="C3580" s="8">
        <v>20.531590000000001</v>
      </c>
      <c r="D3580" s="8">
        <v>68</v>
      </c>
      <c r="E3580" s="8">
        <v>0</v>
      </c>
      <c r="F3580" s="8">
        <v>0</v>
      </c>
      <c r="G3580" s="8">
        <v>35</v>
      </c>
      <c r="H3580" s="8" t="s">
        <v>7481</v>
      </c>
      <c r="I3580" s="8">
        <v>526.6875</v>
      </c>
      <c r="J3580" s="3">
        <f t="shared" si="55"/>
        <v>43747.721331168977</v>
      </c>
    </row>
    <row r="3581" spans="1:10" x14ac:dyDescent="0.25">
      <c r="A3581" s="5" t="s">
        <v>7482</v>
      </c>
      <c r="B3581" s="6">
        <v>393.75</v>
      </c>
      <c r="C3581" s="6">
        <v>20.531590000000001</v>
      </c>
      <c r="D3581" s="6">
        <v>67</v>
      </c>
      <c r="E3581" s="6">
        <v>0</v>
      </c>
      <c r="F3581" s="6">
        <v>0</v>
      </c>
      <c r="G3581" s="6">
        <v>37</v>
      </c>
      <c r="H3581" s="6" t="s">
        <v>7483</v>
      </c>
      <c r="I3581" s="6">
        <v>526.5</v>
      </c>
      <c r="J3581" s="2">
        <f t="shared" si="55"/>
        <v>43747.721410763887</v>
      </c>
    </row>
    <row r="3582" spans="1:10" x14ac:dyDescent="0.25">
      <c r="A3582" s="7" t="s">
        <v>7484</v>
      </c>
      <c r="B3582" s="8">
        <v>396.875</v>
      </c>
      <c r="C3582" s="8">
        <v>20.584240000000001</v>
      </c>
      <c r="D3582" s="8">
        <v>66</v>
      </c>
      <c r="E3582" s="8">
        <v>0</v>
      </c>
      <c r="F3582" s="8">
        <v>0</v>
      </c>
      <c r="G3582" s="8">
        <v>46</v>
      </c>
      <c r="H3582" s="8" t="s">
        <v>7485</v>
      </c>
      <c r="I3582" s="8">
        <v>527.4375</v>
      </c>
      <c r="J3582" s="3">
        <f t="shared" si="55"/>
        <v>43747.721494212958</v>
      </c>
    </row>
    <row r="3583" spans="1:10" x14ac:dyDescent="0.25">
      <c r="A3583" s="5" t="s">
        <v>7486</v>
      </c>
      <c r="B3583" s="6">
        <v>396.875</v>
      </c>
      <c r="C3583" s="6">
        <v>20.584240000000001</v>
      </c>
      <c r="D3583" s="6">
        <v>67</v>
      </c>
      <c r="E3583" s="6">
        <v>0</v>
      </c>
      <c r="F3583" s="6">
        <v>0</v>
      </c>
      <c r="G3583" s="6">
        <v>41</v>
      </c>
      <c r="H3583" s="6" t="s">
        <v>7487</v>
      </c>
      <c r="I3583" s="6">
        <v>527.4375</v>
      </c>
      <c r="J3583" s="2">
        <f t="shared" si="55"/>
        <v>43747.72156572916</v>
      </c>
    </row>
    <row r="3584" spans="1:10" x14ac:dyDescent="0.25">
      <c r="A3584" s="7" t="s">
        <v>7488</v>
      </c>
      <c r="B3584" s="8">
        <v>421.875</v>
      </c>
      <c r="C3584" s="8">
        <v>20.531590000000001</v>
      </c>
      <c r="D3584" s="8">
        <v>67</v>
      </c>
      <c r="E3584" s="8">
        <v>0</v>
      </c>
      <c r="F3584" s="8">
        <v>0</v>
      </c>
      <c r="G3584" s="8">
        <v>40</v>
      </c>
      <c r="H3584" s="8" t="s">
        <v>7489</v>
      </c>
      <c r="I3584" s="8">
        <v>535.5</v>
      </c>
      <c r="J3584" s="3">
        <f t="shared" si="55"/>
        <v>43747.721637245369</v>
      </c>
    </row>
    <row r="3585" spans="1:10" x14ac:dyDescent="0.25">
      <c r="A3585" s="5" t="s">
        <v>7490</v>
      </c>
      <c r="B3585" s="6">
        <v>396.875</v>
      </c>
      <c r="C3585" s="6">
        <v>20.584240000000001</v>
      </c>
      <c r="D3585" s="6">
        <v>66</v>
      </c>
      <c r="E3585" s="6">
        <v>0</v>
      </c>
      <c r="F3585" s="6">
        <v>0</v>
      </c>
      <c r="G3585" s="6">
        <v>43</v>
      </c>
      <c r="H3585" s="6" t="s">
        <v>7491</v>
      </c>
      <c r="I3585" s="6">
        <v>527.4375</v>
      </c>
      <c r="J3585" s="2">
        <f t="shared" si="55"/>
        <v>43747.721720706017</v>
      </c>
    </row>
    <row r="3586" spans="1:10" x14ac:dyDescent="0.25">
      <c r="A3586" s="7" t="s">
        <v>7492</v>
      </c>
      <c r="B3586" s="8">
        <v>396.875</v>
      </c>
      <c r="C3586" s="8">
        <v>20.584240000000001</v>
      </c>
      <c r="D3586" s="8">
        <v>66</v>
      </c>
      <c r="E3586" s="8">
        <v>0</v>
      </c>
      <c r="F3586" s="8">
        <v>0</v>
      </c>
      <c r="G3586" s="8">
        <v>28</v>
      </c>
      <c r="H3586" s="8" t="s">
        <v>7493</v>
      </c>
      <c r="I3586" s="8">
        <v>527.4375</v>
      </c>
      <c r="J3586" s="3">
        <f t="shared" ref="J3586:J3649" si="56">(H3586/86400000)+25569+(7/24)</f>
        <v>43747.721804513887</v>
      </c>
    </row>
    <row r="3587" spans="1:10" x14ac:dyDescent="0.25">
      <c r="A3587" s="5" t="s">
        <v>7494</v>
      </c>
      <c r="B3587" s="6">
        <v>393.75</v>
      </c>
      <c r="C3587" s="6">
        <v>20.584240000000001</v>
      </c>
      <c r="D3587" s="6">
        <v>65</v>
      </c>
      <c r="E3587" s="6">
        <v>0</v>
      </c>
      <c r="F3587" s="6">
        <v>0</v>
      </c>
      <c r="G3587" s="6">
        <v>48</v>
      </c>
      <c r="H3587" s="6" t="s">
        <v>7495</v>
      </c>
      <c r="I3587" s="6">
        <v>526.5</v>
      </c>
      <c r="J3587" s="2">
        <f t="shared" si="56"/>
        <v>43747.721887719905</v>
      </c>
    </row>
    <row r="3588" spans="1:10" x14ac:dyDescent="0.25">
      <c r="A3588" s="7" t="s">
        <v>7496</v>
      </c>
      <c r="B3588" s="8">
        <v>393.75</v>
      </c>
      <c r="C3588" s="8">
        <v>20.531590000000001</v>
      </c>
      <c r="D3588" s="8">
        <v>63</v>
      </c>
      <c r="E3588" s="8">
        <v>0</v>
      </c>
      <c r="F3588" s="8">
        <v>0</v>
      </c>
      <c r="G3588" s="8">
        <v>44</v>
      </c>
      <c r="H3588" s="8" t="s">
        <v>7497</v>
      </c>
      <c r="I3588" s="8">
        <v>526.6875</v>
      </c>
      <c r="J3588" s="3">
        <f t="shared" si="56"/>
        <v>43747.721981249997</v>
      </c>
    </row>
    <row r="3589" spans="1:10" x14ac:dyDescent="0.25">
      <c r="A3589" s="5" t="s">
        <v>7498</v>
      </c>
      <c r="B3589" s="6">
        <v>393.75</v>
      </c>
      <c r="C3589" s="6">
        <v>20.584240000000001</v>
      </c>
      <c r="D3589" s="6">
        <v>63</v>
      </c>
      <c r="E3589" s="6">
        <v>0</v>
      </c>
      <c r="F3589" s="6">
        <v>0</v>
      </c>
      <c r="G3589" s="6">
        <v>48</v>
      </c>
      <c r="H3589" s="6" t="s">
        <v>7499</v>
      </c>
      <c r="I3589" s="6">
        <v>526.6875</v>
      </c>
      <c r="J3589" s="2">
        <f t="shared" si="56"/>
        <v>43747.722054606478</v>
      </c>
    </row>
    <row r="3590" spans="1:10" x14ac:dyDescent="0.25">
      <c r="A3590" s="7" t="s">
        <v>7500</v>
      </c>
      <c r="B3590" s="8">
        <v>393.75</v>
      </c>
      <c r="C3590" s="8">
        <v>20.584240000000001</v>
      </c>
      <c r="D3590" s="8">
        <v>64</v>
      </c>
      <c r="E3590" s="8">
        <v>0</v>
      </c>
      <c r="F3590" s="8">
        <v>0</v>
      </c>
      <c r="G3590" s="8">
        <v>44</v>
      </c>
      <c r="H3590" s="8" t="s">
        <v>7501</v>
      </c>
      <c r="I3590" s="8">
        <v>526.5</v>
      </c>
      <c r="J3590" s="3">
        <f t="shared" si="56"/>
        <v>43747.722137719909</v>
      </c>
    </row>
    <row r="3591" spans="1:10" x14ac:dyDescent="0.25">
      <c r="A3591" s="5" t="s">
        <v>7502</v>
      </c>
      <c r="B3591" s="6">
        <v>393.75</v>
      </c>
      <c r="C3591" s="6">
        <v>20.531590000000001</v>
      </c>
      <c r="D3591" s="6">
        <v>64</v>
      </c>
      <c r="E3591" s="6">
        <v>0</v>
      </c>
      <c r="F3591" s="6">
        <v>0</v>
      </c>
      <c r="G3591" s="6">
        <v>39</v>
      </c>
      <c r="H3591" s="6" t="s">
        <v>7503</v>
      </c>
      <c r="I3591" s="6">
        <v>526.6875</v>
      </c>
      <c r="J3591" s="2">
        <f t="shared" si="56"/>
        <v>43747.722222048607</v>
      </c>
    </row>
    <row r="3592" spans="1:10" x14ac:dyDescent="0.25">
      <c r="A3592" s="7" t="s">
        <v>7504</v>
      </c>
      <c r="B3592" s="8">
        <v>393.75</v>
      </c>
      <c r="C3592" s="8">
        <v>20.531590000000001</v>
      </c>
      <c r="D3592" s="8">
        <v>63</v>
      </c>
      <c r="E3592" s="8">
        <v>0</v>
      </c>
      <c r="F3592" s="8">
        <v>0</v>
      </c>
      <c r="G3592" s="8">
        <v>48</v>
      </c>
      <c r="H3592" s="8" t="s">
        <v>7505</v>
      </c>
      <c r="I3592" s="8">
        <v>526.6875</v>
      </c>
      <c r="J3592" s="3">
        <f t="shared" si="56"/>
        <v>43747.722293124993</v>
      </c>
    </row>
    <row r="3593" spans="1:10" x14ac:dyDescent="0.25">
      <c r="A3593" s="5" t="s">
        <v>7506</v>
      </c>
      <c r="B3593" s="6">
        <v>393.75</v>
      </c>
      <c r="C3593" s="6">
        <v>20.531590000000001</v>
      </c>
      <c r="D3593" s="6">
        <v>63</v>
      </c>
      <c r="E3593" s="6">
        <v>0</v>
      </c>
      <c r="F3593" s="6">
        <v>0</v>
      </c>
      <c r="G3593" s="6">
        <v>49</v>
      </c>
      <c r="H3593" s="6" t="s">
        <v>7507</v>
      </c>
      <c r="I3593" s="6">
        <v>526.6875</v>
      </c>
      <c r="J3593" s="2">
        <f t="shared" si="56"/>
        <v>43747.722384247681</v>
      </c>
    </row>
    <row r="3594" spans="1:10" x14ac:dyDescent="0.25">
      <c r="A3594" s="7" t="s">
        <v>7508</v>
      </c>
      <c r="B3594" s="8">
        <v>396.875</v>
      </c>
      <c r="C3594" s="8">
        <v>20.584240000000001</v>
      </c>
      <c r="D3594" s="8">
        <v>64</v>
      </c>
      <c r="E3594" s="8">
        <v>0</v>
      </c>
      <c r="F3594" s="8">
        <v>0</v>
      </c>
      <c r="G3594" s="8">
        <v>41</v>
      </c>
      <c r="H3594" s="8" t="s">
        <v>7509</v>
      </c>
      <c r="I3594" s="8">
        <v>527.4375</v>
      </c>
      <c r="J3594" s="3">
        <f t="shared" si="56"/>
        <v>43747.722472071757</v>
      </c>
    </row>
    <row r="3595" spans="1:10" x14ac:dyDescent="0.25">
      <c r="A3595" s="5" t="s">
        <v>7510</v>
      </c>
      <c r="B3595" s="6">
        <v>396.875</v>
      </c>
      <c r="C3595" s="6">
        <v>20.531590000000001</v>
      </c>
      <c r="D3595" s="6">
        <v>65</v>
      </c>
      <c r="E3595" s="6">
        <v>0</v>
      </c>
      <c r="F3595" s="6">
        <v>0</v>
      </c>
      <c r="G3595" s="6">
        <v>44</v>
      </c>
      <c r="H3595" s="6" t="s">
        <v>7511</v>
      </c>
      <c r="I3595" s="6">
        <v>527.4375</v>
      </c>
      <c r="J3595" s="2">
        <f t="shared" si="56"/>
        <v>43747.722543599535</v>
      </c>
    </row>
    <row r="3596" spans="1:10" x14ac:dyDescent="0.25">
      <c r="A3596" s="7" t="s">
        <v>7512</v>
      </c>
      <c r="B3596" s="8">
        <v>396.875</v>
      </c>
      <c r="C3596" s="8">
        <v>20.584240000000001</v>
      </c>
      <c r="D3596" s="8">
        <v>65</v>
      </c>
      <c r="E3596" s="8">
        <v>0</v>
      </c>
      <c r="F3596" s="8">
        <v>0</v>
      </c>
      <c r="G3596" s="8">
        <v>45</v>
      </c>
      <c r="H3596" s="8" t="s">
        <v>7513</v>
      </c>
      <c r="I3596" s="8">
        <v>527.625</v>
      </c>
      <c r="J3596" s="3">
        <f t="shared" si="56"/>
        <v>43747.722626678238</v>
      </c>
    </row>
    <row r="3597" spans="1:10" x14ac:dyDescent="0.25">
      <c r="A3597" s="5" t="s">
        <v>7514</v>
      </c>
      <c r="B3597" s="6">
        <v>396.875</v>
      </c>
      <c r="C3597" s="6">
        <v>20.531590000000001</v>
      </c>
      <c r="D3597" s="6">
        <v>65</v>
      </c>
      <c r="E3597" s="6">
        <v>0</v>
      </c>
      <c r="F3597" s="6">
        <v>0</v>
      </c>
      <c r="G3597" s="6">
        <v>43</v>
      </c>
      <c r="H3597" s="6" t="s">
        <v>7515</v>
      </c>
      <c r="I3597" s="6">
        <v>527.4375</v>
      </c>
      <c r="J3597" s="2">
        <f t="shared" si="56"/>
        <v>43747.72269844907</v>
      </c>
    </row>
    <row r="3598" spans="1:10" x14ac:dyDescent="0.25">
      <c r="A3598" s="7" t="s">
        <v>7516</v>
      </c>
      <c r="B3598" s="8">
        <v>396.875</v>
      </c>
      <c r="C3598" s="8">
        <v>20.584240000000001</v>
      </c>
      <c r="D3598" s="8">
        <v>65</v>
      </c>
      <c r="E3598" s="8">
        <v>0</v>
      </c>
      <c r="F3598" s="8">
        <v>0</v>
      </c>
      <c r="G3598" s="8">
        <v>44</v>
      </c>
      <c r="H3598" s="8" t="s">
        <v>7517</v>
      </c>
      <c r="I3598" s="8">
        <v>527.4375</v>
      </c>
      <c r="J3598" s="3">
        <f t="shared" si="56"/>
        <v>43747.722782013887</v>
      </c>
    </row>
    <row r="3599" spans="1:10" x14ac:dyDescent="0.25">
      <c r="A3599" s="5" t="s">
        <v>7518</v>
      </c>
      <c r="B3599" s="6">
        <v>396.875</v>
      </c>
      <c r="C3599" s="6">
        <v>20.531590000000001</v>
      </c>
      <c r="D3599" s="6">
        <v>64</v>
      </c>
      <c r="E3599" s="6">
        <v>0</v>
      </c>
      <c r="F3599" s="6">
        <v>0</v>
      </c>
      <c r="G3599" s="6">
        <v>50</v>
      </c>
      <c r="H3599" s="6" t="s">
        <v>7519</v>
      </c>
      <c r="I3599" s="6">
        <v>527.4375</v>
      </c>
      <c r="J3599" s="2">
        <f t="shared" si="56"/>
        <v>43747.722865613425</v>
      </c>
    </row>
    <row r="3600" spans="1:10" x14ac:dyDescent="0.25">
      <c r="A3600" s="7" t="s">
        <v>7520</v>
      </c>
      <c r="B3600" s="8">
        <v>396.875</v>
      </c>
      <c r="C3600" s="8">
        <v>20.584240000000001</v>
      </c>
      <c r="D3600" s="8">
        <v>63</v>
      </c>
      <c r="E3600" s="8">
        <v>0</v>
      </c>
      <c r="F3600" s="8">
        <v>0</v>
      </c>
      <c r="G3600" s="8">
        <v>42</v>
      </c>
      <c r="H3600" s="8" t="s">
        <v>7521</v>
      </c>
      <c r="I3600" s="8">
        <v>527.25</v>
      </c>
      <c r="J3600" s="3">
        <f t="shared" si="56"/>
        <v>43747.72294890046</v>
      </c>
    </row>
    <row r="3601" spans="1:10" x14ac:dyDescent="0.25">
      <c r="A3601" s="5" t="s">
        <v>7522</v>
      </c>
      <c r="B3601" s="6">
        <v>396.875</v>
      </c>
      <c r="C3601" s="6">
        <v>20.478950000000001</v>
      </c>
      <c r="D3601" s="6">
        <v>64</v>
      </c>
      <c r="E3601" s="6">
        <v>0</v>
      </c>
      <c r="F3601" s="6">
        <v>0</v>
      </c>
      <c r="G3601" s="6">
        <v>45</v>
      </c>
      <c r="H3601" s="6" t="s">
        <v>7523</v>
      </c>
      <c r="I3601" s="6">
        <v>527.4375</v>
      </c>
      <c r="J3601" s="2">
        <f t="shared" si="56"/>
        <v>43747.723032476853</v>
      </c>
    </row>
    <row r="3602" spans="1:10" x14ac:dyDescent="0.25">
      <c r="A3602" s="7" t="s">
        <v>7524</v>
      </c>
      <c r="B3602" s="8">
        <v>396.875</v>
      </c>
      <c r="C3602" s="8">
        <v>20.478950000000001</v>
      </c>
      <c r="D3602" s="8">
        <v>64</v>
      </c>
      <c r="E3602" s="8">
        <v>0</v>
      </c>
      <c r="F3602" s="8">
        <v>0</v>
      </c>
      <c r="G3602" s="8">
        <v>42</v>
      </c>
      <c r="H3602" s="8" t="s">
        <v>7525</v>
      </c>
      <c r="I3602" s="8">
        <v>527.4375</v>
      </c>
      <c r="J3602" s="3">
        <f t="shared" si="56"/>
        <v>43747.723115706016</v>
      </c>
    </row>
    <row r="3603" spans="1:10" x14ac:dyDescent="0.25">
      <c r="A3603" s="5" t="s">
        <v>7526</v>
      </c>
      <c r="B3603" s="6">
        <v>393.75</v>
      </c>
      <c r="C3603" s="6">
        <v>20.478950000000001</v>
      </c>
      <c r="D3603" s="6">
        <v>64</v>
      </c>
      <c r="E3603" s="6">
        <v>0</v>
      </c>
      <c r="F3603" s="6">
        <v>0</v>
      </c>
      <c r="G3603" s="6">
        <v>51</v>
      </c>
      <c r="H3603" s="6" t="s">
        <v>7527</v>
      </c>
      <c r="I3603" s="6">
        <v>526.6875</v>
      </c>
      <c r="J3603" s="2">
        <f t="shared" si="56"/>
        <v>43747.723199363427</v>
      </c>
    </row>
    <row r="3604" spans="1:10" x14ac:dyDescent="0.25">
      <c r="A3604" s="7" t="s">
        <v>7528</v>
      </c>
      <c r="B3604" s="8">
        <v>396.875</v>
      </c>
      <c r="C3604" s="8">
        <v>20.584240000000001</v>
      </c>
      <c r="D3604" s="8">
        <v>64</v>
      </c>
      <c r="E3604" s="8">
        <v>0</v>
      </c>
      <c r="F3604" s="8">
        <v>0</v>
      </c>
      <c r="G3604" s="8">
        <v>48</v>
      </c>
      <c r="H3604" s="8" t="s">
        <v>7529</v>
      </c>
      <c r="I3604" s="8">
        <v>527.4375</v>
      </c>
      <c r="J3604" s="3">
        <f t="shared" si="56"/>
        <v>43747.723283067127</v>
      </c>
    </row>
    <row r="3605" spans="1:10" x14ac:dyDescent="0.25">
      <c r="A3605" s="5" t="s">
        <v>7530</v>
      </c>
      <c r="B3605" s="6">
        <v>400</v>
      </c>
      <c r="C3605" s="6">
        <v>20.531590000000001</v>
      </c>
      <c r="D3605" s="6">
        <v>64</v>
      </c>
      <c r="E3605" s="6">
        <v>0</v>
      </c>
      <c r="F3605" s="6">
        <v>0</v>
      </c>
      <c r="G3605" s="6">
        <v>41</v>
      </c>
      <c r="H3605" s="6" t="s">
        <v>7531</v>
      </c>
      <c r="I3605" s="6">
        <v>528.1875</v>
      </c>
      <c r="J3605" s="2">
        <f t="shared" si="56"/>
        <v>43747.723354467591</v>
      </c>
    </row>
    <row r="3606" spans="1:10" x14ac:dyDescent="0.25">
      <c r="A3606" s="7" t="s">
        <v>7532</v>
      </c>
      <c r="B3606" s="8">
        <v>400</v>
      </c>
      <c r="C3606" s="8">
        <v>20.531590000000001</v>
      </c>
      <c r="D3606" s="8">
        <v>64</v>
      </c>
      <c r="E3606" s="8">
        <v>0</v>
      </c>
      <c r="F3606" s="8">
        <v>0</v>
      </c>
      <c r="G3606" s="8">
        <v>47</v>
      </c>
      <c r="H3606" s="8" t="s">
        <v>7533</v>
      </c>
      <c r="I3606" s="8">
        <v>528.1875</v>
      </c>
      <c r="J3606" s="3">
        <f t="shared" si="56"/>
        <v>43747.723437916669</v>
      </c>
    </row>
    <row r="3607" spans="1:10" x14ac:dyDescent="0.25">
      <c r="A3607" s="5" t="s">
        <v>7534</v>
      </c>
      <c r="B3607" s="6">
        <v>396.875</v>
      </c>
      <c r="C3607" s="6">
        <v>20.531590000000001</v>
      </c>
      <c r="D3607" s="6">
        <v>63</v>
      </c>
      <c r="E3607" s="6">
        <v>0</v>
      </c>
      <c r="F3607" s="6">
        <v>0</v>
      </c>
      <c r="G3607" s="6">
        <v>46</v>
      </c>
      <c r="H3607" s="6" t="s">
        <v>7535</v>
      </c>
      <c r="I3607" s="6">
        <v>527.4375</v>
      </c>
      <c r="J3607" s="2">
        <f t="shared" si="56"/>
        <v>43747.723521365733</v>
      </c>
    </row>
    <row r="3608" spans="1:10" x14ac:dyDescent="0.25">
      <c r="A3608" s="7" t="s">
        <v>7536</v>
      </c>
      <c r="B3608" s="8">
        <v>396.875</v>
      </c>
      <c r="C3608" s="8">
        <v>20.531590000000001</v>
      </c>
      <c r="D3608" s="8">
        <v>63</v>
      </c>
      <c r="E3608" s="8">
        <v>0</v>
      </c>
      <c r="F3608" s="8">
        <v>0</v>
      </c>
      <c r="G3608" s="8">
        <v>36</v>
      </c>
      <c r="H3608" s="8" t="s">
        <v>7537</v>
      </c>
      <c r="I3608" s="8">
        <v>527.4375</v>
      </c>
      <c r="J3608" s="3">
        <f t="shared" si="56"/>
        <v>43747.723604594903</v>
      </c>
    </row>
    <row r="3609" spans="1:10" x14ac:dyDescent="0.25">
      <c r="A3609" s="5" t="s">
        <v>7538</v>
      </c>
      <c r="B3609" s="6">
        <v>415.625</v>
      </c>
      <c r="C3609" s="6">
        <v>20.531590000000001</v>
      </c>
      <c r="D3609" s="6">
        <v>63</v>
      </c>
      <c r="E3609" s="6">
        <v>0</v>
      </c>
      <c r="F3609" s="6">
        <v>0</v>
      </c>
      <c r="G3609" s="6">
        <v>39</v>
      </c>
      <c r="H3609" s="6" t="s">
        <v>7539</v>
      </c>
      <c r="I3609" s="6">
        <v>533.25</v>
      </c>
      <c r="J3609" s="2">
        <f t="shared" si="56"/>
        <v>43747.72367634259</v>
      </c>
    </row>
    <row r="3610" spans="1:10" x14ac:dyDescent="0.25">
      <c r="A3610" s="7" t="s">
        <v>7540</v>
      </c>
      <c r="B3610" s="8">
        <v>393.75</v>
      </c>
      <c r="C3610" s="8">
        <v>20.584240000000001</v>
      </c>
      <c r="D3610" s="8">
        <v>64</v>
      </c>
      <c r="E3610" s="8">
        <v>0</v>
      </c>
      <c r="F3610" s="8">
        <v>0</v>
      </c>
      <c r="G3610" s="8">
        <v>43</v>
      </c>
      <c r="H3610" s="8" t="s">
        <v>7541</v>
      </c>
      <c r="I3610" s="8">
        <v>526.6875</v>
      </c>
      <c r="J3610" s="3">
        <f t="shared" si="56"/>
        <v>43747.72376015046</v>
      </c>
    </row>
    <row r="3611" spans="1:10" x14ac:dyDescent="0.25">
      <c r="A3611" s="5" t="s">
        <v>7542</v>
      </c>
      <c r="B3611" s="6">
        <v>393.75</v>
      </c>
      <c r="C3611" s="6">
        <v>20.531590000000001</v>
      </c>
      <c r="D3611" s="6">
        <v>64</v>
      </c>
      <c r="E3611" s="6">
        <v>0</v>
      </c>
      <c r="F3611" s="6">
        <v>0</v>
      </c>
      <c r="G3611" s="6">
        <v>40</v>
      </c>
      <c r="H3611" s="6" t="s">
        <v>7543</v>
      </c>
      <c r="I3611" s="6">
        <v>526.6875</v>
      </c>
      <c r="J3611" s="2">
        <f t="shared" si="56"/>
        <v>43747.723843344902</v>
      </c>
    </row>
    <row r="3612" spans="1:10" x14ac:dyDescent="0.25">
      <c r="A3612" s="7" t="s">
        <v>7544</v>
      </c>
      <c r="B3612" s="8">
        <v>393.75</v>
      </c>
      <c r="C3612" s="8">
        <v>20.584240000000001</v>
      </c>
      <c r="D3612" s="8">
        <v>68</v>
      </c>
      <c r="E3612" s="8">
        <v>0</v>
      </c>
      <c r="F3612" s="8">
        <v>0</v>
      </c>
      <c r="G3612" s="8">
        <v>39</v>
      </c>
      <c r="H3612" s="8" t="s">
        <v>7545</v>
      </c>
      <c r="I3612" s="8">
        <v>526.6875</v>
      </c>
      <c r="J3612" s="3">
        <f t="shared" si="56"/>
        <v>43747.723938738425</v>
      </c>
    </row>
    <row r="3613" spans="1:10" x14ac:dyDescent="0.25">
      <c r="A3613" s="5" t="s">
        <v>7546</v>
      </c>
      <c r="B3613" s="6">
        <v>393.75</v>
      </c>
      <c r="C3613" s="6">
        <v>20.584240000000001</v>
      </c>
      <c r="D3613" s="6">
        <v>67</v>
      </c>
      <c r="E3613" s="6">
        <v>0</v>
      </c>
      <c r="F3613" s="6">
        <v>0</v>
      </c>
      <c r="G3613" s="6">
        <v>47</v>
      </c>
      <c r="H3613" s="6" t="s">
        <v>7547</v>
      </c>
      <c r="I3613" s="6">
        <v>526.6875</v>
      </c>
      <c r="J3613" s="2">
        <f t="shared" si="56"/>
        <v>43747.72401035879</v>
      </c>
    </row>
    <row r="3614" spans="1:10" x14ac:dyDescent="0.25">
      <c r="A3614" s="7" t="s">
        <v>7548</v>
      </c>
      <c r="B3614" s="8">
        <v>412.5</v>
      </c>
      <c r="C3614" s="8">
        <v>20.584240000000001</v>
      </c>
      <c r="D3614" s="8">
        <v>68</v>
      </c>
      <c r="E3614" s="8">
        <v>0</v>
      </c>
      <c r="F3614" s="8">
        <v>0</v>
      </c>
      <c r="G3614" s="8">
        <v>43</v>
      </c>
      <c r="H3614" s="8" t="s">
        <v>7549</v>
      </c>
      <c r="I3614" s="8">
        <v>532.3125</v>
      </c>
      <c r="J3614" s="3">
        <f t="shared" si="56"/>
        <v>43747.724093553239</v>
      </c>
    </row>
    <row r="3615" spans="1:10" x14ac:dyDescent="0.25">
      <c r="A3615" s="5" t="s">
        <v>7550</v>
      </c>
      <c r="B3615" s="6">
        <v>393.75</v>
      </c>
      <c r="C3615" s="6">
        <v>20.531590000000001</v>
      </c>
      <c r="D3615" s="6">
        <v>68</v>
      </c>
      <c r="E3615" s="6">
        <v>0</v>
      </c>
      <c r="F3615" s="6">
        <v>0</v>
      </c>
      <c r="G3615" s="6">
        <v>40</v>
      </c>
      <c r="H3615" s="6" t="s">
        <v>7551</v>
      </c>
      <c r="I3615" s="6">
        <v>526.6875</v>
      </c>
      <c r="J3615" s="2">
        <f t="shared" si="56"/>
        <v>43747.724165127314</v>
      </c>
    </row>
    <row r="3616" spans="1:10" x14ac:dyDescent="0.25">
      <c r="A3616" s="7" t="s">
        <v>7552</v>
      </c>
      <c r="B3616" s="8">
        <v>393.75</v>
      </c>
      <c r="C3616" s="8">
        <v>20.531590000000001</v>
      </c>
      <c r="D3616" s="8">
        <v>67</v>
      </c>
      <c r="E3616" s="8">
        <v>0</v>
      </c>
      <c r="F3616" s="8">
        <v>0</v>
      </c>
      <c r="G3616" s="8">
        <v>42</v>
      </c>
      <c r="H3616" s="8" t="s">
        <v>7553</v>
      </c>
      <c r="I3616" s="8">
        <v>526.6875</v>
      </c>
      <c r="J3616" s="3">
        <f t="shared" si="56"/>
        <v>43747.724248923609</v>
      </c>
    </row>
    <row r="3617" spans="1:10" x14ac:dyDescent="0.25">
      <c r="A3617" s="5" t="s">
        <v>7554</v>
      </c>
      <c r="B3617" s="6">
        <v>393.75</v>
      </c>
      <c r="C3617" s="6">
        <v>20.531590000000001</v>
      </c>
      <c r="D3617" s="6">
        <v>65</v>
      </c>
      <c r="E3617" s="6">
        <v>0</v>
      </c>
      <c r="F3617" s="6">
        <v>0</v>
      </c>
      <c r="G3617" s="6">
        <v>40</v>
      </c>
      <c r="H3617" s="6" t="s">
        <v>7555</v>
      </c>
      <c r="I3617" s="6">
        <v>526.6875</v>
      </c>
      <c r="J3617" s="2">
        <f t="shared" si="56"/>
        <v>43747.724332233796</v>
      </c>
    </row>
    <row r="3618" spans="1:10" x14ac:dyDescent="0.25">
      <c r="A3618" s="7" t="s">
        <v>7556</v>
      </c>
      <c r="B3618" s="8">
        <v>393.75</v>
      </c>
      <c r="C3618" s="8">
        <v>20.531590000000001</v>
      </c>
      <c r="D3618" s="8">
        <v>65</v>
      </c>
      <c r="E3618" s="8">
        <v>0</v>
      </c>
      <c r="F3618" s="8">
        <v>0</v>
      </c>
      <c r="G3618" s="8">
        <v>34</v>
      </c>
      <c r="H3618" s="8" t="s">
        <v>7557</v>
      </c>
      <c r="I3618" s="8">
        <v>526.6875</v>
      </c>
      <c r="J3618" s="3">
        <f t="shared" si="56"/>
        <v>43747.7244202199</v>
      </c>
    </row>
    <row r="3619" spans="1:10" x14ac:dyDescent="0.25">
      <c r="A3619" s="5" t="s">
        <v>7558</v>
      </c>
      <c r="B3619" s="6">
        <v>412.5</v>
      </c>
      <c r="C3619" s="6">
        <v>20.531590000000001</v>
      </c>
      <c r="D3619" s="6">
        <v>65</v>
      </c>
      <c r="E3619" s="6">
        <v>0</v>
      </c>
      <c r="F3619" s="6">
        <v>0</v>
      </c>
      <c r="G3619" s="6">
        <v>43</v>
      </c>
      <c r="H3619" s="6" t="s">
        <v>7559</v>
      </c>
      <c r="I3619" s="6">
        <v>532.3125</v>
      </c>
      <c r="J3619" s="2">
        <f t="shared" si="56"/>
        <v>43747.724499247684</v>
      </c>
    </row>
    <row r="3620" spans="1:10" x14ac:dyDescent="0.25">
      <c r="A3620" s="7" t="s">
        <v>7560</v>
      </c>
      <c r="B3620" s="8">
        <v>396.875</v>
      </c>
      <c r="C3620" s="8">
        <v>20.531590000000001</v>
      </c>
      <c r="D3620" s="8">
        <v>64</v>
      </c>
      <c r="E3620" s="8">
        <v>0</v>
      </c>
      <c r="F3620" s="8">
        <v>0</v>
      </c>
      <c r="G3620" s="8">
        <v>37</v>
      </c>
      <c r="H3620" s="8" t="s">
        <v>7561</v>
      </c>
      <c r="I3620" s="8">
        <v>527.4375</v>
      </c>
      <c r="J3620" s="3">
        <f t="shared" si="56"/>
        <v>43747.72458234954</v>
      </c>
    </row>
    <row r="3621" spans="1:10" x14ac:dyDescent="0.25">
      <c r="A3621" s="5" t="s">
        <v>7562</v>
      </c>
      <c r="B3621" s="6">
        <v>396.875</v>
      </c>
      <c r="C3621" s="6">
        <v>20.584240000000001</v>
      </c>
      <c r="D3621" s="6">
        <v>64</v>
      </c>
      <c r="E3621" s="6">
        <v>0</v>
      </c>
      <c r="F3621" s="6">
        <v>0</v>
      </c>
      <c r="G3621" s="6">
        <v>41</v>
      </c>
      <c r="H3621" s="6" t="s">
        <v>7563</v>
      </c>
      <c r="I3621" s="6">
        <v>527.4375</v>
      </c>
      <c r="J3621" s="2">
        <f t="shared" si="56"/>
        <v>43747.724654108795</v>
      </c>
    </row>
    <row r="3622" spans="1:10" x14ac:dyDescent="0.25">
      <c r="A3622" s="7" t="s">
        <v>7564</v>
      </c>
      <c r="B3622" s="8">
        <v>396.875</v>
      </c>
      <c r="C3622" s="8">
        <v>20.584240000000001</v>
      </c>
      <c r="D3622" s="8">
        <v>62</v>
      </c>
      <c r="E3622" s="8">
        <v>0</v>
      </c>
      <c r="F3622" s="8">
        <v>0</v>
      </c>
      <c r="G3622" s="8">
        <v>42</v>
      </c>
      <c r="H3622" s="8" t="s">
        <v>7565</v>
      </c>
      <c r="I3622" s="8">
        <v>527.4375</v>
      </c>
      <c r="J3622" s="3">
        <f t="shared" si="56"/>
        <v>43747.724737708333</v>
      </c>
    </row>
    <row r="3623" spans="1:10" x14ac:dyDescent="0.25">
      <c r="A3623" s="5" t="s">
        <v>7566</v>
      </c>
      <c r="B3623" s="6">
        <v>396.875</v>
      </c>
      <c r="C3623" s="6">
        <v>20.478950000000001</v>
      </c>
      <c r="D3623" s="6">
        <v>61</v>
      </c>
      <c r="E3623" s="6">
        <v>0</v>
      </c>
      <c r="F3623" s="6">
        <v>0</v>
      </c>
      <c r="G3623" s="6">
        <v>46</v>
      </c>
      <c r="H3623" s="6" t="s">
        <v>7567</v>
      </c>
      <c r="I3623" s="6">
        <v>527.4375</v>
      </c>
      <c r="J3623" s="2">
        <f t="shared" si="56"/>
        <v>43747.724821145828</v>
      </c>
    </row>
    <row r="3624" spans="1:10" x14ac:dyDescent="0.25">
      <c r="A3624" s="7" t="s">
        <v>7568</v>
      </c>
      <c r="B3624" s="8">
        <v>418.75</v>
      </c>
      <c r="C3624" s="8">
        <v>20.531590000000001</v>
      </c>
      <c r="D3624" s="8">
        <v>61</v>
      </c>
      <c r="E3624" s="8">
        <v>0</v>
      </c>
      <c r="F3624" s="8">
        <v>0</v>
      </c>
      <c r="G3624" s="8">
        <v>52</v>
      </c>
      <c r="H3624" s="8" t="s">
        <v>7569</v>
      </c>
      <c r="I3624" s="8">
        <v>534.75</v>
      </c>
      <c r="J3624" s="3">
        <f t="shared" si="56"/>
        <v>43747.724904571754</v>
      </c>
    </row>
    <row r="3625" spans="1:10" x14ac:dyDescent="0.25">
      <c r="A3625" s="5" t="s">
        <v>7570</v>
      </c>
      <c r="B3625" s="6">
        <v>393.75</v>
      </c>
      <c r="C3625" s="6">
        <v>20.531590000000001</v>
      </c>
      <c r="D3625" s="6">
        <v>60</v>
      </c>
      <c r="E3625" s="6">
        <v>0</v>
      </c>
      <c r="F3625" s="6">
        <v>0</v>
      </c>
      <c r="G3625" s="6">
        <v>44</v>
      </c>
      <c r="H3625" s="6" t="s">
        <v>7571</v>
      </c>
      <c r="I3625" s="6">
        <v>526.6875</v>
      </c>
      <c r="J3625" s="2">
        <f t="shared" si="56"/>
        <v>43747.725000023151</v>
      </c>
    </row>
    <row r="3626" spans="1:10" x14ac:dyDescent="0.25">
      <c r="A3626" s="7" t="s">
        <v>7572</v>
      </c>
      <c r="B3626" s="8">
        <v>412.5</v>
      </c>
      <c r="C3626" s="8">
        <v>20.531590000000001</v>
      </c>
      <c r="D3626" s="8">
        <v>60</v>
      </c>
      <c r="E3626" s="8">
        <v>0</v>
      </c>
      <c r="F3626" s="8">
        <v>0</v>
      </c>
      <c r="G3626" s="8">
        <v>48</v>
      </c>
      <c r="H3626" s="8" t="s">
        <v>7573</v>
      </c>
      <c r="I3626" s="8">
        <v>532.125</v>
      </c>
      <c r="J3626" s="3">
        <f t="shared" si="56"/>
        <v>43747.725083622681</v>
      </c>
    </row>
    <row r="3627" spans="1:10" x14ac:dyDescent="0.25">
      <c r="A3627" s="5" t="s">
        <v>7574</v>
      </c>
      <c r="B3627" s="6">
        <v>393.75</v>
      </c>
      <c r="C3627" s="6">
        <v>20.531590000000001</v>
      </c>
      <c r="D3627" s="6">
        <v>61</v>
      </c>
      <c r="E3627" s="6">
        <v>0</v>
      </c>
      <c r="F3627" s="6">
        <v>0</v>
      </c>
      <c r="G3627" s="6">
        <v>42</v>
      </c>
      <c r="H3627" s="6" t="s">
        <v>7575</v>
      </c>
      <c r="I3627" s="6">
        <v>526.6875</v>
      </c>
      <c r="J3627" s="2">
        <f t="shared" si="56"/>
        <v>43747.72516696759</v>
      </c>
    </row>
    <row r="3628" spans="1:10" x14ac:dyDescent="0.25">
      <c r="A3628" s="7" t="s">
        <v>7576</v>
      </c>
      <c r="B3628" s="8">
        <v>393.75</v>
      </c>
      <c r="C3628" s="8">
        <v>20.531590000000001</v>
      </c>
      <c r="D3628" s="8">
        <v>61</v>
      </c>
      <c r="E3628" s="8">
        <v>0</v>
      </c>
      <c r="F3628" s="8">
        <v>0</v>
      </c>
      <c r="G3628" s="8">
        <v>42</v>
      </c>
      <c r="H3628" s="8" t="s">
        <v>7577</v>
      </c>
      <c r="I3628" s="8">
        <v>526.6875</v>
      </c>
      <c r="J3628" s="3">
        <f t="shared" si="56"/>
        <v>43747.725250428237</v>
      </c>
    </row>
    <row r="3629" spans="1:10" x14ac:dyDescent="0.25">
      <c r="A3629" s="5" t="s">
        <v>7578</v>
      </c>
      <c r="B3629" s="6">
        <v>393.75</v>
      </c>
      <c r="C3629" s="6">
        <v>20.531590000000001</v>
      </c>
      <c r="D3629" s="6">
        <v>62</v>
      </c>
      <c r="E3629" s="6">
        <v>0</v>
      </c>
      <c r="F3629" s="6">
        <v>0</v>
      </c>
      <c r="G3629" s="6">
        <v>36</v>
      </c>
      <c r="H3629" s="6" t="s">
        <v>7579</v>
      </c>
      <c r="I3629" s="6">
        <v>526.6875</v>
      </c>
      <c r="J3629" s="2">
        <f t="shared" si="56"/>
        <v>43747.725333865739</v>
      </c>
    </row>
    <row r="3630" spans="1:10" x14ac:dyDescent="0.25">
      <c r="A3630" s="7" t="s">
        <v>7580</v>
      </c>
      <c r="B3630" s="8">
        <v>393.75</v>
      </c>
      <c r="C3630" s="8">
        <v>20.584240000000001</v>
      </c>
      <c r="D3630" s="8">
        <v>62</v>
      </c>
      <c r="E3630" s="8">
        <v>0</v>
      </c>
      <c r="F3630" s="8">
        <v>0</v>
      </c>
      <c r="G3630" s="8">
        <v>42</v>
      </c>
      <c r="H3630" s="8" t="s">
        <v>7581</v>
      </c>
      <c r="I3630" s="8">
        <v>526.6875</v>
      </c>
      <c r="J3630" s="3">
        <f t="shared" si="56"/>
        <v>43747.725417407404</v>
      </c>
    </row>
    <row r="3631" spans="1:10" x14ac:dyDescent="0.25">
      <c r="A3631" s="5" t="s">
        <v>7582</v>
      </c>
      <c r="B3631" s="6">
        <v>393.75</v>
      </c>
      <c r="C3631" s="6">
        <v>20.531590000000001</v>
      </c>
      <c r="D3631" s="6">
        <v>62</v>
      </c>
      <c r="E3631" s="6">
        <v>0</v>
      </c>
      <c r="F3631" s="6">
        <v>0</v>
      </c>
      <c r="G3631" s="6">
        <v>45</v>
      </c>
      <c r="H3631" s="6" t="s">
        <v>7583</v>
      </c>
      <c r="I3631" s="6">
        <v>526.6875</v>
      </c>
      <c r="J3631" s="2">
        <f t="shared" si="56"/>
        <v>43747.725500879627</v>
      </c>
    </row>
    <row r="3632" spans="1:10" x14ac:dyDescent="0.25">
      <c r="A3632" s="7" t="s">
        <v>7584</v>
      </c>
      <c r="B3632" s="8">
        <v>393.75</v>
      </c>
      <c r="C3632" s="8">
        <v>20.531590000000001</v>
      </c>
      <c r="D3632" s="8">
        <v>63</v>
      </c>
      <c r="E3632" s="8">
        <v>0</v>
      </c>
      <c r="F3632" s="8">
        <v>0</v>
      </c>
      <c r="G3632" s="8">
        <v>48</v>
      </c>
      <c r="H3632" s="8" t="s">
        <v>7585</v>
      </c>
      <c r="I3632" s="8">
        <v>526.5</v>
      </c>
      <c r="J3632" s="3">
        <f t="shared" si="56"/>
        <v>43747.725584328706</v>
      </c>
    </row>
    <row r="3633" spans="1:10" x14ac:dyDescent="0.25">
      <c r="A3633" s="5" t="s">
        <v>7586</v>
      </c>
      <c r="B3633" s="6">
        <v>393.75</v>
      </c>
      <c r="C3633" s="6">
        <v>20.531590000000001</v>
      </c>
      <c r="D3633" s="6">
        <v>64</v>
      </c>
      <c r="E3633" s="6">
        <v>0</v>
      </c>
      <c r="F3633" s="6">
        <v>0</v>
      </c>
      <c r="G3633" s="6">
        <v>44</v>
      </c>
      <c r="H3633" s="6" t="s">
        <v>7587</v>
      </c>
      <c r="I3633" s="6">
        <v>526.6875</v>
      </c>
      <c r="J3633" s="2">
        <f t="shared" si="56"/>
        <v>43747.725667534723</v>
      </c>
    </row>
    <row r="3634" spans="1:10" x14ac:dyDescent="0.25">
      <c r="A3634" s="7" t="s">
        <v>7588</v>
      </c>
      <c r="B3634" s="8">
        <v>393.75</v>
      </c>
      <c r="C3634" s="8">
        <v>20.478950000000001</v>
      </c>
      <c r="D3634" s="8">
        <v>64</v>
      </c>
      <c r="E3634" s="8">
        <v>0</v>
      </c>
      <c r="F3634" s="8">
        <v>0</v>
      </c>
      <c r="G3634" s="8">
        <v>43</v>
      </c>
      <c r="H3634" s="8" t="s">
        <v>7589</v>
      </c>
      <c r="I3634" s="8">
        <v>526.6875</v>
      </c>
      <c r="J3634" s="3">
        <f t="shared" si="56"/>
        <v>43747.725739317124</v>
      </c>
    </row>
    <row r="3635" spans="1:10" x14ac:dyDescent="0.25">
      <c r="A3635" s="5" t="s">
        <v>7590</v>
      </c>
      <c r="B3635" s="6">
        <v>393.75</v>
      </c>
      <c r="C3635" s="6">
        <v>20.584240000000001</v>
      </c>
      <c r="D3635" s="6">
        <v>64</v>
      </c>
      <c r="E3635" s="6">
        <v>0</v>
      </c>
      <c r="F3635" s="6">
        <v>0</v>
      </c>
      <c r="G3635" s="6">
        <v>37</v>
      </c>
      <c r="H3635" s="6" t="s">
        <v>7591</v>
      </c>
      <c r="I3635" s="6">
        <v>526.6875</v>
      </c>
      <c r="J3635" s="2">
        <f t="shared" si="56"/>
        <v>43747.725823182867</v>
      </c>
    </row>
    <row r="3636" spans="1:10" x14ac:dyDescent="0.25">
      <c r="A3636" s="7" t="s">
        <v>7592</v>
      </c>
      <c r="B3636" s="8">
        <v>393.75</v>
      </c>
      <c r="C3636" s="8">
        <v>20.531590000000001</v>
      </c>
      <c r="D3636" s="8">
        <v>69</v>
      </c>
      <c r="E3636" s="8">
        <v>0</v>
      </c>
      <c r="F3636" s="8">
        <v>0</v>
      </c>
      <c r="G3636" s="8">
        <v>46</v>
      </c>
      <c r="H3636" s="8" t="s">
        <v>7593</v>
      </c>
      <c r="I3636" s="8">
        <v>526.5</v>
      </c>
      <c r="J3636" s="3">
        <f t="shared" si="56"/>
        <v>43747.725906296291</v>
      </c>
    </row>
    <row r="3637" spans="1:10" x14ac:dyDescent="0.25">
      <c r="A3637" s="5" t="s">
        <v>7594</v>
      </c>
      <c r="B3637" s="6">
        <v>393.75</v>
      </c>
      <c r="C3637" s="6">
        <v>20.531590000000001</v>
      </c>
      <c r="D3637" s="6">
        <v>66</v>
      </c>
      <c r="E3637" s="6">
        <v>0</v>
      </c>
      <c r="F3637" s="6">
        <v>0</v>
      </c>
      <c r="G3637" s="6">
        <v>47</v>
      </c>
      <c r="H3637" s="6" t="s">
        <v>7595</v>
      </c>
      <c r="I3637" s="6">
        <v>526.6875</v>
      </c>
      <c r="J3637" s="2">
        <f t="shared" si="56"/>
        <v>43747.725989652776</v>
      </c>
    </row>
    <row r="3638" spans="1:10" x14ac:dyDescent="0.25">
      <c r="A3638" s="7" t="s">
        <v>7596</v>
      </c>
      <c r="B3638" s="8">
        <v>412.5</v>
      </c>
      <c r="C3638" s="8">
        <v>20.531590000000001</v>
      </c>
      <c r="D3638" s="8">
        <v>67</v>
      </c>
      <c r="E3638" s="8">
        <v>0</v>
      </c>
      <c r="F3638" s="8">
        <v>0</v>
      </c>
      <c r="G3638" s="8">
        <v>40</v>
      </c>
      <c r="H3638" s="8" t="s">
        <v>7597</v>
      </c>
      <c r="I3638" s="8">
        <v>532.3125</v>
      </c>
      <c r="J3638" s="3">
        <f t="shared" si="56"/>
        <v>43747.726073310179</v>
      </c>
    </row>
    <row r="3639" spans="1:10" x14ac:dyDescent="0.25">
      <c r="A3639" s="5" t="s">
        <v>7598</v>
      </c>
      <c r="B3639" s="6">
        <v>393.75</v>
      </c>
      <c r="C3639" s="6">
        <v>20.584240000000001</v>
      </c>
      <c r="D3639" s="6">
        <v>67</v>
      </c>
      <c r="E3639" s="6">
        <v>0</v>
      </c>
      <c r="F3639" s="6">
        <v>0</v>
      </c>
      <c r="G3639" s="6">
        <v>42</v>
      </c>
      <c r="H3639" s="6" t="s">
        <v>7599</v>
      </c>
      <c r="I3639" s="6">
        <v>526.6875</v>
      </c>
      <c r="J3639" s="2">
        <f t="shared" si="56"/>
        <v>43747.726156412034</v>
      </c>
    </row>
    <row r="3640" spans="1:10" x14ac:dyDescent="0.25">
      <c r="A3640" s="7" t="s">
        <v>7600</v>
      </c>
      <c r="B3640" s="8">
        <v>396.875</v>
      </c>
      <c r="C3640" s="8">
        <v>20.531590000000001</v>
      </c>
      <c r="D3640" s="8">
        <v>67</v>
      </c>
      <c r="E3640" s="8">
        <v>0</v>
      </c>
      <c r="F3640" s="8">
        <v>0</v>
      </c>
      <c r="G3640" s="8">
        <v>42</v>
      </c>
      <c r="H3640" s="8" t="s">
        <v>7601</v>
      </c>
      <c r="I3640" s="8">
        <v>527.4375</v>
      </c>
      <c r="J3640" s="3">
        <f t="shared" si="56"/>
        <v>43747.726240231474</v>
      </c>
    </row>
    <row r="3641" spans="1:10" x14ac:dyDescent="0.25">
      <c r="A3641" s="5" t="s">
        <v>7602</v>
      </c>
      <c r="B3641" s="6">
        <v>396.875</v>
      </c>
      <c r="C3641" s="6">
        <v>20.531590000000001</v>
      </c>
      <c r="D3641" s="6">
        <v>65</v>
      </c>
      <c r="E3641" s="6">
        <v>0</v>
      </c>
      <c r="F3641" s="6">
        <v>0</v>
      </c>
      <c r="G3641" s="6">
        <v>40</v>
      </c>
      <c r="H3641" s="6" t="s">
        <v>7603</v>
      </c>
      <c r="I3641" s="6">
        <v>527.4375</v>
      </c>
      <c r="J3641" s="2">
        <f t="shared" si="56"/>
        <v>43747.726324016206</v>
      </c>
    </row>
    <row r="3642" spans="1:10" x14ac:dyDescent="0.25">
      <c r="A3642" s="7" t="s">
        <v>7604</v>
      </c>
      <c r="B3642" s="8">
        <v>396.875</v>
      </c>
      <c r="C3642" s="8">
        <v>20.531590000000001</v>
      </c>
      <c r="D3642" s="8">
        <v>66</v>
      </c>
      <c r="E3642" s="8">
        <v>0</v>
      </c>
      <c r="F3642" s="8">
        <v>0</v>
      </c>
      <c r="G3642" s="8">
        <v>40</v>
      </c>
      <c r="H3642" s="8" t="s">
        <v>7605</v>
      </c>
      <c r="I3642" s="8">
        <v>527.4375</v>
      </c>
      <c r="J3642" s="3">
        <f t="shared" si="56"/>
        <v>43747.72639520833</v>
      </c>
    </row>
    <row r="3643" spans="1:10" x14ac:dyDescent="0.25">
      <c r="A3643" s="5" t="s">
        <v>7606</v>
      </c>
      <c r="B3643" s="6">
        <v>415.625</v>
      </c>
      <c r="C3643" s="6">
        <v>20.531590000000001</v>
      </c>
      <c r="D3643" s="6">
        <v>65</v>
      </c>
      <c r="E3643" s="6">
        <v>0</v>
      </c>
      <c r="F3643" s="6">
        <v>0</v>
      </c>
      <c r="G3643" s="6">
        <v>42</v>
      </c>
      <c r="H3643" s="6" t="s">
        <v>7607</v>
      </c>
      <c r="I3643" s="6">
        <v>533.0625</v>
      </c>
      <c r="J3643" s="2">
        <f t="shared" si="56"/>
        <v>43747.726478541663</v>
      </c>
    </row>
    <row r="3644" spans="1:10" x14ac:dyDescent="0.25">
      <c r="A3644" s="7" t="s">
        <v>7608</v>
      </c>
      <c r="B3644" s="8">
        <v>400</v>
      </c>
      <c r="C3644" s="8">
        <v>20.531590000000001</v>
      </c>
      <c r="D3644" s="8">
        <v>66</v>
      </c>
      <c r="E3644" s="8">
        <v>0</v>
      </c>
      <c r="F3644" s="8">
        <v>0</v>
      </c>
      <c r="G3644" s="8">
        <v>49</v>
      </c>
      <c r="H3644" s="8" t="s">
        <v>7609</v>
      </c>
      <c r="I3644" s="8">
        <v>528.1875</v>
      </c>
      <c r="J3644" s="3">
        <f t="shared" si="56"/>
        <v>43747.726569560182</v>
      </c>
    </row>
    <row r="3645" spans="1:10" x14ac:dyDescent="0.25">
      <c r="A3645" s="5" t="s">
        <v>7610</v>
      </c>
      <c r="B3645" s="6">
        <v>415.625</v>
      </c>
      <c r="C3645" s="6">
        <v>20.531590000000001</v>
      </c>
      <c r="D3645" s="6">
        <v>66</v>
      </c>
      <c r="E3645" s="6">
        <v>0</v>
      </c>
      <c r="F3645" s="6">
        <v>0</v>
      </c>
      <c r="G3645" s="6">
        <v>45</v>
      </c>
      <c r="H3645" s="6" t="s">
        <v>7611</v>
      </c>
      <c r="I3645" s="6">
        <v>533.8125</v>
      </c>
      <c r="J3645" s="2">
        <f t="shared" si="56"/>
        <v>43747.726645324066</v>
      </c>
    </row>
    <row r="3646" spans="1:10" x14ac:dyDescent="0.25">
      <c r="A3646" s="7" t="s">
        <v>7612</v>
      </c>
      <c r="B3646" s="8">
        <v>403.125</v>
      </c>
      <c r="C3646" s="8">
        <v>20.478950000000001</v>
      </c>
      <c r="D3646" s="8">
        <v>66</v>
      </c>
      <c r="E3646" s="8">
        <v>0</v>
      </c>
      <c r="F3646" s="8">
        <v>0</v>
      </c>
      <c r="G3646" s="8">
        <v>43</v>
      </c>
      <c r="H3646" s="8" t="s">
        <v>7613</v>
      </c>
      <c r="I3646" s="8">
        <v>529.125</v>
      </c>
      <c r="J3646" s="3">
        <f t="shared" si="56"/>
        <v>43747.726716967591</v>
      </c>
    </row>
    <row r="3647" spans="1:10" x14ac:dyDescent="0.25">
      <c r="A3647" s="5" t="s">
        <v>7614</v>
      </c>
      <c r="B3647" s="6">
        <v>403.125</v>
      </c>
      <c r="C3647" s="6">
        <v>20.531590000000001</v>
      </c>
      <c r="D3647" s="6">
        <v>66</v>
      </c>
      <c r="E3647" s="6">
        <v>0</v>
      </c>
      <c r="F3647" s="6">
        <v>0</v>
      </c>
      <c r="G3647" s="6">
        <v>43</v>
      </c>
      <c r="H3647" s="6" t="s">
        <v>7615</v>
      </c>
      <c r="I3647" s="6">
        <v>529.125</v>
      </c>
      <c r="J3647" s="2">
        <f t="shared" si="56"/>
        <v>43747.726800821758</v>
      </c>
    </row>
    <row r="3648" spans="1:10" x14ac:dyDescent="0.25">
      <c r="A3648" s="7" t="s">
        <v>7616</v>
      </c>
      <c r="B3648" s="8">
        <v>425</v>
      </c>
      <c r="C3648" s="8">
        <v>20.478950000000001</v>
      </c>
      <c r="D3648" s="8">
        <v>66</v>
      </c>
      <c r="E3648" s="8">
        <v>0</v>
      </c>
      <c r="F3648" s="8">
        <v>0</v>
      </c>
      <c r="G3648" s="8">
        <v>49</v>
      </c>
      <c r="H3648" s="8" t="s">
        <v>7617</v>
      </c>
      <c r="I3648" s="8">
        <v>536.625</v>
      </c>
      <c r="J3648" s="3">
        <f t="shared" si="56"/>
        <v>43747.726884074073</v>
      </c>
    </row>
    <row r="3649" spans="1:10" x14ac:dyDescent="0.25">
      <c r="A3649" s="5" t="s">
        <v>7618</v>
      </c>
      <c r="B3649" s="6">
        <v>403.125</v>
      </c>
      <c r="C3649" s="6">
        <v>20.584240000000001</v>
      </c>
      <c r="D3649" s="6">
        <v>71</v>
      </c>
      <c r="E3649" s="6">
        <v>0</v>
      </c>
      <c r="F3649" s="6">
        <v>0</v>
      </c>
      <c r="G3649" s="6">
        <v>46</v>
      </c>
      <c r="H3649" s="6" t="s">
        <v>7619</v>
      </c>
      <c r="I3649" s="6">
        <v>529.125</v>
      </c>
      <c r="J3649" s="2">
        <f t="shared" si="56"/>
        <v>43747.726955625003</v>
      </c>
    </row>
    <row r="3650" spans="1:10" x14ac:dyDescent="0.25">
      <c r="A3650" s="7" t="s">
        <v>7620</v>
      </c>
      <c r="B3650" s="8">
        <v>403.125</v>
      </c>
      <c r="C3650" s="8">
        <v>20.478950000000001</v>
      </c>
      <c r="D3650" s="8">
        <v>70</v>
      </c>
      <c r="E3650" s="8">
        <v>0</v>
      </c>
      <c r="F3650" s="8">
        <v>0</v>
      </c>
      <c r="G3650" s="8">
        <v>43</v>
      </c>
      <c r="H3650" s="8" t="s">
        <v>7621</v>
      </c>
      <c r="I3650" s="8">
        <v>529.125</v>
      </c>
      <c r="J3650" s="3">
        <f t="shared" ref="J3650:J3713" si="57">(H3650/86400000)+25569+(7/24)</f>
        <v>43747.727039189813</v>
      </c>
    </row>
    <row r="3651" spans="1:10" x14ac:dyDescent="0.25">
      <c r="A3651" s="5" t="s">
        <v>7622</v>
      </c>
      <c r="B3651" s="6">
        <v>403.125</v>
      </c>
      <c r="C3651" s="6">
        <v>20.478950000000001</v>
      </c>
      <c r="D3651" s="6">
        <v>70</v>
      </c>
      <c r="E3651" s="6">
        <v>0</v>
      </c>
      <c r="F3651" s="6">
        <v>0</v>
      </c>
      <c r="G3651" s="6">
        <v>43</v>
      </c>
      <c r="H3651" s="6" t="s">
        <v>7623</v>
      </c>
      <c r="I3651" s="6">
        <v>529.125</v>
      </c>
      <c r="J3651" s="2">
        <f t="shared" si="57"/>
        <v>43747.727122615739</v>
      </c>
    </row>
    <row r="3652" spans="1:10" x14ac:dyDescent="0.25">
      <c r="A3652" s="7" t="s">
        <v>7624</v>
      </c>
      <c r="B3652" s="8">
        <v>400</v>
      </c>
      <c r="C3652" s="8">
        <v>20.478950000000001</v>
      </c>
      <c r="D3652" s="8">
        <v>70</v>
      </c>
      <c r="E3652" s="8">
        <v>0</v>
      </c>
      <c r="F3652" s="8">
        <v>0</v>
      </c>
      <c r="G3652" s="8">
        <v>48</v>
      </c>
      <c r="H3652" s="8" t="s">
        <v>7625</v>
      </c>
      <c r="I3652" s="8">
        <v>528.1875</v>
      </c>
      <c r="J3652" s="3">
        <f t="shared" si="57"/>
        <v>43747.727205844909</v>
      </c>
    </row>
    <row r="3653" spans="1:10" x14ac:dyDescent="0.25">
      <c r="A3653" s="5" t="s">
        <v>7626</v>
      </c>
      <c r="B3653" s="6">
        <v>418.75</v>
      </c>
      <c r="C3653" s="6">
        <v>20.531590000000001</v>
      </c>
      <c r="D3653" s="6">
        <v>70</v>
      </c>
      <c r="E3653" s="6">
        <v>0</v>
      </c>
      <c r="F3653" s="6">
        <v>0</v>
      </c>
      <c r="G3653" s="6">
        <v>54</v>
      </c>
      <c r="H3653" s="6" t="s">
        <v>7627</v>
      </c>
      <c r="I3653" s="6">
        <v>534.1875</v>
      </c>
      <c r="J3653" s="2">
        <f t="shared" si="57"/>
        <v>43747.727289641196</v>
      </c>
    </row>
    <row r="3654" spans="1:10" x14ac:dyDescent="0.25">
      <c r="A3654" s="7" t="s">
        <v>7628</v>
      </c>
      <c r="B3654" s="8">
        <v>396.875</v>
      </c>
      <c r="C3654" s="8">
        <v>20.478950000000001</v>
      </c>
      <c r="D3654" s="8">
        <v>70</v>
      </c>
      <c r="E3654" s="8">
        <v>0</v>
      </c>
      <c r="F3654" s="8">
        <v>0</v>
      </c>
      <c r="G3654" s="8">
        <v>41</v>
      </c>
      <c r="H3654" s="8" t="s">
        <v>7629</v>
      </c>
      <c r="I3654" s="8">
        <v>527.4375</v>
      </c>
      <c r="J3654" s="3">
        <f t="shared" si="57"/>
        <v>43747.727372974536</v>
      </c>
    </row>
    <row r="3655" spans="1:10" x14ac:dyDescent="0.25">
      <c r="A3655" s="5" t="s">
        <v>7630</v>
      </c>
      <c r="B3655" s="6">
        <v>396.875</v>
      </c>
      <c r="C3655" s="6">
        <v>20.478950000000001</v>
      </c>
      <c r="D3655" s="6">
        <v>70</v>
      </c>
      <c r="E3655" s="6">
        <v>0</v>
      </c>
      <c r="F3655" s="6">
        <v>0</v>
      </c>
      <c r="G3655" s="6">
        <v>44</v>
      </c>
      <c r="H3655" s="6" t="s">
        <v>7631</v>
      </c>
      <c r="I3655" s="6">
        <v>527.625</v>
      </c>
      <c r="J3655" s="2">
        <f t="shared" si="57"/>
        <v>43747.727456307868</v>
      </c>
    </row>
    <row r="3656" spans="1:10" x14ac:dyDescent="0.25">
      <c r="A3656" s="7" t="s">
        <v>7632</v>
      </c>
      <c r="B3656" s="8">
        <v>400</v>
      </c>
      <c r="C3656" s="8">
        <v>20.584240000000001</v>
      </c>
      <c r="D3656" s="8">
        <v>70</v>
      </c>
      <c r="E3656" s="8">
        <v>0</v>
      </c>
      <c r="F3656" s="8">
        <v>0</v>
      </c>
      <c r="G3656" s="8">
        <v>34</v>
      </c>
      <c r="H3656" s="8" t="s">
        <v>7633</v>
      </c>
      <c r="I3656" s="8">
        <v>528.375</v>
      </c>
      <c r="J3656" s="3">
        <f t="shared" si="57"/>
        <v>43747.727539976848</v>
      </c>
    </row>
    <row r="3657" spans="1:10" x14ac:dyDescent="0.25">
      <c r="A3657" s="5" t="s">
        <v>7634</v>
      </c>
      <c r="B3657" s="6">
        <v>400</v>
      </c>
      <c r="C3657" s="6">
        <v>20.531590000000001</v>
      </c>
      <c r="D3657" s="6">
        <v>70</v>
      </c>
      <c r="E3657" s="6">
        <v>0</v>
      </c>
      <c r="F3657" s="6">
        <v>0</v>
      </c>
      <c r="G3657" s="6">
        <v>53</v>
      </c>
      <c r="H3657" s="6" t="s">
        <v>7635</v>
      </c>
      <c r="I3657" s="6">
        <v>528.375</v>
      </c>
      <c r="J3657" s="2">
        <f t="shared" si="57"/>
        <v>43747.727623090272</v>
      </c>
    </row>
    <row r="3658" spans="1:10" x14ac:dyDescent="0.25">
      <c r="A3658" s="7" t="s">
        <v>7636</v>
      </c>
      <c r="B3658" s="8">
        <v>403.125</v>
      </c>
      <c r="C3658" s="8">
        <v>20.531590000000001</v>
      </c>
      <c r="D3658" s="8">
        <v>69</v>
      </c>
      <c r="E3658" s="8">
        <v>0</v>
      </c>
      <c r="F3658" s="8">
        <v>0</v>
      </c>
      <c r="G3658" s="8">
        <v>48</v>
      </c>
      <c r="H3658" s="8" t="s">
        <v>7637</v>
      </c>
      <c r="I3658" s="8">
        <v>529.125</v>
      </c>
      <c r="J3658" s="3">
        <f t="shared" si="57"/>
        <v>43747.727719699069</v>
      </c>
    </row>
    <row r="3659" spans="1:10" x14ac:dyDescent="0.25">
      <c r="A3659" s="5" t="s">
        <v>7638</v>
      </c>
      <c r="B3659" s="6">
        <v>400</v>
      </c>
      <c r="C3659" s="6">
        <v>20.531590000000001</v>
      </c>
      <c r="D3659" s="6">
        <v>65</v>
      </c>
      <c r="E3659" s="6">
        <v>0</v>
      </c>
      <c r="F3659" s="6">
        <v>0</v>
      </c>
      <c r="G3659" s="6">
        <v>47</v>
      </c>
      <c r="H3659" s="6" t="s">
        <v>7639</v>
      </c>
      <c r="I3659" s="6">
        <v>528.375</v>
      </c>
      <c r="J3659" s="2">
        <f t="shared" si="57"/>
        <v>43747.727802546295</v>
      </c>
    </row>
    <row r="3660" spans="1:10" x14ac:dyDescent="0.25">
      <c r="A3660" s="7" t="s">
        <v>7640</v>
      </c>
      <c r="B3660" s="8">
        <v>396.875</v>
      </c>
      <c r="C3660" s="8">
        <v>20.531590000000001</v>
      </c>
      <c r="D3660" s="8">
        <v>65</v>
      </c>
      <c r="E3660" s="8">
        <v>0</v>
      </c>
      <c r="F3660" s="8">
        <v>0</v>
      </c>
      <c r="G3660" s="8">
        <v>41</v>
      </c>
      <c r="H3660" s="8" t="s">
        <v>7641</v>
      </c>
      <c r="I3660" s="8">
        <v>527.4375</v>
      </c>
      <c r="J3660" s="3">
        <f t="shared" si="57"/>
        <v>43747.727885717592</v>
      </c>
    </row>
    <row r="3661" spans="1:10" x14ac:dyDescent="0.25">
      <c r="A3661" s="5" t="s">
        <v>7642</v>
      </c>
      <c r="B3661" s="6">
        <v>396.875</v>
      </c>
      <c r="C3661" s="6">
        <v>20.531590000000001</v>
      </c>
      <c r="D3661" s="6">
        <v>64</v>
      </c>
      <c r="E3661" s="6">
        <v>0</v>
      </c>
      <c r="F3661" s="6">
        <v>0</v>
      </c>
      <c r="G3661" s="6">
        <v>43</v>
      </c>
      <c r="H3661" s="6" t="s">
        <v>7643</v>
      </c>
      <c r="I3661" s="6">
        <v>527.4375</v>
      </c>
      <c r="J3661" s="2">
        <f t="shared" si="57"/>
        <v>43747.727969317122</v>
      </c>
    </row>
    <row r="3662" spans="1:10" x14ac:dyDescent="0.25">
      <c r="A3662" s="7" t="s">
        <v>7644</v>
      </c>
      <c r="B3662" s="8">
        <v>396.875</v>
      </c>
      <c r="C3662" s="8">
        <v>20.531590000000001</v>
      </c>
      <c r="D3662" s="8">
        <v>63</v>
      </c>
      <c r="E3662" s="8">
        <v>0</v>
      </c>
      <c r="F3662" s="8">
        <v>0</v>
      </c>
      <c r="G3662" s="8">
        <v>38</v>
      </c>
      <c r="H3662" s="8" t="s">
        <v>7645</v>
      </c>
      <c r="I3662" s="8">
        <v>527.4375</v>
      </c>
      <c r="J3662" s="3">
        <f t="shared" si="57"/>
        <v>43747.728052604165</v>
      </c>
    </row>
    <row r="3663" spans="1:10" x14ac:dyDescent="0.25">
      <c r="A3663" s="5" t="s">
        <v>7646</v>
      </c>
      <c r="B3663" s="6">
        <v>396.875</v>
      </c>
      <c r="C3663" s="6">
        <v>20.531590000000001</v>
      </c>
      <c r="D3663" s="6">
        <v>62</v>
      </c>
      <c r="E3663" s="6">
        <v>0</v>
      </c>
      <c r="F3663" s="6">
        <v>0</v>
      </c>
      <c r="G3663" s="6">
        <v>45</v>
      </c>
      <c r="H3663" s="6" t="s">
        <v>7647</v>
      </c>
      <c r="I3663" s="6">
        <v>527.4375</v>
      </c>
      <c r="J3663" s="2">
        <f t="shared" si="57"/>
        <v>43747.728136168975</v>
      </c>
    </row>
    <row r="3664" spans="1:10" x14ac:dyDescent="0.25">
      <c r="A3664" s="7" t="s">
        <v>7648</v>
      </c>
      <c r="B3664" s="8">
        <v>437.5</v>
      </c>
      <c r="C3664" s="8">
        <v>20.584240000000001</v>
      </c>
      <c r="D3664" s="8">
        <v>62</v>
      </c>
      <c r="E3664" s="8">
        <v>0</v>
      </c>
      <c r="F3664" s="8">
        <v>0</v>
      </c>
      <c r="G3664" s="8">
        <v>45</v>
      </c>
      <c r="H3664" s="8" t="s">
        <v>7649</v>
      </c>
      <c r="I3664" s="8">
        <v>540.5625</v>
      </c>
      <c r="J3664" s="3">
        <f t="shared" si="57"/>
        <v>43747.728219386576</v>
      </c>
    </row>
    <row r="3665" spans="1:10" x14ac:dyDescent="0.25">
      <c r="A3665" s="5" t="s">
        <v>7650</v>
      </c>
      <c r="B3665" s="6">
        <v>396.875</v>
      </c>
      <c r="C3665" s="6">
        <v>20.531590000000001</v>
      </c>
      <c r="D3665" s="6">
        <v>62</v>
      </c>
      <c r="E3665" s="6">
        <v>0</v>
      </c>
      <c r="F3665" s="6">
        <v>0</v>
      </c>
      <c r="G3665" s="6">
        <v>44</v>
      </c>
      <c r="H3665" s="6" t="s">
        <v>7651</v>
      </c>
      <c r="I3665" s="6">
        <v>527.4375</v>
      </c>
      <c r="J3665" s="2">
        <f t="shared" si="57"/>
        <v>43747.728290810184</v>
      </c>
    </row>
    <row r="3666" spans="1:10" x14ac:dyDescent="0.25">
      <c r="A3666" s="7" t="s">
        <v>7652</v>
      </c>
      <c r="B3666" s="8">
        <v>396.875</v>
      </c>
      <c r="C3666" s="8">
        <v>20.531590000000001</v>
      </c>
      <c r="D3666" s="8">
        <v>61</v>
      </c>
      <c r="E3666" s="8">
        <v>0</v>
      </c>
      <c r="F3666" s="8">
        <v>0</v>
      </c>
      <c r="G3666" s="8">
        <v>45</v>
      </c>
      <c r="H3666" s="8" t="s">
        <v>7653</v>
      </c>
      <c r="I3666" s="8">
        <v>527.4375</v>
      </c>
      <c r="J3666" s="3">
        <f t="shared" si="57"/>
        <v>43747.728374606479</v>
      </c>
    </row>
    <row r="3667" spans="1:10" x14ac:dyDescent="0.25">
      <c r="A3667" s="5" t="s">
        <v>7654</v>
      </c>
      <c r="B3667" s="6">
        <v>393.75</v>
      </c>
      <c r="C3667" s="6">
        <v>20.478950000000001</v>
      </c>
      <c r="D3667" s="6">
        <v>61</v>
      </c>
      <c r="E3667" s="6">
        <v>0</v>
      </c>
      <c r="F3667" s="6">
        <v>0</v>
      </c>
      <c r="G3667" s="6">
        <v>48</v>
      </c>
      <c r="H3667" s="6" t="s">
        <v>7655</v>
      </c>
      <c r="I3667" s="6">
        <v>526.6875</v>
      </c>
      <c r="J3667" s="2">
        <f t="shared" si="57"/>
        <v>43747.72847008102</v>
      </c>
    </row>
    <row r="3668" spans="1:10" x14ac:dyDescent="0.25">
      <c r="A3668" s="7" t="s">
        <v>7656</v>
      </c>
      <c r="B3668" s="8">
        <v>393.75</v>
      </c>
      <c r="C3668" s="8">
        <v>20.584240000000001</v>
      </c>
      <c r="D3668" s="8">
        <v>61</v>
      </c>
      <c r="E3668" s="8">
        <v>0</v>
      </c>
      <c r="F3668" s="8">
        <v>0</v>
      </c>
      <c r="G3668" s="8">
        <v>43</v>
      </c>
      <c r="H3668" s="8" t="s">
        <v>7657</v>
      </c>
      <c r="I3668" s="8">
        <v>526.6875</v>
      </c>
      <c r="J3668" s="3">
        <f t="shared" si="57"/>
        <v>43747.728553530091</v>
      </c>
    </row>
    <row r="3669" spans="1:10" x14ac:dyDescent="0.25">
      <c r="A3669" s="5" t="s">
        <v>7658</v>
      </c>
      <c r="B3669" s="6">
        <v>393.75</v>
      </c>
      <c r="C3669" s="6">
        <v>20.478950000000001</v>
      </c>
      <c r="D3669" s="6">
        <v>62</v>
      </c>
      <c r="E3669" s="6">
        <v>0</v>
      </c>
      <c r="F3669" s="6">
        <v>0</v>
      </c>
      <c r="G3669" s="6">
        <v>40</v>
      </c>
      <c r="H3669" s="6" t="s">
        <v>7659</v>
      </c>
      <c r="I3669" s="6">
        <v>526.6875</v>
      </c>
      <c r="J3669" s="2">
        <f t="shared" si="57"/>
        <v>43747.728625046293</v>
      </c>
    </row>
    <row r="3670" spans="1:10" x14ac:dyDescent="0.25">
      <c r="A3670" s="7" t="s">
        <v>7660</v>
      </c>
      <c r="B3670" s="8">
        <v>393.75</v>
      </c>
      <c r="C3670" s="8">
        <v>20.531590000000001</v>
      </c>
      <c r="D3670" s="8">
        <v>62</v>
      </c>
      <c r="E3670" s="8">
        <v>0</v>
      </c>
      <c r="F3670" s="8">
        <v>0</v>
      </c>
      <c r="G3670" s="8">
        <v>35</v>
      </c>
      <c r="H3670" s="8" t="s">
        <v>7661</v>
      </c>
      <c r="I3670" s="8">
        <v>526.6875</v>
      </c>
      <c r="J3670" s="3">
        <f t="shared" si="57"/>
        <v>43747.728709189811</v>
      </c>
    </row>
    <row r="3671" spans="1:10" x14ac:dyDescent="0.25">
      <c r="A3671" s="5" t="s">
        <v>7662</v>
      </c>
      <c r="B3671" s="6">
        <v>393.75</v>
      </c>
      <c r="C3671" s="6">
        <v>20.584240000000001</v>
      </c>
      <c r="D3671" s="6">
        <v>62</v>
      </c>
      <c r="E3671" s="6">
        <v>0</v>
      </c>
      <c r="F3671" s="6">
        <v>0</v>
      </c>
      <c r="G3671" s="6">
        <v>47</v>
      </c>
      <c r="H3671" s="6" t="s">
        <v>7663</v>
      </c>
      <c r="I3671" s="6">
        <v>526.6875</v>
      </c>
      <c r="J3671" s="2">
        <f t="shared" si="57"/>
        <v>43747.728779907404</v>
      </c>
    </row>
    <row r="3672" spans="1:10" x14ac:dyDescent="0.25">
      <c r="A3672" s="7" t="s">
        <v>7664</v>
      </c>
      <c r="B3672" s="8">
        <v>412.5</v>
      </c>
      <c r="C3672" s="8">
        <v>20.531590000000001</v>
      </c>
      <c r="D3672" s="8">
        <v>63</v>
      </c>
      <c r="E3672" s="8">
        <v>0</v>
      </c>
      <c r="F3672" s="8">
        <v>0</v>
      </c>
      <c r="G3672" s="8">
        <v>49</v>
      </c>
      <c r="H3672" s="8" t="s">
        <v>7665</v>
      </c>
      <c r="I3672" s="8">
        <v>532.3125</v>
      </c>
      <c r="J3672" s="3">
        <f t="shared" si="57"/>
        <v>43747.728863495366</v>
      </c>
    </row>
    <row r="3673" spans="1:10" x14ac:dyDescent="0.25">
      <c r="A3673" s="5" t="s">
        <v>7666</v>
      </c>
      <c r="B3673" s="6">
        <v>393.75</v>
      </c>
      <c r="C3673" s="6">
        <v>20.531590000000001</v>
      </c>
      <c r="D3673" s="6">
        <v>63</v>
      </c>
      <c r="E3673" s="6">
        <v>0</v>
      </c>
      <c r="F3673" s="6">
        <v>0</v>
      </c>
      <c r="G3673" s="6">
        <v>43</v>
      </c>
      <c r="H3673" s="6" t="s">
        <v>7667</v>
      </c>
      <c r="I3673" s="6">
        <v>526.6875</v>
      </c>
      <c r="J3673" s="2">
        <f t="shared" si="57"/>
        <v>43747.728947060183</v>
      </c>
    </row>
    <row r="3674" spans="1:10" x14ac:dyDescent="0.25">
      <c r="A3674" s="7" t="s">
        <v>7668</v>
      </c>
      <c r="B3674" s="8">
        <v>425</v>
      </c>
      <c r="C3674" s="8">
        <v>20.531590000000001</v>
      </c>
      <c r="D3674" s="8">
        <v>63</v>
      </c>
      <c r="E3674" s="8">
        <v>0</v>
      </c>
      <c r="F3674" s="8">
        <v>0</v>
      </c>
      <c r="G3674" s="8">
        <v>39</v>
      </c>
      <c r="H3674" s="8" t="s">
        <v>7669</v>
      </c>
      <c r="I3674" s="8">
        <v>536.8125</v>
      </c>
      <c r="J3674" s="3">
        <f t="shared" si="57"/>
        <v>43747.72903041666</v>
      </c>
    </row>
    <row r="3675" spans="1:10" x14ac:dyDescent="0.25">
      <c r="A3675" s="5" t="s">
        <v>7670</v>
      </c>
      <c r="B3675" s="6">
        <v>393.75</v>
      </c>
      <c r="C3675" s="6">
        <v>20.478950000000001</v>
      </c>
      <c r="D3675" s="6">
        <v>63</v>
      </c>
      <c r="E3675" s="6">
        <v>0</v>
      </c>
      <c r="F3675" s="6">
        <v>0</v>
      </c>
      <c r="G3675" s="6">
        <v>44</v>
      </c>
      <c r="H3675" s="6" t="s">
        <v>7671</v>
      </c>
      <c r="I3675" s="6">
        <v>526.6875</v>
      </c>
      <c r="J3675" s="2">
        <f t="shared" si="57"/>
        <v>43747.72911414352</v>
      </c>
    </row>
    <row r="3676" spans="1:10" x14ac:dyDescent="0.25">
      <c r="A3676" s="7" t="s">
        <v>7672</v>
      </c>
      <c r="B3676" s="8">
        <v>393.75</v>
      </c>
      <c r="C3676" s="8">
        <v>20.584240000000001</v>
      </c>
      <c r="D3676" s="8">
        <v>63</v>
      </c>
      <c r="E3676" s="8">
        <v>0</v>
      </c>
      <c r="F3676" s="8">
        <v>0</v>
      </c>
      <c r="G3676" s="8">
        <v>42</v>
      </c>
      <c r="H3676" s="8" t="s">
        <v>7673</v>
      </c>
      <c r="I3676" s="8">
        <v>526.6875</v>
      </c>
      <c r="J3676" s="3">
        <f t="shared" si="57"/>
        <v>43747.729197256944</v>
      </c>
    </row>
    <row r="3677" spans="1:10" x14ac:dyDescent="0.25">
      <c r="A3677" s="5" t="s">
        <v>7674</v>
      </c>
      <c r="B3677" s="6">
        <v>393.75</v>
      </c>
      <c r="C3677" s="6">
        <v>20.531590000000001</v>
      </c>
      <c r="D3677" s="6">
        <v>63</v>
      </c>
      <c r="E3677" s="6">
        <v>0</v>
      </c>
      <c r="F3677" s="6">
        <v>0</v>
      </c>
      <c r="G3677" s="6">
        <v>49</v>
      </c>
      <c r="H3677" s="6" t="s">
        <v>7675</v>
      </c>
      <c r="I3677" s="6">
        <v>526.6875</v>
      </c>
      <c r="J3677" s="2">
        <f t="shared" si="57"/>
        <v>43747.729268796298</v>
      </c>
    </row>
    <row r="3678" spans="1:10" x14ac:dyDescent="0.25">
      <c r="A3678" s="7" t="s">
        <v>7676</v>
      </c>
      <c r="B3678" s="8">
        <v>393.75</v>
      </c>
      <c r="C3678" s="8">
        <v>20.531590000000001</v>
      </c>
      <c r="D3678" s="8">
        <v>62</v>
      </c>
      <c r="E3678" s="8">
        <v>0</v>
      </c>
      <c r="F3678" s="8">
        <v>0</v>
      </c>
      <c r="G3678" s="8">
        <v>44</v>
      </c>
      <c r="H3678" s="8" t="s">
        <v>7677</v>
      </c>
      <c r="I3678" s="8">
        <v>526.6875</v>
      </c>
      <c r="J3678" s="3">
        <f t="shared" si="57"/>
        <v>43747.72936420139</v>
      </c>
    </row>
    <row r="3679" spans="1:10" x14ac:dyDescent="0.25">
      <c r="A3679" s="5" t="s">
        <v>7678</v>
      </c>
      <c r="B3679" s="6">
        <v>412.5</v>
      </c>
      <c r="C3679" s="6">
        <v>20.584240000000001</v>
      </c>
      <c r="D3679" s="6">
        <v>62</v>
      </c>
      <c r="E3679" s="6">
        <v>0</v>
      </c>
      <c r="F3679" s="6">
        <v>0</v>
      </c>
      <c r="G3679" s="6">
        <v>51</v>
      </c>
      <c r="H3679" s="6" t="s">
        <v>7679</v>
      </c>
      <c r="I3679" s="6">
        <v>532.3125</v>
      </c>
      <c r="J3679" s="2">
        <f t="shared" si="57"/>
        <v>43747.729435925925</v>
      </c>
    </row>
    <row r="3680" spans="1:10" x14ac:dyDescent="0.25">
      <c r="A3680" s="7" t="s">
        <v>7680</v>
      </c>
      <c r="B3680" s="8">
        <v>393.75</v>
      </c>
      <c r="C3680" s="8">
        <v>20.584240000000001</v>
      </c>
      <c r="D3680" s="8">
        <v>62</v>
      </c>
      <c r="E3680" s="8">
        <v>0</v>
      </c>
      <c r="F3680" s="8">
        <v>0</v>
      </c>
      <c r="G3680" s="8">
        <v>40</v>
      </c>
      <c r="H3680" s="8" t="s">
        <v>7681</v>
      </c>
      <c r="I3680" s="8">
        <v>526.6875</v>
      </c>
      <c r="J3680" s="3">
        <f t="shared" si="57"/>
        <v>43747.729519270833</v>
      </c>
    </row>
    <row r="3681" spans="1:10" x14ac:dyDescent="0.25">
      <c r="A3681" s="5" t="s">
        <v>7682</v>
      </c>
      <c r="B3681" s="6">
        <v>393.75</v>
      </c>
      <c r="C3681" s="6">
        <v>20.478950000000001</v>
      </c>
      <c r="D3681" s="6">
        <v>62</v>
      </c>
      <c r="E3681" s="6">
        <v>0</v>
      </c>
      <c r="F3681" s="6">
        <v>0</v>
      </c>
      <c r="G3681" s="6">
        <v>42</v>
      </c>
      <c r="H3681" s="6" t="s">
        <v>7683</v>
      </c>
      <c r="I3681" s="6">
        <v>526.6875</v>
      </c>
      <c r="J3681" s="2">
        <f t="shared" si="57"/>
        <v>43747.729602824074</v>
      </c>
    </row>
    <row r="3682" spans="1:10" x14ac:dyDescent="0.25">
      <c r="A3682" s="7" t="s">
        <v>7684</v>
      </c>
      <c r="B3682" s="8">
        <v>393.75</v>
      </c>
      <c r="C3682" s="8">
        <v>20.584240000000001</v>
      </c>
      <c r="D3682" s="8">
        <v>62</v>
      </c>
      <c r="E3682" s="8">
        <v>0</v>
      </c>
      <c r="F3682" s="8">
        <v>0</v>
      </c>
      <c r="G3682" s="8">
        <v>40</v>
      </c>
      <c r="H3682" s="8" t="s">
        <v>7685</v>
      </c>
      <c r="I3682" s="8">
        <v>526.6875</v>
      </c>
      <c r="J3682" s="3">
        <f t="shared" si="57"/>
        <v>43747.729674363429</v>
      </c>
    </row>
    <row r="3683" spans="1:10" x14ac:dyDescent="0.25">
      <c r="A3683" s="5" t="s">
        <v>7686</v>
      </c>
      <c r="B3683" s="6">
        <v>393.75</v>
      </c>
      <c r="C3683" s="6">
        <v>20.531590000000001</v>
      </c>
      <c r="D3683" s="6">
        <v>62</v>
      </c>
      <c r="E3683" s="6">
        <v>0</v>
      </c>
      <c r="F3683" s="6">
        <v>0</v>
      </c>
      <c r="G3683" s="6">
        <v>43</v>
      </c>
      <c r="H3683" s="6" t="s">
        <v>7687</v>
      </c>
      <c r="I3683" s="6">
        <v>526.6875</v>
      </c>
      <c r="J3683" s="2">
        <f t="shared" si="57"/>
        <v>43747.729757824076</v>
      </c>
    </row>
    <row r="3684" spans="1:10" x14ac:dyDescent="0.25">
      <c r="A3684" s="7" t="s">
        <v>7688</v>
      </c>
      <c r="B3684" s="8">
        <v>393.75</v>
      </c>
      <c r="C3684" s="8">
        <v>20.531590000000001</v>
      </c>
      <c r="D3684" s="8">
        <v>62</v>
      </c>
      <c r="E3684" s="8">
        <v>0</v>
      </c>
      <c r="F3684" s="8">
        <v>0</v>
      </c>
      <c r="G3684" s="8">
        <v>41</v>
      </c>
      <c r="H3684" s="8" t="s">
        <v>7689</v>
      </c>
      <c r="I3684" s="8">
        <v>526.6875</v>
      </c>
      <c r="J3684" s="3">
        <f t="shared" si="57"/>
        <v>43747.729841597218</v>
      </c>
    </row>
    <row r="3685" spans="1:10" x14ac:dyDescent="0.25">
      <c r="A3685" s="5" t="s">
        <v>7690</v>
      </c>
      <c r="B3685" s="6">
        <v>393.75</v>
      </c>
      <c r="C3685" s="6">
        <v>20.531590000000001</v>
      </c>
      <c r="D3685" s="6">
        <v>61</v>
      </c>
      <c r="E3685" s="6">
        <v>0</v>
      </c>
      <c r="F3685" s="6">
        <v>0</v>
      </c>
      <c r="G3685" s="6">
        <v>43</v>
      </c>
      <c r="H3685" s="6" t="s">
        <v>7691</v>
      </c>
      <c r="I3685" s="6">
        <v>526.6875</v>
      </c>
      <c r="J3685" s="2">
        <f t="shared" si="57"/>
        <v>43747.729913124997</v>
      </c>
    </row>
    <row r="3686" spans="1:10" x14ac:dyDescent="0.25">
      <c r="A3686" s="7" t="s">
        <v>7692</v>
      </c>
      <c r="B3686" s="8">
        <v>393.75</v>
      </c>
      <c r="C3686" s="8">
        <v>20.531590000000001</v>
      </c>
      <c r="D3686" s="8">
        <v>62</v>
      </c>
      <c r="E3686" s="8">
        <v>0</v>
      </c>
      <c r="F3686" s="8">
        <v>0</v>
      </c>
      <c r="G3686" s="8">
        <v>33</v>
      </c>
      <c r="H3686" s="8" t="s">
        <v>7693</v>
      </c>
      <c r="I3686" s="8">
        <v>526.6875</v>
      </c>
      <c r="J3686" s="3">
        <f t="shared" si="57"/>
        <v>43747.72999634259</v>
      </c>
    </row>
    <row r="3687" spans="1:10" x14ac:dyDescent="0.25">
      <c r="A3687" s="5" t="s">
        <v>7694</v>
      </c>
      <c r="B3687" s="6">
        <v>393.75</v>
      </c>
      <c r="C3687" s="6">
        <v>20.584240000000001</v>
      </c>
      <c r="D3687" s="6">
        <v>62</v>
      </c>
      <c r="E3687" s="6">
        <v>0</v>
      </c>
      <c r="F3687" s="6">
        <v>0</v>
      </c>
      <c r="G3687" s="6">
        <v>51</v>
      </c>
      <c r="H3687" s="6" t="s">
        <v>7695</v>
      </c>
      <c r="I3687" s="6">
        <v>526.6875</v>
      </c>
      <c r="J3687" s="2">
        <f t="shared" si="57"/>
        <v>43747.730079791661</v>
      </c>
    </row>
    <row r="3688" spans="1:10" x14ac:dyDescent="0.25">
      <c r="A3688" s="7" t="s">
        <v>7696</v>
      </c>
      <c r="B3688" s="8">
        <v>393.75</v>
      </c>
      <c r="C3688" s="8">
        <v>20.531590000000001</v>
      </c>
      <c r="D3688" s="8">
        <v>61</v>
      </c>
      <c r="E3688" s="8">
        <v>0</v>
      </c>
      <c r="F3688" s="8">
        <v>0</v>
      </c>
      <c r="G3688" s="8">
        <v>40</v>
      </c>
      <c r="H3688" s="8" t="s">
        <v>7697</v>
      </c>
      <c r="I3688" s="8">
        <v>526.6875</v>
      </c>
      <c r="J3688" s="3">
        <f t="shared" si="57"/>
        <v>43747.730163252309</v>
      </c>
    </row>
    <row r="3689" spans="1:10" x14ac:dyDescent="0.25">
      <c r="A3689" s="5" t="s">
        <v>7698</v>
      </c>
      <c r="B3689" s="6">
        <v>393.75</v>
      </c>
      <c r="C3689" s="6">
        <v>20.531590000000001</v>
      </c>
      <c r="D3689" s="6">
        <v>61</v>
      </c>
      <c r="E3689" s="6">
        <v>0</v>
      </c>
      <c r="F3689" s="6">
        <v>0</v>
      </c>
      <c r="G3689" s="6">
        <v>44</v>
      </c>
      <c r="H3689" s="6" t="s">
        <v>7699</v>
      </c>
      <c r="I3689" s="6">
        <v>526.5</v>
      </c>
      <c r="J3689" s="2">
        <f t="shared" si="57"/>
        <v>43747.730246817126</v>
      </c>
    </row>
    <row r="3690" spans="1:10" x14ac:dyDescent="0.25">
      <c r="A3690" s="7" t="s">
        <v>7700</v>
      </c>
      <c r="B3690" s="8">
        <v>393.75</v>
      </c>
      <c r="C3690" s="8">
        <v>20.478950000000001</v>
      </c>
      <c r="D3690" s="8">
        <v>61</v>
      </c>
      <c r="E3690" s="8">
        <v>0</v>
      </c>
      <c r="F3690" s="8">
        <v>0</v>
      </c>
      <c r="G3690" s="8">
        <v>43</v>
      </c>
      <c r="H3690" s="8" t="s">
        <v>7701</v>
      </c>
      <c r="I3690" s="8">
        <v>526.6875</v>
      </c>
      <c r="J3690" s="3">
        <f t="shared" si="57"/>
        <v>43747.730330370367</v>
      </c>
    </row>
    <row r="3691" spans="1:10" x14ac:dyDescent="0.25">
      <c r="A3691" s="5" t="s">
        <v>7702</v>
      </c>
      <c r="B3691" s="6">
        <v>393.75</v>
      </c>
      <c r="C3691" s="6">
        <v>20.531590000000001</v>
      </c>
      <c r="D3691" s="6">
        <v>61</v>
      </c>
      <c r="E3691" s="6">
        <v>0</v>
      </c>
      <c r="F3691" s="6">
        <v>0</v>
      </c>
      <c r="G3691" s="6">
        <v>43</v>
      </c>
      <c r="H3691" s="6" t="s">
        <v>7703</v>
      </c>
      <c r="I3691" s="6">
        <v>526.6875</v>
      </c>
      <c r="J3691" s="2">
        <f t="shared" si="57"/>
        <v>43747.73043019676</v>
      </c>
    </row>
    <row r="3692" spans="1:10" x14ac:dyDescent="0.25">
      <c r="A3692" s="7" t="s">
        <v>7704</v>
      </c>
      <c r="B3692" s="8">
        <v>396.875</v>
      </c>
      <c r="C3692" s="8">
        <v>20.531590000000001</v>
      </c>
      <c r="D3692" s="8">
        <v>60</v>
      </c>
      <c r="E3692" s="8">
        <v>0</v>
      </c>
      <c r="F3692" s="8">
        <v>0</v>
      </c>
      <c r="G3692" s="8">
        <v>47</v>
      </c>
      <c r="H3692" s="8" t="s">
        <v>7705</v>
      </c>
      <c r="I3692" s="8">
        <v>527.4375</v>
      </c>
      <c r="J3692" s="3">
        <f t="shared" si="57"/>
        <v>43747.730509039349</v>
      </c>
    </row>
    <row r="3693" spans="1:10" x14ac:dyDescent="0.25">
      <c r="A3693" s="5" t="s">
        <v>7706</v>
      </c>
      <c r="B3693" s="6">
        <v>396.875</v>
      </c>
      <c r="C3693" s="6">
        <v>20.531590000000001</v>
      </c>
      <c r="D3693" s="6">
        <v>60</v>
      </c>
      <c r="E3693" s="6">
        <v>0</v>
      </c>
      <c r="F3693" s="6">
        <v>0</v>
      </c>
      <c r="G3693" s="6">
        <v>44</v>
      </c>
      <c r="H3693" s="6" t="s">
        <v>7707</v>
      </c>
      <c r="I3693" s="6">
        <v>527.4375</v>
      </c>
      <c r="J3693" s="2">
        <f t="shared" si="57"/>
        <v>43747.730580567128</v>
      </c>
    </row>
    <row r="3694" spans="1:10" x14ac:dyDescent="0.25">
      <c r="A3694" s="7" t="s">
        <v>7708</v>
      </c>
      <c r="B3694" s="8">
        <v>418.75</v>
      </c>
      <c r="C3694" s="8">
        <v>20.584240000000001</v>
      </c>
      <c r="D3694" s="8">
        <v>60</v>
      </c>
      <c r="E3694" s="8">
        <v>0</v>
      </c>
      <c r="F3694" s="8">
        <v>0</v>
      </c>
      <c r="G3694" s="8">
        <v>45</v>
      </c>
      <c r="H3694" s="8" t="s">
        <v>7709</v>
      </c>
      <c r="I3694" s="8">
        <v>534.375</v>
      </c>
      <c r="J3694" s="3">
        <f t="shared" si="57"/>
        <v>43747.730663773145</v>
      </c>
    </row>
    <row r="3695" spans="1:10" x14ac:dyDescent="0.25">
      <c r="A3695" s="5" t="s">
        <v>7710</v>
      </c>
      <c r="B3695" s="6">
        <v>396.875</v>
      </c>
      <c r="C3695" s="6">
        <v>20.584240000000001</v>
      </c>
      <c r="D3695" s="6">
        <v>60</v>
      </c>
      <c r="E3695" s="6">
        <v>0</v>
      </c>
      <c r="F3695" s="6">
        <v>0</v>
      </c>
      <c r="G3695" s="6">
        <v>43</v>
      </c>
      <c r="H3695" s="6" t="s">
        <v>7711</v>
      </c>
      <c r="I3695" s="6">
        <v>527.625</v>
      </c>
      <c r="J3695" s="2">
        <f t="shared" si="57"/>
        <v>43747.730735428238</v>
      </c>
    </row>
    <row r="3696" spans="1:10" x14ac:dyDescent="0.25">
      <c r="A3696" s="7" t="s">
        <v>7712</v>
      </c>
      <c r="B3696" s="8">
        <v>393.75</v>
      </c>
      <c r="C3696" s="8">
        <v>20.531590000000001</v>
      </c>
      <c r="D3696" s="8">
        <v>60</v>
      </c>
      <c r="E3696" s="8">
        <v>0</v>
      </c>
      <c r="F3696" s="8">
        <v>0</v>
      </c>
      <c r="G3696" s="8">
        <v>42</v>
      </c>
      <c r="H3696" s="8" t="s">
        <v>7713</v>
      </c>
      <c r="I3696" s="8">
        <v>526.6875</v>
      </c>
      <c r="J3696" s="3">
        <f t="shared" si="57"/>
        <v>43747.730806840271</v>
      </c>
    </row>
    <row r="3697" spans="1:10" x14ac:dyDescent="0.25">
      <c r="A3697" s="5" t="s">
        <v>7714</v>
      </c>
      <c r="B3697" s="6">
        <v>396.875</v>
      </c>
      <c r="C3697" s="6">
        <v>20.531590000000001</v>
      </c>
      <c r="D3697" s="6">
        <v>61</v>
      </c>
      <c r="E3697" s="6">
        <v>0</v>
      </c>
      <c r="F3697" s="6">
        <v>0</v>
      </c>
      <c r="G3697" s="6">
        <v>36</v>
      </c>
      <c r="H3697" s="6" t="s">
        <v>7715</v>
      </c>
      <c r="I3697" s="6">
        <v>527.4375</v>
      </c>
      <c r="J3697" s="2">
        <f t="shared" si="57"/>
        <v>43747.730890740735</v>
      </c>
    </row>
    <row r="3698" spans="1:10" x14ac:dyDescent="0.25">
      <c r="A3698" s="7" t="s">
        <v>7716</v>
      </c>
      <c r="B3698" s="8">
        <v>396.875</v>
      </c>
      <c r="C3698" s="8">
        <v>20.584240000000001</v>
      </c>
      <c r="D3698" s="8">
        <v>61</v>
      </c>
      <c r="E3698" s="8">
        <v>0</v>
      </c>
      <c r="F3698" s="8">
        <v>0</v>
      </c>
      <c r="G3698" s="8">
        <v>44</v>
      </c>
      <c r="H3698" s="8" t="s">
        <v>7717</v>
      </c>
      <c r="I3698" s="8">
        <v>527.4375</v>
      </c>
      <c r="J3698" s="3">
        <f t="shared" si="57"/>
        <v>43747.730974201382</v>
      </c>
    </row>
    <row r="3699" spans="1:10" x14ac:dyDescent="0.25">
      <c r="A3699" s="5" t="s">
        <v>7718</v>
      </c>
      <c r="B3699" s="6">
        <v>396.875</v>
      </c>
      <c r="C3699" s="6">
        <v>20.584240000000001</v>
      </c>
      <c r="D3699" s="6">
        <v>61</v>
      </c>
      <c r="E3699" s="6">
        <v>0</v>
      </c>
      <c r="F3699" s="6">
        <v>0</v>
      </c>
      <c r="G3699" s="6">
        <v>45</v>
      </c>
      <c r="H3699" s="6" t="s">
        <v>7719</v>
      </c>
      <c r="I3699" s="6">
        <v>527.4375</v>
      </c>
      <c r="J3699" s="2">
        <f t="shared" si="57"/>
        <v>43747.731057523146</v>
      </c>
    </row>
    <row r="3700" spans="1:10" x14ac:dyDescent="0.25">
      <c r="A3700" s="7" t="s">
        <v>7720</v>
      </c>
      <c r="B3700" s="8">
        <v>396.875</v>
      </c>
      <c r="C3700" s="8">
        <v>20.478950000000001</v>
      </c>
      <c r="D3700" s="8">
        <v>60</v>
      </c>
      <c r="E3700" s="8">
        <v>0</v>
      </c>
      <c r="F3700" s="8">
        <v>0</v>
      </c>
      <c r="G3700" s="8">
        <v>43</v>
      </c>
      <c r="H3700" s="8" t="s">
        <v>7721</v>
      </c>
      <c r="I3700" s="8">
        <v>527.4375</v>
      </c>
      <c r="J3700" s="3">
        <f t="shared" si="57"/>
        <v>43747.731140983793</v>
      </c>
    </row>
    <row r="3701" spans="1:10" x14ac:dyDescent="0.25">
      <c r="A3701" s="5" t="s">
        <v>7722</v>
      </c>
      <c r="B3701" s="6">
        <v>396.875</v>
      </c>
      <c r="C3701" s="6">
        <v>20.584240000000001</v>
      </c>
      <c r="D3701" s="6">
        <v>62</v>
      </c>
      <c r="E3701" s="6">
        <v>0</v>
      </c>
      <c r="F3701" s="6">
        <v>0</v>
      </c>
      <c r="G3701" s="6">
        <v>42</v>
      </c>
      <c r="H3701" s="6" t="s">
        <v>7723</v>
      </c>
      <c r="I3701" s="6">
        <v>527.4375</v>
      </c>
      <c r="J3701" s="2">
        <f t="shared" si="57"/>
        <v>43747.731224328702</v>
      </c>
    </row>
    <row r="3702" spans="1:10" x14ac:dyDescent="0.25">
      <c r="A3702" s="7" t="s">
        <v>7724</v>
      </c>
      <c r="B3702" s="8">
        <v>403.125</v>
      </c>
      <c r="C3702" s="8">
        <v>20.531590000000001</v>
      </c>
      <c r="D3702" s="8">
        <v>61</v>
      </c>
      <c r="E3702" s="8">
        <v>0</v>
      </c>
      <c r="F3702" s="8">
        <v>0</v>
      </c>
      <c r="G3702" s="8">
        <v>42</v>
      </c>
      <c r="H3702" s="8" t="s">
        <v>7725</v>
      </c>
      <c r="I3702" s="8">
        <v>529.6875</v>
      </c>
      <c r="J3702" s="3">
        <f t="shared" si="57"/>
        <v>43747.731307870366</v>
      </c>
    </row>
    <row r="3703" spans="1:10" x14ac:dyDescent="0.25">
      <c r="A3703" s="5" t="s">
        <v>7726</v>
      </c>
      <c r="B3703" s="6">
        <v>396.875</v>
      </c>
      <c r="C3703" s="6">
        <v>20.584240000000001</v>
      </c>
      <c r="D3703" s="6">
        <v>61</v>
      </c>
      <c r="E3703" s="6">
        <v>0</v>
      </c>
      <c r="F3703" s="6">
        <v>0</v>
      </c>
      <c r="G3703" s="6">
        <v>42</v>
      </c>
      <c r="H3703" s="6" t="s">
        <v>7727</v>
      </c>
      <c r="I3703" s="6">
        <v>527.4375</v>
      </c>
      <c r="J3703" s="2">
        <f t="shared" si="57"/>
        <v>43747.731391307869</v>
      </c>
    </row>
    <row r="3704" spans="1:10" x14ac:dyDescent="0.25">
      <c r="A3704" s="7" t="s">
        <v>7728</v>
      </c>
      <c r="B3704" s="8">
        <v>396.875</v>
      </c>
      <c r="C3704" s="8">
        <v>20.531590000000001</v>
      </c>
      <c r="D3704" s="8">
        <v>62</v>
      </c>
      <c r="E3704" s="8">
        <v>0</v>
      </c>
      <c r="F3704" s="8">
        <v>0</v>
      </c>
      <c r="G3704" s="8">
        <v>42</v>
      </c>
      <c r="H3704" s="8" t="s">
        <v>7729</v>
      </c>
      <c r="I3704" s="8">
        <v>527.4375</v>
      </c>
      <c r="J3704" s="3">
        <f t="shared" si="57"/>
        <v>43747.731474895831</v>
      </c>
    </row>
    <row r="3705" spans="1:10" x14ac:dyDescent="0.25">
      <c r="A3705" s="5" t="s">
        <v>7730</v>
      </c>
      <c r="B3705" s="6">
        <v>396.875</v>
      </c>
      <c r="C3705" s="6">
        <v>20.584240000000001</v>
      </c>
      <c r="D3705" s="6">
        <v>60</v>
      </c>
      <c r="E3705" s="6">
        <v>0</v>
      </c>
      <c r="F3705" s="6">
        <v>0</v>
      </c>
      <c r="G3705" s="6">
        <v>47</v>
      </c>
      <c r="H3705" s="6" t="s">
        <v>7731</v>
      </c>
      <c r="I3705" s="6">
        <v>527.4375</v>
      </c>
      <c r="J3705" s="2">
        <f t="shared" si="57"/>
        <v>43747.731558333333</v>
      </c>
    </row>
    <row r="3706" spans="1:10" x14ac:dyDescent="0.25">
      <c r="A3706" s="7" t="s">
        <v>7732</v>
      </c>
      <c r="B3706" s="8">
        <v>400</v>
      </c>
      <c r="C3706" s="8">
        <v>20.584240000000001</v>
      </c>
      <c r="D3706" s="8">
        <v>61</v>
      </c>
      <c r="E3706" s="8">
        <v>0</v>
      </c>
      <c r="F3706" s="8">
        <v>0</v>
      </c>
      <c r="G3706" s="8">
        <v>42</v>
      </c>
      <c r="H3706" s="8" t="s">
        <v>7733</v>
      </c>
      <c r="I3706" s="8">
        <v>528.1875</v>
      </c>
      <c r="J3706" s="3">
        <f t="shared" si="57"/>
        <v>43747.731641435188</v>
      </c>
    </row>
    <row r="3707" spans="1:10" x14ac:dyDescent="0.25">
      <c r="A3707" s="5" t="s">
        <v>7734</v>
      </c>
      <c r="B3707" s="6">
        <v>403.125</v>
      </c>
      <c r="C3707" s="6">
        <v>20.584240000000001</v>
      </c>
      <c r="D3707" s="6">
        <v>61</v>
      </c>
      <c r="E3707" s="6">
        <v>0</v>
      </c>
      <c r="F3707" s="6">
        <v>0</v>
      </c>
      <c r="G3707" s="6">
        <v>45</v>
      </c>
      <c r="H3707" s="6" t="s">
        <v>7735</v>
      </c>
      <c r="I3707" s="6">
        <v>529.125</v>
      </c>
      <c r="J3707" s="2">
        <f t="shared" si="57"/>
        <v>43747.731713194444</v>
      </c>
    </row>
    <row r="3708" spans="1:10" x14ac:dyDescent="0.25">
      <c r="A3708" s="7" t="s">
        <v>7736</v>
      </c>
      <c r="B3708" s="8">
        <v>403.125</v>
      </c>
      <c r="C3708" s="8">
        <v>20.531590000000001</v>
      </c>
      <c r="D3708" s="8">
        <v>61</v>
      </c>
      <c r="E3708" s="8">
        <v>0</v>
      </c>
      <c r="F3708" s="8">
        <v>0</v>
      </c>
      <c r="G3708" s="8">
        <v>44</v>
      </c>
      <c r="H3708" s="8" t="s">
        <v>7737</v>
      </c>
      <c r="I3708" s="8">
        <v>529.125</v>
      </c>
      <c r="J3708" s="3">
        <f t="shared" si="57"/>
        <v>43747.731784502314</v>
      </c>
    </row>
    <row r="3709" spans="1:10" x14ac:dyDescent="0.25">
      <c r="A3709" s="5" t="s">
        <v>7738</v>
      </c>
      <c r="B3709" s="6">
        <v>403.125</v>
      </c>
      <c r="C3709" s="6">
        <v>20.584240000000001</v>
      </c>
      <c r="D3709" s="6">
        <v>59</v>
      </c>
      <c r="E3709" s="6">
        <v>0</v>
      </c>
      <c r="F3709" s="6">
        <v>0</v>
      </c>
      <c r="G3709" s="6">
        <v>39</v>
      </c>
      <c r="H3709" s="6" t="s">
        <v>7739</v>
      </c>
      <c r="I3709" s="6">
        <v>529.125</v>
      </c>
      <c r="J3709" s="2">
        <f t="shared" si="57"/>
        <v>43747.73186861111</v>
      </c>
    </row>
    <row r="3710" spans="1:10" x14ac:dyDescent="0.25">
      <c r="A3710" s="7" t="s">
        <v>7740</v>
      </c>
      <c r="B3710" s="8">
        <v>403.125</v>
      </c>
      <c r="C3710" s="8">
        <v>20.531590000000001</v>
      </c>
      <c r="D3710" s="8">
        <v>59</v>
      </c>
      <c r="E3710" s="8">
        <v>0</v>
      </c>
      <c r="F3710" s="8">
        <v>0</v>
      </c>
      <c r="G3710" s="8">
        <v>43</v>
      </c>
      <c r="H3710" s="8" t="s">
        <v>7741</v>
      </c>
      <c r="I3710" s="8">
        <v>529.125</v>
      </c>
      <c r="J3710" s="3">
        <f t="shared" si="57"/>
        <v>43747.73195173611</v>
      </c>
    </row>
    <row r="3711" spans="1:10" x14ac:dyDescent="0.25">
      <c r="A3711" s="5" t="s">
        <v>7742</v>
      </c>
      <c r="B3711" s="6">
        <v>400</v>
      </c>
      <c r="C3711" s="6">
        <v>20.584240000000001</v>
      </c>
      <c r="D3711" s="6">
        <v>60</v>
      </c>
      <c r="E3711" s="6">
        <v>0</v>
      </c>
      <c r="F3711" s="6">
        <v>0</v>
      </c>
      <c r="G3711" s="6">
        <v>46</v>
      </c>
      <c r="H3711" s="6" t="s">
        <v>7743</v>
      </c>
      <c r="I3711" s="6">
        <v>528.9375</v>
      </c>
      <c r="J3711" s="2">
        <f t="shared" si="57"/>
        <v>43747.732035208326</v>
      </c>
    </row>
    <row r="3712" spans="1:10" x14ac:dyDescent="0.25">
      <c r="A3712" s="7" t="s">
        <v>7744</v>
      </c>
      <c r="B3712" s="8">
        <v>418.75</v>
      </c>
      <c r="C3712" s="8">
        <v>20.531590000000001</v>
      </c>
      <c r="D3712" s="8">
        <v>60</v>
      </c>
      <c r="E3712" s="8">
        <v>0</v>
      </c>
      <c r="F3712" s="8">
        <v>0</v>
      </c>
      <c r="G3712" s="8">
        <v>38</v>
      </c>
      <c r="H3712" s="8" t="s">
        <v>7745</v>
      </c>
      <c r="I3712" s="8">
        <v>534.9375</v>
      </c>
      <c r="J3712" s="3">
        <f t="shared" si="57"/>
        <v>43747.732118749998</v>
      </c>
    </row>
    <row r="3713" spans="1:10" x14ac:dyDescent="0.25">
      <c r="A3713" s="5" t="s">
        <v>7746</v>
      </c>
      <c r="B3713" s="6">
        <v>400</v>
      </c>
      <c r="C3713" s="6">
        <v>20.531590000000001</v>
      </c>
      <c r="D3713" s="6">
        <v>61</v>
      </c>
      <c r="E3713" s="6">
        <v>0</v>
      </c>
      <c r="F3713" s="6">
        <v>0</v>
      </c>
      <c r="G3713" s="6">
        <v>44</v>
      </c>
      <c r="H3713" s="6" t="s">
        <v>7747</v>
      </c>
      <c r="I3713" s="6">
        <v>528.375</v>
      </c>
      <c r="J3713" s="2">
        <f t="shared" si="57"/>
        <v>43747.732202071762</v>
      </c>
    </row>
    <row r="3714" spans="1:10" x14ac:dyDescent="0.25">
      <c r="A3714" s="7" t="s">
        <v>7748</v>
      </c>
      <c r="B3714" s="8">
        <v>400</v>
      </c>
      <c r="C3714" s="8">
        <v>20.531590000000001</v>
      </c>
      <c r="D3714" s="8">
        <v>61</v>
      </c>
      <c r="E3714" s="8">
        <v>0</v>
      </c>
      <c r="F3714" s="8">
        <v>0</v>
      </c>
      <c r="G3714" s="8">
        <v>42</v>
      </c>
      <c r="H3714" s="8" t="s">
        <v>7749</v>
      </c>
      <c r="I3714" s="8">
        <v>528.375</v>
      </c>
      <c r="J3714" s="3">
        <f t="shared" ref="J3714:J3777" si="58">(H3714/86400000)+25569+(7/24)</f>
        <v>43747.732285729166</v>
      </c>
    </row>
    <row r="3715" spans="1:10" x14ac:dyDescent="0.25">
      <c r="A3715" s="5" t="s">
        <v>7750</v>
      </c>
      <c r="B3715" s="6">
        <v>403.125</v>
      </c>
      <c r="C3715" s="6">
        <v>20.584240000000001</v>
      </c>
      <c r="D3715" s="6">
        <v>61</v>
      </c>
      <c r="E3715" s="6">
        <v>0</v>
      </c>
      <c r="F3715" s="6">
        <v>0</v>
      </c>
      <c r="G3715" s="6">
        <v>49</v>
      </c>
      <c r="H3715" s="6" t="s">
        <v>7751</v>
      </c>
      <c r="I3715" s="6">
        <v>529.125</v>
      </c>
      <c r="J3715" s="2">
        <f t="shared" si="58"/>
        <v>43747.732369108795</v>
      </c>
    </row>
    <row r="3716" spans="1:10" x14ac:dyDescent="0.25">
      <c r="A3716" s="7" t="s">
        <v>7752</v>
      </c>
      <c r="B3716" s="8">
        <v>403.125</v>
      </c>
      <c r="C3716" s="8">
        <v>20.531590000000001</v>
      </c>
      <c r="D3716" s="8">
        <v>67</v>
      </c>
      <c r="E3716" s="8">
        <v>0</v>
      </c>
      <c r="F3716" s="8">
        <v>0</v>
      </c>
      <c r="G3716" s="8">
        <v>44</v>
      </c>
      <c r="H3716" s="8" t="s">
        <v>7753</v>
      </c>
      <c r="I3716" s="8">
        <v>529.125</v>
      </c>
      <c r="J3716" s="3">
        <f t="shared" si="58"/>
        <v>43747.732452557866</v>
      </c>
    </row>
    <row r="3717" spans="1:10" x14ac:dyDescent="0.25">
      <c r="A3717" s="5" t="s">
        <v>7754</v>
      </c>
      <c r="B3717" s="6">
        <v>400</v>
      </c>
      <c r="C3717" s="6">
        <v>20.478950000000001</v>
      </c>
      <c r="D3717" s="6">
        <v>66</v>
      </c>
      <c r="E3717" s="6">
        <v>0</v>
      </c>
      <c r="F3717" s="6">
        <v>0</v>
      </c>
      <c r="G3717" s="6">
        <v>41</v>
      </c>
      <c r="H3717" s="6" t="s">
        <v>7755</v>
      </c>
      <c r="I3717" s="6">
        <v>528.375</v>
      </c>
      <c r="J3717" s="2">
        <f t="shared" si="58"/>
        <v>43747.732536076386</v>
      </c>
    </row>
    <row r="3718" spans="1:10" x14ac:dyDescent="0.25">
      <c r="A3718" s="7" t="s">
        <v>7756</v>
      </c>
      <c r="B3718" s="8">
        <v>400</v>
      </c>
      <c r="C3718" s="8">
        <v>20.584240000000001</v>
      </c>
      <c r="D3718" s="8">
        <v>63</v>
      </c>
      <c r="E3718" s="8">
        <v>0</v>
      </c>
      <c r="F3718" s="8">
        <v>0</v>
      </c>
      <c r="G3718" s="8">
        <v>46</v>
      </c>
      <c r="H3718" s="8" t="s">
        <v>7757</v>
      </c>
      <c r="I3718" s="8">
        <v>528.375</v>
      </c>
      <c r="J3718" s="3">
        <f t="shared" si="58"/>
        <v>43747.732619224531</v>
      </c>
    </row>
    <row r="3719" spans="1:10" x14ac:dyDescent="0.25">
      <c r="A3719" s="5" t="s">
        <v>7758</v>
      </c>
      <c r="B3719" s="6">
        <v>418.75</v>
      </c>
      <c r="C3719" s="6">
        <v>20.531590000000001</v>
      </c>
      <c r="D3719" s="6">
        <v>63</v>
      </c>
      <c r="E3719" s="6">
        <v>0</v>
      </c>
      <c r="F3719" s="6">
        <v>0</v>
      </c>
      <c r="G3719" s="6">
        <v>35</v>
      </c>
      <c r="H3719" s="6" t="s">
        <v>7759</v>
      </c>
      <c r="I3719" s="6">
        <v>534.375</v>
      </c>
      <c r="J3719" s="2">
        <f t="shared" si="58"/>
        <v>43747.732690972225</v>
      </c>
    </row>
    <row r="3720" spans="1:10" x14ac:dyDescent="0.25">
      <c r="A3720" s="7" t="s">
        <v>7760</v>
      </c>
      <c r="B3720" s="8">
        <v>396.875</v>
      </c>
      <c r="C3720" s="8">
        <v>20.531590000000001</v>
      </c>
      <c r="D3720" s="8">
        <v>60</v>
      </c>
      <c r="E3720" s="8">
        <v>0</v>
      </c>
      <c r="F3720" s="8">
        <v>0</v>
      </c>
      <c r="G3720" s="8">
        <v>38</v>
      </c>
      <c r="H3720" s="8" t="s">
        <v>7761</v>
      </c>
      <c r="I3720" s="8">
        <v>527.4375</v>
      </c>
      <c r="J3720" s="3">
        <f t="shared" si="58"/>
        <v>43747.732774548604</v>
      </c>
    </row>
    <row r="3721" spans="1:10" x14ac:dyDescent="0.25">
      <c r="A3721" s="5" t="s">
        <v>7762</v>
      </c>
      <c r="B3721" s="6">
        <v>396.875</v>
      </c>
      <c r="C3721" s="6">
        <v>20.584240000000001</v>
      </c>
      <c r="D3721" s="6">
        <v>60</v>
      </c>
      <c r="E3721" s="6">
        <v>0</v>
      </c>
      <c r="F3721" s="6">
        <v>0</v>
      </c>
      <c r="G3721" s="6">
        <v>49</v>
      </c>
      <c r="H3721" s="6" t="s">
        <v>7763</v>
      </c>
      <c r="I3721" s="6">
        <v>527.4375</v>
      </c>
      <c r="J3721" s="2">
        <f t="shared" si="58"/>
        <v>43747.732857881943</v>
      </c>
    </row>
    <row r="3722" spans="1:10" x14ac:dyDescent="0.25">
      <c r="A3722" s="7" t="s">
        <v>7764</v>
      </c>
      <c r="B3722" s="8">
        <v>396.875</v>
      </c>
      <c r="C3722" s="8">
        <v>20.584240000000001</v>
      </c>
      <c r="D3722" s="8">
        <v>60</v>
      </c>
      <c r="E3722" s="8">
        <v>0</v>
      </c>
      <c r="F3722" s="8">
        <v>0</v>
      </c>
      <c r="G3722" s="8">
        <v>38</v>
      </c>
      <c r="H3722" s="8" t="s">
        <v>7765</v>
      </c>
      <c r="I3722" s="8">
        <v>527.4375</v>
      </c>
      <c r="J3722" s="3">
        <f t="shared" si="58"/>
        <v>43747.732941550923</v>
      </c>
    </row>
    <row r="3723" spans="1:10" x14ac:dyDescent="0.25">
      <c r="A3723" s="5" t="s">
        <v>7766</v>
      </c>
      <c r="B3723" s="6">
        <v>403.125</v>
      </c>
      <c r="C3723" s="6">
        <v>20.584240000000001</v>
      </c>
      <c r="D3723" s="6">
        <v>59</v>
      </c>
      <c r="E3723" s="6">
        <v>0</v>
      </c>
      <c r="F3723" s="6">
        <v>0</v>
      </c>
      <c r="G3723" s="6">
        <v>44</v>
      </c>
      <c r="H3723" s="6" t="s">
        <v>7767</v>
      </c>
      <c r="I3723" s="6">
        <v>529.125</v>
      </c>
      <c r="J3723" s="2">
        <f t="shared" si="58"/>
        <v>43747.733024895831</v>
      </c>
    </row>
    <row r="3724" spans="1:10" x14ac:dyDescent="0.25">
      <c r="A3724" s="7" t="s">
        <v>7768</v>
      </c>
      <c r="B3724" s="8">
        <v>403.125</v>
      </c>
      <c r="C3724" s="8">
        <v>20.531590000000001</v>
      </c>
      <c r="D3724" s="8">
        <v>58</v>
      </c>
      <c r="E3724" s="8">
        <v>0</v>
      </c>
      <c r="F3724" s="8">
        <v>0</v>
      </c>
      <c r="G3724" s="8">
        <v>42</v>
      </c>
      <c r="H3724" s="8" t="s">
        <v>7769</v>
      </c>
      <c r="I3724" s="8">
        <v>529.125</v>
      </c>
      <c r="J3724" s="3">
        <f t="shared" si="58"/>
        <v>43747.73309898148</v>
      </c>
    </row>
    <row r="3725" spans="1:10" x14ac:dyDescent="0.25">
      <c r="A3725" s="5" t="s">
        <v>7770</v>
      </c>
      <c r="B3725" s="6">
        <v>403.125</v>
      </c>
      <c r="C3725" s="6">
        <v>20.531590000000001</v>
      </c>
      <c r="D3725" s="6">
        <v>59</v>
      </c>
      <c r="E3725" s="6">
        <v>0</v>
      </c>
      <c r="F3725" s="6">
        <v>0</v>
      </c>
      <c r="G3725" s="6">
        <v>44</v>
      </c>
      <c r="H3725" s="6" t="s">
        <v>7771</v>
      </c>
      <c r="I3725" s="6">
        <v>529.125</v>
      </c>
      <c r="J3725" s="2">
        <f t="shared" si="58"/>
        <v>43747.733191793981</v>
      </c>
    </row>
    <row r="3726" spans="1:10" x14ac:dyDescent="0.25">
      <c r="A3726" s="7" t="s">
        <v>7772</v>
      </c>
      <c r="B3726" s="8">
        <v>403.125</v>
      </c>
      <c r="C3726" s="8">
        <v>20.531590000000001</v>
      </c>
      <c r="D3726" s="8">
        <v>59</v>
      </c>
      <c r="E3726" s="8">
        <v>0</v>
      </c>
      <c r="F3726" s="8">
        <v>0</v>
      </c>
      <c r="G3726" s="8">
        <v>48</v>
      </c>
      <c r="H3726" s="8" t="s">
        <v>7773</v>
      </c>
      <c r="I3726" s="8">
        <v>529.875</v>
      </c>
      <c r="J3726" s="3">
        <f t="shared" si="58"/>
        <v>43747.733275011567</v>
      </c>
    </row>
    <row r="3727" spans="1:10" x14ac:dyDescent="0.25">
      <c r="A3727" s="5" t="s">
        <v>7774</v>
      </c>
      <c r="B3727" s="6">
        <v>403.125</v>
      </c>
      <c r="C3727" s="6">
        <v>20.531590000000001</v>
      </c>
      <c r="D3727" s="6">
        <v>59</v>
      </c>
      <c r="E3727" s="6">
        <v>0</v>
      </c>
      <c r="F3727" s="6">
        <v>0</v>
      </c>
      <c r="G3727" s="6">
        <v>44</v>
      </c>
      <c r="H3727" s="6" t="s">
        <v>7775</v>
      </c>
      <c r="I3727" s="6">
        <v>529.125</v>
      </c>
      <c r="J3727" s="2">
        <f t="shared" si="58"/>
        <v>43747.733358854166</v>
      </c>
    </row>
    <row r="3728" spans="1:10" x14ac:dyDescent="0.25">
      <c r="A3728" s="7" t="s">
        <v>7776</v>
      </c>
      <c r="B3728" s="8">
        <v>400</v>
      </c>
      <c r="C3728" s="8">
        <v>20.531590000000001</v>
      </c>
      <c r="D3728" s="8">
        <v>59</v>
      </c>
      <c r="E3728" s="8">
        <v>0</v>
      </c>
      <c r="F3728" s="8">
        <v>0</v>
      </c>
      <c r="G3728" s="8">
        <v>44</v>
      </c>
      <c r="H3728" s="8" t="s">
        <v>7777</v>
      </c>
      <c r="I3728" s="8">
        <v>528.375</v>
      </c>
      <c r="J3728" s="3">
        <f t="shared" si="58"/>
        <v>43747.733442395831</v>
      </c>
    </row>
    <row r="3729" spans="1:10" x14ac:dyDescent="0.25">
      <c r="A3729" s="5" t="s">
        <v>7778</v>
      </c>
      <c r="B3729" s="6">
        <v>396.875</v>
      </c>
      <c r="C3729" s="6">
        <v>20.584240000000001</v>
      </c>
      <c r="D3729" s="6">
        <v>61</v>
      </c>
      <c r="E3729" s="6">
        <v>0</v>
      </c>
      <c r="F3729" s="6">
        <v>0</v>
      </c>
      <c r="G3729" s="6">
        <v>45</v>
      </c>
      <c r="H3729" s="6" t="s">
        <v>7779</v>
      </c>
      <c r="I3729" s="6">
        <v>527.4375</v>
      </c>
      <c r="J3729" s="2">
        <f t="shared" si="58"/>
        <v>43747.733513796295</v>
      </c>
    </row>
    <row r="3730" spans="1:10" x14ac:dyDescent="0.25">
      <c r="A3730" s="7" t="s">
        <v>7780</v>
      </c>
      <c r="B3730" s="8">
        <v>393.75</v>
      </c>
      <c r="C3730" s="8">
        <v>20.584240000000001</v>
      </c>
      <c r="D3730" s="8">
        <v>62</v>
      </c>
      <c r="E3730" s="8">
        <v>0</v>
      </c>
      <c r="F3730" s="8">
        <v>0</v>
      </c>
      <c r="G3730" s="8">
        <v>43</v>
      </c>
      <c r="H3730" s="8" t="s">
        <v>7781</v>
      </c>
      <c r="I3730" s="8">
        <v>526.6875</v>
      </c>
      <c r="J3730" s="3">
        <f t="shared" si="58"/>
        <v>43747.733597094906</v>
      </c>
    </row>
    <row r="3731" spans="1:10" x14ac:dyDescent="0.25">
      <c r="A3731" s="5" t="s">
        <v>7782</v>
      </c>
      <c r="B3731" s="6">
        <v>393.75</v>
      </c>
      <c r="C3731" s="6">
        <v>20.584240000000001</v>
      </c>
      <c r="D3731" s="6">
        <v>62</v>
      </c>
      <c r="E3731" s="6">
        <v>0</v>
      </c>
      <c r="F3731" s="6">
        <v>0</v>
      </c>
      <c r="G3731" s="6">
        <v>39</v>
      </c>
      <c r="H3731" s="6" t="s">
        <v>7783</v>
      </c>
      <c r="I3731" s="6">
        <v>526.6875</v>
      </c>
      <c r="J3731" s="2">
        <f t="shared" si="58"/>
        <v>43747.733680694444</v>
      </c>
    </row>
    <row r="3732" spans="1:10" x14ac:dyDescent="0.25">
      <c r="A3732" s="7" t="s">
        <v>7784</v>
      </c>
      <c r="B3732" s="8">
        <v>393.75</v>
      </c>
      <c r="C3732" s="8">
        <v>20.584240000000001</v>
      </c>
      <c r="D3732" s="8">
        <v>62</v>
      </c>
      <c r="E3732" s="8">
        <v>0</v>
      </c>
      <c r="F3732" s="8">
        <v>0</v>
      </c>
      <c r="G3732" s="8">
        <v>44</v>
      </c>
      <c r="H3732" s="8" t="s">
        <v>7785</v>
      </c>
      <c r="I3732" s="8">
        <v>526.6875</v>
      </c>
      <c r="J3732" s="3">
        <f t="shared" si="58"/>
        <v>43747.733752106484</v>
      </c>
    </row>
    <row r="3733" spans="1:10" x14ac:dyDescent="0.25">
      <c r="A3733" s="5" t="s">
        <v>7786</v>
      </c>
      <c r="B3733" s="6">
        <v>393.75</v>
      </c>
      <c r="C3733" s="6">
        <v>20.584240000000001</v>
      </c>
      <c r="D3733" s="6">
        <v>63</v>
      </c>
      <c r="E3733" s="6">
        <v>0</v>
      </c>
      <c r="F3733" s="6">
        <v>0</v>
      </c>
      <c r="G3733" s="6">
        <v>46</v>
      </c>
      <c r="H3733" s="6" t="s">
        <v>7787</v>
      </c>
      <c r="I3733" s="6">
        <v>526.6875</v>
      </c>
      <c r="J3733" s="2">
        <f t="shared" si="58"/>
        <v>43747.73383568287</v>
      </c>
    </row>
    <row r="3734" spans="1:10" x14ac:dyDescent="0.25">
      <c r="A3734" s="7" t="s">
        <v>7788</v>
      </c>
      <c r="B3734" s="8">
        <v>393.75</v>
      </c>
      <c r="C3734" s="8">
        <v>20.584240000000001</v>
      </c>
      <c r="D3734" s="8">
        <v>61</v>
      </c>
      <c r="E3734" s="8">
        <v>0</v>
      </c>
      <c r="F3734" s="8">
        <v>0</v>
      </c>
      <c r="G3734" s="8">
        <v>39</v>
      </c>
      <c r="H3734" s="8" t="s">
        <v>7789</v>
      </c>
      <c r="I3734" s="8">
        <v>526.6875</v>
      </c>
      <c r="J3734" s="3">
        <f t="shared" si="58"/>
        <v>43747.733919236103</v>
      </c>
    </row>
    <row r="3735" spans="1:10" x14ac:dyDescent="0.25">
      <c r="A3735" s="5" t="s">
        <v>7790</v>
      </c>
      <c r="B3735" s="6">
        <v>396.875</v>
      </c>
      <c r="C3735" s="6">
        <v>20.531590000000001</v>
      </c>
      <c r="D3735" s="6">
        <v>61</v>
      </c>
      <c r="E3735" s="6">
        <v>0</v>
      </c>
      <c r="F3735" s="6">
        <v>0</v>
      </c>
      <c r="G3735" s="6">
        <v>48</v>
      </c>
      <c r="H3735" s="6" t="s">
        <v>7791</v>
      </c>
      <c r="I3735" s="6">
        <v>527.4375</v>
      </c>
      <c r="J3735" s="2">
        <f t="shared" si="58"/>
        <v>43747.734014571754</v>
      </c>
    </row>
    <row r="3736" spans="1:10" x14ac:dyDescent="0.25">
      <c r="A3736" s="7" t="s">
        <v>7792</v>
      </c>
      <c r="B3736" s="8">
        <v>415.625</v>
      </c>
      <c r="C3736" s="8">
        <v>20.584240000000001</v>
      </c>
      <c r="D3736" s="8">
        <v>61</v>
      </c>
      <c r="E3736" s="8">
        <v>0</v>
      </c>
      <c r="F3736" s="8">
        <v>0</v>
      </c>
      <c r="G3736" s="8">
        <v>41</v>
      </c>
      <c r="H3736" s="8" t="s">
        <v>7793</v>
      </c>
      <c r="I3736" s="8">
        <v>533.4375</v>
      </c>
      <c r="J3736" s="3">
        <f t="shared" si="58"/>
        <v>43747.734097939814</v>
      </c>
    </row>
    <row r="3737" spans="1:10" x14ac:dyDescent="0.25">
      <c r="A3737" s="5" t="s">
        <v>7794</v>
      </c>
      <c r="B3737" s="6">
        <v>400</v>
      </c>
      <c r="C3737" s="6">
        <v>20.531590000000001</v>
      </c>
      <c r="D3737" s="6">
        <v>62</v>
      </c>
      <c r="E3737" s="6">
        <v>0</v>
      </c>
      <c r="F3737" s="6">
        <v>0</v>
      </c>
      <c r="G3737" s="6">
        <v>48</v>
      </c>
      <c r="H3737" s="6" t="s">
        <v>7795</v>
      </c>
      <c r="I3737" s="6">
        <v>528.1875</v>
      </c>
      <c r="J3737" s="2">
        <f t="shared" si="58"/>
        <v>43747.734181493048</v>
      </c>
    </row>
    <row r="3738" spans="1:10" x14ac:dyDescent="0.25">
      <c r="A3738" s="7" t="s">
        <v>7796</v>
      </c>
      <c r="B3738" s="8">
        <v>403.125</v>
      </c>
      <c r="C3738" s="8">
        <v>20.531590000000001</v>
      </c>
      <c r="D3738" s="8">
        <v>62</v>
      </c>
      <c r="E3738" s="8">
        <v>0</v>
      </c>
      <c r="F3738" s="8">
        <v>0</v>
      </c>
      <c r="G3738" s="8">
        <v>42</v>
      </c>
      <c r="H3738" s="8" t="s">
        <v>7797</v>
      </c>
      <c r="I3738" s="8">
        <v>529.125</v>
      </c>
      <c r="J3738" s="3">
        <f t="shared" si="58"/>
        <v>43747.73426503472</v>
      </c>
    </row>
    <row r="3739" spans="1:10" x14ac:dyDescent="0.25">
      <c r="A3739" s="5" t="s">
        <v>7798</v>
      </c>
      <c r="B3739" s="6">
        <v>400</v>
      </c>
      <c r="C3739" s="6">
        <v>20.584240000000001</v>
      </c>
      <c r="D3739" s="6">
        <v>62</v>
      </c>
      <c r="E3739" s="6">
        <v>0</v>
      </c>
      <c r="F3739" s="6">
        <v>0</v>
      </c>
      <c r="G3739" s="6">
        <v>43</v>
      </c>
      <c r="H3739" s="6" t="s">
        <v>7799</v>
      </c>
      <c r="I3739" s="6">
        <v>528.375</v>
      </c>
      <c r="J3739" s="2">
        <f t="shared" si="58"/>
        <v>43747.734348506943</v>
      </c>
    </row>
    <row r="3740" spans="1:10" x14ac:dyDescent="0.25">
      <c r="A3740" s="7" t="s">
        <v>7800</v>
      </c>
      <c r="B3740" s="8">
        <v>400</v>
      </c>
      <c r="C3740" s="8">
        <v>20.531590000000001</v>
      </c>
      <c r="D3740" s="8">
        <v>62</v>
      </c>
      <c r="E3740" s="8">
        <v>0</v>
      </c>
      <c r="F3740" s="8">
        <v>0</v>
      </c>
      <c r="G3740" s="8">
        <v>47</v>
      </c>
      <c r="H3740" s="8" t="s">
        <v>7801</v>
      </c>
      <c r="I3740" s="8">
        <v>528.1875</v>
      </c>
      <c r="J3740" s="3">
        <f t="shared" si="58"/>
        <v>43747.734431851852</v>
      </c>
    </row>
    <row r="3741" spans="1:10" x14ac:dyDescent="0.25">
      <c r="A3741" s="5" t="s">
        <v>7802</v>
      </c>
      <c r="B3741" s="6">
        <v>400</v>
      </c>
      <c r="C3741" s="6">
        <v>20.531590000000001</v>
      </c>
      <c r="D3741" s="6">
        <v>62</v>
      </c>
      <c r="E3741" s="6">
        <v>0</v>
      </c>
      <c r="F3741" s="6">
        <v>0</v>
      </c>
      <c r="G3741" s="6">
        <v>44</v>
      </c>
      <c r="H3741" s="6" t="s">
        <v>7803</v>
      </c>
      <c r="I3741" s="6">
        <v>528.1875</v>
      </c>
      <c r="J3741" s="2">
        <f t="shared" si="58"/>
        <v>43747.734515289347</v>
      </c>
    </row>
    <row r="3742" spans="1:10" x14ac:dyDescent="0.25">
      <c r="A3742" s="7" t="s">
        <v>7804</v>
      </c>
      <c r="B3742" s="8">
        <v>400</v>
      </c>
      <c r="C3742" s="8">
        <v>20.531590000000001</v>
      </c>
      <c r="D3742" s="8">
        <v>62</v>
      </c>
      <c r="E3742" s="8">
        <v>0</v>
      </c>
      <c r="F3742" s="8">
        <v>0</v>
      </c>
      <c r="G3742" s="8">
        <v>40</v>
      </c>
      <c r="H3742" s="8" t="s">
        <v>7805</v>
      </c>
      <c r="I3742" s="8">
        <v>528.1875</v>
      </c>
      <c r="J3742" s="3">
        <f t="shared" si="58"/>
        <v>43747.734598738425</v>
      </c>
    </row>
    <row r="3743" spans="1:10" x14ac:dyDescent="0.25">
      <c r="A3743" s="5" t="s">
        <v>7806</v>
      </c>
      <c r="B3743" s="6">
        <v>400</v>
      </c>
      <c r="C3743" s="6">
        <v>20.478950000000001</v>
      </c>
      <c r="D3743" s="6">
        <v>62</v>
      </c>
      <c r="E3743" s="6">
        <v>0</v>
      </c>
      <c r="F3743" s="6">
        <v>0</v>
      </c>
      <c r="G3743" s="6">
        <v>46</v>
      </c>
      <c r="H3743" s="6" t="s">
        <v>7807</v>
      </c>
      <c r="I3743" s="6">
        <v>528.375</v>
      </c>
      <c r="J3743" s="2">
        <f t="shared" si="58"/>
        <v>43747.734682199072</v>
      </c>
    </row>
    <row r="3744" spans="1:10" x14ac:dyDescent="0.25">
      <c r="A3744" s="7" t="s">
        <v>7808</v>
      </c>
      <c r="B3744" s="8">
        <v>396.875</v>
      </c>
      <c r="C3744" s="8">
        <v>20.531590000000001</v>
      </c>
      <c r="D3744" s="8">
        <v>62</v>
      </c>
      <c r="E3744" s="8">
        <v>0</v>
      </c>
      <c r="F3744" s="8">
        <v>0</v>
      </c>
      <c r="G3744" s="8">
        <v>46</v>
      </c>
      <c r="H3744" s="8" t="s">
        <v>7809</v>
      </c>
      <c r="I3744" s="8">
        <v>527.4375</v>
      </c>
      <c r="J3744" s="3">
        <f t="shared" si="58"/>
        <v>43747.734763807872</v>
      </c>
    </row>
    <row r="3745" spans="1:10" x14ac:dyDescent="0.25">
      <c r="A3745" s="5" t="s">
        <v>7810</v>
      </c>
      <c r="B3745" s="6">
        <v>396.875</v>
      </c>
      <c r="C3745" s="6">
        <v>20.584240000000001</v>
      </c>
      <c r="D3745" s="6">
        <v>61</v>
      </c>
      <c r="E3745" s="6">
        <v>0</v>
      </c>
      <c r="F3745" s="6">
        <v>0</v>
      </c>
      <c r="G3745" s="6">
        <v>44</v>
      </c>
      <c r="H3745" s="6" t="s">
        <v>7811</v>
      </c>
      <c r="I3745" s="6">
        <v>527.4375</v>
      </c>
      <c r="J3745" s="2">
        <f t="shared" si="58"/>
        <v>43747.734837164353</v>
      </c>
    </row>
    <row r="3746" spans="1:10" x14ac:dyDescent="0.25">
      <c r="A3746" s="7" t="s">
        <v>7812</v>
      </c>
      <c r="B3746" s="8">
        <v>400</v>
      </c>
      <c r="C3746" s="8">
        <v>20.531590000000001</v>
      </c>
      <c r="D3746" s="8">
        <v>61</v>
      </c>
      <c r="E3746" s="8">
        <v>0</v>
      </c>
      <c r="F3746" s="8">
        <v>0</v>
      </c>
      <c r="G3746" s="8">
        <v>49</v>
      </c>
      <c r="H3746" s="8" t="s">
        <v>7813</v>
      </c>
      <c r="I3746" s="8">
        <v>528.375</v>
      </c>
      <c r="J3746" s="3">
        <f t="shared" si="58"/>
        <v>43747.734920729163</v>
      </c>
    </row>
    <row r="3747" spans="1:10" x14ac:dyDescent="0.25">
      <c r="A3747" s="5" t="s">
        <v>7814</v>
      </c>
      <c r="B3747" s="6">
        <v>400</v>
      </c>
      <c r="C3747" s="6">
        <v>20.584240000000001</v>
      </c>
      <c r="D3747" s="6">
        <v>60</v>
      </c>
      <c r="E3747" s="6">
        <v>0</v>
      </c>
      <c r="F3747" s="6">
        <v>0</v>
      </c>
      <c r="G3747" s="6">
        <v>46</v>
      </c>
      <c r="H3747" s="6" t="s">
        <v>7815</v>
      </c>
      <c r="I3747" s="6">
        <v>528.375</v>
      </c>
      <c r="J3747" s="2">
        <f t="shared" si="58"/>
        <v>43747.73500418981</v>
      </c>
    </row>
    <row r="3748" spans="1:10" x14ac:dyDescent="0.25">
      <c r="A3748" s="7" t="s">
        <v>7816</v>
      </c>
      <c r="B3748" s="8">
        <v>400</v>
      </c>
      <c r="C3748" s="8">
        <v>20.531590000000001</v>
      </c>
      <c r="D3748" s="8">
        <v>59</v>
      </c>
      <c r="E3748" s="8">
        <v>0</v>
      </c>
      <c r="F3748" s="8">
        <v>0</v>
      </c>
      <c r="G3748" s="8">
        <v>45</v>
      </c>
      <c r="H3748" s="8" t="s">
        <v>7817</v>
      </c>
      <c r="I3748" s="8">
        <v>528.1875</v>
      </c>
      <c r="J3748" s="3">
        <f t="shared" si="58"/>
        <v>43747.735099664351</v>
      </c>
    </row>
    <row r="3749" spans="1:10" x14ac:dyDescent="0.25">
      <c r="A3749" s="5" t="s">
        <v>7818</v>
      </c>
      <c r="B3749" s="6">
        <v>400</v>
      </c>
      <c r="C3749" s="6">
        <v>20.478950000000001</v>
      </c>
      <c r="D3749" s="6">
        <v>63</v>
      </c>
      <c r="E3749" s="6">
        <v>0</v>
      </c>
      <c r="F3749" s="6">
        <v>0</v>
      </c>
      <c r="G3749" s="6">
        <v>48</v>
      </c>
      <c r="H3749" s="6" t="s">
        <v>7819</v>
      </c>
      <c r="I3749" s="6">
        <v>528.1875</v>
      </c>
      <c r="J3749" s="2">
        <f t="shared" si="58"/>
        <v>43747.735183032404</v>
      </c>
    </row>
    <row r="3750" spans="1:10" x14ac:dyDescent="0.25">
      <c r="A3750" s="7" t="s">
        <v>7820</v>
      </c>
      <c r="B3750" s="8">
        <v>415.625</v>
      </c>
      <c r="C3750" s="8">
        <v>20.531590000000001</v>
      </c>
      <c r="D3750" s="8">
        <v>63</v>
      </c>
      <c r="E3750" s="8">
        <v>0</v>
      </c>
      <c r="F3750" s="8">
        <v>0</v>
      </c>
      <c r="G3750" s="8">
        <v>53</v>
      </c>
      <c r="H3750" s="8" t="s">
        <v>7821</v>
      </c>
      <c r="I3750" s="8">
        <v>533.8125</v>
      </c>
      <c r="J3750" s="3">
        <f t="shared" si="58"/>
        <v>43747.735254525462</v>
      </c>
    </row>
    <row r="3751" spans="1:10" x14ac:dyDescent="0.25">
      <c r="A3751" s="5" t="s">
        <v>7822</v>
      </c>
      <c r="B3751" s="6">
        <v>396.875</v>
      </c>
      <c r="C3751" s="6">
        <v>20.531590000000001</v>
      </c>
      <c r="D3751" s="6">
        <v>63</v>
      </c>
      <c r="E3751" s="6">
        <v>0</v>
      </c>
      <c r="F3751" s="6">
        <v>0</v>
      </c>
      <c r="G3751" s="6">
        <v>54</v>
      </c>
      <c r="H3751" s="6" t="s">
        <v>7823</v>
      </c>
      <c r="I3751" s="6">
        <v>527.4375</v>
      </c>
      <c r="J3751" s="2">
        <f t="shared" si="58"/>
        <v>43747.735325729162</v>
      </c>
    </row>
    <row r="3752" spans="1:10" x14ac:dyDescent="0.25">
      <c r="A3752" s="7" t="s">
        <v>7824</v>
      </c>
      <c r="B3752" s="8">
        <v>396.875</v>
      </c>
      <c r="C3752" s="8">
        <v>20.531590000000001</v>
      </c>
      <c r="D3752" s="8">
        <v>63</v>
      </c>
      <c r="E3752" s="8">
        <v>0</v>
      </c>
      <c r="F3752" s="8">
        <v>0</v>
      </c>
      <c r="G3752" s="8">
        <v>50</v>
      </c>
      <c r="H3752" s="8" t="s">
        <v>7825</v>
      </c>
      <c r="I3752" s="8">
        <v>527.4375</v>
      </c>
      <c r="J3752" s="3">
        <f t="shared" si="58"/>
        <v>43747.735397835648</v>
      </c>
    </row>
    <row r="3753" spans="1:10" x14ac:dyDescent="0.25">
      <c r="A3753" s="5" t="s">
        <v>7826</v>
      </c>
      <c r="B3753" s="6">
        <v>396.875</v>
      </c>
      <c r="C3753" s="6">
        <v>20.584240000000001</v>
      </c>
      <c r="D3753" s="6">
        <v>62</v>
      </c>
      <c r="E3753" s="6">
        <v>0</v>
      </c>
      <c r="F3753" s="6">
        <v>0</v>
      </c>
      <c r="G3753" s="6">
        <v>51</v>
      </c>
      <c r="H3753" s="6" t="s">
        <v>7827</v>
      </c>
      <c r="I3753" s="6">
        <v>527.4375</v>
      </c>
      <c r="J3753" s="2">
        <f t="shared" si="58"/>
        <v>43747.735469247687</v>
      </c>
    </row>
    <row r="3754" spans="1:10" x14ac:dyDescent="0.25">
      <c r="A3754" s="7" t="s">
        <v>7828</v>
      </c>
      <c r="B3754" s="8">
        <v>415.625</v>
      </c>
      <c r="C3754" s="8">
        <v>20.531590000000001</v>
      </c>
      <c r="D3754" s="8">
        <v>62</v>
      </c>
      <c r="E3754" s="8">
        <v>0</v>
      </c>
      <c r="F3754" s="8">
        <v>0</v>
      </c>
      <c r="G3754" s="8">
        <v>44</v>
      </c>
      <c r="H3754" s="8" t="s">
        <v>7829</v>
      </c>
      <c r="I3754" s="8">
        <v>533.25</v>
      </c>
      <c r="J3754" s="3">
        <f t="shared" si="58"/>
        <v>43747.73555258102</v>
      </c>
    </row>
    <row r="3755" spans="1:10" x14ac:dyDescent="0.25">
      <c r="A3755" s="5" t="s">
        <v>7830</v>
      </c>
      <c r="B3755" s="6">
        <v>400</v>
      </c>
      <c r="C3755" s="6">
        <v>20.584240000000001</v>
      </c>
      <c r="D3755" s="6">
        <v>62</v>
      </c>
      <c r="E3755" s="6">
        <v>0</v>
      </c>
      <c r="F3755" s="6">
        <v>0</v>
      </c>
      <c r="G3755" s="6">
        <v>49</v>
      </c>
      <c r="H3755" s="6" t="s">
        <v>7831</v>
      </c>
      <c r="I3755" s="6">
        <v>528.1875</v>
      </c>
      <c r="J3755" s="2">
        <f t="shared" si="58"/>
        <v>43747.735624224537</v>
      </c>
    </row>
    <row r="3756" spans="1:10" x14ac:dyDescent="0.25">
      <c r="A3756" s="7" t="s">
        <v>7832</v>
      </c>
      <c r="B3756" s="8">
        <v>400</v>
      </c>
      <c r="C3756" s="8">
        <v>20.584240000000001</v>
      </c>
      <c r="D3756" s="8">
        <v>61</v>
      </c>
      <c r="E3756" s="8">
        <v>0</v>
      </c>
      <c r="F3756" s="8">
        <v>0</v>
      </c>
      <c r="G3756" s="8">
        <v>50</v>
      </c>
      <c r="H3756" s="8" t="s">
        <v>7833</v>
      </c>
      <c r="I3756" s="8">
        <v>528.375</v>
      </c>
      <c r="J3756" s="3">
        <f t="shared" si="58"/>
        <v>43747.735707650463</v>
      </c>
    </row>
    <row r="3757" spans="1:10" x14ac:dyDescent="0.25">
      <c r="A3757" s="5" t="s">
        <v>7834</v>
      </c>
      <c r="B3757" s="6">
        <v>396.875</v>
      </c>
      <c r="C3757" s="6">
        <v>20.531590000000001</v>
      </c>
      <c r="D3757" s="6">
        <v>62</v>
      </c>
      <c r="E3757" s="6">
        <v>0</v>
      </c>
      <c r="F3757" s="6">
        <v>0</v>
      </c>
      <c r="G3757" s="6">
        <v>48</v>
      </c>
      <c r="H3757" s="6" t="s">
        <v>7835</v>
      </c>
      <c r="I3757" s="6">
        <v>527.4375</v>
      </c>
      <c r="J3757" s="2">
        <f t="shared" si="58"/>
        <v>43747.73579111111</v>
      </c>
    </row>
    <row r="3758" spans="1:10" x14ac:dyDescent="0.25">
      <c r="A3758" s="7" t="s">
        <v>7836</v>
      </c>
      <c r="B3758" s="8">
        <v>396.875</v>
      </c>
      <c r="C3758" s="8">
        <v>20.584240000000001</v>
      </c>
      <c r="D3758" s="8">
        <v>64</v>
      </c>
      <c r="E3758" s="8">
        <v>0</v>
      </c>
      <c r="F3758" s="8">
        <v>0</v>
      </c>
      <c r="G3758" s="8">
        <v>45</v>
      </c>
      <c r="H3758" s="8" t="s">
        <v>7837</v>
      </c>
      <c r="I3758" s="8">
        <v>527.4375</v>
      </c>
      <c r="J3758" s="3">
        <f t="shared" si="58"/>
        <v>43747.735886238421</v>
      </c>
    </row>
    <row r="3759" spans="1:10" x14ac:dyDescent="0.25">
      <c r="A3759" s="5" t="s">
        <v>7838</v>
      </c>
      <c r="B3759" s="6">
        <v>396.875</v>
      </c>
      <c r="C3759" s="6">
        <v>20.584240000000001</v>
      </c>
      <c r="D3759" s="6">
        <v>64</v>
      </c>
      <c r="E3759" s="6">
        <v>0</v>
      </c>
      <c r="F3759" s="6">
        <v>0</v>
      </c>
      <c r="G3759" s="6">
        <v>43</v>
      </c>
      <c r="H3759" s="6" t="s">
        <v>7839</v>
      </c>
      <c r="I3759" s="6">
        <v>527.4375</v>
      </c>
      <c r="J3759" s="2">
        <f t="shared" si="58"/>
        <v>43747.735958090278</v>
      </c>
    </row>
    <row r="3760" spans="1:10" x14ac:dyDescent="0.25">
      <c r="A3760" s="7" t="s">
        <v>7840</v>
      </c>
      <c r="B3760" s="8">
        <v>400</v>
      </c>
      <c r="C3760" s="8">
        <v>20.531590000000001</v>
      </c>
      <c r="D3760" s="8">
        <v>64</v>
      </c>
      <c r="E3760" s="8">
        <v>0</v>
      </c>
      <c r="F3760" s="8">
        <v>0</v>
      </c>
      <c r="G3760" s="8">
        <v>34</v>
      </c>
      <c r="H3760" s="8" t="s">
        <v>7841</v>
      </c>
      <c r="I3760" s="8">
        <v>528.375</v>
      </c>
      <c r="J3760" s="3">
        <f t="shared" si="58"/>
        <v>43747.736029629632</v>
      </c>
    </row>
    <row r="3761" spans="1:10" x14ac:dyDescent="0.25">
      <c r="A3761" s="5" t="s">
        <v>7842</v>
      </c>
      <c r="B3761" s="6">
        <v>400</v>
      </c>
      <c r="C3761" s="6">
        <v>20.531590000000001</v>
      </c>
      <c r="D3761" s="6">
        <v>63</v>
      </c>
      <c r="E3761" s="6">
        <v>0</v>
      </c>
      <c r="F3761" s="6">
        <v>0</v>
      </c>
      <c r="G3761" s="6">
        <v>44</v>
      </c>
      <c r="H3761" s="6" t="s">
        <v>7843</v>
      </c>
      <c r="I3761" s="6">
        <v>528.375</v>
      </c>
      <c r="J3761" s="2">
        <f t="shared" si="58"/>
        <v>43747.736113194442</v>
      </c>
    </row>
    <row r="3762" spans="1:10" x14ac:dyDescent="0.25">
      <c r="A3762" s="7" t="s">
        <v>7844</v>
      </c>
      <c r="B3762" s="8">
        <v>400</v>
      </c>
      <c r="C3762" s="8">
        <v>20.531590000000001</v>
      </c>
      <c r="D3762" s="8">
        <v>65</v>
      </c>
      <c r="E3762" s="8">
        <v>0</v>
      </c>
      <c r="F3762" s="8">
        <v>0</v>
      </c>
      <c r="G3762" s="8">
        <v>54</v>
      </c>
      <c r="H3762" s="8" t="s">
        <v>7845</v>
      </c>
      <c r="I3762" s="8">
        <v>528.375</v>
      </c>
      <c r="J3762" s="3">
        <f t="shared" si="58"/>
        <v>43747.73619653935</v>
      </c>
    </row>
    <row r="3763" spans="1:10" x14ac:dyDescent="0.25">
      <c r="A3763" s="5" t="s">
        <v>7846</v>
      </c>
      <c r="B3763" s="6">
        <v>400</v>
      </c>
      <c r="C3763" s="6">
        <v>20.531590000000001</v>
      </c>
      <c r="D3763" s="6">
        <v>66</v>
      </c>
      <c r="E3763" s="6">
        <v>0</v>
      </c>
      <c r="F3763" s="6">
        <v>0</v>
      </c>
      <c r="G3763" s="6">
        <v>45</v>
      </c>
      <c r="H3763" s="6" t="s">
        <v>7847</v>
      </c>
      <c r="I3763" s="6">
        <v>528.375</v>
      </c>
      <c r="J3763" s="2">
        <f t="shared" si="58"/>
        <v>43747.736280104167</v>
      </c>
    </row>
    <row r="3764" spans="1:10" x14ac:dyDescent="0.25">
      <c r="A3764" s="7" t="s">
        <v>7848</v>
      </c>
      <c r="B3764" s="8">
        <v>400</v>
      </c>
      <c r="C3764" s="8">
        <v>20.584240000000001</v>
      </c>
      <c r="D3764" s="8">
        <v>63</v>
      </c>
      <c r="E3764" s="8">
        <v>0</v>
      </c>
      <c r="F3764" s="8">
        <v>0</v>
      </c>
      <c r="G3764" s="8">
        <v>38</v>
      </c>
      <c r="H3764" s="8" t="s">
        <v>7849</v>
      </c>
      <c r="I3764" s="8">
        <v>528.375</v>
      </c>
      <c r="J3764" s="3">
        <f t="shared" si="58"/>
        <v>43747.736363518517</v>
      </c>
    </row>
    <row r="3765" spans="1:10" x14ac:dyDescent="0.25">
      <c r="A3765" s="5" t="s">
        <v>7850</v>
      </c>
      <c r="B3765" s="6">
        <v>396.875</v>
      </c>
      <c r="C3765" s="6">
        <v>20.531590000000001</v>
      </c>
      <c r="D3765" s="6">
        <v>63</v>
      </c>
      <c r="E3765" s="6">
        <v>0</v>
      </c>
      <c r="F3765" s="6">
        <v>0</v>
      </c>
      <c r="G3765" s="6">
        <v>45</v>
      </c>
      <c r="H3765" s="6" t="s">
        <v>7851</v>
      </c>
      <c r="I3765" s="6">
        <v>527.4375</v>
      </c>
      <c r="J3765" s="2">
        <f t="shared" si="58"/>
        <v>43747.736446990741</v>
      </c>
    </row>
    <row r="3766" spans="1:10" x14ac:dyDescent="0.25">
      <c r="A3766" s="7" t="s">
        <v>7852</v>
      </c>
      <c r="B3766" s="8">
        <v>396.875</v>
      </c>
      <c r="C3766" s="8">
        <v>20.531590000000001</v>
      </c>
      <c r="D3766" s="8">
        <v>62</v>
      </c>
      <c r="E3766" s="8">
        <v>0</v>
      </c>
      <c r="F3766" s="8">
        <v>0</v>
      </c>
      <c r="G3766" s="8">
        <v>47</v>
      </c>
      <c r="H3766" s="8" t="s">
        <v>7853</v>
      </c>
      <c r="I3766" s="8">
        <v>527.4375</v>
      </c>
      <c r="J3766" s="3">
        <f t="shared" si="58"/>
        <v>43747.736518645826</v>
      </c>
    </row>
    <row r="3767" spans="1:10" x14ac:dyDescent="0.25">
      <c r="A3767" s="5" t="s">
        <v>7854</v>
      </c>
      <c r="B3767" s="6">
        <v>415.625</v>
      </c>
      <c r="C3767" s="6">
        <v>20.531590000000001</v>
      </c>
      <c r="D3767" s="6">
        <v>63</v>
      </c>
      <c r="E3767" s="6">
        <v>0</v>
      </c>
      <c r="F3767" s="6">
        <v>0</v>
      </c>
      <c r="G3767" s="6">
        <v>51</v>
      </c>
      <c r="H3767" s="6" t="s">
        <v>7855</v>
      </c>
      <c r="I3767" s="6">
        <v>533.25</v>
      </c>
      <c r="J3767" s="2">
        <f t="shared" si="58"/>
        <v>43747.736589699074</v>
      </c>
    </row>
    <row r="3768" spans="1:10" x14ac:dyDescent="0.25">
      <c r="A3768" s="7" t="s">
        <v>7856</v>
      </c>
      <c r="B3768" s="8">
        <v>396.875</v>
      </c>
      <c r="C3768" s="8">
        <v>20.531590000000001</v>
      </c>
      <c r="D3768" s="8">
        <v>63</v>
      </c>
      <c r="E3768" s="8">
        <v>0</v>
      </c>
      <c r="F3768" s="8">
        <v>0</v>
      </c>
      <c r="G3768" s="8">
        <v>50</v>
      </c>
      <c r="H3768" s="8" t="s">
        <v>7857</v>
      </c>
      <c r="I3768" s="8">
        <v>527.4375</v>
      </c>
      <c r="J3768" s="3">
        <f t="shared" si="58"/>
        <v>43747.736661932868</v>
      </c>
    </row>
    <row r="3769" spans="1:10" x14ac:dyDescent="0.25">
      <c r="A3769" s="5" t="s">
        <v>7858</v>
      </c>
      <c r="B3769" s="6">
        <v>400</v>
      </c>
      <c r="C3769" s="6">
        <v>20.531590000000001</v>
      </c>
      <c r="D3769" s="6">
        <v>63</v>
      </c>
      <c r="E3769" s="6">
        <v>0</v>
      </c>
      <c r="F3769" s="6">
        <v>0</v>
      </c>
      <c r="G3769" s="6">
        <v>49</v>
      </c>
      <c r="H3769" s="6" t="s">
        <v>7859</v>
      </c>
      <c r="I3769" s="6">
        <v>528.1875</v>
      </c>
      <c r="J3769" s="2">
        <f t="shared" si="58"/>
        <v>43747.736745138885</v>
      </c>
    </row>
    <row r="3770" spans="1:10" x14ac:dyDescent="0.25">
      <c r="A3770" s="7" t="s">
        <v>7860</v>
      </c>
      <c r="B3770" s="8">
        <v>400</v>
      </c>
      <c r="C3770" s="8">
        <v>20.584240000000001</v>
      </c>
      <c r="D3770" s="8">
        <v>61</v>
      </c>
      <c r="E3770" s="8">
        <v>0</v>
      </c>
      <c r="F3770" s="8">
        <v>0</v>
      </c>
      <c r="G3770" s="8">
        <v>44</v>
      </c>
      <c r="H3770" s="8" t="s">
        <v>7861</v>
      </c>
      <c r="I3770" s="8">
        <v>528.1875</v>
      </c>
      <c r="J3770" s="3">
        <f t="shared" si="58"/>
        <v>43747.736816550925</v>
      </c>
    </row>
    <row r="3771" spans="1:10" x14ac:dyDescent="0.25">
      <c r="A3771" s="5" t="s">
        <v>7862</v>
      </c>
      <c r="B3771" s="6">
        <v>400</v>
      </c>
      <c r="C3771" s="6">
        <v>20.584240000000001</v>
      </c>
      <c r="D3771" s="6">
        <v>61</v>
      </c>
      <c r="E3771" s="6">
        <v>0</v>
      </c>
      <c r="F3771" s="6">
        <v>0</v>
      </c>
      <c r="G3771" s="6">
        <v>47</v>
      </c>
      <c r="H3771" s="6" t="s">
        <v>7863</v>
      </c>
      <c r="I3771" s="6">
        <v>528.375</v>
      </c>
      <c r="J3771" s="2">
        <f t="shared" si="58"/>
        <v>43747.736888206018</v>
      </c>
    </row>
    <row r="3772" spans="1:10" x14ac:dyDescent="0.25">
      <c r="A3772" s="7" t="s">
        <v>7864</v>
      </c>
      <c r="B3772" s="8">
        <v>403.125</v>
      </c>
      <c r="C3772" s="8">
        <v>20.584240000000001</v>
      </c>
      <c r="D3772" s="8">
        <v>61</v>
      </c>
      <c r="E3772" s="8">
        <v>0</v>
      </c>
      <c r="F3772" s="8">
        <v>0</v>
      </c>
      <c r="G3772" s="8">
        <v>45</v>
      </c>
      <c r="H3772" s="8" t="s">
        <v>7865</v>
      </c>
      <c r="I3772" s="8">
        <v>529.125</v>
      </c>
      <c r="J3772" s="3">
        <f t="shared" si="58"/>
        <v>43747.736959606475</v>
      </c>
    </row>
    <row r="3773" spans="1:10" x14ac:dyDescent="0.25">
      <c r="A3773" s="5" t="s">
        <v>7866</v>
      </c>
      <c r="B3773" s="6">
        <v>403.125</v>
      </c>
      <c r="C3773" s="6">
        <v>20.584240000000001</v>
      </c>
      <c r="D3773" s="6">
        <v>60</v>
      </c>
      <c r="E3773" s="6">
        <v>0</v>
      </c>
      <c r="F3773" s="6">
        <v>0</v>
      </c>
      <c r="G3773" s="6">
        <v>48</v>
      </c>
      <c r="H3773" s="6" t="s">
        <v>7867</v>
      </c>
      <c r="I3773" s="6">
        <v>529.125</v>
      </c>
      <c r="J3773" s="2">
        <f t="shared" si="58"/>
        <v>43747.737031249999</v>
      </c>
    </row>
    <row r="3774" spans="1:10" x14ac:dyDescent="0.25">
      <c r="A3774" s="7" t="s">
        <v>7868</v>
      </c>
      <c r="B3774" s="8">
        <v>403.125</v>
      </c>
      <c r="C3774" s="8">
        <v>20.531590000000001</v>
      </c>
      <c r="D3774" s="8">
        <v>60</v>
      </c>
      <c r="E3774" s="8">
        <v>0</v>
      </c>
      <c r="F3774" s="8">
        <v>0</v>
      </c>
      <c r="G3774" s="8">
        <v>55</v>
      </c>
      <c r="H3774" s="8" t="s">
        <v>7869</v>
      </c>
      <c r="I3774" s="8">
        <v>529.125</v>
      </c>
      <c r="J3774" s="3">
        <f t="shared" si="58"/>
        <v>43747.737102789346</v>
      </c>
    </row>
    <row r="3775" spans="1:10" x14ac:dyDescent="0.25">
      <c r="A3775" s="5" t="s">
        <v>7870</v>
      </c>
      <c r="B3775" s="6">
        <v>403.125</v>
      </c>
      <c r="C3775" s="6">
        <v>20.531590000000001</v>
      </c>
      <c r="D3775" s="6">
        <v>60</v>
      </c>
      <c r="E3775" s="6">
        <v>0</v>
      </c>
      <c r="F3775" s="6">
        <v>0</v>
      </c>
      <c r="G3775" s="6">
        <v>56</v>
      </c>
      <c r="H3775" s="6" t="s">
        <v>7871</v>
      </c>
      <c r="I3775" s="6">
        <v>529.125</v>
      </c>
      <c r="J3775" s="2">
        <f t="shared" si="58"/>
        <v>43747.737185995364</v>
      </c>
    </row>
    <row r="3776" spans="1:10" x14ac:dyDescent="0.25">
      <c r="A3776" s="7" t="s">
        <v>7872</v>
      </c>
      <c r="B3776" s="8">
        <v>403.125</v>
      </c>
      <c r="C3776" s="8">
        <v>20.531590000000001</v>
      </c>
      <c r="D3776" s="8">
        <v>62</v>
      </c>
      <c r="E3776" s="8">
        <v>0</v>
      </c>
      <c r="F3776" s="8">
        <v>0</v>
      </c>
      <c r="G3776" s="8">
        <v>50</v>
      </c>
      <c r="H3776" s="8" t="s">
        <v>7873</v>
      </c>
      <c r="I3776" s="8">
        <v>529.125</v>
      </c>
      <c r="J3776" s="3">
        <f t="shared" si="58"/>
        <v>43747.737257881941</v>
      </c>
    </row>
    <row r="3777" spans="1:10" x14ac:dyDescent="0.25">
      <c r="A3777" s="5" t="s">
        <v>7874</v>
      </c>
      <c r="B3777" s="6">
        <v>403.125</v>
      </c>
      <c r="C3777" s="6">
        <v>20.584240000000001</v>
      </c>
      <c r="D3777" s="6">
        <v>63</v>
      </c>
      <c r="E3777" s="6">
        <v>0</v>
      </c>
      <c r="F3777" s="6">
        <v>0</v>
      </c>
      <c r="G3777" s="6">
        <v>43</v>
      </c>
      <c r="H3777" s="6" t="s">
        <v>7875</v>
      </c>
      <c r="I3777" s="6">
        <v>529.125</v>
      </c>
      <c r="J3777" s="2">
        <f t="shared" si="58"/>
        <v>43747.737341342588</v>
      </c>
    </row>
    <row r="3778" spans="1:10" x14ac:dyDescent="0.25">
      <c r="A3778" s="7" t="s">
        <v>7876</v>
      </c>
      <c r="B3778" s="8">
        <v>403.125</v>
      </c>
      <c r="C3778" s="8">
        <v>20.531590000000001</v>
      </c>
      <c r="D3778" s="8">
        <v>63</v>
      </c>
      <c r="E3778" s="8">
        <v>0</v>
      </c>
      <c r="F3778" s="8">
        <v>0</v>
      </c>
      <c r="G3778" s="8">
        <v>51</v>
      </c>
      <c r="H3778" s="8" t="s">
        <v>7877</v>
      </c>
      <c r="I3778" s="8">
        <v>529.125</v>
      </c>
      <c r="J3778" s="3">
        <f t="shared" ref="J3778:J3841" si="59">(H3778/86400000)+25569+(7/24)</f>
        <v>43747.737424768515</v>
      </c>
    </row>
    <row r="3779" spans="1:10" x14ac:dyDescent="0.25">
      <c r="A3779" s="5" t="s">
        <v>7878</v>
      </c>
      <c r="B3779" s="6">
        <v>403.125</v>
      </c>
      <c r="C3779" s="6">
        <v>20.531590000000001</v>
      </c>
      <c r="D3779" s="6">
        <v>63</v>
      </c>
      <c r="E3779" s="6">
        <v>0</v>
      </c>
      <c r="F3779" s="6">
        <v>0</v>
      </c>
      <c r="G3779" s="6">
        <v>54</v>
      </c>
      <c r="H3779" s="6" t="s">
        <v>7879</v>
      </c>
      <c r="I3779" s="6">
        <v>529.125</v>
      </c>
      <c r="J3779" s="2">
        <f t="shared" si="59"/>
        <v>43747.737508229162</v>
      </c>
    </row>
    <row r="3780" spans="1:10" x14ac:dyDescent="0.25">
      <c r="A3780" s="7" t="s">
        <v>7880</v>
      </c>
      <c r="B3780" s="8">
        <v>418.75</v>
      </c>
      <c r="C3780" s="8">
        <v>20.584240000000001</v>
      </c>
      <c r="D3780" s="8">
        <v>64</v>
      </c>
      <c r="E3780" s="8">
        <v>0</v>
      </c>
      <c r="F3780" s="8">
        <v>0</v>
      </c>
      <c r="G3780" s="8">
        <v>50</v>
      </c>
      <c r="H3780" s="8" t="s">
        <v>7881</v>
      </c>
      <c r="I3780" s="8">
        <v>534.5625</v>
      </c>
      <c r="J3780" s="3">
        <f t="shared" si="59"/>
        <v>43747.737591655088</v>
      </c>
    </row>
    <row r="3781" spans="1:10" x14ac:dyDescent="0.25">
      <c r="A3781" s="5" t="s">
        <v>7882</v>
      </c>
      <c r="B3781" s="6">
        <v>403.125</v>
      </c>
      <c r="C3781" s="6">
        <v>20.584240000000001</v>
      </c>
      <c r="D3781" s="6">
        <v>66</v>
      </c>
      <c r="E3781" s="6">
        <v>0</v>
      </c>
      <c r="F3781" s="6">
        <v>0</v>
      </c>
      <c r="G3781" s="6">
        <v>43</v>
      </c>
      <c r="H3781" s="6" t="s">
        <v>7883</v>
      </c>
      <c r="I3781" s="6">
        <v>529.875</v>
      </c>
      <c r="J3781" s="2">
        <f t="shared" si="59"/>
        <v>43747.737674884258</v>
      </c>
    </row>
    <row r="3782" spans="1:10" x14ac:dyDescent="0.25">
      <c r="A3782" s="7" t="s">
        <v>7884</v>
      </c>
      <c r="B3782" s="8">
        <v>403.125</v>
      </c>
      <c r="C3782" s="8">
        <v>20.531590000000001</v>
      </c>
      <c r="D3782" s="8">
        <v>67</v>
      </c>
      <c r="E3782" s="8">
        <v>0</v>
      </c>
      <c r="F3782" s="8">
        <v>0</v>
      </c>
      <c r="G3782" s="8">
        <v>42</v>
      </c>
      <c r="H3782" s="8" t="s">
        <v>7885</v>
      </c>
      <c r="I3782" s="8">
        <v>529.875</v>
      </c>
      <c r="J3782" s="3">
        <f t="shared" si="59"/>
        <v>43747.737746770836</v>
      </c>
    </row>
    <row r="3783" spans="1:10" x14ac:dyDescent="0.25">
      <c r="A3783" s="5" t="s">
        <v>7886</v>
      </c>
      <c r="B3783" s="6">
        <v>403.125</v>
      </c>
      <c r="C3783" s="6">
        <v>20.531590000000001</v>
      </c>
      <c r="D3783" s="6">
        <v>66</v>
      </c>
      <c r="E3783" s="6">
        <v>0</v>
      </c>
      <c r="F3783" s="6">
        <v>0</v>
      </c>
      <c r="G3783" s="6">
        <v>47</v>
      </c>
      <c r="H3783" s="6" t="s">
        <v>7887</v>
      </c>
      <c r="I3783" s="6">
        <v>529.875</v>
      </c>
      <c r="J3783" s="2">
        <f t="shared" si="59"/>
        <v>43747.737830324077</v>
      </c>
    </row>
    <row r="3784" spans="1:10" x14ac:dyDescent="0.25">
      <c r="A3784" s="7" t="s">
        <v>7888</v>
      </c>
      <c r="B3784" s="8">
        <v>406.25</v>
      </c>
      <c r="C3784" s="8">
        <v>20.531590000000001</v>
      </c>
      <c r="D3784" s="8">
        <v>67</v>
      </c>
      <c r="E3784" s="8">
        <v>0</v>
      </c>
      <c r="F3784" s="8">
        <v>0</v>
      </c>
      <c r="G3784" s="8">
        <v>50</v>
      </c>
      <c r="H3784" s="8" t="s">
        <v>7889</v>
      </c>
      <c r="I3784" s="8">
        <v>530.625</v>
      </c>
      <c r="J3784" s="3">
        <f t="shared" si="59"/>
        <v>43747.737913784724</v>
      </c>
    </row>
    <row r="3785" spans="1:10" x14ac:dyDescent="0.25">
      <c r="A3785" s="5" t="s">
        <v>7890</v>
      </c>
      <c r="B3785" s="6">
        <v>409.375</v>
      </c>
      <c r="C3785" s="6">
        <v>20.531590000000001</v>
      </c>
      <c r="D3785" s="6">
        <v>67</v>
      </c>
      <c r="E3785" s="6">
        <v>0</v>
      </c>
      <c r="F3785" s="6">
        <v>0</v>
      </c>
      <c r="G3785" s="6">
        <v>47</v>
      </c>
      <c r="H3785" s="6" t="s">
        <v>7891</v>
      </c>
      <c r="I3785" s="6">
        <v>531.1875</v>
      </c>
      <c r="J3785" s="2">
        <f t="shared" si="59"/>
        <v>43747.737996990742</v>
      </c>
    </row>
    <row r="3786" spans="1:10" x14ac:dyDescent="0.25">
      <c r="A3786" s="7" t="s">
        <v>7892</v>
      </c>
      <c r="B3786" s="8">
        <v>403.125</v>
      </c>
      <c r="C3786" s="8">
        <v>20.531590000000001</v>
      </c>
      <c r="D3786" s="8">
        <v>67</v>
      </c>
      <c r="E3786" s="8">
        <v>0</v>
      </c>
      <c r="F3786" s="8">
        <v>0</v>
      </c>
      <c r="G3786" s="8">
        <v>56</v>
      </c>
      <c r="H3786" s="8" t="s">
        <v>7893</v>
      </c>
      <c r="I3786" s="8">
        <v>529.125</v>
      </c>
      <c r="J3786" s="3">
        <f t="shared" si="59"/>
        <v>43747.738068738421</v>
      </c>
    </row>
    <row r="3787" spans="1:10" x14ac:dyDescent="0.25">
      <c r="A3787" s="5" t="s">
        <v>7894</v>
      </c>
      <c r="B3787" s="6">
        <v>403.125</v>
      </c>
      <c r="C3787" s="6">
        <v>20.584240000000001</v>
      </c>
      <c r="D3787" s="6">
        <v>67</v>
      </c>
      <c r="E3787" s="6">
        <v>0</v>
      </c>
      <c r="F3787" s="6">
        <v>0</v>
      </c>
      <c r="G3787" s="6">
        <v>51</v>
      </c>
      <c r="H3787" s="6" t="s">
        <v>7895</v>
      </c>
      <c r="I3787" s="6">
        <v>529.125</v>
      </c>
      <c r="J3787" s="2">
        <f t="shared" si="59"/>
        <v>43747.738152094906</v>
      </c>
    </row>
    <row r="3788" spans="1:10" x14ac:dyDescent="0.25">
      <c r="A3788" s="7" t="s">
        <v>7896</v>
      </c>
      <c r="B3788" s="8">
        <v>403.125</v>
      </c>
      <c r="C3788" s="8">
        <v>20.584240000000001</v>
      </c>
      <c r="D3788" s="8">
        <v>68</v>
      </c>
      <c r="E3788" s="8">
        <v>0</v>
      </c>
      <c r="F3788" s="8">
        <v>0</v>
      </c>
      <c r="G3788" s="8">
        <v>53</v>
      </c>
      <c r="H3788" s="8" t="s">
        <v>7897</v>
      </c>
      <c r="I3788" s="8">
        <v>529.125</v>
      </c>
      <c r="J3788" s="3">
        <f t="shared" si="59"/>
        <v>43747.738235648147</v>
      </c>
    </row>
    <row r="3789" spans="1:10" x14ac:dyDescent="0.25">
      <c r="A3789" s="5" t="s">
        <v>7898</v>
      </c>
      <c r="B3789" s="6">
        <v>400</v>
      </c>
      <c r="C3789" s="6">
        <v>20.584240000000001</v>
      </c>
      <c r="D3789" s="6">
        <v>68</v>
      </c>
      <c r="E3789" s="6">
        <v>0</v>
      </c>
      <c r="F3789" s="6">
        <v>0</v>
      </c>
      <c r="G3789" s="6">
        <v>52</v>
      </c>
      <c r="H3789" s="6" t="s">
        <v>7899</v>
      </c>
      <c r="I3789" s="6">
        <v>528.1875</v>
      </c>
      <c r="J3789" s="2">
        <f t="shared" si="59"/>
        <v>43747.738318993048</v>
      </c>
    </row>
    <row r="3790" spans="1:10" x14ac:dyDescent="0.25">
      <c r="A3790" s="7" t="s">
        <v>7900</v>
      </c>
      <c r="B3790" s="8">
        <v>421.875</v>
      </c>
      <c r="C3790" s="8">
        <v>20.584240000000001</v>
      </c>
      <c r="D3790" s="8">
        <v>68</v>
      </c>
      <c r="E3790" s="8">
        <v>0</v>
      </c>
      <c r="F3790" s="8">
        <v>0</v>
      </c>
      <c r="G3790" s="8">
        <v>51</v>
      </c>
      <c r="H3790" s="8" t="s">
        <v>7901</v>
      </c>
      <c r="I3790" s="8">
        <v>535.875</v>
      </c>
      <c r="J3790" s="3">
        <f t="shared" si="59"/>
        <v>43747.738402546289</v>
      </c>
    </row>
    <row r="3791" spans="1:10" x14ac:dyDescent="0.25">
      <c r="A3791" s="5" t="s">
        <v>7902</v>
      </c>
      <c r="B3791" s="6">
        <v>400</v>
      </c>
      <c r="C3791" s="6">
        <v>20.531590000000001</v>
      </c>
      <c r="D3791" s="6">
        <v>68</v>
      </c>
      <c r="E3791" s="6">
        <v>0</v>
      </c>
      <c r="F3791" s="6">
        <v>0</v>
      </c>
      <c r="G3791" s="6">
        <v>50</v>
      </c>
      <c r="H3791" s="6" t="s">
        <v>7903</v>
      </c>
      <c r="I3791" s="6">
        <v>528.375</v>
      </c>
      <c r="J3791" s="2">
        <f t="shared" si="59"/>
        <v>43747.738501018517</v>
      </c>
    </row>
    <row r="3792" spans="1:10" x14ac:dyDescent="0.25">
      <c r="A3792" s="7" t="s">
        <v>7904</v>
      </c>
      <c r="B3792" s="8">
        <v>400</v>
      </c>
      <c r="C3792" s="8">
        <v>20.531590000000001</v>
      </c>
      <c r="D3792" s="8">
        <v>68</v>
      </c>
      <c r="E3792" s="8">
        <v>0</v>
      </c>
      <c r="F3792" s="8">
        <v>0</v>
      </c>
      <c r="G3792" s="8">
        <v>39</v>
      </c>
      <c r="H3792" s="8" t="s">
        <v>7905</v>
      </c>
      <c r="I3792" s="8">
        <v>528.375</v>
      </c>
      <c r="J3792" s="3">
        <f t="shared" si="59"/>
        <v>43747.738581481484</v>
      </c>
    </row>
    <row r="3793" spans="1:10" x14ac:dyDescent="0.25">
      <c r="A3793" s="5" t="s">
        <v>7906</v>
      </c>
      <c r="B3793" s="6">
        <v>400</v>
      </c>
      <c r="C3793" s="6">
        <v>20.531590000000001</v>
      </c>
      <c r="D3793" s="6">
        <v>67</v>
      </c>
      <c r="E3793" s="6">
        <v>0</v>
      </c>
      <c r="F3793" s="6">
        <v>0</v>
      </c>
      <c r="G3793" s="6">
        <v>52</v>
      </c>
      <c r="H3793" s="6" t="s">
        <v>7907</v>
      </c>
      <c r="I3793" s="6">
        <v>528.1875</v>
      </c>
      <c r="J3793" s="2">
        <f t="shared" si="59"/>
        <v>43747.738652673608</v>
      </c>
    </row>
    <row r="3794" spans="1:10" x14ac:dyDescent="0.25">
      <c r="A3794" s="7" t="s">
        <v>7908</v>
      </c>
      <c r="B3794" s="8">
        <v>400</v>
      </c>
      <c r="C3794" s="8">
        <v>20.478950000000001</v>
      </c>
      <c r="D3794" s="8">
        <v>67</v>
      </c>
      <c r="E3794" s="8">
        <v>0</v>
      </c>
      <c r="F3794" s="8">
        <v>0</v>
      </c>
      <c r="G3794" s="8">
        <v>44</v>
      </c>
      <c r="H3794" s="8" t="s">
        <v>7909</v>
      </c>
      <c r="I3794" s="8">
        <v>528.1875</v>
      </c>
      <c r="J3794" s="3">
        <f t="shared" si="59"/>
        <v>43747.738724444447</v>
      </c>
    </row>
    <row r="3795" spans="1:10" x14ac:dyDescent="0.25">
      <c r="A3795" s="5" t="s">
        <v>7910</v>
      </c>
      <c r="B3795" s="6">
        <v>431.25</v>
      </c>
      <c r="C3795" s="6">
        <v>20.531590000000001</v>
      </c>
      <c r="D3795" s="6">
        <v>67</v>
      </c>
      <c r="E3795" s="6">
        <v>0</v>
      </c>
      <c r="F3795" s="6">
        <v>0</v>
      </c>
      <c r="G3795" s="6">
        <v>43</v>
      </c>
      <c r="H3795" s="6" t="s">
        <v>7911</v>
      </c>
      <c r="I3795" s="6">
        <v>538.125</v>
      </c>
      <c r="J3795" s="2">
        <f t="shared" si="59"/>
        <v>43747.738807893511</v>
      </c>
    </row>
    <row r="3796" spans="1:10" x14ac:dyDescent="0.25">
      <c r="A3796" s="7" t="s">
        <v>7912</v>
      </c>
      <c r="B3796" s="8">
        <v>403.125</v>
      </c>
      <c r="C3796" s="8">
        <v>20.531590000000001</v>
      </c>
      <c r="D3796" s="8">
        <v>67</v>
      </c>
      <c r="E3796" s="8">
        <v>0</v>
      </c>
      <c r="F3796" s="8">
        <v>0</v>
      </c>
      <c r="G3796" s="8">
        <v>52</v>
      </c>
      <c r="H3796" s="8" t="s">
        <v>7913</v>
      </c>
      <c r="I3796" s="8">
        <v>529.125</v>
      </c>
      <c r="J3796" s="3">
        <f t="shared" si="59"/>
        <v>43747.738891446752</v>
      </c>
    </row>
    <row r="3797" spans="1:10" x14ac:dyDescent="0.25">
      <c r="A3797" s="5" t="s">
        <v>7914</v>
      </c>
      <c r="B3797" s="6">
        <v>403.125</v>
      </c>
      <c r="C3797" s="6">
        <v>20.478950000000001</v>
      </c>
      <c r="D3797" s="6">
        <v>65</v>
      </c>
      <c r="E3797" s="6">
        <v>0</v>
      </c>
      <c r="F3797" s="6">
        <v>0</v>
      </c>
      <c r="G3797" s="6">
        <v>49</v>
      </c>
      <c r="H3797" s="6" t="s">
        <v>7915</v>
      </c>
      <c r="I3797" s="6">
        <v>529.125</v>
      </c>
      <c r="J3797" s="2">
        <f t="shared" si="59"/>
        <v>43747.738962962962</v>
      </c>
    </row>
    <row r="3798" spans="1:10" x14ac:dyDescent="0.25">
      <c r="A3798" s="7" t="s">
        <v>7916</v>
      </c>
      <c r="B3798" s="8">
        <v>418.75</v>
      </c>
      <c r="C3798" s="8">
        <v>20.584240000000001</v>
      </c>
      <c r="D3798" s="8">
        <v>67</v>
      </c>
      <c r="E3798" s="8">
        <v>0</v>
      </c>
      <c r="F3798" s="8">
        <v>0</v>
      </c>
      <c r="G3798" s="8">
        <v>49</v>
      </c>
      <c r="H3798" s="8" t="s">
        <v>7917</v>
      </c>
      <c r="I3798" s="8">
        <v>534.5625</v>
      </c>
      <c r="J3798" s="3">
        <f t="shared" si="59"/>
        <v>43747.739046435185</v>
      </c>
    </row>
    <row r="3799" spans="1:10" x14ac:dyDescent="0.25">
      <c r="A3799" s="5" t="s">
        <v>7918</v>
      </c>
      <c r="B3799" s="6">
        <v>403.125</v>
      </c>
      <c r="C3799" s="6">
        <v>20.478950000000001</v>
      </c>
      <c r="D3799" s="6">
        <v>71</v>
      </c>
      <c r="E3799" s="6">
        <v>0</v>
      </c>
      <c r="F3799" s="6">
        <v>0</v>
      </c>
      <c r="G3799" s="6">
        <v>42</v>
      </c>
      <c r="H3799" s="6" t="s">
        <v>7919</v>
      </c>
      <c r="I3799" s="6">
        <v>529.875</v>
      </c>
      <c r="J3799" s="2">
        <f t="shared" si="59"/>
        <v>43747.73912997685</v>
      </c>
    </row>
    <row r="3800" spans="1:10" x14ac:dyDescent="0.25">
      <c r="A3800" s="7" t="s">
        <v>7920</v>
      </c>
      <c r="B3800" s="8">
        <v>403.125</v>
      </c>
      <c r="C3800" s="8">
        <v>20.478950000000001</v>
      </c>
      <c r="D3800" s="8">
        <v>67</v>
      </c>
      <c r="E3800" s="8">
        <v>0</v>
      </c>
      <c r="F3800" s="8">
        <v>0</v>
      </c>
      <c r="G3800" s="8">
        <v>39</v>
      </c>
      <c r="H3800" s="8" t="s">
        <v>7921</v>
      </c>
      <c r="I3800" s="8">
        <v>529.875</v>
      </c>
      <c r="J3800" s="3">
        <f t="shared" si="59"/>
        <v>43747.739213449073</v>
      </c>
    </row>
    <row r="3801" spans="1:10" x14ac:dyDescent="0.25">
      <c r="A3801" s="5" t="s">
        <v>7922</v>
      </c>
      <c r="B3801" s="6">
        <v>403.125</v>
      </c>
      <c r="C3801" s="6">
        <v>20.478950000000001</v>
      </c>
      <c r="D3801" s="6">
        <v>67</v>
      </c>
      <c r="E3801" s="6">
        <v>0</v>
      </c>
      <c r="F3801" s="6">
        <v>0</v>
      </c>
      <c r="G3801" s="6">
        <v>50</v>
      </c>
      <c r="H3801" s="6" t="s">
        <v>7923</v>
      </c>
      <c r="I3801" s="6">
        <v>529.875</v>
      </c>
      <c r="J3801" s="2">
        <f t="shared" si="59"/>
        <v>43747.739296874999</v>
      </c>
    </row>
    <row r="3802" spans="1:10" x14ac:dyDescent="0.25">
      <c r="A3802" s="7" t="s">
        <v>7924</v>
      </c>
      <c r="B3802" s="8">
        <v>403.125</v>
      </c>
      <c r="C3802" s="8">
        <v>20.478950000000001</v>
      </c>
      <c r="D3802" s="8">
        <v>67</v>
      </c>
      <c r="E3802" s="8">
        <v>0</v>
      </c>
      <c r="F3802" s="8">
        <v>0</v>
      </c>
      <c r="G3802" s="8">
        <v>41</v>
      </c>
      <c r="H3802" s="8" t="s">
        <v>7925</v>
      </c>
      <c r="I3802" s="8">
        <v>529.875</v>
      </c>
      <c r="J3802" s="3">
        <f t="shared" si="59"/>
        <v>43747.739380335646</v>
      </c>
    </row>
    <row r="3803" spans="1:10" x14ac:dyDescent="0.25">
      <c r="A3803" s="5" t="s">
        <v>7926</v>
      </c>
      <c r="B3803" s="6">
        <v>403.125</v>
      </c>
      <c r="C3803" s="6">
        <v>20.531590000000001</v>
      </c>
      <c r="D3803" s="6">
        <v>67</v>
      </c>
      <c r="E3803" s="6">
        <v>0</v>
      </c>
      <c r="F3803" s="6">
        <v>0</v>
      </c>
      <c r="G3803" s="6">
        <v>48</v>
      </c>
      <c r="H3803" s="6" t="s">
        <v>7927</v>
      </c>
      <c r="I3803" s="6">
        <v>529.125</v>
      </c>
      <c r="J3803" s="2">
        <f t="shared" si="59"/>
        <v>43747.73946365741</v>
      </c>
    </row>
    <row r="3804" spans="1:10" x14ac:dyDescent="0.25">
      <c r="A3804" s="7" t="s">
        <v>7928</v>
      </c>
      <c r="B3804" s="8">
        <v>403.125</v>
      </c>
      <c r="C3804" s="8">
        <v>20.531590000000001</v>
      </c>
      <c r="D3804" s="8">
        <v>65</v>
      </c>
      <c r="E3804" s="8">
        <v>0</v>
      </c>
      <c r="F3804" s="8">
        <v>0</v>
      </c>
      <c r="G3804" s="8">
        <v>49</v>
      </c>
      <c r="H3804" s="8" t="s">
        <v>7929</v>
      </c>
      <c r="I3804" s="8">
        <v>529.125</v>
      </c>
      <c r="J3804" s="3">
        <f t="shared" si="59"/>
        <v>43747.739535312496</v>
      </c>
    </row>
    <row r="3805" spans="1:10" x14ac:dyDescent="0.25">
      <c r="A3805" s="5" t="s">
        <v>7930</v>
      </c>
      <c r="B3805" s="6">
        <v>400</v>
      </c>
      <c r="C3805" s="6">
        <v>20.531590000000001</v>
      </c>
      <c r="D3805" s="6">
        <v>68</v>
      </c>
      <c r="E3805" s="6">
        <v>0</v>
      </c>
      <c r="F3805" s="6">
        <v>0</v>
      </c>
      <c r="G3805" s="6">
        <v>44</v>
      </c>
      <c r="H3805" s="6" t="s">
        <v>7931</v>
      </c>
      <c r="I3805" s="6">
        <v>528.9375</v>
      </c>
      <c r="J3805" s="2">
        <f t="shared" si="59"/>
        <v>43747.739618761574</v>
      </c>
    </row>
    <row r="3806" spans="1:10" x14ac:dyDescent="0.25">
      <c r="A3806" s="7" t="s">
        <v>7932</v>
      </c>
      <c r="B3806" s="8">
        <v>403.125</v>
      </c>
      <c r="C3806" s="8">
        <v>20.478950000000001</v>
      </c>
      <c r="D3806" s="8">
        <v>68</v>
      </c>
      <c r="E3806" s="8">
        <v>0</v>
      </c>
      <c r="F3806" s="8">
        <v>0</v>
      </c>
      <c r="G3806" s="8">
        <v>50</v>
      </c>
      <c r="H3806" s="8" t="s">
        <v>7933</v>
      </c>
      <c r="I3806" s="8">
        <v>529.125</v>
      </c>
      <c r="J3806" s="3">
        <f t="shared" si="59"/>
        <v>43747.739689814807</v>
      </c>
    </row>
    <row r="3807" spans="1:10" x14ac:dyDescent="0.25">
      <c r="A3807" s="5" t="s">
        <v>7934</v>
      </c>
      <c r="B3807" s="6">
        <v>403.125</v>
      </c>
      <c r="C3807" s="6">
        <v>20.478950000000001</v>
      </c>
      <c r="D3807" s="6">
        <v>65</v>
      </c>
      <c r="E3807" s="6">
        <v>0</v>
      </c>
      <c r="F3807" s="6">
        <v>0</v>
      </c>
      <c r="G3807" s="6">
        <v>51</v>
      </c>
      <c r="H3807" s="6" t="s">
        <v>7935</v>
      </c>
      <c r="I3807" s="6">
        <v>529.875</v>
      </c>
      <c r="J3807" s="2">
        <f t="shared" si="59"/>
        <v>43747.739761817131</v>
      </c>
    </row>
    <row r="3808" spans="1:10" x14ac:dyDescent="0.25">
      <c r="A3808" s="7" t="s">
        <v>7936</v>
      </c>
      <c r="B3808" s="8">
        <v>403.125</v>
      </c>
      <c r="C3808" s="8">
        <v>20.531590000000001</v>
      </c>
      <c r="D3808" s="8">
        <v>65</v>
      </c>
      <c r="E3808" s="8">
        <v>0</v>
      </c>
      <c r="F3808" s="8">
        <v>0</v>
      </c>
      <c r="G3808" s="8">
        <v>43</v>
      </c>
      <c r="H3808" s="8" t="s">
        <v>7937</v>
      </c>
      <c r="I3808" s="8">
        <v>529.875</v>
      </c>
      <c r="J3808" s="3">
        <f t="shared" si="59"/>
        <v>43747.739845162032</v>
      </c>
    </row>
    <row r="3809" spans="1:10" x14ac:dyDescent="0.25">
      <c r="A3809" s="5" t="s">
        <v>7938</v>
      </c>
      <c r="B3809" s="6">
        <v>403.125</v>
      </c>
      <c r="C3809" s="6">
        <v>20.531590000000001</v>
      </c>
      <c r="D3809" s="6">
        <v>65</v>
      </c>
      <c r="E3809" s="6">
        <v>0</v>
      </c>
      <c r="F3809" s="6">
        <v>0</v>
      </c>
      <c r="G3809" s="6">
        <v>50</v>
      </c>
      <c r="H3809" s="6" t="s">
        <v>7939</v>
      </c>
      <c r="I3809" s="6">
        <v>529.875</v>
      </c>
      <c r="J3809" s="2">
        <f t="shared" si="59"/>
        <v>43747.739928726849</v>
      </c>
    </row>
    <row r="3810" spans="1:10" x14ac:dyDescent="0.25">
      <c r="A3810" s="7" t="s">
        <v>7940</v>
      </c>
      <c r="B3810" s="8">
        <v>403.125</v>
      </c>
      <c r="C3810" s="8">
        <v>20.531590000000001</v>
      </c>
      <c r="D3810" s="8">
        <v>65</v>
      </c>
      <c r="E3810" s="8">
        <v>0</v>
      </c>
      <c r="F3810" s="8">
        <v>0</v>
      </c>
      <c r="G3810" s="8">
        <v>53</v>
      </c>
      <c r="H3810" s="8" t="s">
        <v>7941</v>
      </c>
      <c r="I3810" s="8">
        <v>529.6875</v>
      </c>
      <c r="J3810" s="3">
        <f t="shared" si="59"/>
        <v>43747.740011967595</v>
      </c>
    </row>
    <row r="3811" spans="1:10" x14ac:dyDescent="0.25">
      <c r="A3811" s="5" t="s">
        <v>7942</v>
      </c>
      <c r="B3811" s="6">
        <v>406.25</v>
      </c>
      <c r="C3811" s="6">
        <v>20.584240000000001</v>
      </c>
      <c r="D3811" s="6">
        <v>65</v>
      </c>
      <c r="E3811" s="6">
        <v>0</v>
      </c>
      <c r="F3811" s="6">
        <v>0</v>
      </c>
      <c r="G3811" s="6">
        <v>54</v>
      </c>
      <c r="H3811" s="6" t="s">
        <v>7943</v>
      </c>
      <c r="I3811" s="6">
        <v>530.625</v>
      </c>
      <c r="J3811" s="2">
        <f t="shared" si="59"/>
        <v>43747.740084363424</v>
      </c>
    </row>
    <row r="3812" spans="1:10" x14ac:dyDescent="0.25">
      <c r="A3812" s="7" t="s">
        <v>7944</v>
      </c>
      <c r="B3812" s="8">
        <v>406.25</v>
      </c>
      <c r="C3812" s="8">
        <v>20.478950000000001</v>
      </c>
      <c r="D3812" s="8">
        <v>67</v>
      </c>
      <c r="E3812" s="8">
        <v>0</v>
      </c>
      <c r="F3812" s="8">
        <v>0</v>
      </c>
      <c r="G3812" s="8">
        <v>46</v>
      </c>
      <c r="H3812" s="8" t="s">
        <v>7945</v>
      </c>
      <c r="I3812" s="8">
        <v>530.8125</v>
      </c>
      <c r="J3812" s="3">
        <f t="shared" si="59"/>
        <v>43747.740167372678</v>
      </c>
    </row>
    <row r="3813" spans="1:10" x14ac:dyDescent="0.25">
      <c r="A3813" s="5" t="s">
        <v>7946</v>
      </c>
      <c r="B3813" s="6">
        <v>406.25</v>
      </c>
      <c r="C3813" s="6">
        <v>20.531590000000001</v>
      </c>
      <c r="D3813" s="6">
        <v>67</v>
      </c>
      <c r="E3813" s="6">
        <v>0</v>
      </c>
      <c r="F3813" s="6">
        <v>0</v>
      </c>
      <c r="G3813" s="6">
        <v>53</v>
      </c>
      <c r="H3813" s="6" t="s">
        <v>7947</v>
      </c>
      <c r="I3813" s="6">
        <v>530.8125</v>
      </c>
      <c r="J3813" s="2">
        <f t="shared" si="59"/>
        <v>43747.740250717594</v>
      </c>
    </row>
    <row r="3814" spans="1:10" x14ac:dyDescent="0.25">
      <c r="A3814" s="7" t="s">
        <v>7948</v>
      </c>
      <c r="B3814" s="8">
        <v>406.25</v>
      </c>
      <c r="C3814" s="8">
        <v>20.531590000000001</v>
      </c>
      <c r="D3814" s="8">
        <v>67</v>
      </c>
      <c r="E3814" s="8">
        <v>0</v>
      </c>
      <c r="F3814" s="8">
        <v>0</v>
      </c>
      <c r="G3814" s="8">
        <v>53</v>
      </c>
      <c r="H3814" s="8" t="s">
        <v>7949</v>
      </c>
      <c r="I3814" s="8">
        <v>530.625</v>
      </c>
      <c r="J3814" s="3">
        <f t="shared" si="59"/>
        <v>43747.74032232639</v>
      </c>
    </row>
    <row r="3815" spans="1:10" x14ac:dyDescent="0.25">
      <c r="A3815" s="5" t="s">
        <v>7950</v>
      </c>
      <c r="B3815" s="6">
        <v>406.25</v>
      </c>
      <c r="C3815" s="6">
        <v>20.531590000000001</v>
      </c>
      <c r="D3815" s="6">
        <v>68</v>
      </c>
      <c r="E3815" s="6">
        <v>0</v>
      </c>
      <c r="F3815" s="6">
        <v>0</v>
      </c>
      <c r="G3815" s="6">
        <v>45</v>
      </c>
      <c r="H3815" s="6" t="s">
        <v>7951</v>
      </c>
      <c r="I3815" s="6">
        <v>530.625</v>
      </c>
      <c r="J3815" s="2">
        <f t="shared" si="59"/>
        <v>43747.740405682867</v>
      </c>
    </row>
    <row r="3816" spans="1:10" x14ac:dyDescent="0.25">
      <c r="A3816" s="7" t="s">
        <v>7952</v>
      </c>
      <c r="B3816" s="8">
        <v>406.25</v>
      </c>
      <c r="C3816" s="8">
        <v>20.478950000000001</v>
      </c>
      <c r="D3816" s="8">
        <v>67</v>
      </c>
      <c r="E3816" s="8">
        <v>0</v>
      </c>
      <c r="F3816" s="8">
        <v>0</v>
      </c>
      <c r="G3816" s="8">
        <v>56</v>
      </c>
      <c r="H3816" s="8" t="s">
        <v>7953</v>
      </c>
      <c r="I3816" s="8">
        <v>530.625</v>
      </c>
      <c r="J3816" s="3">
        <f t="shared" si="59"/>
        <v>43747.740489224532</v>
      </c>
    </row>
    <row r="3817" spans="1:10" x14ac:dyDescent="0.25">
      <c r="A3817" s="5" t="s">
        <v>7954</v>
      </c>
      <c r="B3817" s="6">
        <v>406.25</v>
      </c>
      <c r="C3817" s="6">
        <v>20.584240000000001</v>
      </c>
      <c r="D3817" s="6">
        <v>66</v>
      </c>
      <c r="E3817" s="6">
        <v>0</v>
      </c>
      <c r="F3817" s="6">
        <v>0</v>
      </c>
      <c r="G3817" s="6">
        <v>54</v>
      </c>
      <c r="H3817" s="6" t="s">
        <v>7955</v>
      </c>
      <c r="I3817" s="6">
        <v>530.625</v>
      </c>
      <c r="J3817" s="2">
        <f t="shared" si="59"/>
        <v>43747.740572685179</v>
      </c>
    </row>
    <row r="3818" spans="1:10" x14ac:dyDescent="0.25">
      <c r="A3818" s="7" t="s">
        <v>7956</v>
      </c>
      <c r="B3818" s="8">
        <v>406.25</v>
      </c>
      <c r="C3818" s="8">
        <v>20.531590000000001</v>
      </c>
      <c r="D3818" s="8">
        <v>67</v>
      </c>
      <c r="E3818" s="8">
        <v>0</v>
      </c>
      <c r="F3818" s="8">
        <v>0</v>
      </c>
      <c r="G3818" s="8">
        <v>46</v>
      </c>
      <c r="H3818" s="8" t="s">
        <v>7957</v>
      </c>
      <c r="I3818" s="8">
        <v>530.8125</v>
      </c>
      <c r="J3818" s="3">
        <f t="shared" si="59"/>
        <v>43747.740656030095</v>
      </c>
    </row>
    <row r="3819" spans="1:10" x14ac:dyDescent="0.25">
      <c r="A3819" s="5" t="s">
        <v>7958</v>
      </c>
      <c r="B3819" s="6">
        <v>406.25</v>
      </c>
      <c r="C3819" s="6">
        <v>20.531590000000001</v>
      </c>
      <c r="D3819" s="6">
        <v>66</v>
      </c>
      <c r="E3819" s="6">
        <v>0</v>
      </c>
      <c r="F3819" s="6">
        <v>0</v>
      </c>
      <c r="G3819" s="6">
        <v>50</v>
      </c>
      <c r="H3819" s="6" t="s">
        <v>7959</v>
      </c>
      <c r="I3819" s="6">
        <v>530.8125</v>
      </c>
      <c r="J3819" s="2">
        <f t="shared" si="59"/>
        <v>43747.740739490742</v>
      </c>
    </row>
    <row r="3820" spans="1:10" x14ac:dyDescent="0.25">
      <c r="A3820" s="7" t="s">
        <v>7960</v>
      </c>
      <c r="B3820" s="8">
        <v>406.25</v>
      </c>
      <c r="C3820" s="8">
        <v>20.531590000000001</v>
      </c>
      <c r="D3820" s="8">
        <v>66</v>
      </c>
      <c r="E3820" s="8">
        <v>0</v>
      </c>
      <c r="F3820" s="8">
        <v>0</v>
      </c>
      <c r="G3820" s="8">
        <v>36</v>
      </c>
      <c r="H3820" s="8" t="s">
        <v>7961</v>
      </c>
      <c r="I3820" s="8">
        <v>530.625</v>
      </c>
      <c r="J3820" s="3">
        <f t="shared" si="59"/>
        <v>43747.7408230324</v>
      </c>
    </row>
    <row r="3821" spans="1:10" x14ac:dyDescent="0.25">
      <c r="A3821" s="5" t="s">
        <v>7962</v>
      </c>
      <c r="B3821" s="6">
        <v>434.375</v>
      </c>
      <c r="C3821" s="6">
        <v>20.531590000000001</v>
      </c>
      <c r="D3821" s="6">
        <v>65</v>
      </c>
      <c r="E3821" s="6">
        <v>0</v>
      </c>
      <c r="F3821" s="6">
        <v>0</v>
      </c>
      <c r="G3821" s="6">
        <v>52</v>
      </c>
      <c r="H3821" s="6" t="s">
        <v>7963</v>
      </c>
      <c r="I3821" s="6">
        <v>539.8125</v>
      </c>
      <c r="J3821" s="2">
        <f t="shared" si="59"/>
        <v>43747.740894467592</v>
      </c>
    </row>
    <row r="3822" spans="1:10" x14ac:dyDescent="0.25">
      <c r="A3822" s="7" t="s">
        <v>7964</v>
      </c>
      <c r="B3822" s="8">
        <v>406.25</v>
      </c>
      <c r="C3822" s="8">
        <v>20.531590000000001</v>
      </c>
      <c r="D3822" s="8">
        <v>65</v>
      </c>
      <c r="E3822" s="8">
        <v>0</v>
      </c>
      <c r="F3822" s="8">
        <v>0</v>
      </c>
      <c r="G3822" s="8">
        <v>53</v>
      </c>
      <c r="H3822" s="8" t="s">
        <v>7965</v>
      </c>
      <c r="I3822" s="8">
        <v>530.625</v>
      </c>
      <c r="J3822" s="3">
        <f t="shared" si="59"/>
        <v>43747.740978020833</v>
      </c>
    </row>
    <row r="3823" spans="1:10" x14ac:dyDescent="0.25">
      <c r="A3823" s="5" t="s">
        <v>7966</v>
      </c>
      <c r="B3823" s="6">
        <v>406.25</v>
      </c>
      <c r="C3823" s="6">
        <v>20.531590000000001</v>
      </c>
      <c r="D3823" s="6">
        <v>65</v>
      </c>
      <c r="E3823" s="6">
        <v>0</v>
      </c>
      <c r="F3823" s="6">
        <v>0</v>
      </c>
      <c r="G3823" s="6">
        <v>62</v>
      </c>
      <c r="H3823" s="6" t="s">
        <v>7967</v>
      </c>
      <c r="I3823" s="6">
        <v>530.8125</v>
      </c>
      <c r="J3823" s="2">
        <f t="shared" si="59"/>
        <v>43747.741061469904</v>
      </c>
    </row>
    <row r="3824" spans="1:10" x14ac:dyDescent="0.25">
      <c r="A3824" s="7" t="s">
        <v>7968</v>
      </c>
      <c r="B3824" s="8">
        <v>403.125</v>
      </c>
      <c r="C3824" s="8">
        <v>20.531590000000001</v>
      </c>
      <c r="D3824" s="8">
        <v>66</v>
      </c>
      <c r="E3824" s="8">
        <v>0</v>
      </c>
      <c r="F3824" s="8">
        <v>0</v>
      </c>
      <c r="G3824" s="8">
        <v>57</v>
      </c>
      <c r="H3824" s="8" t="s">
        <v>7969</v>
      </c>
      <c r="I3824" s="8">
        <v>529.875</v>
      </c>
      <c r="J3824" s="3">
        <f t="shared" si="59"/>
        <v>43747.741144930558</v>
      </c>
    </row>
    <row r="3825" spans="1:10" x14ac:dyDescent="0.25">
      <c r="A3825" s="5" t="s">
        <v>7970</v>
      </c>
      <c r="B3825" s="6">
        <v>403.125</v>
      </c>
      <c r="C3825" s="6">
        <v>20.584240000000001</v>
      </c>
      <c r="D3825" s="6">
        <v>65</v>
      </c>
      <c r="E3825" s="6">
        <v>0</v>
      </c>
      <c r="F3825" s="6">
        <v>0</v>
      </c>
      <c r="G3825" s="6">
        <v>50</v>
      </c>
      <c r="H3825" s="6" t="s">
        <v>7971</v>
      </c>
      <c r="I3825" s="6">
        <v>529.875</v>
      </c>
      <c r="J3825" s="2">
        <f t="shared" si="59"/>
        <v>43747.741240312498</v>
      </c>
    </row>
    <row r="3826" spans="1:10" x14ac:dyDescent="0.25">
      <c r="A3826" s="7" t="s">
        <v>7972</v>
      </c>
      <c r="B3826" s="8">
        <v>403.125</v>
      </c>
      <c r="C3826" s="8">
        <v>20.531590000000001</v>
      </c>
      <c r="D3826" s="8">
        <v>65</v>
      </c>
      <c r="E3826" s="8">
        <v>0</v>
      </c>
      <c r="F3826" s="8">
        <v>0</v>
      </c>
      <c r="G3826" s="8">
        <v>44</v>
      </c>
      <c r="H3826" s="8" t="s">
        <v>7973</v>
      </c>
      <c r="I3826" s="8">
        <v>529.875</v>
      </c>
      <c r="J3826" s="3">
        <f t="shared" si="59"/>
        <v>43747.741328587959</v>
      </c>
    </row>
    <row r="3827" spans="1:10" x14ac:dyDescent="0.25">
      <c r="A3827" s="5" t="s">
        <v>7974</v>
      </c>
      <c r="B3827" s="6">
        <v>403.125</v>
      </c>
      <c r="C3827" s="6">
        <v>20.584240000000001</v>
      </c>
      <c r="D3827" s="6">
        <v>65</v>
      </c>
      <c r="E3827" s="6">
        <v>0</v>
      </c>
      <c r="F3827" s="6">
        <v>0</v>
      </c>
      <c r="G3827" s="6">
        <v>52</v>
      </c>
      <c r="H3827" s="6" t="s">
        <v>7975</v>
      </c>
      <c r="I3827" s="6">
        <v>529.875</v>
      </c>
      <c r="J3827" s="2">
        <f t="shared" si="59"/>
        <v>43747.741407199072</v>
      </c>
    </row>
    <row r="3828" spans="1:10" x14ac:dyDescent="0.25">
      <c r="A3828" s="7" t="s">
        <v>7976</v>
      </c>
      <c r="B3828" s="8">
        <v>403.125</v>
      </c>
      <c r="C3828" s="8">
        <v>20.531590000000001</v>
      </c>
      <c r="D3828" s="8">
        <v>64</v>
      </c>
      <c r="E3828" s="8">
        <v>0</v>
      </c>
      <c r="F3828" s="8">
        <v>0</v>
      </c>
      <c r="G3828" s="8">
        <v>47</v>
      </c>
      <c r="H3828" s="8" t="s">
        <v>7977</v>
      </c>
      <c r="I3828" s="8">
        <v>529.125</v>
      </c>
      <c r="J3828" s="3">
        <f t="shared" si="59"/>
        <v>43747.741490787033</v>
      </c>
    </row>
    <row r="3829" spans="1:10" x14ac:dyDescent="0.25">
      <c r="A3829" s="5" t="s">
        <v>7978</v>
      </c>
      <c r="B3829" s="6">
        <v>403.125</v>
      </c>
      <c r="C3829" s="6">
        <v>20.531590000000001</v>
      </c>
      <c r="D3829" s="6">
        <v>63</v>
      </c>
      <c r="E3829" s="6">
        <v>0</v>
      </c>
      <c r="F3829" s="6">
        <v>0</v>
      </c>
      <c r="G3829" s="6">
        <v>52</v>
      </c>
      <c r="H3829" s="6" t="s">
        <v>7979</v>
      </c>
      <c r="I3829" s="6">
        <v>529.125</v>
      </c>
      <c r="J3829" s="2">
        <f t="shared" si="59"/>
        <v>43747.741574097221</v>
      </c>
    </row>
    <row r="3830" spans="1:10" x14ac:dyDescent="0.25">
      <c r="A3830" s="7" t="s">
        <v>7980</v>
      </c>
      <c r="B3830" s="8">
        <v>415.625</v>
      </c>
      <c r="C3830" s="8">
        <v>20.531590000000001</v>
      </c>
      <c r="D3830" s="8">
        <v>64</v>
      </c>
      <c r="E3830" s="8">
        <v>0</v>
      </c>
      <c r="F3830" s="8">
        <v>0</v>
      </c>
      <c r="G3830" s="8">
        <v>53</v>
      </c>
      <c r="H3830" s="8" t="s">
        <v>7981</v>
      </c>
      <c r="I3830" s="8">
        <v>533.25</v>
      </c>
      <c r="J3830" s="3">
        <f t="shared" si="59"/>
        <v>43747.741657662038</v>
      </c>
    </row>
    <row r="3831" spans="1:10" x14ac:dyDescent="0.25">
      <c r="A3831" s="5" t="s">
        <v>7982</v>
      </c>
      <c r="B3831" s="6">
        <v>400</v>
      </c>
      <c r="C3831" s="6">
        <v>20.584240000000001</v>
      </c>
      <c r="D3831" s="6">
        <v>65</v>
      </c>
      <c r="E3831" s="6">
        <v>0</v>
      </c>
      <c r="F3831" s="6">
        <v>0</v>
      </c>
      <c r="G3831" s="6">
        <v>50</v>
      </c>
      <c r="H3831" s="6" t="s">
        <v>7983</v>
      </c>
      <c r="I3831" s="6">
        <v>528.1875</v>
      </c>
      <c r="J3831" s="2">
        <f t="shared" si="59"/>
        <v>43747.741741111109</v>
      </c>
    </row>
    <row r="3832" spans="1:10" x14ac:dyDescent="0.25">
      <c r="A3832" s="7" t="s">
        <v>7984</v>
      </c>
      <c r="B3832" s="8">
        <v>400</v>
      </c>
      <c r="C3832" s="8">
        <v>20.478950000000001</v>
      </c>
      <c r="D3832" s="8">
        <v>65</v>
      </c>
      <c r="E3832" s="8">
        <v>0</v>
      </c>
      <c r="F3832" s="8">
        <v>0</v>
      </c>
      <c r="G3832" s="8">
        <v>44</v>
      </c>
      <c r="H3832" s="8" t="s">
        <v>7985</v>
      </c>
      <c r="I3832" s="8">
        <v>528.1875</v>
      </c>
      <c r="J3832" s="3">
        <f t="shared" si="59"/>
        <v>43747.741812719905</v>
      </c>
    </row>
    <row r="3833" spans="1:10" x14ac:dyDescent="0.25">
      <c r="A3833" s="5" t="s">
        <v>7986</v>
      </c>
      <c r="B3833" s="6">
        <v>418.75</v>
      </c>
      <c r="C3833" s="6">
        <v>20.531590000000001</v>
      </c>
      <c r="D3833" s="6">
        <v>63</v>
      </c>
      <c r="E3833" s="6">
        <v>0</v>
      </c>
      <c r="F3833" s="6">
        <v>0</v>
      </c>
      <c r="G3833" s="6">
        <v>51</v>
      </c>
      <c r="H3833" s="6" t="s">
        <v>7987</v>
      </c>
      <c r="I3833" s="6">
        <v>534.75</v>
      </c>
      <c r="J3833" s="2">
        <f t="shared" si="59"/>
        <v>43747.741884201387</v>
      </c>
    </row>
    <row r="3834" spans="1:10" x14ac:dyDescent="0.25">
      <c r="A3834" s="7" t="s">
        <v>7988</v>
      </c>
      <c r="B3834" s="8">
        <v>400</v>
      </c>
      <c r="C3834" s="8">
        <v>20.584240000000001</v>
      </c>
      <c r="D3834" s="8">
        <v>63</v>
      </c>
      <c r="E3834" s="8">
        <v>0</v>
      </c>
      <c r="F3834" s="8">
        <v>0</v>
      </c>
      <c r="G3834" s="8">
        <v>54</v>
      </c>
      <c r="H3834" s="8" t="s">
        <v>7989</v>
      </c>
      <c r="I3834" s="8">
        <v>528.1875</v>
      </c>
      <c r="J3834" s="3">
        <f t="shared" si="59"/>
        <v>43747.741967407404</v>
      </c>
    </row>
    <row r="3835" spans="1:10" x14ac:dyDescent="0.25">
      <c r="A3835" s="5" t="s">
        <v>7990</v>
      </c>
      <c r="B3835" s="6">
        <v>400</v>
      </c>
      <c r="C3835" s="6">
        <v>20.531590000000001</v>
      </c>
      <c r="D3835" s="6">
        <v>63</v>
      </c>
      <c r="E3835" s="6">
        <v>0</v>
      </c>
      <c r="F3835" s="6">
        <v>0</v>
      </c>
      <c r="G3835" s="6">
        <v>48</v>
      </c>
      <c r="H3835" s="6" t="s">
        <v>7991</v>
      </c>
      <c r="I3835" s="6">
        <v>528.375</v>
      </c>
      <c r="J3835" s="2">
        <f t="shared" si="59"/>
        <v>43747.74203916666</v>
      </c>
    </row>
    <row r="3836" spans="1:10" x14ac:dyDescent="0.25">
      <c r="A3836" s="7" t="s">
        <v>7992</v>
      </c>
      <c r="B3836" s="8">
        <v>428.125</v>
      </c>
      <c r="C3836" s="8">
        <v>20.478950000000001</v>
      </c>
      <c r="D3836" s="8">
        <v>62</v>
      </c>
      <c r="E3836" s="8">
        <v>0</v>
      </c>
      <c r="F3836" s="8">
        <v>0</v>
      </c>
      <c r="G3836" s="8">
        <v>49</v>
      </c>
      <c r="H3836" s="8" t="s">
        <v>7993</v>
      </c>
      <c r="I3836" s="8">
        <v>537</v>
      </c>
      <c r="J3836" s="3">
        <f t="shared" si="59"/>
        <v>43747.742122719901</v>
      </c>
    </row>
    <row r="3837" spans="1:10" x14ac:dyDescent="0.25">
      <c r="A3837" s="5" t="s">
        <v>7994</v>
      </c>
      <c r="B3837" s="6">
        <v>400</v>
      </c>
      <c r="C3837" s="6">
        <v>20.531590000000001</v>
      </c>
      <c r="D3837" s="6">
        <v>61</v>
      </c>
      <c r="E3837" s="6">
        <v>0</v>
      </c>
      <c r="F3837" s="6">
        <v>0</v>
      </c>
      <c r="G3837" s="6">
        <v>46</v>
      </c>
      <c r="H3837" s="6" t="s">
        <v>7995</v>
      </c>
      <c r="I3837" s="6">
        <v>528.375</v>
      </c>
      <c r="J3837" s="2">
        <f t="shared" si="59"/>
        <v>43747.742206180548</v>
      </c>
    </row>
    <row r="3838" spans="1:10" x14ac:dyDescent="0.25">
      <c r="A3838" s="7" t="s">
        <v>7996</v>
      </c>
      <c r="B3838" s="8">
        <v>400</v>
      </c>
      <c r="C3838" s="8">
        <v>20.531590000000001</v>
      </c>
      <c r="D3838" s="8">
        <v>63</v>
      </c>
      <c r="E3838" s="8">
        <v>0</v>
      </c>
      <c r="F3838" s="8">
        <v>0</v>
      </c>
      <c r="G3838" s="8">
        <v>54</v>
      </c>
      <c r="H3838" s="8" t="s">
        <v>7997</v>
      </c>
      <c r="I3838" s="8">
        <v>528.375</v>
      </c>
      <c r="J3838" s="3">
        <f t="shared" si="59"/>
        <v>43747.742289733789</v>
      </c>
    </row>
    <row r="3839" spans="1:10" x14ac:dyDescent="0.25">
      <c r="A3839" s="5" t="s">
        <v>7998</v>
      </c>
      <c r="B3839" s="6">
        <v>403.125</v>
      </c>
      <c r="C3839" s="6">
        <v>20.584240000000001</v>
      </c>
      <c r="D3839" s="6">
        <v>64</v>
      </c>
      <c r="E3839" s="6">
        <v>0</v>
      </c>
      <c r="F3839" s="6">
        <v>0</v>
      </c>
      <c r="G3839" s="6">
        <v>50</v>
      </c>
      <c r="H3839" s="6" t="s">
        <v>7999</v>
      </c>
      <c r="I3839" s="6">
        <v>529.125</v>
      </c>
      <c r="J3839" s="2">
        <f t="shared" si="59"/>
        <v>43747.7423733912</v>
      </c>
    </row>
    <row r="3840" spans="1:10" x14ac:dyDescent="0.25">
      <c r="A3840" s="7" t="s">
        <v>8000</v>
      </c>
      <c r="B3840" s="8">
        <v>403.125</v>
      </c>
      <c r="C3840" s="8">
        <v>20.478950000000001</v>
      </c>
      <c r="D3840" s="8">
        <v>65</v>
      </c>
      <c r="E3840" s="8">
        <v>0</v>
      </c>
      <c r="F3840" s="8">
        <v>0</v>
      </c>
      <c r="G3840" s="8">
        <v>55</v>
      </c>
      <c r="H3840" s="8" t="s">
        <v>8001</v>
      </c>
      <c r="I3840" s="8">
        <v>529.125</v>
      </c>
      <c r="J3840" s="3">
        <f t="shared" si="59"/>
        <v>43747.742468530087</v>
      </c>
    </row>
    <row r="3841" spans="1:10" x14ac:dyDescent="0.25">
      <c r="A3841" s="5" t="s">
        <v>8002</v>
      </c>
      <c r="B3841" s="6">
        <v>403.125</v>
      </c>
      <c r="C3841" s="6">
        <v>20.584240000000001</v>
      </c>
      <c r="D3841" s="6">
        <v>65</v>
      </c>
      <c r="E3841" s="6">
        <v>0</v>
      </c>
      <c r="F3841" s="6">
        <v>0</v>
      </c>
      <c r="G3841" s="6">
        <v>57</v>
      </c>
      <c r="H3841" s="6" t="s">
        <v>8003</v>
      </c>
      <c r="I3841" s="6">
        <v>529.125</v>
      </c>
      <c r="J3841" s="2">
        <f t="shared" si="59"/>
        <v>43747.742551898147</v>
      </c>
    </row>
    <row r="3842" spans="1:10" x14ac:dyDescent="0.25">
      <c r="A3842" s="7" t="s">
        <v>8004</v>
      </c>
      <c r="B3842" s="8">
        <v>403.125</v>
      </c>
      <c r="C3842" s="8">
        <v>20.478950000000001</v>
      </c>
      <c r="D3842" s="8">
        <v>63</v>
      </c>
      <c r="E3842" s="8">
        <v>0</v>
      </c>
      <c r="F3842" s="8">
        <v>0</v>
      </c>
      <c r="G3842" s="8">
        <v>58</v>
      </c>
      <c r="H3842" s="8" t="s">
        <v>8005</v>
      </c>
      <c r="I3842" s="8">
        <v>529.125</v>
      </c>
      <c r="J3842" s="3">
        <f t="shared" ref="J3842:J3905" si="60">(H3842/86400000)+25569+(7/24)</f>
        <v>43747.742635324066</v>
      </c>
    </row>
    <row r="3843" spans="1:10" x14ac:dyDescent="0.25">
      <c r="A3843" s="5" t="s">
        <v>8006</v>
      </c>
      <c r="B3843" s="6">
        <v>403.125</v>
      </c>
      <c r="C3843" s="6">
        <v>20.584240000000001</v>
      </c>
      <c r="D3843" s="6">
        <v>64</v>
      </c>
      <c r="E3843" s="6">
        <v>0</v>
      </c>
      <c r="F3843" s="6">
        <v>0</v>
      </c>
      <c r="G3843" s="6">
        <v>51</v>
      </c>
      <c r="H3843" s="6" t="s">
        <v>8007</v>
      </c>
      <c r="I3843" s="6">
        <v>529.125</v>
      </c>
      <c r="J3843" s="2">
        <f t="shared" si="60"/>
        <v>43747.742718773145</v>
      </c>
    </row>
    <row r="3844" spans="1:10" x14ac:dyDescent="0.25">
      <c r="A3844" s="7" t="s">
        <v>8008</v>
      </c>
      <c r="B3844" s="8">
        <v>403.125</v>
      </c>
      <c r="C3844" s="8">
        <v>20.531590000000001</v>
      </c>
      <c r="D3844" s="8">
        <v>67</v>
      </c>
      <c r="E3844" s="8">
        <v>0</v>
      </c>
      <c r="F3844" s="8">
        <v>0</v>
      </c>
      <c r="G3844" s="8">
        <v>54</v>
      </c>
      <c r="H3844" s="8" t="s">
        <v>8009</v>
      </c>
      <c r="I3844" s="8">
        <v>529.125</v>
      </c>
      <c r="J3844" s="3">
        <f t="shared" si="60"/>
        <v>43747.742802349538</v>
      </c>
    </row>
    <row r="3845" spans="1:10" x14ac:dyDescent="0.25">
      <c r="A3845" s="5" t="s">
        <v>8010</v>
      </c>
      <c r="B3845" s="6">
        <v>403.125</v>
      </c>
      <c r="C3845" s="6">
        <v>20.531590000000001</v>
      </c>
      <c r="D3845" s="6">
        <v>67</v>
      </c>
      <c r="E3845" s="6">
        <v>0</v>
      </c>
      <c r="F3845" s="6">
        <v>0</v>
      </c>
      <c r="G3845" s="6">
        <v>59</v>
      </c>
      <c r="H3845" s="6" t="s">
        <v>8011</v>
      </c>
      <c r="I3845" s="6">
        <v>529.875</v>
      </c>
      <c r="J3845" s="2">
        <f t="shared" si="60"/>
        <v>43747.742886030093</v>
      </c>
    </row>
    <row r="3846" spans="1:10" x14ac:dyDescent="0.25">
      <c r="A3846" s="7" t="s">
        <v>8012</v>
      </c>
      <c r="B3846" s="8">
        <v>406.25</v>
      </c>
      <c r="C3846" s="8">
        <v>20.584240000000001</v>
      </c>
      <c r="D3846" s="8">
        <v>65</v>
      </c>
      <c r="E3846" s="8">
        <v>0</v>
      </c>
      <c r="F3846" s="8">
        <v>0</v>
      </c>
      <c r="G3846" s="8">
        <v>51</v>
      </c>
      <c r="H3846" s="8" t="s">
        <v>8013</v>
      </c>
      <c r="I3846" s="8">
        <v>530.625</v>
      </c>
      <c r="J3846" s="3">
        <f t="shared" si="60"/>
        <v>43747.742969236111</v>
      </c>
    </row>
    <row r="3847" spans="1:10" x14ac:dyDescent="0.25">
      <c r="A3847" s="5" t="s">
        <v>8014</v>
      </c>
      <c r="B3847" s="6">
        <v>406.25</v>
      </c>
      <c r="C3847" s="6">
        <v>20.531590000000001</v>
      </c>
      <c r="D3847" s="6">
        <v>65</v>
      </c>
      <c r="E3847" s="6">
        <v>0</v>
      </c>
      <c r="F3847" s="6">
        <v>0</v>
      </c>
      <c r="G3847" s="6">
        <v>57</v>
      </c>
      <c r="H3847" s="6" t="s">
        <v>8015</v>
      </c>
      <c r="I3847" s="6">
        <v>530.8125</v>
      </c>
      <c r="J3847" s="2">
        <f t="shared" si="60"/>
        <v>43747.743052581012</v>
      </c>
    </row>
    <row r="3848" spans="1:10" x14ac:dyDescent="0.25">
      <c r="A3848" s="7" t="s">
        <v>8016</v>
      </c>
      <c r="B3848" s="8">
        <v>406.25</v>
      </c>
      <c r="C3848" s="8">
        <v>20.531590000000001</v>
      </c>
      <c r="D3848" s="8">
        <v>65</v>
      </c>
      <c r="E3848" s="8">
        <v>0</v>
      </c>
      <c r="F3848" s="8">
        <v>0</v>
      </c>
      <c r="G3848" s="8">
        <v>64</v>
      </c>
      <c r="H3848" s="8" t="s">
        <v>8017</v>
      </c>
      <c r="I3848" s="8">
        <v>530.8125</v>
      </c>
      <c r="J3848" s="3">
        <f t="shared" si="60"/>
        <v>43747.743136342593</v>
      </c>
    </row>
    <row r="3849" spans="1:10" x14ac:dyDescent="0.25">
      <c r="A3849" s="5" t="s">
        <v>8018</v>
      </c>
      <c r="B3849" s="6">
        <v>406.25</v>
      </c>
      <c r="C3849" s="6">
        <v>20.584240000000001</v>
      </c>
      <c r="D3849" s="6">
        <v>65</v>
      </c>
      <c r="E3849" s="6">
        <v>0</v>
      </c>
      <c r="F3849" s="6">
        <v>0</v>
      </c>
      <c r="G3849" s="6">
        <v>54</v>
      </c>
      <c r="H3849" s="6" t="s">
        <v>8019</v>
      </c>
      <c r="I3849" s="6">
        <v>530.8125</v>
      </c>
      <c r="J3849" s="2">
        <f t="shared" si="60"/>
        <v>43747.743219374999</v>
      </c>
    </row>
    <row r="3850" spans="1:10" x14ac:dyDescent="0.25">
      <c r="A3850" s="7" t="s">
        <v>8020</v>
      </c>
      <c r="B3850" s="8">
        <v>406.25</v>
      </c>
      <c r="C3850" s="8">
        <v>20.531590000000001</v>
      </c>
      <c r="D3850" s="8">
        <v>65</v>
      </c>
      <c r="E3850" s="8">
        <v>0</v>
      </c>
      <c r="F3850" s="8">
        <v>0</v>
      </c>
      <c r="G3850" s="8">
        <v>55</v>
      </c>
      <c r="H3850" s="8" t="s">
        <v>8021</v>
      </c>
      <c r="I3850" s="8">
        <v>530.625</v>
      </c>
      <c r="J3850" s="3">
        <f t="shared" si="60"/>
        <v>43747.743291018516</v>
      </c>
    </row>
    <row r="3851" spans="1:10" x14ac:dyDescent="0.25">
      <c r="A3851" s="5" t="s">
        <v>8022</v>
      </c>
      <c r="B3851" s="6">
        <v>406.25</v>
      </c>
      <c r="C3851" s="6">
        <v>20.531590000000001</v>
      </c>
      <c r="D3851" s="6">
        <v>65</v>
      </c>
      <c r="E3851" s="6">
        <v>0</v>
      </c>
      <c r="F3851" s="6">
        <v>0</v>
      </c>
      <c r="G3851" s="6">
        <v>58</v>
      </c>
      <c r="H3851" s="6" t="s">
        <v>8023</v>
      </c>
      <c r="I3851" s="6">
        <v>530.8125</v>
      </c>
      <c r="J3851" s="2">
        <f t="shared" si="60"/>
        <v>43747.743374803242</v>
      </c>
    </row>
    <row r="3852" spans="1:10" x14ac:dyDescent="0.25">
      <c r="A3852" s="7" t="s">
        <v>8024</v>
      </c>
      <c r="B3852" s="8">
        <v>409.375</v>
      </c>
      <c r="C3852" s="8">
        <v>20.478950000000001</v>
      </c>
      <c r="D3852" s="8">
        <v>66</v>
      </c>
      <c r="E3852" s="8">
        <v>0</v>
      </c>
      <c r="F3852" s="8">
        <v>0</v>
      </c>
      <c r="G3852" s="8">
        <v>47</v>
      </c>
      <c r="H3852" s="8" t="s">
        <v>8025</v>
      </c>
      <c r="I3852" s="8">
        <v>531.5625</v>
      </c>
      <c r="J3852" s="3">
        <f t="shared" si="60"/>
        <v>43747.743458136574</v>
      </c>
    </row>
    <row r="3853" spans="1:10" x14ac:dyDescent="0.25">
      <c r="A3853" s="5" t="s">
        <v>8026</v>
      </c>
      <c r="B3853" s="6">
        <v>409.375</v>
      </c>
      <c r="C3853" s="6">
        <v>20.531590000000001</v>
      </c>
      <c r="D3853" s="6">
        <v>65</v>
      </c>
      <c r="E3853" s="6">
        <v>0</v>
      </c>
      <c r="F3853" s="6">
        <v>0</v>
      </c>
      <c r="G3853" s="6">
        <v>57</v>
      </c>
      <c r="H3853" s="6" t="s">
        <v>8027</v>
      </c>
      <c r="I3853" s="6">
        <v>531.5625</v>
      </c>
      <c r="J3853" s="2">
        <f t="shared" si="60"/>
        <v>43747.74354160879</v>
      </c>
    </row>
    <row r="3854" spans="1:10" x14ac:dyDescent="0.25">
      <c r="A3854" s="7" t="s">
        <v>8028</v>
      </c>
      <c r="B3854" s="8">
        <v>412.5</v>
      </c>
      <c r="C3854" s="8">
        <v>20.531590000000001</v>
      </c>
      <c r="D3854" s="8">
        <v>65</v>
      </c>
      <c r="E3854" s="8">
        <v>0</v>
      </c>
      <c r="F3854" s="8">
        <v>0</v>
      </c>
      <c r="G3854" s="8">
        <v>55</v>
      </c>
      <c r="H3854" s="8" t="s">
        <v>8029</v>
      </c>
      <c r="I3854" s="8">
        <v>532.3125</v>
      </c>
      <c r="J3854" s="3">
        <f t="shared" si="60"/>
        <v>43747.743625034716</v>
      </c>
    </row>
    <row r="3855" spans="1:10" x14ac:dyDescent="0.25">
      <c r="A3855" s="5" t="s">
        <v>8030</v>
      </c>
      <c r="B3855" s="6">
        <v>409.375</v>
      </c>
      <c r="C3855" s="6">
        <v>20.478950000000001</v>
      </c>
      <c r="D3855" s="6">
        <v>70</v>
      </c>
      <c r="E3855" s="6">
        <v>0</v>
      </c>
      <c r="F3855" s="6">
        <v>0</v>
      </c>
      <c r="G3855" s="6">
        <v>50</v>
      </c>
      <c r="H3855" s="6" t="s">
        <v>8031</v>
      </c>
      <c r="I3855" s="6">
        <v>531.5625</v>
      </c>
      <c r="J3855" s="2">
        <f t="shared" si="60"/>
        <v>43747.743708252317</v>
      </c>
    </row>
    <row r="3856" spans="1:10" x14ac:dyDescent="0.25">
      <c r="A3856" s="7" t="s">
        <v>8032</v>
      </c>
      <c r="B3856" s="8">
        <v>409.375</v>
      </c>
      <c r="C3856" s="8">
        <v>20.584240000000001</v>
      </c>
      <c r="D3856" s="8">
        <v>70</v>
      </c>
      <c r="E3856" s="8">
        <v>0</v>
      </c>
      <c r="F3856" s="8">
        <v>0</v>
      </c>
      <c r="G3856" s="8">
        <v>55</v>
      </c>
      <c r="H3856" s="8" t="s">
        <v>8033</v>
      </c>
      <c r="I3856" s="8">
        <v>531.5625</v>
      </c>
      <c r="J3856" s="3">
        <f t="shared" si="60"/>
        <v>43747.743779884258</v>
      </c>
    </row>
    <row r="3857" spans="1:10" x14ac:dyDescent="0.25">
      <c r="A3857" s="5" t="s">
        <v>8034</v>
      </c>
      <c r="B3857" s="6">
        <v>409.375</v>
      </c>
      <c r="C3857" s="6">
        <v>20.531590000000001</v>
      </c>
      <c r="D3857" s="6">
        <v>70</v>
      </c>
      <c r="E3857" s="6">
        <v>0</v>
      </c>
      <c r="F3857" s="6">
        <v>0</v>
      </c>
      <c r="G3857" s="6">
        <v>59</v>
      </c>
      <c r="H3857" s="6" t="s">
        <v>8035</v>
      </c>
      <c r="I3857" s="6">
        <v>531.5625</v>
      </c>
      <c r="J3857" s="2">
        <f t="shared" si="60"/>
        <v>43747.743863449075</v>
      </c>
    </row>
    <row r="3858" spans="1:10" x14ac:dyDescent="0.25">
      <c r="A3858" s="7" t="s">
        <v>8036</v>
      </c>
      <c r="B3858" s="8">
        <v>409.375</v>
      </c>
      <c r="C3858" s="8">
        <v>20.531590000000001</v>
      </c>
      <c r="D3858" s="8">
        <v>67</v>
      </c>
      <c r="E3858" s="8">
        <v>0</v>
      </c>
      <c r="F3858" s="8">
        <v>0</v>
      </c>
      <c r="G3858" s="8">
        <v>50</v>
      </c>
      <c r="H3858" s="8" t="s">
        <v>8037</v>
      </c>
      <c r="I3858" s="8">
        <v>531.375</v>
      </c>
      <c r="J3858" s="3">
        <f t="shared" si="60"/>
        <v>43747.743958969906</v>
      </c>
    </row>
    <row r="3859" spans="1:10" x14ac:dyDescent="0.25">
      <c r="A3859" s="5" t="s">
        <v>8038</v>
      </c>
      <c r="B3859" s="6">
        <v>409.375</v>
      </c>
      <c r="C3859" s="6">
        <v>20.531590000000001</v>
      </c>
      <c r="D3859" s="6">
        <v>66</v>
      </c>
      <c r="E3859" s="6">
        <v>0</v>
      </c>
      <c r="F3859" s="6">
        <v>0</v>
      </c>
      <c r="G3859" s="6">
        <v>55</v>
      </c>
      <c r="H3859" s="6" t="s">
        <v>8039</v>
      </c>
      <c r="I3859" s="6">
        <v>531.5625</v>
      </c>
      <c r="J3859" s="2">
        <f t="shared" si="60"/>
        <v>43747.744042511571</v>
      </c>
    </row>
    <row r="3860" spans="1:10" x14ac:dyDescent="0.25">
      <c r="A3860" s="7" t="s">
        <v>8040</v>
      </c>
      <c r="B3860" s="8">
        <v>409.375</v>
      </c>
      <c r="C3860" s="8">
        <v>20.531590000000001</v>
      </c>
      <c r="D3860" s="8">
        <v>65</v>
      </c>
      <c r="E3860" s="8">
        <v>0</v>
      </c>
      <c r="F3860" s="8">
        <v>0</v>
      </c>
      <c r="G3860" s="8">
        <v>58</v>
      </c>
      <c r="H3860" s="8" t="s">
        <v>8041</v>
      </c>
      <c r="I3860" s="8">
        <v>531.5625</v>
      </c>
      <c r="J3860" s="3">
        <f t="shared" si="60"/>
        <v>43747.744113946756</v>
      </c>
    </row>
    <row r="3861" spans="1:10" x14ac:dyDescent="0.25">
      <c r="A3861" s="5" t="s">
        <v>8042</v>
      </c>
      <c r="B3861" s="6">
        <v>409.375</v>
      </c>
      <c r="C3861" s="6">
        <v>20.584240000000001</v>
      </c>
      <c r="D3861" s="6">
        <v>68</v>
      </c>
      <c r="E3861" s="6">
        <v>0</v>
      </c>
      <c r="F3861" s="6">
        <v>0</v>
      </c>
      <c r="G3861" s="6">
        <v>58</v>
      </c>
      <c r="H3861" s="6" t="s">
        <v>8043</v>
      </c>
      <c r="I3861" s="6">
        <v>531.5625</v>
      </c>
      <c r="J3861" s="2">
        <f t="shared" si="60"/>
        <v>43747.744197245367</v>
      </c>
    </row>
    <row r="3862" spans="1:10" x14ac:dyDescent="0.25">
      <c r="A3862" s="7" t="s">
        <v>8044</v>
      </c>
      <c r="B3862" s="8">
        <v>428.125</v>
      </c>
      <c r="C3862" s="8">
        <v>20.531590000000001</v>
      </c>
      <c r="D3862" s="8">
        <v>69</v>
      </c>
      <c r="E3862" s="8">
        <v>0</v>
      </c>
      <c r="F3862" s="8">
        <v>0</v>
      </c>
      <c r="G3862" s="8">
        <v>51</v>
      </c>
      <c r="H3862" s="8" t="s">
        <v>8045</v>
      </c>
      <c r="I3862" s="8">
        <v>537.9375</v>
      </c>
      <c r="J3862" s="3">
        <f t="shared" si="60"/>
        <v>43747.744268912036</v>
      </c>
    </row>
    <row r="3863" spans="1:10" x14ac:dyDescent="0.25">
      <c r="A3863" s="5" t="s">
        <v>8046</v>
      </c>
      <c r="B3863" s="6">
        <v>406.25</v>
      </c>
      <c r="C3863" s="6">
        <v>20.531590000000001</v>
      </c>
      <c r="D3863" s="6">
        <v>68</v>
      </c>
      <c r="E3863" s="6">
        <v>0</v>
      </c>
      <c r="F3863" s="6">
        <v>0</v>
      </c>
      <c r="G3863" s="6">
        <v>49</v>
      </c>
      <c r="H3863" s="6" t="s">
        <v>8047</v>
      </c>
      <c r="I3863" s="6">
        <v>530.625</v>
      </c>
      <c r="J3863" s="2">
        <f t="shared" si="60"/>
        <v>43747.744352361107</v>
      </c>
    </row>
    <row r="3864" spans="1:10" x14ac:dyDescent="0.25">
      <c r="A3864" s="7" t="s">
        <v>8048</v>
      </c>
      <c r="B3864" s="8">
        <v>406.25</v>
      </c>
      <c r="C3864" s="8">
        <v>20.531590000000001</v>
      </c>
      <c r="D3864" s="8">
        <v>69</v>
      </c>
      <c r="E3864" s="8">
        <v>0</v>
      </c>
      <c r="F3864" s="8">
        <v>0</v>
      </c>
      <c r="G3864" s="8">
        <v>55</v>
      </c>
      <c r="H3864" s="8" t="s">
        <v>8049</v>
      </c>
      <c r="I3864" s="8">
        <v>530.8125</v>
      </c>
      <c r="J3864" s="3">
        <f t="shared" si="60"/>
        <v>43747.7444359375</v>
      </c>
    </row>
    <row r="3865" spans="1:10" x14ac:dyDescent="0.25">
      <c r="A3865" s="5" t="s">
        <v>8050</v>
      </c>
      <c r="B3865" s="6">
        <v>406.25</v>
      </c>
      <c r="C3865" s="6">
        <v>20.531590000000001</v>
      </c>
      <c r="D3865" s="6">
        <v>68</v>
      </c>
      <c r="E3865" s="6">
        <v>0</v>
      </c>
      <c r="F3865" s="6">
        <v>0</v>
      </c>
      <c r="G3865" s="6">
        <v>59</v>
      </c>
      <c r="H3865" s="6" t="s">
        <v>8051</v>
      </c>
      <c r="I3865" s="6">
        <v>530.8125</v>
      </c>
      <c r="J3865" s="2">
        <f t="shared" si="60"/>
        <v>43747.744507557865</v>
      </c>
    </row>
    <row r="3866" spans="1:10" x14ac:dyDescent="0.25">
      <c r="A3866" s="7" t="s">
        <v>8052</v>
      </c>
      <c r="B3866" s="8">
        <v>403.125</v>
      </c>
      <c r="C3866" s="8">
        <v>20.478950000000001</v>
      </c>
      <c r="D3866" s="8">
        <v>66</v>
      </c>
      <c r="E3866" s="8">
        <v>0</v>
      </c>
      <c r="F3866" s="8">
        <v>0</v>
      </c>
      <c r="G3866" s="8">
        <v>54</v>
      </c>
      <c r="H3866" s="8" t="s">
        <v>8053</v>
      </c>
      <c r="I3866" s="8">
        <v>529.875</v>
      </c>
      <c r="J3866" s="3">
        <f t="shared" si="60"/>
        <v>43747.744590995368</v>
      </c>
    </row>
    <row r="3867" spans="1:10" x14ac:dyDescent="0.25">
      <c r="A3867" s="5" t="s">
        <v>8054</v>
      </c>
      <c r="B3867" s="6">
        <v>403.125</v>
      </c>
      <c r="C3867" s="6">
        <v>20.531590000000001</v>
      </c>
      <c r="D3867" s="6">
        <v>65</v>
      </c>
      <c r="E3867" s="6">
        <v>0</v>
      </c>
      <c r="F3867" s="6">
        <v>0</v>
      </c>
      <c r="G3867" s="6">
        <v>62</v>
      </c>
      <c r="H3867" s="6" t="s">
        <v>8055</v>
      </c>
      <c r="I3867" s="6">
        <v>529.125</v>
      </c>
      <c r="J3867" s="2">
        <f t="shared" si="60"/>
        <v>43747.744674351845</v>
      </c>
    </row>
    <row r="3868" spans="1:10" x14ac:dyDescent="0.25">
      <c r="A3868" s="7" t="s">
        <v>8056</v>
      </c>
      <c r="B3868" s="8">
        <v>403.125</v>
      </c>
      <c r="C3868" s="8">
        <v>20.584240000000001</v>
      </c>
      <c r="D3868" s="8">
        <v>66</v>
      </c>
      <c r="E3868" s="8">
        <v>0</v>
      </c>
      <c r="F3868" s="8">
        <v>0</v>
      </c>
      <c r="G3868" s="8">
        <v>57</v>
      </c>
      <c r="H3868" s="8" t="s">
        <v>8057</v>
      </c>
      <c r="I3868" s="8">
        <v>529.875</v>
      </c>
      <c r="J3868" s="3">
        <f t="shared" si="60"/>
        <v>43747.744757905086</v>
      </c>
    </row>
    <row r="3869" spans="1:10" x14ac:dyDescent="0.25">
      <c r="A3869" s="5" t="s">
        <v>8058</v>
      </c>
      <c r="B3869" s="6">
        <v>403.125</v>
      </c>
      <c r="C3869" s="6">
        <v>20.531590000000001</v>
      </c>
      <c r="D3869" s="6">
        <v>66</v>
      </c>
      <c r="E3869" s="6">
        <v>0</v>
      </c>
      <c r="F3869" s="6">
        <v>0</v>
      </c>
      <c r="G3869" s="6">
        <v>53</v>
      </c>
      <c r="H3869" s="6" t="s">
        <v>8059</v>
      </c>
      <c r="I3869" s="6">
        <v>529.875</v>
      </c>
      <c r="J3869" s="2">
        <f t="shared" si="60"/>
        <v>43747.744841238418</v>
      </c>
    </row>
    <row r="3870" spans="1:10" x14ac:dyDescent="0.25">
      <c r="A3870" s="7" t="s">
        <v>8060</v>
      </c>
      <c r="B3870" s="8">
        <v>403.125</v>
      </c>
      <c r="C3870" s="8">
        <v>20.531590000000001</v>
      </c>
      <c r="D3870" s="8">
        <v>65</v>
      </c>
      <c r="E3870" s="8">
        <v>0</v>
      </c>
      <c r="F3870" s="8">
        <v>0</v>
      </c>
      <c r="G3870" s="8">
        <v>56</v>
      </c>
      <c r="H3870" s="8" t="s">
        <v>8061</v>
      </c>
      <c r="I3870" s="8">
        <v>529.875</v>
      </c>
      <c r="J3870" s="3">
        <f t="shared" si="60"/>
        <v>43747.744924710649</v>
      </c>
    </row>
    <row r="3871" spans="1:10" x14ac:dyDescent="0.25">
      <c r="A3871" s="5" t="s">
        <v>8062</v>
      </c>
      <c r="B3871" s="6">
        <v>403.125</v>
      </c>
      <c r="C3871" s="6">
        <v>20.584240000000001</v>
      </c>
      <c r="D3871" s="6">
        <v>72</v>
      </c>
      <c r="E3871" s="6">
        <v>0</v>
      </c>
      <c r="F3871" s="6">
        <v>0</v>
      </c>
      <c r="G3871" s="6">
        <v>56</v>
      </c>
      <c r="H3871" s="6" t="s">
        <v>8063</v>
      </c>
      <c r="I3871" s="6">
        <v>529.875</v>
      </c>
      <c r="J3871" s="2">
        <f t="shared" si="60"/>
        <v>43747.745008148144</v>
      </c>
    </row>
    <row r="3872" spans="1:10" x14ac:dyDescent="0.25">
      <c r="A3872" s="7" t="s">
        <v>8064</v>
      </c>
      <c r="B3872" s="8">
        <v>440.625</v>
      </c>
      <c r="C3872" s="8">
        <v>20.531590000000001</v>
      </c>
      <c r="D3872" s="8">
        <v>66</v>
      </c>
      <c r="E3872" s="8">
        <v>0</v>
      </c>
      <c r="F3872" s="8">
        <v>0</v>
      </c>
      <c r="G3872" s="8">
        <v>57</v>
      </c>
      <c r="H3872" s="8" t="s">
        <v>8065</v>
      </c>
      <c r="I3872" s="8">
        <v>541.125</v>
      </c>
      <c r="J3872" s="3">
        <f t="shared" si="60"/>
        <v>43747.745091724537</v>
      </c>
    </row>
    <row r="3873" spans="1:10" x14ac:dyDescent="0.25">
      <c r="A3873" s="5" t="s">
        <v>8066</v>
      </c>
      <c r="B3873" s="6">
        <v>403.125</v>
      </c>
      <c r="C3873" s="6">
        <v>20.531590000000001</v>
      </c>
      <c r="D3873" s="6">
        <v>65</v>
      </c>
      <c r="E3873" s="6">
        <v>0</v>
      </c>
      <c r="F3873" s="6">
        <v>0</v>
      </c>
      <c r="G3873" s="6">
        <v>55</v>
      </c>
      <c r="H3873" s="6" t="s">
        <v>8067</v>
      </c>
      <c r="I3873" s="6">
        <v>529.875</v>
      </c>
      <c r="J3873" s="2">
        <f t="shared" si="60"/>
        <v>43747.74517480324</v>
      </c>
    </row>
    <row r="3874" spans="1:10" x14ac:dyDescent="0.25">
      <c r="A3874" s="7" t="s">
        <v>8068</v>
      </c>
      <c r="B3874" s="8">
        <v>403.125</v>
      </c>
      <c r="C3874" s="8">
        <v>20.531590000000001</v>
      </c>
      <c r="D3874" s="8">
        <v>65</v>
      </c>
      <c r="E3874" s="8">
        <v>0</v>
      </c>
      <c r="F3874" s="8">
        <v>0</v>
      </c>
      <c r="G3874" s="8">
        <v>64</v>
      </c>
      <c r="H3874" s="8" t="s">
        <v>8069</v>
      </c>
      <c r="I3874" s="8">
        <v>529.875</v>
      </c>
      <c r="J3874" s="3">
        <f t="shared" si="60"/>
        <v>43747.74524658564</v>
      </c>
    </row>
    <row r="3875" spans="1:10" x14ac:dyDescent="0.25">
      <c r="A3875" s="5" t="s">
        <v>8070</v>
      </c>
      <c r="B3875" s="6">
        <v>406.25</v>
      </c>
      <c r="C3875" s="6">
        <v>20.478950000000001</v>
      </c>
      <c r="D3875" s="6">
        <v>69</v>
      </c>
      <c r="E3875" s="6">
        <v>0</v>
      </c>
      <c r="F3875" s="6">
        <v>0</v>
      </c>
      <c r="G3875" s="6">
        <v>60</v>
      </c>
      <c r="H3875" s="6" t="s">
        <v>8071</v>
      </c>
      <c r="I3875" s="6">
        <v>530.8125</v>
      </c>
      <c r="J3875" s="2">
        <f t="shared" si="60"/>
        <v>43747.745330138881</v>
      </c>
    </row>
    <row r="3876" spans="1:10" x14ac:dyDescent="0.25">
      <c r="A3876" s="7" t="s">
        <v>8072</v>
      </c>
      <c r="B3876" s="8">
        <v>409.375</v>
      </c>
      <c r="C3876" s="8">
        <v>20.478950000000001</v>
      </c>
      <c r="D3876" s="8">
        <v>69</v>
      </c>
      <c r="E3876" s="8">
        <v>0</v>
      </c>
      <c r="F3876" s="8">
        <v>0</v>
      </c>
      <c r="G3876" s="8">
        <v>58</v>
      </c>
      <c r="H3876" s="8" t="s">
        <v>8073</v>
      </c>
      <c r="I3876" s="8">
        <v>531.5625</v>
      </c>
      <c r="J3876" s="3">
        <f t="shared" si="60"/>
        <v>43747.745413599536</v>
      </c>
    </row>
    <row r="3877" spans="1:10" x14ac:dyDescent="0.25">
      <c r="A3877" s="5" t="s">
        <v>8074</v>
      </c>
      <c r="B3877" s="6">
        <v>440.625</v>
      </c>
      <c r="C3877" s="6">
        <v>20.531590000000001</v>
      </c>
      <c r="D3877" s="6">
        <v>69</v>
      </c>
      <c r="E3877" s="6">
        <v>0</v>
      </c>
      <c r="F3877" s="6">
        <v>0</v>
      </c>
      <c r="G3877" s="6">
        <v>59</v>
      </c>
      <c r="H3877" s="6" t="s">
        <v>8075</v>
      </c>
      <c r="I3877" s="6">
        <v>541.5</v>
      </c>
      <c r="J3877" s="2">
        <f t="shared" si="60"/>
        <v>43747.745497048607</v>
      </c>
    </row>
    <row r="3878" spans="1:10" x14ac:dyDescent="0.25">
      <c r="A3878" s="7" t="s">
        <v>8076</v>
      </c>
      <c r="B3878" s="8">
        <v>409.375</v>
      </c>
      <c r="C3878" s="8">
        <v>20.531590000000001</v>
      </c>
      <c r="D3878" s="8">
        <v>70</v>
      </c>
      <c r="E3878" s="8">
        <v>0</v>
      </c>
      <c r="F3878" s="8">
        <v>0</v>
      </c>
      <c r="G3878" s="8">
        <v>54</v>
      </c>
      <c r="H3878" s="8" t="s">
        <v>8077</v>
      </c>
      <c r="I3878" s="8">
        <v>531.375</v>
      </c>
      <c r="J3878" s="3">
        <f t="shared" si="60"/>
        <v>43747.745580601848</v>
      </c>
    </row>
    <row r="3879" spans="1:10" x14ac:dyDescent="0.25">
      <c r="A3879" s="5" t="s">
        <v>8078</v>
      </c>
      <c r="B3879" s="6">
        <v>437.5</v>
      </c>
      <c r="C3879" s="6">
        <v>20.478950000000001</v>
      </c>
      <c r="D3879" s="6">
        <v>69</v>
      </c>
      <c r="E3879" s="6">
        <v>0</v>
      </c>
      <c r="F3879" s="6">
        <v>0</v>
      </c>
      <c r="G3879" s="6">
        <v>57</v>
      </c>
      <c r="H3879" s="6" t="s">
        <v>8079</v>
      </c>
      <c r="I3879" s="6">
        <v>540.75</v>
      </c>
      <c r="J3879" s="2">
        <f t="shared" si="60"/>
        <v>43747.745663715272</v>
      </c>
    </row>
    <row r="3880" spans="1:10" x14ac:dyDescent="0.25">
      <c r="A3880" s="7" t="s">
        <v>8080</v>
      </c>
      <c r="B3880" s="8">
        <v>406.25</v>
      </c>
      <c r="C3880" s="8">
        <v>20.531590000000001</v>
      </c>
      <c r="D3880" s="8">
        <v>69</v>
      </c>
      <c r="E3880" s="8">
        <v>0</v>
      </c>
      <c r="F3880" s="8">
        <v>0</v>
      </c>
      <c r="G3880" s="8">
        <v>60</v>
      </c>
      <c r="H3880" s="8" t="s">
        <v>8081</v>
      </c>
      <c r="I3880" s="8">
        <v>530.8125</v>
      </c>
      <c r="J3880" s="3">
        <f t="shared" si="60"/>
        <v>43747.745735578697</v>
      </c>
    </row>
    <row r="3881" spans="1:10" x14ac:dyDescent="0.25">
      <c r="A3881" s="5" t="s">
        <v>8082</v>
      </c>
      <c r="B3881" s="6">
        <v>406.25</v>
      </c>
      <c r="C3881" s="6">
        <v>20.531590000000001</v>
      </c>
      <c r="D3881" s="6">
        <v>71</v>
      </c>
      <c r="E3881" s="6">
        <v>0</v>
      </c>
      <c r="F3881" s="6">
        <v>0</v>
      </c>
      <c r="G3881" s="6">
        <v>58</v>
      </c>
      <c r="H3881" s="6" t="s">
        <v>8083</v>
      </c>
      <c r="I3881" s="6">
        <v>530.8125</v>
      </c>
      <c r="J3881" s="2">
        <f t="shared" si="60"/>
        <v>43747.7458190162</v>
      </c>
    </row>
    <row r="3882" spans="1:10" x14ac:dyDescent="0.25">
      <c r="A3882" s="7" t="s">
        <v>8084</v>
      </c>
      <c r="B3882" s="8">
        <v>406.25</v>
      </c>
      <c r="C3882" s="8">
        <v>20.584240000000001</v>
      </c>
      <c r="D3882" s="8">
        <v>70</v>
      </c>
      <c r="E3882" s="8">
        <v>0</v>
      </c>
      <c r="F3882" s="8">
        <v>0</v>
      </c>
      <c r="G3882" s="8">
        <v>50</v>
      </c>
      <c r="H3882" s="8" t="s">
        <v>8085</v>
      </c>
      <c r="I3882" s="8">
        <v>530.8125</v>
      </c>
      <c r="J3882" s="3">
        <f t="shared" si="60"/>
        <v>43747.745902476854</v>
      </c>
    </row>
    <row r="3883" spans="1:10" x14ac:dyDescent="0.25">
      <c r="A3883" s="5" t="s">
        <v>8086</v>
      </c>
      <c r="B3883" s="6">
        <v>406.25</v>
      </c>
      <c r="C3883" s="6">
        <v>20.531590000000001</v>
      </c>
      <c r="D3883" s="6">
        <v>70</v>
      </c>
      <c r="E3883" s="6">
        <v>0</v>
      </c>
      <c r="F3883" s="6">
        <v>0</v>
      </c>
      <c r="G3883" s="6">
        <v>62</v>
      </c>
      <c r="H3883" s="6" t="s">
        <v>8087</v>
      </c>
      <c r="I3883" s="6">
        <v>530.625</v>
      </c>
      <c r="J3883" s="2">
        <f t="shared" si="60"/>
        <v>43747.745986122682</v>
      </c>
    </row>
    <row r="3884" spans="1:10" x14ac:dyDescent="0.25">
      <c r="A3884" s="7" t="s">
        <v>8088</v>
      </c>
      <c r="B3884" s="8">
        <v>406.25</v>
      </c>
      <c r="C3884" s="8">
        <v>20.478950000000001</v>
      </c>
      <c r="D3884" s="8">
        <v>69</v>
      </c>
      <c r="E3884" s="8">
        <v>0</v>
      </c>
      <c r="F3884" s="8">
        <v>0</v>
      </c>
      <c r="G3884" s="8">
        <v>55</v>
      </c>
      <c r="H3884" s="8" t="s">
        <v>8089</v>
      </c>
      <c r="I3884" s="8">
        <v>530.625</v>
      </c>
      <c r="J3884" s="3">
        <f t="shared" si="60"/>
        <v>43747.746069386572</v>
      </c>
    </row>
    <row r="3885" spans="1:10" x14ac:dyDescent="0.25">
      <c r="A3885" s="5" t="s">
        <v>8090</v>
      </c>
      <c r="B3885" s="6">
        <v>403.125</v>
      </c>
      <c r="C3885" s="6">
        <v>20.531590000000001</v>
      </c>
      <c r="D3885" s="6">
        <v>69</v>
      </c>
      <c r="E3885" s="6">
        <v>0</v>
      </c>
      <c r="F3885" s="6">
        <v>0</v>
      </c>
      <c r="G3885" s="6">
        <v>59</v>
      </c>
      <c r="H3885" s="6" t="s">
        <v>8091</v>
      </c>
      <c r="I3885" s="6">
        <v>529.875</v>
      </c>
      <c r="J3885" s="2">
        <f t="shared" si="60"/>
        <v>43747.746152604166</v>
      </c>
    </row>
    <row r="3886" spans="1:10" x14ac:dyDescent="0.25">
      <c r="A3886" s="7" t="s">
        <v>8092</v>
      </c>
      <c r="B3886" s="8">
        <v>403.125</v>
      </c>
      <c r="C3886" s="8">
        <v>20.478950000000001</v>
      </c>
      <c r="D3886" s="8">
        <v>70</v>
      </c>
      <c r="E3886" s="8">
        <v>0</v>
      </c>
      <c r="F3886" s="8">
        <v>0</v>
      </c>
      <c r="G3886" s="8">
        <v>57</v>
      </c>
      <c r="H3886" s="8" t="s">
        <v>8093</v>
      </c>
      <c r="I3886" s="8">
        <v>529.125</v>
      </c>
      <c r="J3886" s="3">
        <f t="shared" si="60"/>
        <v>43747.746224351846</v>
      </c>
    </row>
    <row r="3887" spans="1:10" x14ac:dyDescent="0.25">
      <c r="A3887" s="5" t="s">
        <v>8094</v>
      </c>
      <c r="B3887" s="6">
        <v>403.125</v>
      </c>
      <c r="C3887" s="6">
        <v>20.531590000000001</v>
      </c>
      <c r="D3887" s="6">
        <v>70</v>
      </c>
      <c r="E3887" s="6">
        <v>0</v>
      </c>
      <c r="F3887" s="6">
        <v>0</v>
      </c>
      <c r="G3887" s="6">
        <v>65</v>
      </c>
      <c r="H3887" s="6" t="s">
        <v>8095</v>
      </c>
      <c r="I3887" s="6">
        <v>529.125</v>
      </c>
      <c r="J3887" s="2">
        <f t="shared" si="60"/>
        <v>43747.746307928239</v>
      </c>
    </row>
    <row r="3888" spans="1:10" x14ac:dyDescent="0.25">
      <c r="A3888" s="7" t="s">
        <v>8096</v>
      </c>
      <c r="B3888" s="8">
        <v>400</v>
      </c>
      <c r="C3888" s="8">
        <v>20.478950000000001</v>
      </c>
      <c r="D3888" s="8">
        <v>70</v>
      </c>
      <c r="E3888" s="8">
        <v>0</v>
      </c>
      <c r="F3888" s="8">
        <v>0</v>
      </c>
      <c r="G3888" s="8">
        <v>55</v>
      </c>
      <c r="H3888" s="8" t="s">
        <v>8097</v>
      </c>
      <c r="I3888" s="8">
        <v>528.375</v>
      </c>
      <c r="J3888" s="3">
        <f t="shared" si="60"/>
        <v>43747.746391377317</v>
      </c>
    </row>
    <row r="3889" spans="1:10" x14ac:dyDescent="0.25">
      <c r="A3889" s="5" t="s">
        <v>8098</v>
      </c>
      <c r="B3889" s="6">
        <v>400</v>
      </c>
      <c r="C3889" s="6">
        <v>20.531590000000001</v>
      </c>
      <c r="D3889" s="6">
        <v>70</v>
      </c>
      <c r="E3889" s="6">
        <v>0</v>
      </c>
      <c r="F3889" s="6">
        <v>0</v>
      </c>
      <c r="G3889" s="6">
        <v>62</v>
      </c>
      <c r="H3889" s="6" t="s">
        <v>8099</v>
      </c>
      <c r="I3889" s="6">
        <v>528.1875</v>
      </c>
      <c r="J3889" s="2">
        <f t="shared" si="60"/>
        <v>43747.746474803243</v>
      </c>
    </row>
    <row r="3890" spans="1:10" x14ac:dyDescent="0.25">
      <c r="A3890" s="7" t="s">
        <v>8100</v>
      </c>
      <c r="B3890" s="8">
        <v>400</v>
      </c>
      <c r="C3890" s="8">
        <v>20.531590000000001</v>
      </c>
      <c r="D3890" s="8">
        <v>70</v>
      </c>
      <c r="E3890" s="8">
        <v>0</v>
      </c>
      <c r="F3890" s="8">
        <v>0</v>
      </c>
      <c r="G3890" s="8">
        <v>57</v>
      </c>
      <c r="H3890" s="8" t="s">
        <v>8101</v>
      </c>
      <c r="I3890" s="8">
        <v>528.375</v>
      </c>
      <c r="J3890" s="3">
        <f t="shared" si="60"/>
        <v>43747.746558263891</v>
      </c>
    </row>
    <row r="3891" spans="1:10" x14ac:dyDescent="0.25">
      <c r="A3891" s="5" t="s">
        <v>8102</v>
      </c>
      <c r="B3891" s="6">
        <v>400</v>
      </c>
      <c r="C3891" s="6">
        <v>20.531590000000001</v>
      </c>
      <c r="D3891" s="6">
        <v>70</v>
      </c>
      <c r="E3891" s="6">
        <v>0</v>
      </c>
      <c r="F3891" s="6">
        <v>0</v>
      </c>
      <c r="G3891" s="6">
        <v>63</v>
      </c>
      <c r="H3891" s="6" t="s">
        <v>8103</v>
      </c>
      <c r="I3891" s="6">
        <v>528.1875</v>
      </c>
      <c r="J3891" s="2">
        <f t="shared" si="60"/>
        <v>43747.746650497684</v>
      </c>
    </row>
    <row r="3892" spans="1:10" x14ac:dyDescent="0.25">
      <c r="A3892" s="7" t="s">
        <v>8104</v>
      </c>
      <c r="B3892" s="8">
        <v>400</v>
      </c>
      <c r="C3892" s="8">
        <v>20.584240000000001</v>
      </c>
      <c r="D3892" s="8">
        <v>72</v>
      </c>
      <c r="E3892" s="8">
        <v>0</v>
      </c>
      <c r="F3892" s="8">
        <v>0</v>
      </c>
      <c r="G3892" s="8">
        <v>60</v>
      </c>
      <c r="H3892" s="8" t="s">
        <v>8105</v>
      </c>
      <c r="I3892" s="8">
        <v>528.375</v>
      </c>
      <c r="J3892" s="3">
        <f t="shared" si="60"/>
        <v>43747.746725243058</v>
      </c>
    </row>
    <row r="3893" spans="1:10" x14ac:dyDescent="0.25">
      <c r="A3893" s="5" t="s">
        <v>8106</v>
      </c>
      <c r="B3893" s="6">
        <v>400</v>
      </c>
      <c r="C3893" s="6">
        <v>20.531590000000001</v>
      </c>
      <c r="D3893" s="6">
        <v>72</v>
      </c>
      <c r="E3893" s="6">
        <v>0</v>
      </c>
      <c r="F3893" s="6">
        <v>0</v>
      </c>
      <c r="G3893" s="6">
        <v>58</v>
      </c>
      <c r="H3893" s="6" t="s">
        <v>8107</v>
      </c>
      <c r="I3893" s="6">
        <v>528.1875</v>
      </c>
      <c r="J3893" s="2">
        <f t="shared" si="60"/>
        <v>43747.746796527776</v>
      </c>
    </row>
    <row r="3894" spans="1:10" x14ac:dyDescent="0.25">
      <c r="A3894" s="7" t="s">
        <v>8108</v>
      </c>
      <c r="B3894" s="8">
        <v>400</v>
      </c>
      <c r="C3894" s="8">
        <v>20.531590000000001</v>
      </c>
      <c r="D3894" s="8">
        <v>71</v>
      </c>
      <c r="E3894" s="8">
        <v>0</v>
      </c>
      <c r="F3894" s="8">
        <v>0</v>
      </c>
      <c r="G3894" s="8">
        <v>50</v>
      </c>
      <c r="H3894" s="8" t="s">
        <v>8109</v>
      </c>
      <c r="I3894" s="8">
        <v>528.1875</v>
      </c>
      <c r="J3894" s="3">
        <f t="shared" si="60"/>
        <v>43747.746868287031</v>
      </c>
    </row>
    <row r="3895" spans="1:10" x14ac:dyDescent="0.25">
      <c r="A3895" s="5" t="s">
        <v>8110</v>
      </c>
      <c r="B3895" s="6">
        <v>396.875</v>
      </c>
      <c r="C3895" s="6">
        <v>20.531590000000001</v>
      </c>
      <c r="D3895" s="6">
        <v>71</v>
      </c>
      <c r="E3895" s="6">
        <v>0</v>
      </c>
      <c r="F3895" s="6">
        <v>0</v>
      </c>
      <c r="G3895" s="6">
        <v>59</v>
      </c>
      <c r="H3895" s="6" t="s">
        <v>8111</v>
      </c>
      <c r="I3895" s="6">
        <v>527.4375</v>
      </c>
      <c r="J3895" s="2">
        <f t="shared" si="60"/>
        <v>43747.746951747678</v>
      </c>
    </row>
    <row r="3896" spans="1:10" x14ac:dyDescent="0.25">
      <c r="A3896" s="7" t="s">
        <v>8112</v>
      </c>
      <c r="B3896" s="8">
        <v>396.875</v>
      </c>
      <c r="C3896" s="8">
        <v>20.478950000000001</v>
      </c>
      <c r="D3896" s="8">
        <v>69</v>
      </c>
      <c r="E3896" s="8">
        <v>0</v>
      </c>
      <c r="F3896" s="8">
        <v>0</v>
      </c>
      <c r="G3896" s="8">
        <v>54</v>
      </c>
      <c r="H3896" s="8" t="s">
        <v>8113</v>
      </c>
      <c r="I3896" s="8">
        <v>527.4375</v>
      </c>
      <c r="J3896" s="3">
        <f t="shared" si="60"/>
        <v>43747.747035185188</v>
      </c>
    </row>
    <row r="3897" spans="1:10" x14ac:dyDescent="0.25">
      <c r="A3897" s="5" t="s">
        <v>8114</v>
      </c>
      <c r="B3897" s="6">
        <v>396.875</v>
      </c>
      <c r="C3897" s="6">
        <v>20.531590000000001</v>
      </c>
      <c r="D3897" s="6">
        <v>69</v>
      </c>
      <c r="E3897" s="6">
        <v>0</v>
      </c>
      <c r="F3897" s="6">
        <v>0</v>
      </c>
      <c r="G3897" s="6">
        <v>62</v>
      </c>
      <c r="H3897" s="6" t="s">
        <v>8115</v>
      </c>
      <c r="I3897" s="6">
        <v>527.4375</v>
      </c>
      <c r="J3897" s="2">
        <f t="shared" si="60"/>
        <v>43747.747106828705</v>
      </c>
    </row>
    <row r="3898" spans="1:10" x14ac:dyDescent="0.25">
      <c r="A3898" s="7" t="s">
        <v>8116</v>
      </c>
      <c r="B3898" s="8">
        <v>415.625</v>
      </c>
      <c r="C3898" s="8">
        <v>20.531590000000001</v>
      </c>
      <c r="D3898" s="8">
        <v>70</v>
      </c>
      <c r="E3898" s="8">
        <v>0</v>
      </c>
      <c r="F3898" s="8">
        <v>0</v>
      </c>
      <c r="G3898" s="8">
        <v>57</v>
      </c>
      <c r="H3898" s="8" t="s">
        <v>8117</v>
      </c>
      <c r="I3898" s="8">
        <v>533.0625</v>
      </c>
      <c r="J3898" s="3">
        <f t="shared" si="60"/>
        <v>43747.747200601851</v>
      </c>
    </row>
    <row r="3899" spans="1:10" x14ac:dyDescent="0.25">
      <c r="A3899" s="5" t="s">
        <v>8118</v>
      </c>
      <c r="B3899" s="6">
        <v>396.875</v>
      </c>
      <c r="C3899" s="6">
        <v>20.531590000000001</v>
      </c>
      <c r="D3899" s="6">
        <v>69</v>
      </c>
      <c r="E3899" s="6">
        <v>0</v>
      </c>
      <c r="F3899" s="6">
        <v>0</v>
      </c>
      <c r="G3899" s="6">
        <v>66</v>
      </c>
      <c r="H3899" s="6" t="s">
        <v>8119</v>
      </c>
      <c r="I3899" s="6">
        <v>527.4375</v>
      </c>
      <c r="J3899" s="2">
        <f t="shared" si="60"/>
        <v>43747.747273622685</v>
      </c>
    </row>
    <row r="3900" spans="1:10" x14ac:dyDescent="0.25">
      <c r="A3900" s="7" t="s">
        <v>8120</v>
      </c>
      <c r="B3900" s="8">
        <v>396.875</v>
      </c>
      <c r="C3900" s="8">
        <v>20.531590000000001</v>
      </c>
      <c r="D3900" s="8">
        <v>69</v>
      </c>
      <c r="E3900" s="8">
        <v>0</v>
      </c>
      <c r="F3900" s="8">
        <v>0</v>
      </c>
      <c r="G3900" s="8">
        <v>59</v>
      </c>
      <c r="H3900" s="8" t="s">
        <v>8121</v>
      </c>
      <c r="I3900" s="8">
        <v>527.4375</v>
      </c>
      <c r="J3900" s="3">
        <f t="shared" si="60"/>
        <v>43747.747357175926</v>
      </c>
    </row>
    <row r="3901" spans="1:10" x14ac:dyDescent="0.25">
      <c r="A3901" s="5" t="s">
        <v>8122</v>
      </c>
      <c r="B3901" s="6">
        <v>400</v>
      </c>
      <c r="C3901" s="6">
        <v>20.584240000000001</v>
      </c>
      <c r="D3901" s="6">
        <v>70</v>
      </c>
      <c r="E3901" s="6">
        <v>0</v>
      </c>
      <c r="F3901" s="6">
        <v>0</v>
      </c>
      <c r="G3901" s="6">
        <v>64</v>
      </c>
      <c r="H3901" s="6" t="s">
        <v>8123</v>
      </c>
      <c r="I3901" s="6">
        <v>528.375</v>
      </c>
      <c r="J3901" s="2">
        <f t="shared" si="60"/>
        <v>43747.74742871528</v>
      </c>
    </row>
    <row r="3902" spans="1:10" x14ac:dyDescent="0.25">
      <c r="A3902" s="7" t="s">
        <v>8124</v>
      </c>
      <c r="B3902" s="8">
        <v>400</v>
      </c>
      <c r="C3902" s="8">
        <v>20.531590000000001</v>
      </c>
      <c r="D3902" s="8">
        <v>70</v>
      </c>
      <c r="E3902" s="8">
        <v>0</v>
      </c>
      <c r="F3902" s="8">
        <v>0</v>
      </c>
      <c r="G3902" s="8">
        <v>57</v>
      </c>
      <c r="H3902" s="8" t="s">
        <v>8125</v>
      </c>
      <c r="I3902" s="8">
        <v>528.375</v>
      </c>
      <c r="J3902" s="3">
        <f t="shared" si="60"/>
        <v>43747.747500254627</v>
      </c>
    </row>
    <row r="3903" spans="1:10" x14ac:dyDescent="0.25">
      <c r="A3903" s="5" t="s">
        <v>8126</v>
      </c>
      <c r="B3903" s="6">
        <v>400</v>
      </c>
      <c r="C3903" s="6">
        <v>20.531590000000001</v>
      </c>
      <c r="D3903" s="6">
        <v>70</v>
      </c>
      <c r="E3903" s="6">
        <v>0</v>
      </c>
      <c r="F3903" s="6">
        <v>0</v>
      </c>
      <c r="G3903" s="6">
        <v>61</v>
      </c>
      <c r="H3903" s="6" t="s">
        <v>8127</v>
      </c>
      <c r="I3903" s="6">
        <v>528.1875</v>
      </c>
      <c r="J3903" s="2">
        <f t="shared" si="60"/>
        <v>43747.747571423613</v>
      </c>
    </row>
    <row r="3904" spans="1:10" x14ac:dyDescent="0.25">
      <c r="A3904" s="7" t="s">
        <v>8128</v>
      </c>
      <c r="B3904" s="8">
        <v>415.625</v>
      </c>
      <c r="C3904" s="8">
        <v>20.531590000000001</v>
      </c>
      <c r="D3904" s="8">
        <v>70</v>
      </c>
      <c r="E3904" s="8">
        <v>0</v>
      </c>
      <c r="F3904" s="8">
        <v>0</v>
      </c>
      <c r="G3904" s="8">
        <v>59</v>
      </c>
      <c r="H3904" s="8" t="s">
        <v>8129</v>
      </c>
      <c r="I3904" s="8">
        <v>533.625</v>
      </c>
      <c r="J3904" s="3">
        <f t="shared" si="60"/>
        <v>43747.747643287039</v>
      </c>
    </row>
    <row r="3905" spans="1:10" x14ac:dyDescent="0.25">
      <c r="A3905" s="5" t="s">
        <v>8130</v>
      </c>
      <c r="B3905" s="6">
        <v>396.875</v>
      </c>
      <c r="C3905" s="6">
        <v>20.584240000000001</v>
      </c>
      <c r="D3905" s="6">
        <v>71</v>
      </c>
      <c r="E3905" s="6">
        <v>0</v>
      </c>
      <c r="F3905" s="6">
        <v>0</v>
      </c>
      <c r="G3905" s="6">
        <v>58</v>
      </c>
      <c r="H3905" s="6" t="s">
        <v>8131</v>
      </c>
      <c r="I3905" s="6">
        <v>527.4375</v>
      </c>
      <c r="J3905" s="2">
        <f t="shared" si="60"/>
        <v>43747.747714826386</v>
      </c>
    </row>
    <row r="3906" spans="1:10" x14ac:dyDescent="0.25">
      <c r="A3906" s="7" t="s">
        <v>8132</v>
      </c>
      <c r="B3906" s="8">
        <v>396.875</v>
      </c>
      <c r="C3906" s="8">
        <v>20.531590000000001</v>
      </c>
      <c r="D3906" s="8">
        <v>71</v>
      </c>
      <c r="E3906" s="8">
        <v>0</v>
      </c>
      <c r="F3906" s="8">
        <v>0</v>
      </c>
      <c r="G3906" s="8">
        <v>56</v>
      </c>
      <c r="H3906" s="8" t="s">
        <v>8133</v>
      </c>
      <c r="I3906" s="8">
        <v>527.4375</v>
      </c>
      <c r="J3906" s="3">
        <f t="shared" ref="J3906:J3969" si="61">(H3906/86400000)+25569+(7/24)</f>
        <v>43747.747786111104</v>
      </c>
    </row>
    <row r="3907" spans="1:10" x14ac:dyDescent="0.25">
      <c r="A3907" s="5" t="s">
        <v>8134</v>
      </c>
      <c r="B3907" s="6">
        <v>400</v>
      </c>
      <c r="C3907" s="6">
        <v>20.531590000000001</v>
      </c>
      <c r="D3907" s="6">
        <v>71</v>
      </c>
      <c r="E3907" s="6">
        <v>0</v>
      </c>
      <c r="F3907" s="6">
        <v>0</v>
      </c>
      <c r="G3907" s="6">
        <v>61</v>
      </c>
      <c r="H3907" s="6" t="s">
        <v>8135</v>
      </c>
      <c r="I3907" s="6">
        <v>528.1875</v>
      </c>
      <c r="J3907" s="2">
        <f t="shared" si="61"/>
        <v>43747.747857754628</v>
      </c>
    </row>
    <row r="3908" spans="1:10" x14ac:dyDescent="0.25">
      <c r="A3908" s="7" t="s">
        <v>8136</v>
      </c>
      <c r="B3908" s="8">
        <v>396.875</v>
      </c>
      <c r="C3908" s="8">
        <v>20.531590000000001</v>
      </c>
      <c r="D3908" s="8">
        <v>70</v>
      </c>
      <c r="E3908" s="8">
        <v>0</v>
      </c>
      <c r="F3908" s="8">
        <v>0</v>
      </c>
      <c r="G3908" s="8">
        <v>62</v>
      </c>
      <c r="H3908" s="8" t="s">
        <v>8137</v>
      </c>
      <c r="I3908" s="8">
        <v>527.4375</v>
      </c>
      <c r="J3908" s="3">
        <f t="shared" si="61"/>
        <v>43747.747929537036</v>
      </c>
    </row>
    <row r="3909" spans="1:10" x14ac:dyDescent="0.25">
      <c r="A3909" s="5" t="s">
        <v>8138</v>
      </c>
      <c r="B3909" s="6">
        <v>396.875</v>
      </c>
      <c r="C3909" s="6">
        <v>20.584240000000001</v>
      </c>
      <c r="D3909" s="6">
        <v>70</v>
      </c>
      <c r="E3909" s="6">
        <v>0</v>
      </c>
      <c r="F3909" s="6">
        <v>0</v>
      </c>
      <c r="G3909" s="6">
        <v>60</v>
      </c>
      <c r="H3909" s="6" t="s">
        <v>8139</v>
      </c>
      <c r="I3909" s="6">
        <v>527.4375</v>
      </c>
      <c r="J3909" s="2">
        <f t="shared" si="61"/>
        <v>43747.748000694446</v>
      </c>
    </row>
    <row r="3910" spans="1:10" x14ac:dyDescent="0.25">
      <c r="A3910" s="7" t="s">
        <v>8140</v>
      </c>
      <c r="B3910" s="8">
        <v>393.75</v>
      </c>
      <c r="C3910" s="8">
        <v>20.584240000000001</v>
      </c>
      <c r="D3910" s="8">
        <v>68</v>
      </c>
      <c r="E3910" s="8">
        <v>0</v>
      </c>
      <c r="F3910" s="8">
        <v>0</v>
      </c>
      <c r="G3910" s="8">
        <v>64</v>
      </c>
      <c r="H3910" s="8" t="s">
        <v>8141</v>
      </c>
      <c r="I3910" s="8">
        <v>526.6875</v>
      </c>
      <c r="J3910" s="3">
        <f t="shared" si="61"/>
        <v>43747.748072581016</v>
      </c>
    </row>
    <row r="3911" spans="1:10" x14ac:dyDescent="0.25">
      <c r="A3911" s="5" t="s">
        <v>8142</v>
      </c>
      <c r="B3911" s="6">
        <v>393.75</v>
      </c>
      <c r="C3911" s="6">
        <v>20.531590000000001</v>
      </c>
      <c r="D3911" s="6">
        <v>68</v>
      </c>
      <c r="E3911" s="6">
        <v>0</v>
      </c>
      <c r="F3911" s="6">
        <v>0</v>
      </c>
      <c r="G3911" s="6">
        <v>58</v>
      </c>
      <c r="H3911" s="6" t="s">
        <v>8143</v>
      </c>
      <c r="I3911" s="6">
        <v>526.6875</v>
      </c>
      <c r="J3911" s="2">
        <f t="shared" si="61"/>
        <v>43747.748144120364</v>
      </c>
    </row>
    <row r="3912" spans="1:10" x14ac:dyDescent="0.25">
      <c r="A3912" s="7" t="s">
        <v>8144</v>
      </c>
      <c r="B3912" s="8">
        <v>393.75</v>
      </c>
      <c r="C3912" s="8">
        <v>20.478950000000001</v>
      </c>
      <c r="D3912" s="8">
        <v>69</v>
      </c>
      <c r="E3912" s="8">
        <v>0</v>
      </c>
      <c r="F3912" s="8">
        <v>0</v>
      </c>
      <c r="G3912" s="8">
        <v>60</v>
      </c>
      <c r="H3912" s="8" t="s">
        <v>8145</v>
      </c>
      <c r="I3912" s="8">
        <v>526.6875</v>
      </c>
      <c r="J3912" s="3">
        <f t="shared" si="61"/>
        <v>43747.748227627315</v>
      </c>
    </row>
    <row r="3913" spans="1:10" x14ac:dyDescent="0.25">
      <c r="A3913" s="5" t="s">
        <v>8146</v>
      </c>
      <c r="B3913" s="6">
        <v>393.75</v>
      </c>
      <c r="C3913" s="6">
        <v>20.531590000000001</v>
      </c>
      <c r="D3913" s="6">
        <v>73</v>
      </c>
      <c r="E3913" s="6">
        <v>0</v>
      </c>
      <c r="F3913" s="6">
        <v>0</v>
      </c>
      <c r="G3913" s="6">
        <v>62</v>
      </c>
      <c r="H3913" s="6" t="s">
        <v>8147</v>
      </c>
      <c r="I3913" s="6">
        <v>526.6875</v>
      </c>
      <c r="J3913" s="2">
        <f t="shared" si="61"/>
        <v>43747.74829920139</v>
      </c>
    </row>
    <row r="3914" spans="1:10" x14ac:dyDescent="0.25">
      <c r="A3914" s="7" t="s">
        <v>8148</v>
      </c>
      <c r="B3914" s="8">
        <v>393.75</v>
      </c>
      <c r="C3914" s="8">
        <v>20.478950000000001</v>
      </c>
      <c r="D3914" s="8">
        <v>73</v>
      </c>
      <c r="E3914" s="8">
        <v>0</v>
      </c>
      <c r="F3914" s="8">
        <v>0</v>
      </c>
      <c r="G3914" s="8">
        <v>55</v>
      </c>
      <c r="H3914" s="8" t="s">
        <v>8149</v>
      </c>
      <c r="I3914" s="8">
        <v>526.6875</v>
      </c>
      <c r="J3914" s="3">
        <f t="shared" si="61"/>
        <v>43747.748370613423</v>
      </c>
    </row>
    <row r="3915" spans="1:10" x14ac:dyDescent="0.25">
      <c r="A3915" s="5" t="s">
        <v>8150</v>
      </c>
      <c r="B3915" s="6">
        <v>393.75</v>
      </c>
      <c r="C3915" s="6">
        <v>20.531590000000001</v>
      </c>
      <c r="D3915" s="6">
        <v>73</v>
      </c>
      <c r="E3915" s="6">
        <v>0</v>
      </c>
      <c r="F3915" s="6">
        <v>0</v>
      </c>
      <c r="G3915" s="6">
        <v>60</v>
      </c>
      <c r="H3915" s="6" t="s">
        <v>8151</v>
      </c>
      <c r="I3915" s="6">
        <v>526.6875</v>
      </c>
      <c r="J3915" s="2">
        <f t="shared" si="61"/>
        <v>43747.748442372678</v>
      </c>
    </row>
    <row r="3916" spans="1:10" x14ac:dyDescent="0.25">
      <c r="A3916" s="7" t="s">
        <v>8152</v>
      </c>
      <c r="B3916" s="8">
        <v>393.75</v>
      </c>
      <c r="C3916" s="8">
        <v>20.584240000000001</v>
      </c>
      <c r="D3916" s="8">
        <v>70</v>
      </c>
      <c r="E3916" s="8">
        <v>0</v>
      </c>
      <c r="F3916" s="8">
        <v>0</v>
      </c>
      <c r="G3916" s="8">
        <v>54</v>
      </c>
      <c r="H3916" s="8" t="s">
        <v>8153</v>
      </c>
      <c r="I3916" s="8">
        <v>526.6875</v>
      </c>
      <c r="J3916" s="3">
        <f t="shared" si="61"/>
        <v>43747.748513796294</v>
      </c>
    </row>
    <row r="3917" spans="1:10" x14ac:dyDescent="0.25">
      <c r="A3917" s="5" t="s">
        <v>8154</v>
      </c>
      <c r="B3917" s="6">
        <v>393.75</v>
      </c>
      <c r="C3917" s="6">
        <v>20.531590000000001</v>
      </c>
      <c r="D3917" s="6">
        <v>69</v>
      </c>
      <c r="E3917" s="6">
        <v>0</v>
      </c>
      <c r="F3917" s="6">
        <v>0</v>
      </c>
      <c r="G3917" s="6">
        <v>62</v>
      </c>
      <c r="H3917" s="6" t="s">
        <v>8155</v>
      </c>
      <c r="I3917" s="6">
        <v>526.6875</v>
      </c>
      <c r="J3917" s="2">
        <f t="shared" si="61"/>
        <v>43747.748596990736</v>
      </c>
    </row>
    <row r="3918" spans="1:10" x14ac:dyDescent="0.25">
      <c r="A3918" s="7" t="s">
        <v>8156</v>
      </c>
      <c r="B3918" s="8">
        <v>393.75</v>
      </c>
      <c r="C3918" s="8">
        <v>20.531590000000001</v>
      </c>
      <c r="D3918" s="8">
        <v>69</v>
      </c>
      <c r="E3918" s="8">
        <v>0</v>
      </c>
      <c r="F3918" s="8">
        <v>0</v>
      </c>
      <c r="G3918" s="8">
        <v>57</v>
      </c>
      <c r="H3918" s="8" t="s">
        <v>8157</v>
      </c>
      <c r="I3918" s="8">
        <v>526.6875</v>
      </c>
      <c r="J3918" s="3">
        <f t="shared" si="61"/>
        <v>43747.748668749999</v>
      </c>
    </row>
    <row r="3919" spans="1:10" x14ac:dyDescent="0.25">
      <c r="A3919" s="5" t="s">
        <v>8158</v>
      </c>
      <c r="B3919" s="6">
        <v>393.75</v>
      </c>
      <c r="C3919" s="6">
        <v>20.531590000000001</v>
      </c>
      <c r="D3919" s="6">
        <v>70</v>
      </c>
      <c r="E3919" s="6">
        <v>0</v>
      </c>
      <c r="F3919" s="6">
        <v>0</v>
      </c>
      <c r="G3919" s="6">
        <v>55</v>
      </c>
      <c r="H3919" s="6" t="s">
        <v>8159</v>
      </c>
      <c r="I3919" s="6">
        <v>526.6875</v>
      </c>
      <c r="J3919" s="2">
        <f t="shared" si="61"/>
        <v>43747.74875233796</v>
      </c>
    </row>
    <row r="3920" spans="1:10" x14ac:dyDescent="0.25">
      <c r="A3920" s="7" t="s">
        <v>8160</v>
      </c>
      <c r="B3920" s="8">
        <v>393.75</v>
      </c>
      <c r="C3920" s="8">
        <v>20.531590000000001</v>
      </c>
      <c r="D3920" s="8">
        <v>70</v>
      </c>
      <c r="E3920" s="8">
        <v>0</v>
      </c>
      <c r="F3920" s="8">
        <v>0</v>
      </c>
      <c r="G3920" s="8">
        <v>59</v>
      </c>
      <c r="H3920" s="8" t="s">
        <v>8161</v>
      </c>
      <c r="I3920" s="8">
        <v>526.6875</v>
      </c>
      <c r="J3920" s="3">
        <f t="shared" si="61"/>
        <v>43747.748823738424</v>
      </c>
    </row>
    <row r="3921" spans="1:10" x14ac:dyDescent="0.25">
      <c r="A3921" s="5" t="s">
        <v>8162</v>
      </c>
      <c r="B3921" s="6">
        <v>393.75</v>
      </c>
      <c r="C3921" s="6">
        <v>20.531590000000001</v>
      </c>
      <c r="D3921" s="6">
        <v>70</v>
      </c>
      <c r="E3921" s="6">
        <v>0</v>
      </c>
      <c r="F3921" s="6">
        <v>0</v>
      </c>
      <c r="G3921" s="6">
        <v>65</v>
      </c>
      <c r="H3921" s="6" t="s">
        <v>8163</v>
      </c>
      <c r="I3921" s="6">
        <v>526.6875</v>
      </c>
      <c r="J3921" s="2">
        <f t="shared" si="61"/>
        <v>43747.748895381941</v>
      </c>
    </row>
    <row r="3922" spans="1:10" x14ac:dyDescent="0.25">
      <c r="A3922" s="7" t="s">
        <v>8164</v>
      </c>
      <c r="B3922" s="8">
        <v>393.75</v>
      </c>
      <c r="C3922" s="8">
        <v>20.531590000000001</v>
      </c>
      <c r="D3922" s="8">
        <v>70</v>
      </c>
      <c r="E3922" s="8">
        <v>0</v>
      </c>
      <c r="F3922" s="8">
        <v>0</v>
      </c>
      <c r="G3922" s="8">
        <v>63</v>
      </c>
      <c r="H3922" s="8" t="s">
        <v>8165</v>
      </c>
      <c r="I3922" s="8">
        <v>526.6875</v>
      </c>
      <c r="J3922" s="3">
        <f t="shared" si="61"/>
        <v>43747.748978495372</v>
      </c>
    </row>
    <row r="3923" spans="1:10" x14ac:dyDescent="0.25">
      <c r="A3923" s="5" t="s">
        <v>8166</v>
      </c>
      <c r="B3923" s="6">
        <v>393.75</v>
      </c>
      <c r="C3923" s="6">
        <v>20.478950000000001</v>
      </c>
      <c r="D3923" s="6">
        <v>70</v>
      </c>
      <c r="E3923" s="6">
        <v>0</v>
      </c>
      <c r="F3923" s="6">
        <v>0</v>
      </c>
      <c r="G3923" s="6">
        <v>66</v>
      </c>
      <c r="H3923" s="6" t="s">
        <v>8167</v>
      </c>
      <c r="I3923" s="6">
        <v>526.6875</v>
      </c>
      <c r="J3923" s="2">
        <f t="shared" si="61"/>
        <v>43747.749050370367</v>
      </c>
    </row>
    <row r="3924" spans="1:10" x14ac:dyDescent="0.25">
      <c r="A3924" s="7" t="s">
        <v>8168</v>
      </c>
      <c r="B3924" s="8">
        <v>418.75</v>
      </c>
      <c r="C3924" s="8">
        <v>20.478950000000001</v>
      </c>
      <c r="D3924" s="8">
        <v>58</v>
      </c>
      <c r="E3924" s="8">
        <v>0</v>
      </c>
      <c r="F3924" s="8">
        <v>0</v>
      </c>
      <c r="G3924" s="8">
        <v>0</v>
      </c>
      <c r="H3924" s="8" t="s">
        <v>8169</v>
      </c>
      <c r="I3924" s="8">
        <v>534</v>
      </c>
      <c r="J3924" s="3">
        <f t="shared" si="61"/>
        <v>43747.749347384255</v>
      </c>
    </row>
    <row r="3925" spans="1:10" x14ac:dyDescent="0.25">
      <c r="A3925" s="5" t="s">
        <v>8170</v>
      </c>
      <c r="B3925" s="6">
        <v>400</v>
      </c>
      <c r="C3925" s="6">
        <v>20.531590000000001</v>
      </c>
      <c r="D3925" s="6">
        <v>67</v>
      </c>
      <c r="E3925" s="6">
        <v>0</v>
      </c>
      <c r="F3925" s="6">
        <v>0</v>
      </c>
      <c r="G3925" s="6">
        <v>0</v>
      </c>
      <c r="H3925" s="6" t="s">
        <v>8171</v>
      </c>
      <c r="I3925" s="6">
        <v>528.375</v>
      </c>
      <c r="J3925" s="2">
        <f t="shared" si="61"/>
        <v>43747.749427442126</v>
      </c>
    </row>
    <row r="3926" spans="1:10" x14ac:dyDescent="0.25">
      <c r="A3926" s="7" t="s">
        <v>8172</v>
      </c>
      <c r="B3926" s="8">
        <v>400</v>
      </c>
      <c r="C3926" s="8">
        <v>20.478950000000001</v>
      </c>
      <c r="D3926" s="8">
        <v>68</v>
      </c>
      <c r="E3926" s="8">
        <v>0</v>
      </c>
      <c r="F3926" s="8">
        <v>0</v>
      </c>
      <c r="G3926" s="8">
        <v>0</v>
      </c>
      <c r="H3926" s="8" t="s">
        <v>8173</v>
      </c>
      <c r="I3926" s="8">
        <v>528.375</v>
      </c>
      <c r="J3926" s="3">
        <f t="shared" si="61"/>
        <v>43747.749499386577</v>
      </c>
    </row>
    <row r="3927" spans="1:10" x14ac:dyDescent="0.25">
      <c r="A3927" s="5" t="s">
        <v>8174</v>
      </c>
      <c r="B3927" s="6">
        <v>403.125</v>
      </c>
      <c r="C3927" s="6">
        <v>20.478950000000001</v>
      </c>
      <c r="D3927" s="6">
        <v>68</v>
      </c>
      <c r="E3927" s="6">
        <v>0</v>
      </c>
      <c r="F3927" s="6">
        <v>0</v>
      </c>
      <c r="G3927" s="6">
        <v>0</v>
      </c>
      <c r="H3927" s="6" t="s">
        <v>8175</v>
      </c>
      <c r="I3927" s="6">
        <v>529.125</v>
      </c>
      <c r="J3927" s="2">
        <f t="shared" si="61"/>
        <v>43747.749582719909</v>
      </c>
    </row>
    <row r="3928" spans="1:10" x14ac:dyDescent="0.25">
      <c r="A3928" s="7" t="s">
        <v>8176</v>
      </c>
      <c r="B3928" s="8">
        <v>403.125</v>
      </c>
      <c r="C3928" s="8">
        <v>20.478950000000001</v>
      </c>
      <c r="D3928" s="8">
        <v>69</v>
      </c>
      <c r="E3928" s="8">
        <v>0</v>
      </c>
      <c r="F3928" s="8">
        <v>0</v>
      </c>
      <c r="G3928" s="8">
        <v>1</v>
      </c>
      <c r="H3928" s="8" t="s">
        <v>8177</v>
      </c>
      <c r="I3928" s="8">
        <v>529.125</v>
      </c>
      <c r="J3928" s="3">
        <f t="shared" si="61"/>
        <v>43747.749665682866</v>
      </c>
    </row>
    <row r="3929" spans="1:10" x14ac:dyDescent="0.25">
      <c r="A3929" s="5" t="s">
        <v>8178</v>
      </c>
      <c r="B3929" s="6">
        <v>418.75</v>
      </c>
      <c r="C3929" s="6">
        <v>20.531590000000001</v>
      </c>
      <c r="D3929" s="6">
        <v>69</v>
      </c>
      <c r="E3929" s="6">
        <v>0</v>
      </c>
      <c r="F3929" s="6">
        <v>0</v>
      </c>
      <c r="G3929" s="6">
        <v>0</v>
      </c>
      <c r="H3929" s="6" t="s">
        <v>8179</v>
      </c>
      <c r="I3929" s="6">
        <v>534.9375</v>
      </c>
      <c r="J3929" s="2">
        <f t="shared" si="61"/>
        <v>43747.749737442129</v>
      </c>
    </row>
    <row r="3930" spans="1:10" x14ac:dyDescent="0.25">
      <c r="A3930" s="7" t="s">
        <v>8180</v>
      </c>
      <c r="B3930" s="8">
        <v>403.125</v>
      </c>
      <c r="C3930" s="8">
        <v>20.478950000000001</v>
      </c>
      <c r="D3930" s="8">
        <v>67</v>
      </c>
      <c r="E3930" s="8">
        <v>0</v>
      </c>
      <c r="F3930" s="8">
        <v>0</v>
      </c>
      <c r="G3930" s="8">
        <v>4</v>
      </c>
      <c r="H3930" s="8" t="s">
        <v>8181</v>
      </c>
      <c r="I3930" s="8">
        <v>529.125</v>
      </c>
      <c r="J3930" s="3">
        <f t="shared" si="61"/>
        <v>43747.74982078703</v>
      </c>
    </row>
    <row r="3931" spans="1:10" x14ac:dyDescent="0.25">
      <c r="A3931" s="5" t="s">
        <v>8182</v>
      </c>
      <c r="B3931" s="6">
        <v>403.125</v>
      </c>
      <c r="C3931" s="6">
        <v>20.531590000000001</v>
      </c>
      <c r="D3931" s="6">
        <v>67</v>
      </c>
      <c r="E3931" s="6">
        <v>0</v>
      </c>
      <c r="F3931" s="6">
        <v>0</v>
      </c>
      <c r="G3931" s="6">
        <v>0</v>
      </c>
      <c r="H3931" s="6" t="s">
        <v>8183</v>
      </c>
      <c r="I3931" s="6">
        <v>529.6875</v>
      </c>
      <c r="J3931" s="2">
        <f t="shared" si="61"/>
        <v>43747.749892175925</v>
      </c>
    </row>
    <row r="3932" spans="1:10" x14ac:dyDescent="0.25">
      <c r="A3932" s="7" t="s">
        <v>8184</v>
      </c>
      <c r="B3932" s="8">
        <v>406.25</v>
      </c>
      <c r="C3932" s="8">
        <v>20.531590000000001</v>
      </c>
      <c r="D3932" s="8">
        <v>68</v>
      </c>
      <c r="E3932" s="8">
        <v>0</v>
      </c>
      <c r="F3932" s="8">
        <v>0</v>
      </c>
      <c r="G3932" s="8">
        <v>5</v>
      </c>
      <c r="H3932" s="8" t="s">
        <v>8185</v>
      </c>
      <c r="I3932" s="8">
        <v>530.625</v>
      </c>
      <c r="J3932" s="3">
        <f t="shared" si="61"/>
        <v>43747.749964236107</v>
      </c>
    </row>
    <row r="3933" spans="1:10" x14ac:dyDescent="0.25">
      <c r="A3933" s="5" t="s">
        <v>8186</v>
      </c>
      <c r="B3933" s="6">
        <v>406.25</v>
      </c>
      <c r="C3933" s="6">
        <v>20.531590000000001</v>
      </c>
      <c r="D3933" s="6">
        <v>70</v>
      </c>
      <c r="E3933" s="6">
        <v>0</v>
      </c>
      <c r="F3933" s="6">
        <v>0</v>
      </c>
      <c r="G3933" s="6">
        <v>6</v>
      </c>
      <c r="H3933" s="6" t="s">
        <v>8187</v>
      </c>
      <c r="I3933" s="6">
        <v>530.625</v>
      </c>
      <c r="J3933" s="2">
        <f t="shared" si="61"/>
        <v>43747.750059548613</v>
      </c>
    </row>
    <row r="3934" spans="1:10" x14ac:dyDescent="0.25">
      <c r="A3934" s="7" t="s">
        <v>8188</v>
      </c>
      <c r="B3934" s="8">
        <v>409.375</v>
      </c>
      <c r="C3934" s="8">
        <v>20.584240000000001</v>
      </c>
      <c r="D3934" s="8">
        <v>69</v>
      </c>
      <c r="E3934" s="8">
        <v>0</v>
      </c>
      <c r="F3934" s="8">
        <v>0</v>
      </c>
      <c r="G3934" s="8">
        <v>10</v>
      </c>
      <c r="H3934" s="8" t="s">
        <v>8189</v>
      </c>
      <c r="I3934" s="8">
        <v>531.5625</v>
      </c>
      <c r="J3934" s="3">
        <f t="shared" si="61"/>
        <v>43747.750130902779</v>
      </c>
    </row>
    <row r="3935" spans="1:10" x14ac:dyDescent="0.25">
      <c r="A3935" s="5" t="s">
        <v>8190</v>
      </c>
      <c r="B3935" s="6">
        <v>428.125</v>
      </c>
      <c r="C3935" s="6">
        <v>20.478950000000001</v>
      </c>
      <c r="D3935" s="6">
        <v>71</v>
      </c>
      <c r="E3935" s="6">
        <v>0</v>
      </c>
      <c r="F3935" s="6">
        <v>0</v>
      </c>
      <c r="G3935" s="6">
        <v>4</v>
      </c>
      <c r="H3935" s="6" t="s">
        <v>8191</v>
      </c>
      <c r="I3935" s="6">
        <v>537.375</v>
      </c>
      <c r="J3935" s="2">
        <f t="shared" si="61"/>
        <v>43747.750202245363</v>
      </c>
    </row>
    <row r="3936" spans="1:10" x14ac:dyDescent="0.25">
      <c r="A3936" s="7" t="s">
        <v>8192</v>
      </c>
      <c r="B3936" s="8">
        <v>412.5</v>
      </c>
      <c r="C3936" s="8">
        <v>20.478950000000001</v>
      </c>
      <c r="D3936" s="8">
        <v>71</v>
      </c>
      <c r="E3936" s="8">
        <v>0</v>
      </c>
      <c r="F3936" s="8">
        <v>0</v>
      </c>
      <c r="G3936" s="8">
        <v>0</v>
      </c>
      <c r="H3936" s="8" t="s">
        <v>8193</v>
      </c>
      <c r="I3936" s="8">
        <v>532.3125</v>
      </c>
      <c r="J3936" s="3">
        <f t="shared" si="61"/>
        <v>43747.750274050923</v>
      </c>
    </row>
    <row r="3937" spans="1:10" x14ac:dyDescent="0.25">
      <c r="A3937" s="5" t="s">
        <v>8194</v>
      </c>
      <c r="B3937" s="6">
        <v>412.5</v>
      </c>
      <c r="C3937" s="6">
        <v>20.531590000000001</v>
      </c>
      <c r="D3937" s="6">
        <v>72</v>
      </c>
      <c r="E3937" s="6">
        <v>0</v>
      </c>
      <c r="F3937" s="6">
        <v>0</v>
      </c>
      <c r="G3937" s="6">
        <v>8</v>
      </c>
      <c r="H3937" s="6" t="s">
        <v>8195</v>
      </c>
      <c r="I3937" s="6">
        <v>532.3125</v>
      </c>
      <c r="J3937" s="2">
        <f t="shared" si="61"/>
        <v>43747.750345300919</v>
      </c>
    </row>
    <row r="3938" spans="1:10" x14ac:dyDescent="0.25">
      <c r="A3938" s="7" t="s">
        <v>8196</v>
      </c>
      <c r="B3938" s="8">
        <v>412.5</v>
      </c>
      <c r="C3938" s="8">
        <v>20.531590000000001</v>
      </c>
      <c r="D3938" s="8">
        <v>74</v>
      </c>
      <c r="E3938" s="8">
        <v>0</v>
      </c>
      <c r="F3938" s="8">
        <v>0</v>
      </c>
      <c r="G3938" s="8">
        <v>17</v>
      </c>
      <c r="H3938" s="8" t="s">
        <v>8197</v>
      </c>
      <c r="I3938" s="8">
        <v>532.3125</v>
      </c>
      <c r="J3938" s="3">
        <f t="shared" si="61"/>
        <v>43747.750417071758</v>
      </c>
    </row>
    <row r="3939" spans="1:10" x14ac:dyDescent="0.25">
      <c r="A3939" s="5" t="s">
        <v>8198</v>
      </c>
      <c r="B3939" s="6">
        <v>412.5</v>
      </c>
      <c r="C3939" s="6">
        <v>20.478950000000001</v>
      </c>
      <c r="D3939" s="6">
        <v>73</v>
      </c>
      <c r="E3939" s="6">
        <v>0</v>
      </c>
      <c r="F3939" s="6">
        <v>0</v>
      </c>
      <c r="G3939" s="6">
        <v>10</v>
      </c>
      <c r="H3939" s="6" t="s">
        <v>8199</v>
      </c>
      <c r="I3939" s="6">
        <v>532.3125</v>
      </c>
      <c r="J3939" s="2">
        <f t="shared" si="61"/>
        <v>43747.75048884259</v>
      </c>
    </row>
    <row r="3940" spans="1:10" x14ac:dyDescent="0.25">
      <c r="A3940" s="7" t="s">
        <v>8200</v>
      </c>
      <c r="B3940" s="8">
        <v>409.375</v>
      </c>
      <c r="C3940" s="8">
        <v>20.531590000000001</v>
      </c>
      <c r="D3940" s="8">
        <v>71</v>
      </c>
      <c r="E3940" s="8">
        <v>0</v>
      </c>
      <c r="F3940" s="8">
        <v>0</v>
      </c>
      <c r="G3940" s="8">
        <v>6</v>
      </c>
      <c r="H3940" s="8" t="s">
        <v>8201</v>
      </c>
      <c r="I3940" s="8">
        <v>531.5625</v>
      </c>
      <c r="J3940" s="3">
        <f t="shared" si="61"/>
        <v>43747.750572164347</v>
      </c>
    </row>
    <row r="3941" spans="1:10" x14ac:dyDescent="0.25">
      <c r="A3941" s="5" t="s">
        <v>8202</v>
      </c>
      <c r="B3941" s="6">
        <v>412.5</v>
      </c>
      <c r="C3941" s="6">
        <v>20.584240000000001</v>
      </c>
      <c r="D3941" s="6">
        <v>71</v>
      </c>
      <c r="E3941" s="6">
        <v>0</v>
      </c>
      <c r="F3941" s="6">
        <v>0</v>
      </c>
      <c r="G3941" s="6">
        <v>16</v>
      </c>
      <c r="H3941" s="6" t="s">
        <v>8203</v>
      </c>
      <c r="I3941" s="6">
        <v>532.3125</v>
      </c>
      <c r="J3941" s="2">
        <f t="shared" si="61"/>
        <v>43747.750643506944</v>
      </c>
    </row>
    <row r="3942" spans="1:10" x14ac:dyDescent="0.25">
      <c r="A3942" s="7" t="s">
        <v>8204</v>
      </c>
      <c r="B3942" s="8">
        <v>412.5</v>
      </c>
      <c r="C3942" s="8">
        <v>20.478950000000001</v>
      </c>
      <c r="D3942" s="8">
        <v>70</v>
      </c>
      <c r="E3942" s="8">
        <v>0</v>
      </c>
      <c r="F3942" s="8">
        <v>0</v>
      </c>
      <c r="G3942" s="8">
        <v>4</v>
      </c>
      <c r="H3942" s="8" t="s">
        <v>8205</v>
      </c>
      <c r="I3942" s="8">
        <v>532.3125</v>
      </c>
      <c r="J3942" s="3">
        <f t="shared" si="61"/>
        <v>43747.750715567126</v>
      </c>
    </row>
    <row r="3943" spans="1:10" x14ac:dyDescent="0.25">
      <c r="A3943" s="5" t="s">
        <v>8206</v>
      </c>
      <c r="B3943" s="6">
        <v>412.5</v>
      </c>
      <c r="C3943" s="6">
        <v>20.531590000000001</v>
      </c>
      <c r="D3943" s="6">
        <v>71</v>
      </c>
      <c r="E3943" s="6">
        <v>0</v>
      </c>
      <c r="F3943" s="6">
        <v>0</v>
      </c>
      <c r="G3943" s="6">
        <v>5</v>
      </c>
      <c r="H3943" s="6" t="s">
        <v>8207</v>
      </c>
      <c r="I3943" s="6">
        <v>532.3125</v>
      </c>
      <c r="J3943" s="2">
        <f t="shared" si="61"/>
        <v>43747.750786585646</v>
      </c>
    </row>
    <row r="3944" spans="1:10" x14ac:dyDescent="0.25">
      <c r="A3944" s="7" t="s">
        <v>8208</v>
      </c>
      <c r="B3944" s="8">
        <v>412.5</v>
      </c>
      <c r="C3944" s="8">
        <v>20.478950000000001</v>
      </c>
      <c r="D3944" s="8">
        <v>71</v>
      </c>
      <c r="E3944" s="8">
        <v>0</v>
      </c>
      <c r="F3944" s="8">
        <v>0</v>
      </c>
      <c r="G3944" s="8">
        <v>13</v>
      </c>
      <c r="H3944" s="8" t="s">
        <v>8209</v>
      </c>
      <c r="I3944" s="8">
        <v>532.3125</v>
      </c>
      <c r="J3944" s="3">
        <f t="shared" si="61"/>
        <v>43747.750858206018</v>
      </c>
    </row>
    <row r="3945" spans="1:10" x14ac:dyDescent="0.25">
      <c r="A3945" s="5" t="s">
        <v>8210</v>
      </c>
      <c r="B3945" s="6">
        <v>412.5</v>
      </c>
      <c r="C3945" s="6">
        <v>20.584240000000001</v>
      </c>
      <c r="D3945" s="6">
        <v>71</v>
      </c>
      <c r="E3945" s="6">
        <v>0</v>
      </c>
      <c r="F3945" s="6">
        <v>0</v>
      </c>
      <c r="G3945" s="6">
        <v>17</v>
      </c>
      <c r="H3945" s="6" t="s">
        <v>8211</v>
      </c>
      <c r="I3945" s="6">
        <v>532.3125</v>
      </c>
      <c r="J3945" s="2">
        <f t="shared" si="61"/>
        <v>43747.750929560185</v>
      </c>
    </row>
    <row r="3946" spans="1:10" x14ac:dyDescent="0.25">
      <c r="A3946" s="7" t="s">
        <v>8212</v>
      </c>
      <c r="B3946" s="8">
        <v>412.5</v>
      </c>
      <c r="C3946" s="8">
        <v>20.478950000000001</v>
      </c>
      <c r="D3946" s="8">
        <v>72</v>
      </c>
      <c r="E3946" s="8">
        <v>0</v>
      </c>
      <c r="F3946" s="8">
        <v>0</v>
      </c>
      <c r="G3946" s="8">
        <v>16</v>
      </c>
      <c r="H3946" s="8" t="s">
        <v>8213</v>
      </c>
      <c r="I3946" s="8">
        <v>532.3125</v>
      </c>
      <c r="J3946" s="3">
        <f t="shared" si="61"/>
        <v>43747.751001689809</v>
      </c>
    </row>
    <row r="3947" spans="1:10" x14ac:dyDescent="0.25">
      <c r="A3947" s="5" t="s">
        <v>8214</v>
      </c>
      <c r="B3947" s="6">
        <v>450</v>
      </c>
      <c r="C3947" s="6">
        <v>20.478950000000001</v>
      </c>
      <c r="D3947" s="6">
        <v>72</v>
      </c>
      <c r="E3947" s="6">
        <v>0</v>
      </c>
      <c r="F3947" s="6">
        <v>0</v>
      </c>
      <c r="G3947" s="6">
        <v>12</v>
      </c>
      <c r="H3947" s="6" t="s">
        <v>8215</v>
      </c>
      <c r="I3947" s="6">
        <v>544.875</v>
      </c>
      <c r="J3947" s="2">
        <f t="shared" si="61"/>
        <v>43747.751082222218</v>
      </c>
    </row>
    <row r="3948" spans="1:10" x14ac:dyDescent="0.25">
      <c r="A3948" s="7" t="s">
        <v>8216</v>
      </c>
      <c r="B3948" s="8">
        <v>412.5</v>
      </c>
      <c r="C3948" s="8">
        <v>20.531590000000001</v>
      </c>
      <c r="D3948" s="8">
        <v>72</v>
      </c>
      <c r="E3948" s="8">
        <v>0</v>
      </c>
      <c r="F3948" s="8">
        <v>0</v>
      </c>
      <c r="G3948" s="8">
        <v>10</v>
      </c>
      <c r="H3948" s="8" t="s">
        <v>8217</v>
      </c>
      <c r="I3948" s="8">
        <v>532.3125</v>
      </c>
      <c r="J3948" s="3">
        <f t="shared" si="61"/>
        <v>43747.751156412036</v>
      </c>
    </row>
    <row r="3949" spans="1:10" x14ac:dyDescent="0.25">
      <c r="A3949" s="5" t="s">
        <v>8218</v>
      </c>
      <c r="B3949" s="6">
        <v>412.5</v>
      </c>
      <c r="C3949" s="6">
        <v>20.531590000000001</v>
      </c>
      <c r="D3949" s="6">
        <v>71</v>
      </c>
      <c r="E3949" s="6">
        <v>0</v>
      </c>
      <c r="F3949" s="6">
        <v>0</v>
      </c>
      <c r="G3949" s="6">
        <v>11</v>
      </c>
      <c r="H3949" s="6" t="s">
        <v>8219</v>
      </c>
      <c r="I3949" s="6">
        <v>532.3125</v>
      </c>
      <c r="J3949" s="2">
        <f t="shared" si="61"/>
        <v>43747.751227951383</v>
      </c>
    </row>
    <row r="3950" spans="1:10" x14ac:dyDescent="0.25">
      <c r="A3950" s="7" t="s">
        <v>8220</v>
      </c>
      <c r="B3950" s="8">
        <v>412.5</v>
      </c>
      <c r="C3950" s="8">
        <v>20.478950000000001</v>
      </c>
      <c r="D3950" s="8">
        <v>71</v>
      </c>
      <c r="E3950" s="8">
        <v>0</v>
      </c>
      <c r="F3950" s="8">
        <v>0</v>
      </c>
      <c r="G3950" s="8">
        <v>10</v>
      </c>
      <c r="H3950" s="8" t="s">
        <v>8221</v>
      </c>
      <c r="I3950" s="8">
        <v>532.3125</v>
      </c>
      <c r="J3950" s="3">
        <f t="shared" si="61"/>
        <v>43747.751299027776</v>
      </c>
    </row>
    <row r="3951" spans="1:10" x14ac:dyDescent="0.25">
      <c r="A3951" s="5" t="s">
        <v>8222</v>
      </c>
      <c r="B3951" s="6">
        <v>412.5</v>
      </c>
      <c r="C3951" s="6">
        <v>20.531590000000001</v>
      </c>
      <c r="D3951" s="6">
        <v>70</v>
      </c>
      <c r="E3951" s="6">
        <v>0</v>
      </c>
      <c r="F3951" s="6">
        <v>0</v>
      </c>
      <c r="G3951" s="6">
        <v>15</v>
      </c>
      <c r="H3951" s="6" t="s">
        <v>8223</v>
      </c>
      <c r="I3951" s="6">
        <v>532.3125</v>
      </c>
      <c r="J3951" s="2">
        <f t="shared" si="61"/>
        <v>43747.75137111111</v>
      </c>
    </row>
    <row r="3952" spans="1:10" x14ac:dyDescent="0.25">
      <c r="A3952" s="7" t="s">
        <v>8224</v>
      </c>
      <c r="B3952" s="8">
        <v>415.625</v>
      </c>
      <c r="C3952" s="8">
        <v>20.531590000000001</v>
      </c>
      <c r="D3952" s="8">
        <v>71</v>
      </c>
      <c r="E3952" s="8">
        <v>0</v>
      </c>
      <c r="F3952" s="8">
        <v>0</v>
      </c>
      <c r="G3952" s="8">
        <v>14</v>
      </c>
      <c r="H3952" s="8" t="s">
        <v>8225</v>
      </c>
      <c r="I3952" s="8">
        <v>533.0625</v>
      </c>
      <c r="J3952" s="3">
        <f t="shared" si="61"/>
        <v>43747.751442546294</v>
      </c>
    </row>
    <row r="3953" spans="1:10" x14ac:dyDescent="0.25">
      <c r="A3953" s="5" t="s">
        <v>8226</v>
      </c>
      <c r="B3953" s="6">
        <v>415.625</v>
      </c>
      <c r="C3953" s="6">
        <v>20.531590000000001</v>
      </c>
      <c r="D3953" s="6">
        <v>71</v>
      </c>
      <c r="E3953" s="6">
        <v>0</v>
      </c>
      <c r="F3953" s="6">
        <v>0</v>
      </c>
      <c r="G3953" s="6">
        <v>15</v>
      </c>
      <c r="H3953" s="6" t="s">
        <v>8227</v>
      </c>
      <c r="I3953" s="6">
        <v>533.0625</v>
      </c>
      <c r="J3953" s="2">
        <f t="shared" si="61"/>
        <v>43747.75151391203</v>
      </c>
    </row>
    <row r="3954" spans="1:10" x14ac:dyDescent="0.25">
      <c r="A3954" s="7" t="s">
        <v>8228</v>
      </c>
      <c r="B3954" s="8">
        <v>415.625</v>
      </c>
      <c r="C3954" s="8">
        <v>20.531590000000001</v>
      </c>
      <c r="D3954" s="8">
        <v>71</v>
      </c>
      <c r="E3954" s="8">
        <v>0</v>
      </c>
      <c r="F3954" s="8">
        <v>0</v>
      </c>
      <c r="G3954" s="8">
        <v>16</v>
      </c>
      <c r="H3954" s="8" t="s">
        <v>8229</v>
      </c>
      <c r="I3954" s="8">
        <v>533.0625</v>
      </c>
      <c r="J3954" s="3">
        <f t="shared" si="61"/>
        <v>43747.751585127313</v>
      </c>
    </row>
    <row r="3955" spans="1:10" x14ac:dyDescent="0.25">
      <c r="A3955" s="5" t="s">
        <v>8230</v>
      </c>
      <c r="B3955" s="6">
        <v>412.5</v>
      </c>
      <c r="C3955" s="6">
        <v>20.478950000000001</v>
      </c>
      <c r="D3955" s="6">
        <v>69</v>
      </c>
      <c r="E3955" s="6">
        <v>0</v>
      </c>
      <c r="F3955" s="6">
        <v>0</v>
      </c>
      <c r="G3955" s="6">
        <v>14</v>
      </c>
      <c r="H3955" s="6" t="s">
        <v>8231</v>
      </c>
      <c r="I3955" s="6">
        <v>532.3125</v>
      </c>
      <c r="J3955" s="2">
        <f t="shared" si="61"/>
        <v>43747.751681435184</v>
      </c>
    </row>
    <row r="3956" spans="1:10" x14ac:dyDescent="0.25">
      <c r="A3956" s="7" t="s">
        <v>8232</v>
      </c>
      <c r="B3956" s="8">
        <v>412.5</v>
      </c>
      <c r="C3956" s="8">
        <v>20.478950000000001</v>
      </c>
      <c r="D3956" s="8">
        <v>69</v>
      </c>
      <c r="E3956" s="8">
        <v>0</v>
      </c>
      <c r="F3956" s="8">
        <v>0</v>
      </c>
      <c r="G3956" s="8">
        <v>12</v>
      </c>
      <c r="H3956" s="8" t="s">
        <v>8233</v>
      </c>
      <c r="I3956" s="8">
        <v>532.3125</v>
      </c>
      <c r="J3956" s="3">
        <f t="shared" si="61"/>
        <v>43747.751752766206</v>
      </c>
    </row>
    <row r="3957" spans="1:10" x14ac:dyDescent="0.25">
      <c r="A3957" s="5" t="s">
        <v>8234</v>
      </c>
      <c r="B3957" s="6">
        <v>412.5</v>
      </c>
      <c r="C3957" s="6">
        <v>20.478950000000001</v>
      </c>
      <c r="D3957" s="6">
        <v>73</v>
      </c>
      <c r="E3957" s="6">
        <v>0</v>
      </c>
      <c r="F3957" s="6">
        <v>0</v>
      </c>
      <c r="G3957" s="6">
        <v>15</v>
      </c>
      <c r="H3957" s="6" t="s">
        <v>8235</v>
      </c>
      <c r="I3957" s="6">
        <v>532.3125</v>
      </c>
      <c r="J3957" s="2">
        <f t="shared" si="61"/>
        <v>43747.7518240625</v>
      </c>
    </row>
    <row r="3958" spans="1:10" x14ac:dyDescent="0.25">
      <c r="A3958" s="7" t="s">
        <v>8236</v>
      </c>
      <c r="B3958" s="8">
        <v>409.375</v>
      </c>
      <c r="C3958" s="8">
        <v>20.531590000000001</v>
      </c>
      <c r="D3958" s="8">
        <v>76</v>
      </c>
      <c r="E3958" s="8">
        <v>0</v>
      </c>
      <c r="F3958" s="8">
        <v>0</v>
      </c>
      <c r="G3958" s="8">
        <v>14</v>
      </c>
      <c r="H3958" s="8" t="s">
        <v>8237</v>
      </c>
      <c r="I3958" s="8">
        <v>531.5625</v>
      </c>
      <c r="J3958" s="3">
        <f t="shared" si="61"/>
        <v>43747.751919444439</v>
      </c>
    </row>
    <row r="3959" spans="1:10" x14ac:dyDescent="0.25">
      <c r="A3959" s="5" t="s">
        <v>8238</v>
      </c>
      <c r="B3959" s="6">
        <v>409.375</v>
      </c>
      <c r="C3959" s="6">
        <v>20.478950000000001</v>
      </c>
      <c r="D3959" s="6">
        <v>76</v>
      </c>
      <c r="E3959" s="6">
        <v>0</v>
      </c>
      <c r="F3959" s="6">
        <v>0</v>
      </c>
      <c r="G3959" s="6">
        <v>10</v>
      </c>
      <c r="H3959" s="6" t="s">
        <v>8239</v>
      </c>
      <c r="I3959" s="6">
        <v>531.5625</v>
      </c>
      <c r="J3959" s="2">
        <f t="shared" si="61"/>
        <v>43747.751991377314</v>
      </c>
    </row>
    <row r="3960" spans="1:10" x14ac:dyDescent="0.25">
      <c r="A3960" s="7" t="s">
        <v>8240</v>
      </c>
      <c r="B3960" s="8">
        <v>431.25</v>
      </c>
      <c r="C3960" s="8">
        <v>20.531590000000001</v>
      </c>
      <c r="D3960" s="8">
        <v>76</v>
      </c>
      <c r="E3960" s="8">
        <v>0</v>
      </c>
      <c r="F3960" s="8">
        <v>0</v>
      </c>
      <c r="G3960" s="8">
        <v>13</v>
      </c>
      <c r="H3960" s="8" t="s">
        <v>8241</v>
      </c>
      <c r="I3960" s="8">
        <v>538.875</v>
      </c>
      <c r="J3960" s="3">
        <f t="shared" si="61"/>
        <v>43747.752062800922</v>
      </c>
    </row>
    <row r="3961" spans="1:10" x14ac:dyDescent="0.25">
      <c r="A3961" s="5" t="s">
        <v>8242</v>
      </c>
      <c r="B3961" s="6">
        <v>409.375</v>
      </c>
      <c r="C3961" s="6">
        <v>20.531590000000001</v>
      </c>
      <c r="D3961" s="6">
        <v>76</v>
      </c>
      <c r="E3961" s="6">
        <v>0</v>
      </c>
      <c r="F3961" s="6">
        <v>0</v>
      </c>
      <c r="G3961" s="6">
        <v>15</v>
      </c>
      <c r="H3961" s="6" t="s">
        <v>8243</v>
      </c>
      <c r="I3961" s="6">
        <v>531.5625</v>
      </c>
      <c r="J3961" s="2">
        <f t="shared" si="61"/>
        <v>43747.752134201386</v>
      </c>
    </row>
    <row r="3962" spans="1:10" x14ac:dyDescent="0.25">
      <c r="A3962" s="7" t="s">
        <v>8244</v>
      </c>
      <c r="B3962" s="8">
        <v>409.375</v>
      </c>
      <c r="C3962" s="8">
        <v>20.478950000000001</v>
      </c>
      <c r="D3962" s="8">
        <v>76</v>
      </c>
      <c r="E3962" s="8">
        <v>0</v>
      </c>
      <c r="F3962" s="8">
        <v>0</v>
      </c>
      <c r="G3962" s="8">
        <v>21</v>
      </c>
      <c r="H3962" s="8" t="s">
        <v>8245</v>
      </c>
      <c r="I3962" s="8">
        <v>531.5625</v>
      </c>
      <c r="J3962" s="3">
        <f t="shared" si="61"/>
        <v>43747.752217546295</v>
      </c>
    </row>
    <row r="3963" spans="1:10" x14ac:dyDescent="0.25">
      <c r="A3963" s="5" t="s">
        <v>8246</v>
      </c>
      <c r="B3963" s="6">
        <v>406.25</v>
      </c>
      <c r="C3963" s="6">
        <v>20.531590000000001</v>
      </c>
      <c r="D3963" s="6">
        <v>75</v>
      </c>
      <c r="E3963" s="6">
        <v>0</v>
      </c>
      <c r="F3963" s="6">
        <v>0</v>
      </c>
      <c r="G3963" s="6">
        <v>12</v>
      </c>
      <c r="H3963" s="6" t="s">
        <v>8247</v>
      </c>
      <c r="I3963" s="6">
        <v>530.8125</v>
      </c>
      <c r="J3963" s="2">
        <f t="shared" si="61"/>
        <v>43747.752289826385</v>
      </c>
    </row>
    <row r="3964" spans="1:10" x14ac:dyDescent="0.25">
      <c r="A3964" s="7" t="s">
        <v>8248</v>
      </c>
      <c r="B3964" s="8">
        <v>406.25</v>
      </c>
      <c r="C3964" s="8">
        <v>20.531590000000001</v>
      </c>
      <c r="D3964" s="8">
        <v>76</v>
      </c>
      <c r="E3964" s="8">
        <v>0</v>
      </c>
      <c r="F3964" s="8">
        <v>0</v>
      </c>
      <c r="G3964" s="8">
        <v>13</v>
      </c>
      <c r="H3964" s="8" t="s">
        <v>8249</v>
      </c>
      <c r="I3964" s="8">
        <v>530.8125</v>
      </c>
      <c r="J3964" s="3">
        <f t="shared" si="61"/>
        <v>43747.752360405088</v>
      </c>
    </row>
    <row r="3965" spans="1:10" x14ac:dyDescent="0.25">
      <c r="A3965" s="5" t="s">
        <v>8250</v>
      </c>
      <c r="B3965" s="6">
        <v>406.25</v>
      </c>
      <c r="C3965" s="6">
        <v>20.531590000000001</v>
      </c>
      <c r="D3965" s="6">
        <v>74</v>
      </c>
      <c r="E3965" s="6">
        <v>0</v>
      </c>
      <c r="F3965" s="6">
        <v>0</v>
      </c>
      <c r="G3965" s="6">
        <v>11</v>
      </c>
      <c r="H3965" s="6" t="s">
        <v>8251</v>
      </c>
      <c r="I3965" s="6">
        <v>530.625</v>
      </c>
      <c r="J3965" s="2">
        <f t="shared" si="61"/>
        <v>43747.752431967594</v>
      </c>
    </row>
    <row r="3966" spans="1:10" x14ac:dyDescent="0.25">
      <c r="A3966" s="7" t="s">
        <v>8252</v>
      </c>
      <c r="B3966" s="8">
        <v>406.25</v>
      </c>
      <c r="C3966" s="8">
        <v>20.478950000000001</v>
      </c>
      <c r="D3966" s="8">
        <v>74</v>
      </c>
      <c r="E3966" s="8">
        <v>0</v>
      </c>
      <c r="F3966" s="8">
        <v>0</v>
      </c>
      <c r="G3966" s="8">
        <v>10</v>
      </c>
      <c r="H3966" s="8" t="s">
        <v>8253</v>
      </c>
      <c r="I3966" s="8">
        <v>530.8125</v>
      </c>
      <c r="J3966" s="3">
        <f t="shared" si="61"/>
        <v>43747.752503599535</v>
      </c>
    </row>
    <row r="3967" spans="1:10" x14ac:dyDescent="0.25">
      <c r="A3967" s="5" t="s">
        <v>8254</v>
      </c>
      <c r="B3967" s="6">
        <v>406.25</v>
      </c>
      <c r="C3967" s="6">
        <v>20.478950000000001</v>
      </c>
      <c r="D3967" s="6">
        <v>74</v>
      </c>
      <c r="E3967" s="6">
        <v>0</v>
      </c>
      <c r="F3967" s="6">
        <v>0</v>
      </c>
      <c r="G3967" s="6">
        <v>9</v>
      </c>
      <c r="H3967" s="6" t="s">
        <v>8255</v>
      </c>
      <c r="I3967" s="6">
        <v>530.625</v>
      </c>
      <c r="J3967" s="2">
        <f t="shared" si="61"/>
        <v>43747.752575416664</v>
      </c>
    </row>
    <row r="3968" spans="1:10" x14ac:dyDescent="0.25">
      <c r="A3968" s="7" t="s">
        <v>8256</v>
      </c>
      <c r="B3968" s="8">
        <v>425</v>
      </c>
      <c r="C3968" s="8">
        <v>20.531590000000001</v>
      </c>
      <c r="D3968" s="8">
        <v>74</v>
      </c>
      <c r="E3968" s="8">
        <v>0</v>
      </c>
      <c r="F3968" s="8">
        <v>0</v>
      </c>
      <c r="G3968" s="8">
        <v>20</v>
      </c>
      <c r="H3968" s="8" t="s">
        <v>8257</v>
      </c>
      <c r="I3968" s="8">
        <v>536.25</v>
      </c>
      <c r="J3968" s="3">
        <f t="shared" si="61"/>
        <v>43747.752646817127</v>
      </c>
    </row>
    <row r="3969" spans="1:10" x14ac:dyDescent="0.25">
      <c r="A3969" s="5" t="s">
        <v>8258</v>
      </c>
      <c r="B3969" s="6">
        <v>409.375</v>
      </c>
      <c r="C3969" s="6">
        <v>20.584240000000001</v>
      </c>
      <c r="D3969" s="6">
        <v>74</v>
      </c>
      <c r="E3969" s="6">
        <v>0</v>
      </c>
      <c r="F3969" s="6">
        <v>0</v>
      </c>
      <c r="G3969" s="6">
        <v>14</v>
      </c>
      <c r="H3969" s="6" t="s">
        <v>8259</v>
      </c>
      <c r="I3969" s="6">
        <v>531.375</v>
      </c>
      <c r="J3969" s="2">
        <f t="shared" si="61"/>
        <v>43747.752718055555</v>
      </c>
    </row>
    <row r="3970" spans="1:10" x14ac:dyDescent="0.25">
      <c r="A3970" s="7" t="s">
        <v>8260</v>
      </c>
      <c r="B3970" s="8">
        <v>409.375</v>
      </c>
      <c r="C3970" s="8">
        <v>20.531590000000001</v>
      </c>
      <c r="D3970" s="8">
        <v>75</v>
      </c>
      <c r="E3970" s="8">
        <v>0</v>
      </c>
      <c r="F3970" s="8">
        <v>0</v>
      </c>
      <c r="G3970" s="8">
        <v>19</v>
      </c>
      <c r="H3970" s="8" t="s">
        <v>8261</v>
      </c>
      <c r="I3970" s="8">
        <v>531.5625</v>
      </c>
      <c r="J3970" s="3">
        <f t="shared" ref="J3970:J4033" si="62">(H3970/86400000)+25569+(7/24)</f>
        <v>43747.752790347215</v>
      </c>
    </row>
    <row r="3971" spans="1:10" x14ac:dyDescent="0.25">
      <c r="A3971" s="5" t="s">
        <v>8262</v>
      </c>
      <c r="B3971" s="6">
        <v>409.375</v>
      </c>
      <c r="C3971" s="6">
        <v>20.531590000000001</v>
      </c>
      <c r="D3971" s="6">
        <v>75</v>
      </c>
      <c r="E3971" s="6">
        <v>0</v>
      </c>
      <c r="F3971" s="6">
        <v>0</v>
      </c>
      <c r="G3971" s="6">
        <v>17</v>
      </c>
      <c r="H3971" s="6" t="s">
        <v>8263</v>
      </c>
      <c r="I3971" s="6">
        <v>531.5625</v>
      </c>
      <c r="J3971" s="2">
        <f t="shared" si="62"/>
        <v>43747.752861643516</v>
      </c>
    </row>
    <row r="3972" spans="1:10" x14ac:dyDescent="0.25">
      <c r="A3972" s="7" t="s">
        <v>8264</v>
      </c>
      <c r="B3972" s="8">
        <v>443.75</v>
      </c>
      <c r="C3972" s="8">
        <v>20.478950000000001</v>
      </c>
      <c r="D3972" s="8">
        <v>72</v>
      </c>
      <c r="E3972" s="8">
        <v>0</v>
      </c>
      <c r="F3972" s="8">
        <v>0</v>
      </c>
      <c r="G3972" s="8">
        <v>8</v>
      </c>
      <c r="H3972" s="8" t="s">
        <v>8265</v>
      </c>
      <c r="I3972" s="8">
        <v>542.25</v>
      </c>
      <c r="J3972" s="3">
        <f t="shared" si="62"/>
        <v>43747.752944918982</v>
      </c>
    </row>
    <row r="3973" spans="1:10" x14ac:dyDescent="0.25">
      <c r="A3973" s="5" t="s">
        <v>8266</v>
      </c>
      <c r="B3973" s="6">
        <v>406.25</v>
      </c>
      <c r="C3973" s="6">
        <v>20.531590000000001</v>
      </c>
      <c r="D3973" s="6">
        <v>72</v>
      </c>
      <c r="E3973" s="6">
        <v>0</v>
      </c>
      <c r="F3973" s="6">
        <v>0</v>
      </c>
      <c r="G3973" s="6">
        <v>3</v>
      </c>
      <c r="H3973" s="6" t="s">
        <v>8267</v>
      </c>
      <c r="I3973" s="6">
        <v>530.8125</v>
      </c>
      <c r="J3973" s="2">
        <f t="shared" si="62"/>
        <v>43747.753016898147</v>
      </c>
    </row>
    <row r="3974" spans="1:10" x14ac:dyDescent="0.25">
      <c r="A3974" s="7" t="s">
        <v>8268</v>
      </c>
      <c r="B3974" s="8">
        <v>406.25</v>
      </c>
      <c r="C3974" s="8">
        <v>20.531590000000001</v>
      </c>
      <c r="D3974" s="8">
        <v>72</v>
      </c>
      <c r="E3974" s="8">
        <v>0</v>
      </c>
      <c r="F3974" s="8">
        <v>0</v>
      </c>
      <c r="G3974" s="8">
        <v>15</v>
      </c>
      <c r="H3974" s="8" t="s">
        <v>8269</v>
      </c>
      <c r="I3974" s="8">
        <v>530.625</v>
      </c>
      <c r="J3974" s="3">
        <f t="shared" si="62"/>
        <v>43747.753088449077</v>
      </c>
    </row>
    <row r="3975" spans="1:10" x14ac:dyDescent="0.25">
      <c r="A3975" s="5" t="s">
        <v>8270</v>
      </c>
      <c r="B3975" s="6">
        <v>406.25</v>
      </c>
      <c r="C3975" s="6">
        <v>20.531590000000001</v>
      </c>
      <c r="D3975" s="6">
        <v>73</v>
      </c>
      <c r="E3975" s="6">
        <v>0</v>
      </c>
      <c r="F3975" s="6">
        <v>0</v>
      </c>
      <c r="G3975" s="6">
        <v>11</v>
      </c>
      <c r="H3975" s="6" t="s">
        <v>8271</v>
      </c>
      <c r="I3975" s="6">
        <v>530.625</v>
      </c>
      <c r="J3975" s="2">
        <f t="shared" si="62"/>
        <v>43747.753159664346</v>
      </c>
    </row>
    <row r="3976" spans="1:10" x14ac:dyDescent="0.25">
      <c r="A3976" s="7" t="s">
        <v>8272</v>
      </c>
      <c r="B3976" s="8">
        <v>406.25</v>
      </c>
      <c r="C3976" s="8">
        <v>20.531590000000001</v>
      </c>
      <c r="D3976" s="8">
        <v>72</v>
      </c>
      <c r="E3976" s="8">
        <v>0</v>
      </c>
      <c r="F3976" s="8">
        <v>0</v>
      </c>
      <c r="G3976" s="8">
        <v>6</v>
      </c>
      <c r="H3976" s="8" t="s">
        <v>8273</v>
      </c>
      <c r="I3976" s="8">
        <v>530.625</v>
      </c>
      <c r="J3976" s="3">
        <f t="shared" si="62"/>
        <v>43747.753230960647</v>
      </c>
    </row>
    <row r="3977" spans="1:10" x14ac:dyDescent="0.25">
      <c r="A3977" s="5" t="s">
        <v>8274</v>
      </c>
      <c r="B3977" s="6">
        <v>409.375</v>
      </c>
      <c r="C3977" s="6">
        <v>20.531590000000001</v>
      </c>
      <c r="D3977" s="6">
        <v>70</v>
      </c>
      <c r="E3977" s="6">
        <v>0</v>
      </c>
      <c r="F3977" s="6">
        <v>0</v>
      </c>
      <c r="G3977" s="6">
        <v>17</v>
      </c>
      <c r="H3977" s="6" t="s">
        <v>8275</v>
      </c>
      <c r="I3977" s="6">
        <v>531.375</v>
      </c>
      <c r="J3977" s="2">
        <f t="shared" si="62"/>
        <v>43747.753303020836</v>
      </c>
    </row>
    <row r="3978" spans="1:10" x14ac:dyDescent="0.25">
      <c r="A3978" s="7" t="s">
        <v>8276</v>
      </c>
      <c r="B3978" s="8">
        <v>409.375</v>
      </c>
      <c r="C3978" s="8">
        <v>20.478950000000001</v>
      </c>
      <c r="D3978" s="8">
        <v>74</v>
      </c>
      <c r="E3978" s="8">
        <v>0</v>
      </c>
      <c r="F3978" s="8">
        <v>0</v>
      </c>
      <c r="G3978" s="8">
        <v>12</v>
      </c>
      <c r="H3978" s="8" t="s">
        <v>8277</v>
      </c>
      <c r="I3978" s="8">
        <v>531.5625</v>
      </c>
      <c r="J3978" s="3">
        <f t="shared" si="62"/>
        <v>43747.753374432868</v>
      </c>
    </row>
    <row r="3979" spans="1:10" x14ac:dyDescent="0.25">
      <c r="A3979" s="5" t="s">
        <v>8278</v>
      </c>
      <c r="B3979" s="6">
        <v>412.5</v>
      </c>
      <c r="C3979" s="6">
        <v>20.478950000000001</v>
      </c>
      <c r="D3979" s="6">
        <v>77</v>
      </c>
      <c r="E3979" s="6">
        <v>0</v>
      </c>
      <c r="F3979" s="6">
        <v>0</v>
      </c>
      <c r="G3979" s="6">
        <v>10</v>
      </c>
      <c r="H3979" s="6" t="s">
        <v>8279</v>
      </c>
      <c r="I3979" s="6">
        <v>532.3125</v>
      </c>
      <c r="J3979" s="2">
        <f t="shared" si="62"/>
        <v>43747.753446527779</v>
      </c>
    </row>
    <row r="3980" spans="1:10" x14ac:dyDescent="0.25">
      <c r="A3980" s="7" t="s">
        <v>8280</v>
      </c>
      <c r="B3980" s="8">
        <v>431.25</v>
      </c>
      <c r="C3980" s="8">
        <v>20.531590000000001</v>
      </c>
      <c r="D3980" s="8">
        <v>78</v>
      </c>
      <c r="E3980" s="8">
        <v>0</v>
      </c>
      <c r="F3980" s="8">
        <v>0</v>
      </c>
      <c r="G3980" s="8">
        <v>13</v>
      </c>
      <c r="H3980" s="8" t="s">
        <v>8281</v>
      </c>
      <c r="I3980" s="8">
        <v>538.5</v>
      </c>
      <c r="J3980" s="3">
        <f t="shared" si="62"/>
        <v>43747.753517939811</v>
      </c>
    </row>
    <row r="3981" spans="1:10" x14ac:dyDescent="0.25">
      <c r="A3981" s="5" t="s">
        <v>8282</v>
      </c>
      <c r="B3981" s="6">
        <v>415.625</v>
      </c>
      <c r="C3981" s="6">
        <v>20.531590000000001</v>
      </c>
      <c r="D3981" s="6">
        <v>78</v>
      </c>
      <c r="E3981" s="6">
        <v>0</v>
      </c>
      <c r="F3981" s="6">
        <v>0</v>
      </c>
      <c r="G3981" s="6">
        <v>22</v>
      </c>
      <c r="H3981" s="6" t="s">
        <v>8283</v>
      </c>
      <c r="I3981" s="6">
        <v>533.0625</v>
      </c>
      <c r="J3981" s="2">
        <f t="shared" si="62"/>
        <v>43747.753588541666</v>
      </c>
    </row>
    <row r="3982" spans="1:10" x14ac:dyDescent="0.25">
      <c r="A3982" s="7" t="s">
        <v>8284</v>
      </c>
      <c r="B3982" s="8">
        <v>412.5</v>
      </c>
      <c r="C3982" s="8">
        <v>20.478950000000001</v>
      </c>
      <c r="D3982" s="8">
        <v>75</v>
      </c>
      <c r="E3982" s="8">
        <v>0</v>
      </c>
      <c r="F3982" s="8">
        <v>0</v>
      </c>
      <c r="G3982" s="8">
        <v>19</v>
      </c>
      <c r="H3982" s="8" t="s">
        <v>8285</v>
      </c>
      <c r="I3982" s="8">
        <v>532.3125</v>
      </c>
      <c r="J3982" s="3">
        <f t="shared" si="62"/>
        <v>43747.753660532406</v>
      </c>
    </row>
    <row r="3983" spans="1:10" x14ac:dyDescent="0.25">
      <c r="A3983" s="5" t="s">
        <v>8286</v>
      </c>
      <c r="B3983" s="6">
        <v>412.5</v>
      </c>
      <c r="C3983" s="6">
        <v>20.478950000000001</v>
      </c>
      <c r="D3983" s="6">
        <v>75</v>
      </c>
      <c r="E3983" s="6">
        <v>0</v>
      </c>
      <c r="F3983" s="6">
        <v>0</v>
      </c>
      <c r="G3983" s="6">
        <v>14</v>
      </c>
      <c r="H3983" s="6" t="s">
        <v>8287</v>
      </c>
      <c r="I3983" s="6">
        <v>532.3125</v>
      </c>
      <c r="J3983" s="2">
        <f t="shared" si="62"/>
        <v>43747.753731944445</v>
      </c>
    </row>
    <row r="3984" spans="1:10" x14ac:dyDescent="0.25">
      <c r="A3984" s="7" t="s">
        <v>8288</v>
      </c>
      <c r="B3984" s="8">
        <v>412.5</v>
      </c>
      <c r="C3984" s="8">
        <v>20.531590000000001</v>
      </c>
      <c r="D3984" s="8">
        <v>74</v>
      </c>
      <c r="E3984" s="8">
        <v>0</v>
      </c>
      <c r="F3984" s="8">
        <v>0</v>
      </c>
      <c r="G3984" s="8">
        <v>9</v>
      </c>
      <c r="H3984" s="8" t="s">
        <v>8289</v>
      </c>
      <c r="I3984" s="8">
        <v>532.3125</v>
      </c>
      <c r="J3984" s="3">
        <f t="shared" si="62"/>
        <v>43747.753803240739</v>
      </c>
    </row>
    <row r="3985" spans="1:10" x14ac:dyDescent="0.25">
      <c r="A3985" s="5" t="s">
        <v>8290</v>
      </c>
      <c r="B3985" s="6">
        <v>409.375</v>
      </c>
      <c r="C3985" s="6">
        <v>20.531590000000001</v>
      </c>
      <c r="D3985" s="6">
        <v>76</v>
      </c>
      <c r="E3985" s="6">
        <v>0</v>
      </c>
      <c r="F3985" s="6">
        <v>0</v>
      </c>
      <c r="G3985" s="6">
        <v>10</v>
      </c>
      <c r="H3985" s="6" t="s">
        <v>8291</v>
      </c>
      <c r="I3985" s="6">
        <v>531.5625</v>
      </c>
      <c r="J3985" s="2">
        <f t="shared" si="62"/>
        <v>43747.753875347218</v>
      </c>
    </row>
    <row r="3986" spans="1:10" x14ac:dyDescent="0.25">
      <c r="A3986" s="7" t="s">
        <v>8292</v>
      </c>
      <c r="B3986" s="8">
        <v>406.25</v>
      </c>
      <c r="C3986" s="8">
        <v>20.531590000000001</v>
      </c>
      <c r="D3986" s="8">
        <v>75</v>
      </c>
      <c r="E3986" s="8">
        <v>0</v>
      </c>
      <c r="F3986" s="8">
        <v>0</v>
      </c>
      <c r="G3986" s="8">
        <v>9</v>
      </c>
      <c r="H3986" s="8" t="s">
        <v>8293</v>
      </c>
      <c r="I3986" s="8">
        <v>530.8125</v>
      </c>
      <c r="J3986" s="3">
        <f t="shared" si="62"/>
        <v>43747.753946643519</v>
      </c>
    </row>
    <row r="3987" spans="1:10" x14ac:dyDescent="0.25">
      <c r="A3987" s="5" t="s">
        <v>8294</v>
      </c>
      <c r="B3987" s="6">
        <v>406.25</v>
      </c>
      <c r="C3987" s="6">
        <v>20.531590000000001</v>
      </c>
      <c r="D3987" s="6">
        <v>73</v>
      </c>
      <c r="E3987" s="6">
        <v>0</v>
      </c>
      <c r="F3987" s="6">
        <v>0</v>
      </c>
      <c r="G3987" s="6">
        <v>12</v>
      </c>
      <c r="H3987" s="6" t="s">
        <v>8295</v>
      </c>
      <c r="I3987" s="6">
        <v>530.8125</v>
      </c>
      <c r="J3987" s="2">
        <f t="shared" si="62"/>
        <v>43747.754018055552</v>
      </c>
    </row>
    <row r="3988" spans="1:10" x14ac:dyDescent="0.25">
      <c r="A3988" s="7" t="s">
        <v>8296</v>
      </c>
      <c r="B3988" s="8">
        <v>406.25</v>
      </c>
      <c r="C3988" s="8">
        <v>20.531590000000001</v>
      </c>
      <c r="D3988" s="8">
        <v>72</v>
      </c>
      <c r="E3988" s="8">
        <v>0</v>
      </c>
      <c r="F3988" s="8">
        <v>0</v>
      </c>
      <c r="G3988" s="8">
        <v>16</v>
      </c>
      <c r="H3988" s="8" t="s">
        <v>8297</v>
      </c>
      <c r="I3988" s="8">
        <v>530.8125</v>
      </c>
      <c r="J3988" s="3">
        <f t="shared" si="62"/>
        <v>43747.75409016203</v>
      </c>
    </row>
    <row r="3989" spans="1:10" x14ac:dyDescent="0.25">
      <c r="A3989" s="5" t="s">
        <v>8298</v>
      </c>
      <c r="B3989" s="6">
        <v>425</v>
      </c>
      <c r="C3989" s="6">
        <v>20.531590000000001</v>
      </c>
      <c r="D3989" s="6">
        <v>72</v>
      </c>
      <c r="E3989" s="6">
        <v>0</v>
      </c>
      <c r="F3989" s="6">
        <v>0</v>
      </c>
      <c r="G3989" s="6">
        <v>14</v>
      </c>
      <c r="H3989" s="6" t="s">
        <v>8299</v>
      </c>
      <c r="I3989" s="6">
        <v>536.25</v>
      </c>
      <c r="J3989" s="2">
        <f t="shared" si="62"/>
        <v>43747.754161597222</v>
      </c>
    </row>
    <row r="3990" spans="1:10" x14ac:dyDescent="0.25">
      <c r="A3990" s="7" t="s">
        <v>8300</v>
      </c>
      <c r="B3990" s="8">
        <v>406.25</v>
      </c>
      <c r="C3990" s="8">
        <v>20.478950000000001</v>
      </c>
      <c r="D3990" s="8">
        <v>72</v>
      </c>
      <c r="E3990" s="8">
        <v>0</v>
      </c>
      <c r="F3990" s="8">
        <v>0</v>
      </c>
      <c r="G3990" s="8">
        <v>14</v>
      </c>
      <c r="H3990" s="8" t="s">
        <v>8301</v>
      </c>
      <c r="I3990" s="8">
        <v>530.625</v>
      </c>
      <c r="J3990" s="3">
        <f t="shared" si="62"/>
        <v>43747.754244814809</v>
      </c>
    </row>
    <row r="3991" spans="1:10" x14ac:dyDescent="0.25">
      <c r="A3991" s="5" t="s">
        <v>8302</v>
      </c>
      <c r="B3991" s="6">
        <v>406.25</v>
      </c>
      <c r="C3991" s="6">
        <v>20.531590000000001</v>
      </c>
      <c r="D3991" s="6">
        <v>72</v>
      </c>
      <c r="E3991" s="6">
        <v>0</v>
      </c>
      <c r="F3991" s="6">
        <v>0</v>
      </c>
      <c r="G3991" s="6">
        <v>12</v>
      </c>
      <c r="H3991" s="6" t="s">
        <v>8303</v>
      </c>
      <c r="I3991" s="6">
        <v>530.625</v>
      </c>
      <c r="J3991" s="2">
        <f t="shared" si="62"/>
        <v>43747.754340127314</v>
      </c>
    </row>
    <row r="3992" spans="1:10" x14ac:dyDescent="0.25">
      <c r="A3992" s="7" t="s">
        <v>8304</v>
      </c>
      <c r="B3992" s="8">
        <v>403.125</v>
      </c>
      <c r="C3992" s="8">
        <v>20.478950000000001</v>
      </c>
      <c r="D3992" s="8">
        <v>72</v>
      </c>
      <c r="E3992" s="8">
        <v>0</v>
      </c>
      <c r="F3992" s="8">
        <v>0</v>
      </c>
      <c r="G3992" s="8">
        <v>12</v>
      </c>
      <c r="H3992" s="8" t="s">
        <v>8305</v>
      </c>
      <c r="I3992" s="8">
        <v>529.875</v>
      </c>
      <c r="J3992" s="3">
        <f t="shared" si="62"/>
        <v>43747.754411562499</v>
      </c>
    </row>
    <row r="3993" spans="1:10" x14ac:dyDescent="0.25">
      <c r="A3993" s="5" t="s">
        <v>8306</v>
      </c>
      <c r="B3993" s="6">
        <v>403.125</v>
      </c>
      <c r="C3993" s="6">
        <v>20.478950000000001</v>
      </c>
      <c r="D3993" s="6">
        <v>72</v>
      </c>
      <c r="E3993" s="6">
        <v>0</v>
      </c>
      <c r="F3993" s="6">
        <v>0</v>
      </c>
      <c r="G3993" s="6">
        <v>16</v>
      </c>
      <c r="H3993" s="6" t="s">
        <v>8307</v>
      </c>
      <c r="I3993" s="6">
        <v>529.125</v>
      </c>
      <c r="J3993" s="2">
        <f t="shared" si="62"/>
        <v>43747.754483541663</v>
      </c>
    </row>
    <row r="3994" spans="1:10" x14ac:dyDescent="0.25">
      <c r="A3994" s="7" t="s">
        <v>8308</v>
      </c>
      <c r="B3994" s="8">
        <v>403.125</v>
      </c>
      <c r="C3994" s="8">
        <v>20.531590000000001</v>
      </c>
      <c r="D3994" s="8">
        <v>73</v>
      </c>
      <c r="E3994" s="8">
        <v>0</v>
      </c>
      <c r="F3994" s="8">
        <v>0</v>
      </c>
      <c r="G3994" s="8">
        <v>13</v>
      </c>
      <c r="H3994" s="8" t="s">
        <v>8309</v>
      </c>
      <c r="I3994" s="8">
        <v>529.125</v>
      </c>
      <c r="J3994" s="3">
        <f t="shared" si="62"/>
        <v>43747.754555081017</v>
      </c>
    </row>
    <row r="3995" spans="1:10" x14ac:dyDescent="0.25">
      <c r="A3995" s="5" t="s">
        <v>8310</v>
      </c>
      <c r="B3995" s="6">
        <v>403.125</v>
      </c>
      <c r="C3995" s="6">
        <v>20.531590000000001</v>
      </c>
      <c r="D3995" s="6">
        <v>74</v>
      </c>
      <c r="E3995" s="6">
        <v>0</v>
      </c>
      <c r="F3995" s="6">
        <v>0</v>
      </c>
      <c r="G3995" s="6">
        <v>8</v>
      </c>
      <c r="H3995" s="6" t="s">
        <v>8311</v>
      </c>
      <c r="I3995" s="6">
        <v>529.125</v>
      </c>
      <c r="J3995" s="2">
        <f t="shared" si="62"/>
        <v>43747.75462623842</v>
      </c>
    </row>
    <row r="3996" spans="1:10" x14ac:dyDescent="0.25">
      <c r="A3996" s="7" t="s">
        <v>8312</v>
      </c>
      <c r="B3996" s="8">
        <v>400</v>
      </c>
      <c r="C3996" s="8">
        <v>20.478950000000001</v>
      </c>
      <c r="D3996" s="8">
        <v>74</v>
      </c>
      <c r="E3996" s="8">
        <v>0</v>
      </c>
      <c r="F3996" s="8">
        <v>0</v>
      </c>
      <c r="G3996" s="8">
        <v>10</v>
      </c>
      <c r="H3996" s="8" t="s">
        <v>8313</v>
      </c>
      <c r="I3996" s="8">
        <v>528.375</v>
      </c>
      <c r="J3996" s="3">
        <f t="shared" si="62"/>
        <v>43747.754709710651</v>
      </c>
    </row>
    <row r="3997" spans="1:10" x14ac:dyDescent="0.25">
      <c r="A3997" s="5" t="s">
        <v>8314</v>
      </c>
      <c r="B3997" s="6">
        <v>400</v>
      </c>
      <c r="C3997" s="6">
        <v>20.531590000000001</v>
      </c>
      <c r="D3997" s="6">
        <v>73</v>
      </c>
      <c r="E3997" s="6">
        <v>0</v>
      </c>
      <c r="F3997" s="6">
        <v>0</v>
      </c>
      <c r="G3997" s="6">
        <v>13</v>
      </c>
      <c r="H3997" s="6" t="s">
        <v>8315</v>
      </c>
      <c r="I3997" s="6">
        <v>528.375</v>
      </c>
      <c r="J3997" s="2">
        <f t="shared" si="62"/>
        <v>43747.754781226853</v>
      </c>
    </row>
    <row r="3998" spans="1:10" x14ac:dyDescent="0.25">
      <c r="A3998" s="7" t="s">
        <v>8316</v>
      </c>
      <c r="B3998" s="8">
        <v>400</v>
      </c>
      <c r="C3998" s="8">
        <v>20.478950000000001</v>
      </c>
      <c r="D3998" s="8">
        <v>73</v>
      </c>
      <c r="E3998" s="8">
        <v>0</v>
      </c>
      <c r="F3998" s="8">
        <v>0</v>
      </c>
      <c r="G3998" s="8">
        <v>20</v>
      </c>
      <c r="H3998" s="8" t="s">
        <v>8317</v>
      </c>
      <c r="I3998" s="8">
        <v>528.375</v>
      </c>
      <c r="J3998" s="3">
        <f t="shared" si="62"/>
        <v>43747.754853252314</v>
      </c>
    </row>
    <row r="3999" spans="1:10" x14ac:dyDescent="0.25">
      <c r="A3999" s="5" t="s">
        <v>8318</v>
      </c>
      <c r="B3999" s="6">
        <v>396.875</v>
      </c>
      <c r="C3999" s="6">
        <v>20.531590000000001</v>
      </c>
      <c r="D3999" s="6">
        <v>73</v>
      </c>
      <c r="E3999" s="6">
        <v>0</v>
      </c>
      <c r="F3999" s="6">
        <v>0</v>
      </c>
      <c r="G3999" s="6">
        <v>15</v>
      </c>
      <c r="H3999" s="6" t="s">
        <v>8319</v>
      </c>
      <c r="I3999" s="6">
        <v>527.4375</v>
      </c>
      <c r="J3999" s="2">
        <f t="shared" si="62"/>
        <v>43747.754924409724</v>
      </c>
    </row>
    <row r="4000" spans="1:10" x14ac:dyDescent="0.25">
      <c r="A4000" s="7" t="s">
        <v>8320</v>
      </c>
      <c r="B4000" s="8">
        <v>396.875</v>
      </c>
      <c r="C4000" s="8">
        <v>20.478950000000001</v>
      </c>
      <c r="D4000" s="8">
        <v>74</v>
      </c>
      <c r="E4000" s="8">
        <v>0</v>
      </c>
      <c r="F4000" s="8">
        <v>0</v>
      </c>
      <c r="G4000" s="8">
        <v>14</v>
      </c>
      <c r="H4000" s="8" t="s">
        <v>8321</v>
      </c>
      <c r="I4000" s="8">
        <v>527.4375</v>
      </c>
      <c r="J4000" s="3">
        <f t="shared" si="62"/>
        <v>43747.754995821757</v>
      </c>
    </row>
    <row r="4001" spans="1:10" x14ac:dyDescent="0.25">
      <c r="A4001" s="5" t="s">
        <v>8322</v>
      </c>
      <c r="B4001" s="6">
        <v>396.875</v>
      </c>
      <c r="C4001" s="6">
        <v>20.531590000000001</v>
      </c>
      <c r="D4001" s="6">
        <v>74</v>
      </c>
      <c r="E4001" s="6">
        <v>0</v>
      </c>
      <c r="F4001" s="6">
        <v>0</v>
      </c>
      <c r="G4001" s="6">
        <v>21</v>
      </c>
      <c r="H4001" s="6" t="s">
        <v>8323</v>
      </c>
      <c r="I4001" s="6">
        <v>527.4375</v>
      </c>
      <c r="J4001" s="2">
        <f t="shared" si="62"/>
        <v>43747.755067175924</v>
      </c>
    </row>
    <row r="4002" spans="1:10" x14ac:dyDescent="0.25">
      <c r="A4002" s="7" t="s">
        <v>8324</v>
      </c>
      <c r="B4002" s="8">
        <v>393.75</v>
      </c>
      <c r="C4002" s="8">
        <v>20.478950000000001</v>
      </c>
      <c r="D4002" s="8">
        <v>75</v>
      </c>
      <c r="E4002" s="8">
        <v>0</v>
      </c>
      <c r="F4002" s="8">
        <v>0</v>
      </c>
      <c r="G4002" s="8">
        <v>9</v>
      </c>
      <c r="H4002" s="8" t="s">
        <v>8325</v>
      </c>
      <c r="I4002" s="8">
        <v>526.6875</v>
      </c>
      <c r="J4002" s="3">
        <f t="shared" si="62"/>
        <v>43747.755139282403</v>
      </c>
    </row>
    <row r="4003" spans="1:10" x14ac:dyDescent="0.25">
      <c r="A4003" s="5" t="s">
        <v>8326</v>
      </c>
      <c r="B4003" s="6">
        <v>393.75</v>
      </c>
      <c r="C4003" s="6">
        <v>20.478950000000001</v>
      </c>
      <c r="D4003" s="6">
        <v>76</v>
      </c>
      <c r="E4003" s="6">
        <v>0</v>
      </c>
      <c r="F4003" s="6">
        <v>0</v>
      </c>
      <c r="G4003" s="6">
        <v>17</v>
      </c>
      <c r="H4003" s="6" t="s">
        <v>8327</v>
      </c>
      <c r="I4003" s="6">
        <v>526.6875</v>
      </c>
      <c r="J4003" s="2">
        <f t="shared" si="62"/>
        <v>43747.755210520831</v>
      </c>
    </row>
    <row r="4004" spans="1:10" x14ac:dyDescent="0.25">
      <c r="A4004" s="7" t="s">
        <v>8328</v>
      </c>
      <c r="B4004" s="8">
        <v>393.75</v>
      </c>
      <c r="C4004" s="8">
        <v>20.531590000000001</v>
      </c>
      <c r="D4004" s="8">
        <v>76</v>
      </c>
      <c r="E4004" s="8">
        <v>0</v>
      </c>
      <c r="F4004" s="8">
        <v>0</v>
      </c>
      <c r="G4004" s="8">
        <v>13</v>
      </c>
      <c r="H4004" s="8" t="s">
        <v>8329</v>
      </c>
      <c r="I4004" s="8">
        <v>526.6875</v>
      </c>
      <c r="J4004" s="3">
        <f t="shared" si="62"/>
        <v>43747.755281921294</v>
      </c>
    </row>
    <row r="4005" spans="1:10" x14ac:dyDescent="0.25">
      <c r="A4005" s="5" t="s">
        <v>8330</v>
      </c>
      <c r="B4005" s="6">
        <v>393.75</v>
      </c>
      <c r="C4005" s="6">
        <v>20.531590000000001</v>
      </c>
      <c r="D4005" s="6">
        <v>77</v>
      </c>
      <c r="E4005" s="6">
        <v>0</v>
      </c>
      <c r="F4005" s="6">
        <v>0</v>
      </c>
      <c r="G4005" s="6">
        <v>13</v>
      </c>
      <c r="H4005" s="6" t="s">
        <v>8331</v>
      </c>
      <c r="I4005" s="6">
        <v>526.6875</v>
      </c>
      <c r="J4005" s="2">
        <f t="shared" si="62"/>
        <v>43747.755353865738</v>
      </c>
    </row>
    <row r="4006" spans="1:10" x14ac:dyDescent="0.25">
      <c r="A4006" s="7" t="s">
        <v>8332</v>
      </c>
      <c r="B4006" s="8">
        <v>393.75</v>
      </c>
      <c r="C4006" s="8">
        <v>20.478950000000001</v>
      </c>
      <c r="D4006" s="8">
        <v>77</v>
      </c>
      <c r="E4006" s="8">
        <v>0</v>
      </c>
      <c r="F4006" s="8">
        <v>0</v>
      </c>
      <c r="G4006" s="8">
        <v>16</v>
      </c>
      <c r="H4006" s="8" t="s">
        <v>8333</v>
      </c>
      <c r="I4006" s="8">
        <v>526.6875</v>
      </c>
      <c r="J4006" s="3">
        <f t="shared" si="62"/>
        <v>43747.755424525465</v>
      </c>
    </row>
    <row r="4007" spans="1:10" x14ac:dyDescent="0.25">
      <c r="A4007" s="5" t="s">
        <v>8334</v>
      </c>
      <c r="B4007" s="6">
        <v>393.75</v>
      </c>
      <c r="C4007" s="6">
        <v>20.531590000000001</v>
      </c>
      <c r="D4007" s="6">
        <v>76</v>
      </c>
      <c r="E4007" s="6">
        <v>0</v>
      </c>
      <c r="F4007" s="6">
        <v>0</v>
      </c>
      <c r="G4007" s="6">
        <v>14</v>
      </c>
      <c r="H4007" s="6" t="s">
        <v>8335</v>
      </c>
      <c r="I4007" s="6">
        <v>526.6875</v>
      </c>
      <c r="J4007" s="2">
        <f t="shared" si="62"/>
        <v>43747.755508761569</v>
      </c>
    </row>
    <row r="4008" spans="1:10" x14ac:dyDescent="0.25">
      <c r="A4008" s="7" t="s">
        <v>8336</v>
      </c>
      <c r="B4008" s="8">
        <v>393.75</v>
      </c>
      <c r="C4008" s="8">
        <v>20.531590000000001</v>
      </c>
      <c r="D4008" s="8">
        <v>76</v>
      </c>
      <c r="E4008" s="8">
        <v>0</v>
      </c>
      <c r="F4008" s="8">
        <v>0</v>
      </c>
      <c r="G4008" s="8">
        <v>18</v>
      </c>
      <c r="H4008" s="8" t="s">
        <v>8337</v>
      </c>
      <c r="I4008" s="8">
        <v>526.6875</v>
      </c>
      <c r="J4008" s="3">
        <f t="shared" si="62"/>
        <v>43747.755580081015</v>
      </c>
    </row>
    <row r="4009" spans="1:10" x14ac:dyDescent="0.25">
      <c r="A4009" s="5" t="s">
        <v>8338</v>
      </c>
      <c r="B4009" s="6">
        <v>393.75</v>
      </c>
      <c r="C4009" s="6">
        <v>20.584240000000001</v>
      </c>
      <c r="D4009" s="6">
        <v>76</v>
      </c>
      <c r="E4009" s="6">
        <v>0</v>
      </c>
      <c r="F4009" s="6">
        <v>0</v>
      </c>
      <c r="G4009" s="6">
        <v>16</v>
      </c>
      <c r="H4009" s="6" t="s">
        <v>8339</v>
      </c>
      <c r="I4009" s="6">
        <v>526.6875</v>
      </c>
      <c r="J4009" s="2">
        <f t="shared" si="62"/>
        <v>43747.755651481479</v>
      </c>
    </row>
    <row r="4010" spans="1:10" x14ac:dyDescent="0.25">
      <c r="A4010" s="7" t="s">
        <v>8340</v>
      </c>
      <c r="B4010" s="8">
        <v>393.75</v>
      </c>
      <c r="C4010" s="8">
        <v>20.478950000000001</v>
      </c>
      <c r="D4010" s="8">
        <v>76</v>
      </c>
      <c r="E4010" s="8">
        <v>0</v>
      </c>
      <c r="F4010" s="8">
        <v>0</v>
      </c>
      <c r="G4010" s="8">
        <v>17</v>
      </c>
      <c r="H4010" s="8" t="s">
        <v>8341</v>
      </c>
      <c r="I4010" s="8">
        <v>526.6875</v>
      </c>
      <c r="J4010" s="3">
        <f t="shared" si="62"/>
        <v>43747.755735844905</v>
      </c>
    </row>
    <row r="4011" spans="1:10" x14ac:dyDescent="0.25">
      <c r="A4011" s="5" t="s">
        <v>8342</v>
      </c>
      <c r="B4011" s="6">
        <v>393.75</v>
      </c>
      <c r="C4011" s="6">
        <v>20.478950000000001</v>
      </c>
      <c r="D4011" s="6">
        <v>76</v>
      </c>
      <c r="E4011" s="6">
        <v>0</v>
      </c>
      <c r="F4011" s="6">
        <v>0</v>
      </c>
      <c r="G4011" s="6">
        <v>16</v>
      </c>
      <c r="H4011" s="6" t="s">
        <v>8343</v>
      </c>
      <c r="I4011" s="6">
        <v>526.6875</v>
      </c>
      <c r="J4011" s="2">
        <f t="shared" si="62"/>
        <v>43747.755806006942</v>
      </c>
    </row>
    <row r="4012" spans="1:10" x14ac:dyDescent="0.25">
      <c r="A4012" s="7" t="s">
        <v>8344</v>
      </c>
      <c r="B4012" s="8">
        <v>393.75</v>
      </c>
      <c r="C4012" s="8">
        <v>20.478950000000001</v>
      </c>
      <c r="D4012" s="8">
        <v>75</v>
      </c>
      <c r="E4012" s="8">
        <v>0</v>
      </c>
      <c r="F4012" s="8">
        <v>0</v>
      </c>
      <c r="G4012" s="8">
        <v>19</v>
      </c>
      <c r="H4012" s="8" t="s">
        <v>8345</v>
      </c>
      <c r="I4012" s="8">
        <v>526.6875</v>
      </c>
      <c r="J4012" s="3">
        <f t="shared" si="62"/>
        <v>43747.755878217591</v>
      </c>
    </row>
    <row r="4013" spans="1:10" x14ac:dyDescent="0.25">
      <c r="A4013" s="5" t="s">
        <v>8346</v>
      </c>
      <c r="B4013" s="6">
        <v>393.75</v>
      </c>
      <c r="C4013" s="6">
        <v>20.531590000000001</v>
      </c>
      <c r="D4013" s="6">
        <v>74</v>
      </c>
      <c r="E4013" s="6">
        <v>0</v>
      </c>
      <c r="F4013" s="6">
        <v>0</v>
      </c>
      <c r="G4013" s="6">
        <v>12</v>
      </c>
      <c r="H4013" s="6" t="s">
        <v>8347</v>
      </c>
      <c r="I4013" s="6">
        <v>526.6875</v>
      </c>
      <c r="J4013" s="2">
        <f t="shared" si="62"/>
        <v>43747.755949525461</v>
      </c>
    </row>
    <row r="4014" spans="1:10" x14ac:dyDescent="0.25">
      <c r="A4014" s="7" t="s">
        <v>8348</v>
      </c>
      <c r="B4014" s="8">
        <v>412.5</v>
      </c>
      <c r="C4014" s="8">
        <v>20.478950000000001</v>
      </c>
      <c r="D4014" s="8">
        <v>74</v>
      </c>
      <c r="E4014" s="8">
        <v>0</v>
      </c>
      <c r="F4014" s="8">
        <v>0</v>
      </c>
      <c r="G4014" s="8">
        <v>20</v>
      </c>
      <c r="H4014" s="8" t="s">
        <v>8349</v>
      </c>
      <c r="I4014" s="8">
        <v>532.3125</v>
      </c>
      <c r="J4014" s="3">
        <f t="shared" si="62"/>
        <v>43747.756021724534</v>
      </c>
    </row>
    <row r="4015" spans="1:10" x14ac:dyDescent="0.25">
      <c r="A4015" s="5" t="s">
        <v>8350</v>
      </c>
      <c r="B4015" s="6">
        <v>393.75</v>
      </c>
      <c r="C4015" s="6">
        <v>20.478950000000001</v>
      </c>
      <c r="D4015" s="6">
        <v>75</v>
      </c>
      <c r="E4015" s="6">
        <v>0</v>
      </c>
      <c r="F4015" s="6">
        <v>0</v>
      </c>
      <c r="G4015" s="6">
        <v>8</v>
      </c>
      <c r="H4015" s="6" t="s">
        <v>8351</v>
      </c>
      <c r="I4015" s="6">
        <v>526.6875</v>
      </c>
      <c r="J4015" s="2">
        <f t="shared" si="62"/>
        <v>43747.756092986114</v>
      </c>
    </row>
    <row r="4016" spans="1:10" x14ac:dyDescent="0.25">
      <c r="A4016" s="7" t="s">
        <v>8352</v>
      </c>
      <c r="B4016" s="8">
        <v>393.75</v>
      </c>
      <c r="C4016" s="8">
        <v>20.531590000000001</v>
      </c>
      <c r="D4016" s="8">
        <v>75</v>
      </c>
      <c r="E4016" s="8">
        <v>0</v>
      </c>
      <c r="F4016" s="8">
        <v>0</v>
      </c>
      <c r="G4016" s="8">
        <v>14</v>
      </c>
      <c r="H4016" s="8" t="s">
        <v>8353</v>
      </c>
      <c r="I4016" s="8">
        <v>526.6875</v>
      </c>
      <c r="J4016" s="3">
        <f t="shared" si="62"/>
        <v>43747.756164259255</v>
      </c>
    </row>
    <row r="4017" spans="1:10" x14ac:dyDescent="0.25">
      <c r="A4017" s="5" t="s">
        <v>8354</v>
      </c>
      <c r="B4017" s="6">
        <v>393.75</v>
      </c>
      <c r="C4017" s="6">
        <v>20.531590000000001</v>
      </c>
      <c r="D4017" s="6">
        <v>75</v>
      </c>
      <c r="E4017" s="6">
        <v>0</v>
      </c>
      <c r="F4017" s="6">
        <v>0</v>
      </c>
      <c r="G4017" s="6">
        <v>10</v>
      </c>
      <c r="H4017" s="6" t="s">
        <v>8355</v>
      </c>
      <c r="I4017" s="6">
        <v>526.6875</v>
      </c>
      <c r="J4017" s="2">
        <f t="shared" si="62"/>
        <v>43747.756235624998</v>
      </c>
    </row>
    <row r="4018" spans="1:10" x14ac:dyDescent="0.25">
      <c r="A4018" s="7" t="s">
        <v>8356</v>
      </c>
      <c r="B4018" s="8">
        <v>393.75</v>
      </c>
      <c r="C4018" s="8">
        <v>20.478950000000001</v>
      </c>
      <c r="D4018" s="8">
        <v>75</v>
      </c>
      <c r="E4018" s="8">
        <v>0</v>
      </c>
      <c r="F4018" s="8">
        <v>0</v>
      </c>
      <c r="G4018" s="8">
        <v>17</v>
      </c>
      <c r="H4018" s="8" t="s">
        <v>8357</v>
      </c>
      <c r="I4018" s="8">
        <v>526.6875</v>
      </c>
      <c r="J4018" s="3">
        <f t="shared" si="62"/>
        <v>43747.756308321761</v>
      </c>
    </row>
    <row r="4019" spans="1:10" x14ac:dyDescent="0.25">
      <c r="A4019" s="5" t="s">
        <v>8358</v>
      </c>
      <c r="B4019" s="6">
        <v>396.875</v>
      </c>
      <c r="C4019" s="6">
        <v>20.478950000000001</v>
      </c>
      <c r="D4019" s="6">
        <v>76</v>
      </c>
      <c r="E4019" s="6">
        <v>0</v>
      </c>
      <c r="F4019" s="6">
        <v>0</v>
      </c>
      <c r="G4019" s="6">
        <v>12</v>
      </c>
      <c r="H4019" s="6" t="s">
        <v>8359</v>
      </c>
      <c r="I4019" s="6">
        <v>527.4375</v>
      </c>
      <c r="J4019" s="2">
        <f t="shared" si="62"/>
        <v>43747.756379027771</v>
      </c>
    </row>
    <row r="4020" spans="1:10" x14ac:dyDescent="0.25">
      <c r="A4020" s="7" t="s">
        <v>8360</v>
      </c>
      <c r="B4020" s="8">
        <v>396.875</v>
      </c>
      <c r="C4020" s="8">
        <v>20.531590000000001</v>
      </c>
      <c r="D4020" s="8">
        <v>75</v>
      </c>
      <c r="E4020" s="8">
        <v>0</v>
      </c>
      <c r="F4020" s="8">
        <v>0</v>
      </c>
      <c r="G4020" s="8">
        <v>24</v>
      </c>
      <c r="H4020" s="8" t="s">
        <v>8361</v>
      </c>
      <c r="I4020" s="8">
        <v>527.4375</v>
      </c>
      <c r="J4020" s="3">
        <f t="shared" si="62"/>
        <v>43747.756450451387</v>
      </c>
    </row>
    <row r="4021" spans="1:10" x14ac:dyDescent="0.25">
      <c r="A4021" s="5" t="s">
        <v>8362</v>
      </c>
      <c r="B4021" s="6">
        <v>400</v>
      </c>
      <c r="C4021" s="6">
        <v>20.531590000000001</v>
      </c>
      <c r="D4021" s="6">
        <v>75</v>
      </c>
      <c r="E4021" s="6">
        <v>0</v>
      </c>
      <c r="F4021" s="6">
        <v>0</v>
      </c>
      <c r="G4021" s="6">
        <v>16</v>
      </c>
      <c r="H4021" s="6" t="s">
        <v>8363</v>
      </c>
      <c r="I4021" s="6">
        <v>528.1875</v>
      </c>
      <c r="J4021" s="2">
        <f t="shared" si="62"/>
        <v>43747.756521759256</v>
      </c>
    </row>
    <row r="4022" spans="1:10" x14ac:dyDescent="0.25">
      <c r="A4022" s="7" t="s">
        <v>8364</v>
      </c>
      <c r="B4022" s="8">
        <v>400</v>
      </c>
      <c r="C4022" s="8">
        <v>20.478950000000001</v>
      </c>
      <c r="D4022" s="8">
        <v>75</v>
      </c>
      <c r="E4022" s="8">
        <v>0</v>
      </c>
      <c r="F4022" s="8">
        <v>0</v>
      </c>
      <c r="G4022" s="8">
        <v>15</v>
      </c>
      <c r="H4022" s="8" t="s">
        <v>8365</v>
      </c>
      <c r="I4022" s="8">
        <v>528.1875</v>
      </c>
      <c r="J4022" s="3">
        <f t="shared" si="62"/>
        <v>43747.756593854159</v>
      </c>
    </row>
    <row r="4023" spans="1:10" x14ac:dyDescent="0.25">
      <c r="A4023" s="5" t="s">
        <v>8366</v>
      </c>
      <c r="B4023" s="6">
        <v>400</v>
      </c>
      <c r="C4023" s="6">
        <v>20.531590000000001</v>
      </c>
      <c r="D4023" s="6">
        <v>76</v>
      </c>
      <c r="E4023" s="6">
        <v>0</v>
      </c>
      <c r="F4023" s="6">
        <v>0</v>
      </c>
      <c r="G4023" s="6">
        <v>20</v>
      </c>
      <c r="H4023" s="6" t="s">
        <v>8367</v>
      </c>
      <c r="I4023" s="6">
        <v>528.1875</v>
      </c>
      <c r="J4023" s="2">
        <f t="shared" si="62"/>
        <v>43747.756665208326</v>
      </c>
    </row>
    <row r="4024" spans="1:10" x14ac:dyDescent="0.25">
      <c r="A4024" s="7" t="s">
        <v>8368</v>
      </c>
      <c r="B4024" s="8">
        <v>403.125</v>
      </c>
      <c r="C4024" s="8">
        <v>20.531590000000001</v>
      </c>
      <c r="D4024" s="8">
        <v>76</v>
      </c>
      <c r="E4024" s="8">
        <v>0</v>
      </c>
      <c r="F4024" s="8">
        <v>0</v>
      </c>
      <c r="G4024" s="8">
        <v>18</v>
      </c>
      <c r="H4024" s="8" t="s">
        <v>8369</v>
      </c>
      <c r="I4024" s="8">
        <v>529.125</v>
      </c>
      <c r="J4024" s="3">
        <f t="shared" si="62"/>
        <v>43747.756762708326</v>
      </c>
    </row>
    <row r="4025" spans="1:10" x14ac:dyDescent="0.25">
      <c r="A4025" s="5" t="s">
        <v>8370</v>
      </c>
      <c r="B4025" s="6">
        <v>418.75</v>
      </c>
      <c r="C4025" s="6">
        <v>20.531590000000001</v>
      </c>
      <c r="D4025" s="6">
        <v>76</v>
      </c>
      <c r="E4025" s="6">
        <v>0</v>
      </c>
      <c r="F4025" s="6">
        <v>0</v>
      </c>
      <c r="G4025" s="6">
        <v>22</v>
      </c>
      <c r="H4025" s="6" t="s">
        <v>8371</v>
      </c>
      <c r="I4025" s="6">
        <v>534.9375</v>
      </c>
      <c r="J4025" s="2">
        <f t="shared" si="62"/>
        <v>43747.756843969903</v>
      </c>
    </row>
    <row r="4026" spans="1:10" x14ac:dyDescent="0.25">
      <c r="A4026" s="7" t="s">
        <v>8372</v>
      </c>
      <c r="B4026" s="8">
        <v>403.125</v>
      </c>
      <c r="C4026" s="8">
        <v>20.478950000000001</v>
      </c>
      <c r="D4026" s="8">
        <v>77</v>
      </c>
      <c r="E4026" s="8">
        <v>0</v>
      </c>
      <c r="F4026" s="8">
        <v>0</v>
      </c>
      <c r="G4026" s="8">
        <v>8</v>
      </c>
      <c r="H4026" s="8" t="s">
        <v>8373</v>
      </c>
      <c r="I4026" s="8">
        <v>529.125</v>
      </c>
      <c r="J4026" s="3">
        <f t="shared" si="62"/>
        <v>43747.756915266196</v>
      </c>
    </row>
    <row r="4027" spans="1:10" x14ac:dyDescent="0.25">
      <c r="A4027" s="5" t="s">
        <v>8374</v>
      </c>
      <c r="B4027" s="6">
        <v>400</v>
      </c>
      <c r="C4027" s="6">
        <v>20.478950000000001</v>
      </c>
      <c r="D4027" s="6">
        <v>77</v>
      </c>
      <c r="E4027" s="6">
        <v>0</v>
      </c>
      <c r="F4027" s="6">
        <v>0</v>
      </c>
      <c r="G4027" s="6">
        <v>8</v>
      </c>
      <c r="H4027" s="6" t="s">
        <v>8375</v>
      </c>
      <c r="I4027" s="6">
        <v>528.9375</v>
      </c>
      <c r="J4027" s="2">
        <f t="shared" si="62"/>
        <v>43747.756987476845</v>
      </c>
    </row>
    <row r="4028" spans="1:10" x14ac:dyDescent="0.25">
      <c r="A4028" s="7" t="s">
        <v>8376</v>
      </c>
      <c r="B4028" s="8">
        <v>403.125</v>
      </c>
      <c r="C4028" s="8">
        <v>20.531590000000001</v>
      </c>
      <c r="D4028" s="8">
        <v>77</v>
      </c>
      <c r="E4028" s="8">
        <v>0</v>
      </c>
      <c r="F4028" s="8">
        <v>0</v>
      </c>
      <c r="G4028" s="8">
        <v>24</v>
      </c>
      <c r="H4028" s="8" t="s">
        <v>8377</v>
      </c>
      <c r="I4028" s="8">
        <v>529.875</v>
      </c>
      <c r="J4028" s="3">
        <f t="shared" si="62"/>
        <v>43747.757058645831</v>
      </c>
    </row>
    <row r="4029" spans="1:10" x14ac:dyDescent="0.25">
      <c r="A4029" s="5" t="s">
        <v>8378</v>
      </c>
      <c r="B4029" s="6">
        <v>403.125</v>
      </c>
      <c r="C4029" s="6">
        <v>20.584240000000001</v>
      </c>
      <c r="D4029" s="6">
        <v>78</v>
      </c>
      <c r="E4029" s="6">
        <v>0</v>
      </c>
      <c r="F4029" s="6">
        <v>0</v>
      </c>
      <c r="G4029" s="6">
        <v>23</v>
      </c>
      <c r="H4029" s="6" t="s">
        <v>8379</v>
      </c>
      <c r="I4029" s="6">
        <v>529.875</v>
      </c>
      <c r="J4029" s="2">
        <f t="shared" si="62"/>
        <v>43747.757133067127</v>
      </c>
    </row>
    <row r="4030" spans="1:10" x14ac:dyDescent="0.25">
      <c r="A4030" s="7" t="s">
        <v>8380</v>
      </c>
      <c r="B4030" s="8">
        <v>403.125</v>
      </c>
      <c r="C4030" s="8">
        <v>20.478950000000001</v>
      </c>
      <c r="D4030" s="8">
        <v>79</v>
      </c>
      <c r="E4030" s="8">
        <v>0</v>
      </c>
      <c r="F4030" s="8">
        <v>0</v>
      </c>
      <c r="G4030" s="8">
        <v>14</v>
      </c>
      <c r="H4030" s="8" t="s">
        <v>8381</v>
      </c>
      <c r="I4030" s="8">
        <v>529.125</v>
      </c>
      <c r="J4030" s="3">
        <f t="shared" si="62"/>
        <v>43747.757213472221</v>
      </c>
    </row>
    <row r="4031" spans="1:10" x14ac:dyDescent="0.25">
      <c r="A4031" s="5" t="s">
        <v>8382</v>
      </c>
      <c r="B4031" s="6">
        <v>403.125</v>
      </c>
      <c r="C4031" s="6">
        <v>20.478950000000001</v>
      </c>
      <c r="D4031" s="6">
        <v>78</v>
      </c>
      <c r="E4031" s="6">
        <v>0</v>
      </c>
      <c r="F4031" s="6">
        <v>0</v>
      </c>
      <c r="G4031" s="6">
        <v>13</v>
      </c>
      <c r="H4031" s="6" t="s">
        <v>8383</v>
      </c>
      <c r="I4031" s="6">
        <v>529.875</v>
      </c>
      <c r="J4031" s="2">
        <f t="shared" si="62"/>
        <v>43747.757285381944</v>
      </c>
    </row>
    <row r="4032" spans="1:10" x14ac:dyDescent="0.25">
      <c r="A4032" s="7" t="s">
        <v>8384</v>
      </c>
      <c r="B4032" s="8">
        <v>425</v>
      </c>
      <c r="C4032" s="8">
        <v>20.478950000000001</v>
      </c>
      <c r="D4032" s="8">
        <v>79</v>
      </c>
      <c r="E4032" s="8">
        <v>0</v>
      </c>
      <c r="F4032" s="8">
        <v>0</v>
      </c>
      <c r="G4032" s="8">
        <v>11</v>
      </c>
      <c r="H4032" s="8" t="s">
        <v>8385</v>
      </c>
      <c r="I4032" s="8">
        <v>536.8125</v>
      </c>
      <c r="J4032" s="3">
        <f t="shared" si="62"/>
        <v>43747.757356817128</v>
      </c>
    </row>
    <row r="4033" spans="1:10" x14ac:dyDescent="0.25">
      <c r="A4033" s="5" t="s">
        <v>8386</v>
      </c>
      <c r="B4033" s="6">
        <v>406.25</v>
      </c>
      <c r="C4033" s="6">
        <v>20.478950000000001</v>
      </c>
      <c r="D4033" s="6">
        <v>79</v>
      </c>
      <c r="E4033" s="6">
        <v>0</v>
      </c>
      <c r="F4033" s="6">
        <v>0</v>
      </c>
      <c r="G4033" s="6">
        <v>23</v>
      </c>
      <c r="H4033" s="6" t="s">
        <v>8387</v>
      </c>
      <c r="I4033" s="6">
        <v>530.8125</v>
      </c>
      <c r="J4033" s="2">
        <f t="shared" si="62"/>
        <v>43747.757428229168</v>
      </c>
    </row>
    <row r="4034" spans="1:10" x14ac:dyDescent="0.25">
      <c r="A4034" s="7" t="s">
        <v>8388</v>
      </c>
      <c r="B4034" s="8">
        <v>406.25</v>
      </c>
      <c r="C4034" s="8">
        <v>20.478950000000001</v>
      </c>
      <c r="D4034" s="8">
        <v>79</v>
      </c>
      <c r="E4034" s="8">
        <v>0</v>
      </c>
      <c r="F4034" s="8">
        <v>0</v>
      </c>
      <c r="G4034" s="8">
        <v>12</v>
      </c>
      <c r="H4034" s="8" t="s">
        <v>8389</v>
      </c>
      <c r="I4034" s="8">
        <v>530.625</v>
      </c>
      <c r="J4034" s="3">
        <f t="shared" ref="J4034:J4097" si="63">(H4034/86400000)+25569+(7/24)</f>
        <v>43747.757499525462</v>
      </c>
    </row>
    <row r="4035" spans="1:10" x14ac:dyDescent="0.25">
      <c r="A4035" s="5" t="s">
        <v>8390</v>
      </c>
      <c r="B4035" s="6">
        <v>406.25</v>
      </c>
      <c r="C4035" s="6">
        <v>20.531590000000001</v>
      </c>
      <c r="D4035" s="6">
        <v>78</v>
      </c>
      <c r="E4035" s="6">
        <v>0</v>
      </c>
      <c r="F4035" s="6">
        <v>0</v>
      </c>
      <c r="G4035" s="6">
        <v>16</v>
      </c>
      <c r="H4035" s="6" t="s">
        <v>8391</v>
      </c>
      <c r="I4035" s="6">
        <v>530.625</v>
      </c>
      <c r="J4035" s="2">
        <f t="shared" si="63"/>
        <v>43747.757571689814</v>
      </c>
    </row>
    <row r="4036" spans="1:10" x14ac:dyDescent="0.25">
      <c r="A4036" s="7" t="s">
        <v>8392</v>
      </c>
      <c r="B4036" s="8">
        <v>403.125</v>
      </c>
      <c r="C4036" s="8">
        <v>20.531590000000001</v>
      </c>
      <c r="D4036" s="8">
        <v>78</v>
      </c>
      <c r="E4036" s="8">
        <v>0</v>
      </c>
      <c r="F4036" s="8">
        <v>0</v>
      </c>
      <c r="G4036" s="8">
        <v>17</v>
      </c>
      <c r="H4036" s="8" t="s">
        <v>8393</v>
      </c>
      <c r="I4036" s="8">
        <v>529.875</v>
      </c>
      <c r="J4036" s="3">
        <f t="shared" si="63"/>
        <v>43747.757642627308</v>
      </c>
    </row>
    <row r="4037" spans="1:10" x14ac:dyDescent="0.25">
      <c r="A4037" s="5" t="s">
        <v>8394</v>
      </c>
      <c r="B4037" s="6">
        <v>403.125</v>
      </c>
      <c r="C4037" s="6">
        <v>20.478950000000001</v>
      </c>
      <c r="D4037" s="6">
        <v>78</v>
      </c>
      <c r="E4037" s="6">
        <v>0</v>
      </c>
      <c r="F4037" s="6">
        <v>0</v>
      </c>
      <c r="G4037" s="6">
        <v>7</v>
      </c>
      <c r="H4037" s="6" t="s">
        <v>8395</v>
      </c>
      <c r="I4037" s="6">
        <v>529.875</v>
      </c>
      <c r="J4037" s="2">
        <f t="shared" si="63"/>
        <v>43747.757726539348</v>
      </c>
    </row>
    <row r="4038" spans="1:10" x14ac:dyDescent="0.25">
      <c r="A4038" s="7" t="s">
        <v>8396</v>
      </c>
      <c r="B4038" s="8">
        <v>403.125</v>
      </c>
      <c r="C4038" s="8">
        <v>20.531590000000001</v>
      </c>
      <c r="D4038" s="8">
        <v>79</v>
      </c>
      <c r="E4038" s="8">
        <v>0</v>
      </c>
      <c r="F4038" s="8">
        <v>0</v>
      </c>
      <c r="G4038" s="8">
        <v>21</v>
      </c>
      <c r="H4038" s="8" t="s">
        <v>8397</v>
      </c>
      <c r="I4038" s="8">
        <v>529.125</v>
      </c>
      <c r="J4038" s="3">
        <f t="shared" si="63"/>
        <v>43747.757798240738</v>
      </c>
    </row>
    <row r="4039" spans="1:10" x14ac:dyDescent="0.25">
      <c r="A4039" s="5" t="s">
        <v>8398</v>
      </c>
      <c r="B4039" s="6">
        <v>403.125</v>
      </c>
      <c r="C4039" s="6">
        <v>20.478950000000001</v>
      </c>
      <c r="D4039" s="6">
        <v>78</v>
      </c>
      <c r="E4039" s="6">
        <v>0</v>
      </c>
      <c r="F4039" s="6">
        <v>0</v>
      </c>
      <c r="G4039" s="6">
        <v>17</v>
      </c>
      <c r="H4039" s="6" t="s">
        <v>8399</v>
      </c>
      <c r="I4039" s="6">
        <v>529.125</v>
      </c>
      <c r="J4039" s="2">
        <f t="shared" si="63"/>
        <v>43747.757869444446</v>
      </c>
    </row>
    <row r="4040" spans="1:10" x14ac:dyDescent="0.25">
      <c r="A4040" s="7" t="s">
        <v>8400</v>
      </c>
      <c r="B4040" s="8">
        <v>418.75</v>
      </c>
      <c r="C4040" s="8">
        <v>20.478950000000001</v>
      </c>
      <c r="D4040" s="8">
        <v>78</v>
      </c>
      <c r="E4040" s="8">
        <v>0</v>
      </c>
      <c r="F4040" s="8">
        <v>0</v>
      </c>
      <c r="G4040" s="8">
        <v>19</v>
      </c>
      <c r="H4040" s="8" t="s">
        <v>8401</v>
      </c>
      <c r="I4040" s="8">
        <v>534.75</v>
      </c>
      <c r="J4040" s="3">
        <f t="shared" si="63"/>
        <v>43747.757940844902</v>
      </c>
    </row>
    <row r="4041" spans="1:10" x14ac:dyDescent="0.25">
      <c r="A4041" s="5" t="s">
        <v>8402</v>
      </c>
      <c r="B4041" s="6">
        <v>400</v>
      </c>
      <c r="C4041" s="6">
        <v>20.531590000000001</v>
      </c>
      <c r="D4041" s="6">
        <v>78</v>
      </c>
      <c r="E4041" s="6">
        <v>0</v>
      </c>
      <c r="F4041" s="6">
        <v>0</v>
      </c>
      <c r="G4041" s="6">
        <v>20</v>
      </c>
      <c r="H4041" s="6" t="s">
        <v>8403</v>
      </c>
      <c r="I4041" s="6">
        <v>528.1875</v>
      </c>
      <c r="J4041" s="2">
        <f t="shared" si="63"/>
        <v>43747.758012129627</v>
      </c>
    </row>
    <row r="4042" spans="1:10" x14ac:dyDescent="0.25">
      <c r="A4042" s="7" t="s">
        <v>8404</v>
      </c>
      <c r="B4042" s="8">
        <v>400</v>
      </c>
      <c r="C4042" s="8">
        <v>20.531590000000001</v>
      </c>
      <c r="D4042" s="8">
        <v>77</v>
      </c>
      <c r="E4042" s="8">
        <v>0</v>
      </c>
      <c r="F4042" s="8">
        <v>0</v>
      </c>
      <c r="G4042" s="8">
        <v>21</v>
      </c>
      <c r="H4042" s="8" t="s">
        <v>8405</v>
      </c>
      <c r="I4042" s="8">
        <v>528.1875</v>
      </c>
      <c r="J4042" s="3">
        <f t="shared" si="63"/>
        <v>43747.758083726854</v>
      </c>
    </row>
    <row r="4043" spans="1:10" x14ac:dyDescent="0.25">
      <c r="A4043" s="5" t="s">
        <v>8406</v>
      </c>
      <c r="B4043" s="6">
        <v>400</v>
      </c>
      <c r="C4043" s="6">
        <v>20.478950000000001</v>
      </c>
      <c r="D4043" s="6">
        <v>77</v>
      </c>
      <c r="E4043" s="6">
        <v>0</v>
      </c>
      <c r="F4043" s="6">
        <v>0</v>
      </c>
      <c r="G4043" s="6">
        <v>12</v>
      </c>
      <c r="H4043" s="6" t="s">
        <v>8407</v>
      </c>
      <c r="I4043" s="6">
        <v>528.1875</v>
      </c>
      <c r="J4043" s="2">
        <f t="shared" si="63"/>
        <v>43747.75815592592</v>
      </c>
    </row>
    <row r="4044" spans="1:10" x14ac:dyDescent="0.25">
      <c r="A4044" s="7" t="s">
        <v>8408</v>
      </c>
      <c r="B4044" s="8">
        <v>443.75</v>
      </c>
      <c r="C4044" s="8">
        <v>20.478950000000001</v>
      </c>
      <c r="D4044" s="8">
        <v>77</v>
      </c>
      <c r="E4044" s="8">
        <v>0</v>
      </c>
      <c r="F4044" s="8">
        <v>0</v>
      </c>
      <c r="G4044" s="8">
        <v>19</v>
      </c>
      <c r="H4044" s="8" t="s">
        <v>8409</v>
      </c>
      <c r="I4044" s="8">
        <v>542.8125</v>
      </c>
      <c r="J4044" s="3">
        <f t="shared" si="63"/>
        <v>43747.758226932863</v>
      </c>
    </row>
    <row r="4045" spans="1:10" x14ac:dyDescent="0.25">
      <c r="A4045" s="5" t="s">
        <v>8410</v>
      </c>
      <c r="B4045" s="6">
        <v>400</v>
      </c>
      <c r="C4045" s="6">
        <v>20.478950000000001</v>
      </c>
      <c r="D4045" s="6">
        <v>76</v>
      </c>
      <c r="E4045" s="6">
        <v>0</v>
      </c>
      <c r="F4045" s="6">
        <v>0</v>
      </c>
      <c r="G4045" s="6">
        <v>22</v>
      </c>
      <c r="H4045" s="6" t="s">
        <v>8411</v>
      </c>
      <c r="I4045" s="6">
        <v>528.375</v>
      </c>
      <c r="J4045" s="2">
        <f t="shared" si="63"/>
        <v>43747.758298888883</v>
      </c>
    </row>
    <row r="4046" spans="1:10" x14ac:dyDescent="0.25">
      <c r="A4046" s="7" t="s">
        <v>8412</v>
      </c>
      <c r="B4046" s="8">
        <v>403.125</v>
      </c>
      <c r="C4046" s="8">
        <v>20.478950000000001</v>
      </c>
      <c r="D4046" s="8">
        <v>76</v>
      </c>
      <c r="E4046" s="8">
        <v>0</v>
      </c>
      <c r="F4046" s="8">
        <v>0</v>
      </c>
      <c r="G4046" s="8">
        <v>18</v>
      </c>
      <c r="H4046" s="8" t="s">
        <v>8413</v>
      </c>
      <c r="I4046" s="8">
        <v>529.125</v>
      </c>
      <c r="J4046" s="3">
        <f t="shared" si="63"/>
        <v>43747.758370231481</v>
      </c>
    </row>
    <row r="4047" spans="1:10" x14ac:dyDescent="0.25">
      <c r="A4047" s="5" t="s">
        <v>8414</v>
      </c>
      <c r="B4047" s="6">
        <v>403.125</v>
      </c>
      <c r="C4047" s="6">
        <v>20.478950000000001</v>
      </c>
      <c r="D4047" s="6">
        <v>76</v>
      </c>
      <c r="E4047" s="6">
        <v>0</v>
      </c>
      <c r="F4047" s="6">
        <v>0</v>
      </c>
      <c r="G4047" s="6">
        <v>15</v>
      </c>
      <c r="H4047" s="6" t="s">
        <v>8415</v>
      </c>
      <c r="I4047" s="6">
        <v>529.125</v>
      </c>
      <c r="J4047" s="2">
        <f t="shared" si="63"/>
        <v>43747.758441458333</v>
      </c>
    </row>
    <row r="4048" spans="1:10" x14ac:dyDescent="0.25">
      <c r="A4048" s="7" t="s">
        <v>8416</v>
      </c>
      <c r="B4048" s="8">
        <v>403.125</v>
      </c>
      <c r="C4048" s="8">
        <v>20.531590000000001</v>
      </c>
      <c r="D4048" s="8">
        <v>77</v>
      </c>
      <c r="E4048" s="8">
        <v>0</v>
      </c>
      <c r="F4048" s="8">
        <v>0</v>
      </c>
      <c r="G4048" s="8">
        <v>15</v>
      </c>
      <c r="H4048" s="8" t="s">
        <v>8417</v>
      </c>
      <c r="I4048" s="8">
        <v>529.125</v>
      </c>
      <c r="J4048" s="3">
        <f t="shared" si="63"/>
        <v>43747.758512986104</v>
      </c>
    </row>
    <row r="4049" spans="1:10" x14ac:dyDescent="0.25">
      <c r="A4049" s="5" t="s">
        <v>8418</v>
      </c>
      <c r="B4049" s="6">
        <v>403.125</v>
      </c>
      <c r="C4049" s="6">
        <v>20.478950000000001</v>
      </c>
      <c r="D4049" s="6">
        <v>77</v>
      </c>
      <c r="E4049" s="6">
        <v>0</v>
      </c>
      <c r="F4049" s="6">
        <v>0</v>
      </c>
      <c r="G4049" s="6">
        <v>14</v>
      </c>
      <c r="H4049" s="6" t="s">
        <v>8419</v>
      </c>
      <c r="I4049" s="6">
        <v>529.875</v>
      </c>
      <c r="J4049" s="2">
        <f t="shared" si="63"/>
        <v>43747.758585034717</v>
      </c>
    </row>
    <row r="4050" spans="1:10" x14ac:dyDescent="0.25">
      <c r="A4050" s="7" t="s">
        <v>8420</v>
      </c>
      <c r="B4050" s="8">
        <v>403.125</v>
      </c>
      <c r="C4050" s="8">
        <v>20.478950000000001</v>
      </c>
      <c r="D4050" s="8">
        <v>77</v>
      </c>
      <c r="E4050" s="8">
        <v>0</v>
      </c>
      <c r="F4050" s="8">
        <v>0</v>
      </c>
      <c r="G4050" s="8">
        <v>7</v>
      </c>
      <c r="H4050" s="8" t="s">
        <v>8421</v>
      </c>
      <c r="I4050" s="8">
        <v>529.125</v>
      </c>
      <c r="J4050" s="3">
        <f t="shared" si="63"/>
        <v>43747.758656284721</v>
      </c>
    </row>
    <row r="4051" spans="1:10" x14ac:dyDescent="0.25">
      <c r="A4051" s="5" t="s">
        <v>8422</v>
      </c>
      <c r="B4051" s="6">
        <v>400</v>
      </c>
      <c r="C4051" s="6">
        <v>20.531590000000001</v>
      </c>
      <c r="D4051" s="6">
        <v>77</v>
      </c>
      <c r="E4051" s="6">
        <v>0</v>
      </c>
      <c r="F4051" s="6">
        <v>0</v>
      </c>
      <c r="G4051" s="6">
        <v>20</v>
      </c>
      <c r="H4051" s="6" t="s">
        <v>8423</v>
      </c>
      <c r="I4051" s="6">
        <v>528.9375</v>
      </c>
      <c r="J4051" s="2">
        <f t="shared" si="63"/>
        <v>43747.758727569446</v>
      </c>
    </row>
    <row r="4052" spans="1:10" x14ac:dyDescent="0.25">
      <c r="A4052" s="7" t="s">
        <v>8424</v>
      </c>
      <c r="B4052" s="8">
        <v>403.125</v>
      </c>
      <c r="C4052" s="8">
        <v>20.478950000000001</v>
      </c>
      <c r="D4052" s="8">
        <v>77</v>
      </c>
      <c r="E4052" s="8">
        <v>0</v>
      </c>
      <c r="F4052" s="8">
        <v>0</v>
      </c>
      <c r="G4052" s="8">
        <v>15</v>
      </c>
      <c r="H4052" s="8" t="s">
        <v>8425</v>
      </c>
      <c r="I4052" s="8">
        <v>529.875</v>
      </c>
      <c r="J4052" s="3">
        <f t="shared" si="63"/>
        <v>43747.758799328702</v>
      </c>
    </row>
    <row r="4053" spans="1:10" x14ac:dyDescent="0.25">
      <c r="A4053" s="5" t="s">
        <v>8426</v>
      </c>
      <c r="B4053" s="6">
        <v>421.875</v>
      </c>
      <c r="C4053" s="6">
        <v>20.478950000000001</v>
      </c>
      <c r="D4053" s="6">
        <v>76</v>
      </c>
      <c r="E4053" s="6">
        <v>0</v>
      </c>
      <c r="F4053" s="6">
        <v>0</v>
      </c>
      <c r="G4053" s="6">
        <v>16</v>
      </c>
      <c r="H4053" s="6" t="s">
        <v>8427</v>
      </c>
      <c r="I4053" s="6">
        <v>535.6875</v>
      </c>
      <c r="J4053" s="2">
        <f t="shared" si="63"/>
        <v>43747.758870914353</v>
      </c>
    </row>
    <row r="4054" spans="1:10" x14ac:dyDescent="0.25">
      <c r="A4054" s="7" t="s">
        <v>8428</v>
      </c>
      <c r="B4054" s="8">
        <v>403.125</v>
      </c>
      <c r="C4054" s="8">
        <v>20.478950000000001</v>
      </c>
      <c r="D4054" s="8">
        <v>76</v>
      </c>
      <c r="E4054" s="8">
        <v>0</v>
      </c>
      <c r="F4054" s="8">
        <v>0</v>
      </c>
      <c r="G4054" s="8">
        <v>19</v>
      </c>
      <c r="H4054" s="8" t="s">
        <v>8429</v>
      </c>
      <c r="I4054" s="8">
        <v>529.125</v>
      </c>
      <c r="J4054" s="3">
        <f t="shared" si="63"/>
        <v>43747.758942152774</v>
      </c>
    </row>
    <row r="4055" spans="1:10" x14ac:dyDescent="0.25">
      <c r="A4055" s="5" t="s">
        <v>8430</v>
      </c>
      <c r="B4055" s="6">
        <v>403.125</v>
      </c>
      <c r="C4055" s="6">
        <v>20.531590000000001</v>
      </c>
      <c r="D4055" s="6">
        <v>77</v>
      </c>
      <c r="E4055" s="6">
        <v>0</v>
      </c>
      <c r="F4055" s="6">
        <v>0</v>
      </c>
      <c r="G4055" s="6">
        <v>8</v>
      </c>
      <c r="H4055" s="6" t="s">
        <v>8431</v>
      </c>
      <c r="I4055" s="6">
        <v>529.875</v>
      </c>
      <c r="J4055" s="2">
        <f t="shared" si="63"/>
        <v>43747.759013935181</v>
      </c>
    </row>
    <row r="4056" spans="1:10" x14ac:dyDescent="0.25">
      <c r="A4056" s="7" t="s">
        <v>8432</v>
      </c>
      <c r="B4056" s="8">
        <v>403.125</v>
      </c>
      <c r="C4056" s="8">
        <v>20.478950000000001</v>
      </c>
      <c r="D4056" s="8">
        <v>83</v>
      </c>
      <c r="E4056" s="8">
        <v>0</v>
      </c>
      <c r="F4056" s="8">
        <v>0</v>
      </c>
      <c r="G4056" s="8">
        <v>20</v>
      </c>
      <c r="H4056" s="8" t="s">
        <v>8433</v>
      </c>
      <c r="I4056" s="8">
        <v>529.875</v>
      </c>
      <c r="J4056" s="3">
        <f t="shared" si="63"/>
        <v>43747.759097256938</v>
      </c>
    </row>
    <row r="4057" spans="1:10" x14ac:dyDescent="0.25">
      <c r="A4057" s="5" t="s">
        <v>8434</v>
      </c>
      <c r="B4057" s="6">
        <v>403.125</v>
      </c>
      <c r="C4057" s="6">
        <v>20.478950000000001</v>
      </c>
      <c r="D4057" s="6">
        <v>81</v>
      </c>
      <c r="E4057" s="6">
        <v>0</v>
      </c>
      <c r="F4057" s="6">
        <v>0</v>
      </c>
      <c r="G4057" s="6">
        <v>9</v>
      </c>
      <c r="H4057" s="6" t="s">
        <v>8435</v>
      </c>
      <c r="I4057" s="6">
        <v>529.875</v>
      </c>
      <c r="J4057" s="2">
        <f t="shared" si="63"/>
        <v>43747.759169363424</v>
      </c>
    </row>
    <row r="4058" spans="1:10" x14ac:dyDescent="0.25">
      <c r="A4058" s="7" t="s">
        <v>8436</v>
      </c>
      <c r="B4058" s="8">
        <v>403.125</v>
      </c>
      <c r="C4058" s="8">
        <v>20.478950000000001</v>
      </c>
      <c r="D4058" s="8">
        <v>80</v>
      </c>
      <c r="E4058" s="8">
        <v>0</v>
      </c>
      <c r="F4058" s="8">
        <v>0</v>
      </c>
      <c r="G4058" s="8">
        <v>21</v>
      </c>
      <c r="H4058" s="8" t="s">
        <v>8437</v>
      </c>
      <c r="I4058" s="8">
        <v>529.875</v>
      </c>
      <c r="J4058" s="3">
        <f t="shared" si="63"/>
        <v>43747.759264745364</v>
      </c>
    </row>
    <row r="4059" spans="1:10" x14ac:dyDescent="0.25">
      <c r="A4059" s="5" t="s">
        <v>8438</v>
      </c>
      <c r="B4059" s="6">
        <v>425</v>
      </c>
      <c r="C4059" s="6">
        <v>20.531590000000001</v>
      </c>
      <c r="D4059" s="6">
        <v>79</v>
      </c>
      <c r="E4059" s="6">
        <v>0</v>
      </c>
      <c r="F4059" s="6">
        <v>0</v>
      </c>
      <c r="G4059" s="6">
        <v>16</v>
      </c>
      <c r="H4059" s="6" t="s">
        <v>8439</v>
      </c>
      <c r="I4059" s="6">
        <v>536.25</v>
      </c>
      <c r="J4059" s="2">
        <f t="shared" si="63"/>
        <v>43747.759335775459</v>
      </c>
    </row>
    <row r="4060" spans="1:10" x14ac:dyDescent="0.25">
      <c r="A4060" s="7" t="s">
        <v>8440</v>
      </c>
      <c r="B4060" s="8">
        <v>406.25</v>
      </c>
      <c r="C4060" s="8">
        <v>20.584240000000001</v>
      </c>
      <c r="D4060" s="8">
        <v>79</v>
      </c>
      <c r="E4060" s="8">
        <v>0</v>
      </c>
      <c r="F4060" s="8">
        <v>0</v>
      </c>
      <c r="G4060" s="8">
        <v>12</v>
      </c>
      <c r="H4060" s="8" t="s">
        <v>8441</v>
      </c>
      <c r="I4060" s="8">
        <v>530.625</v>
      </c>
      <c r="J4060" s="3">
        <f t="shared" si="63"/>
        <v>43747.759407233789</v>
      </c>
    </row>
    <row r="4061" spans="1:10" x14ac:dyDescent="0.25">
      <c r="A4061" s="5" t="s">
        <v>8442</v>
      </c>
      <c r="B4061" s="6">
        <v>406.25</v>
      </c>
      <c r="C4061" s="6">
        <v>20.531590000000001</v>
      </c>
      <c r="D4061" s="6">
        <v>78</v>
      </c>
      <c r="E4061" s="6">
        <v>0</v>
      </c>
      <c r="F4061" s="6">
        <v>0</v>
      </c>
      <c r="G4061" s="6">
        <v>14</v>
      </c>
      <c r="H4061" s="6" t="s">
        <v>8443</v>
      </c>
      <c r="I4061" s="6">
        <v>530.625</v>
      </c>
      <c r="J4061" s="2">
        <f t="shared" si="63"/>
        <v>43747.759479050925</v>
      </c>
    </row>
    <row r="4062" spans="1:10" x14ac:dyDescent="0.25">
      <c r="A4062" s="7" t="s">
        <v>8444</v>
      </c>
      <c r="B4062" s="8">
        <v>409.375</v>
      </c>
      <c r="C4062" s="8">
        <v>20.478950000000001</v>
      </c>
      <c r="D4062" s="8">
        <v>78</v>
      </c>
      <c r="E4062" s="8">
        <v>0</v>
      </c>
      <c r="F4062" s="8">
        <v>0</v>
      </c>
      <c r="G4062" s="8">
        <v>16</v>
      </c>
      <c r="H4062" s="8" t="s">
        <v>8445</v>
      </c>
      <c r="I4062" s="8">
        <v>531.5625</v>
      </c>
      <c r="J4062" s="3">
        <f t="shared" si="63"/>
        <v>43747.759550289345</v>
      </c>
    </row>
    <row r="4063" spans="1:10" x14ac:dyDescent="0.25">
      <c r="A4063" s="5" t="s">
        <v>8446</v>
      </c>
      <c r="B4063" s="6">
        <v>409.375</v>
      </c>
      <c r="C4063" s="6">
        <v>20.478950000000001</v>
      </c>
      <c r="D4063" s="6">
        <v>77</v>
      </c>
      <c r="E4063" s="6">
        <v>0</v>
      </c>
      <c r="F4063" s="6">
        <v>0</v>
      </c>
      <c r="G4063" s="6">
        <v>20</v>
      </c>
      <c r="H4063" s="6" t="s">
        <v>8447</v>
      </c>
      <c r="I4063" s="6">
        <v>531.375</v>
      </c>
      <c r="J4063" s="2">
        <f t="shared" si="63"/>
        <v>43747.75962237268</v>
      </c>
    </row>
    <row r="4064" spans="1:10" x14ac:dyDescent="0.25">
      <c r="A4064" s="7" t="s">
        <v>8448</v>
      </c>
      <c r="B4064" s="8">
        <v>409.375</v>
      </c>
      <c r="C4064" s="8">
        <v>20.478950000000001</v>
      </c>
      <c r="D4064" s="8">
        <v>76</v>
      </c>
      <c r="E4064" s="8">
        <v>0</v>
      </c>
      <c r="F4064" s="8">
        <v>0</v>
      </c>
      <c r="G4064" s="8">
        <v>15</v>
      </c>
      <c r="H4064" s="8" t="s">
        <v>8449</v>
      </c>
      <c r="I4064" s="8">
        <v>531.5625</v>
      </c>
      <c r="J4064" s="3">
        <f t="shared" si="63"/>
        <v>43747.759693692125</v>
      </c>
    </row>
    <row r="4065" spans="1:10" x14ac:dyDescent="0.25">
      <c r="A4065" s="5" t="s">
        <v>8450</v>
      </c>
      <c r="B4065" s="6">
        <v>409.375</v>
      </c>
      <c r="C4065" s="6">
        <v>20.531590000000001</v>
      </c>
      <c r="D4065" s="6">
        <v>75</v>
      </c>
      <c r="E4065" s="6">
        <v>0</v>
      </c>
      <c r="F4065" s="6">
        <v>0</v>
      </c>
      <c r="G4065" s="6">
        <v>20</v>
      </c>
      <c r="H4065" s="6" t="s">
        <v>8451</v>
      </c>
      <c r="I4065" s="6">
        <v>531.5625</v>
      </c>
      <c r="J4065" s="2">
        <f t="shared" si="63"/>
        <v>43747.759765277777</v>
      </c>
    </row>
    <row r="4066" spans="1:10" x14ac:dyDescent="0.25">
      <c r="A4066" s="7" t="s">
        <v>8452</v>
      </c>
      <c r="B4066" s="8">
        <v>409.375</v>
      </c>
      <c r="C4066" s="8">
        <v>20.531590000000001</v>
      </c>
      <c r="D4066" s="8">
        <v>76</v>
      </c>
      <c r="E4066" s="8">
        <v>0</v>
      </c>
      <c r="F4066" s="8">
        <v>0</v>
      </c>
      <c r="G4066" s="8">
        <v>12</v>
      </c>
      <c r="H4066" s="8" t="s">
        <v>8453</v>
      </c>
      <c r="I4066" s="8">
        <v>531.5625</v>
      </c>
      <c r="J4066" s="3">
        <f t="shared" si="63"/>
        <v>43747.759837303238</v>
      </c>
    </row>
    <row r="4067" spans="1:10" x14ac:dyDescent="0.25">
      <c r="A4067" s="5" t="s">
        <v>8454</v>
      </c>
      <c r="B4067" s="6">
        <v>412.5</v>
      </c>
      <c r="C4067" s="6">
        <v>20.531590000000001</v>
      </c>
      <c r="D4067" s="6">
        <v>76</v>
      </c>
      <c r="E4067" s="6">
        <v>0</v>
      </c>
      <c r="F4067" s="6">
        <v>0</v>
      </c>
      <c r="G4067" s="6">
        <v>13</v>
      </c>
      <c r="H4067" s="6" t="s">
        <v>8455</v>
      </c>
      <c r="I4067" s="6">
        <v>532.3125</v>
      </c>
      <c r="J4067" s="2">
        <f t="shared" si="63"/>
        <v>43747.759908495369</v>
      </c>
    </row>
    <row r="4068" spans="1:10" x14ac:dyDescent="0.25">
      <c r="A4068" s="7" t="s">
        <v>8456</v>
      </c>
      <c r="B4068" s="8">
        <v>412.5</v>
      </c>
      <c r="C4068" s="8">
        <v>20.478950000000001</v>
      </c>
      <c r="D4068" s="8">
        <v>78</v>
      </c>
      <c r="E4068" s="8">
        <v>0</v>
      </c>
      <c r="F4068" s="8">
        <v>0</v>
      </c>
      <c r="G4068" s="8">
        <v>14</v>
      </c>
      <c r="H4068" s="8" t="s">
        <v>8457</v>
      </c>
      <c r="I4068" s="8">
        <v>532.3125</v>
      </c>
      <c r="J4068" s="3">
        <f t="shared" si="63"/>
        <v>43747.759979791663</v>
      </c>
    </row>
    <row r="4069" spans="1:10" x14ac:dyDescent="0.25">
      <c r="A4069" s="5" t="s">
        <v>8458</v>
      </c>
      <c r="B4069" s="6">
        <v>412.5</v>
      </c>
      <c r="C4069" s="6">
        <v>20.478950000000001</v>
      </c>
      <c r="D4069" s="6">
        <v>79</v>
      </c>
      <c r="E4069" s="6">
        <v>0</v>
      </c>
      <c r="F4069" s="6">
        <v>0</v>
      </c>
      <c r="G4069" s="6">
        <v>13</v>
      </c>
      <c r="H4069" s="6" t="s">
        <v>8459</v>
      </c>
      <c r="I4069" s="6">
        <v>532.3125</v>
      </c>
      <c r="J4069" s="2">
        <f t="shared" si="63"/>
        <v>43747.760063229165</v>
      </c>
    </row>
    <row r="4070" spans="1:10" x14ac:dyDescent="0.25">
      <c r="A4070" s="7" t="s">
        <v>8460</v>
      </c>
      <c r="B4070" s="8">
        <v>412.5</v>
      </c>
      <c r="C4070" s="8">
        <v>20.531590000000001</v>
      </c>
      <c r="D4070" s="8">
        <v>78</v>
      </c>
      <c r="E4070" s="8">
        <v>0</v>
      </c>
      <c r="F4070" s="8">
        <v>0</v>
      </c>
      <c r="G4070" s="8">
        <v>15</v>
      </c>
      <c r="H4070" s="8" t="s">
        <v>8461</v>
      </c>
      <c r="I4070" s="8">
        <v>532.3125</v>
      </c>
      <c r="J4070" s="3">
        <f t="shared" si="63"/>
        <v>43747.760134537035</v>
      </c>
    </row>
    <row r="4071" spans="1:10" x14ac:dyDescent="0.25">
      <c r="A4071" s="5" t="s">
        <v>8462</v>
      </c>
      <c r="B4071" s="6">
        <v>437.5</v>
      </c>
      <c r="C4071" s="6">
        <v>20.531590000000001</v>
      </c>
      <c r="D4071" s="6">
        <v>78</v>
      </c>
      <c r="E4071" s="6">
        <v>0</v>
      </c>
      <c r="F4071" s="6">
        <v>0</v>
      </c>
      <c r="G4071" s="6">
        <v>21</v>
      </c>
      <c r="H4071" s="6" t="s">
        <v>8463</v>
      </c>
      <c r="I4071" s="6">
        <v>540.75</v>
      </c>
      <c r="J4071" s="2">
        <f t="shared" si="63"/>
        <v>43747.760206643514</v>
      </c>
    </row>
    <row r="4072" spans="1:10" x14ac:dyDescent="0.25">
      <c r="A4072" s="7" t="s">
        <v>8464</v>
      </c>
      <c r="B4072" s="8">
        <v>412.5</v>
      </c>
      <c r="C4072" s="8">
        <v>20.478950000000001</v>
      </c>
      <c r="D4072" s="8">
        <v>77</v>
      </c>
      <c r="E4072" s="8">
        <v>0</v>
      </c>
      <c r="F4072" s="8">
        <v>0</v>
      </c>
      <c r="G4072" s="8">
        <v>10</v>
      </c>
      <c r="H4072" s="8" t="s">
        <v>8465</v>
      </c>
      <c r="I4072" s="8">
        <v>532.3125</v>
      </c>
      <c r="J4072" s="3">
        <f t="shared" si="63"/>
        <v>43747.760277951391</v>
      </c>
    </row>
    <row r="4073" spans="1:10" x14ac:dyDescent="0.25">
      <c r="A4073" s="5" t="s">
        <v>8466</v>
      </c>
      <c r="B4073" s="6">
        <v>415.625</v>
      </c>
      <c r="C4073" s="6">
        <v>20.478950000000001</v>
      </c>
      <c r="D4073" s="6">
        <v>77</v>
      </c>
      <c r="E4073" s="6">
        <v>0</v>
      </c>
      <c r="F4073" s="6">
        <v>0</v>
      </c>
      <c r="G4073" s="6">
        <v>16</v>
      </c>
      <c r="H4073" s="6" t="s">
        <v>8467</v>
      </c>
      <c r="I4073" s="6">
        <v>533.0625</v>
      </c>
      <c r="J4073" s="2">
        <f t="shared" si="63"/>
        <v>43747.760349340278</v>
      </c>
    </row>
    <row r="4074" spans="1:10" x14ac:dyDescent="0.25">
      <c r="A4074" s="7" t="s">
        <v>8468</v>
      </c>
      <c r="B4074" s="8">
        <v>415.625</v>
      </c>
      <c r="C4074" s="8">
        <v>20.531590000000001</v>
      </c>
      <c r="D4074" s="8">
        <v>77</v>
      </c>
      <c r="E4074" s="8">
        <v>0</v>
      </c>
      <c r="F4074" s="8">
        <v>0</v>
      </c>
      <c r="G4074" s="8">
        <v>15</v>
      </c>
      <c r="H4074" s="8" t="s">
        <v>8469</v>
      </c>
      <c r="I4074" s="8">
        <v>533.0625</v>
      </c>
      <c r="J4074" s="3">
        <f t="shared" si="63"/>
        <v>43747.760421331019</v>
      </c>
    </row>
    <row r="4075" spans="1:10" x14ac:dyDescent="0.25">
      <c r="A4075" s="5" t="s">
        <v>8470</v>
      </c>
      <c r="B4075" s="6">
        <v>415.625</v>
      </c>
      <c r="C4075" s="6">
        <v>20.531590000000001</v>
      </c>
      <c r="D4075" s="6">
        <v>73</v>
      </c>
      <c r="E4075" s="6">
        <v>0</v>
      </c>
      <c r="F4075" s="6">
        <v>0</v>
      </c>
      <c r="G4075" s="6">
        <v>17</v>
      </c>
      <c r="H4075" s="6" t="s">
        <v>8471</v>
      </c>
      <c r="I4075" s="6">
        <v>533.0625</v>
      </c>
      <c r="J4075" s="2">
        <f t="shared" si="63"/>
        <v>43747.760492881942</v>
      </c>
    </row>
    <row r="4076" spans="1:10" x14ac:dyDescent="0.25">
      <c r="A4076" s="7" t="s">
        <v>8472</v>
      </c>
      <c r="B4076" s="8">
        <v>418.75</v>
      </c>
      <c r="C4076" s="8">
        <v>20.531590000000001</v>
      </c>
      <c r="D4076" s="8">
        <v>75</v>
      </c>
      <c r="E4076" s="8">
        <v>0</v>
      </c>
      <c r="F4076" s="8">
        <v>0</v>
      </c>
      <c r="G4076" s="8">
        <v>15</v>
      </c>
      <c r="H4076" s="8" t="s">
        <v>8473</v>
      </c>
      <c r="I4076" s="8">
        <v>534</v>
      </c>
      <c r="J4076" s="3">
        <f t="shared" si="63"/>
        <v>43747.760564178236</v>
      </c>
    </row>
    <row r="4077" spans="1:10" x14ac:dyDescent="0.25">
      <c r="A4077" s="5" t="s">
        <v>8474</v>
      </c>
      <c r="B4077" s="6">
        <v>418.75</v>
      </c>
      <c r="C4077" s="6">
        <v>20.478950000000001</v>
      </c>
      <c r="D4077" s="6">
        <v>80</v>
      </c>
      <c r="E4077" s="6">
        <v>0</v>
      </c>
      <c r="F4077" s="6">
        <v>0</v>
      </c>
      <c r="G4077" s="6">
        <v>18</v>
      </c>
      <c r="H4077" s="6" t="s">
        <v>8475</v>
      </c>
      <c r="I4077" s="6">
        <v>534</v>
      </c>
      <c r="J4077" s="2">
        <f t="shared" si="63"/>
        <v>43747.760635451392</v>
      </c>
    </row>
    <row r="4078" spans="1:10" x14ac:dyDescent="0.25">
      <c r="A4078" s="7" t="s">
        <v>8476</v>
      </c>
      <c r="B4078" s="8">
        <v>415.625</v>
      </c>
      <c r="C4078" s="8">
        <v>20.531590000000001</v>
      </c>
      <c r="D4078" s="8">
        <v>79</v>
      </c>
      <c r="E4078" s="8">
        <v>0</v>
      </c>
      <c r="F4078" s="8">
        <v>0</v>
      </c>
      <c r="G4078" s="8">
        <v>2</v>
      </c>
      <c r="H4078" s="8" t="s">
        <v>8477</v>
      </c>
      <c r="I4078" s="8">
        <v>533.0625</v>
      </c>
      <c r="J4078" s="3">
        <f t="shared" si="63"/>
        <v>43747.760707650457</v>
      </c>
    </row>
    <row r="4079" spans="1:10" x14ac:dyDescent="0.25">
      <c r="A4079" s="5" t="s">
        <v>8478</v>
      </c>
      <c r="B4079" s="6">
        <v>415.625</v>
      </c>
      <c r="C4079" s="6">
        <v>20.531590000000001</v>
      </c>
      <c r="D4079" s="6">
        <v>79</v>
      </c>
      <c r="E4079" s="6">
        <v>0</v>
      </c>
      <c r="F4079" s="6">
        <v>0</v>
      </c>
      <c r="G4079" s="6">
        <v>19</v>
      </c>
      <c r="H4079" s="6" t="s">
        <v>8479</v>
      </c>
      <c r="I4079" s="6">
        <v>533.0625</v>
      </c>
      <c r="J4079" s="2">
        <f t="shared" si="63"/>
        <v>43747.760778194446</v>
      </c>
    </row>
    <row r="4080" spans="1:10" x14ac:dyDescent="0.25">
      <c r="A4080" s="7" t="s">
        <v>8480</v>
      </c>
      <c r="B4080" s="8">
        <v>428.125</v>
      </c>
      <c r="C4080" s="8">
        <v>20.531590000000001</v>
      </c>
      <c r="D4080" s="8">
        <v>77</v>
      </c>
      <c r="E4080" s="8">
        <v>0</v>
      </c>
      <c r="F4080" s="8">
        <v>0</v>
      </c>
      <c r="G4080" s="8">
        <v>18</v>
      </c>
      <c r="H4080" s="8" t="s">
        <v>8481</v>
      </c>
      <c r="I4080" s="8">
        <v>537.9375</v>
      </c>
      <c r="J4080" s="3">
        <f t="shared" si="63"/>
        <v>43747.76085027778</v>
      </c>
    </row>
    <row r="4081" spans="1:10" x14ac:dyDescent="0.25">
      <c r="A4081" s="5" t="s">
        <v>8482</v>
      </c>
      <c r="B4081" s="6">
        <v>409.375</v>
      </c>
      <c r="C4081" s="6">
        <v>20.531590000000001</v>
      </c>
      <c r="D4081" s="6">
        <v>76</v>
      </c>
      <c r="E4081" s="6">
        <v>0</v>
      </c>
      <c r="F4081" s="6">
        <v>0</v>
      </c>
      <c r="G4081" s="6">
        <v>10</v>
      </c>
      <c r="H4081" s="6" t="s">
        <v>8483</v>
      </c>
      <c r="I4081" s="6">
        <v>531.375</v>
      </c>
      <c r="J4081" s="2">
        <f t="shared" si="63"/>
        <v>43747.760933796293</v>
      </c>
    </row>
    <row r="4082" spans="1:10" x14ac:dyDescent="0.25">
      <c r="A4082" s="7" t="s">
        <v>8484</v>
      </c>
      <c r="B4082" s="8">
        <v>409.375</v>
      </c>
      <c r="C4082" s="8">
        <v>20.531590000000001</v>
      </c>
      <c r="D4082" s="8">
        <v>76</v>
      </c>
      <c r="E4082" s="8">
        <v>0</v>
      </c>
      <c r="F4082" s="8">
        <v>0</v>
      </c>
      <c r="G4082" s="8">
        <v>9</v>
      </c>
      <c r="H4082" s="8" t="s">
        <v>8485</v>
      </c>
      <c r="I4082" s="8">
        <v>531.5625</v>
      </c>
      <c r="J4082" s="3">
        <f t="shared" si="63"/>
        <v>43747.761005613422</v>
      </c>
    </row>
    <row r="4083" spans="1:10" x14ac:dyDescent="0.25">
      <c r="A4083" s="5" t="s">
        <v>8486</v>
      </c>
      <c r="B4083" s="6">
        <v>409.375</v>
      </c>
      <c r="C4083" s="6">
        <v>20.478950000000001</v>
      </c>
      <c r="D4083" s="6">
        <v>71</v>
      </c>
      <c r="E4083" s="6">
        <v>0</v>
      </c>
      <c r="F4083" s="6">
        <v>0</v>
      </c>
      <c r="G4083" s="6">
        <v>14</v>
      </c>
      <c r="H4083" s="6" t="s">
        <v>8487</v>
      </c>
      <c r="I4083" s="6">
        <v>531.5625</v>
      </c>
      <c r="J4083" s="2">
        <f t="shared" si="63"/>
        <v>43747.761077129624</v>
      </c>
    </row>
    <row r="4084" spans="1:10" x14ac:dyDescent="0.25">
      <c r="A4084" s="7" t="s">
        <v>8488</v>
      </c>
      <c r="B4084" s="8">
        <v>409.375</v>
      </c>
      <c r="C4084" s="8">
        <v>20.478950000000001</v>
      </c>
      <c r="D4084" s="8">
        <v>70</v>
      </c>
      <c r="E4084" s="8">
        <v>0</v>
      </c>
      <c r="F4084" s="8">
        <v>0</v>
      </c>
      <c r="G4084" s="8">
        <v>15</v>
      </c>
      <c r="H4084" s="8" t="s">
        <v>8489</v>
      </c>
      <c r="I4084" s="8">
        <v>531.5625</v>
      </c>
      <c r="J4084" s="3">
        <f t="shared" si="63"/>
        <v>43747.761172511571</v>
      </c>
    </row>
    <row r="4085" spans="1:10" x14ac:dyDescent="0.25">
      <c r="A4085" s="5" t="s">
        <v>8490</v>
      </c>
      <c r="B4085" s="6">
        <v>409.375</v>
      </c>
      <c r="C4085" s="6">
        <v>20.531590000000001</v>
      </c>
      <c r="D4085" s="6">
        <v>74</v>
      </c>
      <c r="E4085" s="6">
        <v>0</v>
      </c>
      <c r="F4085" s="6">
        <v>0</v>
      </c>
      <c r="G4085" s="6">
        <v>13</v>
      </c>
      <c r="H4085" s="6" t="s">
        <v>8491</v>
      </c>
      <c r="I4085" s="6">
        <v>531.5625</v>
      </c>
      <c r="J4085" s="2">
        <f t="shared" si="63"/>
        <v>43747.761243807872</v>
      </c>
    </row>
    <row r="4086" spans="1:10" x14ac:dyDescent="0.25">
      <c r="A4086" s="7" t="s">
        <v>8492</v>
      </c>
      <c r="B4086" s="8">
        <v>425</v>
      </c>
      <c r="C4086" s="8">
        <v>20.478950000000001</v>
      </c>
      <c r="D4086" s="8">
        <v>74</v>
      </c>
      <c r="E4086" s="8">
        <v>0</v>
      </c>
      <c r="F4086" s="8">
        <v>0</v>
      </c>
      <c r="G4086" s="8">
        <v>24</v>
      </c>
      <c r="H4086" s="8" t="s">
        <v>8493</v>
      </c>
      <c r="I4086" s="8">
        <v>536.25</v>
      </c>
      <c r="J4086" s="3">
        <f t="shared" si="63"/>
        <v>43747.761315081014</v>
      </c>
    </row>
    <row r="4087" spans="1:10" x14ac:dyDescent="0.25">
      <c r="A4087" s="5" t="s">
        <v>8494</v>
      </c>
      <c r="B4087" s="6">
        <v>406.25</v>
      </c>
      <c r="C4087" s="6">
        <v>20.531590000000001</v>
      </c>
      <c r="D4087" s="6">
        <v>74</v>
      </c>
      <c r="E4087" s="6">
        <v>0</v>
      </c>
      <c r="F4087" s="6">
        <v>0</v>
      </c>
      <c r="G4087" s="6">
        <v>14</v>
      </c>
      <c r="H4087" s="6" t="s">
        <v>8495</v>
      </c>
      <c r="I4087" s="6">
        <v>530.625</v>
      </c>
      <c r="J4087" s="2">
        <f t="shared" si="63"/>
        <v>43747.761387210645</v>
      </c>
    </row>
    <row r="4088" spans="1:10" x14ac:dyDescent="0.25">
      <c r="A4088" s="7" t="s">
        <v>8496</v>
      </c>
      <c r="B4088" s="8">
        <v>406.25</v>
      </c>
      <c r="C4088" s="8">
        <v>20.531590000000001</v>
      </c>
      <c r="D4088" s="8">
        <v>75</v>
      </c>
      <c r="E4088" s="8">
        <v>0</v>
      </c>
      <c r="F4088" s="8">
        <v>0</v>
      </c>
      <c r="G4088" s="8">
        <v>13</v>
      </c>
      <c r="H4088" s="8" t="s">
        <v>8497</v>
      </c>
      <c r="I4088" s="8">
        <v>530.625</v>
      </c>
      <c r="J4088" s="3">
        <f t="shared" si="63"/>
        <v>43747.761458611109</v>
      </c>
    </row>
    <row r="4089" spans="1:10" x14ac:dyDescent="0.25">
      <c r="A4089" s="5" t="s">
        <v>8498</v>
      </c>
      <c r="B4089" s="6">
        <v>406.25</v>
      </c>
      <c r="C4089" s="6">
        <v>20.531590000000001</v>
      </c>
      <c r="D4089" s="6">
        <v>75</v>
      </c>
      <c r="E4089" s="6">
        <v>0</v>
      </c>
      <c r="F4089" s="6">
        <v>0</v>
      </c>
      <c r="G4089" s="6">
        <v>18</v>
      </c>
      <c r="H4089" s="6" t="s">
        <v>8499</v>
      </c>
      <c r="I4089" s="6">
        <v>530.8125</v>
      </c>
      <c r="J4089" s="2">
        <f t="shared" si="63"/>
        <v>43747.761541898144</v>
      </c>
    </row>
    <row r="4090" spans="1:10" x14ac:dyDescent="0.25">
      <c r="A4090" s="7" t="s">
        <v>8500</v>
      </c>
      <c r="B4090" s="8">
        <v>406.25</v>
      </c>
      <c r="C4090" s="8">
        <v>20.478950000000001</v>
      </c>
      <c r="D4090" s="8">
        <v>72</v>
      </c>
      <c r="E4090" s="8">
        <v>0</v>
      </c>
      <c r="F4090" s="8">
        <v>0</v>
      </c>
      <c r="G4090" s="8">
        <v>21</v>
      </c>
      <c r="H4090" s="8" t="s">
        <v>8501</v>
      </c>
      <c r="I4090" s="8">
        <v>530.625</v>
      </c>
      <c r="J4090" s="3">
        <f t="shared" si="63"/>
        <v>43747.761625277773</v>
      </c>
    </row>
    <row r="4091" spans="1:10" x14ac:dyDescent="0.25">
      <c r="A4091" s="5" t="s">
        <v>8502</v>
      </c>
      <c r="B4091" s="6">
        <v>409.375</v>
      </c>
      <c r="C4091" s="6">
        <v>20.531590000000001</v>
      </c>
      <c r="D4091" s="6">
        <v>72</v>
      </c>
      <c r="E4091" s="6">
        <v>0</v>
      </c>
      <c r="F4091" s="6">
        <v>0</v>
      </c>
      <c r="G4091" s="6">
        <v>21</v>
      </c>
      <c r="H4091" s="6" t="s">
        <v>8503</v>
      </c>
      <c r="I4091" s="6">
        <v>531.5625</v>
      </c>
      <c r="J4091" s="2">
        <f t="shared" si="63"/>
        <v>43747.761720601848</v>
      </c>
    </row>
    <row r="4092" spans="1:10" x14ac:dyDescent="0.25">
      <c r="A4092" s="7" t="s">
        <v>8504</v>
      </c>
      <c r="B4092" s="8">
        <v>412.5</v>
      </c>
      <c r="C4092" s="8">
        <v>20.478950000000001</v>
      </c>
      <c r="D4092" s="8">
        <v>74</v>
      </c>
      <c r="E4092" s="8">
        <v>0</v>
      </c>
      <c r="F4092" s="8">
        <v>0</v>
      </c>
      <c r="G4092" s="8">
        <v>14</v>
      </c>
      <c r="H4092" s="8" t="s">
        <v>8505</v>
      </c>
      <c r="I4092" s="8">
        <v>532.3125</v>
      </c>
      <c r="J4092" s="3">
        <f t="shared" si="63"/>
        <v>43747.761792013887</v>
      </c>
    </row>
    <row r="4093" spans="1:10" x14ac:dyDescent="0.25">
      <c r="A4093" s="5" t="s">
        <v>8506</v>
      </c>
      <c r="B4093" s="6">
        <v>412.5</v>
      </c>
      <c r="C4093" s="6">
        <v>20.478950000000001</v>
      </c>
      <c r="D4093" s="6">
        <v>75</v>
      </c>
      <c r="E4093" s="6">
        <v>0</v>
      </c>
      <c r="F4093" s="6">
        <v>0</v>
      </c>
      <c r="G4093" s="6">
        <v>15</v>
      </c>
      <c r="H4093" s="6" t="s">
        <v>8507</v>
      </c>
      <c r="I4093" s="6">
        <v>532.3125</v>
      </c>
      <c r="J4093" s="2">
        <f t="shared" si="63"/>
        <v>43747.76188035879</v>
      </c>
    </row>
    <row r="4094" spans="1:10" x14ac:dyDescent="0.25">
      <c r="A4094" s="7" t="s">
        <v>8508</v>
      </c>
      <c r="B4094" s="8">
        <v>437.5</v>
      </c>
      <c r="C4094" s="8">
        <v>20.478950000000001</v>
      </c>
      <c r="D4094" s="8">
        <v>77</v>
      </c>
      <c r="E4094" s="8">
        <v>0</v>
      </c>
      <c r="F4094" s="8">
        <v>0</v>
      </c>
      <c r="G4094" s="8">
        <v>11</v>
      </c>
      <c r="H4094" s="8" t="s">
        <v>8509</v>
      </c>
      <c r="I4094" s="8">
        <v>540.375</v>
      </c>
      <c r="J4094" s="3">
        <f t="shared" si="63"/>
        <v>43747.761959606483</v>
      </c>
    </row>
    <row r="4095" spans="1:10" x14ac:dyDescent="0.25">
      <c r="A4095" s="5" t="s">
        <v>8510</v>
      </c>
      <c r="B4095" s="6">
        <v>409.375</v>
      </c>
      <c r="C4095" s="6">
        <v>20.584240000000001</v>
      </c>
      <c r="D4095" s="6">
        <v>77</v>
      </c>
      <c r="E4095" s="6">
        <v>0</v>
      </c>
      <c r="F4095" s="6">
        <v>0</v>
      </c>
      <c r="G4095" s="6">
        <v>23</v>
      </c>
      <c r="H4095" s="6" t="s">
        <v>8511</v>
      </c>
      <c r="I4095" s="6">
        <v>531.5625</v>
      </c>
      <c r="J4095" s="2">
        <f t="shared" si="63"/>
        <v>43747.762030821752</v>
      </c>
    </row>
    <row r="4096" spans="1:10" x14ac:dyDescent="0.25">
      <c r="A4096" s="7" t="s">
        <v>8512</v>
      </c>
      <c r="B4096" s="8">
        <v>406.25</v>
      </c>
      <c r="C4096" s="8">
        <v>20.478950000000001</v>
      </c>
      <c r="D4096" s="8">
        <v>78</v>
      </c>
      <c r="E4096" s="8">
        <v>0</v>
      </c>
      <c r="F4096" s="8">
        <v>0</v>
      </c>
      <c r="G4096" s="8">
        <v>13</v>
      </c>
      <c r="H4096" s="8" t="s">
        <v>8513</v>
      </c>
      <c r="I4096" s="8">
        <v>530.625</v>
      </c>
      <c r="J4096" s="3">
        <f t="shared" si="63"/>
        <v>43747.762102129629</v>
      </c>
    </row>
    <row r="4097" spans="1:10" x14ac:dyDescent="0.25">
      <c r="A4097" s="5" t="s">
        <v>8514</v>
      </c>
      <c r="B4097" s="6">
        <v>406.25</v>
      </c>
      <c r="C4097" s="6">
        <v>20.478950000000001</v>
      </c>
      <c r="D4097" s="6">
        <v>76</v>
      </c>
      <c r="E4097" s="6">
        <v>0</v>
      </c>
      <c r="F4097" s="6">
        <v>0</v>
      </c>
      <c r="G4097" s="6">
        <v>20</v>
      </c>
      <c r="H4097" s="6" t="s">
        <v>8515</v>
      </c>
      <c r="I4097" s="6">
        <v>530.625</v>
      </c>
      <c r="J4097" s="2">
        <f t="shared" si="63"/>
        <v>43747.762185451385</v>
      </c>
    </row>
    <row r="4098" spans="1:10" x14ac:dyDescent="0.25">
      <c r="A4098" s="7" t="s">
        <v>8516</v>
      </c>
      <c r="B4098" s="8">
        <v>406.25</v>
      </c>
      <c r="C4098" s="8">
        <v>20.478950000000001</v>
      </c>
      <c r="D4098" s="8">
        <v>76</v>
      </c>
      <c r="E4098" s="8">
        <v>0</v>
      </c>
      <c r="F4098" s="8">
        <v>0</v>
      </c>
      <c r="G4098" s="8">
        <v>18</v>
      </c>
      <c r="H4098" s="8" t="s">
        <v>8517</v>
      </c>
      <c r="I4098" s="8">
        <v>530.625</v>
      </c>
      <c r="J4098" s="3">
        <f t="shared" ref="J4098:J4161" si="64">(H4098/86400000)+25569+(7/24)</f>
        <v>43747.762257511575</v>
      </c>
    </row>
    <row r="4099" spans="1:10" x14ac:dyDescent="0.25">
      <c r="A4099" s="5" t="s">
        <v>8518</v>
      </c>
      <c r="B4099" s="6">
        <v>403.125</v>
      </c>
      <c r="C4099" s="6">
        <v>20.531590000000001</v>
      </c>
      <c r="D4099" s="6">
        <v>76</v>
      </c>
      <c r="E4099" s="6">
        <v>0</v>
      </c>
      <c r="F4099" s="6">
        <v>0</v>
      </c>
      <c r="G4099" s="6">
        <v>20</v>
      </c>
      <c r="H4099" s="6" t="s">
        <v>8519</v>
      </c>
      <c r="I4099" s="6">
        <v>529.875</v>
      </c>
      <c r="J4099" s="2">
        <f t="shared" si="64"/>
        <v>43747.76233153935</v>
      </c>
    </row>
    <row r="4100" spans="1:10" x14ac:dyDescent="0.25">
      <c r="A4100" s="7" t="s">
        <v>8520</v>
      </c>
      <c r="B4100" s="8">
        <v>403.125</v>
      </c>
      <c r="C4100" s="8">
        <v>20.531590000000001</v>
      </c>
      <c r="D4100" s="8">
        <v>77</v>
      </c>
      <c r="E4100" s="8">
        <v>0</v>
      </c>
      <c r="F4100" s="8">
        <v>0</v>
      </c>
      <c r="G4100" s="8">
        <v>18</v>
      </c>
      <c r="H4100" s="8" t="s">
        <v>8521</v>
      </c>
      <c r="I4100" s="8">
        <v>529.875</v>
      </c>
      <c r="J4100" s="3">
        <f t="shared" si="64"/>
        <v>43747.762412326389</v>
      </c>
    </row>
    <row r="4101" spans="1:10" x14ac:dyDescent="0.25">
      <c r="A4101" s="5" t="s">
        <v>8522</v>
      </c>
      <c r="B4101" s="6">
        <v>403.125</v>
      </c>
      <c r="C4101" s="6">
        <v>20.478950000000001</v>
      </c>
      <c r="D4101" s="6">
        <v>75</v>
      </c>
      <c r="E4101" s="6">
        <v>0</v>
      </c>
      <c r="F4101" s="6">
        <v>0</v>
      </c>
      <c r="G4101" s="6">
        <v>14</v>
      </c>
      <c r="H4101" s="6" t="s">
        <v>8523</v>
      </c>
      <c r="I4101" s="6">
        <v>529.875</v>
      </c>
      <c r="J4101" s="2">
        <f t="shared" si="64"/>
        <v>43747.762495868054</v>
      </c>
    </row>
    <row r="4102" spans="1:10" x14ac:dyDescent="0.25">
      <c r="A4102" s="7" t="s">
        <v>8524</v>
      </c>
      <c r="B4102" s="8">
        <v>403.125</v>
      </c>
      <c r="C4102" s="8">
        <v>20.478950000000001</v>
      </c>
      <c r="D4102" s="8">
        <v>76</v>
      </c>
      <c r="E4102" s="8">
        <v>0</v>
      </c>
      <c r="F4102" s="8">
        <v>0</v>
      </c>
      <c r="G4102" s="8">
        <v>17</v>
      </c>
      <c r="H4102" s="8" t="s">
        <v>8525</v>
      </c>
      <c r="I4102" s="8">
        <v>529.875</v>
      </c>
      <c r="J4102" s="3">
        <f t="shared" si="64"/>
        <v>43747.762567638885</v>
      </c>
    </row>
    <row r="4103" spans="1:10" x14ac:dyDescent="0.25">
      <c r="A4103" s="5" t="s">
        <v>8526</v>
      </c>
      <c r="B4103" s="6">
        <v>403.125</v>
      </c>
      <c r="C4103" s="6">
        <v>20.531590000000001</v>
      </c>
      <c r="D4103" s="6">
        <v>77</v>
      </c>
      <c r="E4103" s="6">
        <v>0</v>
      </c>
      <c r="F4103" s="6">
        <v>0</v>
      </c>
      <c r="G4103" s="6">
        <v>19</v>
      </c>
      <c r="H4103" s="6" t="s">
        <v>8527</v>
      </c>
      <c r="I4103" s="6">
        <v>529.875</v>
      </c>
      <c r="J4103" s="2">
        <f t="shared" si="64"/>
        <v>43747.762663182868</v>
      </c>
    </row>
    <row r="4104" spans="1:10" x14ac:dyDescent="0.25">
      <c r="A4104" s="7" t="s">
        <v>8528</v>
      </c>
      <c r="B4104" s="8">
        <v>403.125</v>
      </c>
      <c r="C4104" s="8">
        <v>20.531590000000001</v>
      </c>
      <c r="D4104" s="8">
        <v>77</v>
      </c>
      <c r="E4104" s="8">
        <v>0</v>
      </c>
      <c r="F4104" s="8">
        <v>0</v>
      </c>
      <c r="G4104" s="8">
        <v>11</v>
      </c>
      <c r="H4104" s="8" t="s">
        <v>8529</v>
      </c>
      <c r="I4104" s="8">
        <v>529.875</v>
      </c>
      <c r="J4104" s="3">
        <f t="shared" si="64"/>
        <v>43747.762733599535</v>
      </c>
    </row>
    <row r="4105" spans="1:10" x14ac:dyDescent="0.25">
      <c r="A4105" s="5" t="s">
        <v>8530</v>
      </c>
      <c r="B4105" s="6">
        <v>403.125</v>
      </c>
      <c r="C4105" s="6">
        <v>20.478950000000001</v>
      </c>
      <c r="D4105" s="6">
        <v>74</v>
      </c>
      <c r="E4105" s="6">
        <v>0</v>
      </c>
      <c r="F4105" s="6">
        <v>0</v>
      </c>
      <c r="G4105" s="6">
        <v>18</v>
      </c>
      <c r="H4105" s="6" t="s">
        <v>8531</v>
      </c>
      <c r="I4105" s="6">
        <v>529.875</v>
      </c>
      <c r="J4105" s="2">
        <f t="shared" si="64"/>
        <v>43747.762844537036</v>
      </c>
    </row>
    <row r="4106" spans="1:10" x14ac:dyDescent="0.25">
      <c r="A4106" s="7" t="s">
        <v>8532</v>
      </c>
      <c r="B4106" s="8">
        <v>403.125</v>
      </c>
      <c r="C4106" s="8">
        <v>20.531590000000001</v>
      </c>
      <c r="D4106" s="8">
        <v>76</v>
      </c>
      <c r="E4106" s="8">
        <v>0</v>
      </c>
      <c r="F4106" s="8">
        <v>0</v>
      </c>
      <c r="G4106" s="8">
        <v>19</v>
      </c>
      <c r="H4106" s="8" t="s">
        <v>8533</v>
      </c>
      <c r="I4106" s="8">
        <v>529.875</v>
      </c>
      <c r="J4106" s="3">
        <f t="shared" si="64"/>
        <v>43747.762925150462</v>
      </c>
    </row>
    <row r="4107" spans="1:10" x14ac:dyDescent="0.25">
      <c r="A4107" s="5" t="s">
        <v>8534</v>
      </c>
      <c r="B4107" s="6">
        <v>403.125</v>
      </c>
      <c r="C4107" s="6">
        <v>20.584240000000001</v>
      </c>
      <c r="D4107" s="6">
        <v>73</v>
      </c>
      <c r="E4107" s="6">
        <v>0</v>
      </c>
      <c r="F4107" s="6">
        <v>0</v>
      </c>
      <c r="G4107" s="6">
        <v>21</v>
      </c>
      <c r="H4107" s="6" t="s">
        <v>8535</v>
      </c>
      <c r="I4107" s="6">
        <v>529.875</v>
      </c>
      <c r="J4107" s="2">
        <f t="shared" si="64"/>
        <v>43747.762996562502</v>
      </c>
    </row>
    <row r="4108" spans="1:10" x14ac:dyDescent="0.25">
      <c r="A4108" s="7" t="s">
        <v>8536</v>
      </c>
      <c r="B4108" s="8">
        <v>403.125</v>
      </c>
      <c r="C4108" s="8">
        <v>20.478950000000001</v>
      </c>
      <c r="D4108" s="8">
        <v>73</v>
      </c>
      <c r="E4108" s="8">
        <v>0</v>
      </c>
      <c r="F4108" s="8">
        <v>0</v>
      </c>
      <c r="G4108" s="8">
        <v>24</v>
      </c>
      <c r="H4108" s="8" t="s">
        <v>8537</v>
      </c>
      <c r="I4108" s="8">
        <v>529.125</v>
      </c>
      <c r="J4108" s="3">
        <f t="shared" si="64"/>
        <v>43747.763079907403</v>
      </c>
    </row>
    <row r="4109" spans="1:10" x14ac:dyDescent="0.25">
      <c r="A4109" s="5" t="s">
        <v>8538</v>
      </c>
      <c r="B4109" s="6">
        <v>403.125</v>
      </c>
      <c r="C4109" s="6">
        <v>20.478950000000001</v>
      </c>
      <c r="D4109" s="6">
        <v>73</v>
      </c>
      <c r="E4109" s="6">
        <v>0</v>
      </c>
      <c r="F4109" s="6">
        <v>0</v>
      </c>
      <c r="G4109" s="6">
        <v>10</v>
      </c>
      <c r="H4109" s="6" t="s">
        <v>8539</v>
      </c>
      <c r="I4109" s="6">
        <v>529.125</v>
      </c>
      <c r="J4109" s="2">
        <f t="shared" si="64"/>
        <v>43747.76315194444</v>
      </c>
    </row>
    <row r="4110" spans="1:10" x14ac:dyDescent="0.25">
      <c r="A4110" s="7" t="s">
        <v>8540</v>
      </c>
      <c r="B4110" s="8">
        <v>403.125</v>
      </c>
      <c r="C4110" s="8">
        <v>20.478950000000001</v>
      </c>
      <c r="D4110" s="8">
        <v>73</v>
      </c>
      <c r="E4110" s="8">
        <v>0</v>
      </c>
      <c r="F4110" s="8">
        <v>0</v>
      </c>
      <c r="G4110" s="8">
        <v>15</v>
      </c>
      <c r="H4110" s="8" t="s">
        <v>8541</v>
      </c>
      <c r="I4110" s="8">
        <v>529.125</v>
      </c>
      <c r="J4110" s="3">
        <f t="shared" si="64"/>
        <v>43747.763239618049</v>
      </c>
    </row>
    <row r="4111" spans="1:10" x14ac:dyDescent="0.25">
      <c r="A4111" s="5" t="s">
        <v>8542</v>
      </c>
      <c r="B4111" s="6">
        <v>403.125</v>
      </c>
      <c r="C4111" s="6">
        <v>20.478950000000001</v>
      </c>
      <c r="D4111" s="6">
        <v>74</v>
      </c>
      <c r="E4111" s="6">
        <v>0</v>
      </c>
      <c r="F4111" s="6">
        <v>0</v>
      </c>
      <c r="G4111" s="6">
        <v>11</v>
      </c>
      <c r="H4111" s="6" t="s">
        <v>8543</v>
      </c>
      <c r="I4111" s="6">
        <v>529.125</v>
      </c>
      <c r="J4111" s="2">
        <f t="shared" si="64"/>
        <v>43747.763318680554</v>
      </c>
    </row>
    <row r="4112" spans="1:10" x14ac:dyDescent="0.25">
      <c r="A4112" s="7" t="s">
        <v>8544</v>
      </c>
      <c r="B4112" s="8">
        <v>403.125</v>
      </c>
      <c r="C4112" s="8">
        <v>20.531590000000001</v>
      </c>
      <c r="D4112" s="8">
        <v>74</v>
      </c>
      <c r="E4112" s="8">
        <v>0</v>
      </c>
      <c r="F4112" s="8">
        <v>0</v>
      </c>
      <c r="G4112" s="8">
        <v>10</v>
      </c>
      <c r="H4112" s="8" t="s">
        <v>8545</v>
      </c>
      <c r="I4112" s="8">
        <v>529.125</v>
      </c>
      <c r="J4112" s="3">
        <f t="shared" si="64"/>
        <v>43747.763390196757</v>
      </c>
    </row>
    <row r="4113" spans="1:10" x14ac:dyDescent="0.25">
      <c r="A4113" s="5" t="s">
        <v>8546</v>
      </c>
      <c r="B4113" s="6">
        <v>403.125</v>
      </c>
      <c r="C4113" s="6">
        <v>20.478950000000001</v>
      </c>
      <c r="D4113" s="6">
        <v>74</v>
      </c>
      <c r="E4113" s="6">
        <v>0</v>
      </c>
      <c r="F4113" s="6">
        <v>0</v>
      </c>
      <c r="G4113" s="6">
        <v>18</v>
      </c>
      <c r="H4113" s="6" t="s">
        <v>8547</v>
      </c>
      <c r="I4113" s="6">
        <v>529.125</v>
      </c>
      <c r="J4113" s="2">
        <f t="shared" si="64"/>
        <v>43747.763461446761</v>
      </c>
    </row>
    <row r="4114" spans="1:10" x14ac:dyDescent="0.25">
      <c r="A4114" s="7" t="s">
        <v>8548</v>
      </c>
      <c r="B4114" s="8">
        <v>403.125</v>
      </c>
      <c r="C4114" s="8">
        <v>20.478950000000001</v>
      </c>
      <c r="D4114" s="8">
        <v>75</v>
      </c>
      <c r="E4114" s="8">
        <v>0</v>
      </c>
      <c r="F4114" s="8">
        <v>0</v>
      </c>
      <c r="G4114" s="8">
        <v>19</v>
      </c>
      <c r="H4114" s="8" t="s">
        <v>8549</v>
      </c>
      <c r="I4114" s="8">
        <v>529.875</v>
      </c>
      <c r="J4114" s="3">
        <f t="shared" si="64"/>
        <v>43747.763533495367</v>
      </c>
    </row>
    <row r="4115" spans="1:10" x14ac:dyDescent="0.25">
      <c r="A4115" s="5" t="s">
        <v>8550</v>
      </c>
      <c r="B4115" s="6">
        <v>403.125</v>
      </c>
      <c r="C4115" s="6">
        <v>20.478950000000001</v>
      </c>
      <c r="D4115" s="6">
        <v>75</v>
      </c>
      <c r="E4115" s="6">
        <v>0</v>
      </c>
      <c r="F4115" s="6">
        <v>0</v>
      </c>
      <c r="G4115" s="6">
        <v>8</v>
      </c>
      <c r="H4115" s="6" t="s">
        <v>8551</v>
      </c>
      <c r="I4115" s="6">
        <v>529.125</v>
      </c>
      <c r="J4115" s="2">
        <f t="shared" si="64"/>
        <v>43747.763604976848</v>
      </c>
    </row>
    <row r="4116" spans="1:10" x14ac:dyDescent="0.25">
      <c r="A4116" s="7" t="s">
        <v>8552</v>
      </c>
      <c r="B4116" s="8">
        <v>403.125</v>
      </c>
      <c r="C4116" s="8">
        <v>20.478950000000001</v>
      </c>
      <c r="D4116" s="8">
        <v>75</v>
      </c>
      <c r="E4116" s="8">
        <v>0</v>
      </c>
      <c r="F4116" s="8">
        <v>0</v>
      </c>
      <c r="G4116" s="8">
        <v>22</v>
      </c>
      <c r="H4116" s="8" t="s">
        <v>8553</v>
      </c>
      <c r="I4116" s="8">
        <v>529.125</v>
      </c>
      <c r="J4116" s="3">
        <f t="shared" si="64"/>
        <v>43747.763688229163</v>
      </c>
    </row>
    <row r="4117" spans="1:10" x14ac:dyDescent="0.25">
      <c r="A4117" s="5" t="s">
        <v>8554</v>
      </c>
      <c r="B4117" s="6">
        <v>418.75</v>
      </c>
      <c r="C4117" s="6">
        <v>20.478950000000001</v>
      </c>
      <c r="D4117" s="6">
        <v>74</v>
      </c>
      <c r="E4117" s="6">
        <v>0</v>
      </c>
      <c r="F4117" s="6">
        <v>0</v>
      </c>
      <c r="G4117" s="6">
        <v>22</v>
      </c>
      <c r="H4117" s="6" t="s">
        <v>8555</v>
      </c>
      <c r="I4117" s="6">
        <v>534.75</v>
      </c>
      <c r="J4117" s="2">
        <f t="shared" si="64"/>
        <v>43747.763759652771</v>
      </c>
    </row>
    <row r="4118" spans="1:10" x14ac:dyDescent="0.25">
      <c r="A4118" s="7" t="s">
        <v>8556</v>
      </c>
      <c r="B4118" s="8">
        <v>403.125</v>
      </c>
      <c r="C4118" s="8">
        <v>20.478950000000001</v>
      </c>
      <c r="D4118" s="8">
        <v>74</v>
      </c>
      <c r="E4118" s="8">
        <v>0</v>
      </c>
      <c r="F4118" s="8">
        <v>0</v>
      </c>
      <c r="G4118" s="8">
        <v>16</v>
      </c>
      <c r="H4118" s="8" t="s">
        <v>8557</v>
      </c>
      <c r="I4118" s="8">
        <v>529.125</v>
      </c>
      <c r="J4118" s="3">
        <f t="shared" si="64"/>
        <v>43747.763831655095</v>
      </c>
    </row>
    <row r="4119" spans="1:10" x14ac:dyDescent="0.25">
      <c r="A4119" s="5" t="s">
        <v>8558</v>
      </c>
      <c r="B4119" s="6">
        <v>403.125</v>
      </c>
      <c r="C4119" s="6">
        <v>20.531590000000001</v>
      </c>
      <c r="D4119" s="6">
        <v>73</v>
      </c>
      <c r="E4119" s="6">
        <v>0</v>
      </c>
      <c r="F4119" s="6">
        <v>0</v>
      </c>
      <c r="G4119" s="6">
        <v>16</v>
      </c>
      <c r="H4119" s="6" t="s">
        <v>8559</v>
      </c>
      <c r="I4119" s="6">
        <v>529.125</v>
      </c>
      <c r="J4119" s="2">
        <f t="shared" si="64"/>
        <v>43747.763902928236</v>
      </c>
    </row>
    <row r="4120" spans="1:10" x14ac:dyDescent="0.25">
      <c r="A4120" s="7" t="s">
        <v>8560</v>
      </c>
      <c r="B4120" s="8">
        <v>403.125</v>
      </c>
      <c r="C4120" s="8">
        <v>20.478950000000001</v>
      </c>
      <c r="D4120" s="8">
        <v>74</v>
      </c>
      <c r="E4120" s="8">
        <v>0</v>
      </c>
      <c r="F4120" s="8">
        <v>0</v>
      </c>
      <c r="G4120" s="8">
        <v>16</v>
      </c>
      <c r="H4120" s="8" t="s">
        <v>8561</v>
      </c>
      <c r="I4120" s="8">
        <v>529.125</v>
      </c>
      <c r="J4120" s="3">
        <f t="shared" si="64"/>
        <v>43747.763974351845</v>
      </c>
    </row>
    <row r="4121" spans="1:10" x14ac:dyDescent="0.25">
      <c r="A4121" s="5" t="s">
        <v>8562</v>
      </c>
      <c r="B4121" s="6">
        <v>425</v>
      </c>
      <c r="C4121" s="6">
        <v>20.478950000000001</v>
      </c>
      <c r="D4121" s="6">
        <v>73</v>
      </c>
      <c r="E4121" s="6">
        <v>0</v>
      </c>
      <c r="F4121" s="6">
        <v>0</v>
      </c>
      <c r="G4121" s="6">
        <v>7</v>
      </c>
      <c r="H4121" s="6" t="s">
        <v>8563</v>
      </c>
      <c r="I4121" s="6">
        <v>536.625</v>
      </c>
      <c r="J4121" s="2">
        <f t="shared" si="64"/>
        <v>43747.764045775461</v>
      </c>
    </row>
    <row r="4122" spans="1:10" x14ac:dyDescent="0.25">
      <c r="A4122" s="7" t="s">
        <v>8564</v>
      </c>
      <c r="B4122" s="8">
        <v>403.125</v>
      </c>
      <c r="C4122" s="8">
        <v>20.531590000000001</v>
      </c>
      <c r="D4122" s="8">
        <v>73</v>
      </c>
      <c r="E4122" s="8">
        <v>0</v>
      </c>
      <c r="F4122" s="8">
        <v>0</v>
      </c>
      <c r="G4122" s="8">
        <v>14</v>
      </c>
      <c r="H4122" s="8" t="s">
        <v>8565</v>
      </c>
      <c r="I4122" s="8">
        <v>529.125</v>
      </c>
      <c r="J4122" s="3">
        <f t="shared" si="64"/>
        <v>43747.764117905092</v>
      </c>
    </row>
    <row r="4123" spans="1:10" x14ac:dyDescent="0.25">
      <c r="A4123" s="5" t="s">
        <v>8566</v>
      </c>
      <c r="B4123" s="6">
        <v>403.125</v>
      </c>
      <c r="C4123" s="6">
        <v>20.531590000000001</v>
      </c>
      <c r="D4123" s="6">
        <v>73</v>
      </c>
      <c r="E4123" s="6">
        <v>0</v>
      </c>
      <c r="F4123" s="6">
        <v>0</v>
      </c>
      <c r="G4123" s="6">
        <v>14</v>
      </c>
      <c r="H4123" s="6" t="s">
        <v>8567</v>
      </c>
      <c r="I4123" s="6">
        <v>529.3125</v>
      </c>
      <c r="J4123" s="2">
        <f t="shared" si="64"/>
        <v>43747.764189178233</v>
      </c>
    </row>
    <row r="4124" spans="1:10" x14ac:dyDescent="0.25">
      <c r="A4124" s="7" t="s">
        <v>8568</v>
      </c>
      <c r="B4124" s="8">
        <v>400</v>
      </c>
      <c r="C4124" s="8">
        <v>20.531590000000001</v>
      </c>
      <c r="D4124" s="8">
        <v>74</v>
      </c>
      <c r="E4124" s="8">
        <v>0</v>
      </c>
      <c r="F4124" s="8">
        <v>0</v>
      </c>
      <c r="G4124" s="8">
        <v>15</v>
      </c>
      <c r="H4124" s="8" t="s">
        <v>8569</v>
      </c>
      <c r="I4124" s="8">
        <v>528.9375</v>
      </c>
      <c r="J4124" s="3">
        <f t="shared" si="64"/>
        <v>43747.764273657405</v>
      </c>
    </row>
    <row r="4125" spans="1:10" x14ac:dyDescent="0.25">
      <c r="A4125" s="5" t="s">
        <v>8570</v>
      </c>
      <c r="B4125" s="6">
        <v>403.125</v>
      </c>
      <c r="C4125" s="6">
        <v>20.531590000000001</v>
      </c>
      <c r="D4125" s="6">
        <v>74</v>
      </c>
      <c r="E4125" s="6">
        <v>0</v>
      </c>
      <c r="F4125" s="6">
        <v>0</v>
      </c>
      <c r="G4125" s="6">
        <v>19</v>
      </c>
      <c r="H4125" s="6" t="s">
        <v>8571</v>
      </c>
      <c r="I4125" s="6">
        <v>529.875</v>
      </c>
      <c r="J4125" s="2">
        <f t="shared" si="64"/>
        <v>43747.764355844905</v>
      </c>
    </row>
    <row r="4126" spans="1:10" x14ac:dyDescent="0.25">
      <c r="A4126" s="7" t="s">
        <v>8572</v>
      </c>
      <c r="B4126" s="8">
        <v>406.25</v>
      </c>
      <c r="C4126" s="8">
        <v>20.478950000000001</v>
      </c>
      <c r="D4126" s="8">
        <v>76</v>
      </c>
      <c r="E4126" s="8">
        <v>0</v>
      </c>
      <c r="F4126" s="8">
        <v>0</v>
      </c>
      <c r="G4126" s="8">
        <v>18</v>
      </c>
      <c r="H4126" s="8" t="s">
        <v>8573</v>
      </c>
      <c r="I4126" s="8">
        <v>530.625</v>
      </c>
      <c r="J4126" s="3">
        <f t="shared" si="64"/>
        <v>43747.764427141206</v>
      </c>
    </row>
    <row r="4127" spans="1:10" x14ac:dyDescent="0.25">
      <c r="A4127" s="5" t="s">
        <v>8574</v>
      </c>
      <c r="B4127" s="6">
        <v>406.25</v>
      </c>
      <c r="C4127" s="6">
        <v>20.531590000000001</v>
      </c>
      <c r="D4127" s="6">
        <v>76</v>
      </c>
      <c r="E4127" s="6">
        <v>0</v>
      </c>
      <c r="F4127" s="6">
        <v>0</v>
      </c>
      <c r="G4127" s="6">
        <v>13</v>
      </c>
      <c r="H4127" s="6" t="s">
        <v>8575</v>
      </c>
      <c r="I4127" s="6">
        <v>530.625</v>
      </c>
      <c r="J4127" s="2">
        <f t="shared" si="64"/>
        <v>43747.764499247678</v>
      </c>
    </row>
    <row r="4128" spans="1:10" x14ac:dyDescent="0.25">
      <c r="A4128" s="7" t="s">
        <v>8576</v>
      </c>
      <c r="B4128" s="8">
        <v>431.25</v>
      </c>
      <c r="C4128" s="8">
        <v>20.531590000000001</v>
      </c>
      <c r="D4128" s="8">
        <v>76</v>
      </c>
      <c r="E4128" s="8">
        <v>0</v>
      </c>
      <c r="F4128" s="8">
        <v>0</v>
      </c>
      <c r="G4128" s="8">
        <v>15</v>
      </c>
      <c r="H4128" s="8" t="s">
        <v>8577</v>
      </c>
      <c r="I4128" s="8">
        <v>538.125</v>
      </c>
      <c r="J4128" s="3">
        <f t="shared" si="64"/>
        <v>43747.764570312494</v>
      </c>
    </row>
    <row r="4129" spans="1:10" x14ac:dyDescent="0.25">
      <c r="A4129" s="5" t="s">
        <v>8578</v>
      </c>
      <c r="B4129" s="6">
        <v>409.375</v>
      </c>
      <c r="C4129" s="6">
        <v>20.478950000000001</v>
      </c>
      <c r="D4129" s="6">
        <v>76</v>
      </c>
      <c r="E4129" s="6">
        <v>0</v>
      </c>
      <c r="F4129" s="6">
        <v>0</v>
      </c>
      <c r="G4129" s="6">
        <v>16</v>
      </c>
      <c r="H4129" s="6" t="s">
        <v>8579</v>
      </c>
      <c r="I4129" s="6">
        <v>531.375</v>
      </c>
      <c r="J4129" s="2">
        <f t="shared" si="64"/>
        <v>43747.764641944443</v>
      </c>
    </row>
    <row r="4130" spans="1:10" x14ac:dyDescent="0.25">
      <c r="A4130" s="7" t="s">
        <v>8580</v>
      </c>
      <c r="B4130" s="8">
        <v>412.5</v>
      </c>
      <c r="C4130" s="8">
        <v>20.478950000000001</v>
      </c>
      <c r="D4130" s="8">
        <v>76</v>
      </c>
      <c r="E4130" s="8">
        <v>0</v>
      </c>
      <c r="F4130" s="8">
        <v>0</v>
      </c>
      <c r="G4130" s="8">
        <v>15</v>
      </c>
      <c r="H4130" s="8" t="s">
        <v>8581</v>
      </c>
      <c r="I4130" s="8">
        <v>532.3125</v>
      </c>
      <c r="J4130" s="3">
        <f t="shared" si="64"/>
        <v>43747.76471416666</v>
      </c>
    </row>
    <row r="4131" spans="1:10" x14ac:dyDescent="0.25">
      <c r="A4131" s="5" t="s">
        <v>8582</v>
      </c>
      <c r="B4131" s="6">
        <v>409.375</v>
      </c>
      <c r="C4131" s="6">
        <v>20.531590000000001</v>
      </c>
      <c r="D4131" s="6">
        <v>77</v>
      </c>
      <c r="E4131" s="6">
        <v>0</v>
      </c>
      <c r="F4131" s="6">
        <v>0</v>
      </c>
      <c r="G4131" s="6">
        <v>23</v>
      </c>
      <c r="H4131" s="6" t="s">
        <v>8583</v>
      </c>
      <c r="I4131" s="6">
        <v>531.5625</v>
      </c>
      <c r="J4131" s="2">
        <f t="shared" si="64"/>
        <v>43747.76478528935</v>
      </c>
    </row>
    <row r="4132" spans="1:10" x14ac:dyDescent="0.25">
      <c r="A4132" s="7" t="s">
        <v>8584</v>
      </c>
      <c r="B4132" s="8">
        <v>409.375</v>
      </c>
      <c r="C4132" s="8">
        <v>20.478950000000001</v>
      </c>
      <c r="D4132" s="8">
        <v>78</v>
      </c>
      <c r="E4132" s="8">
        <v>0</v>
      </c>
      <c r="F4132" s="8">
        <v>0</v>
      </c>
      <c r="G4132" s="8">
        <v>20</v>
      </c>
      <c r="H4132" s="8" t="s">
        <v>8585</v>
      </c>
      <c r="I4132" s="8">
        <v>531.375</v>
      </c>
      <c r="J4132" s="3">
        <f t="shared" si="64"/>
        <v>43747.764860324074</v>
      </c>
    </row>
    <row r="4133" spans="1:10" x14ac:dyDescent="0.25">
      <c r="A4133" s="5" t="s">
        <v>8586</v>
      </c>
      <c r="B4133" s="6">
        <v>409.375</v>
      </c>
      <c r="C4133" s="6">
        <v>20.478950000000001</v>
      </c>
      <c r="D4133" s="6">
        <v>78</v>
      </c>
      <c r="E4133" s="6">
        <v>0</v>
      </c>
      <c r="F4133" s="6">
        <v>0</v>
      </c>
      <c r="G4133" s="6">
        <v>13</v>
      </c>
      <c r="H4133" s="6" t="s">
        <v>8587</v>
      </c>
      <c r="I4133" s="6">
        <v>531.5625</v>
      </c>
      <c r="J4133" s="2">
        <f t="shared" si="64"/>
        <v>43747.764939918976</v>
      </c>
    </row>
    <row r="4134" spans="1:10" x14ac:dyDescent="0.25">
      <c r="A4134" s="7" t="s">
        <v>8588</v>
      </c>
      <c r="B4134" s="8">
        <v>406.25</v>
      </c>
      <c r="C4134" s="8">
        <v>20.478950000000001</v>
      </c>
      <c r="D4134" s="8">
        <v>78</v>
      </c>
      <c r="E4134" s="8">
        <v>0</v>
      </c>
      <c r="F4134" s="8">
        <v>0</v>
      </c>
      <c r="G4134" s="8">
        <v>16</v>
      </c>
      <c r="H4134" s="8" t="s">
        <v>8589</v>
      </c>
      <c r="I4134" s="8">
        <v>530.625</v>
      </c>
      <c r="J4134" s="3">
        <f t="shared" si="64"/>
        <v>43747.765012141201</v>
      </c>
    </row>
    <row r="4135" spans="1:10" x14ac:dyDescent="0.25">
      <c r="A4135" s="5" t="s">
        <v>8590</v>
      </c>
      <c r="B4135" s="6">
        <v>406.25</v>
      </c>
      <c r="C4135" s="6">
        <v>20.478950000000001</v>
      </c>
      <c r="D4135" s="6">
        <v>79</v>
      </c>
      <c r="E4135" s="6">
        <v>0</v>
      </c>
      <c r="F4135" s="6">
        <v>0</v>
      </c>
      <c r="G4135" s="6">
        <v>12</v>
      </c>
      <c r="H4135" s="6" t="s">
        <v>8591</v>
      </c>
      <c r="I4135" s="6">
        <v>530.625</v>
      </c>
      <c r="J4135" s="2">
        <f t="shared" si="64"/>
        <v>43747.765088935186</v>
      </c>
    </row>
    <row r="4136" spans="1:10" x14ac:dyDescent="0.25">
      <c r="A4136" s="7" t="s">
        <v>8592</v>
      </c>
      <c r="B4136" s="8">
        <v>406.25</v>
      </c>
      <c r="C4136" s="8">
        <v>20.531590000000001</v>
      </c>
      <c r="D4136" s="8">
        <v>78</v>
      </c>
      <c r="E4136" s="8">
        <v>0</v>
      </c>
      <c r="F4136" s="8">
        <v>0</v>
      </c>
      <c r="G4136" s="8">
        <v>18</v>
      </c>
      <c r="H4136" s="8" t="s">
        <v>8593</v>
      </c>
      <c r="I4136" s="8">
        <v>530.625</v>
      </c>
      <c r="J4136" s="3">
        <f t="shared" si="64"/>
        <v>43747.765166770834</v>
      </c>
    </row>
    <row r="4137" spans="1:10" x14ac:dyDescent="0.25">
      <c r="A4137" s="5" t="s">
        <v>8594</v>
      </c>
      <c r="B4137" s="6">
        <v>403.125</v>
      </c>
      <c r="C4137" s="6">
        <v>20.478950000000001</v>
      </c>
      <c r="D4137" s="6">
        <v>81</v>
      </c>
      <c r="E4137" s="6">
        <v>0</v>
      </c>
      <c r="F4137" s="6">
        <v>0</v>
      </c>
      <c r="G4137" s="6">
        <v>16</v>
      </c>
      <c r="H4137" s="6" t="s">
        <v>8595</v>
      </c>
      <c r="I4137" s="6">
        <v>529.875</v>
      </c>
      <c r="J4137" s="2">
        <f t="shared" si="64"/>
        <v>43747.765250104167</v>
      </c>
    </row>
    <row r="4138" spans="1:10" x14ac:dyDescent="0.25">
      <c r="A4138" s="7" t="s">
        <v>8596</v>
      </c>
      <c r="B4138" s="8">
        <v>403.125</v>
      </c>
      <c r="C4138" s="8">
        <v>20.478950000000001</v>
      </c>
      <c r="D4138" s="8">
        <v>81</v>
      </c>
      <c r="E4138" s="8">
        <v>0</v>
      </c>
      <c r="F4138" s="8">
        <v>0</v>
      </c>
      <c r="G4138" s="8">
        <v>12</v>
      </c>
      <c r="H4138" s="8" t="s">
        <v>8597</v>
      </c>
      <c r="I4138" s="8">
        <v>529.875</v>
      </c>
      <c r="J4138" s="3">
        <f t="shared" si="64"/>
        <v>43747.765321412036</v>
      </c>
    </row>
    <row r="4139" spans="1:10" x14ac:dyDescent="0.25">
      <c r="A4139" s="5" t="s">
        <v>8598</v>
      </c>
      <c r="B4139" s="6">
        <v>403.125</v>
      </c>
      <c r="C4139" s="6">
        <v>20.531590000000001</v>
      </c>
      <c r="D4139" s="6">
        <v>80</v>
      </c>
      <c r="E4139" s="6">
        <v>0</v>
      </c>
      <c r="F4139" s="6">
        <v>0</v>
      </c>
      <c r="G4139" s="6">
        <v>17</v>
      </c>
      <c r="H4139" s="6" t="s">
        <v>8599</v>
      </c>
      <c r="I4139" s="6">
        <v>529.875</v>
      </c>
      <c r="J4139" s="2">
        <f t="shared" si="64"/>
        <v>43747.765405428239</v>
      </c>
    </row>
    <row r="4140" spans="1:10" x14ac:dyDescent="0.25">
      <c r="A4140" s="7" t="s">
        <v>8600</v>
      </c>
      <c r="B4140" s="8">
        <v>403.125</v>
      </c>
      <c r="C4140" s="8">
        <v>20.584240000000001</v>
      </c>
      <c r="D4140" s="8">
        <v>79</v>
      </c>
      <c r="E4140" s="8">
        <v>0</v>
      </c>
      <c r="F4140" s="8">
        <v>0</v>
      </c>
      <c r="G4140" s="8">
        <v>23</v>
      </c>
      <c r="H4140" s="8" t="s">
        <v>8601</v>
      </c>
      <c r="I4140" s="8">
        <v>529.875</v>
      </c>
      <c r="J4140" s="3">
        <f t="shared" si="64"/>
        <v>43747.765476979162</v>
      </c>
    </row>
    <row r="4141" spans="1:10" x14ac:dyDescent="0.25">
      <c r="A4141" s="5" t="s">
        <v>8602</v>
      </c>
      <c r="B4141" s="6">
        <v>400</v>
      </c>
      <c r="C4141" s="6">
        <v>20.478950000000001</v>
      </c>
      <c r="D4141" s="6">
        <v>78</v>
      </c>
      <c r="E4141" s="6">
        <v>0</v>
      </c>
      <c r="F4141" s="6">
        <v>0</v>
      </c>
      <c r="G4141" s="6">
        <v>18</v>
      </c>
      <c r="H4141" s="6" t="s">
        <v>8603</v>
      </c>
      <c r="I4141" s="6">
        <v>528.9375</v>
      </c>
      <c r="J4141" s="2">
        <f t="shared" si="64"/>
        <v>43747.765548263887</v>
      </c>
    </row>
    <row r="4142" spans="1:10" x14ac:dyDescent="0.25">
      <c r="A4142" s="7" t="s">
        <v>8604</v>
      </c>
      <c r="B4142" s="8">
        <v>418.75</v>
      </c>
      <c r="C4142" s="8">
        <v>20.531590000000001</v>
      </c>
      <c r="D4142" s="8">
        <v>78</v>
      </c>
      <c r="E4142" s="8">
        <v>0</v>
      </c>
      <c r="F4142" s="8">
        <v>0</v>
      </c>
      <c r="G4142" s="8">
        <v>20</v>
      </c>
      <c r="H4142" s="8" t="s">
        <v>8605</v>
      </c>
      <c r="I4142" s="8">
        <v>534.5625</v>
      </c>
      <c r="J4142" s="3">
        <f t="shared" si="64"/>
        <v>43747.765619618054</v>
      </c>
    </row>
    <row r="4143" spans="1:10" x14ac:dyDescent="0.25">
      <c r="A4143" s="5" t="s">
        <v>8606</v>
      </c>
      <c r="B4143" s="6">
        <v>400</v>
      </c>
      <c r="C4143" s="6">
        <v>20.531590000000001</v>
      </c>
      <c r="D4143" s="6">
        <v>79</v>
      </c>
      <c r="E4143" s="6">
        <v>0</v>
      </c>
      <c r="F4143" s="6">
        <v>0</v>
      </c>
      <c r="G4143" s="6">
        <v>20</v>
      </c>
      <c r="H4143" s="6" t="s">
        <v>8607</v>
      </c>
      <c r="I4143" s="6">
        <v>528.9375</v>
      </c>
      <c r="J4143" s="2">
        <f t="shared" si="64"/>
        <v>43747.765691828703</v>
      </c>
    </row>
    <row r="4144" spans="1:10" x14ac:dyDescent="0.25">
      <c r="A4144" s="7" t="s">
        <v>8608</v>
      </c>
      <c r="B4144" s="8">
        <v>403.125</v>
      </c>
      <c r="C4144" s="8">
        <v>20.478950000000001</v>
      </c>
      <c r="D4144" s="8">
        <v>79</v>
      </c>
      <c r="E4144" s="8">
        <v>0</v>
      </c>
      <c r="F4144" s="8">
        <v>0</v>
      </c>
      <c r="G4144" s="8">
        <v>20</v>
      </c>
      <c r="H4144" s="8" t="s">
        <v>8609</v>
      </c>
      <c r="I4144" s="8">
        <v>529.125</v>
      </c>
      <c r="J4144" s="3">
        <f t="shared" si="64"/>
        <v>43747.765763067124</v>
      </c>
    </row>
    <row r="4145" spans="1:10" x14ac:dyDescent="0.25">
      <c r="A4145" s="5" t="s">
        <v>8610</v>
      </c>
      <c r="B4145" s="6">
        <v>400</v>
      </c>
      <c r="C4145" s="6">
        <v>20.531590000000001</v>
      </c>
      <c r="D4145" s="6">
        <v>80</v>
      </c>
      <c r="E4145" s="6">
        <v>0</v>
      </c>
      <c r="F4145" s="6">
        <v>0</v>
      </c>
      <c r="G4145" s="6">
        <v>14</v>
      </c>
      <c r="H4145" s="6" t="s">
        <v>8611</v>
      </c>
      <c r="I4145" s="6">
        <v>528.1875</v>
      </c>
      <c r="J4145" s="2">
        <f t="shared" si="64"/>
        <v>43747.765834363425</v>
      </c>
    </row>
    <row r="4146" spans="1:10" x14ac:dyDescent="0.25">
      <c r="A4146" s="7" t="s">
        <v>8612</v>
      </c>
      <c r="B4146" s="8">
        <v>400</v>
      </c>
      <c r="C4146" s="8">
        <v>20.478950000000001</v>
      </c>
      <c r="D4146" s="8">
        <v>78</v>
      </c>
      <c r="E4146" s="8">
        <v>0</v>
      </c>
      <c r="F4146" s="8">
        <v>0</v>
      </c>
      <c r="G4146" s="8">
        <v>19</v>
      </c>
      <c r="H4146" s="8" t="s">
        <v>8613</v>
      </c>
      <c r="I4146" s="8">
        <v>528.1875</v>
      </c>
      <c r="J4146" s="3">
        <f t="shared" si="64"/>
        <v>43747.765905659719</v>
      </c>
    </row>
    <row r="4147" spans="1:10" x14ac:dyDescent="0.25">
      <c r="A4147" s="5" t="s">
        <v>8614</v>
      </c>
      <c r="B4147" s="6">
        <v>400</v>
      </c>
      <c r="C4147" s="6">
        <v>20.531590000000001</v>
      </c>
      <c r="D4147" s="6">
        <v>78</v>
      </c>
      <c r="E4147" s="6">
        <v>0</v>
      </c>
      <c r="F4147" s="6">
        <v>0</v>
      </c>
      <c r="G4147" s="6">
        <v>16</v>
      </c>
      <c r="H4147" s="6" t="s">
        <v>8615</v>
      </c>
      <c r="I4147" s="6">
        <v>528.1875</v>
      </c>
      <c r="J4147" s="2">
        <f t="shared" si="64"/>
        <v>43747.765977881943</v>
      </c>
    </row>
    <row r="4148" spans="1:10" x14ac:dyDescent="0.25">
      <c r="A4148" s="7" t="s">
        <v>8616</v>
      </c>
      <c r="B4148" s="8">
        <v>400</v>
      </c>
      <c r="C4148" s="8">
        <v>20.478950000000001</v>
      </c>
      <c r="D4148" s="8">
        <v>78</v>
      </c>
      <c r="E4148" s="8">
        <v>0</v>
      </c>
      <c r="F4148" s="8">
        <v>0</v>
      </c>
      <c r="G4148" s="8">
        <v>18</v>
      </c>
      <c r="H4148" s="8" t="s">
        <v>8617</v>
      </c>
      <c r="I4148" s="8">
        <v>528.1875</v>
      </c>
      <c r="J4148" s="3">
        <f t="shared" si="64"/>
        <v>43747.766049189813</v>
      </c>
    </row>
    <row r="4149" spans="1:10" x14ac:dyDescent="0.25">
      <c r="A4149" s="5" t="s">
        <v>8618</v>
      </c>
      <c r="B4149" s="6">
        <v>403.125</v>
      </c>
      <c r="C4149" s="6">
        <v>20.531590000000001</v>
      </c>
      <c r="D4149" s="6">
        <v>78</v>
      </c>
      <c r="E4149" s="6">
        <v>0</v>
      </c>
      <c r="F4149" s="6">
        <v>0</v>
      </c>
      <c r="G4149" s="6">
        <v>12</v>
      </c>
      <c r="H4149" s="6" t="s">
        <v>8619</v>
      </c>
      <c r="I4149" s="6">
        <v>529.125</v>
      </c>
      <c r="J4149" s="2">
        <f t="shared" si="64"/>
        <v>43747.766120462962</v>
      </c>
    </row>
    <row r="4150" spans="1:10" x14ac:dyDescent="0.25">
      <c r="A4150" s="7" t="s">
        <v>8620</v>
      </c>
      <c r="B4150" s="8">
        <v>403.125</v>
      </c>
      <c r="C4150" s="8">
        <v>20.531590000000001</v>
      </c>
      <c r="D4150" s="8">
        <v>77</v>
      </c>
      <c r="E4150" s="8">
        <v>0</v>
      </c>
      <c r="F4150" s="8">
        <v>0</v>
      </c>
      <c r="G4150" s="8">
        <v>17</v>
      </c>
      <c r="H4150" s="8" t="s">
        <v>8621</v>
      </c>
      <c r="I4150" s="8">
        <v>529.125</v>
      </c>
      <c r="J4150" s="3">
        <f t="shared" si="64"/>
        <v>43747.766203865736</v>
      </c>
    </row>
    <row r="4151" spans="1:10" x14ac:dyDescent="0.25">
      <c r="A4151" s="5" t="s">
        <v>8622</v>
      </c>
      <c r="B4151" s="6">
        <v>403.125</v>
      </c>
      <c r="C4151" s="6">
        <v>20.478950000000001</v>
      </c>
      <c r="D4151" s="6">
        <v>77</v>
      </c>
      <c r="E4151" s="6">
        <v>0</v>
      </c>
      <c r="F4151" s="6">
        <v>0</v>
      </c>
      <c r="G4151" s="6">
        <v>15</v>
      </c>
      <c r="H4151" s="6" t="s">
        <v>8623</v>
      </c>
      <c r="I4151" s="6">
        <v>529.125</v>
      </c>
      <c r="J4151" s="2">
        <f t="shared" si="64"/>
        <v>43747.766287847218</v>
      </c>
    </row>
    <row r="4152" spans="1:10" x14ac:dyDescent="0.25">
      <c r="A4152" s="7" t="s">
        <v>8624</v>
      </c>
      <c r="B4152" s="8">
        <v>403.125</v>
      </c>
      <c r="C4152" s="8">
        <v>20.531590000000001</v>
      </c>
      <c r="D4152" s="8">
        <v>77</v>
      </c>
      <c r="E4152" s="8">
        <v>0</v>
      </c>
      <c r="F4152" s="8">
        <v>0</v>
      </c>
      <c r="G4152" s="8">
        <v>16</v>
      </c>
      <c r="H4152" s="8" t="s">
        <v>8625</v>
      </c>
      <c r="I4152" s="8">
        <v>529.875</v>
      </c>
      <c r="J4152" s="3">
        <f t="shared" si="64"/>
        <v>43747.766359374997</v>
      </c>
    </row>
    <row r="4153" spans="1:10" x14ac:dyDescent="0.25">
      <c r="A4153" s="5" t="s">
        <v>8626</v>
      </c>
      <c r="B4153" s="6">
        <v>428.125</v>
      </c>
      <c r="C4153" s="6">
        <v>20.478950000000001</v>
      </c>
      <c r="D4153" s="6">
        <v>77</v>
      </c>
      <c r="E4153" s="6">
        <v>0</v>
      </c>
      <c r="F4153" s="6">
        <v>0</v>
      </c>
      <c r="G4153" s="6">
        <v>17</v>
      </c>
      <c r="H4153" s="6" t="s">
        <v>8627</v>
      </c>
      <c r="I4153" s="6">
        <v>537.9375</v>
      </c>
      <c r="J4153" s="2">
        <f t="shared" si="64"/>
        <v>43747.76643067129</v>
      </c>
    </row>
    <row r="4154" spans="1:10" x14ac:dyDescent="0.25">
      <c r="A4154" s="7" t="s">
        <v>8628</v>
      </c>
      <c r="B4154" s="8">
        <v>403.125</v>
      </c>
      <c r="C4154" s="8">
        <v>20.531590000000001</v>
      </c>
      <c r="D4154" s="8">
        <v>76</v>
      </c>
      <c r="E4154" s="8">
        <v>0</v>
      </c>
      <c r="F4154" s="8">
        <v>0</v>
      </c>
      <c r="G4154" s="8">
        <v>23</v>
      </c>
      <c r="H4154" s="8" t="s">
        <v>8629</v>
      </c>
      <c r="I4154" s="8">
        <v>529.125</v>
      </c>
      <c r="J4154" s="3">
        <f t="shared" si="64"/>
        <v>43747.766501956015</v>
      </c>
    </row>
    <row r="4155" spans="1:10" x14ac:dyDescent="0.25">
      <c r="A4155" s="5" t="s">
        <v>8630</v>
      </c>
      <c r="B4155" s="6">
        <v>403.125</v>
      </c>
      <c r="C4155" s="6">
        <v>20.478950000000001</v>
      </c>
      <c r="D4155" s="6">
        <v>76</v>
      </c>
      <c r="E4155" s="6">
        <v>0</v>
      </c>
      <c r="F4155" s="6">
        <v>0</v>
      </c>
      <c r="G4155" s="6">
        <v>19</v>
      </c>
      <c r="H4155" s="6" t="s">
        <v>8631</v>
      </c>
      <c r="I4155" s="6">
        <v>529.125</v>
      </c>
      <c r="J4155" s="2">
        <f t="shared" si="64"/>
        <v>43747.766585370373</v>
      </c>
    </row>
    <row r="4156" spans="1:10" x14ac:dyDescent="0.25">
      <c r="A4156" s="7" t="s">
        <v>8632</v>
      </c>
      <c r="B4156" s="8">
        <v>403.125</v>
      </c>
      <c r="C4156" s="8">
        <v>20.478950000000001</v>
      </c>
      <c r="D4156" s="8">
        <v>78</v>
      </c>
      <c r="E4156" s="8">
        <v>0</v>
      </c>
      <c r="F4156" s="8">
        <v>0</v>
      </c>
      <c r="G4156" s="8">
        <v>25</v>
      </c>
      <c r="H4156" s="8" t="s">
        <v>8633</v>
      </c>
      <c r="I4156" s="8">
        <v>529.125</v>
      </c>
      <c r="J4156" s="3">
        <f t="shared" si="64"/>
        <v>43747.766657499997</v>
      </c>
    </row>
    <row r="4157" spans="1:10" x14ac:dyDescent="0.25">
      <c r="A4157" s="5" t="s">
        <v>8634</v>
      </c>
      <c r="B4157" s="6">
        <v>403.125</v>
      </c>
      <c r="C4157" s="6">
        <v>20.478950000000001</v>
      </c>
      <c r="D4157" s="6">
        <v>78</v>
      </c>
      <c r="E4157" s="6">
        <v>0</v>
      </c>
      <c r="F4157" s="6">
        <v>0</v>
      </c>
      <c r="G4157" s="6">
        <v>16</v>
      </c>
      <c r="H4157" s="6" t="s">
        <v>8635</v>
      </c>
      <c r="I4157" s="6">
        <v>529.125</v>
      </c>
      <c r="J4157" s="2">
        <f t="shared" si="64"/>
        <v>43747.766728831011</v>
      </c>
    </row>
    <row r="4158" spans="1:10" x14ac:dyDescent="0.25">
      <c r="A4158" s="7" t="s">
        <v>8636</v>
      </c>
      <c r="B4158" s="8">
        <v>403.125</v>
      </c>
      <c r="C4158" s="8">
        <v>20.478950000000001</v>
      </c>
      <c r="D4158" s="8">
        <v>78</v>
      </c>
      <c r="E4158" s="8">
        <v>0</v>
      </c>
      <c r="F4158" s="8">
        <v>0</v>
      </c>
      <c r="G4158" s="8">
        <v>20</v>
      </c>
      <c r="H4158" s="8" t="s">
        <v>8637</v>
      </c>
      <c r="I4158" s="8">
        <v>529.875</v>
      </c>
      <c r="J4158" s="3">
        <f t="shared" si="64"/>
        <v>43747.766823749997</v>
      </c>
    </row>
    <row r="4159" spans="1:10" x14ac:dyDescent="0.25">
      <c r="A4159" s="5" t="s">
        <v>8638</v>
      </c>
      <c r="B4159" s="6">
        <v>403.125</v>
      </c>
      <c r="C4159" s="6">
        <v>20.478950000000001</v>
      </c>
      <c r="D4159" s="6">
        <v>76</v>
      </c>
      <c r="E4159" s="6">
        <v>0</v>
      </c>
      <c r="F4159" s="6">
        <v>0</v>
      </c>
      <c r="G4159" s="6">
        <v>13</v>
      </c>
      <c r="H4159" s="6" t="s">
        <v>8639</v>
      </c>
      <c r="I4159" s="6">
        <v>529.875</v>
      </c>
      <c r="J4159" s="2">
        <f t="shared" si="64"/>
        <v>43747.766895486107</v>
      </c>
    </row>
    <row r="4160" spans="1:10" x14ac:dyDescent="0.25">
      <c r="A4160" s="7" t="s">
        <v>8640</v>
      </c>
      <c r="B4160" s="8">
        <v>403.125</v>
      </c>
      <c r="C4160" s="8">
        <v>20.478950000000001</v>
      </c>
      <c r="D4160" s="8">
        <v>76</v>
      </c>
      <c r="E4160" s="8">
        <v>0</v>
      </c>
      <c r="F4160" s="8">
        <v>0</v>
      </c>
      <c r="G4160" s="8">
        <v>18</v>
      </c>
      <c r="H4160" s="8" t="s">
        <v>8641</v>
      </c>
      <c r="I4160" s="8">
        <v>529.875</v>
      </c>
      <c r="J4160" s="3">
        <f t="shared" si="64"/>
        <v>43747.766978807871</v>
      </c>
    </row>
    <row r="4161" spans="1:10" x14ac:dyDescent="0.25">
      <c r="A4161" s="5" t="s">
        <v>8642</v>
      </c>
      <c r="B4161" s="6">
        <v>403.125</v>
      </c>
      <c r="C4161" s="6">
        <v>20.531590000000001</v>
      </c>
      <c r="D4161" s="6">
        <v>76</v>
      </c>
      <c r="E4161" s="6">
        <v>0</v>
      </c>
      <c r="F4161" s="6">
        <v>0</v>
      </c>
      <c r="G4161" s="6">
        <v>13</v>
      </c>
      <c r="H4161" s="6" t="s">
        <v>8643</v>
      </c>
      <c r="I4161" s="6">
        <v>529.875</v>
      </c>
      <c r="J4161" s="2">
        <f t="shared" si="64"/>
        <v>43747.767050173607</v>
      </c>
    </row>
    <row r="4162" spans="1:10" x14ac:dyDescent="0.25">
      <c r="A4162" s="7" t="s">
        <v>8644</v>
      </c>
      <c r="B4162" s="8">
        <v>403.125</v>
      </c>
      <c r="C4162" s="8">
        <v>20.478950000000001</v>
      </c>
      <c r="D4162" s="8">
        <v>75</v>
      </c>
      <c r="E4162" s="8">
        <v>0</v>
      </c>
      <c r="F4162" s="8">
        <v>0</v>
      </c>
      <c r="G4162" s="8">
        <v>17</v>
      </c>
      <c r="H4162" s="8" t="s">
        <v>8645</v>
      </c>
      <c r="I4162" s="8">
        <v>529.125</v>
      </c>
      <c r="J4162" s="3">
        <f t="shared" ref="J4162:J4225" si="65">(H4162/86400000)+25569+(7/24)</f>
        <v>43747.767122500001</v>
      </c>
    </row>
    <row r="4163" spans="1:10" x14ac:dyDescent="0.25">
      <c r="A4163" s="5" t="s">
        <v>8646</v>
      </c>
      <c r="B4163" s="6">
        <v>403.125</v>
      </c>
      <c r="C4163" s="6">
        <v>20.531590000000001</v>
      </c>
      <c r="D4163" s="6">
        <v>74</v>
      </c>
      <c r="E4163" s="6">
        <v>0</v>
      </c>
      <c r="F4163" s="6">
        <v>0</v>
      </c>
      <c r="G4163" s="6">
        <v>19</v>
      </c>
      <c r="H4163" s="6" t="s">
        <v>8647</v>
      </c>
      <c r="I4163" s="6">
        <v>529.125</v>
      </c>
      <c r="J4163" s="2">
        <f t="shared" si="65"/>
        <v>43747.767193692132</v>
      </c>
    </row>
    <row r="4164" spans="1:10" x14ac:dyDescent="0.25">
      <c r="A4164" s="7" t="s">
        <v>8648</v>
      </c>
      <c r="B4164" s="8">
        <v>403.125</v>
      </c>
      <c r="C4164" s="8">
        <v>20.478950000000001</v>
      </c>
      <c r="D4164" s="8">
        <v>73</v>
      </c>
      <c r="E4164" s="8">
        <v>0</v>
      </c>
      <c r="F4164" s="8">
        <v>0</v>
      </c>
      <c r="G4164" s="8">
        <v>16</v>
      </c>
      <c r="H4164" s="8" t="s">
        <v>8649</v>
      </c>
      <c r="I4164" s="8">
        <v>529.125</v>
      </c>
      <c r="J4164" s="3">
        <f t="shared" si="65"/>
        <v>43747.76726508102</v>
      </c>
    </row>
    <row r="4165" spans="1:10" x14ac:dyDescent="0.25">
      <c r="A4165" s="5" t="s">
        <v>8650</v>
      </c>
      <c r="B4165" s="6">
        <v>403.125</v>
      </c>
      <c r="C4165" s="6">
        <v>20.531590000000001</v>
      </c>
      <c r="D4165" s="6">
        <v>73</v>
      </c>
      <c r="E4165" s="6">
        <v>0</v>
      </c>
      <c r="F4165" s="6">
        <v>0</v>
      </c>
      <c r="G4165" s="6">
        <v>18</v>
      </c>
      <c r="H4165" s="6" t="s">
        <v>8651</v>
      </c>
      <c r="I4165" s="6">
        <v>529.125</v>
      </c>
      <c r="J4165" s="2">
        <f t="shared" si="65"/>
        <v>43747.767337141202</v>
      </c>
    </row>
    <row r="4166" spans="1:10" x14ac:dyDescent="0.25">
      <c r="A4166" s="7" t="s">
        <v>8652</v>
      </c>
      <c r="B4166" s="8">
        <v>400</v>
      </c>
      <c r="C4166" s="8">
        <v>20.531590000000001</v>
      </c>
      <c r="D4166" s="8">
        <v>75</v>
      </c>
      <c r="E4166" s="8">
        <v>0</v>
      </c>
      <c r="F4166" s="8">
        <v>0</v>
      </c>
      <c r="G4166" s="8">
        <v>18</v>
      </c>
      <c r="H4166" s="8" t="s">
        <v>8653</v>
      </c>
      <c r="I4166" s="8">
        <v>528.1875</v>
      </c>
      <c r="J4166" s="3">
        <f t="shared" si="65"/>
        <v>43747.767408958331</v>
      </c>
    </row>
    <row r="4167" spans="1:10" x14ac:dyDescent="0.25">
      <c r="A4167" s="5" t="s">
        <v>8654</v>
      </c>
      <c r="B4167" s="6">
        <v>400</v>
      </c>
      <c r="C4167" s="6">
        <v>20.531590000000001</v>
      </c>
      <c r="D4167" s="6">
        <v>76</v>
      </c>
      <c r="E4167" s="6">
        <v>0</v>
      </c>
      <c r="F4167" s="6">
        <v>0</v>
      </c>
      <c r="G4167" s="6">
        <v>15</v>
      </c>
      <c r="H4167" s="6" t="s">
        <v>8655</v>
      </c>
      <c r="I4167" s="6">
        <v>528.375</v>
      </c>
      <c r="J4167" s="2">
        <f t="shared" si="65"/>
        <v>43747.767503807867</v>
      </c>
    </row>
    <row r="4168" spans="1:10" x14ac:dyDescent="0.25">
      <c r="A4168" s="7" t="s">
        <v>8656</v>
      </c>
      <c r="B4168" s="8">
        <v>403.125</v>
      </c>
      <c r="C4168" s="8">
        <v>20.478950000000001</v>
      </c>
      <c r="D4168" s="8">
        <v>78</v>
      </c>
      <c r="E4168" s="8">
        <v>0</v>
      </c>
      <c r="F4168" s="8">
        <v>0</v>
      </c>
      <c r="G4168" s="8">
        <v>22</v>
      </c>
      <c r="H4168" s="8" t="s">
        <v>8657</v>
      </c>
      <c r="I4168" s="8">
        <v>529.125</v>
      </c>
      <c r="J4168" s="3">
        <f t="shared" si="65"/>
        <v>43747.767575104161</v>
      </c>
    </row>
    <row r="4169" spans="1:10" x14ac:dyDescent="0.25">
      <c r="A4169" s="5" t="s">
        <v>8658</v>
      </c>
      <c r="B4169" s="6">
        <v>403.125</v>
      </c>
      <c r="C4169" s="6">
        <v>20.478950000000001</v>
      </c>
      <c r="D4169" s="6">
        <v>76</v>
      </c>
      <c r="E4169" s="6">
        <v>0</v>
      </c>
      <c r="F4169" s="6">
        <v>0</v>
      </c>
      <c r="G4169" s="6">
        <v>14</v>
      </c>
      <c r="H4169" s="6" t="s">
        <v>8659</v>
      </c>
      <c r="I4169" s="6">
        <v>529.125</v>
      </c>
      <c r="J4169" s="2">
        <f t="shared" si="65"/>
        <v>43747.767647546294</v>
      </c>
    </row>
    <row r="4170" spans="1:10" x14ac:dyDescent="0.25">
      <c r="A4170" s="7" t="s">
        <v>8660</v>
      </c>
      <c r="B4170" s="8">
        <v>403.125</v>
      </c>
      <c r="C4170" s="8">
        <v>20.531590000000001</v>
      </c>
      <c r="D4170" s="8">
        <v>76</v>
      </c>
      <c r="E4170" s="8">
        <v>0</v>
      </c>
      <c r="F4170" s="8">
        <v>0</v>
      </c>
      <c r="G4170" s="8">
        <v>6</v>
      </c>
      <c r="H4170" s="8" t="s">
        <v>8661</v>
      </c>
      <c r="I4170" s="8">
        <v>529.125</v>
      </c>
      <c r="J4170" s="3">
        <f t="shared" si="65"/>
        <v>43747.767718622687</v>
      </c>
    </row>
    <row r="4171" spans="1:10" x14ac:dyDescent="0.25">
      <c r="A4171" s="5" t="s">
        <v>8662</v>
      </c>
      <c r="B4171" s="6">
        <v>403.125</v>
      </c>
      <c r="C4171" s="6">
        <v>20.531590000000001</v>
      </c>
      <c r="D4171" s="6">
        <v>76</v>
      </c>
      <c r="E4171" s="6">
        <v>0</v>
      </c>
      <c r="F4171" s="6">
        <v>0</v>
      </c>
      <c r="G4171" s="6">
        <v>19</v>
      </c>
      <c r="H4171" s="6" t="s">
        <v>8663</v>
      </c>
      <c r="I4171" s="6">
        <v>529.125</v>
      </c>
      <c r="J4171" s="2">
        <f t="shared" si="65"/>
        <v>43747.767789930549</v>
      </c>
    </row>
    <row r="4172" spans="1:10" x14ac:dyDescent="0.25">
      <c r="A4172" s="7" t="s">
        <v>8664</v>
      </c>
      <c r="B4172" s="8">
        <v>403.125</v>
      </c>
      <c r="C4172" s="8">
        <v>20.478950000000001</v>
      </c>
      <c r="D4172" s="8">
        <v>77</v>
      </c>
      <c r="E4172" s="8">
        <v>0</v>
      </c>
      <c r="F4172" s="8">
        <v>0</v>
      </c>
      <c r="G4172" s="8">
        <v>17</v>
      </c>
      <c r="H4172" s="8" t="s">
        <v>8665</v>
      </c>
      <c r="I4172" s="8">
        <v>529.125</v>
      </c>
      <c r="J4172" s="3">
        <f t="shared" si="65"/>
        <v>43747.767873252313</v>
      </c>
    </row>
    <row r="4173" spans="1:10" x14ac:dyDescent="0.25">
      <c r="A4173" s="5" t="s">
        <v>8666</v>
      </c>
      <c r="B4173" s="6">
        <v>418.75</v>
      </c>
      <c r="C4173" s="6">
        <v>20.478950000000001</v>
      </c>
      <c r="D4173" s="6">
        <v>77</v>
      </c>
      <c r="E4173" s="6">
        <v>0</v>
      </c>
      <c r="F4173" s="6">
        <v>0</v>
      </c>
      <c r="G4173" s="6">
        <v>17</v>
      </c>
      <c r="H4173" s="6" t="s">
        <v>8667</v>
      </c>
      <c r="I4173" s="6">
        <v>534.9375</v>
      </c>
      <c r="J4173" s="2">
        <f t="shared" si="65"/>
        <v>43747.767945243053</v>
      </c>
    </row>
    <row r="4174" spans="1:10" x14ac:dyDescent="0.25">
      <c r="A4174" s="7" t="s">
        <v>8668</v>
      </c>
      <c r="B4174" s="8">
        <v>400</v>
      </c>
      <c r="C4174" s="8">
        <v>20.584240000000001</v>
      </c>
      <c r="D4174" s="8">
        <v>77</v>
      </c>
      <c r="E4174" s="8">
        <v>0</v>
      </c>
      <c r="F4174" s="8">
        <v>0</v>
      </c>
      <c r="G4174" s="8">
        <v>15</v>
      </c>
      <c r="H4174" s="8" t="s">
        <v>8669</v>
      </c>
      <c r="I4174" s="8">
        <v>528.9375</v>
      </c>
      <c r="J4174" s="3">
        <f t="shared" si="65"/>
        <v>43747.768016307869</v>
      </c>
    </row>
    <row r="4175" spans="1:10" x14ac:dyDescent="0.25">
      <c r="A4175" s="5" t="s">
        <v>8670</v>
      </c>
      <c r="B4175" s="6">
        <v>400</v>
      </c>
      <c r="C4175" s="6">
        <v>20.531590000000001</v>
      </c>
      <c r="D4175" s="6">
        <v>78</v>
      </c>
      <c r="E4175" s="6">
        <v>0</v>
      </c>
      <c r="F4175" s="6">
        <v>0</v>
      </c>
      <c r="G4175" s="6">
        <v>17</v>
      </c>
      <c r="H4175" s="6" t="s">
        <v>8671</v>
      </c>
      <c r="I4175" s="6">
        <v>528.9375</v>
      </c>
      <c r="J4175" s="2">
        <f t="shared" si="65"/>
        <v>43747.768088067132</v>
      </c>
    </row>
    <row r="4176" spans="1:10" x14ac:dyDescent="0.25">
      <c r="A4176" s="7" t="s">
        <v>8672</v>
      </c>
      <c r="B4176" s="8">
        <v>403.125</v>
      </c>
      <c r="C4176" s="8">
        <v>20.531590000000001</v>
      </c>
      <c r="D4176" s="8">
        <v>80</v>
      </c>
      <c r="E4176" s="8">
        <v>0</v>
      </c>
      <c r="F4176" s="8">
        <v>0</v>
      </c>
      <c r="G4176" s="8">
        <v>14</v>
      </c>
      <c r="H4176" s="8" t="s">
        <v>8673</v>
      </c>
      <c r="I4176" s="8">
        <v>529.125</v>
      </c>
      <c r="J4176" s="3">
        <f t="shared" si="65"/>
        <v>43747.76815935185</v>
      </c>
    </row>
    <row r="4177" spans="1:10" x14ac:dyDescent="0.25">
      <c r="A4177" s="5" t="s">
        <v>8674</v>
      </c>
      <c r="B4177" s="6">
        <v>403.125</v>
      </c>
      <c r="C4177" s="6">
        <v>20.531590000000001</v>
      </c>
      <c r="D4177" s="6">
        <v>79</v>
      </c>
      <c r="E4177" s="6">
        <v>0</v>
      </c>
      <c r="F4177" s="6">
        <v>0</v>
      </c>
      <c r="G4177" s="6">
        <v>22</v>
      </c>
      <c r="H4177" s="6" t="s">
        <v>8675</v>
      </c>
      <c r="I4177" s="6">
        <v>529.125</v>
      </c>
      <c r="J4177" s="2">
        <f t="shared" si="65"/>
        <v>43747.768231585644</v>
      </c>
    </row>
    <row r="4178" spans="1:10" x14ac:dyDescent="0.25">
      <c r="A4178" s="7" t="s">
        <v>8676</v>
      </c>
      <c r="B4178" s="8">
        <v>403.125</v>
      </c>
      <c r="C4178" s="8">
        <v>20.478950000000001</v>
      </c>
      <c r="D4178" s="8">
        <v>79</v>
      </c>
      <c r="E4178" s="8">
        <v>0</v>
      </c>
      <c r="F4178" s="8">
        <v>0</v>
      </c>
      <c r="G4178" s="8">
        <v>27</v>
      </c>
      <c r="H4178" s="8" t="s">
        <v>8677</v>
      </c>
      <c r="I4178" s="8">
        <v>529.125</v>
      </c>
      <c r="J4178" s="3">
        <f t="shared" si="65"/>
        <v>43747.768302662036</v>
      </c>
    </row>
    <row r="4179" spans="1:10" x14ac:dyDescent="0.25">
      <c r="A4179" s="5" t="s">
        <v>8678</v>
      </c>
      <c r="B4179" s="6">
        <v>403.125</v>
      </c>
      <c r="C4179" s="6">
        <v>20.531590000000001</v>
      </c>
      <c r="D4179" s="6">
        <v>78</v>
      </c>
      <c r="E4179" s="6">
        <v>0</v>
      </c>
      <c r="F4179" s="6">
        <v>0</v>
      </c>
      <c r="G4179" s="6">
        <v>19</v>
      </c>
      <c r="H4179" s="6" t="s">
        <v>8679</v>
      </c>
      <c r="I4179" s="6">
        <v>529.875</v>
      </c>
      <c r="J4179" s="2">
        <f t="shared" si="65"/>
        <v>43747.768374212959</v>
      </c>
    </row>
    <row r="4180" spans="1:10" x14ac:dyDescent="0.25">
      <c r="A4180" s="7" t="s">
        <v>8680</v>
      </c>
      <c r="B4180" s="8">
        <v>403.125</v>
      </c>
      <c r="C4180" s="8">
        <v>20.478950000000001</v>
      </c>
      <c r="D4180" s="8">
        <v>78</v>
      </c>
      <c r="E4180" s="8">
        <v>0</v>
      </c>
      <c r="F4180" s="8">
        <v>0</v>
      </c>
      <c r="G4180" s="8">
        <v>25</v>
      </c>
      <c r="H4180" s="8" t="s">
        <v>8681</v>
      </c>
      <c r="I4180" s="8">
        <v>529.875</v>
      </c>
      <c r="J4180" s="3">
        <f t="shared" si="65"/>
        <v>43747.768445486108</v>
      </c>
    </row>
    <row r="4181" spans="1:10" x14ac:dyDescent="0.25">
      <c r="A4181" s="5" t="s">
        <v>8682</v>
      </c>
      <c r="B4181" s="6">
        <v>403.125</v>
      </c>
      <c r="C4181" s="6">
        <v>20.531590000000001</v>
      </c>
      <c r="D4181" s="6">
        <v>78</v>
      </c>
      <c r="E4181" s="6">
        <v>0</v>
      </c>
      <c r="F4181" s="6">
        <v>0</v>
      </c>
      <c r="G4181" s="6">
        <v>16</v>
      </c>
      <c r="H4181" s="6" t="s">
        <v>8683</v>
      </c>
      <c r="I4181" s="6">
        <v>529.875</v>
      </c>
      <c r="J4181" s="2">
        <f t="shared" si="65"/>
        <v>43747.768517696757</v>
      </c>
    </row>
    <row r="4182" spans="1:10" x14ac:dyDescent="0.25">
      <c r="A4182" s="7" t="s">
        <v>8684</v>
      </c>
      <c r="B4182" s="8">
        <v>403.125</v>
      </c>
      <c r="C4182" s="8">
        <v>20.478950000000001</v>
      </c>
      <c r="D4182" s="8">
        <v>78</v>
      </c>
      <c r="E4182" s="8">
        <v>0</v>
      </c>
      <c r="F4182" s="8">
        <v>0</v>
      </c>
      <c r="G4182" s="8">
        <v>17</v>
      </c>
      <c r="H4182" s="8" t="s">
        <v>8685</v>
      </c>
      <c r="I4182" s="8">
        <v>529.875</v>
      </c>
      <c r="J4182" s="3">
        <f t="shared" si="65"/>
        <v>43747.768589178238</v>
      </c>
    </row>
    <row r="4183" spans="1:10" x14ac:dyDescent="0.25">
      <c r="A4183" s="5" t="s">
        <v>8686</v>
      </c>
      <c r="B4183" s="6">
        <v>403.125</v>
      </c>
      <c r="C4183" s="6">
        <v>20.531590000000001</v>
      </c>
      <c r="D4183" s="6">
        <v>78</v>
      </c>
      <c r="E4183" s="6">
        <v>0</v>
      </c>
      <c r="F4183" s="6">
        <v>0</v>
      </c>
      <c r="G4183" s="6">
        <v>18</v>
      </c>
      <c r="H4183" s="6" t="s">
        <v>8687</v>
      </c>
      <c r="I4183" s="6">
        <v>529.125</v>
      </c>
      <c r="J4183" s="2">
        <f t="shared" si="65"/>
        <v>43747.768672384256</v>
      </c>
    </row>
    <row r="4184" spans="1:10" x14ac:dyDescent="0.25">
      <c r="A4184" s="7" t="s">
        <v>8688</v>
      </c>
      <c r="B4184" s="8">
        <v>403.125</v>
      </c>
      <c r="C4184" s="8">
        <v>20.531590000000001</v>
      </c>
      <c r="D4184" s="8">
        <v>79</v>
      </c>
      <c r="E4184" s="8">
        <v>0</v>
      </c>
      <c r="F4184" s="8">
        <v>0</v>
      </c>
      <c r="G4184" s="8">
        <v>14</v>
      </c>
      <c r="H4184" s="8" t="s">
        <v>8689</v>
      </c>
      <c r="I4184" s="8">
        <v>529.125</v>
      </c>
      <c r="J4184" s="3">
        <f t="shared" si="65"/>
        <v>43747.768743657405</v>
      </c>
    </row>
    <row r="4185" spans="1:10" x14ac:dyDescent="0.25">
      <c r="A4185" s="5" t="s">
        <v>8690</v>
      </c>
      <c r="B4185" s="6">
        <v>403.125</v>
      </c>
      <c r="C4185" s="6">
        <v>20.531590000000001</v>
      </c>
      <c r="D4185" s="6">
        <v>79</v>
      </c>
      <c r="E4185" s="6">
        <v>0</v>
      </c>
      <c r="F4185" s="6">
        <v>0</v>
      </c>
      <c r="G4185" s="6">
        <v>18</v>
      </c>
      <c r="H4185" s="6" t="s">
        <v>8691</v>
      </c>
      <c r="I4185" s="6">
        <v>529.125</v>
      </c>
      <c r="J4185" s="2">
        <f t="shared" si="65"/>
        <v>43747.768815613425</v>
      </c>
    </row>
    <row r="4186" spans="1:10" x14ac:dyDescent="0.25">
      <c r="A4186" s="7" t="s">
        <v>8692</v>
      </c>
      <c r="B4186" s="8">
        <v>403.125</v>
      </c>
      <c r="C4186" s="8">
        <v>20.478950000000001</v>
      </c>
      <c r="D4186" s="8">
        <v>76</v>
      </c>
      <c r="E4186" s="8">
        <v>0</v>
      </c>
      <c r="F4186" s="8">
        <v>0</v>
      </c>
      <c r="G4186" s="8">
        <v>13</v>
      </c>
      <c r="H4186" s="8" t="s">
        <v>8693</v>
      </c>
      <c r="I4186" s="8">
        <v>529.125</v>
      </c>
      <c r="J4186" s="3">
        <f t="shared" si="65"/>
        <v>43747.768887210645</v>
      </c>
    </row>
    <row r="4187" spans="1:10" x14ac:dyDescent="0.25">
      <c r="A4187" s="5" t="s">
        <v>8694</v>
      </c>
      <c r="B4187" s="6">
        <v>403.125</v>
      </c>
      <c r="C4187" s="6">
        <v>20.478950000000001</v>
      </c>
      <c r="D4187" s="6">
        <v>76</v>
      </c>
      <c r="E4187" s="6">
        <v>0</v>
      </c>
      <c r="F4187" s="6">
        <v>0</v>
      </c>
      <c r="G4187" s="6">
        <v>19</v>
      </c>
      <c r="H4187" s="6" t="s">
        <v>8695</v>
      </c>
      <c r="I4187" s="6">
        <v>529.125</v>
      </c>
      <c r="J4187" s="2">
        <f t="shared" si="65"/>
        <v>43747.76895849537</v>
      </c>
    </row>
    <row r="4188" spans="1:10" x14ac:dyDescent="0.25">
      <c r="A4188" s="7" t="s">
        <v>8696</v>
      </c>
      <c r="B4188" s="8">
        <v>403.125</v>
      </c>
      <c r="C4188" s="8">
        <v>20.531590000000001</v>
      </c>
      <c r="D4188" s="8">
        <v>78</v>
      </c>
      <c r="E4188" s="8">
        <v>0</v>
      </c>
      <c r="F4188" s="8">
        <v>0</v>
      </c>
      <c r="G4188" s="8">
        <v>23</v>
      </c>
      <c r="H4188" s="8" t="s">
        <v>8697</v>
      </c>
      <c r="I4188" s="8">
        <v>529.125</v>
      </c>
      <c r="J4188" s="3">
        <f t="shared" si="65"/>
        <v>43747.769030381947</v>
      </c>
    </row>
    <row r="4189" spans="1:10" x14ac:dyDescent="0.25">
      <c r="A4189" s="5" t="s">
        <v>8698</v>
      </c>
      <c r="B4189" s="6">
        <v>403.125</v>
      </c>
      <c r="C4189" s="6">
        <v>20.478950000000001</v>
      </c>
      <c r="D4189" s="6">
        <v>78</v>
      </c>
      <c r="E4189" s="6">
        <v>0</v>
      </c>
      <c r="F4189" s="6">
        <v>0</v>
      </c>
      <c r="G4189" s="6">
        <v>24</v>
      </c>
      <c r="H4189" s="6" t="s">
        <v>8699</v>
      </c>
      <c r="I4189" s="6">
        <v>529.125</v>
      </c>
      <c r="J4189" s="2">
        <f t="shared" si="65"/>
        <v>43747.769102199069</v>
      </c>
    </row>
    <row r="4190" spans="1:10" x14ac:dyDescent="0.25">
      <c r="A4190" s="7" t="s">
        <v>8700</v>
      </c>
      <c r="B4190" s="8">
        <v>403.125</v>
      </c>
      <c r="C4190" s="8">
        <v>20.531590000000001</v>
      </c>
      <c r="D4190" s="8">
        <v>78</v>
      </c>
      <c r="E4190" s="8">
        <v>0</v>
      </c>
      <c r="F4190" s="8">
        <v>0</v>
      </c>
      <c r="G4190" s="8">
        <v>19</v>
      </c>
      <c r="H4190" s="8" t="s">
        <v>8701</v>
      </c>
      <c r="I4190" s="8">
        <v>529.125</v>
      </c>
      <c r="J4190" s="3">
        <f t="shared" si="65"/>
        <v>43747.769172916662</v>
      </c>
    </row>
    <row r="4191" spans="1:10" x14ac:dyDescent="0.25">
      <c r="A4191" s="5" t="s">
        <v>8702</v>
      </c>
      <c r="B4191" s="6">
        <v>403.125</v>
      </c>
      <c r="C4191" s="6">
        <v>20.531590000000001</v>
      </c>
      <c r="D4191" s="6">
        <v>77</v>
      </c>
      <c r="E4191" s="6">
        <v>0</v>
      </c>
      <c r="F4191" s="6">
        <v>0</v>
      </c>
      <c r="G4191" s="6">
        <v>21</v>
      </c>
      <c r="H4191" s="6" t="s">
        <v>8703</v>
      </c>
      <c r="I4191" s="6">
        <v>529.125</v>
      </c>
      <c r="J4191" s="2">
        <f t="shared" si="65"/>
        <v>43747.769268703698</v>
      </c>
    </row>
    <row r="4192" spans="1:10" x14ac:dyDescent="0.25">
      <c r="A4192" s="7" t="s">
        <v>8704</v>
      </c>
      <c r="B4192" s="8">
        <v>428.125</v>
      </c>
      <c r="C4192" s="8">
        <v>20.531590000000001</v>
      </c>
      <c r="D4192" s="8">
        <v>77</v>
      </c>
      <c r="E4192" s="8">
        <v>0</v>
      </c>
      <c r="F4192" s="8">
        <v>0</v>
      </c>
      <c r="G4192" s="8">
        <v>17</v>
      </c>
      <c r="H4192" s="8" t="s">
        <v>8705</v>
      </c>
      <c r="I4192" s="8">
        <v>537.75</v>
      </c>
      <c r="J4192" s="3">
        <f t="shared" si="65"/>
        <v>43747.769339999999</v>
      </c>
    </row>
    <row r="4193" spans="1:10" x14ac:dyDescent="0.25">
      <c r="A4193" s="5" t="s">
        <v>8706</v>
      </c>
      <c r="B4193" s="6">
        <v>403.125</v>
      </c>
      <c r="C4193" s="6">
        <v>20.531590000000001</v>
      </c>
      <c r="D4193" s="6">
        <v>76</v>
      </c>
      <c r="E4193" s="6">
        <v>0</v>
      </c>
      <c r="F4193" s="6">
        <v>0</v>
      </c>
      <c r="G4193" s="6">
        <v>20</v>
      </c>
      <c r="H4193" s="6" t="s">
        <v>8707</v>
      </c>
      <c r="I4193" s="6">
        <v>529.875</v>
      </c>
      <c r="J4193" s="2">
        <f t="shared" si="65"/>
        <v>43747.769411423607</v>
      </c>
    </row>
    <row r="4194" spans="1:10" x14ac:dyDescent="0.25">
      <c r="A4194" s="7" t="s">
        <v>8708</v>
      </c>
      <c r="B4194" s="8">
        <v>403.125</v>
      </c>
      <c r="C4194" s="8">
        <v>20.531590000000001</v>
      </c>
      <c r="D4194" s="8">
        <v>76</v>
      </c>
      <c r="E4194" s="8">
        <v>0</v>
      </c>
      <c r="F4194" s="8">
        <v>0</v>
      </c>
      <c r="G4194" s="8">
        <v>17</v>
      </c>
      <c r="H4194" s="8" t="s">
        <v>8709</v>
      </c>
      <c r="I4194" s="8">
        <v>529.6875</v>
      </c>
      <c r="J4194" s="3">
        <f t="shared" si="65"/>
        <v>43747.769483425924</v>
      </c>
    </row>
    <row r="4195" spans="1:10" x14ac:dyDescent="0.25">
      <c r="A4195" s="5" t="s">
        <v>8710</v>
      </c>
      <c r="B4195" s="6">
        <v>403.125</v>
      </c>
      <c r="C4195" s="6">
        <v>20.531590000000001</v>
      </c>
      <c r="D4195" s="6">
        <v>77</v>
      </c>
      <c r="E4195" s="6">
        <v>0</v>
      </c>
      <c r="F4195" s="6">
        <v>0</v>
      </c>
      <c r="G4195" s="6">
        <v>18</v>
      </c>
      <c r="H4195" s="6" t="s">
        <v>8711</v>
      </c>
      <c r="I4195" s="6">
        <v>529.875</v>
      </c>
      <c r="J4195" s="2">
        <f t="shared" si="65"/>
        <v>43747.769554814811</v>
      </c>
    </row>
    <row r="4196" spans="1:10" x14ac:dyDescent="0.25">
      <c r="A4196" s="7" t="s">
        <v>8712</v>
      </c>
      <c r="B4196" s="8">
        <v>403.125</v>
      </c>
      <c r="C4196" s="8">
        <v>20.478950000000001</v>
      </c>
      <c r="D4196" s="8">
        <v>77</v>
      </c>
      <c r="E4196" s="8">
        <v>0</v>
      </c>
      <c r="F4196" s="8">
        <v>0</v>
      </c>
      <c r="G4196" s="8">
        <v>14</v>
      </c>
      <c r="H4196" s="8" t="s">
        <v>8713</v>
      </c>
      <c r="I4196" s="8">
        <v>529.875</v>
      </c>
      <c r="J4196" s="3">
        <f t="shared" si="65"/>
        <v>43747.769626249996</v>
      </c>
    </row>
    <row r="4197" spans="1:10" x14ac:dyDescent="0.25">
      <c r="A4197" s="5" t="s">
        <v>8714</v>
      </c>
      <c r="B4197" s="6">
        <v>403.125</v>
      </c>
      <c r="C4197" s="6">
        <v>20.478950000000001</v>
      </c>
      <c r="D4197" s="6">
        <v>77</v>
      </c>
      <c r="E4197" s="6">
        <v>0</v>
      </c>
      <c r="F4197" s="6">
        <v>0</v>
      </c>
      <c r="G4197" s="6">
        <v>16</v>
      </c>
      <c r="H4197" s="6" t="s">
        <v>8715</v>
      </c>
      <c r="I4197" s="6">
        <v>529.875</v>
      </c>
      <c r="J4197" s="2">
        <f t="shared" si="65"/>
        <v>43747.769697546297</v>
      </c>
    </row>
    <row r="4198" spans="1:10" x14ac:dyDescent="0.25">
      <c r="A4198" s="7" t="s">
        <v>8716</v>
      </c>
      <c r="B4198" s="8">
        <v>403.125</v>
      </c>
      <c r="C4198" s="8">
        <v>20.531590000000001</v>
      </c>
      <c r="D4198" s="8">
        <v>76</v>
      </c>
      <c r="E4198" s="8">
        <v>0</v>
      </c>
      <c r="F4198" s="8">
        <v>0</v>
      </c>
      <c r="G4198" s="8">
        <v>13</v>
      </c>
      <c r="H4198" s="8" t="s">
        <v>8717</v>
      </c>
      <c r="I4198" s="8">
        <v>529.875</v>
      </c>
      <c r="J4198" s="3">
        <f t="shared" si="65"/>
        <v>43747.769769664352</v>
      </c>
    </row>
    <row r="4199" spans="1:10" x14ac:dyDescent="0.25">
      <c r="A4199" s="5" t="s">
        <v>8718</v>
      </c>
      <c r="B4199" s="6">
        <v>403.125</v>
      </c>
      <c r="C4199" s="6">
        <v>20.478950000000001</v>
      </c>
      <c r="D4199" s="6">
        <v>76</v>
      </c>
      <c r="E4199" s="6">
        <v>0</v>
      </c>
      <c r="F4199" s="6">
        <v>0</v>
      </c>
      <c r="G4199" s="6">
        <v>18</v>
      </c>
      <c r="H4199" s="6" t="s">
        <v>8719</v>
      </c>
      <c r="I4199" s="6">
        <v>529.125</v>
      </c>
      <c r="J4199" s="2">
        <f t="shared" si="65"/>
        <v>43747.769852986108</v>
      </c>
    </row>
    <row r="4200" spans="1:10" x14ac:dyDescent="0.25">
      <c r="A4200" s="7" t="s">
        <v>8720</v>
      </c>
      <c r="B4200" s="8">
        <v>418.75</v>
      </c>
      <c r="C4200" s="8">
        <v>20.478950000000001</v>
      </c>
      <c r="D4200" s="8">
        <v>76</v>
      </c>
      <c r="E4200" s="8">
        <v>0</v>
      </c>
      <c r="F4200" s="8">
        <v>0</v>
      </c>
      <c r="G4200" s="8">
        <v>12</v>
      </c>
      <c r="H4200" s="8" t="s">
        <v>8721</v>
      </c>
      <c r="I4200" s="8">
        <v>534.75</v>
      </c>
      <c r="J4200" s="3">
        <f t="shared" si="65"/>
        <v>43747.769924270826</v>
      </c>
    </row>
    <row r="4201" spans="1:10" x14ac:dyDescent="0.25">
      <c r="A4201" s="5" t="s">
        <v>8722</v>
      </c>
      <c r="B4201" s="6">
        <v>400</v>
      </c>
      <c r="C4201" s="6">
        <v>20.531590000000001</v>
      </c>
      <c r="D4201" s="6">
        <v>77</v>
      </c>
      <c r="E4201" s="6">
        <v>0</v>
      </c>
      <c r="F4201" s="6">
        <v>0</v>
      </c>
      <c r="G4201" s="6">
        <v>11</v>
      </c>
      <c r="H4201" s="6" t="s">
        <v>8723</v>
      </c>
      <c r="I4201" s="6">
        <v>528.375</v>
      </c>
      <c r="J4201" s="2">
        <f t="shared" si="65"/>
        <v>43747.769995671297</v>
      </c>
    </row>
    <row r="4202" spans="1:10" x14ac:dyDescent="0.25">
      <c r="A4202" s="7" t="s">
        <v>8724</v>
      </c>
      <c r="B4202" s="8">
        <v>400</v>
      </c>
      <c r="C4202" s="8">
        <v>20.478950000000001</v>
      </c>
      <c r="D4202" s="8">
        <v>77</v>
      </c>
      <c r="E4202" s="8">
        <v>0</v>
      </c>
      <c r="F4202" s="8">
        <v>0</v>
      </c>
      <c r="G4202" s="8">
        <v>19</v>
      </c>
      <c r="H4202" s="8" t="s">
        <v>8725</v>
      </c>
      <c r="I4202" s="8">
        <v>528.375</v>
      </c>
      <c r="J4202" s="3">
        <f t="shared" si="65"/>
        <v>43747.77006722222</v>
      </c>
    </row>
    <row r="4203" spans="1:10" x14ac:dyDescent="0.25">
      <c r="A4203" s="5" t="s">
        <v>8726</v>
      </c>
      <c r="B4203" s="6">
        <v>400</v>
      </c>
      <c r="C4203" s="6">
        <v>20.478950000000001</v>
      </c>
      <c r="D4203" s="6">
        <v>77</v>
      </c>
      <c r="E4203" s="6">
        <v>0</v>
      </c>
      <c r="F4203" s="6">
        <v>0</v>
      </c>
      <c r="G4203" s="6">
        <v>19</v>
      </c>
      <c r="H4203" s="6" t="s">
        <v>8727</v>
      </c>
      <c r="I4203" s="6">
        <v>528.1875</v>
      </c>
      <c r="J4203" s="2">
        <f t="shared" si="65"/>
        <v>43747.770139085645</v>
      </c>
    </row>
    <row r="4204" spans="1:10" x14ac:dyDescent="0.25">
      <c r="A4204" s="7" t="s">
        <v>8728</v>
      </c>
      <c r="B4204" s="8">
        <v>400</v>
      </c>
      <c r="C4204" s="8">
        <v>20.531590000000001</v>
      </c>
      <c r="D4204" s="8">
        <v>76</v>
      </c>
      <c r="E4204" s="8">
        <v>0</v>
      </c>
      <c r="F4204" s="8">
        <v>0</v>
      </c>
      <c r="G4204" s="8">
        <v>24</v>
      </c>
      <c r="H4204" s="8" t="s">
        <v>8729</v>
      </c>
      <c r="I4204" s="8">
        <v>528.1875</v>
      </c>
      <c r="J4204" s="3">
        <f t="shared" si="65"/>
        <v>43747.770210486109</v>
      </c>
    </row>
    <row r="4205" spans="1:10" x14ac:dyDescent="0.25">
      <c r="A4205" s="5" t="s">
        <v>8730</v>
      </c>
      <c r="B4205" s="6">
        <v>400</v>
      </c>
      <c r="C4205" s="6">
        <v>20.531590000000001</v>
      </c>
      <c r="D4205" s="6">
        <v>76</v>
      </c>
      <c r="E4205" s="6">
        <v>0</v>
      </c>
      <c r="F4205" s="6">
        <v>0</v>
      </c>
      <c r="G4205" s="6">
        <v>20</v>
      </c>
      <c r="H4205" s="6" t="s">
        <v>8731</v>
      </c>
      <c r="I4205" s="6">
        <v>528.375</v>
      </c>
      <c r="J4205" s="2">
        <f t="shared" si="65"/>
        <v>43747.770281747682</v>
      </c>
    </row>
    <row r="4206" spans="1:10" x14ac:dyDescent="0.25">
      <c r="A4206" s="7" t="s">
        <v>8732</v>
      </c>
      <c r="B4206" s="8">
        <v>403.125</v>
      </c>
      <c r="C4206" s="8">
        <v>20.531590000000001</v>
      </c>
      <c r="D4206" s="8">
        <v>77</v>
      </c>
      <c r="E4206" s="8">
        <v>0</v>
      </c>
      <c r="F4206" s="8">
        <v>0</v>
      </c>
      <c r="G4206" s="8">
        <v>14</v>
      </c>
      <c r="H4206" s="8" t="s">
        <v>8733</v>
      </c>
      <c r="I4206" s="8">
        <v>529.125</v>
      </c>
      <c r="J4206" s="3">
        <f t="shared" si="65"/>
        <v>43747.770377280089</v>
      </c>
    </row>
    <row r="4207" spans="1:10" x14ac:dyDescent="0.25">
      <c r="A4207" s="5" t="s">
        <v>8734</v>
      </c>
      <c r="B4207" s="6">
        <v>418.75</v>
      </c>
      <c r="C4207" s="6">
        <v>20.531590000000001</v>
      </c>
      <c r="D4207" s="6">
        <v>77</v>
      </c>
      <c r="E4207" s="6">
        <v>0</v>
      </c>
      <c r="F4207" s="6">
        <v>0</v>
      </c>
      <c r="G4207" s="6">
        <v>20</v>
      </c>
      <c r="H4207" s="6" t="s">
        <v>8735</v>
      </c>
      <c r="I4207" s="6">
        <v>534.75</v>
      </c>
      <c r="J4207" s="2">
        <f t="shared" si="65"/>
        <v>43747.770449317126</v>
      </c>
    </row>
    <row r="4208" spans="1:10" x14ac:dyDescent="0.25">
      <c r="A4208" s="7" t="s">
        <v>8736</v>
      </c>
      <c r="B4208" s="8">
        <v>403.125</v>
      </c>
      <c r="C4208" s="8">
        <v>20.531590000000001</v>
      </c>
      <c r="D4208" s="8">
        <v>77</v>
      </c>
      <c r="E4208" s="8">
        <v>0</v>
      </c>
      <c r="F4208" s="8">
        <v>0</v>
      </c>
      <c r="G4208" s="8">
        <v>18</v>
      </c>
      <c r="H4208" s="8" t="s">
        <v>8737</v>
      </c>
      <c r="I4208" s="8">
        <v>529.125</v>
      </c>
      <c r="J4208" s="3">
        <f t="shared" si="65"/>
        <v>43747.77053267361</v>
      </c>
    </row>
    <row r="4209" spans="1:10" x14ac:dyDescent="0.25">
      <c r="A4209" s="5" t="s">
        <v>8738</v>
      </c>
      <c r="B4209" s="6">
        <v>403.125</v>
      </c>
      <c r="C4209" s="6">
        <v>20.531590000000001</v>
      </c>
      <c r="D4209" s="6">
        <v>76</v>
      </c>
      <c r="E4209" s="6">
        <v>0</v>
      </c>
      <c r="F4209" s="6">
        <v>0</v>
      </c>
      <c r="G4209" s="6">
        <v>20</v>
      </c>
      <c r="H4209" s="6" t="s">
        <v>8739</v>
      </c>
      <c r="I4209" s="6">
        <v>529.875</v>
      </c>
      <c r="J4209" s="2">
        <f t="shared" si="65"/>
        <v>43747.770604189813</v>
      </c>
    </row>
    <row r="4210" spans="1:10" x14ac:dyDescent="0.25">
      <c r="A4210" s="7" t="s">
        <v>8740</v>
      </c>
      <c r="B4210" s="8">
        <v>403.125</v>
      </c>
      <c r="C4210" s="8">
        <v>20.478950000000001</v>
      </c>
      <c r="D4210" s="8">
        <v>76</v>
      </c>
      <c r="E4210" s="8">
        <v>0</v>
      </c>
      <c r="F4210" s="8">
        <v>0</v>
      </c>
      <c r="G4210" s="8">
        <v>16</v>
      </c>
      <c r="H4210" s="8" t="s">
        <v>8741</v>
      </c>
      <c r="I4210" s="8">
        <v>529.875</v>
      </c>
      <c r="J4210" s="3">
        <f t="shared" si="65"/>
        <v>43747.770675300919</v>
      </c>
    </row>
    <row r="4211" spans="1:10" x14ac:dyDescent="0.25">
      <c r="A4211" s="5" t="s">
        <v>8742</v>
      </c>
      <c r="B4211" s="6">
        <v>403.125</v>
      </c>
      <c r="C4211" s="6">
        <v>20.531590000000001</v>
      </c>
      <c r="D4211" s="6">
        <v>75</v>
      </c>
      <c r="E4211" s="6">
        <v>0</v>
      </c>
      <c r="F4211" s="6">
        <v>0</v>
      </c>
      <c r="G4211" s="6">
        <v>20</v>
      </c>
      <c r="H4211" s="6" t="s">
        <v>8743</v>
      </c>
      <c r="I4211" s="6">
        <v>529.875</v>
      </c>
      <c r="J4211" s="2">
        <f t="shared" si="65"/>
        <v>43747.77074753472</v>
      </c>
    </row>
    <row r="4212" spans="1:10" x14ac:dyDescent="0.25">
      <c r="A4212" s="7" t="s">
        <v>8744</v>
      </c>
      <c r="B4212" s="8">
        <v>403.125</v>
      </c>
      <c r="C4212" s="8">
        <v>20.478950000000001</v>
      </c>
      <c r="D4212" s="8">
        <v>73</v>
      </c>
      <c r="E4212" s="8">
        <v>0</v>
      </c>
      <c r="F4212" s="8">
        <v>0</v>
      </c>
      <c r="G4212" s="8">
        <v>16</v>
      </c>
      <c r="H4212" s="8" t="s">
        <v>8745</v>
      </c>
      <c r="I4212" s="8">
        <v>529.875</v>
      </c>
      <c r="J4212" s="3">
        <f t="shared" si="65"/>
        <v>43747.770818715275</v>
      </c>
    </row>
    <row r="4213" spans="1:10" x14ac:dyDescent="0.25">
      <c r="A4213" s="5" t="s">
        <v>8746</v>
      </c>
      <c r="B4213" s="6">
        <v>403.125</v>
      </c>
      <c r="C4213" s="6">
        <v>20.478950000000001</v>
      </c>
      <c r="D4213" s="6">
        <v>72</v>
      </c>
      <c r="E4213" s="6">
        <v>0</v>
      </c>
      <c r="F4213" s="6">
        <v>0</v>
      </c>
      <c r="G4213" s="6">
        <v>15</v>
      </c>
      <c r="H4213" s="6" t="s">
        <v>8747</v>
      </c>
      <c r="I4213" s="6">
        <v>529.875</v>
      </c>
      <c r="J4213" s="2">
        <f t="shared" si="65"/>
        <v>43747.770890138891</v>
      </c>
    </row>
    <row r="4214" spans="1:10" x14ac:dyDescent="0.25">
      <c r="A4214" s="7" t="s">
        <v>8748</v>
      </c>
      <c r="B4214" s="8">
        <v>403.125</v>
      </c>
      <c r="C4214" s="8">
        <v>20.478950000000001</v>
      </c>
      <c r="D4214" s="8">
        <v>72</v>
      </c>
      <c r="E4214" s="8">
        <v>0</v>
      </c>
      <c r="F4214" s="8">
        <v>0</v>
      </c>
      <c r="G4214" s="8">
        <v>24</v>
      </c>
      <c r="H4214" s="8" t="s">
        <v>8749</v>
      </c>
      <c r="I4214" s="8">
        <v>529.875</v>
      </c>
      <c r="J4214" s="3">
        <f t="shared" si="65"/>
        <v>43747.770961435184</v>
      </c>
    </row>
    <row r="4215" spans="1:10" x14ac:dyDescent="0.25">
      <c r="A4215" s="5" t="s">
        <v>8750</v>
      </c>
      <c r="B4215" s="6">
        <v>403.125</v>
      </c>
      <c r="C4215" s="6">
        <v>20.478950000000001</v>
      </c>
      <c r="D4215" s="6">
        <v>72</v>
      </c>
      <c r="E4215" s="6">
        <v>0</v>
      </c>
      <c r="F4215" s="6">
        <v>0</v>
      </c>
      <c r="G4215" s="6">
        <v>9</v>
      </c>
      <c r="H4215" s="6" t="s">
        <v>8751</v>
      </c>
      <c r="I4215" s="6">
        <v>529.125</v>
      </c>
      <c r="J4215" s="2">
        <f t="shared" si="65"/>
        <v>43747.771045497684</v>
      </c>
    </row>
    <row r="4216" spans="1:10" x14ac:dyDescent="0.25">
      <c r="A4216" s="7" t="s">
        <v>8752</v>
      </c>
      <c r="B4216" s="8">
        <v>403.125</v>
      </c>
      <c r="C4216" s="8">
        <v>20.478950000000001</v>
      </c>
      <c r="D4216" s="8">
        <v>72</v>
      </c>
      <c r="E4216" s="8">
        <v>0</v>
      </c>
      <c r="F4216" s="8">
        <v>0</v>
      </c>
      <c r="G4216" s="8">
        <v>19</v>
      </c>
      <c r="H4216" s="8" t="s">
        <v>8753</v>
      </c>
      <c r="I4216" s="8">
        <v>529.125</v>
      </c>
      <c r="J4216" s="3">
        <f t="shared" si="65"/>
        <v>43747.771116979166</v>
      </c>
    </row>
    <row r="4217" spans="1:10" x14ac:dyDescent="0.25">
      <c r="A4217" s="5" t="s">
        <v>8754</v>
      </c>
      <c r="B4217" s="6">
        <v>403.125</v>
      </c>
      <c r="C4217" s="6">
        <v>20.584240000000001</v>
      </c>
      <c r="D4217" s="6">
        <v>73</v>
      </c>
      <c r="E4217" s="6">
        <v>0</v>
      </c>
      <c r="F4217" s="6">
        <v>0</v>
      </c>
      <c r="G4217" s="6">
        <v>24</v>
      </c>
      <c r="H4217" s="6" t="s">
        <v>8755</v>
      </c>
      <c r="I4217" s="6">
        <v>529.125</v>
      </c>
      <c r="J4217" s="2">
        <f t="shared" si="65"/>
        <v>43747.771188298611</v>
      </c>
    </row>
    <row r="4218" spans="1:10" x14ac:dyDescent="0.25">
      <c r="A4218" s="7" t="s">
        <v>8756</v>
      </c>
      <c r="B4218" s="8">
        <v>425</v>
      </c>
      <c r="C4218" s="8">
        <v>20.531590000000001</v>
      </c>
      <c r="D4218" s="8">
        <v>73</v>
      </c>
      <c r="E4218" s="8">
        <v>0</v>
      </c>
      <c r="F4218" s="8">
        <v>0</v>
      </c>
      <c r="G4218" s="8">
        <v>13</v>
      </c>
      <c r="H4218" s="8" t="s">
        <v>8757</v>
      </c>
      <c r="I4218" s="8">
        <v>536.0625</v>
      </c>
      <c r="J4218" s="3">
        <f t="shared" si="65"/>
        <v>43747.771259560184</v>
      </c>
    </row>
    <row r="4219" spans="1:10" x14ac:dyDescent="0.25">
      <c r="A4219" s="5" t="s">
        <v>8758</v>
      </c>
      <c r="B4219" s="6">
        <v>403.125</v>
      </c>
      <c r="C4219" s="6">
        <v>20.531590000000001</v>
      </c>
      <c r="D4219" s="6">
        <v>73</v>
      </c>
      <c r="E4219" s="6">
        <v>0</v>
      </c>
      <c r="F4219" s="6">
        <v>0</v>
      </c>
      <c r="G4219" s="6">
        <v>18</v>
      </c>
      <c r="H4219" s="6" t="s">
        <v>8759</v>
      </c>
      <c r="I4219" s="6">
        <v>529.125</v>
      </c>
      <c r="J4219" s="2">
        <f t="shared" si="65"/>
        <v>43747.771331701391</v>
      </c>
    </row>
    <row r="4220" spans="1:10" x14ac:dyDescent="0.25">
      <c r="A4220" s="7" t="s">
        <v>8760</v>
      </c>
      <c r="B4220" s="8">
        <v>400</v>
      </c>
      <c r="C4220" s="8">
        <v>20.531590000000001</v>
      </c>
      <c r="D4220" s="8">
        <v>72</v>
      </c>
      <c r="E4220" s="8">
        <v>0</v>
      </c>
      <c r="F4220" s="8">
        <v>0</v>
      </c>
      <c r="G4220" s="8">
        <v>23</v>
      </c>
      <c r="H4220" s="8" t="s">
        <v>8761</v>
      </c>
      <c r="I4220" s="8">
        <v>528.9375</v>
      </c>
      <c r="J4220" s="3">
        <f t="shared" si="65"/>
        <v>43747.771402986109</v>
      </c>
    </row>
    <row r="4221" spans="1:10" x14ac:dyDescent="0.25">
      <c r="A4221" s="5" t="s">
        <v>8762</v>
      </c>
      <c r="B4221" s="6">
        <v>403.125</v>
      </c>
      <c r="C4221" s="6">
        <v>20.531590000000001</v>
      </c>
      <c r="D4221" s="6">
        <v>72</v>
      </c>
      <c r="E4221" s="6">
        <v>0</v>
      </c>
      <c r="F4221" s="6">
        <v>0</v>
      </c>
      <c r="G4221" s="6">
        <v>14</v>
      </c>
      <c r="H4221" s="6" t="s">
        <v>8763</v>
      </c>
      <c r="I4221" s="6">
        <v>529.125</v>
      </c>
      <c r="J4221" s="2">
        <f t="shared" si="65"/>
        <v>43747.771474606481</v>
      </c>
    </row>
    <row r="4222" spans="1:10" x14ac:dyDescent="0.25">
      <c r="A4222" s="7" t="s">
        <v>8764</v>
      </c>
      <c r="B4222" s="8">
        <v>403.125</v>
      </c>
      <c r="C4222" s="8">
        <v>20.478950000000001</v>
      </c>
      <c r="D4222" s="8">
        <v>73</v>
      </c>
      <c r="E4222" s="8">
        <v>0</v>
      </c>
      <c r="F4222" s="8">
        <v>0</v>
      </c>
      <c r="G4222" s="8">
        <v>23</v>
      </c>
      <c r="H4222" s="8" t="s">
        <v>8765</v>
      </c>
      <c r="I4222" s="8">
        <v>529.125</v>
      </c>
      <c r="J4222" s="3">
        <f t="shared" si="65"/>
        <v>43747.771545694442</v>
      </c>
    </row>
    <row r="4223" spans="1:10" x14ac:dyDescent="0.25">
      <c r="A4223" s="5" t="s">
        <v>8766</v>
      </c>
      <c r="B4223" s="6">
        <v>403.125</v>
      </c>
      <c r="C4223" s="6">
        <v>20.531590000000001</v>
      </c>
      <c r="D4223" s="6">
        <v>74</v>
      </c>
      <c r="E4223" s="6">
        <v>0</v>
      </c>
      <c r="F4223" s="6">
        <v>0</v>
      </c>
      <c r="G4223" s="6">
        <v>18</v>
      </c>
      <c r="H4223" s="6" t="s">
        <v>8767</v>
      </c>
      <c r="I4223" s="6">
        <v>529.125</v>
      </c>
      <c r="J4223" s="2">
        <f t="shared" si="65"/>
        <v>43747.771617442129</v>
      </c>
    </row>
    <row r="4224" spans="1:10" x14ac:dyDescent="0.25">
      <c r="A4224" s="7" t="s">
        <v>8768</v>
      </c>
      <c r="B4224" s="8">
        <v>396.875</v>
      </c>
      <c r="C4224" s="8">
        <v>20.478950000000001</v>
      </c>
      <c r="D4224" s="8">
        <v>67</v>
      </c>
      <c r="E4224" s="8">
        <v>0</v>
      </c>
      <c r="F4224" s="8">
        <v>0</v>
      </c>
      <c r="G4224" s="8">
        <v>0</v>
      </c>
      <c r="H4224" s="8" t="s">
        <v>8769</v>
      </c>
      <c r="I4224" s="8">
        <v>527.4375</v>
      </c>
      <c r="J4224" s="3">
        <f t="shared" si="65"/>
        <v>43747.771911724536</v>
      </c>
    </row>
    <row r="4225" spans="1:10" x14ac:dyDescent="0.25">
      <c r="A4225" s="5" t="s">
        <v>8770</v>
      </c>
      <c r="B4225" s="6">
        <v>396.875</v>
      </c>
      <c r="C4225" s="6">
        <v>20.478950000000001</v>
      </c>
      <c r="D4225" s="6">
        <v>73</v>
      </c>
      <c r="E4225" s="6">
        <v>0</v>
      </c>
      <c r="F4225" s="6">
        <v>0</v>
      </c>
      <c r="G4225" s="6">
        <v>0</v>
      </c>
      <c r="H4225" s="6" t="s">
        <v>8771</v>
      </c>
      <c r="I4225" s="6">
        <v>527.4375</v>
      </c>
      <c r="J4225" s="2">
        <f t="shared" si="65"/>
        <v>43747.771990925925</v>
      </c>
    </row>
    <row r="4226" spans="1:10" x14ac:dyDescent="0.25">
      <c r="A4226" s="7" t="s">
        <v>8772</v>
      </c>
      <c r="B4226" s="8">
        <v>396.875</v>
      </c>
      <c r="C4226" s="8">
        <v>20.531590000000001</v>
      </c>
      <c r="D4226" s="8">
        <v>75</v>
      </c>
      <c r="E4226" s="8">
        <v>0</v>
      </c>
      <c r="F4226" s="8">
        <v>0</v>
      </c>
      <c r="G4226" s="8">
        <v>0</v>
      </c>
      <c r="H4226" s="8" t="s">
        <v>8773</v>
      </c>
      <c r="I4226" s="8">
        <v>527.4375</v>
      </c>
      <c r="J4226" s="3">
        <f t="shared" ref="J4226:J4289" si="66">(H4226/86400000)+25569+(7/24)</f>
        <v>43747.772063078701</v>
      </c>
    </row>
    <row r="4227" spans="1:10" x14ac:dyDescent="0.25">
      <c r="A4227" s="5" t="s">
        <v>8774</v>
      </c>
      <c r="B4227" s="6">
        <v>415.625</v>
      </c>
      <c r="C4227" s="6">
        <v>20.531590000000001</v>
      </c>
      <c r="D4227" s="6">
        <v>76</v>
      </c>
      <c r="E4227" s="6">
        <v>0</v>
      </c>
      <c r="F4227" s="6">
        <v>0</v>
      </c>
      <c r="G4227" s="6">
        <v>17</v>
      </c>
      <c r="H4227" s="6" t="s">
        <v>8775</v>
      </c>
      <c r="I4227" s="6">
        <v>533.0625</v>
      </c>
      <c r="J4227" s="2">
        <f t="shared" si="66"/>
        <v>43747.772134270832</v>
      </c>
    </row>
    <row r="4228" spans="1:10" x14ac:dyDescent="0.25">
      <c r="A4228" s="7" t="s">
        <v>8776</v>
      </c>
      <c r="B4228" s="8">
        <v>396.875</v>
      </c>
      <c r="C4228" s="8">
        <v>20.531590000000001</v>
      </c>
      <c r="D4228" s="8">
        <v>77</v>
      </c>
      <c r="E4228" s="8">
        <v>0</v>
      </c>
      <c r="F4228" s="8">
        <v>0</v>
      </c>
      <c r="G4228" s="8">
        <v>9</v>
      </c>
      <c r="H4228" s="8" t="s">
        <v>8777</v>
      </c>
      <c r="I4228" s="8">
        <v>527.4375</v>
      </c>
      <c r="J4228" s="3">
        <f t="shared" si="66"/>
        <v>43747.772205613423</v>
      </c>
    </row>
    <row r="4229" spans="1:10" x14ac:dyDescent="0.25">
      <c r="A4229" s="5" t="s">
        <v>8778</v>
      </c>
      <c r="B4229" s="6">
        <v>396.875</v>
      </c>
      <c r="C4229" s="6">
        <v>20.478950000000001</v>
      </c>
      <c r="D4229" s="6">
        <v>76</v>
      </c>
      <c r="E4229" s="6">
        <v>0</v>
      </c>
      <c r="F4229" s="6">
        <v>0</v>
      </c>
      <c r="G4229" s="6">
        <v>9</v>
      </c>
      <c r="H4229" s="6" t="s">
        <v>8779</v>
      </c>
      <c r="I4229" s="6">
        <v>527.4375</v>
      </c>
      <c r="J4229" s="2">
        <f t="shared" si="66"/>
        <v>43747.772288946762</v>
      </c>
    </row>
    <row r="4230" spans="1:10" x14ac:dyDescent="0.25">
      <c r="A4230" s="7" t="s">
        <v>8780</v>
      </c>
      <c r="B4230" s="8">
        <v>396.875</v>
      </c>
      <c r="C4230" s="8">
        <v>20.478950000000001</v>
      </c>
      <c r="D4230" s="8">
        <v>76</v>
      </c>
      <c r="E4230" s="8">
        <v>0</v>
      </c>
      <c r="F4230" s="8">
        <v>0</v>
      </c>
      <c r="G4230" s="8">
        <v>7</v>
      </c>
      <c r="H4230" s="8" t="s">
        <v>8781</v>
      </c>
      <c r="I4230" s="8">
        <v>527.4375</v>
      </c>
      <c r="J4230" s="3">
        <f t="shared" si="66"/>
        <v>43747.772360370371</v>
      </c>
    </row>
    <row r="4231" spans="1:10" x14ac:dyDescent="0.25">
      <c r="A4231" s="5" t="s">
        <v>8782</v>
      </c>
      <c r="B4231" s="6">
        <v>396.875</v>
      </c>
      <c r="C4231" s="6">
        <v>20.478950000000001</v>
      </c>
      <c r="D4231" s="6">
        <v>76</v>
      </c>
      <c r="E4231" s="6">
        <v>0</v>
      </c>
      <c r="F4231" s="6">
        <v>0</v>
      </c>
      <c r="G4231" s="6">
        <v>9</v>
      </c>
      <c r="H4231" s="6" t="s">
        <v>8783</v>
      </c>
      <c r="I4231" s="6">
        <v>527.4375</v>
      </c>
      <c r="J4231" s="2">
        <f t="shared" si="66"/>
        <v>43747.772432465274</v>
      </c>
    </row>
    <row r="4232" spans="1:10" x14ac:dyDescent="0.25">
      <c r="A4232" s="7" t="s">
        <v>8784</v>
      </c>
      <c r="B4232" s="8">
        <v>396.875</v>
      </c>
      <c r="C4232" s="8">
        <v>20.478950000000001</v>
      </c>
      <c r="D4232" s="8">
        <v>77</v>
      </c>
      <c r="E4232" s="8">
        <v>0</v>
      </c>
      <c r="F4232" s="8">
        <v>0</v>
      </c>
      <c r="G4232" s="8">
        <v>10</v>
      </c>
      <c r="H4232" s="8" t="s">
        <v>8785</v>
      </c>
      <c r="I4232" s="8">
        <v>527.4375</v>
      </c>
      <c r="J4232" s="3">
        <f t="shared" si="66"/>
        <v>43747.772503773151</v>
      </c>
    </row>
    <row r="4233" spans="1:10" x14ac:dyDescent="0.25">
      <c r="A4233" s="5" t="s">
        <v>8786</v>
      </c>
      <c r="B4233" s="6">
        <v>400</v>
      </c>
      <c r="C4233" s="6">
        <v>20.478950000000001</v>
      </c>
      <c r="D4233" s="6">
        <v>72</v>
      </c>
      <c r="E4233" s="6">
        <v>0</v>
      </c>
      <c r="F4233" s="6">
        <v>0</v>
      </c>
      <c r="G4233" s="6">
        <v>9</v>
      </c>
      <c r="H4233" s="6" t="s">
        <v>8787</v>
      </c>
      <c r="I4233" s="6">
        <v>528.375</v>
      </c>
      <c r="J4233" s="2">
        <f t="shared" si="66"/>
        <v>43747.772587106483</v>
      </c>
    </row>
    <row r="4234" spans="1:10" x14ac:dyDescent="0.25">
      <c r="A4234" s="7" t="s">
        <v>8788</v>
      </c>
      <c r="B4234" s="8">
        <v>415.625</v>
      </c>
      <c r="C4234" s="8">
        <v>20.478950000000001</v>
      </c>
      <c r="D4234" s="8">
        <v>73</v>
      </c>
      <c r="E4234" s="8">
        <v>0</v>
      </c>
      <c r="F4234" s="8">
        <v>0</v>
      </c>
      <c r="G4234" s="8">
        <v>10</v>
      </c>
      <c r="H4234" s="8" t="s">
        <v>8789</v>
      </c>
      <c r="I4234" s="8">
        <v>533.8125</v>
      </c>
      <c r="J4234" s="3">
        <f t="shared" si="66"/>
        <v>43747.772659085647</v>
      </c>
    </row>
    <row r="4235" spans="1:10" x14ac:dyDescent="0.25">
      <c r="A4235" s="5" t="s">
        <v>8790</v>
      </c>
      <c r="B4235" s="6">
        <v>400</v>
      </c>
      <c r="C4235" s="6">
        <v>20.478950000000001</v>
      </c>
      <c r="D4235" s="6">
        <v>75</v>
      </c>
      <c r="E4235" s="6">
        <v>0</v>
      </c>
      <c r="F4235" s="6">
        <v>0</v>
      </c>
      <c r="G4235" s="6">
        <v>12</v>
      </c>
      <c r="H4235" s="6" t="s">
        <v>8791</v>
      </c>
      <c r="I4235" s="6">
        <v>528.375</v>
      </c>
      <c r="J4235" s="2">
        <f t="shared" si="66"/>
        <v>43747.772730729164</v>
      </c>
    </row>
    <row r="4236" spans="1:10" x14ac:dyDescent="0.25">
      <c r="A4236" s="7" t="s">
        <v>8792</v>
      </c>
      <c r="B4236" s="8">
        <v>400</v>
      </c>
      <c r="C4236" s="8">
        <v>20.531590000000001</v>
      </c>
      <c r="D4236" s="8">
        <v>77</v>
      </c>
      <c r="E4236" s="8">
        <v>0</v>
      </c>
      <c r="F4236" s="8">
        <v>0</v>
      </c>
      <c r="G4236" s="8">
        <v>10</v>
      </c>
      <c r="H4236" s="8" t="s">
        <v>8793</v>
      </c>
      <c r="I4236" s="8">
        <v>528.1875</v>
      </c>
      <c r="J4236" s="3">
        <f t="shared" si="66"/>
        <v>43747.772801921295</v>
      </c>
    </row>
    <row r="4237" spans="1:10" x14ac:dyDescent="0.25">
      <c r="A4237" s="5" t="s">
        <v>8794</v>
      </c>
      <c r="B4237" s="6">
        <v>396.875</v>
      </c>
      <c r="C4237" s="6">
        <v>20.478950000000001</v>
      </c>
      <c r="D4237" s="6">
        <v>79</v>
      </c>
      <c r="E4237" s="6">
        <v>0</v>
      </c>
      <c r="F4237" s="6">
        <v>0</v>
      </c>
      <c r="G4237" s="6">
        <v>10</v>
      </c>
      <c r="H4237" s="6" t="s">
        <v>8795</v>
      </c>
      <c r="I4237" s="6">
        <v>527.4375</v>
      </c>
      <c r="J4237" s="2">
        <f t="shared" si="66"/>
        <v>43747.772873217589</v>
      </c>
    </row>
    <row r="4238" spans="1:10" x14ac:dyDescent="0.25">
      <c r="A4238" s="7" t="s">
        <v>8796</v>
      </c>
      <c r="B4238" s="8">
        <v>396.875</v>
      </c>
      <c r="C4238" s="8">
        <v>20.531590000000001</v>
      </c>
      <c r="D4238" s="8">
        <v>79</v>
      </c>
      <c r="E4238" s="8">
        <v>0</v>
      </c>
      <c r="F4238" s="8">
        <v>0</v>
      </c>
      <c r="G4238" s="8">
        <v>5</v>
      </c>
      <c r="H4238" s="8" t="s">
        <v>8797</v>
      </c>
      <c r="I4238" s="8">
        <v>527.4375</v>
      </c>
      <c r="J4238" s="3">
        <f t="shared" si="66"/>
        <v>43747.772970439815</v>
      </c>
    </row>
    <row r="4239" spans="1:10" x14ac:dyDescent="0.25">
      <c r="A4239" s="5" t="s">
        <v>8798</v>
      </c>
      <c r="B4239" s="6">
        <v>393.75</v>
      </c>
      <c r="C4239" s="6">
        <v>20.531590000000001</v>
      </c>
      <c r="D4239" s="6">
        <v>79</v>
      </c>
      <c r="E4239" s="6">
        <v>0</v>
      </c>
      <c r="F4239" s="6">
        <v>0</v>
      </c>
      <c r="G4239" s="6">
        <v>6</v>
      </c>
      <c r="H4239" s="6" t="s">
        <v>8799</v>
      </c>
      <c r="I4239" s="6">
        <v>526.6875</v>
      </c>
      <c r="J4239" s="2">
        <f t="shared" si="66"/>
        <v>43747.773051932869</v>
      </c>
    </row>
    <row r="4240" spans="1:10" x14ac:dyDescent="0.25">
      <c r="A4240" s="7" t="s">
        <v>8800</v>
      </c>
      <c r="B4240" s="8">
        <v>415.625</v>
      </c>
      <c r="C4240" s="8">
        <v>20.478950000000001</v>
      </c>
      <c r="D4240" s="8">
        <v>78</v>
      </c>
      <c r="E4240" s="8">
        <v>0</v>
      </c>
      <c r="F4240" s="8">
        <v>0</v>
      </c>
      <c r="G4240" s="8">
        <v>9</v>
      </c>
      <c r="H4240" s="8" t="s">
        <v>8801</v>
      </c>
      <c r="I4240" s="8">
        <v>533.0625</v>
      </c>
      <c r="J4240" s="3">
        <f t="shared" si="66"/>
        <v>43747.773124027772</v>
      </c>
    </row>
    <row r="4241" spans="1:10" x14ac:dyDescent="0.25">
      <c r="A4241" s="5" t="s">
        <v>8802</v>
      </c>
      <c r="B4241" s="6">
        <v>396.875</v>
      </c>
      <c r="C4241" s="6">
        <v>20.478950000000001</v>
      </c>
      <c r="D4241" s="6">
        <v>78</v>
      </c>
      <c r="E4241" s="6">
        <v>0</v>
      </c>
      <c r="F4241" s="6">
        <v>0</v>
      </c>
      <c r="G4241" s="6">
        <v>18</v>
      </c>
      <c r="H4241" s="6" t="s">
        <v>8803</v>
      </c>
      <c r="I4241" s="6">
        <v>527.4375</v>
      </c>
      <c r="J4241" s="2">
        <f t="shared" si="66"/>
        <v>43747.773195324073</v>
      </c>
    </row>
    <row r="4242" spans="1:10" x14ac:dyDescent="0.25">
      <c r="A4242" s="7" t="s">
        <v>8804</v>
      </c>
      <c r="B4242" s="8">
        <v>396.875</v>
      </c>
      <c r="C4242" s="8">
        <v>20.478950000000001</v>
      </c>
      <c r="D4242" s="8">
        <v>77</v>
      </c>
      <c r="E4242" s="8">
        <v>0</v>
      </c>
      <c r="F4242" s="8">
        <v>0</v>
      </c>
      <c r="G4242" s="8">
        <v>5</v>
      </c>
      <c r="H4242" s="8" t="s">
        <v>8805</v>
      </c>
      <c r="I4242" s="8">
        <v>527.4375</v>
      </c>
      <c r="J4242" s="3">
        <f t="shared" si="66"/>
        <v>43747.773266793978</v>
      </c>
    </row>
    <row r="4243" spans="1:10" x14ac:dyDescent="0.25">
      <c r="A4243" s="5" t="s">
        <v>8806</v>
      </c>
      <c r="B4243" s="6">
        <v>396.875</v>
      </c>
      <c r="C4243" s="6">
        <v>20.478950000000001</v>
      </c>
      <c r="D4243" s="6">
        <v>77</v>
      </c>
      <c r="E4243" s="6">
        <v>0</v>
      </c>
      <c r="F4243" s="6">
        <v>0</v>
      </c>
      <c r="G4243" s="6">
        <v>11</v>
      </c>
      <c r="H4243" s="6" t="s">
        <v>8807</v>
      </c>
      <c r="I4243" s="6">
        <v>527.4375</v>
      </c>
      <c r="J4243" s="2">
        <f t="shared" si="66"/>
        <v>43747.77333877315</v>
      </c>
    </row>
    <row r="4244" spans="1:10" x14ac:dyDescent="0.25">
      <c r="A4244" s="7" t="s">
        <v>8808</v>
      </c>
      <c r="B4244" s="8">
        <v>396.875</v>
      </c>
      <c r="C4244" s="8">
        <v>20.478950000000001</v>
      </c>
      <c r="D4244" s="8">
        <v>77</v>
      </c>
      <c r="E4244" s="8">
        <v>0</v>
      </c>
      <c r="F4244" s="8">
        <v>0</v>
      </c>
      <c r="G4244" s="8">
        <v>3</v>
      </c>
      <c r="H4244" s="8" t="s">
        <v>8809</v>
      </c>
      <c r="I4244" s="8">
        <v>527.4375</v>
      </c>
      <c r="J4244" s="3">
        <f t="shared" si="66"/>
        <v>43747.773409386573</v>
      </c>
    </row>
    <row r="4245" spans="1:10" x14ac:dyDescent="0.25">
      <c r="A4245" s="5" t="s">
        <v>8810</v>
      </c>
      <c r="B4245" s="6">
        <v>396.875</v>
      </c>
      <c r="C4245" s="6">
        <v>20.478950000000001</v>
      </c>
      <c r="D4245" s="6">
        <v>77</v>
      </c>
      <c r="E4245" s="6">
        <v>0</v>
      </c>
      <c r="F4245" s="6">
        <v>0</v>
      </c>
      <c r="G4245" s="6">
        <v>8</v>
      </c>
      <c r="H4245" s="6" t="s">
        <v>8811</v>
      </c>
      <c r="I4245" s="6">
        <v>527.4375</v>
      </c>
      <c r="J4245" s="2">
        <f t="shared" si="66"/>
        <v>43747.773481608798</v>
      </c>
    </row>
    <row r="4246" spans="1:10" x14ac:dyDescent="0.25">
      <c r="A4246" s="7" t="s">
        <v>8812</v>
      </c>
      <c r="B4246" s="8">
        <v>396.875</v>
      </c>
      <c r="C4246" s="8">
        <v>20.478950000000001</v>
      </c>
      <c r="D4246" s="8">
        <v>77</v>
      </c>
      <c r="E4246" s="8">
        <v>0</v>
      </c>
      <c r="F4246" s="8">
        <v>0</v>
      </c>
      <c r="G4246" s="8">
        <v>0</v>
      </c>
      <c r="H4246" s="8" t="s">
        <v>8813</v>
      </c>
      <c r="I4246" s="8">
        <v>527.625</v>
      </c>
      <c r="J4246" s="3">
        <f t="shared" si="66"/>
        <v>43747.773566412034</v>
      </c>
    </row>
    <row r="4247" spans="1:10" x14ac:dyDescent="0.25">
      <c r="A4247" s="5" t="s">
        <v>8814</v>
      </c>
      <c r="B4247" s="6">
        <v>396.875</v>
      </c>
      <c r="C4247" s="6">
        <v>20.531590000000001</v>
      </c>
      <c r="D4247" s="6">
        <v>75</v>
      </c>
      <c r="E4247" s="6">
        <v>0</v>
      </c>
      <c r="F4247" s="6">
        <v>0</v>
      </c>
      <c r="G4247" s="6">
        <v>9</v>
      </c>
      <c r="H4247" s="6" t="s">
        <v>8815</v>
      </c>
      <c r="I4247" s="6">
        <v>527.4375</v>
      </c>
      <c r="J4247" s="2">
        <f t="shared" si="66"/>
        <v>43747.773648206021</v>
      </c>
    </row>
    <row r="4248" spans="1:10" x14ac:dyDescent="0.25">
      <c r="A4248" s="7" t="s">
        <v>8816</v>
      </c>
      <c r="B4248" s="8">
        <v>396.875</v>
      </c>
      <c r="C4248" s="8">
        <v>20.478950000000001</v>
      </c>
      <c r="D4248" s="8">
        <v>75</v>
      </c>
      <c r="E4248" s="8">
        <v>0</v>
      </c>
      <c r="F4248" s="8">
        <v>0</v>
      </c>
      <c r="G4248" s="8">
        <v>4</v>
      </c>
      <c r="H4248" s="8" t="s">
        <v>8817</v>
      </c>
      <c r="I4248" s="8">
        <v>527.4375</v>
      </c>
      <c r="J4248" s="3">
        <f t="shared" si="66"/>
        <v>43747.773719733792</v>
      </c>
    </row>
    <row r="4249" spans="1:10" x14ac:dyDescent="0.25">
      <c r="A4249" s="5" t="s">
        <v>8818</v>
      </c>
      <c r="B4249" s="6">
        <v>396.875</v>
      </c>
      <c r="C4249" s="6">
        <v>20.531590000000001</v>
      </c>
      <c r="D4249" s="6">
        <v>75</v>
      </c>
      <c r="E4249" s="6">
        <v>0</v>
      </c>
      <c r="F4249" s="6">
        <v>0</v>
      </c>
      <c r="G4249" s="6">
        <v>13</v>
      </c>
      <c r="H4249" s="6" t="s">
        <v>8819</v>
      </c>
      <c r="I4249" s="6">
        <v>527.4375</v>
      </c>
      <c r="J4249" s="2">
        <f t="shared" si="66"/>
        <v>43747.773791608794</v>
      </c>
    </row>
    <row r="4250" spans="1:10" x14ac:dyDescent="0.25">
      <c r="A4250" s="7" t="s">
        <v>8820</v>
      </c>
      <c r="B4250" s="8">
        <v>400</v>
      </c>
      <c r="C4250" s="8">
        <v>20.478950000000001</v>
      </c>
      <c r="D4250" s="8">
        <v>76</v>
      </c>
      <c r="E4250" s="8">
        <v>0</v>
      </c>
      <c r="F4250" s="8">
        <v>0</v>
      </c>
      <c r="G4250" s="8">
        <v>10</v>
      </c>
      <c r="H4250" s="8" t="s">
        <v>8821</v>
      </c>
      <c r="I4250" s="8">
        <v>528.375</v>
      </c>
      <c r="J4250" s="3">
        <f t="shared" si="66"/>
        <v>43747.773863020826</v>
      </c>
    </row>
    <row r="4251" spans="1:10" x14ac:dyDescent="0.25">
      <c r="A4251" s="5" t="s">
        <v>8822</v>
      </c>
      <c r="B4251" s="6">
        <v>400</v>
      </c>
      <c r="C4251" s="6">
        <v>20.531590000000001</v>
      </c>
      <c r="D4251" s="6">
        <v>76</v>
      </c>
      <c r="E4251" s="6">
        <v>0</v>
      </c>
      <c r="F4251" s="6">
        <v>0</v>
      </c>
      <c r="G4251" s="6">
        <v>9</v>
      </c>
      <c r="H4251" s="6" t="s">
        <v>8823</v>
      </c>
      <c r="I4251" s="6">
        <v>528.375</v>
      </c>
      <c r="J4251" s="2">
        <f t="shared" si="66"/>
        <v>43747.773934328703</v>
      </c>
    </row>
    <row r="4252" spans="1:10" x14ac:dyDescent="0.25">
      <c r="A4252" s="7" t="s">
        <v>8824</v>
      </c>
      <c r="B4252" s="8">
        <v>400</v>
      </c>
      <c r="C4252" s="8">
        <v>20.531590000000001</v>
      </c>
      <c r="D4252" s="8">
        <v>77</v>
      </c>
      <c r="E4252" s="8">
        <v>0</v>
      </c>
      <c r="F4252" s="8">
        <v>0</v>
      </c>
      <c r="G4252" s="8">
        <v>6</v>
      </c>
      <c r="H4252" s="8" t="s">
        <v>8825</v>
      </c>
      <c r="I4252" s="8">
        <v>528.1875</v>
      </c>
      <c r="J4252" s="3">
        <f t="shared" si="66"/>
        <v>43747.774006550921</v>
      </c>
    </row>
    <row r="4253" spans="1:10" x14ac:dyDescent="0.25">
      <c r="A4253" s="5" t="s">
        <v>8826</v>
      </c>
      <c r="B4253" s="6">
        <v>396.875</v>
      </c>
      <c r="C4253" s="6">
        <v>20.478950000000001</v>
      </c>
      <c r="D4253" s="6">
        <v>77</v>
      </c>
      <c r="E4253" s="6">
        <v>0</v>
      </c>
      <c r="F4253" s="6">
        <v>0</v>
      </c>
      <c r="G4253" s="6">
        <v>6</v>
      </c>
      <c r="H4253" s="6" t="s">
        <v>8827</v>
      </c>
      <c r="I4253" s="6">
        <v>527.4375</v>
      </c>
      <c r="J4253" s="2">
        <f t="shared" si="66"/>
        <v>43747.774077800925</v>
      </c>
    </row>
    <row r="4254" spans="1:10" x14ac:dyDescent="0.25">
      <c r="A4254" s="7" t="s">
        <v>8828</v>
      </c>
      <c r="B4254" s="8">
        <v>396.875</v>
      </c>
      <c r="C4254" s="8">
        <v>20.478950000000001</v>
      </c>
      <c r="D4254" s="8">
        <v>77</v>
      </c>
      <c r="E4254" s="8">
        <v>0</v>
      </c>
      <c r="F4254" s="8">
        <v>0</v>
      </c>
      <c r="G4254" s="8">
        <v>10</v>
      </c>
      <c r="H4254" s="8" t="s">
        <v>8829</v>
      </c>
      <c r="I4254" s="8">
        <v>527.4375</v>
      </c>
      <c r="J4254" s="3">
        <f t="shared" si="66"/>
        <v>43747.774149131939</v>
      </c>
    </row>
    <row r="4255" spans="1:10" x14ac:dyDescent="0.25">
      <c r="A4255" s="5" t="s">
        <v>8830</v>
      </c>
      <c r="B4255" s="6">
        <v>396.875</v>
      </c>
      <c r="C4255" s="6">
        <v>20.478950000000001</v>
      </c>
      <c r="D4255" s="6">
        <v>78</v>
      </c>
      <c r="E4255" s="6">
        <v>0</v>
      </c>
      <c r="F4255" s="6">
        <v>0</v>
      </c>
      <c r="G4255" s="6">
        <v>5</v>
      </c>
      <c r="H4255" s="6" t="s">
        <v>8831</v>
      </c>
      <c r="I4255" s="6">
        <v>527.4375</v>
      </c>
      <c r="J4255" s="2">
        <f t="shared" si="66"/>
        <v>43747.774220451385</v>
      </c>
    </row>
    <row r="4256" spans="1:10" x14ac:dyDescent="0.25">
      <c r="A4256" s="7" t="s">
        <v>8832</v>
      </c>
      <c r="B4256" s="8">
        <v>396.875</v>
      </c>
      <c r="C4256" s="8">
        <v>20.478950000000001</v>
      </c>
      <c r="D4256" s="8">
        <v>78</v>
      </c>
      <c r="E4256" s="8">
        <v>0</v>
      </c>
      <c r="F4256" s="8">
        <v>0</v>
      </c>
      <c r="G4256" s="8">
        <v>9</v>
      </c>
      <c r="H4256" s="8" t="s">
        <v>8833</v>
      </c>
      <c r="I4256" s="8">
        <v>527.4375</v>
      </c>
      <c r="J4256" s="3">
        <f t="shared" si="66"/>
        <v>43747.774304583327</v>
      </c>
    </row>
    <row r="4257" spans="1:10" x14ac:dyDescent="0.25">
      <c r="A4257" s="5" t="s">
        <v>8834</v>
      </c>
      <c r="B4257" s="6">
        <v>400</v>
      </c>
      <c r="C4257" s="6">
        <v>20.478950000000001</v>
      </c>
      <c r="D4257" s="6">
        <v>78</v>
      </c>
      <c r="E4257" s="6">
        <v>0</v>
      </c>
      <c r="F4257" s="6">
        <v>0</v>
      </c>
      <c r="G4257" s="6">
        <v>12</v>
      </c>
      <c r="H4257" s="6" t="s">
        <v>8835</v>
      </c>
      <c r="I4257" s="6">
        <v>528.1875</v>
      </c>
      <c r="J4257" s="2">
        <f t="shared" si="66"/>
        <v>43747.774375868052</v>
      </c>
    </row>
    <row r="4258" spans="1:10" x14ac:dyDescent="0.25">
      <c r="A4258" s="7" t="s">
        <v>8836</v>
      </c>
      <c r="B4258" s="8">
        <v>418.75</v>
      </c>
      <c r="C4258" s="8">
        <v>20.478950000000001</v>
      </c>
      <c r="D4258" s="8">
        <v>78</v>
      </c>
      <c r="E4258" s="8">
        <v>0</v>
      </c>
      <c r="F4258" s="8">
        <v>0</v>
      </c>
      <c r="G4258" s="8">
        <v>12</v>
      </c>
      <c r="H4258" s="8" t="s">
        <v>8837</v>
      </c>
      <c r="I4258" s="8">
        <v>534.1875</v>
      </c>
      <c r="J4258" s="3">
        <f t="shared" si="66"/>
        <v>43747.774471249999</v>
      </c>
    </row>
    <row r="4259" spans="1:10" x14ac:dyDescent="0.25">
      <c r="A4259" s="5" t="s">
        <v>8838</v>
      </c>
      <c r="B4259" s="6">
        <v>403.125</v>
      </c>
      <c r="C4259" s="6">
        <v>20.478950000000001</v>
      </c>
      <c r="D4259" s="6">
        <v>78</v>
      </c>
      <c r="E4259" s="6">
        <v>0</v>
      </c>
      <c r="F4259" s="6">
        <v>0</v>
      </c>
      <c r="G4259" s="6">
        <v>2</v>
      </c>
      <c r="H4259" s="6" t="s">
        <v>8839</v>
      </c>
      <c r="I4259" s="6">
        <v>529.125</v>
      </c>
      <c r="J4259" s="2">
        <f t="shared" si="66"/>
        <v>43747.774542662031</v>
      </c>
    </row>
    <row r="4260" spans="1:10" x14ac:dyDescent="0.25">
      <c r="A4260" s="7" t="s">
        <v>8840</v>
      </c>
      <c r="B4260" s="8">
        <v>403.125</v>
      </c>
      <c r="C4260" s="8">
        <v>20.478950000000001</v>
      </c>
      <c r="D4260" s="8">
        <v>78</v>
      </c>
      <c r="E4260" s="8">
        <v>0</v>
      </c>
      <c r="F4260" s="8">
        <v>0</v>
      </c>
      <c r="G4260" s="8">
        <v>10</v>
      </c>
      <c r="H4260" s="8" t="s">
        <v>8841</v>
      </c>
      <c r="I4260" s="8">
        <v>529.125</v>
      </c>
      <c r="J4260" s="3">
        <f t="shared" si="66"/>
        <v>43747.774613935188</v>
      </c>
    </row>
    <row r="4261" spans="1:10" x14ac:dyDescent="0.25">
      <c r="A4261" s="5" t="s">
        <v>8842</v>
      </c>
      <c r="B4261" s="6">
        <v>403.125</v>
      </c>
      <c r="C4261" s="6">
        <v>20.478950000000001</v>
      </c>
      <c r="D4261" s="6">
        <v>78</v>
      </c>
      <c r="E4261" s="6">
        <v>0</v>
      </c>
      <c r="F4261" s="6">
        <v>0</v>
      </c>
      <c r="G4261" s="6">
        <v>6</v>
      </c>
      <c r="H4261" s="6" t="s">
        <v>8843</v>
      </c>
      <c r="I4261" s="6">
        <v>529.125</v>
      </c>
      <c r="J4261" s="2">
        <f t="shared" si="66"/>
        <v>43747.774686087963</v>
      </c>
    </row>
    <row r="4262" spans="1:10" x14ac:dyDescent="0.25">
      <c r="A4262" s="7" t="s">
        <v>8844</v>
      </c>
      <c r="B4262" s="8">
        <v>403.125</v>
      </c>
      <c r="C4262" s="8">
        <v>20.478950000000001</v>
      </c>
      <c r="D4262" s="8">
        <v>78</v>
      </c>
      <c r="E4262" s="8">
        <v>0</v>
      </c>
      <c r="F4262" s="8">
        <v>0</v>
      </c>
      <c r="G4262" s="8">
        <v>9</v>
      </c>
      <c r="H4262" s="8" t="s">
        <v>8845</v>
      </c>
      <c r="I4262" s="8">
        <v>529.125</v>
      </c>
      <c r="J4262" s="3">
        <f t="shared" si="66"/>
        <v>43747.774757349536</v>
      </c>
    </row>
    <row r="4263" spans="1:10" x14ac:dyDescent="0.25">
      <c r="A4263" s="5" t="s">
        <v>8846</v>
      </c>
      <c r="B4263" s="6">
        <v>403.125</v>
      </c>
      <c r="C4263" s="6">
        <v>20.478950000000001</v>
      </c>
      <c r="D4263" s="6">
        <v>78</v>
      </c>
      <c r="E4263" s="6">
        <v>0</v>
      </c>
      <c r="F4263" s="6">
        <v>0</v>
      </c>
      <c r="G4263" s="6">
        <v>0</v>
      </c>
      <c r="H4263" s="6" t="s">
        <v>8847</v>
      </c>
      <c r="I4263" s="6">
        <v>529.125</v>
      </c>
      <c r="J4263" s="2">
        <f t="shared" si="66"/>
        <v>43747.774828831018</v>
      </c>
    </row>
    <row r="4264" spans="1:10" x14ac:dyDescent="0.25">
      <c r="A4264" s="7" t="s">
        <v>8848</v>
      </c>
      <c r="B4264" s="8">
        <v>403.125</v>
      </c>
      <c r="C4264" s="8">
        <v>20.531590000000001</v>
      </c>
      <c r="D4264" s="8">
        <v>78</v>
      </c>
      <c r="E4264" s="8">
        <v>0</v>
      </c>
      <c r="F4264" s="8">
        <v>0</v>
      </c>
      <c r="G4264" s="8">
        <v>7</v>
      </c>
      <c r="H4264" s="8" t="s">
        <v>8849</v>
      </c>
      <c r="I4264" s="8">
        <v>529.125</v>
      </c>
      <c r="J4264" s="3">
        <f t="shared" si="66"/>
        <v>43747.774900185184</v>
      </c>
    </row>
    <row r="4265" spans="1:10" x14ac:dyDescent="0.25">
      <c r="A4265" s="5" t="s">
        <v>8850</v>
      </c>
      <c r="B4265" s="6">
        <v>403.125</v>
      </c>
      <c r="C4265" s="6">
        <v>20.531590000000001</v>
      </c>
      <c r="D4265" s="6">
        <v>78</v>
      </c>
      <c r="E4265" s="6">
        <v>0</v>
      </c>
      <c r="F4265" s="6">
        <v>0</v>
      </c>
      <c r="G4265" s="6">
        <v>2</v>
      </c>
      <c r="H4265" s="6" t="s">
        <v>8851</v>
      </c>
      <c r="I4265" s="6">
        <v>529.875</v>
      </c>
      <c r="J4265" s="2">
        <f t="shared" si="66"/>
        <v>43747.774971539351</v>
      </c>
    </row>
    <row r="4266" spans="1:10" x14ac:dyDescent="0.25">
      <c r="A4266" s="7" t="s">
        <v>8852</v>
      </c>
      <c r="B4266" s="8">
        <v>421.875</v>
      </c>
      <c r="C4266" s="8">
        <v>20.478950000000001</v>
      </c>
      <c r="D4266" s="8">
        <v>78</v>
      </c>
      <c r="E4266" s="8">
        <v>0</v>
      </c>
      <c r="F4266" s="8">
        <v>0</v>
      </c>
      <c r="G4266" s="8">
        <v>7</v>
      </c>
      <c r="H4266" s="8" t="s">
        <v>8853</v>
      </c>
      <c r="I4266" s="8">
        <v>535.6875</v>
      </c>
      <c r="J4266" s="3">
        <f t="shared" si="66"/>
        <v>43747.775043472218</v>
      </c>
    </row>
    <row r="4267" spans="1:10" x14ac:dyDescent="0.25">
      <c r="A4267" s="5" t="s">
        <v>8854</v>
      </c>
      <c r="B4267" s="6">
        <v>403.125</v>
      </c>
      <c r="C4267" s="6">
        <v>20.531590000000001</v>
      </c>
      <c r="D4267" s="6">
        <v>79</v>
      </c>
      <c r="E4267" s="6">
        <v>0</v>
      </c>
      <c r="F4267" s="6">
        <v>0</v>
      </c>
      <c r="G4267" s="6">
        <v>7</v>
      </c>
      <c r="H4267" s="6" t="s">
        <v>8855</v>
      </c>
      <c r="I4267" s="6">
        <v>529.875</v>
      </c>
      <c r="J4267" s="2">
        <f t="shared" si="66"/>
        <v>43747.775114537035</v>
      </c>
    </row>
    <row r="4268" spans="1:10" x14ac:dyDescent="0.25">
      <c r="A4268" s="7" t="s">
        <v>8856</v>
      </c>
      <c r="B4268" s="8">
        <v>403.125</v>
      </c>
      <c r="C4268" s="8">
        <v>20.584240000000001</v>
      </c>
      <c r="D4268" s="8">
        <v>79</v>
      </c>
      <c r="E4268" s="8">
        <v>0</v>
      </c>
      <c r="F4268" s="8">
        <v>0</v>
      </c>
      <c r="G4268" s="8">
        <v>2</v>
      </c>
      <c r="H4268" s="8" t="s">
        <v>8857</v>
      </c>
      <c r="I4268" s="8">
        <v>529.875</v>
      </c>
      <c r="J4268" s="3">
        <f t="shared" si="66"/>
        <v>43747.775186180552</v>
      </c>
    </row>
    <row r="4269" spans="1:10" x14ac:dyDescent="0.25">
      <c r="A4269" s="5" t="s">
        <v>8858</v>
      </c>
      <c r="B4269" s="6">
        <v>403.125</v>
      </c>
      <c r="C4269" s="6">
        <v>20.478950000000001</v>
      </c>
      <c r="D4269" s="6">
        <v>79</v>
      </c>
      <c r="E4269" s="6">
        <v>0</v>
      </c>
      <c r="F4269" s="6">
        <v>0</v>
      </c>
      <c r="G4269" s="6">
        <v>9</v>
      </c>
      <c r="H4269" s="6" t="s">
        <v>8859</v>
      </c>
      <c r="I4269" s="6">
        <v>529.875</v>
      </c>
      <c r="J4269" s="2">
        <f t="shared" si="66"/>
        <v>43747.775258773145</v>
      </c>
    </row>
    <row r="4270" spans="1:10" x14ac:dyDescent="0.25">
      <c r="A4270" s="7" t="s">
        <v>8860</v>
      </c>
      <c r="B4270" s="8">
        <v>406.25</v>
      </c>
      <c r="C4270" s="8">
        <v>20.478950000000001</v>
      </c>
      <c r="D4270" s="8">
        <v>78</v>
      </c>
      <c r="E4270" s="8">
        <v>0</v>
      </c>
      <c r="F4270" s="8">
        <v>0</v>
      </c>
      <c r="G4270" s="8">
        <v>10</v>
      </c>
      <c r="H4270" s="8" t="s">
        <v>8861</v>
      </c>
      <c r="I4270" s="8">
        <v>530.8125</v>
      </c>
      <c r="J4270" s="3">
        <f t="shared" si="66"/>
        <v>43747.775329872682</v>
      </c>
    </row>
    <row r="4271" spans="1:10" x14ac:dyDescent="0.25">
      <c r="A4271" s="5" t="s">
        <v>8862</v>
      </c>
      <c r="B4271" s="6">
        <v>406.25</v>
      </c>
      <c r="C4271" s="6">
        <v>20.531590000000001</v>
      </c>
      <c r="D4271" s="6">
        <v>78</v>
      </c>
      <c r="E4271" s="6">
        <v>0</v>
      </c>
      <c r="F4271" s="6">
        <v>0</v>
      </c>
      <c r="G4271" s="6">
        <v>5</v>
      </c>
      <c r="H4271" s="6" t="s">
        <v>8863</v>
      </c>
      <c r="I4271" s="6">
        <v>530.625</v>
      </c>
      <c r="J4271" s="2">
        <f t="shared" si="66"/>
        <v>43747.775401226849</v>
      </c>
    </row>
    <row r="4272" spans="1:10" x14ac:dyDescent="0.25">
      <c r="A4272" s="7" t="s">
        <v>8864</v>
      </c>
      <c r="B4272" s="8">
        <v>406.25</v>
      </c>
      <c r="C4272" s="8">
        <v>20.531590000000001</v>
      </c>
      <c r="D4272" s="8">
        <v>78</v>
      </c>
      <c r="E4272" s="8">
        <v>0</v>
      </c>
      <c r="F4272" s="8">
        <v>0</v>
      </c>
      <c r="G4272" s="8">
        <v>2</v>
      </c>
      <c r="H4272" s="8" t="s">
        <v>8865</v>
      </c>
      <c r="I4272" s="8">
        <v>530.8125</v>
      </c>
      <c r="J4272" s="3">
        <f t="shared" si="66"/>
        <v>43747.775487094907</v>
      </c>
    </row>
    <row r="4273" spans="1:10" x14ac:dyDescent="0.25">
      <c r="A4273" s="5" t="s">
        <v>8866</v>
      </c>
      <c r="B4273" s="6">
        <v>406.25</v>
      </c>
      <c r="C4273" s="6">
        <v>20.478950000000001</v>
      </c>
      <c r="D4273" s="6">
        <v>78</v>
      </c>
      <c r="E4273" s="6">
        <v>0</v>
      </c>
      <c r="F4273" s="6">
        <v>0</v>
      </c>
      <c r="G4273" s="6">
        <v>11</v>
      </c>
      <c r="H4273" s="6" t="s">
        <v>8867</v>
      </c>
      <c r="I4273" s="6">
        <v>530.8125</v>
      </c>
      <c r="J4273" s="2">
        <f t="shared" si="66"/>
        <v>43747.775567893514</v>
      </c>
    </row>
    <row r="4274" spans="1:10" x14ac:dyDescent="0.25">
      <c r="A4274" s="7" t="s">
        <v>8868</v>
      </c>
      <c r="B4274" s="8">
        <v>406.25</v>
      </c>
      <c r="C4274" s="8">
        <v>20.531590000000001</v>
      </c>
      <c r="D4274" s="8">
        <v>78</v>
      </c>
      <c r="E4274" s="8">
        <v>0</v>
      </c>
      <c r="F4274" s="8">
        <v>0</v>
      </c>
      <c r="G4274" s="8">
        <v>2</v>
      </c>
      <c r="H4274" s="8" t="s">
        <v>8869</v>
      </c>
      <c r="I4274" s="8">
        <v>530.625</v>
      </c>
      <c r="J4274" s="3">
        <f t="shared" si="66"/>
        <v>43747.775640324071</v>
      </c>
    </row>
    <row r="4275" spans="1:10" x14ac:dyDescent="0.25">
      <c r="A4275" s="5" t="s">
        <v>8870</v>
      </c>
      <c r="B4275" s="6">
        <v>406.25</v>
      </c>
      <c r="C4275" s="6">
        <v>20.478950000000001</v>
      </c>
      <c r="D4275" s="6">
        <v>78</v>
      </c>
      <c r="E4275" s="6">
        <v>0</v>
      </c>
      <c r="F4275" s="6">
        <v>0</v>
      </c>
      <c r="G4275" s="6">
        <v>10</v>
      </c>
      <c r="H4275" s="6" t="s">
        <v>8871</v>
      </c>
      <c r="I4275" s="6">
        <v>530.625</v>
      </c>
      <c r="J4275" s="2">
        <f t="shared" si="66"/>
        <v>43747.775727430555</v>
      </c>
    </row>
    <row r="4276" spans="1:10" x14ac:dyDescent="0.25">
      <c r="A4276" s="7" t="s">
        <v>8872</v>
      </c>
      <c r="B4276" s="8">
        <v>406.25</v>
      </c>
      <c r="C4276" s="8">
        <v>20.478950000000001</v>
      </c>
      <c r="D4276" s="8">
        <v>78</v>
      </c>
      <c r="E4276" s="8">
        <v>0</v>
      </c>
      <c r="F4276" s="8">
        <v>0</v>
      </c>
      <c r="G4276" s="8">
        <v>1</v>
      </c>
      <c r="H4276" s="8" t="s">
        <v>8873</v>
      </c>
      <c r="I4276" s="8">
        <v>530.8125</v>
      </c>
      <c r="J4276" s="3">
        <f t="shared" si="66"/>
        <v>43747.775820439812</v>
      </c>
    </row>
    <row r="4277" spans="1:10" x14ac:dyDescent="0.25">
      <c r="A4277" s="5" t="s">
        <v>8874</v>
      </c>
      <c r="B4277" s="6">
        <v>406.25</v>
      </c>
      <c r="C4277" s="6">
        <v>20.478950000000001</v>
      </c>
      <c r="D4277" s="6">
        <v>78</v>
      </c>
      <c r="E4277" s="6">
        <v>0</v>
      </c>
      <c r="F4277" s="6">
        <v>0</v>
      </c>
      <c r="G4277" s="6">
        <v>0</v>
      </c>
      <c r="H4277" s="6" t="s">
        <v>8875</v>
      </c>
      <c r="I4277" s="6">
        <v>530.625</v>
      </c>
      <c r="J4277" s="2">
        <f t="shared" si="66"/>
        <v>43747.775902071757</v>
      </c>
    </row>
    <row r="4278" spans="1:10" x14ac:dyDescent="0.25">
      <c r="A4278" s="7" t="s">
        <v>8876</v>
      </c>
      <c r="B4278" s="8">
        <v>425</v>
      </c>
      <c r="C4278" s="8">
        <v>20.478950000000001</v>
      </c>
      <c r="D4278" s="8">
        <v>80</v>
      </c>
      <c r="E4278" s="8">
        <v>0</v>
      </c>
      <c r="F4278" s="8">
        <v>0</v>
      </c>
      <c r="G4278" s="8">
        <v>6</v>
      </c>
      <c r="H4278" s="8" t="s">
        <v>8877</v>
      </c>
      <c r="I4278" s="8">
        <v>536.4375</v>
      </c>
      <c r="J4278" s="3">
        <f t="shared" si="66"/>
        <v>43747.775973379627</v>
      </c>
    </row>
    <row r="4279" spans="1:10" x14ac:dyDescent="0.25">
      <c r="A4279" s="5" t="s">
        <v>8878</v>
      </c>
      <c r="B4279" s="6">
        <v>403.125</v>
      </c>
      <c r="C4279" s="6">
        <v>20.478950000000001</v>
      </c>
      <c r="D4279" s="6">
        <v>82</v>
      </c>
      <c r="E4279" s="6">
        <v>0</v>
      </c>
      <c r="F4279" s="6">
        <v>0</v>
      </c>
      <c r="G4279" s="6">
        <v>11</v>
      </c>
      <c r="H4279" s="6" t="s">
        <v>8879</v>
      </c>
      <c r="I4279" s="6">
        <v>529.875</v>
      </c>
      <c r="J4279" s="2">
        <f t="shared" si="66"/>
        <v>43747.776045555554</v>
      </c>
    </row>
    <row r="4280" spans="1:10" x14ac:dyDescent="0.25">
      <c r="A4280" s="7" t="s">
        <v>8880</v>
      </c>
      <c r="B4280" s="8">
        <v>406.25</v>
      </c>
      <c r="C4280" s="8">
        <v>20.478950000000001</v>
      </c>
      <c r="D4280" s="8">
        <v>82</v>
      </c>
      <c r="E4280" s="8">
        <v>0</v>
      </c>
      <c r="F4280" s="8">
        <v>0</v>
      </c>
      <c r="G4280" s="8">
        <v>5</v>
      </c>
      <c r="H4280" s="8" t="s">
        <v>8881</v>
      </c>
      <c r="I4280" s="8">
        <v>530.8125</v>
      </c>
      <c r="J4280" s="3">
        <f t="shared" si="66"/>
        <v>43747.776116886576</v>
      </c>
    </row>
    <row r="4281" spans="1:10" x14ac:dyDescent="0.25">
      <c r="A4281" s="5" t="s">
        <v>8882</v>
      </c>
      <c r="B4281" s="6">
        <v>406.25</v>
      </c>
      <c r="C4281" s="6">
        <v>20.531590000000001</v>
      </c>
      <c r="D4281" s="6">
        <v>81</v>
      </c>
      <c r="E4281" s="6">
        <v>0</v>
      </c>
      <c r="F4281" s="6">
        <v>0</v>
      </c>
      <c r="G4281" s="6">
        <v>16</v>
      </c>
      <c r="H4281" s="6" t="s">
        <v>8883</v>
      </c>
      <c r="I4281" s="6">
        <v>530.625</v>
      </c>
      <c r="J4281" s="2">
        <f t="shared" si="66"/>
        <v>43747.776200416665</v>
      </c>
    </row>
    <row r="4282" spans="1:10" x14ac:dyDescent="0.25">
      <c r="A4282" s="7" t="s">
        <v>8884</v>
      </c>
      <c r="B4282" s="8">
        <v>406.25</v>
      </c>
      <c r="C4282" s="8">
        <v>20.531590000000001</v>
      </c>
      <c r="D4282" s="8">
        <v>81</v>
      </c>
      <c r="E4282" s="8">
        <v>0</v>
      </c>
      <c r="F4282" s="8">
        <v>0</v>
      </c>
      <c r="G4282" s="8">
        <v>4</v>
      </c>
      <c r="H4282" s="8" t="s">
        <v>8885</v>
      </c>
      <c r="I4282" s="8">
        <v>530.625</v>
      </c>
      <c r="J4282" s="3">
        <f t="shared" si="66"/>
        <v>43747.776271539355</v>
      </c>
    </row>
    <row r="4283" spans="1:10" x14ac:dyDescent="0.25">
      <c r="A4283" s="5" t="s">
        <v>8886</v>
      </c>
      <c r="B4283" s="6">
        <v>406.25</v>
      </c>
      <c r="C4283" s="6">
        <v>20.478950000000001</v>
      </c>
      <c r="D4283" s="6">
        <v>81</v>
      </c>
      <c r="E4283" s="6">
        <v>0</v>
      </c>
      <c r="F4283" s="6">
        <v>0</v>
      </c>
      <c r="G4283" s="6">
        <v>4</v>
      </c>
      <c r="H4283" s="6" t="s">
        <v>8887</v>
      </c>
      <c r="I4283" s="6">
        <v>530.625</v>
      </c>
      <c r="J4283" s="2">
        <f t="shared" si="66"/>
        <v>43747.77634290509</v>
      </c>
    </row>
    <row r="4284" spans="1:10" x14ac:dyDescent="0.25">
      <c r="A4284" s="7" t="s">
        <v>8888</v>
      </c>
      <c r="B4284" s="8">
        <v>406.25</v>
      </c>
      <c r="C4284" s="8">
        <v>20.478950000000001</v>
      </c>
      <c r="D4284" s="8">
        <v>81</v>
      </c>
      <c r="E4284" s="8">
        <v>0</v>
      </c>
      <c r="F4284" s="8">
        <v>0</v>
      </c>
      <c r="G4284" s="8">
        <v>22</v>
      </c>
      <c r="H4284" s="8" t="s">
        <v>8889</v>
      </c>
      <c r="I4284" s="8">
        <v>530.625</v>
      </c>
      <c r="J4284" s="3">
        <f t="shared" si="66"/>
        <v>43747.776414872678</v>
      </c>
    </row>
    <row r="4285" spans="1:10" x14ac:dyDescent="0.25">
      <c r="A4285" s="5" t="s">
        <v>8890</v>
      </c>
      <c r="B4285" s="6">
        <v>406.25</v>
      </c>
      <c r="C4285" s="6">
        <v>20.478950000000001</v>
      </c>
      <c r="D4285" s="6">
        <v>81</v>
      </c>
      <c r="E4285" s="6">
        <v>0</v>
      </c>
      <c r="F4285" s="6">
        <v>0</v>
      </c>
      <c r="G4285" s="6">
        <v>13</v>
      </c>
      <c r="H4285" s="6" t="s">
        <v>8891</v>
      </c>
      <c r="I4285" s="6">
        <v>530.625</v>
      </c>
      <c r="J4285" s="2">
        <f t="shared" si="66"/>
        <v>43747.776486342591</v>
      </c>
    </row>
    <row r="4286" spans="1:10" x14ac:dyDescent="0.25">
      <c r="A4286" s="7" t="s">
        <v>8892</v>
      </c>
      <c r="B4286" s="8">
        <v>406.25</v>
      </c>
      <c r="C4286" s="8">
        <v>20.478950000000001</v>
      </c>
      <c r="D4286" s="8">
        <v>80</v>
      </c>
      <c r="E4286" s="8">
        <v>0</v>
      </c>
      <c r="F4286" s="8">
        <v>0</v>
      </c>
      <c r="G4286" s="8">
        <v>12</v>
      </c>
      <c r="H4286" s="8" t="s">
        <v>8893</v>
      </c>
      <c r="I4286" s="8">
        <v>530.8125</v>
      </c>
      <c r="J4286" s="3">
        <f t="shared" si="66"/>
        <v>43747.776557685182</v>
      </c>
    </row>
    <row r="4287" spans="1:10" x14ac:dyDescent="0.25">
      <c r="A4287" s="5" t="s">
        <v>8894</v>
      </c>
      <c r="B4287" s="6">
        <v>406.25</v>
      </c>
      <c r="C4287" s="6">
        <v>20.531590000000001</v>
      </c>
      <c r="D4287" s="6">
        <v>80</v>
      </c>
      <c r="E4287" s="6">
        <v>0</v>
      </c>
      <c r="F4287" s="6">
        <v>0</v>
      </c>
      <c r="G4287" s="6">
        <v>11</v>
      </c>
      <c r="H4287" s="6" t="s">
        <v>8895</v>
      </c>
      <c r="I4287" s="6">
        <v>530.625</v>
      </c>
      <c r="J4287" s="2">
        <f t="shared" si="66"/>
        <v>43747.776628946762</v>
      </c>
    </row>
    <row r="4288" spans="1:10" x14ac:dyDescent="0.25">
      <c r="A4288" s="7" t="s">
        <v>8896</v>
      </c>
      <c r="B4288" s="8">
        <v>403.125</v>
      </c>
      <c r="C4288" s="8">
        <v>20.478950000000001</v>
      </c>
      <c r="D4288" s="8">
        <v>77</v>
      </c>
      <c r="E4288" s="8">
        <v>0</v>
      </c>
      <c r="F4288" s="8">
        <v>0</v>
      </c>
      <c r="G4288" s="8">
        <v>8</v>
      </c>
      <c r="H4288" s="8" t="s">
        <v>8897</v>
      </c>
      <c r="I4288" s="8">
        <v>529.875</v>
      </c>
      <c r="J4288" s="3">
        <f t="shared" si="66"/>
        <v>43747.776701238421</v>
      </c>
    </row>
    <row r="4289" spans="1:10" x14ac:dyDescent="0.25">
      <c r="A4289" s="5" t="s">
        <v>8898</v>
      </c>
      <c r="B4289" s="6">
        <v>403.125</v>
      </c>
      <c r="C4289" s="6">
        <v>20.531590000000001</v>
      </c>
      <c r="D4289" s="6">
        <v>77</v>
      </c>
      <c r="E4289" s="6">
        <v>0</v>
      </c>
      <c r="F4289" s="6">
        <v>0</v>
      </c>
      <c r="G4289" s="6">
        <v>17</v>
      </c>
      <c r="H4289" s="6" t="s">
        <v>8899</v>
      </c>
      <c r="I4289" s="6">
        <v>529.875</v>
      </c>
      <c r="J4289" s="2">
        <f t="shared" si="66"/>
        <v>43747.776772696758</v>
      </c>
    </row>
    <row r="4290" spans="1:10" x14ac:dyDescent="0.25">
      <c r="A4290" s="7" t="s">
        <v>8900</v>
      </c>
      <c r="B4290" s="8">
        <v>428.125</v>
      </c>
      <c r="C4290" s="8">
        <v>20.531590000000001</v>
      </c>
      <c r="D4290" s="8">
        <v>75</v>
      </c>
      <c r="E4290" s="8">
        <v>0</v>
      </c>
      <c r="F4290" s="8">
        <v>0</v>
      </c>
      <c r="G4290" s="8">
        <v>10</v>
      </c>
      <c r="H4290" s="8" t="s">
        <v>8901</v>
      </c>
      <c r="I4290" s="8">
        <v>537</v>
      </c>
      <c r="J4290" s="3">
        <f t="shared" ref="J4290:J4353" si="67">(H4290/86400000)+25569+(7/24)</f>
        <v>43747.776843749998</v>
      </c>
    </row>
    <row r="4291" spans="1:10" x14ac:dyDescent="0.25">
      <c r="A4291" s="5" t="s">
        <v>8902</v>
      </c>
      <c r="B4291" s="6">
        <v>400</v>
      </c>
      <c r="C4291" s="6">
        <v>20.478950000000001</v>
      </c>
      <c r="D4291" s="6">
        <v>76</v>
      </c>
      <c r="E4291" s="6">
        <v>0</v>
      </c>
      <c r="F4291" s="6">
        <v>0</v>
      </c>
      <c r="G4291" s="6">
        <v>18</v>
      </c>
      <c r="H4291" s="6" t="s">
        <v>8903</v>
      </c>
      <c r="I4291" s="6">
        <v>528.9375</v>
      </c>
      <c r="J4291" s="2">
        <f t="shared" si="67"/>
        <v>43747.776939247684</v>
      </c>
    </row>
    <row r="4292" spans="1:10" x14ac:dyDescent="0.25">
      <c r="A4292" s="7" t="s">
        <v>8904</v>
      </c>
      <c r="B4292" s="8">
        <v>403.125</v>
      </c>
      <c r="C4292" s="8">
        <v>20.531590000000001</v>
      </c>
      <c r="D4292" s="8">
        <v>77</v>
      </c>
      <c r="E4292" s="8">
        <v>0</v>
      </c>
      <c r="F4292" s="8">
        <v>0</v>
      </c>
      <c r="G4292" s="8">
        <v>6</v>
      </c>
      <c r="H4292" s="8" t="s">
        <v>8905</v>
      </c>
      <c r="I4292" s="8">
        <v>529.125</v>
      </c>
      <c r="J4292" s="3">
        <f t="shared" si="67"/>
        <v>43747.777023263887</v>
      </c>
    </row>
    <row r="4293" spans="1:10" x14ac:dyDescent="0.25">
      <c r="A4293" s="5" t="s">
        <v>8906</v>
      </c>
      <c r="B4293" s="6">
        <v>403.125</v>
      </c>
      <c r="C4293" s="6">
        <v>20.478950000000001</v>
      </c>
      <c r="D4293" s="6">
        <v>77</v>
      </c>
      <c r="E4293" s="6">
        <v>0</v>
      </c>
      <c r="F4293" s="6">
        <v>0</v>
      </c>
      <c r="G4293" s="6">
        <v>13</v>
      </c>
      <c r="H4293" s="6" t="s">
        <v>8907</v>
      </c>
      <c r="I4293" s="6">
        <v>529.875</v>
      </c>
      <c r="J4293" s="2">
        <f t="shared" si="67"/>
        <v>43747.777094722223</v>
      </c>
    </row>
    <row r="4294" spans="1:10" x14ac:dyDescent="0.25">
      <c r="A4294" s="7" t="s">
        <v>8908</v>
      </c>
      <c r="B4294" s="8">
        <v>406.25</v>
      </c>
      <c r="C4294" s="8">
        <v>20.531590000000001</v>
      </c>
      <c r="D4294" s="8">
        <v>77</v>
      </c>
      <c r="E4294" s="8">
        <v>0</v>
      </c>
      <c r="F4294" s="8">
        <v>0</v>
      </c>
      <c r="G4294" s="8">
        <v>12</v>
      </c>
      <c r="H4294" s="8" t="s">
        <v>8909</v>
      </c>
      <c r="I4294" s="8">
        <v>530.625</v>
      </c>
      <c r="J4294" s="3">
        <f t="shared" si="67"/>
        <v>43747.777166307867</v>
      </c>
    </row>
    <row r="4295" spans="1:10" x14ac:dyDescent="0.25">
      <c r="A4295" s="5" t="s">
        <v>8910</v>
      </c>
      <c r="B4295" s="6">
        <v>406.25</v>
      </c>
      <c r="C4295" s="6">
        <v>20.478950000000001</v>
      </c>
      <c r="D4295" s="6">
        <v>79</v>
      </c>
      <c r="E4295" s="6">
        <v>0</v>
      </c>
      <c r="F4295" s="6">
        <v>0</v>
      </c>
      <c r="G4295" s="6">
        <v>7</v>
      </c>
      <c r="H4295" s="6" t="s">
        <v>8911</v>
      </c>
      <c r="I4295" s="6">
        <v>530.625</v>
      </c>
      <c r="J4295" s="2">
        <f t="shared" si="67"/>
        <v>43747.777249421291</v>
      </c>
    </row>
    <row r="4296" spans="1:10" x14ac:dyDescent="0.25">
      <c r="A4296" s="7" t="s">
        <v>8912</v>
      </c>
      <c r="B4296" s="8">
        <v>406.25</v>
      </c>
      <c r="C4296" s="8">
        <v>20.531590000000001</v>
      </c>
      <c r="D4296" s="8">
        <v>80</v>
      </c>
      <c r="E4296" s="8">
        <v>0</v>
      </c>
      <c r="F4296" s="8">
        <v>0</v>
      </c>
      <c r="G4296" s="8">
        <v>6</v>
      </c>
      <c r="H4296" s="8" t="s">
        <v>8913</v>
      </c>
      <c r="I4296" s="8">
        <v>530.625</v>
      </c>
      <c r="J4296" s="3">
        <f t="shared" si="67"/>
        <v>43747.777320763889</v>
      </c>
    </row>
    <row r="4297" spans="1:10" x14ac:dyDescent="0.25">
      <c r="A4297" s="5" t="s">
        <v>8914</v>
      </c>
      <c r="B4297" s="6">
        <v>406.25</v>
      </c>
      <c r="C4297" s="6">
        <v>20.531590000000001</v>
      </c>
      <c r="D4297" s="6">
        <v>79</v>
      </c>
      <c r="E4297" s="6">
        <v>0</v>
      </c>
      <c r="F4297" s="6">
        <v>0</v>
      </c>
      <c r="G4297" s="6">
        <v>9</v>
      </c>
      <c r="H4297" s="6" t="s">
        <v>8915</v>
      </c>
      <c r="I4297" s="6">
        <v>530.625</v>
      </c>
      <c r="J4297" s="2">
        <f t="shared" si="67"/>
        <v>43747.777392870368</v>
      </c>
    </row>
    <row r="4298" spans="1:10" x14ac:dyDescent="0.25">
      <c r="A4298" s="7" t="s">
        <v>8916</v>
      </c>
      <c r="B4298" s="8">
        <v>406.25</v>
      </c>
      <c r="C4298" s="8">
        <v>20.478950000000001</v>
      </c>
      <c r="D4298" s="8">
        <v>79</v>
      </c>
      <c r="E4298" s="8">
        <v>0</v>
      </c>
      <c r="F4298" s="8">
        <v>0</v>
      </c>
      <c r="G4298" s="8">
        <v>14</v>
      </c>
      <c r="H4298" s="8" t="s">
        <v>8917</v>
      </c>
      <c r="I4298" s="8">
        <v>530.625</v>
      </c>
      <c r="J4298" s="3">
        <f t="shared" si="67"/>
        <v>43747.777464340274</v>
      </c>
    </row>
    <row r="4299" spans="1:10" x14ac:dyDescent="0.25">
      <c r="A4299" s="5" t="s">
        <v>8918</v>
      </c>
      <c r="B4299" s="6">
        <v>406.25</v>
      </c>
      <c r="C4299" s="6">
        <v>20.478950000000001</v>
      </c>
      <c r="D4299" s="6">
        <v>79</v>
      </c>
      <c r="E4299" s="6">
        <v>0</v>
      </c>
      <c r="F4299" s="6">
        <v>0</v>
      </c>
      <c r="G4299" s="6">
        <v>12</v>
      </c>
      <c r="H4299" s="6" t="s">
        <v>8919</v>
      </c>
      <c r="I4299" s="6">
        <v>530.625</v>
      </c>
      <c r="J4299" s="2">
        <f t="shared" si="67"/>
        <v>43747.777547569443</v>
      </c>
    </row>
    <row r="4300" spans="1:10" x14ac:dyDescent="0.25">
      <c r="A4300" s="7" t="s">
        <v>8920</v>
      </c>
      <c r="B4300" s="8">
        <v>406.25</v>
      </c>
      <c r="C4300" s="8">
        <v>20.478950000000001</v>
      </c>
      <c r="D4300" s="8">
        <v>79</v>
      </c>
      <c r="E4300" s="8">
        <v>0</v>
      </c>
      <c r="F4300" s="8">
        <v>0</v>
      </c>
      <c r="G4300" s="8">
        <v>4</v>
      </c>
      <c r="H4300" s="8" t="s">
        <v>8921</v>
      </c>
      <c r="I4300" s="8">
        <v>530.8125</v>
      </c>
      <c r="J4300" s="3">
        <f t="shared" si="67"/>
        <v>43747.777630949073</v>
      </c>
    </row>
    <row r="4301" spans="1:10" x14ac:dyDescent="0.25">
      <c r="A4301" s="5" t="s">
        <v>8922</v>
      </c>
      <c r="B4301" s="6">
        <v>406.25</v>
      </c>
      <c r="C4301" s="6">
        <v>20.584240000000001</v>
      </c>
      <c r="D4301" s="6">
        <v>79</v>
      </c>
      <c r="E4301" s="6">
        <v>0</v>
      </c>
      <c r="F4301" s="6">
        <v>0</v>
      </c>
      <c r="G4301" s="6">
        <v>12</v>
      </c>
      <c r="H4301" s="6" t="s">
        <v>8923</v>
      </c>
      <c r="I4301" s="6">
        <v>530.625</v>
      </c>
      <c r="J4301" s="2">
        <f t="shared" si="67"/>
        <v>43747.777703067128</v>
      </c>
    </row>
    <row r="4302" spans="1:10" x14ac:dyDescent="0.25">
      <c r="A4302" s="7" t="s">
        <v>8924</v>
      </c>
      <c r="B4302" s="8">
        <v>434.375</v>
      </c>
      <c r="C4302" s="8">
        <v>20.478950000000001</v>
      </c>
      <c r="D4302" s="8">
        <v>80</v>
      </c>
      <c r="E4302" s="8">
        <v>0</v>
      </c>
      <c r="F4302" s="8">
        <v>0</v>
      </c>
      <c r="G4302" s="8">
        <v>12</v>
      </c>
      <c r="H4302" s="8" t="s">
        <v>8925</v>
      </c>
      <c r="I4302" s="8">
        <v>539.4375</v>
      </c>
      <c r="J4302" s="3">
        <f t="shared" si="67"/>
        <v>43747.777774467591</v>
      </c>
    </row>
    <row r="4303" spans="1:10" x14ac:dyDescent="0.25">
      <c r="A4303" s="5" t="s">
        <v>8926</v>
      </c>
      <c r="B4303" s="6">
        <v>406.25</v>
      </c>
      <c r="C4303" s="6">
        <v>20.478950000000001</v>
      </c>
      <c r="D4303" s="6">
        <v>80</v>
      </c>
      <c r="E4303" s="6">
        <v>0</v>
      </c>
      <c r="F4303" s="6">
        <v>0</v>
      </c>
      <c r="G4303" s="6">
        <v>9</v>
      </c>
      <c r="H4303" s="6" t="s">
        <v>8927</v>
      </c>
      <c r="I4303" s="6">
        <v>530.625</v>
      </c>
      <c r="J4303" s="2">
        <f t="shared" si="67"/>
        <v>43747.777845763885</v>
      </c>
    </row>
    <row r="4304" spans="1:10" x14ac:dyDescent="0.25">
      <c r="A4304" s="7" t="s">
        <v>8928</v>
      </c>
      <c r="B4304" s="8">
        <v>406.25</v>
      </c>
      <c r="C4304" s="8">
        <v>20.478950000000001</v>
      </c>
      <c r="D4304" s="8">
        <v>80</v>
      </c>
      <c r="E4304" s="8">
        <v>0</v>
      </c>
      <c r="F4304" s="8">
        <v>0</v>
      </c>
      <c r="G4304" s="8">
        <v>21</v>
      </c>
      <c r="H4304" s="8" t="s">
        <v>8929</v>
      </c>
      <c r="I4304" s="8">
        <v>530.625</v>
      </c>
      <c r="J4304" s="3">
        <f t="shared" si="67"/>
        <v>43747.777929097218</v>
      </c>
    </row>
    <row r="4305" spans="1:10" x14ac:dyDescent="0.25">
      <c r="A4305" s="5" t="s">
        <v>8930</v>
      </c>
      <c r="B4305" s="6">
        <v>406.25</v>
      </c>
      <c r="C4305" s="6">
        <v>20.478950000000001</v>
      </c>
      <c r="D4305" s="6">
        <v>77</v>
      </c>
      <c r="E4305" s="6">
        <v>0</v>
      </c>
      <c r="F4305" s="6">
        <v>0</v>
      </c>
      <c r="G4305" s="6">
        <v>7</v>
      </c>
      <c r="H4305" s="6" t="s">
        <v>8931</v>
      </c>
      <c r="I4305" s="6">
        <v>530.625</v>
      </c>
      <c r="J4305" s="2">
        <f t="shared" si="67"/>
        <v>43747.778001261577</v>
      </c>
    </row>
    <row r="4306" spans="1:10" x14ac:dyDescent="0.25">
      <c r="A4306" s="7" t="s">
        <v>8932</v>
      </c>
      <c r="B4306" s="8">
        <v>406.25</v>
      </c>
      <c r="C4306" s="8">
        <v>20.478950000000001</v>
      </c>
      <c r="D4306" s="8">
        <v>77</v>
      </c>
      <c r="E4306" s="8">
        <v>0</v>
      </c>
      <c r="F4306" s="8">
        <v>0</v>
      </c>
      <c r="G4306" s="8">
        <v>12</v>
      </c>
      <c r="H4306" s="8" t="s">
        <v>8933</v>
      </c>
      <c r="I4306" s="8">
        <v>530.8125</v>
      </c>
      <c r="J4306" s="3">
        <f t="shared" si="67"/>
        <v>43747.778071689812</v>
      </c>
    </row>
    <row r="4307" spans="1:10" x14ac:dyDescent="0.25">
      <c r="A4307" s="5" t="s">
        <v>8934</v>
      </c>
      <c r="B4307" s="6">
        <v>409.375</v>
      </c>
      <c r="C4307" s="6">
        <v>20.531590000000001</v>
      </c>
      <c r="D4307" s="6">
        <v>78</v>
      </c>
      <c r="E4307" s="6">
        <v>0</v>
      </c>
      <c r="F4307" s="6">
        <v>0</v>
      </c>
      <c r="G4307" s="6">
        <v>9</v>
      </c>
      <c r="H4307" s="6" t="s">
        <v>8935</v>
      </c>
      <c r="I4307" s="6">
        <v>531.375</v>
      </c>
      <c r="J4307" s="2">
        <f t="shared" si="67"/>
        <v>43747.778143807867</v>
      </c>
    </row>
    <row r="4308" spans="1:10" x14ac:dyDescent="0.25">
      <c r="A4308" s="7" t="s">
        <v>8936</v>
      </c>
      <c r="B4308" s="8">
        <v>409.375</v>
      </c>
      <c r="C4308" s="8">
        <v>20.531590000000001</v>
      </c>
      <c r="D4308" s="8">
        <v>79</v>
      </c>
      <c r="E4308" s="8">
        <v>0</v>
      </c>
      <c r="F4308" s="8">
        <v>0</v>
      </c>
      <c r="G4308" s="8">
        <v>6</v>
      </c>
      <c r="H4308" s="8" t="s">
        <v>8937</v>
      </c>
      <c r="I4308" s="8">
        <v>531.375</v>
      </c>
      <c r="J4308" s="3">
        <f t="shared" si="67"/>
        <v>43747.778227129624</v>
      </c>
    </row>
    <row r="4309" spans="1:10" x14ac:dyDescent="0.25">
      <c r="A4309" s="5" t="s">
        <v>8938</v>
      </c>
      <c r="B4309" s="6">
        <v>446.875</v>
      </c>
      <c r="C4309" s="6">
        <v>20.531590000000001</v>
      </c>
      <c r="D4309" s="6">
        <v>79</v>
      </c>
      <c r="E4309" s="6">
        <v>0</v>
      </c>
      <c r="F4309" s="6">
        <v>0</v>
      </c>
      <c r="G4309" s="6">
        <v>15</v>
      </c>
      <c r="H4309" s="6" t="s">
        <v>8939</v>
      </c>
      <c r="I4309" s="6">
        <v>543</v>
      </c>
      <c r="J4309" s="2">
        <f t="shared" si="67"/>
        <v>43747.778299120364</v>
      </c>
    </row>
    <row r="4310" spans="1:10" x14ac:dyDescent="0.25">
      <c r="A4310" s="7" t="s">
        <v>8940</v>
      </c>
      <c r="B4310" s="8">
        <v>409.375</v>
      </c>
      <c r="C4310" s="8">
        <v>20.478950000000001</v>
      </c>
      <c r="D4310" s="8">
        <v>79</v>
      </c>
      <c r="E4310" s="8">
        <v>0</v>
      </c>
      <c r="F4310" s="8">
        <v>0</v>
      </c>
      <c r="G4310" s="8">
        <v>9</v>
      </c>
      <c r="H4310" s="8" t="s">
        <v>8941</v>
      </c>
      <c r="I4310" s="8">
        <v>531.5625</v>
      </c>
      <c r="J4310" s="3">
        <f t="shared" si="67"/>
        <v>43747.77837064815</v>
      </c>
    </row>
    <row r="4311" spans="1:10" x14ac:dyDescent="0.25">
      <c r="A4311" s="5" t="s">
        <v>8942</v>
      </c>
      <c r="B4311" s="6">
        <v>409.375</v>
      </c>
      <c r="C4311" s="6">
        <v>20.478950000000001</v>
      </c>
      <c r="D4311" s="6">
        <v>80</v>
      </c>
      <c r="E4311" s="6">
        <v>0</v>
      </c>
      <c r="F4311" s="6">
        <v>0</v>
      </c>
      <c r="G4311" s="6">
        <v>15</v>
      </c>
      <c r="H4311" s="6" t="s">
        <v>8943</v>
      </c>
      <c r="I4311" s="6">
        <v>531.5625</v>
      </c>
      <c r="J4311" s="2">
        <f t="shared" si="67"/>
        <v>43747.778441944443</v>
      </c>
    </row>
    <row r="4312" spans="1:10" x14ac:dyDescent="0.25">
      <c r="A4312" s="7" t="s">
        <v>8944</v>
      </c>
      <c r="B4312" s="8">
        <v>406.25</v>
      </c>
      <c r="C4312" s="8">
        <v>20.478950000000001</v>
      </c>
      <c r="D4312" s="8">
        <v>80</v>
      </c>
      <c r="E4312" s="8">
        <v>0</v>
      </c>
      <c r="F4312" s="8">
        <v>0</v>
      </c>
      <c r="G4312" s="8">
        <v>10</v>
      </c>
      <c r="H4312" s="8" t="s">
        <v>8945</v>
      </c>
      <c r="I4312" s="8">
        <v>530.8125</v>
      </c>
      <c r="J4312" s="3">
        <f t="shared" si="67"/>
        <v>43747.7785133449</v>
      </c>
    </row>
    <row r="4313" spans="1:10" x14ac:dyDescent="0.25">
      <c r="A4313" s="5" t="s">
        <v>8946</v>
      </c>
      <c r="B4313" s="6">
        <v>406.25</v>
      </c>
      <c r="C4313" s="6">
        <v>20.478950000000001</v>
      </c>
      <c r="D4313" s="6">
        <v>80</v>
      </c>
      <c r="E4313" s="6">
        <v>0</v>
      </c>
      <c r="F4313" s="6">
        <v>0</v>
      </c>
      <c r="G4313" s="6">
        <v>9</v>
      </c>
      <c r="H4313" s="6" t="s">
        <v>8947</v>
      </c>
      <c r="I4313" s="6">
        <v>530.625</v>
      </c>
      <c r="J4313" s="2">
        <f t="shared" si="67"/>
        <v>43747.778585231477</v>
      </c>
    </row>
    <row r="4314" spans="1:10" x14ac:dyDescent="0.25">
      <c r="A4314" s="7" t="s">
        <v>8948</v>
      </c>
      <c r="B4314" s="8">
        <v>406.25</v>
      </c>
      <c r="C4314" s="8">
        <v>20.478950000000001</v>
      </c>
      <c r="D4314" s="8">
        <v>79</v>
      </c>
      <c r="E4314" s="8">
        <v>0</v>
      </c>
      <c r="F4314" s="8">
        <v>0</v>
      </c>
      <c r="G4314" s="8">
        <v>10</v>
      </c>
      <c r="H4314" s="8" t="s">
        <v>8949</v>
      </c>
      <c r="I4314" s="8">
        <v>530.625</v>
      </c>
      <c r="J4314" s="3">
        <f t="shared" si="67"/>
        <v>43747.77865670139</v>
      </c>
    </row>
    <row r="4315" spans="1:10" x14ac:dyDescent="0.25">
      <c r="A4315" s="5" t="s">
        <v>8950</v>
      </c>
      <c r="B4315" s="6">
        <v>403.125</v>
      </c>
      <c r="C4315" s="6">
        <v>20.478950000000001</v>
      </c>
      <c r="D4315" s="6">
        <v>78</v>
      </c>
      <c r="E4315" s="6">
        <v>0</v>
      </c>
      <c r="F4315" s="6">
        <v>0</v>
      </c>
      <c r="G4315" s="6">
        <v>7</v>
      </c>
      <c r="H4315" s="6" t="s">
        <v>8951</v>
      </c>
      <c r="I4315" s="6">
        <v>529.875</v>
      </c>
      <c r="J4315" s="2">
        <f t="shared" si="67"/>
        <v>43747.778728055557</v>
      </c>
    </row>
    <row r="4316" spans="1:10" x14ac:dyDescent="0.25">
      <c r="A4316" s="7" t="s">
        <v>8952</v>
      </c>
      <c r="B4316" s="8">
        <v>403.125</v>
      </c>
      <c r="C4316" s="8">
        <v>20.478950000000001</v>
      </c>
      <c r="D4316" s="8">
        <v>78</v>
      </c>
      <c r="E4316" s="8">
        <v>0</v>
      </c>
      <c r="F4316" s="8">
        <v>0</v>
      </c>
      <c r="G4316" s="8">
        <v>14</v>
      </c>
      <c r="H4316" s="8" t="s">
        <v>8953</v>
      </c>
      <c r="I4316" s="8">
        <v>529.125</v>
      </c>
      <c r="J4316" s="3">
        <f t="shared" si="67"/>
        <v>43747.778811412034</v>
      </c>
    </row>
    <row r="4317" spans="1:10" x14ac:dyDescent="0.25">
      <c r="A4317" s="5" t="s">
        <v>8954</v>
      </c>
      <c r="B4317" s="6">
        <v>403.125</v>
      </c>
      <c r="C4317" s="6">
        <v>20.478950000000001</v>
      </c>
      <c r="D4317" s="6">
        <v>78</v>
      </c>
      <c r="E4317" s="6">
        <v>0</v>
      </c>
      <c r="F4317" s="6">
        <v>0</v>
      </c>
      <c r="G4317" s="6">
        <v>4</v>
      </c>
      <c r="H4317" s="6" t="s">
        <v>8955</v>
      </c>
      <c r="I4317" s="6">
        <v>529.125</v>
      </c>
      <c r="J4317" s="2">
        <f t="shared" si="67"/>
        <v>43747.778894849536</v>
      </c>
    </row>
    <row r="4318" spans="1:10" x14ac:dyDescent="0.25">
      <c r="A4318" s="7" t="s">
        <v>8956</v>
      </c>
      <c r="B4318" s="8">
        <v>403.125</v>
      </c>
      <c r="C4318" s="8">
        <v>20.478950000000001</v>
      </c>
      <c r="D4318" s="8">
        <v>78</v>
      </c>
      <c r="E4318" s="8">
        <v>0</v>
      </c>
      <c r="F4318" s="8">
        <v>0</v>
      </c>
      <c r="G4318" s="8">
        <v>9</v>
      </c>
      <c r="H4318" s="8" t="s">
        <v>8957</v>
      </c>
      <c r="I4318" s="8">
        <v>529.125</v>
      </c>
      <c r="J4318" s="3">
        <f t="shared" si="67"/>
        <v>43747.778966944439</v>
      </c>
    </row>
    <row r="4319" spans="1:10" x14ac:dyDescent="0.25">
      <c r="A4319" s="5" t="s">
        <v>8958</v>
      </c>
      <c r="B4319" s="6">
        <v>403.125</v>
      </c>
      <c r="C4319" s="6">
        <v>20.478950000000001</v>
      </c>
      <c r="D4319" s="6">
        <v>78</v>
      </c>
      <c r="E4319" s="6">
        <v>0</v>
      </c>
      <c r="F4319" s="6">
        <v>0</v>
      </c>
      <c r="G4319" s="6">
        <v>11</v>
      </c>
      <c r="H4319" s="6" t="s">
        <v>8959</v>
      </c>
      <c r="I4319" s="6">
        <v>529.125</v>
      </c>
      <c r="J4319" s="2">
        <f t="shared" si="67"/>
        <v>43747.779050393518</v>
      </c>
    </row>
    <row r="4320" spans="1:10" x14ac:dyDescent="0.25">
      <c r="A4320" s="7" t="s">
        <v>8960</v>
      </c>
      <c r="B4320" s="8">
        <v>406.25</v>
      </c>
      <c r="C4320" s="8">
        <v>20.478950000000001</v>
      </c>
      <c r="D4320" s="8">
        <v>80</v>
      </c>
      <c r="E4320" s="8">
        <v>0</v>
      </c>
      <c r="F4320" s="8">
        <v>0</v>
      </c>
      <c r="G4320" s="8">
        <v>15</v>
      </c>
      <c r="H4320" s="8" t="s">
        <v>8961</v>
      </c>
      <c r="I4320" s="8">
        <v>530.0625</v>
      </c>
      <c r="J4320" s="3">
        <f t="shared" si="67"/>
        <v>43747.779133634256</v>
      </c>
    </row>
    <row r="4321" spans="1:10" x14ac:dyDescent="0.25">
      <c r="A4321" s="5" t="s">
        <v>8962</v>
      </c>
      <c r="B4321" s="6">
        <v>406.25</v>
      </c>
      <c r="C4321" s="6">
        <v>20.531590000000001</v>
      </c>
      <c r="D4321" s="6">
        <v>79</v>
      </c>
      <c r="E4321" s="6">
        <v>0</v>
      </c>
      <c r="F4321" s="6">
        <v>0</v>
      </c>
      <c r="G4321" s="6">
        <v>11</v>
      </c>
      <c r="H4321" s="6" t="s">
        <v>8963</v>
      </c>
      <c r="I4321" s="6">
        <v>530.625</v>
      </c>
      <c r="J4321" s="2">
        <f t="shared" si="67"/>
        <v>43747.779217013885</v>
      </c>
    </row>
    <row r="4322" spans="1:10" x14ac:dyDescent="0.25">
      <c r="A4322" s="7" t="s">
        <v>8964</v>
      </c>
      <c r="B4322" s="8">
        <v>428.125</v>
      </c>
      <c r="C4322" s="8">
        <v>20.478950000000001</v>
      </c>
      <c r="D4322" s="8">
        <v>77</v>
      </c>
      <c r="E4322" s="8">
        <v>0</v>
      </c>
      <c r="F4322" s="8">
        <v>0</v>
      </c>
      <c r="G4322" s="8">
        <v>15</v>
      </c>
      <c r="H4322" s="8" t="s">
        <v>8965</v>
      </c>
      <c r="I4322" s="8">
        <v>537.1875</v>
      </c>
      <c r="J4322" s="3">
        <f t="shared" si="67"/>
        <v>43747.779288472222</v>
      </c>
    </row>
    <row r="4323" spans="1:10" x14ac:dyDescent="0.25">
      <c r="A4323" s="5" t="s">
        <v>8966</v>
      </c>
      <c r="B4323" s="6">
        <v>403.125</v>
      </c>
      <c r="C4323" s="6">
        <v>20.478950000000001</v>
      </c>
      <c r="D4323" s="6">
        <v>77</v>
      </c>
      <c r="E4323" s="6">
        <v>0</v>
      </c>
      <c r="F4323" s="6">
        <v>0</v>
      </c>
      <c r="G4323" s="6">
        <v>13</v>
      </c>
      <c r="H4323" s="6" t="s">
        <v>8967</v>
      </c>
      <c r="I4323" s="6">
        <v>529.875</v>
      </c>
      <c r="J4323" s="2">
        <f t="shared" si="67"/>
        <v>43747.77936043981</v>
      </c>
    </row>
    <row r="4324" spans="1:10" x14ac:dyDescent="0.25">
      <c r="A4324" s="7" t="s">
        <v>8968</v>
      </c>
      <c r="B4324" s="8">
        <v>403.125</v>
      </c>
      <c r="C4324" s="8">
        <v>20.478950000000001</v>
      </c>
      <c r="D4324" s="8">
        <v>77</v>
      </c>
      <c r="E4324" s="8">
        <v>0</v>
      </c>
      <c r="F4324" s="8">
        <v>0</v>
      </c>
      <c r="G4324" s="8">
        <v>11</v>
      </c>
      <c r="H4324" s="8" t="s">
        <v>8969</v>
      </c>
      <c r="I4324" s="8">
        <v>529.875</v>
      </c>
      <c r="J4324" s="3">
        <f t="shared" si="67"/>
        <v>43747.779456921293</v>
      </c>
    </row>
    <row r="4325" spans="1:10" x14ac:dyDescent="0.25">
      <c r="A4325" s="5" t="s">
        <v>8970</v>
      </c>
      <c r="B4325" s="6">
        <v>403.125</v>
      </c>
      <c r="C4325" s="6">
        <v>20.478950000000001</v>
      </c>
      <c r="D4325" s="6">
        <v>77</v>
      </c>
      <c r="E4325" s="6">
        <v>0</v>
      </c>
      <c r="F4325" s="6">
        <v>0</v>
      </c>
      <c r="G4325" s="6">
        <v>10</v>
      </c>
      <c r="H4325" s="6" t="s">
        <v>8971</v>
      </c>
      <c r="I4325" s="6">
        <v>529.125</v>
      </c>
      <c r="J4325" s="2">
        <f t="shared" si="67"/>
        <v>43747.779528796294</v>
      </c>
    </row>
    <row r="4326" spans="1:10" x14ac:dyDescent="0.25">
      <c r="A4326" s="7" t="s">
        <v>8972</v>
      </c>
      <c r="B4326" s="8">
        <v>403.125</v>
      </c>
      <c r="C4326" s="8">
        <v>20.531590000000001</v>
      </c>
      <c r="D4326" s="8">
        <v>76</v>
      </c>
      <c r="E4326" s="8">
        <v>0</v>
      </c>
      <c r="F4326" s="8">
        <v>0</v>
      </c>
      <c r="G4326" s="8">
        <v>8</v>
      </c>
      <c r="H4326" s="8" t="s">
        <v>8973</v>
      </c>
      <c r="I4326" s="8">
        <v>529.125</v>
      </c>
      <c r="J4326" s="3">
        <f t="shared" si="67"/>
        <v>43747.779610428239</v>
      </c>
    </row>
    <row r="4327" spans="1:10" x14ac:dyDescent="0.25">
      <c r="A4327" s="5" t="s">
        <v>8974</v>
      </c>
      <c r="B4327" s="6">
        <v>403.125</v>
      </c>
      <c r="C4327" s="6">
        <v>20.531590000000001</v>
      </c>
      <c r="D4327" s="6">
        <v>77</v>
      </c>
      <c r="E4327" s="6">
        <v>0</v>
      </c>
      <c r="F4327" s="6">
        <v>0</v>
      </c>
      <c r="G4327" s="6">
        <v>7</v>
      </c>
      <c r="H4327" s="6" t="s">
        <v>8975</v>
      </c>
      <c r="I4327" s="6">
        <v>529.125</v>
      </c>
      <c r="J4327" s="2">
        <f t="shared" si="67"/>
        <v>43747.779682488421</v>
      </c>
    </row>
    <row r="4328" spans="1:10" x14ac:dyDescent="0.25">
      <c r="A4328" s="7" t="s">
        <v>8976</v>
      </c>
      <c r="B4328" s="8">
        <v>421.875</v>
      </c>
      <c r="C4328" s="8">
        <v>20.478950000000001</v>
      </c>
      <c r="D4328" s="8">
        <v>77</v>
      </c>
      <c r="E4328" s="8">
        <v>0</v>
      </c>
      <c r="F4328" s="8">
        <v>0</v>
      </c>
      <c r="G4328" s="8">
        <v>12</v>
      </c>
      <c r="H4328" s="8" t="s">
        <v>8977</v>
      </c>
      <c r="I4328" s="8">
        <v>535.875</v>
      </c>
      <c r="J4328" s="3">
        <f t="shared" si="67"/>
        <v>43747.779753981478</v>
      </c>
    </row>
    <row r="4329" spans="1:10" x14ac:dyDescent="0.25">
      <c r="A4329" s="5" t="s">
        <v>8978</v>
      </c>
      <c r="B4329" s="6">
        <v>403.125</v>
      </c>
      <c r="C4329" s="6">
        <v>20.478950000000001</v>
      </c>
      <c r="D4329" s="6">
        <v>78</v>
      </c>
      <c r="E4329" s="6">
        <v>0</v>
      </c>
      <c r="F4329" s="6">
        <v>0</v>
      </c>
      <c r="G4329" s="6">
        <v>14</v>
      </c>
      <c r="H4329" s="6" t="s">
        <v>8979</v>
      </c>
      <c r="I4329" s="6">
        <v>529.125</v>
      </c>
      <c r="J4329" s="2">
        <f t="shared" si="67"/>
        <v>43747.779825254627</v>
      </c>
    </row>
    <row r="4330" spans="1:10" x14ac:dyDescent="0.25">
      <c r="A4330" s="7" t="s">
        <v>8980</v>
      </c>
      <c r="B4330" s="8">
        <v>403.125</v>
      </c>
      <c r="C4330" s="8">
        <v>20.478950000000001</v>
      </c>
      <c r="D4330" s="8">
        <v>77</v>
      </c>
      <c r="E4330" s="8">
        <v>0</v>
      </c>
      <c r="F4330" s="8">
        <v>0</v>
      </c>
      <c r="G4330" s="8">
        <v>15</v>
      </c>
      <c r="H4330" s="8" t="s">
        <v>8981</v>
      </c>
      <c r="I4330" s="8">
        <v>529.125</v>
      </c>
      <c r="J4330" s="3">
        <f t="shared" si="67"/>
        <v>43747.779896562497</v>
      </c>
    </row>
    <row r="4331" spans="1:10" x14ac:dyDescent="0.25">
      <c r="A4331" s="5" t="s">
        <v>8982</v>
      </c>
      <c r="B4331" s="6">
        <v>403.125</v>
      </c>
      <c r="C4331" s="6">
        <v>20.478950000000001</v>
      </c>
      <c r="D4331" s="6">
        <v>76</v>
      </c>
      <c r="E4331" s="6">
        <v>0</v>
      </c>
      <c r="F4331" s="6">
        <v>0</v>
      </c>
      <c r="G4331" s="6">
        <v>16</v>
      </c>
      <c r="H4331" s="6" t="s">
        <v>8983</v>
      </c>
      <c r="I4331" s="6">
        <v>529.125</v>
      </c>
      <c r="J4331" s="2">
        <f t="shared" si="67"/>
        <v>43747.779967951392</v>
      </c>
    </row>
    <row r="4332" spans="1:10" x14ac:dyDescent="0.25">
      <c r="A4332" s="7" t="s">
        <v>8984</v>
      </c>
      <c r="B4332" s="8">
        <v>403.125</v>
      </c>
      <c r="C4332" s="8">
        <v>20.478950000000001</v>
      </c>
      <c r="D4332" s="8">
        <v>76</v>
      </c>
      <c r="E4332" s="8">
        <v>0</v>
      </c>
      <c r="F4332" s="8">
        <v>0</v>
      </c>
      <c r="G4332" s="8">
        <v>12</v>
      </c>
      <c r="H4332" s="8" t="s">
        <v>8985</v>
      </c>
      <c r="I4332" s="8">
        <v>529.875</v>
      </c>
      <c r="J4332" s="3">
        <f t="shared" si="67"/>
        <v>43747.780040127313</v>
      </c>
    </row>
    <row r="4333" spans="1:10" x14ac:dyDescent="0.25">
      <c r="A4333" s="5" t="s">
        <v>8986</v>
      </c>
      <c r="B4333" s="6">
        <v>403.125</v>
      </c>
      <c r="C4333" s="6">
        <v>20.478950000000001</v>
      </c>
      <c r="D4333" s="6">
        <v>75</v>
      </c>
      <c r="E4333" s="6">
        <v>0</v>
      </c>
      <c r="F4333" s="6">
        <v>0</v>
      </c>
      <c r="G4333" s="6">
        <v>4</v>
      </c>
      <c r="H4333" s="6" t="s">
        <v>8987</v>
      </c>
      <c r="I4333" s="6">
        <v>529.875</v>
      </c>
      <c r="J4333" s="2">
        <f t="shared" si="67"/>
        <v>43747.780123402779</v>
      </c>
    </row>
    <row r="4334" spans="1:10" x14ac:dyDescent="0.25">
      <c r="A4334" s="7" t="s">
        <v>8988</v>
      </c>
      <c r="B4334" s="8">
        <v>403.125</v>
      </c>
      <c r="C4334" s="8">
        <v>20.478950000000001</v>
      </c>
      <c r="D4334" s="8">
        <v>75</v>
      </c>
      <c r="E4334" s="8">
        <v>0</v>
      </c>
      <c r="F4334" s="8">
        <v>0</v>
      </c>
      <c r="G4334" s="8">
        <v>9</v>
      </c>
      <c r="H4334" s="8" t="s">
        <v>8989</v>
      </c>
      <c r="I4334" s="8">
        <v>529.875</v>
      </c>
      <c r="J4334" s="3">
        <f t="shared" si="67"/>
        <v>43747.780194710642</v>
      </c>
    </row>
    <row r="4335" spans="1:10" x14ac:dyDescent="0.25">
      <c r="A4335" s="5" t="s">
        <v>8990</v>
      </c>
      <c r="B4335" s="6">
        <v>403.125</v>
      </c>
      <c r="C4335" s="6">
        <v>20.478950000000001</v>
      </c>
      <c r="D4335" s="6">
        <v>74</v>
      </c>
      <c r="E4335" s="6">
        <v>0</v>
      </c>
      <c r="F4335" s="6">
        <v>0</v>
      </c>
      <c r="G4335" s="6">
        <v>15</v>
      </c>
      <c r="H4335" s="6" t="s">
        <v>8991</v>
      </c>
      <c r="I4335" s="6">
        <v>529.875</v>
      </c>
      <c r="J4335" s="2">
        <f t="shared" si="67"/>
        <v>43747.780278043974</v>
      </c>
    </row>
    <row r="4336" spans="1:10" x14ac:dyDescent="0.25">
      <c r="A4336" s="7" t="s">
        <v>8992</v>
      </c>
      <c r="B4336" s="8">
        <v>403.125</v>
      </c>
      <c r="C4336" s="8">
        <v>20.478950000000001</v>
      </c>
      <c r="D4336" s="8">
        <v>74</v>
      </c>
      <c r="E4336" s="8">
        <v>0</v>
      </c>
      <c r="F4336" s="8">
        <v>0</v>
      </c>
      <c r="G4336" s="8">
        <v>8</v>
      </c>
      <c r="H4336" s="8" t="s">
        <v>8993</v>
      </c>
      <c r="I4336" s="8">
        <v>529.125</v>
      </c>
      <c r="J4336" s="3">
        <f t="shared" si="67"/>
        <v>43747.780350266206</v>
      </c>
    </row>
    <row r="4337" spans="1:10" x14ac:dyDescent="0.25">
      <c r="A4337" s="5" t="s">
        <v>8994</v>
      </c>
      <c r="B4337" s="6">
        <v>403.125</v>
      </c>
      <c r="C4337" s="6">
        <v>20.478950000000001</v>
      </c>
      <c r="D4337" s="6">
        <v>75</v>
      </c>
      <c r="E4337" s="6">
        <v>0</v>
      </c>
      <c r="F4337" s="6">
        <v>0</v>
      </c>
      <c r="G4337" s="6">
        <v>14</v>
      </c>
      <c r="H4337" s="6" t="s">
        <v>8995</v>
      </c>
      <c r="I4337" s="6">
        <v>529.125</v>
      </c>
      <c r="J4337" s="2">
        <f t="shared" si="67"/>
        <v>43747.780421504627</v>
      </c>
    </row>
    <row r="4338" spans="1:10" x14ac:dyDescent="0.25">
      <c r="A4338" s="7" t="s">
        <v>8996</v>
      </c>
      <c r="B4338" s="8">
        <v>403.125</v>
      </c>
      <c r="C4338" s="8">
        <v>20.478950000000001</v>
      </c>
      <c r="D4338" s="8">
        <v>75</v>
      </c>
      <c r="E4338" s="8">
        <v>0</v>
      </c>
      <c r="F4338" s="8">
        <v>0</v>
      </c>
      <c r="G4338" s="8">
        <v>3</v>
      </c>
      <c r="H4338" s="8" t="s">
        <v>8997</v>
      </c>
      <c r="I4338" s="8">
        <v>529.125</v>
      </c>
      <c r="J4338" s="3">
        <f t="shared" si="67"/>
        <v>43747.780492847225</v>
      </c>
    </row>
    <row r="4339" spans="1:10" x14ac:dyDescent="0.25">
      <c r="A4339" s="5" t="s">
        <v>8998</v>
      </c>
      <c r="B4339" s="6">
        <v>400</v>
      </c>
      <c r="C4339" s="6">
        <v>20.478950000000001</v>
      </c>
      <c r="D4339" s="6">
        <v>77</v>
      </c>
      <c r="E4339" s="6">
        <v>0</v>
      </c>
      <c r="F4339" s="6">
        <v>0</v>
      </c>
      <c r="G4339" s="6">
        <v>5</v>
      </c>
      <c r="H4339" s="6" t="s">
        <v>8999</v>
      </c>
      <c r="I4339" s="6">
        <v>528.9375</v>
      </c>
      <c r="J4339" s="2">
        <f t="shared" si="67"/>
        <v>43747.780581550927</v>
      </c>
    </row>
    <row r="4340" spans="1:10" x14ac:dyDescent="0.25">
      <c r="A4340" s="7" t="s">
        <v>9000</v>
      </c>
      <c r="B4340" s="8">
        <v>403.125</v>
      </c>
      <c r="C4340" s="8">
        <v>20.478950000000001</v>
      </c>
      <c r="D4340" s="8">
        <v>76</v>
      </c>
      <c r="E4340" s="8">
        <v>0</v>
      </c>
      <c r="F4340" s="8">
        <v>0</v>
      </c>
      <c r="G4340" s="8">
        <v>9</v>
      </c>
      <c r="H4340" s="8" t="s">
        <v>9001</v>
      </c>
      <c r="I4340" s="8">
        <v>529.875</v>
      </c>
      <c r="J4340" s="3">
        <f t="shared" si="67"/>
        <v>43747.78065956018</v>
      </c>
    </row>
    <row r="4341" spans="1:10" x14ac:dyDescent="0.25">
      <c r="A4341" s="5" t="s">
        <v>9002</v>
      </c>
      <c r="B4341" s="6">
        <v>406.25</v>
      </c>
      <c r="C4341" s="6">
        <v>20.478950000000001</v>
      </c>
      <c r="D4341" s="6">
        <v>76</v>
      </c>
      <c r="E4341" s="6">
        <v>0</v>
      </c>
      <c r="F4341" s="6">
        <v>0</v>
      </c>
      <c r="G4341" s="6">
        <v>14</v>
      </c>
      <c r="H4341" s="6" t="s">
        <v>9003</v>
      </c>
      <c r="I4341" s="6">
        <v>530.625</v>
      </c>
      <c r="J4341" s="2">
        <f t="shared" si="67"/>
        <v>43747.780743009258</v>
      </c>
    </row>
    <row r="4342" spans="1:10" x14ac:dyDescent="0.25">
      <c r="A4342" s="7" t="s">
        <v>9004</v>
      </c>
      <c r="B4342" s="8">
        <v>406.25</v>
      </c>
      <c r="C4342" s="8">
        <v>20.478950000000001</v>
      </c>
      <c r="D4342" s="8">
        <v>76</v>
      </c>
      <c r="E4342" s="8">
        <v>0</v>
      </c>
      <c r="F4342" s="8">
        <v>0</v>
      </c>
      <c r="G4342" s="8">
        <v>7</v>
      </c>
      <c r="H4342" s="8" t="s">
        <v>9005</v>
      </c>
      <c r="I4342" s="8">
        <v>530.625</v>
      </c>
      <c r="J4342" s="3">
        <f t="shared" si="67"/>
        <v>43747.780815254628</v>
      </c>
    </row>
    <row r="4343" spans="1:10" x14ac:dyDescent="0.25">
      <c r="A4343" s="5" t="s">
        <v>9006</v>
      </c>
      <c r="B4343" s="6">
        <v>406.25</v>
      </c>
      <c r="C4343" s="6">
        <v>20.478950000000001</v>
      </c>
      <c r="D4343" s="6">
        <v>76</v>
      </c>
      <c r="E4343" s="6">
        <v>0</v>
      </c>
      <c r="F4343" s="6">
        <v>0</v>
      </c>
      <c r="G4343" s="6">
        <v>10</v>
      </c>
      <c r="H4343" s="6" t="s">
        <v>9007</v>
      </c>
      <c r="I4343" s="6">
        <v>530.625</v>
      </c>
      <c r="J4343" s="2">
        <f t="shared" si="67"/>
        <v>43747.780886412038</v>
      </c>
    </row>
    <row r="4344" spans="1:10" x14ac:dyDescent="0.25">
      <c r="A4344" s="7" t="s">
        <v>9008</v>
      </c>
      <c r="B4344" s="8">
        <v>406.25</v>
      </c>
      <c r="C4344" s="8">
        <v>20.478950000000001</v>
      </c>
      <c r="D4344" s="8">
        <v>76</v>
      </c>
      <c r="E4344" s="8">
        <v>0</v>
      </c>
      <c r="F4344" s="8">
        <v>0</v>
      </c>
      <c r="G4344" s="8">
        <v>10</v>
      </c>
      <c r="H4344" s="8" t="s">
        <v>9009</v>
      </c>
      <c r="I4344" s="8">
        <v>530.625</v>
      </c>
      <c r="J4344" s="3">
        <f t="shared" si="67"/>
        <v>43747.780957662035</v>
      </c>
    </row>
    <row r="4345" spans="1:10" x14ac:dyDescent="0.25">
      <c r="A4345" s="5" t="s">
        <v>9010</v>
      </c>
      <c r="B4345" s="6">
        <v>403.125</v>
      </c>
      <c r="C4345" s="6">
        <v>20.478950000000001</v>
      </c>
      <c r="D4345" s="6">
        <v>76</v>
      </c>
      <c r="E4345" s="6">
        <v>0</v>
      </c>
      <c r="F4345" s="6">
        <v>0</v>
      </c>
      <c r="G4345" s="6">
        <v>12</v>
      </c>
      <c r="H4345" s="6" t="s">
        <v>9011</v>
      </c>
      <c r="I4345" s="6">
        <v>529.875</v>
      </c>
      <c r="J4345" s="2">
        <f t="shared" si="67"/>
        <v>43747.781041180555</v>
      </c>
    </row>
    <row r="4346" spans="1:10" x14ac:dyDescent="0.25">
      <c r="A4346" s="7" t="s">
        <v>9012</v>
      </c>
      <c r="B4346" s="8">
        <v>403.125</v>
      </c>
      <c r="C4346" s="8">
        <v>20.531590000000001</v>
      </c>
      <c r="D4346" s="8">
        <v>77</v>
      </c>
      <c r="E4346" s="8">
        <v>0</v>
      </c>
      <c r="F4346" s="8">
        <v>0</v>
      </c>
      <c r="G4346" s="8">
        <v>7</v>
      </c>
      <c r="H4346" s="8" t="s">
        <v>9013</v>
      </c>
      <c r="I4346" s="8">
        <v>529.875</v>
      </c>
      <c r="J4346" s="3">
        <f t="shared" si="67"/>
        <v>43747.781113321755</v>
      </c>
    </row>
    <row r="4347" spans="1:10" x14ac:dyDescent="0.25">
      <c r="A4347" s="5" t="s">
        <v>9014</v>
      </c>
      <c r="B4347" s="6">
        <v>403.125</v>
      </c>
      <c r="C4347" s="6">
        <v>20.478950000000001</v>
      </c>
      <c r="D4347" s="6">
        <v>79</v>
      </c>
      <c r="E4347" s="6">
        <v>0</v>
      </c>
      <c r="F4347" s="6">
        <v>0</v>
      </c>
      <c r="G4347" s="6">
        <v>11</v>
      </c>
      <c r="H4347" s="6" t="s">
        <v>9015</v>
      </c>
      <c r="I4347" s="6">
        <v>529.875</v>
      </c>
      <c r="J4347" s="2">
        <f t="shared" si="67"/>
        <v>43747.781184560183</v>
      </c>
    </row>
    <row r="4348" spans="1:10" x14ac:dyDescent="0.25">
      <c r="A4348" s="7" t="s">
        <v>9016</v>
      </c>
      <c r="B4348" s="8">
        <v>403.125</v>
      </c>
      <c r="C4348" s="8">
        <v>20.478950000000001</v>
      </c>
      <c r="D4348" s="8">
        <v>79</v>
      </c>
      <c r="E4348" s="8">
        <v>0</v>
      </c>
      <c r="F4348" s="8">
        <v>0</v>
      </c>
      <c r="G4348" s="8">
        <v>9</v>
      </c>
      <c r="H4348" s="8" t="s">
        <v>9017</v>
      </c>
      <c r="I4348" s="8">
        <v>529.875</v>
      </c>
      <c r="J4348" s="3">
        <f t="shared" si="67"/>
        <v>43747.781255833332</v>
      </c>
    </row>
    <row r="4349" spans="1:10" x14ac:dyDescent="0.25">
      <c r="A4349" s="5" t="s">
        <v>9018</v>
      </c>
      <c r="B4349" s="6">
        <v>421.875</v>
      </c>
      <c r="C4349" s="6">
        <v>20.531590000000001</v>
      </c>
      <c r="D4349" s="6">
        <v>79</v>
      </c>
      <c r="E4349" s="6">
        <v>0</v>
      </c>
      <c r="F4349" s="6">
        <v>0</v>
      </c>
      <c r="G4349" s="6">
        <v>14</v>
      </c>
      <c r="H4349" s="6" t="s">
        <v>9019</v>
      </c>
      <c r="I4349" s="6">
        <v>535.5</v>
      </c>
      <c r="J4349" s="2">
        <f t="shared" si="67"/>
        <v>43747.781327962955</v>
      </c>
    </row>
    <row r="4350" spans="1:10" x14ac:dyDescent="0.25">
      <c r="A4350" s="7" t="s">
        <v>9020</v>
      </c>
      <c r="B4350" s="8">
        <v>403.125</v>
      </c>
      <c r="C4350" s="8">
        <v>20.478950000000001</v>
      </c>
      <c r="D4350" s="8">
        <v>76</v>
      </c>
      <c r="E4350" s="8">
        <v>0</v>
      </c>
      <c r="F4350" s="8">
        <v>0</v>
      </c>
      <c r="G4350" s="8">
        <v>18</v>
      </c>
      <c r="H4350" s="8" t="s">
        <v>9021</v>
      </c>
      <c r="I4350" s="8">
        <v>529.125</v>
      </c>
      <c r="J4350" s="3">
        <f t="shared" si="67"/>
        <v>43747.781399328705</v>
      </c>
    </row>
    <row r="4351" spans="1:10" x14ac:dyDescent="0.25">
      <c r="A4351" s="5" t="s">
        <v>9022</v>
      </c>
      <c r="B4351" s="6">
        <v>400</v>
      </c>
      <c r="C4351" s="6">
        <v>20.584240000000001</v>
      </c>
      <c r="D4351" s="6">
        <v>75</v>
      </c>
      <c r="E4351" s="6">
        <v>0</v>
      </c>
      <c r="F4351" s="6">
        <v>0</v>
      </c>
      <c r="G4351" s="6">
        <v>12</v>
      </c>
      <c r="H4351" s="6" t="s">
        <v>9023</v>
      </c>
      <c r="I4351" s="6">
        <v>528.9375</v>
      </c>
      <c r="J4351" s="2">
        <f t="shared" si="67"/>
        <v>43747.781484814812</v>
      </c>
    </row>
    <row r="4352" spans="1:10" x14ac:dyDescent="0.25">
      <c r="A4352" s="7" t="s">
        <v>9024</v>
      </c>
      <c r="B4352" s="8">
        <v>428.125</v>
      </c>
      <c r="C4352" s="8">
        <v>20.478950000000001</v>
      </c>
      <c r="D4352" s="8">
        <v>74</v>
      </c>
      <c r="E4352" s="8">
        <v>0</v>
      </c>
      <c r="F4352" s="8">
        <v>0</v>
      </c>
      <c r="G4352" s="8">
        <v>11</v>
      </c>
      <c r="H4352" s="8" t="s">
        <v>9025</v>
      </c>
      <c r="I4352" s="8">
        <v>537.75</v>
      </c>
      <c r="J4352" s="3">
        <f t="shared" si="67"/>
        <v>43747.781565949073</v>
      </c>
    </row>
    <row r="4353" spans="1:10" x14ac:dyDescent="0.25">
      <c r="A4353" s="5" t="s">
        <v>9026</v>
      </c>
      <c r="B4353" s="6">
        <v>403.125</v>
      </c>
      <c r="C4353" s="6">
        <v>20.478950000000001</v>
      </c>
      <c r="D4353" s="6">
        <v>74</v>
      </c>
      <c r="E4353" s="6">
        <v>0</v>
      </c>
      <c r="F4353" s="6">
        <v>0</v>
      </c>
      <c r="G4353" s="6">
        <v>16</v>
      </c>
      <c r="H4353" s="6" t="s">
        <v>9027</v>
      </c>
      <c r="I4353" s="6">
        <v>529.875</v>
      </c>
      <c r="J4353" s="2">
        <f t="shared" si="67"/>
        <v>43747.781637280095</v>
      </c>
    </row>
    <row r="4354" spans="1:10" x14ac:dyDescent="0.25">
      <c r="A4354" s="7" t="s">
        <v>9028</v>
      </c>
      <c r="B4354" s="8">
        <v>403.125</v>
      </c>
      <c r="C4354" s="8">
        <v>20.478950000000001</v>
      </c>
      <c r="D4354" s="8">
        <v>74</v>
      </c>
      <c r="E4354" s="8">
        <v>0</v>
      </c>
      <c r="F4354" s="8">
        <v>0</v>
      </c>
      <c r="G4354" s="8">
        <v>6</v>
      </c>
      <c r="H4354" s="8" t="s">
        <v>9029</v>
      </c>
      <c r="I4354" s="8">
        <v>529.875</v>
      </c>
      <c r="J4354" s="3">
        <f t="shared" ref="J4354:J4417" si="68">(H4354/86400000)+25569+(7/24)</f>
        <v>43747.781709513882</v>
      </c>
    </row>
    <row r="4355" spans="1:10" x14ac:dyDescent="0.25">
      <c r="A4355" s="5" t="s">
        <v>9030</v>
      </c>
      <c r="B4355" s="6">
        <v>403.125</v>
      </c>
      <c r="C4355" s="6">
        <v>20.478950000000001</v>
      </c>
      <c r="D4355" s="6">
        <v>76</v>
      </c>
      <c r="E4355" s="6">
        <v>0</v>
      </c>
      <c r="F4355" s="6">
        <v>0</v>
      </c>
      <c r="G4355" s="6">
        <v>8</v>
      </c>
      <c r="H4355" s="6" t="s">
        <v>9031</v>
      </c>
      <c r="I4355" s="6">
        <v>529.875</v>
      </c>
      <c r="J4355" s="2">
        <f t="shared" si="68"/>
        <v>43747.781780821759</v>
      </c>
    </row>
    <row r="4356" spans="1:10" x14ac:dyDescent="0.25">
      <c r="A4356" s="7" t="s">
        <v>9032</v>
      </c>
      <c r="B4356" s="8">
        <v>403.125</v>
      </c>
      <c r="C4356" s="8">
        <v>20.478950000000001</v>
      </c>
      <c r="D4356" s="8">
        <v>76</v>
      </c>
      <c r="E4356" s="8">
        <v>0</v>
      </c>
      <c r="F4356" s="8">
        <v>0</v>
      </c>
      <c r="G4356" s="8">
        <v>15</v>
      </c>
      <c r="H4356" s="8" t="s">
        <v>9033</v>
      </c>
      <c r="I4356" s="8">
        <v>529.875</v>
      </c>
      <c r="J4356" s="3">
        <f t="shared" si="68"/>
        <v>43747.781852222215</v>
      </c>
    </row>
    <row r="4357" spans="1:10" x14ac:dyDescent="0.25">
      <c r="A4357" s="5" t="s">
        <v>9034</v>
      </c>
      <c r="B4357" s="6">
        <v>406.25</v>
      </c>
      <c r="C4357" s="6">
        <v>20.531590000000001</v>
      </c>
      <c r="D4357" s="6">
        <v>76</v>
      </c>
      <c r="E4357" s="6">
        <v>0</v>
      </c>
      <c r="F4357" s="6">
        <v>0</v>
      </c>
      <c r="G4357" s="6">
        <v>6</v>
      </c>
      <c r="H4357" s="6" t="s">
        <v>9035</v>
      </c>
      <c r="I4357" s="6">
        <v>530.625</v>
      </c>
      <c r="J4357" s="2">
        <f t="shared" si="68"/>
        <v>43747.781923530092</v>
      </c>
    </row>
    <row r="4358" spans="1:10" x14ac:dyDescent="0.25">
      <c r="A4358" s="7" t="s">
        <v>9036</v>
      </c>
      <c r="B4358" s="8">
        <v>406.25</v>
      </c>
      <c r="C4358" s="8">
        <v>20.478950000000001</v>
      </c>
      <c r="D4358" s="8">
        <v>76</v>
      </c>
      <c r="E4358" s="8">
        <v>0</v>
      </c>
      <c r="F4358" s="8">
        <v>0</v>
      </c>
      <c r="G4358" s="8">
        <v>13</v>
      </c>
      <c r="H4358" s="8" t="s">
        <v>9037</v>
      </c>
      <c r="I4358" s="8">
        <v>530.8125</v>
      </c>
      <c r="J4358" s="3">
        <f t="shared" si="68"/>
        <v>43747.782006817128</v>
      </c>
    </row>
    <row r="4359" spans="1:10" x14ac:dyDescent="0.25">
      <c r="A4359" s="5" t="s">
        <v>9038</v>
      </c>
      <c r="B4359" s="6">
        <v>428.125</v>
      </c>
      <c r="C4359" s="6">
        <v>20.478950000000001</v>
      </c>
      <c r="D4359" s="6">
        <v>77</v>
      </c>
      <c r="E4359" s="6">
        <v>0</v>
      </c>
      <c r="F4359" s="6">
        <v>0</v>
      </c>
      <c r="G4359" s="6">
        <v>12</v>
      </c>
      <c r="H4359" s="6" t="s">
        <v>9039</v>
      </c>
      <c r="I4359" s="6">
        <v>537.9375</v>
      </c>
      <c r="J4359" s="2">
        <f t="shared" si="68"/>
        <v>43747.782091018518</v>
      </c>
    </row>
    <row r="4360" spans="1:10" x14ac:dyDescent="0.25">
      <c r="A4360" s="7" t="s">
        <v>9040</v>
      </c>
      <c r="B4360" s="8">
        <v>406.25</v>
      </c>
      <c r="C4360" s="8">
        <v>20.478950000000001</v>
      </c>
      <c r="D4360" s="8">
        <v>77</v>
      </c>
      <c r="E4360" s="8">
        <v>0</v>
      </c>
      <c r="F4360" s="8">
        <v>0</v>
      </c>
      <c r="G4360" s="8">
        <v>12</v>
      </c>
      <c r="H4360" s="8" t="s">
        <v>9041</v>
      </c>
      <c r="I4360" s="8">
        <v>530.625</v>
      </c>
      <c r="J4360" s="3">
        <f t="shared" si="68"/>
        <v>43747.782174351851</v>
      </c>
    </row>
    <row r="4361" spans="1:10" x14ac:dyDescent="0.25">
      <c r="A4361" s="5" t="s">
        <v>9042</v>
      </c>
      <c r="B4361" s="6">
        <v>406.25</v>
      </c>
      <c r="C4361" s="6">
        <v>20.531590000000001</v>
      </c>
      <c r="D4361" s="6">
        <v>77</v>
      </c>
      <c r="E4361" s="6">
        <v>0</v>
      </c>
      <c r="F4361" s="6">
        <v>0</v>
      </c>
      <c r="G4361" s="6">
        <v>6</v>
      </c>
      <c r="H4361" s="6" t="s">
        <v>9043</v>
      </c>
      <c r="I4361" s="6">
        <v>530.8125</v>
      </c>
      <c r="J4361" s="2">
        <f t="shared" si="68"/>
        <v>43747.782245706017</v>
      </c>
    </row>
    <row r="4362" spans="1:10" x14ac:dyDescent="0.25">
      <c r="A4362" s="7" t="s">
        <v>9044</v>
      </c>
      <c r="B4362" s="8">
        <v>406.25</v>
      </c>
      <c r="C4362" s="8">
        <v>20.478950000000001</v>
      </c>
      <c r="D4362" s="8">
        <v>78</v>
      </c>
      <c r="E4362" s="8">
        <v>0</v>
      </c>
      <c r="F4362" s="8">
        <v>0</v>
      </c>
      <c r="G4362" s="8">
        <v>6</v>
      </c>
      <c r="H4362" s="8" t="s">
        <v>9045</v>
      </c>
      <c r="I4362" s="8">
        <v>530.625</v>
      </c>
      <c r="J4362" s="3">
        <f t="shared" si="68"/>
        <v>43747.782329050919</v>
      </c>
    </row>
    <row r="4363" spans="1:10" x14ac:dyDescent="0.25">
      <c r="A4363" s="5" t="s">
        <v>9046</v>
      </c>
      <c r="B4363" s="6">
        <v>406.25</v>
      </c>
      <c r="C4363" s="6">
        <v>20.478950000000001</v>
      </c>
      <c r="D4363" s="6">
        <v>78</v>
      </c>
      <c r="E4363" s="6">
        <v>0</v>
      </c>
      <c r="F4363" s="6">
        <v>0</v>
      </c>
      <c r="G4363" s="6">
        <v>10</v>
      </c>
      <c r="H4363" s="6" t="s">
        <v>9047</v>
      </c>
      <c r="I4363" s="6">
        <v>530.8125</v>
      </c>
      <c r="J4363" s="2">
        <f t="shared" si="68"/>
        <v>43747.782413078698</v>
      </c>
    </row>
    <row r="4364" spans="1:10" x14ac:dyDescent="0.25">
      <c r="A4364" s="7" t="s">
        <v>9048</v>
      </c>
      <c r="B4364" s="8">
        <v>406.25</v>
      </c>
      <c r="C4364" s="8">
        <v>20.478950000000001</v>
      </c>
      <c r="D4364" s="8">
        <v>78</v>
      </c>
      <c r="E4364" s="8">
        <v>0</v>
      </c>
      <c r="F4364" s="8">
        <v>0</v>
      </c>
      <c r="G4364" s="8">
        <v>9</v>
      </c>
      <c r="H4364" s="8" t="s">
        <v>9049</v>
      </c>
      <c r="I4364" s="8">
        <v>530.8125</v>
      </c>
      <c r="J4364" s="3">
        <f t="shared" si="68"/>
        <v>43747.782496631939</v>
      </c>
    </row>
    <row r="4365" spans="1:10" x14ac:dyDescent="0.25">
      <c r="A4365" s="5" t="s">
        <v>9050</v>
      </c>
      <c r="B4365" s="6">
        <v>406.25</v>
      </c>
      <c r="C4365" s="6">
        <v>20.478950000000001</v>
      </c>
      <c r="D4365" s="6">
        <v>79</v>
      </c>
      <c r="E4365" s="6">
        <v>0</v>
      </c>
      <c r="F4365" s="6">
        <v>0</v>
      </c>
      <c r="G4365" s="6">
        <v>6</v>
      </c>
      <c r="H4365" s="6" t="s">
        <v>9051</v>
      </c>
      <c r="I4365" s="6">
        <v>530.8125</v>
      </c>
      <c r="J4365" s="2">
        <f t="shared" si="68"/>
        <v>43747.78257984954</v>
      </c>
    </row>
    <row r="4366" spans="1:10" x14ac:dyDescent="0.25">
      <c r="A4366" s="7" t="s">
        <v>9052</v>
      </c>
      <c r="B4366" s="8">
        <v>406.25</v>
      </c>
      <c r="C4366" s="8">
        <v>20.531590000000001</v>
      </c>
      <c r="D4366" s="8">
        <v>79</v>
      </c>
      <c r="E4366" s="8">
        <v>0</v>
      </c>
      <c r="F4366" s="8">
        <v>0</v>
      </c>
      <c r="G4366" s="8">
        <v>10</v>
      </c>
      <c r="H4366" s="8" t="s">
        <v>9053</v>
      </c>
      <c r="I4366" s="8">
        <v>530.8125</v>
      </c>
      <c r="J4366" s="3">
        <f t="shared" si="68"/>
        <v>43747.782662847218</v>
      </c>
    </row>
    <row r="4367" spans="1:10" x14ac:dyDescent="0.25">
      <c r="A4367" s="5" t="s">
        <v>9054</v>
      </c>
      <c r="B4367" s="6">
        <v>406.25</v>
      </c>
      <c r="C4367" s="6">
        <v>20.478950000000001</v>
      </c>
      <c r="D4367" s="6">
        <v>79</v>
      </c>
      <c r="E4367" s="6">
        <v>0</v>
      </c>
      <c r="F4367" s="6">
        <v>0</v>
      </c>
      <c r="G4367" s="6">
        <v>9</v>
      </c>
      <c r="H4367" s="6" t="s">
        <v>9055</v>
      </c>
      <c r="I4367" s="6">
        <v>530.8125</v>
      </c>
      <c r="J4367" s="2">
        <f t="shared" si="68"/>
        <v>43747.782734548608</v>
      </c>
    </row>
    <row r="4368" spans="1:10" x14ac:dyDescent="0.25">
      <c r="A4368" s="7" t="s">
        <v>9056</v>
      </c>
      <c r="B4368" s="8">
        <v>406.25</v>
      </c>
      <c r="C4368" s="8">
        <v>20.531590000000001</v>
      </c>
      <c r="D4368" s="8">
        <v>79</v>
      </c>
      <c r="E4368" s="8">
        <v>0</v>
      </c>
      <c r="F4368" s="8">
        <v>0</v>
      </c>
      <c r="G4368" s="8">
        <v>5</v>
      </c>
      <c r="H4368" s="8" t="s">
        <v>9057</v>
      </c>
      <c r="I4368" s="8">
        <v>530.625</v>
      </c>
      <c r="J4368" s="3">
        <f t="shared" si="68"/>
        <v>43747.782806585645</v>
      </c>
    </row>
    <row r="4369" spans="1:10" x14ac:dyDescent="0.25">
      <c r="A4369" s="5" t="s">
        <v>9058</v>
      </c>
      <c r="B4369" s="6">
        <v>406.25</v>
      </c>
      <c r="C4369" s="6">
        <v>20.531590000000001</v>
      </c>
      <c r="D4369" s="6">
        <v>78</v>
      </c>
      <c r="E4369" s="6">
        <v>0</v>
      </c>
      <c r="F4369" s="6">
        <v>0</v>
      </c>
      <c r="G4369" s="6">
        <v>3</v>
      </c>
      <c r="H4369" s="6" t="s">
        <v>9059</v>
      </c>
      <c r="I4369" s="6">
        <v>530.625</v>
      </c>
      <c r="J4369" s="2">
        <f t="shared" si="68"/>
        <v>43747.78287880787</v>
      </c>
    </row>
    <row r="4370" spans="1:10" x14ac:dyDescent="0.25">
      <c r="A4370" s="7" t="s">
        <v>9060</v>
      </c>
      <c r="B4370" s="8">
        <v>431.25</v>
      </c>
      <c r="C4370" s="8">
        <v>20.531590000000001</v>
      </c>
      <c r="D4370" s="8">
        <v>79</v>
      </c>
      <c r="E4370" s="8">
        <v>0</v>
      </c>
      <c r="F4370" s="8">
        <v>0</v>
      </c>
      <c r="G4370" s="8">
        <v>2</v>
      </c>
      <c r="H4370" s="8" t="s">
        <v>9061</v>
      </c>
      <c r="I4370" s="8">
        <v>538.125</v>
      </c>
      <c r="J4370" s="3">
        <f t="shared" si="68"/>
        <v>43747.782961562501</v>
      </c>
    </row>
    <row r="4371" spans="1:10" x14ac:dyDescent="0.25">
      <c r="A4371" s="5" t="s">
        <v>9062</v>
      </c>
      <c r="B4371" s="6">
        <v>403.125</v>
      </c>
      <c r="C4371" s="6">
        <v>20.478950000000001</v>
      </c>
      <c r="D4371" s="6">
        <v>79</v>
      </c>
      <c r="E4371" s="6">
        <v>0</v>
      </c>
      <c r="F4371" s="6">
        <v>0</v>
      </c>
      <c r="G4371" s="6">
        <v>11</v>
      </c>
      <c r="H4371" s="6" t="s">
        <v>9063</v>
      </c>
      <c r="I4371" s="6">
        <v>529.875</v>
      </c>
      <c r="J4371" s="2">
        <f t="shared" si="68"/>
        <v>43747.783032858795</v>
      </c>
    </row>
    <row r="4372" spans="1:10" x14ac:dyDescent="0.25">
      <c r="A4372" s="7" t="s">
        <v>9064</v>
      </c>
      <c r="B4372" s="8">
        <v>403.125</v>
      </c>
      <c r="C4372" s="8">
        <v>20.478950000000001</v>
      </c>
      <c r="D4372" s="8">
        <v>78</v>
      </c>
      <c r="E4372" s="8">
        <v>0</v>
      </c>
      <c r="F4372" s="8">
        <v>0</v>
      </c>
      <c r="G4372" s="8">
        <v>13</v>
      </c>
      <c r="H4372" s="8" t="s">
        <v>9065</v>
      </c>
      <c r="I4372" s="8">
        <v>529.875</v>
      </c>
      <c r="J4372" s="3">
        <f t="shared" si="68"/>
        <v>43747.783104108799</v>
      </c>
    </row>
    <row r="4373" spans="1:10" x14ac:dyDescent="0.25">
      <c r="A4373" s="5" t="s">
        <v>9066</v>
      </c>
      <c r="B4373" s="6">
        <v>403.125</v>
      </c>
      <c r="C4373" s="6">
        <v>20.478950000000001</v>
      </c>
      <c r="D4373" s="6">
        <v>78</v>
      </c>
      <c r="E4373" s="6">
        <v>0</v>
      </c>
      <c r="F4373" s="6">
        <v>0</v>
      </c>
      <c r="G4373" s="6">
        <v>12</v>
      </c>
      <c r="H4373" s="6" t="s">
        <v>9067</v>
      </c>
      <c r="I4373" s="6">
        <v>529.875</v>
      </c>
      <c r="J4373" s="2">
        <f t="shared" si="68"/>
        <v>43747.783176203702</v>
      </c>
    </row>
    <row r="4374" spans="1:10" x14ac:dyDescent="0.25">
      <c r="A4374" s="7" t="s">
        <v>9068</v>
      </c>
      <c r="B4374" s="8">
        <v>406.25</v>
      </c>
      <c r="C4374" s="8">
        <v>20.478950000000001</v>
      </c>
      <c r="D4374" s="8">
        <v>77</v>
      </c>
      <c r="E4374" s="8">
        <v>0</v>
      </c>
      <c r="F4374" s="8">
        <v>0</v>
      </c>
      <c r="G4374" s="8">
        <v>9</v>
      </c>
      <c r="H4374" s="8" t="s">
        <v>9069</v>
      </c>
      <c r="I4374" s="8">
        <v>530.0625</v>
      </c>
      <c r="J4374" s="3">
        <f t="shared" si="68"/>
        <v>43747.783259548603</v>
      </c>
    </row>
    <row r="4375" spans="1:10" x14ac:dyDescent="0.25">
      <c r="A4375" s="5" t="s">
        <v>9070</v>
      </c>
      <c r="B4375" s="6">
        <v>406.25</v>
      </c>
      <c r="C4375" s="6">
        <v>20.478950000000001</v>
      </c>
      <c r="D4375" s="6">
        <v>78</v>
      </c>
      <c r="E4375" s="6">
        <v>0</v>
      </c>
      <c r="F4375" s="6">
        <v>0</v>
      </c>
      <c r="G4375" s="6">
        <v>5</v>
      </c>
      <c r="H4375" s="6" t="s">
        <v>9071</v>
      </c>
      <c r="I4375" s="6">
        <v>530.625</v>
      </c>
      <c r="J4375" s="2">
        <f t="shared" si="68"/>
        <v>43747.783342881943</v>
      </c>
    </row>
    <row r="4376" spans="1:10" x14ac:dyDescent="0.25">
      <c r="A4376" s="7" t="s">
        <v>9072</v>
      </c>
      <c r="B4376" s="8">
        <v>409.375</v>
      </c>
      <c r="C4376" s="8">
        <v>20.531590000000001</v>
      </c>
      <c r="D4376" s="8">
        <v>77</v>
      </c>
      <c r="E4376" s="8">
        <v>0</v>
      </c>
      <c r="F4376" s="8">
        <v>0</v>
      </c>
      <c r="G4376" s="8">
        <v>14</v>
      </c>
      <c r="H4376" s="8" t="s">
        <v>9073</v>
      </c>
      <c r="I4376" s="8">
        <v>531.5625</v>
      </c>
      <c r="J4376" s="3">
        <f t="shared" si="68"/>
        <v>43747.783414212965</v>
      </c>
    </row>
    <row r="4377" spans="1:10" x14ac:dyDescent="0.25">
      <c r="A4377" s="5" t="s">
        <v>9074</v>
      </c>
      <c r="B4377" s="6">
        <v>412.5</v>
      </c>
      <c r="C4377" s="6">
        <v>20.478950000000001</v>
      </c>
      <c r="D4377" s="6">
        <v>74</v>
      </c>
      <c r="E4377" s="6">
        <v>0</v>
      </c>
      <c r="F4377" s="6">
        <v>0</v>
      </c>
      <c r="G4377" s="6">
        <v>8</v>
      </c>
      <c r="H4377" s="6" t="s">
        <v>9075</v>
      </c>
      <c r="I4377" s="6">
        <v>532.125</v>
      </c>
      <c r="J4377" s="2">
        <f t="shared" si="68"/>
        <v>43747.783497604163</v>
      </c>
    </row>
    <row r="4378" spans="1:10" x14ac:dyDescent="0.25">
      <c r="A4378" s="7" t="s">
        <v>9076</v>
      </c>
      <c r="B4378" s="8">
        <v>412.5</v>
      </c>
      <c r="C4378" s="8">
        <v>20.531590000000001</v>
      </c>
      <c r="D4378" s="8">
        <v>75</v>
      </c>
      <c r="E4378" s="8">
        <v>0</v>
      </c>
      <c r="F4378" s="8">
        <v>0</v>
      </c>
      <c r="G4378" s="8">
        <v>7</v>
      </c>
      <c r="H4378" s="8" t="s">
        <v>9077</v>
      </c>
      <c r="I4378" s="8">
        <v>532.3125</v>
      </c>
      <c r="J4378" s="3">
        <f t="shared" si="68"/>
        <v>43747.783569791667</v>
      </c>
    </row>
    <row r="4379" spans="1:10" x14ac:dyDescent="0.25">
      <c r="A4379" s="5" t="s">
        <v>9078</v>
      </c>
      <c r="B4379" s="6">
        <v>412.5</v>
      </c>
      <c r="C4379" s="6">
        <v>20.478950000000001</v>
      </c>
      <c r="D4379" s="6">
        <v>75</v>
      </c>
      <c r="E4379" s="6">
        <v>0</v>
      </c>
      <c r="F4379" s="6">
        <v>0</v>
      </c>
      <c r="G4379" s="6">
        <v>11</v>
      </c>
      <c r="H4379" s="6" t="s">
        <v>9079</v>
      </c>
      <c r="I4379" s="6">
        <v>532.3125</v>
      </c>
      <c r="J4379" s="2">
        <f t="shared" si="68"/>
        <v>43747.783641006943</v>
      </c>
    </row>
    <row r="4380" spans="1:10" x14ac:dyDescent="0.25">
      <c r="A4380" s="7" t="s">
        <v>9080</v>
      </c>
      <c r="B4380" s="8">
        <v>428.125</v>
      </c>
      <c r="C4380" s="8">
        <v>20.478950000000001</v>
      </c>
      <c r="D4380" s="8">
        <v>76</v>
      </c>
      <c r="E4380" s="8">
        <v>0</v>
      </c>
      <c r="F4380" s="8">
        <v>0</v>
      </c>
      <c r="G4380" s="8">
        <v>7</v>
      </c>
      <c r="H4380" s="8" t="s">
        <v>9081</v>
      </c>
      <c r="I4380" s="8">
        <v>537.9375</v>
      </c>
      <c r="J4380" s="3">
        <f t="shared" si="68"/>
        <v>43747.783716597223</v>
      </c>
    </row>
    <row r="4381" spans="1:10" x14ac:dyDescent="0.25">
      <c r="A4381" s="5" t="s">
        <v>9082</v>
      </c>
      <c r="B4381" s="6">
        <v>412.5</v>
      </c>
      <c r="C4381" s="6">
        <v>20.478950000000001</v>
      </c>
      <c r="D4381" s="6">
        <v>77</v>
      </c>
      <c r="E4381" s="6">
        <v>0</v>
      </c>
      <c r="F4381" s="6">
        <v>0</v>
      </c>
      <c r="G4381" s="6">
        <v>5</v>
      </c>
      <c r="H4381" s="6" t="s">
        <v>9083</v>
      </c>
      <c r="I4381" s="6">
        <v>532.3125</v>
      </c>
      <c r="J4381" s="2">
        <f t="shared" si="68"/>
        <v>43747.783795879623</v>
      </c>
    </row>
    <row r="4382" spans="1:10" x14ac:dyDescent="0.25">
      <c r="A4382" s="7" t="s">
        <v>9084</v>
      </c>
      <c r="B4382" s="8">
        <v>412.5</v>
      </c>
      <c r="C4382" s="8">
        <v>20.531590000000001</v>
      </c>
      <c r="D4382" s="8">
        <v>79</v>
      </c>
      <c r="E4382" s="8">
        <v>0</v>
      </c>
      <c r="F4382" s="8">
        <v>0</v>
      </c>
      <c r="G4382" s="8">
        <v>13</v>
      </c>
      <c r="H4382" s="8" t="s">
        <v>9085</v>
      </c>
      <c r="I4382" s="8">
        <v>532.3125</v>
      </c>
      <c r="J4382" s="3">
        <f t="shared" si="68"/>
        <v>43747.783867986109</v>
      </c>
    </row>
    <row r="4383" spans="1:10" x14ac:dyDescent="0.25">
      <c r="A4383" s="5" t="s">
        <v>9086</v>
      </c>
      <c r="B4383" s="6">
        <v>428.125</v>
      </c>
      <c r="C4383" s="6">
        <v>20.478950000000001</v>
      </c>
      <c r="D4383" s="6">
        <v>79</v>
      </c>
      <c r="E4383" s="6">
        <v>0</v>
      </c>
      <c r="F4383" s="6">
        <v>0</v>
      </c>
      <c r="G4383" s="6">
        <v>8</v>
      </c>
      <c r="H4383" s="6" t="s">
        <v>9087</v>
      </c>
      <c r="I4383" s="6">
        <v>537.9375</v>
      </c>
      <c r="J4383" s="2">
        <f t="shared" si="68"/>
        <v>43747.783952060177</v>
      </c>
    </row>
    <row r="4384" spans="1:10" x14ac:dyDescent="0.25">
      <c r="A4384" s="7" t="s">
        <v>9088</v>
      </c>
      <c r="B4384" s="8">
        <v>412.5</v>
      </c>
      <c r="C4384" s="8">
        <v>20.478950000000001</v>
      </c>
      <c r="D4384" s="8">
        <v>78</v>
      </c>
      <c r="E4384" s="8">
        <v>0</v>
      </c>
      <c r="F4384" s="8">
        <v>0</v>
      </c>
      <c r="G4384" s="8">
        <v>0</v>
      </c>
      <c r="H4384" s="8" t="s">
        <v>9089</v>
      </c>
      <c r="I4384" s="8">
        <v>532.3125</v>
      </c>
      <c r="J4384" s="3">
        <f t="shared" si="68"/>
        <v>43747.784034467586</v>
      </c>
    </row>
    <row r="4385" spans="1:10" x14ac:dyDescent="0.25">
      <c r="A4385" s="5" t="s">
        <v>9090</v>
      </c>
      <c r="B4385" s="6">
        <v>412.5</v>
      </c>
      <c r="C4385" s="6">
        <v>20.478950000000001</v>
      </c>
      <c r="D4385" s="6">
        <v>77</v>
      </c>
      <c r="E4385" s="6">
        <v>0</v>
      </c>
      <c r="F4385" s="6">
        <v>0</v>
      </c>
      <c r="G4385" s="6">
        <v>13</v>
      </c>
      <c r="H4385" s="6" t="s">
        <v>9091</v>
      </c>
      <c r="I4385" s="6">
        <v>532.3125</v>
      </c>
      <c r="J4385" s="2">
        <f t="shared" si="68"/>
        <v>43747.784117939816</v>
      </c>
    </row>
    <row r="4386" spans="1:10" x14ac:dyDescent="0.25">
      <c r="A4386" s="7" t="s">
        <v>9092</v>
      </c>
      <c r="B4386" s="8">
        <v>412.5</v>
      </c>
      <c r="C4386" s="8">
        <v>20.478950000000001</v>
      </c>
      <c r="D4386" s="8">
        <v>76</v>
      </c>
      <c r="E4386" s="8">
        <v>0</v>
      </c>
      <c r="F4386" s="8">
        <v>0</v>
      </c>
      <c r="G4386" s="8">
        <v>13</v>
      </c>
      <c r="H4386" s="8" t="s">
        <v>9093</v>
      </c>
      <c r="I4386" s="8">
        <v>532.3125</v>
      </c>
      <c r="J4386" s="3">
        <f t="shared" si="68"/>
        <v>43747.784189224534</v>
      </c>
    </row>
    <row r="4387" spans="1:10" x14ac:dyDescent="0.25">
      <c r="A4387" s="5" t="s">
        <v>9094</v>
      </c>
      <c r="B4387" s="6">
        <v>409.375</v>
      </c>
      <c r="C4387" s="6">
        <v>20.478950000000001</v>
      </c>
      <c r="D4387" s="6">
        <v>76</v>
      </c>
      <c r="E4387" s="6">
        <v>0</v>
      </c>
      <c r="F4387" s="6">
        <v>0</v>
      </c>
      <c r="G4387" s="6">
        <v>15</v>
      </c>
      <c r="H4387" s="6" t="s">
        <v>9095</v>
      </c>
      <c r="I4387" s="6">
        <v>531.5625</v>
      </c>
      <c r="J4387" s="2">
        <f t="shared" si="68"/>
        <v>43747.784261342589</v>
      </c>
    </row>
    <row r="4388" spans="1:10" x14ac:dyDescent="0.25">
      <c r="A4388" s="7" t="s">
        <v>9096</v>
      </c>
      <c r="B4388" s="8">
        <v>406.25</v>
      </c>
      <c r="C4388" s="8">
        <v>20.531590000000001</v>
      </c>
      <c r="D4388" s="8">
        <v>78</v>
      </c>
      <c r="E4388" s="8">
        <v>0</v>
      </c>
      <c r="F4388" s="8">
        <v>0</v>
      </c>
      <c r="G4388" s="8">
        <v>9</v>
      </c>
      <c r="H4388" s="8" t="s">
        <v>9097</v>
      </c>
      <c r="I4388" s="8">
        <v>530.625</v>
      </c>
      <c r="J4388" s="3">
        <f t="shared" si="68"/>
        <v>43747.784332696756</v>
      </c>
    </row>
    <row r="4389" spans="1:10" x14ac:dyDescent="0.25">
      <c r="A4389" s="5" t="s">
        <v>9098</v>
      </c>
      <c r="B4389" s="6">
        <v>406.25</v>
      </c>
      <c r="C4389" s="6">
        <v>20.478950000000001</v>
      </c>
      <c r="D4389" s="6">
        <v>79</v>
      </c>
      <c r="E4389" s="6">
        <v>0</v>
      </c>
      <c r="F4389" s="6">
        <v>0</v>
      </c>
      <c r="G4389" s="6">
        <v>10</v>
      </c>
      <c r="H4389" s="6" t="s">
        <v>9099</v>
      </c>
      <c r="I4389" s="6">
        <v>530.8125</v>
      </c>
      <c r="J4389" s="2">
        <f t="shared" si="68"/>
        <v>43747.784404016202</v>
      </c>
    </row>
    <row r="4390" spans="1:10" x14ac:dyDescent="0.25">
      <c r="A4390" s="7" t="s">
        <v>9100</v>
      </c>
      <c r="B4390" s="8">
        <v>406.25</v>
      </c>
      <c r="C4390" s="8">
        <v>20.478950000000001</v>
      </c>
      <c r="D4390" s="8">
        <v>77</v>
      </c>
      <c r="E4390" s="8">
        <v>0</v>
      </c>
      <c r="F4390" s="8">
        <v>0</v>
      </c>
      <c r="G4390" s="8">
        <v>8</v>
      </c>
      <c r="H4390" s="8" t="s">
        <v>9101</v>
      </c>
      <c r="I4390" s="8">
        <v>530.625</v>
      </c>
      <c r="J4390" s="3">
        <f t="shared" si="68"/>
        <v>43747.784475347224</v>
      </c>
    </row>
    <row r="4391" spans="1:10" x14ac:dyDescent="0.25">
      <c r="A4391" s="5" t="s">
        <v>9102</v>
      </c>
      <c r="B4391" s="6">
        <v>403.125</v>
      </c>
      <c r="C4391" s="6">
        <v>20.584240000000001</v>
      </c>
      <c r="D4391" s="6">
        <v>77</v>
      </c>
      <c r="E4391" s="6">
        <v>0</v>
      </c>
      <c r="F4391" s="6">
        <v>0</v>
      </c>
      <c r="G4391" s="6">
        <v>3</v>
      </c>
      <c r="H4391" s="6" t="s">
        <v>9103</v>
      </c>
      <c r="I4391" s="6">
        <v>529.875</v>
      </c>
      <c r="J4391" s="2">
        <f t="shared" si="68"/>
        <v>43747.784594675926</v>
      </c>
    </row>
    <row r="4392" spans="1:10" x14ac:dyDescent="0.25">
      <c r="A4392" s="7" t="s">
        <v>9104</v>
      </c>
      <c r="B4392" s="8">
        <v>403.125</v>
      </c>
      <c r="C4392" s="8">
        <v>20.478950000000001</v>
      </c>
      <c r="D4392" s="8">
        <v>77</v>
      </c>
      <c r="E4392" s="8">
        <v>0</v>
      </c>
      <c r="F4392" s="8">
        <v>0</v>
      </c>
      <c r="G4392" s="8">
        <v>6</v>
      </c>
      <c r="H4392" s="8" t="s">
        <v>9105</v>
      </c>
      <c r="I4392" s="8">
        <v>529.125</v>
      </c>
      <c r="J4392" s="3">
        <f t="shared" si="68"/>
        <v>43747.784678009259</v>
      </c>
    </row>
    <row r="4393" spans="1:10" x14ac:dyDescent="0.25">
      <c r="A4393" s="5" t="s">
        <v>9106</v>
      </c>
      <c r="B4393" s="6">
        <v>403.125</v>
      </c>
      <c r="C4393" s="6">
        <v>20.478950000000001</v>
      </c>
      <c r="D4393" s="6">
        <v>77</v>
      </c>
      <c r="E4393" s="6">
        <v>0</v>
      </c>
      <c r="F4393" s="6">
        <v>0</v>
      </c>
      <c r="G4393" s="6">
        <v>13</v>
      </c>
      <c r="H4393" s="6" t="s">
        <v>9107</v>
      </c>
      <c r="I4393" s="6">
        <v>529.125</v>
      </c>
      <c r="J4393" s="2">
        <f t="shared" si="68"/>
        <v>43747.784750069441</v>
      </c>
    </row>
    <row r="4394" spans="1:10" x14ac:dyDescent="0.25">
      <c r="A4394" s="7" t="s">
        <v>9108</v>
      </c>
      <c r="B4394" s="8">
        <v>403.125</v>
      </c>
      <c r="C4394" s="8">
        <v>20.478950000000001</v>
      </c>
      <c r="D4394" s="8">
        <v>77</v>
      </c>
      <c r="E4394" s="8">
        <v>0</v>
      </c>
      <c r="F4394" s="8">
        <v>0</v>
      </c>
      <c r="G4394" s="8">
        <v>10</v>
      </c>
      <c r="H4394" s="8" t="s">
        <v>9109</v>
      </c>
      <c r="I4394" s="8">
        <v>529.125</v>
      </c>
      <c r="J4394" s="3">
        <f t="shared" si="68"/>
        <v>43747.784833506943</v>
      </c>
    </row>
    <row r="4395" spans="1:10" x14ac:dyDescent="0.25">
      <c r="A4395" s="5" t="s">
        <v>9110</v>
      </c>
      <c r="B4395" s="6">
        <v>400</v>
      </c>
      <c r="C4395" s="6">
        <v>20.478950000000001</v>
      </c>
      <c r="D4395" s="6">
        <v>78</v>
      </c>
      <c r="E4395" s="6">
        <v>0</v>
      </c>
      <c r="F4395" s="6">
        <v>0</v>
      </c>
      <c r="G4395" s="6">
        <v>1</v>
      </c>
      <c r="H4395" s="6" t="s">
        <v>9111</v>
      </c>
      <c r="I4395" s="6">
        <v>528.1875</v>
      </c>
      <c r="J4395" s="2">
        <f t="shared" si="68"/>
        <v>43747.784904872686</v>
      </c>
    </row>
    <row r="4396" spans="1:10" x14ac:dyDescent="0.25">
      <c r="A4396" s="7" t="s">
        <v>9112</v>
      </c>
      <c r="B4396" s="8">
        <v>400</v>
      </c>
      <c r="C4396" s="8">
        <v>20.531590000000001</v>
      </c>
      <c r="D4396" s="8">
        <v>78</v>
      </c>
      <c r="E4396" s="8">
        <v>0</v>
      </c>
      <c r="F4396" s="8">
        <v>0</v>
      </c>
      <c r="G4396" s="8">
        <v>12</v>
      </c>
      <c r="H4396" s="8" t="s">
        <v>9113</v>
      </c>
      <c r="I4396" s="8">
        <v>528.1875</v>
      </c>
      <c r="J4396" s="3">
        <f t="shared" si="68"/>
        <v>43747.784976099538</v>
      </c>
    </row>
    <row r="4397" spans="1:10" x14ac:dyDescent="0.25">
      <c r="A4397" s="5" t="s">
        <v>9114</v>
      </c>
      <c r="B4397" s="6">
        <v>418.75</v>
      </c>
      <c r="C4397" s="6">
        <v>20.478950000000001</v>
      </c>
      <c r="D4397" s="6">
        <v>78</v>
      </c>
      <c r="E4397" s="6">
        <v>0</v>
      </c>
      <c r="F4397" s="6">
        <v>0</v>
      </c>
      <c r="G4397" s="6">
        <v>9</v>
      </c>
      <c r="H4397" s="6" t="s">
        <v>9115</v>
      </c>
      <c r="I4397" s="6">
        <v>534.375</v>
      </c>
      <c r="J4397" s="2">
        <f t="shared" si="68"/>
        <v>43747.785048171289</v>
      </c>
    </row>
    <row r="4398" spans="1:10" x14ac:dyDescent="0.25">
      <c r="A4398" s="7" t="s">
        <v>9116</v>
      </c>
      <c r="B4398" s="8">
        <v>400</v>
      </c>
      <c r="C4398" s="8">
        <v>20.478950000000001</v>
      </c>
      <c r="D4398" s="8">
        <v>78</v>
      </c>
      <c r="E4398" s="8">
        <v>0</v>
      </c>
      <c r="F4398" s="8">
        <v>0</v>
      </c>
      <c r="G4398" s="8">
        <v>20</v>
      </c>
      <c r="H4398" s="8" t="s">
        <v>9117</v>
      </c>
      <c r="I4398" s="8">
        <v>528.375</v>
      </c>
      <c r="J4398" s="3">
        <f t="shared" si="68"/>
        <v>43747.785119675922</v>
      </c>
    </row>
    <row r="4399" spans="1:10" x14ac:dyDescent="0.25">
      <c r="A4399" s="5" t="s">
        <v>9118</v>
      </c>
      <c r="B4399" s="6">
        <v>403.125</v>
      </c>
      <c r="C4399" s="6">
        <v>20.478950000000001</v>
      </c>
      <c r="D4399" s="6">
        <v>78</v>
      </c>
      <c r="E4399" s="6">
        <v>0</v>
      </c>
      <c r="F4399" s="6">
        <v>0</v>
      </c>
      <c r="G4399" s="6">
        <v>13</v>
      </c>
      <c r="H4399" s="6" t="s">
        <v>9119</v>
      </c>
      <c r="I4399" s="6">
        <v>529.125</v>
      </c>
      <c r="J4399" s="2">
        <f t="shared" si="68"/>
        <v>43747.785190983799</v>
      </c>
    </row>
    <row r="4400" spans="1:10" x14ac:dyDescent="0.25">
      <c r="A4400" s="7" t="s">
        <v>9120</v>
      </c>
      <c r="B4400" s="8">
        <v>403.125</v>
      </c>
      <c r="C4400" s="8">
        <v>20.478950000000001</v>
      </c>
      <c r="D4400" s="8">
        <v>78</v>
      </c>
      <c r="E4400" s="8">
        <v>0</v>
      </c>
      <c r="F4400" s="8">
        <v>0</v>
      </c>
      <c r="G4400" s="8">
        <v>8</v>
      </c>
      <c r="H4400" s="8" t="s">
        <v>9121</v>
      </c>
      <c r="I4400" s="8">
        <v>529.125</v>
      </c>
      <c r="J4400" s="3">
        <f t="shared" si="68"/>
        <v>43747.785274374997</v>
      </c>
    </row>
    <row r="4401" spans="1:10" x14ac:dyDescent="0.25">
      <c r="A4401" s="5" t="s">
        <v>9122</v>
      </c>
      <c r="B4401" s="6">
        <v>403.125</v>
      </c>
      <c r="C4401" s="6">
        <v>20.478950000000001</v>
      </c>
      <c r="D4401" s="6">
        <v>79</v>
      </c>
      <c r="E4401" s="6">
        <v>0</v>
      </c>
      <c r="F4401" s="6">
        <v>0</v>
      </c>
      <c r="G4401" s="6">
        <v>14</v>
      </c>
      <c r="H4401" s="6" t="s">
        <v>9123</v>
      </c>
      <c r="I4401" s="6">
        <v>529.875</v>
      </c>
      <c r="J4401" s="2">
        <f t="shared" si="68"/>
        <v>43747.785345671298</v>
      </c>
    </row>
    <row r="4402" spans="1:10" x14ac:dyDescent="0.25">
      <c r="A4402" s="7" t="s">
        <v>9124</v>
      </c>
      <c r="B4402" s="8">
        <v>406.25</v>
      </c>
      <c r="C4402" s="8">
        <v>20.478950000000001</v>
      </c>
      <c r="D4402" s="8">
        <v>79</v>
      </c>
      <c r="E4402" s="8">
        <v>0</v>
      </c>
      <c r="F4402" s="8">
        <v>0</v>
      </c>
      <c r="G4402" s="8">
        <v>13</v>
      </c>
      <c r="H4402" s="8" t="s">
        <v>9125</v>
      </c>
      <c r="I4402" s="8">
        <v>530.625</v>
      </c>
      <c r="J4402" s="3">
        <f t="shared" si="68"/>
        <v>43747.785417824074</v>
      </c>
    </row>
    <row r="4403" spans="1:10" x14ac:dyDescent="0.25">
      <c r="A4403" s="5" t="s">
        <v>9126</v>
      </c>
      <c r="B4403" s="6">
        <v>409.375</v>
      </c>
      <c r="C4403" s="6">
        <v>20.531590000000001</v>
      </c>
      <c r="D4403" s="6">
        <v>79</v>
      </c>
      <c r="E4403" s="6">
        <v>0</v>
      </c>
      <c r="F4403" s="6">
        <v>0</v>
      </c>
      <c r="G4403" s="6">
        <v>9</v>
      </c>
      <c r="H4403" s="6" t="s">
        <v>9127</v>
      </c>
      <c r="I4403" s="6">
        <v>531.5625</v>
      </c>
      <c r="J4403" s="2">
        <f t="shared" si="68"/>
        <v>43747.7854893287</v>
      </c>
    </row>
    <row r="4404" spans="1:10" x14ac:dyDescent="0.25">
      <c r="A4404" s="7" t="s">
        <v>9128</v>
      </c>
      <c r="B4404" s="8">
        <v>412.5</v>
      </c>
      <c r="C4404" s="8">
        <v>20.478950000000001</v>
      </c>
      <c r="D4404" s="8">
        <v>79</v>
      </c>
      <c r="E4404" s="8">
        <v>0</v>
      </c>
      <c r="F4404" s="8">
        <v>0</v>
      </c>
      <c r="G4404" s="8">
        <v>13</v>
      </c>
      <c r="H4404" s="8" t="s">
        <v>9129</v>
      </c>
      <c r="I4404" s="8">
        <v>532.3125</v>
      </c>
      <c r="J4404" s="3">
        <f t="shared" si="68"/>
        <v>43747.785560416662</v>
      </c>
    </row>
    <row r="4405" spans="1:10" x14ac:dyDescent="0.25">
      <c r="A4405" s="5" t="s">
        <v>9130</v>
      </c>
      <c r="B4405" s="6">
        <v>428.125</v>
      </c>
      <c r="C4405" s="6">
        <v>20.478950000000001</v>
      </c>
      <c r="D4405" s="6">
        <v>78</v>
      </c>
      <c r="E4405" s="6">
        <v>0</v>
      </c>
      <c r="F4405" s="6">
        <v>0</v>
      </c>
      <c r="G4405" s="6">
        <v>7</v>
      </c>
      <c r="H4405" s="6" t="s">
        <v>9131</v>
      </c>
      <c r="I4405" s="6">
        <v>537.9375</v>
      </c>
      <c r="J4405" s="2">
        <f t="shared" si="68"/>
        <v>43747.785632418978</v>
      </c>
    </row>
    <row r="4406" spans="1:10" x14ac:dyDescent="0.25">
      <c r="A4406" s="7" t="s">
        <v>9132</v>
      </c>
      <c r="B4406" s="8">
        <v>412.5</v>
      </c>
      <c r="C4406" s="8">
        <v>20.531590000000001</v>
      </c>
      <c r="D4406" s="8">
        <v>78</v>
      </c>
      <c r="E4406" s="8">
        <v>0</v>
      </c>
      <c r="F4406" s="8">
        <v>0</v>
      </c>
      <c r="G4406" s="8">
        <v>10</v>
      </c>
      <c r="H4406" s="8" t="s">
        <v>9133</v>
      </c>
      <c r="I4406" s="8">
        <v>532.3125</v>
      </c>
      <c r="J4406" s="3">
        <f t="shared" si="68"/>
        <v>43747.785704016198</v>
      </c>
    </row>
    <row r="4407" spans="1:10" x14ac:dyDescent="0.25">
      <c r="A4407" s="5" t="s">
        <v>9134</v>
      </c>
      <c r="B4407" s="6">
        <v>412.5</v>
      </c>
      <c r="C4407" s="6">
        <v>20.478950000000001</v>
      </c>
      <c r="D4407" s="6">
        <v>78</v>
      </c>
      <c r="E4407" s="6">
        <v>0</v>
      </c>
      <c r="F4407" s="6">
        <v>0</v>
      </c>
      <c r="G4407" s="6">
        <v>9</v>
      </c>
      <c r="H4407" s="6" t="s">
        <v>9135</v>
      </c>
      <c r="I4407" s="6">
        <v>532.3125</v>
      </c>
      <c r="J4407" s="2">
        <f t="shared" si="68"/>
        <v>43747.785775289354</v>
      </c>
    </row>
    <row r="4408" spans="1:10" x14ac:dyDescent="0.25">
      <c r="A4408" s="7" t="s">
        <v>9136</v>
      </c>
      <c r="B4408" s="8">
        <v>412.5</v>
      </c>
      <c r="C4408" s="8">
        <v>20.478950000000001</v>
      </c>
      <c r="D4408" s="8">
        <v>76</v>
      </c>
      <c r="E4408" s="8">
        <v>0</v>
      </c>
      <c r="F4408" s="8">
        <v>0</v>
      </c>
      <c r="G4408" s="8">
        <v>11</v>
      </c>
      <c r="H4408" s="8" t="s">
        <v>9137</v>
      </c>
      <c r="I4408" s="8">
        <v>532.3125</v>
      </c>
      <c r="J4408" s="3">
        <f t="shared" si="68"/>
        <v>43747.785846574072</v>
      </c>
    </row>
    <row r="4409" spans="1:10" x14ac:dyDescent="0.25">
      <c r="A4409" s="5" t="s">
        <v>9138</v>
      </c>
      <c r="B4409" s="6">
        <v>412.5</v>
      </c>
      <c r="C4409" s="6">
        <v>20.478950000000001</v>
      </c>
      <c r="D4409" s="6">
        <v>76</v>
      </c>
      <c r="E4409" s="6">
        <v>0</v>
      </c>
      <c r="F4409" s="6">
        <v>0</v>
      </c>
      <c r="G4409" s="6">
        <v>11</v>
      </c>
      <c r="H4409" s="6" t="s">
        <v>9139</v>
      </c>
      <c r="I4409" s="6">
        <v>532.3125</v>
      </c>
      <c r="J4409" s="2">
        <f t="shared" si="68"/>
        <v>43747.785918749993</v>
      </c>
    </row>
    <row r="4410" spans="1:10" x14ac:dyDescent="0.25">
      <c r="A4410" s="7" t="s">
        <v>9140</v>
      </c>
      <c r="B4410" s="8">
        <v>412.5</v>
      </c>
      <c r="C4410" s="8">
        <v>20.478950000000001</v>
      </c>
      <c r="D4410" s="8">
        <v>76</v>
      </c>
      <c r="E4410" s="8">
        <v>0</v>
      </c>
      <c r="F4410" s="8">
        <v>0</v>
      </c>
      <c r="G4410" s="8">
        <v>1</v>
      </c>
      <c r="H4410" s="8" t="s">
        <v>9141</v>
      </c>
      <c r="I4410" s="8">
        <v>532.3125</v>
      </c>
      <c r="J4410" s="3">
        <f t="shared" si="68"/>
        <v>43747.786002141198</v>
      </c>
    </row>
    <row r="4411" spans="1:10" x14ac:dyDescent="0.25">
      <c r="A4411" s="5" t="s">
        <v>9142</v>
      </c>
      <c r="B4411" s="6">
        <v>415.625</v>
      </c>
      <c r="C4411" s="6">
        <v>20.478950000000001</v>
      </c>
      <c r="D4411" s="6">
        <v>76</v>
      </c>
      <c r="E4411" s="6">
        <v>0</v>
      </c>
      <c r="F4411" s="6">
        <v>0</v>
      </c>
      <c r="G4411" s="6">
        <v>15</v>
      </c>
      <c r="H4411" s="6" t="s">
        <v>9143</v>
      </c>
      <c r="I4411" s="6">
        <v>533.0625</v>
      </c>
      <c r="J4411" s="2">
        <f t="shared" si="68"/>
        <v>43747.786073379626</v>
      </c>
    </row>
    <row r="4412" spans="1:10" x14ac:dyDescent="0.25">
      <c r="A4412" s="7" t="s">
        <v>9144</v>
      </c>
      <c r="B4412" s="8">
        <v>412.5</v>
      </c>
      <c r="C4412" s="8">
        <v>20.531590000000001</v>
      </c>
      <c r="D4412" s="8">
        <v>76</v>
      </c>
      <c r="E4412" s="8">
        <v>0</v>
      </c>
      <c r="F4412" s="8">
        <v>0</v>
      </c>
      <c r="G4412" s="8">
        <v>0</v>
      </c>
      <c r="H4412" s="8" t="s">
        <v>9145</v>
      </c>
      <c r="I4412" s="8">
        <v>532.3125</v>
      </c>
      <c r="J4412" s="3">
        <f t="shared" si="68"/>
        <v>43747.786145439815</v>
      </c>
    </row>
    <row r="4413" spans="1:10" x14ac:dyDescent="0.25">
      <c r="A4413" s="5" t="s">
        <v>9146</v>
      </c>
      <c r="B4413" s="6">
        <v>412.5</v>
      </c>
      <c r="C4413" s="6">
        <v>20.531590000000001</v>
      </c>
      <c r="D4413" s="6">
        <v>74</v>
      </c>
      <c r="E4413" s="6">
        <v>0</v>
      </c>
      <c r="F4413" s="6">
        <v>0</v>
      </c>
      <c r="G4413" s="6">
        <v>10</v>
      </c>
      <c r="H4413" s="6" t="s">
        <v>9147</v>
      </c>
      <c r="I4413" s="6">
        <v>532.3125</v>
      </c>
      <c r="J4413" s="2">
        <f t="shared" si="68"/>
        <v>43747.786216331013</v>
      </c>
    </row>
    <row r="4414" spans="1:10" x14ac:dyDescent="0.25">
      <c r="A4414" s="7" t="s">
        <v>9148</v>
      </c>
      <c r="B4414" s="8">
        <v>412.5</v>
      </c>
      <c r="C4414" s="8">
        <v>20.478950000000001</v>
      </c>
      <c r="D4414" s="8">
        <v>74</v>
      </c>
      <c r="E4414" s="8">
        <v>0</v>
      </c>
      <c r="F4414" s="8">
        <v>0</v>
      </c>
      <c r="G4414" s="8">
        <v>18</v>
      </c>
      <c r="H4414" s="8" t="s">
        <v>9149</v>
      </c>
      <c r="I4414" s="8">
        <v>532.3125</v>
      </c>
      <c r="J4414" s="3">
        <f t="shared" si="68"/>
        <v>43747.786288090276</v>
      </c>
    </row>
    <row r="4415" spans="1:10" x14ac:dyDescent="0.25">
      <c r="A4415" s="5" t="s">
        <v>9150</v>
      </c>
      <c r="B4415" s="6">
        <v>409.375</v>
      </c>
      <c r="C4415" s="6">
        <v>20.478950000000001</v>
      </c>
      <c r="D4415" s="6">
        <v>76</v>
      </c>
      <c r="E4415" s="6">
        <v>0</v>
      </c>
      <c r="F4415" s="6">
        <v>0</v>
      </c>
      <c r="G4415" s="6">
        <v>11</v>
      </c>
      <c r="H4415" s="6" t="s">
        <v>9151</v>
      </c>
      <c r="I4415" s="6">
        <v>531.375</v>
      </c>
      <c r="J4415" s="2">
        <f t="shared" si="68"/>
        <v>43747.786371087961</v>
      </c>
    </row>
    <row r="4416" spans="1:10" x14ac:dyDescent="0.25">
      <c r="A4416" s="7" t="s">
        <v>9152</v>
      </c>
      <c r="B4416" s="8">
        <v>428.125</v>
      </c>
      <c r="C4416" s="8">
        <v>20.478950000000001</v>
      </c>
      <c r="D4416" s="8">
        <v>76</v>
      </c>
      <c r="E4416" s="8">
        <v>0</v>
      </c>
      <c r="F4416" s="8">
        <v>0</v>
      </c>
      <c r="G4416" s="8">
        <v>17</v>
      </c>
      <c r="H4416" s="8" t="s">
        <v>9153</v>
      </c>
      <c r="I4416" s="8">
        <v>537.75</v>
      </c>
      <c r="J4416" s="3">
        <f t="shared" si="68"/>
        <v>43747.786452708329</v>
      </c>
    </row>
    <row r="4417" spans="1:10" x14ac:dyDescent="0.25">
      <c r="A4417" s="5" t="s">
        <v>9154</v>
      </c>
      <c r="B4417" s="6">
        <v>406.25</v>
      </c>
      <c r="C4417" s="6">
        <v>20.478950000000001</v>
      </c>
      <c r="D4417" s="6">
        <v>77</v>
      </c>
      <c r="E4417" s="6">
        <v>0</v>
      </c>
      <c r="F4417" s="6">
        <v>0</v>
      </c>
      <c r="G4417" s="6">
        <v>9</v>
      </c>
      <c r="H4417" s="6" t="s">
        <v>9155</v>
      </c>
      <c r="I4417" s="6">
        <v>530.625</v>
      </c>
      <c r="J4417" s="2">
        <f t="shared" si="68"/>
        <v>43747.786526412034</v>
      </c>
    </row>
    <row r="4418" spans="1:10" x14ac:dyDescent="0.25">
      <c r="A4418" s="7" t="s">
        <v>9156</v>
      </c>
      <c r="B4418" s="8">
        <v>406.25</v>
      </c>
      <c r="C4418" s="8">
        <v>20.478950000000001</v>
      </c>
      <c r="D4418" s="8">
        <v>77</v>
      </c>
      <c r="E4418" s="8">
        <v>0</v>
      </c>
      <c r="F4418" s="8">
        <v>0</v>
      </c>
      <c r="G4418" s="8">
        <v>11</v>
      </c>
      <c r="H4418" s="8" t="s">
        <v>9157</v>
      </c>
      <c r="I4418" s="8">
        <v>530.625</v>
      </c>
      <c r="J4418" s="3">
        <f t="shared" ref="J4418:J4481" si="69">(H4418/86400000)+25569+(7/24)</f>
        <v>43747.786609872688</v>
      </c>
    </row>
    <row r="4419" spans="1:10" x14ac:dyDescent="0.25">
      <c r="A4419" s="5" t="s">
        <v>9158</v>
      </c>
      <c r="B4419" s="6">
        <v>406.25</v>
      </c>
      <c r="C4419" s="6">
        <v>20.531590000000001</v>
      </c>
      <c r="D4419" s="6">
        <v>77</v>
      </c>
      <c r="E4419" s="6">
        <v>0</v>
      </c>
      <c r="F4419" s="6">
        <v>0</v>
      </c>
      <c r="G4419" s="6">
        <v>13</v>
      </c>
      <c r="H4419" s="6" t="s">
        <v>9159</v>
      </c>
      <c r="I4419" s="6">
        <v>530.0625</v>
      </c>
      <c r="J4419" s="2">
        <f t="shared" si="69"/>
        <v>43747.786693298607</v>
      </c>
    </row>
    <row r="4420" spans="1:10" x14ac:dyDescent="0.25">
      <c r="A4420" s="7" t="s">
        <v>9160</v>
      </c>
      <c r="B4420" s="8">
        <v>403.125</v>
      </c>
      <c r="C4420" s="8">
        <v>20.478950000000001</v>
      </c>
      <c r="D4420" s="8">
        <v>77</v>
      </c>
      <c r="E4420" s="8">
        <v>0</v>
      </c>
      <c r="F4420" s="8">
        <v>0</v>
      </c>
      <c r="G4420" s="8">
        <v>7</v>
      </c>
      <c r="H4420" s="8" t="s">
        <v>9161</v>
      </c>
      <c r="I4420" s="8">
        <v>529.125</v>
      </c>
      <c r="J4420" s="3">
        <f t="shared" si="69"/>
        <v>43747.786776863424</v>
      </c>
    </row>
    <row r="4421" spans="1:10" x14ac:dyDescent="0.25">
      <c r="A4421" s="5" t="s">
        <v>9162</v>
      </c>
      <c r="B4421" s="6">
        <v>400</v>
      </c>
      <c r="C4421" s="6">
        <v>20.531590000000001</v>
      </c>
      <c r="D4421" s="6">
        <v>77</v>
      </c>
      <c r="E4421" s="6">
        <v>0</v>
      </c>
      <c r="F4421" s="6">
        <v>0</v>
      </c>
      <c r="G4421" s="6">
        <v>10</v>
      </c>
      <c r="H4421" s="6" t="s">
        <v>9163</v>
      </c>
      <c r="I4421" s="6">
        <v>528.1875</v>
      </c>
      <c r="J4421" s="2">
        <f t="shared" si="69"/>
        <v>43747.786848263888</v>
      </c>
    </row>
    <row r="4422" spans="1:10" x14ac:dyDescent="0.25">
      <c r="A4422" s="7" t="s">
        <v>9164</v>
      </c>
      <c r="B4422" s="8">
        <v>396.875</v>
      </c>
      <c r="C4422" s="8">
        <v>20.478950000000001</v>
      </c>
      <c r="D4422" s="8">
        <v>77</v>
      </c>
      <c r="E4422" s="8">
        <v>0</v>
      </c>
      <c r="F4422" s="8">
        <v>0</v>
      </c>
      <c r="G4422" s="8">
        <v>4</v>
      </c>
      <c r="H4422" s="8" t="s">
        <v>9165</v>
      </c>
      <c r="I4422" s="8">
        <v>527.4375</v>
      </c>
      <c r="J4422" s="3">
        <f t="shared" si="69"/>
        <v>43747.786931932867</v>
      </c>
    </row>
    <row r="4423" spans="1:10" x14ac:dyDescent="0.25">
      <c r="A4423" s="5" t="s">
        <v>9166</v>
      </c>
      <c r="B4423" s="6">
        <v>393.75</v>
      </c>
      <c r="C4423" s="6">
        <v>20.478950000000001</v>
      </c>
      <c r="D4423" s="6">
        <v>77</v>
      </c>
      <c r="E4423" s="6">
        <v>0</v>
      </c>
      <c r="F4423" s="6">
        <v>0</v>
      </c>
      <c r="G4423" s="6">
        <v>7</v>
      </c>
      <c r="H4423" s="6" t="s">
        <v>9167</v>
      </c>
      <c r="I4423" s="6">
        <v>526.5</v>
      </c>
      <c r="J4423" s="2">
        <f t="shared" si="69"/>
        <v>43747.787015300921</v>
      </c>
    </row>
    <row r="4424" spans="1:10" x14ac:dyDescent="0.25">
      <c r="A4424" s="7" t="s">
        <v>9168</v>
      </c>
      <c r="B4424" s="8">
        <v>393.75</v>
      </c>
      <c r="C4424" s="8">
        <v>20.478950000000001</v>
      </c>
      <c r="D4424" s="8">
        <v>77</v>
      </c>
      <c r="E4424" s="8">
        <v>0</v>
      </c>
      <c r="F4424" s="8">
        <v>0</v>
      </c>
      <c r="G4424" s="8">
        <v>9</v>
      </c>
      <c r="H4424" s="8" t="s">
        <v>9169</v>
      </c>
      <c r="I4424" s="8">
        <v>526.6875</v>
      </c>
      <c r="J4424" s="3">
        <f t="shared" si="69"/>
        <v>43747.787111296297</v>
      </c>
    </row>
    <row r="4425" spans="1:10" x14ac:dyDescent="0.25">
      <c r="A4425" s="5" t="s">
        <v>9170</v>
      </c>
      <c r="B4425" s="6">
        <v>393.75</v>
      </c>
      <c r="C4425" s="6">
        <v>20.478950000000001</v>
      </c>
      <c r="D4425" s="6">
        <v>76</v>
      </c>
      <c r="E4425" s="6">
        <v>0</v>
      </c>
      <c r="F4425" s="6">
        <v>0</v>
      </c>
      <c r="G4425" s="6">
        <v>9</v>
      </c>
      <c r="H4425" s="6" t="s">
        <v>9171</v>
      </c>
      <c r="I4425" s="6">
        <v>526.6875</v>
      </c>
      <c r="J4425" s="2">
        <f t="shared" si="69"/>
        <v>43747.78719412037</v>
      </c>
    </row>
    <row r="4426" spans="1:10" x14ac:dyDescent="0.25">
      <c r="A4426" s="7" t="s">
        <v>9172</v>
      </c>
      <c r="B4426" s="8">
        <v>393.75</v>
      </c>
      <c r="C4426" s="8">
        <v>20.478950000000001</v>
      </c>
      <c r="D4426" s="8">
        <v>83</v>
      </c>
      <c r="E4426" s="8">
        <v>0</v>
      </c>
      <c r="F4426" s="8">
        <v>0</v>
      </c>
      <c r="G4426" s="8">
        <v>9</v>
      </c>
      <c r="H4426" s="8" t="s">
        <v>9173</v>
      </c>
      <c r="I4426" s="8">
        <v>526.6875</v>
      </c>
      <c r="J4426" s="3">
        <f t="shared" si="69"/>
        <v>43747.787265636573</v>
      </c>
    </row>
    <row r="4427" spans="1:10" x14ac:dyDescent="0.25">
      <c r="A4427" s="5" t="s">
        <v>9174</v>
      </c>
      <c r="B4427" s="6">
        <v>393.75</v>
      </c>
      <c r="C4427" s="6">
        <v>20.531590000000001</v>
      </c>
      <c r="D4427" s="6">
        <v>82</v>
      </c>
      <c r="E4427" s="6">
        <v>0</v>
      </c>
      <c r="F4427" s="6">
        <v>0</v>
      </c>
      <c r="G4427" s="6">
        <v>13</v>
      </c>
      <c r="H4427" s="6" t="s">
        <v>9175</v>
      </c>
      <c r="I4427" s="6">
        <v>526.6875</v>
      </c>
      <c r="J4427" s="2">
        <f t="shared" si="69"/>
        <v>43747.787348865742</v>
      </c>
    </row>
    <row r="4428" spans="1:10" x14ac:dyDescent="0.25">
      <c r="A4428" s="7" t="s">
        <v>9176</v>
      </c>
      <c r="B4428" s="8">
        <v>396.875</v>
      </c>
      <c r="C4428" s="8">
        <v>20.478950000000001</v>
      </c>
      <c r="D4428" s="8">
        <v>82</v>
      </c>
      <c r="E4428" s="8">
        <v>0</v>
      </c>
      <c r="F4428" s="8">
        <v>0</v>
      </c>
      <c r="G4428" s="8">
        <v>12</v>
      </c>
      <c r="H4428" s="8" t="s">
        <v>9177</v>
      </c>
      <c r="I4428" s="8">
        <v>527.4375</v>
      </c>
      <c r="J4428" s="3">
        <f t="shared" si="69"/>
        <v>43747.787420613422</v>
      </c>
    </row>
    <row r="4429" spans="1:10" x14ac:dyDescent="0.25">
      <c r="A4429" s="5" t="s">
        <v>9178</v>
      </c>
      <c r="B4429" s="6">
        <v>415.625</v>
      </c>
      <c r="C4429" s="6">
        <v>20.478950000000001</v>
      </c>
      <c r="D4429" s="6">
        <v>81</v>
      </c>
      <c r="E4429" s="6">
        <v>0</v>
      </c>
      <c r="F4429" s="6">
        <v>0</v>
      </c>
      <c r="G4429" s="6">
        <v>12</v>
      </c>
      <c r="H4429" s="6" t="s">
        <v>9179</v>
      </c>
      <c r="I4429" s="6">
        <v>533.0625</v>
      </c>
      <c r="J4429" s="2">
        <f t="shared" si="69"/>
        <v>43747.787504178239</v>
      </c>
    </row>
    <row r="4430" spans="1:10" x14ac:dyDescent="0.25">
      <c r="A4430" s="7" t="s">
        <v>9180</v>
      </c>
      <c r="B4430" s="8">
        <v>396.875</v>
      </c>
      <c r="C4430" s="8">
        <v>20.478950000000001</v>
      </c>
      <c r="D4430" s="8">
        <v>81</v>
      </c>
      <c r="E4430" s="8">
        <v>0</v>
      </c>
      <c r="F4430" s="8">
        <v>0</v>
      </c>
      <c r="G4430" s="8">
        <v>3</v>
      </c>
      <c r="H4430" s="8" t="s">
        <v>9181</v>
      </c>
      <c r="I4430" s="8">
        <v>527.4375</v>
      </c>
      <c r="J4430" s="3">
        <f t="shared" si="69"/>
        <v>43747.787587743056</v>
      </c>
    </row>
    <row r="4431" spans="1:10" x14ac:dyDescent="0.25">
      <c r="A4431" s="5" t="s">
        <v>9182</v>
      </c>
      <c r="B4431" s="6">
        <v>396.875</v>
      </c>
      <c r="C4431" s="6">
        <v>20.478950000000001</v>
      </c>
      <c r="D4431" s="6">
        <v>80</v>
      </c>
      <c r="E4431" s="6">
        <v>0</v>
      </c>
      <c r="F4431" s="6">
        <v>0</v>
      </c>
      <c r="G4431" s="6">
        <v>13</v>
      </c>
      <c r="H4431" s="6" t="s">
        <v>9183</v>
      </c>
      <c r="I4431" s="6">
        <v>527.4375</v>
      </c>
      <c r="J4431" s="2">
        <f t="shared" si="69"/>
        <v>43747.787671076389</v>
      </c>
    </row>
    <row r="4432" spans="1:10" x14ac:dyDescent="0.25">
      <c r="A4432" s="7" t="s">
        <v>9184</v>
      </c>
      <c r="B4432" s="8">
        <v>400</v>
      </c>
      <c r="C4432" s="8">
        <v>20.531590000000001</v>
      </c>
      <c r="D4432" s="8">
        <v>79</v>
      </c>
      <c r="E4432" s="8">
        <v>0</v>
      </c>
      <c r="F4432" s="8">
        <v>0</v>
      </c>
      <c r="G4432" s="8">
        <v>15</v>
      </c>
      <c r="H4432" s="8" t="s">
        <v>9185</v>
      </c>
      <c r="I4432" s="8">
        <v>528.375</v>
      </c>
      <c r="J4432" s="3">
        <f t="shared" si="69"/>
        <v>43747.78775466435</v>
      </c>
    </row>
    <row r="4433" spans="1:10" x14ac:dyDescent="0.25">
      <c r="A4433" s="5" t="s">
        <v>9186</v>
      </c>
      <c r="B4433" s="6">
        <v>400</v>
      </c>
      <c r="C4433" s="6">
        <v>20.478950000000001</v>
      </c>
      <c r="D4433" s="6">
        <v>81</v>
      </c>
      <c r="E4433" s="6">
        <v>0</v>
      </c>
      <c r="F4433" s="6">
        <v>0</v>
      </c>
      <c r="G4433" s="6">
        <v>12</v>
      </c>
      <c r="H4433" s="6" t="s">
        <v>9187</v>
      </c>
      <c r="I4433" s="6">
        <v>528.1875</v>
      </c>
      <c r="J4433" s="2">
        <f t="shared" si="69"/>
        <v>43747.787837847216</v>
      </c>
    </row>
    <row r="4434" spans="1:10" x14ac:dyDescent="0.25">
      <c r="A4434" s="7" t="s">
        <v>9188</v>
      </c>
      <c r="B4434" s="8">
        <v>403.125</v>
      </c>
      <c r="C4434" s="8">
        <v>20.478950000000001</v>
      </c>
      <c r="D4434" s="8">
        <v>81</v>
      </c>
      <c r="E4434" s="8">
        <v>0</v>
      </c>
      <c r="F4434" s="8">
        <v>0</v>
      </c>
      <c r="G4434" s="8">
        <v>5</v>
      </c>
      <c r="H4434" s="8" t="s">
        <v>9189</v>
      </c>
      <c r="I4434" s="8">
        <v>529.125</v>
      </c>
      <c r="J4434" s="3">
        <f t="shared" si="69"/>
        <v>43747.787909513885</v>
      </c>
    </row>
    <row r="4435" spans="1:10" x14ac:dyDescent="0.25">
      <c r="A4435" s="5" t="s">
        <v>9190</v>
      </c>
      <c r="B4435" s="6">
        <v>403.125</v>
      </c>
      <c r="C4435" s="6">
        <v>20.478950000000001</v>
      </c>
      <c r="D4435" s="6">
        <v>80</v>
      </c>
      <c r="E4435" s="6">
        <v>0</v>
      </c>
      <c r="F4435" s="6">
        <v>0</v>
      </c>
      <c r="G4435" s="6">
        <v>18</v>
      </c>
      <c r="H4435" s="6" t="s">
        <v>9191</v>
      </c>
      <c r="I4435" s="6">
        <v>529.875</v>
      </c>
      <c r="J4435" s="2">
        <f t="shared" si="69"/>
        <v>43747.787994351849</v>
      </c>
    </row>
    <row r="4436" spans="1:10" x14ac:dyDescent="0.25">
      <c r="A4436" s="7" t="s">
        <v>9192</v>
      </c>
      <c r="B4436" s="8">
        <v>403.125</v>
      </c>
      <c r="C4436" s="8">
        <v>20.478950000000001</v>
      </c>
      <c r="D4436" s="8">
        <v>80</v>
      </c>
      <c r="E4436" s="8">
        <v>0</v>
      </c>
      <c r="F4436" s="8">
        <v>0</v>
      </c>
      <c r="G4436" s="8">
        <v>6</v>
      </c>
      <c r="H4436" s="8" t="s">
        <v>9193</v>
      </c>
      <c r="I4436" s="8">
        <v>529.875</v>
      </c>
      <c r="J4436" s="3">
        <f t="shared" si="69"/>
        <v>43747.788076527773</v>
      </c>
    </row>
    <row r="4437" spans="1:10" x14ac:dyDescent="0.25">
      <c r="A4437" s="5" t="s">
        <v>9194</v>
      </c>
      <c r="B4437" s="6">
        <v>403.125</v>
      </c>
      <c r="C4437" s="6">
        <v>20.478950000000001</v>
      </c>
      <c r="D4437" s="6">
        <v>79</v>
      </c>
      <c r="E4437" s="6">
        <v>0</v>
      </c>
      <c r="F4437" s="6">
        <v>0</v>
      </c>
      <c r="G4437" s="6">
        <v>12</v>
      </c>
      <c r="H4437" s="6" t="s">
        <v>9195</v>
      </c>
      <c r="I4437" s="6">
        <v>529.875</v>
      </c>
      <c r="J4437" s="2">
        <f t="shared" si="69"/>
        <v>43747.788159976852</v>
      </c>
    </row>
    <row r="4438" spans="1:10" x14ac:dyDescent="0.25">
      <c r="A4438" s="7" t="s">
        <v>9196</v>
      </c>
      <c r="B4438" s="8">
        <v>403.125</v>
      </c>
      <c r="C4438" s="8">
        <v>20.478950000000001</v>
      </c>
      <c r="D4438" s="8">
        <v>78</v>
      </c>
      <c r="E4438" s="8">
        <v>0</v>
      </c>
      <c r="F4438" s="8">
        <v>0</v>
      </c>
      <c r="G4438" s="8">
        <v>12</v>
      </c>
      <c r="H4438" s="8" t="s">
        <v>9197</v>
      </c>
      <c r="I4438" s="8">
        <v>529.875</v>
      </c>
      <c r="J4438" s="3">
        <f t="shared" si="69"/>
        <v>43747.788243518517</v>
      </c>
    </row>
    <row r="4439" spans="1:10" x14ac:dyDescent="0.25">
      <c r="A4439" s="5" t="s">
        <v>9198</v>
      </c>
      <c r="B4439" s="6">
        <v>403.125</v>
      </c>
      <c r="C4439" s="6">
        <v>20.478950000000001</v>
      </c>
      <c r="D4439" s="6">
        <v>78</v>
      </c>
      <c r="E4439" s="6">
        <v>0</v>
      </c>
      <c r="F4439" s="6">
        <v>0</v>
      </c>
      <c r="G4439" s="6">
        <v>5</v>
      </c>
      <c r="H4439" s="6" t="s">
        <v>9199</v>
      </c>
      <c r="I4439" s="6">
        <v>529.875</v>
      </c>
      <c r="J4439" s="2">
        <f t="shared" si="69"/>
        <v>43747.788326620364</v>
      </c>
    </row>
    <row r="4440" spans="1:10" x14ac:dyDescent="0.25">
      <c r="A4440" s="7" t="s">
        <v>9200</v>
      </c>
      <c r="B4440" s="8">
        <v>403.125</v>
      </c>
      <c r="C4440" s="8">
        <v>20.478950000000001</v>
      </c>
      <c r="D4440" s="8">
        <v>77</v>
      </c>
      <c r="E4440" s="8">
        <v>0</v>
      </c>
      <c r="F4440" s="8">
        <v>0</v>
      </c>
      <c r="G4440" s="8">
        <v>15</v>
      </c>
      <c r="H4440" s="8" t="s">
        <v>9201</v>
      </c>
      <c r="I4440" s="8">
        <v>529.875</v>
      </c>
      <c r="J4440" s="3">
        <f t="shared" si="69"/>
        <v>43747.788398495373</v>
      </c>
    </row>
    <row r="4441" spans="1:10" x14ac:dyDescent="0.25">
      <c r="A4441" s="5" t="s">
        <v>9202</v>
      </c>
      <c r="B4441" s="6">
        <v>403.125</v>
      </c>
      <c r="C4441" s="6">
        <v>20.531590000000001</v>
      </c>
      <c r="D4441" s="6">
        <v>77</v>
      </c>
      <c r="E4441" s="6">
        <v>0</v>
      </c>
      <c r="F4441" s="6">
        <v>0</v>
      </c>
      <c r="G4441" s="6">
        <v>10</v>
      </c>
      <c r="H4441" s="6" t="s">
        <v>9203</v>
      </c>
      <c r="I4441" s="6">
        <v>529.875</v>
      </c>
      <c r="J4441" s="2">
        <f t="shared" si="69"/>
        <v>43747.788481944437</v>
      </c>
    </row>
    <row r="4442" spans="1:10" x14ac:dyDescent="0.25">
      <c r="A4442" s="7" t="s">
        <v>9204</v>
      </c>
      <c r="B4442" s="8">
        <v>403.125</v>
      </c>
      <c r="C4442" s="8">
        <v>20.478950000000001</v>
      </c>
      <c r="D4442" s="8">
        <v>79</v>
      </c>
      <c r="E4442" s="8">
        <v>0</v>
      </c>
      <c r="F4442" s="8">
        <v>0</v>
      </c>
      <c r="G4442" s="8">
        <v>11</v>
      </c>
      <c r="H4442" s="8" t="s">
        <v>9205</v>
      </c>
      <c r="I4442" s="8">
        <v>529.125</v>
      </c>
      <c r="J4442" s="3">
        <f t="shared" si="69"/>
        <v>43747.788565405092</v>
      </c>
    </row>
    <row r="4443" spans="1:10" x14ac:dyDescent="0.25">
      <c r="A4443" s="5" t="s">
        <v>9206</v>
      </c>
      <c r="B4443" s="6">
        <v>400</v>
      </c>
      <c r="C4443" s="6">
        <v>20.478950000000001</v>
      </c>
      <c r="D4443" s="6">
        <v>77</v>
      </c>
      <c r="E4443" s="6">
        <v>0</v>
      </c>
      <c r="F4443" s="6">
        <v>0</v>
      </c>
      <c r="G4443" s="6">
        <v>10</v>
      </c>
      <c r="H4443" s="6" t="s">
        <v>9207</v>
      </c>
      <c r="I4443" s="6">
        <v>528.9375</v>
      </c>
      <c r="J4443" s="2">
        <f t="shared" si="69"/>
        <v>43747.788636921294</v>
      </c>
    </row>
    <row r="4444" spans="1:10" x14ac:dyDescent="0.25">
      <c r="A4444" s="7" t="s">
        <v>9208</v>
      </c>
      <c r="B4444" s="8">
        <v>400</v>
      </c>
      <c r="C4444" s="8">
        <v>20.478950000000001</v>
      </c>
      <c r="D4444" s="8">
        <v>76</v>
      </c>
      <c r="E4444" s="8">
        <v>0</v>
      </c>
      <c r="F4444" s="8">
        <v>0</v>
      </c>
      <c r="G4444" s="8">
        <v>15</v>
      </c>
      <c r="H4444" s="8" t="s">
        <v>9209</v>
      </c>
      <c r="I4444" s="8">
        <v>528.9375</v>
      </c>
      <c r="J4444" s="3">
        <f t="shared" si="69"/>
        <v>43747.78872049768</v>
      </c>
    </row>
    <row r="4445" spans="1:10" x14ac:dyDescent="0.25">
      <c r="A4445" s="5" t="s">
        <v>9210</v>
      </c>
      <c r="B4445" s="6">
        <v>403.125</v>
      </c>
      <c r="C4445" s="6">
        <v>20.478950000000001</v>
      </c>
      <c r="D4445" s="6">
        <v>76</v>
      </c>
      <c r="E4445" s="6">
        <v>0</v>
      </c>
      <c r="F4445" s="6">
        <v>0</v>
      </c>
      <c r="G4445" s="6">
        <v>6</v>
      </c>
      <c r="H4445" s="6" t="s">
        <v>9211</v>
      </c>
      <c r="I4445" s="6">
        <v>529.875</v>
      </c>
      <c r="J4445" s="2">
        <f t="shared" si="69"/>
        <v>43747.788803935182</v>
      </c>
    </row>
    <row r="4446" spans="1:10" x14ac:dyDescent="0.25">
      <c r="A4446" s="7" t="s">
        <v>9212</v>
      </c>
      <c r="B4446" s="8">
        <v>403.125</v>
      </c>
      <c r="C4446" s="8">
        <v>20.478950000000001</v>
      </c>
      <c r="D4446" s="8">
        <v>77</v>
      </c>
      <c r="E4446" s="8">
        <v>0</v>
      </c>
      <c r="F4446" s="8">
        <v>0</v>
      </c>
      <c r="G4446" s="8">
        <v>10</v>
      </c>
      <c r="H4446" s="8" t="s">
        <v>9213</v>
      </c>
      <c r="I4446" s="8">
        <v>529.875</v>
      </c>
      <c r="J4446" s="3">
        <f t="shared" si="69"/>
        <v>43747.788887407405</v>
      </c>
    </row>
    <row r="4447" spans="1:10" x14ac:dyDescent="0.25">
      <c r="A4447" s="5" t="s">
        <v>9214</v>
      </c>
      <c r="B4447" s="6">
        <v>403.125</v>
      </c>
      <c r="C4447" s="6">
        <v>20.478950000000001</v>
      </c>
      <c r="D4447" s="6">
        <v>77</v>
      </c>
      <c r="E4447" s="6">
        <v>0</v>
      </c>
      <c r="F4447" s="6">
        <v>0</v>
      </c>
      <c r="G4447" s="6">
        <v>12</v>
      </c>
      <c r="H4447" s="6" t="s">
        <v>9215</v>
      </c>
      <c r="I4447" s="6">
        <v>529.875</v>
      </c>
      <c r="J4447" s="2">
        <f t="shared" si="69"/>
        <v>43747.788970856484</v>
      </c>
    </row>
    <row r="4448" spans="1:10" x14ac:dyDescent="0.25">
      <c r="A4448" s="7" t="s">
        <v>9216</v>
      </c>
      <c r="B4448" s="8">
        <v>403.125</v>
      </c>
      <c r="C4448" s="8">
        <v>20.478950000000001</v>
      </c>
      <c r="D4448" s="8">
        <v>75</v>
      </c>
      <c r="E4448" s="8">
        <v>0</v>
      </c>
      <c r="F4448" s="8">
        <v>0</v>
      </c>
      <c r="G4448" s="8">
        <v>11</v>
      </c>
      <c r="H4448" s="8" t="s">
        <v>9217</v>
      </c>
      <c r="I4448" s="8">
        <v>529.875</v>
      </c>
      <c r="J4448" s="3">
        <f t="shared" si="69"/>
        <v>43747.78905428241</v>
      </c>
    </row>
    <row r="4449" spans="1:10" x14ac:dyDescent="0.25">
      <c r="A4449" s="5" t="s">
        <v>9218</v>
      </c>
      <c r="B4449" s="6">
        <v>403.125</v>
      </c>
      <c r="C4449" s="6">
        <v>20.478950000000001</v>
      </c>
      <c r="D4449" s="6">
        <v>75</v>
      </c>
      <c r="E4449" s="6">
        <v>0</v>
      </c>
      <c r="F4449" s="6">
        <v>0</v>
      </c>
      <c r="G4449" s="6">
        <v>14</v>
      </c>
      <c r="H4449" s="6" t="s">
        <v>9219</v>
      </c>
      <c r="I4449" s="6">
        <v>529.875</v>
      </c>
      <c r="J4449" s="2">
        <f t="shared" si="69"/>
        <v>43747.789137789347</v>
      </c>
    </row>
    <row r="4450" spans="1:10" x14ac:dyDescent="0.25">
      <c r="A4450" s="7" t="s">
        <v>9220</v>
      </c>
      <c r="B4450" s="8">
        <v>403.125</v>
      </c>
      <c r="C4450" s="8">
        <v>20.478950000000001</v>
      </c>
      <c r="D4450" s="8">
        <v>74</v>
      </c>
      <c r="E4450" s="8">
        <v>0</v>
      </c>
      <c r="F4450" s="8">
        <v>0</v>
      </c>
      <c r="G4450" s="8">
        <v>8</v>
      </c>
      <c r="H4450" s="8" t="s">
        <v>9221</v>
      </c>
      <c r="I4450" s="8">
        <v>529.125</v>
      </c>
      <c r="J4450" s="3">
        <f t="shared" si="69"/>
        <v>43747.789221296298</v>
      </c>
    </row>
    <row r="4451" spans="1:10" x14ac:dyDescent="0.25">
      <c r="A4451" s="5" t="s">
        <v>9222</v>
      </c>
      <c r="B4451" s="6">
        <v>421.875</v>
      </c>
      <c r="C4451" s="6">
        <v>20.478950000000001</v>
      </c>
      <c r="D4451" s="6">
        <v>73</v>
      </c>
      <c r="E4451" s="6">
        <v>0</v>
      </c>
      <c r="F4451" s="6">
        <v>0</v>
      </c>
      <c r="G4451" s="6">
        <v>0</v>
      </c>
      <c r="H4451" s="6" t="s">
        <v>9223</v>
      </c>
      <c r="I4451" s="6">
        <v>535.5</v>
      </c>
      <c r="J4451" s="2">
        <f t="shared" si="69"/>
        <v>43747.789304398146</v>
      </c>
    </row>
    <row r="4452" spans="1:10" x14ac:dyDescent="0.25">
      <c r="A4452" s="7" t="s">
        <v>9224</v>
      </c>
      <c r="B4452" s="8">
        <v>403.125</v>
      </c>
      <c r="C4452" s="8">
        <v>20.478950000000001</v>
      </c>
      <c r="D4452" s="8">
        <v>72</v>
      </c>
      <c r="E4452" s="8">
        <v>0</v>
      </c>
      <c r="F4452" s="8">
        <v>0</v>
      </c>
      <c r="G4452" s="8">
        <v>10</v>
      </c>
      <c r="H4452" s="8" t="s">
        <v>9225</v>
      </c>
      <c r="I4452" s="8">
        <v>529.875</v>
      </c>
      <c r="J4452" s="3">
        <f t="shared" si="69"/>
        <v>43747.789376273147</v>
      </c>
    </row>
    <row r="4453" spans="1:10" x14ac:dyDescent="0.25">
      <c r="A4453" s="5" t="s">
        <v>9226</v>
      </c>
      <c r="B4453" s="6">
        <v>406.25</v>
      </c>
      <c r="C4453" s="6">
        <v>20.531590000000001</v>
      </c>
      <c r="D4453" s="6">
        <v>73</v>
      </c>
      <c r="E4453" s="6">
        <v>0</v>
      </c>
      <c r="F4453" s="6">
        <v>0</v>
      </c>
      <c r="G4453" s="6">
        <v>13</v>
      </c>
      <c r="H4453" s="6" t="s">
        <v>9227</v>
      </c>
      <c r="I4453" s="6">
        <v>530.625</v>
      </c>
      <c r="J4453" s="2">
        <f t="shared" si="69"/>
        <v>43747.789460069442</v>
      </c>
    </row>
    <row r="4454" spans="1:10" x14ac:dyDescent="0.25">
      <c r="A4454" s="7" t="s">
        <v>9228</v>
      </c>
      <c r="B4454" s="8">
        <v>406.25</v>
      </c>
      <c r="C4454" s="8">
        <v>20.478950000000001</v>
      </c>
      <c r="D4454" s="8">
        <v>73</v>
      </c>
      <c r="E4454" s="8">
        <v>0</v>
      </c>
      <c r="F4454" s="8">
        <v>0</v>
      </c>
      <c r="G4454" s="8">
        <v>5</v>
      </c>
      <c r="H4454" s="8" t="s">
        <v>9229</v>
      </c>
      <c r="I4454" s="8">
        <v>530.625</v>
      </c>
      <c r="J4454" s="3">
        <f t="shared" si="69"/>
        <v>43747.78954317129</v>
      </c>
    </row>
    <row r="4455" spans="1:10" x14ac:dyDescent="0.25">
      <c r="A4455" s="5" t="s">
        <v>9230</v>
      </c>
      <c r="B4455" s="6">
        <v>406.25</v>
      </c>
      <c r="C4455" s="6">
        <v>20.531590000000001</v>
      </c>
      <c r="D4455" s="6">
        <v>73</v>
      </c>
      <c r="E4455" s="6">
        <v>0</v>
      </c>
      <c r="F4455" s="6">
        <v>0</v>
      </c>
      <c r="G4455" s="6">
        <v>16</v>
      </c>
      <c r="H4455" s="6" t="s">
        <v>9231</v>
      </c>
      <c r="I4455" s="6">
        <v>530.625</v>
      </c>
      <c r="J4455" s="2">
        <f t="shared" si="69"/>
        <v>43747.789626666665</v>
      </c>
    </row>
    <row r="4456" spans="1:10" x14ac:dyDescent="0.25">
      <c r="A4456" s="7" t="s">
        <v>9232</v>
      </c>
      <c r="B4456" s="8">
        <v>409.375</v>
      </c>
      <c r="C4456" s="8">
        <v>20.531590000000001</v>
      </c>
      <c r="D4456" s="8">
        <v>74</v>
      </c>
      <c r="E4456" s="8">
        <v>0</v>
      </c>
      <c r="F4456" s="8">
        <v>0</v>
      </c>
      <c r="G4456" s="8">
        <v>3</v>
      </c>
      <c r="H4456" s="8" t="s">
        <v>9233</v>
      </c>
      <c r="I4456" s="8">
        <v>531.5625</v>
      </c>
      <c r="J4456" s="3">
        <f t="shared" si="69"/>
        <v>43747.789710185178</v>
      </c>
    </row>
    <row r="4457" spans="1:10" x14ac:dyDescent="0.25">
      <c r="A4457" s="5" t="s">
        <v>9234</v>
      </c>
      <c r="B4457" s="6">
        <v>409.375</v>
      </c>
      <c r="C4457" s="6">
        <v>20.478950000000001</v>
      </c>
      <c r="D4457" s="6">
        <v>73</v>
      </c>
      <c r="E4457" s="6">
        <v>0</v>
      </c>
      <c r="F4457" s="6">
        <v>0</v>
      </c>
      <c r="G4457" s="6">
        <v>14</v>
      </c>
      <c r="H4457" s="6" t="s">
        <v>9235</v>
      </c>
      <c r="I4457" s="6">
        <v>531.5625</v>
      </c>
      <c r="J4457" s="2">
        <f t="shared" si="69"/>
        <v>43747.789793298609</v>
      </c>
    </row>
    <row r="4458" spans="1:10" x14ac:dyDescent="0.25">
      <c r="A4458" s="7" t="s">
        <v>9236</v>
      </c>
      <c r="B4458" s="8">
        <v>428.125</v>
      </c>
      <c r="C4458" s="8">
        <v>20.478950000000001</v>
      </c>
      <c r="D4458" s="8">
        <v>74</v>
      </c>
      <c r="E4458" s="8">
        <v>0</v>
      </c>
      <c r="F4458" s="8">
        <v>0</v>
      </c>
      <c r="G4458" s="8">
        <v>10</v>
      </c>
      <c r="H4458" s="8" t="s">
        <v>9237</v>
      </c>
      <c r="I4458" s="8">
        <v>537.1875</v>
      </c>
      <c r="J4458" s="3">
        <f t="shared" si="69"/>
        <v>43747.789889016196</v>
      </c>
    </row>
    <row r="4459" spans="1:10" x14ac:dyDescent="0.25">
      <c r="A4459" s="5" t="s">
        <v>9238</v>
      </c>
      <c r="B4459" s="6">
        <v>412.5</v>
      </c>
      <c r="C4459" s="6">
        <v>20.531590000000001</v>
      </c>
      <c r="D4459" s="6">
        <v>75</v>
      </c>
      <c r="E4459" s="6">
        <v>0</v>
      </c>
      <c r="F4459" s="6">
        <v>0</v>
      </c>
      <c r="G4459" s="6">
        <v>4</v>
      </c>
      <c r="H4459" s="6" t="s">
        <v>9239</v>
      </c>
      <c r="I4459" s="6">
        <v>532.5</v>
      </c>
      <c r="J4459" s="2">
        <f t="shared" si="69"/>
        <v>43747.789972453706</v>
      </c>
    </row>
    <row r="4460" spans="1:10" x14ac:dyDescent="0.25">
      <c r="A4460" s="7" t="s">
        <v>9240</v>
      </c>
      <c r="B4460" s="8">
        <v>412.5</v>
      </c>
      <c r="C4460" s="8">
        <v>20.478950000000001</v>
      </c>
      <c r="D4460" s="8">
        <v>75</v>
      </c>
      <c r="E4460" s="8">
        <v>0</v>
      </c>
      <c r="F4460" s="8">
        <v>0</v>
      </c>
      <c r="G4460" s="8">
        <v>11</v>
      </c>
      <c r="H4460" s="8" t="s">
        <v>9241</v>
      </c>
      <c r="I4460" s="8">
        <v>532.3125</v>
      </c>
      <c r="J4460" s="3">
        <f t="shared" si="69"/>
        <v>43747.790055902777</v>
      </c>
    </row>
    <row r="4461" spans="1:10" x14ac:dyDescent="0.25">
      <c r="A4461" s="5" t="s">
        <v>9242</v>
      </c>
      <c r="B4461" s="6">
        <v>412.5</v>
      </c>
      <c r="C4461" s="6">
        <v>20.478950000000001</v>
      </c>
      <c r="D4461" s="6">
        <v>74</v>
      </c>
      <c r="E4461" s="6">
        <v>0</v>
      </c>
      <c r="F4461" s="6">
        <v>0</v>
      </c>
      <c r="G4461" s="6">
        <v>7</v>
      </c>
      <c r="H4461" s="6" t="s">
        <v>9243</v>
      </c>
      <c r="I4461" s="6">
        <v>532.3125</v>
      </c>
      <c r="J4461" s="2">
        <f t="shared" si="69"/>
        <v>43747.790139467594</v>
      </c>
    </row>
    <row r="4462" spans="1:10" x14ac:dyDescent="0.25">
      <c r="A4462" s="7" t="s">
        <v>9244</v>
      </c>
      <c r="B4462" s="8">
        <v>412.5</v>
      </c>
      <c r="C4462" s="8">
        <v>20.478950000000001</v>
      </c>
      <c r="D4462" s="8">
        <v>74</v>
      </c>
      <c r="E4462" s="8">
        <v>0</v>
      </c>
      <c r="F4462" s="8">
        <v>0</v>
      </c>
      <c r="G4462" s="8">
        <v>11</v>
      </c>
      <c r="H4462" s="8" t="s">
        <v>9245</v>
      </c>
      <c r="I4462" s="8">
        <v>532.3125</v>
      </c>
      <c r="J4462" s="3">
        <f t="shared" si="69"/>
        <v>43747.790223043979</v>
      </c>
    </row>
    <row r="4463" spans="1:10" x14ac:dyDescent="0.25">
      <c r="A4463" s="5" t="s">
        <v>9246</v>
      </c>
      <c r="B4463" s="6">
        <v>409.375</v>
      </c>
      <c r="C4463" s="6">
        <v>20.478950000000001</v>
      </c>
      <c r="D4463" s="6">
        <v>74</v>
      </c>
      <c r="E4463" s="6">
        <v>0</v>
      </c>
      <c r="F4463" s="6">
        <v>0</v>
      </c>
      <c r="G4463" s="6">
        <v>7</v>
      </c>
      <c r="H4463" s="6" t="s">
        <v>9247</v>
      </c>
      <c r="I4463" s="6">
        <v>531.5625</v>
      </c>
      <c r="J4463" s="2">
        <f t="shared" si="69"/>
        <v>43747.790306377312</v>
      </c>
    </row>
    <row r="4464" spans="1:10" x14ac:dyDescent="0.25">
      <c r="A4464" s="7" t="s">
        <v>9248</v>
      </c>
      <c r="B4464" s="8">
        <v>409.375</v>
      </c>
      <c r="C4464" s="8">
        <v>20.478950000000001</v>
      </c>
      <c r="D4464" s="8">
        <v>75</v>
      </c>
      <c r="E4464" s="8">
        <v>0</v>
      </c>
      <c r="F4464" s="8">
        <v>0</v>
      </c>
      <c r="G4464" s="8">
        <v>12</v>
      </c>
      <c r="H4464" s="8" t="s">
        <v>9249</v>
      </c>
      <c r="I4464" s="8">
        <v>531.5625</v>
      </c>
      <c r="J4464" s="3">
        <f t="shared" si="69"/>
        <v>43747.7903896875</v>
      </c>
    </row>
    <row r="4465" spans="1:10" x14ac:dyDescent="0.25">
      <c r="A4465" s="5" t="s">
        <v>9250</v>
      </c>
      <c r="B4465" s="6">
        <v>428.125</v>
      </c>
      <c r="C4465" s="6">
        <v>20.478950000000001</v>
      </c>
      <c r="D4465" s="6">
        <v>75</v>
      </c>
      <c r="E4465" s="6">
        <v>0</v>
      </c>
      <c r="F4465" s="6">
        <v>0</v>
      </c>
      <c r="G4465" s="6">
        <v>4</v>
      </c>
      <c r="H4465" s="6" t="s">
        <v>9251</v>
      </c>
      <c r="I4465" s="6">
        <v>537.1875</v>
      </c>
      <c r="J4465" s="2">
        <f t="shared" si="69"/>
        <v>43747.790461365737</v>
      </c>
    </row>
    <row r="4466" spans="1:10" x14ac:dyDescent="0.25">
      <c r="A4466" s="7" t="s">
        <v>9252</v>
      </c>
      <c r="B4466" s="8">
        <v>412.5</v>
      </c>
      <c r="C4466" s="8">
        <v>20.531590000000001</v>
      </c>
      <c r="D4466" s="8">
        <v>75</v>
      </c>
      <c r="E4466" s="8">
        <v>0</v>
      </c>
      <c r="F4466" s="8">
        <v>0</v>
      </c>
      <c r="G4466" s="8">
        <v>10</v>
      </c>
      <c r="H4466" s="8" t="s">
        <v>9253</v>
      </c>
      <c r="I4466" s="8">
        <v>532.3125</v>
      </c>
      <c r="J4466" s="3">
        <f t="shared" si="69"/>
        <v>43747.790544814816</v>
      </c>
    </row>
    <row r="4467" spans="1:10" x14ac:dyDescent="0.25">
      <c r="A4467" s="5" t="s">
        <v>9254</v>
      </c>
      <c r="B4467" s="6">
        <v>412.5</v>
      </c>
      <c r="C4467" s="6">
        <v>20.478950000000001</v>
      </c>
      <c r="D4467" s="6">
        <v>74</v>
      </c>
      <c r="E4467" s="6">
        <v>0</v>
      </c>
      <c r="F4467" s="6">
        <v>0</v>
      </c>
      <c r="G4467" s="6">
        <v>10</v>
      </c>
      <c r="H4467" s="6" t="s">
        <v>9255</v>
      </c>
      <c r="I4467" s="6">
        <v>532.3125</v>
      </c>
      <c r="J4467" s="2">
        <f t="shared" si="69"/>
        <v>43747.790616458333</v>
      </c>
    </row>
    <row r="4468" spans="1:10" x14ac:dyDescent="0.25">
      <c r="A4468" s="7" t="s">
        <v>9256</v>
      </c>
      <c r="B4468" s="8">
        <v>409.375</v>
      </c>
      <c r="C4468" s="8">
        <v>20.478950000000001</v>
      </c>
      <c r="D4468" s="8">
        <v>74</v>
      </c>
      <c r="E4468" s="8">
        <v>0</v>
      </c>
      <c r="F4468" s="8">
        <v>0</v>
      </c>
      <c r="G4468" s="8">
        <v>14</v>
      </c>
      <c r="H4468" s="8" t="s">
        <v>9257</v>
      </c>
      <c r="I4468" s="8">
        <v>531.5625</v>
      </c>
      <c r="J4468" s="3">
        <f t="shared" si="69"/>
        <v>43747.790699999998</v>
      </c>
    </row>
    <row r="4469" spans="1:10" x14ac:dyDescent="0.25">
      <c r="A4469" s="5" t="s">
        <v>9258</v>
      </c>
      <c r="B4469" s="6">
        <v>406.25</v>
      </c>
      <c r="C4469" s="6">
        <v>20.478950000000001</v>
      </c>
      <c r="D4469" s="6">
        <v>73</v>
      </c>
      <c r="E4469" s="6">
        <v>0</v>
      </c>
      <c r="F4469" s="6">
        <v>0</v>
      </c>
      <c r="G4469" s="6">
        <v>8</v>
      </c>
      <c r="H4469" s="6" t="s">
        <v>9259</v>
      </c>
      <c r="I4469" s="6">
        <v>530.8125</v>
      </c>
      <c r="J4469" s="2">
        <f t="shared" si="69"/>
        <v>43747.790783356475</v>
      </c>
    </row>
    <row r="4470" spans="1:10" x14ac:dyDescent="0.25">
      <c r="A4470" s="7" t="s">
        <v>9260</v>
      </c>
      <c r="B4470" s="8">
        <v>406.25</v>
      </c>
      <c r="C4470" s="8">
        <v>20.478950000000001</v>
      </c>
      <c r="D4470" s="8">
        <v>73</v>
      </c>
      <c r="E4470" s="8">
        <v>0</v>
      </c>
      <c r="F4470" s="8">
        <v>0</v>
      </c>
      <c r="G4470" s="8">
        <v>15</v>
      </c>
      <c r="H4470" s="8" t="s">
        <v>9261</v>
      </c>
      <c r="I4470" s="8">
        <v>530.625</v>
      </c>
      <c r="J4470" s="3">
        <f t="shared" si="69"/>
        <v>43747.790866898147</v>
      </c>
    </row>
    <row r="4471" spans="1:10" x14ac:dyDescent="0.25">
      <c r="A4471" s="5" t="s">
        <v>9262</v>
      </c>
      <c r="B4471" s="6">
        <v>406.25</v>
      </c>
      <c r="C4471" s="6">
        <v>20.478950000000001</v>
      </c>
      <c r="D4471" s="6">
        <v>73</v>
      </c>
      <c r="E4471" s="6">
        <v>0</v>
      </c>
      <c r="F4471" s="6">
        <v>0</v>
      </c>
      <c r="G4471" s="6">
        <v>8</v>
      </c>
      <c r="H4471" s="6" t="s">
        <v>9263</v>
      </c>
      <c r="I4471" s="6">
        <v>530.625</v>
      </c>
      <c r="J4471" s="2">
        <f t="shared" si="69"/>
        <v>43747.79095023148</v>
      </c>
    </row>
    <row r="4472" spans="1:10" x14ac:dyDescent="0.25">
      <c r="A4472" s="7" t="s">
        <v>9264</v>
      </c>
      <c r="B4472" s="8">
        <v>406.25</v>
      </c>
      <c r="C4472" s="8">
        <v>20.478950000000001</v>
      </c>
      <c r="D4472" s="8">
        <v>74</v>
      </c>
      <c r="E4472" s="8">
        <v>0</v>
      </c>
      <c r="F4472" s="8">
        <v>0</v>
      </c>
      <c r="G4472" s="8">
        <v>8</v>
      </c>
      <c r="H4472" s="8" t="s">
        <v>9265</v>
      </c>
      <c r="I4472" s="8">
        <v>530.8125</v>
      </c>
      <c r="J4472" s="3">
        <f t="shared" si="69"/>
        <v>43747.791033692127</v>
      </c>
    </row>
    <row r="4473" spans="1:10" x14ac:dyDescent="0.25">
      <c r="A4473" s="5" t="s">
        <v>9266</v>
      </c>
      <c r="B4473" s="6">
        <v>406.25</v>
      </c>
      <c r="C4473" s="6">
        <v>20.478950000000001</v>
      </c>
      <c r="D4473" s="6">
        <v>74</v>
      </c>
      <c r="E4473" s="6">
        <v>0</v>
      </c>
      <c r="F4473" s="6">
        <v>0</v>
      </c>
      <c r="G4473" s="6">
        <v>5</v>
      </c>
      <c r="H4473" s="6" t="s">
        <v>9267</v>
      </c>
      <c r="I4473" s="6">
        <v>530.8125</v>
      </c>
      <c r="J4473" s="2">
        <f t="shared" si="69"/>
        <v>43747.791117256944</v>
      </c>
    </row>
    <row r="4474" spans="1:10" x14ac:dyDescent="0.25">
      <c r="A4474" s="7" t="s">
        <v>9268</v>
      </c>
      <c r="B4474" s="8">
        <v>409.375</v>
      </c>
      <c r="C4474" s="8">
        <v>20.478950000000001</v>
      </c>
      <c r="D4474" s="8">
        <v>74</v>
      </c>
      <c r="E4474" s="8">
        <v>0</v>
      </c>
      <c r="F4474" s="8">
        <v>0</v>
      </c>
      <c r="G4474" s="8">
        <v>8</v>
      </c>
      <c r="H4474" s="8" t="s">
        <v>9269</v>
      </c>
      <c r="I4474" s="8">
        <v>531.5625</v>
      </c>
      <c r="J4474" s="3">
        <f t="shared" si="69"/>
        <v>43747.791188796291</v>
      </c>
    </row>
    <row r="4475" spans="1:10" x14ac:dyDescent="0.25">
      <c r="A4475" s="5" t="s">
        <v>9270</v>
      </c>
      <c r="B4475" s="6">
        <v>409.375</v>
      </c>
      <c r="C4475" s="6">
        <v>20.478950000000001</v>
      </c>
      <c r="D4475" s="6">
        <v>74</v>
      </c>
      <c r="E4475" s="6">
        <v>0</v>
      </c>
      <c r="F4475" s="6">
        <v>0</v>
      </c>
      <c r="G4475" s="6">
        <v>14</v>
      </c>
      <c r="H4475" s="6" t="s">
        <v>9271</v>
      </c>
      <c r="I4475" s="6">
        <v>531.5625</v>
      </c>
      <c r="J4475" s="2">
        <f t="shared" si="69"/>
        <v>43747.791272222217</v>
      </c>
    </row>
    <row r="4476" spans="1:10" x14ac:dyDescent="0.25">
      <c r="A4476" s="7" t="s">
        <v>9272</v>
      </c>
      <c r="B4476" s="8">
        <v>409.375</v>
      </c>
      <c r="C4476" s="8">
        <v>20.531590000000001</v>
      </c>
      <c r="D4476" s="8">
        <v>74</v>
      </c>
      <c r="E4476" s="8">
        <v>0</v>
      </c>
      <c r="F4476" s="8">
        <v>0</v>
      </c>
      <c r="G4476" s="8">
        <v>8</v>
      </c>
      <c r="H4476" s="8" t="s">
        <v>9273</v>
      </c>
      <c r="I4476" s="8">
        <v>531.5625</v>
      </c>
      <c r="J4476" s="3">
        <f t="shared" si="69"/>
        <v>43747.791355682864</v>
      </c>
    </row>
    <row r="4477" spans="1:10" x14ac:dyDescent="0.25">
      <c r="A4477" s="5" t="s">
        <v>9274</v>
      </c>
      <c r="B4477" s="6">
        <v>409.375</v>
      </c>
      <c r="C4477" s="6">
        <v>20.478950000000001</v>
      </c>
      <c r="D4477" s="6">
        <v>74</v>
      </c>
      <c r="E4477" s="6">
        <v>0</v>
      </c>
      <c r="F4477" s="6">
        <v>0</v>
      </c>
      <c r="G4477" s="6">
        <v>10</v>
      </c>
      <c r="H4477" s="6" t="s">
        <v>9275</v>
      </c>
      <c r="I4477" s="6">
        <v>531.5625</v>
      </c>
      <c r="J4477" s="2">
        <f t="shared" si="69"/>
        <v>43747.791427442127</v>
      </c>
    </row>
    <row r="4478" spans="1:10" x14ac:dyDescent="0.25">
      <c r="A4478" s="7" t="s">
        <v>9276</v>
      </c>
      <c r="B4478" s="8">
        <v>409.375</v>
      </c>
      <c r="C4478" s="8">
        <v>20.584240000000001</v>
      </c>
      <c r="D4478" s="8">
        <v>73</v>
      </c>
      <c r="E4478" s="8">
        <v>0</v>
      </c>
      <c r="F4478" s="8">
        <v>0</v>
      </c>
      <c r="G4478" s="8">
        <v>7</v>
      </c>
      <c r="H4478" s="8" t="s">
        <v>9277</v>
      </c>
      <c r="I4478" s="8">
        <v>531.5625</v>
      </c>
      <c r="J4478" s="3">
        <f t="shared" si="69"/>
        <v>43747.791498749997</v>
      </c>
    </row>
    <row r="4479" spans="1:10" x14ac:dyDescent="0.25">
      <c r="A4479" s="5" t="s">
        <v>9278</v>
      </c>
      <c r="B4479" s="6">
        <v>409.375</v>
      </c>
      <c r="C4479" s="6">
        <v>20.478950000000001</v>
      </c>
      <c r="D4479" s="6">
        <v>75</v>
      </c>
      <c r="E4479" s="6">
        <v>0</v>
      </c>
      <c r="F4479" s="6">
        <v>0</v>
      </c>
      <c r="G4479" s="6">
        <v>11</v>
      </c>
      <c r="H4479" s="6" t="s">
        <v>9279</v>
      </c>
      <c r="I4479" s="6">
        <v>531.5625</v>
      </c>
      <c r="J4479" s="2">
        <f t="shared" si="69"/>
        <v>43747.791582175923</v>
      </c>
    </row>
    <row r="4480" spans="1:10" x14ac:dyDescent="0.25">
      <c r="A4480" s="7" t="s">
        <v>9280</v>
      </c>
      <c r="B4480" s="8">
        <v>409.375</v>
      </c>
      <c r="C4480" s="8">
        <v>20.478950000000001</v>
      </c>
      <c r="D4480" s="8">
        <v>75</v>
      </c>
      <c r="E4480" s="8">
        <v>0</v>
      </c>
      <c r="F4480" s="8">
        <v>0</v>
      </c>
      <c r="G4480" s="8">
        <v>13</v>
      </c>
      <c r="H4480" s="8" t="s">
        <v>9281</v>
      </c>
      <c r="I4480" s="8">
        <v>531.375</v>
      </c>
      <c r="J4480" s="3">
        <f t="shared" si="69"/>
        <v>43747.79166574074</v>
      </c>
    </row>
    <row r="4481" spans="1:10" x14ac:dyDescent="0.25">
      <c r="A4481" s="5" t="s">
        <v>9282</v>
      </c>
      <c r="B4481" s="6">
        <v>428.125</v>
      </c>
      <c r="C4481" s="6">
        <v>20.478950000000001</v>
      </c>
      <c r="D4481" s="6">
        <v>74</v>
      </c>
      <c r="E4481" s="6">
        <v>0</v>
      </c>
      <c r="F4481" s="6">
        <v>0</v>
      </c>
      <c r="G4481" s="6">
        <v>13</v>
      </c>
      <c r="H4481" s="6" t="s">
        <v>9283</v>
      </c>
      <c r="I4481" s="6">
        <v>537</v>
      </c>
      <c r="J4481" s="2">
        <f t="shared" si="69"/>
        <v>43747.791748958327</v>
      </c>
    </row>
    <row r="4482" spans="1:10" x14ac:dyDescent="0.25">
      <c r="A4482" s="7" t="s">
        <v>9284</v>
      </c>
      <c r="B4482" s="8">
        <v>412.5</v>
      </c>
      <c r="C4482" s="8">
        <v>20.478950000000001</v>
      </c>
      <c r="D4482" s="8">
        <v>74</v>
      </c>
      <c r="E4482" s="8">
        <v>0</v>
      </c>
      <c r="F4482" s="8">
        <v>0</v>
      </c>
      <c r="G4482" s="8">
        <v>5</v>
      </c>
      <c r="H4482" s="8" t="s">
        <v>9285</v>
      </c>
      <c r="I4482" s="8">
        <v>532.3125</v>
      </c>
      <c r="J4482" s="3">
        <f t="shared" ref="J4482:J4545" si="70">(H4482/86400000)+25569+(7/24)</f>
        <v>43747.791820613427</v>
      </c>
    </row>
    <row r="4483" spans="1:10" x14ac:dyDescent="0.25">
      <c r="A4483" s="5" t="s">
        <v>9286</v>
      </c>
      <c r="B4483" s="6">
        <v>412.5</v>
      </c>
      <c r="C4483" s="6">
        <v>20.478950000000001</v>
      </c>
      <c r="D4483" s="6">
        <v>77</v>
      </c>
      <c r="E4483" s="6">
        <v>0</v>
      </c>
      <c r="F4483" s="6">
        <v>0</v>
      </c>
      <c r="G4483" s="6">
        <v>2</v>
      </c>
      <c r="H4483" s="6" t="s">
        <v>9287</v>
      </c>
      <c r="I4483" s="6">
        <v>532.3125</v>
      </c>
      <c r="J4483" s="2">
        <f t="shared" si="70"/>
        <v>43747.791904178237</v>
      </c>
    </row>
    <row r="4484" spans="1:10" x14ac:dyDescent="0.25">
      <c r="A4484" s="7" t="s">
        <v>9288</v>
      </c>
      <c r="B4484" s="8">
        <v>412.5</v>
      </c>
      <c r="C4484" s="8">
        <v>20.478950000000001</v>
      </c>
      <c r="D4484" s="8">
        <v>77</v>
      </c>
      <c r="E4484" s="8">
        <v>0</v>
      </c>
      <c r="F4484" s="8">
        <v>0</v>
      </c>
      <c r="G4484" s="8">
        <v>7</v>
      </c>
      <c r="H4484" s="8" t="s">
        <v>9289</v>
      </c>
      <c r="I4484" s="8">
        <v>532.3125</v>
      </c>
      <c r="J4484" s="3">
        <f t="shared" si="70"/>
        <v>43747.791976064815</v>
      </c>
    </row>
    <row r="4485" spans="1:10" x14ac:dyDescent="0.25">
      <c r="A4485" s="5" t="s">
        <v>9290</v>
      </c>
      <c r="B4485" s="6">
        <v>412.5</v>
      </c>
      <c r="C4485" s="6">
        <v>20.478950000000001</v>
      </c>
      <c r="D4485" s="6">
        <v>76</v>
      </c>
      <c r="E4485" s="6">
        <v>0</v>
      </c>
      <c r="F4485" s="6">
        <v>0</v>
      </c>
      <c r="G4485" s="6">
        <v>8</v>
      </c>
      <c r="H4485" s="6" t="s">
        <v>9291</v>
      </c>
      <c r="I4485" s="6">
        <v>532.3125</v>
      </c>
      <c r="J4485" s="2">
        <f t="shared" si="70"/>
        <v>43747.792059166663</v>
      </c>
    </row>
    <row r="4486" spans="1:10" x14ac:dyDescent="0.25">
      <c r="A4486" s="7" t="s">
        <v>9292</v>
      </c>
      <c r="B4486" s="8">
        <v>412.5</v>
      </c>
      <c r="C4486" s="8">
        <v>20.478950000000001</v>
      </c>
      <c r="D4486" s="8">
        <v>77</v>
      </c>
      <c r="E4486" s="8">
        <v>0</v>
      </c>
      <c r="F4486" s="8">
        <v>0</v>
      </c>
      <c r="G4486" s="8">
        <v>0</v>
      </c>
      <c r="H4486" s="8" t="s">
        <v>9293</v>
      </c>
      <c r="I4486" s="8">
        <v>532.3125</v>
      </c>
      <c r="J4486" s="3">
        <f t="shared" si="70"/>
        <v>43747.792142708327</v>
      </c>
    </row>
    <row r="4487" spans="1:10" x14ac:dyDescent="0.25">
      <c r="A4487" s="5" t="s">
        <v>9294</v>
      </c>
      <c r="B4487" s="6">
        <v>415.625</v>
      </c>
      <c r="C4487" s="6">
        <v>20.478950000000001</v>
      </c>
      <c r="D4487" s="6">
        <v>76</v>
      </c>
      <c r="E4487" s="6">
        <v>0</v>
      </c>
      <c r="F4487" s="6">
        <v>0</v>
      </c>
      <c r="G4487" s="6">
        <v>11</v>
      </c>
      <c r="H4487" s="6" t="s">
        <v>9295</v>
      </c>
      <c r="I4487" s="6">
        <v>533.0625</v>
      </c>
      <c r="J4487" s="2">
        <f t="shared" si="70"/>
        <v>43747.792226180558</v>
      </c>
    </row>
    <row r="4488" spans="1:10" x14ac:dyDescent="0.25">
      <c r="A4488" s="7" t="s">
        <v>9296</v>
      </c>
      <c r="B4488" s="8">
        <v>415.625</v>
      </c>
      <c r="C4488" s="8">
        <v>20.478950000000001</v>
      </c>
      <c r="D4488" s="8">
        <v>76</v>
      </c>
      <c r="E4488" s="8">
        <v>0</v>
      </c>
      <c r="F4488" s="8">
        <v>0</v>
      </c>
      <c r="G4488" s="8">
        <v>8</v>
      </c>
      <c r="H4488" s="8" t="s">
        <v>9297</v>
      </c>
      <c r="I4488" s="8">
        <v>533.0625</v>
      </c>
      <c r="J4488" s="3">
        <f t="shared" si="70"/>
        <v>43747.792318368054</v>
      </c>
    </row>
    <row r="4489" spans="1:10" x14ac:dyDescent="0.25">
      <c r="A4489" s="5" t="s">
        <v>9298</v>
      </c>
      <c r="B4489" s="6">
        <v>418.75</v>
      </c>
      <c r="C4489" s="6">
        <v>20.478950000000001</v>
      </c>
      <c r="D4489" s="6">
        <v>77</v>
      </c>
      <c r="E4489" s="6">
        <v>0</v>
      </c>
      <c r="F4489" s="6">
        <v>0</v>
      </c>
      <c r="G4489" s="6">
        <v>5</v>
      </c>
      <c r="H4489" s="6" t="s">
        <v>9299</v>
      </c>
      <c r="I4489" s="6">
        <v>534</v>
      </c>
      <c r="J4489" s="2">
        <f t="shared" si="70"/>
        <v>43747.792393090276</v>
      </c>
    </row>
    <row r="4490" spans="1:10" x14ac:dyDescent="0.25">
      <c r="A4490" s="7" t="s">
        <v>9300</v>
      </c>
      <c r="B4490" s="8">
        <v>415.625</v>
      </c>
      <c r="C4490" s="8">
        <v>20.531590000000001</v>
      </c>
      <c r="D4490" s="8">
        <v>78</v>
      </c>
      <c r="E4490" s="8">
        <v>0</v>
      </c>
      <c r="F4490" s="8">
        <v>0</v>
      </c>
      <c r="G4490" s="8">
        <v>6</v>
      </c>
      <c r="H4490" s="8" t="s">
        <v>9301</v>
      </c>
      <c r="I4490" s="8">
        <v>533.0625</v>
      </c>
      <c r="J4490" s="3">
        <f t="shared" si="70"/>
        <v>43747.792476516202</v>
      </c>
    </row>
    <row r="4491" spans="1:10" x14ac:dyDescent="0.25">
      <c r="A4491" s="5" t="s">
        <v>9302</v>
      </c>
      <c r="B4491" s="6">
        <v>415.625</v>
      </c>
      <c r="C4491" s="6">
        <v>20.478950000000001</v>
      </c>
      <c r="D4491" s="6">
        <v>77</v>
      </c>
      <c r="E4491" s="6">
        <v>0</v>
      </c>
      <c r="F4491" s="6">
        <v>0</v>
      </c>
      <c r="G4491" s="6">
        <v>10</v>
      </c>
      <c r="H4491" s="6" t="s">
        <v>9303</v>
      </c>
      <c r="I4491" s="6">
        <v>533.0625</v>
      </c>
      <c r="J4491" s="2">
        <f t="shared" si="70"/>
        <v>43747.79257189815</v>
      </c>
    </row>
    <row r="4492" spans="1:10" x14ac:dyDescent="0.25">
      <c r="A4492" s="7" t="s">
        <v>9304</v>
      </c>
      <c r="B4492" s="8">
        <v>415.625</v>
      </c>
      <c r="C4492" s="8">
        <v>20.478950000000001</v>
      </c>
      <c r="D4492" s="8">
        <v>76</v>
      </c>
      <c r="E4492" s="8">
        <v>0</v>
      </c>
      <c r="F4492" s="8">
        <v>0</v>
      </c>
      <c r="G4492" s="8">
        <v>11</v>
      </c>
      <c r="H4492" s="8" t="s">
        <v>9305</v>
      </c>
      <c r="I4492" s="8">
        <v>533.0625</v>
      </c>
      <c r="J4492" s="3">
        <f t="shared" si="70"/>
        <v>43747.792643402776</v>
      </c>
    </row>
    <row r="4493" spans="1:10" x14ac:dyDescent="0.25">
      <c r="A4493" s="5" t="s">
        <v>9306</v>
      </c>
      <c r="B4493" s="6">
        <v>412.5</v>
      </c>
      <c r="C4493" s="6">
        <v>20.478950000000001</v>
      </c>
      <c r="D4493" s="6">
        <v>75</v>
      </c>
      <c r="E4493" s="6">
        <v>0</v>
      </c>
      <c r="F4493" s="6">
        <v>0</v>
      </c>
      <c r="G4493" s="6">
        <v>9</v>
      </c>
      <c r="H4493" s="6" t="s">
        <v>9307</v>
      </c>
      <c r="I4493" s="6">
        <v>532.3125</v>
      </c>
      <c r="J4493" s="2">
        <f t="shared" si="70"/>
        <v>43747.792731493049</v>
      </c>
    </row>
    <row r="4494" spans="1:10" x14ac:dyDescent="0.25">
      <c r="A4494" s="7" t="s">
        <v>9308</v>
      </c>
      <c r="B4494" s="8">
        <v>412.5</v>
      </c>
      <c r="C4494" s="8">
        <v>20.478950000000001</v>
      </c>
      <c r="D4494" s="8">
        <v>78</v>
      </c>
      <c r="E4494" s="8">
        <v>0</v>
      </c>
      <c r="F4494" s="8">
        <v>0</v>
      </c>
      <c r="G4494" s="8">
        <v>12</v>
      </c>
      <c r="H4494" s="8" t="s">
        <v>9309</v>
      </c>
      <c r="I4494" s="8">
        <v>532.125</v>
      </c>
      <c r="J4494" s="3">
        <f t="shared" si="70"/>
        <v>43747.792810057865</v>
      </c>
    </row>
    <row r="4495" spans="1:10" x14ac:dyDescent="0.25">
      <c r="A4495" s="5" t="s">
        <v>9310</v>
      </c>
      <c r="B4495" s="6">
        <v>409.375</v>
      </c>
      <c r="C4495" s="6">
        <v>20.531590000000001</v>
      </c>
      <c r="D4495" s="6">
        <v>75</v>
      </c>
      <c r="E4495" s="6">
        <v>0</v>
      </c>
      <c r="F4495" s="6">
        <v>0</v>
      </c>
      <c r="G4495" s="6">
        <v>6</v>
      </c>
      <c r="H4495" s="6" t="s">
        <v>9311</v>
      </c>
      <c r="I4495" s="6">
        <v>531.5625</v>
      </c>
      <c r="J4495" s="2">
        <f t="shared" si="70"/>
        <v>43747.792905868053</v>
      </c>
    </row>
    <row r="4496" spans="1:10" x14ac:dyDescent="0.25">
      <c r="A4496" s="7" t="s">
        <v>9312</v>
      </c>
      <c r="B4496" s="8">
        <v>409.375</v>
      </c>
      <c r="C4496" s="8">
        <v>20.478950000000001</v>
      </c>
      <c r="D4496" s="8">
        <v>75</v>
      </c>
      <c r="E4496" s="8">
        <v>0</v>
      </c>
      <c r="F4496" s="8">
        <v>0</v>
      </c>
      <c r="G4496" s="8">
        <v>8</v>
      </c>
      <c r="H4496" s="8" t="s">
        <v>9313</v>
      </c>
      <c r="I4496" s="8">
        <v>531.5625</v>
      </c>
      <c r="J4496" s="3">
        <f t="shared" si="70"/>
        <v>43747.792989259258</v>
      </c>
    </row>
    <row r="4497" spans="1:10" x14ac:dyDescent="0.25">
      <c r="A4497" s="5" t="s">
        <v>9314</v>
      </c>
      <c r="B4497" s="6">
        <v>409.375</v>
      </c>
      <c r="C4497" s="6">
        <v>20.531590000000001</v>
      </c>
      <c r="D4497" s="6">
        <v>75</v>
      </c>
      <c r="E4497" s="6">
        <v>0</v>
      </c>
      <c r="F4497" s="6">
        <v>0</v>
      </c>
      <c r="G4497" s="6">
        <v>14</v>
      </c>
      <c r="H4497" s="6" t="s">
        <v>9315</v>
      </c>
      <c r="I4497" s="6">
        <v>531.5625</v>
      </c>
      <c r="J4497" s="2">
        <f t="shared" si="70"/>
        <v>43747.793072893517</v>
      </c>
    </row>
    <row r="4498" spans="1:10" x14ac:dyDescent="0.25">
      <c r="A4498" s="7" t="s">
        <v>9316</v>
      </c>
      <c r="B4498" s="8">
        <v>409.375</v>
      </c>
      <c r="C4498" s="8">
        <v>20.478950000000001</v>
      </c>
      <c r="D4498" s="8">
        <v>75</v>
      </c>
      <c r="E4498" s="8">
        <v>0</v>
      </c>
      <c r="F4498" s="8">
        <v>0</v>
      </c>
      <c r="G4498" s="8">
        <v>7</v>
      </c>
      <c r="H4498" s="8" t="s">
        <v>9317</v>
      </c>
      <c r="I4498" s="8">
        <v>531.5625</v>
      </c>
      <c r="J4498" s="3">
        <f t="shared" si="70"/>
        <v>43747.793156388885</v>
      </c>
    </row>
    <row r="4499" spans="1:10" x14ac:dyDescent="0.25">
      <c r="A4499" s="5" t="s">
        <v>9318</v>
      </c>
      <c r="B4499" s="6">
        <v>412.5</v>
      </c>
      <c r="C4499" s="6">
        <v>20.478950000000001</v>
      </c>
      <c r="D4499" s="6">
        <v>79</v>
      </c>
      <c r="E4499" s="6">
        <v>0</v>
      </c>
      <c r="F4499" s="6">
        <v>0</v>
      </c>
      <c r="G4499" s="6">
        <v>6</v>
      </c>
      <c r="H4499" s="6" t="s">
        <v>9319</v>
      </c>
      <c r="I4499" s="6">
        <v>532.3125</v>
      </c>
      <c r="J4499" s="2">
        <f t="shared" si="70"/>
        <v>43747.793239918981</v>
      </c>
    </row>
    <row r="4500" spans="1:10" x14ac:dyDescent="0.25">
      <c r="A4500" s="7" t="s">
        <v>9320</v>
      </c>
      <c r="B4500" s="8">
        <v>412.5</v>
      </c>
      <c r="C4500" s="8">
        <v>20.478950000000001</v>
      </c>
      <c r="D4500" s="8">
        <v>77</v>
      </c>
      <c r="E4500" s="8">
        <v>0</v>
      </c>
      <c r="F4500" s="8">
        <v>0</v>
      </c>
      <c r="G4500" s="8">
        <v>6</v>
      </c>
      <c r="H4500" s="8" t="s">
        <v>9321</v>
      </c>
      <c r="I4500" s="8">
        <v>532.3125</v>
      </c>
      <c r="J4500" s="3">
        <f t="shared" si="70"/>
        <v>43747.793322997684</v>
      </c>
    </row>
    <row r="4501" spans="1:10" x14ac:dyDescent="0.25">
      <c r="A4501" s="5" t="s">
        <v>9322</v>
      </c>
      <c r="B4501" s="6">
        <v>412.5</v>
      </c>
      <c r="C4501" s="6">
        <v>20.478950000000001</v>
      </c>
      <c r="D4501" s="6">
        <v>77</v>
      </c>
      <c r="E4501" s="6">
        <v>0</v>
      </c>
      <c r="F4501" s="6">
        <v>0</v>
      </c>
      <c r="G4501" s="6">
        <v>11</v>
      </c>
      <c r="H4501" s="6" t="s">
        <v>9323</v>
      </c>
      <c r="I4501" s="6">
        <v>532.3125</v>
      </c>
      <c r="J4501" s="2">
        <f t="shared" si="70"/>
        <v>43747.793394699074</v>
      </c>
    </row>
    <row r="4502" spans="1:10" x14ac:dyDescent="0.25">
      <c r="A4502" s="7" t="s">
        <v>9324</v>
      </c>
      <c r="B4502" s="8">
        <v>412.5</v>
      </c>
      <c r="C4502" s="8">
        <v>20.478950000000001</v>
      </c>
      <c r="D4502" s="8">
        <v>77</v>
      </c>
      <c r="E4502" s="8">
        <v>0</v>
      </c>
      <c r="F4502" s="8">
        <v>0</v>
      </c>
      <c r="G4502" s="8">
        <v>8</v>
      </c>
      <c r="H4502" s="8" t="s">
        <v>9325</v>
      </c>
      <c r="I4502" s="8">
        <v>532.3125</v>
      </c>
      <c r="J4502" s="3">
        <f t="shared" si="70"/>
        <v>43747.793478240739</v>
      </c>
    </row>
    <row r="4503" spans="1:10" x14ac:dyDescent="0.25">
      <c r="A4503" s="5" t="s">
        <v>9326</v>
      </c>
      <c r="B4503" s="6">
        <v>412.5</v>
      </c>
      <c r="C4503" s="6">
        <v>20.478950000000001</v>
      </c>
      <c r="D4503" s="6">
        <v>78</v>
      </c>
      <c r="E4503" s="6">
        <v>0</v>
      </c>
      <c r="F4503" s="6">
        <v>0</v>
      </c>
      <c r="G4503" s="6">
        <v>7</v>
      </c>
      <c r="H4503" s="6" t="s">
        <v>9327</v>
      </c>
      <c r="I4503" s="6">
        <v>532.3125</v>
      </c>
      <c r="J4503" s="2">
        <f t="shared" si="70"/>
        <v>43747.793561817125</v>
      </c>
    </row>
    <row r="4504" spans="1:10" x14ac:dyDescent="0.25">
      <c r="A4504" s="7" t="s">
        <v>9328</v>
      </c>
      <c r="B4504" s="8">
        <v>415.625</v>
      </c>
      <c r="C4504" s="8">
        <v>20.478950000000001</v>
      </c>
      <c r="D4504" s="8">
        <v>78</v>
      </c>
      <c r="E4504" s="8">
        <v>0</v>
      </c>
      <c r="F4504" s="8">
        <v>0</v>
      </c>
      <c r="G4504" s="8">
        <v>4</v>
      </c>
      <c r="H4504" s="8" t="s">
        <v>9329</v>
      </c>
      <c r="I4504" s="8">
        <v>533.0625</v>
      </c>
      <c r="J4504" s="3">
        <f t="shared" si="70"/>
        <v>43747.793633217589</v>
      </c>
    </row>
    <row r="4505" spans="1:10" x14ac:dyDescent="0.25">
      <c r="A4505" s="5" t="s">
        <v>9330</v>
      </c>
      <c r="B4505" s="6">
        <v>415.625</v>
      </c>
      <c r="C4505" s="6">
        <v>20.478950000000001</v>
      </c>
      <c r="D4505" s="6">
        <v>75</v>
      </c>
      <c r="E4505" s="6">
        <v>0</v>
      </c>
      <c r="F4505" s="6">
        <v>0</v>
      </c>
      <c r="G4505" s="6">
        <v>3</v>
      </c>
      <c r="H4505" s="6" t="s">
        <v>9331</v>
      </c>
      <c r="I4505" s="6">
        <v>533.0625</v>
      </c>
      <c r="J4505" s="2">
        <f t="shared" si="70"/>
        <v>43747.793716782406</v>
      </c>
    </row>
    <row r="4506" spans="1:10" x14ac:dyDescent="0.25">
      <c r="A4506" s="7" t="s">
        <v>9332</v>
      </c>
      <c r="B4506" s="8">
        <v>415.625</v>
      </c>
      <c r="C4506" s="8">
        <v>20.478950000000001</v>
      </c>
      <c r="D4506" s="8">
        <v>72</v>
      </c>
      <c r="E4506" s="8">
        <v>0</v>
      </c>
      <c r="F4506" s="8">
        <v>0</v>
      </c>
      <c r="G4506" s="8">
        <v>8</v>
      </c>
      <c r="H4506" s="8" t="s">
        <v>9333</v>
      </c>
      <c r="I4506" s="8">
        <v>533.0625</v>
      </c>
      <c r="J4506" s="3">
        <f t="shared" si="70"/>
        <v>43747.793788287039</v>
      </c>
    </row>
    <row r="4507" spans="1:10" x14ac:dyDescent="0.25">
      <c r="A4507" s="5" t="s">
        <v>9334</v>
      </c>
      <c r="B4507" s="6">
        <v>415.625</v>
      </c>
      <c r="C4507" s="6">
        <v>20.478950000000001</v>
      </c>
      <c r="D4507" s="6">
        <v>78</v>
      </c>
      <c r="E4507" s="6">
        <v>0</v>
      </c>
      <c r="F4507" s="6">
        <v>0</v>
      </c>
      <c r="G4507" s="6">
        <v>0</v>
      </c>
      <c r="H4507" s="6" t="s">
        <v>9335</v>
      </c>
      <c r="I4507" s="6">
        <v>533.0625</v>
      </c>
      <c r="J4507" s="2">
        <f t="shared" si="70"/>
        <v>43747.793883564816</v>
      </c>
    </row>
    <row r="4508" spans="1:10" x14ac:dyDescent="0.25">
      <c r="A4508" s="7" t="s">
        <v>9336</v>
      </c>
      <c r="B4508" s="8">
        <v>412.5</v>
      </c>
      <c r="C4508" s="8">
        <v>20.531590000000001</v>
      </c>
      <c r="D4508" s="8">
        <v>77</v>
      </c>
      <c r="E4508" s="8">
        <v>0</v>
      </c>
      <c r="F4508" s="8">
        <v>0</v>
      </c>
      <c r="G4508" s="8">
        <v>8</v>
      </c>
      <c r="H4508" s="8" t="s">
        <v>9337</v>
      </c>
      <c r="I4508" s="8">
        <v>532.875</v>
      </c>
      <c r="J4508" s="3">
        <f t="shared" si="70"/>
        <v>43747.793967013888</v>
      </c>
    </row>
    <row r="4509" spans="1:10" x14ac:dyDescent="0.25">
      <c r="A4509" s="5" t="s">
        <v>9338</v>
      </c>
      <c r="B4509" s="6">
        <v>415.625</v>
      </c>
      <c r="C4509" s="6">
        <v>20.478950000000001</v>
      </c>
      <c r="D4509" s="6">
        <v>79</v>
      </c>
      <c r="E4509" s="6">
        <v>0</v>
      </c>
      <c r="F4509" s="6">
        <v>0</v>
      </c>
      <c r="G4509" s="6">
        <v>2</v>
      </c>
      <c r="H4509" s="6" t="s">
        <v>9339</v>
      </c>
      <c r="I4509" s="6">
        <v>533.0625</v>
      </c>
      <c r="J4509" s="2">
        <f t="shared" si="70"/>
        <v>43747.794050671298</v>
      </c>
    </row>
    <row r="4510" spans="1:10" x14ac:dyDescent="0.25">
      <c r="A4510" s="7" t="s">
        <v>9340</v>
      </c>
      <c r="B4510" s="8">
        <v>428.125</v>
      </c>
      <c r="C4510" s="8">
        <v>20.478950000000001</v>
      </c>
      <c r="D4510" s="8">
        <v>79</v>
      </c>
      <c r="E4510" s="8">
        <v>0</v>
      </c>
      <c r="F4510" s="8">
        <v>0</v>
      </c>
      <c r="G4510" s="8">
        <v>0</v>
      </c>
      <c r="H4510" s="8" t="s">
        <v>9341</v>
      </c>
      <c r="I4510" s="8">
        <v>537.9375</v>
      </c>
      <c r="J4510" s="3">
        <f t="shared" si="70"/>
        <v>43747.794134131946</v>
      </c>
    </row>
    <row r="4511" spans="1:10" x14ac:dyDescent="0.25">
      <c r="A4511" s="5" t="s">
        <v>9342</v>
      </c>
      <c r="B4511" s="6">
        <v>409.375</v>
      </c>
      <c r="C4511" s="6">
        <v>20.478950000000001</v>
      </c>
      <c r="D4511" s="6">
        <v>77</v>
      </c>
      <c r="E4511" s="6">
        <v>0</v>
      </c>
      <c r="F4511" s="6">
        <v>0</v>
      </c>
      <c r="G4511" s="6">
        <v>3</v>
      </c>
      <c r="H4511" s="6" t="s">
        <v>9343</v>
      </c>
      <c r="I4511" s="6">
        <v>531.5625</v>
      </c>
      <c r="J4511" s="2">
        <f t="shared" si="70"/>
        <v>43747.794217476847</v>
      </c>
    </row>
    <row r="4512" spans="1:10" x14ac:dyDescent="0.25">
      <c r="A4512" s="7" t="s">
        <v>9344</v>
      </c>
      <c r="B4512" s="8">
        <v>412.5</v>
      </c>
      <c r="C4512" s="8">
        <v>20.478950000000001</v>
      </c>
      <c r="D4512" s="8">
        <v>77</v>
      </c>
      <c r="E4512" s="8">
        <v>0</v>
      </c>
      <c r="F4512" s="8">
        <v>0</v>
      </c>
      <c r="G4512" s="8">
        <v>15</v>
      </c>
      <c r="H4512" s="8" t="s">
        <v>9345</v>
      </c>
      <c r="I4512" s="8">
        <v>532.3125</v>
      </c>
      <c r="J4512" s="3">
        <f t="shared" si="70"/>
        <v>43747.794300729169</v>
      </c>
    </row>
    <row r="4513" spans="1:10" x14ac:dyDescent="0.25">
      <c r="A4513" s="5" t="s">
        <v>9346</v>
      </c>
      <c r="B4513" s="6">
        <v>412.5</v>
      </c>
      <c r="C4513" s="6">
        <v>20.478950000000001</v>
      </c>
      <c r="D4513" s="6">
        <v>77</v>
      </c>
      <c r="E4513" s="6">
        <v>0</v>
      </c>
      <c r="F4513" s="6">
        <v>0</v>
      </c>
      <c r="G4513" s="6">
        <v>7</v>
      </c>
      <c r="H4513" s="6" t="s">
        <v>9347</v>
      </c>
      <c r="I4513" s="6">
        <v>532.3125</v>
      </c>
      <c r="J4513" s="2">
        <f t="shared" si="70"/>
        <v>43747.794372442127</v>
      </c>
    </row>
    <row r="4514" spans="1:10" x14ac:dyDescent="0.25">
      <c r="A4514" s="7" t="s">
        <v>9348</v>
      </c>
      <c r="B4514" s="8">
        <v>412.5</v>
      </c>
      <c r="C4514" s="8">
        <v>20.478950000000001</v>
      </c>
      <c r="D4514" s="8">
        <v>74</v>
      </c>
      <c r="E4514" s="8">
        <v>0</v>
      </c>
      <c r="F4514" s="8">
        <v>0</v>
      </c>
      <c r="G4514" s="8">
        <v>7</v>
      </c>
      <c r="H4514" s="8" t="s">
        <v>9349</v>
      </c>
      <c r="I4514" s="8">
        <v>532.3125</v>
      </c>
      <c r="J4514" s="3">
        <f t="shared" si="70"/>
        <v>43747.794455902775</v>
      </c>
    </row>
    <row r="4515" spans="1:10" x14ac:dyDescent="0.25">
      <c r="A4515" s="5" t="s">
        <v>9350</v>
      </c>
      <c r="B4515" s="6">
        <v>437.5</v>
      </c>
      <c r="C4515" s="6">
        <v>20.478950000000001</v>
      </c>
      <c r="D4515" s="6">
        <v>75</v>
      </c>
      <c r="E4515" s="6">
        <v>0</v>
      </c>
      <c r="F4515" s="6">
        <v>0</v>
      </c>
      <c r="G4515" s="6">
        <v>12</v>
      </c>
      <c r="H4515" s="6" t="s">
        <v>9351</v>
      </c>
      <c r="I4515" s="6">
        <v>540.1875</v>
      </c>
      <c r="J4515" s="2">
        <f t="shared" si="70"/>
        <v>43747.794539791663</v>
      </c>
    </row>
    <row r="4516" spans="1:10" x14ac:dyDescent="0.25">
      <c r="A4516" s="7" t="s">
        <v>9352</v>
      </c>
      <c r="B4516" s="8">
        <v>412.5</v>
      </c>
      <c r="C4516" s="8">
        <v>20.478950000000001</v>
      </c>
      <c r="D4516" s="8">
        <v>75</v>
      </c>
      <c r="E4516" s="8">
        <v>0</v>
      </c>
      <c r="F4516" s="8">
        <v>0</v>
      </c>
      <c r="G4516" s="8">
        <v>5</v>
      </c>
      <c r="H4516" s="8" t="s">
        <v>9353</v>
      </c>
      <c r="I4516" s="8">
        <v>532.3125</v>
      </c>
      <c r="J4516" s="3">
        <f t="shared" si="70"/>
        <v>43747.794622916663</v>
      </c>
    </row>
    <row r="4517" spans="1:10" x14ac:dyDescent="0.25">
      <c r="A4517" s="5" t="s">
        <v>9354</v>
      </c>
      <c r="B4517" s="6">
        <v>412.5</v>
      </c>
      <c r="C4517" s="6">
        <v>20.478950000000001</v>
      </c>
      <c r="D4517" s="6">
        <v>75</v>
      </c>
      <c r="E4517" s="6">
        <v>0</v>
      </c>
      <c r="F4517" s="6">
        <v>0</v>
      </c>
      <c r="G4517" s="6">
        <v>13</v>
      </c>
      <c r="H4517" s="6" t="s">
        <v>9355</v>
      </c>
      <c r="I4517" s="6">
        <v>532.3125</v>
      </c>
      <c r="J4517" s="2">
        <f t="shared" si="70"/>
        <v>43747.794706354165</v>
      </c>
    </row>
    <row r="4518" spans="1:10" x14ac:dyDescent="0.25">
      <c r="A4518" s="7" t="s">
        <v>9356</v>
      </c>
      <c r="B4518" s="8">
        <v>412.5</v>
      </c>
      <c r="C4518" s="8">
        <v>20.478950000000001</v>
      </c>
      <c r="D4518" s="8">
        <v>75</v>
      </c>
      <c r="E4518" s="8">
        <v>0</v>
      </c>
      <c r="F4518" s="8">
        <v>0</v>
      </c>
      <c r="G4518" s="8">
        <v>12</v>
      </c>
      <c r="H4518" s="8" t="s">
        <v>9357</v>
      </c>
      <c r="I4518" s="8">
        <v>532.3125</v>
      </c>
      <c r="J4518" s="3">
        <f t="shared" si="70"/>
        <v>43747.794789571759</v>
      </c>
    </row>
    <row r="4519" spans="1:10" x14ac:dyDescent="0.25">
      <c r="A4519" s="5" t="s">
        <v>9358</v>
      </c>
      <c r="B4519" s="6">
        <v>412.5</v>
      </c>
      <c r="C4519" s="6">
        <v>20.531590000000001</v>
      </c>
      <c r="D4519" s="6">
        <v>75</v>
      </c>
      <c r="E4519" s="6">
        <v>0</v>
      </c>
      <c r="F4519" s="6">
        <v>0</v>
      </c>
      <c r="G4519" s="6">
        <v>9</v>
      </c>
      <c r="H4519" s="6" t="s">
        <v>9359</v>
      </c>
      <c r="I4519" s="6">
        <v>532.3125</v>
      </c>
      <c r="J4519" s="2">
        <f t="shared" si="70"/>
        <v>43747.794861226845</v>
      </c>
    </row>
    <row r="4520" spans="1:10" x14ac:dyDescent="0.25">
      <c r="A4520" s="7" t="s">
        <v>9360</v>
      </c>
      <c r="B4520" s="8">
        <v>437.5</v>
      </c>
      <c r="C4520" s="8">
        <v>20.478950000000001</v>
      </c>
      <c r="D4520" s="8">
        <v>77</v>
      </c>
      <c r="E4520" s="8">
        <v>0</v>
      </c>
      <c r="F4520" s="8">
        <v>0</v>
      </c>
      <c r="G4520" s="8">
        <v>5</v>
      </c>
      <c r="H4520" s="8" t="s">
        <v>9361</v>
      </c>
      <c r="I4520" s="8">
        <v>540</v>
      </c>
      <c r="J4520" s="3">
        <f t="shared" si="70"/>
        <v>43747.794944768517</v>
      </c>
    </row>
    <row r="4521" spans="1:10" x14ac:dyDescent="0.25">
      <c r="A4521" s="5" t="s">
        <v>9362</v>
      </c>
      <c r="B4521" s="6">
        <v>412.5</v>
      </c>
      <c r="C4521" s="6">
        <v>20.478950000000001</v>
      </c>
      <c r="D4521" s="6">
        <v>77</v>
      </c>
      <c r="E4521" s="6">
        <v>0</v>
      </c>
      <c r="F4521" s="6">
        <v>0</v>
      </c>
      <c r="G4521" s="6">
        <v>4</v>
      </c>
      <c r="H4521" s="6" t="s">
        <v>9363</v>
      </c>
      <c r="I4521" s="6">
        <v>532.3125</v>
      </c>
      <c r="J4521" s="2">
        <f t="shared" si="70"/>
        <v>43747.795032534719</v>
      </c>
    </row>
    <row r="4522" spans="1:10" x14ac:dyDescent="0.25">
      <c r="A4522" s="7" t="s">
        <v>9364</v>
      </c>
      <c r="B4522" s="8">
        <v>412.5</v>
      </c>
      <c r="C4522" s="8">
        <v>20.478950000000001</v>
      </c>
      <c r="D4522" s="8">
        <v>78</v>
      </c>
      <c r="E4522" s="8">
        <v>0</v>
      </c>
      <c r="F4522" s="8">
        <v>0</v>
      </c>
      <c r="G4522" s="8">
        <v>7</v>
      </c>
      <c r="H4522" s="8" t="s">
        <v>9365</v>
      </c>
      <c r="I4522" s="8">
        <v>532.3125</v>
      </c>
      <c r="J4522" s="3">
        <f t="shared" si="70"/>
        <v>43747.795111921288</v>
      </c>
    </row>
    <row r="4523" spans="1:10" x14ac:dyDescent="0.25">
      <c r="A4523" s="5" t="s">
        <v>9366</v>
      </c>
      <c r="B4523" s="6">
        <v>412.5</v>
      </c>
      <c r="C4523" s="6">
        <v>20.478950000000001</v>
      </c>
      <c r="D4523" s="6">
        <v>78</v>
      </c>
      <c r="E4523" s="6">
        <v>0</v>
      </c>
      <c r="F4523" s="6">
        <v>0</v>
      </c>
      <c r="G4523" s="6">
        <v>4</v>
      </c>
      <c r="H4523" s="6" t="s">
        <v>9367</v>
      </c>
      <c r="I4523" s="6">
        <v>532.3125</v>
      </c>
      <c r="J4523" s="2">
        <f t="shared" si="70"/>
        <v>43747.795195486113</v>
      </c>
    </row>
    <row r="4524" spans="1:10" x14ac:dyDescent="0.25">
      <c r="A4524" s="7" t="s">
        <v>9368</v>
      </c>
      <c r="B4524" s="8">
        <v>415.625</v>
      </c>
      <c r="C4524" s="8">
        <v>20.478950000000001</v>
      </c>
      <c r="D4524" s="8">
        <v>81</v>
      </c>
      <c r="E4524" s="8">
        <v>0</v>
      </c>
      <c r="F4524" s="8">
        <v>0</v>
      </c>
      <c r="G4524" s="8">
        <v>5</v>
      </c>
      <c r="H4524" s="8" t="s">
        <v>9369</v>
      </c>
      <c r="I4524" s="8">
        <v>533.0625</v>
      </c>
      <c r="J4524" s="3">
        <f t="shared" si="70"/>
        <v>43747.79529282407</v>
      </c>
    </row>
    <row r="4525" spans="1:10" x14ac:dyDescent="0.25">
      <c r="A4525" s="5" t="s">
        <v>9370</v>
      </c>
      <c r="B4525" s="6">
        <v>418.75</v>
      </c>
      <c r="C4525" s="6">
        <v>20.478950000000001</v>
      </c>
      <c r="D4525" s="6">
        <v>77</v>
      </c>
      <c r="E4525" s="6">
        <v>0</v>
      </c>
      <c r="F4525" s="6">
        <v>0</v>
      </c>
      <c r="G4525" s="6">
        <v>1</v>
      </c>
      <c r="H4525" s="6" t="s">
        <v>9371</v>
      </c>
      <c r="I4525" s="6">
        <v>534</v>
      </c>
      <c r="J4525" s="2">
        <f t="shared" si="70"/>
        <v>43747.795374178233</v>
      </c>
    </row>
    <row r="4526" spans="1:10" x14ac:dyDescent="0.25">
      <c r="A4526" s="7" t="s">
        <v>9372</v>
      </c>
      <c r="B4526" s="8">
        <v>415.625</v>
      </c>
      <c r="C4526" s="8">
        <v>20.478950000000001</v>
      </c>
      <c r="D4526" s="8">
        <v>77</v>
      </c>
      <c r="E4526" s="8">
        <v>0</v>
      </c>
      <c r="F4526" s="8">
        <v>0</v>
      </c>
      <c r="G4526" s="8">
        <v>5</v>
      </c>
      <c r="H4526" s="8" t="s">
        <v>9373</v>
      </c>
      <c r="I4526" s="8">
        <v>533.0625</v>
      </c>
      <c r="J4526" s="3">
        <f t="shared" si="70"/>
        <v>43747.795457523149</v>
      </c>
    </row>
    <row r="4527" spans="1:10" x14ac:dyDescent="0.25">
      <c r="A4527" s="5" t="s">
        <v>9374</v>
      </c>
      <c r="B4527" s="6">
        <v>415.625</v>
      </c>
      <c r="C4527" s="6">
        <v>20.478950000000001</v>
      </c>
      <c r="D4527" s="6">
        <v>77</v>
      </c>
      <c r="E4527" s="6">
        <v>0</v>
      </c>
      <c r="F4527" s="6">
        <v>0</v>
      </c>
      <c r="G4527" s="6">
        <v>6</v>
      </c>
      <c r="H4527" s="6" t="s">
        <v>9375</v>
      </c>
      <c r="I4527" s="6">
        <v>533.0625</v>
      </c>
      <c r="J4527" s="2">
        <f t="shared" si="70"/>
        <v>43747.7955411574</v>
      </c>
    </row>
    <row r="4528" spans="1:10" x14ac:dyDescent="0.25">
      <c r="A4528" s="7" t="s">
        <v>9376</v>
      </c>
      <c r="B4528" s="8">
        <v>415.625</v>
      </c>
      <c r="C4528" s="8">
        <v>20.478950000000001</v>
      </c>
      <c r="D4528" s="8">
        <v>76</v>
      </c>
      <c r="E4528" s="8">
        <v>0</v>
      </c>
      <c r="F4528" s="8">
        <v>0</v>
      </c>
      <c r="G4528" s="8">
        <v>1</v>
      </c>
      <c r="H4528" s="8" t="s">
        <v>9377</v>
      </c>
      <c r="I4528" s="8">
        <v>533.0625</v>
      </c>
      <c r="J4528" s="3">
        <f t="shared" si="70"/>
        <v>43747.795624537037</v>
      </c>
    </row>
    <row r="4529" spans="1:10" x14ac:dyDescent="0.25">
      <c r="A4529" s="5" t="s">
        <v>9378</v>
      </c>
      <c r="B4529" s="6">
        <v>415.625</v>
      </c>
      <c r="C4529" s="6">
        <v>20.478950000000001</v>
      </c>
      <c r="D4529" s="6">
        <v>76</v>
      </c>
      <c r="E4529" s="6">
        <v>0</v>
      </c>
      <c r="F4529" s="6">
        <v>0</v>
      </c>
      <c r="G4529" s="6">
        <v>7</v>
      </c>
      <c r="H4529" s="6" t="s">
        <v>9379</v>
      </c>
      <c r="I4529" s="6">
        <v>533.0625</v>
      </c>
      <c r="J4529" s="2">
        <f t="shared" si="70"/>
        <v>43747.795708101847</v>
      </c>
    </row>
    <row r="4530" spans="1:10" x14ac:dyDescent="0.25">
      <c r="A4530" s="7" t="s">
        <v>9380</v>
      </c>
      <c r="B4530" s="8">
        <v>412.5</v>
      </c>
      <c r="C4530" s="8">
        <v>20.478950000000001</v>
      </c>
      <c r="D4530" s="8">
        <v>76</v>
      </c>
      <c r="E4530" s="8">
        <v>0</v>
      </c>
      <c r="F4530" s="8">
        <v>0</v>
      </c>
      <c r="G4530" s="8">
        <v>3</v>
      </c>
      <c r="H4530" s="8" t="s">
        <v>9381</v>
      </c>
      <c r="I4530" s="8">
        <v>532.3125</v>
      </c>
      <c r="J4530" s="3">
        <f t="shared" si="70"/>
        <v>43747.795791562494</v>
      </c>
    </row>
    <row r="4531" spans="1:10" x14ac:dyDescent="0.25">
      <c r="A4531" s="5" t="s">
        <v>9382</v>
      </c>
      <c r="B4531" s="6">
        <v>459.375</v>
      </c>
      <c r="C4531" s="6">
        <v>20.478950000000001</v>
      </c>
      <c r="D4531" s="6">
        <v>76</v>
      </c>
      <c r="E4531" s="6">
        <v>0</v>
      </c>
      <c r="F4531" s="6">
        <v>0</v>
      </c>
      <c r="G4531" s="6">
        <v>0</v>
      </c>
      <c r="H4531" s="6" t="s">
        <v>9383</v>
      </c>
      <c r="I4531" s="6">
        <v>547.875</v>
      </c>
      <c r="J4531" s="2">
        <f t="shared" si="70"/>
        <v>43747.795874756943</v>
      </c>
    </row>
    <row r="4532" spans="1:10" x14ac:dyDescent="0.25">
      <c r="A4532" s="7" t="s">
        <v>9384</v>
      </c>
      <c r="B4532" s="8">
        <v>415.625</v>
      </c>
      <c r="C4532" s="8">
        <v>20.478950000000001</v>
      </c>
      <c r="D4532" s="8">
        <v>78</v>
      </c>
      <c r="E4532" s="8">
        <v>0</v>
      </c>
      <c r="F4532" s="8">
        <v>0</v>
      </c>
      <c r="G4532" s="8">
        <v>2</v>
      </c>
      <c r="H4532" s="8" t="s">
        <v>9385</v>
      </c>
      <c r="I4532" s="8">
        <v>533.0625</v>
      </c>
      <c r="J4532" s="3">
        <f t="shared" si="70"/>
        <v>43747.795958472219</v>
      </c>
    </row>
    <row r="4533" spans="1:10" x14ac:dyDescent="0.25">
      <c r="A4533" s="5" t="s">
        <v>9386</v>
      </c>
      <c r="B4533" s="6">
        <v>415.625</v>
      </c>
      <c r="C4533" s="6">
        <v>20.478950000000001</v>
      </c>
      <c r="D4533" s="6">
        <v>78</v>
      </c>
      <c r="E4533" s="6">
        <v>0</v>
      </c>
      <c r="F4533" s="6">
        <v>0</v>
      </c>
      <c r="G4533" s="6">
        <v>6</v>
      </c>
      <c r="H4533" s="6" t="s">
        <v>9387</v>
      </c>
      <c r="I4533" s="6">
        <v>533.0625</v>
      </c>
      <c r="J4533" s="2">
        <f t="shared" si="70"/>
        <v>43747.796029872683</v>
      </c>
    </row>
    <row r="4534" spans="1:10" x14ac:dyDescent="0.25">
      <c r="A4534" s="7" t="s">
        <v>9388</v>
      </c>
      <c r="B4534" s="8">
        <v>431.25</v>
      </c>
      <c r="C4534" s="8">
        <v>20.478950000000001</v>
      </c>
      <c r="D4534" s="8">
        <v>77</v>
      </c>
      <c r="E4534" s="8">
        <v>0</v>
      </c>
      <c r="F4534" s="8">
        <v>0</v>
      </c>
      <c r="G4534" s="8">
        <v>9</v>
      </c>
      <c r="H4534" s="8" t="s">
        <v>9389</v>
      </c>
      <c r="I4534" s="8">
        <v>538.875</v>
      </c>
      <c r="J4534" s="3">
        <f t="shared" si="70"/>
        <v>43747.796113425924</v>
      </c>
    </row>
    <row r="4535" spans="1:10" x14ac:dyDescent="0.25">
      <c r="A4535" s="5" t="s">
        <v>9390</v>
      </c>
      <c r="B4535" s="6">
        <v>415.625</v>
      </c>
      <c r="C4535" s="6">
        <v>20.531590000000001</v>
      </c>
      <c r="D4535" s="6">
        <v>77</v>
      </c>
      <c r="E4535" s="6">
        <v>0</v>
      </c>
      <c r="F4535" s="6">
        <v>0</v>
      </c>
      <c r="G4535" s="6">
        <v>8</v>
      </c>
      <c r="H4535" s="6" t="s">
        <v>9391</v>
      </c>
      <c r="I4535" s="6">
        <v>533.25</v>
      </c>
      <c r="J4535" s="2">
        <f t="shared" si="70"/>
        <v>43747.79619700231</v>
      </c>
    </row>
    <row r="4536" spans="1:10" x14ac:dyDescent="0.25">
      <c r="A4536" s="7" t="s">
        <v>9392</v>
      </c>
      <c r="B4536" s="8">
        <v>412.5</v>
      </c>
      <c r="C4536" s="8">
        <v>20.478950000000001</v>
      </c>
      <c r="D4536" s="8">
        <v>77</v>
      </c>
      <c r="E4536" s="8">
        <v>0</v>
      </c>
      <c r="F4536" s="8">
        <v>0</v>
      </c>
      <c r="G4536" s="8">
        <v>5</v>
      </c>
      <c r="H4536" s="8" t="s">
        <v>9393</v>
      </c>
      <c r="I4536" s="8">
        <v>532.3125</v>
      </c>
      <c r="J4536" s="3">
        <f t="shared" si="70"/>
        <v>43747.796268530095</v>
      </c>
    </row>
    <row r="4537" spans="1:10" x14ac:dyDescent="0.25">
      <c r="A4537" s="5" t="s">
        <v>9394</v>
      </c>
      <c r="B4537" s="6">
        <v>412.5</v>
      </c>
      <c r="C4537" s="6">
        <v>20.478950000000001</v>
      </c>
      <c r="D4537" s="6">
        <v>77</v>
      </c>
      <c r="E4537" s="6">
        <v>0</v>
      </c>
      <c r="F4537" s="6">
        <v>0</v>
      </c>
      <c r="G4537" s="6">
        <v>11</v>
      </c>
      <c r="H4537" s="6" t="s">
        <v>9395</v>
      </c>
      <c r="I4537" s="6">
        <v>532.3125</v>
      </c>
      <c r="J4537" s="2">
        <f t="shared" si="70"/>
        <v>43747.796351990743</v>
      </c>
    </row>
    <row r="4538" spans="1:10" x14ac:dyDescent="0.25">
      <c r="A4538" s="7" t="s">
        <v>9396</v>
      </c>
      <c r="B4538" s="8">
        <v>412.5</v>
      </c>
      <c r="C4538" s="8">
        <v>20.478950000000001</v>
      </c>
      <c r="D4538" s="8">
        <v>77</v>
      </c>
      <c r="E4538" s="8">
        <v>0</v>
      </c>
      <c r="F4538" s="8">
        <v>0</v>
      </c>
      <c r="G4538" s="8">
        <v>13</v>
      </c>
      <c r="H4538" s="8" t="s">
        <v>9397</v>
      </c>
      <c r="I4538" s="8">
        <v>532.3125</v>
      </c>
      <c r="J4538" s="3">
        <f t="shared" si="70"/>
        <v>43747.796423043976</v>
      </c>
    </row>
    <row r="4539" spans="1:10" x14ac:dyDescent="0.25">
      <c r="A4539" s="5" t="s">
        <v>9398</v>
      </c>
      <c r="B4539" s="6">
        <v>412.5</v>
      </c>
      <c r="C4539" s="6">
        <v>20.478950000000001</v>
      </c>
      <c r="D4539" s="6">
        <v>76</v>
      </c>
      <c r="E4539" s="6">
        <v>0</v>
      </c>
      <c r="F4539" s="6">
        <v>0</v>
      </c>
      <c r="G4539" s="6">
        <v>9</v>
      </c>
      <c r="H4539" s="6" t="s">
        <v>9399</v>
      </c>
      <c r="I4539" s="6">
        <v>532.3125</v>
      </c>
      <c r="J4539" s="2">
        <f t="shared" si="70"/>
        <v>43747.796495034716</v>
      </c>
    </row>
    <row r="4540" spans="1:10" x14ac:dyDescent="0.25">
      <c r="A4540" s="7" t="s">
        <v>9400</v>
      </c>
      <c r="B4540" s="8">
        <v>412.5</v>
      </c>
      <c r="C4540" s="8">
        <v>20.478950000000001</v>
      </c>
      <c r="D4540" s="8">
        <v>78</v>
      </c>
      <c r="E4540" s="8">
        <v>0</v>
      </c>
      <c r="F4540" s="8">
        <v>0</v>
      </c>
      <c r="G4540" s="8">
        <v>3</v>
      </c>
      <c r="H4540" s="8" t="s">
        <v>9401</v>
      </c>
      <c r="I4540" s="8">
        <v>532.3125</v>
      </c>
      <c r="J4540" s="3">
        <f t="shared" si="70"/>
        <v>43747.796590416663</v>
      </c>
    </row>
    <row r="4541" spans="1:10" x14ac:dyDescent="0.25">
      <c r="A4541" s="5" t="s">
        <v>9402</v>
      </c>
      <c r="B4541" s="6">
        <v>412.5</v>
      </c>
      <c r="C4541" s="6">
        <v>20.478950000000001</v>
      </c>
      <c r="D4541" s="6">
        <v>78</v>
      </c>
      <c r="E4541" s="6">
        <v>0</v>
      </c>
      <c r="F4541" s="6">
        <v>0</v>
      </c>
      <c r="G4541" s="6">
        <v>19</v>
      </c>
      <c r="H4541" s="6" t="s">
        <v>9403</v>
      </c>
      <c r="I4541" s="6">
        <v>532.3125</v>
      </c>
      <c r="J4541" s="2">
        <f t="shared" si="70"/>
        <v>43747.796661932873</v>
      </c>
    </row>
    <row r="4542" spans="1:10" x14ac:dyDescent="0.25">
      <c r="A4542" s="7" t="s">
        <v>9404</v>
      </c>
      <c r="B4542" s="8">
        <v>412.5</v>
      </c>
      <c r="C4542" s="8">
        <v>20.478950000000001</v>
      </c>
      <c r="D4542" s="8">
        <v>78</v>
      </c>
      <c r="E4542" s="8">
        <v>0</v>
      </c>
      <c r="F4542" s="8">
        <v>0</v>
      </c>
      <c r="G4542" s="8">
        <v>5</v>
      </c>
      <c r="H4542" s="8" t="s">
        <v>9405</v>
      </c>
      <c r="I4542" s="8">
        <v>532.3125</v>
      </c>
      <c r="J4542" s="3">
        <f t="shared" si="70"/>
        <v>43747.796745162035</v>
      </c>
    </row>
    <row r="4543" spans="1:10" x14ac:dyDescent="0.25">
      <c r="A4543" s="5" t="s">
        <v>9406</v>
      </c>
      <c r="B4543" s="6">
        <v>415.625</v>
      </c>
      <c r="C4543" s="6">
        <v>20.478950000000001</v>
      </c>
      <c r="D4543" s="6">
        <v>78</v>
      </c>
      <c r="E4543" s="6">
        <v>0</v>
      </c>
      <c r="F4543" s="6">
        <v>0</v>
      </c>
      <c r="G4543" s="6">
        <v>3</v>
      </c>
      <c r="H4543" s="6" t="s">
        <v>9407</v>
      </c>
      <c r="I4543" s="6">
        <v>533.0625</v>
      </c>
      <c r="J4543" s="2">
        <f t="shared" si="70"/>
        <v>43747.796816944443</v>
      </c>
    </row>
    <row r="4544" spans="1:10" x14ac:dyDescent="0.25">
      <c r="A4544" s="7" t="s">
        <v>9408</v>
      </c>
      <c r="B4544" s="8">
        <v>415.625</v>
      </c>
      <c r="C4544" s="8">
        <v>20.478950000000001</v>
      </c>
      <c r="D4544" s="8">
        <v>74</v>
      </c>
      <c r="E4544" s="8">
        <v>0</v>
      </c>
      <c r="F4544" s="8">
        <v>0</v>
      </c>
      <c r="G4544" s="8">
        <v>0</v>
      </c>
      <c r="H4544" s="8" t="s">
        <v>9409</v>
      </c>
      <c r="I4544" s="8">
        <v>533.0625</v>
      </c>
      <c r="J4544" s="3">
        <f t="shared" si="70"/>
        <v>43747.796900567126</v>
      </c>
    </row>
    <row r="4545" spans="1:10" x14ac:dyDescent="0.25">
      <c r="A4545" s="5" t="s">
        <v>9410</v>
      </c>
      <c r="B4545" s="6">
        <v>431.25</v>
      </c>
      <c r="C4545" s="6">
        <v>20.531590000000001</v>
      </c>
      <c r="D4545" s="6">
        <v>73</v>
      </c>
      <c r="E4545" s="6">
        <v>0</v>
      </c>
      <c r="F4545" s="6">
        <v>0</v>
      </c>
      <c r="G4545" s="6">
        <v>2</v>
      </c>
      <c r="H4545" s="6" t="s">
        <v>9411</v>
      </c>
      <c r="I4545" s="6">
        <v>538.5</v>
      </c>
      <c r="J4545" s="2">
        <f t="shared" si="70"/>
        <v>43747.796983912034</v>
      </c>
    </row>
    <row r="4546" spans="1:10" x14ac:dyDescent="0.25">
      <c r="A4546" s="7" t="s">
        <v>9412</v>
      </c>
      <c r="B4546" s="8">
        <v>412.5</v>
      </c>
      <c r="C4546" s="8">
        <v>20.478950000000001</v>
      </c>
      <c r="D4546" s="8">
        <v>72</v>
      </c>
      <c r="E4546" s="8">
        <v>0</v>
      </c>
      <c r="F4546" s="8">
        <v>0</v>
      </c>
      <c r="G4546" s="8">
        <v>7</v>
      </c>
      <c r="H4546" s="8" t="s">
        <v>9413</v>
      </c>
      <c r="I4546" s="8">
        <v>532.3125</v>
      </c>
      <c r="J4546" s="3">
        <f t="shared" ref="J4546:J4609" si="71">(H4546/86400000)+25569+(7/24)</f>
        <v>43747.797067361105</v>
      </c>
    </row>
    <row r="4547" spans="1:10" x14ac:dyDescent="0.25">
      <c r="A4547" s="5" t="s">
        <v>9414</v>
      </c>
      <c r="B4547" s="6">
        <v>412.5</v>
      </c>
      <c r="C4547" s="6">
        <v>20.478950000000001</v>
      </c>
      <c r="D4547" s="6">
        <v>73</v>
      </c>
      <c r="E4547" s="6">
        <v>0</v>
      </c>
      <c r="F4547" s="6">
        <v>0</v>
      </c>
      <c r="G4547" s="6">
        <v>8</v>
      </c>
      <c r="H4547" s="6" t="s">
        <v>9415</v>
      </c>
      <c r="I4547" s="6">
        <v>532.3125</v>
      </c>
      <c r="J4547" s="2">
        <f t="shared" si="71"/>
        <v>43747.797150810184</v>
      </c>
    </row>
    <row r="4548" spans="1:10" x14ac:dyDescent="0.25">
      <c r="A4548" s="7" t="s">
        <v>9416</v>
      </c>
      <c r="B4548" s="8">
        <v>406.25</v>
      </c>
      <c r="C4548" s="8">
        <v>20.531590000000001</v>
      </c>
      <c r="D4548" s="8">
        <v>73</v>
      </c>
      <c r="E4548" s="8">
        <v>0</v>
      </c>
      <c r="F4548" s="8">
        <v>0</v>
      </c>
      <c r="G4548" s="8">
        <v>5</v>
      </c>
      <c r="H4548" s="8" t="s">
        <v>9417</v>
      </c>
      <c r="I4548" s="8">
        <v>530.625</v>
      </c>
      <c r="J4548" s="3">
        <f t="shared" si="71"/>
        <v>43747.797234050922</v>
      </c>
    </row>
    <row r="4549" spans="1:10" x14ac:dyDescent="0.25">
      <c r="A4549" s="5" t="s">
        <v>9418</v>
      </c>
      <c r="B4549" s="6">
        <v>406.25</v>
      </c>
      <c r="C4549" s="6">
        <v>20.478950000000001</v>
      </c>
      <c r="D4549" s="6">
        <v>73</v>
      </c>
      <c r="E4549" s="6">
        <v>0</v>
      </c>
      <c r="F4549" s="6">
        <v>0</v>
      </c>
      <c r="G4549" s="6">
        <v>10</v>
      </c>
      <c r="H4549" s="6" t="s">
        <v>9419</v>
      </c>
      <c r="I4549" s="6">
        <v>530.625</v>
      </c>
      <c r="J4549" s="2">
        <f t="shared" si="71"/>
        <v>43747.797305787033</v>
      </c>
    </row>
    <row r="4550" spans="1:10" x14ac:dyDescent="0.25">
      <c r="A4550" s="7" t="s">
        <v>9420</v>
      </c>
      <c r="B4550" s="8">
        <v>428.125</v>
      </c>
      <c r="C4550" s="8">
        <v>20.478950000000001</v>
      </c>
      <c r="D4550" s="8">
        <v>73</v>
      </c>
      <c r="E4550" s="8">
        <v>0</v>
      </c>
      <c r="F4550" s="8">
        <v>0</v>
      </c>
      <c r="G4550" s="8">
        <v>9</v>
      </c>
      <c r="H4550" s="8" t="s">
        <v>9421</v>
      </c>
      <c r="I4550" s="8">
        <v>537.5625</v>
      </c>
      <c r="J4550" s="3">
        <f t="shared" si="71"/>
        <v>43747.797389363426</v>
      </c>
    </row>
    <row r="4551" spans="1:10" x14ac:dyDescent="0.25">
      <c r="A4551" s="5" t="s">
        <v>9422</v>
      </c>
      <c r="B4551" s="6">
        <v>406.25</v>
      </c>
      <c r="C4551" s="6">
        <v>20.478950000000001</v>
      </c>
      <c r="D4551" s="6">
        <v>73</v>
      </c>
      <c r="E4551" s="6">
        <v>0</v>
      </c>
      <c r="F4551" s="6">
        <v>0</v>
      </c>
      <c r="G4551" s="6">
        <v>1</v>
      </c>
      <c r="H4551" s="6" t="s">
        <v>9423</v>
      </c>
      <c r="I4551" s="6">
        <v>530.625</v>
      </c>
      <c r="J4551" s="2">
        <f t="shared" si="71"/>
        <v>43747.797472893515</v>
      </c>
    </row>
    <row r="4552" spans="1:10" x14ac:dyDescent="0.25">
      <c r="A4552" s="7" t="s">
        <v>9424</v>
      </c>
      <c r="B4552" s="8">
        <v>406.25</v>
      </c>
      <c r="C4552" s="8">
        <v>20.478950000000001</v>
      </c>
      <c r="D4552" s="8">
        <v>74</v>
      </c>
      <c r="E4552" s="8">
        <v>0</v>
      </c>
      <c r="F4552" s="8">
        <v>0</v>
      </c>
      <c r="G4552" s="8">
        <v>6</v>
      </c>
      <c r="H4552" s="8" t="s">
        <v>9425</v>
      </c>
      <c r="I4552" s="8">
        <v>530.625</v>
      </c>
      <c r="J4552" s="3">
        <f t="shared" si="71"/>
        <v>43747.797544421293</v>
      </c>
    </row>
    <row r="4553" spans="1:10" x14ac:dyDescent="0.25">
      <c r="A4553" s="5" t="s">
        <v>9426</v>
      </c>
      <c r="B4553" s="6">
        <v>406.25</v>
      </c>
      <c r="C4553" s="6">
        <v>20.531590000000001</v>
      </c>
      <c r="D4553" s="6">
        <v>75</v>
      </c>
      <c r="E4553" s="6">
        <v>0</v>
      </c>
      <c r="F4553" s="6">
        <v>0</v>
      </c>
      <c r="G4553" s="6">
        <v>14</v>
      </c>
      <c r="H4553" s="6" t="s">
        <v>9427</v>
      </c>
      <c r="I4553" s="6">
        <v>530.625</v>
      </c>
      <c r="J4553" s="2">
        <f t="shared" si="71"/>
        <v>43747.797627870365</v>
      </c>
    </row>
    <row r="4554" spans="1:10" x14ac:dyDescent="0.25">
      <c r="A4554" s="7" t="s">
        <v>9428</v>
      </c>
      <c r="B4554" s="8">
        <v>406.25</v>
      </c>
      <c r="C4554" s="8">
        <v>20.478950000000001</v>
      </c>
      <c r="D4554" s="8">
        <v>75</v>
      </c>
      <c r="E4554" s="8">
        <v>0</v>
      </c>
      <c r="F4554" s="8">
        <v>0</v>
      </c>
      <c r="G4554" s="8">
        <v>8</v>
      </c>
      <c r="H4554" s="8" t="s">
        <v>9429</v>
      </c>
      <c r="I4554" s="8">
        <v>530.625</v>
      </c>
      <c r="J4554" s="3">
        <f t="shared" si="71"/>
        <v>43747.79771121528</v>
      </c>
    </row>
    <row r="4555" spans="1:10" x14ac:dyDescent="0.25">
      <c r="A4555" s="5" t="s">
        <v>9430</v>
      </c>
      <c r="B4555" s="6">
        <v>406.25</v>
      </c>
      <c r="C4555" s="6">
        <v>20.478950000000001</v>
      </c>
      <c r="D4555" s="6">
        <v>75</v>
      </c>
      <c r="E4555" s="6">
        <v>0</v>
      </c>
      <c r="F4555" s="6">
        <v>0</v>
      </c>
      <c r="G4555" s="6">
        <v>5</v>
      </c>
      <c r="H4555" s="6" t="s">
        <v>9431</v>
      </c>
      <c r="I4555" s="6">
        <v>530.8125</v>
      </c>
      <c r="J4555" s="2">
        <f t="shared" si="71"/>
        <v>43747.797782997681</v>
      </c>
    </row>
    <row r="4556" spans="1:10" x14ac:dyDescent="0.25">
      <c r="A4556" s="7" t="s">
        <v>9432</v>
      </c>
      <c r="B4556" s="8">
        <v>406.25</v>
      </c>
      <c r="C4556" s="8">
        <v>20.531590000000001</v>
      </c>
      <c r="D4556" s="8">
        <v>74</v>
      </c>
      <c r="E4556" s="8">
        <v>0</v>
      </c>
      <c r="F4556" s="8">
        <v>0</v>
      </c>
      <c r="G4556" s="8">
        <v>9</v>
      </c>
      <c r="H4556" s="8" t="s">
        <v>9433</v>
      </c>
      <c r="I4556" s="8">
        <v>530.625</v>
      </c>
      <c r="J4556" s="3">
        <f t="shared" si="71"/>
        <v>43747.797854317127</v>
      </c>
    </row>
    <row r="4557" spans="1:10" x14ac:dyDescent="0.25">
      <c r="A4557" s="5" t="s">
        <v>9434</v>
      </c>
      <c r="B4557" s="6">
        <v>409.375</v>
      </c>
      <c r="C4557" s="6">
        <v>20.478950000000001</v>
      </c>
      <c r="D4557" s="6">
        <v>75</v>
      </c>
      <c r="E4557" s="6">
        <v>0</v>
      </c>
      <c r="F4557" s="6">
        <v>0</v>
      </c>
      <c r="G4557" s="6">
        <v>17</v>
      </c>
      <c r="H4557" s="6" t="s">
        <v>9435</v>
      </c>
      <c r="I4557" s="6">
        <v>531.375</v>
      </c>
      <c r="J4557" s="2">
        <f t="shared" si="71"/>
        <v>43747.797937754629</v>
      </c>
    </row>
    <row r="4558" spans="1:10" x14ac:dyDescent="0.25">
      <c r="A4558" s="7" t="s">
        <v>9436</v>
      </c>
      <c r="B4558" s="8">
        <v>409.375</v>
      </c>
      <c r="C4558" s="8">
        <v>20.478950000000001</v>
      </c>
      <c r="D4558" s="8">
        <v>76</v>
      </c>
      <c r="E4558" s="8">
        <v>0</v>
      </c>
      <c r="F4558" s="8">
        <v>0</v>
      </c>
      <c r="G4558" s="8">
        <v>9</v>
      </c>
      <c r="H4558" s="8" t="s">
        <v>9437</v>
      </c>
      <c r="I4558" s="8">
        <v>531.375</v>
      </c>
      <c r="J4558" s="3">
        <f t="shared" si="71"/>
        <v>43747.798033321757</v>
      </c>
    </row>
    <row r="4559" spans="1:10" x14ac:dyDescent="0.25">
      <c r="A4559" s="5" t="s">
        <v>9438</v>
      </c>
      <c r="B4559" s="6">
        <v>409.375</v>
      </c>
      <c r="C4559" s="6">
        <v>20.478950000000001</v>
      </c>
      <c r="D4559" s="6">
        <v>76</v>
      </c>
      <c r="E4559" s="6">
        <v>0</v>
      </c>
      <c r="F4559" s="6">
        <v>0</v>
      </c>
      <c r="G4559" s="6">
        <v>7</v>
      </c>
      <c r="H4559" s="6" t="s">
        <v>9439</v>
      </c>
      <c r="I4559" s="6">
        <v>531.5625</v>
      </c>
      <c r="J4559" s="2">
        <f t="shared" si="71"/>
        <v>43747.798116689817</v>
      </c>
    </row>
    <row r="4560" spans="1:10" x14ac:dyDescent="0.25">
      <c r="A4560" s="7" t="s">
        <v>9440</v>
      </c>
      <c r="B4560" s="8">
        <v>409.375</v>
      </c>
      <c r="C4560" s="8">
        <v>20.478950000000001</v>
      </c>
      <c r="D4560" s="8">
        <v>76</v>
      </c>
      <c r="E4560" s="8">
        <v>0</v>
      </c>
      <c r="F4560" s="8">
        <v>0</v>
      </c>
      <c r="G4560" s="8">
        <v>3</v>
      </c>
      <c r="H4560" s="8" t="s">
        <v>9441</v>
      </c>
      <c r="I4560" s="8">
        <v>531.5625</v>
      </c>
      <c r="J4560" s="3">
        <f t="shared" si="71"/>
        <v>43747.798200127312</v>
      </c>
    </row>
    <row r="4561" spans="1:10" x14ac:dyDescent="0.25">
      <c r="A4561" s="5" t="s">
        <v>9442</v>
      </c>
      <c r="B4561" s="6">
        <v>409.375</v>
      </c>
      <c r="C4561" s="6">
        <v>20.478950000000001</v>
      </c>
      <c r="D4561" s="6">
        <v>76</v>
      </c>
      <c r="E4561" s="6">
        <v>0</v>
      </c>
      <c r="F4561" s="6">
        <v>0</v>
      </c>
      <c r="G4561" s="6">
        <v>0</v>
      </c>
      <c r="H4561" s="6" t="s">
        <v>9443</v>
      </c>
      <c r="I4561" s="6">
        <v>531.5625</v>
      </c>
      <c r="J4561" s="2">
        <f t="shared" si="71"/>
        <v>43747.798271898144</v>
      </c>
    </row>
    <row r="4562" spans="1:10" x14ac:dyDescent="0.25">
      <c r="A4562" s="7" t="s">
        <v>9444</v>
      </c>
      <c r="B4562" s="8">
        <v>412.5</v>
      </c>
      <c r="C4562" s="8">
        <v>20.478950000000001</v>
      </c>
      <c r="D4562" s="8">
        <v>76</v>
      </c>
      <c r="E4562" s="8">
        <v>0</v>
      </c>
      <c r="F4562" s="8">
        <v>0</v>
      </c>
      <c r="G4562" s="8">
        <v>6</v>
      </c>
      <c r="H4562" s="8" t="s">
        <v>9445</v>
      </c>
      <c r="I4562" s="8">
        <v>532.5</v>
      </c>
      <c r="J4562" s="3">
        <f t="shared" si="71"/>
        <v>43747.798343067123</v>
      </c>
    </row>
    <row r="4563" spans="1:10" x14ac:dyDescent="0.25">
      <c r="A4563" s="5" t="s">
        <v>9446</v>
      </c>
      <c r="B4563" s="6">
        <v>412.5</v>
      </c>
      <c r="C4563" s="6">
        <v>20.478950000000001</v>
      </c>
      <c r="D4563" s="6">
        <v>75</v>
      </c>
      <c r="E4563" s="6">
        <v>0</v>
      </c>
      <c r="F4563" s="6">
        <v>0</v>
      </c>
      <c r="G4563" s="6">
        <v>10</v>
      </c>
      <c r="H4563" s="6" t="s">
        <v>9447</v>
      </c>
      <c r="I4563" s="6">
        <v>532.3125</v>
      </c>
      <c r="J4563" s="2">
        <f t="shared" si="71"/>
        <v>43747.798426701389</v>
      </c>
    </row>
    <row r="4564" spans="1:10" x14ac:dyDescent="0.25">
      <c r="A4564" s="7" t="s">
        <v>9448</v>
      </c>
      <c r="B4564" s="8">
        <v>412.5</v>
      </c>
      <c r="C4564" s="8">
        <v>20.478950000000001</v>
      </c>
      <c r="D4564" s="8">
        <v>76</v>
      </c>
      <c r="E4564" s="8">
        <v>0</v>
      </c>
      <c r="F4564" s="8">
        <v>0</v>
      </c>
      <c r="G4564" s="8">
        <v>13</v>
      </c>
      <c r="H4564" s="8" t="s">
        <v>9449</v>
      </c>
      <c r="I4564" s="8">
        <v>532.5</v>
      </c>
      <c r="J4564" s="3">
        <f t="shared" si="71"/>
        <v>43747.798510208326</v>
      </c>
    </row>
    <row r="4565" spans="1:10" x14ac:dyDescent="0.25">
      <c r="A4565" s="5" t="s">
        <v>9450</v>
      </c>
      <c r="B4565" s="6">
        <v>412.5</v>
      </c>
      <c r="C4565" s="6">
        <v>20.478950000000001</v>
      </c>
      <c r="D4565" s="6">
        <v>76</v>
      </c>
      <c r="E4565" s="6">
        <v>0</v>
      </c>
      <c r="F4565" s="6">
        <v>0</v>
      </c>
      <c r="G4565" s="6">
        <v>14</v>
      </c>
      <c r="H4565" s="6" t="s">
        <v>9451</v>
      </c>
      <c r="I4565" s="6">
        <v>532.3125</v>
      </c>
      <c r="J4565" s="2">
        <f t="shared" si="71"/>
        <v>43747.798593402775</v>
      </c>
    </row>
    <row r="4566" spans="1:10" x14ac:dyDescent="0.25">
      <c r="A4566" s="7" t="s">
        <v>9452</v>
      </c>
      <c r="B4566" s="8">
        <v>412.5</v>
      </c>
      <c r="C4566" s="8">
        <v>20.478950000000001</v>
      </c>
      <c r="D4566" s="8">
        <v>76</v>
      </c>
      <c r="E4566" s="8">
        <v>0</v>
      </c>
      <c r="F4566" s="8">
        <v>0</v>
      </c>
      <c r="G4566" s="8">
        <v>8</v>
      </c>
      <c r="H4566" s="8" t="s">
        <v>9453</v>
      </c>
      <c r="I4566" s="8">
        <v>532.3125</v>
      </c>
      <c r="J4566" s="3">
        <f t="shared" si="71"/>
        <v>43747.798665057868</v>
      </c>
    </row>
    <row r="4567" spans="1:10" x14ac:dyDescent="0.25">
      <c r="A4567" s="5" t="s">
        <v>9454</v>
      </c>
      <c r="B4567" s="6">
        <v>415.625</v>
      </c>
      <c r="C4567" s="6">
        <v>20.478950000000001</v>
      </c>
      <c r="D4567" s="6">
        <v>82</v>
      </c>
      <c r="E4567" s="6">
        <v>0</v>
      </c>
      <c r="F4567" s="6">
        <v>0</v>
      </c>
      <c r="G4567" s="6">
        <v>6</v>
      </c>
      <c r="H4567" s="6" t="s">
        <v>9455</v>
      </c>
      <c r="I4567" s="6">
        <v>533.0625</v>
      </c>
      <c r="J4567" s="2">
        <f t="shared" si="71"/>
        <v>43747.798748969908</v>
      </c>
    </row>
    <row r="4568" spans="1:10" x14ac:dyDescent="0.25">
      <c r="A4568" s="7" t="s">
        <v>9456</v>
      </c>
      <c r="B4568" s="8">
        <v>415.625</v>
      </c>
      <c r="C4568" s="8">
        <v>20.478950000000001</v>
      </c>
      <c r="D4568" s="8">
        <v>80</v>
      </c>
      <c r="E4568" s="8">
        <v>0</v>
      </c>
      <c r="F4568" s="8">
        <v>0</v>
      </c>
      <c r="G4568" s="8">
        <v>3</v>
      </c>
      <c r="H4568" s="8" t="s">
        <v>9457</v>
      </c>
      <c r="I4568" s="8">
        <v>533.0625</v>
      </c>
      <c r="J4568" s="3">
        <f t="shared" si="71"/>
        <v>43747.798832175926</v>
      </c>
    </row>
    <row r="4569" spans="1:10" x14ac:dyDescent="0.25">
      <c r="A4569" s="5" t="s">
        <v>9458</v>
      </c>
      <c r="B4569" s="6">
        <v>415.625</v>
      </c>
      <c r="C4569" s="6">
        <v>20.478950000000001</v>
      </c>
      <c r="D4569" s="6">
        <v>80</v>
      </c>
      <c r="E4569" s="6">
        <v>0</v>
      </c>
      <c r="F4569" s="6">
        <v>0</v>
      </c>
      <c r="G4569" s="6">
        <v>10</v>
      </c>
      <c r="H4569" s="6" t="s">
        <v>9459</v>
      </c>
      <c r="I4569" s="6">
        <v>533.0625</v>
      </c>
      <c r="J4569" s="2">
        <f t="shared" si="71"/>
        <v>43747.798903599534</v>
      </c>
    </row>
    <row r="4570" spans="1:10" x14ac:dyDescent="0.25">
      <c r="A4570" s="7" t="s">
        <v>9460</v>
      </c>
      <c r="B4570" s="8">
        <v>415.625</v>
      </c>
      <c r="C4570" s="8">
        <v>20.478950000000001</v>
      </c>
      <c r="D4570" s="8">
        <v>79</v>
      </c>
      <c r="E4570" s="8">
        <v>0</v>
      </c>
      <c r="F4570" s="8">
        <v>0</v>
      </c>
      <c r="G4570" s="8">
        <v>5</v>
      </c>
      <c r="H4570" s="8" t="s">
        <v>9461</v>
      </c>
      <c r="I4570" s="8">
        <v>533.25</v>
      </c>
      <c r="J4570" s="3">
        <f t="shared" si="71"/>
        <v>43747.798987164344</v>
      </c>
    </row>
    <row r="4571" spans="1:10" x14ac:dyDescent="0.25">
      <c r="A4571" s="5" t="s">
        <v>9462</v>
      </c>
      <c r="B4571" s="6">
        <v>415.625</v>
      </c>
      <c r="C4571" s="6">
        <v>20.478950000000001</v>
      </c>
      <c r="D4571" s="6">
        <v>79</v>
      </c>
      <c r="E4571" s="6">
        <v>0</v>
      </c>
      <c r="F4571" s="6">
        <v>0</v>
      </c>
      <c r="G4571" s="6">
        <v>0</v>
      </c>
      <c r="H4571" s="6" t="s">
        <v>9463</v>
      </c>
      <c r="I4571" s="6">
        <v>533.0625</v>
      </c>
      <c r="J4571" s="2">
        <f t="shared" si="71"/>
        <v>43747.799070729168</v>
      </c>
    </row>
    <row r="4572" spans="1:10" x14ac:dyDescent="0.25">
      <c r="A4572" s="7" t="s">
        <v>9464</v>
      </c>
      <c r="B4572" s="8">
        <v>412.5</v>
      </c>
      <c r="C4572" s="8">
        <v>20.478950000000001</v>
      </c>
      <c r="D4572" s="8">
        <v>79</v>
      </c>
      <c r="E4572" s="8">
        <v>0</v>
      </c>
      <c r="F4572" s="8">
        <v>0</v>
      </c>
      <c r="G4572" s="8">
        <v>0</v>
      </c>
      <c r="H4572" s="8" t="s">
        <v>9465</v>
      </c>
      <c r="I4572" s="8">
        <v>532.3125</v>
      </c>
      <c r="J4572" s="3">
        <f t="shared" si="71"/>
        <v>43747.799154050925</v>
      </c>
    </row>
    <row r="4573" spans="1:10" x14ac:dyDescent="0.25">
      <c r="A4573" s="5" t="s">
        <v>9466</v>
      </c>
      <c r="B4573" s="6">
        <v>412.5</v>
      </c>
      <c r="C4573" s="6">
        <v>20.478950000000001</v>
      </c>
      <c r="D4573" s="6">
        <v>79</v>
      </c>
      <c r="E4573" s="6">
        <v>0</v>
      </c>
      <c r="F4573" s="6">
        <v>0</v>
      </c>
      <c r="G4573" s="6">
        <v>6</v>
      </c>
      <c r="H4573" s="6" t="s">
        <v>9467</v>
      </c>
      <c r="I4573" s="6">
        <v>532.3125</v>
      </c>
      <c r="J4573" s="2">
        <f t="shared" si="71"/>
        <v>43747.799225358795</v>
      </c>
    </row>
    <row r="4574" spans="1:10" x14ac:dyDescent="0.25">
      <c r="A4574" s="7" t="s">
        <v>9468</v>
      </c>
      <c r="B4574" s="8">
        <v>450</v>
      </c>
      <c r="C4574" s="8">
        <v>20.478950000000001</v>
      </c>
      <c r="D4574" s="8">
        <v>76</v>
      </c>
      <c r="E4574" s="8">
        <v>0</v>
      </c>
      <c r="F4574" s="8">
        <v>0</v>
      </c>
      <c r="G4574" s="8">
        <v>5</v>
      </c>
      <c r="H4574" s="8" t="s">
        <v>9469</v>
      </c>
      <c r="I4574" s="8">
        <v>544.3125</v>
      </c>
      <c r="J4574" s="3">
        <f t="shared" si="71"/>
        <v>43747.799309178234</v>
      </c>
    </row>
    <row r="4575" spans="1:10" x14ac:dyDescent="0.25">
      <c r="A4575" s="5" t="s">
        <v>9470</v>
      </c>
      <c r="B4575" s="6">
        <v>412.5</v>
      </c>
      <c r="C4575" s="6">
        <v>20.478950000000001</v>
      </c>
      <c r="D4575" s="6">
        <v>76</v>
      </c>
      <c r="E4575" s="6">
        <v>0</v>
      </c>
      <c r="F4575" s="6">
        <v>0</v>
      </c>
      <c r="G4575" s="6">
        <v>0</v>
      </c>
      <c r="H4575" s="6" t="s">
        <v>9471</v>
      </c>
      <c r="I4575" s="6">
        <v>532.3125</v>
      </c>
      <c r="J4575" s="2">
        <f t="shared" si="71"/>
        <v>43747.799380682867</v>
      </c>
    </row>
    <row r="4576" spans="1:10" x14ac:dyDescent="0.25">
      <c r="A4576" s="7" t="s">
        <v>9472</v>
      </c>
      <c r="B4576" s="8">
        <v>415.625</v>
      </c>
      <c r="C4576" s="8">
        <v>20.478950000000001</v>
      </c>
      <c r="D4576" s="8">
        <v>76</v>
      </c>
      <c r="E4576" s="8">
        <v>0</v>
      </c>
      <c r="F4576" s="8">
        <v>0</v>
      </c>
      <c r="G4576" s="8">
        <v>7</v>
      </c>
      <c r="H4576" s="8" t="s">
        <v>9473</v>
      </c>
      <c r="I4576" s="8">
        <v>533.0625</v>
      </c>
      <c r="J4576" s="3">
        <f t="shared" si="71"/>
        <v>43747.799463900461</v>
      </c>
    </row>
    <row r="4577" spans="1:10" x14ac:dyDescent="0.25">
      <c r="A4577" s="5" t="s">
        <v>9474</v>
      </c>
      <c r="B4577" s="6">
        <v>431.25</v>
      </c>
      <c r="C4577" s="6">
        <v>20.478950000000001</v>
      </c>
      <c r="D4577" s="6">
        <v>76</v>
      </c>
      <c r="E4577" s="6">
        <v>0</v>
      </c>
      <c r="F4577" s="6">
        <v>0</v>
      </c>
      <c r="G4577" s="6">
        <v>5</v>
      </c>
      <c r="H4577" s="6" t="s">
        <v>9475</v>
      </c>
      <c r="I4577" s="6">
        <v>538.6875</v>
      </c>
      <c r="J4577" s="2">
        <f t="shared" si="71"/>
        <v>43747.799535428239</v>
      </c>
    </row>
    <row r="4578" spans="1:10" x14ac:dyDescent="0.25">
      <c r="A4578" s="7" t="s">
        <v>9476</v>
      </c>
      <c r="B4578" s="8">
        <v>412.5</v>
      </c>
      <c r="C4578" s="8">
        <v>20.478950000000001</v>
      </c>
      <c r="D4578" s="8">
        <v>75</v>
      </c>
      <c r="E4578" s="8">
        <v>0</v>
      </c>
      <c r="F4578" s="8">
        <v>0</v>
      </c>
      <c r="G4578" s="8">
        <v>6</v>
      </c>
      <c r="H4578" s="8" t="s">
        <v>9477</v>
      </c>
      <c r="I4578" s="8">
        <v>532.3125</v>
      </c>
      <c r="J4578" s="3">
        <f t="shared" si="71"/>
        <v>43747.799619328704</v>
      </c>
    </row>
    <row r="4579" spans="1:10" x14ac:dyDescent="0.25">
      <c r="A4579" s="5" t="s">
        <v>9478</v>
      </c>
      <c r="B4579" s="6">
        <v>412.5</v>
      </c>
      <c r="C4579" s="6">
        <v>20.478950000000001</v>
      </c>
      <c r="D4579" s="6">
        <v>75</v>
      </c>
      <c r="E4579" s="6">
        <v>0</v>
      </c>
      <c r="F4579" s="6">
        <v>0</v>
      </c>
      <c r="G4579" s="6">
        <v>6</v>
      </c>
      <c r="H4579" s="6" t="s">
        <v>9479</v>
      </c>
      <c r="I4579" s="6">
        <v>532.3125</v>
      </c>
      <c r="J4579" s="2">
        <f t="shared" si="71"/>
        <v>43747.799702662036</v>
      </c>
    </row>
    <row r="4580" spans="1:10" x14ac:dyDescent="0.25">
      <c r="A4580" s="7" t="s">
        <v>9480</v>
      </c>
      <c r="B4580" s="8">
        <v>412.5</v>
      </c>
      <c r="C4580" s="8">
        <v>20.478950000000001</v>
      </c>
      <c r="D4580" s="8">
        <v>73</v>
      </c>
      <c r="E4580" s="8">
        <v>0</v>
      </c>
      <c r="F4580" s="8">
        <v>0</v>
      </c>
      <c r="G4580" s="8">
        <v>7</v>
      </c>
      <c r="H4580" s="8" t="s">
        <v>9481</v>
      </c>
      <c r="I4580" s="8">
        <v>532.3125</v>
      </c>
      <c r="J4580" s="3">
        <f t="shared" si="71"/>
        <v>43747.799785891206</v>
      </c>
    </row>
    <row r="4581" spans="1:10" x14ac:dyDescent="0.25">
      <c r="A4581" s="5" t="s">
        <v>9482</v>
      </c>
      <c r="B4581" s="6">
        <v>412.5</v>
      </c>
      <c r="C4581" s="6">
        <v>20.478950000000001</v>
      </c>
      <c r="D4581" s="6">
        <v>73</v>
      </c>
      <c r="E4581" s="6">
        <v>0</v>
      </c>
      <c r="F4581" s="6">
        <v>0</v>
      </c>
      <c r="G4581" s="6">
        <v>5</v>
      </c>
      <c r="H4581" s="6" t="s">
        <v>9483</v>
      </c>
      <c r="I4581" s="6">
        <v>532.3125</v>
      </c>
      <c r="J4581" s="2">
        <f t="shared" si="71"/>
        <v>43747.799857638885</v>
      </c>
    </row>
    <row r="4582" spans="1:10" x14ac:dyDescent="0.25">
      <c r="A4582" s="7" t="s">
        <v>9484</v>
      </c>
      <c r="B4582" s="8">
        <v>412.5</v>
      </c>
      <c r="C4582" s="8">
        <v>20.478950000000001</v>
      </c>
      <c r="D4582" s="8">
        <v>72</v>
      </c>
      <c r="E4582" s="8">
        <v>0</v>
      </c>
      <c r="F4582" s="8">
        <v>0</v>
      </c>
      <c r="G4582" s="8">
        <v>4</v>
      </c>
      <c r="H4582" s="8" t="s">
        <v>9485</v>
      </c>
      <c r="I4582" s="8">
        <v>532.3125</v>
      </c>
      <c r="J4582" s="3">
        <f t="shared" si="71"/>
        <v>43747.799941122685</v>
      </c>
    </row>
    <row r="4583" spans="1:10" x14ac:dyDescent="0.25">
      <c r="A4583" s="5" t="s">
        <v>9486</v>
      </c>
      <c r="B4583" s="6">
        <v>412.5</v>
      </c>
      <c r="C4583" s="6">
        <v>20.478950000000001</v>
      </c>
      <c r="D4583" s="6">
        <v>73</v>
      </c>
      <c r="E4583" s="6">
        <v>0</v>
      </c>
      <c r="F4583" s="6">
        <v>0</v>
      </c>
      <c r="G4583" s="6">
        <v>1</v>
      </c>
      <c r="H4583" s="6" t="s">
        <v>9487</v>
      </c>
      <c r="I4583" s="6">
        <v>532.3125</v>
      </c>
      <c r="J4583" s="2">
        <f t="shared" si="71"/>
        <v>43747.800024571756</v>
      </c>
    </row>
    <row r="4584" spans="1:10" x14ac:dyDescent="0.25">
      <c r="A4584" s="7" t="s">
        <v>9488</v>
      </c>
      <c r="B4584" s="8">
        <v>412.5</v>
      </c>
      <c r="C4584" s="8">
        <v>20.478950000000001</v>
      </c>
      <c r="D4584" s="8">
        <v>73</v>
      </c>
      <c r="E4584" s="8">
        <v>0</v>
      </c>
      <c r="F4584" s="8">
        <v>0</v>
      </c>
      <c r="G4584" s="8">
        <v>10</v>
      </c>
      <c r="H4584" s="8" t="s">
        <v>9489</v>
      </c>
      <c r="I4584" s="8">
        <v>532.3125</v>
      </c>
      <c r="J4584" s="3">
        <f t="shared" si="71"/>
        <v>43747.800108229167</v>
      </c>
    </row>
    <row r="4585" spans="1:10" x14ac:dyDescent="0.25">
      <c r="A4585" s="5" t="s">
        <v>9490</v>
      </c>
      <c r="B4585" s="6">
        <v>412.5</v>
      </c>
      <c r="C4585" s="6">
        <v>20.478950000000001</v>
      </c>
      <c r="D4585" s="6">
        <v>74</v>
      </c>
      <c r="E4585" s="6">
        <v>0</v>
      </c>
      <c r="F4585" s="6">
        <v>0</v>
      </c>
      <c r="G4585" s="6">
        <v>5</v>
      </c>
      <c r="H4585" s="6" t="s">
        <v>9491</v>
      </c>
      <c r="I4585" s="6">
        <v>532.5</v>
      </c>
      <c r="J4585" s="2">
        <f t="shared" si="71"/>
        <v>43747.800179641206</v>
      </c>
    </row>
    <row r="4586" spans="1:10" x14ac:dyDescent="0.25">
      <c r="A4586" s="7" t="s">
        <v>9492</v>
      </c>
      <c r="B4586" s="8">
        <v>412.5</v>
      </c>
      <c r="C4586" s="8">
        <v>20.478950000000001</v>
      </c>
      <c r="D4586" s="8">
        <v>74</v>
      </c>
      <c r="E4586" s="8">
        <v>0</v>
      </c>
      <c r="F4586" s="8">
        <v>0</v>
      </c>
      <c r="G4586" s="8">
        <v>10</v>
      </c>
      <c r="H4586" s="8" t="s">
        <v>9493</v>
      </c>
      <c r="I4586" s="8">
        <v>532.3125</v>
      </c>
      <c r="J4586" s="3">
        <f t="shared" si="71"/>
        <v>43747.800263136574</v>
      </c>
    </row>
    <row r="4587" spans="1:10" x14ac:dyDescent="0.25">
      <c r="A4587" s="5" t="s">
        <v>9494</v>
      </c>
      <c r="B4587" s="6">
        <v>412.5</v>
      </c>
      <c r="C4587" s="6">
        <v>20.478950000000001</v>
      </c>
      <c r="D4587" s="6">
        <v>75</v>
      </c>
      <c r="E4587" s="6">
        <v>0</v>
      </c>
      <c r="F4587" s="6">
        <v>0</v>
      </c>
      <c r="G4587" s="6">
        <v>9</v>
      </c>
      <c r="H4587" s="6" t="s">
        <v>9495</v>
      </c>
      <c r="I4587" s="6">
        <v>532.3125</v>
      </c>
      <c r="J4587" s="2">
        <f t="shared" si="71"/>
        <v>43747.80034652778</v>
      </c>
    </row>
    <row r="4588" spans="1:10" x14ac:dyDescent="0.25">
      <c r="A4588" s="7" t="s">
        <v>9496</v>
      </c>
      <c r="B4588" s="8">
        <v>412.5</v>
      </c>
      <c r="C4588" s="8">
        <v>20.478950000000001</v>
      </c>
      <c r="D4588" s="8">
        <v>73</v>
      </c>
      <c r="E4588" s="8">
        <v>0</v>
      </c>
      <c r="F4588" s="8">
        <v>0</v>
      </c>
      <c r="G4588" s="8">
        <v>8</v>
      </c>
      <c r="H4588" s="8" t="s">
        <v>9497</v>
      </c>
      <c r="I4588" s="8">
        <v>532.3125</v>
      </c>
      <c r="J4588" s="3">
        <f t="shared" si="71"/>
        <v>43747.800430081021</v>
      </c>
    </row>
    <row r="4589" spans="1:10" x14ac:dyDescent="0.25">
      <c r="A4589" s="5" t="s">
        <v>9498</v>
      </c>
      <c r="B4589" s="6">
        <v>412.5</v>
      </c>
      <c r="C4589" s="6">
        <v>20.478950000000001</v>
      </c>
      <c r="D4589" s="6">
        <v>73</v>
      </c>
      <c r="E4589" s="6">
        <v>0</v>
      </c>
      <c r="F4589" s="6">
        <v>0</v>
      </c>
      <c r="G4589" s="6">
        <v>3</v>
      </c>
      <c r="H4589" s="6" t="s">
        <v>9499</v>
      </c>
      <c r="I4589" s="6">
        <v>532.3125</v>
      </c>
      <c r="J4589" s="2">
        <f t="shared" si="71"/>
        <v>43747.800513541668</v>
      </c>
    </row>
    <row r="4590" spans="1:10" x14ac:dyDescent="0.25">
      <c r="A4590" s="7" t="s">
        <v>9500</v>
      </c>
      <c r="B4590" s="8">
        <v>412.5</v>
      </c>
      <c r="C4590" s="8">
        <v>20.478950000000001</v>
      </c>
      <c r="D4590" s="8">
        <v>75</v>
      </c>
      <c r="E4590" s="8">
        <v>0</v>
      </c>
      <c r="F4590" s="8">
        <v>0</v>
      </c>
      <c r="G4590" s="8">
        <v>10</v>
      </c>
      <c r="H4590" s="8" t="s">
        <v>9501</v>
      </c>
      <c r="I4590" s="8">
        <v>532.3125</v>
      </c>
      <c r="J4590" s="3">
        <f t="shared" si="71"/>
        <v>43747.800597106478</v>
      </c>
    </row>
    <row r="4591" spans="1:10" x14ac:dyDescent="0.25">
      <c r="A4591" s="5" t="s">
        <v>9502</v>
      </c>
      <c r="B4591" s="6">
        <v>415.625</v>
      </c>
      <c r="C4591" s="6">
        <v>20.531590000000001</v>
      </c>
      <c r="D4591" s="6">
        <v>74</v>
      </c>
      <c r="E4591" s="6">
        <v>0</v>
      </c>
      <c r="F4591" s="6">
        <v>0</v>
      </c>
      <c r="G4591" s="6">
        <v>0</v>
      </c>
      <c r="H4591" s="6" t="s">
        <v>9503</v>
      </c>
      <c r="I4591" s="6">
        <v>533.0625</v>
      </c>
      <c r="J4591" s="2">
        <f t="shared" si="71"/>
        <v>43747.800692476849</v>
      </c>
    </row>
    <row r="4592" spans="1:10" x14ac:dyDescent="0.25">
      <c r="A4592" s="7" t="s">
        <v>9504</v>
      </c>
      <c r="B4592" s="8">
        <v>418.75</v>
      </c>
      <c r="C4592" s="8">
        <v>20.478950000000001</v>
      </c>
      <c r="D4592" s="8">
        <v>74</v>
      </c>
      <c r="E4592" s="8">
        <v>0</v>
      </c>
      <c r="F4592" s="8">
        <v>0</v>
      </c>
      <c r="G4592" s="8">
        <v>3</v>
      </c>
      <c r="H4592" s="8" t="s">
        <v>9505</v>
      </c>
      <c r="I4592" s="8">
        <v>534</v>
      </c>
      <c r="J4592" s="3">
        <f t="shared" si="71"/>
        <v>43747.800763749998</v>
      </c>
    </row>
    <row r="4593" spans="1:10" x14ac:dyDescent="0.25">
      <c r="A4593" s="5" t="s">
        <v>9506</v>
      </c>
      <c r="B4593" s="6">
        <v>415.625</v>
      </c>
      <c r="C4593" s="6">
        <v>20.531590000000001</v>
      </c>
      <c r="D4593" s="6">
        <v>74</v>
      </c>
      <c r="E4593" s="6">
        <v>0</v>
      </c>
      <c r="F4593" s="6">
        <v>0</v>
      </c>
      <c r="G4593" s="6">
        <v>7</v>
      </c>
      <c r="H4593" s="6" t="s">
        <v>9507</v>
      </c>
      <c r="I4593" s="6">
        <v>533.0625</v>
      </c>
      <c r="J4593" s="2">
        <f t="shared" si="71"/>
        <v>43747.800835451388</v>
      </c>
    </row>
    <row r="4594" spans="1:10" x14ac:dyDescent="0.25">
      <c r="A4594" s="7" t="s">
        <v>9508</v>
      </c>
      <c r="B4594" s="8">
        <v>415.625</v>
      </c>
      <c r="C4594" s="8">
        <v>20.478950000000001</v>
      </c>
      <c r="D4594" s="8">
        <v>74</v>
      </c>
      <c r="E4594" s="8">
        <v>0</v>
      </c>
      <c r="F4594" s="8">
        <v>0</v>
      </c>
      <c r="G4594" s="8">
        <v>6</v>
      </c>
      <c r="H4594" s="8" t="s">
        <v>9509</v>
      </c>
      <c r="I4594" s="8">
        <v>533.0625</v>
      </c>
      <c r="J4594" s="3">
        <f t="shared" si="71"/>
        <v>43747.800918981484</v>
      </c>
    </row>
    <row r="4595" spans="1:10" x14ac:dyDescent="0.25">
      <c r="A4595" s="5" t="s">
        <v>9510</v>
      </c>
      <c r="B4595" s="6">
        <v>415.625</v>
      </c>
      <c r="C4595" s="6">
        <v>20.478950000000001</v>
      </c>
      <c r="D4595" s="6">
        <v>74</v>
      </c>
      <c r="E4595" s="6">
        <v>0</v>
      </c>
      <c r="F4595" s="6">
        <v>0</v>
      </c>
      <c r="G4595" s="6">
        <v>0</v>
      </c>
      <c r="H4595" s="6" t="s">
        <v>9511</v>
      </c>
      <c r="I4595" s="6">
        <v>533.0625</v>
      </c>
      <c r="J4595" s="2">
        <f t="shared" si="71"/>
        <v>43747.801002430555</v>
      </c>
    </row>
    <row r="4596" spans="1:10" x14ac:dyDescent="0.25">
      <c r="A4596" s="7" t="s">
        <v>9512</v>
      </c>
      <c r="B4596" s="8">
        <v>415.625</v>
      </c>
      <c r="C4596" s="8">
        <v>20.478950000000001</v>
      </c>
      <c r="D4596" s="8">
        <v>73</v>
      </c>
      <c r="E4596" s="8">
        <v>0</v>
      </c>
      <c r="F4596" s="8">
        <v>0</v>
      </c>
      <c r="G4596" s="8">
        <v>4</v>
      </c>
      <c r="H4596" s="8" t="s">
        <v>9513</v>
      </c>
      <c r="I4596" s="8">
        <v>533.0625</v>
      </c>
      <c r="J4596" s="3">
        <f t="shared" si="71"/>
        <v>43747.801086099535</v>
      </c>
    </row>
    <row r="4597" spans="1:10" x14ac:dyDescent="0.25">
      <c r="A4597" s="5" t="s">
        <v>9514</v>
      </c>
      <c r="B4597" s="6">
        <v>415.625</v>
      </c>
      <c r="C4597" s="6">
        <v>20.531590000000001</v>
      </c>
      <c r="D4597" s="6">
        <v>67</v>
      </c>
      <c r="E4597" s="6">
        <v>0</v>
      </c>
      <c r="F4597" s="6">
        <v>0</v>
      </c>
      <c r="G4597" s="6">
        <v>12</v>
      </c>
      <c r="H4597" s="6" t="s">
        <v>9515</v>
      </c>
      <c r="I4597" s="6">
        <v>533.0625</v>
      </c>
      <c r="J4597" s="2">
        <f t="shared" si="71"/>
        <v>43747.80115741898</v>
      </c>
    </row>
    <row r="4598" spans="1:10" x14ac:dyDescent="0.25">
      <c r="A4598" s="7" t="s">
        <v>9516</v>
      </c>
      <c r="B4598" s="8">
        <v>415.625</v>
      </c>
      <c r="C4598" s="8">
        <v>20.478950000000001</v>
      </c>
      <c r="D4598" s="8">
        <v>66</v>
      </c>
      <c r="E4598" s="8">
        <v>0</v>
      </c>
      <c r="F4598" s="8">
        <v>0</v>
      </c>
      <c r="G4598" s="8">
        <v>9</v>
      </c>
      <c r="H4598" s="8" t="s">
        <v>9517</v>
      </c>
      <c r="I4598" s="8">
        <v>533.0625</v>
      </c>
      <c r="J4598" s="3">
        <f t="shared" si="71"/>
        <v>43747.80124064815</v>
      </c>
    </row>
    <row r="4599" spans="1:10" x14ac:dyDescent="0.25">
      <c r="A4599" s="5" t="s">
        <v>9518</v>
      </c>
      <c r="B4599" s="6">
        <v>415.625</v>
      </c>
      <c r="C4599" s="6">
        <v>20.478950000000001</v>
      </c>
      <c r="D4599" s="6">
        <v>67</v>
      </c>
      <c r="E4599" s="6">
        <v>0</v>
      </c>
      <c r="F4599" s="6">
        <v>0</v>
      </c>
      <c r="G4599" s="6">
        <v>7</v>
      </c>
      <c r="H4599" s="6" t="s">
        <v>9519</v>
      </c>
      <c r="I4599" s="6">
        <v>533.0625</v>
      </c>
      <c r="J4599" s="2">
        <f t="shared" si="71"/>
        <v>43747.801324421293</v>
      </c>
    </row>
    <row r="4600" spans="1:10" x14ac:dyDescent="0.25">
      <c r="A4600" s="7" t="s">
        <v>9520</v>
      </c>
      <c r="B4600" s="8">
        <v>415.625</v>
      </c>
      <c r="C4600" s="8">
        <v>20.478950000000001</v>
      </c>
      <c r="D4600" s="8">
        <v>68</v>
      </c>
      <c r="E4600" s="8">
        <v>0</v>
      </c>
      <c r="F4600" s="8">
        <v>0</v>
      </c>
      <c r="G4600" s="8">
        <v>13</v>
      </c>
      <c r="H4600" s="8" t="s">
        <v>9521</v>
      </c>
      <c r="I4600" s="8">
        <v>533.0625</v>
      </c>
      <c r="J4600" s="3">
        <f t="shared" si="71"/>
        <v>43747.801407870364</v>
      </c>
    </row>
    <row r="4601" spans="1:10" x14ac:dyDescent="0.25">
      <c r="A4601" s="5" t="s">
        <v>9522</v>
      </c>
      <c r="B4601" s="6">
        <v>415.625</v>
      </c>
      <c r="C4601" s="6">
        <v>20.478950000000001</v>
      </c>
      <c r="D4601" s="6">
        <v>70</v>
      </c>
      <c r="E4601" s="6">
        <v>0</v>
      </c>
      <c r="F4601" s="6">
        <v>0</v>
      </c>
      <c r="G4601" s="6">
        <v>3</v>
      </c>
      <c r="H4601" s="6" t="s">
        <v>9523</v>
      </c>
      <c r="I4601" s="6">
        <v>533.0625</v>
      </c>
      <c r="J4601" s="2">
        <f t="shared" si="71"/>
        <v>43747.801491307873</v>
      </c>
    </row>
    <row r="4602" spans="1:10" x14ac:dyDescent="0.25">
      <c r="A4602" s="7" t="s">
        <v>9524</v>
      </c>
      <c r="B4602" s="8">
        <v>415.625</v>
      </c>
      <c r="C4602" s="8">
        <v>20.531590000000001</v>
      </c>
      <c r="D4602" s="8">
        <v>70</v>
      </c>
      <c r="E4602" s="8">
        <v>0</v>
      </c>
      <c r="F4602" s="8">
        <v>0</v>
      </c>
      <c r="G4602" s="8">
        <v>9</v>
      </c>
      <c r="H4602" s="8" t="s">
        <v>9525</v>
      </c>
      <c r="I4602" s="8">
        <v>533.0625</v>
      </c>
      <c r="J4602" s="3">
        <f t="shared" si="71"/>
        <v>43747.80157476852</v>
      </c>
    </row>
    <row r="4603" spans="1:10" x14ac:dyDescent="0.25">
      <c r="A4603" s="5" t="s">
        <v>9526</v>
      </c>
      <c r="B4603" s="6">
        <v>415.625</v>
      </c>
      <c r="C4603" s="6">
        <v>20.478950000000001</v>
      </c>
      <c r="D4603" s="6">
        <v>75</v>
      </c>
      <c r="E4603" s="6">
        <v>0</v>
      </c>
      <c r="F4603" s="6">
        <v>0</v>
      </c>
      <c r="G4603" s="6">
        <v>7</v>
      </c>
      <c r="H4603" s="6" t="s">
        <v>9527</v>
      </c>
      <c r="I4603" s="6">
        <v>533.0625</v>
      </c>
      <c r="J4603" s="2">
        <f t="shared" si="71"/>
        <v>43747.801658229168</v>
      </c>
    </row>
    <row r="4604" spans="1:10" x14ac:dyDescent="0.25">
      <c r="A4604" s="7" t="s">
        <v>9528</v>
      </c>
      <c r="B4604" s="8">
        <v>415.625</v>
      </c>
      <c r="C4604" s="8">
        <v>20.478950000000001</v>
      </c>
      <c r="D4604" s="8">
        <v>76</v>
      </c>
      <c r="E4604" s="8">
        <v>0</v>
      </c>
      <c r="F4604" s="8">
        <v>0</v>
      </c>
      <c r="G4604" s="8">
        <v>16</v>
      </c>
      <c r="H4604" s="8" t="s">
        <v>9529</v>
      </c>
      <c r="I4604" s="8">
        <v>533.0625</v>
      </c>
      <c r="J4604" s="3">
        <f t="shared" si="71"/>
        <v>43747.80174145833</v>
      </c>
    </row>
    <row r="4605" spans="1:10" x14ac:dyDescent="0.25">
      <c r="A4605" s="5" t="s">
        <v>9530</v>
      </c>
      <c r="B4605" s="6">
        <v>418.75</v>
      </c>
      <c r="C4605" s="6">
        <v>20.531590000000001</v>
      </c>
      <c r="D4605" s="6">
        <v>76</v>
      </c>
      <c r="E4605" s="6">
        <v>0</v>
      </c>
      <c r="F4605" s="6">
        <v>0</v>
      </c>
      <c r="G4605" s="6">
        <v>6</v>
      </c>
      <c r="H4605" s="6" t="s">
        <v>9531</v>
      </c>
      <c r="I4605" s="6">
        <v>534</v>
      </c>
      <c r="J4605" s="2">
        <f t="shared" si="71"/>
        <v>43747.801813206017</v>
      </c>
    </row>
    <row r="4606" spans="1:10" x14ac:dyDescent="0.25">
      <c r="A4606" s="7" t="s">
        <v>9532</v>
      </c>
      <c r="B4606" s="8">
        <v>418.75</v>
      </c>
      <c r="C4606" s="8">
        <v>20.478950000000001</v>
      </c>
      <c r="D4606" s="8">
        <v>76</v>
      </c>
      <c r="E4606" s="8">
        <v>0</v>
      </c>
      <c r="F4606" s="8">
        <v>0</v>
      </c>
      <c r="G4606" s="8">
        <v>13</v>
      </c>
      <c r="H4606" s="8" t="s">
        <v>9533</v>
      </c>
      <c r="I4606" s="8">
        <v>534</v>
      </c>
      <c r="J4606" s="3">
        <f t="shared" si="71"/>
        <v>43747.801896747682</v>
      </c>
    </row>
    <row r="4607" spans="1:10" x14ac:dyDescent="0.25">
      <c r="A4607" s="5" t="s">
        <v>9534</v>
      </c>
      <c r="B4607" s="6">
        <v>415.625</v>
      </c>
      <c r="C4607" s="6">
        <v>20.478950000000001</v>
      </c>
      <c r="D4607" s="6">
        <v>76</v>
      </c>
      <c r="E4607" s="6">
        <v>0</v>
      </c>
      <c r="F4607" s="6">
        <v>0</v>
      </c>
      <c r="G4607" s="6">
        <v>8</v>
      </c>
      <c r="H4607" s="6" t="s">
        <v>9535</v>
      </c>
      <c r="I4607" s="6">
        <v>533.8125</v>
      </c>
      <c r="J4607" s="2">
        <f t="shared" si="71"/>
        <v>43747.801980335651</v>
      </c>
    </row>
    <row r="4608" spans="1:10" x14ac:dyDescent="0.25">
      <c r="A4608" s="7" t="s">
        <v>9536</v>
      </c>
      <c r="B4608" s="8">
        <v>415.625</v>
      </c>
      <c r="C4608" s="8">
        <v>20.478950000000001</v>
      </c>
      <c r="D4608" s="8">
        <v>74</v>
      </c>
      <c r="E4608" s="8">
        <v>0</v>
      </c>
      <c r="F4608" s="8">
        <v>0</v>
      </c>
      <c r="G4608" s="8">
        <v>3</v>
      </c>
      <c r="H4608" s="8" t="s">
        <v>9537</v>
      </c>
      <c r="I4608" s="8">
        <v>533.8125</v>
      </c>
      <c r="J4608" s="3">
        <f t="shared" si="71"/>
        <v>43747.802063645831</v>
      </c>
    </row>
    <row r="4609" spans="1:10" x14ac:dyDescent="0.25">
      <c r="A4609" s="5" t="s">
        <v>9538</v>
      </c>
      <c r="B4609" s="6">
        <v>418.75</v>
      </c>
      <c r="C4609" s="6">
        <v>20.531590000000001</v>
      </c>
      <c r="D4609" s="6">
        <v>74</v>
      </c>
      <c r="E4609" s="6">
        <v>0</v>
      </c>
      <c r="F4609" s="6">
        <v>0</v>
      </c>
      <c r="G4609" s="6">
        <v>15</v>
      </c>
      <c r="H4609" s="6" t="s">
        <v>9539</v>
      </c>
      <c r="I4609" s="6">
        <v>534</v>
      </c>
      <c r="J4609" s="2">
        <f t="shared" si="71"/>
        <v>43747.802135196755</v>
      </c>
    </row>
    <row r="4610" spans="1:10" x14ac:dyDescent="0.25">
      <c r="A4610" s="7" t="s">
        <v>9540</v>
      </c>
      <c r="B4610" s="8">
        <v>431.25</v>
      </c>
      <c r="C4610" s="8">
        <v>20.478950000000001</v>
      </c>
      <c r="D4610" s="8">
        <v>73</v>
      </c>
      <c r="E4610" s="8">
        <v>0</v>
      </c>
      <c r="F4610" s="8">
        <v>0</v>
      </c>
      <c r="G4610" s="8">
        <v>0</v>
      </c>
      <c r="H4610" s="8" t="s">
        <v>9541</v>
      </c>
      <c r="I4610" s="8">
        <v>538.6875</v>
      </c>
      <c r="J4610" s="3">
        <f t="shared" ref="J4610:J4673" si="72">(H4610/86400000)+25569+(7/24)</f>
        <v>43747.802218645833</v>
      </c>
    </row>
    <row r="4611" spans="1:10" x14ac:dyDescent="0.25">
      <c r="A4611" s="5" t="s">
        <v>9542</v>
      </c>
      <c r="B4611" s="6">
        <v>415.625</v>
      </c>
      <c r="C4611" s="6">
        <v>20.478950000000001</v>
      </c>
      <c r="D4611" s="6">
        <v>72</v>
      </c>
      <c r="E4611" s="6">
        <v>0</v>
      </c>
      <c r="F4611" s="6">
        <v>0</v>
      </c>
      <c r="G4611" s="6">
        <v>12</v>
      </c>
      <c r="H4611" s="6" t="s">
        <v>9543</v>
      </c>
      <c r="I4611" s="6">
        <v>533.0625</v>
      </c>
      <c r="J4611" s="2">
        <f t="shared" si="72"/>
        <v>43747.802302210643</v>
      </c>
    </row>
    <row r="4612" spans="1:10" x14ac:dyDescent="0.25">
      <c r="A4612" s="7" t="s">
        <v>9544</v>
      </c>
      <c r="B4612" s="8">
        <v>412.5</v>
      </c>
      <c r="C4612" s="8">
        <v>20.531590000000001</v>
      </c>
      <c r="D4612" s="8">
        <v>72</v>
      </c>
      <c r="E4612" s="8">
        <v>0</v>
      </c>
      <c r="F4612" s="8">
        <v>0</v>
      </c>
      <c r="G4612" s="8">
        <v>6</v>
      </c>
      <c r="H4612" s="8" t="s">
        <v>9545</v>
      </c>
      <c r="I4612" s="8">
        <v>532.5</v>
      </c>
      <c r="J4612" s="3">
        <f t="shared" si="72"/>
        <v>43747.802385648145</v>
      </c>
    </row>
    <row r="4613" spans="1:10" x14ac:dyDescent="0.25">
      <c r="A4613" s="5" t="s">
        <v>9546</v>
      </c>
      <c r="B4613" s="6">
        <v>412.5</v>
      </c>
      <c r="C4613" s="6">
        <v>20.478950000000001</v>
      </c>
      <c r="D4613" s="6">
        <v>74</v>
      </c>
      <c r="E4613" s="6">
        <v>0</v>
      </c>
      <c r="F4613" s="6">
        <v>0</v>
      </c>
      <c r="G4613" s="6">
        <v>7</v>
      </c>
      <c r="H4613" s="6" t="s">
        <v>9547</v>
      </c>
      <c r="I4613" s="6">
        <v>532.3125</v>
      </c>
      <c r="J4613" s="2">
        <f t="shared" si="72"/>
        <v>43747.802469108792</v>
      </c>
    </row>
    <row r="4614" spans="1:10" x14ac:dyDescent="0.25">
      <c r="A4614" s="7" t="s">
        <v>9548</v>
      </c>
      <c r="B4614" s="8">
        <v>412.5</v>
      </c>
      <c r="C4614" s="8">
        <v>20.478950000000001</v>
      </c>
      <c r="D4614" s="8">
        <v>73</v>
      </c>
      <c r="E4614" s="8">
        <v>0</v>
      </c>
      <c r="F4614" s="8">
        <v>0</v>
      </c>
      <c r="G4614" s="8">
        <v>9</v>
      </c>
      <c r="H4614" s="8" t="s">
        <v>9549</v>
      </c>
      <c r="I4614" s="8">
        <v>532.3125</v>
      </c>
      <c r="J4614" s="3">
        <f t="shared" si="72"/>
        <v>43747.802552546294</v>
      </c>
    </row>
    <row r="4615" spans="1:10" x14ac:dyDescent="0.25">
      <c r="A4615" s="5" t="s">
        <v>9550</v>
      </c>
      <c r="B4615" s="6">
        <v>412.5</v>
      </c>
      <c r="C4615" s="6">
        <v>20.478950000000001</v>
      </c>
      <c r="D4615" s="6">
        <v>74</v>
      </c>
      <c r="E4615" s="6">
        <v>0</v>
      </c>
      <c r="F4615" s="6">
        <v>0</v>
      </c>
      <c r="G4615" s="6">
        <v>0</v>
      </c>
      <c r="H4615" s="6" t="s">
        <v>9551</v>
      </c>
      <c r="I4615" s="6">
        <v>532.3125</v>
      </c>
      <c r="J4615" s="2">
        <f t="shared" si="72"/>
        <v>43747.802624189811</v>
      </c>
    </row>
    <row r="4616" spans="1:10" x14ac:dyDescent="0.25">
      <c r="A4616" s="7" t="s">
        <v>9552</v>
      </c>
      <c r="B4616" s="8">
        <v>412.5</v>
      </c>
      <c r="C4616" s="8">
        <v>20.478950000000001</v>
      </c>
      <c r="D4616" s="8">
        <v>73</v>
      </c>
      <c r="E4616" s="8">
        <v>0</v>
      </c>
      <c r="F4616" s="8">
        <v>0</v>
      </c>
      <c r="G4616" s="8">
        <v>2</v>
      </c>
      <c r="H4616" s="8" t="s">
        <v>9553</v>
      </c>
      <c r="I4616" s="8">
        <v>532.3125</v>
      </c>
      <c r="J4616" s="3">
        <f t="shared" si="72"/>
        <v>43747.802707627314</v>
      </c>
    </row>
    <row r="4617" spans="1:10" x14ac:dyDescent="0.25">
      <c r="A4617" s="5" t="s">
        <v>9554</v>
      </c>
      <c r="B4617" s="6">
        <v>412.5</v>
      </c>
      <c r="C4617" s="6">
        <v>20.478950000000001</v>
      </c>
      <c r="D4617" s="6">
        <v>73</v>
      </c>
      <c r="E4617" s="6">
        <v>0</v>
      </c>
      <c r="F4617" s="6">
        <v>0</v>
      </c>
      <c r="G4617" s="6">
        <v>0</v>
      </c>
      <c r="H4617" s="6" t="s">
        <v>9555</v>
      </c>
      <c r="I4617" s="6">
        <v>532.3125</v>
      </c>
      <c r="J4617" s="2">
        <f t="shared" si="72"/>
        <v>43747.802779409722</v>
      </c>
    </row>
    <row r="4618" spans="1:10" x14ac:dyDescent="0.25">
      <c r="A4618" s="7" t="s">
        <v>9556</v>
      </c>
      <c r="B4618" s="8">
        <v>428.125</v>
      </c>
      <c r="C4618" s="8">
        <v>20.478950000000001</v>
      </c>
      <c r="D4618" s="8">
        <v>73</v>
      </c>
      <c r="E4618" s="8">
        <v>0</v>
      </c>
      <c r="F4618" s="8">
        <v>0</v>
      </c>
      <c r="G4618" s="8">
        <v>10</v>
      </c>
      <c r="H4618" s="8" t="s">
        <v>9557</v>
      </c>
      <c r="I4618" s="8">
        <v>537.9375</v>
      </c>
      <c r="J4618" s="3">
        <f t="shared" si="72"/>
        <v>43747.802850694447</v>
      </c>
    </row>
    <row r="4619" spans="1:10" x14ac:dyDescent="0.25">
      <c r="A4619" s="5" t="s">
        <v>9558</v>
      </c>
      <c r="B4619" s="6">
        <v>412.5</v>
      </c>
      <c r="C4619" s="6">
        <v>20.478950000000001</v>
      </c>
      <c r="D4619" s="6">
        <v>73</v>
      </c>
      <c r="E4619" s="6">
        <v>0</v>
      </c>
      <c r="F4619" s="6">
        <v>0</v>
      </c>
      <c r="G4619" s="6">
        <v>1</v>
      </c>
      <c r="H4619" s="6" t="s">
        <v>9559</v>
      </c>
      <c r="I4619" s="6">
        <v>532.3125</v>
      </c>
      <c r="J4619" s="2">
        <f t="shared" si="72"/>
        <v>43747.802934039348</v>
      </c>
    </row>
    <row r="4620" spans="1:10" x14ac:dyDescent="0.25">
      <c r="A4620" s="7" t="s">
        <v>9560</v>
      </c>
      <c r="B4620" s="8">
        <v>412.5</v>
      </c>
      <c r="C4620" s="8">
        <v>20.478950000000001</v>
      </c>
      <c r="D4620" s="8">
        <v>74</v>
      </c>
      <c r="E4620" s="8">
        <v>0</v>
      </c>
      <c r="F4620" s="8">
        <v>0</v>
      </c>
      <c r="G4620" s="8">
        <v>9</v>
      </c>
      <c r="H4620" s="8" t="s">
        <v>9561</v>
      </c>
      <c r="I4620" s="8">
        <v>532.3125</v>
      </c>
      <c r="J4620" s="3">
        <f t="shared" si="72"/>
        <v>43747.803017696759</v>
      </c>
    </row>
    <row r="4621" spans="1:10" x14ac:dyDescent="0.25">
      <c r="A4621" s="5" t="s">
        <v>9562</v>
      </c>
      <c r="B4621" s="6">
        <v>412.5</v>
      </c>
      <c r="C4621" s="6">
        <v>20.478950000000001</v>
      </c>
      <c r="D4621" s="6">
        <v>73</v>
      </c>
      <c r="E4621" s="6">
        <v>0</v>
      </c>
      <c r="F4621" s="6">
        <v>0</v>
      </c>
      <c r="G4621" s="6">
        <v>9</v>
      </c>
      <c r="H4621" s="6" t="s">
        <v>9563</v>
      </c>
      <c r="I4621" s="6">
        <v>532.3125</v>
      </c>
      <c r="J4621" s="2">
        <f t="shared" si="72"/>
        <v>43747.803100914352</v>
      </c>
    </row>
    <row r="4622" spans="1:10" x14ac:dyDescent="0.25">
      <c r="A4622" s="7" t="s">
        <v>9564</v>
      </c>
      <c r="B4622" s="8">
        <v>412.5</v>
      </c>
      <c r="C4622" s="8">
        <v>20.478950000000001</v>
      </c>
      <c r="D4622" s="8">
        <v>73</v>
      </c>
      <c r="E4622" s="8">
        <v>0</v>
      </c>
      <c r="F4622" s="8">
        <v>0</v>
      </c>
      <c r="G4622" s="8">
        <v>12</v>
      </c>
      <c r="H4622" s="8" t="s">
        <v>9565</v>
      </c>
      <c r="I4622" s="8">
        <v>532.3125</v>
      </c>
      <c r="J4622" s="3">
        <f t="shared" si="72"/>
        <v>43747.8031724537</v>
      </c>
    </row>
    <row r="4623" spans="1:10" x14ac:dyDescent="0.25">
      <c r="A4623" s="5" t="s">
        <v>9566</v>
      </c>
      <c r="B4623" s="6">
        <v>428.125</v>
      </c>
      <c r="C4623" s="6">
        <v>20.531590000000001</v>
      </c>
      <c r="D4623" s="6">
        <v>72</v>
      </c>
      <c r="E4623" s="6">
        <v>0</v>
      </c>
      <c r="F4623" s="6">
        <v>0</v>
      </c>
      <c r="G4623" s="6">
        <v>2</v>
      </c>
      <c r="H4623" s="6" t="s">
        <v>9567</v>
      </c>
      <c r="I4623" s="6">
        <v>537.9375</v>
      </c>
      <c r="J4623" s="2">
        <f t="shared" si="72"/>
        <v>43747.80326818287</v>
      </c>
    </row>
    <row r="4624" spans="1:10" x14ac:dyDescent="0.25">
      <c r="A4624" s="7" t="s">
        <v>9568</v>
      </c>
      <c r="B4624" s="8">
        <v>409.375</v>
      </c>
      <c r="C4624" s="8">
        <v>20.478950000000001</v>
      </c>
      <c r="D4624" s="8">
        <v>72</v>
      </c>
      <c r="E4624" s="8">
        <v>0</v>
      </c>
      <c r="F4624" s="8">
        <v>0</v>
      </c>
      <c r="G4624" s="8">
        <v>8</v>
      </c>
      <c r="H4624" s="8" t="s">
        <v>9569</v>
      </c>
      <c r="I4624" s="8">
        <v>531.5625</v>
      </c>
      <c r="J4624" s="3">
        <f t="shared" si="72"/>
        <v>43747.80334972222</v>
      </c>
    </row>
    <row r="4625" spans="1:10" x14ac:dyDescent="0.25">
      <c r="A4625" s="5" t="s">
        <v>9570</v>
      </c>
      <c r="B4625" s="6">
        <v>409.375</v>
      </c>
      <c r="C4625" s="6">
        <v>20.478950000000001</v>
      </c>
      <c r="D4625" s="6">
        <v>72</v>
      </c>
      <c r="E4625" s="6">
        <v>0</v>
      </c>
      <c r="F4625" s="6">
        <v>0</v>
      </c>
      <c r="G4625" s="6">
        <v>3</v>
      </c>
      <c r="H4625" s="6" t="s">
        <v>9571</v>
      </c>
      <c r="I4625" s="6">
        <v>531.5625</v>
      </c>
      <c r="J4625" s="2">
        <f t="shared" si="72"/>
        <v>43747.803422881938</v>
      </c>
    </row>
    <row r="4626" spans="1:10" x14ac:dyDescent="0.25">
      <c r="A4626" s="7" t="s">
        <v>9572</v>
      </c>
      <c r="B4626" s="8">
        <v>409.375</v>
      </c>
      <c r="C4626" s="8">
        <v>20.478950000000001</v>
      </c>
      <c r="D4626" s="8">
        <v>72</v>
      </c>
      <c r="E4626" s="8">
        <v>0</v>
      </c>
      <c r="F4626" s="8">
        <v>0</v>
      </c>
      <c r="G4626" s="8">
        <v>13</v>
      </c>
      <c r="H4626" s="8" t="s">
        <v>9573</v>
      </c>
      <c r="I4626" s="8">
        <v>531.5625</v>
      </c>
      <c r="J4626" s="3">
        <f t="shared" si="72"/>
        <v>43747.803506608798</v>
      </c>
    </row>
    <row r="4627" spans="1:10" x14ac:dyDescent="0.25">
      <c r="A4627" s="5" t="s">
        <v>9574</v>
      </c>
      <c r="B4627" s="6">
        <v>409.375</v>
      </c>
      <c r="C4627" s="6">
        <v>20.478950000000001</v>
      </c>
      <c r="D4627" s="6">
        <v>72</v>
      </c>
      <c r="E4627" s="6">
        <v>0</v>
      </c>
      <c r="F4627" s="6">
        <v>0</v>
      </c>
      <c r="G4627" s="6">
        <v>0</v>
      </c>
      <c r="H4627" s="6" t="s">
        <v>9575</v>
      </c>
      <c r="I4627" s="6">
        <v>531.5625</v>
      </c>
      <c r="J4627" s="2">
        <f t="shared" si="72"/>
        <v>43747.803590254633</v>
      </c>
    </row>
    <row r="4628" spans="1:10" x14ac:dyDescent="0.25">
      <c r="A4628" s="7" t="s">
        <v>9576</v>
      </c>
      <c r="B4628" s="8">
        <v>431.25</v>
      </c>
      <c r="C4628" s="8">
        <v>20.531590000000001</v>
      </c>
      <c r="D4628" s="8">
        <v>72</v>
      </c>
      <c r="E4628" s="8">
        <v>0</v>
      </c>
      <c r="F4628" s="8">
        <v>0</v>
      </c>
      <c r="G4628" s="8">
        <v>7</v>
      </c>
      <c r="H4628" s="8" t="s">
        <v>9577</v>
      </c>
      <c r="I4628" s="8">
        <v>538.6875</v>
      </c>
      <c r="J4628" s="3">
        <f t="shared" si="72"/>
        <v>43747.80367415509</v>
      </c>
    </row>
    <row r="4629" spans="1:10" x14ac:dyDescent="0.25">
      <c r="A4629" s="5" t="s">
        <v>9578</v>
      </c>
      <c r="B4629" s="6">
        <v>409.375</v>
      </c>
      <c r="C4629" s="6">
        <v>20.478950000000001</v>
      </c>
      <c r="D4629" s="6">
        <v>74</v>
      </c>
      <c r="E4629" s="6">
        <v>0</v>
      </c>
      <c r="F4629" s="6">
        <v>0</v>
      </c>
      <c r="G4629" s="6">
        <v>5</v>
      </c>
      <c r="H4629" s="6" t="s">
        <v>9579</v>
      </c>
      <c r="I4629" s="6">
        <v>531.375</v>
      </c>
      <c r="J4629" s="2">
        <f t="shared" si="72"/>
        <v>43747.803757060181</v>
      </c>
    </row>
    <row r="4630" spans="1:10" x14ac:dyDescent="0.25">
      <c r="A4630" s="7" t="s">
        <v>9580</v>
      </c>
      <c r="B4630" s="8">
        <v>409.375</v>
      </c>
      <c r="C4630" s="8">
        <v>20.478950000000001</v>
      </c>
      <c r="D4630" s="8">
        <v>73</v>
      </c>
      <c r="E4630" s="8">
        <v>0</v>
      </c>
      <c r="F4630" s="8">
        <v>0</v>
      </c>
      <c r="G4630" s="8">
        <v>10</v>
      </c>
      <c r="H4630" s="8" t="s">
        <v>9581</v>
      </c>
      <c r="I4630" s="8">
        <v>531.5625</v>
      </c>
      <c r="J4630" s="3">
        <f t="shared" si="72"/>
        <v>43747.803828576383</v>
      </c>
    </row>
    <row r="4631" spans="1:10" x14ac:dyDescent="0.25">
      <c r="A4631" s="5" t="s">
        <v>9582</v>
      </c>
      <c r="B4631" s="6">
        <v>428.125</v>
      </c>
      <c r="C4631" s="6">
        <v>20.478950000000001</v>
      </c>
      <c r="D4631" s="6">
        <v>74</v>
      </c>
      <c r="E4631" s="6">
        <v>0</v>
      </c>
      <c r="F4631" s="6">
        <v>0</v>
      </c>
      <c r="G4631" s="6">
        <v>15</v>
      </c>
      <c r="H4631" s="6" t="s">
        <v>9583</v>
      </c>
      <c r="I4631" s="6">
        <v>537</v>
      </c>
      <c r="J4631" s="2">
        <f t="shared" si="72"/>
        <v>43747.803900104169</v>
      </c>
    </row>
    <row r="4632" spans="1:10" x14ac:dyDescent="0.25">
      <c r="A4632" s="7" t="s">
        <v>9584</v>
      </c>
      <c r="B4632" s="8">
        <v>409.375</v>
      </c>
      <c r="C4632" s="8">
        <v>20.478950000000001</v>
      </c>
      <c r="D4632" s="8">
        <v>70</v>
      </c>
      <c r="E4632" s="8">
        <v>0</v>
      </c>
      <c r="F4632" s="8">
        <v>0</v>
      </c>
      <c r="G4632" s="8">
        <v>5</v>
      </c>
      <c r="H4632" s="8" t="s">
        <v>9585</v>
      </c>
      <c r="I4632" s="8">
        <v>531.5625</v>
      </c>
      <c r="J4632" s="3">
        <f t="shared" si="72"/>
        <v>43747.803983645827</v>
      </c>
    </row>
    <row r="4633" spans="1:10" x14ac:dyDescent="0.25">
      <c r="A4633" s="5" t="s">
        <v>9586</v>
      </c>
      <c r="B4633" s="6">
        <v>409.375</v>
      </c>
      <c r="C4633" s="6">
        <v>20.478950000000001</v>
      </c>
      <c r="D4633" s="6">
        <v>70</v>
      </c>
      <c r="E4633" s="6">
        <v>0</v>
      </c>
      <c r="F4633" s="6">
        <v>0</v>
      </c>
      <c r="G4633" s="6">
        <v>4</v>
      </c>
      <c r="H4633" s="6" t="s">
        <v>9587</v>
      </c>
      <c r="I4633" s="6">
        <v>531.5625</v>
      </c>
      <c r="J4633" s="2">
        <f t="shared" si="72"/>
        <v>43747.804067187499</v>
      </c>
    </row>
    <row r="4634" spans="1:10" x14ac:dyDescent="0.25">
      <c r="A4634" s="7" t="s">
        <v>9588</v>
      </c>
      <c r="B4634" s="8">
        <v>412.5</v>
      </c>
      <c r="C4634" s="8">
        <v>20.478950000000001</v>
      </c>
      <c r="D4634" s="8">
        <v>70</v>
      </c>
      <c r="E4634" s="8">
        <v>0</v>
      </c>
      <c r="F4634" s="8">
        <v>0</v>
      </c>
      <c r="G4634" s="8">
        <v>8</v>
      </c>
      <c r="H4634" s="8" t="s">
        <v>9589</v>
      </c>
      <c r="I4634" s="8">
        <v>532.3125</v>
      </c>
      <c r="J4634" s="3">
        <f t="shared" si="72"/>
        <v>43747.804150219905</v>
      </c>
    </row>
    <row r="4635" spans="1:10" x14ac:dyDescent="0.25">
      <c r="A4635" s="5" t="s">
        <v>9590</v>
      </c>
      <c r="B4635" s="6">
        <v>412.5</v>
      </c>
      <c r="C4635" s="6">
        <v>20.531590000000001</v>
      </c>
      <c r="D4635" s="6">
        <v>73</v>
      </c>
      <c r="E4635" s="6">
        <v>0</v>
      </c>
      <c r="F4635" s="6">
        <v>0</v>
      </c>
      <c r="G4635" s="6">
        <v>6</v>
      </c>
      <c r="H4635" s="6" t="s">
        <v>9591</v>
      </c>
      <c r="I4635" s="6">
        <v>532.3125</v>
      </c>
      <c r="J4635" s="2">
        <f t="shared" si="72"/>
        <v>43747.804234120369</v>
      </c>
    </row>
    <row r="4636" spans="1:10" x14ac:dyDescent="0.25">
      <c r="A4636" s="7" t="s">
        <v>9592</v>
      </c>
      <c r="B4636" s="8">
        <v>412.5</v>
      </c>
      <c r="C4636" s="8">
        <v>20.478950000000001</v>
      </c>
      <c r="D4636" s="8">
        <v>75</v>
      </c>
      <c r="E4636" s="8">
        <v>0</v>
      </c>
      <c r="F4636" s="8">
        <v>0</v>
      </c>
      <c r="G4636" s="8">
        <v>1</v>
      </c>
      <c r="H4636" s="8" t="s">
        <v>9593</v>
      </c>
      <c r="I4636" s="8">
        <v>532.3125</v>
      </c>
      <c r="J4636" s="3">
        <f t="shared" si="72"/>
        <v>43747.804317442125</v>
      </c>
    </row>
    <row r="4637" spans="1:10" x14ac:dyDescent="0.25">
      <c r="A4637" s="5" t="s">
        <v>9594</v>
      </c>
      <c r="B4637" s="6">
        <v>412.5</v>
      </c>
      <c r="C4637" s="6">
        <v>20.478950000000001</v>
      </c>
      <c r="D4637" s="6">
        <v>75</v>
      </c>
      <c r="E4637" s="6">
        <v>0</v>
      </c>
      <c r="F4637" s="6">
        <v>0</v>
      </c>
      <c r="G4637" s="6">
        <v>1</v>
      </c>
      <c r="H4637" s="6" t="s">
        <v>9595</v>
      </c>
      <c r="I4637" s="6">
        <v>532.3125</v>
      </c>
      <c r="J4637" s="2">
        <f t="shared" si="72"/>
        <v>43747.804402384259</v>
      </c>
    </row>
    <row r="4638" spans="1:10" x14ac:dyDescent="0.25">
      <c r="A4638" s="7" t="s">
        <v>9596</v>
      </c>
      <c r="B4638" s="8">
        <v>431.25</v>
      </c>
      <c r="C4638" s="8">
        <v>20.478950000000001</v>
      </c>
      <c r="D4638" s="8">
        <v>75</v>
      </c>
      <c r="E4638" s="8">
        <v>0</v>
      </c>
      <c r="F4638" s="8">
        <v>0</v>
      </c>
      <c r="G4638" s="8">
        <v>12</v>
      </c>
      <c r="H4638" s="8" t="s">
        <v>9597</v>
      </c>
      <c r="I4638" s="8">
        <v>538.875</v>
      </c>
      <c r="J4638" s="3">
        <f t="shared" si="72"/>
        <v>43747.80448436342</v>
      </c>
    </row>
    <row r="4639" spans="1:10" x14ac:dyDescent="0.25">
      <c r="A4639" s="5" t="s">
        <v>9598</v>
      </c>
      <c r="B4639" s="6">
        <v>409.375</v>
      </c>
      <c r="C4639" s="6">
        <v>20.478950000000001</v>
      </c>
      <c r="D4639" s="6">
        <v>77</v>
      </c>
      <c r="E4639" s="6">
        <v>0</v>
      </c>
      <c r="F4639" s="6">
        <v>0</v>
      </c>
      <c r="G4639" s="6">
        <v>0</v>
      </c>
      <c r="H4639" s="6" t="s">
        <v>9599</v>
      </c>
      <c r="I4639" s="6">
        <v>531.5625</v>
      </c>
      <c r="J4639" s="2">
        <f t="shared" si="72"/>
        <v>43747.804568159721</v>
      </c>
    </row>
    <row r="4640" spans="1:10" x14ac:dyDescent="0.25">
      <c r="A4640" s="7" t="s">
        <v>9600</v>
      </c>
      <c r="B4640" s="8">
        <v>409.375</v>
      </c>
      <c r="C4640" s="8">
        <v>20.478950000000001</v>
      </c>
      <c r="D4640" s="8">
        <v>76</v>
      </c>
      <c r="E4640" s="8">
        <v>0</v>
      </c>
      <c r="F4640" s="8">
        <v>0</v>
      </c>
      <c r="G4640" s="8">
        <v>12</v>
      </c>
      <c r="H4640" s="8" t="s">
        <v>9601</v>
      </c>
      <c r="I4640" s="8">
        <v>531.5625</v>
      </c>
      <c r="J4640" s="3">
        <f t="shared" si="72"/>
        <v>43747.804639467591</v>
      </c>
    </row>
    <row r="4641" spans="1:10" x14ac:dyDescent="0.25">
      <c r="A4641" s="5" t="s">
        <v>9602</v>
      </c>
      <c r="B4641" s="6">
        <v>409.375</v>
      </c>
      <c r="C4641" s="6">
        <v>20.478950000000001</v>
      </c>
      <c r="D4641" s="6">
        <v>74</v>
      </c>
      <c r="E4641" s="6">
        <v>0</v>
      </c>
      <c r="F4641" s="6">
        <v>0</v>
      </c>
      <c r="G4641" s="6">
        <v>0</v>
      </c>
      <c r="H4641" s="6" t="s">
        <v>9603</v>
      </c>
      <c r="I4641" s="6">
        <v>531.5625</v>
      </c>
      <c r="J4641" s="2">
        <f t="shared" si="72"/>
        <v>43747.804722881941</v>
      </c>
    </row>
    <row r="4642" spans="1:10" x14ac:dyDescent="0.25">
      <c r="A4642" s="7" t="s">
        <v>9604</v>
      </c>
      <c r="B4642" s="8">
        <v>409.375</v>
      </c>
      <c r="C4642" s="8">
        <v>20.478950000000001</v>
      </c>
      <c r="D4642" s="8">
        <v>76</v>
      </c>
      <c r="E4642" s="8">
        <v>0</v>
      </c>
      <c r="F4642" s="8">
        <v>0</v>
      </c>
      <c r="G4642" s="8">
        <v>8</v>
      </c>
      <c r="H4642" s="8" t="s">
        <v>9605</v>
      </c>
      <c r="I4642" s="8">
        <v>531.5625</v>
      </c>
      <c r="J4642" s="3">
        <f t="shared" si="72"/>
        <v>43747.804818391196</v>
      </c>
    </row>
    <row r="4643" spans="1:10" x14ac:dyDescent="0.25">
      <c r="A4643" s="5" t="s">
        <v>9606</v>
      </c>
      <c r="B4643" s="6">
        <v>409.375</v>
      </c>
      <c r="C4643" s="6">
        <v>20.478950000000001</v>
      </c>
      <c r="D4643" s="6">
        <v>76</v>
      </c>
      <c r="E4643" s="6">
        <v>0</v>
      </c>
      <c r="F4643" s="6">
        <v>0</v>
      </c>
      <c r="G4643" s="6">
        <v>5</v>
      </c>
      <c r="H4643" s="6" t="s">
        <v>9607</v>
      </c>
      <c r="I4643" s="6">
        <v>531.5625</v>
      </c>
      <c r="J4643" s="2">
        <f t="shared" si="72"/>
        <v>43747.804901817122</v>
      </c>
    </row>
    <row r="4644" spans="1:10" x14ac:dyDescent="0.25">
      <c r="A4644" s="7" t="s">
        <v>9608</v>
      </c>
      <c r="B4644" s="8">
        <v>406.25</v>
      </c>
      <c r="C4644" s="8">
        <v>20.478950000000001</v>
      </c>
      <c r="D4644" s="8">
        <v>76</v>
      </c>
      <c r="E4644" s="8">
        <v>0</v>
      </c>
      <c r="F4644" s="8">
        <v>0</v>
      </c>
      <c r="G4644" s="8">
        <v>8</v>
      </c>
      <c r="H4644" s="8" t="s">
        <v>9609</v>
      </c>
      <c r="I4644" s="8">
        <v>530.625</v>
      </c>
      <c r="J4644" s="3">
        <f t="shared" si="72"/>
        <v>43747.804973356477</v>
      </c>
    </row>
    <row r="4645" spans="1:10" x14ac:dyDescent="0.25">
      <c r="A4645" s="5" t="s">
        <v>9610</v>
      </c>
      <c r="B4645" s="6">
        <v>409.375</v>
      </c>
      <c r="C4645" s="6">
        <v>20.478950000000001</v>
      </c>
      <c r="D4645" s="6">
        <v>76</v>
      </c>
      <c r="E4645" s="6">
        <v>0</v>
      </c>
      <c r="F4645" s="6">
        <v>0</v>
      </c>
      <c r="G4645" s="6">
        <v>9</v>
      </c>
      <c r="H4645" s="6" t="s">
        <v>9611</v>
      </c>
      <c r="I4645" s="6">
        <v>531.375</v>
      </c>
      <c r="J4645" s="2">
        <f t="shared" si="72"/>
        <v>43747.805061238425</v>
      </c>
    </row>
    <row r="4646" spans="1:10" x14ac:dyDescent="0.25">
      <c r="A4646" s="7" t="s">
        <v>9612</v>
      </c>
      <c r="B4646" s="8">
        <v>409.375</v>
      </c>
      <c r="C4646" s="8">
        <v>20.478950000000001</v>
      </c>
      <c r="D4646" s="8">
        <v>76</v>
      </c>
      <c r="E4646" s="8">
        <v>0</v>
      </c>
      <c r="F4646" s="8">
        <v>0</v>
      </c>
      <c r="G4646" s="8">
        <v>16</v>
      </c>
      <c r="H4646" s="8" t="s">
        <v>9613</v>
      </c>
      <c r="I4646" s="8">
        <v>531.5625</v>
      </c>
      <c r="J4646" s="3">
        <f t="shared" si="72"/>
        <v>43747.805140254626</v>
      </c>
    </row>
    <row r="4647" spans="1:10" x14ac:dyDescent="0.25">
      <c r="A4647" s="5" t="s">
        <v>9614</v>
      </c>
      <c r="B4647" s="6">
        <v>409.375</v>
      </c>
      <c r="C4647" s="6">
        <v>20.478950000000001</v>
      </c>
      <c r="D4647" s="6">
        <v>76</v>
      </c>
      <c r="E4647" s="6">
        <v>0</v>
      </c>
      <c r="F4647" s="6">
        <v>0</v>
      </c>
      <c r="G4647" s="6">
        <v>3</v>
      </c>
      <c r="H4647" s="6" t="s">
        <v>9615</v>
      </c>
      <c r="I4647" s="6">
        <v>531.5625</v>
      </c>
      <c r="J4647" s="2">
        <f t="shared" si="72"/>
        <v>43747.805223715281</v>
      </c>
    </row>
    <row r="4648" spans="1:10" x14ac:dyDescent="0.25">
      <c r="A4648" s="7" t="s">
        <v>9616</v>
      </c>
      <c r="B4648" s="8">
        <v>425</v>
      </c>
      <c r="C4648" s="8">
        <v>20.531590000000001</v>
      </c>
      <c r="D4648" s="8">
        <v>76</v>
      </c>
      <c r="E4648" s="8">
        <v>0</v>
      </c>
      <c r="F4648" s="8">
        <v>0</v>
      </c>
      <c r="G4648" s="8">
        <v>7</v>
      </c>
      <c r="H4648" s="8" t="s">
        <v>9617</v>
      </c>
      <c r="I4648" s="8">
        <v>536.25</v>
      </c>
      <c r="J4648" s="3">
        <f t="shared" si="72"/>
        <v>43747.805295347222</v>
      </c>
    </row>
    <row r="4649" spans="1:10" x14ac:dyDescent="0.25">
      <c r="A4649" s="5" t="s">
        <v>9618</v>
      </c>
      <c r="B4649" s="6">
        <v>406.25</v>
      </c>
      <c r="C4649" s="6">
        <v>20.478950000000001</v>
      </c>
      <c r="D4649" s="6">
        <v>77</v>
      </c>
      <c r="E4649" s="6">
        <v>0</v>
      </c>
      <c r="F4649" s="6">
        <v>0</v>
      </c>
      <c r="G4649" s="6">
        <v>6</v>
      </c>
      <c r="H4649" s="6" t="s">
        <v>9619</v>
      </c>
      <c r="I4649" s="6">
        <v>530.8125</v>
      </c>
      <c r="J4649" s="2">
        <f t="shared" si="72"/>
        <v>43747.805378576384</v>
      </c>
    </row>
    <row r="4650" spans="1:10" x14ac:dyDescent="0.25">
      <c r="A4650" s="7" t="s">
        <v>9620</v>
      </c>
      <c r="B4650" s="8">
        <v>403.125</v>
      </c>
      <c r="C4650" s="8">
        <v>20.478950000000001</v>
      </c>
      <c r="D4650" s="8">
        <v>77</v>
      </c>
      <c r="E4650" s="8">
        <v>0</v>
      </c>
      <c r="F4650" s="8">
        <v>0</v>
      </c>
      <c r="G4650" s="8">
        <v>1</v>
      </c>
      <c r="H4650" s="8" t="s">
        <v>9621</v>
      </c>
      <c r="I4650" s="8">
        <v>529.875</v>
      </c>
      <c r="J4650" s="3">
        <f t="shared" si="72"/>
        <v>43747.805450300926</v>
      </c>
    </row>
    <row r="4651" spans="1:10" x14ac:dyDescent="0.25">
      <c r="A4651" s="5" t="s">
        <v>9622</v>
      </c>
      <c r="B4651" s="6">
        <v>418.75</v>
      </c>
      <c r="C4651" s="6">
        <v>20.478950000000001</v>
      </c>
      <c r="D4651" s="6">
        <v>77</v>
      </c>
      <c r="E4651" s="6">
        <v>0</v>
      </c>
      <c r="F4651" s="6">
        <v>0</v>
      </c>
      <c r="G4651" s="6">
        <v>4</v>
      </c>
      <c r="H4651" s="6" t="s">
        <v>9623</v>
      </c>
      <c r="I4651" s="6">
        <v>534.9375</v>
      </c>
      <c r="J4651" s="2">
        <f t="shared" si="72"/>
        <v>43747.805534131941</v>
      </c>
    </row>
    <row r="4652" spans="1:10" x14ac:dyDescent="0.25">
      <c r="A4652" s="7" t="s">
        <v>9624</v>
      </c>
      <c r="B4652" s="8">
        <v>400</v>
      </c>
      <c r="C4652" s="8">
        <v>20.478950000000001</v>
      </c>
      <c r="D4652" s="8">
        <v>77</v>
      </c>
      <c r="E4652" s="8">
        <v>0</v>
      </c>
      <c r="F4652" s="8">
        <v>0</v>
      </c>
      <c r="G4652" s="8">
        <v>0</v>
      </c>
      <c r="H4652" s="8" t="s">
        <v>9625</v>
      </c>
      <c r="I4652" s="8">
        <v>528.375</v>
      </c>
      <c r="J4652" s="3">
        <f t="shared" si="72"/>
        <v>43747.805617233789</v>
      </c>
    </row>
    <row r="4653" spans="1:10" x14ac:dyDescent="0.25">
      <c r="A4653" s="5" t="s">
        <v>9626</v>
      </c>
      <c r="B4653" s="6">
        <v>400</v>
      </c>
      <c r="C4653" s="6">
        <v>20.478950000000001</v>
      </c>
      <c r="D4653" s="6">
        <v>77</v>
      </c>
      <c r="E4653" s="6">
        <v>0</v>
      </c>
      <c r="F4653" s="6">
        <v>0</v>
      </c>
      <c r="G4653" s="6">
        <v>3</v>
      </c>
      <c r="H4653" s="6" t="s">
        <v>9627</v>
      </c>
      <c r="I4653" s="6">
        <v>528.1875</v>
      </c>
      <c r="J4653" s="2">
        <f t="shared" si="72"/>
        <v>43747.80570078703</v>
      </c>
    </row>
    <row r="4654" spans="1:10" x14ac:dyDescent="0.25">
      <c r="A4654" s="7" t="s">
        <v>9628</v>
      </c>
      <c r="B4654" s="8">
        <v>400</v>
      </c>
      <c r="C4654" s="8">
        <v>20.478950000000001</v>
      </c>
      <c r="D4654" s="8">
        <v>77</v>
      </c>
      <c r="E4654" s="8">
        <v>0</v>
      </c>
      <c r="F4654" s="8">
        <v>0</v>
      </c>
      <c r="G4654" s="8">
        <v>8</v>
      </c>
      <c r="H4654" s="8" t="s">
        <v>9629</v>
      </c>
      <c r="I4654" s="8">
        <v>528.375</v>
      </c>
      <c r="J4654" s="3">
        <f t="shared" si="72"/>
        <v>43747.805772314816</v>
      </c>
    </row>
    <row r="4655" spans="1:10" x14ac:dyDescent="0.25">
      <c r="A4655" s="5" t="s">
        <v>9630</v>
      </c>
      <c r="B4655" s="6">
        <v>400</v>
      </c>
      <c r="C4655" s="6">
        <v>20.478950000000001</v>
      </c>
      <c r="D4655" s="6">
        <v>76</v>
      </c>
      <c r="E4655" s="6">
        <v>0</v>
      </c>
      <c r="F4655" s="6">
        <v>0</v>
      </c>
      <c r="G4655" s="6">
        <v>12</v>
      </c>
      <c r="H4655" s="6" t="s">
        <v>9631</v>
      </c>
      <c r="I4655" s="6">
        <v>528.375</v>
      </c>
      <c r="J4655" s="2">
        <f t="shared" si="72"/>
        <v>43747.805855763887</v>
      </c>
    </row>
    <row r="4656" spans="1:10" x14ac:dyDescent="0.25">
      <c r="A4656" s="7" t="s">
        <v>9632</v>
      </c>
      <c r="B4656" s="8">
        <v>400</v>
      </c>
      <c r="C4656" s="8">
        <v>20.478950000000001</v>
      </c>
      <c r="D4656" s="8">
        <v>76</v>
      </c>
      <c r="E4656" s="8">
        <v>0</v>
      </c>
      <c r="F4656" s="8">
        <v>0</v>
      </c>
      <c r="G4656" s="8">
        <v>8</v>
      </c>
      <c r="H4656" s="8" t="s">
        <v>9633</v>
      </c>
      <c r="I4656" s="8">
        <v>528.375</v>
      </c>
      <c r="J4656" s="3">
        <f t="shared" si="72"/>
        <v>43747.805939224534</v>
      </c>
    </row>
    <row r="4657" spans="1:10" x14ac:dyDescent="0.25">
      <c r="A4657" s="5" t="s">
        <v>9634</v>
      </c>
      <c r="B4657" s="6">
        <v>403.125</v>
      </c>
      <c r="C4657" s="6">
        <v>20.478950000000001</v>
      </c>
      <c r="D4657" s="6">
        <v>76</v>
      </c>
      <c r="E4657" s="6">
        <v>0</v>
      </c>
      <c r="F4657" s="6">
        <v>0</v>
      </c>
      <c r="G4657" s="6">
        <v>5</v>
      </c>
      <c r="H4657" s="6" t="s">
        <v>9635</v>
      </c>
      <c r="I4657" s="6">
        <v>529.125</v>
      </c>
      <c r="J4657" s="2">
        <f t="shared" si="72"/>
        <v>43747.80602290509</v>
      </c>
    </row>
    <row r="4658" spans="1:10" x14ac:dyDescent="0.25">
      <c r="A4658" s="7" t="s">
        <v>9636</v>
      </c>
      <c r="B4658" s="8">
        <v>403.125</v>
      </c>
      <c r="C4658" s="8">
        <v>20.478950000000001</v>
      </c>
      <c r="D4658" s="8">
        <v>76</v>
      </c>
      <c r="E4658" s="8">
        <v>0</v>
      </c>
      <c r="F4658" s="8">
        <v>0</v>
      </c>
      <c r="G4658" s="8">
        <v>1</v>
      </c>
      <c r="H4658" s="8" t="s">
        <v>9637</v>
      </c>
      <c r="I4658" s="8">
        <v>529.125</v>
      </c>
      <c r="J4658" s="3">
        <f t="shared" si="72"/>
        <v>43747.806118182867</v>
      </c>
    </row>
    <row r="4659" spans="1:10" x14ac:dyDescent="0.25">
      <c r="A4659" s="5" t="s">
        <v>9638</v>
      </c>
      <c r="B4659" s="6">
        <v>403.125</v>
      </c>
      <c r="C4659" s="6">
        <v>20.478950000000001</v>
      </c>
      <c r="D4659" s="6">
        <v>75</v>
      </c>
      <c r="E4659" s="6">
        <v>0</v>
      </c>
      <c r="F4659" s="6">
        <v>0</v>
      </c>
      <c r="G4659" s="6">
        <v>1</v>
      </c>
      <c r="H4659" s="6" t="s">
        <v>9639</v>
      </c>
      <c r="I4659" s="6">
        <v>529.875</v>
      </c>
      <c r="J4659" s="2">
        <f t="shared" si="72"/>
        <v>43747.806201631938</v>
      </c>
    </row>
    <row r="4660" spans="1:10" x14ac:dyDescent="0.25">
      <c r="A4660" s="7" t="s">
        <v>9640</v>
      </c>
      <c r="B4660" s="8">
        <v>403.125</v>
      </c>
      <c r="C4660" s="8">
        <v>20.478950000000001</v>
      </c>
      <c r="D4660" s="8">
        <v>74</v>
      </c>
      <c r="E4660" s="8">
        <v>0</v>
      </c>
      <c r="F4660" s="8">
        <v>0</v>
      </c>
      <c r="G4660" s="8">
        <v>12</v>
      </c>
      <c r="H4660" s="8" t="s">
        <v>9641</v>
      </c>
      <c r="I4660" s="8">
        <v>529.875</v>
      </c>
      <c r="J4660" s="3">
        <f t="shared" si="72"/>
        <v>43747.806273136572</v>
      </c>
    </row>
    <row r="4661" spans="1:10" x14ac:dyDescent="0.25">
      <c r="A4661" s="5" t="s">
        <v>9642</v>
      </c>
      <c r="B4661" s="6">
        <v>406.25</v>
      </c>
      <c r="C4661" s="6">
        <v>20.478950000000001</v>
      </c>
      <c r="D4661" s="6">
        <v>74</v>
      </c>
      <c r="E4661" s="6">
        <v>0</v>
      </c>
      <c r="F4661" s="6">
        <v>0</v>
      </c>
      <c r="G4661" s="6">
        <v>13</v>
      </c>
      <c r="H4661" s="6" t="s">
        <v>9643</v>
      </c>
      <c r="I4661" s="6">
        <v>530.8125</v>
      </c>
      <c r="J4661" s="2">
        <f t="shared" si="72"/>
        <v>43747.806356365742</v>
      </c>
    </row>
    <row r="4662" spans="1:10" x14ac:dyDescent="0.25">
      <c r="A4662" s="7" t="s">
        <v>9644</v>
      </c>
      <c r="B4662" s="8">
        <v>403.125</v>
      </c>
      <c r="C4662" s="8">
        <v>20.478950000000001</v>
      </c>
      <c r="D4662" s="8">
        <v>74</v>
      </c>
      <c r="E4662" s="8">
        <v>0</v>
      </c>
      <c r="F4662" s="8">
        <v>0</v>
      </c>
      <c r="G4662" s="8">
        <v>4</v>
      </c>
      <c r="H4662" s="8" t="s">
        <v>9645</v>
      </c>
      <c r="I4662" s="8">
        <v>529.875</v>
      </c>
      <c r="J4662" s="3">
        <f t="shared" si="72"/>
        <v>43747.806428113421</v>
      </c>
    </row>
    <row r="4663" spans="1:10" x14ac:dyDescent="0.25">
      <c r="A4663" s="5" t="s">
        <v>9646</v>
      </c>
      <c r="B4663" s="6">
        <v>403.125</v>
      </c>
      <c r="C4663" s="6">
        <v>20.531590000000001</v>
      </c>
      <c r="D4663" s="6">
        <v>74</v>
      </c>
      <c r="E4663" s="6">
        <v>0</v>
      </c>
      <c r="F4663" s="6">
        <v>0</v>
      </c>
      <c r="G4663" s="6">
        <v>3</v>
      </c>
      <c r="H4663" s="6" t="s">
        <v>9647</v>
      </c>
      <c r="I4663" s="6">
        <v>529.875</v>
      </c>
      <c r="J4663" s="2">
        <f t="shared" si="72"/>
        <v>43747.806511909723</v>
      </c>
    </row>
    <row r="4664" spans="1:10" x14ac:dyDescent="0.25">
      <c r="A4664" s="7" t="s">
        <v>9648</v>
      </c>
      <c r="B4664" s="8">
        <v>403.125</v>
      </c>
      <c r="C4664" s="8">
        <v>20.478950000000001</v>
      </c>
      <c r="D4664" s="8">
        <v>74</v>
      </c>
      <c r="E4664" s="8">
        <v>0</v>
      </c>
      <c r="F4664" s="8">
        <v>0</v>
      </c>
      <c r="G4664" s="8">
        <v>2</v>
      </c>
      <c r="H4664" s="8" t="s">
        <v>9649</v>
      </c>
      <c r="I4664" s="8">
        <v>529.125</v>
      </c>
      <c r="J4664" s="3">
        <f t="shared" si="72"/>
        <v>43747.806607071754</v>
      </c>
    </row>
    <row r="4665" spans="1:10" x14ac:dyDescent="0.25">
      <c r="A4665" s="5" t="s">
        <v>9650</v>
      </c>
      <c r="B4665" s="6">
        <v>403.125</v>
      </c>
      <c r="C4665" s="6">
        <v>20.478950000000001</v>
      </c>
      <c r="D4665" s="6">
        <v>73</v>
      </c>
      <c r="E4665" s="6">
        <v>0</v>
      </c>
      <c r="F4665" s="6">
        <v>0</v>
      </c>
      <c r="G4665" s="6">
        <v>4</v>
      </c>
      <c r="H4665" s="6" t="s">
        <v>9651</v>
      </c>
      <c r="I4665" s="6">
        <v>529.125</v>
      </c>
      <c r="J4665" s="2">
        <f t="shared" si="72"/>
        <v>43747.806690509256</v>
      </c>
    </row>
    <row r="4666" spans="1:10" x14ac:dyDescent="0.25">
      <c r="A4666" s="7" t="s">
        <v>9652</v>
      </c>
      <c r="B4666" s="8">
        <v>400</v>
      </c>
      <c r="C4666" s="8">
        <v>20.478950000000001</v>
      </c>
      <c r="D4666" s="8">
        <v>73</v>
      </c>
      <c r="E4666" s="8">
        <v>0</v>
      </c>
      <c r="F4666" s="8">
        <v>0</v>
      </c>
      <c r="G4666" s="8">
        <v>0</v>
      </c>
      <c r="H4666" s="8" t="s">
        <v>9653</v>
      </c>
      <c r="I4666" s="8">
        <v>528.9375</v>
      </c>
      <c r="J4666" s="3">
        <f t="shared" si="72"/>
        <v>43747.806761921289</v>
      </c>
    </row>
    <row r="4667" spans="1:10" x14ac:dyDescent="0.25">
      <c r="A4667" s="5" t="s">
        <v>9654</v>
      </c>
      <c r="B4667" s="6">
        <v>403.125</v>
      </c>
      <c r="C4667" s="6">
        <v>20.478950000000001</v>
      </c>
      <c r="D4667" s="6">
        <v>72</v>
      </c>
      <c r="E4667" s="6">
        <v>0</v>
      </c>
      <c r="F4667" s="6">
        <v>0</v>
      </c>
      <c r="G4667" s="6">
        <v>1</v>
      </c>
      <c r="H4667" s="6" t="s">
        <v>9655</v>
      </c>
      <c r="I4667" s="6">
        <v>529.125</v>
      </c>
      <c r="J4667" s="2">
        <f t="shared" si="72"/>
        <v>43747.806845277773</v>
      </c>
    </row>
    <row r="4668" spans="1:10" x14ac:dyDescent="0.25">
      <c r="A4668" s="7" t="s">
        <v>9656</v>
      </c>
      <c r="B4668" s="8">
        <v>403.125</v>
      </c>
      <c r="C4668" s="8">
        <v>20.478950000000001</v>
      </c>
      <c r="D4668" s="8">
        <v>72</v>
      </c>
      <c r="E4668" s="8">
        <v>0</v>
      </c>
      <c r="F4668" s="8">
        <v>0</v>
      </c>
      <c r="G4668" s="8">
        <v>4</v>
      </c>
      <c r="H4668" s="8" t="s">
        <v>9657</v>
      </c>
      <c r="I4668" s="8">
        <v>529.875</v>
      </c>
      <c r="J4668" s="3">
        <f t="shared" si="72"/>
        <v>43747.80691688657</v>
      </c>
    </row>
    <row r="4669" spans="1:10" x14ac:dyDescent="0.25">
      <c r="A4669" s="5" t="s">
        <v>9658</v>
      </c>
      <c r="B4669" s="6">
        <v>403.125</v>
      </c>
      <c r="C4669" s="6">
        <v>20.478950000000001</v>
      </c>
      <c r="D4669" s="6">
        <v>72</v>
      </c>
      <c r="E4669" s="6">
        <v>0</v>
      </c>
      <c r="F4669" s="6">
        <v>0</v>
      </c>
      <c r="G4669" s="6">
        <v>10</v>
      </c>
      <c r="H4669" s="6" t="s">
        <v>9659</v>
      </c>
      <c r="I4669" s="6">
        <v>529.875</v>
      </c>
      <c r="J4669" s="2">
        <f t="shared" si="72"/>
        <v>43747.80700069444</v>
      </c>
    </row>
    <row r="4670" spans="1:10" x14ac:dyDescent="0.25">
      <c r="A4670" s="7" t="s">
        <v>9660</v>
      </c>
      <c r="B4670" s="8">
        <v>403.125</v>
      </c>
      <c r="C4670" s="8">
        <v>20.478950000000001</v>
      </c>
      <c r="D4670" s="8">
        <v>72</v>
      </c>
      <c r="E4670" s="8">
        <v>0</v>
      </c>
      <c r="F4670" s="8">
        <v>0</v>
      </c>
      <c r="G4670" s="8">
        <v>11</v>
      </c>
      <c r="H4670" s="8" t="s">
        <v>9661</v>
      </c>
      <c r="I4670" s="8">
        <v>529.875</v>
      </c>
      <c r="J4670" s="3">
        <f t="shared" si="72"/>
        <v>43747.807084155087</v>
      </c>
    </row>
    <row r="4671" spans="1:10" x14ac:dyDescent="0.25">
      <c r="A4671" s="5" t="s">
        <v>9662</v>
      </c>
      <c r="B4671" s="6">
        <v>421.875</v>
      </c>
      <c r="C4671" s="6">
        <v>20.478950000000001</v>
      </c>
      <c r="D4671" s="6">
        <v>72</v>
      </c>
      <c r="E4671" s="6">
        <v>0</v>
      </c>
      <c r="F4671" s="6">
        <v>0</v>
      </c>
      <c r="G4671" s="6">
        <v>8</v>
      </c>
      <c r="H4671" s="6" t="s">
        <v>9663</v>
      </c>
      <c r="I4671" s="6">
        <v>535.5</v>
      </c>
      <c r="J4671" s="2">
        <f t="shared" si="72"/>
        <v>43747.807155578703</v>
      </c>
    </row>
    <row r="4672" spans="1:10" x14ac:dyDescent="0.25">
      <c r="A4672" s="7" t="s">
        <v>9664</v>
      </c>
      <c r="B4672" s="8">
        <v>403.125</v>
      </c>
      <c r="C4672" s="8">
        <v>20.478950000000001</v>
      </c>
      <c r="D4672" s="8">
        <v>72</v>
      </c>
      <c r="E4672" s="8">
        <v>0</v>
      </c>
      <c r="F4672" s="8">
        <v>0</v>
      </c>
      <c r="G4672" s="8">
        <v>6</v>
      </c>
      <c r="H4672" s="8" t="s">
        <v>9665</v>
      </c>
      <c r="I4672" s="8">
        <v>529.875</v>
      </c>
      <c r="J4672" s="3">
        <f t="shared" si="72"/>
        <v>43747.807239108799</v>
      </c>
    </row>
    <row r="4673" spans="1:10" x14ac:dyDescent="0.25">
      <c r="A4673" s="5" t="s">
        <v>9666</v>
      </c>
      <c r="B4673" s="6">
        <v>403.125</v>
      </c>
      <c r="C4673" s="6">
        <v>20.478950000000001</v>
      </c>
      <c r="D4673" s="6">
        <v>73</v>
      </c>
      <c r="E4673" s="6">
        <v>0</v>
      </c>
      <c r="F4673" s="6">
        <v>0</v>
      </c>
      <c r="G4673" s="6">
        <v>4</v>
      </c>
      <c r="H4673" s="6" t="s">
        <v>9667</v>
      </c>
      <c r="I4673" s="6">
        <v>529.875</v>
      </c>
      <c r="J4673" s="2">
        <f t="shared" si="72"/>
        <v>43747.807323020832</v>
      </c>
    </row>
    <row r="4674" spans="1:10" x14ac:dyDescent="0.25">
      <c r="A4674" s="7" t="s">
        <v>9668</v>
      </c>
      <c r="B4674" s="8">
        <v>403.125</v>
      </c>
      <c r="C4674" s="8">
        <v>20.478950000000001</v>
      </c>
      <c r="D4674" s="8">
        <v>73</v>
      </c>
      <c r="E4674" s="8">
        <v>0</v>
      </c>
      <c r="F4674" s="8">
        <v>0</v>
      </c>
      <c r="G4674" s="8">
        <v>8</v>
      </c>
      <c r="H4674" s="8" t="s">
        <v>9669</v>
      </c>
      <c r="I4674" s="8">
        <v>529.875</v>
      </c>
      <c r="J4674" s="3">
        <f t="shared" ref="J4674:J4737" si="73">(H4674/86400000)+25569+(7/24)</f>
        <v>43747.80739376157</v>
      </c>
    </row>
    <row r="4675" spans="1:10" x14ac:dyDescent="0.25">
      <c r="A4675" s="5" t="s">
        <v>9670</v>
      </c>
      <c r="B4675" s="6">
        <v>403.125</v>
      </c>
      <c r="C4675" s="6">
        <v>20.478950000000001</v>
      </c>
      <c r="D4675" s="6">
        <v>73</v>
      </c>
      <c r="E4675" s="6">
        <v>0</v>
      </c>
      <c r="F4675" s="6">
        <v>0</v>
      </c>
      <c r="G4675" s="6">
        <v>0</v>
      </c>
      <c r="H4675" s="6" t="s">
        <v>9671</v>
      </c>
      <c r="I4675" s="6">
        <v>529.875</v>
      </c>
      <c r="J4675" s="2">
        <f t="shared" si="73"/>
        <v>43747.807465844904</v>
      </c>
    </row>
    <row r="4676" spans="1:10" x14ac:dyDescent="0.25">
      <c r="A4676" s="7" t="s">
        <v>9672</v>
      </c>
      <c r="B4676" s="8">
        <v>403.125</v>
      </c>
      <c r="C4676" s="8">
        <v>20.478950000000001</v>
      </c>
      <c r="D4676" s="8">
        <v>73</v>
      </c>
      <c r="E4676" s="8">
        <v>0</v>
      </c>
      <c r="F4676" s="8">
        <v>0</v>
      </c>
      <c r="G4676" s="8">
        <v>8</v>
      </c>
      <c r="H4676" s="8" t="s">
        <v>9673</v>
      </c>
      <c r="I4676" s="8">
        <v>529.875</v>
      </c>
      <c r="J4676" s="3">
        <f t="shared" si="73"/>
        <v>43747.807563703704</v>
      </c>
    </row>
    <row r="4677" spans="1:10" x14ac:dyDescent="0.25">
      <c r="A4677" s="5" t="s">
        <v>9674</v>
      </c>
      <c r="B4677" s="6">
        <v>403.125</v>
      </c>
      <c r="C4677" s="6">
        <v>20.478950000000001</v>
      </c>
      <c r="D4677" s="6">
        <v>74</v>
      </c>
      <c r="E4677" s="6">
        <v>0</v>
      </c>
      <c r="F4677" s="6">
        <v>0</v>
      </c>
      <c r="G4677" s="6">
        <v>7</v>
      </c>
      <c r="H4677" s="6" t="s">
        <v>9675</v>
      </c>
      <c r="I4677" s="6">
        <v>529.875</v>
      </c>
      <c r="J4677" s="2">
        <f t="shared" si="73"/>
        <v>43747.807644548608</v>
      </c>
    </row>
    <row r="4678" spans="1:10" x14ac:dyDescent="0.25">
      <c r="A4678" s="7" t="s">
        <v>9676</v>
      </c>
      <c r="B4678" s="8">
        <v>403.125</v>
      </c>
      <c r="C4678" s="8">
        <v>20.478950000000001</v>
      </c>
      <c r="D4678" s="8">
        <v>73</v>
      </c>
      <c r="E4678" s="8">
        <v>0</v>
      </c>
      <c r="F4678" s="8">
        <v>0</v>
      </c>
      <c r="G4678" s="8">
        <v>9</v>
      </c>
      <c r="H4678" s="8" t="s">
        <v>9677</v>
      </c>
      <c r="I4678" s="8">
        <v>529.875</v>
      </c>
      <c r="J4678" s="3">
        <f t="shared" si="73"/>
        <v>43747.807728194442</v>
      </c>
    </row>
    <row r="4679" spans="1:10" x14ac:dyDescent="0.25">
      <c r="A4679" s="5" t="s">
        <v>9678</v>
      </c>
      <c r="B4679" s="6">
        <v>403.125</v>
      </c>
      <c r="C4679" s="6">
        <v>20.478950000000001</v>
      </c>
      <c r="D4679" s="6">
        <v>72</v>
      </c>
      <c r="E4679" s="6">
        <v>0</v>
      </c>
      <c r="F4679" s="6">
        <v>0</v>
      </c>
      <c r="G4679" s="6">
        <v>9</v>
      </c>
      <c r="H4679" s="6" t="s">
        <v>9679</v>
      </c>
      <c r="I4679" s="6">
        <v>529.875</v>
      </c>
      <c r="J4679" s="2">
        <f t="shared" si="73"/>
        <v>43747.807811458326</v>
      </c>
    </row>
    <row r="4680" spans="1:10" x14ac:dyDescent="0.25">
      <c r="A4680" s="7" t="s">
        <v>9680</v>
      </c>
      <c r="B4680" s="8">
        <v>403.125</v>
      </c>
      <c r="C4680" s="8">
        <v>20.478950000000001</v>
      </c>
      <c r="D4680" s="8">
        <v>72</v>
      </c>
      <c r="E4680" s="8">
        <v>0</v>
      </c>
      <c r="F4680" s="8">
        <v>0</v>
      </c>
      <c r="G4680" s="8">
        <v>8</v>
      </c>
      <c r="H4680" s="8" t="s">
        <v>9681</v>
      </c>
      <c r="I4680" s="8">
        <v>529.875</v>
      </c>
      <c r="J4680" s="3">
        <f t="shared" si="73"/>
        <v>43747.80789535879</v>
      </c>
    </row>
    <row r="4681" spans="1:10" x14ac:dyDescent="0.25">
      <c r="A4681" s="5" t="s">
        <v>9682</v>
      </c>
      <c r="B4681" s="6">
        <v>425</v>
      </c>
      <c r="C4681" s="6">
        <v>20.478950000000001</v>
      </c>
      <c r="D4681" s="6">
        <v>72</v>
      </c>
      <c r="E4681" s="6">
        <v>0</v>
      </c>
      <c r="F4681" s="6">
        <v>0</v>
      </c>
      <c r="G4681" s="6">
        <v>7</v>
      </c>
      <c r="H4681" s="6" t="s">
        <v>9683</v>
      </c>
      <c r="I4681" s="6">
        <v>536.4375</v>
      </c>
      <c r="J4681" s="2">
        <f t="shared" si="73"/>
        <v>43747.807978472221</v>
      </c>
    </row>
    <row r="4682" spans="1:10" x14ac:dyDescent="0.25">
      <c r="A4682" s="7" t="s">
        <v>9684</v>
      </c>
      <c r="B4682" s="8">
        <v>406.25</v>
      </c>
      <c r="C4682" s="8">
        <v>20.478950000000001</v>
      </c>
      <c r="D4682" s="8">
        <v>71</v>
      </c>
      <c r="E4682" s="8">
        <v>0</v>
      </c>
      <c r="F4682" s="8">
        <v>0</v>
      </c>
      <c r="G4682" s="8">
        <v>11</v>
      </c>
      <c r="H4682" s="8" t="s">
        <v>9685</v>
      </c>
      <c r="I4682" s="8">
        <v>530.8125</v>
      </c>
      <c r="J4682" s="3">
        <f t="shared" si="73"/>
        <v>43747.808061909724</v>
      </c>
    </row>
    <row r="4683" spans="1:10" x14ac:dyDescent="0.25">
      <c r="A4683" s="5" t="s">
        <v>9686</v>
      </c>
      <c r="B4683" s="6">
        <v>406.25</v>
      </c>
      <c r="C4683" s="6">
        <v>20.478950000000001</v>
      </c>
      <c r="D4683" s="6">
        <v>72</v>
      </c>
      <c r="E4683" s="6">
        <v>0</v>
      </c>
      <c r="F4683" s="6">
        <v>0</v>
      </c>
      <c r="G4683" s="6">
        <v>13</v>
      </c>
      <c r="H4683" s="6" t="s">
        <v>9687</v>
      </c>
      <c r="I4683" s="6">
        <v>530.625</v>
      </c>
      <c r="J4683" s="2">
        <f t="shared" si="73"/>
        <v>43747.808145138886</v>
      </c>
    </row>
    <row r="4684" spans="1:10" x14ac:dyDescent="0.25">
      <c r="A4684" s="7" t="s">
        <v>9688</v>
      </c>
      <c r="B4684" s="8">
        <v>406.25</v>
      </c>
      <c r="C4684" s="8">
        <v>20.478950000000001</v>
      </c>
      <c r="D4684" s="8">
        <v>72</v>
      </c>
      <c r="E4684" s="8">
        <v>0</v>
      </c>
      <c r="F4684" s="8">
        <v>0</v>
      </c>
      <c r="G4684" s="8">
        <v>4</v>
      </c>
      <c r="H4684" s="8" t="s">
        <v>9689</v>
      </c>
      <c r="I4684" s="8">
        <v>530.625</v>
      </c>
      <c r="J4684" s="3">
        <f t="shared" si="73"/>
        <v>43747.808216979167</v>
      </c>
    </row>
    <row r="4685" spans="1:10" x14ac:dyDescent="0.25">
      <c r="A4685" s="5" t="s">
        <v>9690</v>
      </c>
      <c r="B4685" s="6">
        <v>406.25</v>
      </c>
      <c r="C4685" s="6">
        <v>20.478950000000001</v>
      </c>
      <c r="D4685" s="6">
        <v>72</v>
      </c>
      <c r="E4685" s="6">
        <v>0</v>
      </c>
      <c r="F4685" s="6">
        <v>0</v>
      </c>
      <c r="G4685" s="6">
        <v>12</v>
      </c>
      <c r="H4685" s="6" t="s">
        <v>9691</v>
      </c>
      <c r="I4685" s="6">
        <v>530.8125</v>
      </c>
      <c r="J4685" s="2">
        <f t="shared" si="73"/>
        <v>43747.808300358789</v>
      </c>
    </row>
    <row r="4686" spans="1:10" x14ac:dyDescent="0.25">
      <c r="A4686" s="7" t="s">
        <v>9692</v>
      </c>
      <c r="B4686" s="8">
        <v>446.875</v>
      </c>
      <c r="C4686" s="8">
        <v>20.478950000000001</v>
      </c>
      <c r="D4686" s="8">
        <v>73</v>
      </c>
      <c r="E4686" s="8">
        <v>0</v>
      </c>
      <c r="F4686" s="8">
        <v>0</v>
      </c>
      <c r="G4686" s="8">
        <v>3</v>
      </c>
      <c r="H4686" s="8" t="s">
        <v>9693</v>
      </c>
      <c r="I4686" s="8">
        <v>543</v>
      </c>
      <c r="J4686" s="3">
        <f t="shared" si="73"/>
        <v>43747.808383923613</v>
      </c>
    </row>
    <row r="4687" spans="1:10" x14ac:dyDescent="0.25">
      <c r="A4687" s="5" t="s">
        <v>9694</v>
      </c>
      <c r="B4687" s="6">
        <v>406.25</v>
      </c>
      <c r="C4687" s="6">
        <v>20.478950000000001</v>
      </c>
      <c r="D4687" s="6">
        <v>73</v>
      </c>
      <c r="E4687" s="6">
        <v>0</v>
      </c>
      <c r="F4687" s="6">
        <v>0</v>
      </c>
      <c r="G4687" s="6">
        <v>10</v>
      </c>
      <c r="H4687" s="6" t="s">
        <v>9695</v>
      </c>
      <c r="I4687" s="6">
        <v>530.8125</v>
      </c>
      <c r="J4687" s="2">
        <f t="shared" si="73"/>
        <v>43747.80846688657</v>
      </c>
    </row>
    <row r="4688" spans="1:10" x14ac:dyDescent="0.25">
      <c r="A4688" s="7" t="s">
        <v>9696</v>
      </c>
      <c r="B4688" s="8">
        <v>403.125</v>
      </c>
      <c r="C4688" s="8">
        <v>20.478950000000001</v>
      </c>
      <c r="D4688" s="8">
        <v>72</v>
      </c>
      <c r="E4688" s="8">
        <v>0</v>
      </c>
      <c r="F4688" s="8">
        <v>0</v>
      </c>
      <c r="G4688" s="8">
        <v>8</v>
      </c>
      <c r="H4688" s="8" t="s">
        <v>9697</v>
      </c>
      <c r="I4688" s="8">
        <v>529.875</v>
      </c>
      <c r="J4688" s="3">
        <f t="shared" si="73"/>
        <v>43747.808550937501</v>
      </c>
    </row>
    <row r="4689" spans="1:10" x14ac:dyDescent="0.25">
      <c r="A4689" s="5" t="s">
        <v>9698</v>
      </c>
      <c r="B4689" s="6">
        <v>403.125</v>
      </c>
      <c r="C4689" s="6">
        <v>20.478950000000001</v>
      </c>
      <c r="D4689" s="6">
        <v>71</v>
      </c>
      <c r="E4689" s="6">
        <v>0</v>
      </c>
      <c r="F4689" s="6">
        <v>0</v>
      </c>
      <c r="G4689" s="6">
        <v>1</v>
      </c>
      <c r="H4689" s="6" t="s">
        <v>9699</v>
      </c>
      <c r="I4689" s="6">
        <v>529.875</v>
      </c>
      <c r="J4689" s="2">
        <f t="shared" si="73"/>
        <v>43747.808634039349</v>
      </c>
    </row>
    <row r="4690" spans="1:10" x14ac:dyDescent="0.25">
      <c r="A4690" s="7" t="s">
        <v>9700</v>
      </c>
      <c r="B4690" s="8">
        <v>403.125</v>
      </c>
      <c r="C4690" s="8">
        <v>20.478950000000001</v>
      </c>
      <c r="D4690" s="8">
        <v>71</v>
      </c>
      <c r="E4690" s="8">
        <v>0</v>
      </c>
      <c r="F4690" s="8">
        <v>0</v>
      </c>
      <c r="G4690" s="8">
        <v>6</v>
      </c>
      <c r="H4690" s="8" t="s">
        <v>9701</v>
      </c>
      <c r="I4690" s="8">
        <v>529.125</v>
      </c>
      <c r="J4690" s="3">
        <f t="shared" si="73"/>
        <v>43747.808705659721</v>
      </c>
    </row>
    <row r="4691" spans="1:10" x14ac:dyDescent="0.25">
      <c r="A4691" s="5" t="s">
        <v>9702</v>
      </c>
      <c r="B4691" s="6">
        <v>403.125</v>
      </c>
      <c r="C4691" s="6">
        <v>20.478950000000001</v>
      </c>
      <c r="D4691" s="6">
        <v>71</v>
      </c>
      <c r="E4691" s="6">
        <v>0</v>
      </c>
      <c r="F4691" s="6">
        <v>0</v>
      </c>
      <c r="G4691" s="6">
        <v>1</v>
      </c>
      <c r="H4691" s="6" t="s">
        <v>9703</v>
      </c>
      <c r="I4691" s="6">
        <v>529.125</v>
      </c>
      <c r="J4691" s="2">
        <f t="shared" si="73"/>
        <v>43747.808800949068</v>
      </c>
    </row>
    <row r="4692" spans="1:10" x14ac:dyDescent="0.25">
      <c r="A4692" s="7" t="s">
        <v>9704</v>
      </c>
      <c r="B4692" s="8">
        <v>403.125</v>
      </c>
      <c r="C4692" s="8">
        <v>20.478950000000001</v>
      </c>
      <c r="D4692" s="8">
        <v>71</v>
      </c>
      <c r="E4692" s="8">
        <v>0</v>
      </c>
      <c r="F4692" s="8">
        <v>0</v>
      </c>
      <c r="G4692" s="8">
        <v>2</v>
      </c>
      <c r="H4692" s="8" t="s">
        <v>9705</v>
      </c>
      <c r="I4692" s="8">
        <v>529.125</v>
      </c>
      <c r="J4692" s="3">
        <f t="shared" si="73"/>
        <v>43747.808872453701</v>
      </c>
    </row>
    <row r="4693" spans="1:10" x14ac:dyDescent="0.25">
      <c r="A4693" s="5" t="s">
        <v>9706</v>
      </c>
      <c r="B4693" s="6">
        <v>403.125</v>
      </c>
      <c r="C4693" s="6">
        <v>20.478950000000001</v>
      </c>
      <c r="D4693" s="6">
        <v>70</v>
      </c>
      <c r="E4693" s="6">
        <v>0</v>
      </c>
      <c r="F4693" s="6">
        <v>0</v>
      </c>
      <c r="G4693" s="6">
        <v>8</v>
      </c>
      <c r="H4693" s="6" t="s">
        <v>9707</v>
      </c>
      <c r="I4693" s="6">
        <v>529.125</v>
      </c>
      <c r="J4693" s="2">
        <f t="shared" si="73"/>
        <v>43747.808956342589</v>
      </c>
    </row>
    <row r="4694" spans="1:10" x14ac:dyDescent="0.25">
      <c r="A4694" s="7" t="s">
        <v>9708</v>
      </c>
      <c r="B4694" s="8">
        <v>403.125</v>
      </c>
      <c r="C4694" s="8">
        <v>20.478950000000001</v>
      </c>
      <c r="D4694" s="8">
        <v>70</v>
      </c>
      <c r="E4694" s="8">
        <v>0</v>
      </c>
      <c r="F4694" s="8">
        <v>0</v>
      </c>
      <c r="G4694" s="8">
        <v>0</v>
      </c>
      <c r="H4694" s="8" t="s">
        <v>9709</v>
      </c>
      <c r="I4694" s="8">
        <v>529.875</v>
      </c>
      <c r="J4694" s="3">
        <f t="shared" si="73"/>
        <v>43747.809055162033</v>
      </c>
    </row>
    <row r="4695" spans="1:10" x14ac:dyDescent="0.25">
      <c r="A4695" s="5" t="s">
        <v>9710</v>
      </c>
      <c r="B4695" s="6">
        <v>403.125</v>
      </c>
      <c r="C4695" s="6">
        <v>20.478950000000001</v>
      </c>
      <c r="D4695" s="6">
        <v>68</v>
      </c>
      <c r="E4695" s="6">
        <v>0</v>
      </c>
      <c r="F4695" s="6">
        <v>0</v>
      </c>
      <c r="G4695" s="6">
        <v>7</v>
      </c>
      <c r="H4695" s="6" t="s">
        <v>9711</v>
      </c>
      <c r="I4695" s="6">
        <v>529.875</v>
      </c>
      <c r="J4695" s="2">
        <f t="shared" si="73"/>
        <v>43747.809135057869</v>
      </c>
    </row>
    <row r="4696" spans="1:10" x14ac:dyDescent="0.25">
      <c r="A4696" s="7" t="s">
        <v>9712</v>
      </c>
      <c r="B4696" s="8">
        <v>403.125</v>
      </c>
      <c r="C4696" s="8">
        <v>20.531590000000001</v>
      </c>
      <c r="D4696" s="8">
        <v>70</v>
      </c>
      <c r="E4696" s="8">
        <v>0</v>
      </c>
      <c r="F4696" s="8">
        <v>0</v>
      </c>
      <c r="G4696" s="8">
        <v>5</v>
      </c>
      <c r="H4696" s="8" t="s">
        <v>9713</v>
      </c>
      <c r="I4696" s="8">
        <v>529.875</v>
      </c>
      <c r="J4696" s="3">
        <f t="shared" si="73"/>
        <v>43747.809206712962</v>
      </c>
    </row>
    <row r="4697" spans="1:10" x14ac:dyDescent="0.25">
      <c r="A4697" s="5" t="s">
        <v>9714</v>
      </c>
      <c r="B4697" s="6">
        <v>406.25</v>
      </c>
      <c r="C4697" s="6">
        <v>20.478950000000001</v>
      </c>
      <c r="D4697" s="6">
        <v>70</v>
      </c>
      <c r="E4697" s="6">
        <v>0</v>
      </c>
      <c r="F4697" s="6">
        <v>0</v>
      </c>
      <c r="G4697" s="6">
        <v>5</v>
      </c>
      <c r="H4697" s="6" t="s">
        <v>9715</v>
      </c>
      <c r="I4697" s="6">
        <v>530.625</v>
      </c>
      <c r="J4697" s="2">
        <f t="shared" si="73"/>
        <v>43747.80928981481</v>
      </c>
    </row>
    <row r="4698" spans="1:10" x14ac:dyDescent="0.25">
      <c r="A4698" s="7" t="s">
        <v>9716</v>
      </c>
      <c r="B4698" s="8">
        <v>431.25</v>
      </c>
      <c r="C4698" s="8">
        <v>20.478950000000001</v>
      </c>
      <c r="D4698" s="8">
        <v>69</v>
      </c>
      <c r="E4698" s="8">
        <v>0</v>
      </c>
      <c r="F4698" s="8">
        <v>0</v>
      </c>
      <c r="G4698" s="8">
        <v>14</v>
      </c>
      <c r="H4698" s="8" t="s">
        <v>9717</v>
      </c>
      <c r="I4698" s="8">
        <v>538.5</v>
      </c>
      <c r="J4698" s="3">
        <f t="shared" si="73"/>
        <v>43747.809373692122</v>
      </c>
    </row>
    <row r="4699" spans="1:10" x14ac:dyDescent="0.25">
      <c r="A4699" s="5" t="s">
        <v>9718</v>
      </c>
      <c r="B4699" s="6">
        <v>409.375</v>
      </c>
      <c r="C4699" s="6">
        <v>20.478950000000001</v>
      </c>
      <c r="D4699" s="6">
        <v>70</v>
      </c>
      <c r="E4699" s="6">
        <v>0</v>
      </c>
      <c r="F4699" s="6">
        <v>0</v>
      </c>
      <c r="G4699" s="6">
        <v>8</v>
      </c>
      <c r="H4699" s="6" t="s">
        <v>9719</v>
      </c>
      <c r="I4699" s="6">
        <v>531.375</v>
      </c>
      <c r="J4699" s="2">
        <f t="shared" si="73"/>
        <v>43747.809445254628</v>
      </c>
    </row>
    <row r="4700" spans="1:10" x14ac:dyDescent="0.25">
      <c r="A4700" s="7" t="s">
        <v>9720</v>
      </c>
      <c r="B4700" s="8">
        <v>412.5</v>
      </c>
      <c r="C4700" s="8">
        <v>20.478950000000001</v>
      </c>
      <c r="D4700" s="8">
        <v>77</v>
      </c>
      <c r="E4700" s="8">
        <v>0</v>
      </c>
      <c r="F4700" s="8">
        <v>0</v>
      </c>
      <c r="G4700" s="8">
        <v>0</v>
      </c>
      <c r="H4700" s="8" t="s">
        <v>9721</v>
      </c>
      <c r="I4700" s="8">
        <v>532.125</v>
      </c>
      <c r="J4700" s="3">
        <f t="shared" si="73"/>
        <v>43747.809528564809</v>
      </c>
    </row>
    <row r="4701" spans="1:10" x14ac:dyDescent="0.25">
      <c r="A4701" s="5" t="s">
        <v>9722</v>
      </c>
      <c r="B4701" s="6">
        <v>412.5</v>
      </c>
      <c r="C4701" s="6">
        <v>20.478950000000001</v>
      </c>
      <c r="D4701" s="6">
        <v>75</v>
      </c>
      <c r="E4701" s="6">
        <v>0</v>
      </c>
      <c r="F4701" s="6">
        <v>0</v>
      </c>
      <c r="G4701" s="6">
        <v>9</v>
      </c>
      <c r="H4701" s="6" t="s">
        <v>9723</v>
      </c>
      <c r="I4701" s="6">
        <v>532.3125</v>
      </c>
      <c r="J4701" s="2">
        <f t="shared" si="73"/>
        <v>43747.809611805555</v>
      </c>
    </row>
    <row r="4702" spans="1:10" x14ac:dyDescent="0.25">
      <c r="A4702" s="7" t="s">
        <v>9724</v>
      </c>
      <c r="B4702" s="8">
        <v>412.5</v>
      </c>
      <c r="C4702" s="8">
        <v>20.478950000000001</v>
      </c>
      <c r="D4702" s="8">
        <v>75</v>
      </c>
      <c r="E4702" s="8">
        <v>0</v>
      </c>
      <c r="F4702" s="8">
        <v>0</v>
      </c>
      <c r="G4702" s="8">
        <v>6</v>
      </c>
      <c r="H4702" s="8" t="s">
        <v>9725</v>
      </c>
      <c r="I4702" s="8">
        <v>532.3125</v>
      </c>
      <c r="J4702" s="3">
        <f t="shared" si="73"/>
        <v>43747.80968356481</v>
      </c>
    </row>
    <row r="4703" spans="1:10" x14ac:dyDescent="0.25">
      <c r="A4703" s="5" t="s">
        <v>9726</v>
      </c>
      <c r="B4703" s="6">
        <v>415.625</v>
      </c>
      <c r="C4703" s="6">
        <v>20.478950000000001</v>
      </c>
      <c r="D4703" s="6">
        <v>73</v>
      </c>
      <c r="E4703" s="6">
        <v>0</v>
      </c>
      <c r="F4703" s="6">
        <v>0</v>
      </c>
      <c r="G4703" s="6">
        <v>17</v>
      </c>
      <c r="H4703" s="6" t="s">
        <v>9727</v>
      </c>
      <c r="I4703" s="6">
        <v>533.0625</v>
      </c>
      <c r="J4703" s="2">
        <f t="shared" si="73"/>
        <v>43747.809767222221</v>
      </c>
    </row>
    <row r="4704" spans="1:10" x14ac:dyDescent="0.25">
      <c r="A4704" s="7" t="s">
        <v>9728</v>
      </c>
      <c r="B4704" s="8">
        <v>415.625</v>
      </c>
      <c r="C4704" s="8">
        <v>20.478950000000001</v>
      </c>
      <c r="D4704" s="8">
        <v>74</v>
      </c>
      <c r="E4704" s="8">
        <v>0</v>
      </c>
      <c r="F4704" s="8">
        <v>0</v>
      </c>
      <c r="G4704" s="8">
        <v>5</v>
      </c>
      <c r="H4704" s="8" t="s">
        <v>9729</v>
      </c>
      <c r="I4704" s="8">
        <v>533.0625</v>
      </c>
      <c r="J4704" s="3">
        <f t="shared" si="73"/>
        <v>43747.809851030092</v>
      </c>
    </row>
    <row r="4705" spans="1:10" x14ac:dyDescent="0.25">
      <c r="A4705" s="5" t="s">
        <v>9730</v>
      </c>
      <c r="B4705" s="6">
        <v>415.625</v>
      </c>
      <c r="C4705" s="6">
        <v>20.478950000000001</v>
      </c>
      <c r="D4705" s="6">
        <v>73</v>
      </c>
      <c r="E4705" s="6">
        <v>0</v>
      </c>
      <c r="F4705" s="6">
        <v>0</v>
      </c>
      <c r="G4705" s="6">
        <v>3</v>
      </c>
      <c r="H4705" s="6" t="s">
        <v>9731</v>
      </c>
      <c r="I4705" s="6">
        <v>533.0625</v>
      </c>
      <c r="J4705" s="2">
        <f t="shared" si="73"/>
        <v>43747.809934131939</v>
      </c>
    </row>
    <row r="4706" spans="1:10" x14ac:dyDescent="0.25">
      <c r="A4706" s="7" t="s">
        <v>9732</v>
      </c>
      <c r="B4706" s="8">
        <v>431.25</v>
      </c>
      <c r="C4706" s="8">
        <v>20.478950000000001</v>
      </c>
      <c r="D4706" s="8">
        <v>73</v>
      </c>
      <c r="E4706" s="8">
        <v>0</v>
      </c>
      <c r="F4706" s="8">
        <v>0</v>
      </c>
      <c r="G4706" s="8">
        <v>5</v>
      </c>
      <c r="H4706" s="8" t="s">
        <v>9733</v>
      </c>
      <c r="I4706" s="8">
        <v>538.875</v>
      </c>
      <c r="J4706" s="3">
        <f t="shared" si="73"/>
        <v>43747.810024004626</v>
      </c>
    </row>
    <row r="4707" spans="1:10" x14ac:dyDescent="0.25">
      <c r="A4707" s="5" t="s">
        <v>9734</v>
      </c>
      <c r="B4707" s="6">
        <v>418.75</v>
      </c>
      <c r="C4707" s="6">
        <v>20.478950000000001</v>
      </c>
      <c r="D4707" s="6">
        <v>73</v>
      </c>
      <c r="E4707" s="6">
        <v>0</v>
      </c>
      <c r="F4707" s="6">
        <v>0</v>
      </c>
      <c r="G4707" s="6">
        <v>8</v>
      </c>
      <c r="H4707" s="6" t="s">
        <v>9735</v>
      </c>
      <c r="I4707" s="6">
        <v>534</v>
      </c>
      <c r="J4707" s="2">
        <f t="shared" si="73"/>
        <v>43747.81010067129</v>
      </c>
    </row>
    <row r="4708" spans="1:10" x14ac:dyDescent="0.25">
      <c r="A4708" s="7" t="s">
        <v>9736</v>
      </c>
      <c r="B4708" s="8">
        <v>418.75</v>
      </c>
      <c r="C4708" s="8">
        <v>20.478950000000001</v>
      </c>
      <c r="D4708" s="8">
        <v>73</v>
      </c>
      <c r="E4708" s="8">
        <v>0</v>
      </c>
      <c r="F4708" s="8">
        <v>0</v>
      </c>
      <c r="G4708" s="8">
        <v>4</v>
      </c>
      <c r="H4708" s="8" t="s">
        <v>9737</v>
      </c>
      <c r="I4708" s="8">
        <v>534</v>
      </c>
      <c r="J4708" s="3">
        <f t="shared" si="73"/>
        <v>43747.810172442129</v>
      </c>
    </row>
    <row r="4709" spans="1:10" x14ac:dyDescent="0.25">
      <c r="A4709" s="5" t="s">
        <v>9738</v>
      </c>
      <c r="B4709" s="6">
        <v>418.75</v>
      </c>
      <c r="C4709" s="6">
        <v>20.531590000000001</v>
      </c>
      <c r="D4709" s="6">
        <v>72</v>
      </c>
      <c r="E4709" s="6">
        <v>0</v>
      </c>
      <c r="F4709" s="6">
        <v>0</v>
      </c>
      <c r="G4709" s="6">
        <v>8</v>
      </c>
      <c r="H4709" s="6" t="s">
        <v>9739</v>
      </c>
      <c r="I4709" s="6">
        <v>534.75</v>
      </c>
      <c r="J4709" s="2">
        <f t="shared" si="73"/>
        <v>43747.810256018514</v>
      </c>
    </row>
    <row r="4710" spans="1:10" x14ac:dyDescent="0.25">
      <c r="A4710" s="7" t="s">
        <v>9740</v>
      </c>
      <c r="B4710" s="8">
        <v>418.75</v>
      </c>
      <c r="C4710" s="8">
        <v>20.478950000000001</v>
      </c>
      <c r="D4710" s="8">
        <v>71</v>
      </c>
      <c r="E4710" s="8">
        <v>0</v>
      </c>
      <c r="F4710" s="8">
        <v>0</v>
      </c>
      <c r="G4710" s="8">
        <v>7</v>
      </c>
      <c r="H4710" s="8" t="s">
        <v>9741</v>
      </c>
      <c r="I4710" s="8">
        <v>534.75</v>
      </c>
      <c r="J4710" s="3">
        <f t="shared" si="73"/>
        <v>43747.810339467593</v>
      </c>
    </row>
    <row r="4711" spans="1:10" x14ac:dyDescent="0.25">
      <c r="A4711" s="5" t="s">
        <v>9742</v>
      </c>
      <c r="B4711" s="6">
        <v>434.375</v>
      </c>
      <c r="C4711" s="6">
        <v>20.478950000000001</v>
      </c>
      <c r="D4711" s="6">
        <v>68</v>
      </c>
      <c r="E4711" s="6">
        <v>0</v>
      </c>
      <c r="F4711" s="6">
        <v>0</v>
      </c>
      <c r="G4711" s="6">
        <v>3</v>
      </c>
      <c r="H4711" s="6" t="s">
        <v>9743</v>
      </c>
      <c r="I4711" s="6">
        <v>539.625</v>
      </c>
      <c r="J4711" s="2">
        <f t="shared" si="73"/>
        <v>43747.810422916664</v>
      </c>
    </row>
    <row r="4712" spans="1:10" x14ac:dyDescent="0.25">
      <c r="A4712" s="7" t="s">
        <v>9744</v>
      </c>
      <c r="B4712" s="8">
        <v>418.75</v>
      </c>
      <c r="C4712" s="8">
        <v>20.478950000000001</v>
      </c>
      <c r="D4712" s="8">
        <v>68</v>
      </c>
      <c r="E4712" s="8">
        <v>0</v>
      </c>
      <c r="F4712" s="8">
        <v>0</v>
      </c>
      <c r="G4712" s="8">
        <v>5</v>
      </c>
      <c r="H4712" s="8" t="s">
        <v>9745</v>
      </c>
      <c r="I4712" s="8">
        <v>534</v>
      </c>
      <c r="J4712" s="3">
        <f t="shared" si="73"/>
        <v>43747.810506354166</v>
      </c>
    </row>
    <row r="4713" spans="1:10" x14ac:dyDescent="0.25">
      <c r="A4713" s="5" t="s">
        <v>9746</v>
      </c>
      <c r="B4713" s="6">
        <v>418.75</v>
      </c>
      <c r="C4713" s="6">
        <v>20.478950000000001</v>
      </c>
      <c r="D4713" s="6">
        <v>69</v>
      </c>
      <c r="E4713" s="6">
        <v>0</v>
      </c>
      <c r="F4713" s="6">
        <v>0</v>
      </c>
      <c r="G4713" s="6">
        <v>7</v>
      </c>
      <c r="H4713" s="6" t="s">
        <v>9747</v>
      </c>
      <c r="I4713" s="6">
        <v>534</v>
      </c>
      <c r="J4713" s="2">
        <f t="shared" si="73"/>
        <v>43747.810589583336</v>
      </c>
    </row>
    <row r="4714" spans="1:10" x14ac:dyDescent="0.25">
      <c r="A4714" s="7" t="s">
        <v>9748</v>
      </c>
      <c r="B4714" s="8">
        <v>418.75</v>
      </c>
      <c r="C4714" s="8">
        <v>20.478950000000001</v>
      </c>
      <c r="D4714" s="8">
        <v>69</v>
      </c>
      <c r="E4714" s="8">
        <v>0</v>
      </c>
      <c r="F4714" s="8">
        <v>0</v>
      </c>
      <c r="G4714" s="8">
        <v>13</v>
      </c>
      <c r="H4714" s="8" t="s">
        <v>9749</v>
      </c>
      <c r="I4714" s="8">
        <v>534</v>
      </c>
      <c r="J4714" s="3">
        <f t="shared" si="73"/>
        <v>43747.810673391206</v>
      </c>
    </row>
    <row r="4715" spans="1:10" x14ac:dyDescent="0.25">
      <c r="A4715" s="5" t="s">
        <v>9750</v>
      </c>
      <c r="B4715" s="6">
        <v>415.625</v>
      </c>
      <c r="C4715" s="6">
        <v>20.478950000000001</v>
      </c>
      <c r="D4715" s="6">
        <v>69</v>
      </c>
      <c r="E4715" s="6">
        <v>0</v>
      </c>
      <c r="F4715" s="6">
        <v>0</v>
      </c>
      <c r="G4715" s="6">
        <v>11</v>
      </c>
      <c r="H4715" s="6" t="s">
        <v>9751</v>
      </c>
      <c r="I4715" s="6">
        <v>533.25</v>
      </c>
      <c r="J4715" s="2">
        <f t="shared" si="73"/>
        <v>43747.81075650463</v>
      </c>
    </row>
    <row r="4716" spans="1:10" x14ac:dyDescent="0.25">
      <c r="A4716" s="7" t="s">
        <v>9752</v>
      </c>
      <c r="B4716" s="8">
        <v>412.5</v>
      </c>
      <c r="C4716" s="8">
        <v>20.478950000000001</v>
      </c>
      <c r="D4716" s="8">
        <v>69</v>
      </c>
      <c r="E4716" s="8">
        <v>0</v>
      </c>
      <c r="F4716" s="8">
        <v>0</v>
      </c>
      <c r="G4716" s="8">
        <v>10</v>
      </c>
      <c r="H4716" s="8" t="s">
        <v>9753</v>
      </c>
      <c r="I4716" s="8">
        <v>532.3125</v>
      </c>
      <c r="J4716" s="3">
        <f t="shared" si="73"/>
        <v>43747.810828124995</v>
      </c>
    </row>
    <row r="4717" spans="1:10" x14ac:dyDescent="0.25">
      <c r="A4717" s="5" t="s">
        <v>9754</v>
      </c>
      <c r="B4717" s="6">
        <v>409.375</v>
      </c>
      <c r="C4717" s="6">
        <v>20.478950000000001</v>
      </c>
      <c r="D4717" s="6">
        <v>69</v>
      </c>
      <c r="E4717" s="6">
        <v>0</v>
      </c>
      <c r="F4717" s="6">
        <v>0</v>
      </c>
      <c r="G4717" s="6">
        <v>7</v>
      </c>
      <c r="H4717" s="6" t="s">
        <v>9755</v>
      </c>
      <c r="I4717" s="6">
        <v>531.375</v>
      </c>
      <c r="J4717" s="2">
        <f t="shared" si="73"/>
        <v>43747.810911805551</v>
      </c>
    </row>
    <row r="4718" spans="1:10" x14ac:dyDescent="0.25">
      <c r="A4718" s="7" t="s">
        <v>9756</v>
      </c>
      <c r="B4718" s="8">
        <v>406.25</v>
      </c>
      <c r="C4718" s="8">
        <v>20.478950000000001</v>
      </c>
      <c r="D4718" s="8">
        <v>70</v>
      </c>
      <c r="E4718" s="8">
        <v>0</v>
      </c>
      <c r="F4718" s="8">
        <v>0</v>
      </c>
      <c r="G4718" s="8">
        <v>9</v>
      </c>
      <c r="H4718" s="8" t="s">
        <v>9757</v>
      </c>
      <c r="I4718" s="8">
        <v>530.625</v>
      </c>
      <c r="J4718" s="3">
        <f t="shared" si="73"/>
        <v>43747.810995254629</v>
      </c>
    </row>
    <row r="4719" spans="1:10" x14ac:dyDescent="0.25">
      <c r="A4719" s="5" t="s">
        <v>9758</v>
      </c>
      <c r="B4719" s="6">
        <v>406.25</v>
      </c>
      <c r="C4719" s="6">
        <v>20.478950000000001</v>
      </c>
      <c r="D4719" s="6">
        <v>71</v>
      </c>
      <c r="E4719" s="6">
        <v>0</v>
      </c>
      <c r="F4719" s="6">
        <v>0</v>
      </c>
      <c r="G4719" s="6">
        <v>9</v>
      </c>
      <c r="H4719" s="6" t="s">
        <v>9759</v>
      </c>
      <c r="I4719" s="6">
        <v>530.625</v>
      </c>
      <c r="J4719" s="2">
        <f t="shared" si="73"/>
        <v>43747.811078460647</v>
      </c>
    </row>
    <row r="4720" spans="1:10" x14ac:dyDescent="0.25">
      <c r="A4720" s="7" t="s">
        <v>9760</v>
      </c>
      <c r="B4720" s="8">
        <v>437.5</v>
      </c>
      <c r="C4720" s="8">
        <v>20.478950000000001</v>
      </c>
      <c r="D4720" s="8">
        <v>70</v>
      </c>
      <c r="E4720" s="8">
        <v>0</v>
      </c>
      <c r="F4720" s="8">
        <v>0</v>
      </c>
      <c r="G4720" s="8">
        <v>5</v>
      </c>
      <c r="H4720" s="8" t="s">
        <v>9761</v>
      </c>
      <c r="I4720" s="8">
        <v>540.375</v>
      </c>
      <c r="J4720" s="3">
        <f t="shared" si="73"/>
        <v>43747.811174074071</v>
      </c>
    </row>
    <row r="4721" spans="1:10" x14ac:dyDescent="0.25">
      <c r="A4721" s="5" t="s">
        <v>9762</v>
      </c>
      <c r="B4721" s="6">
        <v>406.25</v>
      </c>
      <c r="C4721" s="6">
        <v>20.478950000000001</v>
      </c>
      <c r="D4721" s="6">
        <v>70</v>
      </c>
      <c r="E4721" s="6">
        <v>0</v>
      </c>
      <c r="F4721" s="6">
        <v>0</v>
      </c>
      <c r="G4721" s="6">
        <v>8</v>
      </c>
      <c r="H4721" s="6" t="s">
        <v>9763</v>
      </c>
      <c r="I4721" s="6">
        <v>530.625</v>
      </c>
      <c r="J4721" s="2">
        <f t="shared" si="73"/>
        <v>43747.811257511574</v>
      </c>
    </row>
    <row r="4722" spans="1:10" x14ac:dyDescent="0.25">
      <c r="A4722" s="7" t="s">
        <v>9764</v>
      </c>
      <c r="B4722" s="8">
        <v>406.25</v>
      </c>
      <c r="C4722" s="8">
        <v>20.478950000000001</v>
      </c>
      <c r="D4722" s="8">
        <v>69</v>
      </c>
      <c r="E4722" s="8">
        <v>0</v>
      </c>
      <c r="F4722" s="8">
        <v>0</v>
      </c>
      <c r="G4722" s="8">
        <v>11</v>
      </c>
      <c r="H4722" s="8" t="s">
        <v>9765</v>
      </c>
      <c r="I4722" s="8">
        <v>530.625</v>
      </c>
      <c r="J4722" s="3">
        <f t="shared" si="73"/>
        <v>43747.811341076384</v>
      </c>
    </row>
    <row r="4723" spans="1:10" x14ac:dyDescent="0.25">
      <c r="A4723" s="5" t="s">
        <v>9766</v>
      </c>
      <c r="B4723" s="6">
        <v>409.375</v>
      </c>
      <c r="C4723" s="6">
        <v>20.478950000000001</v>
      </c>
      <c r="D4723" s="6">
        <v>69</v>
      </c>
      <c r="E4723" s="6">
        <v>0</v>
      </c>
      <c r="F4723" s="6">
        <v>0</v>
      </c>
      <c r="G4723" s="6">
        <v>11</v>
      </c>
      <c r="H4723" s="6" t="s">
        <v>9767</v>
      </c>
      <c r="I4723" s="6">
        <v>531.375</v>
      </c>
      <c r="J4723" s="2">
        <f t="shared" si="73"/>
        <v>43747.811424513886</v>
      </c>
    </row>
    <row r="4724" spans="1:10" x14ac:dyDescent="0.25">
      <c r="A4724" s="7" t="s">
        <v>9768</v>
      </c>
      <c r="B4724" s="8">
        <v>409.375</v>
      </c>
      <c r="C4724" s="8">
        <v>20.478950000000001</v>
      </c>
      <c r="D4724" s="8">
        <v>69</v>
      </c>
      <c r="E4724" s="8">
        <v>0</v>
      </c>
      <c r="F4724" s="8">
        <v>0</v>
      </c>
      <c r="G4724" s="8">
        <v>13</v>
      </c>
      <c r="H4724" s="8" t="s">
        <v>9769</v>
      </c>
      <c r="I4724" s="8">
        <v>531.5625</v>
      </c>
      <c r="J4724" s="3">
        <f t="shared" si="73"/>
        <v>43747.811525439807</v>
      </c>
    </row>
    <row r="4725" spans="1:10" x14ac:dyDescent="0.25">
      <c r="A4725" s="5" t="s">
        <v>9770</v>
      </c>
      <c r="B4725" s="6">
        <v>409.375</v>
      </c>
      <c r="C4725" s="6">
        <v>20.478950000000001</v>
      </c>
      <c r="D4725" s="6">
        <v>68</v>
      </c>
      <c r="E4725" s="6">
        <v>0</v>
      </c>
      <c r="F4725" s="6">
        <v>0</v>
      </c>
      <c r="G4725" s="6">
        <v>8</v>
      </c>
      <c r="H4725" s="6" t="s">
        <v>9771</v>
      </c>
      <c r="I4725" s="6">
        <v>531.5625</v>
      </c>
      <c r="J4725" s="2">
        <f t="shared" si="73"/>
        <v>43747.811615624996</v>
      </c>
    </row>
    <row r="4726" spans="1:10" x14ac:dyDescent="0.25">
      <c r="A4726" s="7" t="s">
        <v>9772</v>
      </c>
      <c r="B4726" s="8">
        <v>409.375</v>
      </c>
      <c r="C4726" s="8">
        <v>20.478950000000001</v>
      </c>
      <c r="D4726" s="8">
        <v>67</v>
      </c>
      <c r="E4726" s="8">
        <v>0</v>
      </c>
      <c r="F4726" s="8">
        <v>0</v>
      </c>
      <c r="G4726" s="8">
        <v>2</v>
      </c>
      <c r="H4726" s="8" t="s">
        <v>9773</v>
      </c>
      <c r="I4726" s="8">
        <v>531.375</v>
      </c>
      <c r="J4726" s="3">
        <f t="shared" si="73"/>
        <v>43747.811698831014</v>
      </c>
    </row>
    <row r="4727" spans="1:10" x14ac:dyDescent="0.25">
      <c r="A4727" s="5" t="s">
        <v>9774</v>
      </c>
      <c r="B4727" s="6">
        <v>412.5</v>
      </c>
      <c r="C4727" s="6">
        <v>20.478950000000001</v>
      </c>
      <c r="D4727" s="6">
        <v>67</v>
      </c>
      <c r="E4727" s="6">
        <v>0</v>
      </c>
      <c r="F4727" s="6">
        <v>0</v>
      </c>
      <c r="G4727" s="6">
        <v>0</v>
      </c>
      <c r="H4727" s="6" t="s">
        <v>9775</v>
      </c>
      <c r="I4727" s="6">
        <v>532.125</v>
      </c>
      <c r="J4727" s="2">
        <f t="shared" si="73"/>
        <v>43747.811782280092</v>
      </c>
    </row>
    <row r="4728" spans="1:10" x14ac:dyDescent="0.25">
      <c r="A4728" s="7" t="s">
        <v>9776</v>
      </c>
      <c r="B4728" s="8">
        <v>412.5</v>
      </c>
      <c r="C4728" s="8">
        <v>20.478950000000001</v>
      </c>
      <c r="D4728" s="8">
        <v>71</v>
      </c>
      <c r="E4728" s="8">
        <v>0</v>
      </c>
      <c r="F4728" s="8">
        <v>0</v>
      </c>
      <c r="G4728" s="8">
        <v>22</v>
      </c>
      <c r="H4728" s="8" t="s">
        <v>9777</v>
      </c>
      <c r="I4728" s="8">
        <v>532.3125</v>
      </c>
      <c r="J4728" s="3">
        <f t="shared" si="73"/>
        <v>43747.811877650463</v>
      </c>
    </row>
    <row r="4729" spans="1:10" x14ac:dyDescent="0.25">
      <c r="A4729" s="5" t="s">
        <v>9778</v>
      </c>
      <c r="B4729" s="6">
        <v>409.375</v>
      </c>
      <c r="C4729" s="6">
        <v>20.478950000000001</v>
      </c>
      <c r="D4729" s="6">
        <v>71</v>
      </c>
      <c r="E4729" s="6">
        <v>0</v>
      </c>
      <c r="F4729" s="6">
        <v>0</v>
      </c>
      <c r="G4729" s="6">
        <v>9</v>
      </c>
      <c r="H4729" s="6" t="s">
        <v>9779</v>
      </c>
      <c r="I4729" s="6">
        <v>531.5625</v>
      </c>
      <c r="J4729" s="2">
        <f t="shared" si="73"/>
        <v>43747.811961099535</v>
      </c>
    </row>
    <row r="4730" spans="1:10" x14ac:dyDescent="0.25">
      <c r="A4730" s="7" t="s">
        <v>9780</v>
      </c>
      <c r="B4730" s="8">
        <v>409.375</v>
      </c>
      <c r="C4730" s="8">
        <v>20.478950000000001</v>
      </c>
      <c r="D4730" s="8">
        <v>71</v>
      </c>
      <c r="E4730" s="8">
        <v>0</v>
      </c>
      <c r="F4730" s="8">
        <v>0</v>
      </c>
      <c r="G4730" s="8">
        <v>12</v>
      </c>
      <c r="H4730" s="8" t="s">
        <v>9781</v>
      </c>
      <c r="I4730" s="8">
        <v>531.5625</v>
      </c>
      <c r="J4730" s="3">
        <f t="shared" si="73"/>
        <v>43747.812044571758</v>
      </c>
    </row>
    <row r="4731" spans="1:10" x14ac:dyDescent="0.25">
      <c r="A4731" s="5" t="s">
        <v>9782</v>
      </c>
      <c r="B4731" s="6">
        <v>406.25</v>
      </c>
      <c r="C4731" s="6">
        <v>20.478950000000001</v>
      </c>
      <c r="D4731" s="6">
        <v>71</v>
      </c>
      <c r="E4731" s="6">
        <v>0</v>
      </c>
      <c r="F4731" s="6">
        <v>0</v>
      </c>
      <c r="G4731" s="6">
        <v>11</v>
      </c>
      <c r="H4731" s="6" t="s">
        <v>9783</v>
      </c>
      <c r="I4731" s="6">
        <v>530.625</v>
      </c>
      <c r="J4731" s="2">
        <f t="shared" si="73"/>
        <v>43747.812128009253</v>
      </c>
    </row>
    <row r="4732" spans="1:10" x14ac:dyDescent="0.25">
      <c r="A4732" s="7" t="s">
        <v>9784</v>
      </c>
      <c r="B4732" s="8">
        <v>406.25</v>
      </c>
      <c r="C4732" s="8">
        <v>20.478950000000001</v>
      </c>
      <c r="D4732" s="8">
        <v>71</v>
      </c>
      <c r="E4732" s="8">
        <v>0</v>
      </c>
      <c r="F4732" s="8">
        <v>0</v>
      </c>
      <c r="G4732" s="8">
        <v>13</v>
      </c>
      <c r="H4732" s="8" t="s">
        <v>9785</v>
      </c>
      <c r="I4732" s="8">
        <v>530.625</v>
      </c>
      <c r="J4732" s="3">
        <f t="shared" si="73"/>
        <v>43747.812211574077</v>
      </c>
    </row>
    <row r="4733" spans="1:10" x14ac:dyDescent="0.25">
      <c r="A4733" s="5" t="s">
        <v>9786</v>
      </c>
      <c r="B4733" s="6">
        <v>406.25</v>
      </c>
      <c r="C4733" s="6">
        <v>20.478950000000001</v>
      </c>
      <c r="D4733" s="6">
        <v>71</v>
      </c>
      <c r="E4733" s="6">
        <v>0</v>
      </c>
      <c r="F4733" s="6">
        <v>0</v>
      </c>
      <c r="G4733" s="6">
        <v>12</v>
      </c>
      <c r="H4733" s="6" t="s">
        <v>9787</v>
      </c>
      <c r="I4733" s="6">
        <v>530.8125</v>
      </c>
      <c r="J4733" s="2">
        <f t="shared" si="73"/>
        <v>43747.812283252315</v>
      </c>
    </row>
    <row r="4734" spans="1:10" x14ac:dyDescent="0.25">
      <c r="A4734" s="7" t="s">
        <v>9788</v>
      </c>
      <c r="B4734" s="8">
        <v>406.25</v>
      </c>
      <c r="C4734" s="8">
        <v>20.478950000000001</v>
      </c>
      <c r="D4734" s="8">
        <v>70</v>
      </c>
      <c r="E4734" s="8">
        <v>0</v>
      </c>
      <c r="F4734" s="8">
        <v>0</v>
      </c>
      <c r="G4734" s="8">
        <v>8</v>
      </c>
      <c r="H4734" s="8" t="s">
        <v>9789</v>
      </c>
      <c r="I4734" s="8">
        <v>530.8125</v>
      </c>
      <c r="J4734" s="3">
        <f t="shared" si="73"/>
        <v>43747.812354606482</v>
      </c>
    </row>
    <row r="4735" spans="1:10" x14ac:dyDescent="0.25">
      <c r="A4735" s="5" t="s">
        <v>9790</v>
      </c>
      <c r="B4735" s="6">
        <v>406.25</v>
      </c>
      <c r="C4735" s="6">
        <v>20.478950000000001</v>
      </c>
      <c r="D4735" s="6">
        <v>70</v>
      </c>
      <c r="E4735" s="6">
        <v>0</v>
      </c>
      <c r="F4735" s="6">
        <v>0</v>
      </c>
      <c r="G4735" s="6">
        <v>4</v>
      </c>
      <c r="H4735" s="6" t="s">
        <v>9791</v>
      </c>
      <c r="I4735" s="6">
        <v>530.8125</v>
      </c>
      <c r="J4735" s="2">
        <f t="shared" si="73"/>
        <v>43747.812461898146</v>
      </c>
    </row>
    <row r="4736" spans="1:10" x14ac:dyDescent="0.25">
      <c r="A4736" s="7" t="s">
        <v>9792</v>
      </c>
      <c r="B4736" s="8">
        <v>409.375</v>
      </c>
      <c r="C4736" s="8">
        <v>20.478950000000001</v>
      </c>
      <c r="D4736" s="8">
        <v>71</v>
      </c>
      <c r="E4736" s="8">
        <v>0</v>
      </c>
      <c r="F4736" s="8">
        <v>0</v>
      </c>
      <c r="G4736" s="8">
        <v>7</v>
      </c>
      <c r="H4736" s="8" t="s">
        <v>9793</v>
      </c>
      <c r="I4736" s="8">
        <v>531.5625</v>
      </c>
      <c r="J4736" s="3">
        <f t="shared" si="73"/>
        <v>43747.812533449069</v>
      </c>
    </row>
    <row r="4737" spans="1:10" x14ac:dyDescent="0.25">
      <c r="A4737" s="5" t="s">
        <v>9794</v>
      </c>
      <c r="B4737" s="6">
        <v>409.375</v>
      </c>
      <c r="C4737" s="6">
        <v>20.478950000000001</v>
      </c>
      <c r="D4737" s="6">
        <v>71</v>
      </c>
      <c r="E4737" s="6">
        <v>0</v>
      </c>
      <c r="F4737" s="6">
        <v>0</v>
      </c>
      <c r="G4737" s="6">
        <v>7</v>
      </c>
      <c r="H4737" s="6" t="s">
        <v>9795</v>
      </c>
      <c r="I4737" s="6">
        <v>531.5625</v>
      </c>
      <c r="J4737" s="2">
        <f t="shared" si="73"/>
        <v>43747.812616990741</v>
      </c>
    </row>
    <row r="4738" spans="1:10" x14ac:dyDescent="0.25">
      <c r="A4738" s="7" t="s">
        <v>9796</v>
      </c>
      <c r="B4738" s="8">
        <v>412.5</v>
      </c>
      <c r="C4738" s="8">
        <v>20.478950000000001</v>
      </c>
      <c r="D4738" s="8">
        <v>71</v>
      </c>
      <c r="E4738" s="8">
        <v>0</v>
      </c>
      <c r="F4738" s="8">
        <v>0</v>
      </c>
      <c r="G4738" s="8">
        <v>5</v>
      </c>
      <c r="H4738" s="8" t="s">
        <v>9797</v>
      </c>
      <c r="I4738" s="8">
        <v>532.3125</v>
      </c>
      <c r="J4738" s="3">
        <f t="shared" ref="J4738:J4801" si="74">(H4738/86400000)+25569+(7/24)</f>
        <v>43747.812700462957</v>
      </c>
    </row>
    <row r="4739" spans="1:10" x14ac:dyDescent="0.25">
      <c r="A4739" s="5" t="s">
        <v>9798</v>
      </c>
      <c r="B4739" s="6">
        <v>412.5</v>
      </c>
      <c r="C4739" s="6">
        <v>20.478950000000001</v>
      </c>
      <c r="D4739" s="6">
        <v>71</v>
      </c>
      <c r="E4739" s="6">
        <v>0</v>
      </c>
      <c r="F4739" s="6">
        <v>0</v>
      </c>
      <c r="G4739" s="6">
        <v>7</v>
      </c>
      <c r="H4739" s="6" t="s">
        <v>9799</v>
      </c>
      <c r="I4739" s="6">
        <v>532.3125</v>
      </c>
      <c r="J4739" s="2">
        <f t="shared" si="74"/>
        <v>43747.81279142361</v>
      </c>
    </row>
    <row r="4740" spans="1:10" x14ac:dyDescent="0.25">
      <c r="A4740" s="7" t="s">
        <v>9800</v>
      </c>
      <c r="B4740" s="8">
        <v>412.5</v>
      </c>
      <c r="C4740" s="8">
        <v>20.478950000000001</v>
      </c>
      <c r="D4740" s="8">
        <v>71</v>
      </c>
      <c r="E4740" s="8">
        <v>0</v>
      </c>
      <c r="F4740" s="8">
        <v>0</v>
      </c>
      <c r="G4740" s="8">
        <v>11</v>
      </c>
      <c r="H4740" s="8" t="s">
        <v>9801</v>
      </c>
      <c r="I4740" s="8">
        <v>532.3125</v>
      </c>
      <c r="J4740" s="3">
        <f t="shared" si="74"/>
        <v>43747.812867465276</v>
      </c>
    </row>
    <row r="4741" spans="1:10" x14ac:dyDescent="0.25">
      <c r="A4741" s="5" t="s">
        <v>9802</v>
      </c>
      <c r="B4741" s="6">
        <v>412.5</v>
      </c>
      <c r="C4741" s="6">
        <v>20.478950000000001</v>
      </c>
      <c r="D4741" s="6">
        <v>71</v>
      </c>
      <c r="E4741" s="6">
        <v>0</v>
      </c>
      <c r="F4741" s="6">
        <v>0</v>
      </c>
      <c r="G4741" s="6">
        <v>12</v>
      </c>
      <c r="H4741" s="6" t="s">
        <v>9803</v>
      </c>
      <c r="I4741" s="6">
        <v>532.3125</v>
      </c>
      <c r="J4741" s="2">
        <f t="shared" si="74"/>
        <v>43747.81295078704</v>
      </c>
    </row>
    <row r="4742" spans="1:10" x14ac:dyDescent="0.25">
      <c r="A4742" s="7" t="s">
        <v>9804</v>
      </c>
      <c r="B4742" s="8">
        <v>431.25</v>
      </c>
      <c r="C4742" s="8">
        <v>20.531590000000001</v>
      </c>
      <c r="D4742" s="8">
        <v>70</v>
      </c>
      <c r="E4742" s="8">
        <v>0</v>
      </c>
      <c r="F4742" s="8">
        <v>0</v>
      </c>
      <c r="G4742" s="8">
        <v>14</v>
      </c>
      <c r="H4742" s="8" t="s">
        <v>9805</v>
      </c>
      <c r="I4742" s="8">
        <v>538.5</v>
      </c>
      <c r="J4742" s="3">
        <f t="shared" si="74"/>
        <v>43747.813034027778</v>
      </c>
    </row>
    <row r="4743" spans="1:10" x14ac:dyDescent="0.25">
      <c r="A4743" s="5" t="s">
        <v>9806</v>
      </c>
      <c r="B4743" s="6">
        <v>415.625</v>
      </c>
      <c r="C4743" s="6">
        <v>20.478950000000001</v>
      </c>
      <c r="D4743" s="6">
        <v>70</v>
      </c>
      <c r="E4743" s="6">
        <v>0</v>
      </c>
      <c r="F4743" s="6">
        <v>0</v>
      </c>
      <c r="G4743" s="6">
        <v>9</v>
      </c>
      <c r="H4743" s="6" t="s">
        <v>9807</v>
      </c>
      <c r="I4743" s="6">
        <v>533.25</v>
      </c>
      <c r="J4743" s="2">
        <f t="shared" si="74"/>
        <v>43747.813106423608</v>
      </c>
    </row>
    <row r="4744" spans="1:10" x14ac:dyDescent="0.25">
      <c r="A4744" s="7" t="s">
        <v>9808</v>
      </c>
      <c r="B4744" s="8">
        <v>415.625</v>
      </c>
      <c r="C4744" s="8">
        <v>20.531590000000001</v>
      </c>
      <c r="D4744" s="8">
        <v>69</v>
      </c>
      <c r="E4744" s="8">
        <v>0</v>
      </c>
      <c r="F4744" s="8">
        <v>0</v>
      </c>
      <c r="G4744" s="8">
        <v>6</v>
      </c>
      <c r="H4744" s="8" t="s">
        <v>9809</v>
      </c>
      <c r="I4744" s="8">
        <v>533.0625</v>
      </c>
      <c r="J4744" s="3">
        <f t="shared" si="74"/>
        <v>43747.813189340275</v>
      </c>
    </row>
    <row r="4745" spans="1:10" x14ac:dyDescent="0.25">
      <c r="A4745" s="5" t="s">
        <v>9810</v>
      </c>
      <c r="B4745" s="6">
        <v>431.25</v>
      </c>
      <c r="C4745" s="6">
        <v>20.478950000000001</v>
      </c>
      <c r="D4745" s="6">
        <v>69</v>
      </c>
      <c r="E4745" s="6">
        <v>0</v>
      </c>
      <c r="F4745" s="6">
        <v>0</v>
      </c>
      <c r="G4745" s="6">
        <v>11</v>
      </c>
      <c r="H4745" s="6" t="s">
        <v>9811</v>
      </c>
      <c r="I4745" s="6">
        <v>538.875</v>
      </c>
      <c r="J4745" s="2">
        <f t="shared" si="74"/>
        <v>43747.813272777777</v>
      </c>
    </row>
    <row r="4746" spans="1:10" x14ac:dyDescent="0.25">
      <c r="A4746" s="7" t="s">
        <v>9812</v>
      </c>
      <c r="B4746" s="8">
        <v>415.625</v>
      </c>
      <c r="C4746" s="8">
        <v>20.478950000000001</v>
      </c>
      <c r="D4746" s="8">
        <v>69</v>
      </c>
      <c r="E4746" s="8">
        <v>0</v>
      </c>
      <c r="F4746" s="8">
        <v>0</v>
      </c>
      <c r="G4746" s="8">
        <v>7</v>
      </c>
      <c r="H4746" s="8" t="s">
        <v>9813</v>
      </c>
      <c r="I4746" s="8">
        <v>533.0625</v>
      </c>
      <c r="J4746" s="3">
        <f t="shared" si="74"/>
        <v>43747.813368159717</v>
      </c>
    </row>
    <row r="4747" spans="1:10" x14ac:dyDescent="0.25">
      <c r="A4747" s="5" t="s">
        <v>9814</v>
      </c>
      <c r="B4747" s="6">
        <v>415.625</v>
      </c>
      <c r="C4747" s="6">
        <v>20.478950000000001</v>
      </c>
      <c r="D4747" s="6">
        <v>70</v>
      </c>
      <c r="E4747" s="6">
        <v>0</v>
      </c>
      <c r="F4747" s="6">
        <v>0</v>
      </c>
      <c r="G4747" s="6">
        <v>0</v>
      </c>
      <c r="H4747" s="6" t="s">
        <v>9815</v>
      </c>
      <c r="I4747" s="6">
        <v>533.25</v>
      </c>
      <c r="J4747" s="2">
        <f t="shared" si="74"/>
        <v>43747.813451620365</v>
      </c>
    </row>
    <row r="4748" spans="1:10" x14ac:dyDescent="0.25">
      <c r="A4748" s="7" t="s">
        <v>9816</v>
      </c>
      <c r="B4748" s="8">
        <v>415.625</v>
      </c>
      <c r="C4748" s="8">
        <v>20.478950000000001</v>
      </c>
      <c r="D4748" s="8">
        <v>70</v>
      </c>
      <c r="E4748" s="8">
        <v>0</v>
      </c>
      <c r="F4748" s="8">
        <v>0</v>
      </c>
      <c r="G4748" s="8">
        <v>15</v>
      </c>
      <c r="H4748" s="8" t="s">
        <v>9817</v>
      </c>
      <c r="I4748" s="8">
        <v>533.0625</v>
      </c>
      <c r="J4748" s="3">
        <f t="shared" si="74"/>
        <v>43747.813535046291</v>
      </c>
    </row>
    <row r="4749" spans="1:10" x14ac:dyDescent="0.25">
      <c r="A4749" s="5" t="s">
        <v>9818</v>
      </c>
      <c r="B4749" s="6">
        <v>415.625</v>
      </c>
      <c r="C4749" s="6">
        <v>20.478950000000001</v>
      </c>
      <c r="D4749" s="6">
        <v>70</v>
      </c>
      <c r="E4749" s="6">
        <v>0</v>
      </c>
      <c r="F4749" s="6">
        <v>0</v>
      </c>
      <c r="G4749" s="6">
        <v>4</v>
      </c>
      <c r="H4749" s="6" t="s">
        <v>9819</v>
      </c>
      <c r="I4749" s="6">
        <v>533.0625</v>
      </c>
      <c r="J4749" s="2">
        <f t="shared" si="74"/>
        <v>43747.813606574076</v>
      </c>
    </row>
    <row r="4750" spans="1:10" x14ac:dyDescent="0.25">
      <c r="A4750" s="7" t="s">
        <v>9820</v>
      </c>
      <c r="B4750" s="8">
        <v>412.5</v>
      </c>
      <c r="C4750" s="8">
        <v>20.478950000000001</v>
      </c>
      <c r="D4750" s="8">
        <v>70</v>
      </c>
      <c r="E4750" s="8">
        <v>0</v>
      </c>
      <c r="F4750" s="8">
        <v>0</v>
      </c>
      <c r="G4750" s="8">
        <v>9</v>
      </c>
      <c r="H4750" s="8" t="s">
        <v>9821</v>
      </c>
      <c r="I4750" s="8">
        <v>532.3125</v>
      </c>
      <c r="J4750" s="3">
        <f t="shared" si="74"/>
        <v>43747.813689895826</v>
      </c>
    </row>
    <row r="4751" spans="1:10" x14ac:dyDescent="0.25">
      <c r="A4751" s="5" t="s">
        <v>9822</v>
      </c>
      <c r="B4751" s="6">
        <v>412.5</v>
      </c>
      <c r="C4751" s="6">
        <v>20.478950000000001</v>
      </c>
      <c r="D4751" s="6">
        <v>70</v>
      </c>
      <c r="E4751" s="6">
        <v>0</v>
      </c>
      <c r="F4751" s="6">
        <v>0</v>
      </c>
      <c r="G4751" s="6">
        <v>6</v>
      </c>
      <c r="H4751" s="6" t="s">
        <v>9823</v>
      </c>
      <c r="I4751" s="6">
        <v>532.3125</v>
      </c>
      <c r="J4751" s="2">
        <f t="shared" si="74"/>
        <v>43747.813761342586</v>
      </c>
    </row>
    <row r="4752" spans="1:10" x14ac:dyDescent="0.25">
      <c r="A4752" s="7" t="s">
        <v>9824</v>
      </c>
      <c r="B4752" s="8">
        <v>412.5</v>
      </c>
      <c r="C4752" s="8">
        <v>20.478950000000001</v>
      </c>
      <c r="D4752" s="8">
        <v>70</v>
      </c>
      <c r="E4752" s="8">
        <v>0</v>
      </c>
      <c r="F4752" s="8">
        <v>0</v>
      </c>
      <c r="G4752" s="8">
        <v>4</v>
      </c>
      <c r="H4752" s="8" t="s">
        <v>9825</v>
      </c>
      <c r="I4752" s="8">
        <v>532.3125</v>
      </c>
      <c r="J4752" s="3">
        <f t="shared" si="74"/>
        <v>43747.813845821758</v>
      </c>
    </row>
    <row r="4753" spans="1:10" x14ac:dyDescent="0.25">
      <c r="A4753" s="5" t="s">
        <v>9826</v>
      </c>
      <c r="B4753" s="6">
        <v>412.5</v>
      </c>
      <c r="C4753" s="6">
        <v>20.478950000000001</v>
      </c>
      <c r="D4753" s="6">
        <v>70</v>
      </c>
      <c r="E4753" s="6">
        <v>0</v>
      </c>
      <c r="F4753" s="6">
        <v>0</v>
      </c>
      <c r="G4753" s="6">
        <v>4</v>
      </c>
      <c r="H4753" s="6" t="s">
        <v>9827</v>
      </c>
      <c r="I4753" s="6">
        <v>532.3125</v>
      </c>
      <c r="J4753" s="2">
        <f t="shared" si="74"/>
        <v>43747.813928587959</v>
      </c>
    </row>
    <row r="4754" spans="1:10" x14ac:dyDescent="0.25">
      <c r="A4754" s="7" t="s">
        <v>9828</v>
      </c>
      <c r="B4754" s="8">
        <v>412.5</v>
      </c>
      <c r="C4754" s="8">
        <v>20.478950000000001</v>
      </c>
      <c r="D4754" s="8">
        <v>71</v>
      </c>
      <c r="E4754" s="8">
        <v>0</v>
      </c>
      <c r="F4754" s="8">
        <v>0</v>
      </c>
      <c r="G4754" s="8">
        <v>10</v>
      </c>
      <c r="H4754" s="8" t="s">
        <v>9829</v>
      </c>
      <c r="I4754" s="8">
        <v>532.3125</v>
      </c>
      <c r="J4754" s="3">
        <f t="shared" si="74"/>
        <v>43747.814011898146</v>
      </c>
    </row>
    <row r="4755" spans="1:10" x14ac:dyDescent="0.25">
      <c r="A4755" s="5" t="s">
        <v>9830</v>
      </c>
      <c r="B4755" s="6">
        <v>412.5</v>
      </c>
      <c r="C4755" s="6">
        <v>20.478950000000001</v>
      </c>
      <c r="D4755" s="6">
        <v>70</v>
      </c>
      <c r="E4755" s="6">
        <v>0</v>
      </c>
      <c r="F4755" s="6">
        <v>0</v>
      </c>
      <c r="G4755" s="6">
        <v>5</v>
      </c>
      <c r="H4755" s="6" t="s">
        <v>9831</v>
      </c>
      <c r="I4755" s="6">
        <v>532.3125</v>
      </c>
      <c r="J4755" s="2">
        <f t="shared" si="74"/>
        <v>43747.814095486108</v>
      </c>
    </row>
    <row r="4756" spans="1:10" x14ac:dyDescent="0.25">
      <c r="A4756" s="7" t="s">
        <v>9832</v>
      </c>
      <c r="B4756" s="8">
        <v>412.5</v>
      </c>
      <c r="C4756" s="8">
        <v>20.478950000000001</v>
      </c>
      <c r="D4756" s="8">
        <v>71</v>
      </c>
      <c r="E4756" s="8">
        <v>0</v>
      </c>
      <c r="F4756" s="8">
        <v>0</v>
      </c>
      <c r="G4756" s="8">
        <v>9</v>
      </c>
      <c r="H4756" s="8" t="s">
        <v>9833</v>
      </c>
      <c r="I4756" s="8">
        <v>532.3125</v>
      </c>
      <c r="J4756" s="3">
        <f t="shared" si="74"/>
        <v>43747.814178564811</v>
      </c>
    </row>
    <row r="4757" spans="1:10" x14ac:dyDescent="0.25">
      <c r="A4757" s="5" t="s">
        <v>9834</v>
      </c>
      <c r="B4757" s="6">
        <v>431.25</v>
      </c>
      <c r="C4757" s="6">
        <v>20.478950000000001</v>
      </c>
      <c r="D4757" s="6">
        <v>71</v>
      </c>
      <c r="E4757" s="6">
        <v>0</v>
      </c>
      <c r="F4757" s="6">
        <v>0</v>
      </c>
      <c r="G4757" s="6">
        <v>8</v>
      </c>
      <c r="H4757" s="6" t="s">
        <v>9835</v>
      </c>
      <c r="I4757" s="6">
        <v>538.125</v>
      </c>
      <c r="J4757" s="2">
        <f t="shared" si="74"/>
        <v>43747.814250439813</v>
      </c>
    </row>
    <row r="4758" spans="1:10" x14ac:dyDescent="0.25">
      <c r="A4758" s="7" t="s">
        <v>9836</v>
      </c>
      <c r="B4758" s="8">
        <v>409.375</v>
      </c>
      <c r="C4758" s="8">
        <v>20.478950000000001</v>
      </c>
      <c r="D4758" s="8">
        <v>72</v>
      </c>
      <c r="E4758" s="8">
        <v>0</v>
      </c>
      <c r="F4758" s="8">
        <v>0</v>
      </c>
      <c r="G4758" s="8">
        <v>9</v>
      </c>
      <c r="H4758" s="8" t="s">
        <v>9837</v>
      </c>
      <c r="I4758" s="8">
        <v>531.375</v>
      </c>
      <c r="J4758" s="3">
        <f t="shared" si="74"/>
        <v>43747.814345925923</v>
      </c>
    </row>
    <row r="4759" spans="1:10" x14ac:dyDescent="0.25">
      <c r="A4759" s="5" t="s">
        <v>9838</v>
      </c>
      <c r="B4759" s="6">
        <v>409.375</v>
      </c>
      <c r="C4759" s="6">
        <v>20.478950000000001</v>
      </c>
      <c r="D4759" s="6">
        <v>72</v>
      </c>
      <c r="E4759" s="6">
        <v>0</v>
      </c>
      <c r="F4759" s="6">
        <v>0</v>
      </c>
      <c r="G4759" s="6">
        <v>11</v>
      </c>
      <c r="H4759" s="6" t="s">
        <v>9839</v>
      </c>
      <c r="I4759" s="6">
        <v>531.5625</v>
      </c>
      <c r="J4759" s="2">
        <f t="shared" si="74"/>
        <v>43747.814417453701</v>
      </c>
    </row>
    <row r="4760" spans="1:10" x14ac:dyDescent="0.25">
      <c r="A4760" s="7" t="s">
        <v>9840</v>
      </c>
      <c r="B4760" s="8">
        <v>406.25</v>
      </c>
      <c r="C4760" s="8">
        <v>20.478950000000001</v>
      </c>
      <c r="D4760" s="8">
        <v>67</v>
      </c>
      <c r="E4760" s="8">
        <v>0</v>
      </c>
      <c r="F4760" s="8">
        <v>0</v>
      </c>
      <c r="G4760" s="8">
        <v>17</v>
      </c>
      <c r="H4760" s="8" t="s">
        <v>9841</v>
      </c>
      <c r="I4760" s="8">
        <v>530.8125</v>
      </c>
      <c r="J4760" s="3">
        <f t="shared" si="74"/>
        <v>43747.814500891203</v>
      </c>
    </row>
    <row r="4761" spans="1:10" x14ac:dyDescent="0.25">
      <c r="A4761" s="5" t="s">
        <v>9842</v>
      </c>
      <c r="B4761" s="6">
        <v>406.25</v>
      </c>
      <c r="C4761" s="6">
        <v>20.478950000000001</v>
      </c>
      <c r="D4761" s="6">
        <v>67</v>
      </c>
      <c r="E4761" s="6">
        <v>0</v>
      </c>
      <c r="F4761" s="6">
        <v>0</v>
      </c>
      <c r="G4761" s="6">
        <v>11</v>
      </c>
      <c r="H4761" s="6" t="s">
        <v>9843</v>
      </c>
      <c r="I4761" s="6">
        <v>530.625</v>
      </c>
      <c r="J4761" s="2">
        <f t="shared" si="74"/>
        <v>43747.814572453703</v>
      </c>
    </row>
    <row r="4762" spans="1:10" x14ac:dyDescent="0.25">
      <c r="A4762" s="7" t="s">
        <v>9844</v>
      </c>
      <c r="B4762" s="8">
        <v>406.25</v>
      </c>
      <c r="C4762" s="8">
        <v>20.478950000000001</v>
      </c>
      <c r="D4762" s="8">
        <v>68</v>
      </c>
      <c r="E4762" s="8">
        <v>0</v>
      </c>
      <c r="F4762" s="8">
        <v>0</v>
      </c>
      <c r="G4762" s="8">
        <v>12</v>
      </c>
      <c r="H4762" s="8" t="s">
        <v>9845</v>
      </c>
      <c r="I4762" s="8">
        <v>530.625</v>
      </c>
      <c r="J4762" s="3">
        <f t="shared" si="74"/>
        <v>43747.814655891205</v>
      </c>
    </row>
    <row r="4763" spans="1:10" x14ac:dyDescent="0.25">
      <c r="A4763" s="5" t="s">
        <v>9846</v>
      </c>
      <c r="B4763" s="6">
        <v>406.25</v>
      </c>
      <c r="C4763" s="6">
        <v>20.478950000000001</v>
      </c>
      <c r="D4763" s="6">
        <v>69</v>
      </c>
      <c r="E4763" s="6">
        <v>0</v>
      </c>
      <c r="F4763" s="6">
        <v>0</v>
      </c>
      <c r="G4763" s="6">
        <v>11</v>
      </c>
      <c r="H4763" s="6" t="s">
        <v>9847</v>
      </c>
      <c r="I4763" s="6">
        <v>530.625</v>
      </c>
      <c r="J4763" s="2">
        <f t="shared" si="74"/>
        <v>43747.814739456015</v>
      </c>
    </row>
    <row r="4764" spans="1:10" x14ac:dyDescent="0.25">
      <c r="A4764" s="7" t="s">
        <v>9848</v>
      </c>
      <c r="B4764" s="8">
        <v>406.25</v>
      </c>
      <c r="C4764" s="8">
        <v>20.478950000000001</v>
      </c>
      <c r="D4764" s="8">
        <v>69</v>
      </c>
      <c r="E4764" s="8">
        <v>0</v>
      </c>
      <c r="F4764" s="8">
        <v>0</v>
      </c>
      <c r="G4764" s="8">
        <v>2</v>
      </c>
      <c r="H4764" s="8" t="s">
        <v>9849</v>
      </c>
      <c r="I4764" s="8">
        <v>530.8125</v>
      </c>
      <c r="J4764" s="3">
        <f t="shared" si="74"/>
        <v>43747.814823009256</v>
      </c>
    </row>
    <row r="4765" spans="1:10" x14ac:dyDescent="0.25">
      <c r="A4765" s="5" t="s">
        <v>9850</v>
      </c>
      <c r="B4765" s="6">
        <v>406.25</v>
      </c>
      <c r="C4765" s="6">
        <v>20.478950000000001</v>
      </c>
      <c r="D4765" s="6">
        <v>70</v>
      </c>
      <c r="E4765" s="6">
        <v>0</v>
      </c>
      <c r="F4765" s="6">
        <v>0</v>
      </c>
      <c r="G4765" s="6">
        <v>9</v>
      </c>
      <c r="H4765" s="6" t="s">
        <v>9851</v>
      </c>
      <c r="I4765" s="6">
        <v>530.625</v>
      </c>
      <c r="J4765" s="2">
        <f t="shared" si="74"/>
        <v>43747.814906458334</v>
      </c>
    </row>
    <row r="4766" spans="1:10" x14ac:dyDescent="0.25">
      <c r="A4766" s="7" t="s">
        <v>9852</v>
      </c>
      <c r="B4766" s="8">
        <v>406.25</v>
      </c>
      <c r="C4766" s="8">
        <v>20.478950000000001</v>
      </c>
      <c r="D4766" s="8">
        <v>70</v>
      </c>
      <c r="E4766" s="8">
        <v>0</v>
      </c>
      <c r="F4766" s="8">
        <v>0</v>
      </c>
      <c r="G4766" s="8">
        <v>0</v>
      </c>
      <c r="H4766" s="8" t="s">
        <v>9853</v>
      </c>
      <c r="I4766" s="8">
        <v>530.625</v>
      </c>
      <c r="J4766" s="3">
        <f t="shared" si="74"/>
        <v>43747.814989560182</v>
      </c>
    </row>
    <row r="4767" spans="1:10" x14ac:dyDescent="0.25">
      <c r="A4767" s="5" t="s">
        <v>9854</v>
      </c>
      <c r="B4767" s="6">
        <v>406.25</v>
      </c>
      <c r="C4767" s="6">
        <v>20.478950000000001</v>
      </c>
      <c r="D4767" s="6">
        <v>71</v>
      </c>
      <c r="E4767" s="6">
        <v>0</v>
      </c>
      <c r="F4767" s="6">
        <v>0</v>
      </c>
      <c r="G4767" s="6">
        <v>3</v>
      </c>
      <c r="H4767" s="6" t="s">
        <v>9855</v>
      </c>
      <c r="I4767" s="6">
        <v>530.625</v>
      </c>
      <c r="J4767" s="2">
        <f t="shared" si="74"/>
        <v>43747.815073263882</v>
      </c>
    </row>
    <row r="4768" spans="1:10" x14ac:dyDescent="0.25">
      <c r="A4768" s="7" t="s">
        <v>9856</v>
      </c>
      <c r="B4768" s="8">
        <v>403.125</v>
      </c>
      <c r="C4768" s="8">
        <v>20.478950000000001</v>
      </c>
      <c r="D4768" s="8">
        <v>71</v>
      </c>
      <c r="E4768" s="8">
        <v>0</v>
      </c>
      <c r="F4768" s="8">
        <v>0</v>
      </c>
      <c r="G4768" s="8">
        <v>8</v>
      </c>
      <c r="H4768" s="8" t="s">
        <v>9857</v>
      </c>
      <c r="I4768" s="8">
        <v>529.875</v>
      </c>
      <c r="J4768" s="3">
        <f t="shared" si="74"/>
        <v>43747.815156458331</v>
      </c>
    </row>
    <row r="4769" spans="1:10" x14ac:dyDescent="0.25">
      <c r="A4769" s="5" t="s">
        <v>9858</v>
      </c>
      <c r="B4769" s="6">
        <v>403.125</v>
      </c>
      <c r="C4769" s="6">
        <v>20.478950000000001</v>
      </c>
      <c r="D4769" s="6">
        <v>71</v>
      </c>
      <c r="E4769" s="6">
        <v>0</v>
      </c>
      <c r="F4769" s="6">
        <v>0</v>
      </c>
      <c r="G4769" s="6">
        <v>1</v>
      </c>
      <c r="H4769" s="6" t="s">
        <v>9859</v>
      </c>
      <c r="I4769" s="6">
        <v>529.875</v>
      </c>
      <c r="J4769" s="2">
        <f t="shared" si="74"/>
        <v>43747.81522788194</v>
      </c>
    </row>
    <row r="4770" spans="1:10" x14ac:dyDescent="0.25">
      <c r="A4770" s="7" t="s">
        <v>9860</v>
      </c>
      <c r="B4770" s="8">
        <v>403.125</v>
      </c>
      <c r="C4770" s="8">
        <v>20.478950000000001</v>
      </c>
      <c r="D4770" s="8">
        <v>71</v>
      </c>
      <c r="E4770" s="8">
        <v>0</v>
      </c>
      <c r="F4770" s="8">
        <v>0</v>
      </c>
      <c r="G4770" s="8">
        <v>4</v>
      </c>
      <c r="H4770" s="8" t="s">
        <v>9861</v>
      </c>
      <c r="I4770" s="8">
        <v>529.875</v>
      </c>
      <c r="J4770" s="3">
        <f t="shared" si="74"/>
        <v>43747.815311782404</v>
      </c>
    </row>
    <row r="4771" spans="1:10" x14ac:dyDescent="0.25">
      <c r="A4771" s="5" t="s">
        <v>9862</v>
      </c>
      <c r="B4771" s="6">
        <v>403.125</v>
      </c>
      <c r="C4771" s="6">
        <v>20.478950000000001</v>
      </c>
      <c r="D4771" s="6">
        <v>71</v>
      </c>
      <c r="E4771" s="6">
        <v>0</v>
      </c>
      <c r="F4771" s="6">
        <v>0</v>
      </c>
      <c r="G4771" s="6">
        <v>10</v>
      </c>
      <c r="H4771" s="6" t="s">
        <v>9863</v>
      </c>
      <c r="I4771" s="6">
        <v>529.875</v>
      </c>
      <c r="J4771" s="2">
        <f t="shared" si="74"/>
        <v>43747.815395243051</v>
      </c>
    </row>
    <row r="4772" spans="1:10" x14ac:dyDescent="0.25">
      <c r="A4772" s="7" t="s">
        <v>9864</v>
      </c>
      <c r="B4772" s="8">
        <v>403.125</v>
      </c>
      <c r="C4772" s="8">
        <v>20.478950000000001</v>
      </c>
      <c r="D4772" s="8">
        <v>71</v>
      </c>
      <c r="E4772" s="8">
        <v>0</v>
      </c>
      <c r="F4772" s="8">
        <v>0</v>
      </c>
      <c r="G4772" s="8">
        <v>8</v>
      </c>
      <c r="H4772" s="8" t="s">
        <v>9865</v>
      </c>
      <c r="I4772" s="8">
        <v>529.875</v>
      </c>
      <c r="J4772" s="3">
        <f t="shared" si="74"/>
        <v>43747.815481631937</v>
      </c>
    </row>
    <row r="4773" spans="1:10" x14ac:dyDescent="0.25">
      <c r="A4773" s="5" t="s">
        <v>9866</v>
      </c>
      <c r="B4773" s="6">
        <v>406.25</v>
      </c>
      <c r="C4773" s="6">
        <v>20.478950000000001</v>
      </c>
      <c r="D4773" s="6">
        <v>72</v>
      </c>
      <c r="E4773" s="6">
        <v>0</v>
      </c>
      <c r="F4773" s="6">
        <v>0</v>
      </c>
      <c r="G4773" s="6">
        <v>14</v>
      </c>
      <c r="H4773" s="6" t="s">
        <v>9867</v>
      </c>
      <c r="I4773" s="6">
        <v>530.8125</v>
      </c>
      <c r="J4773" s="2">
        <f t="shared" si="74"/>
        <v>43747.815562141201</v>
      </c>
    </row>
    <row r="4774" spans="1:10" x14ac:dyDescent="0.25">
      <c r="A4774" s="7" t="s">
        <v>9868</v>
      </c>
      <c r="B4774" s="8">
        <v>406.25</v>
      </c>
      <c r="C4774" s="8">
        <v>20.478950000000001</v>
      </c>
      <c r="D4774" s="8">
        <v>74</v>
      </c>
      <c r="E4774" s="8">
        <v>0</v>
      </c>
      <c r="F4774" s="8">
        <v>0</v>
      </c>
      <c r="G4774" s="8">
        <v>6</v>
      </c>
      <c r="H4774" s="8" t="s">
        <v>9869</v>
      </c>
      <c r="I4774" s="8">
        <v>530.625</v>
      </c>
      <c r="J4774" s="3">
        <f t="shared" si="74"/>
        <v>43747.81564523148</v>
      </c>
    </row>
    <row r="4775" spans="1:10" x14ac:dyDescent="0.25">
      <c r="A4775" s="5" t="s">
        <v>9870</v>
      </c>
      <c r="B4775" s="6">
        <v>406.25</v>
      </c>
      <c r="C4775" s="6">
        <v>20.478950000000001</v>
      </c>
      <c r="D4775" s="6">
        <v>74</v>
      </c>
      <c r="E4775" s="6">
        <v>0</v>
      </c>
      <c r="F4775" s="6">
        <v>0</v>
      </c>
      <c r="G4775" s="6">
        <v>12</v>
      </c>
      <c r="H4775" s="6" t="s">
        <v>9871</v>
      </c>
      <c r="I4775" s="6">
        <v>530.8125</v>
      </c>
      <c r="J4775" s="2">
        <f t="shared" si="74"/>
        <v>43747.815729027774</v>
      </c>
    </row>
    <row r="4776" spans="1:10" x14ac:dyDescent="0.25">
      <c r="A4776" s="7" t="s">
        <v>9872</v>
      </c>
      <c r="B4776" s="8">
        <v>406.25</v>
      </c>
      <c r="C4776" s="8">
        <v>20.478950000000001</v>
      </c>
      <c r="D4776" s="8">
        <v>74</v>
      </c>
      <c r="E4776" s="8">
        <v>0</v>
      </c>
      <c r="F4776" s="8">
        <v>0</v>
      </c>
      <c r="G4776" s="8">
        <v>11</v>
      </c>
      <c r="H4776" s="8" t="s">
        <v>9873</v>
      </c>
      <c r="I4776" s="8">
        <v>530.625</v>
      </c>
      <c r="J4776" s="3">
        <f t="shared" si="74"/>
        <v>43747.81581270833</v>
      </c>
    </row>
    <row r="4777" spans="1:10" x14ac:dyDescent="0.25">
      <c r="A4777" s="5" t="s">
        <v>9874</v>
      </c>
      <c r="B4777" s="6">
        <v>406.25</v>
      </c>
      <c r="C4777" s="6">
        <v>20.478950000000001</v>
      </c>
      <c r="D4777" s="6">
        <v>73</v>
      </c>
      <c r="E4777" s="6">
        <v>0</v>
      </c>
      <c r="F4777" s="6">
        <v>0</v>
      </c>
      <c r="G4777" s="6">
        <v>10</v>
      </c>
      <c r="H4777" s="6" t="s">
        <v>9875</v>
      </c>
      <c r="I4777" s="6">
        <v>530.625</v>
      </c>
      <c r="J4777" s="2">
        <f t="shared" si="74"/>
        <v>43747.815884247684</v>
      </c>
    </row>
    <row r="4778" spans="1:10" x14ac:dyDescent="0.25">
      <c r="A4778" s="7" t="s">
        <v>9876</v>
      </c>
      <c r="B4778" s="8">
        <v>406.25</v>
      </c>
      <c r="C4778" s="8">
        <v>20.478950000000001</v>
      </c>
      <c r="D4778" s="8">
        <v>72</v>
      </c>
      <c r="E4778" s="8">
        <v>0</v>
      </c>
      <c r="F4778" s="8">
        <v>0</v>
      </c>
      <c r="G4778" s="8">
        <v>7</v>
      </c>
      <c r="H4778" s="8" t="s">
        <v>9877</v>
      </c>
      <c r="I4778" s="8">
        <v>530.8125</v>
      </c>
      <c r="J4778" s="3">
        <f t="shared" si="74"/>
        <v>43747.815967361108</v>
      </c>
    </row>
    <row r="4779" spans="1:10" x14ac:dyDescent="0.25">
      <c r="A4779" s="5" t="s">
        <v>9878</v>
      </c>
      <c r="B4779" s="6">
        <v>406.25</v>
      </c>
      <c r="C4779" s="6">
        <v>20.478950000000001</v>
      </c>
      <c r="D4779" s="6">
        <v>69</v>
      </c>
      <c r="E4779" s="6">
        <v>0</v>
      </c>
      <c r="F4779" s="6">
        <v>0</v>
      </c>
      <c r="G4779" s="6">
        <v>10</v>
      </c>
      <c r="H4779" s="6" t="s">
        <v>9879</v>
      </c>
      <c r="I4779" s="6">
        <v>530.8125</v>
      </c>
      <c r="J4779" s="2">
        <f t="shared" si="74"/>
        <v>43747.816039097219</v>
      </c>
    </row>
    <row r="4780" spans="1:10" x14ac:dyDescent="0.25">
      <c r="A4780" s="7" t="s">
        <v>9880</v>
      </c>
      <c r="B4780" s="8">
        <v>425</v>
      </c>
      <c r="C4780" s="8">
        <v>20.478950000000001</v>
      </c>
      <c r="D4780" s="8">
        <v>73</v>
      </c>
      <c r="E4780" s="8">
        <v>0</v>
      </c>
      <c r="F4780" s="8">
        <v>0</v>
      </c>
      <c r="G4780" s="8">
        <v>0</v>
      </c>
      <c r="H4780" s="8" t="s">
        <v>9881</v>
      </c>
      <c r="I4780" s="8">
        <v>536.25</v>
      </c>
      <c r="J4780" s="3">
        <f t="shared" si="74"/>
        <v>43747.81612265046</v>
      </c>
    </row>
    <row r="4781" spans="1:10" x14ac:dyDescent="0.25">
      <c r="A4781" s="5" t="s">
        <v>9882</v>
      </c>
      <c r="B4781" s="6">
        <v>406.25</v>
      </c>
      <c r="C4781" s="6">
        <v>20.478950000000001</v>
      </c>
      <c r="D4781" s="6">
        <v>73</v>
      </c>
      <c r="E4781" s="6">
        <v>0</v>
      </c>
      <c r="F4781" s="6">
        <v>0</v>
      </c>
      <c r="G4781" s="6">
        <v>10</v>
      </c>
      <c r="H4781" s="6" t="s">
        <v>9883</v>
      </c>
      <c r="I4781" s="6">
        <v>530.8125</v>
      </c>
      <c r="J4781" s="2">
        <f t="shared" si="74"/>
        <v>43747.816206574069</v>
      </c>
    </row>
    <row r="4782" spans="1:10" x14ac:dyDescent="0.25">
      <c r="A4782" s="7" t="s">
        <v>9884</v>
      </c>
      <c r="B4782" s="8">
        <v>409.375</v>
      </c>
      <c r="C4782" s="8">
        <v>20.478950000000001</v>
      </c>
      <c r="D4782" s="8">
        <v>71</v>
      </c>
      <c r="E4782" s="8">
        <v>0</v>
      </c>
      <c r="F4782" s="8">
        <v>0</v>
      </c>
      <c r="G4782" s="8">
        <v>0</v>
      </c>
      <c r="H4782" s="8" t="s">
        <v>9885</v>
      </c>
      <c r="I4782" s="8">
        <v>531.5625</v>
      </c>
      <c r="J4782" s="3">
        <f t="shared" si="74"/>
        <v>43747.816289699076</v>
      </c>
    </row>
    <row r="4783" spans="1:10" x14ac:dyDescent="0.25">
      <c r="A4783" s="5" t="s">
        <v>9886</v>
      </c>
      <c r="B4783" s="6">
        <v>406.25</v>
      </c>
      <c r="C4783" s="6">
        <v>20.478950000000001</v>
      </c>
      <c r="D4783" s="6">
        <v>71</v>
      </c>
      <c r="E4783" s="6">
        <v>0</v>
      </c>
      <c r="F4783" s="6">
        <v>0</v>
      </c>
      <c r="G4783" s="6">
        <v>12</v>
      </c>
      <c r="H4783" s="6" t="s">
        <v>9887</v>
      </c>
      <c r="I4783" s="6">
        <v>530.625</v>
      </c>
      <c r="J4783" s="2">
        <f t="shared" si="74"/>
        <v>43747.816373032409</v>
      </c>
    </row>
    <row r="4784" spans="1:10" x14ac:dyDescent="0.25">
      <c r="A4784" s="7" t="s">
        <v>9888</v>
      </c>
      <c r="B4784" s="8">
        <v>406.25</v>
      </c>
      <c r="C4784" s="8">
        <v>20.478950000000001</v>
      </c>
      <c r="D4784" s="8">
        <v>71</v>
      </c>
      <c r="E4784" s="8">
        <v>0</v>
      </c>
      <c r="F4784" s="8">
        <v>0</v>
      </c>
      <c r="G4784" s="8">
        <v>9</v>
      </c>
      <c r="H4784" s="8" t="s">
        <v>9889</v>
      </c>
      <c r="I4784" s="8">
        <v>530.8125</v>
      </c>
      <c r="J4784" s="3">
        <f t="shared" si="74"/>
        <v>43747.81645622685</v>
      </c>
    </row>
    <row r="4785" spans="1:10" x14ac:dyDescent="0.25">
      <c r="A4785" s="5" t="s">
        <v>9890</v>
      </c>
      <c r="B4785" s="6">
        <v>403.125</v>
      </c>
      <c r="C4785" s="6">
        <v>20.478950000000001</v>
      </c>
      <c r="D4785" s="6">
        <v>71</v>
      </c>
      <c r="E4785" s="6">
        <v>0</v>
      </c>
      <c r="F4785" s="6">
        <v>0</v>
      </c>
      <c r="G4785" s="6">
        <v>7</v>
      </c>
      <c r="H4785" s="6" t="s">
        <v>9891</v>
      </c>
      <c r="I4785" s="6">
        <v>529.875</v>
      </c>
      <c r="J4785" s="2">
        <f t="shared" si="74"/>
        <v>43747.816539918982</v>
      </c>
    </row>
    <row r="4786" spans="1:10" x14ac:dyDescent="0.25">
      <c r="A4786" s="7" t="s">
        <v>9892</v>
      </c>
      <c r="B4786" s="8">
        <v>403.125</v>
      </c>
      <c r="C4786" s="8">
        <v>20.478950000000001</v>
      </c>
      <c r="D4786" s="8">
        <v>70</v>
      </c>
      <c r="E4786" s="8">
        <v>0</v>
      </c>
      <c r="F4786" s="8">
        <v>0</v>
      </c>
      <c r="G4786" s="8">
        <v>11</v>
      </c>
      <c r="H4786" s="8" t="s">
        <v>9893</v>
      </c>
      <c r="I4786" s="8">
        <v>529.875</v>
      </c>
      <c r="J4786" s="3">
        <f t="shared" si="74"/>
        <v>43747.81662302083</v>
      </c>
    </row>
    <row r="4787" spans="1:10" x14ac:dyDescent="0.25">
      <c r="A4787" s="5" t="s">
        <v>9894</v>
      </c>
      <c r="B4787" s="6">
        <v>446.875</v>
      </c>
      <c r="C4787" s="6">
        <v>20.478950000000001</v>
      </c>
      <c r="D4787" s="6">
        <v>70</v>
      </c>
      <c r="E4787" s="6">
        <v>0</v>
      </c>
      <c r="F4787" s="6">
        <v>0</v>
      </c>
      <c r="G4787" s="6">
        <v>18</v>
      </c>
      <c r="H4787" s="6" t="s">
        <v>9895</v>
      </c>
      <c r="I4787" s="6">
        <v>543</v>
      </c>
      <c r="J4787" s="2">
        <f t="shared" si="74"/>
        <v>43747.81669501157</v>
      </c>
    </row>
    <row r="4788" spans="1:10" x14ac:dyDescent="0.25">
      <c r="A4788" s="7" t="s">
        <v>9896</v>
      </c>
      <c r="B4788" s="8">
        <v>403.125</v>
      </c>
      <c r="C4788" s="8">
        <v>20.478950000000001</v>
      </c>
      <c r="D4788" s="8">
        <v>70</v>
      </c>
      <c r="E4788" s="8">
        <v>0</v>
      </c>
      <c r="F4788" s="8">
        <v>0</v>
      </c>
      <c r="G4788" s="8">
        <v>7</v>
      </c>
      <c r="H4788" s="8" t="s">
        <v>9897</v>
      </c>
      <c r="I4788" s="8">
        <v>529.875</v>
      </c>
      <c r="J4788" s="3">
        <f t="shared" si="74"/>
        <v>43747.816778518514</v>
      </c>
    </row>
    <row r="4789" spans="1:10" x14ac:dyDescent="0.25">
      <c r="A4789" s="5" t="s">
        <v>9898</v>
      </c>
      <c r="B4789" s="6">
        <v>403.125</v>
      </c>
      <c r="C4789" s="6">
        <v>20.478950000000001</v>
      </c>
      <c r="D4789" s="6">
        <v>71</v>
      </c>
      <c r="E4789" s="6">
        <v>0</v>
      </c>
      <c r="F4789" s="6">
        <v>0</v>
      </c>
      <c r="G4789" s="6">
        <v>11</v>
      </c>
      <c r="H4789" s="6" t="s">
        <v>9899</v>
      </c>
      <c r="I4789" s="6">
        <v>529.875</v>
      </c>
      <c r="J4789" s="2">
        <f t="shared" si="74"/>
        <v>43747.81686190972</v>
      </c>
    </row>
    <row r="4790" spans="1:10" x14ac:dyDescent="0.25">
      <c r="A4790" s="7" t="s">
        <v>9900</v>
      </c>
      <c r="B4790" s="8">
        <v>403.125</v>
      </c>
      <c r="C4790" s="8">
        <v>20.478950000000001</v>
      </c>
      <c r="D4790" s="8">
        <v>71</v>
      </c>
      <c r="E4790" s="8">
        <v>0</v>
      </c>
      <c r="F4790" s="8">
        <v>0</v>
      </c>
      <c r="G4790" s="8">
        <v>13</v>
      </c>
      <c r="H4790" s="8" t="s">
        <v>9901</v>
      </c>
      <c r="I4790" s="8">
        <v>529.875</v>
      </c>
      <c r="J4790" s="3">
        <f t="shared" si="74"/>
        <v>43747.816945115737</v>
      </c>
    </row>
    <row r="4791" spans="1:10" x14ac:dyDescent="0.25">
      <c r="A4791" s="5" t="s">
        <v>9902</v>
      </c>
      <c r="B4791" s="6">
        <v>406.25</v>
      </c>
      <c r="C4791" s="6">
        <v>20.478950000000001</v>
      </c>
      <c r="D4791" s="6">
        <v>71</v>
      </c>
      <c r="E4791" s="6">
        <v>0</v>
      </c>
      <c r="F4791" s="6">
        <v>0</v>
      </c>
      <c r="G4791" s="6">
        <v>5</v>
      </c>
      <c r="H4791" s="6" t="s">
        <v>9903</v>
      </c>
      <c r="I4791" s="6">
        <v>530.625</v>
      </c>
      <c r="J4791" s="2">
        <f t="shared" si="74"/>
        <v>43747.817040740738</v>
      </c>
    </row>
    <row r="4792" spans="1:10" x14ac:dyDescent="0.25">
      <c r="A4792" s="7" t="s">
        <v>9904</v>
      </c>
      <c r="B4792" s="8">
        <v>406.25</v>
      </c>
      <c r="C4792" s="8">
        <v>20.478950000000001</v>
      </c>
      <c r="D4792" s="8">
        <v>71</v>
      </c>
      <c r="E4792" s="8">
        <v>0</v>
      </c>
      <c r="F4792" s="8">
        <v>0</v>
      </c>
      <c r="G4792" s="8">
        <v>4</v>
      </c>
      <c r="H4792" s="8" t="s">
        <v>9905</v>
      </c>
      <c r="I4792" s="8">
        <v>530.8125</v>
      </c>
      <c r="J4792" s="3">
        <f t="shared" si="74"/>
        <v>43747.817130752308</v>
      </c>
    </row>
    <row r="4793" spans="1:10" x14ac:dyDescent="0.25">
      <c r="A4793" s="5" t="s">
        <v>9906</v>
      </c>
      <c r="B4793" s="6">
        <v>409.375</v>
      </c>
      <c r="C4793" s="6">
        <v>20.478950000000001</v>
      </c>
      <c r="D4793" s="6">
        <v>70</v>
      </c>
      <c r="E4793" s="6">
        <v>0</v>
      </c>
      <c r="F4793" s="6">
        <v>0</v>
      </c>
      <c r="G4793" s="6">
        <v>10</v>
      </c>
      <c r="H4793" s="6" t="s">
        <v>9907</v>
      </c>
      <c r="I4793" s="6">
        <v>531.375</v>
      </c>
      <c r="J4793" s="2">
        <f t="shared" si="74"/>
        <v>43747.817208125001</v>
      </c>
    </row>
    <row r="4794" spans="1:10" x14ac:dyDescent="0.25">
      <c r="A4794" s="7" t="s">
        <v>9908</v>
      </c>
      <c r="B4794" s="8">
        <v>409.375</v>
      </c>
      <c r="C4794" s="8">
        <v>20.478950000000001</v>
      </c>
      <c r="D4794" s="8">
        <v>69</v>
      </c>
      <c r="E4794" s="8">
        <v>0</v>
      </c>
      <c r="F4794" s="8">
        <v>0</v>
      </c>
      <c r="G4794" s="8">
        <v>6</v>
      </c>
      <c r="H4794" s="8" t="s">
        <v>9909</v>
      </c>
      <c r="I4794" s="8">
        <v>531.5625</v>
      </c>
      <c r="J4794" s="3">
        <f t="shared" si="74"/>
        <v>43747.817291215273</v>
      </c>
    </row>
    <row r="4795" spans="1:10" x14ac:dyDescent="0.25">
      <c r="A4795" s="5" t="s">
        <v>9910</v>
      </c>
      <c r="B4795" s="6">
        <v>412.5</v>
      </c>
      <c r="C4795" s="6">
        <v>20.478950000000001</v>
      </c>
      <c r="D4795" s="6">
        <v>69</v>
      </c>
      <c r="E4795" s="6">
        <v>0</v>
      </c>
      <c r="F4795" s="6">
        <v>0</v>
      </c>
      <c r="G4795" s="6">
        <v>14</v>
      </c>
      <c r="H4795" s="6" t="s">
        <v>9911</v>
      </c>
      <c r="I4795" s="6">
        <v>532.3125</v>
      </c>
      <c r="J4795" s="2">
        <f t="shared" si="74"/>
        <v>43747.817374999999</v>
      </c>
    </row>
    <row r="4796" spans="1:10" x14ac:dyDescent="0.25">
      <c r="A4796" s="7" t="s">
        <v>9912</v>
      </c>
      <c r="B4796" s="8">
        <v>453.125</v>
      </c>
      <c r="C4796" s="8">
        <v>20.478950000000001</v>
      </c>
      <c r="D4796" s="8">
        <v>71</v>
      </c>
      <c r="E4796" s="8">
        <v>0</v>
      </c>
      <c r="F4796" s="8">
        <v>0</v>
      </c>
      <c r="G4796" s="8">
        <v>5</v>
      </c>
      <c r="H4796" s="8" t="s">
        <v>9913</v>
      </c>
      <c r="I4796" s="8">
        <v>545.625</v>
      </c>
      <c r="J4796" s="3">
        <f t="shared" si="74"/>
        <v>43747.817457870369</v>
      </c>
    </row>
    <row r="4797" spans="1:10" x14ac:dyDescent="0.25">
      <c r="A4797" s="5" t="s">
        <v>9914</v>
      </c>
      <c r="B4797" s="6">
        <v>412.5</v>
      </c>
      <c r="C4797" s="6">
        <v>20.478950000000001</v>
      </c>
      <c r="D4797" s="6">
        <v>70</v>
      </c>
      <c r="E4797" s="6">
        <v>0</v>
      </c>
      <c r="F4797" s="6">
        <v>0</v>
      </c>
      <c r="G4797" s="6">
        <v>13</v>
      </c>
      <c r="H4797" s="6" t="s">
        <v>9915</v>
      </c>
      <c r="I4797" s="6">
        <v>532.3125</v>
      </c>
      <c r="J4797" s="2">
        <f t="shared" si="74"/>
        <v>43747.817529652777</v>
      </c>
    </row>
    <row r="4798" spans="1:10" x14ac:dyDescent="0.25">
      <c r="A4798" s="7" t="s">
        <v>9916</v>
      </c>
      <c r="B4798" s="8">
        <v>409.375</v>
      </c>
      <c r="C4798" s="8">
        <v>20.478950000000001</v>
      </c>
      <c r="D4798" s="8">
        <v>70</v>
      </c>
      <c r="E4798" s="8">
        <v>0</v>
      </c>
      <c r="F4798" s="8">
        <v>0</v>
      </c>
      <c r="G4798" s="8">
        <v>11</v>
      </c>
      <c r="H4798" s="8" t="s">
        <v>9917</v>
      </c>
      <c r="I4798" s="8">
        <v>531.375</v>
      </c>
      <c r="J4798" s="3">
        <f t="shared" si="74"/>
        <v>43747.817613101848</v>
      </c>
    </row>
    <row r="4799" spans="1:10" x14ac:dyDescent="0.25">
      <c r="A4799" s="5" t="s">
        <v>9918</v>
      </c>
      <c r="B4799" s="6">
        <v>406.25</v>
      </c>
      <c r="C4799" s="6">
        <v>20.478950000000001</v>
      </c>
      <c r="D4799" s="6">
        <v>70</v>
      </c>
      <c r="E4799" s="6">
        <v>0</v>
      </c>
      <c r="F4799" s="6">
        <v>0</v>
      </c>
      <c r="G4799" s="6">
        <v>5</v>
      </c>
      <c r="H4799" s="6" t="s">
        <v>9919</v>
      </c>
      <c r="I4799" s="6">
        <v>530.8125</v>
      </c>
      <c r="J4799" s="2">
        <f t="shared" si="74"/>
        <v>43747.817696678241</v>
      </c>
    </row>
    <row r="4800" spans="1:10" x14ac:dyDescent="0.25">
      <c r="A4800" s="7" t="s">
        <v>9920</v>
      </c>
      <c r="B4800" s="8">
        <v>403.125</v>
      </c>
      <c r="C4800" s="8">
        <v>20.478950000000001</v>
      </c>
      <c r="D4800" s="8">
        <v>71</v>
      </c>
      <c r="E4800" s="8">
        <v>0</v>
      </c>
      <c r="F4800" s="8">
        <v>0</v>
      </c>
      <c r="G4800" s="8">
        <v>13</v>
      </c>
      <c r="H4800" s="8" t="s">
        <v>9921</v>
      </c>
      <c r="I4800" s="8">
        <v>529.125</v>
      </c>
      <c r="J4800" s="3">
        <f t="shared" si="74"/>
        <v>43747.817780092591</v>
      </c>
    </row>
    <row r="4801" spans="1:10" x14ac:dyDescent="0.25">
      <c r="A4801" s="5" t="s">
        <v>9922</v>
      </c>
      <c r="B4801" s="6">
        <v>400</v>
      </c>
      <c r="C4801" s="6">
        <v>20.478950000000001</v>
      </c>
      <c r="D4801" s="6">
        <v>72</v>
      </c>
      <c r="E4801" s="6">
        <v>0</v>
      </c>
      <c r="F4801" s="6">
        <v>0</v>
      </c>
      <c r="G4801" s="6">
        <v>3</v>
      </c>
      <c r="H4801" s="6" t="s">
        <v>9923</v>
      </c>
      <c r="I4801" s="6">
        <v>528.1875</v>
      </c>
      <c r="J4801" s="2">
        <f t="shared" si="74"/>
        <v>43747.817863553239</v>
      </c>
    </row>
    <row r="4802" spans="1:10" x14ac:dyDescent="0.25">
      <c r="A4802" s="7" t="s">
        <v>9924</v>
      </c>
      <c r="B4802" s="8">
        <v>396.875</v>
      </c>
      <c r="C4802" s="8">
        <v>20.478950000000001</v>
      </c>
      <c r="D4802" s="8">
        <v>73</v>
      </c>
      <c r="E4802" s="8">
        <v>0</v>
      </c>
      <c r="F4802" s="8">
        <v>0</v>
      </c>
      <c r="G4802" s="8">
        <v>10</v>
      </c>
      <c r="H4802" s="8" t="s">
        <v>9925</v>
      </c>
      <c r="I4802" s="8">
        <v>527.4375</v>
      </c>
      <c r="J4802" s="3">
        <f t="shared" ref="J4802:J4865" si="75">(H4802/86400000)+25569+(7/24)</f>
        <v>43747.81794700231</v>
      </c>
    </row>
    <row r="4803" spans="1:10" x14ac:dyDescent="0.25">
      <c r="A4803" s="5" t="s">
        <v>9926</v>
      </c>
      <c r="B4803" s="6">
        <v>393.75</v>
      </c>
      <c r="C4803" s="6">
        <v>20.478950000000001</v>
      </c>
      <c r="D4803" s="6">
        <v>76</v>
      </c>
      <c r="E4803" s="6">
        <v>0</v>
      </c>
      <c r="F4803" s="6">
        <v>0</v>
      </c>
      <c r="G4803" s="6">
        <v>10</v>
      </c>
      <c r="H4803" s="6" t="s">
        <v>9927</v>
      </c>
      <c r="I4803" s="6">
        <v>526.6875</v>
      </c>
      <c r="J4803" s="2">
        <f t="shared" si="75"/>
        <v>43747.818030451388</v>
      </c>
    </row>
    <row r="4804" spans="1:10" x14ac:dyDescent="0.25">
      <c r="A4804" s="7" t="s">
        <v>9928</v>
      </c>
      <c r="B4804" s="8">
        <v>396.875</v>
      </c>
      <c r="C4804" s="8">
        <v>20.478950000000001</v>
      </c>
      <c r="D4804" s="8">
        <v>77</v>
      </c>
      <c r="E4804" s="8">
        <v>0</v>
      </c>
      <c r="F4804" s="8">
        <v>0</v>
      </c>
      <c r="G4804" s="8">
        <v>12</v>
      </c>
      <c r="H4804" s="8" t="s">
        <v>9929</v>
      </c>
      <c r="I4804" s="8">
        <v>527.4375</v>
      </c>
      <c r="J4804" s="3">
        <f t="shared" si="75"/>
        <v>43747.818101979159</v>
      </c>
    </row>
    <row r="4805" spans="1:10" x14ac:dyDescent="0.25">
      <c r="A4805" s="5" t="s">
        <v>9930</v>
      </c>
      <c r="B4805" s="6">
        <v>396.875</v>
      </c>
      <c r="C4805" s="6">
        <v>20.478950000000001</v>
      </c>
      <c r="D4805" s="6">
        <v>77</v>
      </c>
      <c r="E4805" s="6">
        <v>0</v>
      </c>
      <c r="F4805" s="6">
        <v>0</v>
      </c>
      <c r="G4805" s="6">
        <v>10</v>
      </c>
      <c r="H4805" s="6" t="s">
        <v>9931</v>
      </c>
      <c r="I4805" s="6">
        <v>527.4375</v>
      </c>
      <c r="J4805" s="2">
        <f t="shared" si="75"/>
        <v>43747.818185428237</v>
      </c>
    </row>
    <row r="4806" spans="1:10" x14ac:dyDescent="0.25">
      <c r="A4806" s="7" t="s">
        <v>9932</v>
      </c>
      <c r="B4806" s="8">
        <v>400</v>
      </c>
      <c r="C4806" s="8">
        <v>20.478950000000001</v>
      </c>
      <c r="D4806" s="8">
        <v>75</v>
      </c>
      <c r="E4806" s="8">
        <v>0</v>
      </c>
      <c r="F4806" s="8">
        <v>0</v>
      </c>
      <c r="G4806" s="8">
        <v>0</v>
      </c>
      <c r="H4806" s="8" t="s">
        <v>9933</v>
      </c>
      <c r="I4806" s="8">
        <v>528.375</v>
      </c>
      <c r="J4806" s="3">
        <f t="shared" si="75"/>
        <v>43747.818268993055</v>
      </c>
    </row>
    <row r="4807" spans="1:10" x14ac:dyDescent="0.25">
      <c r="A4807" s="5" t="s">
        <v>9934</v>
      </c>
      <c r="B4807" s="6">
        <v>400</v>
      </c>
      <c r="C4807" s="6">
        <v>20.478950000000001</v>
      </c>
      <c r="D4807" s="6">
        <v>75</v>
      </c>
      <c r="E4807" s="6">
        <v>0</v>
      </c>
      <c r="F4807" s="6">
        <v>0</v>
      </c>
      <c r="G4807" s="6">
        <v>11</v>
      </c>
      <c r="H4807" s="6" t="s">
        <v>9935</v>
      </c>
      <c r="I4807" s="6">
        <v>528.375</v>
      </c>
      <c r="J4807" s="2">
        <f t="shared" si="75"/>
        <v>43747.81835267361</v>
      </c>
    </row>
    <row r="4808" spans="1:10" x14ac:dyDescent="0.25">
      <c r="A4808" s="7" t="s">
        <v>9936</v>
      </c>
      <c r="B4808" s="8">
        <v>400</v>
      </c>
      <c r="C4808" s="8">
        <v>20.478950000000001</v>
      </c>
      <c r="D4808" s="8">
        <v>75</v>
      </c>
      <c r="E4808" s="8">
        <v>0</v>
      </c>
      <c r="F4808" s="8">
        <v>0</v>
      </c>
      <c r="G4808" s="8">
        <v>7</v>
      </c>
      <c r="H4808" s="8" t="s">
        <v>9937</v>
      </c>
      <c r="I4808" s="8">
        <v>528.1875</v>
      </c>
      <c r="J4808" s="3">
        <f t="shared" si="75"/>
        <v>43747.818435995367</v>
      </c>
    </row>
    <row r="4809" spans="1:10" x14ac:dyDescent="0.25">
      <c r="A4809" s="5" t="s">
        <v>9938</v>
      </c>
      <c r="B4809" s="6">
        <v>396.875</v>
      </c>
      <c r="C4809" s="6">
        <v>20.478950000000001</v>
      </c>
      <c r="D4809" s="6">
        <v>74</v>
      </c>
      <c r="E4809" s="6">
        <v>0</v>
      </c>
      <c r="F4809" s="6">
        <v>0</v>
      </c>
      <c r="G4809" s="6">
        <v>8</v>
      </c>
      <c r="H4809" s="6" t="s">
        <v>9939</v>
      </c>
      <c r="I4809" s="6">
        <v>527.4375</v>
      </c>
      <c r="J4809" s="2">
        <f t="shared" si="75"/>
        <v>43747.818519340275</v>
      </c>
    </row>
    <row r="4810" spans="1:10" x14ac:dyDescent="0.25">
      <c r="A4810" s="7" t="s">
        <v>9940</v>
      </c>
      <c r="B4810" s="8">
        <v>400</v>
      </c>
      <c r="C4810" s="8">
        <v>20.478950000000001</v>
      </c>
      <c r="D4810" s="8">
        <v>72</v>
      </c>
      <c r="E4810" s="8">
        <v>0</v>
      </c>
      <c r="F4810" s="8">
        <v>0</v>
      </c>
      <c r="G4810" s="8">
        <v>8</v>
      </c>
      <c r="H4810" s="8" t="s">
        <v>9941</v>
      </c>
      <c r="I4810" s="8">
        <v>528.375</v>
      </c>
      <c r="J4810" s="3">
        <f t="shared" si="75"/>
        <v>43747.818602800922</v>
      </c>
    </row>
    <row r="4811" spans="1:10" x14ac:dyDescent="0.25">
      <c r="A4811" s="5" t="s">
        <v>9942</v>
      </c>
      <c r="B4811" s="6">
        <v>415.625</v>
      </c>
      <c r="C4811" s="6">
        <v>20.478950000000001</v>
      </c>
      <c r="D4811" s="6">
        <v>71</v>
      </c>
      <c r="E4811" s="6">
        <v>0</v>
      </c>
      <c r="F4811" s="6">
        <v>0</v>
      </c>
      <c r="G4811" s="6">
        <v>9</v>
      </c>
      <c r="H4811" s="6" t="s">
        <v>9943</v>
      </c>
      <c r="I4811" s="6">
        <v>533.8125</v>
      </c>
      <c r="J4811" s="2">
        <f t="shared" si="75"/>
        <v>43747.818691585642</v>
      </c>
    </row>
    <row r="4812" spans="1:10" x14ac:dyDescent="0.25">
      <c r="A4812" s="7" t="s">
        <v>9944</v>
      </c>
      <c r="B4812" s="8">
        <v>403.125</v>
      </c>
      <c r="C4812" s="8">
        <v>20.478950000000001</v>
      </c>
      <c r="D4812" s="8">
        <v>71</v>
      </c>
      <c r="E4812" s="8">
        <v>0</v>
      </c>
      <c r="F4812" s="8">
        <v>0</v>
      </c>
      <c r="G4812" s="8">
        <v>10</v>
      </c>
      <c r="H4812" s="8" t="s">
        <v>9945</v>
      </c>
      <c r="I4812" s="8">
        <v>529.125</v>
      </c>
      <c r="J4812" s="3">
        <f t="shared" si="75"/>
        <v>43747.818770532402</v>
      </c>
    </row>
    <row r="4813" spans="1:10" x14ac:dyDescent="0.25">
      <c r="A4813" s="5" t="s">
        <v>9946</v>
      </c>
      <c r="B4813" s="6">
        <v>403.125</v>
      </c>
      <c r="C4813" s="6">
        <v>20.478950000000001</v>
      </c>
      <c r="D4813" s="6">
        <v>71</v>
      </c>
      <c r="E4813" s="6">
        <v>0</v>
      </c>
      <c r="F4813" s="6">
        <v>0</v>
      </c>
      <c r="G4813" s="6">
        <v>11</v>
      </c>
      <c r="H4813" s="6" t="s">
        <v>9947</v>
      </c>
      <c r="I4813" s="6">
        <v>529.125</v>
      </c>
      <c r="J4813" s="2">
        <f t="shared" si="75"/>
        <v>43747.818853368051</v>
      </c>
    </row>
    <row r="4814" spans="1:10" x14ac:dyDescent="0.25">
      <c r="A4814" s="7" t="s">
        <v>9948</v>
      </c>
      <c r="B4814" s="8">
        <v>403.125</v>
      </c>
      <c r="C4814" s="8">
        <v>20.478950000000001</v>
      </c>
      <c r="D4814" s="8">
        <v>72</v>
      </c>
      <c r="E4814" s="8">
        <v>0</v>
      </c>
      <c r="F4814" s="8">
        <v>0</v>
      </c>
      <c r="G4814" s="8">
        <v>8</v>
      </c>
      <c r="H4814" s="8" t="s">
        <v>9949</v>
      </c>
      <c r="I4814" s="8">
        <v>529.875</v>
      </c>
      <c r="J4814" s="3">
        <f t="shared" si="75"/>
        <v>43747.818924780091</v>
      </c>
    </row>
    <row r="4815" spans="1:10" x14ac:dyDescent="0.25">
      <c r="A4815" s="5" t="s">
        <v>9950</v>
      </c>
      <c r="B4815" s="6">
        <v>403.125</v>
      </c>
      <c r="C4815" s="6">
        <v>20.478950000000001</v>
      </c>
      <c r="D4815" s="6">
        <v>74</v>
      </c>
      <c r="E4815" s="6">
        <v>0</v>
      </c>
      <c r="F4815" s="6">
        <v>0</v>
      </c>
      <c r="G4815" s="6">
        <v>17</v>
      </c>
      <c r="H4815" s="6" t="s">
        <v>9951</v>
      </c>
      <c r="I4815" s="6">
        <v>529.875</v>
      </c>
      <c r="J4815" s="2">
        <f t="shared" si="75"/>
        <v>43747.819008125</v>
      </c>
    </row>
    <row r="4816" spans="1:10" x14ac:dyDescent="0.25">
      <c r="A4816" s="7" t="s">
        <v>9952</v>
      </c>
      <c r="B4816" s="8">
        <v>421.875</v>
      </c>
      <c r="C4816" s="8">
        <v>20.478950000000001</v>
      </c>
      <c r="D4816" s="8">
        <v>74</v>
      </c>
      <c r="E4816" s="8">
        <v>0</v>
      </c>
      <c r="F4816" s="8">
        <v>0</v>
      </c>
      <c r="G4816" s="8">
        <v>11</v>
      </c>
      <c r="H4816" s="8" t="s">
        <v>9953</v>
      </c>
      <c r="I4816" s="8">
        <v>535.5</v>
      </c>
      <c r="J4816" s="3">
        <f t="shared" si="75"/>
        <v>43747.819091805555</v>
      </c>
    </row>
    <row r="4817" spans="1:10" x14ac:dyDescent="0.25">
      <c r="A4817" s="5" t="s">
        <v>9954</v>
      </c>
      <c r="B4817" s="6">
        <v>403.125</v>
      </c>
      <c r="C4817" s="6">
        <v>20.478950000000001</v>
      </c>
      <c r="D4817" s="6">
        <v>74</v>
      </c>
      <c r="E4817" s="6">
        <v>0</v>
      </c>
      <c r="F4817" s="6">
        <v>0</v>
      </c>
      <c r="G4817" s="6">
        <v>10</v>
      </c>
      <c r="H4817" s="6" t="s">
        <v>9955</v>
      </c>
      <c r="I4817" s="6">
        <v>529.875</v>
      </c>
      <c r="J4817" s="2">
        <f t="shared" si="75"/>
        <v>43747.819174895827</v>
      </c>
    </row>
    <row r="4818" spans="1:10" x14ac:dyDescent="0.25">
      <c r="A4818" s="7" t="s">
        <v>9956</v>
      </c>
      <c r="B4818" s="8">
        <v>403.125</v>
      </c>
      <c r="C4818" s="8">
        <v>20.478950000000001</v>
      </c>
      <c r="D4818" s="8">
        <v>74</v>
      </c>
      <c r="E4818" s="8">
        <v>0</v>
      </c>
      <c r="F4818" s="8">
        <v>0</v>
      </c>
      <c r="G4818" s="8">
        <v>4</v>
      </c>
      <c r="H4818" s="8" t="s">
        <v>9957</v>
      </c>
      <c r="I4818" s="8">
        <v>529.875</v>
      </c>
      <c r="J4818" s="3">
        <f t="shared" si="75"/>
        <v>43747.819246666666</v>
      </c>
    </row>
    <row r="4819" spans="1:10" x14ac:dyDescent="0.25">
      <c r="A4819" s="5" t="s">
        <v>9958</v>
      </c>
      <c r="B4819" s="6">
        <v>403.125</v>
      </c>
      <c r="C4819" s="6">
        <v>20.478950000000001</v>
      </c>
      <c r="D4819" s="6">
        <v>74</v>
      </c>
      <c r="E4819" s="6">
        <v>0</v>
      </c>
      <c r="F4819" s="6">
        <v>0</v>
      </c>
      <c r="G4819" s="6">
        <v>8</v>
      </c>
      <c r="H4819" s="6" t="s">
        <v>9959</v>
      </c>
      <c r="I4819" s="6">
        <v>529.875</v>
      </c>
      <c r="J4819" s="2">
        <f t="shared" si="75"/>
        <v>43747.819330347214</v>
      </c>
    </row>
    <row r="4820" spans="1:10" x14ac:dyDescent="0.25">
      <c r="A4820" s="7" t="s">
        <v>9960</v>
      </c>
      <c r="B4820" s="8">
        <v>406.25</v>
      </c>
      <c r="C4820" s="8">
        <v>20.478950000000001</v>
      </c>
      <c r="D4820" s="8">
        <v>78</v>
      </c>
      <c r="E4820" s="8">
        <v>0</v>
      </c>
      <c r="F4820" s="8">
        <v>0</v>
      </c>
      <c r="G4820" s="8">
        <v>7</v>
      </c>
      <c r="H4820" s="8" t="s">
        <v>9961</v>
      </c>
      <c r="I4820" s="8">
        <v>530.625</v>
      </c>
      <c r="J4820" s="3">
        <f t="shared" si="75"/>
        <v>43747.819413657409</v>
      </c>
    </row>
    <row r="4821" spans="1:10" x14ac:dyDescent="0.25">
      <c r="A4821" s="5" t="s">
        <v>9962</v>
      </c>
      <c r="B4821" s="6">
        <v>425</v>
      </c>
      <c r="C4821" s="6">
        <v>20.478950000000001</v>
      </c>
      <c r="D4821" s="6">
        <v>75</v>
      </c>
      <c r="E4821" s="6">
        <v>0</v>
      </c>
      <c r="F4821" s="6">
        <v>0</v>
      </c>
      <c r="G4821" s="6">
        <v>8</v>
      </c>
      <c r="H4821" s="6" t="s">
        <v>9963</v>
      </c>
      <c r="I4821" s="6">
        <v>536.4375</v>
      </c>
      <c r="J4821" s="2">
        <f t="shared" si="75"/>
        <v>43747.819497002311</v>
      </c>
    </row>
    <row r="4822" spans="1:10" x14ac:dyDescent="0.25">
      <c r="A4822" s="7" t="s">
        <v>9964</v>
      </c>
      <c r="B4822" s="8">
        <v>406.25</v>
      </c>
      <c r="C4822" s="8">
        <v>20.478950000000001</v>
      </c>
      <c r="D4822" s="8">
        <v>73</v>
      </c>
      <c r="E4822" s="8">
        <v>0</v>
      </c>
      <c r="F4822" s="8">
        <v>0</v>
      </c>
      <c r="G4822" s="8">
        <v>8</v>
      </c>
      <c r="H4822" s="8" t="s">
        <v>9965</v>
      </c>
      <c r="I4822" s="8">
        <v>530.625</v>
      </c>
      <c r="J4822" s="3">
        <f t="shared" si="75"/>
        <v>43747.819580682866</v>
      </c>
    </row>
    <row r="4823" spans="1:10" x14ac:dyDescent="0.25">
      <c r="A4823" s="5" t="s">
        <v>9966</v>
      </c>
      <c r="B4823" s="6">
        <v>409.375</v>
      </c>
      <c r="C4823" s="6">
        <v>20.478950000000001</v>
      </c>
      <c r="D4823" s="6">
        <v>66</v>
      </c>
      <c r="E4823" s="6">
        <v>0</v>
      </c>
      <c r="F4823" s="6">
        <v>0</v>
      </c>
      <c r="G4823" s="6">
        <v>14</v>
      </c>
      <c r="H4823" s="6" t="s">
        <v>9967</v>
      </c>
      <c r="I4823" s="6">
        <v>531.5625</v>
      </c>
      <c r="J4823" s="2">
        <f t="shared" si="75"/>
        <v>43747.819652222221</v>
      </c>
    </row>
    <row r="4824" spans="1:10" x14ac:dyDescent="0.25">
      <c r="A4824" s="7" t="s">
        <v>9968</v>
      </c>
      <c r="B4824" s="8">
        <v>406.25</v>
      </c>
      <c r="C4824" s="8">
        <v>20.478950000000001</v>
      </c>
      <c r="D4824" s="8">
        <v>67</v>
      </c>
      <c r="E4824" s="8">
        <v>0</v>
      </c>
      <c r="F4824" s="8">
        <v>0</v>
      </c>
      <c r="G4824" s="8">
        <v>10</v>
      </c>
      <c r="H4824" s="8" t="s">
        <v>9969</v>
      </c>
      <c r="I4824" s="8">
        <v>530.625</v>
      </c>
      <c r="J4824" s="3">
        <f t="shared" si="75"/>
        <v>43747.819750150462</v>
      </c>
    </row>
    <row r="4825" spans="1:10" x14ac:dyDescent="0.25">
      <c r="A4825" s="5" t="s">
        <v>9970</v>
      </c>
      <c r="B4825" s="6">
        <v>409.375</v>
      </c>
      <c r="C4825" s="6">
        <v>20.478950000000001</v>
      </c>
      <c r="D4825" s="6">
        <v>69</v>
      </c>
      <c r="E4825" s="6">
        <v>0</v>
      </c>
      <c r="F4825" s="6">
        <v>0</v>
      </c>
      <c r="G4825" s="6">
        <v>7</v>
      </c>
      <c r="H4825" s="6" t="s">
        <v>9971</v>
      </c>
      <c r="I4825" s="6">
        <v>531.375</v>
      </c>
      <c r="J4825" s="2">
        <f t="shared" si="75"/>
        <v>43747.819831180554</v>
      </c>
    </row>
    <row r="4826" spans="1:10" x14ac:dyDescent="0.25">
      <c r="A4826" s="7" t="s">
        <v>9972</v>
      </c>
      <c r="B4826" s="8">
        <v>406.25</v>
      </c>
      <c r="C4826" s="8">
        <v>20.478950000000001</v>
      </c>
      <c r="D4826" s="8">
        <v>69</v>
      </c>
      <c r="E4826" s="8">
        <v>0</v>
      </c>
      <c r="F4826" s="8">
        <v>0</v>
      </c>
      <c r="G4826" s="8">
        <v>13</v>
      </c>
      <c r="H4826" s="8" t="s">
        <v>9973</v>
      </c>
      <c r="I4826" s="8">
        <v>530.8125</v>
      </c>
      <c r="J4826" s="3">
        <f t="shared" si="75"/>
        <v>43747.819902662035</v>
      </c>
    </row>
    <row r="4827" spans="1:10" x14ac:dyDescent="0.25">
      <c r="A4827" s="5" t="s">
        <v>9974</v>
      </c>
      <c r="B4827" s="6">
        <v>406.25</v>
      </c>
      <c r="C4827" s="6">
        <v>20.478950000000001</v>
      </c>
      <c r="D4827" s="6">
        <v>70</v>
      </c>
      <c r="E4827" s="6">
        <v>0</v>
      </c>
      <c r="F4827" s="6">
        <v>0</v>
      </c>
      <c r="G4827" s="6">
        <v>2</v>
      </c>
      <c r="H4827" s="6" t="s">
        <v>9975</v>
      </c>
      <c r="I4827" s="6">
        <v>530.625</v>
      </c>
      <c r="J4827" s="2">
        <f t="shared" si="75"/>
        <v>43747.81998591435</v>
      </c>
    </row>
    <row r="4828" spans="1:10" x14ac:dyDescent="0.25">
      <c r="A4828" s="7" t="s">
        <v>9976</v>
      </c>
      <c r="B4828" s="8">
        <v>406.25</v>
      </c>
      <c r="C4828" s="8">
        <v>20.478950000000001</v>
      </c>
      <c r="D4828" s="8">
        <v>72</v>
      </c>
      <c r="E4828" s="8">
        <v>0</v>
      </c>
      <c r="F4828" s="8">
        <v>0</v>
      </c>
      <c r="G4828" s="8">
        <v>14</v>
      </c>
      <c r="H4828" s="8" t="s">
        <v>9977</v>
      </c>
      <c r="I4828" s="8">
        <v>530.625</v>
      </c>
      <c r="J4828" s="3">
        <f t="shared" si="75"/>
        <v>43747.820069606481</v>
      </c>
    </row>
    <row r="4829" spans="1:10" x14ac:dyDescent="0.25">
      <c r="A4829" s="5" t="s">
        <v>9978</v>
      </c>
      <c r="B4829" s="6">
        <v>406.25</v>
      </c>
      <c r="C4829" s="6">
        <v>20.478950000000001</v>
      </c>
      <c r="D4829" s="6">
        <v>72</v>
      </c>
      <c r="E4829" s="6">
        <v>0</v>
      </c>
      <c r="F4829" s="6">
        <v>0</v>
      </c>
      <c r="G4829" s="6">
        <v>9</v>
      </c>
      <c r="H4829" s="6" t="s">
        <v>9979</v>
      </c>
      <c r="I4829" s="6">
        <v>530.8125</v>
      </c>
      <c r="J4829" s="2">
        <f t="shared" si="75"/>
        <v>43747.820152708329</v>
      </c>
    </row>
    <row r="4830" spans="1:10" x14ac:dyDescent="0.25">
      <c r="A4830" s="7" t="s">
        <v>9980</v>
      </c>
      <c r="B4830" s="8">
        <v>409.375</v>
      </c>
      <c r="C4830" s="8">
        <v>20.478950000000001</v>
      </c>
      <c r="D4830" s="8">
        <v>72</v>
      </c>
      <c r="E4830" s="8">
        <v>0</v>
      </c>
      <c r="F4830" s="8">
        <v>0</v>
      </c>
      <c r="G4830" s="8">
        <v>13</v>
      </c>
      <c r="H4830" s="8" t="s">
        <v>9981</v>
      </c>
      <c r="I4830" s="8">
        <v>531.5625</v>
      </c>
      <c r="J4830" s="3">
        <f t="shared" si="75"/>
        <v>43747.820224328701</v>
      </c>
    </row>
    <row r="4831" spans="1:10" x14ac:dyDescent="0.25">
      <c r="A4831" s="5" t="s">
        <v>9982</v>
      </c>
      <c r="B4831" s="6">
        <v>437.5</v>
      </c>
      <c r="C4831" s="6">
        <v>20.478950000000001</v>
      </c>
      <c r="D4831" s="6">
        <v>73</v>
      </c>
      <c r="E4831" s="6">
        <v>0</v>
      </c>
      <c r="F4831" s="6">
        <v>0</v>
      </c>
      <c r="G4831" s="6">
        <v>4</v>
      </c>
      <c r="H4831" s="6" t="s">
        <v>9983</v>
      </c>
      <c r="I4831" s="6">
        <v>540.75</v>
      </c>
      <c r="J4831" s="2">
        <f t="shared" si="75"/>
        <v>43747.820308229166</v>
      </c>
    </row>
    <row r="4832" spans="1:10" x14ac:dyDescent="0.25">
      <c r="A4832" s="7" t="s">
        <v>9984</v>
      </c>
      <c r="B4832" s="8">
        <v>412.5</v>
      </c>
      <c r="C4832" s="8">
        <v>20.478950000000001</v>
      </c>
      <c r="D4832" s="8">
        <v>72</v>
      </c>
      <c r="E4832" s="8">
        <v>0</v>
      </c>
      <c r="F4832" s="8">
        <v>0</v>
      </c>
      <c r="G4832" s="8">
        <v>12</v>
      </c>
      <c r="H4832" s="8" t="s">
        <v>9985</v>
      </c>
      <c r="I4832" s="8">
        <v>532.3125</v>
      </c>
      <c r="J4832" s="3">
        <f t="shared" si="75"/>
        <v>43747.820391458336</v>
      </c>
    </row>
    <row r="4833" spans="1:10" x14ac:dyDescent="0.25">
      <c r="A4833" s="5" t="s">
        <v>9986</v>
      </c>
      <c r="B4833" s="6">
        <v>412.5</v>
      </c>
      <c r="C4833" s="6">
        <v>20.478950000000001</v>
      </c>
      <c r="D4833" s="6">
        <v>72</v>
      </c>
      <c r="E4833" s="6">
        <v>0</v>
      </c>
      <c r="F4833" s="6">
        <v>0</v>
      </c>
      <c r="G4833" s="6">
        <v>15</v>
      </c>
      <c r="H4833" s="6" t="s">
        <v>9987</v>
      </c>
      <c r="I4833" s="6">
        <v>532.3125</v>
      </c>
      <c r="J4833" s="2">
        <f t="shared" si="75"/>
        <v>43747.820463101853</v>
      </c>
    </row>
    <row r="4834" spans="1:10" x14ac:dyDescent="0.25">
      <c r="A4834" s="7" t="s">
        <v>9988</v>
      </c>
      <c r="B4834" s="8">
        <v>428.125</v>
      </c>
      <c r="C4834" s="8">
        <v>20.478950000000001</v>
      </c>
      <c r="D4834" s="8">
        <v>71</v>
      </c>
      <c r="E4834" s="8">
        <v>0</v>
      </c>
      <c r="F4834" s="8">
        <v>0</v>
      </c>
      <c r="G4834" s="8">
        <v>0</v>
      </c>
      <c r="H4834" s="8" t="s">
        <v>9989</v>
      </c>
      <c r="I4834" s="8">
        <v>537.1875</v>
      </c>
      <c r="J4834" s="3">
        <f t="shared" si="75"/>
        <v>43747.820546550924</v>
      </c>
    </row>
    <row r="4835" spans="1:10" x14ac:dyDescent="0.25">
      <c r="A4835" s="5" t="s">
        <v>9990</v>
      </c>
      <c r="B4835" s="6">
        <v>406.25</v>
      </c>
      <c r="C4835" s="6">
        <v>20.478950000000001</v>
      </c>
      <c r="D4835" s="6">
        <v>72</v>
      </c>
      <c r="E4835" s="6">
        <v>0</v>
      </c>
      <c r="F4835" s="6">
        <v>0</v>
      </c>
      <c r="G4835" s="6">
        <v>11</v>
      </c>
      <c r="H4835" s="6" t="s">
        <v>9991</v>
      </c>
      <c r="I4835" s="6">
        <v>530.8125</v>
      </c>
      <c r="J4835" s="2">
        <f t="shared" si="75"/>
        <v>43747.820647199071</v>
      </c>
    </row>
    <row r="4836" spans="1:10" x14ac:dyDescent="0.25">
      <c r="A4836" s="7" t="s">
        <v>9992</v>
      </c>
      <c r="B4836" s="8">
        <v>406.25</v>
      </c>
      <c r="C4836" s="8">
        <v>20.478950000000001</v>
      </c>
      <c r="D4836" s="8">
        <v>70</v>
      </c>
      <c r="E4836" s="8">
        <v>0</v>
      </c>
      <c r="F4836" s="8">
        <v>0</v>
      </c>
      <c r="G4836" s="8">
        <v>9</v>
      </c>
      <c r="H4836" s="8" t="s">
        <v>9993</v>
      </c>
      <c r="I4836" s="8">
        <v>530.8125</v>
      </c>
      <c r="J4836" s="3">
        <f t="shared" si="75"/>
        <v>43747.820725393518</v>
      </c>
    </row>
    <row r="4837" spans="1:10" x14ac:dyDescent="0.25">
      <c r="A4837" s="5" t="s">
        <v>9994</v>
      </c>
      <c r="B4837" s="6">
        <v>406.25</v>
      </c>
      <c r="C4837" s="6">
        <v>20.531590000000001</v>
      </c>
      <c r="D4837" s="6">
        <v>70</v>
      </c>
      <c r="E4837" s="6">
        <v>0</v>
      </c>
      <c r="F4837" s="6">
        <v>0</v>
      </c>
      <c r="G4837" s="6">
        <v>9</v>
      </c>
      <c r="H4837" s="6" t="s">
        <v>9995</v>
      </c>
      <c r="I4837" s="6">
        <v>530.8125</v>
      </c>
      <c r="J4837" s="2">
        <f t="shared" si="75"/>
        <v>43747.820808946759</v>
      </c>
    </row>
    <row r="4838" spans="1:10" x14ac:dyDescent="0.25">
      <c r="A4838" s="7" t="s">
        <v>9996</v>
      </c>
      <c r="B4838" s="8">
        <v>406.25</v>
      </c>
      <c r="C4838" s="8">
        <v>20.478950000000001</v>
      </c>
      <c r="D4838" s="8">
        <v>69</v>
      </c>
      <c r="E4838" s="8">
        <v>0</v>
      </c>
      <c r="F4838" s="8">
        <v>0</v>
      </c>
      <c r="G4838" s="8">
        <v>5</v>
      </c>
      <c r="H4838" s="8" t="s">
        <v>9997</v>
      </c>
      <c r="I4838" s="8">
        <v>530.625</v>
      </c>
      <c r="J4838" s="3">
        <f t="shared" si="75"/>
        <v>43747.820880486113</v>
      </c>
    </row>
    <row r="4839" spans="1:10" x14ac:dyDescent="0.25">
      <c r="A4839" s="5" t="s">
        <v>9998</v>
      </c>
      <c r="B4839" s="6">
        <v>406.25</v>
      </c>
      <c r="C4839" s="6">
        <v>20.478950000000001</v>
      </c>
      <c r="D4839" s="6">
        <v>69</v>
      </c>
      <c r="E4839" s="6">
        <v>0</v>
      </c>
      <c r="F4839" s="6">
        <v>0</v>
      </c>
      <c r="G4839" s="6">
        <v>13</v>
      </c>
      <c r="H4839" s="6" t="s">
        <v>9999</v>
      </c>
      <c r="I4839" s="6">
        <v>530.625</v>
      </c>
      <c r="J4839" s="2">
        <f t="shared" si="75"/>
        <v>43747.820963680548</v>
      </c>
    </row>
    <row r="4840" spans="1:10" x14ac:dyDescent="0.25">
      <c r="A4840" s="7" t="s">
        <v>10000</v>
      </c>
      <c r="B4840" s="8">
        <v>406.25</v>
      </c>
      <c r="C4840" s="8">
        <v>20.478950000000001</v>
      </c>
      <c r="D4840" s="8">
        <v>69</v>
      </c>
      <c r="E4840" s="8">
        <v>0</v>
      </c>
      <c r="F4840" s="8">
        <v>0</v>
      </c>
      <c r="G4840" s="8">
        <v>9</v>
      </c>
      <c r="H4840" s="8" t="s">
        <v>10001</v>
      </c>
      <c r="I4840" s="8">
        <v>530.625</v>
      </c>
      <c r="J4840" s="3">
        <f t="shared" si="75"/>
        <v>43747.821040081013</v>
      </c>
    </row>
    <row r="4841" spans="1:10" x14ac:dyDescent="0.25">
      <c r="A4841" s="5" t="s">
        <v>10002</v>
      </c>
      <c r="B4841" s="6">
        <v>428.125</v>
      </c>
      <c r="C4841" s="6">
        <v>20.478950000000001</v>
      </c>
      <c r="D4841" s="6">
        <v>70</v>
      </c>
      <c r="E4841" s="6">
        <v>0</v>
      </c>
      <c r="F4841" s="6">
        <v>0</v>
      </c>
      <c r="G4841" s="6">
        <v>11</v>
      </c>
      <c r="H4841" s="6" t="s">
        <v>10003</v>
      </c>
      <c r="I4841" s="6">
        <v>537.1875</v>
      </c>
      <c r="J4841" s="2">
        <f t="shared" si="75"/>
        <v>43747.821118912034</v>
      </c>
    </row>
    <row r="4842" spans="1:10" x14ac:dyDescent="0.25">
      <c r="A4842" s="7" t="s">
        <v>10004</v>
      </c>
      <c r="B4842" s="8">
        <v>409.375</v>
      </c>
      <c r="C4842" s="8">
        <v>20.478950000000001</v>
      </c>
      <c r="D4842" s="8">
        <v>70</v>
      </c>
      <c r="E4842" s="8">
        <v>0</v>
      </c>
      <c r="F4842" s="8">
        <v>0</v>
      </c>
      <c r="G4842" s="8">
        <v>10</v>
      </c>
      <c r="H4842" s="8" t="s">
        <v>10005</v>
      </c>
      <c r="I4842" s="8">
        <v>531.5625</v>
      </c>
      <c r="J4842" s="3">
        <f t="shared" si="75"/>
        <v>43747.821202465275</v>
      </c>
    </row>
    <row r="4843" spans="1:10" x14ac:dyDescent="0.25">
      <c r="A4843" s="5" t="s">
        <v>10006</v>
      </c>
      <c r="B4843" s="6">
        <v>409.375</v>
      </c>
      <c r="C4843" s="6">
        <v>20.478950000000001</v>
      </c>
      <c r="D4843" s="6">
        <v>72</v>
      </c>
      <c r="E4843" s="6">
        <v>0</v>
      </c>
      <c r="F4843" s="6">
        <v>0</v>
      </c>
      <c r="G4843" s="6">
        <v>12</v>
      </c>
      <c r="H4843" s="6" t="s">
        <v>10007</v>
      </c>
      <c r="I4843" s="6">
        <v>531.5625</v>
      </c>
      <c r="J4843" s="2">
        <f t="shared" si="75"/>
        <v>43747.821286018516</v>
      </c>
    </row>
    <row r="4844" spans="1:10" x14ac:dyDescent="0.25">
      <c r="A4844" s="7" t="s">
        <v>10008</v>
      </c>
      <c r="B4844" s="8">
        <v>409.375</v>
      </c>
      <c r="C4844" s="8">
        <v>20.478950000000001</v>
      </c>
      <c r="D4844" s="8">
        <v>73</v>
      </c>
      <c r="E4844" s="8">
        <v>0</v>
      </c>
      <c r="F4844" s="8">
        <v>0</v>
      </c>
      <c r="G4844" s="8">
        <v>8</v>
      </c>
      <c r="H4844" s="8" t="s">
        <v>10009</v>
      </c>
      <c r="I4844" s="8">
        <v>531.5625</v>
      </c>
      <c r="J4844" s="3">
        <f t="shared" si="75"/>
        <v>43747.821369374993</v>
      </c>
    </row>
    <row r="4845" spans="1:10" x14ac:dyDescent="0.25">
      <c r="A4845" s="5" t="s">
        <v>10010</v>
      </c>
      <c r="B4845" s="6">
        <v>409.375</v>
      </c>
      <c r="C4845" s="6">
        <v>20.478950000000001</v>
      </c>
      <c r="D4845" s="6">
        <v>72</v>
      </c>
      <c r="E4845" s="6">
        <v>0</v>
      </c>
      <c r="F4845" s="6">
        <v>0</v>
      </c>
      <c r="G4845" s="6">
        <v>9</v>
      </c>
      <c r="H4845" s="6" t="s">
        <v>10011</v>
      </c>
      <c r="I4845" s="6">
        <v>531.5625</v>
      </c>
      <c r="J4845" s="2">
        <f t="shared" si="75"/>
        <v>43747.821440983789</v>
      </c>
    </row>
    <row r="4846" spans="1:10" x14ac:dyDescent="0.25">
      <c r="A4846" s="7" t="s">
        <v>10012</v>
      </c>
      <c r="B4846" s="8">
        <v>409.375</v>
      </c>
      <c r="C4846" s="8">
        <v>20.478950000000001</v>
      </c>
      <c r="D4846" s="8">
        <v>72</v>
      </c>
      <c r="E4846" s="8">
        <v>0</v>
      </c>
      <c r="F4846" s="8">
        <v>0</v>
      </c>
      <c r="G4846" s="8">
        <v>10</v>
      </c>
      <c r="H4846" s="8" t="s">
        <v>10013</v>
      </c>
      <c r="I4846" s="8">
        <v>531.5625</v>
      </c>
      <c r="J4846" s="3">
        <f t="shared" si="75"/>
        <v>43747.821524340274</v>
      </c>
    </row>
    <row r="4847" spans="1:10" x14ac:dyDescent="0.25">
      <c r="A4847" s="5" t="s">
        <v>10014</v>
      </c>
      <c r="B4847" s="6">
        <v>409.375</v>
      </c>
      <c r="C4847" s="6">
        <v>20.478950000000001</v>
      </c>
      <c r="D4847" s="6">
        <v>72</v>
      </c>
      <c r="E4847" s="6">
        <v>0</v>
      </c>
      <c r="F4847" s="6">
        <v>0</v>
      </c>
      <c r="G4847" s="6">
        <v>11</v>
      </c>
      <c r="H4847" s="6" t="s">
        <v>10015</v>
      </c>
      <c r="I4847" s="6">
        <v>531.5625</v>
      </c>
      <c r="J4847" s="2">
        <f t="shared" si="75"/>
        <v>43747.821607789352</v>
      </c>
    </row>
    <row r="4848" spans="1:10" x14ac:dyDescent="0.25">
      <c r="A4848" s="7" t="s">
        <v>10016</v>
      </c>
      <c r="B4848" s="8">
        <v>412.5</v>
      </c>
      <c r="C4848" s="8">
        <v>20.478950000000001</v>
      </c>
      <c r="D4848" s="8">
        <v>71</v>
      </c>
      <c r="E4848" s="8">
        <v>0</v>
      </c>
      <c r="F4848" s="8">
        <v>0</v>
      </c>
      <c r="G4848" s="8">
        <v>11</v>
      </c>
      <c r="H4848" s="8" t="s">
        <v>10017</v>
      </c>
      <c r="I4848" s="8">
        <v>532.3125</v>
      </c>
      <c r="J4848" s="3">
        <f t="shared" si="75"/>
        <v>43747.821691249999</v>
      </c>
    </row>
    <row r="4849" spans="1:10" x14ac:dyDescent="0.25">
      <c r="A4849" s="5" t="s">
        <v>10018</v>
      </c>
      <c r="B4849" s="6">
        <v>412.5</v>
      </c>
      <c r="C4849" s="6">
        <v>20.478950000000001</v>
      </c>
      <c r="D4849" s="6">
        <v>71</v>
      </c>
      <c r="E4849" s="6">
        <v>0</v>
      </c>
      <c r="F4849" s="6">
        <v>0</v>
      </c>
      <c r="G4849" s="6">
        <v>20</v>
      </c>
      <c r="H4849" s="6" t="s">
        <v>10019</v>
      </c>
      <c r="I4849" s="6">
        <v>532.3125</v>
      </c>
      <c r="J4849" s="2">
        <f t="shared" si="75"/>
        <v>43747.821774918979</v>
      </c>
    </row>
    <row r="4850" spans="1:10" x14ac:dyDescent="0.25">
      <c r="A4850" s="7" t="s">
        <v>10020</v>
      </c>
      <c r="B4850" s="8">
        <v>412.5</v>
      </c>
      <c r="C4850" s="8">
        <v>20.478950000000001</v>
      </c>
      <c r="D4850" s="8">
        <v>71</v>
      </c>
      <c r="E4850" s="8">
        <v>0</v>
      </c>
      <c r="F4850" s="8">
        <v>0</v>
      </c>
      <c r="G4850" s="8">
        <v>5</v>
      </c>
      <c r="H4850" s="8" t="s">
        <v>10021</v>
      </c>
      <c r="I4850" s="8">
        <v>532.3125</v>
      </c>
      <c r="J4850" s="3">
        <f t="shared" si="75"/>
        <v>43747.821858263887</v>
      </c>
    </row>
    <row r="4851" spans="1:10" x14ac:dyDescent="0.25">
      <c r="A4851" s="5" t="s">
        <v>10022</v>
      </c>
      <c r="B4851" s="6">
        <v>428.125</v>
      </c>
      <c r="C4851" s="6">
        <v>20.478950000000001</v>
      </c>
      <c r="D4851" s="6">
        <v>71</v>
      </c>
      <c r="E4851" s="6">
        <v>0</v>
      </c>
      <c r="F4851" s="6">
        <v>0</v>
      </c>
      <c r="G4851" s="6">
        <v>21</v>
      </c>
      <c r="H4851" s="6" t="s">
        <v>10023</v>
      </c>
      <c r="I4851" s="6">
        <v>537.9375</v>
      </c>
      <c r="J4851" s="2">
        <f t="shared" si="75"/>
        <v>43747.821941481474</v>
      </c>
    </row>
    <row r="4852" spans="1:10" x14ac:dyDescent="0.25">
      <c r="A4852" s="7" t="s">
        <v>10024</v>
      </c>
      <c r="B4852" s="8">
        <v>412.5</v>
      </c>
      <c r="C4852" s="8">
        <v>20.478950000000001</v>
      </c>
      <c r="D4852" s="8">
        <v>71</v>
      </c>
      <c r="E4852" s="8">
        <v>0</v>
      </c>
      <c r="F4852" s="8">
        <v>0</v>
      </c>
      <c r="G4852" s="8">
        <v>8</v>
      </c>
      <c r="H4852" s="8" t="s">
        <v>10025</v>
      </c>
      <c r="I4852" s="8">
        <v>532.3125</v>
      </c>
      <c r="J4852" s="3">
        <f t="shared" si="75"/>
        <v>43747.822013229168</v>
      </c>
    </row>
    <row r="4853" spans="1:10" x14ac:dyDescent="0.25">
      <c r="A4853" s="5" t="s">
        <v>10026</v>
      </c>
      <c r="B4853" s="6">
        <v>412.5</v>
      </c>
      <c r="C4853" s="6">
        <v>20.478950000000001</v>
      </c>
      <c r="D4853" s="6">
        <v>71</v>
      </c>
      <c r="E4853" s="6">
        <v>0</v>
      </c>
      <c r="F4853" s="6">
        <v>0</v>
      </c>
      <c r="G4853" s="6">
        <v>9</v>
      </c>
      <c r="H4853" s="6" t="s">
        <v>10027</v>
      </c>
      <c r="I4853" s="6">
        <v>532.3125</v>
      </c>
      <c r="J4853" s="2">
        <f t="shared" si="75"/>
        <v>43747.822114178234</v>
      </c>
    </row>
    <row r="4854" spans="1:10" x14ac:dyDescent="0.25">
      <c r="A4854" s="7" t="s">
        <v>10028</v>
      </c>
      <c r="B4854" s="8">
        <v>412.5</v>
      </c>
      <c r="C4854" s="8">
        <v>20.478950000000001</v>
      </c>
      <c r="D4854" s="8">
        <v>71</v>
      </c>
      <c r="E4854" s="8">
        <v>0</v>
      </c>
      <c r="F4854" s="8">
        <v>0</v>
      </c>
      <c r="G4854" s="8">
        <v>6</v>
      </c>
      <c r="H4854" s="8" t="s">
        <v>10029</v>
      </c>
      <c r="I4854" s="8">
        <v>532.3125</v>
      </c>
      <c r="J4854" s="3">
        <f t="shared" si="75"/>
        <v>43747.822192037034</v>
      </c>
    </row>
    <row r="4855" spans="1:10" x14ac:dyDescent="0.25">
      <c r="A4855" s="5" t="s">
        <v>10030</v>
      </c>
      <c r="B4855" s="6">
        <v>412.5</v>
      </c>
      <c r="C4855" s="6">
        <v>20.478950000000001</v>
      </c>
      <c r="D4855" s="6">
        <v>71</v>
      </c>
      <c r="E4855" s="6">
        <v>0</v>
      </c>
      <c r="F4855" s="6">
        <v>0</v>
      </c>
      <c r="G4855" s="6">
        <v>14</v>
      </c>
      <c r="H4855" s="6" t="s">
        <v>10031</v>
      </c>
      <c r="I4855" s="6">
        <v>532.3125</v>
      </c>
      <c r="J4855" s="2">
        <f t="shared" si="75"/>
        <v>43747.822275740742</v>
      </c>
    </row>
    <row r="4856" spans="1:10" x14ac:dyDescent="0.25">
      <c r="A4856" s="7" t="s">
        <v>10032</v>
      </c>
      <c r="B4856" s="8">
        <v>412.5</v>
      </c>
      <c r="C4856" s="8">
        <v>20.478950000000001</v>
      </c>
      <c r="D4856" s="8">
        <v>71</v>
      </c>
      <c r="E4856" s="8">
        <v>0</v>
      </c>
      <c r="F4856" s="8">
        <v>0</v>
      </c>
      <c r="G4856" s="8">
        <v>7</v>
      </c>
      <c r="H4856" s="8" t="s">
        <v>10033</v>
      </c>
      <c r="I4856" s="8">
        <v>532.3125</v>
      </c>
      <c r="J4856" s="3">
        <f t="shared" si="75"/>
        <v>43747.822347152774</v>
      </c>
    </row>
    <row r="4857" spans="1:10" x14ac:dyDescent="0.25">
      <c r="A4857" s="5" t="s">
        <v>10034</v>
      </c>
      <c r="B4857" s="6">
        <v>412.5</v>
      </c>
      <c r="C4857" s="6">
        <v>20.478950000000001</v>
      </c>
      <c r="D4857" s="6">
        <v>71</v>
      </c>
      <c r="E4857" s="6">
        <v>0</v>
      </c>
      <c r="F4857" s="6">
        <v>0</v>
      </c>
      <c r="G4857" s="6">
        <v>2</v>
      </c>
      <c r="H4857" s="6" t="s">
        <v>10035</v>
      </c>
      <c r="I4857" s="6">
        <v>532.3125</v>
      </c>
      <c r="J4857" s="2">
        <f t="shared" si="75"/>
        <v>43747.822418657401</v>
      </c>
    </row>
    <row r="4858" spans="1:10" x14ac:dyDescent="0.25">
      <c r="A4858" s="7" t="s">
        <v>10036</v>
      </c>
      <c r="B4858" s="8">
        <v>412.5</v>
      </c>
      <c r="C4858" s="8">
        <v>20.478950000000001</v>
      </c>
      <c r="D4858" s="8">
        <v>71</v>
      </c>
      <c r="E4858" s="8">
        <v>0</v>
      </c>
      <c r="F4858" s="8">
        <v>0</v>
      </c>
      <c r="G4858" s="8">
        <v>7</v>
      </c>
      <c r="H4858" s="8" t="s">
        <v>10037</v>
      </c>
      <c r="I4858" s="8">
        <v>532.3125</v>
      </c>
      <c r="J4858" s="3">
        <f t="shared" si="75"/>
        <v>43747.822514004627</v>
      </c>
    </row>
    <row r="4859" spans="1:10" x14ac:dyDescent="0.25">
      <c r="A4859" s="5" t="s">
        <v>10038</v>
      </c>
      <c r="B4859" s="6">
        <v>409.375</v>
      </c>
      <c r="C4859" s="6">
        <v>20.478950000000001</v>
      </c>
      <c r="D4859" s="6">
        <v>71</v>
      </c>
      <c r="E4859" s="6">
        <v>0</v>
      </c>
      <c r="F4859" s="6">
        <v>0</v>
      </c>
      <c r="G4859" s="6">
        <v>13</v>
      </c>
      <c r="H4859" s="6" t="s">
        <v>10039</v>
      </c>
      <c r="I4859" s="6">
        <v>531.5625</v>
      </c>
      <c r="J4859" s="2">
        <f t="shared" si="75"/>
        <v>43747.82260879629</v>
      </c>
    </row>
    <row r="4860" spans="1:10" x14ac:dyDescent="0.25">
      <c r="A4860" s="7" t="s">
        <v>10040</v>
      </c>
      <c r="B4860" s="8">
        <v>412.5</v>
      </c>
      <c r="C4860" s="8">
        <v>20.478950000000001</v>
      </c>
      <c r="D4860" s="8">
        <v>71</v>
      </c>
      <c r="E4860" s="8">
        <v>0</v>
      </c>
      <c r="F4860" s="8">
        <v>0</v>
      </c>
      <c r="G4860" s="8">
        <v>7</v>
      </c>
      <c r="H4860" s="8" t="s">
        <v>10041</v>
      </c>
      <c r="I4860" s="8">
        <v>532.3125</v>
      </c>
      <c r="J4860" s="3">
        <f t="shared" si="75"/>
        <v>43747.822680902776</v>
      </c>
    </row>
    <row r="4861" spans="1:10" x14ac:dyDescent="0.25">
      <c r="A4861" s="5" t="s">
        <v>10042</v>
      </c>
      <c r="B4861" s="6">
        <v>412.5</v>
      </c>
      <c r="C4861" s="6">
        <v>20.478950000000001</v>
      </c>
      <c r="D4861" s="6">
        <v>70</v>
      </c>
      <c r="E4861" s="6">
        <v>0</v>
      </c>
      <c r="F4861" s="6">
        <v>0</v>
      </c>
      <c r="G4861" s="6">
        <v>13</v>
      </c>
      <c r="H4861" s="6" t="s">
        <v>10043</v>
      </c>
      <c r="I4861" s="6">
        <v>532.3125</v>
      </c>
      <c r="J4861" s="2">
        <f t="shared" si="75"/>
        <v>43747.822764583332</v>
      </c>
    </row>
    <row r="4862" spans="1:10" x14ac:dyDescent="0.25">
      <c r="A4862" s="7" t="s">
        <v>10044</v>
      </c>
      <c r="B4862" s="8">
        <v>412.5</v>
      </c>
      <c r="C4862" s="8">
        <v>20.478950000000001</v>
      </c>
      <c r="D4862" s="8">
        <v>71</v>
      </c>
      <c r="E4862" s="8">
        <v>0</v>
      </c>
      <c r="F4862" s="8">
        <v>0</v>
      </c>
      <c r="G4862" s="8">
        <v>9</v>
      </c>
      <c r="H4862" s="8" t="s">
        <v>10045</v>
      </c>
      <c r="I4862" s="8">
        <v>532.3125</v>
      </c>
      <c r="J4862" s="3">
        <f t="shared" si="75"/>
        <v>43747.822835995372</v>
      </c>
    </row>
    <row r="4863" spans="1:10" x14ac:dyDescent="0.25">
      <c r="A4863" s="5" t="s">
        <v>10046</v>
      </c>
      <c r="B4863" s="6">
        <v>412.5</v>
      </c>
      <c r="C4863" s="6">
        <v>20.478950000000001</v>
      </c>
      <c r="D4863" s="6">
        <v>70</v>
      </c>
      <c r="E4863" s="6">
        <v>0</v>
      </c>
      <c r="F4863" s="6">
        <v>0</v>
      </c>
      <c r="G4863" s="6">
        <v>9</v>
      </c>
      <c r="H4863" s="6" t="s">
        <v>10047</v>
      </c>
      <c r="I4863" s="6">
        <v>532.3125</v>
      </c>
      <c r="J4863" s="2">
        <f t="shared" si="75"/>
        <v>43747.822919224534</v>
      </c>
    </row>
    <row r="4864" spans="1:10" x14ac:dyDescent="0.25">
      <c r="A4864" s="7" t="s">
        <v>10048</v>
      </c>
      <c r="B4864" s="8">
        <v>412.5</v>
      </c>
      <c r="C4864" s="8">
        <v>20.478950000000001</v>
      </c>
      <c r="D4864" s="8">
        <v>70</v>
      </c>
      <c r="E4864" s="8">
        <v>0</v>
      </c>
      <c r="F4864" s="8">
        <v>0</v>
      </c>
      <c r="G4864" s="8">
        <v>7</v>
      </c>
      <c r="H4864" s="8" t="s">
        <v>10049</v>
      </c>
      <c r="I4864" s="8">
        <v>532.3125</v>
      </c>
      <c r="J4864" s="3">
        <f t="shared" si="75"/>
        <v>43747.822990972221</v>
      </c>
    </row>
    <row r="4865" spans="1:10" x14ac:dyDescent="0.25">
      <c r="A4865" s="5" t="s">
        <v>10050</v>
      </c>
      <c r="B4865" s="6">
        <v>412.5</v>
      </c>
      <c r="C4865" s="6">
        <v>20.478950000000001</v>
      </c>
      <c r="D4865" s="6">
        <v>68</v>
      </c>
      <c r="E4865" s="6">
        <v>0</v>
      </c>
      <c r="F4865" s="6">
        <v>0</v>
      </c>
      <c r="G4865" s="6">
        <v>7</v>
      </c>
      <c r="H4865" s="6" t="s">
        <v>10051</v>
      </c>
      <c r="I4865" s="6">
        <v>532.3125</v>
      </c>
      <c r="J4865" s="2">
        <f t="shared" si="75"/>
        <v>43747.823074421292</v>
      </c>
    </row>
    <row r="4866" spans="1:10" x14ac:dyDescent="0.25">
      <c r="A4866" s="7" t="s">
        <v>10052</v>
      </c>
      <c r="B4866" s="8">
        <v>412.5</v>
      </c>
      <c r="C4866" s="8">
        <v>20.478950000000001</v>
      </c>
      <c r="D4866" s="8">
        <v>68</v>
      </c>
      <c r="E4866" s="8">
        <v>0</v>
      </c>
      <c r="F4866" s="8">
        <v>0</v>
      </c>
      <c r="G4866" s="8">
        <v>10</v>
      </c>
      <c r="H4866" s="8" t="s">
        <v>10053</v>
      </c>
      <c r="I4866" s="8">
        <v>532.3125</v>
      </c>
      <c r="J4866" s="3">
        <f t="shared" ref="J4866:J4929" si="76">(H4866/86400000)+25569+(7/24)</f>
        <v>43747.823157870364</v>
      </c>
    </row>
    <row r="4867" spans="1:10" x14ac:dyDescent="0.25">
      <c r="A4867" s="5" t="s">
        <v>10054</v>
      </c>
      <c r="B4867" s="6">
        <v>412.5</v>
      </c>
      <c r="C4867" s="6">
        <v>20.478950000000001</v>
      </c>
      <c r="D4867" s="6">
        <v>69</v>
      </c>
      <c r="E4867" s="6">
        <v>0</v>
      </c>
      <c r="F4867" s="6">
        <v>0</v>
      </c>
      <c r="G4867" s="6">
        <v>6</v>
      </c>
      <c r="H4867" s="6" t="s">
        <v>10055</v>
      </c>
      <c r="I4867" s="6">
        <v>532.3125</v>
      </c>
      <c r="J4867" s="2">
        <f t="shared" si="76"/>
        <v>43747.823241446757</v>
      </c>
    </row>
    <row r="4868" spans="1:10" x14ac:dyDescent="0.25">
      <c r="A4868" s="7" t="s">
        <v>10056</v>
      </c>
      <c r="B4868" s="8">
        <v>412.5</v>
      </c>
      <c r="C4868" s="8">
        <v>20.478950000000001</v>
      </c>
      <c r="D4868" s="8">
        <v>69</v>
      </c>
      <c r="E4868" s="8">
        <v>0</v>
      </c>
      <c r="F4868" s="8">
        <v>0</v>
      </c>
      <c r="G4868" s="8">
        <v>14</v>
      </c>
      <c r="H4868" s="8" t="s">
        <v>10057</v>
      </c>
      <c r="I4868" s="8">
        <v>532.3125</v>
      </c>
      <c r="J4868" s="3">
        <f t="shared" si="76"/>
        <v>43747.823324895835</v>
      </c>
    </row>
    <row r="4869" spans="1:10" x14ac:dyDescent="0.25">
      <c r="A4869" s="5" t="s">
        <v>10058</v>
      </c>
      <c r="B4869" s="6">
        <v>412.5</v>
      </c>
      <c r="C4869" s="6">
        <v>20.478950000000001</v>
      </c>
      <c r="D4869" s="6">
        <v>69</v>
      </c>
      <c r="E4869" s="6">
        <v>0</v>
      </c>
      <c r="F4869" s="6">
        <v>0</v>
      </c>
      <c r="G4869" s="6">
        <v>14</v>
      </c>
      <c r="H4869" s="6" t="s">
        <v>10059</v>
      </c>
      <c r="I4869" s="6">
        <v>532.3125</v>
      </c>
      <c r="J4869" s="2">
        <f t="shared" si="76"/>
        <v>43747.823408113421</v>
      </c>
    </row>
    <row r="4870" spans="1:10" x14ac:dyDescent="0.25">
      <c r="A4870" s="7" t="s">
        <v>10060</v>
      </c>
      <c r="B4870" s="8">
        <v>412.5</v>
      </c>
      <c r="C4870" s="8">
        <v>20.478950000000001</v>
      </c>
      <c r="D4870" s="8">
        <v>69</v>
      </c>
      <c r="E4870" s="8">
        <v>0</v>
      </c>
      <c r="F4870" s="8">
        <v>0</v>
      </c>
      <c r="G4870" s="8">
        <v>13</v>
      </c>
      <c r="H4870" s="8" t="s">
        <v>10061</v>
      </c>
      <c r="I4870" s="8">
        <v>532.3125</v>
      </c>
      <c r="J4870" s="3">
        <f t="shared" si="76"/>
        <v>43747.823479872684</v>
      </c>
    </row>
    <row r="4871" spans="1:10" x14ac:dyDescent="0.25">
      <c r="A4871" s="5" t="s">
        <v>10062</v>
      </c>
      <c r="B4871" s="6">
        <v>412.5</v>
      </c>
      <c r="C4871" s="6">
        <v>20.478950000000001</v>
      </c>
      <c r="D4871" s="6">
        <v>69</v>
      </c>
      <c r="E4871" s="6">
        <v>0</v>
      </c>
      <c r="F4871" s="6">
        <v>0</v>
      </c>
      <c r="G4871" s="6">
        <v>22</v>
      </c>
      <c r="H4871" s="6" t="s">
        <v>10063</v>
      </c>
      <c r="I4871" s="6">
        <v>532.3125</v>
      </c>
      <c r="J4871" s="2">
        <f t="shared" si="76"/>
        <v>43747.823574884256</v>
      </c>
    </row>
    <row r="4872" spans="1:10" x14ac:dyDescent="0.25">
      <c r="A4872" s="7" t="s">
        <v>10064</v>
      </c>
      <c r="B4872" s="8">
        <v>412.5</v>
      </c>
      <c r="C4872" s="8">
        <v>20.478950000000001</v>
      </c>
      <c r="D4872" s="8">
        <v>69</v>
      </c>
      <c r="E4872" s="8">
        <v>0</v>
      </c>
      <c r="F4872" s="8">
        <v>0</v>
      </c>
      <c r="G4872" s="8">
        <v>9</v>
      </c>
      <c r="H4872" s="8" t="s">
        <v>10065</v>
      </c>
      <c r="I4872" s="8">
        <v>532.3125</v>
      </c>
      <c r="J4872" s="3">
        <f t="shared" si="76"/>
        <v>43747.823646759258</v>
      </c>
    </row>
    <row r="4873" spans="1:10" x14ac:dyDescent="0.25">
      <c r="A4873" s="5" t="s">
        <v>10066</v>
      </c>
      <c r="B4873" s="6">
        <v>409.375</v>
      </c>
      <c r="C4873" s="6">
        <v>20.478950000000001</v>
      </c>
      <c r="D4873" s="6">
        <v>71</v>
      </c>
      <c r="E4873" s="6">
        <v>0</v>
      </c>
      <c r="F4873" s="6">
        <v>0</v>
      </c>
      <c r="G4873" s="6">
        <v>12</v>
      </c>
      <c r="H4873" s="6" t="s">
        <v>10067</v>
      </c>
      <c r="I4873" s="6">
        <v>531.5625</v>
      </c>
      <c r="J4873" s="2">
        <f t="shared" si="76"/>
        <v>43747.823730462966</v>
      </c>
    </row>
    <row r="4874" spans="1:10" x14ac:dyDescent="0.25">
      <c r="A4874" s="7" t="s">
        <v>10068</v>
      </c>
      <c r="B4874" s="8">
        <v>406.25</v>
      </c>
      <c r="C4874" s="8">
        <v>20.478950000000001</v>
      </c>
      <c r="D4874" s="8">
        <v>70</v>
      </c>
      <c r="E4874" s="8">
        <v>0</v>
      </c>
      <c r="F4874" s="8">
        <v>0</v>
      </c>
      <c r="G4874" s="8">
        <v>17</v>
      </c>
      <c r="H4874" s="8" t="s">
        <v>10069</v>
      </c>
      <c r="I4874" s="8">
        <v>530.8125</v>
      </c>
      <c r="J4874" s="3">
        <f t="shared" si="76"/>
        <v>43747.823813784715</v>
      </c>
    </row>
    <row r="4875" spans="1:10" x14ac:dyDescent="0.25">
      <c r="A4875" s="5" t="s">
        <v>10070</v>
      </c>
      <c r="B4875" s="6">
        <v>403.125</v>
      </c>
      <c r="C4875" s="6">
        <v>20.478950000000001</v>
      </c>
      <c r="D4875" s="6">
        <v>71</v>
      </c>
      <c r="E4875" s="6">
        <v>0</v>
      </c>
      <c r="F4875" s="6">
        <v>0</v>
      </c>
      <c r="G4875" s="6">
        <v>15</v>
      </c>
      <c r="H4875" s="6" t="s">
        <v>10071</v>
      </c>
      <c r="I4875" s="6">
        <v>529.875</v>
      </c>
      <c r="J4875" s="2">
        <f t="shared" si="76"/>
        <v>43747.82389699074</v>
      </c>
    </row>
    <row r="4876" spans="1:10" x14ac:dyDescent="0.25">
      <c r="A4876" s="7" t="s">
        <v>10072</v>
      </c>
      <c r="B4876" s="8">
        <v>403.125</v>
      </c>
      <c r="C4876" s="8">
        <v>20.478950000000001</v>
      </c>
      <c r="D4876" s="8">
        <v>71</v>
      </c>
      <c r="E4876" s="8">
        <v>0</v>
      </c>
      <c r="F4876" s="8">
        <v>0</v>
      </c>
      <c r="G4876" s="8">
        <v>16</v>
      </c>
      <c r="H4876" s="8" t="s">
        <v>10073</v>
      </c>
      <c r="I4876" s="8">
        <v>529.875</v>
      </c>
      <c r="J4876" s="3">
        <f t="shared" si="76"/>
        <v>43747.823985219904</v>
      </c>
    </row>
    <row r="4877" spans="1:10" x14ac:dyDescent="0.25">
      <c r="A4877" s="5" t="s">
        <v>10074</v>
      </c>
      <c r="B4877" s="6">
        <v>406.25</v>
      </c>
      <c r="C4877" s="6">
        <v>20.531590000000001</v>
      </c>
      <c r="D4877" s="6">
        <v>73</v>
      </c>
      <c r="E4877" s="6">
        <v>0</v>
      </c>
      <c r="F4877" s="6">
        <v>0</v>
      </c>
      <c r="G4877" s="6">
        <v>14</v>
      </c>
      <c r="H4877" s="6" t="s">
        <v>10075</v>
      </c>
      <c r="I4877" s="6">
        <v>530.8125</v>
      </c>
      <c r="J4877" s="2">
        <f t="shared" si="76"/>
        <v>43747.824063877313</v>
      </c>
    </row>
    <row r="4878" spans="1:10" x14ac:dyDescent="0.25">
      <c r="A4878" s="7" t="s">
        <v>10076</v>
      </c>
      <c r="B4878" s="8">
        <v>406.25</v>
      </c>
      <c r="C4878" s="8">
        <v>20.478950000000001</v>
      </c>
      <c r="D4878" s="8">
        <v>73</v>
      </c>
      <c r="E4878" s="8">
        <v>0</v>
      </c>
      <c r="F4878" s="8">
        <v>0</v>
      </c>
      <c r="G4878" s="8">
        <v>26</v>
      </c>
      <c r="H4878" s="8" t="s">
        <v>10077</v>
      </c>
      <c r="I4878" s="8">
        <v>530.8125</v>
      </c>
      <c r="J4878" s="3">
        <f t="shared" si="76"/>
        <v>43747.824135092589</v>
      </c>
    </row>
    <row r="4879" spans="1:10" x14ac:dyDescent="0.25">
      <c r="A4879" s="5" t="s">
        <v>10078</v>
      </c>
      <c r="B4879" s="6">
        <v>406.25</v>
      </c>
      <c r="C4879" s="6">
        <v>20.478950000000001</v>
      </c>
      <c r="D4879" s="6">
        <v>75</v>
      </c>
      <c r="E4879" s="6">
        <v>0</v>
      </c>
      <c r="F4879" s="6">
        <v>0</v>
      </c>
      <c r="G4879" s="6">
        <v>14</v>
      </c>
      <c r="H4879" s="6" t="s">
        <v>10077</v>
      </c>
      <c r="I4879" s="6">
        <v>530.8125</v>
      </c>
      <c r="J4879" s="2">
        <f t="shared" si="76"/>
        <v>43747.824135092589</v>
      </c>
    </row>
    <row r="4880" spans="1:10" x14ac:dyDescent="0.25">
      <c r="A4880" s="7" t="s">
        <v>10079</v>
      </c>
      <c r="B4880" s="8">
        <v>409.375</v>
      </c>
      <c r="C4880" s="8">
        <v>20.478950000000001</v>
      </c>
      <c r="D4880" s="8">
        <v>75</v>
      </c>
      <c r="E4880" s="8">
        <v>0</v>
      </c>
      <c r="F4880" s="8">
        <v>0</v>
      </c>
      <c r="G4880" s="8">
        <v>5</v>
      </c>
      <c r="H4880" s="8" t="s">
        <v>10080</v>
      </c>
      <c r="I4880" s="8">
        <v>531.5625</v>
      </c>
      <c r="J4880" s="3">
        <f t="shared" si="76"/>
        <v>43747.824290416662</v>
      </c>
    </row>
    <row r="4881" spans="1:10" x14ac:dyDescent="0.25">
      <c r="A4881" s="5" t="s">
        <v>10081</v>
      </c>
      <c r="B4881" s="6">
        <v>406.25</v>
      </c>
      <c r="C4881" s="6">
        <v>20.478950000000001</v>
      </c>
      <c r="D4881" s="6">
        <v>75</v>
      </c>
      <c r="E4881" s="6">
        <v>0</v>
      </c>
      <c r="F4881" s="6">
        <v>0</v>
      </c>
      <c r="G4881" s="6">
        <v>13</v>
      </c>
      <c r="H4881" s="6" t="s">
        <v>10082</v>
      </c>
      <c r="I4881" s="6">
        <v>530.625</v>
      </c>
      <c r="J4881" s="2">
        <f t="shared" si="76"/>
        <v>43747.824362268519</v>
      </c>
    </row>
    <row r="4882" spans="1:10" x14ac:dyDescent="0.25">
      <c r="A4882" s="7" t="s">
        <v>10083</v>
      </c>
      <c r="B4882" s="8">
        <v>409.375</v>
      </c>
      <c r="C4882" s="8">
        <v>20.531590000000001</v>
      </c>
      <c r="D4882" s="8">
        <v>73</v>
      </c>
      <c r="E4882" s="8">
        <v>0</v>
      </c>
      <c r="F4882" s="8">
        <v>0</v>
      </c>
      <c r="G4882" s="8">
        <v>5</v>
      </c>
      <c r="H4882" s="8" t="s">
        <v>10084</v>
      </c>
      <c r="I4882" s="8">
        <v>531.5625</v>
      </c>
      <c r="J4882" s="3">
        <f t="shared" si="76"/>
        <v>43747.82444571759</v>
      </c>
    </row>
    <row r="4883" spans="1:10" x14ac:dyDescent="0.25">
      <c r="A4883" s="5" t="s">
        <v>10085</v>
      </c>
      <c r="B4883" s="6">
        <v>412.5</v>
      </c>
      <c r="C4883" s="6">
        <v>20.478950000000001</v>
      </c>
      <c r="D4883" s="6">
        <v>74</v>
      </c>
      <c r="E4883" s="6">
        <v>0</v>
      </c>
      <c r="F4883" s="6">
        <v>0</v>
      </c>
      <c r="G4883" s="6">
        <v>16</v>
      </c>
      <c r="H4883" s="6" t="s">
        <v>10086</v>
      </c>
      <c r="I4883" s="6">
        <v>532.3125</v>
      </c>
      <c r="J4883" s="2">
        <f t="shared" si="76"/>
        <v>43747.824517372683</v>
      </c>
    </row>
    <row r="4884" spans="1:10" x14ac:dyDescent="0.25">
      <c r="A4884" s="7" t="s">
        <v>10087</v>
      </c>
      <c r="B4884" s="8">
        <v>412.5</v>
      </c>
      <c r="C4884" s="8">
        <v>20.531590000000001</v>
      </c>
      <c r="D4884" s="8">
        <v>76</v>
      </c>
      <c r="E4884" s="8">
        <v>0</v>
      </c>
      <c r="F4884" s="8">
        <v>0</v>
      </c>
      <c r="G4884" s="8">
        <v>21</v>
      </c>
      <c r="H4884" s="8" t="s">
        <v>10088</v>
      </c>
      <c r="I4884" s="8">
        <v>532.3125</v>
      </c>
      <c r="J4884" s="3">
        <f t="shared" si="76"/>
        <v>43747.824600810178</v>
      </c>
    </row>
    <row r="4885" spans="1:10" x14ac:dyDescent="0.25">
      <c r="A4885" s="5" t="s">
        <v>10089</v>
      </c>
      <c r="B4885" s="6">
        <v>412.5</v>
      </c>
      <c r="C4885" s="6">
        <v>20.478950000000001</v>
      </c>
      <c r="D4885" s="6">
        <v>76</v>
      </c>
      <c r="E4885" s="6">
        <v>0</v>
      </c>
      <c r="F4885" s="6">
        <v>0</v>
      </c>
      <c r="G4885" s="6">
        <v>9</v>
      </c>
      <c r="H4885" s="6" t="s">
        <v>10090</v>
      </c>
      <c r="I4885" s="6">
        <v>532.3125</v>
      </c>
      <c r="J4885" s="2">
        <f t="shared" si="76"/>
        <v>43747.824672349532</v>
      </c>
    </row>
    <row r="4886" spans="1:10" x14ac:dyDescent="0.25">
      <c r="A4886" s="7" t="s">
        <v>10091</v>
      </c>
      <c r="B4886" s="8">
        <v>412.5</v>
      </c>
      <c r="C4886" s="8">
        <v>20.478950000000001</v>
      </c>
      <c r="D4886" s="8">
        <v>75</v>
      </c>
      <c r="E4886" s="8">
        <v>0</v>
      </c>
      <c r="F4886" s="8">
        <v>0</v>
      </c>
      <c r="G4886" s="8">
        <v>10</v>
      </c>
      <c r="H4886" s="8" t="s">
        <v>10092</v>
      </c>
      <c r="I4886" s="8">
        <v>532.3125</v>
      </c>
      <c r="J4886" s="3">
        <f t="shared" si="76"/>
        <v>43747.824755798611</v>
      </c>
    </row>
    <row r="4887" spans="1:10" x14ac:dyDescent="0.25">
      <c r="A4887" s="5" t="s">
        <v>10093</v>
      </c>
      <c r="B4887" s="6">
        <v>412.5</v>
      </c>
      <c r="C4887" s="6">
        <v>20.478950000000001</v>
      </c>
      <c r="D4887" s="6">
        <v>73</v>
      </c>
      <c r="E4887" s="6">
        <v>0</v>
      </c>
      <c r="F4887" s="6">
        <v>0</v>
      </c>
      <c r="G4887" s="6">
        <v>14</v>
      </c>
      <c r="H4887" s="6" t="s">
        <v>10094</v>
      </c>
      <c r="I4887" s="6">
        <v>532.3125</v>
      </c>
      <c r="J4887" s="2">
        <f t="shared" si="76"/>
        <v>43747.824839259258</v>
      </c>
    </row>
    <row r="4888" spans="1:10" x14ac:dyDescent="0.25">
      <c r="A4888" s="7" t="s">
        <v>10095</v>
      </c>
      <c r="B4888" s="8">
        <v>412.5</v>
      </c>
      <c r="C4888" s="8">
        <v>20.478950000000001</v>
      </c>
      <c r="D4888" s="8">
        <v>73</v>
      </c>
      <c r="E4888" s="8">
        <v>0</v>
      </c>
      <c r="F4888" s="8">
        <v>0</v>
      </c>
      <c r="G4888" s="8">
        <v>13</v>
      </c>
      <c r="H4888" s="8" t="s">
        <v>10096</v>
      </c>
      <c r="I4888" s="8">
        <v>532.3125</v>
      </c>
      <c r="J4888" s="3">
        <f t="shared" si="76"/>
        <v>43747.824923229164</v>
      </c>
    </row>
    <row r="4889" spans="1:10" x14ac:dyDescent="0.25">
      <c r="A4889" s="5" t="s">
        <v>10097</v>
      </c>
      <c r="B4889" s="6">
        <v>412.5</v>
      </c>
      <c r="C4889" s="6">
        <v>20.478950000000001</v>
      </c>
      <c r="D4889" s="6">
        <v>73</v>
      </c>
      <c r="E4889" s="6">
        <v>0</v>
      </c>
      <c r="F4889" s="6">
        <v>0</v>
      </c>
      <c r="G4889" s="6">
        <v>6</v>
      </c>
      <c r="H4889" s="6" t="s">
        <v>10098</v>
      </c>
      <c r="I4889" s="6">
        <v>532.3125</v>
      </c>
      <c r="J4889" s="2">
        <f t="shared" si="76"/>
        <v>43747.824994571762</v>
      </c>
    </row>
    <row r="4890" spans="1:10" x14ac:dyDescent="0.25">
      <c r="A4890" s="7" t="s">
        <v>10099</v>
      </c>
      <c r="B4890" s="8">
        <v>412.5</v>
      </c>
      <c r="C4890" s="8">
        <v>20.478950000000001</v>
      </c>
      <c r="D4890" s="8">
        <v>73</v>
      </c>
      <c r="E4890" s="8">
        <v>0</v>
      </c>
      <c r="F4890" s="8">
        <v>0</v>
      </c>
      <c r="G4890" s="8">
        <v>8</v>
      </c>
      <c r="H4890" s="8" t="s">
        <v>10100</v>
      </c>
      <c r="I4890" s="8">
        <v>532.3125</v>
      </c>
      <c r="J4890" s="3">
        <f t="shared" si="76"/>
        <v>43747.825077777779</v>
      </c>
    </row>
    <row r="4891" spans="1:10" x14ac:dyDescent="0.25">
      <c r="A4891" s="5" t="s">
        <v>10101</v>
      </c>
      <c r="B4891" s="6">
        <v>409.375</v>
      </c>
      <c r="C4891" s="6">
        <v>20.478950000000001</v>
      </c>
      <c r="D4891" s="6">
        <v>74</v>
      </c>
      <c r="E4891" s="6">
        <v>0</v>
      </c>
      <c r="F4891" s="6">
        <v>0</v>
      </c>
      <c r="G4891" s="6">
        <v>17</v>
      </c>
      <c r="H4891" s="6" t="s">
        <v>10102</v>
      </c>
      <c r="I4891" s="6">
        <v>531.5625</v>
      </c>
      <c r="J4891" s="2">
        <f t="shared" si="76"/>
        <v>43747.82516137731</v>
      </c>
    </row>
    <row r="4892" spans="1:10" x14ac:dyDescent="0.25">
      <c r="A4892" s="7" t="s">
        <v>10103</v>
      </c>
      <c r="B4892" s="8">
        <v>409.375</v>
      </c>
      <c r="C4892" s="8">
        <v>20.478950000000001</v>
      </c>
      <c r="D4892" s="8">
        <v>74</v>
      </c>
      <c r="E4892" s="8">
        <v>0</v>
      </c>
      <c r="F4892" s="8">
        <v>0</v>
      </c>
      <c r="G4892" s="8">
        <v>10</v>
      </c>
      <c r="H4892" s="8" t="s">
        <v>10104</v>
      </c>
      <c r="I4892" s="8">
        <v>531.5625</v>
      </c>
      <c r="J4892" s="3">
        <f t="shared" si="76"/>
        <v>43747.825245011576</v>
      </c>
    </row>
    <row r="4893" spans="1:10" x14ac:dyDescent="0.25">
      <c r="A4893" s="5" t="s">
        <v>10105</v>
      </c>
      <c r="B4893" s="6">
        <v>406.25</v>
      </c>
      <c r="C4893" s="6">
        <v>20.478950000000001</v>
      </c>
      <c r="D4893" s="6">
        <v>74</v>
      </c>
      <c r="E4893" s="6">
        <v>0</v>
      </c>
      <c r="F4893" s="6">
        <v>0</v>
      </c>
      <c r="G4893" s="6">
        <v>3</v>
      </c>
      <c r="H4893" s="6" t="s">
        <v>10106</v>
      </c>
      <c r="I4893" s="6">
        <v>530.625</v>
      </c>
      <c r="J4893" s="2">
        <f t="shared" si="76"/>
        <v>43747.825316331015</v>
      </c>
    </row>
    <row r="4894" spans="1:10" x14ac:dyDescent="0.25">
      <c r="A4894" s="7" t="s">
        <v>10107</v>
      </c>
      <c r="B4894" s="8">
        <v>406.25</v>
      </c>
      <c r="C4894" s="8">
        <v>20.478950000000001</v>
      </c>
      <c r="D4894" s="8">
        <v>73</v>
      </c>
      <c r="E4894" s="8">
        <v>0</v>
      </c>
      <c r="F4894" s="8">
        <v>0</v>
      </c>
      <c r="G4894" s="8">
        <v>7</v>
      </c>
      <c r="H4894" s="8" t="s">
        <v>10108</v>
      </c>
      <c r="I4894" s="8">
        <v>530.625</v>
      </c>
      <c r="J4894" s="3">
        <f t="shared" si="76"/>
        <v>43747.82538775463</v>
      </c>
    </row>
    <row r="4895" spans="1:10" x14ac:dyDescent="0.25">
      <c r="A4895" s="5" t="s">
        <v>10109</v>
      </c>
      <c r="B4895" s="6">
        <v>406.25</v>
      </c>
      <c r="C4895" s="6">
        <v>20.531590000000001</v>
      </c>
      <c r="D4895" s="6">
        <v>72</v>
      </c>
      <c r="E4895" s="6">
        <v>0</v>
      </c>
      <c r="F4895" s="6">
        <v>0</v>
      </c>
      <c r="G4895" s="6">
        <v>13</v>
      </c>
      <c r="H4895" s="6" t="s">
        <v>10110</v>
      </c>
      <c r="I4895" s="6">
        <v>530.8125</v>
      </c>
      <c r="J4895" s="2">
        <f t="shared" si="76"/>
        <v>43747.825459386571</v>
      </c>
    </row>
    <row r="4896" spans="1:10" x14ac:dyDescent="0.25">
      <c r="A4896" s="7" t="s">
        <v>10111</v>
      </c>
      <c r="B4896" s="8">
        <v>409.375</v>
      </c>
      <c r="C4896" s="8">
        <v>20.478950000000001</v>
      </c>
      <c r="D4896" s="8">
        <v>71</v>
      </c>
      <c r="E4896" s="8">
        <v>0</v>
      </c>
      <c r="F4896" s="8">
        <v>0</v>
      </c>
      <c r="G4896" s="8">
        <v>8</v>
      </c>
      <c r="H4896" s="8" t="s">
        <v>10112</v>
      </c>
      <c r="I4896" s="8">
        <v>531.375</v>
      </c>
      <c r="J4896" s="3">
        <f t="shared" si="76"/>
        <v>43747.825542916667</v>
      </c>
    </row>
    <row r="4897" spans="1:10" x14ac:dyDescent="0.25">
      <c r="A4897" s="5" t="s">
        <v>10113</v>
      </c>
      <c r="B4897" s="6">
        <v>409.375</v>
      </c>
      <c r="C4897" s="6">
        <v>20.478950000000001</v>
      </c>
      <c r="D4897" s="6">
        <v>72</v>
      </c>
      <c r="E4897" s="6">
        <v>0</v>
      </c>
      <c r="F4897" s="6">
        <v>0</v>
      </c>
      <c r="G4897" s="6">
        <v>12</v>
      </c>
      <c r="H4897" s="6" t="s">
        <v>10114</v>
      </c>
      <c r="I4897" s="6">
        <v>531.375</v>
      </c>
      <c r="J4897" s="2">
        <f t="shared" si="76"/>
        <v>43747.825641099531</v>
      </c>
    </row>
    <row r="4898" spans="1:10" x14ac:dyDescent="0.25">
      <c r="A4898" s="7" t="s">
        <v>10115</v>
      </c>
      <c r="B4898" s="8">
        <v>425</v>
      </c>
      <c r="C4898" s="8">
        <v>20.478950000000001</v>
      </c>
      <c r="D4898" s="8">
        <v>71</v>
      </c>
      <c r="E4898" s="8">
        <v>0</v>
      </c>
      <c r="F4898" s="8">
        <v>0</v>
      </c>
      <c r="G4898" s="8">
        <v>16</v>
      </c>
      <c r="H4898" s="8" t="s">
        <v>10116</v>
      </c>
      <c r="I4898" s="8">
        <v>536.25</v>
      </c>
      <c r="J4898" s="3">
        <f t="shared" si="76"/>
        <v>43747.825721817127</v>
      </c>
    </row>
    <row r="4899" spans="1:10" x14ac:dyDescent="0.25">
      <c r="A4899" s="5" t="s">
        <v>10117</v>
      </c>
      <c r="B4899" s="6">
        <v>406.25</v>
      </c>
      <c r="C4899" s="6">
        <v>20.478950000000001</v>
      </c>
      <c r="D4899" s="6">
        <v>71</v>
      </c>
      <c r="E4899" s="6">
        <v>0</v>
      </c>
      <c r="F4899" s="6">
        <v>0</v>
      </c>
      <c r="G4899" s="6">
        <v>8</v>
      </c>
      <c r="H4899" s="6" t="s">
        <v>10118</v>
      </c>
      <c r="I4899" s="6">
        <v>530.625</v>
      </c>
      <c r="J4899" s="2">
        <f t="shared" si="76"/>
        <v>43747.825793402772</v>
      </c>
    </row>
    <row r="4900" spans="1:10" x14ac:dyDescent="0.25">
      <c r="A4900" s="7" t="s">
        <v>10119</v>
      </c>
      <c r="B4900" s="8">
        <v>409.375</v>
      </c>
      <c r="C4900" s="8">
        <v>20.478950000000001</v>
      </c>
      <c r="D4900" s="8">
        <v>71</v>
      </c>
      <c r="E4900" s="8">
        <v>0</v>
      </c>
      <c r="F4900" s="8">
        <v>0</v>
      </c>
      <c r="G4900" s="8">
        <v>10</v>
      </c>
      <c r="H4900" s="8" t="s">
        <v>10120</v>
      </c>
      <c r="I4900" s="8">
        <v>531.5625</v>
      </c>
      <c r="J4900" s="3">
        <f t="shared" si="76"/>
        <v>43747.825876747687</v>
      </c>
    </row>
    <row r="4901" spans="1:10" x14ac:dyDescent="0.25">
      <c r="A4901" s="5" t="s">
        <v>10121</v>
      </c>
      <c r="B4901" s="6">
        <v>428.125</v>
      </c>
      <c r="C4901" s="6">
        <v>20.478950000000001</v>
      </c>
      <c r="D4901" s="6">
        <v>72</v>
      </c>
      <c r="E4901" s="6">
        <v>0</v>
      </c>
      <c r="F4901" s="6">
        <v>0</v>
      </c>
      <c r="G4901" s="6">
        <v>14</v>
      </c>
      <c r="H4901" s="6" t="s">
        <v>10122</v>
      </c>
      <c r="I4901" s="6">
        <v>537.9375</v>
      </c>
      <c r="J4901" s="2">
        <f t="shared" si="76"/>
        <v>43747.825948402773</v>
      </c>
    </row>
    <row r="4902" spans="1:10" x14ac:dyDescent="0.25">
      <c r="A4902" s="7" t="s">
        <v>10123</v>
      </c>
      <c r="B4902" s="8">
        <v>415.625</v>
      </c>
      <c r="C4902" s="8">
        <v>20.478950000000001</v>
      </c>
      <c r="D4902" s="8">
        <v>72</v>
      </c>
      <c r="E4902" s="8">
        <v>0</v>
      </c>
      <c r="F4902" s="8">
        <v>0</v>
      </c>
      <c r="G4902" s="8">
        <v>15</v>
      </c>
      <c r="H4902" s="8" t="s">
        <v>10124</v>
      </c>
      <c r="I4902" s="8">
        <v>533.0625</v>
      </c>
      <c r="J4902" s="3">
        <f t="shared" si="76"/>
        <v>43747.826031828699</v>
      </c>
    </row>
    <row r="4903" spans="1:10" x14ac:dyDescent="0.25">
      <c r="A4903" s="5" t="s">
        <v>10125</v>
      </c>
      <c r="B4903" s="6">
        <v>415.625</v>
      </c>
      <c r="C4903" s="6">
        <v>20.478950000000001</v>
      </c>
      <c r="D4903" s="6">
        <v>73</v>
      </c>
      <c r="E4903" s="6">
        <v>0</v>
      </c>
      <c r="F4903" s="6">
        <v>0</v>
      </c>
      <c r="G4903" s="6">
        <v>12</v>
      </c>
      <c r="H4903" s="6" t="s">
        <v>10126</v>
      </c>
      <c r="I4903" s="6">
        <v>533.0625</v>
      </c>
      <c r="J4903" s="2">
        <f t="shared" si="76"/>
        <v>43747.826130729161</v>
      </c>
    </row>
    <row r="4904" spans="1:10" x14ac:dyDescent="0.25">
      <c r="A4904" s="7" t="s">
        <v>10127</v>
      </c>
      <c r="B4904" s="8">
        <v>415.625</v>
      </c>
      <c r="C4904" s="8">
        <v>20.478950000000001</v>
      </c>
      <c r="D4904" s="8">
        <v>73</v>
      </c>
      <c r="E4904" s="8">
        <v>0</v>
      </c>
      <c r="F4904" s="8">
        <v>0</v>
      </c>
      <c r="G4904" s="8">
        <v>16</v>
      </c>
      <c r="H4904" s="8" t="s">
        <v>10128</v>
      </c>
      <c r="I4904" s="8">
        <v>533.0625</v>
      </c>
      <c r="J4904" s="3">
        <f t="shared" si="76"/>
        <v>43747.826210648149</v>
      </c>
    </row>
    <row r="4905" spans="1:10" x14ac:dyDescent="0.25">
      <c r="A4905" s="5" t="s">
        <v>10129</v>
      </c>
      <c r="B4905" s="6">
        <v>415.625</v>
      </c>
      <c r="C4905" s="6">
        <v>20.478950000000001</v>
      </c>
      <c r="D4905" s="6">
        <v>72</v>
      </c>
      <c r="E4905" s="6">
        <v>0</v>
      </c>
      <c r="F4905" s="6">
        <v>0</v>
      </c>
      <c r="G4905" s="6">
        <v>10</v>
      </c>
      <c r="H4905" s="6" t="s">
        <v>10130</v>
      </c>
      <c r="I4905" s="6">
        <v>533.25</v>
      </c>
      <c r="J4905" s="2">
        <f t="shared" si="76"/>
        <v>43747.826294212959</v>
      </c>
    </row>
    <row r="4906" spans="1:10" x14ac:dyDescent="0.25">
      <c r="A4906" s="7" t="s">
        <v>10131</v>
      </c>
      <c r="B4906" s="8">
        <v>415.625</v>
      </c>
      <c r="C4906" s="8">
        <v>20.478950000000001</v>
      </c>
      <c r="D4906" s="8">
        <v>72</v>
      </c>
      <c r="E4906" s="8">
        <v>0</v>
      </c>
      <c r="F4906" s="8">
        <v>0</v>
      </c>
      <c r="G4906" s="8">
        <v>12</v>
      </c>
      <c r="H4906" s="8" t="s">
        <v>10132</v>
      </c>
      <c r="I4906" s="8">
        <v>533.25</v>
      </c>
      <c r="J4906" s="3">
        <f t="shared" si="76"/>
        <v>43747.82636590278</v>
      </c>
    </row>
    <row r="4907" spans="1:10" x14ac:dyDescent="0.25">
      <c r="A4907" s="5" t="s">
        <v>10133</v>
      </c>
      <c r="B4907" s="6">
        <v>415.625</v>
      </c>
      <c r="C4907" s="6">
        <v>20.478950000000001</v>
      </c>
      <c r="D4907" s="6">
        <v>73</v>
      </c>
      <c r="E4907" s="6">
        <v>0</v>
      </c>
      <c r="F4907" s="6">
        <v>0</v>
      </c>
      <c r="G4907" s="6">
        <v>8</v>
      </c>
      <c r="H4907" s="6" t="s">
        <v>10134</v>
      </c>
      <c r="I4907" s="6">
        <v>533.0625</v>
      </c>
      <c r="J4907" s="2">
        <f t="shared" si="76"/>
        <v>43747.826448854168</v>
      </c>
    </row>
    <row r="4908" spans="1:10" x14ac:dyDescent="0.25">
      <c r="A4908" s="7" t="s">
        <v>10135</v>
      </c>
      <c r="B4908" s="8">
        <v>415.625</v>
      </c>
      <c r="C4908" s="8">
        <v>20.478950000000001</v>
      </c>
      <c r="D4908" s="8">
        <v>74</v>
      </c>
      <c r="E4908" s="8">
        <v>0</v>
      </c>
      <c r="F4908" s="8">
        <v>0</v>
      </c>
      <c r="G4908" s="8">
        <v>7</v>
      </c>
      <c r="H4908" s="8" t="s">
        <v>10136</v>
      </c>
      <c r="I4908" s="8">
        <v>533.0625</v>
      </c>
      <c r="J4908" s="3">
        <f t="shared" si="76"/>
        <v>43747.826532650455</v>
      </c>
    </row>
    <row r="4909" spans="1:10" x14ac:dyDescent="0.25">
      <c r="A4909" s="5" t="s">
        <v>10137</v>
      </c>
      <c r="B4909" s="6">
        <v>415.625</v>
      </c>
      <c r="C4909" s="6">
        <v>20.478950000000001</v>
      </c>
      <c r="D4909" s="6">
        <v>73</v>
      </c>
      <c r="E4909" s="6">
        <v>0</v>
      </c>
      <c r="F4909" s="6">
        <v>0</v>
      </c>
      <c r="G4909" s="6">
        <v>6</v>
      </c>
      <c r="H4909" s="6" t="s">
        <v>10138</v>
      </c>
      <c r="I4909" s="6">
        <v>533.0625</v>
      </c>
      <c r="J4909" s="2">
        <f t="shared" si="76"/>
        <v>43747.826616412036</v>
      </c>
    </row>
    <row r="4910" spans="1:10" x14ac:dyDescent="0.25">
      <c r="A4910" s="7" t="s">
        <v>10139</v>
      </c>
      <c r="B4910" s="8">
        <v>415.625</v>
      </c>
      <c r="C4910" s="8">
        <v>20.478950000000001</v>
      </c>
      <c r="D4910" s="8">
        <v>74</v>
      </c>
      <c r="E4910" s="8">
        <v>0</v>
      </c>
      <c r="F4910" s="8">
        <v>0</v>
      </c>
      <c r="G4910" s="8">
        <v>7</v>
      </c>
      <c r="H4910" s="8" t="s">
        <v>10140</v>
      </c>
      <c r="I4910" s="8">
        <v>533.0625</v>
      </c>
      <c r="J4910" s="3">
        <f t="shared" si="76"/>
        <v>43747.826687627312</v>
      </c>
    </row>
    <row r="4911" spans="1:10" x14ac:dyDescent="0.25">
      <c r="A4911" s="5" t="s">
        <v>10141</v>
      </c>
      <c r="B4911" s="6">
        <v>415.625</v>
      </c>
      <c r="C4911" s="6">
        <v>20.478950000000001</v>
      </c>
      <c r="D4911" s="6">
        <v>73</v>
      </c>
      <c r="E4911" s="6">
        <v>0</v>
      </c>
      <c r="F4911" s="6">
        <v>0</v>
      </c>
      <c r="G4911" s="6">
        <v>4</v>
      </c>
      <c r="H4911" s="6" t="s">
        <v>10142</v>
      </c>
      <c r="I4911" s="6">
        <v>533.8125</v>
      </c>
      <c r="J4911" s="2">
        <f t="shared" si="76"/>
        <v>43747.826771064814</v>
      </c>
    </row>
    <row r="4912" spans="1:10" x14ac:dyDescent="0.25">
      <c r="A4912" s="7" t="s">
        <v>10143</v>
      </c>
      <c r="B4912" s="8">
        <v>415.625</v>
      </c>
      <c r="C4912" s="8">
        <v>20.478950000000001</v>
      </c>
      <c r="D4912" s="8">
        <v>74</v>
      </c>
      <c r="E4912" s="8">
        <v>0</v>
      </c>
      <c r="F4912" s="8">
        <v>0</v>
      </c>
      <c r="G4912" s="8">
        <v>12</v>
      </c>
      <c r="H4912" s="8" t="s">
        <v>10144</v>
      </c>
      <c r="I4912" s="8">
        <v>533.0625</v>
      </c>
      <c r="J4912" s="3">
        <f t="shared" si="76"/>
        <v>43747.8268546412</v>
      </c>
    </row>
    <row r="4913" spans="1:10" x14ac:dyDescent="0.25">
      <c r="A4913" s="5" t="s">
        <v>10145</v>
      </c>
      <c r="B4913" s="6">
        <v>412.5</v>
      </c>
      <c r="C4913" s="6">
        <v>20.478950000000001</v>
      </c>
      <c r="D4913" s="6">
        <v>75</v>
      </c>
      <c r="E4913" s="6">
        <v>0</v>
      </c>
      <c r="F4913" s="6">
        <v>0</v>
      </c>
      <c r="G4913" s="6">
        <v>8</v>
      </c>
      <c r="H4913" s="6" t="s">
        <v>10146</v>
      </c>
      <c r="I4913" s="6">
        <v>532.3125</v>
      </c>
      <c r="J4913" s="2">
        <f t="shared" si="76"/>
        <v>43747.826950115741</v>
      </c>
    </row>
    <row r="4914" spans="1:10" x14ac:dyDescent="0.25">
      <c r="A4914" s="7" t="s">
        <v>10147</v>
      </c>
      <c r="B4914" s="8">
        <v>412.5</v>
      </c>
      <c r="C4914" s="8">
        <v>20.478950000000001</v>
      </c>
      <c r="D4914" s="8">
        <v>77</v>
      </c>
      <c r="E4914" s="8">
        <v>0</v>
      </c>
      <c r="F4914" s="8">
        <v>0</v>
      </c>
      <c r="G4914" s="8">
        <v>8</v>
      </c>
      <c r="H4914" s="8" t="s">
        <v>10148</v>
      </c>
      <c r="I4914" s="8">
        <v>532.3125</v>
      </c>
      <c r="J4914" s="3">
        <f t="shared" si="76"/>
        <v>43747.827033449073</v>
      </c>
    </row>
    <row r="4915" spans="1:10" x14ac:dyDescent="0.25">
      <c r="A4915" s="5" t="s">
        <v>10149</v>
      </c>
      <c r="B4915" s="6">
        <v>431.25</v>
      </c>
      <c r="C4915" s="6">
        <v>20.478950000000001</v>
      </c>
      <c r="D4915" s="6">
        <v>76</v>
      </c>
      <c r="E4915" s="6">
        <v>0</v>
      </c>
      <c r="F4915" s="6">
        <v>0</v>
      </c>
      <c r="G4915" s="6">
        <v>3</v>
      </c>
      <c r="H4915" s="6" t="s">
        <v>10150</v>
      </c>
      <c r="I4915" s="6">
        <v>538.125</v>
      </c>
      <c r="J4915" s="2">
        <f t="shared" si="76"/>
        <v>43747.827117118053</v>
      </c>
    </row>
    <row r="4916" spans="1:10" x14ac:dyDescent="0.25">
      <c r="A4916" s="7" t="s">
        <v>10151</v>
      </c>
      <c r="B4916" s="8">
        <v>412.5</v>
      </c>
      <c r="C4916" s="8">
        <v>20.478950000000001</v>
      </c>
      <c r="D4916" s="8">
        <v>76</v>
      </c>
      <c r="E4916" s="8">
        <v>0</v>
      </c>
      <c r="F4916" s="8">
        <v>0</v>
      </c>
      <c r="G4916" s="8">
        <v>23</v>
      </c>
      <c r="H4916" s="8" t="s">
        <v>10152</v>
      </c>
      <c r="I4916" s="8">
        <v>532.5</v>
      </c>
      <c r="J4916" s="3">
        <f t="shared" si="76"/>
        <v>43747.827200370368</v>
      </c>
    </row>
    <row r="4917" spans="1:10" x14ac:dyDescent="0.25">
      <c r="A4917" s="5" t="s">
        <v>10153</v>
      </c>
      <c r="B4917" s="6">
        <v>412.5</v>
      </c>
      <c r="C4917" s="6">
        <v>20.478950000000001</v>
      </c>
      <c r="D4917" s="6">
        <v>75</v>
      </c>
      <c r="E4917" s="6">
        <v>0</v>
      </c>
      <c r="F4917" s="6">
        <v>0</v>
      </c>
      <c r="G4917" s="6">
        <v>13</v>
      </c>
      <c r="H4917" s="6" t="s">
        <v>10154</v>
      </c>
      <c r="I4917" s="6">
        <v>532.3125</v>
      </c>
      <c r="J4917" s="2">
        <f t="shared" si="76"/>
        <v>43747.82727188657</v>
      </c>
    </row>
    <row r="4918" spans="1:10" x14ac:dyDescent="0.25">
      <c r="A4918" s="7" t="s">
        <v>10155</v>
      </c>
      <c r="B4918" s="8">
        <v>412.5</v>
      </c>
      <c r="C4918" s="8">
        <v>20.478950000000001</v>
      </c>
      <c r="D4918" s="8">
        <v>74</v>
      </c>
      <c r="E4918" s="8">
        <v>0</v>
      </c>
      <c r="F4918" s="8">
        <v>0</v>
      </c>
      <c r="G4918" s="8">
        <v>8</v>
      </c>
      <c r="H4918" s="8" t="s">
        <v>10156</v>
      </c>
      <c r="I4918" s="8">
        <v>532.3125</v>
      </c>
      <c r="J4918" s="3">
        <f t="shared" si="76"/>
        <v>43747.827355671296</v>
      </c>
    </row>
    <row r="4919" spans="1:10" x14ac:dyDescent="0.25">
      <c r="A4919" s="5" t="s">
        <v>10157</v>
      </c>
      <c r="B4919" s="6">
        <v>412.5</v>
      </c>
      <c r="C4919" s="6">
        <v>20.478950000000001</v>
      </c>
      <c r="D4919" s="6">
        <v>74</v>
      </c>
      <c r="E4919" s="6">
        <v>0</v>
      </c>
      <c r="F4919" s="6">
        <v>0</v>
      </c>
      <c r="G4919" s="6">
        <v>16</v>
      </c>
      <c r="H4919" s="6" t="s">
        <v>10158</v>
      </c>
      <c r="I4919" s="6">
        <v>532.3125</v>
      </c>
      <c r="J4919" s="2">
        <f t="shared" si="76"/>
        <v>43747.827438912034</v>
      </c>
    </row>
    <row r="4920" spans="1:10" x14ac:dyDescent="0.25">
      <c r="A4920" s="7" t="s">
        <v>10159</v>
      </c>
      <c r="B4920" s="8">
        <v>428.125</v>
      </c>
      <c r="C4920" s="8">
        <v>20.478950000000001</v>
      </c>
      <c r="D4920" s="8">
        <v>74</v>
      </c>
      <c r="E4920" s="8">
        <v>0</v>
      </c>
      <c r="F4920" s="8">
        <v>0</v>
      </c>
      <c r="G4920" s="8">
        <v>7</v>
      </c>
      <c r="H4920" s="8" t="s">
        <v>10160</v>
      </c>
      <c r="I4920" s="8">
        <v>537.5625</v>
      </c>
      <c r="J4920" s="3">
        <f t="shared" si="76"/>
        <v>43747.827522453699</v>
      </c>
    </row>
    <row r="4921" spans="1:10" x14ac:dyDescent="0.25">
      <c r="A4921" s="5" t="s">
        <v>10161</v>
      </c>
      <c r="B4921" s="6">
        <v>409.375</v>
      </c>
      <c r="C4921" s="6">
        <v>20.531590000000001</v>
      </c>
      <c r="D4921" s="6">
        <v>73</v>
      </c>
      <c r="E4921" s="6">
        <v>0</v>
      </c>
      <c r="F4921" s="6">
        <v>0</v>
      </c>
      <c r="G4921" s="6">
        <v>16</v>
      </c>
      <c r="H4921" s="6" t="s">
        <v>10162</v>
      </c>
      <c r="I4921" s="6">
        <v>531.375</v>
      </c>
      <c r="J4921" s="2">
        <f t="shared" si="76"/>
        <v>43747.827593993054</v>
      </c>
    </row>
    <row r="4922" spans="1:10" x14ac:dyDescent="0.25">
      <c r="A4922" s="7" t="s">
        <v>10163</v>
      </c>
      <c r="B4922" s="8">
        <v>409.375</v>
      </c>
      <c r="C4922" s="8">
        <v>20.478950000000001</v>
      </c>
      <c r="D4922" s="8">
        <v>73</v>
      </c>
      <c r="E4922" s="8">
        <v>0</v>
      </c>
      <c r="F4922" s="8">
        <v>0</v>
      </c>
      <c r="G4922" s="8">
        <v>22</v>
      </c>
      <c r="H4922" s="8" t="s">
        <v>10164</v>
      </c>
      <c r="I4922" s="8">
        <v>531.5625</v>
      </c>
      <c r="J4922" s="3">
        <f t="shared" si="76"/>
        <v>43747.827665532408</v>
      </c>
    </row>
    <row r="4923" spans="1:10" x14ac:dyDescent="0.25">
      <c r="A4923" s="5" t="s">
        <v>10165</v>
      </c>
      <c r="B4923" s="6">
        <v>409.375</v>
      </c>
      <c r="C4923" s="6">
        <v>20.478950000000001</v>
      </c>
      <c r="D4923" s="6">
        <v>72</v>
      </c>
      <c r="E4923" s="6">
        <v>0</v>
      </c>
      <c r="F4923" s="6">
        <v>0</v>
      </c>
      <c r="G4923" s="6">
        <v>5</v>
      </c>
      <c r="H4923" s="6" t="s">
        <v>10166</v>
      </c>
      <c r="I4923" s="6">
        <v>531.375</v>
      </c>
      <c r="J4923" s="2">
        <f t="shared" si="76"/>
        <v>43747.827748969903</v>
      </c>
    </row>
    <row r="4924" spans="1:10" x14ac:dyDescent="0.25">
      <c r="A4924" s="7" t="s">
        <v>10167</v>
      </c>
      <c r="B4924" s="8">
        <v>412.5</v>
      </c>
      <c r="C4924" s="8">
        <v>20.478950000000001</v>
      </c>
      <c r="D4924" s="8">
        <v>74</v>
      </c>
      <c r="E4924" s="8">
        <v>0</v>
      </c>
      <c r="F4924" s="8">
        <v>0</v>
      </c>
      <c r="G4924" s="8">
        <v>12</v>
      </c>
      <c r="H4924" s="8" t="s">
        <v>10168</v>
      </c>
      <c r="I4924" s="8">
        <v>532.3125</v>
      </c>
      <c r="J4924" s="3">
        <f t="shared" si="76"/>
        <v>43747.827832442126</v>
      </c>
    </row>
    <row r="4925" spans="1:10" x14ac:dyDescent="0.25">
      <c r="A4925" s="5" t="s">
        <v>10169</v>
      </c>
      <c r="B4925" s="6">
        <v>412.5</v>
      </c>
      <c r="C4925" s="6">
        <v>20.478950000000001</v>
      </c>
      <c r="D4925" s="6">
        <v>72</v>
      </c>
      <c r="E4925" s="6">
        <v>0</v>
      </c>
      <c r="F4925" s="6">
        <v>0</v>
      </c>
      <c r="G4925" s="6">
        <v>19</v>
      </c>
      <c r="H4925" s="6" t="s">
        <v>10170</v>
      </c>
      <c r="I4925" s="6">
        <v>532.3125</v>
      </c>
      <c r="J4925" s="2">
        <f t="shared" si="76"/>
        <v>43747.827903958336</v>
      </c>
    </row>
    <row r="4926" spans="1:10" x14ac:dyDescent="0.25">
      <c r="A4926" s="7" t="s">
        <v>10171</v>
      </c>
      <c r="B4926" s="8">
        <v>412.5</v>
      </c>
      <c r="C4926" s="8">
        <v>20.478950000000001</v>
      </c>
      <c r="D4926" s="8">
        <v>71</v>
      </c>
      <c r="E4926" s="8">
        <v>0</v>
      </c>
      <c r="F4926" s="8">
        <v>0</v>
      </c>
      <c r="G4926" s="8">
        <v>15</v>
      </c>
      <c r="H4926" s="8" t="s">
        <v>10172</v>
      </c>
      <c r="I4926" s="8">
        <v>532.3125</v>
      </c>
      <c r="J4926" s="3">
        <f t="shared" si="76"/>
        <v>43747.827987523146</v>
      </c>
    </row>
    <row r="4927" spans="1:10" x14ac:dyDescent="0.25">
      <c r="A4927" s="5" t="s">
        <v>10173</v>
      </c>
      <c r="B4927" s="6">
        <v>412.5</v>
      </c>
      <c r="C4927" s="6">
        <v>20.478950000000001</v>
      </c>
      <c r="D4927" s="6">
        <v>72</v>
      </c>
      <c r="E4927" s="6">
        <v>0</v>
      </c>
      <c r="F4927" s="6">
        <v>0</v>
      </c>
      <c r="G4927" s="6">
        <v>10</v>
      </c>
      <c r="H4927" s="6" t="s">
        <v>10174</v>
      </c>
      <c r="I4927" s="6">
        <v>532.3125</v>
      </c>
      <c r="J4927" s="2">
        <f t="shared" si="76"/>
        <v>43747.828071180549</v>
      </c>
    </row>
    <row r="4928" spans="1:10" x14ac:dyDescent="0.25">
      <c r="A4928" s="7" t="s">
        <v>10175</v>
      </c>
      <c r="B4928" s="8">
        <v>409.375</v>
      </c>
      <c r="C4928" s="8">
        <v>20.478950000000001</v>
      </c>
      <c r="D4928" s="8">
        <v>71</v>
      </c>
      <c r="E4928" s="8">
        <v>0</v>
      </c>
      <c r="F4928" s="8">
        <v>0</v>
      </c>
      <c r="G4928" s="8">
        <v>13</v>
      </c>
      <c r="H4928" s="8" t="s">
        <v>10176</v>
      </c>
      <c r="I4928" s="8">
        <v>531.5625</v>
      </c>
      <c r="J4928" s="3">
        <f t="shared" si="76"/>
        <v>43747.828154421295</v>
      </c>
    </row>
    <row r="4929" spans="1:10" x14ac:dyDescent="0.25">
      <c r="A4929" s="5" t="s">
        <v>10177</v>
      </c>
      <c r="B4929" s="6">
        <v>409.375</v>
      </c>
      <c r="C4929" s="6">
        <v>20.478950000000001</v>
      </c>
      <c r="D4929" s="6">
        <v>74</v>
      </c>
      <c r="E4929" s="6">
        <v>0</v>
      </c>
      <c r="F4929" s="6">
        <v>0</v>
      </c>
      <c r="G4929" s="6">
        <v>8</v>
      </c>
      <c r="H4929" s="6" t="s">
        <v>10178</v>
      </c>
      <c r="I4929" s="6">
        <v>531.375</v>
      </c>
      <c r="J4929" s="2">
        <f t="shared" si="76"/>
        <v>43747.828226053236</v>
      </c>
    </row>
    <row r="4930" spans="1:10" x14ac:dyDescent="0.25">
      <c r="A4930" s="7" t="s">
        <v>10179</v>
      </c>
      <c r="B4930" s="8">
        <v>409.375</v>
      </c>
      <c r="C4930" s="8">
        <v>20.478950000000001</v>
      </c>
      <c r="D4930" s="8">
        <v>73</v>
      </c>
      <c r="E4930" s="8">
        <v>0</v>
      </c>
      <c r="F4930" s="8">
        <v>0</v>
      </c>
      <c r="G4930" s="8">
        <v>12</v>
      </c>
      <c r="H4930" s="8" t="s">
        <v>10180</v>
      </c>
      <c r="I4930" s="8">
        <v>531.5625</v>
      </c>
      <c r="J4930" s="3">
        <f t="shared" ref="J4930:J4993" si="77">(H4930/86400000)+25569+(7/24)</f>
        <v>43747.828309398144</v>
      </c>
    </row>
    <row r="4931" spans="1:10" x14ac:dyDescent="0.25">
      <c r="A4931" s="5" t="s">
        <v>10181</v>
      </c>
      <c r="B4931" s="6">
        <v>409.375</v>
      </c>
      <c r="C4931" s="6">
        <v>20.478950000000001</v>
      </c>
      <c r="D4931" s="6">
        <v>74</v>
      </c>
      <c r="E4931" s="6">
        <v>0</v>
      </c>
      <c r="F4931" s="6">
        <v>0</v>
      </c>
      <c r="G4931" s="6">
        <v>3</v>
      </c>
      <c r="H4931" s="6" t="s">
        <v>10182</v>
      </c>
      <c r="I4931" s="6">
        <v>531.5625</v>
      </c>
      <c r="J4931" s="2">
        <f t="shared" si="77"/>
        <v>43747.828392835647</v>
      </c>
    </row>
    <row r="4932" spans="1:10" x14ac:dyDescent="0.25">
      <c r="A4932" s="7" t="s">
        <v>10183</v>
      </c>
      <c r="B4932" s="8">
        <v>409.375</v>
      </c>
      <c r="C4932" s="8">
        <v>20.478950000000001</v>
      </c>
      <c r="D4932" s="8">
        <v>74</v>
      </c>
      <c r="E4932" s="8">
        <v>0</v>
      </c>
      <c r="F4932" s="8">
        <v>0</v>
      </c>
      <c r="G4932" s="8">
        <v>10</v>
      </c>
      <c r="H4932" s="8" t="s">
        <v>10184</v>
      </c>
      <c r="I4932" s="8">
        <v>531.5625</v>
      </c>
      <c r="J4932" s="3">
        <f t="shared" si="77"/>
        <v>43747.82847641204</v>
      </c>
    </row>
    <row r="4933" spans="1:10" x14ac:dyDescent="0.25">
      <c r="A4933" s="5" t="s">
        <v>10185</v>
      </c>
      <c r="B4933" s="6">
        <v>409.375</v>
      </c>
      <c r="C4933" s="6">
        <v>20.478950000000001</v>
      </c>
      <c r="D4933" s="6">
        <v>73</v>
      </c>
      <c r="E4933" s="6">
        <v>0</v>
      </c>
      <c r="F4933" s="6">
        <v>0</v>
      </c>
      <c r="G4933" s="6">
        <v>14</v>
      </c>
      <c r="H4933" s="6" t="s">
        <v>10186</v>
      </c>
      <c r="I4933" s="6">
        <v>531.5625</v>
      </c>
      <c r="J4933" s="2">
        <f t="shared" si="77"/>
        <v>43747.828559745372</v>
      </c>
    </row>
    <row r="4934" spans="1:10" x14ac:dyDescent="0.25">
      <c r="A4934" s="7" t="s">
        <v>10187</v>
      </c>
      <c r="B4934" s="8">
        <v>406.25</v>
      </c>
      <c r="C4934" s="8">
        <v>20.478950000000001</v>
      </c>
      <c r="D4934" s="8">
        <v>76</v>
      </c>
      <c r="E4934" s="8">
        <v>0</v>
      </c>
      <c r="F4934" s="8">
        <v>0</v>
      </c>
      <c r="G4934" s="8">
        <v>10</v>
      </c>
      <c r="H4934" s="8" t="s">
        <v>10188</v>
      </c>
      <c r="I4934" s="8">
        <v>530.625</v>
      </c>
      <c r="J4934" s="3">
        <f t="shared" si="77"/>
        <v>43747.828643414345</v>
      </c>
    </row>
    <row r="4935" spans="1:10" x14ac:dyDescent="0.25">
      <c r="A4935" s="5" t="s">
        <v>10189</v>
      </c>
      <c r="B4935" s="6">
        <v>406.25</v>
      </c>
      <c r="C4935" s="6">
        <v>20.478950000000001</v>
      </c>
      <c r="D4935" s="6">
        <v>75</v>
      </c>
      <c r="E4935" s="6">
        <v>0</v>
      </c>
      <c r="F4935" s="6">
        <v>0</v>
      </c>
      <c r="G4935" s="6">
        <v>9</v>
      </c>
      <c r="H4935" s="6" t="s">
        <v>10190</v>
      </c>
      <c r="I4935" s="6">
        <v>530.8125</v>
      </c>
      <c r="J4935" s="2">
        <f t="shared" si="77"/>
        <v>43747.828714826384</v>
      </c>
    </row>
    <row r="4936" spans="1:10" x14ac:dyDescent="0.25">
      <c r="A4936" s="7" t="s">
        <v>10191</v>
      </c>
      <c r="B4936" s="8">
        <v>403.125</v>
      </c>
      <c r="C4936" s="8">
        <v>20.478950000000001</v>
      </c>
      <c r="D4936" s="8">
        <v>74</v>
      </c>
      <c r="E4936" s="8">
        <v>0</v>
      </c>
      <c r="F4936" s="8">
        <v>0</v>
      </c>
      <c r="G4936" s="8">
        <v>12</v>
      </c>
      <c r="H4936" s="8" t="s">
        <v>10192</v>
      </c>
      <c r="I4936" s="8">
        <v>529.875</v>
      </c>
      <c r="J4936" s="3">
        <f t="shared" si="77"/>
        <v>43747.828798275463</v>
      </c>
    </row>
    <row r="4937" spans="1:10" x14ac:dyDescent="0.25">
      <c r="A4937" s="5" t="s">
        <v>10193</v>
      </c>
      <c r="B4937" s="6">
        <v>403.125</v>
      </c>
      <c r="C4937" s="6">
        <v>20.478950000000001</v>
      </c>
      <c r="D4937" s="6">
        <v>71</v>
      </c>
      <c r="E4937" s="6">
        <v>0</v>
      </c>
      <c r="F4937" s="6">
        <v>0</v>
      </c>
      <c r="G4937" s="6">
        <v>15</v>
      </c>
      <c r="H4937" s="6" t="s">
        <v>10194</v>
      </c>
      <c r="I4937" s="6">
        <v>529.125</v>
      </c>
      <c r="J4937" s="2">
        <f t="shared" si="77"/>
        <v>43747.828881724534</v>
      </c>
    </row>
    <row r="4938" spans="1:10" x14ac:dyDescent="0.25">
      <c r="A4938" s="7" t="s">
        <v>10195</v>
      </c>
      <c r="B4938" s="8">
        <v>400</v>
      </c>
      <c r="C4938" s="8">
        <v>20.478950000000001</v>
      </c>
      <c r="D4938" s="8">
        <v>71</v>
      </c>
      <c r="E4938" s="8">
        <v>0</v>
      </c>
      <c r="F4938" s="8">
        <v>0</v>
      </c>
      <c r="G4938" s="8">
        <v>11</v>
      </c>
      <c r="H4938" s="8" t="s">
        <v>10196</v>
      </c>
      <c r="I4938" s="8">
        <v>528.9375</v>
      </c>
      <c r="J4938" s="3">
        <f t="shared" si="77"/>
        <v>43747.828965787034</v>
      </c>
    </row>
    <row r="4939" spans="1:10" x14ac:dyDescent="0.25">
      <c r="A4939" s="5" t="s">
        <v>10197</v>
      </c>
      <c r="B4939" s="6">
        <v>400</v>
      </c>
      <c r="C4939" s="6">
        <v>20.478950000000001</v>
      </c>
      <c r="D4939" s="6">
        <v>72</v>
      </c>
      <c r="E4939" s="6">
        <v>0</v>
      </c>
      <c r="F4939" s="6">
        <v>0</v>
      </c>
      <c r="G4939" s="6">
        <v>20</v>
      </c>
      <c r="H4939" s="6" t="s">
        <v>10198</v>
      </c>
      <c r="I4939" s="6">
        <v>528.375</v>
      </c>
      <c r="J4939" s="2">
        <f t="shared" si="77"/>
        <v>43747.829048981475</v>
      </c>
    </row>
    <row r="4940" spans="1:10" x14ac:dyDescent="0.25">
      <c r="A4940" s="7" t="s">
        <v>10199</v>
      </c>
      <c r="B4940" s="8">
        <v>400</v>
      </c>
      <c r="C4940" s="8">
        <v>20.478950000000001</v>
      </c>
      <c r="D4940" s="8">
        <v>72</v>
      </c>
      <c r="E4940" s="8">
        <v>0</v>
      </c>
      <c r="F4940" s="8">
        <v>0</v>
      </c>
      <c r="G4940" s="8">
        <v>11</v>
      </c>
      <c r="H4940" s="8" t="s">
        <v>10200</v>
      </c>
      <c r="I4940" s="8">
        <v>528.375</v>
      </c>
      <c r="J4940" s="3">
        <f t="shared" si="77"/>
        <v>43747.829132175924</v>
      </c>
    </row>
    <row r="4941" spans="1:10" x14ac:dyDescent="0.25">
      <c r="A4941" s="5" t="s">
        <v>10201</v>
      </c>
      <c r="B4941" s="6">
        <v>400</v>
      </c>
      <c r="C4941" s="6">
        <v>20.478950000000001</v>
      </c>
      <c r="D4941" s="6">
        <v>73</v>
      </c>
      <c r="E4941" s="6">
        <v>0</v>
      </c>
      <c r="F4941" s="6">
        <v>0</v>
      </c>
      <c r="G4941" s="6">
        <v>12</v>
      </c>
      <c r="H4941" s="6" t="s">
        <v>10202</v>
      </c>
      <c r="I4941" s="6">
        <v>528.1875</v>
      </c>
      <c r="J4941" s="2">
        <f t="shared" si="77"/>
        <v>43747.829215648148</v>
      </c>
    </row>
    <row r="4942" spans="1:10" x14ac:dyDescent="0.25">
      <c r="A4942" s="7" t="s">
        <v>10203</v>
      </c>
      <c r="B4942" s="8">
        <v>403.125</v>
      </c>
      <c r="C4942" s="8">
        <v>20.478950000000001</v>
      </c>
      <c r="D4942" s="8">
        <v>70</v>
      </c>
      <c r="E4942" s="8">
        <v>0</v>
      </c>
      <c r="F4942" s="8">
        <v>0</v>
      </c>
      <c r="G4942" s="8">
        <v>15</v>
      </c>
      <c r="H4942" s="8" t="s">
        <v>10204</v>
      </c>
      <c r="I4942" s="8">
        <v>529.125</v>
      </c>
      <c r="J4942" s="3">
        <f t="shared" si="77"/>
        <v>43747.829299074067</v>
      </c>
    </row>
    <row r="4943" spans="1:10" x14ac:dyDescent="0.25">
      <c r="A4943" s="5" t="s">
        <v>10205</v>
      </c>
      <c r="B4943" s="6">
        <v>403.125</v>
      </c>
      <c r="C4943" s="6">
        <v>20.478950000000001</v>
      </c>
      <c r="D4943" s="6">
        <v>70</v>
      </c>
      <c r="E4943" s="6">
        <v>0</v>
      </c>
      <c r="F4943" s="6">
        <v>0</v>
      </c>
      <c r="G4943" s="6">
        <v>17</v>
      </c>
      <c r="H4943" s="6" t="s">
        <v>10206</v>
      </c>
      <c r="I4943" s="6">
        <v>529.125</v>
      </c>
      <c r="J4943" s="2">
        <f t="shared" si="77"/>
        <v>43747.829382291668</v>
      </c>
    </row>
    <row r="4944" spans="1:10" x14ac:dyDescent="0.25">
      <c r="A4944" s="7" t="s">
        <v>10207</v>
      </c>
      <c r="B4944" s="8">
        <v>403.125</v>
      </c>
      <c r="C4944" s="8">
        <v>20.478950000000001</v>
      </c>
      <c r="D4944" s="8">
        <v>71</v>
      </c>
      <c r="E4944" s="8">
        <v>0</v>
      </c>
      <c r="F4944" s="8">
        <v>0</v>
      </c>
      <c r="G4944" s="8">
        <v>13</v>
      </c>
      <c r="H4944" s="8" t="s">
        <v>10208</v>
      </c>
      <c r="I4944" s="8">
        <v>529.125</v>
      </c>
      <c r="J4944" s="3">
        <f t="shared" si="77"/>
        <v>43747.829477916668</v>
      </c>
    </row>
    <row r="4945" spans="1:10" x14ac:dyDescent="0.25">
      <c r="A4945" s="5" t="s">
        <v>10209</v>
      </c>
      <c r="B4945" s="6">
        <v>418.75</v>
      </c>
      <c r="C4945" s="6">
        <v>20.478950000000001</v>
      </c>
      <c r="D4945" s="6">
        <v>73</v>
      </c>
      <c r="E4945" s="6">
        <v>0</v>
      </c>
      <c r="F4945" s="6">
        <v>0</v>
      </c>
      <c r="G4945" s="6">
        <v>17</v>
      </c>
      <c r="H4945" s="6" t="s">
        <v>10210</v>
      </c>
      <c r="I4945" s="6">
        <v>534.9375</v>
      </c>
      <c r="J4945" s="2">
        <f t="shared" si="77"/>
        <v>43747.829561354163</v>
      </c>
    </row>
    <row r="4946" spans="1:10" x14ac:dyDescent="0.25">
      <c r="A4946" s="7" t="s">
        <v>10211</v>
      </c>
      <c r="B4946" s="8">
        <v>403.125</v>
      </c>
      <c r="C4946" s="8">
        <v>20.478950000000001</v>
      </c>
      <c r="D4946" s="8">
        <v>77</v>
      </c>
      <c r="E4946" s="8">
        <v>0</v>
      </c>
      <c r="F4946" s="8">
        <v>0</v>
      </c>
      <c r="G4946" s="8">
        <v>19</v>
      </c>
      <c r="H4946" s="8" t="s">
        <v>10212</v>
      </c>
      <c r="I4946" s="8">
        <v>529.125</v>
      </c>
      <c r="J4946" s="3">
        <f t="shared" si="77"/>
        <v>43747.82965890046</v>
      </c>
    </row>
    <row r="4947" spans="1:10" x14ac:dyDescent="0.25">
      <c r="A4947" s="5" t="s">
        <v>10213</v>
      </c>
      <c r="B4947" s="6">
        <v>403.125</v>
      </c>
      <c r="C4947" s="6">
        <v>20.478950000000001</v>
      </c>
      <c r="D4947" s="6">
        <v>72</v>
      </c>
      <c r="E4947" s="6">
        <v>0</v>
      </c>
      <c r="F4947" s="6">
        <v>0</v>
      </c>
      <c r="G4947" s="6">
        <v>17</v>
      </c>
      <c r="H4947" s="6" t="s">
        <v>10214</v>
      </c>
      <c r="I4947" s="6">
        <v>529.125</v>
      </c>
      <c r="J4947" s="2">
        <f t="shared" si="77"/>
        <v>43747.829740277775</v>
      </c>
    </row>
    <row r="4948" spans="1:10" x14ac:dyDescent="0.25">
      <c r="A4948" s="7" t="s">
        <v>10215</v>
      </c>
      <c r="B4948" s="8">
        <v>403.125</v>
      </c>
      <c r="C4948" s="8">
        <v>20.478950000000001</v>
      </c>
      <c r="D4948" s="8">
        <v>69</v>
      </c>
      <c r="E4948" s="8">
        <v>0</v>
      </c>
      <c r="F4948" s="8">
        <v>0</v>
      </c>
      <c r="G4948" s="8">
        <v>12</v>
      </c>
      <c r="H4948" s="8" t="s">
        <v>10216</v>
      </c>
      <c r="I4948" s="8">
        <v>529.125</v>
      </c>
      <c r="J4948" s="3">
        <f t="shared" si="77"/>
        <v>43747.829823356478</v>
      </c>
    </row>
    <row r="4949" spans="1:10" x14ac:dyDescent="0.25">
      <c r="A4949" s="5" t="s">
        <v>10217</v>
      </c>
      <c r="B4949" s="6">
        <v>403.125</v>
      </c>
      <c r="C4949" s="6">
        <v>20.478950000000001</v>
      </c>
      <c r="D4949" s="6">
        <v>69</v>
      </c>
      <c r="E4949" s="6">
        <v>0</v>
      </c>
      <c r="F4949" s="6">
        <v>0</v>
      </c>
      <c r="G4949" s="6">
        <v>20</v>
      </c>
      <c r="H4949" s="6" t="s">
        <v>10218</v>
      </c>
      <c r="I4949" s="6">
        <v>529.875</v>
      </c>
      <c r="J4949" s="2">
        <f t="shared" si="77"/>
        <v>43747.829896145828</v>
      </c>
    </row>
    <row r="4950" spans="1:10" x14ac:dyDescent="0.25">
      <c r="A4950" s="7" t="s">
        <v>10219</v>
      </c>
      <c r="B4950" s="8">
        <v>403.125</v>
      </c>
      <c r="C4950" s="8">
        <v>20.478950000000001</v>
      </c>
      <c r="D4950" s="8">
        <v>70</v>
      </c>
      <c r="E4950" s="8">
        <v>0</v>
      </c>
      <c r="F4950" s="8">
        <v>0</v>
      </c>
      <c r="G4950" s="8">
        <v>15</v>
      </c>
      <c r="H4950" s="8" t="s">
        <v>10220</v>
      </c>
      <c r="I4950" s="8">
        <v>529.875</v>
      </c>
      <c r="J4950" s="3">
        <f t="shared" si="77"/>
        <v>43747.829978460642</v>
      </c>
    </row>
    <row r="4951" spans="1:10" x14ac:dyDescent="0.25">
      <c r="A4951" s="5" t="s">
        <v>10221</v>
      </c>
      <c r="B4951" s="6">
        <v>403.125</v>
      </c>
      <c r="C4951" s="6">
        <v>20.478950000000001</v>
      </c>
      <c r="D4951" s="6">
        <v>70</v>
      </c>
      <c r="E4951" s="6">
        <v>0</v>
      </c>
      <c r="F4951" s="6">
        <v>0</v>
      </c>
      <c r="G4951" s="6">
        <v>14</v>
      </c>
      <c r="H4951" s="6" t="s">
        <v>10222</v>
      </c>
      <c r="I4951" s="6">
        <v>529.875</v>
      </c>
      <c r="J4951" s="2">
        <f t="shared" si="77"/>
        <v>43747.830050208329</v>
      </c>
    </row>
    <row r="4952" spans="1:10" x14ac:dyDescent="0.25">
      <c r="A4952" s="7" t="s">
        <v>10223</v>
      </c>
      <c r="B4952" s="8">
        <v>403.125</v>
      </c>
      <c r="C4952" s="8">
        <v>20.478950000000001</v>
      </c>
      <c r="D4952" s="8">
        <v>69</v>
      </c>
      <c r="E4952" s="8">
        <v>0</v>
      </c>
      <c r="F4952" s="8">
        <v>0</v>
      </c>
      <c r="G4952" s="8">
        <v>13</v>
      </c>
      <c r="H4952" s="8" t="s">
        <v>10224</v>
      </c>
      <c r="I4952" s="8">
        <v>529.875</v>
      </c>
      <c r="J4952" s="3">
        <f t="shared" si="77"/>
        <v>43747.830133819443</v>
      </c>
    </row>
    <row r="4953" spans="1:10" x14ac:dyDescent="0.25">
      <c r="A4953" s="5" t="s">
        <v>10225</v>
      </c>
      <c r="B4953" s="6">
        <v>406.25</v>
      </c>
      <c r="C4953" s="6">
        <v>20.478950000000001</v>
      </c>
      <c r="D4953" s="6">
        <v>71</v>
      </c>
      <c r="E4953" s="6">
        <v>0</v>
      </c>
      <c r="F4953" s="6">
        <v>0</v>
      </c>
      <c r="G4953" s="6">
        <v>11</v>
      </c>
      <c r="H4953" s="6" t="s">
        <v>10226</v>
      </c>
      <c r="I4953" s="6">
        <v>530.625</v>
      </c>
      <c r="J4953" s="2">
        <f t="shared" si="77"/>
        <v>43747.830217569441</v>
      </c>
    </row>
    <row r="4954" spans="1:10" x14ac:dyDescent="0.25">
      <c r="A4954" s="7" t="s">
        <v>10227</v>
      </c>
      <c r="B4954" s="8">
        <v>406.25</v>
      </c>
      <c r="C4954" s="8">
        <v>20.478950000000001</v>
      </c>
      <c r="D4954" s="8">
        <v>72</v>
      </c>
      <c r="E4954" s="8">
        <v>0</v>
      </c>
      <c r="F4954" s="8">
        <v>0</v>
      </c>
      <c r="G4954" s="8">
        <v>9</v>
      </c>
      <c r="H4954" s="8" t="s">
        <v>10228</v>
      </c>
      <c r="I4954" s="8">
        <v>530.625</v>
      </c>
      <c r="J4954" s="3">
        <f t="shared" si="77"/>
        <v>43747.830300787035</v>
      </c>
    </row>
    <row r="4955" spans="1:10" x14ac:dyDescent="0.25">
      <c r="A4955" s="5" t="s">
        <v>10229</v>
      </c>
      <c r="B4955" s="6">
        <v>406.25</v>
      </c>
      <c r="C4955" s="6">
        <v>20.478950000000001</v>
      </c>
      <c r="D4955" s="6">
        <v>72</v>
      </c>
      <c r="E4955" s="6">
        <v>0</v>
      </c>
      <c r="F4955" s="6">
        <v>0</v>
      </c>
      <c r="G4955" s="6">
        <v>7</v>
      </c>
      <c r="H4955" s="6" t="s">
        <v>10230</v>
      </c>
      <c r="I4955" s="6">
        <v>530.8125</v>
      </c>
      <c r="J4955" s="2">
        <f t="shared" si="77"/>
        <v>43747.830372199074</v>
      </c>
    </row>
    <row r="4956" spans="1:10" x14ac:dyDescent="0.25">
      <c r="A4956" s="7" t="s">
        <v>10231</v>
      </c>
      <c r="B4956" s="8">
        <v>409.375</v>
      </c>
      <c r="C4956" s="8">
        <v>20.478950000000001</v>
      </c>
      <c r="D4956" s="8">
        <v>71</v>
      </c>
      <c r="E4956" s="8">
        <v>0</v>
      </c>
      <c r="F4956" s="8">
        <v>0</v>
      </c>
      <c r="G4956" s="8">
        <v>13</v>
      </c>
      <c r="H4956" s="8" t="s">
        <v>10232</v>
      </c>
      <c r="I4956" s="8">
        <v>531.5625</v>
      </c>
      <c r="J4956" s="3">
        <f t="shared" si="77"/>
        <v>43747.830455648145</v>
      </c>
    </row>
    <row r="4957" spans="1:10" x14ac:dyDescent="0.25">
      <c r="A4957" s="5" t="s">
        <v>10233</v>
      </c>
      <c r="B4957" s="6">
        <v>412.5</v>
      </c>
      <c r="C4957" s="6">
        <v>20.478950000000001</v>
      </c>
      <c r="D4957" s="6">
        <v>71</v>
      </c>
      <c r="E4957" s="6">
        <v>0</v>
      </c>
      <c r="F4957" s="6">
        <v>0</v>
      </c>
      <c r="G4957" s="6">
        <v>8</v>
      </c>
      <c r="H4957" s="6" t="s">
        <v>10234</v>
      </c>
      <c r="I4957" s="6">
        <v>532.3125</v>
      </c>
      <c r="J4957" s="2">
        <f t="shared" si="77"/>
        <v>43747.830539097216</v>
      </c>
    </row>
    <row r="4958" spans="1:10" x14ac:dyDescent="0.25">
      <c r="A4958" s="7" t="s">
        <v>10235</v>
      </c>
      <c r="B4958" s="8">
        <v>415.625</v>
      </c>
      <c r="C4958" s="8">
        <v>20.478950000000001</v>
      </c>
      <c r="D4958" s="8">
        <v>72</v>
      </c>
      <c r="E4958" s="8">
        <v>0</v>
      </c>
      <c r="F4958" s="8">
        <v>0</v>
      </c>
      <c r="G4958" s="8">
        <v>8</v>
      </c>
      <c r="H4958" s="8" t="s">
        <v>10236</v>
      </c>
      <c r="I4958" s="8">
        <v>533.25</v>
      </c>
      <c r="J4958" s="3">
        <f t="shared" si="77"/>
        <v>43747.830610625002</v>
      </c>
    </row>
    <row r="4959" spans="1:10" x14ac:dyDescent="0.25">
      <c r="A4959" s="5" t="s">
        <v>10237</v>
      </c>
      <c r="B4959" s="6">
        <v>415.625</v>
      </c>
      <c r="C4959" s="6">
        <v>20.478950000000001</v>
      </c>
      <c r="D4959" s="6">
        <v>72</v>
      </c>
      <c r="E4959" s="6">
        <v>0</v>
      </c>
      <c r="F4959" s="6">
        <v>0</v>
      </c>
      <c r="G4959" s="6">
        <v>11</v>
      </c>
      <c r="H4959" s="6" t="s">
        <v>10238</v>
      </c>
      <c r="I4959" s="6">
        <v>533.0625</v>
      </c>
      <c r="J4959" s="2">
        <f t="shared" si="77"/>
        <v>43747.83069427083</v>
      </c>
    </row>
    <row r="4960" spans="1:10" x14ac:dyDescent="0.25">
      <c r="A4960" s="7" t="s">
        <v>10239</v>
      </c>
      <c r="B4960" s="8">
        <v>415.625</v>
      </c>
      <c r="C4960" s="8">
        <v>20.478950000000001</v>
      </c>
      <c r="D4960" s="8">
        <v>72</v>
      </c>
      <c r="E4960" s="8">
        <v>0</v>
      </c>
      <c r="F4960" s="8">
        <v>0</v>
      </c>
      <c r="G4960" s="8">
        <v>13</v>
      </c>
      <c r="H4960" s="8" t="s">
        <v>10240</v>
      </c>
      <c r="I4960" s="8">
        <v>533.0625</v>
      </c>
      <c r="J4960" s="3">
        <f t="shared" si="77"/>
        <v>43747.830765752311</v>
      </c>
    </row>
    <row r="4961" spans="1:10" x14ac:dyDescent="0.25">
      <c r="A4961" s="5" t="s">
        <v>10241</v>
      </c>
      <c r="B4961" s="6">
        <v>415.625</v>
      </c>
      <c r="C4961" s="6">
        <v>20.478950000000001</v>
      </c>
      <c r="D4961" s="6">
        <v>70</v>
      </c>
      <c r="E4961" s="6">
        <v>0</v>
      </c>
      <c r="F4961" s="6">
        <v>0</v>
      </c>
      <c r="G4961" s="6">
        <v>10</v>
      </c>
      <c r="H4961" s="6" t="s">
        <v>10242</v>
      </c>
      <c r="I4961" s="6">
        <v>533.0625</v>
      </c>
      <c r="J4961" s="2">
        <f t="shared" si="77"/>
        <v>43747.830848819438</v>
      </c>
    </row>
    <row r="4962" spans="1:10" x14ac:dyDescent="0.25">
      <c r="A4962" s="7" t="s">
        <v>10243</v>
      </c>
      <c r="B4962" s="8">
        <v>415.625</v>
      </c>
      <c r="C4962" s="8">
        <v>20.478950000000001</v>
      </c>
      <c r="D4962" s="8">
        <v>70</v>
      </c>
      <c r="E4962" s="8">
        <v>0</v>
      </c>
      <c r="F4962" s="8">
        <v>0</v>
      </c>
      <c r="G4962" s="8">
        <v>11</v>
      </c>
      <c r="H4962" s="8" t="s">
        <v>10244</v>
      </c>
      <c r="I4962" s="8">
        <v>533.8125</v>
      </c>
      <c r="J4962" s="3">
        <f t="shared" si="77"/>
        <v>43747.830944537032</v>
      </c>
    </row>
    <row r="4963" spans="1:10" x14ac:dyDescent="0.25">
      <c r="A4963" s="5" t="s">
        <v>10245</v>
      </c>
      <c r="B4963" s="6">
        <v>418.75</v>
      </c>
      <c r="C4963" s="6">
        <v>20.531590000000001</v>
      </c>
      <c r="D4963" s="6">
        <v>70</v>
      </c>
      <c r="E4963" s="6">
        <v>0</v>
      </c>
      <c r="F4963" s="6">
        <v>0</v>
      </c>
      <c r="G4963" s="6">
        <v>15</v>
      </c>
      <c r="H4963" s="6" t="s">
        <v>10246</v>
      </c>
      <c r="I4963" s="6">
        <v>534</v>
      </c>
      <c r="J4963" s="2">
        <f t="shared" si="77"/>
        <v>43747.831016203701</v>
      </c>
    </row>
    <row r="4964" spans="1:10" x14ac:dyDescent="0.25">
      <c r="A4964" s="7" t="s">
        <v>10247</v>
      </c>
      <c r="B4964" s="8">
        <v>418.75</v>
      </c>
      <c r="C4964" s="8">
        <v>20.478950000000001</v>
      </c>
      <c r="D4964" s="8">
        <v>70</v>
      </c>
      <c r="E4964" s="8">
        <v>0</v>
      </c>
      <c r="F4964" s="8">
        <v>0</v>
      </c>
      <c r="G4964" s="8">
        <v>13</v>
      </c>
      <c r="H4964" s="8" t="s">
        <v>10248</v>
      </c>
      <c r="I4964" s="8">
        <v>534.75</v>
      </c>
      <c r="J4964" s="3">
        <f t="shared" si="77"/>
        <v>43747.831087800929</v>
      </c>
    </row>
    <row r="4965" spans="1:10" x14ac:dyDescent="0.25">
      <c r="A4965" s="5" t="s">
        <v>10249</v>
      </c>
      <c r="B4965" s="6">
        <v>418.75</v>
      </c>
      <c r="C4965" s="6">
        <v>20.478950000000001</v>
      </c>
      <c r="D4965" s="6">
        <v>70</v>
      </c>
      <c r="E4965" s="6">
        <v>0</v>
      </c>
      <c r="F4965" s="6">
        <v>0</v>
      </c>
      <c r="G4965" s="6">
        <v>10</v>
      </c>
      <c r="H4965" s="6" t="s">
        <v>10250</v>
      </c>
      <c r="I4965" s="6">
        <v>534.75</v>
      </c>
      <c r="J4965" s="2">
        <f t="shared" si="77"/>
        <v>43747.831171053236</v>
      </c>
    </row>
    <row r="4966" spans="1:10" x14ac:dyDescent="0.25">
      <c r="A4966" s="7" t="s">
        <v>10251</v>
      </c>
      <c r="B4966" s="8">
        <v>421.875</v>
      </c>
      <c r="C4966" s="8">
        <v>20.478950000000001</v>
      </c>
      <c r="D4966" s="8">
        <v>70</v>
      </c>
      <c r="E4966" s="8">
        <v>0</v>
      </c>
      <c r="F4966" s="8">
        <v>0</v>
      </c>
      <c r="G4966" s="8">
        <v>10</v>
      </c>
      <c r="H4966" s="8" t="s">
        <v>10252</v>
      </c>
      <c r="I4966" s="8">
        <v>535.5</v>
      </c>
      <c r="J4966" s="3">
        <f t="shared" si="77"/>
        <v>43747.831254641198</v>
      </c>
    </row>
    <row r="4967" spans="1:10" x14ac:dyDescent="0.25">
      <c r="A4967" s="5" t="s">
        <v>10253</v>
      </c>
      <c r="B4967" s="6">
        <v>418.75</v>
      </c>
      <c r="C4967" s="6">
        <v>20.478950000000001</v>
      </c>
      <c r="D4967" s="6">
        <v>70</v>
      </c>
      <c r="E4967" s="6">
        <v>0</v>
      </c>
      <c r="F4967" s="6">
        <v>0</v>
      </c>
      <c r="G4967" s="6">
        <v>4</v>
      </c>
      <c r="H4967" s="6" t="s">
        <v>10254</v>
      </c>
      <c r="I4967" s="6">
        <v>534</v>
      </c>
      <c r="J4967" s="2">
        <f t="shared" si="77"/>
        <v>43747.831355833332</v>
      </c>
    </row>
    <row r="4968" spans="1:10" x14ac:dyDescent="0.25">
      <c r="A4968" s="7" t="s">
        <v>10255</v>
      </c>
      <c r="B4968" s="8">
        <v>415.625</v>
      </c>
      <c r="C4968" s="8">
        <v>20.478950000000001</v>
      </c>
      <c r="D4968" s="8">
        <v>70</v>
      </c>
      <c r="E4968" s="8">
        <v>0</v>
      </c>
      <c r="F4968" s="8">
        <v>0</v>
      </c>
      <c r="G4968" s="8">
        <v>12</v>
      </c>
      <c r="H4968" s="8" t="s">
        <v>10256</v>
      </c>
      <c r="I4968" s="8">
        <v>533.0625</v>
      </c>
      <c r="J4968" s="3">
        <f t="shared" si="77"/>
        <v>43747.831433437495</v>
      </c>
    </row>
    <row r="4969" spans="1:10" x14ac:dyDescent="0.25">
      <c r="A4969" s="5" t="s">
        <v>10257</v>
      </c>
      <c r="B4969" s="6">
        <v>415.625</v>
      </c>
      <c r="C4969" s="6">
        <v>20.478950000000001</v>
      </c>
      <c r="D4969" s="6">
        <v>70</v>
      </c>
      <c r="E4969" s="6">
        <v>0</v>
      </c>
      <c r="F4969" s="6">
        <v>0</v>
      </c>
      <c r="G4969" s="6">
        <v>12</v>
      </c>
      <c r="H4969" s="6" t="s">
        <v>10258</v>
      </c>
      <c r="I4969" s="6">
        <v>533.0625</v>
      </c>
      <c r="J4969" s="2">
        <f t="shared" si="77"/>
        <v>43747.831516921295</v>
      </c>
    </row>
    <row r="4970" spans="1:10" x14ac:dyDescent="0.25">
      <c r="A4970" s="7" t="s">
        <v>10259</v>
      </c>
      <c r="B4970" s="8">
        <v>415.625</v>
      </c>
      <c r="C4970" s="8">
        <v>20.478950000000001</v>
      </c>
      <c r="D4970" s="8">
        <v>70</v>
      </c>
      <c r="E4970" s="8">
        <v>0</v>
      </c>
      <c r="F4970" s="8">
        <v>0</v>
      </c>
      <c r="G4970" s="8">
        <v>12</v>
      </c>
      <c r="H4970" s="8" t="s">
        <v>10260</v>
      </c>
      <c r="I4970" s="8">
        <v>533.0625</v>
      </c>
      <c r="J4970" s="3">
        <f t="shared" si="77"/>
        <v>43747.831600347221</v>
      </c>
    </row>
    <row r="4971" spans="1:10" x14ac:dyDescent="0.25">
      <c r="A4971" s="5" t="s">
        <v>10261</v>
      </c>
      <c r="B4971" s="6">
        <v>415.625</v>
      </c>
      <c r="C4971" s="6">
        <v>20.478950000000001</v>
      </c>
      <c r="D4971" s="6">
        <v>70</v>
      </c>
      <c r="E4971" s="6">
        <v>0</v>
      </c>
      <c r="F4971" s="6">
        <v>0</v>
      </c>
      <c r="G4971" s="6">
        <v>17</v>
      </c>
      <c r="H4971" s="6" t="s">
        <v>10262</v>
      </c>
      <c r="I4971" s="6">
        <v>533.0625</v>
      </c>
      <c r="J4971" s="2">
        <f t="shared" si="77"/>
        <v>43747.831683912031</v>
      </c>
    </row>
    <row r="4972" spans="1:10" x14ac:dyDescent="0.25">
      <c r="A4972" s="7" t="s">
        <v>10263</v>
      </c>
      <c r="B4972" s="8">
        <v>418.75</v>
      </c>
      <c r="C4972" s="8">
        <v>20.478950000000001</v>
      </c>
      <c r="D4972" s="8">
        <v>71</v>
      </c>
      <c r="E4972" s="8">
        <v>0</v>
      </c>
      <c r="F4972" s="8">
        <v>0</v>
      </c>
      <c r="G4972" s="8">
        <v>8</v>
      </c>
      <c r="H4972" s="8" t="s">
        <v>10264</v>
      </c>
      <c r="I4972" s="8">
        <v>534</v>
      </c>
      <c r="J4972" s="3">
        <f t="shared" si="77"/>
        <v>43747.831767465272</v>
      </c>
    </row>
    <row r="4973" spans="1:10" x14ac:dyDescent="0.25">
      <c r="A4973" s="5" t="s">
        <v>10265</v>
      </c>
      <c r="B4973" s="6">
        <v>418.75</v>
      </c>
      <c r="C4973" s="6">
        <v>20.478950000000001</v>
      </c>
      <c r="D4973" s="6">
        <v>70</v>
      </c>
      <c r="E4973" s="6">
        <v>0</v>
      </c>
      <c r="F4973" s="6">
        <v>0</v>
      </c>
      <c r="G4973" s="6">
        <v>9</v>
      </c>
      <c r="H4973" s="6" t="s">
        <v>10266</v>
      </c>
      <c r="I4973" s="6">
        <v>534</v>
      </c>
      <c r="J4973" s="2">
        <f t="shared" si="77"/>
        <v>43747.831850810187</v>
      </c>
    </row>
    <row r="4974" spans="1:10" x14ac:dyDescent="0.25">
      <c r="A4974" s="7" t="s">
        <v>10267</v>
      </c>
      <c r="B4974" s="8">
        <v>431.25</v>
      </c>
      <c r="C4974" s="8">
        <v>20.478950000000001</v>
      </c>
      <c r="D4974" s="8">
        <v>70</v>
      </c>
      <c r="E4974" s="8">
        <v>0</v>
      </c>
      <c r="F4974" s="8">
        <v>0</v>
      </c>
      <c r="G4974" s="8">
        <v>12</v>
      </c>
      <c r="H4974" s="8" t="s">
        <v>10268</v>
      </c>
      <c r="I4974" s="8">
        <v>538.6875</v>
      </c>
      <c r="J4974" s="3">
        <f t="shared" si="77"/>
        <v>43747.831945798607</v>
      </c>
    </row>
    <row r="4975" spans="1:10" x14ac:dyDescent="0.25">
      <c r="A4975" s="5" t="s">
        <v>10269</v>
      </c>
      <c r="B4975" s="6">
        <v>412.5</v>
      </c>
      <c r="C4975" s="6">
        <v>20.478950000000001</v>
      </c>
      <c r="D4975" s="6">
        <v>71</v>
      </c>
      <c r="E4975" s="6">
        <v>0</v>
      </c>
      <c r="F4975" s="6">
        <v>0</v>
      </c>
      <c r="G4975" s="6">
        <v>9</v>
      </c>
      <c r="H4975" s="6" t="s">
        <v>10270</v>
      </c>
      <c r="I4975" s="6">
        <v>532.3125</v>
      </c>
      <c r="J4975" s="2">
        <f t="shared" si="77"/>
        <v>43747.83201770833</v>
      </c>
    </row>
    <row r="4976" spans="1:10" x14ac:dyDescent="0.25">
      <c r="A4976" s="7" t="s">
        <v>10271</v>
      </c>
      <c r="B4976" s="8">
        <v>412.5</v>
      </c>
      <c r="C4976" s="8">
        <v>20.478950000000001</v>
      </c>
      <c r="D4976" s="8">
        <v>72</v>
      </c>
      <c r="E4976" s="8">
        <v>0</v>
      </c>
      <c r="F4976" s="8">
        <v>0</v>
      </c>
      <c r="G4976" s="8">
        <v>15</v>
      </c>
      <c r="H4976" s="8" t="s">
        <v>10272</v>
      </c>
      <c r="I4976" s="8">
        <v>532.5</v>
      </c>
      <c r="J4976" s="3">
        <f t="shared" si="77"/>
        <v>43747.832100787033</v>
      </c>
    </row>
    <row r="4977" spans="1:10" x14ac:dyDescent="0.25">
      <c r="A4977" s="5" t="s">
        <v>10273</v>
      </c>
      <c r="B4977" s="6">
        <v>412.5</v>
      </c>
      <c r="C4977" s="6">
        <v>20.478950000000001</v>
      </c>
      <c r="D4977" s="6">
        <v>72</v>
      </c>
      <c r="E4977" s="6">
        <v>0</v>
      </c>
      <c r="F4977" s="6">
        <v>0</v>
      </c>
      <c r="G4977" s="6">
        <v>10</v>
      </c>
      <c r="H4977" s="6" t="s">
        <v>10274</v>
      </c>
      <c r="I4977" s="6">
        <v>532.3125</v>
      </c>
      <c r="J4977" s="2">
        <f t="shared" si="77"/>
        <v>43747.832172453702</v>
      </c>
    </row>
    <row r="4978" spans="1:10" x14ac:dyDescent="0.25">
      <c r="A4978" s="7" t="s">
        <v>10275</v>
      </c>
      <c r="B4978" s="8">
        <v>412.5</v>
      </c>
      <c r="C4978" s="8">
        <v>20.478950000000001</v>
      </c>
      <c r="D4978" s="8">
        <v>72</v>
      </c>
      <c r="E4978" s="8">
        <v>0</v>
      </c>
      <c r="F4978" s="8">
        <v>0</v>
      </c>
      <c r="G4978" s="8">
        <v>11</v>
      </c>
      <c r="H4978" s="8" t="s">
        <v>10276</v>
      </c>
      <c r="I4978" s="8">
        <v>532.3125</v>
      </c>
      <c r="J4978" s="3">
        <f t="shared" si="77"/>
        <v>43747.832256388887</v>
      </c>
    </row>
    <row r="4979" spans="1:10" x14ac:dyDescent="0.25">
      <c r="A4979" s="5" t="s">
        <v>10277</v>
      </c>
      <c r="B4979" s="6">
        <v>412.5</v>
      </c>
      <c r="C4979" s="6">
        <v>20.478950000000001</v>
      </c>
      <c r="D4979" s="6">
        <v>73</v>
      </c>
      <c r="E4979" s="6">
        <v>0</v>
      </c>
      <c r="F4979" s="6">
        <v>0</v>
      </c>
      <c r="G4979" s="6">
        <v>10</v>
      </c>
      <c r="H4979" s="6" t="s">
        <v>10278</v>
      </c>
      <c r="I4979" s="6">
        <v>532.3125</v>
      </c>
      <c r="J4979" s="2">
        <f t="shared" si="77"/>
        <v>43747.832339710651</v>
      </c>
    </row>
    <row r="4980" spans="1:10" x14ac:dyDescent="0.25">
      <c r="A4980" s="7" t="s">
        <v>10279</v>
      </c>
      <c r="B4980" s="8">
        <v>412.5</v>
      </c>
      <c r="C4980" s="8">
        <v>20.478950000000001</v>
      </c>
      <c r="D4980" s="8">
        <v>73</v>
      </c>
      <c r="E4980" s="8">
        <v>0</v>
      </c>
      <c r="F4980" s="8">
        <v>0</v>
      </c>
      <c r="G4980" s="8">
        <v>12</v>
      </c>
      <c r="H4980" s="8" t="s">
        <v>10280</v>
      </c>
      <c r="I4980" s="8">
        <v>532.3125</v>
      </c>
      <c r="J4980" s="3">
        <f t="shared" si="77"/>
        <v>43747.832435150463</v>
      </c>
    </row>
    <row r="4981" spans="1:10" x14ac:dyDescent="0.25">
      <c r="A4981" s="5" t="s">
        <v>10281</v>
      </c>
      <c r="B4981" s="6">
        <v>412.5</v>
      </c>
      <c r="C4981" s="6">
        <v>20.478950000000001</v>
      </c>
      <c r="D4981" s="6">
        <v>72</v>
      </c>
      <c r="E4981" s="6">
        <v>0</v>
      </c>
      <c r="F4981" s="6">
        <v>0</v>
      </c>
      <c r="G4981" s="6">
        <v>12</v>
      </c>
      <c r="H4981" s="6" t="s">
        <v>10282</v>
      </c>
      <c r="I4981" s="6">
        <v>532.3125</v>
      </c>
      <c r="J4981" s="2">
        <f t="shared" si="77"/>
        <v>43747.832518506941</v>
      </c>
    </row>
    <row r="4982" spans="1:10" x14ac:dyDescent="0.25">
      <c r="A4982" s="7" t="s">
        <v>10283</v>
      </c>
      <c r="B4982" s="8">
        <v>412.5</v>
      </c>
      <c r="C4982" s="8">
        <v>20.478950000000001</v>
      </c>
      <c r="D4982" s="8">
        <v>72</v>
      </c>
      <c r="E4982" s="8">
        <v>0</v>
      </c>
      <c r="F4982" s="8">
        <v>0</v>
      </c>
      <c r="G4982" s="8">
        <v>17</v>
      </c>
      <c r="H4982" s="8" t="s">
        <v>10284</v>
      </c>
      <c r="I4982" s="8">
        <v>532.3125</v>
      </c>
      <c r="J4982" s="3">
        <f t="shared" si="77"/>
        <v>43747.832601956012</v>
      </c>
    </row>
    <row r="4983" spans="1:10" x14ac:dyDescent="0.25">
      <c r="A4983" s="5" t="s">
        <v>10285</v>
      </c>
      <c r="B4983" s="6">
        <v>409.375</v>
      </c>
      <c r="C4983" s="6">
        <v>20.478950000000001</v>
      </c>
      <c r="D4983" s="6">
        <v>73</v>
      </c>
      <c r="E4983" s="6">
        <v>0</v>
      </c>
      <c r="F4983" s="6">
        <v>0</v>
      </c>
      <c r="G4983" s="6">
        <v>10</v>
      </c>
      <c r="H4983" s="6" t="s">
        <v>10286</v>
      </c>
      <c r="I4983" s="6">
        <v>531.5625</v>
      </c>
      <c r="J4983" s="2">
        <f t="shared" si="77"/>
        <v>43747.83268540509</v>
      </c>
    </row>
    <row r="4984" spans="1:10" x14ac:dyDescent="0.25">
      <c r="A4984" s="7" t="s">
        <v>10287</v>
      </c>
      <c r="B4984" s="8">
        <v>409.375</v>
      </c>
      <c r="C4984" s="8">
        <v>20.478950000000001</v>
      </c>
      <c r="D4984" s="8">
        <v>73</v>
      </c>
      <c r="E4984" s="8">
        <v>0</v>
      </c>
      <c r="F4984" s="8">
        <v>0</v>
      </c>
      <c r="G4984" s="8">
        <v>5</v>
      </c>
      <c r="H4984" s="8" t="s">
        <v>10288</v>
      </c>
      <c r="I4984" s="8">
        <v>531.5625</v>
      </c>
      <c r="J4984" s="3">
        <f t="shared" si="77"/>
        <v>43747.8327689699</v>
      </c>
    </row>
    <row r="4985" spans="1:10" x14ac:dyDescent="0.25">
      <c r="A4985" s="5" t="s">
        <v>10289</v>
      </c>
      <c r="B4985" s="6">
        <v>409.375</v>
      </c>
      <c r="C4985" s="6">
        <v>20.478950000000001</v>
      </c>
      <c r="D4985" s="6">
        <v>73</v>
      </c>
      <c r="E4985" s="6">
        <v>0</v>
      </c>
      <c r="F4985" s="6">
        <v>0</v>
      </c>
      <c r="G4985" s="6">
        <v>17</v>
      </c>
      <c r="H4985" s="6" t="s">
        <v>10290</v>
      </c>
      <c r="I4985" s="6">
        <v>531.375</v>
      </c>
      <c r="J4985" s="2">
        <f t="shared" si="77"/>
        <v>43747.832852650456</v>
      </c>
    </row>
    <row r="4986" spans="1:10" x14ac:dyDescent="0.25">
      <c r="A4986" s="7" t="s">
        <v>10291</v>
      </c>
      <c r="B4986" s="8">
        <v>428.125</v>
      </c>
      <c r="C4986" s="8">
        <v>20.478950000000001</v>
      </c>
      <c r="D4986" s="8">
        <v>75</v>
      </c>
      <c r="E4986" s="8">
        <v>0</v>
      </c>
      <c r="F4986" s="8">
        <v>0</v>
      </c>
      <c r="G4986" s="8">
        <v>9</v>
      </c>
      <c r="H4986" s="8" t="s">
        <v>10292</v>
      </c>
      <c r="I4986" s="8">
        <v>537.375</v>
      </c>
      <c r="J4986" s="3">
        <f t="shared" si="77"/>
        <v>43747.832945856477</v>
      </c>
    </row>
    <row r="4987" spans="1:10" x14ac:dyDescent="0.25">
      <c r="A4987" s="5" t="s">
        <v>10293</v>
      </c>
      <c r="B4987" s="6">
        <v>409.375</v>
      </c>
      <c r="C4987" s="6">
        <v>20.478950000000001</v>
      </c>
      <c r="D4987" s="6">
        <v>75</v>
      </c>
      <c r="E4987" s="6">
        <v>0</v>
      </c>
      <c r="F4987" s="6">
        <v>0</v>
      </c>
      <c r="G4987" s="6">
        <v>6</v>
      </c>
      <c r="H4987" s="6" t="s">
        <v>10294</v>
      </c>
      <c r="I4987" s="6">
        <v>531.5625</v>
      </c>
      <c r="J4987" s="2">
        <f t="shared" si="77"/>
        <v>43747.833019201389</v>
      </c>
    </row>
    <row r="4988" spans="1:10" x14ac:dyDescent="0.25">
      <c r="A4988" s="7" t="s">
        <v>10295</v>
      </c>
      <c r="B4988" s="8">
        <v>409.375</v>
      </c>
      <c r="C4988" s="8">
        <v>20.478950000000001</v>
      </c>
      <c r="D4988" s="8">
        <v>73</v>
      </c>
      <c r="E4988" s="8">
        <v>0</v>
      </c>
      <c r="F4988" s="8">
        <v>0</v>
      </c>
      <c r="G4988" s="8">
        <v>16</v>
      </c>
      <c r="H4988" s="8" t="s">
        <v>10296</v>
      </c>
      <c r="I4988" s="8">
        <v>531.5625</v>
      </c>
      <c r="J4988" s="3">
        <f t="shared" si="77"/>
        <v>43747.833102870369</v>
      </c>
    </row>
    <row r="4989" spans="1:10" x14ac:dyDescent="0.25">
      <c r="A4989" s="5" t="s">
        <v>10297</v>
      </c>
      <c r="B4989" s="6">
        <v>406.25</v>
      </c>
      <c r="C4989" s="6">
        <v>20.478950000000001</v>
      </c>
      <c r="D4989" s="6">
        <v>73</v>
      </c>
      <c r="E4989" s="6">
        <v>0</v>
      </c>
      <c r="F4989" s="6">
        <v>0</v>
      </c>
      <c r="G4989" s="6">
        <v>4</v>
      </c>
      <c r="H4989" s="6" t="s">
        <v>10298</v>
      </c>
      <c r="I4989" s="6">
        <v>530.625</v>
      </c>
      <c r="J4989" s="2">
        <f t="shared" si="77"/>
        <v>43747.833185972217</v>
      </c>
    </row>
    <row r="4990" spans="1:10" x14ac:dyDescent="0.25">
      <c r="A4990" s="7" t="s">
        <v>10299</v>
      </c>
      <c r="B4990" s="8">
        <v>406.25</v>
      </c>
      <c r="C4990" s="8">
        <v>20.478950000000001</v>
      </c>
      <c r="D4990" s="8">
        <v>73</v>
      </c>
      <c r="E4990" s="8">
        <v>0</v>
      </c>
      <c r="F4990" s="8">
        <v>0</v>
      </c>
      <c r="G4990" s="8">
        <v>12</v>
      </c>
      <c r="H4990" s="8" t="s">
        <v>10300</v>
      </c>
      <c r="I4990" s="8">
        <v>530.625</v>
      </c>
      <c r="J4990" s="3">
        <f t="shared" si="77"/>
        <v>43747.833269756942</v>
      </c>
    </row>
    <row r="4991" spans="1:10" x14ac:dyDescent="0.25">
      <c r="A4991" s="5" t="s">
        <v>10301</v>
      </c>
      <c r="B4991" s="6">
        <v>403.125</v>
      </c>
      <c r="C4991" s="6">
        <v>20.478950000000001</v>
      </c>
      <c r="D4991" s="6">
        <v>74</v>
      </c>
      <c r="E4991" s="6">
        <v>0</v>
      </c>
      <c r="F4991" s="6">
        <v>0</v>
      </c>
      <c r="G4991" s="6">
        <v>9</v>
      </c>
      <c r="H4991" s="6" t="s">
        <v>10302</v>
      </c>
      <c r="I4991" s="6">
        <v>529.875</v>
      </c>
      <c r="J4991" s="2">
        <f t="shared" si="77"/>
        <v>43747.833341423604</v>
      </c>
    </row>
    <row r="4992" spans="1:10" x14ac:dyDescent="0.25">
      <c r="A4992" s="7" t="s">
        <v>10303</v>
      </c>
      <c r="B4992" s="8">
        <v>403.125</v>
      </c>
      <c r="C4992" s="8">
        <v>20.478950000000001</v>
      </c>
      <c r="D4992" s="8">
        <v>73</v>
      </c>
      <c r="E4992" s="8">
        <v>0</v>
      </c>
      <c r="F4992" s="8">
        <v>0</v>
      </c>
      <c r="G4992" s="8">
        <v>10</v>
      </c>
      <c r="H4992" s="8" t="s">
        <v>10304</v>
      </c>
      <c r="I4992" s="8">
        <v>529.875</v>
      </c>
      <c r="J4992" s="3">
        <f t="shared" si="77"/>
        <v>43747.83342722222</v>
      </c>
    </row>
    <row r="4993" spans="1:10" x14ac:dyDescent="0.25">
      <c r="A4993" s="5" t="s">
        <v>10305</v>
      </c>
      <c r="B4993" s="6">
        <v>406.25</v>
      </c>
      <c r="C4993" s="6">
        <v>20.478950000000001</v>
      </c>
      <c r="D4993" s="6">
        <v>74</v>
      </c>
      <c r="E4993" s="6">
        <v>0</v>
      </c>
      <c r="F4993" s="6">
        <v>0</v>
      </c>
      <c r="G4993" s="6">
        <v>8</v>
      </c>
      <c r="H4993" s="6" t="s">
        <v>10306</v>
      </c>
      <c r="I4993" s="6">
        <v>530.8125</v>
      </c>
      <c r="J4993" s="2">
        <f t="shared" si="77"/>
        <v>43747.833508067131</v>
      </c>
    </row>
    <row r="4994" spans="1:10" x14ac:dyDescent="0.25">
      <c r="A4994" s="7" t="s">
        <v>10307</v>
      </c>
      <c r="B4994" s="8">
        <v>406.25</v>
      </c>
      <c r="C4994" s="8">
        <v>20.478950000000001</v>
      </c>
      <c r="D4994" s="8">
        <v>73</v>
      </c>
      <c r="E4994" s="8">
        <v>0</v>
      </c>
      <c r="F4994" s="8">
        <v>0</v>
      </c>
      <c r="G4994" s="8">
        <v>15</v>
      </c>
      <c r="H4994" s="8" t="s">
        <v>10308</v>
      </c>
      <c r="I4994" s="8">
        <v>530.8125</v>
      </c>
      <c r="J4994" s="3">
        <f t="shared" ref="J4994:J5057" si="78">(H4994/86400000)+25569+(7/24)</f>
        <v>43747.833591747687</v>
      </c>
    </row>
    <row r="4995" spans="1:10" x14ac:dyDescent="0.25">
      <c r="A4995" s="5" t="s">
        <v>10309</v>
      </c>
      <c r="B4995" s="6">
        <v>406.25</v>
      </c>
      <c r="C4995" s="6">
        <v>20.478950000000001</v>
      </c>
      <c r="D4995" s="6">
        <v>74</v>
      </c>
      <c r="E4995" s="6">
        <v>0</v>
      </c>
      <c r="F4995" s="6">
        <v>0</v>
      </c>
      <c r="G4995" s="6">
        <v>13</v>
      </c>
      <c r="H4995" s="6" t="s">
        <v>10310</v>
      </c>
      <c r="I4995" s="6">
        <v>530.8125</v>
      </c>
      <c r="J4995" s="2">
        <f t="shared" si="78"/>
        <v>43747.83367487268</v>
      </c>
    </row>
    <row r="4996" spans="1:10" x14ac:dyDescent="0.25">
      <c r="A4996" s="7" t="s">
        <v>10311</v>
      </c>
      <c r="B4996" s="8">
        <v>406.25</v>
      </c>
      <c r="C4996" s="8">
        <v>20.478950000000001</v>
      </c>
      <c r="D4996" s="8">
        <v>74</v>
      </c>
      <c r="E4996" s="8">
        <v>0</v>
      </c>
      <c r="F4996" s="8">
        <v>0</v>
      </c>
      <c r="G4996" s="8">
        <v>15</v>
      </c>
      <c r="H4996" s="8" t="s">
        <v>10312</v>
      </c>
      <c r="I4996" s="8">
        <v>530.625</v>
      </c>
      <c r="J4996" s="3">
        <f t="shared" si="78"/>
        <v>43747.833746493052</v>
      </c>
    </row>
    <row r="4997" spans="1:10" x14ac:dyDescent="0.25">
      <c r="A4997" s="5" t="s">
        <v>10313</v>
      </c>
      <c r="B4997" s="6">
        <v>403.125</v>
      </c>
      <c r="C4997" s="6">
        <v>20.478950000000001</v>
      </c>
      <c r="D4997" s="6">
        <v>74</v>
      </c>
      <c r="E4997" s="6">
        <v>0</v>
      </c>
      <c r="F4997" s="6">
        <v>0</v>
      </c>
      <c r="G4997" s="6">
        <v>11</v>
      </c>
      <c r="H4997" s="6" t="s">
        <v>10314</v>
      </c>
      <c r="I4997" s="6">
        <v>529.875</v>
      </c>
      <c r="J4997" s="2">
        <f t="shared" si="78"/>
        <v>43747.833843541659</v>
      </c>
    </row>
    <row r="4998" spans="1:10" x14ac:dyDescent="0.25">
      <c r="A4998" s="7" t="s">
        <v>10315</v>
      </c>
      <c r="B4998" s="8">
        <v>403.125</v>
      </c>
      <c r="C4998" s="8">
        <v>20.478950000000001</v>
      </c>
      <c r="D4998" s="8">
        <v>73</v>
      </c>
      <c r="E4998" s="8">
        <v>0</v>
      </c>
      <c r="F4998" s="8">
        <v>0</v>
      </c>
      <c r="G4998" s="8">
        <v>7</v>
      </c>
      <c r="H4998" s="8" t="s">
        <v>10316</v>
      </c>
      <c r="I4998" s="8">
        <v>529.125</v>
      </c>
      <c r="J4998" s="3">
        <f t="shared" si="78"/>
        <v>43747.833925659717</v>
      </c>
    </row>
    <row r="4999" spans="1:10" x14ac:dyDescent="0.25">
      <c r="A4999" s="5" t="s">
        <v>10317</v>
      </c>
      <c r="B4999" s="6">
        <v>403.125</v>
      </c>
      <c r="C4999" s="6">
        <v>20.478950000000001</v>
      </c>
      <c r="D4999" s="6">
        <v>73</v>
      </c>
      <c r="E4999" s="6">
        <v>0</v>
      </c>
      <c r="F4999" s="6">
        <v>0</v>
      </c>
      <c r="G4999" s="6">
        <v>14</v>
      </c>
      <c r="H4999" s="6" t="s">
        <v>10318</v>
      </c>
      <c r="I4999" s="6">
        <v>529.125</v>
      </c>
      <c r="J4999" s="2">
        <f t="shared" si="78"/>
        <v>43747.834009398146</v>
      </c>
    </row>
    <row r="5000" spans="1:10" x14ac:dyDescent="0.25">
      <c r="A5000" s="7" t="s">
        <v>10319</v>
      </c>
      <c r="B5000" s="8">
        <v>400</v>
      </c>
      <c r="C5000" s="8">
        <v>20.478950000000001</v>
      </c>
      <c r="D5000" s="8">
        <v>75</v>
      </c>
      <c r="E5000" s="8">
        <v>0</v>
      </c>
      <c r="F5000" s="8">
        <v>0</v>
      </c>
      <c r="G5000" s="8">
        <v>9</v>
      </c>
      <c r="H5000" s="8" t="s">
        <v>10320</v>
      </c>
      <c r="I5000" s="8">
        <v>528.9375</v>
      </c>
      <c r="J5000" s="3">
        <f t="shared" si="78"/>
        <v>43747.834092592595</v>
      </c>
    </row>
    <row r="5001" spans="1:10" x14ac:dyDescent="0.25">
      <c r="A5001" s="5" t="s">
        <v>10321</v>
      </c>
      <c r="B5001" s="6">
        <v>403.125</v>
      </c>
      <c r="C5001" s="6">
        <v>20.478950000000001</v>
      </c>
      <c r="D5001" s="6">
        <v>75</v>
      </c>
      <c r="E5001" s="6">
        <v>0</v>
      </c>
      <c r="F5001" s="6">
        <v>0</v>
      </c>
      <c r="G5001" s="6">
        <v>15</v>
      </c>
      <c r="H5001" s="6" t="s">
        <v>10322</v>
      </c>
      <c r="I5001" s="6">
        <v>529.125</v>
      </c>
      <c r="J5001" s="2">
        <f t="shared" si="78"/>
        <v>43747.834163761574</v>
      </c>
    </row>
    <row r="5002" spans="1:10" x14ac:dyDescent="0.25">
      <c r="A5002" s="7" t="s">
        <v>10323</v>
      </c>
      <c r="B5002" s="8">
        <v>403.125</v>
      </c>
      <c r="C5002" s="8">
        <v>20.478950000000001</v>
      </c>
      <c r="D5002" s="8">
        <v>75</v>
      </c>
      <c r="E5002" s="8">
        <v>0</v>
      </c>
      <c r="F5002" s="8">
        <v>0</v>
      </c>
      <c r="G5002" s="8">
        <v>13</v>
      </c>
      <c r="H5002" s="8" t="s">
        <v>10324</v>
      </c>
      <c r="I5002" s="8">
        <v>529.125</v>
      </c>
      <c r="J5002" s="3">
        <f t="shared" si="78"/>
        <v>43747.834247662038</v>
      </c>
    </row>
    <row r="5003" spans="1:10" x14ac:dyDescent="0.25">
      <c r="A5003" s="5" t="s">
        <v>10325</v>
      </c>
      <c r="B5003" s="6">
        <v>403.125</v>
      </c>
      <c r="C5003" s="6">
        <v>20.478950000000001</v>
      </c>
      <c r="D5003" s="6">
        <v>72</v>
      </c>
      <c r="E5003" s="6">
        <v>0</v>
      </c>
      <c r="F5003" s="6">
        <v>0</v>
      </c>
      <c r="G5003" s="6">
        <v>16</v>
      </c>
      <c r="H5003" s="6" t="s">
        <v>10326</v>
      </c>
      <c r="I5003" s="6">
        <v>529.125</v>
      </c>
      <c r="J5003" s="2">
        <f t="shared" si="78"/>
        <v>43747.834325393516</v>
      </c>
    </row>
    <row r="5004" spans="1:10" x14ac:dyDescent="0.25">
      <c r="A5004" s="7" t="s">
        <v>10327</v>
      </c>
      <c r="B5004" s="8">
        <v>403.125</v>
      </c>
      <c r="C5004" s="8">
        <v>20.478950000000001</v>
      </c>
      <c r="D5004" s="8">
        <v>72</v>
      </c>
      <c r="E5004" s="8">
        <v>0</v>
      </c>
      <c r="F5004" s="8">
        <v>0</v>
      </c>
      <c r="G5004" s="8">
        <v>6</v>
      </c>
      <c r="H5004" s="8" t="s">
        <v>10328</v>
      </c>
      <c r="I5004" s="8">
        <v>529.875</v>
      </c>
      <c r="J5004" s="3">
        <f t="shared" si="78"/>
        <v>43747.83440274305</v>
      </c>
    </row>
    <row r="5005" spans="1:10" x14ac:dyDescent="0.25">
      <c r="A5005" s="5" t="s">
        <v>10329</v>
      </c>
      <c r="B5005" s="6">
        <v>403.125</v>
      </c>
      <c r="C5005" s="6">
        <v>20.478950000000001</v>
      </c>
      <c r="D5005" s="6">
        <v>73</v>
      </c>
      <c r="E5005" s="6">
        <v>0</v>
      </c>
      <c r="F5005" s="6">
        <v>0</v>
      </c>
      <c r="G5005" s="6">
        <v>17</v>
      </c>
      <c r="H5005" s="6" t="s">
        <v>10330</v>
      </c>
      <c r="I5005" s="6">
        <v>529.875</v>
      </c>
      <c r="J5005" s="2">
        <f t="shared" si="78"/>
        <v>43747.834485879626</v>
      </c>
    </row>
    <row r="5006" spans="1:10" x14ac:dyDescent="0.25">
      <c r="A5006" s="7" t="s">
        <v>10331</v>
      </c>
      <c r="B5006" s="8">
        <v>403.125</v>
      </c>
      <c r="C5006" s="8">
        <v>20.478950000000001</v>
      </c>
      <c r="D5006" s="8">
        <v>73</v>
      </c>
      <c r="E5006" s="8">
        <v>0</v>
      </c>
      <c r="F5006" s="8">
        <v>0</v>
      </c>
      <c r="G5006" s="8">
        <v>2</v>
      </c>
      <c r="H5006" s="8" t="s">
        <v>10332</v>
      </c>
      <c r="I5006" s="8">
        <v>529.125</v>
      </c>
      <c r="J5006" s="3">
        <f t="shared" si="78"/>
        <v>43747.834569652776</v>
      </c>
    </row>
    <row r="5007" spans="1:10" x14ac:dyDescent="0.25">
      <c r="A5007" s="5" t="s">
        <v>10333</v>
      </c>
      <c r="B5007" s="6">
        <v>400</v>
      </c>
      <c r="C5007" s="6">
        <v>20.478950000000001</v>
      </c>
      <c r="D5007" s="6">
        <v>74</v>
      </c>
      <c r="E5007" s="6">
        <v>0</v>
      </c>
      <c r="F5007" s="6">
        <v>0</v>
      </c>
      <c r="G5007" s="6">
        <v>0</v>
      </c>
      <c r="H5007" s="6" t="s">
        <v>10334</v>
      </c>
      <c r="I5007" s="6">
        <v>528.9375</v>
      </c>
      <c r="J5007" s="2">
        <f t="shared" si="78"/>
        <v>43747.834641180554</v>
      </c>
    </row>
    <row r="5008" spans="1:10" x14ac:dyDescent="0.25">
      <c r="A5008" s="7" t="s">
        <v>10335</v>
      </c>
      <c r="B5008" s="8">
        <v>403.125</v>
      </c>
      <c r="C5008" s="8">
        <v>20.478950000000001</v>
      </c>
      <c r="D5008" s="8">
        <v>73</v>
      </c>
      <c r="E5008" s="8">
        <v>0</v>
      </c>
      <c r="F5008" s="8">
        <v>0</v>
      </c>
      <c r="G5008" s="8">
        <v>8</v>
      </c>
      <c r="H5008" s="8" t="s">
        <v>10336</v>
      </c>
      <c r="I5008" s="8">
        <v>529.125</v>
      </c>
      <c r="J5008" s="3">
        <f t="shared" si="78"/>
        <v>43747.834724293978</v>
      </c>
    </row>
    <row r="5009" spans="1:10" x14ac:dyDescent="0.25">
      <c r="A5009" s="5" t="s">
        <v>10337</v>
      </c>
      <c r="B5009" s="6">
        <v>403.125</v>
      </c>
      <c r="C5009" s="6">
        <v>20.478950000000001</v>
      </c>
      <c r="D5009" s="6">
        <v>74</v>
      </c>
      <c r="E5009" s="6">
        <v>0</v>
      </c>
      <c r="F5009" s="6">
        <v>0</v>
      </c>
      <c r="G5009" s="6">
        <v>15</v>
      </c>
      <c r="H5009" s="6" t="s">
        <v>10338</v>
      </c>
      <c r="I5009" s="6">
        <v>529.125</v>
      </c>
      <c r="J5009" s="2">
        <f t="shared" si="78"/>
        <v>43747.834808090272</v>
      </c>
    </row>
    <row r="5010" spans="1:10" x14ac:dyDescent="0.25">
      <c r="A5010" s="7" t="s">
        <v>10339</v>
      </c>
      <c r="B5010" s="8">
        <v>400</v>
      </c>
      <c r="C5010" s="8">
        <v>20.478950000000001</v>
      </c>
      <c r="D5010" s="8">
        <v>74</v>
      </c>
      <c r="E5010" s="8">
        <v>0</v>
      </c>
      <c r="F5010" s="8">
        <v>0</v>
      </c>
      <c r="G5010" s="8">
        <v>8</v>
      </c>
      <c r="H5010" s="8" t="s">
        <v>10340</v>
      </c>
      <c r="I5010" s="8">
        <v>528.1875</v>
      </c>
      <c r="J5010" s="3">
        <f t="shared" si="78"/>
        <v>43747.834891527775</v>
      </c>
    </row>
    <row r="5011" spans="1:10" x14ac:dyDescent="0.25">
      <c r="A5011" s="5" t="s">
        <v>10341</v>
      </c>
      <c r="B5011" s="6">
        <v>403.125</v>
      </c>
      <c r="C5011" s="6">
        <v>20.478950000000001</v>
      </c>
      <c r="D5011" s="6">
        <v>75</v>
      </c>
      <c r="E5011" s="6">
        <v>0</v>
      </c>
      <c r="F5011" s="6">
        <v>0</v>
      </c>
      <c r="G5011" s="6">
        <v>9</v>
      </c>
      <c r="H5011" s="6" t="s">
        <v>10342</v>
      </c>
      <c r="I5011" s="6">
        <v>529.125</v>
      </c>
      <c r="J5011" s="2">
        <f t="shared" si="78"/>
        <v>43747.834974733792</v>
      </c>
    </row>
    <row r="5012" spans="1:10" x14ac:dyDescent="0.25">
      <c r="A5012" s="7" t="s">
        <v>10343</v>
      </c>
      <c r="B5012" s="8">
        <v>403.125</v>
      </c>
      <c r="C5012" s="8">
        <v>20.478950000000001</v>
      </c>
      <c r="D5012" s="8">
        <v>75</v>
      </c>
      <c r="E5012" s="8">
        <v>0</v>
      </c>
      <c r="F5012" s="8">
        <v>0</v>
      </c>
      <c r="G5012" s="8">
        <v>8</v>
      </c>
      <c r="H5012" s="8" t="s">
        <v>10344</v>
      </c>
      <c r="I5012" s="8">
        <v>529.125</v>
      </c>
      <c r="J5012" s="3">
        <f t="shared" si="78"/>
        <v>43747.835046493048</v>
      </c>
    </row>
    <row r="5013" spans="1:10" x14ac:dyDescent="0.25">
      <c r="A5013" s="5" t="s">
        <v>10345</v>
      </c>
      <c r="B5013" s="6">
        <v>418.75</v>
      </c>
      <c r="C5013" s="6">
        <v>20.478950000000001</v>
      </c>
      <c r="D5013" s="6">
        <v>73</v>
      </c>
      <c r="E5013" s="6">
        <v>0</v>
      </c>
      <c r="F5013" s="6">
        <v>0</v>
      </c>
      <c r="G5013" s="6">
        <v>0</v>
      </c>
      <c r="H5013" s="6" t="s">
        <v>10346</v>
      </c>
      <c r="I5013" s="6">
        <v>534.75</v>
      </c>
      <c r="J5013" s="2">
        <f t="shared" si="78"/>
        <v>43747.835141678239</v>
      </c>
    </row>
    <row r="5014" spans="1:10" x14ac:dyDescent="0.25">
      <c r="A5014" s="7" t="s">
        <v>10347</v>
      </c>
      <c r="B5014" s="8">
        <v>403.125</v>
      </c>
      <c r="C5014" s="8">
        <v>20.478950000000001</v>
      </c>
      <c r="D5014" s="8">
        <v>75</v>
      </c>
      <c r="E5014" s="8">
        <v>0</v>
      </c>
      <c r="F5014" s="8">
        <v>0</v>
      </c>
      <c r="G5014" s="8">
        <v>6</v>
      </c>
      <c r="H5014" s="8" t="s">
        <v>10348</v>
      </c>
      <c r="I5014" s="8">
        <v>529.875</v>
      </c>
      <c r="J5014" s="3">
        <f t="shared" si="78"/>
        <v>43747.835213564809</v>
      </c>
    </row>
    <row r="5015" spans="1:10" x14ac:dyDescent="0.25">
      <c r="A5015" s="5" t="s">
        <v>10349</v>
      </c>
      <c r="B5015" s="6">
        <v>403.125</v>
      </c>
      <c r="C5015" s="6">
        <v>20.478950000000001</v>
      </c>
      <c r="D5015" s="6">
        <v>74</v>
      </c>
      <c r="E5015" s="6">
        <v>0</v>
      </c>
      <c r="F5015" s="6">
        <v>0</v>
      </c>
      <c r="G5015" s="6">
        <v>11</v>
      </c>
      <c r="H5015" s="6" t="s">
        <v>10350</v>
      </c>
      <c r="I5015" s="6">
        <v>529.875</v>
      </c>
      <c r="J5015" s="2">
        <f t="shared" si="78"/>
        <v>43747.83530947916</v>
      </c>
    </row>
    <row r="5016" spans="1:10" x14ac:dyDescent="0.25">
      <c r="A5016" s="7" t="s">
        <v>10351</v>
      </c>
      <c r="B5016" s="8">
        <v>403.125</v>
      </c>
      <c r="C5016" s="8">
        <v>20.478950000000001</v>
      </c>
      <c r="D5016" s="8">
        <v>74</v>
      </c>
      <c r="E5016" s="8">
        <v>0</v>
      </c>
      <c r="F5016" s="8">
        <v>0</v>
      </c>
      <c r="G5016" s="8">
        <v>17</v>
      </c>
      <c r="H5016" s="8" t="s">
        <v>10352</v>
      </c>
      <c r="I5016" s="8">
        <v>529.875</v>
      </c>
      <c r="J5016" s="3">
        <f t="shared" si="78"/>
        <v>43747.835392384259</v>
      </c>
    </row>
    <row r="5017" spans="1:10" x14ac:dyDescent="0.25">
      <c r="A5017" s="5" t="s">
        <v>10353</v>
      </c>
      <c r="B5017" s="6">
        <v>403.125</v>
      </c>
      <c r="C5017" s="6">
        <v>20.478950000000001</v>
      </c>
      <c r="D5017" s="6">
        <v>74</v>
      </c>
      <c r="E5017" s="6">
        <v>0</v>
      </c>
      <c r="F5017" s="6">
        <v>0</v>
      </c>
      <c r="G5017" s="6">
        <v>10</v>
      </c>
      <c r="H5017" s="6" t="s">
        <v>10354</v>
      </c>
      <c r="I5017" s="6">
        <v>529.6875</v>
      </c>
      <c r="J5017" s="2">
        <f t="shared" si="78"/>
        <v>43747.8354759375</v>
      </c>
    </row>
    <row r="5018" spans="1:10" x14ac:dyDescent="0.25">
      <c r="A5018" s="7" t="s">
        <v>10355</v>
      </c>
      <c r="B5018" s="8">
        <v>403.125</v>
      </c>
      <c r="C5018" s="8">
        <v>20.478950000000001</v>
      </c>
      <c r="D5018" s="8">
        <v>74</v>
      </c>
      <c r="E5018" s="8">
        <v>0</v>
      </c>
      <c r="F5018" s="8">
        <v>0</v>
      </c>
      <c r="G5018" s="8">
        <v>15</v>
      </c>
      <c r="H5018" s="8" t="s">
        <v>10356</v>
      </c>
      <c r="I5018" s="8">
        <v>529.875</v>
      </c>
      <c r="J5018" s="3">
        <f t="shared" si="78"/>
        <v>43747.835559398147</v>
      </c>
    </row>
    <row r="5019" spans="1:10" x14ac:dyDescent="0.25">
      <c r="A5019" s="5" t="s">
        <v>10357</v>
      </c>
      <c r="B5019" s="6">
        <v>403.125</v>
      </c>
      <c r="C5019" s="6">
        <v>20.478950000000001</v>
      </c>
      <c r="D5019" s="6">
        <v>75</v>
      </c>
      <c r="E5019" s="6">
        <v>0</v>
      </c>
      <c r="F5019" s="6">
        <v>0</v>
      </c>
      <c r="G5019" s="6">
        <v>10</v>
      </c>
      <c r="H5019" s="6" t="s">
        <v>10358</v>
      </c>
      <c r="I5019" s="6">
        <v>529.875</v>
      </c>
      <c r="J5019" s="2">
        <f t="shared" si="78"/>
        <v>43747.835642951388</v>
      </c>
    </row>
    <row r="5020" spans="1:10" x14ac:dyDescent="0.25">
      <c r="A5020" s="7" t="s">
        <v>10359</v>
      </c>
      <c r="B5020" s="8">
        <v>421.875</v>
      </c>
      <c r="C5020" s="8">
        <v>20.478950000000001</v>
      </c>
      <c r="D5020" s="8">
        <v>74</v>
      </c>
      <c r="E5020" s="8">
        <v>0</v>
      </c>
      <c r="F5020" s="8">
        <v>0</v>
      </c>
      <c r="G5020" s="8">
        <v>15</v>
      </c>
      <c r="H5020" s="8" t="s">
        <v>10360</v>
      </c>
      <c r="I5020" s="8">
        <v>535.6875</v>
      </c>
      <c r="J5020" s="3">
        <f t="shared" si="78"/>
        <v>43747.835739918977</v>
      </c>
    </row>
    <row r="5021" spans="1:10" x14ac:dyDescent="0.25">
      <c r="A5021" s="5" t="s">
        <v>10361</v>
      </c>
      <c r="B5021" s="6">
        <v>403.125</v>
      </c>
      <c r="C5021" s="6">
        <v>20.531590000000001</v>
      </c>
      <c r="D5021" s="6">
        <v>75</v>
      </c>
      <c r="E5021" s="6">
        <v>0</v>
      </c>
      <c r="F5021" s="6">
        <v>0</v>
      </c>
      <c r="G5021" s="6">
        <v>11</v>
      </c>
      <c r="H5021" s="6" t="s">
        <v>10362</v>
      </c>
      <c r="I5021" s="6">
        <v>529.875</v>
      </c>
      <c r="J5021" s="2">
        <f t="shared" si="78"/>
        <v>43747.83582166666</v>
      </c>
    </row>
    <row r="5022" spans="1:10" x14ac:dyDescent="0.25">
      <c r="A5022" s="7" t="s">
        <v>10363</v>
      </c>
      <c r="B5022" s="8">
        <v>418.75</v>
      </c>
      <c r="C5022" s="8">
        <v>20.478950000000001</v>
      </c>
      <c r="D5022" s="8">
        <v>75</v>
      </c>
      <c r="E5022" s="8">
        <v>0</v>
      </c>
      <c r="F5022" s="8">
        <v>0</v>
      </c>
      <c r="G5022" s="8">
        <v>6</v>
      </c>
      <c r="H5022" s="8" t="s">
        <v>10364</v>
      </c>
      <c r="I5022" s="8">
        <v>534.9375</v>
      </c>
      <c r="J5022" s="3">
        <f t="shared" si="78"/>
        <v>43747.835893310184</v>
      </c>
    </row>
    <row r="5023" spans="1:10" x14ac:dyDescent="0.25">
      <c r="A5023" s="5" t="s">
        <v>10365</v>
      </c>
      <c r="B5023" s="6">
        <v>403.125</v>
      </c>
      <c r="C5023" s="6">
        <v>20.478950000000001</v>
      </c>
      <c r="D5023" s="6">
        <v>76</v>
      </c>
      <c r="E5023" s="6">
        <v>0</v>
      </c>
      <c r="F5023" s="6">
        <v>0</v>
      </c>
      <c r="G5023" s="6">
        <v>20</v>
      </c>
      <c r="H5023" s="6" t="s">
        <v>10366</v>
      </c>
      <c r="I5023" s="6">
        <v>529.125</v>
      </c>
      <c r="J5023" s="2">
        <f t="shared" si="78"/>
        <v>43747.835976782408</v>
      </c>
    </row>
    <row r="5024" spans="1:10" x14ac:dyDescent="0.25">
      <c r="A5024" s="7" t="s">
        <v>10367</v>
      </c>
      <c r="B5024" s="8">
        <v>400</v>
      </c>
      <c r="C5024" s="8">
        <v>20.478950000000001</v>
      </c>
      <c r="D5024" s="8">
        <v>75</v>
      </c>
      <c r="E5024" s="8">
        <v>0</v>
      </c>
      <c r="F5024" s="8">
        <v>0</v>
      </c>
      <c r="G5024" s="8">
        <v>8</v>
      </c>
      <c r="H5024" s="8" t="s">
        <v>10368</v>
      </c>
      <c r="I5024" s="8">
        <v>528.1875</v>
      </c>
      <c r="J5024" s="3">
        <f t="shared" si="78"/>
        <v>43747.836059988425</v>
      </c>
    </row>
    <row r="5025" spans="1:10" x14ac:dyDescent="0.25">
      <c r="A5025" s="5" t="s">
        <v>10369</v>
      </c>
      <c r="B5025" s="6">
        <v>400</v>
      </c>
      <c r="C5025" s="6">
        <v>20.478950000000001</v>
      </c>
      <c r="D5025" s="6">
        <v>75</v>
      </c>
      <c r="E5025" s="6">
        <v>0</v>
      </c>
      <c r="F5025" s="6">
        <v>0</v>
      </c>
      <c r="G5025" s="6">
        <v>14</v>
      </c>
      <c r="H5025" s="6" t="s">
        <v>10370</v>
      </c>
      <c r="I5025" s="6">
        <v>528.375</v>
      </c>
      <c r="J5025" s="2">
        <f t="shared" si="78"/>
        <v>43747.836131724536</v>
      </c>
    </row>
    <row r="5026" spans="1:10" x14ac:dyDescent="0.25">
      <c r="A5026" s="7" t="s">
        <v>10371</v>
      </c>
      <c r="B5026" s="8">
        <v>396.875</v>
      </c>
      <c r="C5026" s="8">
        <v>20.478950000000001</v>
      </c>
      <c r="D5026" s="8">
        <v>76</v>
      </c>
      <c r="E5026" s="8">
        <v>0</v>
      </c>
      <c r="F5026" s="8">
        <v>0</v>
      </c>
      <c r="G5026" s="8">
        <v>17</v>
      </c>
      <c r="H5026" s="8" t="s">
        <v>10372</v>
      </c>
      <c r="I5026" s="8">
        <v>527.625</v>
      </c>
      <c r="J5026" s="3">
        <f t="shared" si="78"/>
        <v>43747.836215173607</v>
      </c>
    </row>
    <row r="5027" spans="1:10" x14ac:dyDescent="0.25">
      <c r="A5027" s="5" t="s">
        <v>10373</v>
      </c>
      <c r="B5027" s="6">
        <v>396.875</v>
      </c>
      <c r="C5027" s="6">
        <v>20.478950000000001</v>
      </c>
      <c r="D5027" s="6">
        <v>70</v>
      </c>
      <c r="E5027" s="6">
        <v>0</v>
      </c>
      <c r="F5027" s="6">
        <v>0</v>
      </c>
      <c r="G5027" s="6">
        <v>8</v>
      </c>
      <c r="H5027" s="6" t="s">
        <v>10374</v>
      </c>
      <c r="I5027" s="6">
        <v>527.4375</v>
      </c>
      <c r="J5027" s="2">
        <f t="shared" si="78"/>
        <v>43747.836310543978</v>
      </c>
    </row>
    <row r="5028" spans="1:10" x14ac:dyDescent="0.25">
      <c r="A5028" s="7" t="s">
        <v>10375</v>
      </c>
      <c r="B5028" s="8">
        <v>400</v>
      </c>
      <c r="C5028" s="8">
        <v>20.478950000000001</v>
      </c>
      <c r="D5028" s="8">
        <v>69</v>
      </c>
      <c r="E5028" s="8">
        <v>0</v>
      </c>
      <c r="F5028" s="8">
        <v>0</v>
      </c>
      <c r="G5028" s="8">
        <v>9</v>
      </c>
      <c r="H5028" s="8" t="s">
        <v>10376</v>
      </c>
      <c r="I5028" s="8">
        <v>528.1875</v>
      </c>
      <c r="J5028" s="3">
        <f t="shared" si="78"/>
        <v>43747.83639423611</v>
      </c>
    </row>
    <row r="5029" spans="1:10" x14ac:dyDescent="0.25">
      <c r="A5029" s="5" t="s">
        <v>10377</v>
      </c>
      <c r="B5029" s="6">
        <v>400</v>
      </c>
      <c r="C5029" s="6">
        <v>20.478950000000001</v>
      </c>
      <c r="D5029" s="6">
        <v>69</v>
      </c>
      <c r="E5029" s="6">
        <v>0</v>
      </c>
      <c r="F5029" s="6">
        <v>0</v>
      </c>
      <c r="G5029" s="6">
        <v>8</v>
      </c>
      <c r="H5029" s="6" t="s">
        <v>10378</v>
      </c>
      <c r="I5029" s="6">
        <v>528.9375</v>
      </c>
      <c r="J5029" s="2">
        <f t="shared" si="78"/>
        <v>43747.836465520835</v>
      </c>
    </row>
    <row r="5030" spans="1:10" x14ac:dyDescent="0.25">
      <c r="A5030" s="7" t="s">
        <v>10379</v>
      </c>
      <c r="B5030" s="8">
        <v>403.125</v>
      </c>
      <c r="C5030" s="8">
        <v>20.478950000000001</v>
      </c>
      <c r="D5030" s="8">
        <v>70</v>
      </c>
      <c r="E5030" s="8">
        <v>0</v>
      </c>
      <c r="F5030" s="8">
        <v>0</v>
      </c>
      <c r="G5030" s="8">
        <v>11</v>
      </c>
      <c r="H5030" s="8" t="s">
        <v>10380</v>
      </c>
      <c r="I5030" s="8">
        <v>529.875</v>
      </c>
      <c r="J5030" s="3">
        <f t="shared" si="78"/>
        <v>43747.836548854168</v>
      </c>
    </row>
    <row r="5031" spans="1:10" x14ac:dyDescent="0.25">
      <c r="A5031" s="5" t="s">
        <v>10381</v>
      </c>
      <c r="B5031" s="6">
        <v>406.25</v>
      </c>
      <c r="C5031" s="6">
        <v>20.478950000000001</v>
      </c>
      <c r="D5031" s="6">
        <v>71</v>
      </c>
      <c r="E5031" s="6">
        <v>0</v>
      </c>
      <c r="F5031" s="6">
        <v>0</v>
      </c>
      <c r="G5031" s="6">
        <v>15</v>
      </c>
      <c r="H5031" s="6" t="s">
        <v>10382</v>
      </c>
      <c r="I5031" s="6">
        <v>530.8125</v>
      </c>
      <c r="J5031" s="2">
        <f t="shared" si="78"/>
        <v>43747.836632534723</v>
      </c>
    </row>
    <row r="5032" spans="1:10" x14ac:dyDescent="0.25">
      <c r="A5032" s="7" t="s">
        <v>10383</v>
      </c>
      <c r="B5032" s="8">
        <v>425</v>
      </c>
      <c r="C5032" s="8">
        <v>20.478950000000001</v>
      </c>
      <c r="D5032" s="8">
        <v>74</v>
      </c>
      <c r="E5032" s="8">
        <v>0</v>
      </c>
      <c r="F5032" s="8">
        <v>0</v>
      </c>
      <c r="G5032" s="8">
        <v>12</v>
      </c>
      <c r="H5032" s="8" t="s">
        <v>10384</v>
      </c>
      <c r="I5032" s="8">
        <v>536.4375</v>
      </c>
      <c r="J5032" s="3">
        <f t="shared" si="78"/>
        <v>43747.836715648147</v>
      </c>
    </row>
    <row r="5033" spans="1:10" x14ac:dyDescent="0.25">
      <c r="A5033" s="5" t="s">
        <v>10385</v>
      </c>
      <c r="B5033" s="6">
        <v>409.375</v>
      </c>
      <c r="C5033" s="6">
        <v>20.478950000000001</v>
      </c>
      <c r="D5033" s="6">
        <v>74</v>
      </c>
      <c r="E5033" s="6">
        <v>0</v>
      </c>
      <c r="F5033" s="6">
        <v>0</v>
      </c>
      <c r="G5033" s="6">
        <v>14</v>
      </c>
      <c r="H5033" s="6" t="s">
        <v>10386</v>
      </c>
      <c r="I5033" s="6">
        <v>531.375</v>
      </c>
      <c r="J5033" s="2">
        <f t="shared" si="78"/>
        <v>43747.836799699071</v>
      </c>
    </row>
    <row r="5034" spans="1:10" x14ac:dyDescent="0.25">
      <c r="A5034" s="7" t="s">
        <v>10387</v>
      </c>
      <c r="B5034" s="8">
        <v>409.375</v>
      </c>
      <c r="C5034" s="8">
        <v>20.478950000000001</v>
      </c>
      <c r="D5034" s="8">
        <v>74</v>
      </c>
      <c r="E5034" s="8">
        <v>0</v>
      </c>
      <c r="F5034" s="8">
        <v>0</v>
      </c>
      <c r="G5034" s="8">
        <v>4</v>
      </c>
      <c r="H5034" s="8" t="s">
        <v>10388</v>
      </c>
      <c r="I5034" s="8">
        <v>531.5625</v>
      </c>
      <c r="J5034" s="3">
        <f t="shared" si="78"/>
        <v>43747.836883124997</v>
      </c>
    </row>
    <row r="5035" spans="1:10" x14ac:dyDescent="0.25">
      <c r="A5035" s="5" t="s">
        <v>10389</v>
      </c>
      <c r="B5035" s="6">
        <v>406.25</v>
      </c>
      <c r="C5035" s="6">
        <v>20.531590000000001</v>
      </c>
      <c r="D5035" s="6">
        <v>74</v>
      </c>
      <c r="E5035" s="6">
        <v>0</v>
      </c>
      <c r="F5035" s="6">
        <v>0</v>
      </c>
      <c r="G5035" s="6">
        <v>14</v>
      </c>
      <c r="H5035" s="6" t="s">
        <v>10390</v>
      </c>
      <c r="I5035" s="6">
        <v>530.625</v>
      </c>
      <c r="J5035" s="2">
        <f t="shared" si="78"/>
        <v>43747.836954548613</v>
      </c>
    </row>
    <row r="5036" spans="1:10" x14ac:dyDescent="0.25">
      <c r="A5036" s="7" t="s">
        <v>10391</v>
      </c>
      <c r="B5036" s="8">
        <v>406.25</v>
      </c>
      <c r="C5036" s="8">
        <v>20.478950000000001</v>
      </c>
      <c r="D5036" s="8">
        <v>73</v>
      </c>
      <c r="E5036" s="8">
        <v>0</v>
      </c>
      <c r="F5036" s="8">
        <v>0</v>
      </c>
      <c r="G5036" s="8">
        <v>12</v>
      </c>
      <c r="H5036" s="8" t="s">
        <v>10392</v>
      </c>
      <c r="I5036" s="8">
        <v>530.625</v>
      </c>
      <c r="J5036" s="3">
        <f t="shared" si="78"/>
        <v>43747.837037754631</v>
      </c>
    </row>
    <row r="5037" spans="1:10" x14ac:dyDescent="0.25">
      <c r="A5037" s="5" t="s">
        <v>10393</v>
      </c>
      <c r="B5037" s="6">
        <v>425</v>
      </c>
      <c r="C5037" s="6">
        <v>20.478950000000001</v>
      </c>
      <c r="D5037" s="6">
        <v>73</v>
      </c>
      <c r="E5037" s="6">
        <v>0</v>
      </c>
      <c r="F5037" s="6">
        <v>0</v>
      </c>
      <c r="G5037" s="6">
        <v>20</v>
      </c>
      <c r="H5037" s="6" t="s">
        <v>10394</v>
      </c>
      <c r="I5037" s="6">
        <v>536.4375</v>
      </c>
      <c r="J5037" s="2">
        <f t="shared" si="78"/>
        <v>43747.837121435186</v>
      </c>
    </row>
    <row r="5038" spans="1:10" x14ac:dyDescent="0.25">
      <c r="A5038" s="7" t="s">
        <v>10395</v>
      </c>
      <c r="B5038" s="8">
        <v>409.375</v>
      </c>
      <c r="C5038" s="8">
        <v>20.478950000000001</v>
      </c>
      <c r="D5038" s="8">
        <v>74</v>
      </c>
      <c r="E5038" s="8">
        <v>0</v>
      </c>
      <c r="F5038" s="8">
        <v>0</v>
      </c>
      <c r="G5038" s="8">
        <v>7</v>
      </c>
      <c r="H5038" s="8" t="s">
        <v>10396</v>
      </c>
      <c r="I5038" s="8">
        <v>531.5625</v>
      </c>
      <c r="J5038" s="3">
        <f t="shared" si="78"/>
        <v>43747.83720454861</v>
      </c>
    </row>
    <row r="5039" spans="1:10" x14ac:dyDescent="0.25">
      <c r="A5039" s="5" t="s">
        <v>10397</v>
      </c>
      <c r="B5039" s="6">
        <v>409.375</v>
      </c>
      <c r="C5039" s="6">
        <v>20.478950000000001</v>
      </c>
      <c r="D5039" s="6">
        <v>74</v>
      </c>
      <c r="E5039" s="6">
        <v>0</v>
      </c>
      <c r="F5039" s="6">
        <v>0</v>
      </c>
      <c r="G5039" s="6">
        <v>16</v>
      </c>
      <c r="H5039" s="6" t="s">
        <v>10398</v>
      </c>
      <c r="I5039" s="6">
        <v>531.5625</v>
      </c>
      <c r="J5039" s="2">
        <f t="shared" si="78"/>
        <v>43747.837276284721</v>
      </c>
    </row>
    <row r="5040" spans="1:10" x14ac:dyDescent="0.25">
      <c r="A5040" s="7" t="s">
        <v>10399</v>
      </c>
      <c r="B5040" s="8">
        <v>412.5</v>
      </c>
      <c r="C5040" s="8">
        <v>20.478950000000001</v>
      </c>
      <c r="D5040" s="8">
        <v>74</v>
      </c>
      <c r="E5040" s="8">
        <v>0</v>
      </c>
      <c r="F5040" s="8">
        <v>0</v>
      </c>
      <c r="G5040" s="8">
        <v>9</v>
      </c>
      <c r="H5040" s="8" t="s">
        <v>10400</v>
      </c>
      <c r="I5040" s="8">
        <v>532.3125</v>
      </c>
      <c r="J5040" s="3">
        <f t="shared" si="78"/>
        <v>43747.837360196754</v>
      </c>
    </row>
    <row r="5041" spans="1:10" x14ac:dyDescent="0.25">
      <c r="A5041" s="5" t="s">
        <v>10401</v>
      </c>
      <c r="B5041" s="6">
        <v>412.5</v>
      </c>
      <c r="C5041" s="6">
        <v>20.478950000000001</v>
      </c>
      <c r="D5041" s="6">
        <v>74</v>
      </c>
      <c r="E5041" s="6">
        <v>0</v>
      </c>
      <c r="F5041" s="6">
        <v>0</v>
      </c>
      <c r="G5041" s="6">
        <v>17</v>
      </c>
      <c r="H5041" s="6" t="s">
        <v>10402</v>
      </c>
      <c r="I5041" s="6">
        <v>532.5</v>
      </c>
      <c r="J5041" s="2">
        <f t="shared" si="78"/>
        <v>43747.837443425924</v>
      </c>
    </row>
    <row r="5042" spans="1:10" x14ac:dyDescent="0.25">
      <c r="A5042" s="7" t="s">
        <v>10403</v>
      </c>
      <c r="B5042" s="8">
        <v>412.5</v>
      </c>
      <c r="C5042" s="8">
        <v>20.478950000000001</v>
      </c>
      <c r="D5042" s="8">
        <v>73</v>
      </c>
      <c r="E5042" s="8">
        <v>0</v>
      </c>
      <c r="F5042" s="8">
        <v>0</v>
      </c>
      <c r="G5042" s="8">
        <v>5</v>
      </c>
      <c r="H5042" s="8" t="s">
        <v>10404</v>
      </c>
      <c r="I5042" s="8">
        <v>532.3125</v>
      </c>
      <c r="J5042" s="3">
        <f t="shared" si="78"/>
        <v>43747.837526631942</v>
      </c>
    </row>
    <row r="5043" spans="1:10" x14ac:dyDescent="0.25">
      <c r="A5043" s="5" t="s">
        <v>10405</v>
      </c>
      <c r="B5043" s="6">
        <v>412.5</v>
      </c>
      <c r="C5043" s="6">
        <v>20.478950000000001</v>
      </c>
      <c r="D5043" s="6">
        <v>74</v>
      </c>
      <c r="E5043" s="6">
        <v>0</v>
      </c>
      <c r="F5043" s="6">
        <v>0</v>
      </c>
      <c r="G5043" s="6">
        <v>14</v>
      </c>
      <c r="H5043" s="6" t="s">
        <v>10406</v>
      </c>
      <c r="I5043" s="6">
        <v>532.3125</v>
      </c>
      <c r="J5043" s="2">
        <f t="shared" si="78"/>
        <v>43747.837610324073</v>
      </c>
    </row>
    <row r="5044" spans="1:10" x14ac:dyDescent="0.25">
      <c r="A5044" s="7" t="s">
        <v>10407</v>
      </c>
      <c r="B5044" s="8">
        <v>412.5</v>
      </c>
      <c r="C5044" s="8">
        <v>20.478950000000001</v>
      </c>
      <c r="D5044" s="8">
        <v>70</v>
      </c>
      <c r="E5044" s="8">
        <v>0</v>
      </c>
      <c r="F5044" s="8">
        <v>0</v>
      </c>
      <c r="G5044" s="8">
        <v>18</v>
      </c>
      <c r="H5044" s="8" t="s">
        <v>10408</v>
      </c>
      <c r="I5044" s="8">
        <v>532.3125</v>
      </c>
      <c r="J5044" s="3">
        <f t="shared" si="78"/>
        <v>43747.837693414353</v>
      </c>
    </row>
    <row r="5045" spans="1:10" x14ac:dyDescent="0.25">
      <c r="A5045" s="5" t="s">
        <v>10409</v>
      </c>
      <c r="B5045" s="6">
        <v>409.375</v>
      </c>
      <c r="C5045" s="6">
        <v>20.478950000000001</v>
      </c>
      <c r="D5045" s="6">
        <v>70</v>
      </c>
      <c r="E5045" s="6">
        <v>0</v>
      </c>
      <c r="F5045" s="6">
        <v>0</v>
      </c>
      <c r="G5045" s="6">
        <v>6</v>
      </c>
      <c r="H5045" s="6" t="s">
        <v>10410</v>
      </c>
      <c r="I5045" s="6">
        <v>531.5625</v>
      </c>
      <c r="J5045" s="2">
        <f t="shared" si="78"/>
        <v>43747.837765069438</v>
      </c>
    </row>
    <row r="5046" spans="1:10" x14ac:dyDescent="0.25">
      <c r="A5046" s="7" t="s">
        <v>10411</v>
      </c>
      <c r="B5046" s="8">
        <v>412.5</v>
      </c>
      <c r="C5046" s="8">
        <v>20.478950000000001</v>
      </c>
      <c r="D5046" s="8">
        <v>71</v>
      </c>
      <c r="E5046" s="8">
        <v>0</v>
      </c>
      <c r="F5046" s="8">
        <v>0</v>
      </c>
      <c r="G5046" s="8">
        <v>7</v>
      </c>
      <c r="H5046" s="8" t="s">
        <v>10412</v>
      </c>
      <c r="I5046" s="8">
        <v>532.3125</v>
      </c>
      <c r="J5046" s="3">
        <f t="shared" si="78"/>
        <v>43747.837851979166</v>
      </c>
    </row>
    <row r="5047" spans="1:10" x14ac:dyDescent="0.25">
      <c r="A5047" s="5" t="s">
        <v>10413</v>
      </c>
      <c r="B5047" s="6">
        <v>412.5</v>
      </c>
      <c r="C5047" s="6">
        <v>20.478950000000001</v>
      </c>
      <c r="D5047" s="6">
        <v>71</v>
      </c>
      <c r="E5047" s="6">
        <v>0</v>
      </c>
      <c r="F5047" s="6">
        <v>0</v>
      </c>
      <c r="G5047" s="6">
        <v>15</v>
      </c>
      <c r="H5047" s="6" t="s">
        <v>10414</v>
      </c>
      <c r="I5047" s="6">
        <v>532.3125</v>
      </c>
      <c r="J5047" s="2">
        <f t="shared" si="78"/>
        <v>43747.837932303235</v>
      </c>
    </row>
    <row r="5048" spans="1:10" x14ac:dyDescent="0.25">
      <c r="A5048" s="7" t="s">
        <v>10415</v>
      </c>
      <c r="B5048" s="8">
        <v>409.375</v>
      </c>
      <c r="C5048" s="8">
        <v>20.478950000000001</v>
      </c>
      <c r="D5048" s="8">
        <v>70</v>
      </c>
      <c r="E5048" s="8">
        <v>0</v>
      </c>
      <c r="F5048" s="8">
        <v>0</v>
      </c>
      <c r="G5048" s="8">
        <v>15</v>
      </c>
      <c r="H5048" s="8" t="s">
        <v>10416</v>
      </c>
      <c r="I5048" s="8">
        <v>531.375</v>
      </c>
      <c r="J5048" s="3">
        <f t="shared" si="78"/>
        <v>43747.838015509253</v>
      </c>
    </row>
    <row r="5049" spans="1:10" x14ac:dyDescent="0.25">
      <c r="A5049" s="5" t="s">
        <v>10417</v>
      </c>
      <c r="B5049" s="6">
        <v>409.375</v>
      </c>
      <c r="C5049" s="6">
        <v>20.478950000000001</v>
      </c>
      <c r="D5049" s="6">
        <v>70</v>
      </c>
      <c r="E5049" s="6">
        <v>0</v>
      </c>
      <c r="F5049" s="6">
        <v>0</v>
      </c>
      <c r="G5049" s="6">
        <v>13</v>
      </c>
      <c r="H5049" s="6" t="s">
        <v>10418</v>
      </c>
      <c r="I5049" s="6">
        <v>531.5625</v>
      </c>
      <c r="J5049" s="2">
        <f t="shared" si="78"/>
        <v>43747.838087256947</v>
      </c>
    </row>
    <row r="5050" spans="1:10" x14ac:dyDescent="0.25">
      <c r="A5050" s="7" t="s">
        <v>10419</v>
      </c>
      <c r="B5050" s="8">
        <v>428.125</v>
      </c>
      <c r="C5050" s="8">
        <v>20.478950000000001</v>
      </c>
      <c r="D5050" s="8">
        <v>70</v>
      </c>
      <c r="E5050" s="8">
        <v>0</v>
      </c>
      <c r="F5050" s="8">
        <v>0</v>
      </c>
      <c r="G5050" s="8">
        <v>8</v>
      </c>
      <c r="H5050" s="8" t="s">
        <v>10420</v>
      </c>
      <c r="I5050" s="8">
        <v>537.1875</v>
      </c>
      <c r="J5050" s="3">
        <f t="shared" si="78"/>
        <v>43747.838170844909</v>
      </c>
    </row>
    <row r="5051" spans="1:10" x14ac:dyDescent="0.25">
      <c r="A5051" s="5" t="s">
        <v>10421</v>
      </c>
      <c r="B5051" s="6">
        <v>406.25</v>
      </c>
      <c r="C5051" s="6">
        <v>20.478950000000001</v>
      </c>
      <c r="D5051" s="6">
        <v>70</v>
      </c>
      <c r="E5051" s="6">
        <v>0</v>
      </c>
      <c r="F5051" s="6">
        <v>0</v>
      </c>
      <c r="G5051" s="6">
        <v>17</v>
      </c>
      <c r="H5051" s="6" t="s">
        <v>10422</v>
      </c>
      <c r="I5051" s="6">
        <v>530.625</v>
      </c>
      <c r="J5051" s="2">
        <f t="shared" si="78"/>
        <v>43747.83825429398</v>
      </c>
    </row>
    <row r="5052" spans="1:10" x14ac:dyDescent="0.25">
      <c r="A5052" s="7" t="s">
        <v>10423</v>
      </c>
      <c r="B5052" s="8">
        <v>406.25</v>
      </c>
      <c r="C5052" s="8">
        <v>20.478950000000001</v>
      </c>
      <c r="D5052" s="8">
        <v>70</v>
      </c>
      <c r="E5052" s="8">
        <v>0</v>
      </c>
      <c r="F5052" s="8">
        <v>0</v>
      </c>
      <c r="G5052" s="8">
        <v>8</v>
      </c>
      <c r="H5052" s="8" t="s">
        <v>10424</v>
      </c>
      <c r="I5052" s="8">
        <v>530.625</v>
      </c>
      <c r="J5052" s="3">
        <f t="shared" si="78"/>
        <v>43747.838337847221</v>
      </c>
    </row>
    <row r="5053" spans="1:10" x14ac:dyDescent="0.25">
      <c r="A5053" s="5" t="s">
        <v>10425</v>
      </c>
      <c r="B5053" s="6">
        <v>406.25</v>
      </c>
      <c r="C5053" s="6">
        <v>20.478950000000001</v>
      </c>
      <c r="D5053" s="6">
        <v>71</v>
      </c>
      <c r="E5053" s="6">
        <v>0</v>
      </c>
      <c r="F5053" s="6">
        <v>0</v>
      </c>
      <c r="G5053" s="6">
        <v>18</v>
      </c>
      <c r="H5053" s="6" t="s">
        <v>10426</v>
      </c>
      <c r="I5053" s="6">
        <v>530.8125</v>
      </c>
      <c r="J5053" s="2">
        <f t="shared" si="78"/>
        <v>43747.838421273147</v>
      </c>
    </row>
    <row r="5054" spans="1:10" x14ac:dyDescent="0.25">
      <c r="A5054" s="7" t="s">
        <v>10427</v>
      </c>
      <c r="B5054" s="8">
        <v>409.375</v>
      </c>
      <c r="C5054" s="8">
        <v>20.478950000000001</v>
      </c>
      <c r="D5054" s="8">
        <v>72</v>
      </c>
      <c r="E5054" s="8">
        <v>0</v>
      </c>
      <c r="F5054" s="8">
        <v>0</v>
      </c>
      <c r="G5054" s="8">
        <v>13</v>
      </c>
      <c r="H5054" s="8" t="s">
        <v>10428</v>
      </c>
      <c r="I5054" s="8">
        <v>531.5625</v>
      </c>
      <c r="J5054" s="3">
        <f t="shared" si="78"/>
        <v>43747.838504398147</v>
      </c>
    </row>
    <row r="5055" spans="1:10" x14ac:dyDescent="0.25">
      <c r="A5055" s="5" t="s">
        <v>10429</v>
      </c>
      <c r="B5055" s="6">
        <v>412.5</v>
      </c>
      <c r="C5055" s="6">
        <v>20.478950000000001</v>
      </c>
      <c r="D5055" s="6">
        <v>70</v>
      </c>
      <c r="E5055" s="6">
        <v>0</v>
      </c>
      <c r="F5055" s="6">
        <v>0</v>
      </c>
      <c r="G5055" s="6">
        <v>22</v>
      </c>
      <c r="H5055" s="6" t="s">
        <v>10430</v>
      </c>
      <c r="I5055" s="6">
        <v>532.3125</v>
      </c>
      <c r="J5055" s="2">
        <f t="shared" si="78"/>
        <v>43747.838588090272</v>
      </c>
    </row>
    <row r="5056" spans="1:10" x14ac:dyDescent="0.25">
      <c r="A5056" s="7" t="s">
        <v>10431</v>
      </c>
      <c r="B5056" s="8">
        <v>409.375</v>
      </c>
      <c r="C5056" s="8">
        <v>20.478950000000001</v>
      </c>
      <c r="D5056" s="8">
        <v>69</v>
      </c>
      <c r="E5056" s="8">
        <v>0</v>
      </c>
      <c r="F5056" s="8">
        <v>0</v>
      </c>
      <c r="G5056" s="8">
        <v>13</v>
      </c>
      <c r="H5056" s="8" t="s">
        <v>10432</v>
      </c>
      <c r="I5056" s="8">
        <v>531.375</v>
      </c>
      <c r="J5056" s="3">
        <f t="shared" si="78"/>
        <v>43747.838671192127</v>
      </c>
    </row>
    <row r="5057" spans="1:10" x14ac:dyDescent="0.25">
      <c r="A5057" s="5" t="s">
        <v>10433</v>
      </c>
      <c r="B5057" s="6">
        <v>428.125</v>
      </c>
      <c r="C5057" s="6">
        <v>20.478950000000001</v>
      </c>
      <c r="D5057" s="6">
        <v>70</v>
      </c>
      <c r="E5057" s="6">
        <v>0</v>
      </c>
      <c r="F5057" s="6">
        <v>0</v>
      </c>
      <c r="G5057" s="6">
        <v>8</v>
      </c>
      <c r="H5057" s="6" t="s">
        <v>10434</v>
      </c>
      <c r="I5057" s="6">
        <v>537.75</v>
      </c>
      <c r="J5057" s="2">
        <f t="shared" si="78"/>
        <v>43747.838744872679</v>
      </c>
    </row>
    <row r="5058" spans="1:10" x14ac:dyDescent="0.25">
      <c r="A5058" s="7" t="s">
        <v>10435</v>
      </c>
      <c r="B5058" s="8">
        <v>409.375</v>
      </c>
      <c r="C5058" s="8">
        <v>20.478950000000001</v>
      </c>
      <c r="D5058" s="8">
        <v>71</v>
      </c>
      <c r="E5058" s="8">
        <v>0</v>
      </c>
      <c r="F5058" s="8">
        <v>0</v>
      </c>
      <c r="G5058" s="8">
        <v>9</v>
      </c>
      <c r="H5058" s="8" t="s">
        <v>10436</v>
      </c>
      <c r="I5058" s="8">
        <v>531.5625</v>
      </c>
      <c r="J5058" s="3">
        <f t="shared" ref="J5058:J5121" si="79">(H5058/86400000)+25569+(7/24)</f>
        <v>43747.838826736108</v>
      </c>
    </row>
    <row r="5059" spans="1:10" x14ac:dyDescent="0.25">
      <c r="A5059" s="5" t="s">
        <v>10437</v>
      </c>
      <c r="B5059" s="6">
        <v>409.375</v>
      </c>
      <c r="C5059" s="6">
        <v>20.478950000000001</v>
      </c>
      <c r="D5059" s="6">
        <v>73</v>
      </c>
      <c r="E5059" s="6">
        <v>0</v>
      </c>
      <c r="F5059" s="6">
        <v>0</v>
      </c>
      <c r="G5059" s="6">
        <v>12</v>
      </c>
      <c r="H5059" s="6" t="s">
        <v>10438</v>
      </c>
      <c r="I5059" s="6">
        <v>531.375</v>
      </c>
      <c r="J5059" s="2">
        <f t="shared" si="79"/>
        <v>43747.838898229165</v>
      </c>
    </row>
    <row r="5060" spans="1:10" x14ac:dyDescent="0.25">
      <c r="A5060" s="7" t="s">
        <v>10439</v>
      </c>
      <c r="B5060" s="8">
        <v>409.375</v>
      </c>
      <c r="C5060" s="8">
        <v>20.478950000000001</v>
      </c>
      <c r="D5060" s="8">
        <v>73</v>
      </c>
      <c r="E5060" s="8">
        <v>0</v>
      </c>
      <c r="F5060" s="8">
        <v>0</v>
      </c>
      <c r="G5060" s="8">
        <v>8</v>
      </c>
      <c r="H5060" s="8" t="s">
        <v>10440</v>
      </c>
      <c r="I5060" s="8">
        <v>531.5625</v>
      </c>
      <c r="J5060" s="3">
        <f t="shared" si="79"/>
        <v>43747.838981701389</v>
      </c>
    </row>
    <row r="5061" spans="1:10" x14ac:dyDescent="0.25">
      <c r="A5061" s="5" t="s">
        <v>10441</v>
      </c>
      <c r="B5061" s="6">
        <v>409.375</v>
      </c>
      <c r="C5061" s="6">
        <v>20.478950000000001</v>
      </c>
      <c r="D5061" s="6">
        <v>73</v>
      </c>
      <c r="E5061" s="6">
        <v>0</v>
      </c>
      <c r="F5061" s="6">
        <v>0</v>
      </c>
      <c r="G5061" s="6">
        <v>9</v>
      </c>
      <c r="H5061" s="6" t="s">
        <v>10442</v>
      </c>
      <c r="I5061" s="6">
        <v>531.5625</v>
      </c>
      <c r="J5061" s="2">
        <f t="shared" si="79"/>
        <v>43747.839065057873</v>
      </c>
    </row>
    <row r="5062" spans="1:10" x14ac:dyDescent="0.25">
      <c r="A5062" s="7" t="s">
        <v>10443</v>
      </c>
      <c r="B5062" s="8">
        <v>412.5</v>
      </c>
      <c r="C5062" s="8">
        <v>20.478950000000001</v>
      </c>
      <c r="D5062" s="8">
        <v>73</v>
      </c>
      <c r="E5062" s="8">
        <v>0</v>
      </c>
      <c r="F5062" s="8">
        <v>0</v>
      </c>
      <c r="G5062" s="8">
        <v>16</v>
      </c>
      <c r="H5062" s="8" t="s">
        <v>10444</v>
      </c>
      <c r="I5062" s="8">
        <v>532.3125</v>
      </c>
      <c r="J5062" s="3">
        <f t="shared" si="79"/>
        <v>43747.839148622683</v>
      </c>
    </row>
    <row r="5063" spans="1:10" x14ac:dyDescent="0.25">
      <c r="A5063" s="5" t="s">
        <v>10445</v>
      </c>
      <c r="B5063" s="6">
        <v>412.5</v>
      </c>
      <c r="C5063" s="6">
        <v>20.478950000000001</v>
      </c>
      <c r="D5063" s="6">
        <v>72</v>
      </c>
      <c r="E5063" s="6">
        <v>0</v>
      </c>
      <c r="F5063" s="6">
        <v>0</v>
      </c>
      <c r="G5063" s="6">
        <v>13</v>
      </c>
      <c r="H5063" s="6" t="s">
        <v>10446</v>
      </c>
      <c r="I5063" s="6">
        <v>532.3125</v>
      </c>
      <c r="J5063" s="2">
        <f t="shared" si="79"/>
        <v>43747.839231944447</v>
      </c>
    </row>
    <row r="5064" spans="1:10" x14ac:dyDescent="0.25">
      <c r="A5064" s="7" t="s">
        <v>10447</v>
      </c>
      <c r="B5064" s="8">
        <v>428.125</v>
      </c>
      <c r="C5064" s="8">
        <v>20.478950000000001</v>
      </c>
      <c r="D5064" s="8">
        <v>72</v>
      </c>
      <c r="E5064" s="8">
        <v>0</v>
      </c>
      <c r="F5064" s="8">
        <v>0</v>
      </c>
      <c r="G5064" s="8">
        <v>16</v>
      </c>
      <c r="H5064" s="8" t="s">
        <v>10448</v>
      </c>
      <c r="I5064" s="8">
        <v>537.9375</v>
      </c>
      <c r="J5064" s="3">
        <f t="shared" si="79"/>
        <v>43747.839327430549</v>
      </c>
    </row>
    <row r="5065" spans="1:10" x14ac:dyDescent="0.25">
      <c r="A5065" s="5" t="s">
        <v>10449</v>
      </c>
      <c r="B5065" s="6">
        <v>412.5</v>
      </c>
      <c r="C5065" s="6">
        <v>20.478950000000001</v>
      </c>
      <c r="D5065" s="6">
        <v>72</v>
      </c>
      <c r="E5065" s="6">
        <v>0</v>
      </c>
      <c r="F5065" s="6">
        <v>0</v>
      </c>
      <c r="G5065" s="6">
        <v>9</v>
      </c>
      <c r="H5065" s="6" t="s">
        <v>10450</v>
      </c>
      <c r="I5065" s="6">
        <v>532.3125</v>
      </c>
      <c r="J5065" s="2">
        <f t="shared" si="79"/>
        <v>43747.839398958335</v>
      </c>
    </row>
    <row r="5066" spans="1:10" x14ac:dyDescent="0.25">
      <c r="A5066" s="7" t="s">
        <v>10451</v>
      </c>
      <c r="B5066" s="8">
        <v>412.5</v>
      </c>
      <c r="C5066" s="8">
        <v>20.478950000000001</v>
      </c>
      <c r="D5066" s="8">
        <v>73</v>
      </c>
      <c r="E5066" s="8">
        <v>0</v>
      </c>
      <c r="F5066" s="8">
        <v>0</v>
      </c>
      <c r="G5066" s="8">
        <v>10</v>
      </c>
      <c r="H5066" s="8" t="s">
        <v>10452</v>
      </c>
      <c r="I5066" s="8">
        <v>532.3125</v>
      </c>
      <c r="J5066" s="3">
        <f t="shared" si="79"/>
        <v>43747.839482164352</v>
      </c>
    </row>
    <row r="5067" spans="1:10" x14ac:dyDescent="0.25">
      <c r="A5067" s="5" t="s">
        <v>10453</v>
      </c>
      <c r="B5067" s="6">
        <v>443.75</v>
      </c>
      <c r="C5067" s="6">
        <v>20.478950000000001</v>
      </c>
      <c r="D5067" s="6">
        <v>73</v>
      </c>
      <c r="E5067" s="6">
        <v>0</v>
      </c>
      <c r="F5067" s="6">
        <v>0</v>
      </c>
      <c r="G5067" s="6">
        <v>15</v>
      </c>
      <c r="H5067" s="6" t="s">
        <v>10454</v>
      </c>
      <c r="I5067" s="6">
        <v>542.4375</v>
      </c>
      <c r="J5067" s="2">
        <f t="shared" si="79"/>
        <v>43747.839572175923</v>
      </c>
    </row>
    <row r="5068" spans="1:10" x14ac:dyDescent="0.25">
      <c r="A5068" s="7" t="s">
        <v>10455</v>
      </c>
      <c r="B5068" s="8">
        <v>415.625</v>
      </c>
      <c r="C5068" s="8">
        <v>20.478950000000001</v>
      </c>
      <c r="D5068" s="8">
        <v>73</v>
      </c>
      <c r="E5068" s="8">
        <v>0</v>
      </c>
      <c r="F5068" s="8">
        <v>0</v>
      </c>
      <c r="G5068" s="8">
        <v>19</v>
      </c>
      <c r="H5068" s="8" t="s">
        <v>10456</v>
      </c>
      <c r="I5068" s="8">
        <v>533.0625</v>
      </c>
      <c r="J5068" s="3">
        <f t="shared" si="79"/>
        <v>43747.839648969901</v>
      </c>
    </row>
    <row r="5069" spans="1:10" x14ac:dyDescent="0.25">
      <c r="A5069" s="5" t="s">
        <v>10457</v>
      </c>
      <c r="B5069" s="6">
        <v>415.625</v>
      </c>
      <c r="C5069" s="6">
        <v>20.478950000000001</v>
      </c>
      <c r="D5069" s="6">
        <v>74</v>
      </c>
      <c r="E5069" s="6">
        <v>0</v>
      </c>
      <c r="F5069" s="6">
        <v>0</v>
      </c>
      <c r="G5069" s="6">
        <v>11</v>
      </c>
      <c r="H5069" s="6" t="s">
        <v>10458</v>
      </c>
      <c r="I5069" s="6">
        <v>533.25</v>
      </c>
      <c r="J5069" s="2">
        <f t="shared" si="79"/>
        <v>43747.839720960641</v>
      </c>
    </row>
    <row r="5070" spans="1:10" x14ac:dyDescent="0.25">
      <c r="A5070" s="7" t="s">
        <v>10459</v>
      </c>
      <c r="B5070" s="8">
        <v>415.625</v>
      </c>
      <c r="C5070" s="8">
        <v>20.478950000000001</v>
      </c>
      <c r="D5070" s="8">
        <v>73</v>
      </c>
      <c r="E5070" s="8">
        <v>0</v>
      </c>
      <c r="F5070" s="8">
        <v>0</v>
      </c>
      <c r="G5070" s="8">
        <v>17</v>
      </c>
      <c r="H5070" s="8" t="s">
        <v>10460</v>
      </c>
      <c r="I5070" s="8">
        <v>533.0625</v>
      </c>
      <c r="J5070" s="3">
        <f t="shared" si="79"/>
        <v>43747.839804502313</v>
      </c>
    </row>
    <row r="5071" spans="1:10" x14ac:dyDescent="0.25">
      <c r="A5071" s="5" t="s">
        <v>10461</v>
      </c>
      <c r="B5071" s="6">
        <v>415.625</v>
      </c>
      <c r="C5071" s="6">
        <v>20.478950000000001</v>
      </c>
      <c r="D5071" s="6">
        <v>72</v>
      </c>
      <c r="E5071" s="6">
        <v>0</v>
      </c>
      <c r="F5071" s="6">
        <v>0</v>
      </c>
      <c r="G5071" s="6">
        <v>14</v>
      </c>
      <c r="H5071" s="6" t="s">
        <v>10462</v>
      </c>
      <c r="I5071" s="6">
        <v>533.0625</v>
      </c>
      <c r="J5071" s="2">
        <f t="shared" si="79"/>
        <v>43747.839875937498</v>
      </c>
    </row>
    <row r="5072" spans="1:10" x14ac:dyDescent="0.25">
      <c r="A5072" s="7" t="s">
        <v>10463</v>
      </c>
      <c r="B5072" s="8">
        <v>431.25</v>
      </c>
      <c r="C5072" s="8">
        <v>20.478950000000001</v>
      </c>
      <c r="D5072" s="8">
        <v>71</v>
      </c>
      <c r="E5072" s="8">
        <v>0</v>
      </c>
      <c r="F5072" s="8">
        <v>0</v>
      </c>
      <c r="G5072" s="8">
        <v>12</v>
      </c>
      <c r="H5072" s="8" t="s">
        <v>10464</v>
      </c>
      <c r="I5072" s="8">
        <v>538.125</v>
      </c>
      <c r="J5072" s="3">
        <f t="shared" si="79"/>
        <v>43747.839971076384</v>
      </c>
    </row>
    <row r="5073" spans="1:10" x14ac:dyDescent="0.25">
      <c r="A5073" s="5" t="s">
        <v>10465</v>
      </c>
      <c r="B5073" s="6">
        <v>415.625</v>
      </c>
      <c r="C5073" s="6">
        <v>20.478950000000001</v>
      </c>
      <c r="D5073" s="6">
        <v>71</v>
      </c>
      <c r="E5073" s="6">
        <v>0</v>
      </c>
      <c r="F5073" s="6">
        <v>0</v>
      </c>
      <c r="G5073" s="6">
        <v>11</v>
      </c>
      <c r="H5073" s="6" t="s">
        <v>10466</v>
      </c>
      <c r="I5073" s="6">
        <v>533.0625</v>
      </c>
      <c r="J5073" s="2">
        <f t="shared" si="79"/>
        <v>43747.840054733795</v>
      </c>
    </row>
    <row r="5074" spans="1:10" x14ac:dyDescent="0.25">
      <c r="A5074" s="7" t="s">
        <v>10467</v>
      </c>
      <c r="B5074" s="8">
        <v>418.75</v>
      </c>
      <c r="C5074" s="8">
        <v>20.478950000000001</v>
      </c>
      <c r="D5074" s="8">
        <v>72</v>
      </c>
      <c r="E5074" s="8">
        <v>0</v>
      </c>
      <c r="F5074" s="8">
        <v>0</v>
      </c>
      <c r="G5074" s="8">
        <v>1</v>
      </c>
      <c r="H5074" s="8" t="s">
        <v>10468</v>
      </c>
      <c r="I5074" s="8">
        <v>534</v>
      </c>
      <c r="J5074" s="3">
        <f t="shared" si="79"/>
        <v>43747.840137835643</v>
      </c>
    </row>
    <row r="5075" spans="1:10" x14ac:dyDescent="0.25">
      <c r="A5075" s="5" t="s">
        <v>10469</v>
      </c>
      <c r="B5075" s="6">
        <v>418.75</v>
      </c>
      <c r="C5075" s="6">
        <v>20.478950000000001</v>
      </c>
      <c r="D5075" s="6">
        <v>72</v>
      </c>
      <c r="E5075" s="6">
        <v>0</v>
      </c>
      <c r="F5075" s="6">
        <v>0</v>
      </c>
      <c r="G5075" s="6">
        <v>6</v>
      </c>
      <c r="H5075" s="6" t="s">
        <v>10470</v>
      </c>
      <c r="I5075" s="6">
        <v>534.75</v>
      </c>
      <c r="J5075" s="2">
        <f t="shared" si="79"/>
        <v>43747.840209502312</v>
      </c>
    </row>
    <row r="5076" spans="1:10" x14ac:dyDescent="0.25">
      <c r="A5076" s="7" t="s">
        <v>10471</v>
      </c>
      <c r="B5076" s="8">
        <v>418.75</v>
      </c>
      <c r="C5076" s="8">
        <v>20.478950000000001</v>
      </c>
      <c r="D5076" s="8">
        <v>71</v>
      </c>
      <c r="E5076" s="8">
        <v>0</v>
      </c>
      <c r="F5076" s="8">
        <v>0</v>
      </c>
      <c r="G5076" s="8">
        <v>15</v>
      </c>
      <c r="H5076" s="8" t="s">
        <v>10472</v>
      </c>
      <c r="I5076" s="8">
        <v>534.75</v>
      </c>
      <c r="J5076" s="3">
        <f t="shared" si="79"/>
        <v>43747.840293275462</v>
      </c>
    </row>
    <row r="5077" spans="1:10" x14ac:dyDescent="0.25">
      <c r="A5077" s="5" t="s">
        <v>10473</v>
      </c>
      <c r="B5077" s="6">
        <v>418.75</v>
      </c>
      <c r="C5077" s="6">
        <v>20.478950000000001</v>
      </c>
      <c r="D5077" s="6">
        <v>71</v>
      </c>
      <c r="E5077" s="6">
        <v>0</v>
      </c>
      <c r="F5077" s="6">
        <v>0</v>
      </c>
      <c r="G5077" s="6">
        <v>5</v>
      </c>
      <c r="H5077" s="6" t="s">
        <v>10474</v>
      </c>
      <c r="I5077" s="6">
        <v>534</v>
      </c>
      <c r="J5077" s="2">
        <f t="shared" si="79"/>
        <v>43747.840376747678</v>
      </c>
    </row>
    <row r="5078" spans="1:10" x14ac:dyDescent="0.25">
      <c r="A5078" s="7" t="s">
        <v>10475</v>
      </c>
      <c r="B5078" s="8">
        <v>418.75</v>
      </c>
      <c r="C5078" s="8">
        <v>20.478950000000001</v>
      </c>
      <c r="D5078" s="8">
        <v>70</v>
      </c>
      <c r="E5078" s="8">
        <v>0</v>
      </c>
      <c r="F5078" s="8">
        <v>0</v>
      </c>
      <c r="G5078" s="8">
        <v>13</v>
      </c>
      <c r="H5078" s="8" t="s">
        <v>10476</v>
      </c>
      <c r="I5078" s="8">
        <v>534.75</v>
      </c>
      <c r="J5078" s="3">
        <f t="shared" si="79"/>
        <v>43747.840459953703</v>
      </c>
    </row>
    <row r="5079" spans="1:10" x14ac:dyDescent="0.25">
      <c r="A5079" s="5" t="s">
        <v>10477</v>
      </c>
      <c r="B5079" s="6">
        <v>418.75</v>
      </c>
      <c r="C5079" s="6">
        <v>20.478950000000001</v>
      </c>
      <c r="D5079" s="6">
        <v>70</v>
      </c>
      <c r="E5079" s="6">
        <v>0</v>
      </c>
      <c r="F5079" s="6">
        <v>0</v>
      </c>
      <c r="G5079" s="6">
        <v>7</v>
      </c>
      <c r="H5079" s="6" t="s">
        <v>10478</v>
      </c>
      <c r="I5079" s="6">
        <v>534.75</v>
      </c>
      <c r="J5079" s="2">
        <f t="shared" si="79"/>
        <v>43747.840531724534</v>
      </c>
    </row>
    <row r="5080" spans="1:10" x14ac:dyDescent="0.25">
      <c r="A5080" s="7" t="s">
        <v>10479</v>
      </c>
      <c r="B5080" s="8">
        <v>418.75</v>
      </c>
      <c r="C5080" s="8">
        <v>20.478950000000001</v>
      </c>
      <c r="D5080" s="8">
        <v>70</v>
      </c>
      <c r="E5080" s="8">
        <v>0</v>
      </c>
      <c r="F5080" s="8">
        <v>0</v>
      </c>
      <c r="G5080" s="8">
        <v>17</v>
      </c>
      <c r="H5080" s="8" t="s">
        <v>10480</v>
      </c>
      <c r="I5080" s="8">
        <v>534</v>
      </c>
      <c r="J5080" s="3">
        <f t="shared" si="79"/>
        <v>43747.840626770827</v>
      </c>
    </row>
    <row r="5081" spans="1:10" x14ac:dyDescent="0.25">
      <c r="A5081" s="5" t="s">
        <v>10481</v>
      </c>
      <c r="B5081" s="6">
        <v>415.625</v>
      </c>
      <c r="C5081" s="6">
        <v>20.478950000000001</v>
      </c>
      <c r="D5081" s="6">
        <v>70</v>
      </c>
      <c r="E5081" s="6">
        <v>0</v>
      </c>
      <c r="F5081" s="6">
        <v>0</v>
      </c>
      <c r="G5081" s="6">
        <v>20</v>
      </c>
      <c r="H5081" s="6" t="s">
        <v>10482</v>
      </c>
      <c r="I5081" s="6">
        <v>533.0625</v>
      </c>
      <c r="J5081" s="2">
        <f t="shared" si="79"/>
        <v>43747.840698414351</v>
      </c>
    </row>
    <row r="5082" spans="1:10" x14ac:dyDescent="0.25">
      <c r="A5082" s="7" t="s">
        <v>10483</v>
      </c>
      <c r="B5082" s="8">
        <v>412.5</v>
      </c>
      <c r="C5082" s="8">
        <v>20.478950000000001</v>
      </c>
      <c r="D5082" s="8">
        <v>70</v>
      </c>
      <c r="E5082" s="8">
        <v>0</v>
      </c>
      <c r="F5082" s="8">
        <v>0</v>
      </c>
      <c r="G5082" s="8">
        <v>12</v>
      </c>
      <c r="H5082" s="8" t="s">
        <v>10484</v>
      </c>
      <c r="I5082" s="8">
        <v>532.3125</v>
      </c>
      <c r="J5082" s="3">
        <f t="shared" si="79"/>
        <v>43747.840782314808</v>
      </c>
    </row>
    <row r="5083" spans="1:10" x14ac:dyDescent="0.25">
      <c r="A5083" s="5" t="s">
        <v>10485</v>
      </c>
      <c r="B5083" s="6">
        <v>412.5</v>
      </c>
      <c r="C5083" s="6">
        <v>20.478950000000001</v>
      </c>
      <c r="D5083" s="6">
        <v>72</v>
      </c>
      <c r="E5083" s="6">
        <v>0</v>
      </c>
      <c r="F5083" s="6">
        <v>0</v>
      </c>
      <c r="G5083" s="6">
        <v>6</v>
      </c>
      <c r="H5083" s="6" t="s">
        <v>10486</v>
      </c>
      <c r="I5083" s="6">
        <v>532.3125</v>
      </c>
      <c r="J5083" s="2">
        <f t="shared" si="79"/>
        <v>43747.840865636572</v>
      </c>
    </row>
    <row r="5084" spans="1:10" x14ac:dyDescent="0.25">
      <c r="A5084" s="7" t="s">
        <v>10487</v>
      </c>
      <c r="B5084" s="8">
        <v>409.375</v>
      </c>
      <c r="C5084" s="8">
        <v>20.478950000000001</v>
      </c>
      <c r="D5084" s="8">
        <v>71</v>
      </c>
      <c r="E5084" s="8">
        <v>0</v>
      </c>
      <c r="F5084" s="8">
        <v>0</v>
      </c>
      <c r="G5084" s="8">
        <v>17</v>
      </c>
      <c r="H5084" s="8" t="s">
        <v>10488</v>
      </c>
      <c r="I5084" s="8">
        <v>531.5625</v>
      </c>
      <c r="J5084" s="3">
        <f t="shared" si="79"/>
        <v>43747.840948865742</v>
      </c>
    </row>
    <row r="5085" spans="1:10" x14ac:dyDescent="0.25">
      <c r="A5085" s="5" t="s">
        <v>10489</v>
      </c>
      <c r="B5085" s="6">
        <v>406.25</v>
      </c>
      <c r="C5085" s="6">
        <v>20.478950000000001</v>
      </c>
      <c r="D5085" s="6">
        <v>71</v>
      </c>
      <c r="E5085" s="6">
        <v>0</v>
      </c>
      <c r="F5085" s="6">
        <v>0</v>
      </c>
      <c r="G5085" s="6">
        <v>18</v>
      </c>
      <c r="H5085" s="6" t="s">
        <v>10490</v>
      </c>
      <c r="I5085" s="6">
        <v>530.8125</v>
      </c>
      <c r="J5085" s="2">
        <f t="shared" si="79"/>
        <v>43747.841032546297</v>
      </c>
    </row>
    <row r="5086" spans="1:10" x14ac:dyDescent="0.25">
      <c r="A5086" s="7" t="s">
        <v>10491</v>
      </c>
      <c r="B5086" s="8">
        <v>406.25</v>
      </c>
      <c r="C5086" s="8">
        <v>20.531590000000001</v>
      </c>
      <c r="D5086" s="8">
        <v>71</v>
      </c>
      <c r="E5086" s="8">
        <v>0</v>
      </c>
      <c r="F5086" s="8">
        <v>0</v>
      </c>
      <c r="G5086" s="8">
        <v>5</v>
      </c>
      <c r="H5086" s="8" t="s">
        <v>10492</v>
      </c>
      <c r="I5086" s="8">
        <v>530.625</v>
      </c>
      <c r="J5086" s="3">
        <f t="shared" si="79"/>
        <v>43747.841104189814</v>
      </c>
    </row>
    <row r="5087" spans="1:10" x14ac:dyDescent="0.25">
      <c r="A5087" s="5" t="s">
        <v>10493</v>
      </c>
      <c r="B5087" s="6">
        <v>406.25</v>
      </c>
      <c r="C5087" s="6">
        <v>20.426300000000001</v>
      </c>
      <c r="D5087" s="6">
        <v>74</v>
      </c>
      <c r="E5087" s="6">
        <v>0</v>
      </c>
      <c r="F5087" s="6">
        <v>0</v>
      </c>
      <c r="G5087" s="6">
        <v>10</v>
      </c>
      <c r="H5087" s="6" t="s">
        <v>10494</v>
      </c>
      <c r="I5087" s="6">
        <v>530.625</v>
      </c>
      <c r="J5087" s="2">
        <f t="shared" si="79"/>
        <v>43747.841187719903</v>
      </c>
    </row>
    <row r="5088" spans="1:10" x14ac:dyDescent="0.25">
      <c r="A5088" s="7" t="s">
        <v>10495</v>
      </c>
      <c r="B5088" s="8">
        <v>406.25</v>
      </c>
      <c r="C5088" s="8">
        <v>20.531590000000001</v>
      </c>
      <c r="D5088" s="8">
        <v>74</v>
      </c>
      <c r="E5088" s="8">
        <v>0</v>
      </c>
      <c r="F5088" s="8">
        <v>0</v>
      </c>
      <c r="G5088" s="8">
        <v>11</v>
      </c>
      <c r="H5088" s="8" t="s">
        <v>10496</v>
      </c>
      <c r="I5088" s="8">
        <v>530.625</v>
      </c>
      <c r="J5088" s="3">
        <f t="shared" si="79"/>
        <v>43747.841271111109</v>
      </c>
    </row>
    <row r="5089" spans="1:10" x14ac:dyDescent="0.25">
      <c r="A5089" s="5" t="s">
        <v>10497</v>
      </c>
      <c r="B5089" s="6">
        <v>406.25</v>
      </c>
      <c r="C5089" s="6">
        <v>20.478950000000001</v>
      </c>
      <c r="D5089" s="6">
        <v>73</v>
      </c>
      <c r="E5089" s="6">
        <v>0</v>
      </c>
      <c r="F5089" s="6">
        <v>0</v>
      </c>
      <c r="G5089" s="6">
        <v>14</v>
      </c>
      <c r="H5089" s="6" t="s">
        <v>10498</v>
      </c>
      <c r="I5089" s="6">
        <v>530.8125</v>
      </c>
      <c r="J5089" s="2">
        <f t="shared" si="79"/>
        <v>43747.841354537035</v>
      </c>
    </row>
    <row r="5090" spans="1:10" x14ac:dyDescent="0.25">
      <c r="A5090" s="7" t="s">
        <v>10499</v>
      </c>
      <c r="B5090" s="8">
        <v>406.25</v>
      </c>
      <c r="C5090" s="8">
        <v>20.531590000000001</v>
      </c>
      <c r="D5090" s="8">
        <v>71</v>
      </c>
      <c r="E5090" s="8">
        <v>0</v>
      </c>
      <c r="F5090" s="8">
        <v>0</v>
      </c>
      <c r="G5090" s="8">
        <v>10</v>
      </c>
      <c r="H5090" s="8" t="s">
        <v>10500</v>
      </c>
      <c r="I5090" s="8">
        <v>530.625</v>
      </c>
      <c r="J5090" s="3">
        <f t="shared" si="79"/>
        <v>43747.841437766205</v>
      </c>
    </row>
    <row r="5091" spans="1:10" x14ac:dyDescent="0.25">
      <c r="A5091" s="5" t="s">
        <v>10501</v>
      </c>
      <c r="B5091" s="6">
        <v>406.25</v>
      </c>
      <c r="C5091" s="6">
        <v>20.478950000000001</v>
      </c>
      <c r="D5091" s="6">
        <v>71</v>
      </c>
      <c r="E5091" s="6">
        <v>0</v>
      </c>
      <c r="F5091" s="6">
        <v>0</v>
      </c>
      <c r="G5091" s="6">
        <v>23</v>
      </c>
      <c r="H5091" s="6" t="s">
        <v>10502</v>
      </c>
      <c r="I5091" s="6">
        <v>530.625</v>
      </c>
      <c r="J5091" s="2">
        <f t="shared" si="79"/>
        <v>43747.841509513884</v>
      </c>
    </row>
    <row r="5092" spans="1:10" x14ac:dyDescent="0.25">
      <c r="A5092" s="7" t="s">
        <v>10503</v>
      </c>
      <c r="B5092" s="8">
        <v>406.25</v>
      </c>
      <c r="C5092" s="8">
        <v>20.478950000000001</v>
      </c>
      <c r="D5092" s="8">
        <v>75</v>
      </c>
      <c r="E5092" s="8">
        <v>0</v>
      </c>
      <c r="F5092" s="8">
        <v>0</v>
      </c>
      <c r="G5092" s="8">
        <v>18</v>
      </c>
      <c r="H5092" s="8" t="s">
        <v>10504</v>
      </c>
      <c r="I5092" s="8">
        <v>530.625</v>
      </c>
      <c r="J5092" s="3">
        <f t="shared" si="79"/>
        <v>43747.841593090277</v>
      </c>
    </row>
    <row r="5093" spans="1:10" x14ac:dyDescent="0.25">
      <c r="A5093" s="5" t="s">
        <v>10505</v>
      </c>
      <c r="B5093" s="6">
        <v>409.375</v>
      </c>
      <c r="C5093" s="6">
        <v>20.478950000000001</v>
      </c>
      <c r="D5093" s="6">
        <v>75</v>
      </c>
      <c r="E5093" s="6">
        <v>0</v>
      </c>
      <c r="F5093" s="6">
        <v>0</v>
      </c>
      <c r="G5093" s="6">
        <v>19</v>
      </c>
      <c r="H5093" s="6" t="s">
        <v>10506</v>
      </c>
      <c r="I5093" s="6">
        <v>531.5625</v>
      </c>
      <c r="J5093" s="2">
        <f t="shared" si="79"/>
        <v>43747.841676539349</v>
      </c>
    </row>
    <row r="5094" spans="1:10" x14ac:dyDescent="0.25">
      <c r="A5094" s="7" t="s">
        <v>10507</v>
      </c>
      <c r="B5094" s="8">
        <v>409.375</v>
      </c>
      <c r="C5094" s="8">
        <v>20.478950000000001</v>
      </c>
      <c r="D5094" s="8">
        <v>75</v>
      </c>
      <c r="E5094" s="8">
        <v>0</v>
      </c>
      <c r="F5094" s="8">
        <v>0</v>
      </c>
      <c r="G5094" s="8">
        <v>13</v>
      </c>
      <c r="H5094" s="8" t="s">
        <v>10508</v>
      </c>
      <c r="I5094" s="8">
        <v>531.375</v>
      </c>
      <c r="J5094" s="3">
        <f t="shared" si="79"/>
        <v>43747.841760497678</v>
      </c>
    </row>
    <row r="5095" spans="1:10" x14ac:dyDescent="0.25">
      <c r="A5095" s="5" t="s">
        <v>10509</v>
      </c>
      <c r="B5095" s="6">
        <v>409.375</v>
      </c>
      <c r="C5095" s="6">
        <v>20.478950000000001</v>
      </c>
      <c r="D5095" s="6">
        <v>74</v>
      </c>
      <c r="E5095" s="6">
        <v>0</v>
      </c>
      <c r="F5095" s="6">
        <v>0</v>
      </c>
      <c r="G5095" s="6">
        <v>13</v>
      </c>
      <c r="H5095" s="6" t="s">
        <v>10510</v>
      </c>
      <c r="I5095" s="6">
        <v>531.5625</v>
      </c>
      <c r="J5095" s="2">
        <f t="shared" si="79"/>
        <v>43747.841843541661</v>
      </c>
    </row>
    <row r="5096" spans="1:10" x14ac:dyDescent="0.25">
      <c r="A5096" s="7" t="s">
        <v>10511</v>
      </c>
      <c r="B5096" s="8">
        <v>409.375</v>
      </c>
      <c r="C5096" s="8">
        <v>20.478950000000001</v>
      </c>
      <c r="D5096" s="8">
        <v>75</v>
      </c>
      <c r="E5096" s="8">
        <v>0</v>
      </c>
      <c r="F5096" s="8">
        <v>0</v>
      </c>
      <c r="G5096" s="8">
        <v>13</v>
      </c>
      <c r="H5096" s="8" t="s">
        <v>10512</v>
      </c>
      <c r="I5096" s="8">
        <v>531.5625</v>
      </c>
      <c r="J5096" s="3">
        <f t="shared" si="79"/>
        <v>43747.841926759262</v>
      </c>
    </row>
    <row r="5097" spans="1:10" x14ac:dyDescent="0.25">
      <c r="A5097" s="5" t="s">
        <v>10513</v>
      </c>
      <c r="B5097" s="6">
        <v>431.25</v>
      </c>
      <c r="C5097" s="6">
        <v>20.478950000000001</v>
      </c>
      <c r="D5097" s="6">
        <v>75</v>
      </c>
      <c r="E5097" s="6">
        <v>0</v>
      </c>
      <c r="F5097" s="6">
        <v>0</v>
      </c>
      <c r="G5097" s="6">
        <v>9</v>
      </c>
      <c r="H5097" s="6" t="s">
        <v>10514</v>
      </c>
      <c r="I5097" s="6">
        <v>538.875</v>
      </c>
      <c r="J5097" s="2">
        <f t="shared" si="79"/>
        <v>43747.841998483789</v>
      </c>
    </row>
    <row r="5098" spans="1:10" x14ac:dyDescent="0.25">
      <c r="A5098" s="7" t="s">
        <v>10515</v>
      </c>
      <c r="B5098" s="8">
        <v>412.5</v>
      </c>
      <c r="C5098" s="8">
        <v>20.478950000000001</v>
      </c>
      <c r="D5098" s="8">
        <v>75</v>
      </c>
      <c r="E5098" s="8">
        <v>0</v>
      </c>
      <c r="F5098" s="8">
        <v>0</v>
      </c>
      <c r="G5098" s="8">
        <v>11</v>
      </c>
      <c r="H5098" s="8" t="s">
        <v>10516</v>
      </c>
      <c r="I5098" s="8">
        <v>532.3125</v>
      </c>
      <c r="J5098" s="3">
        <f t="shared" si="79"/>
        <v>43747.842082071758</v>
      </c>
    </row>
    <row r="5099" spans="1:10" x14ac:dyDescent="0.25">
      <c r="A5099" s="5" t="s">
        <v>10517</v>
      </c>
      <c r="B5099" s="6">
        <v>412.5</v>
      </c>
      <c r="C5099" s="6">
        <v>20.478950000000001</v>
      </c>
      <c r="D5099" s="6">
        <v>77</v>
      </c>
      <c r="E5099" s="6">
        <v>0</v>
      </c>
      <c r="F5099" s="6">
        <v>0</v>
      </c>
      <c r="G5099" s="6">
        <v>22</v>
      </c>
      <c r="H5099" s="6" t="s">
        <v>10518</v>
      </c>
      <c r="I5099" s="6">
        <v>532.3125</v>
      </c>
      <c r="J5099" s="2">
        <f t="shared" si="79"/>
        <v>43747.842165520829</v>
      </c>
    </row>
    <row r="5100" spans="1:10" x14ac:dyDescent="0.25">
      <c r="A5100" s="7" t="s">
        <v>10519</v>
      </c>
      <c r="B5100" s="8">
        <v>412.5</v>
      </c>
      <c r="C5100" s="8">
        <v>20.478950000000001</v>
      </c>
      <c r="D5100" s="8">
        <v>77</v>
      </c>
      <c r="E5100" s="8">
        <v>0</v>
      </c>
      <c r="F5100" s="8">
        <v>0</v>
      </c>
      <c r="G5100" s="8">
        <v>8</v>
      </c>
      <c r="H5100" s="8" t="s">
        <v>10520</v>
      </c>
      <c r="I5100" s="8">
        <v>532.3125</v>
      </c>
      <c r="J5100" s="3">
        <f t="shared" si="79"/>
        <v>43747.842248865738</v>
      </c>
    </row>
    <row r="5101" spans="1:10" x14ac:dyDescent="0.25">
      <c r="A5101" s="5" t="s">
        <v>10521</v>
      </c>
      <c r="B5101" s="6">
        <v>412.5</v>
      </c>
      <c r="C5101" s="6">
        <v>20.478950000000001</v>
      </c>
      <c r="D5101" s="6">
        <v>76</v>
      </c>
      <c r="E5101" s="6">
        <v>0</v>
      </c>
      <c r="F5101" s="6">
        <v>0</v>
      </c>
      <c r="G5101" s="6">
        <v>5</v>
      </c>
      <c r="H5101" s="6" t="s">
        <v>10522</v>
      </c>
      <c r="I5101" s="6">
        <v>532.3125</v>
      </c>
      <c r="J5101" s="2">
        <f t="shared" si="79"/>
        <v>43747.842320543983</v>
      </c>
    </row>
    <row r="5102" spans="1:10" x14ac:dyDescent="0.25">
      <c r="A5102" s="7" t="s">
        <v>10523</v>
      </c>
      <c r="B5102" s="8">
        <v>412.5</v>
      </c>
      <c r="C5102" s="8">
        <v>20.478950000000001</v>
      </c>
      <c r="D5102" s="8">
        <v>77</v>
      </c>
      <c r="E5102" s="8">
        <v>0</v>
      </c>
      <c r="F5102" s="8">
        <v>0</v>
      </c>
      <c r="G5102" s="8">
        <v>16</v>
      </c>
      <c r="H5102" s="8" t="s">
        <v>10524</v>
      </c>
      <c r="I5102" s="8">
        <v>532.3125</v>
      </c>
      <c r="J5102" s="3">
        <f t="shared" si="79"/>
        <v>43747.842403969909</v>
      </c>
    </row>
    <row r="5103" spans="1:10" x14ac:dyDescent="0.25">
      <c r="A5103" s="5" t="s">
        <v>10525</v>
      </c>
      <c r="B5103" s="6">
        <v>415.625</v>
      </c>
      <c r="C5103" s="6">
        <v>20.478950000000001</v>
      </c>
      <c r="D5103" s="6">
        <v>77</v>
      </c>
      <c r="E5103" s="6">
        <v>0</v>
      </c>
      <c r="F5103" s="6">
        <v>0</v>
      </c>
      <c r="G5103" s="6">
        <v>14</v>
      </c>
      <c r="H5103" s="6" t="s">
        <v>10526</v>
      </c>
      <c r="I5103" s="6">
        <v>533.0625</v>
      </c>
      <c r="J5103" s="2">
        <f t="shared" si="79"/>
        <v>43747.84248741898</v>
      </c>
    </row>
    <row r="5104" spans="1:10" x14ac:dyDescent="0.25">
      <c r="A5104" s="7" t="s">
        <v>10527</v>
      </c>
      <c r="B5104" s="8">
        <v>415.625</v>
      </c>
      <c r="C5104" s="8">
        <v>20.478950000000001</v>
      </c>
      <c r="D5104" s="8">
        <v>76</v>
      </c>
      <c r="E5104" s="8">
        <v>0</v>
      </c>
      <c r="F5104" s="8">
        <v>0</v>
      </c>
      <c r="G5104" s="8">
        <v>17</v>
      </c>
      <c r="H5104" s="8" t="s">
        <v>10528</v>
      </c>
      <c r="I5104" s="8">
        <v>533.0625</v>
      </c>
      <c r="J5104" s="3">
        <f t="shared" si="79"/>
        <v>43747.842570844907</v>
      </c>
    </row>
    <row r="5105" spans="1:10" x14ac:dyDescent="0.25">
      <c r="A5105" s="5" t="s">
        <v>10529</v>
      </c>
      <c r="B5105" s="6">
        <v>412.5</v>
      </c>
      <c r="C5105" s="6">
        <v>20.478950000000001</v>
      </c>
      <c r="D5105" s="6">
        <v>74</v>
      </c>
      <c r="E5105" s="6">
        <v>0</v>
      </c>
      <c r="F5105" s="6">
        <v>0</v>
      </c>
      <c r="G5105" s="6">
        <v>11</v>
      </c>
      <c r="H5105" s="6" t="s">
        <v>10530</v>
      </c>
      <c r="I5105" s="6">
        <v>532.3125</v>
      </c>
      <c r="J5105" s="2">
        <f t="shared" si="79"/>
        <v>43747.842654409724</v>
      </c>
    </row>
    <row r="5106" spans="1:10" x14ac:dyDescent="0.25">
      <c r="A5106" s="7" t="s">
        <v>10531</v>
      </c>
      <c r="B5106" s="8">
        <v>415.625</v>
      </c>
      <c r="C5106" s="8">
        <v>20.478950000000001</v>
      </c>
      <c r="D5106" s="8">
        <v>75</v>
      </c>
      <c r="E5106" s="8">
        <v>0</v>
      </c>
      <c r="F5106" s="8">
        <v>0</v>
      </c>
      <c r="G5106" s="8">
        <v>11</v>
      </c>
      <c r="H5106" s="8" t="s">
        <v>10532</v>
      </c>
      <c r="I5106" s="8">
        <v>533.0625</v>
      </c>
      <c r="J5106" s="3">
        <f t="shared" si="79"/>
        <v>43747.842737858795</v>
      </c>
    </row>
    <row r="5107" spans="1:10" x14ac:dyDescent="0.25">
      <c r="A5107" s="5" t="s">
        <v>10533</v>
      </c>
      <c r="B5107" s="6">
        <v>421.875</v>
      </c>
      <c r="C5107" s="6">
        <v>20.478950000000001</v>
      </c>
      <c r="D5107" s="6">
        <v>75</v>
      </c>
      <c r="E5107" s="6">
        <v>0</v>
      </c>
      <c r="F5107" s="6">
        <v>0</v>
      </c>
      <c r="G5107" s="6">
        <v>17</v>
      </c>
      <c r="H5107" s="6" t="s">
        <v>10534</v>
      </c>
      <c r="I5107" s="6">
        <v>535.6875</v>
      </c>
      <c r="J5107" s="2">
        <f t="shared" si="79"/>
        <v>43747.842821319442</v>
      </c>
    </row>
    <row r="5108" spans="1:10" x14ac:dyDescent="0.25">
      <c r="A5108" s="7" t="s">
        <v>10535</v>
      </c>
      <c r="B5108" s="8">
        <v>412.5</v>
      </c>
      <c r="C5108" s="8">
        <v>20.478950000000001</v>
      </c>
      <c r="D5108" s="8">
        <v>74</v>
      </c>
      <c r="E5108" s="8">
        <v>0</v>
      </c>
      <c r="F5108" s="8">
        <v>0</v>
      </c>
      <c r="G5108" s="8">
        <v>15</v>
      </c>
      <c r="H5108" s="8" t="s">
        <v>10536</v>
      </c>
      <c r="I5108" s="8">
        <v>532.3125</v>
      </c>
      <c r="J5108" s="3">
        <f t="shared" si="79"/>
        <v>43747.84289284722</v>
      </c>
    </row>
    <row r="5109" spans="1:10" x14ac:dyDescent="0.25">
      <c r="A5109" s="5" t="s">
        <v>10537</v>
      </c>
      <c r="B5109" s="6">
        <v>412.5</v>
      </c>
      <c r="C5109" s="6">
        <v>20.478950000000001</v>
      </c>
      <c r="D5109" s="6">
        <v>73</v>
      </c>
      <c r="E5109" s="6">
        <v>0</v>
      </c>
      <c r="F5109" s="6">
        <v>0</v>
      </c>
      <c r="G5109" s="6">
        <v>19</v>
      </c>
      <c r="H5109" s="6" t="s">
        <v>10538</v>
      </c>
      <c r="I5109" s="6">
        <v>532.5</v>
      </c>
      <c r="J5109" s="2">
        <f t="shared" si="79"/>
        <v>43747.842965081021</v>
      </c>
    </row>
    <row r="5110" spans="1:10" x14ac:dyDescent="0.25">
      <c r="A5110" s="7" t="s">
        <v>10539</v>
      </c>
      <c r="B5110" s="8">
        <v>412.5</v>
      </c>
      <c r="C5110" s="8">
        <v>20.478950000000001</v>
      </c>
      <c r="D5110" s="8">
        <v>74</v>
      </c>
      <c r="E5110" s="8">
        <v>0</v>
      </c>
      <c r="F5110" s="8">
        <v>0</v>
      </c>
      <c r="G5110" s="8">
        <v>11</v>
      </c>
      <c r="H5110" s="8" t="s">
        <v>10540</v>
      </c>
      <c r="I5110" s="8">
        <v>532.3125</v>
      </c>
      <c r="J5110" s="3">
        <f t="shared" si="79"/>
        <v>43747.843047951385</v>
      </c>
    </row>
    <row r="5111" spans="1:10" x14ac:dyDescent="0.25">
      <c r="A5111" s="5" t="s">
        <v>10541</v>
      </c>
      <c r="B5111" s="6">
        <v>415.625</v>
      </c>
      <c r="C5111" s="6">
        <v>20.478950000000001</v>
      </c>
      <c r="D5111" s="6">
        <v>73</v>
      </c>
      <c r="E5111" s="6">
        <v>0</v>
      </c>
      <c r="F5111" s="6">
        <v>0</v>
      </c>
      <c r="G5111" s="6">
        <v>19</v>
      </c>
      <c r="H5111" s="6" t="s">
        <v>10542</v>
      </c>
      <c r="I5111" s="6">
        <v>533.25</v>
      </c>
      <c r="J5111" s="2">
        <f t="shared" si="79"/>
        <v>43747.843119236109</v>
      </c>
    </row>
    <row r="5112" spans="1:10" x14ac:dyDescent="0.25">
      <c r="A5112" s="7" t="s">
        <v>10543</v>
      </c>
      <c r="B5112" s="8">
        <v>415.625</v>
      </c>
      <c r="C5112" s="8">
        <v>20.478950000000001</v>
      </c>
      <c r="D5112" s="8">
        <v>73</v>
      </c>
      <c r="E5112" s="8">
        <v>0</v>
      </c>
      <c r="F5112" s="8">
        <v>0</v>
      </c>
      <c r="G5112" s="8">
        <v>8</v>
      </c>
      <c r="H5112" s="8" t="s">
        <v>10544</v>
      </c>
      <c r="I5112" s="8">
        <v>533.0625</v>
      </c>
      <c r="J5112" s="3">
        <f t="shared" si="79"/>
        <v>43747.843218587957</v>
      </c>
    </row>
    <row r="5113" spans="1:10" x14ac:dyDescent="0.25">
      <c r="A5113" s="5" t="s">
        <v>10545</v>
      </c>
      <c r="B5113" s="6">
        <v>415.625</v>
      </c>
      <c r="C5113" s="6">
        <v>20.478950000000001</v>
      </c>
      <c r="D5113" s="6">
        <v>74</v>
      </c>
      <c r="E5113" s="6">
        <v>0</v>
      </c>
      <c r="F5113" s="6">
        <v>0</v>
      </c>
      <c r="G5113" s="6">
        <v>23</v>
      </c>
      <c r="H5113" s="6" t="s">
        <v>10546</v>
      </c>
      <c r="I5113" s="6">
        <v>533.0625</v>
      </c>
      <c r="J5113" s="2">
        <f t="shared" si="79"/>
        <v>43747.843310185184</v>
      </c>
    </row>
    <row r="5114" spans="1:10" x14ac:dyDescent="0.25">
      <c r="A5114" s="7" t="s">
        <v>10547</v>
      </c>
      <c r="B5114" s="8">
        <v>415.625</v>
      </c>
      <c r="C5114" s="8">
        <v>20.478950000000001</v>
      </c>
      <c r="D5114" s="8">
        <v>74</v>
      </c>
      <c r="E5114" s="8">
        <v>0</v>
      </c>
      <c r="F5114" s="8">
        <v>0</v>
      </c>
      <c r="G5114" s="8">
        <v>5</v>
      </c>
      <c r="H5114" s="8" t="s">
        <v>10548</v>
      </c>
      <c r="I5114" s="8">
        <v>533.0625</v>
      </c>
      <c r="J5114" s="3">
        <f t="shared" si="79"/>
        <v>43747.843393321753</v>
      </c>
    </row>
    <row r="5115" spans="1:10" x14ac:dyDescent="0.25">
      <c r="A5115" s="5" t="s">
        <v>10549</v>
      </c>
      <c r="B5115" s="6">
        <v>415.625</v>
      </c>
      <c r="C5115" s="6">
        <v>20.478950000000001</v>
      </c>
      <c r="D5115" s="6">
        <v>74</v>
      </c>
      <c r="E5115" s="6">
        <v>0</v>
      </c>
      <c r="F5115" s="6">
        <v>0</v>
      </c>
      <c r="G5115" s="6">
        <v>3</v>
      </c>
      <c r="H5115" s="6" t="s">
        <v>10550</v>
      </c>
      <c r="I5115" s="6">
        <v>533.0625</v>
      </c>
      <c r="J5115" s="2">
        <f t="shared" si="79"/>
        <v>43747.84346517361</v>
      </c>
    </row>
    <row r="5116" spans="1:10" x14ac:dyDescent="0.25">
      <c r="A5116" s="7" t="s">
        <v>10551</v>
      </c>
      <c r="B5116" s="8">
        <v>415.625</v>
      </c>
      <c r="C5116" s="8">
        <v>20.478950000000001</v>
      </c>
      <c r="D5116" s="8">
        <v>74</v>
      </c>
      <c r="E5116" s="8">
        <v>0</v>
      </c>
      <c r="F5116" s="8">
        <v>0</v>
      </c>
      <c r="G5116" s="8">
        <v>10</v>
      </c>
      <c r="H5116" s="8" t="s">
        <v>10552</v>
      </c>
      <c r="I5116" s="8">
        <v>533.0625</v>
      </c>
      <c r="J5116" s="3">
        <f t="shared" si="79"/>
        <v>43747.843536817127</v>
      </c>
    </row>
    <row r="5117" spans="1:10" x14ac:dyDescent="0.25">
      <c r="A5117" s="5" t="s">
        <v>10553</v>
      </c>
      <c r="B5117" s="6">
        <v>415.625</v>
      </c>
      <c r="C5117" s="6">
        <v>20.478950000000001</v>
      </c>
      <c r="D5117" s="6">
        <v>75</v>
      </c>
      <c r="E5117" s="6">
        <v>0</v>
      </c>
      <c r="F5117" s="6">
        <v>0</v>
      </c>
      <c r="G5117" s="6">
        <v>9</v>
      </c>
      <c r="H5117" s="6" t="s">
        <v>10554</v>
      </c>
      <c r="I5117" s="6">
        <v>533.0625</v>
      </c>
      <c r="J5117" s="2">
        <f t="shared" si="79"/>
        <v>43747.843620277774</v>
      </c>
    </row>
    <row r="5118" spans="1:10" x14ac:dyDescent="0.25">
      <c r="A5118" s="7" t="s">
        <v>10555</v>
      </c>
      <c r="B5118" s="8">
        <v>412.5</v>
      </c>
      <c r="C5118" s="8">
        <v>20.478950000000001</v>
      </c>
      <c r="D5118" s="8">
        <v>75</v>
      </c>
      <c r="E5118" s="8">
        <v>0</v>
      </c>
      <c r="F5118" s="8">
        <v>0</v>
      </c>
      <c r="G5118" s="8">
        <v>15</v>
      </c>
      <c r="H5118" s="8" t="s">
        <v>10556</v>
      </c>
      <c r="I5118" s="8">
        <v>532.3125</v>
      </c>
      <c r="J5118" s="3">
        <f t="shared" si="79"/>
        <v>43747.843703715276</v>
      </c>
    </row>
    <row r="5119" spans="1:10" x14ac:dyDescent="0.25">
      <c r="A5119" s="5" t="s">
        <v>10557</v>
      </c>
      <c r="B5119" s="6">
        <v>409.375</v>
      </c>
      <c r="C5119" s="6">
        <v>20.478950000000001</v>
      </c>
      <c r="D5119" s="6">
        <v>75</v>
      </c>
      <c r="E5119" s="6">
        <v>0</v>
      </c>
      <c r="F5119" s="6">
        <v>0</v>
      </c>
      <c r="G5119" s="6">
        <v>6</v>
      </c>
      <c r="H5119" s="6" t="s">
        <v>10558</v>
      </c>
      <c r="I5119" s="6">
        <v>531.5625</v>
      </c>
      <c r="J5119" s="2">
        <f t="shared" si="79"/>
        <v>43747.843787372687</v>
      </c>
    </row>
    <row r="5120" spans="1:10" x14ac:dyDescent="0.25">
      <c r="A5120" s="7" t="s">
        <v>10559</v>
      </c>
      <c r="B5120" s="8">
        <v>428.125</v>
      </c>
      <c r="C5120" s="8">
        <v>20.478950000000001</v>
      </c>
      <c r="D5120" s="8">
        <v>76</v>
      </c>
      <c r="E5120" s="8">
        <v>0</v>
      </c>
      <c r="F5120" s="8">
        <v>0</v>
      </c>
      <c r="G5120" s="8">
        <v>14</v>
      </c>
      <c r="H5120" s="8" t="s">
        <v>10560</v>
      </c>
      <c r="I5120" s="8">
        <v>537.375</v>
      </c>
      <c r="J5120" s="3">
        <f t="shared" si="79"/>
        <v>43747.843870844903</v>
      </c>
    </row>
    <row r="5121" spans="1:10" x14ac:dyDescent="0.25">
      <c r="A5121" s="5" t="s">
        <v>10561</v>
      </c>
      <c r="B5121" s="6">
        <v>409.375</v>
      </c>
      <c r="C5121" s="6">
        <v>20.478950000000001</v>
      </c>
      <c r="D5121" s="6">
        <v>76</v>
      </c>
      <c r="E5121" s="6">
        <v>0</v>
      </c>
      <c r="F5121" s="6">
        <v>0</v>
      </c>
      <c r="G5121" s="6">
        <v>12</v>
      </c>
      <c r="H5121" s="6" t="s">
        <v>10562</v>
      </c>
      <c r="I5121" s="6">
        <v>531.5625</v>
      </c>
      <c r="J5121" s="2">
        <f t="shared" si="79"/>
        <v>43747.843941678242</v>
      </c>
    </row>
    <row r="5122" spans="1:10" x14ac:dyDescent="0.25">
      <c r="A5122" s="7" t="s">
        <v>10563</v>
      </c>
      <c r="B5122" s="8">
        <v>406.25</v>
      </c>
      <c r="C5122" s="8">
        <v>20.478950000000001</v>
      </c>
      <c r="D5122" s="8">
        <v>77</v>
      </c>
      <c r="E5122" s="8">
        <v>0</v>
      </c>
      <c r="F5122" s="8">
        <v>0</v>
      </c>
      <c r="G5122" s="8">
        <v>17</v>
      </c>
      <c r="H5122" s="8" t="s">
        <v>10564</v>
      </c>
      <c r="I5122" s="8">
        <v>530.8125</v>
      </c>
      <c r="J5122" s="3">
        <f t="shared" ref="J5122:J5185" si="80">(H5122/86400000)+25569+(7/24)</f>
        <v>43747.844013807866</v>
      </c>
    </row>
    <row r="5123" spans="1:10" x14ac:dyDescent="0.25">
      <c r="A5123" s="5" t="s">
        <v>10565</v>
      </c>
      <c r="B5123" s="6">
        <v>406.25</v>
      </c>
      <c r="C5123" s="6">
        <v>20.478950000000001</v>
      </c>
      <c r="D5123" s="6">
        <v>76</v>
      </c>
      <c r="E5123" s="6">
        <v>0</v>
      </c>
      <c r="F5123" s="6">
        <v>0</v>
      </c>
      <c r="G5123" s="6">
        <v>12</v>
      </c>
      <c r="H5123" s="6" t="s">
        <v>10566</v>
      </c>
      <c r="I5123" s="6">
        <v>530.8125</v>
      </c>
      <c r="J5123" s="2">
        <f t="shared" si="80"/>
        <v>43747.8441092824</v>
      </c>
    </row>
    <row r="5124" spans="1:10" x14ac:dyDescent="0.25">
      <c r="A5124" s="7" t="s">
        <v>10567</v>
      </c>
      <c r="B5124" s="8">
        <v>406.25</v>
      </c>
      <c r="C5124" s="8">
        <v>20.478950000000001</v>
      </c>
      <c r="D5124" s="8">
        <v>76</v>
      </c>
      <c r="E5124" s="8">
        <v>0</v>
      </c>
      <c r="F5124" s="8">
        <v>0</v>
      </c>
      <c r="G5124" s="8">
        <v>9</v>
      </c>
      <c r="H5124" s="8" t="s">
        <v>10568</v>
      </c>
      <c r="I5124" s="8">
        <v>530.625</v>
      </c>
      <c r="J5124" s="3">
        <f t="shared" si="80"/>
        <v>43747.844192708326</v>
      </c>
    </row>
    <row r="5125" spans="1:10" x14ac:dyDescent="0.25">
      <c r="A5125" s="5" t="s">
        <v>10569</v>
      </c>
      <c r="B5125" s="6">
        <v>406.25</v>
      </c>
      <c r="C5125" s="6">
        <v>20.478950000000001</v>
      </c>
      <c r="D5125" s="6">
        <v>73</v>
      </c>
      <c r="E5125" s="6">
        <v>0</v>
      </c>
      <c r="F5125" s="6">
        <v>0</v>
      </c>
      <c r="G5125" s="6">
        <v>6</v>
      </c>
      <c r="H5125" s="6" t="s">
        <v>10570</v>
      </c>
      <c r="I5125" s="6">
        <v>530.625</v>
      </c>
      <c r="J5125" s="2">
        <f t="shared" si="80"/>
        <v>43747.844276180556</v>
      </c>
    </row>
    <row r="5126" spans="1:10" x14ac:dyDescent="0.25">
      <c r="A5126" s="7" t="s">
        <v>10571</v>
      </c>
      <c r="B5126" s="8">
        <v>403.125</v>
      </c>
      <c r="C5126" s="8">
        <v>20.478950000000001</v>
      </c>
      <c r="D5126" s="8">
        <v>74</v>
      </c>
      <c r="E5126" s="8">
        <v>0</v>
      </c>
      <c r="F5126" s="8">
        <v>0</v>
      </c>
      <c r="G5126" s="8">
        <v>9</v>
      </c>
      <c r="H5126" s="8" t="s">
        <v>10572</v>
      </c>
      <c r="I5126" s="8">
        <v>529.875</v>
      </c>
      <c r="J5126" s="3">
        <f t="shared" si="80"/>
        <v>43747.844347685183</v>
      </c>
    </row>
    <row r="5127" spans="1:10" x14ac:dyDescent="0.25">
      <c r="A5127" s="5" t="s">
        <v>10573</v>
      </c>
      <c r="B5127" s="6">
        <v>403.125</v>
      </c>
      <c r="C5127" s="6">
        <v>20.478950000000001</v>
      </c>
      <c r="D5127" s="6">
        <v>76</v>
      </c>
      <c r="E5127" s="6">
        <v>0</v>
      </c>
      <c r="F5127" s="6">
        <v>0</v>
      </c>
      <c r="G5127" s="6">
        <v>5</v>
      </c>
      <c r="H5127" s="6" t="s">
        <v>10574</v>
      </c>
      <c r="I5127" s="6">
        <v>529.875</v>
      </c>
      <c r="J5127" s="2">
        <f t="shared" si="80"/>
        <v>43747.844430925928</v>
      </c>
    </row>
    <row r="5128" spans="1:10" x14ac:dyDescent="0.25">
      <c r="A5128" s="7" t="s">
        <v>10575</v>
      </c>
      <c r="B5128" s="8">
        <v>425</v>
      </c>
      <c r="C5128" s="8">
        <v>20.478950000000001</v>
      </c>
      <c r="D5128" s="8">
        <v>76</v>
      </c>
      <c r="E5128" s="8">
        <v>0</v>
      </c>
      <c r="F5128" s="8">
        <v>0</v>
      </c>
      <c r="G5128" s="8">
        <v>20</v>
      </c>
      <c r="H5128" s="8" t="s">
        <v>10576</v>
      </c>
      <c r="I5128" s="8">
        <v>536.4375</v>
      </c>
      <c r="J5128" s="3">
        <f t="shared" si="80"/>
        <v>43747.84450284722</v>
      </c>
    </row>
    <row r="5129" spans="1:10" x14ac:dyDescent="0.25">
      <c r="A5129" s="5" t="s">
        <v>10577</v>
      </c>
      <c r="B5129" s="6">
        <v>406.25</v>
      </c>
      <c r="C5129" s="6">
        <v>20.478950000000001</v>
      </c>
      <c r="D5129" s="6">
        <v>76</v>
      </c>
      <c r="E5129" s="6">
        <v>0</v>
      </c>
      <c r="F5129" s="6">
        <v>0</v>
      </c>
      <c r="G5129" s="6">
        <v>16</v>
      </c>
      <c r="H5129" s="6" t="s">
        <v>10578</v>
      </c>
      <c r="I5129" s="6">
        <v>530.625</v>
      </c>
      <c r="J5129" s="2">
        <f t="shared" si="80"/>
        <v>43747.844585995372</v>
      </c>
    </row>
    <row r="5130" spans="1:10" x14ac:dyDescent="0.25">
      <c r="A5130" s="7" t="s">
        <v>10579</v>
      </c>
      <c r="B5130" s="8">
        <v>406.25</v>
      </c>
      <c r="C5130" s="8">
        <v>20.478950000000001</v>
      </c>
      <c r="D5130" s="8">
        <v>76</v>
      </c>
      <c r="E5130" s="8">
        <v>0</v>
      </c>
      <c r="F5130" s="8">
        <v>0</v>
      </c>
      <c r="G5130" s="8">
        <v>5</v>
      </c>
      <c r="H5130" s="8" t="s">
        <v>10580</v>
      </c>
      <c r="I5130" s="8">
        <v>530.8125</v>
      </c>
      <c r="J5130" s="3">
        <f t="shared" si="80"/>
        <v>43747.844657662034</v>
      </c>
    </row>
    <row r="5131" spans="1:10" x14ac:dyDescent="0.25">
      <c r="A5131" s="5" t="s">
        <v>10581</v>
      </c>
      <c r="B5131" s="6">
        <v>434.375</v>
      </c>
      <c r="C5131" s="6">
        <v>20.478950000000001</v>
      </c>
      <c r="D5131" s="6">
        <v>77</v>
      </c>
      <c r="E5131" s="6">
        <v>0</v>
      </c>
      <c r="F5131" s="6">
        <v>0</v>
      </c>
      <c r="G5131" s="6">
        <v>13</v>
      </c>
      <c r="H5131" s="6" t="s">
        <v>10582</v>
      </c>
      <c r="I5131" s="6">
        <v>539.625</v>
      </c>
      <c r="J5131" s="2">
        <f t="shared" si="80"/>
        <v>43747.844741226851</v>
      </c>
    </row>
    <row r="5132" spans="1:10" x14ac:dyDescent="0.25">
      <c r="A5132" s="7" t="s">
        <v>10583</v>
      </c>
      <c r="B5132" s="8">
        <v>406.25</v>
      </c>
      <c r="C5132" s="8">
        <v>20.478950000000001</v>
      </c>
      <c r="D5132" s="8">
        <v>77</v>
      </c>
      <c r="E5132" s="8">
        <v>0</v>
      </c>
      <c r="F5132" s="8">
        <v>0</v>
      </c>
      <c r="G5132" s="8">
        <v>14</v>
      </c>
      <c r="H5132" s="8" t="s">
        <v>10584</v>
      </c>
      <c r="I5132" s="8">
        <v>530.625</v>
      </c>
      <c r="J5132" s="3">
        <f t="shared" si="80"/>
        <v>43747.844824768516</v>
      </c>
    </row>
    <row r="5133" spans="1:10" x14ac:dyDescent="0.25">
      <c r="A5133" s="5" t="s">
        <v>10585</v>
      </c>
      <c r="B5133" s="6">
        <v>406.25</v>
      </c>
      <c r="C5133" s="6">
        <v>20.478950000000001</v>
      </c>
      <c r="D5133" s="6">
        <v>76</v>
      </c>
      <c r="E5133" s="6">
        <v>0</v>
      </c>
      <c r="F5133" s="6">
        <v>0</v>
      </c>
      <c r="G5133" s="6">
        <v>18</v>
      </c>
      <c r="H5133" s="6" t="s">
        <v>10586</v>
      </c>
      <c r="I5133" s="6">
        <v>530.8125</v>
      </c>
      <c r="J5133" s="2">
        <f t="shared" si="80"/>
        <v>43747.844908252308</v>
      </c>
    </row>
    <row r="5134" spans="1:10" x14ac:dyDescent="0.25">
      <c r="A5134" s="7" t="s">
        <v>10587</v>
      </c>
      <c r="B5134" s="8">
        <v>406.25</v>
      </c>
      <c r="C5134" s="8">
        <v>20.478950000000001</v>
      </c>
      <c r="D5134" s="8">
        <v>75</v>
      </c>
      <c r="E5134" s="8">
        <v>0</v>
      </c>
      <c r="F5134" s="8">
        <v>0</v>
      </c>
      <c r="G5134" s="8">
        <v>8</v>
      </c>
      <c r="H5134" s="8" t="s">
        <v>10588</v>
      </c>
      <c r="I5134" s="8">
        <v>530.8125</v>
      </c>
      <c r="J5134" s="3">
        <f t="shared" si="80"/>
        <v>43747.844995937499</v>
      </c>
    </row>
    <row r="5135" spans="1:10" x14ac:dyDescent="0.25">
      <c r="A5135" s="5" t="s">
        <v>10589</v>
      </c>
      <c r="B5135" s="6">
        <v>406.25</v>
      </c>
      <c r="C5135" s="6">
        <v>20.478950000000001</v>
      </c>
      <c r="D5135" s="6">
        <v>75</v>
      </c>
      <c r="E5135" s="6">
        <v>0</v>
      </c>
      <c r="F5135" s="6">
        <v>0</v>
      </c>
      <c r="G5135" s="6">
        <v>18</v>
      </c>
      <c r="H5135" s="6" t="s">
        <v>10590</v>
      </c>
      <c r="I5135" s="6">
        <v>530.8125</v>
      </c>
      <c r="J5135" s="2">
        <f t="shared" si="80"/>
        <v>43747.845074895835</v>
      </c>
    </row>
    <row r="5136" spans="1:10" x14ac:dyDescent="0.25">
      <c r="A5136" s="7" t="s">
        <v>10591</v>
      </c>
      <c r="B5136" s="8">
        <v>409.375</v>
      </c>
      <c r="C5136" s="8">
        <v>20.478950000000001</v>
      </c>
      <c r="D5136" s="8">
        <v>75</v>
      </c>
      <c r="E5136" s="8">
        <v>0</v>
      </c>
      <c r="F5136" s="8">
        <v>0</v>
      </c>
      <c r="G5136" s="8">
        <v>10</v>
      </c>
      <c r="H5136" s="8" t="s">
        <v>10592</v>
      </c>
      <c r="I5136" s="8">
        <v>531.5625</v>
      </c>
      <c r="J5136" s="3">
        <f t="shared" si="80"/>
        <v>43747.845146539352</v>
      </c>
    </row>
    <row r="5137" spans="1:10" x14ac:dyDescent="0.25">
      <c r="A5137" s="5" t="s">
        <v>10593</v>
      </c>
      <c r="B5137" s="6">
        <v>406.25</v>
      </c>
      <c r="C5137" s="6">
        <v>20.478950000000001</v>
      </c>
      <c r="D5137" s="6">
        <v>73</v>
      </c>
      <c r="E5137" s="6">
        <v>0</v>
      </c>
      <c r="F5137" s="6">
        <v>0</v>
      </c>
      <c r="G5137" s="6">
        <v>1</v>
      </c>
      <c r="H5137" s="6" t="s">
        <v>10594</v>
      </c>
      <c r="I5137" s="6">
        <v>530.625</v>
      </c>
      <c r="J5137" s="2">
        <f t="shared" si="80"/>
        <v>43747.845230219908</v>
      </c>
    </row>
    <row r="5138" spans="1:10" x14ac:dyDescent="0.25">
      <c r="A5138" s="7" t="s">
        <v>10595</v>
      </c>
      <c r="B5138" s="8">
        <v>406.25</v>
      </c>
      <c r="C5138" s="8">
        <v>20.478950000000001</v>
      </c>
      <c r="D5138" s="8">
        <v>73</v>
      </c>
      <c r="E5138" s="8">
        <v>0</v>
      </c>
      <c r="F5138" s="8">
        <v>0</v>
      </c>
      <c r="G5138" s="8">
        <v>17</v>
      </c>
      <c r="H5138" s="8" t="s">
        <v>10596</v>
      </c>
      <c r="I5138" s="8">
        <v>530.625</v>
      </c>
      <c r="J5138" s="3">
        <f t="shared" si="80"/>
        <v>43747.845313680555</v>
      </c>
    </row>
    <row r="5139" spans="1:10" x14ac:dyDescent="0.25">
      <c r="A5139" s="5" t="s">
        <v>10597</v>
      </c>
      <c r="B5139" s="6">
        <v>406.25</v>
      </c>
      <c r="C5139" s="6">
        <v>20.478950000000001</v>
      </c>
      <c r="D5139" s="6">
        <v>74</v>
      </c>
      <c r="E5139" s="6">
        <v>0</v>
      </c>
      <c r="F5139" s="6">
        <v>0</v>
      </c>
      <c r="G5139" s="6">
        <v>8</v>
      </c>
      <c r="H5139" s="6" t="s">
        <v>10598</v>
      </c>
      <c r="I5139" s="6">
        <v>530.625</v>
      </c>
      <c r="J5139" s="2">
        <f t="shared" si="80"/>
        <v>43747.845397106481</v>
      </c>
    </row>
    <row r="5140" spans="1:10" x14ac:dyDescent="0.25">
      <c r="A5140" s="7" t="s">
        <v>10599</v>
      </c>
      <c r="B5140" s="8">
        <v>409.375</v>
      </c>
      <c r="C5140" s="8">
        <v>20.478950000000001</v>
      </c>
      <c r="D5140" s="8">
        <v>74</v>
      </c>
      <c r="E5140" s="8">
        <v>0</v>
      </c>
      <c r="F5140" s="8">
        <v>0</v>
      </c>
      <c r="G5140" s="8">
        <v>13</v>
      </c>
      <c r="H5140" s="8" t="s">
        <v>10600</v>
      </c>
      <c r="I5140" s="8">
        <v>531.5625</v>
      </c>
      <c r="J5140" s="3">
        <f t="shared" si="80"/>
        <v>43747.84548059028</v>
      </c>
    </row>
    <row r="5141" spans="1:10" x14ac:dyDescent="0.25">
      <c r="A5141" s="5" t="s">
        <v>10601</v>
      </c>
      <c r="B5141" s="6">
        <v>409.375</v>
      </c>
      <c r="C5141" s="6">
        <v>20.478950000000001</v>
      </c>
      <c r="D5141" s="6">
        <v>74</v>
      </c>
      <c r="E5141" s="6">
        <v>0</v>
      </c>
      <c r="F5141" s="6">
        <v>0</v>
      </c>
      <c r="G5141" s="6">
        <v>7</v>
      </c>
      <c r="H5141" s="6" t="s">
        <v>10602</v>
      </c>
      <c r="I5141" s="6">
        <v>531.5625</v>
      </c>
      <c r="J5141" s="2">
        <f t="shared" si="80"/>
        <v>43747.845563877308</v>
      </c>
    </row>
    <row r="5142" spans="1:10" x14ac:dyDescent="0.25">
      <c r="A5142" s="7" t="s">
        <v>10603</v>
      </c>
      <c r="B5142" s="8">
        <v>409.375</v>
      </c>
      <c r="C5142" s="8">
        <v>20.478950000000001</v>
      </c>
      <c r="D5142" s="8">
        <v>74</v>
      </c>
      <c r="E5142" s="8">
        <v>0</v>
      </c>
      <c r="F5142" s="8">
        <v>0</v>
      </c>
      <c r="G5142" s="8">
        <v>15</v>
      </c>
      <c r="H5142" s="8" t="s">
        <v>10604</v>
      </c>
      <c r="I5142" s="8">
        <v>531.5625</v>
      </c>
      <c r="J5142" s="3">
        <f t="shared" si="80"/>
        <v>43747.845635428239</v>
      </c>
    </row>
    <row r="5143" spans="1:10" x14ac:dyDescent="0.25">
      <c r="A5143" s="5" t="s">
        <v>10605</v>
      </c>
      <c r="B5143" s="6">
        <v>409.375</v>
      </c>
      <c r="C5143" s="6">
        <v>20.478950000000001</v>
      </c>
      <c r="D5143" s="6">
        <v>74</v>
      </c>
      <c r="E5143" s="6">
        <v>0</v>
      </c>
      <c r="F5143" s="6">
        <v>0</v>
      </c>
      <c r="G5143" s="6">
        <v>11</v>
      </c>
      <c r="H5143" s="6" t="s">
        <v>10606</v>
      </c>
      <c r="I5143" s="6">
        <v>531.5625</v>
      </c>
      <c r="J5143" s="2">
        <f t="shared" si="80"/>
        <v>43747.845719351848</v>
      </c>
    </row>
    <row r="5144" spans="1:10" x14ac:dyDescent="0.25">
      <c r="A5144" s="7" t="s">
        <v>10607</v>
      </c>
      <c r="B5144" s="8">
        <v>406.25</v>
      </c>
      <c r="C5144" s="8">
        <v>20.478950000000001</v>
      </c>
      <c r="D5144" s="8">
        <v>75</v>
      </c>
      <c r="E5144" s="8">
        <v>0</v>
      </c>
      <c r="F5144" s="8">
        <v>0</v>
      </c>
      <c r="G5144" s="8">
        <v>12</v>
      </c>
      <c r="H5144" s="8" t="s">
        <v>10608</v>
      </c>
      <c r="I5144" s="8">
        <v>530.625</v>
      </c>
      <c r="J5144" s="3">
        <f t="shared" si="80"/>
        <v>43747.845790648142</v>
      </c>
    </row>
    <row r="5145" spans="1:10" x14ac:dyDescent="0.25">
      <c r="A5145" s="5" t="s">
        <v>10609</v>
      </c>
      <c r="B5145" s="6">
        <v>406.25</v>
      </c>
      <c r="C5145" s="6">
        <v>20.478950000000001</v>
      </c>
      <c r="D5145" s="6">
        <v>75</v>
      </c>
      <c r="E5145" s="6">
        <v>0</v>
      </c>
      <c r="F5145" s="6">
        <v>0</v>
      </c>
      <c r="G5145" s="6">
        <v>8</v>
      </c>
      <c r="H5145" s="6" t="s">
        <v>10610</v>
      </c>
      <c r="I5145" s="6">
        <v>530.625</v>
      </c>
      <c r="J5145" s="2">
        <f t="shared" si="80"/>
        <v>43747.845874201383</v>
      </c>
    </row>
    <row r="5146" spans="1:10" x14ac:dyDescent="0.25">
      <c r="A5146" s="7" t="s">
        <v>10611</v>
      </c>
      <c r="B5146" s="8">
        <v>406.25</v>
      </c>
      <c r="C5146" s="8">
        <v>20.478950000000001</v>
      </c>
      <c r="D5146" s="8">
        <v>75</v>
      </c>
      <c r="E5146" s="8">
        <v>0</v>
      </c>
      <c r="F5146" s="8">
        <v>0</v>
      </c>
      <c r="G5146" s="8">
        <v>17</v>
      </c>
      <c r="H5146" s="8" t="s">
        <v>10612</v>
      </c>
      <c r="I5146" s="8">
        <v>530.625</v>
      </c>
      <c r="J5146" s="3">
        <f t="shared" si="80"/>
        <v>43747.845970162038</v>
      </c>
    </row>
    <row r="5147" spans="1:10" x14ac:dyDescent="0.25">
      <c r="A5147" s="5" t="s">
        <v>10613</v>
      </c>
      <c r="B5147" s="6">
        <v>412.5</v>
      </c>
      <c r="C5147" s="6">
        <v>20.478950000000001</v>
      </c>
      <c r="D5147" s="6">
        <v>75</v>
      </c>
      <c r="E5147" s="6">
        <v>0</v>
      </c>
      <c r="F5147" s="6">
        <v>0</v>
      </c>
      <c r="G5147" s="6">
        <v>19</v>
      </c>
      <c r="H5147" s="6" t="s">
        <v>10614</v>
      </c>
      <c r="I5147" s="6">
        <v>532.3125</v>
      </c>
      <c r="J5147" s="2">
        <f t="shared" si="80"/>
        <v>43747.846052696761</v>
      </c>
    </row>
    <row r="5148" spans="1:10" x14ac:dyDescent="0.25">
      <c r="A5148" s="7" t="s">
        <v>10615</v>
      </c>
      <c r="B5148" s="8">
        <v>412.5</v>
      </c>
      <c r="C5148" s="8">
        <v>20.478950000000001</v>
      </c>
      <c r="D5148" s="8">
        <v>75</v>
      </c>
      <c r="E5148" s="8">
        <v>0</v>
      </c>
      <c r="F5148" s="8">
        <v>0</v>
      </c>
      <c r="G5148" s="8">
        <v>13</v>
      </c>
      <c r="H5148" s="8" t="s">
        <v>10616</v>
      </c>
      <c r="I5148" s="8">
        <v>532.3125</v>
      </c>
      <c r="J5148" s="3">
        <f t="shared" si="80"/>
        <v>43747.846124328702</v>
      </c>
    </row>
    <row r="5149" spans="1:10" x14ac:dyDescent="0.25">
      <c r="A5149" s="5" t="s">
        <v>10617</v>
      </c>
      <c r="B5149" s="6">
        <v>412.5</v>
      </c>
      <c r="C5149" s="6">
        <v>20.478950000000001</v>
      </c>
      <c r="D5149" s="6">
        <v>75</v>
      </c>
      <c r="E5149" s="6">
        <v>0</v>
      </c>
      <c r="F5149" s="6">
        <v>0</v>
      </c>
      <c r="G5149" s="6">
        <v>13</v>
      </c>
      <c r="H5149" s="6" t="s">
        <v>10618</v>
      </c>
      <c r="I5149" s="6">
        <v>532.3125</v>
      </c>
      <c r="J5149" s="2">
        <f t="shared" si="80"/>
        <v>43747.846208240742</v>
      </c>
    </row>
    <row r="5150" spans="1:10" x14ac:dyDescent="0.25">
      <c r="A5150" s="7" t="s">
        <v>10619</v>
      </c>
      <c r="B5150" s="8">
        <v>412.5</v>
      </c>
      <c r="C5150" s="8">
        <v>20.478950000000001</v>
      </c>
      <c r="D5150" s="8">
        <v>75</v>
      </c>
      <c r="E5150" s="8">
        <v>0</v>
      </c>
      <c r="F5150" s="8">
        <v>0</v>
      </c>
      <c r="G5150" s="8">
        <v>14</v>
      </c>
      <c r="H5150" s="8" t="s">
        <v>10620</v>
      </c>
      <c r="I5150" s="8">
        <v>532.3125</v>
      </c>
      <c r="J5150" s="3">
        <f t="shared" si="80"/>
        <v>43747.846291469905</v>
      </c>
    </row>
    <row r="5151" spans="1:10" x14ac:dyDescent="0.25">
      <c r="A5151" s="5" t="s">
        <v>10621</v>
      </c>
      <c r="B5151" s="6">
        <v>428.125</v>
      </c>
      <c r="C5151" s="6">
        <v>20.478950000000001</v>
      </c>
      <c r="D5151" s="6">
        <v>76</v>
      </c>
      <c r="E5151" s="6">
        <v>0</v>
      </c>
      <c r="F5151" s="6">
        <v>0</v>
      </c>
      <c r="G5151" s="6">
        <v>8</v>
      </c>
      <c r="H5151" s="6" t="s">
        <v>10622</v>
      </c>
      <c r="I5151" s="6">
        <v>537.9375</v>
      </c>
      <c r="J5151" s="2">
        <f t="shared" si="80"/>
        <v>43747.846374791661</v>
      </c>
    </row>
    <row r="5152" spans="1:10" x14ac:dyDescent="0.25">
      <c r="A5152" s="7" t="s">
        <v>10623</v>
      </c>
      <c r="B5152" s="8">
        <v>415.625</v>
      </c>
      <c r="C5152" s="8">
        <v>20.478950000000001</v>
      </c>
      <c r="D5152" s="8">
        <v>74</v>
      </c>
      <c r="E5152" s="8">
        <v>0</v>
      </c>
      <c r="F5152" s="8">
        <v>0</v>
      </c>
      <c r="G5152" s="8">
        <v>20</v>
      </c>
      <c r="H5152" s="8" t="s">
        <v>10624</v>
      </c>
      <c r="I5152" s="8">
        <v>533.25</v>
      </c>
      <c r="J5152" s="3">
        <f t="shared" si="80"/>
        <v>43747.846458379623</v>
      </c>
    </row>
    <row r="5153" spans="1:10" x14ac:dyDescent="0.25">
      <c r="A5153" s="5" t="s">
        <v>10625</v>
      </c>
      <c r="B5153" s="6">
        <v>415.625</v>
      </c>
      <c r="C5153" s="6">
        <v>20.478950000000001</v>
      </c>
      <c r="D5153" s="6">
        <v>73</v>
      </c>
      <c r="E5153" s="6">
        <v>0</v>
      </c>
      <c r="F5153" s="6">
        <v>0</v>
      </c>
      <c r="G5153" s="6">
        <v>17</v>
      </c>
      <c r="H5153" s="6" t="s">
        <v>10626</v>
      </c>
      <c r="I5153" s="6">
        <v>533.0625</v>
      </c>
      <c r="J5153" s="2">
        <f t="shared" si="80"/>
        <v>43747.846529918977</v>
      </c>
    </row>
    <row r="5154" spans="1:10" x14ac:dyDescent="0.25">
      <c r="A5154" s="7" t="s">
        <v>10627</v>
      </c>
      <c r="B5154" s="8">
        <v>412.5</v>
      </c>
      <c r="C5154" s="8">
        <v>20.478950000000001</v>
      </c>
      <c r="D5154" s="8">
        <v>74</v>
      </c>
      <c r="E5154" s="8">
        <v>0</v>
      </c>
      <c r="F5154" s="8">
        <v>0</v>
      </c>
      <c r="G5154" s="8">
        <v>16</v>
      </c>
      <c r="H5154" s="8" t="s">
        <v>10628</v>
      </c>
      <c r="I5154" s="8">
        <v>532.3125</v>
      </c>
      <c r="J5154" s="3">
        <f t="shared" si="80"/>
        <v>43747.84661346065</v>
      </c>
    </row>
    <row r="5155" spans="1:10" x14ac:dyDescent="0.25">
      <c r="A5155" s="5" t="s">
        <v>10629</v>
      </c>
      <c r="B5155" s="6">
        <v>412.5</v>
      </c>
      <c r="C5155" s="6">
        <v>20.478950000000001</v>
      </c>
      <c r="D5155" s="6">
        <v>73</v>
      </c>
      <c r="E5155" s="6">
        <v>0</v>
      </c>
      <c r="F5155" s="6">
        <v>0</v>
      </c>
      <c r="G5155" s="6">
        <v>3</v>
      </c>
      <c r="H5155" s="6" t="s">
        <v>10630</v>
      </c>
      <c r="I5155" s="6">
        <v>532.3125</v>
      </c>
      <c r="J5155" s="2">
        <f t="shared" si="80"/>
        <v>43747.846697013891</v>
      </c>
    </row>
    <row r="5156" spans="1:10" x14ac:dyDescent="0.25">
      <c r="A5156" s="7" t="s">
        <v>10631</v>
      </c>
      <c r="B5156" s="8">
        <v>428.125</v>
      </c>
      <c r="C5156" s="8">
        <v>20.478950000000001</v>
      </c>
      <c r="D5156" s="8">
        <v>73</v>
      </c>
      <c r="E5156" s="8">
        <v>0</v>
      </c>
      <c r="F5156" s="8">
        <v>0</v>
      </c>
      <c r="G5156" s="8">
        <v>11</v>
      </c>
      <c r="H5156" s="8" t="s">
        <v>10632</v>
      </c>
      <c r="I5156" s="8">
        <v>537.375</v>
      </c>
      <c r="J5156" s="3">
        <f t="shared" si="80"/>
        <v>43747.846780370368</v>
      </c>
    </row>
    <row r="5157" spans="1:10" x14ac:dyDescent="0.25">
      <c r="A5157" s="5" t="s">
        <v>10633</v>
      </c>
      <c r="B5157" s="6">
        <v>406.25</v>
      </c>
      <c r="C5157" s="6">
        <v>20.478950000000001</v>
      </c>
      <c r="D5157" s="6">
        <v>75</v>
      </c>
      <c r="E5157" s="6">
        <v>0</v>
      </c>
      <c r="F5157" s="6">
        <v>0</v>
      </c>
      <c r="G5157" s="6">
        <v>18</v>
      </c>
      <c r="H5157" s="6" t="s">
        <v>10634</v>
      </c>
      <c r="I5157" s="6">
        <v>530.8125</v>
      </c>
      <c r="J5157" s="2">
        <f t="shared" si="80"/>
        <v>43747.846863692124</v>
      </c>
    </row>
    <row r="5158" spans="1:10" x14ac:dyDescent="0.25">
      <c r="A5158" s="7" t="s">
        <v>10635</v>
      </c>
      <c r="B5158" s="8">
        <v>406.25</v>
      </c>
      <c r="C5158" s="8">
        <v>20.478950000000001</v>
      </c>
      <c r="D5158" s="8">
        <v>75</v>
      </c>
      <c r="E5158" s="8">
        <v>0</v>
      </c>
      <c r="F5158" s="8">
        <v>0</v>
      </c>
      <c r="G5158" s="8">
        <v>10</v>
      </c>
      <c r="H5158" s="8" t="s">
        <v>10636</v>
      </c>
      <c r="I5158" s="8">
        <v>530.625</v>
      </c>
      <c r="J5158" s="3">
        <f t="shared" si="80"/>
        <v>43747.846935451387</v>
      </c>
    </row>
    <row r="5159" spans="1:10" x14ac:dyDescent="0.25">
      <c r="A5159" s="5" t="s">
        <v>10637</v>
      </c>
      <c r="B5159" s="6">
        <v>406.25</v>
      </c>
      <c r="C5159" s="6">
        <v>20.478950000000001</v>
      </c>
      <c r="D5159" s="6">
        <v>73</v>
      </c>
      <c r="E5159" s="6">
        <v>0</v>
      </c>
      <c r="F5159" s="6">
        <v>0</v>
      </c>
      <c r="G5159" s="6">
        <v>19</v>
      </c>
      <c r="H5159" s="6" t="s">
        <v>10638</v>
      </c>
      <c r="I5159" s="6">
        <v>530.625</v>
      </c>
      <c r="J5159" s="2">
        <f t="shared" si="80"/>
        <v>43747.847018900466</v>
      </c>
    </row>
    <row r="5160" spans="1:10" x14ac:dyDescent="0.25">
      <c r="A5160" s="7" t="s">
        <v>10639</v>
      </c>
      <c r="B5160" s="8">
        <v>403.125</v>
      </c>
      <c r="C5160" s="8">
        <v>20.478950000000001</v>
      </c>
      <c r="D5160" s="8">
        <v>71</v>
      </c>
      <c r="E5160" s="8">
        <v>0</v>
      </c>
      <c r="F5160" s="8">
        <v>0</v>
      </c>
      <c r="G5160" s="8">
        <v>5</v>
      </c>
      <c r="H5160" s="8" t="s">
        <v>10640</v>
      </c>
      <c r="I5160" s="8">
        <v>529.875</v>
      </c>
      <c r="J5160" s="3">
        <f t="shared" si="80"/>
        <v>43747.847102361113</v>
      </c>
    </row>
    <row r="5161" spans="1:10" x14ac:dyDescent="0.25">
      <c r="A5161" s="5" t="s">
        <v>10641</v>
      </c>
      <c r="B5161" s="6">
        <v>421.875</v>
      </c>
      <c r="C5161" s="6">
        <v>20.478950000000001</v>
      </c>
      <c r="D5161" s="6">
        <v>72</v>
      </c>
      <c r="E5161" s="6">
        <v>0</v>
      </c>
      <c r="F5161" s="6">
        <v>0</v>
      </c>
      <c r="G5161" s="6">
        <v>9</v>
      </c>
      <c r="H5161" s="6" t="s">
        <v>10642</v>
      </c>
      <c r="I5161" s="6">
        <v>535.125</v>
      </c>
      <c r="J5161" s="2">
        <f t="shared" si="80"/>
        <v>43747.847185914354</v>
      </c>
    </row>
    <row r="5162" spans="1:10" x14ac:dyDescent="0.25">
      <c r="A5162" s="7" t="s">
        <v>10643</v>
      </c>
      <c r="B5162" s="8">
        <v>403.125</v>
      </c>
      <c r="C5162" s="8">
        <v>20.478950000000001</v>
      </c>
      <c r="D5162" s="8">
        <v>73</v>
      </c>
      <c r="E5162" s="8">
        <v>0</v>
      </c>
      <c r="F5162" s="8">
        <v>0</v>
      </c>
      <c r="G5162" s="8">
        <v>12</v>
      </c>
      <c r="H5162" s="8" t="s">
        <v>10644</v>
      </c>
      <c r="I5162" s="8">
        <v>529.875</v>
      </c>
      <c r="J5162" s="3">
        <f t="shared" si="80"/>
        <v>43747.847269351849</v>
      </c>
    </row>
    <row r="5163" spans="1:10" x14ac:dyDescent="0.25">
      <c r="A5163" s="5" t="s">
        <v>10645</v>
      </c>
      <c r="B5163" s="6">
        <v>403.125</v>
      </c>
      <c r="C5163" s="6">
        <v>20.478950000000001</v>
      </c>
      <c r="D5163" s="6">
        <v>72</v>
      </c>
      <c r="E5163" s="6">
        <v>0</v>
      </c>
      <c r="F5163" s="6">
        <v>0</v>
      </c>
      <c r="G5163" s="6">
        <v>10</v>
      </c>
      <c r="H5163" s="6" t="s">
        <v>10646</v>
      </c>
      <c r="I5163" s="6">
        <v>529.875</v>
      </c>
      <c r="J5163" s="2">
        <f t="shared" si="80"/>
        <v>43747.847352592587</v>
      </c>
    </row>
    <row r="5164" spans="1:10" x14ac:dyDescent="0.25">
      <c r="A5164" s="7" t="s">
        <v>10647</v>
      </c>
      <c r="B5164" s="8">
        <v>403.125</v>
      </c>
      <c r="C5164" s="8">
        <v>20.478950000000001</v>
      </c>
      <c r="D5164" s="8">
        <v>72</v>
      </c>
      <c r="E5164" s="8">
        <v>0</v>
      </c>
      <c r="F5164" s="8">
        <v>0</v>
      </c>
      <c r="G5164" s="8">
        <v>18</v>
      </c>
      <c r="H5164" s="8" t="s">
        <v>10648</v>
      </c>
      <c r="I5164" s="8">
        <v>529.875</v>
      </c>
      <c r="J5164" s="3">
        <f t="shared" si="80"/>
        <v>43747.84742435185</v>
      </c>
    </row>
    <row r="5165" spans="1:10" x14ac:dyDescent="0.25">
      <c r="A5165" s="5" t="s">
        <v>10649</v>
      </c>
      <c r="B5165" s="6">
        <v>403.125</v>
      </c>
      <c r="C5165" s="6">
        <v>20.478950000000001</v>
      </c>
      <c r="D5165" s="6">
        <v>73</v>
      </c>
      <c r="E5165" s="6">
        <v>0</v>
      </c>
      <c r="F5165" s="6">
        <v>0</v>
      </c>
      <c r="G5165" s="6">
        <v>4</v>
      </c>
      <c r="H5165" s="6" t="s">
        <v>10650</v>
      </c>
      <c r="I5165" s="6">
        <v>529.875</v>
      </c>
      <c r="J5165" s="2">
        <f t="shared" si="80"/>
        <v>43747.847507812497</v>
      </c>
    </row>
    <row r="5166" spans="1:10" x14ac:dyDescent="0.25">
      <c r="A5166" s="7" t="s">
        <v>10651</v>
      </c>
      <c r="B5166" s="8">
        <v>403.125</v>
      </c>
      <c r="C5166" s="8">
        <v>20.478950000000001</v>
      </c>
      <c r="D5166" s="8">
        <v>71</v>
      </c>
      <c r="E5166" s="8">
        <v>0</v>
      </c>
      <c r="F5166" s="8">
        <v>0</v>
      </c>
      <c r="G5166" s="8">
        <v>11</v>
      </c>
      <c r="H5166" s="8" t="s">
        <v>10652</v>
      </c>
      <c r="I5166" s="8">
        <v>529.875</v>
      </c>
      <c r="J5166" s="3">
        <f t="shared" si="80"/>
        <v>43747.847591238424</v>
      </c>
    </row>
    <row r="5167" spans="1:10" x14ac:dyDescent="0.25">
      <c r="A5167" s="5" t="s">
        <v>10653</v>
      </c>
      <c r="B5167" s="6">
        <v>403.125</v>
      </c>
      <c r="C5167" s="6">
        <v>20.478950000000001</v>
      </c>
      <c r="D5167" s="6">
        <v>70</v>
      </c>
      <c r="E5167" s="6">
        <v>0</v>
      </c>
      <c r="F5167" s="6">
        <v>0</v>
      </c>
      <c r="G5167" s="6">
        <v>18</v>
      </c>
      <c r="H5167" s="6" t="s">
        <v>10654</v>
      </c>
      <c r="I5167" s="6">
        <v>529.875</v>
      </c>
      <c r="J5167" s="2">
        <f t="shared" si="80"/>
        <v>43747.847674780089</v>
      </c>
    </row>
    <row r="5168" spans="1:10" x14ac:dyDescent="0.25">
      <c r="A5168" s="7" t="s">
        <v>10655</v>
      </c>
      <c r="B5168" s="8">
        <v>403.125</v>
      </c>
      <c r="C5168" s="8">
        <v>20.478950000000001</v>
      </c>
      <c r="D5168" s="8">
        <v>71</v>
      </c>
      <c r="E5168" s="8">
        <v>0</v>
      </c>
      <c r="F5168" s="8">
        <v>0</v>
      </c>
      <c r="G5168" s="8">
        <v>18</v>
      </c>
      <c r="H5168" s="8" t="s">
        <v>10656</v>
      </c>
      <c r="I5168" s="8">
        <v>529.875</v>
      </c>
      <c r="J5168" s="3">
        <f t="shared" si="80"/>
        <v>43747.847758240743</v>
      </c>
    </row>
    <row r="5169" spans="1:10" x14ac:dyDescent="0.25">
      <c r="A5169" s="5" t="s">
        <v>10657</v>
      </c>
      <c r="B5169" s="6">
        <v>406.25</v>
      </c>
      <c r="C5169" s="6">
        <v>20.478950000000001</v>
      </c>
      <c r="D5169" s="6">
        <v>72</v>
      </c>
      <c r="E5169" s="6">
        <v>0</v>
      </c>
      <c r="F5169" s="6">
        <v>0</v>
      </c>
      <c r="G5169" s="6">
        <v>18</v>
      </c>
      <c r="H5169" s="6" t="s">
        <v>10658</v>
      </c>
      <c r="I5169" s="6">
        <v>530.625</v>
      </c>
      <c r="J5169" s="2">
        <f t="shared" si="80"/>
        <v>43747.847841539355</v>
      </c>
    </row>
    <row r="5170" spans="1:10" x14ac:dyDescent="0.25">
      <c r="A5170" s="7" t="s">
        <v>10659</v>
      </c>
      <c r="B5170" s="8">
        <v>406.25</v>
      </c>
      <c r="C5170" s="8">
        <v>20.478950000000001</v>
      </c>
      <c r="D5170" s="8">
        <v>72</v>
      </c>
      <c r="E5170" s="8">
        <v>0</v>
      </c>
      <c r="F5170" s="8">
        <v>0</v>
      </c>
      <c r="G5170" s="8">
        <v>11</v>
      </c>
      <c r="H5170" s="8" t="s">
        <v>10660</v>
      </c>
      <c r="I5170" s="8">
        <v>530.625</v>
      </c>
      <c r="J5170" s="3">
        <f t="shared" si="80"/>
        <v>43747.847913206017</v>
      </c>
    </row>
    <row r="5171" spans="1:10" x14ac:dyDescent="0.25">
      <c r="A5171" s="5" t="s">
        <v>10661</v>
      </c>
      <c r="B5171" s="6">
        <v>406.25</v>
      </c>
      <c r="C5171" s="6">
        <v>20.478950000000001</v>
      </c>
      <c r="D5171" s="6">
        <v>71</v>
      </c>
      <c r="E5171" s="6">
        <v>0</v>
      </c>
      <c r="F5171" s="6">
        <v>0</v>
      </c>
      <c r="G5171" s="6">
        <v>6</v>
      </c>
      <c r="H5171" s="6" t="s">
        <v>10662</v>
      </c>
      <c r="I5171" s="6">
        <v>530.625</v>
      </c>
      <c r="J5171" s="2">
        <f t="shared" si="80"/>
        <v>43747.847996655088</v>
      </c>
    </row>
    <row r="5172" spans="1:10" x14ac:dyDescent="0.25">
      <c r="A5172" s="7" t="s">
        <v>10663</v>
      </c>
      <c r="B5172" s="8">
        <v>406.25</v>
      </c>
      <c r="C5172" s="8">
        <v>20.478950000000001</v>
      </c>
      <c r="D5172" s="8">
        <v>70</v>
      </c>
      <c r="E5172" s="8">
        <v>0</v>
      </c>
      <c r="F5172" s="8">
        <v>0</v>
      </c>
      <c r="G5172" s="8">
        <v>13</v>
      </c>
      <c r="H5172" s="8" t="s">
        <v>10664</v>
      </c>
      <c r="I5172" s="8">
        <v>530.625</v>
      </c>
      <c r="J5172" s="3">
        <f t="shared" si="80"/>
        <v>43747.848080127311</v>
      </c>
    </row>
    <row r="5173" spans="1:10" x14ac:dyDescent="0.25">
      <c r="A5173" s="5" t="s">
        <v>10665</v>
      </c>
      <c r="B5173" s="6">
        <v>406.25</v>
      </c>
      <c r="C5173" s="6">
        <v>20.478950000000001</v>
      </c>
      <c r="D5173" s="6">
        <v>69</v>
      </c>
      <c r="E5173" s="6">
        <v>0</v>
      </c>
      <c r="F5173" s="6">
        <v>0</v>
      </c>
      <c r="G5173" s="6">
        <v>4</v>
      </c>
      <c r="H5173" s="6" t="s">
        <v>10666</v>
      </c>
      <c r="I5173" s="6">
        <v>530.625</v>
      </c>
      <c r="J5173" s="2">
        <f t="shared" si="80"/>
        <v>43747.848163703697</v>
      </c>
    </row>
    <row r="5174" spans="1:10" x14ac:dyDescent="0.25">
      <c r="A5174" s="7" t="s">
        <v>10667</v>
      </c>
      <c r="B5174" s="8">
        <v>406.25</v>
      </c>
      <c r="C5174" s="8">
        <v>20.478950000000001</v>
      </c>
      <c r="D5174" s="8">
        <v>70</v>
      </c>
      <c r="E5174" s="8">
        <v>0</v>
      </c>
      <c r="F5174" s="8">
        <v>0</v>
      </c>
      <c r="G5174" s="8">
        <v>11</v>
      </c>
      <c r="H5174" s="8" t="s">
        <v>10668</v>
      </c>
      <c r="I5174" s="8">
        <v>530.8125</v>
      </c>
      <c r="J5174" s="3">
        <f t="shared" si="80"/>
        <v>43747.848247129623</v>
      </c>
    </row>
    <row r="5175" spans="1:10" x14ac:dyDescent="0.25">
      <c r="A5175" s="5" t="s">
        <v>10669</v>
      </c>
      <c r="B5175" s="6">
        <v>406.25</v>
      </c>
      <c r="C5175" s="6">
        <v>20.478950000000001</v>
      </c>
      <c r="D5175" s="6">
        <v>70</v>
      </c>
      <c r="E5175" s="6">
        <v>0</v>
      </c>
      <c r="F5175" s="6">
        <v>0</v>
      </c>
      <c r="G5175" s="6">
        <v>11</v>
      </c>
      <c r="H5175" s="6" t="s">
        <v>10670</v>
      </c>
      <c r="I5175" s="6">
        <v>530.625</v>
      </c>
      <c r="J5175" s="2">
        <f t="shared" si="80"/>
        <v>43747.848330335641</v>
      </c>
    </row>
    <row r="5176" spans="1:10" x14ac:dyDescent="0.25">
      <c r="A5176" s="7" t="s">
        <v>10671</v>
      </c>
      <c r="B5176" s="8">
        <v>406.25</v>
      </c>
      <c r="C5176" s="8">
        <v>20.478950000000001</v>
      </c>
      <c r="D5176" s="8">
        <v>70</v>
      </c>
      <c r="E5176" s="8">
        <v>0</v>
      </c>
      <c r="F5176" s="8">
        <v>0</v>
      </c>
      <c r="G5176" s="8">
        <v>21</v>
      </c>
      <c r="H5176" s="8" t="s">
        <v>10672</v>
      </c>
      <c r="I5176" s="8">
        <v>530.8125</v>
      </c>
      <c r="J5176" s="3">
        <f t="shared" si="80"/>
        <v>43747.848402129624</v>
      </c>
    </row>
    <row r="5177" spans="1:10" x14ac:dyDescent="0.25">
      <c r="A5177" s="5" t="s">
        <v>10673</v>
      </c>
      <c r="B5177" s="6">
        <v>406.25</v>
      </c>
      <c r="C5177" s="6">
        <v>20.478950000000001</v>
      </c>
      <c r="D5177" s="6">
        <v>71</v>
      </c>
      <c r="E5177" s="6">
        <v>0</v>
      </c>
      <c r="F5177" s="6">
        <v>0</v>
      </c>
      <c r="G5177" s="6">
        <v>21</v>
      </c>
      <c r="H5177" s="6" t="s">
        <v>10674</v>
      </c>
      <c r="I5177" s="6">
        <v>530.8125</v>
      </c>
      <c r="J5177" s="2">
        <f t="shared" si="80"/>
        <v>43747.848473749997</v>
      </c>
    </row>
    <row r="5178" spans="1:10" x14ac:dyDescent="0.25">
      <c r="A5178" s="7" t="s">
        <v>10675</v>
      </c>
      <c r="B5178" s="8">
        <v>406.25</v>
      </c>
      <c r="C5178" s="8">
        <v>20.478950000000001</v>
      </c>
      <c r="D5178" s="8">
        <v>71</v>
      </c>
      <c r="E5178" s="8">
        <v>0</v>
      </c>
      <c r="F5178" s="8">
        <v>0</v>
      </c>
      <c r="G5178" s="8">
        <v>3</v>
      </c>
      <c r="H5178" s="8" t="s">
        <v>10676</v>
      </c>
      <c r="I5178" s="8">
        <v>530.625</v>
      </c>
      <c r="J5178" s="3">
        <f t="shared" si="80"/>
        <v>43747.84855722222</v>
      </c>
    </row>
    <row r="5179" spans="1:10" x14ac:dyDescent="0.25">
      <c r="A5179" s="5" t="s">
        <v>10677</v>
      </c>
      <c r="B5179" s="6">
        <v>406.25</v>
      </c>
      <c r="C5179" s="6">
        <v>20.478950000000001</v>
      </c>
      <c r="D5179" s="6">
        <v>71</v>
      </c>
      <c r="E5179" s="6">
        <v>0</v>
      </c>
      <c r="F5179" s="6">
        <v>0</v>
      </c>
      <c r="G5179" s="6">
        <v>9</v>
      </c>
      <c r="H5179" s="6" t="s">
        <v>10678</v>
      </c>
      <c r="I5179" s="6">
        <v>530.625</v>
      </c>
      <c r="J5179" s="2">
        <f t="shared" si="80"/>
        <v>43747.848643923608</v>
      </c>
    </row>
    <row r="5180" spans="1:10" x14ac:dyDescent="0.25">
      <c r="A5180" s="7" t="s">
        <v>10679</v>
      </c>
      <c r="B5180" s="8">
        <v>406.25</v>
      </c>
      <c r="C5180" s="8">
        <v>20.478950000000001</v>
      </c>
      <c r="D5180" s="8">
        <v>71</v>
      </c>
      <c r="E5180" s="8">
        <v>0</v>
      </c>
      <c r="F5180" s="8">
        <v>0</v>
      </c>
      <c r="G5180" s="8">
        <v>16</v>
      </c>
      <c r="H5180" s="8" t="s">
        <v>10680</v>
      </c>
      <c r="I5180" s="8">
        <v>530.8125</v>
      </c>
      <c r="J5180" s="3">
        <f t="shared" si="80"/>
        <v>43747.848736157401</v>
      </c>
    </row>
    <row r="5181" spans="1:10" x14ac:dyDescent="0.25">
      <c r="A5181" s="5" t="s">
        <v>10681</v>
      </c>
      <c r="B5181" s="6">
        <v>428.125</v>
      </c>
      <c r="C5181" s="6">
        <v>20.478950000000001</v>
      </c>
      <c r="D5181" s="6">
        <v>73</v>
      </c>
      <c r="E5181" s="6">
        <v>0</v>
      </c>
      <c r="F5181" s="6">
        <v>0</v>
      </c>
      <c r="G5181" s="6">
        <v>13</v>
      </c>
      <c r="H5181" s="6" t="s">
        <v>10682</v>
      </c>
      <c r="I5181" s="6">
        <v>537.1875</v>
      </c>
      <c r="J5181" s="2">
        <f t="shared" si="80"/>
        <v>43747.848807685186</v>
      </c>
    </row>
    <row r="5182" spans="1:10" x14ac:dyDescent="0.25">
      <c r="A5182" s="7" t="s">
        <v>10683</v>
      </c>
      <c r="B5182" s="8">
        <v>412.5</v>
      </c>
      <c r="C5182" s="8">
        <v>20.478950000000001</v>
      </c>
      <c r="D5182" s="8">
        <v>72</v>
      </c>
      <c r="E5182" s="8">
        <v>0</v>
      </c>
      <c r="F5182" s="8">
        <v>0</v>
      </c>
      <c r="G5182" s="8">
        <v>23</v>
      </c>
      <c r="H5182" s="8" t="s">
        <v>10684</v>
      </c>
      <c r="I5182" s="8">
        <v>532.3125</v>
      </c>
      <c r="J5182" s="3">
        <f t="shared" si="80"/>
        <v>43747.848891261572</v>
      </c>
    </row>
    <row r="5183" spans="1:10" x14ac:dyDescent="0.25">
      <c r="A5183" s="5" t="s">
        <v>10685</v>
      </c>
      <c r="B5183" s="6">
        <v>412.5</v>
      </c>
      <c r="C5183" s="6">
        <v>20.478950000000001</v>
      </c>
      <c r="D5183" s="6">
        <v>72</v>
      </c>
      <c r="E5183" s="6">
        <v>0</v>
      </c>
      <c r="F5183" s="6">
        <v>0</v>
      </c>
      <c r="G5183" s="6">
        <v>11</v>
      </c>
      <c r="H5183" s="6" t="s">
        <v>10686</v>
      </c>
      <c r="I5183" s="6">
        <v>532.3125</v>
      </c>
      <c r="J5183" s="2">
        <f t="shared" si="80"/>
        <v>43747.84896265046</v>
      </c>
    </row>
    <row r="5184" spans="1:10" x14ac:dyDescent="0.25">
      <c r="A5184" s="7" t="s">
        <v>10687</v>
      </c>
      <c r="B5184" s="8">
        <v>440.625</v>
      </c>
      <c r="C5184" s="8">
        <v>20.478950000000001</v>
      </c>
      <c r="D5184" s="8">
        <v>72</v>
      </c>
      <c r="E5184" s="8">
        <v>0</v>
      </c>
      <c r="F5184" s="8">
        <v>0</v>
      </c>
      <c r="G5184" s="8">
        <v>12</v>
      </c>
      <c r="H5184" s="8" t="s">
        <v>10688</v>
      </c>
      <c r="I5184" s="8">
        <v>541.6875</v>
      </c>
      <c r="J5184" s="3">
        <f t="shared" si="80"/>
        <v>43747.849046099531</v>
      </c>
    </row>
    <row r="5185" spans="1:10" x14ac:dyDescent="0.25">
      <c r="A5185" s="5" t="s">
        <v>10689</v>
      </c>
      <c r="B5185" s="6">
        <v>415.625</v>
      </c>
      <c r="C5185" s="6">
        <v>20.478950000000001</v>
      </c>
      <c r="D5185" s="6">
        <v>72</v>
      </c>
      <c r="E5185" s="6">
        <v>0</v>
      </c>
      <c r="F5185" s="6">
        <v>0</v>
      </c>
      <c r="G5185" s="6">
        <v>17</v>
      </c>
      <c r="H5185" s="6" t="s">
        <v>10690</v>
      </c>
      <c r="I5185" s="6">
        <v>533.0625</v>
      </c>
      <c r="J5185" s="2">
        <f t="shared" si="80"/>
        <v>43747.849117627316</v>
      </c>
    </row>
    <row r="5186" spans="1:10" x14ac:dyDescent="0.25">
      <c r="A5186" s="7" t="s">
        <v>10691</v>
      </c>
      <c r="B5186" s="8">
        <v>415.625</v>
      </c>
      <c r="C5186" s="8">
        <v>20.478950000000001</v>
      </c>
      <c r="D5186" s="8">
        <v>72</v>
      </c>
      <c r="E5186" s="8">
        <v>0</v>
      </c>
      <c r="F5186" s="8">
        <v>0</v>
      </c>
      <c r="G5186" s="8">
        <v>15</v>
      </c>
      <c r="H5186" s="8" t="s">
        <v>10692</v>
      </c>
      <c r="I5186" s="8">
        <v>533.8125</v>
      </c>
      <c r="J5186" s="3">
        <f t="shared" ref="J5186:J5249" si="81">(H5186/86400000)+25569+(7/24)</f>
        <v>43747.849189201392</v>
      </c>
    </row>
    <row r="5187" spans="1:10" x14ac:dyDescent="0.25">
      <c r="A5187" s="5" t="s">
        <v>10693</v>
      </c>
      <c r="B5187" s="6">
        <v>418.75</v>
      </c>
      <c r="C5187" s="6">
        <v>20.478950000000001</v>
      </c>
      <c r="D5187" s="6">
        <v>71</v>
      </c>
      <c r="E5187" s="6">
        <v>0</v>
      </c>
      <c r="F5187" s="6">
        <v>0</v>
      </c>
      <c r="G5187" s="6">
        <v>16</v>
      </c>
      <c r="H5187" s="6" t="s">
        <v>10694</v>
      </c>
      <c r="I5187" s="6">
        <v>534</v>
      </c>
      <c r="J5187" s="2">
        <f t="shared" si="81"/>
        <v>43747.849272708328</v>
      </c>
    </row>
    <row r="5188" spans="1:10" x14ac:dyDescent="0.25">
      <c r="A5188" s="7" t="s">
        <v>10695</v>
      </c>
      <c r="B5188" s="8">
        <v>418.75</v>
      </c>
      <c r="C5188" s="8">
        <v>20.478950000000001</v>
      </c>
      <c r="D5188" s="8">
        <v>71</v>
      </c>
      <c r="E5188" s="8">
        <v>0</v>
      </c>
      <c r="F5188" s="8">
        <v>0</v>
      </c>
      <c r="G5188" s="8">
        <v>5</v>
      </c>
      <c r="H5188" s="8" t="s">
        <v>10696</v>
      </c>
      <c r="I5188" s="8">
        <v>534</v>
      </c>
      <c r="J5188" s="3">
        <f t="shared" si="81"/>
        <v>43747.849376990744</v>
      </c>
    </row>
    <row r="5189" spans="1:10" x14ac:dyDescent="0.25">
      <c r="A5189" s="5" t="s">
        <v>10697</v>
      </c>
      <c r="B5189" s="6">
        <v>418.75</v>
      </c>
      <c r="C5189" s="6">
        <v>20.478950000000001</v>
      </c>
      <c r="D5189" s="6">
        <v>73</v>
      </c>
      <c r="E5189" s="6">
        <v>0</v>
      </c>
      <c r="F5189" s="6">
        <v>0</v>
      </c>
      <c r="G5189" s="6">
        <v>11</v>
      </c>
      <c r="H5189" s="6" t="s">
        <v>10698</v>
      </c>
      <c r="I5189" s="6">
        <v>534.75</v>
      </c>
      <c r="J5189" s="2">
        <f t="shared" si="81"/>
        <v>43747.849451539347</v>
      </c>
    </row>
    <row r="5190" spans="1:10" x14ac:dyDescent="0.25">
      <c r="A5190" s="7" t="s">
        <v>10699</v>
      </c>
      <c r="B5190" s="8">
        <v>418.75</v>
      </c>
      <c r="C5190" s="8">
        <v>20.531590000000001</v>
      </c>
      <c r="D5190" s="8">
        <v>72</v>
      </c>
      <c r="E5190" s="8">
        <v>0</v>
      </c>
      <c r="F5190" s="8">
        <v>0</v>
      </c>
      <c r="G5190" s="8">
        <v>9</v>
      </c>
      <c r="H5190" s="8" t="s">
        <v>10700</v>
      </c>
      <c r="I5190" s="8">
        <v>534</v>
      </c>
      <c r="J5190" s="3">
        <f t="shared" si="81"/>
        <v>43747.849534988425</v>
      </c>
    </row>
    <row r="5191" spans="1:10" x14ac:dyDescent="0.25">
      <c r="A5191" s="5" t="s">
        <v>10701</v>
      </c>
      <c r="B5191" s="6">
        <v>418.75</v>
      </c>
      <c r="C5191" s="6">
        <v>20.478950000000001</v>
      </c>
      <c r="D5191" s="6">
        <v>72</v>
      </c>
      <c r="E5191" s="6">
        <v>0</v>
      </c>
      <c r="F5191" s="6">
        <v>0</v>
      </c>
      <c r="G5191" s="6">
        <v>17</v>
      </c>
      <c r="H5191" s="6" t="s">
        <v>10702</v>
      </c>
      <c r="I5191" s="6">
        <v>534</v>
      </c>
      <c r="J5191" s="2">
        <f t="shared" si="81"/>
        <v>43747.849606620373</v>
      </c>
    </row>
    <row r="5192" spans="1:10" x14ac:dyDescent="0.25">
      <c r="A5192" s="7" t="s">
        <v>10703</v>
      </c>
      <c r="B5192" s="8">
        <v>434.375</v>
      </c>
      <c r="C5192" s="8">
        <v>20.478950000000001</v>
      </c>
      <c r="D5192" s="8">
        <v>73</v>
      </c>
      <c r="E5192" s="8">
        <v>0</v>
      </c>
      <c r="F5192" s="8">
        <v>0</v>
      </c>
      <c r="G5192" s="8">
        <v>9</v>
      </c>
      <c r="H5192" s="8" t="s">
        <v>10704</v>
      </c>
      <c r="I5192" s="8">
        <v>539.625</v>
      </c>
      <c r="J5192" s="3">
        <f t="shared" si="81"/>
        <v>43747.849689733797</v>
      </c>
    </row>
    <row r="5193" spans="1:10" x14ac:dyDescent="0.25">
      <c r="A5193" s="5" t="s">
        <v>10705</v>
      </c>
      <c r="B5193" s="6">
        <v>418.75</v>
      </c>
      <c r="C5193" s="6">
        <v>20.478950000000001</v>
      </c>
      <c r="D5193" s="6">
        <v>73</v>
      </c>
      <c r="E5193" s="6">
        <v>0</v>
      </c>
      <c r="F5193" s="6">
        <v>0</v>
      </c>
      <c r="G5193" s="6">
        <v>14</v>
      </c>
      <c r="H5193" s="6" t="s">
        <v>10706</v>
      </c>
      <c r="I5193" s="6">
        <v>534</v>
      </c>
      <c r="J5193" s="2">
        <f t="shared" si="81"/>
        <v>43747.849774490744</v>
      </c>
    </row>
    <row r="5194" spans="1:10" x14ac:dyDescent="0.25">
      <c r="A5194" s="7" t="s">
        <v>10707</v>
      </c>
      <c r="B5194" s="8">
        <v>415.625</v>
      </c>
      <c r="C5194" s="8">
        <v>20.478950000000001</v>
      </c>
      <c r="D5194" s="8">
        <v>73</v>
      </c>
      <c r="E5194" s="8">
        <v>0</v>
      </c>
      <c r="F5194" s="8">
        <v>0</v>
      </c>
      <c r="G5194" s="8">
        <v>11</v>
      </c>
      <c r="H5194" s="8" t="s">
        <v>10708</v>
      </c>
      <c r="I5194" s="8">
        <v>533.8125</v>
      </c>
      <c r="J5194" s="3">
        <f t="shared" si="81"/>
        <v>43747.849857210647</v>
      </c>
    </row>
    <row r="5195" spans="1:10" x14ac:dyDescent="0.25">
      <c r="A5195" s="5" t="s">
        <v>10709</v>
      </c>
      <c r="B5195" s="6">
        <v>415.625</v>
      </c>
      <c r="C5195" s="6">
        <v>20.478950000000001</v>
      </c>
      <c r="D5195" s="6">
        <v>72</v>
      </c>
      <c r="E5195" s="6">
        <v>0</v>
      </c>
      <c r="F5195" s="6">
        <v>0</v>
      </c>
      <c r="G5195" s="6">
        <v>12</v>
      </c>
      <c r="H5195" s="6" t="s">
        <v>10710</v>
      </c>
      <c r="I5195" s="6">
        <v>533.8125</v>
      </c>
      <c r="J5195" s="2">
        <f t="shared" si="81"/>
        <v>43747.84994054398</v>
      </c>
    </row>
    <row r="5196" spans="1:10" x14ac:dyDescent="0.25">
      <c r="A5196" s="7" t="s">
        <v>10711</v>
      </c>
      <c r="B5196" s="8">
        <v>415.625</v>
      </c>
      <c r="C5196" s="8">
        <v>20.478950000000001</v>
      </c>
      <c r="D5196" s="8">
        <v>72</v>
      </c>
      <c r="E5196" s="8">
        <v>0</v>
      </c>
      <c r="F5196" s="8">
        <v>0</v>
      </c>
      <c r="G5196" s="8">
        <v>9</v>
      </c>
      <c r="H5196" s="8" t="s">
        <v>10712</v>
      </c>
      <c r="I5196" s="8">
        <v>533.0625</v>
      </c>
      <c r="J5196" s="3">
        <f t="shared" si="81"/>
        <v>43747.850023888888</v>
      </c>
    </row>
    <row r="5197" spans="1:10" x14ac:dyDescent="0.25">
      <c r="A5197" s="5" t="s">
        <v>10713</v>
      </c>
      <c r="B5197" s="6">
        <v>415.625</v>
      </c>
      <c r="C5197" s="6">
        <v>20.478950000000001</v>
      </c>
      <c r="D5197" s="6">
        <v>72</v>
      </c>
      <c r="E5197" s="6">
        <v>0</v>
      </c>
      <c r="F5197" s="6">
        <v>0</v>
      </c>
      <c r="G5197" s="6">
        <v>12</v>
      </c>
      <c r="H5197" s="6" t="s">
        <v>10714</v>
      </c>
      <c r="I5197" s="6">
        <v>533.25</v>
      </c>
      <c r="J5197" s="2">
        <f t="shared" si="81"/>
        <v>43747.850095590278</v>
      </c>
    </row>
    <row r="5198" spans="1:10" x14ac:dyDescent="0.25">
      <c r="A5198" s="7" t="s">
        <v>10715</v>
      </c>
      <c r="B5198" s="8">
        <v>415.625</v>
      </c>
      <c r="C5198" s="8">
        <v>20.478950000000001</v>
      </c>
      <c r="D5198" s="8">
        <v>73</v>
      </c>
      <c r="E5198" s="8">
        <v>0</v>
      </c>
      <c r="F5198" s="8">
        <v>0</v>
      </c>
      <c r="G5198" s="8">
        <v>14</v>
      </c>
      <c r="H5198" s="8" t="s">
        <v>10716</v>
      </c>
      <c r="I5198" s="8">
        <v>533.0625</v>
      </c>
      <c r="J5198" s="3">
        <f t="shared" si="81"/>
        <v>43747.85017863426</v>
      </c>
    </row>
    <row r="5199" spans="1:10" x14ac:dyDescent="0.25">
      <c r="A5199" s="5" t="s">
        <v>10717</v>
      </c>
      <c r="B5199" s="6">
        <v>415.625</v>
      </c>
      <c r="C5199" s="6">
        <v>20.478950000000001</v>
      </c>
      <c r="D5199" s="6">
        <v>73</v>
      </c>
      <c r="E5199" s="6">
        <v>0</v>
      </c>
      <c r="F5199" s="6">
        <v>0</v>
      </c>
      <c r="G5199" s="6">
        <v>15</v>
      </c>
      <c r="H5199" s="6" t="s">
        <v>10718</v>
      </c>
      <c r="I5199" s="6">
        <v>533.0625</v>
      </c>
      <c r="J5199" s="2">
        <f t="shared" si="81"/>
        <v>43747.850250509255</v>
      </c>
    </row>
    <row r="5200" spans="1:10" x14ac:dyDescent="0.25">
      <c r="A5200" s="7" t="s">
        <v>10719</v>
      </c>
      <c r="B5200" s="8">
        <v>415.625</v>
      </c>
      <c r="C5200" s="8">
        <v>20.478950000000001</v>
      </c>
      <c r="D5200" s="8">
        <v>73</v>
      </c>
      <c r="E5200" s="8">
        <v>0</v>
      </c>
      <c r="F5200" s="8">
        <v>0</v>
      </c>
      <c r="G5200" s="8">
        <v>15</v>
      </c>
      <c r="H5200" s="8" t="s">
        <v>10720</v>
      </c>
      <c r="I5200" s="8">
        <v>533.0625</v>
      </c>
      <c r="J5200" s="3">
        <f t="shared" si="81"/>
        <v>43747.850334097217</v>
      </c>
    </row>
    <row r="5201" spans="1:10" x14ac:dyDescent="0.25">
      <c r="A5201" s="5" t="s">
        <v>10721</v>
      </c>
      <c r="B5201" s="6">
        <v>418.75</v>
      </c>
      <c r="C5201" s="6">
        <v>20.478950000000001</v>
      </c>
      <c r="D5201" s="6">
        <v>73</v>
      </c>
      <c r="E5201" s="6">
        <v>0</v>
      </c>
      <c r="F5201" s="6">
        <v>0</v>
      </c>
      <c r="G5201" s="6">
        <v>9</v>
      </c>
      <c r="H5201" s="6" t="s">
        <v>10722</v>
      </c>
      <c r="I5201" s="6">
        <v>534</v>
      </c>
      <c r="J5201" s="2">
        <f t="shared" si="81"/>
        <v>43747.850417395828</v>
      </c>
    </row>
    <row r="5202" spans="1:10" x14ac:dyDescent="0.25">
      <c r="A5202" s="7" t="s">
        <v>10723</v>
      </c>
      <c r="B5202" s="8">
        <v>440.625</v>
      </c>
      <c r="C5202" s="8">
        <v>20.478950000000001</v>
      </c>
      <c r="D5202" s="8">
        <v>74</v>
      </c>
      <c r="E5202" s="8">
        <v>0</v>
      </c>
      <c r="F5202" s="8">
        <v>0</v>
      </c>
      <c r="G5202" s="8">
        <v>13</v>
      </c>
      <c r="H5202" s="8" t="s">
        <v>10724</v>
      </c>
      <c r="I5202" s="8">
        <v>541.3125</v>
      </c>
      <c r="J5202" s="3">
        <f t="shared" si="81"/>
        <v>43747.850500752313</v>
      </c>
    </row>
    <row r="5203" spans="1:10" x14ac:dyDescent="0.25">
      <c r="A5203" s="5" t="s">
        <v>10725</v>
      </c>
      <c r="B5203" s="6">
        <v>415.625</v>
      </c>
      <c r="C5203" s="6">
        <v>20.478950000000001</v>
      </c>
      <c r="D5203" s="6">
        <v>76</v>
      </c>
      <c r="E5203" s="6">
        <v>0</v>
      </c>
      <c r="F5203" s="6">
        <v>0</v>
      </c>
      <c r="G5203" s="6">
        <v>5</v>
      </c>
      <c r="H5203" s="6" t="s">
        <v>10726</v>
      </c>
      <c r="I5203" s="6">
        <v>533.8125</v>
      </c>
      <c r="J5203" s="2">
        <f t="shared" si="81"/>
        <v>43747.850584398147</v>
      </c>
    </row>
    <row r="5204" spans="1:10" x14ac:dyDescent="0.25">
      <c r="A5204" s="7" t="s">
        <v>10727</v>
      </c>
      <c r="B5204" s="8">
        <v>415.625</v>
      </c>
      <c r="C5204" s="8">
        <v>20.478950000000001</v>
      </c>
      <c r="D5204" s="8">
        <v>75</v>
      </c>
      <c r="E5204" s="8">
        <v>0</v>
      </c>
      <c r="F5204" s="8">
        <v>0</v>
      </c>
      <c r="G5204" s="8">
        <v>7</v>
      </c>
      <c r="H5204" s="8" t="s">
        <v>10728</v>
      </c>
      <c r="I5204" s="8">
        <v>533.8125</v>
      </c>
      <c r="J5204" s="3">
        <f t="shared" si="81"/>
        <v>43747.850667511571</v>
      </c>
    </row>
    <row r="5205" spans="1:10" x14ac:dyDescent="0.25">
      <c r="A5205" s="5" t="s">
        <v>10729</v>
      </c>
      <c r="B5205" s="6">
        <v>418.75</v>
      </c>
      <c r="C5205" s="6">
        <v>20.478950000000001</v>
      </c>
      <c r="D5205" s="6">
        <v>75</v>
      </c>
      <c r="E5205" s="6">
        <v>0</v>
      </c>
      <c r="F5205" s="6">
        <v>0</v>
      </c>
      <c r="G5205" s="6">
        <v>13</v>
      </c>
      <c r="H5205" s="6" t="s">
        <v>10730</v>
      </c>
      <c r="I5205" s="6">
        <v>534</v>
      </c>
      <c r="J5205" s="2">
        <f t="shared" si="81"/>
        <v>43747.850739166664</v>
      </c>
    </row>
    <row r="5206" spans="1:10" x14ac:dyDescent="0.25">
      <c r="A5206" s="7" t="s">
        <v>10731</v>
      </c>
      <c r="B5206" s="8">
        <v>418.75</v>
      </c>
      <c r="C5206" s="8">
        <v>20.531590000000001</v>
      </c>
      <c r="D5206" s="8">
        <v>75</v>
      </c>
      <c r="E5206" s="8">
        <v>0</v>
      </c>
      <c r="F5206" s="8">
        <v>0</v>
      </c>
      <c r="G5206" s="8">
        <v>10</v>
      </c>
      <c r="H5206" s="8" t="s">
        <v>10732</v>
      </c>
      <c r="I5206" s="8">
        <v>534.75</v>
      </c>
      <c r="J5206" s="3">
        <f t="shared" si="81"/>
        <v>43747.850823067129</v>
      </c>
    </row>
    <row r="5207" spans="1:10" x14ac:dyDescent="0.25">
      <c r="A5207" s="5" t="s">
        <v>10733</v>
      </c>
      <c r="B5207" s="6">
        <v>418.75</v>
      </c>
      <c r="C5207" s="6">
        <v>20.478950000000001</v>
      </c>
      <c r="D5207" s="6">
        <v>75</v>
      </c>
      <c r="E5207" s="6">
        <v>0</v>
      </c>
      <c r="F5207" s="6">
        <v>0</v>
      </c>
      <c r="G5207" s="6">
        <v>14</v>
      </c>
      <c r="H5207" s="6" t="s">
        <v>10734</v>
      </c>
      <c r="I5207" s="6">
        <v>534.75</v>
      </c>
      <c r="J5207" s="2">
        <f t="shared" si="81"/>
        <v>43747.850906296291</v>
      </c>
    </row>
    <row r="5208" spans="1:10" x14ac:dyDescent="0.25">
      <c r="A5208" s="7" t="s">
        <v>10735</v>
      </c>
      <c r="B5208" s="8">
        <v>421.875</v>
      </c>
      <c r="C5208" s="8">
        <v>20.478950000000001</v>
      </c>
      <c r="D5208" s="8">
        <v>74</v>
      </c>
      <c r="E5208" s="8">
        <v>0</v>
      </c>
      <c r="F5208" s="8">
        <v>0</v>
      </c>
      <c r="G5208" s="8">
        <v>13</v>
      </c>
      <c r="H5208" s="8" t="s">
        <v>10736</v>
      </c>
      <c r="I5208" s="8">
        <v>535.5</v>
      </c>
      <c r="J5208" s="3">
        <f t="shared" si="81"/>
        <v>43747.850989618055</v>
      </c>
    </row>
    <row r="5209" spans="1:10" x14ac:dyDescent="0.25">
      <c r="A5209" s="5" t="s">
        <v>10737</v>
      </c>
      <c r="B5209" s="6">
        <v>421.875</v>
      </c>
      <c r="C5209" s="6">
        <v>20.478950000000001</v>
      </c>
      <c r="D5209" s="6">
        <v>72</v>
      </c>
      <c r="E5209" s="6">
        <v>0</v>
      </c>
      <c r="F5209" s="6">
        <v>0</v>
      </c>
      <c r="G5209" s="6">
        <v>11</v>
      </c>
      <c r="H5209" s="6" t="s">
        <v>10738</v>
      </c>
      <c r="I5209" s="6">
        <v>535.5</v>
      </c>
      <c r="J5209" s="2">
        <f t="shared" si="81"/>
        <v>43747.851073182865</v>
      </c>
    </row>
    <row r="5210" spans="1:10" x14ac:dyDescent="0.25">
      <c r="A5210" s="7" t="s">
        <v>10739</v>
      </c>
      <c r="B5210" s="8">
        <v>421.875</v>
      </c>
      <c r="C5210" s="8">
        <v>20.478950000000001</v>
      </c>
      <c r="D5210" s="8">
        <v>77</v>
      </c>
      <c r="E5210" s="8">
        <v>0</v>
      </c>
      <c r="F5210" s="8">
        <v>0</v>
      </c>
      <c r="G5210" s="8">
        <v>6</v>
      </c>
      <c r="H5210" s="8" t="s">
        <v>10740</v>
      </c>
      <c r="I5210" s="8">
        <v>535.5</v>
      </c>
      <c r="J5210" s="3">
        <f t="shared" si="81"/>
        <v>43747.851156400466</v>
      </c>
    </row>
    <row r="5211" spans="1:10" x14ac:dyDescent="0.25">
      <c r="A5211" s="5" t="s">
        <v>10741</v>
      </c>
      <c r="B5211" s="6">
        <v>421.875</v>
      </c>
      <c r="C5211" s="6">
        <v>20.478950000000001</v>
      </c>
      <c r="D5211" s="6">
        <v>77</v>
      </c>
      <c r="E5211" s="6">
        <v>0</v>
      </c>
      <c r="F5211" s="6">
        <v>0</v>
      </c>
      <c r="G5211" s="6">
        <v>10</v>
      </c>
      <c r="H5211" s="6" t="s">
        <v>10742</v>
      </c>
      <c r="I5211" s="6">
        <v>535.6875</v>
      </c>
      <c r="J5211" s="2">
        <f t="shared" si="81"/>
        <v>43747.851228032407</v>
      </c>
    </row>
    <row r="5212" spans="1:10" x14ac:dyDescent="0.25">
      <c r="A5212" s="7" t="s">
        <v>10743</v>
      </c>
      <c r="B5212" s="8">
        <v>421.875</v>
      </c>
      <c r="C5212" s="8">
        <v>20.478950000000001</v>
      </c>
      <c r="D5212" s="8">
        <v>77</v>
      </c>
      <c r="E5212" s="8">
        <v>0</v>
      </c>
      <c r="F5212" s="8">
        <v>0</v>
      </c>
      <c r="G5212" s="8">
        <v>12</v>
      </c>
      <c r="H5212" s="8" t="s">
        <v>10744</v>
      </c>
      <c r="I5212" s="8">
        <v>535.5</v>
      </c>
      <c r="J5212" s="3">
        <f t="shared" si="81"/>
        <v>43747.851311967592</v>
      </c>
    </row>
    <row r="5213" spans="1:10" x14ac:dyDescent="0.25">
      <c r="A5213" s="5" t="s">
        <v>10745</v>
      </c>
      <c r="B5213" s="6">
        <v>421.875</v>
      </c>
      <c r="C5213" s="6">
        <v>20.478950000000001</v>
      </c>
      <c r="D5213" s="6">
        <v>77</v>
      </c>
      <c r="E5213" s="6">
        <v>0</v>
      </c>
      <c r="F5213" s="6">
        <v>0</v>
      </c>
      <c r="G5213" s="6">
        <v>5</v>
      </c>
      <c r="H5213" s="6" t="s">
        <v>10746</v>
      </c>
      <c r="I5213" s="6">
        <v>535.5</v>
      </c>
      <c r="J5213" s="2">
        <f t="shared" si="81"/>
        <v>43747.851406759255</v>
      </c>
    </row>
    <row r="5214" spans="1:10" x14ac:dyDescent="0.25">
      <c r="A5214" s="7" t="s">
        <v>10747</v>
      </c>
      <c r="B5214" s="8">
        <v>443.75</v>
      </c>
      <c r="C5214" s="8">
        <v>20.478950000000001</v>
      </c>
      <c r="D5214" s="8">
        <v>77</v>
      </c>
      <c r="E5214" s="8">
        <v>0</v>
      </c>
      <c r="F5214" s="8">
        <v>0</v>
      </c>
      <c r="G5214" s="8">
        <v>17</v>
      </c>
      <c r="H5214" s="8" t="s">
        <v>10748</v>
      </c>
      <c r="I5214" s="8">
        <v>542.25</v>
      </c>
      <c r="J5214" s="3">
        <f t="shared" si="81"/>
        <v>43747.851490520836</v>
      </c>
    </row>
    <row r="5215" spans="1:10" x14ac:dyDescent="0.25">
      <c r="A5215" s="5" t="s">
        <v>10749</v>
      </c>
      <c r="B5215" s="6">
        <v>418.75</v>
      </c>
      <c r="C5215" s="6">
        <v>20.478950000000001</v>
      </c>
      <c r="D5215" s="6">
        <v>74</v>
      </c>
      <c r="E5215" s="6">
        <v>0</v>
      </c>
      <c r="F5215" s="6">
        <v>0</v>
      </c>
      <c r="G5215" s="6">
        <v>10</v>
      </c>
      <c r="H5215" s="6" t="s">
        <v>10750</v>
      </c>
      <c r="I5215" s="6">
        <v>534</v>
      </c>
      <c r="J5215" s="2">
        <f t="shared" si="81"/>
        <v>43747.851562037038</v>
      </c>
    </row>
    <row r="5216" spans="1:10" x14ac:dyDescent="0.25">
      <c r="A5216" s="7" t="s">
        <v>10751</v>
      </c>
      <c r="B5216" s="8">
        <v>415.625</v>
      </c>
      <c r="C5216" s="8">
        <v>20.478950000000001</v>
      </c>
      <c r="D5216" s="8">
        <v>75</v>
      </c>
      <c r="E5216" s="8">
        <v>0</v>
      </c>
      <c r="F5216" s="8">
        <v>0</v>
      </c>
      <c r="G5216" s="8">
        <v>16</v>
      </c>
      <c r="H5216" s="8" t="s">
        <v>10752</v>
      </c>
      <c r="I5216" s="8">
        <v>533.8125</v>
      </c>
      <c r="J5216" s="3">
        <f t="shared" si="81"/>
        <v>43747.851645277777</v>
      </c>
    </row>
    <row r="5217" spans="1:10" x14ac:dyDescent="0.25">
      <c r="A5217" s="5" t="s">
        <v>10753</v>
      </c>
      <c r="B5217" s="6">
        <v>434.375</v>
      </c>
      <c r="C5217" s="6">
        <v>20.478950000000001</v>
      </c>
      <c r="D5217" s="6">
        <v>75</v>
      </c>
      <c r="E5217" s="6">
        <v>0</v>
      </c>
      <c r="F5217" s="6">
        <v>0</v>
      </c>
      <c r="G5217" s="6">
        <v>14</v>
      </c>
      <c r="H5217" s="6" t="s">
        <v>10754</v>
      </c>
      <c r="I5217" s="6">
        <v>539.4375</v>
      </c>
      <c r="J5217" s="2">
        <f t="shared" si="81"/>
        <v>43747.851717141202</v>
      </c>
    </row>
    <row r="5218" spans="1:10" x14ac:dyDescent="0.25">
      <c r="A5218" s="7" t="s">
        <v>10755</v>
      </c>
      <c r="B5218" s="8">
        <v>415.625</v>
      </c>
      <c r="C5218" s="8">
        <v>20.478950000000001</v>
      </c>
      <c r="D5218" s="8">
        <v>73</v>
      </c>
      <c r="E5218" s="8">
        <v>0</v>
      </c>
      <c r="F5218" s="8">
        <v>0</v>
      </c>
      <c r="G5218" s="8">
        <v>4</v>
      </c>
      <c r="H5218" s="8" t="s">
        <v>10756</v>
      </c>
      <c r="I5218" s="8">
        <v>533.8125</v>
      </c>
      <c r="J5218" s="3">
        <f t="shared" si="81"/>
        <v>43747.851800706012</v>
      </c>
    </row>
    <row r="5219" spans="1:10" x14ac:dyDescent="0.25">
      <c r="A5219" s="5" t="s">
        <v>10757</v>
      </c>
      <c r="B5219" s="6">
        <v>418.75</v>
      </c>
      <c r="C5219" s="6">
        <v>20.478950000000001</v>
      </c>
      <c r="D5219" s="6">
        <v>74</v>
      </c>
      <c r="E5219" s="6">
        <v>0</v>
      </c>
      <c r="F5219" s="6">
        <v>0</v>
      </c>
      <c r="G5219" s="6">
        <v>12</v>
      </c>
      <c r="H5219" s="6" t="s">
        <v>10758</v>
      </c>
      <c r="I5219" s="6">
        <v>534</v>
      </c>
      <c r="J5219" s="2">
        <f t="shared" si="81"/>
        <v>43747.851884374999</v>
      </c>
    </row>
    <row r="5220" spans="1:10" x14ac:dyDescent="0.25">
      <c r="A5220" s="7" t="s">
        <v>10759</v>
      </c>
      <c r="B5220" s="8">
        <v>418.75</v>
      </c>
      <c r="C5220" s="8">
        <v>20.478950000000001</v>
      </c>
      <c r="D5220" s="8">
        <v>74</v>
      </c>
      <c r="E5220" s="8">
        <v>0</v>
      </c>
      <c r="F5220" s="8">
        <v>0</v>
      </c>
      <c r="G5220" s="8">
        <v>19</v>
      </c>
      <c r="H5220" s="8" t="s">
        <v>10760</v>
      </c>
      <c r="I5220" s="8">
        <v>534</v>
      </c>
      <c r="J5220" s="3">
        <f t="shared" si="81"/>
        <v>43747.851967372684</v>
      </c>
    </row>
    <row r="5221" spans="1:10" x14ac:dyDescent="0.25">
      <c r="A5221" s="5" t="s">
        <v>10761</v>
      </c>
      <c r="B5221" s="6">
        <v>415.625</v>
      </c>
      <c r="C5221" s="6">
        <v>20.478950000000001</v>
      </c>
      <c r="D5221" s="6">
        <v>73</v>
      </c>
      <c r="E5221" s="6">
        <v>0</v>
      </c>
      <c r="F5221" s="6">
        <v>0</v>
      </c>
      <c r="G5221" s="6">
        <v>15</v>
      </c>
      <c r="H5221" s="6" t="s">
        <v>10762</v>
      </c>
      <c r="I5221" s="6">
        <v>533.8125</v>
      </c>
      <c r="J5221" s="2">
        <f t="shared" si="81"/>
        <v>43747.852051041664</v>
      </c>
    </row>
    <row r="5222" spans="1:10" x14ac:dyDescent="0.25">
      <c r="A5222" s="7" t="s">
        <v>10763</v>
      </c>
      <c r="B5222" s="8">
        <v>431.25</v>
      </c>
      <c r="C5222" s="8">
        <v>20.478950000000001</v>
      </c>
      <c r="D5222" s="8">
        <v>75</v>
      </c>
      <c r="E5222" s="8">
        <v>0</v>
      </c>
      <c r="F5222" s="8">
        <v>0</v>
      </c>
      <c r="G5222" s="8">
        <v>18</v>
      </c>
      <c r="H5222" s="8" t="s">
        <v>10764</v>
      </c>
      <c r="I5222" s="8">
        <v>538.6875</v>
      </c>
      <c r="J5222" s="3">
        <f t="shared" si="81"/>
        <v>43747.852134143519</v>
      </c>
    </row>
    <row r="5223" spans="1:10" x14ac:dyDescent="0.25">
      <c r="A5223" s="5" t="s">
        <v>10765</v>
      </c>
      <c r="B5223" s="6">
        <v>415.625</v>
      </c>
      <c r="C5223" s="6">
        <v>20.478950000000001</v>
      </c>
      <c r="D5223" s="6">
        <v>75</v>
      </c>
      <c r="E5223" s="6">
        <v>0</v>
      </c>
      <c r="F5223" s="6">
        <v>0</v>
      </c>
      <c r="G5223" s="6">
        <v>9</v>
      </c>
      <c r="H5223" s="6" t="s">
        <v>10766</v>
      </c>
      <c r="I5223" s="6">
        <v>533.0625</v>
      </c>
      <c r="J5223" s="2">
        <f t="shared" si="81"/>
        <v>43747.852205798605</v>
      </c>
    </row>
    <row r="5224" spans="1:10" x14ac:dyDescent="0.25">
      <c r="A5224" s="7" t="s">
        <v>10767</v>
      </c>
      <c r="B5224" s="8">
        <v>415.625</v>
      </c>
      <c r="C5224" s="8">
        <v>20.478950000000001</v>
      </c>
      <c r="D5224" s="8">
        <v>75</v>
      </c>
      <c r="E5224" s="8">
        <v>0</v>
      </c>
      <c r="F5224" s="8">
        <v>0</v>
      </c>
      <c r="G5224" s="8">
        <v>14</v>
      </c>
      <c r="H5224" s="8" t="s">
        <v>10768</v>
      </c>
      <c r="I5224" s="8">
        <v>533.25</v>
      </c>
      <c r="J5224" s="3">
        <f t="shared" si="81"/>
        <v>43747.85228958333</v>
      </c>
    </row>
    <row r="5225" spans="1:10" x14ac:dyDescent="0.25">
      <c r="A5225" s="5" t="s">
        <v>10769</v>
      </c>
      <c r="B5225" s="6">
        <v>415.625</v>
      </c>
      <c r="C5225" s="6">
        <v>20.531590000000001</v>
      </c>
      <c r="D5225" s="6">
        <v>75</v>
      </c>
      <c r="E5225" s="6">
        <v>0</v>
      </c>
      <c r="F5225" s="6">
        <v>0</v>
      </c>
      <c r="G5225" s="6">
        <v>18</v>
      </c>
      <c r="H5225" s="6" t="s">
        <v>10770</v>
      </c>
      <c r="I5225" s="6">
        <v>533.0625</v>
      </c>
      <c r="J5225" s="2">
        <f t="shared" si="81"/>
        <v>43747.852372939808</v>
      </c>
    </row>
    <row r="5226" spans="1:10" x14ac:dyDescent="0.25">
      <c r="A5226" s="7" t="s">
        <v>10771</v>
      </c>
      <c r="B5226" s="8">
        <v>415.625</v>
      </c>
      <c r="C5226" s="8">
        <v>20.478950000000001</v>
      </c>
      <c r="D5226" s="8">
        <v>74</v>
      </c>
      <c r="E5226" s="8">
        <v>0</v>
      </c>
      <c r="F5226" s="8">
        <v>0</v>
      </c>
      <c r="G5226" s="8">
        <v>20</v>
      </c>
      <c r="H5226" s="8" t="s">
        <v>10772</v>
      </c>
      <c r="I5226" s="8">
        <v>533.0625</v>
      </c>
      <c r="J5226" s="3">
        <f t="shared" si="81"/>
        <v>43747.852456354165</v>
      </c>
    </row>
    <row r="5227" spans="1:10" x14ac:dyDescent="0.25">
      <c r="A5227" s="5" t="s">
        <v>10773</v>
      </c>
      <c r="B5227" s="6">
        <v>431.25</v>
      </c>
      <c r="C5227" s="6">
        <v>20.478950000000001</v>
      </c>
      <c r="D5227" s="6">
        <v>74</v>
      </c>
      <c r="E5227" s="6">
        <v>0</v>
      </c>
      <c r="F5227" s="6">
        <v>0</v>
      </c>
      <c r="G5227" s="6">
        <v>21</v>
      </c>
      <c r="H5227" s="6" t="s">
        <v>10774</v>
      </c>
      <c r="I5227" s="6">
        <v>538.875</v>
      </c>
      <c r="J5227" s="2">
        <f t="shared" si="81"/>
        <v>43747.852539942127</v>
      </c>
    </row>
    <row r="5228" spans="1:10" x14ac:dyDescent="0.25">
      <c r="A5228" s="7" t="s">
        <v>10775</v>
      </c>
      <c r="B5228" s="8">
        <v>415.625</v>
      </c>
      <c r="C5228" s="8">
        <v>20.478950000000001</v>
      </c>
      <c r="D5228" s="8">
        <v>74</v>
      </c>
      <c r="E5228" s="8">
        <v>0</v>
      </c>
      <c r="F5228" s="8">
        <v>0</v>
      </c>
      <c r="G5228" s="8">
        <v>7</v>
      </c>
      <c r="H5228" s="8" t="s">
        <v>10776</v>
      </c>
      <c r="I5228" s="8">
        <v>533.8125</v>
      </c>
      <c r="J5228" s="3">
        <f t="shared" si="81"/>
        <v>43747.852623032406</v>
      </c>
    </row>
    <row r="5229" spans="1:10" x14ac:dyDescent="0.25">
      <c r="A5229" s="5" t="s">
        <v>10777</v>
      </c>
      <c r="B5229" s="6">
        <v>415.625</v>
      </c>
      <c r="C5229" s="6">
        <v>20.478950000000001</v>
      </c>
      <c r="D5229" s="6">
        <v>74</v>
      </c>
      <c r="E5229" s="6">
        <v>0</v>
      </c>
      <c r="F5229" s="6">
        <v>0</v>
      </c>
      <c r="G5229" s="6">
        <v>13</v>
      </c>
      <c r="H5229" s="6" t="s">
        <v>10778</v>
      </c>
      <c r="I5229" s="6">
        <v>533.8125</v>
      </c>
      <c r="J5229" s="2">
        <f t="shared" si="81"/>
        <v>43747.852694687499</v>
      </c>
    </row>
    <row r="5230" spans="1:10" x14ac:dyDescent="0.25">
      <c r="A5230" s="7" t="s">
        <v>10779</v>
      </c>
      <c r="B5230" s="8">
        <v>418.75</v>
      </c>
      <c r="C5230" s="8">
        <v>20.531590000000001</v>
      </c>
      <c r="D5230" s="8">
        <v>74</v>
      </c>
      <c r="E5230" s="8">
        <v>0</v>
      </c>
      <c r="F5230" s="8">
        <v>0</v>
      </c>
      <c r="G5230" s="8">
        <v>19</v>
      </c>
      <c r="H5230" s="8" t="s">
        <v>10780</v>
      </c>
      <c r="I5230" s="8">
        <v>534</v>
      </c>
      <c r="J5230" s="3">
        <f t="shared" si="81"/>
        <v>43747.852778472217</v>
      </c>
    </row>
    <row r="5231" spans="1:10" x14ac:dyDescent="0.25">
      <c r="A5231" s="5" t="s">
        <v>10781</v>
      </c>
      <c r="B5231" s="6">
        <v>418.75</v>
      </c>
      <c r="C5231" s="6">
        <v>20.478950000000001</v>
      </c>
      <c r="D5231" s="6">
        <v>74</v>
      </c>
      <c r="E5231" s="6">
        <v>0</v>
      </c>
      <c r="F5231" s="6">
        <v>0</v>
      </c>
      <c r="G5231" s="6">
        <v>15</v>
      </c>
      <c r="H5231" s="6" t="s">
        <v>10782</v>
      </c>
      <c r="I5231" s="6">
        <v>534</v>
      </c>
      <c r="J5231" s="2">
        <f t="shared" si="81"/>
        <v>43747.852861921296</v>
      </c>
    </row>
    <row r="5232" spans="1:10" x14ac:dyDescent="0.25">
      <c r="A5232" s="7" t="s">
        <v>10783</v>
      </c>
      <c r="B5232" s="8">
        <v>434.375</v>
      </c>
      <c r="C5232" s="8">
        <v>20.478950000000001</v>
      </c>
      <c r="D5232" s="8">
        <v>75</v>
      </c>
      <c r="E5232" s="8">
        <v>0</v>
      </c>
      <c r="F5232" s="8">
        <v>0</v>
      </c>
      <c r="G5232" s="8">
        <v>10</v>
      </c>
      <c r="H5232" s="8" t="s">
        <v>10784</v>
      </c>
      <c r="I5232" s="8">
        <v>539.8125</v>
      </c>
      <c r="J5232" s="3">
        <f t="shared" si="81"/>
        <v>43747.852945138882</v>
      </c>
    </row>
    <row r="5233" spans="1:10" x14ac:dyDescent="0.25">
      <c r="A5233" s="5" t="s">
        <v>10785</v>
      </c>
      <c r="B5233" s="6">
        <v>418.75</v>
      </c>
      <c r="C5233" s="6">
        <v>20.478950000000001</v>
      </c>
      <c r="D5233" s="6">
        <v>75</v>
      </c>
      <c r="E5233" s="6">
        <v>0</v>
      </c>
      <c r="F5233" s="6">
        <v>0</v>
      </c>
      <c r="G5233" s="6">
        <v>25</v>
      </c>
      <c r="H5233" s="6" t="s">
        <v>10786</v>
      </c>
      <c r="I5233" s="6">
        <v>534</v>
      </c>
      <c r="J5233" s="2">
        <f t="shared" si="81"/>
        <v>43747.853028819438</v>
      </c>
    </row>
    <row r="5234" spans="1:10" x14ac:dyDescent="0.25">
      <c r="A5234" s="7" t="s">
        <v>10787</v>
      </c>
      <c r="B5234" s="8">
        <v>415.625</v>
      </c>
      <c r="C5234" s="8">
        <v>20.478950000000001</v>
      </c>
      <c r="D5234" s="8">
        <v>75</v>
      </c>
      <c r="E5234" s="8">
        <v>0</v>
      </c>
      <c r="F5234" s="8">
        <v>0</v>
      </c>
      <c r="G5234" s="8">
        <v>10</v>
      </c>
      <c r="H5234" s="8" t="s">
        <v>10788</v>
      </c>
      <c r="I5234" s="8">
        <v>533.0625</v>
      </c>
      <c r="J5234" s="3">
        <f t="shared" si="81"/>
        <v>43747.853112037039</v>
      </c>
    </row>
    <row r="5235" spans="1:10" x14ac:dyDescent="0.25">
      <c r="A5235" s="5" t="s">
        <v>10789</v>
      </c>
      <c r="B5235" s="6">
        <v>415.625</v>
      </c>
      <c r="C5235" s="6">
        <v>20.478950000000001</v>
      </c>
      <c r="D5235" s="6">
        <v>75</v>
      </c>
      <c r="E5235" s="6">
        <v>0</v>
      </c>
      <c r="F5235" s="6">
        <v>0</v>
      </c>
      <c r="G5235" s="6">
        <v>14</v>
      </c>
      <c r="H5235" s="6" t="s">
        <v>10790</v>
      </c>
      <c r="I5235" s="6">
        <v>533.0625</v>
      </c>
      <c r="J5235" s="2">
        <f t="shared" si="81"/>
        <v>43747.853195844909</v>
      </c>
    </row>
    <row r="5236" spans="1:10" x14ac:dyDescent="0.25">
      <c r="A5236" s="7" t="s">
        <v>10791</v>
      </c>
      <c r="B5236" s="8">
        <v>418.75</v>
      </c>
      <c r="C5236" s="8">
        <v>20.478950000000001</v>
      </c>
      <c r="D5236" s="8">
        <v>75</v>
      </c>
      <c r="E5236" s="8">
        <v>0</v>
      </c>
      <c r="F5236" s="8">
        <v>0</v>
      </c>
      <c r="G5236" s="8">
        <v>8</v>
      </c>
      <c r="H5236" s="8" t="s">
        <v>10792</v>
      </c>
      <c r="I5236" s="8">
        <v>534</v>
      </c>
      <c r="J5236" s="3">
        <f t="shared" si="81"/>
        <v>43747.853291331012</v>
      </c>
    </row>
    <row r="5237" spans="1:10" x14ac:dyDescent="0.25">
      <c r="A5237" s="5" t="s">
        <v>10793</v>
      </c>
      <c r="B5237" s="6">
        <v>415.625</v>
      </c>
      <c r="C5237" s="6">
        <v>20.478950000000001</v>
      </c>
      <c r="D5237" s="6">
        <v>75</v>
      </c>
      <c r="E5237" s="6">
        <v>0</v>
      </c>
      <c r="F5237" s="6">
        <v>0</v>
      </c>
      <c r="G5237" s="6">
        <v>24</v>
      </c>
      <c r="H5237" s="6" t="s">
        <v>10794</v>
      </c>
      <c r="I5237" s="6">
        <v>533.0625</v>
      </c>
      <c r="J5237" s="2">
        <f t="shared" si="81"/>
        <v>43747.853374768521</v>
      </c>
    </row>
    <row r="5238" spans="1:10" x14ac:dyDescent="0.25">
      <c r="A5238" s="7" t="s">
        <v>10795</v>
      </c>
      <c r="B5238" s="8">
        <v>415.625</v>
      </c>
      <c r="C5238" s="8">
        <v>20.478950000000001</v>
      </c>
      <c r="D5238" s="8">
        <v>74</v>
      </c>
      <c r="E5238" s="8">
        <v>0</v>
      </c>
      <c r="F5238" s="8">
        <v>0</v>
      </c>
      <c r="G5238" s="8">
        <v>28</v>
      </c>
      <c r="H5238" s="8" t="s">
        <v>10796</v>
      </c>
      <c r="I5238" s="8">
        <v>533.0625</v>
      </c>
      <c r="J5238" s="3">
        <f t="shared" si="81"/>
        <v>43747.853458113423</v>
      </c>
    </row>
    <row r="5239" spans="1:10" x14ac:dyDescent="0.25">
      <c r="A5239" s="5" t="s">
        <v>10797</v>
      </c>
      <c r="B5239" s="6">
        <v>412.5</v>
      </c>
      <c r="C5239" s="6">
        <v>20.478950000000001</v>
      </c>
      <c r="D5239" s="6">
        <v>74</v>
      </c>
      <c r="E5239" s="6">
        <v>0</v>
      </c>
      <c r="F5239" s="6">
        <v>0</v>
      </c>
      <c r="G5239" s="6">
        <v>13</v>
      </c>
      <c r="H5239" s="6" t="s">
        <v>10798</v>
      </c>
      <c r="I5239" s="6">
        <v>532.3125</v>
      </c>
      <c r="J5239" s="2">
        <f t="shared" si="81"/>
        <v>43747.853541458331</v>
      </c>
    </row>
    <row r="5240" spans="1:10" x14ac:dyDescent="0.25">
      <c r="A5240" s="7" t="s">
        <v>10799</v>
      </c>
      <c r="B5240" s="8">
        <v>412.5</v>
      </c>
      <c r="C5240" s="8">
        <v>20.478950000000001</v>
      </c>
      <c r="D5240" s="8">
        <v>75</v>
      </c>
      <c r="E5240" s="8">
        <v>0</v>
      </c>
      <c r="F5240" s="8">
        <v>0</v>
      </c>
      <c r="G5240" s="8">
        <v>15</v>
      </c>
      <c r="H5240" s="8" t="s">
        <v>10800</v>
      </c>
      <c r="I5240" s="8">
        <v>532.125</v>
      </c>
      <c r="J5240" s="3">
        <f t="shared" si="81"/>
        <v>43747.853637164349</v>
      </c>
    </row>
    <row r="5241" spans="1:10" x14ac:dyDescent="0.25">
      <c r="A5241" s="5" t="s">
        <v>10801</v>
      </c>
      <c r="B5241" s="6">
        <v>412.5</v>
      </c>
      <c r="C5241" s="6">
        <v>20.478950000000001</v>
      </c>
      <c r="D5241" s="6">
        <v>75</v>
      </c>
      <c r="E5241" s="6">
        <v>0</v>
      </c>
      <c r="F5241" s="6">
        <v>0</v>
      </c>
      <c r="G5241" s="6">
        <v>19</v>
      </c>
      <c r="H5241" s="6" t="s">
        <v>10802</v>
      </c>
      <c r="I5241" s="6">
        <v>532.3125</v>
      </c>
      <c r="J5241" s="2">
        <f t="shared" si="81"/>
        <v>43747.853720601845</v>
      </c>
    </row>
    <row r="5242" spans="1:10" x14ac:dyDescent="0.25">
      <c r="A5242" s="7" t="s">
        <v>10803</v>
      </c>
      <c r="B5242" s="8">
        <v>412.5</v>
      </c>
      <c r="C5242" s="8">
        <v>20.478950000000001</v>
      </c>
      <c r="D5242" s="8">
        <v>73</v>
      </c>
      <c r="E5242" s="8">
        <v>0</v>
      </c>
      <c r="F5242" s="8">
        <v>0</v>
      </c>
      <c r="G5242" s="8">
        <v>9</v>
      </c>
      <c r="H5242" s="8" t="s">
        <v>10804</v>
      </c>
      <c r="I5242" s="8">
        <v>532.3125</v>
      </c>
      <c r="J5242" s="3">
        <f t="shared" si="81"/>
        <v>43747.853815624992</v>
      </c>
    </row>
    <row r="5243" spans="1:10" x14ac:dyDescent="0.25">
      <c r="A5243" s="5" t="s">
        <v>10805</v>
      </c>
      <c r="B5243" s="6">
        <v>412.5</v>
      </c>
      <c r="C5243" s="6">
        <v>20.478950000000001</v>
      </c>
      <c r="D5243" s="6">
        <v>74</v>
      </c>
      <c r="E5243" s="6">
        <v>0</v>
      </c>
      <c r="F5243" s="6">
        <v>0</v>
      </c>
      <c r="G5243" s="6">
        <v>12</v>
      </c>
      <c r="H5243" s="6" t="s">
        <v>10806</v>
      </c>
      <c r="I5243" s="6">
        <v>532.3125</v>
      </c>
      <c r="J5243" s="2">
        <f t="shared" si="81"/>
        <v>43747.853887152778</v>
      </c>
    </row>
    <row r="5244" spans="1:10" x14ac:dyDescent="0.25">
      <c r="A5244" s="7" t="s">
        <v>10807</v>
      </c>
      <c r="B5244" s="8">
        <v>412.5</v>
      </c>
      <c r="C5244" s="8">
        <v>20.478950000000001</v>
      </c>
      <c r="D5244" s="8">
        <v>74</v>
      </c>
      <c r="E5244" s="8">
        <v>0</v>
      </c>
      <c r="F5244" s="8">
        <v>0</v>
      </c>
      <c r="G5244" s="8">
        <v>11</v>
      </c>
      <c r="H5244" s="8" t="s">
        <v>10808</v>
      </c>
      <c r="I5244" s="8">
        <v>532.3125</v>
      </c>
      <c r="J5244" s="3">
        <f t="shared" si="81"/>
        <v>43747.853971076387</v>
      </c>
    </row>
    <row r="5245" spans="1:10" x14ac:dyDescent="0.25">
      <c r="A5245" s="5" t="s">
        <v>10809</v>
      </c>
      <c r="B5245" s="6">
        <v>428.125</v>
      </c>
      <c r="C5245" s="6">
        <v>20.478950000000001</v>
      </c>
      <c r="D5245" s="6">
        <v>74</v>
      </c>
      <c r="E5245" s="6">
        <v>0</v>
      </c>
      <c r="F5245" s="6">
        <v>0</v>
      </c>
      <c r="G5245" s="6">
        <v>14</v>
      </c>
      <c r="H5245" s="6" t="s">
        <v>10810</v>
      </c>
      <c r="I5245" s="6">
        <v>537.9375</v>
      </c>
      <c r="J5245" s="2">
        <f t="shared" si="81"/>
        <v>43747.85405440972</v>
      </c>
    </row>
    <row r="5246" spans="1:10" x14ac:dyDescent="0.25">
      <c r="A5246" s="7" t="s">
        <v>10811</v>
      </c>
      <c r="B5246" s="8">
        <v>412.5</v>
      </c>
      <c r="C5246" s="8">
        <v>20.478950000000001</v>
      </c>
      <c r="D5246" s="8">
        <v>74</v>
      </c>
      <c r="E5246" s="8">
        <v>0</v>
      </c>
      <c r="F5246" s="8">
        <v>0</v>
      </c>
      <c r="G5246" s="8">
        <v>17</v>
      </c>
      <c r="H5246" s="8" t="s">
        <v>10812</v>
      </c>
      <c r="I5246" s="8">
        <v>532.3125</v>
      </c>
      <c r="J5246" s="3">
        <f t="shared" si="81"/>
        <v>43747.854141990734</v>
      </c>
    </row>
    <row r="5247" spans="1:10" x14ac:dyDescent="0.25">
      <c r="A5247" s="5" t="s">
        <v>10813</v>
      </c>
      <c r="B5247" s="6">
        <v>446.875</v>
      </c>
      <c r="C5247" s="6">
        <v>20.478950000000001</v>
      </c>
      <c r="D5247" s="6">
        <v>74</v>
      </c>
      <c r="E5247" s="6">
        <v>0</v>
      </c>
      <c r="F5247" s="6">
        <v>0</v>
      </c>
      <c r="G5247" s="6">
        <v>8</v>
      </c>
      <c r="H5247" s="6" t="s">
        <v>10814</v>
      </c>
      <c r="I5247" s="6">
        <v>543.5625</v>
      </c>
      <c r="J5247" s="2">
        <f t="shared" si="81"/>
        <v>43747.854221377311</v>
      </c>
    </row>
    <row r="5248" spans="1:10" x14ac:dyDescent="0.25">
      <c r="A5248" s="7" t="s">
        <v>10815</v>
      </c>
      <c r="B5248" s="8">
        <v>415.625</v>
      </c>
      <c r="C5248" s="8">
        <v>20.478950000000001</v>
      </c>
      <c r="D5248" s="8">
        <v>73</v>
      </c>
      <c r="E5248" s="8">
        <v>0</v>
      </c>
      <c r="F5248" s="8">
        <v>0</v>
      </c>
      <c r="G5248" s="8">
        <v>13</v>
      </c>
      <c r="H5248" s="8" t="s">
        <v>10816</v>
      </c>
      <c r="I5248" s="8">
        <v>533.25</v>
      </c>
      <c r="J5248" s="3">
        <f t="shared" si="81"/>
        <v>43747.854316759258</v>
      </c>
    </row>
    <row r="5249" spans="1:10" x14ac:dyDescent="0.25">
      <c r="A5249" s="5" t="s">
        <v>10817</v>
      </c>
      <c r="B5249" s="6">
        <v>431.25</v>
      </c>
      <c r="C5249" s="6">
        <v>20.478950000000001</v>
      </c>
      <c r="D5249" s="6">
        <v>74</v>
      </c>
      <c r="E5249" s="6">
        <v>0</v>
      </c>
      <c r="F5249" s="6">
        <v>0</v>
      </c>
      <c r="G5249" s="6">
        <v>10</v>
      </c>
      <c r="H5249" s="6" t="s">
        <v>10818</v>
      </c>
      <c r="I5249" s="6">
        <v>538.6875</v>
      </c>
      <c r="J5249" s="2">
        <f t="shared" si="81"/>
        <v>43747.854400219905</v>
      </c>
    </row>
    <row r="5250" spans="1:10" x14ac:dyDescent="0.25">
      <c r="A5250" s="7" t="s">
        <v>10819</v>
      </c>
      <c r="B5250" s="8">
        <v>415.625</v>
      </c>
      <c r="C5250" s="8">
        <v>20.478950000000001</v>
      </c>
      <c r="D5250" s="8">
        <v>74</v>
      </c>
      <c r="E5250" s="8">
        <v>0</v>
      </c>
      <c r="F5250" s="8">
        <v>0</v>
      </c>
      <c r="G5250" s="8">
        <v>16</v>
      </c>
      <c r="H5250" s="8" t="s">
        <v>10820</v>
      </c>
      <c r="I5250" s="8">
        <v>533.8125</v>
      </c>
      <c r="J5250" s="3">
        <f t="shared" ref="J5250:J5313" si="82">(H5250/86400000)+25569+(7/24)</f>
        <v>43747.854498958332</v>
      </c>
    </row>
    <row r="5251" spans="1:10" x14ac:dyDescent="0.25">
      <c r="A5251" s="5" t="s">
        <v>10821</v>
      </c>
      <c r="B5251" s="6">
        <v>418.75</v>
      </c>
      <c r="C5251" s="6">
        <v>20.478950000000001</v>
      </c>
      <c r="D5251" s="6">
        <v>74</v>
      </c>
      <c r="E5251" s="6">
        <v>0</v>
      </c>
      <c r="F5251" s="6">
        <v>0</v>
      </c>
      <c r="G5251" s="6">
        <v>15</v>
      </c>
      <c r="H5251" s="6" t="s">
        <v>10822</v>
      </c>
      <c r="I5251" s="6">
        <v>534</v>
      </c>
      <c r="J5251" s="2">
        <f t="shared" si="82"/>
        <v>43747.854578912033</v>
      </c>
    </row>
    <row r="5252" spans="1:10" x14ac:dyDescent="0.25">
      <c r="A5252" s="7" t="s">
        <v>10823</v>
      </c>
      <c r="B5252" s="8">
        <v>415.625</v>
      </c>
      <c r="C5252" s="8">
        <v>20.478950000000001</v>
      </c>
      <c r="D5252" s="8">
        <v>74</v>
      </c>
      <c r="E5252" s="8">
        <v>0</v>
      </c>
      <c r="F5252" s="8">
        <v>0</v>
      </c>
      <c r="G5252" s="8">
        <v>11</v>
      </c>
      <c r="H5252" s="8" t="s">
        <v>10824</v>
      </c>
      <c r="I5252" s="8">
        <v>533.0625</v>
      </c>
      <c r="J5252" s="3">
        <f t="shared" si="82"/>
        <v>43747.854650671296</v>
      </c>
    </row>
    <row r="5253" spans="1:10" x14ac:dyDescent="0.25">
      <c r="A5253" s="5" t="s">
        <v>10825</v>
      </c>
      <c r="B5253" s="6">
        <v>415.625</v>
      </c>
      <c r="C5253" s="6">
        <v>20.478950000000001</v>
      </c>
      <c r="D5253" s="6">
        <v>74</v>
      </c>
      <c r="E5253" s="6">
        <v>0</v>
      </c>
      <c r="F5253" s="6">
        <v>0</v>
      </c>
      <c r="G5253" s="6">
        <v>13</v>
      </c>
      <c r="H5253" s="6" t="s">
        <v>10826</v>
      </c>
      <c r="I5253" s="6">
        <v>533.0625</v>
      </c>
      <c r="J5253" s="2">
        <f t="shared" si="82"/>
        <v>43747.854728946761</v>
      </c>
    </row>
    <row r="5254" spans="1:10" x14ac:dyDescent="0.25">
      <c r="A5254" s="7" t="s">
        <v>10827</v>
      </c>
      <c r="B5254" s="8">
        <v>412.5</v>
      </c>
      <c r="C5254" s="8">
        <v>20.531590000000001</v>
      </c>
      <c r="D5254" s="8">
        <v>74</v>
      </c>
      <c r="E5254" s="8">
        <v>0</v>
      </c>
      <c r="F5254" s="8">
        <v>0</v>
      </c>
      <c r="G5254" s="8">
        <v>14</v>
      </c>
      <c r="H5254" s="8" t="s">
        <v>10828</v>
      </c>
      <c r="I5254" s="8">
        <v>532.3125</v>
      </c>
      <c r="J5254" s="3">
        <f t="shared" si="82"/>
        <v>43747.854805648145</v>
      </c>
    </row>
    <row r="5255" spans="1:10" x14ac:dyDescent="0.25">
      <c r="A5255" s="5" t="s">
        <v>10829</v>
      </c>
      <c r="B5255" s="6">
        <v>409.375</v>
      </c>
      <c r="C5255" s="6">
        <v>20.478950000000001</v>
      </c>
      <c r="D5255" s="6">
        <v>73</v>
      </c>
      <c r="E5255" s="6">
        <v>0</v>
      </c>
      <c r="F5255" s="6">
        <v>0</v>
      </c>
      <c r="G5255" s="6">
        <v>12</v>
      </c>
      <c r="H5255" s="6" t="s">
        <v>10830</v>
      </c>
      <c r="I5255" s="6">
        <v>531.5625</v>
      </c>
      <c r="J5255" s="2">
        <f t="shared" si="82"/>
        <v>43747.854889224538</v>
      </c>
    </row>
    <row r="5256" spans="1:10" x14ac:dyDescent="0.25">
      <c r="A5256" s="7" t="s">
        <v>10831</v>
      </c>
      <c r="B5256" s="8">
        <v>409.375</v>
      </c>
      <c r="C5256" s="8">
        <v>20.531590000000001</v>
      </c>
      <c r="D5256" s="8">
        <v>73</v>
      </c>
      <c r="E5256" s="8">
        <v>0</v>
      </c>
      <c r="F5256" s="8">
        <v>0</v>
      </c>
      <c r="G5256" s="8">
        <v>15</v>
      </c>
      <c r="H5256" s="8" t="s">
        <v>10832</v>
      </c>
      <c r="I5256" s="8">
        <v>531.5625</v>
      </c>
      <c r="J5256" s="3">
        <f t="shared" si="82"/>
        <v>43747.854972662033</v>
      </c>
    </row>
    <row r="5257" spans="1:10" x14ac:dyDescent="0.25">
      <c r="A5257" s="5" t="s">
        <v>10833</v>
      </c>
      <c r="B5257" s="6">
        <v>409.375</v>
      </c>
      <c r="C5257" s="6">
        <v>20.478950000000001</v>
      </c>
      <c r="D5257" s="6">
        <v>73</v>
      </c>
      <c r="E5257" s="6">
        <v>0</v>
      </c>
      <c r="F5257" s="6">
        <v>0</v>
      </c>
      <c r="G5257" s="6">
        <v>10</v>
      </c>
      <c r="H5257" s="6" t="s">
        <v>10834</v>
      </c>
      <c r="I5257" s="6">
        <v>531.375</v>
      </c>
      <c r="J5257" s="2">
        <f t="shared" si="82"/>
        <v>43747.855056249995</v>
      </c>
    </row>
    <row r="5258" spans="1:10" x14ac:dyDescent="0.25">
      <c r="A5258" s="7" t="s">
        <v>10835</v>
      </c>
      <c r="B5258" s="8">
        <v>409.375</v>
      </c>
      <c r="C5258" s="8">
        <v>20.478950000000001</v>
      </c>
      <c r="D5258" s="8">
        <v>74</v>
      </c>
      <c r="E5258" s="8">
        <v>0</v>
      </c>
      <c r="F5258" s="8">
        <v>0</v>
      </c>
      <c r="G5258" s="8">
        <v>17</v>
      </c>
      <c r="H5258" s="8" t="s">
        <v>10836</v>
      </c>
      <c r="I5258" s="8">
        <v>531.5625</v>
      </c>
      <c r="J5258" s="3">
        <f t="shared" si="82"/>
        <v>43747.855127638883</v>
      </c>
    </row>
    <row r="5259" spans="1:10" x14ac:dyDescent="0.25">
      <c r="A5259" s="5" t="s">
        <v>10837</v>
      </c>
      <c r="B5259" s="6">
        <v>406.25</v>
      </c>
      <c r="C5259" s="6">
        <v>20.478950000000001</v>
      </c>
      <c r="D5259" s="6">
        <v>74</v>
      </c>
      <c r="E5259" s="6">
        <v>0</v>
      </c>
      <c r="F5259" s="6">
        <v>0</v>
      </c>
      <c r="G5259" s="6">
        <v>18</v>
      </c>
      <c r="H5259" s="6" t="s">
        <v>10838</v>
      </c>
      <c r="I5259" s="6">
        <v>530.8125</v>
      </c>
      <c r="J5259" s="2">
        <f t="shared" si="82"/>
        <v>43747.8551992824</v>
      </c>
    </row>
    <row r="5260" spans="1:10" x14ac:dyDescent="0.25">
      <c r="A5260" s="7" t="s">
        <v>10839</v>
      </c>
      <c r="B5260" s="8">
        <v>406.25</v>
      </c>
      <c r="C5260" s="8">
        <v>20.478950000000001</v>
      </c>
      <c r="D5260" s="8">
        <v>72</v>
      </c>
      <c r="E5260" s="8">
        <v>0</v>
      </c>
      <c r="F5260" s="8">
        <v>0</v>
      </c>
      <c r="G5260" s="8">
        <v>12</v>
      </c>
      <c r="H5260" s="8" t="s">
        <v>10840</v>
      </c>
      <c r="I5260" s="8">
        <v>530.625</v>
      </c>
      <c r="J5260" s="3">
        <f t="shared" si="82"/>
        <v>43747.855282384255</v>
      </c>
    </row>
    <row r="5261" spans="1:10" x14ac:dyDescent="0.25">
      <c r="A5261" s="5" t="s">
        <v>10841</v>
      </c>
      <c r="B5261" s="6">
        <v>406.25</v>
      </c>
      <c r="C5261" s="6">
        <v>20.478950000000001</v>
      </c>
      <c r="D5261" s="6">
        <v>72</v>
      </c>
      <c r="E5261" s="6">
        <v>0</v>
      </c>
      <c r="F5261" s="6">
        <v>0</v>
      </c>
      <c r="G5261" s="6">
        <v>11</v>
      </c>
      <c r="H5261" s="6" t="s">
        <v>10842</v>
      </c>
      <c r="I5261" s="6">
        <v>530.625</v>
      </c>
      <c r="J5261" s="2">
        <f t="shared" si="82"/>
        <v>43747.855353923609</v>
      </c>
    </row>
    <row r="5262" spans="1:10" x14ac:dyDescent="0.25">
      <c r="A5262" s="7" t="s">
        <v>10843</v>
      </c>
      <c r="B5262" s="8">
        <v>406.25</v>
      </c>
      <c r="C5262" s="8">
        <v>20.478950000000001</v>
      </c>
      <c r="D5262" s="8">
        <v>71</v>
      </c>
      <c r="E5262" s="8">
        <v>0</v>
      </c>
      <c r="F5262" s="8">
        <v>0</v>
      </c>
      <c r="G5262" s="8">
        <v>13</v>
      </c>
      <c r="H5262" s="8" t="s">
        <v>10844</v>
      </c>
      <c r="I5262" s="8">
        <v>530.625</v>
      </c>
      <c r="J5262" s="3">
        <f t="shared" si="82"/>
        <v>43747.855437708327</v>
      </c>
    </row>
    <row r="5263" spans="1:10" x14ac:dyDescent="0.25">
      <c r="A5263" s="5" t="s">
        <v>10845</v>
      </c>
      <c r="B5263" s="6">
        <v>406.25</v>
      </c>
      <c r="C5263" s="6">
        <v>20.478950000000001</v>
      </c>
      <c r="D5263" s="6">
        <v>73</v>
      </c>
      <c r="E5263" s="6">
        <v>0</v>
      </c>
      <c r="F5263" s="6">
        <v>0</v>
      </c>
      <c r="G5263" s="6">
        <v>17</v>
      </c>
      <c r="H5263" s="6" t="s">
        <v>10846</v>
      </c>
      <c r="I5263" s="6">
        <v>530.625</v>
      </c>
      <c r="J5263" s="2">
        <f t="shared" si="82"/>
        <v>43747.855521157406</v>
      </c>
    </row>
    <row r="5264" spans="1:10" x14ac:dyDescent="0.25">
      <c r="A5264" s="7" t="s">
        <v>10847</v>
      </c>
      <c r="B5264" s="8">
        <v>409.375</v>
      </c>
      <c r="C5264" s="8">
        <v>20.478950000000001</v>
      </c>
      <c r="D5264" s="8">
        <v>72</v>
      </c>
      <c r="E5264" s="8">
        <v>0</v>
      </c>
      <c r="F5264" s="8">
        <v>0</v>
      </c>
      <c r="G5264" s="8">
        <v>13</v>
      </c>
      <c r="H5264" s="8" t="s">
        <v>10848</v>
      </c>
      <c r="I5264" s="8">
        <v>531.5625</v>
      </c>
      <c r="J5264" s="3">
        <f t="shared" si="82"/>
        <v>43747.855604374992</v>
      </c>
    </row>
    <row r="5265" spans="1:10" x14ac:dyDescent="0.25">
      <c r="A5265" s="5" t="s">
        <v>10849</v>
      </c>
      <c r="B5265" s="6">
        <v>409.375</v>
      </c>
      <c r="C5265" s="6">
        <v>20.478950000000001</v>
      </c>
      <c r="D5265" s="6">
        <v>71</v>
      </c>
      <c r="E5265" s="6">
        <v>0</v>
      </c>
      <c r="F5265" s="6">
        <v>0</v>
      </c>
      <c r="G5265" s="6">
        <v>15</v>
      </c>
      <c r="H5265" s="6" t="s">
        <v>10850</v>
      </c>
      <c r="I5265" s="6">
        <v>531.5625</v>
      </c>
      <c r="J5265" s="2">
        <f t="shared" si="82"/>
        <v>43747.855699988424</v>
      </c>
    </row>
    <row r="5266" spans="1:10" x14ac:dyDescent="0.25">
      <c r="A5266" s="7" t="s">
        <v>10851</v>
      </c>
      <c r="B5266" s="8">
        <v>409.375</v>
      </c>
      <c r="C5266" s="8">
        <v>20.478950000000001</v>
      </c>
      <c r="D5266" s="8">
        <v>71</v>
      </c>
      <c r="E5266" s="8">
        <v>0</v>
      </c>
      <c r="F5266" s="8">
        <v>0</v>
      </c>
      <c r="G5266" s="8">
        <v>19</v>
      </c>
      <c r="H5266" s="8" t="s">
        <v>10852</v>
      </c>
      <c r="I5266" s="8">
        <v>531.5625</v>
      </c>
      <c r="J5266" s="3">
        <f t="shared" si="82"/>
        <v>43747.855783576386</v>
      </c>
    </row>
    <row r="5267" spans="1:10" x14ac:dyDescent="0.25">
      <c r="A5267" s="5" t="s">
        <v>10853</v>
      </c>
      <c r="B5267" s="6">
        <v>409.375</v>
      </c>
      <c r="C5267" s="6">
        <v>20.478950000000001</v>
      </c>
      <c r="D5267" s="6">
        <v>71</v>
      </c>
      <c r="E5267" s="6">
        <v>0</v>
      </c>
      <c r="F5267" s="6">
        <v>0</v>
      </c>
      <c r="G5267" s="6">
        <v>14</v>
      </c>
      <c r="H5267" s="6" t="s">
        <v>10854</v>
      </c>
      <c r="I5267" s="6">
        <v>531.5625</v>
      </c>
      <c r="J5267" s="2">
        <f t="shared" si="82"/>
        <v>43747.855855081019</v>
      </c>
    </row>
    <row r="5268" spans="1:10" x14ac:dyDescent="0.25">
      <c r="A5268" s="7" t="s">
        <v>10855</v>
      </c>
      <c r="B5268" s="8">
        <v>409.375</v>
      </c>
      <c r="C5268" s="8">
        <v>20.478950000000001</v>
      </c>
      <c r="D5268" s="8">
        <v>73</v>
      </c>
      <c r="E5268" s="8">
        <v>0</v>
      </c>
      <c r="F5268" s="8">
        <v>0</v>
      </c>
      <c r="G5268" s="8">
        <v>11</v>
      </c>
      <c r="H5268" s="8" t="s">
        <v>10856</v>
      </c>
      <c r="I5268" s="8">
        <v>531.375</v>
      </c>
      <c r="J5268" s="3">
        <f t="shared" si="82"/>
        <v>43747.85593853009</v>
      </c>
    </row>
    <row r="5269" spans="1:10" x14ac:dyDescent="0.25">
      <c r="A5269" s="5" t="s">
        <v>10857</v>
      </c>
      <c r="B5269" s="6">
        <v>409.375</v>
      </c>
      <c r="C5269" s="6">
        <v>20.478950000000001</v>
      </c>
      <c r="D5269" s="6">
        <v>72</v>
      </c>
      <c r="E5269" s="6">
        <v>0</v>
      </c>
      <c r="F5269" s="6">
        <v>0</v>
      </c>
      <c r="G5269" s="6">
        <v>11</v>
      </c>
      <c r="H5269" s="6" t="s">
        <v>10858</v>
      </c>
      <c r="I5269" s="6">
        <v>531.5625</v>
      </c>
      <c r="J5269" s="2">
        <f t="shared" si="82"/>
        <v>43747.856010069438</v>
      </c>
    </row>
    <row r="5270" spans="1:10" x14ac:dyDescent="0.25">
      <c r="A5270" s="7" t="s">
        <v>10859</v>
      </c>
      <c r="B5270" s="8">
        <v>412.5</v>
      </c>
      <c r="C5270" s="8">
        <v>20.478950000000001</v>
      </c>
      <c r="D5270" s="8">
        <v>70</v>
      </c>
      <c r="E5270" s="8">
        <v>0</v>
      </c>
      <c r="F5270" s="8">
        <v>0</v>
      </c>
      <c r="G5270" s="8">
        <v>11</v>
      </c>
      <c r="H5270" s="8" t="s">
        <v>10860</v>
      </c>
      <c r="I5270" s="8">
        <v>532.3125</v>
      </c>
      <c r="J5270" s="3">
        <f t="shared" si="82"/>
        <v>43747.856093263887</v>
      </c>
    </row>
    <row r="5271" spans="1:10" x14ac:dyDescent="0.25">
      <c r="A5271" s="5" t="s">
        <v>10861</v>
      </c>
      <c r="B5271" s="6">
        <v>412.5</v>
      </c>
      <c r="C5271" s="6">
        <v>20.478950000000001</v>
      </c>
      <c r="D5271" s="6">
        <v>70</v>
      </c>
      <c r="E5271" s="6">
        <v>0</v>
      </c>
      <c r="F5271" s="6">
        <v>0</v>
      </c>
      <c r="G5271" s="6">
        <v>12</v>
      </c>
      <c r="H5271" s="6" t="s">
        <v>10862</v>
      </c>
      <c r="I5271" s="6">
        <v>532.3125</v>
      </c>
      <c r="J5271" s="2">
        <f t="shared" si="82"/>
        <v>43747.856165046294</v>
      </c>
    </row>
    <row r="5272" spans="1:10" x14ac:dyDescent="0.25">
      <c r="A5272" s="7" t="s">
        <v>10863</v>
      </c>
      <c r="B5272" s="8">
        <v>412.5</v>
      </c>
      <c r="C5272" s="8">
        <v>20.478950000000001</v>
      </c>
      <c r="D5272" s="8">
        <v>69</v>
      </c>
      <c r="E5272" s="8">
        <v>0</v>
      </c>
      <c r="F5272" s="8">
        <v>0</v>
      </c>
      <c r="G5272" s="8">
        <v>13</v>
      </c>
      <c r="H5272" s="8" t="s">
        <v>10864</v>
      </c>
      <c r="I5272" s="8">
        <v>532.3125</v>
      </c>
      <c r="J5272" s="3">
        <f t="shared" si="82"/>
        <v>43747.856248587959</v>
      </c>
    </row>
    <row r="5273" spans="1:10" x14ac:dyDescent="0.25">
      <c r="A5273" s="5" t="s">
        <v>10865</v>
      </c>
      <c r="B5273" s="6">
        <v>409.375</v>
      </c>
      <c r="C5273" s="6">
        <v>20.478950000000001</v>
      </c>
      <c r="D5273" s="6">
        <v>69</v>
      </c>
      <c r="E5273" s="6">
        <v>0</v>
      </c>
      <c r="F5273" s="6">
        <v>0</v>
      </c>
      <c r="G5273" s="6">
        <v>8</v>
      </c>
      <c r="H5273" s="6" t="s">
        <v>10866</v>
      </c>
      <c r="I5273" s="6">
        <v>531.5625</v>
      </c>
      <c r="J5273" s="2">
        <f t="shared" si="82"/>
        <v>43747.856331921292</v>
      </c>
    </row>
    <row r="5274" spans="1:10" x14ac:dyDescent="0.25">
      <c r="A5274" s="7" t="s">
        <v>10867</v>
      </c>
      <c r="B5274" s="8">
        <v>409.375</v>
      </c>
      <c r="C5274" s="8">
        <v>20.478950000000001</v>
      </c>
      <c r="D5274" s="8">
        <v>69</v>
      </c>
      <c r="E5274" s="8">
        <v>0</v>
      </c>
      <c r="F5274" s="8">
        <v>0</v>
      </c>
      <c r="G5274" s="8">
        <v>10</v>
      </c>
      <c r="H5274" s="8" t="s">
        <v>10868</v>
      </c>
      <c r="I5274" s="8">
        <v>531.5625</v>
      </c>
      <c r="J5274" s="3">
        <f t="shared" si="82"/>
        <v>43747.856415509254</v>
      </c>
    </row>
    <row r="5275" spans="1:10" x14ac:dyDescent="0.25">
      <c r="A5275" s="5" t="s">
        <v>10869</v>
      </c>
      <c r="B5275" s="6">
        <v>428.125</v>
      </c>
      <c r="C5275" s="6">
        <v>20.531590000000001</v>
      </c>
      <c r="D5275" s="6">
        <v>69</v>
      </c>
      <c r="E5275" s="6">
        <v>0</v>
      </c>
      <c r="F5275" s="6">
        <v>0</v>
      </c>
      <c r="G5275" s="6">
        <v>10</v>
      </c>
      <c r="H5275" s="6" t="s">
        <v>10870</v>
      </c>
      <c r="I5275" s="6">
        <v>537</v>
      </c>
      <c r="J5275" s="2">
        <f t="shared" si="82"/>
        <v>43747.856498946756</v>
      </c>
    </row>
    <row r="5276" spans="1:10" x14ac:dyDescent="0.25">
      <c r="A5276" s="7" t="s">
        <v>10871</v>
      </c>
      <c r="B5276" s="8">
        <v>406.25</v>
      </c>
      <c r="C5276" s="8">
        <v>20.478950000000001</v>
      </c>
      <c r="D5276" s="8">
        <v>69</v>
      </c>
      <c r="E5276" s="8">
        <v>0</v>
      </c>
      <c r="F5276" s="8">
        <v>0</v>
      </c>
      <c r="G5276" s="8">
        <v>15</v>
      </c>
      <c r="H5276" s="8" t="s">
        <v>10872</v>
      </c>
      <c r="I5276" s="8">
        <v>530.625</v>
      </c>
      <c r="J5276" s="3">
        <f t="shared" si="82"/>
        <v>43747.856582141198</v>
      </c>
    </row>
    <row r="5277" spans="1:10" x14ac:dyDescent="0.25">
      <c r="A5277" s="5" t="s">
        <v>10873</v>
      </c>
      <c r="B5277" s="6">
        <v>409.375</v>
      </c>
      <c r="C5277" s="6">
        <v>20.478950000000001</v>
      </c>
      <c r="D5277" s="6">
        <v>70</v>
      </c>
      <c r="E5277" s="6">
        <v>0</v>
      </c>
      <c r="F5277" s="6">
        <v>0</v>
      </c>
      <c r="G5277" s="6">
        <v>14</v>
      </c>
      <c r="H5277" s="6" t="s">
        <v>10874</v>
      </c>
      <c r="I5277" s="6">
        <v>531.375</v>
      </c>
      <c r="J5277" s="2">
        <f t="shared" si="82"/>
        <v>43747.856665949068</v>
      </c>
    </row>
    <row r="5278" spans="1:10" x14ac:dyDescent="0.25">
      <c r="A5278" s="7" t="s">
        <v>10875</v>
      </c>
      <c r="B5278" s="8">
        <v>406.25</v>
      </c>
      <c r="C5278" s="8">
        <v>20.478950000000001</v>
      </c>
      <c r="D5278" s="8">
        <v>69</v>
      </c>
      <c r="E5278" s="8">
        <v>0</v>
      </c>
      <c r="F5278" s="8">
        <v>0</v>
      </c>
      <c r="G5278" s="8">
        <v>18</v>
      </c>
      <c r="H5278" s="8" t="s">
        <v>10876</v>
      </c>
      <c r="I5278" s="8">
        <v>530.625</v>
      </c>
      <c r="J5278" s="3">
        <f t="shared" si="82"/>
        <v>43747.85674953703</v>
      </c>
    </row>
    <row r="5279" spans="1:10" x14ac:dyDescent="0.25">
      <c r="A5279" s="5" t="s">
        <v>10877</v>
      </c>
      <c r="B5279" s="6">
        <v>406.25</v>
      </c>
      <c r="C5279" s="6">
        <v>20.478950000000001</v>
      </c>
      <c r="D5279" s="6">
        <v>69</v>
      </c>
      <c r="E5279" s="6">
        <v>0</v>
      </c>
      <c r="F5279" s="6">
        <v>0</v>
      </c>
      <c r="G5279" s="6">
        <v>16</v>
      </c>
      <c r="H5279" s="6" t="s">
        <v>10878</v>
      </c>
      <c r="I5279" s="6">
        <v>530.625</v>
      </c>
      <c r="J5279" s="2">
        <f t="shared" si="82"/>
        <v>43747.856832858793</v>
      </c>
    </row>
    <row r="5280" spans="1:10" x14ac:dyDescent="0.25">
      <c r="A5280" s="7" t="s">
        <v>10879</v>
      </c>
      <c r="B5280" s="8">
        <v>409.375</v>
      </c>
      <c r="C5280" s="8">
        <v>20.478950000000001</v>
      </c>
      <c r="D5280" s="8">
        <v>68</v>
      </c>
      <c r="E5280" s="8">
        <v>0</v>
      </c>
      <c r="F5280" s="8">
        <v>0</v>
      </c>
      <c r="G5280" s="8">
        <v>21</v>
      </c>
      <c r="H5280" s="8" t="s">
        <v>10880</v>
      </c>
      <c r="I5280" s="8">
        <v>531.5625</v>
      </c>
      <c r="J5280" s="3">
        <f t="shared" si="82"/>
        <v>43747.856928229165</v>
      </c>
    </row>
    <row r="5281" spans="1:10" x14ac:dyDescent="0.25">
      <c r="A5281" s="5" t="s">
        <v>10881</v>
      </c>
      <c r="B5281" s="6">
        <v>409.375</v>
      </c>
      <c r="C5281" s="6">
        <v>20.478950000000001</v>
      </c>
      <c r="D5281" s="6">
        <v>68</v>
      </c>
      <c r="E5281" s="6">
        <v>0</v>
      </c>
      <c r="F5281" s="6">
        <v>0</v>
      </c>
      <c r="G5281" s="6">
        <v>6</v>
      </c>
      <c r="H5281" s="6" t="s">
        <v>10882</v>
      </c>
      <c r="I5281" s="6">
        <v>531.5625</v>
      </c>
      <c r="J5281" s="2">
        <f t="shared" si="82"/>
        <v>43747.857011932872</v>
      </c>
    </row>
    <row r="5282" spans="1:10" x14ac:dyDescent="0.25">
      <c r="A5282" s="7" t="s">
        <v>10883</v>
      </c>
      <c r="B5282" s="8">
        <v>406.25</v>
      </c>
      <c r="C5282" s="8">
        <v>20.478950000000001</v>
      </c>
      <c r="D5282" s="8">
        <v>68</v>
      </c>
      <c r="E5282" s="8">
        <v>0</v>
      </c>
      <c r="F5282" s="8">
        <v>0</v>
      </c>
      <c r="G5282" s="8">
        <v>15</v>
      </c>
      <c r="H5282" s="8" t="s">
        <v>10884</v>
      </c>
      <c r="I5282" s="8">
        <v>530.625</v>
      </c>
      <c r="J5282" s="3">
        <f t="shared" si="82"/>
        <v>43747.857095266205</v>
      </c>
    </row>
    <row r="5283" spans="1:10" x14ac:dyDescent="0.25">
      <c r="A5283" s="5" t="s">
        <v>10885</v>
      </c>
      <c r="B5283" s="6">
        <v>406.25</v>
      </c>
      <c r="C5283" s="6">
        <v>20.478950000000001</v>
      </c>
      <c r="D5283" s="6">
        <v>71</v>
      </c>
      <c r="E5283" s="6">
        <v>0</v>
      </c>
      <c r="F5283" s="6">
        <v>0</v>
      </c>
      <c r="G5283" s="6">
        <v>12</v>
      </c>
      <c r="H5283" s="6" t="s">
        <v>10886</v>
      </c>
      <c r="I5283" s="6">
        <v>530.8125</v>
      </c>
      <c r="J5283" s="2">
        <f t="shared" si="82"/>
        <v>43747.857178587961</v>
      </c>
    </row>
    <row r="5284" spans="1:10" x14ac:dyDescent="0.25">
      <c r="A5284" s="7" t="s">
        <v>10887</v>
      </c>
      <c r="B5284" s="8">
        <v>406.25</v>
      </c>
      <c r="C5284" s="8">
        <v>20.478950000000001</v>
      </c>
      <c r="D5284" s="8">
        <v>72</v>
      </c>
      <c r="E5284" s="8">
        <v>0</v>
      </c>
      <c r="F5284" s="8">
        <v>0</v>
      </c>
      <c r="G5284" s="8">
        <v>22</v>
      </c>
      <c r="H5284" s="8" t="s">
        <v>10888</v>
      </c>
      <c r="I5284" s="8">
        <v>530.8125</v>
      </c>
      <c r="J5284" s="3">
        <f t="shared" si="82"/>
        <v>43747.857262268517</v>
      </c>
    </row>
    <row r="5285" spans="1:10" x14ac:dyDescent="0.25">
      <c r="A5285" s="5" t="s">
        <v>10889</v>
      </c>
      <c r="B5285" s="6">
        <v>409.375</v>
      </c>
      <c r="C5285" s="6">
        <v>20.478950000000001</v>
      </c>
      <c r="D5285" s="6">
        <v>72</v>
      </c>
      <c r="E5285" s="6">
        <v>0</v>
      </c>
      <c r="F5285" s="6">
        <v>0</v>
      </c>
      <c r="G5285" s="6">
        <v>6</v>
      </c>
      <c r="H5285" s="6" t="s">
        <v>10890</v>
      </c>
      <c r="I5285" s="6">
        <v>531.5625</v>
      </c>
      <c r="J5285" s="2">
        <f t="shared" si="82"/>
        <v>43747.857345393517</v>
      </c>
    </row>
    <row r="5286" spans="1:10" x14ac:dyDescent="0.25">
      <c r="A5286" s="7" t="s">
        <v>10891</v>
      </c>
      <c r="B5286" s="8">
        <v>428.125</v>
      </c>
      <c r="C5286" s="8">
        <v>20.478950000000001</v>
      </c>
      <c r="D5286" s="8">
        <v>72</v>
      </c>
      <c r="E5286" s="8">
        <v>0</v>
      </c>
      <c r="F5286" s="8">
        <v>0</v>
      </c>
      <c r="G5286" s="8">
        <v>12</v>
      </c>
      <c r="H5286" s="8" t="s">
        <v>10892</v>
      </c>
      <c r="I5286" s="8">
        <v>537.1875</v>
      </c>
      <c r="J5286" s="3">
        <f t="shared" si="82"/>
        <v>43747.857416909719</v>
      </c>
    </row>
    <row r="5287" spans="1:10" x14ac:dyDescent="0.25">
      <c r="A5287" s="5" t="s">
        <v>10893</v>
      </c>
      <c r="B5287" s="6">
        <v>412.5</v>
      </c>
      <c r="C5287" s="6">
        <v>20.478950000000001</v>
      </c>
      <c r="D5287" s="6">
        <v>73</v>
      </c>
      <c r="E5287" s="6">
        <v>0</v>
      </c>
      <c r="F5287" s="6">
        <v>0</v>
      </c>
      <c r="G5287" s="6">
        <v>17</v>
      </c>
      <c r="H5287" s="6" t="s">
        <v>10894</v>
      </c>
      <c r="I5287" s="6">
        <v>532.3125</v>
      </c>
      <c r="J5287" s="2">
        <f t="shared" si="82"/>
        <v>43747.857500682869</v>
      </c>
    </row>
    <row r="5288" spans="1:10" x14ac:dyDescent="0.25">
      <c r="A5288" s="7" t="s">
        <v>10895</v>
      </c>
      <c r="B5288" s="8">
        <v>415.625</v>
      </c>
      <c r="C5288" s="8">
        <v>20.478950000000001</v>
      </c>
      <c r="D5288" s="8">
        <v>72</v>
      </c>
      <c r="E5288" s="8">
        <v>0</v>
      </c>
      <c r="F5288" s="8">
        <v>0</v>
      </c>
      <c r="G5288" s="8">
        <v>9</v>
      </c>
      <c r="H5288" s="8" t="s">
        <v>10896</v>
      </c>
      <c r="I5288" s="8">
        <v>533.25</v>
      </c>
      <c r="J5288" s="3">
        <f t="shared" si="82"/>
        <v>43747.857572314817</v>
      </c>
    </row>
    <row r="5289" spans="1:10" x14ac:dyDescent="0.25">
      <c r="A5289" s="5" t="s">
        <v>10897</v>
      </c>
      <c r="B5289" s="6">
        <v>415.625</v>
      </c>
      <c r="C5289" s="6">
        <v>20.478950000000001</v>
      </c>
      <c r="D5289" s="6">
        <v>71</v>
      </c>
      <c r="E5289" s="6">
        <v>0</v>
      </c>
      <c r="F5289" s="6">
        <v>0</v>
      </c>
      <c r="G5289" s="6">
        <v>10</v>
      </c>
      <c r="H5289" s="6" t="s">
        <v>10898</v>
      </c>
      <c r="I5289" s="6">
        <v>533.0625</v>
      </c>
      <c r="J5289" s="2">
        <f t="shared" si="82"/>
        <v>43747.85764376157</v>
      </c>
    </row>
    <row r="5290" spans="1:10" x14ac:dyDescent="0.25">
      <c r="A5290" s="7" t="s">
        <v>10899</v>
      </c>
      <c r="B5290" s="8">
        <v>415.625</v>
      </c>
      <c r="C5290" s="8">
        <v>20.478950000000001</v>
      </c>
      <c r="D5290" s="8">
        <v>71</v>
      </c>
      <c r="E5290" s="8">
        <v>0</v>
      </c>
      <c r="F5290" s="8">
        <v>0</v>
      </c>
      <c r="G5290" s="8">
        <v>15</v>
      </c>
      <c r="H5290" s="8" t="s">
        <v>10900</v>
      </c>
      <c r="I5290" s="8">
        <v>533.0625</v>
      </c>
      <c r="J5290" s="3">
        <f t="shared" si="82"/>
        <v>43747.857727523144</v>
      </c>
    </row>
    <row r="5291" spans="1:10" x14ac:dyDescent="0.25">
      <c r="A5291" s="5" t="s">
        <v>10901</v>
      </c>
      <c r="B5291" s="6">
        <v>415.625</v>
      </c>
      <c r="C5291" s="6">
        <v>20.478950000000001</v>
      </c>
      <c r="D5291" s="6">
        <v>71</v>
      </c>
      <c r="E5291" s="6">
        <v>0</v>
      </c>
      <c r="F5291" s="6">
        <v>0</v>
      </c>
      <c r="G5291" s="6">
        <v>15</v>
      </c>
      <c r="H5291" s="6" t="s">
        <v>10902</v>
      </c>
      <c r="I5291" s="6">
        <v>533.0625</v>
      </c>
      <c r="J5291" s="2">
        <f t="shared" si="82"/>
        <v>43747.857798831021</v>
      </c>
    </row>
    <row r="5292" spans="1:10" x14ac:dyDescent="0.25">
      <c r="A5292" s="7" t="s">
        <v>10903</v>
      </c>
      <c r="B5292" s="8">
        <v>415.625</v>
      </c>
      <c r="C5292" s="8">
        <v>20.478950000000001</v>
      </c>
      <c r="D5292" s="8">
        <v>71</v>
      </c>
      <c r="E5292" s="8">
        <v>0</v>
      </c>
      <c r="F5292" s="8">
        <v>0</v>
      </c>
      <c r="G5292" s="8">
        <v>12</v>
      </c>
      <c r="H5292" s="8" t="s">
        <v>10904</v>
      </c>
      <c r="I5292" s="8">
        <v>533.25</v>
      </c>
      <c r="J5292" s="3">
        <f t="shared" si="82"/>
        <v>43747.857882303237</v>
      </c>
    </row>
    <row r="5293" spans="1:10" x14ac:dyDescent="0.25">
      <c r="A5293" s="5" t="s">
        <v>10905</v>
      </c>
      <c r="B5293" s="6">
        <v>412.5</v>
      </c>
      <c r="C5293" s="6">
        <v>20.478950000000001</v>
      </c>
      <c r="D5293" s="6">
        <v>70</v>
      </c>
      <c r="E5293" s="6">
        <v>0</v>
      </c>
      <c r="F5293" s="6">
        <v>0</v>
      </c>
      <c r="G5293" s="6">
        <v>25</v>
      </c>
      <c r="H5293" s="6" t="s">
        <v>10906</v>
      </c>
      <c r="I5293" s="6">
        <v>532.3125</v>
      </c>
      <c r="J5293" s="2">
        <f t="shared" si="82"/>
        <v>43747.857965729163</v>
      </c>
    </row>
    <row r="5294" spans="1:10" x14ac:dyDescent="0.25">
      <c r="A5294" s="7" t="s">
        <v>10907</v>
      </c>
      <c r="B5294" s="8">
        <v>412.5</v>
      </c>
      <c r="C5294" s="8">
        <v>20.478950000000001</v>
      </c>
      <c r="D5294" s="8">
        <v>71</v>
      </c>
      <c r="E5294" s="8">
        <v>0</v>
      </c>
      <c r="F5294" s="8">
        <v>0</v>
      </c>
      <c r="G5294" s="8">
        <v>7</v>
      </c>
      <c r="H5294" s="8" t="s">
        <v>10908</v>
      </c>
      <c r="I5294" s="8">
        <v>532.3125</v>
      </c>
      <c r="J5294" s="3">
        <f t="shared" si="82"/>
        <v>43747.858048958333</v>
      </c>
    </row>
    <row r="5295" spans="1:10" x14ac:dyDescent="0.25">
      <c r="A5295" s="5" t="s">
        <v>10909</v>
      </c>
      <c r="B5295" s="6">
        <v>412.5</v>
      </c>
      <c r="C5295" s="6">
        <v>20.478950000000001</v>
      </c>
      <c r="D5295" s="6">
        <v>71</v>
      </c>
      <c r="E5295" s="6">
        <v>0</v>
      </c>
      <c r="F5295" s="6">
        <v>0</v>
      </c>
      <c r="G5295" s="6">
        <v>7</v>
      </c>
      <c r="H5295" s="6" t="s">
        <v>10910</v>
      </c>
      <c r="I5295" s="6">
        <v>532.3125</v>
      </c>
      <c r="J5295" s="2">
        <f t="shared" si="82"/>
        <v>43747.858120613419</v>
      </c>
    </row>
    <row r="5296" spans="1:10" x14ac:dyDescent="0.25">
      <c r="A5296" s="7" t="s">
        <v>10911</v>
      </c>
      <c r="B5296" s="8">
        <v>412.5</v>
      </c>
      <c r="C5296" s="8">
        <v>20.478950000000001</v>
      </c>
      <c r="D5296" s="8">
        <v>71</v>
      </c>
      <c r="E5296" s="8">
        <v>0</v>
      </c>
      <c r="F5296" s="8">
        <v>0</v>
      </c>
      <c r="G5296" s="8">
        <v>18</v>
      </c>
      <c r="H5296" s="8" t="s">
        <v>10912</v>
      </c>
      <c r="I5296" s="8">
        <v>532.3125</v>
      </c>
      <c r="J5296" s="3">
        <f t="shared" si="82"/>
        <v>43747.85820416666</v>
      </c>
    </row>
    <row r="5297" spans="1:10" x14ac:dyDescent="0.25">
      <c r="A5297" s="5" t="s">
        <v>10913</v>
      </c>
      <c r="B5297" s="6">
        <v>412.5</v>
      </c>
      <c r="C5297" s="6">
        <v>20.478950000000001</v>
      </c>
      <c r="D5297" s="6">
        <v>71</v>
      </c>
      <c r="E5297" s="6">
        <v>0</v>
      </c>
      <c r="F5297" s="6">
        <v>0</v>
      </c>
      <c r="G5297" s="6">
        <v>15</v>
      </c>
      <c r="H5297" s="6" t="s">
        <v>10914</v>
      </c>
      <c r="I5297" s="6">
        <v>532.5</v>
      </c>
      <c r="J5297" s="2">
        <f t="shared" si="82"/>
        <v>43747.858287731484</v>
      </c>
    </row>
    <row r="5298" spans="1:10" x14ac:dyDescent="0.25">
      <c r="A5298" s="7" t="s">
        <v>10915</v>
      </c>
      <c r="B5298" s="8">
        <v>412.5</v>
      </c>
      <c r="C5298" s="8">
        <v>20.478950000000001</v>
      </c>
      <c r="D5298" s="8">
        <v>70</v>
      </c>
      <c r="E5298" s="8">
        <v>0</v>
      </c>
      <c r="F5298" s="8">
        <v>0</v>
      </c>
      <c r="G5298" s="8">
        <v>17</v>
      </c>
      <c r="H5298" s="8" t="s">
        <v>10916</v>
      </c>
      <c r="I5298" s="8">
        <v>532.3125</v>
      </c>
      <c r="J5298" s="3">
        <f t="shared" si="82"/>
        <v>43747.858371215276</v>
      </c>
    </row>
    <row r="5299" spans="1:10" x14ac:dyDescent="0.25">
      <c r="A5299" s="5" t="s">
        <v>10917</v>
      </c>
      <c r="B5299" s="6">
        <v>412.5</v>
      </c>
      <c r="C5299" s="6">
        <v>20.478950000000001</v>
      </c>
      <c r="D5299" s="6">
        <v>70</v>
      </c>
      <c r="E5299" s="6">
        <v>0</v>
      </c>
      <c r="F5299" s="6">
        <v>0</v>
      </c>
      <c r="G5299" s="6">
        <v>19</v>
      </c>
      <c r="H5299" s="6" t="s">
        <v>10918</v>
      </c>
      <c r="I5299" s="6">
        <v>532.3125</v>
      </c>
      <c r="J5299" s="2">
        <f t="shared" si="82"/>
        <v>43747.858454618057</v>
      </c>
    </row>
    <row r="5300" spans="1:10" x14ac:dyDescent="0.25">
      <c r="A5300" s="7" t="s">
        <v>10919</v>
      </c>
      <c r="B5300" s="8">
        <v>412.5</v>
      </c>
      <c r="C5300" s="8">
        <v>20.478950000000001</v>
      </c>
      <c r="D5300" s="8">
        <v>70</v>
      </c>
      <c r="E5300" s="8">
        <v>0</v>
      </c>
      <c r="F5300" s="8">
        <v>0</v>
      </c>
      <c r="G5300" s="8">
        <v>18</v>
      </c>
      <c r="H5300" s="8" t="s">
        <v>10920</v>
      </c>
      <c r="I5300" s="8">
        <v>532.3125</v>
      </c>
      <c r="J5300" s="3">
        <f t="shared" si="82"/>
        <v>43747.85853784722</v>
      </c>
    </row>
    <row r="5301" spans="1:10" x14ac:dyDescent="0.25">
      <c r="A5301" s="5" t="s">
        <v>10921</v>
      </c>
      <c r="B5301" s="6">
        <v>412.5</v>
      </c>
      <c r="C5301" s="6">
        <v>20.478950000000001</v>
      </c>
      <c r="D5301" s="6">
        <v>71</v>
      </c>
      <c r="E5301" s="6">
        <v>0</v>
      </c>
      <c r="F5301" s="6">
        <v>0</v>
      </c>
      <c r="G5301" s="6">
        <v>16</v>
      </c>
      <c r="H5301" s="6" t="s">
        <v>10922</v>
      </c>
      <c r="I5301" s="6">
        <v>532.3125</v>
      </c>
      <c r="J5301" s="2">
        <f t="shared" si="82"/>
        <v>43747.858621747684</v>
      </c>
    </row>
    <row r="5302" spans="1:10" x14ac:dyDescent="0.25">
      <c r="A5302" s="7" t="s">
        <v>10923</v>
      </c>
      <c r="B5302" s="8">
        <v>431.25</v>
      </c>
      <c r="C5302" s="8">
        <v>20.478950000000001</v>
      </c>
      <c r="D5302" s="8">
        <v>72</v>
      </c>
      <c r="E5302" s="8">
        <v>0</v>
      </c>
      <c r="F5302" s="8">
        <v>0</v>
      </c>
      <c r="G5302" s="8">
        <v>15</v>
      </c>
      <c r="H5302" s="8" t="s">
        <v>10924</v>
      </c>
      <c r="I5302" s="8">
        <v>538.3125</v>
      </c>
      <c r="J5302" s="3">
        <f t="shared" si="82"/>
        <v>43747.858705312501</v>
      </c>
    </row>
    <row r="5303" spans="1:10" x14ac:dyDescent="0.25">
      <c r="A5303" s="5" t="s">
        <v>10925</v>
      </c>
      <c r="B5303" s="6">
        <v>412.5</v>
      </c>
      <c r="C5303" s="6">
        <v>20.478950000000001</v>
      </c>
      <c r="D5303" s="6">
        <v>72</v>
      </c>
      <c r="E5303" s="6">
        <v>0</v>
      </c>
      <c r="F5303" s="6">
        <v>0</v>
      </c>
      <c r="G5303" s="6">
        <v>10</v>
      </c>
      <c r="H5303" s="6" t="s">
        <v>10926</v>
      </c>
      <c r="I5303" s="6">
        <v>532.3125</v>
      </c>
      <c r="J5303" s="2">
        <f t="shared" si="82"/>
        <v>43747.858776631947</v>
      </c>
    </row>
    <row r="5304" spans="1:10" x14ac:dyDescent="0.25">
      <c r="A5304" s="7" t="s">
        <v>10927</v>
      </c>
      <c r="B5304" s="8">
        <v>412.5</v>
      </c>
      <c r="C5304" s="8">
        <v>20.478950000000001</v>
      </c>
      <c r="D5304" s="8">
        <v>72</v>
      </c>
      <c r="E5304" s="8">
        <v>0</v>
      </c>
      <c r="F5304" s="8">
        <v>0</v>
      </c>
      <c r="G5304" s="8">
        <v>13</v>
      </c>
      <c r="H5304" s="8" t="s">
        <v>10928</v>
      </c>
      <c r="I5304" s="8">
        <v>532.3125</v>
      </c>
      <c r="J5304" s="3">
        <f t="shared" si="82"/>
        <v>43747.858859965279</v>
      </c>
    </row>
    <row r="5305" spans="1:10" x14ac:dyDescent="0.25">
      <c r="A5305" s="5" t="s">
        <v>10929</v>
      </c>
      <c r="B5305" s="6">
        <v>412.5</v>
      </c>
      <c r="C5305" s="6">
        <v>20.478950000000001</v>
      </c>
      <c r="D5305" s="6">
        <v>71</v>
      </c>
      <c r="E5305" s="6">
        <v>0</v>
      </c>
      <c r="F5305" s="6">
        <v>0</v>
      </c>
      <c r="G5305" s="6">
        <v>16</v>
      </c>
      <c r="H5305" s="6" t="s">
        <v>10930</v>
      </c>
      <c r="I5305" s="6">
        <v>532.3125</v>
      </c>
      <c r="J5305" s="2">
        <f t="shared" si="82"/>
        <v>43747.858943530089</v>
      </c>
    </row>
    <row r="5306" spans="1:10" x14ac:dyDescent="0.25">
      <c r="A5306" s="7" t="s">
        <v>10931</v>
      </c>
      <c r="B5306" s="8">
        <v>412.5</v>
      </c>
      <c r="C5306" s="8">
        <v>20.478950000000001</v>
      </c>
      <c r="D5306" s="8">
        <v>71</v>
      </c>
      <c r="E5306" s="8">
        <v>0</v>
      </c>
      <c r="F5306" s="8">
        <v>0</v>
      </c>
      <c r="G5306" s="8">
        <v>21</v>
      </c>
      <c r="H5306" s="8" t="s">
        <v>10932</v>
      </c>
      <c r="I5306" s="8">
        <v>532.3125</v>
      </c>
      <c r="J5306" s="3">
        <f t="shared" si="82"/>
        <v>43747.859026724538</v>
      </c>
    </row>
    <row r="5307" spans="1:10" x14ac:dyDescent="0.25">
      <c r="A5307" s="5" t="s">
        <v>10933</v>
      </c>
      <c r="B5307" s="6">
        <v>412.5</v>
      </c>
      <c r="C5307" s="6">
        <v>20.478950000000001</v>
      </c>
      <c r="D5307" s="6">
        <v>71</v>
      </c>
      <c r="E5307" s="6">
        <v>0</v>
      </c>
      <c r="F5307" s="6">
        <v>0</v>
      </c>
      <c r="G5307" s="6">
        <v>14</v>
      </c>
      <c r="H5307" s="6" t="s">
        <v>10934</v>
      </c>
      <c r="I5307" s="6">
        <v>532.3125</v>
      </c>
      <c r="J5307" s="2">
        <f t="shared" si="82"/>
        <v>43747.859098518515</v>
      </c>
    </row>
    <row r="5308" spans="1:10" x14ac:dyDescent="0.25">
      <c r="A5308" s="7" t="s">
        <v>10935</v>
      </c>
      <c r="B5308" s="8">
        <v>412.5</v>
      </c>
      <c r="C5308" s="8">
        <v>20.478950000000001</v>
      </c>
      <c r="D5308" s="8">
        <v>71</v>
      </c>
      <c r="E5308" s="8">
        <v>0</v>
      </c>
      <c r="F5308" s="8">
        <v>0</v>
      </c>
      <c r="G5308" s="8">
        <v>10</v>
      </c>
      <c r="H5308" s="8" t="s">
        <v>10936</v>
      </c>
      <c r="I5308" s="8">
        <v>532.5</v>
      </c>
      <c r="J5308" s="3">
        <f t="shared" si="82"/>
        <v>43747.859182291664</v>
      </c>
    </row>
    <row r="5309" spans="1:10" x14ac:dyDescent="0.25">
      <c r="A5309" s="5" t="s">
        <v>10937</v>
      </c>
      <c r="B5309" s="6">
        <v>412.5</v>
      </c>
      <c r="C5309" s="6">
        <v>20.478950000000001</v>
      </c>
      <c r="D5309" s="6">
        <v>70</v>
      </c>
      <c r="E5309" s="6">
        <v>0</v>
      </c>
      <c r="F5309" s="6">
        <v>0</v>
      </c>
      <c r="G5309" s="6">
        <v>3</v>
      </c>
      <c r="H5309" s="6" t="s">
        <v>10938</v>
      </c>
      <c r="I5309" s="6">
        <v>532.3125</v>
      </c>
      <c r="J5309" s="2">
        <f t="shared" si="82"/>
        <v>43747.859266932872</v>
      </c>
    </row>
    <row r="5310" spans="1:10" x14ac:dyDescent="0.25">
      <c r="A5310" s="7" t="s">
        <v>10939</v>
      </c>
      <c r="B5310" s="8">
        <v>409.375</v>
      </c>
      <c r="C5310" s="8">
        <v>20.478950000000001</v>
      </c>
      <c r="D5310" s="8">
        <v>71</v>
      </c>
      <c r="E5310" s="8">
        <v>0</v>
      </c>
      <c r="F5310" s="8">
        <v>0</v>
      </c>
      <c r="G5310" s="8">
        <v>14</v>
      </c>
      <c r="H5310" s="8" t="s">
        <v>10940</v>
      </c>
      <c r="I5310" s="8">
        <v>531.5625</v>
      </c>
      <c r="J5310" s="3">
        <f t="shared" si="82"/>
        <v>43747.859348854159</v>
      </c>
    </row>
    <row r="5311" spans="1:10" x14ac:dyDescent="0.25">
      <c r="A5311" s="5" t="s">
        <v>10941</v>
      </c>
      <c r="B5311" s="6">
        <v>406.25</v>
      </c>
      <c r="C5311" s="6">
        <v>20.478950000000001</v>
      </c>
      <c r="D5311" s="6">
        <v>71</v>
      </c>
      <c r="E5311" s="6">
        <v>0</v>
      </c>
      <c r="F5311" s="6">
        <v>0</v>
      </c>
      <c r="G5311" s="6">
        <v>18</v>
      </c>
      <c r="H5311" s="6" t="s">
        <v>10942</v>
      </c>
      <c r="I5311" s="6">
        <v>530.625</v>
      </c>
      <c r="J5311" s="2">
        <f t="shared" si="82"/>
        <v>43747.859420486107</v>
      </c>
    </row>
    <row r="5312" spans="1:10" x14ac:dyDescent="0.25">
      <c r="A5312" s="7" t="s">
        <v>10943</v>
      </c>
      <c r="B5312" s="8">
        <v>406.25</v>
      </c>
      <c r="C5312" s="8">
        <v>20.478950000000001</v>
      </c>
      <c r="D5312" s="8">
        <v>76</v>
      </c>
      <c r="E5312" s="8">
        <v>0</v>
      </c>
      <c r="F5312" s="8">
        <v>0</v>
      </c>
      <c r="G5312" s="8">
        <v>16</v>
      </c>
      <c r="H5312" s="8" t="s">
        <v>10944</v>
      </c>
      <c r="I5312" s="8">
        <v>530.8125</v>
      </c>
      <c r="J5312" s="3">
        <f t="shared" si="82"/>
        <v>43747.859504050924</v>
      </c>
    </row>
    <row r="5313" spans="1:10" x14ac:dyDescent="0.25">
      <c r="A5313" s="5" t="s">
        <v>10945</v>
      </c>
      <c r="B5313" s="6">
        <v>406.25</v>
      </c>
      <c r="C5313" s="6">
        <v>20.478950000000001</v>
      </c>
      <c r="D5313" s="6">
        <v>76</v>
      </c>
      <c r="E5313" s="6">
        <v>0</v>
      </c>
      <c r="F5313" s="6">
        <v>0</v>
      </c>
      <c r="G5313" s="6">
        <v>14</v>
      </c>
      <c r="H5313" s="6" t="s">
        <v>10946</v>
      </c>
      <c r="I5313" s="6">
        <v>530.625</v>
      </c>
      <c r="J5313" s="2">
        <f t="shared" si="82"/>
        <v>43747.859599537034</v>
      </c>
    </row>
    <row r="5314" spans="1:10" x14ac:dyDescent="0.25">
      <c r="A5314" s="7" t="s">
        <v>10947</v>
      </c>
      <c r="B5314" s="8">
        <v>403.125</v>
      </c>
      <c r="C5314" s="8">
        <v>20.478950000000001</v>
      </c>
      <c r="D5314" s="8">
        <v>76</v>
      </c>
      <c r="E5314" s="8">
        <v>0</v>
      </c>
      <c r="F5314" s="8">
        <v>0</v>
      </c>
      <c r="G5314" s="8">
        <v>21</v>
      </c>
      <c r="H5314" s="8" t="s">
        <v>10948</v>
      </c>
      <c r="I5314" s="8">
        <v>529.875</v>
      </c>
      <c r="J5314" s="3">
        <f t="shared" ref="J5314:J5377" si="83">(H5314/86400000)+25569+(7/24)</f>
        <v>43747.859683113427</v>
      </c>
    </row>
    <row r="5315" spans="1:10" x14ac:dyDescent="0.25">
      <c r="A5315" s="5" t="s">
        <v>10949</v>
      </c>
      <c r="B5315" s="6">
        <v>403.125</v>
      </c>
      <c r="C5315" s="6">
        <v>20.478950000000001</v>
      </c>
      <c r="D5315" s="6">
        <v>75</v>
      </c>
      <c r="E5315" s="6">
        <v>0</v>
      </c>
      <c r="F5315" s="6">
        <v>0</v>
      </c>
      <c r="G5315" s="6">
        <v>7</v>
      </c>
      <c r="H5315" s="6" t="s">
        <v>10950</v>
      </c>
      <c r="I5315" s="6">
        <v>529.875</v>
      </c>
      <c r="J5315" s="2">
        <f t="shared" si="83"/>
        <v>43747.85975442129</v>
      </c>
    </row>
    <row r="5316" spans="1:10" x14ac:dyDescent="0.25">
      <c r="A5316" s="7" t="s">
        <v>10951</v>
      </c>
      <c r="B5316" s="8">
        <v>406.25</v>
      </c>
      <c r="C5316" s="8">
        <v>20.478950000000001</v>
      </c>
      <c r="D5316" s="8">
        <v>75</v>
      </c>
      <c r="E5316" s="8">
        <v>0</v>
      </c>
      <c r="F5316" s="8">
        <v>0</v>
      </c>
      <c r="G5316" s="8">
        <v>5</v>
      </c>
      <c r="H5316" s="8" t="s">
        <v>10952</v>
      </c>
      <c r="I5316" s="8">
        <v>530.8125</v>
      </c>
      <c r="J5316" s="3">
        <f t="shared" si="83"/>
        <v>43747.859837743054</v>
      </c>
    </row>
    <row r="5317" spans="1:10" x14ac:dyDescent="0.25">
      <c r="A5317" s="5" t="s">
        <v>10953</v>
      </c>
      <c r="B5317" s="6">
        <v>406.25</v>
      </c>
      <c r="C5317" s="6">
        <v>20.478950000000001</v>
      </c>
      <c r="D5317" s="6">
        <v>75</v>
      </c>
      <c r="E5317" s="6">
        <v>0</v>
      </c>
      <c r="F5317" s="6">
        <v>0</v>
      </c>
      <c r="G5317" s="6">
        <v>14</v>
      </c>
      <c r="H5317" s="6" t="s">
        <v>10954</v>
      </c>
      <c r="I5317" s="6">
        <v>530.625</v>
      </c>
      <c r="J5317" s="2">
        <f t="shared" si="83"/>
        <v>43747.859921435178</v>
      </c>
    </row>
    <row r="5318" spans="1:10" x14ac:dyDescent="0.25">
      <c r="A5318" s="7" t="s">
        <v>10955</v>
      </c>
      <c r="B5318" s="8">
        <v>406.25</v>
      </c>
      <c r="C5318" s="8">
        <v>20.478950000000001</v>
      </c>
      <c r="D5318" s="8">
        <v>75</v>
      </c>
      <c r="E5318" s="8">
        <v>0</v>
      </c>
      <c r="F5318" s="8">
        <v>0</v>
      </c>
      <c r="G5318" s="8">
        <v>8</v>
      </c>
      <c r="H5318" s="8" t="s">
        <v>10956</v>
      </c>
      <c r="I5318" s="8">
        <v>530.625</v>
      </c>
      <c r="J5318" s="3">
        <f t="shared" si="83"/>
        <v>43747.860004560185</v>
      </c>
    </row>
    <row r="5319" spans="1:10" x14ac:dyDescent="0.25">
      <c r="A5319" s="5" t="s">
        <v>10957</v>
      </c>
      <c r="B5319" s="6">
        <v>406.25</v>
      </c>
      <c r="C5319" s="6">
        <v>20.478950000000001</v>
      </c>
      <c r="D5319" s="6">
        <v>75</v>
      </c>
      <c r="E5319" s="6">
        <v>0</v>
      </c>
      <c r="F5319" s="6">
        <v>0</v>
      </c>
      <c r="G5319" s="6">
        <v>17</v>
      </c>
      <c r="H5319" s="6" t="s">
        <v>10958</v>
      </c>
      <c r="I5319" s="6">
        <v>530.8125</v>
      </c>
      <c r="J5319" s="2">
        <f t="shared" si="83"/>
        <v>43747.860076168981</v>
      </c>
    </row>
    <row r="5320" spans="1:10" x14ac:dyDescent="0.25">
      <c r="A5320" s="7" t="s">
        <v>10959</v>
      </c>
      <c r="B5320" s="8">
        <v>409.375</v>
      </c>
      <c r="C5320" s="8">
        <v>20.478950000000001</v>
      </c>
      <c r="D5320" s="8">
        <v>75</v>
      </c>
      <c r="E5320" s="8">
        <v>0</v>
      </c>
      <c r="F5320" s="8">
        <v>0</v>
      </c>
      <c r="G5320" s="8">
        <v>13</v>
      </c>
      <c r="H5320" s="8" t="s">
        <v>10960</v>
      </c>
      <c r="I5320" s="8">
        <v>531.5625</v>
      </c>
      <c r="J5320" s="3">
        <f t="shared" si="83"/>
        <v>43747.860149988424</v>
      </c>
    </row>
    <row r="5321" spans="1:10" x14ac:dyDescent="0.25">
      <c r="A5321" s="5" t="s">
        <v>10961</v>
      </c>
      <c r="B5321" s="6">
        <v>412.5</v>
      </c>
      <c r="C5321" s="6">
        <v>20.478950000000001</v>
      </c>
      <c r="D5321" s="6">
        <v>75</v>
      </c>
      <c r="E5321" s="6">
        <v>0</v>
      </c>
      <c r="F5321" s="6">
        <v>0</v>
      </c>
      <c r="G5321" s="6">
        <v>18</v>
      </c>
      <c r="H5321" s="6" t="s">
        <v>10962</v>
      </c>
      <c r="I5321" s="6">
        <v>532.3125</v>
      </c>
      <c r="J5321" s="2">
        <f t="shared" si="83"/>
        <v>43747.860231516206</v>
      </c>
    </row>
    <row r="5322" spans="1:10" x14ac:dyDescent="0.25">
      <c r="A5322" s="7" t="s">
        <v>10963</v>
      </c>
      <c r="B5322" s="8">
        <v>412.5</v>
      </c>
      <c r="C5322" s="8">
        <v>20.478950000000001</v>
      </c>
      <c r="D5322" s="8">
        <v>78</v>
      </c>
      <c r="E5322" s="8">
        <v>0</v>
      </c>
      <c r="F5322" s="8">
        <v>0</v>
      </c>
      <c r="G5322" s="8">
        <v>14</v>
      </c>
      <c r="H5322" s="8" t="s">
        <v>10964</v>
      </c>
      <c r="I5322" s="8">
        <v>532.3125</v>
      </c>
      <c r="J5322" s="3">
        <f t="shared" si="83"/>
        <v>43747.860314710641</v>
      </c>
    </row>
    <row r="5323" spans="1:10" x14ac:dyDescent="0.25">
      <c r="A5323" s="5" t="s">
        <v>10965</v>
      </c>
      <c r="B5323" s="6">
        <v>415.625</v>
      </c>
      <c r="C5323" s="6">
        <v>20.478950000000001</v>
      </c>
      <c r="D5323" s="6">
        <v>77</v>
      </c>
      <c r="E5323" s="6">
        <v>0</v>
      </c>
      <c r="F5323" s="6">
        <v>0</v>
      </c>
      <c r="G5323" s="6">
        <v>14</v>
      </c>
      <c r="H5323" s="6" t="s">
        <v>10966</v>
      </c>
      <c r="I5323" s="6">
        <v>533.0625</v>
      </c>
      <c r="J5323" s="2">
        <f t="shared" si="83"/>
        <v>43747.860386238426</v>
      </c>
    </row>
    <row r="5324" spans="1:10" x14ac:dyDescent="0.25">
      <c r="A5324" s="7" t="s">
        <v>10967</v>
      </c>
      <c r="B5324" s="8">
        <v>415.625</v>
      </c>
      <c r="C5324" s="8">
        <v>20.531590000000001</v>
      </c>
      <c r="D5324" s="8">
        <v>77</v>
      </c>
      <c r="E5324" s="8">
        <v>0</v>
      </c>
      <c r="F5324" s="8">
        <v>0</v>
      </c>
      <c r="G5324" s="8">
        <v>15</v>
      </c>
      <c r="H5324" s="8" t="s">
        <v>10968</v>
      </c>
      <c r="I5324" s="8">
        <v>533.25</v>
      </c>
      <c r="J5324" s="3">
        <f t="shared" si="83"/>
        <v>43747.860457650466</v>
      </c>
    </row>
    <row r="5325" spans="1:10" x14ac:dyDescent="0.25">
      <c r="A5325" s="5" t="s">
        <v>10969</v>
      </c>
      <c r="B5325" s="6">
        <v>415.625</v>
      </c>
      <c r="C5325" s="6">
        <v>20.478950000000001</v>
      </c>
      <c r="D5325" s="6">
        <v>78</v>
      </c>
      <c r="E5325" s="6">
        <v>0</v>
      </c>
      <c r="F5325" s="6">
        <v>0</v>
      </c>
      <c r="G5325" s="6">
        <v>18</v>
      </c>
      <c r="H5325" s="6" t="s">
        <v>10970</v>
      </c>
      <c r="I5325" s="6">
        <v>533.0625</v>
      </c>
      <c r="J5325" s="2">
        <f t="shared" si="83"/>
        <v>43747.860541446753</v>
      </c>
    </row>
    <row r="5326" spans="1:10" x14ac:dyDescent="0.25">
      <c r="A5326" s="7" t="s">
        <v>10971</v>
      </c>
      <c r="B5326" s="8">
        <v>437.5</v>
      </c>
      <c r="C5326" s="8">
        <v>20.478950000000001</v>
      </c>
      <c r="D5326" s="8">
        <v>77</v>
      </c>
      <c r="E5326" s="8">
        <v>0</v>
      </c>
      <c r="F5326" s="8">
        <v>0</v>
      </c>
      <c r="G5326" s="8">
        <v>15</v>
      </c>
      <c r="H5326" s="8" t="s">
        <v>10972</v>
      </c>
      <c r="I5326" s="8">
        <v>540.375</v>
      </c>
      <c r="J5326" s="3">
        <f t="shared" si="83"/>
        <v>43747.860625023146</v>
      </c>
    </row>
    <row r="5327" spans="1:10" x14ac:dyDescent="0.25">
      <c r="A5327" s="5" t="s">
        <v>10973</v>
      </c>
      <c r="B5327" s="6">
        <v>415.625</v>
      </c>
      <c r="C5327" s="6">
        <v>20.478950000000001</v>
      </c>
      <c r="D5327" s="6">
        <v>77</v>
      </c>
      <c r="E5327" s="6">
        <v>0</v>
      </c>
      <c r="F5327" s="6">
        <v>0</v>
      </c>
      <c r="G5327" s="6">
        <v>20</v>
      </c>
      <c r="H5327" s="6" t="s">
        <v>10974</v>
      </c>
      <c r="I5327" s="6">
        <v>533.0625</v>
      </c>
      <c r="J5327" s="2">
        <f t="shared" si="83"/>
        <v>43747.86070824074</v>
      </c>
    </row>
    <row r="5328" spans="1:10" x14ac:dyDescent="0.25">
      <c r="A5328" s="7" t="s">
        <v>10975</v>
      </c>
      <c r="B5328" s="8">
        <v>415.625</v>
      </c>
      <c r="C5328" s="8">
        <v>20.478950000000001</v>
      </c>
      <c r="D5328" s="8">
        <v>77</v>
      </c>
      <c r="E5328" s="8">
        <v>0</v>
      </c>
      <c r="F5328" s="8">
        <v>0</v>
      </c>
      <c r="G5328" s="8">
        <v>18</v>
      </c>
      <c r="H5328" s="8" t="s">
        <v>10976</v>
      </c>
      <c r="I5328" s="8">
        <v>533.0625</v>
      </c>
      <c r="J5328" s="3">
        <f t="shared" si="83"/>
        <v>43747.860779895833</v>
      </c>
    </row>
    <row r="5329" spans="1:10" x14ac:dyDescent="0.25">
      <c r="A5329" s="5" t="s">
        <v>10977</v>
      </c>
      <c r="B5329" s="6">
        <v>415.625</v>
      </c>
      <c r="C5329" s="6">
        <v>20.478950000000001</v>
      </c>
      <c r="D5329" s="6">
        <v>74</v>
      </c>
      <c r="E5329" s="6">
        <v>0</v>
      </c>
      <c r="F5329" s="6">
        <v>0</v>
      </c>
      <c r="G5329" s="6">
        <v>11</v>
      </c>
      <c r="H5329" s="6" t="s">
        <v>10978</v>
      </c>
      <c r="I5329" s="6">
        <v>533.0625</v>
      </c>
      <c r="J5329" s="2">
        <f t="shared" si="83"/>
        <v>43747.860863460643</v>
      </c>
    </row>
    <row r="5330" spans="1:10" x14ac:dyDescent="0.25">
      <c r="A5330" s="7" t="s">
        <v>10979</v>
      </c>
      <c r="B5330" s="8">
        <v>415.625</v>
      </c>
      <c r="C5330" s="8">
        <v>20.478950000000001</v>
      </c>
      <c r="D5330" s="8">
        <v>75</v>
      </c>
      <c r="E5330" s="8">
        <v>0</v>
      </c>
      <c r="F5330" s="8">
        <v>0</v>
      </c>
      <c r="G5330" s="8">
        <v>17</v>
      </c>
      <c r="H5330" s="8" t="s">
        <v>10980</v>
      </c>
      <c r="I5330" s="8">
        <v>533.0625</v>
      </c>
      <c r="J5330" s="3">
        <f t="shared" si="83"/>
        <v>43747.860947141198</v>
      </c>
    </row>
    <row r="5331" spans="1:10" x14ac:dyDescent="0.25">
      <c r="A5331" s="5" t="s">
        <v>10981</v>
      </c>
      <c r="B5331" s="6">
        <v>437.5</v>
      </c>
      <c r="C5331" s="6">
        <v>20.478950000000001</v>
      </c>
      <c r="D5331" s="6">
        <v>77</v>
      </c>
      <c r="E5331" s="6">
        <v>0</v>
      </c>
      <c r="F5331" s="6">
        <v>0</v>
      </c>
      <c r="G5331" s="6">
        <v>11</v>
      </c>
      <c r="H5331" s="6" t="s">
        <v>10982</v>
      </c>
      <c r="I5331" s="6">
        <v>540</v>
      </c>
      <c r="J5331" s="2">
        <f t="shared" si="83"/>
        <v>43747.86103043981</v>
      </c>
    </row>
    <row r="5332" spans="1:10" x14ac:dyDescent="0.25">
      <c r="A5332" s="7" t="s">
        <v>10983</v>
      </c>
      <c r="B5332" s="8">
        <v>415.625</v>
      </c>
      <c r="C5332" s="8">
        <v>20.478950000000001</v>
      </c>
      <c r="D5332" s="8">
        <v>76</v>
      </c>
      <c r="E5332" s="8">
        <v>0</v>
      </c>
      <c r="F5332" s="8">
        <v>0</v>
      </c>
      <c r="G5332" s="8">
        <v>21</v>
      </c>
      <c r="H5332" s="8" t="s">
        <v>10984</v>
      </c>
      <c r="I5332" s="8">
        <v>533.25</v>
      </c>
      <c r="J5332" s="3">
        <f t="shared" si="83"/>
        <v>43747.861113935178</v>
      </c>
    </row>
    <row r="5333" spans="1:10" x14ac:dyDescent="0.25">
      <c r="A5333" s="5" t="s">
        <v>10985</v>
      </c>
      <c r="B5333" s="6">
        <v>415.625</v>
      </c>
      <c r="C5333" s="6">
        <v>20.478950000000001</v>
      </c>
      <c r="D5333" s="6">
        <v>77</v>
      </c>
      <c r="E5333" s="6">
        <v>0</v>
      </c>
      <c r="F5333" s="6">
        <v>0</v>
      </c>
      <c r="G5333" s="6">
        <v>16</v>
      </c>
      <c r="H5333" s="6" t="s">
        <v>10986</v>
      </c>
      <c r="I5333" s="6">
        <v>533.0625</v>
      </c>
      <c r="J5333" s="2">
        <f t="shared" si="83"/>
        <v>43747.861197129627</v>
      </c>
    </row>
    <row r="5334" spans="1:10" x14ac:dyDescent="0.25">
      <c r="A5334" s="7" t="s">
        <v>10987</v>
      </c>
      <c r="B5334" s="8">
        <v>415.625</v>
      </c>
      <c r="C5334" s="8">
        <v>20.478950000000001</v>
      </c>
      <c r="D5334" s="8">
        <v>77</v>
      </c>
      <c r="E5334" s="8">
        <v>0</v>
      </c>
      <c r="F5334" s="8">
        <v>0</v>
      </c>
      <c r="G5334" s="8">
        <v>22</v>
      </c>
      <c r="H5334" s="8" t="s">
        <v>10988</v>
      </c>
      <c r="I5334" s="8">
        <v>533.25</v>
      </c>
      <c r="J5334" s="3">
        <f t="shared" si="83"/>
        <v>43747.861280810183</v>
      </c>
    </row>
    <row r="5335" spans="1:10" x14ac:dyDescent="0.25">
      <c r="A5335" s="5" t="s">
        <v>10989</v>
      </c>
      <c r="B5335" s="6">
        <v>415.625</v>
      </c>
      <c r="C5335" s="6">
        <v>20.478950000000001</v>
      </c>
      <c r="D5335" s="6">
        <v>76</v>
      </c>
      <c r="E5335" s="6">
        <v>0</v>
      </c>
      <c r="F5335" s="6">
        <v>0</v>
      </c>
      <c r="G5335" s="6">
        <v>13</v>
      </c>
      <c r="H5335" s="6" t="s">
        <v>10990</v>
      </c>
      <c r="I5335" s="6">
        <v>533.25</v>
      </c>
      <c r="J5335" s="2">
        <f t="shared" si="83"/>
        <v>43747.861364027776</v>
      </c>
    </row>
    <row r="5336" spans="1:10" x14ac:dyDescent="0.25">
      <c r="A5336" s="7" t="s">
        <v>10991</v>
      </c>
      <c r="B5336" s="8">
        <v>415.625</v>
      </c>
      <c r="C5336" s="8">
        <v>20.478950000000001</v>
      </c>
      <c r="D5336" s="8">
        <v>76</v>
      </c>
      <c r="E5336" s="8">
        <v>0</v>
      </c>
      <c r="F5336" s="8">
        <v>0</v>
      </c>
      <c r="G5336" s="8">
        <v>15</v>
      </c>
      <c r="H5336" s="8" t="s">
        <v>10992</v>
      </c>
      <c r="I5336" s="8">
        <v>533.25</v>
      </c>
      <c r="J5336" s="3">
        <f t="shared" si="83"/>
        <v>43747.861435451385</v>
      </c>
    </row>
    <row r="5337" spans="1:10" x14ac:dyDescent="0.25">
      <c r="A5337" s="5" t="s">
        <v>10993</v>
      </c>
      <c r="B5337" s="6">
        <v>415.625</v>
      </c>
      <c r="C5337" s="6">
        <v>20.478950000000001</v>
      </c>
      <c r="D5337" s="6">
        <v>75</v>
      </c>
      <c r="E5337" s="6">
        <v>0</v>
      </c>
      <c r="F5337" s="6">
        <v>0</v>
      </c>
      <c r="G5337" s="6">
        <v>11</v>
      </c>
      <c r="H5337" s="6" t="s">
        <v>10994</v>
      </c>
      <c r="I5337" s="6">
        <v>533.0625</v>
      </c>
      <c r="J5337" s="2">
        <f t="shared" si="83"/>
        <v>43747.861507442132</v>
      </c>
    </row>
    <row r="5338" spans="1:10" x14ac:dyDescent="0.25">
      <c r="A5338" s="7" t="s">
        <v>10995</v>
      </c>
      <c r="B5338" s="8">
        <v>415.625</v>
      </c>
      <c r="C5338" s="8">
        <v>20.478950000000001</v>
      </c>
      <c r="D5338" s="8">
        <v>78</v>
      </c>
      <c r="E5338" s="8">
        <v>0</v>
      </c>
      <c r="F5338" s="8">
        <v>0</v>
      </c>
      <c r="G5338" s="8">
        <v>8</v>
      </c>
      <c r="H5338" s="8" t="s">
        <v>10996</v>
      </c>
      <c r="I5338" s="8">
        <v>533.0625</v>
      </c>
      <c r="J5338" s="3">
        <f t="shared" si="83"/>
        <v>43747.861590868059</v>
      </c>
    </row>
    <row r="5339" spans="1:10" x14ac:dyDescent="0.25">
      <c r="A5339" s="5" t="s">
        <v>10997</v>
      </c>
      <c r="B5339" s="6">
        <v>431.25</v>
      </c>
      <c r="C5339" s="6">
        <v>20.478950000000001</v>
      </c>
      <c r="D5339" s="6">
        <v>77</v>
      </c>
      <c r="E5339" s="6">
        <v>0</v>
      </c>
      <c r="F5339" s="6">
        <v>0</v>
      </c>
      <c r="G5339" s="6">
        <v>15</v>
      </c>
      <c r="H5339" s="6" t="s">
        <v>10998</v>
      </c>
      <c r="I5339" s="6">
        <v>538.875</v>
      </c>
      <c r="J5339" s="2">
        <f t="shared" si="83"/>
        <v>43747.861674317122</v>
      </c>
    </row>
    <row r="5340" spans="1:10" x14ac:dyDescent="0.25">
      <c r="A5340" s="7" t="s">
        <v>10999</v>
      </c>
      <c r="B5340" s="8">
        <v>412.5</v>
      </c>
      <c r="C5340" s="8">
        <v>20.478950000000001</v>
      </c>
      <c r="D5340" s="8">
        <v>77</v>
      </c>
      <c r="E5340" s="8">
        <v>0</v>
      </c>
      <c r="F5340" s="8">
        <v>0</v>
      </c>
      <c r="G5340" s="8">
        <v>15</v>
      </c>
      <c r="H5340" s="8" t="s">
        <v>11000</v>
      </c>
      <c r="I5340" s="8">
        <v>532.3125</v>
      </c>
      <c r="J5340" s="3">
        <f t="shared" si="83"/>
        <v>43747.861757789353</v>
      </c>
    </row>
    <row r="5341" spans="1:10" x14ac:dyDescent="0.25">
      <c r="A5341" s="5" t="s">
        <v>11001</v>
      </c>
      <c r="B5341" s="6">
        <v>412.5</v>
      </c>
      <c r="C5341" s="6">
        <v>20.478950000000001</v>
      </c>
      <c r="D5341" s="6">
        <v>78</v>
      </c>
      <c r="E5341" s="6">
        <v>0</v>
      </c>
      <c r="F5341" s="6">
        <v>0</v>
      </c>
      <c r="G5341" s="6">
        <v>12</v>
      </c>
      <c r="H5341" s="6" t="s">
        <v>11002</v>
      </c>
      <c r="I5341" s="6">
        <v>532.3125</v>
      </c>
      <c r="J5341" s="2">
        <f t="shared" si="83"/>
        <v>43747.861829409718</v>
      </c>
    </row>
    <row r="5342" spans="1:10" x14ac:dyDescent="0.25">
      <c r="A5342" s="7" t="s">
        <v>11003</v>
      </c>
      <c r="B5342" s="8">
        <v>415.625</v>
      </c>
      <c r="C5342" s="8">
        <v>20.478950000000001</v>
      </c>
      <c r="D5342" s="8">
        <v>77</v>
      </c>
      <c r="E5342" s="8">
        <v>0</v>
      </c>
      <c r="F5342" s="8">
        <v>0</v>
      </c>
      <c r="G5342" s="8">
        <v>11</v>
      </c>
      <c r="H5342" s="8" t="s">
        <v>11004</v>
      </c>
      <c r="I5342" s="8">
        <v>533.25</v>
      </c>
      <c r="J5342" s="3">
        <f t="shared" si="83"/>
        <v>43747.861900729164</v>
      </c>
    </row>
    <row r="5343" spans="1:10" x14ac:dyDescent="0.25">
      <c r="A5343" s="5" t="s">
        <v>11005</v>
      </c>
      <c r="B5343" s="6">
        <v>406.25</v>
      </c>
      <c r="C5343" s="6">
        <v>20.478950000000001</v>
      </c>
      <c r="D5343" s="6">
        <v>77</v>
      </c>
      <c r="E5343" s="6">
        <v>0</v>
      </c>
      <c r="F5343" s="6">
        <v>0</v>
      </c>
      <c r="G5343" s="6">
        <v>16</v>
      </c>
      <c r="H5343" s="6" t="s">
        <v>11006</v>
      </c>
      <c r="I5343" s="6">
        <v>530.625</v>
      </c>
      <c r="J5343" s="2">
        <f t="shared" si="83"/>
        <v>43747.861984409719</v>
      </c>
    </row>
    <row r="5344" spans="1:10" x14ac:dyDescent="0.25">
      <c r="A5344" s="7" t="s">
        <v>11007</v>
      </c>
      <c r="B5344" s="8">
        <v>406.25</v>
      </c>
      <c r="C5344" s="8">
        <v>20.478950000000001</v>
      </c>
      <c r="D5344" s="8">
        <v>78</v>
      </c>
      <c r="E5344" s="8">
        <v>0</v>
      </c>
      <c r="F5344" s="8">
        <v>0</v>
      </c>
      <c r="G5344" s="8">
        <v>6</v>
      </c>
      <c r="H5344" s="8" t="s">
        <v>11008</v>
      </c>
      <c r="I5344" s="8">
        <v>530.8125</v>
      </c>
      <c r="J5344" s="3">
        <f t="shared" si="83"/>
        <v>43747.862067499998</v>
      </c>
    </row>
    <row r="5345" spans="1:10" x14ac:dyDescent="0.25">
      <c r="A5345" s="5" t="s">
        <v>11009</v>
      </c>
      <c r="B5345" s="6">
        <v>406.25</v>
      </c>
      <c r="C5345" s="6">
        <v>20.478950000000001</v>
      </c>
      <c r="D5345" s="6">
        <v>78</v>
      </c>
      <c r="E5345" s="6">
        <v>0</v>
      </c>
      <c r="F5345" s="6">
        <v>0</v>
      </c>
      <c r="G5345" s="6">
        <v>13</v>
      </c>
      <c r="H5345" s="6" t="s">
        <v>11010</v>
      </c>
      <c r="I5345" s="6">
        <v>530.625</v>
      </c>
      <c r="J5345" s="2">
        <f t="shared" si="83"/>
        <v>43747.862139155091</v>
      </c>
    </row>
    <row r="5346" spans="1:10" x14ac:dyDescent="0.25">
      <c r="A5346" s="7" t="s">
        <v>11011</v>
      </c>
      <c r="B5346" s="8">
        <v>409.375</v>
      </c>
      <c r="C5346" s="8">
        <v>20.478950000000001</v>
      </c>
      <c r="D5346" s="8">
        <v>75</v>
      </c>
      <c r="E5346" s="8">
        <v>0</v>
      </c>
      <c r="F5346" s="8">
        <v>0</v>
      </c>
      <c r="G5346" s="8">
        <v>20</v>
      </c>
      <c r="H5346" s="8" t="s">
        <v>11012</v>
      </c>
      <c r="I5346" s="8">
        <v>531.5625</v>
      </c>
      <c r="J5346" s="3">
        <f t="shared" si="83"/>
        <v>43747.86223658565</v>
      </c>
    </row>
    <row r="5347" spans="1:10" x14ac:dyDescent="0.25">
      <c r="A5347" s="5" t="s">
        <v>11013</v>
      </c>
      <c r="B5347" s="6">
        <v>409.375</v>
      </c>
      <c r="C5347" s="6">
        <v>20.478950000000001</v>
      </c>
      <c r="D5347" s="6">
        <v>75</v>
      </c>
      <c r="E5347" s="6">
        <v>0</v>
      </c>
      <c r="F5347" s="6">
        <v>0</v>
      </c>
      <c r="G5347" s="6">
        <v>10</v>
      </c>
      <c r="H5347" s="6" t="s">
        <v>11014</v>
      </c>
      <c r="I5347" s="6">
        <v>531.5625</v>
      </c>
      <c r="J5347" s="2">
        <f t="shared" si="83"/>
        <v>43747.86231827546</v>
      </c>
    </row>
    <row r="5348" spans="1:10" x14ac:dyDescent="0.25">
      <c r="A5348" s="7" t="s">
        <v>11015</v>
      </c>
      <c r="B5348" s="8">
        <v>412.5</v>
      </c>
      <c r="C5348" s="8">
        <v>20.478950000000001</v>
      </c>
      <c r="D5348" s="8">
        <v>75</v>
      </c>
      <c r="E5348" s="8">
        <v>0</v>
      </c>
      <c r="F5348" s="8">
        <v>0</v>
      </c>
      <c r="G5348" s="8">
        <v>17</v>
      </c>
      <c r="H5348" s="8" t="s">
        <v>11016</v>
      </c>
      <c r="I5348" s="8">
        <v>532.3125</v>
      </c>
      <c r="J5348" s="3">
        <f t="shared" si="83"/>
        <v>43747.862389594906</v>
      </c>
    </row>
    <row r="5349" spans="1:10" x14ac:dyDescent="0.25">
      <c r="A5349" s="5" t="s">
        <v>11017</v>
      </c>
      <c r="B5349" s="6">
        <v>412.5</v>
      </c>
      <c r="C5349" s="6">
        <v>20.478950000000001</v>
      </c>
      <c r="D5349" s="6">
        <v>75</v>
      </c>
      <c r="E5349" s="6">
        <v>0</v>
      </c>
      <c r="F5349" s="6">
        <v>0</v>
      </c>
      <c r="G5349" s="6">
        <v>19</v>
      </c>
      <c r="H5349" s="6" t="s">
        <v>11018</v>
      </c>
      <c r="I5349" s="6">
        <v>532.3125</v>
      </c>
      <c r="J5349" s="2">
        <f t="shared" si="83"/>
        <v>43747.862473275462</v>
      </c>
    </row>
    <row r="5350" spans="1:10" x14ac:dyDescent="0.25">
      <c r="A5350" s="7" t="s">
        <v>11019</v>
      </c>
      <c r="B5350" s="8">
        <v>412.5</v>
      </c>
      <c r="C5350" s="8">
        <v>20.478950000000001</v>
      </c>
      <c r="D5350" s="8">
        <v>74</v>
      </c>
      <c r="E5350" s="8">
        <v>0</v>
      </c>
      <c r="F5350" s="8">
        <v>0</v>
      </c>
      <c r="G5350" s="8">
        <v>14</v>
      </c>
      <c r="H5350" s="8" t="s">
        <v>11020</v>
      </c>
      <c r="I5350" s="8">
        <v>532.3125</v>
      </c>
      <c r="J5350" s="3">
        <f t="shared" si="83"/>
        <v>43747.862556377317</v>
      </c>
    </row>
    <row r="5351" spans="1:10" x14ac:dyDescent="0.25">
      <c r="A5351" s="5" t="s">
        <v>11021</v>
      </c>
      <c r="B5351" s="6">
        <v>412.5</v>
      </c>
      <c r="C5351" s="6">
        <v>20.478950000000001</v>
      </c>
      <c r="D5351" s="6">
        <v>75</v>
      </c>
      <c r="E5351" s="6">
        <v>0</v>
      </c>
      <c r="F5351" s="6">
        <v>0</v>
      </c>
      <c r="G5351" s="6">
        <v>14</v>
      </c>
      <c r="H5351" s="6" t="s">
        <v>11022</v>
      </c>
      <c r="I5351" s="6">
        <v>532.3125</v>
      </c>
      <c r="J5351" s="2">
        <f t="shared" si="83"/>
        <v>43747.862628229159</v>
      </c>
    </row>
    <row r="5352" spans="1:10" x14ac:dyDescent="0.25">
      <c r="A5352" s="7" t="s">
        <v>11023</v>
      </c>
      <c r="B5352" s="8">
        <v>412.5</v>
      </c>
      <c r="C5352" s="8">
        <v>20.478950000000001</v>
      </c>
      <c r="D5352" s="8">
        <v>75</v>
      </c>
      <c r="E5352" s="8">
        <v>0</v>
      </c>
      <c r="F5352" s="8">
        <v>0</v>
      </c>
      <c r="G5352" s="8">
        <v>16</v>
      </c>
      <c r="H5352" s="8" t="s">
        <v>11024</v>
      </c>
      <c r="I5352" s="8">
        <v>532.3125</v>
      </c>
      <c r="J5352" s="3">
        <f t="shared" si="83"/>
        <v>43747.862723831015</v>
      </c>
    </row>
    <row r="5353" spans="1:10" x14ac:dyDescent="0.25">
      <c r="A5353" s="5" t="s">
        <v>11025</v>
      </c>
      <c r="B5353" s="6">
        <v>412.5</v>
      </c>
      <c r="C5353" s="6">
        <v>20.478950000000001</v>
      </c>
      <c r="D5353" s="6">
        <v>76</v>
      </c>
      <c r="E5353" s="6">
        <v>0</v>
      </c>
      <c r="F5353" s="6">
        <v>0</v>
      </c>
      <c r="G5353" s="6">
        <v>15</v>
      </c>
      <c r="H5353" s="6" t="s">
        <v>11026</v>
      </c>
      <c r="I5353" s="6">
        <v>532.3125</v>
      </c>
      <c r="J5353" s="2">
        <f t="shared" si="83"/>
        <v>43747.862795266199</v>
      </c>
    </row>
    <row r="5354" spans="1:10" x14ac:dyDescent="0.25">
      <c r="A5354" s="7" t="s">
        <v>11027</v>
      </c>
      <c r="B5354" s="8">
        <v>412.5</v>
      </c>
      <c r="C5354" s="8">
        <v>20.478950000000001</v>
      </c>
      <c r="D5354" s="8">
        <v>77</v>
      </c>
      <c r="E5354" s="8">
        <v>0</v>
      </c>
      <c r="F5354" s="8">
        <v>0</v>
      </c>
      <c r="G5354" s="8">
        <v>17</v>
      </c>
      <c r="H5354" s="8" t="s">
        <v>11028</v>
      </c>
      <c r="I5354" s="8">
        <v>532.3125</v>
      </c>
      <c r="J5354" s="3">
        <f t="shared" si="83"/>
        <v>43747.862878472217</v>
      </c>
    </row>
    <row r="5355" spans="1:10" x14ac:dyDescent="0.25">
      <c r="A5355" s="5" t="s">
        <v>11029</v>
      </c>
      <c r="B5355" s="6">
        <v>412.5</v>
      </c>
      <c r="C5355" s="6">
        <v>20.478950000000001</v>
      </c>
      <c r="D5355" s="6">
        <v>77</v>
      </c>
      <c r="E5355" s="6">
        <v>0</v>
      </c>
      <c r="F5355" s="6">
        <v>0</v>
      </c>
      <c r="G5355" s="6">
        <v>12</v>
      </c>
      <c r="H5355" s="6" t="s">
        <v>11030</v>
      </c>
      <c r="I5355" s="6">
        <v>532.3125</v>
      </c>
      <c r="J5355" s="2">
        <f t="shared" si="83"/>
        <v>43747.86295023148</v>
      </c>
    </row>
    <row r="5356" spans="1:10" x14ac:dyDescent="0.25">
      <c r="A5356" s="7" t="s">
        <v>11031</v>
      </c>
      <c r="B5356" s="8">
        <v>412.5</v>
      </c>
      <c r="C5356" s="8">
        <v>20.478950000000001</v>
      </c>
      <c r="D5356" s="8">
        <v>76</v>
      </c>
      <c r="E5356" s="8">
        <v>0</v>
      </c>
      <c r="F5356" s="8">
        <v>0</v>
      </c>
      <c r="G5356" s="8">
        <v>18</v>
      </c>
      <c r="H5356" s="8" t="s">
        <v>11032</v>
      </c>
      <c r="I5356" s="8">
        <v>532.3125</v>
      </c>
      <c r="J5356" s="3">
        <f t="shared" si="83"/>
        <v>43747.863033784721</v>
      </c>
    </row>
    <row r="5357" spans="1:10" x14ac:dyDescent="0.25">
      <c r="A5357" s="5" t="s">
        <v>11033</v>
      </c>
      <c r="B5357" s="6">
        <v>409.375</v>
      </c>
      <c r="C5357" s="6">
        <v>20.478950000000001</v>
      </c>
      <c r="D5357" s="6">
        <v>76</v>
      </c>
      <c r="E5357" s="6">
        <v>0</v>
      </c>
      <c r="F5357" s="6">
        <v>0</v>
      </c>
      <c r="G5357" s="6">
        <v>14</v>
      </c>
      <c r="H5357" s="6" t="s">
        <v>11034</v>
      </c>
      <c r="I5357" s="6">
        <v>531.5625</v>
      </c>
      <c r="J5357" s="2">
        <f t="shared" si="83"/>
        <v>43747.863117256937</v>
      </c>
    </row>
    <row r="5358" spans="1:10" x14ac:dyDescent="0.25">
      <c r="A5358" s="7" t="s">
        <v>11035</v>
      </c>
      <c r="B5358" s="8">
        <v>406.25</v>
      </c>
      <c r="C5358" s="8">
        <v>20.478950000000001</v>
      </c>
      <c r="D5358" s="8">
        <v>73</v>
      </c>
      <c r="E5358" s="8">
        <v>0</v>
      </c>
      <c r="F5358" s="8">
        <v>0</v>
      </c>
      <c r="G5358" s="8">
        <v>15</v>
      </c>
      <c r="H5358" s="8" t="s">
        <v>11036</v>
      </c>
      <c r="I5358" s="8">
        <v>530.625</v>
      </c>
      <c r="J5358" s="3">
        <f t="shared" si="83"/>
        <v>43747.863200706015</v>
      </c>
    </row>
    <row r="5359" spans="1:10" x14ac:dyDescent="0.25">
      <c r="A5359" s="5" t="s">
        <v>11037</v>
      </c>
      <c r="B5359" s="6">
        <v>406.25</v>
      </c>
      <c r="C5359" s="6">
        <v>20.478950000000001</v>
      </c>
      <c r="D5359" s="6">
        <v>72</v>
      </c>
      <c r="E5359" s="6">
        <v>0</v>
      </c>
      <c r="F5359" s="6">
        <v>0</v>
      </c>
      <c r="G5359" s="6">
        <v>18</v>
      </c>
      <c r="H5359" s="6" t="s">
        <v>11038</v>
      </c>
      <c r="I5359" s="6">
        <v>530.625</v>
      </c>
      <c r="J5359" s="2">
        <f t="shared" si="83"/>
        <v>43747.863284201383</v>
      </c>
    </row>
    <row r="5360" spans="1:10" x14ac:dyDescent="0.25">
      <c r="A5360" s="7" t="s">
        <v>11039</v>
      </c>
      <c r="B5360" s="8">
        <v>406.25</v>
      </c>
      <c r="C5360" s="8">
        <v>20.478950000000001</v>
      </c>
      <c r="D5360" s="8">
        <v>76</v>
      </c>
      <c r="E5360" s="8">
        <v>0</v>
      </c>
      <c r="F5360" s="8">
        <v>0</v>
      </c>
      <c r="G5360" s="8">
        <v>18</v>
      </c>
      <c r="H5360" s="8" t="s">
        <v>11040</v>
      </c>
      <c r="I5360" s="8">
        <v>530.625</v>
      </c>
      <c r="J5360" s="3">
        <f t="shared" si="83"/>
        <v>43747.863355775458</v>
      </c>
    </row>
    <row r="5361" spans="1:10" x14ac:dyDescent="0.25">
      <c r="A5361" s="5" t="s">
        <v>11041</v>
      </c>
      <c r="B5361" s="6">
        <v>406.25</v>
      </c>
      <c r="C5361" s="6">
        <v>20.478950000000001</v>
      </c>
      <c r="D5361" s="6">
        <v>78</v>
      </c>
      <c r="E5361" s="6">
        <v>0</v>
      </c>
      <c r="F5361" s="6">
        <v>0</v>
      </c>
      <c r="G5361" s="6">
        <v>16</v>
      </c>
      <c r="H5361" s="6" t="s">
        <v>11042</v>
      </c>
      <c r="I5361" s="6">
        <v>530.8125</v>
      </c>
      <c r="J5361" s="2">
        <f t="shared" si="83"/>
        <v>43747.863439224537</v>
      </c>
    </row>
    <row r="5362" spans="1:10" x14ac:dyDescent="0.25">
      <c r="A5362" s="7" t="s">
        <v>11043</v>
      </c>
      <c r="B5362" s="8">
        <v>406.25</v>
      </c>
      <c r="C5362" s="8">
        <v>20.478950000000001</v>
      </c>
      <c r="D5362" s="8">
        <v>77</v>
      </c>
      <c r="E5362" s="8">
        <v>0</v>
      </c>
      <c r="F5362" s="8">
        <v>0</v>
      </c>
      <c r="G5362" s="8">
        <v>15</v>
      </c>
      <c r="H5362" s="8" t="s">
        <v>11044</v>
      </c>
      <c r="I5362" s="8">
        <v>530.625</v>
      </c>
      <c r="J5362" s="3">
        <f t="shared" si="83"/>
        <v>43747.863522685184</v>
      </c>
    </row>
    <row r="5363" spans="1:10" x14ac:dyDescent="0.25">
      <c r="A5363" s="5" t="s">
        <v>11045</v>
      </c>
      <c r="B5363" s="6">
        <v>409.375</v>
      </c>
      <c r="C5363" s="6">
        <v>20.478950000000001</v>
      </c>
      <c r="D5363" s="6">
        <v>76</v>
      </c>
      <c r="E5363" s="6">
        <v>0</v>
      </c>
      <c r="F5363" s="6">
        <v>0</v>
      </c>
      <c r="G5363" s="6">
        <v>13</v>
      </c>
      <c r="H5363" s="6" t="s">
        <v>11046</v>
      </c>
      <c r="I5363" s="6">
        <v>531.5625</v>
      </c>
      <c r="J5363" s="2">
        <f t="shared" si="83"/>
        <v>43747.863606249994</v>
      </c>
    </row>
    <row r="5364" spans="1:10" x14ac:dyDescent="0.25">
      <c r="A5364" s="7" t="s">
        <v>11047</v>
      </c>
      <c r="B5364" s="8">
        <v>409.375</v>
      </c>
      <c r="C5364" s="8">
        <v>20.478950000000001</v>
      </c>
      <c r="D5364" s="8">
        <v>76</v>
      </c>
      <c r="E5364" s="8">
        <v>0</v>
      </c>
      <c r="F5364" s="8">
        <v>0</v>
      </c>
      <c r="G5364" s="8">
        <v>17</v>
      </c>
      <c r="H5364" s="8" t="s">
        <v>11048</v>
      </c>
      <c r="I5364" s="8">
        <v>531.5625</v>
      </c>
      <c r="J5364" s="3">
        <f t="shared" si="83"/>
        <v>43747.863677800924</v>
      </c>
    </row>
    <row r="5365" spans="1:10" x14ac:dyDescent="0.25">
      <c r="A5365" s="5" t="s">
        <v>11049</v>
      </c>
      <c r="B5365" s="6">
        <v>409.375</v>
      </c>
      <c r="C5365" s="6">
        <v>20.478950000000001</v>
      </c>
      <c r="D5365" s="6">
        <v>72</v>
      </c>
      <c r="E5365" s="6">
        <v>0</v>
      </c>
      <c r="F5365" s="6">
        <v>0</v>
      </c>
      <c r="G5365" s="6">
        <v>11</v>
      </c>
      <c r="H5365" s="6" t="s">
        <v>11050</v>
      </c>
      <c r="I5365" s="6">
        <v>531.375</v>
      </c>
      <c r="J5365" s="2">
        <f t="shared" si="83"/>
        <v>43747.863761238426</v>
      </c>
    </row>
    <row r="5366" spans="1:10" x14ac:dyDescent="0.25">
      <c r="A5366" s="7" t="s">
        <v>11051</v>
      </c>
      <c r="B5366" s="8">
        <v>412.5</v>
      </c>
      <c r="C5366" s="8">
        <v>20.478950000000001</v>
      </c>
      <c r="D5366" s="8">
        <v>76</v>
      </c>
      <c r="E5366" s="8">
        <v>0</v>
      </c>
      <c r="F5366" s="8">
        <v>0</v>
      </c>
      <c r="G5366" s="8">
        <v>16</v>
      </c>
      <c r="H5366" s="8" t="s">
        <v>11052</v>
      </c>
      <c r="I5366" s="8">
        <v>532.3125</v>
      </c>
      <c r="J5366" s="3">
        <f t="shared" si="83"/>
        <v>43747.863844687497</v>
      </c>
    </row>
    <row r="5367" spans="1:10" x14ac:dyDescent="0.25">
      <c r="A5367" s="5" t="s">
        <v>11053</v>
      </c>
      <c r="B5367" s="6">
        <v>412.5</v>
      </c>
      <c r="C5367" s="6">
        <v>20.478950000000001</v>
      </c>
      <c r="D5367" s="6">
        <v>76</v>
      </c>
      <c r="E5367" s="6">
        <v>0</v>
      </c>
      <c r="F5367" s="6">
        <v>0</v>
      </c>
      <c r="G5367" s="6">
        <v>2</v>
      </c>
      <c r="H5367" s="6" t="s">
        <v>11054</v>
      </c>
      <c r="I5367" s="6">
        <v>532.3125</v>
      </c>
      <c r="J5367" s="2">
        <f t="shared" si="83"/>
        <v>43747.863940057869</v>
      </c>
    </row>
    <row r="5368" spans="1:10" x14ac:dyDescent="0.25">
      <c r="A5368" s="7" t="s">
        <v>11055</v>
      </c>
      <c r="B5368" s="8">
        <v>412.5</v>
      </c>
      <c r="C5368" s="8">
        <v>20.478950000000001</v>
      </c>
      <c r="D5368" s="8">
        <v>76</v>
      </c>
      <c r="E5368" s="8">
        <v>0</v>
      </c>
      <c r="F5368" s="8">
        <v>0</v>
      </c>
      <c r="G5368" s="8">
        <v>13</v>
      </c>
      <c r="H5368" s="8" t="s">
        <v>11056</v>
      </c>
      <c r="I5368" s="8">
        <v>532.3125</v>
      </c>
      <c r="J5368" s="3">
        <f t="shared" si="83"/>
        <v>43747.864023773145</v>
      </c>
    </row>
    <row r="5369" spans="1:10" x14ac:dyDescent="0.25">
      <c r="A5369" s="5" t="s">
        <v>11057</v>
      </c>
      <c r="B5369" s="6">
        <v>412.5</v>
      </c>
      <c r="C5369" s="6">
        <v>20.478950000000001</v>
      </c>
      <c r="D5369" s="6">
        <v>76</v>
      </c>
      <c r="E5369" s="6">
        <v>0</v>
      </c>
      <c r="F5369" s="6">
        <v>0</v>
      </c>
      <c r="G5369" s="6">
        <v>18</v>
      </c>
      <c r="H5369" s="6" t="s">
        <v>11058</v>
      </c>
      <c r="I5369" s="6">
        <v>532.3125</v>
      </c>
      <c r="J5369" s="2">
        <f t="shared" si="83"/>
        <v>43747.864095127312</v>
      </c>
    </row>
    <row r="5370" spans="1:10" x14ac:dyDescent="0.25">
      <c r="A5370" s="7" t="s">
        <v>11059</v>
      </c>
      <c r="B5370" s="8">
        <v>428.125</v>
      </c>
      <c r="C5370" s="8">
        <v>20.478950000000001</v>
      </c>
      <c r="D5370" s="8">
        <v>76</v>
      </c>
      <c r="E5370" s="8">
        <v>0</v>
      </c>
      <c r="F5370" s="8">
        <v>0</v>
      </c>
      <c r="G5370" s="8">
        <v>13</v>
      </c>
      <c r="H5370" s="8" t="s">
        <v>11060</v>
      </c>
      <c r="I5370" s="8">
        <v>537.9375</v>
      </c>
      <c r="J5370" s="3">
        <f t="shared" si="83"/>
        <v>43747.864166678242</v>
      </c>
    </row>
    <row r="5371" spans="1:10" x14ac:dyDescent="0.25">
      <c r="A5371" s="5" t="s">
        <v>11061</v>
      </c>
      <c r="B5371" s="6">
        <v>412.5</v>
      </c>
      <c r="C5371" s="6">
        <v>20.478950000000001</v>
      </c>
      <c r="D5371" s="6">
        <v>76</v>
      </c>
      <c r="E5371" s="6">
        <v>0</v>
      </c>
      <c r="F5371" s="6">
        <v>0</v>
      </c>
      <c r="G5371" s="6">
        <v>15</v>
      </c>
      <c r="H5371" s="6" t="s">
        <v>11062</v>
      </c>
      <c r="I5371" s="6">
        <v>532.3125</v>
      </c>
      <c r="J5371" s="2">
        <f t="shared" si="83"/>
        <v>43747.864250104169</v>
      </c>
    </row>
    <row r="5372" spans="1:10" x14ac:dyDescent="0.25">
      <c r="A5372" s="7" t="s">
        <v>11063</v>
      </c>
      <c r="B5372" s="8">
        <v>412.5</v>
      </c>
      <c r="C5372" s="8">
        <v>20.478950000000001</v>
      </c>
      <c r="D5372" s="8">
        <v>77</v>
      </c>
      <c r="E5372" s="8">
        <v>0</v>
      </c>
      <c r="F5372" s="8">
        <v>0</v>
      </c>
      <c r="G5372" s="8">
        <v>19</v>
      </c>
      <c r="H5372" s="8" t="s">
        <v>11064</v>
      </c>
      <c r="I5372" s="8">
        <v>532.3125</v>
      </c>
      <c r="J5372" s="3">
        <f t="shared" si="83"/>
        <v>43747.864333668978</v>
      </c>
    </row>
    <row r="5373" spans="1:10" x14ac:dyDescent="0.25">
      <c r="A5373" s="5" t="s">
        <v>11065</v>
      </c>
      <c r="B5373" s="6">
        <v>409.375</v>
      </c>
      <c r="C5373" s="6">
        <v>20.478950000000001</v>
      </c>
      <c r="D5373" s="6">
        <v>76</v>
      </c>
      <c r="E5373" s="6">
        <v>0</v>
      </c>
      <c r="F5373" s="6">
        <v>0</v>
      </c>
      <c r="G5373" s="6">
        <v>21</v>
      </c>
      <c r="H5373" s="6" t="s">
        <v>11066</v>
      </c>
      <c r="I5373" s="6">
        <v>531.5625</v>
      </c>
      <c r="J5373" s="2">
        <f t="shared" si="83"/>
        <v>43747.864417129626</v>
      </c>
    </row>
    <row r="5374" spans="1:10" x14ac:dyDescent="0.25">
      <c r="A5374" s="7" t="s">
        <v>11067</v>
      </c>
      <c r="B5374" s="8">
        <v>409.375</v>
      </c>
      <c r="C5374" s="8">
        <v>20.478950000000001</v>
      </c>
      <c r="D5374" s="8">
        <v>76</v>
      </c>
      <c r="E5374" s="8">
        <v>0</v>
      </c>
      <c r="F5374" s="8">
        <v>0</v>
      </c>
      <c r="G5374" s="8">
        <v>18</v>
      </c>
      <c r="H5374" s="8" t="s">
        <v>11068</v>
      </c>
      <c r="I5374" s="8">
        <v>531.5625</v>
      </c>
      <c r="J5374" s="3">
        <f t="shared" si="83"/>
        <v>43747.864500810181</v>
      </c>
    </row>
    <row r="5375" spans="1:10" x14ac:dyDescent="0.25">
      <c r="A5375" s="5" t="s">
        <v>11069</v>
      </c>
      <c r="B5375" s="6">
        <v>428.125</v>
      </c>
      <c r="C5375" s="6">
        <v>20.478950000000001</v>
      </c>
      <c r="D5375" s="6">
        <v>75</v>
      </c>
      <c r="E5375" s="6">
        <v>0</v>
      </c>
      <c r="F5375" s="6">
        <v>0</v>
      </c>
      <c r="G5375" s="6">
        <v>17</v>
      </c>
      <c r="H5375" s="6" t="s">
        <v>11070</v>
      </c>
      <c r="I5375" s="6">
        <v>537</v>
      </c>
      <c r="J5375" s="2">
        <f t="shared" si="83"/>
        <v>43747.864584027775</v>
      </c>
    </row>
    <row r="5376" spans="1:10" x14ac:dyDescent="0.25">
      <c r="A5376" s="7" t="s">
        <v>11071</v>
      </c>
      <c r="B5376" s="8">
        <v>409.375</v>
      </c>
      <c r="C5376" s="8">
        <v>20.478950000000001</v>
      </c>
      <c r="D5376" s="8">
        <v>75</v>
      </c>
      <c r="E5376" s="8">
        <v>0</v>
      </c>
      <c r="F5376" s="8">
        <v>0</v>
      </c>
      <c r="G5376" s="8">
        <v>18</v>
      </c>
      <c r="H5376" s="8" t="s">
        <v>11072</v>
      </c>
      <c r="I5376" s="8">
        <v>531.375</v>
      </c>
      <c r="J5376" s="3">
        <f t="shared" si="83"/>
        <v>43747.864673379627</v>
      </c>
    </row>
    <row r="5377" spans="1:10" x14ac:dyDescent="0.25">
      <c r="A5377" s="5" t="s">
        <v>11073</v>
      </c>
      <c r="B5377" s="6">
        <v>428.125</v>
      </c>
      <c r="C5377" s="6">
        <v>20.478950000000001</v>
      </c>
      <c r="D5377" s="6">
        <v>75</v>
      </c>
      <c r="E5377" s="6">
        <v>0</v>
      </c>
      <c r="F5377" s="6">
        <v>0</v>
      </c>
      <c r="G5377" s="6">
        <v>13</v>
      </c>
      <c r="H5377" s="6" t="s">
        <v>11074</v>
      </c>
      <c r="I5377" s="6">
        <v>537.1875</v>
      </c>
      <c r="J5377" s="2">
        <f t="shared" si="83"/>
        <v>43747.864751041663</v>
      </c>
    </row>
    <row r="5378" spans="1:10" x14ac:dyDescent="0.25">
      <c r="A5378" s="7" t="s">
        <v>11075</v>
      </c>
      <c r="B5378" s="8">
        <v>409.375</v>
      </c>
      <c r="C5378" s="8">
        <v>20.478950000000001</v>
      </c>
      <c r="D5378" s="8">
        <v>75</v>
      </c>
      <c r="E5378" s="8">
        <v>0</v>
      </c>
      <c r="F5378" s="8">
        <v>0</v>
      </c>
      <c r="G5378" s="8">
        <v>20</v>
      </c>
      <c r="H5378" s="8" t="s">
        <v>11076</v>
      </c>
      <c r="I5378" s="8">
        <v>531.5625</v>
      </c>
      <c r="J5378" s="3">
        <f t="shared" ref="J5378:J5441" si="84">(H5378/86400000)+25569+(7/24)</f>
        <v>43747.864834143511</v>
      </c>
    </row>
    <row r="5379" spans="1:10" x14ac:dyDescent="0.25">
      <c r="A5379" s="5" t="s">
        <v>11077</v>
      </c>
      <c r="B5379" s="6">
        <v>412.5</v>
      </c>
      <c r="C5379" s="6">
        <v>20.478950000000001</v>
      </c>
      <c r="D5379" s="6">
        <v>75</v>
      </c>
      <c r="E5379" s="6">
        <v>0</v>
      </c>
      <c r="F5379" s="6">
        <v>0</v>
      </c>
      <c r="G5379" s="6">
        <v>16</v>
      </c>
      <c r="H5379" s="6" t="s">
        <v>11078</v>
      </c>
      <c r="I5379" s="6">
        <v>532.3125</v>
      </c>
      <c r="J5379" s="2">
        <f t="shared" si="84"/>
        <v>43747.864917951381</v>
      </c>
    </row>
    <row r="5380" spans="1:10" x14ac:dyDescent="0.25">
      <c r="A5380" s="7" t="s">
        <v>11079</v>
      </c>
      <c r="B5380" s="8">
        <v>412.5</v>
      </c>
      <c r="C5380" s="8">
        <v>20.478950000000001</v>
      </c>
      <c r="D5380" s="8">
        <v>75</v>
      </c>
      <c r="E5380" s="8">
        <v>0</v>
      </c>
      <c r="F5380" s="8">
        <v>0</v>
      </c>
      <c r="G5380" s="8">
        <v>8</v>
      </c>
      <c r="H5380" s="8" t="s">
        <v>11080</v>
      </c>
      <c r="I5380" s="8">
        <v>532.3125</v>
      </c>
      <c r="J5380" s="3">
        <f t="shared" si="84"/>
        <v>43747.865001180551</v>
      </c>
    </row>
    <row r="5381" spans="1:10" x14ac:dyDescent="0.25">
      <c r="A5381" s="5" t="s">
        <v>11081</v>
      </c>
      <c r="B5381" s="6">
        <v>412.5</v>
      </c>
      <c r="C5381" s="6">
        <v>20.478950000000001</v>
      </c>
      <c r="D5381" s="6">
        <v>74</v>
      </c>
      <c r="E5381" s="6">
        <v>0</v>
      </c>
      <c r="F5381" s="6">
        <v>0</v>
      </c>
      <c r="G5381" s="6">
        <v>15</v>
      </c>
      <c r="H5381" s="6" t="s">
        <v>11082</v>
      </c>
      <c r="I5381" s="6">
        <v>532.3125</v>
      </c>
      <c r="J5381" s="2">
        <f t="shared" si="84"/>
        <v>43747.865084988422</v>
      </c>
    </row>
    <row r="5382" spans="1:10" x14ac:dyDescent="0.25">
      <c r="A5382" s="7" t="s">
        <v>11083</v>
      </c>
      <c r="B5382" s="8">
        <v>412.5</v>
      </c>
      <c r="C5382" s="8">
        <v>20.478950000000001</v>
      </c>
      <c r="D5382" s="8">
        <v>73</v>
      </c>
      <c r="E5382" s="8">
        <v>0</v>
      </c>
      <c r="F5382" s="8">
        <v>0</v>
      </c>
      <c r="G5382" s="8">
        <v>17</v>
      </c>
      <c r="H5382" s="8" t="s">
        <v>11084</v>
      </c>
      <c r="I5382" s="8">
        <v>532.3125</v>
      </c>
      <c r="J5382" s="3">
        <f t="shared" si="84"/>
        <v>43747.865180335641</v>
      </c>
    </row>
    <row r="5383" spans="1:10" x14ac:dyDescent="0.25">
      <c r="A5383" s="5" t="s">
        <v>11085</v>
      </c>
      <c r="B5383" s="6">
        <v>431.25</v>
      </c>
      <c r="C5383" s="6">
        <v>20.478950000000001</v>
      </c>
      <c r="D5383" s="6">
        <v>74</v>
      </c>
      <c r="E5383" s="6">
        <v>0</v>
      </c>
      <c r="F5383" s="6">
        <v>0</v>
      </c>
      <c r="G5383" s="6">
        <v>9</v>
      </c>
      <c r="H5383" s="6" t="s">
        <v>11086</v>
      </c>
      <c r="I5383" s="6">
        <v>538.125</v>
      </c>
      <c r="J5383" s="2">
        <f t="shared" si="84"/>
        <v>43747.86528504629</v>
      </c>
    </row>
    <row r="5384" spans="1:10" x14ac:dyDescent="0.25">
      <c r="A5384" s="7" t="s">
        <v>11087</v>
      </c>
      <c r="B5384" s="8">
        <v>409.375</v>
      </c>
      <c r="C5384" s="8">
        <v>20.478950000000001</v>
      </c>
      <c r="D5384" s="8">
        <v>72</v>
      </c>
      <c r="E5384" s="8">
        <v>0</v>
      </c>
      <c r="F5384" s="8">
        <v>0</v>
      </c>
      <c r="G5384" s="8">
        <v>14</v>
      </c>
      <c r="H5384" s="8" t="s">
        <v>11088</v>
      </c>
      <c r="I5384" s="8">
        <v>531.5625</v>
      </c>
      <c r="J5384" s="3">
        <f t="shared" si="84"/>
        <v>43747.865359166659</v>
      </c>
    </row>
    <row r="5385" spans="1:10" x14ac:dyDescent="0.25">
      <c r="A5385" s="5" t="s">
        <v>11089</v>
      </c>
      <c r="B5385" s="6">
        <v>412.5</v>
      </c>
      <c r="C5385" s="6">
        <v>20.478950000000001</v>
      </c>
      <c r="D5385" s="6">
        <v>72</v>
      </c>
      <c r="E5385" s="6">
        <v>0</v>
      </c>
      <c r="F5385" s="6">
        <v>0</v>
      </c>
      <c r="G5385" s="6">
        <v>18</v>
      </c>
      <c r="H5385" s="6" t="s">
        <v>11090</v>
      </c>
      <c r="I5385" s="6">
        <v>532.3125</v>
      </c>
      <c r="J5385" s="2">
        <f t="shared" si="84"/>
        <v>43747.865442615737</v>
      </c>
    </row>
    <row r="5386" spans="1:10" x14ac:dyDescent="0.25">
      <c r="A5386" s="7" t="s">
        <v>11091</v>
      </c>
      <c r="B5386" s="8">
        <v>412.5</v>
      </c>
      <c r="C5386" s="8">
        <v>20.478950000000001</v>
      </c>
      <c r="D5386" s="8">
        <v>72</v>
      </c>
      <c r="E5386" s="8">
        <v>0</v>
      </c>
      <c r="F5386" s="8">
        <v>0</v>
      </c>
      <c r="G5386" s="8">
        <v>24</v>
      </c>
      <c r="H5386" s="8" t="s">
        <v>11092</v>
      </c>
      <c r="I5386" s="8">
        <v>532.3125</v>
      </c>
      <c r="J5386" s="3">
        <f t="shared" si="84"/>
        <v>43747.86552619213</v>
      </c>
    </row>
    <row r="5387" spans="1:10" x14ac:dyDescent="0.25">
      <c r="A5387" s="5" t="s">
        <v>11093</v>
      </c>
      <c r="B5387" s="6">
        <v>412.5</v>
      </c>
      <c r="C5387" s="6">
        <v>20.478950000000001</v>
      </c>
      <c r="D5387" s="6">
        <v>72</v>
      </c>
      <c r="E5387" s="6">
        <v>0</v>
      </c>
      <c r="F5387" s="6">
        <v>0</v>
      </c>
      <c r="G5387" s="6">
        <v>18</v>
      </c>
      <c r="H5387" s="6" t="s">
        <v>11094</v>
      </c>
      <c r="I5387" s="6">
        <v>532.3125</v>
      </c>
      <c r="J5387" s="2">
        <f t="shared" si="84"/>
        <v>43747.865609629625</v>
      </c>
    </row>
    <row r="5388" spans="1:10" x14ac:dyDescent="0.25">
      <c r="A5388" s="7" t="s">
        <v>11095</v>
      </c>
      <c r="B5388" s="8">
        <v>415.625</v>
      </c>
      <c r="C5388" s="8">
        <v>20.478950000000001</v>
      </c>
      <c r="D5388" s="8">
        <v>74</v>
      </c>
      <c r="E5388" s="8">
        <v>0</v>
      </c>
      <c r="F5388" s="8">
        <v>0</v>
      </c>
      <c r="G5388" s="8">
        <v>23</v>
      </c>
      <c r="H5388" s="8" t="s">
        <v>11096</v>
      </c>
      <c r="I5388" s="8">
        <v>533.0625</v>
      </c>
      <c r="J5388" s="3">
        <f t="shared" si="84"/>
        <v>43747.865693078704</v>
      </c>
    </row>
    <row r="5389" spans="1:10" x14ac:dyDescent="0.25">
      <c r="A5389" s="5" t="s">
        <v>11097</v>
      </c>
      <c r="B5389" s="6">
        <v>415.625</v>
      </c>
      <c r="C5389" s="6">
        <v>20.478950000000001</v>
      </c>
      <c r="D5389" s="6">
        <v>75</v>
      </c>
      <c r="E5389" s="6">
        <v>0</v>
      </c>
      <c r="F5389" s="6">
        <v>0</v>
      </c>
      <c r="G5389" s="6">
        <v>13</v>
      </c>
      <c r="H5389" s="6" t="s">
        <v>11098</v>
      </c>
      <c r="I5389" s="6">
        <v>533.0625</v>
      </c>
      <c r="J5389" s="2">
        <f t="shared" si="84"/>
        <v>43747.865776527775</v>
      </c>
    </row>
    <row r="5390" spans="1:10" x14ac:dyDescent="0.25">
      <c r="A5390" s="7" t="s">
        <v>11099</v>
      </c>
      <c r="B5390" s="8">
        <v>431.25</v>
      </c>
      <c r="C5390" s="8">
        <v>20.478950000000001</v>
      </c>
      <c r="D5390" s="8">
        <v>75</v>
      </c>
      <c r="E5390" s="8">
        <v>0</v>
      </c>
      <c r="F5390" s="8">
        <v>0</v>
      </c>
      <c r="G5390" s="8">
        <v>18</v>
      </c>
      <c r="H5390" s="8" t="s">
        <v>11100</v>
      </c>
      <c r="I5390" s="8">
        <v>538.875</v>
      </c>
      <c r="J5390" s="3">
        <f t="shared" si="84"/>
        <v>43747.865859988422</v>
      </c>
    </row>
    <row r="5391" spans="1:10" x14ac:dyDescent="0.25">
      <c r="A5391" s="5" t="s">
        <v>11101</v>
      </c>
      <c r="B5391" s="6">
        <v>412.5</v>
      </c>
      <c r="C5391" s="6">
        <v>20.478950000000001</v>
      </c>
      <c r="D5391" s="6">
        <v>75</v>
      </c>
      <c r="E5391" s="6">
        <v>0</v>
      </c>
      <c r="F5391" s="6">
        <v>0</v>
      </c>
      <c r="G5391" s="6">
        <v>23</v>
      </c>
      <c r="H5391" s="6" t="s">
        <v>11102</v>
      </c>
      <c r="I5391" s="6">
        <v>532.5</v>
      </c>
      <c r="J5391" s="2">
        <f t="shared" si="84"/>
        <v>43747.865943425924</v>
      </c>
    </row>
    <row r="5392" spans="1:10" x14ac:dyDescent="0.25">
      <c r="A5392" s="7" t="s">
        <v>11103</v>
      </c>
      <c r="B5392" s="8">
        <v>412.5</v>
      </c>
      <c r="C5392" s="8">
        <v>20.478950000000001</v>
      </c>
      <c r="D5392" s="8">
        <v>77</v>
      </c>
      <c r="E5392" s="8">
        <v>0</v>
      </c>
      <c r="F5392" s="8">
        <v>0</v>
      </c>
      <c r="G5392" s="8">
        <v>12</v>
      </c>
      <c r="H5392" s="8" t="s">
        <v>11104</v>
      </c>
      <c r="I5392" s="8">
        <v>532.3125</v>
      </c>
      <c r="J5392" s="3">
        <f t="shared" si="84"/>
        <v>43747.866026643511</v>
      </c>
    </row>
    <row r="5393" spans="1:10" x14ac:dyDescent="0.25">
      <c r="A5393" s="5" t="s">
        <v>11105</v>
      </c>
      <c r="B5393" s="6">
        <v>415.625</v>
      </c>
      <c r="C5393" s="6">
        <v>20.478950000000001</v>
      </c>
      <c r="D5393" s="6">
        <v>76</v>
      </c>
      <c r="E5393" s="6">
        <v>0</v>
      </c>
      <c r="F5393" s="6">
        <v>0</v>
      </c>
      <c r="G5393" s="6">
        <v>18</v>
      </c>
      <c r="H5393" s="6" t="s">
        <v>11106</v>
      </c>
      <c r="I5393" s="6">
        <v>533.0625</v>
      </c>
      <c r="J5393" s="2">
        <f t="shared" si="84"/>
        <v>43747.866110462965</v>
      </c>
    </row>
    <row r="5394" spans="1:10" x14ac:dyDescent="0.25">
      <c r="A5394" s="7" t="s">
        <v>11107</v>
      </c>
      <c r="B5394" s="8">
        <v>415.625</v>
      </c>
      <c r="C5394" s="8">
        <v>20.478950000000001</v>
      </c>
      <c r="D5394" s="8">
        <v>75</v>
      </c>
      <c r="E5394" s="8">
        <v>0</v>
      </c>
      <c r="F5394" s="8">
        <v>0</v>
      </c>
      <c r="G5394" s="8">
        <v>18</v>
      </c>
      <c r="H5394" s="8" t="s">
        <v>11108</v>
      </c>
      <c r="I5394" s="8">
        <v>533.25</v>
      </c>
      <c r="J5394" s="3">
        <f t="shared" si="84"/>
        <v>43747.866193657406</v>
      </c>
    </row>
    <row r="5395" spans="1:10" x14ac:dyDescent="0.25">
      <c r="A5395" s="5" t="s">
        <v>11109</v>
      </c>
      <c r="B5395" s="6">
        <v>415.625</v>
      </c>
      <c r="C5395" s="6">
        <v>20.478950000000001</v>
      </c>
      <c r="D5395" s="6">
        <v>75</v>
      </c>
      <c r="E5395" s="6">
        <v>0</v>
      </c>
      <c r="F5395" s="6">
        <v>0</v>
      </c>
      <c r="G5395" s="6">
        <v>18</v>
      </c>
      <c r="H5395" s="6" t="s">
        <v>11110</v>
      </c>
      <c r="I5395" s="6">
        <v>533.0625</v>
      </c>
      <c r="J5395" s="2">
        <f t="shared" si="84"/>
        <v>43747.866265046294</v>
      </c>
    </row>
    <row r="5396" spans="1:10" x14ac:dyDescent="0.25">
      <c r="A5396" s="7" t="s">
        <v>11111</v>
      </c>
      <c r="B5396" s="8">
        <v>415.625</v>
      </c>
      <c r="C5396" s="8">
        <v>20.478950000000001</v>
      </c>
      <c r="D5396" s="8">
        <v>76</v>
      </c>
      <c r="E5396" s="8">
        <v>0</v>
      </c>
      <c r="F5396" s="8">
        <v>0</v>
      </c>
      <c r="G5396" s="8">
        <v>22</v>
      </c>
      <c r="H5396" s="8" t="s">
        <v>11112</v>
      </c>
      <c r="I5396" s="8">
        <v>533.0625</v>
      </c>
      <c r="J5396" s="3">
        <f t="shared" si="84"/>
        <v>43747.866348854164</v>
      </c>
    </row>
    <row r="5397" spans="1:10" x14ac:dyDescent="0.25">
      <c r="A5397" s="5" t="s">
        <v>11113</v>
      </c>
      <c r="B5397" s="6">
        <v>412.5</v>
      </c>
      <c r="C5397" s="6">
        <v>20.478950000000001</v>
      </c>
      <c r="D5397" s="6">
        <v>76</v>
      </c>
      <c r="E5397" s="6">
        <v>0</v>
      </c>
      <c r="F5397" s="6">
        <v>0</v>
      </c>
      <c r="G5397" s="6">
        <v>12</v>
      </c>
      <c r="H5397" s="6" t="s">
        <v>11114</v>
      </c>
      <c r="I5397" s="6">
        <v>532.3125</v>
      </c>
      <c r="J5397" s="2">
        <f t="shared" si="84"/>
        <v>43747.866432291667</v>
      </c>
    </row>
    <row r="5398" spans="1:10" x14ac:dyDescent="0.25">
      <c r="A5398" s="7" t="s">
        <v>11115</v>
      </c>
      <c r="B5398" s="8">
        <v>412.5</v>
      </c>
      <c r="C5398" s="8">
        <v>20.478950000000001</v>
      </c>
      <c r="D5398" s="8">
        <v>76</v>
      </c>
      <c r="E5398" s="8">
        <v>0</v>
      </c>
      <c r="F5398" s="8">
        <v>0</v>
      </c>
      <c r="G5398" s="8">
        <v>19</v>
      </c>
      <c r="H5398" s="8" t="s">
        <v>11116</v>
      </c>
      <c r="I5398" s="8">
        <v>532.3125</v>
      </c>
      <c r="J5398" s="3">
        <f t="shared" si="84"/>
        <v>43747.866504039346</v>
      </c>
    </row>
    <row r="5399" spans="1:10" x14ac:dyDescent="0.25">
      <c r="A5399" s="5" t="s">
        <v>11117</v>
      </c>
      <c r="B5399" s="6">
        <v>412.5</v>
      </c>
      <c r="C5399" s="6">
        <v>20.478950000000001</v>
      </c>
      <c r="D5399" s="6">
        <v>75</v>
      </c>
      <c r="E5399" s="6">
        <v>0</v>
      </c>
      <c r="F5399" s="6">
        <v>0</v>
      </c>
      <c r="G5399" s="6">
        <v>11</v>
      </c>
      <c r="H5399" s="6" t="s">
        <v>11118</v>
      </c>
      <c r="I5399" s="6">
        <v>532.3125</v>
      </c>
      <c r="J5399" s="2">
        <f t="shared" si="84"/>
        <v>43747.866599305555</v>
      </c>
    </row>
    <row r="5400" spans="1:10" x14ac:dyDescent="0.25">
      <c r="A5400" s="7" t="s">
        <v>11119</v>
      </c>
      <c r="B5400" s="8">
        <v>412.5</v>
      </c>
      <c r="C5400" s="8">
        <v>20.478950000000001</v>
      </c>
      <c r="D5400" s="8">
        <v>75</v>
      </c>
      <c r="E5400" s="8">
        <v>0</v>
      </c>
      <c r="F5400" s="8">
        <v>0</v>
      </c>
      <c r="G5400" s="8">
        <v>15</v>
      </c>
      <c r="H5400" s="8" t="s">
        <v>11120</v>
      </c>
      <c r="I5400" s="8">
        <v>532.3125</v>
      </c>
      <c r="J5400" s="3">
        <f t="shared" si="84"/>
        <v>43747.866670706011</v>
      </c>
    </row>
    <row r="5401" spans="1:10" x14ac:dyDescent="0.25">
      <c r="A5401" s="5" t="s">
        <v>11121</v>
      </c>
      <c r="B5401" s="6">
        <v>412.5</v>
      </c>
      <c r="C5401" s="6">
        <v>20.478950000000001</v>
      </c>
      <c r="D5401" s="6">
        <v>75</v>
      </c>
      <c r="E5401" s="6">
        <v>0</v>
      </c>
      <c r="F5401" s="6">
        <v>0</v>
      </c>
      <c r="G5401" s="6">
        <v>11</v>
      </c>
      <c r="H5401" s="6" t="s">
        <v>11122</v>
      </c>
      <c r="I5401" s="6">
        <v>532.3125</v>
      </c>
      <c r="J5401" s="2">
        <f t="shared" si="84"/>
        <v>43747.866742465274</v>
      </c>
    </row>
    <row r="5402" spans="1:10" x14ac:dyDescent="0.25">
      <c r="A5402" s="7" t="s">
        <v>11123</v>
      </c>
      <c r="B5402" s="8">
        <v>412.5</v>
      </c>
      <c r="C5402" s="8">
        <v>20.478950000000001</v>
      </c>
      <c r="D5402" s="8">
        <v>72</v>
      </c>
      <c r="E5402" s="8">
        <v>0</v>
      </c>
      <c r="F5402" s="8">
        <v>0</v>
      </c>
      <c r="G5402" s="8">
        <v>15</v>
      </c>
      <c r="H5402" s="8" t="s">
        <v>11124</v>
      </c>
      <c r="I5402" s="8">
        <v>532.3125</v>
      </c>
      <c r="J5402" s="3">
        <f t="shared" si="84"/>
        <v>43747.866813877314</v>
      </c>
    </row>
    <row r="5403" spans="1:10" x14ac:dyDescent="0.25">
      <c r="A5403" s="5" t="s">
        <v>11125</v>
      </c>
      <c r="B5403" s="6">
        <v>412.5</v>
      </c>
      <c r="C5403" s="6">
        <v>20.478950000000001</v>
      </c>
      <c r="D5403" s="6">
        <v>73</v>
      </c>
      <c r="E5403" s="6">
        <v>0</v>
      </c>
      <c r="F5403" s="6">
        <v>0</v>
      </c>
      <c r="G5403" s="6">
        <v>22</v>
      </c>
      <c r="H5403" s="6" t="s">
        <v>11126</v>
      </c>
      <c r="I5403" s="6">
        <v>532.3125</v>
      </c>
      <c r="J5403" s="2">
        <f t="shared" si="84"/>
        <v>43747.866897106484</v>
      </c>
    </row>
    <row r="5404" spans="1:10" x14ac:dyDescent="0.25">
      <c r="A5404" s="7" t="s">
        <v>11127</v>
      </c>
      <c r="B5404" s="8">
        <v>415.625</v>
      </c>
      <c r="C5404" s="8">
        <v>20.478950000000001</v>
      </c>
      <c r="D5404" s="8">
        <v>74</v>
      </c>
      <c r="E5404" s="8">
        <v>0</v>
      </c>
      <c r="F5404" s="8">
        <v>0</v>
      </c>
      <c r="G5404" s="8">
        <v>18</v>
      </c>
      <c r="H5404" s="8" t="s">
        <v>11128</v>
      </c>
      <c r="I5404" s="8">
        <v>533.0625</v>
      </c>
      <c r="J5404" s="3">
        <f t="shared" si="84"/>
        <v>43747.866980902771</v>
      </c>
    </row>
    <row r="5405" spans="1:10" x14ac:dyDescent="0.25">
      <c r="A5405" s="5" t="s">
        <v>11129</v>
      </c>
      <c r="B5405" s="6">
        <v>415.625</v>
      </c>
      <c r="C5405" s="6">
        <v>20.478950000000001</v>
      </c>
      <c r="D5405" s="6">
        <v>73</v>
      </c>
      <c r="E5405" s="6">
        <v>0</v>
      </c>
      <c r="F5405" s="6">
        <v>0</v>
      </c>
      <c r="G5405" s="6">
        <v>24</v>
      </c>
      <c r="H5405" s="6" t="s">
        <v>11130</v>
      </c>
      <c r="I5405" s="6">
        <v>533.0625</v>
      </c>
      <c r="J5405" s="2">
        <f t="shared" si="84"/>
        <v>43747.86706459491</v>
      </c>
    </row>
    <row r="5406" spans="1:10" x14ac:dyDescent="0.25">
      <c r="A5406" s="7" t="s">
        <v>11131</v>
      </c>
      <c r="B5406" s="8">
        <v>415.625</v>
      </c>
      <c r="C5406" s="8">
        <v>20.478950000000001</v>
      </c>
      <c r="D5406" s="8">
        <v>73</v>
      </c>
      <c r="E5406" s="8">
        <v>0</v>
      </c>
      <c r="F5406" s="8">
        <v>0</v>
      </c>
      <c r="G5406" s="8">
        <v>13</v>
      </c>
      <c r="H5406" s="8" t="s">
        <v>11132</v>
      </c>
      <c r="I5406" s="8">
        <v>533.0625</v>
      </c>
      <c r="J5406" s="3">
        <f t="shared" si="84"/>
        <v>43747.867135868051</v>
      </c>
    </row>
    <row r="5407" spans="1:10" x14ac:dyDescent="0.25">
      <c r="A5407" s="5" t="s">
        <v>11133</v>
      </c>
      <c r="B5407" s="6">
        <v>415.625</v>
      </c>
      <c r="C5407" s="6">
        <v>20.478950000000001</v>
      </c>
      <c r="D5407" s="6">
        <v>73</v>
      </c>
      <c r="E5407" s="6">
        <v>0</v>
      </c>
      <c r="F5407" s="6">
        <v>0</v>
      </c>
      <c r="G5407" s="6">
        <v>16</v>
      </c>
      <c r="H5407" s="6" t="s">
        <v>11134</v>
      </c>
      <c r="I5407" s="6">
        <v>533.0625</v>
      </c>
      <c r="J5407" s="2">
        <f t="shared" si="84"/>
        <v>43747.867219189815</v>
      </c>
    </row>
    <row r="5408" spans="1:10" x14ac:dyDescent="0.25">
      <c r="A5408" s="7" t="s">
        <v>11135</v>
      </c>
      <c r="B5408" s="8">
        <v>415.625</v>
      </c>
      <c r="C5408" s="8">
        <v>20.478950000000001</v>
      </c>
      <c r="D5408" s="8">
        <v>73</v>
      </c>
      <c r="E5408" s="8">
        <v>0</v>
      </c>
      <c r="F5408" s="8">
        <v>0</v>
      </c>
      <c r="G5408" s="8">
        <v>12</v>
      </c>
      <c r="H5408" s="8" t="s">
        <v>11136</v>
      </c>
      <c r="I5408" s="8">
        <v>533.0625</v>
      </c>
      <c r="J5408" s="3">
        <f t="shared" si="84"/>
        <v>43747.867302893515</v>
      </c>
    </row>
    <row r="5409" spans="1:10" x14ac:dyDescent="0.25">
      <c r="A5409" s="5" t="s">
        <v>11137</v>
      </c>
      <c r="B5409" s="6">
        <v>415.625</v>
      </c>
      <c r="C5409" s="6">
        <v>20.478950000000001</v>
      </c>
      <c r="D5409" s="6">
        <v>72</v>
      </c>
      <c r="E5409" s="6">
        <v>0</v>
      </c>
      <c r="F5409" s="6">
        <v>0</v>
      </c>
      <c r="G5409" s="6">
        <v>20</v>
      </c>
      <c r="H5409" s="6" t="s">
        <v>11138</v>
      </c>
      <c r="I5409" s="6">
        <v>533.0625</v>
      </c>
      <c r="J5409" s="2">
        <f t="shared" si="84"/>
        <v>43747.867385995363</v>
      </c>
    </row>
    <row r="5410" spans="1:10" x14ac:dyDescent="0.25">
      <c r="A5410" s="7" t="s">
        <v>11139</v>
      </c>
      <c r="B5410" s="8">
        <v>415.625</v>
      </c>
      <c r="C5410" s="8">
        <v>20.478950000000001</v>
      </c>
      <c r="D5410" s="8">
        <v>72</v>
      </c>
      <c r="E5410" s="8">
        <v>0</v>
      </c>
      <c r="F5410" s="8">
        <v>0</v>
      </c>
      <c r="G5410" s="8">
        <v>19</v>
      </c>
      <c r="H5410" s="8" t="s">
        <v>11140</v>
      </c>
      <c r="I5410" s="8">
        <v>533.0625</v>
      </c>
      <c r="J5410" s="3">
        <f t="shared" si="84"/>
        <v>43747.867457638888</v>
      </c>
    </row>
    <row r="5411" spans="1:10" x14ac:dyDescent="0.25">
      <c r="A5411" s="5" t="s">
        <v>11141</v>
      </c>
      <c r="B5411" s="6">
        <v>415.625</v>
      </c>
      <c r="C5411" s="6">
        <v>20.478950000000001</v>
      </c>
      <c r="D5411" s="6">
        <v>72</v>
      </c>
      <c r="E5411" s="6">
        <v>0</v>
      </c>
      <c r="F5411" s="6">
        <v>0</v>
      </c>
      <c r="G5411" s="6">
        <v>13</v>
      </c>
      <c r="H5411" s="6" t="s">
        <v>11142</v>
      </c>
      <c r="I5411" s="6">
        <v>533.0625</v>
      </c>
      <c r="J5411" s="2">
        <f t="shared" si="84"/>
        <v>43747.867541423613</v>
      </c>
    </row>
    <row r="5412" spans="1:10" x14ac:dyDescent="0.25">
      <c r="A5412" s="7" t="s">
        <v>11143</v>
      </c>
      <c r="B5412" s="8">
        <v>415.625</v>
      </c>
      <c r="C5412" s="8">
        <v>20.478950000000001</v>
      </c>
      <c r="D5412" s="8">
        <v>71</v>
      </c>
      <c r="E5412" s="8">
        <v>0</v>
      </c>
      <c r="F5412" s="8">
        <v>0</v>
      </c>
      <c r="G5412" s="8">
        <v>20</v>
      </c>
      <c r="H5412" s="8" t="s">
        <v>11144</v>
      </c>
      <c r="I5412" s="8">
        <v>533.8125</v>
      </c>
      <c r="J5412" s="3">
        <f t="shared" si="84"/>
        <v>43747.867624756946</v>
      </c>
    </row>
    <row r="5413" spans="1:10" x14ac:dyDescent="0.25">
      <c r="A5413" s="5" t="s">
        <v>11145</v>
      </c>
      <c r="B5413" s="6">
        <v>415.625</v>
      </c>
      <c r="C5413" s="6">
        <v>20.478950000000001</v>
      </c>
      <c r="D5413" s="6">
        <v>70</v>
      </c>
      <c r="E5413" s="6">
        <v>0</v>
      </c>
      <c r="F5413" s="6">
        <v>0</v>
      </c>
      <c r="G5413" s="6">
        <v>15</v>
      </c>
      <c r="H5413" s="6" t="s">
        <v>11146</v>
      </c>
      <c r="I5413" s="6">
        <v>533.8125</v>
      </c>
      <c r="J5413" s="2">
        <f t="shared" si="84"/>
        <v>43747.867708078702</v>
      </c>
    </row>
    <row r="5414" spans="1:10" x14ac:dyDescent="0.25">
      <c r="A5414" s="7" t="s">
        <v>11147</v>
      </c>
      <c r="B5414" s="8">
        <v>415.625</v>
      </c>
      <c r="C5414" s="8">
        <v>20.478950000000001</v>
      </c>
      <c r="D5414" s="8">
        <v>71</v>
      </c>
      <c r="E5414" s="8">
        <v>0</v>
      </c>
      <c r="F5414" s="8">
        <v>0</v>
      </c>
      <c r="G5414" s="8">
        <v>14</v>
      </c>
      <c r="H5414" s="8" t="s">
        <v>11148</v>
      </c>
      <c r="I5414" s="8">
        <v>533.8125</v>
      </c>
      <c r="J5414" s="3">
        <f t="shared" si="84"/>
        <v>43747.867791666664</v>
      </c>
    </row>
    <row r="5415" spans="1:10" x14ac:dyDescent="0.25">
      <c r="A5415" s="5" t="s">
        <v>11149</v>
      </c>
      <c r="B5415" s="6">
        <v>415.625</v>
      </c>
      <c r="C5415" s="6">
        <v>20.478950000000001</v>
      </c>
      <c r="D5415" s="6">
        <v>72</v>
      </c>
      <c r="E5415" s="6">
        <v>0</v>
      </c>
      <c r="F5415" s="6">
        <v>0</v>
      </c>
      <c r="G5415" s="6">
        <v>12</v>
      </c>
      <c r="H5415" s="6" t="s">
        <v>11150</v>
      </c>
      <c r="I5415" s="6">
        <v>533.8125</v>
      </c>
      <c r="J5415" s="2">
        <f t="shared" si="84"/>
        <v>43747.867874849537</v>
      </c>
    </row>
    <row r="5416" spans="1:10" x14ac:dyDescent="0.25">
      <c r="A5416" s="7" t="s">
        <v>11151</v>
      </c>
      <c r="B5416" s="8">
        <v>434.375</v>
      </c>
      <c r="C5416" s="8">
        <v>20.478950000000001</v>
      </c>
      <c r="D5416" s="8">
        <v>72</v>
      </c>
      <c r="E5416" s="8">
        <v>0</v>
      </c>
      <c r="F5416" s="8">
        <v>0</v>
      </c>
      <c r="G5416" s="8">
        <v>13</v>
      </c>
      <c r="H5416" s="8" t="s">
        <v>11152</v>
      </c>
      <c r="I5416" s="8">
        <v>539.4375</v>
      </c>
      <c r="J5416" s="3">
        <f t="shared" si="84"/>
        <v>43747.867946504623</v>
      </c>
    </row>
    <row r="5417" spans="1:10" x14ac:dyDescent="0.25">
      <c r="A5417" s="5" t="s">
        <v>11153</v>
      </c>
      <c r="B5417" s="6">
        <v>418.75</v>
      </c>
      <c r="C5417" s="6">
        <v>20.478950000000001</v>
      </c>
      <c r="D5417" s="6">
        <v>72</v>
      </c>
      <c r="E5417" s="6">
        <v>0</v>
      </c>
      <c r="F5417" s="6">
        <v>0</v>
      </c>
      <c r="G5417" s="6">
        <v>14</v>
      </c>
      <c r="H5417" s="6" t="s">
        <v>11154</v>
      </c>
      <c r="I5417" s="6">
        <v>534.75</v>
      </c>
      <c r="J5417" s="2">
        <f t="shared" si="84"/>
        <v>43747.868030335645</v>
      </c>
    </row>
    <row r="5418" spans="1:10" x14ac:dyDescent="0.25">
      <c r="A5418" s="7" t="s">
        <v>11155</v>
      </c>
      <c r="B5418" s="8">
        <v>418.75</v>
      </c>
      <c r="C5418" s="8">
        <v>20.478950000000001</v>
      </c>
      <c r="D5418" s="8">
        <v>73</v>
      </c>
      <c r="E5418" s="8">
        <v>0</v>
      </c>
      <c r="F5418" s="8">
        <v>0</v>
      </c>
      <c r="G5418" s="8">
        <v>17</v>
      </c>
      <c r="H5418" s="8" t="s">
        <v>11156</v>
      </c>
      <c r="I5418" s="8">
        <v>534.75</v>
      </c>
      <c r="J5418" s="3">
        <f t="shared" si="84"/>
        <v>43747.868113865734</v>
      </c>
    </row>
    <row r="5419" spans="1:10" x14ac:dyDescent="0.25">
      <c r="A5419" s="5" t="s">
        <v>11157</v>
      </c>
      <c r="B5419" s="6">
        <v>418.75</v>
      </c>
      <c r="C5419" s="6">
        <v>20.478950000000001</v>
      </c>
      <c r="D5419" s="6">
        <v>73</v>
      </c>
      <c r="E5419" s="6">
        <v>0</v>
      </c>
      <c r="F5419" s="6">
        <v>0</v>
      </c>
      <c r="G5419" s="6">
        <v>17</v>
      </c>
      <c r="H5419" s="6" t="s">
        <v>11158</v>
      </c>
      <c r="I5419" s="6">
        <v>534.75</v>
      </c>
      <c r="J5419" s="2">
        <f t="shared" si="84"/>
        <v>43747.868185624997</v>
      </c>
    </row>
    <row r="5420" spans="1:10" x14ac:dyDescent="0.25">
      <c r="A5420" s="7" t="s">
        <v>11159</v>
      </c>
      <c r="B5420" s="8">
        <v>418.75</v>
      </c>
      <c r="C5420" s="8">
        <v>20.478950000000001</v>
      </c>
      <c r="D5420" s="8">
        <v>72</v>
      </c>
      <c r="E5420" s="8">
        <v>0</v>
      </c>
      <c r="F5420" s="8">
        <v>0</v>
      </c>
      <c r="G5420" s="8">
        <v>17</v>
      </c>
      <c r="H5420" s="8" t="s">
        <v>11160</v>
      </c>
      <c r="I5420" s="8">
        <v>534.75</v>
      </c>
      <c r="J5420" s="3">
        <f t="shared" si="84"/>
        <v>43747.868256898146</v>
      </c>
    </row>
    <row r="5421" spans="1:10" x14ac:dyDescent="0.25">
      <c r="A5421" s="5" t="s">
        <v>11161</v>
      </c>
      <c r="B5421" s="6">
        <v>418.75</v>
      </c>
      <c r="C5421" s="6">
        <v>20.478950000000001</v>
      </c>
      <c r="D5421" s="6">
        <v>71</v>
      </c>
      <c r="E5421" s="6">
        <v>0</v>
      </c>
      <c r="F5421" s="6">
        <v>0</v>
      </c>
      <c r="G5421" s="6">
        <v>16</v>
      </c>
      <c r="H5421" s="6" t="s">
        <v>11162</v>
      </c>
      <c r="I5421" s="6">
        <v>534.75</v>
      </c>
      <c r="J5421" s="2">
        <f t="shared" si="84"/>
        <v>43747.868328206016</v>
      </c>
    </row>
    <row r="5422" spans="1:10" x14ac:dyDescent="0.25">
      <c r="A5422" s="7" t="s">
        <v>11163</v>
      </c>
      <c r="B5422" s="8">
        <v>418.75</v>
      </c>
      <c r="C5422" s="8">
        <v>20.478950000000001</v>
      </c>
      <c r="D5422" s="8">
        <v>71</v>
      </c>
      <c r="E5422" s="8">
        <v>0</v>
      </c>
      <c r="F5422" s="8">
        <v>0</v>
      </c>
      <c r="G5422" s="8">
        <v>14</v>
      </c>
      <c r="H5422" s="8" t="s">
        <v>11164</v>
      </c>
      <c r="I5422" s="8">
        <v>534.75</v>
      </c>
      <c r="J5422" s="3">
        <f t="shared" si="84"/>
        <v>43747.868400185187</v>
      </c>
    </row>
    <row r="5423" spans="1:10" x14ac:dyDescent="0.25">
      <c r="A5423" s="5" t="s">
        <v>11165</v>
      </c>
      <c r="B5423" s="6">
        <v>434.375</v>
      </c>
      <c r="C5423" s="6">
        <v>20.478950000000001</v>
      </c>
      <c r="D5423" s="6">
        <v>73</v>
      </c>
      <c r="E5423" s="6">
        <v>0</v>
      </c>
      <c r="F5423" s="6">
        <v>0</v>
      </c>
      <c r="G5423" s="6">
        <v>14</v>
      </c>
      <c r="H5423" s="6" t="s">
        <v>11166</v>
      </c>
      <c r="I5423" s="6">
        <v>539.4375</v>
      </c>
      <c r="J5423" s="2">
        <f t="shared" si="84"/>
        <v>43747.868478576383</v>
      </c>
    </row>
    <row r="5424" spans="1:10" x14ac:dyDescent="0.25">
      <c r="A5424" s="7" t="s">
        <v>11167</v>
      </c>
      <c r="B5424" s="8">
        <v>415.625</v>
      </c>
      <c r="C5424" s="8">
        <v>20.478950000000001</v>
      </c>
      <c r="D5424" s="8">
        <v>74</v>
      </c>
      <c r="E5424" s="8">
        <v>0</v>
      </c>
      <c r="F5424" s="8">
        <v>0</v>
      </c>
      <c r="G5424" s="8">
        <v>16</v>
      </c>
      <c r="H5424" s="8" t="s">
        <v>11168</v>
      </c>
      <c r="I5424" s="8">
        <v>533.8125</v>
      </c>
      <c r="J5424" s="3">
        <f t="shared" si="84"/>
        <v>43747.868555000001</v>
      </c>
    </row>
    <row r="5425" spans="1:10" x14ac:dyDescent="0.25">
      <c r="A5425" s="5" t="s">
        <v>11169</v>
      </c>
      <c r="B5425" s="6">
        <v>418.75</v>
      </c>
      <c r="C5425" s="6">
        <v>20.478950000000001</v>
      </c>
      <c r="D5425" s="6">
        <v>74</v>
      </c>
      <c r="E5425" s="6">
        <v>0</v>
      </c>
      <c r="F5425" s="6">
        <v>0</v>
      </c>
      <c r="G5425" s="6">
        <v>16</v>
      </c>
      <c r="H5425" s="6" t="s">
        <v>11170</v>
      </c>
      <c r="I5425" s="6">
        <v>534</v>
      </c>
      <c r="J5425" s="2">
        <f t="shared" si="84"/>
        <v>43747.868638379623</v>
      </c>
    </row>
    <row r="5426" spans="1:10" x14ac:dyDescent="0.25">
      <c r="A5426" s="7" t="s">
        <v>11171</v>
      </c>
      <c r="B5426" s="8">
        <v>418.75</v>
      </c>
      <c r="C5426" s="8">
        <v>20.478950000000001</v>
      </c>
      <c r="D5426" s="8">
        <v>74</v>
      </c>
      <c r="E5426" s="8">
        <v>0</v>
      </c>
      <c r="F5426" s="8">
        <v>0</v>
      </c>
      <c r="G5426" s="8">
        <v>15</v>
      </c>
      <c r="H5426" s="8" t="s">
        <v>11172</v>
      </c>
      <c r="I5426" s="8">
        <v>534</v>
      </c>
      <c r="J5426" s="3">
        <f t="shared" si="84"/>
        <v>43747.868709675924</v>
      </c>
    </row>
    <row r="5427" spans="1:10" x14ac:dyDescent="0.25">
      <c r="A5427" s="5" t="s">
        <v>11173</v>
      </c>
      <c r="B5427" s="6">
        <v>415.625</v>
      </c>
      <c r="C5427" s="6">
        <v>20.478950000000001</v>
      </c>
      <c r="D5427" s="6">
        <v>75</v>
      </c>
      <c r="E5427" s="6">
        <v>0</v>
      </c>
      <c r="F5427" s="6">
        <v>0</v>
      </c>
      <c r="G5427" s="6">
        <v>12</v>
      </c>
      <c r="H5427" s="6" t="s">
        <v>11174</v>
      </c>
      <c r="I5427" s="6">
        <v>533.0625</v>
      </c>
      <c r="J5427" s="2">
        <f t="shared" si="84"/>
        <v>43747.86878143518</v>
      </c>
    </row>
    <row r="5428" spans="1:10" x14ac:dyDescent="0.25">
      <c r="A5428" s="7" t="s">
        <v>11175</v>
      </c>
      <c r="B5428" s="8">
        <v>415.625</v>
      </c>
      <c r="C5428" s="8">
        <v>20.478950000000001</v>
      </c>
      <c r="D5428" s="8">
        <v>74</v>
      </c>
      <c r="E5428" s="8">
        <v>0</v>
      </c>
      <c r="F5428" s="8">
        <v>0</v>
      </c>
      <c r="G5428" s="8">
        <v>15</v>
      </c>
      <c r="H5428" s="8" t="s">
        <v>11176</v>
      </c>
      <c r="I5428" s="8">
        <v>533.0625</v>
      </c>
      <c r="J5428" s="3">
        <f t="shared" si="84"/>
        <v>43747.86885313657</v>
      </c>
    </row>
    <row r="5429" spans="1:10" x14ac:dyDescent="0.25">
      <c r="A5429" s="5" t="s">
        <v>11177</v>
      </c>
      <c r="B5429" s="6">
        <v>412.5</v>
      </c>
      <c r="C5429" s="6">
        <v>20.478950000000001</v>
      </c>
      <c r="D5429" s="6">
        <v>74</v>
      </c>
      <c r="E5429" s="6">
        <v>0</v>
      </c>
      <c r="F5429" s="6">
        <v>0</v>
      </c>
      <c r="G5429" s="6">
        <v>17</v>
      </c>
      <c r="H5429" s="6" t="s">
        <v>11178</v>
      </c>
      <c r="I5429" s="6">
        <v>532.3125</v>
      </c>
      <c r="J5429" s="2">
        <f t="shared" si="84"/>
        <v>43747.868924432863</v>
      </c>
    </row>
    <row r="5430" spans="1:10" x14ac:dyDescent="0.25">
      <c r="A5430" s="7" t="s">
        <v>11179</v>
      </c>
      <c r="B5430" s="8">
        <v>412.5</v>
      </c>
      <c r="C5430" s="8">
        <v>20.478950000000001</v>
      </c>
      <c r="D5430" s="8">
        <v>74</v>
      </c>
      <c r="E5430" s="8">
        <v>0</v>
      </c>
      <c r="F5430" s="8">
        <v>0</v>
      </c>
      <c r="G5430" s="8">
        <v>17</v>
      </c>
      <c r="H5430" s="8" t="s">
        <v>11180</v>
      </c>
      <c r="I5430" s="8">
        <v>532.3125</v>
      </c>
      <c r="J5430" s="3">
        <f t="shared" si="84"/>
        <v>43747.868996493053</v>
      </c>
    </row>
    <row r="5431" spans="1:10" x14ac:dyDescent="0.25">
      <c r="A5431" s="5" t="s">
        <v>11181</v>
      </c>
      <c r="B5431" s="6">
        <v>412.5</v>
      </c>
      <c r="C5431" s="6">
        <v>20.478950000000001</v>
      </c>
      <c r="D5431" s="6">
        <v>75</v>
      </c>
      <c r="E5431" s="6">
        <v>0</v>
      </c>
      <c r="F5431" s="6">
        <v>0</v>
      </c>
      <c r="G5431" s="6">
        <v>12</v>
      </c>
      <c r="H5431" s="6" t="s">
        <v>11182</v>
      </c>
      <c r="I5431" s="6">
        <v>532.3125</v>
      </c>
      <c r="J5431" s="2">
        <f t="shared" si="84"/>
        <v>43747.869067916668</v>
      </c>
    </row>
    <row r="5432" spans="1:10" x14ac:dyDescent="0.25">
      <c r="A5432" s="7" t="s">
        <v>11183</v>
      </c>
      <c r="B5432" s="8">
        <v>412.5</v>
      </c>
      <c r="C5432" s="8">
        <v>20.478950000000001</v>
      </c>
      <c r="D5432" s="8">
        <v>74</v>
      </c>
      <c r="E5432" s="8">
        <v>0</v>
      </c>
      <c r="F5432" s="8">
        <v>0</v>
      </c>
      <c r="G5432" s="8">
        <v>17</v>
      </c>
      <c r="H5432" s="8" t="s">
        <v>11184</v>
      </c>
      <c r="I5432" s="8">
        <v>532.3125</v>
      </c>
      <c r="J5432" s="3">
        <f t="shared" si="84"/>
        <v>43747.869139270835</v>
      </c>
    </row>
    <row r="5433" spans="1:10" x14ac:dyDescent="0.25">
      <c r="A5433" s="5" t="s">
        <v>11185</v>
      </c>
      <c r="B5433" s="6">
        <v>412.5</v>
      </c>
      <c r="C5433" s="6">
        <v>20.478950000000001</v>
      </c>
      <c r="D5433" s="6">
        <v>75</v>
      </c>
      <c r="E5433" s="6">
        <v>0</v>
      </c>
      <c r="F5433" s="6">
        <v>0</v>
      </c>
      <c r="G5433" s="6">
        <v>14</v>
      </c>
      <c r="H5433" s="6" t="s">
        <v>11186</v>
      </c>
      <c r="I5433" s="6">
        <v>532.3125</v>
      </c>
      <c r="J5433" s="2">
        <f t="shared" si="84"/>
        <v>43747.869210555553</v>
      </c>
    </row>
    <row r="5434" spans="1:10" x14ac:dyDescent="0.25">
      <c r="A5434" s="7" t="s">
        <v>11187</v>
      </c>
      <c r="B5434" s="8">
        <v>434.375</v>
      </c>
      <c r="C5434" s="8">
        <v>20.478950000000001</v>
      </c>
      <c r="D5434" s="8">
        <v>76</v>
      </c>
      <c r="E5434" s="8">
        <v>0</v>
      </c>
      <c r="F5434" s="8">
        <v>0</v>
      </c>
      <c r="G5434" s="8">
        <v>11</v>
      </c>
      <c r="H5434" s="8" t="s">
        <v>11188</v>
      </c>
      <c r="I5434" s="8">
        <v>539.0625</v>
      </c>
      <c r="J5434" s="3">
        <f t="shared" si="84"/>
        <v>43747.869282777778</v>
      </c>
    </row>
    <row r="5435" spans="1:10" x14ac:dyDescent="0.25">
      <c r="A5435" s="5" t="s">
        <v>11189</v>
      </c>
      <c r="B5435" s="6">
        <v>415.625</v>
      </c>
      <c r="C5435" s="6">
        <v>20.478950000000001</v>
      </c>
      <c r="D5435" s="6">
        <v>79</v>
      </c>
      <c r="E5435" s="6">
        <v>0</v>
      </c>
      <c r="F5435" s="6">
        <v>0</v>
      </c>
      <c r="G5435" s="6">
        <v>14</v>
      </c>
      <c r="H5435" s="6" t="s">
        <v>11190</v>
      </c>
      <c r="I5435" s="6">
        <v>533.0625</v>
      </c>
      <c r="J5435" s="2">
        <f t="shared" si="84"/>
        <v>43747.869366168983</v>
      </c>
    </row>
    <row r="5436" spans="1:10" x14ac:dyDescent="0.25">
      <c r="A5436" s="7" t="s">
        <v>11191</v>
      </c>
      <c r="B5436" s="8">
        <v>415.625</v>
      </c>
      <c r="C5436" s="8">
        <v>20.478950000000001</v>
      </c>
      <c r="D5436" s="8">
        <v>78</v>
      </c>
      <c r="E5436" s="8">
        <v>0</v>
      </c>
      <c r="F5436" s="8">
        <v>0</v>
      </c>
      <c r="G5436" s="8">
        <v>10</v>
      </c>
      <c r="H5436" s="8" t="s">
        <v>11192</v>
      </c>
      <c r="I5436" s="8">
        <v>533.0625</v>
      </c>
      <c r="J5436" s="3">
        <f t="shared" si="84"/>
        <v>43747.869437465277</v>
      </c>
    </row>
    <row r="5437" spans="1:10" x14ac:dyDescent="0.25">
      <c r="A5437" s="5" t="s">
        <v>11193</v>
      </c>
      <c r="B5437" s="6">
        <v>415.625</v>
      </c>
      <c r="C5437" s="6">
        <v>20.478950000000001</v>
      </c>
      <c r="D5437" s="6">
        <v>77</v>
      </c>
      <c r="E5437" s="6">
        <v>0</v>
      </c>
      <c r="F5437" s="6">
        <v>0</v>
      </c>
      <c r="G5437" s="6">
        <v>15</v>
      </c>
      <c r="H5437" s="6" t="s">
        <v>11194</v>
      </c>
      <c r="I5437" s="6">
        <v>533.8125</v>
      </c>
      <c r="J5437" s="2">
        <f t="shared" si="84"/>
        <v>43747.869508715274</v>
      </c>
    </row>
    <row r="5438" spans="1:10" x14ac:dyDescent="0.25">
      <c r="A5438" s="7" t="s">
        <v>11195</v>
      </c>
      <c r="B5438" s="8">
        <v>418.75</v>
      </c>
      <c r="C5438" s="8">
        <v>20.478950000000001</v>
      </c>
      <c r="D5438" s="8">
        <v>76</v>
      </c>
      <c r="E5438" s="8">
        <v>0</v>
      </c>
      <c r="F5438" s="8">
        <v>0</v>
      </c>
      <c r="G5438" s="8">
        <v>14</v>
      </c>
      <c r="H5438" s="8" t="s">
        <v>11196</v>
      </c>
      <c r="I5438" s="8">
        <v>534</v>
      </c>
      <c r="J5438" s="3">
        <f t="shared" si="84"/>
        <v>43747.869580740742</v>
      </c>
    </row>
    <row r="5439" spans="1:10" x14ac:dyDescent="0.25">
      <c r="A5439" s="5" t="s">
        <v>11197</v>
      </c>
      <c r="B5439" s="6">
        <v>418.75</v>
      </c>
      <c r="C5439" s="6">
        <v>20.478950000000001</v>
      </c>
      <c r="D5439" s="6">
        <v>76</v>
      </c>
      <c r="E5439" s="6">
        <v>0</v>
      </c>
      <c r="F5439" s="6">
        <v>0</v>
      </c>
      <c r="G5439" s="6">
        <v>18</v>
      </c>
      <c r="H5439" s="6" t="s">
        <v>11198</v>
      </c>
      <c r="I5439" s="6">
        <v>534</v>
      </c>
      <c r="J5439" s="2">
        <f t="shared" si="84"/>
        <v>43747.869652245368</v>
      </c>
    </row>
    <row r="5440" spans="1:10" x14ac:dyDescent="0.25">
      <c r="A5440" s="7" t="s">
        <v>11199</v>
      </c>
      <c r="B5440" s="8">
        <v>415.625</v>
      </c>
      <c r="C5440" s="8">
        <v>20.478950000000001</v>
      </c>
      <c r="D5440" s="8">
        <v>76</v>
      </c>
      <c r="E5440" s="8">
        <v>0</v>
      </c>
      <c r="F5440" s="8">
        <v>0</v>
      </c>
      <c r="G5440" s="8">
        <v>17</v>
      </c>
      <c r="H5440" s="8" t="s">
        <v>11200</v>
      </c>
      <c r="I5440" s="8">
        <v>533.0625</v>
      </c>
      <c r="J5440" s="3">
        <f t="shared" si="84"/>
        <v>43747.869735509252</v>
      </c>
    </row>
    <row r="5441" spans="1:10" x14ac:dyDescent="0.25">
      <c r="A5441" s="5" t="s">
        <v>11201</v>
      </c>
      <c r="B5441" s="6">
        <v>434.375</v>
      </c>
      <c r="C5441" s="6">
        <v>20.478950000000001</v>
      </c>
      <c r="D5441" s="6">
        <v>76</v>
      </c>
      <c r="E5441" s="6">
        <v>0</v>
      </c>
      <c r="F5441" s="6">
        <v>0</v>
      </c>
      <c r="G5441" s="6">
        <v>15</v>
      </c>
      <c r="H5441" s="6" t="s">
        <v>11202</v>
      </c>
      <c r="I5441" s="6">
        <v>539.25</v>
      </c>
      <c r="J5441" s="2">
        <f t="shared" si="84"/>
        <v>43747.869806863418</v>
      </c>
    </row>
    <row r="5442" spans="1:10" x14ac:dyDescent="0.25">
      <c r="A5442" s="7" t="s">
        <v>11203</v>
      </c>
      <c r="B5442" s="8">
        <v>415.625</v>
      </c>
      <c r="C5442" s="8">
        <v>20.478950000000001</v>
      </c>
      <c r="D5442" s="8">
        <v>76</v>
      </c>
      <c r="E5442" s="8">
        <v>0</v>
      </c>
      <c r="F5442" s="8">
        <v>0</v>
      </c>
      <c r="G5442" s="8">
        <v>16</v>
      </c>
      <c r="H5442" s="8" t="s">
        <v>11204</v>
      </c>
      <c r="I5442" s="8">
        <v>533.0625</v>
      </c>
      <c r="J5442" s="3">
        <f t="shared" ref="J5442:J5505" si="85">(H5442/86400000)+25569+(7/24)</f>
        <v>43747.869879004626</v>
      </c>
    </row>
    <row r="5443" spans="1:10" x14ac:dyDescent="0.25">
      <c r="A5443" s="5" t="s">
        <v>11205</v>
      </c>
      <c r="B5443" s="6">
        <v>412.5</v>
      </c>
      <c r="C5443" s="6">
        <v>20.478950000000001</v>
      </c>
      <c r="D5443" s="6">
        <v>76</v>
      </c>
      <c r="E5443" s="6">
        <v>0</v>
      </c>
      <c r="F5443" s="6">
        <v>0</v>
      </c>
      <c r="G5443" s="6">
        <v>19</v>
      </c>
      <c r="H5443" s="6" t="s">
        <v>11206</v>
      </c>
      <c r="I5443" s="6">
        <v>532.3125</v>
      </c>
      <c r="J5443" s="2">
        <f t="shared" si="85"/>
        <v>43747.869950347223</v>
      </c>
    </row>
    <row r="5444" spans="1:10" x14ac:dyDescent="0.25">
      <c r="A5444" s="7" t="s">
        <v>11207</v>
      </c>
      <c r="B5444" s="8">
        <v>412.5</v>
      </c>
      <c r="C5444" s="8">
        <v>20.478950000000001</v>
      </c>
      <c r="D5444" s="8">
        <v>76</v>
      </c>
      <c r="E5444" s="8">
        <v>0</v>
      </c>
      <c r="F5444" s="8">
        <v>0</v>
      </c>
      <c r="G5444" s="8">
        <v>17</v>
      </c>
      <c r="H5444" s="8" t="s">
        <v>11208</v>
      </c>
      <c r="I5444" s="8">
        <v>532.3125</v>
      </c>
      <c r="J5444" s="3">
        <f t="shared" si="85"/>
        <v>43747.870021666669</v>
      </c>
    </row>
    <row r="5445" spans="1:10" x14ac:dyDescent="0.25">
      <c r="A5445" s="5" t="s">
        <v>11209</v>
      </c>
      <c r="B5445" s="6">
        <v>412.5</v>
      </c>
      <c r="C5445" s="6">
        <v>20.478950000000001</v>
      </c>
      <c r="D5445" s="6">
        <v>77</v>
      </c>
      <c r="E5445" s="6">
        <v>0</v>
      </c>
      <c r="F5445" s="6">
        <v>0</v>
      </c>
      <c r="G5445" s="6">
        <v>15</v>
      </c>
      <c r="H5445" s="6" t="s">
        <v>11210</v>
      </c>
      <c r="I5445" s="6">
        <v>532.3125</v>
      </c>
      <c r="J5445" s="2">
        <f t="shared" si="85"/>
        <v>43747.870092893521</v>
      </c>
    </row>
    <row r="5446" spans="1:10" x14ac:dyDescent="0.25">
      <c r="A5446" s="7" t="s">
        <v>11211</v>
      </c>
      <c r="B5446" s="8">
        <v>412.5</v>
      </c>
      <c r="C5446" s="8">
        <v>20.478950000000001</v>
      </c>
      <c r="D5446" s="8">
        <v>76</v>
      </c>
      <c r="E5446" s="8">
        <v>0</v>
      </c>
      <c r="F5446" s="8">
        <v>0</v>
      </c>
      <c r="G5446" s="8">
        <v>13</v>
      </c>
      <c r="H5446" s="8" t="s">
        <v>11212</v>
      </c>
      <c r="I5446" s="8">
        <v>532.3125</v>
      </c>
      <c r="J5446" s="3">
        <f t="shared" si="85"/>
        <v>43747.87018291666</v>
      </c>
    </row>
    <row r="5447" spans="1:10" x14ac:dyDescent="0.25">
      <c r="A5447" s="5" t="s">
        <v>11213</v>
      </c>
      <c r="B5447" s="6">
        <v>409.375</v>
      </c>
      <c r="C5447" s="6">
        <v>20.478950000000001</v>
      </c>
      <c r="D5447" s="6">
        <v>76</v>
      </c>
      <c r="E5447" s="6">
        <v>0</v>
      </c>
      <c r="F5447" s="6">
        <v>0</v>
      </c>
      <c r="G5447" s="6">
        <v>18</v>
      </c>
      <c r="H5447" s="6" t="s">
        <v>11214</v>
      </c>
      <c r="I5447" s="6">
        <v>531.375</v>
      </c>
      <c r="J5447" s="2">
        <f t="shared" si="85"/>
        <v>43747.870260497679</v>
      </c>
    </row>
    <row r="5448" spans="1:10" x14ac:dyDescent="0.25">
      <c r="A5448" s="7" t="s">
        <v>11215</v>
      </c>
      <c r="B5448" s="8">
        <v>428.125</v>
      </c>
      <c r="C5448" s="8">
        <v>20.478950000000001</v>
      </c>
      <c r="D5448" s="8">
        <v>76</v>
      </c>
      <c r="E5448" s="8">
        <v>0</v>
      </c>
      <c r="F5448" s="8">
        <v>0</v>
      </c>
      <c r="G5448" s="8">
        <v>17</v>
      </c>
      <c r="H5448" s="8" t="s">
        <v>11216</v>
      </c>
      <c r="I5448" s="8">
        <v>537.1875</v>
      </c>
      <c r="J5448" s="3">
        <f t="shared" si="85"/>
        <v>43747.870331840277</v>
      </c>
    </row>
    <row r="5449" spans="1:10" x14ac:dyDescent="0.25">
      <c r="A5449" s="5" t="s">
        <v>11217</v>
      </c>
      <c r="B5449" s="6">
        <v>409.375</v>
      </c>
      <c r="C5449" s="6">
        <v>20.478950000000001</v>
      </c>
      <c r="D5449" s="6">
        <v>76</v>
      </c>
      <c r="E5449" s="6">
        <v>0</v>
      </c>
      <c r="F5449" s="6">
        <v>0</v>
      </c>
      <c r="G5449" s="6">
        <v>23</v>
      </c>
      <c r="H5449" s="6" t="s">
        <v>11218</v>
      </c>
      <c r="I5449" s="6">
        <v>531.5625</v>
      </c>
      <c r="J5449" s="2">
        <f t="shared" si="85"/>
        <v>43747.870403148147</v>
      </c>
    </row>
    <row r="5450" spans="1:10" x14ac:dyDescent="0.25">
      <c r="A5450" s="7" t="s">
        <v>11219</v>
      </c>
      <c r="B5450" s="8">
        <v>409.375</v>
      </c>
      <c r="C5450" s="8">
        <v>20.478950000000001</v>
      </c>
      <c r="D5450" s="8">
        <v>76</v>
      </c>
      <c r="E5450" s="8">
        <v>0</v>
      </c>
      <c r="F5450" s="8">
        <v>0</v>
      </c>
      <c r="G5450" s="8">
        <v>28</v>
      </c>
      <c r="H5450" s="8" t="s">
        <v>11220</v>
      </c>
      <c r="I5450" s="8">
        <v>531.5625</v>
      </c>
      <c r="J5450" s="3">
        <f t="shared" si="85"/>
        <v>43747.870474479168</v>
      </c>
    </row>
    <row r="5451" spans="1:10" x14ac:dyDescent="0.25">
      <c r="A5451" s="5" t="s">
        <v>11221</v>
      </c>
      <c r="B5451" s="6">
        <v>409.375</v>
      </c>
      <c r="C5451" s="6">
        <v>20.478950000000001</v>
      </c>
      <c r="D5451" s="6">
        <v>76</v>
      </c>
      <c r="E5451" s="6">
        <v>0</v>
      </c>
      <c r="F5451" s="6">
        <v>0</v>
      </c>
      <c r="G5451" s="6">
        <v>21</v>
      </c>
      <c r="H5451" s="6" t="s">
        <v>11222</v>
      </c>
      <c r="I5451" s="6">
        <v>531.375</v>
      </c>
      <c r="J5451" s="2">
        <f t="shared" si="85"/>
        <v>43747.870546724538</v>
      </c>
    </row>
    <row r="5452" spans="1:10" x14ac:dyDescent="0.25">
      <c r="A5452" s="7" t="s">
        <v>11223</v>
      </c>
      <c r="B5452" s="8">
        <v>409.375</v>
      </c>
      <c r="C5452" s="8">
        <v>20.478950000000001</v>
      </c>
      <c r="D5452" s="8">
        <v>77</v>
      </c>
      <c r="E5452" s="8">
        <v>0</v>
      </c>
      <c r="F5452" s="8">
        <v>0</v>
      </c>
      <c r="G5452" s="8">
        <v>19</v>
      </c>
      <c r="H5452" s="8" t="s">
        <v>11224</v>
      </c>
      <c r="I5452" s="8">
        <v>531.5625</v>
      </c>
      <c r="J5452" s="3">
        <f t="shared" si="85"/>
        <v>43747.87061795139</v>
      </c>
    </row>
    <row r="5453" spans="1:10" x14ac:dyDescent="0.25">
      <c r="A5453" s="5" t="s">
        <v>11225</v>
      </c>
      <c r="B5453" s="6">
        <v>406.25</v>
      </c>
      <c r="C5453" s="6">
        <v>20.478950000000001</v>
      </c>
      <c r="D5453" s="6">
        <v>76</v>
      </c>
      <c r="E5453" s="6">
        <v>0</v>
      </c>
      <c r="F5453" s="6">
        <v>0</v>
      </c>
      <c r="G5453" s="6">
        <v>14</v>
      </c>
      <c r="H5453" s="6" t="s">
        <v>11226</v>
      </c>
      <c r="I5453" s="6">
        <v>530.625</v>
      </c>
      <c r="J5453" s="2">
        <f t="shared" si="85"/>
        <v>43747.870701273147</v>
      </c>
    </row>
    <row r="5454" spans="1:10" x14ac:dyDescent="0.25">
      <c r="A5454" s="7" t="s">
        <v>11227</v>
      </c>
      <c r="B5454" s="8">
        <v>409.375</v>
      </c>
      <c r="C5454" s="8">
        <v>20.478950000000001</v>
      </c>
      <c r="D5454" s="8">
        <v>77</v>
      </c>
      <c r="E5454" s="8">
        <v>0</v>
      </c>
      <c r="F5454" s="8">
        <v>0</v>
      </c>
      <c r="G5454" s="8">
        <v>15</v>
      </c>
      <c r="H5454" s="8" t="s">
        <v>11228</v>
      </c>
      <c r="I5454" s="8">
        <v>531.375</v>
      </c>
      <c r="J5454" s="3">
        <f t="shared" si="85"/>
        <v>43747.870772581016</v>
      </c>
    </row>
    <row r="5455" spans="1:10" x14ac:dyDescent="0.25">
      <c r="A5455" s="5" t="s">
        <v>11229</v>
      </c>
      <c r="B5455" s="6">
        <v>409.375</v>
      </c>
      <c r="C5455" s="6">
        <v>20.478950000000001</v>
      </c>
      <c r="D5455" s="6">
        <v>78</v>
      </c>
      <c r="E5455" s="6">
        <v>0</v>
      </c>
      <c r="F5455" s="6">
        <v>0</v>
      </c>
      <c r="G5455" s="6">
        <v>17</v>
      </c>
      <c r="H5455" s="6" t="s">
        <v>11230</v>
      </c>
      <c r="I5455" s="6">
        <v>531.375</v>
      </c>
      <c r="J5455" s="2">
        <f t="shared" si="85"/>
        <v>43747.870844768513</v>
      </c>
    </row>
    <row r="5456" spans="1:10" x14ac:dyDescent="0.25">
      <c r="A5456" s="7" t="s">
        <v>11231</v>
      </c>
      <c r="B5456" s="8">
        <v>409.375</v>
      </c>
      <c r="C5456" s="8">
        <v>20.478950000000001</v>
      </c>
      <c r="D5456" s="8">
        <v>79</v>
      </c>
      <c r="E5456" s="8">
        <v>0</v>
      </c>
      <c r="F5456" s="8">
        <v>0</v>
      </c>
      <c r="G5456" s="8">
        <v>14</v>
      </c>
      <c r="H5456" s="8" t="s">
        <v>11232</v>
      </c>
      <c r="I5456" s="8">
        <v>531.5625</v>
      </c>
      <c r="J5456" s="3">
        <f t="shared" si="85"/>
        <v>43747.870928090277</v>
      </c>
    </row>
    <row r="5457" spans="1:10" x14ac:dyDescent="0.25">
      <c r="A5457" s="5" t="s">
        <v>11233</v>
      </c>
      <c r="B5457" s="6">
        <v>409.375</v>
      </c>
      <c r="C5457" s="6">
        <v>20.478950000000001</v>
      </c>
      <c r="D5457" s="6">
        <v>77</v>
      </c>
      <c r="E5457" s="6">
        <v>0</v>
      </c>
      <c r="F5457" s="6">
        <v>0</v>
      </c>
      <c r="G5457" s="6">
        <v>12</v>
      </c>
      <c r="H5457" s="6" t="s">
        <v>11234</v>
      </c>
      <c r="I5457" s="6">
        <v>531.375</v>
      </c>
      <c r="J5457" s="2">
        <f t="shared" si="85"/>
        <v>43747.870999444443</v>
      </c>
    </row>
    <row r="5458" spans="1:10" x14ac:dyDescent="0.25">
      <c r="A5458" s="7" t="s">
        <v>11235</v>
      </c>
      <c r="B5458" s="8">
        <v>412.5</v>
      </c>
      <c r="C5458" s="8">
        <v>20.478950000000001</v>
      </c>
      <c r="D5458" s="8">
        <v>78</v>
      </c>
      <c r="E5458" s="8">
        <v>0</v>
      </c>
      <c r="F5458" s="8">
        <v>0</v>
      </c>
      <c r="G5458" s="8">
        <v>15</v>
      </c>
      <c r="H5458" s="8" t="s">
        <v>11236</v>
      </c>
      <c r="I5458" s="8">
        <v>532.3125</v>
      </c>
      <c r="J5458" s="3">
        <f t="shared" si="85"/>
        <v>43747.871082719903</v>
      </c>
    </row>
    <row r="5459" spans="1:10" x14ac:dyDescent="0.25">
      <c r="A5459" s="5" t="s">
        <v>11237</v>
      </c>
      <c r="B5459" s="6">
        <v>412.5</v>
      </c>
      <c r="C5459" s="6">
        <v>20.478950000000001</v>
      </c>
      <c r="D5459" s="6">
        <v>78</v>
      </c>
      <c r="E5459" s="6">
        <v>0</v>
      </c>
      <c r="F5459" s="6">
        <v>0</v>
      </c>
      <c r="G5459" s="6">
        <v>19</v>
      </c>
      <c r="H5459" s="6" t="s">
        <v>11238</v>
      </c>
      <c r="I5459" s="6">
        <v>532.3125</v>
      </c>
      <c r="J5459" s="2">
        <f t="shared" si="85"/>
        <v>43747.871154780085</v>
      </c>
    </row>
    <row r="5460" spans="1:10" x14ac:dyDescent="0.25">
      <c r="A5460" s="7" t="s">
        <v>11239</v>
      </c>
      <c r="B5460" s="8">
        <v>412.5</v>
      </c>
      <c r="C5460" s="8">
        <v>20.478950000000001</v>
      </c>
      <c r="D5460" s="8">
        <v>77</v>
      </c>
      <c r="E5460" s="8">
        <v>0</v>
      </c>
      <c r="F5460" s="8">
        <v>0</v>
      </c>
      <c r="G5460" s="8">
        <v>22</v>
      </c>
      <c r="H5460" s="8" t="s">
        <v>11240</v>
      </c>
      <c r="I5460" s="8">
        <v>532.3125</v>
      </c>
      <c r="J5460" s="3">
        <f t="shared" si="85"/>
        <v>43747.871226053241</v>
      </c>
    </row>
    <row r="5461" spans="1:10" x14ac:dyDescent="0.25">
      <c r="A5461" s="5" t="s">
        <v>11241</v>
      </c>
      <c r="B5461" s="6">
        <v>412.5</v>
      </c>
      <c r="C5461" s="6">
        <v>20.478950000000001</v>
      </c>
      <c r="D5461" s="6">
        <v>76</v>
      </c>
      <c r="E5461" s="6">
        <v>0</v>
      </c>
      <c r="F5461" s="6">
        <v>0</v>
      </c>
      <c r="G5461" s="6">
        <v>18</v>
      </c>
      <c r="H5461" s="6" t="s">
        <v>11242</v>
      </c>
      <c r="I5461" s="6">
        <v>532.3125</v>
      </c>
      <c r="J5461" s="2">
        <f t="shared" si="85"/>
        <v>43747.871297349535</v>
      </c>
    </row>
    <row r="5462" spans="1:10" x14ac:dyDescent="0.25">
      <c r="A5462" s="7" t="s">
        <v>11243</v>
      </c>
      <c r="B5462" s="8">
        <v>412.5</v>
      </c>
      <c r="C5462" s="8">
        <v>20.478950000000001</v>
      </c>
      <c r="D5462" s="8">
        <v>76</v>
      </c>
      <c r="E5462" s="8">
        <v>0</v>
      </c>
      <c r="F5462" s="8">
        <v>0</v>
      </c>
      <c r="G5462" s="8">
        <v>9</v>
      </c>
      <c r="H5462" s="8" t="s">
        <v>11244</v>
      </c>
      <c r="I5462" s="8">
        <v>532.3125</v>
      </c>
      <c r="J5462" s="3">
        <f t="shared" si="85"/>
        <v>43747.871369583336</v>
      </c>
    </row>
    <row r="5463" spans="1:10" x14ac:dyDescent="0.25">
      <c r="A5463" s="5" t="s">
        <v>11245</v>
      </c>
      <c r="B5463" s="6">
        <v>412.5</v>
      </c>
      <c r="C5463" s="6">
        <v>20.478950000000001</v>
      </c>
      <c r="D5463" s="6">
        <v>76</v>
      </c>
      <c r="E5463" s="6">
        <v>0</v>
      </c>
      <c r="F5463" s="6">
        <v>0</v>
      </c>
      <c r="G5463" s="6">
        <v>14</v>
      </c>
      <c r="H5463" s="6" t="s">
        <v>11246</v>
      </c>
      <c r="I5463" s="6">
        <v>532.3125</v>
      </c>
      <c r="J5463" s="2">
        <f t="shared" si="85"/>
        <v>43747.871449513885</v>
      </c>
    </row>
    <row r="5464" spans="1:10" x14ac:dyDescent="0.25">
      <c r="A5464" s="7" t="s">
        <v>11247</v>
      </c>
      <c r="B5464" s="8">
        <v>412.5</v>
      </c>
      <c r="C5464" s="8">
        <v>20.478950000000001</v>
      </c>
      <c r="D5464" s="8">
        <v>76</v>
      </c>
      <c r="E5464" s="8">
        <v>0</v>
      </c>
      <c r="F5464" s="8">
        <v>0</v>
      </c>
      <c r="G5464" s="8">
        <v>18</v>
      </c>
      <c r="H5464" s="8" t="s">
        <v>11248</v>
      </c>
      <c r="I5464" s="8">
        <v>532.3125</v>
      </c>
      <c r="J5464" s="3">
        <f t="shared" si="85"/>
        <v>43747.871524328701</v>
      </c>
    </row>
    <row r="5465" spans="1:10" x14ac:dyDescent="0.25">
      <c r="A5465" s="5" t="s">
        <v>11249</v>
      </c>
      <c r="B5465" s="6">
        <v>412.5</v>
      </c>
      <c r="C5465" s="6">
        <v>20.478950000000001</v>
      </c>
      <c r="D5465" s="6">
        <v>76</v>
      </c>
      <c r="E5465" s="6">
        <v>0</v>
      </c>
      <c r="F5465" s="6">
        <v>0</v>
      </c>
      <c r="G5465" s="6">
        <v>19</v>
      </c>
      <c r="H5465" s="6" t="s">
        <v>11250</v>
      </c>
      <c r="I5465" s="6">
        <v>532.3125</v>
      </c>
      <c r="J5465" s="2">
        <f t="shared" si="85"/>
        <v>43747.871595520832</v>
      </c>
    </row>
    <row r="5466" spans="1:10" x14ac:dyDescent="0.25">
      <c r="A5466" s="7" t="s">
        <v>11251</v>
      </c>
      <c r="B5466" s="8">
        <v>434.375</v>
      </c>
      <c r="C5466" s="8">
        <v>20.478950000000001</v>
      </c>
      <c r="D5466" s="8">
        <v>76</v>
      </c>
      <c r="E5466" s="8">
        <v>0</v>
      </c>
      <c r="F5466" s="8">
        <v>0</v>
      </c>
      <c r="G5466" s="8">
        <v>14</v>
      </c>
      <c r="H5466" s="8" t="s">
        <v>11252</v>
      </c>
      <c r="I5466" s="8">
        <v>539.625</v>
      </c>
      <c r="J5466" s="3">
        <f t="shared" si="85"/>
        <v>43747.871666886575</v>
      </c>
    </row>
    <row r="5467" spans="1:10" x14ac:dyDescent="0.25">
      <c r="A5467" s="5" t="s">
        <v>11253</v>
      </c>
      <c r="B5467" s="6">
        <v>412.5</v>
      </c>
      <c r="C5467" s="6">
        <v>20.478950000000001</v>
      </c>
      <c r="D5467" s="6">
        <v>75</v>
      </c>
      <c r="E5467" s="6">
        <v>0</v>
      </c>
      <c r="F5467" s="6">
        <v>0</v>
      </c>
      <c r="G5467" s="6">
        <v>6</v>
      </c>
      <c r="H5467" s="6" t="s">
        <v>11254</v>
      </c>
      <c r="I5467" s="6">
        <v>532.3125</v>
      </c>
      <c r="J5467" s="2">
        <f t="shared" si="85"/>
        <v>43747.87173890046</v>
      </c>
    </row>
    <row r="5468" spans="1:10" x14ac:dyDescent="0.25">
      <c r="A5468" s="7" t="s">
        <v>11255</v>
      </c>
      <c r="B5468" s="8">
        <v>412.5</v>
      </c>
      <c r="C5468" s="8">
        <v>20.478950000000001</v>
      </c>
      <c r="D5468" s="8">
        <v>75</v>
      </c>
      <c r="E5468" s="8">
        <v>0</v>
      </c>
      <c r="F5468" s="8">
        <v>0</v>
      </c>
      <c r="G5468" s="8">
        <v>9</v>
      </c>
      <c r="H5468" s="8" t="s">
        <v>11256</v>
      </c>
      <c r="I5468" s="8">
        <v>532.3125</v>
      </c>
      <c r="J5468" s="3">
        <f t="shared" si="85"/>
        <v>43747.871810312499</v>
      </c>
    </row>
    <row r="5469" spans="1:10" x14ac:dyDescent="0.25">
      <c r="A5469" s="5" t="s">
        <v>11257</v>
      </c>
      <c r="B5469" s="6">
        <v>412.5</v>
      </c>
      <c r="C5469" s="6">
        <v>20.478950000000001</v>
      </c>
      <c r="D5469" s="6">
        <v>75</v>
      </c>
      <c r="E5469" s="6">
        <v>0</v>
      </c>
      <c r="F5469" s="6">
        <v>0</v>
      </c>
      <c r="G5469" s="6">
        <v>10</v>
      </c>
      <c r="H5469" s="6" t="s">
        <v>11258</v>
      </c>
      <c r="I5469" s="6">
        <v>532.3125</v>
      </c>
      <c r="J5469" s="2">
        <f t="shared" si="85"/>
        <v>43747.871882349536</v>
      </c>
    </row>
    <row r="5470" spans="1:10" x14ac:dyDescent="0.25">
      <c r="A5470" s="7" t="s">
        <v>11259</v>
      </c>
      <c r="B5470" s="8">
        <v>412.5</v>
      </c>
      <c r="C5470" s="8">
        <v>20.478950000000001</v>
      </c>
      <c r="D5470" s="8">
        <v>75</v>
      </c>
      <c r="E5470" s="8">
        <v>0</v>
      </c>
      <c r="F5470" s="8">
        <v>0</v>
      </c>
      <c r="G5470" s="8">
        <v>17</v>
      </c>
      <c r="H5470" s="8" t="s">
        <v>11260</v>
      </c>
      <c r="I5470" s="8">
        <v>532.3125</v>
      </c>
      <c r="J5470" s="3">
        <f t="shared" si="85"/>
        <v>43747.871953020825</v>
      </c>
    </row>
    <row r="5471" spans="1:10" x14ac:dyDescent="0.25">
      <c r="A5471" s="5" t="s">
        <v>11261</v>
      </c>
      <c r="B5471" s="6">
        <v>412.5</v>
      </c>
      <c r="C5471" s="6">
        <v>20.478950000000001</v>
      </c>
      <c r="D5471" s="6">
        <v>75</v>
      </c>
      <c r="E5471" s="6">
        <v>0</v>
      </c>
      <c r="F5471" s="6">
        <v>0</v>
      </c>
      <c r="G5471" s="6">
        <v>18</v>
      </c>
      <c r="H5471" s="6" t="s">
        <v>11262</v>
      </c>
      <c r="I5471" s="6">
        <v>532.3125</v>
      </c>
      <c r="J5471" s="2">
        <f t="shared" si="85"/>
        <v>43747.872025486104</v>
      </c>
    </row>
    <row r="5472" spans="1:10" x14ac:dyDescent="0.25">
      <c r="A5472" s="7" t="s">
        <v>11263</v>
      </c>
      <c r="B5472" s="8">
        <v>412.5</v>
      </c>
      <c r="C5472" s="8">
        <v>20.478950000000001</v>
      </c>
      <c r="D5472" s="8">
        <v>75</v>
      </c>
      <c r="E5472" s="8">
        <v>0</v>
      </c>
      <c r="F5472" s="8">
        <v>0</v>
      </c>
      <c r="G5472" s="8">
        <v>19</v>
      </c>
      <c r="H5472" s="8" t="s">
        <v>11264</v>
      </c>
      <c r="I5472" s="8">
        <v>532.3125</v>
      </c>
      <c r="J5472" s="3">
        <f t="shared" si="85"/>
        <v>43747.872096493054</v>
      </c>
    </row>
    <row r="5473" spans="1:10" x14ac:dyDescent="0.25">
      <c r="A5473" s="5" t="s">
        <v>11265</v>
      </c>
      <c r="B5473" s="6">
        <v>412.5</v>
      </c>
      <c r="C5473" s="6">
        <v>20.478950000000001</v>
      </c>
      <c r="D5473" s="6">
        <v>75</v>
      </c>
      <c r="E5473" s="6">
        <v>0</v>
      </c>
      <c r="F5473" s="6">
        <v>0</v>
      </c>
      <c r="G5473" s="6">
        <v>20</v>
      </c>
      <c r="H5473" s="6" t="s">
        <v>11266</v>
      </c>
      <c r="I5473" s="6">
        <v>532.3125</v>
      </c>
      <c r="J5473" s="2">
        <f t="shared" si="85"/>
        <v>43747.872168564812</v>
      </c>
    </row>
    <row r="5474" spans="1:10" x14ac:dyDescent="0.25">
      <c r="A5474" s="7" t="s">
        <v>11267</v>
      </c>
      <c r="B5474" s="8">
        <v>415.625</v>
      </c>
      <c r="C5474" s="8">
        <v>20.478950000000001</v>
      </c>
      <c r="D5474" s="8">
        <v>75</v>
      </c>
      <c r="E5474" s="8">
        <v>0</v>
      </c>
      <c r="F5474" s="8">
        <v>0</v>
      </c>
      <c r="G5474" s="8">
        <v>21</v>
      </c>
      <c r="H5474" s="8" t="s">
        <v>11268</v>
      </c>
      <c r="I5474" s="8">
        <v>533.0625</v>
      </c>
      <c r="J5474" s="3">
        <f t="shared" si="85"/>
        <v>43747.872253553236</v>
      </c>
    </row>
    <row r="5475" spans="1:10" x14ac:dyDescent="0.25">
      <c r="A5475" s="5" t="s">
        <v>11269</v>
      </c>
      <c r="B5475" s="6">
        <v>415.625</v>
      </c>
      <c r="C5475" s="6">
        <v>20.478950000000001</v>
      </c>
      <c r="D5475" s="6">
        <v>75</v>
      </c>
      <c r="E5475" s="6">
        <v>0</v>
      </c>
      <c r="F5475" s="6">
        <v>0</v>
      </c>
      <c r="G5475" s="6">
        <v>20</v>
      </c>
      <c r="H5475" s="6" t="s">
        <v>11270</v>
      </c>
      <c r="I5475" s="6">
        <v>533.0625</v>
      </c>
      <c r="J5475" s="2">
        <f t="shared" si="85"/>
        <v>43747.872335358792</v>
      </c>
    </row>
    <row r="5476" spans="1:10" x14ac:dyDescent="0.25">
      <c r="A5476" s="7" t="s">
        <v>11271</v>
      </c>
      <c r="B5476" s="8">
        <v>415.625</v>
      </c>
      <c r="C5476" s="8">
        <v>20.478950000000001</v>
      </c>
      <c r="D5476" s="8">
        <v>75</v>
      </c>
      <c r="E5476" s="8">
        <v>0</v>
      </c>
      <c r="F5476" s="8">
        <v>0</v>
      </c>
      <c r="G5476" s="8">
        <v>18</v>
      </c>
      <c r="H5476" s="8" t="s">
        <v>11272</v>
      </c>
      <c r="I5476" s="8">
        <v>533.0625</v>
      </c>
      <c r="J5476" s="3">
        <f t="shared" si="85"/>
        <v>43747.872406655086</v>
      </c>
    </row>
    <row r="5477" spans="1:10" x14ac:dyDescent="0.25">
      <c r="A5477" s="5" t="s">
        <v>11273</v>
      </c>
      <c r="B5477" s="6">
        <v>418.75</v>
      </c>
      <c r="C5477" s="6">
        <v>20.478950000000001</v>
      </c>
      <c r="D5477" s="6">
        <v>75</v>
      </c>
      <c r="E5477" s="6">
        <v>0</v>
      </c>
      <c r="F5477" s="6">
        <v>0</v>
      </c>
      <c r="G5477" s="6">
        <v>16</v>
      </c>
      <c r="H5477" s="6" t="s">
        <v>11274</v>
      </c>
      <c r="I5477" s="6">
        <v>534</v>
      </c>
      <c r="J5477" s="2">
        <f t="shared" si="85"/>
        <v>43747.872478668978</v>
      </c>
    </row>
    <row r="5478" spans="1:10" x14ac:dyDescent="0.25">
      <c r="A5478" s="7" t="s">
        <v>11275</v>
      </c>
      <c r="B5478" s="8">
        <v>415.625</v>
      </c>
      <c r="C5478" s="8">
        <v>20.531590000000001</v>
      </c>
      <c r="D5478" s="8">
        <v>75</v>
      </c>
      <c r="E5478" s="8">
        <v>0</v>
      </c>
      <c r="F5478" s="8">
        <v>0</v>
      </c>
      <c r="G5478" s="8">
        <v>15</v>
      </c>
      <c r="H5478" s="8" t="s">
        <v>11276</v>
      </c>
      <c r="I5478" s="8">
        <v>533.0625</v>
      </c>
      <c r="J5478" s="3">
        <f t="shared" si="85"/>
        <v>43747.872549664353</v>
      </c>
    </row>
    <row r="5479" spans="1:10" x14ac:dyDescent="0.25">
      <c r="A5479" s="5" t="s">
        <v>11277</v>
      </c>
      <c r="B5479" s="6">
        <v>412.5</v>
      </c>
      <c r="C5479" s="6">
        <v>20.478950000000001</v>
      </c>
      <c r="D5479" s="6">
        <v>75</v>
      </c>
      <c r="E5479" s="6">
        <v>0</v>
      </c>
      <c r="F5479" s="6">
        <v>0</v>
      </c>
      <c r="G5479" s="6">
        <v>19</v>
      </c>
      <c r="H5479" s="6" t="s">
        <v>11278</v>
      </c>
      <c r="I5479" s="6">
        <v>532.3125</v>
      </c>
      <c r="J5479" s="2">
        <f t="shared" si="85"/>
        <v>43747.872621782408</v>
      </c>
    </row>
    <row r="5480" spans="1:10" x14ac:dyDescent="0.25">
      <c r="A5480" s="7" t="s">
        <v>11279</v>
      </c>
      <c r="B5480" s="8">
        <v>409.375</v>
      </c>
      <c r="C5480" s="8">
        <v>20.478950000000001</v>
      </c>
      <c r="D5480" s="8">
        <v>74</v>
      </c>
      <c r="E5480" s="8">
        <v>0</v>
      </c>
      <c r="F5480" s="8">
        <v>0</v>
      </c>
      <c r="G5480" s="8">
        <v>20</v>
      </c>
      <c r="H5480" s="8" t="s">
        <v>11280</v>
      </c>
      <c r="I5480" s="8">
        <v>531.5625</v>
      </c>
      <c r="J5480" s="3">
        <f t="shared" si="85"/>
        <v>43747.872716759251</v>
      </c>
    </row>
    <row r="5481" spans="1:10" x14ac:dyDescent="0.25">
      <c r="A5481" s="5" t="s">
        <v>11281</v>
      </c>
      <c r="B5481" s="6">
        <v>409.375</v>
      </c>
      <c r="C5481" s="6">
        <v>20.478950000000001</v>
      </c>
      <c r="D5481" s="6">
        <v>74</v>
      </c>
      <c r="E5481" s="6">
        <v>0</v>
      </c>
      <c r="F5481" s="6">
        <v>0</v>
      </c>
      <c r="G5481" s="6">
        <v>19</v>
      </c>
      <c r="H5481" s="6" t="s">
        <v>11282</v>
      </c>
      <c r="I5481" s="6">
        <v>531.5625</v>
      </c>
      <c r="J5481" s="2">
        <f t="shared" si="85"/>
        <v>43747.872788125002</v>
      </c>
    </row>
    <row r="5482" spans="1:10" x14ac:dyDescent="0.25">
      <c r="A5482" s="7" t="s">
        <v>11283</v>
      </c>
      <c r="B5482" s="8">
        <v>409.375</v>
      </c>
      <c r="C5482" s="8">
        <v>20.478950000000001</v>
      </c>
      <c r="D5482" s="8">
        <v>74</v>
      </c>
      <c r="E5482" s="8">
        <v>0</v>
      </c>
      <c r="F5482" s="8">
        <v>0</v>
      </c>
      <c r="G5482" s="8">
        <v>21</v>
      </c>
      <c r="H5482" s="8" t="s">
        <v>11284</v>
      </c>
      <c r="I5482" s="8">
        <v>531.5625</v>
      </c>
      <c r="J5482" s="3">
        <f t="shared" si="85"/>
        <v>43747.87286033565</v>
      </c>
    </row>
    <row r="5483" spans="1:10" x14ac:dyDescent="0.25">
      <c r="A5483" s="5" t="s">
        <v>11285</v>
      </c>
      <c r="B5483" s="6">
        <v>406.25</v>
      </c>
      <c r="C5483" s="6">
        <v>20.478950000000001</v>
      </c>
      <c r="D5483" s="6">
        <v>75</v>
      </c>
      <c r="E5483" s="6">
        <v>0</v>
      </c>
      <c r="F5483" s="6">
        <v>0</v>
      </c>
      <c r="G5483" s="6">
        <v>17</v>
      </c>
      <c r="H5483" s="6" t="s">
        <v>11286</v>
      </c>
      <c r="I5483" s="6">
        <v>530.625</v>
      </c>
      <c r="J5483" s="2">
        <f t="shared" si="85"/>
        <v>43747.872943553237</v>
      </c>
    </row>
    <row r="5484" spans="1:10" x14ac:dyDescent="0.25">
      <c r="A5484" s="7" t="s">
        <v>11287</v>
      </c>
      <c r="B5484" s="8">
        <v>406.25</v>
      </c>
      <c r="C5484" s="8">
        <v>20.478950000000001</v>
      </c>
      <c r="D5484" s="8">
        <v>76</v>
      </c>
      <c r="E5484" s="8">
        <v>0</v>
      </c>
      <c r="F5484" s="8">
        <v>0</v>
      </c>
      <c r="G5484" s="8">
        <v>6</v>
      </c>
      <c r="H5484" s="8" t="s">
        <v>11288</v>
      </c>
      <c r="I5484" s="8">
        <v>530.8125</v>
      </c>
      <c r="J5484" s="3">
        <f t="shared" si="85"/>
        <v>43747.873015023149</v>
      </c>
    </row>
    <row r="5485" spans="1:10" x14ac:dyDescent="0.25">
      <c r="A5485" s="5" t="s">
        <v>11289</v>
      </c>
      <c r="B5485" s="6">
        <v>403.125</v>
      </c>
      <c r="C5485" s="6">
        <v>20.478950000000001</v>
      </c>
      <c r="D5485" s="6">
        <v>77</v>
      </c>
      <c r="E5485" s="6">
        <v>0</v>
      </c>
      <c r="F5485" s="6">
        <v>0</v>
      </c>
      <c r="G5485" s="6">
        <v>18</v>
      </c>
      <c r="H5485" s="6" t="s">
        <v>11290</v>
      </c>
      <c r="I5485" s="6">
        <v>529.875</v>
      </c>
      <c r="J5485" s="2">
        <f t="shared" si="85"/>
        <v>43747.873086307867</v>
      </c>
    </row>
    <row r="5486" spans="1:10" x14ac:dyDescent="0.25">
      <c r="A5486" s="7" t="s">
        <v>11291</v>
      </c>
      <c r="B5486" s="8">
        <v>403.125</v>
      </c>
      <c r="C5486" s="8">
        <v>20.478950000000001</v>
      </c>
      <c r="D5486" s="8">
        <v>76</v>
      </c>
      <c r="E5486" s="8">
        <v>0</v>
      </c>
      <c r="F5486" s="8">
        <v>0</v>
      </c>
      <c r="G5486" s="8">
        <v>16</v>
      </c>
      <c r="H5486" s="8" t="s">
        <v>11292</v>
      </c>
      <c r="I5486" s="8">
        <v>529.875</v>
      </c>
      <c r="J5486" s="3">
        <f t="shared" si="85"/>
        <v>43747.873158414346</v>
      </c>
    </row>
    <row r="5487" spans="1:10" x14ac:dyDescent="0.25">
      <c r="A5487" s="5" t="s">
        <v>11293</v>
      </c>
      <c r="B5487" s="6">
        <v>403.125</v>
      </c>
      <c r="C5487" s="6">
        <v>20.478950000000001</v>
      </c>
      <c r="D5487" s="6">
        <v>75</v>
      </c>
      <c r="E5487" s="6">
        <v>0</v>
      </c>
      <c r="F5487" s="6">
        <v>0</v>
      </c>
      <c r="G5487" s="6">
        <v>17</v>
      </c>
      <c r="H5487" s="6" t="s">
        <v>11294</v>
      </c>
      <c r="I5487" s="6">
        <v>529.875</v>
      </c>
      <c r="J5487" s="2">
        <f t="shared" si="85"/>
        <v>43747.873229780089</v>
      </c>
    </row>
    <row r="5488" spans="1:10" x14ac:dyDescent="0.25">
      <c r="A5488" s="7" t="s">
        <v>11295</v>
      </c>
      <c r="B5488" s="8">
        <v>403.125</v>
      </c>
      <c r="C5488" s="8">
        <v>20.478950000000001</v>
      </c>
      <c r="D5488" s="8">
        <v>75</v>
      </c>
      <c r="E5488" s="8">
        <v>0</v>
      </c>
      <c r="F5488" s="8">
        <v>0</v>
      </c>
      <c r="G5488" s="8">
        <v>19</v>
      </c>
      <c r="H5488" s="8" t="s">
        <v>11296</v>
      </c>
      <c r="I5488" s="8">
        <v>529.875</v>
      </c>
      <c r="J5488" s="3">
        <f t="shared" si="85"/>
        <v>43747.87330107639</v>
      </c>
    </row>
    <row r="5489" spans="1:10" x14ac:dyDescent="0.25">
      <c r="A5489" s="5" t="s">
        <v>11297</v>
      </c>
      <c r="B5489" s="6">
        <v>403.125</v>
      </c>
      <c r="C5489" s="6">
        <v>20.478950000000001</v>
      </c>
      <c r="D5489" s="6">
        <v>75</v>
      </c>
      <c r="E5489" s="6">
        <v>0</v>
      </c>
      <c r="F5489" s="6">
        <v>0</v>
      </c>
      <c r="G5489" s="6">
        <v>22</v>
      </c>
      <c r="H5489" s="6" t="s">
        <v>11298</v>
      </c>
      <c r="I5489" s="6">
        <v>529.125</v>
      </c>
      <c r="J5489" s="2">
        <f t="shared" si="85"/>
        <v>43747.873374004623</v>
      </c>
    </row>
    <row r="5490" spans="1:10" x14ac:dyDescent="0.25">
      <c r="A5490" s="7" t="s">
        <v>11299</v>
      </c>
      <c r="B5490" s="8">
        <v>403.125</v>
      </c>
      <c r="C5490" s="8">
        <v>20.478950000000001</v>
      </c>
      <c r="D5490" s="8">
        <v>75</v>
      </c>
      <c r="E5490" s="8">
        <v>0</v>
      </c>
      <c r="F5490" s="8">
        <v>0</v>
      </c>
      <c r="G5490" s="8">
        <v>19</v>
      </c>
      <c r="H5490" s="8" t="s">
        <v>11300</v>
      </c>
      <c r="I5490" s="8">
        <v>529.875</v>
      </c>
      <c r="J5490" s="3">
        <f t="shared" si="85"/>
        <v>43747.87344369213</v>
      </c>
    </row>
    <row r="5491" spans="1:10" x14ac:dyDescent="0.25">
      <c r="A5491" s="5" t="s">
        <v>11301</v>
      </c>
      <c r="B5491" s="6">
        <v>403.125</v>
      </c>
      <c r="C5491" s="6">
        <v>20.478950000000001</v>
      </c>
      <c r="D5491" s="6">
        <v>75</v>
      </c>
      <c r="E5491" s="6">
        <v>0</v>
      </c>
      <c r="F5491" s="6">
        <v>0</v>
      </c>
      <c r="G5491" s="6">
        <v>14</v>
      </c>
      <c r="H5491" s="6" t="s">
        <v>11302</v>
      </c>
      <c r="I5491" s="6">
        <v>529.875</v>
      </c>
      <c r="J5491" s="2">
        <f t="shared" si="85"/>
        <v>43747.873518437496</v>
      </c>
    </row>
    <row r="5492" spans="1:10" x14ac:dyDescent="0.25">
      <c r="A5492" s="7" t="s">
        <v>11303</v>
      </c>
      <c r="B5492" s="8">
        <v>421.875</v>
      </c>
      <c r="C5492" s="8">
        <v>20.478950000000001</v>
      </c>
      <c r="D5492" s="8">
        <v>76</v>
      </c>
      <c r="E5492" s="8">
        <v>0</v>
      </c>
      <c r="F5492" s="8">
        <v>0</v>
      </c>
      <c r="G5492" s="8">
        <v>12</v>
      </c>
      <c r="H5492" s="8" t="s">
        <v>11304</v>
      </c>
      <c r="I5492" s="8">
        <v>535.5</v>
      </c>
      <c r="J5492" s="3">
        <f t="shared" si="85"/>
        <v>43747.873599236111</v>
      </c>
    </row>
    <row r="5493" spans="1:10" x14ac:dyDescent="0.25">
      <c r="A5493" s="5" t="s">
        <v>11305</v>
      </c>
      <c r="B5493" s="6">
        <v>403.125</v>
      </c>
      <c r="C5493" s="6">
        <v>20.478950000000001</v>
      </c>
      <c r="D5493" s="6">
        <v>77</v>
      </c>
      <c r="E5493" s="6">
        <v>0</v>
      </c>
      <c r="F5493" s="6">
        <v>0</v>
      </c>
      <c r="G5493" s="6">
        <v>20</v>
      </c>
      <c r="H5493" s="6" t="s">
        <v>11306</v>
      </c>
      <c r="I5493" s="6">
        <v>529.875</v>
      </c>
      <c r="J5493" s="2">
        <f t="shared" si="85"/>
        <v>43747.87367069444</v>
      </c>
    </row>
    <row r="5494" spans="1:10" x14ac:dyDescent="0.25">
      <c r="A5494" s="7" t="s">
        <v>11307</v>
      </c>
      <c r="B5494" s="8">
        <v>403.125</v>
      </c>
      <c r="C5494" s="8">
        <v>20.478950000000001</v>
      </c>
      <c r="D5494" s="8">
        <v>81</v>
      </c>
      <c r="E5494" s="8">
        <v>0</v>
      </c>
      <c r="F5494" s="8">
        <v>0</v>
      </c>
      <c r="G5494" s="8">
        <v>18</v>
      </c>
      <c r="H5494" s="8" t="s">
        <v>11308</v>
      </c>
      <c r="I5494" s="8">
        <v>529.875</v>
      </c>
      <c r="J5494" s="3">
        <f t="shared" si="85"/>
        <v>43747.87374268518</v>
      </c>
    </row>
    <row r="5495" spans="1:10" x14ac:dyDescent="0.25">
      <c r="A5495" s="5" t="s">
        <v>11309</v>
      </c>
      <c r="B5495" s="6">
        <v>406.25</v>
      </c>
      <c r="C5495" s="6">
        <v>20.478950000000001</v>
      </c>
      <c r="D5495" s="6">
        <v>81</v>
      </c>
      <c r="E5495" s="6">
        <v>0</v>
      </c>
      <c r="F5495" s="6">
        <v>0</v>
      </c>
      <c r="G5495" s="6">
        <v>16</v>
      </c>
      <c r="H5495" s="6" t="s">
        <v>11310</v>
      </c>
      <c r="I5495" s="6">
        <v>530.8125</v>
      </c>
      <c r="J5495" s="2">
        <f t="shared" si="85"/>
        <v>43747.873814085644</v>
      </c>
    </row>
    <row r="5496" spans="1:10" x14ac:dyDescent="0.25">
      <c r="A5496" s="7" t="s">
        <v>11311</v>
      </c>
      <c r="B5496" s="8">
        <v>406.25</v>
      </c>
      <c r="C5496" s="8">
        <v>20.478950000000001</v>
      </c>
      <c r="D5496" s="8">
        <v>82</v>
      </c>
      <c r="E5496" s="8">
        <v>0</v>
      </c>
      <c r="F5496" s="8">
        <v>0</v>
      </c>
      <c r="G5496" s="8">
        <v>23</v>
      </c>
      <c r="H5496" s="8" t="s">
        <v>11312</v>
      </c>
      <c r="I5496" s="8">
        <v>530.625</v>
      </c>
      <c r="J5496" s="3">
        <f t="shared" si="85"/>
        <v>43747.873897418984</v>
      </c>
    </row>
    <row r="5497" spans="1:10" x14ac:dyDescent="0.25">
      <c r="A5497" s="5" t="s">
        <v>11313</v>
      </c>
      <c r="B5497" s="6">
        <v>403.125</v>
      </c>
      <c r="C5497" s="6">
        <v>20.478950000000001</v>
      </c>
      <c r="D5497" s="6">
        <v>81</v>
      </c>
      <c r="E5497" s="6">
        <v>0</v>
      </c>
      <c r="F5497" s="6">
        <v>0</v>
      </c>
      <c r="G5497" s="6">
        <v>19</v>
      </c>
      <c r="H5497" s="6" t="s">
        <v>11314</v>
      </c>
      <c r="I5497" s="6">
        <v>529.875</v>
      </c>
      <c r="J5497" s="2">
        <f t="shared" si="85"/>
        <v>43747.873969409724</v>
      </c>
    </row>
    <row r="5498" spans="1:10" x14ac:dyDescent="0.25">
      <c r="A5498" s="7" t="s">
        <v>11315</v>
      </c>
      <c r="B5498" s="8">
        <v>403.125</v>
      </c>
      <c r="C5498" s="8">
        <v>20.478950000000001</v>
      </c>
      <c r="D5498" s="8">
        <v>80</v>
      </c>
      <c r="E5498" s="8">
        <v>0</v>
      </c>
      <c r="F5498" s="8">
        <v>0</v>
      </c>
      <c r="G5498" s="8">
        <v>16</v>
      </c>
      <c r="H5498" s="8" t="s">
        <v>11316</v>
      </c>
      <c r="I5498" s="8">
        <v>529.125</v>
      </c>
      <c r="J5498" s="3">
        <f t="shared" si="85"/>
        <v>43747.874040833332</v>
      </c>
    </row>
    <row r="5499" spans="1:10" x14ac:dyDescent="0.25">
      <c r="A5499" s="5" t="s">
        <v>11317</v>
      </c>
      <c r="B5499" s="6">
        <v>421.875</v>
      </c>
      <c r="C5499" s="6">
        <v>20.478950000000001</v>
      </c>
      <c r="D5499" s="6">
        <v>80</v>
      </c>
      <c r="E5499" s="6">
        <v>0</v>
      </c>
      <c r="F5499" s="6">
        <v>0</v>
      </c>
      <c r="G5499" s="6">
        <v>8</v>
      </c>
      <c r="H5499" s="6" t="s">
        <v>11318</v>
      </c>
      <c r="I5499" s="6">
        <v>535.5</v>
      </c>
      <c r="J5499" s="2">
        <f t="shared" si="85"/>
        <v>43747.874112187499</v>
      </c>
    </row>
    <row r="5500" spans="1:10" x14ac:dyDescent="0.25">
      <c r="A5500" s="7" t="s">
        <v>11319</v>
      </c>
      <c r="B5500" s="8">
        <v>406.25</v>
      </c>
      <c r="C5500" s="8">
        <v>20.478950000000001</v>
      </c>
      <c r="D5500" s="8">
        <v>80</v>
      </c>
      <c r="E5500" s="8">
        <v>0</v>
      </c>
      <c r="F5500" s="8">
        <v>0</v>
      </c>
      <c r="G5500" s="8">
        <v>17</v>
      </c>
      <c r="H5500" s="8" t="s">
        <v>11320</v>
      </c>
      <c r="I5500" s="8">
        <v>530.625</v>
      </c>
      <c r="J5500" s="3">
        <f t="shared" si="85"/>
        <v>43747.874195659715</v>
      </c>
    </row>
    <row r="5501" spans="1:10" x14ac:dyDescent="0.25">
      <c r="A5501" s="5" t="s">
        <v>11321</v>
      </c>
      <c r="B5501" s="6">
        <v>406.25</v>
      </c>
      <c r="C5501" s="6">
        <v>20.478950000000001</v>
      </c>
      <c r="D5501" s="6">
        <v>79</v>
      </c>
      <c r="E5501" s="6">
        <v>0</v>
      </c>
      <c r="F5501" s="6">
        <v>0</v>
      </c>
      <c r="G5501" s="6">
        <v>17</v>
      </c>
      <c r="H5501" s="6" t="s">
        <v>11322</v>
      </c>
      <c r="I5501" s="6">
        <v>530.625</v>
      </c>
      <c r="J5501" s="2">
        <f t="shared" si="85"/>
        <v>43747.874267523141</v>
      </c>
    </row>
    <row r="5502" spans="1:10" x14ac:dyDescent="0.25">
      <c r="A5502" s="7" t="s">
        <v>11323</v>
      </c>
      <c r="B5502" s="8">
        <v>406.25</v>
      </c>
      <c r="C5502" s="8">
        <v>20.478950000000001</v>
      </c>
      <c r="D5502" s="8">
        <v>80</v>
      </c>
      <c r="E5502" s="8">
        <v>0</v>
      </c>
      <c r="F5502" s="8">
        <v>0</v>
      </c>
      <c r="G5502" s="8">
        <v>12</v>
      </c>
      <c r="H5502" s="8" t="s">
        <v>11324</v>
      </c>
      <c r="I5502" s="8">
        <v>530.625</v>
      </c>
      <c r="J5502" s="3">
        <f t="shared" si="85"/>
        <v>43747.874338993053</v>
      </c>
    </row>
    <row r="5503" spans="1:10" x14ac:dyDescent="0.25">
      <c r="A5503" s="5" t="s">
        <v>11325</v>
      </c>
      <c r="B5503" s="6">
        <v>409.375</v>
      </c>
      <c r="C5503" s="6">
        <v>20.478950000000001</v>
      </c>
      <c r="D5503" s="6">
        <v>80</v>
      </c>
      <c r="E5503" s="6">
        <v>0</v>
      </c>
      <c r="F5503" s="6">
        <v>0</v>
      </c>
      <c r="G5503" s="6">
        <v>14</v>
      </c>
      <c r="H5503" s="6" t="s">
        <v>11326</v>
      </c>
      <c r="I5503" s="6">
        <v>531.375</v>
      </c>
      <c r="J5503" s="2">
        <f t="shared" si="85"/>
        <v>43747.874410208329</v>
      </c>
    </row>
    <row r="5504" spans="1:10" x14ac:dyDescent="0.25">
      <c r="A5504" s="7" t="s">
        <v>11327</v>
      </c>
      <c r="B5504" s="8">
        <v>406.25</v>
      </c>
      <c r="C5504" s="8">
        <v>20.478950000000001</v>
      </c>
      <c r="D5504" s="8">
        <v>80</v>
      </c>
      <c r="E5504" s="8">
        <v>0</v>
      </c>
      <c r="F5504" s="8">
        <v>0</v>
      </c>
      <c r="G5504" s="8">
        <v>13</v>
      </c>
      <c r="H5504" s="8" t="s">
        <v>11328</v>
      </c>
      <c r="I5504" s="8">
        <v>530.625</v>
      </c>
      <c r="J5504" s="3">
        <f t="shared" si="85"/>
        <v>43747.874481631945</v>
      </c>
    </row>
    <row r="5505" spans="1:10" x14ac:dyDescent="0.25">
      <c r="A5505" s="5" t="s">
        <v>11329</v>
      </c>
      <c r="B5505" s="6">
        <v>409.375</v>
      </c>
      <c r="C5505" s="6">
        <v>20.478950000000001</v>
      </c>
      <c r="D5505" s="6">
        <v>80</v>
      </c>
      <c r="E5505" s="6">
        <v>0</v>
      </c>
      <c r="F5505" s="6">
        <v>0</v>
      </c>
      <c r="G5505" s="6">
        <v>18</v>
      </c>
      <c r="H5505" s="6" t="s">
        <v>11330</v>
      </c>
      <c r="I5505" s="6">
        <v>531.5625</v>
      </c>
      <c r="J5505" s="2">
        <f t="shared" si="85"/>
        <v>43747.874552974536</v>
      </c>
    </row>
    <row r="5506" spans="1:10" x14ac:dyDescent="0.25">
      <c r="A5506" s="7" t="s">
        <v>11331</v>
      </c>
      <c r="B5506" s="8">
        <v>409.375</v>
      </c>
      <c r="C5506" s="8">
        <v>20.478950000000001</v>
      </c>
      <c r="D5506" s="8">
        <v>80</v>
      </c>
      <c r="E5506" s="8">
        <v>0</v>
      </c>
      <c r="F5506" s="8">
        <v>0</v>
      </c>
      <c r="G5506" s="8">
        <v>19</v>
      </c>
      <c r="H5506" s="8" t="s">
        <v>11332</v>
      </c>
      <c r="I5506" s="8">
        <v>531.5625</v>
      </c>
      <c r="J5506" s="3">
        <f t="shared" ref="J5506:J5569" si="86">(H5506/86400000)+25569+(7/24)</f>
        <v>43747.874626643512</v>
      </c>
    </row>
    <row r="5507" spans="1:10" x14ac:dyDescent="0.25">
      <c r="A5507" s="5" t="s">
        <v>11333</v>
      </c>
      <c r="B5507" s="6">
        <v>409.375</v>
      </c>
      <c r="C5507" s="6">
        <v>20.478950000000001</v>
      </c>
      <c r="D5507" s="6">
        <v>80</v>
      </c>
      <c r="E5507" s="6">
        <v>0</v>
      </c>
      <c r="F5507" s="6">
        <v>0</v>
      </c>
      <c r="G5507" s="6">
        <v>12</v>
      </c>
      <c r="H5507" s="6" t="s">
        <v>11334</v>
      </c>
      <c r="I5507" s="6">
        <v>531.5625</v>
      </c>
      <c r="J5507" s="2">
        <f t="shared" si="86"/>
        <v>43747.874708414347</v>
      </c>
    </row>
    <row r="5508" spans="1:10" x14ac:dyDescent="0.25">
      <c r="A5508" s="7" t="s">
        <v>11335</v>
      </c>
      <c r="B5508" s="8">
        <v>409.375</v>
      </c>
      <c r="C5508" s="8">
        <v>20.478950000000001</v>
      </c>
      <c r="D5508" s="8">
        <v>76</v>
      </c>
      <c r="E5508" s="8">
        <v>0</v>
      </c>
      <c r="F5508" s="8">
        <v>0</v>
      </c>
      <c r="G5508" s="8">
        <v>16</v>
      </c>
      <c r="H5508" s="8" t="s">
        <v>11336</v>
      </c>
      <c r="I5508" s="8">
        <v>531.5625</v>
      </c>
      <c r="J5508" s="3">
        <f t="shared" si="86"/>
        <v>43747.874779837955</v>
      </c>
    </row>
    <row r="5509" spans="1:10" x14ac:dyDescent="0.25">
      <c r="A5509" s="5" t="s">
        <v>11337</v>
      </c>
      <c r="B5509" s="6">
        <v>409.375</v>
      </c>
      <c r="C5509" s="6">
        <v>20.478950000000001</v>
      </c>
      <c r="D5509" s="6">
        <v>76</v>
      </c>
      <c r="E5509" s="6">
        <v>0</v>
      </c>
      <c r="F5509" s="6">
        <v>0</v>
      </c>
      <c r="G5509" s="6">
        <v>19</v>
      </c>
      <c r="H5509" s="6" t="s">
        <v>11338</v>
      </c>
      <c r="I5509" s="6">
        <v>531.5625</v>
      </c>
      <c r="J5509" s="2">
        <f t="shared" si="86"/>
        <v>43747.874859502313</v>
      </c>
    </row>
    <row r="5510" spans="1:10" x14ac:dyDescent="0.25">
      <c r="A5510" s="7" t="s">
        <v>11339</v>
      </c>
      <c r="B5510" s="8">
        <v>409.375</v>
      </c>
      <c r="C5510" s="8">
        <v>20.478950000000001</v>
      </c>
      <c r="D5510" s="8">
        <v>77</v>
      </c>
      <c r="E5510" s="8">
        <v>0</v>
      </c>
      <c r="F5510" s="8">
        <v>0</v>
      </c>
      <c r="G5510" s="8">
        <v>10</v>
      </c>
      <c r="H5510" s="8" t="s">
        <v>11340</v>
      </c>
      <c r="I5510" s="8">
        <v>531.375</v>
      </c>
      <c r="J5510" s="3">
        <f t="shared" si="86"/>
        <v>43747.874935092586</v>
      </c>
    </row>
    <row r="5511" spans="1:10" x14ac:dyDescent="0.25">
      <c r="A5511" s="5" t="s">
        <v>11341</v>
      </c>
      <c r="B5511" s="6">
        <v>409.375</v>
      </c>
      <c r="C5511" s="6">
        <v>20.478950000000001</v>
      </c>
      <c r="D5511" s="6">
        <v>80</v>
      </c>
      <c r="E5511" s="6">
        <v>0</v>
      </c>
      <c r="F5511" s="6">
        <v>0</v>
      </c>
      <c r="G5511" s="6">
        <v>16</v>
      </c>
      <c r="H5511" s="6" t="s">
        <v>11342</v>
      </c>
      <c r="I5511" s="6">
        <v>531.375</v>
      </c>
      <c r="J5511" s="2">
        <f t="shared" si="86"/>
        <v>43747.875006712966</v>
      </c>
    </row>
    <row r="5512" spans="1:10" x14ac:dyDescent="0.25">
      <c r="A5512" s="7" t="s">
        <v>11343</v>
      </c>
      <c r="B5512" s="8">
        <v>409.375</v>
      </c>
      <c r="C5512" s="8">
        <v>20.478950000000001</v>
      </c>
      <c r="D5512" s="8">
        <v>84</v>
      </c>
      <c r="E5512" s="8">
        <v>0</v>
      </c>
      <c r="F5512" s="8">
        <v>0</v>
      </c>
      <c r="G5512" s="8">
        <v>20</v>
      </c>
      <c r="H5512" s="8" t="s">
        <v>11344</v>
      </c>
      <c r="I5512" s="8">
        <v>531.5625</v>
      </c>
      <c r="J5512" s="3">
        <f t="shared" si="86"/>
        <v>43747.875078055549</v>
      </c>
    </row>
    <row r="5513" spans="1:10" x14ac:dyDescent="0.25">
      <c r="A5513" s="5" t="s">
        <v>11345</v>
      </c>
      <c r="B5513" s="6">
        <v>412.5</v>
      </c>
      <c r="C5513" s="6">
        <v>20.478950000000001</v>
      </c>
      <c r="D5513" s="6">
        <v>83</v>
      </c>
      <c r="E5513" s="6">
        <v>0</v>
      </c>
      <c r="F5513" s="6">
        <v>0</v>
      </c>
      <c r="G5513" s="6">
        <v>15</v>
      </c>
      <c r="H5513" s="6" t="s">
        <v>11346</v>
      </c>
      <c r="I5513" s="6">
        <v>532.3125</v>
      </c>
      <c r="J5513" s="2">
        <f t="shared" si="86"/>
        <v>43747.87517353009</v>
      </c>
    </row>
    <row r="5514" spans="1:10" x14ac:dyDescent="0.25">
      <c r="A5514" s="7" t="s">
        <v>11347</v>
      </c>
      <c r="B5514" s="8">
        <v>415.625</v>
      </c>
      <c r="C5514" s="8">
        <v>20.478950000000001</v>
      </c>
      <c r="D5514" s="8">
        <v>83</v>
      </c>
      <c r="E5514" s="8">
        <v>0</v>
      </c>
      <c r="F5514" s="8">
        <v>0</v>
      </c>
      <c r="G5514" s="8">
        <v>17</v>
      </c>
      <c r="H5514" s="8" t="s">
        <v>11348</v>
      </c>
      <c r="I5514" s="8">
        <v>533.0625</v>
      </c>
      <c r="J5514" s="3">
        <f t="shared" si="86"/>
        <v>43747.87524483796</v>
      </c>
    </row>
    <row r="5515" spans="1:10" x14ac:dyDescent="0.25">
      <c r="A5515" s="5" t="s">
        <v>11349</v>
      </c>
      <c r="B5515" s="6">
        <v>418.75</v>
      </c>
      <c r="C5515" s="6">
        <v>20.478950000000001</v>
      </c>
      <c r="D5515" s="6">
        <v>81</v>
      </c>
      <c r="E5515" s="6">
        <v>0</v>
      </c>
      <c r="F5515" s="6">
        <v>0</v>
      </c>
      <c r="G5515" s="6">
        <v>13</v>
      </c>
      <c r="H5515" s="6" t="s">
        <v>11350</v>
      </c>
      <c r="I5515" s="6">
        <v>534</v>
      </c>
      <c r="J5515" s="2">
        <f t="shared" si="86"/>
        <v>43747.875316631944</v>
      </c>
    </row>
    <row r="5516" spans="1:10" x14ac:dyDescent="0.25">
      <c r="A5516" s="7" t="s">
        <v>11351</v>
      </c>
      <c r="B5516" s="8">
        <v>415.625</v>
      </c>
      <c r="C5516" s="8">
        <v>20.478950000000001</v>
      </c>
      <c r="D5516" s="8">
        <v>81</v>
      </c>
      <c r="E5516" s="8">
        <v>0</v>
      </c>
      <c r="F5516" s="8">
        <v>0</v>
      </c>
      <c r="G5516" s="8">
        <v>21</v>
      </c>
      <c r="H5516" s="8" t="s">
        <v>11352</v>
      </c>
      <c r="I5516" s="8">
        <v>533.0625</v>
      </c>
      <c r="J5516" s="3">
        <f t="shared" si="86"/>
        <v>43747.875388298613</v>
      </c>
    </row>
    <row r="5517" spans="1:10" x14ac:dyDescent="0.25">
      <c r="A5517" s="5" t="s">
        <v>11353</v>
      </c>
      <c r="B5517" s="6">
        <v>418.75</v>
      </c>
      <c r="C5517" s="6">
        <v>20.478950000000001</v>
      </c>
      <c r="D5517" s="6">
        <v>82</v>
      </c>
      <c r="E5517" s="6">
        <v>0</v>
      </c>
      <c r="F5517" s="6">
        <v>0</v>
      </c>
      <c r="G5517" s="6">
        <v>23</v>
      </c>
      <c r="H5517" s="6" t="s">
        <v>11354</v>
      </c>
      <c r="I5517" s="6">
        <v>534</v>
      </c>
      <c r="J5517" s="2">
        <f t="shared" si="86"/>
        <v>43747.875459675925</v>
      </c>
    </row>
    <row r="5518" spans="1:10" x14ac:dyDescent="0.25">
      <c r="A5518" s="7" t="s">
        <v>11355</v>
      </c>
      <c r="B5518" s="8">
        <v>418.75</v>
      </c>
      <c r="C5518" s="8">
        <v>20.478950000000001</v>
      </c>
      <c r="D5518" s="8">
        <v>82</v>
      </c>
      <c r="E5518" s="8">
        <v>0</v>
      </c>
      <c r="F5518" s="8">
        <v>0</v>
      </c>
      <c r="G5518" s="8">
        <v>15</v>
      </c>
      <c r="H5518" s="8" t="s">
        <v>11356</v>
      </c>
      <c r="I5518" s="8">
        <v>534</v>
      </c>
      <c r="J5518" s="3">
        <f t="shared" si="86"/>
        <v>43747.875531817124</v>
      </c>
    </row>
    <row r="5519" spans="1:10" x14ac:dyDescent="0.25">
      <c r="A5519" s="5" t="s">
        <v>11357</v>
      </c>
      <c r="B5519" s="6">
        <v>415.625</v>
      </c>
      <c r="C5519" s="6">
        <v>20.478950000000001</v>
      </c>
      <c r="D5519" s="6">
        <v>82</v>
      </c>
      <c r="E5519" s="6">
        <v>0</v>
      </c>
      <c r="F5519" s="6">
        <v>0</v>
      </c>
      <c r="G5519" s="6">
        <v>21</v>
      </c>
      <c r="H5519" s="6" t="s">
        <v>11358</v>
      </c>
      <c r="I5519" s="6">
        <v>533.0625</v>
      </c>
      <c r="J5519" s="2">
        <f t="shared" si="86"/>
        <v>43747.875613182863</v>
      </c>
    </row>
    <row r="5520" spans="1:10" x14ac:dyDescent="0.25">
      <c r="A5520" s="7" t="s">
        <v>11359</v>
      </c>
      <c r="B5520" s="8">
        <v>434.375</v>
      </c>
      <c r="C5520" s="8">
        <v>20.478950000000001</v>
      </c>
      <c r="D5520" s="8">
        <v>82</v>
      </c>
      <c r="E5520" s="8">
        <v>0</v>
      </c>
      <c r="F5520" s="8">
        <v>0</v>
      </c>
      <c r="G5520" s="8">
        <v>30</v>
      </c>
      <c r="H5520" s="8" t="s">
        <v>11360</v>
      </c>
      <c r="I5520" s="8">
        <v>539.625</v>
      </c>
      <c r="J5520" s="3">
        <f t="shared" si="86"/>
        <v>43747.875686458334</v>
      </c>
    </row>
    <row r="5521" spans="1:10" x14ac:dyDescent="0.25">
      <c r="A5521" s="5" t="s">
        <v>11361</v>
      </c>
      <c r="B5521" s="6">
        <v>415.625</v>
      </c>
      <c r="C5521" s="6">
        <v>20.478950000000001</v>
      </c>
      <c r="D5521" s="6">
        <v>83</v>
      </c>
      <c r="E5521" s="6">
        <v>0</v>
      </c>
      <c r="F5521" s="6">
        <v>0</v>
      </c>
      <c r="G5521" s="6">
        <v>13</v>
      </c>
      <c r="H5521" s="6" t="s">
        <v>11362</v>
      </c>
      <c r="I5521" s="6">
        <v>533.0625</v>
      </c>
      <c r="J5521" s="2">
        <f t="shared" si="86"/>
        <v>43747.875757731475</v>
      </c>
    </row>
    <row r="5522" spans="1:10" x14ac:dyDescent="0.25">
      <c r="A5522" s="7" t="s">
        <v>11363</v>
      </c>
      <c r="B5522" s="8">
        <v>412.5</v>
      </c>
      <c r="C5522" s="8">
        <v>20.478950000000001</v>
      </c>
      <c r="D5522" s="8">
        <v>83</v>
      </c>
      <c r="E5522" s="8">
        <v>0</v>
      </c>
      <c r="F5522" s="8">
        <v>0</v>
      </c>
      <c r="G5522" s="8">
        <v>17</v>
      </c>
      <c r="H5522" s="8" t="s">
        <v>11364</v>
      </c>
      <c r="I5522" s="8">
        <v>532.3125</v>
      </c>
      <c r="J5522" s="3">
        <f t="shared" si="86"/>
        <v>43747.875829745368</v>
      </c>
    </row>
    <row r="5523" spans="1:10" x14ac:dyDescent="0.25">
      <c r="A5523" s="5" t="s">
        <v>11365</v>
      </c>
      <c r="B5523" s="6">
        <v>412.5</v>
      </c>
      <c r="C5523" s="6">
        <v>20.478950000000001</v>
      </c>
      <c r="D5523" s="6">
        <v>84</v>
      </c>
      <c r="E5523" s="6">
        <v>0</v>
      </c>
      <c r="F5523" s="6">
        <v>0</v>
      </c>
      <c r="G5523" s="6">
        <v>9</v>
      </c>
      <c r="H5523" s="6" t="s">
        <v>11366</v>
      </c>
      <c r="I5523" s="6">
        <v>532.3125</v>
      </c>
      <c r="J5523" s="2">
        <f t="shared" si="86"/>
        <v>43747.875900798608</v>
      </c>
    </row>
    <row r="5524" spans="1:10" x14ac:dyDescent="0.25">
      <c r="A5524" s="7" t="s">
        <v>11367</v>
      </c>
      <c r="B5524" s="8">
        <v>412.5</v>
      </c>
      <c r="C5524" s="8">
        <v>20.478950000000001</v>
      </c>
      <c r="D5524" s="8">
        <v>84</v>
      </c>
      <c r="E5524" s="8">
        <v>0</v>
      </c>
      <c r="F5524" s="8">
        <v>0</v>
      </c>
      <c r="G5524" s="8">
        <v>14</v>
      </c>
      <c r="H5524" s="8" t="s">
        <v>11368</v>
      </c>
      <c r="I5524" s="8">
        <v>532.3125</v>
      </c>
      <c r="J5524" s="3">
        <f t="shared" si="86"/>
        <v>43747.875986747684</v>
      </c>
    </row>
    <row r="5525" spans="1:10" x14ac:dyDescent="0.25">
      <c r="A5525" s="5" t="s">
        <v>11369</v>
      </c>
      <c r="B5525" s="6">
        <v>412.5</v>
      </c>
      <c r="C5525" s="6">
        <v>20.478950000000001</v>
      </c>
      <c r="D5525" s="6">
        <v>84</v>
      </c>
      <c r="E5525" s="6">
        <v>0</v>
      </c>
      <c r="F5525" s="6">
        <v>0</v>
      </c>
      <c r="G5525" s="6">
        <v>21</v>
      </c>
      <c r="H5525" s="6" t="s">
        <v>11370</v>
      </c>
      <c r="I5525" s="6">
        <v>532.3125</v>
      </c>
      <c r="J5525" s="2">
        <f t="shared" si="86"/>
        <v>43747.876068043981</v>
      </c>
    </row>
    <row r="5526" spans="1:10" x14ac:dyDescent="0.25">
      <c r="A5526" s="7" t="s">
        <v>11371</v>
      </c>
      <c r="B5526" s="8">
        <v>412.5</v>
      </c>
      <c r="C5526" s="8">
        <v>20.478950000000001</v>
      </c>
      <c r="D5526" s="8">
        <v>82</v>
      </c>
      <c r="E5526" s="8">
        <v>0</v>
      </c>
      <c r="F5526" s="8">
        <v>0</v>
      </c>
      <c r="G5526" s="8">
        <v>24</v>
      </c>
      <c r="H5526" s="8" t="s">
        <v>11372</v>
      </c>
      <c r="I5526" s="8">
        <v>532.3125</v>
      </c>
      <c r="J5526" s="3">
        <f t="shared" si="86"/>
        <v>43747.876142743051</v>
      </c>
    </row>
    <row r="5527" spans="1:10" x14ac:dyDescent="0.25">
      <c r="A5527" s="5" t="s">
        <v>11373</v>
      </c>
      <c r="B5527" s="6">
        <v>412.5</v>
      </c>
      <c r="C5527" s="6">
        <v>20.478950000000001</v>
      </c>
      <c r="D5527" s="6">
        <v>80</v>
      </c>
      <c r="E5527" s="6">
        <v>0</v>
      </c>
      <c r="F5527" s="6">
        <v>0</v>
      </c>
      <c r="G5527" s="6">
        <v>19</v>
      </c>
      <c r="H5527" s="6" t="s">
        <v>11374</v>
      </c>
      <c r="I5527" s="6">
        <v>532.3125</v>
      </c>
      <c r="J5527" s="2">
        <f t="shared" si="86"/>
        <v>43747.876223530089</v>
      </c>
    </row>
    <row r="5528" spans="1:10" x14ac:dyDescent="0.25">
      <c r="A5528" s="7" t="s">
        <v>11375</v>
      </c>
      <c r="B5528" s="8">
        <v>412.5</v>
      </c>
      <c r="C5528" s="8">
        <v>20.478950000000001</v>
      </c>
      <c r="D5528" s="8">
        <v>80</v>
      </c>
      <c r="E5528" s="8">
        <v>0</v>
      </c>
      <c r="F5528" s="8">
        <v>0</v>
      </c>
      <c r="G5528" s="8">
        <v>13</v>
      </c>
      <c r="H5528" s="8" t="s">
        <v>11376</v>
      </c>
      <c r="I5528" s="8">
        <v>532.3125</v>
      </c>
      <c r="J5528" s="3">
        <f t="shared" si="86"/>
        <v>43747.876294016205</v>
      </c>
    </row>
    <row r="5529" spans="1:10" x14ac:dyDescent="0.25">
      <c r="A5529" s="5" t="s">
        <v>11377</v>
      </c>
      <c r="B5529" s="6">
        <v>412.5</v>
      </c>
      <c r="C5529" s="6">
        <v>20.478950000000001</v>
      </c>
      <c r="D5529" s="6">
        <v>86</v>
      </c>
      <c r="E5529" s="6">
        <v>0</v>
      </c>
      <c r="F5529" s="6">
        <v>0</v>
      </c>
      <c r="G5529" s="6">
        <v>16</v>
      </c>
      <c r="H5529" s="6" t="s">
        <v>11378</v>
      </c>
      <c r="I5529" s="6">
        <v>532.3125</v>
      </c>
      <c r="J5529" s="2">
        <f t="shared" si="86"/>
        <v>43747.87636592592</v>
      </c>
    </row>
    <row r="5530" spans="1:10" x14ac:dyDescent="0.25">
      <c r="A5530" s="7" t="s">
        <v>11379</v>
      </c>
      <c r="B5530" s="8">
        <v>431.25</v>
      </c>
      <c r="C5530" s="8">
        <v>20.478950000000001</v>
      </c>
      <c r="D5530" s="8">
        <v>85</v>
      </c>
      <c r="E5530" s="8">
        <v>0</v>
      </c>
      <c r="F5530" s="8">
        <v>0</v>
      </c>
      <c r="G5530" s="8">
        <v>19</v>
      </c>
      <c r="H5530" s="8" t="s">
        <v>11380</v>
      </c>
      <c r="I5530" s="8">
        <v>538.125</v>
      </c>
      <c r="J5530" s="3">
        <f t="shared" si="86"/>
        <v>43747.876449467592</v>
      </c>
    </row>
    <row r="5531" spans="1:10" x14ac:dyDescent="0.25">
      <c r="A5531" s="5" t="s">
        <v>11381</v>
      </c>
      <c r="B5531" s="6">
        <v>415.625</v>
      </c>
      <c r="C5531" s="6">
        <v>20.478950000000001</v>
      </c>
      <c r="D5531" s="6">
        <v>82</v>
      </c>
      <c r="E5531" s="6">
        <v>0</v>
      </c>
      <c r="F5531" s="6">
        <v>0</v>
      </c>
      <c r="G5531" s="6">
        <v>14</v>
      </c>
      <c r="H5531" s="6" t="s">
        <v>11382</v>
      </c>
      <c r="I5531" s="6">
        <v>533.0625</v>
      </c>
      <c r="J5531" s="2">
        <f t="shared" si="86"/>
        <v>43747.876521111109</v>
      </c>
    </row>
    <row r="5532" spans="1:10" x14ac:dyDescent="0.25">
      <c r="A5532" s="7" t="s">
        <v>11383</v>
      </c>
      <c r="B5532" s="8">
        <v>412.5</v>
      </c>
      <c r="C5532" s="8">
        <v>20.478950000000001</v>
      </c>
      <c r="D5532" s="8">
        <v>82</v>
      </c>
      <c r="E5532" s="8">
        <v>0</v>
      </c>
      <c r="F5532" s="8">
        <v>0</v>
      </c>
      <c r="G5532" s="8">
        <v>18</v>
      </c>
      <c r="H5532" s="8" t="s">
        <v>11384</v>
      </c>
      <c r="I5532" s="8">
        <v>532.3125</v>
      </c>
      <c r="J5532" s="3">
        <f t="shared" si="86"/>
        <v>43747.876592627312</v>
      </c>
    </row>
    <row r="5533" spans="1:10" x14ac:dyDescent="0.25">
      <c r="A5533" s="5" t="s">
        <v>11385</v>
      </c>
      <c r="B5533" s="6">
        <v>415.625</v>
      </c>
      <c r="C5533" s="6">
        <v>20.478950000000001</v>
      </c>
      <c r="D5533" s="6">
        <v>82</v>
      </c>
      <c r="E5533" s="6">
        <v>0</v>
      </c>
      <c r="F5533" s="6">
        <v>0</v>
      </c>
      <c r="G5533" s="6">
        <v>18</v>
      </c>
      <c r="H5533" s="6" t="s">
        <v>11386</v>
      </c>
      <c r="I5533" s="6">
        <v>533.25</v>
      </c>
      <c r="J5533" s="2">
        <f t="shared" si="86"/>
        <v>43747.876664733798</v>
      </c>
    </row>
    <row r="5534" spans="1:10" x14ac:dyDescent="0.25">
      <c r="A5534" s="7" t="s">
        <v>11387</v>
      </c>
      <c r="B5534" s="8">
        <v>415.625</v>
      </c>
      <c r="C5534" s="8">
        <v>20.478950000000001</v>
      </c>
      <c r="D5534" s="8">
        <v>82</v>
      </c>
      <c r="E5534" s="8">
        <v>0</v>
      </c>
      <c r="F5534" s="8">
        <v>0</v>
      </c>
      <c r="G5534" s="8">
        <v>20</v>
      </c>
      <c r="H5534" s="8" t="s">
        <v>11388</v>
      </c>
      <c r="I5534" s="8">
        <v>533.0625</v>
      </c>
      <c r="J5534" s="3">
        <f t="shared" si="86"/>
        <v>43747.876735115737</v>
      </c>
    </row>
    <row r="5535" spans="1:10" x14ac:dyDescent="0.25">
      <c r="A5535" s="5" t="s">
        <v>11389</v>
      </c>
      <c r="B5535" s="6">
        <v>412.5</v>
      </c>
      <c r="C5535" s="6">
        <v>20.478950000000001</v>
      </c>
      <c r="D5535" s="6">
        <v>82</v>
      </c>
      <c r="E5535" s="6">
        <v>0</v>
      </c>
      <c r="F5535" s="6">
        <v>0</v>
      </c>
      <c r="G5535" s="6">
        <v>12</v>
      </c>
      <c r="H5535" s="6" t="s">
        <v>11390</v>
      </c>
      <c r="I5535" s="6">
        <v>532.3125</v>
      </c>
      <c r="J5535" s="2">
        <f t="shared" si="86"/>
        <v>43747.876808032401</v>
      </c>
    </row>
    <row r="5536" spans="1:10" x14ac:dyDescent="0.25">
      <c r="A5536" s="7" t="s">
        <v>11391</v>
      </c>
      <c r="B5536" s="8">
        <v>412.5</v>
      </c>
      <c r="C5536" s="8">
        <v>20.478950000000001</v>
      </c>
      <c r="D5536" s="8">
        <v>82</v>
      </c>
      <c r="E5536" s="8">
        <v>0</v>
      </c>
      <c r="F5536" s="8">
        <v>0</v>
      </c>
      <c r="G5536" s="8">
        <v>22</v>
      </c>
      <c r="H5536" s="8" t="s">
        <v>11392</v>
      </c>
      <c r="I5536" s="8">
        <v>532.3125</v>
      </c>
      <c r="J5536" s="3">
        <f t="shared" si="86"/>
        <v>43747.876878807867</v>
      </c>
    </row>
    <row r="5537" spans="1:10" x14ac:dyDescent="0.25">
      <c r="A5537" s="5" t="s">
        <v>11393</v>
      </c>
      <c r="B5537" s="6">
        <v>415.625</v>
      </c>
      <c r="C5537" s="6">
        <v>20.478950000000001</v>
      </c>
      <c r="D5537" s="6">
        <v>82</v>
      </c>
      <c r="E5537" s="6">
        <v>0</v>
      </c>
      <c r="F5537" s="6">
        <v>0</v>
      </c>
      <c r="G5537" s="6">
        <v>19</v>
      </c>
      <c r="H5537" s="6" t="s">
        <v>11394</v>
      </c>
      <c r="I5537" s="6">
        <v>533.25</v>
      </c>
      <c r="J5537" s="2">
        <f t="shared" si="86"/>
        <v>43747.876962071758</v>
      </c>
    </row>
    <row r="5538" spans="1:10" x14ac:dyDescent="0.25">
      <c r="A5538" s="7" t="s">
        <v>11395</v>
      </c>
      <c r="B5538" s="8">
        <v>415.625</v>
      </c>
      <c r="C5538" s="8">
        <v>20.478950000000001</v>
      </c>
      <c r="D5538" s="8">
        <v>82</v>
      </c>
      <c r="E5538" s="8">
        <v>0</v>
      </c>
      <c r="F5538" s="8">
        <v>0</v>
      </c>
      <c r="G5538" s="8">
        <v>14</v>
      </c>
      <c r="H5538" s="8" t="s">
        <v>11396</v>
      </c>
      <c r="I5538" s="8">
        <v>533.0625</v>
      </c>
      <c r="J5538" s="3">
        <f t="shared" si="86"/>
        <v>43747.877033657402</v>
      </c>
    </row>
    <row r="5539" spans="1:10" x14ac:dyDescent="0.25">
      <c r="A5539" s="5" t="s">
        <v>11397</v>
      </c>
      <c r="B5539" s="6">
        <v>415.625</v>
      </c>
      <c r="C5539" s="6">
        <v>20.478950000000001</v>
      </c>
      <c r="D5539" s="6">
        <v>83</v>
      </c>
      <c r="E5539" s="6">
        <v>0</v>
      </c>
      <c r="F5539" s="6">
        <v>0</v>
      </c>
      <c r="G5539" s="6">
        <v>19</v>
      </c>
      <c r="H5539" s="6" t="s">
        <v>11398</v>
      </c>
      <c r="I5539" s="6">
        <v>533.25</v>
      </c>
      <c r="J5539" s="2">
        <f t="shared" si="86"/>
        <v>43747.877105555548</v>
      </c>
    </row>
    <row r="5540" spans="1:10" x14ac:dyDescent="0.25">
      <c r="A5540" s="7" t="s">
        <v>11399</v>
      </c>
      <c r="B5540" s="8">
        <v>418.75</v>
      </c>
      <c r="C5540" s="8">
        <v>20.478950000000001</v>
      </c>
      <c r="D5540" s="8">
        <v>83</v>
      </c>
      <c r="E5540" s="8">
        <v>0</v>
      </c>
      <c r="F5540" s="8">
        <v>0</v>
      </c>
      <c r="G5540" s="8">
        <v>16</v>
      </c>
      <c r="H5540" s="8" t="s">
        <v>11400</v>
      </c>
      <c r="I5540" s="8">
        <v>534</v>
      </c>
      <c r="J5540" s="3">
        <f t="shared" si="86"/>
        <v>43747.877177025461</v>
      </c>
    </row>
    <row r="5541" spans="1:10" x14ac:dyDescent="0.25">
      <c r="A5541" s="5" t="s">
        <v>11401</v>
      </c>
      <c r="B5541" s="6">
        <v>418.75</v>
      </c>
      <c r="C5541" s="6">
        <v>20.478950000000001</v>
      </c>
      <c r="D5541" s="6">
        <v>82</v>
      </c>
      <c r="E5541" s="6">
        <v>0</v>
      </c>
      <c r="F5541" s="6">
        <v>0</v>
      </c>
      <c r="G5541" s="6">
        <v>18</v>
      </c>
      <c r="H5541" s="6" t="s">
        <v>11402</v>
      </c>
      <c r="I5541" s="6">
        <v>534</v>
      </c>
      <c r="J5541" s="2">
        <f t="shared" si="86"/>
        <v>43747.877272777776</v>
      </c>
    </row>
    <row r="5542" spans="1:10" x14ac:dyDescent="0.25">
      <c r="A5542" s="7" t="s">
        <v>11403</v>
      </c>
      <c r="B5542" s="8">
        <v>415.625</v>
      </c>
      <c r="C5542" s="8">
        <v>20.478950000000001</v>
      </c>
      <c r="D5542" s="8">
        <v>82</v>
      </c>
      <c r="E5542" s="8">
        <v>0</v>
      </c>
      <c r="F5542" s="8">
        <v>0</v>
      </c>
      <c r="G5542" s="8">
        <v>16</v>
      </c>
      <c r="H5542" s="8" t="s">
        <v>11404</v>
      </c>
      <c r="I5542" s="8">
        <v>533.8125</v>
      </c>
      <c r="J5542" s="3">
        <f t="shared" si="86"/>
        <v>43747.877344768516</v>
      </c>
    </row>
    <row r="5543" spans="1:10" x14ac:dyDescent="0.25">
      <c r="A5543" s="5" t="s">
        <v>11405</v>
      </c>
      <c r="B5543" s="6">
        <v>418.75</v>
      </c>
      <c r="C5543" s="6">
        <v>20.478950000000001</v>
      </c>
      <c r="D5543" s="6">
        <v>80</v>
      </c>
      <c r="E5543" s="6">
        <v>0</v>
      </c>
      <c r="F5543" s="6">
        <v>0</v>
      </c>
      <c r="G5543" s="6">
        <v>13</v>
      </c>
      <c r="H5543" s="6" t="s">
        <v>11406</v>
      </c>
      <c r="I5543" s="6">
        <v>534</v>
      </c>
      <c r="J5543" s="2">
        <f t="shared" si="86"/>
        <v>43747.877427291663</v>
      </c>
    </row>
    <row r="5544" spans="1:10" x14ac:dyDescent="0.25">
      <c r="A5544" s="7" t="s">
        <v>11407</v>
      </c>
      <c r="B5544" s="8">
        <v>418.75</v>
      </c>
      <c r="C5544" s="8">
        <v>20.478950000000001</v>
      </c>
      <c r="D5544" s="8">
        <v>80</v>
      </c>
      <c r="E5544" s="8">
        <v>0</v>
      </c>
      <c r="F5544" s="8">
        <v>0</v>
      </c>
      <c r="G5544" s="8">
        <v>20</v>
      </c>
      <c r="H5544" s="8" t="s">
        <v>11408</v>
      </c>
      <c r="I5544" s="8">
        <v>534</v>
      </c>
      <c r="J5544" s="3">
        <f t="shared" si="86"/>
        <v>43747.877498668975</v>
      </c>
    </row>
    <row r="5545" spans="1:10" x14ac:dyDescent="0.25">
      <c r="A5545" s="5" t="s">
        <v>11409</v>
      </c>
      <c r="B5545" s="6">
        <v>415.625</v>
      </c>
      <c r="C5545" s="6">
        <v>20.478950000000001</v>
      </c>
      <c r="D5545" s="6">
        <v>80</v>
      </c>
      <c r="E5545" s="6">
        <v>0</v>
      </c>
      <c r="F5545" s="6">
        <v>0</v>
      </c>
      <c r="G5545" s="6">
        <v>23</v>
      </c>
      <c r="H5545" s="6" t="s">
        <v>11410</v>
      </c>
      <c r="I5545" s="6">
        <v>533.8125</v>
      </c>
      <c r="J5545" s="2">
        <f t="shared" si="86"/>
        <v>43747.8775708912</v>
      </c>
    </row>
    <row r="5546" spans="1:10" x14ac:dyDescent="0.25">
      <c r="A5546" s="7" t="s">
        <v>11411</v>
      </c>
      <c r="B5546" s="8">
        <v>418.75</v>
      </c>
      <c r="C5546" s="8">
        <v>20.478950000000001</v>
      </c>
      <c r="D5546" s="8">
        <v>79</v>
      </c>
      <c r="E5546" s="8">
        <v>0</v>
      </c>
      <c r="F5546" s="8">
        <v>0</v>
      </c>
      <c r="G5546" s="8">
        <v>17</v>
      </c>
      <c r="H5546" s="8" t="s">
        <v>11412</v>
      </c>
      <c r="I5546" s="8">
        <v>534</v>
      </c>
      <c r="J5546" s="3">
        <f t="shared" si="86"/>
        <v>43747.877656412034</v>
      </c>
    </row>
    <row r="5547" spans="1:10" x14ac:dyDescent="0.25">
      <c r="A5547" s="5" t="s">
        <v>11413</v>
      </c>
      <c r="B5547" s="6">
        <v>415.625</v>
      </c>
      <c r="C5547" s="6">
        <v>20.478950000000001</v>
      </c>
      <c r="D5547" s="6">
        <v>80</v>
      </c>
      <c r="E5547" s="6">
        <v>0</v>
      </c>
      <c r="F5547" s="6">
        <v>0</v>
      </c>
      <c r="G5547" s="6">
        <v>19</v>
      </c>
      <c r="H5547" s="6" t="s">
        <v>11414</v>
      </c>
      <c r="I5547" s="6">
        <v>533.8125</v>
      </c>
      <c r="J5547" s="2">
        <f t="shared" si="86"/>
        <v>43747.877749456013</v>
      </c>
    </row>
    <row r="5548" spans="1:10" x14ac:dyDescent="0.25">
      <c r="A5548" s="7" t="s">
        <v>11415</v>
      </c>
      <c r="B5548" s="8">
        <v>418.75</v>
      </c>
      <c r="C5548" s="8">
        <v>20.478950000000001</v>
      </c>
      <c r="D5548" s="8">
        <v>80</v>
      </c>
      <c r="E5548" s="8">
        <v>0</v>
      </c>
      <c r="F5548" s="8">
        <v>0</v>
      </c>
      <c r="G5548" s="8">
        <v>14</v>
      </c>
      <c r="H5548" s="8" t="s">
        <v>11416</v>
      </c>
      <c r="I5548" s="8">
        <v>534</v>
      </c>
      <c r="J5548" s="3">
        <f t="shared" si="86"/>
        <v>43747.877820983798</v>
      </c>
    </row>
    <row r="5549" spans="1:10" x14ac:dyDescent="0.25">
      <c r="A5549" s="5" t="s">
        <v>11417</v>
      </c>
      <c r="B5549" s="6">
        <v>437.5</v>
      </c>
      <c r="C5549" s="6">
        <v>20.426300000000001</v>
      </c>
      <c r="D5549" s="6">
        <v>80</v>
      </c>
      <c r="E5549" s="6">
        <v>0</v>
      </c>
      <c r="F5549" s="6">
        <v>0</v>
      </c>
      <c r="G5549" s="6">
        <v>12</v>
      </c>
      <c r="H5549" s="6" t="s">
        <v>11418</v>
      </c>
      <c r="I5549" s="6">
        <v>540.75</v>
      </c>
      <c r="J5549" s="2">
        <f t="shared" si="86"/>
        <v>43747.877892233795</v>
      </c>
    </row>
    <row r="5550" spans="1:10" x14ac:dyDescent="0.25">
      <c r="A5550" s="7" t="s">
        <v>11419</v>
      </c>
      <c r="B5550" s="8">
        <v>418.75</v>
      </c>
      <c r="C5550" s="8">
        <v>20.478950000000001</v>
      </c>
      <c r="D5550" s="8">
        <v>79</v>
      </c>
      <c r="E5550" s="8">
        <v>0</v>
      </c>
      <c r="F5550" s="8">
        <v>0</v>
      </c>
      <c r="G5550" s="8">
        <v>14</v>
      </c>
      <c r="H5550" s="8" t="s">
        <v>11420</v>
      </c>
      <c r="I5550" s="8">
        <v>534.75</v>
      </c>
      <c r="J5550" s="3">
        <f t="shared" si="86"/>
        <v>43747.877964328705</v>
      </c>
    </row>
    <row r="5551" spans="1:10" x14ac:dyDescent="0.25">
      <c r="A5551" s="5" t="s">
        <v>11421</v>
      </c>
      <c r="B5551" s="6">
        <v>418.75</v>
      </c>
      <c r="C5551" s="6">
        <v>20.478950000000001</v>
      </c>
      <c r="D5551" s="6">
        <v>79</v>
      </c>
      <c r="E5551" s="6">
        <v>0</v>
      </c>
      <c r="F5551" s="6">
        <v>0</v>
      </c>
      <c r="G5551" s="6">
        <v>20</v>
      </c>
      <c r="H5551" s="6" t="s">
        <v>11422</v>
      </c>
      <c r="I5551" s="6">
        <v>534</v>
      </c>
      <c r="J5551" s="2">
        <f t="shared" si="86"/>
        <v>43747.878035624999</v>
      </c>
    </row>
    <row r="5552" spans="1:10" x14ac:dyDescent="0.25">
      <c r="A5552" s="7" t="s">
        <v>11423</v>
      </c>
      <c r="B5552" s="8">
        <v>418.75</v>
      </c>
      <c r="C5552" s="8">
        <v>20.478950000000001</v>
      </c>
      <c r="D5552" s="8">
        <v>79</v>
      </c>
      <c r="E5552" s="8">
        <v>0</v>
      </c>
      <c r="F5552" s="8">
        <v>0</v>
      </c>
      <c r="G5552" s="8">
        <v>20</v>
      </c>
      <c r="H5552" s="8" t="s">
        <v>11424</v>
      </c>
      <c r="I5552" s="8">
        <v>534</v>
      </c>
      <c r="J5552" s="3">
        <f t="shared" si="86"/>
        <v>43747.878107743054</v>
      </c>
    </row>
    <row r="5553" spans="1:10" x14ac:dyDescent="0.25">
      <c r="A5553" s="5" t="s">
        <v>11425</v>
      </c>
      <c r="B5553" s="6">
        <v>418.75</v>
      </c>
      <c r="C5553" s="6">
        <v>20.478950000000001</v>
      </c>
      <c r="D5553" s="6">
        <v>82</v>
      </c>
      <c r="E5553" s="6">
        <v>0</v>
      </c>
      <c r="F5553" s="6">
        <v>0</v>
      </c>
      <c r="G5553" s="6">
        <v>14</v>
      </c>
      <c r="H5553" s="6" t="s">
        <v>11426</v>
      </c>
      <c r="I5553" s="6">
        <v>534</v>
      </c>
      <c r="J5553" s="2">
        <f t="shared" si="86"/>
        <v>43747.878202395827</v>
      </c>
    </row>
    <row r="5554" spans="1:10" x14ac:dyDescent="0.25">
      <c r="A5554" s="7" t="s">
        <v>11427</v>
      </c>
      <c r="B5554" s="8">
        <v>418.75</v>
      </c>
      <c r="C5554" s="8">
        <v>20.478950000000001</v>
      </c>
      <c r="D5554" s="8">
        <v>82</v>
      </c>
      <c r="E5554" s="8">
        <v>0</v>
      </c>
      <c r="F5554" s="8">
        <v>0</v>
      </c>
      <c r="G5554" s="8">
        <v>23</v>
      </c>
      <c r="H5554" s="8" t="s">
        <v>11428</v>
      </c>
      <c r="I5554" s="8">
        <v>534</v>
      </c>
      <c r="J5554" s="3">
        <f t="shared" si="86"/>
        <v>43747.878287372681</v>
      </c>
    </row>
    <row r="5555" spans="1:10" x14ac:dyDescent="0.25">
      <c r="A5555" s="5" t="s">
        <v>11429</v>
      </c>
      <c r="B5555" s="6">
        <v>434.375</v>
      </c>
      <c r="C5555" s="6">
        <v>20.478950000000001</v>
      </c>
      <c r="D5555" s="6">
        <v>82</v>
      </c>
      <c r="E5555" s="6">
        <v>0</v>
      </c>
      <c r="F5555" s="6">
        <v>0</v>
      </c>
      <c r="G5555" s="6">
        <v>12</v>
      </c>
      <c r="H5555" s="6" t="s">
        <v>11430</v>
      </c>
      <c r="I5555" s="6">
        <v>539.8125</v>
      </c>
      <c r="J5555" s="2">
        <f t="shared" si="86"/>
        <v>43747.878357442132</v>
      </c>
    </row>
    <row r="5556" spans="1:10" x14ac:dyDescent="0.25">
      <c r="A5556" s="7" t="s">
        <v>11431</v>
      </c>
      <c r="B5556" s="8">
        <v>415.625</v>
      </c>
      <c r="C5556" s="8">
        <v>20.478950000000001</v>
      </c>
      <c r="D5556" s="8">
        <v>82</v>
      </c>
      <c r="E5556" s="8">
        <v>0</v>
      </c>
      <c r="F5556" s="8">
        <v>0</v>
      </c>
      <c r="G5556" s="8">
        <v>12</v>
      </c>
      <c r="H5556" s="8" t="s">
        <v>11432</v>
      </c>
      <c r="I5556" s="8">
        <v>533.8125</v>
      </c>
      <c r="J5556" s="3">
        <f t="shared" si="86"/>
        <v>43747.878429247685</v>
      </c>
    </row>
    <row r="5557" spans="1:10" x14ac:dyDescent="0.25">
      <c r="A5557" s="5" t="s">
        <v>11433</v>
      </c>
      <c r="B5557" s="6">
        <v>418.75</v>
      </c>
      <c r="C5557" s="6">
        <v>20.478950000000001</v>
      </c>
      <c r="D5557" s="6">
        <v>82</v>
      </c>
      <c r="E5557" s="6">
        <v>0</v>
      </c>
      <c r="F5557" s="6">
        <v>0</v>
      </c>
      <c r="G5557" s="6">
        <v>19</v>
      </c>
      <c r="H5557" s="6" t="s">
        <v>11434</v>
      </c>
      <c r="I5557" s="6">
        <v>534</v>
      </c>
      <c r="J5557" s="2">
        <f t="shared" si="86"/>
        <v>43747.878500671293</v>
      </c>
    </row>
    <row r="5558" spans="1:10" x14ac:dyDescent="0.25">
      <c r="A5558" s="7" t="s">
        <v>11435</v>
      </c>
      <c r="B5558" s="8">
        <v>418.75</v>
      </c>
      <c r="C5558" s="8">
        <v>20.478950000000001</v>
      </c>
      <c r="D5558" s="8">
        <v>81</v>
      </c>
      <c r="E5558" s="8">
        <v>0</v>
      </c>
      <c r="F5558" s="8">
        <v>0</v>
      </c>
      <c r="G5558" s="8">
        <v>18</v>
      </c>
      <c r="H5558" s="8" t="s">
        <v>11436</v>
      </c>
      <c r="I5558" s="8">
        <v>534</v>
      </c>
      <c r="J5558" s="3">
        <f t="shared" si="86"/>
        <v>43747.878572719907</v>
      </c>
    </row>
    <row r="5559" spans="1:10" x14ac:dyDescent="0.25">
      <c r="A5559" s="5" t="s">
        <v>11437</v>
      </c>
      <c r="B5559" s="6">
        <v>418.75</v>
      </c>
      <c r="C5559" s="6">
        <v>20.478950000000001</v>
      </c>
      <c r="D5559" s="6">
        <v>81</v>
      </c>
      <c r="E5559" s="6">
        <v>0</v>
      </c>
      <c r="F5559" s="6">
        <v>0</v>
      </c>
      <c r="G5559" s="6">
        <v>16</v>
      </c>
      <c r="H5559" s="6" t="s">
        <v>11438</v>
      </c>
      <c r="I5559" s="6">
        <v>534</v>
      </c>
      <c r="J5559" s="2">
        <f t="shared" si="86"/>
        <v>43747.878655462962</v>
      </c>
    </row>
    <row r="5560" spans="1:10" x14ac:dyDescent="0.25">
      <c r="A5560" s="7" t="s">
        <v>11439</v>
      </c>
      <c r="B5560" s="8">
        <v>418.75</v>
      </c>
      <c r="C5560" s="8">
        <v>20.478950000000001</v>
      </c>
      <c r="D5560" s="8">
        <v>82</v>
      </c>
      <c r="E5560" s="8">
        <v>0</v>
      </c>
      <c r="F5560" s="8">
        <v>0</v>
      </c>
      <c r="G5560" s="8">
        <v>24</v>
      </c>
      <c r="H5560" s="8" t="s">
        <v>11440</v>
      </c>
      <c r="I5560" s="8">
        <v>534.75</v>
      </c>
      <c r="J5560" s="3">
        <f t="shared" si="86"/>
        <v>43747.878727199073</v>
      </c>
    </row>
    <row r="5561" spans="1:10" x14ac:dyDescent="0.25">
      <c r="A5561" s="5" t="s">
        <v>11441</v>
      </c>
      <c r="B5561" s="6">
        <v>418.75</v>
      </c>
      <c r="C5561" s="6">
        <v>20.478950000000001</v>
      </c>
      <c r="D5561" s="6">
        <v>81</v>
      </c>
      <c r="E5561" s="6">
        <v>0</v>
      </c>
      <c r="F5561" s="6">
        <v>0</v>
      </c>
      <c r="G5561" s="6">
        <v>16</v>
      </c>
      <c r="H5561" s="6" t="s">
        <v>11442</v>
      </c>
      <c r="I5561" s="6">
        <v>534.75</v>
      </c>
      <c r="J5561" s="2">
        <f t="shared" si="86"/>
        <v>43747.878798877311</v>
      </c>
    </row>
    <row r="5562" spans="1:10" x14ac:dyDescent="0.25">
      <c r="A5562" s="7" t="s">
        <v>11443</v>
      </c>
      <c r="B5562" s="8">
        <v>418.75</v>
      </c>
      <c r="C5562" s="8">
        <v>20.478950000000001</v>
      </c>
      <c r="D5562" s="8">
        <v>80</v>
      </c>
      <c r="E5562" s="8">
        <v>0</v>
      </c>
      <c r="F5562" s="8">
        <v>0</v>
      </c>
      <c r="G5562" s="8">
        <v>26</v>
      </c>
      <c r="H5562" s="8" t="s">
        <v>11444</v>
      </c>
      <c r="I5562" s="8">
        <v>534.75</v>
      </c>
      <c r="J5562" s="3">
        <f t="shared" si="86"/>
        <v>43747.878870925924</v>
      </c>
    </row>
    <row r="5563" spans="1:10" x14ac:dyDescent="0.25">
      <c r="A5563" s="5" t="s">
        <v>11445</v>
      </c>
      <c r="B5563" s="6">
        <v>437.5</v>
      </c>
      <c r="C5563" s="6">
        <v>20.478950000000001</v>
      </c>
      <c r="D5563" s="6">
        <v>80</v>
      </c>
      <c r="E5563" s="6">
        <v>0</v>
      </c>
      <c r="F5563" s="6">
        <v>0</v>
      </c>
      <c r="G5563" s="6">
        <v>18</v>
      </c>
      <c r="H5563" s="6" t="s">
        <v>11446</v>
      </c>
      <c r="I5563" s="6">
        <v>540.375</v>
      </c>
      <c r="J5563" s="2">
        <f t="shared" si="86"/>
        <v>43747.878942094903</v>
      </c>
    </row>
    <row r="5564" spans="1:10" x14ac:dyDescent="0.25">
      <c r="A5564" s="7" t="s">
        <v>11447</v>
      </c>
      <c r="B5564" s="8">
        <v>415.625</v>
      </c>
      <c r="C5564" s="8">
        <v>20.478950000000001</v>
      </c>
      <c r="D5564" s="8">
        <v>81</v>
      </c>
      <c r="E5564" s="8">
        <v>0</v>
      </c>
      <c r="F5564" s="8">
        <v>0</v>
      </c>
      <c r="G5564" s="8">
        <v>18</v>
      </c>
      <c r="H5564" s="8" t="s">
        <v>11448</v>
      </c>
      <c r="I5564" s="8">
        <v>533.8125</v>
      </c>
      <c r="J5564" s="3">
        <f t="shared" si="86"/>
        <v>43747.879025509254</v>
      </c>
    </row>
    <row r="5565" spans="1:10" x14ac:dyDescent="0.25">
      <c r="A5565" s="5" t="s">
        <v>11449</v>
      </c>
      <c r="B5565" s="6">
        <v>415.625</v>
      </c>
      <c r="C5565" s="6">
        <v>20.478950000000001</v>
      </c>
      <c r="D5565" s="6">
        <v>81</v>
      </c>
      <c r="E5565" s="6">
        <v>0</v>
      </c>
      <c r="F5565" s="6">
        <v>0</v>
      </c>
      <c r="G5565" s="6">
        <v>20</v>
      </c>
      <c r="H5565" s="6" t="s">
        <v>11450</v>
      </c>
      <c r="I5565" s="6">
        <v>533.8125</v>
      </c>
      <c r="J5565" s="2">
        <f t="shared" si="86"/>
        <v>43747.87909711805</v>
      </c>
    </row>
    <row r="5566" spans="1:10" x14ac:dyDescent="0.25">
      <c r="A5566" s="7" t="s">
        <v>11451</v>
      </c>
      <c r="B5566" s="8">
        <v>418.75</v>
      </c>
      <c r="C5566" s="8">
        <v>20.478950000000001</v>
      </c>
      <c r="D5566" s="8">
        <v>80</v>
      </c>
      <c r="E5566" s="8">
        <v>0</v>
      </c>
      <c r="F5566" s="8">
        <v>0</v>
      </c>
      <c r="G5566" s="8">
        <v>21</v>
      </c>
      <c r="H5566" s="8" t="s">
        <v>11452</v>
      </c>
      <c r="I5566" s="8">
        <v>534</v>
      </c>
      <c r="J5566" s="3">
        <f t="shared" si="86"/>
        <v>43747.879169004627</v>
      </c>
    </row>
    <row r="5567" spans="1:10" x14ac:dyDescent="0.25">
      <c r="A5567" s="5" t="s">
        <v>11453</v>
      </c>
      <c r="B5567" s="6">
        <v>415.625</v>
      </c>
      <c r="C5567" s="6">
        <v>20.478950000000001</v>
      </c>
      <c r="D5567" s="6">
        <v>81</v>
      </c>
      <c r="E5567" s="6">
        <v>0</v>
      </c>
      <c r="F5567" s="6">
        <v>0</v>
      </c>
      <c r="G5567" s="6">
        <v>16</v>
      </c>
      <c r="H5567" s="6" t="s">
        <v>11454</v>
      </c>
      <c r="I5567" s="6">
        <v>533.0625</v>
      </c>
      <c r="J5567" s="2">
        <f t="shared" si="86"/>
        <v>43747.879240335642</v>
      </c>
    </row>
    <row r="5568" spans="1:10" x14ac:dyDescent="0.25">
      <c r="A5568" s="7" t="s">
        <v>11455</v>
      </c>
      <c r="B5568" s="8">
        <v>412.5</v>
      </c>
      <c r="C5568" s="8">
        <v>20.478950000000001</v>
      </c>
      <c r="D5568" s="8">
        <v>83</v>
      </c>
      <c r="E5568" s="8">
        <v>0</v>
      </c>
      <c r="F5568" s="8">
        <v>0</v>
      </c>
      <c r="G5568" s="8">
        <v>12</v>
      </c>
      <c r="H5568" s="8" t="s">
        <v>11456</v>
      </c>
      <c r="I5568" s="8">
        <v>532.3125</v>
      </c>
      <c r="J5568" s="3">
        <f t="shared" si="86"/>
        <v>43747.879311608798</v>
      </c>
    </row>
    <row r="5569" spans="1:10" x14ac:dyDescent="0.25">
      <c r="A5569" s="5" t="s">
        <v>11457</v>
      </c>
      <c r="B5569" s="6">
        <v>412.5</v>
      </c>
      <c r="C5569" s="6">
        <v>20.478950000000001</v>
      </c>
      <c r="D5569" s="6">
        <v>83</v>
      </c>
      <c r="E5569" s="6">
        <v>0</v>
      </c>
      <c r="F5569" s="6">
        <v>0</v>
      </c>
      <c r="G5569" s="6">
        <v>13</v>
      </c>
      <c r="H5569" s="6" t="s">
        <v>11458</v>
      </c>
      <c r="I5569" s="6">
        <v>532.3125</v>
      </c>
      <c r="J5569" s="2">
        <f t="shared" si="86"/>
        <v>43747.879383842592</v>
      </c>
    </row>
    <row r="5570" spans="1:10" x14ac:dyDescent="0.25">
      <c r="A5570" s="7" t="s">
        <v>11459</v>
      </c>
      <c r="B5570" s="8">
        <v>412.5</v>
      </c>
      <c r="C5570" s="8">
        <v>20.478950000000001</v>
      </c>
      <c r="D5570" s="8">
        <v>82</v>
      </c>
      <c r="E5570" s="8">
        <v>0</v>
      </c>
      <c r="F5570" s="8">
        <v>0</v>
      </c>
      <c r="G5570" s="8">
        <v>16</v>
      </c>
      <c r="H5570" s="8" t="s">
        <v>11460</v>
      </c>
      <c r="I5570" s="8">
        <v>532.3125</v>
      </c>
      <c r="J5570" s="3">
        <f t="shared" ref="J5570:J5633" si="87">(H5570/86400000)+25569+(7/24)</f>
        <v>43747.879455127309</v>
      </c>
    </row>
    <row r="5571" spans="1:10" x14ac:dyDescent="0.25">
      <c r="A5571" s="5" t="s">
        <v>11461</v>
      </c>
      <c r="B5571" s="6">
        <v>412.5</v>
      </c>
      <c r="C5571" s="6">
        <v>20.478950000000001</v>
      </c>
      <c r="D5571" s="6">
        <v>81</v>
      </c>
      <c r="E5571" s="6">
        <v>0</v>
      </c>
      <c r="F5571" s="6">
        <v>0</v>
      </c>
      <c r="G5571" s="6">
        <v>17</v>
      </c>
      <c r="H5571" s="6" t="s">
        <v>11462</v>
      </c>
      <c r="I5571" s="6">
        <v>532.3125</v>
      </c>
      <c r="J5571" s="2">
        <f t="shared" si="87"/>
        <v>43747.879526423603</v>
      </c>
    </row>
    <row r="5572" spans="1:10" x14ac:dyDescent="0.25">
      <c r="A5572" s="7" t="s">
        <v>11463</v>
      </c>
      <c r="B5572" s="8">
        <v>409.375</v>
      </c>
      <c r="C5572" s="8">
        <v>20.478950000000001</v>
      </c>
      <c r="D5572" s="8">
        <v>79</v>
      </c>
      <c r="E5572" s="8">
        <v>0</v>
      </c>
      <c r="F5572" s="8">
        <v>0</v>
      </c>
      <c r="G5572" s="8">
        <v>18</v>
      </c>
      <c r="H5572" s="8" t="s">
        <v>11464</v>
      </c>
      <c r="I5572" s="8">
        <v>531.5625</v>
      </c>
      <c r="J5572" s="3">
        <f t="shared" si="87"/>
        <v>43747.879598599531</v>
      </c>
    </row>
    <row r="5573" spans="1:10" x14ac:dyDescent="0.25">
      <c r="A5573" s="5" t="s">
        <v>11465</v>
      </c>
      <c r="B5573" s="6">
        <v>409.375</v>
      </c>
      <c r="C5573" s="6">
        <v>20.478950000000001</v>
      </c>
      <c r="D5573" s="6">
        <v>79</v>
      </c>
      <c r="E5573" s="6">
        <v>0</v>
      </c>
      <c r="F5573" s="6">
        <v>0</v>
      </c>
      <c r="G5573" s="6">
        <v>17</v>
      </c>
      <c r="H5573" s="6" t="s">
        <v>11466</v>
      </c>
      <c r="I5573" s="6">
        <v>531.5625</v>
      </c>
      <c r="J5573" s="2">
        <f t="shared" si="87"/>
        <v>43747.879669965274</v>
      </c>
    </row>
    <row r="5574" spans="1:10" x14ac:dyDescent="0.25">
      <c r="A5574" s="7" t="s">
        <v>11467</v>
      </c>
      <c r="B5574" s="8">
        <v>406.25</v>
      </c>
      <c r="C5574" s="8">
        <v>20.478950000000001</v>
      </c>
      <c r="D5574" s="8">
        <v>79</v>
      </c>
      <c r="E5574" s="8">
        <v>0</v>
      </c>
      <c r="F5574" s="8">
        <v>0</v>
      </c>
      <c r="G5574" s="8">
        <v>10</v>
      </c>
      <c r="H5574" s="8" t="s">
        <v>11468</v>
      </c>
      <c r="I5574" s="8">
        <v>530.625</v>
      </c>
      <c r="J5574" s="3">
        <f t="shared" si="87"/>
        <v>43747.879741273144</v>
      </c>
    </row>
    <row r="5575" spans="1:10" x14ac:dyDescent="0.25">
      <c r="A5575" s="5" t="s">
        <v>11469</v>
      </c>
      <c r="B5575" s="6">
        <v>428.125</v>
      </c>
      <c r="C5575" s="6">
        <v>20.478950000000001</v>
      </c>
      <c r="D5575" s="6">
        <v>80</v>
      </c>
      <c r="E5575" s="6">
        <v>0</v>
      </c>
      <c r="F5575" s="6">
        <v>0</v>
      </c>
      <c r="G5575" s="6">
        <v>18</v>
      </c>
      <c r="H5575" s="6" t="s">
        <v>11470</v>
      </c>
      <c r="I5575" s="6">
        <v>537.1875</v>
      </c>
      <c r="J5575" s="2">
        <f t="shared" si="87"/>
        <v>43747.879817812493</v>
      </c>
    </row>
    <row r="5576" spans="1:10" x14ac:dyDescent="0.25">
      <c r="A5576" s="7" t="s">
        <v>11471</v>
      </c>
      <c r="B5576" s="8">
        <v>409.375</v>
      </c>
      <c r="C5576" s="8">
        <v>20.478950000000001</v>
      </c>
      <c r="D5576" s="8">
        <v>80</v>
      </c>
      <c r="E5576" s="8">
        <v>0</v>
      </c>
      <c r="F5576" s="8">
        <v>0</v>
      </c>
      <c r="G5576" s="8">
        <v>14</v>
      </c>
      <c r="H5576" s="8" t="s">
        <v>11472</v>
      </c>
      <c r="I5576" s="8">
        <v>531.375</v>
      </c>
      <c r="J5576" s="3">
        <f t="shared" si="87"/>
        <v>43747.879897210645</v>
      </c>
    </row>
    <row r="5577" spans="1:10" x14ac:dyDescent="0.25">
      <c r="A5577" s="5" t="s">
        <v>11473</v>
      </c>
      <c r="B5577" s="6">
        <v>409.375</v>
      </c>
      <c r="C5577" s="6">
        <v>20.478950000000001</v>
      </c>
      <c r="D5577" s="6">
        <v>79</v>
      </c>
      <c r="E5577" s="6">
        <v>0</v>
      </c>
      <c r="F5577" s="6">
        <v>0</v>
      </c>
      <c r="G5577" s="6">
        <v>14</v>
      </c>
      <c r="H5577" s="6" t="s">
        <v>11474</v>
      </c>
      <c r="I5577" s="6">
        <v>531.375</v>
      </c>
      <c r="J5577" s="2">
        <f t="shared" si="87"/>
        <v>43747.879967847221</v>
      </c>
    </row>
    <row r="5578" spans="1:10" x14ac:dyDescent="0.25">
      <c r="A5578" s="7" t="s">
        <v>11475</v>
      </c>
      <c r="B5578" s="8">
        <v>409.375</v>
      </c>
      <c r="C5578" s="8">
        <v>20.478950000000001</v>
      </c>
      <c r="D5578" s="8">
        <v>80</v>
      </c>
      <c r="E5578" s="8">
        <v>0</v>
      </c>
      <c r="F5578" s="8">
        <v>0</v>
      </c>
      <c r="G5578" s="8">
        <v>24</v>
      </c>
      <c r="H5578" s="8" t="s">
        <v>11476</v>
      </c>
      <c r="I5578" s="8">
        <v>531.375</v>
      </c>
      <c r="J5578" s="3">
        <f t="shared" si="87"/>
        <v>43747.88003915509</v>
      </c>
    </row>
    <row r="5579" spans="1:10" x14ac:dyDescent="0.25">
      <c r="A5579" s="5" t="s">
        <v>11477</v>
      </c>
      <c r="B5579" s="6">
        <v>409.375</v>
      </c>
      <c r="C5579" s="6">
        <v>20.478950000000001</v>
      </c>
      <c r="D5579" s="6">
        <v>81</v>
      </c>
      <c r="E5579" s="6">
        <v>0</v>
      </c>
      <c r="F5579" s="6">
        <v>0</v>
      </c>
      <c r="G5579" s="6">
        <v>17</v>
      </c>
      <c r="H5579" s="6" t="s">
        <v>11478</v>
      </c>
      <c r="I5579" s="6">
        <v>531.375</v>
      </c>
      <c r="J5579" s="2">
        <f t="shared" si="87"/>
        <v>43747.880111273145</v>
      </c>
    </row>
    <row r="5580" spans="1:10" x14ac:dyDescent="0.25">
      <c r="A5580" s="7" t="s">
        <v>11479</v>
      </c>
      <c r="B5580" s="8">
        <v>406.25</v>
      </c>
      <c r="C5580" s="8">
        <v>20.478950000000001</v>
      </c>
      <c r="D5580" s="8">
        <v>81</v>
      </c>
      <c r="E5580" s="8">
        <v>0</v>
      </c>
      <c r="F5580" s="8">
        <v>0</v>
      </c>
      <c r="G5580" s="8">
        <v>16</v>
      </c>
      <c r="H5580" s="8" t="s">
        <v>11480</v>
      </c>
      <c r="I5580" s="8">
        <v>530.625</v>
      </c>
      <c r="J5580" s="3">
        <f t="shared" si="87"/>
        <v>43747.880210057869</v>
      </c>
    </row>
    <row r="5581" spans="1:10" x14ac:dyDescent="0.25">
      <c r="A5581" s="5" t="s">
        <v>11481</v>
      </c>
      <c r="B5581" s="6">
        <v>406.25</v>
      </c>
      <c r="C5581" s="6">
        <v>20.478950000000001</v>
      </c>
      <c r="D5581" s="6">
        <v>80</v>
      </c>
      <c r="E5581" s="6">
        <v>0</v>
      </c>
      <c r="F5581" s="6">
        <v>0</v>
      </c>
      <c r="G5581" s="6">
        <v>21</v>
      </c>
      <c r="H5581" s="6" t="s">
        <v>11482</v>
      </c>
      <c r="I5581" s="6">
        <v>530.625</v>
      </c>
      <c r="J5581" s="2">
        <f t="shared" si="87"/>
        <v>43747.880289942128</v>
      </c>
    </row>
    <row r="5582" spans="1:10" x14ac:dyDescent="0.25">
      <c r="A5582" s="7" t="s">
        <v>11483</v>
      </c>
      <c r="B5582" s="8">
        <v>406.25</v>
      </c>
      <c r="C5582" s="8">
        <v>20.478950000000001</v>
      </c>
      <c r="D5582" s="8">
        <v>75</v>
      </c>
      <c r="E5582" s="8">
        <v>0</v>
      </c>
      <c r="F5582" s="8">
        <v>0</v>
      </c>
      <c r="G5582" s="8">
        <v>8</v>
      </c>
      <c r="H5582" s="8" t="s">
        <v>11484</v>
      </c>
      <c r="I5582" s="8">
        <v>530.625</v>
      </c>
      <c r="J5582" s="3">
        <f t="shared" si="87"/>
        <v>43747.880373310181</v>
      </c>
    </row>
    <row r="5583" spans="1:10" x14ac:dyDescent="0.25">
      <c r="A5583" s="5" t="s">
        <v>11485</v>
      </c>
      <c r="B5583" s="6">
        <v>406.25</v>
      </c>
      <c r="C5583" s="6">
        <v>20.478950000000001</v>
      </c>
      <c r="D5583" s="6">
        <v>76</v>
      </c>
      <c r="E5583" s="6">
        <v>0</v>
      </c>
      <c r="F5583" s="6">
        <v>0</v>
      </c>
      <c r="G5583" s="6">
        <v>19</v>
      </c>
      <c r="H5583" s="6" t="s">
        <v>11486</v>
      </c>
      <c r="I5583" s="6">
        <v>530.625</v>
      </c>
      <c r="J5583" s="2">
        <f t="shared" si="87"/>
        <v>43747.880444513889</v>
      </c>
    </row>
    <row r="5584" spans="1:10" x14ac:dyDescent="0.25">
      <c r="A5584" s="7" t="s">
        <v>11487</v>
      </c>
      <c r="B5584" s="8">
        <v>406.25</v>
      </c>
      <c r="C5584" s="8">
        <v>20.478950000000001</v>
      </c>
      <c r="D5584" s="8">
        <v>76</v>
      </c>
      <c r="E5584" s="8">
        <v>0</v>
      </c>
      <c r="F5584" s="8">
        <v>0</v>
      </c>
      <c r="G5584" s="8">
        <v>14</v>
      </c>
      <c r="H5584" s="8" t="s">
        <v>11488</v>
      </c>
      <c r="I5584" s="8">
        <v>530.625</v>
      </c>
      <c r="J5584" s="3">
        <f t="shared" si="87"/>
        <v>43747.880516979167</v>
      </c>
    </row>
    <row r="5585" spans="1:10" x14ac:dyDescent="0.25">
      <c r="A5585" s="5" t="s">
        <v>11489</v>
      </c>
      <c r="B5585" s="6">
        <v>406.25</v>
      </c>
      <c r="C5585" s="6">
        <v>20.478950000000001</v>
      </c>
      <c r="D5585" s="6">
        <v>75</v>
      </c>
      <c r="E5585" s="6">
        <v>0</v>
      </c>
      <c r="F5585" s="6">
        <v>0</v>
      </c>
      <c r="G5585" s="6">
        <v>14</v>
      </c>
      <c r="H5585" s="6" t="s">
        <v>11490</v>
      </c>
      <c r="I5585" s="6">
        <v>530.625</v>
      </c>
      <c r="J5585" s="2">
        <f t="shared" si="87"/>
        <v>43747.880588564811</v>
      </c>
    </row>
    <row r="5586" spans="1:10" x14ac:dyDescent="0.25">
      <c r="A5586" s="7" t="s">
        <v>11491</v>
      </c>
      <c r="B5586" s="8">
        <v>403.125</v>
      </c>
      <c r="C5586" s="8">
        <v>20.478950000000001</v>
      </c>
      <c r="D5586" s="8">
        <v>75</v>
      </c>
      <c r="E5586" s="8">
        <v>0</v>
      </c>
      <c r="F5586" s="8">
        <v>0</v>
      </c>
      <c r="G5586" s="8">
        <v>19</v>
      </c>
      <c r="H5586" s="8" t="s">
        <v>11492</v>
      </c>
      <c r="I5586" s="8">
        <v>529.875</v>
      </c>
      <c r="J5586" s="3">
        <f t="shared" si="87"/>
        <v>43747.880670486113</v>
      </c>
    </row>
    <row r="5587" spans="1:10" x14ac:dyDescent="0.25">
      <c r="A5587" s="5" t="s">
        <v>11493</v>
      </c>
      <c r="B5587" s="6">
        <v>421.875</v>
      </c>
      <c r="C5587" s="6">
        <v>20.478950000000001</v>
      </c>
      <c r="D5587" s="6">
        <v>75</v>
      </c>
      <c r="E5587" s="6">
        <v>0</v>
      </c>
      <c r="F5587" s="6">
        <v>0</v>
      </c>
      <c r="G5587" s="6">
        <v>22</v>
      </c>
      <c r="H5587" s="6" t="s">
        <v>11494</v>
      </c>
      <c r="I5587" s="6">
        <v>535.875</v>
      </c>
      <c r="J5587" s="2">
        <f t="shared" si="87"/>
        <v>43747.880742789348</v>
      </c>
    </row>
    <row r="5588" spans="1:10" x14ac:dyDescent="0.25">
      <c r="A5588" s="7" t="s">
        <v>11495</v>
      </c>
      <c r="B5588" s="8">
        <v>403.125</v>
      </c>
      <c r="C5588" s="8">
        <v>20.478950000000001</v>
      </c>
      <c r="D5588" s="8">
        <v>75</v>
      </c>
      <c r="E5588" s="8">
        <v>0</v>
      </c>
      <c r="F5588" s="8">
        <v>0</v>
      </c>
      <c r="G5588" s="8">
        <v>19</v>
      </c>
      <c r="H5588" s="8" t="s">
        <v>11496</v>
      </c>
      <c r="I5588" s="8">
        <v>529.875</v>
      </c>
      <c r="J5588" s="3">
        <f t="shared" si="87"/>
        <v>43747.880814363423</v>
      </c>
    </row>
    <row r="5589" spans="1:10" x14ac:dyDescent="0.25">
      <c r="A5589" s="5" t="s">
        <v>11497</v>
      </c>
      <c r="B5589" s="6">
        <v>403.125</v>
      </c>
      <c r="C5589" s="6">
        <v>20.478950000000001</v>
      </c>
      <c r="D5589" s="6">
        <v>75</v>
      </c>
      <c r="E5589" s="6">
        <v>0</v>
      </c>
      <c r="F5589" s="6">
        <v>0</v>
      </c>
      <c r="G5589" s="6">
        <v>22</v>
      </c>
      <c r="H5589" s="6" t="s">
        <v>11498</v>
      </c>
      <c r="I5589" s="6">
        <v>529.875</v>
      </c>
      <c r="J5589" s="2">
        <f t="shared" si="87"/>
        <v>43747.880886296298</v>
      </c>
    </row>
    <row r="5590" spans="1:10" x14ac:dyDescent="0.25">
      <c r="A5590" s="7" t="s">
        <v>11499</v>
      </c>
      <c r="B5590" s="8">
        <v>403.125</v>
      </c>
      <c r="C5590" s="8">
        <v>20.478950000000001</v>
      </c>
      <c r="D5590" s="8">
        <v>75</v>
      </c>
      <c r="E5590" s="8">
        <v>0</v>
      </c>
      <c r="F5590" s="8">
        <v>0</v>
      </c>
      <c r="G5590" s="8">
        <v>23</v>
      </c>
      <c r="H5590" s="8" t="s">
        <v>11500</v>
      </c>
      <c r="I5590" s="8">
        <v>529.875</v>
      </c>
      <c r="J5590" s="3">
        <f t="shared" si="87"/>
        <v>43747.880957546295</v>
      </c>
    </row>
    <row r="5591" spans="1:10" x14ac:dyDescent="0.25">
      <c r="A5591" s="5" t="s">
        <v>11501</v>
      </c>
      <c r="B5591" s="6">
        <v>403.125</v>
      </c>
      <c r="C5591" s="6">
        <v>20.478950000000001</v>
      </c>
      <c r="D5591" s="6">
        <v>76</v>
      </c>
      <c r="E5591" s="6">
        <v>0</v>
      </c>
      <c r="F5591" s="6">
        <v>0</v>
      </c>
      <c r="G5591" s="6">
        <v>20</v>
      </c>
      <c r="H5591" s="6" t="s">
        <v>11502</v>
      </c>
      <c r="I5591" s="6">
        <v>529.875</v>
      </c>
      <c r="J5591" s="2">
        <f t="shared" si="87"/>
        <v>43747.881029780088</v>
      </c>
    </row>
    <row r="5592" spans="1:10" x14ac:dyDescent="0.25">
      <c r="A5592" s="7" t="s">
        <v>11503</v>
      </c>
      <c r="B5592" s="8">
        <v>403.125</v>
      </c>
      <c r="C5592" s="8">
        <v>20.478950000000001</v>
      </c>
      <c r="D5592" s="8">
        <v>76</v>
      </c>
      <c r="E5592" s="8">
        <v>0</v>
      </c>
      <c r="F5592" s="8">
        <v>0</v>
      </c>
      <c r="G5592" s="8">
        <v>17</v>
      </c>
      <c r="H5592" s="8" t="s">
        <v>11504</v>
      </c>
      <c r="I5592" s="8">
        <v>529.875</v>
      </c>
      <c r="J5592" s="3">
        <f t="shared" si="87"/>
        <v>43747.881101053237</v>
      </c>
    </row>
    <row r="5593" spans="1:10" x14ac:dyDescent="0.25">
      <c r="A5593" s="5" t="s">
        <v>11505</v>
      </c>
      <c r="B5593" s="6">
        <v>406.25</v>
      </c>
      <c r="C5593" s="6">
        <v>20.478950000000001</v>
      </c>
      <c r="D5593" s="6">
        <v>76</v>
      </c>
      <c r="E5593" s="6">
        <v>0</v>
      </c>
      <c r="F5593" s="6">
        <v>0</v>
      </c>
      <c r="G5593" s="6">
        <v>20</v>
      </c>
      <c r="H5593" s="6" t="s">
        <v>11506</v>
      </c>
      <c r="I5593" s="6">
        <v>530.625</v>
      </c>
      <c r="J5593" s="2">
        <f t="shared" si="87"/>
        <v>43747.881199722215</v>
      </c>
    </row>
    <row r="5594" spans="1:10" x14ac:dyDescent="0.25">
      <c r="A5594" s="7" t="s">
        <v>11507</v>
      </c>
      <c r="B5594" s="8">
        <v>406.25</v>
      </c>
      <c r="C5594" s="8">
        <v>20.478950000000001</v>
      </c>
      <c r="D5594" s="8">
        <v>76</v>
      </c>
      <c r="E5594" s="8">
        <v>0</v>
      </c>
      <c r="F5594" s="8">
        <v>0</v>
      </c>
      <c r="G5594" s="8">
        <v>21</v>
      </c>
      <c r="H5594" s="8" t="s">
        <v>11508</v>
      </c>
      <c r="I5594" s="8">
        <v>530.625</v>
      </c>
      <c r="J5594" s="3">
        <f t="shared" si="87"/>
        <v>43747.881279710644</v>
      </c>
    </row>
    <row r="5595" spans="1:10" x14ac:dyDescent="0.25">
      <c r="A5595" s="5" t="s">
        <v>11509</v>
      </c>
      <c r="B5595" s="6">
        <v>409.375</v>
      </c>
      <c r="C5595" s="6">
        <v>20.478950000000001</v>
      </c>
      <c r="D5595" s="6">
        <v>76</v>
      </c>
      <c r="E5595" s="6">
        <v>0</v>
      </c>
      <c r="F5595" s="6">
        <v>0</v>
      </c>
      <c r="G5595" s="6">
        <v>15</v>
      </c>
      <c r="H5595" s="6" t="s">
        <v>11510</v>
      </c>
      <c r="I5595" s="6">
        <v>531.5625</v>
      </c>
      <c r="J5595" s="2">
        <f t="shared" si="87"/>
        <v>43747.881351076387</v>
      </c>
    </row>
    <row r="5596" spans="1:10" x14ac:dyDescent="0.25">
      <c r="A5596" s="7" t="s">
        <v>11511</v>
      </c>
      <c r="B5596" s="8">
        <v>409.375</v>
      </c>
      <c r="C5596" s="8">
        <v>20.478950000000001</v>
      </c>
      <c r="D5596" s="8">
        <v>78</v>
      </c>
      <c r="E5596" s="8">
        <v>0</v>
      </c>
      <c r="F5596" s="8">
        <v>0</v>
      </c>
      <c r="G5596" s="8">
        <v>13</v>
      </c>
      <c r="H5596" s="8" t="s">
        <v>11512</v>
      </c>
      <c r="I5596" s="8">
        <v>531.375</v>
      </c>
      <c r="J5596" s="3">
        <f t="shared" si="87"/>
        <v>43747.881437835647</v>
      </c>
    </row>
    <row r="5597" spans="1:10" x14ac:dyDescent="0.25">
      <c r="A5597" s="5" t="s">
        <v>11513</v>
      </c>
      <c r="B5597" s="6">
        <v>406.25</v>
      </c>
      <c r="C5597" s="6">
        <v>20.478950000000001</v>
      </c>
      <c r="D5597" s="6">
        <v>78</v>
      </c>
      <c r="E5597" s="6">
        <v>0</v>
      </c>
      <c r="F5597" s="6">
        <v>0</v>
      </c>
      <c r="G5597" s="6">
        <v>16</v>
      </c>
      <c r="H5597" s="6" t="s">
        <v>11514</v>
      </c>
      <c r="I5597" s="6">
        <v>530.8125</v>
      </c>
      <c r="J5597" s="2">
        <f t="shared" si="87"/>
        <v>43747.881518645831</v>
      </c>
    </row>
    <row r="5598" spans="1:10" x14ac:dyDescent="0.25">
      <c r="A5598" s="7" t="s">
        <v>11515</v>
      </c>
      <c r="B5598" s="8">
        <v>406.25</v>
      </c>
      <c r="C5598" s="8">
        <v>20.478950000000001</v>
      </c>
      <c r="D5598" s="8">
        <v>79</v>
      </c>
      <c r="E5598" s="8">
        <v>0</v>
      </c>
      <c r="F5598" s="8">
        <v>0</v>
      </c>
      <c r="G5598" s="8">
        <v>19</v>
      </c>
      <c r="H5598" s="8" t="s">
        <v>11516</v>
      </c>
      <c r="I5598" s="8">
        <v>530.625</v>
      </c>
      <c r="J5598" s="3">
        <f t="shared" si="87"/>
        <v>43747.88159005787</v>
      </c>
    </row>
    <row r="5599" spans="1:10" x14ac:dyDescent="0.25">
      <c r="A5599" s="5" t="s">
        <v>11517</v>
      </c>
      <c r="B5599" s="6">
        <v>425</v>
      </c>
      <c r="C5599" s="6">
        <v>20.478950000000001</v>
      </c>
      <c r="D5599" s="6">
        <v>78</v>
      </c>
      <c r="E5599" s="6">
        <v>0</v>
      </c>
      <c r="F5599" s="6">
        <v>0</v>
      </c>
      <c r="G5599" s="6">
        <v>24</v>
      </c>
      <c r="H5599" s="6" t="s">
        <v>11518</v>
      </c>
      <c r="I5599" s="6">
        <v>536.625</v>
      </c>
      <c r="J5599" s="2">
        <f t="shared" si="87"/>
        <v>43747.88167357639</v>
      </c>
    </row>
    <row r="5600" spans="1:10" x14ac:dyDescent="0.25">
      <c r="A5600" s="7" t="s">
        <v>11519</v>
      </c>
      <c r="B5600" s="8">
        <v>406.25</v>
      </c>
      <c r="C5600" s="8">
        <v>20.478950000000001</v>
      </c>
      <c r="D5600" s="8">
        <v>78</v>
      </c>
      <c r="E5600" s="8">
        <v>0</v>
      </c>
      <c r="F5600" s="8">
        <v>0</v>
      </c>
      <c r="G5600" s="8">
        <v>15</v>
      </c>
      <c r="H5600" s="8" t="s">
        <v>11520</v>
      </c>
      <c r="I5600" s="8">
        <v>530.625</v>
      </c>
      <c r="J5600" s="3">
        <f t="shared" si="87"/>
        <v>43747.881744791659</v>
      </c>
    </row>
    <row r="5601" spans="1:10" x14ac:dyDescent="0.25">
      <c r="A5601" s="5" t="s">
        <v>11521</v>
      </c>
      <c r="B5601" s="6">
        <v>406.25</v>
      </c>
      <c r="C5601" s="6">
        <v>20.478950000000001</v>
      </c>
      <c r="D5601" s="6">
        <v>79</v>
      </c>
      <c r="E5601" s="6">
        <v>0</v>
      </c>
      <c r="F5601" s="6">
        <v>0</v>
      </c>
      <c r="G5601" s="6">
        <v>18</v>
      </c>
      <c r="H5601" s="6" t="s">
        <v>11522</v>
      </c>
      <c r="I5601" s="6">
        <v>530.625</v>
      </c>
      <c r="J5601" s="2">
        <f t="shared" si="87"/>
        <v>43747.881816921297</v>
      </c>
    </row>
    <row r="5602" spans="1:10" x14ac:dyDescent="0.25">
      <c r="A5602" s="7" t="s">
        <v>11523</v>
      </c>
      <c r="B5602" s="8">
        <v>406.25</v>
      </c>
      <c r="C5602" s="8">
        <v>20.478950000000001</v>
      </c>
      <c r="D5602" s="8">
        <v>79</v>
      </c>
      <c r="E5602" s="8">
        <v>0</v>
      </c>
      <c r="F5602" s="8">
        <v>0</v>
      </c>
      <c r="G5602" s="8">
        <v>15</v>
      </c>
      <c r="H5602" s="8" t="s">
        <v>11524</v>
      </c>
      <c r="I5602" s="8">
        <v>530.8125</v>
      </c>
      <c r="J5602" s="3">
        <f t="shared" si="87"/>
        <v>43747.881888275464</v>
      </c>
    </row>
    <row r="5603" spans="1:10" x14ac:dyDescent="0.25">
      <c r="A5603" s="5" t="s">
        <v>11525</v>
      </c>
      <c r="B5603" s="6">
        <v>409.375</v>
      </c>
      <c r="C5603" s="6">
        <v>20.478950000000001</v>
      </c>
      <c r="D5603" s="6">
        <v>79</v>
      </c>
      <c r="E5603" s="6">
        <v>0</v>
      </c>
      <c r="F5603" s="6">
        <v>0</v>
      </c>
      <c r="G5603" s="6">
        <v>23</v>
      </c>
      <c r="H5603" s="6" t="s">
        <v>11526</v>
      </c>
      <c r="I5603" s="6">
        <v>531.5625</v>
      </c>
      <c r="J5603" s="2">
        <f t="shared" si="87"/>
        <v>43747.881971087962</v>
      </c>
    </row>
    <row r="5604" spans="1:10" x14ac:dyDescent="0.25">
      <c r="A5604" s="7" t="s">
        <v>11527</v>
      </c>
      <c r="B5604" s="8">
        <v>409.375</v>
      </c>
      <c r="C5604" s="8">
        <v>20.478950000000001</v>
      </c>
      <c r="D5604" s="8">
        <v>80</v>
      </c>
      <c r="E5604" s="8">
        <v>0</v>
      </c>
      <c r="F5604" s="8">
        <v>0</v>
      </c>
      <c r="G5604" s="8">
        <v>20</v>
      </c>
      <c r="H5604" s="8" t="s">
        <v>11528</v>
      </c>
      <c r="I5604" s="8">
        <v>531.375</v>
      </c>
      <c r="J5604" s="3">
        <f t="shared" si="87"/>
        <v>43747.88204329861</v>
      </c>
    </row>
    <row r="5605" spans="1:10" x14ac:dyDescent="0.25">
      <c r="A5605" s="5" t="s">
        <v>11529</v>
      </c>
      <c r="B5605" s="6">
        <v>409.375</v>
      </c>
      <c r="C5605" s="6">
        <v>20.478950000000001</v>
      </c>
      <c r="D5605" s="6">
        <v>80</v>
      </c>
      <c r="E5605" s="6">
        <v>0</v>
      </c>
      <c r="F5605" s="6">
        <v>0</v>
      </c>
      <c r="G5605" s="6">
        <v>16</v>
      </c>
      <c r="H5605" s="6" t="s">
        <v>11530</v>
      </c>
      <c r="I5605" s="6">
        <v>531.5625</v>
      </c>
      <c r="J5605" s="2">
        <f t="shared" si="87"/>
        <v>43747.882114444445</v>
      </c>
    </row>
    <row r="5606" spans="1:10" x14ac:dyDescent="0.25">
      <c r="A5606" s="7" t="s">
        <v>11531</v>
      </c>
      <c r="B5606" s="8">
        <v>412.5</v>
      </c>
      <c r="C5606" s="8">
        <v>20.478950000000001</v>
      </c>
      <c r="D5606" s="8">
        <v>80</v>
      </c>
      <c r="E5606" s="8">
        <v>0</v>
      </c>
      <c r="F5606" s="8">
        <v>0</v>
      </c>
      <c r="G5606" s="8">
        <v>16</v>
      </c>
      <c r="H5606" s="8" t="s">
        <v>11532</v>
      </c>
      <c r="I5606" s="8">
        <v>532.3125</v>
      </c>
      <c r="J5606" s="3">
        <f t="shared" si="87"/>
        <v>43747.882186701383</v>
      </c>
    </row>
    <row r="5607" spans="1:10" x14ac:dyDescent="0.25">
      <c r="A5607" s="5" t="s">
        <v>11533</v>
      </c>
      <c r="B5607" s="6">
        <v>428.125</v>
      </c>
      <c r="C5607" s="6">
        <v>20.478950000000001</v>
      </c>
      <c r="D5607" s="6">
        <v>84</v>
      </c>
      <c r="E5607" s="6">
        <v>0</v>
      </c>
      <c r="F5607" s="6">
        <v>0</v>
      </c>
      <c r="G5607" s="6">
        <v>24</v>
      </c>
      <c r="H5607" s="6" t="s">
        <v>11534</v>
      </c>
      <c r="I5607" s="6">
        <v>537.9375</v>
      </c>
      <c r="J5607" s="2">
        <f t="shared" si="87"/>
        <v>43747.882257939811</v>
      </c>
    </row>
    <row r="5608" spans="1:10" x14ac:dyDescent="0.25">
      <c r="A5608" s="7" t="s">
        <v>11535</v>
      </c>
      <c r="B5608" s="8">
        <v>415.625</v>
      </c>
      <c r="C5608" s="8">
        <v>20.478950000000001</v>
      </c>
      <c r="D5608" s="8">
        <v>83</v>
      </c>
      <c r="E5608" s="8">
        <v>0</v>
      </c>
      <c r="F5608" s="8">
        <v>0</v>
      </c>
      <c r="G5608" s="8">
        <v>18</v>
      </c>
      <c r="H5608" s="8" t="s">
        <v>11536</v>
      </c>
      <c r="I5608" s="8">
        <v>533.0625</v>
      </c>
      <c r="J5608" s="3">
        <f t="shared" si="87"/>
        <v>43747.882329351851</v>
      </c>
    </row>
    <row r="5609" spans="1:10" x14ac:dyDescent="0.25">
      <c r="A5609" s="5" t="s">
        <v>11537</v>
      </c>
      <c r="B5609" s="6">
        <v>415.625</v>
      </c>
      <c r="C5609" s="6">
        <v>20.478950000000001</v>
      </c>
      <c r="D5609" s="6">
        <v>81</v>
      </c>
      <c r="E5609" s="6">
        <v>0</v>
      </c>
      <c r="F5609" s="6">
        <v>0</v>
      </c>
      <c r="G5609" s="6">
        <v>15</v>
      </c>
      <c r="H5609" s="6" t="s">
        <v>11538</v>
      </c>
      <c r="I5609" s="6">
        <v>533.0625</v>
      </c>
      <c r="J5609" s="2">
        <f t="shared" si="87"/>
        <v>43747.882412696759</v>
      </c>
    </row>
    <row r="5610" spans="1:10" x14ac:dyDescent="0.25">
      <c r="A5610" s="7" t="s">
        <v>11539</v>
      </c>
      <c r="B5610" s="8">
        <v>415.625</v>
      </c>
      <c r="C5610" s="8">
        <v>20.478950000000001</v>
      </c>
      <c r="D5610" s="8">
        <v>80</v>
      </c>
      <c r="E5610" s="8">
        <v>0</v>
      </c>
      <c r="F5610" s="8">
        <v>0</v>
      </c>
      <c r="G5610" s="8">
        <v>16</v>
      </c>
      <c r="H5610" s="8" t="s">
        <v>11540</v>
      </c>
      <c r="I5610" s="8">
        <v>533.0625</v>
      </c>
      <c r="J5610" s="3">
        <f t="shared" si="87"/>
        <v>43747.882494895828</v>
      </c>
    </row>
    <row r="5611" spans="1:10" x14ac:dyDescent="0.25">
      <c r="A5611" s="5" t="s">
        <v>11541</v>
      </c>
      <c r="B5611" s="6">
        <v>415.625</v>
      </c>
      <c r="C5611" s="6">
        <v>20.478950000000001</v>
      </c>
      <c r="D5611" s="6">
        <v>79</v>
      </c>
      <c r="E5611" s="6">
        <v>0</v>
      </c>
      <c r="F5611" s="6">
        <v>0</v>
      </c>
      <c r="G5611" s="6">
        <v>19</v>
      </c>
      <c r="H5611" s="6" t="s">
        <v>11542</v>
      </c>
      <c r="I5611" s="6">
        <v>533.0625</v>
      </c>
      <c r="J5611" s="2">
        <f t="shared" si="87"/>
        <v>43747.882568124995</v>
      </c>
    </row>
    <row r="5612" spans="1:10" x14ac:dyDescent="0.25">
      <c r="A5612" s="7" t="s">
        <v>11543</v>
      </c>
      <c r="B5612" s="8">
        <v>418.75</v>
      </c>
      <c r="C5612" s="8">
        <v>20.478950000000001</v>
      </c>
      <c r="D5612" s="8">
        <v>79</v>
      </c>
      <c r="E5612" s="8">
        <v>0</v>
      </c>
      <c r="F5612" s="8">
        <v>0</v>
      </c>
      <c r="G5612" s="8">
        <v>15</v>
      </c>
      <c r="H5612" s="8" t="s">
        <v>11544</v>
      </c>
      <c r="I5612" s="8">
        <v>534</v>
      </c>
      <c r="J5612" s="3">
        <f t="shared" si="87"/>
        <v>43747.882639537034</v>
      </c>
    </row>
    <row r="5613" spans="1:10" x14ac:dyDescent="0.25">
      <c r="A5613" s="5" t="s">
        <v>11545</v>
      </c>
      <c r="B5613" s="6">
        <v>434.375</v>
      </c>
      <c r="C5613" s="6">
        <v>20.478950000000001</v>
      </c>
      <c r="D5613" s="6">
        <v>79</v>
      </c>
      <c r="E5613" s="6">
        <v>0</v>
      </c>
      <c r="F5613" s="6">
        <v>0</v>
      </c>
      <c r="G5613" s="6">
        <v>17</v>
      </c>
      <c r="H5613" s="6" t="s">
        <v>11546</v>
      </c>
      <c r="I5613" s="6">
        <v>539.4375</v>
      </c>
      <c r="J5613" s="2">
        <f t="shared" si="87"/>
        <v>43747.8827346412</v>
      </c>
    </row>
    <row r="5614" spans="1:10" x14ac:dyDescent="0.25">
      <c r="A5614" s="7" t="s">
        <v>11547</v>
      </c>
      <c r="B5614" s="8">
        <v>418.75</v>
      </c>
      <c r="C5614" s="8">
        <v>20.478950000000001</v>
      </c>
      <c r="D5614" s="8">
        <v>80</v>
      </c>
      <c r="E5614" s="8">
        <v>0</v>
      </c>
      <c r="F5614" s="8">
        <v>0</v>
      </c>
      <c r="G5614" s="8">
        <v>22</v>
      </c>
      <c r="H5614" s="8" t="s">
        <v>11548</v>
      </c>
      <c r="I5614" s="8">
        <v>534</v>
      </c>
      <c r="J5614" s="3">
        <f t="shared" si="87"/>
        <v>43747.882806203699</v>
      </c>
    </row>
    <row r="5615" spans="1:10" x14ac:dyDescent="0.25">
      <c r="A5615" s="5" t="s">
        <v>11549</v>
      </c>
      <c r="B5615" s="6">
        <v>418.75</v>
      </c>
      <c r="C5615" s="6">
        <v>20.478950000000001</v>
      </c>
      <c r="D5615" s="6">
        <v>80</v>
      </c>
      <c r="E5615" s="6">
        <v>0</v>
      </c>
      <c r="F5615" s="6">
        <v>0</v>
      </c>
      <c r="G5615" s="6">
        <v>17</v>
      </c>
      <c r="H5615" s="6" t="s">
        <v>11550</v>
      </c>
      <c r="I5615" s="6">
        <v>534</v>
      </c>
      <c r="J5615" s="2">
        <f t="shared" si="87"/>
        <v>43747.882878182871</v>
      </c>
    </row>
    <row r="5616" spans="1:10" x14ac:dyDescent="0.25">
      <c r="A5616" s="7" t="s">
        <v>11551</v>
      </c>
      <c r="B5616" s="8">
        <v>415.625</v>
      </c>
      <c r="C5616" s="8">
        <v>20.478950000000001</v>
      </c>
      <c r="D5616" s="8">
        <v>80</v>
      </c>
      <c r="E5616" s="8">
        <v>0</v>
      </c>
      <c r="F5616" s="8">
        <v>0</v>
      </c>
      <c r="G5616" s="8">
        <v>16</v>
      </c>
      <c r="H5616" s="8" t="s">
        <v>11552</v>
      </c>
      <c r="I5616" s="8">
        <v>533.8125</v>
      </c>
      <c r="J5616" s="3">
        <f t="shared" si="87"/>
        <v>43747.882949375002</v>
      </c>
    </row>
    <row r="5617" spans="1:10" x14ac:dyDescent="0.25">
      <c r="A5617" s="5" t="s">
        <v>11553</v>
      </c>
      <c r="B5617" s="6">
        <v>418.75</v>
      </c>
      <c r="C5617" s="6">
        <v>20.478950000000001</v>
      </c>
      <c r="D5617" s="6">
        <v>79</v>
      </c>
      <c r="E5617" s="6">
        <v>0</v>
      </c>
      <c r="F5617" s="6">
        <v>0</v>
      </c>
      <c r="G5617" s="6">
        <v>23</v>
      </c>
      <c r="H5617" s="6" t="s">
        <v>11554</v>
      </c>
      <c r="I5617" s="6">
        <v>534.75</v>
      </c>
      <c r="J5617" s="2">
        <f t="shared" si="87"/>
        <v>43747.883032743055</v>
      </c>
    </row>
    <row r="5618" spans="1:10" x14ac:dyDescent="0.25">
      <c r="A5618" s="7" t="s">
        <v>11555</v>
      </c>
      <c r="B5618" s="8">
        <v>418.75</v>
      </c>
      <c r="C5618" s="8">
        <v>20.478950000000001</v>
      </c>
      <c r="D5618" s="8">
        <v>82</v>
      </c>
      <c r="E5618" s="8">
        <v>0</v>
      </c>
      <c r="F5618" s="8">
        <v>0</v>
      </c>
      <c r="G5618" s="8">
        <v>13</v>
      </c>
      <c r="H5618" s="8" t="s">
        <v>11556</v>
      </c>
      <c r="I5618" s="8">
        <v>534.75</v>
      </c>
      <c r="J5618" s="3">
        <f t="shared" si="87"/>
        <v>43747.883104733795</v>
      </c>
    </row>
    <row r="5619" spans="1:10" x14ac:dyDescent="0.25">
      <c r="A5619" s="5" t="s">
        <v>11557</v>
      </c>
      <c r="B5619" s="6">
        <v>418.75</v>
      </c>
      <c r="C5619" s="6">
        <v>20.478950000000001</v>
      </c>
      <c r="D5619" s="6">
        <v>81</v>
      </c>
      <c r="E5619" s="6">
        <v>0</v>
      </c>
      <c r="F5619" s="6">
        <v>0</v>
      </c>
      <c r="G5619" s="6">
        <v>21</v>
      </c>
      <c r="H5619" s="6" t="s">
        <v>11558</v>
      </c>
      <c r="I5619" s="6">
        <v>534.75</v>
      </c>
      <c r="J5619" s="2">
        <f t="shared" si="87"/>
        <v>43747.883175902774</v>
      </c>
    </row>
    <row r="5620" spans="1:10" x14ac:dyDescent="0.25">
      <c r="A5620" s="7" t="s">
        <v>11559</v>
      </c>
      <c r="B5620" s="8">
        <v>434.375</v>
      </c>
      <c r="C5620" s="8">
        <v>20.478950000000001</v>
      </c>
      <c r="D5620" s="8">
        <v>79</v>
      </c>
      <c r="E5620" s="8">
        <v>0</v>
      </c>
      <c r="F5620" s="8">
        <v>0</v>
      </c>
      <c r="G5620" s="8">
        <v>16</v>
      </c>
      <c r="H5620" s="8" t="s">
        <v>11560</v>
      </c>
      <c r="I5620" s="8">
        <v>539.4375</v>
      </c>
      <c r="J5620" s="3">
        <f t="shared" si="87"/>
        <v>43747.883247523147</v>
      </c>
    </row>
    <row r="5621" spans="1:10" x14ac:dyDescent="0.25">
      <c r="A5621" s="5" t="s">
        <v>11561</v>
      </c>
      <c r="B5621" s="6">
        <v>418.75</v>
      </c>
      <c r="C5621" s="6">
        <v>20.478950000000001</v>
      </c>
      <c r="D5621" s="6">
        <v>79</v>
      </c>
      <c r="E5621" s="6">
        <v>0</v>
      </c>
      <c r="F5621" s="6">
        <v>0</v>
      </c>
      <c r="G5621" s="6">
        <v>23</v>
      </c>
      <c r="H5621" s="6" t="s">
        <v>11562</v>
      </c>
      <c r="I5621" s="6">
        <v>534.75</v>
      </c>
      <c r="J5621" s="2">
        <f t="shared" si="87"/>
        <v>43747.883319027773</v>
      </c>
    </row>
    <row r="5622" spans="1:10" x14ac:dyDescent="0.25">
      <c r="A5622" s="7" t="s">
        <v>11563</v>
      </c>
      <c r="B5622" s="8">
        <v>418.75</v>
      </c>
      <c r="C5622" s="8">
        <v>20.478950000000001</v>
      </c>
      <c r="D5622" s="8">
        <v>79</v>
      </c>
      <c r="E5622" s="8">
        <v>0</v>
      </c>
      <c r="F5622" s="8">
        <v>0</v>
      </c>
      <c r="G5622" s="8">
        <v>18</v>
      </c>
      <c r="H5622" s="8" t="s">
        <v>11564</v>
      </c>
      <c r="I5622" s="8">
        <v>534</v>
      </c>
      <c r="J5622" s="3">
        <f t="shared" si="87"/>
        <v>43747.883390740739</v>
      </c>
    </row>
    <row r="5623" spans="1:10" x14ac:dyDescent="0.25">
      <c r="A5623" s="5" t="s">
        <v>11565</v>
      </c>
      <c r="B5623" s="6">
        <v>418.75</v>
      </c>
      <c r="C5623" s="6">
        <v>20.478950000000001</v>
      </c>
      <c r="D5623" s="6">
        <v>79</v>
      </c>
      <c r="E5623" s="6">
        <v>0</v>
      </c>
      <c r="F5623" s="6">
        <v>0</v>
      </c>
      <c r="G5623" s="6">
        <v>17</v>
      </c>
      <c r="H5623" s="6" t="s">
        <v>11566</v>
      </c>
      <c r="I5623" s="6">
        <v>534</v>
      </c>
      <c r="J5623" s="2">
        <f t="shared" si="87"/>
        <v>43747.883462499994</v>
      </c>
    </row>
    <row r="5624" spans="1:10" x14ac:dyDescent="0.25">
      <c r="A5624" s="7" t="s">
        <v>11567</v>
      </c>
      <c r="B5624" s="8">
        <v>450</v>
      </c>
      <c r="C5624" s="8">
        <v>20.478950000000001</v>
      </c>
      <c r="D5624" s="8">
        <v>78</v>
      </c>
      <c r="E5624" s="8">
        <v>0</v>
      </c>
      <c r="F5624" s="8">
        <v>0</v>
      </c>
      <c r="G5624" s="8">
        <v>15</v>
      </c>
      <c r="H5624" s="8" t="s">
        <v>11568</v>
      </c>
      <c r="I5624" s="8">
        <v>544.6875</v>
      </c>
      <c r="J5624" s="3">
        <f t="shared" si="87"/>
        <v>43747.883533854161</v>
      </c>
    </row>
    <row r="5625" spans="1:10" x14ac:dyDescent="0.25">
      <c r="A5625" s="5" t="s">
        <v>11569</v>
      </c>
      <c r="B5625" s="6">
        <v>415.625</v>
      </c>
      <c r="C5625" s="6">
        <v>20.478950000000001</v>
      </c>
      <c r="D5625" s="6">
        <v>78</v>
      </c>
      <c r="E5625" s="6">
        <v>0</v>
      </c>
      <c r="F5625" s="6">
        <v>0</v>
      </c>
      <c r="G5625" s="6">
        <v>23</v>
      </c>
      <c r="H5625" s="6" t="s">
        <v>11570</v>
      </c>
      <c r="I5625" s="6">
        <v>533.8125</v>
      </c>
      <c r="J5625" s="2">
        <f t="shared" si="87"/>
        <v>43747.883606087962</v>
      </c>
    </row>
    <row r="5626" spans="1:10" x14ac:dyDescent="0.25">
      <c r="A5626" s="7" t="s">
        <v>11571</v>
      </c>
      <c r="B5626" s="8">
        <v>415.625</v>
      </c>
      <c r="C5626" s="8">
        <v>20.478950000000001</v>
      </c>
      <c r="D5626" s="8">
        <v>80</v>
      </c>
      <c r="E5626" s="8">
        <v>0</v>
      </c>
      <c r="F5626" s="8">
        <v>0</v>
      </c>
      <c r="G5626" s="8">
        <v>19</v>
      </c>
      <c r="H5626" s="8" t="s">
        <v>11572</v>
      </c>
      <c r="I5626" s="8">
        <v>533.8125</v>
      </c>
      <c r="J5626" s="3">
        <f t="shared" si="87"/>
        <v>43747.883677384256</v>
      </c>
    </row>
    <row r="5627" spans="1:10" x14ac:dyDescent="0.25">
      <c r="A5627" s="5" t="s">
        <v>11573</v>
      </c>
      <c r="B5627" s="6">
        <v>418.75</v>
      </c>
      <c r="C5627" s="6">
        <v>20.478950000000001</v>
      </c>
      <c r="D5627" s="6">
        <v>80</v>
      </c>
      <c r="E5627" s="6">
        <v>0</v>
      </c>
      <c r="F5627" s="6">
        <v>0</v>
      </c>
      <c r="G5627" s="6">
        <v>20</v>
      </c>
      <c r="H5627" s="6" t="s">
        <v>11574</v>
      </c>
      <c r="I5627" s="6">
        <v>534</v>
      </c>
      <c r="J5627" s="2">
        <f t="shared" si="87"/>
        <v>43747.883748668981</v>
      </c>
    </row>
    <row r="5628" spans="1:10" x14ac:dyDescent="0.25">
      <c r="A5628" s="7" t="s">
        <v>11575</v>
      </c>
      <c r="B5628" s="8">
        <v>415.625</v>
      </c>
      <c r="C5628" s="8">
        <v>20.478950000000001</v>
      </c>
      <c r="D5628" s="8">
        <v>81</v>
      </c>
      <c r="E5628" s="8">
        <v>0</v>
      </c>
      <c r="F5628" s="8">
        <v>0</v>
      </c>
      <c r="G5628" s="8">
        <v>13</v>
      </c>
      <c r="H5628" s="8" t="s">
        <v>11576</v>
      </c>
      <c r="I5628" s="8">
        <v>533.8125</v>
      </c>
      <c r="J5628" s="3">
        <f t="shared" si="87"/>
        <v>43747.883834745364</v>
      </c>
    </row>
    <row r="5629" spans="1:10" x14ac:dyDescent="0.25">
      <c r="A5629" s="5" t="s">
        <v>11577</v>
      </c>
      <c r="B5629" s="6">
        <v>418.75</v>
      </c>
      <c r="C5629" s="6">
        <v>20.478950000000001</v>
      </c>
      <c r="D5629" s="6">
        <v>81</v>
      </c>
      <c r="E5629" s="6">
        <v>0</v>
      </c>
      <c r="F5629" s="6">
        <v>0</v>
      </c>
      <c r="G5629" s="6">
        <v>22</v>
      </c>
      <c r="H5629" s="6" t="s">
        <v>11578</v>
      </c>
      <c r="I5629" s="6">
        <v>534.5625</v>
      </c>
      <c r="J5629" s="2">
        <f t="shared" si="87"/>
        <v>43747.883915405087</v>
      </c>
    </row>
    <row r="5630" spans="1:10" x14ac:dyDescent="0.25">
      <c r="A5630" s="7" t="s">
        <v>11579</v>
      </c>
      <c r="B5630" s="8">
        <v>418.75</v>
      </c>
      <c r="C5630" s="8">
        <v>20.478950000000001</v>
      </c>
      <c r="D5630" s="8">
        <v>81</v>
      </c>
      <c r="E5630" s="8">
        <v>0</v>
      </c>
      <c r="F5630" s="8">
        <v>0</v>
      </c>
      <c r="G5630" s="8">
        <v>23</v>
      </c>
      <c r="H5630" s="8" t="s">
        <v>11580</v>
      </c>
      <c r="I5630" s="8">
        <v>534.75</v>
      </c>
      <c r="J5630" s="3">
        <f t="shared" si="87"/>
        <v>43747.883987488422</v>
      </c>
    </row>
    <row r="5631" spans="1:10" x14ac:dyDescent="0.25">
      <c r="A5631" s="5" t="s">
        <v>11581</v>
      </c>
      <c r="B5631" s="6">
        <v>437.5</v>
      </c>
      <c r="C5631" s="6">
        <v>20.478950000000001</v>
      </c>
      <c r="D5631" s="6">
        <v>81</v>
      </c>
      <c r="E5631" s="6">
        <v>0</v>
      </c>
      <c r="F5631" s="6">
        <v>0</v>
      </c>
      <c r="G5631" s="6">
        <v>21</v>
      </c>
      <c r="H5631" s="6" t="s">
        <v>11582</v>
      </c>
      <c r="I5631" s="6">
        <v>540.9375</v>
      </c>
      <c r="J5631" s="2">
        <f t="shared" si="87"/>
        <v>43747.884070949069</v>
      </c>
    </row>
    <row r="5632" spans="1:10" x14ac:dyDescent="0.25">
      <c r="A5632" s="7" t="s">
        <v>11583</v>
      </c>
      <c r="B5632" s="8">
        <v>418.75</v>
      </c>
      <c r="C5632" s="8">
        <v>20.478950000000001</v>
      </c>
      <c r="D5632" s="8">
        <v>82</v>
      </c>
      <c r="E5632" s="8">
        <v>0</v>
      </c>
      <c r="F5632" s="8">
        <v>0</v>
      </c>
      <c r="G5632" s="8">
        <v>21</v>
      </c>
      <c r="H5632" s="8" t="s">
        <v>11584</v>
      </c>
      <c r="I5632" s="8">
        <v>534.75</v>
      </c>
      <c r="J5632" s="3">
        <f t="shared" si="87"/>
        <v>43747.884154178239</v>
      </c>
    </row>
    <row r="5633" spans="1:10" x14ac:dyDescent="0.25">
      <c r="A5633" s="5" t="s">
        <v>11585</v>
      </c>
      <c r="B5633" s="6">
        <v>418.75</v>
      </c>
      <c r="C5633" s="6">
        <v>20.478950000000001</v>
      </c>
      <c r="D5633" s="6">
        <v>82</v>
      </c>
      <c r="E5633" s="6">
        <v>0</v>
      </c>
      <c r="F5633" s="6">
        <v>0</v>
      </c>
      <c r="G5633" s="6">
        <v>14</v>
      </c>
      <c r="H5633" s="6" t="s">
        <v>11586</v>
      </c>
      <c r="I5633" s="6">
        <v>534</v>
      </c>
      <c r="J5633" s="2">
        <f t="shared" si="87"/>
        <v>43747.884237615734</v>
      </c>
    </row>
    <row r="5634" spans="1:10" x14ac:dyDescent="0.25">
      <c r="A5634" s="7" t="s">
        <v>11587</v>
      </c>
      <c r="B5634" s="8">
        <v>415.625</v>
      </c>
      <c r="C5634" s="8">
        <v>20.478950000000001</v>
      </c>
      <c r="D5634" s="8">
        <v>82</v>
      </c>
      <c r="E5634" s="8">
        <v>0</v>
      </c>
      <c r="F5634" s="8">
        <v>0</v>
      </c>
      <c r="G5634" s="8">
        <v>14</v>
      </c>
      <c r="H5634" s="8" t="s">
        <v>11588</v>
      </c>
      <c r="I5634" s="8">
        <v>533.8125</v>
      </c>
      <c r="J5634" s="3">
        <f t="shared" ref="J5634:J5697" si="88">(H5634/86400000)+25569+(7/24)</f>
        <v>43747.8843208912</v>
      </c>
    </row>
    <row r="5635" spans="1:10" x14ac:dyDescent="0.25">
      <c r="A5635" s="5" t="s">
        <v>11589</v>
      </c>
      <c r="B5635" s="6">
        <v>415.625</v>
      </c>
      <c r="C5635" s="6">
        <v>20.478950000000001</v>
      </c>
      <c r="D5635" s="6">
        <v>83</v>
      </c>
      <c r="E5635" s="6">
        <v>0</v>
      </c>
      <c r="F5635" s="6">
        <v>0</v>
      </c>
      <c r="G5635" s="6">
        <v>14</v>
      </c>
      <c r="H5635" s="6" t="s">
        <v>11590</v>
      </c>
      <c r="I5635" s="6">
        <v>533.8125</v>
      </c>
      <c r="J5635" s="2">
        <f t="shared" si="88"/>
        <v>43747.884392465276</v>
      </c>
    </row>
    <row r="5636" spans="1:10" x14ac:dyDescent="0.25">
      <c r="A5636" s="7" t="s">
        <v>11591</v>
      </c>
      <c r="B5636" s="8">
        <v>456.25</v>
      </c>
      <c r="C5636" s="8">
        <v>20.478950000000001</v>
      </c>
      <c r="D5636" s="8">
        <v>83</v>
      </c>
      <c r="E5636" s="8">
        <v>0</v>
      </c>
      <c r="F5636" s="8">
        <v>0</v>
      </c>
      <c r="G5636" s="8">
        <v>18</v>
      </c>
      <c r="H5636" s="8" t="s">
        <v>11592</v>
      </c>
      <c r="I5636" s="8">
        <v>546.375</v>
      </c>
      <c r="J5636" s="3">
        <f t="shared" si="88"/>
        <v>43747.884464224531</v>
      </c>
    </row>
    <row r="5637" spans="1:10" x14ac:dyDescent="0.25">
      <c r="A5637" s="5" t="s">
        <v>11593</v>
      </c>
      <c r="B5637" s="6">
        <v>418.75</v>
      </c>
      <c r="C5637" s="6">
        <v>20.478950000000001</v>
      </c>
      <c r="D5637" s="6">
        <v>83</v>
      </c>
      <c r="E5637" s="6">
        <v>0</v>
      </c>
      <c r="F5637" s="6">
        <v>0</v>
      </c>
      <c r="G5637" s="6">
        <v>16</v>
      </c>
      <c r="H5637" s="6" t="s">
        <v>11594</v>
      </c>
      <c r="I5637" s="6">
        <v>534</v>
      </c>
      <c r="J5637" s="2">
        <f t="shared" si="88"/>
        <v>43747.884535694444</v>
      </c>
    </row>
    <row r="5638" spans="1:10" x14ac:dyDescent="0.25">
      <c r="A5638" s="7" t="s">
        <v>11595</v>
      </c>
      <c r="B5638" s="8">
        <v>418.75</v>
      </c>
      <c r="C5638" s="8">
        <v>20.478950000000001</v>
      </c>
      <c r="D5638" s="8">
        <v>83</v>
      </c>
      <c r="E5638" s="8">
        <v>0</v>
      </c>
      <c r="F5638" s="8">
        <v>0</v>
      </c>
      <c r="G5638" s="8">
        <v>10</v>
      </c>
      <c r="H5638" s="8" t="s">
        <v>11596</v>
      </c>
      <c r="I5638" s="8">
        <v>534</v>
      </c>
      <c r="J5638" s="3">
        <f t="shared" si="88"/>
        <v>43747.884619085649</v>
      </c>
    </row>
    <row r="5639" spans="1:10" x14ac:dyDescent="0.25">
      <c r="A5639" s="5" t="s">
        <v>11597</v>
      </c>
      <c r="B5639" s="6">
        <v>418.75</v>
      </c>
      <c r="C5639" s="6">
        <v>20.478950000000001</v>
      </c>
      <c r="D5639" s="6">
        <v>83</v>
      </c>
      <c r="E5639" s="6">
        <v>0</v>
      </c>
      <c r="F5639" s="6">
        <v>0</v>
      </c>
      <c r="G5639" s="6">
        <v>15</v>
      </c>
      <c r="H5639" s="6" t="s">
        <v>11598</v>
      </c>
      <c r="I5639" s="6">
        <v>534</v>
      </c>
      <c r="J5639" s="2">
        <f t="shared" si="88"/>
        <v>43747.88469136574</v>
      </c>
    </row>
    <row r="5640" spans="1:10" x14ac:dyDescent="0.25">
      <c r="A5640" s="7" t="s">
        <v>11599</v>
      </c>
      <c r="B5640" s="8">
        <v>418.75</v>
      </c>
      <c r="C5640" s="8">
        <v>20.478950000000001</v>
      </c>
      <c r="D5640" s="8">
        <v>82</v>
      </c>
      <c r="E5640" s="8">
        <v>0</v>
      </c>
      <c r="F5640" s="8">
        <v>0</v>
      </c>
      <c r="G5640" s="8">
        <v>15</v>
      </c>
      <c r="H5640" s="8" t="s">
        <v>11600</v>
      </c>
      <c r="I5640" s="8">
        <v>534</v>
      </c>
      <c r="J5640" s="3">
        <f t="shared" si="88"/>
        <v>43747.88477488426</v>
      </c>
    </row>
    <row r="5641" spans="1:10" x14ac:dyDescent="0.25">
      <c r="A5641" s="5" t="s">
        <v>11601</v>
      </c>
      <c r="B5641" s="6">
        <v>418.75</v>
      </c>
      <c r="C5641" s="6">
        <v>20.478950000000001</v>
      </c>
      <c r="D5641" s="6">
        <v>82</v>
      </c>
      <c r="E5641" s="6">
        <v>0</v>
      </c>
      <c r="F5641" s="6">
        <v>0</v>
      </c>
      <c r="G5641" s="6">
        <v>18</v>
      </c>
      <c r="H5641" s="6" t="s">
        <v>11602</v>
      </c>
      <c r="I5641" s="6">
        <v>534</v>
      </c>
      <c r="J5641" s="2">
        <f t="shared" si="88"/>
        <v>43747.88484583333</v>
      </c>
    </row>
    <row r="5642" spans="1:10" x14ac:dyDescent="0.25">
      <c r="A5642" s="7" t="s">
        <v>11603</v>
      </c>
      <c r="B5642" s="8">
        <v>418.75</v>
      </c>
      <c r="C5642" s="8">
        <v>20.478950000000001</v>
      </c>
      <c r="D5642" s="8">
        <v>82</v>
      </c>
      <c r="E5642" s="8">
        <v>0</v>
      </c>
      <c r="F5642" s="8">
        <v>0</v>
      </c>
      <c r="G5642" s="8">
        <v>13</v>
      </c>
      <c r="H5642" s="8" t="s">
        <v>11604</v>
      </c>
      <c r="I5642" s="8">
        <v>534.75</v>
      </c>
      <c r="J5642" s="3">
        <f t="shared" si="88"/>
        <v>43747.884917199073</v>
      </c>
    </row>
    <row r="5643" spans="1:10" x14ac:dyDescent="0.25">
      <c r="A5643" s="5" t="s">
        <v>11605</v>
      </c>
      <c r="B5643" s="6">
        <v>437.5</v>
      </c>
      <c r="C5643" s="6">
        <v>20.478950000000001</v>
      </c>
      <c r="D5643" s="6">
        <v>82</v>
      </c>
      <c r="E5643" s="6">
        <v>0</v>
      </c>
      <c r="F5643" s="6">
        <v>0</v>
      </c>
      <c r="G5643" s="6">
        <v>18</v>
      </c>
      <c r="H5643" s="6" t="s">
        <v>11606</v>
      </c>
      <c r="I5643" s="6">
        <v>540.5625</v>
      </c>
      <c r="J5643" s="2">
        <f t="shared" si="88"/>
        <v>43747.884988530095</v>
      </c>
    </row>
    <row r="5644" spans="1:10" x14ac:dyDescent="0.25">
      <c r="A5644" s="7" t="s">
        <v>11607</v>
      </c>
      <c r="B5644" s="8">
        <v>418.75</v>
      </c>
      <c r="C5644" s="8">
        <v>20.478950000000001</v>
      </c>
      <c r="D5644" s="8">
        <v>80</v>
      </c>
      <c r="E5644" s="8">
        <v>0</v>
      </c>
      <c r="F5644" s="8">
        <v>0</v>
      </c>
      <c r="G5644" s="8">
        <v>12</v>
      </c>
      <c r="H5644" s="8" t="s">
        <v>11608</v>
      </c>
      <c r="I5644" s="8">
        <v>534.5625</v>
      </c>
      <c r="J5644" s="3">
        <f t="shared" si="88"/>
        <v>43747.885062384252</v>
      </c>
    </row>
    <row r="5645" spans="1:10" x14ac:dyDescent="0.25">
      <c r="A5645" s="5" t="s">
        <v>11609</v>
      </c>
      <c r="B5645" s="6">
        <v>415.625</v>
      </c>
      <c r="C5645" s="6">
        <v>20.478950000000001</v>
      </c>
      <c r="D5645" s="6">
        <v>80</v>
      </c>
      <c r="E5645" s="6">
        <v>0</v>
      </c>
      <c r="F5645" s="6">
        <v>0</v>
      </c>
      <c r="G5645" s="6">
        <v>19</v>
      </c>
      <c r="H5645" s="6" t="s">
        <v>11610</v>
      </c>
      <c r="I5645" s="6">
        <v>533.8125</v>
      </c>
      <c r="J5645" s="2">
        <f t="shared" si="88"/>
        <v>43747.885144039348</v>
      </c>
    </row>
    <row r="5646" spans="1:10" x14ac:dyDescent="0.25">
      <c r="A5646" s="7" t="s">
        <v>11611</v>
      </c>
      <c r="B5646" s="8">
        <v>418.75</v>
      </c>
      <c r="C5646" s="8">
        <v>20.478950000000001</v>
      </c>
      <c r="D5646" s="8">
        <v>80</v>
      </c>
      <c r="E5646" s="8">
        <v>0</v>
      </c>
      <c r="F5646" s="8">
        <v>0</v>
      </c>
      <c r="G5646" s="8">
        <v>22</v>
      </c>
      <c r="H5646" s="8" t="s">
        <v>11612</v>
      </c>
      <c r="I5646" s="8">
        <v>534</v>
      </c>
      <c r="J5646" s="3">
        <f t="shared" si="88"/>
        <v>43747.88522851852</v>
      </c>
    </row>
    <row r="5647" spans="1:10" x14ac:dyDescent="0.25">
      <c r="A5647" s="5" t="s">
        <v>11613</v>
      </c>
      <c r="B5647" s="6">
        <v>418.75</v>
      </c>
      <c r="C5647" s="6">
        <v>20.478950000000001</v>
      </c>
      <c r="D5647" s="6">
        <v>80</v>
      </c>
      <c r="E5647" s="6">
        <v>0</v>
      </c>
      <c r="F5647" s="6">
        <v>0</v>
      </c>
      <c r="G5647" s="6">
        <v>23</v>
      </c>
      <c r="H5647" s="6" t="s">
        <v>11614</v>
      </c>
      <c r="I5647" s="6">
        <v>534</v>
      </c>
      <c r="J5647" s="2">
        <f t="shared" si="88"/>
        <v>43747.885298761576</v>
      </c>
    </row>
    <row r="5648" spans="1:10" x14ac:dyDescent="0.25">
      <c r="A5648" s="7" t="s">
        <v>11615</v>
      </c>
      <c r="B5648" s="8">
        <v>415.625</v>
      </c>
      <c r="C5648" s="8">
        <v>20.478950000000001</v>
      </c>
      <c r="D5648" s="8">
        <v>82</v>
      </c>
      <c r="E5648" s="8">
        <v>0</v>
      </c>
      <c r="F5648" s="8">
        <v>0</v>
      </c>
      <c r="G5648" s="8">
        <v>18</v>
      </c>
      <c r="H5648" s="8" t="s">
        <v>11616</v>
      </c>
      <c r="I5648" s="8">
        <v>533.8125</v>
      </c>
      <c r="J5648" s="3">
        <f t="shared" si="88"/>
        <v>43747.885370914351</v>
      </c>
    </row>
    <row r="5649" spans="1:10" x14ac:dyDescent="0.25">
      <c r="A5649" s="5" t="s">
        <v>11617</v>
      </c>
      <c r="B5649" s="6">
        <v>418.75</v>
      </c>
      <c r="C5649" s="6">
        <v>20.478950000000001</v>
      </c>
      <c r="D5649" s="6">
        <v>82</v>
      </c>
      <c r="E5649" s="6">
        <v>0</v>
      </c>
      <c r="F5649" s="6">
        <v>0</v>
      </c>
      <c r="G5649" s="6">
        <v>19</v>
      </c>
      <c r="H5649" s="6" t="s">
        <v>11618</v>
      </c>
      <c r="I5649" s="6">
        <v>534</v>
      </c>
      <c r="J5649" s="2">
        <f t="shared" si="88"/>
        <v>43747.885442280087</v>
      </c>
    </row>
    <row r="5650" spans="1:10" x14ac:dyDescent="0.25">
      <c r="A5650" s="7" t="s">
        <v>11619</v>
      </c>
      <c r="B5650" s="8">
        <v>434.375</v>
      </c>
      <c r="C5650" s="8">
        <v>20.478950000000001</v>
      </c>
      <c r="D5650" s="8">
        <v>81</v>
      </c>
      <c r="E5650" s="8">
        <v>0</v>
      </c>
      <c r="F5650" s="8">
        <v>0</v>
      </c>
      <c r="G5650" s="8">
        <v>20</v>
      </c>
      <c r="H5650" s="8" t="s">
        <v>11620</v>
      </c>
      <c r="I5650" s="8">
        <v>539.625</v>
      </c>
      <c r="J5650" s="3">
        <f t="shared" si="88"/>
        <v>43747.885514444446</v>
      </c>
    </row>
    <row r="5651" spans="1:10" x14ac:dyDescent="0.25">
      <c r="A5651" s="5" t="s">
        <v>11621</v>
      </c>
      <c r="B5651" s="6">
        <v>418.75</v>
      </c>
      <c r="C5651" s="6">
        <v>20.478950000000001</v>
      </c>
      <c r="D5651" s="6">
        <v>79</v>
      </c>
      <c r="E5651" s="6">
        <v>0</v>
      </c>
      <c r="F5651" s="6">
        <v>0</v>
      </c>
      <c r="G5651" s="6">
        <v>10</v>
      </c>
      <c r="H5651" s="6" t="s">
        <v>11622</v>
      </c>
      <c r="I5651" s="6">
        <v>534</v>
      </c>
      <c r="J5651" s="2">
        <f t="shared" si="88"/>
        <v>43747.885585682867</v>
      </c>
    </row>
    <row r="5652" spans="1:10" x14ac:dyDescent="0.25">
      <c r="A5652" s="7" t="s">
        <v>11623</v>
      </c>
      <c r="B5652" s="8">
        <v>418.75</v>
      </c>
      <c r="C5652" s="8">
        <v>20.478950000000001</v>
      </c>
      <c r="D5652" s="8">
        <v>79</v>
      </c>
      <c r="E5652" s="8">
        <v>0</v>
      </c>
      <c r="F5652" s="8">
        <v>0</v>
      </c>
      <c r="G5652" s="8">
        <v>17</v>
      </c>
      <c r="H5652" s="8" t="s">
        <v>11624</v>
      </c>
      <c r="I5652" s="8">
        <v>534</v>
      </c>
      <c r="J5652" s="3">
        <f t="shared" si="88"/>
        <v>43747.885669085641</v>
      </c>
    </row>
    <row r="5653" spans="1:10" x14ac:dyDescent="0.25">
      <c r="A5653" s="5" t="s">
        <v>11625</v>
      </c>
      <c r="B5653" s="6">
        <v>415.625</v>
      </c>
      <c r="C5653" s="6">
        <v>20.478950000000001</v>
      </c>
      <c r="D5653" s="6">
        <v>78</v>
      </c>
      <c r="E5653" s="6">
        <v>0</v>
      </c>
      <c r="F5653" s="6">
        <v>0</v>
      </c>
      <c r="G5653" s="6">
        <v>14</v>
      </c>
      <c r="H5653" s="6" t="s">
        <v>11626</v>
      </c>
      <c r="I5653" s="6">
        <v>533.0625</v>
      </c>
      <c r="J5653" s="2">
        <f t="shared" si="88"/>
        <v>43747.885752395836</v>
      </c>
    </row>
    <row r="5654" spans="1:10" x14ac:dyDescent="0.25">
      <c r="A5654" s="7" t="s">
        <v>11627</v>
      </c>
      <c r="B5654" s="8">
        <v>415.625</v>
      </c>
      <c r="C5654" s="8">
        <v>20.478950000000001</v>
      </c>
      <c r="D5654" s="8">
        <v>79</v>
      </c>
      <c r="E5654" s="8">
        <v>0</v>
      </c>
      <c r="F5654" s="8">
        <v>0</v>
      </c>
      <c r="G5654" s="8">
        <v>29</v>
      </c>
      <c r="H5654" s="8" t="s">
        <v>11628</v>
      </c>
      <c r="I5654" s="8">
        <v>533.0625</v>
      </c>
      <c r="J5654" s="3">
        <f t="shared" si="88"/>
        <v>43747.885823784723</v>
      </c>
    </row>
    <row r="5655" spans="1:10" x14ac:dyDescent="0.25">
      <c r="A5655" s="5" t="s">
        <v>11629</v>
      </c>
      <c r="B5655" s="6">
        <v>415.625</v>
      </c>
      <c r="C5655" s="6">
        <v>20.478950000000001</v>
      </c>
      <c r="D5655" s="6">
        <v>79</v>
      </c>
      <c r="E5655" s="6">
        <v>0</v>
      </c>
      <c r="F5655" s="6">
        <v>0</v>
      </c>
      <c r="G5655" s="6">
        <v>19</v>
      </c>
      <c r="H5655" s="6" t="s">
        <v>11630</v>
      </c>
      <c r="I5655" s="6">
        <v>533.0625</v>
      </c>
      <c r="J5655" s="2">
        <f t="shared" si="88"/>
        <v>43747.885895937499</v>
      </c>
    </row>
    <row r="5656" spans="1:10" x14ac:dyDescent="0.25">
      <c r="A5656" s="7" t="s">
        <v>11631</v>
      </c>
      <c r="B5656" s="8">
        <v>415.625</v>
      </c>
      <c r="C5656" s="8">
        <v>20.478950000000001</v>
      </c>
      <c r="D5656" s="8">
        <v>79</v>
      </c>
      <c r="E5656" s="8">
        <v>0</v>
      </c>
      <c r="F5656" s="8">
        <v>0</v>
      </c>
      <c r="G5656" s="8">
        <v>16</v>
      </c>
      <c r="H5656" s="8" t="s">
        <v>11632</v>
      </c>
      <c r="I5656" s="8">
        <v>533.25</v>
      </c>
      <c r="J5656" s="3">
        <f t="shared" si="88"/>
        <v>43747.885967245369</v>
      </c>
    </row>
    <row r="5657" spans="1:10" x14ac:dyDescent="0.25">
      <c r="A5657" s="5" t="s">
        <v>11633</v>
      </c>
      <c r="B5657" s="6">
        <v>431.25</v>
      </c>
      <c r="C5657" s="6">
        <v>20.478950000000001</v>
      </c>
      <c r="D5657" s="6">
        <v>80</v>
      </c>
      <c r="E5657" s="6">
        <v>0</v>
      </c>
      <c r="F5657" s="6">
        <v>0</v>
      </c>
      <c r="G5657" s="6">
        <v>18</v>
      </c>
      <c r="H5657" s="6" t="s">
        <v>11634</v>
      </c>
      <c r="I5657" s="6">
        <v>538.6875</v>
      </c>
      <c r="J5657" s="2">
        <f t="shared" si="88"/>
        <v>43747.886038506942</v>
      </c>
    </row>
    <row r="5658" spans="1:10" x14ac:dyDescent="0.25">
      <c r="A5658" s="7" t="s">
        <v>11635</v>
      </c>
      <c r="B5658" s="8">
        <v>415.625</v>
      </c>
      <c r="C5658" s="8">
        <v>20.478950000000001</v>
      </c>
      <c r="D5658" s="8">
        <v>80</v>
      </c>
      <c r="E5658" s="8">
        <v>0</v>
      </c>
      <c r="F5658" s="8">
        <v>0</v>
      </c>
      <c r="G5658" s="8">
        <v>24</v>
      </c>
      <c r="H5658" s="8" t="s">
        <v>11636</v>
      </c>
      <c r="I5658" s="8">
        <v>533.25</v>
      </c>
      <c r="J5658" s="3">
        <f t="shared" si="88"/>
        <v>43747.886110729167</v>
      </c>
    </row>
    <row r="5659" spans="1:10" x14ac:dyDescent="0.25">
      <c r="A5659" s="5" t="s">
        <v>11637</v>
      </c>
      <c r="B5659" s="6">
        <v>415.625</v>
      </c>
      <c r="C5659" s="6">
        <v>20.478950000000001</v>
      </c>
      <c r="D5659" s="6">
        <v>82</v>
      </c>
      <c r="E5659" s="6">
        <v>0</v>
      </c>
      <c r="F5659" s="6">
        <v>0</v>
      </c>
      <c r="G5659" s="6">
        <v>21</v>
      </c>
      <c r="H5659" s="6" t="s">
        <v>11638</v>
      </c>
      <c r="I5659" s="6">
        <v>533.0625</v>
      </c>
      <c r="J5659" s="2">
        <f t="shared" si="88"/>
        <v>43747.886182106478</v>
      </c>
    </row>
    <row r="5660" spans="1:10" x14ac:dyDescent="0.25">
      <c r="A5660" s="7" t="s">
        <v>11639</v>
      </c>
      <c r="B5660" s="8">
        <v>418.75</v>
      </c>
      <c r="C5660" s="8">
        <v>20.478950000000001</v>
      </c>
      <c r="D5660" s="8">
        <v>80</v>
      </c>
      <c r="E5660" s="8">
        <v>0</v>
      </c>
      <c r="F5660" s="8">
        <v>0</v>
      </c>
      <c r="G5660" s="8">
        <v>14</v>
      </c>
      <c r="H5660" s="8" t="s">
        <v>11640</v>
      </c>
      <c r="I5660" s="8">
        <v>534</v>
      </c>
      <c r="J5660" s="3">
        <f t="shared" si="88"/>
        <v>43747.886253634257</v>
      </c>
    </row>
    <row r="5661" spans="1:10" x14ac:dyDescent="0.25">
      <c r="A5661" s="5" t="s">
        <v>11641</v>
      </c>
      <c r="B5661" s="6">
        <v>446.875</v>
      </c>
      <c r="C5661" s="6">
        <v>20.478950000000001</v>
      </c>
      <c r="D5661" s="6">
        <v>82</v>
      </c>
      <c r="E5661" s="6">
        <v>0</v>
      </c>
      <c r="F5661" s="6">
        <v>0</v>
      </c>
      <c r="G5661" s="6">
        <v>14</v>
      </c>
      <c r="H5661" s="6" t="s">
        <v>11642</v>
      </c>
      <c r="I5661" s="6">
        <v>543.1875</v>
      </c>
      <c r="J5661" s="2">
        <f t="shared" si="88"/>
        <v>43747.886324710642</v>
      </c>
    </row>
    <row r="5662" spans="1:10" x14ac:dyDescent="0.25">
      <c r="A5662" s="7" t="s">
        <v>11643</v>
      </c>
      <c r="B5662" s="8">
        <v>415.625</v>
      </c>
      <c r="C5662" s="8">
        <v>20.478950000000001</v>
      </c>
      <c r="D5662" s="8">
        <v>81</v>
      </c>
      <c r="E5662" s="8">
        <v>0</v>
      </c>
      <c r="F5662" s="8">
        <v>0</v>
      </c>
      <c r="G5662" s="8">
        <v>22</v>
      </c>
      <c r="H5662" s="8" t="s">
        <v>11644</v>
      </c>
      <c r="I5662" s="8">
        <v>533.0625</v>
      </c>
      <c r="J5662" s="3">
        <f t="shared" si="88"/>
        <v>43747.88639684028</v>
      </c>
    </row>
    <row r="5663" spans="1:10" x14ac:dyDescent="0.25">
      <c r="A5663" s="5" t="s">
        <v>11645</v>
      </c>
      <c r="B5663" s="6">
        <v>415.625</v>
      </c>
      <c r="C5663" s="6">
        <v>20.478950000000001</v>
      </c>
      <c r="D5663" s="6">
        <v>81</v>
      </c>
      <c r="E5663" s="6">
        <v>0</v>
      </c>
      <c r="F5663" s="6">
        <v>0</v>
      </c>
      <c r="G5663" s="6">
        <v>14</v>
      </c>
      <c r="H5663" s="6" t="s">
        <v>11646</v>
      </c>
      <c r="I5663" s="6">
        <v>533.0625</v>
      </c>
      <c r="J5663" s="2">
        <f t="shared" si="88"/>
        <v>43747.886468159719</v>
      </c>
    </row>
    <row r="5664" spans="1:10" x14ac:dyDescent="0.25">
      <c r="A5664" s="7" t="s">
        <v>11647</v>
      </c>
      <c r="B5664" s="8">
        <v>415.625</v>
      </c>
      <c r="C5664" s="8">
        <v>20.478950000000001</v>
      </c>
      <c r="D5664" s="8">
        <v>81</v>
      </c>
      <c r="E5664" s="8">
        <v>0</v>
      </c>
      <c r="F5664" s="8">
        <v>0</v>
      </c>
      <c r="G5664" s="8">
        <v>17</v>
      </c>
      <c r="H5664" s="8" t="s">
        <v>11648</v>
      </c>
      <c r="I5664" s="8">
        <v>533.0625</v>
      </c>
      <c r="J5664" s="3">
        <f t="shared" si="88"/>
        <v>43747.886550763891</v>
      </c>
    </row>
    <row r="5665" spans="1:10" x14ac:dyDescent="0.25">
      <c r="A5665" s="5" t="s">
        <v>11649</v>
      </c>
      <c r="B5665" s="6">
        <v>431.25</v>
      </c>
      <c r="C5665" s="6">
        <v>20.478950000000001</v>
      </c>
      <c r="D5665" s="6">
        <v>80</v>
      </c>
      <c r="E5665" s="6">
        <v>0</v>
      </c>
      <c r="F5665" s="6">
        <v>0</v>
      </c>
      <c r="G5665" s="6">
        <v>21</v>
      </c>
      <c r="H5665" s="6" t="s">
        <v>11650</v>
      </c>
      <c r="I5665" s="6">
        <v>538.6875</v>
      </c>
      <c r="J5665" s="2">
        <f t="shared" si="88"/>
        <v>43747.886623229169</v>
      </c>
    </row>
    <row r="5666" spans="1:10" x14ac:dyDescent="0.25">
      <c r="A5666" s="7" t="s">
        <v>11651</v>
      </c>
      <c r="B5666" s="8">
        <v>415.625</v>
      </c>
      <c r="C5666" s="8">
        <v>20.478950000000001</v>
      </c>
      <c r="D5666" s="8">
        <v>81</v>
      </c>
      <c r="E5666" s="8">
        <v>0</v>
      </c>
      <c r="F5666" s="8">
        <v>0</v>
      </c>
      <c r="G5666" s="8">
        <v>13</v>
      </c>
      <c r="H5666" s="8" t="s">
        <v>11652</v>
      </c>
      <c r="I5666" s="8">
        <v>533.0625</v>
      </c>
      <c r="J5666" s="3">
        <f t="shared" si="88"/>
        <v>43747.88669511574</v>
      </c>
    </row>
    <row r="5667" spans="1:10" x14ac:dyDescent="0.25">
      <c r="A5667" s="5" t="s">
        <v>11653</v>
      </c>
      <c r="B5667" s="6">
        <v>415.625</v>
      </c>
      <c r="C5667" s="6">
        <v>20.478950000000001</v>
      </c>
      <c r="D5667" s="6">
        <v>81</v>
      </c>
      <c r="E5667" s="6">
        <v>0</v>
      </c>
      <c r="F5667" s="6">
        <v>0</v>
      </c>
      <c r="G5667" s="6">
        <v>17</v>
      </c>
      <c r="H5667" s="6" t="s">
        <v>11654</v>
      </c>
      <c r="I5667" s="6">
        <v>533.25</v>
      </c>
      <c r="J5667" s="2">
        <f t="shared" si="88"/>
        <v>43747.88676642361</v>
      </c>
    </row>
    <row r="5668" spans="1:10" x14ac:dyDescent="0.25">
      <c r="A5668" s="7" t="s">
        <v>11655</v>
      </c>
      <c r="B5668" s="8">
        <v>415.625</v>
      </c>
      <c r="C5668" s="8">
        <v>20.478950000000001</v>
      </c>
      <c r="D5668" s="8">
        <v>81</v>
      </c>
      <c r="E5668" s="8">
        <v>0</v>
      </c>
      <c r="F5668" s="8">
        <v>0</v>
      </c>
      <c r="G5668" s="8">
        <v>17</v>
      </c>
      <c r="H5668" s="8" t="s">
        <v>11656</v>
      </c>
      <c r="I5668" s="8">
        <v>533.25</v>
      </c>
      <c r="J5668" s="3">
        <f t="shared" si="88"/>
        <v>43747.886837719903</v>
      </c>
    </row>
    <row r="5669" spans="1:10" x14ac:dyDescent="0.25">
      <c r="A5669" s="5" t="s">
        <v>11657</v>
      </c>
      <c r="B5669" s="6">
        <v>434.375</v>
      </c>
      <c r="C5669" s="6">
        <v>20.478950000000001</v>
      </c>
      <c r="D5669" s="6">
        <v>79</v>
      </c>
      <c r="E5669" s="6">
        <v>0</v>
      </c>
      <c r="F5669" s="6">
        <v>0</v>
      </c>
      <c r="G5669" s="6">
        <v>5</v>
      </c>
      <c r="H5669" s="6" t="s">
        <v>11658</v>
      </c>
      <c r="I5669" s="6">
        <v>539.0625</v>
      </c>
      <c r="J5669" s="2">
        <f t="shared" si="88"/>
        <v>43747.886909930552</v>
      </c>
    </row>
    <row r="5670" spans="1:10" x14ac:dyDescent="0.25">
      <c r="A5670" s="7" t="s">
        <v>11659</v>
      </c>
      <c r="B5670" s="8">
        <v>418.75</v>
      </c>
      <c r="C5670" s="8">
        <v>20.478950000000001</v>
      </c>
      <c r="D5670" s="8">
        <v>79</v>
      </c>
      <c r="E5670" s="8">
        <v>0</v>
      </c>
      <c r="F5670" s="8">
        <v>0</v>
      </c>
      <c r="G5670" s="8">
        <v>12</v>
      </c>
      <c r="H5670" s="8" t="s">
        <v>11660</v>
      </c>
      <c r="I5670" s="8">
        <v>534</v>
      </c>
      <c r="J5670" s="3">
        <f t="shared" si="88"/>
        <v>43747.887005312499</v>
      </c>
    </row>
    <row r="5671" spans="1:10" x14ac:dyDescent="0.25">
      <c r="A5671" s="5" t="s">
        <v>11661</v>
      </c>
      <c r="B5671" s="6">
        <v>418.75</v>
      </c>
      <c r="C5671" s="6">
        <v>20.478950000000001</v>
      </c>
      <c r="D5671" s="6">
        <v>79</v>
      </c>
      <c r="E5671" s="6">
        <v>0</v>
      </c>
      <c r="F5671" s="6">
        <v>0</v>
      </c>
      <c r="G5671" s="6">
        <v>28</v>
      </c>
      <c r="H5671" s="6" t="s">
        <v>11662</v>
      </c>
      <c r="I5671" s="6">
        <v>534</v>
      </c>
      <c r="J5671" s="2">
        <f t="shared" si="88"/>
        <v>43747.887076550927</v>
      </c>
    </row>
    <row r="5672" spans="1:10" x14ac:dyDescent="0.25">
      <c r="A5672" s="7" t="s">
        <v>11663</v>
      </c>
      <c r="B5672" s="8">
        <v>418.75</v>
      </c>
      <c r="C5672" s="8">
        <v>20.478950000000001</v>
      </c>
      <c r="D5672" s="8">
        <v>78</v>
      </c>
      <c r="E5672" s="8">
        <v>0</v>
      </c>
      <c r="F5672" s="8">
        <v>0</v>
      </c>
      <c r="G5672" s="8">
        <v>15</v>
      </c>
      <c r="H5672" s="8" t="s">
        <v>11664</v>
      </c>
      <c r="I5672" s="8">
        <v>534</v>
      </c>
      <c r="J5672" s="3">
        <f t="shared" si="88"/>
        <v>43747.887147905094</v>
      </c>
    </row>
    <row r="5673" spans="1:10" x14ac:dyDescent="0.25">
      <c r="A5673" s="5" t="s">
        <v>11665</v>
      </c>
      <c r="B5673" s="6">
        <v>415.625</v>
      </c>
      <c r="C5673" s="6">
        <v>20.478950000000001</v>
      </c>
      <c r="D5673" s="6">
        <v>78</v>
      </c>
      <c r="E5673" s="6">
        <v>0</v>
      </c>
      <c r="F5673" s="6">
        <v>0</v>
      </c>
      <c r="G5673" s="6">
        <v>23</v>
      </c>
      <c r="H5673" s="6" t="s">
        <v>11666</v>
      </c>
      <c r="I5673" s="6">
        <v>533.8125</v>
      </c>
      <c r="J5673" s="2">
        <f t="shared" si="88"/>
        <v>43747.887219942124</v>
      </c>
    </row>
    <row r="5674" spans="1:10" x14ac:dyDescent="0.25">
      <c r="A5674" s="7" t="s">
        <v>11667</v>
      </c>
      <c r="B5674" s="8">
        <v>418.75</v>
      </c>
      <c r="C5674" s="8">
        <v>20.478950000000001</v>
      </c>
      <c r="D5674" s="8">
        <v>78</v>
      </c>
      <c r="E5674" s="8">
        <v>0</v>
      </c>
      <c r="F5674" s="8">
        <v>0</v>
      </c>
      <c r="G5674" s="8">
        <v>22</v>
      </c>
      <c r="H5674" s="8" t="s">
        <v>11668</v>
      </c>
      <c r="I5674" s="8">
        <v>534</v>
      </c>
      <c r="J5674" s="3">
        <f t="shared" si="88"/>
        <v>43747.887291446757</v>
      </c>
    </row>
    <row r="5675" spans="1:10" x14ac:dyDescent="0.25">
      <c r="A5675" s="5" t="s">
        <v>11669</v>
      </c>
      <c r="B5675" s="6">
        <v>415.625</v>
      </c>
      <c r="C5675" s="6">
        <v>20.478950000000001</v>
      </c>
      <c r="D5675" s="6">
        <v>78</v>
      </c>
      <c r="E5675" s="6">
        <v>0</v>
      </c>
      <c r="F5675" s="6">
        <v>0</v>
      </c>
      <c r="G5675" s="6">
        <v>17</v>
      </c>
      <c r="H5675" s="6" t="s">
        <v>11670</v>
      </c>
      <c r="I5675" s="6">
        <v>533.8125</v>
      </c>
      <c r="J5675" s="2">
        <f t="shared" si="88"/>
        <v>43747.887368067131</v>
      </c>
    </row>
    <row r="5676" spans="1:10" x14ac:dyDescent="0.25">
      <c r="A5676" s="7" t="s">
        <v>11671</v>
      </c>
      <c r="B5676" s="8">
        <v>418.75</v>
      </c>
      <c r="C5676" s="8">
        <v>20.478950000000001</v>
      </c>
      <c r="D5676" s="8">
        <v>79</v>
      </c>
      <c r="E5676" s="8">
        <v>0</v>
      </c>
      <c r="F5676" s="8">
        <v>0</v>
      </c>
      <c r="G5676" s="8">
        <v>14</v>
      </c>
      <c r="H5676" s="8" t="s">
        <v>11672</v>
      </c>
      <c r="I5676" s="8">
        <v>534.75</v>
      </c>
      <c r="J5676" s="3">
        <f t="shared" si="88"/>
        <v>43747.88744608796</v>
      </c>
    </row>
    <row r="5677" spans="1:10" x14ac:dyDescent="0.25">
      <c r="A5677" s="5" t="s">
        <v>11673</v>
      </c>
      <c r="B5677" s="6">
        <v>421.875</v>
      </c>
      <c r="C5677" s="6">
        <v>20.478950000000001</v>
      </c>
      <c r="D5677" s="6">
        <v>80</v>
      </c>
      <c r="E5677" s="6">
        <v>0</v>
      </c>
      <c r="F5677" s="6">
        <v>0</v>
      </c>
      <c r="G5677" s="6">
        <v>19</v>
      </c>
      <c r="H5677" s="6" t="s">
        <v>11674</v>
      </c>
      <c r="I5677" s="6">
        <v>535.5</v>
      </c>
      <c r="J5677" s="2">
        <f t="shared" si="88"/>
        <v>43747.887518194439</v>
      </c>
    </row>
    <row r="5678" spans="1:10" x14ac:dyDescent="0.25">
      <c r="A5678" s="7" t="s">
        <v>11675</v>
      </c>
      <c r="B5678" s="8">
        <v>421.875</v>
      </c>
      <c r="C5678" s="8">
        <v>20.478950000000001</v>
      </c>
      <c r="D5678" s="8">
        <v>80</v>
      </c>
      <c r="E5678" s="8">
        <v>0</v>
      </c>
      <c r="F5678" s="8">
        <v>0</v>
      </c>
      <c r="G5678" s="8">
        <v>12</v>
      </c>
      <c r="H5678" s="8" t="s">
        <v>11676</v>
      </c>
      <c r="I5678" s="8">
        <v>535.5</v>
      </c>
      <c r="J5678" s="3">
        <f t="shared" si="88"/>
        <v>43747.887589606478</v>
      </c>
    </row>
    <row r="5679" spans="1:10" x14ac:dyDescent="0.25">
      <c r="A5679" s="5" t="s">
        <v>11677</v>
      </c>
      <c r="B5679" s="6">
        <v>465.625</v>
      </c>
      <c r="C5679" s="6">
        <v>20.478950000000001</v>
      </c>
      <c r="D5679" s="6">
        <v>80</v>
      </c>
      <c r="E5679" s="6">
        <v>0</v>
      </c>
      <c r="F5679" s="6">
        <v>0</v>
      </c>
      <c r="G5679" s="6">
        <v>23</v>
      </c>
      <c r="H5679" s="6" t="s">
        <v>11678</v>
      </c>
      <c r="I5679" s="6">
        <v>549.5625</v>
      </c>
      <c r="J5679" s="2">
        <f t="shared" si="88"/>
        <v>43747.887672962963</v>
      </c>
    </row>
    <row r="5680" spans="1:10" x14ac:dyDescent="0.25">
      <c r="A5680" s="7" t="s">
        <v>11679</v>
      </c>
      <c r="B5680" s="8">
        <v>418.75</v>
      </c>
      <c r="C5680" s="8">
        <v>20.478950000000001</v>
      </c>
      <c r="D5680" s="8">
        <v>78</v>
      </c>
      <c r="E5680" s="8">
        <v>0</v>
      </c>
      <c r="F5680" s="8">
        <v>0</v>
      </c>
      <c r="G5680" s="8">
        <v>19</v>
      </c>
      <c r="H5680" s="8" t="s">
        <v>11680</v>
      </c>
      <c r="I5680" s="8">
        <v>534</v>
      </c>
      <c r="J5680" s="3">
        <f t="shared" si="88"/>
        <v>43747.887785706022</v>
      </c>
    </row>
    <row r="5681" spans="1:10" x14ac:dyDescent="0.25">
      <c r="A5681" s="5" t="s">
        <v>11681</v>
      </c>
      <c r="B5681" s="6">
        <v>418.75</v>
      </c>
      <c r="C5681" s="6">
        <v>20.478950000000001</v>
      </c>
      <c r="D5681" s="6">
        <v>78</v>
      </c>
      <c r="E5681" s="6">
        <v>0</v>
      </c>
      <c r="F5681" s="6">
        <v>0</v>
      </c>
      <c r="G5681" s="6">
        <v>17</v>
      </c>
      <c r="H5681" s="6" t="s">
        <v>11682</v>
      </c>
      <c r="I5681" s="6">
        <v>534</v>
      </c>
      <c r="J5681" s="2">
        <f t="shared" si="88"/>
        <v>43747.887863692122</v>
      </c>
    </row>
    <row r="5682" spans="1:10" x14ac:dyDescent="0.25">
      <c r="A5682" s="7" t="s">
        <v>11683</v>
      </c>
      <c r="B5682" s="8">
        <v>418.75</v>
      </c>
      <c r="C5682" s="8">
        <v>20.478950000000001</v>
      </c>
      <c r="D5682" s="8">
        <v>77</v>
      </c>
      <c r="E5682" s="8">
        <v>0</v>
      </c>
      <c r="F5682" s="8">
        <v>0</v>
      </c>
      <c r="G5682" s="8">
        <v>17</v>
      </c>
      <c r="H5682" s="8" t="s">
        <v>11684</v>
      </c>
      <c r="I5682" s="8">
        <v>534</v>
      </c>
      <c r="J5682" s="3">
        <f t="shared" si="88"/>
        <v>43747.887934965278</v>
      </c>
    </row>
    <row r="5683" spans="1:10" x14ac:dyDescent="0.25">
      <c r="A5683" s="5" t="s">
        <v>11685</v>
      </c>
      <c r="B5683" s="6">
        <v>418.75</v>
      </c>
      <c r="C5683" s="6">
        <v>20.478950000000001</v>
      </c>
      <c r="D5683" s="6">
        <v>78</v>
      </c>
      <c r="E5683" s="6">
        <v>0</v>
      </c>
      <c r="F5683" s="6">
        <v>0</v>
      </c>
      <c r="G5683" s="6">
        <v>10</v>
      </c>
      <c r="H5683" s="6" t="s">
        <v>11686</v>
      </c>
      <c r="I5683" s="6">
        <v>534</v>
      </c>
      <c r="J5683" s="2">
        <f t="shared" si="88"/>
        <v>43747.888007187496</v>
      </c>
    </row>
    <row r="5684" spans="1:10" x14ac:dyDescent="0.25">
      <c r="A5684" s="7" t="s">
        <v>11687</v>
      </c>
      <c r="B5684" s="8">
        <v>415.625</v>
      </c>
      <c r="C5684" s="8">
        <v>20.478950000000001</v>
      </c>
      <c r="D5684" s="8">
        <v>79</v>
      </c>
      <c r="E5684" s="8">
        <v>0</v>
      </c>
      <c r="F5684" s="8">
        <v>0</v>
      </c>
      <c r="G5684" s="8">
        <v>10</v>
      </c>
      <c r="H5684" s="8" t="s">
        <v>11688</v>
      </c>
      <c r="I5684" s="8">
        <v>533.8125</v>
      </c>
      <c r="J5684" s="3">
        <f t="shared" si="88"/>
        <v>43747.888078611104</v>
      </c>
    </row>
    <row r="5685" spans="1:10" x14ac:dyDescent="0.25">
      <c r="A5685" s="5" t="s">
        <v>11689</v>
      </c>
      <c r="B5685" s="6">
        <v>418.75</v>
      </c>
      <c r="C5685" s="6">
        <v>20.478950000000001</v>
      </c>
      <c r="D5685" s="6">
        <v>79</v>
      </c>
      <c r="E5685" s="6">
        <v>0</v>
      </c>
      <c r="F5685" s="6">
        <v>0</v>
      </c>
      <c r="G5685" s="6">
        <v>22</v>
      </c>
      <c r="H5685" s="6" t="s">
        <v>11690</v>
      </c>
      <c r="I5685" s="6">
        <v>534.75</v>
      </c>
      <c r="J5685" s="2">
        <f t="shared" si="88"/>
        <v>43747.888149722225</v>
      </c>
    </row>
    <row r="5686" spans="1:10" x14ac:dyDescent="0.25">
      <c r="A5686" s="7" t="s">
        <v>11691</v>
      </c>
      <c r="B5686" s="8">
        <v>418.75</v>
      </c>
      <c r="C5686" s="8">
        <v>20.478950000000001</v>
      </c>
      <c r="D5686" s="8">
        <v>78</v>
      </c>
      <c r="E5686" s="8">
        <v>0</v>
      </c>
      <c r="F5686" s="8">
        <v>0</v>
      </c>
      <c r="G5686" s="8">
        <v>20</v>
      </c>
      <c r="H5686" s="8" t="s">
        <v>11692</v>
      </c>
      <c r="I5686" s="8">
        <v>534.5625</v>
      </c>
      <c r="J5686" s="3">
        <f t="shared" si="88"/>
        <v>43747.888221851848</v>
      </c>
    </row>
    <row r="5687" spans="1:10" x14ac:dyDescent="0.25">
      <c r="A5687" s="5" t="s">
        <v>11693</v>
      </c>
      <c r="B5687" s="6">
        <v>421.875</v>
      </c>
      <c r="C5687" s="6">
        <v>20.478950000000001</v>
      </c>
      <c r="D5687" s="6">
        <v>78</v>
      </c>
      <c r="E5687" s="6">
        <v>0</v>
      </c>
      <c r="F5687" s="6">
        <v>0</v>
      </c>
      <c r="G5687" s="6">
        <v>19</v>
      </c>
      <c r="H5687" s="6" t="s">
        <v>11694</v>
      </c>
      <c r="I5687" s="6">
        <v>535.5</v>
      </c>
      <c r="J5687" s="2">
        <f t="shared" si="88"/>
        <v>43747.888293356482</v>
      </c>
    </row>
    <row r="5688" spans="1:10" x14ac:dyDescent="0.25">
      <c r="A5688" s="7" t="s">
        <v>11695</v>
      </c>
      <c r="B5688" s="8">
        <v>437.5</v>
      </c>
      <c r="C5688" s="8">
        <v>20.478950000000001</v>
      </c>
      <c r="D5688" s="8">
        <v>78</v>
      </c>
      <c r="E5688" s="8">
        <v>0</v>
      </c>
      <c r="F5688" s="8">
        <v>0</v>
      </c>
      <c r="G5688" s="8">
        <v>16</v>
      </c>
      <c r="H5688" s="8" t="s">
        <v>11696</v>
      </c>
      <c r="I5688" s="8">
        <v>540.375</v>
      </c>
      <c r="J5688" s="3">
        <f t="shared" si="88"/>
        <v>43747.888364594903</v>
      </c>
    </row>
    <row r="5689" spans="1:10" x14ac:dyDescent="0.25">
      <c r="A5689" s="5" t="s">
        <v>11697</v>
      </c>
      <c r="B5689" s="6">
        <v>418.75</v>
      </c>
      <c r="C5689" s="6">
        <v>20.478950000000001</v>
      </c>
      <c r="D5689" s="6">
        <v>81</v>
      </c>
      <c r="E5689" s="6">
        <v>0</v>
      </c>
      <c r="F5689" s="6">
        <v>0</v>
      </c>
      <c r="G5689" s="6">
        <v>15</v>
      </c>
      <c r="H5689" s="6" t="s">
        <v>11698</v>
      </c>
      <c r="I5689" s="6">
        <v>534</v>
      </c>
      <c r="J5689" s="2">
        <f t="shared" si="88"/>
        <v>43747.888435914349</v>
      </c>
    </row>
    <row r="5690" spans="1:10" x14ac:dyDescent="0.25">
      <c r="A5690" s="7" t="s">
        <v>11699</v>
      </c>
      <c r="B5690" s="8">
        <v>415.625</v>
      </c>
      <c r="C5690" s="8">
        <v>20.478950000000001</v>
      </c>
      <c r="D5690" s="8">
        <v>82</v>
      </c>
      <c r="E5690" s="8">
        <v>0</v>
      </c>
      <c r="F5690" s="8">
        <v>0</v>
      </c>
      <c r="G5690" s="8">
        <v>9</v>
      </c>
      <c r="H5690" s="8" t="s">
        <v>11700</v>
      </c>
      <c r="I5690" s="8">
        <v>533.8125</v>
      </c>
      <c r="J5690" s="3">
        <f t="shared" si="88"/>
        <v>43747.888508136573</v>
      </c>
    </row>
    <row r="5691" spans="1:10" x14ac:dyDescent="0.25">
      <c r="A5691" s="5" t="s">
        <v>11701</v>
      </c>
      <c r="B5691" s="6">
        <v>415.625</v>
      </c>
      <c r="C5691" s="6">
        <v>20.478950000000001</v>
      </c>
      <c r="D5691" s="6">
        <v>82</v>
      </c>
      <c r="E5691" s="6">
        <v>0</v>
      </c>
      <c r="F5691" s="6">
        <v>0</v>
      </c>
      <c r="G5691" s="6">
        <v>13</v>
      </c>
      <c r="H5691" s="6" t="s">
        <v>11702</v>
      </c>
      <c r="I5691" s="6">
        <v>533.8125</v>
      </c>
      <c r="J5691" s="2">
        <f t="shared" si="88"/>
        <v>43747.888579004626</v>
      </c>
    </row>
    <row r="5692" spans="1:10" x14ac:dyDescent="0.25">
      <c r="A5692" s="7" t="s">
        <v>11703</v>
      </c>
      <c r="B5692" s="8">
        <v>418.75</v>
      </c>
      <c r="C5692" s="8">
        <v>20.478950000000001</v>
      </c>
      <c r="D5692" s="8">
        <v>83</v>
      </c>
      <c r="E5692" s="8">
        <v>0</v>
      </c>
      <c r="F5692" s="8">
        <v>0</v>
      </c>
      <c r="G5692" s="8">
        <v>17</v>
      </c>
      <c r="H5692" s="8" t="s">
        <v>11704</v>
      </c>
      <c r="I5692" s="8">
        <v>534</v>
      </c>
      <c r="J5692" s="3">
        <f t="shared" si="88"/>
        <v>43747.888650706016</v>
      </c>
    </row>
    <row r="5693" spans="1:10" x14ac:dyDescent="0.25">
      <c r="A5693" s="5" t="s">
        <v>11705</v>
      </c>
      <c r="B5693" s="6">
        <v>412.5</v>
      </c>
      <c r="C5693" s="6">
        <v>20.478950000000001</v>
      </c>
      <c r="D5693" s="6">
        <v>83</v>
      </c>
      <c r="E5693" s="6">
        <v>0</v>
      </c>
      <c r="F5693" s="6">
        <v>0</v>
      </c>
      <c r="G5693" s="6">
        <v>19</v>
      </c>
      <c r="H5693" s="6" t="s">
        <v>11706</v>
      </c>
      <c r="I5693" s="6">
        <v>532.3125</v>
      </c>
      <c r="J5693" s="2">
        <f t="shared" si="88"/>
        <v>43747.888746087956</v>
      </c>
    </row>
    <row r="5694" spans="1:10" x14ac:dyDescent="0.25">
      <c r="A5694" s="7" t="s">
        <v>11707</v>
      </c>
      <c r="B5694" s="8">
        <v>412.5</v>
      </c>
      <c r="C5694" s="8">
        <v>20.478950000000001</v>
      </c>
      <c r="D5694" s="8">
        <v>83</v>
      </c>
      <c r="E5694" s="8">
        <v>0</v>
      </c>
      <c r="F5694" s="8">
        <v>0</v>
      </c>
      <c r="G5694" s="8">
        <v>17</v>
      </c>
      <c r="H5694" s="8" t="s">
        <v>11708</v>
      </c>
      <c r="I5694" s="8">
        <v>532.3125</v>
      </c>
      <c r="J5694" s="3">
        <f t="shared" si="88"/>
        <v>43747.888817499996</v>
      </c>
    </row>
    <row r="5695" spans="1:10" x14ac:dyDescent="0.25">
      <c r="A5695" s="5" t="s">
        <v>11709</v>
      </c>
      <c r="B5695" s="6">
        <v>412.5</v>
      </c>
      <c r="C5695" s="6">
        <v>20.478950000000001</v>
      </c>
      <c r="D5695" s="6">
        <v>82</v>
      </c>
      <c r="E5695" s="6">
        <v>0</v>
      </c>
      <c r="F5695" s="6">
        <v>0</v>
      </c>
      <c r="G5695" s="6">
        <v>18</v>
      </c>
      <c r="H5695" s="6" t="s">
        <v>11710</v>
      </c>
      <c r="I5695" s="6">
        <v>532.3125</v>
      </c>
      <c r="J5695" s="2">
        <f t="shared" si="88"/>
        <v>43747.888901655089</v>
      </c>
    </row>
    <row r="5696" spans="1:10" x14ac:dyDescent="0.25">
      <c r="A5696" s="7" t="s">
        <v>11711</v>
      </c>
      <c r="B5696" s="8">
        <v>412.5</v>
      </c>
      <c r="C5696" s="8">
        <v>20.478950000000001</v>
      </c>
      <c r="D5696" s="8">
        <v>81</v>
      </c>
      <c r="E5696" s="8">
        <v>0</v>
      </c>
      <c r="F5696" s="8">
        <v>0</v>
      </c>
      <c r="G5696" s="8">
        <v>10</v>
      </c>
      <c r="H5696" s="8" t="s">
        <v>11712</v>
      </c>
      <c r="I5696" s="8">
        <v>532.3125</v>
      </c>
      <c r="J5696" s="3">
        <f t="shared" si="88"/>
        <v>43747.888972928238</v>
      </c>
    </row>
    <row r="5697" spans="1:10" x14ac:dyDescent="0.25">
      <c r="A5697" s="5" t="s">
        <v>11713</v>
      </c>
      <c r="B5697" s="6">
        <v>415.625</v>
      </c>
      <c r="C5697" s="6">
        <v>20.478950000000001</v>
      </c>
      <c r="D5697" s="6">
        <v>80</v>
      </c>
      <c r="E5697" s="6">
        <v>0</v>
      </c>
      <c r="F5697" s="6">
        <v>0</v>
      </c>
      <c r="G5697" s="6">
        <v>14</v>
      </c>
      <c r="H5697" s="6" t="s">
        <v>11714</v>
      </c>
      <c r="I5697" s="6">
        <v>533.0625</v>
      </c>
      <c r="J5697" s="2">
        <f t="shared" si="88"/>
        <v>43747.889056261571</v>
      </c>
    </row>
    <row r="5698" spans="1:10" x14ac:dyDescent="0.25">
      <c r="A5698" s="7" t="s">
        <v>11715</v>
      </c>
      <c r="B5698" s="8">
        <v>415.625</v>
      </c>
      <c r="C5698" s="8">
        <v>20.478950000000001</v>
      </c>
      <c r="D5698" s="8">
        <v>80</v>
      </c>
      <c r="E5698" s="8">
        <v>0</v>
      </c>
      <c r="F5698" s="8">
        <v>0</v>
      </c>
      <c r="G5698" s="8">
        <v>18</v>
      </c>
      <c r="H5698" s="8" t="s">
        <v>11716</v>
      </c>
      <c r="I5698" s="8">
        <v>533.25</v>
      </c>
      <c r="J5698" s="3">
        <f t="shared" ref="J5698:J5761" si="89">(H5698/86400000)+25569+(7/24)</f>
        <v>43747.889127685186</v>
      </c>
    </row>
    <row r="5699" spans="1:10" x14ac:dyDescent="0.25">
      <c r="A5699" s="5" t="s">
        <v>11717</v>
      </c>
      <c r="B5699" s="6">
        <v>415.625</v>
      </c>
      <c r="C5699" s="6">
        <v>20.478950000000001</v>
      </c>
      <c r="D5699" s="6">
        <v>80</v>
      </c>
      <c r="E5699" s="6">
        <v>0</v>
      </c>
      <c r="F5699" s="6">
        <v>0</v>
      </c>
      <c r="G5699" s="6">
        <v>19</v>
      </c>
      <c r="H5699" s="6" t="s">
        <v>11718</v>
      </c>
      <c r="I5699" s="6">
        <v>533.0625</v>
      </c>
      <c r="J5699" s="2">
        <f t="shared" si="89"/>
        <v>43747.889199780089</v>
      </c>
    </row>
    <row r="5700" spans="1:10" x14ac:dyDescent="0.25">
      <c r="A5700" s="7" t="s">
        <v>11719</v>
      </c>
      <c r="B5700" s="8">
        <v>412.5</v>
      </c>
      <c r="C5700" s="8">
        <v>20.478950000000001</v>
      </c>
      <c r="D5700" s="8">
        <v>79</v>
      </c>
      <c r="E5700" s="8">
        <v>0</v>
      </c>
      <c r="F5700" s="8">
        <v>0</v>
      </c>
      <c r="G5700" s="8">
        <v>13</v>
      </c>
      <c r="H5700" s="8" t="s">
        <v>11720</v>
      </c>
      <c r="I5700" s="8">
        <v>532.3125</v>
      </c>
      <c r="J5700" s="3">
        <f t="shared" si="89"/>
        <v>43747.889270902779</v>
      </c>
    </row>
    <row r="5701" spans="1:10" x14ac:dyDescent="0.25">
      <c r="A5701" s="5" t="s">
        <v>11721</v>
      </c>
      <c r="B5701" s="6">
        <v>412.5</v>
      </c>
      <c r="C5701" s="6">
        <v>20.478950000000001</v>
      </c>
      <c r="D5701" s="6">
        <v>79</v>
      </c>
      <c r="E5701" s="6">
        <v>0</v>
      </c>
      <c r="F5701" s="6">
        <v>0</v>
      </c>
      <c r="G5701" s="6">
        <v>18</v>
      </c>
      <c r="H5701" s="6" t="s">
        <v>11722</v>
      </c>
      <c r="I5701" s="6">
        <v>532.3125</v>
      </c>
      <c r="J5701" s="2">
        <f t="shared" si="89"/>
        <v>43747.889343124996</v>
      </c>
    </row>
    <row r="5702" spans="1:10" x14ac:dyDescent="0.25">
      <c r="A5702" s="7" t="s">
        <v>11723</v>
      </c>
      <c r="B5702" s="8">
        <v>409.375</v>
      </c>
      <c r="C5702" s="8">
        <v>20.478950000000001</v>
      </c>
      <c r="D5702" s="8">
        <v>78</v>
      </c>
      <c r="E5702" s="8">
        <v>0</v>
      </c>
      <c r="F5702" s="8">
        <v>0</v>
      </c>
      <c r="G5702" s="8">
        <v>15</v>
      </c>
      <c r="H5702" s="8" t="s">
        <v>11724</v>
      </c>
      <c r="I5702" s="8">
        <v>531.5625</v>
      </c>
      <c r="J5702" s="3">
        <f t="shared" si="89"/>
        <v>43747.889426458329</v>
      </c>
    </row>
    <row r="5703" spans="1:10" x14ac:dyDescent="0.25">
      <c r="A5703" s="5" t="s">
        <v>11725</v>
      </c>
      <c r="B5703" s="6">
        <v>406.25</v>
      </c>
      <c r="C5703" s="6">
        <v>20.478950000000001</v>
      </c>
      <c r="D5703" s="6">
        <v>78</v>
      </c>
      <c r="E5703" s="6">
        <v>0</v>
      </c>
      <c r="F5703" s="6">
        <v>0</v>
      </c>
      <c r="G5703" s="6">
        <v>16</v>
      </c>
      <c r="H5703" s="6" t="s">
        <v>11726</v>
      </c>
      <c r="I5703" s="6">
        <v>530.625</v>
      </c>
      <c r="J5703" s="2">
        <f t="shared" si="89"/>
        <v>43747.889497476848</v>
      </c>
    </row>
    <row r="5704" spans="1:10" x14ac:dyDescent="0.25">
      <c r="A5704" s="7" t="s">
        <v>11727</v>
      </c>
      <c r="B5704" s="8">
        <v>406.25</v>
      </c>
      <c r="C5704" s="8">
        <v>20.478950000000001</v>
      </c>
      <c r="D5704" s="8">
        <v>79</v>
      </c>
      <c r="E5704" s="8">
        <v>0</v>
      </c>
      <c r="F5704" s="8">
        <v>0</v>
      </c>
      <c r="G5704" s="8">
        <v>12</v>
      </c>
      <c r="H5704" s="8" t="s">
        <v>11728</v>
      </c>
      <c r="I5704" s="8">
        <v>530.8125</v>
      </c>
      <c r="J5704" s="3">
        <f t="shared" si="89"/>
        <v>43747.8895690625</v>
      </c>
    </row>
    <row r="5705" spans="1:10" x14ac:dyDescent="0.25">
      <c r="A5705" s="5" t="s">
        <v>11729</v>
      </c>
      <c r="B5705" s="6">
        <v>446.875</v>
      </c>
      <c r="C5705" s="6">
        <v>20.478950000000001</v>
      </c>
      <c r="D5705" s="6">
        <v>75</v>
      </c>
      <c r="E5705" s="6">
        <v>0</v>
      </c>
      <c r="F5705" s="6">
        <v>0</v>
      </c>
      <c r="G5705" s="6">
        <v>20</v>
      </c>
      <c r="H5705" s="6" t="s">
        <v>11730</v>
      </c>
      <c r="I5705" s="6">
        <v>543.5625</v>
      </c>
      <c r="J5705" s="2">
        <f t="shared" si="89"/>
        <v>43747.889641215275</v>
      </c>
    </row>
    <row r="5706" spans="1:10" x14ac:dyDescent="0.25">
      <c r="A5706" s="7" t="s">
        <v>11731</v>
      </c>
      <c r="B5706" s="8">
        <v>406.25</v>
      </c>
      <c r="C5706" s="8">
        <v>20.478950000000001</v>
      </c>
      <c r="D5706" s="8">
        <v>75</v>
      </c>
      <c r="E5706" s="8">
        <v>0</v>
      </c>
      <c r="F5706" s="8">
        <v>0</v>
      </c>
      <c r="G5706" s="8">
        <v>12</v>
      </c>
      <c r="H5706" s="8" t="s">
        <v>11732</v>
      </c>
      <c r="I5706" s="8">
        <v>530.625</v>
      </c>
      <c r="J5706" s="3">
        <f t="shared" si="89"/>
        <v>43747.889712638884</v>
      </c>
    </row>
    <row r="5707" spans="1:10" x14ac:dyDescent="0.25">
      <c r="A5707" s="5" t="s">
        <v>11733</v>
      </c>
      <c r="B5707" s="6">
        <v>409.375</v>
      </c>
      <c r="C5707" s="6">
        <v>20.478950000000001</v>
      </c>
      <c r="D5707" s="6">
        <v>76</v>
      </c>
      <c r="E5707" s="6">
        <v>0</v>
      </c>
      <c r="F5707" s="6">
        <v>0</v>
      </c>
      <c r="G5707" s="6">
        <v>17</v>
      </c>
      <c r="H5707" s="6" t="s">
        <v>11734</v>
      </c>
      <c r="I5707" s="6">
        <v>531.5625</v>
      </c>
      <c r="J5707" s="2">
        <f t="shared" si="89"/>
        <v>43747.889795844902</v>
      </c>
    </row>
    <row r="5708" spans="1:10" x14ac:dyDescent="0.25">
      <c r="A5708" s="7" t="s">
        <v>11735</v>
      </c>
      <c r="B5708" s="8">
        <v>409.375</v>
      </c>
      <c r="C5708" s="8">
        <v>20.478950000000001</v>
      </c>
      <c r="D5708" s="8">
        <v>77</v>
      </c>
      <c r="E5708" s="8">
        <v>0</v>
      </c>
      <c r="F5708" s="8">
        <v>0</v>
      </c>
      <c r="G5708" s="8">
        <v>15</v>
      </c>
      <c r="H5708" s="8" t="s">
        <v>11736</v>
      </c>
      <c r="I5708" s="8">
        <v>531.5625</v>
      </c>
      <c r="J5708" s="3">
        <f t="shared" si="89"/>
        <v>43747.889867199068</v>
      </c>
    </row>
    <row r="5709" spans="1:10" x14ac:dyDescent="0.25">
      <c r="A5709" s="5" t="s">
        <v>11737</v>
      </c>
      <c r="B5709" s="6">
        <v>425</v>
      </c>
      <c r="C5709" s="6">
        <v>20.478950000000001</v>
      </c>
      <c r="D5709" s="6">
        <v>80</v>
      </c>
      <c r="E5709" s="6">
        <v>0</v>
      </c>
      <c r="F5709" s="6">
        <v>0</v>
      </c>
      <c r="G5709" s="6">
        <v>17</v>
      </c>
      <c r="H5709" s="6" t="s">
        <v>11738</v>
      </c>
      <c r="I5709" s="6">
        <v>536.0625</v>
      </c>
      <c r="J5709" s="2">
        <f t="shared" si="89"/>
        <v>43747.889939421293</v>
      </c>
    </row>
    <row r="5710" spans="1:10" x14ac:dyDescent="0.25">
      <c r="A5710" s="7" t="s">
        <v>11739</v>
      </c>
      <c r="B5710" s="8">
        <v>412.5</v>
      </c>
      <c r="C5710" s="8">
        <v>20.478950000000001</v>
      </c>
      <c r="D5710" s="8">
        <v>78</v>
      </c>
      <c r="E5710" s="8">
        <v>0</v>
      </c>
      <c r="F5710" s="8">
        <v>0</v>
      </c>
      <c r="G5710" s="8">
        <v>10</v>
      </c>
      <c r="H5710" s="8" t="s">
        <v>11740</v>
      </c>
      <c r="I5710" s="8">
        <v>532.3125</v>
      </c>
      <c r="J5710" s="3">
        <f t="shared" si="89"/>
        <v>43747.890034861113</v>
      </c>
    </row>
    <row r="5711" spans="1:10" x14ac:dyDescent="0.25">
      <c r="A5711" s="5" t="s">
        <v>11741</v>
      </c>
      <c r="B5711" s="6">
        <v>412.5</v>
      </c>
      <c r="C5711" s="6">
        <v>20.478950000000001</v>
      </c>
      <c r="D5711" s="6">
        <v>78</v>
      </c>
      <c r="E5711" s="6">
        <v>0</v>
      </c>
      <c r="F5711" s="6">
        <v>0</v>
      </c>
      <c r="G5711" s="6">
        <v>15</v>
      </c>
      <c r="H5711" s="6" t="s">
        <v>11742</v>
      </c>
      <c r="I5711" s="6">
        <v>532.3125</v>
      </c>
      <c r="J5711" s="2">
        <f t="shared" si="89"/>
        <v>43747.890106145831</v>
      </c>
    </row>
    <row r="5712" spans="1:10" x14ac:dyDescent="0.25">
      <c r="A5712" s="7" t="s">
        <v>11743</v>
      </c>
      <c r="B5712" s="8">
        <v>415.625</v>
      </c>
      <c r="C5712" s="8">
        <v>20.478950000000001</v>
      </c>
      <c r="D5712" s="8">
        <v>81</v>
      </c>
      <c r="E5712" s="8">
        <v>0</v>
      </c>
      <c r="F5712" s="8">
        <v>0</v>
      </c>
      <c r="G5712" s="8">
        <v>16</v>
      </c>
      <c r="H5712" s="8" t="s">
        <v>11744</v>
      </c>
      <c r="I5712" s="8">
        <v>533.0625</v>
      </c>
      <c r="J5712" s="3">
        <f t="shared" si="89"/>
        <v>43747.890189444443</v>
      </c>
    </row>
    <row r="5713" spans="1:10" x14ac:dyDescent="0.25">
      <c r="A5713" s="5" t="s">
        <v>11745</v>
      </c>
      <c r="B5713" s="6">
        <v>412.5</v>
      </c>
      <c r="C5713" s="6">
        <v>20.478950000000001</v>
      </c>
      <c r="D5713" s="6">
        <v>80</v>
      </c>
      <c r="E5713" s="6">
        <v>0</v>
      </c>
      <c r="F5713" s="6">
        <v>0</v>
      </c>
      <c r="G5713" s="6">
        <v>22</v>
      </c>
      <c r="H5713" s="6" t="s">
        <v>11746</v>
      </c>
      <c r="I5713" s="6">
        <v>532.3125</v>
      </c>
      <c r="J5713" s="2">
        <f t="shared" si="89"/>
        <v>43747.890272777775</v>
      </c>
    </row>
    <row r="5714" spans="1:10" x14ac:dyDescent="0.25">
      <c r="A5714" s="7" t="s">
        <v>11747</v>
      </c>
      <c r="B5714" s="8">
        <v>431.25</v>
      </c>
      <c r="C5714" s="8">
        <v>20.478950000000001</v>
      </c>
      <c r="D5714" s="8">
        <v>82</v>
      </c>
      <c r="E5714" s="8">
        <v>0</v>
      </c>
      <c r="F5714" s="8">
        <v>0</v>
      </c>
      <c r="G5714" s="8">
        <v>15</v>
      </c>
      <c r="H5714" s="8" t="s">
        <v>11748</v>
      </c>
      <c r="I5714" s="8">
        <v>538.6875</v>
      </c>
      <c r="J5714" s="3">
        <f t="shared" si="89"/>
        <v>43747.890345081018</v>
      </c>
    </row>
    <row r="5715" spans="1:10" x14ac:dyDescent="0.25">
      <c r="A5715" s="5" t="s">
        <v>11749</v>
      </c>
      <c r="B5715" s="6">
        <v>412.5</v>
      </c>
      <c r="C5715" s="6">
        <v>20.478950000000001</v>
      </c>
      <c r="D5715" s="6">
        <v>81</v>
      </c>
      <c r="E5715" s="6">
        <v>0</v>
      </c>
      <c r="F5715" s="6">
        <v>0</v>
      </c>
      <c r="G5715" s="6">
        <v>13</v>
      </c>
      <c r="H5715" s="6" t="s">
        <v>11750</v>
      </c>
      <c r="I5715" s="6">
        <v>532.3125</v>
      </c>
      <c r="J5715" s="2">
        <f t="shared" si="89"/>
        <v>43747.890428333332</v>
      </c>
    </row>
    <row r="5716" spans="1:10" x14ac:dyDescent="0.25">
      <c r="A5716" s="7" t="s">
        <v>11751</v>
      </c>
      <c r="B5716" s="8">
        <v>412.5</v>
      </c>
      <c r="C5716" s="8">
        <v>20.478950000000001</v>
      </c>
      <c r="D5716" s="8">
        <v>80</v>
      </c>
      <c r="E5716" s="8">
        <v>0</v>
      </c>
      <c r="F5716" s="8">
        <v>0</v>
      </c>
      <c r="G5716" s="8">
        <v>11</v>
      </c>
      <c r="H5716" s="8" t="s">
        <v>11752</v>
      </c>
      <c r="I5716" s="8">
        <v>532.3125</v>
      </c>
      <c r="J5716" s="3">
        <f t="shared" si="89"/>
        <v>43747.890499247682</v>
      </c>
    </row>
    <row r="5717" spans="1:10" x14ac:dyDescent="0.25">
      <c r="A5717" s="5" t="s">
        <v>11753</v>
      </c>
      <c r="B5717" s="6">
        <v>412.5</v>
      </c>
      <c r="C5717" s="6">
        <v>20.478950000000001</v>
      </c>
      <c r="D5717" s="6">
        <v>80</v>
      </c>
      <c r="E5717" s="6">
        <v>0</v>
      </c>
      <c r="F5717" s="6">
        <v>0</v>
      </c>
      <c r="G5717" s="6">
        <v>23</v>
      </c>
      <c r="H5717" s="6" t="s">
        <v>11754</v>
      </c>
      <c r="I5717" s="6">
        <v>532.3125</v>
      </c>
      <c r="J5717" s="2">
        <f t="shared" si="89"/>
        <v>43747.890570937496</v>
      </c>
    </row>
    <row r="5718" spans="1:10" x14ac:dyDescent="0.25">
      <c r="A5718" s="7" t="s">
        <v>11755</v>
      </c>
      <c r="B5718" s="8">
        <v>412.5</v>
      </c>
      <c r="C5718" s="8">
        <v>20.478950000000001</v>
      </c>
      <c r="D5718" s="8">
        <v>79</v>
      </c>
      <c r="E5718" s="8">
        <v>0</v>
      </c>
      <c r="F5718" s="8">
        <v>0</v>
      </c>
      <c r="G5718" s="8">
        <v>13</v>
      </c>
      <c r="H5718" s="8" t="s">
        <v>11756</v>
      </c>
      <c r="I5718" s="8">
        <v>532.3125</v>
      </c>
      <c r="J5718" s="3">
        <f t="shared" si="89"/>
        <v>43747.890643125</v>
      </c>
    </row>
    <row r="5719" spans="1:10" x14ac:dyDescent="0.25">
      <c r="A5719" s="5" t="s">
        <v>11757</v>
      </c>
      <c r="B5719" s="6">
        <v>409.375</v>
      </c>
      <c r="C5719" s="6">
        <v>20.478950000000001</v>
      </c>
      <c r="D5719" s="6">
        <v>79</v>
      </c>
      <c r="E5719" s="6">
        <v>0</v>
      </c>
      <c r="F5719" s="6">
        <v>0</v>
      </c>
      <c r="G5719" s="6">
        <v>19</v>
      </c>
      <c r="H5719" s="6" t="s">
        <v>11758</v>
      </c>
      <c r="I5719" s="6">
        <v>531.5625</v>
      </c>
      <c r="J5719" s="2">
        <f t="shared" si="89"/>
        <v>43747.89071446759</v>
      </c>
    </row>
    <row r="5720" spans="1:10" x14ac:dyDescent="0.25">
      <c r="A5720" s="7" t="s">
        <v>11759</v>
      </c>
      <c r="B5720" s="8">
        <v>412.5</v>
      </c>
      <c r="C5720" s="8">
        <v>20.478950000000001</v>
      </c>
      <c r="D5720" s="8">
        <v>78</v>
      </c>
      <c r="E5720" s="8">
        <v>0</v>
      </c>
      <c r="F5720" s="8">
        <v>0</v>
      </c>
      <c r="G5720" s="8">
        <v>21</v>
      </c>
      <c r="H5720" s="8" t="s">
        <v>11760</v>
      </c>
      <c r="I5720" s="8">
        <v>532.3125</v>
      </c>
      <c r="J5720" s="3">
        <f t="shared" si="89"/>
        <v>43747.890794826388</v>
      </c>
    </row>
    <row r="5721" spans="1:10" x14ac:dyDescent="0.25">
      <c r="A5721" s="5" t="s">
        <v>11761</v>
      </c>
      <c r="B5721" s="6">
        <v>428.125</v>
      </c>
      <c r="C5721" s="6">
        <v>20.478950000000001</v>
      </c>
      <c r="D5721" s="6">
        <v>81</v>
      </c>
      <c r="E5721" s="6">
        <v>0</v>
      </c>
      <c r="F5721" s="6">
        <v>0</v>
      </c>
      <c r="G5721" s="6">
        <v>13</v>
      </c>
      <c r="H5721" s="6" t="s">
        <v>11762</v>
      </c>
      <c r="I5721" s="6">
        <v>537.9375</v>
      </c>
      <c r="J5721" s="2">
        <f t="shared" si="89"/>
        <v>43747.890869085641</v>
      </c>
    </row>
    <row r="5722" spans="1:10" x14ac:dyDescent="0.25">
      <c r="A5722" s="7" t="s">
        <v>11763</v>
      </c>
      <c r="B5722" s="8">
        <v>415.625</v>
      </c>
      <c r="C5722" s="8">
        <v>20.478950000000001</v>
      </c>
      <c r="D5722" s="8">
        <v>80</v>
      </c>
      <c r="E5722" s="8">
        <v>0</v>
      </c>
      <c r="F5722" s="8">
        <v>0</v>
      </c>
      <c r="G5722" s="8">
        <v>14</v>
      </c>
      <c r="H5722" s="8" t="s">
        <v>11764</v>
      </c>
      <c r="I5722" s="8">
        <v>533.0625</v>
      </c>
      <c r="J5722" s="3">
        <f t="shared" si="89"/>
        <v>43747.890941273145</v>
      </c>
    </row>
    <row r="5723" spans="1:10" x14ac:dyDescent="0.25">
      <c r="A5723" s="5" t="s">
        <v>11765</v>
      </c>
      <c r="B5723" s="6">
        <v>415.625</v>
      </c>
      <c r="C5723" s="6">
        <v>20.478950000000001</v>
      </c>
      <c r="D5723" s="6">
        <v>79</v>
      </c>
      <c r="E5723" s="6">
        <v>0</v>
      </c>
      <c r="F5723" s="6">
        <v>0</v>
      </c>
      <c r="G5723" s="6">
        <v>12</v>
      </c>
      <c r="H5723" s="6" t="s">
        <v>11766</v>
      </c>
      <c r="I5723" s="6">
        <v>533.0625</v>
      </c>
      <c r="J5723" s="2">
        <f t="shared" si="89"/>
        <v>43747.891012569446</v>
      </c>
    </row>
    <row r="5724" spans="1:10" x14ac:dyDescent="0.25">
      <c r="A5724" s="7" t="s">
        <v>11767</v>
      </c>
      <c r="B5724" s="8">
        <v>415.625</v>
      </c>
      <c r="C5724" s="8">
        <v>20.478950000000001</v>
      </c>
      <c r="D5724" s="8">
        <v>79</v>
      </c>
      <c r="E5724" s="8">
        <v>0</v>
      </c>
      <c r="F5724" s="8">
        <v>0</v>
      </c>
      <c r="G5724" s="8">
        <v>11</v>
      </c>
      <c r="H5724" s="8" t="s">
        <v>11768</v>
      </c>
      <c r="I5724" s="8">
        <v>533.0625</v>
      </c>
      <c r="J5724" s="3">
        <f t="shared" si="89"/>
        <v>43747.891083888891</v>
      </c>
    </row>
    <row r="5725" spans="1:10" x14ac:dyDescent="0.25">
      <c r="A5725" s="5" t="s">
        <v>11769</v>
      </c>
      <c r="B5725" s="6">
        <v>434.375</v>
      </c>
      <c r="C5725" s="6">
        <v>20.478950000000001</v>
      </c>
      <c r="D5725" s="6">
        <v>79</v>
      </c>
      <c r="E5725" s="6">
        <v>0</v>
      </c>
      <c r="F5725" s="6">
        <v>0</v>
      </c>
      <c r="G5725" s="6">
        <v>16</v>
      </c>
      <c r="H5725" s="6" t="s">
        <v>11770</v>
      </c>
      <c r="I5725" s="6">
        <v>539.0625</v>
      </c>
      <c r="J5725" s="2">
        <f t="shared" si="89"/>
        <v>43747.8911553125</v>
      </c>
    </row>
    <row r="5726" spans="1:10" x14ac:dyDescent="0.25">
      <c r="A5726" s="7" t="s">
        <v>11771</v>
      </c>
      <c r="B5726" s="8">
        <v>412.5</v>
      </c>
      <c r="C5726" s="8">
        <v>20.478950000000001</v>
      </c>
      <c r="D5726" s="8">
        <v>77</v>
      </c>
      <c r="E5726" s="8">
        <v>0</v>
      </c>
      <c r="F5726" s="8">
        <v>0</v>
      </c>
      <c r="G5726" s="8">
        <v>17</v>
      </c>
      <c r="H5726" s="8" t="s">
        <v>11772</v>
      </c>
      <c r="I5726" s="8">
        <v>532.3125</v>
      </c>
      <c r="J5726" s="3">
        <f t="shared" si="89"/>
        <v>43747.891227442124</v>
      </c>
    </row>
    <row r="5727" spans="1:10" x14ac:dyDescent="0.25">
      <c r="A5727" s="5" t="s">
        <v>11773</v>
      </c>
      <c r="B5727" s="6">
        <v>412.5</v>
      </c>
      <c r="C5727" s="6">
        <v>20.478950000000001</v>
      </c>
      <c r="D5727" s="6">
        <v>75</v>
      </c>
      <c r="E5727" s="6">
        <v>0</v>
      </c>
      <c r="F5727" s="6">
        <v>0</v>
      </c>
      <c r="G5727" s="6">
        <v>13</v>
      </c>
      <c r="H5727" s="6" t="s">
        <v>11774</v>
      </c>
      <c r="I5727" s="6">
        <v>532.3125</v>
      </c>
      <c r="J5727" s="2">
        <f t="shared" si="89"/>
        <v>43747.891298726849</v>
      </c>
    </row>
    <row r="5728" spans="1:10" x14ac:dyDescent="0.25">
      <c r="A5728" s="7" t="s">
        <v>11775</v>
      </c>
      <c r="B5728" s="8">
        <v>412.5</v>
      </c>
      <c r="C5728" s="8">
        <v>20.478950000000001</v>
      </c>
      <c r="D5728" s="8">
        <v>75</v>
      </c>
      <c r="E5728" s="8">
        <v>0</v>
      </c>
      <c r="F5728" s="8">
        <v>0</v>
      </c>
      <c r="G5728" s="8">
        <v>19</v>
      </c>
      <c r="H5728" s="8" t="s">
        <v>11776</v>
      </c>
      <c r="I5728" s="8">
        <v>532.3125</v>
      </c>
      <c r="J5728" s="3">
        <f t="shared" si="89"/>
        <v>43747.891369999998</v>
      </c>
    </row>
    <row r="5729" spans="1:10" x14ac:dyDescent="0.25">
      <c r="A5729" s="5" t="s">
        <v>11777</v>
      </c>
      <c r="B5729" s="6">
        <v>443.75</v>
      </c>
      <c r="C5729" s="6">
        <v>20.478950000000001</v>
      </c>
      <c r="D5729" s="6">
        <v>75</v>
      </c>
      <c r="E5729" s="6">
        <v>0</v>
      </c>
      <c r="F5729" s="6">
        <v>0</v>
      </c>
      <c r="G5729" s="6">
        <v>16</v>
      </c>
      <c r="H5729" s="6" t="s">
        <v>11778</v>
      </c>
      <c r="I5729" s="6">
        <v>542.4375</v>
      </c>
      <c r="J5729" s="2">
        <f t="shared" si="89"/>
        <v>43747.891454247678</v>
      </c>
    </row>
    <row r="5730" spans="1:10" x14ac:dyDescent="0.25">
      <c r="A5730" s="7" t="s">
        <v>11779</v>
      </c>
      <c r="B5730" s="8">
        <v>409.375</v>
      </c>
      <c r="C5730" s="8">
        <v>20.478950000000001</v>
      </c>
      <c r="D5730" s="8">
        <v>75</v>
      </c>
      <c r="E5730" s="8">
        <v>0</v>
      </c>
      <c r="F5730" s="8">
        <v>0</v>
      </c>
      <c r="G5730" s="8">
        <v>10</v>
      </c>
      <c r="H5730" s="8" t="s">
        <v>11780</v>
      </c>
      <c r="I5730" s="8">
        <v>531.5625</v>
      </c>
      <c r="J5730" s="3">
        <f t="shared" si="89"/>
        <v>43747.891537638883</v>
      </c>
    </row>
    <row r="5731" spans="1:10" x14ac:dyDescent="0.25">
      <c r="A5731" s="5" t="s">
        <v>11781</v>
      </c>
      <c r="B5731" s="6">
        <v>409.375</v>
      </c>
      <c r="C5731" s="6">
        <v>20.478950000000001</v>
      </c>
      <c r="D5731" s="6">
        <v>75</v>
      </c>
      <c r="E5731" s="6">
        <v>0</v>
      </c>
      <c r="F5731" s="6">
        <v>0</v>
      </c>
      <c r="G5731" s="6">
        <v>11</v>
      </c>
      <c r="H5731" s="6" t="s">
        <v>11782</v>
      </c>
      <c r="I5731" s="6">
        <v>531.375</v>
      </c>
      <c r="J5731" s="2">
        <f t="shared" si="89"/>
        <v>43747.891608969905</v>
      </c>
    </row>
    <row r="5732" spans="1:10" x14ac:dyDescent="0.25">
      <c r="A5732" s="7" t="s">
        <v>11783</v>
      </c>
      <c r="B5732" s="8">
        <v>428.125</v>
      </c>
      <c r="C5732" s="8">
        <v>20.478950000000001</v>
      </c>
      <c r="D5732" s="8">
        <v>75</v>
      </c>
      <c r="E5732" s="8">
        <v>0</v>
      </c>
      <c r="F5732" s="8">
        <v>0</v>
      </c>
      <c r="G5732" s="8">
        <v>15</v>
      </c>
      <c r="H5732" s="8" t="s">
        <v>11784</v>
      </c>
      <c r="I5732" s="8">
        <v>537.9375</v>
      </c>
      <c r="J5732" s="3">
        <f t="shared" si="89"/>
        <v>43747.891680219902</v>
      </c>
    </row>
    <row r="5733" spans="1:10" x14ac:dyDescent="0.25">
      <c r="A5733" s="5" t="s">
        <v>11785</v>
      </c>
      <c r="B5733" s="6">
        <v>412.5</v>
      </c>
      <c r="C5733" s="6">
        <v>20.478950000000001</v>
      </c>
      <c r="D5733" s="6">
        <v>75</v>
      </c>
      <c r="E5733" s="6">
        <v>0</v>
      </c>
      <c r="F5733" s="6">
        <v>0</v>
      </c>
      <c r="G5733" s="6">
        <v>11</v>
      </c>
      <c r="H5733" s="6" t="s">
        <v>11786</v>
      </c>
      <c r="I5733" s="6">
        <v>532.3125</v>
      </c>
      <c r="J5733" s="2">
        <f t="shared" si="89"/>
        <v>43747.891752418982</v>
      </c>
    </row>
    <row r="5734" spans="1:10" x14ac:dyDescent="0.25">
      <c r="A5734" s="7" t="s">
        <v>11787</v>
      </c>
      <c r="B5734" s="8">
        <v>409.375</v>
      </c>
      <c r="C5734" s="8">
        <v>20.478950000000001</v>
      </c>
      <c r="D5734" s="8">
        <v>76</v>
      </c>
      <c r="E5734" s="8">
        <v>0</v>
      </c>
      <c r="F5734" s="8">
        <v>0</v>
      </c>
      <c r="G5734" s="8">
        <v>13</v>
      </c>
      <c r="H5734" s="8" t="s">
        <v>11788</v>
      </c>
      <c r="I5734" s="8">
        <v>531.5625</v>
      </c>
      <c r="J5734" s="3">
        <f t="shared" si="89"/>
        <v>43747.891823495367</v>
      </c>
    </row>
    <row r="5735" spans="1:10" x14ac:dyDescent="0.25">
      <c r="A5735" s="5" t="s">
        <v>11789</v>
      </c>
      <c r="B5735" s="6">
        <v>409.375</v>
      </c>
      <c r="C5735" s="6">
        <v>20.478950000000001</v>
      </c>
      <c r="D5735" s="6">
        <v>76</v>
      </c>
      <c r="E5735" s="6">
        <v>0</v>
      </c>
      <c r="F5735" s="6">
        <v>0</v>
      </c>
      <c r="G5735" s="6">
        <v>21</v>
      </c>
      <c r="H5735" s="6" t="s">
        <v>11790</v>
      </c>
      <c r="I5735" s="6">
        <v>531.5625</v>
      </c>
      <c r="J5735" s="2">
        <f t="shared" si="89"/>
        <v>43747.891917395835</v>
      </c>
    </row>
    <row r="5736" spans="1:10" x14ac:dyDescent="0.25">
      <c r="A5736" s="7" t="s">
        <v>11791</v>
      </c>
      <c r="B5736" s="8">
        <v>409.375</v>
      </c>
      <c r="C5736" s="8">
        <v>20.478950000000001</v>
      </c>
      <c r="D5736" s="8">
        <v>75</v>
      </c>
      <c r="E5736" s="8">
        <v>0</v>
      </c>
      <c r="F5736" s="8">
        <v>0</v>
      </c>
      <c r="G5736" s="8">
        <v>29</v>
      </c>
      <c r="H5736" s="8" t="s">
        <v>11792</v>
      </c>
      <c r="I5736" s="8">
        <v>531.375</v>
      </c>
      <c r="J5736" s="3">
        <f t="shared" si="89"/>
        <v>43747.892014456018</v>
      </c>
    </row>
    <row r="5737" spans="1:10" x14ac:dyDescent="0.25">
      <c r="A5737" s="5" t="s">
        <v>11793</v>
      </c>
      <c r="B5737" s="6">
        <v>409.375</v>
      </c>
      <c r="C5737" s="6">
        <v>20.478950000000001</v>
      </c>
      <c r="D5737" s="6">
        <v>75</v>
      </c>
      <c r="E5737" s="6">
        <v>0</v>
      </c>
      <c r="F5737" s="6">
        <v>0</v>
      </c>
      <c r="G5737" s="6">
        <v>24</v>
      </c>
      <c r="H5737" s="6" t="s">
        <v>11794</v>
      </c>
      <c r="I5737" s="6">
        <v>531.5625</v>
      </c>
      <c r="J5737" s="2">
        <f t="shared" si="89"/>
        <v>43747.892118368058</v>
      </c>
    </row>
    <row r="5738" spans="1:10" x14ac:dyDescent="0.25">
      <c r="A5738" s="7" t="s">
        <v>11795</v>
      </c>
      <c r="B5738" s="8">
        <v>412.5</v>
      </c>
      <c r="C5738" s="8">
        <v>20.478950000000001</v>
      </c>
      <c r="D5738" s="8">
        <v>75</v>
      </c>
      <c r="E5738" s="8">
        <v>0</v>
      </c>
      <c r="F5738" s="8">
        <v>0</v>
      </c>
      <c r="G5738" s="8">
        <v>23</v>
      </c>
      <c r="H5738" s="8" t="s">
        <v>11796</v>
      </c>
      <c r="I5738" s="8">
        <v>532.3125</v>
      </c>
      <c r="J5738" s="3">
        <f t="shared" si="89"/>
        <v>43747.892204189811</v>
      </c>
    </row>
    <row r="5739" spans="1:10" x14ac:dyDescent="0.25">
      <c r="A5739" s="5" t="s">
        <v>11797</v>
      </c>
      <c r="B5739" s="6">
        <v>412.5</v>
      </c>
      <c r="C5739" s="6">
        <v>20.478950000000001</v>
      </c>
      <c r="D5739" s="6">
        <v>75</v>
      </c>
      <c r="E5739" s="6">
        <v>0</v>
      </c>
      <c r="F5739" s="6">
        <v>0</v>
      </c>
      <c r="G5739" s="6">
        <v>20</v>
      </c>
      <c r="H5739" s="6" t="s">
        <v>11798</v>
      </c>
      <c r="I5739" s="6">
        <v>532.3125</v>
      </c>
      <c r="J5739" s="2">
        <f t="shared" si="89"/>
        <v>43747.892288043979</v>
      </c>
    </row>
    <row r="5740" spans="1:10" x14ac:dyDescent="0.25">
      <c r="A5740" s="7" t="s">
        <v>11799</v>
      </c>
      <c r="B5740" s="8">
        <v>412.5</v>
      </c>
      <c r="C5740" s="8">
        <v>20.478950000000001</v>
      </c>
      <c r="D5740" s="8">
        <v>77</v>
      </c>
      <c r="E5740" s="8">
        <v>0</v>
      </c>
      <c r="F5740" s="8">
        <v>0</v>
      </c>
      <c r="G5740" s="8">
        <v>19</v>
      </c>
      <c r="H5740" s="8" t="s">
        <v>11800</v>
      </c>
      <c r="I5740" s="8">
        <v>532.3125</v>
      </c>
      <c r="J5740" s="3">
        <f t="shared" si="89"/>
        <v>43747.892359930549</v>
      </c>
    </row>
    <row r="5741" spans="1:10" x14ac:dyDescent="0.25">
      <c r="A5741" s="5" t="s">
        <v>11801</v>
      </c>
      <c r="B5741" s="6">
        <v>412.5</v>
      </c>
      <c r="C5741" s="6">
        <v>20.478950000000001</v>
      </c>
      <c r="D5741" s="6">
        <v>78</v>
      </c>
      <c r="E5741" s="6">
        <v>0</v>
      </c>
      <c r="F5741" s="6">
        <v>0</v>
      </c>
      <c r="G5741" s="6">
        <v>20</v>
      </c>
      <c r="H5741" s="6" t="s">
        <v>11802</v>
      </c>
      <c r="I5741" s="6">
        <v>532.3125</v>
      </c>
      <c r="J5741" s="2">
        <f t="shared" si="89"/>
        <v>43747.892432037035</v>
      </c>
    </row>
    <row r="5742" spans="1:10" x14ac:dyDescent="0.25">
      <c r="A5742" s="7" t="s">
        <v>11803</v>
      </c>
      <c r="B5742" s="8">
        <v>409.375</v>
      </c>
      <c r="C5742" s="8">
        <v>20.478950000000001</v>
      </c>
      <c r="D5742" s="8">
        <v>77</v>
      </c>
      <c r="E5742" s="8">
        <v>0</v>
      </c>
      <c r="F5742" s="8">
        <v>0</v>
      </c>
      <c r="G5742" s="8">
        <v>18</v>
      </c>
      <c r="H5742" s="8" t="s">
        <v>11804</v>
      </c>
      <c r="I5742" s="8">
        <v>531.5625</v>
      </c>
      <c r="J5742" s="3">
        <f t="shared" si="89"/>
        <v>43747.892515405088</v>
      </c>
    </row>
    <row r="5743" spans="1:10" x14ac:dyDescent="0.25">
      <c r="A5743" s="5" t="s">
        <v>11805</v>
      </c>
      <c r="B5743" s="6">
        <v>409.375</v>
      </c>
      <c r="C5743" s="6">
        <v>20.478950000000001</v>
      </c>
      <c r="D5743" s="6">
        <v>77</v>
      </c>
      <c r="E5743" s="6">
        <v>0</v>
      </c>
      <c r="F5743" s="6">
        <v>0</v>
      </c>
      <c r="G5743" s="6">
        <v>14</v>
      </c>
      <c r="H5743" s="6" t="s">
        <v>11806</v>
      </c>
      <c r="I5743" s="6">
        <v>531.5625</v>
      </c>
      <c r="J5743" s="2">
        <f t="shared" si="89"/>
        <v>43747.892586712966</v>
      </c>
    </row>
    <row r="5744" spans="1:10" x14ac:dyDescent="0.25">
      <c r="A5744" s="7" t="s">
        <v>11807</v>
      </c>
      <c r="B5744" s="8">
        <v>409.375</v>
      </c>
      <c r="C5744" s="8">
        <v>20.478950000000001</v>
      </c>
      <c r="D5744" s="8">
        <v>76</v>
      </c>
      <c r="E5744" s="8">
        <v>0</v>
      </c>
      <c r="F5744" s="8">
        <v>0</v>
      </c>
      <c r="G5744" s="8">
        <v>13</v>
      </c>
      <c r="H5744" s="8" t="s">
        <v>11808</v>
      </c>
      <c r="I5744" s="8">
        <v>531.5625</v>
      </c>
      <c r="J5744" s="3">
        <f t="shared" si="89"/>
        <v>43747.892658657402</v>
      </c>
    </row>
    <row r="5745" spans="1:10" x14ac:dyDescent="0.25">
      <c r="A5745" s="5" t="s">
        <v>11809</v>
      </c>
      <c r="B5745" s="6">
        <v>409.375</v>
      </c>
      <c r="C5745" s="6">
        <v>20.478950000000001</v>
      </c>
      <c r="D5745" s="6">
        <v>76</v>
      </c>
      <c r="E5745" s="6">
        <v>0</v>
      </c>
      <c r="F5745" s="6">
        <v>0</v>
      </c>
      <c r="G5745" s="6">
        <v>14</v>
      </c>
      <c r="H5745" s="6" t="s">
        <v>11810</v>
      </c>
      <c r="I5745" s="6">
        <v>531.5625</v>
      </c>
      <c r="J5745" s="2">
        <f t="shared" si="89"/>
        <v>43747.892730243053</v>
      </c>
    </row>
    <row r="5746" spans="1:10" x14ac:dyDescent="0.25">
      <c r="A5746" s="7" t="s">
        <v>11811</v>
      </c>
      <c r="B5746" s="8">
        <v>409.375</v>
      </c>
      <c r="C5746" s="8">
        <v>20.478950000000001</v>
      </c>
      <c r="D5746" s="8">
        <v>77</v>
      </c>
      <c r="E5746" s="8">
        <v>0</v>
      </c>
      <c r="F5746" s="8">
        <v>0</v>
      </c>
      <c r="G5746" s="8">
        <v>28</v>
      </c>
      <c r="H5746" s="8" t="s">
        <v>11812</v>
      </c>
      <c r="I5746" s="8">
        <v>531.5625</v>
      </c>
      <c r="J5746" s="3">
        <f t="shared" si="89"/>
        <v>43747.892814629631</v>
      </c>
    </row>
    <row r="5747" spans="1:10" x14ac:dyDescent="0.25">
      <c r="A5747" s="5" t="s">
        <v>11813</v>
      </c>
      <c r="B5747" s="6">
        <v>409.375</v>
      </c>
      <c r="C5747" s="6">
        <v>20.478950000000001</v>
      </c>
      <c r="D5747" s="6">
        <v>78</v>
      </c>
      <c r="E5747" s="6">
        <v>0</v>
      </c>
      <c r="F5747" s="6">
        <v>0</v>
      </c>
      <c r="G5747" s="6">
        <v>26</v>
      </c>
      <c r="H5747" s="6" t="s">
        <v>11814</v>
      </c>
      <c r="I5747" s="6">
        <v>531.5625</v>
      </c>
      <c r="J5747" s="2">
        <f t="shared" si="89"/>
        <v>43747.892896863421</v>
      </c>
    </row>
    <row r="5748" spans="1:10" x14ac:dyDescent="0.25">
      <c r="A5748" s="7" t="s">
        <v>11815</v>
      </c>
      <c r="B5748" s="8">
        <v>412.5</v>
      </c>
      <c r="C5748" s="8">
        <v>20.478950000000001</v>
      </c>
      <c r="D5748" s="8">
        <v>79</v>
      </c>
      <c r="E5748" s="8">
        <v>0</v>
      </c>
      <c r="F5748" s="8">
        <v>0</v>
      </c>
      <c r="G5748" s="8">
        <v>19</v>
      </c>
      <c r="H5748" s="8" t="s">
        <v>11816</v>
      </c>
      <c r="I5748" s="8">
        <v>532.3125</v>
      </c>
      <c r="J5748" s="3">
        <f t="shared" si="89"/>
        <v>43747.892968217588</v>
      </c>
    </row>
    <row r="5749" spans="1:10" x14ac:dyDescent="0.25">
      <c r="A5749" s="5" t="s">
        <v>11817</v>
      </c>
      <c r="B5749" s="6">
        <v>412.5</v>
      </c>
      <c r="C5749" s="6">
        <v>20.478950000000001</v>
      </c>
      <c r="D5749" s="6">
        <v>81</v>
      </c>
      <c r="E5749" s="6">
        <v>0</v>
      </c>
      <c r="F5749" s="6">
        <v>0</v>
      </c>
      <c r="G5749" s="6">
        <v>13</v>
      </c>
      <c r="H5749" s="6" t="s">
        <v>11818</v>
      </c>
      <c r="I5749" s="6">
        <v>532.3125</v>
      </c>
      <c r="J5749" s="2">
        <f t="shared" si="89"/>
        <v>43747.893040358795</v>
      </c>
    </row>
    <row r="5750" spans="1:10" x14ac:dyDescent="0.25">
      <c r="A5750" s="7" t="s">
        <v>11819</v>
      </c>
      <c r="B5750" s="8">
        <v>412.5</v>
      </c>
      <c r="C5750" s="8">
        <v>20.478950000000001</v>
      </c>
      <c r="D5750" s="8">
        <v>81</v>
      </c>
      <c r="E5750" s="8">
        <v>0</v>
      </c>
      <c r="F5750" s="8">
        <v>0</v>
      </c>
      <c r="G5750" s="8">
        <v>19</v>
      </c>
      <c r="H5750" s="8" t="s">
        <v>11820</v>
      </c>
      <c r="I5750" s="8">
        <v>532.3125</v>
      </c>
      <c r="J5750" s="3">
        <f t="shared" si="89"/>
        <v>43747.893111747682</v>
      </c>
    </row>
    <row r="5751" spans="1:10" x14ac:dyDescent="0.25">
      <c r="A5751" s="5" t="s">
        <v>11821</v>
      </c>
      <c r="B5751" s="6">
        <v>415.625</v>
      </c>
      <c r="C5751" s="6">
        <v>20.478950000000001</v>
      </c>
      <c r="D5751" s="6">
        <v>78</v>
      </c>
      <c r="E5751" s="6">
        <v>0</v>
      </c>
      <c r="F5751" s="6">
        <v>0</v>
      </c>
      <c r="G5751" s="6">
        <v>18</v>
      </c>
      <c r="H5751" s="6" t="s">
        <v>11822</v>
      </c>
      <c r="I5751" s="6">
        <v>533.0625</v>
      </c>
      <c r="J5751" s="2">
        <f t="shared" si="89"/>
        <v>43747.893182962966</v>
      </c>
    </row>
    <row r="5752" spans="1:10" x14ac:dyDescent="0.25">
      <c r="A5752" s="7" t="s">
        <v>11823</v>
      </c>
      <c r="B5752" s="8">
        <v>415.625</v>
      </c>
      <c r="C5752" s="8">
        <v>20.478950000000001</v>
      </c>
      <c r="D5752" s="8">
        <v>78</v>
      </c>
      <c r="E5752" s="8">
        <v>0</v>
      </c>
      <c r="F5752" s="8">
        <v>0</v>
      </c>
      <c r="G5752" s="8">
        <v>19</v>
      </c>
      <c r="H5752" s="8" t="s">
        <v>11824</v>
      </c>
      <c r="I5752" s="8">
        <v>533.0625</v>
      </c>
      <c r="J5752" s="3">
        <f t="shared" si="89"/>
        <v>43747.893255185183</v>
      </c>
    </row>
    <row r="5753" spans="1:10" x14ac:dyDescent="0.25">
      <c r="A5753" s="5" t="s">
        <v>11825</v>
      </c>
      <c r="B5753" s="6">
        <v>412.5</v>
      </c>
      <c r="C5753" s="6">
        <v>20.478950000000001</v>
      </c>
      <c r="D5753" s="6">
        <v>78</v>
      </c>
      <c r="E5753" s="6">
        <v>0</v>
      </c>
      <c r="F5753" s="6">
        <v>0</v>
      </c>
      <c r="G5753" s="6">
        <v>20</v>
      </c>
      <c r="H5753" s="6" t="s">
        <v>11826</v>
      </c>
      <c r="I5753" s="6">
        <v>532.3125</v>
      </c>
      <c r="J5753" s="2">
        <f t="shared" si="89"/>
        <v>43747.893326469908</v>
      </c>
    </row>
    <row r="5754" spans="1:10" x14ac:dyDescent="0.25">
      <c r="A5754" s="7" t="s">
        <v>11827</v>
      </c>
      <c r="B5754" s="8">
        <v>412.5</v>
      </c>
      <c r="C5754" s="8">
        <v>20.478950000000001</v>
      </c>
      <c r="D5754" s="8">
        <v>81</v>
      </c>
      <c r="E5754" s="8">
        <v>0</v>
      </c>
      <c r="F5754" s="8">
        <v>0</v>
      </c>
      <c r="G5754" s="8">
        <v>13</v>
      </c>
      <c r="H5754" s="8" t="s">
        <v>11828</v>
      </c>
      <c r="I5754" s="8">
        <v>532.3125</v>
      </c>
      <c r="J5754" s="3">
        <f t="shared" si="89"/>
        <v>43747.893421840279</v>
      </c>
    </row>
    <row r="5755" spans="1:10" x14ac:dyDescent="0.25">
      <c r="A5755" s="5" t="s">
        <v>11829</v>
      </c>
      <c r="B5755" s="6">
        <v>412.5</v>
      </c>
      <c r="C5755" s="6">
        <v>20.478950000000001</v>
      </c>
      <c r="D5755" s="6">
        <v>78</v>
      </c>
      <c r="E5755" s="6">
        <v>0</v>
      </c>
      <c r="F5755" s="6">
        <v>0</v>
      </c>
      <c r="G5755" s="6">
        <v>14</v>
      </c>
      <c r="H5755" s="6" t="s">
        <v>11830</v>
      </c>
      <c r="I5755" s="6">
        <v>532.3125</v>
      </c>
      <c r="J5755" s="2">
        <f t="shared" si="89"/>
        <v>43747.893493136573</v>
      </c>
    </row>
    <row r="5756" spans="1:10" x14ac:dyDescent="0.25">
      <c r="A5756" s="7" t="s">
        <v>11831</v>
      </c>
      <c r="B5756" s="8">
        <v>409.375</v>
      </c>
      <c r="C5756" s="8">
        <v>20.478950000000001</v>
      </c>
      <c r="D5756" s="8">
        <v>78</v>
      </c>
      <c r="E5756" s="8">
        <v>0</v>
      </c>
      <c r="F5756" s="8">
        <v>0</v>
      </c>
      <c r="G5756" s="8">
        <v>15</v>
      </c>
      <c r="H5756" s="8" t="s">
        <v>11832</v>
      </c>
      <c r="I5756" s="8">
        <v>531.5625</v>
      </c>
      <c r="J5756" s="3">
        <f t="shared" si="89"/>
        <v>43747.893564583334</v>
      </c>
    </row>
    <row r="5757" spans="1:10" x14ac:dyDescent="0.25">
      <c r="A5757" s="5" t="s">
        <v>11833</v>
      </c>
      <c r="B5757" s="6">
        <v>409.375</v>
      </c>
      <c r="C5757" s="6">
        <v>20.478950000000001</v>
      </c>
      <c r="D5757" s="6">
        <v>78</v>
      </c>
      <c r="E5757" s="6">
        <v>0</v>
      </c>
      <c r="F5757" s="6">
        <v>0</v>
      </c>
      <c r="G5757" s="6">
        <v>19</v>
      </c>
      <c r="H5757" s="6" t="s">
        <v>11834</v>
      </c>
      <c r="I5757" s="6">
        <v>531.5625</v>
      </c>
      <c r="J5757" s="2">
        <f t="shared" si="89"/>
        <v>43747.893637534718</v>
      </c>
    </row>
    <row r="5758" spans="1:10" x14ac:dyDescent="0.25">
      <c r="A5758" s="7" t="s">
        <v>11835</v>
      </c>
      <c r="B5758" s="8">
        <v>409.375</v>
      </c>
      <c r="C5758" s="8">
        <v>20.478950000000001</v>
      </c>
      <c r="D5758" s="8">
        <v>78</v>
      </c>
      <c r="E5758" s="8">
        <v>0</v>
      </c>
      <c r="F5758" s="8">
        <v>0</v>
      </c>
      <c r="G5758" s="8">
        <v>22</v>
      </c>
      <c r="H5758" s="8" t="s">
        <v>11836</v>
      </c>
      <c r="I5758" s="8">
        <v>531.375</v>
      </c>
      <c r="J5758" s="3">
        <f t="shared" si="89"/>
        <v>43747.893719756939</v>
      </c>
    </row>
    <row r="5759" spans="1:10" x14ac:dyDescent="0.25">
      <c r="A5759" s="5" t="s">
        <v>11837</v>
      </c>
      <c r="B5759" s="6">
        <v>406.25</v>
      </c>
      <c r="C5759" s="6">
        <v>20.478950000000001</v>
      </c>
      <c r="D5759" s="6">
        <v>78</v>
      </c>
      <c r="E5759" s="6">
        <v>0</v>
      </c>
      <c r="F5759" s="6">
        <v>0</v>
      </c>
      <c r="G5759" s="6">
        <v>19</v>
      </c>
      <c r="H5759" s="6" t="s">
        <v>11838</v>
      </c>
      <c r="I5759" s="6">
        <v>530.625</v>
      </c>
      <c r="J5759" s="2">
        <f t="shared" si="89"/>
        <v>43747.893791226852</v>
      </c>
    </row>
    <row r="5760" spans="1:10" x14ac:dyDescent="0.25">
      <c r="A5760" s="7" t="s">
        <v>11839</v>
      </c>
      <c r="B5760" s="8">
        <v>406.25</v>
      </c>
      <c r="C5760" s="8">
        <v>20.478950000000001</v>
      </c>
      <c r="D5760" s="8">
        <v>79</v>
      </c>
      <c r="E5760" s="8">
        <v>0</v>
      </c>
      <c r="F5760" s="8">
        <v>0</v>
      </c>
      <c r="G5760" s="8">
        <v>19</v>
      </c>
      <c r="H5760" s="8" t="s">
        <v>11840</v>
      </c>
      <c r="I5760" s="8">
        <v>530.625</v>
      </c>
      <c r="J5760" s="3">
        <f t="shared" si="89"/>
        <v>43747.893874629626</v>
      </c>
    </row>
    <row r="5761" spans="1:10" x14ac:dyDescent="0.25">
      <c r="A5761" s="5" t="s">
        <v>11841</v>
      </c>
      <c r="B5761" s="6">
        <v>431.25</v>
      </c>
      <c r="C5761" s="6">
        <v>20.478950000000001</v>
      </c>
      <c r="D5761" s="6">
        <v>79</v>
      </c>
      <c r="E5761" s="6">
        <v>0</v>
      </c>
      <c r="F5761" s="6">
        <v>0</v>
      </c>
      <c r="G5761" s="6">
        <v>22</v>
      </c>
      <c r="H5761" s="6" t="s">
        <v>11842</v>
      </c>
      <c r="I5761" s="6">
        <v>538.875</v>
      </c>
      <c r="J5761" s="2">
        <f t="shared" si="89"/>
        <v>43747.893946782402</v>
      </c>
    </row>
    <row r="5762" spans="1:10" x14ac:dyDescent="0.25">
      <c r="A5762" s="7" t="s">
        <v>11843</v>
      </c>
      <c r="B5762" s="8">
        <v>406.25</v>
      </c>
      <c r="C5762" s="8">
        <v>20.478950000000001</v>
      </c>
      <c r="D5762" s="8">
        <v>79</v>
      </c>
      <c r="E5762" s="8">
        <v>0</v>
      </c>
      <c r="F5762" s="8">
        <v>0</v>
      </c>
      <c r="G5762" s="8">
        <v>25</v>
      </c>
      <c r="H5762" s="8" t="s">
        <v>11844</v>
      </c>
      <c r="I5762" s="8">
        <v>530.8125</v>
      </c>
      <c r="J5762" s="3">
        <f t="shared" ref="J5762:J5825" si="90">(H5762/86400000)+25569+(7/24)</f>
        <v>43747.894018136569</v>
      </c>
    </row>
    <row r="5763" spans="1:10" x14ac:dyDescent="0.25">
      <c r="A5763" s="5" t="s">
        <v>11845</v>
      </c>
      <c r="B5763" s="6">
        <v>409.375</v>
      </c>
      <c r="C5763" s="6">
        <v>20.478950000000001</v>
      </c>
      <c r="D5763" s="6">
        <v>79</v>
      </c>
      <c r="E5763" s="6">
        <v>0</v>
      </c>
      <c r="F5763" s="6">
        <v>0</v>
      </c>
      <c r="G5763" s="6">
        <v>23</v>
      </c>
      <c r="H5763" s="6" t="s">
        <v>11846</v>
      </c>
      <c r="I5763" s="6">
        <v>531.5625</v>
      </c>
      <c r="J5763" s="2">
        <f t="shared" si="90"/>
        <v>43747.894089456015</v>
      </c>
    </row>
    <row r="5764" spans="1:10" x14ac:dyDescent="0.25">
      <c r="A5764" s="7" t="s">
        <v>11847</v>
      </c>
      <c r="B5764" s="8">
        <v>409.375</v>
      </c>
      <c r="C5764" s="8">
        <v>20.478950000000001</v>
      </c>
      <c r="D5764" s="8">
        <v>79</v>
      </c>
      <c r="E5764" s="8">
        <v>0</v>
      </c>
      <c r="F5764" s="8">
        <v>0</v>
      </c>
      <c r="G5764" s="8">
        <v>23</v>
      </c>
      <c r="H5764" s="8" t="s">
        <v>11848</v>
      </c>
      <c r="I5764" s="8">
        <v>531.5625</v>
      </c>
      <c r="J5764" s="3">
        <f t="shared" si="90"/>
        <v>43747.894160856478</v>
      </c>
    </row>
    <row r="5765" spans="1:10" x14ac:dyDescent="0.25">
      <c r="A5765" s="5" t="s">
        <v>11849</v>
      </c>
      <c r="B5765" s="6">
        <v>412.5</v>
      </c>
      <c r="C5765" s="6">
        <v>20.478950000000001</v>
      </c>
      <c r="D5765" s="6">
        <v>78</v>
      </c>
      <c r="E5765" s="6">
        <v>0</v>
      </c>
      <c r="F5765" s="6">
        <v>0</v>
      </c>
      <c r="G5765" s="6">
        <v>21</v>
      </c>
      <c r="H5765" s="6" t="s">
        <v>11850</v>
      </c>
      <c r="I5765" s="6">
        <v>532.125</v>
      </c>
      <c r="J5765" s="2">
        <f t="shared" si="90"/>
        <v>43747.89423878472</v>
      </c>
    </row>
    <row r="5766" spans="1:10" x14ac:dyDescent="0.25">
      <c r="A5766" s="7" t="s">
        <v>11851</v>
      </c>
      <c r="B5766" s="8">
        <v>412.5</v>
      </c>
      <c r="C5766" s="8">
        <v>20.478950000000001</v>
      </c>
      <c r="D5766" s="8">
        <v>77</v>
      </c>
      <c r="E5766" s="8">
        <v>0</v>
      </c>
      <c r="F5766" s="8">
        <v>0</v>
      </c>
      <c r="G5766" s="8">
        <v>20</v>
      </c>
      <c r="H5766" s="8" t="s">
        <v>11852</v>
      </c>
      <c r="I5766" s="8">
        <v>532.3125</v>
      </c>
      <c r="J5766" s="3">
        <f t="shared" si="90"/>
        <v>43747.894316226848</v>
      </c>
    </row>
    <row r="5767" spans="1:10" x14ac:dyDescent="0.25">
      <c r="A5767" s="5" t="s">
        <v>11853</v>
      </c>
      <c r="B5767" s="6">
        <v>412.5</v>
      </c>
      <c r="C5767" s="6">
        <v>20.478950000000001</v>
      </c>
      <c r="D5767" s="6">
        <v>78</v>
      </c>
      <c r="E5767" s="6">
        <v>0</v>
      </c>
      <c r="F5767" s="6">
        <v>0</v>
      </c>
      <c r="G5767" s="6">
        <v>11</v>
      </c>
      <c r="H5767" s="6" t="s">
        <v>11854</v>
      </c>
      <c r="I5767" s="6">
        <v>532.3125</v>
      </c>
      <c r="J5767" s="2">
        <f t="shared" si="90"/>
        <v>43747.894387581015</v>
      </c>
    </row>
    <row r="5768" spans="1:10" x14ac:dyDescent="0.25">
      <c r="A5768" s="7" t="s">
        <v>11855</v>
      </c>
      <c r="B5768" s="8">
        <v>412.5</v>
      </c>
      <c r="C5768" s="8">
        <v>20.478950000000001</v>
      </c>
      <c r="D5768" s="8">
        <v>79</v>
      </c>
      <c r="E5768" s="8">
        <v>0</v>
      </c>
      <c r="F5768" s="8">
        <v>0</v>
      </c>
      <c r="G5768" s="8">
        <v>20</v>
      </c>
      <c r="H5768" s="8" t="s">
        <v>11856</v>
      </c>
      <c r="I5768" s="8">
        <v>532.3125</v>
      </c>
      <c r="J5768" s="3">
        <f t="shared" si="90"/>
        <v>43747.894459756943</v>
      </c>
    </row>
    <row r="5769" spans="1:10" x14ac:dyDescent="0.25">
      <c r="A5769" s="5" t="s">
        <v>11857</v>
      </c>
      <c r="B5769" s="6">
        <v>428.125</v>
      </c>
      <c r="C5769" s="6">
        <v>20.478950000000001</v>
      </c>
      <c r="D5769" s="6">
        <v>79</v>
      </c>
      <c r="E5769" s="6">
        <v>0</v>
      </c>
      <c r="F5769" s="6">
        <v>0</v>
      </c>
      <c r="G5769" s="6">
        <v>21</v>
      </c>
      <c r="H5769" s="6" t="s">
        <v>11858</v>
      </c>
      <c r="I5769" s="6">
        <v>537.9375</v>
      </c>
      <c r="J5769" s="2">
        <f t="shared" si="90"/>
        <v>43747.894530324069</v>
      </c>
    </row>
    <row r="5770" spans="1:10" x14ac:dyDescent="0.25">
      <c r="A5770" s="7" t="s">
        <v>11859</v>
      </c>
      <c r="B5770" s="8">
        <v>415.625</v>
      </c>
      <c r="C5770" s="8">
        <v>20.478950000000001</v>
      </c>
      <c r="D5770" s="8">
        <v>80</v>
      </c>
      <c r="E5770" s="8">
        <v>0</v>
      </c>
      <c r="F5770" s="8">
        <v>0</v>
      </c>
      <c r="G5770" s="8">
        <v>18</v>
      </c>
      <c r="H5770" s="8" t="s">
        <v>11860</v>
      </c>
      <c r="I5770" s="8">
        <v>533.0625</v>
      </c>
      <c r="J5770" s="3">
        <f t="shared" si="90"/>
        <v>43747.894602361113</v>
      </c>
    </row>
    <row r="5771" spans="1:10" x14ac:dyDescent="0.25">
      <c r="A5771" s="5" t="s">
        <v>11861</v>
      </c>
      <c r="B5771" s="6">
        <v>415.625</v>
      </c>
      <c r="C5771" s="6">
        <v>20.478950000000001</v>
      </c>
      <c r="D5771" s="6">
        <v>83</v>
      </c>
      <c r="E5771" s="6">
        <v>0</v>
      </c>
      <c r="F5771" s="6">
        <v>0</v>
      </c>
      <c r="G5771" s="6">
        <v>6</v>
      </c>
      <c r="H5771" s="6" t="s">
        <v>11862</v>
      </c>
      <c r="I5771" s="6">
        <v>533.0625</v>
      </c>
      <c r="J5771" s="2">
        <f t="shared" si="90"/>
        <v>43747.894685636573</v>
      </c>
    </row>
    <row r="5772" spans="1:10" x14ac:dyDescent="0.25">
      <c r="A5772" s="7" t="s">
        <v>11863</v>
      </c>
      <c r="B5772" s="8">
        <v>418.75</v>
      </c>
      <c r="C5772" s="8">
        <v>20.478950000000001</v>
      </c>
      <c r="D5772" s="8">
        <v>83</v>
      </c>
      <c r="E5772" s="8">
        <v>0</v>
      </c>
      <c r="F5772" s="8">
        <v>0</v>
      </c>
      <c r="G5772" s="8">
        <v>19</v>
      </c>
      <c r="H5772" s="8" t="s">
        <v>11864</v>
      </c>
      <c r="I5772" s="8">
        <v>534</v>
      </c>
      <c r="J5772" s="3">
        <f t="shared" si="90"/>
        <v>43747.894757106478</v>
      </c>
    </row>
    <row r="5773" spans="1:10" x14ac:dyDescent="0.25">
      <c r="A5773" s="5" t="s">
        <v>11865</v>
      </c>
      <c r="B5773" s="6">
        <v>415.625</v>
      </c>
      <c r="C5773" s="6">
        <v>20.478950000000001</v>
      </c>
      <c r="D5773" s="6">
        <v>82</v>
      </c>
      <c r="E5773" s="6">
        <v>0</v>
      </c>
      <c r="F5773" s="6">
        <v>0</v>
      </c>
      <c r="G5773" s="6">
        <v>22</v>
      </c>
      <c r="H5773" s="6" t="s">
        <v>11866</v>
      </c>
      <c r="I5773" s="6">
        <v>533.8125</v>
      </c>
      <c r="J5773" s="2">
        <f t="shared" si="90"/>
        <v>43747.894832986109</v>
      </c>
    </row>
    <row r="5774" spans="1:10" x14ac:dyDescent="0.25">
      <c r="A5774" s="7" t="s">
        <v>11867</v>
      </c>
      <c r="B5774" s="8">
        <v>415.625</v>
      </c>
      <c r="C5774" s="8">
        <v>20.478950000000001</v>
      </c>
      <c r="D5774" s="8">
        <v>82</v>
      </c>
      <c r="E5774" s="8">
        <v>0</v>
      </c>
      <c r="F5774" s="8">
        <v>0</v>
      </c>
      <c r="G5774" s="8">
        <v>22</v>
      </c>
      <c r="H5774" s="8" t="s">
        <v>11868</v>
      </c>
      <c r="I5774" s="8">
        <v>533.0625</v>
      </c>
      <c r="J5774" s="3">
        <f t="shared" si="90"/>
        <v>43747.894912604163</v>
      </c>
    </row>
    <row r="5775" spans="1:10" x14ac:dyDescent="0.25">
      <c r="A5775" s="5" t="s">
        <v>11869</v>
      </c>
      <c r="B5775" s="6">
        <v>415.625</v>
      </c>
      <c r="C5775" s="6">
        <v>20.478950000000001</v>
      </c>
      <c r="D5775" s="6">
        <v>81</v>
      </c>
      <c r="E5775" s="6">
        <v>0</v>
      </c>
      <c r="F5775" s="6">
        <v>0</v>
      </c>
      <c r="G5775" s="6">
        <v>25</v>
      </c>
      <c r="H5775" s="6" t="s">
        <v>11870</v>
      </c>
      <c r="I5775" s="6">
        <v>533.0625</v>
      </c>
      <c r="J5775" s="2">
        <f t="shared" si="90"/>
        <v>43747.894983900456</v>
      </c>
    </row>
    <row r="5776" spans="1:10" x14ac:dyDescent="0.25">
      <c r="A5776" s="7" t="s">
        <v>11871</v>
      </c>
      <c r="B5776" s="8">
        <v>431.25</v>
      </c>
      <c r="C5776" s="8">
        <v>20.478950000000001</v>
      </c>
      <c r="D5776" s="8">
        <v>81</v>
      </c>
      <c r="E5776" s="8">
        <v>0</v>
      </c>
      <c r="F5776" s="8">
        <v>0</v>
      </c>
      <c r="G5776" s="8">
        <v>22</v>
      </c>
      <c r="H5776" s="8" t="s">
        <v>11872</v>
      </c>
      <c r="I5776" s="8">
        <v>538.6875</v>
      </c>
      <c r="J5776" s="3">
        <f t="shared" si="90"/>
        <v>43747.895055196757</v>
      </c>
    </row>
    <row r="5777" spans="1:10" x14ac:dyDescent="0.25">
      <c r="A5777" s="5" t="s">
        <v>11873</v>
      </c>
      <c r="B5777" s="6">
        <v>415.625</v>
      </c>
      <c r="C5777" s="6">
        <v>20.478950000000001</v>
      </c>
      <c r="D5777" s="6">
        <v>80</v>
      </c>
      <c r="E5777" s="6">
        <v>0</v>
      </c>
      <c r="F5777" s="6">
        <v>0</v>
      </c>
      <c r="G5777" s="6">
        <v>21</v>
      </c>
      <c r="H5777" s="6" t="s">
        <v>11874</v>
      </c>
      <c r="I5777" s="6">
        <v>533.0625</v>
      </c>
      <c r="J5777" s="2">
        <f t="shared" si="90"/>
        <v>43747.895127233794</v>
      </c>
    </row>
    <row r="5778" spans="1:10" x14ac:dyDescent="0.25">
      <c r="A5778" s="7" t="s">
        <v>11875</v>
      </c>
      <c r="B5778" s="8">
        <v>415.625</v>
      </c>
      <c r="C5778" s="8">
        <v>20.478950000000001</v>
      </c>
      <c r="D5778" s="8">
        <v>80</v>
      </c>
      <c r="E5778" s="8">
        <v>0</v>
      </c>
      <c r="F5778" s="8">
        <v>0</v>
      </c>
      <c r="G5778" s="8">
        <v>17</v>
      </c>
      <c r="H5778" s="8" t="s">
        <v>11876</v>
      </c>
      <c r="I5778" s="8">
        <v>533.0625</v>
      </c>
      <c r="J5778" s="3">
        <f t="shared" si="90"/>
        <v>43747.895210219904</v>
      </c>
    </row>
    <row r="5779" spans="1:10" x14ac:dyDescent="0.25">
      <c r="A5779" s="5" t="s">
        <v>11877</v>
      </c>
      <c r="B5779" s="6">
        <v>418.75</v>
      </c>
      <c r="C5779" s="6">
        <v>20.478950000000001</v>
      </c>
      <c r="D5779" s="6">
        <v>80</v>
      </c>
      <c r="E5779" s="6">
        <v>0</v>
      </c>
      <c r="F5779" s="6">
        <v>0</v>
      </c>
      <c r="G5779" s="6">
        <v>33</v>
      </c>
      <c r="H5779" s="6" t="s">
        <v>11878</v>
      </c>
      <c r="I5779" s="6">
        <v>534</v>
      </c>
      <c r="J5779" s="2">
        <f t="shared" si="90"/>
        <v>43747.895282025456</v>
      </c>
    </row>
    <row r="5780" spans="1:10" x14ac:dyDescent="0.25">
      <c r="A5780" s="7" t="s">
        <v>11879</v>
      </c>
      <c r="B5780" s="8">
        <v>418.75</v>
      </c>
      <c r="C5780" s="8">
        <v>20.478950000000001</v>
      </c>
      <c r="D5780" s="8">
        <v>79</v>
      </c>
      <c r="E5780" s="8">
        <v>0</v>
      </c>
      <c r="F5780" s="8">
        <v>0</v>
      </c>
      <c r="G5780" s="8">
        <v>31</v>
      </c>
      <c r="H5780" s="8" t="s">
        <v>11880</v>
      </c>
      <c r="I5780" s="8">
        <v>534</v>
      </c>
      <c r="J5780" s="3">
        <f t="shared" si="90"/>
        <v>43747.895377858797</v>
      </c>
    </row>
    <row r="5781" spans="1:10" x14ac:dyDescent="0.25">
      <c r="A5781" s="5" t="s">
        <v>11881</v>
      </c>
      <c r="B5781" s="6">
        <v>418.75</v>
      </c>
      <c r="C5781" s="6">
        <v>20.478950000000001</v>
      </c>
      <c r="D5781" s="6">
        <v>80</v>
      </c>
      <c r="E5781" s="6">
        <v>0</v>
      </c>
      <c r="F5781" s="6">
        <v>0</v>
      </c>
      <c r="G5781" s="6">
        <v>22</v>
      </c>
      <c r="H5781" s="6" t="s">
        <v>11882</v>
      </c>
      <c r="I5781" s="6">
        <v>534</v>
      </c>
      <c r="J5781" s="2">
        <f t="shared" si="90"/>
        <v>43747.895448726849</v>
      </c>
    </row>
    <row r="5782" spans="1:10" x14ac:dyDescent="0.25">
      <c r="A5782" s="7" t="s">
        <v>11883</v>
      </c>
      <c r="B5782" s="8">
        <v>434.375</v>
      </c>
      <c r="C5782" s="8">
        <v>20.531590000000001</v>
      </c>
      <c r="D5782" s="8">
        <v>80</v>
      </c>
      <c r="E5782" s="8">
        <v>0</v>
      </c>
      <c r="F5782" s="8">
        <v>0</v>
      </c>
      <c r="G5782" s="8">
        <v>21</v>
      </c>
      <c r="H5782" s="8" t="s">
        <v>11884</v>
      </c>
      <c r="I5782" s="8">
        <v>539.4375</v>
      </c>
      <c r="J5782" s="3">
        <f t="shared" si="90"/>
        <v>43747.895520925922</v>
      </c>
    </row>
    <row r="5783" spans="1:10" x14ac:dyDescent="0.25">
      <c r="A5783" s="5" t="s">
        <v>11885</v>
      </c>
      <c r="B5783" s="6">
        <v>415.625</v>
      </c>
      <c r="C5783" s="6">
        <v>20.478950000000001</v>
      </c>
      <c r="D5783" s="6">
        <v>81</v>
      </c>
      <c r="E5783" s="6">
        <v>0</v>
      </c>
      <c r="F5783" s="6">
        <v>0</v>
      </c>
      <c r="G5783" s="6">
        <v>22</v>
      </c>
      <c r="H5783" s="6" t="s">
        <v>11886</v>
      </c>
      <c r="I5783" s="6">
        <v>533.8125</v>
      </c>
      <c r="J5783" s="2">
        <f t="shared" si="90"/>
        <v>43747.89560434028</v>
      </c>
    </row>
    <row r="5784" spans="1:10" x14ac:dyDescent="0.25">
      <c r="A5784" s="7" t="s">
        <v>11887</v>
      </c>
      <c r="B5784" s="8">
        <v>418.75</v>
      </c>
      <c r="C5784" s="8">
        <v>20.478950000000001</v>
      </c>
      <c r="D5784" s="8">
        <v>81</v>
      </c>
      <c r="E5784" s="8">
        <v>0</v>
      </c>
      <c r="F5784" s="8">
        <v>0</v>
      </c>
      <c r="G5784" s="8">
        <v>26</v>
      </c>
      <c r="H5784" s="8" t="s">
        <v>11888</v>
      </c>
      <c r="I5784" s="8">
        <v>534</v>
      </c>
      <c r="J5784" s="3">
        <f t="shared" si="90"/>
        <v>43747.895675335647</v>
      </c>
    </row>
    <row r="5785" spans="1:10" x14ac:dyDescent="0.25">
      <c r="A5785" s="5" t="s">
        <v>11889</v>
      </c>
      <c r="B5785" s="6">
        <v>434.375</v>
      </c>
      <c r="C5785" s="6">
        <v>20.478950000000001</v>
      </c>
      <c r="D5785" s="6">
        <v>81</v>
      </c>
      <c r="E5785" s="6">
        <v>0</v>
      </c>
      <c r="F5785" s="6">
        <v>0</v>
      </c>
      <c r="G5785" s="6">
        <v>22</v>
      </c>
      <c r="H5785" s="6" t="s">
        <v>11890</v>
      </c>
      <c r="I5785" s="6">
        <v>539.4375</v>
      </c>
      <c r="J5785" s="2">
        <f t="shared" si="90"/>
        <v>43747.89578111111</v>
      </c>
    </row>
    <row r="5786" spans="1:10" x14ac:dyDescent="0.25">
      <c r="A5786" s="7" t="s">
        <v>11891</v>
      </c>
      <c r="B5786" s="8">
        <v>418.75</v>
      </c>
      <c r="C5786" s="8">
        <v>20.478950000000001</v>
      </c>
      <c r="D5786" s="8">
        <v>81</v>
      </c>
      <c r="E5786" s="8">
        <v>0</v>
      </c>
      <c r="F5786" s="8">
        <v>0</v>
      </c>
      <c r="G5786" s="8">
        <v>19</v>
      </c>
      <c r="H5786" s="8" t="s">
        <v>11892</v>
      </c>
      <c r="I5786" s="8">
        <v>534</v>
      </c>
      <c r="J5786" s="3">
        <f t="shared" si="90"/>
        <v>43747.895854259252</v>
      </c>
    </row>
    <row r="5787" spans="1:10" x14ac:dyDescent="0.25">
      <c r="A5787" s="5" t="s">
        <v>11893</v>
      </c>
      <c r="B5787" s="6">
        <v>437.5</v>
      </c>
      <c r="C5787" s="6">
        <v>20.426300000000001</v>
      </c>
      <c r="D5787" s="6">
        <v>81</v>
      </c>
      <c r="E5787" s="6">
        <v>0</v>
      </c>
      <c r="F5787" s="6">
        <v>0</v>
      </c>
      <c r="G5787" s="6">
        <v>20</v>
      </c>
      <c r="H5787" s="6" t="s">
        <v>11894</v>
      </c>
      <c r="I5787" s="6">
        <v>540.375</v>
      </c>
      <c r="J5787" s="2">
        <f t="shared" si="90"/>
        <v>43747.895941689814</v>
      </c>
    </row>
    <row r="5788" spans="1:10" x14ac:dyDescent="0.25">
      <c r="A5788" s="7" t="s">
        <v>11895</v>
      </c>
      <c r="B5788" s="8">
        <v>415.625</v>
      </c>
      <c r="C5788" s="8">
        <v>20.478950000000001</v>
      </c>
      <c r="D5788" s="8">
        <v>81</v>
      </c>
      <c r="E5788" s="8">
        <v>0</v>
      </c>
      <c r="F5788" s="8">
        <v>0</v>
      </c>
      <c r="G5788" s="8">
        <v>20</v>
      </c>
      <c r="H5788" s="8" t="s">
        <v>11896</v>
      </c>
      <c r="I5788" s="8">
        <v>533.8125</v>
      </c>
      <c r="J5788" s="3">
        <f t="shared" si="90"/>
        <v>43747.896021874993</v>
      </c>
    </row>
    <row r="5789" spans="1:10" x14ac:dyDescent="0.25">
      <c r="A5789" s="5" t="s">
        <v>11897</v>
      </c>
      <c r="B5789" s="6">
        <v>415.625</v>
      </c>
      <c r="C5789" s="6">
        <v>20.478950000000001</v>
      </c>
      <c r="D5789" s="6">
        <v>81</v>
      </c>
      <c r="E5789" s="6">
        <v>0</v>
      </c>
      <c r="F5789" s="6">
        <v>0</v>
      </c>
      <c r="G5789" s="6">
        <v>17</v>
      </c>
      <c r="H5789" s="6" t="s">
        <v>11898</v>
      </c>
      <c r="I5789" s="6">
        <v>533.8125</v>
      </c>
      <c r="J5789" s="2">
        <f t="shared" si="90"/>
        <v>43747.896093148149</v>
      </c>
    </row>
    <row r="5790" spans="1:10" x14ac:dyDescent="0.25">
      <c r="A5790" s="7" t="s">
        <v>11899</v>
      </c>
      <c r="B5790" s="8">
        <v>418.75</v>
      </c>
      <c r="C5790" s="8">
        <v>20.478950000000001</v>
      </c>
      <c r="D5790" s="8">
        <v>81</v>
      </c>
      <c r="E5790" s="8">
        <v>0</v>
      </c>
      <c r="F5790" s="8">
        <v>0</v>
      </c>
      <c r="G5790" s="8">
        <v>23</v>
      </c>
      <c r="H5790" s="8" t="s">
        <v>11900</v>
      </c>
      <c r="I5790" s="8">
        <v>534</v>
      </c>
      <c r="J5790" s="3">
        <f t="shared" si="90"/>
        <v>43747.896164444443</v>
      </c>
    </row>
    <row r="5791" spans="1:10" x14ac:dyDescent="0.25">
      <c r="A5791" s="5" t="s">
        <v>11901</v>
      </c>
      <c r="B5791" s="6">
        <v>415.625</v>
      </c>
      <c r="C5791" s="6">
        <v>20.478950000000001</v>
      </c>
      <c r="D5791" s="6">
        <v>81</v>
      </c>
      <c r="E5791" s="6">
        <v>0</v>
      </c>
      <c r="F5791" s="6">
        <v>0</v>
      </c>
      <c r="G5791" s="6">
        <v>23</v>
      </c>
      <c r="H5791" s="6" t="s">
        <v>11902</v>
      </c>
      <c r="I5791" s="6">
        <v>533.8125</v>
      </c>
      <c r="J5791" s="2">
        <f t="shared" si="90"/>
        <v>43747.896252048609</v>
      </c>
    </row>
    <row r="5792" spans="1:10" x14ac:dyDescent="0.25">
      <c r="A5792" s="7" t="s">
        <v>11903</v>
      </c>
      <c r="B5792" s="8">
        <v>418.75</v>
      </c>
      <c r="C5792" s="8">
        <v>20.478950000000001</v>
      </c>
      <c r="D5792" s="8">
        <v>81</v>
      </c>
      <c r="E5792" s="8">
        <v>0</v>
      </c>
      <c r="F5792" s="8">
        <v>0</v>
      </c>
      <c r="G5792" s="8">
        <v>17</v>
      </c>
      <c r="H5792" s="8" t="s">
        <v>11904</v>
      </c>
      <c r="I5792" s="8">
        <v>534</v>
      </c>
      <c r="J5792" s="3">
        <f t="shared" si="90"/>
        <v>43747.896331944437</v>
      </c>
    </row>
    <row r="5793" spans="1:10" x14ac:dyDescent="0.25">
      <c r="A5793" s="5" t="s">
        <v>11905</v>
      </c>
      <c r="B5793" s="6">
        <v>418.75</v>
      </c>
      <c r="C5793" s="6">
        <v>20.478950000000001</v>
      </c>
      <c r="D5793" s="6">
        <v>81</v>
      </c>
      <c r="E5793" s="6">
        <v>0</v>
      </c>
      <c r="F5793" s="6">
        <v>0</v>
      </c>
      <c r="G5793" s="6">
        <v>22</v>
      </c>
      <c r="H5793" s="6" t="s">
        <v>11906</v>
      </c>
      <c r="I5793" s="6">
        <v>534</v>
      </c>
      <c r="J5793" s="2">
        <f t="shared" si="90"/>
        <v>43747.896403159721</v>
      </c>
    </row>
    <row r="5794" spans="1:10" x14ac:dyDescent="0.25">
      <c r="A5794" s="7" t="s">
        <v>11907</v>
      </c>
      <c r="B5794" s="8">
        <v>415.625</v>
      </c>
      <c r="C5794" s="8">
        <v>20.478950000000001</v>
      </c>
      <c r="D5794" s="8">
        <v>80</v>
      </c>
      <c r="E5794" s="8">
        <v>0</v>
      </c>
      <c r="F5794" s="8">
        <v>0</v>
      </c>
      <c r="G5794" s="8">
        <v>15</v>
      </c>
      <c r="H5794" s="8" t="s">
        <v>11908</v>
      </c>
      <c r="I5794" s="8">
        <v>533.0625</v>
      </c>
      <c r="J5794" s="3">
        <f t="shared" si="90"/>
        <v>43747.89647457176</v>
      </c>
    </row>
    <row r="5795" spans="1:10" x14ac:dyDescent="0.25">
      <c r="A5795" s="5" t="s">
        <v>11909</v>
      </c>
      <c r="B5795" s="6">
        <v>415.625</v>
      </c>
      <c r="C5795" s="6">
        <v>20.478950000000001</v>
      </c>
      <c r="D5795" s="6">
        <v>80</v>
      </c>
      <c r="E5795" s="6">
        <v>0</v>
      </c>
      <c r="F5795" s="6">
        <v>0</v>
      </c>
      <c r="G5795" s="6">
        <v>15</v>
      </c>
      <c r="H5795" s="6" t="s">
        <v>11910</v>
      </c>
      <c r="I5795" s="6">
        <v>533.0625</v>
      </c>
      <c r="J5795" s="2">
        <f t="shared" si="90"/>
        <v>43747.896545925927</v>
      </c>
    </row>
    <row r="5796" spans="1:10" x14ac:dyDescent="0.25">
      <c r="A5796" s="7" t="s">
        <v>11911</v>
      </c>
      <c r="B5796" s="8">
        <v>415.625</v>
      </c>
      <c r="C5796" s="8">
        <v>20.478950000000001</v>
      </c>
      <c r="D5796" s="8">
        <v>80</v>
      </c>
      <c r="E5796" s="8">
        <v>0</v>
      </c>
      <c r="F5796" s="8">
        <v>0</v>
      </c>
      <c r="G5796" s="8">
        <v>19</v>
      </c>
      <c r="H5796" s="8" t="s">
        <v>11912</v>
      </c>
      <c r="I5796" s="8">
        <v>533.0625</v>
      </c>
      <c r="J5796" s="3">
        <f t="shared" si="90"/>
        <v>43747.896617916667</v>
      </c>
    </row>
    <row r="5797" spans="1:10" x14ac:dyDescent="0.25">
      <c r="A5797" s="5" t="s">
        <v>11913</v>
      </c>
      <c r="B5797" s="6">
        <v>415.625</v>
      </c>
      <c r="C5797" s="6">
        <v>20.478950000000001</v>
      </c>
      <c r="D5797" s="6">
        <v>82</v>
      </c>
      <c r="E5797" s="6">
        <v>0</v>
      </c>
      <c r="F5797" s="6">
        <v>0</v>
      </c>
      <c r="G5797" s="6">
        <v>25</v>
      </c>
      <c r="H5797" s="6" t="s">
        <v>11914</v>
      </c>
      <c r="I5797" s="6">
        <v>533.0625</v>
      </c>
      <c r="J5797" s="2">
        <f t="shared" si="90"/>
        <v>43747.896689398149</v>
      </c>
    </row>
    <row r="5798" spans="1:10" x14ac:dyDescent="0.25">
      <c r="A5798" s="7" t="s">
        <v>11915</v>
      </c>
      <c r="B5798" s="8">
        <v>415.625</v>
      </c>
      <c r="C5798" s="8">
        <v>20.478950000000001</v>
      </c>
      <c r="D5798" s="8">
        <v>82</v>
      </c>
      <c r="E5798" s="8">
        <v>0</v>
      </c>
      <c r="F5798" s="8">
        <v>0</v>
      </c>
      <c r="G5798" s="8">
        <v>19</v>
      </c>
      <c r="H5798" s="8" t="s">
        <v>11916</v>
      </c>
      <c r="I5798" s="8">
        <v>533.0625</v>
      </c>
      <c r="J5798" s="3">
        <f t="shared" si="90"/>
        <v>43747.896772719905</v>
      </c>
    </row>
    <row r="5799" spans="1:10" x14ac:dyDescent="0.25">
      <c r="A5799" s="5" t="s">
        <v>11917</v>
      </c>
      <c r="B5799" s="6">
        <v>418.75</v>
      </c>
      <c r="C5799" s="6">
        <v>20.478950000000001</v>
      </c>
      <c r="D5799" s="6">
        <v>77</v>
      </c>
      <c r="E5799" s="6">
        <v>0</v>
      </c>
      <c r="F5799" s="6">
        <v>0</v>
      </c>
      <c r="G5799" s="6">
        <v>18</v>
      </c>
      <c r="H5799" s="6" t="s">
        <v>11918</v>
      </c>
      <c r="I5799" s="6">
        <v>534</v>
      </c>
      <c r="J5799" s="2">
        <f t="shared" si="90"/>
        <v>43747.896844074072</v>
      </c>
    </row>
    <row r="5800" spans="1:10" x14ac:dyDescent="0.25">
      <c r="A5800" s="7" t="s">
        <v>11919</v>
      </c>
      <c r="B5800" s="8">
        <v>431.25</v>
      </c>
      <c r="C5800" s="8">
        <v>20.478950000000001</v>
      </c>
      <c r="D5800" s="8">
        <v>77</v>
      </c>
      <c r="E5800" s="8">
        <v>0</v>
      </c>
      <c r="F5800" s="8">
        <v>0</v>
      </c>
      <c r="G5800" s="8">
        <v>28</v>
      </c>
      <c r="H5800" s="8" t="s">
        <v>11920</v>
      </c>
      <c r="I5800" s="8">
        <v>538.875</v>
      </c>
      <c r="J5800" s="3">
        <f t="shared" si="90"/>
        <v>43747.896916296297</v>
      </c>
    </row>
    <row r="5801" spans="1:10" x14ac:dyDescent="0.25">
      <c r="A5801" s="5" t="s">
        <v>11921</v>
      </c>
      <c r="B5801" s="6">
        <v>415.625</v>
      </c>
      <c r="C5801" s="6">
        <v>20.478950000000001</v>
      </c>
      <c r="D5801" s="6">
        <v>78</v>
      </c>
      <c r="E5801" s="6">
        <v>0</v>
      </c>
      <c r="F5801" s="6">
        <v>0</v>
      </c>
      <c r="G5801" s="6">
        <v>18</v>
      </c>
      <c r="H5801" s="6" t="s">
        <v>11922</v>
      </c>
      <c r="I5801" s="6">
        <v>533.0625</v>
      </c>
      <c r="J5801" s="2">
        <f t="shared" si="90"/>
        <v>43747.896987615743</v>
      </c>
    </row>
    <row r="5802" spans="1:10" x14ac:dyDescent="0.25">
      <c r="A5802" s="7" t="s">
        <v>11923</v>
      </c>
      <c r="B5802" s="8">
        <v>412.5</v>
      </c>
      <c r="C5802" s="8">
        <v>20.478950000000001</v>
      </c>
      <c r="D5802" s="8">
        <v>79</v>
      </c>
      <c r="E5802" s="8">
        <v>0</v>
      </c>
      <c r="F5802" s="8">
        <v>0</v>
      </c>
      <c r="G5802" s="8">
        <v>15</v>
      </c>
      <c r="H5802" s="8" t="s">
        <v>11924</v>
      </c>
      <c r="I5802" s="8">
        <v>532.3125</v>
      </c>
      <c r="J5802" s="3">
        <f t="shared" si="90"/>
        <v>43747.897070949075</v>
      </c>
    </row>
    <row r="5803" spans="1:10" x14ac:dyDescent="0.25">
      <c r="A5803" s="5" t="s">
        <v>11925</v>
      </c>
      <c r="B5803" s="6">
        <v>412.5</v>
      </c>
      <c r="C5803" s="6">
        <v>20.478950000000001</v>
      </c>
      <c r="D5803" s="6">
        <v>80</v>
      </c>
      <c r="E5803" s="6">
        <v>0</v>
      </c>
      <c r="F5803" s="6">
        <v>0</v>
      </c>
      <c r="G5803" s="6">
        <v>22</v>
      </c>
      <c r="H5803" s="6" t="s">
        <v>11926</v>
      </c>
      <c r="I5803" s="6">
        <v>532.3125</v>
      </c>
      <c r="J5803" s="2">
        <f t="shared" si="90"/>
        <v>43747.897142199072</v>
      </c>
    </row>
    <row r="5804" spans="1:10" x14ac:dyDescent="0.25">
      <c r="A5804" s="7" t="s">
        <v>11927</v>
      </c>
      <c r="B5804" s="8">
        <v>412.5</v>
      </c>
      <c r="C5804" s="8">
        <v>20.478950000000001</v>
      </c>
      <c r="D5804" s="8">
        <v>81</v>
      </c>
      <c r="E5804" s="8">
        <v>0</v>
      </c>
      <c r="F5804" s="8">
        <v>0</v>
      </c>
      <c r="G5804" s="8">
        <v>20</v>
      </c>
      <c r="H5804" s="8" t="s">
        <v>11928</v>
      </c>
      <c r="I5804" s="8">
        <v>532.3125</v>
      </c>
      <c r="J5804" s="3">
        <f t="shared" si="90"/>
        <v>43747.89721427083</v>
      </c>
    </row>
    <row r="5805" spans="1:10" x14ac:dyDescent="0.25">
      <c r="A5805" s="5" t="s">
        <v>11929</v>
      </c>
      <c r="B5805" s="6">
        <v>412.5</v>
      </c>
      <c r="C5805" s="6">
        <v>20.478950000000001</v>
      </c>
      <c r="D5805" s="6">
        <v>80</v>
      </c>
      <c r="E5805" s="6">
        <v>0</v>
      </c>
      <c r="F5805" s="6">
        <v>0</v>
      </c>
      <c r="G5805" s="6">
        <v>20</v>
      </c>
      <c r="H5805" s="6" t="s">
        <v>11930</v>
      </c>
      <c r="I5805" s="6">
        <v>532.3125</v>
      </c>
      <c r="J5805" s="2">
        <f t="shared" si="90"/>
        <v>43747.897285740743</v>
      </c>
    </row>
    <row r="5806" spans="1:10" x14ac:dyDescent="0.25">
      <c r="A5806" s="7" t="s">
        <v>11931</v>
      </c>
      <c r="B5806" s="8">
        <v>412.5</v>
      </c>
      <c r="C5806" s="8">
        <v>20.478950000000001</v>
      </c>
      <c r="D5806" s="8">
        <v>83</v>
      </c>
      <c r="E5806" s="8">
        <v>0</v>
      </c>
      <c r="F5806" s="8">
        <v>0</v>
      </c>
      <c r="G5806" s="8">
        <v>19</v>
      </c>
      <c r="H5806" s="8" t="s">
        <v>11932</v>
      </c>
      <c r="I5806" s="8">
        <v>532.3125</v>
      </c>
      <c r="J5806" s="3">
        <f t="shared" si="90"/>
        <v>43747.897357094909</v>
      </c>
    </row>
    <row r="5807" spans="1:10" x14ac:dyDescent="0.25">
      <c r="A5807" s="5" t="s">
        <v>11933</v>
      </c>
      <c r="B5807" s="6">
        <v>415.625</v>
      </c>
      <c r="C5807" s="6">
        <v>20.478950000000001</v>
      </c>
      <c r="D5807" s="6">
        <v>79</v>
      </c>
      <c r="E5807" s="6">
        <v>0</v>
      </c>
      <c r="F5807" s="6">
        <v>0</v>
      </c>
      <c r="G5807" s="6">
        <v>20</v>
      </c>
      <c r="H5807" s="6" t="s">
        <v>11934</v>
      </c>
      <c r="I5807" s="6">
        <v>533.0625</v>
      </c>
      <c r="J5807" s="2">
        <f t="shared" si="90"/>
        <v>43747.897440370369</v>
      </c>
    </row>
    <row r="5808" spans="1:10" x14ac:dyDescent="0.25">
      <c r="A5808" s="7" t="s">
        <v>11935</v>
      </c>
      <c r="B5808" s="8">
        <v>415.625</v>
      </c>
      <c r="C5808" s="8">
        <v>20.478950000000001</v>
      </c>
      <c r="D5808" s="8">
        <v>78</v>
      </c>
      <c r="E5808" s="8">
        <v>0</v>
      </c>
      <c r="F5808" s="8">
        <v>0</v>
      </c>
      <c r="G5808" s="8">
        <v>19</v>
      </c>
      <c r="H5808" s="8" t="s">
        <v>11936</v>
      </c>
      <c r="I5808" s="8">
        <v>533.0625</v>
      </c>
      <c r="J5808" s="3">
        <f t="shared" si="90"/>
        <v>43747.897511967589</v>
      </c>
    </row>
    <row r="5809" spans="1:10" x14ac:dyDescent="0.25">
      <c r="A5809" s="5" t="s">
        <v>11937</v>
      </c>
      <c r="B5809" s="6">
        <v>415.625</v>
      </c>
      <c r="C5809" s="6">
        <v>20.478950000000001</v>
      </c>
      <c r="D5809" s="6">
        <v>79</v>
      </c>
      <c r="E5809" s="6">
        <v>0</v>
      </c>
      <c r="F5809" s="6">
        <v>0</v>
      </c>
      <c r="G5809" s="6">
        <v>22</v>
      </c>
      <c r="H5809" s="6" t="s">
        <v>11938</v>
      </c>
      <c r="I5809" s="6">
        <v>533.0625</v>
      </c>
      <c r="J5809" s="2">
        <f t="shared" si="90"/>
        <v>43747.897583900463</v>
      </c>
    </row>
    <row r="5810" spans="1:10" x14ac:dyDescent="0.25">
      <c r="A5810" s="7" t="s">
        <v>11939</v>
      </c>
      <c r="B5810" s="8">
        <v>431.25</v>
      </c>
      <c r="C5810" s="8">
        <v>20.478950000000001</v>
      </c>
      <c r="D5810" s="8">
        <v>79</v>
      </c>
      <c r="E5810" s="8">
        <v>0</v>
      </c>
      <c r="F5810" s="8">
        <v>0</v>
      </c>
      <c r="G5810" s="8">
        <v>20</v>
      </c>
      <c r="H5810" s="8" t="s">
        <v>11940</v>
      </c>
      <c r="I5810" s="8">
        <v>538.6875</v>
      </c>
      <c r="J5810" s="3">
        <f t="shared" si="90"/>
        <v>43747.897679259258</v>
      </c>
    </row>
    <row r="5811" spans="1:10" x14ac:dyDescent="0.25">
      <c r="A5811" s="5" t="s">
        <v>11941</v>
      </c>
      <c r="B5811" s="6">
        <v>415.625</v>
      </c>
      <c r="C5811" s="6">
        <v>20.478950000000001</v>
      </c>
      <c r="D5811" s="6">
        <v>80</v>
      </c>
      <c r="E5811" s="6">
        <v>0</v>
      </c>
      <c r="F5811" s="6">
        <v>0</v>
      </c>
      <c r="G5811" s="6">
        <v>23</v>
      </c>
      <c r="H5811" s="6" t="s">
        <v>11942</v>
      </c>
      <c r="I5811" s="6">
        <v>533.0625</v>
      </c>
      <c r="J5811" s="2">
        <f t="shared" si="90"/>
        <v>43747.897750613425</v>
      </c>
    </row>
    <row r="5812" spans="1:10" x14ac:dyDescent="0.25">
      <c r="A5812" s="7" t="s">
        <v>11943</v>
      </c>
      <c r="B5812" s="8">
        <v>415.625</v>
      </c>
      <c r="C5812" s="8">
        <v>20.478950000000001</v>
      </c>
      <c r="D5812" s="8">
        <v>80</v>
      </c>
      <c r="E5812" s="8">
        <v>0</v>
      </c>
      <c r="F5812" s="8">
        <v>0</v>
      </c>
      <c r="G5812" s="8">
        <v>13</v>
      </c>
      <c r="H5812" s="8" t="s">
        <v>11944</v>
      </c>
      <c r="I5812" s="8">
        <v>533.0625</v>
      </c>
      <c r="J5812" s="3">
        <f t="shared" si="90"/>
        <v>43747.897821851853</v>
      </c>
    </row>
    <row r="5813" spans="1:10" x14ac:dyDescent="0.25">
      <c r="A5813" s="5" t="s">
        <v>11945</v>
      </c>
      <c r="B5813" s="6">
        <v>412.5</v>
      </c>
      <c r="C5813" s="6">
        <v>20.478950000000001</v>
      </c>
      <c r="D5813" s="6">
        <v>80</v>
      </c>
      <c r="E5813" s="6">
        <v>0</v>
      </c>
      <c r="F5813" s="6">
        <v>0</v>
      </c>
      <c r="G5813" s="6">
        <v>18</v>
      </c>
      <c r="H5813" s="6" t="s">
        <v>11946</v>
      </c>
      <c r="I5813" s="6">
        <v>532.3125</v>
      </c>
      <c r="J5813" s="2">
        <f t="shared" si="90"/>
        <v>43747.89791738426</v>
      </c>
    </row>
    <row r="5814" spans="1:10" x14ac:dyDescent="0.25">
      <c r="A5814" s="7" t="s">
        <v>11947</v>
      </c>
      <c r="B5814" s="8">
        <v>415.625</v>
      </c>
      <c r="C5814" s="8">
        <v>20.478950000000001</v>
      </c>
      <c r="D5814" s="8">
        <v>80</v>
      </c>
      <c r="E5814" s="8">
        <v>0</v>
      </c>
      <c r="F5814" s="8">
        <v>0</v>
      </c>
      <c r="G5814" s="8">
        <v>15</v>
      </c>
      <c r="H5814" s="8" t="s">
        <v>11948</v>
      </c>
      <c r="I5814" s="8">
        <v>533.0625</v>
      </c>
      <c r="J5814" s="3">
        <f t="shared" si="90"/>
        <v>43747.897989467594</v>
      </c>
    </row>
    <row r="5815" spans="1:10" x14ac:dyDescent="0.25">
      <c r="A5815" s="5" t="s">
        <v>11949</v>
      </c>
      <c r="B5815" s="6">
        <v>415.625</v>
      </c>
      <c r="C5815" s="6">
        <v>20.478950000000001</v>
      </c>
      <c r="D5815" s="6">
        <v>80</v>
      </c>
      <c r="E5815" s="6">
        <v>0</v>
      </c>
      <c r="F5815" s="6">
        <v>0</v>
      </c>
      <c r="G5815" s="6">
        <v>19</v>
      </c>
      <c r="H5815" s="6" t="s">
        <v>11950</v>
      </c>
      <c r="I5815" s="6">
        <v>533.0625</v>
      </c>
      <c r="J5815" s="2">
        <f t="shared" si="90"/>
        <v>43747.898060509258</v>
      </c>
    </row>
    <row r="5816" spans="1:10" x14ac:dyDescent="0.25">
      <c r="A5816" s="7" t="s">
        <v>11951</v>
      </c>
      <c r="B5816" s="8">
        <v>415.625</v>
      </c>
      <c r="C5816" s="8">
        <v>20.478950000000001</v>
      </c>
      <c r="D5816" s="8">
        <v>79</v>
      </c>
      <c r="E5816" s="8">
        <v>0</v>
      </c>
      <c r="F5816" s="8">
        <v>0</v>
      </c>
      <c r="G5816" s="8">
        <v>21</v>
      </c>
      <c r="H5816" s="8" t="s">
        <v>11952</v>
      </c>
      <c r="I5816" s="8">
        <v>533.0625</v>
      </c>
      <c r="J5816" s="3">
        <f t="shared" si="90"/>
        <v>43747.898132025461</v>
      </c>
    </row>
    <row r="5817" spans="1:10" x14ac:dyDescent="0.25">
      <c r="A5817" s="5" t="s">
        <v>11953</v>
      </c>
      <c r="B5817" s="6">
        <v>412.5</v>
      </c>
      <c r="C5817" s="6">
        <v>20.478950000000001</v>
      </c>
      <c r="D5817" s="6">
        <v>79</v>
      </c>
      <c r="E5817" s="6">
        <v>0</v>
      </c>
      <c r="F5817" s="6">
        <v>0</v>
      </c>
      <c r="G5817" s="6">
        <v>17</v>
      </c>
      <c r="H5817" s="6" t="s">
        <v>11954</v>
      </c>
      <c r="I5817" s="6">
        <v>532.5</v>
      </c>
      <c r="J5817" s="2">
        <f t="shared" si="90"/>
        <v>43747.898215543981</v>
      </c>
    </row>
    <row r="5818" spans="1:10" x14ac:dyDescent="0.25">
      <c r="A5818" s="7" t="s">
        <v>11955</v>
      </c>
      <c r="B5818" s="8">
        <v>412.5</v>
      </c>
      <c r="C5818" s="8">
        <v>20.478950000000001</v>
      </c>
      <c r="D5818" s="8">
        <v>79</v>
      </c>
      <c r="E5818" s="8">
        <v>0</v>
      </c>
      <c r="F5818" s="8">
        <v>0</v>
      </c>
      <c r="G5818" s="8">
        <v>18</v>
      </c>
      <c r="H5818" s="8" t="s">
        <v>11956</v>
      </c>
      <c r="I5818" s="8">
        <v>532.3125</v>
      </c>
      <c r="J5818" s="3">
        <f t="shared" si="90"/>
        <v>43747.898288518518</v>
      </c>
    </row>
    <row r="5819" spans="1:10" x14ac:dyDescent="0.25">
      <c r="A5819" s="5" t="s">
        <v>11957</v>
      </c>
      <c r="B5819" s="6">
        <v>412.5</v>
      </c>
      <c r="C5819" s="6">
        <v>20.478950000000001</v>
      </c>
      <c r="D5819" s="6">
        <v>80</v>
      </c>
      <c r="E5819" s="6">
        <v>0</v>
      </c>
      <c r="F5819" s="6">
        <v>0</v>
      </c>
      <c r="G5819" s="6">
        <v>19</v>
      </c>
      <c r="H5819" s="6" t="s">
        <v>11958</v>
      </c>
      <c r="I5819" s="6">
        <v>532.3125</v>
      </c>
      <c r="J5819" s="2">
        <f t="shared" si="90"/>
        <v>43747.898371111114</v>
      </c>
    </row>
    <row r="5820" spans="1:10" x14ac:dyDescent="0.25">
      <c r="A5820" s="7" t="s">
        <v>11959</v>
      </c>
      <c r="B5820" s="8">
        <v>415.625</v>
      </c>
      <c r="C5820" s="8">
        <v>20.478950000000001</v>
      </c>
      <c r="D5820" s="8">
        <v>81</v>
      </c>
      <c r="E5820" s="8">
        <v>0</v>
      </c>
      <c r="F5820" s="8">
        <v>0</v>
      </c>
      <c r="G5820" s="8">
        <v>16</v>
      </c>
      <c r="H5820" s="8" t="s">
        <v>11960</v>
      </c>
      <c r="I5820" s="8">
        <v>533.0625</v>
      </c>
      <c r="J5820" s="3">
        <f t="shared" si="90"/>
        <v>43747.89845872685</v>
      </c>
    </row>
    <row r="5821" spans="1:10" x14ac:dyDescent="0.25">
      <c r="A5821" s="5" t="s">
        <v>11961</v>
      </c>
      <c r="B5821" s="6">
        <v>415.625</v>
      </c>
      <c r="C5821" s="6">
        <v>20.478950000000001</v>
      </c>
      <c r="D5821" s="6">
        <v>82</v>
      </c>
      <c r="E5821" s="6">
        <v>0</v>
      </c>
      <c r="F5821" s="6">
        <v>0</v>
      </c>
      <c r="G5821" s="6">
        <v>19</v>
      </c>
      <c r="H5821" s="6" t="s">
        <v>11962</v>
      </c>
      <c r="I5821" s="6">
        <v>533.0625</v>
      </c>
      <c r="J5821" s="2">
        <f t="shared" si="90"/>
        <v>43747.898537766203</v>
      </c>
    </row>
    <row r="5822" spans="1:10" x14ac:dyDescent="0.25">
      <c r="A5822" s="7" t="s">
        <v>11963</v>
      </c>
      <c r="B5822" s="8">
        <v>415.625</v>
      </c>
      <c r="C5822" s="8">
        <v>20.478950000000001</v>
      </c>
      <c r="D5822" s="8">
        <v>83</v>
      </c>
      <c r="E5822" s="8">
        <v>0</v>
      </c>
      <c r="F5822" s="8">
        <v>0</v>
      </c>
      <c r="G5822" s="8">
        <v>11</v>
      </c>
      <c r="H5822" s="8" t="s">
        <v>11964</v>
      </c>
      <c r="I5822" s="8">
        <v>533.0625</v>
      </c>
      <c r="J5822" s="3">
        <f t="shared" si="90"/>
        <v>43747.898609050921</v>
      </c>
    </row>
    <row r="5823" spans="1:10" x14ac:dyDescent="0.25">
      <c r="A5823" s="5" t="s">
        <v>11965</v>
      </c>
      <c r="B5823" s="6">
        <v>415.625</v>
      </c>
      <c r="C5823" s="6">
        <v>20.478950000000001</v>
      </c>
      <c r="D5823" s="6">
        <v>83</v>
      </c>
      <c r="E5823" s="6">
        <v>0</v>
      </c>
      <c r="F5823" s="6">
        <v>0</v>
      </c>
      <c r="G5823" s="6">
        <v>21</v>
      </c>
      <c r="H5823" s="6" t="s">
        <v>11966</v>
      </c>
      <c r="I5823" s="6">
        <v>533.0625</v>
      </c>
      <c r="J5823" s="2">
        <f t="shared" si="90"/>
        <v>43747.898680416663</v>
      </c>
    </row>
    <row r="5824" spans="1:10" x14ac:dyDescent="0.25">
      <c r="A5824" s="7" t="s">
        <v>11967</v>
      </c>
      <c r="B5824" s="8">
        <v>415.625</v>
      </c>
      <c r="C5824" s="8">
        <v>20.478950000000001</v>
      </c>
      <c r="D5824" s="8">
        <v>83</v>
      </c>
      <c r="E5824" s="8">
        <v>0</v>
      </c>
      <c r="F5824" s="8">
        <v>0</v>
      </c>
      <c r="G5824" s="8">
        <v>18</v>
      </c>
      <c r="H5824" s="8" t="s">
        <v>11968</v>
      </c>
      <c r="I5824" s="8">
        <v>533.8125</v>
      </c>
      <c r="J5824" s="3">
        <f t="shared" si="90"/>
        <v>43747.898752662033</v>
      </c>
    </row>
    <row r="5825" spans="1:10" x14ac:dyDescent="0.25">
      <c r="A5825" s="5" t="s">
        <v>11969</v>
      </c>
      <c r="B5825" s="6">
        <v>418.75</v>
      </c>
      <c r="C5825" s="6">
        <v>20.478950000000001</v>
      </c>
      <c r="D5825" s="6">
        <v>83</v>
      </c>
      <c r="E5825" s="6">
        <v>0</v>
      </c>
      <c r="F5825" s="6">
        <v>0</v>
      </c>
      <c r="G5825" s="6">
        <v>25</v>
      </c>
      <c r="H5825" s="6" t="s">
        <v>11970</v>
      </c>
      <c r="I5825" s="6">
        <v>534</v>
      </c>
      <c r="J5825" s="2">
        <f t="shared" si="90"/>
        <v>43747.898823900461</v>
      </c>
    </row>
    <row r="5826" spans="1:10" x14ac:dyDescent="0.25">
      <c r="A5826" s="7" t="s">
        <v>11971</v>
      </c>
      <c r="B5826" s="8">
        <v>434.375</v>
      </c>
      <c r="C5826" s="8">
        <v>20.478950000000001</v>
      </c>
      <c r="D5826" s="8">
        <v>82</v>
      </c>
      <c r="E5826" s="8">
        <v>0</v>
      </c>
      <c r="F5826" s="8">
        <v>0</v>
      </c>
      <c r="G5826" s="8">
        <v>20</v>
      </c>
      <c r="H5826" s="8" t="s">
        <v>11972</v>
      </c>
      <c r="I5826" s="8">
        <v>539.4375</v>
      </c>
      <c r="J5826" s="3">
        <f t="shared" ref="J5826:J5889" si="91">(H5826/86400000)+25569+(7/24)</f>
        <v>43747.89889517361</v>
      </c>
    </row>
    <row r="5827" spans="1:10" x14ac:dyDescent="0.25">
      <c r="A5827" s="5" t="s">
        <v>11973</v>
      </c>
      <c r="B5827" s="6">
        <v>415.625</v>
      </c>
      <c r="C5827" s="6">
        <v>20.478950000000001</v>
      </c>
      <c r="D5827" s="6">
        <v>79</v>
      </c>
      <c r="E5827" s="6">
        <v>0</v>
      </c>
      <c r="F5827" s="6">
        <v>0</v>
      </c>
      <c r="G5827" s="6">
        <v>24</v>
      </c>
      <c r="H5827" s="6" t="s">
        <v>11974</v>
      </c>
      <c r="I5827" s="6">
        <v>533.8125</v>
      </c>
      <c r="J5827" s="2">
        <f t="shared" si="91"/>
        <v>43747.898967407404</v>
      </c>
    </row>
    <row r="5828" spans="1:10" x14ac:dyDescent="0.25">
      <c r="A5828" s="7" t="s">
        <v>11975</v>
      </c>
      <c r="B5828" s="8">
        <v>418.75</v>
      </c>
      <c r="C5828" s="8">
        <v>20.478950000000001</v>
      </c>
      <c r="D5828" s="8">
        <v>79</v>
      </c>
      <c r="E5828" s="8">
        <v>0</v>
      </c>
      <c r="F5828" s="8">
        <v>0</v>
      </c>
      <c r="G5828" s="8">
        <v>14</v>
      </c>
      <c r="H5828" s="8" t="s">
        <v>11976</v>
      </c>
      <c r="I5828" s="8">
        <v>534</v>
      </c>
      <c r="J5828" s="3">
        <f t="shared" si="91"/>
        <v>43747.899038321753</v>
      </c>
    </row>
    <row r="5829" spans="1:10" x14ac:dyDescent="0.25">
      <c r="A5829" s="5" t="s">
        <v>11977</v>
      </c>
      <c r="B5829" s="6">
        <v>418.75</v>
      </c>
      <c r="C5829" s="6">
        <v>20.478950000000001</v>
      </c>
      <c r="D5829" s="6">
        <v>79</v>
      </c>
      <c r="E5829" s="6">
        <v>0</v>
      </c>
      <c r="F5829" s="6">
        <v>0</v>
      </c>
      <c r="G5829" s="6">
        <v>20</v>
      </c>
      <c r="H5829" s="6" t="s">
        <v>11978</v>
      </c>
      <c r="I5829" s="6">
        <v>534</v>
      </c>
      <c r="J5829" s="2">
        <f t="shared" si="91"/>
        <v>43747.899110057864</v>
      </c>
    </row>
    <row r="5830" spans="1:10" x14ac:dyDescent="0.25">
      <c r="A5830" s="7" t="s">
        <v>11979</v>
      </c>
      <c r="B5830" s="8">
        <v>434.375</v>
      </c>
      <c r="C5830" s="8">
        <v>20.478950000000001</v>
      </c>
      <c r="D5830" s="8">
        <v>79</v>
      </c>
      <c r="E5830" s="8">
        <v>0</v>
      </c>
      <c r="F5830" s="8">
        <v>0</v>
      </c>
      <c r="G5830" s="8">
        <v>18</v>
      </c>
      <c r="H5830" s="8" t="s">
        <v>11980</v>
      </c>
      <c r="I5830" s="8">
        <v>539.4375</v>
      </c>
      <c r="J5830" s="3">
        <f t="shared" si="91"/>
        <v>43747.899181307868</v>
      </c>
    </row>
    <row r="5831" spans="1:10" x14ac:dyDescent="0.25">
      <c r="A5831" s="5" t="s">
        <v>11981</v>
      </c>
      <c r="B5831" s="6">
        <v>412.5</v>
      </c>
      <c r="C5831" s="6">
        <v>20.478950000000001</v>
      </c>
      <c r="D5831" s="6">
        <v>79</v>
      </c>
      <c r="E5831" s="6">
        <v>0</v>
      </c>
      <c r="F5831" s="6">
        <v>0</v>
      </c>
      <c r="G5831" s="6">
        <v>14</v>
      </c>
      <c r="H5831" s="6" t="s">
        <v>11982</v>
      </c>
      <c r="I5831" s="6">
        <v>532.3125</v>
      </c>
      <c r="J5831" s="2">
        <f t="shared" si="91"/>
        <v>43747.899253564814</v>
      </c>
    </row>
    <row r="5832" spans="1:10" x14ac:dyDescent="0.25">
      <c r="A5832" s="7" t="s">
        <v>11983</v>
      </c>
      <c r="B5832" s="8">
        <v>412.5</v>
      </c>
      <c r="C5832" s="8">
        <v>20.478950000000001</v>
      </c>
      <c r="D5832" s="8">
        <v>79</v>
      </c>
      <c r="E5832" s="8">
        <v>0</v>
      </c>
      <c r="F5832" s="8">
        <v>0</v>
      </c>
      <c r="G5832" s="8">
        <v>18</v>
      </c>
      <c r="H5832" s="8" t="s">
        <v>11984</v>
      </c>
      <c r="I5832" s="8">
        <v>532.3125</v>
      </c>
      <c r="J5832" s="3">
        <f t="shared" si="91"/>
        <v>43747.899324803242</v>
      </c>
    </row>
    <row r="5833" spans="1:10" x14ac:dyDescent="0.25">
      <c r="A5833" s="5" t="s">
        <v>11985</v>
      </c>
      <c r="B5833" s="6">
        <v>409.375</v>
      </c>
      <c r="C5833" s="6">
        <v>20.478950000000001</v>
      </c>
      <c r="D5833" s="6">
        <v>79</v>
      </c>
      <c r="E5833" s="6">
        <v>0</v>
      </c>
      <c r="F5833" s="6">
        <v>0</v>
      </c>
      <c r="G5833" s="6">
        <v>19</v>
      </c>
      <c r="H5833" s="6" t="s">
        <v>11986</v>
      </c>
      <c r="I5833" s="6">
        <v>531.5625</v>
      </c>
      <c r="J5833" s="2">
        <f t="shared" si="91"/>
        <v>43747.899396145833</v>
      </c>
    </row>
    <row r="5834" spans="1:10" x14ac:dyDescent="0.25">
      <c r="A5834" s="7" t="s">
        <v>11987</v>
      </c>
      <c r="B5834" s="8">
        <v>409.375</v>
      </c>
      <c r="C5834" s="8">
        <v>20.478950000000001</v>
      </c>
      <c r="D5834" s="8">
        <v>79</v>
      </c>
      <c r="E5834" s="8">
        <v>0</v>
      </c>
      <c r="F5834" s="8">
        <v>0</v>
      </c>
      <c r="G5834" s="8">
        <v>18</v>
      </c>
      <c r="H5834" s="8" t="s">
        <v>11988</v>
      </c>
      <c r="I5834" s="8">
        <v>531.5625</v>
      </c>
      <c r="J5834" s="3">
        <f t="shared" si="91"/>
        <v>43747.899479490741</v>
      </c>
    </row>
    <row r="5835" spans="1:10" x14ac:dyDescent="0.25">
      <c r="A5835" s="5" t="s">
        <v>11989</v>
      </c>
      <c r="B5835" s="6">
        <v>409.375</v>
      </c>
      <c r="C5835" s="6">
        <v>20.478950000000001</v>
      </c>
      <c r="D5835" s="6">
        <v>79</v>
      </c>
      <c r="E5835" s="6">
        <v>0</v>
      </c>
      <c r="F5835" s="6">
        <v>0</v>
      </c>
      <c r="G5835" s="6">
        <v>16</v>
      </c>
      <c r="H5835" s="6" t="s">
        <v>11990</v>
      </c>
      <c r="I5835" s="6">
        <v>531.5625</v>
      </c>
      <c r="J5835" s="2">
        <f t="shared" si="91"/>
        <v>43747.899551666669</v>
      </c>
    </row>
    <row r="5836" spans="1:10" x14ac:dyDescent="0.25">
      <c r="A5836" s="7" t="s">
        <v>11991</v>
      </c>
      <c r="B5836" s="8">
        <v>409.375</v>
      </c>
      <c r="C5836" s="8">
        <v>20.478950000000001</v>
      </c>
      <c r="D5836" s="8">
        <v>79</v>
      </c>
      <c r="E5836" s="8">
        <v>0</v>
      </c>
      <c r="F5836" s="8">
        <v>0</v>
      </c>
      <c r="G5836" s="8">
        <v>23</v>
      </c>
      <c r="H5836" s="8" t="s">
        <v>11992</v>
      </c>
      <c r="I5836" s="8">
        <v>531.5625</v>
      </c>
      <c r="J5836" s="3">
        <f t="shared" si="91"/>
        <v>43747.899649803243</v>
      </c>
    </row>
    <row r="5837" spans="1:10" x14ac:dyDescent="0.25">
      <c r="A5837" s="5" t="s">
        <v>11993</v>
      </c>
      <c r="B5837" s="6">
        <v>409.375</v>
      </c>
      <c r="C5837" s="6">
        <v>20.478950000000001</v>
      </c>
      <c r="D5837" s="6">
        <v>79</v>
      </c>
      <c r="E5837" s="6">
        <v>0</v>
      </c>
      <c r="F5837" s="6">
        <v>0</v>
      </c>
      <c r="G5837" s="6">
        <v>18</v>
      </c>
      <c r="H5837" s="6" t="s">
        <v>11994</v>
      </c>
      <c r="I5837" s="6">
        <v>531.5625</v>
      </c>
      <c r="J5837" s="2">
        <f t="shared" si="91"/>
        <v>43747.899730358789</v>
      </c>
    </row>
    <row r="5838" spans="1:10" x14ac:dyDescent="0.25">
      <c r="A5838" s="7" t="s">
        <v>11995</v>
      </c>
      <c r="B5838" s="8">
        <v>409.375</v>
      </c>
      <c r="C5838" s="8">
        <v>20.478950000000001</v>
      </c>
      <c r="D5838" s="8">
        <v>79</v>
      </c>
      <c r="E5838" s="8">
        <v>0</v>
      </c>
      <c r="F5838" s="8">
        <v>0</v>
      </c>
      <c r="G5838" s="8">
        <v>22</v>
      </c>
      <c r="H5838" s="8" t="s">
        <v>11996</v>
      </c>
      <c r="I5838" s="8">
        <v>531.5625</v>
      </c>
      <c r="J5838" s="3">
        <f t="shared" si="91"/>
        <v>43747.899801678235</v>
      </c>
    </row>
    <row r="5839" spans="1:10" x14ac:dyDescent="0.25">
      <c r="A5839" s="5" t="s">
        <v>11997</v>
      </c>
      <c r="B5839" s="6">
        <v>412.5</v>
      </c>
      <c r="C5839" s="6">
        <v>20.478950000000001</v>
      </c>
      <c r="D5839" s="6">
        <v>77</v>
      </c>
      <c r="E5839" s="6">
        <v>0</v>
      </c>
      <c r="F5839" s="6">
        <v>0</v>
      </c>
      <c r="G5839" s="6">
        <v>21</v>
      </c>
      <c r="H5839" s="6" t="s">
        <v>11998</v>
      </c>
      <c r="I5839" s="6">
        <v>532.3125</v>
      </c>
      <c r="J5839" s="2">
        <f t="shared" si="91"/>
        <v>43747.899884999999</v>
      </c>
    </row>
    <row r="5840" spans="1:10" x14ac:dyDescent="0.25">
      <c r="A5840" s="7" t="s">
        <v>11999</v>
      </c>
      <c r="B5840" s="8">
        <v>412.5</v>
      </c>
      <c r="C5840" s="8">
        <v>20.478950000000001</v>
      </c>
      <c r="D5840" s="8">
        <v>78</v>
      </c>
      <c r="E5840" s="8">
        <v>0</v>
      </c>
      <c r="F5840" s="8">
        <v>0</v>
      </c>
      <c r="G5840" s="8">
        <v>26</v>
      </c>
      <c r="H5840" s="8" t="s">
        <v>12000</v>
      </c>
      <c r="I5840" s="8">
        <v>532.3125</v>
      </c>
      <c r="J5840" s="3">
        <f t="shared" si="91"/>
        <v>43747.899956701389</v>
      </c>
    </row>
    <row r="5841" spans="1:10" x14ac:dyDescent="0.25">
      <c r="A5841" s="5" t="s">
        <v>12001</v>
      </c>
      <c r="B5841" s="6">
        <v>412.5</v>
      </c>
      <c r="C5841" s="6">
        <v>20.478950000000001</v>
      </c>
      <c r="D5841" s="6">
        <v>78</v>
      </c>
      <c r="E5841" s="6">
        <v>0</v>
      </c>
      <c r="F5841" s="6">
        <v>0</v>
      </c>
      <c r="G5841" s="6">
        <v>22</v>
      </c>
      <c r="H5841" s="6" t="s">
        <v>12002</v>
      </c>
      <c r="I5841" s="6">
        <v>532.3125</v>
      </c>
      <c r="J5841" s="2">
        <f t="shared" si="91"/>
        <v>43747.900028506941</v>
      </c>
    </row>
    <row r="5842" spans="1:10" x14ac:dyDescent="0.25">
      <c r="A5842" s="7" t="s">
        <v>12003</v>
      </c>
      <c r="B5842" s="8">
        <v>412.5</v>
      </c>
      <c r="C5842" s="8">
        <v>20.478950000000001</v>
      </c>
      <c r="D5842" s="8">
        <v>78</v>
      </c>
      <c r="E5842" s="8">
        <v>0</v>
      </c>
      <c r="F5842" s="8">
        <v>0</v>
      </c>
      <c r="G5842" s="8">
        <v>28</v>
      </c>
      <c r="H5842" s="8" t="s">
        <v>12004</v>
      </c>
      <c r="I5842" s="8">
        <v>532.3125</v>
      </c>
      <c r="J5842" s="3">
        <f t="shared" si="91"/>
        <v>43747.900099872684</v>
      </c>
    </row>
    <row r="5843" spans="1:10" x14ac:dyDescent="0.25">
      <c r="A5843" s="5" t="s">
        <v>12005</v>
      </c>
      <c r="B5843" s="6">
        <v>412.5</v>
      </c>
      <c r="C5843" s="6">
        <v>20.478950000000001</v>
      </c>
      <c r="D5843" s="6">
        <v>79</v>
      </c>
      <c r="E5843" s="6">
        <v>0</v>
      </c>
      <c r="F5843" s="6">
        <v>0</v>
      </c>
      <c r="G5843" s="6">
        <v>23</v>
      </c>
      <c r="H5843" s="6" t="s">
        <v>12006</v>
      </c>
      <c r="I5843" s="6">
        <v>532.3125</v>
      </c>
      <c r="J5843" s="2">
        <f t="shared" si="91"/>
        <v>43747.900195185182</v>
      </c>
    </row>
    <row r="5844" spans="1:10" x14ac:dyDescent="0.25">
      <c r="A5844" s="7" t="s">
        <v>12007</v>
      </c>
      <c r="B5844" s="8">
        <v>412.5</v>
      </c>
      <c r="C5844" s="8">
        <v>20.478950000000001</v>
      </c>
      <c r="D5844" s="8">
        <v>79</v>
      </c>
      <c r="E5844" s="8">
        <v>0</v>
      </c>
      <c r="F5844" s="8">
        <v>0</v>
      </c>
      <c r="G5844" s="8">
        <v>18</v>
      </c>
      <c r="H5844" s="8" t="s">
        <v>12008</v>
      </c>
      <c r="I5844" s="8">
        <v>532.3125</v>
      </c>
      <c r="J5844" s="3">
        <f t="shared" si="91"/>
        <v>43747.900266527773</v>
      </c>
    </row>
    <row r="5845" spans="1:10" x14ac:dyDescent="0.25">
      <c r="A5845" s="5" t="s">
        <v>12009</v>
      </c>
      <c r="B5845" s="6">
        <v>412.5</v>
      </c>
      <c r="C5845" s="6">
        <v>20.478950000000001</v>
      </c>
      <c r="D5845" s="6">
        <v>79</v>
      </c>
      <c r="E5845" s="6">
        <v>0</v>
      </c>
      <c r="F5845" s="6">
        <v>0</v>
      </c>
      <c r="G5845" s="6">
        <v>21</v>
      </c>
      <c r="H5845" s="6" t="s">
        <v>12010</v>
      </c>
      <c r="I5845" s="6">
        <v>532.3125</v>
      </c>
      <c r="J5845" s="2">
        <f t="shared" si="91"/>
        <v>43747.900338263884</v>
      </c>
    </row>
    <row r="5846" spans="1:10" x14ac:dyDescent="0.25">
      <c r="A5846" s="7" t="s">
        <v>12011</v>
      </c>
      <c r="B5846" s="8">
        <v>412.5</v>
      </c>
      <c r="C5846" s="8">
        <v>20.478950000000001</v>
      </c>
      <c r="D5846" s="8">
        <v>78</v>
      </c>
      <c r="E5846" s="8">
        <v>0</v>
      </c>
      <c r="F5846" s="8">
        <v>0</v>
      </c>
      <c r="G5846" s="8">
        <v>13</v>
      </c>
      <c r="H5846" s="8" t="s">
        <v>12012</v>
      </c>
      <c r="I5846" s="8">
        <v>532.3125</v>
      </c>
      <c r="J5846" s="3">
        <f t="shared" si="91"/>
        <v>43747.900424583328</v>
      </c>
    </row>
    <row r="5847" spans="1:10" x14ac:dyDescent="0.25">
      <c r="A5847" s="5" t="s">
        <v>12013</v>
      </c>
      <c r="B5847" s="6">
        <v>415.625</v>
      </c>
      <c r="C5847" s="6">
        <v>20.478950000000001</v>
      </c>
      <c r="D5847" s="6">
        <v>78</v>
      </c>
      <c r="E5847" s="6">
        <v>0</v>
      </c>
      <c r="F5847" s="6">
        <v>0</v>
      </c>
      <c r="G5847" s="6">
        <v>20</v>
      </c>
      <c r="H5847" s="6" t="s">
        <v>12014</v>
      </c>
      <c r="I5847" s="6">
        <v>533.0625</v>
      </c>
      <c r="J5847" s="2">
        <f t="shared" si="91"/>
        <v>43747.900505914346</v>
      </c>
    </row>
    <row r="5848" spans="1:10" x14ac:dyDescent="0.25">
      <c r="A5848" s="7" t="s">
        <v>12015</v>
      </c>
      <c r="B5848" s="8">
        <v>446.875</v>
      </c>
      <c r="C5848" s="8">
        <v>20.478950000000001</v>
      </c>
      <c r="D5848" s="8">
        <v>79</v>
      </c>
      <c r="E5848" s="8">
        <v>0</v>
      </c>
      <c r="F5848" s="8">
        <v>0</v>
      </c>
      <c r="G5848" s="8">
        <v>20</v>
      </c>
      <c r="H5848" s="8" t="s">
        <v>12016</v>
      </c>
      <c r="I5848" s="8">
        <v>543</v>
      </c>
      <c r="J5848" s="3">
        <f t="shared" si="91"/>
        <v>43747.900577152774</v>
      </c>
    </row>
    <row r="5849" spans="1:10" x14ac:dyDescent="0.25">
      <c r="A5849" s="5" t="s">
        <v>12017</v>
      </c>
      <c r="B5849" s="6">
        <v>412.5</v>
      </c>
      <c r="C5849" s="6">
        <v>20.478950000000001</v>
      </c>
      <c r="D5849" s="6">
        <v>79</v>
      </c>
      <c r="E5849" s="6">
        <v>0</v>
      </c>
      <c r="F5849" s="6">
        <v>0</v>
      </c>
      <c r="G5849" s="6">
        <v>19</v>
      </c>
      <c r="H5849" s="6" t="s">
        <v>12018</v>
      </c>
      <c r="I5849" s="6">
        <v>532.3125</v>
      </c>
      <c r="J5849" s="2">
        <f t="shared" si="91"/>
        <v>43747.900648495364</v>
      </c>
    </row>
    <row r="5850" spans="1:10" x14ac:dyDescent="0.25">
      <c r="A5850" s="7" t="s">
        <v>12019</v>
      </c>
      <c r="B5850" s="8">
        <v>415.625</v>
      </c>
      <c r="C5850" s="8">
        <v>20.478950000000001</v>
      </c>
      <c r="D5850" s="8">
        <v>79</v>
      </c>
      <c r="E5850" s="8">
        <v>0</v>
      </c>
      <c r="F5850" s="8">
        <v>0</v>
      </c>
      <c r="G5850" s="8">
        <v>21</v>
      </c>
      <c r="H5850" s="8" t="s">
        <v>12020</v>
      </c>
      <c r="I5850" s="8">
        <v>533.0625</v>
      </c>
      <c r="J5850" s="3">
        <f t="shared" si="91"/>
        <v>43747.900719999998</v>
      </c>
    </row>
    <row r="5851" spans="1:10" x14ac:dyDescent="0.25">
      <c r="A5851" s="5" t="s">
        <v>12021</v>
      </c>
      <c r="B5851" s="6">
        <v>415.625</v>
      </c>
      <c r="C5851" s="6">
        <v>20.478950000000001</v>
      </c>
      <c r="D5851" s="6">
        <v>78</v>
      </c>
      <c r="E5851" s="6">
        <v>0</v>
      </c>
      <c r="F5851" s="6">
        <v>0</v>
      </c>
      <c r="G5851" s="6">
        <v>22</v>
      </c>
      <c r="H5851" s="6" t="s">
        <v>12022</v>
      </c>
      <c r="I5851" s="6">
        <v>533.0625</v>
      </c>
      <c r="J5851" s="2">
        <f t="shared" si="91"/>
        <v>43747.900804050929</v>
      </c>
    </row>
    <row r="5852" spans="1:10" x14ac:dyDescent="0.25">
      <c r="A5852" s="7" t="s">
        <v>12023</v>
      </c>
      <c r="B5852" s="8">
        <v>415.625</v>
      </c>
      <c r="C5852" s="8">
        <v>20.478950000000001</v>
      </c>
      <c r="D5852" s="8">
        <v>79</v>
      </c>
      <c r="E5852" s="8">
        <v>0</v>
      </c>
      <c r="F5852" s="8">
        <v>0</v>
      </c>
      <c r="G5852" s="8">
        <v>21</v>
      </c>
      <c r="H5852" s="8" t="s">
        <v>12024</v>
      </c>
      <c r="I5852" s="8">
        <v>533.25</v>
      </c>
      <c r="J5852" s="3">
        <f t="shared" si="91"/>
        <v>43747.900875347223</v>
      </c>
    </row>
    <row r="5853" spans="1:10" x14ac:dyDescent="0.25">
      <c r="A5853" s="5" t="s">
        <v>12025</v>
      </c>
      <c r="B5853" s="6">
        <v>418.75</v>
      </c>
      <c r="C5853" s="6">
        <v>20.531590000000001</v>
      </c>
      <c r="D5853" s="6">
        <v>78</v>
      </c>
      <c r="E5853" s="6">
        <v>0</v>
      </c>
      <c r="F5853" s="6">
        <v>0</v>
      </c>
      <c r="G5853" s="6">
        <v>20</v>
      </c>
      <c r="H5853" s="6" t="s">
        <v>12026</v>
      </c>
      <c r="I5853" s="6">
        <v>534</v>
      </c>
      <c r="J5853" s="2">
        <f t="shared" si="91"/>
        <v>43747.900946643516</v>
      </c>
    </row>
    <row r="5854" spans="1:10" x14ac:dyDescent="0.25">
      <c r="A5854" s="7" t="s">
        <v>12027</v>
      </c>
      <c r="B5854" s="8">
        <v>415.625</v>
      </c>
      <c r="C5854" s="8">
        <v>20.478950000000001</v>
      </c>
      <c r="D5854" s="8">
        <v>78</v>
      </c>
      <c r="E5854" s="8">
        <v>0</v>
      </c>
      <c r="F5854" s="8">
        <v>0</v>
      </c>
      <c r="G5854" s="8">
        <v>24</v>
      </c>
      <c r="H5854" s="8" t="s">
        <v>12028</v>
      </c>
      <c r="I5854" s="8">
        <v>533.8125</v>
      </c>
      <c r="J5854" s="3">
        <f t="shared" si="91"/>
        <v>43747.90102996528</v>
      </c>
    </row>
    <row r="5855" spans="1:10" x14ac:dyDescent="0.25">
      <c r="A5855" s="5" t="s">
        <v>12029</v>
      </c>
      <c r="B5855" s="6">
        <v>456.25</v>
      </c>
      <c r="C5855" s="6">
        <v>20.478950000000001</v>
      </c>
      <c r="D5855" s="6">
        <v>77</v>
      </c>
      <c r="E5855" s="6">
        <v>0</v>
      </c>
      <c r="F5855" s="6">
        <v>0</v>
      </c>
      <c r="G5855" s="6">
        <v>17</v>
      </c>
      <c r="H5855" s="6" t="s">
        <v>12030</v>
      </c>
      <c r="I5855" s="6">
        <v>546.75</v>
      </c>
      <c r="J5855" s="2">
        <f t="shared" si="91"/>
        <v>43747.901102199066</v>
      </c>
    </row>
    <row r="5856" spans="1:10" x14ac:dyDescent="0.25">
      <c r="A5856" s="7" t="s">
        <v>12031</v>
      </c>
      <c r="B5856" s="8">
        <v>415.625</v>
      </c>
      <c r="C5856" s="8">
        <v>20.478950000000001</v>
      </c>
      <c r="D5856" s="8">
        <v>77</v>
      </c>
      <c r="E5856" s="8">
        <v>0</v>
      </c>
      <c r="F5856" s="8">
        <v>0</v>
      </c>
      <c r="G5856" s="8">
        <v>22</v>
      </c>
      <c r="H5856" s="8" t="s">
        <v>12032</v>
      </c>
      <c r="I5856" s="8">
        <v>533.8125</v>
      </c>
      <c r="J5856" s="3">
        <f t="shared" si="91"/>
        <v>43747.901173495367</v>
      </c>
    </row>
    <row r="5857" spans="1:10" x14ac:dyDescent="0.25">
      <c r="A5857" s="5" t="s">
        <v>12033</v>
      </c>
      <c r="B5857" s="6">
        <v>415.625</v>
      </c>
      <c r="C5857" s="6">
        <v>20.478950000000001</v>
      </c>
      <c r="D5857" s="6">
        <v>77</v>
      </c>
      <c r="E5857" s="6">
        <v>0</v>
      </c>
      <c r="F5857" s="6">
        <v>0</v>
      </c>
      <c r="G5857" s="6">
        <v>18</v>
      </c>
      <c r="H5857" s="6" t="s">
        <v>12034</v>
      </c>
      <c r="I5857" s="6">
        <v>533.8125</v>
      </c>
      <c r="J5857" s="2">
        <f t="shared" si="91"/>
        <v>43747.901244780085</v>
      </c>
    </row>
    <row r="5858" spans="1:10" x14ac:dyDescent="0.25">
      <c r="A5858" s="7" t="s">
        <v>12035</v>
      </c>
      <c r="B5858" s="8">
        <v>418.75</v>
      </c>
      <c r="C5858" s="8">
        <v>20.478950000000001</v>
      </c>
      <c r="D5858" s="8">
        <v>78</v>
      </c>
      <c r="E5858" s="8">
        <v>0</v>
      </c>
      <c r="F5858" s="8">
        <v>0</v>
      </c>
      <c r="G5858" s="8">
        <v>19</v>
      </c>
      <c r="H5858" s="8" t="s">
        <v>12036</v>
      </c>
      <c r="I5858" s="8">
        <v>534</v>
      </c>
      <c r="J5858" s="3">
        <f t="shared" si="91"/>
        <v>43747.901328182867</v>
      </c>
    </row>
    <row r="5859" spans="1:10" x14ac:dyDescent="0.25">
      <c r="A5859" s="5" t="s">
        <v>12037</v>
      </c>
      <c r="B5859" s="6">
        <v>418.75</v>
      </c>
      <c r="C5859" s="6">
        <v>20.478950000000001</v>
      </c>
      <c r="D5859" s="6">
        <v>78</v>
      </c>
      <c r="E5859" s="6">
        <v>0</v>
      </c>
      <c r="F5859" s="6">
        <v>0</v>
      </c>
      <c r="G5859" s="6">
        <v>26</v>
      </c>
      <c r="H5859" s="6" t="s">
        <v>12038</v>
      </c>
      <c r="I5859" s="6">
        <v>534</v>
      </c>
      <c r="J5859" s="2">
        <f t="shared" si="91"/>
        <v>43747.901400162031</v>
      </c>
    </row>
    <row r="5860" spans="1:10" x14ac:dyDescent="0.25">
      <c r="A5860" s="7" t="s">
        <v>12039</v>
      </c>
      <c r="B5860" s="8">
        <v>418.75</v>
      </c>
      <c r="C5860" s="8">
        <v>20.478950000000001</v>
      </c>
      <c r="D5860" s="8">
        <v>80</v>
      </c>
      <c r="E5860" s="8">
        <v>0</v>
      </c>
      <c r="F5860" s="8">
        <v>0</v>
      </c>
      <c r="G5860" s="8">
        <v>18</v>
      </c>
      <c r="H5860" s="8" t="s">
        <v>12040</v>
      </c>
      <c r="I5860" s="8">
        <v>534</v>
      </c>
      <c r="J5860" s="3">
        <f t="shared" si="91"/>
        <v>43747.901471168974</v>
      </c>
    </row>
    <row r="5861" spans="1:10" x14ac:dyDescent="0.25">
      <c r="A5861" s="5" t="s">
        <v>12041</v>
      </c>
      <c r="B5861" s="6">
        <v>418.75</v>
      </c>
      <c r="C5861" s="6">
        <v>20.478950000000001</v>
      </c>
      <c r="D5861" s="6">
        <v>79</v>
      </c>
      <c r="E5861" s="6">
        <v>0</v>
      </c>
      <c r="F5861" s="6">
        <v>0</v>
      </c>
      <c r="G5861" s="6">
        <v>16</v>
      </c>
      <c r="H5861" s="6" t="s">
        <v>12042</v>
      </c>
      <c r="I5861" s="6">
        <v>534</v>
      </c>
      <c r="J5861" s="2">
        <f t="shared" si="91"/>
        <v>43747.901542928237</v>
      </c>
    </row>
    <row r="5862" spans="1:10" x14ac:dyDescent="0.25">
      <c r="A5862" s="7" t="s">
        <v>12043</v>
      </c>
      <c r="B5862" s="8">
        <v>415.625</v>
      </c>
      <c r="C5862" s="8">
        <v>20.478950000000001</v>
      </c>
      <c r="D5862" s="8">
        <v>81</v>
      </c>
      <c r="E5862" s="8">
        <v>0</v>
      </c>
      <c r="F5862" s="8">
        <v>0</v>
      </c>
      <c r="G5862" s="8">
        <v>21</v>
      </c>
      <c r="H5862" s="8" t="s">
        <v>12044</v>
      </c>
      <c r="I5862" s="8">
        <v>533.0625</v>
      </c>
      <c r="J5862" s="3">
        <f t="shared" si="91"/>
        <v>43747.901614247683</v>
      </c>
    </row>
    <row r="5863" spans="1:10" x14ac:dyDescent="0.25">
      <c r="A5863" s="5" t="s">
        <v>12045</v>
      </c>
      <c r="B5863" s="6">
        <v>428.125</v>
      </c>
      <c r="C5863" s="6">
        <v>20.478950000000001</v>
      </c>
      <c r="D5863" s="6">
        <v>81</v>
      </c>
      <c r="E5863" s="6">
        <v>0</v>
      </c>
      <c r="F5863" s="6">
        <v>0</v>
      </c>
      <c r="G5863" s="6">
        <v>25</v>
      </c>
      <c r="H5863" s="6" t="s">
        <v>12046</v>
      </c>
      <c r="I5863" s="6">
        <v>537.9375</v>
      </c>
      <c r="J5863" s="2">
        <f t="shared" si="91"/>
        <v>43747.901686400459</v>
      </c>
    </row>
    <row r="5864" spans="1:10" x14ac:dyDescent="0.25">
      <c r="A5864" s="7" t="s">
        <v>12047</v>
      </c>
      <c r="B5864" s="8">
        <v>412.5</v>
      </c>
      <c r="C5864" s="8">
        <v>20.478950000000001</v>
      </c>
      <c r="D5864" s="8">
        <v>81</v>
      </c>
      <c r="E5864" s="8">
        <v>0</v>
      </c>
      <c r="F5864" s="8">
        <v>0</v>
      </c>
      <c r="G5864" s="8">
        <v>25</v>
      </c>
      <c r="H5864" s="8" t="s">
        <v>12048</v>
      </c>
      <c r="I5864" s="8">
        <v>532.3125</v>
      </c>
      <c r="J5864" s="3">
        <f t="shared" si="91"/>
        <v>43747.901776585648</v>
      </c>
    </row>
    <row r="5865" spans="1:10" x14ac:dyDescent="0.25">
      <c r="A5865" s="5" t="s">
        <v>12049</v>
      </c>
      <c r="B5865" s="6">
        <v>412.5</v>
      </c>
      <c r="C5865" s="6">
        <v>20.478950000000001</v>
      </c>
      <c r="D5865" s="6">
        <v>81</v>
      </c>
      <c r="E5865" s="6">
        <v>0</v>
      </c>
      <c r="F5865" s="6">
        <v>0</v>
      </c>
      <c r="G5865" s="6">
        <v>19</v>
      </c>
      <c r="H5865" s="6" t="s">
        <v>12050</v>
      </c>
      <c r="I5865" s="6">
        <v>532.3125</v>
      </c>
      <c r="J5865" s="2">
        <f t="shared" si="91"/>
        <v>43747.901853055555</v>
      </c>
    </row>
    <row r="5866" spans="1:10" x14ac:dyDescent="0.25">
      <c r="A5866" s="7" t="s">
        <v>12051</v>
      </c>
      <c r="B5866" s="8">
        <v>412.5</v>
      </c>
      <c r="C5866" s="8">
        <v>20.478950000000001</v>
      </c>
      <c r="D5866" s="8">
        <v>80</v>
      </c>
      <c r="E5866" s="8">
        <v>0</v>
      </c>
      <c r="F5866" s="8">
        <v>0</v>
      </c>
      <c r="G5866" s="8">
        <v>22</v>
      </c>
      <c r="H5866" s="8" t="s">
        <v>12052</v>
      </c>
      <c r="I5866" s="8">
        <v>532.3125</v>
      </c>
      <c r="J5866" s="3">
        <f t="shared" si="91"/>
        <v>43747.90192442129</v>
      </c>
    </row>
    <row r="5867" spans="1:10" x14ac:dyDescent="0.25">
      <c r="A5867" s="5" t="s">
        <v>12053</v>
      </c>
      <c r="B5867" s="6">
        <v>412.5</v>
      </c>
      <c r="C5867" s="6">
        <v>20.478950000000001</v>
      </c>
      <c r="D5867" s="6">
        <v>80</v>
      </c>
      <c r="E5867" s="6">
        <v>0</v>
      </c>
      <c r="F5867" s="6">
        <v>0</v>
      </c>
      <c r="G5867" s="6">
        <v>29</v>
      </c>
      <c r="H5867" s="6" t="s">
        <v>12054</v>
      </c>
      <c r="I5867" s="6">
        <v>532.3125</v>
      </c>
      <c r="J5867" s="2">
        <f t="shared" si="91"/>
        <v>43747.901996400462</v>
      </c>
    </row>
    <row r="5868" spans="1:10" x14ac:dyDescent="0.25">
      <c r="A5868" s="7" t="s">
        <v>12055</v>
      </c>
      <c r="B5868" s="8">
        <v>409.375</v>
      </c>
      <c r="C5868" s="8">
        <v>20.478950000000001</v>
      </c>
      <c r="D5868" s="8">
        <v>80</v>
      </c>
      <c r="E5868" s="8">
        <v>0</v>
      </c>
      <c r="F5868" s="8">
        <v>0</v>
      </c>
      <c r="G5868" s="8">
        <v>25</v>
      </c>
      <c r="H5868" s="8" t="s">
        <v>12056</v>
      </c>
      <c r="I5868" s="8">
        <v>531.5625</v>
      </c>
      <c r="J5868" s="3">
        <f t="shared" si="91"/>
        <v>43747.902067939816</v>
      </c>
    </row>
    <row r="5869" spans="1:10" x14ac:dyDescent="0.25">
      <c r="A5869" s="5" t="s">
        <v>12057</v>
      </c>
      <c r="B5869" s="6">
        <v>409.375</v>
      </c>
      <c r="C5869" s="6">
        <v>20.478950000000001</v>
      </c>
      <c r="D5869" s="6">
        <v>80</v>
      </c>
      <c r="E5869" s="6">
        <v>0</v>
      </c>
      <c r="F5869" s="6">
        <v>0</v>
      </c>
      <c r="G5869" s="6">
        <v>21</v>
      </c>
      <c r="H5869" s="6" t="s">
        <v>12058</v>
      </c>
      <c r="I5869" s="6">
        <v>531.5625</v>
      </c>
      <c r="J5869" s="2">
        <f t="shared" si="91"/>
        <v>43747.902139247679</v>
      </c>
    </row>
    <row r="5870" spans="1:10" x14ac:dyDescent="0.25">
      <c r="A5870" s="7" t="s">
        <v>12059</v>
      </c>
      <c r="B5870" s="8">
        <v>428.125</v>
      </c>
      <c r="C5870" s="8">
        <v>20.478950000000001</v>
      </c>
      <c r="D5870" s="8">
        <v>80</v>
      </c>
      <c r="E5870" s="8">
        <v>0</v>
      </c>
      <c r="F5870" s="8">
        <v>0</v>
      </c>
      <c r="G5870" s="8">
        <v>26</v>
      </c>
      <c r="H5870" s="8" t="s">
        <v>12060</v>
      </c>
      <c r="I5870" s="8">
        <v>537.1875</v>
      </c>
      <c r="J5870" s="3">
        <f t="shared" si="91"/>
        <v>43747.902226643513</v>
      </c>
    </row>
    <row r="5871" spans="1:10" x14ac:dyDescent="0.25">
      <c r="A5871" s="5" t="s">
        <v>12061</v>
      </c>
      <c r="B5871" s="6">
        <v>406.25</v>
      </c>
      <c r="C5871" s="6">
        <v>20.478950000000001</v>
      </c>
      <c r="D5871" s="6">
        <v>80</v>
      </c>
      <c r="E5871" s="6">
        <v>0</v>
      </c>
      <c r="F5871" s="6">
        <v>0</v>
      </c>
      <c r="G5871" s="6">
        <v>24</v>
      </c>
      <c r="H5871" s="6" t="s">
        <v>12062</v>
      </c>
      <c r="I5871" s="6">
        <v>530.625</v>
      </c>
      <c r="J5871" s="2">
        <f t="shared" si="91"/>
        <v>43747.902305891206</v>
      </c>
    </row>
    <row r="5872" spans="1:10" x14ac:dyDescent="0.25">
      <c r="A5872" s="7" t="s">
        <v>12063</v>
      </c>
      <c r="B5872" s="8">
        <v>406.25</v>
      </c>
      <c r="C5872" s="8">
        <v>20.478950000000001</v>
      </c>
      <c r="D5872" s="8">
        <v>80</v>
      </c>
      <c r="E5872" s="8">
        <v>0</v>
      </c>
      <c r="F5872" s="8">
        <v>0</v>
      </c>
      <c r="G5872" s="8">
        <v>9</v>
      </c>
      <c r="H5872" s="8" t="s">
        <v>12064</v>
      </c>
      <c r="I5872" s="8">
        <v>530.625</v>
      </c>
      <c r="J5872" s="3">
        <f t="shared" si="91"/>
        <v>43747.902377430553</v>
      </c>
    </row>
    <row r="5873" spans="1:10" x14ac:dyDescent="0.25">
      <c r="A5873" s="5" t="s">
        <v>12065</v>
      </c>
      <c r="B5873" s="6">
        <v>406.25</v>
      </c>
      <c r="C5873" s="6">
        <v>20.478950000000001</v>
      </c>
      <c r="D5873" s="6">
        <v>80</v>
      </c>
      <c r="E5873" s="6">
        <v>0</v>
      </c>
      <c r="F5873" s="6">
        <v>0</v>
      </c>
      <c r="G5873" s="6">
        <v>22</v>
      </c>
      <c r="H5873" s="6" t="s">
        <v>12066</v>
      </c>
      <c r="I5873" s="6">
        <v>530.625</v>
      </c>
      <c r="J5873" s="2">
        <f t="shared" si="91"/>
        <v>43747.902449409718</v>
      </c>
    </row>
    <row r="5874" spans="1:10" x14ac:dyDescent="0.25">
      <c r="A5874" s="7" t="s">
        <v>12067</v>
      </c>
      <c r="B5874" s="8">
        <v>409.375</v>
      </c>
      <c r="C5874" s="8">
        <v>20.478950000000001</v>
      </c>
      <c r="D5874" s="8">
        <v>81</v>
      </c>
      <c r="E5874" s="8">
        <v>0</v>
      </c>
      <c r="F5874" s="8">
        <v>0</v>
      </c>
      <c r="G5874" s="8">
        <v>21</v>
      </c>
      <c r="H5874" s="8" t="s">
        <v>12068</v>
      </c>
      <c r="I5874" s="8">
        <v>531.5625</v>
      </c>
      <c r="J5874" s="3">
        <f t="shared" si="91"/>
        <v>43747.902520706011</v>
      </c>
    </row>
    <row r="5875" spans="1:10" x14ac:dyDescent="0.25">
      <c r="A5875" s="5" t="s">
        <v>12069</v>
      </c>
      <c r="B5875" s="6">
        <v>409.375</v>
      </c>
      <c r="C5875" s="6">
        <v>20.478950000000001</v>
      </c>
      <c r="D5875" s="6">
        <v>80</v>
      </c>
      <c r="E5875" s="6">
        <v>0</v>
      </c>
      <c r="F5875" s="6">
        <v>0</v>
      </c>
      <c r="G5875" s="6">
        <v>32</v>
      </c>
      <c r="H5875" s="6" t="s">
        <v>12070</v>
      </c>
      <c r="I5875" s="6">
        <v>531.375</v>
      </c>
      <c r="J5875" s="2">
        <f t="shared" si="91"/>
        <v>43747.902592060178</v>
      </c>
    </row>
    <row r="5876" spans="1:10" x14ac:dyDescent="0.25">
      <c r="A5876" s="7" t="s">
        <v>12071</v>
      </c>
      <c r="B5876" s="8">
        <v>406.25</v>
      </c>
      <c r="C5876" s="8">
        <v>20.478950000000001</v>
      </c>
      <c r="D5876" s="8">
        <v>80</v>
      </c>
      <c r="E5876" s="8">
        <v>0</v>
      </c>
      <c r="F5876" s="8">
        <v>0</v>
      </c>
      <c r="G5876" s="8">
        <v>19</v>
      </c>
      <c r="H5876" s="8" t="s">
        <v>12072</v>
      </c>
      <c r="I5876" s="8">
        <v>530.625</v>
      </c>
      <c r="J5876" s="3">
        <f t="shared" si="91"/>
        <v>43747.902664305555</v>
      </c>
    </row>
    <row r="5877" spans="1:10" x14ac:dyDescent="0.25">
      <c r="A5877" s="5" t="s">
        <v>12073</v>
      </c>
      <c r="B5877" s="6">
        <v>406.25</v>
      </c>
      <c r="C5877" s="6">
        <v>20.478950000000001</v>
      </c>
      <c r="D5877" s="6">
        <v>80</v>
      </c>
      <c r="E5877" s="6">
        <v>0</v>
      </c>
      <c r="F5877" s="6">
        <v>0</v>
      </c>
      <c r="G5877" s="6">
        <v>21</v>
      </c>
      <c r="H5877" s="6" t="s">
        <v>12074</v>
      </c>
      <c r="I5877" s="6">
        <v>530.8125</v>
      </c>
      <c r="J5877" s="2">
        <f t="shared" si="91"/>
        <v>43747.902735543983</v>
      </c>
    </row>
    <row r="5878" spans="1:10" x14ac:dyDescent="0.25">
      <c r="A5878" s="7" t="s">
        <v>12075</v>
      </c>
      <c r="B5878" s="8">
        <v>403.125</v>
      </c>
      <c r="C5878" s="8">
        <v>20.478950000000001</v>
      </c>
      <c r="D5878" s="8">
        <v>82</v>
      </c>
      <c r="E5878" s="8">
        <v>0</v>
      </c>
      <c r="F5878" s="8">
        <v>0</v>
      </c>
      <c r="G5878" s="8">
        <v>25</v>
      </c>
      <c r="H5878" s="8" t="s">
        <v>12076</v>
      </c>
      <c r="I5878" s="8">
        <v>529.875</v>
      </c>
      <c r="J5878" s="3">
        <f t="shared" si="91"/>
        <v>43747.902818854163</v>
      </c>
    </row>
    <row r="5879" spans="1:10" x14ac:dyDescent="0.25">
      <c r="A5879" s="5" t="s">
        <v>12077</v>
      </c>
      <c r="B5879" s="6">
        <v>403.125</v>
      </c>
      <c r="C5879" s="6">
        <v>20.478950000000001</v>
      </c>
      <c r="D5879" s="6">
        <v>82</v>
      </c>
      <c r="E5879" s="6">
        <v>0</v>
      </c>
      <c r="F5879" s="6">
        <v>0</v>
      </c>
      <c r="G5879" s="6">
        <v>27</v>
      </c>
      <c r="H5879" s="6" t="s">
        <v>12078</v>
      </c>
      <c r="I5879" s="6">
        <v>529.875</v>
      </c>
      <c r="J5879" s="2">
        <f t="shared" si="91"/>
        <v>43747.90289020833</v>
      </c>
    </row>
    <row r="5880" spans="1:10" x14ac:dyDescent="0.25">
      <c r="A5880" s="7" t="s">
        <v>12079</v>
      </c>
      <c r="B5880" s="8">
        <v>403.125</v>
      </c>
      <c r="C5880" s="8">
        <v>20.478950000000001</v>
      </c>
      <c r="D5880" s="8">
        <v>83</v>
      </c>
      <c r="E5880" s="8">
        <v>0</v>
      </c>
      <c r="F5880" s="8">
        <v>0</v>
      </c>
      <c r="G5880" s="8">
        <v>24</v>
      </c>
      <c r="H5880" s="8" t="s">
        <v>12080</v>
      </c>
      <c r="I5880" s="8">
        <v>529.875</v>
      </c>
      <c r="J5880" s="3">
        <f t="shared" si="91"/>
        <v>43747.902985567132</v>
      </c>
    </row>
    <row r="5881" spans="1:10" x14ac:dyDescent="0.25">
      <c r="A5881" s="5" t="s">
        <v>12081</v>
      </c>
      <c r="B5881" s="6">
        <v>403.125</v>
      </c>
      <c r="C5881" s="6">
        <v>20.478950000000001</v>
      </c>
      <c r="D5881" s="6">
        <v>84</v>
      </c>
      <c r="E5881" s="6">
        <v>0</v>
      </c>
      <c r="F5881" s="6">
        <v>0</v>
      </c>
      <c r="G5881" s="6">
        <v>22</v>
      </c>
      <c r="H5881" s="6" t="s">
        <v>12082</v>
      </c>
      <c r="I5881" s="6">
        <v>529.875</v>
      </c>
      <c r="J5881" s="2">
        <f t="shared" si="91"/>
        <v>43747.903069768516</v>
      </c>
    </row>
    <row r="5882" spans="1:10" x14ac:dyDescent="0.25">
      <c r="A5882" s="7" t="s">
        <v>12083</v>
      </c>
      <c r="B5882" s="8">
        <v>421.875</v>
      </c>
      <c r="C5882" s="8">
        <v>20.478950000000001</v>
      </c>
      <c r="D5882" s="8">
        <v>83</v>
      </c>
      <c r="E5882" s="8">
        <v>0</v>
      </c>
      <c r="F5882" s="8">
        <v>0</v>
      </c>
      <c r="G5882" s="8">
        <v>27</v>
      </c>
      <c r="H5882" s="8" t="s">
        <v>12084</v>
      </c>
      <c r="I5882" s="8">
        <v>535.5</v>
      </c>
      <c r="J5882" s="3">
        <f t="shared" si="91"/>
        <v>43747.903143425923</v>
      </c>
    </row>
    <row r="5883" spans="1:10" x14ac:dyDescent="0.25">
      <c r="A5883" s="5" t="s">
        <v>12085</v>
      </c>
      <c r="B5883" s="6">
        <v>403.125</v>
      </c>
      <c r="C5883" s="6">
        <v>20.478950000000001</v>
      </c>
      <c r="D5883" s="6">
        <v>81</v>
      </c>
      <c r="E5883" s="6">
        <v>0</v>
      </c>
      <c r="F5883" s="6">
        <v>0</v>
      </c>
      <c r="G5883" s="6">
        <v>24</v>
      </c>
      <c r="H5883" s="6" t="s">
        <v>12086</v>
      </c>
      <c r="I5883" s="6">
        <v>529.875</v>
      </c>
      <c r="J5883" s="2">
        <f t="shared" si="91"/>
        <v>43747.903225150461</v>
      </c>
    </row>
    <row r="5884" spans="1:10" x14ac:dyDescent="0.25">
      <c r="A5884" s="7" t="s">
        <v>12087</v>
      </c>
      <c r="B5884" s="8">
        <v>406.25</v>
      </c>
      <c r="C5884" s="8">
        <v>20.478950000000001</v>
      </c>
      <c r="D5884" s="8">
        <v>81</v>
      </c>
      <c r="E5884" s="8">
        <v>0</v>
      </c>
      <c r="F5884" s="8">
        <v>0</v>
      </c>
      <c r="G5884" s="8">
        <v>26</v>
      </c>
      <c r="H5884" s="8" t="s">
        <v>12088</v>
      </c>
      <c r="I5884" s="8">
        <v>530.8125</v>
      </c>
      <c r="J5884" s="3">
        <f t="shared" si="91"/>
        <v>43747.903295694443</v>
      </c>
    </row>
    <row r="5885" spans="1:10" x14ac:dyDescent="0.25">
      <c r="A5885" s="5" t="s">
        <v>12089</v>
      </c>
      <c r="B5885" s="6">
        <v>406.25</v>
      </c>
      <c r="C5885" s="6">
        <v>20.478950000000001</v>
      </c>
      <c r="D5885" s="6">
        <v>82</v>
      </c>
      <c r="E5885" s="6">
        <v>0</v>
      </c>
      <c r="F5885" s="6">
        <v>0</v>
      </c>
      <c r="G5885" s="6">
        <v>23</v>
      </c>
      <c r="H5885" s="6" t="s">
        <v>12090</v>
      </c>
      <c r="I5885" s="6">
        <v>530.8125</v>
      </c>
      <c r="J5885" s="2">
        <f t="shared" si="91"/>
        <v>43747.903367754632</v>
      </c>
    </row>
    <row r="5886" spans="1:10" x14ac:dyDescent="0.25">
      <c r="A5886" s="7" t="s">
        <v>12091</v>
      </c>
      <c r="B5886" s="8">
        <v>409.375</v>
      </c>
      <c r="C5886" s="8">
        <v>20.478950000000001</v>
      </c>
      <c r="D5886" s="8">
        <v>82</v>
      </c>
      <c r="E5886" s="8">
        <v>0</v>
      </c>
      <c r="F5886" s="8">
        <v>0</v>
      </c>
      <c r="G5886" s="8">
        <v>19</v>
      </c>
      <c r="H5886" s="8" t="s">
        <v>12092</v>
      </c>
      <c r="I5886" s="8">
        <v>531.5625</v>
      </c>
      <c r="J5886" s="3">
        <f t="shared" si="91"/>
        <v>43747.903438298606</v>
      </c>
    </row>
    <row r="5887" spans="1:10" x14ac:dyDescent="0.25">
      <c r="A5887" s="5" t="s">
        <v>12093</v>
      </c>
      <c r="B5887" s="6">
        <v>409.375</v>
      </c>
      <c r="C5887" s="6">
        <v>20.478950000000001</v>
      </c>
      <c r="D5887" s="6">
        <v>82</v>
      </c>
      <c r="E5887" s="6">
        <v>0</v>
      </c>
      <c r="F5887" s="6">
        <v>0</v>
      </c>
      <c r="G5887" s="6">
        <v>30</v>
      </c>
      <c r="H5887" s="6" t="s">
        <v>12094</v>
      </c>
      <c r="I5887" s="6">
        <v>531.5625</v>
      </c>
      <c r="J5887" s="2">
        <f t="shared" si="91"/>
        <v>43747.903510509255</v>
      </c>
    </row>
    <row r="5888" spans="1:10" x14ac:dyDescent="0.25">
      <c r="A5888" s="7" t="s">
        <v>12095</v>
      </c>
      <c r="B5888" s="8">
        <v>409.375</v>
      </c>
      <c r="C5888" s="8">
        <v>20.478950000000001</v>
      </c>
      <c r="D5888" s="8">
        <v>82</v>
      </c>
      <c r="E5888" s="8">
        <v>0</v>
      </c>
      <c r="F5888" s="8">
        <v>0</v>
      </c>
      <c r="G5888" s="8">
        <v>18</v>
      </c>
      <c r="H5888" s="8" t="s">
        <v>12096</v>
      </c>
      <c r="I5888" s="8">
        <v>531.5625</v>
      </c>
      <c r="J5888" s="3">
        <f t="shared" si="91"/>
        <v>43747.903589270827</v>
      </c>
    </row>
    <row r="5889" spans="1:10" x14ac:dyDescent="0.25">
      <c r="A5889" s="5" t="s">
        <v>12097</v>
      </c>
      <c r="B5889" s="6">
        <v>437.5</v>
      </c>
      <c r="C5889" s="6">
        <v>20.478950000000001</v>
      </c>
      <c r="D5889" s="6">
        <v>83</v>
      </c>
      <c r="E5889" s="6">
        <v>0</v>
      </c>
      <c r="F5889" s="6">
        <v>0</v>
      </c>
      <c r="G5889" s="6">
        <v>21</v>
      </c>
      <c r="H5889" s="6" t="s">
        <v>12098</v>
      </c>
      <c r="I5889" s="6">
        <v>540.75</v>
      </c>
      <c r="J5889" s="2">
        <f t="shared" si="91"/>
        <v>43747.903665219907</v>
      </c>
    </row>
    <row r="5890" spans="1:10" x14ac:dyDescent="0.25">
      <c r="A5890" s="7" t="s">
        <v>12099</v>
      </c>
      <c r="B5890" s="8">
        <v>412.5</v>
      </c>
      <c r="C5890" s="8">
        <v>20.478950000000001</v>
      </c>
      <c r="D5890" s="8">
        <v>81</v>
      </c>
      <c r="E5890" s="8">
        <v>0</v>
      </c>
      <c r="F5890" s="8">
        <v>0</v>
      </c>
      <c r="G5890" s="8">
        <v>24</v>
      </c>
      <c r="H5890" s="8" t="s">
        <v>12100</v>
      </c>
      <c r="I5890" s="8">
        <v>532.3125</v>
      </c>
      <c r="J5890" s="3">
        <f t="shared" ref="J5890:J5953" si="92">(H5890/86400000)+25569+(7/24)</f>
        <v>43747.903736689812</v>
      </c>
    </row>
    <row r="5891" spans="1:10" x14ac:dyDescent="0.25">
      <c r="A5891" s="5" t="s">
        <v>12101</v>
      </c>
      <c r="B5891" s="6">
        <v>412.5</v>
      </c>
      <c r="C5891" s="6">
        <v>20.478950000000001</v>
      </c>
      <c r="D5891" s="6">
        <v>80</v>
      </c>
      <c r="E5891" s="6">
        <v>0</v>
      </c>
      <c r="F5891" s="6">
        <v>0</v>
      </c>
      <c r="G5891" s="6">
        <v>29</v>
      </c>
      <c r="H5891" s="6" t="s">
        <v>12102</v>
      </c>
      <c r="I5891" s="6">
        <v>532.3125</v>
      </c>
      <c r="J5891" s="2">
        <f t="shared" si="92"/>
        <v>43747.903808599534</v>
      </c>
    </row>
    <row r="5892" spans="1:10" x14ac:dyDescent="0.25">
      <c r="A5892" s="7" t="s">
        <v>12103</v>
      </c>
      <c r="B5892" s="8">
        <v>412.5</v>
      </c>
      <c r="C5892" s="8">
        <v>20.478950000000001</v>
      </c>
      <c r="D5892" s="8">
        <v>80</v>
      </c>
      <c r="E5892" s="8">
        <v>0</v>
      </c>
      <c r="F5892" s="8">
        <v>0</v>
      </c>
      <c r="G5892" s="8">
        <v>19</v>
      </c>
      <c r="H5892" s="8" t="s">
        <v>12104</v>
      </c>
      <c r="I5892" s="8">
        <v>532.3125</v>
      </c>
      <c r="J5892" s="3">
        <f t="shared" si="92"/>
        <v>43747.903880127313</v>
      </c>
    </row>
    <row r="5893" spans="1:10" x14ac:dyDescent="0.25">
      <c r="A5893" s="5" t="s">
        <v>12105</v>
      </c>
      <c r="B5893" s="6">
        <v>446.875</v>
      </c>
      <c r="C5893" s="6">
        <v>20.478950000000001</v>
      </c>
      <c r="D5893" s="6">
        <v>80</v>
      </c>
      <c r="E5893" s="6">
        <v>0</v>
      </c>
      <c r="F5893" s="6">
        <v>0</v>
      </c>
      <c r="G5893" s="6">
        <v>26</v>
      </c>
      <c r="H5893" s="6" t="s">
        <v>12106</v>
      </c>
      <c r="I5893" s="6">
        <v>543.1875</v>
      </c>
      <c r="J5893" s="2">
        <f t="shared" si="92"/>
        <v>43747.903973356479</v>
      </c>
    </row>
    <row r="5894" spans="1:10" x14ac:dyDescent="0.25">
      <c r="A5894" s="7" t="s">
        <v>12107</v>
      </c>
      <c r="B5894" s="8">
        <v>415.625</v>
      </c>
      <c r="C5894" s="8">
        <v>20.478950000000001</v>
      </c>
      <c r="D5894" s="8">
        <v>80</v>
      </c>
      <c r="E5894" s="8">
        <v>0</v>
      </c>
      <c r="F5894" s="8">
        <v>0</v>
      </c>
      <c r="G5894" s="8">
        <v>30</v>
      </c>
      <c r="H5894" s="8" t="s">
        <v>12108</v>
      </c>
      <c r="I5894" s="8">
        <v>533.0625</v>
      </c>
      <c r="J5894" s="3">
        <f t="shared" si="92"/>
        <v>43747.90404754629</v>
      </c>
    </row>
    <row r="5895" spans="1:10" x14ac:dyDescent="0.25">
      <c r="A5895" s="5" t="s">
        <v>12109</v>
      </c>
      <c r="B5895" s="6">
        <v>415.625</v>
      </c>
      <c r="C5895" s="6">
        <v>20.478950000000001</v>
      </c>
      <c r="D5895" s="6">
        <v>80</v>
      </c>
      <c r="E5895" s="6">
        <v>0</v>
      </c>
      <c r="F5895" s="6">
        <v>0</v>
      </c>
      <c r="G5895" s="6">
        <v>27</v>
      </c>
      <c r="H5895" s="6" t="s">
        <v>12110</v>
      </c>
      <c r="I5895" s="6">
        <v>533.0625</v>
      </c>
      <c r="J5895" s="2">
        <f t="shared" si="92"/>
        <v>43747.904118784725</v>
      </c>
    </row>
    <row r="5896" spans="1:10" x14ac:dyDescent="0.25">
      <c r="A5896" s="7" t="s">
        <v>12111</v>
      </c>
      <c r="B5896" s="8">
        <v>415.625</v>
      </c>
      <c r="C5896" s="8">
        <v>20.478950000000001</v>
      </c>
      <c r="D5896" s="8">
        <v>80</v>
      </c>
      <c r="E5896" s="8">
        <v>0</v>
      </c>
      <c r="F5896" s="8">
        <v>0</v>
      </c>
      <c r="G5896" s="8">
        <v>28</v>
      </c>
      <c r="H5896" s="8" t="s">
        <v>12112</v>
      </c>
      <c r="I5896" s="8">
        <v>533.0625</v>
      </c>
      <c r="J5896" s="3">
        <f t="shared" si="92"/>
        <v>43747.904202199068</v>
      </c>
    </row>
    <row r="5897" spans="1:10" x14ac:dyDescent="0.25">
      <c r="A5897" s="5" t="s">
        <v>12113</v>
      </c>
      <c r="B5897" s="6">
        <v>412.5</v>
      </c>
      <c r="C5897" s="6">
        <v>20.478950000000001</v>
      </c>
      <c r="D5897" s="6">
        <v>80</v>
      </c>
      <c r="E5897" s="6">
        <v>0</v>
      </c>
      <c r="F5897" s="6">
        <v>0</v>
      </c>
      <c r="G5897" s="6">
        <v>22</v>
      </c>
      <c r="H5897" s="6" t="s">
        <v>12114</v>
      </c>
      <c r="I5897" s="6">
        <v>532.5</v>
      </c>
      <c r="J5897" s="2">
        <f t="shared" si="92"/>
        <v>43747.904273472224</v>
      </c>
    </row>
    <row r="5898" spans="1:10" x14ac:dyDescent="0.25">
      <c r="A5898" s="7" t="s">
        <v>12115</v>
      </c>
      <c r="B5898" s="8">
        <v>412.5</v>
      </c>
      <c r="C5898" s="8">
        <v>20.478950000000001</v>
      </c>
      <c r="D5898" s="8">
        <v>81</v>
      </c>
      <c r="E5898" s="8">
        <v>0</v>
      </c>
      <c r="F5898" s="8">
        <v>0</v>
      </c>
      <c r="G5898" s="8">
        <v>30</v>
      </c>
      <c r="H5898" s="8" t="s">
        <v>12116</v>
      </c>
      <c r="I5898" s="8">
        <v>532.3125</v>
      </c>
      <c r="J5898" s="3">
        <f t="shared" si="92"/>
        <v>43747.904345601848</v>
      </c>
    </row>
    <row r="5899" spans="1:10" x14ac:dyDescent="0.25">
      <c r="A5899" s="5" t="s">
        <v>12117</v>
      </c>
      <c r="B5899" s="6">
        <v>431.25</v>
      </c>
      <c r="C5899" s="6">
        <v>20.478950000000001</v>
      </c>
      <c r="D5899" s="6">
        <v>81</v>
      </c>
      <c r="E5899" s="6">
        <v>0</v>
      </c>
      <c r="F5899" s="6">
        <v>0</v>
      </c>
      <c r="G5899" s="6">
        <v>25</v>
      </c>
      <c r="H5899" s="6" t="s">
        <v>12118</v>
      </c>
      <c r="I5899" s="6">
        <v>538.6875</v>
      </c>
      <c r="J5899" s="2">
        <f t="shared" si="92"/>
        <v>43747.904429108792</v>
      </c>
    </row>
    <row r="5900" spans="1:10" x14ac:dyDescent="0.25">
      <c r="A5900" s="7" t="s">
        <v>12119</v>
      </c>
      <c r="B5900" s="8">
        <v>409.375</v>
      </c>
      <c r="C5900" s="8">
        <v>20.478950000000001</v>
      </c>
      <c r="D5900" s="8">
        <v>80</v>
      </c>
      <c r="E5900" s="8">
        <v>0</v>
      </c>
      <c r="F5900" s="8">
        <v>0</v>
      </c>
      <c r="G5900" s="8">
        <v>19</v>
      </c>
      <c r="H5900" s="8" t="s">
        <v>12120</v>
      </c>
      <c r="I5900" s="8">
        <v>531.5625</v>
      </c>
      <c r="J5900" s="3">
        <f t="shared" si="92"/>
        <v>43747.904500324068</v>
      </c>
    </row>
    <row r="5901" spans="1:10" x14ac:dyDescent="0.25">
      <c r="A5901" s="5" t="s">
        <v>12121</v>
      </c>
      <c r="B5901" s="6">
        <v>409.375</v>
      </c>
      <c r="C5901" s="6">
        <v>20.478950000000001</v>
      </c>
      <c r="D5901" s="6">
        <v>80</v>
      </c>
      <c r="E5901" s="6">
        <v>0</v>
      </c>
      <c r="F5901" s="6">
        <v>0</v>
      </c>
      <c r="G5901" s="6">
        <v>25</v>
      </c>
      <c r="H5901" s="6" t="s">
        <v>12122</v>
      </c>
      <c r="I5901" s="6">
        <v>531.5625</v>
      </c>
      <c r="J5901" s="2">
        <f t="shared" si="92"/>
        <v>43747.90458372685</v>
      </c>
    </row>
    <row r="5902" spans="1:10" x14ac:dyDescent="0.25">
      <c r="A5902" s="7" t="s">
        <v>12123</v>
      </c>
      <c r="B5902" s="8">
        <v>409.375</v>
      </c>
      <c r="C5902" s="8">
        <v>20.478950000000001</v>
      </c>
      <c r="D5902" s="8">
        <v>80</v>
      </c>
      <c r="E5902" s="8">
        <v>0</v>
      </c>
      <c r="F5902" s="8">
        <v>0</v>
      </c>
      <c r="G5902" s="8">
        <v>23</v>
      </c>
      <c r="H5902" s="8" t="s">
        <v>12124</v>
      </c>
      <c r="I5902" s="8">
        <v>531.5625</v>
      </c>
      <c r="J5902" s="3">
        <f t="shared" si="92"/>
        <v>43747.904654976846</v>
      </c>
    </row>
    <row r="5903" spans="1:10" x14ac:dyDescent="0.25">
      <c r="A5903" s="5" t="s">
        <v>12125</v>
      </c>
      <c r="B5903" s="6">
        <v>412.5</v>
      </c>
      <c r="C5903" s="6">
        <v>20.478950000000001</v>
      </c>
      <c r="D5903" s="6">
        <v>80</v>
      </c>
      <c r="E5903" s="6">
        <v>0</v>
      </c>
      <c r="F5903" s="6">
        <v>0</v>
      </c>
      <c r="G5903" s="6">
        <v>35</v>
      </c>
      <c r="H5903" s="6" t="s">
        <v>12126</v>
      </c>
      <c r="I5903" s="6">
        <v>532.3125</v>
      </c>
      <c r="J5903" s="2">
        <f t="shared" si="92"/>
        <v>43747.904727175926</v>
      </c>
    </row>
    <row r="5904" spans="1:10" x14ac:dyDescent="0.25">
      <c r="A5904" s="7" t="s">
        <v>12127</v>
      </c>
      <c r="B5904" s="8">
        <v>412.5</v>
      </c>
      <c r="C5904" s="8">
        <v>20.478950000000001</v>
      </c>
      <c r="D5904" s="8">
        <v>80</v>
      </c>
      <c r="E5904" s="8">
        <v>0</v>
      </c>
      <c r="F5904" s="8">
        <v>0</v>
      </c>
      <c r="G5904" s="8">
        <v>22</v>
      </c>
      <c r="H5904" s="8" t="s">
        <v>12128</v>
      </c>
      <c r="I5904" s="8">
        <v>532.5</v>
      </c>
      <c r="J5904" s="3">
        <f t="shared" si="92"/>
        <v>43747.904822569442</v>
      </c>
    </row>
    <row r="5905" spans="1:10" x14ac:dyDescent="0.25">
      <c r="A5905" s="5" t="s">
        <v>12129</v>
      </c>
      <c r="B5905" s="6">
        <v>412.5</v>
      </c>
      <c r="C5905" s="6">
        <v>20.478950000000001</v>
      </c>
      <c r="D5905" s="6">
        <v>81</v>
      </c>
      <c r="E5905" s="6">
        <v>0</v>
      </c>
      <c r="F5905" s="6">
        <v>0</v>
      </c>
      <c r="G5905" s="6">
        <v>28</v>
      </c>
      <c r="H5905" s="6" t="s">
        <v>12130</v>
      </c>
      <c r="I5905" s="6">
        <v>532.3125</v>
      </c>
      <c r="J5905" s="2">
        <f t="shared" si="92"/>
        <v>43747.904906064818</v>
      </c>
    </row>
    <row r="5906" spans="1:10" x14ac:dyDescent="0.25">
      <c r="A5906" s="7" t="s">
        <v>12131</v>
      </c>
      <c r="B5906" s="8">
        <v>412.5</v>
      </c>
      <c r="C5906" s="8">
        <v>20.478950000000001</v>
      </c>
      <c r="D5906" s="8">
        <v>81</v>
      </c>
      <c r="E5906" s="8">
        <v>0</v>
      </c>
      <c r="F5906" s="8">
        <v>0</v>
      </c>
      <c r="G5906" s="8">
        <v>17</v>
      </c>
      <c r="H5906" s="8" t="s">
        <v>12132</v>
      </c>
      <c r="I5906" s="8">
        <v>532.3125</v>
      </c>
      <c r="J5906" s="3">
        <f t="shared" si="92"/>
        <v>43747.904977175924</v>
      </c>
    </row>
    <row r="5907" spans="1:10" x14ac:dyDescent="0.25">
      <c r="A5907" s="5" t="s">
        <v>12133</v>
      </c>
      <c r="B5907" s="6">
        <v>412.5</v>
      </c>
      <c r="C5907" s="6">
        <v>20.478950000000001</v>
      </c>
      <c r="D5907" s="6">
        <v>81</v>
      </c>
      <c r="E5907" s="6">
        <v>0</v>
      </c>
      <c r="F5907" s="6">
        <v>0</v>
      </c>
      <c r="G5907" s="6">
        <v>22</v>
      </c>
      <c r="H5907" s="6" t="s">
        <v>12134</v>
      </c>
      <c r="I5907" s="6">
        <v>532.3125</v>
      </c>
      <c r="J5907" s="2">
        <f t="shared" si="92"/>
        <v>43747.90504849537</v>
      </c>
    </row>
    <row r="5908" spans="1:10" x14ac:dyDescent="0.25">
      <c r="A5908" s="7" t="s">
        <v>12135</v>
      </c>
      <c r="B5908" s="8">
        <v>428.125</v>
      </c>
      <c r="C5908" s="8">
        <v>20.531590000000001</v>
      </c>
      <c r="D5908" s="8">
        <v>82</v>
      </c>
      <c r="E5908" s="8">
        <v>0</v>
      </c>
      <c r="F5908" s="8">
        <v>0</v>
      </c>
      <c r="G5908" s="8">
        <v>20</v>
      </c>
      <c r="H5908" s="8" t="s">
        <v>12136</v>
      </c>
      <c r="I5908" s="8">
        <v>537.9375</v>
      </c>
      <c r="J5908" s="3">
        <f t="shared" si="92"/>
        <v>43747.905120694442</v>
      </c>
    </row>
    <row r="5909" spans="1:10" x14ac:dyDescent="0.25">
      <c r="A5909" s="5" t="s">
        <v>12137</v>
      </c>
      <c r="B5909" s="6">
        <v>412.5</v>
      </c>
      <c r="C5909" s="6">
        <v>20.478950000000001</v>
      </c>
      <c r="D5909" s="6">
        <v>82</v>
      </c>
      <c r="E5909" s="6">
        <v>0</v>
      </c>
      <c r="F5909" s="6">
        <v>0</v>
      </c>
      <c r="G5909" s="6">
        <v>21</v>
      </c>
      <c r="H5909" s="6" t="s">
        <v>12138</v>
      </c>
      <c r="I5909" s="6">
        <v>532.3125</v>
      </c>
      <c r="J5909" s="2">
        <f t="shared" si="92"/>
        <v>43747.905192013888</v>
      </c>
    </row>
    <row r="5910" spans="1:10" x14ac:dyDescent="0.25">
      <c r="A5910" s="7" t="s">
        <v>12139</v>
      </c>
      <c r="B5910" s="8">
        <v>412.5</v>
      </c>
      <c r="C5910" s="8">
        <v>20.478950000000001</v>
      </c>
      <c r="D5910" s="8">
        <v>80</v>
      </c>
      <c r="E5910" s="8">
        <v>0</v>
      </c>
      <c r="F5910" s="8">
        <v>0</v>
      </c>
      <c r="G5910" s="8">
        <v>16</v>
      </c>
      <c r="H5910" s="8" t="s">
        <v>12140</v>
      </c>
      <c r="I5910" s="8">
        <v>532.3125</v>
      </c>
      <c r="J5910" s="3">
        <f t="shared" si="92"/>
        <v>43747.905275034718</v>
      </c>
    </row>
    <row r="5911" spans="1:10" x14ac:dyDescent="0.25">
      <c r="A5911" s="5" t="s">
        <v>12141</v>
      </c>
      <c r="B5911" s="6">
        <v>412.5</v>
      </c>
      <c r="C5911" s="6">
        <v>20.478950000000001</v>
      </c>
      <c r="D5911" s="6">
        <v>79</v>
      </c>
      <c r="E5911" s="6">
        <v>0</v>
      </c>
      <c r="F5911" s="6">
        <v>0</v>
      </c>
      <c r="G5911" s="6">
        <v>25</v>
      </c>
      <c r="H5911" s="6" t="s">
        <v>12142</v>
      </c>
      <c r="I5911" s="6">
        <v>532.3125</v>
      </c>
      <c r="J5911" s="2">
        <f t="shared" si="92"/>
        <v>43747.905346643514</v>
      </c>
    </row>
    <row r="5912" spans="1:10" x14ac:dyDescent="0.25">
      <c r="A5912" s="7" t="s">
        <v>12143</v>
      </c>
      <c r="B5912" s="8">
        <v>409.375</v>
      </c>
      <c r="C5912" s="8">
        <v>20.478950000000001</v>
      </c>
      <c r="D5912" s="8">
        <v>80</v>
      </c>
      <c r="E5912" s="8">
        <v>0</v>
      </c>
      <c r="F5912" s="8">
        <v>0</v>
      </c>
      <c r="G5912" s="8">
        <v>10</v>
      </c>
      <c r="H5912" s="8" t="s">
        <v>12144</v>
      </c>
      <c r="I5912" s="8">
        <v>531.5625</v>
      </c>
      <c r="J5912" s="3">
        <f t="shared" si="92"/>
        <v>43747.905418865739</v>
      </c>
    </row>
    <row r="5913" spans="1:10" x14ac:dyDescent="0.25">
      <c r="A5913" s="5" t="s">
        <v>12145</v>
      </c>
      <c r="B5913" s="6">
        <v>409.375</v>
      </c>
      <c r="C5913" s="6">
        <v>20.478950000000001</v>
      </c>
      <c r="D5913" s="6">
        <v>80</v>
      </c>
      <c r="E5913" s="6">
        <v>0</v>
      </c>
      <c r="F5913" s="6">
        <v>0</v>
      </c>
      <c r="G5913" s="6">
        <v>23</v>
      </c>
      <c r="H5913" s="6" t="s">
        <v>12146</v>
      </c>
      <c r="I5913" s="6">
        <v>531.375</v>
      </c>
      <c r="J5913" s="2">
        <f t="shared" si="92"/>
        <v>43747.905514212958</v>
      </c>
    </row>
    <row r="5914" spans="1:10" x14ac:dyDescent="0.25">
      <c r="A5914" s="7" t="s">
        <v>12147</v>
      </c>
      <c r="B5914" s="8">
        <v>409.375</v>
      </c>
      <c r="C5914" s="8">
        <v>20.478950000000001</v>
      </c>
      <c r="D5914" s="8">
        <v>80</v>
      </c>
      <c r="E5914" s="8">
        <v>0</v>
      </c>
      <c r="F5914" s="8">
        <v>0</v>
      </c>
      <c r="G5914" s="8">
        <v>25</v>
      </c>
      <c r="H5914" s="8" t="s">
        <v>12148</v>
      </c>
      <c r="I5914" s="8">
        <v>531.5625</v>
      </c>
      <c r="J5914" s="3">
        <f t="shared" si="92"/>
        <v>43747.90558543981</v>
      </c>
    </row>
    <row r="5915" spans="1:10" x14ac:dyDescent="0.25">
      <c r="A5915" s="5" t="s">
        <v>12149</v>
      </c>
      <c r="B5915" s="6">
        <v>409.375</v>
      </c>
      <c r="C5915" s="6">
        <v>20.478950000000001</v>
      </c>
      <c r="D5915" s="6">
        <v>81</v>
      </c>
      <c r="E5915" s="6">
        <v>0</v>
      </c>
      <c r="F5915" s="6">
        <v>0</v>
      </c>
      <c r="G5915" s="6">
        <v>26</v>
      </c>
      <c r="H5915" s="6" t="s">
        <v>12150</v>
      </c>
      <c r="I5915" s="6">
        <v>531.5625</v>
      </c>
      <c r="J5915" s="2">
        <f t="shared" si="92"/>
        <v>43747.905656759256</v>
      </c>
    </row>
    <row r="5916" spans="1:10" x14ac:dyDescent="0.25">
      <c r="A5916" s="7" t="s">
        <v>12151</v>
      </c>
      <c r="B5916" s="8">
        <v>406.25</v>
      </c>
      <c r="C5916" s="8">
        <v>20.478950000000001</v>
      </c>
      <c r="D5916" s="8">
        <v>81</v>
      </c>
      <c r="E5916" s="8">
        <v>0</v>
      </c>
      <c r="F5916" s="8">
        <v>0</v>
      </c>
      <c r="G5916" s="8">
        <v>26</v>
      </c>
      <c r="H5916" s="8" t="s">
        <v>12152</v>
      </c>
      <c r="I5916" s="8">
        <v>530.625</v>
      </c>
      <c r="J5916" s="3">
        <f t="shared" si="92"/>
        <v>43747.905752175924</v>
      </c>
    </row>
    <row r="5917" spans="1:10" x14ac:dyDescent="0.25">
      <c r="A5917" s="5" t="s">
        <v>12153</v>
      </c>
      <c r="B5917" s="6">
        <v>406.25</v>
      </c>
      <c r="C5917" s="6">
        <v>20.478950000000001</v>
      </c>
      <c r="D5917" s="6">
        <v>81</v>
      </c>
      <c r="E5917" s="6">
        <v>0</v>
      </c>
      <c r="F5917" s="6">
        <v>0</v>
      </c>
      <c r="G5917" s="6">
        <v>17</v>
      </c>
      <c r="H5917" s="6" t="s">
        <v>12154</v>
      </c>
      <c r="I5917" s="6">
        <v>530.625</v>
      </c>
      <c r="J5917" s="2">
        <f t="shared" si="92"/>
        <v>43747.905823611109</v>
      </c>
    </row>
    <row r="5918" spans="1:10" x14ac:dyDescent="0.25">
      <c r="A5918" s="7" t="s">
        <v>12155</v>
      </c>
      <c r="B5918" s="8">
        <v>406.25</v>
      </c>
      <c r="C5918" s="8">
        <v>20.478950000000001</v>
      </c>
      <c r="D5918" s="8">
        <v>82</v>
      </c>
      <c r="E5918" s="8">
        <v>0</v>
      </c>
      <c r="F5918" s="8">
        <v>0</v>
      </c>
      <c r="G5918" s="8">
        <v>23</v>
      </c>
      <c r="H5918" s="8" t="s">
        <v>12156</v>
      </c>
      <c r="I5918" s="8">
        <v>530.625</v>
      </c>
      <c r="J5918" s="3">
        <f t="shared" si="92"/>
        <v>43747.905895115742</v>
      </c>
    </row>
    <row r="5919" spans="1:10" x14ac:dyDescent="0.25">
      <c r="A5919" s="5" t="s">
        <v>12157</v>
      </c>
      <c r="B5919" s="6">
        <v>406.25</v>
      </c>
      <c r="C5919" s="6">
        <v>20.478950000000001</v>
      </c>
      <c r="D5919" s="6">
        <v>82</v>
      </c>
      <c r="E5919" s="6">
        <v>0</v>
      </c>
      <c r="F5919" s="6">
        <v>0</v>
      </c>
      <c r="G5919" s="6">
        <v>23</v>
      </c>
      <c r="H5919" s="6" t="s">
        <v>12158</v>
      </c>
      <c r="I5919" s="6">
        <v>530.625</v>
      </c>
      <c r="J5919" s="2">
        <f t="shared" si="92"/>
        <v>43747.905966990736</v>
      </c>
    </row>
    <row r="5920" spans="1:10" x14ac:dyDescent="0.25">
      <c r="A5920" s="7" t="s">
        <v>12159</v>
      </c>
      <c r="B5920" s="8">
        <v>406.25</v>
      </c>
      <c r="C5920" s="8">
        <v>20.478950000000001</v>
      </c>
      <c r="D5920" s="8">
        <v>81</v>
      </c>
      <c r="E5920" s="8">
        <v>0</v>
      </c>
      <c r="F5920" s="8">
        <v>0</v>
      </c>
      <c r="G5920" s="8">
        <v>28</v>
      </c>
      <c r="H5920" s="8" t="s">
        <v>12160</v>
      </c>
      <c r="I5920" s="8">
        <v>530.625</v>
      </c>
      <c r="J5920" s="3">
        <f t="shared" si="92"/>
        <v>43747.906038310182</v>
      </c>
    </row>
    <row r="5921" spans="1:10" x14ac:dyDescent="0.25">
      <c r="A5921" s="5" t="s">
        <v>12161</v>
      </c>
      <c r="B5921" s="6">
        <v>403.125</v>
      </c>
      <c r="C5921" s="6">
        <v>20.478950000000001</v>
      </c>
      <c r="D5921" s="6">
        <v>82</v>
      </c>
      <c r="E5921" s="6">
        <v>0</v>
      </c>
      <c r="F5921" s="6">
        <v>0</v>
      </c>
      <c r="G5921" s="6">
        <v>22</v>
      </c>
      <c r="H5921" s="6" t="s">
        <v>12162</v>
      </c>
      <c r="I5921" s="6">
        <v>529.875</v>
      </c>
      <c r="J5921" s="2">
        <f t="shared" si="92"/>
        <v>43747.906110578704</v>
      </c>
    </row>
    <row r="5922" spans="1:10" x14ac:dyDescent="0.25">
      <c r="A5922" s="7" t="s">
        <v>12163</v>
      </c>
      <c r="B5922" s="8">
        <v>403.125</v>
      </c>
      <c r="C5922" s="8">
        <v>20.478950000000001</v>
      </c>
      <c r="D5922" s="8">
        <v>82</v>
      </c>
      <c r="E5922" s="8">
        <v>0</v>
      </c>
      <c r="F5922" s="8">
        <v>0</v>
      </c>
      <c r="G5922" s="8">
        <v>13</v>
      </c>
      <c r="H5922" s="8" t="s">
        <v>12164</v>
      </c>
      <c r="I5922" s="8">
        <v>529.875</v>
      </c>
      <c r="J5922" s="3">
        <f t="shared" si="92"/>
        <v>43747.906181631937</v>
      </c>
    </row>
    <row r="5923" spans="1:10" x14ac:dyDescent="0.25">
      <c r="A5923" s="5" t="s">
        <v>12165</v>
      </c>
      <c r="B5923" s="6">
        <v>403.125</v>
      </c>
      <c r="C5923" s="6">
        <v>20.478950000000001</v>
      </c>
      <c r="D5923" s="6">
        <v>84</v>
      </c>
      <c r="E5923" s="6">
        <v>0</v>
      </c>
      <c r="F5923" s="6">
        <v>0</v>
      </c>
      <c r="G5923" s="6">
        <v>21</v>
      </c>
      <c r="H5923" s="6" t="s">
        <v>12166</v>
      </c>
      <c r="I5923" s="6">
        <v>529.875</v>
      </c>
      <c r="J5923" s="2">
        <f t="shared" si="92"/>
        <v>43747.906253113419</v>
      </c>
    </row>
    <row r="5924" spans="1:10" x14ac:dyDescent="0.25">
      <c r="A5924" s="7" t="s">
        <v>12167</v>
      </c>
      <c r="B5924" s="8">
        <v>403.125</v>
      </c>
      <c r="C5924" s="8">
        <v>20.478950000000001</v>
      </c>
      <c r="D5924" s="8">
        <v>84</v>
      </c>
      <c r="E5924" s="8">
        <v>0</v>
      </c>
      <c r="F5924" s="8">
        <v>0</v>
      </c>
      <c r="G5924" s="8">
        <v>28</v>
      </c>
      <c r="H5924" s="8" t="s">
        <v>12168</v>
      </c>
      <c r="I5924" s="8">
        <v>529.875</v>
      </c>
      <c r="J5924" s="3">
        <f t="shared" si="92"/>
        <v>43747.906324467585</v>
      </c>
    </row>
    <row r="5925" spans="1:10" x14ac:dyDescent="0.25">
      <c r="A5925" s="5" t="s">
        <v>12169</v>
      </c>
      <c r="B5925" s="6">
        <v>425</v>
      </c>
      <c r="C5925" s="6">
        <v>20.478950000000001</v>
      </c>
      <c r="D5925" s="6">
        <v>84</v>
      </c>
      <c r="E5925" s="6">
        <v>0</v>
      </c>
      <c r="F5925" s="6">
        <v>0</v>
      </c>
      <c r="G5925" s="6">
        <v>20</v>
      </c>
      <c r="H5925" s="6" t="s">
        <v>12170</v>
      </c>
      <c r="I5925" s="6">
        <v>536.25</v>
      </c>
      <c r="J5925" s="2">
        <f t="shared" si="92"/>
        <v>43747.906396631945</v>
      </c>
    </row>
    <row r="5926" spans="1:10" x14ac:dyDescent="0.25">
      <c r="A5926" s="7" t="s">
        <v>12171</v>
      </c>
      <c r="B5926" s="8">
        <v>403.125</v>
      </c>
      <c r="C5926" s="8">
        <v>20.478950000000001</v>
      </c>
      <c r="D5926" s="8">
        <v>83</v>
      </c>
      <c r="E5926" s="8">
        <v>0</v>
      </c>
      <c r="F5926" s="8">
        <v>0</v>
      </c>
      <c r="G5926" s="8">
        <v>25</v>
      </c>
      <c r="H5926" s="8" t="s">
        <v>12172</v>
      </c>
      <c r="I5926" s="8">
        <v>529.875</v>
      </c>
      <c r="J5926" s="3">
        <f t="shared" si="92"/>
        <v>43747.906467974535</v>
      </c>
    </row>
    <row r="5927" spans="1:10" x14ac:dyDescent="0.25">
      <c r="A5927" s="5" t="s">
        <v>12173</v>
      </c>
      <c r="B5927" s="6">
        <v>403.125</v>
      </c>
      <c r="C5927" s="6">
        <v>20.478950000000001</v>
      </c>
      <c r="D5927" s="6">
        <v>83</v>
      </c>
      <c r="E5927" s="6">
        <v>0</v>
      </c>
      <c r="F5927" s="6">
        <v>0</v>
      </c>
      <c r="G5927" s="6">
        <v>19</v>
      </c>
      <c r="H5927" s="6" t="s">
        <v>12174</v>
      </c>
      <c r="I5927" s="6">
        <v>529.875</v>
      </c>
      <c r="J5927" s="2">
        <f t="shared" si="92"/>
        <v>43747.906539212963</v>
      </c>
    </row>
    <row r="5928" spans="1:10" x14ac:dyDescent="0.25">
      <c r="A5928" s="7" t="s">
        <v>12175</v>
      </c>
      <c r="B5928" s="8">
        <v>403.125</v>
      </c>
      <c r="C5928" s="8">
        <v>20.478950000000001</v>
      </c>
      <c r="D5928" s="8">
        <v>83</v>
      </c>
      <c r="E5928" s="8">
        <v>0</v>
      </c>
      <c r="F5928" s="8">
        <v>0</v>
      </c>
      <c r="G5928" s="8">
        <v>25</v>
      </c>
      <c r="H5928" s="8" t="s">
        <v>12176</v>
      </c>
      <c r="I5928" s="8">
        <v>529.125</v>
      </c>
      <c r="J5928" s="3">
        <f t="shared" si="92"/>
        <v>43747.906611446757</v>
      </c>
    </row>
    <row r="5929" spans="1:10" x14ac:dyDescent="0.25">
      <c r="A5929" s="5" t="s">
        <v>12177</v>
      </c>
      <c r="B5929" s="6">
        <v>403.125</v>
      </c>
      <c r="C5929" s="6">
        <v>20.478950000000001</v>
      </c>
      <c r="D5929" s="6">
        <v>83</v>
      </c>
      <c r="E5929" s="6">
        <v>0</v>
      </c>
      <c r="F5929" s="6">
        <v>0</v>
      </c>
      <c r="G5929" s="6">
        <v>26</v>
      </c>
      <c r="H5929" s="6" t="s">
        <v>12178</v>
      </c>
      <c r="I5929" s="6">
        <v>529.125</v>
      </c>
      <c r="J5929" s="2">
        <f t="shared" si="92"/>
        <v>43747.906694826386</v>
      </c>
    </row>
    <row r="5930" spans="1:10" x14ac:dyDescent="0.25">
      <c r="A5930" s="7" t="s">
        <v>12179</v>
      </c>
      <c r="B5930" s="8">
        <v>403.125</v>
      </c>
      <c r="C5930" s="8">
        <v>20.478950000000001</v>
      </c>
      <c r="D5930" s="8">
        <v>83</v>
      </c>
      <c r="E5930" s="8">
        <v>0</v>
      </c>
      <c r="F5930" s="8">
        <v>0</v>
      </c>
      <c r="G5930" s="8">
        <v>24</v>
      </c>
      <c r="H5930" s="8" t="s">
        <v>12180</v>
      </c>
      <c r="I5930" s="8">
        <v>529.125</v>
      </c>
      <c r="J5930" s="3">
        <f t="shared" si="92"/>
        <v>43747.906766064807</v>
      </c>
    </row>
    <row r="5931" spans="1:10" x14ac:dyDescent="0.25">
      <c r="A5931" s="5" t="s">
        <v>12181</v>
      </c>
      <c r="B5931" s="6">
        <v>403.125</v>
      </c>
      <c r="C5931" s="6">
        <v>20.478950000000001</v>
      </c>
      <c r="D5931" s="6">
        <v>83</v>
      </c>
      <c r="E5931" s="6">
        <v>0</v>
      </c>
      <c r="F5931" s="6">
        <v>0</v>
      </c>
      <c r="G5931" s="6">
        <v>20</v>
      </c>
      <c r="H5931" s="6" t="s">
        <v>12182</v>
      </c>
      <c r="I5931" s="6">
        <v>529.875</v>
      </c>
      <c r="J5931" s="2">
        <f t="shared" si="92"/>
        <v>43747.906837418974</v>
      </c>
    </row>
    <row r="5932" spans="1:10" x14ac:dyDescent="0.25">
      <c r="A5932" s="7" t="s">
        <v>12183</v>
      </c>
      <c r="B5932" s="8">
        <v>403.125</v>
      </c>
      <c r="C5932" s="8">
        <v>20.478950000000001</v>
      </c>
      <c r="D5932" s="8">
        <v>83</v>
      </c>
      <c r="E5932" s="8">
        <v>0</v>
      </c>
      <c r="F5932" s="8">
        <v>0</v>
      </c>
      <c r="G5932" s="8">
        <v>23</v>
      </c>
      <c r="H5932" s="8" t="s">
        <v>12184</v>
      </c>
      <c r="I5932" s="8">
        <v>529.875</v>
      </c>
      <c r="J5932" s="3">
        <f t="shared" si="92"/>
        <v>43747.906908668978</v>
      </c>
    </row>
    <row r="5933" spans="1:10" x14ac:dyDescent="0.25">
      <c r="A5933" s="5" t="s">
        <v>12185</v>
      </c>
      <c r="B5933" s="6">
        <v>403.125</v>
      </c>
      <c r="C5933" s="6">
        <v>20.478950000000001</v>
      </c>
      <c r="D5933" s="6">
        <v>82</v>
      </c>
      <c r="E5933" s="6">
        <v>0</v>
      </c>
      <c r="F5933" s="6">
        <v>0</v>
      </c>
      <c r="G5933" s="6">
        <v>15</v>
      </c>
      <c r="H5933" s="6" t="s">
        <v>12186</v>
      </c>
      <c r="I5933" s="6">
        <v>529.875</v>
      </c>
      <c r="J5933" s="2">
        <f t="shared" si="92"/>
        <v>43747.906992916665</v>
      </c>
    </row>
    <row r="5934" spans="1:10" x14ac:dyDescent="0.25">
      <c r="A5934" s="7" t="s">
        <v>12187</v>
      </c>
      <c r="B5934" s="8">
        <v>406.25</v>
      </c>
      <c r="C5934" s="8">
        <v>20.478950000000001</v>
      </c>
      <c r="D5934" s="8">
        <v>82</v>
      </c>
      <c r="E5934" s="8">
        <v>0</v>
      </c>
      <c r="F5934" s="8">
        <v>0</v>
      </c>
      <c r="G5934" s="8">
        <v>27</v>
      </c>
      <c r="H5934" s="8" t="s">
        <v>12188</v>
      </c>
      <c r="I5934" s="8">
        <v>530.8125</v>
      </c>
      <c r="J5934" s="3">
        <f t="shared" si="92"/>
        <v>43747.907064224535</v>
      </c>
    </row>
    <row r="5935" spans="1:10" x14ac:dyDescent="0.25">
      <c r="A5935" s="5" t="s">
        <v>12189</v>
      </c>
      <c r="B5935" s="6">
        <v>406.25</v>
      </c>
      <c r="C5935" s="6">
        <v>20.478950000000001</v>
      </c>
      <c r="D5935" s="6">
        <v>82</v>
      </c>
      <c r="E5935" s="6">
        <v>0</v>
      </c>
      <c r="F5935" s="6">
        <v>0</v>
      </c>
      <c r="G5935" s="6">
        <v>25</v>
      </c>
      <c r="H5935" s="6" t="s">
        <v>12190</v>
      </c>
      <c r="I5935" s="6">
        <v>530.625</v>
      </c>
      <c r="J5935" s="2">
        <f t="shared" si="92"/>
        <v>43747.907135509253</v>
      </c>
    </row>
    <row r="5936" spans="1:10" x14ac:dyDescent="0.25">
      <c r="A5936" s="7" t="s">
        <v>12191</v>
      </c>
      <c r="B5936" s="8">
        <v>450</v>
      </c>
      <c r="C5936" s="8">
        <v>20.478950000000001</v>
      </c>
      <c r="D5936" s="8">
        <v>86</v>
      </c>
      <c r="E5936" s="8">
        <v>0</v>
      </c>
      <c r="F5936" s="8">
        <v>0</v>
      </c>
      <c r="G5936" s="8">
        <v>24</v>
      </c>
      <c r="H5936" s="8" t="s">
        <v>12192</v>
      </c>
      <c r="I5936" s="8">
        <v>544.125</v>
      </c>
      <c r="J5936" s="3">
        <f t="shared" si="92"/>
        <v>43747.907218900458</v>
      </c>
    </row>
    <row r="5937" spans="1:10" x14ac:dyDescent="0.25">
      <c r="A5937" s="5" t="s">
        <v>12193</v>
      </c>
      <c r="B5937" s="6">
        <v>406.25</v>
      </c>
      <c r="C5937" s="6">
        <v>20.478950000000001</v>
      </c>
      <c r="D5937" s="6">
        <v>85</v>
      </c>
      <c r="E5937" s="6">
        <v>0</v>
      </c>
      <c r="F5937" s="6">
        <v>0</v>
      </c>
      <c r="G5937" s="6">
        <v>27</v>
      </c>
      <c r="H5937" s="6" t="s">
        <v>12194</v>
      </c>
      <c r="I5937" s="6">
        <v>530.625</v>
      </c>
      <c r="J5937" s="2">
        <f t="shared" si="92"/>
        <v>43747.907291076386</v>
      </c>
    </row>
    <row r="5938" spans="1:10" x14ac:dyDescent="0.25">
      <c r="A5938" s="7" t="s">
        <v>12195</v>
      </c>
      <c r="B5938" s="8">
        <v>406.25</v>
      </c>
      <c r="C5938" s="8">
        <v>20.478950000000001</v>
      </c>
      <c r="D5938" s="8">
        <v>86</v>
      </c>
      <c r="E5938" s="8">
        <v>0</v>
      </c>
      <c r="F5938" s="8">
        <v>0</v>
      </c>
      <c r="G5938" s="8">
        <v>23</v>
      </c>
      <c r="H5938" s="8" t="s">
        <v>12196</v>
      </c>
      <c r="I5938" s="8">
        <v>530.625</v>
      </c>
      <c r="J5938" s="3">
        <f t="shared" si="92"/>
        <v>43747.907362314807</v>
      </c>
    </row>
    <row r="5939" spans="1:10" x14ac:dyDescent="0.25">
      <c r="A5939" s="5" t="s">
        <v>12197</v>
      </c>
      <c r="B5939" s="6">
        <v>406.25</v>
      </c>
      <c r="C5939" s="6">
        <v>20.478950000000001</v>
      </c>
      <c r="D5939" s="6">
        <v>85</v>
      </c>
      <c r="E5939" s="6">
        <v>0</v>
      </c>
      <c r="F5939" s="6">
        <v>0</v>
      </c>
      <c r="G5939" s="6">
        <v>12</v>
      </c>
      <c r="H5939" s="6" t="s">
        <v>12198</v>
      </c>
      <c r="I5939" s="6">
        <v>530.625</v>
      </c>
      <c r="J5939" s="2">
        <f t="shared" si="92"/>
        <v>43747.907433668974</v>
      </c>
    </row>
    <row r="5940" spans="1:10" x14ac:dyDescent="0.25">
      <c r="A5940" s="7" t="s">
        <v>12199</v>
      </c>
      <c r="B5940" s="8">
        <v>425</v>
      </c>
      <c r="C5940" s="8">
        <v>20.478950000000001</v>
      </c>
      <c r="D5940" s="8">
        <v>85</v>
      </c>
      <c r="E5940" s="8">
        <v>0</v>
      </c>
      <c r="F5940" s="8">
        <v>0</v>
      </c>
      <c r="G5940" s="8">
        <v>19</v>
      </c>
      <c r="H5940" s="8" t="s">
        <v>12200</v>
      </c>
      <c r="I5940" s="8">
        <v>536.25</v>
      </c>
      <c r="J5940" s="3">
        <f t="shared" si="92"/>
        <v>43747.907505706018</v>
      </c>
    </row>
    <row r="5941" spans="1:10" x14ac:dyDescent="0.25">
      <c r="A5941" s="5" t="s">
        <v>12201</v>
      </c>
      <c r="B5941" s="6">
        <v>406.25</v>
      </c>
      <c r="C5941" s="6">
        <v>20.478950000000001</v>
      </c>
      <c r="D5941" s="6">
        <v>85</v>
      </c>
      <c r="E5941" s="6">
        <v>0</v>
      </c>
      <c r="F5941" s="6">
        <v>0</v>
      </c>
      <c r="G5941" s="6">
        <v>27</v>
      </c>
      <c r="H5941" s="6" t="s">
        <v>12202</v>
      </c>
      <c r="I5941" s="6">
        <v>530.625</v>
      </c>
      <c r="J5941" s="2">
        <f t="shared" si="92"/>
        <v>43747.907576192127</v>
      </c>
    </row>
    <row r="5942" spans="1:10" x14ac:dyDescent="0.25">
      <c r="A5942" s="7" t="s">
        <v>12203</v>
      </c>
      <c r="B5942" s="8">
        <v>406.25</v>
      </c>
      <c r="C5942" s="8">
        <v>20.478950000000001</v>
      </c>
      <c r="D5942" s="8">
        <v>84</v>
      </c>
      <c r="E5942" s="8">
        <v>0</v>
      </c>
      <c r="F5942" s="8">
        <v>0</v>
      </c>
      <c r="G5942" s="8">
        <v>21</v>
      </c>
      <c r="H5942" s="8" t="s">
        <v>12204</v>
      </c>
      <c r="I5942" s="8">
        <v>530.625</v>
      </c>
      <c r="J5942" s="3">
        <f t="shared" si="92"/>
        <v>43747.907660578705</v>
      </c>
    </row>
    <row r="5943" spans="1:10" x14ac:dyDescent="0.25">
      <c r="A5943" s="5" t="s">
        <v>12205</v>
      </c>
      <c r="B5943" s="6">
        <v>428.125</v>
      </c>
      <c r="C5943" s="6">
        <v>20.478950000000001</v>
      </c>
      <c r="D5943" s="6">
        <v>83</v>
      </c>
      <c r="E5943" s="6">
        <v>0</v>
      </c>
      <c r="F5943" s="6">
        <v>0</v>
      </c>
      <c r="G5943" s="6">
        <v>25</v>
      </c>
      <c r="H5943" s="6" t="s">
        <v>12206</v>
      </c>
      <c r="I5943" s="6">
        <v>537</v>
      </c>
      <c r="J5943" s="2">
        <f t="shared" si="92"/>
        <v>43747.907743784723</v>
      </c>
    </row>
    <row r="5944" spans="1:10" x14ac:dyDescent="0.25">
      <c r="A5944" s="7" t="s">
        <v>12207</v>
      </c>
      <c r="B5944" s="8">
        <v>403.125</v>
      </c>
      <c r="C5944" s="8">
        <v>20.478950000000001</v>
      </c>
      <c r="D5944" s="8">
        <v>83</v>
      </c>
      <c r="E5944" s="8">
        <v>0</v>
      </c>
      <c r="F5944" s="8">
        <v>0</v>
      </c>
      <c r="G5944" s="8">
        <v>21</v>
      </c>
      <c r="H5944" s="8" t="s">
        <v>12208</v>
      </c>
      <c r="I5944" s="8">
        <v>529.875</v>
      </c>
      <c r="J5944" s="3">
        <f t="shared" si="92"/>
        <v>43747.907815138889</v>
      </c>
    </row>
    <row r="5945" spans="1:10" x14ac:dyDescent="0.25">
      <c r="A5945" s="5" t="s">
        <v>12209</v>
      </c>
      <c r="B5945" s="6">
        <v>403.125</v>
      </c>
      <c r="C5945" s="6">
        <v>20.478950000000001</v>
      </c>
      <c r="D5945" s="6">
        <v>82</v>
      </c>
      <c r="E5945" s="6">
        <v>0</v>
      </c>
      <c r="F5945" s="6">
        <v>0</v>
      </c>
      <c r="G5945" s="6">
        <v>29</v>
      </c>
      <c r="H5945" s="6" t="s">
        <v>12210</v>
      </c>
      <c r="I5945" s="6">
        <v>529.875</v>
      </c>
      <c r="J5945" s="2">
        <f t="shared" si="92"/>
        <v>43747.907887361107</v>
      </c>
    </row>
    <row r="5946" spans="1:10" x14ac:dyDescent="0.25">
      <c r="A5946" s="7" t="s">
        <v>12211</v>
      </c>
      <c r="B5946" s="8">
        <v>403.125</v>
      </c>
      <c r="C5946" s="8">
        <v>20.478950000000001</v>
      </c>
      <c r="D5946" s="8">
        <v>82</v>
      </c>
      <c r="E5946" s="8">
        <v>0</v>
      </c>
      <c r="F5946" s="8">
        <v>0</v>
      </c>
      <c r="G5946" s="8">
        <v>17</v>
      </c>
      <c r="H5946" s="8" t="s">
        <v>12212</v>
      </c>
      <c r="I5946" s="8">
        <v>529.125</v>
      </c>
      <c r="J5946" s="3">
        <f t="shared" si="92"/>
        <v>43747.907983958336</v>
      </c>
    </row>
    <row r="5947" spans="1:10" x14ac:dyDescent="0.25">
      <c r="A5947" s="5" t="s">
        <v>12213</v>
      </c>
      <c r="B5947" s="6">
        <v>403.125</v>
      </c>
      <c r="C5947" s="6">
        <v>20.478950000000001</v>
      </c>
      <c r="D5947" s="6">
        <v>82</v>
      </c>
      <c r="E5947" s="6">
        <v>0</v>
      </c>
      <c r="F5947" s="6">
        <v>0</v>
      </c>
      <c r="G5947" s="6">
        <v>23</v>
      </c>
      <c r="H5947" s="6" t="s">
        <v>12214</v>
      </c>
      <c r="I5947" s="6">
        <v>529.125</v>
      </c>
      <c r="J5947" s="2">
        <f t="shared" si="92"/>
        <v>43747.908066076387</v>
      </c>
    </row>
    <row r="5948" spans="1:10" x14ac:dyDescent="0.25">
      <c r="A5948" s="7" t="s">
        <v>12215</v>
      </c>
      <c r="B5948" s="8">
        <v>403.125</v>
      </c>
      <c r="C5948" s="8">
        <v>20.478950000000001</v>
      </c>
      <c r="D5948" s="8">
        <v>81</v>
      </c>
      <c r="E5948" s="8">
        <v>0</v>
      </c>
      <c r="F5948" s="8">
        <v>0</v>
      </c>
      <c r="G5948" s="8">
        <v>16</v>
      </c>
      <c r="H5948" s="8" t="s">
        <v>12216</v>
      </c>
      <c r="I5948" s="8">
        <v>529.125</v>
      </c>
      <c r="J5948" s="3">
        <f t="shared" si="92"/>
        <v>43747.908137395832</v>
      </c>
    </row>
    <row r="5949" spans="1:10" x14ac:dyDescent="0.25">
      <c r="A5949" s="5" t="s">
        <v>12217</v>
      </c>
      <c r="B5949" s="6">
        <v>403.125</v>
      </c>
      <c r="C5949" s="6">
        <v>20.478950000000001</v>
      </c>
      <c r="D5949" s="6">
        <v>81</v>
      </c>
      <c r="E5949" s="6">
        <v>0</v>
      </c>
      <c r="F5949" s="6">
        <v>0</v>
      </c>
      <c r="G5949" s="6">
        <v>27</v>
      </c>
      <c r="H5949" s="6" t="s">
        <v>12218</v>
      </c>
      <c r="I5949" s="6">
        <v>529.125</v>
      </c>
      <c r="J5949" s="2">
        <f t="shared" si="92"/>
        <v>43747.908220729165</v>
      </c>
    </row>
    <row r="5950" spans="1:10" x14ac:dyDescent="0.25">
      <c r="A5950" s="7" t="s">
        <v>12219</v>
      </c>
      <c r="B5950" s="8">
        <v>400</v>
      </c>
      <c r="C5950" s="8">
        <v>20.478950000000001</v>
      </c>
      <c r="D5950" s="8">
        <v>80</v>
      </c>
      <c r="E5950" s="8">
        <v>0</v>
      </c>
      <c r="F5950" s="8">
        <v>0</v>
      </c>
      <c r="G5950" s="8">
        <v>19</v>
      </c>
      <c r="H5950" s="8" t="s">
        <v>12220</v>
      </c>
      <c r="I5950" s="8">
        <v>528.9375</v>
      </c>
      <c r="J5950" s="3">
        <f t="shared" si="92"/>
        <v>43747.908292719905</v>
      </c>
    </row>
    <row r="5951" spans="1:10" x14ac:dyDescent="0.25">
      <c r="A5951" s="5" t="s">
        <v>12221</v>
      </c>
      <c r="B5951" s="6">
        <v>400</v>
      </c>
      <c r="C5951" s="6">
        <v>20.478950000000001</v>
      </c>
      <c r="D5951" s="6">
        <v>81</v>
      </c>
      <c r="E5951" s="6">
        <v>0</v>
      </c>
      <c r="F5951" s="6">
        <v>0</v>
      </c>
      <c r="G5951" s="6">
        <v>20</v>
      </c>
      <c r="H5951" s="6" t="s">
        <v>12222</v>
      </c>
      <c r="I5951" s="6">
        <v>528.9375</v>
      </c>
      <c r="J5951" s="2">
        <f t="shared" si="92"/>
        <v>43747.908376342595</v>
      </c>
    </row>
    <row r="5952" spans="1:10" x14ac:dyDescent="0.25">
      <c r="A5952" s="7" t="s">
        <v>12223</v>
      </c>
      <c r="B5952" s="8">
        <v>403.125</v>
      </c>
      <c r="C5952" s="8">
        <v>20.478950000000001</v>
      </c>
      <c r="D5952" s="8">
        <v>82</v>
      </c>
      <c r="E5952" s="8">
        <v>0</v>
      </c>
      <c r="F5952" s="8">
        <v>0</v>
      </c>
      <c r="G5952" s="8">
        <v>21</v>
      </c>
      <c r="H5952" s="8" t="s">
        <v>12224</v>
      </c>
      <c r="I5952" s="8">
        <v>529.125</v>
      </c>
      <c r="J5952" s="3">
        <f t="shared" si="92"/>
        <v>43747.908447523143</v>
      </c>
    </row>
    <row r="5953" spans="1:10" x14ac:dyDescent="0.25">
      <c r="A5953" s="5" t="s">
        <v>12225</v>
      </c>
      <c r="B5953" s="6">
        <v>406.25</v>
      </c>
      <c r="C5953" s="6">
        <v>20.478950000000001</v>
      </c>
      <c r="D5953" s="6">
        <v>81</v>
      </c>
      <c r="E5953" s="6">
        <v>0</v>
      </c>
      <c r="F5953" s="6">
        <v>0</v>
      </c>
      <c r="G5953" s="6">
        <v>17</v>
      </c>
      <c r="H5953" s="6" t="s">
        <v>12226</v>
      </c>
      <c r="I5953" s="6">
        <v>530.0625</v>
      </c>
      <c r="J5953" s="2">
        <f t="shared" si="92"/>
        <v>43747.908518923614</v>
      </c>
    </row>
    <row r="5954" spans="1:10" x14ac:dyDescent="0.25">
      <c r="A5954" s="7" t="s">
        <v>12227</v>
      </c>
      <c r="B5954" s="8">
        <v>403.125</v>
      </c>
      <c r="C5954" s="8">
        <v>20.478950000000001</v>
      </c>
      <c r="D5954" s="8">
        <v>81</v>
      </c>
      <c r="E5954" s="8">
        <v>0</v>
      </c>
      <c r="F5954" s="8">
        <v>0</v>
      </c>
      <c r="G5954" s="8">
        <v>24</v>
      </c>
      <c r="H5954" s="8" t="s">
        <v>12228</v>
      </c>
      <c r="I5954" s="8">
        <v>529.125</v>
      </c>
      <c r="J5954" s="3">
        <f t="shared" ref="J5954:J6017" si="93">(H5954/86400000)+25569+(7/24)</f>
        <v>43747.908590173603</v>
      </c>
    </row>
    <row r="5955" spans="1:10" x14ac:dyDescent="0.25">
      <c r="A5955" s="5" t="s">
        <v>12229</v>
      </c>
      <c r="B5955" s="6">
        <v>403.125</v>
      </c>
      <c r="C5955" s="6">
        <v>20.478950000000001</v>
      </c>
      <c r="D5955" s="6">
        <v>81</v>
      </c>
      <c r="E5955" s="6">
        <v>0</v>
      </c>
      <c r="F5955" s="6">
        <v>0</v>
      </c>
      <c r="G5955" s="6">
        <v>22</v>
      </c>
      <c r="H5955" s="6" t="s">
        <v>12230</v>
      </c>
      <c r="I5955" s="6">
        <v>529.125</v>
      </c>
      <c r="J5955" s="2">
        <f t="shared" si="93"/>
        <v>43747.908662395836</v>
      </c>
    </row>
    <row r="5956" spans="1:10" x14ac:dyDescent="0.25">
      <c r="A5956" s="7" t="s">
        <v>12231</v>
      </c>
      <c r="B5956" s="8">
        <v>400</v>
      </c>
      <c r="C5956" s="8">
        <v>20.478950000000001</v>
      </c>
      <c r="D5956" s="8">
        <v>81</v>
      </c>
      <c r="E5956" s="8">
        <v>0</v>
      </c>
      <c r="F5956" s="8">
        <v>0</v>
      </c>
      <c r="G5956" s="8">
        <v>20</v>
      </c>
      <c r="H5956" s="8" t="s">
        <v>12232</v>
      </c>
      <c r="I5956" s="8">
        <v>528.375</v>
      </c>
      <c r="J5956" s="3">
        <f t="shared" si="93"/>
        <v>43747.908745729168</v>
      </c>
    </row>
    <row r="5957" spans="1:10" x14ac:dyDescent="0.25">
      <c r="A5957" s="5" t="s">
        <v>12233</v>
      </c>
      <c r="B5957" s="6">
        <v>400</v>
      </c>
      <c r="C5957" s="6">
        <v>20.478950000000001</v>
      </c>
      <c r="D5957" s="6">
        <v>81</v>
      </c>
      <c r="E5957" s="6">
        <v>0</v>
      </c>
      <c r="F5957" s="6">
        <v>0</v>
      </c>
      <c r="G5957" s="6">
        <v>27</v>
      </c>
      <c r="H5957" s="6" t="s">
        <v>12234</v>
      </c>
      <c r="I5957" s="6">
        <v>528.375</v>
      </c>
      <c r="J5957" s="2">
        <f t="shared" si="93"/>
        <v>43747.9088290625</v>
      </c>
    </row>
    <row r="5958" spans="1:10" x14ac:dyDescent="0.25">
      <c r="A5958" s="7" t="s">
        <v>12235</v>
      </c>
      <c r="B5958" s="8">
        <v>400</v>
      </c>
      <c r="C5958" s="8">
        <v>20.478950000000001</v>
      </c>
      <c r="D5958" s="8">
        <v>81</v>
      </c>
      <c r="E5958" s="8">
        <v>0</v>
      </c>
      <c r="F5958" s="8">
        <v>0</v>
      </c>
      <c r="G5958" s="8">
        <v>27</v>
      </c>
      <c r="H5958" s="8" t="s">
        <v>12236</v>
      </c>
      <c r="I5958" s="8">
        <v>528.9375</v>
      </c>
      <c r="J5958" s="3">
        <f t="shared" si="93"/>
        <v>43747.908912372681</v>
      </c>
    </row>
    <row r="5959" spans="1:10" x14ac:dyDescent="0.25">
      <c r="A5959" s="5" t="s">
        <v>12237</v>
      </c>
      <c r="B5959" s="6">
        <v>403.125</v>
      </c>
      <c r="C5959" s="6">
        <v>20.478950000000001</v>
      </c>
      <c r="D5959" s="6">
        <v>81</v>
      </c>
      <c r="E5959" s="6">
        <v>0</v>
      </c>
      <c r="F5959" s="6">
        <v>0</v>
      </c>
      <c r="G5959" s="6">
        <v>26</v>
      </c>
      <c r="H5959" s="6" t="s">
        <v>12238</v>
      </c>
      <c r="I5959" s="6">
        <v>529.125</v>
      </c>
      <c r="J5959" s="2">
        <f t="shared" si="93"/>
        <v>43747.908984432863</v>
      </c>
    </row>
    <row r="5960" spans="1:10" x14ac:dyDescent="0.25">
      <c r="A5960" s="7" t="s">
        <v>12239</v>
      </c>
      <c r="B5960" s="8">
        <v>403.125</v>
      </c>
      <c r="C5960" s="8">
        <v>20.531590000000001</v>
      </c>
      <c r="D5960" s="8">
        <v>81</v>
      </c>
      <c r="E5960" s="8">
        <v>0</v>
      </c>
      <c r="F5960" s="8">
        <v>0</v>
      </c>
      <c r="G5960" s="8">
        <v>21</v>
      </c>
      <c r="H5960" s="8" t="s">
        <v>12240</v>
      </c>
      <c r="I5960" s="8">
        <v>529.125</v>
      </c>
      <c r="J5960" s="3">
        <f t="shared" si="93"/>
        <v>43747.909055833334</v>
      </c>
    </row>
    <row r="5961" spans="1:10" x14ac:dyDescent="0.25">
      <c r="A5961" s="5" t="s">
        <v>12241</v>
      </c>
      <c r="B5961" s="6">
        <v>403.125</v>
      </c>
      <c r="C5961" s="6">
        <v>20.478950000000001</v>
      </c>
      <c r="D5961" s="6">
        <v>80</v>
      </c>
      <c r="E5961" s="6">
        <v>0</v>
      </c>
      <c r="F5961" s="6">
        <v>0</v>
      </c>
      <c r="G5961" s="6">
        <v>29</v>
      </c>
      <c r="H5961" s="6" t="s">
        <v>12242</v>
      </c>
      <c r="I5961" s="6">
        <v>529.125</v>
      </c>
      <c r="J5961" s="2">
        <f t="shared" si="93"/>
        <v>43747.909127256942</v>
      </c>
    </row>
    <row r="5962" spans="1:10" x14ac:dyDescent="0.25">
      <c r="A5962" s="7" t="s">
        <v>12243</v>
      </c>
      <c r="B5962" s="8">
        <v>403.125</v>
      </c>
      <c r="C5962" s="8">
        <v>20.478950000000001</v>
      </c>
      <c r="D5962" s="8">
        <v>80</v>
      </c>
      <c r="E5962" s="8">
        <v>0</v>
      </c>
      <c r="F5962" s="8">
        <v>0</v>
      </c>
      <c r="G5962" s="8">
        <v>21</v>
      </c>
      <c r="H5962" s="8" t="s">
        <v>12244</v>
      </c>
      <c r="I5962" s="8">
        <v>529.875</v>
      </c>
      <c r="J5962" s="3">
        <f t="shared" si="93"/>
        <v>43747.909198483794</v>
      </c>
    </row>
    <row r="5963" spans="1:10" x14ac:dyDescent="0.25">
      <c r="A5963" s="5" t="s">
        <v>12245</v>
      </c>
      <c r="B5963" s="6">
        <v>406.25</v>
      </c>
      <c r="C5963" s="6">
        <v>20.478950000000001</v>
      </c>
      <c r="D5963" s="6">
        <v>80</v>
      </c>
      <c r="E5963" s="6">
        <v>0</v>
      </c>
      <c r="F5963" s="6">
        <v>0</v>
      </c>
      <c r="G5963" s="6">
        <v>29</v>
      </c>
      <c r="H5963" s="6" t="s">
        <v>12246</v>
      </c>
      <c r="I5963" s="6">
        <v>530.625</v>
      </c>
      <c r="J5963" s="2">
        <f t="shared" si="93"/>
        <v>43747.909282534725</v>
      </c>
    </row>
    <row r="5964" spans="1:10" x14ac:dyDescent="0.25">
      <c r="A5964" s="7" t="s">
        <v>12247</v>
      </c>
      <c r="B5964" s="8">
        <v>409.375</v>
      </c>
      <c r="C5964" s="8">
        <v>20.478950000000001</v>
      </c>
      <c r="D5964" s="8">
        <v>77</v>
      </c>
      <c r="E5964" s="8">
        <v>0</v>
      </c>
      <c r="F5964" s="8">
        <v>0</v>
      </c>
      <c r="G5964" s="8">
        <v>18</v>
      </c>
      <c r="H5964" s="8" t="s">
        <v>12248</v>
      </c>
      <c r="I5964" s="8">
        <v>531.375</v>
      </c>
      <c r="J5964" s="3">
        <f t="shared" si="93"/>
        <v>43747.909366087959</v>
      </c>
    </row>
    <row r="5965" spans="1:10" x14ac:dyDescent="0.25">
      <c r="A5965" s="5" t="s">
        <v>12249</v>
      </c>
      <c r="B5965" s="6">
        <v>412.5</v>
      </c>
      <c r="C5965" s="6">
        <v>20.478950000000001</v>
      </c>
      <c r="D5965" s="6">
        <v>78</v>
      </c>
      <c r="E5965" s="6">
        <v>0</v>
      </c>
      <c r="F5965" s="6">
        <v>0</v>
      </c>
      <c r="G5965" s="6">
        <v>25</v>
      </c>
      <c r="H5965" s="6" t="s">
        <v>12250</v>
      </c>
      <c r="I5965" s="6">
        <v>532.3125</v>
      </c>
      <c r="J5965" s="2">
        <f t="shared" si="93"/>
        <v>43747.909437337956</v>
      </c>
    </row>
    <row r="5966" spans="1:10" x14ac:dyDescent="0.25">
      <c r="A5966" s="7" t="s">
        <v>12251</v>
      </c>
      <c r="B5966" s="8">
        <v>415.625</v>
      </c>
      <c r="C5966" s="8">
        <v>20.478950000000001</v>
      </c>
      <c r="D5966" s="8">
        <v>79</v>
      </c>
      <c r="E5966" s="8">
        <v>0</v>
      </c>
      <c r="F5966" s="8">
        <v>0</v>
      </c>
      <c r="G5966" s="8">
        <v>25</v>
      </c>
      <c r="H5966" s="8" t="s">
        <v>12252</v>
      </c>
      <c r="I5966" s="8">
        <v>533.0625</v>
      </c>
      <c r="J5966" s="3">
        <f t="shared" si="93"/>
        <v>43747.909520729161</v>
      </c>
    </row>
    <row r="5967" spans="1:10" x14ac:dyDescent="0.25">
      <c r="A5967" s="5" t="s">
        <v>12253</v>
      </c>
      <c r="B5967" s="6">
        <v>415.625</v>
      </c>
      <c r="C5967" s="6">
        <v>20.478950000000001</v>
      </c>
      <c r="D5967" s="6">
        <v>79</v>
      </c>
      <c r="E5967" s="6">
        <v>0</v>
      </c>
      <c r="F5967" s="6">
        <v>0</v>
      </c>
      <c r="G5967" s="6">
        <v>27</v>
      </c>
      <c r="H5967" s="6" t="s">
        <v>12254</v>
      </c>
      <c r="I5967" s="6">
        <v>533.0625</v>
      </c>
      <c r="J5967" s="2">
        <f t="shared" si="93"/>
        <v>43747.909592083328</v>
      </c>
    </row>
    <row r="5968" spans="1:10" x14ac:dyDescent="0.25">
      <c r="A5968" s="7" t="s">
        <v>12255</v>
      </c>
      <c r="B5968" s="8">
        <v>415.625</v>
      </c>
      <c r="C5968" s="8">
        <v>20.478950000000001</v>
      </c>
      <c r="D5968" s="8">
        <v>79</v>
      </c>
      <c r="E5968" s="8">
        <v>0</v>
      </c>
      <c r="F5968" s="8">
        <v>0</v>
      </c>
      <c r="G5968" s="8">
        <v>29</v>
      </c>
      <c r="H5968" s="8" t="s">
        <v>12256</v>
      </c>
      <c r="I5968" s="8">
        <v>533.0625</v>
      </c>
      <c r="J5968" s="3">
        <f t="shared" si="93"/>
        <v>43747.90967616898</v>
      </c>
    </row>
    <row r="5969" spans="1:10" x14ac:dyDescent="0.25">
      <c r="A5969" s="5" t="s">
        <v>12257</v>
      </c>
      <c r="B5969" s="6">
        <v>415.625</v>
      </c>
      <c r="C5969" s="6">
        <v>20.478950000000001</v>
      </c>
      <c r="D5969" s="6">
        <v>79</v>
      </c>
      <c r="E5969" s="6">
        <v>0</v>
      </c>
      <c r="F5969" s="6">
        <v>0</v>
      </c>
      <c r="G5969" s="6">
        <v>25</v>
      </c>
      <c r="H5969" s="6" t="s">
        <v>12258</v>
      </c>
      <c r="I5969" s="6">
        <v>533.8125</v>
      </c>
      <c r="J5969" s="2">
        <f t="shared" si="93"/>
        <v>43747.909746712961</v>
      </c>
    </row>
    <row r="5970" spans="1:10" x14ac:dyDescent="0.25">
      <c r="A5970" s="7" t="s">
        <v>12259</v>
      </c>
      <c r="B5970" s="8">
        <v>415.625</v>
      </c>
      <c r="C5970" s="8">
        <v>20.478950000000001</v>
      </c>
      <c r="D5970" s="8">
        <v>78</v>
      </c>
      <c r="E5970" s="8">
        <v>0</v>
      </c>
      <c r="F5970" s="8">
        <v>0</v>
      </c>
      <c r="G5970" s="8">
        <v>21</v>
      </c>
      <c r="H5970" s="8" t="s">
        <v>12260</v>
      </c>
      <c r="I5970" s="8">
        <v>533.8125</v>
      </c>
      <c r="J5970" s="3">
        <f t="shared" si="93"/>
        <v>43747.909818796295</v>
      </c>
    </row>
    <row r="5971" spans="1:10" x14ac:dyDescent="0.25">
      <c r="A5971" s="5" t="s">
        <v>12261</v>
      </c>
      <c r="B5971" s="6">
        <v>418.75</v>
      </c>
      <c r="C5971" s="6">
        <v>20.478950000000001</v>
      </c>
      <c r="D5971" s="6">
        <v>79</v>
      </c>
      <c r="E5971" s="6">
        <v>0</v>
      </c>
      <c r="F5971" s="6">
        <v>0</v>
      </c>
      <c r="G5971" s="6">
        <v>26</v>
      </c>
      <c r="H5971" s="6" t="s">
        <v>12262</v>
      </c>
      <c r="I5971" s="6">
        <v>534</v>
      </c>
      <c r="J5971" s="2">
        <f t="shared" si="93"/>
        <v>43747.909890150462</v>
      </c>
    </row>
    <row r="5972" spans="1:10" x14ac:dyDescent="0.25">
      <c r="A5972" s="7" t="s">
        <v>12263</v>
      </c>
      <c r="B5972" s="8">
        <v>418.75</v>
      </c>
      <c r="C5972" s="8">
        <v>20.478950000000001</v>
      </c>
      <c r="D5972" s="8">
        <v>79</v>
      </c>
      <c r="E5972" s="8">
        <v>0</v>
      </c>
      <c r="F5972" s="8">
        <v>0</v>
      </c>
      <c r="G5972" s="8">
        <v>22</v>
      </c>
      <c r="H5972" s="8" t="s">
        <v>12264</v>
      </c>
      <c r="I5972" s="8">
        <v>534</v>
      </c>
      <c r="J5972" s="3">
        <f t="shared" si="93"/>
        <v>43747.909985532409</v>
      </c>
    </row>
    <row r="5973" spans="1:10" x14ac:dyDescent="0.25">
      <c r="A5973" s="5" t="s">
        <v>12265</v>
      </c>
      <c r="B5973" s="6">
        <v>418.75</v>
      </c>
      <c r="C5973" s="6">
        <v>20.478950000000001</v>
      </c>
      <c r="D5973" s="6">
        <v>79</v>
      </c>
      <c r="E5973" s="6">
        <v>0</v>
      </c>
      <c r="F5973" s="6">
        <v>0</v>
      </c>
      <c r="G5973" s="6">
        <v>19</v>
      </c>
      <c r="H5973" s="6" t="s">
        <v>12266</v>
      </c>
      <c r="I5973" s="6">
        <v>534.75</v>
      </c>
      <c r="J5973" s="2">
        <f t="shared" si="93"/>
        <v>43747.910057754627</v>
      </c>
    </row>
    <row r="5974" spans="1:10" x14ac:dyDescent="0.25">
      <c r="A5974" s="7" t="s">
        <v>12267</v>
      </c>
      <c r="B5974" s="8">
        <v>418.75</v>
      </c>
      <c r="C5974" s="8">
        <v>20.478950000000001</v>
      </c>
      <c r="D5974" s="8">
        <v>79</v>
      </c>
      <c r="E5974" s="8">
        <v>0</v>
      </c>
      <c r="F5974" s="8">
        <v>0</v>
      </c>
      <c r="G5974" s="8">
        <v>26</v>
      </c>
      <c r="H5974" s="8" t="s">
        <v>12268</v>
      </c>
      <c r="I5974" s="8">
        <v>534.75</v>
      </c>
      <c r="J5974" s="3">
        <f t="shared" si="93"/>
        <v>43747.910141076391</v>
      </c>
    </row>
    <row r="5975" spans="1:10" x14ac:dyDescent="0.25">
      <c r="A5975" s="5" t="s">
        <v>12269</v>
      </c>
      <c r="B5975" s="6">
        <v>418.75</v>
      </c>
      <c r="C5975" s="6">
        <v>20.478950000000001</v>
      </c>
      <c r="D5975" s="6">
        <v>79</v>
      </c>
      <c r="E5975" s="6">
        <v>0</v>
      </c>
      <c r="F5975" s="6">
        <v>0</v>
      </c>
      <c r="G5975" s="6">
        <v>24</v>
      </c>
      <c r="H5975" s="6" t="s">
        <v>12270</v>
      </c>
      <c r="I5975" s="6">
        <v>534.75</v>
      </c>
      <c r="J5975" s="2">
        <f t="shared" si="93"/>
        <v>43747.910212384253</v>
      </c>
    </row>
    <row r="5976" spans="1:10" x14ac:dyDescent="0.25">
      <c r="A5976" s="7" t="s">
        <v>12271</v>
      </c>
      <c r="B5976" s="8">
        <v>418.75</v>
      </c>
      <c r="C5976" s="8">
        <v>20.478950000000001</v>
      </c>
      <c r="D5976" s="8">
        <v>81</v>
      </c>
      <c r="E5976" s="8">
        <v>0</v>
      </c>
      <c r="F5976" s="8">
        <v>0</v>
      </c>
      <c r="G5976" s="8">
        <v>25</v>
      </c>
      <c r="H5976" s="8" t="s">
        <v>12272</v>
      </c>
      <c r="I5976" s="8">
        <v>534.75</v>
      </c>
      <c r="J5976" s="3">
        <f t="shared" si="93"/>
        <v>43747.910283726851</v>
      </c>
    </row>
    <row r="5977" spans="1:10" x14ac:dyDescent="0.25">
      <c r="A5977" s="5" t="s">
        <v>12273</v>
      </c>
      <c r="B5977" s="6">
        <v>437.5</v>
      </c>
      <c r="C5977" s="6">
        <v>20.478950000000001</v>
      </c>
      <c r="D5977" s="6">
        <v>82</v>
      </c>
      <c r="E5977" s="6">
        <v>0</v>
      </c>
      <c r="F5977" s="6">
        <v>0</v>
      </c>
      <c r="G5977" s="6">
        <v>21</v>
      </c>
      <c r="H5977" s="6" t="s">
        <v>12274</v>
      </c>
      <c r="I5977" s="6">
        <v>540.375</v>
      </c>
      <c r="J5977" s="2">
        <f t="shared" si="93"/>
        <v>43747.91035583333</v>
      </c>
    </row>
    <row r="5978" spans="1:10" x14ac:dyDescent="0.25">
      <c r="A5978" s="7" t="s">
        <v>12275</v>
      </c>
      <c r="B5978" s="8">
        <v>415.625</v>
      </c>
      <c r="C5978" s="8">
        <v>20.478950000000001</v>
      </c>
      <c r="D5978" s="8">
        <v>82</v>
      </c>
      <c r="E5978" s="8">
        <v>0</v>
      </c>
      <c r="F5978" s="8">
        <v>0</v>
      </c>
      <c r="G5978" s="8">
        <v>31</v>
      </c>
      <c r="H5978" s="8" t="s">
        <v>12276</v>
      </c>
      <c r="I5978" s="8">
        <v>533.8125</v>
      </c>
      <c r="J5978" s="3">
        <f t="shared" si="93"/>
        <v>43747.910439201391</v>
      </c>
    </row>
    <row r="5979" spans="1:10" x14ac:dyDescent="0.25">
      <c r="A5979" s="5" t="s">
        <v>12277</v>
      </c>
      <c r="B5979" s="6">
        <v>418.75</v>
      </c>
      <c r="C5979" s="6">
        <v>20.478950000000001</v>
      </c>
      <c r="D5979" s="6">
        <v>82</v>
      </c>
      <c r="E5979" s="6">
        <v>0</v>
      </c>
      <c r="F5979" s="6">
        <v>0</v>
      </c>
      <c r="G5979" s="6">
        <v>23</v>
      </c>
      <c r="H5979" s="6" t="s">
        <v>12278</v>
      </c>
      <c r="I5979" s="6">
        <v>534</v>
      </c>
      <c r="J5979" s="2">
        <f t="shared" si="93"/>
        <v>43747.910510532405</v>
      </c>
    </row>
    <row r="5980" spans="1:10" x14ac:dyDescent="0.25">
      <c r="A5980" s="7" t="s">
        <v>12279</v>
      </c>
      <c r="B5980" s="8">
        <v>415.625</v>
      </c>
      <c r="C5980" s="8">
        <v>20.478950000000001</v>
      </c>
      <c r="D5980" s="8">
        <v>81</v>
      </c>
      <c r="E5980" s="8">
        <v>0</v>
      </c>
      <c r="F5980" s="8">
        <v>0</v>
      </c>
      <c r="G5980" s="8">
        <v>22</v>
      </c>
      <c r="H5980" s="8" t="s">
        <v>12280</v>
      </c>
      <c r="I5980" s="8">
        <v>533.8125</v>
      </c>
      <c r="J5980" s="3">
        <f t="shared" si="93"/>
        <v>43747.910593854169</v>
      </c>
    </row>
    <row r="5981" spans="1:10" x14ac:dyDescent="0.25">
      <c r="A5981" s="5" t="s">
        <v>12281</v>
      </c>
      <c r="B5981" s="6">
        <v>418.75</v>
      </c>
      <c r="C5981" s="6">
        <v>20.478950000000001</v>
      </c>
      <c r="D5981" s="6">
        <v>81</v>
      </c>
      <c r="E5981" s="6">
        <v>0</v>
      </c>
      <c r="F5981" s="6">
        <v>0</v>
      </c>
      <c r="G5981" s="6">
        <v>20</v>
      </c>
      <c r="H5981" s="6" t="s">
        <v>12282</v>
      </c>
      <c r="I5981" s="6">
        <v>534.75</v>
      </c>
      <c r="J5981" s="2">
        <f t="shared" si="93"/>
        <v>43747.910665891199</v>
      </c>
    </row>
    <row r="5982" spans="1:10" x14ac:dyDescent="0.25">
      <c r="A5982" s="7" t="s">
        <v>12283</v>
      </c>
      <c r="B5982" s="8">
        <v>418.75</v>
      </c>
      <c r="C5982" s="8">
        <v>20.478950000000001</v>
      </c>
      <c r="D5982" s="8">
        <v>81</v>
      </c>
      <c r="E5982" s="8">
        <v>0</v>
      </c>
      <c r="F5982" s="8">
        <v>0</v>
      </c>
      <c r="G5982" s="8">
        <v>21</v>
      </c>
      <c r="H5982" s="8" t="s">
        <v>12284</v>
      </c>
      <c r="I5982" s="8">
        <v>534.75</v>
      </c>
      <c r="J5982" s="3">
        <f t="shared" si="93"/>
        <v>43747.910737453705</v>
      </c>
    </row>
    <row r="5983" spans="1:10" x14ac:dyDescent="0.25">
      <c r="A5983" s="5" t="s">
        <v>12285</v>
      </c>
      <c r="B5983" s="6">
        <v>418.75</v>
      </c>
      <c r="C5983" s="6">
        <v>20.478950000000001</v>
      </c>
      <c r="D5983" s="6">
        <v>81</v>
      </c>
      <c r="E5983" s="6">
        <v>0</v>
      </c>
      <c r="F5983" s="6">
        <v>0</v>
      </c>
      <c r="G5983" s="6">
        <v>27</v>
      </c>
      <c r="H5983" s="6" t="s">
        <v>12286</v>
      </c>
      <c r="I5983" s="6">
        <v>534.75</v>
      </c>
      <c r="J5983" s="2">
        <f t="shared" si="93"/>
        <v>43747.910820694444</v>
      </c>
    </row>
    <row r="5984" spans="1:10" x14ac:dyDescent="0.25">
      <c r="A5984" s="7" t="s">
        <v>12287</v>
      </c>
      <c r="B5984" s="8">
        <v>418.75</v>
      </c>
      <c r="C5984" s="8">
        <v>20.478950000000001</v>
      </c>
      <c r="D5984" s="8">
        <v>81</v>
      </c>
      <c r="E5984" s="8">
        <v>0</v>
      </c>
      <c r="F5984" s="8">
        <v>0</v>
      </c>
      <c r="G5984" s="8">
        <v>24</v>
      </c>
      <c r="H5984" s="8" t="s">
        <v>12288</v>
      </c>
      <c r="I5984" s="8">
        <v>534</v>
      </c>
      <c r="J5984" s="3">
        <f t="shared" si="93"/>
        <v>43747.910891990738</v>
      </c>
    </row>
    <row r="5985" spans="1:10" x14ac:dyDescent="0.25">
      <c r="A5985" s="5" t="s">
        <v>12289</v>
      </c>
      <c r="B5985" s="6">
        <v>418.75</v>
      </c>
      <c r="C5985" s="6">
        <v>20.478950000000001</v>
      </c>
      <c r="D5985" s="6">
        <v>81</v>
      </c>
      <c r="E5985" s="6">
        <v>0</v>
      </c>
      <c r="F5985" s="6">
        <v>0</v>
      </c>
      <c r="G5985" s="6">
        <v>17</v>
      </c>
      <c r="H5985" s="6" t="s">
        <v>12290</v>
      </c>
      <c r="I5985" s="6">
        <v>534</v>
      </c>
      <c r="J5985" s="2">
        <f t="shared" si="93"/>
        <v>43747.910975358791</v>
      </c>
    </row>
    <row r="5986" spans="1:10" x14ac:dyDescent="0.25">
      <c r="A5986" s="7" t="s">
        <v>12291</v>
      </c>
      <c r="B5986" s="8">
        <v>418.75</v>
      </c>
      <c r="C5986" s="8">
        <v>20.478950000000001</v>
      </c>
      <c r="D5986" s="8">
        <v>82</v>
      </c>
      <c r="E5986" s="8">
        <v>0</v>
      </c>
      <c r="F5986" s="8">
        <v>0</v>
      </c>
      <c r="G5986" s="8">
        <v>20</v>
      </c>
      <c r="H5986" s="8" t="s">
        <v>12292</v>
      </c>
      <c r="I5986" s="8">
        <v>534</v>
      </c>
      <c r="J5986" s="3">
        <f t="shared" si="93"/>
        <v>43747.911047488422</v>
      </c>
    </row>
    <row r="5987" spans="1:10" x14ac:dyDescent="0.25">
      <c r="A5987" s="5" t="s">
        <v>12293</v>
      </c>
      <c r="B5987" s="6">
        <v>418.75</v>
      </c>
      <c r="C5987" s="6">
        <v>20.478950000000001</v>
      </c>
      <c r="D5987" s="6">
        <v>80</v>
      </c>
      <c r="E5987" s="6">
        <v>0</v>
      </c>
      <c r="F5987" s="6">
        <v>0</v>
      </c>
      <c r="G5987" s="6">
        <v>30</v>
      </c>
      <c r="H5987" s="6" t="s">
        <v>12294</v>
      </c>
      <c r="I5987" s="6">
        <v>534</v>
      </c>
      <c r="J5987" s="2">
        <f t="shared" si="93"/>
        <v>43747.911136770832</v>
      </c>
    </row>
    <row r="5988" spans="1:10" x14ac:dyDescent="0.25">
      <c r="A5988" s="7" t="s">
        <v>12295</v>
      </c>
      <c r="B5988" s="8">
        <v>418.75</v>
      </c>
      <c r="C5988" s="8">
        <v>20.478950000000001</v>
      </c>
      <c r="D5988" s="8">
        <v>80</v>
      </c>
      <c r="E5988" s="8">
        <v>0</v>
      </c>
      <c r="F5988" s="8">
        <v>0</v>
      </c>
      <c r="G5988" s="8">
        <v>18</v>
      </c>
      <c r="H5988" s="8" t="s">
        <v>12296</v>
      </c>
      <c r="I5988" s="8">
        <v>534.75</v>
      </c>
      <c r="J5988" s="3">
        <f t="shared" si="93"/>
        <v>43747.911214305554</v>
      </c>
    </row>
    <row r="5989" spans="1:10" x14ac:dyDescent="0.25">
      <c r="A5989" s="5" t="s">
        <v>12297</v>
      </c>
      <c r="B5989" s="6">
        <v>437.5</v>
      </c>
      <c r="C5989" s="6">
        <v>20.478950000000001</v>
      </c>
      <c r="D5989" s="6">
        <v>80</v>
      </c>
      <c r="E5989" s="6">
        <v>0</v>
      </c>
      <c r="F5989" s="6">
        <v>0</v>
      </c>
      <c r="G5989" s="6">
        <v>22</v>
      </c>
      <c r="H5989" s="6" t="s">
        <v>12298</v>
      </c>
      <c r="I5989" s="6">
        <v>540.375</v>
      </c>
      <c r="J5989" s="2">
        <f t="shared" si="93"/>
        <v>43747.911285486109</v>
      </c>
    </row>
    <row r="5990" spans="1:10" x14ac:dyDescent="0.25">
      <c r="A5990" s="7" t="s">
        <v>12299</v>
      </c>
      <c r="B5990" s="8">
        <v>421.875</v>
      </c>
      <c r="C5990" s="8">
        <v>20.478950000000001</v>
      </c>
      <c r="D5990" s="8">
        <v>83</v>
      </c>
      <c r="E5990" s="8">
        <v>0</v>
      </c>
      <c r="F5990" s="8">
        <v>0</v>
      </c>
      <c r="G5990" s="8">
        <v>21</v>
      </c>
      <c r="H5990" s="8" t="s">
        <v>12300</v>
      </c>
      <c r="I5990" s="8">
        <v>535.5</v>
      </c>
      <c r="J5990" s="3">
        <f t="shared" si="93"/>
        <v>43747.911357557867</v>
      </c>
    </row>
    <row r="5991" spans="1:10" x14ac:dyDescent="0.25">
      <c r="A5991" s="5" t="s">
        <v>12301</v>
      </c>
      <c r="B5991" s="6">
        <v>421.875</v>
      </c>
      <c r="C5991" s="6">
        <v>20.478950000000001</v>
      </c>
      <c r="D5991" s="6">
        <v>82</v>
      </c>
      <c r="E5991" s="6">
        <v>0</v>
      </c>
      <c r="F5991" s="6">
        <v>0</v>
      </c>
      <c r="G5991" s="6">
        <v>21</v>
      </c>
      <c r="H5991" s="6" t="s">
        <v>12302</v>
      </c>
      <c r="I5991" s="6">
        <v>535.5</v>
      </c>
      <c r="J5991" s="2">
        <f t="shared" si="93"/>
        <v>43747.911428946762</v>
      </c>
    </row>
    <row r="5992" spans="1:10" x14ac:dyDescent="0.25">
      <c r="A5992" s="7" t="s">
        <v>12303</v>
      </c>
      <c r="B5992" s="8">
        <v>421.875</v>
      </c>
      <c r="C5992" s="8">
        <v>20.531590000000001</v>
      </c>
      <c r="D5992" s="8">
        <v>82</v>
      </c>
      <c r="E5992" s="8">
        <v>0</v>
      </c>
      <c r="F5992" s="8">
        <v>0</v>
      </c>
      <c r="G5992" s="8">
        <v>22</v>
      </c>
      <c r="H5992" s="8" t="s">
        <v>12304</v>
      </c>
      <c r="I5992" s="8">
        <v>535.5</v>
      </c>
      <c r="J5992" s="3">
        <f t="shared" si="93"/>
        <v>43747.911500312497</v>
      </c>
    </row>
    <row r="5993" spans="1:10" x14ac:dyDescent="0.25">
      <c r="A5993" s="5" t="s">
        <v>12305</v>
      </c>
      <c r="B5993" s="6">
        <v>421.875</v>
      </c>
      <c r="C5993" s="6">
        <v>20.478950000000001</v>
      </c>
      <c r="D5993" s="6">
        <v>83</v>
      </c>
      <c r="E5993" s="6">
        <v>0</v>
      </c>
      <c r="F5993" s="6">
        <v>0</v>
      </c>
      <c r="G5993" s="6">
        <v>19</v>
      </c>
      <c r="H5993" s="6" t="s">
        <v>12306</v>
      </c>
      <c r="I5993" s="6">
        <v>535.6875</v>
      </c>
      <c r="J5993" s="2">
        <f t="shared" si="93"/>
        <v>43747.911595671292</v>
      </c>
    </row>
    <row r="5994" spans="1:10" x14ac:dyDescent="0.25">
      <c r="A5994" s="7" t="s">
        <v>12307</v>
      </c>
      <c r="B5994" s="8">
        <v>421.875</v>
      </c>
      <c r="C5994" s="8">
        <v>20.478950000000001</v>
      </c>
      <c r="D5994" s="8">
        <v>83</v>
      </c>
      <c r="E5994" s="8">
        <v>0</v>
      </c>
      <c r="F5994" s="8">
        <v>0</v>
      </c>
      <c r="G5994" s="8">
        <v>20</v>
      </c>
      <c r="H5994" s="8" t="s">
        <v>12308</v>
      </c>
      <c r="I5994" s="8">
        <v>535.5</v>
      </c>
      <c r="J5994" s="3">
        <f t="shared" si="93"/>
        <v>43747.911666990738</v>
      </c>
    </row>
    <row r="5995" spans="1:10" x14ac:dyDescent="0.25">
      <c r="A5995" s="5" t="s">
        <v>12309</v>
      </c>
      <c r="B5995" s="6">
        <v>421.875</v>
      </c>
      <c r="C5995" s="6">
        <v>20.478950000000001</v>
      </c>
      <c r="D5995" s="6">
        <v>83</v>
      </c>
      <c r="E5995" s="6">
        <v>0</v>
      </c>
      <c r="F5995" s="6">
        <v>0</v>
      </c>
      <c r="G5995" s="6">
        <v>21</v>
      </c>
      <c r="H5995" s="6" t="s">
        <v>12310</v>
      </c>
      <c r="I5995" s="6">
        <v>535.5</v>
      </c>
      <c r="J5995" s="2">
        <f t="shared" si="93"/>
        <v>43747.911739189811</v>
      </c>
    </row>
    <row r="5996" spans="1:10" x14ac:dyDescent="0.25">
      <c r="A5996" s="7" t="s">
        <v>12311</v>
      </c>
      <c r="B5996" s="8">
        <v>421.875</v>
      </c>
      <c r="C5996" s="8">
        <v>20.478950000000001</v>
      </c>
      <c r="D5996" s="8">
        <v>83</v>
      </c>
      <c r="E5996" s="8">
        <v>0</v>
      </c>
      <c r="F5996" s="8">
        <v>0</v>
      </c>
      <c r="G5996" s="8">
        <v>24</v>
      </c>
      <c r="H5996" s="8" t="s">
        <v>12312</v>
      </c>
      <c r="I5996" s="8">
        <v>535.5</v>
      </c>
      <c r="J5996" s="3">
        <f t="shared" si="93"/>
        <v>43747.911810497688</v>
      </c>
    </row>
    <row r="5997" spans="1:10" x14ac:dyDescent="0.25">
      <c r="A5997" s="5" t="s">
        <v>12313</v>
      </c>
      <c r="B5997" s="6">
        <v>418.75</v>
      </c>
      <c r="C5997" s="6">
        <v>20.478950000000001</v>
      </c>
      <c r="D5997" s="6">
        <v>83</v>
      </c>
      <c r="E5997" s="6">
        <v>0</v>
      </c>
      <c r="F5997" s="6">
        <v>0</v>
      </c>
      <c r="G5997" s="6">
        <v>19</v>
      </c>
      <c r="H5997" s="6" t="s">
        <v>12314</v>
      </c>
      <c r="I5997" s="6">
        <v>534.75</v>
      </c>
      <c r="J5997" s="2">
        <f t="shared" si="93"/>
        <v>43747.911881793982</v>
      </c>
    </row>
    <row r="5998" spans="1:10" x14ac:dyDescent="0.25">
      <c r="A5998" s="7" t="s">
        <v>12315</v>
      </c>
      <c r="B5998" s="8">
        <v>418.75</v>
      </c>
      <c r="C5998" s="8">
        <v>20.478950000000001</v>
      </c>
      <c r="D5998" s="8">
        <v>83</v>
      </c>
      <c r="E5998" s="8">
        <v>0</v>
      </c>
      <c r="F5998" s="8">
        <v>0</v>
      </c>
      <c r="G5998" s="8">
        <v>24</v>
      </c>
      <c r="H5998" s="8" t="s">
        <v>12316</v>
      </c>
      <c r="I5998" s="8">
        <v>534.75</v>
      </c>
      <c r="J5998" s="3">
        <f t="shared" si="93"/>
        <v>43747.911953854164</v>
      </c>
    </row>
    <row r="5999" spans="1:10" x14ac:dyDescent="0.25">
      <c r="A5999" s="5" t="s">
        <v>12317</v>
      </c>
      <c r="B5999" s="6">
        <v>418.75</v>
      </c>
      <c r="C5999" s="6">
        <v>20.478950000000001</v>
      </c>
      <c r="D5999" s="6">
        <v>83</v>
      </c>
      <c r="E5999" s="6">
        <v>0</v>
      </c>
      <c r="F5999" s="6">
        <v>0</v>
      </c>
      <c r="G5999" s="6">
        <v>20</v>
      </c>
      <c r="H5999" s="6" t="s">
        <v>12318</v>
      </c>
      <c r="I5999" s="6">
        <v>534.75</v>
      </c>
      <c r="J5999" s="2">
        <f t="shared" si="93"/>
        <v>43747.912025266203</v>
      </c>
    </row>
    <row r="6000" spans="1:10" x14ac:dyDescent="0.25">
      <c r="A6000" s="7" t="s">
        <v>12319</v>
      </c>
      <c r="B6000" s="8">
        <v>437.5</v>
      </c>
      <c r="C6000" s="8">
        <v>20.478950000000001</v>
      </c>
      <c r="D6000" s="8">
        <v>83</v>
      </c>
      <c r="E6000" s="8">
        <v>0</v>
      </c>
      <c r="F6000" s="8">
        <v>0</v>
      </c>
      <c r="G6000" s="8">
        <v>17</v>
      </c>
      <c r="H6000" s="8" t="s">
        <v>12320</v>
      </c>
      <c r="I6000" s="8">
        <v>540.375</v>
      </c>
      <c r="J6000" s="3">
        <f t="shared" si="93"/>
        <v>43747.912096481479</v>
      </c>
    </row>
    <row r="6001" spans="1:10" x14ac:dyDescent="0.25">
      <c r="A6001" s="5" t="s">
        <v>12321</v>
      </c>
      <c r="B6001" s="6">
        <v>418.75</v>
      </c>
      <c r="C6001" s="6">
        <v>20.478950000000001</v>
      </c>
      <c r="D6001" s="6">
        <v>83</v>
      </c>
      <c r="E6001" s="6">
        <v>0</v>
      </c>
      <c r="F6001" s="6">
        <v>0</v>
      </c>
      <c r="G6001" s="6">
        <v>23</v>
      </c>
      <c r="H6001" s="6" t="s">
        <v>12322</v>
      </c>
      <c r="I6001" s="6">
        <v>534</v>
      </c>
      <c r="J6001" s="2">
        <f t="shared" si="93"/>
        <v>43747.912167916664</v>
      </c>
    </row>
    <row r="6002" spans="1:10" x14ac:dyDescent="0.25">
      <c r="A6002" s="7" t="s">
        <v>12323</v>
      </c>
      <c r="B6002" s="8">
        <v>418.75</v>
      </c>
      <c r="C6002" s="8">
        <v>20.478950000000001</v>
      </c>
      <c r="D6002" s="8">
        <v>83</v>
      </c>
      <c r="E6002" s="8">
        <v>0</v>
      </c>
      <c r="F6002" s="8">
        <v>0</v>
      </c>
      <c r="G6002" s="8">
        <v>23</v>
      </c>
      <c r="H6002" s="8" t="s">
        <v>12324</v>
      </c>
      <c r="I6002" s="8">
        <v>534</v>
      </c>
      <c r="J6002" s="3">
        <f t="shared" si="93"/>
        <v>43747.912240138881</v>
      </c>
    </row>
    <row r="6003" spans="1:10" x14ac:dyDescent="0.25">
      <c r="A6003" s="5" t="s">
        <v>12325</v>
      </c>
      <c r="B6003" s="6">
        <v>415.625</v>
      </c>
      <c r="C6003" s="6">
        <v>20.478950000000001</v>
      </c>
      <c r="D6003" s="6">
        <v>83</v>
      </c>
      <c r="E6003" s="6">
        <v>0</v>
      </c>
      <c r="F6003" s="6">
        <v>0</v>
      </c>
      <c r="G6003" s="6">
        <v>32</v>
      </c>
      <c r="H6003" s="6" t="s">
        <v>12326</v>
      </c>
      <c r="I6003" s="6">
        <v>533.8125</v>
      </c>
      <c r="J6003" s="2">
        <f t="shared" si="93"/>
        <v>43747.912311412038</v>
      </c>
    </row>
    <row r="6004" spans="1:10" x14ac:dyDescent="0.25">
      <c r="A6004" s="7" t="s">
        <v>12327</v>
      </c>
      <c r="B6004" s="8">
        <v>415.625</v>
      </c>
      <c r="C6004" s="8">
        <v>20.478950000000001</v>
      </c>
      <c r="D6004" s="8">
        <v>83</v>
      </c>
      <c r="E6004" s="8">
        <v>0</v>
      </c>
      <c r="F6004" s="8">
        <v>0</v>
      </c>
      <c r="G6004" s="8">
        <v>27</v>
      </c>
      <c r="H6004" s="8" t="s">
        <v>12328</v>
      </c>
      <c r="I6004" s="8">
        <v>533.8125</v>
      </c>
      <c r="J6004" s="3">
        <f t="shared" si="93"/>
        <v>43747.912407534721</v>
      </c>
    </row>
    <row r="6005" spans="1:10" x14ac:dyDescent="0.25">
      <c r="A6005" s="5" t="s">
        <v>12329</v>
      </c>
      <c r="B6005" s="6">
        <v>418.75</v>
      </c>
      <c r="C6005" s="6">
        <v>20.478950000000001</v>
      </c>
      <c r="D6005" s="6">
        <v>83</v>
      </c>
      <c r="E6005" s="6">
        <v>0</v>
      </c>
      <c r="F6005" s="6">
        <v>0</v>
      </c>
      <c r="G6005" s="6">
        <v>27</v>
      </c>
      <c r="H6005" s="6" t="s">
        <v>12330</v>
      </c>
      <c r="I6005" s="6">
        <v>534.75</v>
      </c>
      <c r="J6005" s="2">
        <f t="shared" si="93"/>
        <v>43747.912478078702</v>
      </c>
    </row>
    <row r="6006" spans="1:10" x14ac:dyDescent="0.25">
      <c r="A6006" s="7" t="s">
        <v>12331</v>
      </c>
      <c r="B6006" s="8">
        <v>421.875</v>
      </c>
      <c r="C6006" s="8">
        <v>20.478950000000001</v>
      </c>
      <c r="D6006" s="8">
        <v>83</v>
      </c>
      <c r="E6006" s="8">
        <v>0</v>
      </c>
      <c r="F6006" s="8">
        <v>0</v>
      </c>
      <c r="G6006" s="8">
        <v>24</v>
      </c>
      <c r="H6006" s="8" t="s">
        <v>12332</v>
      </c>
      <c r="I6006" s="8">
        <v>535.5</v>
      </c>
      <c r="J6006" s="3">
        <f t="shared" si="93"/>
        <v>43747.912549386572</v>
      </c>
    </row>
    <row r="6007" spans="1:10" x14ac:dyDescent="0.25">
      <c r="A6007" s="5" t="s">
        <v>12333</v>
      </c>
      <c r="B6007" s="6">
        <v>443.75</v>
      </c>
      <c r="C6007" s="6">
        <v>20.478950000000001</v>
      </c>
      <c r="D6007" s="6">
        <v>83</v>
      </c>
      <c r="E6007" s="6">
        <v>0</v>
      </c>
      <c r="F6007" s="6">
        <v>0</v>
      </c>
      <c r="G6007" s="6">
        <v>25</v>
      </c>
      <c r="H6007" s="6" t="s">
        <v>12334</v>
      </c>
      <c r="I6007" s="6">
        <v>542.8125</v>
      </c>
      <c r="J6007" s="2">
        <f t="shared" si="93"/>
        <v>43747.912621597221</v>
      </c>
    </row>
    <row r="6008" spans="1:10" x14ac:dyDescent="0.25">
      <c r="A6008" s="7" t="s">
        <v>12335</v>
      </c>
      <c r="B6008" s="8">
        <v>418.75</v>
      </c>
      <c r="C6008" s="8">
        <v>20.478950000000001</v>
      </c>
      <c r="D6008" s="8">
        <v>83</v>
      </c>
      <c r="E6008" s="8">
        <v>0</v>
      </c>
      <c r="F6008" s="8">
        <v>0</v>
      </c>
      <c r="G6008" s="8">
        <v>13</v>
      </c>
      <c r="H6008" s="8" t="s">
        <v>12336</v>
      </c>
      <c r="I6008" s="8">
        <v>534.75</v>
      </c>
      <c r="J6008" s="3">
        <f t="shared" si="93"/>
        <v>43747.912692731479</v>
      </c>
    </row>
    <row r="6009" spans="1:10" x14ac:dyDescent="0.25">
      <c r="A6009" s="5" t="s">
        <v>12337</v>
      </c>
      <c r="B6009" s="6">
        <v>418.75</v>
      </c>
      <c r="C6009" s="6">
        <v>20.478950000000001</v>
      </c>
      <c r="D6009" s="6">
        <v>83</v>
      </c>
      <c r="E6009" s="6">
        <v>0</v>
      </c>
      <c r="F6009" s="6">
        <v>0</v>
      </c>
      <c r="G6009" s="6">
        <v>19</v>
      </c>
      <c r="H6009" s="6" t="s">
        <v>12338</v>
      </c>
      <c r="I6009" s="6">
        <v>534.75</v>
      </c>
      <c r="J6009" s="2">
        <f t="shared" si="93"/>
        <v>43747.912764212961</v>
      </c>
    </row>
    <row r="6010" spans="1:10" x14ac:dyDescent="0.25">
      <c r="A6010" s="7" t="s">
        <v>12339</v>
      </c>
      <c r="B6010" s="8">
        <v>418.75</v>
      </c>
      <c r="C6010" s="8">
        <v>20.478950000000001</v>
      </c>
      <c r="D6010" s="8">
        <v>83</v>
      </c>
      <c r="E6010" s="8">
        <v>0</v>
      </c>
      <c r="F6010" s="8">
        <v>0</v>
      </c>
      <c r="G6010" s="8">
        <v>21</v>
      </c>
      <c r="H6010" s="8" t="s">
        <v>12340</v>
      </c>
      <c r="I6010" s="8">
        <v>534.5625</v>
      </c>
      <c r="J6010" s="3">
        <f t="shared" si="93"/>
        <v>43747.912836377312</v>
      </c>
    </row>
    <row r="6011" spans="1:10" x14ac:dyDescent="0.25">
      <c r="A6011" s="5" t="s">
        <v>12341</v>
      </c>
      <c r="B6011" s="6">
        <v>418.75</v>
      </c>
      <c r="C6011" s="6">
        <v>20.478950000000001</v>
      </c>
      <c r="D6011" s="6">
        <v>84</v>
      </c>
      <c r="E6011" s="6">
        <v>0</v>
      </c>
      <c r="F6011" s="6">
        <v>0</v>
      </c>
      <c r="G6011" s="6">
        <v>18</v>
      </c>
      <c r="H6011" s="6" t="s">
        <v>12342</v>
      </c>
      <c r="I6011" s="6">
        <v>534</v>
      </c>
      <c r="J6011" s="2">
        <f t="shared" si="93"/>
        <v>43747.91291983796</v>
      </c>
    </row>
    <row r="6012" spans="1:10" x14ac:dyDescent="0.25">
      <c r="A6012" s="7" t="s">
        <v>12343</v>
      </c>
      <c r="B6012" s="8">
        <v>418.75</v>
      </c>
      <c r="C6012" s="8">
        <v>20.478950000000001</v>
      </c>
      <c r="D6012" s="8">
        <v>84</v>
      </c>
      <c r="E6012" s="8">
        <v>0</v>
      </c>
      <c r="F6012" s="8">
        <v>0</v>
      </c>
      <c r="G6012" s="8">
        <v>19</v>
      </c>
      <c r="H6012" s="8" t="s">
        <v>12344</v>
      </c>
      <c r="I6012" s="8">
        <v>534</v>
      </c>
      <c r="J6012" s="3">
        <f t="shared" si="93"/>
        <v>43747.912991793979</v>
      </c>
    </row>
    <row r="6013" spans="1:10" x14ac:dyDescent="0.25">
      <c r="A6013" s="5" t="s">
        <v>12345</v>
      </c>
      <c r="B6013" s="6">
        <v>418.75</v>
      </c>
      <c r="C6013" s="6">
        <v>20.478950000000001</v>
      </c>
      <c r="D6013" s="6">
        <v>85</v>
      </c>
      <c r="E6013" s="6">
        <v>0</v>
      </c>
      <c r="F6013" s="6">
        <v>0</v>
      </c>
      <c r="G6013" s="6">
        <v>28</v>
      </c>
      <c r="H6013" s="6" t="s">
        <v>12346</v>
      </c>
      <c r="I6013" s="6">
        <v>534</v>
      </c>
      <c r="J6013" s="2">
        <f t="shared" si="93"/>
        <v>43747.913086458335</v>
      </c>
    </row>
    <row r="6014" spans="1:10" x14ac:dyDescent="0.25">
      <c r="A6014" s="7" t="s">
        <v>12347</v>
      </c>
      <c r="B6014" s="8">
        <v>418.75</v>
      </c>
      <c r="C6014" s="8">
        <v>20.478950000000001</v>
      </c>
      <c r="D6014" s="8">
        <v>85</v>
      </c>
      <c r="E6014" s="8">
        <v>0</v>
      </c>
      <c r="F6014" s="8">
        <v>0</v>
      </c>
      <c r="G6014" s="8">
        <v>30</v>
      </c>
      <c r="H6014" s="8" t="s">
        <v>12348</v>
      </c>
      <c r="I6014" s="8">
        <v>534</v>
      </c>
      <c r="J6014" s="3">
        <f t="shared" si="93"/>
        <v>43747.913157835646</v>
      </c>
    </row>
    <row r="6015" spans="1:10" x14ac:dyDescent="0.25">
      <c r="A6015" s="5" t="s">
        <v>12349</v>
      </c>
      <c r="B6015" s="6">
        <v>415.625</v>
      </c>
      <c r="C6015" s="6">
        <v>20.478950000000001</v>
      </c>
      <c r="D6015" s="6">
        <v>84</v>
      </c>
      <c r="E6015" s="6">
        <v>0</v>
      </c>
      <c r="F6015" s="6">
        <v>0</v>
      </c>
      <c r="G6015" s="6">
        <v>25</v>
      </c>
      <c r="H6015" s="6" t="s">
        <v>12350</v>
      </c>
      <c r="I6015" s="6">
        <v>533.0625</v>
      </c>
      <c r="J6015" s="2">
        <f t="shared" si="93"/>
        <v>43747.913229976846</v>
      </c>
    </row>
    <row r="6016" spans="1:10" x14ac:dyDescent="0.25">
      <c r="A6016" s="7" t="s">
        <v>12351</v>
      </c>
      <c r="B6016" s="8">
        <v>415.625</v>
      </c>
      <c r="C6016" s="8">
        <v>20.478950000000001</v>
      </c>
      <c r="D6016" s="8">
        <v>84</v>
      </c>
      <c r="E6016" s="8">
        <v>0</v>
      </c>
      <c r="F6016" s="8">
        <v>0</v>
      </c>
      <c r="G6016" s="8">
        <v>24</v>
      </c>
      <c r="H6016" s="8" t="s">
        <v>12352</v>
      </c>
      <c r="I6016" s="8">
        <v>533.0625</v>
      </c>
      <c r="J6016" s="3">
        <f t="shared" si="93"/>
        <v>43747.913302962959</v>
      </c>
    </row>
    <row r="6017" spans="1:10" x14ac:dyDescent="0.25">
      <c r="A6017" s="5" t="s">
        <v>12353</v>
      </c>
      <c r="B6017" s="6">
        <v>415.625</v>
      </c>
      <c r="C6017" s="6">
        <v>20.478950000000001</v>
      </c>
      <c r="D6017" s="6">
        <v>86</v>
      </c>
      <c r="E6017" s="6">
        <v>0</v>
      </c>
      <c r="F6017" s="6">
        <v>0</v>
      </c>
      <c r="G6017" s="6">
        <v>20</v>
      </c>
      <c r="H6017" s="6" t="s">
        <v>12354</v>
      </c>
      <c r="I6017" s="6">
        <v>533.0625</v>
      </c>
      <c r="J6017" s="2">
        <f t="shared" si="93"/>
        <v>43747.91338460648</v>
      </c>
    </row>
    <row r="6018" spans="1:10" x14ac:dyDescent="0.25">
      <c r="A6018" s="7" t="s">
        <v>12355</v>
      </c>
      <c r="B6018" s="8">
        <v>415.625</v>
      </c>
      <c r="C6018" s="8">
        <v>20.478950000000001</v>
      </c>
      <c r="D6018" s="8">
        <v>84</v>
      </c>
      <c r="E6018" s="8">
        <v>0</v>
      </c>
      <c r="F6018" s="8">
        <v>0</v>
      </c>
      <c r="G6018" s="8">
        <v>28</v>
      </c>
      <c r="H6018" s="8" t="s">
        <v>12356</v>
      </c>
      <c r="I6018" s="8">
        <v>533.25</v>
      </c>
      <c r="J6018" s="3">
        <f t="shared" ref="J6018:J6081" si="94">(H6018/86400000)+25569+(7/24)</f>
        <v>43747.913455925918</v>
      </c>
    </row>
    <row r="6019" spans="1:10" x14ac:dyDescent="0.25">
      <c r="A6019" s="5" t="s">
        <v>12357</v>
      </c>
      <c r="B6019" s="6">
        <v>415.625</v>
      </c>
      <c r="C6019" s="6">
        <v>20.478950000000001</v>
      </c>
      <c r="D6019" s="6">
        <v>85</v>
      </c>
      <c r="E6019" s="6">
        <v>0</v>
      </c>
      <c r="F6019" s="6">
        <v>0</v>
      </c>
      <c r="G6019" s="6">
        <v>18</v>
      </c>
      <c r="H6019" s="6" t="s">
        <v>12358</v>
      </c>
      <c r="I6019" s="6">
        <v>533.0625</v>
      </c>
      <c r="J6019" s="2">
        <f t="shared" si="94"/>
        <v>43747.913527511577</v>
      </c>
    </row>
    <row r="6020" spans="1:10" x14ac:dyDescent="0.25">
      <c r="A6020" s="7" t="s">
        <v>12359</v>
      </c>
      <c r="B6020" s="8">
        <v>415.625</v>
      </c>
      <c r="C6020" s="8">
        <v>20.478950000000001</v>
      </c>
      <c r="D6020" s="8">
        <v>84</v>
      </c>
      <c r="E6020" s="8">
        <v>0</v>
      </c>
      <c r="F6020" s="8">
        <v>0</v>
      </c>
      <c r="G6020" s="8">
        <v>24</v>
      </c>
      <c r="H6020" s="8" t="s">
        <v>12360</v>
      </c>
      <c r="I6020" s="8">
        <v>533.0625</v>
      </c>
      <c r="J6020" s="3">
        <f t="shared" si="94"/>
        <v>43747.913599502317</v>
      </c>
    </row>
    <row r="6021" spans="1:10" x14ac:dyDescent="0.25">
      <c r="A6021" s="5" t="s">
        <v>12361</v>
      </c>
      <c r="B6021" s="6">
        <v>431.25</v>
      </c>
      <c r="C6021" s="6">
        <v>20.478950000000001</v>
      </c>
      <c r="D6021" s="6">
        <v>84</v>
      </c>
      <c r="E6021" s="6">
        <v>0</v>
      </c>
      <c r="F6021" s="6">
        <v>0</v>
      </c>
      <c r="G6021" s="6">
        <v>26</v>
      </c>
      <c r="H6021" s="6" t="s">
        <v>12362</v>
      </c>
      <c r="I6021" s="6">
        <v>538.6875</v>
      </c>
      <c r="J6021" s="2">
        <f t="shared" si="94"/>
        <v>43747.913670775459</v>
      </c>
    </row>
    <row r="6022" spans="1:10" x14ac:dyDescent="0.25">
      <c r="A6022" s="7" t="s">
        <v>12363</v>
      </c>
      <c r="B6022" s="8">
        <v>415.625</v>
      </c>
      <c r="C6022" s="8">
        <v>20.478950000000001</v>
      </c>
      <c r="D6022" s="8">
        <v>84</v>
      </c>
      <c r="E6022" s="8">
        <v>0</v>
      </c>
      <c r="F6022" s="8">
        <v>0</v>
      </c>
      <c r="G6022" s="8">
        <v>17</v>
      </c>
      <c r="H6022" s="8" t="s">
        <v>12364</v>
      </c>
      <c r="I6022" s="8">
        <v>533.8125</v>
      </c>
      <c r="J6022" s="3">
        <f t="shared" si="94"/>
        <v>43747.91375777778</v>
      </c>
    </row>
    <row r="6023" spans="1:10" x14ac:dyDescent="0.25">
      <c r="A6023" s="5" t="s">
        <v>12365</v>
      </c>
      <c r="B6023" s="6">
        <v>418.75</v>
      </c>
      <c r="C6023" s="6">
        <v>20.478950000000001</v>
      </c>
      <c r="D6023" s="6">
        <v>83</v>
      </c>
      <c r="E6023" s="6">
        <v>0</v>
      </c>
      <c r="F6023" s="6">
        <v>0</v>
      </c>
      <c r="G6023" s="6">
        <v>29</v>
      </c>
      <c r="H6023" s="6" t="s">
        <v>12366</v>
      </c>
      <c r="I6023" s="6">
        <v>534</v>
      </c>
      <c r="J6023" s="2">
        <f t="shared" si="94"/>
        <v>43747.913855312501</v>
      </c>
    </row>
    <row r="6024" spans="1:10" x14ac:dyDescent="0.25">
      <c r="A6024" s="7" t="s">
        <v>12367</v>
      </c>
      <c r="B6024" s="8">
        <v>415.625</v>
      </c>
      <c r="C6024" s="8">
        <v>20.478950000000001</v>
      </c>
      <c r="D6024" s="8">
        <v>84</v>
      </c>
      <c r="E6024" s="8">
        <v>0</v>
      </c>
      <c r="F6024" s="8">
        <v>0</v>
      </c>
      <c r="G6024" s="8">
        <v>24</v>
      </c>
      <c r="H6024" s="8" t="s">
        <v>12368</v>
      </c>
      <c r="I6024" s="8">
        <v>533.8125</v>
      </c>
      <c r="J6024" s="3">
        <f t="shared" si="94"/>
        <v>43747.913933622687</v>
      </c>
    </row>
    <row r="6025" spans="1:10" x14ac:dyDescent="0.25">
      <c r="A6025" s="5" t="s">
        <v>12369</v>
      </c>
      <c r="B6025" s="6">
        <v>418.75</v>
      </c>
      <c r="C6025" s="6">
        <v>20.478950000000001</v>
      </c>
      <c r="D6025" s="6">
        <v>84</v>
      </c>
      <c r="E6025" s="6">
        <v>0</v>
      </c>
      <c r="F6025" s="6">
        <v>0</v>
      </c>
      <c r="G6025" s="6">
        <v>29</v>
      </c>
      <c r="H6025" s="6" t="s">
        <v>12370</v>
      </c>
      <c r="I6025" s="6">
        <v>534</v>
      </c>
      <c r="J6025" s="2">
        <f t="shared" si="94"/>
        <v>43747.914005046296</v>
      </c>
    </row>
    <row r="6026" spans="1:10" x14ac:dyDescent="0.25">
      <c r="A6026" s="7" t="s">
        <v>12371</v>
      </c>
      <c r="B6026" s="8">
        <v>434.375</v>
      </c>
      <c r="C6026" s="8">
        <v>20.478950000000001</v>
      </c>
      <c r="D6026" s="8">
        <v>84</v>
      </c>
      <c r="E6026" s="8">
        <v>0</v>
      </c>
      <c r="F6026" s="8">
        <v>0</v>
      </c>
      <c r="G6026" s="8">
        <v>23</v>
      </c>
      <c r="H6026" s="8" t="s">
        <v>12372</v>
      </c>
      <c r="I6026" s="8">
        <v>539.625</v>
      </c>
      <c r="J6026" s="3">
        <f t="shared" si="94"/>
        <v>43747.914076273148</v>
      </c>
    </row>
    <row r="6027" spans="1:10" x14ac:dyDescent="0.25">
      <c r="A6027" s="5" t="s">
        <v>12373</v>
      </c>
      <c r="B6027" s="6">
        <v>415.625</v>
      </c>
      <c r="C6027" s="6">
        <v>20.478950000000001</v>
      </c>
      <c r="D6027" s="6">
        <v>84</v>
      </c>
      <c r="E6027" s="6">
        <v>0</v>
      </c>
      <c r="F6027" s="6">
        <v>0</v>
      </c>
      <c r="G6027" s="6">
        <v>21</v>
      </c>
      <c r="H6027" s="6" t="s">
        <v>12374</v>
      </c>
      <c r="I6027" s="6">
        <v>533.0625</v>
      </c>
      <c r="J6027" s="2">
        <f t="shared" si="94"/>
        <v>43747.914147592594</v>
      </c>
    </row>
    <row r="6028" spans="1:10" x14ac:dyDescent="0.25">
      <c r="A6028" s="7" t="s">
        <v>12375</v>
      </c>
      <c r="B6028" s="8">
        <v>412.5</v>
      </c>
      <c r="C6028" s="8">
        <v>20.478950000000001</v>
      </c>
      <c r="D6028" s="8">
        <v>84</v>
      </c>
      <c r="E6028" s="8">
        <v>0</v>
      </c>
      <c r="F6028" s="8">
        <v>0</v>
      </c>
      <c r="G6028" s="8">
        <v>29</v>
      </c>
      <c r="H6028" s="8" t="s">
        <v>12376</v>
      </c>
      <c r="I6028" s="8">
        <v>532.3125</v>
      </c>
      <c r="J6028" s="3">
        <f t="shared" si="94"/>
        <v>43747.914218877311</v>
      </c>
    </row>
    <row r="6029" spans="1:10" x14ac:dyDescent="0.25">
      <c r="A6029" s="5" t="s">
        <v>12377</v>
      </c>
      <c r="B6029" s="6">
        <v>412.5</v>
      </c>
      <c r="C6029" s="6">
        <v>20.478950000000001</v>
      </c>
      <c r="D6029" s="6">
        <v>82</v>
      </c>
      <c r="E6029" s="6">
        <v>0</v>
      </c>
      <c r="F6029" s="6">
        <v>0</v>
      </c>
      <c r="G6029" s="6">
        <v>30</v>
      </c>
      <c r="H6029" s="6" t="s">
        <v>12378</v>
      </c>
      <c r="I6029" s="6">
        <v>532.3125</v>
      </c>
      <c r="J6029" s="2">
        <f t="shared" si="94"/>
        <v>43747.914303124999</v>
      </c>
    </row>
    <row r="6030" spans="1:10" x14ac:dyDescent="0.25">
      <c r="A6030" s="7" t="s">
        <v>12379</v>
      </c>
      <c r="B6030" s="8">
        <v>412.5</v>
      </c>
      <c r="C6030" s="8">
        <v>20.478950000000001</v>
      </c>
      <c r="D6030" s="8">
        <v>82</v>
      </c>
      <c r="E6030" s="8">
        <v>0</v>
      </c>
      <c r="F6030" s="8">
        <v>0</v>
      </c>
      <c r="G6030" s="8">
        <v>32</v>
      </c>
      <c r="H6030" s="8" t="s">
        <v>12380</v>
      </c>
      <c r="I6030" s="8">
        <v>532.3125</v>
      </c>
      <c r="J6030" s="3">
        <f t="shared" si="94"/>
        <v>43747.914374456021</v>
      </c>
    </row>
    <row r="6031" spans="1:10" x14ac:dyDescent="0.25">
      <c r="A6031" s="5" t="s">
        <v>12381</v>
      </c>
      <c r="B6031" s="6">
        <v>412.5</v>
      </c>
      <c r="C6031" s="6">
        <v>20.478950000000001</v>
      </c>
      <c r="D6031" s="6">
        <v>82</v>
      </c>
      <c r="E6031" s="6">
        <v>0</v>
      </c>
      <c r="F6031" s="6">
        <v>0</v>
      </c>
      <c r="G6031" s="6">
        <v>28</v>
      </c>
      <c r="H6031" s="6" t="s">
        <v>12382</v>
      </c>
      <c r="I6031" s="6">
        <v>532.3125</v>
      </c>
      <c r="J6031" s="2">
        <f t="shared" si="94"/>
        <v>43747.914445787035</v>
      </c>
    </row>
    <row r="6032" spans="1:10" x14ac:dyDescent="0.25">
      <c r="A6032" s="7" t="s">
        <v>12383</v>
      </c>
      <c r="B6032" s="8">
        <v>412.5</v>
      </c>
      <c r="C6032" s="8">
        <v>20.478950000000001</v>
      </c>
      <c r="D6032" s="8">
        <v>82</v>
      </c>
      <c r="E6032" s="8">
        <v>0</v>
      </c>
      <c r="F6032" s="8">
        <v>0</v>
      </c>
      <c r="G6032" s="8">
        <v>16</v>
      </c>
      <c r="H6032" s="8" t="s">
        <v>12384</v>
      </c>
      <c r="I6032" s="8">
        <v>532.3125</v>
      </c>
      <c r="J6032" s="3">
        <f t="shared" si="94"/>
        <v>43747.914518113423</v>
      </c>
    </row>
    <row r="6033" spans="1:10" x14ac:dyDescent="0.25">
      <c r="A6033" s="5" t="s">
        <v>12385</v>
      </c>
      <c r="B6033" s="6">
        <v>412.5</v>
      </c>
      <c r="C6033" s="6">
        <v>20.478950000000001</v>
      </c>
      <c r="D6033" s="6">
        <v>82</v>
      </c>
      <c r="E6033" s="6">
        <v>0</v>
      </c>
      <c r="F6033" s="6">
        <v>0</v>
      </c>
      <c r="G6033" s="6">
        <v>21</v>
      </c>
      <c r="H6033" s="6" t="s">
        <v>12386</v>
      </c>
      <c r="I6033" s="6">
        <v>532.3125</v>
      </c>
      <c r="J6033" s="2">
        <f t="shared" si="94"/>
        <v>43747.914589270826</v>
      </c>
    </row>
    <row r="6034" spans="1:10" x14ac:dyDescent="0.25">
      <c r="A6034" s="7" t="s">
        <v>12387</v>
      </c>
      <c r="B6034" s="8">
        <v>412.5</v>
      </c>
      <c r="C6034" s="8">
        <v>20.478950000000001</v>
      </c>
      <c r="D6034" s="8">
        <v>83</v>
      </c>
      <c r="E6034" s="8">
        <v>0</v>
      </c>
      <c r="F6034" s="8">
        <v>0</v>
      </c>
      <c r="G6034" s="8">
        <v>23</v>
      </c>
      <c r="H6034" s="8" t="s">
        <v>12388</v>
      </c>
      <c r="I6034" s="8">
        <v>532.3125</v>
      </c>
      <c r="J6034" s="3">
        <f t="shared" si="94"/>
        <v>43747.914660474533</v>
      </c>
    </row>
    <row r="6035" spans="1:10" x14ac:dyDescent="0.25">
      <c r="A6035" s="5" t="s">
        <v>12389</v>
      </c>
      <c r="B6035" s="6">
        <v>412.5</v>
      </c>
      <c r="C6035" s="6">
        <v>20.478950000000001</v>
      </c>
      <c r="D6035" s="6">
        <v>83</v>
      </c>
      <c r="E6035" s="6">
        <v>0</v>
      </c>
      <c r="F6035" s="6">
        <v>0</v>
      </c>
      <c r="G6035" s="6">
        <v>22</v>
      </c>
      <c r="H6035" s="6" t="s">
        <v>12390</v>
      </c>
      <c r="I6035" s="6">
        <v>532.3125</v>
      </c>
      <c r="J6035" s="2">
        <f t="shared" si="94"/>
        <v>43747.914732650461</v>
      </c>
    </row>
    <row r="6036" spans="1:10" x14ac:dyDescent="0.25">
      <c r="A6036" s="7" t="s">
        <v>12391</v>
      </c>
      <c r="B6036" s="8">
        <v>412.5</v>
      </c>
      <c r="C6036" s="8">
        <v>20.478950000000001</v>
      </c>
      <c r="D6036" s="8">
        <v>83</v>
      </c>
      <c r="E6036" s="8">
        <v>0</v>
      </c>
      <c r="F6036" s="8">
        <v>0</v>
      </c>
      <c r="G6036" s="8">
        <v>19</v>
      </c>
      <c r="H6036" s="8" t="s">
        <v>12392</v>
      </c>
      <c r="I6036" s="8">
        <v>532.3125</v>
      </c>
      <c r="J6036" s="3">
        <f t="shared" si="94"/>
        <v>43747.914803993051</v>
      </c>
    </row>
    <row r="6037" spans="1:10" x14ac:dyDescent="0.25">
      <c r="A6037" s="5" t="s">
        <v>12393</v>
      </c>
      <c r="B6037" s="6">
        <v>409.375</v>
      </c>
      <c r="C6037" s="6">
        <v>20.478950000000001</v>
      </c>
      <c r="D6037" s="6">
        <v>81</v>
      </c>
      <c r="E6037" s="6">
        <v>0</v>
      </c>
      <c r="F6037" s="6">
        <v>0</v>
      </c>
      <c r="G6037" s="6">
        <v>25</v>
      </c>
      <c r="H6037" s="6" t="s">
        <v>12394</v>
      </c>
      <c r="I6037" s="6">
        <v>531.5625</v>
      </c>
      <c r="J6037" s="2">
        <f t="shared" si="94"/>
        <v>43747.914875405091</v>
      </c>
    </row>
    <row r="6038" spans="1:10" x14ac:dyDescent="0.25">
      <c r="A6038" s="7" t="s">
        <v>12395</v>
      </c>
      <c r="B6038" s="8">
        <v>431.25</v>
      </c>
      <c r="C6038" s="8">
        <v>20.478950000000001</v>
      </c>
      <c r="D6038" s="8">
        <v>81</v>
      </c>
      <c r="E6038" s="8">
        <v>0</v>
      </c>
      <c r="F6038" s="8">
        <v>0</v>
      </c>
      <c r="G6038" s="8">
        <v>21</v>
      </c>
      <c r="H6038" s="8" t="s">
        <v>12396</v>
      </c>
      <c r="I6038" s="8">
        <v>538.6875</v>
      </c>
      <c r="J6038" s="3">
        <f t="shared" si="94"/>
        <v>43747.914946689816</v>
      </c>
    </row>
    <row r="6039" spans="1:10" x14ac:dyDescent="0.25">
      <c r="A6039" s="5" t="s">
        <v>12397</v>
      </c>
      <c r="B6039" s="6">
        <v>409.375</v>
      </c>
      <c r="C6039" s="6">
        <v>20.478950000000001</v>
      </c>
      <c r="D6039" s="6">
        <v>81</v>
      </c>
      <c r="E6039" s="6">
        <v>0</v>
      </c>
      <c r="F6039" s="6">
        <v>0</v>
      </c>
      <c r="G6039" s="6">
        <v>29</v>
      </c>
      <c r="H6039" s="6" t="s">
        <v>12398</v>
      </c>
      <c r="I6039" s="6">
        <v>531.5625</v>
      </c>
      <c r="J6039" s="2">
        <f t="shared" si="94"/>
        <v>43747.915018865737</v>
      </c>
    </row>
    <row r="6040" spans="1:10" x14ac:dyDescent="0.25">
      <c r="A6040" s="7" t="s">
        <v>12399</v>
      </c>
      <c r="B6040" s="8">
        <v>409.375</v>
      </c>
      <c r="C6040" s="8">
        <v>20.478950000000001</v>
      </c>
      <c r="D6040" s="8">
        <v>82</v>
      </c>
      <c r="E6040" s="8">
        <v>0</v>
      </c>
      <c r="F6040" s="8">
        <v>0</v>
      </c>
      <c r="G6040" s="8">
        <v>26</v>
      </c>
      <c r="H6040" s="8" t="s">
        <v>12400</v>
      </c>
      <c r="I6040" s="8">
        <v>531.375</v>
      </c>
      <c r="J6040" s="3">
        <f t="shared" si="94"/>
        <v>43747.915090173607</v>
      </c>
    </row>
    <row r="6041" spans="1:10" x14ac:dyDescent="0.25">
      <c r="A6041" s="5" t="s">
        <v>12401</v>
      </c>
      <c r="B6041" s="6">
        <v>412.5</v>
      </c>
      <c r="C6041" s="6">
        <v>20.478950000000001</v>
      </c>
      <c r="D6041" s="6">
        <v>82</v>
      </c>
      <c r="E6041" s="6">
        <v>0</v>
      </c>
      <c r="F6041" s="6">
        <v>0</v>
      </c>
      <c r="G6041" s="6">
        <v>20</v>
      </c>
      <c r="H6041" s="6" t="s">
        <v>12402</v>
      </c>
      <c r="I6041" s="6">
        <v>532.3125</v>
      </c>
      <c r="J6041" s="2">
        <f t="shared" si="94"/>
        <v>43747.915161504628</v>
      </c>
    </row>
    <row r="6042" spans="1:10" x14ac:dyDescent="0.25">
      <c r="A6042" s="7" t="s">
        <v>12403</v>
      </c>
      <c r="B6042" s="8">
        <v>412.5</v>
      </c>
      <c r="C6042" s="8">
        <v>20.478950000000001</v>
      </c>
      <c r="D6042" s="8">
        <v>82</v>
      </c>
      <c r="E6042" s="8">
        <v>0</v>
      </c>
      <c r="F6042" s="8">
        <v>0</v>
      </c>
      <c r="G6042" s="8">
        <v>23</v>
      </c>
      <c r="H6042" s="8" t="s">
        <v>12404</v>
      </c>
      <c r="I6042" s="8">
        <v>532.3125</v>
      </c>
      <c r="J6042" s="3">
        <f t="shared" si="94"/>
        <v>43747.915233518514</v>
      </c>
    </row>
    <row r="6043" spans="1:10" x14ac:dyDescent="0.25">
      <c r="A6043" s="5" t="s">
        <v>12405</v>
      </c>
      <c r="B6043" s="6">
        <v>412.5</v>
      </c>
      <c r="C6043" s="6">
        <v>20.478950000000001</v>
      </c>
      <c r="D6043" s="6">
        <v>82</v>
      </c>
      <c r="E6043" s="6">
        <v>0</v>
      </c>
      <c r="F6043" s="6">
        <v>0</v>
      </c>
      <c r="G6043" s="6">
        <v>19</v>
      </c>
      <c r="H6043" s="6" t="s">
        <v>12406</v>
      </c>
      <c r="I6043" s="6">
        <v>532.3125</v>
      </c>
      <c r="J6043" s="2">
        <f t="shared" si="94"/>
        <v>43747.915304131944</v>
      </c>
    </row>
    <row r="6044" spans="1:10" x14ac:dyDescent="0.25">
      <c r="A6044" s="7" t="s">
        <v>12407</v>
      </c>
      <c r="B6044" s="8">
        <v>412.5</v>
      </c>
      <c r="C6044" s="8">
        <v>20.478950000000001</v>
      </c>
      <c r="D6044" s="8">
        <v>82</v>
      </c>
      <c r="E6044" s="8">
        <v>0</v>
      </c>
      <c r="F6044" s="8">
        <v>0</v>
      </c>
      <c r="G6044" s="8">
        <v>30</v>
      </c>
      <c r="H6044" s="8" t="s">
        <v>12408</v>
      </c>
      <c r="I6044" s="8">
        <v>532.3125</v>
      </c>
      <c r="J6044" s="3">
        <f t="shared" si="94"/>
        <v>43747.915376296289</v>
      </c>
    </row>
    <row r="6045" spans="1:10" x14ac:dyDescent="0.25">
      <c r="A6045" s="5" t="s">
        <v>12409</v>
      </c>
      <c r="B6045" s="6">
        <v>412.5</v>
      </c>
      <c r="C6045" s="6">
        <v>20.478950000000001</v>
      </c>
      <c r="D6045" s="6">
        <v>82</v>
      </c>
      <c r="E6045" s="6">
        <v>0</v>
      </c>
      <c r="F6045" s="6">
        <v>0</v>
      </c>
      <c r="G6045" s="6">
        <v>27</v>
      </c>
      <c r="H6045" s="6" t="s">
        <v>12410</v>
      </c>
      <c r="I6045" s="6">
        <v>532.3125</v>
      </c>
      <c r="J6045" s="2">
        <f t="shared" si="94"/>
        <v>43747.915474710644</v>
      </c>
    </row>
    <row r="6046" spans="1:10" x14ac:dyDescent="0.25">
      <c r="A6046" s="7" t="s">
        <v>12411</v>
      </c>
      <c r="B6046" s="8">
        <v>412.5</v>
      </c>
      <c r="C6046" s="8">
        <v>20.478950000000001</v>
      </c>
      <c r="D6046" s="8">
        <v>82</v>
      </c>
      <c r="E6046" s="8">
        <v>0</v>
      </c>
      <c r="F6046" s="8">
        <v>0</v>
      </c>
      <c r="G6046" s="8">
        <v>18</v>
      </c>
      <c r="H6046" s="8" t="s">
        <v>12412</v>
      </c>
      <c r="I6046" s="8">
        <v>532.3125</v>
      </c>
      <c r="J6046" s="3">
        <f t="shared" si="94"/>
        <v>43747.915568101853</v>
      </c>
    </row>
    <row r="6047" spans="1:10" x14ac:dyDescent="0.25">
      <c r="A6047" s="5" t="s">
        <v>12413</v>
      </c>
      <c r="B6047" s="6">
        <v>412.5</v>
      </c>
      <c r="C6047" s="6">
        <v>20.478950000000001</v>
      </c>
      <c r="D6047" s="6">
        <v>83</v>
      </c>
      <c r="E6047" s="6">
        <v>0</v>
      </c>
      <c r="F6047" s="6">
        <v>0</v>
      </c>
      <c r="G6047" s="6">
        <v>28</v>
      </c>
      <c r="H6047" s="6" t="s">
        <v>12414</v>
      </c>
      <c r="I6047" s="6">
        <v>532.3125</v>
      </c>
      <c r="J6047" s="2">
        <f t="shared" si="94"/>
        <v>43747.915650277777</v>
      </c>
    </row>
    <row r="6048" spans="1:10" x14ac:dyDescent="0.25">
      <c r="A6048" s="7" t="s">
        <v>12415</v>
      </c>
      <c r="B6048" s="8">
        <v>412.5</v>
      </c>
      <c r="C6048" s="8">
        <v>20.478950000000001</v>
      </c>
      <c r="D6048" s="8">
        <v>83</v>
      </c>
      <c r="E6048" s="8">
        <v>0</v>
      </c>
      <c r="F6048" s="8">
        <v>0</v>
      </c>
      <c r="G6048" s="8">
        <v>25</v>
      </c>
      <c r="H6048" s="8" t="s">
        <v>12416</v>
      </c>
      <c r="I6048" s="8">
        <v>532.3125</v>
      </c>
      <c r="J6048" s="3">
        <f t="shared" si="94"/>
        <v>43747.915721689809</v>
      </c>
    </row>
    <row r="6049" spans="1:10" x14ac:dyDescent="0.25">
      <c r="A6049" s="5" t="s">
        <v>12417</v>
      </c>
      <c r="B6049" s="6">
        <v>412.5</v>
      </c>
      <c r="C6049" s="6">
        <v>20.478950000000001</v>
      </c>
      <c r="D6049" s="6">
        <v>85</v>
      </c>
      <c r="E6049" s="6">
        <v>0</v>
      </c>
      <c r="F6049" s="6">
        <v>0</v>
      </c>
      <c r="G6049" s="6">
        <v>21</v>
      </c>
      <c r="H6049" s="6" t="s">
        <v>12418</v>
      </c>
      <c r="I6049" s="6">
        <v>532.3125</v>
      </c>
      <c r="J6049" s="2">
        <f t="shared" si="94"/>
        <v>43747.915793865737</v>
      </c>
    </row>
    <row r="6050" spans="1:10" x14ac:dyDescent="0.25">
      <c r="A6050" s="7" t="s">
        <v>12419</v>
      </c>
      <c r="B6050" s="8">
        <v>412.5</v>
      </c>
      <c r="C6050" s="8">
        <v>20.478950000000001</v>
      </c>
      <c r="D6050" s="8">
        <v>84</v>
      </c>
      <c r="E6050" s="8">
        <v>0</v>
      </c>
      <c r="F6050" s="8">
        <v>0</v>
      </c>
      <c r="G6050" s="8">
        <v>29</v>
      </c>
      <c r="H6050" s="8" t="s">
        <v>12420</v>
      </c>
      <c r="I6050" s="8">
        <v>532.3125</v>
      </c>
      <c r="J6050" s="3">
        <f t="shared" si="94"/>
        <v>43747.915880057866</v>
      </c>
    </row>
    <row r="6051" spans="1:10" x14ac:dyDescent="0.25">
      <c r="A6051" s="5" t="s">
        <v>12421</v>
      </c>
      <c r="B6051" s="6">
        <v>412.5</v>
      </c>
      <c r="C6051" s="6">
        <v>20.478950000000001</v>
      </c>
      <c r="D6051" s="6">
        <v>80</v>
      </c>
      <c r="E6051" s="6">
        <v>0</v>
      </c>
      <c r="F6051" s="6">
        <v>0</v>
      </c>
      <c r="G6051" s="6">
        <v>28</v>
      </c>
      <c r="H6051" s="6" t="s">
        <v>12422</v>
      </c>
      <c r="I6051" s="6">
        <v>532.3125</v>
      </c>
      <c r="J6051" s="2">
        <f t="shared" si="94"/>
        <v>43747.915960520833</v>
      </c>
    </row>
    <row r="6052" spans="1:10" x14ac:dyDescent="0.25">
      <c r="A6052" s="7" t="s">
        <v>12423</v>
      </c>
      <c r="B6052" s="8">
        <v>412.5</v>
      </c>
      <c r="C6052" s="8">
        <v>20.478950000000001</v>
      </c>
      <c r="D6052" s="8">
        <v>76</v>
      </c>
      <c r="E6052" s="8">
        <v>0</v>
      </c>
      <c r="F6052" s="8">
        <v>0</v>
      </c>
      <c r="G6052" s="8">
        <v>28</v>
      </c>
      <c r="H6052" s="8" t="s">
        <v>12424</v>
      </c>
      <c r="I6052" s="8">
        <v>532.3125</v>
      </c>
      <c r="J6052" s="3">
        <f t="shared" si="94"/>
        <v>43747.916043865735</v>
      </c>
    </row>
    <row r="6053" spans="1:10" x14ac:dyDescent="0.25">
      <c r="A6053" s="5" t="s">
        <v>12425</v>
      </c>
      <c r="B6053" s="6">
        <v>412.5</v>
      </c>
      <c r="C6053" s="6">
        <v>20.478950000000001</v>
      </c>
      <c r="D6053" s="6">
        <v>76</v>
      </c>
      <c r="E6053" s="6">
        <v>0</v>
      </c>
      <c r="F6053" s="6">
        <v>0</v>
      </c>
      <c r="G6053" s="6">
        <v>21</v>
      </c>
      <c r="H6053" s="6" t="s">
        <v>12426</v>
      </c>
      <c r="I6053" s="6">
        <v>532.3125</v>
      </c>
      <c r="J6053" s="2">
        <f t="shared" si="94"/>
        <v>43747.916116030094</v>
      </c>
    </row>
    <row r="6054" spans="1:10" x14ac:dyDescent="0.25">
      <c r="A6054" s="7" t="s">
        <v>12427</v>
      </c>
      <c r="B6054" s="8">
        <v>412.5</v>
      </c>
      <c r="C6054" s="8">
        <v>20.478950000000001</v>
      </c>
      <c r="D6054" s="8">
        <v>77</v>
      </c>
      <c r="E6054" s="8">
        <v>0</v>
      </c>
      <c r="F6054" s="8">
        <v>0</v>
      </c>
      <c r="G6054" s="8">
        <v>29</v>
      </c>
      <c r="H6054" s="8" t="s">
        <v>12428</v>
      </c>
      <c r="I6054" s="8">
        <v>532.3125</v>
      </c>
      <c r="J6054" s="3">
        <f t="shared" si="94"/>
        <v>43747.91618738426</v>
      </c>
    </row>
    <row r="6055" spans="1:10" x14ac:dyDescent="0.25">
      <c r="A6055" s="5" t="s">
        <v>12429</v>
      </c>
      <c r="B6055" s="6">
        <v>412.5</v>
      </c>
      <c r="C6055" s="6">
        <v>20.478950000000001</v>
      </c>
      <c r="D6055" s="6">
        <v>79</v>
      </c>
      <c r="E6055" s="6">
        <v>0</v>
      </c>
      <c r="F6055" s="6">
        <v>0</v>
      </c>
      <c r="G6055" s="6">
        <v>20</v>
      </c>
      <c r="H6055" s="6" t="s">
        <v>12430</v>
      </c>
      <c r="I6055" s="6">
        <v>532.125</v>
      </c>
      <c r="J6055" s="2">
        <f t="shared" si="94"/>
        <v>43747.916258668978</v>
      </c>
    </row>
    <row r="6056" spans="1:10" x14ac:dyDescent="0.25">
      <c r="A6056" s="7" t="s">
        <v>12431</v>
      </c>
      <c r="B6056" s="8">
        <v>412.5</v>
      </c>
      <c r="C6056" s="8">
        <v>20.478950000000001</v>
      </c>
      <c r="D6056" s="8">
        <v>79</v>
      </c>
      <c r="E6056" s="8">
        <v>0</v>
      </c>
      <c r="F6056" s="8">
        <v>0</v>
      </c>
      <c r="G6056" s="8">
        <v>29</v>
      </c>
      <c r="H6056" s="8" t="s">
        <v>12432</v>
      </c>
      <c r="I6056" s="8">
        <v>532.3125</v>
      </c>
      <c r="J6056" s="3">
        <f t="shared" si="94"/>
        <v>43747.916330185188</v>
      </c>
    </row>
    <row r="6057" spans="1:10" x14ac:dyDescent="0.25">
      <c r="A6057" s="5" t="s">
        <v>12433</v>
      </c>
      <c r="B6057" s="6">
        <v>437.5</v>
      </c>
      <c r="C6057" s="6">
        <v>20.478950000000001</v>
      </c>
      <c r="D6057" s="6">
        <v>79</v>
      </c>
      <c r="E6057" s="6">
        <v>0</v>
      </c>
      <c r="F6057" s="6">
        <v>0</v>
      </c>
      <c r="G6057" s="6">
        <v>18</v>
      </c>
      <c r="H6057" s="6" t="s">
        <v>12434</v>
      </c>
      <c r="I6057" s="6">
        <v>540</v>
      </c>
      <c r="J6057" s="2">
        <f t="shared" si="94"/>
        <v>43747.916402187497</v>
      </c>
    </row>
    <row r="6058" spans="1:10" x14ac:dyDescent="0.25">
      <c r="A6058" s="7" t="s">
        <v>12435</v>
      </c>
      <c r="B6058" s="8">
        <v>412.5</v>
      </c>
      <c r="C6058" s="8">
        <v>20.478950000000001</v>
      </c>
      <c r="D6058" s="8">
        <v>80</v>
      </c>
      <c r="E6058" s="8">
        <v>0</v>
      </c>
      <c r="F6058" s="8">
        <v>0</v>
      </c>
      <c r="G6058" s="8">
        <v>16</v>
      </c>
      <c r="H6058" s="8" t="s">
        <v>12436</v>
      </c>
      <c r="I6058" s="8">
        <v>532.5</v>
      </c>
      <c r="J6058" s="3">
        <f t="shared" si="94"/>
        <v>43747.916473495367</v>
      </c>
    </row>
    <row r="6059" spans="1:10" x14ac:dyDescent="0.25">
      <c r="A6059" s="5" t="s">
        <v>12437</v>
      </c>
      <c r="B6059" s="6">
        <v>412.5</v>
      </c>
      <c r="C6059" s="6">
        <v>20.478950000000001</v>
      </c>
      <c r="D6059" s="6">
        <v>81</v>
      </c>
      <c r="E6059" s="6">
        <v>0</v>
      </c>
      <c r="F6059" s="6">
        <v>0</v>
      </c>
      <c r="G6059" s="6">
        <v>15</v>
      </c>
      <c r="H6059" s="6" t="s">
        <v>12438</v>
      </c>
      <c r="I6059" s="6">
        <v>532.3125</v>
      </c>
      <c r="J6059" s="2">
        <f t="shared" si="94"/>
        <v>43747.916544652777</v>
      </c>
    </row>
    <row r="6060" spans="1:10" x14ac:dyDescent="0.25">
      <c r="A6060" s="7" t="s">
        <v>12439</v>
      </c>
      <c r="B6060" s="8">
        <v>412.5</v>
      </c>
      <c r="C6060" s="8">
        <v>20.478950000000001</v>
      </c>
      <c r="D6060" s="8">
        <v>81</v>
      </c>
      <c r="E6060" s="8">
        <v>0</v>
      </c>
      <c r="F6060" s="8">
        <v>0</v>
      </c>
      <c r="G6060" s="8">
        <v>24</v>
      </c>
      <c r="H6060" s="8" t="s">
        <v>12440</v>
      </c>
      <c r="I6060" s="8">
        <v>532.3125</v>
      </c>
      <c r="J6060" s="3">
        <f t="shared" si="94"/>
        <v>43747.916616828697</v>
      </c>
    </row>
    <row r="6061" spans="1:10" x14ac:dyDescent="0.25">
      <c r="A6061" s="5" t="s">
        <v>12441</v>
      </c>
      <c r="B6061" s="6">
        <v>412.5</v>
      </c>
      <c r="C6061" s="6">
        <v>20.478950000000001</v>
      </c>
      <c r="D6061" s="6">
        <v>80</v>
      </c>
      <c r="E6061" s="6">
        <v>0</v>
      </c>
      <c r="F6061" s="6">
        <v>0</v>
      </c>
      <c r="G6061" s="6">
        <v>26</v>
      </c>
      <c r="H6061" s="6" t="s">
        <v>12442</v>
      </c>
      <c r="I6061" s="6">
        <v>532.3125</v>
      </c>
      <c r="J6061" s="2">
        <f t="shared" si="94"/>
        <v>43747.916688310179</v>
      </c>
    </row>
    <row r="6062" spans="1:10" x14ac:dyDescent="0.25">
      <c r="A6062" s="7" t="s">
        <v>12443</v>
      </c>
      <c r="B6062" s="8">
        <v>412.5</v>
      </c>
      <c r="C6062" s="8">
        <v>20.478950000000001</v>
      </c>
      <c r="D6062" s="8">
        <v>79</v>
      </c>
      <c r="E6062" s="8">
        <v>0</v>
      </c>
      <c r="F6062" s="8">
        <v>0</v>
      </c>
      <c r="G6062" s="8">
        <v>15</v>
      </c>
      <c r="H6062" s="8" t="s">
        <v>12444</v>
      </c>
      <c r="I6062" s="8">
        <v>532.3125</v>
      </c>
      <c r="J6062" s="3">
        <f t="shared" si="94"/>
        <v>43747.916759594904</v>
      </c>
    </row>
    <row r="6063" spans="1:10" x14ac:dyDescent="0.25">
      <c r="A6063" s="5" t="s">
        <v>12445</v>
      </c>
      <c r="B6063" s="6">
        <v>412.5</v>
      </c>
      <c r="C6063" s="6">
        <v>20.478950000000001</v>
      </c>
      <c r="D6063" s="6">
        <v>81</v>
      </c>
      <c r="E6063" s="6">
        <v>0</v>
      </c>
      <c r="F6063" s="6">
        <v>0</v>
      </c>
      <c r="G6063" s="6">
        <v>32</v>
      </c>
      <c r="H6063" s="6" t="s">
        <v>12446</v>
      </c>
      <c r="I6063" s="6">
        <v>532.3125</v>
      </c>
      <c r="J6063" s="2">
        <f t="shared" si="94"/>
        <v>43747.916830949071</v>
      </c>
    </row>
    <row r="6064" spans="1:10" x14ac:dyDescent="0.25">
      <c r="A6064" s="7" t="s">
        <v>12447</v>
      </c>
      <c r="B6064" s="8">
        <v>415.625</v>
      </c>
      <c r="C6064" s="8">
        <v>20.478950000000001</v>
      </c>
      <c r="D6064" s="8">
        <v>84</v>
      </c>
      <c r="E6064" s="8">
        <v>0</v>
      </c>
      <c r="F6064" s="8">
        <v>0</v>
      </c>
      <c r="G6064" s="8">
        <v>30</v>
      </c>
      <c r="H6064" s="8" t="s">
        <v>12448</v>
      </c>
      <c r="I6064" s="8">
        <v>533.25</v>
      </c>
      <c r="J6064" s="3">
        <f t="shared" si="94"/>
        <v>43747.916903113422</v>
      </c>
    </row>
    <row r="6065" spans="1:10" x14ac:dyDescent="0.25">
      <c r="A6065" s="5" t="s">
        <v>12449</v>
      </c>
      <c r="B6065" s="6">
        <v>415.625</v>
      </c>
      <c r="C6065" s="6">
        <v>20.478950000000001</v>
      </c>
      <c r="D6065" s="6">
        <v>81</v>
      </c>
      <c r="E6065" s="6">
        <v>0</v>
      </c>
      <c r="F6065" s="6">
        <v>0</v>
      </c>
      <c r="G6065" s="6">
        <v>13</v>
      </c>
      <c r="H6065" s="6" t="s">
        <v>12450</v>
      </c>
      <c r="I6065" s="6">
        <v>533.0625</v>
      </c>
      <c r="J6065" s="2">
        <f t="shared" si="94"/>
        <v>43747.916974432868</v>
      </c>
    </row>
    <row r="6066" spans="1:10" x14ac:dyDescent="0.25">
      <c r="A6066" s="7" t="s">
        <v>12451</v>
      </c>
      <c r="B6066" s="8">
        <v>415.625</v>
      </c>
      <c r="C6066" s="8">
        <v>20.478950000000001</v>
      </c>
      <c r="D6066" s="8">
        <v>81</v>
      </c>
      <c r="E6066" s="8">
        <v>0</v>
      </c>
      <c r="F6066" s="8">
        <v>0</v>
      </c>
      <c r="G6066" s="8">
        <v>31</v>
      </c>
      <c r="H6066" s="8" t="s">
        <v>12452</v>
      </c>
      <c r="I6066" s="8">
        <v>533.0625</v>
      </c>
      <c r="J6066" s="3">
        <f t="shared" si="94"/>
        <v>43747.917045706017</v>
      </c>
    </row>
    <row r="6067" spans="1:10" x14ac:dyDescent="0.25">
      <c r="A6067" s="5" t="s">
        <v>12453</v>
      </c>
      <c r="B6067" s="6">
        <v>418.75</v>
      </c>
      <c r="C6067" s="6">
        <v>20.478950000000001</v>
      </c>
      <c r="D6067" s="6">
        <v>82</v>
      </c>
      <c r="E6067" s="6">
        <v>0</v>
      </c>
      <c r="F6067" s="6">
        <v>0</v>
      </c>
      <c r="G6067" s="6">
        <v>19</v>
      </c>
      <c r="H6067" s="6" t="s">
        <v>12454</v>
      </c>
      <c r="I6067" s="6">
        <v>534</v>
      </c>
      <c r="J6067" s="2">
        <f t="shared" si="94"/>
        <v>43747.917130717593</v>
      </c>
    </row>
    <row r="6068" spans="1:10" x14ac:dyDescent="0.25">
      <c r="A6068" s="7" t="s">
        <v>12455</v>
      </c>
      <c r="B6068" s="8">
        <v>418.75</v>
      </c>
      <c r="C6068" s="8">
        <v>20.478950000000001</v>
      </c>
      <c r="D6068" s="8">
        <v>82</v>
      </c>
      <c r="E6068" s="8">
        <v>0</v>
      </c>
      <c r="F6068" s="8">
        <v>0</v>
      </c>
      <c r="G6068" s="8">
        <v>24</v>
      </c>
      <c r="H6068" s="8" t="s">
        <v>12456</v>
      </c>
      <c r="I6068" s="8">
        <v>534</v>
      </c>
      <c r="J6068" s="3">
        <f t="shared" si="94"/>
        <v>43747.917200451389</v>
      </c>
    </row>
    <row r="6069" spans="1:10" x14ac:dyDescent="0.25">
      <c r="A6069" s="5" t="s">
        <v>12457</v>
      </c>
      <c r="B6069" s="6">
        <v>415.625</v>
      </c>
      <c r="C6069" s="6">
        <v>20.478950000000001</v>
      </c>
      <c r="D6069" s="6">
        <v>82</v>
      </c>
      <c r="E6069" s="6">
        <v>0</v>
      </c>
      <c r="F6069" s="6">
        <v>0</v>
      </c>
      <c r="G6069" s="6">
        <v>28</v>
      </c>
      <c r="H6069" s="6" t="s">
        <v>12458</v>
      </c>
      <c r="I6069" s="6">
        <v>533.8125</v>
      </c>
      <c r="J6069" s="2">
        <f t="shared" si="94"/>
        <v>43747.917272557868</v>
      </c>
    </row>
    <row r="6070" spans="1:10" x14ac:dyDescent="0.25">
      <c r="A6070" s="7" t="s">
        <v>12459</v>
      </c>
      <c r="B6070" s="8">
        <v>418.75</v>
      </c>
      <c r="C6070" s="8">
        <v>20.478950000000001</v>
      </c>
      <c r="D6070" s="8">
        <v>80</v>
      </c>
      <c r="E6070" s="8">
        <v>0</v>
      </c>
      <c r="F6070" s="8">
        <v>0</v>
      </c>
      <c r="G6070" s="8">
        <v>26</v>
      </c>
      <c r="H6070" s="8" t="s">
        <v>12460</v>
      </c>
      <c r="I6070" s="8">
        <v>534.75</v>
      </c>
      <c r="J6070" s="3">
        <f t="shared" si="94"/>
        <v>43747.917343854169</v>
      </c>
    </row>
    <row r="6071" spans="1:10" x14ac:dyDescent="0.25">
      <c r="A6071" s="5" t="s">
        <v>12461</v>
      </c>
      <c r="B6071" s="6">
        <v>418.75</v>
      </c>
      <c r="C6071" s="6">
        <v>20.478950000000001</v>
      </c>
      <c r="D6071" s="6">
        <v>80</v>
      </c>
      <c r="E6071" s="6">
        <v>0</v>
      </c>
      <c r="F6071" s="6">
        <v>0</v>
      </c>
      <c r="G6071" s="6">
        <v>21</v>
      </c>
      <c r="H6071" s="6" t="s">
        <v>12462</v>
      </c>
      <c r="I6071" s="6">
        <v>534.75</v>
      </c>
      <c r="J6071" s="2">
        <f t="shared" si="94"/>
        <v>43747.917415208336</v>
      </c>
    </row>
    <row r="6072" spans="1:10" x14ac:dyDescent="0.25">
      <c r="A6072" s="7" t="s">
        <v>12463</v>
      </c>
      <c r="B6072" s="8">
        <v>415.625</v>
      </c>
      <c r="C6072" s="8">
        <v>20.478950000000001</v>
      </c>
      <c r="D6072" s="8">
        <v>80</v>
      </c>
      <c r="E6072" s="8">
        <v>0</v>
      </c>
      <c r="F6072" s="8">
        <v>0</v>
      </c>
      <c r="G6072" s="8">
        <v>25</v>
      </c>
      <c r="H6072" s="8" t="s">
        <v>12464</v>
      </c>
      <c r="I6072" s="8">
        <v>533.8125</v>
      </c>
      <c r="J6072" s="3">
        <f t="shared" si="94"/>
        <v>43747.917487326391</v>
      </c>
    </row>
    <row r="6073" spans="1:10" x14ac:dyDescent="0.25">
      <c r="A6073" s="5" t="s">
        <v>12465</v>
      </c>
      <c r="B6073" s="6">
        <v>418.75</v>
      </c>
      <c r="C6073" s="6">
        <v>20.478950000000001</v>
      </c>
      <c r="D6073" s="6">
        <v>80</v>
      </c>
      <c r="E6073" s="6">
        <v>0</v>
      </c>
      <c r="F6073" s="6">
        <v>0</v>
      </c>
      <c r="G6073" s="6">
        <v>23</v>
      </c>
      <c r="H6073" s="6" t="s">
        <v>12466</v>
      </c>
      <c r="I6073" s="6">
        <v>534.5625</v>
      </c>
      <c r="J6073" s="2">
        <f t="shared" si="94"/>
        <v>43747.917639166662</v>
      </c>
    </row>
    <row r="6074" spans="1:10" x14ac:dyDescent="0.25">
      <c r="A6074" s="7" t="s">
        <v>12467</v>
      </c>
      <c r="B6074" s="8">
        <v>418.75</v>
      </c>
      <c r="C6074" s="8">
        <v>20.478950000000001</v>
      </c>
      <c r="D6074" s="8">
        <v>79</v>
      </c>
      <c r="E6074" s="8">
        <v>0</v>
      </c>
      <c r="F6074" s="8">
        <v>0</v>
      </c>
      <c r="G6074" s="8">
        <v>34</v>
      </c>
      <c r="H6074" s="8" t="s">
        <v>12468</v>
      </c>
      <c r="I6074" s="8">
        <v>534.5625</v>
      </c>
      <c r="J6074" s="3">
        <f t="shared" si="94"/>
        <v>43747.917713333336</v>
      </c>
    </row>
    <row r="6075" spans="1:10" x14ac:dyDescent="0.25">
      <c r="A6075" s="5" t="s">
        <v>12469</v>
      </c>
      <c r="B6075" s="6">
        <v>418.75</v>
      </c>
      <c r="C6075" s="6">
        <v>20.478950000000001</v>
      </c>
      <c r="D6075" s="6">
        <v>79</v>
      </c>
      <c r="E6075" s="6">
        <v>0</v>
      </c>
      <c r="F6075" s="6">
        <v>0</v>
      </c>
      <c r="G6075" s="6">
        <v>19</v>
      </c>
      <c r="H6075" s="6" t="s">
        <v>12470</v>
      </c>
      <c r="I6075" s="6">
        <v>534.75</v>
      </c>
      <c r="J6075" s="2">
        <f t="shared" si="94"/>
        <v>43747.917784826386</v>
      </c>
    </row>
    <row r="6076" spans="1:10" x14ac:dyDescent="0.25">
      <c r="A6076" s="7" t="s">
        <v>12471</v>
      </c>
      <c r="B6076" s="8">
        <v>437.5</v>
      </c>
      <c r="C6076" s="8">
        <v>20.478950000000001</v>
      </c>
      <c r="D6076" s="8">
        <v>79</v>
      </c>
      <c r="E6076" s="8">
        <v>0</v>
      </c>
      <c r="F6076" s="8">
        <v>0</v>
      </c>
      <c r="G6076" s="8">
        <v>18</v>
      </c>
      <c r="H6076" s="8" t="s">
        <v>12472</v>
      </c>
      <c r="I6076" s="8">
        <v>540.1875</v>
      </c>
      <c r="J6076" s="3">
        <f t="shared" si="94"/>
        <v>43747.917856736109</v>
      </c>
    </row>
    <row r="6077" spans="1:10" x14ac:dyDescent="0.25">
      <c r="A6077" s="5" t="s">
        <v>12473</v>
      </c>
      <c r="B6077" s="6">
        <v>415.625</v>
      </c>
      <c r="C6077" s="6">
        <v>20.478950000000001</v>
      </c>
      <c r="D6077" s="6">
        <v>79</v>
      </c>
      <c r="E6077" s="6">
        <v>0</v>
      </c>
      <c r="F6077" s="6">
        <v>0</v>
      </c>
      <c r="G6077" s="6">
        <v>27</v>
      </c>
      <c r="H6077" s="6" t="s">
        <v>12474</v>
      </c>
      <c r="I6077" s="6">
        <v>533.0625</v>
      </c>
      <c r="J6077" s="2">
        <f t="shared" si="94"/>
        <v>43747.917950752315</v>
      </c>
    </row>
    <row r="6078" spans="1:10" x14ac:dyDescent="0.25">
      <c r="A6078" s="7" t="s">
        <v>12475</v>
      </c>
      <c r="B6078" s="8">
        <v>415.625</v>
      </c>
      <c r="C6078" s="8">
        <v>20.478950000000001</v>
      </c>
      <c r="D6078" s="8">
        <v>79</v>
      </c>
      <c r="E6078" s="8">
        <v>0</v>
      </c>
      <c r="F6078" s="8">
        <v>0</v>
      </c>
      <c r="G6078" s="8">
        <v>29</v>
      </c>
      <c r="H6078" s="8" t="s">
        <v>12476</v>
      </c>
      <c r="I6078" s="8">
        <v>533.0625</v>
      </c>
      <c r="J6078" s="3">
        <f t="shared" si="94"/>
        <v>43747.918035474533</v>
      </c>
    </row>
    <row r="6079" spans="1:10" x14ac:dyDescent="0.25">
      <c r="A6079" s="5" t="s">
        <v>12477</v>
      </c>
      <c r="B6079" s="6">
        <v>412.5</v>
      </c>
      <c r="C6079" s="6">
        <v>20.478950000000001</v>
      </c>
      <c r="D6079" s="6">
        <v>79</v>
      </c>
      <c r="E6079" s="6">
        <v>0</v>
      </c>
      <c r="F6079" s="6">
        <v>0</v>
      </c>
      <c r="G6079" s="6">
        <v>22</v>
      </c>
      <c r="H6079" s="6" t="s">
        <v>12478</v>
      </c>
      <c r="I6079" s="6">
        <v>532.3125</v>
      </c>
      <c r="J6079" s="2">
        <f t="shared" si="94"/>
        <v>43747.918118912035</v>
      </c>
    </row>
    <row r="6080" spans="1:10" x14ac:dyDescent="0.25">
      <c r="A6080" s="7" t="s">
        <v>12479</v>
      </c>
      <c r="B6080" s="8">
        <v>412.5</v>
      </c>
      <c r="C6080" s="8">
        <v>20.478950000000001</v>
      </c>
      <c r="D6080" s="8">
        <v>79</v>
      </c>
      <c r="E6080" s="8">
        <v>0</v>
      </c>
      <c r="F6080" s="8">
        <v>0</v>
      </c>
      <c r="G6080" s="8">
        <v>23</v>
      </c>
      <c r="H6080" s="8" t="s">
        <v>12480</v>
      </c>
      <c r="I6080" s="8">
        <v>532.3125</v>
      </c>
      <c r="J6080" s="3">
        <f t="shared" si="94"/>
        <v>43747.918190127311</v>
      </c>
    </row>
    <row r="6081" spans="1:10" x14ac:dyDescent="0.25">
      <c r="A6081" s="5" t="s">
        <v>12481</v>
      </c>
      <c r="B6081" s="6">
        <v>434.375</v>
      </c>
      <c r="C6081" s="6">
        <v>20.478950000000001</v>
      </c>
      <c r="D6081" s="6">
        <v>80</v>
      </c>
      <c r="E6081" s="6">
        <v>0</v>
      </c>
      <c r="F6081" s="6">
        <v>0</v>
      </c>
      <c r="G6081" s="6">
        <v>24</v>
      </c>
      <c r="H6081" s="6" t="s">
        <v>12482</v>
      </c>
      <c r="I6081" s="6">
        <v>539.8125</v>
      </c>
      <c r="J6081" s="2">
        <f t="shared" si="94"/>
        <v>43747.918262314815</v>
      </c>
    </row>
    <row r="6082" spans="1:10" x14ac:dyDescent="0.25">
      <c r="A6082" s="7" t="s">
        <v>12483</v>
      </c>
      <c r="B6082" s="8">
        <v>412.5</v>
      </c>
      <c r="C6082" s="8">
        <v>20.478950000000001</v>
      </c>
      <c r="D6082" s="8">
        <v>80</v>
      </c>
      <c r="E6082" s="8">
        <v>0</v>
      </c>
      <c r="F6082" s="8">
        <v>0</v>
      </c>
      <c r="G6082" s="8">
        <v>21</v>
      </c>
      <c r="H6082" s="8" t="s">
        <v>12484</v>
      </c>
      <c r="I6082" s="8">
        <v>532.5</v>
      </c>
      <c r="J6082" s="3">
        <f t="shared" ref="J6082:J6145" si="95">(H6082/86400000)+25569+(7/24)</f>
        <v>43747.918333657406</v>
      </c>
    </row>
    <row r="6083" spans="1:10" x14ac:dyDescent="0.25">
      <c r="A6083" s="5" t="s">
        <v>12485</v>
      </c>
      <c r="B6083" s="6">
        <v>412.5</v>
      </c>
      <c r="C6083" s="6">
        <v>20.478950000000001</v>
      </c>
      <c r="D6083" s="6">
        <v>80</v>
      </c>
      <c r="E6083" s="6">
        <v>0</v>
      </c>
      <c r="F6083" s="6">
        <v>0</v>
      </c>
      <c r="G6083" s="6">
        <v>15</v>
      </c>
      <c r="H6083" s="6" t="s">
        <v>12486</v>
      </c>
      <c r="I6083" s="6">
        <v>532.3125</v>
      </c>
      <c r="J6083" s="2">
        <f t="shared" si="95"/>
        <v>43747.918404988428</v>
      </c>
    </row>
    <row r="6084" spans="1:10" x14ac:dyDescent="0.25">
      <c r="A6084" s="7" t="s">
        <v>12487</v>
      </c>
      <c r="B6084" s="8">
        <v>412.5</v>
      </c>
      <c r="C6084" s="8">
        <v>20.478950000000001</v>
      </c>
      <c r="D6084" s="8">
        <v>80</v>
      </c>
      <c r="E6084" s="8">
        <v>0</v>
      </c>
      <c r="F6084" s="8">
        <v>0</v>
      </c>
      <c r="G6084" s="8">
        <v>34</v>
      </c>
      <c r="H6084" s="8" t="s">
        <v>12488</v>
      </c>
      <c r="I6084" s="8">
        <v>532.3125</v>
      </c>
      <c r="J6084" s="3">
        <f t="shared" si="95"/>
        <v>43747.918477129628</v>
      </c>
    </row>
    <row r="6085" spans="1:10" x14ac:dyDescent="0.25">
      <c r="A6085" s="5" t="s">
        <v>12489</v>
      </c>
      <c r="B6085" s="6">
        <v>412.5</v>
      </c>
      <c r="C6085" s="6">
        <v>20.478950000000001</v>
      </c>
      <c r="D6085" s="6">
        <v>80</v>
      </c>
      <c r="E6085" s="6">
        <v>0</v>
      </c>
      <c r="F6085" s="6">
        <v>0</v>
      </c>
      <c r="G6085" s="6">
        <v>18</v>
      </c>
      <c r="H6085" s="6" t="s">
        <v>12490</v>
      </c>
      <c r="I6085" s="6">
        <v>532.3125</v>
      </c>
      <c r="J6085" s="2">
        <f t="shared" si="95"/>
        <v>43747.918548449066</v>
      </c>
    </row>
    <row r="6086" spans="1:10" x14ac:dyDescent="0.25">
      <c r="A6086" s="7" t="s">
        <v>12491</v>
      </c>
      <c r="B6086" s="8">
        <v>412.5</v>
      </c>
      <c r="C6086" s="8">
        <v>20.478950000000001</v>
      </c>
      <c r="D6086" s="8">
        <v>79</v>
      </c>
      <c r="E6086" s="8">
        <v>0</v>
      </c>
      <c r="F6086" s="8">
        <v>0</v>
      </c>
      <c r="G6086" s="8">
        <v>26</v>
      </c>
      <c r="H6086" s="8" t="s">
        <v>12492</v>
      </c>
      <c r="I6086" s="8">
        <v>532.3125</v>
      </c>
      <c r="J6086" s="3">
        <f t="shared" si="95"/>
        <v>43747.918619745367</v>
      </c>
    </row>
    <row r="6087" spans="1:10" x14ac:dyDescent="0.25">
      <c r="A6087" s="5" t="s">
        <v>12493</v>
      </c>
      <c r="B6087" s="6">
        <v>412.5</v>
      </c>
      <c r="C6087" s="6">
        <v>20.478950000000001</v>
      </c>
      <c r="D6087" s="6">
        <v>80</v>
      </c>
      <c r="E6087" s="6">
        <v>0</v>
      </c>
      <c r="F6087" s="6">
        <v>0</v>
      </c>
      <c r="G6087" s="6">
        <v>22</v>
      </c>
      <c r="H6087" s="6" t="s">
        <v>12494</v>
      </c>
      <c r="I6087" s="6">
        <v>532.3125</v>
      </c>
      <c r="J6087" s="2">
        <f t="shared" si="95"/>
        <v>43747.918691770836</v>
      </c>
    </row>
    <row r="6088" spans="1:10" x14ac:dyDescent="0.25">
      <c r="A6088" s="7" t="s">
        <v>12495</v>
      </c>
      <c r="B6088" s="8">
        <v>412.5</v>
      </c>
      <c r="C6088" s="8">
        <v>20.478950000000001</v>
      </c>
      <c r="D6088" s="8">
        <v>80</v>
      </c>
      <c r="E6088" s="8">
        <v>0</v>
      </c>
      <c r="F6088" s="8">
        <v>0</v>
      </c>
      <c r="G6088" s="8">
        <v>31</v>
      </c>
      <c r="H6088" s="8" t="s">
        <v>12496</v>
      </c>
      <c r="I6088" s="8">
        <v>532.3125</v>
      </c>
      <c r="J6088" s="3">
        <f t="shared" si="95"/>
        <v>43747.918763206013</v>
      </c>
    </row>
    <row r="6089" spans="1:10" x14ac:dyDescent="0.25">
      <c r="A6089" s="5" t="s">
        <v>12497</v>
      </c>
      <c r="B6089" s="6">
        <v>409.375</v>
      </c>
      <c r="C6089" s="6">
        <v>20.478950000000001</v>
      </c>
      <c r="D6089" s="6">
        <v>81</v>
      </c>
      <c r="E6089" s="6">
        <v>0</v>
      </c>
      <c r="F6089" s="6">
        <v>0</v>
      </c>
      <c r="G6089" s="6">
        <v>26</v>
      </c>
      <c r="H6089" s="6" t="s">
        <v>12498</v>
      </c>
      <c r="I6089" s="6">
        <v>531.5625</v>
      </c>
      <c r="J6089" s="2">
        <f t="shared" si="95"/>
        <v>43747.918834537035</v>
      </c>
    </row>
    <row r="6090" spans="1:10" x14ac:dyDescent="0.25">
      <c r="A6090" s="7" t="s">
        <v>12499</v>
      </c>
      <c r="B6090" s="8">
        <v>428.125</v>
      </c>
      <c r="C6090" s="8">
        <v>20.478950000000001</v>
      </c>
      <c r="D6090" s="8">
        <v>81</v>
      </c>
      <c r="E6090" s="8">
        <v>0</v>
      </c>
      <c r="F6090" s="8">
        <v>0</v>
      </c>
      <c r="G6090" s="8">
        <v>23</v>
      </c>
      <c r="H6090" s="8" t="s">
        <v>12500</v>
      </c>
      <c r="I6090" s="8">
        <v>537.1875</v>
      </c>
      <c r="J6090" s="3">
        <f t="shared" si="95"/>
        <v>43747.918905844905</v>
      </c>
    </row>
    <row r="6091" spans="1:10" x14ac:dyDescent="0.25">
      <c r="A6091" s="5" t="s">
        <v>12501</v>
      </c>
      <c r="B6091" s="6">
        <v>409.375</v>
      </c>
      <c r="C6091" s="6">
        <v>20.478950000000001</v>
      </c>
      <c r="D6091" s="6">
        <v>81</v>
      </c>
      <c r="E6091" s="6">
        <v>0</v>
      </c>
      <c r="F6091" s="6">
        <v>0</v>
      </c>
      <c r="G6091" s="6">
        <v>17</v>
      </c>
      <c r="H6091" s="6" t="s">
        <v>12502</v>
      </c>
      <c r="I6091" s="6">
        <v>531.375</v>
      </c>
      <c r="J6091" s="2">
        <f t="shared" si="95"/>
        <v>43747.918978055553</v>
      </c>
    </row>
    <row r="6092" spans="1:10" x14ac:dyDescent="0.25">
      <c r="A6092" s="7" t="s">
        <v>12503</v>
      </c>
      <c r="B6092" s="8">
        <v>409.375</v>
      </c>
      <c r="C6092" s="8">
        <v>20.478950000000001</v>
      </c>
      <c r="D6092" s="8">
        <v>81</v>
      </c>
      <c r="E6092" s="8">
        <v>0</v>
      </c>
      <c r="F6092" s="8">
        <v>0</v>
      </c>
      <c r="G6092" s="8">
        <v>17</v>
      </c>
      <c r="H6092" s="8" t="s">
        <v>12504</v>
      </c>
      <c r="I6092" s="8">
        <v>531.375</v>
      </c>
      <c r="J6092" s="3">
        <f t="shared" si="95"/>
        <v>43747.919061435183</v>
      </c>
    </row>
    <row r="6093" spans="1:10" x14ac:dyDescent="0.25">
      <c r="A6093" s="5" t="s">
        <v>12505</v>
      </c>
      <c r="B6093" s="6">
        <v>409.375</v>
      </c>
      <c r="C6093" s="6">
        <v>20.478950000000001</v>
      </c>
      <c r="D6093" s="6">
        <v>81</v>
      </c>
      <c r="E6093" s="6">
        <v>0</v>
      </c>
      <c r="F6093" s="6">
        <v>0</v>
      </c>
      <c r="G6093" s="6">
        <v>30</v>
      </c>
      <c r="H6093" s="6" t="s">
        <v>12506</v>
      </c>
      <c r="I6093" s="6">
        <v>531.375</v>
      </c>
      <c r="J6093" s="2">
        <f t="shared" si="95"/>
        <v>43747.919132696756</v>
      </c>
    </row>
    <row r="6094" spans="1:10" x14ac:dyDescent="0.25">
      <c r="A6094" s="7" t="s">
        <v>12507</v>
      </c>
      <c r="B6094" s="8">
        <v>412.5</v>
      </c>
      <c r="C6094" s="8">
        <v>20.478950000000001</v>
      </c>
      <c r="D6094" s="8">
        <v>81</v>
      </c>
      <c r="E6094" s="8">
        <v>0</v>
      </c>
      <c r="F6094" s="8">
        <v>0</v>
      </c>
      <c r="G6094" s="8">
        <v>27</v>
      </c>
      <c r="H6094" s="8" t="s">
        <v>12508</v>
      </c>
      <c r="I6094" s="8">
        <v>532.3125</v>
      </c>
      <c r="J6094" s="3">
        <f t="shared" si="95"/>
        <v>43747.919203946753</v>
      </c>
    </row>
    <row r="6095" spans="1:10" x14ac:dyDescent="0.25">
      <c r="A6095" s="5" t="s">
        <v>12509</v>
      </c>
      <c r="B6095" s="6">
        <v>412.5</v>
      </c>
      <c r="C6095" s="6">
        <v>20.478950000000001</v>
      </c>
      <c r="D6095" s="6">
        <v>81</v>
      </c>
      <c r="E6095" s="6">
        <v>0</v>
      </c>
      <c r="F6095" s="6">
        <v>0</v>
      </c>
      <c r="G6095" s="6">
        <v>21</v>
      </c>
      <c r="H6095" s="6" t="s">
        <v>12510</v>
      </c>
      <c r="I6095" s="6">
        <v>532.3125</v>
      </c>
      <c r="J6095" s="2">
        <f t="shared" si="95"/>
        <v>43747.91927622685</v>
      </c>
    </row>
    <row r="6096" spans="1:10" x14ac:dyDescent="0.25">
      <c r="A6096" s="7" t="s">
        <v>12511</v>
      </c>
      <c r="B6096" s="8">
        <v>412.5</v>
      </c>
      <c r="C6096" s="8">
        <v>20.478950000000001</v>
      </c>
      <c r="D6096" s="8">
        <v>81</v>
      </c>
      <c r="E6096" s="8">
        <v>0</v>
      </c>
      <c r="F6096" s="8">
        <v>0</v>
      </c>
      <c r="G6096" s="8">
        <v>30</v>
      </c>
      <c r="H6096" s="8" t="s">
        <v>12512</v>
      </c>
      <c r="I6096" s="8">
        <v>532.3125</v>
      </c>
      <c r="J6096" s="3">
        <f t="shared" si="95"/>
        <v>43747.919347349532</v>
      </c>
    </row>
    <row r="6097" spans="1:10" x14ac:dyDescent="0.25">
      <c r="A6097" s="5" t="s">
        <v>12513</v>
      </c>
      <c r="B6097" s="6">
        <v>412.5</v>
      </c>
      <c r="C6097" s="6">
        <v>20.478950000000001</v>
      </c>
      <c r="D6097" s="6">
        <v>78</v>
      </c>
      <c r="E6097" s="6">
        <v>0</v>
      </c>
      <c r="F6097" s="6">
        <v>0</v>
      </c>
      <c r="G6097" s="6">
        <v>27</v>
      </c>
      <c r="H6097" s="6" t="s">
        <v>12514</v>
      </c>
      <c r="I6097" s="6">
        <v>532.3125</v>
      </c>
      <c r="J6097" s="2">
        <f t="shared" si="95"/>
        <v>43747.919418900456</v>
      </c>
    </row>
    <row r="6098" spans="1:10" x14ac:dyDescent="0.25">
      <c r="A6098" s="7" t="s">
        <v>12515</v>
      </c>
      <c r="B6098" s="8">
        <v>412.5</v>
      </c>
      <c r="C6098" s="8">
        <v>20.478950000000001</v>
      </c>
      <c r="D6098" s="8">
        <v>79</v>
      </c>
      <c r="E6098" s="8">
        <v>0</v>
      </c>
      <c r="F6098" s="8">
        <v>0</v>
      </c>
      <c r="G6098" s="8">
        <v>20</v>
      </c>
      <c r="H6098" s="8" t="s">
        <v>12516</v>
      </c>
      <c r="I6098" s="8">
        <v>532.3125</v>
      </c>
      <c r="J6098" s="3">
        <f t="shared" si="95"/>
        <v>43747.919502152778</v>
      </c>
    </row>
    <row r="6099" spans="1:10" x14ac:dyDescent="0.25">
      <c r="A6099" s="5" t="s">
        <v>12517</v>
      </c>
      <c r="B6099" s="6">
        <v>412.5</v>
      </c>
      <c r="C6099" s="6">
        <v>20.478950000000001</v>
      </c>
      <c r="D6099" s="6">
        <v>79</v>
      </c>
      <c r="E6099" s="6">
        <v>0</v>
      </c>
      <c r="F6099" s="6">
        <v>0</v>
      </c>
      <c r="G6099" s="6">
        <v>24</v>
      </c>
      <c r="H6099" s="6" t="s">
        <v>12518</v>
      </c>
      <c r="I6099" s="6">
        <v>532.3125</v>
      </c>
      <c r="J6099" s="2">
        <f t="shared" si="95"/>
        <v>43747.919574201391</v>
      </c>
    </row>
    <row r="6100" spans="1:10" x14ac:dyDescent="0.25">
      <c r="A6100" s="7" t="s">
        <v>12519</v>
      </c>
      <c r="B6100" s="8">
        <v>412.5</v>
      </c>
      <c r="C6100" s="8">
        <v>20.478950000000001</v>
      </c>
      <c r="D6100" s="8">
        <v>79</v>
      </c>
      <c r="E6100" s="8">
        <v>0</v>
      </c>
      <c r="F6100" s="8">
        <v>0</v>
      </c>
      <c r="G6100" s="8">
        <v>22</v>
      </c>
      <c r="H6100" s="8" t="s">
        <v>12520</v>
      </c>
      <c r="I6100" s="8">
        <v>532.3125</v>
      </c>
      <c r="J6100" s="3">
        <f t="shared" si="95"/>
        <v>43747.919645150461</v>
      </c>
    </row>
    <row r="6101" spans="1:10" x14ac:dyDescent="0.25">
      <c r="A6101" s="5" t="s">
        <v>12521</v>
      </c>
      <c r="B6101" s="6">
        <v>440.625</v>
      </c>
      <c r="C6101" s="6">
        <v>20.478950000000001</v>
      </c>
      <c r="D6101" s="6">
        <v>80</v>
      </c>
      <c r="E6101" s="6">
        <v>0</v>
      </c>
      <c r="F6101" s="6">
        <v>0</v>
      </c>
      <c r="G6101" s="6">
        <v>32</v>
      </c>
      <c r="H6101" s="6" t="s">
        <v>12522</v>
      </c>
      <c r="I6101" s="6">
        <v>541.3125</v>
      </c>
      <c r="J6101" s="2">
        <f t="shared" si="95"/>
        <v>43747.919716979166</v>
      </c>
    </row>
    <row r="6102" spans="1:10" x14ac:dyDescent="0.25">
      <c r="A6102" s="7" t="s">
        <v>12523</v>
      </c>
      <c r="B6102" s="8">
        <v>409.375</v>
      </c>
      <c r="C6102" s="8">
        <v>20.478950000000001</v>
      </c>
      <c r="D6102" s="8">
        <v>79</v>
      </c>
      <c r="E6102" s="8">
        <v>0</v>
      </c>
      <c r="F6102" s="8">
        <v>0</v>
      </c>
      <c r="G6102" s="8">
        <v>18</v>
      </c>
      <c r="H6102" s="8" t="s">
        <v>12524</v>
      </c>
      <c r="I6102" s="8">
        <v>531.5625</v>
      </c>
      <c r="J6102" s="3">
        <f t="shared" si="95"/>
        <v>43747.919788263891</v>
      </c>
    </row>
    <row r="6103" spans="1:10" x14ac:dyDescent="0.25">
      <c r="A6103" s="5" t="s">
        <v>12525</v>
      </c>
      <c r="B6103" s="6">
        <v>409.375</v>
      </c>
      <c r="C6103" s="6">
        <v>20.478950000000001</v>
      </c>
      <c r="D6103" s="6">
        <v>79</v>
      </c>
      <c r="E6103" s="6">
        <v>0</v>
      </c>
      <c r="F6103" s="6">
        <v>0</v>
      </c>
      <c r="G6103" s="6">
        <v>23</v>
      </c>
      <c r="H6103" s="6" t="s">
        <v>12526</v>
      </c>
      <c r="I6103" s="6">
        <v>531.375</v>
      </c>
      <c r="J6103" s="2">
        <f t="shared" si="95"/>
        <v>43747.919872453705</v>
      </c>
    </row>
    <row r="6104" spans="1:10" x14ac:dyDescent="0.25">
      <c r="A6104" s="7" t="s">
        <v>12527</v>
      </c>
      <c r="B6104" s="8">
        <v>412.5</v>
      </c>
      <c r="C6104" s="8">
        <v>20.478950000000001</v>
      </c>
      <c r="D6104" s="8">
        <v>79</v>
      </c>
      <c r="E6104" s="8">
        <v>0</v>
      </c>
      <c r="F6104" s="8">
        <v>0</v>
      </c>
      <c r="G6104" s="8">
        <v>29</v>
      </c>
      <c r="H6104" s="8" t="s">
        <v>12528</v>
      </c>
      <c r="I6104" s="8">
        <v>532.3125</v>
      </c>
      <c r="J6104" s="3">
        <f t="shared" si="95"/>
        <v>43747.919943819441</v>
      </c>
    </row>
    <row r="6105" spans="1:10" x14ac:dyDescent="0.25">
      <c r="A6105" s="5" t="s">
        <v>12529</v>
      </c>
      <c r="B6105" s="6">
        <v>409.375</v>
      </c>
      <c r="C6105" s="6">
        <v>20.478950000000001</v>
      </c>
      <c r="D6105" s="6">
        <v>83</v>
      </c>
      <c r="E6105" s="6">
        <v>0</v>
      </c>
      <c r="F6105" s="6">
        <v>0</v>
      </c>
      <c r="G6105" s="6">
        <v>25</v>
      </c>
      <c r="H6105" s="6" t="s">
        <v>12530</v>
      </c>
      <c r="I6105" s="6">
        <v>531.5625</v>
      </c>
      <c r="J6105" s="2">
        <f t="shared" si="95"/>
        <v>43747.920015115735</v>
      </c>
    </row>
    <row r="6106" spans="1:10" x14ac:dyDescent="0.25">
      <c r="A6106" s="7" t="s">
        <v>12531</v>
      </c>
      <c r="B6106" s="8">
        <v>409.375</v>
      </c>
      <c r="C6106" s="8">
        <v>20.478950000000001</v>
      </c>
      <c r="D6106" s="8">
        <v>83</v>
      </c>
      <c r="E6106" s="8">
        <v>0</v>
      </c>
      <c r="F6106" s="8">
        <v>0</v>
      </c>
      <c r="G6106" s="8">
        <v>29</v>
      </c>
      <c r="H6106" s="8" t="s">
        <v>12532</v>
      </c>
      <c r="I6106" s="8">
        <v>531.5625</v>
      </c>
      <c r="J6106" s="3">
        <f t="shared" si="95"/>
        <v>43747.920086342587</v>
      </c>
    </row>
    <row r="6107" spans="1:10" x14ac:dyDescent="0.25">
      <c r="A6107" s="5" t="s">
        <v>12533</v>
      </c>
      <c r="B6107" s="6">
        <v>409.375</v>
      </c>
      <c r="C6107" s="6">
        <v>20.478950000000001</v>
      </c>
      <c r="D6107" s="6">
        <v>83</v>
      </c>
      <c r="E6107" s="6">
        <v>0</v>
      </c>
      <c r="F6107" s="6">
        <v>0</v>
      </c>
      <c r="G6107" s="6">
        <v>26</v>
      </c>
      <c r="H6107" s="6" t="s">
        <v>12534</v>
      </c>
      <c r="I6107" s="6">
        <v>531.5625</v>
      </c>
      <c r="J6107" s="2">
        <f t="shared" si="95"/>
        <v>43747.920181805552</v>
      </c>
    </row>
    <row r="6108" spans="1:10" x14ac:dyDescent="0.25">
      <c r="A6108" s="7" t="s">
        <v>12535</v>
      </c>
      <c r="B6108" s="8">
        <v>412.5</v>
      </c>
      <c r="C6108" s="8">
        <v>20.478950000000001</v>
      </c>
      <c r="D6108" s="8">
        <v>83</v>
      </c>
      <c r="E6108" s="8">
        <v>0</v>
      </c>
      <c r="F6108" s="8">
        <v>0</v>
      </c>
      <c r="G6108" s="8">
        <v>25</v>
      </c>
      <c r="H6108" s="8" t="s">
        <v>12536</v>
      </c>
      <c r="I6108" s="8">
        <v>532.3125</v>
      </c>
      <c r="J6108" s="3">
        <f t="shared" si="95"/>
        <v>43747.920253101845</v>
      </c>
    </row>
    <row r="6109" spans="1:10" x14ac:dyDescent="0.25">
      <c r="A6109" s="5" t="s">
        <v>12537</v>
      </c>
      <c r="B6109" s="6">
        <v>415.625</v>
      </c>
      <c r="C6109" s="6">
        <v>20.478950000000001</v>
      </c>
      <c r="D6109" s="6">
        <v>82</v>
      </c>
      <c r="E6109" s="6">
        <v>0</v>
      </c>
      <c r="F6109" s="6">
        <v>0</v>
      </c>
      <c r="G6109" s="6">
        <v>24</v>
      </c>
      <c r="H6109" s="6" t="s">
        <v>12538</v>
      </c>
      <c r="I6109" s="6">
        <v>533.0625</v>
      </c>
      <c r="J6109" s="2">
        <f t="shared" si="95"/>
        <v>43747.920325335646</v>
      </c>
    </row>
    <row r="6110" spans="1:10" x14ac:dyDescent="0.25">
      <c r="A6110" s="7" t="s">
        <v>12539</v>
      </c>
      <c r="B6110" s="8">
        <v>415.625</v>
      </c>
      <c r="C6110" s="8">
        <v>20.478950000000001</v>
      </c>
      <c r="D6110" s="8">
        <v>83</v>
      </c>
      <c r="E6110" s="8">
        <v>0</v>
      </c>
      <c r="F6110" s="8">
        <v>0</v>
      </c>
      <c r="G6110" s="8">
        <v>20</v>
      </c>
      <c r="H6110" s="8" t="s">
        <v>12540</v>
      </c>
      <c r="I6110" s="8">
        <v>533.0625</v>
      </c>
      <c r="J6110" s="3">
        <f t="shared" si="95"/>
        <v>43747.920408645827</v>
      </c>
    </row>
    <row r="6111" spans="1:10" x14ac:dyDescent="0.25">
      <c r="A6111" s="5" t="s">
        <v>12541</v>
      </c>
      <c r="B6111" s="6">
        <v>415.625</v>
      </c>
      <c r="C6111" s="6">
        <v>20.478950000000001</v>
      </c>
      <c r="D6111" s="6">
        <v>82</v>
      </c>
      <c r="E6111" s="6">
        <v>0</v>
      </c>
      <c r="F6111" s="6">
        <v>0</v>
      </c>
      <c r="G6111" s="6">
        <v>18</v>
      </c>
      <c r="H6111" s="6" t="s">
        <v>12542</v>
      </c>
      <c r="I6111" s="6">
        <v>533.25</v>
      </c>
      <c r="J6111" s="2">
        <f t="shared" si="95"/>
        <v>43747.920479953704</v>
      </c>
    </row>
    <row r="6112" spans="1:10" x14ac:dyDescent="0.25">
      <c r="A6112" s="7" t="s">
        <v>12543</v>
      </c>
      <c r="B6112" s="8">
        <v>412.5</v>
      </c>
      <c r="C6112" s="8">
        <v>20.478950000000001</v>
      </c>
      <c r="D6112" s="8">
        <v>82</v>
      </c>
      <c r="E6112" s="8">
        <v>0</v>
      </c>
      <c r="F6112" s="8">
        <v>0</v>
      </c>
      <c r="G6112" s="8">
        <v>23</v>
      </c>
      <c r="H6112" s="8" t="s">
        <v>12544</v>
      </c>
      <c r="I6112" s="8">
        <v>532.3125</v>
      </c>
      <c r="J6112" s="3">
        <f t="shared" si="95"/>
        <v>43747.920563368054</v>
      </c>
    </row>
    <row r="6113" spans="1:10" x14ac:dyDescent="0.25">
      <c r="A6113" s="5" t="s">
        <v>12545</v>
      </c>
      <c r="B6113" s="6">
        <v>412.5</v>
      </c>
      <c r="C6113" s="6">
        <v>20.478950000000001</v>
      </c>
      <c r="D6113" s="6">
        <v>81</v>
      </c>
      <c r="E6113" s="6">
        <v>0</v>
      </c>
      <c r="F6113" s="6">
        <v>0</v>
      </c>
      <c r="G6113" s="6">
        <v>17</v>
      </c>
      <c r="H6113" s="6" t="s">
        <v>12546</v>
      </c>
      <c r="I6113" s="6">
        <v>532.3125</v>
      </c>
      <c r="J6113" s="2">
        <f t="shared" si="95"/>
        <v>43747.920634918984</v>
      </c>
    </row>
    <row r="6114" spans="1:10" x14ac:dyDescent="0.25">
      <c r="A6114" s="7" t="s">
        <v>12547</v>
      </c>
      <c r="B6114" s="8">
        <v>431.25</v>
      </c>
      <c r="C6114" s="8">
        <v>20.478950000000001</v>
      </c>
      <c r="D6114" s="8">
        <v>81</v>
      </c>
      <c r="E6114" s="8">
        <v>0</v>
      </c>
      <c r="F6114" s="8">
        <v>0</v>
      </c>
      <c r="G6114" s="8">
        <v>16</v>
      </c>
      <c r="H6114" s="8" t="s">
        <v>12548</v>
      </c>
      <c r="I6114" s="8">
        <v>538.3125</v>
      </c>
      <c r="J6114" s="3">
        <f t="shared" si="95"/>
        <v>43747.920706643512</v>
      </c>
    </row>
    <row r="6115" spans="1:10" x14ac:dyDescent="0.25">
      <c r="A6115" s="5" t="s">
        <v>12549</v>
      </c>
      <c r="B6115" s="6">
        <v>409.375</v>
      </c>
      <c r="C6115" s="6">
        <v>20.478950000000001</v>
      </c>
      <c r="D6115" s="6">
        <v>84</v>
      </c>
      <c r="E6115" s="6">
        <v>0</v>
      </c>
      <c r="F6115" s="6">
        <v>0</v>
      </c>
      <c r="G6115" s="6">
        <v>19</v>
      </c>
      <c r="H6115" s="6" t="s">
        <v>12550</v>
      </c>
      <c r="I6115" s="6">
        <v>531.5625</v>
      </c>
      <c r="J6115" s="2">
        <f t="shared" si="95"/>
        <v>43747.920778148145</v>
      </c>
    </row>
    <row r="6116" spans="1:10" x14ac:dyDescent="0.25">
      <c r="A6116" s="7" t="s">
        <v>12551</v>
      </c>
      <c r="B6116" s="8">
        <v>412.5</v>
      </c>
      <c r="C6116" s="8">
        <v>20.478950000000001</v>
      </c>
      <c r="D6116" s="8">
        <v>85</v>
      </c>
      <c r="E6116" s="8">
        <v>0</v>
      </c>
      <c r="F6116" s="8">
        <v>0</v>
      </c>
      <c r="G6116" s="8">
        <v>22</v>
      </c>
      <c r="H6116" s="8" t="s">
        <v>12552</v>
      </c>
      <c r="I6116" s="8">
        <v>532.3125</v>
      </c>
      <c r="J6116" s="3">
        <f t="shared" si="95"/>
        <v>43747.920862037034</v>
      </c>
    </row>
    <row r="6117" spans="1:10" x14ac:dyDescent="0.25">
      <c r="A6117" s="5" t="s">
        <v>12553</v>
      </c>
      <c r="B6117" s="6">
        <v>428.125</v>
      </c>
      <c r="C6117" s="6">
        <v>20.478950000000001</v>
      </c>
      <c r="D6117" s="6">
        <v>85</v>
      </c>
      <c r="E6117" s="6">
        <v>0</v>
      </c>
      <c r="F6117" s="6">
        <v>0</v>
      </c>
      <c r="G6117" s="6">
        <v>14</v>
      </c>
      <c r="H6117" s="6" t="s">
        <v>12554</v>
      </c>
      <c r="I6117" s="6">
        <v>537.9375</v>
      </c>
      <c r="J6117" s="2">
        <f t="shared" si="95"/>
        <v>43747.920945682868</v>
      </c>
    </row>
    <row r="6118" spans="1:10" x14ac:dyDescent="0.25">
      <c r="A6118" s="7" t="s">
        <v>12555</v>
      </c>
      <c r="B6118" s="8">
        <v>409.375</v>
      </c>
      <c r="C6118" s="8">
        <v>20.478950000000001</v>
      </c>
      <c r="D6118" s="8">
        <v>83</v>
      </c>
      <c r="E6118" s="8">
        <v>0</v>
      </c>
      <c r="F6118" s="8">
        <v>0</v>
      </c>
      <c r="G6118" s="8">
        <v>22</v>
      </c>
      <c r="H6118" s="8" t="s">
        <v>12556</v>
      </c>
      <c r="I6118" s="8">
        <v>531.5625</v>
      </c>
      <c r="J6118" s="3">
        <f t="shared" si="95"/>
        <v>43747.921016990738</v>
      </c>
    </row>
    <row r="6119" spans="1:10" x14ac:dyDescent="0.25">
      <c r="A6119" s="5" t="s">
        <v>12557</v>
      </c>
      <c r="B6119" s="6">
        <v>409.375</v>
      </c>
      <c r="C6119" s="6">
        <v>20.478950000000001</v>
      </c>
      <c r="D6119" s="6">
        <v>84</v>
      </c>
      <c r="E6119" s="6">
        <v>0</v>
      </c>
      <c r="F6119" s="6">
        <v>0</v>
      </c>
      <c r="G6119" s="6">
        <v>23</v>
      </c>
      <c r="H6119" s="6" t="s">
        <v>12558</v>
      </c>
      <c r="I6119" s="6">
        <v>531.5625</v>
      </c>
      <c r="J6119" s="2">
        <f t="shared" si="95"/>
        <v>43747.921100300919</v>
      </c>
    </row>
    <row r="6120" spans="1:10" x14ac:dyDescent="0.25">
      <c r="A6120" s="7" t="s">
        <v>12559</v>
      </c>
      <c r="B6120" s="8">
        <v>428.125</v>
      </c>
      <c r="C6120" s="8">
        <v>20.478950000000001</v>
      </c>
      <c r="D6120" s="8">
        <v>85</v>
      </c>
      <c r="E6120" s="8">
        <v>0</v>
      </c>
      <c r="F6120" s="8">
        <v>0</v>
      </c>
      <c r="G6120" s="8">
        <v>21</v>
      </c>
      <c r="H6120" s="8" t="s">
        <v>12560</v>
      </c>
      <c r="I6120" s="8">
        <v>537.75</v>
      </c>
      <c r="J6120" s="3">
        <f t="shared" si="95"/>
        <v>43747.921171550923</v>
      </c>
    </row>
    <row r="6121" spans="1:10" x14ac:dyDescent="0.25">
      <c r="A6121" s="5" t="s">
        <v>12561</v>
      </c>
      <c r="B6121" s="6">
        <v>409.375</v>
      </c>
      <c r="C6121" s="6">
        <v>20.478950000000001</v>
      </c>
      <c r="D6121" s="6">
        <v>85</v>
      </c>
      <c r="E6121" s="6">
        <v>0</v>
      </c>
      <c r="F6121" s="6">
        <v>0</v>
      </c>
      <c r="G6121" s="6">
        <v>24</v>
      </c>
      <c r="H6121" s="6" t="s">
        <v>12562</v>
      </c>
      <c r="I6121" s="6">
        <v>531.5625</v>
      </c>
      <c r="J6121" s="2">
        <f t="shared" si="95"/>
        <v>43747.921243784724</v>
      </c>
    </row>
    <row r="6122" spans="1:10" x14ac:dyDescent="0.25">
      <c r="A6122" s="7" t="s">
        <v>12563</v>
      </c>
      <c r="B6122" s="8">
        <v>409.375</v>
      </c>
      <c r="C6122" s="8">
        <v>20.478950000000001</v>
      </c>
      <c r="D6122" s="8">
        <v>84</v>
      </c>
      <c r="E6122" s="8">
        <v>0</v>
      </c>
      <c r="F6122" s="8">
        <v>0</v>
      </c>
      <c r="G6122" s="8">
        <v>22</v>
      </c>
      <c r="H6122" s="8" t="s">
        <v>12564</v>
      </c>
      <c r="I6122" s="8">
        <v>531.5625</v>
      </c>
      <c r="J6122" s="3">
        <f t="shared" si="95"/>
        <v>43747.921338495369</v>
      </c>
    </row>
    <row r="6123" spans="1:10" x14ac:dyDescent="0.25">
      <c r="A6123" s="5" t="s">
        <v>12565</v>
      </c>
      <c r="B6123" s="6">
        <v>406.25</v>
      </c>
      <c r="C6123" s="6">
        <v>20.478950000000001</v>
      </c>
      <c r="D6123" s="6">
        <v>84</v>
      </c>
      <c r="E6123" s="6">
        <v>0</v>
      </c>
      <c r="F6123" s="6">
        <v>0</v>
      </c>
      <c r="G6123" s="6">
        <v>23</v>
      </c>
      <c r="H6123" s="6" t="s">
        <v>12566</v>
      </c>
      <c r="I6123" s="6">
        <v>530.625</v>
      </c>
      <c r="J6123" s="2">
        <f t="shared" si="95"/>
        <v>43747.921410451389</v>
      </c>
    </row>
    <row r="6124" spans="1:10" x14ac:dyDescent="0.25">
      <c r="A6124" s="7" t="s">
        <v>12567</v>
      </c>
      <c r="B6124" s="8">
        <v>406.25</v>
      </c>
      <c r="C6124" s="8">
        <v>20.478950000000001</v>
      </c>
      <c r="D6124" s="8">
        <v>83</v>
      </c>
      <c r="E6124" s="8">
        <v>0</v>
      </c>
      <c r="F6124" s="8">
        <v>0</v>
      </c>
      <c r="G6124" s="8">
        <v>19</v>
      </c>
      <c r="H6124" s="8" t="s">
        <v>12568</v>
      </c>
      <c r="I6124" s="8">
        <v>530.625</v>
      </c>
      <c r="J6124" s="3">
        <f t="shared" si="95"/>
        <v>43747.921481805555</v>
      </c>
    </row>
    <row r="6125" spans="1:10" x14ac:dyDescent="0.25">
      <c r="A6125" s="5" t="s">
        <v>12569</v>
      </c>
      <c r="B6125" s="6">
        <v>406.25</v>
      </c>
      <c r="C6125" s="6">
        <v>20.478950000000001</v>
      </c>
      <c r="D6125" s="6">
        <v>83</v>
      </c>
      <c r="E6125" s="6">
        <v>0</v>
      </c>
      <c r="F6125" s="6">
        <v>0</v>
      </c>
      <c r="G6125" s="6">
        <v>20</v>
      </c>
      <c r="H6125" s="6" t="s">
        <v>12570</v>
      </c>
      <c r="I6125" s="6">
        <v>530.625</v>
      </c>
      <c r="J6125" s="2">
        <f t="shared" si="95"/>
        <v>43747.92155313657</v>
      </c>
    </row>
    <row r="6126" spans="1:10" x14ac:dyDescent="0.25">
      <c r="A6126" s="7" t="s">
        <v>12571</v>
      </c>
      <c r="B6126" s="8">
        <v>403.125</v>
      </c>
      <c r="C6126" s="8">
        <v>20.478950000000001</v>
      </c>
      <c r="D6126" s="8">
        <v>83</v>
      </c>
      <c r="E6126" s="8">
        <v>0</v>
      </c>
      <c r="F6126" s="8">
        <v>0</v>
      </c>
      <c r="G6126" s="8">
        <v>21</v>
      </c>
      <c r="H6126" s="8" t="s">
        <v>12572</v>
      </c>
      <c r="I6126" s="8">
        <v>529.875</v>
      </c>
      <c r="J6126" s="3">
        <f t="shared" si="95"/>
        <v>43747.921625358795</v>
      </c>
    </row>
    <row r="6127" spans="1:10" x14ac:dyDescent="0.25">
      <c r="A6127" s="5" t="s">
        <v>12573</v>
      </c>
      <c r="B6127" s="6">
        <v>421.875</v>
      </c>
      <c r="C6127" s="6">
        <v>20.478950000000001</v>
      </c>
      <c r="D6127" s="6">
        <v>83</v>
      </c>
      <c r="E6127" s="6">
        <v>0</v>
      </c>
      <c r="F6127" s="6">
        <v>0</v>
      </c>
      <c r="G6127" s="6">
        <v>25</v>
      </c>
      <c r="H6127" s="6" t="s">
        <v>12574</v>
      </c>
      <c r="I6127" s="6">
        <v>535.5</v>
      </c>
      <c r="J6127" s="2">
        <f t="shared" si="95"/>
        <v>43747.921696446756</v>
      </c>
    </row>
    <row r="6128" spans="1:10" x14ac:dyDescent="0.25">
      <c r="A6128" s="7" t="s">
        <v>12575</v>
      </c>
      <c r="B6128" s="8">
        <v>403.125</v>
      </c>
      <c r="C6128" s="8">
        <v>20.478950000000001</v>
      </c>
      <c r="D6128" s="8">
        <v>83</v>
      </c>
      <c r="E6128" s="8">
        <v>0</v>
      </c>
      <c r="F6128" s="8">
        <v>0</v>
      </c>
      <c r="G6128" s="8">
        <v>22</v>
      </c>
      <c r="H6128" s="8" t="s">
        <v>12576</v>
      </c>
      <c r="I6128" s="8">
        <v>529.875</v>
      </c>
      <c r="J6128" s="3">
        <f t="shared" si="95"/>
        <v>43747.921767905085</v>
      </c>
    </row>
    <row r="6129" spans="1:10" x14ac:dyDescent="0.25">
      <c r="A6129" s="5" t="s">
        <v>12577</v>
      </c>
      <c r="B6129" s="6">
        <v>403.125</v>
      </c>
      <c r="C6129" s="6">
        <v>20.478950000000001</v>
      </c>
      <c r="D6129" s="6">
        <v>81</v>
      </c>
      <c r="E6129" s="6">
        <v>0</v>
      </c>
      <c r="F6129" s="6">
        <v>0</v>
      </c>
      <c r="G6129" s="6">
        <v>20</v>
      </c>
      <c r="H6129" s="6" t="s">
        <v>12578</v>
      </c>
      <c r="I6129" s="6">
        <v>529.875</v>
      </c>
      <c r="J6129" s="2">
        <f t="shared" si="95"/>
        <v>43747.921839965275</v>
      </c>
    </row>
    <row r="6130" spans="1:10" x14ac:dyDescent="0.25">
      <c r="A6130" s="7" t="s">
        <v>12579</v>
      </c>
      <c r="B6130" s="8">
        <v>403.125</v>
      </c>
      <c r="C6130" s="8">
        <v>20.478950000000001</v>
      </c>
      <c r="D6130" s="8">
        <v>81</v>
      </c>
      <c r="E6130" s="8">
        <v>0</v>
      </c>
      <c r="F6130" s="8">
        <v>0</v>
      </c>
      <c r="G6130" s="8">
        <v>23</v>
      </c>
      <c r="H6130" s="8" t="s">
        <v>12580</v>
      </c>
      <c r="I6130" s="8">
        <v>529.125</v>
      </c>
      <c r="J6130" s="3">
        <f t="shared" si="95"/>
        <v>43747.921910729165</v>
      </c>
    </row>
    <row r="6131" spans="1:10" x14ac:dyDescent="0.25">
      <c r="A6131" s="5" t="s">
        <v>12581</v>
      </c>
      <c r="B6131" s="6">
        <v>403.125</v>
      </c>
      <c r="C6131" s="6">
        <v>20.478950000000001</v>
      </c>
      <c r="D6131" s="6">
        <v>79</v>
      </c>
      <c r="E6131" s="6">
        <v>0</v>
      </c>
      <c r="F6131" s="6">
        <v>0</v>
      </c>
      <c r="G6131" s="6">
        <v>23</v>
      </c>
      <c r="H6131" s="6" t="s">
        <v>12582</v>
      </c>
      <c r="I6131" s="6">
        <v>529.125</v>
      </c>
      <c r="J6131" s="2">
        <f t="shared" si="95"/>
        <v>43747.921994756944</v>
      </c>
    </row>
    <row r="6132" spans="1:10" x14ac:dyDescent="0.25">
      <c r="A6132" s="7" t="s">
        <v>12583</v>
      </c>
      <c r="B6132" s="8">
        <v>403.125</v>
      </c>
      <c r="C6132" s="8">
        <v>20.478950000000001</v>
      </c>
      <c r="D6132" s="8">
        <v>81</v>
      </c>
      <c r="E6132" s="8">
        <v>0</v>
      </c>
      <c r="F6132" s="8">
        <v>0</v>
      </c>
      <c r="G6132" s="8">
        <v>24</v>
      </c>
      <c r="H6132" s="8" t="s">
        <v>12584</v>
      </c>
      <c r="I6132" s="8">
        <v>529.875</v>
      </c>
      <c r="J6132" s="3">
        <f t="shared" si="95"/>
        <v>43747.922073055553</v>
      </c>
    </row>
    <row r="6133" spans="1:10" x14ac:dyDescent="0.25">
      <c r="A6133" s="5" t="s">
        <v>12585</v>
      </c>
      <c r="B6133" s="6">
        <v>403.125</v>
      </c>
      <c r="C6133" s="6">
        <v>20.478950000000001</v>
      </c>
      <c r="D6133" s="6">
        <v>78</v>
      </c>
      <c r="E6133" s="6">
        <v>0</v>
      </c>
      <c r="F6133" s="6">
        <v>0</v>
      </c>
      <c r="G6133" s="6">
        <v>25</v>
      </c>
      <c r="H6133" s="6" t="s">
        <v>12586</v>
      </c>
      <c r="I6133" s="6">
        <v>529.875</v>
      </c>
      <c r="J6133" s="2">
        <f t="shared" si="95"/>
        <v>43747.92214938657</v>
      </c>
    </row>
    <row r="6134" spans="1:10" x14ac:dyDescent="0.25">
      <c r="A6134" s="7" t="s">
        <v>12587</v>
      </c>
      <c r="B6134" s="8">
        <v>421.875</v>
      </c>
      <c r="C6134" s="8">
        <v>20.478950000000001</v>
      </c>
      <c r="D6134" s="8">
        <v>81</v>
      </c>
      <c r="E6134" s="8">
        <v>0</v>
      </c>
      <c r="F6134" s="8">
        <v>0</v>
      </c>
      <c r="G6134" s="8">
        <v>13</v>
      </c>
      <c r="H6134" s="8" t="s">
        <v>12588</v>
      </c>
      <c r="I6134" s="8">
        <v>535.5</v>
      </c>
      <c r="J6134" s="3">
        <f t="shared" si="95"/>
        <v>43747.922221608795</v>
      </c>
    </row>
    <row r="6135" spans="1:10" x14ac:dyDescent="0.25">
      <c r="A6135" s="5" t="s">
        <v>12589</v>
      </c>
      <c r="B6135" s="6">
        <v>403.125</v>
      </c>
      <c r="C6135" s="6">
        <v>20.478950000000001</v>
      </c>
      <c r="D6135" s="6">
        <v>81</v>
      </c>
      <c r="E6135" s="6">
        <v>0</v>
      </c>
      <c r="F6135" s="6">
        <v>0</v>
      </c>
      <c r="G6135" s="6">
        <v>18</v>
      </c>
      <c r="H6135" s="6" t="s">
        <v>12590</v>
      </c>
      <c r="I6135" s="6">
        <v>529.875</v>
      </c>
      <c r="J6135" s="2">
        <f t="shared" si="95"/>
        <v>43747.922292905088</v>
      </c>
    </row>
    <row r="6136" spans="1:10" x14ac:dyDescent="0.25">
      <c r="A6136" s="7" t="s">
        <v>12591</v>
      </c>
      <c r="B6136" s="8">
        <v>403.125</v>
      </c>
      <c r="C6136" s="8">
        <v>20.478950000000001</v>
      </c>
      <c r="D6136" s="8">
        <v>82</v>
      </c>
      <c r="E6136" s="8">
        <v>0</v>
      </c>
      <c r="F6136" s="8">
        <v>0</v>
      </c>
      <c r="G6136" s="8">
        <v>16</v>
      </c>
      <c r="H6136" s="8" t="s">
        <v>12592</v>
      </c>
      <c r="I6136" s="8">
        <v>529.875</v>
      </c>
      <c r="J6136" s="3">
        <f t="shared" si="95"/>
        <v>43747.922376215276</v>
      </c>
    </row>
    <row r="6137" spans="1:10" x14ac:dyDescent="0.25">
      <c r="A6137" s="5" t="s">
        <v>12593</v>
      </c>
      <c r="B6137" s="6">
        <v>403.125</v>
      </c>
      <c r="C6137" s="6">
        <v>20.478950000000001</v>
      </c>
      <c r="D6137" s="6">
        <v>82</v>
      </c>
      <c r="E6137" s="6">
        <v>0</v>
      </c>
      <c r="F6137" s="6">
        <v>0</v>
      </c>
      <c r="G6137" s="6">
        <v>27</v>
      </c>
      <c r="H6137" s="6" t="s">
        <v>12594</v>
      </c>
      <c r="I6137" s="6">
        <v>529.875</v>
      </c>
      <c r="J6137" s="2">
        <f t="shared" si="95"/>
        <v>43747.922447546291</v>
      </c>
    </row>
    <row r="6138" spans="1:10" x14ac:dyDescent="0.25">
      <c r="A6138" s="7" t="s">
        <v>12595</v>
      </c>
      <c r="B6138" s="8">
        <v>403.125</v>
      </c>
      <c r="C6138" s="8">
        <v>20.478950000000001</v>
      </c>
      <c r="D6138" s="8">
        <v>83</v>
      </c>
      <c r="E6138" s="8">
        <v>0</v>
      </c>
      <c r="F6138" s="8">
        <v>0</v>
      </c>
      <c r="G6138" s="8">
        <v>27</v>
      </c>
      <c r="H6138" s="8" t="s">
        <v>12596</v>
      </c>
      <c r="I6138" s="8">
        <v>529.125</v>
      </c>
      <c r="J6138" s="3">
        <f t="shared" si="95"/>
        <v>43747.92252644676</v>
      </c>
    </row>
    <row r="6139" spans="1:10" x14ac:dyDescent="0.25">
      <c r="A6139" s="5" t="s">
        <v>12597</v>
      </c>
      <c r="B6139" s="6">
        <v>403.125</v>
      </c>
      <c r="C6139" s="6">
        <v>20.478950000000001</v>
      </c>
      <c r="D6139" s="6">
        <v>83</v>
      </c>
      <c r="E6139" s="6">
        <v>0</v>
      </c>
      <c r="F6139" s="6">
        <v>0</v>
      </c>
      <c r="G6139" s="6">
        <v>28</v>
      </c>
      <c r="H6139" s="6" t="s">
        <v>12598</v>
      </c>
      <c r="I6139" s="6">
        <v>529.875</v>
      </c>
      <c r="J6139" s="2">
        <f t="shared" si="95"/>
        <v>43747.922603101848</v>
      </c>
    </row>
    <row r="6140" spans="1:10" x14ac:dyDescent="0.25">
      <c r="A6140" s="7" t="s">
        <v>12599</v>
      </c>
      <c r="B6140" s="8">
        <v>403.125</v>
      </c>
      <c r="C6140" s="8">
        <v>20.478950000000001</v>
      </c>
      <c r="D6140" s="8">
        <v>83</v>
      </c>
      <c r="E6140" s="8">
        <v>0</v>
      </c>
      <c r="F6140" s="8">
        <v>0</v>
      </c>
      <c r="G6140" s="8">
        <v>20</v>
      </c>
      <c r="H6140" s="8" t="s">
        <v>12600</v>
      </c>
      <c r="I6140" s="8">
        <v>529.875</v>
      </c>
      <c r="J6140" s="3">
        <f t="shared" si="95"/>
        <v>43747.922688495368</v>
      </c>
    </row>
    <row r="6141" spans="1:10" x14ac:dyDescent="0.25">
      <c r="A6141" s="5" t="s">
        <v>12601</v>
      </c>
      <c r="B6141" s="6">
        <v>400</v>
      </c>
      <c r="C6141" s="6">
        <v>20.478950000000001</v>
      </c>
      <c r="D6141" s="6">
        <v>82</v>
      </c>
      <c r="E6141" s="6">
        <v>0</v>
      </c>
      <c r="F6141" s="6">
        <v>0</v>
      </c>
      <c r="G6141" s="6">
        <v>23</v>
      </c>
      <c r="H6141" s="6" t="s">
        <v>12602</v>
      </c>
      <c r="I6141" s="6">
        <v>528.9375</v>
      </c>
      <c r="J6141" s="2">
        <f t="shared" si="95"/>
        <v>43747.922769803241</v>
      </c>
    </row>
    <row r="6142" spans="1:10" x14ac:dyDescent="0.25">
      <c r="A6142" s="7" t="s">
        <v>12603</v>
      </c>
      <c r="B6142" s="8">
        <v>403.125</v>
      </c>
      <c r="C6142" s="8">
        <v>20.478950000000001</v>
      </c>
      <c r="D6142" s="8">
        <v>82</v>
      </c>
      <c r="E6142" s="8">
        <v>0</v>
      </c>
      <c r="F6142" s="8">
        <v>0</v>
      </c>
      <c r="G6142" s="8">
        <v>27</v>
      </c>
      <c r="H6142" s="8" t="s">
        <v>12604</v>
      </c>
      <c r="I6142" s="8">
        <v>529.125</v>
      </c>
      <c r="J6142" s="3">
        <f t="shared" si="95"/>
        <v>43747.9228530787</v>
      </c>
    </row>
    <row r="6143" spans="1:10" x14ac:dyDescent="0.25">
      <c r="A6143" s="5" t="s">
        <v>12605</v>
      </c>
      <c r="B6143" s="6">
        <v>403.125</v>
      </c>
      <c r="C6143" s="6">
        <v>20.478950000000001</v>
      </c>
      <c r="D6143" s="6">
        <v>81</v>
      </c>
      <c r="E6143" s="6">
        <v>0</v>
      </c>
      <c r="F6143" s="6">
        <v>0</v>
      </c>
      <c r="G6143" s="6">
        <v>25</v>
      </c>
      <c r="H6143" s="6" t="s">
        <v>12606</v>
      </c>
      <c r="I6143" s="6">
        <v>529.125</v>
      </c>
      <c r="J6143" s="2">
        <f t="shared" si="95"/>
        <v>43747.922924606479</v>
      </c>
    </row>
    <row r="6144" spans="1:10" x14ac:dyDescent="0.25">
      <c r="A6144" s="7" t="s">
        <v>12607</v>
      </c>
      <c r="B6144" s="8">
        <v>403.125</v>
      </c>
      <c r="C6144" s="8">
        <v>20.478950000000001</v>
      </c>
      <c r="D6144" s="8">
        <v>81</v>
      </c>
      <c r="E6144" s="8">
        <v>0</v>
      </c>
      <c r="F6144" s="8">
        <v>0</v>
      </c>
      <c r="G6144" s="8">
        <v>24</v>
      </c>
      <c r="H6144" s="8" t="s">
        <v>12608</v>
      </c>
      <c r="I6144" s="8">
        <v>529.125</v>
      </c>
      <c r="J6144" s="3">
        <f t="shared" si="95"/>
        <v>43747.922996631947</v>
      </c>
    </row>
    <row r="6145" spans="1:10" x14ac:dyDescent="0.25">
      <c r="A6145" s="5" t="s">
        <v>12609</v>
      </c>
      <c r="B6145" s="6">
        <v>400</v>
      </c>
      <c r="C6145" s="6">
        <v>20.478950000000001</v>
      </c>
      <c r="D6145" s="6">
        <v>81</v>
      </c>
      <c r="E6145" s="6">
        <v>0</v>
      </c>
      <c r="F6145" s="6">
        <v>0</v>
      </c>
      <c r="G6145" s="6">
        <v>17</v>
      </c>
      <c r="H6145" s="6" t="s">
        <v>12610</v>
      </c>
      <c r="I6145" s="6">
        <v>528.9375</v>
      </c>
      <c r="J6145" s="2">
        <f t="shared" si="95"/>
        <v>43747.92306793981</v>
      </c>
    </row>
    <row r="6146" spans="1:10" x14ac:dyDescent="0.25">
      <c r="A6146" s="7" t="s">
        <v>12611</v>
      </c>
      <c r="B6146" s="8">
        <v>403.125</v>
      </c>
      <c r="C6146" s="8">
        <v>20.478950000000001</v>
      </c>
      <c r="D6146" s="8">
        <v>80</v>
      </c>
      <c r="E6146" s="8">
        <v>0</v>
      </c>
      <c r="F6146" s="8">
        <v>0</v>
      </c>
      <c r="G6146" s="8">
        <v>32</v>
      </c>
      <c r="H6146" s="8" t="s">
        <v>12612</v>
      </c>
      <c r="I6146" s="8">
        <v>529.125</v>
      </c>
      <c r="J6146" s="3">
        <f t="shared" ref="J6146:J6209" si="96">(H6146/86400000)+25569+(7/24)</f>
        <v>43747.923139247687</v>
      </c>
    </row>
    <row r="6147" spans="1:10" x14ac:dyDescent="0.25">
      <c r="A6147" s="5" t="s">
        <v>12613</v>
      </c>
      <c r="B6147" s="6">
        <v>403.125</v>
      </c>
      <c r="C6147" s="6">
        <v>20.478950000000001</v>
      </c>
      <c r="D6147" s="6">
        <v>81</v>
      </c>
      <c r="E6147" s="6">
        <v>0</v>
      </c>
      <c r="F6147" s="6">
        <v>0</v>
      </c>
      <c r="G6147" s="6">
        <v>22</v>
      </c>
      <c r="H6147" s="6" t="s">
        <v>12614</v>
      </c>
      <c r="I6147" s="6">
        <v>529.875</v>
      </c>
      <c r="J6147" s="2">
        <f t="shared" si="96"/>
        <v>43747.923223483791</v>
      </c>
    </row>
    <row r="6148" spans="1:10" x14ac:dyDescent="0.25">
      <c r="A6148" s="7" t="s">
        <v>12615</v>
      </c>
      <c r="B6148" s="8">
        <v>403.125</v>
      </c>
      <c r="C6148" s="8">
        <v>20.478950000000001</v>
      </c>
      <c r="D6148" s="8">
        <v>81</v>
      </c>
      <c r="E6148" s="8">
        <v>0</v>
      </c>
      <c r="F6148" s="8">
        <v>0</v>
      </c>
      <c r="G6148" s="8">
        <v>26</v>
      </c>
      <c r="H6148" s="8" t="s">
        <v>12616</v>
      </c>
      <c r="I6148" s="8">
        <v>529.875</v>
      </c>
      <c r="J6148" s="3">
        <f t="shared" si="96"/>
        <v>43747.923294791668</v>
      </c>
    </row>
    <row r="6149" spans="1:10" x14ac:dyDescent="0.25">
      <c r="A6149" s="5" t="s">
        <v>12617</v>
      </c>
      <c r="B6149" s="6">
        <v>406.25</v>
      </c>
      <c r="C6149" s="6">
        <v>20.478950000000001</v>
      </c>
      <c r="D6149" s="6">
        <v>82</v>
      </c>
      <c r="E6149" s="6">
        <v>0</v>
      </c>
      <c r="F6149" s="6">
        <v>0</v>
      </c>
      <c r="G6149" s="6">
        <v>24</v>
      </c>
      <c r="H6149" s="6" t="s">
        <v>12618</v>
      </c>
      <c r="I6149" s="6">
        <v>530.625</v>
      </c>
      <c r="J6149" s="2">
        <f t="shared" si="96"/>
        <v>43747.923366099531</v>
      </c>
    </row>
    <row r="6150" spans="1:10" x14ac:dyDescent="0.25">
      <c r="A6150" s="7" t="s">
        <v>12619</v>
      </c>
      <c r="B6150" s="8">
        <v>406.25</v>
      </c>
      <c r="C6150" s="8">
        <v>20.478950000000001</v>
      </c>
      <c r="D6150" s="8">
        <v>82</v>
      </c>
      <c r="E6150" s="8">
        <v>0</v>
      </c>
      <c r="F6150" s="8">
        <v>0</v>
      </c>
      <c r="G6150" s="8">
        <v>18</v>
      </c>
      <c r="H6150" s="8" t="s">
        <v>12620</v>
      </c>
      <c r="I6150" s="8">
        <v>530.8125</v>
      </c>
      <c r="J6150" s="3">
        <f t="shared" si="96"/>
        <v>43747.923437453697</v>
      </c>
    </row>
    <row r="6151" spans="1:10" x14ac:dyDescent="0.25">
      <c r="A6151" s="5" t="s">
        <v>12621</v>
      </c>
      <c r="B6151" s="6">
        <v>409.375</v>
      </c>
      <c r="C6151" s="6">
        <v>20.478950000000001</v>
      </c>
      <c r="D6151" s="6">
        <v>82</v>
      </c>
      <c r="E6151" s="6">
        <v>0</v>
      </c>
      <c r="F6151" s="6">
        <v>0</v>
      </c>
      <c r="G6151" s="6">
        <v>19</v>
      </c>
      <c r="H6151" s="6" t="s">
        <v>12622</v>
      </c>
      <c r="I6151" s="6">
        <v>531.5625</v>
      </c>
      <c r="J6151" s="2">
        <f t="shared" si="96"/>
        <v>43747.923509618056</v>
      </c>
    </row>
    <row r="6152" spans="1:10" x14ac:dyDescent="0.25">
      <c r="A6152" s="7" t="s">
        <v>12623</v>
      </c>
      <c r="B6152" s="8">
        <v>412.5</v>
      </c>
      <c r="C6152" s="8">
        <v>20.478950000000001</v>
      </c>
      <c r="D6152" s="8">
        <v>84</v>
      </c>
      <c r="E6152" s="8">
        <v>0</v>
      </c>
      <c r="F6152" s="8">
        <v>0</v>
      </c>
      <c r="G6152" s="8">
        <v>18</v>
      </c>
      <c r="H6152" s="8" t="s">
        <v>12624</v>
      </c>
      <c r="I6152" s="8">
        <v>532.3125</v>
      </c>
      <c r="J6152" s="3">
        <f t="shared" si="96"/>
        <v>43747.923580949071</v>
      </c>
    </row>
    <row r="6153" spans="1:10" x14ac:dyDescent="0.25">
      <c r="A6153" s="5" t="s">
        <v>12625</v>
      </c>
      <c r="B6153" s="6">
        <v>412.5</v>
      </c>
      <c r="C6153" s="6">
        <v>20.478950000000001</v>
      </c>
      <c r="D6153" s="6">
        <v>85</v>
      </c>
      <c r="E6153" s="6">
        <v>0</v>
      </c>
      <c r="F6153" s="6">
        <v>0</v>
      </c>
      <c r="G6153" s="6">
        <v>21</v>
      </c>
      <c r="H6153" s="6" t="s">
        <v>12626</v>
      </c>
      <c r="I6153" s="6">
        <v>532.3125</v>
      </c>
      <c r="J6153" s="2">
        <f t="shared" si="96"/>
        <v>43747.923652187499</v>
      </c>
    </row>
    <row r="6154" spans="1:10" x14ac:dyDescent="0.25">
      <c r="A6154" s="7" t="s">
        <v>12627</v>
      </c>
      <c r="B6154" s="8">
        <v>412.5</v>
      </c>
      <c r="C6154" s="8">
        <v>20.478950000000001</v>
      </c>
      <c r="D6154" s="8">
        <v>85</v>
      </c>
      <c r="E6154" s="8">
        <v>0</v>
      </c>
      <c r="F6154" s="8">
        <v>0</v>
      </c>
      <c r="G6154" s="8">
        <v>23</v>
      </c>
      <c r="H6154" s="8" t="s">
        <v>12628</v>
      </c>
      <c r="I6154" s="8">
        <v>532.3125</v>
      </c>
      <c r="J6154" s="3">
        <f t="shared" si="96"/>
        <v>43747.923724247681</v>
      </c>
    </row>
    <row r="6155" spans="1:10" x14ac:dyDescent="0.25">
      <c r="A6155" s="5" t="s">
        <v>12629</v>
      </c>
      <c r="B6155" s="6">
        <v>412.5</v>
      </c>
      <c r="C6155" s="6">
        <v>20.478950000000001</v>
      </c>
      <c r="D6155" s="6">
        <v>85</v>
      </c>
      <c r="E6155" s="6">
        <v>0</v>
      </c>
      <c r="F6155" s="6">
        <v>0</v>
      </c>
      <c r="G6155" s="6">
        <v>23</v>
      </c>
      <c r="H6155" s="6" t="s">
        <v>12630</v>
      </c>
      <c r="I6155" s="6">
        <v>532.3125</v>
      </c>
      <c r="J6155" s="2">
        <f t="shared" si="96"/>
        <v>43747.923795671297</v>
      </c>
    </row>
    <row r="6156" spans="1:10" x14ac:dyDescent="0.25">
      <c r="A6156" s="7" t="s">
        <v>12631</v>
      </c>
      <c r="B6156" s="8">
        <v>412.5</v>
      </c>
      <c r="C6156" s="8">
        <v>20.478950000000001</v>
      </c>
      <c r="D6156" s="8">
        <v>85</v>
      </c>
      <c r="E6156" s="8">
        <v>0</v>
      </c>
      <c r="F6156" s="8">
        <v>0</v>
      </c>
      <c r="G6156" s="8">
        <v>23</v>
      </c>
      <c r="H6156" s="8" t="s">
        <v>12632</v>
      </c>
      <c r="I6156" s="8">
        <v>532.3125</v>
      </c>
      <c r="J6156" s="3">
        <f t="shared" si="96"/>
        <v>43747.923891076389</v>
      </c>
    </row>
    <row r="6157" spans="1:10" x14ac:dyDescent="0.25">
      <c r="A6157" s="5" t="s">
        <v>12633</v>
      </c>
      <c r="B6157" s="6">
        <v>446.875</v>
      </c>
      <c r="C6157" s="6">
        <v>20.478950000000001</v>
      </c>
      <c r="D6157" s="6">
        <v>85</v>
      </c>
      <c r="E6157" s="6">
        <v>0</v>
      </c>
      <c r="F6157" s="6">
        <v>0</v>
      </c>
      <c r="G6157" s="6">
        <v>28</v>
      </c>
      <c r="H6157" s="6" t="s">
        <v>12634</v>
      </c>
      <c r="I6157" s="6">
        <v>543.375</v>
      </c>
      <c r="J6157" s="2">
        <f t="shared" si="96"/>
        <v>43747.923962395835</v>
      </c>
    </row>
    <row r="6158" spans="1:10" x14ac:dyDescent="0.25">
      <c r="A6158" s="7" t="s">
        <v>12635</v>
      </c>
      <c r="B6158" s="8">
        <v>412.5</v>
      </c>
      <c r="C6158" s="8">
        <v>20.478950000000001</v>
      </c>
      <c r="D6158" s="8">
        <v>81</v>
      </c>
      <c r="E6158" s="8">
        <v>0</v>
      </c>
      <c r="F6158" s="8">
        <v>0</v>
      </c>
      <c r="G6158" s="8">
        <v>22</v>
      </c>
      <c r="H6158" s="8" t="s">
        <v>12636</v>
      </c>
      <c r="I6158" s="8">
        <v>532.3125</v>
      </c>
      <c r="J6158" s="3">
        <f t="shared" si="96"/>
        <v>43747.924033680552</v>
      </c>
    </row>
    <row r="6159" spans="1:10" x14ac:dyDescent="0.25">
      <c r="A6159" s="5" t="s">
        <v>12637</v>
      </c>
      <c r="B6159" s="6">
        <v>412.5</v>
      </c>
      <c r="C6159" s="6">
        <v>20.478950000000001</v>
      </c>
      <c r="D6159" s="6">
        <v>83</v>
      </c>
      <c r="E6159" s="6">
        <v>0</v>
      </c>
      <c r="F6159" s="6">
        <v>0</v>
      </c>
      <c r="G6159" s="6">
        <v>24</v>
      </c>
      <c r="H6159" s="6" t="s">
        <v>12638</v>
      </c>
      <c r="I6159" s="6">
        <v>532.3125</v>
      </c>
      <c r="J6159" s="2">
        <f t="shared" si="96"/>
        <v>43747.924105902777</v>
      </c>
    </row>
    <row r="6160" spans="1:10" x14ac:dyDescent="0.25">
      <c r="A6160" s="7" t="s">
        <v>12639</v>
      </c>
      <c r="B6160" s="8">
        <v>415.625</v>
      </c>
      <c r="C6160" s="8">
        <v>20.478950000000001</v>
      </c>
      <c r="D6160" s="8">
        <v>83</v>
      </c>
      <c r="E6160" s="8">
        <v>0</v>
      </c>
      <c r="F6160" s="8">
        <v>0</v>
      </c>
      <c r="G6160" s="8">
        <v>21</v>
      </c>
      <c r="H6160" s="8" t="s">
        <v>12640</v>
      </c>
      <c r="I6160" s="8">
        <v>533.0625</v>
      </c>
      <c r="J6160" s="3">
        <f t="shared" si="96"/>
        <v>43747.924177210647</v>
      </c>
    </row>
    <row r="6161" spans="1:10" x14ac:dyDescent="0.25">
      <c r="A6161" s="5" t="s">
        <v>12641</v>
      </c>
      <c r="B6161" s="6">
        <v>415.625</v>
      </c>
      <c r="C6161" s="6">
        <v>20.478950000000001</v>
      </c>
      <c r="D6161" s="6">
        <v>83</v>
      </c>
      <c r="E6161" s="6">
        <v>0</v>
      </c>
      <c r="F6161" s="6">
        <v>0</v>
      </c>
      <c r="G6161" s="6">
        <v>19</v>
      </c>
      <c r="H6161" s="6" t="s">
        <v>12642</v>
      </c>
      <c r="I6161" s="6">
        <v>533.0625</v>
      </c>
      <c r="J6161" s="2">
        <f t="shared" si="96"/>
        <v>43747.924260543979</v>
      </c>
    </row>
    <row r="6162" spans="1:10" x14ac:dyDescent="0.25">
      <c r="A6162" s="7" t="s">
        <v>12643</v>
      </c>
      <c r="B6162" s="8">
        <v>415.625</v>
      </c>
      <c r="C6162" s="8">
        <v>20.478950000000001</v>
      </c>
      <c r="D6162" s="8">
        <v>83</v>
      </c>
      <c r="E6162" s="8">
        <v>0</v>
      </c>
      <c r="F6162" s="8">
        <v>0</v>
      </c>
      <c r="G6162" s="8">
        <v>20</v>
      </c>
      <c r="H6162" s="8" t="s">
        <v>12644</v>
      </c>
      <c r="I6162" s="8">
        <v>533.0625</v>
      </c>
      <c r="J6162" s="3">
        <f t="shared" si="96"/>
        <v>43747.924343877312</v>
      </c>
    </row>
    <row r="6163" spans="1:10" x14ac:dyDescent="0.25">
      <c r="A6163" s="5" t="s">
        <v>12645</v>
      </c>
      <c r="B6163" s="6">
        <v>415.625</v>
      </c>
      <c r="C6163" s="6">
        <v>20.478950000000001</v>
      </c>
      <c r="D6163" s="6">
        <v>83</v>
      </c>
      <c r="E6163" s="6">
        <v>0</v>
      </c>
      <c r="F6163" s="6">
        <v>0</v>
      </c>
      <c r="G6163" s="6">
        <v>21</v>
      </c>
      <c r="H6163" s="6" t="s">
        <v>12646</v>
      </c>
      <c r="I6163" s="6">
        <v>533.0625</v>
      </c>
      <c r="J6163" s="2">
        <f t="shared" si="96"/>
        <v>43747.924415243055</v>
      </c>
    </row>
    <row r="6164" spans="1:10" x14ac:dyDescent="0.25">
      <c r="A6164" s="7" t="s">
        <v>12647</v>
      </c>
      <c r="B6164" s="8">
        <v>443.75</v>
      </c>
      <c r="C6164" s="8">
        <v>20.478950000000001</v>
      </c>
      <c r="D6164" s="8">
        <v>83</v>
      </c>
      <c r="E6164" s="8">
        <v>0</v>
      </c>
      <c r="F6164" s="8">
        <v>0</v>
      </c>
      <c r="G6164" s="8">
        <v>27</v>
      </c>
      <c r="H6164" s="8" t="s">
        <v>12648</v>
      </c>
      <c r="I6164" s="8">
        <v>542.25</v>
      </c>
      <c r="J6164" s="3">
        <f t="shared" si="96"/>
        <v>43747.924487384262</v>
      </c>
    </row>
    <row r="6165" spans="1:10" x14ac:dyDescent="0.25">
      <c r="A6165" s="5" t="s">
        <v>12649</v>
      </c>
      <c r="B6165" s="6">
        <v>415.625</v>
      </c>
      <c r="C6165" s="6">
        <v>20.478950000000001</v>
      </c>
      <c r="D6165" s="6">
        <v>83</v>
      </c>
      <c r="E6165" s="6">
        <v>0</v>
      </c>
      <c r="F6165" s="6">
        <v>0</v>
      </c>
      <c r="G6165" s="6">
        <v>20</v>
      </c>
      <c r="H6165" s="6" t="s">
        <v>12650</v>
      </c>
      <c r="I6165" s="6">
        <v>533.8125</v>
      </c>
      <c r="J6165" s="2">
        <f t="shared" si="96"/>
        <v>43747.924558668979</v>
      </c>
    </row>
    <row r="6166" spans="1:10" x14ac:dyDescent="0.25">
      <c r="A6166" s="7" t="s">
        <v>12651</v>
      </c>
      <c r="B6166" s="8">
        <v>415.625</v>
      </c>
      <c r="C6166" s="8">
        <v>20.478950000000001</v>
      </c>
      <c r="D6166" s="8">
        <v>83</v>
      </c>
      <c r="E6166" s="8">
        <v>0</v>
      </c>
      <c r="F6166" s="8">
        <v>0</v>
      </c>
      <c r="G6166" s="8">
        <v>29</v>
      </c>
      <c r="H6166" s="8" t="s">
        <v>12652</v>
      </c>
      <c r="I6166" s="8">
        <v>533.8125</v>
      </c>
      <c r="J6166" s="3">
        <f t="shared" si="96"/>
        <v>43747.924630000001</v>
      </c>
    </row>
    <row r="6167" spans="1:10" x14ac:dyDescent="0.25">
      <c r="A6167" s="5" t="s">
        <v>12653</v>
      </c>
      <c r="B6167" s="6">
        <v>418.75</v>
      </c>
      <c r="C6167" s="6">
        <v>20.478950000000001</v>
      </c>
      <c r="D6167" s="6">
        <v>82</v>
      </c>
      <c r="E6167" s="6">
        <v>0</v>
      </c>
      <c r="F6167" s="6">
        <v>0</v>
      </c>
      <c r="G6167" s="6">
        <v>28</v>
      </c>
      <c r="H6167" s="6" t="s">
        <v>12654</v>
      </c>
      <c r="I6167" s="6">
        <v>534</v>
      </c>
      <c r="J6167" s="2">
        <f t="shared" si="96"/>
        <v>43747.924702013886</v>
      </c>
    </row>
    <row r="6168" spans="1:10" x14ac:dyDescent="0.25">
      <c r="A6168" s="7" t="s">
        <v>12655</v>
      </c>
      <c r="B6168" s="8">
        <v>415.625</v>
      </c>
      <c r="C6168" s="8">
        <v>20.478950000000001</v>
      </c>
      <c r="D6168" s="8">
        <v>82</v>
      </c>
      <c r="E6168" s="8">
        <v>0</v>
      </c>
      <c r="F6168" s="8">
        <v>0</v>
      </c>
      <c r="G6168" s="8">
        <v>26</v>
      </c>
      <c r="H6168" s="8" t="s">
        <v>12656</v>
      </c>
      <c r="I6168" s="8">
        <v>533.8125</v>
      </c>
      <c r="J6168" s="3">
        <f t="shared" si="96"/>
        <v>43747.924785462958</v>
      </c>
    </row>
    <row r="6169" spans="1:10" x14ac:dyDescent="0.25">
      <c r="A6169" s="5" t="s">
        <v>12657</v>
      </c>
      <c r="B6169" s="6">
        <v>418.75</v>
      </c>
      <c r="C6169" s="6">
        <v>20.478950000000001</v>
      </c>
      <c r="D6169" s="6">
        <v>82</v>
      </c>
      <c r="E6169" s="6">
        <v>0</v>
      </c>
      <c r="F6169" s="6">
        <v>0</v>
      </c>
      <c r="G6169" s="6">
        <v>10</v>
      </c>
      <c r="H6169" s="6" t="s">
        <v>12658</v>
      </c>
      <c r="I6169" s="6">
        <v>534</v>
      </c>
      <c r="J6169" s="2">
        <f t="shared" si="96"/>
        <v>43747.924868807873</v>
      </c>
    </row>
    <row r="6170" spans="1:10" x14ac:dyDescent="0.25">
      <c r="A6170" s="7" t="s">
        <v>12659</v>
      </c>
      <c r="B6170" s="8">
        <v>415.625</v>
      </c>
      <c r="C6170" s="8">
        <v>20.478950000000001</v>
      </c>
      <c r="D6170" s="8">
        <v>83</v>
      </c>
      <c r="E6170" s="8">
        <v>0</v>
      </c>
      <c r="F6170" s="8">
        <v>0</v>
      </c>
      <c r="G6170" s="8">
        <v>23</v>
      </c>
      <c r="H6170" s="8" t="s">
        <v>12660</v>
      </c>
      <c r="I6170" s="8">
        <v>533.0625</v>
      </c>
      <c r="J6170" s="3">
        <f t="shared" si="96"/>
        <v>43747.924952129622</v>
      </c>
    </row>
    <row r="6171" spans="1:10" x14ac:dyDescent="0.25">
      <c r="A6171" s="5" t="s">
        <v>12661</v>
      </c>
      <c r="B6171" s="6">
        <v>412.5</v>
      </c>
      <c r="C6171" s="6">
        <v>20.478950000000001</v>
      </c>
      <c r="D6171" s="6">
        <v>83</v>
      </c>
      <c r="E6171" s="6">
        <v>0</v>
      </c>
      <c r="F6171" s="6">
        <v>0</v>
      </c>
      <c r="G6171" s="6">
        <v>20</v>
      </c>
      <c r="H6171" s="6" t="s">
        <v>12662</v>
      </c>
      <c r="I6171" s="6">
        <v>532.3125</v>
      </c>
      <c r="J6171" s="2">
        <f t="shared" si="96"/>
        <v>43747.925035520828</v>
      </c>
    </row>
    <row r="6172" spans="1:10" x14ac:dyDescent="0.25">
      <c r="A6172" s="7" t="s">
        <v>12663</v>
      </c>
      <c r="B6172" s="8">
        <v>412.5</v>
      </c>
      <c r="C6172" s="8">
        <v>20.478950000000001</v>
      </c>
      <c r="D6172" s="8">
        <v>82</v>
      </c>
      <c r="E6172" s="8">
        <v>0</v>
      </c>
      <c r="F6172" s="8">
        <v>0</v>
      </c>
      <c r="G6172" s="8">
        <v>24</v>
      </c>
      <c r="H6172" s="8" t="s">
        <v>12664</v>
      </c>
      <c r="I6172" s="8">
        <v>532.3125</v>
      </c>
      <c r="J6172" s="3">
        <f t="shared" si="96"/>
        <v>43747.925106886571</v>
      </c>
    </row>
    <row r="6173" spans="1:10" x14ac:dyDescent="0.25">
      <c r="A6173" s="5" t="s">
        <v>12665</v>
      </c>
      <c r="B6173" s="6">
        <v>406.25</v>
      </c>
      <c r="C6173" s="6">
        <v>20.478950000000001</v>
      </c>
      <c r="D6173" s="6">
        <v>79</v>
      </c>
      <c r="E6173" s="6">
        <v>0</v>
      </c>
      <c r="F6173" s="6">
        <v>0</v>
      </c>
      <c r="G6173" s="6">
        <v>0</v>
      </c>
      <c r="H6173" s="6" t="s">
        <v>12666</v>
      </c>
      <c r="I6173" s="6">
        <v>530.8125</v>
      </c>
      <c r="J6173" s="2">
        <f t="shared" si="96"/>
        <v>43747.925417025464</v>
      </c>
    </row>
    <row r="6174" spans="1:10" x14ac:dyDescent="0.25">
      <c r="A6174" s="7" t="s">
        <v>12667</v>
      </c>
      <c r="B6174" s="8">
        <v>406.25</v>
      </c>
      <c r="C6174" s="8">
        <v>20.478950000000001</v>
      </c>
      <c r="D6174" s="8">
        <v>78</v>
      </c>
      <c r="E6174" s="8">
        <v>0</v>
      </c>
      <c r="F6174" s="8">
        <v>0</v>
      </c>
      <c r="G6174" s="8">
        <v>0</v>
      </c>
      <c r="H6174" s="8" t="s">
        <v>12668</v>
      </c>
      <c r="I6174" s="8">
        <v>530.625</v>
      </c>
      <c r="J6174" s="3">
        <f t="shared" si="96"/>
        <v>43747.925494826392</v>
      </c>
    </row>
    <row r="6175" spans="1:10" x14ac:dyDescent="0.25">
      <c r="A6175" s="5" t="s">
        <v>12669</v>
      </c>
      <c r="B6175" s="6">
        <v>406.25</v>
      </c>
      <c r="C6175" s="6">
        <v>20.478950000000001</v>
      </c>
      <c r="D6175" s="6">
        <v>80</v>
      </c>
      <c r="E6175" s="6">
        <v>0</v>
      </c>
      <c r="F6175" s="6">
        <v>0</v>
      </c>
      <c r="G6175" s="6">
        <v>0</v>
      </c>
      <c r="H6175" s="6" t="s">
        <v>12670</v>
      </c>
      <c r="I6175" s="6">
        <v>530.625</v>
      </c>
      <c r="J6175" s="2">
        <f t="shared" si="96"/>
        <v>43747.925566481477</v>
      </c>
    </row>
    <row r="6176" spans="1:10" x14ac:dyDescent="0.25">
      <c r="A6176" s="7" t="s">
        <v>12671</v>
      </c>
      <c r="B6176" s="8">
        <v>406.25</v>
      </c>
      <c r="C6176" s="8">
        <v>20.478950000000001</v>
      </c>
      <c r="D6176" s="8">
        <v>80</v>
      </c>
      <c r="E6176" s="8">
        <v>0</v>
      </c>
      <c r="F6176" s="8">
        <v>0</v>
      </c>
      <c r="G6176" s="8">
        <v>0</v>
      </c>
      <c r="H6176" s="8" t="s">
        <v>12672</v>
      </c>
      <c r="I6176" s="8">
        <v>530.625</v>
      </c>
      <c r="J6176" s="3">
        <f t="shared" si="96"/>
        <v>43747.92563824074</v>
      </c>
    </row>
    <row r="6177" spans="1:10" x14ac:dyDescent="0.25">
      <c r="A6177" s="5" t="s">
        <v>12673</v>
      </c>
      <c r="B6177" s="6">
        <v>425</v>
      </c>
      <c r="C6177" s="6">
        <v>20.478950000000001</v>
      </c>
      <c r="D6177" s="6">
        <v>80</v>
      </c>
      <c r="E6177" s="6">
        <v>0</v>
      </c>
      <c r="F6177" s="6">
        <v>0</v>
      </c>
      <c r="G6177" s="6">
        <v>4</v>
      </c>
      <c r="H6177" s="6" t="s">
        <v>12674</v>
      </c>
      <c r="I6177" s="6">
        <v>536.625</v>
      </c>
      <c r="J6177" s="2">
        <f t="shared" si="96"/>
        <v>43747.925709513882</v>
      </c>
    </row>
    <row r="6178" spans="1:10" x14ac:dyDescent="0.25">
      <c r="A6178" s="7" t="s">
        <v>12675</v>
      </c>
      <c r="B6178" s="8">
        <v>406.25</v>
      </c>
      <c r="C6178" s="8">
        <v>20.478950000000001</v>
      </c>
      <c r="D6178" s="8">
        <v>80</v>
      </c>
      <c r="E6178" s="8">
        <v>0</v>
      </c>
      <c r="F6178" s="8">
        <v>0</v>
      </c>
      <c r="G6178" s="8">
        <v>7</v>
      </c>
      <c r="H6178" s="8" t="s">
        <v>12676</v>
      </c>
      <c r="I6178" s="8">
        <v>530.625</v>
      </c>
      <c r="J6178" s="3">
        <f t="shared" si="96"/>
        <v>43747.925781759252</v>
      </c>
    </row>
    <row r="6179" spans="1:10" x14ac:dyDescent="0.25">
      <c r="A6179" s="5" t="s">
        <v>12677</v>
      </c>
      <c r="B6179" s="6">
        <v>406.25</v>
      </c>
      <c r="C6179" s="6">
        <v>20.478950000000001</v>
      </c>
      <c r="D6179" s="6">
        <v>80</v>
      </c>
      <c r="E6179" s="6">
        <v>0</v>
      </c>
      <c r="F6179" s="6">
        <v>0</v>
      </c>
      <c r="G6179" s="6">
        <v>0</v>
      </c>
      <c r="H6179" s="6" t="s">
        <v>12678</v>
      </c>
      <c r="I6179" s="6">
        <v>530.625</v>
      </c>
      <c r="J6179" s="2">
        <f t="shared" si="96"/>
        <v>43747.925853067129</v>
      </c>
    </row>
    <row r="6180" spans="1:10" x14ac:dyDescent="0.25">
      <c r="A6180" s="7" t="s">
        <v>12679</v>
      </c>
      <c r="B6180" s="8">
        <v>409.375</v>
      </c>
      <c r="C6180" s="8">
        <v>20.478950000000001</v>
      </c>
      <c r="D6180" s="8">
        <v>80</v>
      </c>
      <c r="E6180" s="8">
        <v>0</v>
      </c>
      <c r="F6180" s="8">
        <v>0</v>
      </c>
      <c r="G6180" s="8">
        <v>15</v>
      </c>
      <c r="H6180" s="8" t="s">
        <v>12680</v>
      </c>
      <c r="I6180" s="8">
        <v>531.375</v>
      </c>
      <c r="J6180" s="3">
        <f t="shared" si="96"/>
        <v>43747.925924293981</v>
      </c>
    </row>
    <row r="6181" spans="1:10" x14ac:dyDescent="0.25">
      <c r="A6181" s="5" t="s">
        <v>12681</v>
      </c>
      <c r="B6181" s="6">
        <v>409.375</v>
      </c>
      <c r="C6181" s="6">
        <v>20.478950000000001</v>
      </c>
      <c r="D6181" s="6">
        <v>79</v>
      </c>
      <c r="E6181" s="6">
        <v>0</v>
      </c>
      <c r="F6181" s="6">
        <v>0</v>
      </c>
      <c r="G6181" s="6">
        <v>12</v>
      </c>
      <c r="H6181" s="6" t="s">
        <v>12682</v>
      </c>
      <c r="I6181" s="6">
        <v>531.375</v>
      </c>
      <c r="J6181" s="2">
        <f t="shared" si="96"/>
        <v>43747.925996388884</v>
      </c>
    </row>
    <row r="6182" spans="1:10" x14ac:dyDescent="0.25">
      <c r="A6182" s="7" t="s">
        <v>12683</v>
      </c>
      <c r="B6182" s="8">
        <v>409.375</v>
      </c>
      <c r="C6182" s="8">
        <v>20.478950000000001</v>
      </c>
      <c r="D6182" s="8">
        <v>79</v>
      </c>
      <c r="E6182" s="8">
        <v>0</v>
      </c>
      <c r="F6182" s="8">
        <v>0</v>
      </c>
      <c r="G6182" s="8">
        <v>7</v>
      </c>
      <c r="H6182" s="8" t="s">
        <v>12684</v>
      </c>
      <c r="I6182" s="8">
        <v>531.5625</v>
      </c>
      <c r="J6182" s="3">
        <f t="shared" si="96"/>
        <v>43747.926066944441</v>
      </c>
    </row>
    <row r="6183" spans="1:10" x14ac:dyDescent="0.25">
      <c r="A6183" s="5" t="s">
        <v>12685</v>
      </c>
      <c r="B6183" s="6">
        <v>406.25</v>
      </c>
      <c r="C6183" s="6">
        <v>20.478950000000001</v>
      </c>
      <c r="D6183" s="6">
        <v>78</v>
      </c>
      <c r="E6183" s="6">
        <v>0</v>
      </c>
      <c r="F6183" s="6">
        <v>0</v>
      </c>
      <c r="G6183" s="6">
        <v>8</v>
      </c>
      <c r="H6183" s="6" t="s">
        <v>12686</v>
      </c>
      <c r="I6183" s="6">
        <v>530.625</v>
      </c>
      <c r="J6183" s="2">
        <f t="shared" si="96"/>
        <v>43747.92613915509</v>
      </c>
    </row>
    <row r="6184" spans="1:10" x14ac:dyDescent="0.25">
      <c r="A6184" s="7" t="s">
        <v>12687</v>
      </c>
      <c r="B6184" s="8">
        <v>406.25</v>
      </c>
      <c r="C6184" s="8">
        <v>20.478950000000001</v>
      </c>
      <c r="D6184" s="8">
        <v>78</v>
      </c>
      <c r="E6184" s="8">
        <v>0</v>
      </c>
      <c r="F6184" s="8">
        <v>0</v>
      </c>
      <c r="G6184" s="8">
        <v>11</v>
      </c>
      <c r="H6184" s="8" t="s">
        <v>12688</v>
      </c>
      <c r="I6184" s="8">
        <v>530.625</v>
      </c>
      <c r="J6184" s="3">
        <f t="shared" si="96"/>
        <v>43747.926210439815</v>
      </c>
    </row>
    <row r="6185" spans="1:10" x14ac:dyDescent="0.25">
      <c r="A6185" s="5" t="s">
        <v>12689</v>
      </c>
      <c r="B6185" s="6">
        <v>406.25</v>
      </c>
      <c r="C6185" s="6">
        <v>20.426300000000001</v>
      </c>
      <c r="D6185" s="6">
        <v>79</v>
      </c>
      <c r="E6185" s="6">
        <v>0</v>
      </c>
      <c r="F6185" s="6">
        <v>0</v>
      </c>
      <c r="G6185" s="6">
        <v>12</v>
      </c>
      <c r="H6185" s="6" t="s">
        <v>12690</v>
      </c>
      <c r="I6185" s="6">
        <v>530.8125</v>
      </c>
      <c r="J6185" s="2">
        <f t="shared" si="96"/>
        <v>43747.926282442124</v>
      </c>
    </row>
    <row r="6186" spans="1:10" x14ac:dyDescent="0.25">
      <c r="A6186" s="7" t="s">
        <v>12691</v>
      </c>
      <c r="B6186" s="8">
        <v>406.25</v>
      </c>
      <c r="C6186" s="8">
        <v>20.478950000000001</v>
      </c>
      <c r="D6186" s="8">
        <v>80</v>
      </c>
      <c r="E6186" s="8">
        <v>0</v>
      </c>
      <c r="F6186" s="8">
        <v>0</v>
      </c>
      <c r="G6186" s="8">
        <v>8</v>
      </c>
      <c r="H6186" s="8" t="s">
        <v>12692</v>
      </c>
      <c r="I6186" s="8">
        <v>530.625</v>
      </c>
      <c r="J6186" s="3">
        <f t="shared" si="96"/>
        <v>43747.926353981478</v>
      </c>
    </row>
    <row r="6187" spans="1:10" x14ac:dyDescent="0.25">
      <c r="A6187" s="5" t="s">
        <v>12693</v>
      </c>
      <c r="B6187" s="6">
        <v>403.125</v>
      </c>
      <c r="C6187" s="6">
        <v>20.478950000000001</v>
      </c>
      <c r="D6187" s="6">
        <v>80</v>
      </c>
      <c r="E6187" s="6">
        <v>0</v>
      </c>
      <c r="F6187" s="6">
        <v>0</v>
      </c>
      <c r="G6187" s="6">
        <v>9</v>
      </c>
      <c r="H6187" s="6" t="s">
        <v>12694</v>
      </c>
      <c r="I6187" s="6">
        <v>529.875</v>
      </c>
      <c r="J6187" s="2">
        <f t="shared" si="96"/>
        <v>43747.926425312493</v>
      </c>
    </row>
    <row r="6188" spans="1:10" x14ac:dyDescent="0.25">
      <c r="A6188" s="7" t="s">
        <v>12695</v>
      </c>
      <c r="B6188" s="8">
        <v>403.125</v>
      </c>
      <c r="C6188" s="8">
        <v>20.478950000000001</v>
      </c>
      <c r="D6188" s="8">
        <v>80</v>
      </c>
      <c r="E6188" s="8">
        <v>0</v>
      </c>
      <c r="F6188" s="8">
        <v>0</v>
      </c>
      <c r="G6188" s="8">
        <v>15</v>
      </c>
      <c r="H6188" s="8" t="s">
        <v>12696</v>
      </c>
      <c r="I6188" s="8">
        <v>529.875</v>
      </c>
      <c r="J6188" s="3">
        <f t="shared" si="96"/>
        <v>43747.926496550928</v>
      </c>
    </row>
    <row r="6189" spans="1:10" x14ac:dyDescent="0.25">
      <c r="A6189" s="5" t="s">
        <v>12697</v>
      </c>
      <c r="B6189" s="6">
        <v>403.125</v>
      </c>
      <c r="C6189" s="6">
        <v>20.478950000000001</v>
      </c>
      <c r="D6189" s="6">
        <v>81</v>
      </c>
      <c r="E6189" s="6">
        <v>0</v>
      </c>
      <c r="F6189" s="6">
        <v>0</v>
      </c>
      <c r="G6189" s="6">
        <v>17</v>
      </c>
      <c r="H6189" s="6" t="s">
        <v>12698</v>
      </c>
      <c r="I6189" s="6">
        <v>529.875</v>
      </c>
      <c r="J6189" s="2">
        <f t="shared" si="96"/>
        <v>43747.926568773146</v>
      </c>
    </row>
    <row r="6190" spans="1:10" x14ac:dyDescent="0.25">
      <c r="A6190" s="7" t="s">
        <v>12699</v>
      </c>
      <c r="B6190" s="8">
        <v>421.875</v>
      </c>
      <c r="C6190" s="8">
        <v>20.478950000000001</v>
      </c>
      <c r="D6190" s="8">
        <v>82</v>
      </c>
      <c r="E6190" s="8">
        <v>0</v>
      </c>
      <c r="F6190" s="8">
        <v>0</v>
      </c>
      <c r="G6190" s="8">
        <v>9</v>
      </c>
      <c r="H6190" s="8" t="s">
        <v>12700</v>
      </c>
      <c r="I6190" s="8">
        <v>535.875</v>
      </c>
      <c r="J6190" s="3">
        <f t="shared" si="96"/>
        <v>43747.926640081016</v>
      </c>
    </row>
    <row r="6191" spans="1:10" x14ac:dyDescent="0.25">
      <c r="A6191" s="5" t="s">
        <v>12701</v>
      </c>
      <c r="B6191" s="6">
        <v>406.25</v>
      </c>
      <c r="C6191" s="6">
        <v>20.478950000000001</v>
      </c>
      <c r="D6191" s="6">
        <v>83</v>
      </c>
      <c r="E6191" s="6">
        <v>0</v>
      </c>
      <c r="F6191" s="6">
        <v>0</v>
      </c>
      <c r="G6191" s="6">
        <v>12</v>
      </c>
      <c r="H6191" s="6" t="s">
        <v>12702</v>
      </c>
      <c r="I6191" s="6">
        <v>530.625</v>
      </c>
      <c r="J6191" s="2">
        <f t="shared" si="96"/>
        <v>43747.926711377317</v>
      </c>
    </row>
    <row r="6192" spans="1:10" x14ac:dyDescent="0.25">
      <c r="A6192" s="7" t="s">
        <v>12703</v>
      </c>
      <c r="B6192" s="8">
        <v>406.25</v>
      </c>
      <c r="C6192" s="8">
        <v>20.478950000000001</v>
      </c>
      <c r="D6192" s="8">
        <v>83</v>
      </c>
      <c r="E6192" s="8">
        <v>0</v>
      </c>
      <c r="F6192" s="8">
        <v>0</v>
      </c>
      <c r="G6192" s="8">
        <v>13</v>
      </c>
      <c r="H6192" s="8" t="s">
        <v>12704</v>
      </c>
      <c r="I6192" s="8">
        <v>530.625</v>
      </c>
      <c r="J6192" s="3">
        <f t="shared" si="96"/>
        <v>43747.92678282407</v>
      </c>
    </row>
    <row r="6193" spans="1:10" x14ac:dyDescent="0.25">
      <c r="A6193" s="5" t="s">
        <v>12705</v>
      </c>
      <c r="B6193" s="6">
        <v>403.125</v>
      </c>
      <c r="C6193" s="6">
        <v>20.478950000000001</v>
      </c>
      <c r="D6193" s="6">
        <v>82</v>
      </c>
      <c r="E6193" s="6">
        <v>0</v>
      </c>
      <c r="F6193" s="6">
        <v>0</v>
      </c>
      <c r="G6193" s="6">
        <v>7</v>
      </c>
      <c r="H6193" s="6" t="s">
        <v>12706</v>
      </c>
      <c r="I6193" s="6">
        <v>529.875</v>
      </c>
      <c r="J6193" s="2">
        <f t="shared" si="96"/>
        <v>43747.926855243051</v>
      </c>
    </row>
    <row r="6194" spans="1:10" x14ac:dyDescent="0.25">
      <c r="A6194" s="7" t="s">
        <v>12707</v>
      </c>
      <c r="B6194" s="8">
        <v>403.125</v>
      </c>
      <c r="C6194" s="8">
        <v>20.478950000000001</v>
      </c>
      <c r="D6194" s="8">
        <v>83</v>
      </c>
      <c r="E6194" s="8">
        <v>0</v>
      </c>
      <c r="F6194" s="8">
        <v>0</v>
      </c>
      <c r="G6194" s="8">
        <v>15</v>
      </c>
      <c r="H6194" s="8" t="s">
        <v>12708</v>
      </c>
      <c r="I6194" s="8">
        <v>529.875</v>
      </c>
      <c r="J6194" s="3">
        <f t="shared" si="96"/>
        <v>43747.926926192122</v>
      </c>
    </row>
    <row r="6195" spans="1:10" x14ac:dyDescent="0.25">
      <c r="A6195" s="5" t="s">
        <v>12709</v>
      </c>
      <c r="B6195" s="6">
        <v>403.125</v>
      </c>
      <c r="C6195" s="6">
        <v>20.478950000000001</v>
      </c>
      <c r="D6195" s="6">
        <v>82</v>
      </c>
      <c r="E6195" s="6">
        <v>0</v>
      </c>
      <c r="F6195" s="6">
        <v>0</v>
      </c>
      <c r="G6195" s="6">
        <v>0</v>
      </c>
      <c r="H6195" s="6" t="s">
        <v>12710</v>
      </c>
      <c r="I6195" s="6">
        <v>529.875</v>
      </c>
      <c r="J6195" s="2">
        <f t="shared" si="96"/>
        <v>43747.926997476847</v>
      </c>
    </row>
    <row r="6196" spans="1:10" x14ac:dyDescent="0.25">
      <c r="A6196" s="7" t="s">
        <v>12711</v>
      </c>
      <c r="B6196" s="8">
        <v>400</v>
      </c>
      <c r="C6196" s="8">
        <v>20.478950000000001</v>
      </c>
      <c r="D6196" s="8">
        <v>81</v>
      </c>
      <c r="E6196" s="8">
        <v>0</v>
      </c>
      <c r="F6196" s="8">
        <v>0</v>
      </c>
      <c r="G6196" s="8">
        <v>6</v>
      </c>
      <c r="H6196" s="8" t="s">
        <v>12712</v>
      </c>
      <c r="I6196" s="8">
        <v>528.9375</v>
      </c>
      <c r="J6196" s="3">
        <f t="shared" si="96"/>
        <v>43747.927069733792</v>
      </c>
    </row>
    <row r="6197" spans="1:10" x14ac:dyDescent="0.25">
      <c r="A6197" s="5" t="s">
        <v>12713</v>
      </c>
      <c r="B6197" s="6">
        <v>403.125</v>
      </c>
      <c r="C6197" s="6">
        <v>20.478950000000001</v>
      </c>
      <c r="D6197" s="6">
        <v>81</v>
      </c>
      <c r="E6197" s="6">
        <v>0</v>
      </c>
      <c r="F6197" s="6">
        <v>0</v>
      </c>
      <c r="G6197" s="6">
        <v>12</v>
      </c>
      <c r="H6197" s="6" t="s">
        <v>12714</v>
      </c>
      <c r="I6197" s="6">
        <v>529.125</v>
      </c>
      <c r="J6197" s="2">
        <f t="shared" si="96"/>
        <v>43747.927141041662</v>
      </c>
    </row>
    <row r="6198" spans="1:10" x14ac:dyDescent="0.25">
      <c r="A6198" s="7" t="s">
        <v>12715</v>
      </c>
      <c r="B6198" s="8">
        <v>403.125</v>
      </c>
      <c r="C6198" s="8">
        <v>20.478950000000001</v>
      </c>
      <c r="D6198" s="8">
        <v>82</v>
      </c>
      <c r="E6198" s="8">
        <v>0</v>
      </c>
      <c r="F6198" s="8">
        <v>0</v>
      </c>
      <c r="G6198" s="8">
        <v>7</v>
      </c>
      <c r="H6198" s="8" t="s">
        <v>12716</v>
      </c>
      <c r="I6198" s="8">
        <v>529.125</v>
      </c>
      <c r="J6198" s="3">
        <f t="shared" si="96"/>
        <v>43747.927224293984</v>
      </c>
    </row>
    <row r="6199" spans="1:10" x14ac:dyDescent="0.25">
      <c r="A6199" s="5" t="s">
        <v>12717</v>
      </c>
      <c r="B6199" s="6">
        <v>403.125</v>
      </c>
      <c r="C6199" s="6">
        <v>20.478950000000001</v>
      </c>
      <c r="D6199" s="6">
        <v>81</v>
      </c>
      <c r="E6199" s="6">
        <v>0</v>
      </c>
      <c r="F6199" s="6">
        <v>0</v>
      </c>
      <c r="G6199" s="6">
        <v>15</v>
      </c>
      <c r="H6199" s="6" t="s">
        <v>12718</v>
      </c>
      <c r="I6199" s="6">
        <v>529.875</v>
      </c>
      <c r="J6199" s="2">
        <f t="shared" si="96"/>
        <v>43747.927295636568</v>
      </c>
    </row>
    <row r="6200" spans="1:10" x14ac:dyDescent="0.25">
      <c r="A6200" s="7" t="s">
        <v>12719</v>
      </c>
      <c r="B6200" s="8">
        <v>403.125</v>
      </c>
      <c r="C6200" s="8">
        <v>20.478950000000001</v>
      </c>
      <c r="D6200" s="8">
        <v>81</v>
      </c>
      <c r="E6200" s="8">
        <v>0</v>
      </c>
      <c r="F6200" s="8">
        <v>0</v>
      </c>
      <c r="G6200" s="8">
        <v>15</v>
      </c>
      <c r="H6200" s="8" t="s">
        <v>12720</v>
      </c>
      <c r="I6200" s="8">
        <v>529.875</v>
      </c>
      <c r="J6200" s="3">
        <f t="shared" si="96"/>
        <v>43747.927367847216</v>
      </c>
    </row>
    <row r="6201" spans="1:10" x14ac:dyDescent="0.25">
      <c r="A6201" s="5" t="s">
        <v>12721</v>
      </c>
      <c r="B6201" s="6">
        <v>403.125</v>
      </c>
      <c r="C6201" s="6">
        <v>20.478950000000001</v>
      </c>
      <c r="D6201" s="6">
        <v>79</v>
      </c>
      <c r="E6201" s="6">
        <v>0</v>
      </c>
      <c r="F6201" s="6">
        <v>0</v>
      </c>
      <c r="G6201" s="6">
        <v>10</v>
      </c>
      <c r="H6201" s="6" t="s">
        <v>12722</v>
      </c>
      <c r="I6201" s="6">
        <v>529.875</v>
      </c>
      <c r="J6201" s="2">
        <f t="shared" si="96"/>
        <v>43747.927439166662</v>
      </c>
    </row>
    <row r="6202" spans="1:10" x14ac:dyDescent="0.25">
      <c r="A6202" s="7" t="s">
        <v>12723</v>
      </c>
      <c r="B6202" s="8">
        <v>428.125</v>
      </c>
      <c r="C6202" s="8">
        <v>20.478950000000001</v>
      </c>
      <c r="D6202" s="8">
        <v>79</v>
      </c>
      <c r="E6202" s="8">
        <v>0</v>
      </c>
      <c r="F6202" s="8">
        <v>0</v>
      </c>
      <c r="G6202" s="8">
        <v>11</v>
      </c>
      <c r="H6202" s="8" t="s">
        <v>12724</v>
      </c>
      <c r="I6202" s="8">
        <v>537</v>
      </c>
      <c r="J6202" s="3">
        <f t="shared" si="96"/>
        <v>43747.927515914351</v>
      </c>
    </row>
    <row r="6203" spans="1:10" x14ac:dyDescent="0.25">
      <c r="A6203" s="5" t="s">
        <v>12725</v>
      </c>
      <c r="B6203" s="6">
        <v>403.125</v>
      </c>
      <c r="C6203" s="6">
        <v>20.478950000000001</v>
      </c>
      <c r="D6203" s="6">
        <v>78</v>
      </c>
      <c r="E6203" s="6">
        <v>0</v>
      </c>
      <c r="F6203" s="6">
        <v>0</v>
      </c>
      <c r="G6203" s="6">
        <v>12</v>
      </c>
      <c r="H6203" s="6" t="s">
        <v>12726</v>
      </c>
      <c r="I6203" s="6">
        <v>529.875</v>
      </c>
      <c r="J6203" s="2">
        <f t="shared" si="96"/>
        <v>43747.927593981476</v>
      </c>
    </row>
    <row r="6204" spans="1:10" x14ac:dyDescent="0.25">
      <c r="A6204" s="7" t="s">
        <v>12727</v>
      </c>
      <c r="B6204" s="8">
        <v>403.125</v>
      </c>
      <c r="C6204" s="8">
        <v>20.478950000000001</v>
      </c>
      <c r="D6204" s="8">
        <v>78</v>
      </c>
      <c r="E6204" s="8">
        <v>0</v>
      </c>
      <c r="F6204" s="8">
        <v>0</v>
      </c>
      <c r="G6204" s="8">
        <v>3</v>
      </c>
      <c r="H6204" s="8" t="s">
        <v>12728</v>
      </c>
      <c r="I6204" s="8">
        <v>529.875</v>
      </c>
      <c r="J6204" s="3">
        <f t="shared" si="96"/>
        <v>43747.927666018521</v>
      </c>
    </row>
    <row r="6205" spans="1:10" x14ac:dyDescent="0.25">
      <c r="A6205" s="5" t="s">
        <v>12729</v>
      </c>
      <c r="B6205" s="6">
        <v>406.25</v>
      </c>
      <c r="C6205" s="6">
        <v>20.478950000000001</v>
      </c>
      <c r="D6205" s="6">
        <v>78</v>
      </c>
      <c r="E6205" s="6">
        <v>0</v>
      </c>
      <c r="F6205" s="6">
        <v>0</v>
      </c>
      <c r="G6205" s="6">
        <v>6</v>
      </c>
      <c r="H6205" s="6" t="s">
        <v>12730</v>
      </c>
      <c r="I6205" s="6">
        <v>530.625</v>
      </c>
      <c r="J6205" s="2">
        <f t="shared" si="96"/>
        <v>43747.927737349535</v>
      </c>
    </row>
    <row r="6206" spans="1:10" x14ac:dyDescent="0.25">
      <c r="A6206" s="7" t="s">
        <v>12731</v>
      </c>
      <c r="B6206" s="8">
        <v>406.25</v>
      </c>
      <c r="C6206" s="8">
        <v>20.478950000000001</v>
      </c>
      <c r="D6206" s="8">
        <v>78</v>
      </c>
      <c r="E6206" s="8">
        <v>0</v>
      </c>
      <c r="F6206" s="8">
        <v>0</v>
      </c>
      <c r="G6206" s="8">
        <v>9</v>
      </c>
      <c r="H6206" s="8" t="s">
        <v>12732</v>
      </c>
      <c r="I6206" s="8">
        <v>530.625</v>
      </c>
      <c r="J6206" s="3">
        <f t="shared" si="96"/>
        <v>43747.927808622684</v>
      </c>
    </row>
    <row r="6207" spans="1:10" x14ac:dyDescent="0.25">
      <c r="A6207" s="5" t="s">
        <v>12733</v>
      </c>
      <c r="B6207" s="6">
        <v>403.125</v>
      </c>
      <c r="C6207" s="6">
        <v>20.478950000000001</v>
      </c>
      <c r="D6207" s="6">
        <v>79</v>
      </c>
      <c r="E6207" s="6">
        <v>0</v>
      </c>
      <c r="F6207" s="6">
        <v>0</v>
      </c>
      <c r="G6207" s="6">
        <v>3</v>
      </c>
      <c r="H6207" s="6" t="s">
        <v>12734</v>
      </c>
      <c r="I6207" s="6">
        <v>529.125</v>
      </c>
      <c r="J6207" s="2">
        <f t="shared" si="96"/>
        <v>43747.927903981479</v>
      </c>
    </row>
    <row r="6208" spans="1:10" x14ac:dyDescent="0.25">
      <c r="A6208" s="7" t="s">
        <v>12735</v>
      </c>
      <c r="B6208" s="8">
        <v>403.125</v>
      </c>
      <c r="C6208" s="8">
        <v>20.478950000000001</v>
      </c>
      <c r="D6208" s="8">
        <v>78</v>
      </c>
      <c r="E6208" s="8">
        <v>0</v>
      </c>
      <c r="F6208" s="8">
        <v>0</v>
      </c>
      <c r="G6208" s="8">
        <v>13</v>
      </c>
      <c r="H6208" s="8" t="s">
        <v>12736</v>
      </c>
      <c r="I6208" s="8">
        <v>529.125</v>
      </c>
      <c r="J6208" s="3">
        <f t="shared" si="96"/>
        <v>43747.92797532407</v>
      </c>
    </row>
    <row r="6209" spans="1:10" x14ac:dyDescent="0.25">
      <c r="A6209" s="5" t="s">
        <v>12737</v>
      </c>
      <c r="B6209" s="6">
        <v>403.125</v>
      </c>
      <c r="C6209" s="6">
        <v>20.478950000000001</v>
      </c>
      <c r="D6209" s="6">
        <v>79</v>
      </c>
      <c r="E6209" s="6">
        <v>0</v>
      </c>
      <c r="F6209" s="6">
        <v>0</v>
      </c>
      <c r="G6209" s="6">
        <v>2</v>
      </c>
      <c r="H6209" s="6" t="s">
        <v>12738</v>
      </c>
      <c r="I6209" s="6">
        <v>529.125</v>
      </c>
      <c r="J6209" s="2">
        <f t="shared" si="96"/>
        <v>43747.928047488422</v>
      </c>
    </row>
    <row r="6210" spans="1:10" x14ac:dyDescent="0.25">
      <c r="A6210" s="7" t="s">
        <v>12739</v>
      </c>
      <c r="B6210" s="8">
        <v>403.125</v>
      </c>
      <c r="C6210" s="8">
        <v>20.478950000000001</v>
      </c>
      <c r="D6210" s="8">
        <v>79</v>
      </c>
      <c r="E6210" s="8">
        <v>0</v>
      </c>
      <c r="F6210" s="8">
        <v>0</v>
      </c>
      <c r="G6210" s="8">
        <v>10</v>
      </c>
      <c r="H6210" s="8" t="s">
        <v>12740</v>
      </c>
      <c r="I6210" s="8">
        <v>529.125</v>
      </c>
      <c r="J6210" s="3">
        <f t="shared" ref="J6210:J6273" si="97">(H6210/86400000)+25569+(7/24)</f>
        <v>43747.928118784715</v>
      </c>
    </row>
    <row r="6211" spans="1:10" x14ac:dyDescent="0.25">
      <c r="A6211" s="5" t="s">
        <v>12741</v>
      </c>
      <c r="B6211" s="6">
        <v>403.125</v>
      </c>
      <c r="C6211" s="6">
        <v>20.478950000000001</v>
      </c>
      <c r="D6211" s="6">
        <v>79</v>
      </c>
      <c r="E6211" s="6">
        <v>0</v>
      </c>
      <c r="F6211" s="6">
        <v>0</v>
      </c>
      <c r="G6211" s="6">
        <v>11</v>
      </c>
      <c r="H6211" s="6" t="s">
        <v>12742</v>
      </c>
      <c r="I6211" s="6">
        <v>529.125</v>
      </c>
      <c r="J6211" s="2">
        <f t="shared" si="97"/>
        <v>43747.928190092593</v>
      </c>
    </row>
    <row r="6212" spans="1:10" x14ac:dyDescent="0.25">
      <c r="A6212" s="7" t="s">
        <v>12743</v>
      </c>
      <c r="B6212" s="8">
        <v>403.125</v>
      </c>
      <c r="C6212" s="8">
        <v>20.478950000000001</v>
      </c>
      <c r="D6212" s="8">
        <v>77</v>
      </c>
      <c r="E6212" s="8">
        <v>0</v>
      </c>
      <c r="F6212" s="8">
        <v>0</v>
      </c>
      <c r="G6212" s="8">
        <v>3</v>
      </c>
      <c r="H6212" s="8" t="s">
        <v>12744</v>
      </c>
      <c r="I6212" s="8">
        <v>529.125</v>
      </c>
      <c r="J6212" s="3">
        <f t="shared" si="97"/>
        <v>43747.92826226852</v>
      </c>
    </row>
    <row r="6213" spans="1:10" x14ac:dyDescent="0.25">
      <c r="A6213" s="5" t="s">
        <v>12745</v>
      </c>
      <c r="B6213" s="6">
        <v>400</v>
      </c>
      <c r="C6213" s="6">
        <v>20.478950000000001</v>
      </c>
      <c r="D6213" s="6">
        <v>78</v>
      </c>
      <c r="E6213" s="6">
        <v>0</v>
      </c>
      <c r="F6213" s="6">
        <v>0</v>
      </c>
      <c r="G6213" s="6">
        <v>4</v>
      </c>
      <c r="H6213" s="6" t="s">
        <v>12746</v>
      </c>
      <c r="I6213" s="6">
        <v>528.9375</v>
      </c>
      <c r="J6213" s="2">
        <f t="shared" si="97"/>
        <v>43747.928333657408</v>
      </c>
    </row>
    <row r="6214" spans="1:10" x14ac:dyDescent="0.25">
      <c r="A6214" s="7" t="s">
        <v>12747</v>
      </c>
      <c r="B6214" s="8">
        <v>403.125</v>
      </c>
      <c r="C6214" s="8">
        <v>20.478950000000001</v>
      </c>
      <c r="D6214" s="8">
        <v>77</v>
      </c>
      <c r="E6214" s="8">
        <v>0</v>
      </c>
      <c r="F6214" s="8">
        <v>0</v>
      </c>
      <c r="G6214" s="8">
        <v>0</v>
      </c>
      <c r="H6214" s="8" t="s">
        <v>12748</v>
      </c>
      <c r="I6214" s="8">
        <v>529.875</v>
      </c>
      <c r="J6214" s="3">
        <f t="shared" si="97"/>
        <v>43747.928404895829</v>
      </c>
    </row>
    <row r="6215" spans="1:10" x14ac:dyDescent="0.25">
      <c r="A6215" s="5" t="s">
        <v>12749</v>
      </c>
      <c r="B6215" s="6">
        <v>403.125</v>
      </c>
      <c r="C6215" s="6">
        <v>20.478950000000001</v>
      </c>
      <c r="D6215" s="6">
        <v>80</v>
      </c>
      <c r="E6215" s="6">
        <v>0</v>
      </c>
      <c r="F6215" s="6">
        <v>0</v>
      </c>
      <c r="G6215" s="6">
        <v>9</v>
      </c>
      <c r="H6215" s="6" t="s">
        <v>12750</v>
      </c>
      <c r="I6215" s="6">
        <v>529.875</v>
      </c>
      <c r="J6215" s="2">
        <f t="shared" si="97"/>
        <v>43747.928476944442</v>
      </c>
    </row>
    <row r="6216" spans="1:10" x14ac:dyDescent="0.25">
      <c r="A6216" s="7" t="s">
        <v>12751</v>
      </c>
      <c r="B6216" s="8">
        <v>406.25</v>
      </c>
      <c r="C6216" s="8">
        <v>20.478950000000001</v>
      </c>
      <c r="D6216" s="8">
        <v>80</v>
      </c>
      <c r="E6216" s="8">
        <v>0</v>
      </c>
      <c r="F6216" s="8">
        <v>0</v>
      </c>
      <c r="G6216" s="8">
        <v>13</v>
      </c>
      <c r="H6216" s="8" t="s">
        <v>12752</v>
      </c>
      <c r="I6216" s="8">
        <v>530.625</v>
      </c>
      <c r="J6216" s="3">
        <f t="shared" si="97"/>
        <v>43747.928560405089</v>
      </c>
    </row>
    <row r="6217" spans="1:10" x14ac:dyDescent="0.25">
      <c r="A6217" s="5" t="s">
        <v>12753</v>
      </c>
      <c r="B6217" s="6">
        <v>406.25</v>
      </c>
      <c r="C6217" s="6">
        <v>20.478950000000001</v>
      </c>
      <c r="D6217" s="6">
        <v>80</v>
      </c>
      <c r="E6217" s="6">
        <v>0</v>
      </c>
      <c r="F6217" s="6">
        <v>0</v>
      </c>
      <c r="G6217" s="6">
        <v>12</v>
      </c>
      <c r="H6217" s="6" t="s">
        <v>12754</v>
      </c>
      <c r="I6217" s="6">
        <v>530.8125</v>
      </c>
      <c r="J6217" s="2">
        <f t="shared" si="97"/>
        <v>43747.928631701383</v>
      </c>
    </row>
    <row r="6218" spans="1:10" x14ac:dyDescent="0.25">
      <c r="A6218" s="7" t="s">
        <v>12755</v>
      </c>
      <c r="B6218" s="8">
        <v>403.125</v>
      </c>
      <c r="C6218" s="8">
        <v>20.478950000000001</v>
      </c>
      <c r="D6218" s="8">
        <v>79</v>
      </c>
      <c r="E6218" s="8">
        <v>0</v>
      </c>
      <c r="F6218" s="8">
        <v>0</v>
      </c>
      <c r="G6218" s="8">
        <v>10</v>
      </c>
      <c r="H6218" s="8" t="s">
        <v>12756</v>
      </c>
      <c r="I6218" s="8">
        <v>529.875</v>
      </c>
      <c r="J6218" s="3">
        <f t="shared" si="97"/>
        <v>43747.928703032405</v>
      </c>
    </row>
    <row r="6219" spans="1:10" x14ac:dyDescent="0.25">
      <c r="A6219" s="5" t="s">
        <v>12757</v>
      </c>
      <c r="B6219" s="6">
        <v>425</v>
      </c>
      <c r="C6219" s="6">
        <v>20.478950000000001</v>
      </c>
      <c r="D6219" s="6">
        <v>80</v>
      </c>
      <c r="E6219" s="6">
        <v>0</v>
      </c>
      <c r="F6219" s="6">
        <v>0</v>
      </c>
      <c r="G6219" s="6">
        <v>12</v>
      </c>
      <c r="H6219" s="6" t="s">
        <v>12758</v>
      </c>
      <c r="I6219" s="6">
        <v>536.25</v>
      </c>
      <c r="J6219" s="2">
        <f t="shared" si="97"/>
        <v>43747.928798414352</v>
      </c>
    </row>
    <row r="6220" spans="1:10" x14ac:dyDescent="0.25">
      <c r="A6220" s="7" t="s">
        <v>12759</v>
      </c>
      <c r="B6220" s="8">
        <v>406.25</v>
      </c>
      <c r="C6220" s="8">
        <v>20.478950000000001</v>
      </c>
      <c r="D6220" s="8">
        <v>81</v>
      </c>
      <c r="E6220" s="8">
        <v>0</v>
      </c>
      <c r="F6220" s="8">
        <v>0</v>
      </c>
      <c r="G6220" s="8">
        <v>15</v>
      </c>
      <c r="H6220" s="8" t="s">
        <v>12760</v>
      </c>
      <c r="I6220" s="8">
        <v>530.8125</v>
      </c>
      <c r="J6220" s="3">
        <f t="shared" si="97"/>
        <v>43747.928869756943</v>
      </c>
    </row>
    <row r="6221" spans="1:10" x14ac:dyDescent="0.25">
      <c r="A6221" s="5" t="s">
        <v>12761</v>
      </c>
      <c r="B6221" s="6">
        <v>406.25</v>
      </c>
      <c r="C6221" s="6">
        <v>20.478950000000001</v>
      </c>
      <c r="D6221" s="6">
        <v>81</v>
      </c>
      <c r="E6221" s="6">
        <v>0</v>
      </c>
      <c r="F6221" s="6">
        <v>0</v>
      </c>
      <c r="G6221" s="6">
        <v>14</v>
      </c>
      <c r="H6221" s="6" t="s">
        <v>12762</v>
      </c>
      <c r="I6221" s="6">
        <v>530.625</v>
      </c>
      <c r="J6221" s="2">
        <f t="shared" si="97"/>
        <v>43747.928941944447</v>
      </c>
    </row>
    <row r="6222" spans="1:10" x14ac:dyDescent="0.25">
      <c r="A6222" s="7" t="s">
        <v>12763</v>
      </c>
      <c r="B6222" s="8">
        <v>406.25</v>
      </c>
      <c r="C6222" s="8">
        <v>20.478950000000001</v>
      </c>
      <c r="D6222" s="8">
        <v>79</v>
      </c>
      <c r="E6222" s="8">
        <v>0</v>
      </c>
      <c r="F6222" s="8">
        <v>0</v>
      </c>
      <c r="G6222" s="8">
        <v>9</v>
      </c>
      <c r="H6222" s="8" t="s">
        <v>12764</v>
      </c>
      <c r="I6222" s="8">
        <v>530.625</v>
      </c>
      <c r="J6222" s="3">
        <f t="shared" si="97"/>
        <v>43747.929013182867</v>
      </c>
    </row>
    <row r="6223" spans="1:10" x14ac:dyDescent="0.25">
      <c r="A6223" s="5" t="s">
        <v>12765</v>
      </c>
      <c r="B6223" s="6">
        <v>421.875</v>
      </c>
      <c r="C6223" s="6">
        <v>20.478950000000001</v>
      </c>
      <c r="D6223" s="6">
        <v>79</v>
      </c>
      <c r="E6223" s="6">
        <v>0</v>
      </c>
      <c r="F6223" s="6">
        <v>0</v>
      </c>
      <c r="G6223" s="6">
        <v>13</v>
      </c>
      <c r="H6223" s="6" t="s">
        <v>12766</v>
      </c>
      <c r="I6223" s="6">
        <v>535.5</v>
      </c>
      <c r="J6223" s="2">
        <f t="shared" si="97"/>
        <v>43747.929084502313</v>
      </c>
    </row>
    <row r="6224" spans="1:10" x14ac:dyDescent="0.25">
      <c r="A6224" s="7" t="s">
        <v>12767</v>
      </c>
      <c r="B6224" s="8">
        <v>406.25</v>
      </c>
      <c r="C6224" s="8">
        <v>20.478950000000001</v>
      </c>
      <c r="D6224" s="8">
        <v>80</v>
      </c>
      <c r="E6224" s="8">
        <v>0</v>
      </c>
      <c r="F6224" s="8">
        <v>0</v>
      </c>
      <c r="G6224" s="8">
        <v>13</v>
      </c>
      <c r="H6224" s="8" t="s">
        <v>12768</v>
      </c>
      <c r="I6224" s="8">
        <v>530.625</v>
      </c>
      <c r="J6224" s="3">
        <f t="shared" si="97"/>
        <v>43747.92915664352</v>
      </c>
    </row>
    <row r="6225" spans="1:10" x14ac:dyDescent="0.25">
      <c r="A6225" s="5" t="s">
        <v>12769</v>
      </c>
      <c r="B6225" s="6">
        <v>406.25</v>
      </c>
      <c r="C6225" s="6">
        <v>20.478950000000001</v>
      </c>
      <c r="D6225" s="6">
        <v>81</v>
      </c>
      <c r="E6225" s="6">
        <v>0</v>
      </c>
      <c r="F6225" s="6">
        <v>0</v>
      </c>
      <c r="G6225" s="6">
        <v>8</v>
      </c>
      <c r="H6225" s="6" t="s">
        <v>12770</v>
      </c>
      <c r="I6225" s="6">
        <v>530.625</v>
      </c>
      <c r="J6225" s="2">
        <f t="shared" si="97"/>
        <v>43747.929227870372</v>
      </c>
    </row>
    <row r="6226" spans="1:10" x14ac:dyDescent="0.25">
      <c r="A6226" s="7" t="s">
        <v>12771</v>
      </c>
      <c r="B6226" s="8">
        <v>406.25</v>
      </c>
      <c r="C6226" s="8">
        <v>20.478950000000001</v>
      </c>
      <c r="D6226" s="8">
        <v>80</v>
      </c>
      <c r="E6226" s="8">
        <v>0</v>
      </c>
      <c r="F6226" s="8">
        <v>0</v>
      </c>
      <c r="G6226" s="8">
        <v>3</v>
      </c>
      <c r="H6226" s="8" t="s">
        <v>12772</v>
      </c>
      <c r="I6226" s="8">
        <v>530.625</v>
      </c>
      <c r="J6226" s="3">
        <f t="shared" si="97"/>
        <v>43747.92929925926</v>
      </c>
    </row>
    <row r="6227" spans="1:10" x14ac:dyDescent="0.25">
      <c r="A6227" s="5" t="s">
        <v>12773</v>
      </c>
      <c r="B6227" s="6">
        <v>406.25</v>
      </c>
      <c r="C6227" s="6">
        <v>20.478950000000001</v>
      </c>
      <c r="D6227" s="6">
        <v>80</v>
      </c>
      <c r="E6227" s="6">
        <v>0</v>
      </c>
      <c r="F6227" s="6">
        <v>0</v>
      </c>
      <c r="G6227" s="6">
        <v>6</v>
      </c>
      <c r="H6227" s="6" t="s">
        <v>12774</v>
      </c>
      <c r="I6227" s="6">
        <v>530.625</v>
      </c>
      <c r="J6227" s="2">
        <f t="shared" si="97"/>
        <v>43747.929371203696</v>
      </c>
    </row>
    <row r="6228" spans="1:10" x14ac:dyDescent="0.25">
      <c r="A6228" s="7" t="s">
        <v>12775</v>
      </c>
      <c r="B6228" s="8">
        <v>406.25</v>
      </c>
      <c r="C6228" s="8">
        <v>20.478950000000001</v>
      </c>
      <c r="D6228" s="8">
        <v>85</v>
      </c>
      <c r="E6228" s="8">
        <v>0</v>
      </c>
      <c r="F6228" s="8">
        <v>0</v>
      </c>
      <c r="G6228" s="8">
        <v>15</v>
      </c>
      <c r="H6228" s="8" t="s">
        <v>12776</v>
      </c>
      <c r="I6228" s="8">
        <v>530.8125</v>
      </c>
      <c r="J6228" s="3">
        <f t="shared" si="97"/>
        <v>43747.929454780089</v>
      </c>
    </row>
    <row r="6229" spans="1:10" x14ac:dyDescent="0.25">
      <c r="A6229" s="5" t="s">
        <v>12777</v>
      </c>
      <c r="B6229" s="6">
        <v>406.25</v>
      </c>
      <c r="C6229" s="6">
        <v>20.478950000000001</v>
      </c>
      <c r="D6229" s="6">
        <v>84</v>
      </c>
      <c r="E6229" s="6">
        <v>0</v>
      </c>
      <c r="F6229" s="6">
        <v>0</v>
      </c>
      <c r="G6229" s="6">
        <v>21</v>
      </c>
      <c r="H6229" s="6" t="s">
        <v>12778</v>
      </c>
      <c r="I6229" s="6">
        <v>530.8125</v>
      </c>
      <c r="J6229" s="2">
        <f t="shared" si="97"/>
        <v>43747.92952572916</v>
      </c>
    </row>
    <row r="6230" spans="1:10" x14ac:dyDescent="0.25">
      <c r="A6230" s="7" t="s">
        <v>12779</v>
      </c>
      <c r="B6230" s="8">
        <v>406.25</v>
      </c>
      <c r="C6230" s="8">
        <v>20.478950000000001</v>
      </c>
      <c r="D6230" s="8">
        <v>81</v>
      </c>
      <c r="E6230" s="8">
        <v>0</v>
      </c>
      <c r="F6230" s="8">
        <v>0</v>
      </c>
      <c r="G6230" s="8">
        <v>11</v>
      </c>
      <c r="H6230" s="8" t="s">
        <v>12780</v>
      </c>
      <c r="I6230" s="8">
        <v>530.625</v>
      </c>
      <c r="J6230" s="3">
        <f t="shared" si="97"/>
        <v>43747.929597372684</v>
      </c>
    </row>
    <row r="6231" spans="1:10" x14ac:dyDescent="0.25">
      <c r="A6231" s="5" t="s">
        <v>12781</v>
      </c>
      <c r="B6231" s="6">
        <v>425</v>
      </c>
      <c r="C6231" s="6">
        <v>20.478950000000001</v>
      </c>
      <c r="D6231" s="6">
        <v>80</v>
      </c>
      <c r="E6231" s="6">
        <v>0</v>
      </c>
      <c r="F6231" s="6">
        <v>0</v>
      </c>
      <c r="G6231" s="6">
        <v>9</v>
      </c>
      <c r="H6231" s="6" t="s">
        <v>12782</v>
      </c>
      <c r="I6231" s="6">
        <v>536.25</v>
      </c>
      <c r="J6231" s="2">
        <f t="shared" si="97"/>
        <v>43747.929668784716</v>
      </c>
    </row>
    <row r="6232" spans="1:10" x14ac:dyDescent="0.25">
      <c r="A6232" s="7" t="s">
        <v>12783</v>
      </c>
      <c r="B6232" s="8">
        <v>406.25</v>
      </c>
      <c r="C6232" s="8">
        <v>20.478950000000001</v>
      </c>
      <c r="D6232" s="8">
        <v>80</v>
      </c>
      <c r="E6232" s="8">
        <v>0</v>
      </c>
      <c r="F6232" s="8">
        <v>0</v>
      </c>
      <c r="G6232" s="8">
        <v>5</v>
      </c>
      <c r="H6232" s="8" t="s">
        <v>12784</v>
      </c>
      <c r="I6232" s="8">
        <v>530.625</v>
      </c>
      <c r="J6232" s="3">
        <f t="shared" si="97"/>
        <v>43747.929740902771</v>
      </c>
    </row>
    <row r="6233" spans="1:10" x14ac:dyDescent="0.25">
      <c r="A6233" s="5" t="s">
        <v>12785</v>
      </c>
      <c r="B6233" s="6">
        <v>409.375</v>
      </c>
      <c r="C6233" s="6">
        <v>20.478950000000001</v>
      </c>
      <c r="D6233" s="6">
        <v>81</v>
      </c>
      <c r="E6233" s="6">
        <v>0</v>
      </c>
      <c r="F6233" s="6">
        <v>0</v>
      </c>
      <c r="G6233" s="6">
        <v>5</v>
      </c>
      <c r="H6233" s="6" t="s">
        <v>12786</v>
      </c>
      <c r="I6233" s="6">
        <v>531.5625</v>
      </c>
      <c r="J6233" s="2">
        <f t="shared" si="97"/>
        <v>43747.929812245369</v>
      </c>
    </row>
    <row r="6234" spans="1:10" x14ac:dyDescent="0.25">
      <c r="A6234" s="7" t="s">
        <v>12787</v>
      </c>
      <c r="B6234" s="8">
        <v>409.375</v>
      </c>
      <c r="C6234" s="8">
        <v>20.478950000000001</v>
      </c>
      <c r="D6234" s="8">
        <v>81</v>
      </c>
      <c r="E6234" s="8">
        <v>0</v>
      </c>
      <c r="F6234" s="8">
        <v>0</v>
      </c>
      <c r="G6234" s="8">
        <v>5</v>
      </c>
      <c r="H6234" s="8" t="s">
        <v>12788</v>
      </c>
      <c r="I6234" s="8">
        <v>531.5625</v>
      </c>
      <c r="J6234" s="3">
        <f t="shared" si="97"/>
        <v>43747.929883425924</v>
      </c>
    </row>
    <row r="6235" spans="1:10" x14ac:dyDescent="0.25">
      <c r="A6235" s="5" t="s">
        <v>12789</v>
      </c>
      <c r="B6235" s="6">
        <v>409.375</v>
      </c>
      <c r="C6235" s="6">
        <v>20.478950000000001</v>
      </c>
      <c r="D6235" s="6">
        <v>85</v>
      </c>
      <c r="E6235" s="6">
        <v>0</v>
      </c>
      <c r="F6235" s="6">
        <v>0</v>
      </c>
      <c r="G6235" s="6">
        <v>6</v>
      </c>
      <c r="H6235" s="6" t="s">
        <v>12790</v>
      </c>
      <c r="I6235" s="6">
        <v>531.5625</v>
      </c>
      <c r="J6235" s="2">
        <f t="shared" si="97"/>
        <v>43747.929978877313</v>
      </c>
    </row>
    <row r="6236" spans="1:10" x14ac:dyDescent="0.25">
      <c r="A6236" s="7" t="s">
        <v>12791</v>
      </c>
      <c r="B6236" s="8">
        <v>409.375</v>
      </c>
      <c r="C6236" s="8">
        <v>20.478950000000001</v>
      </c>
      <c r="D6236" s="8">
        <v>84</v>
      </c>
      <c r="E6236" s="8">
        <v>0</v>
      </c>
      <c r="F6236" s="8">
        <v>0</v>
      </c>
      <c r="G6236" s="8">
        <v>11</v>
      </c>
      <c r="H6236" s="8" t="s">
        <v>12792</v>
      </c>
      <c r="I6236" s="8">
        <v>531.5625</v>
      </c>
      <c r="J6236" s="3">
        <f t="shared" si="97"/>
        <v>43747.930051030089</v>
      </c>
    </row>
    <row r="6237" spans="1:10" x14ac:dyDescent="0.25">
      <c r="A6237" s="5" t="s">
        <v>12793</v>
      </c>
      <c r="B6237" s="6">
        <v>412.5</v>
      </c>
      <c r="C6237" s="6">
        <v>20.478950000000001</v>
      </c>
      <c r="D6237" s="6">
        <v>84</v>
      </c>
      <c r="E6237" s="6">
        <v>0</v>
      </c>
      <c r="F6237" s="6">
        <v>0</v>
      </c>
      <c r="G6237" s="6">
        <v>18</v>
      </c>
      <c r="H6237" s="6" t="s">
        <v>12794</v>
      </c>
      <c r="I6237" s="6">
        <v>532.3125</v>
      </c>
      <c r="J6237" s="2">
        <f t="shared" si="97"/>
        <v>43747.930134409718</v>
      </c>
    </row>
    <row r="6238" spans="1:10" x14ac:dyDescent="0.25">
      <c r="A6238" s="7" t="s">
        <v>12795</v>
      </c>
      <c r="B6238" s="8">
        <v>409.375</v>
      </c>
      <c r="C6238" s="8">
        <v>20.478950000000001</v>
      </c>
      <c r="D6238" s="8">
        <v>84</v>
      </c>
      <c r="E6238" s="8">
        <v>0</v>
      </c>
      <c r="F6238" s="8">
        <v>0</v>
      </c>
      <c r="G6238" s="8">
        <v>16</v>
      </c>
      <c r="H6238" s="8" t="s">
        <v>12796</v>
      </c>
      <c r="I6238" s="8">
        <v>531.375</v>
      </c>
      <c r="J6238" s="3">
        <f t="shared" si="97"/>
        <v>43747.930205925928</v>
      </c>
    </row>
    <row r="6239" spans="1:10" x14ac:dyDescent="0.25">
      <c r="A6239" s="5" t="s">
        <v>12797</v>
      </c>
      <c r="B6239" s="6">
        <v>406.25</v>
      </c>
      <c r="C6239" s="6">
        <v>20.478950000000001</v>
      </c>
      <c r="D6239" s="6">
        <v>84</v>
      </c>
      <c r="E6239" s="6">
        <v>0</v>
      </c>
      <c r="F6239" s="6">
        <v>0</v>
      </c>
      <c r="G6239" s="6">
        <v>5</v>
      </c>
      <c r="H6239" s="6" t="s">
        <v>12798</v>
      </c>
      <c r="I6239" s="6">
        <v>530.8125</v>
      </c>
      <c r="J6239" s="2">
        <f t="shared" si="97"/>
        <v>43747.930277013882</v>
      </c>
    </row>
    <row r="6240" spans="1:10" x14ac:dyDescent="0.25">
      <c r="A6240" s="7" t="s">
        <v>12799</v>
      </c>
      <c r="B6240" s="8">
        <v>406.25</v>
      </c>
      <c r="C6240" s="8">
        <v>20.478950000000001</v>
      </c>
      <c r="D6240" s="8">
        <v>83</v>
      </c>
      <c r="E6240" s="8">
        <v>0</v>
      </c>
      <c r="F6240" s="8">
        <v>0</v>
      </c>
      <c r="G6240" s="8">
        <v>12</v>
      </c>
      <c r="H6240" s="8" t="s">
        <v>12800</v>
      </c>
      <c r="I6240" s="8">
        <v>530.625</v>
      </c>
      <c r="J6240" s="3">
        <f t="shared" si="97"/>
        <v>43747.930361273146</v>
      </c>
    </row>
    <row r="6241" spans="1:10" x14ac:dyDescent="0.25">
      <c r="A6241" s="5" t="s">
        <v>12801</v>
      </c>
      <c r="B6241" s="6">
        <v>406.25</v>
      </c>
      <c r="C6241" s="6">
        <v>20.478950000000001</v>
      </c>
      <c r="D6241" s="6">
        <v>83</v>
      </c>
      <c r="E6241" s="6">
        <v>0</v>
      </c>
      <c r="F6241" s="6">
        <v>0</v>
      </c>
      <c r="G6241" s="6">
        <v>11</v>
      </c>
      <c r="H6241" s="6" t="s">
        <v>12802</v>
      </c>
      <c r="I6241" s="6">
        <v>530.625</v>
      </c>
      <c r="J6241" s="2">
        <f t="shared" si="97"/>
        <v>43747.930444594902</v>
      </c>
    </row>
    <row r="6242" spans="1:10" x14ac:dyDescent="0.25">
      <c r="A6242" s="7" t="s">
        <v>12803</v>
      </c>
      <c r="B6242" s="8">
        <v>406.25</v>
      </c>
      <c r="C6242" s="8">
        <v>20.478950000000001</v>
      </c>
      <c r="D6242" s="8">
        <v>83</v>
      </c>
      <c r="E6242" s="8">
        <v>0</v>
      </c>
      <c r="F6242" s="8">
        <v>0</v>
      </c>
      <c r="G6242" s="8">
        <v>12</v>
      </c>
      <c r="H6242" s="8" t="s">
        <v>12804</v>
      </c>
      <c r="I6242" s="8">
        <v>530.625</v>
      </c>
      <c r="J6242" s="3">
        <f t="shared" si="97"/>
        <v>43747.930515891203</v>
      </c>
    </row>
    <row r="6243" spans="1:10" x14ac:dyDescent="0.25">
      <c r="A6243" s="5" t="s">
        <v>12805</v>
      </c>
      <c r="B6243" s="6">
        <v>406.25</v>
      </c>
      <c r="C6243" s="6">
        <v>20.478950000000001</v>
      </c>
      <c r="D6243" s="6">
        <v>84</v>
      </c>
      <c r="E6243" s="6">
        <v>0</v>
      </c>
      <c r="F6243" s="6">
        <v>0</v>
      </c>
      <c r="G6243" s="6">
        <v>10</v>
      </c>
      <c r="H6243" s="6" t="s">
        <v>12806</v>
      </c>
      <c r="I6243" s="6">
        <v>530.625</v>
      </c>
      <c r="J6243" s="2">
        <f t="shared" si="97"/>
        <v>43747.930599166662</v>
      </c>
    </row>
    <row r="6244" spans="1:10" x14ac:dyDescent="0.25">
      <c r="A6244" s="7" t="s">
        <v>12807</v>
      </c>
      <c r="B6244" s="8">
        <v>409.375</v>
      </c>
      <c r="C6244" s="8">
        <v>20.478950000000001</v>
      </c>
      <c r="D6244" s="8">
        <v>83</v>
      </c>
      <c r="E6244" s="8">
        <v>0</v>
      </c>
      <c r="F6244" s="8">
        <v>0</v>
      </c>
      <c r="G6244" s="8">
        <v>0</v>
      </c>
      <c r="H6244" s="8" t="s">
        <v>12808</v>
      </c>
      <c r="I6244" s="8">
        <v>531.5625</v>
      </c>
      <c r="J6244" s="3">
        <f t="shared" si="97"/>
        <v>43747.930682557868</v>
      </c>
    </row>
    <row r="6245" spans="1:10" x14ac:dyDescent="0.25">
      <c r="A6245" s="5" t="s">
        <v>12809</v>
      </c>
      <c r="B6245" s="6">
        <v>409.375</v>
      </c>
      <c r="C6245" s="6">
        <v>20.531590000000001</v>
      </c>
      <c r="D6245" s="6">
        <v>83</v>
      </c>
      <c r="E6245" s="6">
        <v>0</v>
      </c>
      <c r="F6245" s="6">
        <v>0</v>
      </c>
      <c r="G6245" s="6">
        <v>9</v>
      </c>
      <c r="H6245" s="6" t="s">
        <v>12810</v>
      </c>
      <c r="I6245" s="6">
        <v>531.5625</v>
      </c>
      <c r="J6245" s="2">
        <f t="shared" si="97"/>
        <v>43747.930767268517</v>
      </c>
    </row>
    <row r="6246" spans="1:10" x14ac:dyDescent="0.25">
      <c r="A6246" s="7" t="s">
        <v>12811</v>
      </c>
      <c r="B6246" s="8">
        <v>409.375</v>
      </c>
      <c r="C6246" s="8">
        <v>20.478950000000001</v>
      </c>
      <c r="D6246" s="8">
        <v>83</v>
      </c>
      <c r="E6246" s="8">
        <v>0</v>
      </c>
      <c r="F6246" s="8">
        <v>0</v>
      </c>
      <c r="G6246" s="8">
        <v>13</v>
      </c>
      <c r="H6246" s="8" t="s">
        <v>12812</v>
      </c>
      <c r="I6246" s="8">
        <v>531.5625</v>
      </c>
      <c r="J6246" s="3">
        <f t="shared" si="97"/>
        <v>43747.930837187501</v>
      </c>
    </row>
    <row r="6247" spans="1:10" x14ac:dyDescent="0.25">
      <c r="A6247" s="5" t="s">
        <v>12813</v>
      </c>
      <c r="B6247" s="6">
        <v>409.375</v>
      </c>
      <c r="C6247" s="6">
        <v>20.478950000000001</v>
      </c>
      <c r="D6247" s="6">
        <v>83</v>
      </c>
      <c r="E6247" s="6">
        <v>0</v>
      </c>
      <c r="F6247" s="6">
        <v>0</v>
      </c>
      <c r="G6247" s="6">
        <v>7</v>
      </c>
      <c r="H6247" s="6" t="s">
        <v>12814</v>
      </c>
      <c r="I6247" s="6">
        <v>531.375</v>
      </c>
      <c r="J6247" s="2">
        <f t="shared" si="97"/>
        <v>43747.930909432871</v>
      </c>
    </row>
    <row r="6248" spans="1:10" x14ac:dyDescent="0.25">
      <c r="A6248" s="7" t="s">
        <v>12815</v>
      </c>
      <c r="B6248" s="8">
        <v>409.375</v>
      </c>
      <c r="C6248" s="8">
        <v>20.478950000000001</v>
      </c>
      <c r="D6248" s="8">
        <v>83</v>
      </c>
      <c r="E6248" s="8">
        <v>0</v>
      </c>
      <c r="F6248" s="8">
        <v>0</v>
      </c>
      <c r="G6248" s="8">
        <v>6</v>
      </c>
      <c r="H6248" s="8" t="s">
        <v>12816</v>
      </c>
      <c r="I6248" s="8">
        <v>531.5625</v>
      </c>
      <c r="J6248" s="3">
        <f t="shared" si="97"/>
        <v>43747.930980729165</v>
      </c>
    </row>
    <row r="6249" spans="1:10" x14ac:dyDescent="0.25">
      <c r="A6249" s="5" t="s">
        <v>12817</v>
      </c>
      <c r="B6249" s="6">
        <v>409.375</v>
      </c>
      <c r="C6249" s="6">
        <v>20.478950000000001</v>
      </c>
      <c r="D6249" s="6">
        <v>83</v>
      </c>
      <c r="E6249" s="6">
        <v>0</v>
      </c>
      <c r="F6249" s="6">
        <v>0</v>
      </c>
      <c r="G6249" s="6">
        <v>11</v>
      </c>
      <c r="H6249" s="6" t="s">
        <v>12818</v>
      </c>
      <c r="I6249" s="6">
        <v>531.5625</v>
      </c>
      <c r="J6249" s="2">
        <f t="shared" si="97"/>
        <v>43747.931052939814</v>
      </c>
    </row>
    <row r="6250" spans="1:10" x14ac:dyDescent="0.25">
      <c r="A6250" s="7" t="s">
        <v>12819</v>
      </c>
      <c r="B6250" s="8">
        <v>409.375</v>
      </c>
      <c r="C6250" s="8">
        <v>20.478950000000001</v>
      </c>
      <c r="D6250" s="8">
        <v>83</v>
      </c>
      <c r="E6250" s="8">
        <v>0</v>
      </c>
      <c r="F6250" s="8">
        <v>0</v>
      </c>
      <c r="G6250" s="8">
        <v>8</v>
      </c>
      <c r="H6250" s="8" t="s">
        <v>12820</v>
      </c>
      <c r="I6250" s="8">
        <v>531.375</v>
      </c>
      <c r="J6250" s="3">
        <f t="shared" si="97"/>
        <v>43747.931124178234</v>
      </c>
    </row>
    <row r="6251" spans="1:10" x14ac:dyDescent="0.25">
      <c r="A6251" s="5" t="s">
        <v>12821</v>
      </c>
      <c r="B6251" s="6">
        <v>409.375</v>
      </c>
      <c r="C6251" s="6">
        <v>20.478950000000001</v>
      </c>
      <c r="D6251" s="6">
        <v>83</v>
      </c>
      <c r="E6251" s="6">
        <v>0</v>
      </c>
      <c r="F6251" s="6">
        <v>0</v>
      </c>
      <c r="G6251" s="6">
        <v>2</v>
      </c>
      <c r="H6251" s="6" t="s">
        <v>12822</v>
      </c>
      <c r="I6251" s="6">
        <v>531.5625</v>
      </c>
      <c r="J6251" s="2">
        <f t="shared" si="97"/>
        <v>43747.931223344909</v>
      </c>
    </row>
    <row r="6252" spans="1:10" x14ac:dyDescent="0.25">
      <c r="A6252" s="7" t="s">
        <v>12823</v>
      </c>
      <c r="B6252" s="8">
        <v>428.125</v>
      </c>
      <c r="C6252" s="8">
        <v>20.478950000000001</v>
      </c>
      <c r="D6252" s="8">
        <v>83</v>
      </c>
      <c r="E6252" s="8">
        <v>0</v>
      </c>
      <c r="F6252" s="8">
        <v>0</v>
      </c>
      <c r="G6252" s="8">
        <v>8</v>
      </c>
      <c r="H6252" s="8" t="s">
        <v>12824</v>
      </c>
      <c r="I6252" s="8">
        <v>537.1875</v>
      </c>
      <c r="J6252" s="3">
        <f t="shared" si="97"/>
        <v>43747.931302939811</v>
      </c>
    </row>
    <row r="6253" spans="1:10" x14ac:dyDescent="0.25">
      <c r="A6253" s="5" t="s">
        <v>12825</v>
      </c>
      <c r="B6253" s="6">
        <v>409.375</v>
      </c>
      <c r="C6253" s="6">
        <v>20.478950000000001</v>
      </c>
      <c r="D6253" s="6">
        <v>82</v>
      </c>
      <c r="E6253" s="6">
        <v>0</v>
      </c>
      <c r="F6253" s="6">
        <v>0</v>
      </c>
      <c r="G6253" s="6">
        <v>8</v>
      </c>
      <c r="H6253" s="6" t="s">
        <v>12826</v>
      </c>
      <c r="I6253" s="6">
        <v>531.5625</v>
      </c>
      <c r="J6253" s="2">
        <f t="shared" si="97"/>
        <v>43747.931386307864</v>
      </c>
    </row>
    <row r="6254" spans="1:10" x14ac:dyDescent="0.25">
      <c r="A6254" s="7" t="s">
        <v>12827</v>
      </c>
      <c r="B6254" s="8">
        <v>409.375</v>
      </c>
      <c r="C6254" s="8">
        <v>20.478950000000001</v>
      </c>
      <c r="D6254" s="8">
        <v>82</v>
      </c>
      <c r="E6254" s="8">
        <v>0</v>
      </c>
      <c r="F6254" s="8">
        <v>0</v>
      </c>
      <c r="G6254" s="8">
        <v>11</v>
      </c>
      <c r="H6254" s="8" t="s">
        <v>12828</v>
      </c>
      <c r="I6254" s="8">
        <v>531.5625</v>
      </c>
      <c r="J6254" s="3">
        <f t="shared" si="97"/>
        <v>43747.931458310188</v>
      </c>
    </row>
    <row r="6255" spans="1:10" x14ac:dyDescent="0.25">
      <c r="A6255" s="5" t="s">
        <v>12829</v>
      </c>
      <c r="B6255" s="6">
        <v>409.375</v>
      </c>
      <c r="C6255" s="6">
        <v>20.478950000000001</v>
      </c>
      <c r="D6255" s="6">
        <v>82</v>
      </c>
      <c r="E6255" s="6">
        <v>0</v>
      </c>
      <c r="F6255" s="6">
        <v>0</v>
      </c>
      <c r="G6255" s="6">
        <v>5</v>
      </c>
      <c r="H6255" s="6" t="s">
        <v>12830</v>
      </c>
      <c r="I6255" s="6">
        <v>531.5625</v>
      </c>
      <c r="J6255" s="2">
        <f t="shared" si="97"/>
        <v>43747.931541828701</v>
      </c>
    </row>
    <row r="6256" spans="1:10" x14ac:dyDescent="0.25">
      <c r="A6256" s="7" t="s">
        <v>12831</v>
      </c>
      <c r="B6256" s="8">
        <v>409.375</v>
      </c>
      <c r="C6256" s="8">
        <v>20.478950000000001</v>
      </c>
      <c r="D6256" s="8">
        <v>82</v>
      </c>
      <c r="E6256" s="8">
        <v>0</v>
      </c>
      <c r="F6256" s="8">
        <v>0</v>
      </c>
      <c r="G6256" s="8">
        <v>14</v>
      </c>
      <c r="H6256" s="8" t="s">
        <v>12832</v>
      </c>
      <c r="I6256" s="8">
        <v>531.5625</v>
      </c>
      <c r="J6256" s="3">
        <f t="shared" si="97"/>
        <v>43747.931613113418</v>
      </c>
    </row>
    <row r="6257" spans="1:10" x14ac:dyDescent="0.25">
      <c r="A6257" s="5" t="s">
        <v>12833</v>
      </c>
      <c r="B6257" s="6">
        <v>406.25</v>
      </c>
      <c r="C6257" s="6">
        <v>20.478950000000001</v>
      </c>
      <c r="D6257" s="6">
        <v>82</v>
      </c>
      <c r="E6257" s="6">
        <v>0</v>
      </c>
      <c r="F6257" s="6">
        <v>0</v>
      </c>
      <c r="G6257" s="6">
        <v>10</v>
      </c>
      <c r="H6257" s="6" t="s">
        <v>12834</v>
      </c>
      <c r="I6257" s="6">
        <v>530.8125</v>
      </c>
      <c r="J6257" s="2">
        <f t="shared" si="97"/>
        <v>43747.931696446758</v>
      </c>
    </row>
    <row r="6258" spans="1:10" x14ac:dyDescent="0.25">
      <c r="A6258" s="7" t="s">
        <v>12835</v>
      </c>
      <c r="B6258" s="8">
        <v>406.25</v>
      </c>
      <c r="C6258" s="8">
        <v>20.478950000000001</v>
      </c>
      <c r="D6258" s="8">
        <v>82</v>
      </c>
      <c r="E6258" s="8">
        <v>0</v>
      </c>
      <c r="F6258" s="8">
        <v>0</v>
      </c>
      <c r="G6258" s="8">
        <v>13</v>
      </c>
      <c r="H6258" s="8" t="s">
        <v>12836</v>
      </c>
      <c r="I6258" s="8">
        <v>530.625</v>
      </c>
      <c r="J6258" s="3">
        <f t="shared" si="97"/>
        <v>43747.931767754628</v>
      </c>
    </row>
    <row r="6259" spans="1:10" x14ac:dyDescent="0.25">
      <c r="A6259" s="5" t="s">
        <v>12837</v>
      </c>
      <c r="B6259" s="6">
        <v>403.125</v>
      </c>
      <c r="C6259" s="6">
        <v>20.478950000000001</v>
      </c>
      <c r="D6259" s="6">
        <v>82</v>
      </c>
      <c r="E6259" s="6">
        <v>0</v>
      </c>
      <c r="F6259" s="6">
        <v>0</v>
      </c>
      <c r="G6259" s="6">
        <v>8</v>
      </c>
      <c r="H6259" s="6" t="s">
        <v>12838</v>
      </c>
      <c r="I6259" s="6">
        <v>529.875</v>
      </c>
      <c r="J6259" s="2">
        <f t="shared" si="97"/>
        <v>43747.931840092591</v>
      </c>
    </row>
    <row r="6260" spans="1:10" x14ac:dyDescent="0.25">
      <c r="A6260" s="7" t="s">
        <v>12839</v>
      </c>
      <c r="B6260" s="8">
        <v>403.125</v>
      </c>
      <c r="C6260" s="8">
        <v>20.478950000000001</v>
      </c>
      <c r="D6260" s="8">
        <v>82</v>
      </c>
      <c r="E6260" s="8">
        <v>0</v>
      </c>
      <c r="F6260" s="8">
        <v>0</v>
      </c>
      <c r="G6260" s="8">
        <v>15</v>
      </c>
      <c r="H6260" s="8" t="s">
        <v>12840</v>
      </c>
      <c r="I6260" s="8">
        <v>529.125</v>
      </c>
      <c r="J6260" s="3">
        <f t="shared" si="97"/>
        <v>43747.931923310178</v>
      </c>
    </row>
    <row r="6261" spans="1:10" x14ac:dyDescent="0.25">
      <c r="A6261" s="5" t="s">
        <v>12841</v>
      </c>
      <c r="B6261" s="6">
        <v>418.75</v>
      </c>
      <c r="C6261" s="6">
        <v>20.478950000000001</v>
      </c>
      <c r="D6261" s="6">
        <v>82</v>
      </c>
      <c r="E6261" s="6">
        <v>0</v>
      </c>
      <c r="F6261" s="6">
        <v>0</v>
      </c>
      <c r="G6261" s="6">
        <v>7</v>
      </c>
      <c r="H6261" s="6" t="s">
        <v>12842</v>
      </c>
      <c r="I6261" s="6">
        <v>534.75</v>
      </c>
      <c r="J6261" s="2">
        <f t="shared" si="97"/>
        <v>43747.931994131941</v>
      </c>
    </row>
    <row r="6262" spans="1:10" x14ac:dyDescent="0.25">
      <c r="A6262" s="7" t="s">
        <v>12843</v>
      </c>
      <c r="B6262" s="8">
        <v>403.125</v>
      </c>
      <c r="C6262" s="8">
        <v>20.478950000000001</v>
      </c>
      <c r="D6262" s="8">
        <v>83</v>
      </c>
      <c r="E6262" s="8">
        <v>0</v>
      </c>
      <c r="F6262" s="8">
        <v>0</v>
      </c>
      <c r="G6262" s="8">
        <v>9</v>
      </c>
      <c r="H6262" s="8" t="s">
        <v>12844</v>
      </c>
      <c r="I6262" s="8">
        <v>529.3125</v>
      </c>
      <c r="J6262" s="3">
        <f t="shared" si="97"/>
        <v>43747.932065891197</v>
      </c>
    </row>
    <row r="6263" spans="1:10" x14ac:dyDescent="0.25">
      <c r="A6263" s="5" t="s">
        <v>12845</v>
      </c>
      <c r="B6263" s="6">
        <v>403.125</v>
      </c>
      <c r="C6263" s="6">
        <v>20.478950000000001</v>
      </c>
      <c r="D6263" s="6">
        <v>83</v>
      </c>
      <c r="E6263" s="6">
        <v>0</v>
      </c>
      <c r="F6263" s="6">
        <v>0</v>
      </c>
      <c r="G6263" s="6">
        <v>12</v>
      </c>
      <c r="H6263" s="6" t="s">
        <v>12846</v>
      </c>
      <c r="I6263" s="6">
        <v>529.6875</v>
      </c>
      <c r="J6263" s="2">
        <f t="shared" si="97"/>
        <v>43747.932138113429</v>
      </c>
    </row>
    <row r="6264" spans="1:10" x14ac:dyDescent="0.25">
      <c r="A6264" s="7" t="s">
        <v>12847</v>
      </c>
      <c r="B6264" s="8">
        <v>406.25</v>
      </c>
      <c r="C6264" s="8">
        <v>20.478950000000001</v>
      </c>
      <c r="D6264" s="8">
        <v>84</v>
      </c>
      <c r="E6264" s="8">
        <v>0</v>
      </c>
      <c r="F6264" s="8">
        <v>0</v>
      </c>
      <c r="G6264" s="8">
        <v>15</v>
      </c>
      <c r="H6264" s="8" t="s">
        <v>12848</v>
      </c>
      <c r="I6264" s="8">
        <v>530.625</v>
      </c>
      <c r="J6264" s="3">
        <f t="shared" si="97"/>
        <v>43747.932209363418</v>
      </c>
    </row>
    <row r="6265" spans="1:10" x14ac:dyDescent="0.25">
      <c r="A6265" s="5" t="s">
        <v>12849</v>
      </c>
      <c r="B6265" s="6">
        <v>453.125</v>
      </c>
      <c r="C6265" s="6">
        <v>20.531590000000001</v>
      </c>
      <c r="D6265" s="6">
        <v>84</v>
      </c>
      <c r="E6265" s="6">
        <v>0</v>
      </c>
      <c r="F6265" s="6">
        <v>0</v>
      </c>
      <c r="G6265" s="6">
        <v>11</v>
      </c>
      <c r="H6265" s="6" t="s">
        <v>12850</v>
      </c>
      <c r="I6265" s="6">
        <v>545.0625</v>
      </c>
      <c r="J6265" s="2">
        <f t="shared" si="97"/>
        <v>43747.932280729168</v>
      </c>
    </row>
    <row r="6266" spans="1:10" x14ac:dyDescent="0.25">
      <c r="A6266" s="7" t="s">
        <v>12851</v>
      </c>
      <c r="B6266" s="8">
        <v>403.125</v>
      </c>
      <c r="C6266" s="8">
        <v>20.478950000000001</v>
      </c>
      <c r="D6266" s="8">
        <v>84</v>
      </c>
      <c r="E6266" s="8">
        <v>0</v>
      </c>
      <c r="F6266" s="8">
        <v>0</v>
      </c>
      <c r="G6266" s="8">
        <v>15</v>
      </c>
      <c r="H6266" s="8" t="s">
        <v>12852</v>
      </c>
      <c r="I6266" s="8">
        <v>529.875</v>
      </c>
      <c r="J6266" s="3">
        <f t="shared" si="97"/>
        <v>43747.932352060183</v>
      </c>
    </row>
    <row r="6267" spans="1:10" x14ac:dyDescent="0.25">
      <c r="A6267" s="5" t="s">
        <v>12853</v>
      </c>
      <c r="B6267" s="6">
        <v>403.125</v>
      </c>
      <c r="C6267" s="6">
        <v>20.478950000000001</v>
      </c>
      <c r="D6267" s="6">
        <v>84</v>
      </c>
      <c r="E6267" s="6">
        <v>0</v>
      </c>
      <c r="F6267" s="6">
        <v>0</v>
      </c>
      <c r="G6267" s="6">
        <v>12</v>
      </c>
      <c r="H6267" s="6" t="s">
        <v>12854</v>
      </c>
      <c r="I6267" s="6">
        <v>529.875</v>
      </c>
      <c r="J6267" s="2">
        <f t="shared" si="97"/>
        <v>43747.932423379629</v>
      </c>
    </row>
    <row r="6268" spans="1:10" x14ac:dyDescent="0.25">
      <c r="A6268" s="7" t="s">
        <v>12855</v>
      </c>
      <c r="B6268" s="8">
        <v>403.125</v>
      </c>
      <c r="C6268" s="8">
        <v>20.478950000000001</v>
      </c>
      <c r="D6268" s="8">
        <v>83</v>
      </c>
      <c r="E6268" s="8">
        <v>0</v>
      </c>
      <c r="F6268" s="8">
        <v>0</v>
      </c>
      <c r="G6268" s="8">
        <v>17</v>
      </c>
      <c r="H6268" s="8" t="s">
        <v>12856</v>
      </c>
      <c r="I6268" s="8">
        <v>529.125</v>
      </c>
      <c r="J6268" s="3">
        <f t="shared" si="97"/>
        <v>43747.932507569443</v>
      </c>
    </row>
    <row r="6269" spans="1:10" x14ac:dyDescent="0.25">
      <c r="A6269" s="5" t="s">
        <v>12857</v>
      </c>
      <c r="B6269" s="6">
        <v>403.125</v>
      </c>
      <c r="C6269" s="6">
        <v>20.478950000000001</v>
      </c>
      <c r="D6269" s="6">
        <v>83</v>
      </c>
      <c r="E6269" s="6">
        <v>0</v>
      </c>
      <c r="F6269" s="6">
        <v>0</v>
      </c>
      <c r="G6269" s="6">
        <v>0</v>
      </c>
      <c r="H6269" s="6" t="s">
        <v>12858</v>
      </c>
      <c r="I6269" s="6">
        <v>529.125</v>
      </c>
      <c r="J6269" s="2">
        <f t="shared" si="97"/>
        <v>43747.932590914344</v>
      </c>
    </row>
    <row r="6270" spans="1:10" x14ac:dyDescent="0.25">
      <c r="A6270" s="7" t="s">
        <v>12859</v>
      </c>
      <c r="B6270" s="8">
        <v>403.125</v>
      </c>
      <c r="C6270" s="8">
        <v>20.478950000000001</v>
      </c>
      <c r="D6270" s="8">
        <v>83</v>
      </c>
      <c r="E6270" s="8">
        <v>0</v>
      </c>
      <c r="F6270" s="8">
        <v>0</v>
      </c>
      <c r="G6270" s="8">
        <v>13</v>
      </c>
      <c r="H6270" s="8" t="s">
        <v>12860</v>
      </c>
      <c r="I6270" s="8">
        <v>529.125</v>
      </c>
      <c r="J6270" s="3">
        <f t="shared" si="97"/>
        <v>43747.932662187501</v>
      </c>
    </row>
    <row r="6271" spans="1:10" x14ac:dyDescent="0.25">
      <c r="A6271" s="5" t="s">
        <v>12861</v>
      </c>
      <c r="B6271" s="6">
        <v>403.125</v>
      </c>
      <c r="C6271" s="6">
        <v>20.478950000000001</v>
      </c>
      <c r="D6271" s="6">
        <v>83</v>
      </c>
      <c r="E6271" s="6">
        <v>0</v>
      </c>
      <c r="F6271" s="6">
        <v>0</v>
      </c>
      <c r="G6271" s="6">
        <v>12</v>
      </c>
      <c r="H6271" s="6" t="s">
        <v>12862</v>
      </c>
      <c r="I6271" s="6">
        <v>529.125</v>
      </c>
      <c r="J6271" s="2">
        <f t="shared" si="97"/>
        <v>43747.932745590275</v>
      </c>
    </row>
    <row r="6272" spans="1:10" x14ac:dyDescent="0.25">
      <c r="A6272" s="7" t="s">
        <v>12863</v>
      </c>
      <c r="B6272" s="8">
        <v>403.125</v>
      </c>
      <c r="C6272" s="8">
        <v>20.478950000000001</v>
      </c>
      <c r="D6272" s="8">
        <v>83</v>
      </c>
      <c r="E6272" s="8">
        <v>0</v>
      </c>
      <c r="F6272" s="8">
        <v>0</v>
      </c>
      <c r="G6272" s="8">
        <v>19</v>
      </c>
      <c r="H6272" s="8" t="s">
        <v>12864</v>
      </c>
      <c r="I6272" s="8">
        <v>529.125</v>
      </c>
      <c r="J6272" s="3">
        <f t="shared" si="97"/>
        <v>43747.932817766203</v>
      </c>
    </row>
    <row r="6273" spans="1:10" x14ac:dyDescent="0.25">
      <c r="A6273" s="5" t="s">
        <v>12865</v>
      </c>
      <c r="B6273" s="6">
        <v>403.125</v>
      </c>
      <c r="C6273" s="6">
        <v>20.478950000000001</v>
      </c>
      <c r="D6273" s="6">
        <v>82</v>
      </c>
      <c r="E6273" s="6">
        <v>0</v>
      </c>
      <c r="F6273" s="6">
        <v>0</v>
      </c>
      <c r="G6273" s="6">
        <v>13</v>
      </c>
      <c r="H6273" s="6" t="s">
        <v>12866</v>
      </c>
      <c r="I6273" s="6">
        <v>529.125</v>
      </c>
      <c r="J6273" s="2">
        <f t="shared" si="97"/>
        <v>43747.932925347217</v>
      </c>
    </row>
    <row r="6274" spans="1:10" x14ac:dyDescent="0.25">
      <c r="A6274" s="7" t="s">
        <v>12867</v>
      </c>
      <c r="B6274" s="8">
        <v>406.25</v>
      </c>
      <c r="C6274" s="8">
        <v>20.478950000000001</v>
      </c>
      <c r="D6274" s="8">
        <v>82</v>
      </c>
      <c r="E6274" s="8">
        <v>0</v>
      </c>
      <c r="F6274" s="8">
        <v>0</v>
      </c>
      <c r="G6274" s="8">
        <v>8</v>
      </c>
      <c r="H6274" s="8" t="s">
        <v>12868</v>
      </c>
      <c r="I6274" s="8">
        <v>530.8125</v>
      </c>
      <c r="J6274" s="3">
        <f t="shared" ref="J6274:J6337" si="98">(H6274/86400000)+25569+(7/24)</f>
        <v>43747.93299645833</v>
      </c>
    </row>
    <row r="6275" spans="1:10" x14ac:dyDescent="0.25">
      <c r="A6275" s="5" t="s">
        <v>12869</v>
      </c>
      <c r="B6275" s="6">
        <v>406.25</v>
      </c>
      <c r="C6275" s="6">
        <v>20.478950000000001</v>
      </c>
      <c r="D6275" s="6">
        <v>84</v>
      </c>
      <c r="E6275" s="6">
        <v>0</v>
      </c>
      <c r="F6275" s="6">
        <v>0</v>
      </c>
      <c r="G6275" s="6">
        <v>11</v>
      </c>
      <c r="H6275" s="6" t="s">
        <v>12870</v>
      </c>
      <c r="I6275" s="6">
        <v>530.625</v>
      </c>
      <c r="J6275" s="2">
        <f t="shared" si="98"/>
        <v>43747.933079791663</v>
      </c>
    </row>
    <row r="6276" spans="1:10" x14ac:dyDescent="0.25">
      <c r="A6276" s="7" t="s">
        <v>12871</v>
      </c>
      <c r="B6276" s="8">
        <v>409.375</v>
      </c>
      <c r="C6276" s="8">
        <v>20.478950000000001</v>
      </c>
      <c r="D6276" s="8">
        <v>84</v>
      </c>
      <c r="E6276" s="8">
        <v>0</v>
      </c>
      <c r="F6276" s="8">
        <v>0</v>
      </c>
      <c r="G6276" s="8">
        <v>14</v>
      </c>
      <c r="H6276" s="8" t="s">
        <v>12872</v>
      </c>
      <c r="I6276" s="8">
        <v>531.5625</v>
      </c>
      <c r="J6276" s="3">
        <f t="shared" si="98"/>
        <v>43747.933151249999</v>
      </c>
    </row>
    <row r="6277" spans="1:10" x14ac:dyDescent="0.25">
      <c r="A6277" s="5" t="s">
        <v>12873</v>
      </c>
      <c r="B6277" s="6">
        <v>409.375</v>
      </c>
      <c r="C6277" s="6">
        <v>20.478950000000001</v>
      </c>
      <c r="D6277" s="6">
        <v>83</v>
      </c>
      <c r="E6277" s="6">
        <v>0</v>
      </c>
      <c r="F6277" s="6">
        <v>0</v>
      </c>
      <c r="G6277" s="6">
        <v>5</v>
      </c>
      <c r="H6277" s="6" t="s">
        <v>12874</v>
      </c>
      <c r="I6277" s="6">
        <v>531.5625</v>
      </c>
      <c r="J6277" s="2">
        <f t="shared" si="98"/>
        <v>43747.933223148146</v>
      </c>
    </row>
    <row r="6278" spans="1:10" x14ac:dyDescent="0.25">
      <c r="A6278" s="7" t="s">
        <v>12875</v>
      </c>
      <c r="B6278" s="8">
        <v>409.375</v>
      </c>
      <c r="C6278" s="8">
        <v>20.478950000000001</v>
      </c>
      <c r="D6278" s="8">
        <v>83</v>
      </c>
      <c r="E6278" s="8">
        <v>0</v>
      </c>
      <c r="F6278" s="8">
        <v>0</v>
      </c>
      <c r="G6278" s="8">
        <v>7</v>
      </c>
      <c r="H6278" s="8" t="s">
        <v>12876</v>
      </c>
      <c r="I6278" s="8">
        <v>531.375</v>
      </c>
      <c r="J6278" s="3">
        <f t="shared" si="98"/>
        <v>43747.933293680551</v>
      </c>
    </row>
    <row r="6279" spans="1:10" x14ac:dyDescent="0.25">
      <c r="A6279" s="5" t="s">
        <v>12877</v>
      </c>
      <c r="B6279" s="6">
        <v>409.375</v>
      </c>
      <c r="C6279" s="6">
        <v>20.478950000000001</v>
      </c>
      <c r="D6279" s="6">
        <v>81</v>
      </c>
      <c r="E6279" s="6">
        <v>0</v>
      </c>
      <c r="F6279" s="6">
        <v>0</v>
      </c>
      <c r="G6279" s="6">
        <v>10</v>
      </c>
      <c r="H6279" s="6" t="s">
        <v>12878</v>
      </c>
      <c r="I6279" s="6">
        <v>531.375</v>
      </c>
      <c r="J6279" s="2">
        <f t="shared" si="98"/>
        <v>43747.933365925921</v>
      </c>
    </row>
    <row r="6280" spans="1:10" x14ac:dyDescent="0.25">
      <c r="A6280" s="7" t="s">
        <v>12879</v>
      </c>
      <c r="B6280" s="8">
        <v>412.5</v>
      </c>
      <c r="C6280" s="8">
        <v>20.478950000000001</v>
      </c>
      <c r="D6280" s="8">
        <v>81</v>
      </c>
      <c r="E6280" s="8">
        <v>0</v>
      </c>
      <c r="F6280" s="8">
        <v>0</v>
      </c>
      <c r="G6280" s="8">
        <v>9</v>
      </c>
      <c r="H6280" s="8" t="s">
        <v>12880</v>
      </c>
      <c r="I6280" s="8">
        <v>532.3125</v>
      </c>
      <c r="J6280" s="3">
        <f t="shared" si="98"/>
        <v>43747.933437210646</v>
      </c>
    </row>
    <row r="6281" spans="1:10" x14ac:dyDescent="0.25">
      <c r="A6281" s="5" t="s">
        <v>12881</v>
      </c>
      <c r="B6281" s="6">
        <v>412.5</v>
      </c>
      <c r="C6281" s="6">
        <v>20.478950000000001</v>
      </c>
      <c r="D6281" s="6">
        <v>81</v>
      </c>
      <c r="E6281" s="6">
        <v>0</v>
      </c>
      <c r="F6281" s="6">
        <v>0</v>
      </c>
      <c r="G6281" s="6">
        <v>6</v>
      </c>
      <c r="H6281" s="6" t="s">
        <v>12882</v>
      </c>
      <c r="I6281" s="6">
        <v>532.3125</v>
      </c>
      <c r="J6281" s="2">
        <f t="shared" si="98"/>
        <v>43747.933509421295</v>
      </c>
    </row>
    <row r="6282" spans="1:10" x14ac:dyDescent="0.25">
      <c r="A6282" s="7" t="s">
        <v>12883</v>
      </c>
      <c r="B6282" s="8">
        <v>412.5</v>
      </c>
      <c r="C6282" s="8">
        <v>20.478950000000001</v>
      </c>
      <c r="D6282" s="8">
        <v>81</v>
      </c>
      <c r="E6282" s="8">
        <v>0</v>
      </c>
      <c r="F6282" s="8">
        <v>0</v>
      </c>
      <c r="G6282" s="8">
        <v>8</v>
      </c>
      <c r="H6282" s="8" t="s">
        <v>12884</v>
      </c>
      <c r="I6282" s="8">
        <v>532.3125</v>
      </c>
      <c r="J6282" s="3">
        <f t="shared" si="98"/>
        <v>43747.933580729165</v>
      </c>
    </row>
    <row r="6283" spans="1:10" x14ac:dyDescent="0.25">
      <c r="A6283" s="5" t="s">
        <v>12885</v>
      </c>
      <c r="B6283" s="6">
        <v>412.5</v>
      </c>
      <c r="C6283" s="6">
        <v>20.478950000000001</v>
      </c>
      <c r="D6283" s="6">
        <v>83</v>
      </c>
      <c r="E6283" s="6">
        <v>0</v>
      </c>
      <c r="F6283" s="6">
        <v>0</v>
      </c>
      <c r="G6283" s="6">
        <v>10</v>
      </c>
      <c r="H6283" s="6" t="s">
        <v>12886</v>
      </c>
      <c r="I6283" s="6">
        <v>532.3125</v>
      </c>
      <c r="J6283" s="2">
        <f t="shared" si="98"/>
        <v>43747.933664050921</v>
      </c>
    </row>
    <row r="6284" spans="1:10" x14ac:dyDescent="0.25">
      <c r="A6284" s="7" t="s">
        <v>12887</v>
      </c>
      <c r="B6284" s="8">
        <v>453.125</v>
      </c>
      <c r="C6284" s="8">
        <v>20.478950000000001</v>
      </c>
      <c r="D6284" s="8">
        <v>80</v>
      </c>
      <c r="E6284" s="8">
        <v>0</v>
      </c>
      <c r="F6284" s="8">
        <v>0</v>
      </c>
      <c r="G6284" s="8">
        <v>13</v>
      </c>
      <c r="H6284" s="8" t="s">
        <v>12888</v>
      </c>
      <c r="I6284" s="8">
        <v>545.25</v>
      </c>
      <c r="J6284" s="3">
        <f t="shared" si="98"/>
        <v>43747.933735289349</v>
      </c>
    </row>
    <row r="6285" spans="1:10" x14ac:dyDescent="0.25">
      <c r="A6285" s="5" t="s">
        <v>12889</v>
      </c>
      <c r="B6285" s="6">
        <v>415.625</v>
      </c>
      <c r="C6285" s="6">
        <v>20.478950000000001</v>
      </c>
      <c r="D6285" s="6">
        <v>80</v>
      </c>
      <c r="E6285" s="6">
        <v>0</v>
      </c>
      <c r="F6285" s="6">
        <v>0</v>
      </c>
      <c r="G6285" s="6">
        <v>11</v>
      </c>
      <c r="H6285" s="6" t="s">
        <v>12890</v>
      </c>
      <c r="I6285" s="6">
        <v>533.25</v>
      </c>
      <c r="J6285" s="2">
        <f t="shared" si="98"/>
        <v>43747.933818761572</v>
      </c>
    </row>
    <row r="6286" spans="1:10" x14ac:dyDescent="0.25">
      <c r="A6286" s="7" t="s">
        <v>12891</v>
      </c>
      <c r="B6286" s="8">
        <v>412.5</v>
      </c>
      <c r="C6286" s="8">
        <v>20.478950000000001</v>
      </c>
      <c r="D6286" s="8">
        <v>81</v>
      </c>
      <c r="E6286" s="8">
        <v>0</v>
      </c>
      <c r="F6286" s="8">
        <v>0</v>
      </c>
      <c r="G6286" s="8">
        <v>14</v>
      </c>
      <c r="H6286" s="8" t="s">
        <v>12892</v>
      </c>
      <c r="I6286" s="8">
        <v>532.3125</v>
      </c>
      <c r="J6286" s="3">
        <f t="shared" si="98"/>
        <v>43747.933890914348</v>
      </c>
    </row>
    <row r="6287" spans="1:10" x14ac:dyDescent="0.25">
      <c r="A6287" s="5" t="s">
        <v>12893</v>
      </c>
      <c r="B6287" s="6">
        <v>412.5</v>
      </c>
      <c r="C6287" s="6">
        <v>20.478950000000001</v>
      </c>
      <c r="D6287" s="6">
        <v>81</v>
      </c>
      <c r="E6287" s="6">
        <v>0</v>
      </c>
      <c r="F6287" s="6">
        <v>0</v>
      </c>
      <c r="G6287" s="6">
        <v>5</v>
      </c>
      <c r="H6287" s="6" t="s">
        <v>12894</v>
      </c>
      <c r="I6287" s="6">
        <v>532.3125</v>
      </c>
      <c r="J6287" s="2">
        <f t="shared" si="98"/>
        <v>43747.933962199073</v>
      </c>
    </row>
    <row r="6288" spans="1:10" x14ac:dyDescent="0.25">
      <c r="A6288" s="7" t="s">
        <v>12895</v>
      </c>
      <c r="B6288" s="8">
        <v>412.5</v>
      </c>
      <c r="C6288" s="8">
        <v>20.478950000000001</v>
      </c>
      <c r="D6288" s="8">
        <v>82</v>
      </c>
      <c r="E6288" s="8">
        <v>0</v>
      </c>
      <c r="F6288" s="8">
        <v>0</v>
      </c>
      <c r="G6288" s="8">
        <v>11</v>
      </c>
      <c r="H6288" s="8" t="s">
        <v>12896</v>
      </c>
      <c r="I6288" s="8">
        <v>532.3125</v>
      </c>
      <c r="J6288" s="3">
        <f t="shared" si="98"/>
        <v>43747.934045532405</v>
      </c>
    </row>
    <row r="6289" spans="1:10" x14ac:dyDescent="0.25">
      <c r="A6289" s="5" t="s">
        <v>12897</v>
      </c>
      <c r="B6289" s="6">
        <v>412.5</v>
      </c>
      <c r="C6289" s="6">
        <v>20.478950000000001</v>
      </c>
      <c r="D6289" s="6">
        <v>82</v>
      </c>
      <c r="E6289" s="6">
        <v>0</v>
      </c>
      <c r="F6289" s="6">
        <v>0</v>
      </c>
      <c r="G6289" s="6">
        <v>12</v>
      </c>
      <c r="H6289" s="6" t="s">
        <v>12898</v>
      </c>
      <c r="I6289" s="6">
        <v>532.3125</v>
      </c>
      <c r="J6289" s="2">
        <f t="shared" si="98"/>
        <v>43747.934128877314</v>
      </c>
    </row>
    <row r="6290" spans="1:10" x14ac:dyDescent="0.25">
      <c r="A6290" s="7" t="s">
        <v>12899</v>
      </c>
      <c r="B6290" s="8">
        <v>412.5</v>
      </c>
      <c r="C6290" s="8">
        <v>20.478950000000001</v>
      </c>
      <c r="D6290" s="8">
        <v>83</v>
      </c>
      <c r="E6290" s="8">
        <v>0</v>
      </c>
      <c r="F6290" s="8">
        <v>0</v>
      </c>
      <c r="G6290" s="8">
        <v>11</v>
      </c>
      <c r="H6290" s="8" t="s">
        <v>12900</v>
      </c>
      <c r="I6290" s="8">
        <v>532.3125</v>
      </c>
      <c r="J6290" s="3">
        <f t="shared" si="98"/>
        <v>43747.934200902775</v>
      </c>
    </row>
    <row r="6291" spans="1:10" x14ac:dyDescent="0.25">
      <c r="A6291" s="5" t="s">
        <v>12901</v>
      </c>
      <c r="B6291" s="6">
        <v>412.5</v>
      </c>
      <c r="C6291" s="6">
        <v>20.478950000000001</v>
      </c>
      <c r="D6291" s="6">
        <v>83</v>
      </c>
      <c r="E6291" s="6">
        <v>0</v>
      </c>
      <c r="F6291" s="6">
        <v>0</v>
      </c>
      <c r="G6291" s="6">
        <v>5</v>
      </c>
      <c r="H6291" s="6" t="s">
        <v>12902</v>
      </c>
      <c r="I6291" s="6">
        <v>532.3125</v>
      </c>
      <c r="J6291" s="2">
        <f t="shared" si="98"/>
        <v>43747.934272384256</v>
      </c>
    </row>
    <row r="6292" spans="1:10" x14ac:dyDescent="0.25">
      <c r="A6292" s="7" t="s">
        <v>12903</v>
      </c>
      <c r="B6292" s="8">
        <v>412.5</v>
      </c>
      <c r="C6292" s="8">
        <v>20.478950000000001</v>
      </c>
      <c r="D6292" s="8">
        <v>81</v>
      </c>
      <c r="E6292" s="8">
        <v>0</v>
      </c>
      <c r="F6292" s="8">
        <v>0</v>
      </c>
      <c r="G6292" s="8">
        <v>9</v>
      </c>
      <c r="H6292" s="8" t="s">
        <v>12904</v>
      </c>
      <c r="I6292" s="8">
        <v>532.3125</v>
      </c>
      <c r="J6292" s="3">
        <f t="shared" si="98"/>
        <v>43747.934355659723</v>
      </c>
    </row>
    <row r="6293" spans="1:10" x14ac:dyDescent="0.25">
      <c r="A6293" s="5" t="s">
        <v>12905</v>
      </c>
      <c r="B6293" s="6">
        <v>412.5</v>
      </c>
      <c r="C6293" s="6">
        <v>20.478950000000001</v>
      </c>
      <c r="D6293" s="6">
        <v>81</v>
      </c>
      <c r="E6293" s="6">
        <v>0</v>
      </c>
      <c r="F6293" s="6">
        <v>0</v>
      </c>
      <c r="G6293" s="6">
        <v>10</v>
      </c>
      <c r="H6293" s="6" t="s">
        <v>12906</v>
      </c>
      <c r="I6293" s="6">
        <v>532.3125</v>
      </c>
      <c r="J6293" s="2">
        <f t="shared" si="98"/>
        <v>43747.934427048611</v>
      </c>
    </row>
    <row r="6294" spans="1:10" x14ac:dyDescent="0.25">
      <c r="A6294" s="7" t="s">
        <v>12907</v>
      </c>
      <c r="B6294" s="8">
        <v>412.5</v>
      </c>
      <c r="C6294" s="8">
        <v>20.478950000000001</v>
      </c>
      <c r="D6294" s="8">
        <v>81</v>
      </c>
      <c r="E6294" s="8">
        <v>0</v>
      </c>
      <c r="F6294" s="8">
        <v>0</v>
      </c>
      <c r="G6294" s="8">
        <v>10</v>
      </c>
      <c r="H6294" s="8" t="s">
        <v>12908</v>
      </c>
      <c r="I6294" s="8">
        <v>532.3125</v>
      </c>
      <c r="J6294" s="3">
        <f t="shared" si="98"/>
        <v>43747.934510277781</v>
      </c>
    </row>
    <row r="6295" spans="1:10" x14ac:dyDescent="0.25">
      <c r="A6295" s="5" t="s">
        <v>12909</v>
      </c>
      <c r="B6295" s="6">
        <v>412.5</v>
      </c>
      <c r="C6295" s="6">
        <v>20.478950000000001</v>
      </c>
      <c r="D6295" s="6">
        <v>80</v>
      </c>
      <c r="E6295" s="6">
        <v>0</v>
      </c>
      <c r="F6295" s="6">
        <v>0</v>
      </c>
      <c r="G6295" s="6">
        <v>8</v>
      </c>
      <c r="H6295" s="6" t="s">
        <v>12910</v>
      </c>
      <c r="I6295" s="6">
        <v>532.3125</v>
      </c>
      <c r="J6295" s="2">
        <f t="shared" si="98"/>
        <v>43747.934593877311</v>
      </c>
    </row>
    <row r="6296" spans="1:10" x14ac:dyDescent="0.25">
      <c r="A6296" s="7" t="s">
        <v>12911</v>
      </c>
      <c r="B6296" s="8">
        <v>412.5</v>
      </c>
      <c r="C6296" s="8">
        <v>20.478950000000001</v>
      </c>
      <c r="D6296" s="8">
        <v>80</v>
      </c>
      <c r="E6296" s="8">
        <v>0</v>
      </c>
      <c r="F6296" s="8">
        <v>0</v>
      </c>
      <c r="G6296" s="8">
        <v>9</v>
      </c>
      <c r="H6296" s="8" t="s">
        <v>12912</v>
      </c>
      <c r="I6296" s="8">
        <v>532.3125</v>
      </c>
      <c r="J6296" s="3">
        <f t="shared" si="98"/>
        <v>43747.934665925924</v>
      </c>
    </row>
    <row r="6297" spans="1:10" x14ac:dyDescent="0.25">
      <c r="A6297" s="5" t="s">
        <v>12913</v>
      </c>
      <c r="B6297" s="6">
        <v>412.5</v>
      </c>
      <c r="C6297" s="6">
        <v>20.478950000000001</v>
      </c>
      <c r="D6297" s="6">
        <v>80</v>
      </c>
      <c r="E6297" s="6">
        <v>0</v>
      </c>
      <c r="F6297" s="6">
        <v>0</v>
      </c>
      <c r="G6297" s="6">
        <v>10</v>
      </c>
      <c r="H6297" s="6" t="s">
        <v>12914</v>
      </c>
      <c r="I6297" s="6">
        <v>532.3125</v>
      </c>
      <c r="J6297" s="2">
        <f t="shared" si="98"/>
        <v>43747.934737280091</v>
      </c>
    </row>
    <row r="6298" spans="1:10" x14ac:dyDescent="0.25">
      <c r="A6298" s="7" t="s">
        <v>12915</v>
      </c>
      <c r="B6298" s="8">
        <v>412.5</v>
      </c>
      <c r="C6298" s="8">
        <v>20.478950000000001</v>
      </c>
      <c r="D6298" s="8">
        <v>80</v>
      </c>
      <c r="E6298" s="8">
        <v>0</v>
      </c>
      <c r="F6298" s="8">
        <v>0</v>
      </c>
      <c r="G6298" s="8">
        <v>13</v>
      </c>
      <c r="H6298" s="8" t="s">
        <v>12916</v>
      </c>
      <c r="I6298" s="8">
        <v>532.3125</v>
      </c>
      <c r="J6298" s="3">
        <f t="shared" si="98"/>
        <v>43747.934808437501</v>
      </c>
    </row>
    <row r="6299" spans="1:10" x14ac:dyDescent="0.25">
      <c r="A6299" s="5" t="s">
        <v>12917</v>
      </c>
      <c r="B6299" s="6">
        <v>412.5</v>
      </c>
      <c r="C6299" s="6">
        <v>20.478950000000001</v>
      </c>
      <c r="D6299" s="6">
        <v>80</v>
      </c>
      <c r="E6299" s="6">
        <v>0</v>
      </c>
      <c r="F6299" s="6">
        <v>0</v>
      </c>
      <c r="G6299" s="6">
        <v>10</v>
      </c>
      <c r="H6299" s="6" t="s">
        <v>12918</v>
      </c>
      <c r="I6299" s="6">
        <v>532.3125</v>
      </c>
      <c r="J6299" s="2">
        <f t="shared" si="98"/>
        <v>43747.934880601846</v>
      </c>
    </row>
    <row r="6300" spans="1:10" x14ac:dyDescent="0.25">
      <c r="A6300" s="7" t="s">
        <v>12919</v>
      </c>
      <c r="B6300" s="8">
        <v>412.5</v>
      </c>
      <c r="C6300" s="8">
        <v>20.478950000000001</v>
      </c>
      <c r="D6300" s="8">
        <v>79</v>
      </c>
      <c r="E6300" s="8">
        <v>0</v>
      </c>
      <c r="F6300" s="8">
        <v>0</v>
      </c>
      <c r="G6300" s="8">
        <v>14</v>
      </c>
      <c r="H6300" s="8" t="s">
        <v>12920</v>
      </c>
      <c r="I6300" s="8">
        <v>532.3125</v>
      </c>
      <c r="J6300" s="3">
        <f t="shared" si="98"/>
        <v>43747.934952013886</v>
      </c>
    </row>
    <row r="6301" spans="1:10" x14ac:dyDescent="0.25">
      <c r="A6301" s="5" t="s">
        <v>12921</v>
      </c>
      <c r="B6301" s="6">
        <v>412.5</v>
      </c>
      <c r="C6301" s="6">
        <v>20.478950000000001</v>
      </c>
      <c r="D6301" s="6">
        <v>79</v>
      </c>
      <c r="E6301" s="6">
        <v>0</v>
      </c>
      <c r="F6301" s="6">
        <v>0</v>
      </c>
      <c r="G6301" s="6">
        <v>9</v>
      </c>
      <c r="H6301" s="6" t="s">
        <v>12922</v>
      </c>
      <c r="I6301" s="6">
        <v>532.3125</v>
      </c>
      <c r="J6301" s="2">
        <f t="shared" si="98"/>
        <v>43747.935023483798</v>
      </c>
    </row>
    <row r="6302" spans="1:10" x14ac:dyDescent="0.25">
      <c r="A6302" s="7" t="s">
        <v>12923</v>
      </c>
      <c r="B6302" s="8">
        <v>409.375</v>
      </c>
      <c r="C6302" s="8">
        <v>20.478950000000001</v>
      </c>
      <c r="D6302" s="8">
        <v>79</v>
      </c>
      <c r="E6302" s="8">
        <v>0</v>
      </c>
      <c r="F6302" s="8">
        <v>0</v>
      </c>
      <c r="G6302" s="8">
        <v>16</v>
      </c>
      <c r="H6302" s="8" t="s">
        <v>12924</v>
      </c>
      <c r="I6302" s="8">
        <v>531.5625</v>
      </c>
      <c r="J6302" s="3">
        <f t="shared" si="98"/>
        <v>43747.935094664346</v>
      </c>
    </row>
    <row r="6303" spans="1:10" x14ac:dyDescent="0.25">
      <c r="A6303" s="5" t="s">
        <v>12925</v>
      </c>
      <c r="B6303" s="6">
        <v>409.375</v>
      </c>
      <c r="C6303" s="6">
        <v>20.478950000000001</v>
      </c>
      <c r="D6303" s="6">
        <v>77</v>
      </c>
      <c r="E6303" s="6">
        <v>0</v>
      </c>
      <c r="F6303" s="6">
        <v>0</v>
      </c>
      <c r="G6303" s="6">
        <v>8</v>
      </c>
      <c r="H6303" s="6" t="s">
        <v>12926</v>
      </c>
      <c r="I6303" s="6">
        <v>531.5625</v>
      </c>
      <c r="J6303" s="2">
        <f t="shared" si="98"/>
        <v>43747.935166898147</v>
      </c>
    </row>
    <row r="6304" spans="1:10" x14ac:dyDescent="0.25">
      <c r="A6304" s="7" t="s">
        <v>12927</v>
      </c>
      <c r="B6304" s="8">
        <v>409.375</v>
      </c>
      <c r="C6304" s="8">
        <v>20.478950000000001</v>
      </c>
      <c r="D6304" s="8">
        <v>77</v>
      </c>
      <c r="E6304" s="8">
        <v>0</v>
      </c>
      <c r="F6304" s="8">
        <v>0</v>
      </c>
      <c r="G6304" s="8">
        <v>19</v>
      </c>
      <c r="H6304" s="8" t="s">
        <v>12928</v>
      </c>
      <c r="I6304" s="8">
        <v>531.5625</v>
      </c>
      <c r="J6304" s="3">
        <f t="shared" si="98"/>
        <v>43747.935238124999</v>
      </c>
    </row>
    <row r="6305" spans="1:10" x14ac:dyDescent="0.25">
      <c r="A6305" s="5" t="s">
        <v>12929</v>
      </c>
      <c r="B6305" s="6">
        <v>428.125</v>
      </c>
      <c r="C6305" s="6">
        <v>20.478950000000001</v>
      </c>
      <c r="D6305" s="6">
        <v>79</v>
      </c>
      <c r="E6305" s="6">
        <v>0</v>
      </c>
      <c r="F6305" s="6">
        <v>0</v>
      </c>
      <c r="G6305" s="6">
        <v>13</v>
      </c>
      <c r="H6305" s="6" t="s">
        <v>12930</v>
      </c>
      <c r="I6305" s="6">
        <v>537.1875</v>
      </c>
      <c r="J6305" s="2">
        <f t="shared" si="98"/>
        <v>43747.935309479166</v>
      </c>
    </row>
    <row r="6306" spans="1:10" x14ac:dyDescent="0.25">
      <c r="A6306" s="7" t="s">
        <v>12931</v>
      </c>
      <c r="B6306" s="8">
        <v>406.25</v>
      </c>
      <c r="C6306" s="8">
        <v>20.478950000000001</v>
      </c>
      <c r="D6306" s="8">
        <v>80</v>
      </c>
      <c r="E6306" s="8">
        <v>0</v>
      </c>
      <c r="F6306" s="8">
        <v>0</v>
      </c>
      <c r="G6306" s="8">
        <v>5</v>
      </c>
      <c r="H6306" s="8" t="s">
        <v>12932</v>
      </c>
      <c r="I6306" s="8">
        <v>530.8125</v>
      </c>
      <c r="J6306" s="3">
        <f t="shared" si="98"/>
        <v>43747.935392847219</v>
      </c>
    </row>
    <row r="6307" spans="1:10" x14ac:dyDescent="0.25">
      <c r="A6307" s="5" t="s">
        <v>12933</v>
      </c>
      <c r="B6307" s="6">
        <v>425</v>
      </c>
      <c r="C6307" s="6">
        <v>20.478950000000001</v>
      </c>
      <c r="D6307" s="6">
        <v>78</v>
      </c>
      <c r="E6307" s="6">
        <v>0</v>
      </c>
      <c r="F6307" s="6">
        <v>0</v>
      </c>
      <c r="G6307" s="6">
        <v>5</v>
      </c>
      <c r="H6307" s="6" t="s">
        <v>12934</v>
      </c>
      <c r="I6307" s="6">
        <v>536.4375</v>
      </c>
      <c r="J6307" s="2">
        <f t="shared" si="98"/>
        <v>43747.935488159717</v>
      </c>
    </row>
    <row r="6308" spans="1:10" x14ac:dyDescent="0.25">
      <c r="A6308" s="7" t="s">
        <v>12935</v>
      </c>
      <c r="B6308" s="8">
        <v>406.25</v>
      </c>
      <c r="C6308" s="8">
        <v>20.478950000000001</v>
      </c>
      <c r="D6308" s="8">
        <v>77</v>
      </c>
      <c r="E6308" s="8">
        <v>0</v>
      </c>
      <c r="F6308" s="8">
        <v>0</v>
      </c>
      <c r="G6308" s="8">
        <v>9</v>
      </c>
      <c r="H6308" s="8" t="s">
        <v>12936</v>
      </c>
      <c r="I6308" s="8">
        <v>530.8125</v>
      </c>
      <c r="J6308" s="3">
        <f t="shared" si="98"/>
        <v>43747.935560324077</v>
      </c>
    </row>
    <row r="6309" spans="1:10" x14ac:dyDescent="0.25">
      <c r="A6309" s="5" t="s">
        <v>12937</v>
      </c>
      <c r="B6309" s="6">
        <v>409.375</v>
      </c>
      <c r="C6309" s="6">
        <v>20.478950000000001</v>
      </c>
      <c r="D6309" s="6">
        <v>79</v>
      </c>
      <c r="E6309" s="6">
        <v>0</v>
      </c>
      <c r="F6309" s="6">
        <v>0</v>
      </c>
      <c r="G6309" s="6">
        <v>12</v>
      </c>
      <c r="H6309" s="6" t="s">
        <v>12938</v>
      </c>
      <c r="I6309" s="6">
        <v>531.5625</v>
      </c>
      <c r="J6309" s="2">
        <f t="shared" si="98"/>
        <v>43747.935631574073</v>
      </c>
    </row>
    <row r="6310" spans="1:10" x14ac:dyDescent="0.25">
      <c r="A6310" s="7" t="s">
        <v>12939</v>
      </c>
      <c r="B6310" s="8">
        <v>409.375</v>
      </c>
      <c r="C6310" s="8">
        <v>20.478950000000001</v>
      </c>
      <c r="D6310" s="8">
        <v>78</v>
      </c>
      <c r="E6310" s="8">
        <v>0</v>
      </c>
      <c r="F6310" s="8">
        <v>0</v>
      </c>
      <c r="G6310" s="8">
        <v>10</v>
      </c>
      <c r="H6310" s="8" t="s">
        <v>12940</v>
      </c>
      <c r="I6310" s="8">
        <v>531.5625</v>
      </c>
      <c r="J6310" s="3">
        <f t="shared" si="98"/>
        <v>43747.935702881943</v>
      </c>
    </row>
    <row r="6311" spans="1:10" x14ac:dyDescent="0.25">
      <c r="A6311" s="5" t="s">
        <v>12941</v>
      </c>
      <c r="B6311" s="6">
        <v>428.125</v>
      </c>
      <c r="C6311" s="6">
        <v>20.478950000000001</v>
      </c>
      <c r="D6311" s="6">
        <v>78</v>
      </c>
      <c r="E6311" s="6">
        <v>0</v>
      </c>
      <c r="F6311" s="6">
        <v>0</v>
      </c>
      <c r="G6311" s="6">
        <v>11</v>
      </c>
      <c r="H6311" s="6" t="s">
        <v>12942</v>
      </c>
      <c r="I6311" s="6">
        <v>537.1875</v>
      </c>
      <c r="J6311" s="2">
        <f t="shared" si="98"/>
        <v>43747.935774270831</v>
      </c>
    </row>
    <row r="6312" spans="1:10" x14ac:dyDescent="0.25">
      <c r="A6312" s="7" t="s">
        <v>12943</v>
      </c>
      <c r="B6312" s="8">
        <v>409.375</v>
      </c>
      <c r="C6312" s="8">
        <v>20.478950000000001</v>
      </c>
      <c r="D6312" s="8">
        <v>79</v>
      </c>
      <c r="E6312" s="8">
        <v>0</v>
      </c>
      <c r="F6312" s="8">
        <v>0</v>
      </c>
      <c r="G6312" s="8">
        <v>15</v>
      </c>
      <c r="H6312" s="8" t="s">
        <v>12944</v>
      </c>
      <c r="I6312" s="8">
        <v>531.5625</v>
      </c>
      <c r="J6312" s="3">
        <f t="shared" si="98"/>
        <v>43747.935846435183</v>
      </c>
    </row>
    <row r="6313" spans="1:10" x14ac:dyDescent="0.25">
      <c r="A6313" s="5" t="s">
        <v>12945</v>
      </c>
      <c r="B6313" s="6">
        <v>409.375</v>
      </c>
      <c r="C6313" s="6">
        <v>20.478950000000001</v>
      </c>
      <c r="D6313" s="6">
        <v>80</v>
      </c>
      <c r="E6313" s="6">
        <v>0</v>
      </c>
      <c r="F6313" s="6">
        <v>0</v>
      </c>
      <c r="G6313" s="6">
        <v>15</v>
      </c>
      <c r="H6313" s="6" t="s">
        <v>12946</v>
      </c>
      <c r="I6313" s="6">
        <v>531.5625</v>
      </c>
      <c r="J6313" s="2">
        <f t="shared" si="98"/>
        <v>43747.935917766205</v>
      </c>
    </row>
    <row r="6314" spans="1:10" x14ac:dyDescent="0.25">
      <c r="A6314" s="7" t="s">
        <v>12947</v>
      </c>
      <c r="B6314" s="8">
        <v>409.375</v>
      </c>
      <c r="C6314" s="8">
        <v>20.478950000000001</v>
      </c>
      <c r="D6314" s="8">
        <v>80</v>
      </c>
      <c r="E6314" s="8">
        <v>0</v>
      </c>
      <c r="F6314" s="8">
        <v>0</v>
      </c>
      <c r="G6314" s="8">
        <v>4</v>
      </c>
      <c r="H6314" s="8" t="s">
        <v>12948</v>
      </c>
      <c r="I6314" s="8">
        <v>531.375</v>
      </c>
      <c r="J6314" s="3">
        <f t="shared" si="98"/>
        <v>43747.936001018512</v>
      </c>
    </row>
    <row r="6315" spans="1:10" x14ac:dyDescent="0.25">
      <c r="A6315" s="5" t="s">
        <v>12949</v>
      </c>
      <c r="B6315" s="6">
        <v>406.25</v>
      </c>
      <c r="C6315" s="6">
        <v>20.478950000000001</v>
      </c>
      <c r="D6315" s="6">
        <v>80</v>
      </c>
      <c r="E6315" s="6">
        <v>0</v>
      </c>
      <c r="F6315" s="6">
        <v>0</v>
      </c>
      <c r="G6315" s="6">
        <v>10</v>
      </c>
      <c r="H6315" s="6" t="s">
        <v>12950</v>
      </c>
      <c r="I6315" s="6">
        <v>530.625</v>
      </c>
      <c r="J6315" s="2">
        <f t="shared" si="98"/>
        <v>43747.936073055556</v>
      </c>
    </row>
    <row r="6316" spans="1:10" x14ac:dyDescent="0.25">
      <c r="A6316" s="7" t="s">
        <v>12951</v>
      </c>
      <c r="B6316" s="8">
        <v>406.25</v>
      </c>
      <c r="C6316" s="8">
        <v>20.478950000000001</v>
      </c>
      <c r="D6316" s="8">
        <v>77</v>
      </c>
      <c r="E6316" s="8">
        <v>0</v>
      </c>
      <c r="F6316" s="8">
        <v>0</v>
      </c>
      <c r="G6316" s="8">
        <v>5</v>
      </c>
      <c r="H6316" s="8" t="s">
        <v>12952</v>
      </c>
      <c r="I6316" s="8">
        <v>530.8125</v>
      </c>
      <c r="J6316" s="3">
        <f t="shared" si="98"/>
        <v>43747.936144594903</v>
      </c>
    </row>
    <row r="6317" spans="1:10" x14ac:dyDescent="0.25">
      <c r="A6317" s="5" t="s">
        <v>12953</v>
      </c>
      <c r="B6317" s="6">
        <v>406.25</v>
      </c>
      <c r="C6317" s="6">
        <v>20.478950000000001</v>
      </c>
      <c r="D6317" s="6">
        <v>77</v>
      </c>
      <c r="E6317" s="6">
        <v>0</v>
      </c>
      <c r="F6317" s="6">
        <v>0</v>
      </c>
      <c r="G6317" s="6">
        <v>10</v>
      </c>
      <c r="H6317" s="6" t="s">
        <v>12954</v>
      </c>
      <c r="I6317" s="6">
        <v>530.625</v>
      </c>
      <c r="J6317" s="2">
        <f t="shared" si="98"/>
        <v>43747.936215821755</v>
      </c>
    </row>
    <row r="6318" spans="1:10" x14ac:dyDescent="0.25">
      <c r="A6318" s="7" t="s">
        <v>12955</v>
      </c>
      <c r="B6318" s="8">
        <v>406.25</v>
      </c>
      <c r="C6318" s="8">
        <v>20.478950000000001</v>
      </c>
      <c r="D6318" s="8">
        <v>78</v>
      </c>
      <c r="E6318" s="8">
        <v>0</v>
      </c>
      <c r="F6318" s="8">
        <v>0</v>
      </c>
      <c r="G6318" s="8">
        <v>8</v>
      </c>
      <c r="H6318" s="8" t="s">
        <v>12956</v>
      </c>
      <c r="I6318" s="8">
        <v>530.8125</v>
      </c>
      <c r="J6318" s="3">
        <f t="shared" si="98"/>
        <v>43747.936287199067</v>
      </c>
    </row>
    <row r="6319" spans="1:10" x14ac:dyDescent="0.25">
      <c r="A6319" s="5" t="s">
        <v>12957</v>
      </c>
      <c r="B6319" s="6">
        <v>406.25</v>
      </c>
      <c r="C6319" s="6">
        <v>20.478950000000001</v>
      </c>
      <c r="D6319" s="6">
        <v>78</v>
      </c>
      <c r="E6319" s="6">
        <v>0</v>
      </c>
      <c r="F6319" s="6">
        <v>0</v>
      </c>
      <c r="G6319" s="6">
        <v>5</v>
      </c>
      <c r="H6319" s="6" t="s">
        <v>12958</v>
      </c>
      <c r="I6319" s="6">
        <v>530.8125</v>
      </c>
      <c r="J6319" s="2">
        <f t="shared" si="98"/>
        <v>43747.936358472223</v>
      </c>
    </row>
    <row r="6320" spans="1:10" x14ac:dyDescent="0.25">
      <c r="A6320" s="7" t="s">
        <v>12959</v>
      </c>
      <c r="B6320" s="8">
        <v>406.25</v>
      </c>
      <c r="C6320" s="8">
        <v>20.478950000000001</v>
      </c>
      <c r="D6320" s="8">
        <v>79</v>
      </c>
      <c r="E6320" s="8">
        <v>0</v>
      </c>
      <c r="F6320" s="8">
        <v>0</v>
      </c>
      <c r="G6320" s="8">
        <v>10</v>
      </c>
      <c r="H6320" s="8" t="s">
        <v>12960</v>
      </c>
      <c r="I6320" s="8">
        <v>530.8125</v>
      </c>
      <c r="J6320" s="3">
        <f t="shared" si="98"/>
        <v>43747.936440115744</v>
      </c>
    </row>
    <row r="6321" spans="1:10" x14ac:dyDescent="0.25">
      <c r="A6321" s="5" t="s">
        <v>12961</v>
      </c>
      <c r="B6321" s="6">
        <v>406.25</v>
      </c>
      <c r="C6321" s="6">
        <v>20.478950000000001</v>
      </c>
      <c r="D6321" s="6">
        <v>79</v>
      </c>
      <c r="E6321" s="6">
        <v>0</v>
      </c>
      <c r="F6321" s="6">
        <v>0</v>
      </c>
      <c r="G6321" s="6">
        <v>6</v>
      </c>
      <c r="H6321" s="6" t="s">
        <v>12962</v>
      </c>
      <c r="I6321" s="6">
        <v>530.8125</v>
      </c>
      <c r="J6321" s="2">
        <f t="shared" si="98"/>
        <v>43747.9365139699</v>
      </c>
    </row>
    <row r="6322" spans="1:10" x14ac:dyDescent="0.25">
      <c r="A6322" s="7" t="s">
        <v>12963</v>
      </c>
      <c r="B6322" s="8">
        <v>406.25</v>
      </c>
      <c r="C6322" s="8">
        <v>20.478950000000001</v>
      </c>
      <c r="D6322" s="8">
        <v>80</v>
      </c>
      <c r="E6322" s="8">
        <v>0</v>
      </c>
      <c r="F6322" s="8">
        <v>0</v>
      </c>
      <c r="G6322" s="8">
        <v>11</v>
      </c>
      <c r="H6322" s="8" t="s">
        <v>12964</v>
      </c>
      <c r="I6322" s="8">
        <v>530.625</v>
      </c>
      <c r="J6322" s="3">
        <f t="shared" si="98"/>
        <v>43747.93658533565</v>
      </c>
    </row>
    <row r="6323" spans="1:10" x14ac:dyDescent="0.25">
      <c r="A6323" s="5" t="s">
        <v>12965</v>
      </c>
      <c r="B6323" s="6">
        <v>406.25</v>
      </c>
      <c r="C6323" s="6">
        <v>20.478950000000001</v>
      </c>
      <c r="D6323" s="6">
        <v>80</v>
      </c>
      <c r="E6323" s="6">
        <v>0</v>
      </c>
      <c r="F6323" s="6">
        <v>0</v>
      </c>
      <c r="G6323" s="6">
        <v>13</v>
      </c>
      <c r="H6323" s="6" t="s">
        <v>12966</v>
      </c>
      <c r="I6323" s="6">
        <v>530.625</v>
      </c>
      <c r="J6323" s="2">
        <f t="shared" si="98"/>
        <v>43747.936657569437</v>
      </c>
    </row>
    <row r="6324" spans="1:10" x14ac:dyDescent="0.25">
      <c r="A6324" s="7" t="s">
        <v>12967</v>
      </c>
      <c r="B6324" s="8">
        <v>403.125</v>
      </c>
      <c r="C6324" s="8">
        <v>20.478950000000001</v>
      </c>
      <c r="D6324" s="8">
        <v>80</v>
      </c>
      <c r="E6324" s="8">
        <v>0</v>
      </c>
      <c r="F6324" s="8">
        <v>0</v>
      </c>
      <c r="G6324" s="8">
        <v>6</v>
      </c>
      <c r="H6324" s="8" t="s">
        <v>12968</v>
      </c>
      <c r="I6324" s="8">
        <v>529.875</v>
      </c>
      <c r="J6324" s="3">
        <f t="shared" si="98"/>
        <v>43747.936728888882</v>
      </c>
    </row>
    <row r="6325" spans="1:10" x14ac:dyDescent="0.25">
      <c r="A6325" s="5" t="s">
        <v>12969</v>
      </c>
      <c r="B6325" s="6">
        <v>406.25</v>
      </c>
      <c r="C6325" s="6">
        <v>20.478950000000001</v>
      </c>
      <c r="D6325" s="6">
        <v>77</v>
      </c>
      <c r="E6325" s="6">
        <v>0</v>
      </c>
      <c r="F6325" s="6">
        <v>0</v>
      </c>
      <c r="G6325" s="6">
        <v>14</v>
      </c>
      <c r="H6325" s="6" t="s">
        <v>12970</v>
      </c>
      <c r="I6325" s="6">
        <v>530.625</v>
      </c>
      <c r="J6325" s="2">
        <f t="shared" si="98"/>
        <v>43747.936812175925</v>
      </c>
    </row>
    <row r="6326" spans="1:10" x14ac:dyDescent="0.25">
      <c r="A6326" s="7" t="s">
        <v>12971</v>
      </c>
      <c r="B6326" s="8">
        <v>406.25</v>
      </c>
      <c r="C6326" s="8">
        <v>20.478950000000001</v>
      </c>
      <c r="D6326" s="8">
        <v>77</v>
      </c>
      <c r="E6326" s="8">
        <v>0</v>
      </c>
      <c r="F6326" s="8">
        <v>0</v>
      </c>
      <c r="G6326" s="8">
        <v>7</v>
      </c>
      <c r="H6326" s="8" t="s">
        <v>12972</v>
      </c>
      <c r="I6326" s="8">
        <v>530.625</v>
      </c>
      <c r="J6326" s="3">
        <f t="shared" si="98"/>
        <v>43747.936895474537</v>
      </c>
    </row>
    <row r="6327" spans="1:10" x14ac:dyDescent="0.25">
      <c r="A6327" s="5" t="s">
        <v>12973</v>
      </c>
      <c r="B6327" s="6">
        <v>406.25</v>
      </c>
      <c r="C6327" s="6">
        <v>20.478950000000001</v>
      </c>
      <c r="D6327" s="6">
        <v>77</v>
      </c>
      <c r="E6327" s="6">
        <v>0</v>
      </c>
      <c r="F6327" s="6">
        <v>0</v>
      </c>
      <c r="G6327" s="6">
        <v>15</v>
      </c>
      <c r="H6327" s="6" t="s">
        <v>12974</v>
      </c>
      <c r="I6327" s="6">
        <v>530.625</v>
      </c>
      <c r="J6327" s="2">
        <f t="shared" si="98"/>
        <v>43747.936966863424</v>
      </c>
    </row>
    <row r="6328" spans="1:10" x14ac:dyDescent="0.25">
      <c r="A6328" s="7" t="s">
        <v>12975</v>
      </c>
      <c r="B6328" s="8">
        <v>406.25</v>
      </c>
      <c r="C6328" s="8">
        <v>20.478950000000001</v>
      </c>
      <c r="D6328" s="8">
        <v>76</v>
      </c>
      <c r="E6328" s="8">
        <v>0</v>
      </c>
      <c r="F6328" s="8">
        <v>0</v>
      </c>
      <c r="G6328" s="8">
        <v>14</v>
      </c>
      <c r="H6328" s="8" t="s">
        <v>12976</v>
      </c>
      <c r="I6328" s="8">
        <v>530.8125</v>
      </c>
      <c r="J6328" s="3">
        <f t="shared" si="98"/>
        <v>43747.937038564814</v>
      </c>
    </row>
    <row r="6329" spans="1:10" x14ac:dyDescent="0.25">
      <c r="A6329" s="5" t="s">
        <v>12977</v>
      </c>
      <c r="B6329" s="6">
        <v>431.25</v>
      </c>
      <c r="C6329" s="6">
        <v>20.478950000000001</v>
      </c>
      <c r="D6329" s="6">
        <v>76</v>
      </c>
      <c r="E6329" s="6">
        <v>0</v>
      </c>
      <c r="F6329" s="6">
        <v>0</v>
      </c>
      <c r="G6329" s="6">
        <v>12</v>
      </c>
      <c r="H6329" s="6" t="s">
        <v>12978</v>
      </c>
      <c r="I6329" s="6">
        <v>538.5</v>
      </c>
      <c r="J6329" s="2">
        <f t="shared" si="98"/>
        <v>43747.937110347215</v>
      </c>
    </row>
    <row r="6330" spans="1:10" x14ac:dyDescent="0.25">
      <c r="A6330" s="7" t="s">
        <v>12979</v>
      </c>
      <c r="B6330" s="8">
        <v>409.375</v>
      </c>
      <c r="C6330" s="8">
        <v>20.478950000000001</v>
      </c>
      <c r="D6330" s="8">
        <v>79</v>
      </c>
      <c r="E6330" s="8">
        <v>0</v>
      </c>
      <c r="F6330" s="8">
        <v>0</v>
      </c>
      <c r="G6330" s="8">
        <v>10</v>
      </c>
      <c r="H6330" s="8" t="s">
        <v>12980</v>
      </c>
      <c r="I6330" s="8">
        <v>531.5625</v>
      </c>
      <c r="J6330" s="3">
        <f t="shared" si="98"/>
        <v>43747.937193680555</v>
      </c>
    </row>
    <row r="6331" spans="1:10" x14ac:dyDescent="0.25">
      <c r="A6331" s="5" t="s">
        <v>12981</v>
      </c>
      <c r="B6331" s="6">
        <v>409.375</v>
      </c>
      <c r="C6331" s="6">
        <v>20.478950000000001</v>
      </c>
      <c r="D6331" s="6">
        <v>79</v>
      </c>
      <c r="E6331" s="6">
        <v>0</v>
      </c>
      <c r="F6331" s="6">
        <v>0</v>
      </c>
      <c r="G6331" s="6">
        <v>20</v>
      </c>
      <c r="H6331" s="6" t="s">
        <v>12982</v>
      </c>
      <c r="I6331" s="6">
        <v>531.375</v>
      </c>
      <c r="J6331" s="2">
        <f t="shared" si="98"/>
        <v>43747.937264965272</v>
      </c>
    </row>
    <row r="6332" spans="1:10" x14ac:dyDescent="0.25">
      <c r="A6332" s="7" t="s">
        <v>12983</v>
      </c>
      <c r="B6332" s="8">
        <v>409.375</v>
      </c>
      <c r="C6332" s="8">
        <v>20.478950000000001</v>
      </c>
      <c r="D6332" s="8">
        <v>79</v>
      </c>
      <c r="E6332" s="8">
        <v>0</v>
      </c>
      <c r="F6332" s="8">
        <v>0</v>
      </c>
      <c r="G6332" s="8">
        <v>9</v>
      </c>
      <c r="H6332" s="8" t="s">
        <v>12984</v>
      </c>
      <c r="I6332" s="8">
        <v>531.375</v>
      </c>
      <c r="J6332" s="3">
        <f t="shared" si="98"/>
        <v>43747.937337199073</v>
      </c>
    </row>
    <row r="6333" spans="1:10" x14ac:dyDescent="0.25">
      <c r="A6333" s="5" t="s">
        <v>12985</v>
      </c>
      <c r="B6333" s="6">
        <v>409.375</v>
      </c>
      <c r="C6333" s="6">
        <v>20.478950000000001</v>
      </c>
      <c r="D6333" s="6">
        <v>79</v>
      </c>
      <c r="E6333" s="6">
        <v>0</v>
      </c>
      <c r="F6333" s="6">
        <v>0</v>
      </c>
      <c r="G6333" s="6">
        <v>8</v>
      </c>
      <c r="H6333" s="6" t="s">
        <v>12986</v>
      </c>
      <c r="I6333" s="6">
        <v>531.375</v>
      </c>
      <c r="J6333" s="2">
        <f t="shared" si="98"/>
        <v>43747.937408495367</v>
      </c>
    </row>
    <row r="6334" spans="1:10" x14ac:dyDescent="0.25">
      <c r="A6334" s="7" t="s">
        <v>12987</v>
      </c>
      <c r="B6334" s="8">
        <v>412.5</v>
      </c>
      <c r="C6334" s="8">
        <v>20.478950000000001</v>
      </c>
      <c r="D6334" s="8">
        <v>78</v>
      </c>
      <c r="E6334" s="8">
        <v>0</v>
      </c>
      <c r="F6334" s="8">
        <v>0</v>
      </c>
      <c r="G6334" s="8">
        <v>9</v>
      </c>
      <c r="H6334" s="8" t="s">
        <v>12988</v>
      </c>
      <c r="I6334" s="8">
        <v>532.3125</v>
      </c>
      <c r="J6334" s="3">
        <f t="shared" si="98"/>
        <v>43747.937479780092</v>
      </c>
    </row>
    <row r="6335" spans="1:10" x14ac:dyDescent="0.25">
      <c r="A6335" s="5" t="s">
        <v>12989</v>
      </c>
      <c r="B6335" s="6">
        <v>412.5</v>
      </c>
      <c r="C6335" s="6">
        <v>20.478950000000001</v>
      </c>
      <c r="D6335" s="6">
        <v>78</v>
      </c>
      <c r="E6335" s="6">
        <v>0</v>
      </c>
      <c r="F6335" s="6">
        <v>0</v>
      </c>
      <c r="G6335" s="6">
        <v>13</v>
      </c>
      <c r="H6335" s="6" t="s">
        <v>12990</v>
      </c>
      <c r="I6335" s="6">
        <v>532.3125</v>
      </c>
      <c r="J6335" s="2">
        <f t="shared" si="98"/>
        <v>43747.937551076386</v>
      </c>
    </row>
    <row r="6336" spans="1:10" x14ac:dyDescent="0.25">
      <c r="A6336" s="7" t="s">
        <v>12991</v>
      </c>
      <c r="B6336" s="8">
        <v>412.5</v>
      </c>
      <c r="C6336" s="8">
        <v>20.478950000000001</v>
      </c>
      <c r="D6336" s="8">
        <v>78</v>
      </c>
      <c r="E6336" s="8">
        <v>0</v>
      </c>
      <c r="F6336" s="8">
        <v>0</v>
      </c>
      <c r="G6336" s="8">
        <v>14</v>
      </c>
      <c r="H6336" s="8" t="s">
        <v>12992</v>
      </c>
      <c r="I6336" s="8">
        <v>532.3125</v>
      </c>
      <c r="J6336" s="3">
        <f t="shared" si="98"/>
        <v>43747.937623240738</v>
      </c>
    </row>
    <row r="6337" spans="1:10" x14ac:dyDescent="0.25">
      <c r="A6337" s="5" t="s">
        <v>12993</v>
      </c>
      <c r="B6337" s="6">
        <v>428.125</v>
      </c>
      <c r="C6337" s="6">
        <v>20.478950000000001</v>
      </c>
      <c r="D6337" s="6">
        <v>79</v>
      </c>
      <c r="E6337" s="6">
        <v>0</v>
      </c>
      <c r="F6337" s="6">
        <v>0</v>
      </c>
      <c r="G6337" s="6">
        <v>5</v>
      </c>
      <c r="H6337" s="6" t="s">
        <v>12994</v>
      </c>
      <c r="I6337" s="6">
        <v>537.9375</v>
      </c>
      <c r="J6337" s="2">
        <f t="shared" si="98"/>
        <v>43747.93769460648</v>
      </c>
    </row>
    <row r="6338" spans="1:10" x14ac:dyDescent="0.25">
      <c r="A6338" s="7" t="s">
        <v>12995</v>
      </c>
      <c r="B6338" s="8">
        <v>412.5</v>
      </c>
      <c r="C6338" s="8">
        <v>20.478950000000001</v>
      </c>
      <c r="D6338" s="8">
        <v>79</v>
      </c>
      <c r="E6338" s="8">
        <v>0</v>
      </c>
      <c r="F6338" s="8">
        <v>0</v>
      </c>
      <c r="G6338" s="8">
        <v>8</v>
      </c>
      <c r="H6338" s="8" t="s">
        <v>12996</v>
      </c>
      <c r="I6338" s="8">
        <v>532.3125</v>
      </c>
      <c r="J6338" s="3">
        <f t="shared" ref="J6338:J6401" si="99">(H6338/86400000)+25569+(7/24)</f>
        <v>43747.937765902774</v>
      </c>
    </row>
    <row r="6339" spans="1:10" x14ac:dyDescent="0.25">
      <c r="A6339" s="5" t="s">
        <v>12997</v>
      </c>
      <c r="B6339" s="6">
        <v>415.625</v>
      </c>
      <c r="C6339" s="6">
        <v>20.478950000000001</v>
      </c>
      <c r="D6339" s="6">
        <v>78</v>
      </c>
      <c r="E6339" s="6">
        <v>0</v>
      </c>
      <c r="F6339" s="6">
        <v>0</v>
      </c>
      <c r="G6339" s="6">
        <v>12</v>
      </c>
      <c r="H6339" s="6" t="s">
        <v>12998</v>
      </c>
      <c r="I6339" s="6">
        <v>533.0625</v>
      </c>
      <c r="J6339" s="2">
        <f t="shared" si="99"/>
        <v>43747.937838101854</v>
      </c>
    </row>
    <row r="6340" spans="1:10" x14ac:dyDescent="0.25">
      <c r="A6340" s="7" t="s">
        <v>12999</v>
      </c>
      <c r="B6340" s="8">
        <v>415.625</v>
      </c>
      <c r="C6340" s="8">
        <v>20.478950000000001</v>
      </c>
      <c r="D6340" s="8">
        <v>77</v>
      </c>
      <c r="E6340" s="8">
        <v>0</v>
      </c>
      <c r="F6340" s="8">
        <v>0</v>
      </c>
      <c r="G6340" s="8">
        <v>10</v>
      </c>
      <c r="H6340" s="8" t="s">
        <v>13000</v>
      </c>
      <c r="I6340" s="8">
        <v>533.0625</v>
      </c>
      <c r="J6340" s="3">
        <f t="shared" si="99"/>
        <v>43747.937933495363</v>
      </c>
    </row>
    <row r="6341" spans="1:10" x14ac:dyDescent="0.25">
      <c r="A6341" s="5" t="s">
        <v>13001</v>
      </c>
      <c r="B6341" s="6">
        <v>412.5</v>
      </c>
      <c r="C6341" s="6">
        <v>20.478950000000001</v>
      </c>
      <c r="D6341" s="6">
        <v>79</v>
      </c>
      <c r="E6341" s="6">
        <v>0</v>
      </c>
      <c r="F6341" s="6">
        <v>0</v>
      </c>
      <c r="G6341" s="6">
        <v>15</v>
      </c>
      <c r="H6341" s="6" t="s">
        <v>13002</v>
      </c>
      <c r="I6341" s="6">
        <v>532.875</v>
      </c>
      <c r="J6341" s="2">
        <f t="shared" si="99"/>
        <v>43747.938004780088</v>
      </c>
    </row>
    <row r="6342" spans="1:10" x14ac:dyDescent="0.25">
      <c r="A6342" s="7" t="s">
        <v>13003</v>
      </c>
      <c r="B6342" s="8">
        <v>415.625</v>
      </c>
      <c r="C6342" s="8">
        <v>20.478950000000001</v>
      </c>
      <c r="D6342" s="8">
        <v>81</v>
      </c>
      <c r="E6342" s="8">
        <v>0</v>
      </c>
      <c r="F6342" s="8">
        <v>0</v>
      </c>
      <c r="G6342" s="8">
        <v>12</v>
      </c>
      <c r="H6342" s="8" t="s">
        <v>13004</v>
      </c>
      <c r="I6342" s="8">
        <v>533.0625</v>
      </c>
      <c r="J6342" s="3">
        <f t="shared" si="99"/>
        <v>43747.938100173611</v>
      </c>
    </row>
    <row r="6343" spans="1:10" x14ac:dyDescent="0.25">
      <c r="A6343" s="5" t="s">
        <v>13005</v>
      </c>
      <c r="B6343" s="6">
        <v>418.75</v>
      </c>
      <c r="C6343" s="6">
        <v>20.478950000000001</v>
      </c>
      <c r="D6343" s="6">
        <v>81</v>
      </c>
      <c r="E6343" s="6">
        <v>0</v>
      </c>
      <c r="F6343" s="6">
        <v>0</v>
      </c>
      <c r="G6343" s="6">
        <v>7</v>
      </c>
      <c r="H6343" s="6" t="s">
        <v>13006</v>
      </c>
      <c r="I6343" s="6">
        <v>534</v>
      </c>
      <c r="J6343" s="2">
        <f t="shared" si="99"/>
        <v>43747.938171400463</v>
      </c>
    </row>
    <row r="6344" spans="1:10" x14ac:dyDescent="0.25">
      <c r="A6344" s="7" t="s">
        <v>13007</v>
      </c>
      <c r="B6344" s="8">
        <v>415.625</v>
      </c>
      <c r="C6344" s="8">
        <v>20.478950000000001</v>
      </c>
      <c r="D6344" s="8">
        <v>80</v>
      </c>
      <c r="E6344" s="8">
        <v>0</v>
      </c>
      <c r="F6344" s="8">
        <v>0</v>
      </c>
      <c r="G6344" s="8">
        <v>5</v>
      </c>
      <c r="H6344" s="8" t="s">
        <v>13008</v>
      </c>
      <c r="I6344" s="8">
        <v>533.8125</v>
      </c>
      <c r="J6344" s="3">
        <f t="shared" si="99"/>
        <v>43747.938260543982</v>
      </c>
    </row>
    <row r="6345" spans="1:10" x14ac:dyDescent="0.25">
      <c r="A6345" s="5" t="s">
        <v>13009</v>
      </c>
      <c r="B6345" s="6">
        <v>462.5</v>
      </c>
      <c r="C6345" s="6">
        <v>20.478950000000001</v>
      </c>
      <c r="D6345" s="6">
        <v>81</v>
      </c>
      <c r="E6345" s="6">
        <v>0</v>
      </c>
      <c r="F6345" s="6">
        <v>0</v>
      </c>
      <c r="G6345" s="6">
        <v>8</v>
      </c>
      <c r="H6345" s="6" t="s">
        <v>13010</v>
      </c>
      <c r="I6345" s="6">
        <v>548.25</v>
      </c>
      <c r="J6345" s="2">
        <f t="shared" si="99"/>
        <v>43747.93833824074</v>
      </c>
    </row>
    <row r="6346" spans="1:10" x14ac:dyDescent="0.25">
      <c r="A6346" s="7" t="s">
        <v>13011</v>
      </c>
      <c r="B6346" s="8">
        <v>412.5</v>
      </c>
      <c r="C6346" s="8">
        <v>20.478950000000001</v>
      </c>
      <c r="D6346" s="8">
        <v>80</v>
      </c>
      <c r="E6346" s="8">
        <v>0</v>
      </c>
      <c r="F6346" s="8">
        <v>0</v>
      </c>
      <c r="G6346" s="8">
        <v>8</v>
      </c>
      <c r="H6346" s="8" t="s">
        <v>13012</v>
      </c>
      <c r="I6346" s="8">
        <v>532.3125</v>
      </c>
      <c r="J6346" s="3">
        <f t="shared" si="99"/>
        <v>43747.938410347218</v>
      </c>
    </row>
    <row r="6347" spans="1:10" x14ac:dyDescent="0.25">
      <c r="A6347" s="5" t="s">
        <v>13013</v>
      </c>
      <c r="B6347" s="6">
        <v>412.5</v>
      </c>
      <c r="C6347" s="6">
        <v>20.478950000000001</v>
      </c>
      <c r="D6347" s="6">
        <v>77</v>
      </c>
      <c r="E6347" s="6">
        <v>0</v>
      </c>
      <c r="F6347" s="6">
        <v>0</v>
      </c>
      <c r="G6347" s="6">
        <v>8</v>
      </c>
      <c r="H6347" s="6" t="s">
        <v>13014</v>
      </c>
      <c r="I6347" s="6">
        <v>532.3125</v>
      </c>
      <c r="J6347" s="2">
        <f t="shared" si="99"/>
        <v>43747.938481701385</v>
      </c>
    </row>
    <row r="6348" spans="1:10" x14ac:dyDescent="0.25">
      <c r="A6348" s="7" t="s">
        <v>13015</v>
      </c>
      <c r="B6348" s="8">
        <v>412.5</v>
      </c>
      <c r="C6348" s="8">
        <v>20.478950000000001</v>
      </c>
      <c r="D6348" s="8">
        <v>78</v>
      </c>
      <c r="E6348" s="8">
        <v>0</v>
      </c>
      <c r="F6348" s="8">
        <v>0</v>
      </c>
      <c r="G6348" s="8">
        <v>6</v>
      </c>
      <c r="H6348" s="8" t="s">
        <v>13016</v>
      </c>
      <c r="I6348" s="8">
        <v>532.3125</v>
      </c>
      <c r="J6348" s="3">
        <f t="shared" si="99"/>
        <v>43747.938564930555</v>
      </c>
    </row>
    <row r="6349" spans="1:10" x14ac:dyDescent="0.25">
      <c r="A6349" s="5" t="s">
        <v>13017</v>
      </c>
      <c r="B6349" s="6">
        <v>412.5</v>
      </c>
      <c r="C6349" s="6">
        <v>20.478950000000001</v>
      </c>
      <c r="D6349" s="6">
        <v>82</v>
      </c>
      <c r="E6349" s="6">
        <v>0</v>
      </c>
      <c r="F6349" s="6">
        <v>0</v>
      </c>
      <c r="G6349" s="6">
        <v>13</v>
      </c>
      <c r="H6349" s="6" t="s">
        <v>13018</v>
      </c>
      <c r="I6349" s="6">
        <v>532.3125</v>
      </c>
      <c r="J6349" s="2">
        <f t="shared" si="99"/>
        <v>43747.93863640046</v>
      </c>
    </row>
    <row r="6350" spans="1:10" x14ac:dyDescent="0.25">
      <c r="A6350" s="7" t="s">
        <v>13019</v>
      </c>
      <c r="B6350" s="8">
        <v>412.5</v>
      </c>
      <c r="C6350" s="8">
        <v>20.478950000000001</v>
      </c>
      <c r="D6350" s="8">
        <v>82</v>
      </c>
      <c r="E6350" s="8">
        <v>0</v>
      </c>
      <c r="F6350" s="8">
        <v>0</v>
      </c>
      <c r="G6350" s="8">
        <v>1</v>
      </c>
      <c r="H6350" s="8" t="s">
        <v>13020</v>
      </c>
      <c r="I6350" s="8">
        <v>532.3125</v>
      </c>
      <c r="J6350" s="3">
        <f t="shared" si="99"/>
        <v>43747.93870879629</v>
      </c>
    </row>
    <row r="6351" spans="1:10" x14ac:dyDescent="0.25">
      <c r="A6351" s="5" t="s">
        <v>13021</v>
      </c>
      <c r="B6351" s="6">
        <v>412.5</v>
      </c>
      <c r="C6351" s="6">
        <v>20.478950000000001</v>
      </c>
      <c r="D6351" s="6">
        <v>81</v>
      </c>
      <c r="E6351" s="6">
        <v>0</v>
      </c>
      <c r="F6351" s="6">
        <v>0</v>
      </c>
      <c r="G6351" s="6">
        <v>9</v>
      </c>
      <c r="H6351" s="6" t="s">
        <v>13022</v>
      </c>
      <c r="I6351" s="6">
        <v>532.3125</v>
      </c>
      <c r="J6351" s="2">
        <f t="shared" si="99"/>
        <v>43747.938779803233</v>
      </c>
    </row>
    <row r="6352" spans="1:10" x14ac:dyDescent="0.25">
      <c r="A6352" s="7" t="s">
        <v>13023</v>
      </c>
      <c r="B6352" s="8">
        <v>412.5</v>
      </c>
      <c r="C6352" s="8">
        <v>20.478950000000001</v>
      </c>
      <c r="D6352" s="8">
        <v>83</v>
      </c>
      <c r="E6352" s="8">
        <v>0</v>
      </c>
      <c r="F6352" s="8">
        <v>0</v>
      </c>
      <c r="G6352" s="8">
        <v>10</v>
      </c>
      <c r="H6352" s="8" t="s">
        <v>13024</v>
      </c>
      <c r="I6352" s="8">
        <v>532.3125</v>
      </c>
      <c r="J6352" s="3">
        <f t="shared" si="99"/>
        <v>43747.938853287036</v>
      </c>
    </row>
    <row r="6353" spans="1:10" x14ac:dyDescent="0.25">
      <c r="A6353" s="5" t="s">
        <v>13025</v>
      </c>
      <c r="B6353" s="6">
        <v>412.5</v>
      </c>
      <c r="C6353" s="6">
        <v>20.478950000000001</v>
      </c>
      <c r="D6353" s="6">
        <v>84</v>
      </c>
      <c r="E6353" s="6">
        <v>0</v>
      </c>
      <c r="F6353" s="6">
        <v>0</v>
      </c>
      <c r="G6353" s="6">
        <v>9</v>
      </c>
      <c r="H6353" s="6" t="s">
        <v>13026</v>
      </c>
      <c r="I6353" s="6">
        <v>532.3125</v>
      </c>
      <c r="J6353" s="2">
        <f t="shared" si="99"/>
        <v>43747.93893462963</v>
      </c>
    </row>
    <row r="6354" spans="1:10" x14ac:dyDescent="0.25">
      <c r="A6354" s="7" t="s">
        <v>13027</v>
      </c>
      <c r="B6354" s="8">
        <v>412.5</v>
      </c>
      <c r="C6354" s="8">
        <v>20.478950000000001</v>
      </c>
      <c r="D6354" s="8">
        <v>84</v>
      </c>
      <c r="E6354" s="8">
        <v>0</v>
      </c>
      <c r="F6354" s="8">
        <v>0</v>
      </c>
      <c r="G6354" s="8">
        <v>5</v>
      </c>
      <c r="H6354" s="8" t="s">
        <v>13028</v>
      </c>
      <c r="I6354" s="8">
        <v>532.3125</v>
      </c>
      <c r="J6354" s="3">
        <f t="shared" si="99"/>
        <v>43747.939006608794</v>
      </c>
    </row>
    <row r="6355" spans="1:10" x14ac:dyDescent="0.25">
      <c r="A6355" s="5" t="s">
        <v>13029</v>
      </c>
      <c r="B6355" s="6">
        <v>412.5</v>
      </c>
      <c r="C6355" s="6">
        <v>20.478950000000001</v>
      </c>
      <c r="D6355" s="6">
        <v>84</v>
      </c>
      <c r="E6355" s="6">
        <v>0</v>
      </c>
      <c r="F6355" s="6">
        <v>0</v>
      </c>
      <c r="G6355" s="6">
        <v>7</v>
      </c>
      <c r="H6355" s="6" t="s">
        <v>13030</v>
      </c>
      <c r="I6355" s="6">
        <v>532.3125</v>
      </c>
      <c r="J6355" s="2">
        <f t="shared" si="99"/>
        <v>43747.939077951385</v>
      </c>
    </row>
    <row r="6356" spans="1:10" x14ac:dyDescent="0.25">
      <c r="A6356" s="7" t="s">
        <v>13031</v>
      </c>
      <c r="B6356" s="8">
        <v>428.125</v>
      </c>
      <c r="C6356" s="8">
        <v>20.478950000000001</v>
      </c>
      <c r="D6356" s="8">
        <v>84</v>
      </c>
      <c r="E6356" s="8">
        <v>0</v>
      </c>
      <c r="F6356" s="8">
        <v>0</v>
      </c>
      <c r="G6356" s="8">
        <v>14</v>
      </c>
      <c r="H6356" s="8" t="s">
        <v>13032</v>
      </c>
      <c r="I6356" s="8">
        <v>537.9375</v>
      </c>
      <c r="J6356" s="3">
        <f t="shared" si="99"/>
        <v>43747.9391492824</v>
      </c>
    </row>
    <row r="6357" spans="1:10" x14ac:dyDescent="0.25">
      <c r="A6357" s="5" t="s">
        <v>13033</v>
      </c>
      <c r="B6357" s="6">
        <v>409.375</v>
      </c>
      <c r="C6357" s="6">
        <v>20.478950000000001</v>
      </c>
      <c r="D6357" s="6">
        <v>84</v>
      </c>
      <c r="E6357" s="6">
        <v>0</v>
      </c>
      <c r="F6357" s="6">
        <v>0</v>
      </c>
      <c r="G6357" s="6">
        <v>6</v>
      </c>
      <c r="H6357" s="6" t="s">
        <v>13034</v>
      </c>
      <c r="I6357" s="6">
        <v>531.375</v>
      </c>
      <c r="J6357" s="2">
        <f t="shared" si="99"/>
        <v>43747.939221342589</v>
      </c>
    </row>
    <row r="6358" spans="1:10" x14ac:dyDescent="0.25">
      <c r="A6358" s="7" t="s">
        <v>13035</v>
      </c>
      <c r="B6358" s="8">
        <v>406.25</v>
      </c>
      <c r="C6358" s="8">
        <v>20.478950000000001</v>
      </c>
      <c r="D6358" s="8">
        <v>84</v>
      </c>
      <c r="E6358" s="8">
        <v>0</v>
      </c>
      <c r="F6358" s="8">
        <v>0</v>
      </c>
      <c r="G6358" s="8">
        <v>9</v>
      </c>
      <c r="H6358" s="8" t="s">
        <v>13036</v>
      </c>
      <c r="I6358" s="8">
        <v>530.625</v>
      </c>
      <c r="J6358" s="3">
        <f t="shared" si="99"/>
        <v>43747.939304780091</v>
      </c>
    </row>
    <row r="6359" spans="1:10" x14ac:dyDescent="0.25">
      <c r="A6359" s="5" t="s">
        <v>13037</v>
      </c>
      <c r="B6359" s="6">
        <v>406.25</v>
      </c>
      <c r="C6359" s="6">
        <v>20.478950000000001</v>
      </c>
      <c r="D6359" s="6">
        <v>84</v>
      </c>
      <c r="E6359" s="6">
        <v>0</v>
      </c>
      <c r="F6359" s="6">
        <v>0</v>
      </c>
      <c r="G6359" s="6">
        <v>8</v>
      </c>
      <c r="H6359" s="6" t="s">
        <v>13038</v>
      </c>
      <c r="I6359" s="6">
        <v>530.625</v>
      </c>
      <c r="J6359" s="2">
        <f t="shared" si="99"/>
        <v>43747.939401747681</v>
      </c>
    </row>
    <row r="6360" spans="1:10" x14ac:dyDescent="0.25">
      <c r="A6360" s="7" t="s">
        <v>13039</v>
      </c>
      <c r="B6360" s="8">
        <v>406.25</v>
      </c>
      <c r="C6360" s="8">
        <v>20.478950000000001</v>
      </c>
      <c r="D6360" s="8">
        <v>82</v>
      </c>
      <c r="E6360" s="8">
        <v>0</v>
      </c>
      <c r="F6360" s="8">
        <v>0</v>
      </c>
      <c r="G6360" s="8">
        <v>11</v>
      </c>
      <c r="H6360" s="8" t="s">
        <v>13040</v>
      </c>
      <c r="I6360" s="8">
        <v>530.8125</v>
      </c>
      <c r="J6360" s="3">
        <f t="shared" si="99"/>
        <v>43747.939483506947</v>
      </c>
    </row>
    <row r="6361" spans="1:10" x14ac:dyDescent="0.25">
      <c r="A6361" s="5" t="s">
        <v>13041</v>
      </c>
      <c r="B6361" s="6">
        <v>428.125</v>
      </c>
      <c r="C6361" s="6">
        <v>20.478950000000001</v>
      </c>
      <c r="D6361" s="6">
        <v>82</v>
      </c>
      <c r="E6361" s="6">
        <v>0</v>
      </c>
      <c r="F6361" s="6">
        <v>0</v>
      </c>
      <c r="G6361" s="6">
        <v>8</v>
      </c>
      <c r="H6361" s="6" t="s">
        <v>13042</v>
      </c>
      <c r="I6361" s="6">
        <v>537.1875</v>
      </c>
      <c r="J6361" s="2">
        <f t="shared" si="99"/>
        <v>43747.939566724534</v>
      </c>
    </row>
    <row r="6362" spans="1:10" x14ac:dyDescent="0.25">
      <c r="A6362" s="7" t="s">
        <v>13043</v>
      </c>
      <c r="B6362" s="8">
        <v>406.25</v>
      </c>
      <c r="C6362" s="8">
        <v>20.478950000000001</v>
      </c>
      <c r="D6362" s="8">
        <v>83</v>
      </c>
      <c r="E6362" s="8">
        <v>0</v>
      </c>
      <c r="F6362" s="8">
        <v>0</v>
      </c>
      <c r="G6362" s="8">
        <v>6</v>
      </c>
      <c r="H6362" s="8" t="s">
        <v>13044</v>
      </c>
      <c r="I6362" s="8">
        <v>530.8125</v>
      </c>
      <c r="J6362" s="3">
        <f t="shared" si="99"/>
        <v>43747.939638124997</v>
      </c>
    </row>
    <row r="6363" spans="1:10" x14ac:dyDescent="0.25">
      <c r="A6363" s="5" t="s">
        <v>13045</v>
      </c>
      <c r="B6363" s="6">
        <v>406.25</v>
      </c>
      <c r="C6363" s="6">
        <v>20.478950000000001</v>
      </c>
      <c r="D6363" s="6">
        <v>83</v>
      </c>
      <c r="E6363" s="6">
        <v>0</v>
      </c>
      <c r="F6363" s="6">
        <v>0</v>
      </c>
      <c r="G6363" s="6">
        <v>9</v>
      </c>
      <c r="H6363" s="6" t="s">
        <v>13046</v>
      </c>
      <c r="I6363" s="6">
        <v>530.625</v>
      </c>
      <c r="J6363" s="2">
        <f t="shared" si="99"/>
        <v>43747.939709479164</v>
      </c>
    </row>
    <row r="6364" spans="1:10" x14ac:dyDescent="0.25">
      <c r="A6364" s="7" t="s">
        <v>13047</v>
      </c>
      <c r="B6364" s="8">
        <v>406.25</v>
      </c>
      <c r="C6364" s="8">
        <v>20.478950000000001</v>
      </c>
      <c r="D6364" s="8">
        <v>83</v>
      </c>
      <c r="E6364" s="8">
        <v>0</v>
      </c>
      <c r="F6364" s="8">
        <v>0</v>
      </c>
      <c r="G6364" s="8">
        <v>1</v>
      </c>
      <c r="H6364" s="8" t="s">
        <v>13048</v>
      </c>
      <c r="I6364" s="8">
        <v>530.625</v>
      </c>
      <c r="J6364" s="3">
        <f t="shared" si="99"/>
        <v>43747.939781655092</v>
      </c>
    </row>
    <row r="6365" spans="1:10" x14ac:dyDescent="0.25">
      <c r="A6365" s="5" t="s">
        <v>13049</v>
      </c>
      <c r="B6365" s="6">
        <v>406.25</v>
      </c>
      <c r="C6365" s="6">
        <v>20.478950000000001</v>
      </c>
      <c r="D6365" s="6">
        <v>83</v>
      </c>
      <c r="E6365" s="6">
        <v>0</v>
      </c>
      <c r="F6365" s="6">
        <v>0</v>
      </c>
      <c r="G6365" s="6">
        <v>4</v>
      </c>
      <c r="H6365" s="6" t="s">
        <v>13050</v>
      </c>
      <c r="I6365" s="6">
        <v>530.625</v>
      </c>
      <c r="J6365" s="2">
        <f t="shared" si="99"/>
        <v>43747.939852951386</v>
      </c>
    </row>
    <row r="6366" spans="1:10" x14ac:dyDescent="0.25">
      <c r="A6366" s="7" t="s">
        <v>13051</v>
      </c>
      <c r="B6366" s="8">
        <v>406.25</v>
      </c>
      <c r="C6366" s="8">
        <v>20.478950000000001</v>
      </c>
      <c r="D6366" s="8">
        <v>83</v>
      </c>
      <c r="E6366" s="8">
        <v>0</v>
      </c>
      <c r="F6366" s="8">
        <v>0</v>
      </c>
      <c r="G6366" s="8">
        <v>11</v>
      </c>
      <c r="H6366" s="8" t="s">
        <v>13052</v>
      </c>
      <c r="I6366" s="8">
        <v>530.625</v>
      </c>
      <c r="J6366" s="3">
        <f t="shared" si="99"/>
        <v>43747.939924363425</v>
      </c>
    </row>
    <row r="6367" spans="1:10" x14ac:dyDescent="0.25">
      <c r="A6367" s="5" t="s">
        <v>13053</v>
      </c>
      <c r="B6367" s="6">
        <v>406.25</v>
      </c>
      <c r="C6367" s="6">
        <v>20.478950000000001</v>
      </c>
      <c r="D6367" s="6">
        <v>83</v>
      </c>
      <c r="E6367" s="6">
        <v>0</v>
      </c>
      <c r="F6367" s="6">
        <v>0</v>
      </c>
      <c r="G6367" s="6">
        <v>7</v>
      </c>
      <c r="H6367" s="6" t="s">
        <v>13054</v>
      </c>
      <c r="I6367" s="6">
        <v>530.625</v>
      </c>
      <c r="J6367" s="2">
        <f t="shared" si="99"/>
        <v>43747.939996446752</v>
      </c>
    </row>
    <row r="6368" spans="1:10" x14ac:dyDescent="0.25">
      <c r="A6368" s="7" t="s">
        <v>13055</v>
      </c>
      <c r="B6368" s="8">
        <v>406.25</v>
      </c>
      <c r="C6368" s="8">
        <v>20.478950000000001</v>
      </c>
      <c r="D6368" s="8">
        <v>83</v>
      </c>
      <c r="E6368" s="8">
        <v>0</v>
      </c>
      <c r="F6368" s="8">
        <v>0</v>
      </c>
      <c r="G6368" s="8">
        <v>11</v>
      </c>
      <c r="H6368" s="8" t="s">
        <v>13056</v>
      </c>
      <c r="I6368" s="8">
        <v>530.625</v>
      </c>
      <c r="J6368" s="3">
        <f t="shared" si="99"/>
        <v>43747.940067766198</v>
      </c>
    </row>
    <row r="6369" spans="1:10" x14ac:dyDescent="0.25">
      <c r="A6369" s="5" t="s">
        <v>13057</v>
      </c>
      <c r="B6369" s="6">
        <v>425</v>
      </c>
      <c r="C6369" s="6">
        <v>20.478950000000001</v>
      </c>
      <c r="D6369" s="6">
        <v>85</v>
      </c>
      <c r="E6369" s="6">
        <v>0</v>
      </c>
      <c r="F6369" s="6">
        <v>0</v>
      </c>
      <c r="G6369" s="6">
        <v>7</v>
      </c>
      <c r="H6369" s="6" t="s">
        <v>13058</v>
      </c>
      <c r="I6369" s="6">
        <v>536.25</v>
      </c>
      <c r="J6369" s="2">
        <f t="shared" si="99"/>
        <v>43747.940139050923</v>
      </c>
    </row>
    <row r="6370" spans="1:10" x14ac:dyDescent="0.25">
      <c r="A6370" s="7" t="s">
        <v>13059</v>
      </c>
      <c r="B6370" s="8">
        <v>406.25</v>
      </c>
      <c r="C6370" s="8">
        <v>20.478950000000001</v>
      </c>
      <c r="D6370" s="8">
        <v>85</v>
      </c>
      <c r="E6370" s="8">
        <v>0</v>
      </c>
      <c r="F6370" s="8">
        <v>0</v>
      </c>
      <c r="G6370" s="8">
        <v>6</v>
      </c>
      <c r="H6370" s="8" t="s">
        <v>13060</v>
      </c>
      <c r="I6370" s="8">
        <v>530.625</v>
      </c>
      <c r="J6370" s="3">
        <f t="shared" si="99"/>
        <v>43747.94021127314</v>
      </c>
    </row>
    <row r="6371" spans="1:10" x14ac:dyDescent="0.25">
      <c r="A6371" s="5" t="s">
        <v>13061</v>
      </c>
      <c r="B6371" s="6">
        <v>406.25</v>
      </c>
      <c r="C6371" s="6">
        <v>20.478950000000001</v>
      </c>
      <c r="D6371" s="6">
        <v>85</v>
      </c>
      <c r="E6371" s="6">
        <v>0</v>
      </c>
      <c r="F6371" s="6">
        <v>0</v>
      </c>
      <c r="G6371" s="6">
        <v>7</v>
      </c>
      <c r="H6371" s="6" t="s">
        <v>13062</v>
      </c>
      <c r="I6371" s="6">
        <v>530.625</v>
      </c>
      <c r="J6371" s="2">
        <f t="shared" si="99"/>
        <v>43747.940287175923</v>
      </c>
    </row>
    <row r="6372" spans="1:10" x14ac:dyDescent="0.25">
      <c r="A6372" s="7" t="s">
        <v>13063</v>
      </c>
      <c r="B6372" s="8">
        <v>406.25</v>
      </c>
      <c r="C6372" s="8">
        <v>20.478950000000001</v>
      </c>
      <c r="D6372" s="8">
        <v>84</v>
      </c>
      <c r="E6372" s="8">
        <v>0</v>
      </c>
      <c r="F6372" s="8">
        <v>0</v>
      </c>
      <c r="G6372" s="8">
        <v>6</v>
      </c>
      <c r="H6372" s="8" t="s">
        <v>13064</v>
      </c>
      <c r="I6372" s="8">
        <v>530.625</v>
      </c>
      <c r="J6372" s="3">
        <f t="shared" si="99"/>
        <v>43747.940365949071</v>
      </c>
    </row>
    <row r="6373" spans="1:10" x14ac:dyDescent="0.25">
      <c r="A6373" s="5" t="s">
        <v>13065</v>
      </c>
      <c r="B6373" s="6">
        <v>406.25</v>
      </c>
      <c r="C6373" s="6">
        <v>20.478950000000001</v>
      </c>
      <c r="D6373" s="6">
        <v>76</v>
      </c>
      <c r="E6373" s="6">
        <v>0</v>
      </c>
      <c r="F6373" s="6">
        <v>0</v>
      </c>
      <c r="G6373" s="6">
        <v>0</v>
      </c>
      <c r="H6373" s="6" t="s">
        <v>13066</v>
      </c>
      <c r="I6373" s="6">
        <v>530.0625</v>
      </c>
      <c r="J6373" s="2">
        <f t="shared" si="99"/>
        <v>43747.94065488426</v>
      </c>
    </row>
    <row r="6374" spans="1:10" x14ac:dyDescent="0.25">
      <c r="A6374" s="7" t="s">
        <v>13067</v>
      </c>
      <c r="B6374" s="8">
        <v>403.125</v>
      </c>
      <c r="C6374" s="8">
        <v>20.478950000000001</v>
      </c>
      <c r="D6374" s="8">
        <v>76</v>
      </c>
      <c r="E6374" s="8">
        <v>0</v>
      </c>
      <c r="F6374" s="8">
        <v>0</v>
      </c>
      <c r="G6374" s="8">
        <v>0</v>
      </c>
      <c r="H6374" s="8" t="s">
        <v>13068</v>
      </c>
      <c r="I6374" s="8">
        <v>529.875</v>
      </c>
      <c r="J6374" s="3">
        <f t="shared" si="99"/>
        <v>43747.940731574075</v>
      </c>
    </row>
    <row r="6375" spans="1:10" x14ac:dyDescent="0.25">
      <c r="A6375" s="5" t="s">
        <v>13069</v>
      </c>
      <c r="B6375" s="6">
        <v>400</v>
      </c>
      <c r="C6375" s="6">
        <v>20.478950000000001</v>
      </c>
      <c r="D6375" s="6">
        <v>77</v>
      </c>
      <c r="E6375" s="6">
        <v>0</v>
      </c>
      <c r="F6375" s="6">
        <v>0</v>
      </c>
      <c r="G6375" s="6">
        <v>0</v>
      </c>
      <c r="H6375" s="6" t="s">
        <v>13070</v>
      </c>
      <c r="I6375" s="6">
        <v>528.375</v>
      </c>
      <c r="J6375" s="2">
        <f t="shared" si="99"/>
        <v>43747.940814826383</v>
      </c>
    </row>
    <row r="6376" spans="1:10" x14ac:dyDescent="0.25">
      <c r="A6376" s="7" t="s">
        <v>13071</v>
      </c>
      <c r="B6376" s="8">
        <v>400</v>
      </c>
      <c r="C6376" s="8">
        <v>20.478950000000001</v>
      </c>
      <c r="D6376" s="8">
        <v>77</v>
      </c>
      <c r="E6376" s="8">
        <v>0</v>
      </c>
      <c r="F6376" s="8">
        <v>0</v>
      </c>
      <c r="G6376" s="8">
        <v>0</v>
      </c>
      <c r="H6376" s="8" t="s">
        <v>13072</v>
      </c>
      <c r="I6376" s="8">
        <v>528.375</v>
      </c>
      <c r="J6376" s="3">
        <f t="shared" si="99"/>
        <v>43747.94089799768</v>
      </c>
    </row>
    <row r="6377" spans="1:10" x14ac:dyDescent="0.25">
      <c r="A6377" s="5" t="s">
        <v>13073</v>
      </c>
      <c r="B6377" s="6">
        <v>400</v>
      </c>
      <c r="C6377" s="6">
        <v>20.478950000000001</v>
      </c>
      <c r="D6377" s="6">
        <v>77</v>
      </c>
      <c r="E6377" s="6">
        <v>0</v>
      </c>
      <c r="F6377" s="6">
        <v>0</v>
      </c>
      <c r="G6377" s="6">
        <v>2</v>
      </c>
      <c r="H6377" s="6" t="s">
        <v>13074</v>
      </c>
      <c r="I6377" s="6">
        <v>528.375</v>
      </c>
      <c r="J6377" s="2">
        <f t="shared" si="99"/>
        <v>43747.940986284717</v>
      </c>
    </row>
    <row r="6378" spans="1:10" x14ac:dyDescent="0.25">
      <c r="A6378" s="7" t="s">
        <v>13075</v>
      </c>
      <c r="B6378" s="8">
        <v>403.125</v>
      </c>
      <c r="C6378" s="8">
        <v>20.478950000000001</v>
      </c>
      <c r="D6378" s="8">
        <v>78</v>
      </c>
      <c r="E6378" s="8">
        <v>0</v>
      </c>
      <c r="F6378" s="8">
        <v>0</v>
      </c>
      <c r="G6378" s="8">
        <v>0</v>
      </c>
      <c r="H6378" s="8" t="s">
        <v>13076</v>
      </c>
      <c r="I6378" s="8">
        <v>529.125</v>
      </c>
      <c r="J6378" s="3">
        <f t="shared" si="99"/>
        <v>43747.941065937499</v>
      </c>
    </row>
    <row r="6379" spans="1:10" x14ac:dyDescent="0.25">
      <c r="A6379" s="5" t="s">
        <v>13077</v>
      </c>
      <c r="B6379" s="6">
        <v>403.125</v>
      </c>
      <c r="C6379" s="6">
        <v>20.478950000000001</v>
      </c>
      <c r="D6379" s="6">
        <v>78</v>
      </c>
      <c r="E6379" s="6">
        <v>0</v>
      </c>
      <c r="F6379" s="6">
        <v>0</v>
      </c>
      <c r="G6379" s="6">
        <v>0</v>
      </c>
      <c r="H6379" s="6" t="s">
        <v>13078</v>
      </c>
      <c r="I6379" s="6">
        <v>529.875</v>
      </c>
      <c r="J6379" s="2">
        <f t="shared" si="99"/>
        <v>43747.941137187496</v>
      </c>
    </row>
    <row r="6380" spans="1:10" x14ac:dyDescent="0.25">
      <c r="A6380" s="7" t="s">
        <v>13079</v>
      </c>
      <c r="B6380" s="8">
        <v>406.25</v>
      </c>
      <c r="C6380" s="8">
        <v>20.478950000000001</v>
      </c>
      <c r="D6380" s="8">
        <v>82</v>
      </c>
      <c r="E6380" s="8">
        <v>0</v>
      </c>
      <c r="F6380" s="8">
        <v>0</v>
      </c>
      <c r="G6380" s="8">
        <v>18</v>
      </c>
      <c r="H6380" s="8" t="s">
        <v>13080</v>
      </c>
      <c r="I6380" s="8">
        <v>530.8125</v>
      </c>
      <c r="J6380" s="3">
        <f t="shared" si="99"/>
        <v>43747.941220752313</v>
      </c>
    </row>
    <row r="6381" spans="1:10" x14ac:dyDescent="0.25">
      <c r="A6381" s="5" t="s">
        <v>13081</v>
      </c>
      <c r="B6381" s="6">
        <v>406.25</v>
      </c>
      <c r="C6381" s="6">
        <v>20.478950000000001</v>
      </c>
      <c r="D6381" s="6">
        <v>83</v>
      </c>
      <c r="E6381" s="6">
        <v>0</v>
      </c>
      <c r="F6381" s="6">
        <v>0</v>
      </c>
      <c r="G6381" s="6">
        <v>24</v>
      </c>
      <c r="H6381" s="6" t="s">
        <v>13082</v>
      </c>
      <c r="I6381" s="6">
        <v>530.625</v>
      </c>
      <c r="J6381" s="2">
        <f t="shared" si="99"/>
        <v>43747.941304074069</v>
      </c>
    </row>
    <row r="6382" spans="1:10" x14ac:dyDescent="0.25">
      <c r="A6382" s="7" t="s">
        <v>13083</v>
      </c>
      <c r="B6382" s="8">
        <v>403.125</v>
      </c>
      <c r="C6382" s="8">
        <v>20.478950000000001</v>
      </c>
      <c r="D6382" s="8">
        <v>83</v>
      </c>
      <c r="E6382" s="8">
        <v>0</v>
      </c>
      <c r="F6382" s="8">
        <v>0</v>
      </c>
      <c r="G6382" s="8">
        <v>19</v>
      </c>
      <c r="H6382" s="8" t="s">
        <v>13084</v>
      </c>
      <c r="I6382" s="8">
        <v>529.875</v>
      </c>
      <c r="J6382" s="3">
        <f t="shared" si="99"/>
        <v>43747.941375509261</v>
      </c>
    </row>
    <row r="6383" spans="1:10" x14ac:dyDescent="0.25">
      <c r="A6383" s="5" t="s">
        <v>13085</v>
      </c>
      <c r="B6383" s="6">
        <v>403.125</v>
      </c>
      <c r="C6383" s="6">
        <v>20.478950000000001</v>
      </c>
      <c r="D6383" s="6">
        <v>83</v>
      </c>
      <c r="E6383" s="6">
        <v>0</v>
      </c>
      <c r="F6383" s="6">
        <v>0</v>
      </c>
      <c r="G6383" s="6">
        <v>14</v>
      </c>
      <c r="H6383" s="6" t="s">
        <v>13086</v>
      </c>
      <c r="I6383" s="6">
        <v>529.875</v>
      </c>
      <c r="J6383" s="2">
        <f t="shared" si="99"/>
        <v>43747.941447569443</v>
      </c>
    </row>
    <row r="6384" spans="1:10" x14ac:dyDescent="0.25">
      <c r="A6384" s="7" t="s">
        <v>13087</v>
      </c>
      <c r="B6384" s="8">
        <v>403.125</v>
      </c>
      <c r="C6384" s="8">
        <v>20.478950000000001</v>
      </c>
      <c r="D6384" s="8">
        <v>82</v>
      </c>
      <c r="E6384" s="8">
        <v>0</v>
      </c>
      <c r="F6384" s="8">
        <v>0</v>
      </c>
      <c r="G6384" s="8">
        <v>12</v>
      </c>
      <c r="H6384" s="8" t="s">
        <v>13088</v>
      </c>
      <c r="I6384" s="8">
        <v>529.6875</v>
      </c>
      <c r="J6384" s="3">
        <f t="shared" si="99"/>
        <v>43747.941518842592</v>
      </c>
    </row>
    <row r="6385" spans="1:10" x14ac:dyDescent="0.25">
      <c r="A6385" s="5" t="s">
        <v>13089</v>
      </c>
      <c r="B6385" s="6">
        <v>428.125</v>
      </c>
      <c r="C6385" s="6">
        <v>20.478950000000001</v>
      </c>
      <c r="D6385" s="6">
        <v>84</v>
      </c>
      <c r="E6385" s="6">
        <v>0</v>
      </c>
      <c r="F6385" s="6">
        <v>0</v>
      </c>
      <c r="G6385" s="6">
        <v>13</v>
      </c>
      <c r="H6385" s="6" t="s">
        <v>13090</v>
      </c>
      <c r="I6385" s="6">
        <v>537</v>
      </c>
      <c r="J6385" s="2">
        <f t="shared" si="99"/>
        <v>43747.941590277776</v>
      </c>
    </row>
    <row r="6386" spans="1:10" x14ac:dyDescent="0.25">
      <c r="A6386" s="7" t="s">
        <v>13091</v>
      </c>
      <c r="B6386" s="8">
        <v>403.125</v>
      </c>
      <c r="C6386" s="8">
        <v>20.478950000000001</v>
      </c>
      <c r="D6386" s="8">
        <v>82</v>
      </c>
      <c r="E6386" s="8">
        <v>0</v>
      </c>
      <c r="F6386" s="8">
        <v>0</v>
      </c>
      <c r="G6386" s="8">
        <v>14</v>
      </c>
      <c r="H6386" s="8" t="s">
        <v>13092</v>
      </c>
      <c r="I6386" s="8">
        <v>529.875</v>
      </c>
      <c r="J6386" s="3">
        <f t="shared" si="99"/>
        <v>43747.941662418983</v>
      </c>
    </row>
    <row r="6387" spans="1:10" x14ac:dyDescent="0.25">
      <c r="A6387" s="5" t="s">
        <v>13093</v>
      </c>
      <c r="B6387" s="6">
        <v>403.125</v>
      </c>
      <c r="C6387" s="6">
        <v>20.478950000000001</v>
      </c>
      <c r="D6387" s="6">
        <v>82</v>
      </c>
      <c r="E6387" s="6">
        <v>0</v>
      </c>
      <c r="F6387" s="6">
        <v>0</v>
      </c>
      <c r="G6387" s="6">
        <v>24</v>
      </c>
      <c r="H6387" s="6" t="s">
        <v>13094</v>
      </c>
      <c r="I6387" s="6">
        <v>529.875</v>
      </c>
      <c r="J6387" s="2">
        <f t="shared" si="99"/>
        <v>43747.941733703701</v>
      </c>
    </row>
    <row r="6388" spans="1:10" x14ac:dyDescent="0.25">
      <c r="A6388" s="7" t="s">
        <v>13095</v>
      </c>
      <c r="B6388" s="8">
        <v>403.125</v>
      </c>
      <c r="C6388" s="8">
        <v>20.478950000000001</v>
      </c>
      <c r="D6388" s="8">
        <v>82</v>
      </c>
      <c r="E6388" s="8">
        <v>0</v>
      </c>
      <c r="F6388" s="8">
        <v>0</v>
      </c>
      <c r="G6388" s="8">
        <v>14</v>
      </c>
      <c r="H6388" s="8" t="s">
        <v>13096</v>
      </c>
      <c r="I6388" s="8">
        <v>529.875</v>
      </c>
      <c r="J6388" s="3">
        <f t="shared" si="99"/>
        <v>43747.941805023147</v>
      </c>
    </row>
    <row r="6389" spans="1:10" x14ac:dyDescent="0.25">
      <c r="A6389" s="5" t="s">
        <v>13097</v>
      </c>
      <c r="B6389" s="6">
        <v>403.125</v>
      </c>
      <c r="C6389" s="6">
        <v>20.478950000000001</v>
      </c>
      <c r="D6389" s="6">
        <v>82</v>
      </c>
      <c r="E6389" s="6">
        <v>0</v>
      </c>
      <c r="F6389" s="6">
        <v>0</v>
      </c>
      <c r="G6389" s="6">
        <v>11</v>
      </c>
      <c r="H6389" s="6" t="s">
        <v>13098</v>
      </c>
      <c r="I6389" s="6">
        <v>529.875</v>
      </c>
      <c r="J6389" s="2">
        <f t="shared" si="99"/>
        <v>43747.941888379624</v>
      </c>
    </row>
    <row r="6390" spans="1:10" x14ac:dyDescent="0.25">
      <c r="A6390" s="7" t="s">
        <v>13099</v>
      </c>
      <c r="B6390" s="8">
        <v>403.125</v>
      </c>
      <c r="C6390" s="8">
        <v>20.478950000000001</v>
      </c>
      <c r="D6390" s="8">
        <v>83</v>
      </c>
      <c r="E6390" s="8">
        <v>0</v>
      </c>
      <c r="F6390" s="8">
        <v>0</v>
      </c>
      <c r="G6390" s="8">
        <v>12</v>
      </c>
      <c r="H6390" s="8" t="s">
        <v>13100</v>
      </c>
      <c r="I6390" s="8">
        <v>529.875</v>
      </c>
      <c r="J6390" s="3">
        <f t="shared" si="99"/>
        <v>43747.941960358796</v>
      </c>
    </row>
    <row r="6391" spans="1:10" x14ac:dyDescent="0.25">
      <c r="A6391" s="5" t="s">
        <v>13101</v>
      </c>
      <c r="B6391" s="6">
        <v>406.25</v>
      </c>
      <c r="C6391" s="6">
        <v>20.478950000000001</v>
      </c>
      <c r="D6391" s="6">
        <v>83</v>
      </c>
      <c r="E6391" s="6">
        <v>0</v>
      </c>
      <c r="F6391" s="6">
        <v>0</v>
      </c>
      <c r="G6391" s="6">
        <v>25</v>
      </c>
      <c r="H6391" s="6" t="s">
        <v>13102</v>
      </c>
      <c r="I6391" s="6">
        <v>530.625</v>
      </c>
      <c r="J6391" s="2">
        <f t="shared" si="99"/>
        <v>43747.942031921295</v>
      </c>
    </row>
    <row r="6392" spans="1:10" x14ac:dyDescent="0.25">
      <c r="A6392" s="7" t="s">
        <v>13103</v>
      </c>
      <c r="B6392" s="8">
        <v>406.25</v>
      </c>
      <c r="C6392" s="8">
        <v>20.478950000000001</v>
      </c>
      <c r="D6392" s="8">
        <v>86</v>
      </c>
      <c r="E6392" s="8">
        <v>0</v>
      </c>
      <c r="F6392" s="8">
        <v>0</v>
      </c>
      <c r="G6392" s="8">
        <v>20</v>
      </c>
      <c r="H6392" s="8" t="s">
        <v>13104</v>
      </c>
      <c r="I6392" s="8">
        <v>530.625</v>
      </c>
      <c r="J6392" s="3">
        <f t="shared" si="99"/>
        <v>43747.942103159723</v>
      </c>
    </row>
    <row r="6393" spans="1:10" x14ac:dyDescent="0.25">
      <c r="A6393" s="5" t="s">
        <v>13105</v>
      </c>
      <c r="B6393" s="6">
        <v>425</v>
      </c>
      <c r="C6393" s="6">
        <v>20.478950000000001</v>
      </c>
      <c r="D6393" s="6">
        <v>81</v>
      </c>
      <c r="E6393" s="6">
        <v>0</v>
      </c>
      <c r="F6393" s="6">
        <v>0</v>
      </c>
      <c r="G6393" s="6">
        <v>20</v>
      </c>
      <c r="H6393" s="6" t="s">
        <v>13106</v>
      </c>
      <c r="I6393" s="6">
        <v>536.4375</v>
      </c>
      <c r="J6393" s="2">
        <f t="shared" si="99"/>
        <v>43747.942174537035</v>
      </c>
    </row>
    <row r="6394" spans="1:10" x14ac:dyDescent="0.25">
      <c r="A6394" s="7" t="s">
        <v>13107</v>
      </c>
      <c r="B6394" s="8">
        <v>409.375</v>
      </c>
      <c r="C6394" s="8">
        <v>20.478950000000001</v>
      </c>
      <c r="D6394" s="8">
        <v>81</v>
      </c>
      <c r="E6394" s="8">
        <v>0</v>
      </c>
      <c r="F6394" s="8">
        <v>0</v>
      </c>
      <c r="G6394" s="8">
        <v>15</v>
      </c>
      <c r="H6394" s="8" t="s">
        <v>13108</v>
      </c>
      <c r="I6394" s="8">
        <v>531.5625</v>
      </c>
      <c r="J6394" s="3">
        <f t="shared" si="99"/>
        <v>43747.942246712955</v>
      </c>
    </row>
    <row r="6395" spans="1:10" x14ac:dyDescent="0.25">
      <c r="A6395" s="5" t="s">
        <v>13109</v>
      </c>
      <c r="B6395" s="6">
        <v>409.375</v>
      </c>
      <c r="C6395" s="6">
        <v>20.478950000000001</v>
      </c>
      <c r="D6395" s="6">
        <v>81</v>
      </c>
      <c r="E6395" s="6">
        <v>0</v>
      </c>
      <c r="F6395" s="6">
        <v>0</v>
      </c>
      <c r="G6395" s="6">
        <v>21</v>
      </c>
      <c r="H6395" s="6" t="s">
        <v>13110</v>
      </c>
      <c r="I6395" s="6">
        <v>531.5625</v>
      </c>
      <c r="J6395" s="2">
        <f t="shared" si="99"/>
        <v>43747.942317986111</v>
      </c>
    </row>
    <row r="6396" spans="1:10" x14ac:dyDescent="0.25">
      <c r="A6396" s="7" t="s">
        <v>13111</v>
      </c>
      <c r="B6396" s="8">
        <v>409.375</v>
      </c>
      <c r="C6396" s="8">
        <v>20.478950000000001</v>
      </c>
      <c r="D6396" s="8">
        <v>81</v>
      </c>
      <c r="E6396" s="8">
        <v>0</v>
      </c>
      <c r="F6396" s="8">
        <v>0</v>
      </c>
      <c r="G6396" s="8">
        <v>16</v>
      </c>
      <c r="H6396" s="8" t="s">
        <v>13112</v>
      </c>
      <c r="I6396" s="8">
        <v>531.5625</v>
      </c>
      <c r="J6396" s="3">
        <f t="shared" si="99"/>
        <v>43747.942389398151</v>
      </c>
    </row>
    <row r="6397" spans="1:10" x14ac:dyDescent="0.25">
      <c r="A6397" s="5" t="s">
        <v>13113</v>
      </c>
      <c r="B6397" s="6">
        <v>409.375</v>
      </c>
      <c r="C6397" s="6">
        <v>20.478950000000001</v>
      </c>
      <c r="D6397" s="6">
        <v>81</v>
      </c>
      <c r="E6397" s="6">
        <v>0</v>
      </c>
      <c r="F6397" s="6">
        <v>0</v>
      </c>
      <c r="G6397" s="6">
        <v>15</v>
      </c>
      <c r="H6397" s="6" t="s">
        <v>13114</v>
      </c>
      <c r="I6397" s="6">
        <v>531.5625</v>
      </c>
      <c r="J6397" s="2">
        <f t="shared" si="99"/>
        <v>43747.942461365739</v>
      </c>
    </row>
    <row r="6398" spans="1:10" x14ac:dyDescent="0.25">
      <c r="A6398" s="7" t="s">
        <v>13115</v>
      </c>
      <c r="B6398" s="8">
        <v>406.25</v>
      </c>
      <c r="C6398" s="8">
        <v>20.478950000000001</v>
      </c>
      <c r="D6398" s="8">
        <v>81</v>
      </c>
      <c r="E6398" s="8">
        <v>0</v>
      </c>
      <c r="F6398" s="8">
        <v>0</v>
      </c>
      <c r="G6398" s="8">
        <v>16</v>
      </c>
      <c r="H6398" s="8" t="s">
        <v>13116</v>
      </c>
      <c r="I6398" s="8">
        <v>530.625</v>
      </c>
      <c r="J6398" s="3">
        <f t="shared" si="99"/>
        <v>43747.942531921297</v>
      </c>
    </row>
    <row r="6399" spans="1:10" x14ac:dyDescent="0.25">
      <c r="A6399" s="5" t="s">
        <v>13117</v>
      </c>
      <c r="B6399" s="6">
        <v>406.25</v>
      </c>
      <c r="C6399" s="6">
        <v>20.478950000000001</v>
      </c>
      <c r="D6399" s="6">
        <v>81</v>
      </c>
      <c r="E6399" s="6">
        <v>0</v>
      </c>
      <c r="F6399" s="6">
        <v>0</v>
      </c>
      <c r="G6399" s="6">
        <v>20</v>
      </c>
      <c r="H6399" s="6" t="s">
        <v>13118</v>
      </c>
      <c r="I6399" s="6">
        <v>530.625</v>
      </c>
      <c r="J6399" s="2">
        <f t="shared" si="99"/>
        <v>43747.94260412037</v>
      </c>
    </row>
    <row r="6400" spans="1:10" x14ac:dyDescent="0.25">
      <c r="A6400" s="7" t="s">
        <v>13119</v>
      </c>
      <c r="B6400" s="8">
        <v>406.25</v>
      </c>
      <c r="C6400" s="8">
        <v>20.478950000000001</v>
      </c>
      <c r="D6400" s="8">
        <v>81</v>
      </c>
      <c r="E6400" s="8">
        <v>0</v>
      </c>
      <c r="F6400" s="8">
        <v>0</v>
      </c>
      <c r="G6400" s="8">
        <v>12</v>
      </c>
      <c r="H6400" s="8" t="s">
        <v>13120</v>
      </c>
      <c r="I6400" s="8">
        <v>530.8125</v>
      </c>
      <c r="J6400" s="3">
        <f t="shared" si="99"/>
        <v>43747.942675393519</v>
      </c>
    </row>
    <row r="6401" spans="1:10" x14ac:dyDescent="0.25">
      <c r="A6401" s="5" t="s">
        <v>13121</v>
      </c>
      <c r="B6401" s="6">
        <v>403.125</v>
      </c>
      <c r="C6401" s="6">
        <v>20.478950000000001</v>
      </c>
      <c r="D6401" s="6">
        <v>82</v>
      </c>
      <c r="E6401" s="6">
        <v>0</v>
      </c>
      <c r="F6401" s="6">
        <v>0</v>
      </c>
      <c r="G6401" s="6">
        <v>24</v>
      </c>
      <c r="H6401" s="6" t="s">
        <v>13122</v>
      </c>
      <c r="I6401" s="6">
        <v>529.875</v>
      </c>
      <c r="J6401" s="2">
        <f t="shared" si="99"/>
        <v>43747.942747615736</v>
      </c>
    </row>
    <row r="6402" spans="1:10" x14ac:dyDescent="0.25">
      <c r="A6402" s="7" t="s">
        <v>13123</v>
      </c>
      <c r="B6402" s="8">
        <v>403.125</v>
      </c>
      <c r="C6402" s="8">
        <v>20.478950000000001</v>
      </c>
      <c r="D6402" s="8">
        <v>82</v>
      </c>
      <c r="E6402" s="8">
        <v>0</v>
      </c>
      <c r="F6402" s="8">
        <v>0</v>
      </c>
      <c r="G6402" s="8">
        <v>15</v>
      </c>
      <c r="H6402" s="8" t="s">
        <v>13124</v>
      </c>
      <c r="I6402" s="8">
        <v>529.875</v>
      </c>
      <c r="J6402" s="3">
        <f t="shared" ref="J6402:J6465" si="100">(H6402/86400000)+25569+(7/24)</f>
        <v>43747.942818969903</v>
      </c>
    </row>
    <row r="6403" spans="1:10" x14ac:dyDescent="0.25">
      <c r="A6403" s="5" t="s">
        <v>13125</v>
      </c>
      <c r="B6403" s="6">
        <v>403.125</v>
      </c>
      <c r="C6403" s="6">
        <v>20.478950000000001</v>
      </c>
      <c r="D6403" s="6">
        <v>82</v>
      </c>
      <c r="E6403" s="6">
        <v>0</v>
      </c>
      <c r="F6403" s="6">
        <v>0</v>
      </c>
      <c r="G6403" s="6">
        <v>26</v>
      </c>
      <c r="H6403" s="6" t="s">
        <v>13126</v>
      </c>
      <c r="I6403" s="6">
        <v>529.875</v>
      </c>
      <c r="J6403" s="2">
        <f t="shared" si="100"/>
        <v>43747.942890254628</v>
      </c>
    </row>
    <row r="6404" spans="1:10" x14ac:dyDescent="0.25">
      <c r="A6404" s="7" t="s">
        <v>13127</v>
      </c>
      <c r="B6404" s="8">
        <v>406.25</v>
      </c>
      <c r="C6404" s="8">
        <v>20.478950000000001</v>
      </c>
      <c r="D6404" s="8">
        <v>83</v>
      </c>
      <c r="E6404" s="8">
        <v>0</v>
      </c>
      <c r="F6404" s="8">
        <v>0</v>
      </c>
      <c r="G6404" s="8">
        <v>11</v>
      </c>
      <c r="H6404" s="8" t="s">
        <v>13128</v>
      </c>
      <c r="I6404" s="8">
        <v>530.625</v>
      </c>
      <c r="J6404" s="3">
        <f t="shared" si="100"/>
        <v>43747.942961550922</v>
      </c>
    </row>
    <row r="6405" spans="1:10" x14ac:dyDescent="0.25">
      <c r="A6405" s="5" t="s">
        <v>13129</v>
      </c>
      <c r="B6405" s="6">
        <v>409.375</v>
      </c>
      <c r="C6405" s="6">
        <v>20.478950000000001</v>
      </c>
      <c r="D6405" s="6">
        <v>81</v>
      </c>
      <c r="E6405" s="6">
        <v>0</v>
      </c>
      <c r="F6405" s="6">
        <v>0</v>
      </c>
      <c r="G6405" s="6">
        <v>17</v>
      </c>
      <c r="H6405" s="6" t="s">
        <v>13130</v>
      </c>
      <c r="I6405" s="6">
        <v>531.5625</v>
      </c>
      <c r="J6405" s="2">
        <f t="shared" si="100"/>
        <v>43747.943033657408</v>
      </c>
    </row>
    <row r="6406" spans="1:10" x14ac:dyDescent="0.25">
      <c r="A6406" s="7" t="s">
        <v>13131</v>
      </c>
      <c r="B6406" s="8">
        <v>425</v>
      </c>
      <c r="C6406" s="8">
        <v>20.478950000000001</v>
      </c>
      <c r="D6406" s="8">
        <v>81</v>
      </c>
      <c r="E6406" s="8">
        <v>0</v>
      </c>
      <c r="F6406" s="8">
        <v>0</v>
      </c>
      <c r="G6406" s="8">
        <v>10</v>
      </c>
      <c r="H6406" s="8" t="s">
        <v>13132</v>
      </c>
      <c r="I6406" s="8">
        <v>536.4375</v>
      </c>
      <c r="J6406" s="3">
        <f t="shared" si="100"/>
        <v>43747.943105347214</v>
      </c>
    </row>
    <row r="6407" spans="1:10" x14ac:dyDescent="0.25">
      <c r="A6407" s="5" t="s">
        <v>13133</v>
      </c>
      <c r="B6407" s="6">
        <v>406.25</v>
      </c>
      <c r="C6407" s="6">
        <v>20.478950000000001</v>
      </c>
      <c r="D6407" s="6">
        <v>82</v>
      </c>
      <c r="E6407" s="6">
        <v>0</v>
      </c>
      <c r="F6407" s="6">
        <v>0</v>
      </c>
      <c r="G6407" s="6">
        <v>7</v>
      </c>
      <c r="H6407" s="6" t="s">
        <v>13134</v>
      </c>
      <c r="I6407" s="6">
        <v>530.625</v>
      </c>
      <c r="J6407" s="2">
        <f t="shared" si="100"/>
        <v>43747.943200393514</v>
      </c>
    </row>
    <row r="6408" spans="1:10" x14ac:dyDescent="0.25">
      <c r="A6408" s="7" t="s">
        <v>13135</v>
      </c>
      <c r="B6408" s="8">
        <v>406.25</v>
      </c>
      <c r="C6408" s="8">
        <v>20.478950000000001</v>
      </c>
      <c r="D6408" s="8">
        <v>80</v>
      </c>
      <c r="E6408" s="8">
        <v>0</v>
      </c>
      <c r="F6408" s="8">
        <v>0</v>
      </c>
      <c r="G6408" s="8">
        <v>23</v>
      </c>
      <c r="H6408" s="8" t="s">
        <v>13136</v>
      </c>
      <c r="I6408" s="8">
        <v>530.8125</v>
      </c>
      <c r="J6408" s="3">
        <f t="shared" si="100"/>
        <v>43747.943271736112</v>
      </c>
    </row>
    <row r="6409" spans="1:10" x14ac:dyDescent="0.25">
      <c r="A6409" s="5" t="s">
        <v>13137</v>
      </c>
      <c r="B6409" s="6">
        <v>406.25</v>
      </c>
      <c r="C6409" s="6">
        <v>20.478950000000001</v>
      </c>
      <c r="D6409" s="6">
        <v>80</v>
      </c>
      <c r="E6409" s="6">
        <v>0</v>
      </c>
      <c r="F6409" s="6">
        <v>0</v>
      </c>
      <c r="G6409" s="6">
        <v>21</v>
      </c>
      <c r="H6409" s="6" t="s">
        <v>13138</v>
      </c>
      <c r="I6409" s="6">
        <v>530.8125</v>
      </c>
      <c r="J6409" s="2">
        <f t="shared" si="100"/>
        <v>43747.943355138887</v>
      </c>
    </row>
    <row r="6410" spans="1:10" x14ac:dyDescent="0.25">
      <c r="A6410" s="7" t="s">
        <v>13139</v>
      </c>
      <c r="B6410" s="8">
        <v>406.25</v>
      </c>
      <c r="C6410" s="8">
        <v>20.478950000000001</v>
      </c>
      <c r="D6410" s="8">
        <v>80</v>
      </c>
      <c r="E6410" s="8">
        <v>0</v>
      </c>
      <c r="F6410" s="8">
        <v>0</v>
      </c>
      <c r="G6410" s="8">
        <v>13</v>
      </c>
      <c r="H6410" s="8" t="s">
        <v>13140</v>
      </c>
      <c r="I6410" s="8">
        <v>530.625</v>
      </c>
      <c r="J6410" s="3">
        <f t="shared" si="100"/>
        <v>43747.943427233789</v>
      </c>
    </row>
    <row r="6411" spans="1:10" x14ac:dyDescent="0.25">
      <c r="A6411" s="5" t="s">
        <v>13141</v>
      </c>
      <c r="B6411" s="6">
        <v>406.25</v>
      </c>
      <c r="C6411" s="6">
        <v>20.478950000000001</v>
      </c>
      <c r="D6411" s="6">
        <v>80</v>
      </c>
      <c r="E6411" s="6">
        <v>0</v>
      </c>
      <c r="F6411" s="6">
        <v>0</v>
      </c>
      <c r="G6411" s="6">
        <v>22</v>
      </c>
      <c r="H6411" s="6" t="s">
        <v>13142</v>
      </c>
      <c r="I6411" s="6">
        <v>530.8125</v>
      </c>
      <c r="J6411" s="2">
        <f t="shared" si="100"/>
        <v>43747.94349878472</v>
      </c>
    </row>
    <row r="6412" spans="1:10" x14ac:dyDescent="0.25">
      <c r="A6412" s="7" t="s">
        <v>13143</v>
      </c>
      <c r="B6412" s="8">
        <v>425</v>
      </c>
      <c r="C6412" s="8">
        <v>20.478950000000001</v>
      </c>
      <c r="D6412" s="8">
        <v>80</v>
      </c>
      <c r="E6412" s="8">
        <v>0</v>
      </c>
      <c r="F6412" s="8">
        <v>0</v>
      </c>
      <c r="G6412" s="8">
        <v>17</v>
      </c>
      <c r="H6412" s="8" t="s">
        <v>13144</v>
      </c>
      <c r="I6412" s="8">
        <v>536.4375</v>
      </c>
      <c r="J6412" s="3">
        <f t="shared" si="100"/>
        <v>43747.943569826391</v>
      </c>
    </row>
    <row r="6413" spans="1:10" x14ac:dyDescent="0.25">
      <c r="A6413" s="5" t="s">
        <v>13145</v>
      </c>
      <c r="B6413" s="6">
        <v>403.125</v>
      </c>
      <c r="C6413" s="6">
        <v>20.478950000000001</v>
      </c>
      <c r="D6413" s="6">
        <v>79</v>
      </c>
      <c r="E6413" s="6">
        <v>0</v>
      </c>
      <c r="F6413" s="6">
        <v>0</v>
      </c>
      <c r="G6413" s="6">
        <v>5</v>
      </c>
      <c r="H6413" s="6" t="s">
        <v>13146</v>
      </c>
      <c r="I6413" s="6">
        <v>529.875</v>
      </c>
      <c r="J6413" s="2">
        <f t="shared" si="100"/>
        <v>43747.943641817132</v>
      </c>
    </row>
    <row r="6414" spans="1:10" x14ac:dyDescent="0.25">
      <c r="A6414" s="7" t="s">
        <v>13147</v>
      </c>
      <c r="B6414" s="8">
        <v>403.125</v>
      </c>
      <c r="C6414" s="8">
        <v>20.478950000000001</v>
      </c>
      <c r="D6414" s="8">
        <v>79</v>
      </c>
      <c r="E6414" s="8">
        <v>0</v>
      </c>
      <c r="F6414" s="8">
        <v>0</v>
      </c>
      <c r="G6414" s="8">
        <v>23</v>
      </c>
      <c r="H6414" s="8" t="s">
        <v>13148</v>
      </c>
      <c r="I6414" s="8">
        <v>529.875</v>
      </c>
      <c r="J6414" s="3">
        <f t="shared" si="100"/>
        <v>43747.943726550926</v>
      </c>
    </row>
    <row r="6415" spans="1:10" x14ac:dyDescent="0.25">
      <c r="A6415" s="5" t="s">
        <v>13149</v>
      </c>
      <c r="B6415" s="6">
        <v>403.125</v>
      </c>
      <c r="C6415" s="6">
        <v>20.478950000000001</v>
      </c>
      <c r="D6415" s="6">
        <v>81</v>
      </c>
      <c r="E6415" s="6">
        <v>0</v>
      </c>
      <c r="F6415" s="6">
        <v>0</v>
      </c>
      <c r="G6415" s="6">
        <v>14</v>
      </c>
      <c r="H6415" s="6" t="s">
        <v>13150</v>
      </c>
      <c r="I6415" s="6">
        <v>529.875</v>
      </c>
      <c r="J6415" s="2">
        <f t="shared" si="100"/>
        <v>43747.943808715274</v>
      </c>
    </row>
    <row r="6416" spans="1:10" x14ac:dyDescent="0.25">
      <c r="A6416" s="7" t="s">
        <v>13151</v>
      </c>
      <c r="B6416" s="8">
        <v>400</v>
      </c>
      <c r="C6416" s="8">
        <v>20.478950000000001</v>
      </c>
      <c r="D6416" s="8">
        <v>81</v>
      </c>
      <c r="E6416" s="8">
        <v>0</v>
      </c>
      <c r="F6416" s="8">
        <v>0</v>
      </c>
      <c r="G6416" s="8">
        <v>19</v>
      </c>
      <c r="H6416" s="8" t="s">
        <v>13152</v>
      </c>
      <c r="I6416" s="8">
        <v>528.9375</v>
      </c>
      <c r="J6416" s="3">
        <f t="shared" si="100"/>
        <v>43747.943880023151</v>
      </c>
    </row>
    <row r="6417" spans="1:10" x14ac:dyDescent="0.25">
      <c r="A6417" s="5" t="s">
        <v>13153</v>
      </c>
      <c r="B6417" s="6">
        <v>400</v>
      </c>
      <c r="C6417" s="6">
        <v>20.478950000000001</v>
      </c>
      <c r="D6417" s="6">
        <v>82</v>
      </c>
      <c r="E6417" s="6">
        <v>0</v>
      </c>
      <c r="F6417" s="6">
        <v>0</v>
      </c>
      <c r="G6417" s="6">
        <v>17</v>
      </c>
      <c r="H6417" s="6" t="s">
        <v>13154</v>
      </c>
      <c r="I6417" s="6">
        <v>528.9375</v>
      </c>
      <c r="J6417" s="2">
        <f t="shared" si="100"/>
        <v>43747.943951296293</v>
      </c>
    </row>
    <row r="6418" spans="1:10" x14ac:dyDescent="0.25">
      <c r="A6418" s="7" t="s">
        <v>13155</v>
      </c>
      <c r="B6418" s="8">
        <v>403.125</v>
      </c>
      <c r="C6418" s="8">
        <v>20.478950000000001</v>
      </c>
      <c r="D6418" s="8">
        <v>81</v>
      </c>
      <c r="E6418" s="8">
        <v>0</v>
      </c>
      <c r="F6418" s="8">
        <v>0</v>
      </c>
      <c r="G6418" s="8">
        <v>14</v>
      </c>
      <c r="H6418" s="8" t="s">
        <v>13156</v>
      </c>
      <c r="I6418" s="8">
        <v>529.125</v>
      </c>
      <c r="J6418" s="3">
        <f t="shared" si="100"/>
        <v>43747.944023530094</v>
      </c>
    </row>
    <row r="6419" spans="1:10" x14ac:dyDescent="0.25">
      <c r="A6419" s="5" t="s">
        <v>13157</v>
      </c>
      <c r="B6419" s="6">
        <v>418.75</v>
      </c>
      <c r="C6419" s="6">
        <v>20.478950000000001</v>
      </c>
      <c r="D6419" s="6">
        <v>81</v>
      </c>
      <c r="E6419" s="6">
        <v>0</v>
      </c>
      <c r="F6419" s="6">
        <v>0</v>
      </c>
      <c r="G6419" s="6">
        <v>10</v>
      </c>
      <c r="H6419" s="6" t="s">
        <v>13158</v>
      </c>
      <c r="I6419" s="6">
        <v>534.5625</v>
      </c>
      <c r="J6419" s="2">
        <f t="shared" si="100"/>
        <v>43747.944094826387</v>
      </c>
    </row>
    <row r="6420" spans="1:10" x14ac:dyDescent="0.25">
      <c r="A6420" s="7" t="s">
        <v>13159</v>
      </c>
      <c r="B6420" s="8">
        <v>403.125</v>
      </c>
      <c r="C6420" s="8">
        <v>20.478950000000001</v>
      </c>
      <c r="D6420" s="8">
        <v>81</v>
      </c>
      <c r="E6420" s="8">
        <v>0</v>
      </c>
      <c r="F6420" s="8">
        <v>0</v>
      </c>
      <c r="G6420" s="8">
        <v>9</v>
      </c>
      <c r="H6420" s="8" t="s">
        <v>13160</v>
      </c>
      <c r="I6420" s="8">
        <v>529.125</v>
      </c>
      <c r="J6420" s="3">
        <f t="shared" si="100"/>
        <v>43747.944166122681</v>
      </c>
    </row>
    <row r="6421" spans="1:10" x14ac:dyDescent="0.25">
      <c r="A6421" s="5" t="s">
        <v>13161</v>
      </c>
      <c r="B6421" s="6">
        <v>400</v>
      </c>
      <c r="C6421" s="6">
        <v>20.478950000000001</v>
      </c>
      <c r="D6421" s="6">
        <v>81</v>
      </c>
      <c r="E6421" s="6">
        <v>0</v>
      </c>
      <c r="F6421" s="6">
        <v>0</v>
      </c>
      <c r="G6421" s="6">
        <v>14</v>
      </c>
      <c r="H6421" s="6" t="s">
        <v>13162</v>
      </c>
      <c r="I6421" s="6">
        <v>528.1875</v>
      </c>
      <c r="J6421" s="2">
        <f t="shared" si="100"/>
        <v>43747.944261493052</v>
      </c>
    </row>
    <row r="6422" spans="1:10" x14ac:dyDescent="0.25">
      <c r="A6422" s="7" t="s">
        <v>13163</v>
      </c>
      <c r="B6422" s="8">
        <v>400</v>
      </c>
      <c r="C6422" s="8">
        <v>20.478950000000001</v>
      </c>
      <c r="D6422" s="8">
        <v>82</v>
      </c>
      <c r="E6422" s="8">
        <v>0</v>
      </c>
      <c r="F6422" s="8">
        <v>0</v>
      </c>
      <c r="G6422" s="8">
        <v>16</v>
      </c>
      <c r="H6422" s="8" t="s">
        <v>13164</v>
      </c>
      <c r="I6422" s="8">
        <v>528.375</v>
      </c>
      <c r="J6422" s="3">
        <f t="shared" si="100"/>
        <v>43747.944333495368</v>
      </c>
    </row>
    <row r="6423" spans="1:10" x14ac:dyDescent="0.25">
      <c r="A6423" s="5" t="s">
        <v>13165</v>
      </c>
      <c r="B6423" s="6">
        <v>396.875</v>
      </c>
      <c r="C6423" s="6">
        <v>20.478950000000001</v>
      </c>
      <c r="D6423" s="6">
        <v>81</v>
      </c>
      <c r="E6423" s="6">
        <v>0</v>
      </c>
      <c r="F6423" s="6">
        <v>0</v>
      </c>
      <c r="G6423" s="6">
        <v>15</v>
      </c>
      <c r="H6423" s="6" t="s">
        <v>13166</v>
      </c>
      <c r="I6423" s="6">
        <v>527.625</v>
      </c>
      <c r="J6423" s="2">
        <f t="shared" si="100"/>
        <v>43747.944404525457</v>
      </c>
    </row>
    <row r="6424" spans="1:10" x14ac:dyDescent="0.25">
      <c r="A6424" s="7" t="s">
        <v>13167</v>
      </c>
      <c r="B6424" s="8">
        <v>396.875</v>
      </c>
      <c r="C6424" s="8">
        <v>20.478950000000001</v>
      </c>
      <c r="D6424" s="8">
        <v>77</v>
      </c>
      <c r="E6424" s="8">
        <v>0</v>
      </c>
      <c r="F6424" s="8">
        <v>0</v>
      </c>
      <c r="G6424" s="8">
        <v>21</v>
      </c>
      <c r="H6424" s="8" t="s">
        <v>13168</v>
      </c>
      <c r="I6424" s="8">
        <v>527.4375</v>
      </c>
      <c r="J6424" s="3">
        <f t="shared" si="100"/>
        <v>43747.944476134253</v>
      </c>
    </row>
    <row r="6425" spans="1:10" x14ac:dyDescent="0.25">
      <c r="A6425" s="5" t="s">
        <v>13169</v>
      </c>
      <c r="B6425" s="6">
        <v>396.875</v>
      </c>
      <c r="C6425" s="6">
        <v>20.478950000000001</v>
      </c>
      <c r="D6425" s="6">
        <v>80</v>
      </c>
      <c r="E6425" s="6">
        <v>0</v>
      </c>
      <c r="F6425" s="6">
        <v>0</v>
      </c>
      <c r="G6425" s="6">
        <v>7</v>
      </c>
      <c r="H6425" s="6" t="s">
        <v>13170</v>
      </c>
      <c r="I6425" s="6">
        <v>527.4375</v>
      </c>
      <c r="J6425" s="2">
        <f t="shared" si="100"/>
        <v>43747.944548113424</v>
      </c>
    </row>
    <row r="6426" spans="1:10" x14ac:dyDescent="0.25">
      <c r="A6426" s="7" t="s">
        <v>13171</v>
      </c>
      <c r="B6426" s="8">
        <v>415.625</v>
      </c>
      <c r="C6426" s="8">
        <v>20.478950000000001</v>
      </c>
      <c r="D6426" s="8">
        <v>81</v>
      </c>
      <c r="E6426" s="8">
        <v>0</v>
      </c>
      <c r="F6426" s="8">
        <v>0</v>
      </c>
      <c r="G6426" s="8">
        <v>14</v>
      </c>
      <c r="H6426" s="8" t="s">
        <v>13172</v>
      </c>
      <c r="I6426" s="8">
        <v>533.0625</v>
      </c>
      <c r="J6426" s="3">
        <f t="shared" si="100"/>
        <v>43747.944619236114</v>
      </c>
    </row>
    <row r="6427" spans="1:10" x14ac:dyDescent="0.25">
      <c r="A6427" s="5" t="s">
        <v>13173</v>
      </c>
      <c r="B6427" s="6">
        <v>396.875</v>
      </c>
      <c r="C6427" s="6">
        <v>20.478950000000001</v>
      </c>
      <c r="D6427" s="6">
        <v>81</v>
      </c>
      <c r="E6427" s="6">
        <v>0</v>
      </c>
      <c r="F6427" s="6">
        <v>0</v>
      </c>
      <c r="G6427" s="6">
        <v>13</v>
      </c>
      <c r="H6427" s="6" t="s">
        <v>13174</v>
      </c>
      <c r="I6427" s="6">
        <v>527.4375</v>
      </c>
      <c r="J6427" s="2">
        <f t="shared" si="100"/>
        <v>43747.944690659722</v>
      </c>
    </row>
    <row r="6428" spans="1:10" x14ac:dyDescent="0.25">
      <c r="A6428" s="7" t="s">
        <v>13175</v>
      </c>
      <c r="B6428" s="8">
        <v>400</v>
      </c>
      <c r="C6428" s="8">
        <v>20.478950000000001</v>
      </c>
      <c r="D6428" s="8">
        <v>82</v>
      </c>
      <c r="E6428" s="8">
        <v>0</v>
      </c>
      <c r="F6428" s="8">
        <v>0</v>
      </c>
      <c r="G6428" s="8">
        <v>9</v>
      </c>
      <c r="H6428" s="8" t="s">
        <v>13176</v>
      </c>
      <c r="I6428" s="8">
        <v>528.375</v>
      </c>
      <c r="J6428" s="3">
        <f t="shared" si="100"/>
        <v>43747.944762476851</v>
      </c>
    </row>
    <row r="6429" spans="1:10" x14ac:dyDescent="0.25">
      <c r="A6429" s="5" t="s">
        <v>13177</v>
      </c>
      <c r="B6429" s="6">
        <v>400</v>
      </c>
      <c r="C6429" s="6">
        <v>20.478950000000001</v>
      </c>
      <c r="D6429" s="6">
        <v>81</v>
      </c>
      <c r="E6429" s="6">
        <v>0</v>
      </c>
      <c r="F6429" s="6">
        <v>0</v>
      </c>
      <c r="G6429" s="6">
        <v>12</v>
      </c>
      <c r="H6429" s="6" t="s">
        <v>13178</v>
      </c>
      <c r="I6429" s="6">
        <v>528.1875</v>
      </c>
      <c r="J6429" s="2">
        <f t="shared" si="100"/>
        <v>43747.94484585648</v>
      </c>
    </row>
    <row r="6430" spans="1:10" x14ac:dyDescent="0.25">
      <c r="A6430" s="7" t="s">
        <v>13179</v>
      </c>
      <c r="B6430" s="8">
        <v>403.125</v>
      </c>
      <c r="C6430" s="8">
        <v>20.478950000000001</v>
      </c>
      <c r="D6430" s="8">
        <v>81</v>
      </c>
      <c r="E6430" s="8">
        <v>0</v>
      </c>
      <c r="F6430" s="8">
        <v>0</v>
      </c>
      <c r="G6430" s="8">
        <v>15</v>
      </c>
      <c r="H6430" s="8" t="s">
        <v>13180</v>
      </c>
      <c r="I6430" s="8">
        <v>529.125</v>
      </c>
      <c r="J6430" s="3">
        <f t="shared" si="100"/>
        <v>43747.9449178125</v>
      </c>
    </row>
    <row r="6431" spans="1:10" x14ac:dyDescent="0.25">
      <c r="A6431" s="5" t="s">
        <v>13181</v>
      </c>
      <c r="B6431" s="6">
        <v>400</v>
      </c>
      <c r="C6431" s="6">
        <v>20.478950000000001</v>
      </c>
      <c r="D6431" s="6">
        <v>80</v>
      </c>
      <c r="E6431" s="6">
        <v>0</v>
      </c>
      <c r="F6431" s="6">
        <v>0</v>
      </c>
      <c r="G6431" s="6">
        <v>14</v>
      </c>
      <c r="H6431" s="6" t="s">
        <v>13182</v>
      </c>
      <c r="I6431" s="6">
        <v>528.9375</v>
      </c>
      <c r="J6431" s="2">
        <f t="shared" si="100"/>
        <v>43747.945003865738</v>
      </c>
    </row>
    <row r="6432" spans="1:10" x14ac:dyDescent="0.25">
      <c r="A6432" s="7" t="s">
        <v>13183</v>
      </c>
      <c r="B6432" s="8">
        <v>403.125</v>
      </c>
      <c r="C6432" s="8">
        <v>20.478950000000001</v>
      </c>
      <c r="D6432" s="8">
        <v>79</v>
      </c>
      <c r="E6432" s="8">
        <v>0</v>
      </c>
      <c r="F6432" s="8">
        <v>0</v>
      </c>
      <c r="G6432" s="8">
        <v>20</v>
      </c>
      <c r="H6432" s="8" t="s">
        <v>13184</v>
      </c>
      <c r="I6432" s="8">
        <v>529.125</v>
      </c>
      <c r="J6432" s="3">
        <f t="shared" si="100"/>
        <v>43747.945084699073</v>
      </c>
    </row>
    <row r="6433" spans="1:10" x14ac:dyDescent="0.25">
      <c r="A6433" s="5" t="s">
        <v>13185</v>
      </c>
      <c r="B6433" s="6">
        <v>403.125</v>
      </c>
      <c r="C6433" s="6">
        <v>20.478950000000001</v>
      </c>
      <c r="D6433" s="6">
        <v>84</v>
      </c>
      <c r="E6433" s="6">
        <v>0</v>
      </c>
      <c r="F6433" s="6">
        <v>0</v>
      </c>
      <c r="G6433" s="6">
        <v>13</v>
      </c>
      <c r="H6433" s="6" t="s">
        <v>13186</v>
      </c>
      <c r="I6433" s="6">
        <v>529.125</v>
      </c>
      <c r="J6433" s="2">
        <f t="shared" si="100"/>
        <v>43747.945155983798</v>
      </c>
    </row>
    <row r="6434" spans="1:10" x14ac:dyDescent="0.25">
      <c r="A6434" s="7" t="s">
        <v>13187</v>
      </c>
      <c r="B6434" s="8">
        <v>403.125</v>
      </c>
      <c r="C6434" s="8">
        <v>20.478950000000001</v>
      </c>
      <c r="D6434" s="8">
        <v>84</v>
      </c>
      <c r="E6434" s="8">
        <v>0</v>
      </c>
      <c r="F6434" s="8">
        <v>0</v>
      </c>
      <c r="G6434" s="8">
        <v>10</v>
      </c>
      <c r="H6434" s="8" t="s">
        <v>13188</v>
      </c>
      <c r="I6434" s="8">
        <v>529.875</v>
      </c>
      <c r="J6434" s="3">
        <f t="shared" si="100"/>
        <v>43747.945227465279</v>
      </c>
    </row>
    <row r="6435" spans="1:10" x14ac:dyDescent="0.25">
      <c r="A6435" s="5" t="s">
        <v>13189</v>
      </c>
      <c r="B6435" s="6">
        <v>403.125</v>
      </c>
      <c r="C6435" s="6">
        <v>20.478950000000001</v>
      </c>
      <c r="D6435" s="6">
        <v>84</v>
      </c>
      <c r="E6435" s="6">
        <v>0</v>
      </c>
      <c r="F6435" s="6">
        <v>0</v>
      </c>
      <c r="G6435" s="6">
        <v>11</v>
      </c>
      <c r="H6435" s="6" t="s">
        <v>13190</v>
      </c>
      <c r="I6435" s="6">
        <v>529.875</v>
      </c>
      <c r="J6435" s="2">
        <f t="shared" si="100"/>
        <v>43747.945299652776</v>
      </c>
    </row>
    <row r="6436" spans="1:10" x14ac:dyDescent="0.25">
      <c r="A6436" s="7" t="s">
        <v>13191</v>
      </c>
      <c r="B6436" s="8">
        <v>434.375</v>
      </c>
      <c r="C6436" s="8">
        <v>20.478950000000001</v>
      </c>
      <c r="D6436" s="8">
        <v>84</v>
      </c>
      <c r="E6436" s="8">
        <v>0</v>
      </c>
      <c r="F6436" s="8">
        <v>0</v>
      </c>
      <c r="G6436" s="8">
        <v>16</v>
      </c>
      <c r="H6436" s="8" t="s">
        <v>13192</v>
      </c>
      <c r="I6436" s="8">
        <v>539.625</v>
      </c>
      <c r="J6436" s="3">
        <f t="shared" si="100"/>
        <v>43747.945370810186</v>
      </c>
    </row>
    <row r="6437" spans="1:10" x14ac:dyDescent="0.25">
      <c r="A6437" s="5" t="s">
        <v>13193</v>
      </c>
      <c r="B6437" s="6">
        <v>403.125</v>
      </c>
      <c r="C6437" s="6">
        <v>20.478950000000001</v>
      </c>
      <c r="D6437" s="6">
        <v>83</v>
      </c>
      <c r="E6437" s="6">
        <v>0</v>
      </c>
      <c r="F6437" s="6">
        <v>0</v>
      </c>
      <c r="G6437" s="6">
        <v>23</v>
      </c>
      <c r="H6437" s="6" t="s">
        <v>13194</v>
      </c>
      <c r="I6437" s="6">
        <v>529.875</v>
      </c>
      <c r="J6437" s="2">
        <f t="shared" si="100"/>
        <v>43747.945442094904</v>
      </c>
    </row>
    <row r="6438" spans="1:10" x14ac:dyDescent="0.25">
      <c r="A6438" s="7" t="s">
        <v>13195</v>
      </c>
      <c r="B6438" s="8">
        <v>406.25</v>
      </c>
      <c r="C6438" s="8">
        <v>20.478950000000001</v>
      </c>
      <c r="D6438" s="8">
        <v>83</v>
      </c>
      <c r="E6438" s="8">
        <v>0</v>
      </c>
      <c r="F6438" s="8">
        <v>0</v>
      </c>
      <c r="G6438" s="8">
        <v>23</v>
      </c>
      <c r="H6438" s="8" t="s">
        <v>13196</v>
      </c>
      <c r="I6438" s="8">
        <v>530.625</v>
      </c>
      <c r="J6438" s="3">
        <f t="shared" si="100"/>
        <v>43747.945513506944</v>
      </c>
    </row>
    <row r="6439" spans="1:10" x14ac:dyDescent="0.25">
      <c r="A6439" s="5" t="s">
        <v>13197</v>
      </c>
      <c r="B6439" s="6">
        <v>406.25</v>
      </c>
      <c r="C6439" s="6">
        <v>20.478950000000001</v>
      </c>
      <c r="D6439" s="6">
        <v>83</v>
      </c>
      <c r="E6439" s="6">
        <v>0</v>
      </c>
      <c r="F6439" s="6">
        <v>0</v>
      </c>
      <c r="G6439" s="6">
        <v>19</v>
      </c>
      <c r="H6439" s="6" t="s">
        <v>13198</v>
      </c>
      <c r="I6439" s="6">
        <v>530.625</v>
      </c>
      <c r="J6439" s="2">
        <f t="shared" si="100"/>
        <v>43747.945585624999</v>
      </c>
    </row>
    <row r="6440" spans="1:10" x14ac:dyDescent="0.25">
      <c r="A6440" s="7" t="s">
        <v>13199</v>
      </c>
      <c r="B6440" s="8">
        <v>406.25</v>
      </c>
      <c r="C6440" s="8">
        <v>20.478950000000001</v>
      </c>
      <c r="D6440" s="8">
        <v>82</v>
      </c>
      <c r="E6440" s="8">
        <v>0</v>
      </c>
      <c r="F6440" s="8">
        <v>0</v>
      </c>
      <c r="G6440" s="8">
        <v>19</v>
      </c>
      <c r="H6440" s="8" t="s">
        <v>13200</v>
      </c>
      <c r="I6440" s="8">
        <v>530.8125</v>
      </c>
      <c r="J6440" s="3">
        <f t="shared" si="100"/>
        <v>43747.945668981476</v>
      </c>
    </row>
    <row r="6441" spans="1:10" x14ac:dyDescent="0.25">
      <c r="A6441" s="5" t="s">
        <v>13201</v>
      </c>
      <c r="B6441" s="6">
        <v>406.25</v>
      </c>
      <c r="C6441" s="6">
        <v>20.478950000000001</v>
      </c>
      <c r="D6441" s="6">
        <v>80</v>
      </c>
      <c r="E6441" s="6">
        <v>0</v>
      </c>
      <c r="F6441" s="6">
        <v>0</v>
      </c>
      <c r="G6441" s="6">
        <v>11</v>
      </c>
      <c r="H6441" s="6" t="s">
        <v>13202</v>
      </c>
      <c r="I6441" s="6">
        <v>530.8125</v>
      </c>
      <c r="J6441" s="2">
        <f t="shared" si="100"/>
        <v>43747.945740254632</v>
      </c>
    </row>
    <row r="6442" spans="1:10" x14ac:dyDescent="0.25">
      <c r="A6442" s="7" t="s">
        <v>13203</v>
      </c>
      <c r="B6442" s="8">
        <v>406.25</v>
      </c>
      <c r="C6442" s="8">
        <v>20.478950000000001</v>
      </c>
      <c r="D6442" s="8">
        <v>81</v>
      </c>
      <c r="E6442" s="8">
        <v>0</v>
      </c>
      <c r="F6442" s="8">
        <v>0</v>
      </c>
      <c r="G6442" s="8">
        <v>15</v>
      </c>
      <c r="H6442" s="8" t="s">
        <v>13204</v>
      </c>
      <c r="I6442" s="8">
        <v>530.625</v>
      </c>
      <c r="J6442" s="3">
        <f t="shared" si="100"/>
        <v>43747.945812303238</v>
      </c>
    </row>
    <row r="6443" spans="1:10" x14ac:dyDescent="0.25">
      <c r="A6443" s="5" t="s">
        <v>13205</v>
      </c>
      <c r="B6443" s="6">
        <v>406.25</v>
      </c>
      <c r="C6443" s="6">
        <v>20.478950000000001</v>
      </c>
      <c r="D6443" s="6">
        <v>82</v>
      </c>
      <c r="E6443" s="6">
        <v>0</v>
      </c>
      <c r="F6443" s="6">
        <v>0</v>
      </c>
      <c r="G6443" s="6">
        <v>19</v>
      </c>
      <c r="H6443" s="6" t="s">
        <v>13206</v>
      </c>
      <c r="I6443" s="6">
        <v>530.625</v>
      </c>
      <c r="J6443" s="2">
        <f t="shared" si="100"/>
        <v>43747.94588378472</v>
      </c>
    </row>
    <row r="6444" spans="1:10" x14ac:dyDescent="0.25">
      <c r="A6444" s="7" t="s">
        <v>13207</v>
      </c>
      <c r="B6444" s="8">
        <v>428.125</v>
      </c>
      <c r="C6444" s="8">
        <v>20.478950000000001</v>
      </c>
      <c r="D6444" s="8">
        <v>82</v>
      </c>
      <c r="E6444" s="8">
        <v>0</v>
      </c>
      <c r="F6444" s="8">
        <v>0</v>
      </c>
      <c r="G6444" s="8">
        <v>5</v>
      </c>
      <c r="H6444" s="8" t="s">
        <v>13208</v>
      </c>
      <c r="I6444" s="8">
        <v>537.1875</v>
      </c>
      <c r="J6444" s="3">
        <f t="shared" si="100"/>
        <v>43747.945955081021</v>
      </c>
    </row>
    <row r="6445" spans="1:10" x14ac:dyDescent="0.25">
      <c r="A6445" s="5" t="s">
        <v>13209</v>
      </c>
      <c r="B6445" s="6">
        <v>409.375</v>
      </c>
      <c r="C6445" s="6">
        <v>20.478950000000001</v>
      </c>
      <c r="D6445" s="6">
        <v>82</v>
      </c>
      <c r="E6445" s="6">
        <v>0</v>
      </c>
      <c r="F6445" s="6">
        <v>0</v>
      </c>
      <c r="G6445" s="6">
        <v>12</v>
      </c>
      <c r="H6445" s="6" t="s">
        <v>13210</v>
      </c>
      <c r="I6445" s="6">
        <v>531.5625</v>
      </c>
      <c r="J6445" s="2">
        <f t="shared" si="100"/>
        <v>43747.946038425922</v>
      </c>
    </row>
    <row r="6446" spans="1:10" x14ac:dyDescent="0.25">
      <c r="A6446" s="7" t="s">
        <v>13211</v>
      </c>
      <c r="B6446" s="8">
        <v>409.375</v>
      </c>
      <c r="C6446" s="8">
        <v>20.478950000000001</v>
      </c>
      <c r="D6446" s="8">
        <v>83</v>
      </c>
      <c r="E6446" s="8">
        <v>0</v>
      </c>
      <c r="F6446" s="8">
        <v>0</v>
      </c>
      <c r="G6446" s="8">
        <v>16</v>
      </c>
      <c r="H6446" s="8" t="s">
        <v>13212</v>
      </c>
      <c r="I6446" s="8">
        <v>531.375</v>
      </c>
      <c r="J6446" s="3">
        <f t="shared" si="100"/>
        <v>43747.946109780089</v>
      </c>
    </row>
    <row r="6447" spans="1:10" x14ac:dyDescent="0.25">
      <c r="A6447" s="5" t="s">
        <v>13213</v>
      </c>
      <c r="B6447" s="6">
        <v>409.375</v>
      </c>
      <c r="C6447" s="6">
        <v>20.478950000000001</v>
      </c>
      <c r="D6447" s="6">
        <v>83</v>
      </c>
      <c r="E6447" s="6">
        <v>0</v>
      </c>
      <c r="F6447" s="6">
        <v>0</v>
      </c>
      <c r="G6447" s="6">
        <v>8</v>
      </c>
      <c r="H6447" s="6" t="s">
        <v>13214</v>
      </c>
      <c r="I6447" s="6">
        <v>531.5625</v>
      </c>
      <c r="J6447" s="2">
        <f t="shared" si="100"/>
        <v>43747.94618194444</v>
      </c>
    </row>
    <row r="6448" spans="1:10" x14ac:dyDescent="0.25">
      <c r="A6448" s="7" t="s">
        <v>13215</v>
      </c>
      <c r="B6448" s="8">
        <v>412.5</v>
      </c>
      <c r="C6448" s="8">
        <v>20.478950000000001</v>
      </c>
      <c r="D6448" s="8">
        <v>83</v>
      </c>
      <c r="E6448" s="8">
        <v>0</v>
      </c>
      <c r="F6448" s="8">
        <v>0</v>
      </c>
      <c r="G6448" s="8">
        <v>9</v>
      </c>
      <c r="H6448" s="8" t="s">
        <v>13216</v>
      </c>
      <c r="I6448" s="8">
        <v>532.3125</v>
      </c>
      <c r="J6448" s="3">
        <f t="shared" si="100"/>
        <v>43747.946253182869</v>
      </c>
    </row>
    <row r="6449" spans="1:10" x14ac:dyDescent="0.25">
      <c r="A6449" s="5" t="s">
        <v>13217</v>
      </c>
      <c r="B6449" s="6">
        <v>412.5</v>
      </c>
      <c r="C6449" s="6">
        <v>20.478950000000001</v>
      </c>
      <c r="D6449" s="6">
        <v>83</v>
      </c>
      <c r="E6449" s="6">
        <v>0</v>
      </c>
      <c r="F6449" s="6">
        <v>0</v>
      </c>
      <c r="G6449" s="6">
        <v>8</v>
      </c>
      <c r="H6449" s="6" t="s">
        <v>13218</v>
      </c>
      <c r="I6449" s="6">
        <v>532.3125</v>
      </c>
      <c r="J6449" s="2">
        <f t="shared" si="100"/>
        <v>43747.946324537035</v>
      </c>
    </row>
    <row r="6450" spans="1:10" x14ac:dyDescent="0.25">
      <c r="A6450" s="7" t="s">
        <v>13219</v>
      </c>
      <c r="B6450" s="8">
        <v>412.5</v>
      </c>
      <c r="C6450" s="8">
        <v>20.478950000000001</v>
      </c>
      <c r="D6450" s="8">
        <v>83</v>
      </c>
      <c r="E6450" s="8">
        <v>0</v>
      </c>
      <c r="F6450" s="8">
        <v>0</v>
      </c>
      <c r="G6450" s="8">
        <v>21</v>
      </c>
      <c r="H6450" s="8" t="s">
        <v>13220</v>
      </c>
      <c r="I6450" s="8">
        <v>532.3125</v>
      </c>
      <c r="J6450" s="3">
        <f t="shared" si="100"/>
        <v>43747.946396747684</v>
      </c>
    </row>
    <row r="6451" spans="1:10" x14ac:dyDescent="0.25">
      <c r="A6451" s="5" t="s">
        <v>13221</v>
      </c>
      <c r="B6451" s="6">
        <v>412.5</v>
      </c>
      <c r="C6451" s="6">
        <v>20.478950000000001</v>
      </c>
      <c r="D6451" s="6">
        <v>83</v>
      </c>
      <c r="E6451" s="6">
        <v>0</v>
      </c>
      <c r="F6451" s="6">
        <v>0</v>
      </c>
      <c r="G6451" s="6">
        <v>15</v>
      </c>
      <c r="H6451" s="6" t="s">
        <v>13222</v>
      </c>
      <c r="I6451" s="6">
        <v>532.3125</v>
      </c>
      <c r="J6451" s="2">
        <f t="shared" si="100"/>
        <v>43747.946468055554</v>
      </c>
    </row>
    <row r="6452" spans="1:10" x14ac:dyDescent="0.25">
      <c r="A6452" s="7" t="s">
        <v>13223</v>
      </c>
      <c r="B6452" s="8">
        <v>428.125</v>
      </c>
      <c r="C6452" s="8">
        <v>20.478950000000001</v>
      </c>
      <c r="D6452" s="8">
        <v>82</v>
      </c>
      <c r="E6452" s="8">
        <v>0</v>
      </c>
      <c r="F6452" s="8">
        <v>0</v>
      </c>
      <c r="G6452" s="8">
        <v>27</v>
      </c>
      <c r="H6452" s="8" t="s">
        <v>13224</v>
      </c>
      <c r="I6452" s="8">
        <v>537.9375</v>
      </c>
      <c r="J6452" s="3">
        <f t="shared" si="100"/>
        <v>43747.946539328703</v>
      </c>
    </row>
    <row r="6453" spans="1:10" x14ac:dyDescent="0.25">
      <c r="A6453" s="5" t="s">
        <v>13225</v>
      </c>
      <c r="B6453" s="6">
        <v>412.5</v>
      </c>
      <c r="C6453" s="6">
        <v>20.478950000000001</v>
      </c>
      <c r="D6453" s="6">
        <v>82</v>
      </c>
      <c r="E6453" s="6">
        <v>0</v>
      </c>
      <c r="F6453" s="6">
        <v>0</v>
      </c>
      <c r="G6453" s="6">
        <v>11</v>
      </c>
      <c r="H6453" s="6" t="s">
        <v>13226</v>
      </c>
      <c r="I6453" s="6">
        <v>532.3125</v>
      </c>
      <c r="J6453" s="2">
        <f t="shared" si="100"/>
        <v>43747.946610694438</v>
      </c>
    </row>
    <row r="6454" spans="1:10" x14ac:dyDescent="0.25">
      <c r="A6454" s="7" t="s">
        <v>13227</v>
      </c>
      <c r="B6454" s="8">
        <v>412.5</v>
      </c>
      <c r="C6454" s="8">
        <v>20.478950000000001</v>
      </c>
      <c r="D6454" s="8">
        <v>81</v>
      </c>
      <c r="E6454" s="8">
        <v>0</v>
      </c>
      <c r="F6454" s="8">
        <v>0</v>
      </c>
      <c r="G6454" s="8">
        <v>16</v>
      </c>
      <c r="H6454" s="8" t="s">
        <v>13228</v>
      </c>
      <c r="I6454" s="8">
        <v>532.3125</v>
      </c>
      <c r="J6454" s="3">
        <f t="shared" si="100"/>
        <v>43747.946682407404</v>
      </c>
    </row>
    <row r="6455" spans="1:10" x14ac:dyDescent="0.25">
      <c r="A6455" s="5" t="s">
        <v>13229</v>
      </c>
      <c r="B6455" s="6">
        <v>409.375</v>
      </c>
      <c r="C6455" s="6">
        <v>20.478950000000001</v>
      </c>
      <c r="D6455" s="6">
        <v>81</v>
      </c>
      <c r="E6455" s="6">
        <v>0</v>
      </c>
      <c r="F6455" s="6">
        <v>0</v>
      </c>
      <c r="G6455" s="6">
        <v>15</v>
      </c>
      <c r="H6455" s="6" t="s">
        <v>13230</v>
      </c>
      <c r="I6455" s="6">
        <v>531.5625</v>
      </c>
      <c r="J6455" s="2">
        <f t="shared" si="100"/>
        <v>43747.946754143515</v>
      </c>
    </row>
    <row r="6456" spans="1:10" x14ac:dyDescent="0.25">
      <c r="A6456" s="7" t="s">
        <v>13231</v>
      </c>
      <c r="B6456" s="8">
        <v>437.5</v>
      </c>
      <c r="C6456" s="8">
        <v>20.478950000000001</v>
      </c>
      <c r="D6456" s="8">
        <v>81</v>
      </c>
      <c r="E6456" s="8">
        <v>0</v>
      </c>
      <c r="F6456" s="8">
        <v>0</v>
      </c>
      <c r="G6456" s="8">
        <v>13</v>
      </c>
      <c r="H6456" s="8" t="s">
        <v>13232</v>
      </c>
      <c r="I6456" s="8">
        <v>540.5625</v>
      </c>
      <c r="J6456" s="3">
        <f t="shared" si="100"/>
        <v>43747.946825462961</v>
      </c>
    </row>
    <row r="6457" spans="1:10" x14ac:dyDescent="0.25">
      <c r="A6457" s="5" t="s">
        <v>13233</v>
      </c>
      <c r="B6457" s="6">
        <v>409.375</v>
      </c>
      <c r="C6457" s="6">
        <v>20.478950000000001</v>
      </c>
      <c r="D6457" s="6">
        <v>82</v>
      </c>
      <c r="E6457" s="6">
        <v>0</v>
      </c>
      <c r="F6457" s="6">
        <v>0</v>
      </c>
      <c r="G6457" s="6">
        <v>17</v>
      </c>
      <c r="H6457" s="6" t="s">
        <v>13234</v>
      </c>
      <c r="I6457" s="6">
        <v>531.5625</v>
      </c>
      <c r="J6457" s="2">
        <f t="shared" si="100"/>
        <v>43747.946897499998</v>
      </c>
    </row>
    <row r="6458" spans="1:10" x14ac:dyDescent="0.25">
      <c r="A6458" s="7" t="s">
        <v>13235</v>
      </c>
      <c r="B6458" s="8">
        <v>406.25</v>
      </c>
      <c r="C6458" s="8">
        <v>20.478950000000001</v>
      </c>
      <c r="D6458" s="8">
        <v>81</v>
      </c>
      <c r="E6458" s="8">
        <v>0</v>
      </c>
      <c r="F6458" s="8">
        <v>0</v>
      </c>
      <c r="G6458" s="8">
        <v>15</v>
      </c>
      <c r="H6458" s="8" t="s">
        <v>13236</v>
      </c>
      <c r="I6458" s="8">
        <v>530.625</v>
      </c>
      <c r="J6458" s="3">
        <f t="shared" si="100"/>
        <v>43747.946968969904</v>
      </c>
    </row>
    <row r="6459" spans="1:10" x14ac:dyDescent="0.25">
      <c r="A6459" s="5" t="s">
        <v>13237</v>
      </c>
      <c r="B6459" s="6">
        <v>406.25</v>
      </c>
      <c r="C6459" s="6">
        <v>20.478950000000001</v>
      </c>
      <c r="D6459" s="6">
        <v>80</v>
      </c>
      <c r="E6459" s="6">
        <v>0</v>
      </c>
      <c r="F6459" s="6">
        <v>0</v>
      </c>
      <c r="G6459" s="6">
        <v>15</v>
      </c>
      <c r="H6459" s="6" t="s">
        <v>13238</v>
      </c>
      <c r="I6459" s="6">
        <v>530.625</v>
      </c>
      <c r="J6459" s="2">
        <f t="shared" si="100"/>
        <v>43747.947040254629</v>
      </c>
    </row>
    <row r="6460" spans="1:10" x14ac:dyDescent="0.25">
      <c r="A6460" s="7" t="s">
        <v>13239</v>
      </c>
      <c r="B6460" s="8">
        <v>406.25</v>
      </c>
      <c r="C6460" s="8">
        <v>20.426300000000001</v>
      </c>
      <c r="D6460" s="8">
        <v>81</v>
      </c>
      <c r="E6460" s="8">
        <v>0</v>
      </c>
      <c r="F6460" s="8">
        <v>0</v>
      </c>
      <c r="G6460" s="8">
        <v>5</v>
      </c>
      <c r="H6460" s="8" t="s">
        <v>13240</v>
      </c>
      <c r="I6460" s="8">
        <v>530.625</v>
      </c>
      <c r="J6460" s="3">
        <f t="shared" si="100"/>
        <v>43747.947135601855</v>
      </c>
    </row>
    <row r="6461" spans="1:10" x14ac:dyDescent="0.25">
      <c r="A6461" s="5" t="s">
        <v>13241</v>
      </c>
      <c r="B6461" s="6">
        <v>406.25</v>
      </c>
      <c r="C6461" s="6">
        <v>20.478950000000001</v>
      </c>
      <c r="D6461" s="6">
        <v>81</v>
      </c>
      <c r="E6461" s="6">
        <v>0</v>
      </c>
      <c r="F6461" s="6">
        <v>0</v>
      </c>
      <c r="G6461" s="6">
        <v>10</v>
      </c>
      <c r="H6461" s="6" t="s">
        <v>13242</v>
      </c>
      <c r="I6461" s="6">
        <v>530.625</v>
      </c>
      <c r="J6461" s="2">
        <f t="shared" si="100"/>
        <v>43747.947207002311</v>
      </c>
    </row>
    <row r="6462" spans="1:10" x14ac:dyDescent="0.25">
      <c r="A6462" s="7" t="s">
        <v>13243</v>
      </c>
      <c r="B6462" s="8">
        <v>406.25</v>
      </c>
      <c r="C6462" s="8">
        <v>20.478950000000001</v>
      </c>
      <c r="D6462" s="8">
        <v>80</v>
      </c>
      <c r="E6462" s="8">
        <v>0</v>
      </c>
      <c r="F6462" s="8">
        <v>0</v>
      </c>
      <c r="G6462" s="8">
        <v>7</v>
      </c>
      <c r="H6462" s="8" t="s">
        <v>13244</v>
      </c>
      <c r="I6462" s="8">
        <v>530.625</v>
      </c>
      <c r="J6462" s="3">
        <f t="shared" si="100"/>
        <v>43747.947279108797</v>
      </c>
    </row>
    <row r="6463" spans="1:10" x14ac:dyDescent="0.25">
      <c r="A6463" s="5" t="s">
        <v>13245</v>
      </c>
      <c r="B6463" s="6">
        <v>428.125</v>
      </c>
      <c r="C6463" s="6">
        <v>20.478950000000001</v>
      </c>
      <c r="D6463" s="6">
        <v>82</v>
      </c>
      <c r="E6463" s="6">
        <v>0</v>
      </c>
      <c r="F6463" s="6">
        <v>0</v>
      </c>
      <c r="G6463" s="6">
        <v>12</v>
      </c>
      <c r="H6463" s="6" t="s">
        <v>13246</v>
      </c>
      <c r="I6463" s="6">
        <v>537.1875</v>
      </c>
      <c r="J6463" s="2">
        <f t="shared" si="100"/>
        <v>43747.947351192131</v>
      </c>
    </row>
    <row r="6464" spans="1:10" x14ac:dyDescent="0.25">
      <c r="A6464" s="7" t="s">
        <v>13247</v>
      </c>
      <c r="B6464" s="8">
        <v>409.375</v>
      </c>
      <c r="C6464" s="8">
        <v>20.478950000000001</v>
      </c>
      <c r="D6464" s="8">
        <v>80</v>
      </c>
      <c r="E6464" s="8">
        <v>0</v>
      </c>
      <c r="F6464" s="8">
        <v>0</v>
      </c>
      <c r="G6464" s="8">
        <v>13</v>
      </c>
      <c r="H6464" s="8" t="s">
        <v>13248</v>
      </c>
      <c r="I6464" s="8">
        <v>531.5625</v>
      </c>
      <c r="J6464" s="3">
        <f t="shared" si="100"/>
        <v>43747.94743378472</v>
      </c>
    </row>
    <row r="6465" spans="1:10" x14ac:dyDescent="0.25">
      <c r="A6465" s="5" t="s">
        <v>13249</v>
      </c>
      <c r="B6465" s="6">
        <v>409.375</v>
      </c>
      <c r="C6465" s="6">
        <v>20.478950000000001</v>
      </c>
      <c r="D6465" s="6">
        <v>81</v>
      </c>
      <c r="E6465" s="6">
        <v>0</v>
      </c>
      <c r="F6465" s="6">
        <v>0</v>
      </c>
      <c r="G6465" s="6">
        <v>17</v>
      </c>
      <c r="H6465" s="6" t="s">
        <v>13250</v>
      </c>
      <c r="I6465" s="6">
        <v>531.375</v>
      </c>
      <c r="J6465" s="2">
        <f t="shared" si="100"/>
        <v>43747.947507893514</v>
      </c>
    </row>
    <row r="6466" spans="1:10" x14ac:dyDescent="0.25">
      <c r="A6466" s="7" t="s">
        <v>13251</v>
      </c>
      <c r="B6466" s="8">
        <v>409.375</v>
      </c>
      <c r="C6466" s="8">
        <v>20.478950000000001</v>
      </c>
      <c r="D6466" s="8">
        <v>81</v>
      </c>
      <c r="E6466" s="8">
        <v>0</v>
      </c>
      <c r="F6466" s="8">
        <v>0</v>
      </c>
      <c r="G6466" s="8">
        <v>9</v>
      </c>
      <c r="H6466" s="8" t="s">
        <v>13252</v>
      </c>
      <c r="I6466" s="8">
        <v>531.5625</v>
      </c>
      <c r="J6466" s="3">
        <f t="shared" ref="J6466:J6529" si="101">(H6466/86400000)+25569+(7/24)</f>
        <v>43747.947589178242</v>
      </c>
    </row>
    <row r="6467" spans="1:10" x14ac:dyDescent="0.25">
      <c r="A6467" s="5" t="s">
        <v>13253</v>
      </c>
      <c r="B6467" s="6">
        <v>409.375</v>
      </c>
      <c r="C6467" s="6">
        <v>20.478950000000001</v>
      </c>
      <c r="D6467" s="6">
        <v>79</v>
      </c>
      <c r="E6467" s="6">
        <v>0</v>
      </c>
      <c r="F6467" s="6">
        <v>0</v>
      </c>
      <c r="G6467" s="6">
        <v>12</v>
      </c>
      <c r="H6467" s="6" t="s">
        <v>13254</v>
      </c>
      <c r="I6467" s="6">
        <v>531.5625</v>
      </c>
      <c r="J6467" s="2">
        <f t="shared" si="101"/>
        <v>43747.947660509257</v>
      </c>
    </row>
    <row r="6468" spans="1:10" x14ac:dyDescent="0.25">
      <c r="A6468" s="7" t="s">
        <v>13255</v>
      </c>
      <c r="B6468" s="8">
        <v>409.375</v>
      </c>
      <c r="C6468" s="8">
        <v>20.478950000000001</v>
      </c>
      <c r="D6468" s="8">
        <v>79</v>
      </c>
      <c r="E6468" s="8">
        <v>0</v>
      </c>
      <c r="F6468" s="8">
        <v>0</v>
      </c>
      <c r="G6468" s="8">
        <v>20</v>
      </c>
      <c r="H6468" s="8" t="s">
        <v>13256</v>
      </c>
      <c r="I6468" s="8">
        <v>531.5625</v>
      </c>
      <c r="J6468" s="3">
        <f t="shared" si="101"/>
        <v>43747.947731932865</v>
      </c>
    </row>
    <row r="6469" spans="1:10" x14ac:dyDescent="0.25">
      <c r="A6469" s="5" t="s">
        <v>13257</v>
      </c>
      <c r="B6469" s="6">
        <v>409.375</v>
      </c>
      <c r="C6469" s="6">
        <v>20.478950000000001</v>
      </c>
      <c r="D6469" s="6">
        <v>79</v>
      </c>
      <c r="E6469" s="6">
        <v>0</v>
      </c>
      <c r="F6469" s="6">
        <v>0</v>
      </c>
      <c r="G6469" s="6">
        <v>24</v>
      </c>
      <c r="H6469" s="6" t="s">
        <v>13258</v>
      </c>
      <c r="I6469" s="6">
        <v>531.375</v>
      </c>
      <c r="J6469" s="2">
        <f t="shared" si="101"/>
        <v>43747.947803240742</v>
      </c>
    </row>
    <row r="6470" spans="1:10" x14ac:dyDescent="0.25">
      <c r="A6470" s="7" t="s">
        <v>13259</v>
      </c>
      <c r="B6470" s="8">
        <v>425</v>
      </c>
      <c r="C6470" s="8">
        <v>20.478950000000001</v>
      </c>
      <c r="D6470" s="8">
        <v>80</v>
      </c>
      <c r="E6470" s="8">
        <v>0</v>
      </c>
      <c r="F6470" s="8">
        <v>0</v>
      </c>
      <c r="G6470" s="8">
        <v>9</v>
      </c>
      <c r="H6470" s="8" t="s">
        <v>13260</v>
      </c>
      <c r="I6470" s="8">
        <v>536.4375</v>
      </c>
      <c r="J6470" s="3">
        <f t="shared" si="101"/>
        <v>43747.947875405087</v>
      </c>
    </row>
    <row r="6471" spans="1:10" x14ac:dyDescent="0.25">
      <c r="A6471" s="5" t="s">
        <v>13261</v>
      </c>
      <c r="B6471" s="6">
        <v>403.125</v>
      </c>
      <c r="C6471" s="6">
        <v>20.478950000000001</v>
      </c>
      <c r="D6471" s="6">
        <v>80</v>
      </c>
      <c r="E6471" s="6">
        <v>0</v>
      </c>
      <c r="F6471" s="6">
        <v>0</v>
      </c>
      <c r="G6471" s="6">
        <v>9</v>
      </c>
      <c r="H6471" s="6" t="s">
        <v>13262</v>
      </c>
      <c r="I6471" s="6">
        <v>529.875</v>
      </c>
      <c r="J6471" s="2">
        <f t="shared" si="101"/>
        <v>43747.947946793975</v>
      </c>
    </row>
    <row r="6472" spans="1:10" x14ac:dyDescent="0.25">
      <c r="A6472" s="7" t="s">
        <v>13263</v>
      </c>
      <c r="B6472" s="8">
        <v>403.125</v>
      </c>
      <c r="C6472" s="8">
        <v>20.478950000000001</v>
      </c>
      <c r="D6472" s="8">
        <v>80</v>
      </c>
      <c r="E6472" s="8">
        <v>0</v>
      </c>
      <c r="F6472" s="8">
        <v>0</v>
      </c>
      <c r="G6472" s="8">
        <v>10</v>
      </c>
      <c r="H6472" s="8" t="s">
        <v>13264</v>
      </c>
      <c r="I6472" s="8">
        <v>529.875</v>
      </c>
      <c r="J6472" s="3">
        <f t="shared" si="101"/>
        <v>43747.948042141201</v>
      </c>
    </row>
    <row r="6473" spans="1:10" x14ac:dyDescent="0.25">
      <c r="A6473" s="5" t="s">
        <v>13265</v>
      </c>
      <c r="B6473" s="6">
        <v>403.125</v>
      </c>
      <c r="C6473" s="6">
        <v>20.478950000000001</v>
      </c>
      <c r="D6473" s="6">
        <v>80</v>
      </c>
      <c r="E6473" s="6">
        <v>0</v>
      </c>
      <c r="F6473" s="6">
        <v>0</v>
      </c>
      <c r="G6473" s="6">
        <v>12</v>
      </c>
      <c r="H6473" s="6" t="s">
        <v>13266</v>
      </c>
      <c r="I6473" s="6">
        <v>529.875</v>
      </c>
      <c r="J6473" s="2">
        <f t="shared" si="101"/>
        <v>43747.948127523145</v>
      </c>
    </row>
    <row r="6474" spans="1:10" x14ac:dyDescent="0.25">
      <c r="A6474" s="7" t="s">
        <v>13267</v>
      </c>
      <c r="B6474" s="8">
        <v>406.25</v>
      </c>
      <c r="C6474" s="8">
        <v>20.478950000000001</v>
      </c>
      <c r="D6474" s="8">
        <v>80</v>
      </c>
      <c r="E6474" s="8">
        <v>0</v>
      </c>
      <c r="F6474" s="8">
        <v>0</v>
      </c>
      <c r="G6474" s="8">
        <v>5</v>
      </c>
      <c r="H6474" s="8" t="s">
        <v>13268</v>
      </c>
      <c r="I6474" s="8">
        <v>530.625</v>
      </c>
      <c r="J6474" s="3">
        <f t="shared" si="101"/>
        <v>43747.94820890046</v>
      </c>
    </row>
    <row r="6475" spans="1:10" x14ac:dyDescent="0.25">
      <c r="A6475" s="5" t="s">
        <v>13269</v>
      </c>
      <c r="B6475" s="6">
        <v>431.25</v>
      </c>
      <c r="C6475" s="6">
        <v>20.478950000000001</v>
      </c>
      <c r="D6475" s="6">
        <v>80</v>
      </c>
      <c r="E6475" s="6">
        <v>0</v>
      </c>
      <c r="F6475" s="6">
        <v>0</v>
      </c>
      <c r="G6475" s="6">
        <v>4</v>
      </c>
      <c r="H6475" s="6" t="s">
        <v>13270</v>
      </c>
      <c r="I6475" s="6">
        <v>538.125</v>
      </c>
      <c r="J6475" s="2">
        <f t="shared" si="101"/>
        <v>43747.948280925928</v>
      </c>
    </row>
    <row r="6476" spans="1:10" x14ac:dyDescent="0.25">
      <c r="A6476" s="7" t="s">
        <v>13271</v>
      </c>
      <c r="B6476" s="8">
        <v>406.25</v>
      </c>
      <c r="C6476" s="8">
        <v>20.478950000000001</v>
      </c>
      <c r="D6476" s="8">
        <v>80</v>
      </c>
      <c r="E6476" s="8">
        <v>0</v>
      </c>
      <c r="F6476" s="8">
        <v>0</v>
      </c>
      <c r="G6476" s="8">
        <v>16</v>
      </c>
      <c r="H6476" s="8" t="s">
        <v>13272</v>
      </c>
      <c r="I6476" s="8">
        <v>530.625</v>
      </c>
      <c r="J6476" s="3">
        <f t="shared" si="101"/>
        <v>43747.948352291663</v>
      </c>
    </row>
    <row r="6477" spans="1:10" x14ac:dyDescent="0.25">
      <c r="A6477" s="5" t="s">
        <v>13273</v>
      </c>
      <c r="B6477" s="6">
        <v>406.25</v>
      </c>
      <c r="C6477" s="6">
        <v>20.478950000000001</v>
      </c>
      <c r="D6477" s="6">
        <v>80</v>
      </c>
      <c r="E6477" s="6">
        <v>0</v>
      </c>
      <c r="F6477" s="6">
        <v>0</v>
      </c>
      <c r="G6477" s="6">
        <v>8</v>
      </c>
      <c r="H6477" s="6" t="s">
        <v>13274</v>
      </c>
      <c r="I6477" s="6">
        <v>530.625</v>
      </c>
      <c r="J6477" s="2">
        <f t="shared" si="101"/>
        <v>43747.948423599533</v>
      </c>
    </row>
    <row r="6478" spans="1:10" x14ac:dyDescent="0.25">
      <c r="A6478" s="7" t="s">
        <v>13275</v>
      </c>
      <c r="B6478" s="8">
        <v>406.25</v>
      </c>
      <c r="C6478" s="8">
        <v>20.478950000000001</v>
      </c>
      <c r="D6478" s="8">
        <v>82</v>
      </c>
      <c r="E6478" s="8">
        <v>0</v>
      </c>
      <c r="F6478" s="8">
        <v>0</v>
      </c>
      <c r="G6478" s="8">
        <v>18</v>
      </c>
      <c r="H6478" s="8" t="s">
        <v>13276</v>
      </c>
      <c r="I6478" s="8">
        <v>530.625</v>
      </c>
      <c r="J6478" s="3">
        <f t="shared" si="101"/>
        <v>43747.948494942124</v>
      </c>
    </row>
    <row r="6479" spans="1:10" x14ac:dyDescent="0.25">
      <c r="A6479" s="5" t="s">
        <v>13277</v>
      </c>
      <c r="B6479" s="6">
        <v>406.25</v>
      </c>
      <c r="C6479" s="6">
        <v>20.478950000000001</v>
      </c>
      <c r="D6479" s="6">
        <v>82</v>
      </c>
      <c r="E6479" s="6">
        <v>0</v>
      </c>
      <c r="F6479" s="6">
        <v>0</v>
      </c>
      <c r="G6479" s="6">
        <v>7</v>
      </c>
      <c r="H6479" s="6" t="s">
        <v>13278</v>
      </c>
      <c r="I6479" s="6">
        <v>530.625</v>
      </c>
      <c r="J6479" s="2">
        <f t="shared" si="101"/>
        <v>43747.948567037034</v>
      </c>
    </row>
    <row r="6480" spans="1:10" x14ac:dyDescent="0.25">
      <c r="A6480" s="7" t="s">
        <v>13279</v>
      </c>
      <c r="B6480" s="8">
        <v>406.25</v>
      </c>
      <c r="C6480" s="8">
        <v>20.478950000000001</v>
      </c>
      <c r="D6480" s="8">
        <v>83</v>
      </c>
      <c r="E6480" s="8">
        <v>0</v>
      </c>
      <c r="F6480" s="8">
        <v>0</v>
      </c>
      <c r="G6480" s="8">
        <v>14</v>
      </c>
      <c r="H6480" s="8" t="s">
        <v>13280</v>
      </c>
      <c r="I6480" s="8">
        <v>530.625</v>
      </c>
      <c r="J6480" s="3">
        <f t="shared" si="101"/>
        <v>43747.948638321752</v>
      </c>
    </row>
    <row r="6481" spans="1:10" x14ac:dyDescent="0.25">
      <c r="A6481" s="5" t="s">
        <v>13281</v>
      </c>
      <c r="B6481" s="6">
        <v>412.5</v>
      </c>
      <c r="C6481" s="6">
        <v>20.478950000000001</v>
      </c>
      <c r="D6481" s="6">
        <v>83</v>
      </c>
      <c r="E6481" s="6">
        <v>0</v>
      </c>
      <c r="F6481" s="6">
        <v>0</v>
      </c>
      <c r="G6481" s="6">
        <v>18</v>
      </c>
      <c r="H6481" s="6" t="s">
        <v>13282</v>
      </c>
      <c r="I6481" s="6">
        <v>532.3125</v>
      </c>
      <c r="J6481" s="2">
        <f t="shared" si="101"/>
        <v>43747.948709687502</v>
      </c>
    </row>
    <row r="6482" spans="1:10" x14ac:dyDescent="0.25">
      <c r="A6482" s="7" t="s">
        <v>13283</v>
      </c>
      <c r="B6482" s="8">
        <v>412.5</v>
      </c>
      <c r="C6482" s="8">
        <v>20.478950000000001</v>
      </c>
      <c r="D6482" s="8">
        <v>82</v>
      </c>
      <c r="E6482" s="8">
        <v>0</v>
      </c>
      <c r="F6482" s="8">
        <v>0</v>
      </c>
      <c r="G6482" s="8">
        <v>10</v>
      </c>
      <c r="H6482" s="8" t="s">
        <v>13284</v>
      </c>
      <c r="I6482" s="8">
        <v>532.3125</v>
      </c>
      <c r="J6482" s="3">
        <f t="shared" si="101"/>
        <v>43747.948805</v>
      </c>
    </row>
    <row r="6483" spans="1:10" x14ac:dyDescent="0.25">
      <c r="A6483" s="5" t="s">
        <v>13285</v>
      </c>
      <c r="B6483" s="6">
        <v>412.5</v>
      </c>
      <c r="C6483" s="6">
        <v>20.478950000000001</v>
      </c>
      <c r="D6483" s="6">
        <v>83</v>
      </c>
      <c r="E6483" s="6">
        <v>0</v>
      </c>
      <c r="F6483" s="6">
        <v>0</v>
      </c>
      <c r="G6483" s="6">
        <v>15</v>
      </c>
      <c r="H6483" s="6" t="s">
        <v>13286</v>
      </c>
      <c r="I6483" s="6">
        <v>532.3125</v>
      </c>
      <c r="J6483" s="2">
        <f t="shared" si="101"/>
        <v>43747.948877106479</v>
      </c>
    </row>
    <row r="6484" spans="1:10" x14ac:dyDescent="0.25">
      <c r="A6484" s="7" t="s">
        <v>13287</v>
      </c>
      <c r="B6484" s="8">
        <v>412.5</v>
      </c>
      <c r="C6484" s="8">
        <v>20.478950000000001</v>
      </c>
      <c r="D6484" s="8">
        <v>83</v>
      </c>
      <c r="E6484" s="8">
        <v>0</v>
      </c>
      <c r="F6484" s="8">
        <v>0</v>
      </c>
      <c r="G6484" s="8">
        <v>14</v>
      </c>
      <c r="H6484" s="8" t="s">
        <v>13288</v>
      </c>
      <c r="I6484" s="8">
        <v>532.3125</v>
      </c>
      <c r="J6484" s="3">
        <f t="shared" si="101"/>
        <v>43747.948948530095</v>
      </c>
    </row>
    <row r="6485" spans="1:10" x14ac:dyDescent="0.25">
      <c r="A6485" s="5" t="s">
        <v>13289</v>
      </c>
      <c r="B6485" s="6">
        <v>412.5</v>
      </c>
      <c r="C6485" s="6">
        <v>20.478950000000001</v>
      </c>
      <c r="D6485" s="6">
        <v>84</v>
      </c>
      <c r="E6485" s="6">
        <v>0</v>
      </c>
      <c r="F6485" s="6">
        <v>0</v>
      </c>
      <c r="G6485" s="6">
        <v>12</v>
      </c>
      <c r="H6485" s="6" t="s">
        <v>13290</v>
      </c>
      <c r="I6485" s="6">
        <v>532.3125</v>
      </c>
      <c r="J6485" s="2">
        <f t="shared" si="101"/>
        <v>43747.949019872678</v>
      </c>
    </row>
    <row r="6486" spans="1:10" x14ac:dyDescent="0.25">
      <c r="A6486" s="7" t="s">
        <v>13291</v>
      </c>
      <c r="B6486" s="8">
        <v>412.5</v>
      </c>
      <c r="C6486" s="8">
        <v>20.478950000000001</v>
      </c>
      <c r="D6486" s="8">
        <v>84</v>
      </c>
      <c r="E6486" s="8">
        <v>0</v>
      </c>
      <c r="F6486" s="8">
        <v>0</v>
      </c>
      <c r="G6486" s="8">
        <v>4</v>
      </c>
      <c r="H6486" s="8" t="s">
        <v>13292</v>
      </c>
      <c r="I6486" s="8">
        <v>532.3125</v>
      </c>
      <c r="J6486" s="3">
        <f t="shared" si="101"/>
        <v>43747.949103240739</v>
      </c>
    </row>
    <row r="6487" spans="1:10" x14ac:dyDescent="0.25">
      <c r="A6487" s="5" t="s">
        <v>13293</v>
      </c>
      <c r="B6487" s="6">
        <v>412.5</v>
      </c>
      <c r="C6487" s="6">
        <v>20.478950000000001</v>
      </c>
      <c r="D6487" s="6">
        <v>85</v>
      </c>
      <c r="E6487" s="6">
        <v>0</v>
      </c>
      <c r="F6487" s="6">
        <v>0</v>
      </c>
      <c r="G6487" s="6">
        <v>11</v>
      </c>
      <c r="H6487" s="6" t="s">
        <v>13294</v>
      </c>
      <c r="I6487" s="6">
        <v>532.5</v>
      </c>
      <c r="J6487" s="2">
        <f t="shared" si="101"/>
        <v>43747.949175254624</v>
      </c>
    </row>
    <row r="6488" spans="1:10" x14ac:dyDescent="0.25">
      <c r="A6488" s="7" t="s">
        <v>13295</v>
      </c>
      <c r="B6488" s="8">
        <v>409.375</v>
      </c>
      <c r="C6488" s="8">
        <v>20.478950000000001</v>
      </c>
      <c r="D6488" s="8">
        <v>88</v>
      </c>
      <c r="E6488" s="8">
        <v>0</v>
      </c>
      <c r="F6488" s="8">
        <v>0</v>
      </c>
      <c r="G6488" s="8">
        <v>15</v>
      </c>
      <c r="H6488" s="8" t="s">
        <v>13296</v>
      </c>
      <c r="I6488" s="8">
        <v>531.5625</v>
      </c>
      <c r="J6488" s="3">
        <f t="shared" si="101"/>
        <v>43747.949293784717</v>
      </c>
    </row>
    <row r="6489" spans="1:10" x14ac:dyDescent="0.25">
      <c r="A6489" s="5" t="s">
        <v>13297</v>
      </c>
      <c r="B6489" s="6">
        <v>409.375</v>
      </c>
      <c r="C6489" s="6">
        <v>20.478950000000001</v>
      </c>
      <c r="D6489" s="6">
        <v>88</v>
      </c>
      <c r="E6489" s="6">
        <v>0</v>
      </c>
      <c r="F6489" s="6">
        <v>0</v>
      </c>
      <c r="G6489" s="6">
        <v>18</v>
      </c>
      <c r="H6489" s="6" t="s">
        <v>13298</v>
      </c>
      <c r="I6489" s="6">
        <v>531.5625</v>
      </c>
      <c r="J6489" s="2">
        <f t="shared" si="101"/>
        <v>43747.949366180554</v>
      </c>
    </row>
    <row r="6490" spans="1:10" x14ac:dyDescent="0.25">
      <c r="A6490" s="7" t="s">
        <v>13299</v>
      </c>
      <c r="B6490" s="8">
        <v>409.375</v>
      </c>
      <c r="C6490" s="8">
        <v>20.478950000000001</v>
      </c>
      <c r="D6490" s="8">
        <v>86</v>
      </c>
      <c r="E6490" s="8">
        <v>0</v>
      </c>
      <c r="F6490" s="8">
        <v>0</v>
      </c>
      <c r="G6490" s="8">
        <v>13</v>
      </c>
      <c r="H6490" s="8" t="s">
        <v>13300</v>
      </c>
      <c r="I6490" s="8">
        <v>531.375</v>
      </c>
      <c r="J6490" s="3">
        <f t="shared" si="101"/>
        <v>43747.949448935186</v>
      </c>
    </row>
    <row r="6491" spans="1:10" x14ac:dyDescent="0.25">
      <c r="A6491" s="5" t="s">
        <v>13301</v>
      </c>
      <c r="B6491" s="6">
        <v>412.5</v>
      </c>
      <c r="C6491" s="6">
        <v>20.478950000000001</v>
      </c>
      <c r="D6491" s="6">
        <v>85</v>
      </c>
      <c r="E6491" s="6">
        <v>0</v>
      </c>
      <c r="F6491" s="6">
        <v>0</v>
      </c>
      <c r="G6491" s="6">
        <v>8</v>
      </c>
      <c r="H6491" s="6" t="s">
        <v>13302</v>
      </c>
      <c r="I6491" s="6">
        <v>532.3125</v>
      </c>
      <c r="J6491" s="2">
        <f t="shared" si="101"/>
        <v>43747.949520439812</v>
      </c>
    </row>
    <row r="6492" spans="1:10" x14ac:dyDescent="0.25">
      <c r="A6492" s="7" t="s">
        <v>13303</v>
      </c>
      <c r="B6492" s="8">
        <v>409.375</v>
      </c>
      <c r="C6492" s="8">
        <v>20.478950000000001</v>
      </c>
      <c r="D6492" s="8">
        <v>84</v>
      </c>
      <c r="E6492" s="8">
        <v>0</v>
      </c>
      <c r="F6492" s="8">
        <v>0</v>
      </c>
      <c r="G6492" s="8">
        <v>12</v>
      </c>
      <c r="H6492" s="8" t="s">
        <v>13304</v>
      </c>
      <c r="I6492" s="8">
        <v>531.375</v>
      </c>
      <c r="J6492" s="3">
        <f t="shared" si="101"/>
        <v>43747.949592106481</v>
      </c>
    </row>
    <row r="6493" spans="1:10" x14ac:dyDescent="0.25">
      <c r="A6493" s="5" t="s">
        <v>13305</v>
      </c>
      <c r="B6493" s="6">
        <v>406.25</v>
      </c>
      <c r="C6493" s="6">
        <v>20.478950000000001</v>
      </c>
      <c r="D6493" s="6">
        <v>84</v>
      </c>
      <c r="E6493" s="6">
        <v>0</v>
      </c>
      <c r="F6493" s="6">
        <v>0</v>
      </c>
      <c r="G6493" s="6">
        <v>10</v>
      </c>
      <c r="H6493" s="6" t="s">
        <v>13306</v>
      </c>
      <c r="I6493" s="6">
        <v>530.625</v>
      </c>
      <c r="J6493" s="2">
        <f t="shared" si="101"/>
        <v>43747.949687476845</v>
      </c>
    </row>
    <row r="6494" spans="1:10" x14ac:dyDescent="0.25">
      <c r="A6494" s="7" t="s">
        <v>13307</v>
      </c>
      <c r="B6494" s="8">
        <v>406.25</v>
      </c>
      <c r="C6494" s="8">
        <v>20.478950000000001</v>
      </c>
      <c r="D6494" s="8">
        <v>84</v>
      </c>
      <c r="E6494" s="8">
        <v>0</v>
      </c>
      <c r="F6494" s="8">
        <v>0</v>
      </c>
      <c r="G6494" s="8">
        <v>15</v>
      </c>
      <c r="H6494" s="8" t="s">
        <v>13308</v>
      </c>
      <c r="I6494" s="8">
        <v>530.625</v>
      </c>
      <c r="J6494" s="3">
        <f t="shared" si="101"/>
        <v>43747.949759618052</v>
      </c>
    </row>
    <row r="6495" spans="1:10" x14ac:dyDescent="0.25">
      <c r="A6495" s="5" t="s">
        <v>13309</v>
      </c>
      <c r="B6495" s="6">
        <v>406.25</v>
      </c>
      <c r="C6495" s="6">
        <v>20.478950000000001</v>
      </c>
      <c r="D6495" s="6">
        <v>84</v>
      </c>
      <c r="E6495" s="6">
        <v>0</v>
      </c>
      <c r="F6495" s="6">
        <v>0</v>
      </c>
      <c r="G6495" s="6">
        <v>15</v>
      </c>
      <c r="H6495" s="6" t="s">
        <v>13310</v>
      </c>
      <c r="I6495" s="6">
        <v>530.625</v>
      </c>
      <c r="J6495" s="2">
        <f t="shared" si="101"/>
        <v>43747.949831215279</v>
      </c>
    </row>
    <row r="6496" spans="1:10" x14ac:dyDescent="0.25">
      <c r="A6496" s="7" t="s">
        <v>13311</v>
      </c>
      <c r="B6496" s="8">
        <v>409.375</v>
      </c>
      <c r="C6496" s="8">
        <v>20.478950000000001</v>
      </c>
      <c r="D6496" s="8">
        <v>84</v>
      </c>
      <c r="E6496" s="8">
        <v>0</v>
      </c>
      <c r="F6496" s="8">
        <v>0</v>
      </c>
      <c r="G6496" s="8">
        <v>8</v>
      </c>
      <c r="H6496" s="8" t="s">
        <v>13312</v>
      </c>
      <c r="I6496" s="8">
        <v>531.5625</v>
      </c>
      <c r="J6496" s="3">
        <f t="shared" si="101"/>
        <v>43747.949902280096</v>
      </c>
    </row>
    <row r="6497" spans="1:10" x14ac:dyDescent="0.25">
      <c r="A6497" s="5" t="s">
        <v>13313</v>
      </c>
      <c r="B6497" s="6">
        <v>409.375</v>
      </c>
      <c r="C6497" s="6">
        <v>20.478950000000001</v>
      </c>
      <c r="D6497" s="6">
        <v>85</v>
      </c>
      <c r="E6497" s="6">
        <v>0</v>
      </c>
      <c r="F6497" s="6">
        <v>0</v>
      </c>
      <c r="G6497" s="6">
        <v>11</v>
      </c>
      <c r="H6497" s="6" t="s">
        <v>13314</v>
      </c>
      <c r="I6497" s="6">
        <v>531.5625</v>
      </c>
      <c r="J6497" s="2">
        <f t="shared" si="101"/>
        <v>43747.949973587958</v>
      </c>
    </row>
    <row r="6498" spans="1:10" x14ac:dyDescent="0.25">
      <c r="A6498" s="7" t="s">
        <v>13315</v>
      </c>
      <c r="B6498" s="8">
        <v>409.375</v>
      </c>
      <c r="C6498" s="8">
        <v>20.478950000000001</v>
      </c>
      <c r="D6498" s="8">
        <v>85</v>
      </c>
      <c r="E6498" s="8">
        <v>0</v>
      </c>
      <c r="F6498" s="8">
        <v>0</v>
      </c>
      <c r="G6498" s="8">
        <v>11</v>
      </c>
      <c r="H6498" s="8" t="s">
        <v>13316</v>
      </c>
      <c r="I6498" s="8">
        <v>531.5625</v>
      </c>
      <c r="J6498" s="3">
        <f t="shared" si="101"/>
        <v>43747.950047962957</v>
      </c>
    </row>
    <row r="6499" spans="1:10" x14ac:dyDescent="0.25">
      <c r="A6499" s="5" t="s">
        <v>13317</v>
      </c>
      <c r="B6499" s="6">
        <v>409.375</v>
      </c>
      <c r="C6499" s="6">
        <v>20.478950000000001</v>
      </c>
      <c r="D6499" s="6">
        <v>85</v>
      </c>
      <c r="E6499" s="6">
        <v>0</v>
      </c>
      <c r="F6499" s="6">
        <v>0</v>
      </c>
      <c r="G6499" s="6">
        <v>14</v>
      </c>
      <c r="H6499" s="6" t="s">
        <v>13318</v>
      </c>
      <c r="I6499" s="6">
        <v>531.375</v>
      </c>
      <c r="J6499" s="2">
        <f t="shared" si="101"/>
        <v>43747.950129120371</v>
      </c>
    </row>
    <row r="6500" spans="1:10" x14ac:dyDescent="0.25">
      <c r="A6500" s="7" t="s">
        <v>13319</v>
      </c>
      <c r="B6500" s="8">
        <v>428.125</v>
      </c>
      <c r="C6500" s="8">
        <v>20.478950000000001</v>
      </c>
      <c r="D6500" s="8">
        <v>86</v>
      </c>
      <c r="E6500" s="8">
        <v>0</v>
      </c>
      <c r="F6500" s="8">
        <v>0</v>
      </c>
      <c r="G6500" s="8">
        <v>9</v>
      </c>
      <c r="H6500" s="8" t="s">
        <v>13320</v>
      </c>
      <c r="I6500" s="8">
        <v>537.9375</v>
      </c>
      <c r="J6500" s="3">
        <f t="shared" si="101"/>
        <v>43747.950200428233</v>
      </c>
    </row>
    <row r="6501" spans="1:10" x14ac:dyDescent="0.25">
      <c r="A6501" s="5" t="s">
        <v>13321</v>
      </c>
      <c r="B6501" s="6">
        <v>403.125</v>
      </c>
      <c r="C6501" s="6">
        <v>20.478950000000001</v>
      </c>
      <c r="D6501" s="6">
        <v>85</v>
      </c>
      <c r="E6501" s="6">
        <v>0</v>
      </c>
      <c r="F6501" s="6">
        <v>0</v>
      </c>
      <c r="G6501" s="6">
        <v>10</v>
      </c>
      <c r="H6501" s="6" t="s">
        <v>13322</v>
      </c>
      <c r="I6501" s="6">
        <v>529.875</v>
      </c>
      <c r="J6501" s="2">
        <f t="shared" si="101"/>
        <v>43747.950283773149</v>
      </c>
    </row>
    <row r="6502" spans="1:10" x14ac:dyDescent="0.25">
      <c r="A6502" s="7" t="s">
        <v>13323</v>
      </c>
      <c r="B6502" s="8">
        <v>406.25</v>
      </c>
      <c r="C6502" s="8">
        <v>20.478950000000001</v>
      </c>
      <c r="D6502" s="8">
        <v>85</v>
      </c>
      <c r="E6502" s="8">
        <v>0</v>
      </c>
      <c r="F6502" s="8">
        <v>0</v>
      </c>
      <c r="G6502" s="8">
        <v>7</v>
      </c>
      <c r="H6502" s="8" t="s">
        <v>13324</v>
      </c>
      <c r="I6502" s="8">
        <v>530.8125</v>
      </c>
      <c r="J6502" s="3">
        <f t="shared" si="101"/>
        <v>43747.950355972222</v>
      </c>
    </row>
    <row r="6503" spans="1:10" x14ac:dyDescent="0.25">
      <c r="A6503" s="5" t="s">
        <v>13325</v>
      </c>
      <c r="B6503" s="6">
        <v>406.25</v>
      </c>
      <c r="C6503" s="6">
        <v>20.478950000000001</v>
      </c>
      <c r="D6503" s="6">
        <v>85</v>
      </c>
      <c r="E6503" s="6">
        <v>0</v>
      </c>
      <c r="F6503" s="6">
        <v>0</v>
      </c>
      <c r="G6503" s="6">
        <v>3</v>
      </c>
      <c r="H6503" s="6" t="s">
        <v>13326</v>
      </c>
      <c r="I6503" s="6">
        <v>530.625</v>
      </c>
      <c r="J6503" s="2">
        <f t="shared" si="101"/>
        <v>43747.950427233794</v>
      </c>
    </row>
    <row r="6504" spans="1:10" x14ac:dyDescent="0.25">
      <c r="A6504" s="7" t="s">
        <v>13327</v>
      </c>
      <c r="B6504" s="8">
        <v>406.25</v>
      </c>
      <c r="C6504" s="8">
        <v>20.478950000000001</v>
      </c>
      <c r="D6504" s="8">
        <v>84</v>
      </c>
      <c r="E6504" s="8">
        <v>0</v>
      </c>
      <c r="F6504" s="8">
        <v>0</v>
      </c>
      <c r="G6504" s="8">
        <v>15</v>
      </c>
      <c r="H6504" s="8" t="s">
        <v>13328</v>
      </c>
      <c r="I6504" s="8">
        <v>530.8125</v>
      </c>
      <c r="J6504" s="3">
        <f t="shared" si="101"/>
        <v>43747.950511284718</v>
      </c>
    </row>
    <row r="6505" spans="1:10" x14ac:dyDescent="0.25">
      <c r="A6505" s="5" t="s">
        <v>13329</v>
      </c>
      <c r="B6505" s="6">
        <v>409.375</v>
      </c>
      <c r="C6505" s="6">
        <v>20.478950000000001</v>
      </c>
      <c r="D6505" s="6">
        <v>83</v>
      </c>
      <c r="E6505" s="6">
        <v>0</v>
      </c>
      <c r="F6505" s="6">
        <v>0</v>
      </c>
      <c r="G6505" s="6">
        <v>13</v>
      </c>
      <c r="H6505" s="6" t="s">
        <v>13330</v>
      </c>
      <c r="I6505" s="6">
        <v>531.375</v>
      </c>
      <c r="J6505" s="2">
        <f t="shared" si="101"/>
        <v>43747.950581909718</v>
      </c>
    </row>
    <row r="6506" spans="1:10" x14ac:dyDescent="0.25">
      <c r="A6506" s="7" t="s">
        <v>13331</v>
      </c>
      <c r="B6506" s="8">
        <v>409.375</v>
      </c>
      <c r="C6506" s="8">
        <v>20.478950000000001</v>
      </c>
      <c r="D6506" s="8">
        <v>84</v>
      </c>
      <c r="E6506" s="8">
        <v>0</v>
      </c>
      <c r="F6506" s="8">
        <v>0</v>
      </c>
      <c r="G6506" s="8">
        <v>14</v>
      </c>
      <c r="H6506" s="8" t="s">
        <v>13332</v>
      </c>
      <c r="I6506" s="8">
        <v>531.5625</v>
      </c>
      <c r="J6506" s="3">
        <f t="shared" si="101"/>
        <v>43747.950653333326</v>
      </c>
    </row>
    <row r="6507" spans="1:10" x14ac:dyDescent="0.25">
      <c r="A6507" s="5" t="s">
        <v>13333</v>
      </c>
      <c r="B6507" s="6">
        <v>409.375</v>
      </c>
      <c r="C6507" s="6">
        <v>20.478950000000001</v>
      </c>
      <c r="D6507" s="6">
        <v>88</v>
      </c>
      <c r="E6507" s="6">
        <v>0</v>
      </c>
      <c r="F6507" s="6">
        <v>0</v>
      </c>
      <c r="G6507" s="6">
        <v>15</v>
      </c>
      <c r="H6507" s="6" t="s">
        <v>13334</v>
      </c>
      <c r="I6507" s="6">
        <v>531.5625</v>
      </c>
      <c r="J6507" s="2">
        <f t="shared" si="101"/>
        <v>43747.950749479169</v>
      </c>
    </row>
    <row r="6508" spans="1:10" x14ac:dyDescent="0.25">
      <c r="A6508" s="7" t="s">
        <v>13335</v>
      </c>
      <c r="B6508" s="8">
        <v>412.5</v>
      </c>
      <c r="C6508" s="8">
        <v>20.478950000000001</v>
      </c>
      <c r="D6508" s="8">
        <v>88</v>
      </c>
      <c r="E6508" s="8">
        <v>0</v>
      </c>
      <c r="F6508" s="8">
        <v>0</v>
      </c>
      <c r="G6508" s="8">
        <v>13</v>
      </c>
      <c r="H6508" s="8" t="s">
        <v>13336</v>
      </c>
      <c r="I6508" s="8">
        <v>532.3125</v>
      </c>
      <c r="J6508" s="3">
        <f t="shared" si="101"/>
        <v>43747.950820810183</v>
      </c>
    </row>
    <row r="6509" spans="1:10" x14ac:dyDescent="0.25">
      <c r="A6509" s="5" t="s">
        <v>13337</v>
      </c>
      <c r="B6509" s="6">
        <v>412.5</v>
      </c>
      <c r="C6509" s="6">
        <v>20.478950000000001</v>
      </c>
      <c r="D6509" s="6">
        <v>87</v>
      </c>
      <c r="E6509" s="6">
        <v>0</v>
      </c>
      <c r="F6509" s="6">
        <v>0</v>
      </c>
      <c r="G6509" s="6">
        <v>8</v>
      </c>
      <c r="H6509" s="6" t="s">
        <v>13338</v>
      </c>
      <c r="I6509" s="6">
        <v>532.3125</v>
      </c>
      <c r="J6509" s="2">
        <f t="shared" si="101"/>
        <v>43747.950904143516</v>
      </c>
    </row>
    <row r="6510" spans="1:10" x14ac:dyDescent="0.25">
      <c r="A6510" s="7" t="s">
        <v>13339</v>
      </c>
      <c r="B6510" s="8">
        <v>415.625</v>
      </c>
      <c r="C6510" s="8">
        <v>20.478950000000001</v>
      </c>
      <c r="D6510" s="8">
        <v>87</v>
      </c>
      <c r="E6510" s="8">
        <v>0</v>
      </c>
      <c r="F6510" s="8">
        <v>0</v>
      </c>
      <c r="G6510" s="8">
        <v>5</v>
      </c>
      <c r="H6510" s="8" t="s">
        <v>13340</v>
      </c>
      <c r="I6510" s="8">
        <v>533.0625</v>
      </c>
      <c r="J6510" s="3">
        <f t="shared" si="101"/>
        <v>43747.950975462962</v>
      </c>
    </row>
    <row r="6511" spans="1:10" x14ac:dyDescent="0.25">
      <c r="A6511" s="5" t="s">
        <v>13341</v>
      </c>
      <c r="B6511" s="6">
        <v>415.625</v>
      </c>
      <c r="C6511" s="6">
        <v>20.478950000000001</v>
      </c>
      <c r="D6511" s="6">
        <v>87</v>
      </c>
      <c r="E6511" s="6">
        <v>0</v>
      </c>
      <c r="F6511" s="6">
        <v>0</v>
      </c>
      <c r="G6511" s="6">
        <v>14</v>
      </c>
      <c r="H6511" s="6" t="s">
        <v>13342</v>
      </c>
      <c r="I6511" s="6">
        <v>533.0625</v>
      </c>
      <c r="J6511" s="2">
        <f t="shared" si="101"/>
        <v>43747.951047511575</v>
      </c>
    </row>
    <row r="6512" spans="1:10" x14ac:dyDescent="0.25">
      <c r="A6512" s="7" t="s">
        <v>13343</v>
      </c>
      <c r="B6512" s="8">
        <v>412.5</v>
      </c>
      <c r="C6512" s="8">
        <v>20.478950000000001</v>
      </c>
      <c r="D6512" s="8">
        <v>87</v>
      </c>
      <c r="E6512" s="8">
        <v>0</v>
      </c>
      <c r="F6512" s="8">
        <v>0</v>
      </c>
      <c r="G6512" s="8">
        <v>16</v>
      </c>
      <c r="H6512" s="8" t="s">
        <v>13344</v>
      </c>
      <c r="I6512" s="8">
        <v>532.3125</v>
      </c>
      <c r="J6512" s="3">
        <f t="shared" si="101"/>
        <v>43747.951118819437</v>
      </c>
    </row>
    <row r="6513" spans="1:10" x14ac:dyDescent="0.25">
      <c r="A6513" s="5" t="s">
        <v>13345</v>
      </c>
      <c r="B6513" s="6">
        <v>431.25</v>
      </c>
      <c r="C6513" s="6">
        <v>20.478950000000001</v>
      </c>
      <c r="D6513" s="6">
        <v>86</v>
      </c>
      <c r="E6513" s="6">
        <v>0</v>
      </c>
      <c r="F6513" s="6">
        <v>0</v>
      </c>
      <c r="G6513" s="6">
        <v>17</v>
      </c>
      <c r="H6513" s="6" t="s">
        <v>13346</v>
      </c>
      <c r="I6513" s="6">
        <v>538.125</v>
      </c>
      <c r="J6513" s="2">
        <f t="shared" si="101"/>
        <v>43747.951190254629</v>
      </c>
    </row>
    <row r="6514" spans="1:10" x14ac:dyDescent="0.25">
      <c r="A6514" s="7" t="s">
        <v>13347</v>
      </c>
      <c r="B6514" s="8">
        <v>412.5</v>
      </c>
      <c r="C6514" s="8">
        <v>20.478950000000001</v>
      </c>
      <c r="D6514" s="8">
        <v>82</v>
      </c>
      <c r="E6514" s="8">
        <v>0</v>
      </c>
      <c r="F6514" s="8">
        <v>0</v>
      </c>
      <c r="G6514" s="8">
        <v>11</v>
      </c>
      <c r="H6514" s="8" t="s">
        <v>13348</v>
      </c>
      <c r="I6514" s="8">
        <v>532.3125</v>
      </c>
      <c r="J6514" s="3">
        <f t="shared" si="101"/>
        <v>43747.951275405088</v>
      </c>
    </row>
    <row r="6515" spans="1:10" x14ac:dyDescent="0.25">
      <c r="A6515" s="5" t="s">
        <v>13349</v>
      </c>
      <c r="B6515" s="6">
        <v>412.5</v>
      </c>
      <c r="C6515" s="6">
        <v>20.478950000000001</v>
      </c>
      <c r="D6515" s="6">
        <v>82</v>
      </c>
      <c r="E6515" s="6">
        <v>0</v>
      </c>
      <c r="F6515" s="6">
        <v>0</v>
      </c>
      <c r="G6515" s="6">
        <v>13</v>
      </c>
      <c r="H6515" s="6" t="s">
        <v>13350</v>
      </c>
      <c r="I6515" s="6">
        <v>532.3125</v>
      </c>
      <c r="J6515" s="2">
        <f t="shared" si="101"/>
        <v>43747.951356944446</v>
      </c>
    </row>
    <row r="6516" spans="1:10" x14ac:dyDescent="0.25">
      <c r="A6516" s="7" t="s">
        <v>13351</v>
      </c>
      <c r="B6516" s="8">
        <v>412.5</v>
      </c>
      <c r="C6516" s="8">
        <v>20.478950000000001</v>
      </c>
      <c r="D6516" s="8">
        <v>83</v>
      </c>
      <c r="E6516" s="8">
        <v>0</v>
      </c>
      <c r="F6516" s="8">
        <v>0</v>
      </c>
      <c r="G6516" s="8">
        <v>13</v>
      </c>
      <c r="H6516" s="8" t="s">
        <v>13352</v>
      </c>
      <c r="I6516" s="8">
        <v>532.3125</v>
      </c>
      <c r="J6516" s="3">
        <f t="shared" si="101"/>
        <v>43747.951437731484</v>
      </c>
    </row>
    <row r="6517" spans="1:10" x14ac:dyDescent="0.25">
      <c r="A6517" s="5" t="s">
        <v>13353</v>
      </c>
      <c r="B6517" s="6">
        <v>409.375</v>
      </c>
      <c r="C6517" s="6">
        <v>20.478950000000001</v>
      </c>
      <c r="D6517" s="6">
        <v>83</v>
      </c>
      <c r="E6517" s="6">
        <v>0</v>
      </c>
      <c r="F6517" s="6">
        <v>0</v>
      </c>
      <c r="G6517" s="6">
        <v>7</v>
      </c>
      <c r="H6517" s="6" t="s">
        <v>13354</v>
      </c>
      <c r="I6517" s="6">
        <v>531.5625</v>
      </c>
      <c r="J6517" s="2">
        <f t="shared" si="101"/>
        <v>43747.951512361113</v>
      </c>
    </row>
    <row r="6518" spans="1:10" x14ac:dyDescent="0.25">
      <c r="A6518" s="7" t="s">
        <v>13355</v>
      </c>
      <c r="B6518" s="8">
        <v>406.25</v>
      </c>
      <c r="C6518" s="8">
        <v>20.478950000000001</v>
      </c>
      <c r="D6518" s="8">
        <v>83</v>
      </c>
      <c r="E6518" s="8">
        <v>0</v>
      </c>
      <c r="F6518" s="8">
        <v>0</v>
      </c>
      <c r="G6518" s="8">
        <v>14</v>
      </c>
      <c r="H6518" s="8" t="s">
        <v>13356</v>
      </c>
      <c r="I6518" s="8">
        <v>530.8125</v>
      </c>
      <c r="J6518" s="3">
        <f t="shared" si="101"/>
        <v>43747.951583773145</v>
      </c>
    </row>
    <row r="6519" spans="1:10" x14ac:dyDescent="0.25">
      <c r="A6519" s="5" t="s">
        <v>13357</v>
      </c>
      <c r="B6519" s="6">
        <v>425</v>
      </c>
      <c r="C6519" s="6">
        <v>20.478950000000001</v>
      </c>
      <c r="D6519" s="6">
        <v>82</v>
      </c>
      <c r="E6519" s="6">
        <v>0</v>
      </c>
      <c r="F6519" s="6">
        <v>0</v>
      </c>
      <c r="G6519" s="6">
        <v>16</v>
      </c>
      <c r="H6519" s="6" t="s">
        <v>13358</v>
      </c>
      <c r="I6519" s="6">
        <v>536.0625</v>
      </c>
      <c r="J6519" s="2">
        <f t="shared" si="101"/>
        <v>43747.951655127312</v>
      </c>
    </row>
    <row r="6520" spans="1:10" x14ac:dyDescent="0.25">
      <c r="A6520" s="7" t="s">
        <v>13359</v>
      </c>
      <c r="B6520" s="8">
        <v>403.125</v>
      </c>
      <c r="C6520" s="8">
        <v>20.478950000000001</v>
      </c>
      <c r="D6520" s="8">
        <v>82</v>
      </c>
      <c r="E6520" s="8">
        <v>0</v>
      </c>
      <c r="F6520" s="8">
        <v>0</v>
      </c>
      <c r="G6520" s="8">
        <v>2</v>
      </c>
      <c r="H6520" s="8" t="s">
        <v>13360</v>
      </c>
      <c r="I6520" s="8">
        <v>529.125</v>
      </c>
      <c r="J6520" s="3">
        <f t="shared" si="101"/>
        <v>43747.951738530093</v>
      </c>
    </row>
    <row r="6521" spans="1:10" x14ac:dyDescent="0.25">
      <c r="A6521" s="5" t="s">
        <v>13361</v>
      </c>
      <c r="B6521" s="6">
        <v>400</v>
      </c>
      <c r="C6521" s="6">
        <v>20.478950000000001</v>
      </c>
      <c r="D6521" s="6">
        <v>82</v>
      </c>
      <c r="E6521" s="6">
        <v>0</v>
      </c>
      <c r="F6521" s="6">
        <v>0</v>
      </c>
      <c r="G6521" s="6">
        <v>2</v>
      </c>
      <c r="H6521" s="6" t="s">
        <v>13362</v>
      </c>
      <c r="I6521" s="6">
        <v>528.375</v>
      </c>
      <c r="J6521" s="2">
        <f t="shared" si="101"/>
        <v>43747.951810636572</v>
      </c>
    </row>
    <row r="6522" spans="1:10" x14ac:dyDescent="0.25">
      <c r="A6522" s="7" t="s">
        <v>13363</v>
      </c>
      <c r="B6522" s="8">
        <v>400</v>
      </c>
      <c r="C6522" s="8">
        <v>20.478950000000001</v>
      </c>
      <c r="D6522" s="8">
        <v>80</v>
      </c>
      <c r="E6522" s="8">
        <v>0</v>
      </c>
      <c r="F6522" s="8">
        <v>0</v>
      </c>
      <c r="G6522" s="8">
        <v>2</v>
      </c>
      <c r="H6522" s="8" t="s">
        <v>13364</v>
      </c>
      <c r="I6522" s="8">
        <v>528.1875</v>
      </c>
      <c r="J6522" s="3">
        <f t="shared" si="101"/>
        <v>43747.951889710646</v>
      </c>
    </row>
    <row r="6523" spans="1:10" x14ac:dyDescent="0.25">
      <c r="A6523" s="5" t="s">
        <v>13365</v>
      </c>
      <c r="B6523" s="6">
        <v>400</v>
      </c>
      <c r="C6523" s="6">
        <v>20.478950000000001</v>
      </c>
      <c r="D6523" s="6">
        <v>79</v>
      </c>
      <c r="E6523" s="6">
        <v>0</v>
      </c>
      <c r="F6523" s="6">
        <v>0</v>
      </c>
      <c r="G6523" s="6">
        <v>8</v>
      </c>
      <c r="H6523" s="6" t="s">
        <v>13366</v>
      </c>
      <c r="I6523" s="6">
        <v>528.9375</v>
      </c>
      <c r="J6523" s="2">
        <f t="shared" si="101"/>
        <v>43747.951965266206</v>
      </c>
    </row>
    <row r="6524" spans="1:10" x14ac:dyDescent="0.25">
      <c r="A6524" s="7" t="s">
        <v>13367</v>
      </c>
      <c r="B6524" s="8">
        <v>403.125</v>
      </c>
      <c r="C6524" s="8">
        <v>20.478950000000001</v>
      </c>
      <c r="D6524" s="8">
        <v>81</v>
      </c>
      <c r="E6524" s="8">
        <v>0</v>
      </c>
      <c r="F6524" s="8">
        <v>0</v>
      </c>
      <c r="G6524" s="8">
        <v>9</v>
      </c>
      <c r="H6524" s="8" t="s">
        <v>13368</v>
      </c>
      <c r="I6524" s="8">
        <v>529.125</v>
      </c>
      <c r="J6524" s="3">
        <f t="shared" si="101"/>
        <v>43747.952036608789</v>
      </c>
    </row>
    <row r="6525" spans="1:10" x14ac:dyDescent="0.25">
      <c r="A6525" s="5" t="s">
        <v>13369</v>
      </c>
      <c r="B6525" s="6">
        <v>403.125</v>
      </c>
      <c r="C6525" s="6">
        <v>20.478950000000001</v>
      </c>
      <c r="D6525" s="6">
        <v>82</v>
      </c>
      <c r="E6525" s="6">
        <v>0</v>
      </c>
      <c r="F6525" s="6">
        <v>0</v>
      </c>
      <c r="G6525" s="6">
        <v>4</v>
      </c>
      <c r="H6525" s="6" t="s">
        <v>13370</v>
      </c>
      <c r="I6525" s="6">
        <v>529.125</v>
      </c>
      <c r="J6525" s="2">
        <f t="shared" si="101"/>
        <v>43747.952108773148</v>
      </c>
    </row>
    <row r="6526" spans="1:10" x14ac:dyDescent="0.25">
      <c r="A6526" s="7" t="s">
        <v>13371</v>
      </c>
      <c r="B6526" s="8">
        <v>418.75</v>
      </c>
      <c r="C6526" s="8">
        <v>20.478950000000001</v>
      </c>
      <c r="D6526" s="8">
        <v>80</v>
      </c>
      <c r="E6526" s="8">
        <v>0</v>
      </c>
      <c r="F6526" s="8">
        <v>0</v>
      </c>
      <c r="G6526" s="8">
        <v>4</v>
      </c>
      <c r="H6526" s="8" t="s">
        <v>13372</v>
      </c>
      <c r="I6526" s="8">
        <v>534.75</v>
      </c>
      <c r="J6526" s="3">
        <f t="shared" si="101"/>
        <v>43747.952180081011</v>
      </c>
    </row>
    <row r="6527" spans="1:10" x14ac:dyDescent="0.25">
      <c r="A6527" s="5" t="s">
        <v>13373</v>
      </c>
      <c r="B6527" s="6">
        <v>403.125</v>
      </c>
      <c r="C6527" s="6">
        <v>20.478950000000001</v>
      </c>
      <c r="D6527" s="6">
        <v>80</v>
      </c>
      <c r="E6527" s="6">
        <v>0</v>
      </c>
      <c r="F6527" s="6">
        <v>0</v>
      </c>
      <c r="G6527" s="6">
        <v>13</v>
      </c>
      <c r="H6527" s="6" t="s">
        <v>13374</v>
      </c>
      <c r="I6527" s="6">
        <v>529.125</v>
      </c>
      <c r="J6527" s="2">
        <f t="shared" si="101"/>
        <v>43747.952251365736</v>
      </c>
    </row>
    <row r="6528" spans="1:10" x14ac:dyDescent="0.25">
      <c r="A6528" s="7" t="s">
        <v>13375</v>
      </c>
      <c r="B6528" s="8">
        <v>403.125</v>
      </c>
      <c r="C6528" s="8">
        <v>20.478950000000001</v>
      </c>
      <c r="D6528" s="8">
        <v>81</v>
      </c>
      <c r="E6528" s="8">
        <v>0</v>
      </c>
      <c r="F6528" s="8">
        <v>0</v>
      </c>
      <c r="G6528" s="8">
        <v>14</v>
      </c>
      <c r="H6528" s="8" t="s">
        <v>13376</v>
      </c>
      <c r="I6528" s="8">
        <v>529.875</v>
      </c>
      <c r="J6528" s="3">
        <f t="shared" si="101"/>
        <v>43747.952346736107</v>
      </c>
    </row>
    <row r="6529" spans="1:10" x14ac:dyDescent="0.25">
      <c r="A6529" s="5" t="s">
        <v>13377</v>
      </c>
      <c r="B6529" s="6">
        <v>403.125</v>
      </c>
      <c r="C6529" s="6">
        <v>20.478950000000001</v>
      </c>
      <c r="D6529" s="6">
        <v>81</v>
      </c>
      <c r="E6529" s="6">
        <v>0</v>
      </c>
      <c r="F6529" s="6">
        <v>0</v>
      </c>
      <c r="G6529" s="6">
        <v>13</v>
      </c>
      <c r="H6529" s="6" t="s">
        <v>13378</v>
      </c>
      <c r="I6529" s="6">
        <v>529.875</v>
      </c>
      <c r="J6529" s="2">
        <f t="shared" si="101"/>
        <v>43747.952418969908</v>
      </c>
    </row>
    <row r="6530" spans="1:10" x14ac:dyDescent="0.25">
      <c r="A6530" s="7" t="s">
        <v>13379</v>
      </c>
      <c r="B6530" s="8">
        <v>403.125</v>
      </c>
      <c r="C6530" s="8">
        <v>20.478950000000001</v>
      </c>
      <c r="D6530" s="8">
        <v>82</v>
      </c>
      <c r="E6530" s="8">
        <v>0</v>
      </c>
      <c r="F6530" s="8">
        <v>0</v>
      </c>
      <c r="G6530" s="8">
        <v>6</v>
      </c>
      <c r="H6530" s="8" t="s">
        <v>13380</v>
      </c>
      <c r="I6530" s="8">
        <v>529.875</v>
      </c>
      <c r="J6530" s="3">
        <f t="shared" ref="J6530:J6593" si="102">(H6530/86400000)+25569+(7/24)</f>
        <v>43747.952502291664</v>
      </c>
    </row>
    <row r="6531" spans="1:10" x14ac:dyDescent="0.25">
      <c r="A6531" s="5" t="s">
        <v>13381</v>
      </c>
      <c r="B6531" s="6">
        <v>403.125</v>
      </c>
      <c r="C6531" s="6">
        <v>20.478950000000001</v>
      </c>
      <c r="D6531" s="6">
        <v>81</v>
      </c>
      <c r="E6531" s="6">
        <v>0</v>
      </c>
      <c r="F6531" s="6">
        <v>0</v>
      </c>
      <c r="G6531" s="6">
        <v>11</v>
      </c>
      <c r="H6531" s="6" t="s">
        <v>13382</v>
      </c>
      <c r="I6531" s="6">
        <v>529.875</v>
      </c>
      <c r="J6531" s="2">
        <f t="shared" si="102"/>
        <v>43747.952585219908</v>
      </c>
    </row>
    <row r="6532" spans="1:10" x14ac:dyDescent="0.25">
      <c r="A6532" s="7" t="s">
        <v>13383</v>
      </c>
      <c r="B6532" s="8">
        <v>403.125</v>
      </c>
      <c r="C6532" s="8">
        <v>20.478950000000001</v>
      </c>
      <c r="D6532" s="8">
        <v>81</v>
      </c>
      <c r="E6532" s="8">
        <v>0</v>
      </c>
      <c r="F6532" s="8">
        <v>0</v>
      </c>
      <c r="G6532" s="8">
        <v>5</v>
      </c>
      <c r="H6532" s="8" t="s">
        <v>13384</v>
      </c>
      <c r="I6532" s="8">
        <v>529.875</v>
      </c>
      <c r="J6532" s="3">
        <f t="shared" si="102"/>
        <v>43747.952656932866</v>
      </c>
    </row>
    <row r="6533" spans="1:10" x14ac:dyDescent="0.25">
      <c r="A6533" s="5" t="s">
        <v>13385</v>
      </c>
      <c r="B6533" s="6">
        <v>406.25</v>
      </c>
      <c r="C6533" s="6">
        <v>20.478950000000001</v>
      </c>
      <c r="D6533" s="6">
        <v>81</v>
      </c>
      <c r="E6533" s="6">
        <v>0</v>
      </c>
      <c r="F6533" s="6">
        <v>0</v>
      </c>
      <c r="G6533" s="6">
        <v>13</v>
      </c>
      <c r="H6533" s="6" t="s">
        <v>13386</v>
      </c>
      <c r="I6533" s="6">
        <v>530.625</v>
      </c>
      <c r="J6533" s="2">
        <f t="shared" si="102"/>
        <v>43747.952728298609</v>
      </c>
    </row>
    <row r="6534" spans="1:10" x14ac:dyDescent="0.25">
      <c r="A6534" s="7" t="s">
        <v>13387</v>
      </c>
      <c r="B6534" s="8">
        <v>403.125</v>
      </c>
      <c r="C6534" s="8">
        <v>20.478950000000001</v>
      </c>
      <c r="D6534" s="8">
        <v>85</v>
      </c>
      <c r="E6534" s="8">
        <v>0</v>
      </c>
      <c r="F6534" s="8">
        <v>0</v>
      </c>
      <c r="G6534" s="8">
        <v>2</v>
      </c>
      <c r="H6534" s="8" t="s">
        <v>13388</v>
      </c>
      <c r="I6534" s="8">
        <v>529.875</v>
      </c>
      <c r="J6534" s="3">
        <f t="shared" si="102"/>
        <v>43747.952800439809</v>
      </c>
    </row>
    <row r="6535" spans="1:10" x14ac:dyDescent="0.25">
      <c r="A6535" s="5" t="s">
        <v>13389</v>
      </c>
      <c r="B6535" s="6">
        <v>406.25</v>
      </c>
      <c r="C6535" s="6">
        <v>20.478950000000001</v>
      </c>
      <c r="D6535" s="6">
        <v>85</v>
      </c>
      <c r="E6535" s="6">
        <v>0</v>
      </c>
      <c r="F6535" s="6">
        <v>0</v>
      </c>
      <c r="G6535" s="6">
        <v>8</v>
      </c>
      <c r="H6535" s="6" t="s">
        <v>13390</v>
      </c>
      <c r="I6535" s="6">
        <v>530.0625</v>
      </c>
      <c r="J6535" s="2">
        <f t="shared" si="102"/>
        <v>43747.95287173611</v>
      </c>
    </row>
    <row r="6536" spans="1:10" x14ac:dyDescent="0.25">
      <c r="A6536" s="7" t="s">
        <v>13391</v>
      </c>
      <c r="B6536" s="8">
        <v>403.125</v>
      </c>
      <c r="C6536" s="8">
        <v>20.478950000000001</v>
      </c>
      <c r="D6536" s="8">
        <v>85</v>
      </c>
      <c r="E6536" s="8">
        <v>0</v>
      </c>
      <c r="F6536" s="8">
        <v>0</v>
      </c>
      <c r="G6536" s="8">
        <v>8</v>
      </c>
      <c r="H6536" s="8" t="s">
        <v>13392</v>
      </c>
      <c r="I6536" s="8">
        <v>529.875</v>
      </c>
      <c r="J6536" s="3">
        <f t="shared" si="102"/>
        <v>43747.952955092587</v>
      </c>
    </row>
    <row r="6537" spans="1:10" x14ac:dyDescent="0.25">
      <c r="A6537" s="5" t="s">
        <v>13393</v>
      </c>
      <c r="B6537" s="6">
        <v>403.125</v>
      </c>
      <c r="C6537" s="6">
        <v>20.478950000000001</v>
      </c>
      <c r="D6537" s="6">
        <v>78</v>
      </c>
      <c r="E6537" s="6">
        <v>0</v>
      </c>
      <c r="F6537" s="6">
        <v>0</v>
      </c>
      <c r="G6537" s="6">
        <v>4</v>
      </c>
      <c r="H6537" s="6" t="s">
        <v>13394</v>
      </c>
      <c r="I6537" s="6">
        <v>529.125</v>
      </c>
      <c r="J6537" s="2">
        <f t="shared" si="102"/>
        <v>43747.953026423609</v>
      </c>
    </row>
    <row r="6538" spans="1:10" x14ac:dyDescent="0.25">
      <c r="A6538" s="7" t="s">
        <v>13395</v>
      </c>
      <c r="B6538" s="8">
        <v>403.125</v>
      </c>
      <c r="C6538" s="8">
        <v>20.478950000000001</v>
      </c>
      <c r="D6538" s="8">
        <v>78</v>
      </c>
      <c r="E6538" s="8">
        <v>0</v>
      </c>
      <c r="F6538" s="8">
        <v>0</v>
      </c>
      <c r="G6538" s="8">
        <v>7</v>
      </c>
      <c r="H6538" s="8" t="s">
        <v>13396</v>
      </c>
      <c r="I6538" s="8">
        <v>529.125</v>
      </c>
      <c r="J6538" s="3">
        <f t="shared" si="102"/>
        <v>43747.95309859953</v>
      </c>
    </row>
    <row r="6539" spans="1:10" x14ac:dyDescent="0.25">
      <c r="A6539" s="5" t="s">
        <v>13397</v>
      </c>
      <c r="B6539" s="6">
        <v>415.625</v>
      </c>
      <c r="C6539" s="6">
        <v>20.478950000000001</v>
      </c>
      <c r="D6539" s="6">
        <v>78</v>
      </c>
      <c r="E6539" s="6">
        <v>0</v>
      </c>
      <c r="F6539" s="6">
        <v>0</v>
      </c>
      <c r="G6539" s="6">
        <v>5</v>
      </c>
      <c r="H6539" s="6" t="s">
        <v>13398</v>
      </c>
      <c r="I6539" s="6">
        <v>533.8125</v>
      </c>
      <c r="J6539" s="2">
        <f t="shared" si="102"/>
        <v>43747.953169826382</v>
      </c>
    </row>
    <row r="6540" spans="1:10" x14ac:dyDescent="0.25">
      <c r="A6540" s="7" t="s">
        <v>13399</v>
      </c>
      <c r="B6540" s="8">
        <v>400</v>
      </c>
      <c r="C6540" s="8">
        <v>20.478950000000001</v>
      </c>
      <c r="D6540" s="8">
        <v>80</v>
      </c>
      <c r="E6540" s="8">
        <v>0</v>
      </c>
      <c r="F6540" s="8">
        <v>0</v>
      </c>
      <c r="G6540" s="8">
        <v>28</v>
      </c>
      <c r="H6540" s="8" t="s">
        <v>13400</v>
      </c>
      <c r="I6540" s="8">
        <v>528.375</v>
      </c>
      <c r="J6540" s="3">
        <f t="shared" si="102"/>
        <v>43747.953265046293</v>
      </c>
    </row>
    <row r="6541" spans="1:10" x14ac:dyDescent="0.25">
      <c r="A6541" s="5" t="s">
        <v>13401</v>
      </c>
      <c r="B6541" s="6">
        <v>400</v>
      </c>
      <c r="C6541" s="6">
        <v>20.478950000000001</v>
      </c>
      <c r="D6541" s="6">
        <v>80</v>
      </c>
      <c r="E6541" s="6">
        <v>0</v>
      </c>
      <c r="F6541" s="6">
        <v>0</v>
      </c>
      <c r="G6541" s="6">
        <v>9</v>
      </c>
      <c r="H6541" s="6" t="s">
        <v>13402</v>
      </c>
      <c r="I6541" s="6">
        <v>528.1875</v>
      </c>
      <c r="J6541" s="2">
        <f t="shared" si="102"/>
        <v>43747.953348564813</v>
      </c>
    </row>
    <row r="6542" spans="1:10" x14ac:dyDescent="0.25">
      <c r="A6542" s="7" t="s">
        <v>13403</v>
      </c>
      <c r="B6542" s="8">
        <v>403.125</v>
      </c>
      <c r="C6542" s="8">
        <v>20.478950000000001</v>
      </c>
      <c r="D6542" s="8">
        <v>80</v>
      </c>
      <c r="E6542" s="8">
        <v>0</v>
      </c>
      <c r="F6542" s="8">
        <v>0</v>
      </c>
      <c r="G6542" s="8">
        <v>6</v>
      </c>
      <c r="H6542" s="8" t="s">
        <v>13404</v>
      </c>
      <c r="I6542" s="8">
        <v>529.125</v>
      </c>
      <c r="J6542" s="3">
        <f t="shared" si="102"/>
        <v>43747.953419907404</v>
      </c>
    </row>
    <row r="6543" spans="1:10" x14ac:dyDescent="0.25">
      <c r="A6543" s="5" t="s">
        <v>13405</v>
      </c>
      <c r="B6543" s="6">
        <v>400</v>
      </c>
      <c r="C6543" s="6">
        <v>20.478950000000001</v>
      </c>
      <c r="D6543" s="6">
        <v>82</v>
      </c>
      <c r="E6543" s="6">
        <v>0</v>
      </c>
      <c r="F6543" s="6">
        <v>0</v>
      </c>
      <c r="G6543" s="6">
        <v>6</v>
      </c>
      <c r="H6543" s="6" t="s">
        <v>13406</v>
      </c>
      <c r="I6543" s="6">
        <v>528.375</v>
      </c>
      <c r="J6543" s="2">
        <f t="shared" si="102"/>
        <v>43747.953500011572</v>
      </c>
    </row>
    <row r="6544" spans="1:10" x14ac:dyDescent="0.25">
      <c r="A6544" s="7" t="s">
        <v>13407</v>
      </c>
      <c r="B6544" s="8">
        <v>428.125</v>
      </c>
      <c r="C6544" s="8">
        <v>20.478950000000001</v>
      </c>
      <c r="D6544" s="8">
        <v>83</v>
      </c>
      <c r="E6544" s="8">
        <v>0</v>
      </c>
      <c r="F6544" s="8">
        <v>0</v>
      </c>
      <c r="G6544" s="8">
        <v>4</v>
      </c>
      <c r="H6544" s="8" t="s">
        <v>13408</v>
      </c>
      <c r="I6544" s="8">
        <v>537.1875</v>
      </c>
      <c r="J6544" s="3">
        <f t="shared" si="102"/>
        <v>43747.953575324071</v>
      </c>
    </row>
    <row r="6545" spans="1:10" x14ac:dyDescent="0.25">
      <c r="A6545" s="5" t="s">
        <v>13409</v>
      </c>
      <c r="B6545" s="6">
        <v>403.125</v>
      </c>
      <c r="C6545" s="6">
        <v>20.478950000000001</v>
      </c>
      <c r="D6545" s="6">
        <v>83</v>
      </c>
      <c r="E6545" s="6">
        <v>0</v>
      </c>
      <c r="F6545" s="6">
        <v>0</v>
      </c>
      <c r="G6545" s="6">
        <v>15</v>
      </c>
      <c r="H6545" s="6" t="s">
        <v>13410</v>
      </c>
      <c r="I6545" s="6">
        <v>529.125</v>
      </c>
      <c r="J6545" s="2">
        <f t="shared" si="102"/>
        <v>43747.953646400456</v>
      </c>
    </row>
    <row r="6546" spans="1:10" x14ac:dyDescent="0.25">
      <c r="A6546" s="7" t="s">
        <v>13411</v>
      </c>
      <c r="B6546" s="8">
        <v>403.125</v>
      </c>
      <c r="C6546" s="8">
        <v>20.478950000000001</v>
      </c>
      <c r="D6546" s="8">
        <v>82</v>
      </c>
      <c r="E6546" s="8">
        <v>0</v>
      </c>
      <c r="F6546" s="8">
        <v>0</v>
      </c>
      <c r="G6546" s="8">
        <v>7</v>
      </c>
      <c r="H6546" s="8" t="s">
        <v>13412</v>
      </c>
      <c r="I6546" s="8">
        <v>529.125</v>
      </c>
      <c r="J6546" s="3">
        <f t="shared" si="102"/>
        <v>43747.953718171295</v>
      </c>
    </row>
    <row r="6547" spans="1:10" x14ac:dyDescent="0.25">
      <c r="A6547" s="5" t="s">
        <v>13413</v>
      </c>
      <c r="B6547" s="6">
        <v>403.125</v>
      </c>
      <c r="C6547" s="6">
        <v>20.478950000000001</v>
      </c>
      <c r="D6547" s="6">
        <v>82</v>
      </c>
      <c r="E6547" s="6">
        <v>0</v>
      </c>
      <c r="F6547" s="6">
        <v>0</v>
      </c>
      <c r="G6547" s="6">
        <v>17</v>
      </c>
      <c r="H6547" s="6" t="s">
        <v>13414</v>
      </c>
      <c r="I6547" s="6">
        <v>529.125</v>
      </c>
      <c r="J6547" s="2">
        <f t="shared" si="102"/>
        <v>43747.953790196756</v>
      </c>
    </row>
    <row r="6548" spans="1:10" x14ac:dyDescent="0.25">
      <c r="A6548" s="7" t="s">
        <v>13415</v>
      </c>
      <c r="B6548" s="8">
        <v>400</v>
      </c>
      <c r="C6548" s="8">
        <v>20.478950000000001</v>
      </c>
      <c r="D6548" s="8">
        <v>82</v>
      </c>
      <c r="E6548" s="8">
        <v>0</v>
      </c>
      <c r="F6548" s="8">
        <v>0</v>
      </c>
      <c r="G6548" s="8">
        <v>9</v>
      </c>
      <c r="H6548" s="8" t="s">
        <v>13416</v>
      </c>
      <c r="I6548" s="8">
        <v>528.9375</v>
      </c>
      <c r="J6548" s="3">
        <f t="shared" si="102"/>
        <v>43747.953873553233</v>
      </c>
    </row>
    <row r="6549" spans="1:10" x14ac:dyDescent="0.25">
      <c r="A6549" s="5" t="s">
        <v>13417</v>
      </c>
      <c r="B6549" s="6">
        <v>400</v>
      </c>
      <c r="C6549" s="6">
        <v>20.478950000000001</v>
      </c>
      <c r="D6549" s="6">
        <v>81</v>
      </c>
      <c r="E6549" s="6">
        <v>0</v>
      </c>
      <c r="F6549" s="6">
        <v>0</v>
      </c>
      <c r="G6549" s="6">
        <v>10</v>
      </c>
      <c r="H6549" s="6" t="s">
        <v>13418</v>
      </c>
      <c r="I6549" s="6">
        <v>528.9375</v>
      </c>
      <c r="J6549" s="2">
        <f t="shared" si="102"/>
        <v>43747.953944837958</v>
      </c>
    </row>
    <row r="6550" spans="1:10" x14ac:dyDescent="0.25">
      <c r="A6550" s="7" t="s">
        <v>13419</v>
      </c>
      <c r="B6550" s="8">
        <v>400</v>
      </c>
      <c r="C6550" s="8">
        <v>20.478950000000001</v>
      </c>
      <c r="D6550" s="8">
        <v>81</v>
      </c>
      <c r="E6550" s="8">
        <v>0</v>
      </c>
      <c r="F6550" s="8">
        <v>0</v>
      </c>
      <c r="G6550" s="8">
        <v>12</v>
      </c>
      <c r="H6550" s="8" t="s">
        <v>13420</v>
      </c>
      <c r="I6550" s="8">
        <v>528.9375</v>
      </c>
      <c r="J6550" s="3">
        <f t="shared" si="102"/>
        <v>43747.954016145835</v>
      </c>
    </row>
    <row r="6551" spans="1:10" x14ac:dyDescent="0.25">
      <c r="A6551" s="5" t="s">
        <v>13421</v>
      </c>
      <c r="B6551" s="6">
        <v>400</v>
      </c>
      <c r="C6551" s="6">
        <v>20.478950000000001</v>
      </c>
      <c r="D6551" s="6">
        <v>81</v>
      </c>
      <c r="E6551" s="6">
        <v>0</v>
      </c>
      <c r="F6551" s="6">
        <v>0</v>
      </c>
      <c r="G6551" s="6">
        <v>7</v>
      </c>
      <c r="H6551" s="6" t="s">
        <v>13422</v>
      </c>
      <c r="I6551" s="6">
        <v>528.9375</v>
      </c>
      <c r="J6551" s="2">
        <f t="shared" si="102"/>
        <v>43747.954089108789</v>
      </c>
    </row>
    <row r="6552" spans="1:10" x14ac:dyDescent="0.25">
      <c r="A6552" s="7" t="s">
        <v>13423</v>
      </c>
      <c r="B6552" s="8">
        <v>418.75</v>
      </c>
      <c r="C6552" s="8">
        <v>20.478950000000001</v>
      </c>
      <c r="D6552" s="8">
        <v>80</v>
      </c>
      <c r="E6552" s="8">
        <v>0</v>
      </c>
      <c r="F6552" s="8">
        <v>0</v>
      </c>
      <c r="G6552" s="8">
        <v>9</v>
      </c>
      <c r="H6552" s="8" t="s">
        <v>13424</v>
      </c>
      <c r="I6552" s="8">
        <v>534.75</v>
      </c>
      <c r="J6552" s="3">
        <f t="shared" si="102"/>
        <v>43747.954159652778</v>
      </c>
    </row>
    <row r="6553" spans="1:10" x14ac:dyDescent="0.25">
      <c r="A6553" s="5" t="s">
        <v>13425</v>
      </c>
      <c r="B6553" s="6">
        <v>403.125</v>
      </c>
      <c r="C6553" s="6">
        <v>20.478950000000001</v>
      </c>
      <c r="D6553" s="6">
        <v>80</v>
      </c>
      <c r="E6553" s="6">
        <v>0</v>
      </c>
      <c r="F6553" s="6">
        <v>0</v>
      </c>
      <c r="G6553" s="6">
        <v>10</v>
      </c>
      <c r="H6553" s="6" t="s">
        <v>13426</v>
      </c>
      <c r="I6553" s="6">
        <v>529.125</v>
      </c>
      <c r="J6553" s="2">
        <f t="shared" si="102"/>
        <v>43747.954231689808</v>
      </c>
    </row>
    <row r="6554" spans="1:10" x14ac:dyDescent="0.25">
      <c r="A6554" s="7" t="s">
        <v>13427</v>
      </c>
      <c r="B6554" s="8">
        <v>403.125</v>
      </c>
      <c r="C6554" s="8">
        <v>20.478950000000001</v>
      </c>
      <c r="D6554" s="8">
        <v>79</v>
      </c>
      <c r="E6554" s="8">
        <v>0</v>
      </c>
      <c r="F6554" s="8">
        <v>0</v>
      </c>
      <c r="G6554" s="8">
        <v>10</v>
      </c>
      <c r="H6554" s="8" t="s">
        <v>13428</v>
      </c>
      <c r="I6554" s="8">
        <v>529.125</v>
      </c>
      <c r="J6554" s="3">
        <f t="shared" si="102"/>
        <v>43747.954303171289</v>
      </c>
    </row>
    <row r="6555" spans="1:10" x14ac:dyDescent="0.25">
      <c r="A6555" s="5" t="s">
        <v>13429</v>
      </c>
      <c r="B6555" s="6">
        <v>403.125</v>
      </c>
      <c r="C6555" s="6">
        <v>20.478950000000001</v>
      </c>
      <c r="D6555" s="6">
        <v>79</v>
      </c>
      <c r="E6555" s="6">
        <v>0</v>
      </c>
      <c r="F6555" s="6">
        <v>0</v>
      </c>
      <c r="G6555" s="6">
        <v>9</v>
      </c>
      <c r="H6555" s="6" t="s">
        <v>13430</v>
      </c>
      <c r="I6555" s="6">
        <v>529.125</v>
      </c>
      <c r="J6555" s="2">
        <f t="shared" si="102"/>
        <v>43747.954373541659</v>
      </c>
    </row>
    <row r="6556" spans="1:10" x14ac:dyDescent="0.25">
      <c r="A6556" s="7" t="s">
        <v>13431</v>
      </c>
      <c r="B6556" s="8">
        <v>403.125</v>
      </c>
      <c r="C6556" s="8">
        <v>20.478950000000001</v>
      </c>
      <c r="D6556" s="8">
        <v>77</v>
      </c>
      <c r="E6556" s="8">
        <v>0</v>
      </c>
      <c r="F6556" s="8">
        <v>0</v>
      </c>
      <c r="G6556" s="8">
        <v>18</v>
      </c>
      <c r="H6556" s="8" t="s">
        <v>13432</v>
      </c>
      <c r="I6556" s="8">
        <v>529.125</v>
      </c>
      <c r="J6556" s="3">
        <f t="shared" si="102"/>
        <v>43747.954445752308</v>
      </c>
    </row>
    <row r="6557" spans="1:10" x14ac:dyDescent="0.25">
      <c r="A6557" s="5" t="s">
        <v>13433</v>
      </c>
      <c r="B6557" s="6">
        <v>403.125</v>
      </c>
      <c r="C6557" s="6">
        <v>20.478950000000001</v>
      </c>
      <c r="D6557" s="6">
        <v>76</v>
      </c>
      <c r="E6557" s="6">
        <v>0</v>
      </c>
      <c r="F6557" s="6">
        <v>0</v>
      </c>
      <c r="G6557" s="6">
        <v>15</v>
      </c>
      <c r="H6557" s="6" t="s">
        <v>13434</v>
      </c>
      <c r="I6557" s="6">
        <v>529.875</v>
      </c>
      <c r="J6557" s="2">
        <f t="shared" si="102"/>
        <v>43747.954517048609</v>
      </c>
    </row>
    <row r="6558" spans="1:10" x14ac:dyDescent="0.25">
      <c r="A6558" s="7" t="s">
        <v>13435</v>
      </c>
      <c r="B6558" s="8">
        <v>403.125</v>
      </c>
      <c r="C6558" s="8">
        <v>20.478950000000001</v>
      </c>
      <c r="D6558" s="8">
        <v>80</v>
      </c>
      <c r="E6558" s="8">
        <v>0</v>
      </c>
      <c r="F6558" s="8">
        <v>0</v>
      </c>
      <c r="G6558" s="8">
        <v>7</v>
      </c>
      <c r="H6558" s="8" t="s">
        <v>13436</v>
      </c>
      <c r="I6558" s="8">
        <v>529.875</v>
      </c>
      <c r="J6558" s="3">
        <f t="shared" si="102"/>
        <v>43747.95458922453</v>
      </c>
    </row>
    <row r="6559" spans="1:10" x14ac:dyDescent="0.25">
      <c r="A6559" s="5" t="s">
        <v>13437</v>
      </c>
      <c r="B6559" s="6">
        <v>403.125</v>
      </c>
      <c r="C6559" s="6">
        <v>20.478950000000001</v>
      </c>
      <c r="D6559" s="6">
        <v>82</v>
      </c>
      <c r="E6559" s="6">
        <v>0</v>
      </c>
      <c r="F6559" s="6">
        <v>0</v>
      </c>
      <c r="G6559" s="6">
        <v>3</v>
      </c>
      <c r="H6559" s="6" t="s">
        <v>13438</v>
      </c>
      <c r="I6559" s="6">
        <v>529.875</v>
      </c>
      <c r="J6559" s="2">
        <f t="shared" si="102"/>
        <v>43747.954660567128</v>
      </c>
    </row>
    <row r="6560" spans="1:10" x14ac:dyDescent="0.25">
      <c r="A6560" s="7" t="s">
        <v>13439</v>
      </c>
      <c r="B6560" s="8">
        <v>406.25</v>
      </c>
      <c r="C6560" s="8">
        <v>20.478950000000001</v>
      </c>
      <c r="D6560" s="8">
        <v>82</v>
      </c>
      <c r="E6560" s="8">
        <v>0</v>
      </c>
      <c r="F6560" s="8">
        <v>0</v>
      </c>
      <c r="G6560" s="8">
        <v>8</v>
      </c>
      <c r="H6560" s="8" t="s">
        <v>13440</v>
      </c>
      <c r="I6560" s="8">
        <v>530.625</v>
      </c>
      <c r="J6560" s="3">
        <f t="shared" si="102"/>
        <v>43747.954731874997</v>
      </c>
    </row>
    <row r="6561" spans="1:10" x14ac:dyDescent="0.25">
      <c r="A6561" s="5" t="s">
        <v>13441</v>
      </c>
      <c r="B6561" s="6">
        <v>406.25</v>
      </c>
      <c r="C6561" s="6">
        <v>20.478950000000001</v>
      </c>
      <c r="D6561" s="6">
        <v>82</v>
      </c>
      <c r="E6561" s="6">
        <v>0</v>
      </c>
      <c r="F6561" s="6">
        <v>0</v>
      </c>
      <c r="G6561" s="6">
        <v>12</v>
      </c>
      <c r="H6561" s="6" t="s">
        <v>13442</v>
      </c>
      <c r="I6561" s="6">
        <v>530.625</v>
      </c>
      <c r="J6561" s="2">
        <f t="shared" si="102"/>
        <v>43747.954815231475</v>
      </c>
    </row>
    <row r="6562" spans="1:10" x14ac:dyDescent="0.25">
      <c r="A6562" s="7" t="s">
        <v>13443</v>
      </c>
      <c r="B6562" s="8">
        <v>406.25</v>
      </c>
      <c r="C6562" s="8">
        <v>20.478950000000001</v>
      </c>
      <c r="D6562" s="8">
        <v>81</v>
      </c>
      <c r="E6562" s="8">
        <v>0</v>
      </c>
      <c r="F6562" s="8">
        <v>0</v>
      </c>
      <c r="G6562" s="8">
        <v>9</v>
      </c>
      <c r="H6562" s="8" t="s">
        <v>13444</v>
      </c>
      <c r="I6562" s="8">
        <v>530.8125</v>
      </c>
      <c r="J6562" s="3">
        <f t="shared" si="102"/>
        <v>43747.954887245367</v>
      </c>
    </row>
    <row r="6563" spans="1:10" x14ac:dyDescent="0.25">
      <c r="A6563" s="5" t="s">
        <v>13445</v>
      </c>
      <c r="B6563" s="6">
        <v>403.125</v>
      </c>
      <c r="C6563" s="6">
        <v>20.426300000000001</v>
      </c>
      <c r="D6563" s="6">
        <v>78</v>
      </c>
      <c r="E6563" s="6">
        <v>0</v>
      </c>
      <c r="F6563" s="6">
        <v>0</v>
      </c>
      <c r="G6563" s="6">
        <v>9</v>
      </c>
      <c r="H6563" s="6" t="s">
        <v>13446</v>
      </c>
      <c r="I6563" s="6">
        <v>529.875</v>
      </c>
      <c r="J6563" s="2">
        <f t="shared" si="102"/>
        <v>43747.954958668975</v>
      </c>
    </row>
    <row r="6564" spans="1:10" x14ac:dyDescent="0.25">
      <c r="A6564" s="7" t="s">
        <v>13447</v>
      </c>
      <c r="B6564" s="8">
        <v>421.875</v>
      </c>
      <c r="C6564" s="8">
        <v>20.478950000000001</v>
      </c>
      <c r="D6564" s="8">
        <v>78</v>
      </c>
      <c r="E6564" s="8">
        <v>0</v>
      </c>
      <c r="F6564" s="8">
        <v>0</v>
      </c>
      <c r="G6564" s="8">
        <v>11</v>
      </c>
      <c r="H6564" s="8" t="s">
        <v>13448</v>
      </c>
      <c r="I6564" s="8">
        <v>535.5</v>
      </c>
      <c r="J6564" s="3">
        <f t="shared" si="102"/>
        <v>43747.955042048612</v>
      </c>
    </row>
    <row r="6565" spans="1:10" x14ac:dyDescent="0.25">
      <c r="A6565" s="5" t="s">
        <v>13449</v>
      </c>
      <c r="B6565" s="6">
        <v>403.125</v>
      </c>
      <c r="C6565" s="6">
        <v>20.478950000000001</v>
      </c>
      <c r="D6565" s="6">
        <v>77</v>
      </c>
      <c r="E6565" s="6">
        <v>0</v>
      </c>
      <c r="F6565" s="6">
        <v>0</v>
      </c>
      <c r="G6565" s="6">
        <v>6</v>
      </c>
      <c r="H6565" s="6" t="s">
        <v>13450</v>
      </c>
      <c r="I6565" s="6">
        <v>529.875</v>
      </c>
      <c r="J6565" s="2">
        <f t="shared" si="102"/>
        <v>43747.955126712965</v>
      </c>
    </row>
    <row r="6566" spans="1:10" x14ac:dyDescent="0.25">
      <c r="A6566" s="7" t="s">
        <v>13451</v>
      </c>
      <c r="B6566" s="8">
        <v>403.125</v>
      </c>
      <c r="C6566" s="8">
        <v>20.478950000000001</v>
      </c>
      <c r="D6566" s="8">
        <v>80</v>
      </c>
      <c r="E6566" s="8">
        <v>0</v>
      </c>
      <c r="F6566" s="8">
        <v>0</v>
      </c>
      <c r="G6566" s="8">
        <v>3</v>
      </c>
      <c r="H6566" s="8" t="s">
        <v>13452</v>
      </c>
      <c r="I6566" s="8">
        <v>529.875</v>
      </c>
      <c r="J6566" s="3">
        <f t="shared" si="102"/>
        <v>43747.955208738422</v>
      </c>
    </row>
    <row r="6567" spans="1:10" x14ac:dyDescent="0.25">
      <c r="A6567" s="5" t="s">
        <v>13453</v>
      </c>
      <c r="B6567" s="6">
        <v>403.125</v>
      </c>
      <c r="C6567" s="6">
        <v>20.478950000000001</v>
      </c>
      <c r="D6567" s="6">
        <v>77</v>
      </c>
      <c r="E6567" s="6">
        <v>0</v>
      </c>
      <c r="F6567" s="6">
        <v>0</v>
      </c>
      <c r="G6567" s="6">
        <v>11</v>
      </c>
      <c r="H6567" s="6" t="s">
        <v>13454</v>
      </c>
      <c r="I6567" s="6">
        <v>529.875</v>
      </c>
      <c r="J6567" s="2">
        <f t="shared" si="102"/>
        <v>43747.955280960647</v>
      </c>
    </row>
    <row r="6568" spans="1:10" x14ac:dyDescent="0.25">
      <c r="A6568" s="7" t="s">
        <v>13455</v>
      </c>
      <c r="B6568" s="8">
        <v>406.25</v>
      </c>
      <c r="C6568" s="8">
        <v>20.478950000000001</v>
      </c>
      <c r="D6568" s="8">
        <v>78</v>
      </c>
      <c r="E6568" s="8">
        <v>0</v>
      </c>
      <c r="F6568" s="8">
        <v>0</v>
      </c>
      <c r="G6568" s="8">
        <v>4</v>
      </c>
      <c r="H6568" s="8" t="s">
        <v>13456</v>
      </c>
      <c r="I6568" s="8">
        <v>530.8125</v>
      </c>
      <c r="J6568" s="3">
        <f t="shared" si="102"/>
        <v>43747.955352199067</v>
      </c>
    </row>
    <row r="6569" spans="1:10" x14ac:dyDescent="0.25">
      <c r="A6569" s="5" t="s">
        <v>13457</v>
      </c>
      <c r="B6569" s="6">
        <v>406.25</v>
      </c>
      <c r="C6569" s="6">
        <v>20.478950000000001</v>
      </c>
      <c r="D6569" s="6">
        <v>80</v>
      </c>
      <c r="E6569" s="6">
        <v>0</v>
      </c>
      <c r="F6569" s="6">
        <v>0</v>
      </c>
      <c r="G6569" s="6">
        <v>13</v>
      </c>
      <c r="H6569" s="6" t="s">
        <v>13458</v>
      </c>
      <c r="I6569" s="6">
        <v>530.625</v>
      </c>
      <c r="J6569" s="2">
        <f t="shared" si="102"/>
        <v>43747.955423553234</v>
      </c>
    </row>
    <row r="6570" spans="1:10" x14ac:dyDescent="0.25">
      <c r="A6570" s="7" t="s">
        <v>13459</v>
      </c>
      <c r="B6570" s="8">
        <v>425</v>
      </c>
      <c r="C6570" s="8">
        <v>20.478950000000001</v>
      </c>
      <c r="D6570" s="8">
        <v>81</v>
      </c>
      <c r="E6570" s="8">
        <v>0</v>
      </c>
      <c r="F6570" s="8">
        <v>0</v>
      </c>
      <c r="G6570" s="8">
        <v>10</v>
      </c>
      <c r="H6570" s="8" t="s">
        <v>13460</v>
      </c>
      <c r="I6570" s="8">
        <v>536.625</v>
      </c>
      <c r="J6570" s="3">
        <f t="shared" si="102"/>
        <v>43747.955494849535</v>
      </c>
    </row>
    <row r="6571" spans="1:10" x14ac:dyDescent="0.25">
      <c r="A6571" s="5" t="s">
        <v>13461</v>
      </c>
      <c r="B6571" s="6">
        <v>406.25</v>
      </c>
      <c r="C6571" s="6">
        <v>20.478950000000001</v>
      </c>
      <c r="D6571" s="6">
        <v>81</v>
      </c>
      <c r="E6571" s="6">
        <v>0</v>
      </c>
      <c r="F6571" s="6">
        <v>0</v>
      </c>
      <c r="G6571" s="6">
        <v>11</v>
      </c>
      <c r="H6571" s="6" t="s">
        <v>13462</v>
      </c>
      <c r="I6571" s="6">
        <v>530.625</v>
      </c>
      <c r="J6571" s="2">
        <f t="shared" si="102"/>
        <v>43747.95556707176</v>
      </c>
    </row>
    <row r="6572" spans="1:10" x14ac:dyDescent="0.25">
      <c r="A6572" s="7" t="s">
        <v>13463</v>
      </c>
      <c r="B6572" s="8">
        <v>406.25</v>
      </c>
      <c r="C6572" s="8">
        <v>20.478950000000001</v>
      </c>
      <c r="D6572" s="8">
        <v>83</v>
      </c>
      <c r="E6572" s="8">
        <v>0</v>
      </c>
      <c r="F6572" s="8">
        <v>0</v>
      </c>
      <c r="G6572" s="8">
        <v>15</v>
      </c>
      <c r="H6572" s="8" t="s">
        <v>13464</v>
      </c>
      <c r="I6572" s="8">
        <v>530.8125</v>
      </c>
      <c r="J6572" s="3">
        <f t="shared" si="102"/>
        <v>43747.955637974534</v>
      </c>
    </row>
    <row r="6573" spans="1:10" x14ac:dyDescent="0.25">
      <c r="A6573" s="5" t="s">
        <v>13465</v>
      </c>
      <c r="B6573" s="6">
        <v>406.25</v>
      </c>
      <c r="C6573" s="6">
        <v>20.478950000000001</v>
      </c>
      <c r="D6573" s="6">
        <v>82</v>
      </c>
      <c r="E6573" s="6">
        <v>0</v>
      </c>
      <c r="F6573" s="6">
        <v>0</v>
      </c>
      <c r="G6573" s="6">
        <v>6</v>
      </c>
      <c r="H6573" s="6" t="s">
        <v>13466</v>
      </c>
      <c r="I6573" s="6">
        <v>530.8125</v>
      </c>
      <c r="J6573" s="2">
        <f t="shared" si="102"/>
        <v>43747.955722777777</v>
      </c>
    </row>
    <row r="6574" spans="1:10" x14ac:dyDescent="0.25">
      <c r="A6574" s="7" t="s">
        <v>13467</v>
      </c>
      <c r="B6574" s="8">
        <v>406.25</v>
      </c>
      <c r="C6574" s="8">
        <v>20.478950000000001</v>
      </c>
      <c r="D6574" s="8">
        <v>79</v>
      </c>
      <c r="E6574" s="8">
        <v>0</v>
      </c>
      <c r="F6574" s="8">
        <v>0</v>
      </c>
      <c r="G6574" s="8">
        <v>5</v>
      </c>
      <c r="H6574" s="8" t="s">
        <v>13468</v>
      </c>
      <c r="I6574" s="8">
        <v>530.625</v>
      </c>
      <c r="J6574" s="3">
        <f t="shared" si="102"/>
        <v>43747.955805011567</v>
      </c>
    </row>
    <row r="6575" spans="1:10" x14ac:dyDescent="0.25">
      <c r="A6575" s="5" t="s">
        <v>13469</v>
      </c>
      <c r="B6575" s="6">
        <v>406.25</v>
      </c>
      <c r="C6575" s="6">
        <v>20.478950000000001</v>
      </c>
      <c r="D6575" s="6">
        <v>77</v>
      </c>
      <c r="E6575" s="6">
        <v>0</v>
      </c>
      <c r="F6575" s="6">
        <v>0</v>
      </c>
      <c r="G6575" s="6">
        <v>9</v>
      </c>
      <c r="H6575" s="6" t="s">
        <v>13470</v>
      </c>
      <c r="I6575" s="6">
        <v>530.8125</v>
      </c>
      <c r="J6575" s="2">
        <f t="shared" si="102"/>
        <v>43747.95587706018</v>
      </c>
    </row>
    <row r="6576" spans="1:10" x14ac:dyDescent="0.25">
      <c r="A6576" s="7" t="s">
        <v>13471</v>
      </c>
      <c r="B6576" s="8">
        <v>406.25</v>
      </c>
      <c r="C6576" s="8">
        <v>20.478950000000001</v>
      </c>
      <c r="D6576" s="8">
        <v>78</v>
      </c>
      <c r="E6576" s="8">
        <v>0</v>
      </c>
      <c r="F6576" s="8">
        <v>0</v>
      </c>
      <c r="G6576" s="8">
        <v>7</v>
      </c>
      <c r="H6576" s="8" t="s">
        <v>13472</v>
      </c>
      <c r="I6576" s="8">
        <v>530.625</v>
      </c>
      <c r="J6576" s="3">
        <f t="shared" si="102"/>
        <v>43747.955948541661</v>
      </c>
    </row>
    <row r="6577" spans="1:10" x14ac:dyDescent="0.25">
      <c r="A6577" s="5" t="s">
        <v>13473</v>
      </c>
      <c r="B6577" s="6">
        <v>425</v>
      </c>
      <c r="C6577" s="6">
        <v>20.478950000000001</v>
      </c>
      <c r="D6577" s="6">
        <v>78</v>
      </c>
      <c r="E6577" s="6">
        <v>0</v>
      </c>
      <c r="F6577" s="6">
        <v>0</v>
      </c>
      <c r="G6577" s="6">
        <v>10</v>
      </c>
      <c r="H6577" s="6" t="s">
        <v>13474</v>
      </c>
      <c r="I6577" s="6">
        <v>536.25</v>
      </c>
      <c r="J6577" s="2">
        <f t="shared" si="102"/>
        <v>43747.95603163194</v>
      </c>
    </row>
    <row r="6578" spans="1:10" x14ac:dyDescent="0.25">
      <c r="A6578" s="7" t="s">
        <v>13475</v>
      </c>
      <c r="B6578" s="8">
        <v>406.25</v>
      </c>
      <c r="C6578" s="8">
        <v>20.478950000000001</v>
      </c>
      <c r="D6578" s="8">
        <v>76</v>
      </c>
      <c r="E6578" s="8">
        <v>0</v>
      </c>
      <c r="F6578" s="8">
        <v>0</v>
      </c>
      <c r="G6578" s="8">
        <v>17</v>
      </c>
      <c r="H6578" s="8" t="s">
        <v>13476</v>
      </c>
      <c r="I6578" s="8">
        <v>530.625</v>
      </c>
      <c r="J6578" s="3">
        <f t="shared" si="102"/>
        <v>43747.956103275465</v>
      </c>
    </row>
    <row r="6579" spans="1:10" x14ac:dyDescent="0.25">
      <c r="A6579" s="5" t="s">
        <v>13477</v>
      </c>
      <c r="B6579" s="6">
        <v>406.25</v>
      </c>
      <c r="C6579" s="6">
        <v>20.478950000000001</v>
      </c>
      <c r="D6579" s="6">
        <v>76</v>
      </c>
      <c r="E6579" s="6">
        <v>0</v>
      </c>
      <c r="F6579" s="6">
        <v>0</v>
      </c>
      <c r="G6579" s="6">
        <v>7</v>
      </c>
      <c r="H6579" s="6" t="s">
        <v>13478</v>
      </c>
      <c r="I6579" s="6">
        <v>530.625</v>
      </c>
      <c r="J6579" s="2">
        <f t="shared" si="102"/>
        <v>43747.956175150459</v>
      </c>
    </row>
    <row r="6580" spans="1:10" x14ac:dyDescent="0.25">
      <c r="A6580" s="7" t="s">
        <v>13479</v>
      </c>
      <c r="B6580" s="8">
        <v>406.25</v>
      </c>
      <c r="C6580" s="8">
        <v>20.478950000000001</v>
      </c>
      <c r="D6580" s="8">
        <v>77</v>
      </c>
      <c r="E6580" s="8">
        <v>0</v>
      </c>
      <c r="F6580" s="8">
        <v>0</v>
      </c>
      <c r="G6580" s="8">
        <v>5</v>
      </c>
      <c r="H6580" s="8" t="s">
        <v>13480</v>
      </c>
      <c r="I6580" s="8">
        <v>530.625</v>
      </c>
      <c r="J6580" s="3">
        <f t="shared" si="102"/>
        <v>43747.956246701382</v>
      </c>
    </row>
    <row r="6581" spans="1:10" x14ac:dyDescent="0.25">
      <c r="A6581" s="5" t="s">
        <v>13481</v>
      </c>
      <c r="B6581" s="6">
        <v>406.25</v>
      </c>
      <c r="C6581" s="6">
        <v>20.478950000000001</v>
      </c>
      <c r="D6581" s="6">
        <v>77</v>
      </c>
      <c r="E6581" s="6">
        <v>0</v>
      </c>
      <c r="F6581" s="6">
        <v>0</v>
      </c>
      <c r="G6581" s="6">
        <v>3</v>
      </c>
      <c r="H6581" s="6" t="s">
        <v>13482</v>
      </c>
      <c r="I6581" s="6">
        <v>530.8125</v>
      </c>
      <c r="J6581" s="2">
        <f t="shared" si="102"/>
        <v>43747.956317997683</v>
      </c>
    </row>
    <row r="6582" spans="1:10" x14ac:dyDescent="0.25">
      <c r="A6582" s="7" t="s">
        <v>13483</v>
      </c>
      <c r="B6582" s="8">
        <v>406.25</v>
      </c>
      <c r="C6582" s="8">
        <v>20.478950000000001</v>
      </c>
      <c r="D6582" s="8">
        <v>77</v>
      </c>
      <c r="E6582" s="8">
        <v>0</v>
      </c>
      <c r="F6582" s="8">
        <v>0</v>
      </c>
      <c r="G6582" s="8">
        <v>7</v>
      </c>
      <c r="H6582" s="8" t="s">
        <v>13484</v>
      </c>
      <c r="I6582" s="8">
        <v>530.625</v>
      </c>
      <c r="J6582" s="3">
        <f t="shared" si="102"/>
        <v>43747.956407291662</v>
      </c>
    </row>
    <row r="6583" spans="1:10" x14ac:dyDescent="0.25">
      <c r="A6583" s="5" t="s">
        <v>13485</v>
      </c>
      <c r="B6583" s="6">
        <v>403.125</v>
      </c>
      <c r="C6583" s="6">
        <v>20.478950000000001</v>
      </c>
      <c r="D6583" s="6">
        <v>77</v>
      </c>
      <c r="E6583" s="6">
        <v>0</v>
      </c>
      <c r="F6583" s="6">
        <v>0</v>
      </c>
      <c r="G6583" s="6">
        <v>7</v>
      </c>
      <c r="H6583" s="6" t="s">
        <v>13486</v>
      </c>
      <c r="I6583" s="6">
        <v>529.875</v>
      </c>
      <c r="J6583" s="2">
        <f t="shared" si="102"/>
        <v>43747.956484699076</v>
      </c>
    </row>
    <row r="6584" spans="1:10" x14ac:dyDescent="0.25">
      <c r="A6584" s="7" t="s">
        <v>13487</v>
      </c>
      <c r="B6584" s="8">
        <v>403.125</v>
      </c>
      <c r="C6584" s="8">
        <v>20.478950000000001</v>
      </c>
      <c r="D6584" s="8">
        <v>77</v>
      </c>
      <c r="E6584" s="8">
        <v>0</v>
      </c>
      <c r="F6584" s="8">
        <v>0</v>
      </c>
      <c r="G6584" s="8">
        <v>9</v>
      </c>
      <c r="H6584" s="8" t="s">
        <v>13488</v>
      </c>
      <c r="I6584" s="8">
        <v>529.125</v>
      </c>
      <c r="J6584" s="3">
        <f t="shared" si="102"/>
        <v>43747.956556886573</v>
      </c>
    </row>
    <row r="6585" spans="1:10" x14ac:dyDescent="0.25">
      <c r="A6585" s="5" t="s">
        <v>13489</v>
      </c>
      <c r="B6585" s="6">
        <v>403.125</v>
      </c>
      <c r="C6585" s="6">
        <v>20.478950000000001</v>
      </c>
      <c r="D6585" s="6">
        <v>77</v>
      </c>
      <c r="E6585" s="6">
        <v>0</v>
      </c>
      <c r="F6585" s="6">
        <v>0</v>
      </c>
      <c r="G6585" s="6">
        <v>5</v>
      </c>
      <c r="H6585" s="6" t="s">
        <v>13490</v>
      </c>
      <c r="I6585" s="6">
        <v>529.125</v>
      </c>
      <c r="J6585" s="2">
        <f t="shared" si="102"/>
        <v>43747.956628101849</v>
      </c>
    </row>
    <row r="6586" spans="1:10" x14ac:dyDescent="0.25">
      <c r="A6586" s="7" t="s">
        <v>13491</v>
      </c>
      <c r="B6586" s="8">
        <v>400</v>
      </c>
      <c r="C6586" s="8">
        <v>20.478950000000001</v>
      </c>
      <c r="D6586" s="8">
        <v>77</v>
      </c>
      <c r="E6586" s="8">
        <v>0</v>
      </c>
      <c r="F6586" s="8">
        <v>0</v>
      </c>
      <c r="G6586" s="8">
        <v>2</v>
      </c>
      <c r="H6586" s="8" t="s">
        <v>13492</v>
      </c>
      <c r="I6586" s="8">
        <v>528.1875</v>
      </c>
      <c r="J6586" s="3">
        <f t="shared" si="102"/>
        <v>43747.95669947916</v>
      </c>
    </row>
    <row r="6587" spans="1:10" x14ac:dyDescent="0.25">
      <c r="A6587" s="5" t="s">
        <v>13493</v>
      </c>
      <c r="B6587" s="6">
        <v>400</v>
      </c>
      <c r="C6587" s="6">
        <v>20.478950000000001</v>
      </c>
      <c r="D6587" s="6">
        <v>77</v>
      </c>
      <c r="E6587" s="6">
        <v>0</v>
      </c>
      <c r="F6587" s="6">
        <v>0</v>
      </c>
      <c r="G6587" s="6">
        <v>14</v>
      </c>
      <c r="H6587" s="6" t="s">
        <v>13494</v>
      </c>
      <c r="I6587" s="6">
        <v>528.1875</v>
      </c>
      <c r="J6587" s="2">
        <f t="shared" si="102"/>
        <v>43747.956771516205</v>
      </c>
    </row>
    <row r="6588" spans="1:10" x14ac:dyDescent="0.25">
      <c r="A6588" s="7" t="s">
        <v>13495</v>
      </c>
      <c r="B6588" s="8">
        <v>400</v>
      </c>
      <c r="C6588" s="8">
        <v>20.478950000000001</v>
      </c>
      <c r="D6588" s="8">
        <v>77</v>
      </c>
      <c r="E6588" s="8">
        <v>0</v>
      </c>
      <c r="F6588" s="8">
        <v>0</v>
      </c>
      <c r="G6588" s="8">
        <v>7</v>
      </c>
      <c r="H6588" s="8" t="s">
        <v>13496</v>
      </c>
      <c r="I6588" s="8">
        <v>528.375</v>
      </c>
      <c r="J6588" s="3">
        <f t="shared" si="102"/>
        <v>43747.956855011573</v>
      </c>
    </row>
    <row r="6589" spans="1:10" x14ac:dyDescent="0.25">
      <c r="A6589" s="5" t="s">
        <v>13497</v>
      </c>
      <c r="B6589" s="6">
        <v>403.125</v>
      </c>
      <c r="C6589" s="6">
        <v>20.478950000000001</v>
      </c>
      <c r="D6589" s="6">
        <v>78</v>
      </c>
      <c r="E6589" s="6">
        <v>0</v>
      </c>
      <c r="F6589" s="6">
        <v>0</v>
      </c>
      <c r="G6589" s="6">
        <v>2</v>
      </c>
      <c r="H6589" s="6" t="s">
        <v>13498</v>
      </c>
      <c r="I6589" s="6">
        <v>529.125</v>
      </c>
      <c r="J6589" s="2">
        <f t="shared" si="102"/>
        <v>43747.956926261577</v>
      </c>
    </row>
    <row r="6590" spans="1:10" x14ac:dyDescent="0.25">
      <c r="A6590" s="7" t="s">
        <v>13499</v>
      </c>
      <c r="B6590" s="8">
        <v>400</v>
      </c>
      <c r="C6590" s="8">
        <v>20.478950000000001</v>
      </c>
      <c r="D6590" s="8">
        <v>78</v>
      </c>
      <c r="E6590" s="8">
        <v>0</v>
      </c>
      <c r="F6590" s="8">
        <v>0</v>
      </c>
      <c r="G6590" s="8">
        <v>0</v>
      </c>
      <c r="H6590" s="8" t="s">
        <v>13500</v>
      </c>
      <c r="I6590" s="8">
        <v>528.9375</v>
      </c>
      <c r="J6590" s="3">
        <f t="shared" si="102"/>
        <v>43747.95699760416</v>
      </c>
    </row>
    <row r="6591" spans="1:10" x14ac:dyDescent="0.25">
      <c r="A6591" s="5" t="s">
        <v>13501</v>
      </c>
      <c r="B6591" s="6">
        <v>403.125</v>
      </c>
      <c r="C6591" s="6">
        <v>20.478950000000001</v>
      </c>
      <c r="D6591" s="6">
        <v>77</v>
      </c>
      <c r="E6591" s="6">
        <v>0</v>
      </c>
      <c r="F6591" s="6">
        <v>0</v>
      </c>
      <c r="G6591" s="6">
        <v>11</v>
      </c>
      <c r="H6591" s="6" t="s">
        <v>13502</v>
      </c>
      <c r="I6591" s="6">
        <v>529.125</v>
      </c>
      <c r="J6591" s="2">
        <f t="shared" si="102"/>
        <v>43747.957072708326</v>
      </c>
    </row>
    <row r="6592" spans="1:10" x14ac:dyDescent="0.25">
      <c r="A6592" s="7" t="s">
        <v>13503</v>
      </c>
      <c r="B6592" s="8">
        <v>400</v>
      </c>
      <c r="C6592" s="8">
        <v>20.478950000000001</v>
      </c>
      <c r="D6592" s="8">
        <v>77</v>
      </c>
      <c r="E6592" s="8">
        <v>0</v>
      </c>
      <c r="F6592" s="8">
        <v>0</v>
      </c>
      <c r="G6592" s="8">
        <v>12</v>
      </c>
      <c r="H6592" s="8" t="s">
        <v>13504</v>
      </c>
      <c r="I6592" s="8">
        <v>528.9375</v>
      </c>
      <c r="J6592" s="3">
        <f t="shared" si="102"/>
        <v>43747.95715318287</v>
      </c>
    </row>
    <row r="6593" spans="1:10" x14ac:dyDescent="0.25">
      <c r="A6593" s="5" t="s">
        <v>13505</v>
      </c>
      <c r="B6593" s="6">
        <v>403.125</v>
      </c>
      <c r="C6593" s="6">
        <v>20.478950000000001</v>
      </c>
      <c r="D6593" s="6">
        <v>80</v>
      </c>
      <c r="E6593" s="6">
        <v>0</v>
      </c>
      <c r="F6593" s="6">
        <v>0</v>
      </c>
      <c r="G6593" s="6">
        <v>7</v>
      </c>
      <c r="H6593" s="6" t="s">
        <v>13506</v>
      </c>
      <c r="I6593" s="6">
        <v>529.875</v>
      </c>
      <c r="J6593" s="2">
        <f t="shared" si="102"/>
        <v>43747.957236504626</v>
      </c>
    </row>
    <row r="6594" spans="1:10" x14ac:dyDescent="0.25">
      <c r="A6594" s="7" t="s">
        <v>13507</v>
      </c>
      <c r="B6594" s="8">
        <v>403.125</v>
      </c>
      <c r="C6594" s="8">
        <v>20.478950000000001</v>
      </c>
      <c r="D6594" s="8">
        <v>85</v>
      </c>
      <c r="E6594" s="8">
        <v>0</v>
      </c>
      <c r="F6594" s="8">
        <v>0</v>
      </c>
      <c r="G6594" s="8">
        <v>7</v>
      </c>
      <c r="H6594" s="8" t="s">
        <v>13508</v>
      </c>
      <c r="I6594" s="8">
        <v>529.875</v>
      </c>
      <c r="J6594" s="3">
        <f t="shared" ref="J6594:J6657" si="103">(H6594/86400000)+25569+(7/24)</f>
        <v>43747.957307824072</v>
      </c>
    </row>
    <row r="6595" spans="1:10" x14ac:dyDescent="0.25">
      <c r="A6595" s="5" t="s">
        <v>13509</v>
      </c>
      <c r="B6595" s="6">
        <v>403.125</v>
      </c>
      <c r="C6595" s="6">
        <v>20.478950000000001</v>
      </c>
      <c r="D6595" s="6">
        <v>85</v>
      </c>
      <c r="E6595" s="6">
        <v>0</v>
      </c>
      <c r="F6595" s="6">
        <v>0</v>
      </c>
      <c r="G6595" s="6">
        <v>7</v>
      </c>
      <c r="H6595" s="6" t="s">
        <v>13510</v>
      </c>
      <c r="I6595" s="6">
        <v>529.875</v>
      </c>
      <c r="J6595" s="2">
        <f t="shared" si="103"/>
        <v>43747.957379108797</v>
      </c>
    </row>
    <row r="6596" spans="1:10" x14ac:dyDescent="0.25">
      <c r="A6596" s="7" t="s">
        <v>13511</v>
      </c>
      <c r="B6596" s="8">
        <v>403.125</v>
      </c>
      <c r="C6596" s="8">
        <v>20.478950000000001</v>
      </c>
      <c r="D6596" s="8">
        <v>83</v>
      </c>
      <c r="E6596" s="8">
        <v>0</v>
      </c>
      <c r="F6596" s="8">
        <v>0</v>
      </c>
      <c r="G6596" s="8">
        <v>10</v>
      </c>
      <c r="H6596" s="8" t="s">
        <v>13512</v>
      </c>
      <c r="I6596" s="8">
        <v>529.875</v>
      </c>
      <c r="J6596" s="3">
        <f t="shared" si="103"/>
        <v>43747.957451377311</v>
      </c>
    </row>
    <row r="6597" spans="1:10" x14ac:dyDescent="0.25">
      <c r="A6597" s="5" t="s">
        <v>13513</v>
      </c>
      <c r="B6597" s="6">
        <v>403.125</v>
      </c>
      <c r="C6597" s="6">
        <v>20.478950000000001</v>
      </c>
      <c r="D6597" s="6">
        <v>81</v>
      </c>
      <c r="E6597" s="6">
        <v>0</v>
      </c>
      <c r="F6597" s="6">
        <v>0</v>
      </c>
      <c r="G6597" s="6">
        <v>11</v>
      </c>
      <c r="H6597" s="6" t="s">
        <v>13514</v>
      </c>
      <c r="I6597" s="6">
        <v>529.875</v>
      </c>
      <c r="J6597" s="2">
        <f t="shared" si="103"/>
        <v>43747.957542476848</v>
      </c>
    </row>
    <row r="6598" spans="1:10" x14ac:dyDescent="0.25">
      <c r="A6598" s="7" t="s">
        <v>13515</v>
      </c>
      <c r="B6598" s="8">
        <v>403.125</v>
      </c>
      <c r="C6598" s="8">
        <v>20.478950000000001</v>
      </c>
      <c r="D6598" s="8">
        <v>81</v>
      </c>
      <c r="E6598" s="8">
        <v>0</v>
      </c>
      <c r="F6598" s="8">
        <v>0</v>
      </c>
      <c r="G6598" s="8">
        <v>13</v>
      </c>
      <c r="H6598" s="8" t="s">
        <v>13516</v>
      </c>
      <c r="I6598" s="8">
        <v>529.875</v>
      </c>
      <c r="J6598" s="3">
        <f t="shared" si="103"/>
        <v>43747.957617997679</v>
      </c>
    </row>
    <row r="6599" spans="1:10" x14ac:dyDescent="0.25">
      <c r="A6599" s="5" t="s">
        <v>13517</v>
      </c>
      <c r="B6599" s="6">
        <v>406.25</v>
      </c>
      <c r="C6599" s="6">
        <v>20.478950000000001</v>
      </c>
      <c r="D6599" s="6">
        <v>82</v>
      </c>
      <c r="E6599" s="6">
        <v>0</v>
      </c>
      <c r="F6599" s="6">
        <v>0</v>
      </c>
      <c r="G6599" s="6">
        <v>9</v>
      </c>
      <c r="H6599" s="6" t="s">
        <v>13518</v>
      </c>
      <c r="I6599" s="6">
        <v>530.8125</v>
      </c>
      <c r="J6599" s="2">
        <f t="shared" si="103"/>
        <v>43747.957689282404</v>
      </c>
    </row>
    <row r="6600" spans="1:10" x14ac:dyDescent="0.25">
      <c r="A6600" s="7" t="s">
        <v>13519</v>
      </c>
      <c r="B6600" s="8">
        <v>406.25</v>
      </c>
      <c r="C6600" s="8">
        <v>20.478950000000001</v>
      </c>
      <c r="D6600" s="8">
        <v>82</v>
      </c>
      <c r="E6600" s="8">
        <v>0</v>
      </c>
      <c r="F6600" s="8">
        <v>0</v>
      </c>
      <c r="G6600" s="8">
        <v>11</v>
      </c>
      <c r="H6600" s="8" t="s">
        <v>13520</v>
      </c>
      <c r="I6600" s="8">
        <v>530.625</v>
      </c>
      <c r="J6600" s="3">
        <f t="shared" si="103"/>
        <v>43747.957760740734</v>
      </c>
    </row>
    <row r="6601" spans="1:10" x14ac:dyDescent="0.25">
      <c r="A6601" s="5" t="s">
        <v>13521</v>
      </c>
      <c r="B6601" s="6">
        <v>406.25</v>
      </c>
      <c r="C6601" s="6">
        <v>20.478950000000001</v>
      </c>
      <c r="D6601" s="6">
        <v>82</v>
      </c>
      <c r="E6601" s="6">
        <v>0</v>
      </c>
      <c r="F6601" s="6">
        <v>0</v>
      </c>
      <c r="G6601" s="6">
        <v>7</v>
      </c>
      <c r="H6601" s="6" t="s">
        <v>13522</v>
      </c>
      <c r="I6601" s="6">
        <v>530.8125</v>
      </c>
      <c r="J6601" s="2">
        <f t="shared" si="103"/>
        <v>43747.957831863423</v>
      </c>
    </row>
    <row r="6602" spans="1:10" x14ac:dyDescent="0.25">
      <c r="A6602" s="7" t="s">
        <v>13523</v>
      </c>
      <c r="B6602" s="8">
        <v>406.25</v>
      </c>
      <c r="C6602" s="8">
        <v>20.478950000000001</v>
      </c>
      <c r="D6602" s="8">
        <v>81</v>
      </c>
      <c r="E6602" s="8">
        <v>0</v>
      </c>
      <c r="F6602" s="8">
        <v>0</v>
      </c>
      <c r="G6602" s="8">
        <v>9</v>
      </c>
      <c r="H6602" s="8" t="s">
        <v>13524</v>
      </c>
      <c r="I6602" s="8">
        <v>530.625</v>
      </c>
      <c r="J6602" s="3">
        <f t="shared" si="103"/>
        <v>43747.957904097224</v>
      </c>
    </row>
    <row r="6603" spans="1:10" x14ac:dyDescent="0.25">
      <c r="A6603" s="5" t="s">
        <v>13525</v>
      </c>
      <c r="B6603" s="6">
        <v>406.25</v>
      </c>
      <c r="C6603" s="6">
        <v>20.478950000000001</v>
      </c>
      <c r="D6603" s="6">
        <v>81</v>
      </c>
      <c r="E6603" s="6">
        <v>0</v>
      </c>
      <c r="F6603" s="6">
        <v>0</v>
      </c>
      <c r="G6603" s="6">
        <v>8</v>
      </c>
      <c r="H6603" s="6" t="s">
        <v>13526</v>
      </c>
      <c r="I6603" s="6">
        <v>530.625</v>
      </c>
      <c r="J6603" s="2">
        <f t="shared" si="103"/>
        <v>43747.957987430556</v>
      </c>
    </row>
    <row r="6604" spans="1:10" x14ac:dyDescent="0.25">
      <c r="A6604" s="7" t="s">
        <v>13527</v>
      </c>
      <c r="B6604" s="8">
        <v>406.25</v>
      </c>
      <c r="C6604" s="8">
        <v>20.478950000000001</v>
      </c>
      <c r="D6604" s="8">
        <v>81</v>
      </c>
      <c r="E6604" s="8">
        <v>0</v>
      </c>
      <c r="F6604" s="8">
        <v>0</v>
      </c>
      <c r="G6604" s="8">
        <v>6</v>
      </c>
      <c r="H6604" s="8" t="s">
        <v>13528</v>
      </c>
      <c r="I6604" s="8">
        <v>530.8125</v>
      </c>
      <c r="J6604" s="3">
        <f t="shared" si="103"/>
        <v>43747.958058715274</v>
      </c>
    </row>
    <row r="6605" spans="1:10" x14ac:dyDescent="0.25">
      <c r="A6605" s="5" t="s">
        <v>13529</v>
      </c>
      <c r="B6605" s="6">
        <v>403.125</v>
      </c>
      <c r="C6605" s="6">
        <v>20.478950000000001</v>
      </c>
      <c r="D6605" s="6">
        <v>82</v>
      </c>
      <c r="E6605" s="6">
        <v>0</v>
      </c>
      <c r="F6605" s="6">
        <v>0</v>
      </c>
      <c r="G6605" s="6">
        <v>0</v>
      </c>
      <c r="H6605" s="6" t="s">
        <v>13530</v>
      </c>
      <c r="I6605" s="6">
        <v>529.125</v>
      </c>
      <c r="J6605" s="2">
        <f t="shared" si="103"/>
        <v>43747.958130879626</v>
      </c>
    </row>
    <row r="6606" spans="1:10" x14ac:dyDescent="0.25">
      <c r="A6606" s="7" t="s">
        <v>13531</v>
      </c>
      <c r="B6606" s="8">
        <v>403.125</v>
      </c>
      <c r="C6606" s="8">
        <v>20.478950000000001</v>
      </c>
      <c r="D6606" s="8">
        <v>82</v>
      </c>
      <c r="E6606" s="8">
        <v>0</v>
      </c>
      <c r="F6606" s="8">
        <v>0</v>
      </c>
      <c r="G6606" s="8">
        <v>11</v>
      </c>
      <c r="H6606" s="8" t="s">
        <v>13532</v>
      </c>
      <c r="I6606" s="8">
        <v>529.125</v>
      </c>
      <c r="J6606" s="3">
        <f t="shared" si="103"/>
        <v>43747.958202245369</v>
      </c>
    </row>
    <row r="6607" spans="1:10" x14ac:dyDescent="0.25">
      <c r="A6607" s="5" t="s">
        <v>13533</v>
      </c>
      <c r="B6607" s="6">
        <v>418.75</v>
      </c>
      <c r="C6607" s="6">
        <v>20.478950000000001</v>
      </c>
      <c r="D6607" s="6">
        <v>81</v>
      </c>
      <c r="E6607" s="6">
        <v>0</v>
      </c>
      <c r="F6607" s="6">
        <v>0</v>
      </c>
      <c r="G6607" s="6">
        <v>6</v>
      </c>
      <c r="H6607" s="6" t="s">
        <v>13534</v>
      </c>
      <c r="I6607" s="6">
        <v>534.75</v>
      </c>
      <c r="J6607" s="2">
        <f t="shared" si="103"/>
        <v>43747.95829761574</v>
      </c>
    </row>
    <row r="6608" spans="1:10" x14ac:dyDescent="0.25">
      <c r="A6608" s="7" t="s">
        <v>13535</v>
      </c>
      <c r="B6608" s="8">
        <v>403.125</v>
      </c>
      <c r="C6608" s="8">
        <v>20.478950000000001</v>
      </c>
      <c r="D6608" s="8">
        <v>81</v>
      </c>
      <c r="E6608" s="8">
        <v>0</v>
      </c>
      <c r="F6608" s="8">
        <v>0</v>
      </c>
      <c r="G6608" s="8">
        <v>10</v>
      </c>
      <c r="H6608" s="8" t="s">
        <v>13536</v>
      </c>
      <c r="I6608" s="8">
        <v>529.125</v>
      </c>
      <c r="J6608" s="3">
        <f t="shared" si="103"/>
        <v>43747.958384664351</v>
      </c>
    </row>
    <row r="6609" spans="1:10" x14ac:dyDescent="0.25">
      <c r="A6609" s="5" t="s">
        <v>13537</v>
      </c>
      <c r="B6609" s="6">
        <v>403.125</v>
      </c>
      <c r="C6609" s="6">
        <v>20.478950000000001</v>
      </c>
      <c r="D6609" s="6">
        <v>80</v>
      </c>
      <c r="E6609" s="6">
        <v>0</v>
      </c>
      <c r="F6609" s="6">
        <v>0</v>
      </c>
      <c r="G6609" s="6">
        <v>4</v>
      </c>
      <c r="H6609" s="6" t="s">
        <v>13538</v>
      </c>
      <c r="I6609" s="6">
        <v>529.125</v>
      </c>
      <c r="J6609" s="2">
        <f t="shared" si="103"/>
        <v>43747.958464282405</v>
      </c>
    </row>
    <row r="6610" spans="1:10" x14ac:dyDescent="0.25">
      <c r="A6610" s="7" t="s">
        <v>13539</v>
      </c>
      <c r="B6610" s="8">
        <v>403.125</v>
      </c>
      <c r="C6610" s="8">
        <v>20.478950000000001</v>
      </c>
      <c r="D6610" s="8">
        <v>80</v>
      </c>
      <c r="E6610" s="8">
        <v>0</v>
      </c>
      <c r="F6610" s="8">
        <v>0</v>
      </c>
      <c r="G6610" s="8">
        <v>6</v>
      </c>
      <c r="H6610" s="8" t="s">
        <v>13540</v>
      </c>
      <c r="I6610" s="8">
        <v>529.875</v>
      </c>
      <c r="J6610" s="3">
        <f t="shared" si="103"/>
        <v>43747.958536331011</v>
      </c>
    </row>
    <row r="6611" spans="1:10" x14ac:dyDescent="0.25">
      <c r="A6611" s="5" t="s">
        <v>13541</v>
      </c>
      <c r="B6611" s="6">
        <v>403.125</v>
      </c>
      <c r="C6611" s="6">
        <v>20.478950000000001</v>
      </c>
      <c r="D6611" s="6">
        <v>80</v>
      </c>
      <c r="E6611" s="6">
        <v>0</v>
      </c>
      <c r="F6611" s="6">
        <v>0</v>
      </c>
      <c r="G6611" s="6">
        <v>10</v>
      </c>
      <c r="H6611" s="6" t="s">
        <v>13542</v>
      </c>
      <c r="I6611" s="6">
        <v>529.875</v>
      </c>
      <c r="J6611" s="2">
        <f t="shared" si="103"/>
        <v>43747.95861981481</v>
      </c>
    </row>
    <row r="6612" spans="1:10" x14ac:dyDescent="0.25">
      <c r="A6612" s="7" t="s">
        <v>13543</v>
      </c>
      <c r="B6612" s="8">
        <v>403.125</v>
      </c>
      <c r="C6612" s="8">
        <v>20.478950000000001</v>
      </c>
      <c r="D6612" s="8">
        <v>80</v>
      </c>
      <c r="E6612" s="8">
        <v>0</v>
      </c>
      <c r="F6612" s="8">
        <v>0</v>
      </c>
      <c r="G6612" s="8">
        <v>2</v>
      </c>
      <c r="H6612" s="8" t="s">
        <v>13544</v>
      </c>
      <c r="I6612" s="8">
        <v>529.875</v>
      </c>
      <c r="J6612" s="3">
        <f t="shared" si="103"/>
        <v>43747.95870891204</v>
      </c>
    </row>
    <row r="6613" spans="1:10" x14ac:dyDescent="0.25">
      <c r="A6613" s="5" t="s">
        <v>13545</v>
      </c>
      <c r="B6613" s="6">
        <v>403.125</v>
      </c>
      <c r="C6613" s="6">
        <v>20.478950000000001</v>
      </c>
      <c r="D6613" s="6">
        <v>81</v>
      </c>
      <c r="E6613" s="6">
        <v>0</v>
      </c>
      <c r="F6613" s="6">
        <v>0</v>
      </c>
      <c r="G6613" s="6">
        <v>9</v>
      </c>
      <c r="H6613" s="6" t="s">
        <v>13546</v>
      </c>
      <c r="I6613" s="6">
        <v>529.875</v>
      </c>
      <c r="J6613" s="2">
        <f t="shared" si="103"/>
        <v>43747.958786435185</v>
      </c>
    </row>
    <row r="6614" spans="1:10" x14ac:dyDescent="0.25">
      <c r="A6614" s="7" t="s">
        <v>13547</v>
      </c>
      <c r="B6614" s="8">
        <v>406.25</v>
      </c>
      <c r="C6614" s="8">
        <v>20.478950000000001</v>
      </c>
      <c r="D6614" s="8">
        <v>81</v>
      </c>
      <c r="E6614" s="8">
        <v>0</v>
      </c>
      <c r="F6614" s="8">
        <v>0</v>
      </c>
      <c r="G6614" s="8">
        <v>0</v>
      </c>
      <c r="H6614" s="8" t="s">
        <v>13548</v>
      </c>
      <c r="I6614" s="8">
        <v>530.625</v>
      </c>
      <c r="J6614" s="3">
        <f t="shared" si="103"/>
        <v>43747.958869849535</v>
      </c>
    </row>
    <row r="6615" spans="1:10" x14ac:dyDescent="0.25">
      <c r="A6615" s="5" t="s">
        <v>13549</v>
      </c>
      <c r="B6615" s="6">
        <v>406.25</v>
      </c>
      <c r="C6615" s="6">
        <v>20.478950000000001</v>
      </c>
      <c r="D6615" s="6">
        <v>81</v>
      </c>
      <c r="E6615" s="6">
        <v>0</v>
      </c>
      <c r="F6615" s="6">
        <v>0</v>
      </c>
      <c r="G6615" s="6">
        <v>10</v>
      </c>
      <c r="H6615" s="6" t="s">
        <v>13550</v>
      </c>
      <c r="I6615" s="6">
        <v>530.625</v>
      </c>
      <c r="J6615" s="2">
        <f t="shared" si="103"/>
        <v>43747.958941134253</v>
      </c>
    </row>
    <row r="6616" spans="1:10" x14ac:dyDescent="0.25">
      <c r="A6616" s="7" t="s">
        <v>13551</v>
      </c>
      <c r="B6616" s="8">
        <v>406.25</v>
      </c>
      <c r="C6616" s="8">
        <v>20.478950000000001</v>
      </c>
      <c r="D6616" s="8">
        <v>81</v>
      </c>
      <c r="E6616" s="8">
        <v>0</v>
      </c>
      <c r="F6616" s="8">
        <v>0</v>
      </c>
      <c r="G6616" s="8">
        <v>7</v>
      </c>
      <c r="H6616" s="8" t="s">
        <v>13552</v>
      </c>
      <c r="I6616" s="8">
        <v>530.8125</v>
      </c>
      <c r="J6616" s="3">
        <f t="shared" si="103"/>
        <v>43747.959013333333</v>
      </c>
    </row>
    <row r="6617" spans="1:10" x14ac:dyDescent="0.25">
      <c r="A6617" s="5" t="s">
        <v>13553</v>
      </c>
      <c r="B6617" s="6">
        <v>406.25</v>
      </c>
      <c r="C6617" s="6">
        <v>20.478950000000001</v>
      </c>
      <c r="D6617" s="6">
        <v>82</v>
      </c>
      <c r="E6617" s="6">
        <v>0</v>
      </c>
      <c r="F6617" s="6">
        <v>0</v>
      </c>
      <c r="G6617" s="6">
        <v>8</v>
      </c>
      <c r="H6617" s="6" t="s">
        <v>13554</v>
      </c>
      <c r="I6617" s="6">
        <v>530.625</v>
      </c>
      <c r="J6617" s="2">
        <f t="shared" si="103"/>
        <v>43747.959102928238</v>
      </c>
    </row>
    <row r="6618" spans="1:10" x14ac:dyDescent="0.25">
      <c r="A6618" s="7" t="s">
        <v>13555</v>
      </c>
      <c r="B6618" s="8">
        <v>406.25</v>
      </c>
      <c r="C6618" s="8">
        <v>20.478950000000001</v>
      </c>
      <c r="D6618" s="8">
        <v>83</v>
      </c>
      <c r="E6618" s="8">
        <v>0</v>
      </c>
      <c r="F6618" s="8">
        <v>0</v>
      </c>
      <c r="G6618" s="8">
        <v>10</v>
      </c>
      <c r="H6618" s="8" t="s">
        <v>13556</v>
      </c>
      <c r="I6618" s="8">
        <v>530.625</v>
      </c>
      <c r="J6618" s="3">
        <f t="shared" si="103"/>
        <v>43747.959179895835</v>
      </c>
    </row>
    <row r="6619" spans="1:10" x14ac:dyDescent="0.25">
      <c r="A6619" s="5" t="s">
        <v>13557</v>
      </c>
      <c r="B6619" s="6">
        <v>406.25</v>
      </c>
      <c r="C6619" s="6">
        <v>20.478950000000001</v>
      </c>
      <c r="D6619" s="6">
        <v>82</v>
      </c>
      <c r="E6619" s="6">
        <v>0</v>
      </c>
      <c r="F6619" s="6">
        <v>0</v>
      </c>
      <c r="G6619" s="6">
        <v>8</v>
      </c>
      <c r="H6619" s="6" t="s">
        <v>13558</v>
      </c>
      <c r="I6619" s="6">
        <v>530.625</v>
      </c>
      <c r="J6619" s="2">
        <f t="shared" si="103"/>
        <v>43747.959251192129</v>
      </c>
    </row>
    <row r="6620" spans="1:10" x14ac:dyDescent="0.25">
      <c r="A6620" s="7" t="s">
        <v>13559</v>
      </c>
      <c r="B6620" s="8">
        <v>409.375</v>
      </c>
      <c r="C6620" s="8">
        <v>20.478950000000001</v>
      </c>
      <c r="D6620" s="8">
        <v>82</v>
      </c>
      <c r="E6620" s="8">
        <v>0</v>
      </c>
      <c r="F6620" s="8">
        <v>0</v>
      </c>
      <c r="G6620" s="8">
        <v>0</v>
      </c>
      <c r="H6620" s="8" t="s">
        <v>13560</v>
      </c>
      <c r="I6620" s="8">
        <v>531.375</v>
      </c>
      <c r="J6620" s="3">
        <f t="shared" si="103"/>
        <v>43747.959334571759</v>
      </c>
    </row>
    <row r="6621" spans="1:10" x14ac:dyDescent="0.25">
      <c r="A6621" s="5" t="s">
        <v>13561</v>
      </c>
      <c r="B6621" s="6">
        <v>406.25</v>
      </c>
      <c r="C6621" s="6">
        <v>20.478950000000001</v>
      </c>
      <c r="D6621" s="6">
        <v>82</v>
      </c>
      <c r="E6621" s="6">
        <v>0</v>
      </c>
      <c r="F6621" s="6">
        <v>0</v>
      </c>
      <c r="G6621" s="6">
        <v>7</v>
      </c>
      <c r="H6621" s="6" t="s">
        <v>13562</v>
      </c>
      <c r="I6621" s="6">
        <v>530.625</v>
      </c>
      <c r="J6621" s="2">
        <f t="shared" si="103"/>
        <v>43747.959406759255</v>
      </c>
    </row>
    <row r="6622" spans="1:10" x14ac:dyDescent="0.25">
      <c r="A6622" s="7" t="s">
        <v>13563</v>
      </c>
      <c r="B6622" s="8">
        <v>406.25</v>
      </c>
      <c r="C6622" s="8">
        <v>20.478950000000001</v>
      </c>
      <c r="D6622" s="8">
        <v>82</v>
      </c>
      <c r="E6622" s="8">
        <v>0</v>
      </c>
      <c r="F6622" s="8">
        <v>0</v>
      </c>
      <c r="G6622" s="8">
        <v>6</v>
      </c>
      <c r="H6622" s="8" t="s">
        <v>13564</v>
      </c>
      <c r="I6622" s="8">
        <v>530.8125</v>
      </c>
      <c r="J6622" s="3">
        <f t="shared" si="103"/>
        <v>43747.959497175929</v>
      </c>
    </row>
    <row r="6623" spans="1:10" x14ac:dyDescent="0.25">
      <c r="A6623" s="5" t="s">
        <v>13565</v>
      </c>
      <c r="B6623" s="6">
        <v>425</v>
      </c>
      <c r="C6623" s="6">
        <v>20.478950000000001</v>
      </c>
      <c r="D6623" s="6">
        <v>82</v>
      </c>
      <c r="E6623" s="6">
        <v>0</v>
      </c>
      <c r="F6623" s="6">
        <v>0</v>
      </c>
      <c r="G6623" s="6">
        <v>17</v>
      </c>
      <c r="H6623" s="6" t="s">
        <v>13566</v>
      </c>
      <c r="I6623" s="6">
        <v>536.25</v>
      </c>
      <c r="J6623" s="2">
        <f t="shared" si="103"/>
        <v>43747.959580023147</v>
      </c>
    </row>
    <row r="6624" spans="1:10" x14ac:dyDescent="0.25">
      <c r="A6624" s="7" t="s">
        <v>13567</v>
      </c>
      <c r="B6624" s="8">
        <v>403.125</v>
      </c>
      <c r="C6624" s="8">
        <v>20.478950000000001</v>
      </c>
      <c r="D6624" s="8">
        <v>82</v>
      </c>
      <c r="E6624" s="8">
        <v>0</v>
      </c>
      <c r="F6624" s="8">
        <v>0</v>
      </c>
      <c r="G6624" s="8">
        <v>9</v>
      </c>
      <c r="H6624" s="8" t="s">
        <v>13568</v>
      </c>
      <c r="I6624" s="8">
        <v>529.875</v>
      </c>
      <c r="J6624" s="3">
        <f t="shared" si="103"/>
        <v>43747.959656851854</v>
      </c>
    </row>
    <row r="6625" spans="1:10" x14ac:dyDescent="0.25">
      <c r="A6625" s="5" t="s">
        <v>13569</v>
      </c>
      <c r="B6625" s="6">
        <v>403.125</v>
      </c>
      <c r="C6625" s="6">
        <v>20.478950000000001</v>
      </c>
      <c r="D6625" s="6">
        <v>82</v>
      </c>
      <c r="E6625" s="6">
        <v>0</v>
      </c>
      <c r="F6625" s="6">
        <v>0</v>
      </c>
      <c r="G6625" s="6">
        <v>8</v>
      </c>
      <c r="H6625" s="6" t="s">
        <v>13570</v>
      </c>
      <c r="I6625" s="6">
        <v>529.875</v>
      </c>
      <c r="J6625" s="2">
        <f t="shared" si="103"/>
        <v>43747.959728090274</v>
      </c>
    </row>
    <row r="6626" spans="1:10" x14ac:dyDescent="0.25">
      <c r="A6626" s="7" t="s">
        <v>13571</v>
      </c>
      <c r="B6626" s="8">
        <v>418.75</v>
      </c>
      <c r="C6626" s="8">
        <v>20.478950000000001</v>
      </c>
      <c r="D6626" s="8">
        <v>81</v>
      </c>
      <c r="E6626" s="8">
        <v>0</v>
      </c>
      <c r="F6626" s="8">
        <v>0</v>
      </c>
      <c r="G6626" s="8">
        <v>6</v>
      </c>
      <c r="H6626" s="8" t="s">
        <v>13572</v>
      </c>
      <c r="I6626" s="8">
        <v>534.9375</v>
      </c>
      <c r="J6626" s="3">
        <f t="shared" si="103"/>
        <v>43747.959800266202</v>
      </c>
    </row>
    <row r="6627" spans="1:10" x14ac:dyDescent="0.25">
      <c r="A6627" s="5" t="s">
        <v>13573</v>
      </c>
      <c r="B6627" s="6">
        <v>403.125</v>
      </c>
      <c r="C6627" s="6">
        <v>20.478950000000001</v>
      </c>
      <c r="D6627" s="6">
        <v>81</v>
      </c>
      <c r="E6627" s="6">
        <v>0</v>
      </c>
      <c r="F6627" s="6">
        <v>0</v>
      </c>
      <c r="G6627" s="6">
        <v>5</v>
      </c>
      <c r="H6627" s="6" t="s">
        <v>13574</v>
      </c>
      <c r="I6627" s="6">
        <v>529.125</v>
      </c>
      <c r="J6627" s="2">
        <f t="shared" si="103"/>
        <v>43747.959871562496</v>
      </c>
    </row>
    <row r="6628" spans="1:10" x14ac:dyDescent="0.25">
      <c r="A6628" s="7" t="s">
        <v>13575</v>
      </c>
      <c r="B6628" s="8">
        <v>403.125</v>
      </c>
      <c r="C6628" s="8">
        <v>20.478950000000001</v>
      </c>
      <c r="D6628" s="8">
        <v>81</v>
      </c>
      <c r="E6628" s="8">
        <v>0</v>
      </c>
      <c r="F6628" s="8">
        <v>0</v>
      </c>
      <c r="G6628" s="8">
        <v>0</v>
      </c>
      <c r="H6628" s="8" t="s">
        <v>13576</v>
      </c>
      <c r="I6628" s="8">
        <v>529.125</v>
      </c>
      <c r="J6628" s="3">
        <f t="shared" si="103"/>
        <v>43747.959942789348</v>
      </c>
    </row>
    <row r="6629" spans="1:10" x14ac:dyDescent="0.25">
      <c r="A6629" s="5" t="s">
        <v>13577</v>
      </c>
      <c r="B6629" s="6">
        <v>403.125</v>
      </c>
      <c r="C6629" s="6">
        <v>20.478950000000001</v>
      </c>
      <c r="D6629" s="6">
        <v>81</v>
      </c>
      <c r="E6629" s="6">
        <v>0</v>
      </c>
      <c r="F6629" s="6">
        <v>0</v>
      </c>
      <c r="G6629" s="6">
        <v>6</v>
      </c>
      <c r="H6629" s="6" t="s">
        <v>13578</v>
      </c>
      <c r="I6629" s="6">
        <v>529.125</v>
      </c>
      <c r="J6629" s="2">
        <f t="shared" si="103"/>
        <v>43747.960014895834</v>
      </c>
    </row>
    <row r="6630" spans="1:10" x14ac:dyDescent="0.25">
      <c r="A6630" s="7" t="s">
        <v>13579</v>
      </c>
      <c r="B6630" s="8">
        <v>403.125</v>
      </c>
      <c r="C6630" s="8">
        <v>20.478950000000001</v>
      </c>
      <c r="D6630" s="8">
        <v>81</v>
      </c>
      <c r="E6630" s="8">
        <v>0</v>
      </c>
      <c r="F6630" s="8">
        <v>0</v>
      </c>
      <c r="G6630" s="8">
        <v>8</v>
      </c>
      <c r="H6630" s="8" t="s">
        <v>13580</v>
      </c>
      <c r="I6630" s="8">
        <v>529.125</v>
      </c>
      <c r="J6630" s="3">
        <f t="shared" si="103"/>
        <v>43747.960086331012</v>
      </c>
    </row>
    <row r="6631" spans="1:10" x14ac:dyDescent="0.25">
      <c r="A6631" s="5" t="s">
        <v>13581</v>
      </c>
      <c r="B6631" s="6">
        <v>403.125</v>
      </c>
      <c r="C6631" s="6">
        <v>20.478950000000001</v>
      </c>
      <c r="D6631" s="6">
        <v>79</v>
      </c>
      <c r="E6631" s="6">
        <v>0</v>
      </c>
      <c r="F6631" s="6">
        <v>0</v>
      </c>
      <c r="G6631" s="6">
        <v>8</v>
      </c>
      <c r="H6631" s="6" t="s">
        <v>13582</v>
      </c>
      <c r="I6631" s="6">
        <v>529.125</v>
      </c>
      <c r="J6631" s="2">
        <f t="shared" si="103"/>
        <v>43747.960157696762</v>
      </c>
    </row>
    <row r="6632" spans="1:10" x14ac:dyDescent="0.25">
      <c r="A6632" s="7" t="s">
        <v>13583</v>
      </c>
      <c r="B6632" s="8">
        <v>403.125</v>
      </c>
      <c r="C6632" s="8">
        <v>20.478950000000001</v>
      </c>
      <c r="D6632" s="8">
        <v>79</v>
      </c>
      <c r="E6632" s="8">
        <v>0</v>
      </c>
      <c r="F6632" s="8">
        <v>0</v>
      </c>
      <c r="G6632" s="8">
        <v>4</v>
      </c>
      <c r="H6632" s="8" t="s">
        <v>13584</v>
      </c>
      <c r="I6632" s="8">
        <v>529.125</v>
      </c>
      <c r="J6632" s="3">
        <f t="shared" si="103"/>
        <v>43747.960228969903</v>
      </c>
    </row>
    <row r="6633" spans="1:10" x14ac:dyDescent="0.25">
      <c r="A6633" s="5" t="s">
        <v>13585</v>
      </c>
      <c r="B6633" s="6">
        <v>400</v>
      </c>
      <c r="C6633" s="6">
        <v>20.478950000000001</v>
      </c>
      <c r="D6633" s="6">
        <v>79</v>
      </c>
      <c r="E6633" s="6">
        <v>0</v>
      </c>
      <c r="F6633" s="6">
        <v>0</v>
      </c>
      <c r="G6633" s="6">
        <v>1</v>
      </c>
      <c r="H6633" s="6" t="s">
        <v>13586</v>
      </c>
      <c r="I6633" s="6">
        <v>528.9375</v>
      </c>
      <c r="J6633" s="2">
        <f t="shared" si="103"/>
        <v>43747.960301296298</v>
      </c>
    </row>
    <row r="6634" spans="1:10" x14ac:dyDescent="0.25">
      <c r="A6634" s="7" t="s">
        <v>13587</v>
      </c>
      <c r="B6634" s="8">
        <v>403.125</v>
      </c>
      <c r="C6634" s="8">
        <v>20.478950000000001</v>
      </c>
      <c r="D6634" s="8">
        <v>80</v>
      </c>
      <c r="E6634" s="8">
        <v>0</v>
      </c>
      <c r="F6634" s="8">
        <v>0</v>
      </c>
      <c r="G6634" s="8">
        <v>7</v>
      </c>
      <c r="H6634" s="8" t="s">
        <v>13588</v>
      </c>
      <c r="I6634" s="8">
        <v>529.125</v>
      </c>
      <c r="J6634" s="3">
        <f t="shared" si="103"/>
        <v>43747.960372476846</v>
      </c>
    </row>
    <row r="6635" spans="1:10" x14ac:dyDescent="0.25">
      <c r="A6635" s="5" t="s">
        <v>13589</v>
      </c>
      <c r="B6635" s="6">
        <v>400</v>
      </c>
      <c r="C6635" s="6">
        <v>20.478950000000001</v>
      </c>
      <c r="D6635" s="6">
        <v>80</v>
      </c>
      <c r="E6635" s="6">
        <v>0</v>
      </c>
      <c r="F6635" s="6">
        <v>0</v>
      </c>
      <c r="G6635" s="6">
        <v>6</v>
      </c>
      <c r="H6635" s="6" t="s">
        <v>13590</v>
      </c>
      <c r="I6635" s="6">
        <v>528.9375</v>
      </c>
      <c r="J6635" s="2">
        <f t="shared" si="103"/>
        <v>43747.96045583333</v>
      </c>
    </row>
    <row r="6636" spans="1:10" x14ac:dyDescent="0.25">
      <c r="A6636" s="7" t="s">
        <v>13591</v>
      </c>
      <c r="B6636" s="8">
        <v>403.125</v>
      </c>
      <c r="C6636" s="8">
        <v>20.478950000000001</v>
      </c>
      <c r="D6636" s="8">
        <v>80</v>
      </c>
      <c r="E6636" s="8">
        <v>0</v>
      </c>
      <c r="F6636" s="8">
        <v>0</v>
      </c>
      <c r="G6636" s="8">
        <v>15</v>
      </c>
      <c r="H6636" s="8" t="s">
        <v>13592</v>
      </c>
      <c r="I6636" s="8">
        <v>529.875</v>
      </c>
      <c r="J6636" s="3">
        <f t="shared" si="103"/>
        <v>43747.960527118055</v>
      </c>
    </row>
    <row r="6637" spans="1:10" x14ac:dyDescent="0.25">
      <c r="A6637" s="5" t="s">
        <v>13593</v>
      </c>
      <c r="B6637" s="6">
        <v>403.125</v>
      </c>
      <c r="C6637" s="6">
        <v>20.478950000000001</v>
      </c>
      <c r="D6637" s="6">
        <v>80</v>
      </c>
      <c r="E6637" s="6">
        <v>0</v>
      </c>
      <c r="F6637" s="6">
        <v>0</v>
      </c>
      <c r="G6637" s="6">
        <v>3</v>
      </c>
      <c r="H6637" s="6" t="s">
        <v>13594</v>
      </c>
      <c r="I6637" s="6">
        <v>529.875</v>
      </c>
      <c r="J6637" s="2">
        <f t="shared" si="103"/>
        <v>43747.960598414349</v>
      </c>
    </row>
    <row r="6638" spans="1:10" x14ac:dyDescent="0.25">
      <c r="A6638" s="7" t="s">
        <v>13595</v>
      </c>
      <c r="B6638" s="8">
        <v>440.625</v>
      </c>
      <c r="C6638" s="8">
        <v>20.478950000000001</v>
      </c>
      <c r="D6638" s="8">
        <v>80</v>
      </c>
      <c r="E6638" s="8">
        <v>0</v>
      </c>
      <c r="F6638" s="8">
        <v>0</v>
      </c>
      <c r="G6638" s="8">
        <v>8</v>
      </c>
      <c r="H6638" s="8" t="s">
        <v>13596</v>
      </c>
      <c r="I6638" s="8">
        <v>541.3125</v>
      </c>
      <c r="J6638" s="3">
        <f t="shared" si="103"/>
        <v>43747.960670659719</v>
      </c>
    </row>
    <row r="6639" spans="1:10" x14ac:dyDescent="0.25">
      <c r="A6639" s="5" t="s">
        <v>13597</v>
      </c>
      <c r="B6639" s="6">
        <v>403.125</v>
      </c>
      <c r="C6639" s="6">
        <v>20.478950000000001</v>
      </c>
      <c r="D6639" s="6">
        <v>80</v>
      </c>
      <c r="E6639" s="6">
        <v>0</v>
      </c>
      <c r="F6639" s="6">
        <v>0</v>
      </c>
      <c r="G6639" s="6">
        <v>5</v>
      </c>
      <c r="H6639" s="6" t="s">
        <v>13598</v>
      </c>
      <c r="I6639" s="6">
        <v>529.125</v>
      </c>
      <c r="J6639" s="2">
        <f t="shared" si="103"/>
        <v>43747.960754305554</v>
      </c>
    </row>
    <row r="6640" spans="1:10" x14ac:dyDescent="0.25">
      <c r="A6640" s="7" t="s">
        <v>13599</v>
      </c>
      <c r="B6640" s="8">
        <v>400</v>
      </c>
      <c r="C6640" s="8">
        <v>20.478950000000001</v>
      </c>
      <c r="D6640" s="8">
        <v>80</v>
      </c>
      <c r="E6640" s="8">
        <v>0</v>
      </c>
      <c r="F6640" s="8">
        <v>0</v>
      </c>
      <c r="G6640" s="8">
        <v>8</v>
      </c>
      <c r="H6640" s="8" t="s">
        <v>13600</v>
      </c>
      <c r="I6640" s="8">
        <v>528.9375</v>
      </c>
      <c r="J6640" s="3">
        <f t="shared" si="103"/>
        <v>43747.960849328701</v>
      </c>
    </row>
    <row r="6641" spans="1:10" x14ac:dyDescent="0.25">
      <c r="A6641" s="5" t="s">
        <v>13601</v>
      </c>
      <c r="B6641" s="6">
        <v>403.125</v>
      </c>
      <c r="C6641" s="6">
        <v>20.478950000000001</v>
      </c>
      <c r="D6641" s="6">
        <v>81</v>
      </c>
      <c r="E6641" s="6">
        <v>0</v>
      </c>
      <c r="F6641" s="6">
        <v>0</v>
      </c>
      <c r="G6641" s="6">
        <v>6</v>
      </c>
      <c r="H6641" s="6" t="s">
        <v>13602</v>
      </c>
      <c r="I6641" s="6">
        <v>529.125</v>
      </c>
      <c r="J6641" s="2">
        <f t="shared" si="103"/>
        <v>43747.960920694437</v>
      </c>
    </row>
    <row r="6642" spans="1:10" x14ac:dyDescent="0.25">
      <c r="A6642" s="7" t="s">
        <v>13603</v>
      </c>
      <c r="B6642" s="8">
        <v>403.125</v>
      </c>
      <c r="C6642" s="8">
        <v>20.478950000000001</v>
      </c>
      <c r="D6642" s="8">
        <v>80</v>
      </c>
      <c r="E6642" s="8">
        <v>0</v>
      </c>
      <c r="F6642" s="8">
        <v>0</v>
      </c>
      <c r="G6642" s="8">
        <v>4</v>
      </c>
      <c r="H6642" s="8" t="s">
        <v>13604</v>
      </c>
      <c r="I6642" s="8">
        <v>529.125</v>
      </c>
      <c r="J6642" s="3">
        <f t="shared" si="103"/>
        <v>43747.960992858796</v>
      </c>
    </row>
    <row r="6643" spans="1:10" x14ac:dyDescent="0.25">
      <c r="A6643" s="5" t="s">
        <v>13605</v>
      </c>
      <c r="B6643" s="6">
        <v>403.125</v>
      </c>
      <c r="C6643" s="6">
        <v>20.478950000000001</v>
      </c>
      <c r="D6643" s="6">
        <v>80</v>
      </c>
      <c r="E6643" s="6">
        <v>0</v>
      </c>
      <c r="F6643" s="6">
        <v>0</v>
      </c>
      <c r="G6643" s="6">
        <v>0</v>
      </c>
      <c r="H6643" s="6" t="s">
        <v>13606</v>
      </c>
      <c r="I6643" s="6">
        <v>529.875</v>
      </c>
      <c r="J6643" s="2">
        <f t="shared" si="103"/>
        <v>43747.961076180552</v>
      </c>
    </row>
    <row r="6644" spans="1:10" x14ac:dyDescent="0.25">
      <c r="A6644" s="7" t="s">
        <v>13607</v>
      </c>
      <c r="B6644" s="8">
        <v>406.25</v>
      </c>
      <c r="C6644" s="8">
        <v>20.478950000000001</v>
      </c>
      <c r="D6644" s="8">
        <v>80</v>
      </c>
      <c r="E6644" s="8">
        <v>0</v>
      </c>
      <c r="F6644" s="8">
        <v>0</v>
      </c>
      <c r="G6644" s="8">
        <v>11</v>
      </c>
      <c r="H6644" s="8" t="s">
        <v>13608</v>
      </c>
      <c r="I6644" s="8">
        <v>530.8125</v>
      </c>
      <c r="J6644" s="3">
        <f t="shared" si="103"/>
        <v>43747.961159444443</v>
      </c>
    </row>
    <row r="6645" spans="1:10" x14ac:dyDescent="0.25">
      <c r="A6645" s="5" t="s">
        <v>13609</v>
      </c>
      <c r="B6645" s="6">
        <v>406.25</v>
      </c>
      <c r="C6645" s="6">
        <v>20.478950000000001</v>
      </c>
      <c r="D6645" s="6">
        <v>80</v>
      </c>
      <c r="E6645" s="6">
        <v>0</v>
      </c>
      <c r="F6645" s="6">
        <v>0</v>
      </c>
      <c r="G6645" s="6">
        <v>3</v>
      </c>
      <c r="H6645" s="6" t="s">
        <v>13610</v>
      </c>
      <c r="I6645" s="6">
        <v>530.625</v>
      </c>
      <c r="J6645" s="2">
        <f t="shared" si="103"/>
        <v>43747.961230821755</v>
      </c>
    </row>
    <row r="6646" spans="1:10" x14ac:dyDescent="0.25">
      <c r="A6646" s="7" t="s">
        <v>13611</v>
      </c>
      <c r="B6646" s="8">
        <v>406.25</v>
      </c>
      <c r="C6646" s="8">
        <v>20.478950000000001</v>
      </c>
      <c r="D6646" s="8">
        <v>80</v>
      </c>
      <c r="E6646" s="8">
        <v>0</v>
      </c>
      <c r="F6646" s="8">
        <v>0</v>
      </c>
      <c r="G6646" s="8">
        <v>4</v>
      </c>
      <c r="H6646" s="8" t="s">
        <v>13612</v>
      </c>
      <c r="I6646" s="8">
        <v>530.8125</v>
      </c>
      <c r="J6646" s="3">
        <f t="shared" si="103"/>
        <v>43747.961302175921</v>
      </c>
    </row>
    <row r="6647" spans="1:10" x14ac:dyDescent="0.25">
      <c r="A6647" s="5" t="s">
        <v>13613</v>
      </c>
      <c r="B6647" s="6">
        <v>403.125</v>
      </c>
      <c r="C6647" s="6">
        <v>20.478950000000001</v>
      </c>
      <c r="D6647" s="6">
        <v>82</v>
      </c>
      <c r="E6647" s="6">
        <v>0</v>
      </c>
      <c r="F6647" s="6">
        <v>0</v>
      </c>
      <c r="G6647" s="6">
        <v>4</v>
      </c>
      <c r="H6647" s="6" t="s">
        <v>13614</v>
      </c>
      <c r="I6647" s="6">
        <v>529.875</v>
      </c>
      <c r="J6647" s="2">
        <f t="shared" si="103"/>
        <v>43747.961374375001</v>
      </c>
    </row>
    <row r="6648" spans="1:10" x14ac:dyDescent="0.25">
      <c r="A6648" s="7" t="s">
        <v>13615</v>
      </c>
      <c r="B6648" s="8">
        <v>403.125</v>
      </c>
      <c r="C6648" s="8">
        <v>20.478950000000001</v>
      </c>
      <c r="D6648" s="8">
        <v>82</v>
      </c>
      <c r="E6648" s="8">
        <v>0</v>
      </c>
      <c r="F6648" s="8">
        <v>0</v>
      </c>
      <c r="G6648" s="8">
        <v>7</v>
      </c>
      <c r="H6648" s="8" t="s">
        <v>13616</v>
      </c>
      <c r="I6648" s="8">
        <v>529.125</v>
      </c>
      <c r="J6648" s="3">
        <f t="shared" si="103"/>
        <v>43747.961457650461</v>
      </c>
    </row>
    <row r="6649" spans="1:10" x14ac:dyDescent="0.25">
      <c r="A6649" s="5" t="s">
        <v>13617</v>
      </c>
      <c r="B6649" s="6">
        <v>400</v>
      </c>
      <c r="C6649" s="6">
        <v>20.478950000000001</v>
      </c>
      <c r="D6649" s="6">
        <v>81</v>
      </c>
      <c r="E6649" s="6">
        <v>0</v>
      </c>
      <c r="F6649" s="6">
        <v>0</v>
      </c>
      <c r="G6649" s="6">
        <v>3</v>
      </c>
      <c r="H6649" s="6" t="s">
        <v>13618</v>
      </c>
      <c r="I6649" s="6">
        <v>528.9375</v>
      </c>
      <c r="J6649" s="2">
        <f t="shared" si="103"/>
        <v>43747.961528958331</v>
      </c>
    </row>
    <row r="6650" spans="1:10" x14ac:dyDescent="0.25">
      <c r="A6650" s="7" t="s">
        <v>13619</v>
      </c>
      <c r="B6650" s="8">
        <v>443.75</v>
      </c>
      <c r="C6650" s="8">
        <v>20.478950000000001</v>
      </c>
      <c r="D6650" s="8">
        <v>80</v>
      </c>
      <c r="E6650" s="8">
        <v>0</v>
      </c>
      <c r="F6650" s="8">
        <v>0</v>
      </c>
      <c r="G6650" s="8">
        <v>2</v>
      </c>
      <c r="H6650" s="8" t="s">
        <v>13620</v>
      </c>
      <c r="I6650" s="8">
        <v>542.4375</v>
      </c>
      <c r="J6650" s="3">
        <f t="shared" si="103"/>
        <v>43747.96160101852</v>
      </c>
    </row>
    <row r="6651" spans="1:10" x14ac:dyDescent="0.25">
      <c r="A6651" s="5" t="s">
        <v>13621</v>
      </c>
      <c r="B6651" s="6">
        <v>403.125</v>
      </c>
      <c r="C6651" s="6">
        <v>20.478950000000001</v>
      </c>
      <c r="D6651" s="6">
        <v>81</v>
      </c>
      <c r="E6651" s="6">
        <v>0</v>
      </c>
      <c r="F6651" s="6">
        <v>0</v>
      </c>
      <c r="G6651" s="6">
        <v>6</v>
      </c>
      <c r="H6651" s="6" t="s">
        <v>13622</v>
      </c>
      <c r="I6651" s="6">
        <v>529.875</v>
      </c>
      <c r="J6651" s="2">
        <f t="shared" si="103"/>
        <v>43747.961683333335</v>
      </c>
    </row>
    <row r="6652" spans="1:10" x14ac:dyDescent="0.25">
      <c r="A6652" s="7" t="s">
        <v>13623</v>
      </c>
      <c r="B6652" s="8">
        <v>403.125</v>
      </c>
      <c r="C6652" s="8">
        <v>20.478950000000001</v>
      </c>
      <c r="D6652" s="8">
        <v>81</v>
      </c>
      <c r="E6652" s="8">
        <v>0</v>
      </c>
      <c r="F6652" s="8">
        <v>0</v>
      </c>
      <c r="G6652" s="8">
        <v>18</v>
      </c>
      <c r="H6652" s="8" t="s">
        <v>13624</v>
      </c>
      <c r="I6652" s="8">
        <v>529.875</v>
      </c>
      <c r="J6652" s="3">
        <f t="shared" si="103"/>
        <v>43747.961755752309</v>
      </c>
    </row>
    <row r="6653" spans="1:10" x14ac:dyDescent="0.25">
      <c r="A6653" s="5" t="s">
        <v>13625</v>
      </c>
      <c r="B6653" s="6">
        <v>403.125</v>
      </c>
      <c r="C6653" s="6">
        <v>20.478950000000001</v>
      </c>
      <c r="D6653" s="6">
        <v>81</v>
      </c>
      <c r="E6653" s="6">
        <v>0</v>
      </c>
      <c r="F6653" s="6">
        <v>0</v>
      </c>
      <c r="G6653" s="6">
        <v>5</v>
      </c>
      <c r="H6653" s="6" t="s">
        <v>13626</v>
      </c>
      <c r="I6653" s="6">
        <v>529.875</v>
      </c>
      <c r="J6653" s="2">
        <f t="shared" si="103"/>
        <v>43747.96182715278</v>
      </c>
    </row>
    <row r="6654" spans="1:10" x14ac:dyDescent="0.25">
      <c r="A6654" s="7" t="s">
        <v>13627</v>
      </c>
      <c r="B6654" s="8">
        <v>403.125</v>
      </c>
      <c r="C6654" s="8">
        <v>20.478950000000001</v>
      </c>
      <c r="D6654" s="8">
        <v>81</v>
      </c>
      <c r="E6654" s="8">
        <v>0</v>
      </c>
      <c r="F6654" s="8">
        <v>0</v>
      </c>
      <c r="G6654" s="8">
        <v>7</v>
      </c>
      <c r="H6654" s="8" t="s">
        <v>13628</v>
      </c>
      <c r="I6654" s="8">
        <v>529.875</v>
      </c>
      <c r="J6654" s="3">
        <f t="shared" si="103"/>
        <v>43747.961898506946</v>
      </c>
    </row>
    <row r="6655" spans="1:10" x14ac:dyDescent="0.25">
      <c r="A6655" s="5" t="s">
        <v>13629</v>
      </c>
      <c r="B6655" s="6">
        <v>403.125</v>
      </c>
      <c r="C6655" s="6">
        <v>20.478950000000001</v>
      </c>
      <c r="D6655" s="6">
        <v>80</v>
      </c>
      <c r="E6655" s="6">
        <v>0</v>
      </c>
      <c r="F6655" s="6">
        <v>0</v>
      </c>
      <c r="G6655" s="6">
        <v>1</v>
      </c>
      <c r="H6655" s="6" t="s">
        <v>13630</v>
      </c>
      <c r="I6655" s="6">
        <v>529.125</v>
      </c>
      <c r="J6655" s="2">
        <f t="shared" si="103"/>
        <v>43747.961970555552</v>
      </c>
    </row>
    <row r="6656" spans="1:10" x14ac:dyDescent="0.25">
      <c r="A6656" s="7" t="s">
        <v>13631</v>
      </c>
      <c r="B6656" s="8">
        <v>403.125</v>
      </c>
      <c r="C6656" s="8">
        <v>20.478950000000001</v>
      </c>
      <c r="D6656" s="8">
        <v>80</v>
      </c>
      <c r="E6656" s="8">
        <v>0</v>
      </c>
      <c r="F6656" s="8">
        <v>0</v>
      </c>
      <c r="G6656" s="8">
        <v>8</v>
      </c>
      <c r="H6656" s="8" t="s">
        <v>13632</v>
      </c>
      <c r="I6656" s="8">
        <v>529.125</v>
      </c>
      <c r="J6656" s="3">
        <f t="shared" si="103"/>
        <v>43747.962042662031</v>
      </c>
    </row>
    <row r="6657" spans="1:10" x14ac:dyDescent="0.25">
      <c r="A6657" s="5" t="s">
        <v>13633</v>
      </c>
      <c r="B6657" s="6">
        <v>403.125</v>
      </c>
      <c r="C6657" s="6">
        <v>20.478950000000001</v>
      </c>
      <c r="D6657" s="6">
        <v>81</v>
      </c>
      <c r="E6657" s="6">
        <v>0</v>
      </c>
      <c r="F6657" s="6">
        <v>0</v>
      </c>
      <c r="G6657" s="6">
        <v>13</v>
      </c>
      <c r="H6657" s="6" t="s">
        <v>13634</v>
      </c>
      <c r="I6657" s="6">
        <v>529.125</v>
      </c>
      <c r="J6657" s="2">
        <f t="shared" si="103"/>
        <v>43747.96211320602</v>
      </c>
    </row>
    <row r="6658" spans="1:10" x14ac:dyDescent="0.25">
      <c r="A6658" s="7" t="s">
        <v>13635</v>
      </c>
      <c r="B6658" s="8">
        <v>421.875</v>
      </c>
      <c r="C6658" s="8">
        <v>20.478950000000001</v>
      </c>
      <c r="D6658" s="8">
        <v>81</v>
      </c>
      <c r="E6658" s="8">
        <v>0</v>
      </c>
      <c r="F6658" s="8">
        <v>0</v>
      </c>
      <c r="G6658" s="8">
        <v>14</v>
      </c>
      <c r="H6658" s="8" t="s">
        <v>13636</v>
      </c>
      <c r="I6658" s="8">
        <v>535.5</v>
      </c>
      <c r="J6658" s="3">
        <f t="shared" ref="J6658:J6721" si="104">(H6658/86400000)+25569+(7/24)</f>
        <v>43747.962185381941</v>
      </c>
    </row>
    <row r="6659" spans="1:10" x14ac:dyDescent="0.25">
      <c r="A6659" s="5" t="s">
        <v>13637</v>
      </c>
      <c r="B6659" s="6">
        <v>403.125</v>
      </c>
      <c r="C6659" s="6">
        <v>20.478950000000001</v>
      </c>
      <c r="D6659" s="6">
        <v>81</v>
      </c>
      <c r="E6659" s="6">
        <v>0</v>
      </c>
      <c r="F6659" s="6">
        <v>0</v>
      </c>
      <c r="G6659" s="6">
        <v>0</v>
      </c>
      <c r="H6659" s="6" t="s">
        <v>13638</v>
      </c>
      <c r="I6659" s="6">
        <v>529.125</v>
      </c>
      <c r="J6659" s="2">
        <f t="shared" si="104"/>
        <v>43747.962268726849</v>
      </c>
    </row>
    <row r="6660" spans="1:10" x14ac:dyDescent="0.25">
      <c r="A6660" s="7" t="s">
        <v>13639</v>
      </c>
      <c r="B6660" s="8">
        <v>403.125</v>
      </c>
      <c r="C6660" s="8">
        <v>20.478950000000001</v>
      </c>
      <c r="D6660" s="8">
        <v>81</v>
      </c>
      <c r="E6660" s="8">
        <v>0</v>
      </c>
      <c r="F6660" s="8">
        <v>0</v>
      </c>
      <c r="G6660" s="8">
        <v>7</v>
      </c>
      <c r="H6660" s="8" t="s">
        <v>13640</v>
      </c>
      <c r="I6660" s="8">
        <v>529.125</v>
      </c>
      <c r="J6660" s="3">
        <f t="shared" si="104"/>
        <v>43747.962340069447</v>
      </c>
    </row>
    <row r="6661" spans="1:10" x14ac:dyDescent="0.25">
      <c r="A6661" s="5" t="s">
        <v>13641</v>
      </c>
      <c r="B6661" s="6">
        <v>403.125</v>
      </c>
      <c r="C6661" s="6">
        <v>20.478950000000001</v>
      </c>
      <c r="D6661" s="6">
        <v>82</v>
      </c>
      <c r="E6661" s="6">
        <v>0</v>
      </c>
      <c r="F6661" s="6">
        <v>0</v>
      </c>
      <c r="G6661" s="6">
        <v>3</v>
      </c>
      <c r="H6661" s="6" t="s">
        <v>13642</v>
      </c>
      <c r="I6661" s="6">
        <v>529.125</v>
      </c>
      <c r="J6661" s="2">
        <f t="shared" si="104"/>
        <v>43747.962423414348</v>
      </c>
    </row>
    <row r="6662" spans="1:10" x14ac:dyDescent="0.25">
      <c r="A6662" s="7" t="s">
        <v>13643</v>
      </c>
      <c r="B6662" s="8">
        <v>403.125</v>
      </c>
      <c r="C6662" s="8">
        <v>20.478950000000001</v>
      </c>
      <c r="D6662" s="8">
        <v>82</v>
      </c>
      <c r="E6662" s="8">
        <v>0</v>
      </c>
      <c r="F6662" s="8">
        <v>0</v>
      </c>
      <c r="G6662" s="8">
        <v>10</v>
      </c>
      <c r="H6662" s="8" t="s">
        <v>13644</v>
      </c>
      <c r="I6662" s="8">
        <v>529.125</v>
      </c>
      <c r="J6662" s="3">
        <f t="shared" si="104"/>
        <v>43747.962494745363</v>
      </c>
    </row>
    <row r="6663" spans="1:10" x14ac:dyDescent="0.25">
      <c r="A6663" s="5" t="s">
        <v>13645</v>
      </c>
      <c r="B6663" s="6">
        <v>403.125</v>
      </c>
      <c r="C6663" s="6">
        <v>20.478950000000001</v>
      </c>
      <c r="D6663" s="6">
        <v>83</v>
      </c>
      <c r="E6663" s="6">
        <v>0</v>
      </c>
      <c r="F6663" s="6">
        <v>0</v>
      </c>
      <c r="G6663" s="6">
        <v>14</v>
      </c>
      <c r="H6663" s="6" t="s">
        <v>13646</v>
      </c>
      <c r="I6663" s="6">
        <v>529.125</v>
      </c>
      <c r="J6663" s="2">
        <f t="shared" si="104"/>
        <v>43747.962566909722</v>
      </c>
    </row>
    <row r="6664" spans="1:10" x14ac:dyDescent="0.25">
      <c r="A6664" s="7" t="s">
        <v>13647</v>
      </c>
      <c r="B6664" s="8">
        <v>403.125</v>
      </c>
      <c r="C6664" s="8">
        <v>20.478950000000001</v>
      </c>
      <c r="D6664" s="8">
        <v>83</v>
      </c>
      <c r="E6664" s="8">
        <v>0</v>
      </c>
      <c r="F6664" s="8">
        <v>0</v>
      </c>
      <c r="G6664" s="8">
        <v>4</v>
      </c>
      <c r="H6664" s="8" t="s">
        <v>13648</v>
      </c>
      <c r="I6664" s="8">
        <v>529.875</v>
      </c>
      <c r="J6664" s="3">
        <f t="shared" si="104"/>
        <v>43747.96263780092</v>
      </c>
    </row>
    <row r="6665" spans="1:10" x14ac:dyDescent="0.25">
      <c r="A6665" s="5" t="s">
        <v>13649</v>
      </c>
      <c r="B6665" s="6">
        <v>421.875</v>
      </c>
      <c r="C6665" s="6">
        <v>20.478950000000001</v>
      </c>
      <c r="D6665" s="6">
        <v>83</v>
      </c>
      <c r="E6665" s="6">
        <v>0</v>
      </c>
      <c r="F6665" s="6">
        <v>0</v>
      </c>
      <c r="G6665" s="6">
        <v>12</v>
      </c>
      <c r="H6665" s="6" t="s">
        <v>13650</v>
      </c>
      <c r="I6665" s="6">
        <v>535.5</v>
      </c>
      <c r="J6665" s="2">
        <f t="shared" si="104"/>
        <v>43747.962709467589</v>
      </c>
    </row>
    <row r="6666" spans="1:10" x14ac:dyDescent="0.25">
      <c r="A6666" s="7" t="s">
        <v>13651</v>
      </c>
      <c r="B6666" s="8">
        <v>403.125</v>
      </c>
      <c r="C6666" s="8">
        <v>20.478950000000001</v>
      </c>
      <c r="D6666" s="8">
        <v>81</v>
      </c>
      <c r="E6666" s="8">
        <v>0</v>
      </c>
      <c r="F6666" s="8">
        <v>0</v>
      </c>
      <c r="G6666" s="8">
        <v>7</v>
      </c>
      <c r="H6666" s="8" t="s">
        <v>13652</v>
      </c>
      <c r="I6666" s="8">
        <v>529.875</v>
      </c>
      <c r="J6666" s="3">
        <f t="shared" si="104"/>
        <v>43747.962781562499</v>
      </c>
    </row>
    <row r="6667" spans="1:10" x14ac:dyDescent="0.25">
      <c r="A6667" s="5" t="s">
        <v>13653</v>
      </c>
      <c r="B6667" s="6">
        <v>403.125</v>
      </c>
      <c r="C6667" s="6">
        <v>20.478950000000001</v>
      </c>
      <c r="D6667" s="6">
        <v>81</v>
      </c>
      <c r="E6667" s="6">
        <v>0</v>
      </c>
      <c r="F6667" s="6">
        <v>0</v>
      </c>
      <c r="G6667" s="6">
        <v>11</v>
      </c>
      <c r="H6667" s="6" t="s">
        <v>13654</v>
      </c>
      <c r="I6667" s="6">
        <v>529.875</v>
      </c>
      <c r="J6667" s="2">
        <f t="shared" si="104"/>
        <v>43747.962852175922</v>
      </c>
    </row>
    <row r="6668" spans="1:10" x14ac:dyDescent="0.25">
      <c r="A6668" s="7" t="s">
        <v>13655</v>
      </c>
      <c r="B6668" s="8">
        <v>403.125</v>
      </c>
      <c r="C6668" s="8">
        <v>20.478950000000001</v>
      </c>
      <c r="D6668" s="8">
        <v>83</v>
      </c>
      <c r="E6668" s="8">
        <v>0</v>
      </c>
      <c r="F6668" s="8">
        <v>0</v>
      </c>
      <c r="G6668" s="8">
        <v>9</v>
      </c>
      <c r="H6668" s="8" t="s">
        <v>13656</v>
      </c>
      <c r="I6668" s="8">
        <v>529.875</v>
      </c>
      <c r="J6668" s="3">
        <f t="shared" si="104"/>
        <v>43747.962924317129</v>
      </c>
    </row>
    <row r="6669" spans="1:10" x14ac:dyDescent="0.25">
      <c r="A6669" s="5" t="s">
        <v>13657</v>
      </c>
      <c r="B6669" s="6">
        <v>406.25</v>
      </c>
      <c r="C6669" s="6">
        <v>20.478950000000001</v>
      </c>
      <c r="D6669" s="6">
        <v>82</v>
      </c>
      <c r="E6669" s="6">
        <v>0</v>
      </c>
      <c r="F6669" s="6">
        <v>0</v>
      </c>
      <c r="G6669" s="6">
        <v>7</v>
      </c>
      <c r="H6669" s="6" t="s">
        <v>13658</v>
      </c>
      <c r="I6669" s="6">
        <v>530.8125</v>
      </c>
      <c r="J6669" s="2">
        <f t="shared" si="104"/>
        <v>43747.962995624999</v>
      </c>
    </row>
    <row r="6670" spans="1:10" x14ac:dyDescent="0.25">
      <c r="A6670" s="7" t="s">
        <v>13659</v>
      </c>
      <c r="B6670" s="8">
        <v>406.25</v>
      </c>
      <c r="C6670" s="8">
        <v>20.478950000000001</v>
      </c>
      <c r="D6670" s="8">
        <v>83</v>
      </c>
      <c r="E6670" s="8">
        <v>0</v>
      </c>
      <c r="F6670" s="8">
        <v>0</v>
      </c>
      <c r="G6670" s="8">
        <v>0</v>
      </c>
      <c r="H6670" s="8" t="s">
        <v>13660</v>
      </c>
      <c r="I6670" s="8">
        <v>530.625</v>
      </c>
      <c r="J6670" s="3">
        <f t="shared" si="104"/>
        <v>43747.963067847224</v>
      </c>
    </row>
    <row r="6671" spans="1:10" x14ac:dyDescent="0.25">
      <c r="A6671" s="5" t="s">
        <v>13661</v>
      </c>
      <c r="B6671" s="6">
        <v>406.25</v>
      </c>
      <c r="C6671" s="6">
        <v>20.478950000000001</v>
      </c>
      <c r="D6671" s="6">
        <v>83</v>
      </c>
      <c r="E6671" s="6">
        <v>0</v>
      </c>
      <c r="F6671" s="6">
        <v>0</v>
      </c>
      <c r="G6671" s="6">
        <v>4</v>
      </c>
      <c r="H6671" s="6" t="s">
        <v>13662</v>
      </c>
      <c r="I6671" s="6">
        <v>530.625</v>
      </c>
      <c r="J6671" s="2">
        <f t="shared" si="104"/>
        <v>43747.963151111107</v>
      </c>
    </row>
    <row r="6672" spans="1:10" x14ac:dyDescent="0.25">
      <c r="A6672" s="7" t="s">
        <v>13663</v>
      </c>
      <c r="B6672" s="8">
        <v>406.25</v>
      </c>
      <c r="C6672" s="8">
        <v>20.478950000000001</v>
      </c>
      <c r="D6672" s="8">
        <v>83</v>
      </c>
      <c r="E6672" s="8">
        <v>0</v>
      </c>
      <c r="F6672" s="8">
        <v>0</v>
      </c>
      <c r="G6672" s="8">
        <v>3</v>
      </c>
      <c r="H6672" s="8" t="s">
        <v>13664</v>
      </c>
      <c r="I6672" s="8">
        <v>530.625</v>
      </c>
      <c r="J6672" s="3">
        <f t="shared" si="104"/>
        <v>43747.963232592585</v>
      </c>
    </row>
    <row r="6673" spans="1:10" x14ac:dyDescent="0.25">
      <c r="A6673" s="5" t="s">
        <v>13665</v>
      </c>
      <c r="B6673" s="6">
        <v>412.5</v>
      </c>
      <c r="C6673" s="6">
        <v>20.478950000000001</v>
      </c>
      <c r="D6673" s="6">
        <v>82</v>
      </c>
      <c r="E6673" s="6">
        <v>0</v>
      </c>
      <c r="F6673" s="6">
        <v>0</v>
      </c>
      <c r="G6673" s="6">
        <v>12</v>
      </c>
      <c r="H6673" s="6" t="s">
        <v>13666</v>
      </c>
      <c r="I6673" s="6">
        <v>532.3125</v>
      </c>
      <c r="J6673" s="2">
        <f t="shared" si="104"/>
        <v>43747.963318969902</v>
      </c>
    </row>
    <row r="6674" spans="1:10" x14ac:dyDescent="0.25">
      <c r="A6674" s="7" t="s">
        <v>13667</v>
      </c>
      <c r="B6674" s="8">
        <v>412.5</v>
      </c>
      <c r="C6674" s="8">
        <v>20.478950000000001</v>
      </c>
      <c r="D6674" s="8">
        <v>80</v>
      </c>
      <c r="E6674" s="8">
        <v>0</v>
      </c>
      <c r="F6674" s="8">
        <v>0</v>
      </c>
      <c r="G6674" s="8">
        <v>0</v>
      </c>
      <c r="H6674" s="8" t="s">
        <v>13668</v>
      </c>
      <c r="I6674" s="8">
        <v>532.3125</v>
      </c>
      <c r="J6674" s="3">
        <f t="shared" si="104"/>
        <v>43747.963401203706</v>
      </c>
    </row>
    <row r="6675" spans="1:10" x14ac:dyDescent="0.25">
      <c r="A6675" s="5" t="s">
        <v>13669</v>
      </c>
      <c r="B6675" s="6">
        <v>409.375</v>
      </c>
      <c r="C6675" s="6">
        <v>20.478950000000001</v>
      </c>
      <c r="D6675" s="6">
        <v>80</v>
      </c>
      <c r="E6675" s="6">
        <v>0</v>
      </c>
      <c r="F6675" s="6">
        <v>0</v>
      </c>
      <c r="G6675" s="6">
        <v>6</v>
      </c>
      <c r="H6675" s="6" t="s">
        <v>13670</v>
      </c>
      <c r="I6675" s="6">
        <v>531.5625</v>
      </c>
      <c r="J6675" s="2">
        <f t="shared" si="104"/>
        <v>43747.963472569441</v>
      </c>
    </row>
    <row r="6676" spans="1:10" x14ac:dyDescent="0.25">
      <c r="A6676" s="7" t="s">
        <v>13671</v>
      </c>
      <c r="B6676" s="8">
        <v>406.25</v>
      </c>
      <c r="C6676" s="8">
        <v>20.478950000000001</v>
      </c>
      <c r="D6676" s="8">
        <v>80</v>
      </c>
      <c r="E6676" s="8">
        <v>0</v>
      </c>
      <c r="F6676" s="8">
        <v>0</v>
      </c>
      <c r="G6676" s="8">
        <v>7</v>
      </c>
      <c r="H6676" s="8" t="s">
        <v>13672</v>
      </c>
      <c r="I6676" s="8">
        <v>530.625</v>
      </c>
      <c r="J6676" s="3">
        <f t="shared" si="104"/>
        <v>43747.963544722217</v>
      </c>
    </row>
    <row r="6677" spans="1:10" x14ac:dyDescent="0.25">
      <c r="A6677" s="5" t="s">
        <v>13673</v>
      </c>
      <c r="B6677" s="6">
        <v>403.125</v>
      </c>
      <c r="C6677" s="6">
        <v>20.478950000000001</v>
      </c>
      <c r="D6677" s="6">
        <v>80</v>
      </c>
      <c r="E6677" s="6">
        <v>0</v>
      </c>
      <c r="F6677" s="6">
        <v>0</v>
      </c>
      <c r="G6677" s="6">
        <v>13</v>
      </c>
      <c r="H6677" s="6" t="s">
        <v>13674</v>
      </c>
      <c r="I6677" s="6">
        <v>529.875</v>
      </c>
      <c r="J6677" s="2">
        <f t="shared" si="104"/>
        <v>43747.963631608793</v>
      </c>
    </row>
    <row r="6678" spans="1:10" x14ac:dyDescent="0.25">
      <c r="A6678" s="7" t="s">
        <v>13675</v>
      </c>
      <c r="B6678" s="8">
        <v>406.25</v>
      </c>
      <c r="C6678" s="8">
        <v>20.478950000000001</v>
      </c>
      <c r="D6678" s="8">
        <v>79</v>
      </c>
      <c r="E6678" s="8">
        <v>0</v>
      </c>
      <c r="F6678" s="8">
        <v>0</v>
      </c>
      <c r="G6678" s="8">
        <v>17</v>
      </c>
      <c r="H6678" s="8" t="s">
        <v>13676</v>
      </c>
      <c r="I6678" s="8">
        <v>530.625</v>
      </c>
      <c r="J6678" s="3">
        <f t="shared" si="104"/>
        <v>43747.963711388882</v>
      </c>
    </row>
    <row r="6679" spans="1:10" x14ac:dyDescent="0.25">
      <c r="A6679" s="5" t="s">
        <v>13677</v>
      </c>
      <c r="B6679" s="6">
        <v>406.25</v>
      </c>
      <c r="C6679" s="6">
        <v>20.478950000000001</v>
      </c>
      <c r="D6679" s="6">
        <v>79</v>
      </c>
      <c r="E6679" s="6">
        <v>0</v>
      </c>
      <c r="F6679" s="6">
        <v>0</v>
      </c>
      <c r="G6679" s="6">
        <v>8</v>
      </c>
      <c r="H6679" s="6" t="s">
        <v>13678</v>
      </c>
      <c r="I6679" s="6">
        <v>530.8125</v>
      </c>
      <c r="J6679" s="2">
        <f t="shared" si="104"/>
        <v>43747.963782615734</v>
      </c>
    </row>
    <row r="6680" spans="1:10" x14ac:dyDescent="0.25">
      <c r="A6680" s="7" t="s">
        <v>13679</v>
      </c>
      <c r="B6680" s="8">
        <v>406.25</v>
      </c>
      <c r="C6680" s="8">
        <v>20.478950000000001</v>
      </c>
      <c r="D6680" s="8">
        <v>78</v>
      </c>
      <c r="E6680" s="8">
        <v>0</v>
      </c>
      <c r="F6680" s="8">
        <v>0</v>
      </c>
      <c r="G6680" s="8">
        <v>10</v>
      </c>
      <c r="H6680" s="8" t="s">
        <v>13680</v>
      </c>
      <c r="I6680" s="8">
        <v>530.8125</v>
      </c>
      <c r="J6680" s="3">
        <f t="shared" si="104"/>
        <v>43747.963854837959</v>
      </c>
    </row>
    <row r="6681" spans="1:10" x14ac:dyDescent="0.25">
      <c r="A6681" s="5" t="s">
        <v>13681</v>
      </c>
      <c r="B6681" s="6">
        <v>406.25</v>
      </c>
      <c r="C6681" s="6">
        <v>20.478950000000001</v>
      </c>
      <c r="D6681" s="6">
        <v>78</v>
      </c>
      <c r="E6681" s="6">
        <v>0</v>
      </c>
      <c r="F6681" s="6">
        <v>0</v>
      </c>
      <c r="G6681" s="6">
        <v>5</v>
      </c>
      <c r="H6681" s="6" t="s">
        <v>13682</v>
      </c>
      <c r="I6681" s="6">
        <v>530.8125</v>
      </c>
      <c r="J6681" s="2">
        <f t="shared" si="104"/>
        <v>43747.96392621527</v>
      </c>
    </row>
    <row r="6682" spans="1:10" x14ac:dyDescent="0.25">
      <c r="A6682" s="7" t="s">
        <v>13683</v>
      </c>
      <c r="B6682" s="8">
        <v>406.25</v>
      </c>
      <c r="C6682" s="8">
        <v>20.478950000000001</v>
      </c>
      <c r="D6682" s="8">
        <v>79</v>
      </c>
      <c r="E6682" s="8">
        <v>0</v>
      </c>
      <c r="F6682" s="8">
        <v>0</v>
      </c>
      <c r="G6682" s="8">
        <v>19</v>
      </c>
      <c r="H6682" s="8" t="s">
        <v>13684</v>
      </c>
      <c r="I6682" s="8">
        <v>530.625</v>
      </c>
      <c r="J6682" s="3">
        <f t="shared" si="104"/>
        <v>43747.963997499995</v>
      </c>
    </row>
    <row r="6683" spans="1:10" x14ac:dyDescent="0.25">
      <c r="A6683" s="5" t="s">
        <v>13685</v>
      </c>
      <c r="B6683" s="6">
        <v>406.25</v>
      </c>
      <c r="C6683" s="6">
        <v>20.426300000000001</v>
      </c>
      <c r="D6683" s="6">
        <v>79</v>
      </c>
      <c r="E6683" s="6">
        <v>0</v>
      </c>
      <c r="F6683" s="6">
        <v>0</v>
      </c>
      <c r="G6683" s="6">
        <v>13</v>
      </c>
      <c r="H6683" s="6" t="s">
        <v>13686</v>
      </c>
      <c r="I6683" s="6">
        <v>530.8125</v>
      </c>
      <c r="J6683" s="2">
        <f t="shared" si="104"/>
        <v>43747.964080879632</v>
      </c>
    </row>
    <row r="6684" spans="1:10" x14ac:dyDescent="0.25">
      <c r="A6684" s="7" t="s">
        <v>13687</v>
      </c>
      <c r="B6684" s="8">
        <v>409.375</v>
      </c>
      <c r="C6684" s="8">
        <v>20.478950000000001</v>
      </c>
      <c r="D6684" s="8">
        <v>79</v>
      </c>
      <c r="E6684" s="8">
        <v>0</v>
      </c>
      <c r="F6684" s="8">
        <v>0</v>
      </c>
      <c r="G6684" s="8">
        <v>3</v>
      </c>
      <c r="H6684" s="8" t="s">
        <v>13688</v>
      </c>
      <c r="I6684" s="8">
        <v>531.5625</v>
      </c>
      <c r="J6684" s="3">
        <f t="shared" si="104"/>
        <v>43747.964153009256</v>
      </c>
    </row>
    <row r="6685" spans="1:10" x14ac:dyDescent="0.25">
      <c r="A6685" s="5" t="s">
        <v>13689</v>
      </c>
      <c r="B6685" s="6">
        <v>409.375</v>
      </c>
      <c r="C6685" s="6">
        <v>20.478950000000001</v>
      </c>
      <c r="D6685" s="6">
        <v>79</v>
      </c>
      <c r="E6685" s="6">
        <v>0</v>
      </c>
      <c r="F6685" s="6">
        <v>0</v>
      </c>
      <c r="G6685" s="6">
        <v>8</v>
      </c>
      <c r="H6685" s="6" t="s">
        <v>13690</v>
      </c>
      <c r="I6685" s="6">
        <v>531.5625</v>
      </c>
      <c r="J6685" s="2">
        <f t="shared" si="104"/>
        <v>43747.964224293981</v>
      </c>
    </row>
    <row r="6686" spans="1:10" x14ac:dyDescent="0.25">
      <c r="A6686" s="7" t="s">
        <v>13691</v>
      </c>
      <c r="B6686" s="8">
        <v>409.375</v>
      </c>
      <c r="C6686" s="8">
        <v>20.478950000000001</v>
      </c>
      <c r="D6686" s="8">
        <v>78</v>
      </c>
      <c r="E6686" s="8">
        <v>0</v>
      </c>
      <c r="F6686" s="8">
        <v>0</v>
      </c>
      <c r="G6686" s="8">
        <v>14</v>
      </c>
      <c r="H6686" s="8" t="s">
        <v>13692</v>
      </c>
      <c r="I6686" s="8">
        <v>531.375</v>
      </c>
      <c r="J6686" s="3">
        <f t="shared" si="104"/>
        <v>43747.964295648148</v>
      </c>
    </row>
    <row r="6687" spans="1:10" x14ac:dyDescent="0.25">
      <c r="A6687" s="5" t="s">
        <v>13693</v>
      </c>
      <c r="B6687" s="6">
        <v>409.375</v>
      </c>
      <c r="C6687" s="6">
        <v>20.478950000000001</v>
      </c>
      <c r="D6687" s="6">
        <v>80</v>
      </c>
      <c r="E6687" s="6">
        <v>0</v>
      </c>
      <c r="F6687" s="6">
        <v>0</v>
      </c>
      <c r="G6687" s="6">
        <v>9</v>
      </c>
      <c r="H6687" s="6" t="s">
        <v>13694</v>
      </c>
      <c r="I6687" s="6">
        <v>531.5625</v>
      </c>
      <c r="J6687" s="2">
        <f t="shared" si="104"/>
        <v>43747.964366932873</v>
      </c>
    </row>
    <row r="6688" spans="1:10" x14ac:dyDescent="0.25">
      <c r="A6688" s="7" t="s">
        <v>13695</v>
      </c>
      <c r="B6688" s="8">
        <v>409.375</v>
      </c>
      <c r="C6688" s="8">
        <v>20.478950000000001</v>
      </c>
      <c r="D6688" s="8">
        <v>81</v>
      </c>
      <c r="E6688" s="8">
        <v>0</v>
      </c>
      <c r="F6688" s="8">
        <v>0</v>
      </c>
      <c r="G6688" s="8">
        <v>8</v>
      </c>
      <c r="H6688" s="8" t="s">
        <v>13696</v>
      </c>
      <c r="I6688" s="8">
        <v>531.5625</v>
      </c>
      <c r="J6688" s="3">
        <f t="shared" si="104"/>
        <v>43747.964439166659</v>
      </c>
    </row>
    <row r="6689" spans="1:10" x14ac:dyDescent="0.25">
      <c r="A6689" s="5" t="s">
        <v>13697</v>
      </c>
      <c r="B6689" s="6">
        <v>428.125</v>
      </c>
      <c r="C6689" s="6">
        <v>20.478950000000001</v>
      </c>
      <c r="D6689" s="6">
        <v>79</v>
      </c>
      <c r="E6689" s="6">
        <v>0</v>
      </c>
      <c r="F6689" s="6">
        <v>0</v>
      </c>
      <c r="G6689" s="6">
        <v>9</v>
      </c>
      <c r="H6689" s="6" t="s">
        <v>13698</v>
      </c>
      <c r="I6689" s="6">
        <v>537</v>
      </c>
      <c r="J6689" s="2">
        <f t="shared" si="104"/>
        <v>43747.964521909722</v>
      </c>
    </row>
    <row r="6690" spans="1:10" x14ac:dyDescent="0.25">
      <c r="A6690" s="7" t="s">
        <v>13699</v>
      </c>
      <c r="B6690" s="8">
        <v>403.125</v>
      </c>
      <c r="C6690" s="8">
        <v>20.478950000000001</v>
      </c>
      <c r="D6690" s="8">
        <v>78</v>
      </c>
      <c r="E6690" s="8">
        <v>0</v>
      </c>
      <c r="F6690" s="8">
        <v>0</v>
      </c>
      <c r="G6690" s="8">
        <v>13</v>
      </c>
      <c r="H6690" s="8" t="s">
        <v>13700</v>
      </c>
      <c r="I6690" s="8">
        <v>529.875</v>
      </c>
      <c r="J6690" s="3">
        <f t="shared" si="104"/>
        <v>43747.964605821755</v>
      </c>
    </row>
    <row r="6691" spans="1:10" x14ac:dyDescent="0.25">
      <c r="A6691" s="5" t="s">
        <v>13701</v>
      </c>
      <c r="B6691" s="6">
        <v>406.25</v>
      </c>
      <c r="C6691" s="6">
        <v>20.478950000000001</v>
      </c>
      <c r="D6691" s="6">
        <v>79</v>
      </c>
      <c r="E6691" s="6">
        <v>0</v>
      </c>
      <c r="F6691" s="6">
        <v>0</v>
      </c>
      <c r="G6691" s="6">
        <v>12</v>
      </c>
      <c r="H6691" s="6" t="s">
        <v>13702</v>
      </c>
      <c r="I6691" s="6">
        <v>530.0625</v>
      </c>
      <c r="J6691" s="2">
        <f t="shared" si="104"/>
        <v>43747.964677129632</v>
      </c>
    </row>
    <row r="6692" spans="1:10" x14ac:dyDescent="0.25">
      <c r="A6692" s="7" t="s">
        <v>13703</v>
      </c>
      <c r="B6692" s="8">
        <v>403.125</v>
      </c>
      <c r="C6692" s="8">
        <v>20.478950000000001</v>
      </c>
      <c r="D6692" s="8">
        <v>79</v>
      </c>
      <c r="E6692" s="8">
        <v>0</v>
      </c>
      <c r="F6692" s="8">
        <v>0</v>
      </c>
      <c r="G6692" s="8">
        <v>1</v>
      </c>
      <c r="H6692" s="8" t="s">
        <v>13704</v>
      </c>
      <c r="I6692" s="8">
        <v>529.875</v>
      </c>
      <c r="J6692" s="3">
        <f t="shared" si="104"/>
        <v>43747.964748437495</v>
      </c>
    </row>
    <row r="6693" spans="1:10" x14ac:dyDescent="0.25">
      <c r="A6693" s="5" t="s">
        <v>13705</v>
      </c>
      <c r="B6693" s="6">
        <v>400</v>
      </c>
      <c r="C6693" s="6">
        <v>20.478950000000001</v>
      </c>
      <c r="D6693" s="6">
        <v>79</v>
      </c>
      <c r="E6693" s="6">
        <v>0</v>
      </c>
      <c r="F6693" s="6">
        <v>0</v>
      </c>
      <c r="G6693" s="6">
        <v>2</v>
      </c>
      <c r="H6693" s="6" t="s">
        <v>13706</v>
      </c>
      <c r="I6693" s="6">
        <v>528.9375</v>
      </c>
      <c r="J6693" s="2">
        <f t="shared" si="104"/>
        <v>43747.964820659719</v>
      </c>
    </row>
    <row r="6694" spans="1:10" x14ac:dyDescent="0.25">
      <c r="A6694" s="7" t="s">
        <v>13707</v>
      </c>
      <c r="B6694" s="8">
        <v>403.125</v>
      </c>
      <c r="C6694" s="8">
        <v>20.478950000000001</v>
      </c>
      <c r="D6694" s="8">
        <v>80</v>
      </c>
      <c r="E6694" s="8">
        <v>0</v>
      </c>
      <c r="F6694" s="8">
        <v>0</v>
      </c>
      <c r="G6694" s="8">
        <v>8</v>
      </c>
      <c r="H6694" s="8" t="s">
        <v>13708</v>
      </c>
      <c r="I6694" s="8">
        <v>529.125</v>
      </c>
      <c r="J6694" s="3">
        <f t="shared" si="104"/>
        <v>43747.964892222219</v>
      </c>
    </row>
    <row r="6695" spans="1:10" x14ac:dyDescent="0.25">
      <c r="A6695" s="5" t="s">
        <v>13709</v>
      </c>
      <c r="B6695" s="6">
        <v>400</v>
      </c>
      <c r="C6695" s="6">
        <v>20.478950000000001</v>
      </c>
      <c r="D6695" s="6">
        <v>80</v>
      </c>
      <c r="E6695" s="6">
        <v>0</v>
      </c>
      <c r="F6695" s="6">
        <v>0</v>
      </c>
      <c r="G6695" s="6">
        <v>10</v>
      </c>
      <c r="H6695" s="6" t="s">
        <v>13710</v>
      </c>
      <c r="I6695" s="6">
        <v>528.1875</v>
      </c>
      <c r="J6695" s="2">
        <f t="shared" si="104"/>
        <v>43747.964975277777</v>
      </c>
    </row>
    <row r="6696" spans="1:10" x14ac:dyDescent="0.25">
      <c r="A6696" s="7" t="s">
        <v>13711</v>
      </c>
      <c r="B6696" s="8">
        <v>396.875</v>
      </c>
      <c r="C6696" s="8">
        <v>20.478950000000001</v>
      </c>
      <c r="D6696" s="8">
        <v>80</v>
      </c>
      <c r="E6696" s="8">
        <v>0</v>
      </c>
      <c r="F6696" s="8">
        <v>0</v>
      </c>
      <c r="G6696" s="8">
        <v>16</v>
      </c>
      <c r="H6696" s="8" t="s">
        <v>13712</v>
      </c>
      <c r="I6696" s="8">
        <v>527.4375</v>
      </c>
      <c r="J6696" s="3">
        <f t="shared" si="104"/>
        <v>43747.965058599533</v>
      </c>
    </row>
    <row r="6697" spans="1:10" x14ac:dyDescent="0.25">
      <c r="A6697" s="5" t="s">
        <v>13713</v>
      </c>
      <c r="B6697" s="6">
        <v>396.875</v>
      </c>
      <c r="C6697" s="6">
        <v>20.478950000000001</v>
      </c>
      <c r="D6697" s="6">
        <v>79</v>
      </c>
      <c r="E6697" s="6">
        <v>0</v>
      </c>
      <c r="F6697" s="6">
        <v>0</v>
      </c>
      <c r="G6697" s="6">
        <v>11</v>
      </c>
      <c r="H6697" s="6" t="s">
        <v>13714</v>
      </c>
      <c r="I6697" s="6">
        <v>527.4375</v>
      </c>
      <c r="J6697" s="2">
        <f t="shared" si="104"/>
        <v>43747.965130844903</v>
      </c>
    </row>
    <row r="6698" spans="1:10" x14ac:dyDescent="0.25">
      <c r="A6698" s="7" t="s">
        <v>13715</v>
      </c>
      <c r="B6698" s="8">
        <v>396.875</v>
      </c>
      <c r="C6698" s="8">
        <v>20.478950000000001</v>
      </c>
      <c r="D6698" s="8">
        <v>79</v>
      </c>
      <c r="E6698" s="8">
        <v>0</v>
      </c>
      <c r="F6698" s="8">
        <v>0</v>
      </c>
      <c r="G6698" s="8">
        <v>7</v>
      </c>
      <c r="H6698" s="8" t="s">
        <v>13716</v>
      </c>
      <c r="I6698" s="8">
        <v>527.4375</v>
      </c>
      <c r="J6698" s="3">
        <f t="shared" si="104"/>
        <v>43747.965202210646</v>
      </c>
    </row>
    <row r="6699" spans="1:10" x14ac:dyDescent="0.25">
      <c r="A6699" s="5" t="s">
        <v>13717</v>
      </c>
      <c r="B6699" s="6">
        <v>396.875</v>
      </c>
      <c r="C6699" s="6">
        <v>20.426300000000001</v>
      </c>
      <c r="D6699" s="6">
        <v>79</v>
      </c>
      <c r="E6699" s="6">
        <v>0</v>
      </c>
      <c r="F6699" s="6">
        <v>0</v>
      </c>
      <c r="G6699" s="6">
        <v>5</v>
      </c>
      <c r="H6699" s="6" t="s">
        <v>13718</v>
      </c>
      <c r="I6699" s="6">
        <v>527.625</v>
      </c>
      <c r="J6699" s="2">
        <f t="shared" si="104"/>
        <v>43747.965273611109</v>
      </c>
    </row>
    <row r="6700" spans="1:10" x14ac:dyDescent="0.25">
      <c r="A6700" s="7" t="s">
        <v>13719</v>
      </c>
      <c r="B6700" s="8">
        <v>396.875</v>
      </c>
      <c r="C6700" s="8">
        <v>20.478950000000001</v>
      </c>
      <c r="D6700" s="8">
        <v>79</v>
      </c>
      <c r="E6700" s="8">
        <v>0</v>
      </c>
      <c r="F6700" s="8">
        <v>0</v>
      </c>
      <c r="G6700" s="8">
        <v>7</v>
      </c>
      <c r="H6700" s="8" t="s">
        <v>13720</v>
      </c>
      <c r="I6700" s="8">
        <v>527.4375</v>
      </c>
      <c r="J6700" s="3">
        <f t="shared" si="104"/>
        <v>43747.965356747685</v>
      </c>
    </row>
    <row r="6701" spans="1:10" x14ac:dyDescent="0.25">
      <c r="A6701" s="5" t="s">
        <v>13721</v>
      </c>
      <c r="B6701" s="6">
        <v>396.875</v>
      </c>
      <c r="C6701" s="6">
        <v>20.478950000000001</v>
      </c>
      <c r="D6701" s="6">
        <v>79</v>
      </c>
      <c r="E6701" s="6">
        <v>0</v>
      </c>
      <c r="F6701" s="6">
        <v>0</v>
      </c>
      <c r="G6701" s="6">
        <v>0</v>
      </c>
      <c r="H6701" s="6" t="s">
        <v>13722</v>
      </c>
      <c r="I6701" s="6">
        <v>527.4375</v>
      </c>
      <c r="J6701" s="2">
        <f t="shared" si="104"/>
        <v>43747.965428182863</v>
      </c>
    </row>
    <row r="6702" spans="1:10" x14ac:dyDescent="0.25">
      <c r="A6702" s="7" t="s">
        <v>13723</v>
      </c>
      <c r="B6702" s="8">
        <v>396.875</v>
      </c>
      <c r="C6702" s="8">
        <v>20.478950000000001</v>
      </c>
      <c r="D6702" s="8">
        <v>80</v>
      </c>
      <c r="E6702" s="8">
        <v>0</v>
      </c>
      <c r="F6702" s="8">
        <v>0</v>
      </c>
      <c r="G6702" s="8">
        <v>3</v>
      </c>
      <c r="H6702" s="8" t="s">
        <v>13724</v>
      </c>
      <c r="I6702" s="8">
        <v>527.4375</v>
      </c>
      <c r="J6702" s="3">
        <f t="shared" si="104"/>
        <v>43747.965512418981</v>
      </c>
    </row>
    <row r="6703" spans="1:10" x14ac:dyDescent="0.25">
      <c r="A6703" s="5" t="s">
        <v>13725</v>
      </c>
      <c r="B6703" s="6">
        <v>396.875</v>
      </c>
      <c r="C6703" s="6">
        <v>20.426300000000001</v>
      </c>
      <c r="D6703" s="6">
        <v>80</v>
      </c>
      <c r="E6703" s="6">
        <v>0</v>
      </c>
      <c r="F6703" s="6">
        <v>0</v>
      </c>
      <c r="G6703" s="6">
        <v>15</v>
      </c>
      <c r="H6703" s="6" t="s">
        <v>13726</v>
      </c>
      <c r="I6703" s="6">
        <v>527.4375</v>
      </c>
      <c r="J6703" s="2">
        <f t="shared" si="104"/>
        <v>43747.965583726851</v>
      </c>
    </row>
    <row r="6704" spans="1:10" x14ac:dyDescent="0.25">
      <c r="A6704" s="7" t="s">
        <v>13727</v>
      </c>
      <c r="B6704" s="8">
        <v>393.75</v>
      </c>
      <c r="C6704" s="8">
        <v>20.478950000000001</v>
      </c>
      <c r="D6704" s="8">
        <v>81</v>
      </c>
      <c r="E6704" s="8">
        <v>0</v>
      </c>
      <c r="F6704" s="8">
        <v>0</v>
      </c>
      <c r="G6704" s="8">
        <v>11</v>
      </c>
      <c r="H6704" s="8" t="s">
        <v>13728</v>
      </c>
      <c r="I6704" s="8">
        <v>526.6875</v>
      </c>
      <c r="J6704" s="3">
        <f t="shared" si="104"/>
        <v>43747.965655057873</v>
      </c>
    </row>
    <row r="6705" spans="1:10" x14ac:dyDescent="0.25">
      <c r="A6705" s="5" t="s">
        <v>13729</v>
      </c>
      <c r="B6705" s="6">
        <v>396.875</v>
      </c>
      <c r="C6705" s="6">
        <v>20.478950000000001</v>
      </c>
      <c r="D6705" s="6">
        <v>80</v>
      </c>
      <c r="E6705" s="6">
        <v>0</v>
      </c>
      <c r="F6705" s="6">
        <v>0</v>
      </c>
      <c r="G6705" s="6">
        <v>0</v>
      </c>
      <c r="H6705" s="6" t="s">
        <v>13730</v>
      </c>
      <c r="I6705" s="6">
        <v>527.4375</v>
      </c>
      <c r="J6705" s="2">
        <f t="shared" si="104"/>
        <v>43747.965726307862</v>
      </c>
    </row>
    <row r="6706" spans="1:10" x14ac:dyDescent="0.25">
      <c r="A6706" s="7" t="s">
        <v>13731</v>
      </c>
      <c r="B6706" s="8">
        <v>396.875</v>
      </c>
      <c r="C6706" s="8">
        <v>20.478950000000001</v>
      </c>
      <c r="D6706" s="8">
        <v>80</v>
      </c>
      <c r="E6706" s="8">
        <v>0</v>
      </c>
      <c r="F6706" s="8">
        <v>0</v>
      </c>
      <c r="G6706" s="8">
        <v>8</v>
      </c>
      <c r="H6706" s="8" t="s">
        <v>13732</v>
      </c>
      <c r="I6706" s="8">
        <v>527.4375</v>
      </c>
      <c r="J6706" s="3">
        <f t="shared" si="104"/>
        <v>43747.965798425925</v>
      </c>
    </row>
    <row r="6707" spans="1:10" x14ac:dyDescent="0.25">
      <c r="A6707" s="5" t="s">
        <v>13733</v>
      </c>
      <c r="B6707" s="6">
        <v>393.75</v>
      </c>
      <c r="C6707" s="6">
        <v>20.478950000000001</v>
      </c>
      <c r="D6707" s="6">
        <v>79</v>
      </c>
      <c r="E6707" s="6">
        <v>0</v>
      </c>
      <c r="F6707" s="6">
        <v>0</v>
      </c>
      <c r="G6707" s="6">
        <v>16</v>
      </c>
      <c r="H6707" s="6" t="s">
        <v>13734</v>
      </c>
      <c r="I6707" s="6">
        <v>526.6875</v>
      </c>
      <c r="J6707" s="2">
        <f t="shared" si="104"/>
        <v>43747.965881701391</v>
      </c>
    </row>
    <row r="6708" spans="1:10" x14ac:dyDescent="0.25">
      <c r="A6708" s="7" t="s">
        <v>13735</v>
      </c>
      <c r="B6708" s="8">
        <v>396.875</v>
      </c>
      <c r="C6708" s="8">
        <v>20.478950000000001</v>
      </c>
      <c r="D6708" s="8">
        <v>79</v>
      </c>
      <c r="E6708" s="8">
        <v>0</v>
      </c>
      <c r="F6708" s="8">
        <v>0</v>
      </c>
      <c r="G6708" s="8">
        <v>11</v>
      </c>
      <c r="H6708" s="8" t="s">
        <v>13736</v>
      </c>
      <c r="I6708" s="8">
        <v>527.4375</v>
      </c>
      <c r="J6708" s="3">
        <f t="shared" si="104"/>
        <v>43747.965953067127</v>
      </c>
    </row>
    <row r="6709" spans="1:10" x14ac:dyDescent="0.25">
      <c r="A6709" s="5" t="s">
        <v>13737</v>
      </c>
      <c r="B6709" s="6">
        <v>412.5</v>
      </c>
      <c r="C6709" s="6">
        <v>20.478950000000001</v>
      </c>
      <c r="D6709" s="6">
        <v>80</v>
      </c>
      <c r="E6709" s="6">
        <v>0</v>
      </c>
      <c r="F6709" s="6">
        <v>0</v>
      </c>
      <c r="G6709" s="6">
        <v>7</v>
      </c>
      <c r="H6709" s="6" t="s">
        <v>13738</v>
      </c>
      <c r="I6709" s="6">
        <v>532.3125</v>
      </c>
      <c r="J6709" s="2">
        <f t="shared" si="104"/>
        <v>43747.966024502311</v>
      </c>
    </row>
    <row r="6710" spans="1:10" x14ac:dyDescent="0.25">
      <c r="A6710" s="7" t="s">
        <v>13739</v>
      </c>
      <c r="B6710" s="8">
        <v>393.75</v>
      </c>
      <c r="C6710" s="8">
        <v>20.478950000000001</v>
      </c>
      <c r="D6710" s="8">
        <v>80</v>
      </c>
      <c r="E6710" s="8">
        <v>0</v>
      </c>
      <c r="F6710" s="8">
        <v>0</v>
      </c>
      <c r="G6710" s="8">
        <v>12</v>
      </c>
      <c r="H6710" s="8" t="s">
        <v>13740</v>
      </c>
      <c r="I6710" s="8">
        <v>526.6875</v>
      </c>
      <c r="J6710" s="3">
        <f t="shared" si="104"/>
        <v>43747.966095706019</v>
      </c>
    </row>
    <row r="6711" spans="1:10" x14ac:dyDescent="0.25">
      <c r="A6711" s="5" t="s">
        <v>13741</v>
      </c>
      <c r="B6711" s="6">
        <v>393.75</v>
      </c>
      <c r="C6711" s="6">
        <v>20.478950000000001</v>
      </c>
      <c r="D6711" s="6">
        <v>79</v>
      </c>
      <c r="E6711" s="6">
        <v>0</v>
      </c>
      <c r="F6711" s="6">
        <v>0</v>
      </c>
      <c r="G6711" s="6">
        <v>4</v>
      </c>
      <c r="H6711" s="6" t="s">
        <v>13742</v>
      </c>
      <c r="I6711" s="6">
        <v>526.5</v>
      </c>
      <c r="J6711" s="2">
        <f t="shared" si="104"/>
        <v>43747.966179907402</v>
      </c>
    </row>
    <row r="6712" spans="1:10" x14ac:dyDescent="0.25">
      <c r="A6712" s="7" t="s">
        <v>13743</v>
      </c>
      <c r="B6712" s="8">
        <v>393.75</v>
      </c>
      <c r="C6712" s="8">
        <v>20.478950000000001</v>
      </c>
      <c r="D6712" s="8">
        <v>80</v>
      </c>
      <c r="E6712" s="8">
        <v>0</v>
      </c>
      <c r="F6712" s="8">
        <v>0</v>
      </c>
      <c r="G6712" s="8">
        <v>12</v>
      </c>
      <c r="H6712" s="8" t="s">
        <v>13744</v>
      </c>
      <c r="I6712" s="8">
        <v>526.6875</v>
      </c>
      <c r="J6712" s="3">
        <f t="shared" si="104"/>
        <v>43747.966251354163</v>
      </c>
    </row>
    <row r="6713" spans="1:10" x14ac:dyDescent="0.25">
      <c r="A6713" s="5" t="s">
        <v>13745</v>
      </c>
      <c r="B6713" s="6">
        <v>393.75</v>
      </c>
      <c r="C6713" s="6">
        <v>20.478950000000001</v>
      </c>
      <c r="D6713" s="6">
        <v>83</v>
      </c>
      <c r="E6713" s="6">
        <v>0</v>
      </c>
      <c r="F6713" s="6">
        <v>0</v>
      </c>
      <c r="G6713" s="6">
        <v>3</v>
      </c>
      <c r="H6713" s="6" t="s">
        <v>13746</v>
      </c>
      <c r="I6713" s="6">
        <v>526.6875</v>
      </c>
      <c r="J6713" s="2">
        <f t="shared" si="104"/>
        <v>43747.966322499997</v>
      </c>
    </row>
    <row r="6714" spans="1:10" x14ac:dyDescent="0.25">
      <c r="A6714" s="7" t="s">
        <v>13747</v>
      </c>
      <c r="B6714" s="8">
        <v>393.75</v>
      </c>
      <c r="C6714" s="8">
        <v>20.478950000000001</v>
      </c>
      <c r="D6714" s="8">
        <v>83</v>
      </c>
      <c r="E6714" s="8">
        <v>0</v>
      </c>
      <c r="F6714" s="8">
        <v>0</v>
      </c>
      <c r="G6714" s="8">
        <v>0</v>
      </c>
      <c r="H6714" s="8" t="s">
        <v>13748</v>
      </c>
      <c r="I6714" s="8">
        <v>526.6875</v>
      </c>
      <c r="J6714" s="3">
        <f t="shared" si="104"/>
        <v>43747.966408078697</v>
      </c>
    </row>
    <row r="6715" spans="1:10" x14ac:dyDescent="0.25">
      <c r="A6715" s="5" t="s">
        <v>13749</v>
      </c>
      <c r="B6715" s="6">
        <v>393.75</v>
      </c>
      <c r="C6715" s="6">
        <v>20.478950000000001</v>
      </c>
      <c r="D6715" s="6">
        <v>83</v>
      </c>
      <c r="E6715" s="6">
        <v>0</v>
      </c>
      <c r="F6715" s="6">
        <v>0</v>
      </c>
      <c r="G6715" s="6">
        <v>2</v>
      </c>
      <c r="H6715" s="6" t="s">
        <v>13750</v>
      </c>
      <c r="I6715" s="6">
        <v>526.6875</v>
      </c>
      <c r="J6715" s="2">
        <f t="shared" si="104"/>
        <v>43747.966490104161</v>
      </c>
    </row>
    <row r="6716" spans="1:10" x14ac:dyDescent="0.25">
      <c r="A6716" s="7" t="s">
        <v>13751</v>
      </c>
      <c r="B6716" s="8">
        <v>393.75</v>
      </c>
      <c r="C6716" s="8">
        <v>20.478950000000001</v>
      </c>
      <c r="D6716" s="8">
        <v>83</v>
      </c>
      <c r="E6716" s="8">
        <v>0</v>
      </c>
      <c r="F6716" s="8">
        <v>0</v>
      </c>
      <c r="G6716" s="8">
        <v>16</v>
      </c>
      <c r="H6716" s="8" t="s">
        <v>13752</v>
      </c>
      <c r="I6716" s="8">
        <v>526.6875</v>
      </c>
      <c r="J6716" s="3">
        <f t="shared" si="104"/>
        <v>43747.966561400455</v>
      </c>
    </row>
    <row r="6717" spans="1:10" x14ac:dyDescent="0.25">
      <c r="A6717" s="5" t="s">
        <v>13753</v>
      </c>
      <c r="B6717" s="6">
        <v>393.75</v>
      </c>
      <c r="C6717" s="6">
        <v>20.478950000000001</v>
      </c>
      <c r="D6717" s="6">
        <v>82</v>
      </c>
      <c r="E6717" s="6">
        <v>0</v>
      </c>
      <c r="F6717" s="6">
        <v>0</v>
      </c>
      <c r="G6717" s="6">
        <v>7</v>
      </c>
      <c r="H6717" s="6" t="s">
        <v>13754</v>
      </c>
      <c r="I6717" s="6">
        <v>526.6875</v>
      </c>
      <c r="J6717" s="2">
        <f t="shared" si="104"/>
        <v>43747.96663268518</v>
      </c>
    </row>
    <row r="6718" spans="1:10" x14ac:dyDescent="0.25">
      <c r="A6718" s="7" t="s">
        <v>13755</v>
      </c>
      <c r="B6718" s="8">
        <v>393.75</v>
      </c>
      <c r="C6718" s="8">
        <v>20.478950000000001</v>
      </c>
      <c r="D6718" s="8">
        <v>82</v>
      </c>
      <c r="E6718" s="8">
        <v>0</v>
      </c>
      <c r="F6718" s="8">
        <v>0</v>
      </c>
      <c r="G6718" s="8">
        <v>7</v>
      </c>
      <c r="H6718" s="8" t="s">
        <v>13756</v>
      </c>
      <c r="I6718" s="8">
        <v>526.6875</v>
      </c>
      <c r="J6718" s="3">
        <f t="shared" si="104"/>
        <v>43747.966704745369</v>
      </c>
    </row>
    <row r="6719" spans="1:10" x14ac:dyDescent="0.25">
      <c r="A6719" s="5" t="s">
        <v>13757</v>
      </c>
      <c r="B6719" s="6">
        <v>393.75</v>
      </c>
      <c r="C6719" s="6">
        <v>20.478950000000001</v>
      </c>
      <c r="D6719" s="6">
        <v>82</v>
      </c>
      <c r="E6719" s="6">
        <v>0</v>
      </c>
      <c r="F6719" s="6">
        <v>0</v>
      </c>
      <c r="G6719" s="6">
        <v>0</v>
      </c>
      <c r="H6719" s="6" t="s">
        <v>13758</v>
      </c>
      <c r="I6719" s="6">
        <v>526.6875</v>
      </c>
      <c r="J6719" s="2">
        <f t="shared" si="104"/>
        <v>43747.966775474539</v>
      </c>
    </row>
    <row r="6720" spans="1:10" x14ac:dyDescent="0.25">
      <c r="A6720" s="7" t="s">
        <v>13759</v>
      </c>
      <c r="B6720" s="8">
        <v>393.75</v>
      </c>
      <c r="C6720" s="8">
        <v>20.478950000000001</v>
      </c>
      <c r="D6720" s="8">
        <v>82</v>
      </c>
      <c r="E6720" s="8">
        <v>0</v>
      </c>
      <c r="F6720" s="8">
        <v>0</v>
      </c>
      <c r="G6720" s="8">
        <v>9</v>
      </c>
      <c r="H6720" s="8" t="s">
        <v>13760</v>
      </c>
      <c r="I6720" s="8">
        <v>526.6875</v>
      </c>
      <c r="J6720" s="3">
        <f t="shared" si="104"/>
        <v>43747.9668475</v>
      </c>
    </row>
    <row r="6721" spans="1:10" x14ac:dyDescent="0.25">
      <c r="A6721" s="5" t="s">
        <v>13761</v>
      </c>
      <c r="B6721" s="6">
        <v>393.75</v>
      </c>
      <c r="C6721" s="6">
        <v>20.478950000000001</v>
      </c>
      <c r="D6721" s="6">
        <v>85</v>
      </c>
      <c r="E6721" s="6">
        <v>0</v>
      </c>
      <c r="F6721" s="6">
        <v>0</v>
      </c>
      <c r="G6721" s="6">
        <v>15</v>
      </c>
      <c r="H6721" s="6" t="s">
        <v>13762</v>
      </c>
      <c r="I6721" s="6">
        <v>526.6875</v>
      </c>
      <c r="J6721" s="2">
        <f t="shared" si="104"/>
        <v>43747.966918831014</v>
      </c>
    </row>
    <row r="6722" spans="1:10" x14ac:dyDescent="0.25">
      <c r="A6722" s="7" t="s">
        <v>13763</v>
      </c>
      <c r="B6722" s="8">
        <v>393.75</v>
      </c>
      <c r="C6722" s="8">
        <v>20.478950000000001</v>
      </c>
      <c r="D6722" s="8">
        <v>84</v>
      </c>
      <c r="E6722" s="8">
        <v>0</v>
      </c>
      <c r="F6722" s="8">
        <v>0</v>
      </c>
      <c r="G6722" s="8">
        <v>1</v>
      </c>
      <c r="H6722" s="8" t="s">
        <v>13764</v>
      </c>
      <c r="I6722" s="8">
        <v>526.6875</v>
      </c>
      <c r="J6722" s="3">
        <f t="shared" ref="J6722:J6785" si="105">(H6722/86400000)+25569+(7/24)</f>
        <v>43747.967002268517</v>
      </c>
    </row>
    <row r="6723" spans="1:10" x14ac:dyDescent="0.25">
      <c r="A6723" s="5" t="s">
        <v>13765</v>
      </c>
      <c r="B6723" s="6">
        <v>412.5</v>
      </c>
      <c r="C6723" s="6">
        <v>20.478950000000001</v>
      </c>
      <c r="D6723" s="6">
        <v>83</v>
      </c>
      <c r="E6723" s="6">
        <v>0</v>
      </c>
      <c r="F6723" s="6">
        <v>0</v>
      </c>
      <c r="G6723" s="6">
        <v>3</v>
      </c>
      <c r="H6723" s="6" t="s">
        <v>13766</v>
      </c>
      <c r="I6723" s="6">
        <v>532.3125</v>
      </c>
      <c r="J6723" s="2">
        <f t="shared" si="105"/>
        <v>43747.967074386572</v>
      </c>
    </row>
    <row r="6724" spans="1:10" x14ac:dyDescent="0.25">
      <c r="A6724" s="7" t="s">
        <v>13767</v>
      </c>
      <c r="B6724" s="8">
        <v>393.75</v>
      </c>
      <c r="C6724" s="8">
        <v>20.478950000000001</v>
      </c>
      <c r="D6724" s="8">
        <v>83</v>
      </c>
      <c r="E6724" s="8">
        <v>0</v>
      </c>
      <c r="F6724" s="8">
        <v>0</v>
      </c>
      <c r="G6724" s="8">
        <v>10</v>
      </c>
      <c r="H6724" s="8" t="s">
        <v>13768</v>
      </c>
      <c r="I6724" s="8">
        <v>526.6875</v>
      </c>
      <c r="J6724" s="3">
        <f t="shared" si="105"/>
        <v>43747.967145648145</v>
      </c>
    </row>
    <row r="6725" spans="1:10" x14ac:dyDescent="0.25">
      <c r="A6725" s="5" t="s">
        <v>13769</v>
      </c>
      <c r="B6725" s="6">
        <v>393.75</v>
      </c>
      <c r="C6725" s="6">
        <v>20.478950000000001</v>
      </c>
      <c r="D6725" s="6">
        <v>83</v>
      </c>
      <c r="E6725" s="6">
        <v>0</v>
      </c>
      <c r="F6725" s="6">
        <v>0</v>
      </c>
      <c r="G6725" s="6">
        <v>7</v>
      </c>
      <c r="H6725" s="6" t="s">
        <v>13770</v>
      </c>
      <c r="I6725" s="6">
        <v>526.6875</v>
      </c>
      <c r="J6725" s="2">
        <f t="shared" si="105"/>
        <v>43747.967217060184</v>
      </c>
    </row>
    <row r="6726" spans="1:10" x14ac:dyDescent="0.25">
      <c r="A6726" s="7" t="s">
        <v>13771</v>
      </c>
      <c r="B6726" s="8">
        <v>393.75</v>
      </c>
      <c r="C6726" s="8">
        <v>20.478950000000001</v>
      </c>
      <c r="D6726" s="8">
        <v>82</v>
      </c>
      <c r="E6726" s="8">
        <v>0</v>
      </c>
      <c r="F6726" s="8">
        <v>0</v>
      </c>
      <c r="G6726" s="8">
        <v>8</v>
      </c>
      <c r="H6726" s="8" t="s">
        <v>13772</v>
      </c>
      <c r="I6726" s="8">
        <v>526.5</v>
      </c>
      <c r="J6726" s="3">
        <f t="shared" si="105"/>
        <v>43747.967289166663</v>
      </c>
    </row>
    <row r="6727" spans="1:10" x14ac:dyDescent="0.25">
      <c r="A6727" s="5" t="s">
        <v>13773</v>
      </c>
      <c r="B6727" s="6">
        <v>415.625</v>
      </c>
      <c r="C6727" s="6">
        <v>20.478950000000001</v>
      </c>
      <c r="D6727" s="6">
        <v>81</v>
      </c>
      <c r="E6727" s="6">
        <v>0</v>
      </c>
      <c r="F6727" s="6">
        <v>0</v>
      </c>
      <c r="G6727" s="6">
        <v>14</v>
      </c>
      <c r="H6727" s="6" t="s">
        <v>13774</v>
      </c>
      <c r="I6727" s="6">
        <v>533.8125</v>
      </c>
      <c r="J6727" s="2">
        <f t="shared" si="105"/>
        <v>43747.967360497678</v>
      </c>
    </row>
    <row r="6728" spans="1:10" x14ac:dyDescent="0.25">
      <c r="A6728" s="7" t="s">
        <v>13775</v>
      </c>
      <c r="B6728" s="8">
        <v>393.75</v>
      </c>
      <c r="C6728" s="8">
        <v>20.478950000000001</v>
      </c>
      <c r="D6728" s="8">
        <v>80</v>
      </c>
      <c r="E6728" s="8">
        <v>0</v>
      </c>
      <c r="F6728" s="8">
        <v>0</v>
      </c>
      <c r="G6728" s="8">
        <v>0</v>
      </c>
      <c r="H6728" s="8" t="s">
        <v>13776</v>
      </c>
      <c r="I6728" s="8">
        <v>526.6875</v>
      </c>
      <c r="J6728" s="3">
        <f t="shared" si="105"/>
        <v>43747.967431782403</v>
      </c>
    </row>
    <row r="6729" spans="1:10" x14ac:dyDescent="0.25">
      <c r="A6729" s="5" t="s">
        <v>13777</v>
      </c>
      <c r="B6729" s="6">
        <v>393.75</v>
      </c>
      <c r="C6729" s="6">
        <v>20.478950000000001</v>
      </c>
      <c r="D6729" s="6">
        <v>79</v>
      </c>
      <c r="E6729" s="6">
        <v>0</v>
      </c>
      <c r="F6729" s="6">
        <v>0</v>
      </c>
      <c r="G6729" s="6">
        <v>22</v>
      </c>
      <c r="H6729" s="6" t="s">
        <v>13778</v>
      </c>
      <c r="I6729" s="6">
        <v>526.6875</v>
      </c>
      <c r="J6729" s="2">
        <f t="shared" si="105"/>
        <v>43747.967515138887</v>
      </c>
    </row>
    <row r="6730" spans="1:10" x14ac:dyDescent="0.25">
      <c r="A6730" s="7" t="s">
        <v>13779</v>
      </c>
      <c r="B6730" s="8">
        <v>393.75</v>
      </c>
      <c r="C6730" s="8">
        <v>20.478950000000001</v>
      </c>
      <c r="D6730" s="8">
        <v>79</v>
      </c>
      <c r="E6730" s="8">
        <v>0</v>
      </c>
      <c r="F6730" s="8">
        <v>0</v>
      </c>
      <c r="G6730" s="8">
        <v>13</v>
      </c>
      <c r="H6730" s="8" t="s">
        <v>13780</v>
      </c>
      <c r="I6730" s="8">
        <v>526.6875</v>
      </c>
      <c r="J6730" s="3">
        <f t="shared" si="105"/>
        <v>43747.967587083331</v>
      </c>
    </row>
    <row r="6731" spans="1:10" x14ac:dyDescent="0.25">
      <c r="A6731" s="5" t="s">
        <v>13781</v>
      </c>
      <c r="B6731" s="6">
        <v>393.75</v>
      </c>
      <c r="C6731" s="6">
        <v>20.478950000000001</v>
      </c>
      <c r="D6731" s="6">
        <v>78</v>
      </c>
      <c r="E6731" s="6">
        <v>0</v>
      </c>
      <c r="F6731" s="6">
        <v>0</v>
      </c>
      <c r="G6731" s="6">
        <v>8</v>
      </c>
      <c r="H6731" s="6" t="s">
        <v>13782</v>
      </c>
      <c r="I6731" s="6">
        <v>526.6875</v>
      </c>
      <c r="J6731" s="2">
        <f t="shared" si="105"/>
        <v>43747.967658611109</v>
      </c>
    </row>
    <row r="6732" spans="1:10" x14ac:dyDescent="0.25">
      <c r="A6732" s="7" t="s">
        <v>13783</v>
      </c>
      <c r="B6732" s="8">
        <v>396.875</v>
      </c>
      <c r="C6732" s="8">
        <v>20.478950000000001</v>
      </c>
      <c r="D6732" s="8">
        <v>77</v>
      </c>
      <c r="E6732" s="8">
        <v>0</v>
      </c>
      <c r="F6732" s="8">
        <v>0</v>
      </c>
      <c r="G6732" s="8">
        <v>4</v>
      </c>
      <c r="H6732" s="8" t="s">
        <v>13784</v>
      </c>
      <c r="I6732" s="8">
        <v>527.4375</v>
      </c>
      <c r="J6732" s="3">
        <f t="shared" si="105"/>
        <v>43747.967754120364</v>
      </c>
    </row>
    <row r="6733" spans="1:10" x14ac:dyDescent="0.25">
      <c r="A6733" s="5" t="s">
        <v>13785</v>
      </c>
      <c r="B6733" s="6">
        <v>425</v>
      </c>
      <c r="C6733" s="6">
        <v>20.478950000000001</v>
      </c>
      <c r="D6733" s="6">
        <v>77</v>
      </c>
      <c r="E6733" s="6">
        <v>0</v>
      </c>
      <c r="F6733" s="6">
        <v>0</v>
      </c>
      <c r="G6733" s="6">
        <v>9</v>
      </c>
      <c r="H6733" s="6" t="s">
        <v>13786</v>
      </c>
      <c r="I6733" s="6">
        <v>536.25</v>
      </c>
      <c r="J6733" s="2">
        <f t="shared" si="105"/>
        <v>43747.967825416665</v>
      </c>
    </row>
    <row r="6734" spans="1:10" x14ac:dyDescent="0.25">
      <c r="A6734" s="7" t="s">
        <v>13787</v>
      </c>
      <c r="B6734" s="8">
        <v>400</v>
      </c>
      <c r="C6734" s="8">
        <v>20.478950000000001</v>
      </c>
      <c r="D6734" s="8">
        <v>77</v>
      </c>
      <c r="E6734" s="8">
        <v>0</v>
      </c>
      <c r="F6734" s="8">
        <v>0</v>
      </c>
      <c r="G6734" s="8">
        <v>6</v>
      </c>
      <c r="H6734" s="8" t="s">
        <v>13788</v>
      </c>
      <c r="I6734" s="8">
        <v>528.375</v>
      </c>
      <c r="J6734" s="3">
        <f t="shared" si="105"/>
        <v>43747.96789659722</v>
      </c>
    </row>
    <row r="6735" spans="1:10" x14ac:dyDescent="0.25">
      <c r="A6735" s="5" t="s">
        <v>13789</v>
      </c>
      <c r="B6735" s="6">
        <v>403.125</v>
      </c>
      <c r="C6735" s="6">
        <v>20.478950000000001</v>
      </c>
      <c r="D6735" s="6">
        <v>78</v>
      </c>
      <c r="E6735" s="6">
        <v>0</v>
      </c>
      <c r="F6735" s="6">
        <v>0</v>
      </c>
      <c r="G6735" s="6">
        <v>8</v>
      </c>
      <c r="H6735" s="6" t="s">
        <v>13790</v>
      </c>
      <c r="I6735" s="6">
        <v>529.125</v>
      </c>
      <c r="J6735" s="2">
        <f t="shared" si="105"/>
        <v>43747.967968807869</v>
      </c>
    </row>
    <row r="6736" spans="1:10" x14ac:dyDescent="0.25">
      <c r="A6736" s="7" t="s">
        <v>13791</v>
      </c>
      <c r="B6736" s="8">
        <v>403.125</v>
      </c>
      <c r="C6736" s="8">
        <v>20.478950000000001</v>
      </c>
      <c r="D6736" s="8">
        <v>78</v>
      </c>
      <c r="E6736" s="8">
        <v>0</v>
      </c>
      <c r="F6736" s="8">
        <v>0</v>
      </c>
      <c r="G6736" s="8">
        <v>6</v>
      </c>
      <c r="H6736" s="8" t="s">
        <v>13792</v>
      </c>
      <c r="I6736" s="8">
        <v>529.125</v>
      </c>
      <c r="J6736" s="3">
        <f t="shared" si="105"/>
        <v>43747.968040069441</v>
      </c>
    </row>
    <row r="6737" spans="1:10" x14ac:dyDescent="0.25">
      <c r="A6737" s="5" t="s">
        <v>13793</v>
      </c>
      <c r="B6737" s="6">
        <v>400</v>
      </c>
      <c r="C6737" s="6">
        <v>20.478950000000001</v>
      </c>
      <c r="D6737" s="6">
        <v>79</v>
      </c>
      <c r="E6737" s="6">
        <v>0</v>
      </c>
      <c r="F6737" s="6">
        <v>0</v>
      </c>
      <c r="G6737" s="6">
        <v>3</v>
      </c>
      <c r="H6737" s="6" t="s">
        <v>13794</v>
      </c>
      <c r="I6737" s="6">
        <v>528.9375</v>
      </c>
      <c r="J6737" s="2">
        <f t="shared" si="105"/>
        <v>43747.96811149305</v>
      </c>
    </row>
    <row r="6738" spans="1:10" x14ac:dyDescent="0.25">
      <c r="A6738" s="7" t="s">
        <v>13795</v>
      </c>
      <c r="B6738" s="8">
        <v>400</v>
      </c>
      <c r="C6738" s="8">
        <v>20.478950000000001</v>
      </c>
      <c r="D6738" s="8">
        <v>80</v>
      </c>
      <c r="E6738" s="8">
        <v>0</v>
      </c>
      <c r="F6738" s="8">
        <v>0</v>
      </c>
      <c r="G6738" s="8">
        <v>4</v>
      </c>
      <c r="H6738" s="8" t="s">
        <v>13796</v>
      </c>
      <c r="I6738" s="8">
        <v>528.9375</v>
      </c>
      <c r="J6738" s="3">
        <f t="shared" si="105"/>
        <v>43747.968207511571</v>
      </c>
    </row>
    <row r="6739" spans="1:10" x14ac:dyDescent="0.25">
      <c r="A6739" s="5" t="s">
        <v>13797</v>
      </c>
      <c r="B6739" s="6">
        <v>403.125</v>
      </c>
      <c r="C6739" s="6">
        <v>20.478950000000001</v>
      </c>
      <c r="D6739" s="6">
        <v>81</v>
      </c>
      <c r="E6739" s="6">
        <v>0</v>
      </c>
      <c r="F6739" s="6">
        <v>0</v>
      </c>
      <c r="G6739" s="6">
        <v>7</v>
      </c>
      <c r="H6739" s="6" t="s">
        <v>13798</v>
      </c>
      <c r="I6739" s="6">
        <v>529.125</v>
      </c>
      <c r="J6739" s="2">
        <f t="shared" si="105"/>
        <v>43747.968278946755</v>
      </c>
    </row>
    <row r="6740" spans="1:10" x14ac:dyDescent="0.25">
      <c r="A6740" s="7" t="s">
        <v>13799</v>
      </c>
      <c r="B6740" s="8">
        <v>396.875</v>
      </c>
      <c r="C6740" s="8">
        <v>20.478950000000001</v>
      </c>
      <c r="D6740" s="8">
        <v>82</v>
      </c>
      <c r="E6740" s="8">
        <v>0</v>
      </c>
      <c r="F6740" s="8">
        <v>0</v>
      </c>
      <c r="G6740" s="8">
        <v>3</v>
      </c>
      <c r="H6740" s="8" t="s">
        <v>13800</v>
      </c>
      <c r="I6740" s="8">
        <v>527.4375</v>
      </c>
      <c r="J6740" s="3">
        <f t="shared" si="105"/>
        <v>43747.968374201388</v>
      </c>
    </row>
    <row r="6741" spans="1:10" x14ac:dyDescent="0.25">
      <c r="A6741" s="5" t="s">
        <v>13801</v>
      </c>
      <c r="B6741" s="6">
        <v>396.875</v>
      </c>
      <c r="C6741" s="6">
        <v>20.478950000000001</v>
      </c>
      <c r="D6741" s="6">
        <v>82</v>
      </c>
      <c r="E6741" s="6">
        <v>0</v>
      </c>
      <c r="F6741" s="6">
        <v>0</v>
      </c>
      <c r="G6741" s="6">
        <v>7</v>
      </c>
      <c r="H6741" s="6" t="s">
        <v>13802</v>
      </c>
      <c r="I6741" s="6">
        <v>527.4375</v>
      </c>
      <c r="J6741" s="2">
        <f t="shared" si="105"/>
        <v>43747.968444756938</v>
      </c>
    </row>
    <row r="6742" spans="1:10" x14ac:dyDescent="0.25">
      <c r="A6742" s="7" t="s">
        <v>13803</v>
      </c>
      <c r="B6742" s="8">
        <v>396.875</v>
      </c>
      <c r="C6742" s="8">
        <v>20.478950000000001</v>
      </c>
      <c r="D6742" s="8">
        <v>84</v>
      </c>
      <c r="E6742" s="8">
        <v>0</v>
      </c>
      <c r="F6742" s="8">
        <v>0</v>
      </c>
      <c r="G6742" s="8">
        <v>6</v>
      </c>
      <c r="H6742" s="8" t="s">
        <v>13804</v>
      </c>
      <c r="I6742" s="8">
        <v>527.4375</v>
      </c>
      <c r="J6742" s="3">
        <f t="shared" si="105"/>
        <v>43747.968516932866</v>
      </c>
    </row>
    <row r="6743" spans="1:10" x14ac:dyDescent="0.25">
      <c r="A6743" s="5" t="s">
        <v>13805</v>
      </c>
      <c r="B6743" s="6">
        <v>396.875</v>
      </c>
      <c r="C6743" s="6">
        <v>20.478950000000001</v>
      </c>
      <c r="D6743" s="6">
        <v>84</v>
      </c>
      <c r="E6743" s="6">
        <v>0</v>
      </c>
      <c r="F6743" s="6">
        <v>0</v>
      </c>
      <c r="G6743" s="6">
        <v>5</v>
      </c>
      <c r="H6743" s="6" t="s">
        <v>13806</v>
      </c>
      <c r="I6743" s="6">
        <v>527.4375</v>
      </c>
      <c r="J6743" s="2">
        <f t="shared" si="105"/>
        <v>43747.968588217591</v>
      </c>
    </row>
    <row r="6744" spans="1:10" x14ac:dyDescent="0.25">
      <c r="A6744" s="7" t="s">
        <v>13807</v>
      </c>
      <c r="B6744" s="8">
        <v>396.875</v>
      </c>
      <c r="C6744" s="8">
        <v>20.478950000000001</v>
      </c>
      <c r="D6744" s="8">
        <v>82</v>
      </c>
      <c r="E6744" s="8">
        <v>0</v>
      </c>
      <c r="F6744" s="8">
        <v>0</v>
      </c>
      <c r="G6744" s="8">
        <v>2</v>
      </c>
      <c r="H6744" s="8" t="s">
        <v>13808</v>
      </c>
      <c r="I6744" s="8">
        <v>527.4375</v>
      </c>
      <c r="J6744" s="3">
        <f t="shared" si="105"/>
        <v>43747.968660451392</v>
      </c>
    </row>
    <row r="6745" spans="1:10" x14ac:dyDescent="0.25">
      <c r="A6745" s="5" t="s">
        <v>13809</v>
      </c>
      <c r="B6745" s="6">
        <v>396.875</v>
      </c>
      <c r="C6745" s="6">
        <v>20.478950000000001</v>
      </c>
      <c r="D6745" s="6">
        <v>82</v>
      </c>
      <c r="E6745" s="6">
        <v>0</v>
      </c>
      <c r="F6745" s="6">
        <v>0</v>
      </c>
      <c r="G6745" s="6">
        <v>9</v>
      </c>
      <c r="H6745" s="6" t="s">
        <v>13810</v>
      </c>
      <c r="I6745" s="6">
        <v>527.4375</v>
      </c>
      <c r="J6745" s="2">
        <f t="shared" si="105"/>
        <v>43747.968731736109</v>
      </c>
    </row>
    <row r="6746" spans="1:10" x14ac:dyDescent="0.25">
      <c r="A6746" s="7" t="s">
        <v>13811</v>
      </c>
      <c r="B6746" s="8">
        <v>396.875</v>
      </c>
      <c r="C6746" s="8">
        <v>20.478950000000001</v>
      </c>
      <c r="D6746" s="8">
        <v>82</v>
      </c>
      <c r="E6746" s="8">
        <v>0</v>
      </c>
      <c r="F6746" s="8">
        <v>0</v>
      </c>
      <c r="G6746" s="8">
        <v>4</v>
      </c>
      <c r="H6746" s="8" t="s">
        <v>13812</v>
      </c>
      <c r="I6746" s="8">
        <v>527.4375</v>
      </c>
      <c r="J6746" s="3">
        <f t="shared" si="105"/>
        <v>43747.968815023145</v>
      </c>
    </row>
    <row r="6747" spans="1:10" x14ac:dyDescent="0.25">
      <c r="A6747" s="5" t="s">
        <v>13813</v>
      </c>
      <c r="B6747" s="6">
        <v>400</v>
      </c>
      <c r="C6747" s="6">
        <v>20.478950000000001</v>
      </c>
      <c r="D6747" s="6">
        <v>81</v>
      </c>
      <c r="E6747" s="6">
        <v>0</v>
      </c>
      <c r="F6747" s="6">
        <v>0</v>
      </c>
      <c r="G6747" s="6">
        <v>3</v>
      </c>
      <c r="H6747" s="6" t="s">
        <v>13814</v>
      </c>
      <c r="I6747" s="6">
        <v>528.1875</v>
      </c>
      <c r="J6747" s="2">
        <f t="shared" si="105"/>
        <v>43747.968886388888</v>
      </c>
    </row>
    <row r="6748" spans="1:10" x14ac:dyDescent="0.25">
      <c r="A6748" s="7" t="s">
        <v>13815</v>
      </c>
      <c r="B6748" s="8">
        <v>400</v>
      </c>
      <c r="C6748" s="8">
        <v>20.478950000000001</v>
      </c>
      <c r="D6748" s="8">
        <v>81</v>
      </c>
      <c r="E6748" s="8">
        <v>0</v>
      </c>
      <c r="F6748" s="8">
        <v>0</v>
      </c>
      <c r="G6748" s="8">
        <v>2</v>
      </c>
      <c r="H6748" s="8" t="s">
        <v>13816</v>
      </c>
      <c r="I6748" s="8">
        <v>528.375</v>
      </c>
      <c r="J6748" s="3">
        <f t="shared" si="105"/>
        <v>43747.968958414349</v>
      </c>
    </row>
    <row r="6749" spans="1:10" x14ac:dyDescent="0.25">
      <c r="A6749" s="5" t="s">
        <v>13817</v>
      </c>
      <c r="B6749" s="6">
        <v>400</v>
      </c>
      <c r="C6749" s="6">
        <v>20.478950000000001</v>
      </c>
      <c r="D6749" s="6">
        <v>81</v>
      </c>
      <c r="E6749" s="6">
        <v>0</v>
      </c>
      <c r="F6749" s="6">
        <v>0</v>
      </c>
      <c r="G6749" s="6">
        <v>8</v>
      </c>
      <c r="H6749" s="6" t="s">
        <v>13818</v>
      </c>
      <c r="I6749" s="6">
        <v>528.1875</v>
      </c>
      <c r="J6749" s="2">
        <f t="shared" si="105"/>
        <v>43747.96902989583</v>
      </c>
    </row>
    <row r="6750" spans="1:10" x14ac:dyDescent="0.25">
      <c r="A6750" s="7" t="s">
        <v>13819</v>
      </c>
      <c r="B6750" s="8">
        <v>415.625</v>
      </c>
      <c r="C6750" s="8">
        <v>20.478950000000001</v>
      </c>
      <c r="D6750" s="8">
        <v>81</v>
      </c>
      <c r="E6750" s="8">
        <v>0</v>
      </c>
      <c r="F6750" s="8">
        <v>0</v>
      </c>
      <c r="G6750" s="8">
        <v>8</v>
      </c>
      <c r="H6750" s="8" t="s">
        <v>13820</v>
      </c>
      <c r="I6750" s="8">
        <v>533.8125</v>
      </c>
      <c r="J6750" s="3">
        <f t="shared" si="105"/>
        <v>43747.969113333333</v>
      </c>
    </row>
    <row r="6751" spans="1:10" x14ac:dyDescent="0.25">
      <c r="A6751" s="5" t="s">
        <v>13821</v>
      </c>
      <c r="B6751" s="6">
        <v>396.875</v>
      </c>
      <c r="C6751" s="6">
        <v>20.478950000000001</v>
      </c>
      <c r="D6751" s="6">
        <v>81</v>
      </c>
      <c r="E6751" s="6">
        <v>0</v>
      </c>
      <c r="F6751" s="6">
        <v>0</v>
      </c>
      <c r="G6751" s="6">
        <v>6</v>
      </c>
      <c r="H6751" s="6" t="s">
        <v>13822</v>
      </c>
      <c r="I6751" s="6">
        <v>527.4375</v>
      </c>
      <c r="J6751" s="2">
        <f t="shared" si="105"/>
        <v>43747.969196828701</v>
      </c>
    </row>
    <row r="6752" spans="1:10" x14ac:dyDescent="0.25">
      <c r="A6752" s="7" t="s">
        <v>13823</v>
      </c>
      <c r="B6752" s="8">
        <v>396.875</v>
      </c>
      <c r="C6752" s="8">
        <v>20.478950000000001</v>
      </c>
      <c r="D6752" s="8">
        <v>81</v>
      </c>
      <c r="E6752" s="8">
        <v>0</v>
      </c>
      <c r="F6752" s="8">
        <v>0</v>
      </c>
      <c r="G6752" s="8">
        <v>7</v>
      </c>
      <c r="H6752" s="8" t="s">
        <v>13824</v>
      </c>
      <c r="I6752" s="8">
        <v>527.4375</v>
      </c>
      <c r="J6752" s="3">
        <f t="shared" si="105"/>
        <v>43747.969267905086</v>
      </c>
    </row>
    <row r="6753" spans="1:10" x14ac:dyDescent="0.25">
      <c r="A6753" s="5" t="s">
        <v>13825</v>
      </c>
      <c r="B6753" s="6">
        <v>415.625</v>
      </c>
      <c r="C6753" s="6">
        <v>20.478950000000001</v>
      </c>
      <c r="D6753" s="6">
        <v>80</v>
      </c>
      <c r="E6753" s="6">
        <v>0</v>
      </c>
      <c r="F6753" s="6">
        <v>0</v>
      </c>
      <c r="G6753" s="6">
        <v>11</v>
      </c>
      <c r="H6753" s="6" t="s">
        <v>13826</v>
      </c>
      <c r="I6753" s="6">
        <v>533.625</v>
      </c>
      <c r="J6753" s="2">
        <f t="shared" si="105"/>
        <v>43747.969340081014</v>
      </c>
    </row>
    <row r="6754" spans="1:10" x14ac:dyDescent="0.25">
      <c r="A6754" s="7" t="s">
        <v>13827</v>
      </c>
      <c r="B6754" s="8">
        <v>396.875</v>
      </c>
      <c r="C6754" s="8">
        <v>20.478950000000001</v>
      </c>
      <c r="D6754" s="8">
        <v>82</v>
      </c>
      <c r="E6754" s="8">
        <v>0</v>
      </c>
      <c r="F6754" s="8">
        <v>0</v>
      </c>
      <c r="G6754" s="8">
        <v>10</v>
      </c>
      <c r="H6754" s="8" t="s">
        <v>13828</v>
      </c>
      <c r="I6754" s="8">
        <v>527.4375</v>
      </c>
      <c r="J6754" s="3">
        <f t="shared" si="105"/>
        <v>43747.969411307866</v>
      </c>
    </row>
    <row r="6755" spans="1:10" x14ac:dyDescent="0.25">
      <c r="A6755" s="5" t="s">
        <v>13829</v>
      </c>
      <c r="B6755" s="6">
        <v>400</v>
      </c>
      <c r="C6755" s="6">
        <v>20.478950000000001</v>
      </c>
      <c r="D6755" s="6">
        <v>84</v>
      </c>
      <c r="E6755" s="6">
        <v>0</v>
      </c>
      <c r="F6755" s="6">
        <v>0</v>
      </c>
      <c r="G6755" s="6">
        <v>7</v>
      </c>
      <c r="H6755" s="6" t="s">
        <v>13830</v>
      </c>
      <c r="I6755" s="6">
        <v>528.1875</v>
      </c>
      <c r="J6755" s="2">
        <f t="shared" si="105"/>
        <v>43747.969482812499</v>
      </c>
    </row>
    <row r="6756" spans="1:10" x14ac:dyDescent="0.25">
      <c r="A6756" s="7" t="s">
        <v>13831</v>
      </c>
      <c r="B6756" s="8">
        <v>400</v>
      </c>
      <c r="C6756" s="8">
        <v>20.478950000000001</v>
      </c>
      <c r="D6756" s="8">
        <v>83</v>
      </c>
      <c r="E6756" s="8">
        <v>0</v>
      </c>
      <c r="F6756" s="8">
        <v>0</v>
      </c>
      <c r="G6756" s="8">
        <v>4</v>
      </c>
      <c r="H6756" s="8" t="s">
        <v>13832</v>
      </c>
      <c r="I6756" s="8">
        <v>528.375</v>
      </c>
      <c r="J6756" s="3">
        <f t="shared" si="105"/>
        <v>43747.969554826392</v>
      </c>
    </row>
    <row r="6757" spans="1:10" x14ac:dyDescent="0.25">
      <c r="A6757" s="5" t="s">
        <v>13833</v>
      </c>
      <c r="B6757" s="6">
        <v>400</v>
      </c>
      <c r="C6757" s="6">
        <v>20.478950000000001</v>
      </c>
      <c r="D6757" s="6">
        <v>84</v>
      </c>
      <c r="E6757" s="6">
        <v>0</v>
      </c>
      <c r="F6757" s="6">
        <v>0</v>
      </c>
      <c r="G6757" s="6">
        <v>5</v>
      </c>
      <c r="H6757" s="6" t="s">
        <v>13834</v>
      </c>
      <c r="I6757" s="6">
        <v>528.1875</v>
      </c>
      <c r="J6757" s="2">
        <f t="shared" si="105"/>
        <v>43747.96962570602</v>
      </c>
    </row>
    <row r="6758" spans="1:10" x14ac:dyDescent="0.25">
      <c r="A6758" s="7" t="s">
        <v>13835</v>
      </c>
      <c r="B6758" s="8">
        <v>400</v>
      </c>
      <c r="C6758" s="8">
        <v>20.478950000000001</v>
      </c>
      <c r="D6758" s="8">
        <v>80</v>
      </c>
      <c r="E6758" s="8">
        <v>0</v>
      </c>
      <c r="F6758" s="8">
        <v>0</v>
      </c>
      <c r="G6758" s="8">
        <v>13</v>
      </c>
      <c r="H6758" s="8" t="s">
        <v>13836</v>
      </c>
      <c r="I6758" s="8">
        <v>528.375</v>
      </c>
      <c r="J6758" s="3">
        <f t="shared" si="105"/>
        <v>43747.969697488421</v>
      </c>
    </row>
    <row r="6759" spans="1:10" x14ac:dyDescent="0.25">
      <c r="A6759" s="5" t="s">
        <v>13837</v>
      </c>
      <c r="B6759" s="6">
        <v>400</v>
      </c>
      <c r="C6759" s="6">
        <v>20.478950000000001</v>
      </c>
      <c r="D6759" s="6">
        <v>80</v>
      </c>
      <c r="E6759" s="6">
        <v>0</v>
      </c>
      <c r="F6759" s="6">
        <v>0</v>
      </c>
      <c r="G6759" s="6">
        <v>8</v>
      </c>
      <c r="H6759" s="6" t="s">
        <v>13838</v>
      </c>
      <c r="I6759" s="6">
        <v>528.1875</v>
      </c>
      <c r="J6759" s="2">
        <f t="shared" si="105"/>
        <v>43747.969768831019</v>
      </c>
    </row>
    <row r="6760" spans="1:10" x14ac:dyDescent="0.25">
      <c r="A6760" s="7" t="s">
        <v>13839</v>
      </c>
      <c r="B6760" s="8">
        <v>400</v>
      </c>
      <c r="C6760" s="8">
        <v>20.478950000000001</v>
      </c>
      <c r="D6760" s="8">
        <v>81</v>
      </c>
      <c r="E6760" s="8">
        <v>0</v>
      </c>
      <c r="F6760" s="8">
        <v>0</v>
      </c>
      <c r="G6760" s="8">
        <v>7</v>
      </c>
      <c r="H6760" s="8" t="s">
        <v>13840</v>
      </c>
      <c r="I6760" s="8">
        <v>528.1875</v>
      </c>
      <c r="J6760" s="3">
        <f t="shared" si="105"/>
        <v>43747.969860092591</v>
      </c>
    </row>
    <row r="6761" spans="1:10" x14ac:dyDescent="0.25">
      <c r="A6761" s="5" t="s">
        <v>13841</v>
      </c>
      <c r="B6761" s="6">
        <v>400</v>
      </c>
      <c r="C6761" s="6">
        <v>20.478950000000001</v>
      </c>
      <c r="D6761" s="6">
        <v>81</v>
      </c>
      <c r="E6761" s="6">
        <v>0</v>
      </c>
      <c r="F6761" s="6">
        <v>0</v>
      </c>
      <c r="G6761" s="6">
        <v>3</v>
      </c>
      <c r="H6761" s="6" t="s">
        <v>13842</v>
      </c>
      <c r="I6761" s="6">
        <v>528.1875</v>
      </c>
      <c r="J6761" s="2">
        <f t="shared" si="105"/>
        <v>43747.969936307869</v>
      </c>
    </row>
    <row r="6762" spans="1:10" x14ac:dyDescent="0.25">
      <c r="A6762" s="7" t="s">
        <v>13843</v>
      </c>
      <c r="B6762" s="8">
        <v>400</v>
      </c>
      <c r="C6762" s="8">
        <v>20.478950000000001</v>
      </c>
      <c r="D6762" s="8">
        <v>81</v>
      </c>
      <c r="E6762" s="8">
        <v>0</v>
      </c>
      <c r="F6762" s="8">
        <v>0</v>
      </c>
      <c r="G6762" s="8">
        <v>2</v>
      </c>
      <c r="H6762" s="8" t="s">
        <v>13844</v>
      </c>
      <c r="I6762" s="8">
        <v>528.1875</v>
      </c>
      <c r="J6762" s="3">
        <f t="shared" si="105"/>
        <v>43747.970019699067</v>
      </c>
    </row>
    <row r="6763" spans="1:10" x14ac:dyDescent="0.25">
      <c r="A6763" s="5" t="s">
        <v>13845</v>
      </c>
      <c r="B6763" s="6">
        <v>400</v>
      </c>
      <c r="C6763" s="6">
        <v>20.478950000000001</v>
      </c>
      <c r="D6763" s="6">
        <v>81</v>
      </c>
      <c r="E6763" s="6">
        <v>0</v>
      </c>
      <c r="F6763" s="6">
        <v>0</v>
      </c>
      <c r="G6763" s="6">
        <v>6</v>
      </c>
      <c r="H6763" s="6" t="s">
        <v>13846</v>
      </c>
      <c r="I6763" s="6">
        <v>528.9375</v>
      </c>
      <c r="J6763" s="2">
        <f t="shared" si="105"/>
        <v>43747.970090995368</v>
      </c>
    </row>
    <row r="6764" spans="1:10" x14ac:dyDescent="0.25">
      <c r="A6764" s="7" t="s">
        <v>13847</v>
      </c>
      <c r="B6764" s="8">
        <v>403.125</v>
      </c>
      <c r="C6764" s="8">
        <v>20.478950000000001</v>
      </c>
      <c r="D6764" s="8">
        <v>81</v>
      </c>
      <c r="E6764" s="8">
        <v>0</v>
      </c>
      <c r="F6764" s="8">
        <v>0</v>
      </c>
      <c r="G6764" s="8">
        <v>0</v>
      </c>
      <c r="H6764" s="8" t="s">
        <v>13848</v>
      </c>
      <c r="I6764" s="8">
        <v>529.125</v>
      </c>
      <c r="J6764" s="3">
        <f t="shared" si="105"/>
        <v>43747.970162361111</v>
      </c>
    </row>
    <row r="6765" spans="1:10" x14ac:dyDescent="0.25">
      <c r="A6765" s="5" t="s">
        <v>13849</v>
      </c>
      <c r="B6765" s="6">
        <v>403.125</v>
      </c>
      <c r="C6765" s="6">
        <v>20.478950000000001</v>
      </c>
      <c r="D6765" s="6">
        <v>82</v>
      </c>
      <c r="E6765" s="6">
        <v>0</v>
      </c>
      <c r="F6765" s="6">
        <v>0</v>
      </c>
      <c r="G6765" s="6">
        <v>9</v>
      </c>
      <c r="H6765" s="6" t="s">
        <v>13850</v>
      </c>
      <c r="I6765" s="6">
        <v>529.125</v>
      </c>
      <c r="J6765" s="2">
        <f t="shared" si="105"/>
        <v>43747.970234513887</v>
      </c>
    </row>
    <row r="6766" spans="1:10" x14ac:dyDescent="0.25">
      <c r="A6766" s="7" t="s">
        <v>13851</v>
      </c>
      <c r="B6766" s="8">
        <v>403.125</v>
      </c>
      <c r="C6766" s="8">
        <v>20.478950000000001</v>
      </c>
      <c r="D6766" s="8">
        <v>84</v>
      </c>
      <c r="E6766" s="8">
        <v>0</v>
      </c>
      <c r="F6766" s="8">
        <v>0</v>
      </c>
      <c r="G6766" s="8">
        <v>11</v>
      </c>
      <c r="H6766" s="8" t="s">
        <v>13852</v>
      </c>
      <c r="I6766" s="8">
        <v>529.125</v>
      </c>
      <c r="J6766" s="3">
        <f t="shared" si="105"/>
        <v>43747.970305821756</v>
      </c>
    </row>
    <row r="6767" spans="1:10" x14ac:dyDescent="0.25">
      <c r="A6767" s="5" t="s">
        <v>13853</v>
      </c>
      <c r="B6767" s="6">
        <v>403.125</v>
      </c>
      <c r="C6767" s="6">
        <v>20.478950000000001</v>
      </c>
      <c r="D6767" s="6">
        <v>83</v>
      </c>
      <c r="E6767" s="6">
        <v>0</v>
      </c>
      <c r="F6767" s="6">
        <v>0</v>
      </c>
      <c r="G6767" s="6">
        <v>8</v>
      </c>
      <c r="H6767" s="6" t="s">
        <v>13854</v>
      </c>
      <c r="I6767" s="6">
        <v>529.125</v>
      </c>
      <c r="J6767" s="2">
        <f t="shared" si="105"/>
        <v>43747.970377118058</v>
      </c>
    </row>
    <row r="6768" spans="1:10" x14ac:dyDescent="0.25">
      <c r="A6768" s="7" t="s">
        <v>13855</v>
      </c>
      <c r="B6768" s="8">
        <v>403.125</v>
      </c>
      <c r="C6768" s="8">
        <v>20.478950000000001</v>
      </c>
      <c r="D6768" s="8">
        <v>83</v>
      </c>
      <c r="E6768" s="8">
        <v>0</v>
      </c>
      <c r="F6768" s="8">
        <v>0</v>
      </c>
      <c r="G6768" s="8">
        <v>6</v>
      </c>
      <c r="H6768" s="8" t="s">
        <v>13856</v>
      </c>
      <c r="I6768" s="8">
        <v>529.125</v>
      </c>
      <c r="J6768" s="3">
        <f t="shared" si="105"/>
        <v>43747.970449189808</v>
      </c>
    </row>
    <row r="6769" spans="1:10" x14ac:dyDescent="0.25">
      <c r="A6769" s="5" t="s">
        <v>13857</v>
      </c>
      <c r="B6769" s="6">
        <v>403.125</v>
      </c>
      <c r="C6769" s="6">
        <v>20.478950000000001</v>
      </c>
      <c r="D6769" s="6">
        <v>83</v>
      </c>
      <c r="E6769" s="6">
        <v>0</v>
      </c>
      <c r="F6769" s="6">
        <v>0</v>
      </c>
      <c r="G6769" s="6">
        <v>10</v>
      </c>
      <c r="H6769" s="6" t="s">
        <v>13858</v>
      </c>
      <c r="I6769" s="6">
        <v>529.125</v>
      </c>
      <c r="J6769" s="2">
        <f t="shared" si="105"/>
        <v>43747.970520034716</v>
      </c>
    </row>
    <row r="6770" spans="1:10" x14ac:dyDescent="0.25">
      <c r="A6770" s="7" t="s">
        <v>13859</v>
      </c>
      <c r="B6770" s="8">
        <v>403.125</v>
      </c>
      <c r="C6770" s="8">
        <v>20.478950000000001</v>
      </c>
      <c r="D6770" s="8">
        <v>82</v>
      </c>
      <c r="E6770" s="8">
        <v>0</v>
      </c>
      <c r="F6770" s="8">
        <v>0</v>
      </c>
      <c r="G6770" s="8">
        <v>13</v>
      </c>
      <c r="H6770" s="8" t="s">
        <v>13860</v>
      </c>
      <c r="I6770" s="8">
        <v>529.125</v>
      </c>
      <c r="J6770" s="3">
        <f t="shared" si="105"/>
        <v>43747.970591909725</v>
      </c>
    </row>
    <row r="6771" spans="1:10" x14ac:dyDescent="0.25">
      <c r="A6771" s="5" t="s">
        <v>13861</v>
      </c>
      <c r="B6771" s="6">
        <v>403.125</v>
      </c>
      <c r="C6771" s="6">
        <v>20.478950000000001</v>
      </c>
      <c r="D6771" s="6">
        <v>83</v>
      </c>
      <c r="E6771" s="6">
        <v>0</v>
      </c>
      <c r="F6771" s="6">
        <v>0</v>
      </c>
      <c r="G6771" s="6">
        <v>2</v>
      </c>
      <c r="H6771" s="6" t="s">
        <v>13862</v>
      </c>
      <c r="I6771" s="6">
        <v>529.125</v>
      </c>
      <c r="J6771" s="2">
        <f t="shared" si="105"/>
        <v>43747.970663229164</v>
      </c>
    </row>
    <row r="6772" spans="1:10" x14ac:dyDescent="0.25">
      <c r="A6772" s="7" t="s">
        <v>13863</v>
      </c>
      <c r="B6772" s="8">
        <v>434.375</v>
      </c>
      <c r="C6772" s="8">
        <v>20.478950000000001</v>
      </c>
      <c r="D6772" s="8">
        <v>83</v>
      </c>
      <c r="E6772" s="8">
        <v>0</v>
      </c>
      <c r="F6772" s="8">
        <v>0</v>
      </c>
      <c r="G6772" s="8">
        <v>10</v>
      </c>
      <c r="H6772" s="8" t="s">
        <v>13864</v>
      </c>
      <c r="I6772" s="8">
        <v>539.625</v>
      </c>
      <c r="J6772" s="3">
        <f t="shared" si="105"/>
        <v>43747.970735462957</v>
      </c>
    </row>
    <row r="6773" spans="1:10" x14ac:dyDescent="0.25">
      <c r="A6773" s="5" t="s">
        <v>13865</v>
      </c>
      <c r="B6773" s="6">
        <v>403.125</v>
      </c>
      <c r="C6773" s="6">
        <v>20.478950000000001</v>
      </c>
      <c r="D6773" s="6">
        <v>82</v>
      </c>
      <c r="E6773" s="6">
        <v>0</v>
      </c>
      <c r="F6773" s="6">
        <v>0</v>
      </c>
      <c r="G6773" s="6">
        <v>16</v>
      </c>
      <c r="H6773" s="6" t="s">
        <v>13866</v>
      </c>
      <c r="I6773" s="6">
        <v>529.125</v>
      </c>
      <c r="J6773" s="2">
        <f t="shared" si="105"/>
        <v>43747.970818969909</v>
      </c>
    </row>
    <row r="6774" spans="1:10" x14ac:dyDescent="0.25">
      <c r="A6774" s="7" t="s">
        <v>13867</v>
      </c>
      <c r="B6774" s="8">
        <v>400</v>
      </c>
      <c r="C6774" s="8">
        <v>20.478950000000001</v>
      </c>
      <c r="D6774" s="8">
        <v>83</v>
      </c>
      <c r="E6774" s="8">
        <v>0</v>
      </c>
      <c r="F6774" s="8">
        <v>0</v>
      </c>
      <c r="G6774" s="8">
        <v>1</v>
      </c>
      <c r="H6774" s="8" t="s">
        <v>13868</v>
      </c>
      <c r="I6774" s="8">
        <v>528.9375</v>
      </c>
      <c r="J6774" s="3">
        <f t="shared" si="105"/>
        <v>43747.970890104167</v>
      </c>
    </row>
    <row r="6775" spans="1:10" x14ac:dyDescent="0.25">
      <c r="A6775" s="5" t="s">
        <v>13869</v>
      </c>
      <c r="B6775" s="6">
        <v>403.125</v>
      </c>
      <c r="C6775" s="6">
        <v>20.478950000000001</v>
      </c>
      <c r="D6775" s="6">
        <v>83</v>
      </c>
      <c r="E6775" s="6">
        <v>0</v>
      </c>
      <c r="F6775" s="6">
        <v>0</v>
      </c>
      <c r="G6775" s="6">
        <v>16</v>
      </c>
      <c r="H6775" s="6" t="s">
        <v>13870</v>
      </c>
      <c r="I6775" s="6">
        <v>529.125</v>
      </c>
      <c r="J6775" s="2">
        <f t="shared" si="105"/>
        <v>43747.970961377308</v>
      </c>
    </row>
    <row r="6776" spans="1:10" x14ac:dyDescent="0.25">
      <c r="A6776" s="7" t="s">
        <v>13871</v>
      </c>
      <c r="B6776" s="8">
        <v>403.125</v>
      </c>
      <c r="C6776" s="8">
        <v>20.478950000000001</v>
      </c>
      <c r="D6776" s="8">
        <v>84</v>
      </c>
      <c r="E6776" s="8">
        <v>0</v>
      </c>
      <c r="F6776" s="8">
        <v>0</v>
      </c>
      <c r="G6776" s="8">
        <v>11</v>
      </c>
      <c r="H6776" s="8" t="s">
        <v>13872</v>
      </c>
      <c r="I6776" s="8">
        <v>529.125</v>
      </c>
      <c r="J6776" s="3">
        <f t="shared" si="105"/>
        <v>43747.971033611109</v>
      </c>
    </row>
    <row r="6777" spans="1:10" x14ac:dyDescent="0.25">
      <c r="A6777" s="5" t="s">
        <v>13873</v>
      </c>
      <c r="B6777" s="6">
        <v>400</v>
      </c>
      <c r="C6777" s="6">
        <v>20.478950000000001</v>
      </c>
      <c r="D6777" s="6">
        <v>83</v>
      </c>
      <c r="E6777" s="6">
        <v>0</v>
      </c>
      <c r="F6777" s="6">
        <v>0</v>
      </c>
      <c r="G6777" s="6">
        <v>2</v>
      </c>
      <c r="H6777" s="6" t="s">
        <v>13874</v>
      </c>
      <c r="I6777" s="6">
        <v>528.1875</v>
      </c>
      <c r="J6777" s="2">
        <f t="shared" si="105"/>
        <v>43747.971104907403</v>
      </c>
    </row>
    <row r="6778" spans="1:10" x14ac:dyDescent="0.25">
      <c r="A6778" s="7" t="s">
        <v>13875</v>
      </c>
      <c r="B6778" s="8">
        <v>400</v>
      </c>
      <c r="C6778" s="8">
        <v>20.478950000000001</v>
      </c>
      <c r="D6778" s="8">
        <v>83</v>
      </c>
      <c r="E6778" s="8">
        <v>0</v>
      </c>
      <c r="F6778" s="8">
        <v>0</v>
      </c>
      <c r="G6778" s="8">
        <v>11</v>
      </c>
      <c r="H6778" s="8" t="s">
        <v>13876</v>
      </c>
      <c r="I6778" s="8">
        <v>528.1875</v>
      </c>
      <c r="J6778" s="3">
        <f t="shared" si="105"/>
        <v>43747.971176319443</v>
      </c>
    </row>
    <row r="6779" spans="1:10" x14ac:dyDescent="0.25">
      <c r="A6779" s="5" t="s">
        <v>13877</v>
      </c>
      <c r="B6779" s="6">
        <v>400</v>
      </c>
      <c r="C6779" s="6">
        <v>20.478950000000001</v>
      </c>
      <c r="D6779" s="6">
        <v>85</v>
      </c>
      <c r="E6779" s="6">
        <v>0</v>
      </c>
      <c r="F6779" s="6">
        <v>0</v>
      </c>
      <c r="G6779" s="6">
        <v>7</v>
      </c>
      <c r="H6779" s="6" t="s">
        <v>13878</v>
      </c>
      <c r="I6779" s="6">
        <v>528.375</v>
      </c>
      <c r="J6779" s="2">
        <f t="shared" si="105"/>
        <v>43747.971247546295</v>
      </c>
    </row>
    <row r="6780" spans="1:10" x14ac:dyDescent="0.25">
      <c r="A6780" s="7" t="s">
        <v>13879</v>
      </c>
      <c r="B6780" s="8">
        <v>418.75</v>
      </c>
      <c r="C6780" s="8">
        <v>20.478950000000001</v>
      </c>
      <c r="D6780" s="8">
        <v>86</v>
      </c>
      <c r="E6780" s="8">
        <v>0</v>
      </c>
      <c r="F6780" s="8">
        <v>0</v>
      </c>
      <c r="G6780" s="8">
        <v>0</v>
      </c>
      <c r="H6780" s="8" t="s">
        <v>13880</v>
      </c>
      <c r="I6780" s="8">
        <v>534</v>
      </c>
      <c r="J6780" s="3">
        <f t="shared" si="105"/>
        <v>43747.971319710647</v>
      </c>
    </row>
    <row r="6781" spans="1:10" x14ac:dyDescent="0.25">
      <c r="A6781" s="5" t="s">
        <v>13881</v>
      </c>
      <c r="B6781" s="6">
        <v>396.875</v>
      </c>
      <c r="C6781" s="6">
        <v>20.478950000000001</v>
      </c>
      <c r="D6781" s="6">
        <v>86</v>
      </c>
      <c r="E6781" s="6">
        <v>0</v>
      </c>
      <c r="F6781" s="6">
        <v>0</v>
      </c>
      <c r="G6781" s="6">
        <v>7</v>
      </c>
      <c r="H6781" s="6" t="s">
        <v>13882</v>
      </c>
      <c r="I6781" s="6">
        <v>527.4375</v>
      </c>
      <c r="J6781" s="2">
        <f t="shared" si="105"/>
        <v>43747.971390960643</v>
      </c>
    </row>
    <row r="6782" spans="1:10" x14ac:dyDescent="0.25">
      <c r="A6782" s="7" t="s">
        <v>13883</v>
      </c>
      <c r="B6782" s="8">
        <v>396.875</v>
      </c>
      <c r="C6782" s="8">
        <v>20.478950000000001</v>
      </c>
      <c r="D6782" s="8">
        <v>85</v>
      </c>
      <c r="E6782" s="8">
        <v>0</v>
      </c>
      <c r="F6782" s="8">
        <v>0</v>
      </c>
      <c r="G6782" s="8">
        <v>5</v>
      </c>
      <c r="H6782" s="8" t="s">
        <v>13884</v>
      </c>
      <c r="I6782" s="8">
        <v>527.4375</v>
      </c>
      <c r="J6782" s="3">
        <f t="shared" si="105"/>
        <v>43747.97146241898</v>
      </c>
    </row>
    <row r="6783" spans="1:10" x14ac:dyDescent="0.25">
      <c r="A6783" s="5" t="s">
        <v>13885</v>
      </c>
      <c r="B6783" s="6">
        <v>443.75</v>
      </c>
      <c r="C6783" s="6">
        <v>20.478950000000001</v>
      </c>
      <c r="D6783" s="6">
        <v>85</v>
      </c>
      <c r="E6783" s="6">
        <v>0</v>
      </c>
      <c r="F6783" s="6">
        <v>0</v>
      </c>
      <c r="G6783" s="6">
        <v>6</v>
      </c>
      <c r="H6783" s="6" t="s">
        <v>13886</v>
      </c>
      <c r="I6783" s="6">
        <v>542.0625</v>
      </c>
      <c r="J6783" s="2">
        <f t="shared" si="105"/>
        <v>43747.971557685181</v>
      </c>
    </row>
    <row r="6784" spans="1:10" x14ac:dyDescent="0.25">
      <c r="A6784" s="7" t="s">
        <v>13887</v>
      </c>
      <c r="B6784" s="8">
        <v>396.875</v>
      </c>
      <c r="C6784" s="8">
        <v>20.478950000000001</v>
      </c>
      <c r="D6784" s="8">
        <v>83</v>
      </c>
      <c r="E6784" s="8">
        <v>0</v>
      </c>
      <c r="F6784" s="8">
        <v>0</v>
      </c>
      <c r="G6784" s="8">
        <v>3</v>
      </c>
      <c r="H6784" s="8" t="s">
        <v>13888</v>
      </c>
      <c r="I6784" s="8">
        <v>527.4375</v>
      </c>
      <c r="J6784" s="3">
        <f t="shared" si="105"/>
        <v>43747.97164171296</v>
      </c>
    </row>
    <row r="6785" spans="1:10" x14ac:dyDescent="0.25">
      <c r="A6785" s="5" t="s">
        <v>13889</v>
      </c>
      <c r="B6785" s="6">
        <v>396.875</v>
      </c>
      <c r="C6785" s="6">
        <v>20.478950000000001</v>
      </c>
      <c r="D6785" s="6">
        <v>83</v>
      </c>
      <c r="E6785" s="6">
        <v>0</v>
      </c>
      <c r="F6785" s="6">
        <v>0</v>
      </c>
      <c r="G6785" s="6">
        <v>6</v>
      </c>
      <c r="H6785" s="6" t="s">
        <v>13890</v>
      </c>
      <c r="I6785" s="6">
        <v>527.4375</v>
      </c>
      <c r="J6785" s="2">
        <f t="shared" si="105"/>
        <v>43747.971713229163</v>
      </c>
    </row>
    <row r="6786" spans="1:10" x14ac:dyDescent="0.25">
      <c r="A6786" s="7" t="s">
        <v>13891</v>
      </c>
      <c r="B6786" s="8">
        <v>415.625</v>
      </c>
      <c r="C6786" s="8">
        <v>20.478950000000001</v>
      </c>
      <c r="D6786" s="8">
        <v>83</v>
      </c>
      <c r="E6786" s="8">
        <v>0</v>
      </c>
      <c r="F6786" s="8">
        <v>0</v>
      </c>
      <c r="G6786" s="8">
        <v>5</v>
      </c>
      <c r="H6786" s="8" t="s">
        <v>13892</v>
      </c>
      <c r="I6786" s="8">
        <v>533.0625</v>
      </c>
      <c r="J6786" s="3">
        <f t="shared" ref="J6786:J6849" si="106">(H6786/86400000)+25569+(7/24)</f>
        <v>43747.971784525456</v>
      </c>
    </row>
    <row r="6787" spans="1:10" x14ac:dyDescent="0.25">
      <c r="A6787" s="5" t="s">
        <v>13893</v>
      </c>
      <c r="B6787" s="6">
        <v>400</v>
      </c>
      <c r="C6787" s="6">
        <v>20.478950000000001</v>
      </c>
      <c r="D6787" s="6">
        <v>83</v>
      </c>
      <c r="E6787" s="6">
        <v>0</v>
      </c>
      <c r="F6787" s="6">
        <v>0</v>
      </c>
      <c r="G6787" s="6">
        <v>2</v>
      </c>
      <c r="H6787" s="6" t="s">
        <v>13894</v>
      </c>
      <c r="I6787" s="6">
        <v>528.1875</v>
      </c>
      <c r="J6787" s="2">
        <f t="shared" si="106"/>
        <v>43747.971855844902</v>
      </c>
    </row>
    <row r="6788" spans="1:10" x14ac:dyDescent="0.25">
      <c r="A6788" s="7" t="s">
        <v>13895</v>
      </c>
      <c r="B6788" s="8">
        <v>400</v>
      </c>
      <c r="C6788" s="8">
        <v>20.478950000000001</v>
      </c>
      <c r="D6788" s="8">
        <v>84</v>
      </c>
      <c r="E6788" s="8">
        <v>0</v>
      </c>
      <c r="F6788" s="8">
        <v>0</v>
      </c>
      <c r="G6788" s="8">
        <v>2</v>
      </c>
      <c r="H6788" s="8" t="s">
        <v>13896</v>
      </c>
      <c r="I6788" s="8">
        <v>528.1875</v>
      </c>
      <c r="J6788" s="3">
        <f t="shared" si="106"/>
        <v>43747.971928043982</v>
      </c>
    </row>
    <row r="6789" spans="1:10" x14ac:dyDescent="0.25">
      <c r="A6789" s="5" t="s">
        <v>13897</v>
      </c>
      <c r="B6789" s="6">
        <v>400</v>
      </c>
      <c r="C6789" s="6">
        <v>20.478950000000001</v>
      </c>
      <c r="D6789" s="6">
        <v>84</v>
      </c>
      <c r="E6789" s="6">
        <v>0</v>
      </c>
      <c r="F6789" s="6">
        <v>0</v>
      </c>
      <c r="G6789" s="6">
        <v>3</v>
      </c>
      <c r="H6789" s="6" t="s">
        <v>13898</v>
      </c>
      <c r="I6789" s="6">
        <v>528.375</v>
      </c>
      <c r="J6789" s="2">
        <f t="shared" si="106"/>
        <v>43747.971999351845</v>
      </c>
    </row>
    <row r="6790" spans="1:10" x14ac:dyDescent="0.25">
      <c r="A6790" s="7" t="s">
        <v>13899</v>
      </c>
      <c r="B6790" s="8">
        <v>403.125</v>
      </c>
      <c r="C6790" s="8">
        <v>20.478950000000001</v>
      </c>
      <c r="D6790" s="8">
        <v>84</v>
      </c>
      <c r="E6790" s="8">
        <v>0</v>
      </c>
      <c r="F6790" s="8">
        <v>0</v>
      </c>
      <c r="G6790" s="8">
        <v>9</v>
      </c>
      <c r="H6790" s="8" t="s">
        <v>13900</v>
      </c>
      <c r="I6790" s="8">
        <v>529.125</v>
      </c>
      <c r="J6790" s="3">
        <f t="shared" si="106"/>
        <v>43747.972070648146</v>
      </c>
    </row>
    <row r="6791" spans="1:10" x14ac:dyDescent="0.25">
      <c r="A6791" s="5" t="s">
        <v>13901</v>
      </c>
      <c r="B6791" s="6">
        <v>403.125</v>
      </c>
      <c r="C6791" s="6">
        <v>20.478950000000001</v>
      </c>
      <c r="D6791" s="6">
        <v>85</v>
      </c>
      <c r="E6791" s="6">
        <v>0</v>
      </c>
      <c r="F6791" s="6">
        <v>0</v>
      </c>
      <c r="G6791" s="6">
        <v>7</v>
      </c>
      <c r="H6791" s="6" t="s">
        <v>13902</v>
      </c>
      <c r="I6791" s="6">
        <v>529.125</v>
      </c>
      <c r="J6791" s="2">
        <f t="shared" si="106"/>
        <v>43747.972142002312</v>
      </c>
    </row>
    <row r="6792" spans="1:10" x14ac:dyDescent="0.25">
      <c r="A6792" s="7" t="s">
        <v>13903</v>
      </c>
      <c r="B6792" s="8">
        <v>403.125</v>
      </c>
      <c r="C6792" s="8">
        <v>20.478950000000001</v>
      </c>
      <c r="D6792" s="8">
        <v>85</v>
      </c>
      <c r="E6792" s="8">
        <v>0</v>
      </c>
      <c r="F6792" s="8">
        <v>0</v>
      </c>
      <c r="G6792" s="8">
        <v>2</v>
      </c>
      <c r="H6792" s="8" t="s">
        <v>13904</v>
      </c>
      <c r="I6792" s="8">
        <v>529.125</v>
      </c>
      <c r="J6792" s="3">
        <f t="shared" si="106"/>
        <v>43747.972214155096</v>
      </c>
    </row>
    <row r="6793" spans="1:10" x14ac:dyDescent="0.25">
      <c r="A6793" s="5" t="s">
        <v>13905</v>
      </c>
      <c r="B6793" s="6">
        <v>403.125</v>
      </c>
      <c r="C6793" s="6">
        <v>20.478950000000001</v>
      </c>
      <c r="D6793" s="6">
        <v>85</v>
      </c>
      <c r="E6793" s="6">
        <v>0</v>
      </c>
      <c r="F6793" s="6">
        <v>0</v>
      </c>
      <c r="G6793" s="6">
        <v>0</v>
      </c>
      <c r="H6793" s="6" t="s">
        <v>13906</v>
      </c>
      <c r="I6793" s="6">
        <v>529.125</v>
      </c>
      <c r="J6793" s="2">
        <f t="shared" si="106"/>
        <v>43747.972285393516</v>
      </c>
    </row>
    <row r="6794" spans="1:10" x14ac:dyDescent="0.25">
      <c r="A6794" s="7" t="s">
        <v>13907</v>
      </c>
      <c r="B6794" s="8">
        <v>400</v>
      </c>
      <c r="C6794" s="8">
        <v>20.478950000000001</v>
      </c>
      <c r="D6794" s="8">
        <v>85</v>
      </c>
      <c r="E6794" s="8">
        <v>0</v>
      </c>
      <c r="F6794" s="8">
        <v>0</v>
      </c>
      <c r="G6794" s="8">
        <v>3</v>
      </c>
      <c r="H6794" s="8" t="s">
        <v>13908</v>
      </c>
      <c r="I6794" s="8">
        <v>528.9375</v>
      </c>
      <c r="J6794" s="3">
        <f t="shared" si="106"/>
        <v>43747.97235679398</v>
      </c>
    </row>
    <row r="6795" spans="1:10" x14ac:dyDescent="0.25">
      <c r="A6795" s="5" t="s">
        <v>13909</v>
      </c>
      <c r="B6795" s="6">
        <v>403.125</v>
      </c>
      <c r="C6795" s="6">
        <v>20.478950000000001</v>
      </c>
      <c r="D6795" s="6">
        <v>85</v>
      </c>
      <c r="E6795" s="6">
        <v>0</v>
      </c>
      <c r="F6795" s="6">
        <v>0</v>
      </c>
      <c r="G6795" s="6">
        <v>0</v>
      </c>
      <c r="H6795" s="6" t="s">
        <v>13910</v>
      </c>
      <c r="I6795" s="6">
        <v>529.125</v>
      </c>
      <c r="J6795" s="2">
        <f t="shared" si="106"/>
        <v>43747.972432233793</v>
      </c>
    </row>
    <row r="6796" spans="1:10" x14ac:dyDescent="0.25">
      <c r="A6796" s="7" t="s">
        <v>13911</v>
      </c>
      <c r="B6796" s="8">
        <v>403.125</v>
      </c>
      <c r="C6796" s="8">
        <v>20.478950000000001</v>
      </c>
      <c r="D6796" s="8">
        <v>85</v>
      </c>
      <c r="E6796" s="8">
        <v>0</v>
      </c>
      <c r="F6796" s="8">
        <v>0</v>
      </c>
      <c r="G6796" s="8">
        <v>6</v>
      </c>
      <c r="H6796" s="8" t="s">
        <v>13912</v>
      </c>
      <c r="I6796" s="8">
        <v>529.125</v>
      </c>
      <c r="J6796" s="3">
        <f t="shared" si="106"/>
        <v>43747.972512245367</v>
      </c>
    </row>
    <row r="6797" spans="1:10" x14ac:dyDescent="0.25">
      <c r="A6797" s="5" t="s">
        <v>13913</v>
      </c>
      <c r="B6797" s="6">
        <v>403.125</v>
      </c>
      <c r="C6797" s="6">
        <v>20.478950000000001</v>
      </c>
      <c r="D6797" s="6">
        <v>86</v>
      </c>
      <c r="E6797" s="6">
        <v>0</v>
      </c>
      <c r="F6797" s="6">
        <v>0</v>
      </c>
      <c r="G6797" s="6">
        <v>5</v>
      </c>
      <c r="H6797" s="6" t="s">
        <v>13914</v>
      </c>
      <c r="I6797" s="6">
        <v>529.125</v>
      </c>
      <c r="J6797" s="2">
        <f t="shared" si="106"/>
        <v>43747.972583599534</v>
      </c>
    </row>
    <row r="6798" spans="1:10" x14ac:dyDescent="0.25">
      <c r="A6798" s="7" t="s">
        <v>13915</v>
      </c>
      <c r="B6798" s="8">
        <v>421.875</v>
      </c>
      <c r="C6798" s="8">
        <v>20.478950000000001</v>
      </c>
      <c r="D6798" s="8">
        <v>85</v>
      </c>
      <c r="E6798" s="8">
        <v>0</v>
      </c>
      <c r="F6798" s="8">
        <v>0</v>
      </c>
      <c r="G6798" s="8">
        <v>4</v>
      </c>
      <c r="H6798" s="8" t="s">
        <v>13916</v>
      </c>
      <c r="I6798" s="8">
        <v>535.125</v>
      </c>
      <c r="J6798" s="3">
        <f t="shared" si="106"/>
        <v>43747.972654895835</v>
      </c>
    </row>
    <row r="6799" spans="1:10" x14ac:dyDescent="0.25">
      <c r="A6799" s="5" t="s">
        <v>13917</v>
      </c>
      <c r="B6799" s="6">
        <v>403.125</v>
      </c>
      <c r="C6799" s="6">
        <v>20.478950000000001</v>
      </c>
      <c r="D6799" s="6">
        <v>85</v>
      </c>
      <c r="E6799" s="6">
        <v>0</v>
      </c>
      <c r="F6799" s="6">
        <v>0</v>
      </c>
      <c r="G6799" s="6">
        <v>12</v>
      </c>
      <c r="H6799" s="6" t="s">
        <v>13918</v>
      </c>
      <c r="I6799" s="6">
        <v>529.125</v>
      </c>
      <c r="J6799" s="2">
        <f t="shared" si="106"/>
        <v>43747.972738553239</v>
      </c>
    </row>
    <row r="6800" spans="1:10" x14ac:dyDescent="0.25">
      <c r="A6800" s="7" t="s">
        <v>13919</v>
      </c>
      <c r="B6800" s="8">
        <v>403.125</v>
      </c>
      <c r="C6800" s="8">
        <v>20.478950000000001</v>
      </c>
      <c r="D6800" s="8">
        <v>84</v>
      </c>
      <c r="E6800" s="8">
        <v>0</v>
      </c>
      <c r="F6800" s="8">
        <v>0</v>
      </c>
      <c r="G6800" s="8">
        <v>3</v>
      </c>
      <c r="H6800" s="8" t="s">
        <v>13920</v>
      </c>
      <c r="I6800" s="8">
        <v>529.125</v>
      </c>
      <c r="J6800" s="3">
        <f t="shared" si="106"/>
        <v>43747.972810462961</v>
      </c>
    </row>
    <row r="6801" spans="1:10" x14ac:dyDescent="0.25">
      <c r="A6801" s="5" t="s">
        <v>13921</v>
      </c>
      <c r="B6801" s="6">
        <v>400</v>
      </c>
      <c r="C6801" s="6">
        <v>20.478950000000001</v>
      </c>
      <c r="D6801" s="6">
        <v>83</v>
      </c>
      <c r="E6801" s="6">
        <v>0</v>
      </c>
      <c r="F6801" s="6">
        <v>0</v>
      </c>
      <c r="G6801" s="6">
        <v>0</v>
      </c>
      <c r="H6801" s="6" t="s">
        <v>13922</v>
      </c>
      <c r="I6801" s="6">
        <v>528.9375</v>
      </c>
      <c r="J6801" s="2">
        <f t="shared" si="106"/>
        <v>43747.972881759262</v>
      </c>
    </row>
    <row r="6802" spans="1:10" x14ac:dyDescent="0.25">
      <c r="A6802" s="7" t="s">
        <v>13923</v>
      </c>
      <c r="B6802" s="8">
        <v>403.125</v>
      </c>
      <c r="C6802" s="8">
        <v>20.478950000000001</v>
      </c>
      <c r="D6802" s="8">
        <v>82</v>
      </c>
      <c r="E6802" s="8">
        <v>0</v>
      </c>
      <c r="F6802" s="8">
        <v>0</v>
      </c>
      <c r="G6802" s="8">
        <v>0</v>
      </c>
      <c r="H6802" s="8" t="s">
        <v>13924</v>
      </c>
      <c r="I6802" s="8">
        <v>529.125</v>
      </c>
      <c r="J6802" s="3">
        <f t="shared" si="106"/>
        <v>43747.972965092595</v>
      </c>
    </row>
    <row r="6803" spans="1:10" x14ac:dyDescent="0.25">
      <c r="A6803" s="5" t="s">
        <v>13925</v>
      </c>
      <c r="B6803" s="6">
        <v>400</v>
      </c>
      <c r="C6803" s="6">
        <v>20.478950000000001</v>
      </c>
      <c r="D6803" s="6">
        <v>83</v>
      </c>
      <c r="E6803" s="6">
        <v>0</v>
      </c>
      <c r="F6803" s="6">
        <v>0</v>
      </c>
      <c r="G6803" s="6">
        <v>4</v>
      </c>
      <c r="H6803" s="6" t="s">
        <v>13926</v>
      </c>
      <c r="I6803" s="6">
        <v>528.9375</v>
      </c>
      <c r="J6803" s="2">
        <f t="shared" si="106"/>
        <v>43747.973036435178</v>
      </c>
    </row>
    <row r="6804" spans="1:10" x14ac:dyDescent="0.25">
      <c r="A6804" s="7" t="s">
        <v>13927</v>
      </c>
      <c r="B6804" s="8">
        <v>400</v>
      </c>
      <c r="C6804" s="8">
        <v>20.478950000000001</v>
      </c>
      <c r="D6804" s="8">
        <v>82</v>
      </c>
      <c r="E6804" s="8">
        <v>0</v>
      </c>
      <c r="F6804" s="8">
        <v>0</v>
      </c>
      <c r="G6804" s="8">
        <v>1</v>
      </c>
      <c r="H6804" s="8" t="s">
        <v>13928</v>
      </c>
      <c r="I6804" s="8">
        <v>528.1875</v>
      </c>
      <c r="J6804" s="3">
        <f t="shared" si="106"/>
        <v>43747.973108692131</v>
      </c>
    </row>
    <row r="6805" spans="1:10" x14ac:dyDescent="0.25">
      <c r="A6805" s="5" t="s">
        <v>13929</v>
      </c>
      <c r="B6805" s="6">
        <v>418.75</v>
      </c>
      <c r="C6805" s="6">
        <v>20.478950000000001</v>
      </c>
      <c r="D6805" s="6">
        <v>82</v>
      </c>
      <c r="E6805" s="6">
        <v>0</v>
      </c>
      <c r="F6805" s="6">
        <v>0</v>
      </c>
      <c r="G6805" s="6">
        <v>6</v>
      </c>
      <c r="H6805" s="6" t="s">
        <v>13930</v>
      </c>
      <c r="I6805" s="6">
        <v>534</v>
      </c>
      <c r="J6805" s="2">
        <f t="shared" si="106"/>
        <v>43747.973179895831</v>
      </c>
    </row>
    <row r="6806" spans="1:10" x14ac:dyDescent="0.25">
      <c r="A6806" s="7" t="s">
        <v>13931</v>
      </c>
      <c r="B6806" s="8">
        <v>400</v>
      </c>
      <c r="C6806" s="8">
        <v>20.478950000000001</v>
      </c>
      <c r="D6806" s="8">
        <v>82</v>
      </c>
      <c r="E6806" s="8">
        <v>0</v>
      </c>
      <c r="F6806" s="8">
        <v>0</v>
      </c>
      <c r="G6806" s="8">
        <v>1</v>
      </c>
      <c r="H6806" s="8" t="s">
        <v>13932</v>
      </c>
      <c r="I6806" s="8">
        <v>528.1875</v>
      </c>
      <c r="J6806" s="3">
        <f t="shared" si="106"/>
        <v>43747.973251307871</v>
      </c>
    </row>
    <row r="6807" spans="1:10" x14ac:dyDescent="0.25">
      <c r="A6807" s="5" t="s">
        <v>13933</v>
      </c>
      <c r="B6807" s="6">
        <v>403.125</v>
      </c>
      <c r="C6807" s="6">
        <v>20.478950000000001</v>
      </c>
      <c r="D6807" s="6">
        <v>82</v>
      </c>
      <c r="E6807" s="6">
        <v>0</v>
      </c>
      <c r="F6807" s="6">
        <v>0</v>
      </c>
      <c r="G6807" s="6">
        <v>0</v>
      </c>
      <c r="H6807" s="6" t="s">
        <v>13934</v>
      </c>
      <c r="I6807" s="6">
        <v>529.125</v>
      </c>
      <c r="J6807" s="2">
        <f t="shared" si="106"/>
        <v>43747.973334490736</v>
      </c>
    </row>
    <row r="6808" spans="1:10" x14ac:dyDescent="0.25">
      <c r="A6808" s="7" t="s">
        <v>13935</v>
      </c>
      <c r="B6808" s="8">
        <v>403.125</v>
      </c>
      <c r="C6808" s="8">
        <v>20.478950000000001</v>
      </c>
      <c r="D6808" s="8">
        <v>83</v>
      </c>
      <c r="E6808" s="8">
        <v>0</v>
      </c>
      <c r="F6808" s="8">
        <v>0</v>
      </c>
      <c r="G6808" s="8">
        <v>0</v>
      </c>
      <c r="H6808" s="8" t="s">
        <v>13936</v>
      </c>
      <c r="I6808" s="8">
        <v>529.125</v>
      </c>
      <c r="J6808" s="3">
        <f t="shared" si="106"/>
        <v>43747.973406759258</v>
      </c>
    </row>
    <row r="6809" spans="1:10" x14ac:dyDescent="0.25">
      <c r="A6809" s="5" t="s">
        <v>13937</v>
      </c>
      <c r="B6809" s="6">
        <v>403.125</v>
      </c>
      <c r="C6809" s="6">
        <v>20.478950000000001</v>
      </c>
      <c r="D6809" s="6">
        <v>83</v>
      </c>
      <c r="E6809" s="6">
        <v>0</v>
      </c>
      <c r="F6809" s="6">
        <v>0</v>
      </c>
      <c r="G6809" s="6">
        <v>3</v>
      </c>
      <c r="H6809" s="6" t="s">
        <v>13938</v>
      </c>
      <c r="I6809" s="6">
        <v>529.125</v>
      </c>
      <c r="J6809" s="2">
        <f t="shared" si="106"/>
        <v>43747.973478043983</v>
      </c>
    </row>
    <row r="6810" spans="1:10" x14ac:dyDescent="0.25">
      <c r="A6810" s="7" t="s">
        <v>13939</v>
      </c>
      <c r="B6810" s="8">
        <v>403.125</v>
      </c>
      <c r="C6810" s="8">
        <v>20.478950000000001</v>
      </c>
      <c r="D6810" s="8">
        <v>80</v>
      </c>
      <c r="E6810" s="8">
        <v>0</v>
      </c>
      <c r="F6810" s="8">
        <v>0</v>
      </c>
      <c r="G6810" s="8">
        <v>3</v>
      </c>
      <c r="H6810" s="8" t="s">
        <v>13940</v>
      </c>
      <c r="I6810" s="8">
        <v>529.875</v>
      </c>
      <c r="J6810" s="3">
        <f t="shared" si="106"/>
        <v>43747.973555381941</v>
      </c>
    </row>
    <row r="6811" spans="1:10" x14ac:dyDescent="0.25">
      <c r="A6811" s="5" t="s">
        <v>13941</v>
      </c>
      <c r="B6811" s="6">
        <v>403.125</v>
      </c>
      <c r="C6811" s="6">
        <v>20.478950000000001</v>
      </c>
      <c r="D6811" s="6">
        <v>79</v>
      </c>
      <c r="E6811" s="6">
        <v>0</v>
      </c>
      <c r="F6811" s="6">
        <v>0</v>
      </c>
      <c r="G6811" s="6">
        <v>6</v>
      </c>
      <c r="H6811" s="6" t="s">
        <v>13942</v>
      </c>
      <c r="I6811" s="6">
        <v>529.875</v>
      </c>
      <c r="J6811" s="2">
        <f t="shared" si="106"/>
        <v>43747.973632743051</v>
      </c>
    </row>
    <row r="6812" spans="1:10" x14ac:dyDescent="0.25">
      <c r="A6812" s="7" t="s">
        <v>13943</v>
      </c>
      <c r="B6812" s="8">
        <v>421.875</v>
      </c>
      <c r="C6812" s="8">
        <v>20.478950000000001</v>
      </c>
      <c r="D6812" s="8">
        <v>79</v>
      </c>
      <c r="E6812" s="8">
        <v>0</v>
      </c>
      <c r="F6812" s="8">
        <v>0</v>
      </c>
      <c r="G6812" s="8">
        <v>10</v>
      </c>
      <c r="H6812" s="8" t="s">
        <v>13944</v>
      </c>
      <c r="I6812" s="8">
        <v>535.5</v>
      </c>
      <c r="J6812" s="3">
        <f t="shared" si="106"/>
        <v>43747.973704895827</v>
      </c>
    </row>
    <row r="6813" spans="1:10" x14ac:dyDescent="0.25">
      <c r="A6813" s="5" t="s">
        <v>13945</v>
      </c>
      <c r="B6813" s="6">
        <v>403.125</v>
      </c>
      <c r="C6813" s="6">
        <v>20.478950000000001</v>
      </c>
      <c r="D6813" s="6">
        <v>79</v>
      </c>
      <c r="E6813" s="6">
        <v>0</v>
      </c>
      <c r="F6813" s="6">
        <v>0</v>
      </c>
      <c r="G6813" s="6">
        <v>8</v>
      </c>
      <c r="H6813" s="6" t="s">
        <v>13946</v>
      </c>
      <c r="I6813" s="6">
        <v>529.125</v>
      </c>
      <c r="J6813" s="2">
        <f t="shared" si="106"/>
        <v>43747.973776203704</v>
      </c>
    </row>
    <row r="6814" spans="1:10" x14ac:dyDescent="0.25">
      <c r="A6814" s="7" t="s">
        <v>13947</v>
      </c>
      <c r="B6814" s="8">
        <v>403.125</v>
      </c>
      <c r="C6814" s="8">
        <v>20.478950000000001</v>
      </c>
      <c r="D6814" s="8">
        <v>79</v>
      </c>
      <c r="E6814" s="8">
        <v>0</v>
      </c>
      <c r="F6814" s="8">
        <v>0</v>
      </c>
      <c r="G6814" s="8">
        <v>11</v>
      </c>
      <c r="H6814" s="8" t="s">
        <v>13948</v>
      </c>
      <c r="I6814" s="8">
        <v>529.125</v>
      </c>
      <c r="J6814" s="3">
        <f t="shared" si="106"/>
        <v>43747.973859548605</v>
      </c>
    </row>
    <row r="6815" spans="1:10" x14ac:dyDescent="0.25">
      <c r="A6815" s="5" t="s">
        <v>13949</v>
      </c>
      <c r="B6815" s="6">
        <v>403.125</v>
      </c>
      <c r="C6815" s="6">
        <v>20.478950000000001</v>
      </c>
      <c r="D6815" s="6">
        <v>79</v>
      </c>
      <c r="E6815" s="6">
        <v>0</v>
      </c>
      <c r="F6815" s="6">
        <v>0</v>
      </c>
      <c r="G6815" s="6">
        <v>8</v>
      </c>
      <c r="H6815" s="6" t="s">
        <v>13950</v>
      </c>
      <c r="I6815" s="6">
        <v>529.125</v>
      </c>
      <c r="J6815" s="2">
        <f t="shared" si="106"/>
        <v>43747.973930960645</v>
      </c>
    </row>
    <row r="6816" spans="1:10" x14ac:dyDescent="0.25">
      <c r="A6816" s="7" t="s">
        <v>13951</v>
      </c>
      <c r="B6816" s="8">
        <v>403.125</v>
      </c>
      <c r="C6816" s="8">
        <v>20.478950000000001</v>
      </c>
      <c r="D6816" s="8">
        <v>79</v>
      </c>
      <c r="E6816" s="8">
        <v>0</v>
      </c>
      <c r="F6816" s="8">
        <v>0</v>
      </c>
      <c r="G6816" s="8">
        <v>9</v>
      </c>
      <c r="H6816" s="8" t="s">
        <v>13952</v>
      </c>
      <c r="I6816" s="8">
        <v>529.875</v>
      </c>
      <c r="J6816" s="3">
        <f t="shared" si="106"/>
        <v>43747.974002986106</v>
      </c>
    </row>
    <row r="6817" spans="1:10" x14ac:dyDescent="0.25">
      <c r="A6817" s="5" t="s">
        <v>13953</v>
      </c>
      <c r="B6817" s="6">
        <v>403.125</v>
      </c>
      <c r="C6817" s="6">
        <v>20.478950000000001</v>
      </c>
      <c r="D6817" s="6">
        <v>79</v>
      </c>
      <c r="E6817" s="6">
        <v>0</v>
      </c>
      <c r="F6817" s="6">
        <v>0</v>
      </c>
      <c r="G6817" s="6">
        <v>7</v>
      </c>
      <c r="H6817" s="6" t="s">
        <v>13954</v>
      </c>
      <c r="I6817" s="6">
        <v>529.875</v>
      </c>
      <c r="J6817" s="2">
        <f t="shared" si="106"/>
        <v>43747.974086319438</v>
      </c>
    </row>
    <row r="6818" spans="1:10" x14ac:dyDescent="0.25">
      <c r="A6818" s="7" t="s">
        <v>13955</v>
      </c>
      <c r="B6818" s="8">
        <v>403.125</v>
      </c>
      <c r="C6818" s="8">
        <v>20.478950000000001</v>
      </c>
      <c r="D6818" s="8">
        <v>79</v>
      </c>
      <c r="E6818" s="8">
        <v>0</v>
      </c>
      <c r="F6818" s="8">
        <v>0</v>
      </c>
      <c r="G6818" s="8">
        <v>9</v>
      </c>
      <c r="H6818" s="8" t="s">
        <v>13956</v>
      </c>
      <c r="I6818" s="8">
        <v>529.875</v>
      </c>
      <c r="J6818" s="3">
        <f t="shared" si="106"/>
        <v>43747.974157673605</v>
      </c>
    </row>
    <row r="6819" spans="1:10" x14ac:dyDescent="0.25">
      <c r="A6819" s="5" t="s">
        <v>13957</v>
      </c>
      <c r="B6819" s="6">
        <v>421.875</v>
      </c>
      <c r="C6819" s="6">
        <v>20.478950000000001</v>
      </c>
      <c r="D6819" s="6">
        <v>81</v>
      </c>
      <c r="E6819" s="6">
        <v>0</v>
      </c>
      <c r="F6819" s="6">
        <v>0</v>
      </c>
      <c r="G6819" s="6">
        <v>5</v>
      </c>
      <c r="H6819" s="6" t="s">
        <v>13958</v>
      </c>
      <c r="I6819" s="6">
        <v>535.5</v>
      </c>
      <c r="J6819" s="2">
        <f t="shared" si="106"/>
        <v>43747.974229085645</v>
      </c>
    </row>
    <row r="6820" spans="1:10" x14ac:dyDescent="0.25">
      <c r="A6820" s="7" t="s">
        <v>13959</v>
      </c>
      <c r="B6820" s="8">
        <v>403.125</v>
      </c>
      <c r="C6820" s="8">
        <v>20.478950000000001</v>
      </c>
      <c r="D6820" s="8">
        <v>81</v>
      </c>
      <c r="E6820" s="8">
        <v>0</v>
      </c>
      <c r="F6820" s="8">
        <v>0</v>
      </c>
      <c r="G6820" s="8">
        <v>14</v>
      </c>
      <c r="H6820" s="8" t="s">
        <v>13960</v>
      </c>
      <c r="I6820" s="8">
        <v>529.875</v>
      </c>
      <c r="J6820" s="3">
        <f t="shared" si="106"/>
        <v>43747.974301319446</v>
      </c>
    </row>
    <row r="6821" spans="1:10" x14ac:dyDescent="0.25">
      <c r="A6821" s="5" t="s">
        <v>13961</v>
      </c>
      <c r="B6821" s="6">
        <v>406.25</v>
      </c>
      <c r="C6821" s="6">
        <v>20.478950000000001</v>
      </c>
      <c r="D6821" s="6">
        <v>82</v>
      </c>
      <c r="E6821" s="6">
        <v>0</v>
      </c>
      <c r="F6821" s="6">
        <v>0</v>
      </c>
      <c r="G6821" s="6">
        <v>0</v>
      </c>
      <c r="H6821" s="6" t="s">
        <v>13962</v>
      </c>
      <c r="I6821" s="6">
        <v>530.625</v>
      </c>
      <c r="J6821" s="2">
        <f t="shared" si="106"/>
        <v>43747.974372499993</v>
      </c>
    </row>
    <row r="6822" spans="1:10" x14ac:dyDescent="0.25">
      <c r="A6822" s="7" t="s">
        <v>13963</v>
      </c>
      <c r="B6822" s="8">
        <v>406.25</v>
      </c>
      <c r="C6822" s="8">
        <v>20.478950000000001</v>
      </c>
      <c r="D6822" s="8">
        <v>82</v>
      </c>
      <c r="E6822" s="8">
        <v>0</v>
      </c>
      <c r="F6822" s="8">
        <v>0</v>
      </c>
      <c r="G6822" s="8">
        <v>5</v>
      </c>
      <c r="H6822" s="8" t="s">
        <v>13964</v>
      </c>
      <c r="I6822" s="8">
        <v>530.625</v>
      </c>
      <c r="J6822" s="3">
        <f t="shared" si="106"/>
        <v>43747.97445577546</v>
      </c>
    </row>
    <row r="6823" spans="1:10" x14ac:dyDescent="0.25">
      <c r="A6823" s="5" t="s">
        <v>13965</v>
      </c>
      <c r="B6823" s="6">
        <v>406.25</v>
      </c>
      <c r="C6823" s="6">
        <v>20.478950000000001</v>
      </c>
      <c r="D6823" s="6">
        <v>82</v>
      </c>
      <c r="E6823" s="6">
        <v>0</v>
      </c>
      <c r="F6823" s="6">
        <v>0</v>
      </c>
      <c r="G6823" s="6">
        <v>6</v>
      </c>
      <c r="H6823" s="6" t="s">
        <v>13966</v>
      </c>
      <c r="I6823" s="6">
        <v>530.625</v>
      </c>
      <c r="J6823" s="2">
        <f t="shared" si="106"/>
        <v>43747.974527175924</v>
      </c>
    </row>
    <row r="6824" spans="1:10" x14ac:dyDescent="0.25">
      <c r="A6824" s="7" t="s">
        <v>13967</v>
      </c>
      <c r="B6824" s="8">
        <v>406.25</v>
      </c>
      <c r="C6824" s="8">
        <v>20.478950000000001</v>
      </c>
      <c r="D6824" s="8">
        <v>80</v>
      </c>
      <c r="E6824" s="8">
        <v>0</v>
      </c>
      <c r="F6824" s="8">
        <v>0</v>
      </c>
      <c r="G6824" s="8">
        <v>10</v>
      </c>
      <c r="H6824" s="8" t="s">
        <v>13968</v>
      </c>
      <c r="I6824" s="8">
        <v>530.8125</v>
      </c>
      <c r="J6824" s="3">
        <f t="shared" si="106"/>
        <v>43747.974599340276</v>
      </c>
    </row>
    <row r="6825" spans="1:10" x14ac:dyDescent="0.25">
      <c r="A6825" s="5" t="s">
        <v>13969</v>
      </c>
      <c r="B6825" s="6">
        <v>406.25</v>
      </c>
      <c r="C6825" s="6">
        <v>20.478950000000001</v>
      </c>
      <c r="D6825" s="6">
        <v>80</v>
      </c>
      <c r="E6825" s="6">
        <v>0</v>
      </c>
      <c r="F6825" s="6">
        <v>0</v>
      </c>
      <c r="G6825" s="6">
        <v>6</v>
      </c>
      <c r="H6825" s="6" t="s">
        <v>13970</v>
      </c>
      <c r="I6825" s="6">
        <v>530.625</v>
      </c>
      <c r="J6825" s="2">
        <f t="shared" si="106"/>
        <v>43747.974670648146</v>
      </c>
    </row>
    <row r="6826" spans="1:10" x14ac:dyDescent="0.25">
      <c r="A6826" s="7" t="s">
        <v>13971</v>
      </c>
      <c r="B6826" s="8">
        <v>406.25</v>
      </c>
      <c r="C6826" s="8">
        <v>20.478950000000001</v>
      </c>
      <c r="D6826" s="8">
        <v>80</v>
      </c>
      <c r="E6826" s="8">
        <v>0</v>
      </c>
      <c r="F6826" s="8">
        <v>0</v>
      </c>
      <c r="G6826" s="8">
        <v>6</v>
      </c>
      <c r="H6826" s="8" t="s">
        <v>13972</v>
      </c>
      <c r="I6826" s="8">
        <v>530.625</v>
      </c>
      <c r="J6826" s="3">
        <f t="shared" si="106"/>
        <v>43747.974741932871</v>
      </c>
    </row>
    <row r="6827" spans="1:10" x14ac:dyDescent="0.25">
      <c r="A6827" s="5" t="s">
        <v>13973</v>
      </c>
      <c r="B6827" s="6">
        <v>406.25</v>
      </c>
      <c r="C6827" s="6">
        <v>20.478950000000001</v>
      </c>
      <c r="D6827" s="6">
        <v>79</v>
      </c>
      <c r="E6827" s="6">
        <v>0</v>
      </c>
      <c r="F6827" s="6">
        <v>0</v>
      </c>
      <c r="G6827" s="6">
        <v>3</v>
      </c>
      <c r="H6827" s="6" t="s">
        <v>13974</v>
      </c>
      <c r="I6827" s="6">
        <v>530.625</v>
      </c>
      <c r="J6827" s="2">
        <f t="shared" si="106"/>
        <v>43747.974814155088</v>
      </c>
    </row>
    <row r="6828" spans="1:10" x14ac:dyDescent="0.25">
      <c r="A6828" s="7" t="s">
        <v>13975</v>
      </c>
      <c r="B6828" s="8">
        <v>406.25</v>
      </c>
      <c r="C6828" s="8">
        <v>20.478950000000001</v>
      </c>
      <c r="D6828" s="8">
        <v>79</v>
      </c>
      <c r="E6828" s="8">
        <v>0</v>
      </c>
      <c r="F6828" s="8">
        <v>0</v>
      </c>
      <c r="G6828" s="8">
        <v>9</v>
      </c>
      <c r="H6828" s="8" t="s">
        <v>13976</v>
      </c>
      <c r="I6828" s="8">
        <v>530.8125</v>
      </c>
      <c r="J6828" s="3">
        <f t="shared" si="106"/>
        <v>43747.974885451382</v>
      </c>
    </row>
    <row r="6829" spans="1:10" x14ac:dyDescent="0.25">
      <c r="A6829" s="5" t="s">
        <v>13977</v>
      </c>
      <c r="B6829" s="6">
        <v>406.25</v>
      </c>
      <c r="C6829" s="6">
        <v>20.478950000000001</v>
      </c>
      <c r="D6829" s="6">
        <v>79</v>
      </c>
      <c r="E6829" s="6">
        <v>0</v>
      </c>
      <c r="F6829" s="6">
        <v>0</v>
      </c>
      <c r="G6829" s="6">
        <v>7</v>
      </c>
      <c r="H6829" s="6" t="s">
        <v>13978</v>
      </c>
      <c r="I6829" s="6">
        <v>530.625</v>
      </c>
      <c r="J6829" s="2">
        <f t="shared" si="106"/>
        <v>43747.974956759259</v>
      </c>
    </row>
    <row r="6830" spans="1:10" x14ac:dyDescent="0.25">
      <c r="A6830" s="7" t="s">
        <v>13979</v>
      </c>
      <c r="B6830" s="8">
        <v>406.25</v>
      </c>
      <c r="C6830" s="8">
        <v>20.478950000000001</v>
      </c>
      <c r="D6830" s="8">
        <v>79</v>
      </c>
      <c r="E6830" s="8">
        <v>0</v>
      </c>
      <c r="F6830" s="8">
        <v>0</v>
      </c>
      <c r="G6830" s="8">
        <v>3</v>
      </c>
      <c r="H6830" s="8" t="s">
        <v>13980</v>
      </c>
      <c r="I6830" s="8">
        <v>530.625</v>
      </c>
      <c r="J6830" s="3">
        <f t="shared" si="106"/>
        <v>43747.975028171299</v>
      </c>
    </row>
    <row r="6831" spans="1:10" x14ac:dyDescent="0.25">
      <c r="A6831" s="5" t="s">
        <v>13981</v>
      </c>
      <c r="B6831" s="6">
        <v>425</v>
      </c>
      <c r="C6831" s="6">
        <v>20.478950000000001</v>
      </c>
      <c r="D6831" s="6">
        <v>80</v>
      </c>
      <c r="E6831" s="6">
        <v>0</v>
      </c>
      <c r="F6831" s="6">
        <v>0</v>
      </c>
      <c r="G6831" s="6">
        <v>0</v>
      </c>
      <c r="H6831" s="6" t="s">
        <v>13982</v>
      </c>
      <c r="I6831" s="6">
        <v>536.4375</v>
      </c>
      <c r="J6831" s="2">
        <f t="shared" si="106"/>
        <v>43747.975100324074</v>
      </c>
    </row>
    <row r="6832" spans="1:10" x14ac:dyDescent="0.25">
      <c r="A6832" s="7" t="s">
        <v>13983</v>
      </c>
      <c r="B6832" s="8">
        <v>406.25</v>
      </c>
      <c r="C6832" s="8">
        <v>20.478950000000001</v>
      </c>
      <c r="D6832" s="8">
        <v>79</v>
      </c>
      <c r="E6832" s="8">
        <v>0</v>
      </c>
      <c r="F6832" s="8">
        <v>0</v>
      </c>
      <c r="G6832" s="8">
        <v>0</v>
      </c>
      <c r="H6832" s="8" t="s">
        <v>13984</v>
      </c>
      <c r="I6832" s="8">
        <v>530.8125</v>
      </c>
      <c r="J6832" s="3">
        <f t="shared" si="106"/>
        <v>43747.975171562495</v>
      </c>
    </row>
    <row r="6833" spans="1:10" x14ac:dyDescent="0.25">
      <c r="A6833" s="5" t="s">
        <v>13985</v>
      </c>
      <c r="B6833" s="6">
        <v>406.25</v>
      </c>
      <c r="C6833" s="6">
        <v>20.478950000000001</v>
      </c>
      <c r="D6833" s="6">
        <v>79</v>
      </c>
      <c r="E6833" s="6">
        <v>0</v>
      </c>
      <c r="F6833" s="6">
        <v>0</v>
      </c>
      <c r="G6833" s="6">
        <v>1</v>
      </c>
      <c r="H6833" s="6" t="s">
        <v>13986</v>
      </c>
      <c r="I6833" s="6">
        <v>530.8125</v>
      </c>
      <c r="J6833" s="2">
        <f t="shared" si="106"/>
        <v>43747.975278969905</v>
      </c>
    </row>
    <row r="6834" spans="1:10" x14ac:dyDescent="0.25">
      <c r="A6834" s="7" t="s">
        <v>13987</v>
      </c>
      <c r="B6834" s="8">
        <v>406.25</v>
      </c>
      <c r="C6834" s="8">
        <v>20.478950000000001</v>
      </c>
      <c r="D6834" s="8">
        <v>79</v>
      </c>
      <c r="E6834" s="8">
        <v>0</v>
      </c>
      <c r="F6834" s="8">
        <v>0</v>
      </c>
      <c r="G6834" s="8">
        <v>14</v>
      </c>
      <c r="H6834" s="8" t="s">
        <v>13988</v>
      </c>
      <c r="I6834" s="8">
        <v>530.625</v>
      </c>
      <c r="J6834" s="3">
        <f t="shared" si="106"/>
        <v>43747.975350266199</v>
      </c>
    </row>
    <row r="6835" spans="1:10" x14ac:dyDescent="0.25">
      <c r="A6835" s="5" t="s">
        <v>13989</v>
      </c>
      <c r="B6835" s="6">
        <v>406.25</v>
      </c>
      <c r="C6835" s="6">
        <v>20.478950000000001</v>
      </c>
      <c r="D6835" s="6">
        <v>80</v>
      </c>
      <c r="E6835" s="6">
        <v>0</v>
      </c>
      <c r="F6835" s="6">
        <v>0</v>
      </c>
      <c r="G6835" s="6">
        <v>9</v>
      </c>
      <c r="H6835" s="6" t="s">
        <v>13990</v>
      </c>
      <c r="I6835" s="6">
        <v>530.625</v>
      </c>
      <c r="J6835" s="2">
        <f t="shared" si="106"/>
        <v>43747.975421631942</v>
      </c>
    </row>
    <row r="6836" spans="1:10" x14ac:dyDescent="0.25">
      <c r="A6836" s="7" t="s">
        <v>13991</v>
      </c>
      <c r="B6836" s="8">
        <v>406.25</v>
      </c>
      <c r="C6836" s="8">
        <v>20.478950000000001</v>
      </c>
      <c r="D6836" s="8">
        <v>80</v>
      </c>
      <c r="E6836" s="8">
        <v>0</v>
      </c>
      <c r="F6836" s="8">
        <v>0</v>
      </c>
      <c r="G6836" s="8">
        <v>4</v>
      </c>
      <c r="H6836" s="8" t="s">
        <v>13992</v>
      </c>
      <c r="I6836" s="8">
        <v>530.625</v>
      </c>
      <c r="J6836" s="3">
        <f t="shared" si="106"/>
        <v>43747.975493784725</v>
      </c>
    </row>
    <row r="6837" spans="1:10" x14ac:dyDescent="0.25">
      <c r="A6837" s="5" t="s">
        <v>13993</v>
      </c>
      <c r="B6837" s="6">
        <v>425</v>
      </c>
      <c r="C6837" s="6">
        <v>20.478950000000001</v>
      </c>
      <c r="D6837" s="6">
        <v>81</v>
      </c>
      <c r="E6837" s="6">
        <v>0</v>
      </c>
      <c r="F6837" s="6">
        <v>0</v>
      </c>
      <c r="G6837" s="6">
        <v>3</v>
      </c>
      <c r="H6837" s="6" t="s">
        <v>13994</v>
      </c>
      <c r="I6837" s="6">
        <v>536.4375</v>
      </c>
      <c r="J6837" s="2">
        <f t="shared" si="106"/>
        <v>43747.975565138891</v>
      </c>
    </row>
    <row r="6838" spans="1:10" x14ac:dyDescent="0.25">
      <c r="A6838" s="7" t="s">
        <v>13995</v>
      </c>
      <c r="B6838" s="8">
        <v>409.375</v>
      </c>
      <c r="C6838" s="8">
        <v>20.478950000000001</v>
      </c>
      <c r="D6838" s="8">
        <v>81</v>
      </c>
      <c r="E6838" s="8">
        <v>0</v>
      </c>
      <c r="F6838" s="8">
        <v>0</v>
      </c>
      <c r="G6838" s="8">
        <v>3</v>
      </c>
      <c r="H6838" s="8" t="s">
        <v>13996</v>
      </c>
      <c r="I6838" s="8">
        <v>531.5625</v>
      </c>
      <c r="J6838" s="3">
        <f t="shared" si="106"/>
        <v>43747.975648356478</v>
      </c>
    </row>
    <row r="6839" spans="1:10" x14ac:dyDescent="0.25">
      <c r="A6839" s="5" t="s">
        <v>13997</v>
      </c>
      <c r="B6839" s="6">
        <v>409.375</v>
      </c>
      <c r="C6839" s="6">
        <v>20.478950000000001</v>
      </c>
      <c r="D6839" s="6">
        <v>82</v>
      </c>
      <c r="E6839" s="6">
        <v>0</v>
      </c>
      <c r="F6839" s="6">
        <v>0</v>
      </c>
      <c r="G6839" s="6">
        <v>7</v>
      </c>
      <c r="H6839" s="6" t="s">
        <v>13998</v>
      </c>
      <c r="I6839" s="6">
        <v>531.5625</v>
      </c>
      <c r="J6839" s="2">
        <f t="shared" si="106"/>
        <v>43747.975719780086</v>
      </c>
    </row>
    <row r="6840" spans="1:10" x14ac:dyDescent="0.25">
      <c r="A6840" s="7" t="s">
        <v>13999</v>
      </c>
      <c r="B6840" s="8">
        <v>412.5</v>
      </c>
      <c r="C6840" s="8">
        <v>20.478950000000001</v>
      </c>
      <c r="D6840" s="8">
        <v>82</v>
      </c>
      <c r="E6840" s="8">
        <v>0</v>
      </c>
      <c r="F6840" s="8">
        <v>0</v>
      </c>
      <c r="G6840" s="8">
        <v>8</v>
      </c>
      <c r="H6840" s="8" t="s">
        <v>14000</v>
      </c>
      <c r="I6840" s="8">
        <v>532.3125</v>
      </c>
      <c r="J6840" s="3">
        <f t="shared" si="106"/>
        <v>43747.975803148147</v>
      </c>
    </row>
    <row r="6841" spans="1:10" x14ac:dyDescent="0.25">
      <c r="A6841" s="5" t="s">
        <v>14001</v>
      </c>
      <c r="B6841" s="6">
        <v>412.5</v>
      </c>
      <c r="C6841" s="6">
        <v>20.478950000000001</v>
      </c>
      <c r="D6841" s="6">
        <v>80</v>
      </c>
      <c r="E6841" s="6">
        <v>0</v>
      </c>
      <c r="F6841" s="6">
        <v>0</v>
      </c>
      <c r="G6841" s="6">
        <v>3</v>
      </c>
      <c r="H6841" s="6" t="s">
        <v>14002</v>
      </c>
      <c r="I6841" s="6">
        <v>532.3125</v>
      </c>
      <c r="J6841" s="2">
        <f t="shared" si="106"/>
        <v>43747.975875196753</v>
      </c>
    </row>
    <row r="6842" spans="1:10" x14ac:dyDescent="0.25">
      <c r="A6842" s="7" t="s">
        <v>14003</v>
      </c>
      <c r="B6842" s="8">
        <v>412.5</v>
      </c>
      <c r="C6842" s="8">
        <v>20.478950000000001</v>
      </c>
      <c r="D6842" s="8">
        <v>80</v>
      </c>
      <c r="E6842" s="8">
        <v>0</v>
      </c>
      <c r="F6842" s="8">
        <v>0</v>
      </c>
      <c r="G6842" s="8">
        <v>10</v>
      </c>
      <c r="H6842" s="8" t="s">
        <v>14004</v>
      </c>
      <c r="I6842" s="8">
        <v>532.3125</v>
      </c>
      <c r="J6842" s="3">
        <f t="shared" si="106"/>
        <v>43747.97594655092</v>
      </c>
    </row>
    <row r="6843" spans="1:10" x14ac:dyDescent="0.25">
      <c r="A6843" s="5" t="s">
        <v>14005</v>
      </c>
      <c r="B6843" s="6">
        <v>412.5</v>
      </c>
      <c r="C6843" s="6">
        <v>20.478950000000001</v>
      </c>
      <c r="D6843" s="6">
        <v>79</v>
      </c>
      <c r="E6843" s="6">
        <v>0</v>
      </c>
      <c r="F6843" s="6">
        <v>0</v>
      </c>
      <c r="G6843" s="6">
        <v>16</v>
      </c>
      <c r="H6843" s="6" t="s">
        <v>14006</v>
      </c>
      <c r="I6843" s="6">
        <v>532.3125</v>
      </c>
      <c r="J6843" s="2">
        <f t="shared" si="106"/>
        <v>43747.976018032401</v>
      </c>
    </row>
    <row r="6844" spans="1:10" x14ac:dyDescent="0.25">
      <c r="A6844" s="7" t="s">
        <v>14007</v>
      </c>
      <c r="B6844" s="8">
        <v>428.125</v>
      </c>
      <c r="C6844" s="8">
        <v>20.478950000000001</v>
      </c>
      <c r="D6844" s="8">
        <v>79</v>
      </c>
      <c r="E6844" s="8">
        <v>0</v>
      </c>
      <c r="F6844" s="8">
        <v>0</v>
      </c>
      <c r="G6844" s="8">
        <v>6</v>
      </c>
      <c r="H6844" s="8" t="s">
        <v>14008</v>
      </c>
      <c r="I6844" s="8">
        <v>537.9375</v>
      </c>
      <c r="J6844" s="3">
        <f t="shared" si="106"/>
        <v>43747.976090069445</v>
      </c>
    </row>
    <row r="6845" spans="1:10" x14ac:dyDescent="0.25">
      <c r="A6845" s="5" t="s">
        <v>14009</v>
      </c>
      <c r="B6845" s="6">
        <v>406.25</v>
      </c>
      <c r="C6845" s="6">
        <v>20.478950000000001</v>
      </c>
      <c r="D6845" s="6">
        <v>78</v>
      </c>
      <c r="E6845" s="6">
        <v>0</v>
      </c>
      <c r="F6845" s="6">
        <v>0</v>
      </c>
      <c r="G6845" s="6">
        <v>11</v>
      </c>
      <c r="H6845" s="6" t="s">
        <v>14010</v>
      </c>
      <c r="I6845" s="6">
        <v>530.625</v>
      </c>
      <c r="J6845" s="2">
        <f t="shared" si="106"/>
        <v>43747.976161365739</v>
      </c>
    </row>
    <row r="6846" spans="1:10" x14ac:dyDescent="0.25">
      <c r="A6846" s="7" t="s">
        <v>14011</v>
      </c>
      <c r="B6846" s="8">
        <v>406.25</v>
      </c>
      <c r="C6846" s="8">
        <v>20.478950000000001</v>
      </c>
      <c r="D6846" s="8">
        <v>83</v>
      </c>
      <c r="E6846" s="8">
        <v>0</v>
      </c>
      <c r="F6846" s="8">
        <v>0</v>
      </c>
      <c r="G6846" s="8">
        <v>2</v>
      </c>
      <c r="H6846" s="8" t="s">
        <v>14012</v>
      </c>
      <c r="I6846" s="8">
        <v>530.8125</v>
      </c>
      <c r="J6846" s="3">
        <f t="shared" si="106"/>
        <v>43747.976232685185</v>
      </c>
    </row>
    <row r="6847" spans="1:10" x14ac:dyDescent="0.25">
      <c r="A6847" s="5" t="s">
        <v>14013</v>
      </c>
      <c r="B6847" s="6">
        <v>406.25</v>
      </c>
      <c r="C6847" s="6">
        <v>20.478950000000001</v>
      </c>
      <c r="D6847" s="6">
        <v>83</v>
      </c>
      <c r="E6847" s="6">
        <v>0</v>
      </c>
      <c r="F6847" s="6">
        <v>0</v>
      </c>
      <c r="G6847" s="6">
        <v>14</v>
      </c>
      <c r="H6847" s="6" t="s">
        <v>14014</v>
      </c>
      <c r="I6847" s="6">
        <v>530.625</v>
      </c>
      <c r="J6847" s="2">
        <f t="shared" si="106"/>
        <v>43747.9763040162</v>
      </c>
    </row>
    <row r="6848" spans="1:10" x14ac:dyDescent="0.25">
      <c r="A6848" s="7" t="s">
        <v>14015</v>
      </c>
      <c r="B6848" s="8">
        <v>406.25</v>
      </c>
      <c r="C6848" s="8">
        <v>20.478950000000001</v>
      </c>
      <c r="D6848" s="8">
        <v>83</v>
      </c>
      <c r="E6848" s="8">
        <v>0</v>
      </c>
      <c r="F6848" s="8">
        <v>0</v>
      </c>
      <c r="G6848" s="8">
        <v>4</v>
      </c>
      <c r="H6848" s="8" t="s">
        <v>14016</v>
      </c>
      <c r="I6848" s="8">
        <v>530.625</v>
      </c>
      <c r="J6848" s="3">
        <f t="shared" si="106"/>
        <v>43747.97637629629</v>
      </c>
    </row>
    <row r="6849" spans="1:10" x14ac:dyDescent="0.25">
      <c r="A6849" s="5" t="s">
        <v>14017</v>
      </c>
      <c r="B6849" s="6">
        <v>406.25</v>
      </c>
      <c r="C6849" s="6">
        <v>20.478950000000001</v>
      </c>
      <c r="D6849" s="6">
        <v>83</v>
      </c>
      <c r="E6849" s="6">
        <v>0</v>
      </c>
      <c r="F6849" s="6">
        <v>0</v>
      </c>
      <c r="G6849" s="6">
        <v>2</v>
      </c>
      <c r="H6849" s="6" t="s">
        <v>14018</v>
      </c>
      <c r="I6849" s="6">
        <v>530.8125</v>
      </c>
      <c r="J6849" s="2">
        <f t="shared" si="106"/>
        <v>43747.976447430548</v>
      </c>
    </row>
    <row r="6850" spans="1:10" x14ac:dyDescent="0.25">
      <c r="A6850" s="7" t="s">
        <v>14019</v>
      </c>
      <c r="B6850" s="8">
        <v>406.25</v>
      </c>
      <c r="C6850" s="8">
        <v>20.478950000000001</v>
      </c>
      <c r="D6850" s="8">
        <v>86</v>
      </c>
      <c r="E6850" s="8">
        <v>0</v>
      </c>
      <c r="F6850" s="8">
        <v>0</v>
      </c>
      <c r="G6850" s="8">
        <v>0</v>
      </c>
      <c r="H6850" s="8" t="s">
        <v>14020</v>
      </c>
      <c r="I6850" s="8">
        <v>530.625</v>
      </c>
      <c r="J6850" s="3">
        <f t="shared" ref="J6850:J6913" si="107">(H6850/86400000)+25569+(7/24)</f>
        <v>43747.976518796298</v>
      </c>
    </row>
    <row r="6851" spans="1:10" x14ac:dyDescent="0.25">
      <c r="A6851" s="5" t="s">
        <v>14021</v>
      </c>
      <c r="B6851" s="6">
        <v>406.25</v>
      </c>
      <c r="C6851" s="6">
        <v>20.478950000000001</v>
      </c>
      <c r="D6851" s="6">
        <v>86</v>
      </c>
      <c r="E6851" s="6">
        <v>0</v>
      </c>
      <c r="F6851" s="6">
        <v>0</v>
      </c>
      <c r="G6851" s="6">
        <v>14</v>
      </c>
      <c r="H6851" s="6" t="s">
        <v>14022</v>
      </c>
      <c r="I6851" s="6">
        <v>530.625</v>
      </c>
      <c r="J6851" s="2">
        <f t="shared" si="107"/>
        <v>43747.976590983795</v>
      </c>
    </row>
    <row r="6852" spans="1:10" x14ac:dyDescent="0.25">
      <c r="A6852" s="7" t="s">
        <v>14023</v>
      </c>
      <c r="B6852" s="8">
        <v>406.25</v>
      </c>
      <c r="C6852" s="8">
        <v>20.478950000000001</v>
      </c>
      <c r="D6852" s="8">
        <v>82</v>
      </c>
      <c r="E6852" s="8">
        <v>0</v>
      </c>
      <c r="F6852" s="8">
        <v>0</v>
      </c>
      <c r="G6852" s="8">
        <v>8</v>
      </c>
      <c r="H6852" s="8" t="s">
        <v>14024</v>
      </c>
      <c r="I6852" s="8">
        <v>530.8125</v>
      </c>
      <c r="J6852" s="3">
        <f t="shared" si="107"/>
        <v>43747.976662303241</v>
      </c>
    </row>
    <row r="6853" spans="1:10" x14ac:dyDescent="0.25">
      <c r="A6853" s="5" t="s">
        <v>14025</v>
      </c>
      <c r="B6853" s="6">
        <v>403.125</v>
      </c>
      <c r="C6853" s="6">
        <v>20.478950000000001</v>
      </c>
      <c r="D6853" s="6">
        <v>82</v>
      </c>
      <c r="E6853" s="6">
        <v>0</v>
      </c>
      <c r="F6853" s="6">
        <v>0</v>
      </c>
      <c r="G6853" s="6">
        <v>0</v>
      </c>
      <c r="H6853" s="6" t="s">
        <v>14026</v>
      </c>
      <c r="I6853" s="6">
        <v>529.875</v>
      </c>
      <c r="J6853" s="2">
        <f t="shared" si="107"/>
        <v>43747.976733668977</v>
      </c>
    </row>
    <row r="6854" spans="1:10" x14ac:dyDescent="0.25">
      <c r="A6854" s="7" t="s">
        <v>14027</v>
      </c>
      <c r="B6854" s="8">
        <v>403.125</v>
      </c>
      <c r="C6854" s="8">
        <v>20.478950000000001</v>
      </c>
      <c r="D6854" s="8">
        <v>83</v>
      </c>
      <c r="E6854" s="8">
        <v>0</v>
      </c>
      <c r="F6854" s="8">
        <v>0</v>
      </c>
      <c r="G6854" s="8">
        <v>8</v>
      </c>
      <c r="H6854" s="8" t="s">
        <v>14028</v>
      </c>
      <c r="I6854" s="8">
        <v>529.125</v>
      </c>
      <c r="J6854" s="3">
        <f t="shared" si="107"/>
        <v>43747.97680488426</v>
      </c>
    </row>
    <row r="6855" spans="1:10" x14ac:dyDescent="0.25">
      <c r="A6855" s="5" t="s">
        <v>14029</v>
      </c>
      <c r="B6855" s="6">
        <v>403.125</v>
      </c>
      <c r="C6855" s="6">
        <v>20.478950000000001</v>
      </c>
      <c r="D6855" s="6">
        <v>83</v>
      </c>
      <c r="E6855" s="6">
        <v>0</v>
      </c>
      <c r="F6855" s="6">
        <v>0</v>
      </c>
      <c r="G6855" s="6">
        <v>4</v>
      </c>
      <c r="H6855" s="6" t="s">
        <v>14030</v>
      </c>
      <c r="I6855" s="6">
        <v>529.125</v>
      </c>
      <c r="J6855" s="2">
        <f t="shared" si="107"/>
        <v>43747.976877083333</v>
      </c>
    </row>
    <row r="6856" spans="1:10" x14ac:dyDescent="0.25">
      <c r="A6856" s="7" t="s">
        <v>14031</v>
      </c>
      <c r="B6856" s="8">
        <v>403.125</v>
      </c>
      <c r="C6856" s="8">
        <v>20.478950000000001</v>
      </c>
      <c r="D6856" s="8">
        <v>84</v>
      </c>
      <c r="E6856" s="8">
        <v>0</v>
      </c>
      <c r="F6856" s="8">
        <v>0</v>
      </c>
      <c r="G6856" s="8">
        <v>11</v>
      </c>
      <c r="H6856" s="8" t="s">
        <v>14032</v>
      </c>
      <c r="I6856" s="8">
        <v>529.125</v>
      </c>
      <c r="J6856" s="3">
        <f t="shared" si="107"/>
        <v>43747.976948437499</v>
      </c>
    </row>
    <row r="6857" spans="1:10" x14ac:dyDescent="0.25">
      <c r="A6857" s="5" t="s">
        <v>14033</v>
      </c>
      <c r="B6857" s="6">
        <v>418.75</v>
      </c>
      <c r="C6857" s="6">
        <v>20.478950000000001</v>
      </c>
      <c r="D6857" s="6">
        <v>84</v>
      </c>
      <c r="E6857" s="6">
        <v>0</v>
      </c>
      <c r="F6857" s="6">
        <v>0</v>
      </c>
      <c r="G6857" s="6">
        <v>10</v>
      </c>
      <c r="H6857" s="6" t="s">
        <v>14034</v>
      </c>
      <c r="I6857" s="6">
        <v>534.75</v>
      </c>
      <c r="J6857" s="2">
        <f t="shared" si="107"/>
        <v>43747.977019699072</v>
      </c>
    </row>
    <row r="6858" spans="1:10" x14ac:dyDescent="0.25">
      <c r="A6858" s="7" t="s">
        <v>14035</v>
      </c>
      <c r="B6858" s="8">
        <v>403.125</v>
      </c>
      <c r="C6858" s="8">
        <v>20.478950000000001</v>
      </c>
      <c r="D6858" s="8">
        <v>86</v>
      </c>
      <c r="E6858" s="8">
        <v>0</v>
      </c>
      <c r="F6858" s="8">
        <v>0</v>
      </c>
      <c r="G6858" s="8">
        <v>8</v>
      </c>
      <c r="H6858" s="8" t="s">
        <v>14036</v>
      </c>
      <c r="I6858" s="8">
        <v>529.125</v>
      </c>
      <c r="J6858" s="3">
        <f t="shared" si="107"/>
        <v>43747.977094317124</v>
      </c>
    </row>
    <row r="6859" spans="1:10" x14ac:dyDescent="0.25">
      <c r="A6859" s="5" t="s">
        <v>14037</v>
      </c>
      <c r="B6859" s="6">
        <v>403.125</v>
      </c>
      <c r="C6859" s="6">
        <v>20.478950000000001</v>
      </c>
      <c r="D6859" s="6">
        <v>85</v>
      </c>
      <c r="E6859" s="6">
        <v>0</v>
      </c>
      <c r="F6859" s="6">
        <v>0</v>
      </c>
      <c r="G6859" s="6">
        <v>5</v>
      </c>
      <c r="H6859" s="6" t="s">
        <v>14038</v>
      </c>
      <c r="I6859" s="6">
        <v>529.125</v>
      </c>
      <c r="J6859" s="2">
        <f t="shared" si="107"/>
        <v>43747.977175196756</v>
      </c>
    </row>
    <row r="6860" spans="1:10" x14ac:dyDescent="0.25">
      <c r="A6860" s="7" t="s">
        <v>14039</v>
      </c>
      <c r="B6860" s="8">
        <v>403.125</v>
      </c>
      <c r="C6860" s="8">
        <v>20.478950000000001</v>
      </c>
      <c r="D6860" s="8">
        <v>85</v>
      </c>
      <c r="E6860" s="8">
        <v>0</v>
      </c>
      <c r="F6860" s="8">
        <v>0</v>
      </c>
      <c r="G6860" s="8">
        <v>6</v>
      </c>
      <c r="H6860" s="8" t="s">
        <v>14040</v>
      </c>
      <c r="I6860" s="8">
        <v>529.125</v>
      </c>
      <c r="J6860" s="3">
        <f t="shared" si="107"/>
        <v>43747.977246574075</v>
      </c>
    </row>
    <row r="6861" spans="1:10" x14ac:dyDescent="0.25">
      <c r="A6861" s="5" t="s">
        <v>14041</v>
      </c>
      <c r="B6861" s="6">
        <v>403.125</v>
      </c>
      <c r="C6861" s="6">
        <v>20.426300000000001</v>
      </c>
      <c r="D6861" s="6">
        <v>85</v>
      </c>
      <c r="E6861" s="6">
        <v>0</v>
      </c>
      <c r="F6861" s="6">
        <v>0</v>
      </c>
      <c r="G6861" s="6">
        <v>16</v>
      </c>
      <c r="H6861" s="6" t="s">
        <v>14042</v>
      </c>
      <c r="I6861" s="6">
        <v>529.125</v>
      </c>
      <c r="J6861" s="2">
        <f t="shared" si="107"/>
        <v>43747.977317870369</v>
      </c>
    </row>
    <row r="6862" spans="1:10" x14ac:dyDescent="0.25">
      <c r="A6862" s="7" t="s">
        <v>14043</v>
      </c>
      <c r="B6862" s="8">
        <v>403.125</v>
      </c>
      <c r="C6862" s="8">
        <v>20.478950000000001</v>
      </c>
      <c r="D6862" s="8">
        <v>83</v>
      </c>
      <c r="E6862" s="8">
        <v>0</v>
      </c>
      <c r="F6862" s="8">
        <v>0</v>
      </c>
      <c r="G6862" s="8">
        <v>9</v>
      </c>
      <c r="H6862" s="8" t="s">
        <v>14044</v>
      </c>
      <c r="I6862" s="8">
        <v>529.125</v>
      </c>
      <c r="J6862" s="3">
        <f t="shared" si="107"/>
        <v>43747.977389259257</v>
      </c>
    </row>
    <row r="6863" spans="1:10" x14ac:dyDescent="0.25">
      <c r="A6863" s="5" t="s">
        <v>14045</v>
      </c>
      <c r="B6863" s="6">
        <v>403.125</v>
      </c>
      <c r="C6863" s="6">
        <v>20.478950000000001</v>
      </c>
      <c r="D6863" s="6">
        <v>83</v>
      </c>
      <c r="E6863" s="6">
        <v>0</v>
      </c>
      <c r="F6863" s="6">
        <v>0</v>
      </c>
      <c r="G6863" s="6">
        <v>13</v>
      </c>
      <c r="H6863" s="6" t="s">
        <v>14046</v>
      </c>
      <c r="I6863" s="6">
        <v>529.125</v>
      </c>
      <c r="J6863" s="2">
        <f t="shared" si="107"/>
        <v>43747.977461365743</v>
      </c>
    </row>
    <row r="6864" spans="1:10" x14ac:dyDescent="0.25">
      <c r="A6864" s="7" t="s">
        <v>14047</v>
      </c>
      <c r="B6864" s="8">
        <v>403.125</v>
      </c>
      <c r="C6864" s="8">
        <v>20.478950000000001</v>
      </c>
      <c r="D6864" s="8">
        <v>83</v>
      </c>
      <c r="E6864" s="8">
        <v>0</v>
      </c>
      <c r="F6864" s="8">
        <v>0</v>
      </c>
      <c r="G6864" s="8">
        <v>14</v>
      </c>
      <c r="H6864" s="8" t="s">
        <v>14048</v>
      </c>
      <c r="I6864" s="8">
        <v>529.6875</v>
      </c>
      <c r="J6864" s="3">
        <f t="shared" si="107"/>
        <v>43747.977543842593</v>
      </c>
    </row>
    <row r="6865" spans="1:10" x14ac:dyDescent="0.25">
      <c r="A6865" s="5" t="s">
        <v>14049</v>
      </c>
      <c r="B6865" s="6">
        <v>406.25</v>
      </c>
      <c r="C6865" s="6">
        <v>20.478950000000001</v>
      </c>
      <c r="D6865" s="6">
        <v>82</v>
      </c>
      <c r="E6865" s="6">
        <v>0</v>
      </c>
      <c r="F6865" s="6">
        <v>0</v>
      </c>
      <c r="G6865" s="6">
        <v>2</v>
      </c>
      <c r="H6865" s="6" t="s">
        <v>14050</v>
      </c>
      <c r="I6865" s="6">
        <v>530.625</v>
      </c>
      <c r="J6865" s="2">
        <f t="shared" si="107"/>
        <v>43747.977615995369</v>
      </c>
    </row>
    <row r="6866" spans="1:10" x14ac:dyDescent="0.25">
      <c r="A6866" s="7" t="s">
        <v>14051</v>
      </c>
      <c r="B6866" s="8">
        <v>406.25</v>
      </c>
      <c r="C6866" s="8">
        <v>20.478950000000001</v>
      </c>
      <c r="D6866" s="8">
        <v>81</v>
      </c>
      <c r="E6866" s="8">
        <v>0</v>
      </c>
      <c r="F6866" s="8">
        <v>0</v>
      </c>
      <c r="G6866" s="8">
        <v>9</v>
      </c>
      <c r="H6866" s="8" t="s">
        <v>14052</v>
      </c>
      <c r="I6866" s="8">
        <v>530.625</v>
      </c>
      <c r="J6866" s="3">
        <f t="shared" si="107"/>
        <v>43747.977687418977</v>
      </c>
    </row>
    <row r="6867" spans="1:10" x14ac:dyDescent="0.25">
      <c r="A6867" s="5" t="s">
        <v>14053</v>
      </c>
      <c r="B6867" s="6">
        <v>406.25</v>
      </c>
      <c r="C6867" s="6">
        <v>20.478950000000001</v>
      </c>
      <c r="D6867" s="6">
        <v>81</v>
      </c>
      <c r="E6867" s="6">
        <v>0</v>
      </c>
      <c r="F6867" s="6">
        <v>0</v>
      </c>
      <c r="G6867" s="6">
        <v>15</v>
      </c>
      <c r="H6867" s="6" t="s">
        <v>14054</v>
      </c>
      <c r="I6867" s="6">
        <v>530.8125</v>
      </c>
      <c r="J6867" s="2">
        <f t="shared" si="107"/>
        <v>43747.977759293979</v>
      </c>
    </row>
    <row r="6868" spans="1:10" x14ac:dyDescent="0.25">
      <c r="A6868" s="7" t="s">
        <v>14055</v>
      </c>
      <c r="B6868" s="8">
        <v>409.375</v>
      </c>
      <c r="C6868" s="8">
        <v>20.478950000000001</v>
      </c>
      <c r="D6868" s="8">
        <v>81</v>
      </c>
      <c r="E6868" s="8">
        <v>0</v>
      </c>
      <c r="F6868" s="8">
        <v>0</v>
      </c>
      <c r="G6868" s="8">
        <v>15</v>
      </c>
      <c r="H6868" s="8" t="s">
        <v>14056</v>
      </c>
      <c r="I6868" s="8">
        <v>531.5625</v>
      </c>
      <c r="J6868" s="3">
        <f t="shared" si="107"/>
        <v>43747.977830752316</v>
      </c>
    </row>
    <row r="6869" spans="1:10" x14ac:dyDescent="0.25">
      <c r="A6869" s="5" t="s">
        <v>14057</v>
      </c>
      <c r="B6869" s="6">
        <v>409.375</v>
      </c>
      <c r="C6869" s="6">
        <v>20.478950000000001</v>
      </c>
      <c r="D6869" s="6">
        <v>81</v>
      </c>
      <c r="E6869" s="6">
        <v>0</v>
      </c>
      <c r="F6869" s="6">
        <v>0</v>
      </c>
      <c r="G6869" s="6">
        <v>3</v>
      </c>
      <c r="H6869" s="6" t="s">
        <v>14058</v>
      </c>
      <c r="I6869" s="6">
        <v>531.375</v>
      </c>
      <c r="J6869" s="2">
        <f t="shared" si="107"/>
        <v>43747.977902106482</v>
      </c>
    </row>
    <row r="6870" spans="1:10" x14ac:dyDescent="0.25">
      <c r="A6870" s="7" t="s">
        <v>14059</v>
      </c>
      <c r="B6870" s="8">
        <v>409.375</v>
      </c>
      <c r="C6870" s="8">
        <v>20.478950000000001</v>
      </c>
      <c r="D6870" s="8">
        <v>81</v>
      </c>
      <c r="E6870" s="8">
        <v>0</v>
      </c>
      <c r="F6870" s="8">
        <v>0</v>
      </c>
      <c r="G6870" s="8">
        <v>4</v>
      </c>
      <c r="H6870" s="8" t="s">
        <v>14060</v>
      </c>
      <c r="I6870" s="8">
        <v>531.5625</v>
      </c>
      <c r="J6870" s="3">
        <f t="shared" si="107"/>
        <v>43747.977974340276</v>
      </c>
    </row>
    <row r="6871" spans="1:10" x14ac:dyDescent="0.25">
      <c r="A6871" s="5" t="s">
        <v>14061</v>
      </c>
      <c r="B6871" s="6">
        <v>412.5</v>
      </c>
      <c r="C6871" s="6">
        <v>20.478950000000001</v>
      </c>
      <c r="D6871" s="6">
        <v>81</v>
      </c>
      <c r="E6871" s="6">
        <v>0</v>
      </c>
      <c r="F6871" s="6">
        <v>0</v>
      </c>
      <c r="G6871" s="6">
        <v>5</v>
      </c>
      <c r="H6871" s="6" t="s">
        <v>14062</v>
      </c>
      <c r="I6871" s="6">
        <v>532.3125</v>
      </c>
      <c r="J6871" s="2">
        <f t="shared" si="107"/>
        <v>43747.978057673608</v>
      </c>
    </row>
    <row r="6872" spans="1:10" x14ac:dyDescent="0.25">
      <c r="A6872" s="7" t="s">
        <v>14063</v>
      </c>
      <c r="B6872" s="8">
        <v>409.375</v>
      </c>
      <c r="C6872" s="8">
        <v>20.478950000000001</v>
      </c>
      <c r="D6872" s="8">
        <v>80</v>
      </c>
      <c r="E6872" s="8">
        <v>0</v>
      </c>
      <c r="F6872" s="8">
        <v>0</v>
      </c>
      <c r="G6872" s="8">
        <v>8</v>
      </c>
      <c r="H6872" s="8" t="s">
        <v>14064</v>
      </c>
      <c r="I6872" s="8">
        <v>531.5625</v>
      </c>
      <c r="J6872" s="3">
        <f t="shared" si="107"/>
        <v>43747.978128981478</v>
      </c>
    </row>
    <row r="6873" spans="1:10" x14ac:dyDescent="0.25">
      <c r="A6873" s="5" t="s">
        <v>14065</v>
      </c>
      <c r="B6873" s="6">
        <v>409.375</v>
      </c>
      <c r="C6873" s="6">
        <v>20.478950000000001</v>
      </c>
      <c r="D6873" s="6">
        <v>81</v>
      </c>
      <c r="E6873" s="6">
        <v>0</v>
      </c>
      <c r="F6873" s="6">
        <v>0</v>
      </c>
      <c r="G6873" s="6">
        <v>10</v>
      </c>
      <c r="H6873" s="6" t="s">
        <v>14066</v>
      </c>
      <c r="I6873" s="6">
        <v>531.5625</v>
      </c>
      <c r="J6873" s="2">
        <f t="shared" si="107"/>
        <v>43747.978214351846</v>
      </c>
    </row>
    <row r="6874" spans="1:10" x14ac:dyDescent="0.25">
      <c r="A6874" s="7" t="s">
        <v>14067</v>
      </c>
      <c r="B6874" s="8">
        <v>406.25</v>
      </c>
      <c r="C6874" s="8">
        <v>20.478950000000001</v>
      </c>
      <c r="D6874" s="8">
        <v>82</v>
      </c>
      <c r="E6874" s="8">
        <v>0</v>
      </c>
      <c r="F6874" s="8">
        <v>0</v>
      </c>
      <c r="G6874" s="8">
        <v>10</v>
      </c>
      <c r="H6874" s="8" t="s">
        <v>14068</v>
      </c>
      <c r="I6874" s="8">
        <v>530.625</v>
      </c>
      <c r="J6874" s="3">
        <f t="shared" si="107"/>
        <v>43747.978295694447</v>
      </c>
    </row>
    <row r="6875" spans="1:10" x14ac:dyDescent="0.25">
      <c r="A6875" s="5" t="s">
        <v>14069</v>
      </c>
      <c r="B6875" s="6">
        <v>403.125</v>
      </c>
      <c r="C6875" s="6">
        <v>20.478950000000001</v>
      </c>
      <c r="D6875" s="6">
        <v>82</v>
      </c>
      <c r="E6875" s="6">
        <v>0</v>
      </c>
      <c r="F6875" s="6">
        <v>0</v>
      </c>
      <c r="G6875" s="6">
        <v>8</v>
      </c>
      <c r="H6875" s="6" t="s">
        <v>14070</v>
      </c>
      <c r="I6875" s="6">
        <v>529.875</v>
      </c>
      <c r="J6875" s="2">
        <f t="shared" si="107"/>
        <v>43747.978367847223</v>
      </c>
    </row>
    <row r="6876" spans="1:10" x14ac:dyDescent="0.25">
      <c r="A6876" s="7" t="s">
        <v>14071</v>
      </c>
      <c r="B6876" s="8">
        <v>403.125</v>
      </c>
      <c r="C6876" s="8">
        <v>20.478950000000001</v>
      </c>
      <c r="D6876" s="8">
        <v>84</v>
      </c>
      <c r="E6876" s="8">
        <v>0</v>
      </c>
      <c r="F6876" s="8">
        <v>0</v>
      </c>
      <c r="G6876" s="8">
        <v>2</v>
      </c>
      <c r="H6876" s="8" t="s">
        <v>14072</v>
      </c>
      <c r="I6876" s="8">
        <v>529.875</v>
      </c>
      <c r="J6876" s="3">
        <f t="shared" si="107"/>
        <v>43747.978453877316</v>
      </c>
    </row>
    <row r="6877" spans="1:10" x14ac:dyDescent="0.25">
      <c r="A6877" s="5" t="s">
        <v>14073</v>
      </c>
      <c r="B6877" s="6">
        <v>403.125</v>
      </c>
      <c r="C6877" s="6">
        <v>20.478950000000001</v>
      </c>
      <c r="D6877" s="6">
        <v>84</v>
      </c>
      <c r="E6877" s="6">
        <v>0</v>
      </c>
      <c r="F6877" s="6">
        <v>0</v>
      </c>
      <c r="G6877" s="6">
        <v>6</v>
      </c>
      <c r="H6877" s="6" t="s">
        <v>14074</v>
      </c>
      <c r="I6877" s="6">
        <v>529.125</v>
      </c>
      <c r="J6877" s="2">
        <f t="shared" si="107"/>
        <v>43747.978534513888</v>
      </c>
    </row>
    <row r="6878" spans="1:10" x14ac:dyDescent="0.25">
      <c r="A6878" s="7" t="s">
        <v>14075</v>
      </c>
      <c r="B6878" s="8">
        <v>403.125</v>
      </c>
      <c r="C6878" s="8">
        <v>20.478950000000001</v>
      </c>
      <c r="D6878" s="8">
        <v>84</v>
      </c>
      <c r="E6878" s="8">
        <v>0</v>
      </c>
      <c r="F6878" s="8">
        <v>0</v>
      </c>
      <c r="G6878" s="8">
        <v>4</v>
      </c>
      <c r="H6878" s="8" t="s">
        <v>14076</v>
      </c>
      <c r="I6878" s="8">
        <v>529.125</v>
      </c>
      <c r="J6878" s="3">
        <f t="shared" si="107"/>
        <v>43747.978605810182</v>
      </c>
    </row>
    <row r="6879" spans="1:10" x14ac:dyDescent="0.25">
      <c r="A6879" s="5" t="s">
        <v>14077</v>
      </c>
      <c r="B6879" s="6">
        <v>403.125</v>
      </c>
      <c r="C6879" s="6">
        <v>20.478950000000001</v>
      </c>
      <c r="D6879" s="6">
        <v>81</v>
      </c>
      <c r="E6879" s="6">
        <v>0</v>
      </c>
      <c r="F6879" s="6">
        <v>0</v>
      </c>
      <c r="G6879" s="6">
        <v>12</v>
      </c>
      <c r="H6879" s="6" t="s">
        <v>14078</v>
      </c>
      <c r="I6879" s="6">
        <v>529.125</v>
      </c>
      <c r="J6879" s="2">
        <f t="shared" si="107"/>
        <v>43747.978689282405</v>
      </c>
    </row>
    <row r="6880" spans="1:10" x14ac:dyDescent="0.25">
      <c r="A6880" s="7" t="s">
        <v>14079</v>
      </c>
      <c r="B6880" s="8">
        <v>403.125</v>
      </c>
      <c r="C6880" s="8">
        <v>20.426300000000001</v>
      </c>
      <c r="D6880" s="8">
        <v>83</v>
      </c>
      <c r="E6880" s="8">
        <v>0</v>
      </c>
      <c r="F6880" s="8">
        <v>0</v>
      </c>
      <c r="G6880" s="8">
        <v>13</v>
      </c>
      <c r="H6880" s="8" t="s">
        <v>14080</v>
      </c>
      <c r="I6880" s="8">
        <v>529.125</v>
      </c>
      <c r="J6880" s="3">
        <f t="shared" si="107"/>
        <v>43747.978761493054</v>
      </c>
    </row>
    <row r="6881" spans="1:10" x14ac:dyDescent="0.25">
      <c r="A6881" s="5" t="s">
        <v>14081</v>
      </c>
      <c r="B6881" s="6">
        <v>403.125</v>
      </c>
      <c r="C6881" s="6">
        <v>20.478950000000001</v>
      </c>
      <c r="D6881" s="6">
        <v>83</v>
      </c>
      <c r="E6881" s="6">
        <v>0</v>
      </c>
      <c r="F6881" s="6">
        <v>0</v>
      </c>
      <c r="G6881" s="6">
        <v>12</v>
      </c>
      <c r="H6881" s="6" t="s">
        <v>14082</v>
      </c>
      <c r="I6881" s="6">
        <v>529.125</v>
      </c>
      <c r="J6881" s="2">
        <f t="shared" si="107"/>
        <v>43747.978832662033</v>
      </c>
    </row>
    <row r="6882" spans="1:10" x14ac:dyDescent="0.25">
      <c r="A6882" s="7" t="s">
        <v>14083</v>
      </c>
      <c r="B6882" s="8">
        <v>403.125</v>
      </c>
      <c r="C6882" s="8">
        <v>20.478950000000001</v>
      </c>
      <c r="D6882" s="8">
        <v>83</v>
      </c>
      <c r="E6882" s="8">
        <v>0</v>
      </c>
      <c r="F6882" s="8">
        <v>0</v>
      </c>
      <c r="G6882" s="8">
        <v>10</v>
      </c>
      <c r="H6882" s="8" t="s">
        <v>14084</v>
      </c>
      <c r="I6882" s="8">
        <v>529.125</v>
      </c>
      <c r="J6882" s="3">
        <f t="shared" si="107"/>
        <v>43747.978903958334</v>
      </c>
    </row>
    <row r="6883" spans="1:10" x14ac:dyDescent="0.25">
      <c r="A6883" s="5" t="s">
        <v>14085</v>
      </c>
      <c r="B6883" s="6">
        <v>396.875</v>
      </c>
      <c r="C6883" s="6">
        <v>20.478950000000001</v>
      </c>
      <c r="D6883" s="6">
        <v>83</v>
      </c>
      <c r="E6883" s="6">
        <v>0</v>
      </c>
      <c r="F6883" s="6">
        <v>0</v>
      </c>
      <c r="G6883" s="6">
        <v>7</v>
      </c>
      <c r="H6883" s="6" t="s">
        <v>14086</v>
      </c>
      <c r="I6883" s="6">
        <v>527.4375</v>
      </c>
      <c r="J6883" s="2">
        <f t="shared" si="107"/>
        <v>43747.978976122678</v>
      </c>
    </row>
    <row r="6884" spans="1:10" x14ac:dyDescent="0.25">
      <c r="A6884" s="7" t="s">
        <v>14087</v>
      </c>
      <c r="B6884" s="8">
        <v>393.75</v>
      </c>
      <c r="C6884" s="8">
        <v>20.478950000000001</v>
      </c>
      <c r="D6884" s="8">
        <v>83</v>
      </c>
      <c r="E6884" s="8">
        <v>0</v>
      </c>
      <c r="F6884" s="8">
        <v>0</v>
      </c>
      <c r="G6884" s="8">
        <v>0</v>
      </c>
      <c r="H6884" s="8" t="s">
        <v>14088</v>
      </c>
      <c r="I6884" s="8">
        <v>526.6875</v>
      </c>
      <c r="J6884" s="3">
        <f t="shared" si="107"/>
        <v>43747.979047476845</v>
      </c>
    </row>
    <row r="6885" spans="1:10" x14ac:dyDescent="0.25">
      <c r="A6885" s="5" t="s">
        <v>14089</v>
      </c>
      <c r="B6885" s="6">
        <v>393.75</v>
      </c>
      <c r="C6885" s="6">
        <v>20.478950000000001</v>
      </c>
      <c r="D6885" s="6">
        <v>84</v>
      </c>
      <c r="E6885" s="6">
        <v>0</v>
      </c>
      <c r="F6885" s="6">
        <v>0</v>
      </c>
      <c r="G6885" s="6">
        <v>18</v>
      </c>
      <c r="H6885" s="6" t="s">
        <v>14090</v>
      </c>
      <c r="I6885" s="6">
        <v>526.6875</v>
      </c>
      <c r="J6885" s="2">
        <f t="shared" si="107"/>
        <v>43747.979130821761</v>
      </c>
    </row>
    <row r="6886" spans="1:10" x14ac:dyDescent="0.25">
      <c r="A6886" s="7" t="s">
        <v>14091</v>
      </c>
      <c r="B6886" s="8">
        <v>393.75</v>
      </c>
      <c r="C6886" s="8">
        <v>20.478950000000001</v>
      </c>
      <c r="D6886" s="8">
        <v>83</v>
      </c>
      <c r="E6886" s="8">
        <v>0</v>
      </c>
      <c r="F6886" s="8">
        <v>0</v>
      </c>
      <c r="G6886" s="8">
        <v>8</v>
      </c>
      <c r="H6886" s="8" t="s">
        <v>14092</v>
      </c>
      <c r="I6886" s="8">
        <v>526.6875</v>
      </c>
      <c r="J6886" s="3">
        <f t="shared" si="107"/>
        <v>43747.979202222217</v>
      </c>
    </row>
    <row r="6887" spans="1:10" x14ac:dyDescent="0.25">
      <c r="A6887" s="5" t="s">
        <v>14093</v>
      </c>
      <c r="B6887" s="6">
        <v>393.75</v>
      </c>
      <c r="C6887" s="6">
        <v>20.478950000000001</v>
      </c>
      <c r="D6887" s="6">
        <v>83</v>
      </c>
      <c r="E6887" s="6">
        <v>0</v>
      </c>
      <c r="F6887" s="6">
        <v>0</v>
      </c>
      <c r="G6887" s="6">
        <v>5</v>
      </c>
      <c r="H6887" s="6" t="s">
        <v>14094</v>
      </c>
      <c r="I6887" s="6">
        <v>526.6875</v>
      </c>
      <c r="J6887" s="2">
        <f t="shared" si="107"/>
        <v>43747.979274293983</v>
      </c>
    </row>
    <row r="6888" spans="1:10" x14ac:dyDescent="0.25">
      <c r="A6888" s="7" t="s">
        <v>14095</v>
      </c>
      <c r="B6888" s="8">
        <v>412.5</v>
      </c>
      <c r="C6888" s="8">
        <v>20.478950000000001</v>
      </c>
      <c r="D6888" s="8">
        <v>83</v>
      </c>
      <c r="E6888" s="8">
        <v>0</v>
      </c>
      <c r="F6888" s="8">
        <v>0</v>
      </c>
      <c r="G6888" s="8">
        <v>9</v>
      </c>
      <c r="H6888" s="8" t="s">
        <v>14096</v>
      </c>
      <c r="I6888" s="8">
        <v>532.3125</v>
      </c>
      <c r="J6888" s="3">
        <f t="shared" si="107"/>
        <v>43747.979345636573</v>
      </c>
    </row>
    <row r="6889" spans="1:10" x14ac:dyDescent="0.25">
      <c r="A6889" s="5" t="s">
        <v>14097</v>
      </c>
      <c r="B6889" s="6">
        <v>393.75</v>
      </c>
      <c r="C6889" s="6">
        <v>20.478950000000001</v>
      </c>
      <c r="D6889" s="6">
        <v>83</v>
      </c>
      <c r="E6889" s="6">
        <v>0</v>
      </c>
      <c r="F6889" s="6">
        <v>0</v>
      </c>
      <c r="G6889" s="6">
        <v>10</v>
      </c>
      <c r="H6889" s="6" t="s">
        <v>14098</v>
      </c>
      <c r="I6889" s="6">
        <v>526.6875</v>
      </c>
      <c r="J6889" s="2">
        <f t="shared" si="107"/>
        <v>43747.979423414348</v>
      </c>
    </row>
    <row r="6890" spans="1:10" x14ac:dyDescent="0.25">
      <c r="A6890" s="7" t="s">
        <v>14099</v>
      </c>
      <c r="B6890" s="8">
        <v>393.75</v>
      </c>
      <c r="C6890" s="8">
        <v>20.478950000000001</v>
      </c>
      <c r="D6890" s="8">
        <v>84</v>
      </c>
      <c r="E6890" s="8">
        <v>0</v>
      </c>
      <c r="F6890" s="8">
        <v>0</v>
      </c>
      <c r="G6890" s="8">
        <v>12</v>
      </c>
      <c r="H6890" s="8" t="s">
        <v>14100</v>
      </c>
      <c r="I6890" s="8">
        <v>526.6875</v>
      </c>
      <c r="J6890" s="3">
        <f t="shared" si="107"/>
        <v>43747.979500335648</v>
      </c>
    </row>
    <row r="6891" spans="1:10" x14ac:dyDescent="0.25">
      <c r="A6891" s="5" t="s">
        <v>14101</v>
      </c>
      <c r="B6891" s="6">
        <v>393.75</v>
      </c>
      <c r="C6891" s="6">
        <v>20.478950000000001</v>
      </c>
      <c r="D6891" s="6">
        <v>83</v>
      </c>
      <c r="E6891" s="6">
        <v>0</v>
      </c>
      <c r="F6891" s="6">
        <v>0</v>
      </c>
      <c r="G6891" s="6">
        <v>6</v>
      </c>
      <c r="H6891" s="6" t="s">
        <v>14102</v>
      </c>
      <c r="I6891" s="6">
        <v>526.6875</v>
      </c>
      <c r="J6891" s="2">
        <f t="shared" si="107"/>
        <v>43747.979572314813</v>
      </c>
    </row>
    <row r="6892" spans="1:10" x14ac:dyDescent="0.25">
      <c r="A6892" s="7" t="s">
        <v>14103</v>
      </c>
      <c r="B6892" s="8">
        <v>393.75</v>
      </c>
      <c r="C6892" s="8">
        <v>20.478950000000001</v>
      </c>
      <c r="D6892" s="8">
        <v>83</v>
      </c>
      <c r="E6892" s="8">
        <v>0</v>
      </c>
      <c r="F6892" s="8">
        <v>0</v>
      </c>
      <c r="G6892" s="8">
        <v>14</v>
      </c>
      <c r="H6892" s="8" t="s">
        <v>14104</v>
      </c>
      <c r="I6892" s="8">
        <v>526.6875</v>
      </c>
      <c r="J6892" s="3">
        <f t="shared" si="107"/>
        <v>43747.979643773149</v>
      </c>
    </row>
    <row r="6893" spans="1:10" x14ac:dyDescent="0.25">
      <c r="A6893" s="5" t="s">
        <v>14105</v>
      </c>
      <c r="B6893" s="6">
        <v>393.75</v>
      </c>
      <c r="C6893" s="6">
        <v>20.478950000000001</v>
      </c>
      <c r="D6893" s="6">
        <v>83</v>
      </c>
      <c r="E6893" s="6">
        <v>0</v>
      </c>
      <c r="F6893" s="6">
        <v>0</v>
      </c>
      <c r="G6893" s="6">
        <v>9</v>
      </c>
      <c r="H6893" s="6" t="s">
        <v>14106</v>
      </c>
      <c r="I6893" s="6">
        <v>526.6875</v>
      </c>
      <c r="J6893" s="2">
        <f t="shared" si="107"/>
        <v>43747.979727129627</v>
      </c>
    </row>
    <row r="6894" spans="1:10" x14ac:dyDescent="0.25">
      <c r="A6894" s="7" t="s">
        <v>14107</v>
      </c>
      <c r="B6894" s="8">
        <v>393.75</v>
      </c>
      <c r="C6894" s="8">
        <v>20.478950000000001</v>
      </c>
      <c r="D6894" s="8">
        <v>83</v>
      </c>
      <c r="E6894" s="8">
        <v>0</v>
      </c>
      <c r="F6894" s="8">
        <v>0</v>
      </c>
      <c r="G6894" s="8">
        <v>12</v>
      </c>
      <c r="H6894" s="8" t="s">
        <v>14108</v>
      </c>
      <c r="I6894" s="8">
        <v>526.6875</v>
      </c>
      <c r="J6894" s="3">
        <f t="shared" si="107"/>
        <v>43747.979798425928</v>
      </c>
    </row>
    <row r="6895" spans="1:10" x14ac:dyDescent="0.25">
      <c r="A6895" s="5" t="s">
        <v>14109</v>
      </c>
      <c r="B6895" s="6">
        <v>412.5</v>
      </c>
      <c r="C6895" s="6">
        <v>20.478950000000001</v>
      </c>
      <c r="D6895" s="6">
        <v>83</v>
      </c>
      <c r="E6895" s="6">
        <v>0</v>
      </c>
      <c r="F6895" s="6">
        <v>0</v>
      </c>
      <c r="G6895" s="6">
        <v>11</v>
      </c>
      <c r="H6895" s="6" t="s">
        <v>14110</v>
      </c>
      <c r="I6895" s="6">
        <v>532.3125</v>
      </c>
      <c r="J6895" s="2">
        <f t="shared" si="107"/>
        <v>43747.979870659721</v>
      </c>
    </row>
    <row r="6896" spans="1:10" x14ac:dyDescent="0.25">
      <c r="A6896" s="7" t="s">
        <v>14111</v>
      </c>
      <c r="B6896" s="8">
        <v>393.75</v>
      </c>
      <c r="C6896" s="8">
        <v>20.478950000000001</v>
      </c>
      <c r="D6896" s="8">
        <v>83</v>
      </c>
      <c r="E6896" s="8">
        <v>0</v>
      </c>
      <c r="F6896" s="8">
        <v>0</v>
      </c>
      <c r="G6896" s="8">
        <v>0</v>
      </c>
      <c r="H6896" s="8" t="s">
        <v>14112</v>
      </c>
      <c r="I6896" s="8">
        <v>526.6875</v>
      </c>
      <c r="J6896" s="3">
        <f t="shared" si="107"/>
        <v>43747.979941956015</v>
      </c>
    </row>
    <row r="6897" spans="1:10" x14ac:dyDescent="0.25">
      <c r="A6897" s="5" t="s">
        <v>14113</v>
      </c>
      <c r="B6897" s="6">
        <v>393.75</v>
      </c>
      <c r="C6897" s="6">
        <v>20.478950000000001</v>
      </c>
      <c r="D6897" s="6">
        <v>84</v>
      </c>
      <c r="E6897" s="6">
        <v>0</v>
      </c>
      <c r="F6897" s="6">
        <v>0</v>
      </c>
      <c r="G6897" s="6">
        <v>4</v>
      </c>
      <c r="H6897" s="6" t="s">
        <v>14114</v>
      </c>
      <c r="I6897" s="6">
        <v>526.6875</v>
      </c>
      <c r="J6897" s="2">
        <f t="shared" si="107"/>
        <v>43747.980013252316</v>
      </c>
    </row>
    <row r="6898" spans="1:10" x14ac:dyDescent="0.25">
      <c r="A6898" s="7" t="s">
        <v>14115</v>
      </c>
      <c r="B6898" s="8">
        <v>393.75</v>
      </c>
      <c r="C6898" s="8">
        <v>20.478950000000001</v>
      </c>
      <c r="D6898" s="8">
        <v>84</v>
      </c>
      <c r="E6898" s="8">
        <v>0</v>
      </c>
      <c r="F6898" s="8">
        <v>0</v>
      </c>
      <c r="G6898" s="8">
        <v>9</v>
      </c>
      <c r="H6898" s="8" t="s">
        <v>14116</v>
      </c>
      <c r="I6898" s="8">
        <v>526.5</v>
      </c>
      <c r="J6898" s="3">
        <f t="shared" si="107"/>
        <v>43747.980096574072</v>
      </c>
    </row>
    <row r="6899" spans="1:10" x14ac:dyDescent="0.25">
      <c r="A6899" s="5" t="s">
        <v>14117</v>
      </c>
      <c r="B6899" s="6">
        <v>393.75</v>
      </c>
      <c r="C6899" s="6">
        <v>20.478950000000001</v>
      </c>
      <c r="D6899" s="6">
        <v>82</v>
      </c>
      <c r="E6899" s="6">
        <v>0</v>
      </c>
      <c r="F6899" s="6">
        <v>0</v>
      </c>
      <c r="G6899" s="6">
        <v>11</v>
      </c>
      <c r="H6899" s="6" t="s">
        <v>14118</v>
      </c>
      <c r="I6899" s="6">
        <v>526.6875</v>
      </c>
      <c r="J6899" s="2">
        <f t="shared" si="107"/>
        <v>43747.980168796297</v>
      </c>
    </row>
    <row r="6900" spans="1:10" x14ac:dyDescent="0.25">
      <c r="A6900" s="7" t="s">
        <v>14119</v>
      </c>
      <c r="B6900" s="8">
        <v>393.75</v>
      </c>
      <c r="C6900" s="8">
        <v>20.478950000000001</v>
      </c>
      <c r="D6900" s="8">
        <v>83</v>
      </c>
      <c r="E6900" s="8">
        <v>0</v>
      </c>
      <c r="F6900" s="8">
        <v>0</v>
      </c>
      <c r="G6900" s="8">
        <v>7</v>
      </c>
      <c r="H6900" s="8" t="s">
        <v>14120</v>
      </c>
      <c r="I6900" s="8">
        <v>526.6875</v>
      </c>
      <c r="J6900" s="3">
        <f t="shared" si="107"/>
        <v>43747.98025212963</v>
      </c>
    </row>
    <row r="6901" spans="1:10" x14ac:dyDescent="0.25">
      <c r="A6901" s="5" t="s">
        <v>14121</v>
      </c>
      <c r="B6901" s="6">
        <v>393.75</v>
      </c>
      <c r="C6901" s="6">
        <v>20.478950000000001</v>
      </c>
      <c r="D6901" s="6">
        <v>82</v>
      </c>
      <c r="E6901" s="6">
        <v>0</v>
      </c>
      <c r="F6901" s="6">
        <v>0</v>
      </c>
      <c r="G6901" s="6">
        <v>10</v>
      </c>
      <c r="H6901" s="6" t="s">
        <v>14122</v>
      </c>
      <c r="I6901" s="6">
        <v>526.6875</v>
      </c>
      <c r="J6901" s="2">
        <f t="shared" si="107"/>
        <v>43747.980335451386</v>
      </c>
    </row>
    <row r="6902" spans="1:10" x14ac:dyDescent="0.25">
      <c r="A6902" s="7" t="s">
        <v>14123</v>
      </c>
      <c r="B6902" s="8">
        <v>396.875</v>
      </c>
      <c r="C6902" s="8">
        <v>20.478950000000001</v>
      </c>
      <c r="D6902" s="8">
        <v>82</v>
      </c>
      <c r="E6902" s="8">
        <v>0</v>
      </c>
      <c r="F6902" s="8">
        <v>0</v>
      </c>
      <c r="G6902" s="8">
        <v>9</v>
      </c>
      <c r="H6902" s="8" t="s">
        <v>14124</v>
      </c>
      <c r="I6902" s="8">
        <v>527.4375</v>
      </c>
      <c r="J6902" s="3">
        <f t="shared" si="107"/>
        <v>43747.980406747687</v>
      </c>
    </row>
    <row r="6903" spans="1:10" x14ac:dyDescent="0.25">
      <c r="A6903" s="5" t="s">
        <v>14125</v>
      </c>
      <c r="B6903" s="6">
        <v>396.875</v>
      </c>
      <c r="C6903" s="6">
        <v>20.478950000000001</v>
      </c>
      <c r="D6903" s="6">
        <v>82</v>
      </c>
      <c r="E6903" s="6">
        <v>0</v>
      </c>
      <c r="F6903" s="6">
        <v>0</v>
      </c>
      <c r="G6903" s="6">
        <v>16</v>
      </c>
      <c r="H6903" s="6" t="s">
        <v>14126</v>
      </c>
      <c r="I6903" s="6">
        <v>527.4375</v>
      </c>
      <c r="J6903" s="2">
        <f t="shared" si="107"/>
        <v>43747.980478206016</v>
      </c>
    </row>
    <row r="6904" spans="1:10" x14ac:dyDescent="0.25">
      <c r="A6904" s="7" t="s">
        <v>14127</v>
      </c>
      <c r="B6904" s="8">
        <v>400</v>
      </c>
      <c r="C6904" s="8">
        <v>20.478950000000001</v>
      </c>
      <c r="D6904" s="8">
        <v>82</v>
      </c>
      <c r="E6904" s="8">
        <v>0</v>
      </c>
      <c r="F6904" s="8">
        <v>0</v>
      </c>
      <c r="G6904" s="8">
        <v>9</v>
      </c>
      <c r="H6904" s="8" t="s">
        <v>14128</v>
      </c>
      <c r="I6904" s="8">
        <v>528.1875</v>
      </c>
      <c r="J6904" s="3">
        <f t="shared" si="107"/>
        <v>43747.980549456021</v>
      </c>
    </row>
    <row r="6905" spans="1:10" x14ac:dyDescent="0.25">
      <c r="A6905" s="5" t="s">
        <v>14129</v>
      </c>
      <c r="B6905" s="6">
        <v>400</v>
      </c>
      <c r="C6905" s="6">
        <v>20.478950000000001</v>
      </c>
      <c r="D6905" s="6">
        <v>82</v>
      </c>
      <c r="E6905" s="6">
        <v>0</v>
      </c>
      <c r="F6905" s="6">
        <v>0</v>
      </c>
      <c r="G6905" s="6">
        <v>12</v>
      </c>
      <c r="H6905" s="6" t="s">
        <v>14130</v>
      </c>
      <c r="I6905" s="6">
        <v>528.375</v>
      </c>
      <c r="J6905" s="2">
        <f t="shared" si="107"/>
        <v>43747.980621574075</v>
      </c>
    </row>
    <row r="6906" spans="1:10" x14ac:dyDescent="0.25">
      <c r="A6906" s="7" t="s">
        <v>14131</v>
      </c>
      <c r="B6906" s="8">
        <v>400</v>
      </c>
      <c r="C6906" s="8">
        <v>20.478950000000001</v>
      </c>
      <c r="D6906" s="8">
        <v>83</v>
      </c>
      <c r="E6906" s="8">
        <v>0</v>
      </c>
      <c r="F6906" s="8">
        <v>0</v>
      </c>
      <c r="G6906" s="8">
        <v>1</v>
      </c>
      <c r="H6906" s="8" t="s">
        <v>14132</v>
      </c>
      <c r="I6906" s="8">
        <v>528.375</v>
      </c>
      <c r="J6906" s="3">
        <f t="shared" si="107"/>
        <v>43747.980692858793</v>
      </c>
    </row>
    <row r="6907" spans="1:10" x14ac:dyDescent="0.25">
      <c r="A6907" s="5" t="s">
        <v>14133</v>
      </c>
      <c r="B6907" s="6">
        <v>396.875</v>
      </c>
      <c r="C6907" s="6">
        <v>20.478950000000001</v>
      </c>
      <c r="D6907" s="6">
        <v>83</v>
      </c>
      <c r="E6907" s="6">
        <v>0</v>
      </c>
      <c r="F6907" s="6">
        <v>0</v>
      </c>
      <c r="G6907" s="6">
        <v>4</v>
      </c>
      <c r="H6907" s="6" t="s">
        <v>14134</v>
      </c>
      <c r="I6907" s="6">
        <v>527.4375</v>
      </c>
      <c r="J6907" s="2">
        <f t="shared" si="107"/>
        <v>43747.980776111108</v>
      </c>
    </row>
    <row r="6908" spans="1:10" x14ac:dyDescent="0.25">
      <c r="A6908" s="7" t="s">
        <v>14135</v>
      </c>
      <c r="B6908" s="8">
        <v>396.875</v>
      </c>
      <c r="C6908" s="8">
        <v>20.478950000000001</v>
      </c>
      <c r="D6908" s="8">
        <v>83</v>
      </c>
      <c r="E6908" s="8">
        <v>0</v>
      </c>
      <c r="F6908" s="8">
        <v>0</v>
      </c>
      <c r="G6908" s="8">
        <v>10</v>
      </c>
      <c r="H6908" s="8" t="s">
        <v>14136</v>
      </c>
      <c r="I6908" s="8">
        <v>527.4375</v>
      </c>
      <c r="J6908" s="3">
        <f t="shared" si="107"/>
        <v>43747.980848564817</v>
      </c>
    </row>
    <row r="6909" spans="1:10" x14ac:dyDescent="0.25">
      <c r="A6909" s="5" t="s">
        <v>14137</v>
      </c>
      <c r="B6909" s="6">
        <v>396.875</v>
      </c>
      <c r="C6909" s="6">
        <v>20.478950000000001</v>
      </c>
      <c r="D6909" s="6">
        <v>83</v>
      </c>
      <c r="E6909" s="6">
        <v>0</v>
      </c>
      <c r="F6909" s="6">
        <v>0</v>
      </c>
      <c r="G6909" s="6">
        <v>12</v>
      </c>
      <c r="H6909" s="6" t="s">
        <v>14138</v>
      </c>
      <c r="I6909" s="6">
        <v>527.4375</v>
      </c>
      <c r="J6909" s="2">
        <f t="shared" si="107"/>
        <v>43747.980919687492</v>
      </c>
    </row>
    <row r="6910" spans="1:10" x14ac:dyDescent="0.25">
      <c r="A6910" s="7" t="s">
        <v>14139</v>
      </c>
      <c r="B6910" s="8">
        <v>393.75</v>
      </c>
      <c r="C6910" s="8">
        <v>20.478950000000001</v>
      </c>
      <c r="D6910" s="8">
        <v>83</v>
      </c>
      <c r="E6910" s="8">
        <v>0</v>
      </c>
      <c r="F6910" s="8">
        <v>0</v>
      </c>
      <c r="G6910" s="8">
        <v>3</v>
      </c>
      <c r="H6910" s="8" t="s">
        <v>14140</v>
      </c>
      <c r="I6910" s="8">
        <v>526.6875</v>
      </c>
      <c r="J6910" s="3">
        <f t="shared" si="107"/>
        <v>43747.980990983793</v>
      </c>
    </row>
    <row r="6911" spans="1:10" x14ac:dyDescent="0.25">
      <c r="A6911" s="5" t="s">
        <v>14141</v>
      </c>
      <c r="B6911" s="6">
        <v>396.875</v>
      </c>
      <c r="C6911" s="6">
        <v>20.478950000000001</v>
      </c>
      <c r="D6911" s="6">
        <v>83</v>
      </c>
      <c r="E6911" s="6">
        <v>0</v>
      </c>
      <c r="F6911" s="6">
        <v>0</v>
      </c>
      <c r="G6911" s="6">
        <v>14</v>
      </c>
      <c r="H6911" s="6" t="s">
        <v>14142</v>
      </c>
      <c r="I6911" s="6">
        <v>527.4375</v>
      </c>
      <c r="J6911" s="2">
        <f t="shared" si="107"/>
        <v>43747.981063217587</v>
      </c>
    </row>
    <row r="6912" spans="1:10" x14ac:dyDescent="0.25">
      <c r="A6912" s="7" t="s">
        <v>14143</v>
      </c>
      <c r="B6912" s="8">
        <v>396.875</v>
      </c>
      <c r="C6912" s="8">
        <v>20.478950000000001</v>
      </c>
      <c r="D6912" s="8">
        <v>83</v>
      </c>
      <c r="E6912" s="8">
        <v>0</v>
      </c>
      <c r="F6912" s="8">
        <v>0</v>
      </c>
      <c r="G6912" s="8">
        <v>8</v>
      </c>
      <c r="H6912" s="8" t="s">
        <v>14144</v>
      </c>
      <c r="I6912" s="8">
        <v>527.4375</v>
      </c>
      <c r="J6912" s="3">
        <f t="shared" si="107"/>
        <v>43747.981146550919</v>
      </c>
    </row>
    <row r="6913" spans="1:10" x14ac:dyDescent="0.25">
      <c r="A6913" s="5" t="s">
        <v>14145</v>
      </c>
      <c r="B6913" s="6">
        <v>403.125</v>
      </c>
      <c r="C6913" s="6">
        <v>20.478950000000001</v>
      </c>
      <c r="D6913" s="6">
        <v>82</v>
      </c>
      <c r="E6913" s="6">
        <v>0</v>
      </c>
      <c r="F6913" s="6">
        <v>0</v>
      </c>
      <c r="G6913" s="6">
        <v>10</v>
      </c>
      <c r="H6913" s="6" t="s">
        <v>14146</v>
      </c>
      <c r="I6913" s="6">
        <v>529.125</v>
      </c>
      <c r="J6913" s="2">
        <f t="shared" si="107"/>
        <v>43747.98121784722</v>
      </c>
    </row>
    <row r="6914" spans="1:10" x14ac:dyDescent="0.25">
      <c r="A6914" s="7" t="s">
        <v>14147</v>
      </c>
      <c r="B6914" s="8">
        <v>403.125</v>
      </c>
      <c r="C6914" s="8">
        <v>20.478950000000001</v>
      </c>
      <c r="D6914" s="8">
        <v>82</v>
      </c>
      <c r="E6914" s="8">
        <v>0</v>
      </c>
      <c r="F6914" s="8">
        <v>0</v>
      </c>
      <c r="G6914" s="8">
        <v>8</v>
      </c>
      <c r="H6914" s="8" t="s">
        <v>14148</v>
      </c>
      <c r="I6914" s="8">
        <v>529.125</v>
      </c>
      <c r="J6914" s="3">
        <f t="shared" ref="J6914:J6977" si="108">(H6914/86400000)+25569+(7/24)</f>
        <v>43747.98128915509</v>
      </c>
    </row>
    <row r="6915" spans="1:10" x14ac:dyDescent="0.25">
      <c r="A6915" s="5" t="s">
        <v>14149</v>
      </c>
      <c r="B6915" s="6">
        <v>403.125</v>
      </c>
      <c r="C6915" s="6">
        <v>20.478950000000001</v>
      </c>
      <c r="D6915" s="6">
        <v>82</v>
      </c>
      <c r="E6915" s="6">
        <v>0</v>
      </c>
      <c r="F6915" s="6">
        <v>0</v>
      </c>
      <c r="G6915" s="6">
        <v>9</v>
      </c>
      <c r="H6915" s="6" t="s">
        <v>14150</v>
      </c>
      <c r="I6915" s="6">
        <v>529.125</v>
      </c>
      <c r="J6915" s="2">
        <f t="shared" si="108"/>
        <v>43747.981360439815</v>
      </c>
    </row>
    <row r="6916" spans="1:10" x14ac:dyDescent="0.25">
      <c r="A6916" s="7" t="s">
        <v>14151</v>
      </c>
      <c r="B6916" s="8">
        <v>403.125</v>
      </c>
      <c r="C6916" s="8">
        <v>20.478950000000001</v>
      </c>
      <c r="D6916" s="8">
        <v>82</v>
      </c>
      <c r="E6916" s="8">
        <v>0</v>
      </c>
      <c r="F6916" s="8">
        <v>0</v>
      </c>
      <c r="G6916" s="8">
        <v>9</v>
      </c>
      <c r="H6916" s="8" t="s">
        <v>14152</v>
      </c>
      <c r="I6916" s="8">
        <v>529.125</v>
      </c>
      <c r="J6916" s="3">
        <f t="shared" si="108"/>
        <v>43747.981432662033</v>
      </c>
    </row>
    <row r="6917" spans="1:10" x14ac:dyDescent="0.25">
      <c r="A6917" s="5" t="s">
        <v>14153</v>
      </c>
      <c r="B6917" s="6">
        <v>403.125</v>
      </c>
      <c r="C6917" s="6">
        <v>20.478950000000001</v>
      </c>
      <c r="D6917" s="6">
        <v>82</v>
      </c>
      <c r="E6917" s="6">
        <v>0</v>
      </c>
      <c r="F6917" s="6">
        <v>0</v>
      </c>
      <c r="G6917" s="6">
        <v>5</v>
      </c>
      <c r="H6917" s="6" t="s">
        <v>14154</v>
      </c>
      <c r="I6917" s="6">
        <v>529.125</v>
      </c>
      <c r="J6917" s="2">
        <f t="shared" si="108"/>
        <v>43747.98150396991</v>
      </c>
    </row>
    <row r="6918" spans="1:10" x14ac:dyDescent="0.25">
      <c r="A6918" s="7" t="s">
        <v>14155</v>
      </c>
      <c r="B6918" s="8">
        <v>400</v>
      </c>
      <c r="C6918" s="8">
        <v>20.478950000000001</v>
      </c>
      <c r="D6918" s="8">
        <v>81</v>
      </c>
      <c r="E6918" s="8">
        <v>0</v>
      </c>
      <c r="F6918" s="8">
        <v>0</v>
      </c>
      <c r="G6918" s="8">
        <v>8</v>
      </c>
      <c r="H6918" s="8" t="s">
        <v>14156</v>
      </c>
      <c r="I6918" s="8">
        <v>528.1875</v>
      </c>
      <c r="J6918" s="3">
        <f t="shared" si="108"/>
        <v>43747.981575312493</v>
      </c>
    </row>
    <row r="6919" spans="1:10" x14ac:dyDescent="0.25">
      <c r="A6919" s="5" t="s">
        <v>14157</v>
      </c>
      <c r="B6919" s="6">
        <v>400</v>
      </c>
      <c r="C6919" s="6">
        <v>20.478950000000001</v>
      </c>
      <c r="D6919" s="6">
        <v>81</v>
      </c>
      <c r="E6919" s="6">
        <v>0</v>
      </c>
      <c r="F6919" s="6">
        <v>0</v>
      </c>
      <c r="G6919" s="6">
        <v>0</v>
      </c>
      <c r="H6919" s="6" t="s">
        <v>14158</v>
      </c>
      <c r="I6919" s="6">
        <v>528.1875</v>
      </c>
      <c r="J6919" s="2">
        <f t="shared" si="108"/>
        <v>43747.981647465276</v>
      </c>
    </row>
    <row r="6920" spans="1:10" x14ac:dyDescent="0.25">
      <c r="A6920" s="7" t="s">
        <v>14159</v>
      </c>
      <c r="B6920" s="8">
        <v>400</v>
      </c>
      <c r="C6920" s="8">
        <v>20.478950000000001</v>
      </c>
      <c r="D6920" s="8">
        <v>82</v>
      </c>
      <c r="E6920" s="8">
        <v>0</v>
      </c>
      <c r="F6920" s="8">
        <v>0</v>
      </c>
      <c r="G6920" s="8">
        <v>9</v>
      </c>
      <c r="H6920" s="8" t="s">
        <v>14160</v>
      </c>
      <c r="I6920" s="8">
        <v>528.1875</v>
      </c>
      <c r="J6920" s="3">
        <f t="shared" si="108"/>
        <v>43747.981730798609</v>
      </c>
    </row>
    <row r="6921" spans="1:10" x14ac:dyDescent="0.25">
      <c r="A6921" s="5" t="s">
        <v>14161</v>
      </c>
      <c r="B6921" s="6">
        <v>400</v>
      </c>
      <c r="C6921" s="6">
        <v>20.478950000000001</v>
      </c>
      <c r="D6921" s="6">
        <v>82</v>
      </c>
      <c r="E6921" s="6">
        <v>0</v>
      </c>
      <c r="F6921" s="6">
        <v>0</v>
      </c>
      <c r="G6921" s="6">
        <v>10</v>
      </c>
      <c r="H6921" s="6" t="s">
        <v>14162</v>
      </c>
      <c r="I6921" s="6">
        <v>528.1875</v>
      </c>
      <c r="J6921" s="2">
        <f t="shared" si="108"/>
        <v>43747.981802048605</v>
      </c>
    </row>
    <row r="6922" spans="1:10" x14ac:dyDescent="0.25">
      <c r="A6922" s="7" t="s">
        <v>14163</v>
      </c>
      <c r="B6922" s="8">
        <v>400</v>
      </c>
      <c r="C6922" s="8">
        <v>20.478950000000001</v>
      </c>
      <c r="D6922" s="8">
        <v>84</v>
      </c>
      <c r="E6922" s="8">
        <v>0</v>
      </c>
      <c r="F6922" s="8">
        <v>0</v>
      </c>
      <c r="G6922" s="8">
        <v>12</v>
      </c>
      <c r="H6922" s="8" t="s">
        <v>14164</v>
      </c>
      <c r="I6922" s="8">
        <v>528.1875</v>
      </c>
      <c r="J6922" s="3">
        <f t="shared" si="108"/>
        <v>43747.981873518518</v>
      </c>
    </row>
    <row r="6923" spans="1:10" x14ac:dyDescent="0.25">
      <c r="A6923" s="5" t="s">
        <v>14165</v>
      </c>
      <c r="B6923" s="6">
        <v>400</v>
      </c>
      <c r="C6923" s="6">
        <v>20.478950000000001</v>
      </c>
      <c r="D6923" s="6">
        <v>84</v>
      </c>
      <c r="E6923" s="6">
        <v>0</v>
      </c>
      <c r="F6923" s="6">
        <v>0</v>
      </c>
      <c r="G6923" s="6">
        <v>2</v>
      </c>
      <c r="H6923" s="6" t="s">
        <v>14166</v>
      </c>
      <c r="I6923" s="6">
        <v>528.1875</v>
      </c>
      <c r="J6923" s="2">
        <f t="shared" si="108"/>
        <v>43747.981945046289</v>
      </c>
    </row>
    <row r="6924" spans="1:10" x14ac:dyDescent="0.25">
      <c r="A6924" s="7" t="s">
        <v>14167</v>
      </c>
      <c r="B6924" s="8">
        <v>400</v>
      </c>
      <c r="C6924" s="8">
        <v>20.478950000000001</v>
      </c>
      <c r="D6924" s="8">
        <v>84</v>
      </c>
      <c r="E6924" s="8">
        <v>0</v>
      </c>
      <c r="F6924" s="8">
        <v>0</v>
      </c>
      <c r="G6924" s="8">
        <v>8</v>
      </c>
      <c r="H6924" s="8" t="s">
        <v>14168</v>
      </c>
      <c r="I6924" s="8">
        <v>528.1875</v>
      </c>
      <c r="J6924" s="3">
        <f t="shared" si="108"/>
        <v>43747.982016909715</v>
      </c>
    </row>
    <row r="6925" spans="1:10" x14ac:dyDescent="0.25">
      <c r="A6925" s="5" t="s">
        <v>14169</v>
      </c>
      <c r="B6925" s="6">
        <v>400</v>
      </c>
      <c r="C6925" s="6">
        <v>20.478950000000001</v>
      </c>
      <c r="D6925" s="6">
        <v>82</v>
      </c>
      <c r="E6925" s="6">
        <v>0</v>
      </c>
      <c r="F6925" s="6">
        <v>0</v>
      </c>
      <c r="G6925" s="6">
        <v>0</v>
      </c>
      <c r="H6925" s="6" t="s">
        <v>14170</v>
      </c>
      <c r="I6925" s="6">
        <v>528.375</v>
      </c>
      <c r="J6925" s="2">
        <f t="shared" si="108"/>
        <v>43747.98208869213</v>
      </c>
    </row>
    <row r="6926" spans="1:10" x14ac:dyDescent="0.25">
      <c r="A6926" s="7" t="s">
        <v>14171</v>
      </c>
      <c r="B6926" s="8">
        <v>400</v>
      </c>
      <c r="C6926" s="8">
        <v>20.478950000000001</v>
      </c>
      <c r="D6926" s="8">
        <v>80</v>
      </c>
      <c r="E6926" s="8">
        <v>0</v>
      </c>
      <c r="F6926" s="8">
        <v>0</v>
      </c>
      <c r="G6926" s="8">
        <v>2</v>
      </c>
      <c r="H6926" s="8" t="s">
        <v>14172</v>
      </c>
      <c r="I6926" s="8">
        <v>528.9375</v>
      </c>
      <c r="J6926" s="3">
        <f t="shared" si="108"/>
        <v>43747.982172280092</v>
      </c>
    </row>
    <row r="6927" spans="1:10" x14ac:dyDescent="0.25">
      <c r="A6927" s="5" t="s">
        <v>14173</v>
      </c>
      <c r="B6927" s="6">
        <v>425</v>
      </c>
      <c r="C6927" s="6">
        <v>20.478950000000001</v>
      </c>
      <c r="D6927" s="6">
        <v>80</v>
      </c>
      <c r="E6927" s="6">
        <v>0</v>
      </c>
      <c r="F6927" s="6">
        <v>0</v>
      </c>
      <c r="G6927" s="6">
        <v>17</v>
      </c>
      <c r="H6927" s="6" t="s">
        <v>14174</v>
      </c>
      <c r="I6927" s="6">
        <v>536.625</v>
      </c>
      <c r="J6927" s="2">
        <f t="shared" si="108"/>
        <v>43747.982255798612</v>
      </c>
    </row>
    <row r="6928" spans="1:10" x14ac:dyDescent="0.25">
      <c r="A6928" s="7" t="s">
        <v>14175</v>
      </c>
      <c r="B6928" s="8">
        <v>403.125</v>
      </c>
      <c r="C6928" s="8">
        <v>20.478950000000001</v>
      </c>
      <c r="D6928" s="8">
        <v>79</v>
      </c>
      <c r="E6928" s="8">
        <v>0</v>
      </c>
      <c r="F6928" s="8">
        <v>0</v>
      </c>
      <c r="G6928" s="8">
        <v>16</v>
      </c>
      <c r="H6928" s="8" t="s">
        <v>14176</v>
      </c>
      <c r="I6928" s="8">
        <v>529.125</v>
      </c>
      <c r="J6928" s="3">
        <f t="shared" si="108"/>
        <v>43747.982327118058</v>
      </c>
    </row>
    <row r="6929" spans="1:10" x14ac:dyDescent="0.25">
      <c r="A6929" s="5" t="s">
        <v>14177</v>
      </c>
      <c r="B6929" s="6">
        <v>403.125</v>
      </c>
      <c r="C6929" s="6">
        <v>20.478950000000001</v>
      </c>
      <c r="D6929" s="6">
        <v>80</v>
      </c>
      <c r="E6929" s="6">
        <v>0</v>
      </c>
      <c r="F6929" s="6">
        <v>0</v>
      </c>
      <c r="G6929" s="6">
        <v>14</v>
      </c>
      <c r="H6929" s="6" t="s">
        <v>14178</v>
      </c>
      <c r="I6929" s="6">
        <v>529.125</v>
      </c>
      <c r="J6929" s="2">
        <f t="shared" si="108"/>
        <v>43747.98239834491</v>
      </c>
    </row>
    <row r="6930" spans="1:10" x14ac:dyDescent="0.25">
      <c r="A6930" s="7" t="s">
        <v>14179</v>
      </c>
      <c r="B6930" s="8">
        <v>403.125</v>
      </c>
      <c r="C6930" s="8">
        <v>20.478950000000001</v>
      </c>
      <c r="D6930" s="8">
        <v>79</v>
      </c>
      <c r="E6930" s="8">
        <v>0</v>
      </c>
      <c r="F6930" s="8">
        <v>0</v>
      </c>
      <c r="G6930" s="8">
        <v>9</v>
      </c>
      <c r="H6930" s="8" t="s">
        <v>14180</v>
      </c>
      <c r="I6930" s="8">
        <v>529.125</v>
      </c>
      <c r="J6930" s="3">
        <f t="shared" si="108"/>
        <v>43747.982482418978</v>
      </c>
    </row>
    <row r="6931" spans="1:10" x14ac:dyDescent="0.25">
      <c r="A6931" s="5" t="s">
        <v>14181</v>
      </c>
      <c r="B6931" s="6">
        <v>403.125</v>
      </c>
      <c r="C6931" s="6">
        <v>20.478950000000001</v>
      </c>
      <c r="D6931" s="6">
        <v>79</v>
      </c>
      <c r="E6931" s="6">
        <v>0</v>
      </c>
      <c r="F6931" s="6">
        <v>0</v>
      </c>
      <c r="G6931" s="6">
        <v>8</v>
      </c>
      <c r="H6931" s="6" t="s">
        <v>14182</v>
      </c>
      <c r="I6931" s="6">
        <v>529.125</v>
      </c>
      <c r="J6931" s="2">
        <f t="shared" si="108"/>
        <v>43747.982554062495</v>
      </c>
    </row>
    <row r="6932" spans="1:10" x14ac:dyDescent="0.25">
      <c r="A6932" s="7" t="s">
        <v>14183</v>
      </c>
      <c r="B6932" s="8">
        <v>403.125</v>
      </c>
      <c r="C6932" s="8">
        <v>20.478950000000001</v>
      </c>
      <c r="D6932" s="8">
        <v>80</v>
      </c>
      <c r="E6932" s="8">
        <v>0</v>
      </c>
      <c r="F6932" s="8">
        <v>0</v>
      </c>
      <c r="G6932" s="8">
        <v>8</v>
      </c>
      <c r="H6932" s="8" t="s">
        <v>14184</v>
      </c>
      <c r="I6932" s="8">
        <v>529.125</v>
      </c>
      <c r="J6932" s="3">
        <f t="shared" si="108"/>
        <v>43747.982637303234</v>
      </c>
    </row>
    <row r="6933" spans="1:10" x14ac:dyDescent="0.25">
      <c r="A6933" s="5" t="s">
        <v>14185</v>
      </c>
      <c r="B6933" s="6">
        <v>400</v>
      </c>
      <c r="C6933" s="6">
        <v>20.478950000000001</v>
      </c>
      <c r="D6933" s="6">
        <v>80</v>
      </c>
      <c r="E6933" s="6">
        <v>0</v>
      </c>
      <c r="F6933" s="6">
        <v>0</v>
      </c>
      <c r="G6933" s="6">
        <v>4</v>
      </c>
      <c r="H6933" s="6" t="s">
        <v>14186</v>
      </c>
      <c r="I6933" s="6">
        <v>528.9375</v>
      </c>
      <c r="J6933" s="2">
        <f t="shared" si="108"/>
        <v>43747.982708680553</v>
      </c>
    </row>
    <row r="6934" spans="1:10" x14ac:dyDescent="0.25">
      <c r="A6934" s="7" t="s">
        <v>14187</v>
      </c>
      <c r="B6934" s="8">
        <v>403.125</v>
      </c>
      <c r="C6934" s="8">
        <v>20.478950000000001</v>
      </c>
      <c r="D6934" s="8">
        <v>81</v>
      </c>
      <c r="E6934" s="8">
        <v>0</v>
      </c>
      <c r="F6934" s="8">
        <v>0</v>
      </c>
      <c r="G6934" s="8">
        <v>5</v>
      </c>
      <c r="H6934" s="8" t="s">
        <v>14188</v>
      </c>
      <c r="I6934" s="8">
        <v>529.125</v>
      </c>
      <c r="J6934" s="3">
        <f t="shared" si="108"/>
        <v>43747.982791921291</v>
      </c>
    </row>
    <row r="6935" spans="1:10" x14ac:dyDescent="0.25">
      <c r="A6935" s="5" t="s">
        <v>14189</v>
      </c>
      <c r="B6935" s="6">
        <v>400</v>
      </c>
      <c r="C6935" s="6">
        <v>20.478950000000001</v>
      </c>
      <c r="D6935" s="6">
        <v>81</v>
      </c>
      <c r="E6935" s="6">
        <v>0</v>
      </c>
      <c r="F6935" s="6">
        <v>0</v>
      </c>
      <c r="G6935" s="6">
        <v>2</v>
      </c>
      <c r="H6935" s="6" t="s">
        <v>14190</v>
      </c>
      <c r="I6935" s="6">
        <v>528.1875</v>
      </c>
      <c r="J6935" s="2">
        <f t="shared" si="108"/>
        <v>43747.982863333331</v>
      </c>
    </row>
    <row r="6936" spans="1:10" x14ac:dyDescent="0.25">
      <c r="A6936" s="7" t="s">
        <v>14191</v>
      </c>
      <c r="B6936" s="8">
        <v>400</v>
      </c>
      <c r="C6936" s="8">
        <v>20.478950000000001</v>
      </c>
      <c r="D6936" s="8">
        <v>80</v>
      </c>
      <c r="E6936" s="8">
        <v>0</v>
      </c>
      <c r="F6936" s="8">
        <v>0</v>
      </c>
      <c r="G6936" s="8">
        <v>18</v>
      </c>
      <c r="H6936" s="8" t="s">
        <v>14192</v>
      </c>
      <c r="I6936" s="8">
        <v>528.1875</v>
      </c>
      <c r="J6936" s="3">
        <f t="shared" si="108"/>
        <v>43747.982935439817</v>
      </c>
    </row>
    <row r="6937" spans="1:10" x14ac:dyDescent="0.25">
      <c r="A6937" s="5" t="s">
        <v>14193</v>
      </c>
      <c r="B6937" s="6">
        <v>400</v>
      </c>
      <c r="C6937" s="6">
        <v>20.478950000000001</v>
      </c>
      <c r="D6937" s="6">
        <v>80</v>
      </c>
      <c r="E6937" s="6">
        <v>0</v>
      </c>
      <c r="F6937" s="6">
        <v>0</v>
      </c>
      <c r="G6937" s="6">
        <v>10</v>
      </c>
      <c r="H6937" s="6" t="s">
        <v>14194</v>
      </c>
      <c r="I6937" s="6">
        <v>528.1875</v>
      </c>
      <c r="J6937" s="2">
        <f t="shared" si="108"/>
        <v>43747.983006736111</v>
      </c>
    </row>
    <row r="6938" spans="1:10" x14ac:dyDescent="0.25">
      <c r="A6938" s="7" t="s">
        <v>14195</v>
      </c>
      <c r="B6938" s="8">
        <v>400</v>
      </c>
      <c r="C6938" s="8">
        <v>20.478950000000001</v>
      </c>
      <c r="D6938" s="8">
        <v>81</v>
      </c>
      <c r="E6938" s="8">
        <v>0</v>
      </c>
      <c r="F6938" s="8">
        <v>0</v>
      </c>
      <c r="G6938" s="8">
        <v>8</v>
      </c>
      <c r="H6938" s="8" t="s">
        <v>14196</v>
      </c>
      <c r="I6938" s="8">
        <v>528.375</v>
      </c>
      <c r="J6938" s="3">
        <f t="shared" si="108"/>
        <v>43747.983078020836</v>
      </c>
    </row>
    <row r="6939" spans="1:10" x14ac:dyDescent="0.25">
      <c r="A6939" s="5" t="s">
        <v>14197</v>
      </c>
      <c r="B6939" s="6">
        <v>396.875</v>
      </c>
      <c r="C6939" s="6">
        <v>20.478950000000001</v>
      </c>
      <c r="D6939" s="6">
        <v>81</v>
      </c>
      <c r="E6939" s="6">
        <v>0</v>
      </c>
      <c r="F6939" s="6">
        <v>0</v>
      </c>
      <c r="G6939" s="6">
        <v>14</v>
      </c>
      <c r="H6939" s="6" t="s">
        <v>14198</v>
      </c>
      <c r="I6939" s="6">
        <v>527.4375</v>
      </c>
      <c r="J6939" s="2">
        <f t="shared" si="108"/>
        <v>43747.983150254622</v>
      </c>
    </row>
    <row r="6940" spans="1:10" x14ac:dyDescent="0.25">
      <c r="A6940" s="7" t="s">
        <v>14199</v>
      </c>
      <c r="B6940" s="8">
        <v>396.875</v>
      </c>
      <c r="C6940" s="8">
        <v>20.478950000000001</v>
      </c>
      <c r="D6940" s="8">
        <v>81</v>
      </c>
      <c r="E6940" s="8">
        <v>0</v>
      </c>
      <c r="F6940" s="8">
        <v>0</v>
      </c>
      <c r="G6940" s="8">
        <v>6</v>
      </c>
      <c r="H6940" s="8" t="s">
        <v>14200</v>
      </c>
      <c r="I6940" s="8">
        <v>527.4375</v>
      </c>
      <c r="J6940" s="3">
        <f t="shared" si="108"/>
        <v>43747.983245740739</v>
      </c>
    </row>
    <row r="6941" spans="1:10" x14ac:dyDescent="0.25">
      <c r="A6941" s="5" t="s">
        <v>14201</v>
      </c>
      <c r="B6941" s="6">
        <v>393.75</v>
      </c>
      <c r="C6941" s="6">
        <v>20.478950000000001</v>
      </c>
      <c r="D6941" s="6">
        <v>82</v>
      </c>
      <c r="E6941" s="6">
        <v>0</v>
      </c>
      <c r="F6941" s="6">
        <v>0</v>
      </c>
      <c r="G6941" s="6">
        <v>10</v>
      </c>
      <c r="H6941" s="6" t="s">
        <v>14202</v>
      </c>
      <c r="I6941" s="6">
        <v>526.6875</v>
      </c>
      <c r="J6941" s="2">
        <f t="shared" si="108"/>
        <v>43747.98331693287</v>
      </c>
    </row>
    <row r="6942" spans="1:10" x14ac:dyDescent="0.25">
      <c r="A6942" s="7" t="s">
        <v>14203</v>
      </c>
      <c r="B6942" s="8">
        <v>393.75</v>
      </c>
      <c r="C6942" s="8">
        <v>20.478950000000001</v>
      </c>
      <c r="D6942" s="8">
        <v>80</v>
      </c>
      <c r="E6942" s="8">
        <v>0</v>
      </c>
      <c r="F6942" s="8">
        <v>0</v>
      </c>
      <c r="G6942" s="8">
        <v>3</v>
      </c>
      <c r="H6942" s="8" t="s">
        <v>14204</v>
      </c>
      <c r="I6942" s="8">
        <v>526.6875</v>
      </c>
      <c r="J6942" s="3">
        <f t="shared" si="108"/>
        <v>43747.983388194443</v>
      </c>
    </row>
    <row r="6943" spans="1:10" x14ac:dyDescent="0.25">
      <c r="A6943" s="5" t="s">
        <v>14205</v>
      </c>
      <c r="B6943" s="6">
        <v>393.75</v>
      </c>
      <c r="C6943" s="6">
        <v>20.478950000000001</v>
      </c>
      <c r="D6943" s="6">
        <v>79</v>
      </c>
      <c r="E6943" s="6">
        <v>0</v>
      </c>
      <c r="F6943" s="6">
        <v>0</v>
      </c>
      <c r="G6943" s="6">
        <v>13</v>
      </c>
      <c r="H6943" s="6" t="s">
        <v>14206</v>
      </c>
      <c r="I6943" s="6">
        <v>526.6875</v>
      </c>
      <c r="J6943" s="2">
        <f t="shared" si="108"/>
        <v>43747.983460243056</v>
      </c>
    </row>
    <row r="6944" spans="1:10" x14ac:dyDescent="0.25">
      <c r="A6944" s="7" t="s">
        <v>14207</v>
      </c>
      <c r="B6944" s="8">
        <v>437.5</v>
      </c>
      <c r="C6944" s="8">
        <v>20.478950000000001</v>
      </c>
      <c r="D6944" s="8">
        <v>77</v>
      </c>
      <c r="E6944" s="8">
        <v>0</v>
      </c>
      <c r="F6944" s="8">
        <v>0</v>
      </c>
      <c r="G6944" s="8">
        <v>17</v>
      </c>
      <c r="H6944" s="8" t="s">
        <v>14208</v>
      </c>
      <c r="I6944" s="8">
        <v>540.9375</v>
      </c>
      <c r="J6944" s="3">
        <f t="shared" si="108"/>
        <v>43747.983531724538</v>
      </c>
    </row>
    <row r="6945" spans="1:10" x14ac:dyDescent="0.25">
      <c r="A6945" s="5" t="s">
        <v>14209</v>
      </c>
      <c r="B6945" s="6">
        <v>396.875</v>
      </c>
      <c r="C6945" s="6">
        <v>20.478950000000001</v>
      </c>
      <c r="D6945" s="6">
        <v>78</v>
      </c>
      <c r="E6945" s="6">
        <v>0</v>
      </c>
      <c r="F6945" s="6">
        <v>0</v>
      </c>
      <c r="G6945" s="6">
        <v>10</v>
      </c>
      <c r="H6945" s="6" t="s">
        <v>14210</v>
      </c>
      <c r="I6945" s="6">
        <v>527.4375</v>
      </c>
      <c r="J6945" s="2">
        <f t="shared" si="108"/>
        <v>43747.983603217588</v>
      </c>
    </row>
    <row r="6946" spans="1:10" x14ac:dyDescent="0.25">
      <c r="A6946" s="7" t="s">
        <v>14211</v>
      </c>
      <c r="B6946" s="8">
        <v>396.875</v>
      </c>
      <c r="C6946" s="8">
        <v>20.478950000000001</v>
      </c>
      <c r="D6946" s="8">
        <v>81</v>
      </c>
      <c r="E6946" s="8">
        <v>0</v>
      </c>
      <c r="F6946" s="8">
        <v>0</v>
      </c>
      <c r="G6946" s="8">
        <v>13</v>
      </c>
      <c r="H6946" s="8" t="s">
        <v>14212</v>
      </c>
      <c r="I6946" s="8">
        <v>527.4375</v>
      </c>
      <c r="J6946" s="3">
        <f t="shared" si="108"/>
        <v>43747.983698402772</v>
      </c>
    </row>
    <row r="6947" spans="1:10" x14ac:dyDescent="0.25">
      <c r="A6947" s="5" t="s">
        <v>14213</v>
      </c>
      <c r="B6947" s="6">
        <v>396.875</v>
      </c>
      <c r="C6947" s="6">
        <v>20.478950000000001</v>
      </c>
      <c r="D6947" s="6">
        <v>80</v>
      </c>
      <c r="E6947" s="6">
        <v>0</v>
      </c>
      <c r="F6947" s="6">
        <v>0</v>
      </c>
      <c r="G6947" s="6">
        <v>13</v>
      </c>
      <c r="H6947" s="6" t="s">
        <v>14214</v>
      </c>
      <c r="I6947" s="6">
        <v>527.4375</v>
      </c>
      <c r="J6947" s="2">
        <f t="shared" si="108"/>
        <v>43747.983769756938</v>
      </c>
    </row>
    <row r="6948" spans="1:10" x14ac:dyDescent="0.25">
      <c r="A6948" s="7" t="s">
        <v>14215</v>
      </c>
      <c r="B6948" s="8">
        <v>396.875</v>
      </c>
      <c r="C6948" s="8">
        <v>20.478950000000001</v>
      </c>
      <c r="D6948" s="8">
        <v>80</v>
      </c>
      <c r="E6948" s="8">
        <v>0</v>
      </c>
      <c r="F6948" s="8">
        <v>0</v>
      </c>
      <c r="G6948" s="8">
        <v>10</v>
      </c>
      <c r="H6948" s="8" t="s">
        <v>14216</v>
      </c>
      <c r="I6948" s="8">
        <v>527.4375</v>
      </c>
      <c r="J6948" s="3">
        <f t="shared" si="108"/>
        <v>43747.983841053239</v>
      </c>
    </row>
    <row r="6949" spans="1:10" x14ac:dyDescent="0.25">
      <c r="A6949" s="5" t="s">
        <v>14217</v>
      </c>
      <c r="B6949" s="6">
        <v>396.875</v>
      </c>
      <c r="C6949" s="6">
        <v>20.478950000000001</v>
      </c>
      <c r="D6949" s="6">
        <v>81</v>
      </c>
      <c r="E6949" s="6">
        <v>0</v>
      </c>
      <c r="F6949" s="6">
        <v>0</v>
      </c>
      <c r="G6949" s="6">
        <v>7</v>
      </c>
      <c r="H6949" s="6" t="s">
        <v>14218</v>
      </c>
      <c r="I6949" s="6">
        <v>527.4375</v>
      </c>
      <c r="J6949" s="2">
        <f t="shared" si="108"/>
        <v>43747.983913171294</v>
      </c>
    </row>
    <row r="6950" spans="1:10" x14ac:dyDescent="0.25">
      <c r="A6950" s="7" t="s">
        <v>14219</v>
      </c>
      <c r="B6950" s="8">
        <v>396.875</v>
      </c>
      <c r="C6950" s="8">
        <v>20.478950000000001</v>
      </c>
      <c r="D6950" s="8">
        <v>81</v>
      </c>
      <c r="E6950" s="8">
        <v>0</v>
      </c>
      <c r="F6950" s="8">
        <v>0</v>
      </c>
      <c r="G6950" s="8">
        <v>11</v>
      </c>
      <c r="H6950" s="8" t="s">
        <v>14220</v>
      </c>
      <c r="I6950" s="8">
        <v>527.4375</v>
      </c>
      <c r="J6950" s="3">
        <f t="shared" si="108"/>
        <v>43747.983984513885</v>
      </c>
    </row>
    <row r="6951" spans="1:10" x14ac:dyDescent="0.25">
      <c r="A6951" s="5" t="s">
        <v>14221</v>
      </c>
      <c r="B6951" s="6">
        <v>418.75</v>
      </c>
      <c r="C6951" s="6">
        <v>20.478950000000001</v>
      </c>
      <c r="D6951" s="6">
        <v>81</v>
      </c>
      <c r="E6951" s="6">
        <v>0</v>
      </c>
      <c r="F6951" s="6">
        <v>0</v>
      </c>
      <c r="G6951" s="6">
        <v>6</v>
      </c>
      <c r="H6951" s="6" t="s">
        <v>14222</v>
      </c>
      <c r="I6951" s="6">
        <v>534.1875</v>
      </c>
      <c r="J6951" s="2">
        <f t="shared" si="108"/>
        <v>43747.984056562498</v>
      </c>
    </row>
    <row r="6952" spans="1:10" x14ac:dyDescent="0.25">
      <c r="A6952" s="7" t="s">
        <v>14223</v>
      </c>
      <c r="B6952" s="8">
        <v>393.75</v>
      </c>
      <c r="C6952" s="8">
        <v>20.478950000000001</v>
      </c>
      <c r="D6952" s="8">
        <v>80</v>
      </c>
      <c r="E6952" s="8">
        <v>0</v>
      </c>
      <c r="F6952" s="8">
        <v>0</v>
      </c>
      <c r="G6952" s="8">
        <v>15</v>
      </c>
      <c r="H6952" s="8" t="s">
        <v>14224</v>
      </c>
      <c r="I6952" s="8">
        <v>526.6875</v>
      </c>
      <c r="J6952" s="3">
        <f t="shared" si="108"/>
        <v>43747.984142037036</v>
      </c>
    </row>
    <row r="6953" spans="1:10" x14ac:dyDescent="0.25">
      <c r="A6953" s="5" t="s">
        <v>14225</v>
      </c>
      <c r="B6953" s="6">
        <v>393.75</v>
      </c>
      <c r="C6953" s="6">
        <v>20.478950000000001</v>
      </c>
      <c r="D6953" s="6">
        <v>82</v>
      </c>
      <c r="E6953" s="6">
        <v>0</v>
      </c>
      <c r="F6953" s="6">
        <v>0</v>
      </c>
      <c r="G6953" s="6">
        <v>5</v>
      </c>
      <c r="H6953" s="6" t="s">
        <v>14226</v>
      </c>
      <c r="I6953" s="6">
        <v>526.6875</v>
      </c>
      <c r="J6953" s="2">
        <f t="shared" si="108"/>
        <v>43747.984223425919</v>
      </c>
    </row>
    <row r="6954" spans="1:10" x14ac:dyDescent="0.25">
      <c r="A6954" s="7" t="s">
        <v>14227</v>
      </c>
      <c r="B6954" s="8">
        <v>393.75</v>
      </c>
      <c r="C6954" s="8">
        <v>20.478950000000001</v>
      </c>
      <c r="D6954" s="8">
        <v>82</v>
      </c>
      <c r="E6954" s="8">
        <v>0</v>
      </c>
      <c r="F6954" s="8">
        <v>0</v>
      </c>
      <c r="G6954" s="8">
        <v>11</v>
      </c>
      <c r="H6954" s="8" t="s">
        <v>14228</v>
      </c>
      <c r="I6954" s="8">
        <v>526.5</v>
      </c>
      <c r="J6954" s="3">
        <f t="shared" si="108"/>
        <v>43747.984294699076</v>
      </c>
    </row>
    <row r="6955" spans="1:10" x14ac:dyDescent="0.25">
      <c r="A6955" s="5" t="s">
        <v>14229</v>
      </c>
      <c r="B6955" s="6">
        <v>396.875</v>
      </c>
      <c r="C6955" s="6">
        <v>20.478950000000001</v>
      </c>
      <c r="D6955" s="6">
        <v>81</v>
      </c>
      <c r="E6955" s="6">
        <v>0</v>
      </c>
      <c r="F6955" s="6">
        <v>0</v>
      </c>
      <c r="G6955" s="6">
        <v>13</v>
      </c>
      <c r="H6955" s="6" t="s">
        <v>14230</v>
      </c>
      <c r="I6955" s="6">
        <v>527.4375</v>
      </c>
      <c r="J6955" s="2">
        <f t="shared" si="108"/>
        <v>43747.984366111108</v>
      </c>
    </row>
    <row r="6956" spans="1:10" x14ac:dyDescent="0.25">
      <c r="A6956" s="7" t="s">
        <v>14231</v>
      </c>
      <c r="B6956" s="8">
        <v>396.875</v>
      </c>
      <c r="C6956" s="8">
        <v>20.478950000000001</v>
      </c>
      <c r="D6956" s="8">
        <v>82</v>
      </c>
      <c r="E6956" s="8">
        <v>0</v>
      </c>
      <c r="F6956" s="8">
        <v>0</v>
      </c>
      <c r="G6956" s="8">
        <v>8</v>
      </c>
      <c r="H6956" s="8" t="s">
        <v>14232</v>
      </c>
      <c r="I6956" s="8">
        <v>527.4375</v>
      </c>
      <c r="J6956" s="3">
        <f t="shared" si="108"/>
        <v>43747.984450254626</v>
      </c>
    </row>
    <row r="6957" spans="1:10" x14ac:dyDescent="0.25">
      <c r="A6957" s="5" t="s">
        <v>14233</v>
      </c>
      <c r="B6957" s="6">
        <v>415.625</v>
      </c>
      <c r="C6957" s="6">
        <v>20.478950000000001</v>
      </c>
      <c r="D6957" s="6">
        <v>82</v>
      </c>
      <c r="E6957" s="6">
        <v>0</v>
      </c>
      <c r="F6957" s="6">
        <v>0</v>
      </c>
      <c r="G6957" s="6">
        <v>8</v>
      </c>
      <c r="H6957" s="6" t="s">
        <v>14234</v>
      </c>
      <c r="I6957" s="6">
        <v>533.25</v>
      </c>
      <c r="J6957" s="2">
        <f t="shared" si="108"/>
        <v>43747.984533541668</v>
      </c>
    </row>
    <row r="6958" spans="1:10" x14ac:dyDescent="0.25">
      <c r="A6958" s="7" t="s">
        <v>14235</v>
      </c>
      <c r="B6958" s="8">
        <v>400</v>
      </c>
      <c r="C6958" s="8">
        <v>20.478950000000001</v>
      </c>
      <c r="D6958" s="8">
        <v>82</v>
      </c>
      <c r="E6958" s="8">
        <v>0</v>
      </c>
      <c r="F6958" s="8">
        <v>0</v>
      </c>
      <c r="G6958" s="8">
        <v>8</v>
      </c>
      <c r="H6958" s="8" t="s">
        <v>14236</v>
      </c>
      <c r="I6958" s="8">
        <v>528.375</v>
      </c>
      <c r="J6958" s="3">
        <f t="shared" si="108"/>
        <v>43747.984604884252</v>
      </c>
    </row>
    <row r="6959" spans="1:10" x14ac:dyDescent="0.25">
      <c r="A6959" s="5" t="s">
        <v>14237</v>
      </c>
      <c r="B6959" s="6">
        <v>400</v>
      </c>
      <c r="C6959" s="6">
        <v>20.478950000000001</v>
      </c>
      <c r="D6959" s="6">
        <v>83</v>
      </c>
      <c r="E6959" s="6">
        <v>0</v>
      </c>
      <c r="F6959" s="6">
        <v>0</v>
      </c>
      <c r="G6959" s="6">
        <v>6</v>
      </c>
      <c r="H6959" s="6" t="s">
        <v>14238</v>
      </c>
      <c r="I6959" s="6">
        <v>528.1875</v>
      </c>
      <c r="J6959" s="2">
        <f t="shared" si="108"/>
        <v>43747.984676192129</v>
      </c>
    </row>
    <row r="6960" spans="1:10" x14ac:dyDescent="0.25">
      <c r="A6960" s="7" t="s">
        <v>14239</v>
      </c>
      <c r="B6960" s="8">
        <v>400</v>
      </c>
      <c r="C6960" s="8">
        <v>20.478950000000001</v>
      </c>
      <c r="D6960" s="8">
        <v>83</v>
      </c>
      <c r="E6960" s="8">
        <v>0</v>
      </c>
      <c r="F6960" s="8">
        <v>0</v>
      </c>
      <c r="G6960" s="8">
        <v>9</v>
      </c>
      <c r="H6960" s="8" t="s">
        <v>14240</v>
      </c>
      <c r="I6960" s="8">
        <v>528.375</v>
      </c>
      <c r="J6960" s="3">
        <f t="shared" si="108"/>
        <v>43747.9847495949</v>
      </c>
    </row>
    <row r="6961" spans="1:10" x14ac:dyDescent="0.25">
      <c r="A6961" s="5" t="s">
        <v>14241</v>
      </c>
      <c r="B6961" s="6">
        <v>400</v>
      </c>
      <c r="C6961" s="6">
        <v>20.478950000000001</v>
      </c>
      <c r="D6961" s="6">
        <v>82</v>
      </c>
      <c r="E6961" s="6">
        <v>0</v>
      </c>
      <c r="F6961" s="6">
        <v>0</v>
      </c>
      <c r="G6961" s="6">
        <v>14</v>
      </c>
      <c r="H6961" s="6" t="s">
        <v>14242</v>
      </c>
      <c r="I6961" s="6">
        <v>528.1875</v>
      </c>
      <c r="J6961" s="2">
        <f t="shared" si="108"/>
        <v>43747.984831678237</v>
      </c>
    </row>
    <row r="6962" spans="1:10" x14ac:dyDescent="0.25">
      <c r="A6962" s="7" t="s">
        <v>14243</v>
      </c>
      <c r="B6962" s="8">
        <v>400</v>
      </c>
      <c r="C6962" s="8">
        <v>20.426300000000001</v>
      </c>
      <c r="D6962" s="8">
        <v>81</v>
      </c>
      <c r="E6962" s="8">
        <v>0</v>
      </c>
      <c r="F6962" s="8">
        <v>0</v>
      </c>
      <c r="G6962" s="8">
        <v>2</v>
      </c>
      <c r="H6962" s="8" t="s">
        <v>14244</v>
      </c>
      <c r="I6962" s="8">
        <v>528.375</v>
      </c>
      <c r="J6962" s="3">
        <f t="shared" si="108"/>
        <v>43747.984903067125</v>
      </c>
    </row>
    <row r="6963" spans="1:10" x14ac:dyDescent="0.25">
      <c r="A6963" s="5" t="s">
        <v>14245</v>
      </c>
      <c r="B6963" s="6">
        <v>400</v>
      </c>
      <c r="C6963" s="6">
        <v>20.478950000000001</v>
      </c>
      <c r="D6963" s="6">
        <v>80</v>
      </c>
      <c r="E6963" s="6">
        <v>0</v>
      </c>
      <c r="F6963" s="6">
        <v>0</v>
      </c>
      <c r="G6963" s="6">
        <v>8</v>
      </c>
      <c r="H6963" s="6" t="s">
        <v>14246</v>
      </c>
      <c r="I6963" s="6">
        <v>528.1875</v>
      </c>
      <c r="J6963" s="2">
        <f t="shared" si="108"/>
        <v>43747.984974363419</v>
      </c>
    </row>
    <row r="6964" spans="1:10" x14ac:dyDescent="0.25">
      <c r="A6964" s="7" t="s">
        <v>14247</v>
      </c>
      <c r="B6964" s="8">
        <v>418.75</v>
      </c>
      <c r="C6964" s="8">
        <v>20.478950000000001</v>
      </c>
      <c r="D6964" s="8">
        <v>80</v>
      </c>
      <c r="E6964" s="8">
        <v>0</v>
      </c>
      <c r="F6964" s="8">
        <v>0</v>
      </c>
      <c r="G6964" s="8">
        <v>8</v>
      </c>
      <c r="H6964" s="8" t="s">
        <v>14248</v>
      </c>
      <c r="I6964" s="8">
        <v>534.1875</v>
      </c>
      <c r="J6964" s="3">
        <f t="shared" si="108"/>
        <v>43747.985048703697</v>
      </c>
    </row>
    <row r="6965" spans="1:10" x14ac:dyDescent="0.25">
      <c r="A6965" s="5" t="s">
        <v>14249</v>
      </c>
      <c r="B6965" s="6">
        <v>403.125</v>
      </c>
      <c r="C6965" s="6">
        <v>20.478950000000001</v>
      </c>
      <c r="D6965" s="6">
        <v>80</v>
      </c>
      <c r="E6965" s="6">
        <v>0</v>
      </c>
      <c r="F6965" s="6">
        <v>0</v>
      </c>
      <c r="G6965" s="6">
        <v>13</v>
      </c>
      <c r="H6965" s="6" t="s">
        <v>14250</v>
      </c>
      <c r="I6965" s="6">
        <v>529.125</v>
      </c>
      <c r="J6965" s="2">
        <f t="shared" si="108"/>
        <v>43747.985129884262</v>
      </c>
    </row>
    <row r="6966" spans="1:10" x14ac:dyDescent="0.25">
      <c r="A6966" s="7" t="s">
        <v>14251</v>
      </c>
      <c r="B6966" s="8">
        <v>403.125</v>
      </c>
      <c r="C6966" s="8">
        <v>20.478950000000001</v>
      </c>
      <c r="D6966" s="8">
        <v>82</v>
      </c>
      <c r="E6966" s="8">
        <v>0</v>
      </c>
      <c r="F6966" s="8">
        <v>0</v>
      </c>
      <c r="G6966" s="8">
        <v>14</v>
      </c>
      <c r="H6966" s="8" t="s">
        <v>14252</v>
      </c>
      <c r="I6966" s="8">
        <v>529.125</v>
      </c>
      <c r="J6966" s="3">
        <f t="shared" si="108"/>
        <v>43747.98522519676</v>
      </c>
    </row>
    <row r="6967" spans="1:10" x14ac:dyDescent="0.25">
      <c r="A6967" s="5" t="s">
        <v>14253</v>
      </c>
      <c r="B6967" s="6">
        <v>403.125</v>
      </c>
      <c r="C6967" s="6">
        <v>20.478950000000001</v>
      </c>
      <c r="D6967" s="6">
        <v>82</v>
      </c>
      <c r="E6967" s="6">
        <v>0</v>
      </c>
      <c r="F6967" s="6">
        <v>0</v>
      </c>
      <c r="G6967" s="6">
        <v>0</v>
      </c>
      <c r="H6967" s="6" t="s">
        <v>14254</v>
      </c>
      <c r="I6967" s="6">
        <v>529.125</v>
      </c>
      <c r="J6967" s="2">
        <f t="shared" si="108"/>
        <v>43747.985296585648</v>
      </c>
    </row>
    <row r="6968" spans="1:10" x14ac:dyDescent="0.25">
      <c r="A6968" s="7" t="s">
        <v>14255</v>
      </c>
      <c r="B6968" s="8">
        <v>400</v>
      </c>
      <c r="C6968" s="8">
        <v>20.478950000000001</v>
      </c>
      <c r="D6968" s="8">
        <v>81</v>
      </c>
      <c r="E6968" s="8">
        <v>0</v>
      </c>
      <c r="F6968" s="8">
        <v>0</v>
      </c>
      <c r="G6968" s="8">
        <v>7</v>
      </c>
      <c r="H6968" s="8" t="s">
        <v>14256</v>
      </c>
      <c r="I6968" s="8">
        <v>528.1875</v>
      </c>
      <c r="J6968" s="3">
        <f t="shared" si="108"/>
        <v>43747.985367905094</v>
      </c>
    </row>
    <row r="6969" spans="1:10" x14ac:dyDescent="0.25">
      <c r="A6969" s="5" t="s">
        <v>14257</v>
      </c>
      <c r="B6969" s="6">
        <v>403.125</v>
      </c>
      <c r="C6969" s="6">
        <v>20.478950000000001</v>
      </c>
      <c r="D6969" s="6">
        <v>81</v>
      </c>
      <c r="E6969" s="6">
        <v>0</v>
      </c>
      <c r="F6969" s="6">
        <v>0</v>
      </c>
      <c r="G6969" s="6">
        <v>13</v>
      </c>
      <c r="H6969" s="6" t="s">
        <v>14258</v>
      </c>
      <c r="I6969" s="6">
        <v>529.125</v>
      </c>
      <c r="J6969" s="2">
        <f t="shared" si="108"/>
        <v>43747.985439432865</v>
      </c>
    </row>
    <row r="6970" spans="1:10" x14ac:dyDescent="0.25">
      <c r="A6970" s="7" t="s">
        <v>14259</v>
      </c>
      <c r="B6970" s="8">
        <v>421.875</v>
      </c>
      <c r="C6970" s="8">
        <v>20.478950000000001</v>
      </c>
      <c r="D6970" s="8">
        <v>82</v>
      </c>
      <c r="E6970" s="8">
        <v>0</v>
      </c>
      <c r="F6970" s="8">
        <v>0</v>
      </c>
      <c r="G6970" s="8">
        <v>7</v>
      </c>
      <c r="H6970" s="8" t="s">
        <v>14260</v>
      </c>
      <c r="I6970" s="8">
        <v>535.3125</v>
      </c>
      <c r="J6970" s="3">
        <f t="shared" si="108"/>
        <v>43747.985511307867</v>
      </c>
    </row>
    <row r="6971" spans="1:10" x14ac:dyDescent="0.25">
      <c r="A6971" s="5" t="s">
        <v>14261</v>
      </c>
      <c r="B6971" s="6">
        <v>403.125</v>
      </c>
      <c r="C6971" s="6">
        <v>20.478950000000001</v>
      </c>
      <c r="D6971" s="6">
        <v>82</v>
      </c>
      <c r="E6971" s="6">
        <v>0</v>
      </c>
      <c r="F6971" s="6">
        <v>0</v>
      </c>
      <c r="G6971" s="6">
        <v>5</v>
      </c>
      <c r="H6971" s="6" t="s">
        <v>14262</v>
      </c>
      <c r="I6971" s="6">
        <v>529.125</v>
      </c>
      <c r="J6971" s="2">
        <f t="shared" si="108"/>
        <v>43747.985582662033</v>
      </c>
    </row>
    <row r="6972" spans="1:10" x14ac:dyDescent="0.25">
      <c r="A6972" s="7" t="s">
        <v>14263</v>
      </c>
      <c r="B6972" s="8">
        <v>403.125</v>
      </c>
      <c r="C6972" s="8">
        <v>20.478950000000001</v>
      </c>
      <c r="D6972" s="8">
        <v>82</v>
      </c>
      <c r="E6972" s="8">
        <v>0</v>
      </c>
      <c r="F6972" s="8">
        <v>0</v>
      </c>
      <c r="G6972" s="8">
        <v>8</v>
      </c>
      <c r="H6972" s="8" t="s">
        <v>14264</v>
      </c>
      <c r="I6972" s="8">
        <v>529.125</v>
      </c>
      <c r="J6972" s="3">
        <f t="shared" si="108"/>
        <v>43747.985654074073</v>
      </c>
    </row>
    <row r="6973" spans="1:10" x14ac:dyDescent="0.25">
      <c r="A6973" s="5" t="s">
        <v>14265</v>
      </c>
      <c r="B6973" s="6">
        <v>403.125</v>
      </c>
      <c r="C6973" s="6">
        <v>20.478950000000001</v>
      </c>
      <c r="D6973" s="6">
        <v>82</v>
      </c>
      <c r="E6973" s="6">
        <v>0</v>
      </c>
      <c r="F6973" s="6">
        <v>0</v>
      </c>
      <c r="G6973" s="6">
        <v>3</v>
      </c>
      <c r="H6973" s="6" t="s">
        <v>14266</v>
      </c>
      <c r="I6973" s="6">
        <v>529.875</v>
      </c>
      <c r="J6973" s="2">
        <f t="shared" si="108"/>
        <v>43747.985738391202</v>
      </c>
    </row>
    <row r="6974" spans="1:10" x14ac:dyDescent="0.25">
      <c r="A6974" s="7" t="s">
        <v>14267</v>
      </c>
      <c r="B6974" s="8">
        <v>403.125</v>
      </c>
      <c r="C6974" s="8">
        <v>20.478950000000001</v>
      </c>
      <c r="D6974" s="8">
        <v>81</v>
      </c>
      <c r="E6974" s="8">
        <v>0</v>
      </c>
      <c r="F6974" s="8">
        <v>0</v>
      </c>
      <c r="G6974" s="8">
        <v>7</v>
      </c>
      <c r="H6974" s="8" t="s">
        <v>14268</v>
      </c>
      <c r="I6974" s="8">
        <v>529.875</v>
      </c>
      <c r="J6974" s="3">
        <f t="shared" si="108"/>
        <v>43747.985809537036</v>
      </c>
    </row>
    <row r="6975" spans="1:10" x14ac:dyDescent="0.25">
      <c r="A6975" s="5" t="s">
        <v>14269</v>
      </c>
      <c r="B6975" s="6">
        <v>406.25</v>
      </c>
      <c r="C6975" s="6">
        <v>20.478950000000001</v>
      </c>
      <c r="D6975" s="6">
        <v>80</v>
      </c>
      <c r="E6975" s="6">
        <v>0</v>
      </c>
      <c r="F6975" s="6">
        <v>0</v>
      </c>
      <c r="G6975" s="6">
        <v>9</v>
      </c>
      <c r="H6975" s="6" t="s">
        <v>14270</v>
      </c>
      <c r="I6975" s="6">
        <v>530.625</v>
      </c>
      <c r="J6975" s="2">
        <f t="shared" si="108"/>
        <v>43747.985880821761</v>
      </c>
    </row>
    <row r="6976" spans="1:10" x14ac:dyDescent="0.25">
      <c r="A6976" s="7" t="s">
        <v>14271</v>
      </c>
      <c r="B6976" s="8">
        <v>403.125</v>
      </c>
      <c r="C6976" s="8">
        <v>20.478950000000001</v>
      </c>
      <c r="D6976" s="8">
        <v>83</v>
      </c>
      <c r="E6976" s="8">
        <v>0</v>
      </c>
      <c r="F6976" s="8">
        <v>0</v>
      </c>
      <c r="G6976" s="8">
        <v>16</v>
      </c>
      <c r="H6976" s="8" t="s">
        <v>14272</v>
      </c>
      <c r="I6976" s="8">
        <v>529.875</v>
      </c>
      <c r="J6976" s="3">
        <f t="shared" si="108"/>
        <v>43747.985952858791</v>
      </c>
    </row>
    <row r="6977" spans="1:10" x14ac:dyDescent="0.25">
      <c r="A6977" s="5" t="s">
        <v>14273</v>
      </c>
      <c r="B6977" s="6">
        <v>403.125</v>
      </c>
      <c r="C6977" s="6">
        <v>20.478950000000001</v>
      </c>
      <c r="D6977" s="6">
        <v>83</v>
      </c>
      <c r="E6977" s="6">
        <v>0</v>
      </c>
      <c r="F6977" s="6">
        <v>0</v>
      </c>
      <c r="G6977" s="6">
        <v>5</v>
      </c>
      <c r="H6977" s="6" t="s">
        <v>14274</v>
      </c>
      <c r="I6977" s="6">
        <v>529.125</v>
      </c>
      <c r="J6977" s="2">
        <f t="shared" si="108"/>
        <v>43747.986024340273</v>
      </c>
    </row>
    <row r="6978" spans="1:10" x14ac:dyDescent="0.25">
      <c r="A6978" s="7" t="s">
        <v>14275</v>
      </c>
      <c r="B6978" s="8">
        <v>418.75</v>
      </c>
      <c r="C6978" s="8">
        <v>20.478950000000001</v>
      </c>
      <c r="D6978" s="8">
        <v>84</v>
      </c>
      <c r="E6978" s="8">
        <v>0</v>
      </c>
      <c r="F6978" s="8">
        <v>0</v>
      </c>
      <c r="G6978" s="8">
        <v>0</v>
      </c>
      <c r="H6978" s="8" t="s">
        <v>14276</v>
      </c>
      <c r="I6978" s="8">
        <v>534.5625</v>
      </c>
      <c r="J6978" s="3">
        <f t="shared" ref="J6978:J7041" si="109">(H6978/86400000)+25569+(7/24)</f>
        <v>43747.986095462962</v>
      </c>
    </row>
    <row r="6979" spans="1:10" x14ac:dyDescent="0.25">
      <c r="A6979" s="5" t="s">
        <v>14277</v>
      </c>
      <c r="B6979" s="6">
        <v>400</v>
      </c>
      <c r="C6979" s="6">
        <v>20.478950000000001</v>
      </c>
      <c r="D6979" s="6">
        <v>84</v>
      </c>
      <c r="E6979" s="6">
        <v>0</v>
      </c>
      <c r="F6979" s="6">
        <v>0</v>
      </c>
      <c r="G6979" s="6">
        <v>8</v>
      </c>
      <c r="H6979" s="6" t="s">
        <v>14278</v>
      </c>
      <c r="I6979" s="6">
        <v>528.375</v>
      </c>
      <c r="J6979" s="2">
        <f t="shared" si="109"/>
        <v>43747.986167037037</v>
      </c>
    </row>
    <row r="6980" spans="1:10" x14ac:dyDescent="0.25">
      <c r="A6980" s="7" t="s">
        <v>14279</v>
      </c>
      <c r="B6980" s="8">
        <v>396.875</v>
      </c>
      <c r="C6980" s="8">
        <v>20.478950000000001</v>
      </c>
      <c r="D6980" s="8">
        <v>83</v>
      </c>
      <c r="E6980" s="8">
        <v>0</v>
      </c>
      <c r="F6980" s="8">
        <v>0</v>
      </c>
      <c r="G6980" s="8">
        <v>13</v>
      </c>
      <c r="H6980" s="8" t="s">
        <v>14280</v>
      </c>
      <c r="I6980" s="8">
        <v>527.4375</v>
      </c>
      <c r="J6980" s="3">
        <f t="shared" si="109"/>
        <v>43747.986262361104</v>
      </c>
    </row>
    <row r="6981" spans="1:10" x14ac:dyDescent="0.25">
      <c r="A6981" s="5" t="s">
        <v>14281</v>
      </c>
      <c r="B6981" s="6">
        <v>396.875</v>
      </c>
      <c r="C6981" s="6">
        <v>20.478950000000001</v>
      </c>
      <c r="D6981" s="6">
        <v>83</v>
      </c>
      <c r="E6981" s="6">
        <v>0</v>
      </c>
      <c r="F6981" s="6">
        <v>0</v>
      </c>
      <c r="G6981" s="6">
        <v>11</v>
      </c>
      <c r="H6981" s="6" t="s">
        <v>14282</v>
      </c>
      <c r="I6981" s="6">
        <v>527.4375</v>
      </c>
      <c r="J6981" s="2">
        <f t="shared" si="109"/>
        <v>43747.986334513887</v>
      </c>
    </row>
    <row r="6982" spans="1:10" x14ac:dyDescent="0.25">
      <c r="A6982" s="7" t="s">
        <v>14283</v>
      </c>
      <c r="B6982" s="8">
        <v>393.75</v>
      </c>
      <c r="C6982" s="8">
        <v>20.478950000000001</v>
      </c>
      <c r="D6982" s="8">
        <v>83</v>
      </c>
      <c r="E6982" s="8">
        <v>0</v>
      </c>
      <c r="F6982" s="8">
        <v>0</v>
      </c>
      <c r="G6982" s="8">
        <v>11</v>
      </c>
      <c r="H6982" s="8" t="s">
        <v>14284</v>
      </c>
      <c r="I6982" s="8">
        <v>526.6875</v>
      </c>
      <c r="J6982" s="3">
        <f t="shared" si="109"/>
        <v>43747.986405810181</v>
      </c>
    </row>
    <row r="6983" spans="1:10" x14ac:dyDescent="0.25">
      <c r="A6983" s="5" t="s">
        <v>14285</v>
      </c>
      <c r="B6983" s="6">
        <v>393.75</v>
      </c>
      <c r="C6983" s="6">
        <v>20.478950000000001</v>
      </c>
      <c r="D6983" s="6">
        <v>83</v>
      </c>
      <c r="E6983" s="6">
        <v>0</v>
      </c>
      <c r="F6983" s="6">
        <v>0</v>
      </c>
      <c r="G6983" s="6">
        <v>2</v>
      </c>
      <c r="H6983" s="6" t="s">
        <v>14286</v>
      </c>
      <c r="I6983" s="6">
        <v>526.6875</v>
      </c>
      <c r="J6983" s="2">
        <f t="shared" si="109"/>
        <v>43747.986477106482</v>
      </c>
    </row>
    <row r="6984" spans="1:10" x14ac:dyDescent="0.25">
      <c r="A6984" s="7" t="s">
        <v>14287</v>
      </c>
      <c r="B6984" s="8">
        <v>396.875</v>
      </c>
      <c r="C6984" s="8">
        <v>20.478950000000001</v>
      </c>
      <c r="D6984" s="8">
        <v>83</v>
      </c>
      <c r="E6984" s="8">
        <v>0</v>
      </c>
      <c r="F6984" s="8">
        <v>0</v>
      </c>
      <c r="G6984" s="8">
        <v>10</v>
      </c>
      <c r="H6984" s="8" t="s">
        <v>14288</v>
      </c>
      <c r="I6984" s="8">
        <v>527.4375</v>
      </c>
      <c r="J6984" s="3">
        <f t="shared" si="109"/>
        <v>43747.986548460649</v>
      </c>
    </row>
    <row r="6985" spans="1:10" x14ac:dyDescent="0.25">
      <c r="A6985" s="5" t="s">
        <v>14289</v>
      </c>
      <c r="B6985" s="6">
        <v>396.875</v>
      </c>
      <c r="C6985" s="6">
        <v>20.478950000000001</v>
      </c>
      <c r="D6985" s="6">
        <v>83</v>
      </c>
      <c r="E6985" s="6">
        <v>0</v>
      </c>
      <c r="F6985" s="6">
        <v>0</v>
      </c>
      <c r="G6985" s="6">
        <v>3</v>
      </c>
      <c r="H6985" s="6" t="s">
        <v>14290</v>
      </c>
      <c r="I6985" s="6">
        <v>527.4375</v>
      </c>
      <c r="J6985" s="2">
        <f t="shared" si="109"/>
        <v>43747.986620578704</v>
      </c>
    </row>
    <row r="6986" spans="1:10" x14ac:dyDescent="0.25">
      <c r="A6986" s="7" t="s">
        <v>14291</v>
      </c>
      <c r="B6986" s="8">
        <v>396.875</v>
      </c>
      <c r="C6986" s="8">
        <v>20.478950000000001</v>
      </c>
      <c r="D6986" s="8">
        <v>81</v>
      </c>
      <c r="E6986" s="8">
        <v>0</v>
      </c>
      <c r="F6986" s="8">
        <v>0</v>
      </c>
      <c r="G6986" s="8">
        <v>4</v>
      </c>
      <c r="H6986" s="8" t="s">
        <v>14292</v>
      </c>
      <c r="I6986" s="8">
        <v>527.4375</v>
      </c>
      <c r="J6986" s="3">
        <f t="shared" si="109"/>
        <v>43747.986691921295</v>
      </c>
    </row>
    <row r="6987" spans="1:10" x14ac:dyDescent="0.25">
      <c r="A6987" s="5" t="s">
        <v>14293</v>
      </c>
      <c r="B6987" s="6">
        <v>396.875</v>
      </c>
      <c r="C6987" s="6">
        <v>20.478950000000001</v>
      </c>
      <c r="D6987" s="6">
        <v>81</v>
      </c>
      <c r="E6987" s="6">
        <v>0</v>
      </c>
      <c r="F6987" s="6">
        <v>0</v>
      </c>
      <c r="G6987" s="6">
        <v>10</v>
      </c>
      <c r="H6987" s="6" t="s">
        <v>14294</v>
      </c>
      <c r="I6987" s="6">
        <v>527.4375</v>
      </c>
      <c r="J6987" s="2">
        <f t="shared" si="109"/>
        <v>43747.986774108795</v>
      </c>
    </row>
    <row r="6988" spans="1:10" x14ac:dyDescent="0.25">
      <c r="A6988" s="7" t="s">
        <v>14295</v>
      </c>
      <c r="B6988" s="8">
        <v>396.875</v>
      </c>
      <c r="C6988" s="8">
        <v>20.478950000000001</v>
      </c>
      <c r="D6988" s="8">
        <v>81</v>
      </c>
      <c r="E6988" s="8">
        <v>0</v>
      </c>
      <c r="F6988" s="8">
        <v>0</v>
      </c>
      <c r="G6988" s="8">
        <v>7</v>
      </c>
      <c r="H6988" s="8" t="s">
        <v>14296</v>
      </c>
      <c r="I6988" s="8">
        <v>527.4375</v>
      </c>
      <c r="J6988" s="3">
        <f t="shared" si="109"/>
        <v>43747.986847326385</v>
      </c>
    </row>
    <row r="6989" spans="1:10" x14ac:dyDescent="0.25">
      <c r="A6989" s="5" t="s">
        <v>14297</v>
      </c>
      <c r="B6989" s="6">
        <v>396.875</v>
      </c>
      <c r="C6989" s="6">
        <v>20.478950000000001</v>
      </c>
      <c r="D6989" s="6">
        <v>83</v>
      </c>
      <c r="E6989" s="6">
        <v>0</v>
      </c>
      <c r="F6989" s="6">
        <v>0</v>
      </c>
      <c r="G6989" s="6">
        <v>8</v>
      </c>
      <c r="H6989" s="6" t="s">
        <v>14298</v>
      </c>
      <c r="I6989" s="6">
        <v>527.625</v>
      </c>
      <c r="J6989" s="2">
        <f t="shared" si="109"/>
        <v>43747.986918726849</v>
      </c>
    </row>
    <row r="6990" spans="1:10" x14ac:dyDescent="0.25">
      <c r="A6990" s="7" t="s">
        <v>14299</v>
      </c>
      <c r="B6990" s="8">
        <v>393.75</v>
      </c>
      <c r="C6990" s="8">
        <v>20.478950000000001</v>
      </c>
      <c r="D6990" s="8">
        <v>83</v>
      </c>
      <c r="E6990" s="8">
        <v>0</v>
      </c>
      <c r="F6990" s="8">
        <v>0</v>
      </c>
      <c r="G6990" s="8">
        <v>9</v>
      </c>
      <c r="H6990" s="8" t="s">
        <v>14300</v>
      </c>
      <c r="I6990" s="8">
        <v>526.6875</v>
      </c>
      <c r="J6990" s="3">
        <f t="shared" si="109"/>
        <v>43747.986990069439</v>
      </c>
    </row>
    <row r="6991" spans="1:10" x14ac:dyDescent="0.25">
      <c r="A6991" s="5" t="s">
        <v>14301</v>
      </c>
      <c r="B6991" s="6">
        <v>393.75</v>
      </c>
      <c r="C6991" s="6">
        <v>20.478950000000001</v>
      </c>
      <c r="D6991" s="6">
        <v>82</v>
      </c>
      <c r="E6991" s="6">
        <v>0</v>
      </c>
      <c r="F6991" s="6">
        <v>0</v>
      </c>
      <c r="G6991" s="6">
        <v>0</v>
      </c>
      <c r="H6991" s="6" t="s">
        <v>14302</v>
      </c>
      <c r="I6991" s="6">
        <v>526.6875</v>
      </c>
      <c r="J6991" s="2">
        <f t="shared" si="109"/>
        <v>43747.987069282404</v>
      </c>
    </row>
    <row r="6992" spans="1:10" x14ac:dyDescent="0.25">
      <c r="A6992" s="7" t="s">
        <v>14303</v>
      </c>
      <c r="B6992" s="8">
        <v>415.625</v>
      </c>
      <c r="C6992" s="8">
        <v>20.478950000000001</v>
      </c>
      <c r="D6992" s="8">
        <v>83</v>
      </c>
      <c r="E6992" s="8">
        <v>0</v>
      </c>
      <c r="F6992" s="8">
        <v>0</v>
      </c>
      <c r="G6992" s="8">
        <v>9</v>
      </c>
      <c r="H6992" s="8" t="s">
        <v>14304</v>
      </c>
      <c r="I6992" s="8">
        <v>533.25</v>
      </c>
      <c r="J6992" s="3">
        <f t="shared" si="109"/>
        <v>43747.987145659725</v>
      </c>
    </row>
    <row r="6993" spans="1:10" x14ac:dyDescent="0.25">
      <c r="A6993" s="5" t="s">
        <v>14305</v>
      </c>
      <c r="B6993" s="6">
        <v>396.875</v>
      </c>
      <c r="C6993" s="6">
        <v>20.478950000000001</v>
      </c>
      <c r="D6993" s="6">
        <v>84</v>
      </c>
      <c r="E6993" s="6">
        <v>0</v>
      </c>
      <c r="F6993" s="6">
        <v>0</v>
      </c>
      <c r="G6993" s="6">
        <v>8</v>
      </c>
      <c r="H6993" s="6" t="s">
        <v>14306</v>
      </c>
      <c r="I6993" s="6">
        <v>527.625</v>
      </c>
      <c r="J6993" s="2">
        <f t="shared" si="109"/>
        <v>43747.987216932866</v>
      </c>
    </row>
    <row r="6994" spans="1:10" x14ac:dyDescent="0.25">
      <c r="A6994" s="7" t="s">
        <v>14307</v>
      </c>
      <c r="B6994" s="8">
        <v>396.875</v>
      </c>
      <c r="C6994" s="8">
        <v>20.478950000000001</v>
      </c>
      <c r="D6994" s="8">
        <v>84</v>
      </c>
      <c r="E6994" s="8">
        <v>0</v>
      </c>
      <c r="F6994" s="8">
        <v>0</v>
      </c>
      <c r="G6994" s="8">
        <v>4</v>
      </c>
      <c r="H6994" s="8" t="s">
        <v>14308</v>
      </c>
      <c r="I6994" s="8">
        <v>527.4375</v>
      </c>
      <c r="J6994" s="3">
        <f t="shared" si="109"/>
        <v>43747.98728822916</v>
      </c>
    </row>
    <row r="6995" spans="1:10" x14ac:dyDescent="0.25">
      <c r="A6995" s="5" t="s">
        <v>14309</v>
      </c>
      <c r="B6995" s="6">
        <v>396.875</v>
      </c>
      <c r="C6995" s="6">
        <v>20.478950000000001</v>
      </c>
      <c r="D6995" s="6">
        <v>84</v>
      </c>
      <c r="E6995" s="6">
        <v>0</v>
      </c>
      <c r="F6995" s="6">
        <v>0</v>
      </c>
      <c r="G6995" s="6">
        <v>7</v>
      </c>
      <c r="H6995" s="6" t="s">
        <v>14310</v>
      </c>
      <c r="I6995" s="6">
        <v>527.4375</v>
      </c>
      <c r="J6995" s="2">
        <f t="shared" si="109"/>
        <v>43747.987359537037</v>
      </c>
    </row>
    <row r="6996" spans="1:10" x14ac:dyDescent="0.25">
      <c r="A6996" s="7" t="s">
        <v>14311</v>
      </c>
      <c r="B6996" s="8">
        <v>415.625</v>
      </c>
      <c r="C6996" s="8">
        <v>20.478950000000001</v>
      </c>
      <c r="D6996" s="8">
        <v>83</v>
      </c>
      <c r="E6996" s="8">
        <v>0</v>
      </c>
      <c r="F6996" s="8">
        <v>0</v>
      </c>
      <c r="G6996" s="8">
        <v>8</v>
      </c>
      <c r="H6996" s="8" t="s">
        <v>14312</v>
      </c>
      <c r="I6996" s="8">
        <v>533.25</v>
      </c>
      <c r="J6996" s="3">
        <f t="shared" si="109"/>
        <v>43747.987431782407</v>
      </c>
    </row>
    <row r="6997" spans="1:10" x14ac:dyDescent="0.25">
      <c r="A6997" s="5" t="s">
        <v>14313</v>
      </c>
      <c r="B6997" s="6">
        <v>396.875</v>
      </c>
      <c r="C6997" s="6">
        <v>20.478950000000001</v>
      </c>
      <c r="D6997" s="6">
        <v>83</v>
      </c>
      <c r="E6997" s="6">
        <v>0</v>
      </c>
      <c r="F6997" s="6">
        <v>0</v>
      </c>
      <c r="G6997" s="6">
        <v>12</v>
      </c>
      <c r="H6997" s="6" t="s">
        <v>14314</v>
      </c>
      <c r="I6997" s="6">
        <v>527.4375</v>
      </c>
      <c r="J6997" s="2">
        <f t="shared" si="109"/>
        <v>43747.987515069442</v>
      </c>
    </row>
    <row r="6998" spans="1:10" x14ac:dyDescent="0.25">
      <c r="A6998" s="7" t="s">
        <v>14315</v>
      </c>
      <c r="B6998" s="8">
        <v>396.875</v>
      </c>
      <c r="C6998" s="8">
        <v>20.478950000000001</v>
      </c>
      <c r="D6998" s="8">
        <v>82</v>
      </c>
      <c r="E6998" s="8">
        <v>0</v>
      </c>
      <c r="F6998" s="8">
        <v>0</v>
      </c>
      <c r="G6998" s="8">
        <v>15</v>
      </c>
      <c r="H6998" s="8" t="s">
        <v>14316</v>
      </c>
      <c r="I6998" s="8">
        <v>527.625</v>
      </c>
      <c r="J6998" s="3">
        <f t="shared" si="109"/>
        <v>43747.987586192125</v>
      </c>
    </row>
    <row r="6999" spans="1:10" x14ac:dyDescent="0.25">
      <c r="A6999" s="5" t="s">
        <v>14317</v>
      </c>
      <c r="B6999" s="6">
        <v>396.875</v>
      </c>
      <c r="C6999" s="6">
        <v>20.478950000000001</v>
      </c>
      <c r="D6999" s="6">
        <v>83</v>
      </c>
      <c r="E6999" s="6">
        <v>0</v>
      </c>
      <c r="F6999" s="6">
        <v>0</v>
      </c>
      <c r="G6999" s="6">
        <v>8</v>
      </c>
      <c r="H6999" s="6" t="s">
        <v>14318</v>
      </c>
      <c r="I6999" s="6">
        <v>527.4375</v>
      </c>
      <c r="J6999" s="2">
        <f t="shared" si="109"/>
        <v>43747.987657743048</v>
      </c>
    </row>
    <row r="7000" spans="1:10" x14ac:dyDescent="0.25">
      <c r="A7000" s="7" t="s">
        <v>14319</v>
      </c>
      <c r="B7000" s="8">
        <v>396.875</v>
      </c>
      <c r="C7000" s="8">
        <v>20.478950000000001</v>
      </c>
      <c r="D7000" s="8">
        <v>83</v>
      </c>
      <c r="E7000" s="8">
        <v>0</v>
      </c>
      <c r="F7000" s="8">
        <v>0</v>
      </c>
      <c r="G7000" s="8">
        <v>13</v>
      </c>
      <c r="H7000" s="8" t="s">
        <v>14320</v>
      </c>
      <c r="I7000" s="8">
        <v>527.4375</v>
      </c>
      <c r="J7000" s="3">
        <f t="shared" si="109"/>
        <v>43747.987729884255</v>
      </c>
    </row>
    <row r="7001" spans="1:10" x14ac:dyDescent="0.25">
      <c r="A7001" s="5" t="s">
        <v>14321</v>
      </c>
      <c r="B7001" s="6">
        <v>396.875</v>
      </c>
      <c r="C7001" s="6">
        <v>20.478950000000001</v>
      </c>
      <c r="D7001" s="6">
        <v>82</v>
      </c>
      <c r="E7001" s="6">
        <v>0</v>
      </c>
      <c r="F7001" s="6">
        <v>0</v>
      </c>
      <c r="G7001" s="6">
        <v>13</v>
      </c>
      <c r="H7001" s="6" t="s">
        <v>14322</v>
      </c>
      <c r="I7001" s="6">
        <v>527.4375</v>
      </c>
      <c r="J7001" s="2">
        <f t="shared" si="109"/>
        <v>43747.987806157405</v>
      </c>
    </row>
    <row r="7002" spans="1:10" x14ac:dyDescent="0.25">
      <c r="A7002" s="7" t="s">
        <v>14323</v>
      </c>
      <c r="B7002" s="8">
        <v>396.875</v>
      </c>
      <c r="C7002" s="8">
        <v>20.478950000000001</v>
      </c>
      <c r="D7002" s="8">
        <v>82</v>
      </c>
      <c r="E7002" s="8">
        <v>0</v>
      </c>
      <c r="F7002" s="8">
        <v>0</v>
      </c>
      <c r="G7002" s="8">
        <v>10</v>
      </c>
      <c r="H7002" s="8" t="s">
        <v>14324</v>
      </c>
      <c r="I7002" s="8">
        <v>527.4375</v>
      </c>
      <c r="J7002" s="3">
        <f t="shared" si="109"/>
        <v>43747.987884513888</v>
      </c>
    </row>
    <row r="7003" spans="1:10" x14ac:dyDescent="0.25">
      <c r="A7003" s="5" t="s">
        <v>14325</v>
      </c>
      <c r="B7003" s="6">
        <v>412.5</v>
      </c>
      <c r="C7003" s="6">
        <v>20.478950000000001</v>
      </c>
      <c r="D7003" s="6">
        <v>82</v>
      </c>
      <c r="E7003" s="6">
        <v>0</v>
      </c>
      <c r="F7003" s="6">
        <v>0</v>
      </c>
      <c r="G7003" s="6">
        <v>11</v>
      </c>
      <c r="H7003" s="6" t="s">
        <v>14326</v>
      </c>
      <c r="I7003" s="6">
        <v>532.3125</v>
      </c>
      <c r="J7003" s="2">
        <f t="shared" si="109"/>
        <v>43747.987955868048</v>
      </c>
    </row>
    <row r="7004" spans="1:10" x14ac:dyDescent="0.25">
      <c r="A7004" s="7" t="s">
        <v>14327</v>
      </c>
      <c r="B7004" s="8">
        <v>393.75</v>
      </c>
      <c r="C7004" s="8">
        <v>20.478950000000001</v>
      </c>
      <c r="D7004" s="8">
        <v>82</v>
      </c>
      <c r="E7004" s="8">
        <v>0</v>
      </c>
      <c r="F7004" s="8">
        <v>0</v>
      </c>
      <c r="G7004" s="8">
        <v>4</v>
      </c>
      <c r="H7004" s="8" t="s">
        <v>14328</v>
      </c>
      <c r="I7004" s="8">
        <v>526.6875</v>
      </c>
      <c r="J7004" s="3">
        <f t="shared" si="109"/>
        <v>43747.988027974534</v>
      </c>
    </row>
    <row r="7005" spans="1:10" x14ac:dyDescent="0.25">
      <c r="A7005" s="5" t="s">
        <v>14329</v>
      </c>
      <c r="B7005" s="6">
        <v>393.75</v>
      </c>
      <c r="C7005" s="6">
        <v>20.478950000000001</v>
      </c>
      <c r="D7005" s="6">
        <v>82</v>
      </c>
      <c r="E7005" s="6">
        <v>0</v>
      </c>
      <c r="F7005" s="6">
        <v>0</v>
      </c>
      <c r="G7005" s="6">
        <v>9</v>
      </c>
      <c r="H7005" s="6" t="s">
        <v>14330</v>
      </c>
      <c r="I7005" s="6">
        <v>526.5</v>
      </c>
      <c r="J7005" s="2">
        <f t="shared" si="109"/>
        <v>43747.988099270828</v>
      </c>
    </row>
    <row r="7006" spans="1:10" x14ac:dyDescent="0.25">
      <c r="A7006" s="7" t="s">
        <v>14331</v>
      </c>
      <c r="B7006" s="8">
        <v>393.75</v>
      </c>
      <c r="C7006" s="8">
        <v>20.478950000000001</v>
      </c>
      <c r="D7006" s="8">
        <v>82</v>
      </c>
      <c r="E7006" s="8">
        <v>0</v>
      </c>
      <c r="F7006" s="8">
        <v>0</v>
      </c>
      <c r="G7006" s="8">
        <v>13</v>
      </c>
      <c r="H7006" s="8" t="s">
        <v>14332</v>
      </c>
      <c r="I7006" s="8">
        <v>526.6875</v>
      </c>
      <c r="J7006" s="3">
        <f t="shared" si="109"/>
        <v>43747.988170624994</v>
      </c>
    </row>
    <row r="7007" spans="1:10" x14ac:dyDescent="0.25">
      <c r="A7007" s="5" t="s">
        <v>14333</v>
      </c>
      <c r="B7007" s="6">
        <v>393.75</v>
      </c>
      <c r="C7007" s="6">
        <v>20.478950000000001</v>
      </c>
      <c r="D7007" s="6">
        <v>82</v>
      </c>
      <c r="E7007" s="6">
        <v>0</v>
      </c>
      <c r="F7007" s="6">
        <v>0</v>
      </c>
      <c r="G7007" s="6">
        <v>13</v>
      </c>
      <c r="H7007" s="6" t="s">
        <v>14334</v>
      </c>
      <c r="I7007" s="6">
        <v>526.6875</v>
      </c>
      <c r="J7007" s="2">
        <f t="shared" si="109"/>
        <v>43747.988266030086</v>
      </c>
    </row>
    <row r="7008" spans="1:10" x14ac:dyDescent="0.25">
      <c r="A7008" s="7" t="s">
        <v>14335</v>
      </c>
      <c r="B7008" s="8">
        <v>393.75</v>
      </c>
      <c r="C7008" s="8">
        <v>20.478950000000001</v>
      </c>
      <c r="D7008" s="8">
        <v>82</v>
      </c>
      <c r="E7008" s="8">
        <v>0</v>
      </c>
      <c r="F7008" s="8">
        <v>0</v>
      </c>
      <c r="G7008" s="8">
        <v>7</v>
      </c>
      <c r="H7008" s="8" t="s">
        <v>14336</v>
      </c>
      <c r="I7008" s="8">
        <v>526.6875</v>
      </c>
      <c r="J7008" s="3">
        <f t="shared" si="109"/>
        <v>43747.988338240735</v>
      </c>
    </row>
    <row r="7009" spans="1:10" x14ac:dyDescent="0.25">
      <c r="A7009" s="5" t="s">
        <v>14337</v>
      </c>
      <c r="B7009" s="6">
        <v>393.75</v>
      </c>
      <c r="C7009" s="6">
        <v>20.478950000000001</v>
      </c>
      <c r="D7009" s="6">
        <v>85</v>
      </c>
      <c r="E7009" s="6">
        <v>0</v>
      </c>
      <c r="F7009" s="6">
        <v>0</v>
      </c>
      <c r="G7009" s="6">
        <v>8</v>
      </c>
      <c r="H7009" s="6" t="s">
        <v>14338</v>
      </c>
      <c r="I7009" s="6">
        <v>526.6875</v>
      </c>
      <c r="J7009" s="2">
        <f t="shared" si="109"/>
        <v>43747.988421504626</v>
      </c>
    </row>
    <row r="7010" spans="1:10" x14ac:dyDescent="0.25">
      <c r="A7010" s="7" t="s">
        <v>14339</v>
      </c>
      <c r="B7010" s="8">
        <v>396.875</v>
      </c>
      <c r="C7010" s="8">
        <v>20.478950000000001</v>
      </c>
      <c r="D7010" s="8">
        <v>86</v>
      </c>
      <c r="E7010" s="8">
        <v>0</v>
      </c>
      <c r="F7010" s="8">
        <v>0</v>
      </c>
      <c r="G7010" s="8">
        <v>8</v>
      </c>
      <c r="H7010" s="8" t="s">
        <v>14340</v>
      </c>
      <c r="I7010" s="8">
        <v>527.4375</v>
      </c>
      <c r="J7010" s="3">
        <f t="shared" si="109"/>
        <v>43747.988492974539</v>
      </c>
    </row>
    <row r="7011" spans="1:10" x14ac:dyDescent="0.25">
      <c r="A7011" s="5" t="s">
        <v>14341</v>
      </c>
      <c r="B7011" s="6">
        <v>396.875</v>
      </c>
      <c r="C7011" s="6">
        <v>20.478950000000001</v>
      </c>
      <c r="D7011" s="6">
        <v>86</v>
      </c>
      <c r="E7011" s="6">
        <v>0</v>
      </c>
      <c r="F7011" s="6">
        <v>0</v>
      </c>
      <c r="G7011" s="6">
        <v>8</v>
      </c>
      <c r="H7011" s="6" t="s">
        <v>14342</v>
      </c>
      <c r="I7011" s="6">
        <v>527.4375</v>
      </c>
      <c r="J7011" s="2">
        <f t="shared" si="109"/>
        <v>43747.988564236111</v>
      </c>
    </row>
    <row r="7012" spans="1:10" x14ac:dyDescent="0.25">
      <c r="A7012" s="7" t="s">
        <v>14343</v>
      </c>
      <c r="B7012" s="8">
        <v>400</v>
      </c>
      <c r="C7012" s="8">
        <v>20.478950000000001</v>
      </c>
      <c r="D7012" s="8">
        <v>85</v>
      </c>
      <c r="E7012" s="8">
        <v>0</v>
      </c>
      <c r="F7012" s="8">
        <v>0</v>
      </c>
      <c r="G7012" s="8">
        <v>5</v>
      </c>
      <c r="H7012" s="8" t="s">
        <v>14344</v>
      </c>
      <c r="I7012" s="8">
        <v>528.375</v>
      </c>
      <c r="J7012" s="3">
        <f t="shared" si="109"/>
        <v>43747.988636377311</v>
      </c>
    </row>
    <row r="7013" spans="1:10" x14ac:dyDescent="0.25">
      <c r="A7013" s="5" t="s">
        <v>14345</v>
      </c>
      <c r="B7013" s="6">
        <v>403.125</v>
      </c>
      <c r="C7013" s="6">
        <v>20.478950000000001</v>
      </c>
      <c r="D7013" s="6">
        <v>85</v>
      </c>
      <c r="E7013" s="6">
        <v>0</v>
      </c>
      <c r="F7013" s="6">
        <v>0</v>
      </c>
      <c r="G7013" s="6">
        <v>10</v>
      </c>
      <c r="H7013" s="6" t="s">
        <v>14346</v>
      </c>
      <c r="I7013" s="6">
        <v>529.125</v>
      </c>
      <c r="J7013" s="2">
        <f t="shared" si="109"/>
        <v>43747.988707696757</v>
      </c>
    </row>
    <row r="7014" spans="1:10" x14ac:dyDescent="0.25">
      <c r="A7014" s="7" t="s">
        <v>14347</v>
      </c>
      <c r="B7014" s="8">
        <v>403.125</v>
      </c>
      <c r="C7014" s="8">
        <v>20.478950000000001</v>
      </c>
      <c r="D7014" s="8">
        <v>85</v>
      </c>
      <c r="E7014" s="8">
        <v>0</v>
      </c>
      <c r="F7014" s="8">
        <v>0</v>
      </c>
      <c r="G7014" s="8">
        <v>11</v>
      </c>
      <c r="H7014" s="8" t="s">
        <v>14348</v>
      </c>
      <c r="I7014" s="8">
        <v>529.125</v>
      </c>
      <c r="J7014" s="3">
        <f t="shared" si="109"/>
        <v>43747.988778981475</v>
      </c>
    </row>
    <row r="7015" spans="1:10" x14ac:dyDescent="0.25">
      <c r="A7015" s="5" t="s">
        <v>14349</v>
      </c>
      <c r="B7015" s="6">
        <v>403.125</v>
      </c>
      <c r="C7015" s="6">
        <v>20.478950000000001</v>
      </c>
      <c r="D7015" s="6">
        <v>84</v>
      </c>
      <c r="E7015" s="6">
        <v>0</v>
      </c>
      <c r="F7015" s="6">
        <v>0</v>
      </c>
      <c r="G7015" s="6">
        <v>19</v>
      </c>
      <c r="H7015" s="6" t="s">
        <v>14350</v>
      </c>
      <c r="I7015" s="6">
        <v>529.125</v>
      </c>
      <c r="J7015" s="2">
        <f t="shared" si="109"/>
        <v>43747.988862430553</v>
      </c>
    </row>
    <row r="7016" spans="1:10" x14ac:dyDescent="0.25">
      <c r="A7016" s="7" t="s">
        <v>14351</v>
      </c>
      <c r="B7016" s="8">
        <v>400</v>
      </c>
      <c r="C7016" s="8">
        <v>20.478950000000001</v>
      </c>
      <c r="D7016" s="8">
        <v>84</v>
      </c>
      <c r="E7016" s="8">
        <v>0</v>
      </c>
      <c r="F7016" s="8">
        <v>0</v>
      </c>
      <c r="G7016" s="8">
        <v>11</v>
      </c>
      <c r="H7016" s="8" t="s">
        <v>14352</v>
      </c>
      <c r="I7016" s="8">
        <v>528.375</v>
      </c>
      <c r="J7016" s="3">
        <f t="shared" si="109"/>
        <v>43747.988934537039</v>
      </c>
    </row>
    <row r="7017" spans="1:10" x14ac:dyDescent="0.25">
      <c r="A7017" s="5" t="s">
        <v>14353</v>
      </c>
      <c r="B7017" s="6">
        <v>396.875</v>
      </c>
      <c r="C7017" s="6">
        <v>20.478950000000001</v>
      </c>
      <c r="D7017" s="6">
        <v>83</v>
      </c>
      <c r="E7017" s="6">
        <v>0</v>
      </c>
      <c r="F7017" s="6">
        <v>0</v>
      </c>
      <c r="G7017" s="6">
        <v>2</v>
      </c>
      <c r="H7017" s="6" t="s">
        <v>14354</v>
      </c>
      <c r="I7017" s="6">
        <v>527.4375</v>
      </c>
      <c r="J7017" s="2">
        <f t="shared" si="109"/>
        <v>43747.989005821757</v>
      </c>
    </row>
    <row r="7018" spans="1:10" x14ac:dyDescent="0.25">
      <c r="A7018" s="7" t="s">
        <v>14355</v>
      </c>
      <c r="B7018" s="8">
        <v>396.875</v>
      </c>
      <c r="C7018" s="8">
        <v>20.478950000000001</v>
      </c>
      <c r="D7018" s="8">
        <v>83</v>
      </c>
      <c r="E7018" s="8">
        <v>0</v>
      </c>
      <c r="F7018" s="8">
        <v>0</v>
      </c>
      <c r="G7018" s="8">
        <v>10</v>
      </c>
      <c r="H7018" s="8" t="s">
        <v>14356</v>
      </c>
      <c r="I7018" s="8">
        <v>527.4375</v>
      </c>
      <c r="J7018" s="3">
        <f t="shared" si="109"/>
        <v>43747.989077118058</v>
      </c>
    </row>
    <row r="7019" spans="1:10" x14ac:dyDescent="0.25">
      <c r="A7019" s="5" t="s">
        <v>14357</v>
      </c>
      <c r="B7019" s="6">
        <v>393.75</v>
      </c>
      <c r="C7019" s="6">
        <v>20.478950000000001</v>
      </c>
      <c r="D7019" s="6">
        <v>83</v>
      </c>
      <c r="E7019" s="6">
        <v>0</v>
      </c>
      <c r="F7019" s="6">
        <v>0</v>
      </c>
      <c r="G7019" s="6">
        <v>7</v>
      </c>
      <c r="H7019" s="6" t="s">
        <v>14358</v>
      </c>
      <c r="I7019" s="6">
        <v>526.6875</v>
      </c>
      <c r="J7019" s="2">
        <f t="shared" si="109"/>
        <v>43747.989149363428</v>
      </c>
    </row>
    <row r="7020" spans="1:10" x14ac:dyDescent="0.25">
      <c r="A7020" s="7" t="s">
        <v>14359</v>
      </c>
      <c r="B7020" s="8">
        <v>393.75</v>
      </c>
      <c r="C7020" s="8">
        <v>20.478950000000001</v>
      </c>
      <c r="D7020" s="8">
        <v>84</v>
      </c>
      <c r="E7020" s="8">
        <v>0</v>
      </c>
      <c r="F7020" s="8">
        <v>0</v>
      </c>
      <c r="G7020" s="8">
        <v>10</v>
      </c>
      <c r="H7020" s="8" t="s">
        <v>14360</v>
      </c>
      <c r="I7020" s="8">
        <v>526.6875</v>
      </c>
      <c r="J7020" s="3">
        <f t="shared" si="109"/>
        <v>43747.989220648145</v>
      </c>
    </row>
    <row r="7021" spans="1:10" x14ac:dyDescent="0.25">
      <c r="A7021" s="5" t="s">
        <v>14361</v>
      </c>
      <c r="B7021" s="6">
        <v>418.75</v>
      </c>
      <c r="C7021" s="6">
        <v>20.478950000000001</v>
      </c>
      <c r="D7021" s="6">
        <v>85</v>
      </c>
      <c r="E7021" s="6">
        <v>0</v>
      </c>
      <c r="F7021" s="6">
        <v>0</v>
      </c>
      <c r="G7021" s="6">
        <v>11</v>
      </c>
      <c r="H7021" s="6" t="s">
        <v>14362</v>
      </c>
      <c r="I7021" s="6">
        <v>534.1875</v>
      </c>
      <c r="J7021" s="2">
        <f t="shared" si="109"/>
        <v>43747.989291956015</v>
      </c>
    </row>
    <row r="7022" spans="1:10" x14ac:dyDescent="0.25">
      <c r="A7022" s="7" t="s">
        <v>14363</v>
      </c>
      <c r="B7022" s="8">
        <v>393.75</v>
      </c>
      <c r="C7022" s="8">
        <v>20.478950000000001</v>
      </c>
      <c r="D7022" s="8">
        <v>84</v>
      </c>
      <c r="E7022" s="8">
        <v>0</v>
      </c>
      <c r="F7022" s="8">
        <v>0</v>
      </c>
      <c r="G7022" s="8">
        <v>11</v>
      </c>
      <c r="H7022" s="8" t="s">
        <v>14364</v>
      </c>
      <c r="I7022" s="8">
        <v>526.6875</v>
      </c>
      <c r="J7022" s="3">
        <f t="shared" si="109"/>
        <v>43747.989363368055</v>
      </c>
    </row>
    <row r="7023" spans="1:10" x14ac:dyDescent="0.25">
      <c r="A7023" s="5" t="s">
        <v>14365</v>
      </c>
      <c r="B7023" s="6">
        <v>393.75</v>
      </c>
      <c r="C7023" s="6">
        <v>20.478950000000001</v>
      </c>
      <c r="D7023" s="6">
        <v>84</v>
      </c>
      <c r="E7023" s="6">
        <v>0</v>
      </c>
      <c r="F7023" s="6">
        <v>0</v>
      </c>
      <c r="G7023" s="6">
        <v>5</v>
      </c>
      <c r="H7023" s="6" t="s">
        <v>14366</v>
      </c>
      <c r="I7023" s="6">
        <v>526.6875</v>
      </c>
      <c r="J7023" s="2">
        <f t="shared" si="109"/>
        <v>43747.989435405085</v>
      </c>
    </row>
    <row r="7024" spans="1:10" x14ac:dyDescent="0.25">
      <c r="A7024" s="7" t="s">
        <v>14367</v>
      </c>
      <c r="B7024" s="8">
        <v>393.75</v>
      </c>
      <c r="C7024" s="8">
        <v>20.478950000000001</v>
      </c>
      <c r="D7024" s="8">
        <v>84</v>
      </c>
      <c r="E7024" s="8">
        <v>0</v>
      </c>
      <c r="F7024" s="8">
        <v>0</v>
      </c>
      <c r="G7024" s="8">
        <v>11</v>
      </c>
      <c r="H7024" s="8" t="s">
        <v>14368</v>
      </c>
      <c r="I7024" s="8">
        <v>526.6875</v>
      </c>
      <c r="J7024" s="3">
        <f t="shared" si="109"/>
        <v>43747.989524675919</v>
      </c>
    </row>
    <row r="7025" spans="1:10" x14ac:dyDescent="0.25">
      <c r="A7025" s="5" t="s">
        <v>14369</v>
      </c>
      <c r="B7025" s="6">
        <v>393.75</v>
      </c>
      <c r="C7025" s="6">
        <v>20.478950000000001</v>
      </c>
      <c r="D7025" s="6">
        <v>83</v>
      </c>
      <c r="E7025" s="6">
        <v>0</v>
      </c>
      <c r="F7025" s="6">
        <v>0</v>
      </c>
      <c r="G7025" s="6">
        <v>10</v>
      </c>
      <c r="H7025" s="6" t="s">
        <v>14370</v>
      </c>
      <c r="I7025" s="6">
        <v>526.6875</v>
      </c>
      <c r="J7025" s="2">
        <f t="shared" si="109"/>
        <v>43747.989614108796</v>
      </c>
    </row>
    <row r="7026" spans="1:10" x14ac:dyDescent="0.25">
      <c r="A7026" s="7" t="s">
        <v>14371</v>
      </c>
      <c r="B7026" s="8">
        <v>393.75</v>
      </c>
      <c r="C7026" s="8">
        <v>20.478950000000001</v>
      </c>
      <c r="D7026" s="8">
        <v>84</v>
      </c>
      <c r="E7026" s="8">
        <v>0</v>
      </c>
      <c r="F7026" s="8">
        <v>0</v>
      </c>
      <c r="G7026" s="8">
        <v>10</v>
      </c>
      <c r="H7026" s="8" t="s">
        <v>14372</v>
      </c>
      <c r="I7026" s="8">
        <v>526.5</v>
      </c>
      <c r="J7026" s="3">
        <f t="shared" si="109"/>
        <v>43747.989685601853</v>
      </c>
    </row>
    <row r="7027" spans="1:10" x14ac:dyDescent="0.25">
      <c r="A7027" s="5" t="s">
        <v>14373</v>
      </c>
      <c r="B7027" s="6">
        <v>415.625</v>
      </c>
      <c r="C7027" s="6">
        <v>20.478950000000001</v>
      </c>
      <c r="D7027" s="6">
        <v>84</v>
      </c>
      <c r="E7027" s="6">
        <v>0</v>
      </c>
      <c r="F7027" s="6">
        <v>0</v>
      </c>
      <c r="G7027" s="6">
        <v>7</v>
      </c>
      <c r="H7027" s="6" t="s">
        <v>14374</v>
      </c>
      <c r="I7027" s="6">
        <v>533.4375</v>
      </c>
      <c r="J7027" s="2">
        <f t="shared" si="109"/>
        <v>43747.989764085643</v>
      </c>
    </row>
    <row r="7028" spans="1:10" x14ac:dyDescent="0.25">
      <c r="A7028" s="7" t="s">
        <v>14375</v>
      </c>
      <c r="B7028" s="8">
        <v>396.875</v>
      </c>
      <c r="C7028" s="8">
        <v>20.478950000000001</v>
      </c>
      <c r="D7028" s="8">
        <v>83</v>
      </c>
      <c r="E7028" s="8">
        <v>0</v>
      </c>
      <c r="F7028" s="8">
        <v>0</v>
      </c>
      <c r="G7028" s="8">
        <v>13</v>
      </c>
      <c r="H7028" s="8" t="s">
        <v>14376</v>
      </c>
      <c r="I7028" s="8">
        <v>527.4375</v>
      </c>
      <c r="J7028" s="3">
        <f t="shared" si="109"/>
        <v>43747.989840370363</v>
      </c>
    </row>
    <row r="7029" spans="1:10" x14ac:dyDescent="0.25">
      <c r="A7029" s="5" t="s">
        <v>14377</v>
      </c>
      <c r="B7029" s="6">
        <v>400</v>
      </c>
      <c r="C7029" s="6">
        <v>20.478950000000001</v>
      </c>
      <c r="D7029" s="6">
        <v>83</v>
      </c>
      <c r="E7029" s="6">
        <v>0</v>
      </c>
      <c r="F7029" s="6">
        <v>0</v>
      </c>
      <c r="G7029" s="6">
        <v>1</v>
      </c>
      <c r="H7029" s="6" t="s">
        <v>14378</v>
      </c>
      <c r="I7029" s="6">
        <v>528.375</v>
      </c>
      <c r="J7029" s="2">
        <f t="shared" si="109"/>
        <v>43747.989912326382</v>
      </c>
    </row>
    <row r="7030" spans="1:10" x14ac:dyDescent="0.25">
      <c r="A7030" s="7" t="s">
        <v>14379</v>
      </c>
      <c r="B7030" s="8">
        <v>400</v>
      </c>
      <c r="C7030" s="8">
        <v>20.478950000000001</v>
      </c>
      <c r="D7030" s="8">
        <v>83</v>
      </c>
      <c r="E7030" s="8">
        <v>0</v>
      </c>
      <c r="F7030" s="8">
        <v>0</v>
      </c>
      <c r="G7030" s="8">
        <v>10</v>
      </c>
      <c r="H7030" s="8" t="s">
        <v>14380</v>
      </c>
      <c r="I7030" s="8">
        <v>528.375</v>
      </c>
      <c r="J7030" s="3">
        <f t="shared" si="109"/>
        <v>43747.989983622683</v>
      </c>
    </row>
    <row r="7031" spans="1:10" x14ac:dyDescent="0.25">
      <c r="A7031" s="5" t="s">
        <v>14381</v>
      </c>
      <c r="B7031" s="6">
        <v>400</v>
      </c>
      <c r="C7031" s="6">
        <v>20.478950000000001</v>
      </c>
      <c r="D7031" s="6">
        <v>82</v>
      </c>
      <c r="E7031" s="6">
        <v>0</v>
      </c>
      <c r="F7031" s="6">
        <v>0</v>
      </c>
      <c r="G7031" s="6">
        <v>20</v>
      </c>
      <c r="H7031" s="6" t="s">
        <v>14382</v>
      </c>
      <c r="I7031" s="6">
        <v>528.1875</v>
      </c>
      <c r="J7031" s="2">
        <f t="shared" si="109"/>
        <v>43747.990078981478</v>
      </c>
    </row>
    <row r="7032" spans="1:10" x14ac:dyDescent="0.25">
      <c r="A7032" s="7" t="s">
        <v>14383</v>
      </c>
      <c r="B7032" s="8">
        <v>400</v>
      </c>
      <c r="C7032" s="8">
        <v>20.478950000000001</v>
      </c>
      <c r="D7032" s="8">
        <v>84</v>
      </c>
      <c r="E7032" s="8">
        <v>0</v>
      </c>
      <c r="F7032" s="8">
        <v>0</v>
      </c>
      <c r="G7032" s="8">
        <v>9</v>
      </c>
      <c r="H7032" s="8" t="s">
        <v>14384</v>
      </c>
      <c r="I7032" s="8">
        <v>528.1875</v>
      </c>
      <c r="J7032" s="3">
        <f t="shared" si="109"/>
        <v>43747.990151018515</v>
      </c>
    </row>
    <row r="7033" spans="1:10" x14ac:dyDescent="0.25">
      <c r="A7033" s="5" t="s">
        <v>14385</v>
      </c>
      <c r="B7033" s="6">
        <v>425</v>
      </c>
      <c r="C7033" s="6">
        <v>20.478950000000001</v>
      </c>
      <c r="D7033" s="6">
        <v>85</v>
      </c>
      <c r="E7033" s="6">
        <v>0</v>
      </c>
      <c r="F7033" s="6">
        <v>0</v>
      </c>
      <c r="G7033" s="6">
        <v>14</v>
      </c>
      <c r="H7033" s="6" t="s">
        <v>14386</v>
      </c>
      <c r="I7033" s="6">
        <v>536.0625</v>
      </c>
      <c r="J7033" s="2">
        <f t="shared" si="109"/>
        <v>43747.990222488421</v>
      </c>
    </row>
    <row r="7034" spans="1:10" x14ac:dyDescent="0.25">
      <c r="A7034" s="7" t="s">
        <v>14387</v>
      </c>
      <c r="B7034" s="8">
        <v>396.875</v>
      </c>
      <c r="C7034" s="8">
        <v>20.478950000000001</v>
      </c>
      <c r="D7034" s="8">
        <v>84</v>
      </c>
      <c r="E7034" s="8">
        <v>0</v>
      </c>
      <c r="F7034" s="8">
        <v>0</v>
      </c>
      <c r="G7034" s="8">
        <v>13</v>
      </c>
      <c r="H7034" s="8" t="s">
        <v>14388</v>
      </c>
      <c r="I7034" s="8">
        <v>527.4375</v>
      </c>
      <c r="J7034" s="3">
        <f t="shared" si="109"/>
        <v>43747.990336944444</v>
      </c>
    </row>
    <row r="7035" spans="1:10" x14ac:dyDescent="0.25">
      <c r="A7035" s="5" t="s">
        <v>14389</v>
      </c>
      <c r="B7035" s="6">
        <v>393.75</v>
      </c>
      <c r="C7035" s="6">
        <v>20.478950000000001</v>
      </c>
      <c r="D7035" s="6">
        <v>84</v>
      </c>
      <c r="E7035" s="6">
        <v>0</v>
      </c>
      <c r="F7035" s="6">
        <v>0</v>
      </c>
      <c r="G7035" s="6">
        <v>9</v>
      </c>
      <c r="H7035" s="6" t="s">
        <v>14390</v>
      </c>
      <c r="I7035" s="6">
        <v>526.6875</v>
      </c>
      <c r="J7035" s="2">
        <f t="shared" si="109"/>
        <v>43747.990413252315</v>
      </c>
    </row>
    <row r="7036" spans="1:10" x14ac:dyDescent="0.25">
      <c r="A7036" s="7" t="s">
        <v>14391</v>
      </c>
      <c r="B7036" s="8">
        <v>396.875</v>
      </c>
      <c r="C7036" s="8">
        <v>20.478950000000001</v>
      </c>
      <c r="D7036" s="8">
        <v>84</v>
      </c>
      <c r="E7036" s="8">
        <v>0</v>
      </c>
      <c r="F7036" s="8">
        <v>0</v>
      </c>
      <c r="G7036" s="8">
        <v>1</v>
      </c>
      <c r="H7036" s="8" t="s">
        <v>14392</v>
      </c>
      <c r="I7036" s="8">
        <v>527.4375</v>
      </c>
      <c r="J7036" s="3">
        <f t="shared" si="109"/>
        <v>43747.990484537033</v>
      </c>
    </row>
    <row r="7037" spans="1:10" x14ac:dyDescent="0.25">
      <c r="A7037" s="5" t="s">
        <v>14393</v>
      </c>
      <c r="B7037" s="6">
        <v>396.875</v>
      </c>
      <c r="C7037" s="6">
        <v>20.478950000000001</v>
      </c>
      <c r="D7037" s="6">
        <v>84</v>
      </c>
      <c r="E7037" s="6">
        <v>0</v>
      </c>
      <c r="F7037" s="6">
        <v>0</v>
      </c>
      <c r="G7037" s="6">
        <v>14</v>
      </c>
      <c r="H7037" s="6" t="s">
        <v>14394</v>
      </c>
      <c r="I7037" s="6">
        <v>527.4375</v>
      </c>
      <c r="J7037" s="2">
        <f t="shared" si="109"/>
        <v>43747.9905558912</v>
      </c>
    </row>
    <row r="7038" spans="1:10" x14ac:dyDescent="0.25">
      <c r="A7038" s="7" t="s">
        <v>14395</v>
      </c>
      <c r="B7038" s="8">
        <v>396.875</v>
      </c>
      <c r="C7038" s="8">
        <v>20.478950000000001</v>
      </c>
      <c r="D7038" s="8">
        <v>82</v>
      </c>
      <c r="E7038" s="8">
        <v>0</v>
      </c>
      <c r="F7038" s="8">
        <v>0</v>
      </c>
      <c r="G7038" s="8">
        <v>8</v>
      </c>
      <c r="H7038" s="8" t="s">
        <v>14396</v>
      </c>
      <c r="I7038" s="8">
        <v>527.4375</v>
      </c>
      <c r="J7038" s="3">
        <f t="shared" si="109"/>
        <v>43747.99062798611</v>
      </c>
    </row>
    <row r="7039" spans="1:10" x14ac:dyDescent="0.25">
      <c r="A7039" s="5" t="s">
        <v>14397</v>
      </c>
      <c r="B7039" s="6">
        <v>393.75</v>
      </c>
      <c r="C7039" s="6">
        <v>20.478950000000001</v>
      </c>
      <c r="D7039" s="6">
        <v>82</v>
      </c>
      <c r="E7039" s="6">
        <v>0</v>
      </c>
      <c r="F7039" s="6">
        <v>0</v>
      </c>
      <c r="G7039" s="6">
        <v>9</v>
      </c>
      <c r="H7039" s="6" t="s">
        <v>14398</v>
      </c>
      <c r="I7039" s="6">
        <v>526.6875</v>
      </c>
      <c r="J7039" s="2">
        <f t="shared" si="109"/>
        <v>43747.990699502312</v>
      </c>
    </row>
    <row r="7040" spans="1:10" x14ac:dyDescent="0.25">
      <c r="A7040" s="7" t="s">
        <v>14399</v>
      </c>
      <c r="B7040" s="8">
        <v>393.75</v>
      </c>
      <c r="C7040" s="8">
        <v>20.478950000000001</v>
      </c>
      <c r="D7040" s="8">
        <v>83</v>
      </c>
      <c r="E7040" s="8">
        <v>0</v>
      </c>
      <c r="F7040" s="8">
        <v>0</v>
      </c>
      <c r="G7040" s="8">
        <v>11</v>
      </c>
      <c r="H7040" s="8" t="s">
        <v>14400</v>
      </c>
      <c r="I7040" s="8">
        <v>526.6875</v>
      </c>
      <c r="J7040" s="3">
        <f t="shared" si="109"/>
        <v>43747.990782673609</v>
      </c>
    </row>
    <row r="7041" spans="1:10" x14ac:dyDescent="0.25">
      <c r="A7041" s="5" t="s">
        <v>14401</v>
      </c>
      <c r="B7041" s="6">
        <v>415.625</v>
      </c>
      <c r="C7041" s="6">
        <v>20.478950000000001</v>
      </c>
      <c r="D7041" s="6">
        <v>83</v>
      </c>
      <c r="E7041" s="6">
        <v>0</v>
      </c>
      <c r="F7041" s="6">
        <v>0</v>
      </c>
      <c r="G7041" s="6">
        <v>9</v>
      </c>
      <c r="H7041" s="6" t="s">
        <v>14402</v>
      </c>
      <c r="I7041" s="6">
        <v>533.0625</v>
      </c>
      <c r="J7041" s="2">
        <f t="shared" si="109"/>
        <v>43747.990866006941</v>
      </c>
    </row>
    <row r="7042" spans="1:10" x14ac:dyDescent="0.25">
      <c r="A7042" s="7" t="s">
        <v>14403</v>
      </c>
      <c r="B7042" s="8">
        <v>393.75</v>
      </c>
      <c r="C7042" s="8">
        <v>20.426300000000001</v>
      </c>
      <c r="D7042" s="8">
        <v>83</v>
      </c>
      <c r="E7042" s="8">
        <v>0</v>
      </c>
      <c r="F7042" s="8">
        <v>0</v>
      </c>
      <c r="G7042" s="8">
        <v>7</v>
      </c>
      <c r="H7042" s="8" t="s">
        <v>14404</v>
      </c>
      <c r="I7042" s="8">
        <v>526.6875</v>
      </c>
      <c r="J7042" s="3">
        <f t="shared" ref="J7042:J7105" si="110">(H7042/86400000)+25569+(7/24)</f>
        <v>43747.990938055555</v>
      </c>
    </row>
    <row r="7043" spans="1:10" x14ac:dyDescent="0.25">
      <c r="A7043" s="5" t="s">
        <v>14405</v>
      </c>
      <c r="B7043" s="6">
        <v>393.75</v>
      </c>
      <c r="C7043" s="6">
        <v>20.478950000000001</v>
      </c>
      <c r="D7043" s="6">
        <v>82</v>
      </c>
      <c r="E7043" s="6">
        <v>0</v>
      </c>
      <c r="F7043" s="6">
        <v>0</v>
      </c>
      <c r="G7043" s="6">
        <v>14</v>
      </c>
      <c r="H7043" s="6" t="s">
        <v>14406</v>
      </c>
      <c r="I7043" s="6">
        <v>526.6875</v>
      </c>
      <c r="J7043" s="2">
        <f t="shared" si="110"/>
        <v>43747.991009467594</v>
      </c>
    </row>
    <row r="7044" spans="1:10" x14ac:dyDescent="0.25">
      <c r="A7044" s="7" t="s">
        <v>14407</v>
      </c>
      <c r="B7044" s="8">
        <v>393.75</v>
      </c>
      <c r="C7044" s="8">
        <v>20.478950000000001</v>
      </c>
      <c r="D7044" s="8">
        <v>83</v>
      </c>
      <c r="E7044" s="8">
        <v>0</v>
      </c>
      <c r="F7044" s="8">
        <v>0</v>
      </c>
      <c r="G7044" s="8">
        <v>7</v>
      </c>
      <c r="H7044" s="8" t="s">
        <v>14408</v>
      </c>
      <c r="I7044" s="8">
        <v>526.6875</v>
      </c>
      <c r="J7044" s="3">
        <f t="shared" si="110"/>
        <v>43747.991080821761</v>
      </c>
    </row>
    <row r="7045" spans="1:10" x14ac:dyDescent="0.25">
      <c r="A7045" s="5" t="s">
        <v>14409</v>
      </c>
      <c r="B7045" s="6">
        <v>431.25</v>
      </c>
      <c r="C7045" s="6">
        <v>20.478950000000001</v>
      </c>
      <c r="D7045" s="6">
        <v>83</v>
      </c>
      <c r="E7045" s="6">
        <v>0</v>
      </c>
      <c r="F7045" s="6">
        <v>0</v>
      </c>
      <c r="G7045" s="6">
        <v>9</v>
      </c>
      <c r="H7045" s="6" t="s">
        <v>14410</v>
      </c>
      <c r="I7045" s="6">
        <v>538.6875</v>
      </c>
      <c r="J7045" s="2">
        <f t="shared" si="110"/>
        <v>43747.991152118055</v>
      </c>
    </row>
    <row r="7046" spans="1:10" x14ac:dyDescent="0.25">
      <c r="A7046" s="7" t="s">
        <v>14411</v>
      </c>
      <c r="B7046" s="8">
        <v>393.75</v>
      </c>
      <c r="C7046" s="8">
        <v>20.478950000000001</v>
      </c>
      <c r="D7046" s="8">
        <v>82</v>
      </c>
      <c r="E7046" s="8">
        <v>0</v>
      </c>
      <c r="F7046" s="8">
        <v>0</v>
      </c>
      <c r="G7046" s="8">
        <v>8</v>
      </c>
      <c r="H7046" s="8" t="s">
        <v>14412</v>
      </c>
      <c r="I7046" s="8">
        <v>526.6875</v>
      </c>
      <c r="J7046" s="3">
        <f t="shared" si="110"/>
        <v>43747.991224340272</v>
      </c>
    </row>
    <row r="7047" spans="1:10" x14ac:dyDescent="0.25">
      <c r="A7047" s="5" t="s">
        <v>14413</v>
      </c>
      <c r="B7047" s="6">
        <v>393.75</v>
      </c>
      <c r="C7047" s="6">
        <v>20.478950000000001</v>
      </c>
      <c r="D7047" s="6">
        <v>84</v>
      </c>
      <c r="E7047" s="6">
        <v>0</v>
      </c>
      <c r="F7047" s="6">
        <v>0</v>
      </c>
      <c r="G7047" s="6">
        <v>3</v>
      </c>
      <c r="H7047" s="6" t="s">
        <v>14414</v>
      </c>
      <c r="I7047" s="6">
        <v>526.5</v>
      </c>
      <c r="J7047" s="2">
        <f t="shared" si="110"/>
        <v>43747.991307789351</v>
      </c>
    </row>
    <row r="7048" spans="1:10" x14ac:dyDescent="0.25">
      <c r="A7048" s="7" t="s">
        <v>14415</v>
      </c>
      <c r="B7048" s="8">
        <v>393.75</v>
      </c>
      <c r="C7048" s="8">
        <v>20.478950000000001</v>
      </c>
      <c r="D7048" s="8">
        <v>87</v>
      </c>
      <c r="E7048" s="8">
        <v>0</v>
      </c>
      <c r="F7048" s="8">
        <v>0</v>
      </c>
      <c r="G7048" s="8">
        <v>8</v>
      </c>
      <c r="H7048" s="8" t="s">
        <v>14416</v>
      </c>
      <c r="I7048" s="8">
        <v>526.6875</v>
      </c>
      <c r="J7048" s="3">
        <f t="shared" si="110"/>
        <v>43747.991378969906</v>
      </c>
    </row>
    <row r="7049" spans="1:10" x14ac:dyDescent="0.25">
      <c r="A7049" s="5" t="s">
        <v>14417</v>
      </c>
      <c r="B7049" s="6">
        <v>393.75</v>
      </c>
      <c r="C7049" s="6">
        <v>20.478950000000001</v>
      </c>
      <c r="D7049" s="6">
        <v>85</v>
      </c>
      <c r="E7049" s="6">
        <v>0</v>
      </c>
      <c r="F7049" s="6">
        <v>0</v>
      </c>
      <c r="G7049" s="6">
        <v>10</v>
      </c>
      <c r="H7049" s="6" t="s">
        <v>14418</v>
      </c>
      <c r="I7049" s="6">
        <v>526.6875</v>
      </c>
      <c r="J7049" s="2">
        <f t="shared" si="110"/>
        <v>43747.991450208334</v>
      </c>
    </row>
    <row r="7050" spans="1:10" x14ac:dyDescent="0.25">
      <c r="A7050" s="7" t="s">
        <v>14419</v>
      </c>
      <c r="B7050" s="8">
        <v>393.75</v>
      </c>
      <c r="C7050" s="8">
        <v>20.478950000000001</v>
      </c>
      <c r="D7050" s="8">
        <v>85</v>
      </c>
      <c r="E7050" s="8">
        <v>0</v>
      </c>
      <c r="F7050" s="8">
        <v>0</v>
      </c>
      <c r="G7050" s="8">
        <v>13</v>
      </c>
      <c r="H7050" s="8" t="s">
        <v>14420</v>
      </c>
      <c r="I7050" s="8">
        <v>526.6875</v>
      </c>
      <c r="J7050" s="3">
        <f t="shared" si="110"/>
        <v>43747.991522430551</v>
      </c>
    </row>
    <row r="7051" spans="1:10" x14ac:dyDescent="0.25">
      <c r="A7051" s="5" t="s">
        <v>14421</v>
      </c>
      <c r="B7051" s="6">
        <v>393.75</v>
      </c>
      <c r="C7051" s="6">
        <v>20.478950000000001</v>
      </c>
      <c r="D7051" s="6">
        <v>83</v>
      </c>
      <c r="E7051" s="6">
        <v>0</v>
      </c>
      <c r="F7051" s="6">
        <v>0</v>
      </c>
      <c r="G7051" s="6">
        <v>16</v>
      </c>
      <c r="H7051" s="6" t="s">
        <v>14422</v>
      </c>
      <c r="I7051" s="6">
        <v>526.6875</v>
      </c>
      <c r="J7051" s="2">
        <f t="shared" si="110"/>
        <v>43747.991593784718</v>
      </c>
    </row>
    <row r="7052" spans="1:10" x14ac:dyDescent="0.25">
      <c r="A7052" s="7" t="s">
        <v>14423</v>
      </c>
      <c r="B7052" s="8">
        <v>393.75</v>
      </c>
      <c r="C7052" s="8">
        <v>20.478950000000001</v>
      </c>
      <c r="D7052" s="8">
        <v>85</v>
      </c>
      <c r="E7052" s="8">
        <v>0</v>
      </c>
      <c r="F7052" s="8">
        <v>0</v>
      </c>
      <c r="G7052" s="8">
        <v>13</v>
      </c>
      <c r="H7052" s="8" t="s">
        <v>14424</v>
      </c>
      <c r="I7052" s="8">
        <v>526.6875</v>
      </c>
      <c r="J7052" s="3">
        <f t="shared" si="110"/>
        <v>43747.991677245365</v>
      </c>
    </row>
    <row r="7053" spans="1:10" x14ac:dyDescent="0.25">
      <c r="A7053" s="5" t="s">
        <v>14425</v>
      </c>
      <c r="B7053" s="6">
        <v>393.75</v>
      </c>
      <c r="C7053" s="6">
        <v>20.478950000000001</v>
      </c>
      <c r="D7053" s="6">
        <v>84</v>
      </c>
      <c r="E7053" s="6">
        <v>0</v>
      </c>
      <c r="F7053" s="6">
        <v>0</v>
      </c>
      <c r="G7053" s="6">
        <v>4</v>
      </c>
      <c r="H7053" s="6" t="s">
        <v>14426</v>
      </c>
      <c r="I7053" s="6">
        <v>526.6875</v>
      </c>
      <c r="J7053" s="2">
        <f t="shared" si="110"/>
        <v>43747.991748414344</v>
      </c>
    </row>
    <row r="7054" spans="1:10" x14ac:dyDescent="0.25">
      <c r="A7054" s="7" t="s">
        <v>14427</v>
      </c>
      <c r="B7054" s="8">
        <v>393.75</v>
      </c>
      <c r="C7054" s="8">
        <v>20.478950000000001</v>
      </c>
      <c r="D7054" s="8">
        <v>84</v>
      </c>
      <c r="E7054" s="8">
        <v>0</v>
      </c>
      <c r="F7054" s="8">
        <v>0</v>
      </c>
      <c r="G7054" s="8">
        <v>9</v>
      </c>
      <c r="H7054" s="8" t="s">
        <v>14428</v>
      </c>
      <c r="I7054" s="8">
        <v>526.6875</v>
      </c>
      <c r="J7054" s="3">
        <f t="shared" si="110"/>
        <v>43747.991820590272</v>
      </c>
    </row>
    <row r="7055" spans="1:10" x14ac:dyDescent="0.25">
      <c r="A7055" s="5" t="s">
        <v>14429</v>
      </c>
      <c r="B7055" s="6">
        <v>396.875</v>
      </c>
      <c r="C7055" s="6">
        <v>20.478950000000001</v>
      </c>
      <c r="D7055" s="6">
        <v>84</v>
      </c>
      <c r="E7055" s="6">
        <v>0</v>
      </c>
      <c r="F7055" s="6">
        <v>0</v>
      </c>
      <c r="G7055" s="6">
        <v>16</v>
      </c>
      <c r="H7055" s="6" t="s">
        <v>14430</v>
      </c>
      <c r="I7055" s="6">
        <v>527.4375</v>
      </c>
      <c r="J7055" s="2">
        <f t="shared" si="110"/>
        <v>43747.991891770835</v>
      </c>
    </row>
    <row r="7056" spans="1:10" x14ac:dyDescent="0.25">
      <c r="A7056" s="7" t="s">
        <v>14431</v>
      </c>
      <c r="B7056" s="8">
        <v>400</v>
      </c>
      <c r="C7056" s="8">
        <v>20.478950000000001</v>
      </c>
      <c r="D7056" s="8">
        <v>84</v>
      </c>
      <c r="E7056" s="8">
        <v>0</v>
      </c>
      <c r="F7056" s="8">
        <v>0</v>
      </c>
      <c r="G7056" s="8">
        <v>6</v>
      </c>
      <c r="H7056" s="8" t="s">
        <v>14432</v>
      </c>
      <c r="I7056" s="8">
        <v>528.375</v>
      </c>
      <c r="J7056" s="3">
        <f t="shared" si="110"/>
        <v>43747.991963229164</v>
      </c>
    </row>
    <row r="7057" spans="1:10" x14ac:dyDescent="0.25">
      <c r="A7057" s="5" t="s">
        <v>14433</v>
      </c>
      <c r="B7057" s="6">
        <v>403.125</v>
      </c>
      <c r="C7057" s="6">
        <v>20.478950000000001</v>
      </c>
      <c r="D7057" s="6">
        <v>83</v>
      </c>
      <c r="E7057" s="6">
        <v>0</v>
      </c>
      <c r="F7057" s="6">
        <v>0</v>
      </c>
      <c r="G7057" s="6">
        <v>21</v>
      </c>
      <c r="H7057" s="6" t="s">
        <v>14434</v>
      </c>
      <c r="I7057" s="6">
        <v>529.125</v>
      </c>
      <c r="J7057" s="2">
        <f t="shared" si="110"/>
        <v>43747.992046562496</v>
      </c>
    </row>
    <row r="7058" spans="1:10" x14ac:dyDescent="0.25">
      <c r="A7058" s="7" t="s">
        <v>14435</v>
      </c>
      <c r="B7058" s="8">
        <v>403.125</v>
      </c>
      <c r="C7058" s="8">
        <v>20.478950000000001</v>
      </c>
      <c r="D7058" s="8">
        <v>83</v>
      </c>
      <c r="E7058" s="8">
        <v>0</v>
      </c>
      <c r="F7058" s="8">
        <v>0</v>
      </c>
      <c r="G7058" s="8">
        <v>10</v>
      </c>
      <c r="H7058" s="8" t="s">
        <v>14436</v>
      </c>
      <c r="I7058" s="8">
        <v>529.125</v>
      </c>
      <c r="J7058" s="3">
        <f t="shared" si="110"/>
        <v>43747.99211861111</v>
      </c>
    </row>
    <row r="7059" spans="1:10" x14ac:dyDescent="0.25">
      <c r="A7059" s="5" t="s">
        <v>14437</v>
      </c>
      <c r="B7059" s="6">
        <v>403.125</v>
      </c>
      <c r="C7059" s="6">
        <v>20.478950000000001</v>
      </c>
      <c r="D7059" s="6">
        <v>83</v>
      </c>
      <c r="E7059" s="6">
        <v>0</v>
      </c>
      <c r="F7059" s="6">
        <v>0</v>
      </c>
      <c r="G7059" s="6">
        <v>10</v>
      </c>
      <c r="H7059" s="6" t="s">
        <v>14438</v>
      </c>
      <c r="I7059" s="6">
        <v>529.125</v>
      </c>
      <c r="J7059" s="2">
        <f t="shared" si="110"/>
        <v>43747.992189930555</v>
      </c>
    </row>
    <row r="7060" spans="1:10" x14ac:dyDescent="0.25">
      <c r="A7060" s="7" t="s">
        <v>14439</v>
      </c>
      <c r="B7060" s="8">
        <v>418.75</v>
      </c>
      <c r="C7060" s="8">
        <v>20.478950000000001</v>
      </c>
      <c r="D7060" s="8">
        <v>82</v>
      </c>
      <c r="E7060" s="8">
        <v>0</v>
      </c>
      <c r="F7060" s="8">
        <v>0</v>
      </c>
      <c r="G7060" s="8">
        <v>7</v>
      </c>
      <c r="H7060" s="8" t="s">
        <v>14440</v>
      </c>
      <c r="I7060" s="8">
        <v>534.75</v>
      </c>
      <c r="J7060" s="3">
        <f t="shared" si="110"/>
        <v>43747.992261400461</v>
      </c>
    </row>
    <row r="7061" spans="1:10" x14ac:dyDescent="0.25">
      <c r="A7061" s="5" t="s">
        <v>14441</v>
      </c>
      <c r="B7061" s="6">
        <v>403.125</v>
      </c>
      <c r="C7061" s="6">
        <v>20.478950000000001</v>
      </c>
      <c r="D7061" s="6">
        <v>83</v>
      </c>
      <c r="E7061" s="6">
        <v>0</v>
      </c>
      <c r="F7061" s="6">
        <v>0</v>
      </c>
      <c r="G7061" s="6">
        <v>9</v>
      </c>
      <c r="H7061" s="6" t="s">
        <v>14442</v>
      </c>
      <c r="I7061" s="6">
        <v>529.125</v>
      </c>
      <c r="J7061" s="2">
        <f t="shared" si="110"/>
        <v>43747.992344722217</v>
      </c>
    </row>
    <row r="7062" spans="1:10" x14ac:dyDescent="0.25">
      <c r="A7062" s="7" t="s">
        <v>14443</v>
      </c>
      <c r="B7062" s="8">
        <v>403.125</v>
      </c>
      <c r="C7062" s="8">
        <v>20.478950000000001</v>
      </c>
      <c r="D7062" s="8">
        <v>83</v>
      </c>
      <c r="E7062" s="8">
        <v>0</v>
      </c>
      <c r="F7062" s="8">
        <v>0</v>
      </c>
      <c r="G7062" s="8">
        <v>6</v>
      </c>
      <c r="H7062" s="8" t="s">
        <v>14444</v>
      </c>
      <c r="I7062" s="8">
        <v>529.125</v>
      </c>
      <c r="J7062" s="3">
        <f t="shared" si="110"/>
        <v>43747.992417071757</v>
      </c>
    </row>
    <row r="7063" spans="1:10" x14ac:dyDescent="0.25">
      <c r="A7063" s="5" t="s">
        <v>14445</v>
      </c>
      <c r="B7063" s="6">
        <v>403.125</v>
      </c>
      <c r="C7063" s="6">
        <v>20.478950000000001</v>
      </c>
      <c r="D7063" s="6">
        <v>83</v>
      </c>
      <c r="E7063" s="6">
        <v>0</v>
      </c>
      <c r="F7063" s="6">
        <v>0</v>
      </c>
      <c r="G7063" s="6">
        <v>13</v>
      </c>
      <c r="H7063" s="6" t="s">
        <v>14446</v>
      </c>
      <c r="I7063" s="6">
        <v>529.125</v>
      </c>
      <c r="J7063" s="2">
        <f t="shared" si="110"/>
        <v>43747.99248822916</v>
      </c>
    </row>
    <row r="7064" spans="1:10" x14ac:dyDescent="0.25">
      <c r="A7064" s="7" t="s">
        <v>14447</v>
      </c>
      <c r="B7064" s="8">
        <v>403.125</v>
      </c>
      <c r="C7064" s="8">
        <v>20.478950000000001</v>
      </c>
      <c r="D7064" s="8">
        <v>81</v>
      </c>
      <c r="E7064" s="8">
        <v>0</v>
      </c>
      <c r="F7064" s="8">
        <v>0</v>
      </c>
      <c r="G7064" s="8">
        <v>14</v>
      </c>
      <c r="H7064" s="8" t="s">
        <v>14448</v>
      </c>
      <c r="I7064" s="8">
        <v>529.125</v>
      </c>
      <c r="J7064" s="3">
        <f t="shared" si="110"/>
        <v>43747.992571574076</v>
      </c>
    </row>
    <row r="7065" spans="1:10" x14ac:dyDescent="0.25">
      <c r="A7065" s="5" t="s">
        <v>14449</v>
      </c>
      <c r="B7065" s="6">
        <v>403.125</v>
      </c>
      <c r="C7065" s="6">
        <v>20.478950000000001</v>
      </c>
      <c r="D7065" s="6">
        <v>82</v>
      </c>
      <c r="E7065" s="6">
        <v>0</v>
      </c>
      <c r="F7065" s="6">
        <v>0</v>
      </c>
      <c r="G7065" s="6">
        <v>10</v>
      </c>
      <c r="H7065" s="6" t="s">
        <v>14450</v>
      </c>
      <c r="I7065" s="6">
        <v>529.875</v>
      </c>
      <c r="J7065" s="2">
        <f t="shared" si="110"/>
        <v>43747.992642800928</v>
      </c>
    </row>
    <row r="7066" spans="1:10" x14ac:dyDescent="0.25">
      <c r="A7066" s="7" t="s">
        <v>14451</v>
      </c>
      <c r="B7066" s="8">
        <v>403.125</v>
      </c>
      <c r="C7066" s="8">
        <v>20.478950000000001</v>
      </c>
      <c r="D7066" s="8">
        <v>81</v>
      </c>
      <c r="E7066" s="8">
        <v>0</v>
      </c>
      <c r="F7066" s="8">
        <v>0</v>
      </c>
      <c r="G7066" s="8">
        <v>8</v>
      </c>
      <c r="H7066" s="8" t="s">
        <v>14452</v>
      </c>
      <c r="I7066" s="8">
        <v>529.875</v>
      </c>
      <c r="J7066" s="3">
        <f t="shared" si="110"/>
        <v>43747.992714282409</v>
      </c>
    </row>
    <row r="7067" spans="1:10" x14ac:dyDescent="0.25">
      <c r="A7067" s="5" t="s">
        <v>14453</v>
      </c>
      <c r="B7067" s="6">
        <v>425</v>
      </c>
      <c r="C7067" s="6">
        <v>20.478950000000001</v>
      </c>
      <c r="D7067" s="6">
        <v>81</v>
      </c>
      <c r="E7067" s="6">
        <v>0</v>
      </c>
      <c r="F7067" s="6">
        <v>0</v>
      </c>
      <c r="G7067" s="6">
        <v>9</v>
      </c>
      <c r="H7067" s="6" t="s">
        <v>14454</v>
      </c>
      <c r="I7067" s="6">
        <v>536.4375</v>
      </c>
      <c r="J7067" s="2">
        <f t="shared" si="110"/>
        <v>43747.992786377312</v>
      </c>
    </row>
    <row r="7068" spans="1:10" x14ac:dyDescent="0.25">
      <c r="A7068" s="7" t="s">
        <v>14455</v>
      </c>
      <c r="B7068" s="8">
        <v>406.25</v>
      </c>
      <c r="C7068" s="8">
        <v>20.478950000000001</v>
      </c>
      <c r="D7068" s="8">
        <v>81</v>
      </c>
      <c r="E7068" s="8">
        <v>0</v>
      </c>
      <c r="F7068" s="8">
        <v>0</v>
      </c>
      <c r="G7068" s="8">
        <v>17</v>
      </c>
      <c r="H7068" s="8" t="s">
        <v>14456</v>
      </c>
      <c r="I7068" s="8">
        <v>530.8125</v>
      </c>
      <c r="J7068" s="3">
        <f t="shared" si="110"/>
        <v>43747.99286972222</v>
      </c>
    </row>
    <row r="7069" spans="1:10" x14ac:dyDescent="0.25">
      <c r="A7069" s="5" t="s">
        <v>14457</v>
      </c>
      <c r="B7069" s="6">
        <v>406.25</v>
      </c>
      <c r="C7069" s="6">
        <v>20.478950000000001</v>
      </c>
      <c r="D7069" s="6">
        <v>81</v>
      </c>
      <c r="E7069" s="6">
        <v>0</v>
      </c>
      <c r="F7069" s="6">
        <v>0</v>
      </c>
      <c r="G7069" s="6">
        <v>4</v>
      </c>
      <c r="H7069" s="6" t="s">
        <v>14458</v>
      </c>
      <c r="I7069" s="6">
        <v>530.625</v>
      </c>
      <c r="J7069" s="2">
        <f t="shared" si="110"/>
        <v>43747.992941041659</v>
      </c>
    </row>
    <row r="7070" spans="1:10" x14ac:dyDescent="0.25">
      <c r="A7070" s="7" t="s">
        <v>14459</v>
      </c>
      <c r="B7070" s="8">
        <v>406.25</v>
      </c>
      <c r="C7070" s="8">
        <v>20.478950000000001</v>
      </c>
      <c r="D7070" s="8">
        <v>81</v>
      </c>
      <c r="E7070" s="8">
        <v>0</v>
      </c>
      <c r="F7070" s="8">
        <v>0</v>
      </c>
      <c r="G7070" s="8">
        <v>12</v>
      </c>
      <c r="H7070" s="8" t="s">
        <v>14460</v>
      </c>
      <c r="I7070" s="8">
        <v>530.625</v>
      </c>
      <c r="J7070" s="3">
        <f t="shared" si="110"/>
        <v>43747.993013078703</v>
      </c>
    </row>
    <row r="7071" spans="1:10" x14ac:dyDescent="0.25">
      <c r="A7071" s="5" t="s">
        <v>14461</v>
      </c>
      <c r="B7071" s="6">
        <v>406.25</v>
      </c>
      <c r="C7071" s="6">
        <v>20.478950000000001</v>
      </c>
      <c r="D7071" s="6">
        <v>81</v>
      </c>
      <c r="E7071" s="6">
        <v>0</v>
      </c>
      <c r="F7071" s="6">
        <v>0</v>
      </c>
      <c r="G7071" s="6">
        <v>7</v>
      </c>
      <c r="H7071" s="6" t="s">
        <v>14462</v>
      </c>
      <c r="I7071" s="6">
        <v>530.625</v>
      </c>
      <c r="J7071" s="2">
        <f t="shared" si="110"/>
        <v>43747.993083668982</v>
      </c>
    </row>
    <row r="7072" spans="1:10" x14ac:dyDescent="0.25">
      <c r="A7072" s="7" t="s">
        <v>14463</v>
      </c>
      <c r="B7072" s="8">
        <v>406.25</v>
      </c>
      <c r="C7072" s="8">
        <v>20.478950000000001</v>
      </c>
      <c r="D7072" s="8">
        <v>80</v>
      </c>
      <c r="E7072" s="8">
        <v>0</v>
      </c>
      <c r="F7072" s="8">
        <v>0</v>
      </c>
      <c r="G7072" s="8">
        <v>15</v>
      </c>
      <c r="H7072" s="8" t="s">
        <v>14464</v>
      </c>
      <c r="I7072" s="8">
        <v>530.625</v>
      </c>
      <c r="J7072" s="3">
        <f t="shared" si="110"/>
        <v>43747.99315584491</v>
      </c>
    </row>
    <row r="7073" spans="1:10" x14ac:dyDescent="0.25">
      <c r="A7073" s="5" t="s">
        <v>14465</v>
      </c>
      <c r="B7073" s="6">
        <v>406.25</v>
      </c>
      <c r="C7073" s="6">
        <v>20.478950000000001</v>
      </c>
      <c r="D7073" s="6">
        <v>80</v>
      </c>
      <c r="E7073" s="6">
        <v>0</v>
      </c>
      <c r="F7073" s="6">
        <v>0</v>
      </c>
      <c r="G7073" s="6">
        <v>7</v>
      </c>
      <c r="H7073" s="6" t="s">
        <v>14466</v>
      </c>
      <c r="I7073" s="6">
        <v>530.625</v>
      </c>
      <c r="J7073" s="2">
        <f t="shared" si="110"/>
        <v>43747.993253275461</v>
      </c>
    </row>
    <row r="7074" spans="1:10" x14ac:dyDescent="0.25">
      <c r="A7074" s="7" t="s">
        <v>14467</v>
      </c>
      <c r="B7074" s="8">
        <v>406.25</v>
      </c>
      <c r="C7074" s="8">
        <v>20.478950000000001</v>
      </c>
      <c r="D7074" s="8">
        <v>80</v>
      </c>
      <c r="E7074" s="8">
        <v>0</v>
      </c>
      <c r="F7074" s="8">
        <v>0</v>
      </c>
      <c r="G7074" s="8">
        <v>7</v>
      </c>
      <c r="H7074" s="8" t="s">
        <v>14468</v>
      </c>
      <c r="I7074" s="8">
        <v>530.625</v>
      </c>
      <c r="J7074" s="3">
        <f t="shared" si="110"/>
        <v>43747.99333453703</v>
      </c>
    </row>
    <row r="7075" spans="1:10" x14ac:dyDescent="0.25">
      <c r="A7075" s="5" t="s">
        <v>14469</v>
      </c>
      <c r="B7075" s="6">
        <v>406.25</v>
      </c>
      <c r="C7075" s="6">
        <v>20.478950000000001</v>
      </c>
      <c r="D7075" s="6">
        <v>80</v>
      </c>
      <c r="E7075" s="6">
        <v>0</v>
      </c>
      <c r="F7075" s="6">
        <v>0</v>
      </c>
      <c r="G7075" s="6">
        <v>8</v>
      </c>
      <c r="H7075" s="6" t="s">
        <v>14470</v>
      </c>
      <c r="I7075" s="6">
        <v>530.625</v>
      </c>
      <c r="J7075" s="2">
        <f t="shared" si="110"/>
        <v>43747.993406574074</v>
      </c>
    </row>
    <row r="7076" spans="1:10" x14ac:dyDescent="0.25">
      <c r="A7076" s="7" t="s">
        <v>14471</v>
      </c>
      <c r="B7076" s="8">
        <v>421.875</v>
      </c>
      <c r="C7076" s="8">
        <v>20.478950000000001</v>
      </c>
      <c r="D7076" s="8">
        <v>79</v>
      </c>
      <c r="E7076" s="8">
        <v>0</v>
      </c>
      <c r="F7076" s="8">
        <v>0</v>
      </c>
      <c r="G7076" s="8">
        <v>8</v>
      </c>
      <c r="H7076" s="8" t="s">
        <v>14472</v>
      </c>
      <c r="I7076" s="8">
        <v>535.875</v>
      </c>
      <c r="J7076" s="3">
        <f t="shared" si="110"/>
        <v>43747.99349004629</v>
      </c>
    </row>
    <row r="7077" spans="1:10" x14ac:dyDescent="0.25">
      <c r="A7077" s="5" t="s">
        <v>14473</v>
      </c>
      <c r="B7077" s="6">
        <v>403.125</v>
      </c>
      <c r="C7077" s="6">
        <v>20.478950000000001</v>
      </c>
      <c r="D7077" s="6">
        <v>79</v>
      </c>
      <c r="E7077" s="6">
        <v>0</v>
      </c>
      <c r="F7077" s="6">
        <v>0</v>
      </c>
      <c r="G7077" s="6">
        <v>8</v>
      </c>
      <c r="H7077" s="6" t="s">
        <v>14474</v>
      </c>
      <c r="I7077" s="6">
        <v>529.875</v>
      </c>
      <c r="J7077" s="2">
        <f t="shared" si="110"/>
        <v>43747.993561377312</v>
      </c>
    </row>
    <row r="7078" spans="1:10" x14ac:dyDescent="0.25">
      <c r="A7078" s="7" t="s">
        <v>14475</v>
      </c>
      <c r="B7078" s="8">
        <v>403.125</v>
      </c>
      <c r="C7078" s="8">
        <v>20.478950000000001</v>
      </c>
      <c r="D7078" s="8">
        <v>80</v>
      </c>
      <c r="E7078" s="8">
        <v>0</v>
      </c>
      <c r="F7078" s="8">
        <v>0</v>
      </c>
      <c r="G7078" s="8">
        <v>7</v>
      </c>
      <c r="H7078" s="8" t="s">
        <v>14476</v>
      </c>
      <c r="I7078" s="8">
        <v>529.875</v>
      </c>
      <c r="J7078" s="3">
        <f t="shared" si="110"/>
        <v>43747.993632685182</v>
      </c>
    </row>
    <row r="7079" spans="1:10" x14ac:dyDescent="0.25">
      <c r="A7079" s="5" t="s">
        <v>14477</v>
      </c>
      <c r="B7079" s="6">
        <v>406.25</v>
      </c>
      <c r="C7079" s="6">
        <v>20.478950000000001</v>
      </c>
      <c r="D7079" s="6">
        <v>81</v>
      </c>
      <c r="E7079" s="6">
        <v>0</v>
      </c>
      <c r="F7079" s="6">
        <v>0</v>
      </c>
      <c r="G7079" s="6">
        <v>10</v>
      </c>
      <c r="H7079" s="6" t="s">
        <v>14478</v>
      </c>
      <c r="I7079" s="6">
        <v>530.625</v>
      </c>
      <c r="J7079" s="2">
        <f t="shared" si="110"/>
        <v>43747.993704166664</v>
      </c>
    </row>
    <row r="7080" spans="1:10" x14ac:dyDescent="0.25">
      <c r="A7080" s="7" t="s">
        <v>14479</v>
      </c>
      <c r="B7080" s="8">
        <v>406.25</v>
      </c>
      <c r="C7080" s="8">
        <v>20.478950000000001</v>
      </c>
      <c r="D7080" s="8">
        <v>82</v>
      </c>
      <c r="E7080" s="8">
        <v>0</v>
      </c>
      <c r="F7080" s="8">
        <v>0</v>
      </c>
      <c r="G7080" s="8">
        <v>19</v>
      </c>
      <c r="H7080" s="8" t="s">
        <v>14480</v>
      </c>
      <c r="I7080" s="8">
        <v>530.8125</v>
      </c>
      <c r="J7080" s="3">
        <f t="shared" si="110"/>
        <v>43747.993801400466</v>
      </c>
    </row>
    <row r="7081" spans="1:10" x14ac:dyDescent="0.25">
      <c r="A7081" s="5" t="s">
        <v>14481</v>
      </c>
      <c r="B7081" s="6">
        <v>406.25</v>
      </c>
      <c r="C7081" s="6">
        <v>20.478950000000001</v>
      </c>
      <c r="D7081" s="6">
        <v>82</v>
      </c>
      <c r="E7081" s="6">
        <v>0</v>
      </c>
      <c r="F7081" s="6">
        <v>0</v>
      </c>
      <c r="G7081" s="6">
        <v>2</v>
      </c>
      <c r="H7081" s="6" t="s">
        <v>14482</v>
      </c>
      <c r="I7081" s="6">
        <v>530.8125</v>
      </c>
      <c r="J7081" s="2">
        <f t="shared" si="110"/>
        <v>43747.993883611111</v>
      </c>
    </row>
    <row r="7082" spans="1:10" x14ac:dyDescent="0.25">
      <c r="A7082" s="7" t="s">
        <v>14483</v>
      </c>
      <c r="B7082" s="8">
        <v>406.25</v>
      </c>
      <c r="C7082" s="8">
        <v>20.478950000000001</v>
      </c>
      <c r="D7082" s="8">
        <v>81</v>
      </c>
      <c r="E7082" s="8">
        <v>0</v>
      </c>
      <c r="F7082" s="8">
        <v>0</v>
      </c>
      <c r="G7082" s="8">
        <v>15</v>
      </c>
      <c r="H7082" s="8" t="s">
        <v>14484</v>
      </c>
      <c r="I7082" s="8">
        <v>530.625</v>
      </c>
      <c r="J7082" s="3">
        <f t="shared" si="110"/>
        <v>43747.993954895828</v>
      </c>
    </row>
    <row r="7083" spans="1:10" x14ac:dyDescent="0.25">
      <c r="A7083" s="5" t="s">
        <v>14485</v>
      </c>
      <c r="B7083" s="6">
        <v>403.125</v>
      </c>
      <c r="C7083" s="6">
        <v>20.478950000000001</v>
      </c>
      <c r="D7083" s="6">
        <v>81</v>
      </c>
      <c r="E7083" s="6">
        <v>0</v>
      </c>
      <c r="F7083" s="6">
        <v>0</v>
      </c>
      <c r="G7083" s="6">
        <v>14</v>
      </c>
      <c r="H7083" s="6" t="s">
        <v>14486</v>
      </c>
      <c r="I7083" s="6">
        <v>529.875</v>
      </c>
      <c r="J7083" s="2">
        <f t="shared" si="110"/>
        <v>43747.994026192122</v>
      </c>
    </row>
    <row r="7084" spans="1:10" x14ac:dyDescent="0.25">
      <c r="A7084" s="7" t="s">
        <v>14487</v>
      </c>
      <c r="B7084" s="8">
        <v>406.25</v>
      </c>
      <c r="C7084" s="8">
        <v>20.478950000000001</v>
      </c>
      <c r="D7084" s="8">
        <v>80</v>
      </c>
      <c r="E7084" s="8">
        <v>0</v>
      </c>
      <c r="F7084" s="8">
        <v>0</v>
      </c>
      <c r="G7084" s="8">
        <v>9</v>
      </c>
      <c r="H7084" s="8" t="s">
        <v>14488</v>
      </c>
      <c r="I7084" s="8">
        <v>530.625</v>
      </c>
      <c r="J7084" s="3">
        <f t="shared" si="110"/>
        <v>43747.994097546289</v>
      </c>
    </row>
    <row r="7085" spans="1:10" x14ac:dyDescent="0.25">
      <c r="A7085" s="5" t="s">
        <v>14489</v>
      </c>
      <c r="B7085" s="6">
        <v>403.125</v>
      </c>
      <c r="C7085" s="6">
        <v>20.478950000000001</v>
      </c>
      <c r="D7085" s="6">
        <v>80</v>
      </c>
      <c r="E7085" s="6">
        <v>0</v>
      </c>
      <c r="F7085" s="6">
        <v>0</v>
      </c>
      <c r="G7085" s="6">
        <v>0</v>
      </c>
      <c r="H7085" s="6" t="s">
        <v>14490</v>
      </c>
      <c r="I7085" s="6">
        <v>529.875</v>
      </c>
      <c r="J7085" s="2">
        <f t="shared" si="110"/>
        <v>43747.994168900455</v>
      </c>
    </row>
    <row r="7086" spans="1:10" x14ac:dyDescent="0.25">
      <c r="A7086" s="7" t="s">
        <v>14491</v>
      </c>
      <c r="B7086" s="8">
        <v>421.875</v>
      </c>
      <c r="C7086" s="8">
        <v>20.478950000000001</v>
      </c>
      <c r="D7086" s="8">
        <v>80</v>
      </c>
      <c r="E7086" s="8">
        <v>0</v>
      </c>
      <c r="F7086" s="8">
        <v>0</v>
      </c>
      <c r="G7086" s="8">
        <v>10</v>
      </c>
      <c r="H7086" s="8" t="s">
        <v>14492</v>
      </c>
      <c r="I7086" s="8">
        <v>535.5</v>
      </c>
      <c r="J7086" s="3">
        <f t="shared" si="110"/>
        <v>43747.994241053239</v>
      </c>
    </row>
    <row r="7087" spans="1:10" x14ac:dyDescent="0.25">
      <c r="A7087" s="5" t="s">
        <v>14493</v>
      </c>
      <c r="B7087" s="6">
        <v>400</v>
      </c>
      <c r="C7087" s="6">
        <v>20.478950000000001</v>
      </c>
      <c r="D7087" s="6">
        <v>82</v>
      </c>
      <c r="E7087" s="6">
        <v>0</v>
      </c>
      <c r="F7087" s="6">
        <v>0</v>
      </c>
      <c r="G7087" s="6">
        <v>4</v>
      </c>
      <c r="H7087" s="6" t="s">
        <v>14494</v>
      </c>
      <c r="I7087" s="6">
        <v>528.1875</v>
      </c>
      <c r="J7087" s="2">
        <f t="shared" si="110"/>
        <v>43747.994312337956</v>
      </c>
    </row>
    <row r="7088" spans="1:10" x14ac:dyDescent="0.25">
      <c r="A7088" s="7" t="s">
        <v>14495</v>
      </c>
      <c r="B7088" s="8">
        <v>400</v>
      </c>
      <c r="C7088" s="8">
        <v>20.478950000000001</v>
      </c>
      <c r="D7088" s="8">
        <v>83</v>
      </c>
      <c r="E7088" s="8">
        <v>0</v>
      </c>
      <c r="F7088" s="8">
        <v>0</v>
      </c>
      <c r="G7088" s="8">
        <v>12</v>
      </c>
      <c r="H7088" s="8" t="s">
        <v>14496</v>
      </c>
      <c r="I7088" s="8">
        <v>528.375</v>
      </c>
      <c r="J7088" s="3">
        <f t="shared" si="110"/>
        <v>43747.994384652775</v>
      </c>
    </row>
    <row r="7089" spans="1:10" x14ac:dyDescent="0.25">
      <c r="A7089" s="5" t="s">
        <v>14497</v>
      </c>
      <c r="B7089" s="6">
        <v>400</v>
      </c>
      <c r="C7089" s="6">
        <v>20.478950000000001</v>
      </c>
      <c r="D7089" s="6">
        <v>83</v>
      </c>
      <c r="E7089" s="6">
        <v>0</v>
      </c>
      <c r="F7089" s="6">
        <v>0</v>
      </c>
      <c r="G7089" s="6">
        <v>13</v>
      </c>
      <c r="H7089" s="6" t="s">
        <v>14498</v>
      </c>
      <c r="I7089" s="6">
        <v>528.375</v>
      </c>
      <c r="J7089" s="2">
        <f t="shared" si="110"/>
        <v>43747.994455023145</v>
      </c>
    </row>
    <row r="7090" spans="1:10" x14ac:dyDescent="0.25">
      <c r="A7090" s="7" t="s">
        <v>14499</v>
      </c>
      <c r="B7090" s="8">
        <v>425</v>
      </c>
      <c r="C7090" s="8">
        <v>20.478950000000001</v>
      </c>
      <c r="D7090" s="8">
        <v>83</v>
      </c>
      <c r="E7090" s="8">
        <v>0</v>
      </c>
      <c r="F7090" s="8">
        <v>0</v>
      </c>
      <c r="G7090" s="8">
        <v>3</v>
      </c>
      <c r="H7090" s="8" t="s">
        <v>14500</v>
      </c>
      <c r="I7090" s="8">
        <v>536.625</v>
      </c>
      <c r="J7090" s="3">
        <f t="shared" si="110"/>
        <v>43747.994527118055</v>
      </c>
    </row>
    <row r="7091" spans="1:10" x14ac:dyDescent="0.25">
      <c r="A7091" s="5" t="s">
        <v>14501</v>
      </c>
      <c r="B7091" s="6">
        <v>393.75</v>
      </c>
      <c r="C7091" s="6">
        <v>20.426300000000001</v>
      </c>
      <c r="D7091" s="6">
        <v>83</v>
      </c>
      <c r="E7091" s="6">
        <v>0</v>
      </c>
      <c r="F7091" s="6">
        <v>0</v>
      </c>
      <c r="G7091" s="6">
        <v>4</v>
      </c>
      <c r="H7091" s="6" t="s">
        <v>14502</v>
      </c>
      <c r="I7091" s="6">
        <v>526.6875</v>
      </c>
      <c r="J7091" s="2">
        <f t="shared" si="110"/>
        <v>43747.994598472222</v>
      </c>
    </row>
    <row r="7092" spans="1:10" x14ac:dyDescent="0.25">
      <c r="A7092" s="7" t="s">
        <v>14503</v>
      </c>
      <c r="B7092" s="8">
        <v>393.75</v>
      </c>
      <c r="C7092" s="8">
        <v>20.478950000000001</v>
      </c>
      <c r="D7092" s="8">
        <v>83</v>
      </c>
      <c r="E7092" s="8">
        <v>0</v>
      </c>
      <c r="F7092" s="8">
        <v>0</v>
      </c>
      <c r="G7092" s="8">
        <v>7</v>
      </c>
      <c r="H7092" s="8" t="s">
        <v>14504</v>
      </c>
      <c r="I7092" s="8">
        <v>526.6875</v>
      </c>
      <c r="J7092" s="3">
        <f t="shared" si="110"/>
        <v>43747.994672488428</v>
      </c>
    </row>
    <row r="7093" spans="1:10" x14ac:dyDescent="0.25">
      <c r="A7093" s="5" t="s">
        <v>14505</v>
      </c>
      <c r="B7093" s="6">
        <v>393.75</v>
      </c>
      <c r="C7093" s="6">
        <v>20.478950000000001</v>
      </c>
      <c r="D7093" s="6">
        <v>83</v>
      </c>
      <c r="E7093" s="6">
        <v>0</v>
      </c>
      <c r="F7093" s="6">
        <v>0</v>
      </c>
      <c r="G7093" s="6">
        <v>13</v>
      </c>
      <c r="H7093" s="6" t="s">
        <v>14506</v>
      </c>
      <c r="I7093" s="6">
        <v>526.6875</v>
      </c>
      <c r="J7093" s="2">
        <f t="shared" si="110"/>
        <v>43747.994753993051</v>
      </c>
    </row>
    <row r="7094" spans="1:10" x14ac:dyDescent="0.25">
      <c r="A7094" s="7" t="s">
        <v>14507</v>
      </c>
      <c r="B7094" s="8">
        <v>393.75</v>
      </c>
      <c r="C7094" s="8">
        <v>20.478950000000001</v>
      </c>
      <c r="D7094" s="8">
        <v>82</v>
      </c>
      <c r="E7094" s="8">
        <v>0</v>
      </c>
      <c r="F7094" s="8">
        <v>0</v>
      </c>
      <c r="G7094" s="8">
        <v>13</v>
      </c>
      <c r="H7094" s="8" t="s">
        <v>14508</v>
      </c>
      <c r="I7094" s="8">
        <v>526.6875</v>
      </c>
      <c r="J7094" s="3">
        <f t="shared" si="110"/>
        <v>43747.994825289345</v>
      </c>
    </row>
    <row r="7095" spans="1:10" x14ac:dyDescent="0.25">
      <c r="A7095" s="5" t="s">
        <v>14509</v>
      </c>
      <c r="B7095" s="6">
        <v>396.875</v>
      </c>
      <c r="C7095" s="6">
        <v>20.478950000000001</v>
      </c>
      <c r="D7095" s="6">
        <v>82</v>
      </c>
      <c r="E7095" s="6">
        <v>0</v>
      </c>
      <c r="F7095" s="6">
        <v>0</v>
      </c>
      <c r="G7095" s="6">
        <v>9</v>
      </c>
      <c r="H7095" s="6" t="s">
        <v>14510</v>
      </c>
      <c r="I7095" s="6">
        <v>527.4375</v>
      </c>
      <c r="J7095" s="2">
        <f t="shared" si="110"/>
        <v>43747.994896585646</v>
      </c>
    </row>
    <row r="7096" spans="1:10" x14ac:dyDescent="0.25">
      <c r="A7096" s="7" t="s">
        <v>14511</v>
      </c>
      <c r="B7096" s="8">
        <v>396.875</v>
      </c>
      <c r="C7096" s="8">
        <v>20.478950000000001</v>
      </c>
      <c r="D7096" s="8">
        <v>82</v>
      </c>
      <c r="E7096" s="8">
        <v>0</v>
      </c>
      <c r="F7096" s="8">
        <v>0</v>
      </c>
      <c r="G7096" s="8">
        <v>5</v>
      </c>
      <c r="H7096" s="8" t="s">
        <v>14512</v>
      </c>
      <c r="I7096" s="8">
        <v>527.4375</v>
      </c>
      <c r="J7096" s="3">
        <f t="shared" si="110"/>
        <v>43747.994968784718</v>
      </c>
    </row>
    <row r="7097" spans="1:10" x14ac:dyDescent="0.25">
      <c r="A7097" s="5" t="s">
        <v>14513</v>
      </c>
      <c r="B7097" s="6">
        <v>396.875</v>
      </c>
      <c r="C7097" s="6">
        <v>20.478950000000001</v>
      </c>
      <c r="D7097" s="6">
        <v>83</v>
      </c>
      <c r="E7097" s="6">
        <v>0</v>
      </c>
      <c r="F7097" s="6">
        <v>0</v>
      </c>
      <c r="G7097" s="6">
        <v>16</v>
      </c>
      <c r="H7097" s="6" t="s">
        <v>14514</v>
      </c>
      <c r="I7097" s="6">
        <v>527.4375</v>
      </c>
      <c r="J7097" s="2">
        <f t="shared" si="110"/>
        <v>43747.995040104164</v>
      </c>
    </row>
    <row r="7098" spans="1:10" x14ac:dyDescent="0.25">
      <c r="A7098" s="7" t="s">
        <v>14515</v>
      </c>
      <c r="B7098" s="8">
        <v>412.5</v>
      </c>
      <c r="C7098" s="8">
        <v>20.478950000000001</v>
      </c>
      <c r="D7098" s="8">
        <v>83</v>
      </c>
      <c r="E7098" s="8">
        <v>0</v>
      </c>
      <c r="F7098" s="8">
        <v>0</v>
      </c>
      <c r="G7098" s="8">
        <v>7</v>
      </c>
      <c r="H7098" s="8" t="s">
        <v>14516</v>
      </c>
      <c r="I7098" s="8">
        <v>532.3125</v>
      </c>
      <c r="J7098" s="3">
        <f t="shared" si="110"/>
        <v>43747.995112025463</v>
      </c>
    </row>
    <row r="7099" spans="1:10" x14ac:dyDescent="0.25">
      <c r="A7099" s="5" t="s">
        <v>14517</v>
      </c>
      <c r="B7099" s="6">
        <v>393.75</v>
      </c>
      <c r="C7099" s="6">
        <v>20.478950000000001</v>
      </c>
      <c r="D7099" s="6">
        <v>83</v>
      </c>
      <c r="E7099" s="6">
        <v>0</v>
      </c>
      <c r="F7099" s="6">
        <v>0</v>
      </c>
      <c r="G7099" s="6">
        <v>7</v>
      </c>
      <c r="H7099" s="6" t="s">
        <v>14518</v>
      </c>
      <c r="I7099" s="6">
        <v>526.6875</v>
      </c>
      <c r="J7099" s="2">
        <f t="shared" si="110"/>
        <v>43747.995182708335</v>
      </c>
    </row>
    <row r="7100" spans="1:10" x14ac:dyDescent="0.25">
      <c r="A7100" s="7" t="s">
        <v>14519</v>
      </c>
      <c r="B7100" s="8">
        <v>393.75</v>
      </c>
      <c r="C7100" s="8">
        <v>20.426300000000001</v>
      </c>
      <c r="D7100" s="8">
        <v>83</v>
      </c>
      <c r="E7100" s="8">
        <v>0</v>
      </c>
      <c r="F7100" s="8">
        <v>0</v>
      </c>
      <c r="G7100" s="8">
        <v>5</v>
      </c>
      <c r="H7100" s="8" t="s">
        <v>14520</v>
      </c>
      <c r="I7100" s="8">
        <v>526.6875</v>
      </c>
      <c r="J7100" s="3">
        <f t="shared" si="110"/>
        <v>43747.995253969908</v>
      </c>
    </row>
    <row r="7101" spans="1:10" x14ac:dyDescent="0.25">
      <c r="A7101" s="5" t="s">
        <v>14521</v>
      </c>
      <c r="B7101" s="6">
        <v>396.875</v>
      </c>
      <c r="C7101" s="6">
        <v>20.478950000000001</v>
      </c>
      <c r="D7101" s="6">
        <v>81</v>
      </c>
      <c r="E7101" s="6">
        <v>0</v>
      </c>
      <c r="F7101" s="6">
        <v>0</v>
      </c>
      <c r="G7101" s="6">
        <v>9</v>
      </c>
      <c r="H7101" s="6" t="s">
        <v>14522</v>
      </c>
      <c r="I7101" s="6">
        <v>527.4375</v>
      </c>
      <c r="J7101" s="2">
        <f t="shared" si="110"/>
        <v>43747.995326203702</v>
      </c>
    </row>
    <row r="7102" spans="1:10" x14ac:dyDescent="0.25">
      <c r="A7102" s="7" t="s">
        <v>14523</v>
      </c>
      <c r="B7102" s="8">
        <v>396.875</v>
      </c>
      <c r="C7102" s="8">
        <v>20.478950000000001</v>
      </c>
      <c r="D7102" s="8">
        <v>81</v>
      </c>
      <c r="E7102" s="8">
        <v>0</v>
      </c>
      <c r="F7102" s="8">
        <v>0</v>
      </c>
      <c r="G7102" s="8">
        <v>8</v>
      </c>
      <c r="H7102" s="8" t="s">
        <v>14524</v>
      </c>
      <c r="I7102" s="8">
        <v>527.4375</v>
      </c>
      <c r="J7102" s="3">
        <f t="shared" si="110"/>
        <v>43747.995397500003</v>
      </c>
    </row>
    <row r="7103" spans="1:10" x14ac:dyDescent="0.25">
      <c r="A7103" s="5" t="s">
        <v>14525</v>
      </c>
      <c r="B7103" s="6">
        <v>400</v>
      </c>
      <c r="C7103" s="6">
        <v>20.478950000000001</v>
      </c>
      <c r="D7103" s="6">
        <v>81</v>
      </c>
      <c r="E7103" s="6">
        <v>0</v>
      </c>
      <c r="F7103" s="6">
        <v>0</v>
      </c>
      <c r="G7103" s="6">
        <v>12</v>
      </c>
      <c r="H7103" s="6" t="s">
        <v>14526</v>
      </c>
      <c r="I7103" s="6">
        <v>528.375</v>
      </c>
      <c r="J7103" s="2">
        <f t="shared" si="110"/>
        <v>43747.995469710644</v>
      </c>
    </row>
    <row r="7104" spans="1:10" x14ac:dyDescent="0.25">
      <c r="A7104" s="7" t="s">
        <v>14527</v>
      </c>
      <c r="B7104" s="8">
        <v>400</v>
      </c>
      <c r="C7104" s="8">
        <v>20.478950000000001</v>
      </c>
      <c r="D7104" s="8">
        <v>81</v>
      </c>
      <c r="E7104" s="8">
        <v>0</v>
      </c>
      <c r="F7104" s="8">
        <v>0</v>
      </c>
      <c r="G7104" s="8">
        <v>11</v>
      </c>
      <c r="H7104" s="8" t="s">
        <v>14528</v>
      </c>
      <c r="I7104" s="8">
        <v>528.375</v>
      </c>
      <c r="J7104" s="3">
        <f t="shared" si="110"/>
        <v>43747.995541006945</v>
      </c>
    </row>
    <row r="7105" spans="1:10" x14ac:dyDescent="0.25">
      <c r="A7105" s="5" t="s">
        <v>14529</v>
      </c>
      <c r="B7105" s="6">
        <v>400</v>
      </c>
      <c r="C7105" s="6">
        <v>20.478950000000001</v>
      </c>
      <c r="D7105" s="6">
        <v>82</v>
      </c>
      <c r="E7105" s="6">
        <v>0</v>
      </c>
      <c r="F7105" s="6">
        <v>0</v>
      </c>
      <c r="G7105" s="6">
        <v>3</v>
      </c>
      <c r="H7105" s="6" t="s">
        <v>14530</v>
      </c>
      <c r="I7105" s="6">
        <v>528.1875</v>
      </c>
      <c r="J7105" s="2">
        <f t="shared" si="110"/>
        <v>43747.995612303239</v>
      </c>
    </row>
    <row r="7106" spans="1:10" x14ac:dyDescent="0.25">
      <c r="A7106" s="7" t="s">
        <v>14531</v>
      </c>
      <c r="B7106" s="8">
        <v>400</v>
      </c>
      <c r="C7106" s="8">
        <v>20.478950000000001</v>
      </c>
      <c r="D7106" s="8">
        <v>82</v>
      </c>
      <c r="E7106" s="8">
        <v>0</v>
      </c>
      <c r="F7106" s="8">
        <v>0</v>
      </c>
      <c r="G7106" s="8">
        <v>13</v>
      </c>
      <c r="H7106" s="8" t="s">
        <v>14532</v>
      </c>
      <c r="I7106" s="8">
        <v>528.375</v>
      </c>
      <c r="J7106" s="3">
        <f t="shared" ref="J7106:J7169" si="111">(H7106/86400000)+25569+(7/24)</f>
        <v>43747.995683599533</v>
      </c>
    </row>
    <row r="7107" spans="1:10" x14ac:dyDescent="0.25">
      <c r="A7107" s="5" t="s">
        <v>14533</v>
      </c>
      <c r="B7107" s="6">
        <v>400</v>
      </c>
      <c r="C7107" s="6">
        <v>20.478950000000001</v>
      </c>
      <c r="D7107" s="6">
        <v>82</v>
      </c>
      <c r="E7107" s="6">
        <v>0</v>
      </c>
      <c r="F7107" s="6">
        <v>0</v>
      </c>
      <c r="G7107" s="6">
        <v>14</v>
      </c>
      <c r="H7107" s="6" t="s">
        <v>14534</v>
      </c>
      <c r="I7107" s="6">
        <v>528.1875</v>
      </c>
      <c r="J7107" s="2">
        <f t="shared" si="111"/>
        <v>43747.995767048611</v>
      </c>
    </row>
    <row r="7108" spans="1:10" x14ac:dyDescent="0.25">
      <c r="A7108" s="7" t="s">
        <v>14535</v>
      </c>
      <c r="B7108" s="8">
        <v>400</v>
      </c>
      <c r="C7108" s="8">
        <v>20.478950000000001</v>
      </c>
      <c r="D7108" s="8">
        <v>83</v>
      </c>
      <c r="E7108" s="8">
        <v>0</v>
      </c>
      <c r="F7108" s="8">
        <v>0</v>
      </c>
      <c r="G7108" s="8">
        <v>7</v>
      </c>
      <c r="H7108" s="8" t="s">
        <v>14536</v>
      </c>
      <c r="I7108" s="8">
        <v>528.1875</v>
      </c>
      <c r="J7108" s="3">
        <f t="shared" si="111"/>
        <v>43747.995839143514</v>
      </c>
    </row>
    <row r="7109" spans="1:10" x14ac:dyDescent="0.25">
      <c r="A7109" s="5" t="s">
        <v>14537</v>
      </c>
      <c r="B7109" s="6">
        <v>400</v>
      </c>
      <c r="C7109" s="6">
        <v>20.426300000000001</v>
      </c>
      <c r="D7109" s="6">
        <v>83</v>
      </c>
      <c r="E7109" s="6">
        <v>0</v>
      </c>
      <c r="F7109" s="6">
        <v>0</v>
      </c>
      <c r="G7109" s="6">
        <v>9</v>
      </c>
      <c r="H7109" s="6" t="s">
        <v>14538</v>
      </c>
      <c r="I7109" s="6">
        <v>528.1875</v>
      </c>
      <c r="J7109" s="2">
        <f t="shared" si="111"/>
        <v>43747.995910578706</v>
      </c>
    </row>
    <row r="7110" spans="1:10" x14ac:dyDescent="0.25">
      <c r="A7110" s="7" t="s">
        <v>14539</v>
      </c>
      <c r="B7110" s="8">
        <v>418.75</v>
      </c>
      <c r="C7110" s="8">
        <v>20.478950000000001</v>
      </c>
      <c r="D7110" s="8">
        <v>83</v>
      </c>
      <c r="E7110" s="8">
        <v>0</v>
      </c>
      <c r="F7110" s="8">
        <v>0</v>
      </c>
      <c r="G7110" s="8">
        <v>3</v>
      </c>
      <c r="H7110" s="8" t="s">
        <v>14540</v>
      </c>
      <c r="I7110" s="8">
        <v>534.5625</v>
      </c>
      <c r="J7110" s="3">
        <f t="shared" si="111"/>
        <v>43747.995981747685</v>
      </c>
    </row>
    <row r="7111" spans="1:10" x14ac:dyDescent="0.25">
      <c r="A7111" s="5" t="s">
        <v>14541</v>
      </c>
      <c r="B7111" s="6">
        <v>403.125</v>
      </c>
      <c r="C7111" s="6">
        <v>20.478950000000001</v>
      </c>
      <c r="D7111" s="6">
        <v>82</v>
      </c>
      <c r="E7111" s="6">
        <v>0</v>
      </c>
      <c r="F7111" s="6">
        <v>0</v>
      </c>
      <c r="G7111" s="6">
        <v>7</v>
      </c>
      <c r="H7111" s="6" t="s">
        <v>14542</v>
      </c>
      <c r="I7111" s="6">
        <v>529.125</v>
      </c>
      <c r="J7111" s="2">
        <f t="shared" si="111"/>
        <v>43747.996053807867</v>
      </c>
    </row>
    <row r="7112" spans="1:10" x14ac:dyDescent="0.25">
      <c r="A7112" s="7" t="s">
        <v>14543</v>
      </c>
      <c r="B7112" s="8">
        <v>403.125</v>
      </c>
      <c r="C7112" s="8">
        <v>20.478950000000001</v>
      </c>
      <c r="D7112" s="8">
        <v>82</v>
      </c>
      <c r="E7112" s="8">
        <v>0</v>
      </c>
      <c r="F7112" s="8">
        <v>0</v>
      </c>
      <c r="G7112" s="8">
        <v>12</v>
      </c>
      <c r="H7112" s="8" t="s">
        <v>14544</v>
      </c>
      <c r="I7112" s="8">
        <v>529.125</v>
      </c>
      <c r="J7112" s="3">
        <f t="shared" si="111"/>
        <v>43747.996124398145</v>
      </c>
    </row>
    <row r="7113" spans="1:10" x14ac:dyDescent="0.25">
      <c r="A7113" s="5" t="s">
        <v>14545</v>
      </c>
      <c r="B7113" s="6">
        <v>403.125</v>
      </c>
      <c r="C7113" s="6">
        <v>20.478950000000001</v>
      </c>
      <c r="D7113" s="6">
        <v>82</v>
      </c>
      <c r="E7113" s="6">
        <v>0</v>
      </c>
      <c r="F7113" s="6">
        <v>0</v>
      </c>
      <c r="G7113" s="6">
        <v>4</v>
      </c>
      <c r="H7113" s="6" t="s">
        <v>14546</v>
      </c>
      <c r="I7113" s="6">
        <v>529.125</v>
      </c>
      <c r="J7113" s="2">
        <f t="shared" si="111"/>
        <v>43747.996196504631</v>
      </c>
    </row>
    <row r="7114" spans="1:10" x14ac:dyDescent="0.25">
      <c r="A7114" s="7" t="s">
        <v>14547</v>
      </c>
      <c r="B7114" s="8">
        <v>403.125</v>
      </c>
      <c r="C7114" s="8">
        <v>20.478950000000001</v>
      </c>
      <c r="D7114" s="8">
        <v>81</v>
      </c>
      <c r="E7114" s="8">
        <v>0</v>
      </c>
      <c r="F7114" s="8">
        <v>0</v>
      </c>
      <c r="G7114" s="8">
        <v>13</v>
      </c>
      <c r="H7114" s="8" t="s">
        <v>14548</v>
      </c>
      <c r="I7114" s="8">
        <v>529.125</v>
      </c>
      <c r="J7114" s="3">
        <f t="shared" si="111"/>
        <v>43747.99628003472</v>
      </c>
    </row>
    <row r="7115" spans="1:10" x14ac:dyDescent="0.25">
      <c r="A7115" s="5" t="s">
        <v>14549</v>
      </c>
      <c r="B7115" s="6">
        <v>403.125</v>
      </c>
      <c r="C7115" s="6">
        <v>20.478950000000001</v>
      </c>
      <c r="D7115" s="6">
        <v>82</v>
      </c>
      <c r="E7115" s="6">
        <v>0</v>
      </c>
      <c r="F7115" s="6">
        <v>0</v>
      </c>
      <c r="G7115" s="6">
        <v>8</v>
      </c>
      <c r="H7115" s="6" t="s">
        <v>14550</v>
      </c>
      <c r="I7115" s="6">
        <v>529.125</v>
      </c>
      <c r="J7115" s="2">
        <f t="shared" si="111"/>
        <v>43747.996352013892</v>
      </c>
    </row>
    <row r="7116" spans="1:10" x14ac:dyDescent="0.25">
      <c r="A7116" s="7" t="s">
        <v>14551</v>
      </c>
      <c r="B7116" s="8">
        <v>403.125</v>
      </c>
      <c r="C7116" s="8">
        <v>20.478950000000001</v>
      </c>
      <c r="D7116" s="8">
        <v>82</v>
      </c>
      <c r="E7116" s="8">
        <v>0</v>
      </c>
      <c r="F7116" s="8">
        <v>0</v>
      </c>
      <c r="G7116" s="8">
        <v>7</v>
      </c>
      <c r="H7116" s="8" t="s">
        <v>14552</v>
      </c>
      <c r="I7116" s="8">
        <v>529.875</v>
      </c>
      <c r="J7116" s="3">
        <f t="shared" si="111"/>
        <v>43747.996422546297</v>
      </c>
    </row>
    <row r="7117" spans="1:10" x14ac:dyDescent="0.25">
      <c r="A7117" s="5" t="s">
        <v>14553</v>
      </c>
      <c r="B7117" s="6">
        <v>403.125</v>
      </c>
      <c r="C7117" s="6">
        <v>20.478950000000001</v>
      </c>
      <c r="D7117" s="6">
        <v>82</v>
      </c>
      <c r="E7117" s="6">
        <v>0</v>
      </c>
      <c r="F7117" s="6">
        <v>0</v>
      </c>
      <c r="G7117" s="6">
        <v>16</v>
      </c>
      <c r="H7117" s="6" t="s">
        <v>14554</v>
      </c>
      <c r="I7117" s="6">
        <v>529.125</v>
      </c>
      <c r="J7117" s="2">
        <f t="shared" si="111"/>
        <v>43747.996494710642</v>
      </c>
    </row>
    <row r="7118" spans="1:10" x14ac:dyDescent="0.25">
      <c r="A7118" s="7" t="s">
        <v>14555</v>
      </c>
      <c r="B7118" s="8">
        <v>418.75</v>
      </c>
      <c r="C7118" s="8">
        <v>20.478950000000001</v>
      </c>
      <c r="D7118" s="8">
        <v>81</v>
      </c>
      <c r="E7118" s="8">
        <v>0</v>
      </c>
      <c r="F7118" s="8">
        <v>0</v>
      </c>
      <c r="G7118" s="8">
        <v>10</v>
      </c>
      <c r="H7118" s="8" t="s">
        <v>14556</v>
      </c>
      <c r="I7118" s="8">
        <v>534.75</v>
      </c>
      <c r="J7118" s="3">
        <f t="shared" si="111"/>
        <v>43747.996566006943</v>
      </c>
    </row>
    <row r="7119" spans="1:10" x14ac:dyDescent="0.25">
      <c r="A7119" s="5" t="s">
        <v>14557</v>
      </c>
      <c r="B7119" s="6">
        <v>403.125</v>
      </c>
      <c r="C7119" s="6">
        <v>20.478950000000001</v>
      </c>
      <c r="D7119" s="6">
        <v>81</v>
      </c>
      <c r="E7119" s="6">
        <v>0</v>
      </c>
      <c r="F7119" s="6">
        <v>0</v>
      </c>
      <c r="G7119" s="6">
        <v>12</v>
      </c>
      <c r="H7119" s="6" t="s">
        <v>14558</v>
      </c>
      <c r="I7119" s="6">
        <v>529.125</v>
      </c>
      <c r="J7119" s="2">
        <f t="shared" si="111"/>
        <v>43747.996638402772</v>
      </c>
    </row>
    <row r="7120" spans="1:10" x14ac:dyDescent="0.25">
      <c r="A7120" s="7" t="s">
        <v>14559</v>
      </c>
      <c r="B7120" s="8">
        <v>403.125</v>
      </c>
      <c r="C7120" s="8">
        <v>20.478950000000001</v>
      </c>
      <c r="D7120" s="8">
        <v>82</v>
      </c>
      <c r="E7120" s="8">
        <v>0</v>
      </c>
      <c r="F7120" s="8">
        <v>0</v>
      </c>
      <c r="G7120" s="8">
        <v>6</v>
      </c>
      <c r="H7120" s="8" t="s">
        <v>14560</v>
      </c>
      <c r="I7120" s="8">
        <v>529.125</v>
      </c>
      <c r="J7120" s="3">
        <f t="shared" si="111"/>
        <v>43747.99670953703</v>
      </c>
    </row>
    <row r="7121" spans="1:10" x14ac:dyDescent="0.25">
      <c r="A7121" s="5" t="s">
        <v>14561</v>
      </c>
      <c r="B7121" s="6">
        <v>403.125</v>
      </c>
      <c r="C7121" s="6">
        <v>20.478950000000001</v>
      </c>
      <c r="D7121" s="6">
        <v>82</v>
      </c>
      <c r="E7121" s="6">
        <v>0</v>
      </c>
      <c r="F7121" s="6">
        <v>0</v>
      </c>
      <c r="G7121" s="6">
        <v>9</v>
      </c>
      <c r="H7121" s="6" t="s">
        <v>14562</v>
      </c>
      <c r="I7121" s="6">
        <v>529.125</v>
      </c>
      <c r="J7121" s="2">
        <f t="shared" si="111"/>
        <v>43747.996780706017</v>
      </c>
    </row>
    <row r="7122" spans="1:10" x14ac:dyDescent="0.25">
      <c r="A7122" s="7" t="s">
        <v>14563</v>
      </c>
      <c r="B7122" s="8">
        <v>403.125</v>
      </c>
      <c r="C7122" s="8">
        <v>20.478950000000001</v>
      </c>
      <c r="D7122" s="8">
        <v>81</v>
      </c>
      <c r="E7122" s="8">
        <v>0</v>
      </c>
      <c r="F7122" s="8">
        <v>0</v>
      </c>
      <c r="G7122" s="8">
        <v>7</v>
      </c>
      <c r="H7122" s="8" t="s">
        <v>14564</v>
      </c>
      <c r="I7122" s="8">
        <v>529.125</v>
      </c>
      <c r="J7122" s="3">
        <f t="shared" si="111"/>
        <v>43747.996852187498</v>
      </c>
    </row>
    <row r="7123" spans="1:10" x14ac:dyDescent="0.25">
      <c r="A7123" s="5" t="s">
        <v>14565</v>
      </c>
      <c r="B7123" s="6">
        <v>403.125</v>
      </c>
      <c r="C7123" s="6">
        <v>20.426300000000001</v>
      </c>
      <c r="D7123" s="6">
        <v>81</v>
      </c>
      <c r="E7123" s="6">
        <v>0</v>
      </c>
      <c r="F7123" s="6">
        <v>0</v>
      </c>
      <c r="G7123" s="6">
        <v>11</v>
      </c>
      <c r="H7123" s="6" t="s">
        <v>14566</v>
      </c>
      <c r="I7123" s="6">
        <v>529.125</v>
      </c>
      <c r="J7123" s="2">
        <f t="shared" si="111"/>
        <v>43747.99692341435</v>
      </c>
    </row>
    <row r="7124" spans="1:10" x14ac:dyDescent="0.25">
      <c r="A7124" s="7" t="s">
        <v>14567</v>
      </c>
      <c r="B7124" s="8">
        <v>403.125</v>
      </c>
      <c r="C7124" s="8">
        <v>20.478950000000001</v>
      </c>
      <c r="D7124" s="8">
        <v>80</v>
      </c>
      <c r="E7124" s="8">
        <v>0</v>
      </c>
      <c r="F7124" s="8">
        <v>0</v>
      </c>
      <c r="G7124" s="8">
        <v>12</v>
      </c>
      <c r="H7124" s="8" t="s">
        <v>14568</v>
      </c>
      <c r="I7124" s="8">
        <v>529.125</v>
      </c>
      <c r="J7124" s="3">
        <f t="shared" si="111"/>
        <v>43747.996995636575</v>
      </c>
    </row>
    <row r="7125" spans="1:10" x14ac:dyDescent="0.25">
      <c r="A7125" s="5" t="s">
        <v>14569</v>
      </c>
      <c r="B7125" s="6">
        <v>403.125</v>
      </c>
      <c r="C7125" s="6">
        <v>20.478950000000001</v>
      </c>
      <c r="D7125" s="6">
        <v>80</v>
      </c>
      <c r="E7125" s="6">
        <v>0</v>
      </c>
      <c r="F7125" s="6">
        <v>0</v>
      </c>
      <c r="G7125" s="6">
        <v>12</v>
      </c>
      <c r="H7125" s="6" t="s">
        <v>14570</v>
      </c>
      <c r="I7125" s="6">
        <v>529.125</v>
      </c>
      <c r="J7125" s="2">
        <f t="shared" si="111"/>
        <v>43747.997067060183</v>
      </c>
    </row>
    <row r="7126" spans="1:10" x14ac:dyDescent="0.25">
      <c r="A7126" s="7" t="s">
        <v>14571</v>
      </c>
      <c r="B7126" s="8">
        <v>400</v>
      </c>
      <c r="C7126" s="8">
        <v>20.478950000000001</v>
      </c>
      <c r="D7126" s="8">
        <v>80</v>
      </c>
      <c r="E7126" s="8">
        <v>0</v>
      </c>
      <c r="F7126" s="8">
        <v>0</v>
      </c>
      <c r="G7126" s="8">
        <v>6</v>
      </c>
      <c r="H7126" s="8" t="s">
        <v>14572</v>
      </c>
      <c r="I7126" s="8">
        <v>528.9375</v>
      </c>
      <c r="J7126" s="3">
        <f t="shared" si="111"/>
        <v>43747.997138356477</v>
      </c>
    </row>
    <row r="7127" spans="1:10" x14ac:dyDescent="0.25">
      <c r="A7127" s="5" t="s">
        <v>14573</v>
      </c>
      <c r="B7127" s="6">
        <v>403.125</v>
      </c>
      <c r="C7127" s="6">
        <v>20.478950000000001</v>
      </c>
      <c r="D7127" s="6">
        <v>80</v>
      </c>
      <c r="E7127" s="6">
        <v>0</v>
      </c>
      <c r="F7127" s="6">
        <v>0</v>
      </c>
      <c r="G7127" s="6">
        <v>14</v>
      </c>
      <c r="H7127" s="6" t="s">
        <v>14574</v>
      </c>
      <c r="I7127" s="6">
        <v>529.125</v>
      </c>
      <c r="J7127" s="2">
        <f t="shared" si="111"/>
        <v>43747.997209594905</v>
      </c>
    </row>
    <row r="7128" spans="1:10" x14ac:dyDescent="0.25">
      <c r="A7128" s="7" t="s">
        <v>14575</v>
      </c>
      <c r="B7128" s="8">
        <v>400</v>
      </c>
      <c r="C7128" s="8">
        <v>20.478950000000001</v>
      </c>
      <c r="D7128" s="8">
        <v>81</v>
      </c>
      <c r="E7128" s="8">
        <v>0</v>
      </c>
      <c r="F7128" s="8">
        <v>0</v>
      </c>
      <c r="G7128" s="8">
        <v>19</v>
      </c>
      <c r="H7128" s="8" t="s">
        <v>14576</v>
      </c>
      <c r="I7128" s="8">
        <v>528.375</v>
      </c>
      <c r="J7128" s="3">
        <f t="shared" si="111"/>
        <v>43747.997281747681</v>
      </c>
    </row>
    <row r="7129" spans="1:10" x14ac:dyDescent="0.25">
      <c r="A7129" s="5" t="s">
        <v>14577</v>
      </c>
      <c r="B7129" s="6">
        <v>400</v>
      </c>
      <c r="C7129" s="6">
        <v>20.478950000000001</v>
      </c>
      <c r="D7129" s="6">
        <v>83</v>
      </c>
      <c r="E7129" s="6">
        <v>0</v>
      </c>
      <c r="F7129" s="6">
        <v>0</v>
      </c>
      <c r="G7129" s="6">
        <v>8</v>
      </c>
      <c r="H7129" s="6" t="s">
        <v>14578</v>
      </c>
      <c r="I7129" s="6">
        <v>528.1875</v>
      </c>
      <c r="J7129" s="2">
        <f t="shared" si="111"/>
        <v>43747.997353043982</v>
      </c>
    </row>
    <row r="7130" spans="1:10" x14ac:dyDescent="0.25">
      <c r="A7130" s="7" t="s">
        <v>14579</v>
      </c>
      <c r="B7130" s="8">
        <v>400</v>
      </c>
      <c r="C7130" s="8">
        <v>20.478950000000001</v>
      </c>
      <c r="D7130" s="8">
        <v>83</v>
      </c>
      <c r="E7130" s="8">
        <v>0</v>
      </c>
      <c r="F7130" s="8">
        <v>0</v>
      </c>
      <c r="G7130" s="8">
        <v>7</v>
      </c>
      <c r="H7130" s="8" t="s">
        <v>14580</v>
      </c>
      <c r="I7130" s="8">
        <v>528.1875</v>
      </c>
      <c r="J7130" s="3">
        <f t="shared" si="111"/>
        <v>43747.997425277776</v>
      </c>
    </row>
    <row r="7131" spans="1:10" x14ac:dyDescent="0.25">
      <c r="A7131" s="5" t="s">
        <v>14581</v>
      </c>
      <c r="B7131" s="6">
        <v>415.625</v>
      </c>
      <c r="C7131" s="6">
        <v>20.478950000000001</v>
      </c>
      <c r="D7131" s="6">
        <v>82</v>
      </c>
      <c r="E7131" s="6">
        <v>0</v>
      </c>
      <c r="F7131" s="6">
        <v>0</v>
      </c>
      <c r="G7131" s="6">
        <v>10</v>
      </c>
      <c r="H7131" s="6" t="s">
        <v>14582</v>
      </c>
      <c r="I7131" s="6">
        <v>533.0625</v>
      </c>
      <c r="J7131" s="2">
        <f t="shared" si="111"/>
        <v>43747.997496527772</v>
      </c>
    </row>
    <row r="7132" spans="1:10" x14ac:dyDescent="0.25">
      <c r="A7132" s="7" t="s">
        <v>14583</v>
      </c>
      <c r="B7132" s="8">
        <v>396.875</v>
      </c>
      <c r="C7132" s="8">
        <v>20.478950000000001</v>
      </c>
      <c r="D7132" s="8">
        <v>79</v>
      </c>
      <c r="E7132" s="8">
        <v>0</v>
      </c>
      <c r="F7132" s="8">
        <v>0</v>
      </c>
      <c r="G7132" s="8">
        <v>14</v>
      </c>
      <c r="H7132" s="8" t="s">
        <v>14584</v>
      </c>
      <c r="I7132" s="8">
        <v>527.4375</v>
      </c>
      <c r="J7132" s="3">
        <f t="shared" si="111"/>
        <v>43747.997567754624</v>
      </c>
    </row>
    <row r="7133" spans="1:10" x14ac:dyDescent="0.25">
      <c r="A7133" s="5" t="s">
        <v>14585</v>
      </c>
      <c r="B7133" s="6">
        <v>396.875</v>
      </c>
      <c r="C7133" s="6">
        <v>20.478950000000001</v>
      </c>
      <c r="D7133" s="6">
        <v>79</v>
      </c>
      <c r="E7133" s="6">
        <v>0</v>
      </c>
      <c r="F7133" s="6">
        <v>0</v>
      </c>
      <c r="G7133" s="6">
        <v>8</v>
      </c>
      <c r="H7133" s="6" t="s">
        <v>14586</v>
      </c>
      <c r="I7133" s="6">
        <v>527.625</v>
      </c>
      <c r="J7133" s="2">
        <f t="shared" si="111"/>
        <v>43747.997639166664</v>
      </c>
    </row>
    <row r="7134" spans="1:10" x14ac:dyDescent="0.25">
      <c r="A7134" s="7" t="s">
        <v>14587</v>
      </c>
      <c r="B7134" s="8">
        <v>393.75</v>
      </c>
      <c r="C7134" s="8">
        <v>20.478950000000001</v>
      </c>
      <c r="D7134" s="8">
        <v>80</v>
      </c>
      <c r="E7134" s="8">
        <v>0</v>
      </c>
      <c r="F7134" s="8">
        <v>0</v>
      </c>
      <c r="G7134" s="8">
        <v>9</v>
      </c>
      <c r="H7134" s="8" t="s">
        <v>14588</v>
      </c>
      <c r="I7134" s="8">
        <v>526.6875</v>
      </c>
      <c r="J7134" s="3">
        <f t="shared" si="111"/>
        <v>43747.997711388882</v>
      </c>
    </row>
    <row r="7135" spans="1:10" x14ac:dyDescent="0.25">
      <c r="A7135" s="5" t="s">
        <v>14589</v>
      </c>
      <c r="B7135" s="6">
        <v>415.625</v>
      </c>
      <c r="C7135" s="6">
        <v>20.478950000000001</v>
      </c>
      <c r="D7135" s="6">
        <v>83</v>
      </c>
      <c r="E7135" s="6">
        <v>0</v>
      </c>
      <c r="F7135" s="6">
        <v>0</v>
      </c>
      <c r="G7135" s="6">
        <v>16</v>
      </c>
      <c r="H7135" s="6" t="s">
        <v>14590</v>
      </c>
      <c r="I7135" s="6">
        <v>533.625</v>
      </c>
      <c r="J7135" s="2">
        <f t="shared" si="111"/>
        <v>43747.997794710645</v>
      </c>
    </row>
    <row r="7136" spans="1:10" x14ac:dyDescent="0.25">
      <c r="A7136" s="7" t="s">
        <v>14591</v>
      </c>
      <c r="B7136" s="8">
        <v>393.75</v>
      </c>
      <c r="C7136" s="8">
        <v>20.478950000000001</v>
      </c>
      <c r="D7136" s="8">
        <v>84</v>
      </c>
      <c r="E7136" s="8">
        <v>0</v>
      </c>
      <c r="F7136" s="8">
        <v>0</v>
      </c>
      <c r="G7136" s="8">
        <v>6</v>
      </c>
      <c r="H7136" s="8" t="s">
        <v>14592</v>
      </c>
      <c r="I7136" s="8">
        <v>526.6875</v>
      </c>
      <c r="J7136" s="3">
        <f t="shared" si="111"/>
        <v>43747.997866006939</v>
      </c>
    </row>
    <row r="7137" spans="1:10" x14ac:dyDescent="0.25">
      <c r="A7137" s="5" t="s">
        <v>14593</v>
      </c>
      <c r="B7137" s="6">
        <v>393.75</v>
      </c>
      <c r="C7137" s="6">
        <v>20.478950000000001</v>
      </c>
      <c r="D7137" s="6">
        <v>83</v>
      </c>
      <c r="E7137" s="6">
        <v>0</v>
      </c>
      <c r="F7137" s="6">
        <v>0</v>
      </c>
      <c r="G7137" s="6">
        <v>8</v>
      </c>
      <c r="H7137" s="6" t="s">
        <v>14594</v>
      </c>
      <c r="I7137" s="6">
        <v>526.6875</v>
      </c>
      <c r="J7137" s="2">
        <f t="shared" si="111"/>
        <v>43747.997937349537</v>
      </c>
    </row>
    <row r="7138" spans="1:10" x14ac:dyDescent="0.25">
      <c r="A7138" s="7" t="s">
        <v>14595</v>
      </c>
      <c r="B7138" s="8">
        <v>396.875</v>
      </c>
      <c r="C7138" s="8">
        <v>20.478950000000001</v>
      </c>
      <c r="D7138" s="8">
        <v>82</v>
      </c>
      <c r="E7138" s="8">
        <v>0</v>
      </c>
      <c r="F7138" s="8">
        <v>0</v>
      </c>
      <c r="G7138" s="8">
        <v>0</v>
      </c>
      <c r="H7138" s="8" t="s">
        <v>14596</v>
      </c>
      <c r="I7138" s="8">
        <v>527.4375</v>
      </c>
      <c r="J7138" s="3">
        <f t="shared" si="111"/>
        <v>43747.998009641196</v>
      </c>
    </row>
    <row r="7139" spans="1:10" x14ac:dyDescent="0.25">
      <c r="A7139" s="5" t="s">
        <v>14597</v>
      </c>
      <c r="B7139" s="6">
        <v>396.875</v>
      </c>
      <c r="C7139" s="6">
        <v>20.478950000000001</v>
      </c>
      <c r="D7139" s="6">
        <v>83</v>
      </c>
      <c r="E7139" s="6">
        <v>0</v>
      </c>
      <c r="F7139" s="6">
        <v>0</v>
      </c>
      <c r="G7139" s="6">
        <v>15</v>
      </c>
      <c r="H7139" s="6" t="s">
        <v>14598</v>
      </c>
      <c r="I7139" s="6">
        <v>527.625</v>
      </c>
      <c r="J7139" s="2">
        <f t="shared" si="111"/>
        <v>43747.998080821759</v>
      </c>
    </row>
    <row r="7140" spans="1:10" x14ac:dyDescent="0.25">
      <c r="A7140" s="7" t="s">
        <v>14599</v>
      </c>
      <c r="B7140" s="8">
        <v>400</v>
      </c>
      <c r="C7140" s="8">
        <v>20.478950000000001</v>
      </c>
      <c r="D7140" s="8">
        <v>83</v>
      </c>
      <c r="E7140" s="8">
        <v>0</v>
      </c>
      <c r="F7140" s="8">
        <v>0</v>
      </c>
      <c r="G7140" s="8">
        <v>12</v>
      </c>
      <c r="H7140" s="8" t="s">
        <v>14600</v>
      </c>
      <c r="I7140" s="8">
        <v>528.1875</v>
      </c>
      <c r="J7140" s="3">
        <f t="shared" si="111"/>
        <v>43747.998163842589</v>
      </c>
    </row>
    <row r="7141" spans="1:10" x14ac:dyDescent="0.25">
      <c r="A7141" s="5" t="s">
        <v>14601</v>
      </c>
      <c r="B7141" s="6">
        <v>400</v>
      </c>
      <c r="C7141" s="6">
        <v>20.478950000000001</v>
      </c>
      <c r="D7141" s="6">
        <v>82</v>
      </c>
      <c r="E7141" s="6">
        <v>0</v>
      </c>
      <c r="F7141" s="6">
        <v>0</v>
      </c>
      <c r="G7141" s="6">
        <v>5</v>
      </c>
      <c r="H7141" s="6" t="s">
        <v>14602</v>
      </c>
      <c r="I7141" s="6">
        <v>528.1875</v>
      </c>
      <c r="J7141" s="2">
        <f t="shared" si="111"/>
        <v>43747.998235474537</v>
      </c>
    </row>
    <row r="7142" spans="1:10" x14ac:dyDescent="0.25">
      <c r="A7142" s="7" t="s">
        <v>14603</v>
      </c>
      <c r="B7142" s="8">
        <v>418.75</v>
      </c>
      <c r="C7142" s="8">
        <v>20.478950000000001</v>
      </c>
      <c r="D7142" s="8">
        <v>82</v>
      </c>
      <c r="E7142" s="8">
        <v>0</v>
      </c>
      <c r="F7142" s="8">
        <v>0</v>
      </c>
      <c r="G7142" s="8">
        <v>9</v>
      </c>
      <c r="H7142" s="8" t="s">
        <v>14604</v>
      </c>
      <c r="I7142" s="8">
        <v>534.5625</v>
      </c>
      <c r="J7142" s="3">
        <f t="shared" si="111"/>
        <v>43747.998318969905</v>
      </c>
    </row>
    <row r="7143" spans="1:10" x14ac:dyDescent="0.25">
      <c r="A7143" s="5" t="s">
        <v>14605</v>
      </c>
      <c r="B7143" s="6">
        <v>403.125</v>
      </c>
      <c r="C7143" s="6">
        <v>20.478950000000001</v>
      </c>
      <c r="D7143" s="6">
        <v>83</v>
      </c>
      <c r="E7143" s="6">
        <v>0</v>
      </c>
      <c r="F7143" s="6">
        <v>0</v>
      </c>
      <c r="G7143" s="6">
        <v>14</v>
      </c>
      <c r="H7143" s="6" t="s">
        <v>14606</v>
      </c>
      <c r="I7143" s="6">
        <v>529.125</v>
      </c>
      <c r="J7143" s="2">
        <f t="shared" si="111"/>
        <v>43747.998391041663</v>
      </c>
    </row>
    <row r="7144" spans="1:10" x14ac:dyDescent="0.25">
      <c r="A7144" s="7" t="s">
        <v>14607</v>
      </c>
      <c r="B7144" s="8">
        <v>403.125</v>
      </c>
      <c r="C7144" s="8">
        <v>20.478950000000001</v>
      </c>
      <c r="D7144" s="8">
        <v>83</v>
      </c>
      <c r="E7144" s="8">
        <v>0</v>
      </c>
      <c r="F7144" s="8">
        <v>0</v>
      </c>
      <c r="G7144" s="8">
        <v>7</v>
      </c>
      <c r="H7144" s="8" t="s">
        <v>14608</v>
      </c>
      <c r="I7144" s="8">
        <v>529.125</v>
      </c>
      <c r="J7144" s="3">
        <f t="shared" si="111"/>
        <v>43747.998462314812</v>
      </c>
    </row>
    <row r="7145" spans="1:10" x14ac:dyDescent="0.25">
      <c r="A7145" s="5" t="s">
        <v>14609</v>
      </c>
      <c r="B7145" s="6">
        <v>400</v>
      </c>
      <c r="C7145" s="6">
        <v>20.478950000000001</v>
      </c>
      <c r="D7145" s="6">
        <v>83</v>
      </c>
      <c r="E7145" s="6">
        <v>0</v>
      </c>
      <c r="F7145" s="6">
        <v>0</v>
      </c>
      <c r="G7145" s="6">
        <v>5</v>
      </c>
      <c r="H7145" s="6" t="s">
        <v>14610</v>
      </c>
      <c r="I7145" s="6">
        <v>528.9375</v>
      </c>
      <c r="J7145" s="2">
        <f t="shared" si="111"/>
        <v>43747.998533680555</v>
      </c>
    </row>
    <row r="7146" spans="1:10" x14ac:dyDescent="0.25">
      <c r="A7146" s="7" t="s">
        <v>14611</v>
      </c>
      <c r="B7146" s="8">
        <v>403.125</v>
      </c>
      <c r="C7146" s="8">
        <v>20.478950000000001</v>
      </c>
      <c r="D7146" s="8">
        <v>83</v>
      </c>
      <c r="E7146" s="8">
        <v>0</v>
      </c>
      <c r="F7146" s="8">
        <v>0</v>
      </c>
      <c r="G7146" s="8">
        <v>6</v>
      </c>
      <c r="H7146" s="8" t="s">
        <v>14612</v>
      </c>
      <c r="I7146" s="8">
        <v>529.125</v>
      </c>
      <c r="J7146" s="3">
        <f t="shared" si="111"/>
        <v>43747.99860760416</v>
      </c>
    </row>
    <row r="7147" spans="1:10" x14ac:dyDescent="0.25">
      <c r="A7147" s="5" t="s">
        <v>14613</v>
      </c>
      <c r="B7147" s="6">
        <v>403.125</v>
      </c>
      <c r="C7147" s="6">
        <v>20.478950000000001</v>
      </c>
      <c r="D7147" s="6">
        <v>82</v>
      </c>
      <c r="E7147" s="6">
        <v>0</v>
      </c>
      <c r="F7147" s="6">
        <v>0</v>
      </c>
      <c r="G7147" s="6">
        <v>13</v>
      </c>
      <c r="H7147" s="6" t="s">
        <v>14614</v>
      </c>
      <c r="I7147" s="6">
        <v>529.875</v>
      </c>
      <c r="J7147" s="2">
        <f t="shared" si="111"/>
        <v>43747.998689166663</v>
      </c>
    </row>
    <row r="7148" spans="1:10" x14ac:dyDescent="0.25">
      <c r="A7148" s="7" t="s">
        <v>14615</v>
      </c>
      <c r="B7148" s="8">
        <v>403.125</v>
      </c>
      <c r="C7148" s="8">
        <v>20.478950000000001</v>
      </c>
      <c r="D7148" s="8">
        <v>82</v>
      </c>
      <c r="E7148" s="8">
        <v>0</v>
      </c>
      <c r="F7148" s="8">
        <v>0</v>
      </c>
      <c r="G7148" s="8">
        <v>10</v>
      </c>
      <c r="H7148" s="8" t="s">
        <v>14616</v>
      </c>
      <c r="I7148" s="8">
        <v>529.875</v>
      </c>
      <c r="J7148" s="3">
        <f t="shared" si="111"/>
        <v>43747.998772615734</v>
      </c>
    </row>
    <row r="7149" spans="1:10" x14ac:dyDescent="0.25">
      <c r="A7149" s="5" t="s">
        <v>14617</v>
      </c>
      <c r="B7149" s="6">
        <v>403.125</v>
      </c>
      <c r="C7149" s="6">
        <v>20.478950000000001</v>
      </c>
      <c r="D7149" s="6">
        <v>82</v>
      </c>
      <c r="E7149" s="6">
        <v>0</v>
      </c>
      <c r="F7149" s="6">
        <v>0</v>
      </c>
      <c r="G7149" s="6">
        <v>1</v>
      </c>
      <c r="H7149" s="6" t="s">
        <v>14618</v>
      </c>
      <c r="I7149" s="6">
        <v>529.875</v>
      </c>
      <c r="J7149" s="2">
        <f t="shared" si="111"/>
        <v>43747.998843819441</v>
      </c>
    </row>
    <row r="7150" spans="1:10" x14ac:dyDescent="0.25">
      <c r="A7150" s="7" t="s">
        <v>14619</v>
      </c>
      <c r="B7150" s="8">
        <v>403.125</v>
      </c>
      <c r="C7150" s="8">
        <v>20.478950000000001</v>
      </c>
      <c r="D7150" s="8">
        <v>82</v>
      </c>
      <c r="E7150" s="8">
        <v>0</v>
      </c>
      <c r="F7150" s="8">
        <v>0</v>
      </c>
      <c r="G7150" s="8">
        <v>10</v>
      </c>
      <c r="H7150" s="8" t="s">
        <v>14620</v>
      </c>
      <c r="I7150" s="8">
        <v>529.875</v>
      </c>
      <c r="J7150" s="3">
        <f t="shared" si="111"/>
        <v>43747.998915115742</v>
      </c>
    </row>
    <row r="7151" spans="1:10" x14ac:dyDescent="0.25">
      <c r="A7151" s="5" t="s">
        <v>14621</v>
      </c>
      <c r="B7151" s="6">
        <v>403.125</v>
      </c>
      <c r="C7151" s="6">
        <v>20.478950000000001</v>
      </c>
      <c r="D7151" s="6">
        <v>82</v>
      </c>
      <c r="E7151" s="6">
        <v>0</v>
      </c>
      <c r="F7151" s="6">
        <v>0</v>
      </c>
      <c r="G7151" s="6">
        <v>11</v>
      </c>
      <c r="H7151" s="6" t="s">
        <v>14622</v>
      </c>
      <c r="I7151" s="6">
        <v>529.875</v>
      </c>
      <c r="J7151" s="2">
        <f t="shared" si="111"/>
        <v>43747.998987280087</v>
      </c>
    </row>
    <row r="7152" spans="1:10" x14ac:dyDescent="0.25">
      <c r="A7152" s="7" t="s">
        <v>14623</v>
      </c>
      <c r="B7152" s="8">
        <v>403.125</v>
      </c>
      <c r="C7152" s="8">
        <v>20.478950000000001</v>
      </c>
      <c r="D7152" s="8">
        <v>82</v>
      </c>
      <c r="E7152" s="8">
        <v>0</v>
      </c>
      <c r="F7152" s="8">
        <v>0</v>
      </c>
      <c r="G7152" s="8">
        <v>13</v>
      </c>
      <c r="H7152" s="8" t="s">
        <v>14624</v>
      </c>
      <c r="I7152" s="8">
        <v>529.875</v>
      </c>
      <c r="J7152" s="3">
        <f t="shared" si="111"/>
        <v>43747.999058784721</v>
      </c>
    </row>
    <row r="7153" spans="1:10" x14ac:dyDescent="0.25">
      <c r="A7153" s="5" t="s">
        <v>14625</v>
      </c>
      <c r="B7153" s="6">
        <v>406.25</v>
      </c>
      <c r="C7153" s="6">
        <v>20.478950000000001</v>
      </c>
      <c r="D7153" s="6">
        <v>82</v>
      </c>
      <c r="E7153" s="6">
        <v>0</v>
      </c>
      <c r="F7153" s="6">
        <v>0</v>
      </c>
      <c r="G7153" s="6">
        <v>7</v>
      </c>
      <c r="H7153" s="6" t="s">
        <v>14626</v>
      </c>
      <c r="I7153" s="6">
        <v>530.8125</v>
      </c>
      <c r="J7153" s="2">
        <f t="shared" si="111"/>
        <v>43747.99912990741</v>
      </c>
    </row>
    <row r="7154" spans="1:10" x14ac:dyDescent="0.25">
      <c r="A7154" s="7" t="s">
        <v>14627</v>
      </c>
      <c r="B7154" s="8">
        <v>403.125</v>
      </c>
      <c r="C7154" s="8">
        <v>20.478950000000001</v>
      </c>
      <c r="D7154" s="8">
        <v>82</v>
      </c>
      <c r="E7154" s="8">
        <v>0</v>
      </c>
      <c r="F7154" s="8">
        <v>0</v>
      </c>
      <c r="G7154" s="8">
        <v>11</v>
      </c>
      <c r="H7154" s="8" t="s">
        <v>14628</v>
      </c>
      <c r="I7154" s="8">
        <v>529.875</v>
      </c>
      <c r="J7154" s="3">
        <f t="shared" si="111"/>
        <v>43747.999201284721</v>
      </c>
    </row>
    <row r="7155" spans="1:10" x14ac:dyDescent="0.25">
      <c r="A7155" s="5" t="s">
        <v>14629</v>
      </c>
      <c r="B7155" s="6">
        <v>403.125</v>
      </c>
      <c r="C7155" s="6">
        <v>20.478950000000001</v>
      </c>
      <c r="D7155" s="6">
        <v>81</v>
      </c>
      <c r="E7155" s="6">
        <v>0</v>
      </c>
      <c r="F7155" s="6">
        <v>0</v>
      </c>
      <c r="G7155" s="6">
        <v>12</v>
      </c>
      <c r="H7155" s="6" t="s">
        <v>14630</v>
      </c>
      <c r="I7155" s="6">
        <v>529.875</v>
      </c>
      <c r="J7155" s="2">
        <f t="shared" si="111"/>
        <v>43747.99928546296</v>
      </c>
    </row>
    <row r="7156" spans="1:10" x14ac:dyDescent="0.25">
      <c r="A7156" s="7" t="s">
        <v>14631</v>
      </c>
      <c r="B7156" s="8">
        <v>403.125</v>
      </c>
      <c r="C7156" s="8">
        <v>20.478950000000001</v>
      </c>
      <c r="D7156" s="8">
        <v>81</v>
      </c>
      <c r="E7156" s="8">
        <v>0</v>
      </c>
      <c r="F7156" s="8">
        <v>0</v>
      </c>
      <c r="G7156" s="8">
        <v>3</v>
      </c>
      <c r="H7156" s="8" t="s">
        <v>14632</v>
      </c>
      <c r="I7156" s="8">
        <v>529.875</v>
      </c>
      <c r="J7156" s="3">
        <f t="shared" si="111"/>
        <v>43747.999381006943</v>
      </c>
    </row>
    <row r="7157" spans="1:10" x14ac:dyDescent="0.25">
      <c r="A7157" s="5" t="s">
        <v>14633</v>
      </c>
      <c r="B7157" s="6">
        <v>406.25</v>
      </c>
      <c r="C7157" s="6">
        <v>20.478950000000001</v>
      </c>
      <c r="D7157" s="6">
        <v>80</v>
      </c>
      <c r="E7157" s="6">
        <v>0</v>
      </c>
      <c r="F7157" s="6">
        <v>0</v>
      </c>
      <c r="G7157" s="6">
        <v>6</v>
      </c>
      <c r="H7157" s="6" t="s">
        <v>14634</v>
      </c>
      <c r="I7157" s="6">
        <v>530.8125</v>
      </c>
      <c r="J7157" s="2">
        <f t="shared" si="111"/>
        <v>43747.99945221065</v>
      </c>
    </row>
    <row r="7158" spans="1:10" x14ac:dyDescent="0.25">
      <c r="A7158" s="7" t="s">
        <v>14635</v>
      </c>
      <c r="B7158" s="8">
        <v>406.25</v>
      </c>
      <c r="C7158" s="8">
        <v>20.478950000000001</v>
      </c>
      <c r="D7158" s="8">
        <v>81</v>
      </c>
      <c r="E7158" s="8">
        <v>0</v>
      </c>
      <c r="F7158" s="8">
        <v>0</v>
      </c>
      <c r="G7158" s="8">
        <v>8</v>
      </c>
      <c r="H7158" s="8" t="s">
        <v>14636</v>
      </c>
      <c r="I7158" s="8">
        <v>530.625</v>
      </c>
      <c r="J7158" s="3">
        <f t="shared" si="111"/>
        <v>43747.999534895825</v>
      </c>
    </row>
    <row r="7159" spans="1:10" x14ac:dyDescent="0.25">
      <c r="A7159" s="5" t="s">
        <v>14637</v>
      </c>
      <c r="B7159" s="6">
        <v>406.25</v>
      </c>
      <c r="C7159" s="6">
        <v>20.478950000000001</v>
      </c>
      <c r="D7159" s="6">
        <v>84</v>
      </c>
      <c r="E7159" s="6">
        <v>0</v>
      </c>
      <c r="F7159" s="6">
        <v>0</v>
      </c>
      <c r="G7159" s="6">
        <v>15</v>
      </c>
      <c r="H7159" s="6" t="s">
        <v>14638</v>
      </c>
      <c r="I7159" s="6">
        <v>530.0625</v>
      </c>
      <c r="J7159" s="2">
        <f t="shared" si="111"/>
        <v>43747.999606759258</v>
      </c>
    </row>
    <row r="7160" spans="1:10" x14ac:dyDescent="0.25">
      <c r="A7160" s="7" t="s">
        <v>14639</v>
      </c>
      <c r="B7160" s="8">
        <v>403.125</v>
      </c>
      <c r="C7160" s="8">
        <v>20.478950000000001</v>
      </c>
      <c r="D7160" s="8">
        <v>84</v>
      </c>
      <c r="E7160" s="8">
        <v>0</v>
      </c>
      <c r="F7160" s="8">
        <v>0</v>
      </c>
      <c r="G7160" s="8">
        <v>13</v>
      </c>
      <c r="H7160" s="8" t="s">
        <v>14640</v>
      </c>
      <c r="I7160" s="8">
        <v>529.875</v>
      </c>
      <c r="J7160" s="3">
        <f t="shared" si="111"/>
        <v>43747.999679016204</v>
      </c>
    </row>
    <row r="7161" spans="1:10" x14ac:dyDescent="0.25">
      <c r="A7161" s="5" t="s">
        <v>14641</v>
      </c>
      <c r="B7161" s="6">
        <v>403.125</v>
      </c>
      <c r="C7161" s="6">
        <v>20.478950000000001</v>
      </c>
      <c r="D7161" s="6">
        <v>84</v>
      </c>
      <c r="E7161" s="6">
        <v>0</v>
      </c>
      <c r="F7161" s="6">
        <v>0</v>
      </c>
      <c r="G7161" s="6">
        <v>13</v>
      </c>
      <c r="H7161" s="6" t="s">
        <v>14642</v>
      </c>
      <c r="I7161" s="6">
        <v>529.875</v>
      </c>
      <c r="J7161" s="2">
        <f t="shared" si="111"/>
        <v>43747.99975041666</v>
      </c>
    </row>
    <row r="7162" spans="1:10" x14ac:dyDescent="0.25">
      <c r="A7162" s="7" t="s">
        <v>14643</v>
      </c>
      <c r="B7162" s="8">
        <v>421.875</v>
      </c>
      <c r="C7162" s="8">
        <v>20.478950000000001</v>
      </c>
      <c r="D7162" s="8">
        <v>82</v>
      </c>
      <c r="E7162" s="8">
        <v>0</v>
      </c>
      <c r="F7162" s="8">
        <v>0</v>
      </c>
      <c r="G7162" s="8">
        <v>4</v>
      </c>
      <c r="H7162" s="8" t="s">
        <v>14644</v>
      </c>
      <c r="I7162" s="8">
        <v>535.6875</v>
      </c>
      <c r="J7162" s="3">
        <f t="shared" si="111"/>
        <v>43747.999833622678</v>
      </c>
    </row>
    <row r="7163" spans="1:10" x14ac:dyDescent="0.25">
      <c r="A7163" s="5" t="s">
        <v>14645</v>
      </c>
      <c r="B7163" s="6">
        <v>403.125</v>
      </c>
      <c r="C7163" s="6">
        <v>20.478950000000001</v>
      </c>
      <c r="D7163" s="6">
        <v>83</v>
      </c>
      <c r="E7163" s="6">
        <v>0</v>
      </c>
      <c r="F7163" s="6">
        <v>0</v>
      </c>
      <c r="G7163" s="6">
        <v>16</v>
      </c>
      <c r="H7163" s="6" t="s">
        <v>14646</v>
      </c>
      <c r="I7163" s="6">
        <v>529.875</v>
      </c>
      <c r="J7163" s="2">
        <f t="shared" si="111"/>
        <v>43747.999904907403</v>
      </c>
    </row>
    <row r="7164" spans="1:10" x14ac:dyDescent="0.25">
      <c r="A7164" s="7" t="s">
        <v>14647</v>
      </c>
      <c r="B7164" s="8">
        <v>403.125</v>
      </c>
      <c r="C7164" s="8">
        <v>20.478950000000001</v>
      </c>
      <c r="D7164" s="8">
        <v>83</v>
      </c>
      <c r="E7164" s="8">
        <v>0</v>
      </c>
      <c r="F7164" s="8">
        <v>0</v>
      </c>
      <c r="G7164" s="8">
        <v>5</v>
      </c>
      <c r="H7164" s="8" t="s">
        <v>14648</v>
      </c>
      <c r="I7164" s="8">
        <v>529.875</v>
      </c>
      <c r="J7164" s="3">
        <f t="shared" si="111"/>
        <v>43747.9999770949</v>
      </c>
    </row>
    <row r="7165" spans="1:10" x14ac:dyDescent="0.25">
      <c r="A7165" s="5" t="s">
        <v>14649</v>
      </c>
      <c r="B7165" s="6">
        <v>403.125</v>
      </c>
      <c r="C7165" s="6">
        <v>20.478950000000001</v>
      </c>
      <c r="D7165" s="6">
        <v>84</v>
      </c>
      <c r="E7165" s="6">
        <v>0</v>
      </c>
      <c r="F7165" s="6">
        <v>0</v>
      </c>
      <c r="G7165" s="6">
        <v>17</v>
      </c>
      <c r="H7165" s="6" t="s">
        <v>14650</v>
      </c>
      <c r="I7165" s="6">
        <v>529.875</v>
      </c>
      <c r="J7165" s="2">
        <f t="shared" si="111"/>
        <v>43748.000048425922</v>
      </c>
    </row>
    <row r="7166" spans="1:10" x14ac:dyDescent="0.25">
      <c r="A7166" s="7" t="s">
        <v>14651</v>
      </c>
      <c r="B7166" s="8">
        <v>403.125</v>
      </c>
      <c r="C7166" s="8">
        <v>20.478950000000001</v>
      </c>
      <c r="D7166" s="8">
        <v>83</v>
      </c>
      <c r="E7166" s="8">
        <v>0</v>
      </c>
      <c r="F7166" s="8">
        <v>0</v>
      </c>
      <c r="G7166" s="8">
        <v>14</v>
      </c>
      <c r="H7166" s="8" t="s">
        <v>14652</v>
      </c>
      <c r="I7166" s="8">
        <v>529.125</v>
      </c>
      <c r="J7166" s="3">
        <f t="shared" si="111"/>
        <v>43748.000119733792</v>
      </c>
    </row>
    <row r="7167" spans="1:10" x14ac:dyDescent="0.25">
      <c r="A7167" s="5" t="s">
        <v>14653</v>
      </c>
      <c r="B7167" s="6">
        <v>403.125</v>
      </c>
      <c r="C7167" s="6">
        <v>20.478950000000001</v>
      </c>
      <c r="D7167" s="6">
        <v>83</v>
      </c>
      <c r="E7167" s="6">
        <v>0</v>
      </c>
      <c r="F7167" s="6">
        <v>0</v>
      </c>
      <c r="G7167" s="6">
        <v>12</v>
      </c>
      <c r="H7167" s="6" t="s">
        <v>14654</v>
      </c>
      <c r="I7167" s="6">
        <v>529.875</v>
      </c>
      <c r="J7167" s="2">
        <f t="shared" si="111"/>
        <v>43748.000191064813</v>
      </c>
    </row>
    <row r="7168" spans="1:10" x14ac:dyDescent="0.25">
      <c r="A7168" s="7" t="s">
        <v>14655</v>
      </c>
      <c r="B7168" s="8">
        <v>403.125</v>
      </c>
      <c r="C7168" s="8">
        <v>20.478950000000001</v>
      </c>
      <c r="D7168" s="8">
        <v>83</v>
      </c>
      <c r="E7168" s="8">
        <v>0</v>
      </c>
      <c r="F7168" s="8">
        <v>0</v>
      </c>
      <c r="G7168" s="8">
        <v>10</v>
      </c>
      <c r="H7168" s="8" t="s">
        <v>14656</v>
      </c>
      <c r="I7168" s="8">
        <v>529.875</v>
      </c>
      <c r="J7168" s="3">
        <f t="shared" si="111"/>
        <v>43748.000263240734</v>
      </c>
    </row>
    <row r="7169" spans="1:10" x14ac:dyDescent="0.25">
      <c r="A7169" s="5" t="s">
        <v>14657</v>
      </c>
      <c r="B7169" s="6">
        <v>403.125</v>
      </c>
      <c r="C7169" s="6">
        <v>20.478950000000001</v>
      </c>
      <c r="D7169" s="6">
        <v>84</v>
      </c>
      <c r="E7169" s="6">
        <v>0</v>
      </c>
      <c r="F7169" s="6">
        <v>0</v>
      </c>
      <c r="G7169" s="6">
        <v>25</v>
      </c>
      <c r="H7169" s="6" t="s">
        <v>14658</v>
      </c>
      <c r="I7169" s="6">
        <v>529.875</v>
      </c>
      <c r="J7169" s="2">
        <f t="shared" si="111"/>
        <v>43748.000334571756</v>
      </c>
    </row>
    <row r="7170" spans="1:10" x14ac:dyDescent="0.25">
      <c r="A7170" s="7" t="s">
        <v>14659</v>
      </c>
      <c r="B7170" s="8">
        <v>418.75</v>
      </c>
      <c r="C7170" s="8">
        <v>20.478950000000001</v>
      </c>
      <c r="D7170" s="8">
        <v>83</v>
      </c>
      <c r="E7170" s="8">
        <v>0</v>
      </c>
      <c r="F7170" s="8">
        <v>0</v>
      </c>
      <c r="G7170" s="8">
        <v>18</v>
      </c>
      <c r="H7170" s="8" t="s">
        <v>14660</v>
      </c>
      <c r="I7170" s="8">
        <v>534.75</v>
      </c>
      <c r="J7170" s="3">
        <f t="shared" ref="J7170:J7233" si="112">(H7170/86400000)+25569+(7/24)</f>
        <v>43748.000405833336</v>
      </c>
    </row>
    <row r="7171" spans="1:10" x14ac:dyDescent="0.25">
      <c r="A7171" s="5" t="s">
        <v>14661</v>
      </c>
      <c r="B7171" s="6">
        <v>403.125</v>
      </c>
      <c r="C7171" s="6">
        <v>20.478950000000001</v>
      </c>
      <c r="D7171" s="6">
        <v>84</v>
      </c>
      <c r="E7171" s="6">
        <v>0</v>
      </c>
      <c r="F7171" s="6">
        <v>0</v>
      </c>
      <c r="G7171" s="6">
        <v>9</v>
      </c>
      <c r="H7171" s="6" t="s">
        <v>14662</v>
      </c>
      <c r="I7171" s="6">
        <v>529.125</v>
      </c>
      <c r="J7171" s="2">
        <f t="shared" si="112"/>
        <v>43748.000477245369</v>
      </c>
    </row>
    <row r="7172" spans="1:10" x14ac:dyDescent="0.25">
      <c r="A7172" s="7" t="s">
        <v>14663</v>
      </c>
      <c r="B7172" s="8">
        <v>403.125</v>
      </c>
      <c r="C7172" s="8">
        <v>20.478950000000001</v>
      </c>
      <c r="D7172" s="8">
        <v>84</v>
      </c>
      <c r="E7172" s="8">
        <v>0</v>
      </c>
      <c r="F7172" s="8">
        <v>0</v>
      </c>
      <c r="G7172" s="8">
        <v>12</v>
      </c>
      <c r="H7172" s="8" t="s">
        <v>14664</v>
      </c>
      <c r="I7172" s="8">
        <v>529.125</v>
      </c>
      <c r="J7172" s="3">
        <f t="shared" si="112"/>
        <v>43748.000561458328</v>
      </c>
    </row>
    <row r="7173" spans="1:10" x14ac:dyDescent="0.25">
      <c r="A7173" s="5" t="s">
        <v>14665</v>
      </c>
      <c r="B7173" s="6">
        <v>403.125</v>
      </c>
      <c r="C7173" s="6">
        <v>20.478950000000001</v>
      </c>
      <c r="D7173" s="6">
        <v>84</v>
      </c>
      <c r="E7173" s="6">
        <v>0</v>
      </c>
      <c r="F7173" s="6">
        <v>0</v>
      </c>
      <c r="G7173" s="6">
        <v>3</v>
      </c>
      <c r="H7173" s="6" t="s">
        <v>14666</v>
      </c>
      <c r="I7173" s="6">
        <v>529.125</v>
      </c>
      <c r="J7173" s="2">
        <f t="shared" si="112"/>
        <v>43748.000645810178</v>
      </c>
    </row>
    <row r="7174" spans="1:10" x14ac:dyDescent="0.25">
      <c r="A7174" s="7" t="s">
        <v>14667</v>
      </c>
      <c r="B7174" s="8">
        <v>403.125</v>
      </c>
      <c r="C7174" s="8">
        <v>20.478950000000001</v>
      </c>
      <c r="D7174" s="8">
        <v>84</v>
      </c>
      <c r="E7174" s="8">
        <v>0</v>
      </c>
      <c r="F7174" s="8">
        <v>0</v>
      </c>
      <c r="G7174" s="8">
        <v>12</v>
      </c>
      <c r="H7174" s="8" t="s">
        <v>14668</v>
      </c>
      <c r="I7174" s="8">
        <v>529.125</v>
      </c>
      <c r="J7174" s="3">
        <f t="shared" si="112"/>
        <v>43748.000716006944</v>
      </c>
    </row>
    <row r="7175" spans="1:10" x14ac:dyDescent="0.25">
      <c r="A7175" s="5" t="s">
        <v>14669</v>
      </c>
      <c r="B7175" s="6">
        <v>400</v>
      </c>
      <c r="C7175" s="6">
        <v>20.478950000000001</v>
      </c>
      <c r="D7175" s="6">
        <v>84</v>
      </c>
      <c r="E7175" s="6">
        <v>0</v>
      </c>
      <c r="F7175" s="6">
        <v>0</v>
      </c>
      <c r="G7175" s="6">
        <v>8</v>
      </c>
      <c r="H7175" s="6" t="s">
        <v>14670</v>
      </c>
      <c r="I7175" s="6">
        <v>528.9375</v>
      </c>
      <c r="J7175" s="2">
        <f t="shared" si="112"/>
        <v>43748.000787245364</v>
      </c>
    </row>
    <row r="7176" spans="1:10" x14ac:dyDescent="0.25">
      <c r="A7176" s="7" t="s">
        <v>14671</v>
      </c>
      <c r="B7176" s="8">
        <v>403.125</v>
      </c>
      <c r="C7176" s="8">
        <v>20.478950000000001</v>
      </c>
      <c r="D7176" s="8">
        <v>84</v>
      </c>
      <c r="E7176" s="8">
        <v>0</v>
      </c>
      <c r="F7176" s="8">
        <v>0</v>
      </c>
      <c r="G7176" s="8">
        <v>17</v>
      </c>
      <c r="H7176" s="8" t="s">
        <v>14672</v>
      </c>
      <c r="I7176" s="8">
        <v>529.125</v>
      </c>
      <c r="J7176" s="3">
        <f t="shared" si="112"/>
        <v>43748.00085931713</v>
      </c>
    </row>
    <row r="7177" spans="1:10" x14ac:dyDescent="0.25">
      <c r="A7177" s="5" t="s">
        <v>14673</v>
      </c>
      <c r="B7177" s="6">
        <v>418.75</v>
      </c>
      <c r="C7177" s="6">
        <v>20.478950000000001</v>
      </c>
      <c r="D7177" s="6">
        <v>85</v>
      </c>
      <c r="E7177" s="6">
        <v>0</v>
      </c>
      <c r="F7177" s="6">
        <v>0</v>
      </c>
      <c r="G7177" s="6">
        <v>15</v>
      </c>
      <c r="H7177" s="6" t="s">
        <v>14674</v>
      </c>
      <c r="I7177" s="6">
        <v>534.75</v>
      </c>
      <c r="J7177" s="2">
        <f t="shared" si="112"/>
        <v>43748.000930856484</v>
      </c>
    </row>
    <row r="7178" spans="1:10" x14ac:dyDescent="0.25">
      <c r="A7178" s="7" t="s">
        <v>14675</v>
      </c>
      <c r="B7178" s="8">
        <v>403.125</v>
      </c>
      <c r="C7178" s="8">
        <v>20.478950000000001</v>
      </c>
      <c r="D7178" s="8">
        <v>85</v>
      </c>
      <c r="E7178" s="8">
        <v>0</v>
      </c>
      <c r="F7178" s="8">
        <v>0</v>
      </c>
      <c r="G7178" s="8">
        <v>8</v>
      </c>
      <c r="H7178" s="8" t="s">
        <v>14676</v>
      </c>
      <c r="I7178" s="8">
        <v>529.125</v>
      </c>
      <c r="J7178" s="3">
        <f t="shared" si="112"/>
        <v>43748.001002303237</v>
      </c>
    </row>
    <row r="7179" spans="1:10" x14ac:dyDescent="0.25">
      <c r="A7179" s="5" t="s">
        <v>14677</v>
      </c>
      <c r="B7179" s="6">
        <v>400</v>
      </c>
      <c r="C7179" s="6">
        <v>20.478950000000001</v>
      </c>
      <c r="D7179" s="6">
        <v>82</v>
      </c>
      <c r="E7179" s="6">
        <v>0</v>
      </c>
      <c r="F7179" s="6">
        <v>0</v>
      </c>
      <c r="G7179" s="6">
        <v>15</v>
      </c>
      <c r="H7179" s="6" t="s">
        <v>14678</v>
      </c>
      <c r="I7179" s="6">
        <v>528.9375</v>
      </c>
      <c r="J7179" s="2">
        <f t="shared" si="112"/>
        <v>43748.001073495368</v>
      </c>
    </row>
    <row r="7180" spans="1:10" x14ac:dyDescent="0.25">
      <c r="A7180" s="7" t="s">
        <v>14679</v>
      </c>
      <c r="B7180" s="8">
        <v>403.125</v>
      </c>
      <c r="C7180" s="8">
        <v>20.478950000000001</v>
      </c>
      <c r="D7180" s="8">
        <v>84</v>
      </c>
      <c r="E7180" s="8">
        <v>0</v>
      </c>
      <c r="F7180" s="8">
        <v>0</v>
      </c>
      <c r="G7180" s="8">
        <v>12</v>
      </c>
      <c r="H7180" s="8" t="s">
        <v>14680</v>
      </c>
      <c r="I7180" s="8">
        <v>529.125</v>
      </c>
      <c r="J7180" s="3">
        <f t="shared" si="112"/>
        <v>43748.001157025465</v>
      </c>
    </row>
    <row r="7181" spans="1:10" x14ac:dyDescent="0.25">
      <c r="A7181" s="5" t="s">
        <v>14681</v>
      </c>
      <c r="B7181" s="6">
        <v>403.125</v>
      </c>
      <c r="C7181" s="6">
        <v>20.478950000000001</v>
      </c>
      <c r="D7181" s="6">
        <v>84</v>
      </c>
      <c r="E7181" s="6">
        <v>0</v>
      </c>
      <c r="F7181" s="6">
        <v>0</v>
      </c>
      <c r="G7181" s="6">
        <v>10</v>
      </c>
      <c r="H7181" s="6" t="s">
        <v>14682</v>
      </c>
      <c r="I7181" s="6">
        <v>529.125</v>
      </c>
      <c r="J7181" s="2">
        <f t="shared" si="112"/>
        <v>43748.001228912035</v>
      </c>
    </row>
    <row r="7182" spans="1:10" x14ac:dyDescent="0.25">
      <c r="A7182" s="7" t="s">
        <v>14683</v>
      </c>
      <c r="B7182" s="8">
        <v>403.125</v>
      </c>
      <c r="C7182" s="8">
        <v>20.478950000000001</v>
      </c>
      <c r="D7182" s="8">
        <v>85</v>
      </c>
      <c r="E7182" s="8">
        <v>0</v>
      </c>
      <c r="F7182" s="8">
        <v>0</v>
      </c>
      <c r="G7182" s="8">
        <v>8</v>
      </c>
      <c r="H7182" s="8" t="s">
        <v>14684</v>
      </c>
      <c r="I7182" s="8">
        <v>529.875</v>
      </c>
      <c r="J7182" s="3">
        <f t="shared" si="112"/>
        <v>43748.001300289347</v>
      </c>
    </row>
    <row r="7183" spans="1:10" x14ac:dyDescent="0.25">
      <c r="A7183" s="5" t="s">
        <v>14685</v>
      </c>
      <c r="B7183" s="6">
        <v>406.25</v>
      </c>
      <c r="C7183" s="6">
        <v>20.478950000000001</v>
      </c>
      <c r="D7183" s="6">
        <v>84</v>
      </c>
      <c r="E7183" s="6">
        <v>0</v>
      </c>
      <c r="F7183" s="6">
        <v>0</v>
      </c>
      <c r="G7183" s="6">
        <v>14</v>
      </c>
      <c r="H7183" s="6" t="s">
        <v>14686</v>
      </c>
      <c r="I7183" s="6">
        <v>530.8125</v>
      </c>
      <c r="J7183" s="2">
        <f t="shared" si="112"/>
        <v>43748.001371562503</v>
      </c>
    </row>
    <row r="7184" spans="1:10" x14ac:dyDescent="0.25">
      <c r="A7184" s="7" t="s">
        <v>14687</v>
      </c>
      <c r="B7184" s="8">
        <v>406.25</v>
      </c>
      <c r="C7184" s="8">
        <v>20.478950000000001</v>
      </c>
      <c r="D7184" s="8">
        <v>84</v>
      </c>
      <c r="E7184" s="8">
        <v>0</v>
      </c>
      <c r="F7184" s="8">
        <v>0</v>
      </c>
      <c r="G7184" s="8">
        <v>9</v>
      </c>
      <c r="H7184" s="8" t="s">
        <v>14688</v>
      </c>
      <c r="I7184" s="8">
        <v>530.625</v>
      </c>
      <c r="J7184" s="3">
        <f t="shared" si="112"/>
        <v>43748.00144378472</v>
      </c>
    </row>
    <row r="7185" spans="1:10" x14ac:dyDescent="0.25">
      <c r="A7185" s="5" t="s">
        <v>14689</v>
      </c>
      <c r="B7185" s="6">
        <v>409.375</v>
      </c>
      <c r="C7185" s="6">
        <v>20.478950000000001</v>
      </c>
      <c r="D7185" s="6">
        <v>85</v>
      </c>
      <c r="E7185" s="6">
        <v>0</v>
      </c>
      <c r="F7185" s="6">
        <v>0</v>
      </c>
      <c r="G7185" s="6">
        <v>5</v>
      </c>
      <c r="H7185" s="6" t="s">
        <v>14690</v>
      </c>
      <c r="I7185" s="6">
        <v>531.5625</v>
      </c>
      <c r="J7185" s="2">
        <f t="shared" si="112"/>
        <v>43748.00151509259</v>
      </c>
    </row>
    <row r="7186" spans="1:10" x14ac:dyDescent="0.25">
      <c r="A7186" s="7" t="s">
        <v>14691</v>
      </c>
      <c r="B7186" s="8">
        <v>406.25</v>
      </c>
      <c r="C7186" s="8">
        <v>20.478950000000001</v>
      </c>
      <c r="D7186" s="8">
        <v>84</v>
      </c>
      <c r="E7186" s="8">
        <v>0</v>
      </c>
      <c r="F7186" s="8">
        <v>0</v>
      </c>
      <c r="G7186" s="8">
        <v>8</v>
      </c>
      <c r="H7186" s="8" t="s">
        <v>14692</v>
      </c>
      <c r="I7186" s="8">
        <v>530.625</v>
      </c>
      <c r="J7186" s="3">
        <f t="shared" si="112"/>
        <v>43748.001598425923</v>
      </c>
    </row>
    <row r="7187" spans="1:10" x14ac:dyDescent="0.25">
      <c r="A7187" s="5" t="s">
        <v>14693</v>
      </c>
      <c r="B7187" s="6">
        <v>406.25</v>
      </c>
      <c r="C7187" s="6">
        <v>20.478950000000001</v>
      </c>
      <c r="D7187" s="6">
        <v>83</v>
      </c>
      <c r="E7187" s="6">
        <v>0</v>
      </c>
      <c r="F7187" s="6">
        <v>0</v>
      </c>
      <c r="G7187" s="6">
        <v>14</v>
      </c>
      <c r="H7187" s="6" t="s">
        <v>14694</v>
      </c>
      <c r="I7187" s="6">
        <v>530.625</v>
      </c>
      <c r="J7187" s="2">
        <f t="shared" si="112"/>
        <v>43748.001669733792</v>
      </c>
    </row>
    <row r="7188" spans="1:10" x14ac:dyDescent="0.25">
      <c r="A7188" s="7" t="s">
        <v>14695</v>
      </c>
      <c r="B7188" s="8">
        <v>421.875</v>
      </c>
      <c r="C7188" s="8">
        <v>20.478950000000001</v>
      </c>
      <c r="D7188" s="8">
        <v>83</v>
      </c>
      <c r="E7188" s="8">
        <v>0</v>
      </c>
      <c r="F7188" s="8">
        <v>0</v>
      </c>
      <c r="G7188" s="8">
        <v>14</v>
      </c>
      <c r="H7188" s="8" t="s">
        <v>14696</v>
      </c>
      <c r="I7188" s="8">
        <v>535.875</v>
      </c>
      <c r="J7188" s="3">
        <f t="shared" si="112"/>
        <v>43748.001741956017</v>
      </c>
    </row>
    <row r="7189" spans="1:10" x14ac:dyDescent="0.25">
      <c r="A7189" s="5" t="s">
        <v>14697</v>
      </c>
      <c r="B7189" s="6">
        <v>403.125</v>
      </c>
      <c r="C7189" s="6">
        <v>20.478950000000001</v>
      </c>
      <c r="D7189" s="6">
        <v>84</v>
      </c>
      <c r="E7189" s="6">
        <v>0</v>
      </c>
      <c r="F7189" s="6">
        <v>0</v>
      </c>
      <c r="G7189" s="6">
        <v>10</v>
      </c>
      <c r="H7189" s="6" t="s">
        <v>14698</v>
      </c>
      <c r="I7189" s="6">
        <v>529.125</v>
      </c>
      <c r="J7189" s="2">
        <f t="shared" si="112"/>
        <v>43748.00181336805</v>
      </c>
    </row>
    <row r="7190" spans="1:10" x14ac:dyDescent="0.25">
      <c r="A7190" s="7" t="s">
        <v>14699</v>
      </c>
      <c r="B7190" s="8">
        <v>403.125</v>
      </c>
      <c r="C7190" s="8">
        <v>20.478950000000001</v>
      </c>
      <c r="D7190" s="8">
        <v>84</v>
      </c>
      <c r="E7190" s="8">
        <v>0</v>
      </c>
      <c r="F7190" s="8">
        <v>0</v>
      </c>
      <c r="G7190" s="8">
        <v>5</v>
      </c>
      <c r="H7190" s="8" t="s">
        <v>14700</v>
      </c>
      <c r="I7190" s="8">
        <v>529.125</v>
      </c>
      <c r="J7190" s="3">
        <f t="shared" si="112"/>
        <v>43748.001896620372</v>
      </c>
    </row>
    <row r="7191" spans="1:10" x14ac:dyDescent="0.25">
      <c r="A7191" s="5" t="s">
        <v>14701</v>
      </c>
      <c r="B7191" s="6">
        <v>403.125</v>
      </c>
      <c r="C7191" s="6">
        <v>20.478950000000001</v>
      </c>
      <c r="D7191" s="6">
        <v>84</v>
      </c>
      <c r="E7191" s="6">
        <v>0</v>
      </c>
      <c r="F7191" s="6">
        <v>0</v>
      </c>
      <c r="G7191" s="6">
        <v>6</v>
      </c>
      <c r="H7191" s="6" t="s">
        <v>14702</v>
      </c>
      <c r="I7191" s="6">
        <v>529.125</v>
      </c>
      <c r="J7191" s="2">
        <f t="shared" si="112"/>
        <v>43748.001967858792</v>
      </c>
    </row>
    <row r="7192" spans="1:10" x14ac:dyDescent="0.25">
      <c r="A7192" s="7" t="s">
        <v>14703</v>
      </c>
      <c r="B7192" s="8">
        <v>400</v>
      </c>
      <c r="C7192" s="8">
        <v>20.478950000000001</v>
      </c>
      <c r="D7192" s="8">
        <v>84</v>
      </c>
      <c r="E7192" s="8">
        <v>0</v>
      </c>
      <c r="F7192" s="8">
        <v>0</v>
      </c>
      <c r="G7192" s="8">
        <v>13</v>
      </c>
      <c r="H7192" s="8" t="s">
        <v>14704</v>
      </c>
      <c r="I7192" s="8">
        <v>528.1875</v>
      </c>
      <c r="J7192" s="3">
        <f t="shared" si="112"/>
        <v>43748.002063252316</v>
      </c>
    </row>
    <row r="7193" spans="1:10" x14ac:dyDescent="0.25">
      <c r="A7193" s="5" t="s">
        <v>14705</v>
      </c>
      <c r="B7193" s="6">
        <v>400</v>
      </c>
      <c r="C7193" s="6">
        <v>20.478950000000001</v>
      </c>
      <c r="D7193" s="6">
        <v>84</v>
      </c>
      <c r="E7193" s="6">
        <v>0</v>
      </c>
      <c r="F7193" s="6">
        <v>0</v>
      </c>
      <c r="G7193" s="6">
        <v>10</v>
      </c>
      <c r="H7193" s="6" t="s">
        <v>14706</v>
      </c>
      <c r="I7193" s="6">
        <v>528.9375</v>
      </c>
      <c r="J7193" s="2">
        <f t="shared" si="112"/>
        <v>43748.002135451381</v>
      </c>
    </row>
    <row r="7194" spans="1:10" x14ac:dyDescent="0.25">
      <c r="A7194" s="7" t="s">
        <v>14707</v>
      </c>
      <c r="B7194" s="8">
        <v>418.75</v>
      </c>
      <c r="C7194" s="8">
        <v>20.478950000000001</v>
      </c>
      <c r="D7194" s="8">
        <v>85</v>
      </c>
      <c r="E7194" s="8">
        <v>0</v>
      </c>
      <c r="F7194" s="8">
        <v>0</v>
      </c>
      <c r="G7194" s="8">
        <v>15</v>
      </c>
      <c r="H7194" s="8" t="s">
        <v>14708</v>
      </c>
      <c r="I7194" s="8">
        <v>534.9375</v>
      </c>
      <c r="J7194" s="3">
        <f t="shared" si="112"/>
        <v>43748.002206759258</v>
      </c>
    </row>
    <row r="7195" spans="1:10" x14ac:dyDescent="0.25">
      <c r="A7195" s="5" t="s">
        <v>14709</v>
      </c>
      <c r="B7195" s="6">
        <v>403.125</v>
      </c>
      <c r="C7195" s="6">
        <v>20.478950000000001</v>
      </c>
      <c r="D7195" s="6">
        <v>86</v>
      </c>
      <c r="E7195" s="6">
        <v>0</v>
      </c>
      <c r="F7195" s="6">
        <v>0</v>
      </c>
      <c r="G7195" s="6">
        <v>4</v>
      </c>
      <c r="H7195" s="6" t="s">
        <v>14710</v>
      </c>
      <c r="I7195" s="6">
        <v>529.125</v>
      </c>
      <c r="J7195" s="2">
        <f t="shared" si="112"/>
        <v>43748.002290115743</v>
      </c>
    </row>
    <row r="7196" spans="1:10" x14ac:dyDescent="0.25">
      <c r="A7196" s="7" t="s">
        <v>14711</v>
      </c>
      <c r="B7196" s="8">
        <v>403.125</v>
      </c>
      <c r="C7196" s="8">
        <v>20.478950000000001</v>
      </c>
      <c r="D7196" s="8">
        <v>85</v>
      </c>
      <c r="E7196" s="8">
        <v>0</v>
      </c>
      <c r="F7196" s="8">
        <v>0</v>
      </c>
      <c r="G7196" s="8">
        <v>14</v>
      </c>
      <c r="H7196" s="8" t="s">
        <v>14712</v>
      </c>
      <c r="I7196" s="8">
        <v>529.125</v>
      </c>
      <c r="J7196" s="3">
        <f t="shared" si="112"/>
        <v>43748.002373449075</v>
      </c>
    </row>
    <row r="7197" spans="1:10" x14ac:dyDescent="0.25">
      <c r="A7197" s="5" t="s">
        <v>14713</v>
      </c>
      <c r="B7197" s="6">
        <v>403.125</v>
      </c>
      <c r="C7197" s="6">
        <v>20.478950000000001</v>
      </c>
      <c r="D7197" s="6">
        <v>85</v>
      </c>
      <c r="E7197" s="6">
        <v>0</v>
      </c>
      <c r="F7197" s="6">
        <v>0</v>
      </c>
      <c r="G7197" s="6">
        <v>8</v>
      </c>
      <c r="H7197" s="6" t="s">
        <v>14714</v>
      </c>
      <c r="I7197" s="6">
        <v>529.125</v>
      </c>
      <c r="J7197" s="2">
        <f t="shared" si="112"/>
        <v>43748.002444849531</v>
      </c>
    </row>
    <row r="7198" spans="1:10" x14ac:dyDescent="0.25">
      <c r="A7198" s="7" t="s">
        <v>14715</v>
      </c>
      <c r="B7198" s="8">
        <v>403.125</v>
      </c>
      <c r="C7198" s="8">
        <v>20.478950000000001</v>
      </c>
      <c r="D7198" s="8">
        <v>85</v>
      </c>
      <c r="E7198" s="8">
        <v>0</v>
      </c>
      <c r="F7198" s="8">
        <v>0</v>
      </c>
      <c r="G7198" s="8">
        <v>10</v>
      </c>
      <c r="H7198" s="8" t="s">
        <v>14716</v>
      </c>
      <c r="I7198" s="8">
        <v>529.125</v>
      </c>
      <c r="J7198" s="3">
        <f t="shared" si="112"/>
        <v>43748.002516909721</v>
      </c>
    </row>
    <row r="7199" spans="1:10" x14ac:dyDescent="0.25">
      <c r="A7199" s="5" t="s">
        <v>14717</v>
      </c>
      <c r="B7199" s="6">
        <v>403.125</v>
      </c>
      <c r="C7199" s="6">
        <v>20.478950000000001</v>
      </c>
      <c r="D7199" s="6">
        <v>84</v>
      </c>
      <c r="E7199" s="6">
        <v>0</v>
      </c>
      <c r="F7199" s="6">
        <v>0</v>
      </c>
      <c r="G7199" s="6">
        <v>2</v>
      </c>
      <c r="H7199" s="6" t="s">
        <v>14718</v>
      </c>
      <c r="I7199" s="6">
        <v>529.125</v>
      </c>
      <c r="J7199" s="2">
        <f t="shared" si="112"/>
        <v>43748.00260028935</v>
      </c>
    </row>
    <row r="7200" spans="1:10" x14ac:dyDescent="0.25">
      <c r="A7200" s="7" t="s">
        <v>14719</v>
      </c>
      <c r="B7200" s="8">
        <v>421.875</v>
      </c>
      <c r="C7200" s="8">
        <v>20.478950000000001</v>
      </c>
      <c r="D7200" s="8">
        <v>84</v>
      </c>
      <c r="E7200" s="8">
        <v>0</v>
      </c>
      <c r="F7200" s="8">
        <v>0</v>
      </c>
      <c r="G7200" s="8">
        <v>10</v>
      </c>
      <c r="H7200" s="8" t="s">
        <v>14720</v>
      </c>
      <c r="I7200" s="8">
        <v>535.125</v>
      </c>
      <c r="J7200" s="3">
        <f t="shared" si="112"/>
        <v>43748.00267159722</v>
      </c>
    </row>
    <row r="7201" spans="1:10" x14ac:dyDescent="0.25">
      <c r="A7201" s="5" t="s">
        <v>14721</v>
      </c>
      <c r="B7201" s="6">
        <v>400</v>
      </c>
      <c r="C7201" s="6">
        <v>20.478950000000001</v>
      </c>
      <c r="D7201" s="6">
        <v>84</v>
      </c>
      <c r="E7201" s="6">
        <v>0</v>
      </c>
      <c r="F7201" s="6">
        <v>0</v>
      </c>
      <c r="G7201" s="6">
        <v>9</v>
      </c>
      <c r="H7201" s="6" t="s">
        <v>14722</v>
      </c>
      <c r="I7201" s="6">
        <v>528.9375</v>
      </c>
      <c r="J7201" s="2">
        <f t="shared" si="112"/>
        <v>43748.002743564815</v>
      </c>
    </row>
    <row r="7202" spans="1:10" x14ac:dyDescent="0.25">
      <c r="A7202" s="7" t="s">
        <v>14723</v>
      </c>
      <c r="B7202" s="8">
        <v>403.125</v>
      </c>
      <c r="C7202" s="8">
        <v>20.478950000000001</v>
      </c>
      <c r="D7202" s="8">
        <v>84</v>
      </c>
      <c r="E7202" s="8">
        <v>0</v>
      </c>
      <c r="F7202" s="8">
        <v>0</v>
      </c>
      <c r="G7202" s="8">
        <v>12</v>
      </c>
      <c r="H7202" s="8" t="s">
        <v>14724</v>
      </c>
      <c r="I7202" s="8">
        <v>529.125</v>
      </c>
      <c r="J7202" s="3">
        <f t="shared" si="112"/>
        <v>43748.002821516202</v>
      </c>
    </row>
    <row r="7203" spans="1:10" x14ac:dyDescent="0.25">
      <c r="A7203" s="5" t="s">
        <v>14725</v>
      </c>
      <c r="B7203" s="6">
        <v>400</v>
      </c>
      <c r="C7203" s="6">
        <v>20.478950000000001</v>
      </c>
      <c r="D7203" s="6">
        <v>83</v>
      </c>
      <c r="E7203" s="6">
        <v>0</v>
      </c>
      <c r="F7203" s="6">
        <v>0</v>
      </c>
      <c r="G7203" s="6">
        <v>8</v>
      </c>
      <c r="H7203" s="6" t="s">
        <v>14726</v>
      </c>
      <c r="I7203" s="6">
        <v>528.9375</v>
      </c>
      <c r="J7203" s="2">
        <f t="shared" si="112"/>
        <v>43748.002897893515</v>
      </c>
    </row>
    <row r="7204" spans="1:10" x14ac:dyDescent="0.25">
      <c r="A7204" s="7" t="s">
        <v>14727</v>
      </c>
      <c r="B7204" s="8">
        <v>403.125</v>
      </c>
      <c r="C7204" s="8">
        <v>20.478950000000001</v>
      </c>
      <c r="D7204" s="8">
        <v>83</v>
      </c>
      <c r="E7204" s="8">
        <v>0</v>
      </c>
      <c r="F7204" s="8">
        <v>0</v>
      </c>
      <c r="G7204" s="8">
        <v>19</v>
      </c>
      <c r="H7204" s="8" t="s">
        <v>14728</v>
      </c>
      <c r="I7204" s="8">
        <v>529.125</v>
      </c>
      <c r="J7204" s="3">
        <f t="shared" si="112"/>
        <v>43748.002969710644</v>
      </c>
    </row>
    <row r="7205" spans="1:10" x14ac:dyDescent="0.25">
      <c r="A7205" s="5" t="s">
        <v>14729</v>
      </c>
      <c r="B7205" s="6">
        <v>400</v>
      </c>
      <c r="C7205" s="6">
        <v>20.478950000000001</v>
      </c>
      <c r="D7205" s="6">
        <v>83</v>
      </c>
      <c r="E7205" s="6">
        <v>0</v>
      </c>
      <c r="F7205" s="6">
        <v>0</v>
      </c>
      <c r="G7205" s="6">
        <v>13</v>
      </c>
      <c r="H7205" s="6" t="s">
        <v>14730</v>
      </c>
      <c r="I7205" s="6">
        <v>528.9375</v>
      </c>
      <c r="J7205" s="2">
        <f t="shared" si="112"/>
        <v>43748.003041064811</v>
      </c>
    </row>
    <row r="7206" spans="1:10" x14ac:dyDescent="0.25">
      <c r="A7206" s="7" t="s">
        <v>14731</v>
      </c>
      <c r="B7206" s="8">
        <v>400</v>
      </c>
      <c r="C7206" s="8">
        <v>20.478950000000001</v>
      </c>
      <c r="D7206" s="8">
        <v>83</v>
      </c>
      <c r="E7206" s="8">
        <v>0</v>
      </c>
      <c r="F7206" s="8">
        <v>0</v>
      </c>
      <c r="G7206" s="8">
        <v>9</v>
      </c>
      <c r="H7206" s="8" t="s">
        <v>14732</v>
      </c>
      <c r="I7206" s="8">
        <v>528.9375</v>
      </c>
      <c r="J7206" s="3">
        <f t="shared" si="112"/>
        <v>43748.00312538194</v>
      </c>
    </row>
    <row r="7207" spans="1:10" x14ac:dyDescent="0.25">
      <c r="A7207" s="5" t="s">
        <v>14733</v>
      </c>
      <c r="B7207" s="6">
        <v>403.125</v>
      </c>
      <c r="C7207" s="6">
        <v>20.478950000000001</v>
      </c>
      <c r="D7207" s="6">
        <v>83</v>
      </c>
      <c r="E7207" s="6">
        <v>0</v>
      </c>
      <c r="F7207" s="6">
        <v>0</v>
      </c>
      <c r="G7207" s="6">
        <v>17</v>
      </c>
      <c r="H7207" s="6" t="s">
        <v>14734</v>
      </c>
      <c r="I7207" s="6">
        <v>529.875</v>
      </c>
      <c r="J7207" s="2">
        <f t="shared" si="112"/>
        <v>43748.003220671293</v>
      </c>
    </row>
    <row r="7208" spans="1:10" x14ac:dyDescent="0.25">
      <c r="A7208" s="7" t="s">
        <v>14735</v>
      </c>
      <c r="B7208" s="8">
        <v>403.125</v>
      </c>
      <c r="C7208" s="8">
        <v>20.478950000000001</v>
      </c>
      <c r="D7208" s="8">
        <v>82</v>
      </c>
      <c r="E7208" s="8">
        <v>0</v>
      </c>
      <c r="F7208" s="8">
        <v>0</v>
      </c>
      <c r="G7208" s="8">
        <v>23</v>
      </c>
      <c r="H7208" s="8" t="s">
        <v>14736</v>
      </c>
      <c r="I7208" s="8">
        <v>529.875</v>
      </c>
      <c r="J7208" s="3">
        <f t="shared" si="112"/>
        <v>43748.003291944442</v>
      </c>
    </row>
    <row r="7209" spans="1:10" x14ac:dyDescent="0.25">
      <c r="A7209" s="5" t="s">
        <v>14737</v>
      </c>
      <c r="B7209" s="6">
        <v>403.125</v>
      </c>
      <c r="C7209" s="6">
        <v>20.478950000000001</v>
      </c>
      <c r="D7209" s="6">
        <v>82</v>
      </c>
      <c r="E7209" s="6">
        <v>0</v>
      </c>
      <c r="F7209" s="6">
        <v>0</v>
      </c>
      <c r="G7209" s="6">
        <v>14</v>
      </c>
      <c r="H7209" s="6" t="s">
        <v>14738</v>
      </c>
      <c r="I7209" s="6">
        <v>529.875</v>
      </c>
      <c r="J7209" s="2">
        <f t="shared" si="112"/>
        <v>43748.003387303237</v>
      </c>
    </row>
    <row r="7210" spans="1:10" x14ac:dyDescent="0.25">
      <c r="A7210" s="7" t="s">
        <v>14739</v>
      </c>
      <c r="B7210" s="8">
        <v>406.25</v>
      </c>
      <c r="C7210" s="8">
        <v>20.478950000000001</v>
      </c>
      <c r="D7210" s="8">
        <v>85</v>
      </c>
      <c r="E7210" s="8">
        <v>0</v>
      </c>
      <c r="F7210" s="8">
        <v>0</v>
      </c>
      <c r="G7210" s="8">
        <v>8</v>
      </c>
      <c r="H7210" s="8" t="s">
        <v>14740</v>
      </c>
      <c r="I7210" s="8">
        <v>530.625</v>
      </c>
      <c r="J7210" s="3">
        <f t="shared" si="112"/>
        <v>43748.003458622683</v>
      </c>
    </row>
    <row r="7211" spans="1:10" x14ac:dyDescent="0.25">
      <c r="A7211" s="5" t="s">
        <v>14741</v>
      </c>
      <c r="B7211" s="6">
        <v>406.25</v>
      </c>
      <c r="C7211" s="6">
        <v>20.478950000000001</v>
      </c>
      <c r="D7211" s="6">
        <v>79</v>
      </c>
      <c r="E7211" s="6">
        <v>0</v>
      </c>
      <c r="F7211" s="6">
        <v>0</v>
      </c>
      <c r="G7211" s="6">
        <v>8</v>
      </c>
      <c r="H7211" s="6" t="s">
        <v>14742</v>
      </c>
      <c r="I7211" s="6">
        <v>530.625</v>
      </c>
      <c r="J7211" s="2">
        <f t="shared" si="112"/>
        <v>43748.003530011571</v>
      </c>
    </row>
    <row r="7212" spans="1:10" x14ac:dyDescent="0.25">
      <c r="A7212" s="7" t="s">
        <v>14743</v>
      </c>
      <c r="B7212" s="8">
        <v>434.375</v>
      </c>
      <c r="C7212" s="8">
        <v>20.478950000000001</v>
      </c>
      <c r="D7212" s="8">
        <v>81</v>
      </c>
      <c r="E7212" s="8">
        <v>0</v>
      </c>
      <c r="F7212" s="8">
        <v>0</v>
      </c>
      <c r="G7212" s="8">
        <v>6</v>
      </c>
      <c r="H7212" s="8" t="s">
        <v>14744</v>
      </c>
      <c r="I7212" s="8">
        <v>539.25</v>
      </c>
      <c r="J7212" s="3">
        <f t="shared" si="112"/>
        <v>43748.003602118049</v>
      </c>
    </row>
    <row r="7213" spans="1:10" x14ac:dyDescent="0.25">
      <c r="A7213" s="5" t="s">
        <v>14745</v>
      </c>
      <c r="B7213" s="6">
        <v>406.25</v>
      </c>
      <c r="C7213" s="6">
        <v>20.478950000000001</v>
      </c>
      <c r="D7213" s="6">
        <v>81</v>
      </c>
      <c r="E7213" s="6">
        <v>0</v>
      </c>
      <c r="F7213" s="6">
        <v>0</v>
      </c>
      <c r="G7213" s="6">
        <v>10</v>
      </c>
      <c r="H7213" s="6" t="s">
        <v>14746</v>
      </c>
      <c r="I7213" s="6">
        <v>530.625</v>
      </c>
      <c r="J7213" s="2">
        <f t="shared" si="112"/>
        <v>43748.00367341435</v>
      </c>
    </row>
    <row r="7214" spans="1:10" x14ac:dyDescent="0.25">
      <c r="A7214" s="7" t="s">
        <v>14747</v>
      </c>
      <c r="B7214" s="8">
        <v>409.375</v>
      </c>
      <c r="C7214" s="8">
        <v>20.478950000000001</v>
      </c>
      <c r="D7214" s="8">
        <v>81</v>
      </c>
      <c r="E7214" s="8">
        <v>0</v>
      </c>
      <c r="F7214" s="8">
        <v>0</v>
      </c>
      <c r="G7214" s="8">
        <v>10</v>
      </c>
      <c r="H7214" s="8" t="s">
        <v>14748</v>
      </c>
      <c r="I7214" s="8">
        <v>531.375</v>
      </c>
      <c r="J7214" s="3">
        <f t="shared" si="112"/>
        <v>43748.003744664347</v>
      </c>
    </row>
    <row r="7215" spans="1:10" x14ac:dyDescent="0.25">
      <c r="A7215" s="5" t="s">
        <v>14749</v>
      </c>
      <c r="B7215" s="6">
        <v>409.375</v>
      </c>
      <c r="C7215" s="6">
        <v>20.478950000000001</v>
      </c>
      <c r="D7215" s="6">
        <v>81</v>
      </c>
      <c r="E7215" s="6">
        <v>0</v>
      </c>
      <c r="F7215" s="6">
        <v>0</v>
      </c>
      <c r="G7215" s="6">
        <v>12</v>
      </c>
      <c r="H7215" s="6" t="s">
        <v>14750</v>
      </c>
      <c r="I7215" s="6">
        <v>531.5625</v>
      </c>
      <c r="J7215" s="2">
        <f t="shared" si="112"/>
        <v>43748.003816944438</v>
      </c>
    </row>
    <row r="7216" spans="1:10" x14ac:dyDescent="0.25">
      <c r="A7216" s="7" t="s">
        <v>14751</v>
      </c>
      <c r="B7216" s="8">
        <v>409.375</v>
      </c>
      <c r="C7216" s="8">
        <v>20.478950000000001</v>
      </c>
      <c r="D7216" s="8">
        <v>81</v>
      </c>
      <c r="E7216" s="8">
        <v>0</v>
      </c>
      <c r="F7216" s="8">
        <v>0</v>
      </c>
      <c r="G7216" s="8">
        <v>16</v>
      </c>
      <c r="H7216" s="8" t="s">
        <v>14752</v>
      </c>
      <c r="I7216" s="8">
        <v>531.5625</v>
      </c>
      <c r="J7216" s="3">
        <f t="shared" si="112"/>
        <v>43748.003888356478</v>
      </c>
    </row>
    <row r="7217" spans="1:10" x14ac:dyDescent="0.25">
      <c r="A7217" s="5" t="s">
        <v>14753</v>
      </c>
      <c r="B7217" s="6">
        <v>409.375</v>
      </c>
      <c r="C7217" s="6">
        <v>20.478950000000001</v>
      </c>
      <c r="D7217" s="6">
        <v>83</v>
      </c>
      <c r="E7217" s="6">
        <v>0</v>
      </c>
      <c r="F7217" s="6">
        <v>0</v>
      </c>
      <c r="G7217" s="6">
        <v>9</v>
      </c>
      <c r="H7217" s="6" t="s">
        <v>14754</v>
      </c>
      <c r="I7217" s="6">
        <v>531.375</v>
      </c>
      <c r="J7217" s="2">
        <f t="shared" si="112"/>
        <v>43748.003959525457</v>
      </c>
    </row>
    <row r="7218" spans="1:10" x14ac:dyDescent="0.25">
      <c r="A7218" s="7" t="s">
        <v>14755</v>
      </c>
      <c r="B7218" s="8">
        <v>412.5</v>
      </c>
      <c r="C7218" s="8">
        <v>20.478950000000001</v>
      </c>
      <c r="D7218" s="8">
        <v>83</v>
      </c>
      <c r="E7218" s="8">
        <v>0</v>
      </c>
      <c r="F7218" s="8">
        <v>0</v>
      </c>
      <c r="G7218" s="8">
        <v>8</v>
      </c>
      <c r="H7218" s="8" t="s">
        <v>14756</v>
      </c>
      <c r="I7218" s="8">
        <v>532.3125</v>
      </c>
      <c r="J7218" s="3">
        <f t="shared" si="112"/>
        <v>43748.004042812499</v>
      </c>
    </row>
    <row r="7219" spans="1:10" x14ac:dyDescent="0.25">
      <c r="A7219" s="5" t="s">
        <v>14757</v>
      </c>
      <c r="B7219" s="6">
        <v>409.375</v>
      </c>
      <c r="C7219" s="6">
        <v>20.478950000000001</v>
      </c>
      <c r="D7219" s="6">
        <v>84</v>
      </c>
      <c r="E7219" s="6">
        <v>0</v>
      </c>
      <c r="F7219" s="6">
        <v>0</v>
      </c>
      <c r="G7219" s="6">
        <v>14</v>
      </c>
      <c r="H7219" s="6" t="s">
        <v>14758</v>
      </c>
      <c r="I7219" s="6">
        <v>531.5625</v>
      </c>
      <c r="J7219" s="2">
        <f t="shared" si="112"/>
        <v>43748.004116481483</v>
      </c>
    </row>
    <row r="7220" spans="1:10" x14ac:dyDescent="0.25">
      <c r="A7220" s="7" t="s">
        <v>14759</v>
      </c>
      <c r="B7220" s="8">
        <v>428.125</v>
      </c>
      <c r="C7220" s="8">
        <v>20.478950000000001</v>
      </c>
      <c r="D7220" s="8">
        <v>85</v>
      </c>
      <c r="E7220" s="8">
        <v>0</v>
      </c>
      <c r="F7220" s="8">
        <v>0</v>
      </c>
      <c r="G7220" s="8">
        <v>15</v>
      </c>
      <c r="H7220" s="8" t="s">
        <v>14760</v>
      </c>
      <c r="I7220" s="8">
        <v>537</v>
      </c>
      <c r="J7220" s="3">
        <f t="shared" si="112"/>
        <v>43748.004198414354</v>
      </c>
    </row>
    <row r="7221" spans="1:10" x14ac:dyDescent="0.25">
      <c r="A7221" s="5" t="s">
        <v>14761</v>
      </c>
      <c r="B7221" s="6">
        <v>409.375</v>
      </c>
      <c r="C7221" s="6">
        <v>20.426300000000001</v>
      </c>
      <c r="D7221" s="6">
        <v>85</v>
      </c>
      <c r="E7221" s="6">
        <v>0</v>
      </c>
      <c r="F7221" s="6">
        <v>0</v>
      </c>
      <c r="G7221" s="6">
        <v>11</v>
      </c>
      <c r="H7221" s="6" t="s">
        <v>14762</v>
      </c>
      <c r="I7221" s="6">
        <v>531.5625</v>
      </c>
      <c r="J7221" s="2">
        <f t="shared" si="112"/>
        <v>43748.004269710647</v>
      </c>
    </row>
    <row r="7222" spans="1:10" x14ac:dyDescent="0.25">
      <c r="A7222" s="7" t="s">
        <v>14763</v>
      </c>
      <c r="B7222" s="8">
        <v>409.375</v>
      </c>
      <c r="C7222" s="8">
        <v>20.426300000000001</v>
      </c>
      <c r="D7222" s="8">
        <v>84</v>
      </c>
      <c r="E7222" s="8">
        <v>0</v>
      </c>
      <c r="F7222" s="8">
        <v>0</v>
      </c>
      <c r="G7222" s="8">
        <v>9</v>
      </c>
      <c r="H7222" s="8" t="s">
        <v>14764</v>
      </c>
      <c r="I7222" s="8">
        <v>531.375</v>
      </c>
      <c r="J7222" s="3">
        <f t="shared" si="112"/>
        <v>43748.004352928234</v>
      </c>
    </row>
    <row r="7223" spans="1:10" x14ac:dyDescent="0.25">
      <c r="A7223" s="5" t="s">
        <v>14765</v>
      </c>
      <c r="B7223" s="6">
        <v>409.375</v>
      </c>
      <c r="C7223" s="6">
        <v>20.478950000000001</v>
      </c>
      <c r="D7223" s="6">
        <v>85</v>
      </c>
      <c r="E7223" s="6">
        <v>0</v>
      </c>
      <c r="F7223" s="6">
        <v>0</v>
      </c>
      <c r="G7223" s="6">
        <v>11</v>
      </c>
      <c r="H7223" s="6" t="s">
        <v>14766</v>
      </c>
      <c r="I7223" s="6">
        <v>531.5625</v>
      </c>
      <c r="J7223" s="2">
        <f t="shared" si="112"/>
        <v>43748.004424409715</v>
      </c>
    </row>
    <row r="7224" spans="1:10" x14ac:dyDescent="0.25">
      <c r="A7224" s="7" t="s">
        <v>14767</v>
      </c>
      <c r="B7224" s="8">
        <v>409.375</v>
      </c>
      <c r="C7224" s="8">
        <v>20.478950000000001</v>
      </c>
      <c r="D7224" s="8">
        <v>85</v>
      </c>
      <c r="E7224" s="8">
        <v>0</v>
      </c>
      <c r="F7224" s="8">
        <v>0</v>
      </c>
      <c r="G7224" s="8">
        <v>10</v>
      </c>
      <c r="H7224" s="8" t="s">
        <v>14768</v>
      </c>
      <c r="I7224" s="8">
        <v>531.5625</v>
      </c>
      <c r="J7224" s="3">
        <f t="shared" si="112"/>
        <v>43748.004496562498</v>
      </c>
    </row>
    <row r="7225" spans="1:10" x14ac:dyDescent="0.25">
      <c r="A7225" s="5" t="s">
        <v>14769</v>
      </c>
      <c r="B7225" s="6">
        <v>409.375</v>
      </c>
      <c r="C7225" s="6">
        <v>20.478950000000001</v>
      </c>
      <c r="D7225" s="6">
        <v>84</v>
      </c>
      <c r="E7225" s="6">
        <v>0</v>
      </c>
      <c r="F7225" s="6">
        <v>0</v>
      </c>
      <c r="G7225" s="6">
        <v>16</v>
      </c>
      <c r="H7225" s="6" t="s">
        <v>14770</v>
      </c>
      <c r="I7225" s="6">
        <v>531.5625</v>
      </c>
      <c r="J7225" s="2">
        <f t="shared" si="112"/>
        <v>43748.004567812495</v>
      </c>
    </row>
    <row r="7226" spans="1:10" x14ac:dyDescent="0.25">
      <c r="A7226" s="7" t="s">
        <v>14771</v>
      </c>
      <c r="B7226" s="8">
        <v>406.25</v>
      </c>
      <c r="C7226" s="8">
        <v>20.478950000000001</v>
      </c>
      <c r="D7226" s="8">
        <v>83</v>
      </c>
      <c r="E7226" s="8">
        <v>0</v>
      </c>
      <c r="F7226" s="8">
        <v>0</v>
      </c>
      <c r="G7226" s="8">
        <v>6</v>
      </c>
      <c r="H7226" s="8" t="s">
        <v>14772</v>
      </c>
      <c r="I7226" s="8">
        <v>530.625</v>
      </c>
      <c r="J7226" s="3">
        <f t="shared" si="112"/>
        <v>43748.004639166662</v>
      </c>
    </row>
    <row r="7227" spans="1:10" x14ac:dyDescent="0.25">
      <c r="A7227" s="5" t="s">
        <v>14773</v>
      </c>
      <c r="B7227" s="6">
        <v>425</v>
      </c>
      <c r="C7227" s="6">
        <v>20.478950000000001</v>
      </c>
      <c r="D7227" s="6">
        <v>83</v>
      </c>
      <c r="E7227" s="6">
        <v>0</v>
      </c>
      <c r="F7227" s="6">
        <v>0</v>
      </c>
      <c r="G7227" s="6">
        <v>15</v>
      </c>
      <c r="H7227" s="6" t="s">
        <v>14774</v>
      </c>
      <c r="I7227" s="6">
        <v>536.25</v>
      </c>
      <c r="J7227" s="2">
        <f t="shared" si="112"/>
        <v>43748.004710567126</v>
      </c>
    </row>
    <row r="7228" spans="1:10" x14ac:dyDescent="0.25">
      <c r="A7228" s="7" t="s">
        <v>14775</v>
      </c>
      <c r="B7228" s="8">
        <v>406.25</v>
      </c>
      <c r="C7228" s="8">
        <v>20.478950000000001</v>
      </c>
      <c r="D7228" s="8">
        <v>82</v>
      </c>
      <c r="E7228" s="8">
        <v>0</v>
      </c>
      <c r="F7228" s="8">
        <v>0</v>
      </c>
      <c r="G7228" s="8">
        <v>5</v>
      </c>
      <c r="H7228" s="8" t="s">
        <v>14776</v>
      </c>
      <c r="I7228" s="8">
        <v>530.625</v>
      </c>
      <c r="J7228" s="3">
        <f t="shared" si="112"/>
        <v>43748.004782696757</v>
      </c>
    </row>
    <row r="7229" spans="1:10" x14ac:dyDescent="0.25">
      <c r="A7229" s="5" t="s">
        <v>14777</v>
      </c>
      <c r="B7229" s="6">
        <v>406.25</v>
      </c>
      <c r="C7229" s="6">
        <v>20.478950000000001</v>
      </c>
      <c r="D7229" s="6">
        <v>82</v>
      </c>
      <c r="E7229" s="6">
        <v>0</v>
      </c>
      <c r="F7229" s="6">
        <v>0</v>
      </c>
      <c r="G7229" s="6">
        <v>12</v>
      </c>
      <c r="H7229" s="6" t="s">
        <v>14778</v>
      </c>
      <c r="I7229" s="6">
        <v>530.625</v>
      </c>
      <c r="J7229" s="2">
        <f t="shared" si="112"/>
        <v>43748.004853969906</v>
      </c>
    </row>
    <row r="7230" spans="1:10" x14ac:dyDescent="0.25">
      <c r="A7230" s="7" t="s">
        <v>14779</v>
      </c>
      <c r="B7230" s="8">
        <v>403.125</v>
      </c>
      <c r="C7230" s="8">
        <v>20.478950000000001</v>
      </c>
      <c r="D7230" s="8">
        <v>82</v>
      </c>
      <c r="E7230" s="8">
        <v>0</v>
      </c>
      <c r="F7230" s="8">
        <v>0</v>
      </c>
      <c r="G7230" s="8">
        <v>22</v>
      </c>
      <c r="H7230" s="8" t="s">
        <v>14780</v>
      </c>
      <c r="I7230" s="8">
        <v>529.875</v>
      </c>
      <c r="J7230" s="3">
        <f t="shared" si="112"/>
        <v>43748.004937303238</v>
      </c>
    </row>
    <row r="7231" spans="1:10" x14ac:dyDescent="0.25">
      <c r="A7231" s="5" t="s">
        <v>14781</v>
      </c>
      <c r="B7231" s="6">
        <v>403.125</v>
      </c>
      <c r="C7231" s="6">
        <v>20.478950000000001</v>
      </c>
      <c r="D7231" s="6">
        <v>82</v>
      </c>
      <c r="E7231" s="6">
        <v>0</v>
      </c>
      <c r="F7231" s="6">
        <v>0</v>
      </c>
      <c r="G7231" s="6">
        <v>15</v>
      </c>
      <c r="H7231" s="6" t="s">
        <v>14782</v>
      </c>
      <c r="I7231" s="6">
        <v>529.875</v>
      </c>
      <c r="J7231" s="2">
        <f t="shared" si="112"/>
        <v>43748.005009374996</v>
      </c>
    </row>
    <row r="7232" spans="1:10" x14ac:dyDescent="0.25">
      <c r="A7232" s="7" t="s">
        <v>14783</v>
      </c>
      <c r="B7232" s="8">
        <v>403.125</v>
      </c>
      <c r="C7232" s="8">
        <v>20.478950000000001</v>
      </c>
      <c r="D7232" s="8">
        <v>82</v>
      </c>
      <c r="E7232" s="8">
        <v>0</v>
      </c>
      <c r="F7232" s="8">
        <v>0</v>
      </c>
      <c r="G7232" s="8">
        <v>3</v>
      </c>
      <c r="H7232" s="8" t="s">
        <v>14784</v>
      </c>
      <c r="I7232" s="8">
        <v>529.875</v>
      </c>
      <c r="J7232" s="3">
        <f t="shared" si="112"/>
        <v>43748.005080763884</v>
      </c>
    </row>
    <row r="7233" spans="1:10" x14ac:dyDescent="0.25">
      <c r="A7233" s="5" t="s">
        <v>14785</v>
      </c>
      <c r="B7233" s="6">
        <v>403.125</v>
      </c>
      <c r="C7233" s="6">
        <v>20.478950000000001</v>
      </c>
      <c r="D7233" s="6">
        <v>83</v>
      </c>
      <c r="E7233" s="6">
        <v>0</v>
      </c>
      <c r="F7233" s="6">
        <v>0</v>
      </c>
      <c r="G7233" s="6">
        <v>19</v>
      </c>
      <c r="H7233" s="6" t="s">
        <v>14786</v>
      </c>
      <c r="I7233" s="6">
        <v>529.875</v>
      </c>
      <c r="J7233" s="2">
        <f t="shared" si="112"/>
        <v>43748.00515211805</v>
      </c>
    </row>
    <row r="7234" spans="1:10" x14ac:dyDescent="0.25">
      <c r="A7234" s="7" t="s">
        <v>14787</v>
      </c>
      <c r="B7234" s="8">
        <v>403.125</v>
      </c>
      <c r="C7234" s="8">
        <v>20.478950000000001</v>
      </c>
      <c r="D7234" s="8">
        <v>83</v>
      </c>
      <c r="E7234" s="8">
        <v>0</v>
      </c>
      <c r="F7234" s="8">
        <v>0</v>
      </c>
      <c r="G7234" s="8">
        <v>11</v>
      </c>
      <c r="H7234" s="8" t="s">
        <v>14788</v>
      </c>
      <c r="I7234" s="8">
        <v>529.875</v>
      </c>
      <c r="J7234" s="3">
        <f t="shared" ref="J7234:J7297" si="113">(H7234/86400000)+25569+(7/24)</f>
        <v>43748.005223425927</v>
      </c>
    </row>
    <row r="7235" spans="1:10" x14ac:dyDescent="0.25">
      <c r="A7235" s="5" t="s">
        <v>14789</v>
      </c>
      <c r="B7235" s="6">
        <v>406.25</v>
      </c>
      <c r="C7235" s="6">
        <v>20.478950000000001</v>
      </c>
      <c r="D7235" s="6">
        <v>83</v>
      </c>
      <c r="E7235" s="6">
        <v>0</v>
      </c>
      <c r="F7235" s="6">
        <v>0</v>
      </c>
      <c r="G7235" s="6">
        <v>12</v>
      </c>
      <c r="H7235" s="6" t="s">
        <v>14790</v>
      </c>
      <c r="I7235" s="6">
        <v>530.625</v>
      </c>
      <c r="J7235" s="2">
        <f t="shared" si="113"/>
        <v>43748.005295648145</v>
      </c>
    </row>
    <row r="7236" spans="1:10" x14ac:dyDescent="0.25">
      <c r="A7236" s="7" t="s">
        <v>14791</v>
      </c>
      <c r="B7236" s="8">
        <v>409.375</v>
      </c>
      <c r="C7236" s="8">
        <v>20.478950000000001</v>
      </c>
      <c r="D7236" s="8">
        <v>83</v>
      </c>
      <c r="E7236" s="8">
        <v>0</v>
      </c>
      <c r="F7236" s="8">
        <v>0</v>
      </c>
      <c r="G7236" s="8">
        <v>12</v>
      </c>
      <c r="H7236" s="8" t="s">
        <v>14792</v>
      </c>
      <c r="I7236" s="8">
        <v>531.375</v>
      </c>
      <c r="J7236" s="3">
        <f t="shared" si="113"/>
        <v>43748.005371412037</v>
      </c>
    </row>
    <row r="7237" spans="1:10" x14ac:dyDescent="0.25">
      <c r="A7237" s="5" t="s">
        <v>14793</v>
      </c>
      <c r="B7237" s="6">
        <v>412.5</v>
      </c>
      <c r="C7237" s="6">
        <v>20.478950000000001</v>
      </c>
      <c r="D7237" s="6">
        <v>83</v>
      </c>
      <c r="E7237" s="6">
        <v>0</v>
      </c>
      <c r="F7237" s="6">
        <v>0</v>
      </c>
      <c r="G7237" s="6">
        <v>7</v>
      </c>
      <c r="H7237" s="6" t="s">
        <v>14794</v>
      </c>
      <c r="I7237" s="6">
        <v>532.3125</v>
      </c>
      <c r="J7237" s="2">
        <f t="shared" si="113"/>
        <v>43748.005450092591</v>
      </c>
    </row>
    <row r="7238" spans="1:10" x14ac:dyDescent="0.25">
      <c r="A7238" s="7" t="s">
        <v>14795</v>
      </c>
      <c r="B7238" s="8">
        <v>440.625</v>
      </c>
      <c r="C7238" s="8">
        <v>20.478950000000001</v>
      </c>
      <c r="D7238" s="8">
        <v>83</v>
      </c>
      <c r="E7238" s="8">
        <v>0</v>
      </c>
      <c r="F7238" s="8">
        <v>0</v>
      </c>
      <c r="G7238" s="8">
        <v>16</v>
      </c>
      <c r="H7238" s="8" t="s">
        <v>14796</v>
      </c>
      <c r="I7238" s="8">
        <v>541.5</v>
      </c>
      <c r="J7238" s="3">
        <f t="shared" si="113"/>
        <v>43748.005521574072</v>
      </c>
    </row>
    <row r="7239" spans="1:10" x14ac:dyDescent="0.25">
      <c r="A7239" s="5" t="s">
        <v>14797</v>
      </c>
      <c r="B7239" s="6">
        <v>412.5</v>
      </c>
      <c r="C7239" s="6">
        <v>20.478950000000001</v>
      </c>
      <c r="D7239" s="6">
        <v>83</v>
      </c>
      <c r="E7239" s="6">
        <v>0</v>
      </c>
      <c r="F7239" s="6">
        <v>0</v>
      </c>
      <c r="G7239" s="6">
        <v>2</v>
      </c>
      <c r="H7239" s="6" t="s">
        <v>14798</v>
      </c>
      <c r="I7239" s="6">
        <v>532.3125</v>
      </c>
      <c r="J7239" s="2">
        <f t="shared" si="113"/>
        <v>43748.005593796297</v>
      </c>
    </row>
    <row r="7240" spans="1:10" x14ac:dyDescent="0.25">
      <c r="A7240" s="7" t="s">
        <v>14799</v>
      </c>
      <c r="B7240" s="8">
        <v>412.5</v>
      </c>
      <c r="C7240" s="8">
        <v>20.478950000000001</v>
      </c>
      <c r="D7240" s="8">
        <v>84</v>
      </c>
      <c r="E7240" s="8">
        <v>0</v>
      </c>
      <c r="F7240" s="8">
        <v>0</v>
      </c>
      <c r="G7240" s="8">
        <v>8</v>
      </c>
      <c r="H7240" s="8" t="s">
        <v>14800</v>
      </c>
      <c r="I7240" s="8">
        <v>532.3125</v>
      </c>
      <c r="J7240" s="3">
        <f t="shared" si="113"/>
        <v>43748.005689270831</v>
      </c>
    </row>
    <row r="7241" spans="1:10" x14ac:dyDescent="0.25">
      <c r="A7241" s="5" t="s">
        <v>14801</v>
      </c>
      <c r="B7241" s="6">
        <v>409.375</v>
      </c>
      <c r="C7241" s="6">
        <v>20.478950000000001</v>
      </c>
      <c r="D7241" s="6">
        <v>85</v>
      </c>
      <c r="E7241" s="6">
        <v>0</v>
      </c>
      <c r="F7241" s="6">
        <v>0</v>
      </c>
      <c r="G7241" s="6">
        <v>12</v>
      </c>
      <c r="H7241" s="6" t="s">
        <v>14802</v>
      </c>
      <c r="I7241" s="6">
        <v>531.5625</v>
      </c>
      <c r="J7241" s="2">
        <f t="shared" si="113"/>
        <v>43748.005760451386</v>
      </c>
    </row>
    <row r="7242" spans="1:10" x14ac:dyDescent="0.25">
      <c r="A7242" s="7" t="s">
        <v>14803</v>
      </c>
      <c r="B7242" s="8">
        <v>409.375</v>
      </c>
      <c r="C7242" s="8">
        <v>20.478950000000001</v>
      </c>
      <c r="D7242" s="8">
        <v>85</v>
      </c>
      <c r="E7242" s="8">
        <v>0</v>
      </c>
      <c r="F7242" s="8">
        <v>0</v>
      </c>
      <c r="G7242" s="8">
        <v>17</v>
      </c>
      <c r="H7242" s="8" t="s">
        <v>14804</v>
      </c>
      <c r="I7242" s="8">
        <v>531.375</v>
      </c>
      <c r="J7242" s="3">
        <f t="shared" si="113"/>
        <v>43748.005843796294</v>
      </c>
    </row>
    <row r="7243" spans="1:10" x14ac:dyDescent="0.25">
      <c r="A7243" s="5" t="s">
        <v>14805</v>
      </c>
      <c r="B7243" s="6">
        <v>409.375</v>
      </c>
      <c r="C7243" s="6">
        <v>20.478950000000001</v>
      </c>
      <c r="D7243" s="6">
        <v>85</v>
      </c>
      <c r="E7243" s="6">
        <v>0</v>
      </c>
      <c r="F7243" s="6">
        <v>0</v>
      </c>
      <c r="G7243" s="6">
        <v>12</v>
      </c>
      <c r="H7243" s="6" t="s">
        <v>14806</v>
      </c>
      <c r="I7243" s="6">
        <v>531.5625</v>
      </c>
      <c r="J7243" s="2">
        <f t="shared" si="113"/>
        <v>43748.005915104164</v>
      </c>
    </row>
    <row r="7244" spans="1:10" x14ac:dyDescent="0.25">
      <c r="A7244" s="7" t="s">
        <v>14807</v>
      </c>
      <c r="B7244" s="8">
        <v>434.375</v>
      </c>
      <c r="C7244" s="8">
        <v>20.478950000000001</v>
      </c>
      <c r="D7244" s="8">
        <v>85</v>
      </c>
      <c r="E7244" s="8">
        <v>0</v>
      </c>
      <c r="F7244" s="8">
        <v>0</v>
      </c>
      <c r="G7244" s="8">
        <v>4</v>
      </c>
      <c r="H7244" s="8" t="s">
        <v>14808</v>
      </c>
      <c r="I7244" s="8">
        <v>539.25</v>
      </c>
      <c r="J7244" s="3">
        <f t="shared" si="113"/>
        <v>43748.005987326389</v>
      </c>
    </row>
    <row r="7245" spans="1:10" x14ac:dyDescent="0.25">
      <c r="A7245" s="5" t="s">
        <v>14809</v>
      </c>
      <c r="B7245" s="6">
        <v>409.375</v>
      </c>
      <c r="C7245" s="6">
        <v>20.478950000000001</v>
      </c>
      <c r="D7245" s="6">
        <v>85</v>
      </c>
      <c r="E7245" s="6">
        <v>0</v>
      </c>
      <c r="F7245" s="6">
        <v>0</v>
      </c>
      <c r="G7245" s="6">
        <v>25</v>
      </c>
      <c r="H7245" s="6" t="s">
        <v>14810</v>
      </c>
      <c r="I7245" s="6">
        <v>531.5625</v>
      </c>
      <c r="J7245" s="2">
        <f t="shared" si="113"/>
        <v>43748.006058738429</v>
      </c>
    </row>
    <row r="7246" spans="1:10" x14ac:dyDescent="0.25">
      <c r="A7246" s="7" t="s">
        <v>14811</v>
      </c>
      <c r="B7246" s="8">
        <v>409.375</v>
      </c>
      <c r="C7246" s="8">
        <v>20.478950000000001</v>
      </c>
      <c r="D7246" s="8">
        <v>85</v>
      </c>
      <c r="E7246" s="8">
        <v>0</v>
      </c>
      <c r="F7246" s="8">
        <v>0</v>
      </c>
      <c r="G7246" s="8">
        <v>9</v>
      </c>
      <c r="H7246" s="8" t="s">
        <v>14812</v>
      </c>
      <c r="I7246" s="8">
        <v>531.5625</v>
      </c>
      <c r="J7246" s="3">
        <f t="shared" si="113"/>
        <v>43748.006129918977</v>
      </c>
    </row>
    <row r="7247" spans="1:10" x14ac:dyDescent="0.25">
      <c r="A7247" s="5" t="s">
        <v>14813</v>
      </c>
      <c r="B7247" s="6">
        <v>409.375</v>
      </c>
      <c r="C7247" s="6">
        <v>20.478950000000001</v>
      </c>
      <c r="D7247" s="6">
        <v>83</v>
      </c>
      <c r="E7247" s="6">
        <v>0</v>
      </c>
      <c r="F7247" s="6">
        <v>0</v>
      </c>
      <c r="G7247" s="6">
        <v>8</v>
      </c>
      <c r="H7247" s="6" t="s">
        <v>14814</v>
      </c>
      <c r="I7247" s="6">
        <v>531.5625</v>
      </c>
      <c r="J7247" s="2">
        <f t="shared" si="113"/>
        <v>43748.006201273143</v>
      </c>
    </row>
    <row r="7248" spans="1:10" x14ac:dyDescent="0.25">
      <c r="A7248" s="7" t="s">
        <v>14815</v>
      </c>
      <c r="B7248" s="8">
        <v>412.5</v>
      </c>
      <c r="C7248" s="8">
        <v>20.478950000000001</v>
      </c>
      <c r="D7248" s="8">
        <v>83</v>
      </c>
      <c r="E7248" s="8">
        <v>0</v>
      </c>
      <c r="F7248" s="8">
        <v>0</v>
      </c>
      <c r="G7248" s="8">
        <v>11</v>
      </c>
      <c r="H7248" s="8" t="s">
        <v>14816</v>
      </c>
      <c r="I7248" s="8">
        <v>532.3125</v>
      </c>
      <c r="J7248" s="3">
        <f t="shared" si="113"/>
        <v>43748.006273425919</v>
      </c>
    </row>
    <row r="7249" spans="1:10" x14ac:dyDescent="0.25">
      <c r="A7249" s="5" t="s">
        <v>14817</v>
      </c>
      <c r="B7249" s="6">
        <v>412.5</v>
      </c>
      <c r="C7249" s="6">
        <v>20.478950000000001</v>
      </c>
      <c r="D7249" s="6">
        <v>83</v>
      </c>
      <c r="E7249" s="6">
        <v>0</v>
      </c>
      <c r="F7249" s="6">
        <v>0</v>
      </c>
      <c r="G7249" s="6">
        <v>12</v>
      </c>
      <c r="H7249" s="6" t="s">
        <v>14818</v>
      </c>
      <c r="I7249" s="6">
        <v>532.3125</v>
      </c>
      <c r="J7249" s="2">
        <f t="shared" si="113"/>
        <v>43748.006344710644</v>
      </c>
    </row>
    <row r="7250" spans="1:10" x14ac:dyDescent="0.25">
      <c r="A7250" s="7" t="s">
        <v>14819</v>
      </c>
      <c r="B7250" s="8">
        <v>415.625</v>
      </c>
      <c r="C7250" s="8">
        <v>20.478950000000001</v>
      </c>
      <c r="D7250" s="8">
        <v>83</v>
      </c>
      <c r="E7250" s="8">
        <v>0</v>
      </c>
      <c r="F7250" s="8">
        <v>0</v>
      </c>
      <c r="G7250" s="8">
        <v>17</v>
      </c>
      <c r="H7250" s="8" t="s">
        <v>14820</v>
      </c>
      <c r="I7250" s="8">
        <v>533.0625</v>
      </c>
      <c r="J7250" s="3">
        <f t="shared" si="113"/>
        <v>43748.006416018521</v>
      </c>
    </row>
    <row r="7251" spans="1:10" x14ac:dyDescent="0.25">
      <c r="A7251" s="5" t="s">
        <v>14821</v>
      </c>
      <c r="B7251" s="6">
        <v>415.625</v>
      </c>
      <c r="C7251" s="6">
        <v>20.478950000000001</v>
      </c>
      <c r="D7251" s="6">
        <v>83</v>
      </c>
      <c r="E7251" s="6">
        <v>0</v>
      </c>
      <c r="F7251" s="6">
        <v>0</v>
      </c>
      <c r="G7251" s="6">
        <v>8</v>
      </c>
      <c r="H7251" s="6" t="s">
        <v>14822</v>
      </c>
      <c r="I7251" s="6">
        <v>533.0625</v>
      </c>
      <c r="J7251" s="2">
        <f t="shared" si="113"/>
        <v>43748.006488078703</v>
      </c>
    </row>
    <row r="7252" spans="1:10" x14ac:dyDescent="0.25">
      <c r="A7252" s="7" t="s">
        <v>14823</v>
      </c>
      <c r="B7252" s="8">
        <v>415.625</v>
      </c>
      <c r="C7252" s="8">
        <v>20.478950000000001</v>
      </c>
      <c r="D7252" s="8">
        <v>83</v>
      </c>
      <c r="E7252" s="8">
        <v>0</v>
      </c>
      <c r="F7252" s="8">
        <v>0</v>
      </c>
      <c r="G7252" s="8">
        <v>11</v>
      </c>
      <c r="H7252" s="8" t="s">
        <v>14824</v>
      </c>
      <c r="I7252" s="8">
        <v>533.25</v>
      </c>
      <c r="J7252" s="3">
        <f t="shared" si="113"/>
        <v>43748.006558657406</v>
      </c>
    </row>
    <row r="7253" spans="1:10" x14ac:dyDescent="0.25">
      <c r="A7253" s="5" t="s">
        <v>14825</v>
      </c>
      <c r="B7253" s="6">
        <v>431.25</v>
      </c>
      <c r="C7253" s="6">
        <v>20.478950000000001</v>
      </c>
      <c r="D7253" s="6">
        <v>81</v>
      </c>
      <c r="E7253" s="6">
        <v>0</v>
      </c>
      <c r="F7253" s="6">
        <v>0</v>
      </c>
      <c r="G7253" s="6">
        <v>7</v>
      </c>
      <c r="H7253" s="6" t="s">
        <v>14826</v>
      </c>
      <c r="I7253" s="6">
        <v>538.6875</v>
      </c>
      <c r="J7253" s="2">
        <f t="shared" si="113"/>
        <v>43748.006630891199</v>
      </c>
    </row>
    <row r="7254" spans="1:10" x14ac:dyDescent="0.25">
      <c r="A7254" s="7" t="s">
        <v>14827</v>
      </c>
      <c r="B7254" s="8">
        <v>412.5</v>
      </c>
      <c r="C7254" s="8">
        <v>20.478950000000001</v>
      </c>
      <c r="D7254" s="8">
        <v>82</v>
      </c>
      <c r="E7254" s="8">
        <v>0</v>
      </c>
      <c r="F7254" s="8">
        <v>0</v>
      </c>
      <c r="G7254" s="8">
        <v>7</v>
      </c>
      <c r="H7254" s="8" t="s">
        <v>14828</v>
      </c>
      <c r="I7254" s="8">
        <v>532.3125</v>
      </c>
      <c r="J7254" s="3">
        <f t="shared" si="113"/>
        <v>43748.006702118051</v>
      </c>
    </row>
    <row r="7255" spans="1:10" x14ac:dyDescent="0.25">
      <c r="A7255" s="5" t="s">
        <v>14829</v>
      </c>
      <c r="B7255" s="6">
        <v>412.5</v>
      </c>
      <c r="C7255" s="6">
        <v>20.478950000000001</v>
      </c>
      <c r="D7255" s="6">
        <v>82</v>
      </c>
      <c r="E7255" s="6">
        <v>0</v>
      </c>
      <c r="F7255" s="6">
        <v>0</v>
      </c>
      <c r="G7255" s="6">
        <v>8</v>
      </c>
      <c r="H7255" s="6" t="s">
        <v>14830</v>
      </c>
      <c r="I7255" s="6">
        <v>532.3125</v>
      </c>
      <c r="J7255" s="2">
        <f t="shared" si="113"/>
        <v>43748.006774351852</v>
      </c>
    </row>
    <row r="7256" spans="1:10" x14ac:dyDescent="0.25">
      <c r="A7256" s="7" t="s">
        <v>14831</v>
      </c>
      <c r="B7256" s="8">
        <v>412.5</v>
      </c>
      <c r="C7256" s="8">
        <v>20.478950000000001</v>
      </c>
      <c r="D7256" s="8">
        <v>78</v>
      </c>
      <c r="E7256" s="8">
        <v>0</v>
      </c>
      <c r="F7256" s="8">
        <v>0</v>
      </c>
      <c r="G7256" s="8">
        <v>14</v>
      </c>
      <c r="H7256" s="8" t="s">
        <v>14832</v>
      </c>
      <c r="I7256" s="8">
        <v>532.3125</v>
      </c>
      <c r="J7256" s="3">
        <f t="shared" si="113"/>
        <v>43748.006857673608</v>
      </c>
    </row>
    <row r="7257" spans="1:10" x14ac:dyDescent="0.25">
      <c r="A7257" s="5" t="s">
        <v>14833</v>
      </c>
      <c r="B7257" s="6">
        <v>406.25</v>
      </c>
      <c r="C7257" s="6">
        <v>20.478950000000001</v>
      </c>
      <c r="D7257" s="6">
        <v>76</v>
      </c>
      <c r="E7257" s="6">
        <v>0</v>
      </c>
      <c r="F7257" s="6">
        <v>0</v>
      </c>
      <c r="G7257" s="6">
        <v>13</v>
      </c>
      <c r="H7257" s="6" t="s">
        <v>14834</v>
      </c>
      <c r="I7257" s="6">
        <v>530.625</v>
      </c>
      <c r="J7257" s="2">
        <f t="shared" si="113"/>
        <v>43748.006928912037</v>
      </c>
    </row>
    <row r="7258" spans="1:10" x14ac:dyDescent="0.25">
      <c r="A7258" s="7" t="s">
        <v>14835</v>
      </c>
      <c r="B7258" s="8">
        <v>406.25</v>
      </c>
      <c r="C7258" s="8">
        <v>20.478950000000001</v>
      </c>
      <c r="D7258" s="8">
        <v>77</v>
      </c>
      <c r="E7258" s="8">
        <v>0</v>
      </c>
      <c r="F7258" s="8">
        <v>0</v>
      </c>
      <c r="G7258" s="8">
        <v>7</v>
      </c>
      <c r="H7258" s="8" t="s">
        <v>14836</v>
      </c>
      <c r="I7258" s="8">
        <v>530.8125</v>
      </c>
      <c r="J7258" s="3">
        <f t="shared" si="113"/>
        <v>43748.007000231482</v>
      </c>
    </row>
    <row r="7259" spans="1:10" x14ac:dyDescent="0.25">
      <c r="A7259" s="5" t="s">
        <v>14837</v>
      </c>
      <c r="B7259" s="6">
        <v>403.125</v>
      </c>
      <c r="C7259" s="6">
        <v>20.478950000000001</v>
      </c>
      <c r="D7259" s="6">
        <v>78</v>
      </c>
      <c r="E7259" s="6">
        <v>0</v>
      </c>
      <c r="F7259" s="6">
        <v>0</v>
      </c>
      <c r="G7259" s="6">
        <v>9</v>
      </c>
      <c r="H7259" s="6" t="s">
        <v>14838</v>
      </c>
      <c r="I7259" s="6">
        <v>529.875</v>
      </c>
      <c r="J7259" s="2">
        <f t="shared" si="113"/>
        <v>43748.00708372685</v>
      </c>
    </row>
    <row r="7260" spans="1:10" x14ac:dyDescent="0.25">
      <c r="A7260" s="7" t="s">
        <v>14839</v>
      </c>
      <c r="B7260" s="8">
        <v>421.875</v>
      </c>
      <c r="C7260" s="8">
        <v>20.478950000000001</v>
      </c>
      <c r="D7260" s="8">
        <v>79</v>
      </c>
      <c r="E7260" s="8">
        <v>0</v>
      </c>
      <c r="F7260" s="8">
        <v>0</v>
      </c>
      <c r="G7260" s="8">
        <v>19</v>
      </c>
      <c r="H7260" s="8" t="s">
        <v>14840</v>
      </c>
      <c r="I7260" s="8">
        <v>535.3125</v>
      </c>
      <c r="J7260" s="3">
        <f t="shared" si="113"/>
        <v>43748.007155833329</v>
      </c>
    </row>
    <row r="7261" spans="1:10" x14ac:dyDescent="0.25">
      <c r="A7261" s="5" t="s">
        <v>14841</v>
      </c>
      <c r="B7261" s="6">
        <v>403.125</v>
      </c>
      <c r="C7261" s="6">
        <v>20.478950000000001</v>
      </c>
      <c r="D7261" s="6">
        <v>82</v>
      </c>
      <c r="E7261" s="6">
        <v>0</v>
      </c>
      <c r="F7261" s="6">
        <v>0</v>
      </c>
      <c r="G7261" s="6">
        <v>24</v>
      </c>
      <c r="H7261" s="6" t="s">
        <v>14842</v>
      </c>
      <c r="I7261" s="6">
        <v>529.125</v>
      </c>
      <c r="J7261" s="2">
        <f t="shared" si="113"/>
        <v>43748.007227141199</v>
      </c>
    </row>
    <row r="7262" spans="1:10" x14ac:dyDescent="0.25">
      <c r="A7262" s="7" t="s">
        <v>14843</v>
      </c>
      <c r="B7262" s="8">
        <v>403.125</v>
      </c>
      <c r="C7262" s="8">
        <v>20.478950000000001</v>
      </c>
      <c r="D7262" s="8">
        <v>83</v>
      </c>
      <c r="E7262" s="8">
        <v>0</v>
      </c>
      <c r="F7262" s="8">
        <v>0</v>
      </c>
      <c r="G7262" s="8">
        <v>15</v>
      </c>
      <c r="H7262" s="8" t="s">
        <v>14844</v>
      </c>
      <c r="I7262" s="8">
        <v>529.125</v>
      </c>
      <c r="J7262" s="3">
        <f t="shared" si="113"/>
        <v>43748.007298449076</v>
      </c>
    </row>
    <row r="7263" spans="1:10" x14ac:dyDescent="0.25">
      <c r="A7263" s="5" t="s">
        <v>14845</v>
      </c>
      <c r="B7263" s="6">
        <v>403.125</v>
      </c>
      <c r="C7263" s="6">
        <v>20.478950000000001</v>
      </c>
      <c r="D7263" s="6">
        <v>82</v>
      </c>
      <c r="E7263" s="6">
        <v>0</v>
      </c>
      <c r="F7263" s="6">
        <v>0</v>
      </c>
      <c r="G7263" s="6">
        <v>20</v>
      </c>
      <c r="H7263" s="6" t="s">
        <v>14846</v>
      </c>
      <c r="I7263" s="6">
        <v>529.125</v>
      </c>
      <c r="J7263" s="2">
        <f t="shared" si="113"/>
        <v>43748.007370648142</v>
      </c>
    </row>
    <row r="7264" spans="1:10" x14ac:dyDescent="0.25">
      <c r="A7264" s="7" t="s">
        <v>14847</v>
      </c>
      <c r="B7264" s="8">
        <v>421.875</v>
      </c>
      <c r="C7264" s="8">
        <v>20.478950000000001</v>
      </c>
      <c r="D7264" s="8">
        <v>83</v>
      </c>
      <c r="E7264" s="8">
        <v>0</v>
      </c>
      <c r="F7264" s="8">
        <v>0</v>
      </c>
      <c r="G7264" s="8">
        <v>12</v>
      </c>
      <c r="H7264" s="8" t="s">
        <v>14848</v>
      </c>
      <c r="I7264" s="8">
        <v>535.125</v>
      </c>
      <c r="J7264" s="3">
        <f t="shared" si="113"/>
        <v>43748.007442060181</v>
      </c>
    </row>
    <row r="7265" spans="1:10" x14ac:dyDescent="0.25">
      <c r="A7265" s="5" t="s">
        <v>14849</v>
      </c>
      <c r="B7265" s="6">
        <v>400</v>
      </c>
      <c r="C7265" s="6">
        <v>20.478950000000001</v>
      </c>
      <c r="D7265" s="6">
        <v>83</v>
      </c>
      <c r="E7265" s="6">
        <v>0</v>
      </c>
      <c r="F7265" s="6">
        <v>0</v>
      </c>
      <c r="G7265" s="6">
        <v>12</v>
      </c>
      <c r="H7265" s="6" t="s">
        <v>14850</v>
      </c>
      <c r="I7265" s="6">
        <v>528.375</v>
      </c>
      <c r="J7265" s="2">
        <f t="shared" si="113"/>
        <v>43748.007525289351</v>
      </c>
    </row>
    <row r="7266" spans="1:10" x14ac:dyDescent="0.25">
      <c r="A7266" s="7" t="s">
        <v>14851</v>
      </c>
      <c r="B7266" s="8">
        <v>400</v>
      </c>
      <c r="C7266" s="8">
        <v>20.478950000000001</v>
      </c>
      <c r="D7266" s="8">
        <v>83</v>
      </c>
      <c r="E7266" s="8">
        <v>0</v>
      </c>
      <c r="F7266" s="8">
        <v>0</v>
      </c>
      <c r="G7266" s="8">
        <v>9</v>
      </c>
      <c r="H7266" s="8" t="s">
        <v>14852</v>
      </c>
      <c r="I7266" s="8">
        <v>528.1875</v>
      </c>
      <c r="J7266" s="3">
        <f t="shared" si="113"/>
        <v>43748.007596585645</v>
      </c>
    </row>
    <row r="7267" spans="1:10" x14ac:dyDescent="0.25">
      <c r="A7267" s="5" t="s">
        <v>14853</v>
      </c>
      <c r="B7267" s="6">
        <v>400</v>
      </c>
      <c r="C7267" s="6">
        <v>20.478950000000001</v>
      </c>
      <c r="D7267" s="6">
        <v>84</v>
      </c>
      <c r="E7267" s="6">
        <v>0</v>
      </c>
      <c r="F7267" s="6">
        <v>0</v>
      </c>
      <c r="G7267" s="6">
        <v>11</v>
      </c>
      <c r="H7267" s="6" t="s">
        <v>14854</v>
      </c>
      <c r="I7267" s="6">
        <v>528.1875</v>
      </c>
      <c r="J7267" s="2">
        <f t="shared" si="113"/>
        <v>43748.007668611106</v>
      </c>
    </row>
    <row r="7268" spans="1:10" x14ac:dyDescent="0.25">
      <c r="A7268" s="7" t="s">
        <v>14855</v>
      </c>
      <c r="B7268" s="8">
        <v>400</v>
      </c>
      <c r="C7268" s="8">
        <v>20.478950000000001</v>
      </c>
      <c r="D7268" s="8">
        <v>84</v>
      </c>
      <c r="E7268" s="8">
        <v>0</v>
      </c>
      <c r="F7268" s="8">
        <v>0</v>
      </c>
      <c r="G7268" s="8">
        <v>8</v>
      </c>
      <c r="H7268" s="8" t="s">
        <v>14856</v>
      </c>
      <c r="I7268" s="8">
        <v>528.1875</v>
      </c>
      <c r="J7268" s="3">
        <f t="shared" si="113"/>
        <v>43748.007739270826</v>
      </c>
    </row>
    <row r="7269" spans="1:10" x14ac:dyDescent="0.25">
      <c r="A7269" s="5" t="s">
        <v>14857</v>
      </c>
      <c r="B7269" s="6">
        <v>400</v>
      </c>
      <c r="C7269" s="6">
        <v>20.478950000000001</v>
      </c>
      <c r="D7269" s="6">
        <v>84</v>
      </c>
      <c r="E7269" s="6">
        <v>0</v>
      </c>
      <c r="F7269" s="6">
        <v>0</v>
      </c>
      <c r="G7269" s="6">
        <v>3</v>
      </c>
      <c r="H7269" s="6" t="s">
        <v>14858</v>
      </c>
      <c r="I7269" s="6">
        <v>528.1875</v>
      </c>
      <c r="J7269" s="2">
        <f t="shared" si="113"/>
        <v>43748.00782342592</v>
      </c>
    </row>
    <row r="7270" spans="1:10" x14ac:dyDescent="0.25">
      <c r="A7270" s="7" t="s">
        <v>14859</v>
      </c>
      <c r="B7270" s="8">
        <v>400</v>
      </c>
      <c r="C7270" s="8">
        <v>20.478950000000001</v>
      </c>
      <c r="D7270" s="8">
        <v>84</v>
      </c>
      <c r="E7270" s="8">
        <v>0</v>
      </c>
      <c r="F7270" s="8">
        <v>0</v>
      </c>
      <c r="G7270" s="8">
        <v>9</v>
      </c>
      <c r="H7270" s="8" t="s">
        <v>14860</v>
      </c>
      <c r="I7270" s="8">
        <v>528.375</v>
      </c>
      <c r="J7270" s="3">
        <f t="shared" si="113"/>
        <v>43748.007894710645</v>
      </c>
    </row>
    <row r="7271" spans="1:10" x14ac:dyDescent="0.25">
      <c r="A7271" s="5" t="s">
        <v>14861</v>
      </c>
      <c r="B7271" s="6">
        <v>418.75</v>
      </c>
      <c r="C7271" s="6">
        <v>20.478950000000001</v>
      </c>
      <c r="D7271" s="6">
        <v>84</v>
      </c>
      <c r="E7271" s="6">
        <v>0</v>
      </c>
      <c r="F7271" s="6">
        <v>0</v>
      </c>
      <c r="G7271" s="6">
        <v>13</v>
      </c>
      <c r="H7271" s="6" t="s">
        <v>14862</v>
      </c>
      <c r="I7271" s="6">
        <v>534.75</v>
      </c>
      <c r="J7271" s="2">
        <f t="shared" si="113"/>
        <v>43748.007978113419</v>
      </c>
    </row>
    <row r="7272" spans="1:10" x14ac:dyDescent="0.25">
      <c r="A7272" s="7" t="s">
        <v>14863</v>
      </c>
      <c r="B7272" s="8">
        <v>400</v>
      </c>
      <c r="C7272" s="8">
        <v>20.478950000000001</v>
      </c>
      <c r="D7272" s="8">
        <v>84</v>
      </c>
      <c r="E7272" s="8">
        <v>0</v>
      </c>
      <c r="F7272" s="8">
        <v>0</v>
      </c>
      <c r="G7272" s="8">
        <v>15</v>
      </c>
      <c r="H7272" s="8" t="s">
        <v>14864</v>
      </c>
      <c r="I7272" s="8">
        <v>528.1875</v>
      </c>
      <c r="J7272" s="3">
        <f t="shared" si="113"/>
        <v>43748.008050266202</v>
      </c>
    </row>
    <row r="7273" spans="1:10" x14ac:dyDescent="0.25">
      <c r="A7273" s="5" t="s">
        <v>14865</v>
      </c>
      <c r="B7273" s="6">
        <v>400</v>
      </c>
      <c r="C7273" s="6">
        <v>20.478950000000001</v>
      </c>
      <c r="D7273" s="6">
        <v>83</v>
      </c>
      <c r="E7273" s="6">
        <v>0</v>
      </c>
      <c r="F7273" s="6">
        <v>0</v>
      </c>
      <c r="G7273" s="6">
        <v>13</v>
      </c>
      <c r="H7273" s="6" t="s">
        <v>14866</v>
      </c>
      <c r="I7273" s="6">
        <v>528.1875</v>
      </c>
      <c r="J7273" s="2">
        <f t="shared" si="113"/>
        <v>43748.00813563657</v>
      </c>
    </row>
    <row r="7274" spans="1:10" x14ac:dyDescent="0.25">
      <c r="A7274" s="7" t="s">
        <v>14867</v>
      </c>
      <c r="B7274" s="8">
        <v>400</v>
      </c>
      <c r="C7274" s="8">
        <v>20.478950000000001</v>
      </c>
      <c r="D7274" s="8">
        <v>81</v>
      </c>
      <c r="E7274" s="8">
        <v>0</v>
      </c>
      <c r="F7274" s="8">
        <v>0</v>
      </c>
      <c r="G7274" s="8">
        <v>11</v>
      </c>
      <c r="H7274" s="8" t="s">
        <v>14868</v>
      </c>
      <c r="I7274" s="8">
        <v>528.1875</v>
      </c>
      <c r="J7274" s="3">
        <f t="shared" si="113"/>
        <v>43748.00821688657</v>
      </c>
    </row>
    <row r="7275" spans="1:10" x14ac:dyDescent="0.25">
      <c r="A7275" s="5" t="s">
        <v>14869</v>
      </c>
      <c r="B7275" s="6">
        <v>400</v>
      </c>
      <c r="C7275" s="6">
        <v>20.478950000000001</v>
      </c>
      <c r="D7275" s="6">
        <v>81</v>
      </c>
      <c r="E7275" s="6">
        <v>0</v>
      </c>
      <c r="F7275" s="6">
        <v>0</v>
      </c>
      <c r="G7275" s="6">
        <v>16</v>
      </c>
      <c r="H7275" s="6" t="s">
        <v>14870</v>
      </c>
      <c r="I7275" s="6">
        <v>528.1875</v>
      </c>
      <c r="J7275" s="2">
        <f t="shared" si="113"/>
        <v>43748.008288194447</v>
      </c>
    </row>
    <row r="7276" spans="1:10" x14ac:dyDescent="0.25">
      <c r="A7276" s="7" t="s">
        <v>14871</v>
      </c>
      <c r="B7276" s="8">
        <v>400</v>
      </c>
      <c r="C7276" s="8">
        <v>20.478950000000001</v>
      </c>
      <c r="D7276" s="8">
        <v>84</v>
      </c>
      <c r="E7276" s="8">
        <v>0</v>
      </c>
      <c r="F7276" s="8">
        <v>0</v>
      </c>
      <c r="G7276" s="8">
        <v>15</v>
      </c>
      <c r="H7276" s="8" t="s">
        <v>14872</v>
      </c>
      <c r="I7276" s="8">
        <v>528.375</v>
      </c>
      <c r="J7276" s="3">
        <f t="shared" si="113"/>
        <v>43748.008360312502</v>
      </c>
    </row>
    <row r="7277" spans="1:10" x14ac:dyDescent="0.25">
      <c r="A7277" s="5" t="s">
        <v>14873</v>
      </c>
      <c r="B7277" s="6">
        <v>418.75</v>
      </c>
      <c r="C7277" s="6">
        <v>20.478950000000001</v>
      </c>
      <c r="D7277" s="6">
        <v>86</v>
      </c>
      <c r="E7277" s="6">
        <v>0</v>
      </c>
      <c r="F7277" s="6">
        <v>0</v>
      </c>
      <c r="G7277" s="6">
        <v>20</v>
      </c>
      <c r="H7277" s="6" t="s">
        <v>14874</v>
      </c>
      <c r="I7277" s="6">
        <v>534</v>
      </c>
      <c r="J7277" s="2">
        <f t="shared" si="113"/>
        <v>43748.008431759255</v>
      </c>
    </row>
    <row r="7278" spans="1:10" x14ac:dyDescent="0.25">
      <c r="A7278" s="7" t="s">
        <v>14875</v>
      </c>
      <c r="B7278" s="8">
        <v>396.875</v>
      </c>
      <c r="C7278" s="8">
        <v>20.478950000000001</v>
      </c>
      <c r="D7278" s="8">
        <v>86</v>
      </c>
      <c r="E7278" s="8">
        <v>0</v>
      </c>
      <c r="F7278" s="8">
        <v>0</v>
      </c>
      <c r="G7278" s="8">
        <v>6</v>
      </c>
      <c r="H7278" s="8" t="s">
        <v>14876</v>
      </c>
      <c r="I7278" s="8">
        <v>527.4375</v>
      </c>
      <c r="J7278" s="3">
        <f t="shared" si="113"/>
        <v>43748.00850319444</v>
      </c>
    </row>
    <row r="7279" spans="1:10" x14ac:dyDescent="0.25">
      <c r="A7279" s="5" t="s">
        <v>14877</v>
      </c>
      <c r="B7279" s="6">
        <v>396.875</v>
      </c>
      <c r="C7279" s="6">
        <v>20.478950000000001</v>
      </c>
      <c r="D7279" s="6">
        <v>83</v>
      </c>
      <c r="E7279" s="6">
        <v>0</v>
      </c>
      <c r="F7279" s="6">
        <v>0</v>
      </c>
      <c r="G7279" s="6">
        <v>8</v>
      </c>
      <c r="H7279" s="6" t="s">
        <v>14878</v>
      </c>
      <c r="I7279" s="6">
        <v>527.4375</v>
      </c>
      <c r="J7279" s="2">
        <f t="shared" si="113"/>
        <v>43748.008574490734</v>
      </c>
    </row>
    <row r="7280" spans="1:10" x14ac:dyDescent="0.25">
      <c r="A7280" s="7" t="s">
        <v>14879</v>
      </c>
      <c r="B7280" s="8">
        <v>393.75</v>
      </c>
      <c r="C7280" s="8">
        <v>20.478950000000001</v>
      </c>
      <c r="D7280" s="8">
        <v>84</v>
      </c>
      <c r="E7280" s="8">
        <v>0</v>
      </c>
      <c r="F7280" s="8">
        <v>0</v>
      </c>
      <c r="G7280" s="8">
        <v>12</v>
      </c>
      <c r="H7280" s="8" t="s">
        <v>14880</v>
      </c>
      <c r="I7280" s="8">
        <v>526.6875</v>
      </c>
      <c r="J7280" s="3">
        <f t="shared" si="113"/>
        <v>43748.008657800929</v>
      </c>
    </row>
    <row r="7281" spans="1:10" x14ac:dyDescent="0.25">
      <c r="A7281" s="5" t="s">
        <v>14881</v>
      </c>
      <c r="B7281" s="6">
        <v>393.75</v>
      </c>
      <c r="C7281" s="6">
        <v>20.478950000000001</v>
      </c>
      <c r="D7281" s="6">
        <v>83</v>
      </c>
      <c r="E7281" s="6">
        <v>0</v>
      </c>
      <c r="F7281" s="6">
        <v>0</v>
      </c>
      <c r="G7281" s="6">
        <v>13</v>
      </c>
      <c r="H7281" s="6" t="s">
        <v>14882</v>
      </c>
      <c r="I7281" s="6">
        <v>526.6875</v>
      </c>
      <c r="J7281" s="2">
        <f t="shared" si="113"/>
        <v>43748.008729976849</v>
      </c>
    </row>
    <row r="7282" spans="1:10" x14ac:dyDescent="0.25">
      <c r="A7282" s="7" t="s">
        <v>14883</v>
      </c>
      <c r="B7282" s="8">
        <v>393.75</v>
      </c>
      <c r="C7282" s="8">
        <v>20.478950000000001</v>
      </c>
      <c r="D7282" s="8">
        <v>84</v>
      </c>
      <c r="E7282" s="8">
        <v>0</v>
      </c>
      <c r="F7282" s="8">
        <v>0</v>
      </c>
      <c r="G7282" s="8">
        <v>18</v>
      </c>
      <c r="H7282" s="8" t="s">
        <v>14884</v>
      </c>
      <c r="I7282" s="8">
        <v>526.6875</v>
      </c>
      <c r="J7282" s="3">
        <f t="shared" si="113"/>
        <v>43748.008801215277</v>
      </c>
    </row>
    <row r="7283" spans="1:10" x14ac:dyDescent="0.25">
      <c r="A7283" s="5" t="s">
        <v>14885</v>
      </c>
      <c r="B7283" s="6">
        <v>393.75</v>
      </c>
      <c r="C7283" s="6">
        <v>20.478950000000001</v>
      </c>
      <c r="D7283" s="6">
        <v>84</v>
      </c>
      <c r="E7283" s="6">
        <v>0</v>
      </c>
      <c r="F7283" s="6">
        <v>0</v>
      </c>
      <c r="G7283" s="6">
        <v>22</v>
      </c>
      <c r="H7283" s="6" t="s">
        <v>14886</v>
      </c>
      <c r="I7283" s="6">
        <v>526.6875</v>
      </c>
      <c r="J7283" s="2">
        <f t="shared" si="113"/>
        <v>43748.008872523147</v>
      </c>
    </row>
    <row r="7284" spans="1:10" x14ac:dyDescent="0.25">
      <c r="A7284" s="7" t="s">
        <v>14887</v>
      </c>
      <c r="B7284" s="8">
        <v>396.875</v>
      </c>
      <c r="C7284" s="8">
        <v>20.478950000000001</v>
      </c>
      <c r="D7284" s="8">
        <v>84</v>
      </c>
      <c r="E7284" s="8">
        <v>0</v>
      </c>
      <c r="F7284" s="8">
        <v>0</v>
      </c>
      <c r="G7284" s="8">
        <v>10</v>
      </c>
      <c r="H7284" s="8" t="s">
        <v>14888</v>
      </c>
      <c r="I7284" s="8">
        <v>527.4375</v>
      </c>
      <c r="J7284" s="3">
        <f t="shared" si="113"/>
        <v>43748.008944756941</v>
      </c>
    </row>
    <row r="7285" spans="1:10" x14ac:dyDescent="0.25">
      <c r="A7285" s="5" t="s">
        <v>14889</v>
      </c>
      <c r="B7285" s="6">
        <v>415.625</v>
      </c>
      <c r="C7285" s="6">
        <v>20.478950000000001</v>
      </c>
      <c r="D7285" s="6">
        <v>84</v>
      </c>
      <c r="E7285" s="6">
        <v>0</v>
      </c>
      <c r="F7285" s="6">
        <v>0</v>
      </c>
      <c r="G7285" s="6">
        <v>12</v>
      </c>
      <c r="H7285" s="6" t="s">
        <v>14890</v>
      </c>
      <c r="I7285" s="6">
        <v>533.0625</v>
      </c>
      <c r="J7285" s="2">
        <f t="shared" si="113"/>
        <v>43748.00901603009</v>
      </c>
    </row>
    <row r="7286" spans="1:10" x14ac:dyDescent="0.25">
      <c r="A7286" s="7" t="s">
        <v>14891</v>
      </c>
      <c r="B7286" s="8">
        <v>396.875</v>
      </c>
      <c r="C7286" s="8">
        <v>20.478950000000001</v>
      </c>
      <c r="D7286" s="8">
        <v>84</v>
      </c>
      <c r="E7286" s="8">
        <v>0</v>
      </c>
      <c r="F7286" s="8">
        <v>0</v>
      </c>
      <c r="G7286" s="8">
        <v>8</v>
      </c>
      <c r="H7286" s="8" t="s">
        <v>14892</v>
      </c>
      <c r="I7286" s="8">
        <v>527.4375</v>
      </c>
      <c r="J7286" s="3">
        <f t="shared" si="113"/>
        <v>43748.009087337959</v>
      </c>
    </row>
    <row r="7287" spans="1:10" x14ac:dyDescent="0.25">
      <c r="A7287" s="5" t="s">
        <v>14893</v>
      </c>
      <c r="B7287" s="6">
        <v>400</v>
      </c>
      <c r="C7287" s="6">
        <v>20.478950000000001</v>
      </c>
      <c r="D7287" s="6">
        <v>83</v>
      </c>
      <c r="E7287" s="6">
        <v>0</v>
      </c>
      <c r="F7287" s="6">
        <v>0</v>
      </c>
      <c r="G7287" s="6">
        <v>9</v>
      </c>
      <c r="H7287" s="6" t="s">
        <v>14894</v>
      </c>
      <c r="I7287" s="6">
        <v>528.375</v>
      </c>
      <c r="J7287" s="2">
        <f t="shared" si="113"/>
        <v>43748.009158611108</v>
      </c>
    </row>
    <row r="7288" spans="1:10" x14ac:dyDescent="0.25">
      <c r="A7288" s="7" t="s">
        <v>14895</v>
      </c>
      <c r="B7288" s="8">
        <v>400</v>
      </c>
      <c r="C7288" s="8">
        <v>20.478950000000001</v>
      </c>
      <c r="D7288" s="8">
        <v>84</v>
      </c>
      <c r="E7288" s="8">
        <v>0</v>
      </c>
      <c r="F7288" s="8">
        <v>0</v>
      </c>
      <c r="G7288" s="8">
        <v>19</v>
      </c>
      <c r="H7288" s="8" t="s">
        <v>14896</v>
      </c>
      <c r="I7288" s="8">
        <v>528.1875</v>
      </c>
      <c r="J7288" s="3">
        <f t="shared" si="113"/>
        <v>43748.009242789347</v>
      </c>
    </row>
    <row r="7289" spans="1:10" x14ac:dyDescent="0.25">
      <c r="A7289" s="5" t="s">
        <v>14897</v>
      </c>
      <c r="B7289" s="6">
        <v>400</v>
      </c>
      <c r="C7289" s="6">
        <v>20.478950000000001</v>
      </c>
      <c r="D7289" s="6">
        <v>84</v>
      </c>
      <c r="E7289" s="6">
        <v>0</v>
      </c>
      <c r="F7289" s="6">
        <v>0</v>
      </c>
      <c r="G7289" s="6">
        <v>10</v>
      </c>
      <c r="H7289" s="6" t="s">
        <v>14898</v>
      </c>
      <c r="I7289" s="6">
        <v>528.375</v>
      </c>
      <c r="J7289" s="2">
        <f t="shared" si="113"/>
        <v>43748.009313310184</v>
      </c>
    </row>
    <row r="7290" spans="1:10" x14ac:dyDescent="0.25">
      <c r="A7290" s="7" t="s">
        <v>14899</v>
      </c>
      <c r="B7290" s="8">
        <v>400</v>
      </c>
      <c r="C7290" s="8">
        <v>20.478950000000001</v>
      </c>
      <c r="D7290" s="8">
        <v>82</v>
      </c>
      <c r="E7290" s="8">
        <v>0</v>
      </c>
      <c r="F7290" s="8">
        <v>0</v>
      </c>
      <c r="G7290" s="8">
        <v>10</v>
      </c>
      <c r="H7290" s="8" t="s">
        <v>14900</v>
      </c>
      <c r="I7290" s="8">
        <v>528.1875</v>
      </c>
      <c r="J7290" s="3">
        <f t="shared" si="113"/>
        <v>43748.009385486112</v>
      </c>
    </row>
    <row r="7291" spans="1:10" x14ac:dyDescent="0.25">
      <c r="A7291" s="5" t="s">
        <v>14901</v>
      </c>
      <c r="B7291" s="6">
        <v>400</v>
      </c>
      <c r="C7291" s="6">
        <v>20.478950000000001</v>
      </c>
      <c r="D7291" s="6">
        <v>81</v>
      </c>
      <c r="E7291" s="6">
        <v>0</v>
      </c>
      <c r="F7291" s="6">
        <v>0</v>
      </c>
      <c r="G7291" s="6">
        <v>1</v>
      </c>
      <c r="H7291" s="6" t="s">
        <v>14902</v>
      </c>
      <c r="I7291" s="6">
        <v>528.1875</v>
      </c>
      <c r="J7291" s="2">
        <f t="shared" si="113"/>
        <v>43748.009456782405</v>
      </c>
    </row>
    <row r="7292" spans="1:10" x14ac:dyDescent="0.25">
      <c r="A7292" s="7" t="s">
        <v>14903</v>
      </c>
      <c r="B7292" s="8">
        <v>400</v>
      </c>
      <c r="C7292" s="8">
        <v>20.478950000000001</v>
      </c>
      <c r="D7292" s="8">
        <v>81</v>
      </c>
      <c r="E7292" s="8">
        <v>0</v>
      </c>
      <c r="F7292" s="8">
        <v>0</v>
      </c>
      <c r="G7292" s="8">
        <v>11</v>
      </c>
      <c r="H7292" s="8" t="s">
        <v>14904</v>
      </c>
      <c r="I7292" s="8">
        <v>528.375</v>
      </c>
      <c r="J7292" s="3">
        <f t="shared" si="113"/>
        <v>43748.009529120369</v>
      </c>
    </row>
    <row r="7293" spans="1:10" x14ac:dyDescent="0.25">
      <c r="A7293" s="5" t="s">
        <v>14905</v>
      </c>
      <c r="B7293" s="6">
        <v>400</v>
      </c>
      <c r="C7293" s="6">
        <v>20.478950000000001</v>
      </c>
      <c r="D7293" s="6">
        <v>81</v>
      </c>
      <c r="E7293" s="6">
        <v>0</v>
      </c>
      <c r="F7293" s="6">
        <v>0</v>
      </c>
      <c r="G7293" s="6">
        <v>9</v>
      </c>
      <c r="H7293" s="6" t="s">
        <v>14906</v>
      </c>
      <c r="I7293" s="6">
        <v>528.375</v>
      </c>
      <c r="J7293" s="2">
        <f t="shared" si="113"/>
        <v>43748.009600289348</v>
      </c>
    </row>
    <row r="7294" spans="1:10" x14ac:dyDescent="0.25">
      <c r="A7294" s="7" t="s">
        <v>14907</v>
      </c>
      <c r="B7294" s="8">
        <v>400</v>
      </c>
      <c r="C7294" s="8">
        <v>20.478950000000001</v>
      </c>
      <c r="D7294" s="8">
        <v>82</v>
      </c>
      <c r="E7294" s="8">
        <v>0</v>
      </c>
      <c r="F7294" s="8">
        <v>0</v>
      </c>
      <c r="G7294" s="8">
        <v>9</v>
      </c>
      <c r="H7294" s="8" t="s">
        <v>14908</v>
      </c>
      <c r="I7294" s="8">
        <v>528.1875</v>
      </c>
      <c r="J7294" s="3">
        <f t="shared" si="113"/>
        <v>43748.009690902771</v>
      </c>
    </row>
    <row r="7295" spans="1:10" x14ac:dyDescent="0.25">
      <c r="A7295" s="5" t="s">
        <v>14909</v>
      </c>
      <c r="B7295" s="6">
        <v>400</v>
      </c>
      <c r="C7295" s="6">
        <v>20.478950000000001</v>
      </c>
      <c r="D7295" s="6">
        <v>83</v>
      </c>
      <c r="E7295" s="6">
        <v>0</v>
      </c>
      <c r="F7295" s="6">
        <v>0</v>
      </c>
      <c r="G7295" s="6">
        <v>17</v>
      </c>
      <c r="H7295" s="6" t="s">
        <v>14910</v>
      </c>
      <c r="I7295" s="6">
        <v>528.1875</v>
      </c>
      <c r="J7295" s="2">
        <f t="shared" si="113"/>
        <v>43748.009766979165</v>
      </c>
    </row>
    <row r="7296" spans="1:10" x14ac:dyDescent="0.25">
      <c r="A7296" s="7" t="s">
        <v>14911</v>
      </c>
      <c r="B7296" s="8">
        <v>400</v>
      </c>
      <c r="C7296" s="8">
        <v>20.478950000000001</v>
      </c>
      <c r="D7296" s="8">
        <v>83</v>
      </c>
      <c r="E7296" s="8">
        <v>0</v>
      </c>
      <c r="F7296" s="8">
        <v>0</v>
      </c>
      <c r="G7296" s="8">
        <v>12</v>
      </c>
      <c r="H7296" s="8" t="s">
        <v>14912</v>
      </c>
      <c r="I7296" s="8">
        <v>528.375</v>
      </c>
      <c r="J7296" s="3">
        <f t="shared" si="113"/>
        <v>43748.009838298611</v>
      </c>
    </row>
    <row r="7297" spans="1:10" x14ac:dyDescent="0.25">
      <c r="A7297" s="5" t="s">
        <v>14913</v>
      </c>
      <c r="B7297" s="6">
        <v>400</v>
      </c>
      <c r="C7297" s="6">
        <v>20.478950000000001</v>
      </c>
      <c r="D7297" s="6">
        <v>85</v>
      </c>
      <c r="E7297" s="6">
        <v>0</v>
      </c>
      <c r="F7297" s="6">
        <v>0</v>
      </c>
      <c r="G7297" s="6">
        <v>11</v>
      </c>
      <c r="H7297" s="6" t="s">
        <v>14914</v>
      </c>
      <c r="I7297" s="6">
        <v>528.375</v>
      </c>
      <c r="J7297" s="2">
        <f t="shared" si="113"/>
        <v>43748.009910486107</v>
      </c>
    </row>
    <row r="7298" spans="1:10" x14ac:dyDescent="0.25">
      <c r="A7298" s="7" t="s">
        <v>14915</v>
      </c>
      <c r="B7298" s="8">
        <v>400</v>
      </c>
      <c r="C7298" s="8">
        <v>20.478950000000001</v>
      </c>
      <c r="D7298" s="8">
        <v>84</v>
      </c>
      <c r="E7298" s="8">
        <v>0</v>
      </c>
      <c r="F7298" s="8">
        <v>0</v>
      </c>
      <c r="G7298" s="8">
        <v>19</v>
      </c>
      <c r="H7298" s="8" t="s">
        <v>14916</v>
      </c>
      <c r="I7298" s="8">
        <v>528.375</v>
      </c>
      <c r="J7298" s="3">
        <f t="shared" ref="J7298:J7361" si="114">(H7298/86400000)+25569+(7/24)</f>
        <v>43748.00998185185</v>
      </c>
    </row>
    <row r="7299" spans="1:10" x14ac:dyDescent="0.25">
      <c r="A7299" s="5" t="s">
        <v>14917</v>
      </c>
      <c r="B7299" s="6">
        <v>400</v>
      </c>
      <c r="C7299" s="6">
        <v>20.478950000000001</v>
      </c>
      <c r="D7299" s="6">
        <v>84</v>
      </c>
      <c r="E7299" s="6">
        <v>0</v>
      </c>
      <c r="F7299" s="6">
        <v>0</v>
      </c>
      <c r="G7299" s="6">
        <v>15</v>
      </c>
      <c r="H7299" s="6" t="s">
        <v>14918</v>
      </c>
      <c r="I7299" s="6">
        <v>528.1875</v>
      </c>
      <c r="J7299" s="2">
        <f t="shared" si="114"/>
        <v>43748.010053101847</v>
      </c>
    </row>
    <row r="7300" spans="1:10" x14ac:dyDescent="0.25">
      <c r="A7300" s="7" t="s">
        <v>14919</v>
      </c>
      <c r="B7300" s="8">
        <v>400</v>
      </c>
      <c r="C7300" s="8">
        <v>20.478950000000001</v>
      </c>
      <c r="D7300" s="8">
        <v>84</v>
      </c>
      <c r="E7300" s="8">
        <v>0</v>
      </c>
      <c r="F7300" s="8">
        <v>0</v>
      </c>
      <c r="G7300" s="8">
        <v>11</v>
      </c>
      <c r="H7300" s="8" t="s">
        <v>14920</v>
      </c>
      <c r="I7300" s="8">
        <v>528.1875</v>
      </c>
      <c r="J7300" s="3">
        <f t="shared" si="114"/>
        <v>43748.010138923608</v>
      </c>
    </row>
    <row r="7301" spans="1:10" x14ac:dyDescent="0.25">
      <c r="A7301" s="5" t="s">
        <v>14921</v>
      </c>
      <c r="B7301" s="6">
        <v>400</v>
      </c>
      <c r="C7301" s="6">
        <v>20.478950000000001</v>
      </c>
      <c r="D7301" s="6">
        <v>84</v>
      </c>
      <c r="E7301" s="6">
        <v>0</v>
      </c>
      <c r="F7301" s="6">
        <v>0</v>
      </c>
      <c r="G7301" s="6">
        <v>10</v>
      </c>
      <c r="H7301" s="6" t="s">
        <v>14922</v>
      </c>
      <c r="I7301" s="6">
        <v>528.375</v>
      </c>
      <c r="J7301" s="2">
        <f t="shared" si="114"/>
        <v>43748.010220671298</v>
      </c>
    </row>
    <row r="7302" spans="1:10" x14ac:dyDescent="0.25">
      <c r="A7302" s="7" t="s">
        <v>14923</v>
      </c>
      <c r="B7302" s="8">
        <v>418.75</v>
      </c>
      <c r="C7302" s="8">
        <v>20.478950000000001</v>
      </c>
      <c r="D7302" s="8">
        <v>84</v>
      </c>
      <c r="E7302" s="8">
        <v>0</v>
      </c>
      <c r="F7302" s="8">
        <v>0</v>
      </c>
      <c r="G7302" s="8">
        <v>6</v>
      </c>
      <c r="H7302" s="8" t="s">
        <v>14924</v>
      </c>
      <c r="I7302" s="8">
        <v>534</v>
      </c>
      <c r="J7302" s="3">
        <f t="shared" si="114"/>
        <v>43748.010318009256</v>
      </c>
    </row>
    <row r="7303" spans="1:10" x14ac:dyDescent="0.25">
      <c r="A7303" s="5" t="s">
        <v>14925</v>
      </c>
      <c r="B7303" s="6">
        <v>400</v>
      </c>
      <c r="C7303" s="6">
        <v>20.478950000000001</v>
      </c>
      <c r="D7303" s="6">
        <v>85</v>
      </c>
      <c r="E7303" s="6">
        <v>0</v>
      </c>
      <c r="F7303" s="6">
        <v>0</v>
      </c>
      <c r="G7303" s="6">
        <v>15</v>
      </c>
      <c r="H7303" s="6" t="s">
        <v>14926</v>
      </c>
      <c r="I7303" s="6">
        <v>528.375</v>
      </c>
      <c r="J7303" s="2">
        <f t="shared" si="114"/>
        <v>43748.010399363418</v>
      </c>
    </row>
    <row r="7304" spans="1:10" x14ac:dyDescent="0.25">
      <c r="A7304" s="7" t="s">
        <v>14927</v>
      </c>
      <c r="B7304" s="8">
        <v>400</v>
      </c>
      <c r="C7304" s="8">
        <v>20.478950000000001</v>
      </c>
      <c r="D7304" s="8">
        <v>85</v>
      </c>
      <c r="E7304" s="8">
        <v>0</v>
      </c>
      <c r="F7304" s="8">
        <v>0</v>
      </c>
      <c r="G7304" s="8">
        <v>9</v>
      </c>
      <c r="H7304" s="8" t="s">
        <v>14928</v>
      </c>
      <c r="I7304" s="8">
        <v>528.1875</v>
      </c>
      <c r="J7304" s="3">
        <f t="shared" si="114"/>
        <v>43748.010470601854</v>
      </c>
    </row>
    <row r="7305" spans="1:10" x14ac:dyDescent="0.25">
      <c r="A7305" s="5" t="s">
        <v>14929</v>
      </c>
      <c r="B7305" s="6">
        <v>400</v>
      </c>
      <c r="C7305" s="6">
        <v>20.478950000000001</v>
      </c>
      <c r="D7305" s="6">
        <v>85</v>
      </c>
      <c r="E7305" s="6">
        <v>0</v>
      </c>
      <c r="F7305" s="6">
        <v>0</v>
      </c>
      <c r="G7305" s="6">
        <v>19</v>
      </c>
      <c r="H7305" s="6" t="s">
        <v>14930</v>
      </c>
      <c r="I7305" s="6">
        <v>528.1875</v>
      </c>
      <c r="J7305" s="2">
        <f t="shared" si="114"/>
        <v>43748.010554016197</v>
      </c>
    </row>
    <row r="7306" spans="1:10" x14ac:dyDescent="0.25">
      <c r="A7306" s="7" t="s">
        <v>14931</v>
      </c>
      <c r="B7306" s="8">
        <v>400</v>
      </c>
      <c r="C7306" s="8">
        <v>20.478950000000001</v>
      </c>
      <c r="D7306" s="8">
        <v>85</v>
      </c>
      <c r="E7306" s="8">
        <v>0</v>
      </c>
      <c r="F7306" s="8">
        <v>0</v>
      </c>
      <c r="G7306" s="8">
        <v>17</v>
      </c>
      <c r="H7306" s="8" t="s">
        <v>14932</v>
      </c>
      <c r="I7306" s="8">
        <v>528.1875</v>
      </c>
      <c r="J7306" s="3">
        <f t="shared" si="114"/>
        <v>43748.010625347219</v>
      </c>
    </row>
    <row r="7307" spans="1:10" x14ac:dyDescent="0.25">
      <c r="A7307" s="5" t="s">
        <v>14933</v>
      </c>
      <c r="B7307" s="6">
        <v>400</v>
      </c>
      <c r="C7307" s="6">
        <v>20.478950000000001</v>
      </c>
      <c r="D7307" s="6">
        <v>89</v>
      </c>
      <c r="E7307" s="6">
        <v>0</v>
      </c>
      <c r="F7307" s="6">
        <v>0</v>
      </c>
      <c r="G7307" s="6">
        <v>9</v>
      </c>
      <c r="H7307" s="6" t="s">
        <v>14934</v>
      </c>
      <c r="I7307" s="6">
        <v>528.375</v>
      </c>
      <c r="J7307" s="2">
        <f t="shared" si="114"/>
        <v>43748.010709629627</v>
      </c>
    </row>
    <row r="7308" spans="1:10" x14ac:dyDescent="0.25">
      <c r="A7308" s="7" t="s">
        <v>14935</v>
      </c>
      <c r="B7308" s="8">
        <v>400</v>
      </c>
      <c r="C7308" s="8">
        <v>20.478950000000001</v>
      </c>
      <c r="D7308" s="8">
        <v>89</v>
      </c>
      <c r="E7308" s="8">
        <v>0</v>
      </c>
      <c r="F7308" s="8">
        <v>0</v>
      </c>
      <c r="G7308" s="8">
        <v>10</v>
      </c>
      <c r="H7308" s="8" t="s">
        <v>14936</v>
      </c>
      <c r="I7308" s="8">
        <v>528.375</v>
      </c>
      <c r="J7308" s="3">
        <f t="shared" si="114"/>
        <v>43748.01078074074</v>
      </c>
    </row>
    <row r="7309" spans="1:10" x14ac:dyDescent="0.25">
      <c r="A7309" s="5" t="s">
        <v>14937</v>
      </c>
      <c r="B7309" s="6">
        <v>400</v>
      </c>
      <c r="C7309" s="6">
        <v>20.478950000000001</v>
      </c>
      <c r="D7309" s="6">
        <v>88</v>
      </c>
      <c r="E7309" s="6">
        <v>0</v>
      </c>
      <c r="F7309" s="6">
        <v>0</v>
      </c>
      <c r="G7309" s="6">
        <v>13</v>
      </c>
      <c r="H7309" s="6" t="s">
        <v>14938</v>
      </c>
      <c r="I7309" s="6">
        <v>528.1875</v>
      </c>
      <c r="J7309" s="2">
        <f t="shared" si="114"/>
        <v>43748.010852118052</v>
      </c>
    </row>
    <row r="7310" spans="1:10" x14ac:dyDescent="0.25">
      <c r="A7310" s="7" t="s">
        <v>14939</v>
      </c>
      <c r="B7310" s="8">
        <v>400</v>
      </c>
      <c r="C7310" s="8">
        <v>20.478950000000001</v>
      </c>
      <c r="D7310" s="8">
        <v>86</v>
      </c>
      <c r="E7310" s="8">
        <v>0</v>
      </c>
      <c r="F7310" s="8">
        <v>0</v>
      </c>
      <c r="G7310" s="8">
        <v>15</v>
      </c>
      <c r="H7310" s="8" t="s">
        <v>14940</v>
      </c>
      <c r="I7310" s="8">
        <v>528.1875</v>
      </c>
      <c r="J7310" s="3">
        <f t="shared" si="114"/>
        <v>43748.010923472219</v>
      </c>
    </row>
    <row r="7311" spans="1:10" x14ac:dyDescent="0.25">
      <c r="A7311" s="5" t="s">
        <v>14941</v>
      </c>
      <c r="B7311" s="6">
        <v>400</v>
      </c>
      <c r="C7311" s="6">
        <v>20.478950000000001</v>
      </c>
      <c r="D7311" s="6">
        <v>87</v>
      </c>
      <c r="E7311" s="6">
        <v>0</v>
      </c>
      <c r="F7311" s="6">
        <v>0</v>
      </c>
      <c r="G7311" s="6">
        <v>14</v>
      </c>
      <c r="H7311" s="6" t="s">
        <v>14942</v>
      </c>
      <c r="I7311" s="6">
        <v>528.1875</v>
      </c>
      <c r="J7311" s="2">
        <f t="shared" si="114"/>
        <v>43748.010995625002</v>
      </c>
    </row>
    <row r="7312" spans="1:10" x14ac:dyDescent="0.25">
      <c r="A7312" s="7" t="s">
        <v>14943</v>
      </c>
      <c r="B7312" s="8">
        <v>403.125</v>
      </c>
      <c r="C7312" s="8">
        <v>20.478950000000001</v>
      </c>
      <c r="D7312" s="8">
        <v>86</v>
      </c>
      <c r="E7312" s="8">
        <v>0</v>
      </c>
      <c r="F7312" s="8">
        <v>0</v>
      </c>
      <c r="G7312" s="8">
        <v>14</v>
      </c>
      <c r="H7312" s="8" t="s">
        <v>14944</v>
      </c>
      <c r="I7312" s="8">
        <v>529.125</v>
      </c>
      <c r="J7312" s="3">
        <f t="shared" si="114"/>
        <v>43748.011066979168</v>
      </c>
    </row>
    <row r="7313" spans="1:10" x14ac:dyDescent="0.25">
      <c r="A7313" s="5" t="s">
        <v>14945</v>
      </c>
      <c r="B7313" s="6">
        <v>403.125</v>
      </c>
      <c r="C7313" s="6">
        <v>20.478950000000001</v>
      </c>
      <c r="D7313" s="6">
        <v>88</v>
      </c>
      <c r="E7313" s="6">
        <v>0</v>
      </c>
      <c r="F7313" s="6">
        <v>0</v>
      </c>
      <c r="G7313" s="6">
        <v>9</v>
      </c>
      <c r="H7313" s="6" t="s">
        <v>14946</v>
      </c>
      <c r="I7313" s="6">
        <v>529.125</v>
      </c>
      <c r="J7313" s="2">
        <f t="shared" si="114"/>
        <v>43748.011150254628</v>
      </c>
    </row>
    <row r="7314" spans="1:10" x14ac:dyDescent="0.25">
      <c r="A7314" s="7" t="s">
        <v>14947</v>
      </c>
      <c r="B7314" s="8">
        <v>428.125</v>
      </c>
      <c r="C7314" s="8">
        <v>20.478950000000001</v>
      </c>
      <c r="D7314" s="8">
        <v>88</v>
      </c>
      <c r="E7314" s="8">
        <v>0</v>
      </c>
      <c r="F7314" s="8">
        <v>0</v>
      </c>
      <c r="G7314" s="8">
        <v>12</v>
      </c>
      <c r="H7314" s="8" t="s">
        <v>14948</v>
      </c>
      <c r="I7314" s="8">
        <v>537.75</v>
      </c>
      <c r="J7314" s="3">
        <f t="shared" si="114"/>
        <v>43748.011221597219</v>
      </c>
    </row>
    <row r="7315" spans="1:10" x14ac:dyDescent="0.25">
      <c r="A7315" s="5" t="s">
        <v>14949</v>
      </c>
      <c r="B7315" s="6">
        <v>403.125</v>
      </c>
      <c r="C7315" s="6">
        <v>20.426300000000001</v>
      </c>
      <c r="D7315" s="6">
        <v>89</v>
      </c>
      <c r="E7315" s="6">
        <v>0</v>
      </c>
      <c r="F7315" s="6">
        <v>0</v>
      </c>
      <c r="G7315" s="6">
        <v>20</v>
      </c>
      <c r="H7315" s="6" t="s">
        <v>14950</v>
      </c>
      <c r="I7315" s="6">
        <v>529.125</v>
      </c>
      <c r="J7315" s="2">
        <f t="shared" si="114"/>
        <v>43748.011293703697</v>
      </c>
    </row>
    <row r="7316" spans="1:10" x14ac:dyDescent="0.25">
      <c r="A7316" s="7" t="s">
        <v>14951</v>
      </c>
      <c r="B7316" s="8">
        <v>403.125</v>
      </c>
      <c r="C7316" s="8">
        <v>20.478950000000001</v>
      </c>
      <c r="D7316" s="8">
        <v>89</v>
      </c>
      <c r="E7316" s="8">
        <v>0</v>
      </c>
      <c r="F7316" s="8">
        <v>0</v>
      </c>
      <c r="G7316" s="8">
        <v>11</v>
      </c>
      <c r="H7316" s="8" t="s">
        <v>14952</v>
      </c>
      <c r="I7316" s="8">
        <v>529.875</v>
      </c>
      <c r="J7316" s="3">
        <f t="shared" si="114"/>
        <v>43748.011377118055</v>
      </c>
    </row>
    <row r="7317" spans="1:10" x14ac:dyDescent="0.25">
      <c r="A7317" s="5" t="s">
        <v>14953</v>
      </c>
      <c r="B7317" s="6">
        <v>406.25</v>
      </c>
      <c r="C7317" s="6">
        <v>20.478950000000001</v>
      </c>
      <c r="D7317" s="6">
        <v>89</v>
      </c>
      <c r="E7317" s="6">
        <v>0</v>
      </c>
      <c r="F7317" s="6">
        <v>0</v>
      </c>
      <c r="G7317" s="6">
        <v>14</v>
      </c>
      <c r="H7317" s="6" t="s">
        <v>14954</v>
      </c>
      <c r="I7317" s="6">
        <v>530.625</v>
      </c>
      <c r="J7317" s="2">
        <f t="shared" si="114"/>
        <v>43748.01144840278</v>
      </c>
    </row>
    <row r="7318" spans="1:10" x14ac:dyDescent="0.25">
      <c r="A7318" s="7" t="s">
        <v>14955</v>
      </c>
      <c r="B7318" s="8">
        <v>406.25</v>
      </c>
      <c r="C7318" s="8">
        <v>20.478950000000001</v>
      </c>
      <c r="D7318" s="8">
        <v>87</v>
      </c>
      <c r="E7318" s="8">
        <v>0</v>
      </c>
      <c r="F7318" s="8">
        <v>0</v>
      </c>
      <c r="G7318" s="8">
        <v>23</v>
      </c>
      <c r="H7318" s="8" t="s">
        <v>14956</v>
      </c>
      <c r="I7318" s="8">
        <v>530.8125</v>
      </c>
      <c r="J7318" s="3">
        <f t="shared" si="114"/>
        <v>43748.011519768515</v>
      </c>
    </row>
    <row r="7319" spans="1:10" x14ac:dyDescent="0.25">
      <c r="A7319" s="5" t="s">
        <v>14957</v>
      </c>
      <c r="B7319" s="6">
        <v>406.25</v>
      </c>
      <c r="C7319" s="6">
        <v>20.478950000000001</v>
      </c>
      <c r="D7319" s="6">
        <v>87</v>
      </c>
      <c r="E7319" s="6">
        <v>0</v>
      </c>
      <c r="F7319" s="6">
        <v>0</v>
      </c>
      <c r="G7319" s="6">
        <v>6</v>
      </c>
      <c r="H7319" s="6" t="s">
        <v>14958</v>
      </c>
      <c r="I7319" s="6">
        <v>530.8125</v>
      </c>
      <c r="J7319" s="2">
        <f t="shared" si="114"/>
        <v>43748.011591932867</v>
      </c>
    </row>
    <row r="7320" spans="1:10" x14ac:dyDescent="0.25">
      <c r="A7320" s="7" t="s">
        <v>14959</v>
      </c>
      <c r="B7320" s="8">
        <v>406.25</v>
      </c>
      <c r="C7320" s="8">
        <v>20.478950000000001</v>
      </c>
      <c r="D7320" s="8">
        <v>86</v>
      </c>
      <c r="E7320" s="8">
        <v>0</v>
      </c>
      <c r="F7320" s="8">
        <v>0</v>
      </c>
      <c r="G7320" s="8">
        <v>15</v>
      </c>
      <c r="H7320" s="8" t="s">
        <v>14960</v>
      </c>
      <c r="I7320" s="8">
        <v>530.625</v>
      </c>
      <c r="J7320" s="3">
        <f t="shared" si="114"/>
        <v>43748.011663217585</v>
      </c>
    </row>
    <row r="7321" spans="1:10" x14ac:dyDescent="0.25">
      <c r="A7321" s="5" t="s">
        <v>14961</v>
      </c>
      <c r="B7321" s="6">
        <v>406.25</v>
      </c>
      <c r="C7321" s="6">
        <v>20.478950000000001</v>
      </c>
      <c r="D7321" s="6">
        <v>87</v>
      </c>
      <c r="E7321" s="6">
        <v>0</v>
      </c>
      <c r="F7321" s="6">
        <v>0</v>
      </c>
      <c r="G7321" s="6">
        <v>13</v>
      </c>
      <c r="H7321" s="6" t="s">
        <v>14962</v>
      </c>
      <c r="I7321" s="6">
        <v>530.8125</v>
      </c>
      <c r="J7321" s="2">
        <f t="shared" si="114"/>
        <v>43748.01173450231</v>
      </c>
    </row>
    <row r="7322" spans="1:10" x14ac:dyDescent="0.25">
      <c r="A7322" s="7" t="s">
        <v>14963</v>
      </c>
      <c r="B7322" s="8">
        <v>425</v>
      </c>
      <c r="C7322" s="8">
        <v>20.478950000000001</v>
      </c>
      <c r="D7322" s="8">
        <v>87</v>
      </c>
      <c r="E7322" s="8">
        <v>0</v>
      </c>
      <c r="F7322" s="8">
        <v>0</v>
      </c>
      <c r="G7322" s="8">
        <v>13</v>
      </c>
      <c r="H7322" s="8" t="s">
        <v>14964</v>
      </c>
      <c r="I7322" s="8">
        <v>536.25</v>
      </c>
      <c r="J7322" s="3">
        <f t="shared" si="114"/>
        <v>43748.011817905091</v>
      </c>
    </row>
    <row r="7323" spans="1:10" x14ac:dyDescent="0.25">
      <c r="A7323" s="5" t="s">
        <v>14965</v>
      </c>
      <c r="B7323" s="6">
        <v>406.25</v>
      </c>
      <c r="C7323" s="6">
        <v>20.478950000000001</v>
      </c>
      <c r="D7323" s="6">
        <v>88</v>
      </c>
      <c r="E7323" s="6">
        <v>0</v>
      </c>
      <c r="F7323" s="6">
        <v>0</v>
      </c>
      <c r="G7323" s="6">
        <v>9</v>
      </c>
      <c r="H7323" s="6" t="s">
        <v>14966</v>
      </c>
      <c r="I7323" s="6">
        <v>530.625</v>
      </c>
      <c r="J7323" s="2">
        <f t="shared" si="114"/>
        <v>43748.011890023146</v>
      </c>
    </row>
    <row r="7324" spans="1:10" x14ac:dyDescent="0.25">
      <c r="A7324" s="7" t="s">
        <v>14967</v>
      </c>
      <c r="B7324" s="8">
        <v>406.25</v>
      </c>
      <c r="C7324" s="8">
        <v>20.478950000000001</v>
      </c>
      <c r="D7324" s="8">
        <v>87</v>
      </c>
      <c r="E7324" s="8">
        <v>0</v>
      </c>
      <c r="F7324" s="8">
        <v>0</v>
      </c>
      <c r="G7324" s="8">
        <v>15</v>
      </c>
      <c r="H7324" s="8" t="s">
        <v>14968</v>
      </c>
      <c r="I7324" s="8">
        <v>530.625</v>
      </c>
      <c r="J7324" s="3">
        <f t="shared" si="114"/>
        <v>43748.011960972224</v>
      </c>
    </row>
    <row r="7325" spans="1:10" x14ac:dyDescent="0.25">
      <c r="A7325" s="5" t="s">
        <v>14969</v>
      </c>
      <c r="B7325" s="6">
        <v>406.25</v>
      </c>
      <c r="C7325" s="6">
        <v>20.478950000000001</v>
      </c>
      <c r="D7325" s="6">
        <v>87</v>
      </c>
      <c r="E7325" s="6">
        <v>0</v>
      </c>
      <c r="F7325" s="6">
        <v>0</v>
      </c>
      <c r="G7325" s="6">
        <v>11</v>
      </c>
      <c r="H7325" s="6" t="s">
        <v>14970</v>
      </c>
      <c r="I7325" s="6">
        <v>530.8125</v>
      </c>
      <c r="J7325" s="2">
        <f t="shared" si="114"/>
        <v>43748.012032673607</v>
      </c>
    </row>
    <row r="7326" spans="1:10" x14ac:dyDescent="0.25">
      <c r="A7326" s="7" t="s">
        <v>14971</v>
      </c>
      <c r="B7326" s="8">
        <v>403.125</v>
      </c>
      <c r="C7326" s="8">
        <v>20.478950000000001</v>
      </c>
      <c r="D7326" s="8">
        <v>87</v>
      </c>
      <c r="E7326" s="8">
        <v>0</v>
      </c>
      <c r="F7326" s="8">
        <v>0</v>
      </c>
      <c r="G7326" s="8">
        <v>10</v>
      </c>
      <c r="H7326" s="8" t="s">
        <v>14972</v>
      </c>
      <c r="I7326" s="8">
        <v>529.875</v>
      </c>
      <c r="J7326" s="3">
        <f t="shared" si="114"/>
        <v>43748.012128043978</v>
      </c>
    </row>
    <row r="7327" spans="1:10" x14ac:dyDescent="0.25">
      <c r="A7327" s="5" t="s">
        <v>14973</v>
      </c>
      <c r="B7327" s="6">
        <v>403.125</v>
      </c>
      <c r="C7327" s="6">
        <v>20.478950000000001</v>
      </c>
      <c r="D7327" s="6">
        <v>87</v>
      </c>
      <c r="E7327" s="6">
        <v>0</v>
      </c>
      <c r="F7327" s="6">
        <v>0</v>
      </c>
      <c r="G7327" s="6">
        <v>16</v>
      </c>
      <c r="H7327" s="6" t="s">
        <v>14974</v>
      </c>
      <c r="I7327" s="6">
        <v>529.875</v>
      </c>
      <c r="J7327" s="2">
        <f t="shared" si="114"/>
        <v>43748.012200092591</v>
      </c>
    </row>
    <row r="7328" spans="1:10" x14ac:dyDescent="0.25">
      <c r="A7328" s="7" t="s">
        <v>14975</v>
      </c>
      <c r="B7328" s="8">
        <v>421.875</v>
      </c>
      <c r="C7328" s="8">
        <v>20.478950000000001</v>
      </c>
      <c r="D7328" s="8">
        <v>87</v>
      </c>
      <c r="E7328" s="8">
        <v>0</v>
      </c>
      <c r="F7328" s="8">
        <v>0</v>
      </c>
      <c r="G7328" s="8">
        <v>15</v>
      </c>
      <c r="H7328" s="8" t="s">
        <v>14976</v>
      </c>
      <c r="I7328" s="8">
        <v>535.5</v>
      </c>
      <c r="J7328" s="3">
        <f t="shared" si="114"/>
        <v>43748.012271550928</v>
      </c>
    </row>
    <row r="7329" spans="1:10" x14ac:dyDescent="0.25">
      <c r="A7329" s="5" t="s">
        <v>14977</v>
      </c>
      <c r="B7329" s="6">
        <v>403.125</v>
      </c>
      <c r="C7329" s="6">
        <v>20.478950000000001</v>
      </c>
      <c r="D7329" s="6">
        <v>88</v>
      </c>
      <c r="E7329" s="6">
        <v>0</v>
      </c>
      <c r="F7329" s="6">
        <v>0</v>
      </c>
      <c r="G7329" s="6">
        <v>13</v>
      </c>
      <c r="H7329" s="6" t="s">
        <v>14978</v>
      </c>
      <c r="I7329" s="6">
        <v>529.125</v>
      </c>
      <c r="J7329" s="2">
        <f t="shared" si="114"/>
        <v>43748.012342847222</v>
      </c>
    </row>
    <row r="7330" spans="1:10" x14ac:dyDescent="0.25">
      <c r="A7330" s="7" t="s">
        <v>14979</v>
      </c>
      <c r="B7330" s="8">
        <v>403.125</v>
      </c>
      <c r="C7330" s="8">
        <v>20.478950000000001</v>
      </c>
      <c r="D7330" s="8">
        <v>89</v>
      </c>
      <c r="E7330" s="8">
        <v>0</v>
      </c>
      <c r="F7330" s="8">
        <v>0</v>
      </c>
      <c r="G7330" s="8">
        <v>19</v>
      </c>
      <c r="H7330" s="8" t="s">
        <v>14980</v>
      </c>
      <c r="I7330" s="8">
        <v>529.125</v>
      </c>
      <c r="J7330" s="3">
        <f t="shared" si="114"/>
        <v>43748.012414155091</v>
      </c>
    </row>
    <row r="7331" spans="1:10" x14ac:dyDescent="0.25">
      <c r="A7331" s="5" t="s">
        <v>14981</v>
      </c>
      <c r="B7331" s="6">
        <v>400</v>
      </c>
      <c r="C7331" s="6">
        <v>20.478950000000001</v>
      </c>
      <c r="D7331" s="6">
        <v>89</v>
      </c>
      <c r="E7331" s="6">
        <v>0</v>
      </c>
      <c r="F7331" s="6">
        <v>0</v>
      </c>
      <c r="G7331" s="6">
        <v>19</v>
      </c>
      <c r="H7331" s="6" t="s">
        <v>14982</v>
      </c>
      <c r="I7331" s="6">
        <v>528.9375</v>
      </c>
      <c r="J7331" s="2">
        <f t="shared" si="114"/>
        <v>43748.012486307867</v>
      </c>
    </row>
    <row r="7332" spans="1:10" x14ac:dyDescent="0.25">
      <c r="A7332" s="7" t="s">
        <v>14983</v>
      </c>
      <c r="B7332" s="8">
        <v>400</v>
      </c>
      <c r="C7332" s="8">
        <v>20.478950000000001</v>
      </c>
      <c r="D7332" s="8">
        <v>89</v>
      </c>
      <c r="E7332" s="8">
        <v>0</v>
      </c>
      <c r="F7332" s="8">
        <v>0</v>
      </c>
      <c r="G7332" s="8">
        <v>16</v>
      </c>
      <c r="H7332" s="8" t="s">
        <v>14984</v>
      </c>
      <c r="I7332" s="8">
        <v>528.9375</v>
      </c>
      <c r="J7332" s="3">
        <f t="shared" si="114"/>
        <v>43748.012557662034</v>
      </c>
    </row>
    <row r="7333" spans="1:10" x14ac:dyDescent="0.25">
      <c r="A7333" s="5" t="s">
        <v>14985</v>
      </c>
      <c r="B7333" s="6">
        <v>403.125</v>
      </c>
      <c r="C7333" s="6">
        <v>20.478950000000001</v>
      </c>
      <c r="D7333" s="6">
        <v>89</v>
      </c>
      <c r="E7333" s="6">
        <v>0</v>
      </c>
      <c r="F7333" s="6">
        <v>0</v>
      </c>
      <c r="G7333" s="6">
        <v>13</v>
      </c>
      <c r="H7333" s="6" t="s">
        <v>14986</v>
      </c>
      <c r="I7333" s="6">
        <v>529.125</v>
      </c>
      <c r="J7333" s="2">
        <f t="shared" si="114"/>
        <v>43748.012629097218</v>
      </c>
    </row>
    <row r="7334" spans="1:10" x14ac:dyDescent="0.25">
      <c r="A7334" s="7" t="s">
        <v>14987</v>
      </c>
      <c r="B7334" s="8">
        <v>403.125</v>
      </c>
      <c r="C7334" s="8">
        <v>20.478950000000001</v>
      </c>
      <c r="D7334" s="8">
        <v>89</v>
      </c>
      <c r="E7334" s="8">
        <v>0</v>
      </c>
      <c r="F7334" s="8">
        <v>0</v>
      </c>
      <c r="G7334" s="8">
        <v>15</v>
      </c>
      <c r="H7334" s="8" t="s">
        <v>14988</v>
      </c>
      <c r="I7334" s="8">
        <v>529.125</v>
      </c>
      <c r="J7334" s="3">
        <f t="shared" si="114"/>
        <v>43748.012712337957</v>
      </c>
    </row>
    <row r="7335" spans="1:10" x14ac:dyDescent="0.25">
      <c r="A7335" s="5" t="s">
        <v>14989</v>
      </c>
      <c r="B7335" s="6">
        <v>403.125</v>
      </c>
      <c r="C7335" s="6">
        <v>20.478950000000001</v>
      </c>
      <c r="D7335" s="6">
        <v>87</v>
      </c>
      <c r="E7335" s="6">
        <v>0</v>
      </c>
      <c r="F7335" s="6">
        <v>0</v>
      </c>
      <c r="G7335" s="6">
        <v>20</v>
      </c>
      <c r="H7335" s="6" t="s">
        <v>14990</v>
      </c>
      <c r="I7335" s="6">
        <v>529.125</v>
      </c>
      <c r="J7335" s="2">
        <f t="shared" si="114"/>
        <v>43748.012784456012</v>
      </c>
    </row>
    <row r="7336" spans="1:10" x14ac:dyDescent="0.25">
      <c r="A7336" s="7" t="s">
        <v>14991</v>
      </c>
      <c r="B7336" s="8">
        <v>403.125</v>
      </c>
      <c r="C7336" s="8">
        <v>20.478950000000001</v>
      </c>
      <c r="D7336" s="8">
        <v>86</v>
      </c>
      <c r="E7336" s="8">
        <v>0</v>
      </c>
      <c r="F7336" s="8">
        <v>0</v>
      </c>
      <c r="G7336" s="8">
        <v>14</v>
      </c>
      <c r="H7336" s="8" t="s">
        <v>14992</v>
      </c>
      <c r="I7336" s="8">
        <v>529.125</v>
      </c>
      <c r="J7336" s="3">
        <f t="shared" si="114"/>
        <v>43748.012855763889</v>
      </c>
    </row>
    <row r="7337" spans="1:10" x14ac:dyDescent="0.25">
      <c r="A7337" s="5" t="s">
        <v>14993</v>
      </c>
      <c r="B7337" s="6">
        <v>403.125</v>
      </c>
      <c r="C7337" s="6">
        <v>20.478950000000001</v>
      </c>
      <c r="D7337" s="6">
        <v>88</v>
      </c>
      <c r="E7337" s="6">
        <v>0</v>
      </c>
      <c r="F7337" s="6">
        <v>0</v>
      </c>
      <c r="G7337" s="6">
        <v>15</v>
      </c>
      <c r="H7337" s="6" t="s">
        <v>14994</v>
      </c>
      <c r="I7337" s="6">
        <v>529.125</v>
      </c>
      <c r="J7337" s="2">
        <f t="shared" si="114"/>
        <v>43748.012939097222</v>
      </c>
    </row>
    <row r="7338" spans="1:10" x14ac:dyDescent="0.25">
      <c r="A7338" s="7" t="s">
        <v>14995</v>
      </c>
      <c r="B7338" s="8">
        <v>400</v>
      </c>
      <c r="C7338" s="8">
        <v>20.478950000000001</v>
      </c>
      <c r="D7338" s="8">
        <v>88</v>
      </c>
      <c r="E7338" s="8">
        <v>0</v>
      </c>
      <c r="F7338" s="8">
        <v>0</v>
      </c>
      <c r="G7338" s="8">
        <v>12</v>
      </c>
      <c r="H7338" s="8" t="s">
        <v>14996</v>
      </c>
      <c r="I7338" s="8">
        <v>528.9375</v>
      </c>
      <c r="J7338" s="3">
        <f t="shared" si="114"/>
        <v>43748.013010428236</v>
      </c>
    </row>
    <row r="7339" spans="1:10" x14ac:dyDescent="0.25">
      <c r="A7339" s="5" t="s">
        <v>14997</v>
      </c>
      <c r="B7339" s="6">
        <v>403.125</v>
      </c>
      <c r="C7339" s="6">
        <v>20.478950000000001</v>
      </c>
      <c r="D7339" s="6">
        <v>88</v>
      </c>
      <c r="E7339" s="6">
        <v>0</v>
      </c>
      <c r="F7339" s="6">
        <v>0</v>
      </c>
      <c r="G7339" s="6">
        <v>10</v>
      </c>
      <c r="H7339" s="6" t="s">
        <v>14998</v>
      </c>
      <c r="I7339" s="6">
        <v>529.125</v>
      </c>
      <c r="J7339" s="2">
        <f t="shared" si="114"/>
        <v>43748.013082488418</v>
      </c>
    </row>
    <row r="7340" spans="1:10" x14ac:dyDescent="0.25">
      <c r="A7340" s="7" t="s">
        <v>14999</v>
      </c>
      <c r="B7340" s="8">
        <v>400</v>
      </c>
      <c r="C7340" s="8">
        <v>20.478950000000001</v>
      </c>
      <c r="D7340" s="8">
        <v>88</v>
      </c>
      <c r="E7340" s="8">
        <v>0</v>
      </c>
      <c r="F7340" s="8">
        <v>0</v>
      </c>
      <c r="G7340" s="8">
        <v>14</v>
      </c>
      <c r="H7340" s="8" t="s">
        <v>15000</v>
      </c>
      <c r="I7340" s="8">
        <v>528.375</v>
      </c>
      <c r="J7340" s="3">
        <f t="shared" si="114"/>
        <v>43748.013177986104</v>
      </c>
    </row>
    <row r="7341" spans="1:10" x14ac:dyDescent="0.25">
      <c r="A7341" s="5" t="s">
        <v>15001</v>
      </c>
      <c r="B7341" s="6">
        <v>400</v>
      </c>
      <c r="C7341" s="6">
        <v>20.478950000000001</v>
      </c>
      <c r="D7341" s="6">
        <v>87</v>
      </c>
      <c r="E7341" s="6">
        <v>0</v>
      </c>
      <c r="F7341" s="6">
        <v>0</v>
      </c>
      <c r="G7341" s="6">
        <v>9</v>
      </c>
      <c r="H7341" s="6" t="s">
        <v>15002</v>
      </c>
      <c r="I7341" s="6">
        <v>528.375</v>
      </c>
      <c r="J7341" s="2">
        <f t="shared" si="114"/>
        <v>43748.013248877316</v>
      </c>
    </row>
    <row r="7342" spans="1:10" x14ac:dyDescent="0.25">
      <c r="A7342" s="7" t="s">
        <v>15003</v>
      </c>
      <c r="B7342" s="8">
        <v>415.625</v>
      </c>
      <c r="C7342" s="8">
        <v>20.478950000000001</v>
      </c>
      <c r="D7342" s="8">
        <v>87</v>
      </c>
      <c r="E7342" s="8">
        <v>0</v>
      </c>
      <c r="F7342" s="8">
        <v>0</v>
      </c>
      <c r="G7342" s="8">
        <v>26</v>
      </c>
      <c r="H7342" s="8" t="s">
        <v>15004</v>
      </c>
      <c r="I7342" s="8">
        <v>533.0625</v>
      </c>
      <c r="J7342" s="3">
        <f t="shared" si="114"/>
        <v>43748.013320763886</v>
      </c>
    </row>
    <row r="7343" spans="1:10" x14ac:dyDescent="0.25">
      <c r="A7343" s="5" t="s">
        <v>15005</v>
      </c>
      <c r="B7343" s="6">
        <v>396.875</v>
      </c>
      <c r="C7343" s="6">
        <v>20.478950000000001</v>
      </c>
      <c r="D7343" s="6">
        <v>87</v>
      </c>
      <c r="E7343" s="6">
        <v>0</v>
      </c>
      <c r="F7343" s="6">
        <v>0</v>
      </c>
      <c r="G7343" s="6">
        <v>16</v>
      </c>
      <c r="H7343" s="6" t="s">
        <v>15006</v>
      </c>
      <c r="I7343" s="6">
        <v>527.4375</v>
      </c>
      <c r="J7343" s="2">
        <f t="shared" si="114"/>
        <v>43748.013391956018</v>
      </c>
    </row>
    <row r="7344" spans="1:10" x14ac:dyDescent="0.25">
      <c r="A7344" s="7" t="s">
        <v>15007</v>
      </c>
      <c r="B7344" s="8">
        <v>396.875</v>
      </c>
      <c r="C7344" s="8">
        <v>20.478950000000001</v>
      </c>
      <c r="D7344" s="8">
        <v>87</v>
      </c>
      <c r="E7344" s="8">
        <v>0</v>
      </c>
      <c r="F7344" s="8">
        <v>0</v>
      </c>
      <c r="G7344" s="8">
        <v>12</v>
      </c>
      <c r="H7344" s="8" t="s">
        <v>15008</v>
      </c>
      <c r="I7344" s="8">
        <v>527.4375</v>
      </c>
      <c r="J7344" s="3">
        <f t="shared" si="114"/>
        <v>43748.013464120369</v>
      </c>
    </row>
    <row r="7345" spans="1:10" x14ac:dyDescent="0.25">
      <c r="A7345" s="5" t="s">
        <v>15009</v>
      </c>
      <c r="B7345" s="6">
        <v>396.875</v>
      </c>
      <c r="C7345" s="6">
        <v>20.478950000000001</v>
      </c>
      <c r="D7345" s="6">
        <v>86</v>
      </c>
      <c r="E7345" s="6">
        <v>0</v>
      </c>
      <c r="F7345" s="6">
        <v>0</v>
      </c>
      <c r="G7345" s="6">
        <v>10</v>
      </c>
      <c r="H7345" s="6" t="s">
        <v>15010</v>
      </c>
      <c r="I7345" s="6">
        <v>527.4375</v>
      </c>
      <c r="J7345" s="2">
        <f t="shared" si="114"/>
        <v>43748.013535451384</v>
      </c>
    </row>
    <row r="7346" spans="1:10" x14ac:dyDescent="0.25">
      <c r="A7346" s="7" t="s">
        <v>15011</v>
      </c>
      <c r="B7346" s="8">
        <v>418.75</v>
      </c>
      <c r="C7346" s="8">
        <v>20.478950000000001</v>
      </c>
      <c r="D7346" s="8">
        <v>86</v>
      </c>
      <c r="E7346" s="8">
        <v>0</v>
      </c>
      <c r="F7346" s="8">
        <v>0</v>
      </c>
      <c r="G7346" s="8">
        <v>11</v>
      </c>
      <c r="H7346" s="8" t="s">
        <v>15012</v>
      </c>
      <c r="I7346" s="8">
        <v>534.5625</v>
      </c>
      <c r="J7346" s="3">
        <f t="shared" si="114"/>
        <v>43748.013618796293</v>
      </c>
    </row>
    <row r="7347" spans="1:10" x14ac:dyDescent="0.25">
      <c r="A7347" s="5" t="s">
        <v>15013</v>
      </c>
      <c r="B7347" s="6">
        <v>403.125</v>
      </c>
      <c r="C7347" s="6">
        <v>20.478950000000001</v>
      </c>
      <c r="D7347" s="6">
        <v>85</v>
      </c>
      <c r="E7347" s="6">
        <v>0</v>
      </c>
      <c r="F7347" s="6">
        <v>0</v>
      </c>
      <c r="G7347" s="6">
        <v>8</v>
      </c>
      <c r="H7347" s="6" t="s">
        <v>15014</v>
      </c>
      <c r="I7347" s="6">
        <v>529.125</v>
      </c>
      <c r="J7347" s="2">
        <f t="shared" si="114"/>
        <v>43748.013690081018</v>
      </c>
    </row>
    <row r="7348" spans="1:10" x14ac:dyDescent="0.25">
      <c r="A7348" s="7" t="s">
        <v>15015</v>
      </c>
      <c r="B7348" s="8">
        <v>400</v>
      </c>
      <c r="C7348" s="8">
        <v>20.478950000000001</v>
      </c>
      <c r="D7348" s="8">
        <v>85</v>
      </c>
      <c r="E7348" s="8">
        <v>0</v>
      </c>
      <c r="F7348" s="8">
        <v>0</v>
      </c>
      <c r="G7348" s="8">
        <v>12</v>
      </c>
      <c r="H7348" s="8" t="s">
        <v>15016</v>
      </c>
      <c r="I7348" s="8">
        <v>528.9375</v>
      </c>
      <c r="J7348" s="3">
        <f t="shared" si="114"/>
        <v>43748.013762430557</v>
      </c>
    </row>
    <row r="7349" spans="1:10" x14ac:dyDescent="0.25">
      <c r="A7349" s="5" t="s">
        <v>15017</v>
      </c>
      <c r="B7349" s="6">
        <v>403.125</v>
      </c>
      <c r="C7349" s="6">
        <v>20.478950000000001</v>
      </c>
      <c r="D7349" s="6">
        <v>85</v>
      </c>
      <c r="E7349" s="6">
        <v>0</v>
      </c>
      <c r="F7349" s="6">
        <v>0</v>
      </c>
      <c r="G7349" s="6">
        <v>14</v>
      </c>
      <c r="H7349" s="6" t="s">
        <v>15018</v>
      </c>
      <c r="I7349" s="6">
        <v>529.125</v>
      </c>
      <c r="J7349" s="2">
        <f t="shared" si="114"/>
        <v>43748.013833634257</v>
      </c>
    </row>
    <row r="7350" spans="1:10" x14ac:dyDescent="0.25">
      <c r="A7350" s="7" t="s">
        <v>15019</v>
      </c>
      <c r="B7350" s="8">
        <v>400</v>
      </c>
      <c r="C7350" s="8">
        <v>20.478950000000001</v>
      </c>
      <c r="D7350" s="8">
        <v>85</v>
      </c>
      <c r="E7350" s="8">
        <v>0</v>
      </c>
      <c r="F7350" s="8">
        <v>0</v>
      </c>
      <c r="G7350" s="8">
        <v>12</v>
      </c>
      <c r="H7350" s="8" t="s">
        <v>15020</v>
      </c>
      <c r="I7350" s="8">
        <v>528.1875</v>
      </c>
      <c r="J7350" s="3">
        <f t="shared" si="114"/>
        <v>43748.013904918982</v>
      </c>
    </row>
    <row r="7351" spans="1:10" x14ac:dyDescent="0.25">
      <c r="A7351" s="5" t="s">
        <v>15021</v>
      </c>
      <c r="B7351" s="6">
        <v>400</v>
      </c>
      <c r="C7351" s="6">
        <v>20.478950000000001</v>
      </c>
      <c r="D7351" s="6">
        <v>85</v>
      </c>
      <c r="E7351" s="6">
        <v>0</v>
      </c>
      <c r="F7351" s="6">
        <v>0</v>
      </c>
      <c r="G7351" s="6">
        <v>15</v>
      </c>
      <c r="H7351" s="6" t="s">
        <v>15022</v>
      </c>
      <c r="I7351" s="6">
        <v>528.1875</v>
      </c>
      <c r="J7351" s="2">
        <f t="shared" si="114"/>
        <v>43748.013987118051</v>
      </c>
    </row>
    <row r="7352" spans="1:10" x14ac:dyDescent="0.25">
      <c r="A7352" s="7" t="s">
        <v>15023</v>
      </c>
      <c r="B7352" s="8">
        <v>400</v>
      </c>
      <c r="C7352" s="8">
        <v>20.478950000000001</v>
      </c>
      <c r="D7352" s="8">
        <v>86</v>
      </c>
      <c r="E7352" s="8">
        <v>0</v>
      </c>
      <c r="F7352" s="8">
        <v>0</v>
      </c>
      <c r="G7352" s="8">
        <v>12</v>
      </c>
      <c r="H7352" s="8" t="s">
        <v>15024</v>
      </c>
      <c r="I7352" s="8">
        <v>528.1875</v>
      </c>
      <c r="J7352" s="3">
        <f t="shared" si="114"/>
        <v>43748.014060451387</v>
      </c>
    </row>
    <row r="7353" spans="1:10" x14ac:dyDescent="0.25">
      <c r="A7353" s="5" t="s">
        <v>15025</v>
      </c>
      <c r="B7353" s="6">
        <v>415.625</v>
      </c>
      <c r="C7353" s="6">
        <v>20.478950000000001</v>
      </c>
      <c r="D7353" s="6">
        <v>85</v>
      </c>
      <c r="E7353" s="6">
        <v>0</v>
      </c>
      <c r="F7353" s="6">
        <v>0</v>
      </c>
      <c r="G7353" s="6">
        <v>13</v>
      </c>
      <c r="H7353" s="6" t="s">
        <v>15026</v>
      </c>
      <c r="I7353" s="6">
        <v>533.4375</v>
      </c>
      <c r="J7353" s="2">
        <f t="shared" si="114"/>
        <v>43748.01413186342</v>
      </c>
    </row>
    <row r="7354" spans="1:10" x14ac:dyDescent="0.25">
      <c r="A7354" s="7" t="s">
        <v>15027</v>
      </c>
      <c r="B7354" s="8">
        <v>396.875</v>
      </c>
      <c r="C7354" s="8">
        <v>20.478950000000001</v>
      </c>
      <c r="D7354" s="8">
        <v>85</v>
      </c>
      <c r="E7354" s="8">
        <v>0</v>
      </c>
      <c r="F7354" s="8">
        <v>0</v>
      </c>
      <c r="G7354" s="8">
        <v>9</v>
      </c>
      <c r="H7354" s="8" t="s">
        <v>15028</v>
      </c>
      <c r="I7354" s="8">
        <v>527.4375</v>
      </c>
      <c r="J7354" s="3">
        <f t="shared" si="114"/>
        <v>43748.014203043982</v>
      </c>
    </row>
    <row r="7355" spans="1:10" x14ac:dyDescent="0.25">
      <c r="A7355" s="5" t="s">
        <v>15029</v>
      </c>
      <c r="B7355" s="6">
        <v>396.875</v>
      </c>
      <c r="C7355" s="6">
        <v>20.478950000000001</v>
      </c>
      <c r="D7355" s="6">
        <v>86</v>
      </c>
      <c r="E7355" s="6">
        <v>0</v>
      </c>
      <c r="F7355" s="6">
        <v>0</v>
      </c>
      <c r="G7355" s="6">
        <v>5</v>
      </c>
      <c r="H7355" s="6" t="s">
        <v>15030</v>
      </c>
      <c r="I7355" s="6">
        <v>527.4375</v>
      </c>
      <c r="J7355" s="2">
        <f t="shared" si="114"/>
        <v>43748.014274409717</v>
      </c>
    </row>
    <row r="7356" spans="1:10" x14ac:dyDescent="0.25">
      <c r="A7356" s="7" t="s">
        <v>15031</v>
      </c>
      <c r="B7356" s="8">
        <v>400</v>
      </c>
      <c r="C7356" s="8">
        <v>20.478950000000001</v>
      </c>
      <c r="D7356" s="8">
        <v>86</v>
      </c>
      <c r="E7356" s="8">
        <v>0</v>
      </c>
      <c r="F7356" s="8">
        <v>0</v>
      </c>
      <c r="G7356" s="8">
        <v>9</v>
      </c>
      <c r="H7356" s="8" t="s">
        <v>15032</v>
      </c>
      <c r="I7356" s="8">
        <v>528.375</v>
      </c>
      <c r="J7356" s="3">
        <f t="shared" si="114"/>
        <v>43748.014346585645</v>
      </c>
    </row>
    <row r="7357" spans="1:10" x14ac:dyDescent="0.25">
      <c r="A7357" s="5" t="s">
        <v>15033</v>
      </c>
      <c r="B7357" s="6">
        <v>400</v>
      </c>
      <c r="C7357" s="6">
        <v>20.478950000000001</v>
      </c>
      <c r="D7357" s="6">
        <v>86</v>
      </c>
      <c r="E7357" s="6">
        <v>0</v>
      </c>
      <c r="F7357" s="6">
        <v>0</v>
      </c>
      <c r="G7357" s="6">
        <v>13</v>
      </c>
      <c r="H7357" s="6" t="s">
        <v>15034</v>
      </c>
      <c r="I7357" s="6">
        <v>528.1875</v>
      </c>
      <c r="J7357" s="2">
        <f t="shared" si="114"/>
        <v>43748.014429895826</v>
      </c>
    </row>
    <row r="7358" spans="1:10" x14ac:dyDescent="0.25">
      <c r="A7358" s="7" t="s">
        <v>15035</v>
      </c>
      <c r="B7358" s="8">
        <v>403.125</v>
      </c>
      <c r="C7358" s="8">
        <v>20.478950000000001</v>
      </c>
      <c r="D7358" s="8">
        <v>87</v>
      </c>
      <c r="E7358" s="8">
        <v>0</v>
      </c>
      <c r="F7358" s="8">
        <v>0</v>
      </c>
      <c r="G7358" s="8">
        <v>9</v>
      </c>
      <c r="H7358" s="8" t="s">
        <v>15036</v>
      </c>
      <c r="I7358" s="8">
        <v>529.125</v>
      </c>
      <c r="J7358" s="3">
        <f t="shared" si="114"/>
        <v>43748.014501192127</v>
      </c>
    </row>
    <row r="7359" spans="1:10" x14ac:dyDescent="0.25">
      <c r="A7359" s="5" t="s">
        <v>15037</v>
      </c>
      <c r="B7359" s="6">
        <v>403.125</v>
      </c>
      <c r="C7359" s="6">
        <v>20.478950000000001</v>
      </c>
      <c r="D7359" s="6">
        <v>87</v>
      </c>
      <c r="E7359" s="6">
        <v>0</v>
      </c>
      <c r="F7359" s="6">
        <v>0</v>
      </c>
      <c r="G7359" s="6">
        <v>22</v>
      </c>
      <c r="H7359" s="6" t="s">
        <v>15038</v>
      </c>
      <c r="I7359" s="6">
        <v>529.6875</v>
      </c>
      <c r="J7359" s="2">
        <f t="shared" si="114"/>
        <v>43748.014572488428</v>
      </c>
    </row>
    <row r="7360" spans="1:10" x14ac:dyDescent="0.25">
      <c r="A7360" s="7" t="s">
        <v>15039</v>
      </c>
      <c r="B7360" s="8">
        <v>403.125</v>
      </c>
      <c r="C7360" s="8">
        <v>20.478950000000001</v>
      </c>
      <c r="D7360" s="8">
        <v>90</v>
      </c>
      <c r="E7360" s="8">
        <v>0</v>
      </c>
      <c r="F7360" s="8">
        <v>0</v>
      </c>
      <c r="G7360" s="8">
        <v>8</v>
      </c>
      <c r="H7360" s="8" t="s">
        <v>15040</v>
      </c>
      <c r="I7360" s="8">
        <v>529.875</v>
      </c>
      <c r="J7360" s="3">
        <f t="shared" si="114"/>
        <v>43748.014645462965</v>
      </c>
    </row>
    <row r="7361" spans="1:10" x14ac:dyDescent="0.25">
      <c r="A7361" s="5" t="s">
        <v>15041</v>
      </c>
      <c r="B7361" s="6">
        <v>425</v>
      </c>
      <c r="C7361" s="6">
        <v>20.478950000000001</v>
      </c>
      <c r="D7361" s="6">
        <v>89</v>
      </c>
      <c r="E7361" s="6">
        <v>0</v>
      </c>
      <c r="F7361" s="6">
        <v>0</v>
      </c>
      <c r="G7361" s="6">
        <v>15</v>
      </c>
      <c r="H7361" s="6" t="s">
        <v>15042</v>
      </c>
      <c r="I7361" s="6">
        <v>536.4375</v>
      </c>
      <c r="J7361" s="2">
        <f t="shared" si="114"/>
        <v>43748.01471604166</v>
      </c>
    </row>
    <row r="7362" spans="1:10" x14ac:dyDescent="0.25">
      <c r="A7362" s="7" t="s">
        <v>15043</v>
      </c>
      <c r="B7362" s="8">
        <v>406.25</v>
      </c>
      <c r="C7362" s="8">
        <v>20.478950000000001</v>
      </c>
      <c r="D7362" s="8">
        <v>88</v>
      </c>
      <c r="E7362" s="8">
        <v>0</v>
      </c>
      <c r="F7362" s="8">
        <v>0</v>
      </c>
      <c r="G7362" s="8">
        <v>15</v>
      </c>
      <c r="H7362" s="8" t="s">
        <v>15044</v>
      </c>
      <c r="I7362" s="8">
        <v>530.8125</v>
      </c>
      <c r="J7362" s="3">
        <f t="shared" ref="J7362:J7425" si="115">(H7362/86400000)+25569+(7/24)</f>
        <v>43748.014787314816</v>
      </c>
    </row>
    <row r="7363" spans="1:10" x14ac:dyDescent="0.25">
      <c r="A7363" s="5" t="s">
        <v>15045</v>
      </c>
      <c r="B7363" s="6">
        <v>406.25</v>
      </c>
      <c r="C7363" s="6">
        <v>20.478950000000001</v>
      </c>
      <c r="D7363" s="6">
        <v>88</v>
      </c>
      <c r="E7363" s="6">
        <v>0</v>
      </c>
      <c r="F7363" s="6">
        <v>0</v>
      </c>
      <c r="G7363" s="6">
        <v>8</v>
      </c>
      <c r="H7363" s="6" t="s">
        <v>15046</v>
      </c>
      <c r="I7363" s="6">
        <v>530.625</v>
      </c>
      <c r="J7363" s="2">
        <f t="shared" si="115"/>
        <v>43748.0148586574</v>
      </c>
    </row>
    <row r="7364" spans="1:10" x14ac:dyDescent="0.25">
      <c r="A7364" s="7" t="s">
        <v>15047</v>
      </c>
      <c r="B7364" s="8">
        <v>406.25</v>
      </c>
      <c r="C7364" s="8">
        <v>20.478950000000001</v>
      </c>
      <c r="D7364" s="8">
        <v>88</v>
      </c>
      <c r="E7364" s="8">
        <v>0</v>
      </c>
      <c r="F7364" s="8">
        <v>0</v>
      </c>
      <c r="G7364" s="8">
        <v>6</v>
      </c>
      <c r="H7364" s="8" t="s">
        <v>15048</v>
      </c>
      <c r="I7364" s="8">
        <v>530.625</v>
      </c>
      <c r="J7364" s="3">
        <f t="shared" si="115"/>
        <v>43748.014930833328</v>
      </c>
    </row>
    <row r="7365" spans="1:10" x14ac:dyDescent="0.25">
      <c r="A7365" s="5" t="s">
        <v>15049</v>
      </c>
      <c r="B7365" s="6">
        <v>446.875</v>
      </c>
      <c r="C7365" s="6">
        <v>20.478950000000001</v>
      </c>
      <c r="D7365" s="6">
        <v>87</v>
      </c>
      <c r="E7365" s="6">
        <v>0</v>
      </c>
      <c r="F7365" s="6">
        <v>0</v>
      </c>
      <c r="G7365" s="6">
        <v>19</v>
      </c>
      <c r="H7365" s="6" t="s">
        <v>15050</v>
      </c>
      <c r="I7365" s="6">
        <v>543.1875</v>
      </c>
      <c r="J7365" s="2">
        <f t="shared" si="115"/>
        <v>43748.015002233798</v>
      </c>
    </row>
    <row r="7366" spans="1:10" x14ac:dyDescent="0.25">
      <c r="A7366" s="7" t="s">
        <v>15051</v>
      </c>
      <c r="B7366" s="8">
        <v>406.25</v>
      </c>
      <c r="C7366" s="8">
        <v>20.478950000000001</v>
      </c>
      <c r="D7366" s="8">
        <v>87</v>
      </c>
      <c r="E7366" s="8">
        <v>0</v>
      </c>
      <c r="F7366" s="8">
        <v>0</v>
      </c>
      <c r="G7366" s="8">
        <v>17</v>
      </c>
      <c r="H7366" s="8" t="s">
        <v>15052</v>
      </c>
      <c r="I7366" s="8">
        <v>530.625</v>
      </c>
      <c r="J7366" s="3">
        <f t="shared" si="115"/>
        <v>43748.015073472219</v>
      </c>
    </row>
    <row r="7367" spans="1:10" x14ac:dyDescent="0.25">
      <c r="A7367" s="5" t="s">
        <v>15053</v>
      </c>
      <c r="B7367" s="6">
        <v>403.125</v>
      </c>
      <c r="C7367" s="6">
        <v>20.478950000000001</v>
      </c>
      <c r="D7367" s="6">
        <v>87</v>
      </c>
      <c r="E7367" s="6">
        <v>0</v>
      </c>
      <c r="F7367" s="6">
        <v>0</v>
      </c>
      <c r="G7367" s="6">
        <v>16</v>
      </c>
      <c r="H7367" s="6" t="s">
        <v>15054</v>
      </c>
      <c r="I7367" s="6">
        <v>529.875</v>
      </c>
      <c r="J7367" s="2">
        <f t="shared" si="115"/>
        <v>43748.015144849538</v>
      </c>
    </row>
    <row r="7368" spans="1:10" x14ac:dyDescent="0.25">
      <c r="A7368" s="7" t="s">
        <v>15055</v>
      </c>
      <c r="B7368" s="8">
        <v>403.125</v>
      </c>
      <c r="C7368" s="8">
        <v>20.478950000000001</v>
      </c>
      <c r="D7368" s="8">
        <v>87</v>
      </c>
      <c r="E7368" s="8">
        <v>0</v>
      </c>
      <c r="F7368" s="8">
        <v>0</v>
      </c>
      <c r="G7368" s="8">
        <v>11</v>
      </c>
      <c r="H7368" s="8" t="s">
        <v>15056</v>
      </c>
      <c r="I7368" s="8">
        <v>529.875</v>
      </c>
      <c r="J7368" s="3">
        <f t="shared" si="115"/>
        <v>43748.01521607639</v>
      </c>
    </row>
    <row r="7369" spans="1:10" x14ac:dyDescent="0.25">
      <c r="A7369" s="5" t="s">
        <v>15057</v>
      </c>
      <c r="B7369" s="6">
        <v>403.125</v>
      </c>
      <c r="C7369" s="6">
        <v>20.478950000000001</v>
      </c>
      <c r="D7369" s="6">
        <v>87</v>
      </c>
      <c r="E7369" s="6">
        <v>0</v>
      </c>
      <c r="F7369" s="6">
        <v>0</v>
      </c>
      <c r="G7369" s="6">
        <v>22</v>
      </c>
      <c r="H7369" s="6" t="s">
        <v>15058</v>
      </c>
      <c r="I7369" s="6">
        <v>529.125</v>
      </c>
      <c r="J7369" s="2">
        <f t="shared" si="115"/>
        <v>43748.015288356481</v>
      </c>
    </row>
    <row r="7370" spans="1:10" x14ac:dyDescent="0.25">
      <c r="A7370" s="7" t="s">
        <v>15059</v>
      </c>
      <c r="B7370" s="8">
        <v>400</v>
      </c>
      <c r="C7370" s="8">
        <v>20.478950000000001</v>
      </c>
      <c r="D7370" s="8">
        <v>87</v>
      </c>
      <c r="E7370" s="8">
        <v>0</v>
      </c>
      <c r="F7370" s="8">
        <v>0</v>
      </c>
      <c r="G7370" s="8">
        <v>18</v>
      </c>
      <c r="H7370" s="8" t="s">
        <v>15060</v>
      </c>
      <c r="I7370" s="8">
        <v>528.9375</v>
      </c>
      <c r="J7370" s="3">
        <f t="shared" si="115"/>
        <v>43748.015359537036</v>
      </c>
    </row>
    <row r="7371" spans="1:10" x14ac:dyDescent="0.25">
      <c r="A7371" s="5" t="s">
        <v>15061</v>
      </c>
      <c r="B7371" s="6">
        <v>403.125</v>
      </c>
      <c r="C7371" s="6">
        <v>20.478950000000001</v>
      </c>
      <c r="D7371" s="6">
        <v>87</v>
      </c>
      <c r="E7371" s="6">
        <v>0</v>
      </c>
      <c r="F7371" s="6">
        <v>0</v>
      </c>
      <c r="G7371" s="6">
        <v>1</v>
      </c>
      <c r="H7371" s="6" t="s">
        <v>15062</v>
      </c>
      <c r="I7371" s="6">
        <v>529.125</v>
      </c>
      <c r="J7371" s="2">
        <f t="shared" si="115"/>
        <v>43748.015430833329</v>
      </c>
    </row>
    <row r="7372" spans="1:10" x14ac:dyDescent="0.25">
      <c r="A7372" s="7" t="s">
        <v>15063</v>
      </c>
      <c r="B7372" s="8">
        <v>400</v>
      </c>
      <c r="C7372" s="8">
        <v>20.478950000000001</v>
      </c>
      <c r="D7372" s="8">
        <v>88</v>
      </c>
      <c r="E7372" s="8">
        <v>0</v>
      </c>
      <c r="F7372" s="8">
        <v>0</v>
      </c>
      <c r="G7372" s="8">
        <v>14</v>
      </c>
      <c r="H7372" s="8" t="s">
        <v>15064</v>
      </c>
      <c r="I7372" s="8">
        <v>528.9375</v>
      </c>
      <c r="J7372" s="3">
        <f t="shared" si="115"/>
        <v>43748.015527071759</v>
      </c>
    </row>
    <row r="7373" spans="1:10" x14ac:dyDescent="0.25">
      <c r="A7373" s="5" t="s">
        <v>15065</v>
      </c>
      <c r="B7373" s="6">
        <v>400</v>
      </c>
      <c r="C7373" s="6">
        <v>20.478950000000001</v>
      </c>
      <c r="D7373" s="6">
        <v>88</v>
      </c>
      <c r="E7373" s="6">
        <v>0</v>
      </c>
      <c r="F7373" s="6">
        <v>0</v>
      </c>
      <c r="G7373" s="6">
        <v>8</v>
      </c>
      <c r="H7373" s="6" t="s">
        <v>15066</v>
      </c>
      <c r="I7373" s="6">
        <v>528.375</v>
      </c>
      <c r="J7373" s="2">
        <f t="shared" si="115"/>
        <v>43748.015624236104</v>
      </c>
    </row>
    <row r="7374" spans="1:10" x14ac:dyDescent="0.25">
      <c r="A7374" s="7" t="s">
        <v>15067</v>
      </c>
      <c r="B7374" s="8">
        <v>396.875</v>
      </c>
      <c r="C7374" s="8">
        <v>20.478950000000001</v>
      </c>
      <c r="D7374" s="8">
        <v>86</v>
      </c>
      <c r="E7374" s="8">
        <v>0</v>
      </c>
      <c r="F7374" s="8">
        <v>0</v>
      </c>
      <c r="G7374" s="8">
        <v>10</v>
      </c>
      <c r="H7374" s="8" t="s">
        <v>15068</v>
      </c>
      <c r="I7374" s="8">
        <v>527.4375</v>
      </c>
      <c r="J7374" s="3">
        <f t="shared" si="115"/>
        <v>43748.015705949067</v>
      </c>
    </row>
    <row r="7375" spans="1:10" x14ac:dyDescent="0.25">
      <c r="A7375" s="5" t="s">
        <v>15069</v>
      </c>
      <c r="B7375" s="6">
        <v>396.875</v>
      </c>
      <c r="C7375" s="6">
        <v>20.478950000000001</v>
      </c>
      <c r="D7375" s="6">
        <v>86</v>
      </c>
      <c r="E7375" s="6">
        <v>0</v>
      </c>
      <c r="F7375" s="6">
        <v>0</v>
      </c>
      <c r="G7375" s="6">
        <v>10</v>
      </c>
      <c r="H7375" s="6" t="s">
        <v>15070</v>
      </c>
      <c r="I7375" s="6">
        <v>527.4375</v>
      </c>
      <c r="J7375" s="2">
        <f t="shared" si="115"/>
        <v>43748.015777071756</v>
      </c>
    </row>
    <row r="7376" spans="1:10" x14ac:dyDescent="0.25">
      <c r="A7376" s="7" t="s">
        <v>15071</v>
      </c>
      <c r="B7376" s="8">
        <v>396.875</v>
      </c>
      <c r="C7376" s="8">
        <v>20.478950000000001</v>
      </c>
      <c r="D7376" s="8">
        <v>85</v>
      </c>
      <c r="E7376" s="8">
        <v>0</v>
      </c>
      <c r="F7376" s="8">
        <v>0</v>
      </c>
      <c r="G7376" s="8">
        <v>12</v>
      </c>
      <c r="H7376" s="8" t="s">
        <v>15072</v>
      </c>
      <c r="I7376" s="8">
        <v>527.4375</v>
      </c>
      <c r="J7376" s="3">
        <f t="shared" si="115"/>
        <v>43748.015848483796</v>
      </c>
    </row>
    <row r="7377" spans="1:10" x14ac:dyDescent="0.25">
      <c r="A7377" s="5" t="s">
        <v>15073</v>
      </c>
      <c r="B7377" s="6">
        <v>400</v>
      </c>
      <c r="C7377" s="6">
        <v>20.478950000000001</v>
      </c>
      <c r="D7377" s="6">
        <v>83</v>
      </c>
      <c r="E7377" s="6">
        <v>0</v>
      </c>
      <c r="F7377" s="6">
        <v>0</v>
      </c>
      <c r="G7377" s="6">
        <v>16</v>
      </c>
      <c r="H7377" s="6" t="s">
        <v>15074</v>
      </c>
      <c r="I7377" s="6">
        <v>528.375</v>
      </c>
      <c r="J7377" s="2">
        <f t="shared" si="115"/>
        <v>43748.015920451384</v>
      </c>
    </row>
    <row r="7378" spans="1:10" x14ac:dyDescent="0.25">
      <c r="A7378" s="7" t="s">
        <v>15075</v>
      </c>
      <c r="B7378" s="8">
        <v>400</v>
      </c>
      <c r="C7378" s="8">
        <v>20.478950000000001</v>
      </c>
      <c r="D7378" s="8">
        <v>83</v>
      </c>
      <c r="E7378" s="8">
        <v>0</v>
      </c>
      <c r="F7378" s="8">
        <v>0</v>
      </c>
      <c r="G7378" s="8">
        <v>12</v>
      </c>
      <c r="H7378" s="8" t="s">
        <v>15076</v>
      </c>
      <c r="I7378" s="8">
        <v>528.1875</v>
      </c>
      <c r="J7378" s="3">
        <f t="shared" si="115"/>
        <v>43748.016003993056</v>
      </c>
    </row>
    <row r="7379" spans="1:10" x14ac:dyDescent="0.25">
      <c r="A7379" s="5" t="s">
        <v>15077</v>
      </c>
      <c r="B7379" s="6">
        <v>403.125</v>
      </c>
      <c r="C7379" s="6">
        <v>20.478950000000001</v>
      </c>
      <c r="D7379" s="6">
        <v>83</v>
      </c>
      <c r="E7379" s="6">
        <v>0</v>
      </c>
      <c r="F7379" s="6">
        <v>0</v>
      </c>
      <c r="G7379" s="6">
        <v>14</v>
      </c>
      <c r="H7379" s="6" t="s">
        <v>15078</v>
      </c>
      <c r="I7379" s="6">
        <v>529.125</v>
      </c>
      <c r="J7379" s="2">
        <f t="shared" si="115"/>
        <v>43748.016075300919</v>
      </c>
    </row>
    <row r="7380" spans="1:10" x14ac:dyDescent="0.25">
      <c r="A7380" s="7" t="s">
        <v>15079</v>
      </c>
      <c r="B7380" s="8">
        <v>403.125</v>
      </c>
      <c r="C7380" s="8">
        <v>20.478950000000001</v>
      </c>
      <c r="D7380" s="8">
        <v>83</v>
      </c>
      <c r="E7380" s="8">
        <v>0</v>
      </c>
      <c r="F7380" s="8">
        <v>0</v>
      </c>
      <c r="G7380" s="8">
        <v>9</v>
      </c>
      <c r="H7380" s="8" t="s">
        <v>15080</v>
      </c>
      <c r="I7380" s="8">
        <v>529.125</v>
      </c>
      <c r="J7380" s="3">
        <f t="shared" si="115"/>
        <v>43748.01614670139</v>
      </c>
    </row>
    <row r="7381" spans="1:10" x14ac:dyDescent="0.25">
      <c r="A7381" s="5" t="s">
        <v>15081</v>
      </c>
      <c r="B7381" s="6">
        <v>400</v>
      </c>
      <c r="C7381" s="6">
        <v>20.478950000000001</v>
      </c>
      <c r="D7381" s="6">
        <v>83</v>
      </c>
      <c r="E7381" s="6">
        <v>0</v>
      </c>
      <c r="F7381" s="6">
        <v>0</v>
      </c>
      <c r="G7381" s="6">
        <v>11</v>
      </c>
      <c r="H7381" s="6" t="s">
        <v>15082</v>
      </c>
      <c r="I7381" s="6">
        <v>528.375</v>
      </c>
      <c r="J7381" s="2">
        <f t="shared" si="115"/>
        <v>43748.016217986107</v>
      </c>
    </row>
    <row r="7382" spans="1:10" x14ac:dyDescent="0.25">
      <c r="A7382" s="7" t="s">
        <v>15083</v>
      </c>
      <c r="B7382" s="8">
        <v>400</v>
      </c>
      <c r="C7382" s="8">
        <v>20.478950000000001</v>
      </c>
      <c r="D7382" s="8">
        <v>84</v>
      </c>
      <c r="E7382" s="8">
        <v>0</v>
      </c>
      <c r="F7382" s="8">
        <v>0</v>
      </c>
      <c r="G7382" s="8">
        <v>12</v>
      </c>
      <c r="H7382" s="8" t="s">
        <v>15084</v>
      </c>
      <c r="I7382" s="8">
        <v>528.1875</v>
      </c>
      <c r="J7382" s="3">
        <f t="shared" si="115"/>
        <v>43748.016290092586</v>
      </c>
    </row>
    <row r="7383" spans="1:10" x14ac:dyDescent="0.25">
      <c r="A7383" s="5" t="s">
        <v>15085</v>
      </c>
      <c r="B7383" s="6">
        <v>400</v>
      </c>
      <c r="C7383" s="6">
        <v>20.478950000000001</v>
      </c>
      <c r="D7383" s="6">
        <v>82</v>
      </c>
      <c r="E7383" s="6">
        <v>0</v>
      </c>
      <c r="F7383" s="6">
        <v>0</v>
      </c>
      <c r="G7383" s="6">
        <v>13</v>
      </c>
      <c r="H7383" s="6" t="s">
        <v>15086</v>
      </c>
      <c r="I7383" s="6">
        <v>528.1875</v>
      </c>
      <c r="J7383" s="2">
        <f t="shared" si="115"/>
        <v>43748.016361388887</v>
      </c>
    </row>
    <row r="7384" spans="1:10" x14ac:dyDescent="0.25">
      <c r="A7384" s="7" t="s">
        <v>15087</v>
      </c>
      <c r="B7384" s="8">
        <v>400</v>
      </c>
      <c r="C7384" s="8">
        <v>20.478950000000001</v>
      </c>
      <c r="D7384" s="8">
        <v>82</v>
      </c>
      <c r="E7384" s="8">
        <v>0</v>
      </c>
      <c r="F7384" s="8">
        <v>0</v>
      </c>
      <c r="G7384" s="8">
        <v>19</v>
      </c>
      <c r="H7384" s="8" t="s">
        <v>15088</v>
      </c>
      <c r="I7384" s="8">
        <v>528.375</v>
      </c>
      <c r="J7384" s="3">
        <f t="shared" si="115"/>
        <v>43748.016432685188</v>
      </c>
    </row>
    <row r="7385" spans="1:10" x14ac:dyDescent="0.25">
      <c r="A7385" s="5" t="s">
        <v>15089</v>
      </c>
      <c r="B7385" s="6">
        <v>400</v>
      </c>
      <c r="C7385" s="6">
        <v>20.478950000000001</v>
      </c>
      <c r="D7385" s="6">
        <v>82</v>
      </c>
      <c r="E7385" s="6">
        <v>0</v>
      </c>
      <c r="F7385" s="6">
        <v>0</v>
      </c>
      <c r="G7385" s="6">
        <v>13</v>
      </c>
      <c r="H7385" s="6" t="s">
        <v>15090</v>
      </c>
      <c r="I7385" s="6">
        <v>528.375</v>
      </c>
      <c r="J7385" s="2">
        <f t="shared" si="115"/>
        <v>43748.016504930558</v>
      </c>
    </row>
    <row r="7386" spans="1:10" x14ac:dyDescent="0.25">
      <c r="A7386" s="7" t="s">
        <v>15091</v>
      </c>
      <c r="B7386" s="8">
        <v>418.75</v>
      </c>
      <c r="C7386" s="8">
        <v>20.478950000000001</v>
      </c>
      <c r="D7386" s="8">
        <v>82</v>
      </c>
      <c r="E7386" s="8">
        <v>0</v>
      </c>
      <c r="F7386" s="8">
        <v>0</v>
      </c>
      <c r="G7386" s="8">
        <v>13</v>
      </c>
      <c r="H7386" s="8" t="s">
        <v>15092</v>
      </c>
      <c r="I7386" s="8">
        <v>534.75</v>
      </c>
      <c r="J7386" s="3">
        <f t="shared" si="115"/>
        <v>43748.01657615741</v>
      </c>
    </row>
    <row r="7387" spans="1:10" x14ac:dyDescent="0.25">
      <c r="A7387" s="5" t="s">
        <v>15093</v>
      </c>
      <c r="B7387" s="6">
        <v>403.125</v>
      </c>
      <c r="C7387" s="6">
        <v>20.478950000000001</v>
      </c>
      <c r="D7387" s="6">
        <v>84</v>
      </c>
      <c r="E7387" s="6">
        <v>0</v>
      </c>
      <c r="F7387" s="6">
        <v>0</v>
      </c>
      <c r="G7387" s="6">
        <v>15</v>
      </c>
      <c r="H7387" s="6" t="s">
        <v>15094</v>
      </c>
      <c r="I7387" s="6">
        <v>529.875</v>
      </c>
      <c r="J7387" s="2">
        <f t="shared" si="115"/>
        <v>43748.016647488424</v>
      </c>
    </row>
    <row r="7388" spans="1:10" x14ac:dyDescent="0.25">
      <c r="A7388" s="7" t="s">
        <v>15095</v>
      </c>
      <c r="B7388" s="8">
        <v>403.125</v>
      </c>
      <c r="C7388" s="8">
        <v>20.478950000000001</v>
      </c>
      <c r="D7388" s="8">
        <v>84</v>
      </c>
      <c r="E7388" s="8">
        <v>0</v>
      </c>
      <c r="F7388" s="8">
        <v>0</v>
      </c>
      <c r="G7388" s="8">
        <v>14</v>
      </c>
      <c r="H7388" s="8" t="s">
        <v>15096</v>
      </c>
      <c r="I7388" s="8">
        <v>529.875</v>
      </c>
      <c r="J7388" s="3">
        <f t="shared" si="115"/>
        <v>43748.016730833326</v>
      </c>
    </row>
    <row r="7389" spans="1:10" x14ac:dyDescent="0.25">
      <c r="A7389" s="5" t="s">
        <v>15097</v>
      </c>
      <c r="B7389" s="6">
        <v>403.125</v>
      </c>
      <c r="C7389" s="6">
        <v>20.478950000000001</v>
      </c>
      <c r="D7389" s="6">
        <v>84</v>
      </c>
      <c r="E7389" s="6">
        <v>0</v>
      </c>
      <c r="F7389" s="6">
        <v>0</v>
      </c>
      <c r="G7389" s="6">
        <v>6</v>
      </c>
      <c r="H7389" s="6" t="s">
        <v>15098</v>
      </c>
      <c r="I7389" s="6">
        <v>529.875</v>
      </c>
      <c r="J7389" s="2">
        <f t="shared" si="115"/>
        <v>43748.016803055558</v>
      </c>
    </row>
    <row r="7390" spans="1:10" x14ac:dyDescent="0.25">
      <c r="A7390" s="7" t="s">
        <v>15099</v>
      </c>
      <c r="B7390" s="8">
        <v>403.125</v>
      </c>
      <c r="C7390" s="8">
        <v>20.478950000000001</v>
      </c>
      <c r="D7390" s="8">
        <v>84</v>
      </c>
      <c r="E7390" s="8">
        <v>0</v>
      </c>
      <c r="F7390" s="8">
        <v>0</v>
      </c>
      <c r="G7390" s="8">
        <v>13</v>
      </c>
      <c r="H7390" s="8" t="s">
        <v>15100</v>
      </c>
      <c r="I7390" s="8">
        <v>529.125</v>
      </c>
      <c r="J7390" s="3">
        <f t="shared" si="115"/>
        <v>43748.016873483793</v>
      </c>
    </row>
    <row r="7391" spans="1:10" x14ac:dyDescent="0.25">
      <c r="A7391" s="5" t="s">
        <v>15101</v>
      </c>
      <c r="B7391" s="6">
        <v>403.125</v>
      </c>
      <c r="C7391" s="6">
        <v>20.478950000000001</v>
      </c>
      <c r="D7391" s="6">
        <v>85</v>
      </c>
      <c r="E7391" s="6">
        <v>0</v>
      </c>
      <c r="F7391" s="6">
        <v>0</v>
      </c>
      <c r="G7391" s="6">
        <v>15</v>
      </c>
      <c r="H7391" s="6" t="s">
        <v>15102</v>
      </c>
      <c r="I7391" s="6">
        <v>529.125</v>
      </c>
      <c r="J7391" s="2">
        <f t="shared" si="115"/>
        <v>43748.016945682866</v>
      </c>
    </row>
    <row r="7392" spans="1:10" x14ac:dyDescent="0.25">
      <c r="A7392" s="7" t="s">
        <v>15103</v>
      </c>
      <c r="B7392" s="8">
        <v>403.125</v>
      </c>
      <c r="C7392" s="8">
        <v>20.478950000000001</v>
      </c>
      <c r="D7392" s="8">
        <v>85</v>
      </c>
      <c r="E7392" s="8">
        <v>0</v>
      </c>
      <c r="F7392" s="8">
        <v>0</v>
      </c>
      <c r="G7392" s="8">
        <v>14</v>
      </c>
      <c r="H7392" s="8" t="s">
        <v>15104</v>
      </c>
      <c r="I7392" s="8">
        <v>529.125</v>
      </c>
      <c r="J7392" s="3">
        <f t="shared" si="115"/>
        <v>43748.017016956015</v>
      </c>
    </row>
    <row r="7393" spans="1:10" x14ac:dyDescent="0.25">
      <c r="A7393" s="5" t="s">
        <v>15105</v>
      </c>
      <c r="B7393" s="6">
        <v>403.125</v>
      </c>
      <c r="C7393" s="6">
        <v>20.478950000000001</v>
      </c>
      <c r="D7393" s="6">
        <v>85</v>
      </c>
      <c r="E7393" s="6">
        <v>0</v>
      </c>
      <c r="F7393" s="6">
        <v>0</v>
      </c>
      <c r="G7393" s="6">
        <v>15</v>
      </c>
      <c r="H7393" s="6" t="s">
        <v>15106</v>
      </c>
      <c r="I7393" s="6">
        <v>529.125</v>
      </c>
      <c r="J7393" s="2">
        <f t="shared" si="115"/>
        <v>43748.017089120367</v>
      </c>
    </row>
    <row r="7394" spans="1:10" x14ac:dyDescent="0.25">
      <c r="A7394" s="7" t="s">
        <v>15107</v>
      </c>
      <c r="B7394" s="8">
        <v>403.125</v>
      </c>
      <c r="C7394" s="8">
        <v>20.478950000000001</v>
      </c>
      <c r="D7394" s="8">
        <v>85</v>
      </c>
      <c r="E7394" s="8">
        <v>0</v>
      </c>
      <c r="F7394" s="8">
        <v>0</v>
      </c>
      <c r="G7394" s="8">
        <v>12</v>
      </c>
      <c r="H7394" s="8" t="s">
        <v>15108</v>
      </c>
      <c r="I7394" s="8">
        <v>529.125</v>
      </c>
      <c r="J7394" s="3">
        <f t="shared" si="115"/>
        <v>43748.017172465276</v>
      </c>
    </row>
    <row r="7395" spans="1:10" x14ac:dyDescent="0.25">
      <c r="A7395" s="5" t="s">
        <v>15109</v>
      </c>
      <c r="B7395" s="6">
        <v>403.125</v>
      </c>
      <c r="C7395" s="6">
        <v>20.478950000000001</v>
      </c>
      <c r="D7395" s="6">
        <v>85</v>
      </c>
      <c r="E7395" s="6">
        <v>0</v>
      </c>
      <c r="F7395" s="6">
        <v>0</v>
      </c>
      <c r="G7395" s="6">
        <v>14</v>
      </c>
      <c r="H7395" s="6" t="s">
        <v>15110</v>
      </c>
      <c r="I7395" s="6">
        <v>529.125</v>
      </c>
      <c r="J7395" s="2">
        <f t="shared" si="115"/>
        <v>43748.017243865739</v>
      </c>
    </row>
    <row r="7396" spans="1:10" x14ac:dyDescent="0.25">
      <c r="A7396" s="7" t="s">
        <v>15111</v>
      </c>
      <c r="B7396" s="8">
        <v>403.125</v>
      </c>
      <c r="C7396" s="8">
        <v>20.478950000000001</v>
      </c>
      <c r="D7396" s="8">
        <v>84</v>
      </c>
      <c r="E7396" s="8">
        <v>0</v>
      </c>
      <c r="F7396" s="8">
        <v>0</v>
      </c>
      <c r="G7396" s="8">
        <v>10</v>
      </c>
      <c r="H7396" s="8" t="s">
        <v>15112</v>
      </c>
      <c r="I7396" s="8">
        <v>529.875</v>
      </c>
      <c r="J7396" s="3">
        <f t="shared" si="115"/>
        <v>43748.017315243058</v>
      </c>
    </row>
    <row r="7397" spans="1:10" x14ac:dyDescent="0.25">
      <c r="A7397" s="5" t="s">
        <v>15113</v>
      </c>
      <c r="B7397" s="6">
        <v>403.125</v>
      </c>
      <c r="C7397" s="6">
        <v>20.478950000000001</v>
      </c>
      <c r="D7397" s="6">
        <v>84</v>
      </c>
      <c r="E7397" s="6">
        <v>0</v>
      </c>
      <c r="F7397" s="6">
        <v>0</v>
      </c>
      <c r="G7397" s="6">
        <v>14</v>
      </c>
      <c r="H7397" s="6" t="s">
        <v>15114</v>
      </c>
      <c r="I7397" s="6">
        <v>529.875</v>
      </c>
      <c r="J7397" s="2">
        <f t="shared" si="115"/>
        <v>43748.017390162036</v>
      </c>
    </row>
    <row r="7398" spans="1:10" x14ac:dyDescent="0.25">
      <c r="A7398" s="7" t="s">
        <v>15115</v>
      </c>
      <c r="B7398" s="8">
        <v>403.125</v>
      </c>
      <c r="C7398" s="8">
        <v>20.478950000000001</v>
      </c>
      <c r="D7398" s="8">
        <v>83</v>
      </c>
      <c r="E7398" s="8">
        <v>0</v>
      </c>
      <c r="F7398" s="8">
        <v>0</v>
      </c>
      <c r="G7398" s="8">
        <v>13</v>
      </c>
      <c r="H7398" s="8" t="s">
        <v>15116</v>
      </c>
      <c r="I7398" s="8">
        <v>529.875</v>
      </c>
      <c r="J7398" s="3">
        <f t="shared" si="115"/>
        <v>43748.017470671293</v>
      </c>
    </row>
    <row r="7399" spans="1:10" x14ac:dyDescent="0.25">
      <c r="A7399" s="5" t="s">
        <v>15117</v>
      </c>
      <c r="B7399" s="6">
        <v>403.125</v>
      </c>
      <c r="C7399" s="6">
        <v>20.478950000000001</v>
      </c>
      <c r="D7399" s="6">
        <v>83</v>
      </c>
      <c r="E7399" s="6">
        <v>0</v>
      </c>
      <c r="F7399" s="6">
        <v>0</v>
      </c>
      <c r="G7399" s="6">
        <v>20</v>
      </c>
      <c r="H7399" s="6" t="s">
        <v>15118</v>
      </c>
      <c r="I7399" s="6">
        <v>529.125</v>
      </c>
      <c r="J7399" s="2">
        <f t="shared" si="115"/>
        <v>43748.017541956018</v>
      </c>
    </row>
    <row r="7400" spans="1:10" x14ac:dyDescent="0.25">
      <c r="A7400" s="7" t="s">
        <v>15119</v>
      </c>
      <c r="B7400" s="8">
        <v>403.125</v>
      </c>
      <c r="C7400" s="8">
        <v>20.426300000000001</v>
      </c>
      <c r="D7400" s="8">
        <v>83</v>
      </c>
      <c r="E7400" s="8">
        <v>0</v>
      </c>
      <c r="F7400" s="8">
        <v>0</v>
      </c>
      <c r="G7400" s="8">
        <v>15</v>
      </c>
      <c r="H7400" s="8" t="s">
        <v>15120</v>
      </c>
      <c r="I7400" s="8">
        <v>529.125</v>
      </c>
      <c r="J7400" s="3">
        <f t="shared" si="115"/>
        <v>43748.017613379627</v>
      </c>
    </row>
    <row r="7401" spans="1:10" x14ac:dyDescent="0.25">
      <c r="A7401" s="5" t="s">
        <v>15121</v>
      </c>
      <c r="B7401" s="6">
        <v>403.125</v>
      </c>
      <c r="C7401" s="6">
        <v>20.478950000000001</v>
      </c>
      <c r="D7401" s="6">
        <v>83</v>
      </c>
      <c r="E7401" s="6">
        <v>0</v>
      </c>
      <c r="F7401" s="6">
        <v>0</v>
      </c>
      <c r="G7401" s="6">
        <v>9</v>
      </c>
      <c r="H7401" s="6" t="s">
        <v>15122</v>
      </c>
      <c r="I7401" s="6">
        <v>529.125</v>
      </c>
      <c r="J7401" s="2">
        <f t="shared" si="115"/>
        <v>43748.017693888884</v>
      </c>
    </row>
    <row r="7402" spans="1:10" x14ac:dyDescent="0.25">
      <c r="A7402" s="7" t="s">
        <v>15123</v>
      </c>
      <c r="B7402" s="8">
        <v>400</v>
      </c>
      <c r="C7402" s="8">
        <v>20.478950000000001</v>
      </c>
      <c r="D7402" s="8">
        <v>84</v>
      </c>
      <c r="E7402" s="8">
        <v>0</v>
      </c>
      <c r="F7402" s="8">
        <v>0</v>
      </c>
      <c r="G7402" s="8">
        <v>20</v>
      </c>
      <c r="H7402" s="8" t="s">
        <v>15124</v>
      </c>
      <c r="I7402" s="8">
        <v>528.1875</v>
      </c>
      <c r="J7402" s="3">
        <f t="shared" si="115"/>
        <v>43748.017768807869</v>
      </c>
    </row>
    <row r="7403" spans="1:10" x14ac:dyDescent="0.25">
      <c r="A7403" s="5" t="s">
        <v>15125</v>
      </c>
      <c r="B7403" s="6">
        <v>396.875</v>
      </c>
      <c r="C7403" s="6">
        <v>20.478950000000001</v>
      </c>
      <c r="D7403" s="6">
        <v>85</v>
      </c>
      <c r="E7403" s="6">
        <v>0</v>
      </c>
      <c r="F7403" s="6">
        <v>0</v>
      </c>
      <c r="G7403" s="6">
        <v>9</v>
      </c>
      <c r="H7403" s="6" t="s">
        <v>15126</v>
      </c>
      <c r="I7403" s="6">
        <v>527.4375</v>
      </c>
      <c r="J7403" s="2">
        <f t="shared" si="115"/>
        <v>43748.017840115739</v>
      </c>
    </row>
    <row r="7404" spans="1:10" x14ac:dyDescent="0.25">
      <c r="A7404" s="7" t="s">
        <v>15127</v>
      </c>
      <c r="B7404" s="8">
        <v>421.875</v>
      </c>
      <c r="C7404" s="8">
        <v>20.478950000000001</v>
      </c>
      <c r="D7404" s="8">
        <v>86</v>
      </c>
      <c r="E7404" s="8">
        <v>0</v>
      </c>
      <c r="F7404" s="8">
        <v>0</v>
      </c>
      <c r="G7404" s="8">
        <v>17</v>
      </c>
      <c r="H7404" s="8" t="s">
        <v>15128</v>
      </c>
      <c r="I7404" s="8">
        <v>535.3125</v>
      </c>
      <c r="J7404" s="3">
        <f t="shared" si="115"/>
        <v>43748.017911423609</v>
      </c>
    </row>
    <row r="7405" spans="1:10" x14ac:dyDescent="0.25">
      <c r="A7405" s="5" t="s">
        <v>15129</v>
      </c>
      <c r="B7405" s="6">
        <v>400</v>
      </c>
      <c r="C7405" s="6">
        <v>20.478950000000001</v>
      </c>
      <c r="D7405" s="6">
        <v>85</v>
      </c>
      <c r="E7405" s="6">
        <v>0</v>
      </c>
      <c r="F7405" s="6">
        <v>0</v>
      </c>
      <c r="G7405" s="6">
        <v>11</v>
      </c>
      <c r="H7405" s="6" t="s">
        <v>15130</v>
      </c>
      <c r="I7405" s="6">
        <v>528.1875</v>
      </c>
      <c r="J7405" s="2">
        <f t="shared" si="115"/>
        <v>43748.017982812496</v>
      </c>
    </row>
    <row r="7406" spans="1:10" x14ac:dyDescent="0.25">
      <c r="A7406" s="7" t="s">
        <v>15131</v>
      </c>
      <c r="B7406" s="8">
        <v>400</v>
      </c>
      <c r="C7406" s="8">
        <v>20.478950000000001</v>
      </c>
      <c r="D7406" s="8">
        <v>85</v>
      </c>
      <c r="E7406" s="8">
        <v>0</v>
      </c>
      <c r="F7406" s="8">
        <v>0</v>
      </c>
      <c r="G7406" s="8">
        <v>14</v>
      </c>
      <c r="H7406" s="8" t="s">
        <v>15132</v>
      </c>
      <c r="I7406" s="8">
        <v>528.1875</v>
      </c>
      <c r="J7406" s="3">
        <f t="shared" si="115"/>
        <v>43748.018054907407</v>
      </c>
    </row>
    <row r="7407" spans="1:10" x14ac:dyDescent="0.25">
      <c r="A7407" s="5" t="s">
        <v>15133</v>
      </c>
      <c r="B7407" s="6">
        <v>400</v>
      </c>
      <c r="C7407" s="6">
        <v>20.478950000000001</v>
      </c>
      <c r="D7407" s="6">
        <v>84</v>
      </c>
      <c r="E7407" s="6">
        <v>0</v>
      </c>
      <c r="F7407" s="6">
        <v>0</v>
      </c>
      <c r="G7407" s="6">
        <v>21</v>
      </c>
      <c r="H7407" s="6" t="s">
        <v>15134</v>
      </c>
      <c r="I7407" s="6">
        <v>528.375</v>
      </c>
      <c r="J7407" s="2">
        <f t="shared" si="115"/>
        <v>43748.018150254626</v>
      </c>
    </row>
    <row r="7408" spans="1:10" x14ac:dyDescent="0.25">
      <c r="A7408" s="7" t="s">
        <v>15135</v>
      </c>
      <c r="B7408" s="8">
        <v>400</v>
      </c>
      <c r="C7408" s="8">
        <v>20.478950000000001</v>
      </c>
      <c r="D7408" s="8">
        <v>87</v>
      </c>
      <c r="E7408" s="8">
        <v>0</v>
      </c>
      <c r="F7408" s="8">
        <v>0</v>
      </c>
      <c r="G7408" s="8">
        <v>23</v>
      </c>
      <c r="H7408" s="8" t="s">
        <v>15136</v>
      </c>
      <c r="I7408" s="8">
        <v>528.375</v>
      </c>
      <c r="J7408" s="3">
        <f t="shared" si="115"/>
        <v>43748.018221562503</v>
      </c>
    </row>
    <row r="7409" spans="1:10" x14ac:dyDescent="0.25">
      <c r="A7409" s="5" t="s">
        <v>15137</v>
      </c>
      <c r="B7409" s="6">
        <v>400</v>
      </c>
      <c r="C7409" s="6">
        <v>20.478950000000001</v>
      </c>
      <c r="D7409" s="6">
        <v>86</v>
      </c>
      <c r="E7409" s="6">
        <v>0</v>
      </c>
      <c r="F7409" s="6">
        <v>0</v>
      </c>
      <c r="G7409" s="6">
        <v>14</v>
      </c>
      <c r="H7409" s="6" t="s">
        <v>15138</v>
      </c>
      <c r="I7409" s="6">
        <v>528.1875</v>
      </c>
      <c r="J7409" s="2">
        <f t="shared" si="115"/>
        <v>43748.01829284722</v>
      </c>
    </row>
    <row r="7410" spans="1:10" x14ac:dyDescent="0.25">
      <c r="A7410" s="7" t="s">
        <v>15139</v>
      </c>
      <c r="B7410" s="8">
        <v>400</v>
      </c>
      <c r="C7410" s="8">
        <v>20.478950000000001</v>
      </c>
      <c r="D7410" s="8">
        <v>86</v>
      </c>
      <c r="E7410" s="8">
        <v>0</v>
      </c>
      <c r="F7410" s="8">
        <v>0</v>
      </c>
      <c r="G7410" s="8">
        <v>13</v>
      </c>
      <c r="H7410" s="8" t="s">
        <v>15140</v>
      </c>
      <c r="I7410" s="8">
        <v>528.375</v>
      </c>
      <c r="J7410" s="3">
        <f t="shared" si="115"/>
        <v>43748.018365034724</v>
      </c>
    </row>
    <row r="7411" spans="1:10" x14ac:dyDescent="0.25">
      <c r="A7411" s="5" t="s">
        <v>15141</v>
      </c>
      <c r="B7411" s="6">
        <v>418.75</v>
      </c>
      <c r="C7411" s="6">
        <v>20.478950000000001</v>
      </c>
      <c r="D7411" s="6">
        <v>85</v>
      </c>
      <c r="E7411" s="6">
        <v>0</v>
      </c>
      <c r="F7411" s="6">
        <v>0</v>
      </c>
      <c r="G7411" s="6">
        <v>10</v>
      </c>
      <c r="H7411" s="6" t="s">
        <v>15142</v>
      </c>
      <c r="I7411" s="6">
        <v>534.1875</v>
      </c>
      <c r="J7411" s="2">
        <f t="shared" si="115"/>
        <v>43748.018436388891</v>
      </c>
    </row>
    <row r="7412" spans="1:10" x14ac:dyDescent="0.25">
      <c r="A7412" s="7" t="s">
        <v>15143</v>
      </c>
      <c r="B7412" s="8">
        <v>400</v>
      </c>
      <c r="C7412" s="8">
        <v>20.478950000000001</v>
      </c>
      <c r="D7412" s="8">
        <v>81</v>
      </c>
      <c r="E7412" s="8">
        <v>0</v>
      </c>
      <c r="F7412" s="8">
        <v>0</v>
      </c>
      <c r="G7412" s="8">
        <v>14</v>
      </c>
      <c r="H7412" s="8" t="s">
        <v>15144</v>
      </c>
      <c r="I7412" s="8">
        <v>528.1875</v>
      </c>
      <c r="J7412" s="3">
        <f t="shared" si="115"/>
        <v>43748.018507685185</v>
      </c>
    </row>
    <row r="7413" spans="1:10" x14ac:dyDescent="0.25">
      <c r="A7413" s="5" t="s">
        <v>15145</v>
      </c>
      <c r="B7413" s="6">
        <v>400</v>
      </c>
      <c r="C7413" s="6">
        <v>20.478950000000001</v>
      </c>
      <c r="D7413" s="6">
        <v>83</v>
      </c>
      <c r="E7413" s="6">
        <v>0</v>
      </c>
      <c r="F7413" s="6">
        <v>0</v>
      </c>
      <c r="G7413" s="6">
        <v>19</v>
      </c>
      <c r="H7413" s="6" t="s">
        <v>15146</v>
      </c>
      <c r="I7413" s="6">
        <v>528.1875</v>
      </c>
      <c r="J7413" s="2">
        <f t="shared" si="115"/>
        <v>43748.018578958327</v>
      </c>
    </row>
    <row r="7414" spans="1:10" x14ac:dyDescent="0.25">
      <c r="A7414" s="7" t="s">
        <v>15147</v>
      </c>
      <c r="B7414" s="8">
        <v>400</v>
      </c>
      <c r="C7414" s="8">
        <v>20.478950000000001</v>
      </c>
      <c r="D7414" s="8">
        <v>87</v>
      </c>
      <c r="E7414" s="8">
        <v>0</v>
      </c>
      <c r="F7414" s="8">
        <v>0</v>
      </c>
      <c r="G7414" s="8">
        <v>14</v>
      </c>
      <c r="H7414" s="8" t="s">
        <v>15148</v>
      </c>
      <c r="I7414" s="8">
        <v>528.1875</v>
      </c>
      <c r="J7414" s="3">
        <f t="shared" si="115"/>
        <v>43748.018651203696</v>
      </c>
    </row>
    <row r="7415" spans="1:10" x14ac:dyDescent="0.25">
      <c r="A7415" s="5" t="s">
        <v>15149</v>
      </c>
      <c r="B7415" s="6">
        <v>400</v>
      </c>
      <c r="C7415" s="6">
        <v>20.478950000000001</v>
      </c>
      <c r="D7415" s="6">
        <v>86</v>
      </c>
      <c r="E7415" s="6">
        <v>0</v>
      </c>
      <c r="F7415" s="6">
        <v>0</v>
      </c>
      <c r="G7415" s="6">
        <v>15</v>
      </c>
      <c r="H7415" s="6" t="s">
        <v>15150</v>
      </c>
      <c r="I7415" s="6">
        <v>528.375</v>
      </c>
      <c r="J7415" s="2">
        <f t="shared" si="115"/>
        <v>43748.018722476852</v>
      </c>
    </row>
    <row r="7416" spans="1:10" x14ac:dyDescent="0.25">
      <c r="A7416" s="7" t="s">
        <v>15151</v>
      </c>
      <c r="B7416" s="8">
        <v>400</v>
      </c>
      <c r="C7416" s="8">
        <v>20.478950000000001</v>
      </c>
      <c r="D7416" s="8">
        <v>86</v>
      </c>
      <c r="E7416" s="8">
        <v>0</v>
      </c>
      <c r="F7416" s="8">
        <v>0</v>
      </c>
      <c r="G7416" s="8">
        <v>14</v>
      </c>
      <c r="H7416" s="8" t="s">
        <v>15152</v>
      </c>
      <c r="I7416" s="8">
        <v>528.1875</v>
      </c>
      <c r="J7416" s="3">
        <f t="shared" si="115"/>
        <v>43748.018793784715</v>
      </c>
    </row>
    <row r="7417" spans="1:10" x14ac:dyDescent="0.25">
      <c r="A7417" s="5" t="s">
        <v>15153</v>
      </c>
      <c r="B7417" s="6">
        <v>396.875</v>
      </c>
      <c r="C7417" s="6">
        <v>20.478950000000001</v>
      </c>
      <c r="D7417" s="6">
        <v>86</v>
      </c>
      <c r="E7417" s="6">
        <v>0</v>
      </c>
      <c r="F7417" s="6">
        <v>0</v>
      </c>
      <c r="G7417" s="6">
        <v>15</v>
      </c>
      <c r="H7417" s="6" t="s">
        <v>15154</v>
      </c>
      <c r="I7417" s="6">
        <v>527.4375</v>
      </c>
      <c r="J7417" s="2">
        <f t="shared" si="115"/>
        <v>43748.018865138882</v>
      </c>
    </row>
    <row r="7418" spans="1:10" x14ac:dyDescent="0.25">
      <c r="A7418" s="7" t="s">
        <v>15155</v>
      </c>
      <c r="B7418" s="8">
        <v>396.875</v>
      </c>
      <c r="C7418" s="8">
        <v>20.478950000000001</v>
      </c>
      <c r="D7418" s="8">
        <v>84</v>
      </c>
      <c r="E7418" s="8">
        <v>0</v>
      </c>
      <c r="F7418" s="8">
        <v>0</v>
      </c>
      <c r="G7418" s="8">
        <v>7</v>
      </c>
      <c r="H7418" s="8" t="s">
        <v>15156</v>
      </c>
      <c r="I7418" s="8">
        <v>527.4375</v>
      </c>
      <c r="J7418" s="3">
        <f t="shared" si="115"/>
        <v>43748.018936712957</v>
      </c>
    </row>
    <row r="7419" spans="1:10" x14ac:dyDescent="0.25">
      <c r="A7419" s="5" t="s">
        <v>15157</v>
      </c>
      <c r="B7419" s="6">
        <v>396.875</v>
      </c>
      <c r="C7419" s="6">
        <v>20.478950000000001</v>
      </c>
      <c r="D7419" s="6">
        <v>83</v>
      </c>
      <c r="E7419" s="6">
        <v>0</v>
      </c>
      <c r="F7419" s="6">
        <v>0</v>
      </c>
      <c r="G7419" s="6">
        <v>18</v>
      </c>
      <c r="H7419" s="6" t="s">
        <v>15158</v>
      </c>
      <c r="I7419" s="6">
        <v>527.4375</v>
      </c>
      <c r="J7419" s="2">
        <f t="shared" si="115"/>
        <v>43748.019008541662</v>
      </c>
    </row>
    <row r="7420" spans="1:10" x14ac:dyDescent="0.25">
      <c r="A7420" s="7" t="s">
        <v>15159</v>
      </c>
      <c r="B7420" s="8">
        <v>396.875</v>
      </c>
      <c r="C7420" s="8">
        <v>20.478950000000001</v>
      </c>
      <c r="D7420" s="8">
        <v>83</v>
      </c>
      <c r="E7420" s="8">
        <v>0</v>
      </c>
      <c r="F7420" s="8">
        <v>0</v>
      </c>
      <c r="G7420" s="8">
        <v>13</v>
      </c>
      <c r="H7420" s="8" t="s">
        <v>15160</v>
      </c>
      <c r="I7420" s="8">
        <v>527.4375</v>
      </c>
      <c r="J7420" s="3">
        <f t="shared" si="115"/>
        <v>43748.019091932867</v>
      </c>
    </row>
    <row r="7421" spans="1:10" x14ac:dyDescent="0.25">
      <c r="A7421" s="5" t="s">
        <v>15161</v>
      </c>
      <c r="B7421" s="6">
        <v>400</v>
      </c>
      <c r="C7421" s="6">
        <v>20.478950000000001</v>
      </c>
      <c r="D7421" s="6">
        <v>84</v>
      </c>
      <c r="E7421" s="6">
        <v>0</v>
      </c>
      <c r="F7421" s="6">
        <v>0</v>
      </c>
      <c r="G7421" s="6">
        <v>16</v>
      </c>
      <c r="H7421" s="6" t="s">
        <v>15162</v>
      </c>
      <c r="I7421" s="6">
        <v>528.1875</v>
      </c>
      <c r="J7421" s="2">
        <f t="shared" si="115"/>
        <v>43748.019163229161</v>
      </c>
    </row>
    <row r="7422" spans="1:10" x14ac:dyDescent="0.25">
      <c r="A7422" s="7" t="s">
        <v>15163</v>
      </c>
      <c r="B7422" s="8">
        <v>400</v>
      </c>
      <c r="C7422" s="8">
        <v>20.478950000000001</v>
      </c>
      <c r="D7422" s="8">
        <v>83</v>
      </c>
      <c r="E7422" s="8">
        <v>0</v>
      </c>
      <c r="F7422" s="8">
        <v>0</v>
      </c>
      <c r="G7422" s="8">
        <v>17</v>
      </c>
      <c r="H7422" s="8" t="s">
        <v>15164</v>
      </c>
      <c r="I7422" s="8">
        <v>528.1875</v>
      </c>
      <c r="J7422" s="3">
        <f t="shared" si="115"/>
        <v>43748.019235451386</v>
      </c>
    </row>
    <row r="7423" spans="1:10" x14ac:dyDescent="0.25">
      <c r="A7423" s="5" t="s">
        <v>15165</v>
      </c>
      <c r="B7423" s="6">
        <v>437.5</v>
      </c>
      <c r="C7423" s="6">
        <v>20.426300000000001</v>
      </c>
      <c r="D7423" s="6">
        <v>84</v>
      </c>
      <c r="E7423" s="6">
        <v>0</v>
      </c>
      <c r="F7423" s="6">
        <v>0</v>
      </c>
      <c r="G7423" s="6">
        <v>9</v>
      </c>
      <c r="H7423" s="6" t="s">
        <v>15166</v>
      </c>
      <c r="I7423" s="6">
        <v>540.75</v>
      </c>
      <c r="J7423" s="2">
        <f t="shared" si="115"/>
        <v>43748.019312731478</v>
      </c>
    </row>
    <row r="7424" spans="1:10" x14ac:dyDescent="0.25">
      <c r="A7424" s="7" t="s">
        <v>15167</v>
      </c>
      <c r="B7424" s="8">
        <v>400</v>
      </c>
      <c r="C7424" s="8">
        <v>20.478950000000001</v>
      </c>
      <c r="D7424" s="8">
        <v>84</v>
      </c>
      <c r="E7424" s="8">
        <v>0</v>
      </c>
      <c r="F7424" s="8">
        <v>0</v>
      </c>
      <c r="G7424" s="8">
        <v>11</v>
      </c>
      <c r="H7424" s="8" t="s">
        <v>15168</v>
      </c>
      <c r="I7424" s="8">
        <v>528.9375</v>
      </c>
      <c r="J7424" s="3">
        <f t="shared" si="115"/>
        <v>43748.019390081019</v>
      </c>
    </row>
    <row r="7425" spans="1:10" x14ac:dyDescent="0.25">
      <c r="A7425" s="5" t="s">
        <v>15169</v>
      </c>
      <c r="B7425" s="6">
        <v>403.125</v>
      </c>
      <c r="C7425" s="6">
        <v>20.478950000000001</v>
      </c>
      <c r="D7425" s="6">
        <v>85</v>
      </c>
      <c r="E7425" s="6">
        <v>0</v>
      </c>
      <c r="F7425" s="6">
        <v>0</v>
      </c>
      <c r="G7425" s="6">
        <v>20</v>
      </c>
      <c r="H7425" s="6" t="s">
        <v>15170</v>
      </c>
      <c r="I7425" s="6">
        <v>529.125</v>
      </c>
      <c r="J7425" s="2">
        <f t="shared" si="115"/>
        <v>43748.019461365737</v>
      </c>
    </row>
    <row r="7426" spans="1:10" x14ac:dyDescent="0.25">
      <c r="A7426" s="7" t="s">
        <v>15171</v>
      </c>
      <c r="B7426" s="8">
        <v>403.125</v>
      </c>
      <c r="C7426" s="8">
        <v>20.478950000000001</v>
      </c>
      <c r="D7426" s="8">
        <v>86</v>
      </c>
      <c r="E7426" s="8">
        <v>0</v>
      </c>
      <c r="F7426" s="8">
        <v>0</v>
      </c>
      <c r="G7426" s="8">
        <v>14</v>
      </c>
      <c r="H7426" s="8" t="s">
        <v>15172</v>
      </c>
      <c r="I7426" s="8">
        <v>529.875</v>
      </c>
      <c r="J7426" s="3">
        <f t="shared" ref="J7426:J7489" si="116">(H7426/86400000)+25569+(7/24)</f>
        <v>43748.019533622683</v>
      </c>
    </row>
    <row r="7427" spans="1:10" x14ac:dyDescent="0.25">
      <c r="A7427" s="5" t="s">
        <v>15173</v>
      </c>
      <c r="B7427" s="6">
        <v>403.125</v>
      </c>
      <c r="C7427" s="6">
        <v>20.478950000000001</v>
      </c>
      <c r="D7427" s="6">
        <v>86</v>
      </c>
      <c r="E7427" s="6">
        <v>0</v>
      </c>
      <c r="F7427" s="6">
        <v>0</v>
      </c>
      <c r="G7427" s="6">
        <v>19</v>
      </c>
      <c r="H7427" s="6" t="s">
        <v>15174</v>
      </c>
      <c r="I7427" s="6">
        <v>529.875</v>
      </c>
      <c r="J7427" s="2">
        <f t="shared" si="116"/>
        <v>43748.019604907407</v>
      </c>
    </row>
    <row r="7428" spans="1:10" x14ac:dyDescent="0.25">
      <c r="A7428" s="7" t="s">
        <v>15175</v>
      </c>
      <c r="B7428" s="8">
        <v>403.125</v>
      </c>
      <c r="C7428" s="8">
        <v>20.478950000000001</v>
      </c>
      <c r="D7428" s="8">
        <v>86</v>
      </c>
      <c r="E7428" s="8">
        <v>0</v>
      </c>
      <c r="F7428" s="8">
        <v>0</v>
      </c>
      <c r="G7428" s="8">
        <v>16</v>
      </c>
      <c r="H7428" s="8" t="s">
        <v>15176</v>
      </c>
      <c r="I7428" s="8">
        <v>529.875</v>
      </c>
      <c r="J7428" s="3">
        <f t="shared" si="116"/>
        <v>43748.019676122683</v>
      </c>
    </row>
    <row r="7429" spans="1:10" x14ac:dyDescent="0.25">
      <c r="A7429" s="5" t="s">
        <v>15177</v>
      </c>
      <c r="B7429" s="6">
        <v>403.125</v>
      </c>
      <c r="C7429" s="6">
        <v>20.478950000000001</v>
      </c>
      <c r="D7429" s="6">
        <v>86</v>
      </c>
      <c r="E7429" s="6">
        <v>0</v>
      </c>
      <c r="F7429" s="6">
        <v>0</v>
      </c>
      <c r="G7429" s="6">
        <v>9</v>
      </c>
      <c r="H7429" s="6" t="s">
        <v>15178</v>
      </c>
      <c r="I7429" s="6">
        <v>529.125</v>
      </c>
      <c r="J7429" s="2">
        <f t="shared" si="116"/>
        <v>43748.019771574072</v>
      </c>
    </row>
    <row r="7430" spans="1:10" x14ac:dyDescent="0.25">
      <c r="A7430" s="7" t="s">
        <v>15179</v>
      </c>
      <c r="B7430" s="8">
        <v>403.125</v>
      </c>
      <c r="C7430" s="8">
        <v>20.478950000000001</v>
      </c>
      <c r="D7430" s="8">
        <v>86</v>
      </c>
      <c r="E7430" s="8">
        <v>0</v>
      </c>
      <c r="F7430" s="8">
        <v>0</v>
      </c>
      <c r="G7430" s="8">
        <v>8</v>
      </c>
      <c r="H7430" s="8" t="s">
        <v>15180</v>
      </c>
      <c r="I7430" s="8">
        <v>529.125</v>
      </c>
      <c r="J7430" s="3">
        <f t="shared" si="116"/>
        <v>43748.019842905087</v>
      </c>
    </row>
    <row r="7431" spans="1:10" x14ac:dyDescent="0.25">
      <c r="A7431" s="5" t="s">
        <v>15181</v>
      </c>
      <c r="B7431" s="6">
        <v>400</v>
      </c>
      <c r="C7431" s="6">
        <v>20.478950000000001</v>
      </c>
      <c r="D7431" s="6">
        <v>88</v>
      </c>
      <c r="E7431" s="6">
        <v>0</v>
      </c>
      <c r="F7431" s="6">
        <v>0</v>
      </c>
      <c r="G7431" s="6">
        <v>25</v>
      </c>
      <c r="H7431" s="6" t="s">
        <v>15182</v>
      </c>
      <c r="I7431" s="6">
        <v>528.9375</v>
      </c>
      <c r="J7431" s="2">
        <f t="shared" si="116"/>
        <v>43748.019915092591</v>
      </c>
    </row>
    <row r="7432" spans="1:10" x14ac:dyDescent="0.25">
      <c r="A7432" s="7" t="s">
        <v>15183</v>
      </c>
      <c r="B7432" s="8">
        <v>400</v>
      </c>
      <c r="C7432" s="8">
        <v>20.478950000000001</v>
      </c>
      <c r="D7432" s="8">
        <v>85</v>
      </c>
      <c r="E7432" s="8">
        <v>0</v>
      </c>
      <c r="F7432" s="8">
        <v>0</v>
      </c>
      <c r="G7432" s="8">
        <v>17</v>
      </c>
      <c r="H7432" s="8" t="s">
        <v>15184</v>
      </c>
      <c r="I7432" s="8">
        <v>528.1875</v>
      </c>
      <c r="J7432" s="3">
        <f t="shared" si="116"/>
        <v>43748.01998641203</v>
      </c>
    </row>
    <row r="7433" spans="1:10" x14ac:dyDescent="0.25">
      <c r="A7433" s="5" t="s">
        <v>15185</v>
      </c>
      <c r="B7433" s="6">
        <v>400</v>
      </c>
      <c r="C7433" s="6">
        <v>20.478950000000001</v>
      </c>
      <c r="D7433" s="6">
        <v>85</v>
      </c>
      <c r="E7433" s="6">
        <v>0</v>
      </c>
      <c r="F7433" s="6">
        <v>0</v>
      </c>
      <c r="G7433" s="6">
        <v>23</v>
      </c>
      <c r="H7433" s="6" t="s">
        <v>15186</v>
      </c>
      <c r="I7433" s="6">
        <v>528.1875</v>
      </c>
      <c r="J7433" s="2">
        <f t="shared" si="116"/>
        <v>43748.020057685186</v>
      </c>
    </row>
    <row r="7434" spans="1:10" x14ac:dyDescent="0.25">
      <c r="A7434" s="7" t="s">
        <v>15187</v>
      </c>
      <c r="B7434" s="8">
        <v>400</v>
      </c>
      <c r="C7434" s="8">
        <v>20.478950000000001</v>
      </c>
      <c r="D7434" s="8">
        <v>85</v>
      </c>
      <c r="E7434" s="8">
        <v>0</v>
      </c>
      <c r="F7434" s="8">
        <v>0</v>
      </c>
      <c r="G7434" s="8">
        <v>8</v>
      </c>
      <c r="H7434" s="8" t="s">
        <v>15188</v>
      </c>
      <c r="I7434" s="8">
        <v>528.1875</v>
      </c>
      <c r="J7434" s="3">
        <f t="shared" si="116"/>
        <v>43748.02012984953</v>
      </c>
    </row>
    <row r="7435" spans="1:10" x14ac:dyDescent="0.25">
      <c r="A7435" s="5" t="s">
        <v>15189</v>
      </c>
      <c r="B7435" s="6">
        <v>403.125</v>
      </c>
      <c r="C7435" s="6">
        <v>20.478950000000001</v>
      </c>
      <c r="D7435" s="6">
        <v>86</v>
      </c>
      <c r="E7435" s="6">
        <v>0</v>
      </c>
      <c r="F7435" s="6">
        <v>0</v>
      </c>
      <c r="G7435" s="6">
        <v>9</v>
      </c>
      <c r="H7435" s="6" t="s">
        <v>15190</v>
      </c>
      <c r="I7435" s="6">
        <v>529.125</v>
      </c>
      <c r="J7435" s="2">
        <f t="shared" si="116"/>
        <v>43748.020201203697</v>
      </c>
    </row>
    <row r="7436" spans="1:10" x14ac:dyDescent="0.25">
      <c r="A7436" s="7" t="s">
        <v>15191</v>
      </c>
      <c r="B7436" s="8">
        <v>403.125</v>
      </c>
      <c r="C7436" s="8">
        <v>20.478950000000001</v>
      </c>
      <c r="D7436" s="8">
        <v>85</v>
      </c>
      <c r="E7436" s="8">
        <v>0</v>
      </c>
      <c r="F7436" s="8">
        <v>0</v>
      </c>
      <c r="G7436" s="8">
        <v>13</v>
      </c>
      <c r="H7436" s="8" t="s">
        <v>15192</v>
      </c>
      <c r="I7436" s="8">
        <v>529.125</v>
      </c>
      <c r="J7436" s="3">
        <f t="shared" si="116"/>
        <v>43748.020272499998</v>
      </c>
    </row>
    <row r="7437" spans="1:10" x14ac:dyDescent="0.25">
      <c r="A7437" s="5" t="s">
        <v>15193</v>
      </c>
      <c r="B7437" s="6">
        <v>403.125</v>
      </c>
      <c r="C7437" s="6">
        <v>20.478950000000001</v>
      </c>
      <c r="D7437" s="6">
        <v>85</v>
      </c>
      <c r="E7437" s="6">
        <v>0</v>
      </c>
      <c r="F7437" s="6">
        <v>0</v>
      </c>
      <c r="G7437" s="6">
        <v>13</v>
      </c>
      <c r="H7437" s="6" t="s">
        <v>15194</v>
      </c>
      <c r="I7437" s="6">
        <v>529.125</v>
      </c>
      <c r="J7437" s="2">
        <f t="shared" si="116"/>
        <v>43748.02034383102</v>
      </c>
    </row>
    <row r="7438" spans="1:10" x14ac:dyDescent="0.25">
      <c r="A7438" s="7" t="s">
        <v>15195</v>
      </c>
      <c r="B7438" s="8">
        <v>418.75</v>
      </c>
      <c r="C7438" s="8">
        <v>20.478950000000001</v>
      </c>
      <c r="D7438" s="8">
        <v>86</v>
      </c>
      <c r="E7438" s="8">
        <v>0</v>
      </c>
      <c r="F7438" s="8">
        <v>0</v>
      </c>
      <c r="G7438" s="8">
        <v>12</v>
      </c>
      <c r="H7438" s="8" t="s">
        <v>15196</v>
      </c>
      <c r="I7438" s="8">
        <v>534</v>
      </c>
      <c r="J7438" s="3">
        <f t="shared" si="116"/>
        <v>43748.020416064814</v>
      </c>
    </row>
    <row r="7439" spans="1:10" x14ac:dyDescent="0.25">
      <c r="A7439" s="5" t="s">
        <v>15197</v>
      </c>
      <c r="B7439" s="6">
        <v>400</v>
      </c>
      <c r="C7439" s="6">
        <v>20.478950000000001</v>
      </c>
      <c r="D7439" s="6">
        <v>86</v>
      </c>
      <c r="E7439" s="6">
        <v>0</v>
      </c>
      <c r="F7439" s="6">
        <v>0</v>
      </c>
      <c r="G7439" s="6">
        <v>21</v>
      </c>
      <c r="H7439" s="6" t="s">
        <v>15198</v>
      </c>
      <c r="I7439" s="6">
        <v>528.1875</v>
      </c>
      <c r="J7439" s="2">
        <f t="shared" si="116"/>
        <v>43748.020499351849</v>
      </c>
    </row>
    <row r="7440" spans="1:10" x14ac:dyDescent="0.25">
      <c r="A7440" s="7" t="s">
        <v>15199</v>
      </c>
      <c r="B7440" s="8">
        <v>400</v>
      </c>
      <c r="C7440" s="8">
        <v>20.478950000000001</v>
      </c>
      <c r="D7440" s="8">
        <v>86</v>
      </c>
      <c r="E7440" s="8">
        <v>0</v>
      </c>
      <c r="F7440" s="8">
        <v>0</v>
      </c>
      <c r="G7440" s="8">
        <v>13</v>
      </c>
      <c r="H7440" s="8" t="s">
        <v>15200</v>
      </c>
      <c r="I7440" s="8">
        <v>528.1875</v>
      </c>
      <c r="J7440" s="3">
        <f t="shared" si="116"/>
        <v>43748.020594699068</v>
      </c>
    </row>
    <row r="7441" spans="1:10" x14ac:dyDescent="0.25">
      <c r="A7441" s="5" t="s">
        <v>15201</v>
      </c>
      <c r="B7441" s="6">
        <v>400</v>
      </c>
      <c r="C7441" s="6">
        <v>20.478950000000001</v>
      </c>
      <c r="D7441" s="6">
        <v>86</v>
      </c>
      <c r="E7441" s="6">
        <v>0</v>
      </c>
      <c r="F7441" s="6">
        <v>0</v>
      </c>
      <c r="G7441" s="6">
        <v>18</v>
      </c>
      <c r="H7441" s="6" t="s">
        <v>15202</v>
      </c>
      <c r="I7441" s="6">
        <v>528.1875</v>
      </c>
      <c r="J7441" s="2">
        <f t="shared" si="116"/>
        <v>43748.020666006945</v>
      </c>
    </row>
    <row r="7442" spans="1:10" x14ac:dyDescent="0.25">
      <c r="A7442" s="7" t="s">
        <v>15203</v>
      </c>
      <c r="B7442" s="8">
        <v>403.125</v>
      </c>
      <c r="C7442" s="8">
        <v>20.478950000000001</v>
      </c>
      <c r="D7442" s="8">
        <v>86</v>
      </c>
      <c r="E7442" s="8">
        <v>0</v>
      </c>
      <c r="F7442" s="8">
        <v>0</v>
      </c>
      <c r="G7442" s="8">
        <v>19</v>
      </c>
      <c r="H7442" s="8" t="s">
        <v>15204</v>
      </c>
      <c r="I7442" s="8">
        <v>529.125</v>
      </c>
      <c r="J7442" s="3">
        <f t="shared" si="116"/>
        <v>43748.020737314808</v>
      </c>
    </row>
    <row r="7443" spans="1:10" x14ac:dyDescent="0.25">
      <c r="A7443" s="5" t="s">
        <v>15205</v>
      </c>
      <c r="B7443" s="6">
        <v>403.125</v>
      </c>
      <c r="C7443" s="6">
        <v>20.478950000000001</v>
      </c>
      <c r="D7443" s="6">
        <v>86</v>
      </c>
      <c r="E7443" s="6">
        <v>0</v>
      </c>
      <c r="F7443" s="6">
        <v>0</v>
      </c>
      <c r="G7443" s="6">
        <v>8</v>
      </c>
      <c r="H7443" s="6" t="s">
        <v>15206</v>
      </c>
      <c r="I7443" s="6">
        <v>529.125</v>
      </c>
      <c r="J7443" s="2">
        <f t="shared" si="116"/>
        <v>43748.02080953704</v>
      </c>
    </row>
    <row r="7444" spans="1:10" x14ac:dyDescent="0.25">
      <c r="A7444" s="7" t="s">
        <v>15207</v>
      </c>
      <c r="B7444" s="8">
        <v>418.75</v>
      </c>
      <c r="C7444" s="8">
        <v>20.478950000000001</v>
      </c>
      <c r="D7444" s="8">
        <v>86</v>
      </c>
      <c r="E7444" s="8">
        <v>0</v>
      </c>
      <c r="F7444" s="8">
        <v>0</v>
      </c>
      <c r="G7444" s="8">
        <v>18</v>
      </c>
      <c r="H7444" s="8" t="s">
        <v>15208</v>
      </c>
      <c r="I7444" s="8">
        <v>534.75</v>
      </c>
      <c r="J7444" s="3">
        <f t="shared" si="116"/>
        <v>43748.020880833334</v>
      </c>
    </row>
    <row r="7445" spans="1:10" x14ac:dyDescent="0.25">
      <c r="A7445" s="5" t="s">
        <v>15209</v>
      </c>
      <c r="B7445" s="6">
        <v>403.125</v>
      </c>
      <c r="C7445" s="6">
        <v>20.478950000000001</v>
      </c>
      <c r="D7445" s="6">
        <v>87</v>
      </c>
      <c r="E7445" s="6">
        <v>0</v>
      </c>
      <c r="F7445" s="6">
        <v>0</v>
      </c>
      <c r="G7445" s="6">
        <v>11</v>
      </c>
      <c r="H7445" s="6" t="s">
        <v>15210</v>
      </c>
      <c r="I7445" s="6">
        <v>529.125</v>
      </c>
      <c r="J7445" s="2">
        <f t="shared" si="116"/>
        <v>43748.020952222221</v>
      </c>
    </row>
    <row r="7446" spans="1:10" x14ac:dyDescent="0.25">
      <c r="A7446" s="7" t="s">
        <v>15211</v>
      </c>
      <c r="B7446" s="8">
        <v>403.125</v>
      </c>
      <c r="C7446" s="8">
        <v>20.478950000000001</v>
      </c>
      <c r="D7446" s="8">
        <v>87</v>
      </c>
      <c r="E7446" s="8">
        <v>0</v>
      </c>
      <c r="F7446" s="8">
        <v>0</v>
      </c>
      <c r="G7446" s="8">
        <v>15</v>
      </c>
      <c r="H7446" s="8" t="s">
        <v>15212</v>
      </c>
      <c r="I7446" s="8">
        <v>529.875</v>
      </c>
      <c r="J7446" s="3">
        <f t="shared" si="116"/>
        <v>43748.021047476846</v>
      </c>
    </row>
    <row r="7447" spans="1:10" x14ac:dyDescent="0.25">
      <c r="A7447" s="5" t="s">
        <v>15213</v>
      </c>
      <c r="B7447" s="6">
        <v>406.25</v>
      </c>
      <c r="C7447" s="6">
        <v>20.478950000000001</v>
      </c>
      <c r="D7447" s="6">
        <v>87</v>
      </c>
      <c r="E7447" s="6">
        <v>0</v>
      </c>
      <c r="F7447" s="6">
        <v>0</v>
      </c>
      <c r="G7447" s="6">
        <v>9</v>
      </c>
      <c r="H7447" s="6" t="s">
        <v>15214</v>
      </c>
      <c r="I7447" s="6">
        <v>530.8125</v>
      </c>
      <c r="J7447" s="2">
        <f t="shared" si="116"/>
        <v>43748.021118842589</v>
      </c>
    </row>
    <row r="7448" spans="1:10" x14ac:dyDescent="0.25">
      <c r="A7448" s="7" t="s">
        <v>15215</v>
      </c>
      <c r="B7448" s="8">
        <v>406.25</v>
      </c>
      <c r="C7448" s="8">
        <v>20.478950000000001</v>
      </c>
      <c r="D7448" s="8">
        <v>86</v>
      </c>
      <c r="E7448" s="8">
        <v>0</v>
      </c>
      <c r="F7448" s="8">
        <v>0</v>
      </c>
      <c r="G7448" s="8">
        <v>12</v>
      </c>
      <c r="H7448" s="8" t="s">
        <v>15216</v>
      </c>
      <c r="I7448" s="8">
        <v>530.625</v>
      </c>
      <c r="J7448" s="3">
        <f t="shared" si="116"/>
        <v>43748.021191018517</v>
      </c>
    </row>
    <row r="7449" spans="1:10" x14ac:dyDescent="0.25">
      <c r="A7449" s="5" t="s">
        <v>15217</v>
      </c>
      <c r="B7449" s="6">
        <v>406.25</v>
      </c>
      <c r="C7449" s="6">
        <v>20.478950000000001</v>
      </c>
      <c r="D7449" s="6">
        <v>86</v>
      </c>
      <c r="E7449" s="6">
        <v>0</v>
      </c>
      <c r="F7449" s="6">
        <v>0</v>
      </c>
      <c r="G7449" s="6">
        <v>17</v>
      </c>
      <c r="H7449" s="6" t="s">
        <v>15218</v>
      </c>
      <c r="I7449" s="6">
        <v>530.625</v>
      </c>
      <c r="J7449" s="2">
        <f t="shared" si="116"/>
        <v>43748.021262256945</v>
      </c>
    </row>
    <row r="7450" spans="1:10" x14ac:dyDescent="0.25">
      <c r="A7450" s="7" t="s">
        <v>15219</v>
      </c>
      <c r="B7450" s="8">
        <v>406.25</v>
      </c>
      <c r="C7450" s="8">
        <v>20.478950000000001</v>
      </c>
      <c r="D7450" s="8">
        <v>88</v>
      </c>
      <c r="E7450" s="8">
        <v>0</v>
      </c>
      <c r="F7450" s="8">
        <v>0</v>
      </c>
      <c r="G7450" s="8">
        <v>18</v>
      </c>
      <c r="H7450" s="8" t="s">
        <v>15220</v>
      </c>
      <c r="I7450" s="8">
        <v>530.625</v>
      </c>
      <c r="J7450" s="3">
        <f t="shared" si="116"/>
        <v>43748.021333599536</v>
      </c>
    </row>
    <row r="7451" spans="1:10" x14ac:dyDescent="0.25">
      <c r="A7451" s="5" t="s">
        <v>15221</v>
      </c>
      <c r="B7451" s="6">
        <v>425</v>
      </c>
      <c r="C7451" s="6">
        <v>20.478950000000001</v>
      </c>
      <c r="D7451" s="6">
        <v>88</v>
      </c>
      <c r="E7451" s="6">
        <v>0</v>
      </c>
      <c r="F7451" s="6">
        <v>0</v>
      </c>
      <c r="G7451" s="6">
        <v>22</v>
      </c>
      <c r="H7451" s="6" t="s">
        <v>15222</v>
      </c>
      <c r="I7451" s="6">
        <v>536.4375</v>
      </c>
      <c r="J7451" s="2">
        <f t="shared" si="116"/>
        <v>43748.021405659725</v>
      </c>
    </row>
    <row r="7452" spans="1:10" x14ac:dyDescent="0.25">
      <c r="A7452" s="7" t="s">
        <v>15223</v>
      </c>
      <c r="B7452" s="8">
        <v>406.25</v>
      </c>
      <c r="C7452" s="8">
        <v>20.478950000000001</v>
      </c>
      <c r="D7452" s="8">
        <v>88</v>
      </c>
      <c r="E7452" s="8">
        <v>0</v>
      </c>
      <c r="F7452" s="8">
        <v>0</v>
      </c>
      <c r="G7452" s="8">
        <v>22</v>
      </c>
      <c r="H7452" s="8" t="s">
        <v>15224</v>
      </c>
      <c r="I7452" s="8">
        <v>530.625</v>
      </c>
      <c r="J7452" s="3">
        <f t="shared" si="116"/>
        <v>43748.021476354166</v>
      </c>
    </row>
    <row r="7453" spans="1:10" x14ac:dyDescent="0.25">
      <c r="A7453" s="5" t="s">
        <v>15225</v>
      </c>
      <c r="B7453" s="6">
        <v>409.375</v>
      </c>
      <c r="C7453" s="6">
        <v>20.478950000000001</v>
      </c>
      <c r="D7453" s="6">
        <v>88</v>
      </c>
      <c r="E7453" s="6">
        <v>0</v>
      </c>
      <c r="F7453" s="6">
        <v>0</v>
      </c>
      <c r="G7453" s="6">
        <v>19</v>
      </c>
      <c r="H7453" s="6" t="s">
        <v>15226</v>
      </c>
      <c r="I7453" s="6">
        <v>531.5625</v>
      </c>
      <c r="J7453" s="2">
        <f t="shared" si="116"/>
        <v>43748.021548402779</v>
      </c>
    </row>
    <row r="7454" spans="1:10" x14ac:dyDescent="0.25">
      <c r="A7454" s="7" t="s">
        <v>15227</v>
      </c>
      <c r="B7454" s="8">
        <v>406.25</v>
      </c>
      <c r="C7454" s="8">
        <v>20.478950000000001</v>
      </c>
      <c r="D7454" s="8">
        <v>87</v>
      </c>
      <c r="E7454" s="8">
        <v>0</v>
      </c>
      <c r="F7454" s="8">
        <v>0</v>
      </c>
      <c r="G7454" s="8">
        <v>21</v>
      </c>
      <c r="H7454" s="8" t="s">
        <v>15228</v>
      </c>
      <c r="I7454" s="8">
        <v>530.625</v>
      </c>
      <c r="J7454" s="3">
        <f t="shared" si="116"/>
        <v>43748.021619606479</v>
      </c>
    </row>
    <row r="7455" spans="1:10" x14ac:dyDescent="0.25">
      <c r="A7455" s="5" t="s">
        <v>15229</v>
      </c>
      <c r="B7455" s="6">
        <v>406.25</v>
      </c>
      <c r="C7455" s="6">
        <v>20.478950000000001</v>
      </c>
      <c r="D7455" s="6">
        <v>89</v>
      </c>
      <c r="E7455" s="6">
        <v>0</v>
      </c>
      <c r="F7455" s="6">
        <v>0</v>
      </c>
      <c r="G7455" s="6">
        <v>8</v>
      </c>
      <c r="H7455" s="6" t="s">
        <v>15230</v>
      </c>
      <c r="I7455" s="6">
        <v>530.8125</v>
      </c>
      <c r="J7455" s="2">
        <f t="shared" si="116"/>
        <v>43748.021691770831</v>
      </c>
    </row>
    <row r="7456" spans="1:10" x14ac:dyDescent="0.25">
      <c r="A7456" s="7" t="s">
        <v>15231</v>
      </c>
      <c r="B7456" s="8">
        <v>409.375</v>
      </c>
      <c r="C7456" s="8">
        <v>20.478950000000001</v>
      </c>
      <c r="D7456" s="8">
        <v>89</v>
      </c>
      <c r="E7456" s="8">
        <v>0</v>
      </c>
      <c r="F7456" s="8">
        <v>0</v>
      </c>
      <c r="G7456" s="8">
        <v>11</v>
      </c>
      <c r="H7456" s="8" t="s">
        <v>15232</v>
      </c>
      <c r="I7456" s="8">
        <v>531.5625</v>
      </c>
      <c r="J7456" s="3">
        <f t="shared" si="116"/>
        <v>43748.02176246528</v>
      </c>
    </row>
    <row r="7457" spans="1:10" x14ac:dyDescent="0.25">
      <c r="A7457" s="5" t="s">
        <v>15233</v>
      </c>
      <c r="B7457" s="6">
        <v>409.375</v>
      </c>
      <c r="C7457" s="6">
        <v>20.478950000000001</v>
      </c>
      <c r="D7457" s="6">
        <v>85</v>
      </c>
      <c r="E7457" s="6">
        <v>0</v>
      </c>
      <c r="F7457" s="6">
        <v>0</v>
      </c>
      <c r="G7457" s="6">
        <v>12</v>
      </c>
      <c r="H7457" s="6" t="s">
        <v>15234</v>
      </c>
      <c r="I7457" s="6">
        <v>531.5625</v>
      </c>
      <c r="J7457" s="2">
        <f t="shared" si="116"/>
        <v>43748.021834513886</v>
      </c>
    </row>
    <row r="7458" spans="1:10" x14ac:dyDescent="0.25">
      <c r="A7458" s="7" t="s">
        <v>15235</v>
      </c>
      <c r="B7458" s="8">
        <v>409.375</v>
      </c>
      <c r="C7458" s="8">
        <v>20.478950000000001</v>
      </c>
      <c r="D7458" s="8">
        <v>85</v>
      </c>
      <c r="E7458" s="8">
        <v>0</v>
      </c>
      <c r="F7458" s="8">
        <v>0</v>
      </c>
      <c r="G7458" s="8">
        <v>13</v>
      </c>
      <c r="H7458" s="8" t="s">
        <v>15236</v>
      </c>
      <c r="I7458" s="8">
        <v>531.375</v>
      </c>
      <c r="J7458" s="3">
        <f t="shared" si="116"/>
        <v>43748.021905833331</v>
      </c>
    </row>
    <row r="7459" spans="1:10" x14ac:dyDescent="0.25">
      <c r="A7459" s="5" t="s">
        <v>15237</v>
      </c>
      <c r="B7459" s="6">
        <v>409.375</v>
      </c>
      <c r="C7459" s="6">
        <v>20.478950000000001</v>
      </c>
      <c r="D7459" s="6">
        <v>85</v>
      </c>
      <c r="E7459" s="6">
        <v>0</v>
      </c>
      <c r="F7459" s="6">
        <v>0</v>
      </c>
      <c r="G7459" s="6">
        <v>17</v>
      </c>
      <c r="H7459" s="6" t="s">
        <v>15238</v>
      </c>
      <c r="I7459" s="6">
        <v>531.375</v>
      </c>
      <c r="J7459" s="2">
        <f t="shared" si="116"/>
        <v>43748.02197814815</v>
      </c>
    </row>
    <row r="7460" spans="1:10" x14ac:dyDescent="0.25">
      <c r="A7460" s="7" t="s">
        <v>15239</v>
      </c>
      <c r="B7460" s="8">
        <v>406.25</v>
      </c>
      <c r="C7460" s="8">
        <v>20.478950000000001</v>
      </c>
      <c r="D7460" s="8">
        <v>85</v>
      </c>
      <c r="E7460" s="8">
        <v>0</v>
      </c>
      <c r="F7460" s="8">
        <v>0</v>
      </c>
      <c r="G7460" s="8">
        <v>15</v>
      </c>
      <c r="H7460" s="8" t="s">
        <v>15240</v>
      </c>
      <c r="I7460" s="8">
        <v>530.625</v>
      </c>
      <c r="J7460" s="3">
        <f t="shared" si="116"/>
        <v>43748.022049293977</v>
      </c>
    </row>
    <row r="7461" spans="1:10" x14ac:dyDescent="0.25">
      <c r="A7461" s="5" t="s">
        <v>15241</v>
      </c>
      <c r="B7461" s="6">
        <v>409.375</v>
      </c>
      <c r="C7461" s="6">
        <v>20.478950000000001</v>
      </c>
      <c r="D7461" s="6">
        <v>85</v>
      </c>
      <c r="E7461" s="6">
        <v>0</v>
      </c>
      <c r="F7461" s="6">
        <v>0</v>
      </c>
      <c r="G7461" s="6">
        <v>12</v>
      </c>
      <c r="H7461" s="6" t="s">
        <v>15242</v>
      </c>
      <c r="I7461" s="6">
        <v>531.5625</v>
      </c>
      <c r="J7461" s="2">
        <f t="shared" si="116"/>
        <v>43748.022120636575</v>
      </c>
    </row>
    <row r="7462" spans="1:10" x14ac:dyDescent="0.25">
      <c r="A7462" s="7" t="s">
        <v>15243</v>
      </c>
      <c r="B7462" s="8">
        <v>406.25</v>
      </c>
      <c r="C7462" s="8">
        <v>20.426300000000001</v>
      </c>
      <c r="D7462" s="8">
        <v>86</v>
      </c>
      <c r="E7462" s="8">
        <v>0</v>
      </c>
      <c r="F7462" s="8">
        <v>0</v>
      </c>
      <c r="G7462" s="8">
        <v>13</v>
      </c>
      <c r="H7462" s="8" t="s">
        <v>15244</v>
      </c>
      <c r="I7462" s="8">
        <v>530.625</v>
      </c>
      <c r="J7462" s="3">
        <f t="shared" si="116"/>
        <v>43748.022191944438</v>
      </c>
    </row>
    <row r="7463" spans="1:10" x14ac:dyDescent="0.25">
      <c r="A7463" s="5" t="s">
        <v>15245</v>
      </c>
      <c r="B7463" s="6">
        <v>409.375</v>
      </c>
      <c r="C7463" s="6">
        <v>20.478950000000001</v>
      </c>
      <c r="D7463" s="6">
        <v>88</v>
      </c>
      <c r="E7463" s="6">
        <v>0</v>
      </c>
      <c r="F7463" s="6">
        <v>0</v>
      </c>
      <c r="G7463" s="6">
        <v>14</v>
      </c>
      <c r="H7463" s="6" t="s">
        <v>15246</v>
      </c>
      <c r="I7463" s="6">
        <v>531.5625</v>
      </c>
      <c r="J7463" s="2">
        <f t="shared" si="116"/>
        <v>43748.022264108797</v>
      </c>
    </row>
    <row r="7464" spans="1:10" x14ac:dyDescent="0.25">
      <c r="A7464" s="7" t="s">
        <v>15247</v>
      </c>
      <c r="B7464" s="8">
        <v>428.125</v>
      </c>
      <c r="C7464" s="8">
        <v>20.478950000000001</v>
      </c>
      <c r="D7464" s="8">
        <v>88</v>
      </c>
      <c r="E7464" s="8">
        <v>0</v>
      </c>
      <c r="F7464" s="8">
        <v>0</v>
      </c>
      <c r="G7464" s="8">
        <v>16</v>
      </c>
      <c r="H7464" s="8" t="s">
        <v>15248</v>
      </c>
      <c r="I7464" s="8">
        <v>537</v>
      </c>
      <c r="J7464" s="3">
        <f t="shared" si="116"/>
        <v>43748.022335613423</v>
      </c>
    </row>
    <row r="7465" spans="1:10" x14ac:dyDescent="0.25">
      <c r="A7465" s="5" t="s">
        <v>15249</v>
      </c>
      <c r="B7465" s="6">
        <v>412.5</v>
      </c>
      <c r="C7465" s="6">
        <v>20.478950000000001</v>
      </c>
      <c r="D7465" s="6">
        <v>87</v>
      </c>
      <c r="E7465" s="6">
        <v>0</v>
      </c>
      <c r="F7465" s="6">
        <v>0</v>
      </c>
      <c r="G7465" s="6">
        <v>17</v>
      </c>
      <c r="H7465" s="6" t="s">
        <v>15250</v>
      </c>
      <c r="I7465" s="6">
        <v>532.3125</v>
      </c>
      <c r="J7465" s="2">
        <f t="shared" si="116"/>
        <v>43748.022406747681</v>
      </c>
    </row>
    <row r="7466" spans="1:10" x14ac:dyDescent="0.25">
      <c r="A7466" s="7" t="s">
        <v>15251</v>
      </c>
      <c r="B7466" s="8">
        <v>412.5</v>
      </c>
      <c r="C7466" s="8">
        <v>20.478950000000001</v>
      </c>
      <c r="D7466" s="8">
        <v>85</v>
      </c>
      <c r="E7466" s="8">
        <v>0</v>
      </c>
      <c r="F7466" s="8">
        <v>0</v>
      </c>
      <c r="G7466" s="8">
        <v>15</v>
      </c>
      <c r="H7466" s="8" t="s">
        <v>15252</v>
      </c>
      <c r="I7466" s="8">
        <v>532.3125</v>
      </c>
      <c r="J7466" s="3">
        <f t="shared" si="116"/>
        <v>43748.022478738429</v>
      </c>
    </row>
    <row r="7467" spans="1:10" x14ac:dyDescent="0.25">
      <c r="A7467" s="5" t="s">
        <v>15253</v>
      </c>
      <c r="B7467" s="6">
        <v>412.5</v>
      </c>
      <c r="C7467" s="6">
        <v>20.478950000000001</v>
      </c>
      <c r="D7467" s="6">
        <v>88</v>
      </c>
      <c r="E7467" s="6">
        <v>0</v>
      </c>
      <c r="F7467" s="6">
        <v>0</v>
      </c>
      <c r="G7467" s="6">
        <v>11</v>
      </c>
      <c r="H7467" s="6" t="s">
        <v>15254</v>
      </c>
      <c r="I7467" s="6">
        <v>532.125</v>
      </c>
      <c r="J7467" s="2">
        <f t="shared" si="116"/>
        <v>43748.022550289352</v>
      </c>
    </row>
    <row r="7468" spans="1:10" x14ac:dyDescent="0.25">
      <c r="A7468" s="7" t="s">
        <v>15255</v>
      </c>
      <c r="B7468" s="8">
        <v>412.5</v>
      </c>
      <c r="C7468" s="8">
        <v>20.478950000000001</v>
      </c>
      <c r="D7468" s="8">
        <v>89</v>
      </c>
      <c r="E7468" s="8">
        <v>0</v>
      </c>
      <c r="F7468" s="8">
        <v>0</v>
      </c>
      <c r="G7468" s="8">
        <v>14</v>
      </c>
      <c r="H7468" s="8" t="s">
        <v>15256</v>
      </c>
      <c r="I7468" s="8">
        <v>532.3125</v>
      </c>
      <c r="J7468" s="3">
        <f t="shared" si="116"/>
        <v>43748.022621574077</v>
      </c>
    </row>
    <row r="7469" spans="1:10" x14ac:dyDescent="0.25">
      <c r="A7469" s="5" t="s">
        <v>15257</v>
      </c>
      <c r="B7469" s="6">
        <v>412.5</v>
      </c>
      <c r="C7469" s="6">
        <v>20.478950000000001</v>
      </c>
      <c r="D7469" s="6">
        <v>88</v>
      </c>
      <c r="E7469" s="6">
        <v>0</v>
      </c>
      <c r="F7469" s="6">
        <v>0</v>
      </c>
      <c r="G7469" s="6">
        <v>16</v>
      </c>
      <c r="H7469" s="6" t="s">
        <v>15258</v>
      </c>
      <c r="I7469" s="6">
        <v>532.3125</v>
      </c>
      <c r="J7469" s="2">
        <f t="shared" si="116"/>
        <v>43748.022704907409</v>
      </c>
    </row>
    <row r="7470" spans="1:10" x14ac:dyDescent="0.25">
      <c r="A7470" s="7" t="s">
        <v>15259</v>
      </c>
      <c r="B7470" s="8">
        <v>409.375</v>
      </c>
      <c r="C7470" s="8">
        <v>20.478950000000001</v>
      </c>
      <c r="D7470" s="8">
        <v>88</v>
      </c>
      <c r="E7470" s="8">
        <v>0</v>
      </c>
      <c r="F7470" s="8">
        <v>0</v>
      </c>
      <c r="G7470" s="8">
        <v>20</v>
      </c>
      <c r="H7470" s="8" t="s">
        <v>15260</v>
      </c>
      <c r="I7470" s="8">
        <v>531.5625</v>
      </c>
      <c r="J7470" s="3">
        <f t="shared" si="116"/>
        <v>43748.022776261576</v>
      </c>
    </row>
    <row r="7471" spans="1:10" x14ac:dyDescent="0.25">
      <c r="A7471" s="5" t="s">
        <v>15261</v>
      </c>
      <c r="B7471" s="6">
        <v>409.375</v>
      </c>
      <c r="C7471" s="6">
        <v>20.478950000000001</v>
      </c>
      <c r="D7471" s="6">
        <v>88</v>
      </c>
      <c r="E7471" s="6">
        <v>0</v>
      </c>
      <c r="F7471" s="6">
        <v>0</v>
      </c>
      <c r="G7471" s="6">
        <v>10</v>
      </c>
      <c r="H7471" s="6" t="s">
        <v>15262</v>
      </c>
      <c r="I7471" s="6">
        <v>531.5625</v>
      </c>
      <c r="J7471" s="2">
        <f t="shared" si="116"/>
        <v>43748.022848449073</v>
      </c>
    </row>
    <row r="7472" spans="1:10" x14ac:dyDescent="0.25">
      <c r="A7472" s="7" t="s">
        <v>15263</v>
      </c>
      <c r="B7472" s="8">
        <v>415.625</v>
      </c>
      <c r="C7472" s="8">
        <v>20.478950000000001</v>
      </c>
      <c r="D7472" s="8">
        <v>89</v>
      </c>
      <c r="E7472" s="8">
        <v>0</v>
      </c>
      <c r="F7472" s="8">
        <v>0</v>
      </c>
      <c r="G7472" s="8">
        <v>26</v>
      </c>
      <c r="H7472" s="8" t="s">
        <v>15264</v>
      </c>
      <c r="I7472" s="8">
        <v>533.4375</v>
      </c>
      <c r="J7472" s="3">
        <f t="shared" si="116"/>
        <v>43748.022919814808</v>
      </c>
    </row>
    <row r="7473" spans="1:10" x14ac:dyDescent="0.25">
      <c r="A7473" s="5" t="s">
        <v>15265</v>
      </c>
      <c r="B7473" s="6">
        <v>406.25</v>
      </c>
      <c r="C7473" s="6">
        <v>20.478950000000001</v>
      </c>
      <c r="D7473" s="6">
        <v>88</v>
      </c>
      <c r="E7473" s="6">
        <v>0</v>
      </c>
      <c r="F7473" s="6">
        <v>0</v>
      </c>
      <c r="G7473" s="6">
        <v>22</v>
      </c>
      <c r="H7473" s="6" t="s">
        <v>15266</v>
      </c>
      <c r="I7473" s="6">
        <v>530.8125</v>
      </c>
      <c r="J7473" s="2">
        <f t="shared" si="116"/>
        <v>43748.023005185183</v>
      </c>
    </row>
    <row r="7474" spans="1:10" x14ac:dyDescent="0.25">
      <c r="A7474" s="7" t="s">
        <v>15267</v>
      </c>
      <c r="B7474" s="8">
        <v>403.125</v>
      </c>
      <c r="C7474" s="8">
        <v>20.478950000000001</v>
      </c>
      <c r="D7474" s="8">
        <v>88</v>
      </c>
      <c r="E7474" s="8">
        <v>0</v>
      </c>
      <c r="F7474" s="8">
        <v>0</v>
      </c>
      <c r="G7474" s="8">
        <v>15</v>
      </c>
      <c r="H7474" s="8" t="s">
        <v>15268</v>
      </c>
      <c r="I7474" s="8">
        <v>529.875</v>
      </c>
      <c r="J7474" s="3">
        <f t="shared" si="116"/>
        <v>43748.023086354166</v>
      </c>
    </row>
    <row r="7475" spans="1:10" x14ac:dyDescent="0.25">
      <c r="A7475" s="5" t="s">
        <v>15269</v>
      </c>
      <c r="B7475" s="6">
        <v>403.125</v>
      </c>
      <c r="C7475" s="6">
        <v>20.478950000000001</v>
      </c>
      <c r="D7475" s="6">
        <v>88</v>
      </c>
      <c r="E7475" s="6">
        <v>0</v>
      </c>
      <c r="F7475" s="6">
        <v>0</v>
      </c>
      <c r="G7475" s="6">
        <v>19</v>
      </c>
      <c r="H7475" s="6" t="s">
        <v>15270</v>
      </c>
      <c r="I7475" s="6">
        <v>529.875</v>
      </c>
      <c r="J7475" s="2">
        <f t="shared" si="116"/>
        <v>43748.023169745364</v>
      </c>
    </row>
    <row r="7476" spans="1:10" x14ac:dyDescent="0.25">
      <c r="A7476" s="7" t="s">
        <v>15271</v>
      </c>
      <c r="B7476" s="8">
        <v>403.125</v>
      </c>
      <c r="C7476" s="8">
        <v>20.478950000000001</v>
      </c>
      <c r="D7476" s="8">
        <v>88</v>
      </c>
      <c r="E7476" s="8">
        <v>0</v>
      </c>
      <c r="F7476" s="8">
        <v>0</v>
      </c>
      <c r="G7476" s="8">
        <v>15</v>
      </c>
      <c r="H7476" s="8" t="s">
        <v>15272</v>
      </c>
      <c r="I7476" s="8">
        <v>529.875</v>
      </c>
      <c r="J7476" s="3">
        <f t="shared" si="116"/>
        <v>43748.023241932868</v>
      </c>
    </row>
    <row r="7477" spans="1:10" x14ac:dyDescent="0.25">
      <c r="A7477" s="5" t="s">
        <v>15273</v>
      </c>
      <c r="B7477" s="6">
        <v>403.125</v>
      </c>
      <c r="C7477" s="6">
        <v>20.478950000000001</v>
      </c>
      <c r="D7477" s="6">
        <v>88</v>
      </c>
      <c r="E7477" s="6">
        <v>0</v>
      </c>
      <c r="F7477" s="6">
        <v>0</v>
      </c>
      <c r="G7477" s="6">
        <v>17</v>
      </c>
      <c r="H7477" s="6" t="s">
        <v>15274</v>
      </c>
      <c r="I7477" s="6">
        <v>529.875</v>
      </c>
      <c r="J7477" s="2">
        <f t="shared" si="116"/>
        <v>43748.023313229169</v>
      </c>
    </row>
    <row r="7478" spans="1:10" x14ac:dyDescent="0.25">
      <c r="A7478" s="7" t="s">
        <v>15275</v>
      </c>
      <c r="B7478" s="8">
        <v>421.875</v>
      </c>
      <c r="C7478" s="8">
        <v>20.478950000000001</v>
      </c>
      <c r="D7478" s="8">
        <v>88</v>
      </c>
      <c r="E7478" s="8">
        <v>0</v>
      </c>
      <c r="F7478" s="8">
        <v>0</v>
      </c>
      <c r="G7478" s="8">
        <v>10</v>
      </c>
      <c r="H7478" s="8" t="s">
        <v>15276</v>
      </c>
      <c r="I7478" s="8">
        <v>535.5</v>
      </c>
      <c r="J7478" s="3">
        <f t="shared" si="116"/>
        <v>43748.023384525462</v>
      </c>
    </row>
    <row r="7479" spans="1:10" x14ac:dyDescent="0.25">
      <c r="A7479" s="5" t="s">
        <v>15277</v>
      </c>
      <c r="B7479" s="6">
        <v>406.25</v>
      </c>
      <c r="C7479" s="6">
        <v>20.478950000000001</v>
      </c>
      <c r="D7479" s="6">
        <v>88</v>
      </c>
      <c r="E7479" s="6">
        <v>0</v>
      </c>
      <c r="F7479" s="6">
        <v>0</v>
      </c>
      <c r="G7479" s="6">
        <v>5</v>
      </c>
      <c r="H7479" s="6" t="s">
        <v>15278</v>
      </c>
      <c r="I7479" s="6">
        <v>530.8125</v>
      </c>
      <c r="J7479" s="2">
        <f t="shared" si="116"/>
        <v>43748.023455995368</v>
      </c>
    </row>
    <row r="7480" spans="1:10" x14ac:dyDescent="0.25">
      <c r="A7480" s="7" t="s">
        <v>15279</v>
      </c>
      <c r="B7480" s="8">
        <v>406.25</v>
      </c>
      <c r="C7480" s="8">
        <v>20.478950000000001</v>
      </c>
      <c r="D7480" s="8">
        <v>92</v>
      </c>
      <c r="E7480" s="8">
        <v>0</v>
      </c>
      <c r="F7480" s="8">
        <v>0</v>
      </c>
      <c r="G7480" s="8">
        <v>20</v>
      </c>
      <c r="H7480" s="8" t="s">
        <v>15280</v>
      </c>
      <c r="I7480" s="8">
        <v>530.8125</v>
      </c>
      <c r="J7480" s="3">
        <f t="shared" si="116"/>
        <v>43748.023528032405</v>
      </c>
    </row>
    <row r="7481" spans="1:10" x14ac:dyDescent="0.25">
      <c r="A7481" s="5" t="s">
        <v>15281</v>
      </c>
      <c r="B7481" s="6">
        <v>409.375</v>
      </c>
      <c r="C7481" s="6">
        <v>20.478950000000001</v>
      </c>
      <c r="D7481" s="6">
        <v>92</v>
      </c>
      <c r="E7481" s="6">
        <v>0</v>
      </c>
      <c r="F7481" s="6">
        <v>0</v>
      </c>
      <c r="G7481" s="6">
        <v>26</v>
      </c>
      <c r="H7481" s="6" t="s">
        <v>15282</v>
      </c>
      <c r="I7481" s="6">
        <v>531.5625</v>
      </c>
      <c r="J7481" s="2">
        <f t="shared" si="116"/>
        <v>43748.023599340275</v>
      </c>
    </row>
    <row r="7482" spans="1:10" x14ac:dyDescent="0.25">
      <c r="A7482" s="7" t="s">
        <v>15283</v>
      </c>
      <c r="B7482" s="8">
        <v>431.25</v>
      </c>
      <c r="C7482" s="8">
        <v>20.478950000000001</v>
      </c>
      <c r="D7482" s="8">
        <v>93</v>
      </c>
      <c r="E7482" s="8">
        <v>0</v>
      </c>
      <c r="F7482" s="8">
        <v>0</v>
      </c>
      <c r="G7482" s="8">
        <v>13</v>
      </c>
      <c r="H7482" s="8" t="s">
        <v>15284</v>
      </c>
      <c r="I7482" s="8">
        <v>538.5</v>
      </c>
      <c r="J7482" s="3">
        <f t="shared" si="116"/>
        <v>43748.023670740738</v>
      </c>
    </row>
    <row r="7483" spans="1:10" x14ac:dyDescent="0.25">
      <c r="A7483" s="5" t="s">
        <v>15285</v>
      </c>
      <c r="B7483" s="6">
        <v>409.375</v>
      </c>
      <c r="C7483" s="6">
        <v>20.478950000000001</v>
      </c>
      <c r="D7483" s="6">
        <v>93</v>
      </c>
      <c r="E7483" s="6">
        <v>0</v>
      </c>
      <c r="F7483" s="6">
        <v>0</v>
      </c>
      <c r="G7483" s="6">
        <v>15</v>
      </c>
      <c r="H7483" s="6" t="s">
        <v>15286</v>
      </c>
      <c r="I7483" s="6">
        <v>531.5625</v>
      </c>
      <c r="J7483" s="2">
        <f t="shared" si="116"/>
        <v>43748.023742858793</v>
      </c>
    </row>
    <row r="7484" spans="1:10" x14ac:dyDescent="0.25">
      <c r="A7484" s="7" t="s">
        <v>15287</v>
      </c>
      <c r="B7484" s="8">
        <v>406.25</v>
      </c>
      <c r="C7484" s="8">
        <v>20.426300000000001</v>
      </c>
      <c r="D7484" s="8">
        <v>91</v>
      </c>
      <c r="E7484" s="8">
        <v>0</v>
      </c>
      <c r="F7484" s="8">
        <v>0</v>
      </c>
      <c r="G7484" s="8">
        <v>21</v>
      </c>
      <c r="H7484" s="8" t="s">
        <v>15288</v>
      </c>
      <c r="I7484" s="8">
        <v>530.625</v>
      </c>
      <c r="J7484" s="3">
        <f t="shared" si="116"/>
        <v>43748.023826168974</v>
      </c>
    </row>
    <row r="7485" spans="1:10" x14ac:dyDescent="0.25">
      <c r="A7485" s="5" t="s">
        <v>15289</v>
      </c>
      <c r="B7485" s="6">
        <v>406.25</v>
      </c>
      <c r="C7485" s="6">
        <v>20.478950000000001</v>
      </c>
      <c r="D7485" s="6">
        <v>91</v>
      </c>
      <c r="E7485" s="6">
        <v>0</v>
      </c>
      <c r="F7485" s="6">
        <v>0</v>
      </c>
      <c r="G7485" s="6">
        <v>17</v>
      </c>
      <c r="H7485" s="6" t="s">
        <v>15290</v>
      </c>
      <c r="I7485" s="6">
        <v>530.8125</v>
      </c>
      <c r="J7485" s="2">
        <f t="shared" si="116"/>
        <v>43748.023897465275</v>
      </c>
    </row>
    <row r="7486" spans="1:10" x14ac:dyDescent="0.25">
      <c r="A7486" s="7" t="s">
        <v>15291</v>
      </c>
      <c r="B7486" s="8">
        <v>406.25</v>
      </c>
      <c r="C7486" s="8">
        <v>20.478950000000001</v>
      </c>
      <c r="D7486" s="8">
        <v>91</v>
      </c>
      <c r="E7486" s="8">
        <v>0</v>
      </c>
      <c r="F7486" s="8">
        <v>0</v>
      </c>
      <c r="G7486" s="8">
        <v>12</v>
      </c>
      <c r="H7486" s="8" t="s">
        <v>15292</v>
      </c>
      <c r="I7486" s="8">
        <v>530.625</v>
      </c>
      <c r="J7486" s="3">
        <f t="shared" si="116"/>
        <v>43748.023968784721</v>
      </c>
    </row>
    <row r="7487" spans="1:10" x14ac:dyDescent="0.25">
      <c r="A7487" s="5" t="s">
        <v>15293</v>
      </c>
      <c r="B7487" s="6">
        <v>403.125</v>
      </c>
      <c r="C7487" s="6">
        <v>20.478950000000001</v>
      </c>
      <c r="D7487" s="6">
        <v>91</v>
      </c>
      <c r="E7487" s="6">
        <v>0</v>
      </c>
      <c r="F7487" s="6">
        <v>0</v>
      </c>
      <c r="G7487" s="6">
        <v>14</v>
      </c>
      <c r="H7487" s="6" t="s">
        <v>15294</v>
      </c>
      <c r="I7487" s="6">
        <v>529.125</v>
      </c>
      <c r="J7487" s="2">
        <f t="shared" si="116"/>
        <v>43748.024040983793</v>
      </c>
    </row>
    <row r="7488" spans="1:10" x14ac:dyDescent="0.25">
      <c r="A7488" s="7" t="s">
        <v>15295</v>
      </c>
      <c r="B7488" s="8">
        <v>400</v>
      </c>
      <c r="C7488" s="8">
        <v>20.478950000000001</v>
      </c>
      <c r="D7488" s="8">
        <v>91</v>
      </c>
      <c r="E7488" s="8">
        <v>0</v>
      </c>
      <c r="F7488" s="8">
        <v>0</v>
      </c>
      <c r="G7488" s="8">
        <v>5</v>
      </c>
      <c r="H7488" s="8" t="s">
        <v>15296</v>
      </c>
      <c r="I7488" s="8">
        <v>528.1875</v>
      </c>
      <c r="J7488" s="3">
        <f t="shared" si="116"/>
        <v>43748.024112442123</v>
      </c>
    </row>
    <row r="7489" spans="1:10" x14ac:dyDescent="0.25">
      <c r="A7489" s="5" t="s">
        <v>15297</v>
      </c>
      <c r="B7489" s="6">
        <v>396.875</v>
      </c>
      <c r="C7489" s="6">
        <v>20.478950000000001</v>
      </c>
      <c r="D7489" s="6">
        <v>86</v>
      </c>
      <c r="E7489" s="6">
        <v>0</v>
      </c>
      <c r="F7489" s="6">
        <v>0</v>
      </c>
      <c r="G7489" s="6">
        <v>10</v>
      </c>
      <c r="H7489" s="6" t="s">
        <v>15298</v>
      </c>
      <c r="I7489" s="6">
        <v>527.4375</v>
      </c>
      <c r="J7489" s="2">
        <f t="shared" si="116"/>
        <v>43748.024183599533</v>
      </c>
    </row>
    <row r="7490" spans="1:10" x14ac:dyDescent="0.25">
      <c r="A7490" s="7" t="s">
        <v>15299</v>
      </c>
      <c r="B7490" s="8">
        <v>415.625</v>
      </c>
      <c r="C7490" s="8">
        <v>20.478950000000001</v>
      </c>
      <c r="D7490" s="8">
        <v>89</v>
      </c>
      <c r="E7490" s="8">
        <v>0</v>
      </c>
      <c r="F7490" s="8">
        <v>0</v>
      </c>
      <c r="G7490" s="8">
        <v>15</v>
      </c>
      <c r="H7490" s="8" t="s">
        <v>15300</v>
      </c>
      <c r="I7490" s="8">
        <v>533.0625</v>
      </c>
      <c r="J7490" s="3">
        <f t="shared" ref="J7490:J7553" si="117">(H7490/86400000)+25569+(7/24)</f>
        <v>43748.024254988421</v>
      </c>
    </row>
    <row r="7491" spans="1:10" x14ac:dyDescent="0.25">
      <c r="A7491" s="5" t="s">
        <v>15301</v>
      </c>
      <c r="B7491" s="6">
        <v>393.75</v>
      </c>
      <c r="C7491" s="6">
        <v>20.478950000000001</v>
      </c>
      <c r="D7491" s="6">
        <v>89</v>
      </c>
      <c r="E7491" s="6">
        <v>0</v>
      </c>
      <c r="F7491" s="6">
        <v>0</v>
      </c>
      <c r="G7491" s="6">
        <v>12</v>
      </c>
      <c r="H7491" s="6" t="s">
        <v>15302</v>
      </c>
      <c r="I7491" s="6">
        <v>526.6875</v>
      </c>
      <c r="J7491" s="2">
        <f t="shared" si="117"/>
        <v>43748.024327106476</v>
      </c>
    </row>
    <row r="7492" spans="1:10" x14ac:dyDescent="0.25">
      <c r="A7492" s="7" t="s">
        <v>15303</v>
      </c>
      <c r="B7492" s="8">
        <v>393.75</v>
      </c>
      <c r="C7492" s="8">
        <v>20.478950000000001</v>
      </c>
      <c r="D7492" s="8">
        <v>90</v>
      </c>
      <c r="E7492" s="8">
        <v>0</v>
      </c>
      <c r="F7492" s="8">
        <v>0</v>
      </c>
      <c r="G7492" s="8">
        <v>16</v>
      </c>
      <c r="H7492" s="8" t="s">
        <v>15304</v>
      </c>
      <c r="I7492" s="8">
        <v>526.6875</v>
      </c>
      <c r="J7492" s="3">
        <f t="shared" si="117"/>
        <v>43748.024410439808</v>
      </c>
    </row>
    <row r="7493" spans="1:10" x14ac:dyDescent="0.25">
      <c r="A7493" s="5" t="s">
        <v>15305</v>
      </c>
      <c r="B7493" s="6">
        <v>393.75</v>
      </c>
      <c r="C7493" s="6">
        <v>20.478950000000001</v>
      </c>
      <c r="D7493" s="6">
        <v>90</v>
      </c>
      <c r="E7493" s="6">
        <v>0</v>
      </c>
      <c r="F7493" s="6">
        <v>0</v>
      </c>
      <c r="G7493" s="6">
        <v>19</v>
      </c>
      <c r="H7493" s="6" t="s">
        <v>15306</v>
      </c>
      <c r="I7493" s="6">
        <v>526.6875</v>
      </c>
      <c r="J7493" s="2">
        <f t="shared" si="117"/>
        <v>43748.024481736109</v>
      </c>
    </row>
    <row r="7494" spans="1:10" x14ac:dyDescent="0.25">
      <c r="A7494" s="7" t="s">
        <v>15307</v>
      </c>
      <c r="B7494" s="8">
        <v>393.75</v>
      </c>
      <c r="C7494" s="8">
        <v>20.478950000000001</v>
      </c>
      <c r="D7494" s="8">
        <v>91</v>
      </c>
      <c r="E7494" s="8">
        <v>0</v>
      </c>
      <c r="F7494" s="8">
        <v>0</v>
      </c>
      <c r="G7494" s="8">
        <v>11</v>
      </c>
      <c r="H7494" s="8" t="s">
        <v>15308</v>
      </c>
      <c r="I7494" s="8">
        <v>526.6875</v>
      </c>
      <c r="J7494" s="3">
        <f t="shared" si="117"/>
        <v>43748.02455303241</v>
      </c>
    </row>
    <row r="7495" spans="1:10" x14ac:dyDescent="0.25">
      <c r="A7495" s="5" t="s">
        <v>15309</v>
      </c>
      <c r="B7495" s="6">
        <v>396.875</v>
      </c>
      <c r="C7495" s="6">
        <v>20.478950000000001</v>
      </c>
      <c r="D7495" s="6">
        <v>90</v>
      </c>
      <c r="E7495" s="6">
        <v>0</v>
      </c>
      <c r="F7495" s="6">
        <v>0</v>
      </c>
      <c r="G7495" s="6">
        <v>11</v>
      </c>
      <c r="H7495" s="6" t="s">
        <v>15310</v>
      </c>
      <c r="I7495" s="6">
        <v>527.4375</v>
      </c>
      <c r="J7495" s="2">
        <f t="shared" si="117"/>
        <v>43748.024625266196</v>
      </c>
    </row>
    <row r="7496" spans="1:10" x14ac:dyDescent="0.25">
      <c r="A7496" s="7" t="s">
        <v>15311</v>
      </c>
      <c r="B7496" s="8">
        <v>396.875</v>
      </c>
      <c r="C7496" s="8">
        <v>20.478950000000001</v>
      </c>
      <c r="D7496" s="8">
        <v>90</v>
      </c>
      <c r="E7496" s="8">
        <v>0</v>
      </c>
      <c r="F7496" s="8">
        <v>0</v>
      </c>
      <c r="G7496" s="8">
        <v>18</v>
      </c>
      <c r="H7496" s="8" t="s">
        <v>15312</v>
      </c>
      <c r="I7496" s="8">
        <v>527.4375</v>
      </c>
      <c r="J7496" s="3">
        <f t="shared" si="117"/>
        <v>43748.024696041663</v>
      </c>
    </row>
    <row r="7497" spans="1:10" x14ac:dyDescent="0.25">
      <c r="A7497" s="5" t="s">
        <v>15313</v>
      </c>
      <c r="B7497" s="6">
        <v>396.875</v>
      </c>
      <c r="C7497" s="6">
        <v>20.478950000000001</v>
      </c>
      <c r="D7497" s="6">
        <v>90</v>
      </c>
      <c r="E7497" s="6">
        <v>0</v>
      </c>
      <c r="F7497" s="6">
        <v>0</v>
      </c>
      <c r="G7497" s="6">
        <v>11</v>
      </c>
      <c r="H7497" s="6" t="s">
        <v>15314</v>
      </c>
      <c r="I7497" s="6">
        <v>527.4375</v>
      </c>
      <c r="J7497" s="2">
        <f t="shared" si="117"/>
        <v>43748.024767858798</v>
      </c>
    </row>
    <row r="7498" spans="1:10" x14ac:dyDescent="0.25">
      <c r="A7498" s="7" t="s">
        <v>15315</v>
      </c>
      <c r="B7498" s="8">
        <v>396.875</v>
      </c>
      <c r="C7498" s="8">
        <v>20.478950000000001</v>
      </c>
      <c r="D7498" s="8">
        <v>90</v>
      </c>
      <c r="E7498" s="8">
        <v>0</v>
      </c>
      <c r="F7498" s="8">
        <v>0</v>
      </c>
      <c r="G7498" s="8">
        <v>12</v>
      </c>
      <c r="H7498" s="8" t="s">
        <v>15316</v>
      </c>
      <c r="I7498" s="8">
        <v>527.4375</v>
      </c>
      <c r="J7498" s="3">
        <f t="shared" si="117"/>
        <v>43748.024839212965</v>
      </c>
    </row>
    <row r="7499" spans="1:10" x14ac:dyDescent="0.25">
      <c r="A7499" s="5" t="s">
        <v>15317</v>
      </c>
      <c r="B7499" s="6">
        <v>396.875</v>
      </c>
      <c r="C7499" s="6">
        <v>20.478950000000001</v>
      </c>
      <c r="D7499" s="6">
        <v>90</v>
      </c>
      <c r="E7499" s="6">
        <v>0</v>
      </c>
      <c r="F7499" s="6">
        <v>0</v>
      </c>
      <c r="G7499" s="6">
        <v>16</v>
      </c>
      <c r="H7499" s="6" t="s">
        <v>15318</v>
      </c>
      <c r="I7499" s="6">
        <v>527.625</v>
      </c>
      <c r="J7499" s="2">
        <f t="shared" si="117"/>
        <v>43748.024911365741</v>
      </c>
    </row>
    <row r="7500" spans="1:10" x14ac:dyDescent="0.25">
      <c r="A7500" s="7" t="s">
        <v>15319</v>
      </c>
      <c r="B7500" s="8">
        <v>396.875</v>
      </c>
      <c r="C7500" s="8">
        <v>20.478950000000001</v>
      </c>
      <c r="D7500" s="8">
        <v>89</v>
      </c>
      <c r="E7500" s="8">
        <v>0</v>
      </c>
      <c r="F7500" s="8">
        <v>0</v>
      </c>
      <c r="G7500" s="8">
        <v>20</v>
      </c>
      <c r="H7500" s="8" t="s">
        <v>15320</v>
      </c>
      <c r="I7500" s="8">
        <v>527.4375</v>
      </c>
      <c r="J7500" s="3">
        <f t="shared" si="117"/>
        <v>43748.024982268515</v>
      </c>
    </row>
    <row r="7501" spans="1:10" x14ac:dyDescent="0.25">
      <c r="A7501" s="5" t="s">
        <v>15321</v>
      </c>
      <c r="B7501" s="6">
        <v>396.875</v>
      </c>
      <c r="C7501" s="6">
        <v>20.478950000000001</v>
      </c>
      <c r="D7501" s="6">
        <v>88</v>
      </c>
      <c r="E7501" s="6">
        <v>0</v>
      </c>
      <c r="F7501" s="6">
        <v>0</v>
      </c>
      <c r="G7501" s="6">
        <v>12</v>
      </c>
      <c r="H7501" s="6" t="s">
        <v>15322</v>
      </c>
      <c r="I7501" s="6">
        <v>527.4375</v>
      </c>
      <c r="J7501" s="2">
        <f t="shared" si="117"/>
        <v>43748.025066006943</v>
      </c>
    </row>
    <row r="7502" spans="1:10" x14ac:dyDescent="0.25">
      <c r="A7502" s="7" t="s">
        <v>15323</v>
      </c>
      <c r="B7502" s="8">
        <v>396.875</v>
      </c>
      <c r="C7502" s="8">
        <v>20.478950000000001</v>
      </c>
      <c r="D7502" s="8">
        <v>88</v>
      </c>
      <c r="E7502" s="8">
        <v>0</v>
      </c>
      <c r="F7502" s="8">
        <v>0</v>
      </c>
      <c r="G7502" s="8">
        <v>20</v>
      </c>
      <c r="H7502" s="8" t="s">
        <v>15324</v>
      </c>
      <c r="I7502" s="8">
        <v>527.4375</v>
      </c>
      <c r="J7502" s="3">
        <f t="shared" si="117"/>
        <v>43748.025137280092</v>
      </c>
    </row>
    <row r="7503" spans="1:10" x14ac:dyDescent="0.25">
      <c r="A7503" s="5" t="s">
        <v>15325</v>
      </c>
      <c r="B7503" s="6">
        <v>396.875</v>
      </c>
      <c r="C7503" s="6">
        <v>20.478950000000001</v>
      </c>
      <c r="D7503" s="6">
        <v>90</v>
      </c>
      <c r="E7503" s="6">
        <v>0</v>
      </c>
      <c r="F7503" s="6">
        <v>0</v>
      </c>
      <c r="G7503" s="6">
        <v>16</v>
      </c>
      <c r="H7503" s="6" t="s">
        <v>15326</v>
      </c>
      <c r="I7503" s="6">
        <v>527.4375</v>
      </c>
      <c r="J7503" s="2">
        <f t="shared" si="117"/>
        <v>43748.025209525462</v>
      </c>
    </row>
    <row r="7504" spans="1:10" x14ac:dyDescent="0.25">
      <c r="A7504" s="7" t="s">
        <v>15327</v>
      </c>
      <c r="B7504" s="8">
        <v>396.875</v>
      </c>
      <c r="C7504" s="8">
        <v>20.478950000000001</v>
      </c>
      <c r="D7504" s="8">
        <v>90</v>
      </c>
      <c r="E7504" s="8">
        <v>0</v>
      </c>
      <c r="F7504" s="8">
        <v>0</v>
      </c>
      <c r="G7504" s="8">
        <v>18</v>
      </c>
      <c r="H7504" s="8" t="s">
        <v>15328</v>
      </c>
      <c r="I7504" s="8">
        <v>527.625</v>
      </c>
      <c r="J7504" s="3">
        <f t="shared" si="117"/>
        <v>43748.025280937502</v>
      </c>
    </row>
    <row r="7505" spans="1:10" x14ac:dyDescent="0.25">
      <c r="A7505" s="5" t="s">
        <v>15329</v>
      </c>
      <c r="B7505" s="6">
        <v>396.875</v>
      </c>
      <c r="C7505" s="6">
        <v>20.478950000000001</v>
      </c>
      <c r="D7505" s="6">
        <v>90</v>
      </c>
      <c r="E7505" s="6">
        <v>0</v>
      </c>
      <c r="F7505" s="6">
        <v>0</v>
      </c>
      <c r="G7505" s="6">
        <v>11</v>
      </c>
      <c r="H7505" s="6" t="s">
        <v>15330</v>
      </c>
      <c r="I7505" s="6">
        <v>527.625</v>
      </c>
      <c r="J7505" s="2">
        <f t="shared" si="117"/>
        <v>43748.025364131943</v>
      </c>
    </row>
    <row r="7506" spans="1:10" x14ac:dyDescent="0.25">
      <c r="A7506" s="7" t="s">
        <v>15331</v>
      </c>
      <c r="B7506" s="8">
        <v>396.875</v>
      </c>
      <c r="C7506" s="8">
        <v>20.478950000000001</v>
      </c>
      <c r="D7506" s="8">
        <v>89</v>
      </c>
      <c r="E7506" s="8">
        <v>0</v>
      </c>
      <c r="F7506" s="8">
        <v>0</v>
      </c>
      <c r="G7506" s="8">
        <v>17</v>
      </c>
      <c r="H7506" s="8" t="s">
        <v>15332</v>
      </c>
      <c r="I7506" s="8">
        <v>527.4375</v>
      </c>
      <c r="J7506" s="3">
        <f t="shared" si="117"/>
        <v>43748.025435451382</v>
      </c>
    </row>
    <row r="7507" spans="1:10" x14ac:dyDescent="0.25">
      <c r="A7507" s="5" t="s">
        <v>15333</v>
      </c>
      <c r="B7507" s="6">
        <v>400</v>
      </c>
      <c r="C7507" s="6">
        <v>20.478950000000001</v>
      </c>
      <c r="D7507" s="6">
        <v>84</v>
      </c>
      <c r="E7507" s="6">
        <v>0</v>
      </c>
      <c r="F7507" s="6">
        <v>0</v>
      </c>
      <c r="G7507" s="6">
        <v>18</v>
      </c>
      <c r="H7507" s="6" t="s">
        <v>15334</v>
      </c>
      <c r="I7507" s="6">
        <v>528.375</v>
      </c>
      <c r="J7507" s="2">
        <f t="shared" si="117"/>
        <v>43748.025530879626</v>
      </c>
    </row>
    <row r="7508" spans="1:10" x14ac:dyDescent="0.25">
      <c r="A7508" s="7" t="s">
        <v>15335</v>
      </c>
      <c r="B7508" s="8">
        <v>400</v>
      </c>
      <c r="C7508" s="8">
        <v>20.478950000000001</v>
      </c>
      <c r="D7508" s="8">
        <v>83</v>
      </c>
      <c r="E7508" s="8">
        <v>0</v>
      </c>
      <c r="F7508" s="8">
        <v>0</v>
      </c>
      <c r="G7508" s="8">
        <v>25</v>
      </c>
      <c r="H7508" s="8" t="s">
        <v>15336</v>
      </c>
      <c r="I7508" s="8">
        <v>528.375</v>
      </c>
      <c r="J7508" s="3">
        <f t="shared" si="117"/>
        <v>43748.025604108792</v>
      </c>
    </row>
    <row r="7509" spans="1:10" x14ac:dyDescent="0.25">
      <c r="A7509" s="5" t="s">
        <v>15337</v>
      </c>
      <c r="B7509" s="6">
        <v>400</v>
      </c>
      <c r="C7509" s="6">
        <v>20.478950000000001</v>
      </c>
      <c r="D7509" s="6">
        <v>83</v>
      </c>
      <c r="E7509" s="6">
        <v>0</v>
      </c>
      <c r="F7509" s="6">
        <v>0</v>
      </c>
      <c r="G7509" s="6">
        <v>18</v>
      </c>
      <c r="H7509" s="6" t="s">
        <v>15338</v>
      </c>
      <c r="I7509" s="6">
        <v>528.1875</v>
      </c>
      <c r="J7509" s="2">
        <f t="shared" si="117"/>
        <v>43748.025686319445</v>
      </c>
    </row>
    <row r="7510" spans="1:10" x14ac:dyDescent="0.25">
      <c r="A7510" s="7" t="s">
        <v>15339</v>
      </c>
      <c r="B7510" s="8">
        <v>400</v>
      </c>
      <c r="C7510" s="8">
        <v>20.478950000000001</v>
      </c>
      <c r="D7510" s="8">
        <v>83</v>
      </c>
      <c r="E7510" s="8">
        <v>0</v>
      </c>
      <c r="F7510" s="8">
        <v>0</v>
      </c>
      <c r="G7510" s="8">
        <v>15</v>
      </c>
      <c r="H7510" s="8" t="s">
        <v>15340</v>
      </c>
      <c r="I7510" s="8">
        <v>528.1875</v>
      </c>
      <c r="J7510" s="3">
        <f t="shared" si="117"/>
        <v>43748.025757581017</v>
      </c>
    </row>
    <row r="7511" spans="1:10" x14ac:dyDescent="0.25">
      <c r="A7511" s="5" t="s">
        <v>15341</v>
      </c>
      <c r="B7511" s="6">
        <v>400</v>
      </c>
      <c r="C7511" s="6">
        <v>20.478950000000001</v>
      </c>
      <c r="D7511" s="6">
        <v>84</v>
      </c>
      <c r="E7511" s="6">
        <v>0</v>
      </c>
      <c r="F7511" s="6">
        <v>0</v>
      </c>
      <c r="G7511" s="6">
        <v>19</v>
      </c>
      <c r="H7511" s="6" t="s">
        <v>15342</v>
      </c>
      <c r="I7511" s="6">
        <v>528.375</v>
      </c>
      <c r="J7511" s="2">
        <f t="shared" si="117"/>
        <v>43748.025828993057</v>
      </c>
    </row>
    <row r="7512" spans="1:10" x14ac:dyDescent="0.25">
      <c r="A7512" s="7" t="s">
        <v>15343</v>
      </c>
      <c r="B7512" s="8">
        <v>396.875</v>
      </c>
      <c r="C7512" s="8">
        <v>20.478950000000001</v>
      </c>
      <c r="D7512" s="8">
        <v>85</v>
      </c>
      <c r="E7512" s="8">
        <v>0</v>
      </c>
      <c r="F7512" s="8">
        <v>0</v>
      </c>
      <c r="G7512" s="8">
        <v>17</v>
      </c>
      <c r="H7512" s="8" t="s">
        <v>15344</v>
      </c>
      <c r="I7512" s="8">
        <v>527.4375</v>
      </c>
      <c r="J7512" s="3">
        <f t="shared" si="117"/>
        <v>43748.025901192123</v>
      </c>
    </row>
    <row r="7513" spans="1:10" x14ac:dyDescent="0.25">
      <c r="A7513" s="5" t="s">
        <v>15345</v>
      </c>
      <c r="B7513" s="6">
        <v>396.875</v>
      </c>
      <c r="C7513" s="6">
        <v>20.426300000000001</v>
      </c>
      <c r="D7513" s="6">
        <v>86</v>
      </c>
      <c r="E7513" s="6">
        <v>0</v>
      </c>
      <c r="F7513" s="6">
        <v>0</v>
      </c>
      <c r="G7513" s="6">
        <v>17</v>
      </c>
      <c r="H7513" s="6" t="s">
        <v>15346</v>
      </c>
      <c r="I7513" s="6">
        <v>527.4375</v>
      </c>
      <c r="J7513" s="2">
        <f t="shared" si="117"/>
        <v>43748.025972488424</v>
      </c>
    </row>
    <row r="7514" spans="1:10" x14ac:dyDescent="0.25">
      <c r="A7514" s="7" t="s">
        <v>15347</v>
      </c>
      <c r="B7514" s="8">
        <v>396.875</v>
      </c>
      <c r="C7514" s="8">
        <v>20.478950000000001</v>
      </c>
      <c r="D7514" s="8">
        <v>87</v>
      </c>
      <c r="E7514" s="8">
        <v>0</v>
      </c>
      <c r="F7514" s="8">
        <v>0</v>
      </c>
      <c r="G7514" s="8">
        <v>20</v>
      </c>
      <c r="H7514" s="8" t="s">
        <v>15348</v>
      </c>
      <c r="I7514" s="8">
        <v>527.4375</v>
      </c>
      <c r="J7514" s="3">
        <f t="shared" si="117"/>
        <v>43748.026043784725</v>
      </c>
    </row>
    <row r="7515" spans="1:10" x14ac:dyDescent="0.25">
      <c r="A7515" s="5" t="s">
        <v>15349</v>
      </c>
      <c r="B7515" s="6">
        <v>396.875</v>
      </c>
      <c r="C7515" s="6">
        <v>20.478950000000001</v>
      </c>
      <c r="D7515" s="6">
        <v>87</v>
      </c>
      <c r="E7515" s="6">
        <v>0</v>
      </c>
      <c r="F7515" s="6">
        <v>0</v>
      </c>
      <c r="G7515" s="6">
        <v>9</v>
      </c>
      <c r="H7515" s="6" t="s">
        <v>15350</v>
      </c>
      <c r="I7515" s="6">
        <v>527.4375</v>
      </c>
      <c r="J7515" s="2">
        <f t="shared" si="117"/>
        <v>43748.026139143512</v>
      </c>
    </row>
    <row r="7516" spans="1:10" x14ac:dyDescent="0.25">
      <c r="A7516" s="7" t="s">
        <v>15351</v>
      </c>
      <c r="B7516" s="8">
        <v>396.875</v>
      </c>
      <c r="C7516" s="8">
        <v>20.478950000000001</v>
      </c>
      <c r="D7516" s="8">
        <v>87</v>
      </c>
      <c r="E7516" s="8">
        <v>0</v>
      </c>
      <c r="F7516" s="8">
        <v>0</v>
      </c>
      <c r="G7516" s="8">
        <v>20</v>
      </c>
      <c r="H7516" s="8" t="s">
        <v>15352</v>
      </c>
      <c r="I7516" s="8">
        <v>527.4375</v>
      </c>
      <c r="J7516" s="3">
        <f t="shared" si="117"/>
        <v>43748.026211203702</v>
      </c>
    </row>
    <row r="7517" spans="1:10" x14ac:dyDescent="0.25">
      <c r="A7517" s="5" t="s">
        <v>15353</v>
      </c>
      <c r="B7517" s="6">
        <v>396.875</v>
      </c>
      <c r="C7517" s="6">
        <v>20.478950000000001</v>
      </c>
      <c r="D7517" s="6">
        <v>87</v>
      </c>
      <c r="E7517" s="6">
        <v>0</v>
      </c>
      <c r="F7517" s="6">
        <v>0</v>
      </c>
      <c r="G7517" s="6">
        <v>17</v>
      </c>
      <c r="H7517" s="6" t="s">
        <v>15354</v>
      </c>
      <c r="I7517" s="6">
        <v>527.4375</v>
      </c>
      <c r="J7517" s="2">
        <f t="shared" si="117"/>
        <v>43748.026282673607</v>
      </c>
    </row>
    <row r="7518" spans="1:10" x14ac:dyDescent="0.25">
      <c r="A7518" s="7" t="s">
        <v>15355</v>
      </c>
      <c r="B7518" s="8">
        <v>396.875</v>
      </c>
      <c r="C7518" s="8">
        <v>20.478950000000001</v>
      </c>
      <c r="D7518" s="8">
        <v>86</v>
      </c>
      <c r="E7518" s="8">
        <v>0</v>
      </c>
      <c r="F7518" s="8">
        <v>0</v>
      </c>
      <c r="G7518" s="8">
        <v>18</v>
      </c>
      <c r="H7518" s="8" t="s">
        <v>15356</v>
      </c>
      <c r="I7518" s="8">
        <v>527.625</v>
      </c>
      <c r="J7518" s="3">
        <f t="shared" si="117"/>
        <v>43748.02635393518</v>
      </c>
    </row>
    <row r="7519" spans="1:10" x14ac:dyDescent="0.25">
      <c r="A7519" s="5" t="s">
        <v>15357</v>
      </c>
      <c r="B7519" s="6">
        <v>396.875</v>
      </c>
      <c r="C7519" s="6">
        <v>20.478950000000001</v>
      </c>
      <c r="D7519" s="6">
        <v>86</v>
      </c>
      <c r="E7519" s="6">
        <v>0</v>
      </c>
      <c r="F7519" s="6">
        <v>0</v>
      </c>
      <c r="G7519" s="6">
        <v>18</v>
      </c>
      <c r="H7519" s="6" t="s">
        <v>15358</v>
      </c>
      <c r="I7519" s="6">
        <v>527.4375</v>
      </c>
      <c r="J7519" s="2">
        <f t="shared" si="117"/>
        <v>43748.026425393517</v>
      </c>
    </row>
    <row r="7520" spans="1:10" x14ac:dyDescent="0.25">
      <c r="A7520" s="7" t="s">
        <v>15359</v>
      </c>
      <c r="B7520" s="8">
        <v>396.875</v>
      </c>
      <c r="C7520" s="8">
        <v>20.478950000000001</v>
      </c>
      <c r="D7520" s="8">
        <v>88</v>
      </c>
      <c r="E7520" s="8">
        <v>0</v>
      </c>
      <c r="F7520" s="8">
        <v>0</v>
      </c>
      <c r="G7520" s="8">
        <v>19</v>
      </c>
      <c r="H7520" s="8" t="s">
        <v>15360</v>
      </c>
      <c r="I7520" s="8">
        <v>527.4375</v>
      </c>
      <c r="J7520" s="3">
        <f t="shared" si="117"/>
        <v>43748.026508159724</v>
      </c>
    </row>
    <row r="7521" spans="1:10" x14ac:dyDescent="0.25">
      <c r="A7521" s="5" t="s">
        <v>15361</v>
      </c>
      <c r="B7521" s="6">
        <v>440.625</v>
      </c>
      <c r="C7521" s="6">
        <v>20.478950000000001</v>
      </c>
      <c r="D7521" s="6">
        <v>88</v>
      </c>
      <c r="E7521" s="6">
        <v>0</v>
      </c>
      <c r="F7521" s="6">
        <v>0</v>
      </c>
      <c r="G7521" s="6">
        <v>13</v>
      </c>
      <c r="H7521" s="6" t="s">
        <v>15362</v>
      </c>
      <c r="I7521" s="6">
        <v>541.6875</v>
      </c>
      <c r="J7521" s="2">
        <f t="shared" si="117"/>
        <v>43748.026580937498</v>
      </c>
    </row>
    <row r="7522" spans="1:10" x14ac:dyDescent="0.25">
      <c r="A7522" s="7" t="s">
        <v>15363</v>
      </c>
      <c r="B7522" s="8">
        <v>400</v>
      </c>
      <c r="C7522" s="8">
        <v>20.478950000000001</v>
      </c>
      <c r="D7522" s="8">
        <v>88</v>
      </c>
      <c r="E7522" s="8">
        <v>0</v>
      </c>
      <c r="F7522" s="8">
        <v>0</v>
      </c>
      <c r="G7522" s="8">
        <v>23</v>
      </c>
      <c r="H7522" s="8" t="s">
        <v>15364</v>
      </c>
      <c r="I7522" s="8">
        <v>528.1875</v>
      </c>
      <c r="J7522" s="3">
        <f t="shared" si="117"/>
        <v>43748.026652118053</v>
      </c>
    </row>
    <row r="7523" spans="1:10" x14ac:dyDescent="0.25">
      <c r="A7523" s="5" t="s">
        <v>15365</v>
      </c>
      <c r="B7523" s="6">
        <v>400</v>
      </c>
      <c r="C7523" s="6">
        <v>20.478950000000001</v>
      </c>
      <c r="D7523" s="6">
        <v>88</v>
      </c>
      <c r="E7523" s="6">
        <v>0</v>
      </c>
      <c r="F7523" s="6">
        <v>0</v>
      </c>
      <c r="G7523" s="6">
        <v>17</v>
      </c>
      <c r="H7523" s="6" t="s">
        <v>15366</v>
      </c>
      <c r="I7523" s="6">
        <v>528.1875</v>
      </c>
      <c r="J7523" s="2">
        <f t="shared" si="117"/>
        <v>43748.026723425923</v>
      </c>
    </row>
    <row r="7524" spans="1:10" x14ac:dyDescent="0.25">
      <c r="A7524" s="7" t="s">
        <v>15367</v>
      </c>
      <c r="B7524" s="8">
        <v>403.125</v>
      </c>
      <c r="C7524" s="8">
        <v>20.478950000000001</v>
      </c>
      <c r="D7524" s="8">
        <v>87</v>
      </c>
      <c r="E7524" s="8">
        <v>0</v>
      </c>
      <c r="F7524" s="8">
        <v>0</v>
      </c>
      <c r="G7524" s="8">
        <v>19</v>
      </c>
      <c r="H7524" s="8" t="s">
        <v>15368</v>
      </c>
      <c r="I7524" s="8">
        <v>529.125</v>
      </c>
      <c r="J7524" s="3">
        <f t="shared" si="117"/>
        <v>43748.026795590275</v>
      </c>
    </row>
    <row r="7525" spans="1:10" x14ac:dyDescent="0.25">
      <c r="A7525" s="5" t="s">
        <v>15369</v>
      </c>
      <c r="B7525" s="6">
        <v>400</v>
      </c>
      <c r="C7525" s="6">
        <v>20.478950000000001</v>
      </c>
      <c r="D7525" s="6">
        <v>87</v>
      </c>
      <c r="E7525" s="6">
        <v>0</v>
      </c>
      <c r="F7525" s="6">
        <v>0</v>
      </c>
      <c r="G7525" s="6">
        <v>20</v>
      </c>
      <c r="H7525" s="6" t="s">
        <v>15370</v>
      </c>
      <c r="I7525" s="6">
        <v>528.375</v>
      </c>
      <c r="J7525" s="2">
        <f t="shared" si="117"/>
        <v>43748.026866886568</v>
      </c>
    </row>
    <row r="7526" spans="1:10" x14ac:dyDescent="0.25">
      <c r="A7526" s="7" t="s">
        <v>15371</v>
      </c>
      <c r="B7526" s="8">
        <v>400</v>
      </c>
      <c r="C7526" s="8">
        <v>20.478950000000001</v>
      </c>
      <c r="D7526" s="8">
        <v>77</v>
      </c>
      <c r="E7526" s="8">
        <v>0</v>
      </c>
      <c r="F7526" s="8">
        <v>0</v>
      </c>
      <c r="G7526" s="8">
        <v>9</v>
      </c>
      <c r="H7526" s="8" t="s">
        <v>15372</v>
      </c>
      <c r="I7526" s="8">
        <v>528.1875</v>
      </c>
      <c r="J7526" s="3">
        <f t="shared" si="117"/>
        <v>43748.026938252311</v>
      </c>
    </row>
    <row r="7527" spans="1:10" x14ac:dyDescent="0.25">
      <c r="A7527" s="5" t="s">
        <v>15373</v>
      </c>
      <c r="B7527" s="6">
        <v>400</v>
      </c>
      <c r="C7527" s="6">
        <v>20.478950000000001</v>
      </c>
      <c r="D7527" s="6">
        <v>81</v>
      </c>
      <c r="E7527" s="6">
        <v>0</v>
      </c>
      <c r="F7527" s="6">
        <v>0</v>
      </c>
      <c r="G7527" s="6">
        <v>17</v>
      </c>
      <c r="H7527" s="6" t="s">
        <v>15374</v>
      </c>
      <c r="I7527" s="6">
        <v>528.375</v>
      </c>
      <c r="J7527" s="2">
        <f t="shared" si="117"/>
        <v>43748.027009641206</v>
      </c>
    </row>
    <row r="7528" spans="1:10" x14ac:dyDescent="0.25">
      <c r="A7528" s="7" t="s">
        <v>15375</v>
      </c>
      <c r="B7528" s="8">
        <v>400</v>
      </c>
      <c r="C7528" s="8">
        <v>20.478950000000001</v>
      </c>
      <c r="D7528" s="8">
        <v>81</v>
      </c>
      <c r="E7528" s="8">
        <v>0</v>
      </c>
      <c r="F7528" s="8">
        <v>0</v>
      </c>
      <c r="G7528" s="8">
        <v>17</v>
      </c>
      <c r="H7528" s="8" t="s">
        <v>15376</v>
      </c>
      <c r="I7528" s="8">
        <v>528.375</v>
      </c>
      <c r="J7528" s="3">
        <f t="shared" si="117"/>
        <v>43748.027081747678</v>
      </c>
    </row>
    <row r="7529" spans="1:10" x14ac:dyDescent="0.25">
      <c r="A7529" s="5" t="s">
        <v>15377</v>
      </c>
      <c r="B7529" s="6">
        <v>403.125</v>
      </c>
      <c r="C7529" s="6">
        <v>20.478950000000001</v>
      </c>
      <c r="D7529" s="6">
        <v>85</v>
      </c>
      <c r="E7529" s="6">
        <v>0</v>
      </c>
      <c r="F7529" s="6">
        <v>0</v>
      </c>
      <c r="G7529" s="6">
        <v>16</v>
      </c>
      <c r="H7529" s="6" t="s">
        <v>15378</v>
      </c>
      <c r="I7529" s="6">
        <v>529.125</v>
      </c>
      <c r="J7529" s="2">
        <f t="shared" si="117"/>
        <v>43748.027177743053</v>
      </c>
    </row>
    <row r="7530" spans="1:10" x14ac:dyDescent="0.25">
      <c r="A7530" s="7" t="s">
        <v>15379</v>
      </c>
      <c r="B7530" s="8">
        <v>403.125</v>
      </c>
      <c r="C7530" s="8">
        <v>20.478950000000001</v>
      </c>
      <c r="D7530" s="8">
        <v>85</v>
      </c>
      <c r="E7530" s="8">
        <v>0</v>
      </c>
      <c r="F7530" s="8">
        <v>0</v>
      </c>
      <c r="G7530" s="8">
        <v>17</v>
      </c>
      <c r="H7530" s="8" t="s">
        <v>15380</v>
      </c>
      <c r="I7530" s="8">
        <v>529.125</v>
      </c>
      <c r="J7530" s="3">
        <f t="shared" si="117"/>
        <v>43748.027248356484</v>
      </c>
    </row>
    <row r="7531" spans="1:10" x14ac:dyDescent="0.25">
      <c r="A7531" s="5" t="s">
        <v>15381</v>
      </c>
      <c r="B7531" s="6">
        <v>403.125</v>
      </c>
      <c r="C7531" s="6">
        <v>20.478950000000001</v>
      </c>
      <c r="D7531" s="6">
        <v>85</v>
      </c>
      <c r="E7531" s="6">
        <v>0</v>
      </c>
      <c r="F7531" s="6">
        <v>0</v>
      </c>
      <c r="G7531" s="6">
        <v>28</v>
      </c>
      <c r="H7531" s="6" t="s">
        <v>15382</v>
      </c>
      <c r="I7531" s="6">
        <v>529.875</v>
      </c>
      <c r="J7531" s="2">
        <f t="shared" si="117"/>
        <v>43748.027319664347</v>
      </c>
    </row>
    <row r="7532" spans="1:10" x14ac:dyDescent="0.25">
      <c r="A7532" s="7" t="s">
        <v>15383</v>
      </c>
      <c r="B7532" s="8">
        <v>406.25</v>
      </c>
      <c r="C7532" s="8">
        <v>20.478950000000001</v>
      </c>
      <c r="D7532" s="8">
        <v>85</v>
      </c>
      <c r="E7532" s="8">
        <v>0</v>
      </c>
      <c r="F7532" s="8">
        <v>0</v>
      </c>
      <c r="G7532" s="8">
        <v>13</v>
      </c>
      <c r="H7532" s="8" t="s">
        <v>15384</v>
      </c>
      <c r="I7532" s="8">
        <v>530.8125</v>
      </c>
      <c r="J7532" s="3">
        <f t="shared" si="117"/>
        <v>43748.02739171296</v>
      </c>
    </row>
    <row r="7533" spans="1:10" x14ac:dyDescent="0.25">
      <c r="A7533" s="5" t="s">
        <v>15385</v>
      </c>
      <c r="B7533" s="6">
        <v>406.25</v>
      </c>
      <c r="C7533" s="6">
        <v>20.478950000000001</v>
      </c>
      <c r="D7533" s="6">
        <v>85</v>
      </c>
      <c r="E7533" s="6">
        <v>0</v>
      </c>
      <c r="F7533" s="6">
        <v>0</v>
      </c>
      <c r="G7533" s="6">
        <v>15</v>
      </c>
      <c r="H7533" s="6" t="s">
        <v>15386</v>
      </c>
      <c r="I7533" s="6">
        <v>530.8125</v>
      </c>
      <c r="J7533" s="2">
        <f t="shared" si="117"/>
        <v>43748.027462303238</v>
      </c>
    </row>
    <row r="7534" spans="1:10" x14ac:dyDescent="0.25">
      <c r="A7534" s="7" t="s">
        <v>15387</v>
      </c>
      <c r="B7534" s="8">
        <v>406.25</v>
      </c>
      <c r="C7534" s="8">
        <v>20.478950000000001</v>
      </c>
      <c r="D7534" s="8">
        <v>87</v>
      </c>
      <c r="E7534" s="8">
        <v>0</v>
      </c>
      <c r="F7534" s="8">
        <v>0</v>
      </c>
      <c r="G7534" s="8">
        <v>21</v>
      </c>
      <c r="H7534" s="8" t="s">
        <v>15388</v>
      </c>
      <c r="I7534" s="8">
        <v>530.625</v>
      </c>
      <c r="J7534" s="3">
        <f t="shared" si="117"/>
        <v>43748.027534537039</v>
      </c>
    </row>
    <row r="7535" spans="1:10" x14ac:dyDescent="0.25">
      <c r="A7535" s="5" t="s">
        <v>15389</v>
      </c>
      <c r="B7535" s="6">
        <v>406.25</v>
      </c>
      <c r="C7535" s="6">
        <v>20.478950000000001</v>
      </c>
      <c r="D7535" s="6">
        <v>87</v>
      </c>
      <c r="E7535" s="6">
        <v>0</v>
      </c>
      <c r="F7535" s="6">
        <v>0</v>
      </c>
      <c r="G7535" s="6">
        <v>22</v>
      </c>
      <c r="H7535" s="6" t="s">
        <v>15390</v>
      </c>
      <c r="I7535" s="6">
        <v>530.625</v>
      </c>
      <c r="J7535" s="2">
        <f t="shared" si="117"/>
        <v>43748.02761788194</v>
      </c>
    </row>
    <row r="7536" spans="1:10" x14ac:dyDescent="0.25">
      <c r="A7536" s="7" t="s">
        <v>15391</v>
      </c>
      <c r="B7536" s="8">
        <v>406.25</v>
      </c>
      <c r="C7536" s="8">
        <v>20.478950000000001</v>
      </c>
      <c r="D7536" s="8">
        <v>83</v>
      </c>
      <c r="E7536" s="8">
        <v>0</v>
      </c>
      <c r="F7536" s="8">
        <v>0</v>
      </c>
      <c r="G7536" s="8">
        <v>20</v>
      </c>
      <c r="H7536" s="8" t="s">
        <v>15392</v>
      </c>
      <c r="I7536" s="8">
        <v>530.625</v>
      </c>
      <c r="J7536" s="3">
        <f t="shared" si="117"/>
        <v>43748.027689224538</v>
      </c>
    </row>
    <row r="7537" spans="1:10" x14ac:dyDescent="0.25">
      <c r="A7537" s="5" t="s">
        <v>15393</v>
      </c>
      <c r="B7537" s="6">
        <v>406.25</v>
      </c>
      <c r="C7537" s="6">
        <v>20.478950000000001</v>
      </c>
      <c r="D7537" s="6">
        <v>82</v>
      </c>
      <c r="E7537" s="6">
        <v>0</v>
      </c>
      <c r="F7537" s="6">
        <v>0</v>
      </c>
      <c r="G7537" s="6">
        <v>21</v>
      </c>
      <c r="H7537" s="6" t="s">
        <v>15394</v>
      </c>
      <c r="I7537" s="6">
        <v>530.625</v>
      </c>
      <c r="J7537" s="2">
        <f t="shared" si="117"/>
        <v>43748.027761319441</v>
      </c>
    </row>
    <row r="7538" spans="1:10" x14ac:dyDescent="0.25">
      <c r="A7538" s="7" t="s">
        <v>15395</v>
      </c>
      <c r="B7538" s="8">
        <v>406.25</v>
      </c>
      <c r="C7538" s="8">
        <v>20.478950000000001</v>
      </c>
      <c r="D7538" s="8">
        <v>82</v>
      </c>
      <c r="E7538" s="8">
        <v>0</v>
      </c>
      <c r="F7538" s="8">
        <v>0</v>
      </c>
      <c r="G7538" s="8">
        <v>24</v>
      </c>
      <c r="H7538" s="8" t="s">
        <v>15396</v>
      </c>
      <c r="I7538" s="8">
        <v>530.8125</v>
      </c>
      <c r="J7538" s="3">
        <f t="shared" si="117"/>
        <v>43748.027832685184</v>
      </c>
    </row>
    <row r="7539" spans="1:10" x14ac:dyDescent="0.25">
      <c r="A7539" s="5" t="s">
        <v>15397</v>
      </c>
      <c r="B7539" s="6">
        <v>406.25</v>
      </c>
      <c r="C7539" s="6">
        <v>20.426300000000001</v>
      </c>
      <c r="D7539" s="6">
        <v>82</v>
      </c>
      <c r="E7539" s="6">
        <v>0</v>
      </c>
      <c r="F7539" s="6">
        <v>0</v>
      </c>
      <c r="G7539" s="6">
        <v>17</v>
      </c>
      <c r="H7539" s="6" t="s">
        <v>15398</v>
      </c>
      <c r="I7539" s="6">
        <v>530.625</v>
      </c>
      <c r="J7539" s="2">
        <f t="shared" si="117"/>
        <v>43748.027916018516</v>
      </c>
    </row>
    <row r="7540" spans="1:10" x14ac:dyDescent="0.25">
      <c r="A7540" s="7" t="s">
        <v>15399</v>
      </c>
      <c r="B7540" s="8">
        <v>403.125</v>
      </c>
      <c r="C7540" s="8">
        <v>20.478950000000001</v>
      </c>
      <c r="D7540" s="8">
        <v>84</v>
      </c>
      <c r="E7540" s="8">
        <v>0</v>
      </c>
      <c r="F7540" s="8">
        <v>0</v>
      </c>
      <c r="G7540" s="8">
        <v>20</v>
      </c>
      <c r="H7540" s="8" t="s">
        <v>15400</v>
      </c>
      <c r="I7540" s="8">
        <v>529.875</v>
      </c>
      <c r="J7540" s="3">
        <f t="shared" si="117"/>
        <v>43748.028011412032</v>
      </c>
    </row>
    <row r="7541" spans="1:10" x14ac:dyDescent="0.25">
      <c r="A7541" s="5" t="s">
        <v>15401</v>
      </c>
      <c r="B7541" s="6">
        <v>403.125</v>
      </c>
      <c r="C7541" s="6">
        <v>20.478950000000001</v>
      </c>
      <c r="D7541" s="6">
        <v>85</v>
      </c>
      <c r="E7541" s="6">
        <v>0</v>
      </c>
      <c r="F7541" s="6">
        <v>0</v>
      </c>
      <c r="G7541" s="6">
        <v>13</v>
      </c>
      <c r="H7541" s="6" t="s">
        <v>15402</v>
      </c>
      <c r="I7541" s="6">
        <v>529.125</v>
      </c>
      <c r="J7541" s="2">
        <f t="shared" si="117"/>
        <v>43748.02808275463</v>
      </c>
    </row>
    <row r="7542" spans="1:10" x14ac:dyDescent="0.25">
      <c r="A7542" s="7" t="s">
        <v>15403</v>
      </c>
      <c r="B7542" s="8">
        <v>418.75</v>
      </c>
      <c r="C7542" s="8">
        <v>20.478950000000001</v>
      </c>
      <c r="D7542" s="8">
        <v>84</v>
      </c>
      <c r="E7542" s="8">
        <v>0</v>
      </c>
      <c r="F7542" s="8">
        <v>0</v>
      </c>
      <c r="G7542" s="8">
        <v>20</v>
      </c>
      <c r="H7542" s="8" t="s">
        <v>15404</v>
      </c>
      <c r="I7542" s="8">
        <v>534.5625</v>
      </c>
      <c r="J7542" s="3">
        <f t="shared" si="117"/>
        <v>43748.028155208332</v>
      </c>
    </row>
    <row r="7543" spans="1:10" x14ac:dyDescent="0.25">
      <c r="A7543" s="5" t="s">
        <v>15405</v>
      </c>
      <c r="B7543" s="6">
        <v>400</v>
      </c>
      <c r="C7543" s="6">
        <v>20.478950000000001</v>
      </c>
      <c r="D7543" s="6">
        <v>85</v>
      </c>
      <c r="E7543" s="6">
        <v>0</v>
      </c>
      <c r="F7543" s="6">
        <v>0</v>
      </c>
      <c r="G7543" s="6">
        <v>20</v>
      </c>
      <c r="H7543" s="6" t="s">
        <v>15406</v>
      </c>
      <c r="I7543" s="6">
        <v>528.1875</v>
      </c>
      <c r="J7543" s="2">
        <f t="shared" si="117"/>
        <v>43748.0282262037</v>
      </c>
    </row>
    <row r="7544" spans="1:10" x14ac:dyDescent="0.25">
      <c r="A7544" s="7" t="s">
        <v>15407</v>
      </c>
      <c r="B7544" s="8">
        <v>400</v>
      </c>
      <c r="C7544" s="8">
        <v>20.478950000000001</v>
      </c>
      <c r="D7544" s="8">
        <v>85</v>
      </c>
      <c r="E7544" s="8">
        <v>0</v>
      </c>
      <c r="F7544" s="8">
        <v>0</v>
      </c>
      <c r="G7544" s="8">
        <v>14</v>
      </c>
      <c r="H7544" s="8" t="s">
        <v>15408</v>
      </c>
      <c r="I7544" s="8">
        <v>528.1875</v>
      </c>
      <c r="J7544" s="3">
        <f t="shared" si="117"/>
        <v>43748.028297604164</v>
      </c>
    </row>
    <row r="7545" spans="1:10" x14ac:dyDescent="0.25">
      <c r="A7545" s="5" t="s">
        <v>15409</v>
      </c>
      <c r="B7545" s="6">
        <v>403.125</v>
      </c>
      <c r="C7545" s="6">
        <v>20.478950000000001</v>
      </c>
      <c r="D7545" s="6">
        <v>85</v>
      </c>
      <c r="E7545" s="6">
        <v>0</v>
      </c>
      <c r="F7545" s="6">
        <v>0</v>
      </c>
      <c r="G7545" s="6">
        <v>19</v>
      </c>
      <c r="H7545" s="6" t="s">
        <v>15410</v>
      </c>
      <c r="I7545" s="6">
        <v>529.125</v>
      </c>
      <c r="J7545" s="2">
        <f t="shared" si="117"/>
        <v>43748.028369571759</v>
      </c>
    </row>
    <row r="7546" spans="1:10" x14ac:dyDescent="0.25">
      <c r="A7546" s="7" t="s">
        <v>15411</v>
      </c>
      <c r="B7546" s="8">
        <v>421.875</v>
      </c>
      <c r="C7546" s="8">
        <v>20.478950000000001</v>
      </c>
      <c r="D7546" s="8">
        <v>85</v>
      </c>
      <c r="E7546" s="8">
        <v>0</v>
      </c>
      <c r="F7546" s="8">
        <v>0</v>
      </c>
      <c r="G7546" s="8">
        <v>22</v>
      </c>
      <c r="H7546" s="8" t="s">
        <v>15412</v>
      </c>
      <c r="I7546" s="8">
        <v>535.125</v>
      </c>
      <c r="J7546" s="3">
        <f t="shared" si="117"/>
        <v>43748.028453067127</v>
      </c>
    </row>
    <row r="7547" spans="1:10" x14ac:dyDescent="0.25">
      <c r="A7547" s="5" t="s">
        <v>15413</v>
      </c>
      <c r="B7547" s="6">
        <v>403.125</v>
      </c>
      <c r="C7547" s="6">
        <v>20.478950000000001</v>
      </c>
      <c r="D7547" s="6">
        <v>86</v>
      </c>
      <c r="E7547" s="6">
        <v>0</v>
      </c>
      <c r="F7547" s="6">
        <v>0</v>
      </c>
      <c r="G7547" s="6">
        <v>19</v>
      </c>
      <c r="H7547" s="6" t="s">
        <v>15414</v>
      </c>
      <c r="I7547" s="6">
        <v>529.125</v>
      </c>
      <c r="J7547" s="2">
        <f t="shared" si="117"/>
        <v>43748.028536388891</v>
      </c>
    </row>
    <row r="7548" spans="1:10" x14ac:dyDescent="0.25">
      <c r="A7548" s="7" t="s">
        <v>15415</v>
      </c>
      <c r="B7548" s="8">
        <v>403.125</v>
      </c>
      <c r="C7548" s="8">
        <v>20.478950000000001</v>
      </c>
      <c r="D7548" s="8">
        <v>86</v>
      </c>
      <c r="E7548" s="8">
        <v>0</v>
      </c>
      <c r="F7548" s="8">
        <v>0</v>
      </c>
      <c r="G7548" s="8">
        <v>16</v>
      </c>
      <c r="H7548" s="8" t="s">
        <v>15416</v>
      </c>
      <c r="I7548" s="8">
        <v>529.125</v>
      </c>
      <c r="J7548" s="3">
        <f t="shared" si="117"/>
        <v>43748.028619675919</v>
      </c>
    </row>
    <row r="7549" spans="1:10" x14ac:dyDescent="0.25">
      <c r="A7549" s="5" t="s">
        <v>15417</v>
      </c>
      <c r="B7549" s="6">
        <v>403.125</v>
      </c>
      <c r="C7549" s="6">
        <v>20.478950000000001</v>
      </c>
      <c r="D7549" s="6">
        <v>86</v>
      </c>
      <c r="E7549" s="6">
        <v>0</v>
      </c>
      <c r="F7549" s="6">
        <v>0</v>
      </c>
      <c r="G7549" s="6">
        <v>19</v>
      </c>
      <c r="H7549" s="6" t="s">
        <v>15418</v>
      </c>
      <c r="I7549" s="6">
        <v>529.125</v>
      </c>
      <c r="J7549" s="2">
        <f t="shared" si="117"/>
        <v>43748.028691053238</v>
      </c>
    </row>
    <row r="7550" spans="1:10" x14ac:dyDescent="0.25">
      <c r="A7550" s="7" t="s">
        <v>15419</v>
      </c>
      <c r="B7550" s="8">
        <v>403.125</v>
      </c>
      <c r="C7550" s="8">
        <v>20.478950000000001</v>
      </c>
      <c r="D7550" s="8">
        <v>86</v>
      </c>
      <c r="E7550" s="8">
        <v>0</v>
      </c>
      <c r="F7550" s="8">
        <v>0</v>
      </c>
      <c r="G7550" s="8">
        <v>20</v>
      </c>
      <c r="H7550" s="8" t="s">
        <v>15420</v>
      </c>
      <c r="I7550" s="8">
        <v>529.875</v>
      </c>
      <c r="J7550" s="3">
        <f t="shared" si="117"/>
        <v>43748.028762430557</v>
      </c>
    </row>
    <row r="7551" spans="1:10" x14ac:dyDescent="0.25">
      <c r="A7551" s="5" t="s">
        <v>15421</v>
      </c>
      <c r="B7551" s="6">
        <v>403.125</v>
      </c>
      <c r="C7551" s="6">
        <v>20.478950000000001</v>
      </c>
      <c r="D7551" s="6">
        <v>86</v>
      </c>
      <c r="E7551" s="6">
        <v>0</v>
      </c>
      <c r="F7551" s="6">
        <v>0</v>
      </c>
      <c r="G7551" s="6">
        <v>19</v>
      </c>
      <c r="H7551" s="6" t="s">
        <v>15422</v>
      </c>
      <c r="I7551" s="6">
        <v>529.875</v>
      </c>
      <c r="J7551" s="2">
        <f t="shared" si="117"/>
        <v>43748.028834490739</v>
      </c>
    </row>
    <row r="7552" spans="1:10" x14ac:dyDescent="0.25">
      <c r="A7552" s="7" t="s">
        <v>15423</v>
      </c>
      <c r="B7552" s="8">
        <v>431.25</v>
      </c>
      <c r="C7552" s="8">
        <v>20.478950000000001</v>
      </c>
      <c r="D7552" s="8">
        <v>86</v>
      </c>
      <c r="E7552" s="8">
        <v>0</v>
      </c>
      <c r="F7552" s="8">
        <v>0</v>
      </c>
      <c r="G7552" s="8">
        <v>13</v>
      </c>
      <c r="H7552" s="8" t="s">
        <v>15424</v>
      </c>
      <c r="I7552" s="8">
        <v>538.5</v>
      </c>
      <c r="J7552" s="3">
        <f t="shared" si="117"/>
        <v>43748.028905821753</v>
      </c>
    </row>
    <row r="7553" spans="1:10" x14ac:dyDescent="0.25">
      <c r="A7553" s="5" t="s">
        <v>15425</v>
      </c>
      <c r="B7553" s="6">
        <v>403.125</v>
      </c>
      <c r="C7553" s="6">
        <v>20.478950000000001</v>
      </c>
      <c r="D7553" s="6">
        <v>86</v>
      </c>
      <c r="E7553" s="6">
        <v>0</v>
      </c>
      <c r="F7553" s="6">
        <v>0</v>
      </c>
      <c r="G7553" s="6">
        <v>23</v>
      </c>
      <c r="H7553" s="6" t="s">
        <v>15426</v>
      </c>
      <c r="I7553" s="6">
        <v>529.875</v>
      </c>
      <c r="J7553" s="2">
        <f t="shared" si="117"/>
        <v>43748.028977141199</v>
      </c>
    </row>
    <row r="7554" spans="1:10" x14ac:dyDescent="0.25">
      <c r="A7554" s="7" t="s">
        <v>15427</v>
      </c>
      <c r="B7554" s="8">
        <v>403.125</v>
      </c>
      <c r="C7554" s="8">
        <v>20.478950000000001</v>
      </c>
      <c r="D7554" s="8">
        <v>85</v>
      </c>
      <c r="E7554" s="8">
        <v>0</v>
      </c>
      <c r="F7554" s="8">
        <v>0</v>
      </c>
      <c r="G7554" s="8">
        <v>19</v>
      </c>
      <c r="H7554" s="8" t="s">
        <v>15428</v>
      </c>
      <c r="I7554" s="8">
        <v>529.875</v>
      </c>
      <c r="J7554" s="3">
        <f t="shared" ref="J7554:J7617" si="118">(H7554/86400000)+25569+(7/24)</f>
        <v>43748.029049282406</v>
      </c>
    </row>
    <row r="7555" spans="1:10" x14ac:dyDescent="0.25">
      <c r="A7555" s="5" t="s">
        <v>15429</v>
      </c>
      <c r="B7555" s="6">
        <v>403.125</v>
      </c>
      <c r="C7555" s="6">
        <v>20.478950000000001</v>
      </c>
      <c r="D7555" s="6">
        <v>85</v>
      </c>
      <c r="E7555" s="6">
        <v>0</v>
      </c>
      <c r="F7555" s="6">
        <v>0</v>
      </c>
      <c r="G7555" s="6">
        <v>12</v>
      </c>
      <c r="H7555" s="6" t="s">
        <v>15430</v>
      </c>
      <c r="I7555" s="6">
        <v>529.875</v>
      </c>
      <c r="J7555" s="2">
        <f t="shared" si="118"/>
        <v>43748.029119826388</v>
      </c>
    </row>
    <row r="7556" spans="1:10" x14ac:dyDescent="0.25">
      <c r="A7556" s="7" t="s">
        <v>15431</v>
      </c>
      <c r="B7556" s="8">
        <v>403.125</v>
      </c>
      <c r="C7556" s="8">
        <v>20.478950000000001</v>
      </c>
      <c r="D7556" s="8">
        <v>85</v>
      </c>
      <c r="E7556" s="8">
        <v>0</v>
      </c>
      <c r="F7556" s="8">
        <v>0</v>
      </c>
      <c r="G7556" s="8">
        <v>19</v>
      </c>
      <c r="H7556" s="8" t="s">
        <v>15432</v>
      </c>
      <c r="I7556" s="8">
        <v>529.875</v>
      </c>
      <c r="J7556" s="3">
        <f t="shared" si="118"/>
        <v>43748.029191932867</v>
      </c>
    </row>
    <row r="7557" spans="1:10" x14ac:dyDescent="0.25">
      <c r="A7557" s="5" t="s">
        <v>15433</v>
      </c>
      <c r="B7557" s="6">
        <v>403.125</v>
      </c>
      <c r="C7557" s="6">
        <v>20.478950000000001</v>
      </c>
      <c r="D7557" s="6">
        <v>85</v>
      </c>
      <c r="E7557" s="6">
        <v>0</v>
      </c>
      <c r="F7557" s="6">
        <v>0</v>
      </c>
      <c r="G7557" s="6">
        <v>19</v>
      </c>
      <c r="H7557" s="6" t="s">
        <v>15434</v>
      </c>
      <c r="I7557" s="6">
        <v>529.875</v>
      </c>
      <c r="J7557" s="2">
        <f t="shared" si="118"/>
        <v>43748.029263240744</v>
      </c>
    </row>
    <row r="7558" spans="1:10" x14ac:dyDescent="0.25">
      <c r="A7558" s="7" t="s">
        <v>15435</v>
      </c>
      <c r="B7558" s="8">
        <v>403.125</v>
      </c>
      <c r="C7558" s="8">
        <v>20.478950000000001</v>
      </c>
      <c r="D7558" s="8">
        <v>86</v>
      </c>
      <c r="E7558" s="8">
        <v>0</v>
      </c>
      <c r="F7558" s="8">
        <v>0</v>
      </c>
      <c r="G7558" s="8">
        <v>12</v>
      </c>
      <c r="H7558" s="8" t="s">
        <v>15436</v>
      </c>
      <c r="I7558" s="8">
        <v>529.125</v>
      </c>
      <c r="J7558" s="3">
        <f t="shared" si="118"/>
        <v>43748.029337129628</v>
      </c>
    </row>
    <row r="7559" spans="1:10" x14ac:dyDescent="0.25">
      <c r="A7559" s="5" t="s">
        <v>15437</v>
      </c>
      <c r="B7559" s="6">
        <v>403.125</v>
      </c>
      <c r="C7559" s="6">
        <v>20.478950000000001</v>
      </c>
      <c r="D7559" s="6">
        <v>87</v>
      </c>
      <c r="E7559" s="6">
        <v>0</v>
      </c>
      <c r="F7559" s="6">
        <v>0</v>
      </c>
      <c r="G7559" s="6">
        <v>13</v>
      </c>
      <c r="H7559" s="6" t="s">
        <v>15438</v>
      </c>
      <c r="I7559" s="6">
        <v>529.125</v>
      </c>
      <c r="J7559" s="2">
        <f t="shared" si="118"/>
        <v>43748.029418819446</v>
      </c>
    </row>
    <row r="7560" spans="1:10" x14ac:dyDescent="0.25">
      <c r="A7560" s="7" t="s">
        <v>15439</v>
      </c>
      <c r="B7560" s="8">
        <v>418.75</v>
      </c>
      <c r="C7560" s="8">
        <v>20.478950000000001</v>
      </c>
      <c r="D7560" s="8">
        <v>87</v>
      </c>
      <c r="E7560" s="8">
        <v>0</v>
      </c>
      <c r="F7560" s="8">
        <v>0</v>
      </c>
      <c r="G7560" s="8">
        <v>22</v>
      </c>
      <c r="H7560" s="8" t="s">
        <v>15440</v>
      </c>
      <c r="I7560" s="8">
        <v>534.9375</v>
      </c>
      <c r="J7560" s="3">
        <f t="shared" si="118"/>
        <v>43748.029490277775</v>
      </c>
    </row>
    <row r="7561" spans="1:10" x14ac:dyDescent="0.25">
      <c r="A7561" s="5" t="s">
        <v>15441</v>
      </c>
      <c r="B7561" s="6">
        <v>400</v>
      </c>
      <c r="C7561" s="6">
        <v>20.478950000000001</v>
      </c>
      <c r="D7561" s="6">
        <v>88</v>
      </c>
      <c r="E7561" s="6">
        <v>0</v>
      </c>
      <c r="F7561" s="6">
        <v>0</v>
      </c>
      <c r="G7561" s="6">
        <v>17</v>
      </c>
      <c r="H7561" s="6" t="s">
        <v>15442</v>
      </c>
      <c r="I7561" s="6">
        <v>528.1875</v>
      </c>
      <c r="J7561" s="2">
        <f t="shared" si="118"/>
        <v>43748.029561377312</v>
      </c>
    </row>
    <row r="7562" spans="1:10" x14ac:dyDescent="0.25">
      <c r="A7562" s="7" t="s">
        <v>15443</v>
      </c>
      <c r="B7562" s="8">
        <v>396.875</v>
      </c>
      <c r="C7562" s="8">
        <v>20.478950000000001</v>
      </c>
      <c r="D7562" s="8">
        <v>87</v>
      </c>
      <c r="E7562" s="8">
        <v>0</v>
      </c>
      <c r="F7562" s="8">
        <v>0</v>
      </c>
      <c r="G7562" s="8">
        <v>21</v>
      </c>
      <c r="H7562" s="8" t="s">
        <v>15444</v>
      </c>
      <c r="I7562" s="8">
        <v>527.4375</v>
      </c>
      <c r="J7562" s="3">
        <f t="shared" si="118"/>
        <v>43748.029633564809</v>
      </c>
    </row>
    <row r="7563" spans="1:10" x14ac:dyDescent="0.25">
      <c r="A7563" s="5" t="s">
        <v>15445</v>
      </c>
      <c r="B7563" s="6">
        <v>396.875</v>
      </c>
      <c r="C7563" s="6">
        <v>20.478950000000001</v>
      </c>
      <c r="D7563" s="6">
        <v>87</v>
      </c>
      <c r="E7563" s="6">
        <v>0</v>
      </c>
      <c r="F7563" s="6">
        <v>0</v>
      </c>
      <c r="G7563" s="6">
        <v>12</v>
      </c>
      <c r="H7563" s="6" t="s">
        <v>15446</v>
      </c>
      <c r="I7563" s="6">
        <v>527.4375</v>
      </c>
      <c r="J7563" s="2">
        <f t="shared" si="118"/>
        <v>43748.029704374996</v>
      </c>
    </row>
    <row r="7564" spans="1:10" x14ac:dyDescent="0.25">
      <c r="A7564" s="7" t="s">
        <v>15447</v>
      </c>
      <c r="B7564" s="8">
        <v>400</v>
      </c>
      <c r="C7564" s="8">
        <v>20.478950000000001</v>
      </c>
      <c r="D7564" s="8">
        <v>87</v>
      </c>
      <c r="E7564" s="8">
        <v>0</v>
      </c>
      <c r="F7564" s="8">
        <v>0</v>
      </c>
      <c r="G7564" s="8">
        <v>16</v>
      </c>
      <c r="H7564" s="8" t="s">
        <v>15448</v>
      </c>
      <c r="I7564" s="8">
        <v>528.1875</v>
      </c>
      <c r="J7564" s="3">
        <f t="shared" si="118"/>
        <v>43748.029789386572</v>
      </c>
    </row>
    <row r="7565" spans="1:10" x14ac:dyDescent="0.25">
      <c r="A7565" s="5" t="s">
        <v>15449</v>
      </c>
      <c r="B7565" s="6">
        <v>403.125</v>
      </c>
      <c r="C7565" s="6">
        <v>20.478950000000001</v>
      </c>
      <c r="D7565" s="6">
        <v>87</v>
      </c>
      <c r="E7565" s="6">
        <v>0</v>
      </c>
      <c r="F7565" s="6">
        <v>0</v>
      </c>
      <c r="G7565" s="6">
        <v>15</v>
      </c>
      <c r="H7565" s="6" t="s">
        <v>15450</v>
      </c>
      <c r="I7565" s="6">
        <v>529.125</v>
      </c>
      <c r="J7565" s="2">
        <f t="shared" si="118"/>
        <v>43748.029871585641</v>
      </c>
    </row>
    <row r="7566" spans="1:10" x14ac:dyDescent="0.25">
      <c r="A7566" s="7" t="s">
        <v>15451</v>
      </c>
      <c r="B7566" s="8">
        <v>400</v>
      </c>
      <c r="C7566" s="8">
        <v>20.478950000000001</v>
      </c>
      <c r="D7566" s="8">
        <v>89</v>
      </c>
      <c r="E7566" s="8">
        <v>0</v>
      </c>
      <c r="F7566" s="8">
        <v>0</v>
      </c>
      <c r="G7566" s="8">
        <v>22</v>
      </c>
      <c r="H7566" s="8" t="s">
        <v>15452</v>
      </c>
      <c r="I7566" s="8">
        <v>528.375</v>
      </c>
      <c r="J7566" s="3">
        <f t="shared" si="118"/>
        <v>43748.029966944443</v>
      </c>
    </row>
    <row r="7567" spans="1:10" x14ac:dyDescent="0.25">
      <c r="A7567" s="5" t="s">
        <v>15453</v>
      </c>
      <c r="B7567" s="6">
        <v>403.125</v>
      </c>
      <c r="C7567" s="6">
        <v>20.478950000000001</v>
      </c>
      <c r="D7567" s="6">
        <v>89</v>
      </c>
      <c r="E7567" s="6">
        <v>0</v>
      </c>
      <c r="F7567" s="6">
        <v>0</v>
      </c>
      <c r="G7567" s="6">
        <v>10</v>
      </c>
      <c r="H7567" s="6" t="s">
        <v>15454</v>
      </c>
      <c r="I7567" s="6">
        <v>529.125</v>
      </c>
      <c r="J7567" s="2">
        <f t="shared" si="118"/>
        <v>43748.030038310178</v>
      </c>
    </row>
    <row r="7568" spans="1:10" x14ac:dyDescent="0.25">
      <c r="A7568" s="7" t="s">
        <v>15455</v>
      </c>
      <c r="B7568" s="8">
        <v>403.125</v>
      </c>
      <c r="C7568" s="8">
        <v>20.478950000000001</v>
      </c>
      <c r="D7568" s="8">
        <v>88</v>
      </c>
      <c r="E7568" s="8">
        <v>0</v>
      </c>
      <c r="F7568" s="8">
        <v>0</v>
      </c>
      <c r="G7568" s="8">
        <v>12</v>
      </c>
      <c r="H7568" s="8" t="s">
        <v>15456</v>
      </c>
      <c r="I7568" s="8">
        <v>529.875</v>
      </c>
      <c r="J7568" s="3">
        <f t="shared" si="118"/>
        <v>43748.030122604163</v>
      </c>
    </row>
    <row r="7569" spans="1:10" x14ac:dyDescent="0.25">
      <c r="A7569" s="5" t="s">
        <v>15457</v>
      </c>
      <c r="B7569" s="6">
        <v>403.125</v>
      </c>
      <c r="C7569" s="6">
        <v>20.478950000000001</v>
      </c>
      <c r="D7569" s="6">
        <v>88</v>
      </c>
      <c r="E7569" s="6">
        <v>0</v>
      </c>
      <c r="F7569" s="6">
        <v>0</v>
      </c>
      <c r="G7569" s="6">
        <v>20</v>
      </c>
      <c r="H7569" s="6" t="s">
        <v>15458</v>
      </c>
      <c r="I7569" s="6">
        <v>529.875</v>
      </c>
      <c r="J7569" s="2">
        <f t="shared" si="118"/>
        <v>43748.030193796294</v>
      </c>
    </row>
    <row r="7570" spans="1:10" x14ac:dyDescent="0.25">
      <c r="A7570" s="7" t="s">
        <v>15459</v>
      </c>
      <c r="B7570" s="8">
        <v>406.25</v>
      </c>
      <c r="C7570" s="8">
        <v>20.478950000000001</v>
      </c>
      <c r="D7570" s="8">
        <v>89</v>
      </c>
      <c r="E7570" s="8">
        <v>0</v>
      </c>
      <c r="F7570" s="8">
        <v>0</v>
      </c>
      <c r="G7570" s="8">
        <v>21</v>
      </c>
      <c r="H7570" s="8" t="s">
        <v>15460</v>
      </c>
      <c r="I7570" s="8">
        <v>530.625</v>
      </c>
      <c r="J7570" s="3">
        <f t="shared" si="118"/>
        <v>43748.030265104164</v>
      </c>
    </row>
    <row r="7571" spans="1:10" x14ac:dyDescent="0.25">
      <c r="A7571" s="5" t="s">
        <v>15461</v>
      </c>
      <c r="B7571" s="6">
        <v>406.25</v>
      </c>
      <c r="C7571" s="6">
        <v>20.478950000000001</v>
      </c>
      <c r="D7571" s="6">
        <v>89</v>
      </c>
      <c r="E7571" s="6">
        <v>0</v>
      </c>
      <c r="F7571" s="6">
        <v>0</v>
      </c>
      <c r="G7571" s="6">
        <v>10</v>
      </c>
      <c r="H7571" s="6" t="s">
        <v>15462</v>
      </c>
      <c r="I7571" s="6">
        <v>530.625</v>
      </c>
      <c r="J7571" s="2">
        <f t="shared" si="118"/>
        <v>43748.030336458331</v>
      </c>
    </row>
    <row r="7572" spans="1:10" x14ac:dyDescent="0.25">
      <c r="A7572" s="7" t="s">
        <v>15463</v>
      </c>
      <c r="B7572" s="8">
        <v>406.25</v>
      </c>
      <c r="C7572" s="8">
        <v>20.478950000000001</v>
      </c>
      <c r="D7572" s="8">
        <v>87</v>
      </c>
      <c r="E7572" s="8">
        <v>0</v>
      </c>
      <c r="F7572" s="8">
        <v>0</v>
      </c>
      <c r="G7572" s="8">
        <v>14</v>
      </c>
      <c r="H7572" s="8" t="s">
        <v>15464</v>
      </c>
      <c r="I7572" s="8">
        <v>530.625</v>
      </c>
      <c r="J7572" s="3">
        <f t="shared" si="118"/>
        <v>43748.030420648145</v>
      </c>
    </row>
    <row r="7573" spans="1:10" x14ac:dyDescent="0.25">
      <c r="A7573" s="5" t="s">
        <v>15465</v>
      </c>
      <c r="B7573" s="6">
        <v>409.375</v>
      </c>
      <c r="C7573" s="6">
        <v>20.478950000000001</v>
      </c>
      <c r="D7573" s="6">
        <v>87</v>
      </c>
      <c r="E7573" s="6">
        <v>0</v>
      </c>
      <c r="F7573" s="6">
        <v>0</v>
      </c>
      <c r="G7573" s="6">
        <v>17</v>
      </c>
      <c r="H7573" s="6" t="s">
        <v>15466</v>
      </c>
      <c r="I7573" s="6">
        <v>531.375</v>
      </c>
      <c r="J7573" s="2">
        <f t="shared" si="118"/>
        <v>43748.030516192128</v>
      </c>
    </row>
    <row r="7574" spans="1:10" x14ac:dyDescent="0.25">
      <c r="A7574" s="7" t="s">
        <v>15467</v>
      </c>
      <c r="B7574" s="8">
        <v>409.375</v>
      </c>
      <c r="C7574" s="8">
        <v>20.478950000000001</v>
      </c>
      <c r="D7574" s="8">
        <v>88</v>
      </c>
      <c r="E7574" s="8">
        <v>0</v>
      </c>
      <c r="F7574" s="8">
        <v>0</v>
      </c>
      <c r="G7574" s="8">
        <v>15</v>
      </c>
      <c r="H7574" s="8" t="s">
        <v>15468</v>
      </c>
      <c r="I7574" s="8">
        <v>531.5625</v>
      </c>
      <c r="J7574" s="3">
        <f t="shared" si="118"/>
        <v>43748.030587303241</v>
      </c>
    </row>
    <row r="7575" spans="1:10" x14ac:dyDescent="0.25">
      <c r="A7575" s="5" t="s">
        <v>15469</v>
      </c>
      <c r="B7575" s="6">
        <v>406.25</v>
      </c>
      <c r="C7575" s="6">
        <v>20.478950000000001</v>
      </c>
      <c r="D7575" s="6">
        <v>88</v>
      </c>
      <c r="E7575" s="6">
        <v>0</v>
      </c>
      <c r="F7575" s="6">
        <v>0</v>
      </c>
      <c r="G7575" s="6">
        <v>14</v>
      </c>
      <c r="H7575" s="6" t="s">
        <v>15470</v>
      </c>
      <c r="I7575" s="6">
        <v>530.8125</v>
      </c>
      <c r="J7575" s="2">
        <f t="shared" si="118"/>
        <v>43748.030658738418</v>
      </c>
    </row>
    <row r="7576" spans="1:10" x14ac:dyDescent="0.25">
      <c r="A7576" s="7" t="s">
        <v>15471</v>
      </c>
      <c r="B7576" s="8">
        <v>406.25</v>
      </c>
      <c r="C7576" s="8">
        <v>20.478950000000001</v>
      </c>
      <c r="D7576" s="8">
        <v>90</v>
      </c>
      <c r="E7576" s="8">
        <v>0</v>
      </c>
      <c r="F7576" s="8">
        <v>0</v>
      </c>
      <c r="G7576" s="8">
        <v>15</v>
      </c>
      <c r="H7576" s="8" t="s">
        <v>15472</v>
      </c>
      <c r="I7576" s="8">
        <v>530.625</v>
      </c>
      <c r="J7576" s="3">
        <f t="shared" si="118"/>
        <v>43748.030730081016</v>
      </c>
    </row>
    <row r="7577" spans="1:10" x14ac:dyDescent="0.25">
      <c r="A7577" s="5" t="s">
        <v>15473</v>
      </c>
      <c r="B7577" s="6">
        <v>406.25</v>
      </c>
      <c r="C7577" s="6">
        <v>20.478950000000001</v>
      </c>
      <c r="D7577" s="6">
        <v>87</v>
      </c>
      <c r="E7577" s="6">
        <v>0</v>
      </c>
      <c r="F7577" s="6">
        <v>0</v>
      </c>
      <c r="G7577" s="6">
        <v>12</v>
      </c>
      <c r="H7577" s="6" t="s">
        <v>15474</v>
      </c>
      <c r="I7577" s="6">
        <v>530.625</v>
      </c>
      <c r="J7577" s="2">
        <f t="shared" si="118"/>
        <v>43748.030802141198</v>
      </c>
    </row>
    <row r="7578" spans="1:10" x14ac:dyDescent="0.25">
      <c r="A7578" s="7" t="s">
        <v>15475</v>
      </c>
      <c r="B7578" s="8">
        <v>406.25</v>
      </c>
      <c r="C7578" s="8">
        <v>20.478950000000001</v>
      </c>
      <c r="D7578" s="8">
        <v>88</v>
      </c>
      <c r="E7578" s="8">
        <v>0</v>
      </c>
      <c r="F7578" s="8">
        <v>0</v>
      </c>
      <c r="G7578" s="8">
        <v>4</v>
      </c>
      <c r="H7578" s="8" t="s">
        <v>15476</v>
      </c>
      <c r="I7578" s="8">
        <v>530.8125</v>
      </c>
      <c r="J7578" s="3">
        <f t="shared" si="118"/>
        <v>43748.030873414355</v>
      </c>
    </row>
    <row r="7579" spans="1:10" x14ac:dyDescent="0.25">
      <c r="A7579" s="5" t="s">
        <v>15477</v>
      </c>
      <c r="B7579" s="6">
        <v>425</v>
      </c>
      <c r="C7579" s="6">
        <v>20.478950000000001</v>
      </c>
      <c r="D7579" s="6">
        <v>88</v>
      </c>
      <c r="E7579" s="6">
        <v>0</v>
      </c>
      <c r="F7579" s="6">
        <v>0</v>
      </c>
      <c r="G7579" s="6">
        <v>20</v>
      </c>
      <c r="H7579" s="6" t="s">
        <v>15478</v>
      </c>
      <c r="I7579" s="6">
        <v>536.4375</v>
      </c>
      <c r="J7579" s="2">
        <f t="shared" si="118"/>
        <v>43748.030944722217</v>
      </c>
    </row>
    <row r="7580" spans="1:10" x14ac:dyDescent="0.25">
      <c r="A7580" s="7" t="s">
        <v>15479</v>
      </c>
      <c r="B7580" s="8">
        <v>406.25</v>
      </c>
      <c r="C7580" s="8">
        <v>20.426300000000001</v>
      </c>
      <c r="D7580" s="8">
        <v>88</v>
      </c>
      <c r="E7580" s="8">
        <v>0</v>
      </c>
      <c r="F7580" s="8">
        <v>0</v>
      </c>
      <c r="G7580" s="8">
        <v>21</v>
      </c>
      <c r="H7580" s="8" t="s">
        <v>15480</v>
      </c>
      <c r="I7580" s="8">
        <v>530.8125</v>
      </c>
      <c r="J7580" s="3">
        <f t="shared" si="118"/>
        <v>43748.031016064815</v>
      </c>
    </row>
    <row r="7581" spans="1:10" x14ac:dyDescent="0.25">
      <c r="A7581" s="5" t="s">
        <v>15481</v>
      </c>
      <c r="B7581" s="6">
        <v>403.125</v>
      </c>
      <c r="C7581" s="6">
        <v>20.478950000000001</v>
      </c>
      <c r="D7581" s="6">
        <v>87</v>
      </c>
      <c r="E7581" s="6">
        <v>0</v>
      </c>
      <c r="F7581" s="6">
        <v>0</v>
      </c>
      <c r="G7581" s="6">
        <v>20</v>
      </c>
      <c r="H7581" s="6" t="s">
        <v>15482</v>
      </c>
      <c r="I7581" s="6">
        <v>529.875</v>
      </c>
      <c r="J7581" s="2">
        <f t="shared" si="118"/>
        <v>43748.031087719901</v>
      </c>
    </row>
    <row r="7582" spans="1:10" x14ac:dyDescent="0.25">
      <c r="A7582" s="7" t="s">
        <v>15483</v>
      </c>
      <c r="B7582" s="8">
        <v>406.25</v>
      </c>
      <c r="C7582" s="8">
        <v>20.478950000000001</v>
      </c>
      <c r="D7582" s="8">
        <v>90</v>
      </c>
      <c r="E7582" s="8">
        <v>0</v>
      </c>
      <c r="F7582" s="8">
        <v>0</v>
      </c>
      <c r="G7582" s="8">
        <v>16</v>
      </c>
      <c r="H7582" s="8" t="s">
        <v>15484</v>
      </c>
      <c r="I7582" s="8">
        <v>530.625</v>
      </c>
      <c r="J7582" s="3">
        <f t="shared" si="118"/>
        <v>43748.03115959491</v>
      </c>
    </row>
    <row r="7583" spans="1:10" x14ac:dyDescent="0.25">
      <c r="A7583" s="5" t="s">
        <v>15485</v>
      </c>
      <c r="B7583" s="6">
        <v>406.25</v>
      </c>
      <c r="C7583" s="6">
        <v>20.478950000000001</v>
      </c>
      <c r="D7583" s="6">
        <v>91</v>
      </c>
      <c r="E7583" s="6">
        <v>0</v>
      </c>
      <c r="F7583" s="6">
        <v>0</v>
      </c>
      <c r="G7583" s="6">
        <v>16</v>
      </c>
      <c r="H7583" s="6" t="s">
        <v>15486</v>
      </c>
      <c r="I7583" s="6">
        <v>530.8125</v>
      </c>
      <c r="J7583" s="2">
        <f t="shared" si="118"/>
        <v>43748.031230821762</v>
      </c>
    </row>
    <row r="7584" spans="1:10" x14ac:dyDescent="0.25">
      <c r="A7584" s="7" t="s">
        <v>15487</v>
      </c>
      <c r="B7584" s="8">
        <v>406.25</v>
      </c>
      <c r="C7584" s="8">
        <v>20.478950000000001</v>
      </c>
      <c r="D7584" s="8">
        <v>91</v>
      </c>
      <c r="E7584" s="8">
        <v>0</v>
      </c>
      <c r="F7584" s="8">
        <v>0</v>
      </c>
      <c r="G7584" s="8">
        <v>13</v>
      </c>
      <c r="H7584" s="8" t="s">
        <v>15488</v>
      </c>
      <c r="I7584" s="8">
        <v>530.8125</v>
      </c>
      <c r="J7584" s="3">
        <f t="shared" si="118"/>
        <v>43748.031303043979</v>
      </c>
    </row>
    <row r="7585" spans="1:10" x14ac:dyDescent="0.25">
      <c r="A7585" s="5" t="s">
        <v>15489</v>
      </c>
      <c r="B7585" s="6">
        <v>406.25</v>
      </c>
      <c r="C7585" s="6">
        <v>20.478950000000001</v>
      </c>
      <c r="D7585" s="6">
        <v>91</v>
      </c>
      <c r="E7585" s="6">
        <v>0</v>
      </c>
      <c r="F7585" s="6">
        <v>0</v>
      </c>
      <c r="G7585" s="6">
        <v>18</v>
      </c>
      <c r="H7585" s="6" t="s">
        <v>15490</v>
      </c>
      <c r="I7585" s="6">
        <v>530.625</v>
      </c>
      <c r="J7585" s="2">
        <f t="shared" si="118"/>
        <v>43748.031374351849</v>
      </c>
    </row>
    <row r="7586" spans="1:10" x14ac:dyDescent="0.25">
      <c r="A7586" s="7" t="s">
        <v>15491</v>
      </c>
      <c r="B7586" s="8">
        <v>406.25</v>
      </c>
      <c r="C7586" s="8">
        <v>20.478950000000001</v>
      </c>
      <c r="D7586" s="8">
        <v>91</v>
      </c>
      <c r="E7586" s="8">
        <v>0</v>
      </c>
      <c r="F7586" s="8">
        <v>0</v>
      </c>
      <c r="G7586" s="8">
        <v>20</v>
      </c>
      <c r="H7586" s="8" t="s">
        <v>15492</v>
      </c>
      <c r="I7586" s="8">
        <v>530.625</v>
      </c>
      <c r="J7586" s="3">
        <f t="shared" si="118"/>
        <v>43748.031445636567</v>
      </c>
    </row>
    <row r="7587" spans="1:10" x14ac:dyDescent="0.25">
      <c r="A7587" s="5" t="s">
        <v>15493</v>
      </c>
      <c r="B7587" s="6">
        <v>406.25</v>
      </c>
      <c r="C7587" s="6">
        <v>20.478950000000001</v>
      </c>
      <c r="D7587" s="6">
        <v>91</v>
      </c>
      <c r="E7587" s="6">
        <v>0</v>
      </c>
      <c r="F7587" s="6">
        <v>0</v>
      </c>
      <c r="G7587" s="6">
        <v>13</v>
      </c>
      <c r="H7587" s="6" t="s">
        <v>15494</v>
      </c>
      <c r="I7587" s="6">
        <v>530.625</v>
      </c>
      <c r="J7587" s="2">
        <f t="shared" si="118"/>
        <v>43748.031531400462</v>
      </c>
    </row>
    <row r="7588" spans="1:10" x14ac:dyDescent="0.25">
      <c r="A7588" s="7" t="s">
        <v>15495</v>
      </c>
      <c r="B7588" s="8">
        <v>403.125</v>
      </c>
      <c r="C7588" s="8">
        <v>20.478950000000001</v>
      </c>
      <c r="D7588" s="8">
        <v>90</v>
      </c>
      <c r="E7588" s="8">
        <v>0</v>
      </c>
      <c r="F7588" s="8">
        <v>0</v>
      </c>
      <c r="G7588" s="8">
        <v>22</v>
      </c>
      <c r="H7588" s="8" t="s">
        <v>15496</v>
      </c>
      <c r="I7588" s="8">
        <v>529.125</v>
      </c>
      <c r="J7588" s="3">
        <f t="shared" si="118"/>
        <v>43748.031613067127</v>
      </c>
    </row>
    <row r="7589" spans="1:10" x14ac:dyDescent="0.25">
      <c r="A7589" s="5" t="s">
        <v>15497</v>
      </c>
      <c r="B7589" s="6">
        <v>403.125</v>
      </c>
      <c r="C7589" s="6">
        <v>20.478950000000001</v>
      </c>
      <c r="D7589" s="6">
        <v>90</v>
      </c>
      <c r="E7589" s="6">
        <v>0</v>
      </c>
      <c r="F7589" s="6">
        <v>0</v>
      </c>
      <c r="G7589" s="6">
        <v>12</v>
      </c>
      <c r="H7589" s="6" t="s">
        <v>15498</v>
      </c>
      <c r="I7589" s="6">
        <v>529.125</v>
      </c>
      <c r="J7589" s="2">
        <f t="shared" si="118"/>
        <v>43748.031696516198</v>
      </c>
    </row>
    <row r="7590" spans="1:10" x14ac:dyDescent="0.25">
      <c r="A7590" s="7" t="s">
        <v>15499</v>
      </c>
      <c r="B7590" s="8">
        <v>400</v>
      </c>
      <c r="C7590" s="8">
        <v>20.478950000000001</v>
      </c>
      <c r="D7590" s="8">
        <v>90</v>
      </c>
      <c r="E7590" s="8">
        <v>0</v>
      </c>
      <c r="F7590" s="8">
        <v>0</v>
      </c>
      <c r="G7590" s="8">
        <v>16</v>
      </c>
      <c r="H7590" s="8" t="s">
        <v>15500</v>
      </c>
      <c r="I7590" s="8">
        <v>528.375</v>
      </c>
      <c r="J7590" s="3">
        <f t="shared" si="118"/>
        <v>43748.031767812499</v>
      </c>
    </row>
    <row r="7591" spans="1:10" x14ac:dyDescent="0.25">
      <c r="A7591" s="5" t="s">
        <v>15501</v>
      </c>
      <c r="B7591" s="6">
        <v>400</v>
      </c>
      <c r="C7591" s="6">
        <v>20.478950000000001</v>
      </c>
      <c r="D7591" s="6">
        <v>91</v>
      </c>
      <c r="E7591" s="6">
        <v>0</v>
      </c>
      <c r="F7591" s="6">
        <v>0</v>
      </c>
      <c r="G7591" s="6">
        <v>20</v>
      </c>
      <c r="H7591" s="6" t="s">
        <v>15502</v>
      </c>
      <c r="I7591" s="6">
        <v>528.1875</v>
      </c>
      <c r="J7591" s="2">
        <f t="shared" si="118"/>
        <v>43748.031839270836</v>
      </c>
    </row>
    <row r="7592" spans="1:10" x14ac:dyDescent="0.25">
      <c r="A7592" s="7" t="s">
        <v>15503</v>
      </c>
      <c r="B7592" s="8">
        <v>403.125</v>
      </c>
      <c r="C7592" s="8">
        <v>20.478950000000001</v>
      </c>
      <c r="D7592" s="8">
        <v>91</v>
      </c>
      <c r="E7592" s="8">
        <v>0</v>
      </c>
      <c r="F7592" s="8">
        <v>0</v>
      </c>
      <c r="G7592" s="8">
        <v>16</v>
      </c>
      <c r="H7592" s="8" t="s">
        <v>15504</v>
      </c>
      <c r="I7592" s="8">
        <v>529.125</v>
      </c>
      <c r="J7592" s="3">
        <f t="shared" si="118"/>
        <v>43748.031911226848</v>
      </c>
    </row>
    <row r="7593" spans="1:10" x14ac:dyDescent="0.25">
      <c r="A7593" s="5" t="s">
        <v>15505</v>
      </c>
      <c r="B7593" s="6">
        <v>403.125</v>
      </c>
      <c r="C7593" s="6">
        <v>20.478950000000001</v>
      </c>
      <c r="D7593" s="6">
        <v>91</v>
      </c>
      <c r="E7593" s="6">
        <v>0</v>
      </c>
      <c r="F7593" s="6">
        <v>0</v>
      </c>
      <c r="G7593" s="6">
        <v>18</v>
      </c>
      <c r="H7593" s="6" t="s">
        <v>15506</v>
      </c>
      <c r="I7593" s="6">
        <v>529.125</v>
      </c>
      <c r="J7593" s="2">
        <f t="shared" si="118"/>
        <v>43748.031981886576</v>
      </c>
    </row>
    <row r="7594" spans="1:10" x14ac:dyDescent="0.25">
      <c r="A7594" s="7" t="s">
        <v>15507</v>
      </c>
      <c r="B7594" s="8">
        <v>403.125</v>
      </c>
      <c r="C7594" s="8">
        <v>20.478950000000001</v>
      </c>
      <c r="D7594" s="8">
        <v>91</v>
      </c>
      <c r="E7594" s="8">
        <v>0</v>
      </c>
      <c r="F7594" s="8">
        <v>0</v>
      </c>
      <c r="G7594" s="8">
        <v>19</v>
      </c>
      <c r="H7594" s="8" t="s">
        <v>15508</v>
      </c>
      <c r="I7594" s="8">
        <v>529.125</v>
      </c>
      <c r="J7594" s="3">
        <f t="shared" si="118"/>
        <v>43748.03205396991</v>
      </c>
    </row>
    <row r="7595" spans="1:10" x14ac:dyDescent="0.25">
      <c r="A7595" s="5" t="s">
        <v>15509</v>
      </c>
      <c r="B7595" s="6">
        <v>403.125</v>
      </c>
      <c r="C7595" s="6">
        <v>20.478950000000001</v>
      </c>
      <c r="D7595" s="6">
        <v>91</v>
      </c>
      <c r="E7595" s="6">
        <v>0</v>
      </c>
      <c r="F7595" s="6">
        <v>0</v>
      </c>
      <c r="G7595" s="6">
        <v>20</v>
      </c>
      <c r="H7595" s="6" t="s">
        <v>15510</v>
      </c>
      <c r="I7595" s="6">
        <v>529.125</v>
      </c>
      <c r="J7595" s="2">
        <f t="shared" si="118"/>
        <v>43748.032125266203</v>
      </c>
    </row>
    <row r="7596" spans="1:10" x14ac:dyDescent="0.25">
      <c r="A7596" s="7" t="s">
        <v>15511</v>
      </c>
      <c r="B7596" s="8">
        <v>403.125</v>
      </c>
      <c r="C7596" s="8">
        <v>20.478950000000001</v>
      </c>
      <c r="D7596" s="8">
        <v>91</v>
      </c>
      <c r="E7596" s="8">
        <v>0</v>
      </c>
      <c r="F7596" s="8">
        <v>0</v>
      </c>
      <c r="G7596" s="8">
        <v>12</v>
      </c>
      <c r="H7596" s="8" t="s">
        <v>15512</v>
      </c>
      <c r="I7596" s="8">
        <v>529.125</v>
      </c>
      <c r="J7596" s="3">
        <f t="shared" si="118"/>
        <v>43748.032197442131</v>
      </c>
    </row>
    <row r="7597" spans="1:10" x14ac:dyDescent="0.25">
      <c r="A7597" s="5" t="s">
        <v>15513</v>
      </c>
      <c r="B7597" s="6">
        <v>403.125</v>
      </c>
      <c r="C7597" s="6">
        <v>20.478950000000001</v>
      </c>
      <c r="D7597" s="6">
        <v>91</v>
      </c>
      <c r="E7597" s="6">
        <v>0</v>
      </c>
      <c r="F7597" s="6">
        <v>0</v>
      </c>
      <c r="G7597" s="6">
        <v>23</v>
      </c>
      <c r="H7597" s="6" t="s">
        <v>15514</v>
      </c>
      <c r="I7597" s="6">
        <v>529.125</v>
      </c>
      <c r="J7597" s="2">
        <f t="shared" si="118"/>
        <v>43748.032268958334</v>
      </c>
    </row>
    <row r="7598" spans="1:10" x14ac:dyDescent="0.25">
      <c r="A7598" s="7" t="s">
        <v>15515</v>
      </c>
      <c r="B7598" s="8">
        <v>418.75</v>
      </c>
      <c r="C7598" s="8">
        <v>20.478950000000001</v>
      </c>
      <c r="D7598" s="8">
        <v>91</v>
      </c>
      <c r="E7598" s="8">
        <v>0</v>
      </c>
      <c r="F7598" s="8">
        <v>0</v>
      </c>
      <c r="G7598" s="8">
        <v>20</v>
      </c>
      <c r="H7598" s="8" t="s">
        <v>15516</v>
      </c>
      <c r="I7598" s="8">
        <v>534.9375</v>
      </c>
      <c r="J7598" s="3">
        <f t="shared" si="118"/>
        <v>43748.032340092592</v>
      </c>
    </row>
    <row r="7599" spans="1:10" x14ac:dyDescent="0.25">
      <c r="A7599" s="5" t="s">
        <v>15517</v>
      </c>
      <c r="B7599" s="6">
        <v>403.125</v>
      </c>
      <c r="C7599" s="6">
        <v>20.478950000000001</v>
      </c>
      <c r="D7599" s="6">
        <v>85</v>
      </c>
      <c r="E7599" s="6">
        <v>0</v>
      </c>
      <c r="F7599" s="6">
        <v>0</v>
      </c>
      <c r="G7599" s="6">
        <v>4</v>
      </c>
      <c r="H7599" s="6" t="s">
        <v>15518</v>
      </c>
      <c r="I7599" s="6">
        <v>529.875</v>
      </c>
      <c r="J7599" s="2">
        <f t="shared" si="118"/>
        <v>43748.032411493048</v>
      </c>
    </row>
    <row r="7600" spans="1:10" x14ac:dyDescent="0.25">
      <c r="A7600" s="7" t="s">
        <v>15519</v>
      </c>
      <c r="B7600" s="8">
        <v>406.25</v>
      </c>
      <c r="C7600" s="8">
        <v>20.478950000000001</v>
      </c>
      <c r="D7600" s="8">
        <v>86</v>
      </c>
      <c r="E7600" s="8">
        <v>0</v>
      </c>
      <c r="F7600" s="8">
        <v>0</v>
      </c>
      <c r="G7600" s="8">
        <v>18</v>
      </c>
      <c r="H7600" s="8" t="s">
        <v>15520</v>
      </c>
      <c r="I7600" s="8">
        <v>530.625</v>
      </c>
      <c r="J7600" s="3">
        <f t="shared" si="118"/>
        <v>43748.032483738425</v>
      </c>
    </row>
    <row r="7601" spans="1:10" x14ac:dyDescent="0.25">
      <c r="A7601" s="5" t="s">
        <v>15521</v>
      </c>
      <c r="B7601" s="6">
        <v>406.25</v>
      </c>
      <c r="C7601" s="6">
        <v>20.478950000000001</v>
      </c>
      <c r="D7601" s="6">
        <v>86</v>
      </c>
      <c r="E7601" s="6">
        <v>0</v>
      </c>
      <c r="F7601" s="6">
        <v>0</v>
      </c>
      <c r="G7601" s="6">
        <v>13</v>
      </c>
      <c r="H7601" s="6" t="s">
        <v>15522</v>
      </c>
      <c r="I7601" s="6">
        <v>530.625</v>
      </c>
      <c r="J7601" s="2">
        <f t="shared" si="118"/>
        <v>43748.032554907404</v>
      </c>
    </row>
    <row r="7602" spans="1:10" x14ac:dyDescent="0.25">
      <c r="A7602" s="7" t="s">
        <v>15523</v>
      </c>
      <c r="B7602" s="8">
        <v>406.25</v>
      </c>
      <c r="C7602" s="8">
        <v>20.478950000000001</v>
      </c>
      <c r="D7602" s="8">
        <v>86</v>
      </c>
      <c r="E7602" s="8">
        <v>0</v>
      </c>
      <c r="F7602" s="8">
        <v>0</v>
      </c>
      <c r="G7602" s="8">
        <v>19</v>
      </c>
      <c r="H7602" s="8" t="s">
        <v>15524</v>
      </c>
      <c r="I7602" s="8">
        <v>530.625</v>
      </c>
      <c r="J7602" s="3">
        <f t="shared" si="118"/>
        <v>43748.032626203705</v>
      </c>
    </row>
    <row r="7603" spans="1:10" x14ac:dyDescent="0.25">
      <c r="A7603" s="5" t="s">
        <v>15525</v>
      </c>
      <c r="B7603" s="6">
        <v>406.25</v>
      </c>
      <c r="C7603" s="6">
        <v>20.478950000000001</v>
      </c>
      <c r="D7603" s="6">
        <v>86</v>
      </c>
      <c r="E7603" s="6">
        <v>0</v>
      </c>
      <c r="F7603" s="6">
        <v>0</v>
      </c>
      <c r="G7603" s="6">
        <v>19</v>
      </c>
      <c r="H7603" s="6" t="s">
        <v>15526</v>
      </c>
      <c r="I7603" s="6">
        <v>530.8125</v>
      </c>
      <c r="J7603" s="2">
        <f t="shared" si="118"/>
        <v>43748.032697604162</v>
      </c>
    </row>
    <row r="7604" spans="1:10" x14ac:dyDescent="0.25">
      <c r="A7604" s="7" t="s">
        <v>15527</v>
      </c>
      <c r="B7604" s="8">
        <v>406.25</v>
      </c>
      <c r="C7604" s="8">
        <v>20.478950000000001</v>
      </c>
      <c r="D7604" s="8">
        <v>86</v>
      </c>
      <c r="E7604" s="8">
        <v>0</v>
      </c>
      <c r="F7604" s="8">
        <v>0</v>
      </c>
      <c r="G7604" s="8">
        <v>12</v>
      </c>
      <c r="H7604" s="8" t="s">
        <v>15528</v>
      </c>
      <c r="I7604" s="8">
        <v>530.625</v>
      </c>
      <c r="J7604" s="3">
        <f t="shared" si="118"/>
        <v>43748.032769722216</v>
      </c>
    </row>
    <row r="7605" spans="1:10" x14ac:dyDescent="0.25">
      <c r="A7605" s="5" t="s">
        <v>15529</v>
      </c>
      <c r="B7605" s="6">
        <v>406.25</v>
      </c>
      <c r="C7605" s="6">
        <v>20.478950000000001</v>
      </c>
      <c r="D7605" s="6">
        <v>86</v>
      </c>
      <c r="E7605" s="6">
        <v>0</v>
      </c>
      <c r="F7605" s="6">
        <v>0</v>
      </c>
      <c r="G7605" s="6">
        <v>14</v>
      </c>
      <c r="H7605" s="6" t="s">
        <v>15530</v>
      </c>
      <c r="I7605" s="6">
        <v>530.625</v>
      </c>
      <c r="J7605" s="2">
        <f t="shared" si="118"/>
        <v>43748.032841018518</v>
      </c>
    </row>
    <row r="7606" spans="1:10" x14ac:dyDescent="0.25">
      <c r="A7606" s="7" t="s">
        <v>15531</v>
      </c>
      <c r="B7606" s="8">
        <v>403.125</v>
      </c>
      <c r="C7606" s="8">
        <v>20.478950000000001</v>
      </c>
      <c r="D7606" s="8">
        <v>86</v>
      </c>
      <c r="E7606" s="8">
        <v>0</v>
      </c>
      <c r="F7606" s="8">
        <v>0</v>
      </c>
      <c r="G7606" s="8">
        <v>16</v>
      </c>
      <c r="H7606" s="8" t="s">
        <v>15532</v>
      </c>
      <c r="I7606" s="8">
        <v>529.875</v>
      </c>
      <c r="J7606" s="3">
        <f t="shared" si="118"/>
        <v>43748.032912303235</v>
      </c>
    </row>
    <row r="7607" spans="1:10" x14ac:dyDescent="0.25">
      <c r="A7607" s="5" t="s">
        <v>15533</v>
      </c>
      <c r="B7607" s="6">
        <v>403.125</v>
      </c>
      <c r="C7607" s="6">
        <v>20.478950000000001</v>
      </c>
      <c r="D7607" s="6">
        <v>86</v>
      </c>
      <c r="E7607" s="6">
        <v>0</v>
      </c>
      <c r="F7607" s="6">
        <v>0</v>
      </c>
      <c r="G7607" s="6">
        <v>16</v>
      </c>
      <c r="H7607" s="6" t="s">
        <v>15534</v>
      </c>
      <c r="I7607" s="6">
        <v>529.875</v>
      </c>
      <c r="J7607" s="2">
        <f t="shared" si="118"/>
        <v>43748.033007696758</v>
      </c>
    </row>
    <row r="7608" spans="1:10" x14ac:dyDescent="0.25">
      <c r="A7608" s="7" t="s">
        <v>15535</v>
      </c>
      <c r="B7608" s="8">
        <v>403.125</v>
      </c>
      <c r="C7608" s="8">
        <v>20.478950000000001</v>
      </c>
      <c r="D7608" s="8">
        <v>88</v>
      </c>
      <c r="E7608" s="8">
        <v>0</v>
      </c>
      <c r="F7608" s="8">
        <v>0</v>
      </c>
      <c r="G7608" s="8">
        <v>13</v>
      </c>
      <c r="H7608" s="8" t="s">
        <v>15536</v>
      </c>
      <c r="I7608" s="8">
        <v>529.125</v>
      </c>
      <c r="J7608" s="3">
        <f t="shared" si="118"/>
        <v>43748.033079907407</v>
      </c>
    </row>
    <row r="7609" spans="1:10" x14ac:dyDescent="0.25">
      <c r="A7609" s="5" t="s">
        <v>15537</v>
      </c>
      <c r="B7609" s="6">
        <v>403.125</v>
      </c>
      <c r="C7609" s="6">
        <v>20.478950000000001</v>
      </c>
      <c r="D7609" s="6">
        <v>88</v>
      </c>
      <c r="E7609" s="6">
        <v>0</v>
      </c>
      <c r="F7609" s="6">
        <v>0</v>
      </c>
      <c r="G7609" s="6">
        <v>25</v>
      </c>
      <c r="H7609" s="6" t="s">
        <v>15538</v>
      </c>
      <c r="I7609" s="6">
        <v>529.875</v>
      </c>
      <c r="J7609" s="2">
        <f t="shared" si="118"/>
        <v>43748.033151215277</v>
      </c>
    </row>
    <row r="7610" spans="1:10" x14ac:dyDescent="0.25">
      <c r="A7610" s="7" t="s">
        <v>15539</v>
      </c>
      <c r="B7610" s="8">
        <v>403.125</v>
      </c>
      <c r="C7610" s="8">
        <v>20.426300000000001</v>
      </c>
      <c r="D7610" s="8">
        <v>88</v>
      </c>
      <c r="E7610" s="8">
        <v>0</v>
      </c>
      <c r="F7610" s="8">
        <v>0</v>
      </c>
      <c r="G7610" s="8">
        <v>13</v>
      </c>
      <c r="H7610" s="8" t="s">
        <v>15540</v>
      </c>
      <c r="I7610" s="8">
        <v>529.125</v>
      </c>
      <c r="J7610" s="3">
        <f t="shared" si="118"/>
        <v>43748.033222453705</v>
      </c>
    </row>
    <row r="7611" spans="1:10" x14ac:dyDescent="0.25">
      <c r="A7611" s="5" t="s">
        <v>15541</v>
      </c>
      <c r="B7611" s="6">
        <v>400</v>
      </c>
      <c r="C7611" s="6">
        <v>20.426300000000001</v>
      </c>
      <c r="D7611" s="6">
        <v>88</v>
      </c>
      <c r="E7611" s="6">
        <v>0</v>
      </c>
      <c r="F7611" s="6">
        <v>0</v>
      </c>
      <c r="G7611" s="6">
        <v>10</v>
      </c>
      <c r="H7611" s="6" t="s">
        <v>15542</v>
      </c>
      <c r="I7611" s="6">
        <v>528.9375</v>
      </c>
      <c r="J7611" s="2">
        <f t="shared" si="118"/>
        <v>43748.033295381938</v>
      </c>
    </row>
    <row r="7612" spans="1:10" x14ac:dyDescent="0.25">
      <c r="A7612" s="7" t="s">
        <v>15543</v>
      </c>
      <c r="B7612" s="8">
        <v>403.125</v>
      </c>
      <c r="C7612" s="8">
        <v>20.478950000000001</v>
      </c>
      <c r="D7612" s="8">
        <v>89</v>
      </c>
      <c r="E7612" s="8">
        <v>0</v>
      </c>
      <c r="F7612" s="8">
        <v>0</v>
      </c>
      <c r="G7612" s="8">
        <v>17</v>
      </c>
      <c r="H7612" s="8" t="s">
        <v>15544</v>
      </c>
      <c r="I7612" s="8">
        <v>529.125</v>
      </c>
      <c r="J7612" s="3">
        <f t="shared" si="118"/>
        <v>43748.033378078697</v>
      </c>
    </row>
    <row r="7613" spans="1:10" x14ac:dyDescent="0.25">
      <c r="A7613" s="5" t="s">
        <v>15545</v>
      </c>
      <c r="B7613" s="6">
        <v>403.125</v>
      </c>
      <c r="C7613" s="6">
        <v>20.478950000000001</v>
      </c>
      <c r="D7613" s="6">
        <v>89</v>
      </c>
      <c r="E7613" s="6">
        <v>0</v>
      </c>
      <c r="F7613" s="6">
        <v>0</v>
      </c>
      <c r="G7613" s="6">
        <v>21</v>
      </c>
      <c r="H7613" s="6" t="s">
        <v>15546</v>
      </c>
      <c r="I7613" s="6">
        <v>529.125</v>
      </c>
      <c r="J7613" s="2">
        <f t="shared" si="118"/>
        <v>43748.033449363422</v>
      </c>
    </row>
    <row r="7614" spans="1:10" x14ac:dyDescent="0.25">
      <c r="A7614" s="7" t="s">
        <v>15547</v>
      </c>
      <c r="B7614" s="8">
        <v>396.875</v>
      </c>
      <c r="C7614" s="8">
        <v>20.478950000000001</v>
      </c>
      <c r="D7614" s="8">
        <v>89</v>
      </c>
      <c r="E7614" s="8">
        <v>0</v>
      </c>
      <c r="F7614" s="8">
        <v>0</v>
      </c>
      <c r="G7614" s="8">
        <v>27</v>
      </c>
      <c r="H7614" s="8" t="s">
        <v>15548</v>
      </c>
      <c r="I7614" s="8">
        <v>527.4375</v>
      </c>
      <c r="J7614" s="3">
        <f t="shared" si="118"/>
        <v>43748.033520763885</v>
      </c>
    </row>
    <row r="7615" spans="1:10" x14ac:dyDescent="0.25">
      <c r="A7615" s="5" t="s">
        <v>15549</v>
      </c>
      <c r="B7615" s="6">
        <v>396.875</v>
      </c>
      <c r="C7615" s="6">
        <v>20.478950000000001</v>
      </c>
      <c r="D7615" s="6">
        <v>87</v>
      </c>
      <c r="E7615" s="6">
        <v>0</v>
      </c>
      <c r="F7615" s="6">
        <v>0</v>
      </c>
      <c r="G7615" s="6">
        <v>13</v>
      </c>
      <c r="H7615" s="6" t="s">
        <v>15550</v>
      </c>
      <c r="I7615" s="6">
        <v>527.4375</v>
      </c>
      <c r="J7615" s="2">
        <f t="shared" si="118"/>
        <v>43748.033591990737</v>
      </c>
    </row>
    <row r="7616" spans="1:10" x14ac:dyDescent="0.25">
      <c r="A7616" s="7" t="s">
        <v>15551</v>
      </c>
      <c r="B7616" s="8">
        <v>396.875</v>
      </c>
      <c r="C7616" s="8">
        <v>20.478950000000001</v>
      </c>
      <c r="D7616" s="8">
        <v>86</v>
      </c>
      <c r="E7616" s="8">
        <v>0</v>
      </c>
      <c r="F7616" s="8">
        <v>0</v>
      </c>
      <c r="G7616" s="8">
        <v>17</v>
      </c>
      <c r="H7616" s="8" t="s">
        <v>15552</v>
      </c>
      <c r="I7616" s="8">
        <v>527.4375</v>
      </c>
      <c r="J7616" s="3">
        <f t="shared" si="118"/>
        <v>43748.033664178241</v>
      </c>
    </row>
    <row r="7617" spans="1:10" x14ac:dyDescent="0.25">
      <c r="A7617" s="5" t="s">
        <v>15553</v>
      </c>
      <c r="B7617" s="6">
        <v>415.625</v>
      </c>
      <c r="C7617" s="6">
        <v>20.478950000000001</v>
      </c>
      <c r="D7617" s="6">
        <v>88</v>
      </c>
      <c r="E7617" s="6">
        <v>0</v>
      </c>
      <c r="F7617" s="6">
        <v>0</v>
      </c>
      <c r="G7617" s="6">
        <v>16</v>
      </c>
      <c r="H7617" s="6" t="s">
        <v>15554</v>
      </c>
      <c r="I7617" s="6">
        <v>533.8125</v>
      </c>
      <c r="J7617" s="2">
        <f t="shared" si="118"/>
        <v>43748.03374342592</v>
      </c>
    </row>
    <row r="7618" spans="1:10" x14ac:dyDescent="0.25">
      <c r="A7618" s="7" t="s">
        <v>15555</v>
      </c>
      <c r="B7618" s="8">
        <v>400</v>
      </c>
      <c r="C7618" s="8">
        <v>20.478950000000001</v>
      </c>
      <c r="D7618" s="8">
        <v>88</v>
      </c>
      <c r="E7618" s="8">
        <v>0</v>
      </c>
      <c r="F7618" s="8">
        <v>0</v>
      </c>
      <c r="G7618" s="8">
        <v>18</v>
      </c>
      <c r="H7618" s="8" t="s">
        <v>15556</v>
      </c>
      <c r="I7618" s="8">
        <v>528.375</v>
      </c>
      <c r="J7618" s="3">
        <f t="shared" ref="J7618:J7681" si="119">(H7618/86400000)+25569+(7/24)</f>
        <v>43748.033818796299</v>
      </c>
    </row>
    <row r="7619" spans="1:10" x14ac:dyDescent="0.25">
      <c r="A7619" s="5" t="s">
        <v>15557</v>
      </c>
      <c r="B7619" s="6">
        <v>403.125</v>
      </c>
      <c r="C7619" s="6">
        <v>20.478950000000001</v>
      </c>
      <c r="D7619" s="6">
        <v>89</v>
      </c>
      <c r="E7619" s="6">
        <v>0</v>
      </c>
      <c r="F7619" s="6">
        <v>0</v>
      </c>
      <c r="G7619" s="6">
        <v>12</v>
      </c>
      <c r="H7619" s="6" t="s">
        <v>15558</v>
      </c>
      <c r="I7619" s="6">
        <v>529.125</v>
      </c>
      <c r="J7619" s="2">
        <f t="shared" si="119"/>
        <v>43748.033902152776</v>
      </c>
    </row>
    <row r="7620" spans="1:10" x14ac:dyDescent="0.25">
      <c r="A7620" s="7" t="s">
        <v>15559</v>
      </c>
      <c r="B7620" s="8">
        <v>403.125</v>
      </c>
      <c r="C7620" s="8">
        <v>20.478950000000001</v>
      </c>
      <c r="D7620" s="8">
        <v>88</v>
      </c>
      <c r="E7620" s="8">
        <v>0</v>
      </c>
      <c r="F7620" s="8">
        <v>0</v>
      </c>
      <c r="G7620" s="8">
        <v>13</v>
      </c>
      <c r="H7620" s="8" t="s">
        <v>15560</v>
      </c>
      <c r="I7620" s="8">
        <v>529.125</v>
      </c>
      <c r="J7620" s="3">
        <f t="shared" si="119"/>
        <v>43748.03397355324</v>
      </c>
    </row>
    <row r="7621" spans="1:10" x14ac:dyDescent="0.25">
      <c r="A7621" s="5" t="s">
        <v>15561</v>
      </c>
      <c r="B7621" s="6">
        <v>403.125</v>
      </c>
      <c r="C7621" s="6">
        <v>20.478950000000001</v>
      </c>
      <c r="D7621" s="6">
        <v>88</v>
      </c>
      <c r="E7621" s="6">
        <v>0</v>
      </c>
      <c r="F7621" s="6">
        <v>0</v>
      </c>
      <c r="G7621" s="6">
        <v>17</v>
      </c>
      <c r="H7621" s="6" t="s">
        <v>15562</v>
      </c>
      <c r="I7621" s="6">
        <v>529.875</v>
      </c>
      <c r="J7621" s="2">
        <f t="shared" si="119"/>
        <v>43748.034045648143</v>
      </c>
    </row>
    <row r="7622" spans="1:10" x14ac:dyDescent="0.25">
      <c r="A7622" s="7" t="s">
        <v>15563</v>
      </c>
      <c r="B7622" s="8">
        <v>403.125</v>
      </c>
      <c r="C7622" s="8">
        <v>20.478950000000001</v>
      </c>
      <c r="D7622" s="8">
        <v>88</v>
      </c>
      <c r="E7622" s="8">
        <v>0</v>
      </c>
      <c r="F7622" s="8">
        <v>0</v>
      </c>
      <c r="G7622" s="8">
        <v>17</v>
      </c>
      <c r="H7622" s="8" t="s">
        <v>15564</v>
      </c>
      <c r="I7622" s="8">
        <v>529.125</v>
      </c>
      <c r="J7622" s="3">
        <f t="shared" si="119"/>
        <v>43748.034116932868</v>
      </c>
    </row>
    <row r="7623" spans="1:10" x14ac:dyDescent="0.25">
      <c r="A7623" s="5" t="s">
        <v>15565</v>
      </c>
      <c r="B7623" s="6">
        <v>403.125</v>
      </c>
      <c r="C7623" s="6">
        <v>20.478950000000001</v>
      </c>
      <c r="D7623" s="6">
        <v>88</v>
      </c>
      <c r="E7623" s="6">
        <v>0</v>
      </c>
      <c r="F7623" s="6">
        <v>0</v>
      </c>
      <c r="G7623" s="6">
        <v>19</v>
      </c>
      <c r="H7623" s="6" t="s">
        <v>15566</v>
      </c>
      <c r="I7623" s="6">
        <v>529.125</v>
      </c>
      <c r="J7623" s="2">
        <f t="shared" si="119"/>
        <v>43748.034188287034</v>
      </c>
    </row>
    <row r="7624" spans="1:10" x14ac:dyDescent="0.25">
      <c r="A7624" s="7" t="s">
        <v>15567</v>
      </c>
      <c r="B7624" s="8">
        <v>418.75</v>
      </c>
      <c r="C7624" s="8">
        <v>20.478950000000001</v>
      </c>
      <c r="D7624" s="8">
        <v>89</v>
      </c>
      <c r="E7624" s="8">
        <v>0</v>
      </c>
      <c r="F7624" s="8">
        <v>0</v>
      </c>
      <c r="G7624" s="8">
        <v>19</v>
      </c>
      <c r="H7624" s="8" t="s">
        <v>15568</v>
      </c>
      <c r="I7624" s="8">
        <v>534</v>
      </c>
      <c r="J7624" s="3">
        <f t="shared" si="119"/>
        <v>43748.034260486107</v>
      </c>
    </row>
    <row r="7625" spans="1:10" x14ac:dyDescent="0.25">
      <c r="A7625" s="5" t="s">
        <v>15569</v>
      </c>
      <c r="B7625" s="6">
        <v>396.875</v>
      </c>
      <c r="C7625" s="6">
        <v>20.478950000000001</v>
      </c>
      <c r="D7625" s="6">
        <v>89</v>
      </c>
      <c r="E7625" s="6">
        <v>0</v>
      </c>
      <c r="F7625" s="6">
        <v>0</v>
      </c>
      <c r="G7625" s="6">
        <v>13</v>
      </c>
      <c r="H7625" s="6" t="s">
        <v>15570</v>
      </c>
      <c r="I7625" s="6">
        <v>527.4375</v>
      </c>
      <c r="J7625" s="2">
        <f t="shared" si="119"/>
        <v>43748.034331747687</v>
      </c>
    </row>
    <row r="7626" spans="1:10" x14ac:dyDescent="0.25">
      <c r="A7626" s="7" t="s">
        <v>15571</v>
      </c>
      <c r="B7626" s="8">
        <v>393.75</v>
      </c>
      <c r="C7626" s="8">
        <v>20.478950000000001</v>
      </c>
      <c r="D7626" s="8">
        <v>88</v>
      </c>
      <c r="E7626" s="8">
        <v>0</v>
      </c>
      <c r="F7626" s="8">
        <v>0</v>
      </c>
      <c r="G7626" s="8">
        <v>21</v>
      </c>
      <c r="H7626" s="8" t="s">
        <v>15572</v>
      </c>
      <c r="I7626" s="8">
        <v>526.6875</v>
      </c>
      <c r="J7626" s="3">
        <f t="shared" si="119"/>
        <v>43748.03440305555</v>
      </c>
    </row>
    <row r="7627" spans="1:10" x14ac:dyDescent="0.25">
      <c r="A7627" s="5" t="s">
        <v>15573</v>
      </c>
      <c r="B7627" s="6">
        <v>393.75</v>
      </c>
      <c r="C7627" s="6">
        <v>20.478950000000001</v>
      </c>
      <c r="D7627" s="6">
        <v>88</v>
      </c>
      <c r="E7627" s="6">
        <v>0</v>
      </c>
      <c r="F7627" s="6">
        <v>0</v>
      </c>
      <c r="G7627" s="6">
        <v>24</v>
      </c>
      <c r="H7627" s="6" t="s">
        <v>15574</v>
      </c>
      <c r="I7627" s="6">
        <v>526.6875</v>
      </c>
      <c r="J7627" s="2">
        <f t="shared" si="119"/>
        <v>43748.034474421293</v>
      </c>
    </row>
    <row r="7628" spans="1:10" x14ac:dyDescent="0.25">
      <c r="A7628" s="7" t="s">
        <v>15575</v>
      </c>
      <c r="B7628" s="8">
        <v>393.75</v>
      </c>
      <c r="C7628" s="8">
        <v>20.478950000000001</v>
      </c>
      <c r="D7628" s="8">
        <v>88</v>
      </c>
      <c r="E7628" s="8">
        <v>0</v>
      </c>
      <c r="F7628" s="8">
        <v>0</v>
      </c>
      <c r="G7628" s="8">
        <v>16</v>
      </c>
      <c r="H7628" s="8" t="s">
        <v>15576</v>
      </c>
      <c r="I7628" s="8">
        <v>526.5</v>
      </c>
      <c r="J7628" s="3">
        <f t="shared" si="119"/>
        <v>43748.034546574076</v>
      </c>
    </row>
    <row r="7629" spans="1:10" x14ac:dyDescent="0.25">
      <c r="A7629" s="5" t="s">
        <v>15577</v>
      </c>
      <c r="B7629" s="6">
        <v>393.75</v>
      </c>
      <c r="C7629" s="6">
        <v>20.478950000000001</v>
      </c>
      <c r="D7629" s="6">
        <v>88</v>
      </c>
      <c r="E7629" s="6">
        <v>0</v>
      </c>
      <c r="F7629" s="6">
        <v>0</v>
      </c>
      <c r="G7629" s="6">
        <v>20</v>
      </c>
      <c r="H7629" s="6" t="s">
        <v>15578</v>
      </c>
      <c r="I7629" s="6">
        <v>526.6875</v>
      </c>
      <c r="J7629" s="2">
        <f t="shared" si="119"/>
        <v>43748.034617870369</v>
      </c>
    </row>
    <row r="7630" spans="1:10" x14ac:dyDescent="0.25">
      <c r="A7630" s="7" t="s">
        <v>15579</v>
      </c>
      <c r="B7630" s="8">
        <v>396.875</v>
      </c>
      <c r="C7630" s="8">
        <v>20.478950000000001</v>
      </c>
      <c r="D7630" s="8">
        <v>88</v>
      </c>
      <c r="E7630" s="8">
        <v>0</v>
      </c>
      <c r="F7630" s="8">
        <v>0</v>
      </c>
      <c r="G7630" s="8">
        <v>20</v>
      </c>
      <c r="H7630" s="8" t="s">
        <v>15580</v>
      </c>
      <c r="I7630" s="8">
        <v>527.4375</v>
      </c>
      <c r="J7630" s="3">
        <f t="shared" si="119"/>
        <v>43748.034689270826</v>
      </c>
    </row>
    <row r="7631" spans="1:10" x14ac:dyDescent="0.25">
      <c r="A7631" s="5" t="s">
        <v>15581</v>
      </c>
      <c r="B7631" s="6">
        <v>396.875</v>
      </c>
      <c r="C7631" s="6">
        <v>20.478950000000001</v>
      </c>
      <c r="D7631" s="6">
        <v>89</v>
      </c>
      <c r="E7631" s="6">
        <v>0</v>
      </c>
      <c r="F7631" s="6">
        <v>0</v>
      </c>
      <c r="G7631" s="6">
        <v>12</v>
      </c>
      <c r="H7631" s="6" t="s">
        <v>15582</v>
      </c>
      <c r="I7631" s="6">
        <v>527.4375</v>
      </c>
      <c r="J7631" s="2">
        <f t="shared" si="119"/>
        <v>43748.034761180556</v>
      </c>
    </row>
    <row r="7632" spans="1:10" x14ac:dyDescent="0.25">
      <c r="A7632" s="7" t="s">
        <v>15583</v>
      </c>
      <c r="B7632" s="8">
        <v>396.875</v>
      </c>
      <c r="C7632" s="8">
        <v>20.478950000000001</v>
      </c>
      <c r="D7632" s="8">
        <v>89</v>
      </c>
      <c r="E7632" s="8">
        <v>0</v>
      </c>
      <c r="F7632" s="8">
        <v>0</v>
      </c>
      <c r="G7632" s="8">
        <v>21</v>
      </c>
      <c r="H7632" s="8" t="s">
        <v>15584</v>
      </c>
      <c r="I7632" s="8">
        <v>527.4375</v>
      </c>
      <c r="J7632" s="3">
        <f t="shared" si="119"/>
        <v>43748.034844050919</v>
      </c>
    </row>
    <row r="7633" spans="1:10" x14ac:dyDescent="0.25">
      <c r="A7633" s="5" t="s">
        <v>15585</v>
      </c>
      <c r="B7633" s="6">
        <v>396.875</v>
      </c>
      <c r="C7633" s="6">
        <v>20.478950000000001</v>
      </c>
      <c r="D7633" s="6">
        <v>86</v>
      </c>
      <c r="E7633" s="6">
        <v>0</v>
      </c>
      <c r="F7633" s="6">
        <v>0</v>
      </c>
      <c r="G7633" s="6">
        <v>18</v>
      </c>
      <c r="H7633" s="6" t="s">
        <v>15586</v>
      </c>
      <c r="I7633" s="6">
        <v>527.4375</v>
      </c>
      <c r="J7633" s="2">
        <f t="shared" si="119"/>
        <v>43748.034916006938</v>
      </c>
    </row>
    <row r="7634" spans="1:10" x14ac:dyDescent="0.25">
      <c r="A7634" s="7" t="s">
        <v>15587</v>
      </c>
      <c r="B7634" s="8">
        <v>396.875</v>
      </c>
      <c r="C7634" s="8">
        <v>20.478950000000001</v>
      </c>
      <c r="D7634" s="8">
        <v>87</v>
      </c>
      <c r="E7634" s="8">
        <v>0</v>
      </c>
      <c r="F7634" s="8">
        <v>0</v>
      </c>
      <c r="G7634" s="8">
        <v>20</v>
      </c>
      <c r="H7634" s="8" t="s">
        <v>15588</v>
      </c>
      <c r="I7634" s="8">
        <v>527.4375</v>
      </c>
      <c r="J7634" s="3">
        <f t="shared" si="119"/>
        <v>43748.034991562497</v>
      </c>
    </row>
    <row r="7635" spans="1:10" x14ac:dyDescent="0.25">
      <c r="A7635" s="5" t="s">
        <v>15589</v>
      </c>
      <c r="B7635" s="6">
        <v>396.875</v>
      </c>
      <c r="C7635" s="6">
        <v>20.478950000000001</v>
      </c>
      <c r="D7635" s="6">
        <v>91</v>
      </c>
      <c r="E7635" s="6">
        <v>0</v>
      </c>
      <c r="F7635" s="6">
        <v>0</v>
      </c>
      <c r="G7635" s="6">
        <v>21</v>
      </c>
      <c r="H7635" s="6" t="s">
        <v>15590</v>
      </c>
      <c r="I7635" s="6">
        <v>527.4375</v>
      </c>
      <c r="J7635" s="2">
        <f t="shared" si="119"/>
        <v>43748.035070636572</v>
      </c>
    </row>
    <row r="7636" spans="1:10" x14ac:dyDescent="0.25">
      <c r="A7636" s="7" t="s">
        <v>15591</v>
      </c>
      <c r="B7636" s="8">
        <v>396.875</v>
      </c>
      <c r="C7636" s="8">
        <v>20.478950000000001</v>
      </c>
      <c r="D7636" s="8">
        <v>90</v>
      </c>
      <c r="E7636" s="8">
        <v>0</v>
      </c>
      <c r="F7636" s="8">
        <v>0</v>
      </c>
      <c r="G7636" s="8">
        <v>26</v>
      </c>
      <c r="H7636" s="8" t="s">
        <v>15592</v>
      </c>
      <c r="I7636" s="8">
        <v>527.4375</v>
      </c>
      <c r="J7636" s="3">
        <f t="shared" si="119"/>
        <v>43748.035142812492</v>
      </c>
    </row>
    <row r="7637" spans="1:10" x14ac:dyDescent="0.25">
      <c r="A7637" s="5" t="s">
        <v>15593</v>
      </c>
      <c r="B7637" s="6">
        <v>396.875</v>
      </c>
      <c r="C7637" s="6">
        <v>20.478950000000001</v>
      </c>
      <c r="D7637" s="6">
        <v>90</v>
      </c>
      <c r="E7637" s="6">
        <v>0</v>
      </c>
      <c r="F7637" s="6">
        <v>0</v>
      </c>
      <c r="G7637" s="6">
        <v>14</v>
      </c>
      <c r="H7637" s="6" t="s">
        <v>15594</v>
      </c>
      <c r="I7637" s="6">
        <v>527.4375</v>
      </c>
      <c r="J7637" s="2">
        <f t="shared" si="119"/>
        <v>43748.03521415509</v>
      </c>
    </row>
    <row r="7638" spans="1:10" x14ac:dyDescent="0.25">
      <c r="A7638" s="7" t="s">
        <v>15595</v>
      </c>
      <c r="B7638" s="8">
        <v>396.875</v>
      </c>
      <c r="C7638" s="8">
        <v>20.478950000000001</v>
      </c>
      <c r="D7638" s="8">
        <v>89</v>
      </c>
      <c r="E7638" s="8">
        <v>0</v>
      </c>
      <c r="F7638" s="8">
        <v>0</v>
      </c>
      <c r="G7638" s="8">
        <v>22</v>
      </c>
      <c r="H7638" s="8" t="s">
        <v>15596</v>
      </c>
      <c r="I7638" s="8">
        <v>527.4375</v>
      </c>
      <c r="J7638" s="3">
        <f t="shared" si="119"/>
        <v>43748.03528546296</v>
      </c>
    </row>
    <row r="7639" spans="1:10" x14ac:dyDescent="0.25">
      <c r="A7639" s="5" t="s">
        <v>15597</v>
      </c>
      <c r="B7639" s="6">
        <v>396.875</v>
      </c>
      <c r="C7639" s="6">
        <v>20.478950000000001</v>
      </c>
      <c r="D7639" s="6">
        <v>89</v>
      </c>
      <c r="E7639" s="6">
        <v>0</v>
      </c>
      <c r="F7639" s="6">
        <v>0</v>
      </c>
      <c r="G7639" s="6">
        <v>14</v>
      </c>
      <c r="H7639" s="6" t="s">
        <v>15598</v>
      </c>
      <c r="I7639" s="6">
        <v>527.4375</v>
      </c>
      <c r="J7639" s="2">
        <f t="shared" si="119"/>
        <v>43748.03535677083</v>
      </c>
    </row>
    <row r="7640" spans="1:10" x14ac:dyDescent="0.25">
      <c r="A7640" s="7" t="s">
        <v>15599</v>
      </c>
      <c r="B7640" s="8">
        <v>400</v>
      </c>
      <c r="C7640" s="8">
        <v>20.478950000000001</v>
      </c>
      <c r="D7640" s="8">
        <v>89</v>
      </c>
      <c r="E7640" s="8">
        <v>0</v>
      </c>
      <c r="F7640" s="8">
        <v>0</v>
      </c>
      <c r="G7640" s="8">
        <v>26</v>
      </c>
      <c r="H7640" s="8" t="s">
        <v>15600</v>
      </c>
      <c r="I7640" s="8">
        <v>528.375</v>
      </c>
      <c r="J7640" s="3">
        <f t="shared" si="119"/>
        <v>43748.035440162035</v>
      </c>
    </row>
    <row r="7641" spans="1:10" x14ac:dyDescent="0.25">
      <c r="A7641" s="5" t="s">
        <v>15601</v>
      </c>
      <c r="B7641" s="6">
        <v>400</v>
      </c>
      <c r="C7641" s="6">
        <v>20.478950000000001</v>
      </c>
      <c r="D7641" s="6">
        <v>89</v>
      </c>
      <c r="E7641" s="6">
        <v>0</v>
      </c>
      <c r="F7641" s="6">
        <v>0</v>
      </c>
      <c r="G7641" s="6">
        <v>24</v>
      </c>
      <c r="H7641" s="6" t="s">
        <v>15602</v>
      </c>
      <c r="I7641" s="6">
        <v>528.1875</v>
      </c>
      <c r="J7641" s="2">
        <f t="shared" si="119"/>
        <v>43748.035512326387</v>
      </c>
    </row>
    <row r="7642" spans="1:10" x14ac:dyDescent="0.25">
      <c r="A7642" s="7" t="s">
        <v>15603</v>
      </c>
      <c r="B7642" s="8">
        <v>400</v>
      </c>
      <c r="C7642" s="8">
        <v>20.478950000000001</v>
      </c>
      <c r="D7642" s="8">
        <v>88</v>
      </c>
      <c r="E7642" s="8">
        <v>0</v>
      </c>
      <c r="F7642" s="8">
        <v>0</v>
      </c>
      <c r="G7642" s="8">
        <v>17</v>
      </c>
      <c r="H7642" s="8" t="s">
        <v>15604</v>
      </c>
      <c r="I7642" s="8">
        <v>528.1875</v>
      </c>
      <c r="J7642" s="3">
        <f t="shared" si="119"/>
        <v>43748.035583599536</v>
      </c>
    </row>
    <row r="7643" spans="1:10" x14ac:dyDescent="0.25">
      <c r="A7643" s="5" t="s">
        <v>15605</v>
      </c>
      <c r="B7643" s="6">
        <v>418.75</v>
      </c>
      <c r="C7643" s="6">
        <v>20.478950000000001</v>
      </c>
      <c r="D7643" s="6">
        <v>88</v>
      </c>
      <c r="E7643" s="6">
        <v>0</v>
      </c>
      <c r="F7643" s="6">
        <v>0</v>
      </c>
      <c r="G7643" s="6">
        <v>21</v>
      </c>
      <c r="H7643" s="6" t="s">
        <v>15606</v>
      </c>
      <c r="I7643" s="6">
        <v>534.9375</v>
      </c>
      <c r="J7643" s="2">
        <f t="shared" si="119"/>
        <v>43748.035655034721</v>
      </c>
    </row>
    <row r="7644" spans="1:10" x14ac:dyDescent="0.25">
      <c r="A7644" s="7" t="s">
        <v>15607</v>
      </c>
      <c r="B7644" s="8">
        <v>396.875</v>
      </c>
      <c r="C7644" s="8">
        <v>20.478950000000001</v>
      </c>
      <c r="D7644" s="8">
        <v>88</v>
      </c>
      <c r="E7644" s="8">
        <v>0</v>
      </c>
      <c r="F7644" s="8">
        <v>0</v>
      </c>
      <c r="G7644" s="8">
        <v>15</v>
      </c>
      <c r="H7644" s="8" t="s">
        <v>15608</v>
      </c>
      <c r="I7644" s="8">
        <v>527.4375</v>
      </c>
      <c r="J7644" s="3">
        <f t="shared" si="119"/>
        <v>43748.035727071758</v>
      </c>
    </row>
    <row r="7645" spans="1:10" x14ac:dyDescent="0.25">
      <c r="A7645" s="5" t="s">
        <v>15609</v>
      </c>
      <c r="B7645" s="6">
        <v>396.875</v>
      </c>
      <c r="C7645" s="6">
        <v>20.478950000000001</v>
      </c>
      <c r="D7645" s="6">
        <v>87</v>
      </c>
      <c r="E7645" s="6">
        <v>0</v>
      </c>
      <c r="F7645" s="6">
        <v>0</v>
      </c>
      <c r="G7645" s="6">
        <v>15</v>
      </c>
      <c r="H7645" s="6" t="s">
        <v>15610</v>
      </c>
      <c r="I7645" s="6">
        <v>527.4375</v>
      </c>
      <c r="J7645" s="2">
        <f t="shared" si="119"/>
        <v>43748.035815092589</v>
      </c>
    </row>
    <row r="7646" spans="1:10" x14ac:dyDescent="0.25">
      <c r="A7646" s="7" t="s">
        <v>15611</v>
      </c>
      <c r="B7646" s="8">
        <v>434.375</v>
      </c>
      <c r="C7646" s="8">
        <v>20.478950000000001</v>
      </c>
      <c r="D7646" s="8">
        <v>87</v>
      </c>
      <c r="E7646" s="8">
        <v>0</v>
      </c>
      <c r="F7646" s="8">
        <v>0</v>
      </c>
      <c r="G7646" s="8">
        <v>19</v>
      </c>
      <c r="H7646" s="8" t="s">
        <v>15612</v>
      </c>
      <c r="I7646" s="8">
        <v>539.0625</v>
      </c>
      <c r="J7646" s="3">
        <f t="shared" si="119"/>
        <v>43748.03589378472</v>
      </c>
    </row>
    <row r="7647" spans="1:10" x14ac:dyDescent="0.25">
      <c r="A7647" s="5" t="s">
        <v>15613</v>
      </c>
      <c r="B7647" s="6">
        <v>396.875</v>
      </c>
      <c r="C7647" s="6">
        <v>20.478950000000001</v>
      </c>
      <c r="D7647" s="6">
        <v>87</v>
      </c>
      <c r="E7647" s="6">
        <v>0</v>
      </c>
      <c r="F7647" s="6">
        <v>0</v>
      </c>
      <c r="G7647" s="6">
        <v>22</v>
      </c>
      <c r="H7647" s="6" t="s">
        <v>15614</v>
      </c>
      <c r="I7647" s="6">
        <v>527.25</v>
      </c>
      <c r="J7647" s="2">
        <f t="shared" si="119"/>
        <v>43748.035965092589</v>
      </c>
    </row>
    <row r="7648" spans="1:10" x14ac:dyDescent="0.25">
      <c r="A7648" s="7" t="s">
        <v>15615</v>
      </c>
      <c r="B7648" s="8">
        <v>396.875</v>
      </c>
      <c r="C7648" s="8">
        <v>20.478950000000001</v>
      </c>
      <c r="D7648" s="8">
        <v>86</v>
      </c>
      <c r="E7648" s="8">
        <v>0</v>
      </c>
      <c r="F7648" s="8">
        <v>0</v>
      </c>
      <c r="G7648" s="8">
        <v>16</v>
      </c>
      <c r="H7648" s="8" t="s">
        <v>15616</v>
      </c>
      <c r="I7648" s="8">
        <v>527.4375</v>
      </c>
      <c r="J7648" s="3">
        <f t="shared" si="119"/>
        <v>43748.036036377314</v>
      </c>
    </row>
    <row r="7649" spans="1:10" x14ac:dyDescent="0.25">
      <c r="A7649" s="5" t="s">
        <v>15617</v>
      </c>
      <c r="B7649" s="6">
        <v>396.875</v>
      </c>
      <c r="C7649" s="6">
        <v>20.478950000000001</v>
      </c>
      <c r="D7649" s="6">
        <v>86</v>
      </c>
      <c r="E7649" s="6">
        <v>0</v>
      </c>
      <c r="F7649" s="6">
        <v>0</v>
      </c>
      <c r="G7649" s="6">
        <v>17</v>
      </c>
      <c r="H7649" s="6" t="s">
        <v>15618</v>
      </c>
      <c r="I7649" s="6">
        <v>527.4375</v>
      </c>
      <c r="J7649" s="2">
        <f t="shared" si="119"/>
        <v>43748.036108587963</v>
      </c>
    </row>
    <row r="7650" spans="1:10" x14ac:dyDescent="0.25">
      <c r="A7650" s="7" t="s">
        <v>15619</v>
      </c>
      <c r="B7650" s="8">
        <v>412.5</v>
      </c>
      <c r="C7650" s="8">
        <v>20.478950000000001</v>
      </c>
      <c r="D7650" s="8">
        <v>86</v>
      </c>
      <c r="E7650" s="8">
        <v>0</v>
      </c>
      <c r="F7650" s="8">
        <v>0</v>
      </c>
      <c r="G7650" s="8">
        <v>21</v>
      </c>
      <c r="H7650" s="8" t="s">
        <v>15620</v>
      </c>
      <c r="I7650" s="8">
        <v>532.3125</v>
      </c>
      <c r="J7650" s="3">
        <f t="shared" si="119"/>
        <v>43748.036179895826</v>
      </c>
    </row>
    <row r="7651" spans="1:10" x14ac:dyDescent="0.25">
      <c r="A7651" s="5" t="s">
        <v>15621</v>
      </c>
      <c r="B7651" s="6">
        <v>393.75</v>
      </c>
      <c r="C7651" s="6">
        <v>20.478950000000001</v>
      </c>
      <c r="D7651" s="6">
        <v>85</v>
      </c>
      <c r="E7651" s="6">
        <v>0</v>
      </c>
      <c r="F7651" s="6">
        <v>0</v>
      </c>
      <c r="G7651" s="6">
        <v>19</v>
      </c>
      <c r="H7651" s="6" t="s">
        <v>15622</v>
      </c>
      <c r="I7651" s="6">
        <v>526.6875</v>
      </c>
      <c r="J7651" s="2">
        <f t="shared" si="119"/>
        <v>43748.03626325231</v>
      </c>
    </row>
    <row r="7652" spans="1:10" x14ac:dyDescent="0.25">
      <c r="A7652" s="7" t="s">
        <v>15623</v>
      </c>
      <c r="B7652" s="8">
        <v>421.875</v>
      </c>
      <c r="C7652" s="8">
        <v>20.478950000000001</v>
      </c>
      <c r="D7652" s="8">
        <v>85</v>
      </c>
      <c r="E7652" s="8">
        <v>0</v>
      </c>
      <c r="F7652" s="8">
        <v>0</v>
      </c>
      <c r="G7652" s="8">
        <v>20</v>
      </c>
      <c r="H7652" s="8" t="s">
        <v>15624</v>
      </c>
      <c r="I7652" s="8">
        <v>535.875</v>
      </c>
      <c r="J7652" s="3">
        <f t="shared" si="119"/>
        <v>43748.036362997686</v>
      </c>
    </row>
    <row r="7653" spans="1:10" x14ac:dyDescent="0.25">
      <c r="A7653" s="5" t="s">
        <v>15625</v>
      </c>
      <c r="B7653" s="6">
        <v>393.75</v>
      </c>
      <c r="C7653" s="6">
        <v>20.478950000000001</v>
      </c>
      <c r="D7653" s="6">
        <v>85</v>
      </c>
      <c r="E7653" s="6">
        <v>0</v>
      </c>
      <c r="F7653" s="6">
        <v>0</v>
      </c>
      <c r="G7653" s="6">
        <v>19</v>
      </c>
      <c r="H7653" s="6" t="s">
        <v>15626</v>
      </c>
      <c r="I7653" s="6">
        <v>526.6875</v>
      </c>
      <c r="J7653" s="2">
        <f t="shared" si="119"/>
        <v>43748.036441944445</v>
      </c>
    </row>
    <row r="7654" spans="1:10" x14ac:dyDescent="0.25">
      <c r="A7654" s="7" t="s">
        <v>15627</v>
      </c>
      <c r="B7654" s="8">
        <v>393.75</v>
      </c>
      <c r="C7654" s="8">
        <v>20.478950000000001</v>
      </c>
      <c r="D7654" s="8">
        <v>84</v>
      </c>
      <c r="E7654" s="8">
        <v>0</v>
      </c>
      <c r="F7654" s="8">
        <v>0</v>
      </c>
      <c r="G7654" s="8">
        <v>19</v>
      </c>
      <c r="H7654" s="8" t="s">
        <v>15628</v>
      </c>
      <c r="I7654" s="8">
        <v>526.6875</v>
      </c>
      <c r="J7654" s="3">
        <f t="shared" si="119"/>
        <v>43748.036513287036</v>
      </c>
    </row>
    <row r="7655" spans="1:10" x14ac:dyDescent="0.25">
      <c r="A7655" s="5" t="s">
        <v>15629</v>
      </c>
      <c r="B7655" s="6">
        <v>428.125</v>
      </c>
      <c r="C7655" s="6">
        <v>20.478950000000001</v>
      </c>
      <c r="D7655" s="6">
        <v>84</v>
      </c>
      <c r="E7655" s="6">
        <v>0</v>
      </c>
      <c r="F7655" s="6">
        <v>0</v>
      </c>
      <c r="G7655" s="6">
        <v>14</v>
      </c>
      <c r="H7655" s="6" t="s">
        <v>15630</v>
      </c>
      <c r="I7655" s="6">
        <v>537.75</v>
      </c>
      <c r="J7655" s="2">
        <f t="shared" si="119"/>
        <v>43748.036585462956</v>
      </c>
    </row>
    <row r="7656" spans="1:10" x14ac:dyDescent="0.25">
      <c r="A7656" s="7" t="s">
        <v>15631</v>
      </c>
      <c r="B7656" s="8">
        <v>393.75</v>
      </c>
      <c r="C7656" s="8">
        <v>20.478950000000001</v>
      </c>
      <c r="D7656" s="8">
        <v>84</v>
      </c>
      <c r="E7656" s="8">
        <v>0</v>
      </c>
      <c r="F7656" s="8">
        <v>0</v>
      </c>
      <c r="G7656" s="8">
        <v>17</v>
      </c>
      <c r="H7656" s="8" t="s">
        <v>15632</v>
      </c>
      <c r="I7656" s="8">
        <v>526.6875</v>
      </c>
      <c r="J7656" s="3">
        <f t="shared" si="119"/>
        <v>43748.036656863427</v>
      </c>
    </row>
    <row r="7657" spans="1:10" x14ac:dyDescent="0.25">
      <c r="A7657" s="5" t="s">
        <v>15633</v>
      </c>
      <c r="B7657" s="6">
        <v>393.75</v>
      </c>
      <c r="C7657" s="6">
        <v>20.426300000000001</v>
      </c>
      <c r="D7657" s="6">
        <v>84</v>
      </c>
      <c r="E7657" s="6">
        <v>0</v>
      </c>
      <c r="F7657" s="6">
        <v>0</v>
      </c>
      <c r="G7657" s="6">
        <v>19</v>
      </c>
      <c r="H7657" s="6" t="s">
        <v>15634</v>
      </c>
      <c r="I7657" s="6">
        <v>526.6875</v>
      </c>
      <c r="J7657" s="2">
        <f t="shared" si="119"/>
        <v>43748.036728043975</v>
      </c>
    </row>
    <row r="7658" spans="1:10" x14ac:dyDescent="0.25">
      <c r="A7658" s="7" t="s">
        <v>15635</v>
      </c>
      <c r="B7658" s="8">
        <v>393.75</v>
      </c>
      <c r="C7658" s="8">
        <v>20.478950000000001</v>
      </c>
      <c r="D7658" s="8">
        <v>87</v>
      </c>
      <c r="E7658" s="8">
        <v>0</v>
      </c>
      <c r="F7658" s="8">
        <v>0</v>
      </c>
      <c r="G7658" s="8">
        <v>15</v>
      </c>
      <c r="H7658" s="8" t="s">
        <v>15636</v>
      </c>
      <c r="I7658" s="8">
        <v>526.6875</v>
      </c>
      <c r="J7658" s="3">
        <f t="shared" si="119"/>
        <v>43748.036800081019</v>
      </c>
    </row>
    <row r="7659" spans="1:10" x14ac:dyDescent="0.25">
      <c r="A7659" s="5" t="s">
        <v>15637</v>
      </c>
      <c r="B7659" s="6">
        <v>393.75</v>
      </c>
      <c r="C7659" s="6">
        <v>20.478950000000001</v>
      </c>
      <c r="D7659" s="6">
        <v>87</v>
      </c>
      <c r="E7659" s="6">
        <v>0</v>
      </c>
      <c r="F7659" s="6">
        <v>0</v>
      </c>
      <c r="G7659" s="6">
        <v>10</v>
      </c>
      <c r="H7659" s="6" t="s">
        <v>15638</v>
      </c>
      <c r="I7659" s="6">
        <v>526.6875</v>
      </c>
      <c r="J7659" s="2">
        <f t="shared" si="119"/>
        <v>43748.03687157407</v>
      </c>
    </row>
    <row r="7660" spans="1:10" x14ac:dyDescent="0.25">
      <c r="A7660" s="7" t="s">
        <v>15639</v>
      </c>
      <c r="B7660" s="8">
        <v>393.75</v>
      </c>
      <c r="C7660" s="8">
        <v>20.478950000000001</v>
      </c>
      <c r="D7660" s="8">
        <v>87</v>
      </c>
      <c r="E7660" s="8">
        <v>0</v>
      </c>
      <c r="F7660" s="8">
        <v>0</v>
      </c>
      <c r="G7660" s="8">
        <v>29</v>
      </c>
      <c r="H7660" s="8" t="s">
        <v>15640</v>
      </c>
      <c r="I7660" s="8">
        <v>526.6875</v>
      </c>
      <c r="J7660" s="3">
        <f t="shared" si="119"/>
        <v>43748.036942870363</v>
      </c>
    </row>
    <row r="7661" spans="1:10" x14ac:dyDescent="0.25">
      <c r="A7661" s="5" t="s">
        <v>15641</v>
      </c>
      <c r="B7661" s="6">
        <v>393.75</v>
      </c>
      <c r="C7661" s="6">
        <v>20.478950000000001</v>
      </c>
      <c r="D7661" s="6">
        <v>87</v>
      </c>
      <c r="E7661" s="6">
        <v>0</v>
      </c>
      <c r="F7661" s="6">
        <v>0</v>
      </c>
      <c r="G7661" s="6">
        <v>12</v>
      </c>
      <c r="H7661" s="6" t="s">
        <v>15642</v>
      </c>
      <c r="I7661" s="6">
        <v>526.5</v>
      </c>
      <c r="J7661" s="2">
        <f t="shared" si="119"/>
        <v>43748.037014166664</v>
      </c>
    </row>
    <row r="7662" spans="1:10" x14ac:dyDescent="0.25">
      <c r="A7662" s="7" t="s">
        <v>15643</v>
      </c>
      <c r="B7662" s="8">
        <v>393.75</v>
      </c>
      <c r="C7662" s="8">
        <v>20.478950000000001</v>
      </c>
      <c r="D7662" s="8">
        <v>87</v>
      </c>
      <c r="E7662" s="8">
        <v>0</v>
      </c>
      <c r="F7662" s="8">
        <v>0</v>
      </c>
      <c r="G7662" s="8">
        <v>22</v>
      </c>
      <c r="H7662" s="8" t="s">
        <v>15644</v>
      </c>
      <c r="I7662" s="8">
        <v>526.6875</v>
      </c>
      <c r="J7662" s="3">
        <f t="shared" si="119"/>
        <v>43748.03708559028</v>
      </c>
    </row>
    <row r="7663" spans="1:10" x14ac:dyDescent="0.25">
      <c r="A7663" s="5" t="s">
        <v>15645</v>
      </c>
      <c r="B7663" s="6">
        <v>393.75</v>
      </c>
      <c r="C7663" s="6">
        <v>20.478950000000001</v>
      </c>
      <c r="D7663" s="6">
        <v>87</v>
      </c>
      <c r="E7663" s="6">
        <v>0</v>
      </c>
      <c r="F7663" s="6">
        <v>0</v>
      </c>
      <c r="G7663" s="6">
        <v>15</v>
      </c>
      <c r="H7663" s="6" t="s">
        <v>15646</v>
      </c>
      <c r="I7663" s="6">
        <v>526.6875</v>
      </c>
      <c r="J7663" s="2">
        <f t="shared" si="119"/>
        <v>43748.037157685183</v>
      </c>
    </row>
    <row r="7664" spans="1:10" x14ac:dyDescent="0.25">
      <c r="A7664" s="7" t="s">
        <v>15647</v>
      </c>
      <c r="B7664" s="8">
        <v>412.5</v>
      </c>
      <c r="C7664" s="8">
        <v>20.478950000000001</v>
      </c>
      <c r="D7664" s="8">
        <v>86</v>
      </c>
      <c r="E7664" s="8">
        <v>0</v>
      </c>
      <c r="F7664" s="8">
        <v>0</v>
      </c>
      <c r="G7664" s="8">
        <v>26</v>
      </c>
      <c r="H7664" s="8" t="s">
        <v>15648</v>
      </c>
      <c r="I7664" s="8">
        <v>532.125</v>
      </c>
      <c r="J7664" s="3">
        <f t="shared" si="119"/>
        <v>43748.037228969908</v>
      </c>
    </row>
    <row r="7665" spans="1:10" x14ac:dyDescent="0.25">
      <c r="A7665" s="5" t="s">
        <v>15649</v>
      </c>
      <c r="B7665" s="6">
        <v>393.75</v>
      </c>
      <c r="C7665" s="6">
        <v>20.478950000000001</v>
      </c>
      <c r="D7665" s="6">
        <v>86</v>
      </c>
      <c r="E7665" s="6">
        <v>0</v>
      </c>
      <c r="F7665" s="6">
        <v>0</v>
      </c>
      <c r="G7665" s="6">
        <v>18</v>
      </c>
      <c r="H7665" s="6" t="s">
        <v>15650</v>
      </c>
      <c r="I7665" s="6">
        <v>526.6875</v>
      </c>
      <c r="J7665" s="2">
        <f t="shared" si="119"/>
        <v>43748.037312442124</v>
      </c>
    </row>
    <row r="7666" spans="1:10" x14ac:dyDescent="0.25">
      <c r="A7666" s="7" t="s">
        <v>15651</v>
      </c>
      <c r="B7666" s="8">
        <v>393.75</v>
      </c>
      <c r="C7666" s="8">
        <v>20.478950000000001</v>
      </c>
      <c r="D7666" s="8">
        <v>86</v>
      </c>
      <c r="E7666" s="8">
        <v>0</v>
      </c>
      <c r="F7666" s="8">
        <v>0</v>
      </c>
      <c r="G7666" s="8">
        <v>20</v>
      </c>
      <c r="H7666" s="8" t="s">
        <v>15652</v>
      </c>
      <c r="I7666" s="8">
        <v>526.6875</v>
      </c>
      <c r="J7666" s="3">
        <f t="shared" si="119"/>
        <v>43748.037384351854</v>
      </c>
    </row>
    <row r="7667" spans="1:10" x14ac:dyDescent="0.25">
      <c r="A7667" s="5" t="s">
        <v>15653</v>
      </c>
      <c r="B7667" s="6">
        <v>393.75</v>
      </c>
      <c r="C7667" s="6">
        <v>20.478950000000001</v>
      </c>
      <c r="D7667" s="6">
        <v>88</v>
      </c>
      <c r="E7667" s="6">
        <v>0</v>
      </c>
      <c r="F7667" s="6">
        <v>0</v>
      </c>
      <c r="G7667" s="6">
        <v>24</v>
      </c>
      <c r="H7667" s="6" t="s">
        <v>15654</v>
      </c>
      <c r="I7667" s="6">
        <v>526.6875</v>
      </c>
      <c r="J7667" s="2">
        <f t="shared" si="119"/>
        <v>43748.037455763886</v>
      </c>
    </row>
    <row r="7668" spans="1:10" x14ac:dyDescent="0.25">
      <c r="A7668" s="7" t="s">
        <v>15655</v>
      </c>
      <c r="B7668" s="8">
        <v>393.75</v>
      </c>
      <c r="C7668" s="8">
        <v>20.478950000000001</v>
      </c>
      <c r="D7668" s="8">
        <v>89</v>
      </c>
      <c r="E7668" s="8">
        <v>0</v>
      </c>
      <c r="F7668" s="8">
        <v>0</v>
      </c>
      <c r="G7668" s="8">
        <v>24</v>
      </c>
      <c r="H7668" s="8" t="s">
        <v>15656</v>
      </c>
      <c r="I7668" s="8">
        <v>526.6875</v>
      </c>
      <c r="J7668" s="3">
        <f t="shared" si="119"/>
        <v>43748.037527060187</v>
      </c>
    </row>
    <row r="7669" spans="1:10" x14ac:dyDescent="0.25">
      <c r="A7669" s="5" t="s">
        <v>15657</v>
      </c>
      <c r="B7669" s="6">
        <v>393.75</v>
      </c>
      <c r="C7669" s="6">
        <v>20.478950000000001</v>
      </c>
      <c r="D7669" s="6">
        <v>90</v>
      </c>
      <c r="E7669" s="6">
        <v>0</v>
      </c>
      <c r="F7669" s="6">
        <v>0</v>
      </c>
      <c r="G7669" s="6">
        <v>25</v>
      </c>
      <c r="H7669" s="6" t="s">
        <v>15658</v>
      </c>
      <c r="I7669" s="6">
        <v>526.6875</v>
      </c>
      <c r="J7669" s="2">
        <f t="shared" si="119"/>
        <v>43748.037622615739</v>
      </c>
    </row>
    <row r="7670" spans="1:10" x14ac:dyDescent="0.25">
      <c r="A7670" s="7" t="s">
        <v>15659</v>
      </c>
      <c r="B7670" s="8">
        <v>393.75</v>
      </c>
      <c r="C7670" s="8">
        <v>20.478950000000001</v>
      </c>
      <c r="D7670" s="8">
        <v>89</v>
      </c>
      <c r="E7670" s="8">
        <v>0</v>
      </c>
      <c r="F7670" s="8">
        <v>0</v>
      </c>
      <c r="G7670" s="8">
        <v>22</v>
      </c>
      <c r="H7670" s="8" t="s">
        <v>15660</v>
      </c>
      <c r="I7670" s="8">
        <v>526.6875</v>
      </c>
      <c r="J7670" s="3">
        <f t="shared" si="119"/>
        <v>43748.037705821756</v>
      </c>
    </row>
    <row r="7671" spans="1:10" x14ac:dyDescent="0.25">
      <c r="A7671" s="5" t="s">
        <v>15661</v>
      </c>
      <c r="B7671" s="6">
        <v>393.75</v>
      </c>
      <c r="C7671" s="6">
        <v>20.478950000000001</v>
      </c>
      <c r="D7671" s="6">
        <v>89</v>
      </c>
      <c r="E7671" s="6">
        <v>0</v>
      </c>
      <c r="F7671" s="6">
        <v>0</v>
      </c>
      <c r="G7671" s="6">
        <v>14</v>
      </c>
      <c r="H7671" s="6" t="s">
        <v>15662</v>
      </c>
      <c r="I7671" s="6">
        <v>526.6875</v>
      </c>
      <c r="J7671" s="2">
        <f t="shared" si="119"/>
        <v>43748.037777233789</v>
      </c>
    </row>
    <row r="7672" spans="1:10" x14ac:dyDescent="0.25">
      <c r="A7672" s="7" t="s">
        <v>15663</v>
      </c>
      <c r="B7672" s="8">
        <v>393.75</v>
      </c>
      <c r="C7672" s="8">
        <v>20.478950000000001</v>
      </c>
      <c r="D7672" s="8">
        <v>89</v>
      </c>
      <c r="E7672" s="8">
        <v>0</v>
      </c>
      <c r="F7672" s="8">
        <v>0</v>
      </c>
      <c r="G7672" s="8">
        <v>17</v>
      </c>
      <c r="H7672" s="8" t="s">
        <v>15664</v>
      </c>
      <c r="I7672" s="8">
        <v>526.6875</v>
      </c>
      <c r="J7672" s="3">
        <f t="shared" si="119"/>
        <v>43748.037849374996</v>
      </c>
    </row>
    <row r="7673" spans="1:10" x14ac:dyDescent="0.25">
      <c r="A7673" s="5" t="s">
        <v>15665</v>
      </c>
      <c r="B7673" s="6">
        <v>428.125</v>
      </c>
      <c r="C7673" s="6">
        <v>20.478950000000001</v>
      </c>
      <c r="D7673" s="6">
        <v>89</v>
      </c>
      <c r="E7673" s="6">
        <v>0</v>
      </c>
      <c r="F7673" s="6">
        <v>0</v>
      </c>
      <c r="G7673" s="6">
        <v>23</v>
      </c>
      <c r="H7673" s="6" t="s">
        <v>15666</v>
      </c>
      <c r="I7673" s="6">
        <v>537.375</v>
      </c>
      <c r="J7673" s="2">
        <f t="shared" si="119"/>
        <v>43748.037946759257</v>
      </c>
    </row>
    <row r="7674" spans="1:10" x14ac:dyDescent="0.25">
      <c r="A7674" s="7" t="s">
        <v>15667</v>
      </c>
      <c r="B7674" s="8">
        <v>396.875</v>
      </c>
      <c r="C7674" s="8">
        <v>20.478950000000001</v>
      </c>
      <c r="D7674" s="8">
        <v>89</v>
      </c>
      <c r="E7674" s="8">
        <v>0</v>
      </c>
      <c r="F7674" s="8">
        <v>0</v>
      </c>
      <c r="G7674" s="8">
        <v>11</v>
      </c>
      <c r="H7674" s="8" t="s">
        <v>15668</v>
      </c>
      <c r="I7674" s="8">
        <v>527.4375</v>
      </c>
      <c r="J7674" s="3">
        <f t="shared" si="119"/>
        <v>43748.038028009258</v>
      </c>
    </row>
    <row r="7675" spans="1:10" x14ac:dyDescent="0.25">
      <c r="A7675" s="5" t="s">
        <v>15669</v>
      </c>
      <c r="B7675" s="6">
        <v>415.625</v>
      </c>
      <c r="C7675" s="6">
        <v>20.478950000000001</v>
      </c>
      <c r="D7675" s="6">
        <v>88</v>
      </c>
      <c r="E7675" s="6">
        <v>0</v>
      </c>
      <c r="F7675" s="6">
        <v>0</v>
      </c>
      <c r="G7675" s="6">
        <v>12</v>
      </c>
      <c r="H7675" s="6" t="s">
        <v>15670</v>
      </c>
      <c r="I7675" s="6">
        <v>533.25</v>
      </c>
      <c r="J7675" s="2">
        <f t="shared" si="119"/>
        <v>43748.038099398145</v>
      </c>
    </row>
    <row r="7676" spans="1:10" x14ac:dyDescent="0.25">
      <c r="A7676" s="7" t="s">
        <v>15671</v>
      </c>
      <c r="B7676" s="8">
        <v>396.875</v>
      </c>
      <c r="C7676" s="8">
        <v>20.478950000000001</v>
      </c>
      <c r="D7676" s="8">
        <v>86</v>
      </c>
      <c r="E7676" s="8">
        <v>0</v>
      </c>
      <c r="F7676" s="8">
        <v>0</v>
      </c>
      <c r="G7676" s="8">
        <v>18</v>
      </c>
      <c r="H7676" s="8" t="s">
        <v>15672</v>
      </c>
      <c r="I7676" s="8">
        <v>527.4375</v>
      </c>
      <c r="J7676" s="3">
        <f t="shared" si="119"/>
        <v>43748.038170706015</v>
      </c>
    </row>
    <row r="7677" spans="1:10" x14ac:dyDescent="0.25">
      <c r="A7677" s="5" t="s">
        <v>15673</v>
      </c>
      <c r="B7677" s="6">
        <v>396.875</v>
      </c>
      <c r="C7677" s="6">
        <v>20.478950000000001</v>
      </c>
      <c r="D7677" s="6">
        <v>86</v>
      </c>
      <c r="E7677" s="6">
        <v>0</v>
      </c>
      <c r="F7677" s="6">
        <v>0</v>
      </c>
      <c r="G7677" s="6">
        <v>15</v>
      </c>
      <c r="H7677" s="6" t="s">
        <v>15674</v>
      </c>
      <c r="I7677" s="6">
        <v>527.4375</v>
      </c>
      <c r="J7677" s="2">
        <f t="shared" si="119"/>
        <v>43748.03824297453</v>
      </c>
    </row>
    <row r="7678" spans="1:10" x14ac:dyDescent="0.25">
      <c r="A7678" s="7" t="s">
        <v>15675</v>
      </c>
      <c r="B7678" s="8">
        <v>396.875</v>
      </c>
      <c r="C7678" s="8">
        <v>20.478950000000001</v>
      </c>
      <c r="D7678" s="8">
        <v>86</v>
      </c>
      <c r="E7678" s="8">
        <v>0</v>
      </c>
      <c r="F7678" s="8">
        <v>0</v>
      </c>
      <c r="G7678" s="8">
        <v>15</v>
      </c>
      <c r="H7678" s="8" t="s">
        <v>15676</v>
      </c>
      <c r="I7678" s="8">
        <v>527.625</v>
      </c>
      <c r="J7678" s="3">
        <f t="shared" si="119"/>
        <v>43748.038314120371</v>
      </c>
    </row>
    <row r="7679" spans="1:10" x14ac:dyDescent="0.25">
      <c r="A7679" s="5" t="s">
        <v>15677</v>
      </c>
      <c r="B7679" s="6">
        <v>396.875</v>
      </c>
      <c r="C7679" s="6">
        <v>20.478950000000001</v>
      </c>
      <c r="D7679" s="6">
        <v>86</v>
      </c>
      <c r="E7679" s="6">
        <v>0</v>
      </c>
      <c r="F7679" s="6">
        <v>0</v>
      </c>
      <c r="G7679" s="6">
        <v>14</v>
      </c>
      <c r="H7679" s="6" t="s">
        <v>15678</v>
      </c>
      <c r="I7679" s="6">
        <v>527.4375</v>
      </c>
      <c r="J7679" s="2">
        <f t="shared" si="119"/>
        <v>43748.038385462962</v>
      </c>
    </row>
    <row r="7680" spans="1:10" x14ac:dyDescent="0.25">
      <c r="A7680" s="7" t="s">
        <v>15679</v>
      </c>
      <c r="B7680" s="8">
        <v>396.875</v>
      </c>
      <c r="C7680" s="8">
        <v>20.478950000000001</v>
      </c>
      <c r="D7680" s="8">
        <v>85</v>
      </c>
      <c r="E7680" s="8">
        <v>0</v>
      </c>
      <c r="F7680" s="8">
        <v>0</v>
      </c>
      <c r="G7680" s="8">
        <v>12</v>
      </c>
      <c r="H7680" s="8" t="s">
        <v>15680</v>
      </c>
      <c r="I7680" s="8">
        <v>527.4375</v>
      </c>
      <c r="J7680" s="3">
        <f t="shared" si="119"/>
        <v>43748.038456874994</v>
      </c>
    </row>
    <row r="7681" spans="1:10" x14ac:dyDescent="0.25">
      <c r="A7681" s="5" t="s">
        <v>15681</v>
      </c>
      <c r="B7681" s="6">
        <v>396.875</v>
      </c>
      <c r="C7681" s="6">
        <v>20.478950000000001</v>
      </c>
      <c r="D7681" s="6">
        <v>88</v>
      </c>
      <c r="E7681" s="6">
        <v>0</v>
      </c>
      <c r="F7681" s="6">
        <v>0</v>
      </c>
      <c r="G7681" s="6">
        <v>9</v>
      </c>
      <c r="H7681" s="6" t="s">
        <v>15682</v>
      </c>
      <c r="I7681" s="6">
        <v>527.4375</v>
      </c>
      <c r="J7681" s="2">
        <f t="shared" si="119"/>
        <v>43748.038529097219</v>
      </c>
    </row>
    <row r="7682" spans="1:10" x14ac:dyDescent="0.25">
      <c r="A7682" s="7" t="s">
        <v>15683</v>
      </c>
      <c r="B7682" s="8">
        <v>396.875</v>
      </c>
      <c r="C7682" s="8">
        <v>20.478950000000001</v>
      </c>
      <c r="D7682" s="8">
        <v>88</v>
      </c>
      <c r="E7682" s="8">
        <v>0</v>
      </c>
      <c r="F7682" s="8">
        <v>0</v>
      </c>
      <c r="G7682" s="8">
        <v>17</v>
      </c>
      <c r="H7682" s="8" t="s">
        <v>15684</v>
      </c>
      <c r="I7682" s="8">
        <v>527.4375</v>
      </c>
      <c r="J7682" s="3">
        <f t="shared" ref="J7682:J7745" si="120">(H7682/86400000)+25569+(7/24)</f>
        <v>43748.038600405089</v>
      </c>
    </row>
    <row r="7683" spans="1:10" x14ac:dyDescent="0.25">
      <c r="A7683" s="5" t="s">
        <v>15685</v>
      </c>
      <c r="B7683" s="6">
        <v>396.875</v>
      </c>
      <c r="C7683" s="6">
        <v>20.478950000000001</v>
      </c>
      <c r="D7683" s="6">
        <v>88</v>
      </c>
      <c r="E7683" s="6">
        <v>0</v>
      </c>
      <c r="F7683" s="6">
        <v>0</v>
      </c>
      <c r="G7683" s="6">
        <v>27</v>
      </c>
      <c r="H7683" s="6" t="s">
        <v>15686</v>
      </c>
      <c r="I7683" s="6">
        <v>527.4375</v>
      </c>
      <c r="J7683" s="2">
        <f t="shared" si="120"/>
        <v>43748.038671562499</v>
      </c>
    </row>
    <row r="7684" spans="1:10" x14ac:dyDescent="0.25">
      <c r="A7684" s="7" t="s">
        <v>15687</v>
      </c>
      <c r="B7684" s="8">
        <v>393.75</v>
      </c>
      <c r="C7684" s="8">
        <v>20.478950000000001</v>
      </c>
      <c r="D7684" s="8">
        <v>86</v>
      </c>
      <c r="E7684" s="8">
        <v>0</v>
      </c>
      <c r="F7684" s="8">
        <v>0</v>
      </c>
      <c r="G7684" s="8">
        <v>11</v>
      </c>
      <c r="H7684" s="8" t="s">
        <v>15688</v>
      </c>
      <c r="I7684" s="8">
        <v>526.6875</v>
      </c>
      <c r="J7684" s="3">
        <f t="shared" si="120"/>
        <v>43748.038743749996</v>
      </c>
    </row>
    <row r="7685" spans="1:10" x14ac:dyDescent="0.25">
      <c r="A7685" s="5" t="s">
        <v>15689</v>
      </c>
      <c r="B7685" s="6">
        <v>393.75</v>
      </c>
      <c r="C7685" s="6">
        <v>20.478950000000001</v>
      </c>
      <c r="D7685" s="6">
        <v>85</v>
      </c>
      <c r="E7685" s="6">
        <v>0</v>
      </c>
      <c r="F7685" s="6">
        <v>0</v>
      </c>
      <c r="G7685" s="6">
        <v>15</v>
      </c>
      <c r="H7685" s="6" t="s">
        <v>15690</v>
      </c>
      <c r="I7685" s="6">
        <v>526.6875</v>
      </c>
      <c r="J7685" s="2">
        <f t="shared" si="120"/>
        <v>43748.038815081018</v>
      </c>
    </row>
    <row r="7686" spans="1:10" x14ac:dyDescent="0.25">
      <c r="A7686" s="7" t="s">
        <v>15691</v>
      </c>
      <c r="B7686" s="8">
        <v>393.75</v>
      </c>
      <c r="C7686" s="8">
        <v>20.478950000000001</v>
      </c>
      <c r="D7686" s="8">
        <v>84</v>
      </c>
      <c r="E7686" s="8">
        <v>0</v>
      </c>
      <c r="F7686" s="8">
        <v>0</v>
      </c>
      <c r="G7686" s="8">
        <v>15</v>
      </c>
      <c r="H7686" s="8" t="s">
        <v>15692</v>
      </c>
      <c r="I7686" s="8">
        <v>526.6875</v>
      </c>
      <c r="J7686" s="3">
        <f t="shared" si="120"/>
        <v>43748.038886377311</v>
      </c>
    </row>
    <row r="7687" spans="1:10" x14ac:dyDescent="0.25">
      <c r="A7687" s="5" t="s">
        <v>15693</v>
      </c>
      <c r="B7687" s="6">
        <v>393.75</v>
      </c>
      <c r="C7687" s="6">
        <v>20.478950000000001</v>
      </c>
      <c r="D7687" s="6">
        <v>84</v>
      </c>
      <c r="E7687" s="6">
        <v>0</v>
      </c>
      <c r="F7687" s="6">
        <v>0</v>
      </c>
      <c r="G7687" s="6">
        <v>26</v>
      </c>
      <c r="H7687" s="6" t="s">
        <v>15694</v>
      </c>
      <c r="I7687" s="6">
        <v>526.6875</v>
      </c>
      <c r="J7687" s="2">
        <f t="shared" si="120"/>
        <v>43748.038957685181</v>
      </c>
    </row>
    <row r="7688" spans="1:10" x14ac:dyDescent="0.25">
      <c r="A7688" s="7" t="s">
        <v>15695</v>
      </c>
      <c r="B7688" s="8">
        <v>415.625</v>
      </c>
      <c r="C7688" s="8">
        <v>20.478950000000001</v>
      </c>
      <c r="D7688" s="8">
        <v>86</v>
      </c>
      <c r="E7688" s="8">
        <v>0</v>
      </c>
      <c r="F7688" s="8">
        <v>0</v>
      </c>
      <c r="G7688" s="8">
        <v>24</v>
      </c>
      <c r="H7688" s="8" t="s">
        <v>15696</v>
      </c>
      <c r="I7688" s="8">
        <v>533.25</v>
      </c>
      <c r="J7688" s="3">
        <f t="shared" si="120"/>
        <v>43748.039029976848</v>
      </c>
    </row>
    <row r="7689" spans="1:10" x14ac:dyDescent="0.25">
      <c r="A7689" s="5" t="s">
        <v>15697</v>
      </c>
      <c r="B7689" s="6">
        <v>393.75</v>
      </c>
      <c r="C7689" s="6">
        <v>20.478950000000001</v>
      </c>
      <c r="D7689" s="6">
        <v>86</v>
      </c>
      <c r="E7689" s="6">
        <v>0</v>
      </c>
      <c r="F7689" s="6">
        <v>0</v>
      </c>
      <c r="G7689" s="6">
        <v>17</v>
      </c>
      <c r="H7689" s="6" t="s">
        <v>15698</v>
      </c>
      <c r="I7689" s="6">
        <v>526.6875</v>
      </c>
      <c r="J7689" s="2">
        <f t="shared" si="120"/>
        <v>43748.0391012037</v>
      </c>
    </row>
    <row r="7690" spans="1:10" x14ac:dyDescent="0.25">
      <c r="A7690" s="7" t="s">
        <v>15699</v>
      </c>
      <c r="B7690" s="8">
        <v>393.75</v>
      </c>
      <c r="C7690" s="8">
        <v>20.478950000000001</v>
      </c>
      <c r="D7690" s="8">
        <v>85</v>
      </c>
      <c r="E7690" s="8">
        <v>0</v>
      </c>
      <c r="F7690" s="8">
        <v>0</v>
      </c>
      <c r="G7690" s="8">
        <v>32</v>
      </c>
      <c r="H7690" s="8" t="s">
        <v>15700</v>
      </c>
      <c r="I7690" s="8">
        <v>526.5</v>
      </c>
      <c r="J7690" s="3">
        <f t="shared" si="120"/>
        <v>43748.039172500001</v>
      </c>
    </row>
    <row r="7691" spans="1:10" x14ac:dyDescent="0.25">
      <c r="A7691" s="5" t="s">
        <v>15701</v>
      </c>
      <c r="B7691" s="6">
        <v>393.75</v>
      </c>
      <c r="C7691" s="6">
        <v>20.478950000000001</v>
      </c>
      <c r="D7691" s="6">
        <v>85</v>
      </c>
      <c r="E7691" s="6">
        <v>0</v>
      </c>
      <c r="F7691" s="6">
        <v>0</v>
      </c>
      <c r="G7691" s="6">
        <v>18</v>
      </c>
      <c r="H7691" s="6" t="s">
        <v>15702</v>
      </c>
      <c r="I7691" s="6">
        <v>526.6875</v>
      </c>
      <c r="J7691" s="2">
        <f t="shared" si="120"/>
        <v>43748.039243888888</v>
      </c>
    </row>
    <row r="7692" spans="1:10" x14ac:dyDescent="0.25">
      <c r="A7692" s="7" t="s">
        <v>15703</v>
      </c>
      <c r="B7692" s="8">
        <v>393.75</v>
      </c>
      <c r="C7692" s="8">
        <v>20.478950000000001</v>
      </c>
      <c r="D7692" s="8">
        <v>86</v>
      </c>
      <c r="E7692" s="8">
        <v>0</v>
      </c>
      <c r="F7692" s="8">
        <v>0</v>
      </c>
      <c r="G7692" s="8">
        <v>23</v>
      </c>
      <c r="H7692" s="8" t="s">
        <v>15704</v>
      </c>
      <c r="I7692" s="8">
        <v>526.6875</v>
      </c>
      <c r="J7692" s="3">
        <f t="shared" si="120"/>
        <v>43748.039316006943</v>
      </c>
    </row>
    <row r="7693" spans="1:10" x14ac:dyDescent="0.25">
      <c r="A7693" s="5" t="s">
        <v>15705</v>
      </c>
      <c r="B7693" s="6">
        <v>396.875</v>
      </c>
      <c r="C7693" s="6">
        <v>20.478950000000001</v>
      </c>
      <c r="D7693" s="6">
        <v>85</v>
      </c>
      <c r="E7693" s="6">
        <v>0</v>
      </c>
      <c r="F7693" s="6">
        <v>0</v>
      </c>
      <c r="G7693" s="6">
        <v>29</v>
      </c>
      <c r="H7693" s="6" t="s">
        <v>15706</v>
      </c>
      <c r="I7693" s="6">
        <v>527.4375</v>
      </c>
      <c r="J7693" s="2">
        <f t="shared" si="120"/>
        <v>43748.039387418983</v>
      </c>
    </row>
    <row r="7694" spans="1:10" x14ac:dyDescent="0.25">
      <c r="A7694" s="7" t="s">
        <v>15707</v>
      </c>
      <c r="B7694" s="8">
        <v>396.875</v>
      </c>
      <c r="C7694" s="8">
        <v>20.478950000000001</v>
      </c>
      <c r="D7694" s="8">
        <v>87</v>
      </c>
      <c r="E7694" s="8">
        <v>0</v>
      </c>
      <c r="F7694" s="8">
        <v>0</v>
      </c>
      <c r="G7694" s="8">
        <v>14</v>
      </c>
      <c r="H7694" s="8" t="s">
        <v>15708</v>
      </c>
      <c r="I7694" s="8">
        <v>527.4375</v>
      </c>
      <c r="J7694" s="3">
        <f t="shared" si="120"/>
        <v>43748.039470648146</v>
      </c>
    </row>
    <row r="7695" spans="1:10" x14ac:dyDescent="0.25">
      <c r="A7695" s="5" t="s">
        <v>15709</v>
      </c>
      <c r="B7695" s="6">
        <v>396.875</v>
      </c>
      <c r="C7695" s="6">
        <v>20.478950000000001</v>
      </c>
      <c r="D7695" s="6">
        <v>87</v>
      </c>
      <c r="E7695" s="6">
        <v>0</v>
      </c>
      <c r="F7695" s="6">
        <v>0</v>
      </c>
      <c r="G7695" s="6">
        <v>17</v>
      </c>
      <c r="H7695" s="6" t="s">
        <v>15710</v>
      </c>
      <c r="I7695" s="6">
        <v>527.4375</v>
      </c>
      <c r="J7695" s="2">
        <f t="shared" si="120"/>
        <v>43748.039542013888</v>
      </c>
    </row>
    <row r="7696" spans="1:10" x14ac:dyDescent="0.25">
      <c r="A7696" s="7" t="s">
        <v>15711</v>
      </c>
      <c r="B7696" s="8">
        <v>415.625</v>
      </c>
      <c r="C7696" s="8">
        <v>20.426300000000001</v>
      </c>
      <c r="D7696" s="8">
        <v>91</v>
      </c>
      <c r="E7696" s="8">
        <v>0</v>
      </c>
      <c r="F7696" s="8">
        <v>0</v>
      </c>
      <c r="G7696" s="8">
        <v>8</v>
      </c>
      <c r="H7696" s="8" t="s">
        <v>15712</v>
      </c>
      <c r="I7696" s="8">
        <v>533.0625</v>
      </c>
      <c r="J7696" s="3">
        <f t="shared" si="120"/>
        <v>43748.039614097223</v>
      </c>
    </row>
    <row r="7697" spans="1:10" x14ac:dyDescent="0.25">
      <c r="A7697" s="5" t="s">
        <v>15713</v>
      </c>
      <c r="B7697" s="6">
        <v>393.75</v>
      </c>
      <c r="C7697" s="6">
        <v>20.478950000000001</v>
      </c>
      <c r="D7697" s="6">
        <v>90</v>
      </c>
      <c r="E7697" s="6">
        <v>0</v>
      </c>
      <c r="F7697" s="6">
        <v>0</v>
      </c>
      <c r="G7697" s="6">
        <v>17</v>
      </c>
      <c r="H7697" s="6" t="s">
        <v>15714</v>
      </c>
      <c r="I7697" s="6">
        <v>526.6875</v>
      </c>
      <c r="J7697" s="2">
        <f t="shared" si="120"/>
        <v>43748.039685405085</v>
      </c>
    </row>
    <row r="7698" spans="1:10" x14ac:dyDescent="0.25">
      <c r="A7698" s="7" t="s">
        <v>15715</v>
      </c>
      <c r="B7698" s="8">
        <v>393.75</v>
      </c>
      <c r="C7698" s="8">
        <v>20.478950000000001</v>
      </c>
      <c r="D7698" s="8">
        <v>90</v>
      </c>
      <c r="E7698" s="8">
        <v>0</v>
      </c>
      <c r="F7698" s="8">
        <v>0</v>
      </c>
      <c r="G7698" s="8">
        <v>23</v>
      </c>
      <c r="H7698" s="8" t="s">
        <v>15716</v>
      </c>
      <c r="I7698" s="8">
        <v>526.6875</v>
      </c>
      <c r="J7698" s="3">
        <f t="shared" si="120"/>
        <v>43748.03976879629</v>
      </c>
    </row>
    <row r="7699" spans="1:10" x14ac:dyDescent="0.25">
      <c r="A7699" s="5" t="s">
        <v>15717</v>
      </c>
      <c r="B7699" s="6">
        <v>393.75</v>
      </c>
      <c r="C7699" s="6">
        <v>20.478950000000001</v>
      </c>
      <c r="D7699" s="6">
        <v>90</v>
      </c>
      <c r="E7699" s="6">
        <v>0</v>
      </c>
      <c r="F7699" s="6">
        <v>0</v>
      </c>
      <c r="G7699" s="6">
        <v>12</v>
      </c>
      <c r="H7699" s="6" t="s">
        <v>15718</v>
      </c>
      <c r="I7699" s="6">
        <v>526.6875</v>
      </c>
      <c r="J7699" s="2">
        <f t="shared" si="120"/>
        <v>43748.039840081015</v>
      </c>
    </row>
    <row r="7700" spans="1:10" x14ac:dyDescent="0.25">
      <c r="A7700" s="7" t="s">
        <v>15719</v>
      </c>
      <c r="B7700" s="8">
        <v>393.75</v>
      </c>
      <c r="C7700" s="8">
        <v>20.478950000000001</v>
      </c>
      <c r="D7700" s="8">
        <v>89</v>
      </c>
      <c r="E7700" s="8">
        <v>0</v>
      </c>
      <c r="F7700" s="8">
        <v>0</v>
      </c>
      <c r="G7700" s="8">
        <v>20</v>
      </c>
      <c r="H7700" s="8" t="s">
        <v>15720</v>
      </c>
      <c r="I7700" s="8">
        <v>526.6875</v>
      </c>
      <c r="J7700" s="3">
        <f t="shared" si="120"/>
        <v>43748.039913344903</v>
      </c>
    </row>
    <row r="7701" spans="1:10" x14ac:dyDescent="0.25">
      <c r="A7701" s="5" t="s">
        <v>15721</v>
      </c>
      <c r="B7701" s="6">
        <v>393.75</v>
      </c>
      <c r="C7701" s="6">
        <v>20.478950000000001</v>
      </c>
      <c r="D7701" s="6">
        <v>89</v>
      </c>
      <c r="E7701" s="6">
        <v>0</v>
      </c>
      <c r="F7701" s="6">
        <v>0</v>
      </c>
      <c r="G7701" s="6">
        <v>15</v>
      </c>
      <c r="H7701" s="6" t="s">
        <v>15722</v>
      </c>
      <c r="I7701" s="6">
        <v>526.6875</v>
      </c>
      <c r="J7701" s="2">
        <f t="shared" si="120"/>
        <v>43748.039995636573</v>
      </c>
    </row>
    <row r="7702" spans="1:10" x14ac:dyDescent="0.25">
      <c r="A7702" s="7" t="s">
        <v>15723</v>
      </c>
      <c r="B7702" s="8">
        <v>393.75</v>
      </c>
      <c r="C7702" s="8">
        <v>20.478950000000001</v>
      </c>
      <c r="D7702" s="8">
        <v>90</v>
      </c>
      <c r="E7702" s="8">
        <v>0</v>
      </c>
      <c r="F7702" s="8">
        <v>0</v>
      </c>
      <c r="G7702" s="8">
        <v>16</v>
      </c>
      <c r="H7702" s="8" t="s">
        <v>15724</v>
      </c>
      <c r="I7702" s="8">
        <v>526.5</v>
      </c>
      <c r="J7702" s="3">
        <f t="shared" si="120"/>
        <v>43748.040066932866</v>
      </c>
    </row>
    <row r="7703" spans="1:10" x14ac:dyDescent="0.25">
      <c r="A7703" s="5" t="s">
        <v>15725</v>
      </c>
      <c r="B7703" s="6">
        <v>412.5</v>
      </c>
      <c r="C7703" s="6">
        <v>20.426300000000001</v>
      </c>
      <c r="D7703" s="6">
        <v>89</v>
      </c>
      <c r="E7703" s="6">
        <v>0</v>
      </c>
      <c r="F7703" s="6">
        <v>0</v>
      </c>
      <c r="G7703" s="6">
        <v>22</v>
      </c>
      <c r="H7703" s="6" t="s">
        <v>15726</v>
      </c>
      <c r="I7703" s="6">
        <v>532.3125</v>
      </c>
      <c r="J7703" s="2">
        <f t="shared" si="120"/>
        <v>43748.040138252312</v>
      </c>
    </row>
    <row r="7704" spans="1:10" x14ac:dyDescent="0.25">
      <c r="A7704" s="7" t="s">
        <v>15727</v>
      </c>
      <c r="B7704" s="8">
        <v>393.75</v>
      </c>
      <c r="C7704" s="8">
        <v>20.478950000000001</v>
      </c>
      <c r="D7704" s="8">
        <v>89</v>
      </c>
      <c r="E7704" s="8">
        <v>0</v>
      </c>
      <c r="F7704" s="8">
        <v>0</v>
      </c>
      <c r="G7704" s="8">
        <v>17</v>
      </c>
      <c r="H7704" s="8" t="s">
        <v>15728</v>
      </c>
      <c r="I7704" s="8">
        <v>526.6875</v>
      </c>
      <c r="J7704" s="3">
        <f t="shared" si="120"/>
        <v>43748.040210474537</v>
      </c>
    </row>
    <row r="7705" spans="1:10" x14ac:dyDescent="0.25">
      <c r="A7705" s="5" t="s">
        <v>15729</v>
      </c>
      <c r="B7705" s="6">
        <v>393.75</v>
      </c>
      <c r="C7705" s="6">
        <v>20.478950000000001</v>
      </c>
      <c r="D7705" s="6">
        <v>90</v>
      </c>
      <c r="E7705" s="6">
        <v>0</v>
      </c>
      <c r="F7705" s="6">
        <v>0</v>
      </c>
      <c r="G7705" s="6">
        <v>17</v>
      </c>
      <c r="H7705" s="6" t="s">
        <v>15730</v>
      </c>
      <c r="I7705" s="6">
        <v>526.6875</v>
      </c>
      <c r="J7705" s="2">
        <f t="shared" si="120"/>
        <v>43748.040281770831</v>
      </c>
    </row>
    <row r="7706" spans="1:10" x14ac:dyDescent="0.25">
      <c r="A7706" s="7" t="s">
        <v>15731</v>
      </c>
      <c r="B7706" s="8">
        <v>393.75</v>
      </c>
      <c r="C7706" s="8">
        <v>20.478950000000001</v>
      </c>
      <c r="D7706" s="8">
        <v>90</v>
      </c>
      <c r="E7706" s="8">
        <v>0</v>
      </c>
      <c r="F7706" s="8">
        <v>0</v>
      </c>
      <c r="G7706" s="8">
        <v>19</v>
      </c>
      <c r="H7706" s="8" t="s">
        <v>15732</v>
      </c>
      <c r="I7706" s="8">
        <v>526.5</v>
      </c>
      <c r="J7706" s="3">
        <f t="shared" si="120"/>
        <v>43748.040353055556</v>
      </c>
    </row>
    <row r="7707" spans="1:10" x14ac:dyDescent="0.25">
      <c r="A7707" s="5" t="s">
        <v>15733</v>
      </c>
      <c r="B7707" s="6">
        <v>393.75</v>
      </c>
      <c r="C7707" s="6">
        <v>20.478950000000001</v>
      </c>
      <c r="D7707" s="6">
        <v>91</v>
      </c>
      <c r="E7707" s="6">
        <v>0</v>
      </c>
      <c r="F7707" s="6">
        <v>0</v>
      </c>
      <c r="G7707" s="6">
        <v>21</v>
      </c>
      <c r="H7707" s="6" t="s">
        <v>15734</v>
      </c>
      <c r="I7707" s="6">
        <v>526.6875</v>
      </c>
      <c r="J7707" s="2">
        <f t="shared" si="120"/>
        <v>43748.040436388888</v>
      </c>
    </row>
    <row r="7708" spans="1:10" x14ac:dyDescent="0.25">
      <c r="A7708" s="7" t="s">
        <v>15735</v>
      </c>
      <c r="B7708" s="8">
        <v>393.75</v>
      </c>
      <c r="C7708" s="8">
        <v>20.478950000000001</v>
      </c>
      <c r="D7708" s="8">
        <v>91</v>
      </c>
      <c r="E7708" s="8">
        <v>0</v>
      </c>
      <c r="F7708" s="8">
        <v>0</v>
      </c>
      <c r="G7708" s="8">
        <v>22</v>
      </c>
      <c r="H7708" s="8" t="s">
        <v>15736</v>
      </c>
      <c r="I7708" s="8">
        <v>526.6875</v>
      </c>
      <c r="J7708" s="3">
        <f t="shared" si="120"/>
        <v>43748.040508437502</v>
      </c>
    </row>
    <row r="7709" spans="1:10" x14ac:dyDescent="0.25">
      <c r="A7709" s="5" t="s">
        <v>15737</v>
      </c>
      <c r="B7709" s="6">
        <v>393.75</v>
      </c>
      <c r="C7709" s="6">
        <v>20.478950000000001</v>
      </c>
      <c r="D7709" s="6">
        <v>91</v>
      </c>
      <c r="E7709" s="6">
        <v>0</v>
      </c>
      <c r="F7709" s="6">
        <v>0</v>
      </c>
      <c r="G7709" s="6">
        <v>29</v>
      </c>
      <c r="H7709" s="6" t="s">
        <v>15738</v>
      </c>
      <c r="I7709" s="6">
        <v>526.6875</v>
      </c>
      <c r="J7709" s="2">
        <f t="shared" si="120"/>
        <v>43748.040579039349</v>
      </c>
    </row>
    <row r="7710" spans="1:10" x14ac:dyDescent="0.25">
      <c r="A7710" s="7" t="s">
        <v>15739</v>
      </c>
      <c r="B7710" s="8">
        <v>393.75</v>
      </c>
      <c r="C7710" s="8">
        <v>20.478950000000001</v>
      </c>
      <c r="D7710" s="8">
        <v>91</v>
      </c>
      <c r="E7710" s="8">
        <v>0</v>
      </c>
      <c r="F7710" s="8">
        <v>0</v>
      </c>
      <c r="G7710" s="8">
        <v>26</v>
      </c>
      <c r="H7710" s="8" t="s">
        <v>15740</v>
      </c>
      <c r="I7710" s="8">
        <v>526.6875</v>
      </c>
      <c r="J7710" s="3">
        <f t="shared" si="120"/>
        <v>43748.040651203701</v>
      </c>
    </row>
    <row r="7711" spans="1:10" x14ac:dyDescent="0.25">
      <c r="A7711" s="5" t="s">
        <v>15741</v>
      </c>
      <c r="B7711" s="6">
        <v>393.75</v>
      </c>
      <c r="C7711" s="6">
        <v>20.478950000000001</v>
      </c>
      <c r="D7711" s="6">
        <v>91</v>
      </c>
      <c r="E7711" s="6">
        <v>0</v>
      </c>
      <c r="F7711" s="6">
        <v>0</v>
      </c>
      <c r="G7711" s="6">
        <v>23</v>
      </c>
      <c r="H7711" s="6" t="s">
        <v>15742</v>
      </c>
      <c r="I7711" s="6">
        <v>526.6875</v>
      </c>
      <c r="J7711" s="2">
        <f t="shared" si="120"/>
        <v>43748.040722488418</v>
      </c>
    </row>
    <row r="7712" spans="1:10" x14ac:dyDescent="0.25">
      <c r="A7712" s="7" t="s">
        <v>15743</v>
      </c>
      <c r="B7712" s="8">
        <v>393.75</v>
      </c>
      <c r="C7712" s="8">
        <v>20.478950000000001</v>
      </c>
      <c r="D7712" s="8">
        <v>91</v>
      </c>
      <c r="E7712" s="8">
        <v>0</v>
      </c>
      <c r="F7712" s="8">
        <v>0</v>
      </c>
      <c r="G7712" s="8">
        <v>18</v>
      </c>
      <c r="H7712" s="8" t="s">
        <v>15744</v>
      </c>
      <c r="I7712" s="8">
        <v>526.6875</v>
      </c>
      <c r="J7712" s="3">
        <f t="shared" si="120"/>
        <v>43748.04080628472</v>
      </c>
    </row>
    <row r="7713" spans="1:10" x14ac:dyDescent="0.25">
      <c r="A7713" s="5" t="s">
        <v>15745</v>
      </c>
      <c r="B7713" s="6">
        <v>393.75</v>
      </c>
      <c r="C7713" s="6">
        <v>20.426300000000001</v>
      </c>
      <c r="D7713" s="6">
        <v>90</v>
      </c>
      <c r="E7713" s="6">
        <v>0</v>
      </c>
      <c r="F7713" s="6">
        <v>0</v>
      </c>
      <c r="G7713" s="6">
        <v>9</v>
      </c>
      <c r="H7713" s="6" t="s">
        <v>15746</v>
      </c>
      <c r="I7713" s="6">
        <v>526.6875</v>
      </c>
      <c r="J7713" s="2">
        <f t="shared" si="120"/>
        <v>43748.040878055552</v>
      </c>
    </row>
    <row r="7714" spans="1:10" x14ac:dyDescent="0.25">
      <c r="A7714" s="7" t="s">
        <v>15747</v>
      </c>
      <c r="B7714" s="8">
        <v>412.5</v>
      </c>
      <c r="C7714" s="8">
        <v>20.478950000000001</v>
      </c>
      <c r="D7714" s="8">
        <v>90</v>
      </c>
      <c r="E7714" s="8">
        <v>0</v>
      </c>
      <c r="F7714" s="8">
        <v>0</v>
      </c>
      <c r="G7714" s="8">
        <v>22</v>
      </c>
      <c r="H7714" s="8" t="s">
        <v>15748</v>
      </c>
      <c r="I7714" s="8">
        <v>532.6875</v>
      </c>
      <c r="J7714" s="3">
        <f t="shared" si="120"/>
        <v>43748.040949340277</v>
      </c>
    </row>
    <row r="7715" spans="1:10" x14ac:dyDescent="0.25">
      <c r="A7715" s="5" t="s">
        <v>15749</v>
      </c>
      <c r="B7715" s="6">
        <v>396.875</v>
      </c>
      <c r="C7715" s="6">
        <v>20.478950000000001</v>
      </c>
      <c r="D7715" s="6">
        <v>90</v>
      </c>
      <c r="E7715" s="6">
        <v>0</v>
      </c>
      <c r="F7715" s="6">
        <v>0</v>
      </c>
      <c r="G7715" s="6">
        <v>19</v>
      </c>
      <c r="H7715" s="6" t="s">
        <v>15750</v>
      </c>
      <c r="I7715" s="6">
        <v>527.4375</v>
      </c>
      <c r="J7715" s="2">
        <f t="shared" si="120"/>
        <v>43748.041020648147</v>
      </c>
    </row>
    <row r="7716" spans="1:10" x14ac:dyDescent="0.25">
      <c r="A7716" s="7" t="s">
        <v>15751</v>
      </c>
      <c r="B7716" s="8">
        <v>396.875</v>
      </c>
      <c r="C7716" s="8">
        <v>20.478950000000001</v>
      </c>
      <c r="D7716" s="8">
        <v>90</v>
      </c>
      <c r="E7716" s="8">
        <v>0</v>
      </c>
      <c r="F7716" s="8">
        <v>0</v>
      </c>
      <c r="G7716" s="8">
        <v>22</v>
      </c>
      <c r="H7716" s="8" t="s">
        <v>15752</v>
      </c>
      <c r="I7716" s="8">
        <v>527.4375</v>
      </c>
      <c r="J7716" s="3">
        <f t="shared" si="120"/>
        <v>43748.041092696752</v>
      </c>
    </row>
    <row r="7717" spans="1:10" x14ac:dyDescent="0.25">
      <c r="A7717" s="5" t="s">
        <v>15753</v>
      </c>
      <c r="B7717" s="6">
        <v>396.875</v>
      </c>
      <c r="C7717" s="6">
        <v>20.478950000000001</v>
      </c>
      <c r="D7717" s="6">
        <v>90</v>
      </c>
      <c r="E7717" s="6">
        <v>0</v>
      </c>
      <c r="F7717" s="6">
        <v>0</v>
      </c>
      <c r="G7717" s="6">
        <v>17</v>
      </c>
      <c r="H7717" s="6" t="s">
        <v>15754</v>
      </c>
      <c r="I7717" s="6">
        <v>527.4375</v>
      </c>
      <c r="J7717" s="2">
        <f t="shared" si="120"/>
        <v>43748.041164166665</v>
      </c>
    </row>
    <row r="7718" spans="1:10" x14ac:dyDescent="0.25">
      <c r="A7718" s="7" t="s">
        <v>15755</v>
      </c>
      <c r="B7718" s="8">
        <v>396.875</v>
      </c>
      <c r="C7718" s="8">
        <v>20.478950000000001</v>
      </c>
      <c r="D7718" s="8">
        <v>90</v>
      </c>
      <c r="E7718" s="8">
        <v>0</v>
      </c>
      <c r="F7718" s="8">
        <v>0</v>
      </c>
      <c r="G7718" s="8">
        <v>23</v>
      </c>
      <c r="H7718" s="8" t="s">
        <v>15756</v>
      </c>
      <c r="I7718" s="8">
        <v>527.4375</v>
      </c>
      <c r="J7718" s="3">
        <f t="shared" si="120"/>
        <v>43748.041251516202</v>
      </c>
    </row>
    <row r="7719" spans="1:10" x14ac:dyDescent="0.25">
      <c r="A7719" s="5" t="s">
        <v>15757</v>
      </c>
      <c r="B7719" s="6">
        <v>393.75</v>
      </c>
      <c r="C7719" s="6">
        <v>20.478950000000001</v>
      </c>
      <c r="D7719" s="6">
        <v>91</v>
      </c>
      <c r="E7719" s="6">
        <v>0</v>
      </c>
      <c r="F7719" s="6">
        <v>0</v>
      </c>
      <c r="G7719" s="6">
        <v>9</v>
      </c>
      <c r="H7719" s="6" t="s">
        <v>15758</v>
      </c>
      <c r="I7719" s="6">
        <v>526.6875</v>
      </c>
      <c r="J7719" s="2">
        <f t="shared" si="120"/>
        <v>43748.04133083333</v>
      </c>
    </row>
    <row r="7720" spans="1:10" x14ac:dyDescent="0.25">
      <c r="A7720" s="7" t="s">
        <v>15759</v>
      </c>
      <c r="B7720" s="8">
        <v>393.75</v>
      </c>
      <c r="C7720" s="8">
        <v>20.478950000000001</v>
      </c>
      <c r="D7720" s="8">
        <v>90</v>
      </c>
      <c r="E7720" s="8">
        <v>0</v>
      </c>
      <c r="F7720" s="8">
        <v>0</v>
      </c>
      <c r="G7720" s="8">
        <v>25</v>
      </c>
      <c r="H7720" s="8" t="s">
        <v>15760</v>
      </c>
      <c r="I7720" s="8">
        <v>526.6875</v>
      </c>
      <c r="J7720" s="3">
        <f t="shared" si="120"/>
        <v>43748.041402129624</v>
      </c>
    </row>
    <row r="7721" spans="1:10" x14ac:dyDescent="0.25">
      <c r="A7721" s="5" t="s">
        <v>15761</v>
      </c>
      <c r="B7721" s="6">
        <v>415.625</v>
      </c>
      <c r="C7721" s="6">
        <v>20.478950000000001</v>
      </c>
      <c r="D7721" s="6">
        <v>90</v>
      </c>
      <c r="E7721" s="6">
        <v>0</v>
      </c>
      <c r="F7721" s="6">
        <v>0</v>
      </c>
      <c r="G7721" s="6">
        <v>27</v>
      </c>
      <c r="H7721" s="6" t="s">
        <v>15762</v>
      </c>
      <c r="I7721" s="6">
        <v>533.0625</v>
      </c>
      <c r="J7721" s="2">
        <f t="shared" si="120"/>
        <v>43748.041474351849</v>
      </c>
    </row>
    <row r="7722" spans="1:10" x14ac:dyDescent="0.25">
      <c r="A7722" s="7" t="s">
        <v>15763</v>
      </c>
      <c r="B7722" s="8">
        <v>393.75</v>
      </c>
      <c r="C7722" s="8">
        <v>20.478950000000001</v>
      </c>
      <c r="D7722" s="8">
        <v>87</v>
      </c>
      <c r="E7722" s="8">
        <v>0</v>
      </c>
      <c r="F7722" s="8">
        <v>0</v>
      </c>
      <c r="G7722" s="8">
        <v>21</v>
      </c>
      <c r="H7722" s="8" t="s">
        <v>15764</v>
      </c>
      <c r="I7722" s="8">
        <v>526.6875</v>
      </c>
      <c r="J7722" s="3">
        <f t="shared" si="120"/>
        <v>43748.041545659718</v>
      </c>
    </row>
    <row r="7723" spans="1:10" x14ac:dyDescent="0.25">
      <c r="A7723" s="5" t="s">
        <v>15765</v>
      </c>
      <c r="B7723" s="6">
        <v>393.75</v>
      </c>
      <c r="C7723" s="6">
        <v>20.478950000000001</v>
      </c>
      <c r="D7723" s="6">
        <v>87</v>
      </c>
      <c r="E7723" s="6">
        <v>0</v>
      </c>
      <c r="F7723" s="6">
        <v>0</v>
      </c>
      <c r="G7723" s="6">
        <v>19</v>
      </c>
      <c r="H7723" s="6" t="s">
        <v>15766</v>
      </c>
      <c r="I7723" s="6">
        <v>526.6875</v>
      </c>
      <c r="J7723" s="2">
        <f t="shared" si="120"/>
        <v>43748.041616932867</v>
      </c>
    </row>
    <row r="7724" spans="1:10" x14ac:dyDescent="0.25">
      <c r="A7724" s="7" t="s">
        <v>15767</v>
      </c>
      <c r="B7724" s="8">
        <v>393.75</v>
      </c>
      <c r="C7724" s="8">
        <v>20.478950000000001</v>
      </c>
      <c r="D7724" s="8">
        <v>87</v>
      </c>
      <c r="E7724" s="8">
        <v>0</v>
      </c>
      <c r="F7724" s="8">
        <v>0</v>
      </c>
      <c r="G7724" s="8">
        <v>25</v>
      </c>
      <c r="H7724" s="8" t="s">
        <v>15768</v>
      </c>
      <c r="I7724" s="8">
        <v>526.5</v>
      </c>
      <c r="J7724" s="3">
        <f t="shared" si="120"/>
        <v>43748.04168829861</v>
      </c>
    </row>
    <row r="7725" spans="1:10" x14ac:dyDescent="0.25">
      <c r="A7725" s="5" t="s">
        <v>15769</v>
      </c>
      <c r="B7725" s="6">
        <v>393.75</v>
      </c>
      <c r="C7725" s="6">
        <v>20.478950000000001</v>
      </c>
      <c r="D7725" s="6">
        <v>87</v>
      </c>
      <c r="E7725" s="6">
        <v>0</v>
      </c>
      <c r="F7725" s="6">
        <v>0</v>
      </c>
      <c r="G7725" s="6">
        <v>20</v>
      </c>
      <c r="H7725" s="6" t="s">
        <v>15770</v>
      </c>
      <c r="I7725" s="6">
        <v>526.5</v>
      </c>
      <c r="J7725" s="2">
        <f t="shared" si="120"/>
        <v>43748.041760462962</v>
      </c>
    </row>
    <row r="7726" spans="1:10" x14ac:dyDescent="0.25">
      <c r="A7726" s="7" t="s">
        <v>15771</v>
      </c>
      <c r="B7726" s="8">
        <v>393.75</v>
      </c>
      <c r="C7726" s="8">
        <v>20.478950000000001</v>
      </c>
      <c r="D7726" s="8">
        <v>88</v>
      </c>
      <c r="E7726" s="8">
        <v>0</v>
      </c>
      <c r="F7726" s="8">
        <v>0</v>
      </c>
      <c r="G7726" s="8">
        <v>26</v>
      </c>
      <c r="H7726" s="8" t="s">
        <v>15772</v>
      </c>
      <c r="I7726" s="8">
        <v>526.6875</v>
      </c>
      <c r="J7726" s="3">
        <f t="shared" si="120"/>
        <v>43748.041831759256</v>
      </c>
    </row>
    <row r="7727" spans="1:10" x14ac:dyDescent="0.25">
      <c r="A7727" s="5" t="s">
        <v>15773</v>
      </c>
      <c r="B7727" s="6">
        <v>393.75</v>
      </c>
      <c r="C7727" s="6">
        <v>20.478950000000001</v>
      </c>
      <c r="D7727" s="6">
        <v>87</v>
      </c>
      <c r="E7727" s="6">
        <v>0</v>
      </c>
      <c r="F7727" s="6">
        <v>0</v>
      </c>
      <c r="G7727" s="6">
        <v>21</v>
      </c>
      <c r="H7727" s="6" t="s">
        <v>15774</v>
      </c>
      <c r="I7727" s="6">
        <v>526.6875</v>
      </c>
      <c r="J7727" s="2">
        <f t="shared" si="120"/>
        <v>43748.041903067126</v>
      </c>
    </row>
    <row r="7728" spans="1:10" x14ac:dyDescent="0.25">
      <c r="A7728" s="7" t="s">
        <v>15775</v>
      </c>
      <c r="B7728" s="8">
        <v>393.75</v>
      </c>
      <c r="C7728" s="8">
        <v>20.478950000000001</v>
      </c>
      <c r="D7728" s="8">
        <v>87</v>
      </c>
      <c r="E7728" s="8">
        <v>0</v>
      </c>
      <c r="F7728" s="8">
        <v>0</v>
      </c>
      <c r="G7728" s="8">
        <v>23</v>
      </c>
      <c r="H7728" s="8" t="s">
        <v>15776</v>
      </c>
      <c r="I7728" s="8">
        <v>526.6875</v>
      </c>
      <c r="J7728" s="3">
        <f t="shared" si="120"/>
        <v>43748.041974409723</v>
      </c>
    </row>
    <row r="7729" spans="1:10" x14ac:dyDescent="0.25">
      <c r="A7729" s="5" t="s">
        <v>15777</v>
      </c>
      <c r="B7729" s="6">
        <v>393.75</v>
      </c>
      <c r="C7729" s="6">
        <v>20.478950000000001</v>
      </c>
      <c r="D7729" s="6">
        <v>88</v>
      </c>
      <c r="E7729" s="6">
        <v>0</v>
      </c>
      <c r="F7729" s="6">
        <v>0</v>
      </c>
      <c r="G7729" s="6">
        <v>23</v>
      </c>
      <c r="H7729" s="6" t="s">
        <v>15778</v>
      </c>
      <c r="I7729" s="6">
        <v>526.6875</v>
      </c>
      <c r="J7729" s="2">
        <f t="shared" si="120"/>
        <v>43748.042046516202</v>
      </c>
    </row>
    <row r="7730" spans="1:10" x14ac:dyDescent="0.25">
      <c r="A7730" s="7" t="s">
        <v>15779</v>
      </c>
      <c r="B7730" s="8">
        <v>393.75</v>
      </c>
      <c r="C7730" s="8">
        <v>20.478950000000001</v>
      </c>
      <c r="D7730" s="8">
        <v>88</v>
      </c>
      <c r="E7730" s="8">
        <v>0</v>
      </c>
      <c r="F7730" s="8">
        <v>0</v>
      </c>
      <c r="G7730" s="8">
        <v>19</v>
      </c>
      <c r="H7730" s="8" t="s">
        <v>15780</v>
      </c>
      <c r="I7730" s="8">
        <v>526.6875</v>
      </c>
      <c r="J7730" s="3">
        <f t="shared" si="120"/>
        <v>43748.042118634257</v>
      </c>
    </row>
    <row r="7731" spans="1:10" x14ac:dyDescent="0.25">
      <c r="A7731" s="5" t="s">
        <v>15781</v>
      </c>
      <c r="B7731" s="6">
        <v>393.75</v>
      </c>
      <c r="C7731" s="6">
        <v>20.478950000000001</v>
      </c>
      <c r="D7731" s="6">
        <v>90</v>
      </c>
      <c r="E7731" s="6">
        <v>0</v>
      </c>
      <c r="F7731" s="6">
        <v>0</v>
      </c>
      <c r="G7731" s="6">
        <v>25</v>
      </c>
      <c r="H7731" s="6" t="s">
        <v>15782</v>
      </c>
      <c r="I7731" s="6">
        <v>526.6875</v>
      </c>
      <c r="J7731" s="2">
        <f t="shared" si="120"/>
        <v>43748.042201192126</v>
      </c>
    </row>
    <row r="7732" spans="1:10" x14ac:dyDescent="0.25">
      <c r="A7732" s="7" t="s">
        <v>15783</v>
      </c>
      <c r="B7732" s="8">
        <v>393.75</v>
      </c>
      <c r="C7732" s="8">
        <v>20.478950000000001</v>
      </c>
      <c r="D7732" s="8">
        <v>90</v>
      </c>
      <c r="E7732" s="8">
        <v>0</v>
      </c>
      <c r="F7732" s="8">
        <v>0</v>
      </c>
      <c r="G7732" s="8">
        <v>20</v>
      </c>
      <c r="H7732" s="8" t="s">
        <v>15784</v>
      </c>
      <c r="I7732" s="8">
        <v>526.5</v>
      </c>
      <c r="J7732" s="3">
        <f t="shared" si="120"/>
        <v>43748.042272500003</v>
      </c>
    </row>
    <row r="7733" spans="1:10" x14ac:dyDescent="0.25">
      <c r="A7733" s="5" t="s">
        <v>15785</v>
      </c>
      <c r="B7733" s="6">
        <v>425</v>
      </c>
      <c r="C7733" s="6">
        <v>20.478950000000001</v>
      </c>
      <c r="D7733" s="6">
        <v>88</v>
      </c>
      <c r="E7733" s="6">
        <v>0</v>
      </c>
      <c r="F7733" s="6">
        <v>0</v>
      </c>
      <c r="G7733" s="6">
        <v>21</v>
      </c>
      <c r="H7733" s="6" t="s">
        <v>15786</v>
      </c>
      <c r="I7733" s="6">
        <v>536.4375</v>
      </c>
      <c r="J7733" s="2">
        <f t="shared" si="120"/>
        <v>43748.042344664347</v>
      </c>
    </row>
    <row r="7734" spans="1:10" x14ac:dyDescent="0.25">
      <c r="A7734" s="7" t="s">
        <v>15787</v>
      </c>
      <c r="B7734" s="8">
        <v>393.75</v>
      </c>
      <c r="C7734" s="8">
        <v>20.478950000000001</v>
      </c>
      <c r="D7734" s="8">
        <v>88</v>
      </c>
      <c r="E7734" s="8">
        <v>0</v>
      </c>
      <c r="F7734" s="8">
        <v>0</v>
      </c>
      <c r="G7734" s="8">
        <v>18</v>
      </c>
      <c r="H7734" s="8" t="s">
        <v>15788</v>
      </c>
      <c r="I7734" s="8">
        <v>526.6875</v>
      </c>
      <c r="J7734" s="3">
        <f t="shared" si="120"/>
        <v>43748.042428009256</v>
      </c>
    </row>
    <row r="7735" spans="1:10" x14ac:dyDescent="0.25">
      <c r="A7735" s="5" t="s">
        <v>15789</v>
      </c>
      <c r="B7735" s="6">
        <v>393.75</v>
      </c>
      <c r="C7735" s="6">
        <v>20.478950000000001</v>
      </c>
      <c r="D7735" s="6">
        <v>88</v>
      </c>
      <c r="E7735" s="6">
        <v>0</v>
      </c>
      <c r="F7735" s="6">
        <v>0</v>
      </c>
      <c r="G7735" s="6">
        <v>21</v>
      </c>
      <c r="H7735" s="6" t="s">
        <v>15790</v>
      </c>
      <c r="I7735" s="6">
        <v>526.6875</v>
      </c>
      <c r="J7735" s="2">
        <f t="shared" si="120"/>
        <v>43748.042499537034</v>
      </c>
    </row>
    <row r="7736" spans="1:10" x14ac:dyDescent="0.25">
      <c r="A7736" s="7" t="s">
        <v>15791</v>
      </c>
      <c r="B7736" s="8">
        <v>393.75</v>
      </c>
      <c r="C7736" s="8">
        <v>20.478950000000001</v>
      </c>
      <c r="D7736" s="8">
        <v>88</v>
      </c>
      <c r="E7736" s="8">
        <v>0</v>
      </c>
      <c r="F7736" s="8">
        <v>0</v>
      </c>
      <c r="G7736" s="8">
        <v>20</v>
      </c>
      <c r="H7736" s="8" t="s">
        <v>15792</v>
      </c>
      <c r="I7736" s="8">
        <v>526.5</v>
      </c>
      <c r="J7736" s="3">
        <f t="shared" si="120"/>
        <v>43748.042570752317</v>
      </c>
    </row>
    <row r="7737" spans="1:10" x14ac:dyDescent="0.25">
      <c r="A7737" s="5" t="s">
        <v>15793</v>
      </c>
      <c r="B7737" s="6">
        <v>396.875</v>
      </c>
      <c r="C7737" s="6">
        <v>20.478950000000001</v>
      </c>
      <c r="D7737" s="6">
        <v>88</v>
      </c>
      <c r="E7737" s="6">
        <v>0</v>
      </c>
      <c r="F7737" s="6">
        <v>0</v>
      </c>
      <c r="G7737" s="6">
        <v>18</v>
      </c>
      <c r="H7737" s="6" t="s">
        <v>15794</v>
      </c>
      <c r="I7737" s="6">
        <v>527.4375</v>
      </c>
      <c r="J7737" s="2">
        <f t="shared" si="120"/>
        <v>43748.042662673608</v>
      </c>
    </row>
    <row r="7738" spans="1:10" x14ac:dyDescent="0.25">
      <c r="A7738" s="7" t="s">
        <v>15795</v>
      </c>
      <c r="B7738" s="8">
        <v>393.75</v>
      </c>
      <c r="C7738" s="8">
        <v>20.478950000000001</v>
      </c>
      <c r="D7738" s="8">
        <v>88</v>
      </c>
      <c r="E7738" s="8">
        <v>0</v>
      </c>
      <c r="F7738" s="8">
        <v>0</v>
      </c>
      <c r="G7738" s="8">
        <v>25</v>
      </c>
      <c r="H7738" s="8" t="s">
        <v>15796</v>
      </c>
      <c r="I7738" s="8">
        <v>526.6875</v>
      </c>
      <c r="J7738" s="3">
        <f t="shared" si="120"/>
        <v>43748.042738252312</v>
      </c>
    </row>
    <row r="7739" spans="1:10" x14ac:dyDescent="0.25">
      <c r="A7739" s="5" t="s">
        <v>15797</v>
      </c>
      <c r="B7739" s="6">
        <v>421.875</v>
      </c>
      <c r="C7739" s="6">
        <v>20.426300000000001</v>
      </c>
      <c r="D7739" s="6">
        <v>88</v>
      </c>
      <c r="E7739" s="6">
        <v>0</v>
      </c>
      <c r="F7739" s="6">
        <v>0</v>
      </c>
      <c r="G7739" s="6">
        <v>27</v>
      </c>
      <c r="H7739" s="6" t="s">
        <v>15798</v>
      </c>
      <c r="I7739" s="6">
        <v>535.5</v>
      </c>
      <c r="J7739" s="2">
        <f t="shared" si="120"/>
        <v>43748.04281879629</v>
      </c>
    </row>
    <row r="7740" spans="1:10" x14ac:dyDescent="0.25">
      <c r="A7740" s="7" t="s">
        <v>15799</v>
      </c>
      <c r="B7740" s="8">
        <v>396.875</v>
      </c>
      <c r="C7740" s="8">
        <v>20.478950000000001</v>
      </c>
      <c r="D7740" s="8">
        <v>88</v>
      </c>
      <c r="E7740" s="8">
        <v>0</v>
      </c>
      <c r="F7740" s="8">
        <v>0</v>
      </c>
      <c r="G7740" s="8">
        <v>18</v>
      </c>
      <c r="H7740" s="8" t="s">
        <v>15800</v>
      </c>
      <c r="I7740" s="8">
        <v>527.4375</v>
      </c>
      <c r="J7740" s="3">
        <f t="shared" si="120"/>
        <v>43748.042904918977</v>
      </c>
    </row>
    <row r="7741" spans="1:10" x14ac:dyDescent="0.25">
      <c r="A7741" s="5" t="s">
        <v>15801</v>
      </c>
      <c r="B7741" s="6">
        <v>396.875</v>
      </c>
      <c r="C7741" s="6">
        <v>20.478950000000001</v>
      </c>
      <c r="D7741" s="6">
        <v>88</v>
      </c>
      <c r="E7741" s="6">
        <v>0</v>
      </c>
      <c r="F7741" s="6">
        <v>0</v>
      </c>
      <c r="G7741" s="6">
        <v>27</v>
      </c>
      <c r="H7741" s="6" t="s">
        <v>15802</v>
      </c>
      <c r="I7741" s="6">
        <v>527.4375</v>
      </c>
      <c r="J7741" s="2">
        <f t="shared" si="120"/>
        <v>43748.042976261575</v>
      </c>
    </row>
    <row r="7742" spans="1:10" x14ac:dyDescent="0.25">
      <c r="A7742" s="7" t="s">
        <v>15803</v>
      </c>
      <c r="B7742" s="8">
        <v>396.875</v>
      </c>
      <c r="C7742" s="8">
        <v>20.478950000000001</v>
      </c>
      <c r="D7742" s="8">
        <v>89</v>
      </c>
      <c r="E7742" s="8">
        <v>0</v>
      </c>
      <c r="F7742" s="8">
        <v>0</v>
      </c>
      <c r="G7742" s="8">
        <v>19</v>
      </c>
      <c r="H7742" s="8" t="s">
        <v>15804</v>
      </c>
      <c r="I7742" s="8">
        <v>527.4375</v>
      </c>
      <c r="J7742" s="3">
        <f t="shared" si="120"/>
        <v>43748.043047488427</v>
      </c>
    </row>
    <row r="7743" spans="1:10" x14ac:dyDescent="0.25">
      <c r="A7743" s="5" t="s">
        <v>15805</v>
      </c>
      <c r="B7743" s="6">
        <v>396.875</v>
      </c>
      <c r="C7743" s="6">
        <v>20.478950000000001</v>
      </c>
      <c r="D7743" s="6">
        <v>89</v>
      </c>
      <c r="E7743" s="6">
        <v>0</v>
      </c>
      <c r="F7743" s="6">
        <v>0</v>
      </c>
      <c r="G7743" s="6">
        <v>16</v>
      </c>
      <c r="H7743" s="6" t="s">
        <v>15806</v>
      </c>
      <c r="I7743" s="6">
        <v>527.4375</v>
      </c>
      <c r="J7743" s="2">
        <f t="shared" si="120"/>
        <v>43748.043122164345</v>
      </c>
    </row>
    <row r="7744" spans="1:10" x14ac:dyDescent="0.25">
      <c r="A7744" s="7" t="s">
        <v>15807</v>
      </c>
      <c r="B7744" s="8">
        <v>396.875</v>
      </c>
      <c r="C7744" s="8">
        <v>20.478950000000001</v>
      </c>
      <c r="D7744" s="8">
        <v>90</v>
      </c>
      <c r="E7744" s="8">
        <v>0</v>
      </c>
      <c r="F7744" s="8">
        <v>0</v>
      </c>
      <c r="G7744" s="8">
        <v>24</v>
      </c>
      <c r="H7744" s="8" t="s">
        <v>15808</v>
      </c>
      <c r="I7744" s="8">
        <v>527.4375</v>
      </c>
      <c r="J7744" s="3">
        <f t="shared" si="120"/>
        <v>43748.043203043977</v>
      </c>
    </row>
    <row r="7745" spans="1:10" x14ac:dyDescent="0.25">
      <c r="A7745" s="5" t="s">
        <v>15809</v>
      </c>
      <c r="B7745" s="6">
        <v>400</v>
      </c>
      <c r="C7745" s="6">
        <v>20.478950000000001</v>
      </c>
      <c r="D7745" s="6">
        <v>90</v>
      </c>
      <c r="E7745" s="6">
        <v>0</v>
      </c>
      <c r="F7745" s="6">
        <v>0</v>
      </c>
      <c r="G7745" s="6">
        <v>23</v>
      </c>
      <c r="H7745" s="6" t="s">
        <v>15810</v>
      </c>
      <c r="I7745" s="6">
        <v>528.375</v>
      </c>
      <c r="J7745" s="2">
        <f t="shared" si="120"/>
        <v>43748.04328641203</v>
      </c>
    </row>
    <row r="7746" spans="1:10" x14ac:dyDescent="0.25">
      <c r="A7746" s="7" t="s">
        <v>15811</v>
      </c>
      <c r="B7746" s="8">
        <v>400</v>
      </c>
      <c r="C7746" s="8">
        <v>20.426300000000001</v>
      </c>
      <c r="D7746" s="8">
        <v>89</v>
      </c>
      <c r="E7746" s="8">
        <v>0</v>
      </c>
      <c r="F7746" s="8">
        <v>0</v>
      </c>
      <c r="G7746" s="8">
        <v>13</v>
      </c>
      <c r="H7746" s="8" t="s">
        <v>15812</v>
      </c>
      <c r="I7746" s="8">
        <v>528.1875</v>
      </c>
      <c r="J7746" s="3">
        <f t="shared" ref="J7746:J7809" si="121">(H7746/86400000)+25569+(7/24)</f>
        <v>43748.043361446755</v>
      </c>
    </row>
    <row r="7747" spans="1:10" x14ac:dyDescent="0.25">
      <c r="A7747" s="5" t="s">
        <v>15813</v>
      </c>
      <c r="B7747" s="6">
        <v>403.125</v>
      </c>
      <c r="C7747" s="6">
        <v>20.478950000000001</v>
      </c>
      <c r="D7747" s="6">
        <v>89</v>
      </c>
      <c r="E7747" s="6">
        <v>0</v>
      </c>
      <c r="F7747" s="6">
        <v>0</v>
      </c>
      <c r="G7747" s="6">
        <v>21</v>
      </c>
      <c r="H7747" s="6" t="s">
        <v>15814</v>
      </c>
      <c r="I7747" s="6">
        <v>529.125</v>
      </c>
      <c r="J7747" s="2">
        <f t="shared" si="121"/>
        <v>43748.043441006943</v>
      </c>
    </row>
    <row r="7748" spans="1:10" x14ac:dyDescent="0.25">
      <c r="A7748" s="7" t="s">
        <v>15815</v>
      </c>
      <c r="B7748" s="8">
        <v>409.375</v>
      </c>
      <c r="C7748" s="8">
        <v>20.478950000000001</v>
      </c>
      <c r="D7748" s="8">
        <v>88</v>
      </c>
      <c r="E7748" s="8">
        <v>0</v>
      </c>
      <c r="F7748" s="8">
        <v>0</v>
      </c>
      <c r="G7748" s="8">
        <v>21</v>
      </c>
      <c r="H7748" s="8" t="s">
        <v>15816</v>
      </c>
      <c r="I7748" s="8">
        <v>531.9375</v>
      </c>
      <c r="J7748" s="3">
        <f t="shared" si="121"/>
        <v>43748.043513240737</v>
      </c>
    </row>
    <row r="7749" spans="1:10" x14ac:dyDescent="0.25">
      <c r="A7749" s="5" t="s">
        <v>15817</v>
      </c>
      <c r="B7749" s="6">
        <v>400</v>
      </c>
      <c r="C7749" s="6">
        <v>20.478950000000001</v>
      </c>
      <c r="D7749" s="6">
        <v>88</v>
      </c>
      <c r="E7749" s="6">
        <v>0</v>
      </c>
      <c r="F7749" s="6">
        <v>0</v>
      </c>
      <c r="G7749" s="6">
        <v>21</v>
      </c>
      <c r="H7749" s="6" t="s">
        <v>15818</v>
      </c>
      <c r="I7749" s="6">
        <v>528.1875</v>
      </c>
      <c r="J7749" s="2">
        <f t="shared" si="121"/>
        <v>43748.043603900463</v>
      </c>
    </row>
    <row r="7750" spans="1:10" x14ac:dyDescent="0.25">
      <c r="A7750" s="7" t="s">
        <v>15819</v>
      </c>
      <c r="B7750" s="8">
        <v>400</v>
      </c>
      <c r="C7750" s="8">
        <v>20.478950000000001</v>
      </c>
      <c r="D7750" s="8">
        <v>88</v>
      </c>
      <c r="E7750" s="8">
        <v>0</v>
      </c>
      <c r="F7750" s="8">
        <v>0</v>
      </c>
      <c r="G7750" s="8">
        <v>21</v>
      </c>
      <c r="H7750" s="8" t="s">
        <v>15820</v>
      </c>
      <c r="I7750" s="8">
        <v>528.1875</v>
      </c>
      <c r="J7750" s="3">
        <f t="shared" si="121"/>
        <v>43748.043679918977</v>
      </c>
    </row>
    <row r="7751" spans="1:10" x14ac:dyDescent="0.25">
      <c r="A7751" s="5" t="s">
        <v>15821</v>
      </c>
      <c r="B7751" s="6">
        <v>400</v>
      </c>
      <c r="C7751" s="6">
        <v>20.478950000000001</v>
      </c>
      <c r="D7751" s="6">
        <v>88</v>
      </c>
      <c r="E7751" s="6">
        <v>0</v>
      </c>
      <c r="F7751" s="6">
        <v>0</v>
      </c>
      <c r="G7751" s="6">
        <v>20</v>
      </c>
      <c r="H7751" s="6" t="s">
        <v>15822</v>
      </c>
      <c r="I7751" s="6">
        <v>528.375</v>
      </c>
      <c r="J7751" s="2">
        <f t="shared" si="121"/>
        <v>43748.043763240734</v>
      </c>
    </row>
    <row r="7752" spans="1:10" x14ac:dyDescent="0.25">
      <c r="A7752" s="7" t="s">
        <v>15823</v>
      </c>
      <c r="B7752" s="8">
        <v>400</v>
      </c>
      <c r="C7752" s="8">
        <v>20.478950000000001</v>
      </c>
      <c r="D7752" s="8">
        <v>86</v>
      </c>
      <c r="E7752" s="8">
        <v>0</v>
      </c>
      <c r="F7752" s="8">
        <v>0</v>
      </c>
      <c r="G7752" s="8">
        <v>18</v>
      </c>
      <c r="H7752" s="8" t="s">
        <v>15824</v>
      </c>
      <c r="I7752" s="8">
        <v>528.1875</v>
      </c>
      <c r="J7752" s="3">
        <f t="shared" si="121"/>
        <v>43748.043834490738</v>
      </c>
    </row>
    <row r="7753" spans="1:10" x14ac:dyDescent="0.25">
      <c r="A7753" s="5" t="s">
        <v>15825</v>
      </c>
      <c r="B7753" s="6">
        <v>400</v>
      </c>
      <c r="C7753" s="6">
        <v>20.478950000000001</v>
      </c>
      <c r="D7753" s="6">
        <v>88</v>
      </c>
      <c r="E7753" s="6">
        <v>0</v>
      </c>
      <c r="F7753" s="6">
        <v>0</v>
      </c>
      <c r="G7753" s="6">
        <v>27</v>
      </c>
      <c r="H7753" s="6" t="s">
        <v>15826</v>
      </c>
      <c r="I7753" s="6">
        <v>528.1875</v>
      </c>
      <c r="J7753" s="2">
        <f t="shared" si="121"/>
        <v>43748.043906597224</v>
      </c>
    </row>
    <row r="7754" spans="1:10" x14ac:dyDescent="0.25">
      <c r="A7754" s="7" t="s">
        <v>15827</v>
      </c>
      <c r="B7754" s="8">
        <v>396.875</v>
      </c>
      <c r="C7754" s="8">
        <v>20.478950000000001</v>
      </c>
      <c r="D7754" s="8">
        <v>88</v>
      </c>
      <c r="E7754" s="8">
        <v>0</v>
      </c>
      <c r="F7754" s="8">
        <v>0</v>
      </c>
      <c r="G7754" s="8">
        <v>23</v>
      </c>
      <c r="H7754" s="8" t="s">
        <v>15828</v>
      </c>
      <c r="I7754" s="8">
        <v>527.4375</v>
      </c>
      <c r="J7754" s="3">
        <f t="shared" si="121"/>
        <v>43748.043977141198</v>
      </c>
    </row>
    <row r="7755" spans="1:10" x14ac:dyDescent="0.25">
      <c r="A7755" s="5" t="s">
        <v>15829</v>
      </c>
      <c r="B7755" s="6">
        <v>396.875</v>
      </c>
      <c r="C7755" s="6">
        <v>20.478950000000001</v>
      </c>
      <c r="D7755" s="6">
        <v>90</v>
      </c>
      <c r="E7755" s="6">
        <v>0</v>
      </c>
      <c r="F7755" s="6">
        <v>0</v>
      </c>
      <c r="G7755" s="6">
        <v>26</v>
      </c>
      <c r="H7755" s="6" t="s">
        <v>15830</v>
      </c>
      <c r="I7755" s="6">
        <v>527.4375</v>
      </c>
      <c r="J7755" s="2">
        <f t="shared" si="121"/>
        <v>43748.044049398144</v>
      </c>
    </row>
    <row r="7756" spans="1:10" x14ac:dyDescent="0.25">
      <c r="A7756" s="7" t="s">
        <v>15831</v>
      </c>
      <c r="B7756" s="8">
        <v>396.875</v>
      </c>
      <c r="C7756" s="8">
        <v>20.478950000000001</v>
      </c>
      <c r="D7756" s="8">
        <v>91</v>
      </c>
      <c r="E7756" s="8">
        <v>0</v>
      </c>
      <c r="F7756" s="8">
        <v>0</v>
      </c>
      <c r="G7756" s="8">
        <v>24</v>
      </c>
      <c r="H7756" s="8" t="s">
        <v>15832</v>
      </c>
      <c r="I7756" s="8">
        <v>527.4375</v>
      </c>
      <c r="J7756" s="3">
        <f t="shared" si="121"/>
        <v>43748.044128009256</v>
      </c>
    </row>
    <row r="7757" spans="1:10" x14ac:dyDescent="0.25">
      <c r="A7757" s="5" t="s">
        <v>15833</v>
      </c>
      <c r="B7757" s="6">
        <v>396.875</v>
      </c>
      <c r="C7757" s="6">
        <v>20.478950000000001</v>
      </c>
      <c r="D7757" s="6">
        <v>91</v>
      </c>
      <c r="E7757" s="6">
        <v>0</v>
      </c>
      <c r="F7757" s="6">
        <v>0</v>
      </c>
      <c r="G7757" s="6">
        <v>19</v>
      </c>
      <c r="H7757" s="6" t="s">
        <v>15834</v>
      </c>
      <c r="I7757" s="6">
        <v>527.4375</v>
      </c>
      <c r="J7757" s="2">
        <f t="shared" si="121"/>
        <v>43748.044204027778</v>
      </c>
    </row>
    <row r="7758" spans="1:10" x14ac:dyDescent="0.25">
      <c r="A7758" s="7" t="s">
        <v>15835</v>
      </c>
      <c r="B7758" s="8">
        <v>396.875</v>
      </c>
      <c r="C7758" s="8">
        <v>20.478950000000001</v>
      </c>
      <c r="D7758" s="8">
        <v>91</v>
      </c>
      <c r="E7758" s="8">
        <v>0</v>
      </c>
      <c r="F7758" s="8">
        <v>0</v>
      </c>
      <c r="G7758" s="8">
        <v>26</v>
      </c>
      <c r="H7758" s="8" t="s">
        <v>15836</v>
      </c>
      <c r="I7758" s="8">
        <v>527.4375</v>
      </c>
      <c r="J7758" s="3">
        <f t="shared" si="121"/>
        <v>43748.044275219909</v>
      </c>
    </row>
    <row r="7759" spans="1:10" x14ac:dyDescent="0.25">
      <c r="A7759" s="5" t="s">
        <v>15837</v>
      </c>
      <c r="B7759" s="6">
        <v>400</v>
      </c>
      <c r="C7759" s="6">
        <v>20.478950000000001</v>
      </c>
      <c r="D7759" s="6">
        <v>90</v>
      </c>
      <c r="E7759" s="6">
        <v>0</v>
      </c>
      <c r="F7759" s="6">
        <v>0</v>
      </c>
      <c r="G7759" s="6">
        <v>16</v>
      </c>
      <c r="H7759" s="6" t="s">
        <v>15838</v>
      </c>
      <c r="I7759" s="6">
        <v>528.1875</v>
      </c>
      <c r="J7759" s="2">
        <f t="shared" si="121"/>
        <v>43748.044347488423</v>
      </c>
    </row>
    <row r="7760" spans="1:10" x14ac:dyDescent="0.25">
      <c r="A7760" s="7" t="s">
        <v>15839</v>
      </c>
      <c r="B7760" s="8">
        <v>400</v>
      </c>
      <c r="C7760" s="8">
        <v>20.478950000000001</v>
      </c>
      <c r="D7760" s="8">
        <v>90</v>
      </c>
      <c r="E7760" s="8">
        <v>0</v>
      </c>
      <c r="F7760" s="8">
        <v>0</v>
      </c>
      <c r="G7760" s="8">
        <v>20</v>
      </c>
      <c r="H7760" s="8" t="s">
        <v>15840</v>
      </c>
      <c r="I7760" s="8">
        <v>528.375</v>
      </c>
      <c r="J7760" s="3">
        <f t="shared" si="121"/>
        <v>43748.044418807869</v>
      </c>
    </row>
    <row r="7761" spans="1:10" x14ac:dyDescent="0.25">
      <c r="A7761" s="5" t="s">
        <v>15841</v>
      </c>
      <c r="B7761" s="6">
        <v>400</v>
      </c>
      <c r="C7761" s="6">
        <v>20.478950000000001</v>
      </c>
      <c r="D7761" s="6">
        <v>91</v>
      </c>
      <c r="E7761" s="6">
        <v>0</v>
      </c>
      <c r="F7761" s="6">
        <v>0</v>
      </c>
      <c r="G7761" s="6">
        <v>19</v>
      </c>
      <c r="H7761" s="6" t="s">
        <v>15842</v>
      </c>
      <c r="I7761" s="6">
        <v>528.1875</v>
      </c>
      <c r="J7761" s="2">
        <f t="shared" si="121"/>
        <v>43748.044490219901</v>
      </c>
    </row>
    <row r="7762" spans="1:10" x14ac:dyDescent="0.25">
      <c r="A7762" s="7" t="s">
        <v>15843</v>
      </c>
      <c r="B7762" s="8">
        <v>400</v>
      </c>
      <c r="C7762" s="8">
        <v>20.478950000000001</v>
      </c>
      <c r="D7762" s="8">
        <v>90</v>
      </c>
      <c r="E7762" s="8">
        <v>0</v>
      </c>
      <c r="F7762" s="8">
        <v>0</v>
      </c>
      <c r="G7762" s="8">
        <v>19</v>
      </c>
      <c r="H7762" s="8" t="s">
        <v>15844</v>
      </c>
      <c r="I7762" s="8">
        <v>528.1875</v>
      </c>
      <c r="J7762" s="3">
        <f t="shared" si="121"/>
        <v>43748.044574340274</v>
      </c>
    </row>
    <row r="7763" spans="1:10" x14ac:dyDescent="0.25">
      <c r="A7763" s="5" t="s">
        <v>15845</v>
      </c>
      <c r="B7763" s="6">
        <v>400</v>
      </c>
      <c r="C7763" s="6">
        <v>20.478950000000001</v>
      </c>
      <c r="D7763" s="6">
        <v>90</v>
      </c>
      <c r="E7763" s="6">
        <v>0</v>
      </c>
      <c r="F7763" s="6">
        <v>0</v>
      </c>
      <c r="G7763" s="6">
        <v>17</v>
      </c>
      <c r="H7763" s="6" t="s">
        <v>15846</v>
      </c>
      <c r="I7763" s="6">
        <v>528.1875</v>
      </c>
      <c r="J7763" s="2">
        <f t="shared" si="121"/>
        <v>43748.04467009259</v>
      </c>
    </row>
    <row r="7764" spans="1:10" x14ac:dyDescent="0.25">
      <c r="A7764" s="7" t="s">
        <v>15847</v>
      </c>
      <c r="B7764" s="8">
        <v>400</v>
      </c>
      <c r="C7764" s="8">
        <v>20.478950000000001</v>
      </c>
      <c r="D7764" s="8">
        <v>90</v>
      </c>
      <c r="E7764" s="8">
        <v>0</v>
      </c>
      <c r="F7764" s="8">
        <v>0</v>
      </c>
      <c r="G7764" s="8">
        <v>19</v>
      </c>
      <c r="H7764" s="8" t="s">
        <v>15848</v>
      </c>
      <c r="I7764" s="8">
        <v>528.1875</v>
      </c>
      <c r="J7764" s="3">
        <f t="shared" si="121"/>
        <v>43748.044741018515</v>
      </c>
    </row>
    <row r="7765" spans="1:10" x14ac:dyDescent="0.25">
      <c r="A7765" s="5" t="s">
        <v>15849</v>
      </c>
      <c r="B7765" s="6">
        <v>400</v>
      </c>
      <c r="C7765" s="6">
        <v>20.478950000000001</v>
      </c>
      <c r="D7765" s="6">
        <v>90</v>
      </c>
      <c r="E7765" s="6">
        <v>0</v>
      </c>
      <c r="F7765" s="6">
        <v>0</v>
      </c>
      <c r="G7765" s="6">
        <v>26</v>
      </c>
      <c r="H7765" s="6" t="s">
        <v>15850</v>
      </c>
      <c r="I7765" s="6">
        <v>528.1875</v>
      </c>
      <c r="J7765" s="2">
        <f t="shared" si="121"/>
        <v>43748.044824629622</v>
      </c>
    </row>
    <row r="7766" spans="1:10" x14ac:dyDescent="0.25">
      <c r="A7766" s="7" t="s">
        <v>15851</v>
      </c>
      <c r="B7766" s="8">
        <v>403.125</v>
      </c>
      <c r="C7766" s="8">
        <v>20.478950000000001</v>
      </c>
      <c r="D7766" s="8">
        <v>84</v>
      </c>
      <c r="E7766" s="8">
        <v>0</v>
      </c>
      <c r="F7766" s="8">
        <v>0</v>
      </c>
      <c r="G7766" s="8">
        <v>21</v>
      </c>
      <c r="H7766" s="8" t="s">
        <v>15852</v>
      </c>
      <c r="I7766" s="8">
        <v>529.125</v>
      </c>
      <c r="J7766" s="3">
        <f t="shared" si="121"/>
        <v>43748.044895648149</v>
      </c>
    </row>
    <row r="7767" spans="1:10" x14ac:dyDescent="0.25">
      <c r="A7767" s="5" t="s">
        <v>15853</v>
      </c>
      <c r="B7767" s="6">
        <v>403.125</v>
      </c>
      <c r="C7767" s="6">
        <v>20.478950000000001</v>
      </c>
      <c r="D7767" s="6">
        <v>84</v>
      </c>
      <c r="E7767" s="6">
        <v>0</v>
      </c>
      <c r="F7767" s="6">
        <v>0</v>
      </c>
      <c r="G7767" s="6">
        <v>24</v>
      </c>
      <c r="H7767" s="6" t="s">
        <v>15854</v>
      </c>
      <c r="I7767" s="6">
        <v>529.125</v>
      </c>
      <c r="J7767" s="2">
        <f t="shared" si="121"/>
        <v>43748.044967696762</v>
      </c>
    </row>
    <row r="7768" spans="1:10" x14ac:dyDescent="0.25">
      <c r="A7768" s="7" t="s">
        <v>15855</v>
      </c>
      <c r="B7768" s="8">
        <v>403.125</v>
      </c>
      <c r="C7768" s="8">
        <v>20.478950000000001</v>
      </c>
      <c r="D7768" s="8">
        <v>85</v>
      </c>
      <c r="E7768" s="8">
        <v>0</v>
      </c>
      <c r="F7768" s="8">
        <v>0</v>
      </c>
      <c r="G7768" s="8">
        <v>26</v>
      </c>
      <c r="H7768" s="8" t="s">
        <v>15856</v>
      </c>
      <c r="I7768" s="8">
        <v>529.875</v>
      </c>
      <c r="J7768" s="3">
        <f t="shared" si="121"/>
        <v>43748.04505119213</v>
      </c>
    </row>
    <row r="7769" spans="1:10" x14ac:dyDescent="0.25">
      <c r="A7769" s="5" t="s">
        <v>15857</v>
      </c>
      <c r="B7769" s="6">
        <v>403.125</v>
      </c>
      <c r="C7769" s="6">
        <v>20.426300000000001</v>
      </c>
      <c r="D7769" s="6">
        <v>87</v>
      </c>
      <c r="E7769" s="6">
        <v>0</v>
      </c>
      <c r="F7769" s="6">
        <v>0</v>
      </c>
      <c r="G7769" s="6">
        <v>22</v>
      </c>
      <c r="H7769" s="6" t="s">
        <v>15858</v>
      </c>
      <c r="I7769" s="6">
        <v>529.875</v>
      </c>
      <c r="J7769" s="2">
        <f t="shared" si="121"/>
        <v>43748.04512260417</v>
      </c>
    </row>
    <row r="7770" spans="1:10" x14ac:dyDescent="0.25">
      <c r="A7770" s="7" t="s">
        <v>15859</v>
      </c>
      <c r="B7770" s="8">
        <v>403.125</v>
      </c>
      <c r="C7770" s="8">
        <v>20.478950000000001</v>
      </c>
      <c r="D7770" s="8">
        <v>93</v>
      </c>
      <c r="E7770" s="8">
        <v>0</v>
      </c>
      <c r="F7770" s="8">
        <v>0</v>
      </c>
      <c r="G7770" s="8">
        <v>22</v>
      </c>
      <c r="H7770" s="8" t="s">
        <v>15860</v>
      </c>
      <c r="I7770" s="8">
        <v>529.6875</v>
      </c>
      <c r="J7770" s="3">
        <f t="shared" si="121"/>
        <v>43748.045193784717</v>
      </c>
    </row>
    <row r="7771" spans="1:10" x14ac:dyDescent="0.25">
      <c r="A7771" s="5" t="s">
        <v>15861</v>
      </c>
      <c r="B7771" s="6">
        <v>406.25</v>
      </c>
      <c r="C7771" s="6">
        <v>20.478950000000001</v>
      </c>
      <c r="D7771" s="6">
        <v>92</v>
      </c>
      <c r="E7771" s="6">
        <v>0</v>
      </c>
      <c r="F7771" s="6">
        <v>0</v>
      </c>
      <c r="G7771" s="6">
        <v>22</v>
      </c>
      <c r="H7771" s="6" t="s">
        <v>15862</v>
      </c>
      <c r="I7771" s="6">
        <v>530.8125</v>
      </c>
      <c r="J7771" s="2">
        <f t="shared" si="121"/>
        <v>43748.04526515046</v>
      </c>
    </row>
    <row r="7772" spans="1:10" x14ac:dyDescent="0.25">
      <c r="A7772" s="7" t="s">
        <v>15863</v>
      </c>
      <c r="B7772" s="8">
        <v>406.25</v>
      </c>
      <c r="C7772" s="8">
        <v>20.478950000000001</v>
      </c>
      <c r="D7772" s="8">
        <v>91</v>
      </c>
      <c r="E7772" s="8">
        <v>0</v>
      </c>
      <c r="F7772" s="8">
        <v>0</v>
      </c>
      <c r="G7772" s="8">
        <v>18</v>
      </c>
      <c r="H7772" s="8" t="s">
        <v>15864</v>
      </c>
      <c r="I7772" s="8">
        <v>530.625</v>
      </c>
      <c r="J7772" s="3">
        <f t="shared" si="121"/>
        <v>43748.045337303243</v>
      </c>
    </row>
    <row r="7773" spans="1:10" x14ac:dyDescent="0.25">
      <c r="A7773" s="5" t="s">
        <v>15865</v>
      </c>
      <c r="B7773" s="6">
        <v>406.25</v>
      </c>
      <c r="C7773" s="6">
        <v>20.478950000000001</v>
      </c>
      <c r="D7773" s="6">
        <v>91</v>
      </c>
      <c r="E7773" s="6">
        <v>0</v>
      </c>
      <c r="F7773" s="6">
        <v>0</v>
      </c>
      <c r="G7773" s="6">
        <v>19</v>
      </c>
      <c r="H7773" s="6" t="s">
        <v>15866</v>
      </c>
      <c r="I7773" s="6">
        <v>530.625</v>
      </c>
      <c r="J7773" s="2">
        <f t="shared" si="121"/>
        <v>43748.045421736104</v>
      </c>
    </row>
    <row r="7774" spans="1:10" x14ac:dyDescent="0.25">
      <c r="A7774" s="7" t="s">
        <v>15867</v>
      </c>
      <c r="B7774" s="8">
        <v>406.25</v>
      </c>
      <c r="C7774" s="8">
        <v>20.426300000000001</v>
      </c>
      <c r="D7774" s="8">
        <v>93</v>
      </c>
      <c r="E7774" s="8">
        <v>0</v>
      </c>
      <c r="F7774" s="8">
        <v>0</v>
      </c>
      <c r="G7774" s="8">
        <v>20</v>
      </c>
      <c r="H7774" s="8" t="s">
        <v>15868</v>
      </c>
      <c r="I7774" s="8">
        <v>530.8125</v>
      </c>
      <c r="J7774" s="3">
        <f t="shared" si="121"/>
        <v>43748.045503981477</v>
      </c>
    </row>
    <row r="7775" spans="1:10" x14ac:dyDescent="0.25">
      <c r="A7775" s="5" t="s">
        <v>15869</v>
      </c>
      <c r="B7775" s="6">
        <v>403.125</v>
      </c>
      <c r="C7775" s="6">
        <v>20.478950000000001</v>
      </c>
      <c r="D7775" s="6">
        <v>92</v>
      </c>
      <c r="E7775" s="6">
        <v>0</v>
      </c>
      <c r="F7775" s="6">
        <v>0</v>
      </c>
      <c r="G7775" s="6">
        <v>22</v>
      </c>
      <c r="H7775" s="6" t="s">
        <v>15870</v>
      </c>
      <c r="I7775" s="6">
        <v>529.875</v>
      </c>
      <c r="J7775" s="2">
        <f t="shared" si="121"/>
        <v>43748.045575266202</v>
      </c>
    </row>
    <row r="7776" spans="1:10" x14ac:dyDescent="0.25">
      <c r="A7776" s="7" t="s">
        <v>15871</v>
      </c>
      <c r="B7776" s="8">
        <v>400</v>
      </c>
      <c r="C7776" s="8">
        <v>20.478950000000001</v>
      </c>
      <c r="D7776" s="8">
        <v>91</v>
      </c>
      <c r="E7776" s="8">
        <v>0</v>
      </c>
      <c r="F7776" s="8">
        <v>0</v>
      </c>
      <c r="G7776" s="8">
        <v>15</v>
      </c>
      <c r="H7776" s="8" t="s">
        <v>15872</v>
      </c>
      <c r="I7776" s="8">
        <v>528.9375</v>
      </c>
      <c r="J7776" s="3">
        <f t="shared" si="121"/>
        <v>43748.045647326384</v>
      </c>
    </row>
    <row r="7777" spans="1:10" x14ac:dyDescent="0.25">
      <c r="A7777" s="5" t="s">
        <v>15873</v>
      </c>
      <c r="B7777" s="6">
        <v>428.125</v>
      </c>
      <c r="C7777" s="6">
        <v>20.478950000000001</v>
      </c>
      <c r="D7777" s="6">
        <v>91</v>
      </c>
      <c r="E7777" s="6">
        <v>0</v>
      </c>
      <c r="F7777" s="6">
        <v>0</v>
      </c>
      <c r="G7777" s="6">
        <v>14</v>
      </c>
      <c r="H7777" s="6" t="s">
        <v>15874</v>
      </c>
      <c r="I7777" s="6">
        <v>537.9375</v>
      </c>
      <c r="J7777" s="2">
        <f t="shared" si="121"/>
        <v>43748.045718796297</v>
      </c>
    </row>
    <row r="7778" spans="1:10" x14ac:dyDescent="0.25">
      <c r="A7778" s="7" t="s">
        <v>15875</v>
      </c>
      <c r="B7778" s="8">
        <v>400</v>
      </c>
      <c r="C7778" s="8">
        <v>20.478950000000001</v>
      </c>
      <c r="D7778" s="8">
        <v>90</v>
      </c>
      <c r="E7778" s="8">
        <v>0</v>
      </c>
      <c r="F7778" s="8">
        <v>0</v>
      </c>
      <c r="G7778" s="8">
        <v>20</v>
      </c>
      <c r="H7778" s="8" t="s">
        <v>15876</v>
      </c>
      <c r="I7778" s="8">
        <v>528.1875</v>
      </c>
      <c r="J7778" s="3">
        <f t="shared" si="121"/>
        <v>43748.045802245368</v>
      </c>
    </row>
    <row r="7779" spans="1:10" x14ac:dyDescent="0.25">
      <c r="A7779" s="5" t="s">
        <v>15877</v>
      </c>
      <c r="B7779" s="6">
        <v>400</v>
      </c>
      <c r="C7779" s="6">
        <v>20.478950000000001</v>
      </c>
      <c r="D7779" s="6">
        <v>90</v>
      </c>
      <c r="E7779" s="6">
        <v>0</v>
      </c>
      <c r="F7779" s="6">
        <v>0</v>
      </c>
      <c r="G7779" s="6">
        <v>23</v>
      </c>
      <c r="H7779" s="6" t="s">
        <v>15878</v>
      </c>
      <c r="I7779" s="6">
        <v>528.1875</v>
      </c>
      <c r="J7779" s="2">
        <f t="shared" si="121"/>
        <v>43748.045873483796</v>
      </c>
    </row>
    <row r="7780" spans="1:10" x14ac:dyDescent="0.25">
      <c r="A7780" s="7" t="s">
        <v>15879</v>
      </c>
      <c r="B7780" s="8">
        <v>400</v>
      </c>
      <c r="C7780" s="8">
        <v>20.478950000000001</v>
      </c>
      <c r="D7780" s="8">
        <v>89</v>
      </c>
      <c r="E7780" s="8">
        <v>0</v>
      </c>
      <c r="F7780" s="8">
        <v>0</v>
      </c>
      <c r="G7780" s="8">
        <v>22</v>
      </c>
      <c r="H7780" s="8" t="s">
        <v>15880</v>
      </c>
      <c r="I7780" s="8">
        <v>528.1875</v>
      </c>
      <c r="J7780" s="3">
        <f t="shared" si="121"/>
        <v>43748.045944768521</v>
      </c>
    </row>
    <row r="7781" spans="1:10" x14ac:dyDescent="0.25">
      <c r="A7781" s="5" t="s">
        <v>15881</v>
      </c>
      <c r="B7781" s="6">
        <v>400</v>
      </c>
      <c r="C7781" s="6">
        <v>20.478950000000001</v>
      </c>
      <c r="D7781" s="6">
        <v>88</v>
      </c>
      <c r="E7781" s="6">
        <v>0</v>
      </c>
      <c r="F7781" s="6">
        <v>0</v>
      </c>
      <c r="G7781" s="6">
        <v>22</v>
      </c>
      <c r="H7781" s="6" t="s">
        <v>15882</v>
      </c>
      <c r="I7781" s="6">
        <v>528.1875</v>
      </c>
      <c r="J7781" s="2">
        <f t="shared" si="121"/>
        <v>43748.046016956017</v>
      </c>
    </row>
    <row r="7782" spans="1:10" x14ac:dyDescent="0.25">
      <c r="A7782" s="7" t="s">
        <v>15883</v>
      </c>
      <c r="B7782" s="8">
        <v>403.125</v>
      </c>
      <c r="C7782" s="8">
        <v>20.426300000000001</v>
      </c>
      <c r="D7782" s="8">
        <v>89</v>
      </c>
      <c r="E7782" s="8">
        <v>0</v>
      </c>
      <c r="F7782" s="8">
        <v>0</v>
      </c>
      <c r="G7782" s="8">
        <v>27</v>
      </c>
      <c r="H7782" s="8" t="s">
        <v>15884</v>
      </c>
      <c r="I7782" s="8">
        <v>529.125</v>
      </c>
      <c r="J7782" s="3">
        <f t="shared" si="121"/>
        <v>43748.046088171293</v>
      </c>
    </row>
    <row r="7783" spans="1:10" x14ac:dyDescent="0.25">
      <c r="A7783" s="5" t="s">
        <v>15885</v>
      </c>
      <c r="B7783" s="6">
        <v>403.125</v>
      </c>
      <c r="C7783" s="6">
        <v>20.478950000000001</v>
      </c>
      <c r="D7783" s="6">
        <v>89</v>
      </c>
      <c r="E7783" s="6">
        <v>0</v>
      </c>
      <c r="F7783" s="6">
        <v>0</v>
      </c>
      <c r="G7783" s="6">
        <v>21</v>
      </c>
      <c r="H7783" s="6" t="s">
        <v>15886</v>
      </c>
      <c r="I7783" s="6">
        <v>529.125</v>
      </c>
      <c r="J7783" s="2">
        <f t="shared" si="121"/>
        <v>43748.04615952546</v>
      </c>
    </row>
    <row r="7784" spans="1:10" x14ac:dyDescent="0.25">
      <c r="A7784" s="7" t="s">
        <v>15887</v>
      </c>
      <c r="B7784" s="8">
        <v>421.875</v>
      </c>
      <c r="C7784" s="8">
        <v>20.478950000000001</v>
      </c>
      <c r="D7784" s="8">
        <v>90</v>
      </c>
      <c r="E7784" s="8">
        <v>0</v>
      </c>
      <c r="F7784" s="8">
        <v>0</v>
      </c>
      <c r="G7784" s="8">
        <v>24</v>
      </c>
      <c r="H7784" s="8" t="s">
        <v>15888</v>
      </c>
      <c r="I7784" s="8">
        <v>535.125</v>
      </c>
      <c r="J7784" s="3">
        <f t="shared" si="121"/>
        <v>43748.04624304398</v>
      </c>
    </row>
    <row r="7785" spans="1:10" x14ac:dyDescent="0.25">
      <c r="A7785" s="5" t="s">
        <v>15889</v>
      </c>
      <c r="B7785" s="6">
        <v>400</v>
      </c>
      <c r="C7785" s="6">
        <v>20.478950000000001</v>
      </c>
      <c r="D7785" s="6">
        <v>90</v>
      </c>
      <c r="E7785" s="6">
        <v>0</v>
      </c>
      <c r="F7785" s="6">
        <v>0</v>
      </c>
      <c r="G7785" s="6">
        <v>19</v>
      </c>
      <c r="H7785" s="6" t="s">
        <v>15890</v>
      </c>
      <c r="I7785" s="6">
        <v>528.9375</v>
      </c>
      <c r="J7785" s="2">
        <f t="shared" si="121"/>
        <v>43748.046315092586</v>
      </c>
    </row>
    <row r="7786" spans="1:10" x14ac:dyDescent="0.25">
      <c r="A7786" s="7" t="s">
        <v>15891</v>
      </c>
      <c r="B7786" s="8">
        <v>403.125</v>
      </c>
      <c r="C7786" s="8">
        <v>20.478950000000001</v>
      </c>
      <c r="D7786" s="8">
        <v>88</v>
      </c>
      <c r="E7786" s="8">
        <v>0</v>
      </c>
      <c r="F7786" s="8">
        <v>0</v>
      </c>
      <c r="G7786" s="8">
        <v>23</v>
      </c>
      <c r="H7786" s="8" t="s">
        <v>15892</v>
      </c>
      <c r="I7786" s="8">
        <v>529.125</v>
      </c>
      <c r="J7786" s="3">
        <f t="shared" si="121"/>
        <v>43748.046386388887</v>
      </c>
    </row>
    <row r="7787" spans="1:10" x14ac:dyDescent="0.25">
      <c r="A7787" s="5" t="s">
        <v>15893</v>
      </c>
      <c r="B7787" s="6">
        <v>400</v>
      </c>
      <c r="C7787" s="6">
        <v>20.478950000000001</v>
      </c>
      <c r="D7787" s="6">
        <v>88</v>
      </c>
      <c r="E7787" s="6">
        <v>0</v>
      </c>
      <c r="F7787" s="6">
        <v>0</v>
      </c>
      <c r="G7787" s="6">
        <v>15</v>
      </c>
      <c r="H7787" s="6" t="s">
        <v>15894</v>
      </c>
      <c r="I7787" s="6">
        <v>528.1875</v>
      </c>
      <c r="J7787" s="2">
        <f t="shared" si="121"/>
        <v>43748.046457685188</v>
      </c>
    </row>
    <row r="7788" spans="1:10" x14ac:dyDescent="0.25">
      <c r="A7788" s="7" t="s">
        <v>15895</v>
      </c>
      <c r="B7788" s="8">
        <v>400</v>
      </c>
      <c r="C7788" s="8">
        <v>20.478950000000001</v>
      </c>
      <c r="D7788" s="8">
        <v>87</v>
      </c>
      <c r="E7788" s="8">
        <v>0</v>
      </c>
      <c r="F7788" s="8">
        <v>0</v>
      </c>
      <c r="G7788" s="8">
        <v>19</v>
      </c>
      <c r="H7788" s="8" t="s">
        <v>15896</v>
      </c>
      <c r="I7788" s="8">
        <v>528.1875</v>
      </c>
      <c r="J7788" s="3">
        <f t="shared" si="121"/>
        <v>43748.046529085645</v>
      </c>
    </row>
    <row r="7789" spans="1:10" x14ac:dyDescent="0.25">
      <c r="A7789" s="5" t="s">
        <v>15897</v>
      </c>
      <c r="B7789" s="6">
        <v>400</v>
      </c>
      <c r="C7789" s="6">
        <v>20.426300000000001</v>
      </c>
      <c r="D7789" s="6">
        <v>88</v>
      </c>
      <c r="E7789" s="6">
        <v>0</v>
      </c>
      <c r="F7789" s="6">
        <v>0</v>
      </c>
      <c r="G7789" s="6">
        <v>16</v>
      </c>
      <c r="H7789" s="6" t="s">
        <v>15898</v>
      </c>
      <c r="I7789" s="6">
        <v>528.1875</v>
      </c>
      <c r="J7789" s="2">
        <f t="shared" si="121"/>
        <v>43748.046601215276</v>
      </c>
    </row>
    <row r="7790" spans="1:10" x14ac:dyDescent="0.25">
      <c r="A7790" s="7" t="s">
        <v>15899</v>
      </c>
      <c r="B7790" s="8">
        <v>396.875</v>
      </c>
      <c r="C7790" s="8">
        <v>20.478950000000001</v>
      </c>
      <c r="D7790" s="8">
        <v>90</v>
      </c>
      <c r="E7790" s="8">
        <v>0</v>
      </c>
      <c r="F7790" s="8">
        <v>0</v>
      </c>
      <c r="G7790" s="8">
        <v>23</v>
      </c>
      <c r="H7790" s="8" t="s">
        <v>15900</v>
      </c>
      <c r="I7790" s="8">
        <v>527.4375</v>
      </c>
      <c r="J7790" s="3">
        <f t="shared" si="121"/>
        <v>43748.046672256947</v>
      </c>
    </row>
    <row r="7791" spans="1:10" x14ac:dyDescent="0.25">
      <c r="A7791" s="5" t="s">
        <v>15901</v>
      </c>
      <c r="B7791" s="6">
        <v>396.875</v>
      </c>
      <c r="C7791" s="6">
        <v>20.478950000000001</v>
      </c>
      <c r="D7791" s="6">
        <v>91</v>
      </c>
      <c r="E7791" s="6">
        <v>0</v>
      </c>
      <c r="F7791" s="6">
        <v>0</v>
      </c>
      <c r="G7791" s="6">
        <v>23</v>
      </c>
      <c r="H7791" s="6" t="s">
        <v>15902</v>
      </c>
      <c r="I7791" s="6">
        <v>527.4375</v>
      </c>
      <c r="J7791" s="2">
        <f t="shared" si="121"/>
        <v>43748.046743726845</v>
      </c>
    </row>
    <row r="7792" spans="1:10" x14ac:dyDescent="0.25">
      <c r="A7792" s="7" t="s">
        <v>15903</v>
      </c>
      <c r="B7792" s="8">
        <v>396.875</v>
      </c>
      <c r="C7792" s="8">
        <v>20.478950000000001</v>
      </c>
      <c r="D7792" s="8">
        <v>90</v>
      </c>
      <c r="E7792" s="8">
        <v>0</v>
      </c>
      <c r="F7792" s="8">
        <v>0</v>
      </c>
      <c r="G7792" s="8">
        <v>21</v>
      </c>
      <c r="H7792" s="8" t="s">
        <v>15904</v>
      </c>
      <c r="I7792" s="8">
        <v>527.4375</v>
      </c>
      <c r="J7792" s="3">
        <f t="shared" si="121"/>
        <v>43748.0468158449</v>
      </c>
    </row>
    <row r="7793" spans="1:10" x14ac:dyDescent="0.25">
      <c r="A7793" s="5" t="s">
        <v>15905</v>
      </c>
      <c r="B7793" s="6">
        <v>396.875</v>
      </c>
      <c r="C7793" s="6">
        <v>20.478950000000001</v>
      </c>
      <c r="D7793" s="6">
        <v>91</v>
      </c>
      <c r="E7793" s="6">
        <v>0</v>
      </c>
      <c r="F7793" s="6">
        <v>0</v>
      </c>
      <c r="G7793" s="6">
        <v>18</v>
      </c>
      <c r="H7793" s="6" t="s">
        <v>15906</v>
      </c>
      <c r="I7793" s="6">
        <v>527.4375</v>
      </c>
      <c r="J7793" s="2">
        <f t="shared" si="121"/>
        <v>43748.046886805554</v>
      </c>
    </row>
    <row r="7794" spans="1:10" x14ac:dyDescent="0.25">
      <c r="A7794" s="7" t="s">
        <v>15907</v>
      </c>
      <c r="B7794" s="8">
        <v>393.75</v>
      </c>
      <c r="C7794" s="8">
        <v>20.426300000000001</v>
      </c>
      <c r="D7794" s="8">
        <v>91</v>
      </c>
      <c r="E7794" s="8">
        <v>0</v>
      </c>
      <c r="F7794" s="8">
        <v>0</v>
      </c>
      <c r="G7794" s="8">
        <v>20</v>
      </c>
      <c r="H7794" s="8" t="s">
        <v>15908</v>
      </c>
      <c r="I7794" s="8">
        <v>526.5</v>
      </c>
      <c r="J7794" s="3">
        <f t="shared" si="121"/>
        <v>43748.046958611107</v>
      </c>
    </row>
    <row r="7795" spans="1:10" x14ac:dyDescent="0.25">
      <c r="A7795" s="5" t="s">
        <v>15909</v>
      </c>
      <c r="B7795" s="6">
        <v>393.75</v>
      </c>
      <c r="C7795" s="6">
        <v>20.426300000000001</v>
      </c>
      <c r="D7795" s="6">
        <v>91</v>
      </c>
      <c r="E7795" s="6">
        <v>0</v>
      </c>
      <c r="F7795" s="6">
        <v>0</v>
      </c>
      <c r="G7795" s="6">
        <v>18</v>
      </c>
      <c r="H7795" s="6" t="s">
        <v>15910</v>
      </c>
      <c r="I7795" s="6">
        <v>526.6875</v>
      </c>
      <c r="J7795" s="2">
        <f t="shared" si="121"/>
        <v>43748.047029895832</v>
      </c>
    </row>
    <row r="7796" spans="1:10" x14ac:dyDescent="0.25">
      <c r="A7796" s="7" t="s">
        <v>15911</v>
      </c>
      <c r="B7796" s="8">
        <v>393.75</v>
      </c>
      <c r="C7796" s="8">
        <v>20.478950000000001</v>
      </c>
      <c r="D7796" s="8">
        <v>91</v>
      </c>
      <c r="E7796" s="8">
        <v>0</v>
      </c>
      <c r="F7796" s="8">
        <v>0</v>
      </c>
      <c r="G7796" s="8">
        <v>12</v>
      </c>
      <c r="H7796" s="8" t="s">
        <v>15912</v>
      </c>
      <c r="I7796" s="8">
        <v>526.6875</v>
      </c>
      <c r="J7796" s="3">
        <f t="shared" si="121"/>
        <v>43748.047102118049</v>
      </c>
    </row>
    <row r="7797" spans="1:10" x14ac:dyDescent="0.25">
      <c r="A7797" s="5" t="s">
        <v>15913</v>
      </c>
      <c r="B7797" s="6">
        <v>412.5</v>
      </c>
      <c r="C7797" s="6">
        <v>20.478950000000001</v>
      </c>
      <c r="D7797" s="6">
        <v>91</v>
      </c>
      <c r="E7797" s="6">
        <v>0</v>
      </c>
      <c r="F7797" s="6">
        <v>0</v>
      </c>
      <c r="G7797" s="6">
        <v>26</v>
      </c>
      <c r="H7797" s="6" t="s">
        <v>15914</v>
      </c>
      <c r="I7797" s="6">
        <v>532.875</v>
      </c>
      <c r="J7797" s="2">
        <f t="shared" si="121"/>
        <v>43748.047188229168</v>
      </c>
    </row>
    <row r="7798" spans="1:10" x14ac:dyDescent="0.25">
      <c r="A7798" s="7" t="s">
        <v>15915</v>
      </c>
      <c r="B7798" s="8">
        <v>393.75</v>
      </c>
      <c r="C7798" s="8">
        <v>20.478950000000001</v>
      </c>
      <c r="D7798" s="8">
        <v>88</v>
      </c>
      <c r="E7798" s="8">
        <v>0</v>
      </c>
      <c r="F7798" s="8">
        <v>0</v>
      </c>
      <c r="G7798" s="8">
        <v>22</v>
      </c>
      <c r="H7798" s="8" t="s">
        <v>15916</v>
      </c>
      <c r="I7798" s="8">
        <v>526.5</v>
      </c>
      <c r="J7798" s="3">
        <f t="shared" si="121"/>
        <v>43748.047268831018</v>
      </c>
    </row>
    <row r="7799" spans="1:10" x14ac:dyDescent="0.25">
      <c r="A7799" s="5" t="s">
        <v>15917</v>
      </c>
      <c r="B7799" s="6">
        <v>393.75</v>
      </c>
      <c r="C7799" s="6">
        <v>20.426300000000001</v>
      </c>
      <c r="D7799" s="6">
        <v>88</v>
      </c>
      <c r="E7799" s="6">
        <v>0</v>
      </c>
      <c r="F7799" s="6">
        <v>0</v>
      </c>
      <c r="G7799" s="6">
        <v>16</v>
      </c>
      <c r="H7799" s="6" t="s">
        <v>15918</v>
      </c>
      <c r="I7799" s="6">
        <v>526.6875</v>
      </c>
      <c r="J7799" s="2">
        <f t="shared" si="121"/>
        <v>43748.04734010416</v>
      </c>
    </row>
    <row r="7800" spans="1:10" x14ac:dyDescent="0.25">
      <c r="A7800" s="7" t="s">
        <v>15919</v>
      </c>
      <c r="B7800" s="8">
        <v>393.75</v>
      </c>
      <c r="C7800" s="8">
        <v>20.478950000000001</v>
      </c>
      <c r="D7800" s="8">
        <v>87</v>
      </c>
      <c r="E7800" s="8">
        <v>0</v>
      </c>
      <c r="F7800" s="8">
        <v>0</v>
      </c>
      <c r="G7800" s="8">
        <v>26</v>
      </c>
      <c r="H7800" s="8" t="s">
        <v>15920</v>
      </c>
      <c r="I7800" s="8">
        <v>526.6875</v>
      </c>
      <c r="J7800" s="3">
        <f t="shared" si="121"/>
        <v>43748.047411458327</v>
      </c>
    </row>
    <row r="7801" spans="1:10" x14ac:dyDescent="0.25">
      <c r="A7801" s="5" t="s">
        <v>15921</v>
      </c>
      <c r="B7801" s="6">
        <v>393.75</v>
      </c>
      <c r="C7801" s="6">
        <v>20.478950000000001</v>
      </c>
      <c r="D7801" s="6">
        <v>87</v>
      </c>
      <c r="E7801" s="6">
        <v>0</v>
      </c>
      <c r="F7801" s="6">
        <v>0</v>
      </c>
      <c r="G7801" s="6">
        <v>22</v>
      </c>
      <c r="H7801" s="6" t="s">
        <v>15922</v>
      </c>
      <c r="I7801" s="6">
        <v>526.6875</v>
      </c>
      <c r="J7801" s="2">
        <f t="shared" si="121"/>
        <v>43748.047483541661</v>
      </c>
    </row>
    <row r="7802" spans="1:10" x14ac:dyDescent="0.25">
      <c r="A7802" s="7" t="s">
        <v>15923</v>
      </c>
      <c r="B7802" s="8">
        <v>393.75</v>
      </c>
      <c r="C7802" s="8">
        <v>20.478950000000001</v>
      </c>
      <c r="D7802" s="8">
        <v>88</v>
      </c>
      <c r="E7802" s="8">
        <v>0</v>
      </c>
      <c r="F7802" s="8">
        <v>0</v>
      </c>
      <c r="G7802" s="8">
        <v>16</v>
      </c>
      <c r="H7802" s="8" t="s">
        <v>15924</v>
      </c>
      <c r="I7802" s="8">
        <v>526.5</v>
      </c>
      <c r="J7802" s="3">
        <f t="shared" si="121"/>
        <v>43748.047554837962</v>
      </c>
    </row>
    <row r="7803" spans="1:10" x14ac:dyDescent="0.25">
      <c r="A7803" s="5" t="s">
        <v>15925</v>
      </c>
      <c r="B7803" s="6">
        <v>393.75</v>
      </c>
      <c r="C7803" s="6">
        <v>20.478950000000001</v>
      </c>
      <c r="D7803" s="6">
        <v>87</v>
      </c>
      <c r="E7803" s="6">
        <v>0</v>
      </c>
      <c r="F7803" s="6">
        <v>0</v>
      </c>
      <c r="G7803" s="6">
        <v>21</v>
      </c>
      <c r="H7803" s="6" t="s">
        <v>15926</v>
      </c>
      <c r="I7803" s="6">
        <v>526.6875</v>
      </c>
      <c r="J7803" s="2">
        <f t="shared" si="121"/>
        <v>43748.047626192129</v>
      </c>
    </row>
    <row r="7804" spans="1:10" x14ac:dyDescent="0.25">
      <c r="A7804" s="7" t="s">
        <v>15927</v>
      </c>
      <c r="B7804" s="8">
        <v>412.5</v>
      </c>
      <c r="C7804" s="8">
        <v>20.478950000000001</v>
      </c>
      <c r="D7804" s="8">
        <v>87</v>
      </c>
      <c r="E7804" s="8">
        <v>0</v>
      </c>
      <c r="F7804" s="8">
        <v>0</v>
      </c>
      <c r="G7804" s="8">
        <v>16</v>
      </c>
      <c r="H7804" s="8" t="s">
        <v>15928</v>
      </c>
      <c r="I7804" s="8">
        <v>532.5</v>
      </c>
      <c r="J7804" s="3">
        <f t="shared" si="121"/>
        <v>43748.047698240734</v>
      </c>
    </row>
    <row r="7805" spans="1:10" x14ac:dyDescent="0.25">
      <c r="A7805" s="5" t="s">
        <v>15929</v>
      </c>
      <c r="B7805" s="6">
        <v>393.75</v>
      </c>
      <c r="C7805" s="6">
        <v>20.478950000000001</v>
      </c>
      <c r="D7805" s="6">
        <v>88</v>
      </c>
      <c r="E7805" s="6">
        <v>0</v>
      </c>
      <c r="F7805" s="6">
        <v>0</v>
      </c>
      <c r="G7805" s="6">
        <v>23</v>
      </c>
      <c r="H7805" s="6" t="s">
        <v>15930</v>
      </c>
      <c r="I7805" s="6">
        <v>526.6875</v>
      </c>
      <c r="J7805" s="2">
        <f t="shared" si="121"/>
        <v>43748.047769594901</v>
      </c>
    </row>
    <row r="7806" spans="1:10" x14ac:dyDescent="0.25">
      <c r="A7806" s="7" t="s">
        <v>15931</v>
      </c>
      <c r="B7806" s="8">
        <v>393.75</v>
      </c>
      <c r="C7806" s="8">
        <v>20.478950000000001</v>
      </c>
      <c r="D7806" s="8">
        <v>88</v>
      </c>
      <c r="E7806" s="8">
        <v>0</v>
      </c>
      <c r="F7806" s="8">
        <v>0</v>
      </c>
      <c r="G7806" s="8">
        <v>24</v>
      </c>
      <c r="H7806" s="8" t="s">
        <v>15932</v>
      </c>
      <c r="I7806" s="8">
        <v>526.5</v>
      </c>
      <c r="J7806" s="3">
        <f t="shared" si="121"/>
        <v>43748.047841030093</v>
      </c>
    </row>
    <row r="7807" spans="1:10" x14ac:dyDescent="0.25">
      <c r="A7807" s="5" t="s">
        <v>15933</v>
      </c>
      <c r="B7807" s="6">
        <v>393.75</v>
      </c>
      <c r="C7807" s="6">
        <v>20.478950000000001</v>
      </c>
      <c r="D7807" s="6">
        <v>88</v>
      </c>
      <c r="E7807" s="6">
        <v>0</v>
      </c>
      <c r="F7807" s="6">
        <v>0</v>
      </c>
      <c r="G7807" s="6">
        <v>20</v>
      </c>
      <c r="H7807" s="6" t="s">
        <v>15934</v>
      </c>
      <c r="I7807" s="6">
        <v>526.5</v>
      </c>
      <c r="J7807" s="2">
        <f t="shared" si="121"/>
        <v>43748.047936365743</v>
      </c>
    </row>
    <row r="7808" spans="1:10" x14ac:dyDescent="0.25">
      <c r="A7808" s="7" t="s">
        <v>15935</v>
      </c>
      <c r="B7808" s="8">
        <v>393.75</v>
      </c>
      <c r="C7808" s="8">
        <v>20.478950000000001</v>
      </c>
      <c r="D7808" s="8">
        <v>88</v>
      </c>
      <c r="E7808" s="8">
        <v>0</v>
      </c>
      <c r="F7808" s="8">
        <v>0</v>
      </c>
      <c r="G7808" s="8">
        <v>17</v>
      </c>
      <c r="H7808" s="8" t="s">
        <v>15936</v>
      </c>
      <c r="I7808" s="8">
        <v>526.6875</v>
      </c>
      <c r="J7808" s="3">
        <f t="shared" si="121"/>
        <v>43748.048019699076</v>
      </c>
    </row>
    <row r="7809" spans="1:10" x14ac:dyDescent="0.25">
      <c r="A7809" s="5" t="s">
        <v>15937</v>
      </c>
      <c r="B7809" s="6">
        <v>393.75</v>
      </c>
      <c r="C7809" s="6">
        <v>20.478950000000001</v>
      </c>
      <c r="D7809" s="6">
        <v>88</v>
      </c>
      <c r="E7809" s="6">
        <v>0</v>
      </c>
      <c r="F7809" s="6">
        <v>0</v>
      </c>
      <c r="G7809" s="6">
        <v>20</v>
      </c>
      <c r="H7809" s="6" t="s">
        <v>15938</v>
      </c>
      <c r="I7809" s="6">
        <v>526.5</v>
      </c>
      <c r="J7809" s="2">
        <f t="shared" si="121"/>
        <v>43748.048091006938</v>
      </c>
    </row>
    <row r="7810" spans="1:10" x14ac:dyDescent="0.25">
      <c r="A7810" s="7" t="s">
        <v>15939</v>
      </c>
      <c r="B7810" s="8">
        <v>412.5</v>
      </c>
      <c r="C7810" s="8">
        <v>20.478950000000001</v>
      </c>
      <c r="D7810" s="8">
        <v>89</v>
      </c>
      <c r="E7810" s="8">
        <v>0</v>
      </c>
      <c r="F7810" s="8">
        <v>0</v>
      </c>
      <c r="G7810" s="8">
        <v>25</v>
      </c>
      <c r="H7810" s="8" t="s">
        <v>15940</v>
      </c>
      <c r="I7810" s="8">
        <v>532.875</v>
      </c>
      <c r="J7810" s="3">
        <f t="shared" ref="J7810:J7873" si="122">(H7810/86400000)+25569+(7/24)</f>
        <v>43748.048163229163</v>
      </c>
    </row>
    <row r="7811" spans="1:10" x14ac:dyDescent="0.25">
      <c r="A7811" s="5" t="s">
        <v>15941</v>
      </c>
      <c r="B7811" s="6">
        <v>393.75</v>
      </c>
      <c r="C7811" s="6">
        <v>20.478950000000001</v>
      </c>
      <c r="D7811" s="6">
        <v>89</v>
      </c>
      <c r="E7811" s="6">
        <v>0</v>
      </c>
      <c r="F7811" s="6">
        <v>0</v>
      </c>
      <c r="G7811" s="6">
        <v>21</v>
      </c>
      <c r="H7811" s="6" t="s">
        <v>15942</v>
      </c>
      <c r="I7811" s="6">
        <v>526.6875</v>
      </c>
      <c r="J7811" s="2">
        <f t="shared" si="122"/>
        <v>43748.048234525464</v>
      </c>
    </row>
    <row r="7812" spans="1:10" x14ac:dyDescent="0.25">
      <c r="A7812" s="7" t="s">
        <v>15943</v>
      </c>
      <c r="B7812" s="8">
        <v>393.75</v>
      </c>
      <c r="C7812" s="8">
        <v>20.478950000000001</v>
      </c>
      <c r="D7812" s="8">
        <v>89</v>
      </c>
      <c r="E7812" s="8">
        <v>0</v>
      </c>
      <c r="F7812" s="8">
        <v>0</v>
      </c>
      <c r="G7812" s="8">
        <v>28</v>
      </c>
      <c r="H7812" s="8" t="s">
        <v>15944</v>
      </c>
      <c r="I7812" s="8">
        <v>526.5</v>
      </c>
      <c r="J7812" s="3">
        <f t="shared" si="122"/>
        <v>43748.048305752316</v>
      </c>
    </row>
    <row r="7813" spans="1:10" x14ac:dyDescent="0.25">
      <c r="A7813" s="5" t="s">
        <v>15945</v>
      </c>
      <c r="B7813" s="6">
        <v>393.75</v>
      </c>
      <c r="C7813" s="6">
        <v>20.478950000000001</v>
      </c>
      <c r="D7813" s="6">
        <v>90</v>
      </c>
      <c r="E7813" s="6">
        <v>0</v>
      </c>
      <c r="F7813" s="6">
        <v>0</v>
      </c>
      <c r="G7813" s="6">
        <v>21</v>
      </c>
      <c r="H7813" s="6" t="s">
        <v>15946</v>
      </c>
      <c r="I7813" s="6">
        <v>526.6875</v>
      </c>
      <c r="J7813" s="2">
        <f t="shared" si="122"/>
        <v>43748.048377870371</v>
      </c>
    </row>
    <row r="7814" spans="1:10" x14ac:dyDescent="0.25">
      <c r="A7814" s="7" t="s">
        <v>15947</v>
      </c>
      <c r="B7814" s="8">
        <v>393.75</v>
      </c>
      <c r="C7814" s="8">
        <v>20.478950000000001</v>
      </c>
      <c r="D7814" s="8">
        <v>89</v>
      </c>
      <c r="E7814" s="8">
        <v>0</v>
      </c>
      <c r="F7814" s="8">
        <v>0</v>
      </c>
      <c r="G7814" s="8">
        <v>17</v>
      </c>
      <c r="H7814" s="8" t="s">
        <v>15948</v>
      </c>
      <c r="I7814" s="8">
        <v>526.6875</v>
      </c>
      <c r="J7814" s="3">
        <f t="shared" si="122"/>
        <v>43748.048461365739</v>
      </c>
    </row>
    <row r="7815" spans="1:10" x14ac:dyDescent="0.25">
      <c r="A7815" s="5" t="s">
        <v>15949</v>
      </c>
      <c r="B7815" s="6">
        <v>393.75</v>
      </c>
      <c r="C7815" s="6">
        <v>20.478950000000001</v>
      </c>
      <c r="D7815" s="6">
        <v>87</v>
      </c>
      <c r="E7815" s="6">
        <v>0</v>
      </c>
      <c r="F7815" s="6">
        <v>0</v>
      </c>
      <c r="G7815" s="6">
        <v>22</v>
      </c>
      <c r="H7815" s="6" t="s">
        <v>15950</v>
      </c>
      <c r="I7815" s="6">
        <v>526.6875</v>
      </c>
      <c r="J7815" s="2">
        <f t="shared" si="122"/>
        <v>43748.04854471064</v>
      </c>
    </row>
    <row r="7816" spans="1:10" x14ac:dyDescent="0.25">
      <c r="A7816" s="7" t="s">
        <v>15951</v>
      </c>
      <c r="B7816" s="8">
        <v>393.75</v>
      </c>
      <c r="C7816" s="8">
        <v>20.478950000000001</v>
      </c>
      <c r="D7816" s="8">
        <v>88</v>
      </c>
      <c r="E7816" s="8">
        <v>0</v>
      </c>
      <c r="F7816" s="8">
        <v>0</v>
      </c>
      <c r="G7816" s="8">
        <v>28</v>
      </c>
      <c r="H7816" s="8" t="s">
        <v>15952</v>
      </c>
      <c r="I7816" s="8">
        <v>526.6875</v>
      </c>
      <c r="J7816" s="3">
        <f t="shared" si="122"/>
        <v>43748.048615995365</v>
      </c>
    </row>
    <row r="7817" spans="1:10" x14ac:dyDescent="0.25">
      <c r="A7817" s="5" t="s">
        <v>15953</v>
      </c>
      <c r="B7817" s="6">
        <v>412.5</v>
      </c>
      <c r="C7817" s="6">
        <v>20.478950000000001</v>
      </c>
      <c r="D7817" s="6">
        <v>89</v>
      </c>
      <c r="E7817" s="6">
        <v>0</v>
      </c>
      <c r="F7817" s="6">
        <v>0</v>
      </c>
      <c r="G7817" s="6">
        <v>22</v>
      </c>
      <c r="H7817" s="6" t="s">
        <v>15954</v>
      </c>
      <c r="I7817" s="6">
        <v>532.3125</v>
      </c>
      <c r="J7817" s="2">
        <f t="shared" si="122"/>
        <v>43748.048687291659</v>
      </c>
    </row>
    <row r="7818" spans="1:10" x14ac:dyDescent="0.25">
      <c r="A7818" s="7" t="s">
        <v>15955</v>
      </c>
      <c r="B7818" s="8">
        <v>393.75</v>
      </c>
      <c r="C7818" s="8">
        <v>20.478950000000001</v>
      </c>
      <c r="D7818" s="8">
        <v>89</v>
      </c>
      <c r="E7818" s="8">
        <v>0</v>
      </c>
      <c r="F7818" s="8">
        <v>0</v>
      </c>
      <c r="G7818" s="8">
        <v>17</v>
      </c>
      <c r="H7818" s="8" t="s">
        <v>15956</v>
      </c>
      <c r="I7818" s="8">
        <v>526.6875</v>
      </c>
      <c r="J7818" s="3">
        <f t="shared" si="122"/>
        <v>43748.048758599536</v>
      </c>
    </row>
    <row r="7819" spans="1:10" x14ac:dyDescent="0.25">
      <c r="A7819" s="5" t="s">
        <v>15957</v>
      </c>
      <c r="B7819" s="6">
        <v>393.75</v>
      </c>
      <c r="C7819" s="6">
        <v>20.478950000000001</v>
      </c>
      <c r="D7819" s="6">
        <v>92</v>
      </c>
      <c r="E7819" s="6">
        <v>0</v>
      </c>
      <c r="F7819" s="6">
        <v>0</v>
      </c>
      <c r="G7819" s="6">
        <v>23</v>
      </c>
      <c r="H7819" s="6" t="s">
        <v>15958</v>
      </c>
      <c r="I7819" s="6">
        <v>526.5</v>
      </c>
      <c r="J7819" s="2">
        <f t="shared" si="122"/>
        <v>43748.048834525463</v>
      </c>
    </row>
    <row r="7820" spans="1:10" x14ac:dyDescent="0.25">
      <c r="A7820" s="7" t="s">
        <v>15959</v>
      </c>
      <c r="B7820" s="8">
        <v>393.75</v>
      </c>
      <c r="C7820" s="8">
        <v>20.478950000000001</v>
      </c>
      <c r="D7820" s="8">
        <v>92</v>
      </c>
      <c r="E7820" s="8">
        <v>0</v>
      </c>
      <c r="F7820" s="8">
        <v>0</v>
      </c>
      <c r="G7820" s="8">
        <v>23</v>
      </c>
      <c r="H7820" s="8" t="s">
        <v>15960</v>
      </c>
      <c r="I7820" s="8">
        <v>526.6875</v>
      </c>
      <c r="J7820" s="3">
        <f t="shared" si="122"/>
        <v>43748.048914155086</v>
      </c>
    </row>
    <row r="7821" spans="1:10" x14ac:dyDescent="0.25">
      <c r="A7821" s="5" t="s">
        <v>15961</v>
      </c>
      <c r="B7821" s="6">
        <v>393.75</v>
      </c>
      <c r="C7821" s="6">
        <v>20.426300000000001</v>
      </c>
      <c r="D7821" s="6">
        <v>92</v>
      </c>
      <c r="E7821" s="6">
        <v>0</v>
      </c>
      <c r="F7821" s="6">
        <v>0</v>
      </c>
      <c r="G7821" s="6">
        <v>33</v>
      </c>
      <c r="H7821" s="6" t="s">
        <v>15962</v>
      </c>
      <c r="I7821" s="6">
        <v>526.6875</v>
      </c>
      <c r="J7821" s="2">
        <f t="shared" si="122"/>
        <v>43748.048985439811</v>
      </c>
    </row>
    <row r="7822" spans="1:10" x14ac:dyDescent="0.25">
      <c r="A7822" s="7" t="s">
        <v>15963</v>
      </c>
      <c r="B7822" s="8">
        <v>393.75</v>
      </c>
      <c r="C7822" s="8">
        <v>20.478950000000001</v>
      </c>
      <c r="D7822" s="8">
        <v>92</v>
      </c>
      <c r="E7822" s="8">
        <v>0</v>
      </c>
      <c r="F7822" s="8">
        <v>0</v>
      </c>
      <c r="G7822" s="8">
        <v>22</v>
      </c>
      <c r="H7822" s="8" t="s">
        <v>15964</v>
      </c>
      <c r="I7822" s="8">
        <v>526.5</v>
      </c>
      <c r="J7822" s="3">
        <f t="shared" si="122"/>
        <v>43748.049056793978</v>
      </c>
    </row>
    <row r="7823" spans="1:10" x14ac:dyDescent="0.25">
      <c r="A7823" s="5" t="s">
        <v>15965</v>
      </c>
      <c r="B7823" s="6">
        <v>393.75</v>
      </c>
      <c r="C7823" s="6">
        <v>20.478950000000001</v>
      </c>
      <c r="D7823" s="6">
        <v>90</v>
      </c>
      <c r="E7823" s="6">
        <v>0</v>
      </c>
      <c r="F7823" s="6">
        <v>0</v>
      </c>
      <c r="G7823" s="6">
        <v>26</v>
      </c>
      <c r="H7823" s="6" t="s">
        <v>15966</v>
      </c>
      <c r="I7823" s="6">
        <v>526.6875</v>
      </c>
      <c r="J7823" s="2">
        <f t="shared" si="122"/>
        <v>43748.049128912033</v>
      </c>
    </row>
    <row r="7824" spans="1:10" x14ac:dyDescent="0.25">
      <c r="A7824" s="7" t="s">
        <v>15967</v>
      </c>
      <c r="B7824" s="8">
        <v>393.75</v>
      </c>
      <c r="C7824" s="8">
        <v>20.478950000000001</v>
      </c>
      <c r="D7824" s="8">
        <v>91</v>
      </c>
      <c r="E7824" s="8">
        <v>0</v>
      </c>
      <c r="F7824" s="8">
        <v>0</v>
      </c>
      <c r="G7824" s="8">
        <v>33</v>
      </c>
      <c r="H7824" s="8" t="s">
        <v>15968</v>
      </c>
      <c r="I7824" s="8">
        <v>526.6875</v>
      </c>
      <c r="J7824" s="3">
        <f t="shared" si="122"/>
        <v>43748.049200254631</v>
      </c>
    </row>
    <row r="7825" spans="1:10" x14ac:dyDescent="0.25">
      <c r="A7825" s="5" t="s">
        <v>15969</v>
      </c>
      <c r="B7825" s="6">
        <v>393.75</v>
      </c>
      <c r="C7825" s="6">
        <v>20.478950000000001</v>
      </c>
      <c r="D7825" s="6">
        <v>91</v>
      </c>
      <c r="E7825" s="6">
        <v>0</v>
      </c>
      <c r="F7825" s="6">
        <v>0</v>
      </c>
      <c r="G7825" s="6">
        <v>26</v>
      </c>
      <c r="H7825" s="6" t="s">
        <v>15970</v>
      </c>
      <c r="I7825" s="6">
        <v>526.6875</v>
      </c>
      <c r="J7825" s="2">
        <f t="shared" si="122"/>
        <v>43748.049271562493</v>
      </c>
    </row>
    <row r="7826" spans="1:10" x14ac:dyDescent="0.25">
      <c r="A7826" s="7" t="s">
        <v>15971</v>
      </c>
      <c r="B7826" s="8">
        <v>393.75</v>
      </c>
      <c r="C7826" s="8">
        <v>20.478950000000001</v>
      </c>
      <c r="D7826" s="8">
        <v>91</v>
      </c>
      <c r="E7826" s="8">
        <v>0</v>
      </c>
      <c r="F7826" s="8">
        <v>0</v>
      </c>
      <c r="G7826" s="8">
        <v>25</v>
      </c>
      <c r="H7826" s="8" t="s">
        <v>15972</v>
      </c>
      <c r="I7826" s="8">
        <v>526.6875</v>
      </c>
      <c r="J7826" s="3">
        <f t="shared" si="122"/>
        <v>43748.049366863423</v>
      </c>
    </row>
    <row r="7827" spans="1:10" x14ac:dyDescent="0.25">
      <c r="A7827" s="5" t="s">
        <v>15973</v>
      </c>
      <c r="B7827" s="6">
        <v>393.75</v>
      </c>
      <c r="C7827" s="6">
        <v>20.478950000000001</v>
      </c>
      <c r="D7827" s="6">
        <v>93</v>
      </c>
      <c r="E7827" s="6">
        <v>0</v>
      </c>
      <c r="F7827" s="6">
        <v>0</v>
      </c>
      <c r="G7827" s="6">
        <v>23</v>
      </c>
      <c r="H7827" s="6" t="s">
        <v>15974</v>
      </c>
      <c r="I7827" s="6">
        <v>526.6875</v>
      </c>
      <c r="J7827" s="2">
        <f t="shared" si="122"/>
        <v>43748.049439085647</v>
      </c>
    </row>
    <row r="7828" spans="1:10" x14ac:dyDescent="0.25">
      <c r="A7828" s="7" t="s">
        <v>15975</v>
      </c>
      <c r="B7828" s="8">
        <v>393.75</v>
      </c>
      <c r="C7828" s="8">
        <v>20.478950000000001</v>
      </c>
      <c r="D7828" s="8">
        <v>93</v>
      </c>
      <c r="E7828" s="8">
        <v>0</v>
      </c>
      <c r="F7828" s="8">
        <v>0</v>
      </c>
      <c r="G7828" s="8">
        <v>27</v>
      </c>
      <c r="H7828" s="8" t="s">
        <v>15976</v>
      </c>
      <c r="I7828" s="8">
        <v>526.6875</v>
      </c>
      <c r="J7828" s="3">
        <f t="shared" si="122"/>
        <v>43748.049510474535</v>
      </c>
    </row>
    <row r="7829" spans="1:10" x14ac:dyDescent="0.25">
      <c r="A7829" s="5" t="s">
        <v>15977</v>
      </c>
      <c r="B7829" s="6">
        <v>393.75</v>
      </c>
      <c r="C7829" s="6">
        <v>20.478950000000001</v>
      </c>
      <c r="D7829" s="6">
        <v>89</v>
      </c>
      <c r="E7829" s="6">
        <v>0</v>
      </c>
      <c r="F7829" s="6">
        <v>0</v>
      </c>
      <c r="G7829" s="6">
        <v>23</v>
      </c>
      <c r="H7829" s="6" t="s">
        <v>15978</v>
      </c>
      <c r="I7829" s="6">
        <v>526.6875</v>
      </c>
      <c r="J7829" s="2">
        <f t="shared" si="122"/>
        <v>43748.049581805557</v>
      </c>
    </row>
    <row r="7830" spans="1:10" x14ac:dyDescent="0.25">
      <c r="A7830" s="7" t="s">
        <v>15979</v>
      </c>
      <c r="B7830" s="8">
        <v>393.75</v>
      </c>
      <c r="C7830" s="8">
        <v>20.478950000000001</v>
      </c>
      <c r="D7830" s="8">
        <v>89</v>
      </c>
      <c r="E7830" s="8">
        <v>0</v>
      </c>
      <c r="F7830" s="8">
        <v>0</v>
      </c>
      <c r="G7830" s="8">
        <v>17</v>
      </c>
      <c r="H7830" s="8" t="s">
        <v>15980</v>
      </c>
      <c r="I7830" s="8">
        <v>526.6875</v>
      </c>
      <c r="J7830" s="3">
        <f t="shared" si="122"/>
        <v>43748.049653032409</v>
      </c>
    </row>
    <row r="7831" spans="1:10" x14ac:dyDescent="0.25">
      <c r="A7831" s="5" t="s">
        <v>15981</v>
      </c>
      <c r="B7831" s="6">
        <v>393.75</v>
      </c>
      <c r="C7831" s="6">
        <v>20.478950000000001</v>
      </c>
      <c r="D7831" s="6">
        <v>89</v>
      </c>
      <c r="E7831" s="6">
        <v>0</v>
      </c>
      <c r="F7831" s="6">
        <v>0</v>
      </c>
      <c r="G7831" s="6">
        <v>22</v>
      </c>
      <c r="H7831" s="6" t="s">
        <v>15982</v>
      </c>
      <c r="I7831" s="6">
        <v>526.6875</v>
      </c>
      <c r="J7831" s="2">
        <f t="shared" si="122"/>
        <v>43748.049725486104</v>
      </c>
    </row>
    <row r="7832" spans="1:10" x14ac:dyDescent="0.25">
      <c r="A7832" s="7" t="s">
        <v>15983</v>
      </c>
      <c r="B7832" s="8">
        <v>393.75</v>
      </c>
      <c r="C7832" s="8">
        <v>20.478950000000001</v>
      </c>
      <c r="D7832" s="8">
        <v>89</v>
      </c>
      <c r="E7832" s="8">
        <v>0</v>
      </c>
      <c r="F7832" s="8">
        <v>0</v>
      </c>
      <c r="G7832" s="8">
        <v>24</v>
      </c>
      <c r="H7832" s="8" t="s">
        <v>15984</v>
      </c>
      <c r="I7832" s="8">
        <v>526.6875</v>
      </c>
      <c r="J7832" s="3">
        <f t="shared" si="122"/>
        <v>43748.049796400461</v>
      </c>
    </row>
    <row r="7833" spans="1:10" x14ac:dyDescent="0.25">
      <c r="A7833" s="5" t="s">
        <v>15985</v>
      </c>
      <c r="B7833" s="6">
        <v>393.75</v>
      </c>
      <c r="C7833" s="6">
        <v>20.426300000000001</v>
      </c>
      <c r="D7833" s="6">
        <v>90</v>
      </c>
      <c r="E7833" s="6">
        <v>0</v>
      </c>
      <c r="F7833" s="6">
        <v>0</v>
      </c>
      <c r="G7833" s="6">
        <v>16</v>
      </c>
      <c r="H7833" s="6" t="s">
        <v>15986</v>
      </c>
      <c r="I7833" s="6">
        <v>526.6875</v>
      </c>
      <c r="J7833" s="2">
        <f t="shared" si="122"/>
        <v>43748.049867847221</v>
      </c>
    </row>
    <row r="7834" spans="1:10" x14ac:dyDescent="0.25">
      <c r="A7834" s="7" t="s">
        <v>15987</v>
      </c>
      <c r="B7834" s="8">
        <v>393.75</v>
      </c>
      <c r="C7834" s="8">
        <v>20.478950000000001</v>
      </c>
      <c r="D7834" s="8">
        <v>91</v>
      </c>
      <c r="E7834" s="8">
        <v>0</v>
      </c>
      <c r="F7834" s="8">
        <v>0</v>
      </c>
      <c r="G7834" s="8">
        <v>26</v>
      </c>
      <c r="H7834" s="8" t="s">
        <v>15988</v>
      </c>
      <c r="I7834" s="8">
        <v>526.6875</v>
      </c>
      <c r="J7834" s="3">
        <f t="shared" si="122"/>
        <v>43748.049951215275</v>
      </c>
    </row>
    <row r="7835" spans="1:10" x14ac:dyDescent="0.25">
      <c r="A7835" s="5" t="s">
        <v>15989</v>
      </c>
      <c r="B7835" s="6">
        <v>425</v>
      </c>
      <c r="C7835" s="6">
        <v>20.478950000000001</v>
      </c>
      <c r="D7835" s="6">
        <v>92</v>
      </c>
      <c r="E7835" s="6">
        <v>0</v>
      </c>
      <c r="F7835" s="6">
        <v>0</v>
      </c>
      <c r="G7835" s="6">
        <v>23</v>
      </c>
      <c r="H7835" s="6" t="s">
        <v>15990</v>
      </c>
      <c r="I7835" s="6">
        <v>536.0625</v>
      </c>
      <c r="J7835" s="2">
        <f t="shared" si="122"/>
        <v>43748.050023368058</v>
      </c>
    </row>
    <row r="7836" spans="1:10" x14ac:dyDescent="0.25">
      <c r="A7836" s="7" t="s">
        <v>15991</v>
      </c>
      <c r="B7836" s="8">
        <v>393.75</v>
      </c>
      <c r="C7836" s="8">
        <v>20.478950000000001</v>
      </c>
      <c r="D7836" s="8">
        <v>92</v>
      </c>
      <c r="E7836" s="8">
        <v>0</v>
      </c>
      <c r="F7836" s="8">
        <v>0</v>
      </c>
      <c r="G7836" s="8">
        <v>19</v>
      </c>
      <c r="H7836" s="8" t="s">
        <v>15992</v>
      </c>
      <c r="I7836" s="8">
        <v>526.6875</v>
      </c>
      <c r="J7836" s="3">
        <f t="shared" si="122"/>
        <v>43748.050094814811</v>
      </c>
    </row>
    <row r="7837" spans="1:10" x14ac:dyDescent="0.25">
      <c r="A7837" s="5" t="s">
        <v>15993</v>
      </c>
      <c r="B7837" s="6">
        <v>393.75</v>
      </c>
      <c r="C7837" s="6">
        <v>20.478950000000001</v>
      </c>
      <c r="D7837" s="6">
        <v>92</v>
      </c>
      <c r="E7837" s="6">
        <v>0</v>
      </c>
      <c r="F7837" s="6">
        <v>0</v>
      </c>
      <c r="G7837" s="6">
        <v>23</v>
      </c>
      <c r="H7837" s="6" t="s">
        <v>15994</v>
      </c>
      <c r="I7837" s="6">
        <v>526.6875</v>
      </c>
      <c r="J7837" s="2">
        <f t="shared" si="122"/>
        <v>43748.050166006942</v>
      </c>
    </row>
    <row r="7838" spans="1:10" x14ac:dyDescent="0.25">
      <c r="A7838" s="7" t="s">
        <v>15995</v>
      </c>
      <c r="B7838" s="8">
        <v>393.75</v>
      </c>
      <c r="C7838" s="8">
        <v>20.478950000000001</v>
      </c>
      <c r="D7838" s="8">
        <v>93</v>
      </c>
      <c r="E7838" s="8">
        <v>0</v>
      </c>
      <c r="F7838" s="8">
        <v>0</v>
      </c>
      <c r="G7838" s="8">
        <v>20</v>
      </c>
      <c r="H7838" s="8" t="s">
        <v>15996</v>
      </c>
      <c r="I7838" s="8">
        <v>526.6875</v>
      </c>
      <c r="J7838" s="3">
        <f t="shared" si="122"/>
        <v>43748.050261365737</v>
      </c>
    </row>
    <row r="7839" spans="1:10" x14ac:dyDescent="0.25">
      <c r="A7839" s="5" t="s">
        <v>15997</v>
      </c>
      <c r="B7839" s="6">
        <v>393.75</v>
      </c>
      <c r="C7839" s="6">
        <v>20.478950000000001</v>
      </c>
      <c r="D7839" s="6">
        <v>94</v>
      </c>
      <c r="E7839" s="6">
        <v>0</v>
      </c>
      <c r="F7839" s="6">
        <v>0</v>
      </c>
      <c r="G7839" s="6">
        <v>23</v>
      </c>
      <c r="H7839" s="6" t="s">
        <v>15998</v>
      </c>
      <c r="I7839" s="6">
        <v>526.6875</v>
      </c>
      <c r="J7839" s="2">
        <f t="shared" si="122"/>
        <v>43748.050344641197</v>
      </c>
    </row>
    <row r="7840" spans="1:10" x14ac:dyDescent="0.25">
      <c r="A7840" s="7" t="s">
        <v>15999</v>
      </c>
      <c r="B7840" s="8">
        <v>406.25</v>
      </c>
      <c r="C7840" s="8">
        <v>20.478950000000001</v>
      </c>
      <c r="D7840" s="8">
        <v>94</v>
      </c>
      <c r="E7840" s="8">
        <v>0</v>
      </c>
      <c r="F7840" s="8">
        <v>0</v>
      </c>
      <c r="G7840" s="8">
        <v>18</v>
      </c>
      <c r="H7840" s="8" t="s">
        <v>16000</v>
      </c>
      <c r="I7840" s="8">
        <v>530.4375</v>
      </c>
      <c r="J7840" s="3">
        <f t="shared" si="122"/>
        <v>43748.050440231476</v>
      </c>
    </row>
    <row r="7841" spans="1:10" x14ac:dyDescent="0.25">
      <c r="A7841" s="5" t="s">
        <v>16001</v>
      </c>
      <c r="B7841" s="6">
        <v>393.75</v>
      </c>
      <c r="C7841" s="6">
        <v>20.478950000000001</v>
      </c>
      <c r="D7841" s="6">
        <v>94</v>
      </c>
      <c r="E7841" s="6">
        <v>0</v>
      </c>
      <c r="F7841" s="6">
        <v>0</v>
      </c>
      <c r="G7841" s="6">
        <v>27</v>
      </c>
      <c r="H7841" s="6" t="s">
        <v>16002</v>
      </c>
      <c r="I7841" s="6">
        <v>526.6875</v>
      </c>
      <c r="J7841" s="2">
        <f t="shared" si="122"/>
        <v>43748.050512152775</v>
      </c>
    </row>
    <row r="7842" spans="1:10" x14ac:dyDescent="0.25">
      <c r="A7842" s="7" t="s">
        <v>16003</v>
      </c>
      <c r="B7842" s="8">
        <v>393.75</v>
      </c>
      <c r="C7842" s="8">
        <v>20.426300000000001</v>
      </c>
      <c r="D7842" s="8">
        <v>94</v>
      </c>
      <c r="E7842" s="8">
        <v>0</v>
      </c>
      <c r="F7842" s="8">
        <v>0</v>
      </c>
      <c r="G7842" s="8">
        <v>30</v>
      </c>
      <c r="H7842" s="8" t="s">
        <v>16004</v>
      </c>
      <c r="I7842" s="8">
        <v>526.6875</v>
      </c>
      <c r="J7842" s="3">
        <f t="shared" si="122"/>
        <v>43748.050582800926</v>
      </c>
    </row>
    <row r="7843" spans="1:10" x14ac:dyDescent="0.25">
      <c r="A7843" s="5" t="s">
        <v>16005</v>
      </c>
      <c r="B7843" s="6">
        <v>393.75</v>
      </c>
      <c r="C7843" s="6">
        <v>20.478950000000001</v>
      </c>
      <c r="D7843" s="6">
        <v>93</v>
      </c>
      <c r="E7843" s="6">
        <v>0</v>
      </c>
      <c r="F7843" s="6">
        <v>0</v>
      </c>
      <c r="G7843" s="6">
        <v>19</v>
      </c>
      <c r="H7843" s="6" t="s">
        <v>16006</v>
      </c>
      <c r="I7843" s="6">
        <v>526.6875</v>
      </c>
      <c r="J7843" s="2">
        <f t="shared" si="122"/>
        <v>43748.050654918981</v>
      </c>
    </row>
    <row r="7844" spans="1:10" x14ac:dyDescent="0.25">
      <c r="A7844" s="7" t="s">
        <v>16007</v>
      </c>
      <c r="B7844" s="8">
        <v>393.75</v>
      </c>
      <c r="C7844" s="8">
        <v>20.478950000000001</v>
      </c>
      <c r="D7844" s="8">
        <v>93</v>
      </c>
      <c r="E7844" s="8">
        <v>0</v>
      </c>
      <c r="F7844" s="8">
        <v>0</v>
      </c>
      <c r="G7844" s="8">
        <v>22</v>
      </c>
      <c r="H7844" s="8" t="s">
        <v>16008</v>
      </c>
      <c r="I7844" s="8">
        <v>526.6875</v>
      </c>
      <c r="J7844" s="3">
        <f t="shared" si="122"/>
        <v>43748.050726203706</v>
      </c>
    </row>
    <row r="7845" spans="1:10" x14ac:dyDescent="0.25">
      <c r="A7845" s="5" t="s">
        <v>16009</v>
      </c>
      <c r="B7845" s="6">
        <v>396.875</v>
      </c>
      <c r="C7845" s="6">
        <v>20.478950000000001</v>
      </c>
      <c r="D7845" s="6">
        <v>91</v>
      </c>
      <c r="E7845" s="6">
        <v>0</v>
      </c>
      <c r="F7845" s="6">
        <v>0</v>
      </c>
      <c r="G7845" s="6">
        <v>16</v>
      </c>
      <c r="H7845" s="6" t="s">
        <v>16010</v>
      </c>
      <c r="I7845" s="6">
        <v>527.4375</v>
      </c>
      <c r="J7845" s="2">
        <f t="shared" si="122"/>
        <v>43748.050798252312</v>
      </c>
    </row>
    <row r="7846" spans="1:10" x14ac:dyDescent="0.25">
      <c r="A7846" s="7" t="s">
        <v>16011</v>
      </c>
      <c r="B7846" s="8">
        <v>396.875</v>
      </c>
      <c r="C7846" s="8">
        <v>20.478950000000001</v>
      </c>
      <c r="D7846" s="8">
        <v>91</v>
      </c>
      <c r="E7846" s="8">
        <v>0</v>
      </c>
      <c r="F7846" s="8">
        <v>0</v>
      </c>
      <c r="G7846" s="8">
        <v>16</v>
      </c>
      <c r="H7846" s="8" t="s">
        <v>16012</v>
      </c>
      <c r="I7846" s="8">
        <v>527.4375</v>
      </c>
      <c r="J7846" s="3">
        <f t="shared" si="122"/>
        <v>43748.050869733794</v>
      </c>
    </row>
    <row r="7847" spans="1:10" x14ac:dyDescent="0.25">
      <c r="A7847" s="5" t="s">
        <v>16013</v>
      </c>
      <c r="B7847" s="6">
        <v>396.875</v>
      </c>
      <c r="C7847" s="6">
        <v>20.478950000000001</v>
      </c>
      <c r="D7847" s="6">
        <v>91</v>
      </c>
      <c r="E7847" s="6">
        <v>0</v>
      </c>
      <c r="F7847" s="6">
        <v>0</v>
      </c>
      <c r="G7847" s="6">
        <v>18</v>
      </c>
      <c r="H7847" s="6" t="s">
        <v>16014</v>
      </c>
      <c r="I7847" s="6">
        <v>527.4375</v>
      </c>
      <c r="J7847" s="2">
        <f t="shared" si="122"/>
        <v>43748.050941145826</v>
      </c>
    </row>
    <row r="7848" spans="1:10" x14ac:dyDescent="0.25">
      <c r="A7848" s="7" t="s">
        <v>16015</v>
      </c>
      <c r="B7848" s="8">
        <v>415.625</v>
      </c>
      <c r="C7848" s="8">
        <v>20.478950000000001</v>
      </c>
      <c r="D7848" s="8">
        <v>91</v>
      </c>
      <c r="E7848" s="8">
        <v>0</v>
      </c>
      <c r="F7848" s="8">
        <v>0</v>
      </c>
      <c r="G7848" s="8">
        <v>21</v>
      </c>
      <c r="H7848" s="8" t="s">
        <v>16016</v>
      </c>
      <c r="I7848" s="8">
        <v>533.25</v>
      </c>
      <c r="J7848" s="3">
        <f t="shared" si="122"/>
        <v>43748.051012314812</v>
      </c>
    </row>
    <row r="7849" spans="1:10" x14ac:dyDescent="0.25">
      <c r="A7849" s="5" t="s">
        <v>16017</v>
      </c>
      <c r="B7849" s="6">
        <v>393.75</v>
      </c>
      <c r="C7849" s="6">
        <v>20.478950000000001</v>
      </c>
      <c r="D7849" s="6">
        <v>90</v>
      </c>
      <c r="E7849" s="6">
        <v>0</v>
      </c>
      <c r="F7849" s="6">
        <v>0</v>
      </c>
      <c r="G7849" s="6">
        <v>21</v>
      </c>
      <c r="H7849" s="6" t="s">
        <v>16018</v>
      </c>
      <c r="I7849" s="6">
        <v>526.6875</v>
      </c>
      <c r="J7849" s="2">
        <f t="shared" si="122"/>
        <v>43748.051084548606</v>
      </c>
    </row>
    <row r="7850" spans="1:10" x14ac:dyDescent="0.25">
      <c r="A7850" s="7" t="s">
        <v>16019</v>
      </c>
      <c r="B7850" s="8">
        <v>393.75</v>
      </c>
      <c r="C7850" s="8">
        <v>20.478950000000001</v>
      </c>
      <c r="D7850" s="8">
        <v>90</v>
      </c>
      <c r="E7850" s="8">
        <v>0</v>
      </c>
      <c r="F7850" s="8">
        <v>0</v>
      </c>
      <c r="G7850" s="8">
        <v>19</v>
      </c>
      <c r="H7850" s="8" t="s">
        <v>16020</v>
      </c>
      <c r="I7850" s="8">
        <v>526.6875</v>
      </c>
      <c r="J7850" s="3">
        <f t="shared" si="122"/>
        <v>43748.051155833331</v>
      </c>
    </row>
    <row r="7851" spans="1:10" x14ac:dyDescent="0.25">
      <c r="A7851" s="5" t="s">
        <v>16021</v>
      </c>
      <c r="B7851" s="6">
        <v>393.75</v>
      </c>
      <c r="C7851" s="6">
        <v>20.478950000000001</v>
      </c>
      <c r="D7851" s="6">
        <v>91</v>
      </c>
      <c r="E7851" s="6">
        <v>0</v>
      </c>
      <c r="F7851" s="6">
        <v>0</v>
      </c>
      <c r="G7851" s="6">
        <v>16</v>
      </c>
      <c r="H7851" s="6" t="s">
        <v>16022</v>
      </c>
      <c r="I7851" s="6">
        <v>526.6875</v>
      </c>
      <c r="J7851" s="2">
        <f t="shared" si="122"/>
        <v>43748.051227141201</v>
      </c>
    </row>
    <row r="7852" spans="1:10" x14ac:dyDescent="0.25">
      <c r="A7852" s="7" t="s">
        <v>16023</v>
      </c>
      <c r="B7852" s="8">
        <v>393.75</v>
      </c>
      <c r="C7852" s="8">
        <v>20.426300000000001</v>
      </c>
      <c r="D7852" s="8">
        <v>91</v>
      </c>
      <c r="E7852" s="8">
        <v>0</v>
      </c>
      <c r="F7852" s="8">
        <v>0</v>
      </c>
      <c r="G7852" s="8">
        <v>23</v>
      </c>
      <c r="H7852" s="8" t="s">
        <v>16024</v>
      </c>
      <c r="I7852" s="8">
        <v>526.6875</v>
      </c>
      <c r="J7852" s="3">
        <f t="shared" si="122"/>
        <v>43748.051298425919</v>
      </c>
    </row>
    <row r="7853" spans="1:10" x14ac:dyDescent="0.25">
      <c r="A7853" s="5" t="s">
        <v>16025</v>
      </c>
      <c r="B7853" s="6">
        <v>393.75</v>
      </c>
      <c r="C7853" s="6">
        <v>20.478950000000001</v>
      </c>
      <c r="D7853" s="6">
        <v>91</v>
      </c>
      <c r="E7853" s="6">
        <v>0</v>
      </c>
      <c r="F7853" s="6">
        <v>0</v>
      </c>
      <c r="G7853" s="6">
        <v>22</v>
      </c>
      <c r="H7853" s="6" t="s">
        <v>16026</v>
      </c>
      <c r="I7853" s="6">
        <v>526.6875</v>
      </c>
      <c r="J7853" s="2">
        <f t="shared" si="122"/>
        <v>43748.051370648151</v>
      </c>
    </row>
    <row r="7854" spans="1:10" x14ac:dyDescent="0.25">
      <c r="A7854" s="7" t="s">
        <v>16027</v>
      </c>
      <c r="B7854" s="8">
        <v>393.75</v>
      </c>
      <c r="C7854" s="8">
        <v>20.478950000000001</v>
      </c>
      <c r="D7854" s="8">
        <v>92</v>
      </c>
      <c r="E7854" s="8">
        <v>0</v>
      </c>
      <c r="F7854" s="8">
        <v>0</v>
      </c>
      <c r="G7854" s="8">
        <v>26</v>
      </c>
      <c r="H7854" s="8" t="s">
        <v>16028</v>
      </c>
      <c r="I7854" s="8">
        <v>526.6875</v>
      </c>
      <c r="J7854" s="3">
        <f t="shared" si="122"/>
        <v>43748.051441956013</v>
      </c>
    </row>
    <row r="7855" spans="1:10" x14ac:dyDescent="0.25">
      <c r="A7855" s="5" t="s">
        <v>16029</v>
      </c>
      <c r="B7855" s="6">
        <v>393.75</v>
      </c>
      <c r="C7855" s="6">
        <v>20.478950000000001</v>
      </c>
      <c r="D7855" s="6">
        <v>96</v>
      </c>
      <c r="E7855" s="6">
        <v>0</v>
      </c>
      <c r="F7855" s="6">
        <v>0</v>
      </c>
      <c r="G7855" s="6">
        <v>17</v>
      </c>
      <c r="H7855" s="6" t="s">
        <v>16030</v>
      </c>
      <c r="I7855" s="6">
        <v>526.6875</v>
      </c>
      <c r="J7855" s="2">
        <f t="shared" si="122"/>
        <v>43748.051513240738</v>
      </c>
    </row>
    <row r="7856" spans="1:10" x14ac:dyDescent="0.25">
      <c r="A7856" s="7" t="s">
        <v>16031</v>
      </c>
      <c r="B7856" s="8">
        <v>393.75</v>
      </c>
      <c r="C7856" s="8">
        <v>20.478950000000001</v>
      </c>
      <c r="D7856" s="8">
        <v>96</v>
      </c>
      <c r="E7856" s="8">
        <v>0</v>
      </c>
      <c r="F7856" s="8">
        <v>0</v>
      </c>
      <c r="G7856" s="8">
        <v>16</v>
      </c>
      <c r="H7856" s="8" t="s">
        <v>16032</v>
      </c>
      <c r="I7856" s="8">
        <v>526.5</v>
      </c>
      <c r="J7856" s="3">
        <f t="shared" si="122"/>
        <v>43748.051584594905</v>
      </c>
    </row>
    <row r="7857" spans="1:10" x14ac:dyDescent="0.25">
      <c r="A7857" s="5" t="s">
        <v>16033</v>
      </c>
      <c r="B7857" s="6">
        <v>412.5</v>
      </c>
      <c r="C7857" s="6">
        <v>20.426300000000001</v>
      </c>
      <c r="D7857" s="6">
        <v>97</v>
      </c>
      <c r="E7857" s="6">
        <v>0</v>
      </c>
      <c r="F7857" s="6">
        <v>0</v>
      </c>
      <c r="G7857" s="6">
        <v>19</v>
      </c>
      <c r="H7857" s="6" t="s">
        <v>16034</v>
      </c>
      <c r="I7857" s="6">
        <v>532.125</v>
      </c>
      <c r="J7857" s="2">
        <f t="shared" si="122"/>
        <v>43748.051656134259</v>
      </c>
    </row>
    <row r="7858" spans="1:10" x14ac:dyDescent="0.25">
      <c r="A7858" s="7" t="s">
        <v>16035</v>
      </c>
      <c r="B7858" s="8">
        <v>393.75</v>
      </c>
      <c r="C7858" s="8">
        <v>20.426300000000001</v>
      </c>
      <c r="D7858" s="8">
        <v>97</v>
      </c>
      <c r="E7858" s="8">
        <v>0</v>
      </c>
      <c r="F7858" s="8">
        <v>0</v>
      </c>
      <c r="G7858" s="8">
        <v>18</v>
      </c>
      <c r="H7858" s="8" t="s">
        <v>16036</v>
      </c>
      <c r="I7858" s="8">
        <v>526.6875</v>
      </c>
      <c r="J7858" s="3">
        <f t="shared" si="122"/>
        <v>43748.051728067127</v>
      </c>
    </row>
    <row r="7859" spans="1:10" x14ac:dyDescent="0.25">
      <c r="A7859" s="5" t="s">
        <v>16037</v>
      </c>
      <c r="B7859" s="6">
        <v>393.75</v>
      </c>
      <c r="C7859" s="6">
        <v>20.426300000000001</v>
      </c>
      <c r="D7859" s="6">
        <v>96</v>
      </c>
      <c r="E7859" s="6">
        <v>0</v>
      </c>
      <c r="F7859" s="6">
        <v>0</v>
      </c>
      <c r="G7859" s="6">
        <v>22</v>
      </c>
      <c r="H7859" s="6" t="s">
        <v>16038</v>
      </c>
      <c r="I7859" s="6">
        <v>526.6875</v>
      </c>
      <c r="J7859" s="2">
        <f t="shared" si="122"/>
        <v>43748.051799351852</v>
      </c>
    </row>
    <row r="7860" spans="1:10" x14ac:dyDescent="0.25">
      <c r="A7860" s="7" t="s">
        <v>16039</v>
      </c>
      <c r="B7860" s="8">
        <v>393.75</v>
      </c>
      <c r="C7860" s="8">
        <v>20.478950000000001</v>
      </c>
      <c r="D7860" s="8">
        <v>94</v>
      </c>
      <c r="E7860" s="8">
        <v>0</v>
      </c>
      <c r="F7860" s="8">
        <v>0</v>
      </c>
      <c r="G7860" s="8">
        <v>20</v>
      </c>
      <c r="H7860" s="8" t="s">
        <v>16040</v>
      </c>
      <c r="I7860" s="8">
        <v>526.6875</v>
      </c>
      <c r="J7860" s="3">
        <f t="shared" si="122"/>
        <v>43748.051870763891</v>
      </c>
    </row>
    <row r="7861" spans="1:10" x14ac:dyDescent="0.25">
      <c r="A7861" s="5" t="s">
        <v>16041</v>
      </c>
      <c r="B7861" s="6">
        <v>393.75</v>
      </c>
      <c r="C7861" s="6">
        <v>20.478950000000001</v>
      </c>
      <c r="D7861" s="6">
        <v>93</v>
      </c>
      <c r="E7861" s="6">
        <v>0</v>
      </c>
      <c r="F7861" s="6">
        <v>0</v>
      </c>
      <c r="G7861" s="6">
        <v>30</v>
      </c>
      <c r="H7861" s="6" t="s">
        <v>16042</v>
      </c>
      <c r="I7861" s="6">
        <v>526.5</v>
      </c>
      <c r="J7861" s="2">
        <f t="shared" si="122"/>
        <v>43748.051942870363</v>
      </c>
    </row>
    <row r="7862" spans="1:10" x14ac:dyDescent="0.25">
      <c r="A7862" s="7" t="s">
        <v>16043</v>
      </c>
      <c r="B7862" s="8">
        <v>393.75</v>
      </c>
      <c r="C7862" s="8">
        <v>20.478950000000001</v>
      </c>
      <c r="D7862" s="8">
        <v>92</v>
      </c>
      <c r="E7862" s="8">
        <v>0</v>
      </c>
      <c r="F7862" s="8">
        <v>0</v>
      </c>
      <c r="G7862" s="8">
        <v>16</v>
      </c>
      <c r="H7862" s="8" t="s">
        <v>16044</v>
      </c>
      <c r="I7862" s="8">
        <v>526.6875</v>
      </c>
      <c r="J7862" s="3">
        <f t="shared" si="122"/>
        <v>43748.052014108798</v>
      </c>
    </row>
    <row r="7863" spans="1:10" x14ac:dyDescent="0.25">
      <c r="A7863" s="5" t="s">
        <v>16045</v>
      </c>
      <c r="B7863" s="6">
        <v>393.75</v>
      </c>
      <c r="C7863" s="6">
        <v>20.478950000000001</v>
      </c>
      <c r="D7863" s="6">
        <v>92</v>
      </c>
      <c r="E7863" s="6">
        <v>0</v>
      </c>
      <c r="F7863" s="6">
        <v>0</v>
      </c>
      <c r="G7863" s="6">
        <v>18</v>
      </c>
      <c r="H7863" s="6" t="s">
        <v>16046</v>
      </c>
      <c r="I7863" s="6">
        <v>526.6875</v>
      </c>
      <c r="J7863" s="2">
        <f t="shared" si="122"/>
        <v>43748.052085474534</v>
      </c>
    </row>
    <row r="7864" spans="1:10" x14ac:dyDescent="0.25">
      <c r="A7864" s="7" t="s">
        <v>16047</v>
      </c>
      <c r="B7864" s="8">
        <v>396.875</v>
      </c>
      <c r="C7864" s="8">
        <v>20.478950000000001</v>
      </c>
      <c r="D7864" s="8">
        <v>93</v>
      </c>
      <c r="E7864" s="8">
        <v>0</v>
      </c>
      <c r="F7864" s="8">
        <v>0</v>
      </c>
      <c r="G7864" s="8">
        <v>18</v>
      </c>
      <c r="H7864" s="8" t="s">
        <v>16048</v>
      </c>
      <c r="I7864" s="8">
        <v>527.4375</v>
      </c>
      <c r="J7864" s="3">
        <f t="shared" si="122"/>
        <v>43748.052157511571</v>
      </c>
    </row>
    <row r="7865" spans="1:10" x14ac:dyDescent="0.25">
      <c r="A7865" s="5" t="s">
        <v>16049</v>
      </c>
      <c r="B7865" s="6">
        <v>396.875</v>
      </c>
      <c r="C7865" s="6">
        <v>20.426300000000001</v>
      </c>
      <c r="D7865" s="6">
        <v>93</v>
      </c>
      <c r="E7865" s="6">
        <v>0</v>
      </c>
      <c r="F7865" s="6">
        <v>0</v>
      </c>
      <c r="G7865" s="6">
        <v>19</v>
      </c>
      <c r="H7865" s="6" t="s">
        <v>16050</v>
      </c>
      <c r="I7865" s="6">
        <v>527.4375</v>
      </c>
      <c r="J7865" s="2">
        <f t="shared" si="122"/>
        <v>43748.052241030091</v>
      </c>
    </row>
    <row r="7866" spans="1:10" x14ac:dyDescent="0.25">
      <c r="A7866" s="7" t="s">
        <v>16051</v>
      </c>
      <c r="B7866" s="8">
        <v>396.875</v>
      </c>
      <c r="C7866" s="8">
        <v>20.478950000000001</v>
      </c>
      <c r="D7866" s="8">
        <v>93</v>
      </c>
      <c r="E7866" s="8">
        <v>0</v>
      </c>
      <c r="F7866" s="8">
        <v>0</v>
      </c>
      <c r="G7866" s="8">
        <v>24</v>
      </c>
      <c r="H7866" s="8" t="s">
        <v>16052</v>
      </c>
      <c r="I7866" s="8">
        <v>527.4375</v>
      </c>
      <c r="J7866" s="3">
        <f t="shared" si="122"/>
        <v>43748.052312314809</v>
      </c>
    </row>
    <row r="7867" spans="1:10" x14ac:dyDescent="0.25">
      <c r="A7867" s="5" t="s">
        <v>16053</v>
      </c>
      <c r="B7867" s="6">
        <v>396.875</v>
      </c>
      <c r="C7867" s="6">
        <v>20.478950000000001</v>
      </c>
      <c r="D7867" s="6">
        <v>93</v>
      </c>
      <c r="E7867" s="6">
        <v>0</v>
      </c>
      <c r="F7867" s="6">
        <v>0</v>
      </c>
      <c r="G7867" s="6">
        <v>19</v>
      </c>
      <c r="H7867" s="6" t="s">
        <v>16054</v>
      </c>
      <c r="I7867" s="6">
        <v>527.4375</v>
      </c>
      <c r="J7867" s="2">
        <f t="shared" si="122"/>
        <v>43748.052395682869</v>
      </c>
    </row>
    <row r="7868" spans="1:10" x14ac:dyDescent="0.25">
      <c r="A7868" s="7" t="s">
        <v>16055</v>
      </c>
      <c r="B7868" s="8">
        <v>421.875</v>
      </c>
      <c r="C7868" s="8">
        <v>20.478950000000001</v>
      </c>
      <c r="D7868" s="8">
        <v>93</v>
      </c>
      <c r="E7868" s="8">
        <v>0</v>
      </c>
      <c r="F7868" s="8">
        <v>0</v>
      </c>
      <c r="G7868" s="8">
        <v>18</v>
      </c>
      <c r="H7868" s="8" t="s">
        <v>16056</v>
      </c>
      <c r="I7868" s="8">
        <v>535.5</v>
      </c>
      <c r="J7868" s="3">
        <f t="shared" si="122"/>
        <v>43748.052466886576</v>
      </c>
    </row>
    <row r="7869" spans="1:10" x14ac:dyDescent="0.25">
      <c r="A7869" s="5" t="s">
        <v>16057</v>
      </c>
      <c r="B7869" s="6">
        <v>400</v>
      </c>
      <c r="C7869" s="6">
        <v>20.478950000000001</v>
      </c>
      <c r="D7869" s="6">
        <v>93</v>
      </c>
      <c r="E7869" s="6">
        <v>0</v>
      </c>
      <c r="F7869" s="6">
        <v>0</v>
      </c>
      <c r="G7869" s="6">
        <v>17</v>
      </c>
      <c r="H7869" s="6" t="s">
        <v>16058</v>
      </c>
      <c r="I7869" s="6">
        <v>528.375</v>
      </c>
      <c r="J7869" s="2">
        <f t="shared" si="122"/>
        <v>43748.052539050921</v>
      </c>
    </row>
    <row r="7870" spans="1:10" x14ac:dyDescent="0.25">
      <c r="A7870" s="7" t="s">
        <v>16059</v>
      </c>
      <c r="B7870" s="8">
        <v>400</v>
      </c>
      <c r="C7870" s="8">
        <v>20.478950000000001</v>
      </c>
      <c r="D7870" s="8">
        <v>93</v>
      </c>
      <c r="E7870" s="8">
        <v>0</v>
      </c>
      <c r="F7870" s="8">
        <v>0</v>
      </c>
      <c r="G7870" s="8">
        <v>21</v>
      </c>
      <c r="H7870" s="8" t="s">
        <v>16060</v>
      </c>
      <c r="I7870" s="8">
        <v>528.375</v>
      </c>
      <c r="J7870" s="3">
        <f t="shared" si="122"/>
        <v>43748.052609710641</v>
      </c>
    </row>
    <row r="7871" spans="1:10" x14ac:dyDescent="0.25">
      <c r="A7871" s="5" t="s">
        <v>16061</v>
      </c>
      <c r="B7871" s="6">
        <v>400</v>
      </c>
      <c r="C7871" s="6">
        <v>20.478950000000001</v>
      </c>
      <c r="D7871" s="6">
        <v>92</v>
      </c>
      <c r="E7871" s="6">
        <v>0</v>
      </c>
      <c r="F7871" s="6">
        <v>0</v>
      </c>
      <c r="G7871" s="6">
        <v>20</v>
      </c>
      <c r="H7871" s="6" t="s">
        <v>16062</v>
      </c>
      <c r="I7871" s="6">
        <v>528.1875</v>
      </c>
      <c r="J7871" s="2">
        <f t="shared" si="122"/>
        <v>43748.052681759254</v>
      </c>
    </row>
    <row r="7872" spans="1:10" x14ac:dyDescent="0.25">
      <c r="A7872" s="7" t="s">
        <v>16063</v>
      </c>
      <c r="B7872" s="8">
        <v>400</v>
      </c>
      <c r="C7872" s="8">
        <v>20.478950000000001</v>
      </c>
      <c r="D7872" s="8">
        <v>92</v>
      </c>
      <c r="E7872" s="8">
        <v>0</v>
      </c>
      <c r="F7872" s="8">
        <v>0</v>
      </c>
      <c r="G7872" s="8">
        <v>21</v>
      </c>
      <c r="H7872" s="8" t="s">
        <v>16064</v>
      </c>
      <c r="I7872" s="8">
        <v>528.9375</v>
      </c>
      <c r="J7872" s="3">
        <f t="shared" si="122"/>
        <v>43748.052753171294</v>
      </c>
    </row>
    <row r="7873" spans="1:10" x14ac:dyDescent="0.25">
      <c r="A7873" s="5" t="s">
        <v>16065</v>
      </c>
      <c r="B7873" s="6">
        <v>400</v>
      </c>
      <c r="C7873" s="6">
        <v>20.478950000000001</v>
      </c>
      <c r="D7873" s="6">
        <v>92</v>
      </c>
      <c r="E7873" s="6">
        <v>0</v>
      </c>
      <c r="F7873" s="6">
        <v>0</v>
      </c>
      <c r="G7873" s="6">
        <v>17</v>
      </c>
      <c r="H7873" s="6" t="s">
        <v>16066</v>
      </c>
      <c r="I7873" s="6">
        <v>528.9375</v>
      </c>
      <c r="J7873" s="2">
        <f t="shared" si="122"/>
        <v>43748.05284280092</v>
      </c>
    </row>
    <row r="7874" spans="1:10" x14ac:dyDescent="0.25">
      <c r="A7874" s="7" t="s">
        <v>16067</v>
      </c>
      <c r="B7874" s="8">
        <v>400</v>
      </c>
      <c r="C7874" s="8">
        <v>20.478950000000001</v>
      </c>
      <c r="D7874" s="8">
        <v>92</v>
      </c>
      <c r="E7874" s="8">
        <v>0</v>
      </c>
      <c r="F7874" s="8">
        <v>0</v>
      </c>
      <c r="G7874" s="8">
        <v>21</v>
      </c>
      <c r="H7874" s="8" t="s">
        <v>16068</v>
      </c>
      <c r="I7874" s="8">
        <v>528.9375</v>
      </c>
      <c r="J7874" s="3">
        <f t="shared" ref="J7874:J7937" si="123">(H7874/86400000)+25569+(7/24)</f>
        <v>43748.05292065972</v>
      </c>
    </row>
    <row r="7875" spans="1:10" x14ac:dyDescent="0.25">
      <c r="A7875" s="5" t="s">
        <v>16069</v>
      </c>
      <c r="B7875" s="6">
        <v>418.75</v>
      </c>
      <c r="C7875" s="6">
        <v>20.478950000000001</v>
      </c>
      <c r="D7875" s="6">
        <v>92</v>
      </c>
      <c r="E7875" s="6">
        <v>0</v>
      </c>
      <c r="F7875" s="6">
        <v>0</v>
      </c>
      <c r="G7875" s="6">
        <v>32</v>
      </c>
      <c r="H7875" s="6" t="s">
        <v>16070</v>
      </c>
      <c r="I7875" s="6">
        <v>534.75</v>
      </c>
      <c r="J7875" s="2">
        <f t="shared" si="123"/>
        <v>43748.052991979166</v>
      </c>
    </row>
    <row r="7876" spans="1:10" x14ac:dyDescent="0.25">
      <c r="A7876" s="7" t="s">
        <v>16071</v>
      </c>
      <c r="B7876" s="8">
        <v>400</v>
      </c>
      <c r="C7876" s="8">
        <v>20.478950000000001</v>
      </c>
      <c r="D7876" s="8">
        <v>92</v>
      </c>
      <c r="E7876" s="8">
        <v>0</v>
      </c>
      <c r="F7876" s="8">
        <v>0</v>
      </c>
      <c r="G7876" s="8">
        <v>22</v>
      </c>
      <c r="H7876" s="8" t="s">
        <v>16072</v>
      </c>
      <c r="I7876" s="8">
        <v>528.375</v>
      </c>
      <c r="J7876" s="3">
        <f t="shared" si="123"/>
        <v>43748.053075300923</v>
      </c>
    </row>
    <row r="7877" spans="1:10" x14ac:dyDescent="0.25">
      <c r="A7877" s="5" t="s">
        <v>16073</v>
      </c>
      <c r="B7877" s="6">
        <v>400</v>
      </c>
      <c r="C7877" s="6">
        <v>20.478950000000001</v>
      </c>
      <c r="D7877" s="6">
        <v>93</v>
      </c>
      <c r="E7877" s="6">
        <v>0</v>
      </c>
      <c r="F7877" s="6">
        <v>0</v>
      </c>
      <c r="G7877" s="6">
        <v>16</v>
      </c>
      <c r="H7877" s="6" t="s">
        <v>16074</v>
      </c>
      <c r="I7877" s="6">
        <v>528.1875</v>
      </c>
      <c r="J7877" s="2">
        <f t="shared" si="123"/>
        <v>43748.053146701386</v>
      </c>
    </row>
    <row r="7878" spans="1:10" x14ac:dyDescent="0.25">
      <c r="A7878" s="7" t="s">
        <v>16075</v>
      </c>
      <c r="B7878" s="8">
        <v>400</v>
      </c>
      <c r="C7878" s="8">
        <v>20.478950000000001</v>
      </c>
      <c r="D7878" s="8">
        <v>93</v>
      </c>
      <c r="E7878" s="8">
        <v>0</v>
      </c>
      <c r="F7878" s="8">
        <v>0</v>
      </c>
      <c r="G7878" s="8">
        <v>28</v>
      </c>
      <c r="H7878" s="8" t="s">
        <v>16076</v>
      </c>
      <c r="I7878" s="8">
        <v>528.375</v>
      </c>
      <c r="J7878" s="3">
        <f t="shared" si="123"/>
        <v>43748.053218634253</v>
      </c>
    </row>
    <row r="7879" spans="1:10" x14ac:dyDescent="0.25">
      <c r="A7879" s="5" t="s">
        <v>16077</v>
      </c>
      <c r="B7879" s="6">
        <v>400</v>
      </c>
      <c r="C7879" s="6">
        <v>20.478950000000001</v>
      </c>
      <c r="D7879" s="6">
        <v>93</v>
      </c>
      <c r="E7879" s="6">
        <v>0</v>
      </c>
      <c r="F7879" s="6">
        <v>0</v>
      </c>
      <c r="G7879" s="6">
        <v>30</v>
      </c>
      <c r="H7879" s="6" t="s">
        <v>16078</v>
      </c>
      <c r="I7879" s="6">
        <v>528.375</v>
      </c>
      <c r="J7879" s="2">
        <f t="shared" si="123"/>
        <v>43748.053290115735</v>
      </c>
    </row>
    <row r="7880" spans="1:10" x14ac:dyDescent="0.25">
      <c r="A7880" s="7" t="s">
        <v>16079</v>
      </c>
      <c r="B7880" s="8">
        <v>396.875</v>
      </c>
      <c r="C7880" s="8">
        <v>20.478950000000001</v>
      </c>
      <c r="D7880" s="8">
        <v>93</v>
      </c>
      <c r="E7880" s="8">
        <v>0</v>
      </c>
      <c r="F7880" s="8">
        <v>0</v>
      </c>
      <c r="G7880" s="8">
        <v>15</v>
      </c>
      <c r="H7880" s="8" t="s">
        <v>16080</v>
      </c>
      <c r="I7880" s="8">
        <v>527.4375</v>
      </c>
      <c r="J7880" s="3">
        <f t="shared" si="123"/>
        <v>43748.053361331018</v>
      </c>
    </row>
    <row r="7881" spans="1:10" x14ac:dyDescent="0.25">
      <c r="A7881" s="5" t="s">
        <v>16081</v>
      </c>
      <c r="B7881" s="6">
        <v>396.875</v>
      </c>
      <c r="C7881" s="6">
        <v>20.478950000000001</v>
      </c>
      <c r="D7881" s="6">
        <v>91</v>
      </c>
      <c r="E7881" s="6">
        <v>0</v>
      </c>
      <c r="F7881" s="6">
        <v>0</v>
      </c>
      <c r="G7881" s="6">
        <v>25</v>
      </c>
      <c r="H7881" s="6" t="s">
        <v>16082</v>
      </c>
      <c r="I7881" s="6">
        <v>527.4375</v>
      </c>
      <c r="J7881" s="2">
        <f t="shared" si="123"/>
        <v>43748.053432696754</v>
      </c>
    </row>
    <row r="7882" spans="1:10" x14ac:dyDescent="0.25">
      <c r="A7882" s="7" t="s">
        <v>16083</v>
      </c>
      <c r="B7882" s="8">
        <v>396.875</v>
      </c>
      <c r="C7882" s="8">
        <v>20.478950000000001</v>
      </c>
      <c r="D7882" s="8">
        <v>91</v>
      </c>
      <c r="E7882" s="8">
        <v>0</v>
      </c>
      <c r="F7882" s="8">
        <v>0</v>
      </c>
      <c r="G7882" s="8">
        <v>20</v>
      </c>
      <c r="H7882" s="8" t="s">
        <v>16084</v>
      </c>
      <c r="I7882" s="8">
        <v>527.4375</v>
      </c>
      <c r="J7882" s="3">
        <f t="shared" si="123"/>
        <v>43748.053504918978</v>
      </c>
    </row>
    <row r="7883" spans="1:10" x14ac:dyDescent="0.25">
      <c r="A7883" s="5" t="s">
        <v>16085</v>
      </c>
      <c r="B7883" s="6">
        <v>396.875</v>
      </c>
      <c r="C7883" s="6">
        <v>20.478950000000001</v>
      </c>
      <c r="D7883" s="6">
        <v>91</v>
      </c>
      <c r="E7883" s="6">
        <v>0</v>
      </c>
      <c r="F7883" s="6">
        <v>0</v>
      </c>
      <c r="G7883" s="6">
        <v>28</v>
      </c>
      <c r="H7883" s="6" t="s">
        <v>16086</v>
      </c>
      <c r="I7883" s="6">
        <v>527.4375</v>
      </c>
      <c r="J7883" s="2">
        <f t="shared" si="123"/>
        <v>43748.053576203696</v>
      </c>
    </row>
    <row r="7884" spans="1:10" x14ac:dyDescent="0.25">
      <c r="A7884" s="7" t="s">
        <v>16087</v>
      </c>
      <c r="B7884" s="8">
        <v>400</v>
      </c>
      <c r="C7884" s="8">
        <v>20.478950000000001</v>
      </c>
      <c r="D7884" s="8">
        <v>92</v>
      </c>
      <c r="E7884" s="8">
        <v>0</v>
      </c>
      <c r="F7884" s="8">
        <v>0</v>
      </c>
      <c r="G7884" s="8">
        <v>31</v>
      </c>
      <c r="H7884" s="8" t="s">
        <v>16088</v>
      </c>
      <c r="I7884" s="8">
        <v>528.1875</v>
      </c>
      <c r="J7884" s="3">
        <f t="shared" si="123"/>
        <v>43748.053647499997</v>
      </c>
    </row>
    <row r="7885" spans="1:10" x14ac:dyDescent="0.25">
      <c r="A7885" s="5" t="s">
        <v>16089</v>
      </c>
      <c r="B7885" s="6">
        <v>400</v>
      </c>
      <c r="C7885" s="6">
        <v>20.478950000000001</v>
      </c>
      <c r="D7885" s="6">
        <v>92</v>
      </c>
      <c r="E7885" s="6">
        <v>0</v>
      </c>
      <c r="F7885" s="6">
        <v>0</v>
      </c>
      <c r="G7885" s="6">
        <v>24</v>
      </c>
      <c r="H7885" s="6" t="s">
        <v>16090</v>
      </c>
      <c r="I7885" s="6">
        <v>528.1875</v>
      </c>
      <c r="J7885" s="2">
        <f t="shared" si="123"/>
        <v>43748.053718796298</v>
      </c>
    </row>
    <row r="7886" spans="1:10" x14ac:dyDescent="0.25">
      <c r="A7886" s="7" t="s">
        <v>16091</v>
      </c>
      <c r="B7886" s="8">
        <v>400</v>
      </c>
      <c r="C7886" s="8">
        <v>20.478950000000001</v>
      </c>
      <c r="D7886" s="8">
        <v>92</v>
      </c>
      <c r="E7886" s="8">
        <v>0</v>
      </c>
      <c r="F7886" s="8">
        <v>0</v>
      </c>
      <c r="G7886" s="8">
        <v>18</v>
      </c>
      <c r="H7886" s="8" t="s">
        <v>16092</v>
      </c>
      <c r="I7886" s="8">
        <v>528.375</v>
      </c>
      <c r="J7886" s="3">
        <f t="shared" si="123"/>
        <v>43748.053802256945</v>
      </c>
    </row>
    <row r="7887" spans="1:10" x14ac:dyDescent="0.25">
      <c r="A7887" s="5" t="s">
        <v>16093</v>
      </c>
      <c r="B7887" s="6">
        <v>400</v>
      </c>
      <c r="C7887" s="6">
        <v>20.478950000000001</v>
      </c>
      <c r="D7887" s="6">
        <v>93</v>
      </c>
      <c r="E7887" s="6">
        <v>0</v>
      </c>
      <c r="F7887" s="6">
        <v>0</v>
      </c>
      <c r="G7887" s="6">
        <v>21</v>
      </c>
      <c r="H7887" s="6" t="s">
        <v>16094</v>
      </c>
      <c r="I7887" s="6">
        <v>528.1875</v>
      </c>
      <c r="J7887" s="2">
        <f t="shared" si="123"/>
        <v>43748.053874293975</v>
      </c>
    </row>
    <row r="7888" spans="1:10" x14ac:dyDescent="0.25">
      <c r="A7888" s="7" t="s">
        <v>16095</v>
      </c>
      <c r="B7888" s="8">
        <v>400</v>
      </c>
      <c r="C7888" s="8">
        <v>20.478950000000001</v>
      </c>
      <c r="D7888" s="8">
        <v>93</v>
      </c>
      <c r="E7888" s="8">
        <v>0</v>
      </c>
      <c r="F7888" s="8">
        <v>0</v>
      </c>
      <c r="G7888" s="8">
        <v>25</v>
      </c>
      <c r="H7888" s="8" t="s">
        <v>16096</v>
      </c>
      <c r="I7888" s="8">
        <v>528.1875</v>
      </c>
      <c r="J7888" s="3">
        <f t="shared" si="123"/>
        <v>43748.053945590276</v>
      </c>
    </row>
    <row r="7889" spans="1:10" x14ac:dyDescent="0.25">
      <c r="A7889" s="5" t="s">
        <v>16097</v>
      </c>
      <c r="B7889" s="6">
        <v>400</v>
      </c>
      <c r="C7889" s="6">
        <v>20.478950000000001</v>
      </c>
      <c r="D7889" s="6">
        <v>92</v>
      </c>
      <c r="E7889" s="6">
        <v>0</v>
      </c>
      <c r="F7889" s="6">
        <v>0</v>
      </c>
      <c r="G7889" s="6">
        <v>19</v>
      </c>
      <c r="H7889" s="6" t="s">
        <v>16098</v>
      </c>
      <c r="I7889" s="6">
        <v>528.1875</v>
      </c>
      <c r="J7889" s="2">
        <f t="shared" si="123"/>
        <v>43748.054016898146</v>
      </c>
    </row>
    <row r="7890" spans="1:10" x14ac:dyDescent="0.25">
      <c r="A7890" s="7" t="s">
        <v>16099</v>
      </c>
      <c r="B7890" s="8">
        <v>403.125</v>
      </c>
      <c r="C7890" s="8">
        <v>20.478950000000001</v>
      </c>
      <c r="D7890" s="8">
        <v>91</v>
      </c>
      <c r="E7890" s="8">
        <v>0</v>
      </c>
      <c r="F7890" s="8">
        <v>0</v>
      </c>
      <c r="G7890" s="8">
        <v>19</v>
      </c>
      <c r="H7890" s="8" t="s">
        <v>16100</v>
      </c>
      <c r="I7890" s="8">
        <v>529.125</v>
      </c>
      <c r="J7890" s="3">
        <f t="shared" si="123"/>
        <v>43748.054089166668</v>
      </c>
    </row>
    <row r="7891" spans="1:10" x14ac:dyDescent="0.25">
      <c r="A7891" s="5" t="s">
        <v>16101</v>
      </c>
      <c r="B7891" s="6">
        <v>403.125</v>
      </c>
      <c r="C7891" s="6">
        <v>20.478950000000001</v>
      </c>
      <c r="D7891" s="6">
        <v>93</v>
      </c>
      <c r="E7891" s="6">
        <v>0</v>
      </c>
      <c r="F7891" s="6">
        <v>0</v>
      </c>
      <c r="G7891" s="6">
        <v>22</v>
      </c>
      <c r="H7891" s="6" t="s">
        <v>16102</v>
      </c>
      <c r="I7891" s="6">
        <v>529.125</v>
      </c>
      <c r="J7891" s="2">
        <f t="shared" si="123"/>
        <v>43748.054160462962</v>
      </c>
    </row>
    <row r="7892" spans="1:10" x14ac:dyDescent="0.25">
      <c r="A7892" s="7" t="s">
        <v>16103</v>
      </c>
      <c r="B7892" s="8">
        <v>403.125</v>
      </c>
      <c r="C7892" s="8">
        <v>20.478950000000001</v>
      </c>
      <c r="D7892" s="8">
        <v>93</v>
      </c>
      <c r="E7892" s="8">
        <v>0</v>
      </c>
      <c r="F7892" s="8">
        <v>0</v>
      </c>
      <c r="G7892" s="8">
        <v>9</v>
      </c>
      <c r="H7892" s="8" t="s">
        <v>16104</v>
      </c>
      <c r="I7892" s="8">
        <v>529.125</v>
      </c>
      <c r="J7892" s="3">
        <f t="shared" si="123"/>
        <v>43748.054231759255</v>
      </c>
    </row>
    <row r="7893" spans="1:10" x14ac:dyDescent="0.25">
      <c r="A7893" s="5" t="s">
        <v>16105</v>
      </c>
      <c r="B7893" s="6">
        <v>403.125</v>
      </c>
      <c r="C7893" s="6">
        <v>20.478950000000001</v>
      </c>
      <c r="D7893" s="6">
        <v>93</v>
      </c>
      <c r="E7893" s="6">
        <v>0</v>
      </c>
      <c r="F7893" s="6">
        <v>0</v>
      </c>
      <c r="G7893" s="6">
        <v>25</v>
      </c>
      <c r="H7893" s="6" t="s">
        <v>16106</v>
      </c>
      <c r="I7893" s="6">
        <v>529.125</v>
      </c>
      <c r="J7893" s="2">
        <f t="shared" si="123"/>
        <v>43748.054303055549</v>
      </c>
    </row>
    <row r="7894" spans="1:10" x14ac:dyDescent="0.25">
      <c r="A7894" s="7" t="s">
        <v>16107</v>
      </c>
      <c r="B7894" s="8">
        <v>403.125</v>
      </c>
      <c r="C7894" s="8">
        <v>20.478950000000001</v>
      </c>
      <c r="D7894" s="8">
        <v>93</v>
      </c>
      <c r="E7894" s="8">
        <v>0</v>
      </c>
      <c r="F7894" s="8">
        <v>0</v>
      </c>
      <c r="G7894" s="8">
        <v>21</v>
      </c>
      <c r="H7894" s="8" t="s">
        <v>16108</v>
      </c>
      <c r="I7894" s="8">
        <v>529.125</v>
      </c>
      <c r="J7894" s="3">
        <f t="shared" si="123"/>
        <v>43748.054375393513</v>
      </c>
    </row>
    <row r="7895" spans="1:10" x14ac:dyDescent="0.25">
      <c r="A7895" s="5" t="s">
        <v>16109</v>
      </c>
      <c r="B7895" s="6">
        <v>418.75</v>
      </c>
      <c r="C7895" s="6">
        <v>20.478950000000001</v>
      </c>
      <c r="D7895" s="6">
        <v>92</v>
      </c>
      <c r="E7895" s="6">
        <v>0</v>
      </c>
      <c r="F7895" s="6">
        <v>0</v>
      </c>
      <c r="G7895" s="6">
        <v>15</v>
      </c>
      <c r="H7895" s="6" t="s">
        <v>16110</v>
      </c>
      <c r="I7895" s="6">
        <v>534.75</v>
      </c>
      <c r="J7895" s="2">
        <f t="shared" si="123"/>
        <v>43748.054446585644</v>
      </c>
    </row>
    <row r="7896" spans="1:10" x14ac:dyDescent="0.25">
      <c r="A7896" s="7" t="s">
        <v>16111</v>
      </c>
      <c r="B7896" s="8">
        <v>403.125</v>
      </c>
      <c r="C7896" s="8">
        <v>20.426300000000001</v>
      </c>
      <c r="D7896" s="8">
        <v>92</v>
      </c>
      <c r="E7896" s="8">
        <v>0</v>
      </c>
      <c r="F7896" s="8">
        <v>0</v>
      </c>
      <c r="G7896" s="8">
        <v>16</v>
      </c>
      <c r="H7896" s="8" t="s">
        <v>16112</v>
      </c>
      <c r="I7896" s="8">
        <v>529.875</v>
      </c>
      <c r="J7896" s="3">
        <f t="shared" si="123"/>
        <v>43748.054529895831</v>
      </c>
    </row>
    <row r="7897" spans="1:10" x14ac:dyDescent="0.25">
      <c r="A7897" s="5" t="s">
        <v>16113</v>
      </c>
      <c r="B7897" s="6">
        <v>403.125</v>
      </c>
      <c r="C7897" s="6">
        <v>20.478950000000001</v>
      </c>
      <c r="D7897" s="6">
        <v>92</v>
      </c>
      <c r="E7897" s="6">
        <v>0</v>
      </c>
      <c r="F7897" s="6">
        <v>0</v>
      </c>
      <c r="G7897" s="6">
        <v>22</v>
      </c>
      <c r="H7897" s="6" t="s">
        <v>16114</v>
      </c>
      <c r="I7897" s="6">
        <v>529.875</v>
      </c>
      <c r="J7897" s="2">
        <f t="shared" si="123"/>
        <v>43748.054601226853</v>
      </c>
    </row>
    <row r="7898" spans="1:10" x14ac:dyDescent="0.25">
      <c r="A7898" s="7" t="s">
        <v>16115</v>
      </c>
      <c r="B7898" s="8">
        <v>403.125</v>
      </c>
      <c r="C7898" s="8">
        <v>20.478950000000001</v>
      </c>
      <c r="D7898" s="8">
        <v>91</v>
      </c>
      <c r="E7898" s="8">
        <v>0</v>
      </c>
      <c r="F7898" s="8">
        <v>0</v>
      </c>
      <c r="G7898" s="8">
        <v>23</v>
      </c>
      <c r="H7898" s="8" t="s">
        <v>16116</v>
      </c>
      <c r="I7898" s="8">
        <v>529.875</v>
      </c>
      <c r="J7898" s="3">
        <f t="shared" si="123"/>
        <v>43748.054673321756</v>
      </c>
    </row>
    <row r="7899" spans="1:10" x14ac:dyDescent="0.25">
      <c r="A7899" s="5" t="s">
        <v>16117</v>
      </c>
      <c r="B7899" s="6">
        <v>406.25</v>
      </c>
      <c r="C7899" s="6">
        <v>20.478950000000001</v>
      </c>
      <c r="D7899" s="6">
        <v>91</v>
      </c>
      <c r="E7899" s="6">
        <v>0</v>
      </c>
      <c r="F7899" s="6">
        <v>0</v>
      </c>
      <c r="G7899" s="6">
        <v>20</v>
      </c>
      <c r="H7899" s="6" t="s">
        <v>16118</v>
      </c>
      <c r="I7899" s="6">
        <v>530.625</v>
      </c>
      <c r="J7899" s="2">
        <f t="shared" si="123"/>
        <v>43748.054743865738</v>
      </c>
    </row>
    <row r="7900" spans="1:10" x14ac:dyDescent="0.25">
      <c r="A7900" s="7" t="s">
        <v>16119</v>
      </c>
      <c r="B7900" s="8">
        <v>406.25</v>
      </c>
      <c r="C7900" s="8">
        <v>20.478950000000001</v>
      </c>
      <c r="D7900" s="8">
        <v>88</v>
      </c>
      <c r="E7900" s="8">
        <v>0</v>
      </c>
      <c r="F7900" s="8">
        <v>0</v>
      </c>
      <c r="G7900" s="8">
        <v>22</v>
      </c>
      <c r="H7900" s="8" t="s">
        <v>16120</v>
      </c>
      <c r="I7900" s="8">
        <v>530.625</v>
      </c>
      <c r="J7900" s="3">
        <f t="shared" si="123"/>
        <v>43748.05481603009</v>
      </c>
    </row>
    <row r="7901" spans="1:10" x14ac:dyDescent="0.25">
      <c r="A7901" s="5" t="s">
        <v>16121</v>
      </c>
      <c r="B7901" s="6">
        <v>406.25</v>
      </c>
      <c r="C7901" s="6">
        <v>20.478950000000001</v>
      </c>
      <c r="D7901" s="6">
        <v>88</v>
      </c>
      <c r="E7901" s="6">
        <v>0</v>
      </c>
      <c r="F7901" s="6">
        <v>0</v>
      </c>
      <c r="G7901" s="6">
        <v>28</v>
      </c>
      <c r="H7901" s="6" t="s">
        <v>16122</v>
      </c>
      <c r="I7901" s="6">
        <v>530.625</v>
      </c>
      <c r="J7901" s="2">
        <f t="shared" si="123"/>
        <v>43748.054887326383</v>
      </c>
    </row>
    <row r="7902" spans="1:10" x14ac:dyDescent="0.25">
      <c r="A7902" s="7" t="s">
        <v>16123</v>
      </c>
      <c r="B7902" s="8">
        <v>406.25</v>
      </c>
      <c r="C7902" s="8">
        <v>20.478950000000001</v>
      </c>
      <c r="D7902" s="8">
        <v>89</v>
      </c>
      <c r="E7902" s="8">
        <v>0</v>
      </c>
      <c r="F7902" s="8">
        <v>0</v>
      </c>
      <c r="G7902" s="8">
        <v>26</v>
      </c>
      <c r="H7902" s="8" t="s">
        <v>16124</v>
      </c>
      <c r="I7902" s="8">
        <v>530.625</v>
      </c>
      <c r="J7902" s="3">
        <f t="shared" si="123"/>
        <v>43748.054959537032</v>
      </c>
    </row>
    <row r="7903" spans="1:10" x14ac:dyDescent="0.25">
      <c r="A7903" s="5" t="s">
        <v>16125</v>
      </c>
      <c r="B7903" s="6">
        <v>406.25</v>
      </c>
      <c r="C7903" s="6">
        <v>20.478950000000001</v>
      </c>
      <c r="D7903" s="6">
        <v>90</v>
      </c>
      <c r="E7903" s="6">
        <v>0</v>
      </c>
      <c r="F7903" s="6">
        <v>0</v>
      </c>
      <c r="G7903" s="6">
        <v>21</v>
      </c>
      <c r="H7903" s="6" t="s">
        <v>16126</v>
      </c>
      <c r="I7903" s="6">
        <v>530.625</v>
      </c>
      <c r="J7903" s="2">
        <f t="shared" si="123"/>
        <v>43748.055030844909</v>
      </c>
    </row>
    <row r="7904" spans="1:10" x14ac:dyDescent="0.25">
      <c r="A7904" s="7" t="s">
        <v>16127</v>
      </c>
      <c r="B7904" s="8">
        <v>406.25</v>
      </c>
      <c r="C7904" s="8">
        <v>20.478950000000001</v>
      </c>
      <c r="D7904" s="8">
        <v>91</v>
      </c>
      <c r="E7904" s="8">
        <v>0</v>
      </c>
      <c r="F7904" s="8">
        <v>0</v>
      </c>
      <c r="G7904" s="8">
        <v>22</v>
      </c>
      <c r="H7904" s="8" t="s">
        <v>16128</v>
      </c>
      <c r="I7904" s="8">
        <v>530.625</v>
      </c>
      <c r="J7904" s="3">
        <f t="shared" si="123"/>
        <v>43748.055102256942</v>
      </c>
    </row>
    <row r="7905" spans="1:10" x14ac:dyDescent="0.25">
      <c r="A7905" s="5" t="s">
        <v>16129</v>
      </c>
      <c r="B7905" s="6">
        <v>406.25</v>
      </c>
      <c r="C7905" s="6">
        <v>20.478950000000001</v>
      </c>
      <c r="D7905" s="6">
        <v>90</v>
      </c>
      <c r="E7905" s="6">
        <v>0</v>
      </c>
      <c r="F7905" s="6">
        <v>0</v>
      </c>
      <c r="G7905" s="6">
        <v>22</v>
      </c>
      <c r="H7905" s="6" t="s">
        <v>16130</v>
      </c>
      <c r="I7905" s="6">
        <v>530.625</v>
      </c>
      <c r="J7905" s="2">
        <f t="shared" si="123"/>
        <v>43748.055173414345</v>
      </c>
    </row>
    <row r="7906" spans="1:10" x14ac:dyDescent="0.25">
      <c r="A7906" s="7" t="s">
        <v>16131</v>
      </c>
      <c r="B7906" s="8">
        <v>403.125</v>
      </c>
      <c r="C7906" s="8">
        <v>20.478950000000001</v>
      </c>
      <c r="D7906" s="8">
        <v>88</v>
      </c>
      <c r="E7906" s="8">
        <v>0</v>
      </c>
      <c r="F7906" s="8">
        <v>0</v>
      </c>
      <c r="G7906" s="8">
        <v>10</v>
      </c>
      <c r="H7906" s="8" t="s">
        <v>16132</v>
      </c>
      <c r="I7906" s="8">
        <v>529.875</v>
      </c>
      <c r="J7906" s="3">
        <f t="shared" si="123"/>
        <v>43748.055249062498</v>
      </c>
    </row>
    <row r="7907" spans="1:10" x14ac:dyDescent="0.25">
      <c r="A7907" s="5" t="s">
        <v>16133</v>
      </c>
      <c r="B7907" s="6">
        <v>403.125</v>
      </c>
      <c r="C7907" s="6">
        <v>20.478950000000001</v>
      </c>
      <c r="D7907" s="6">
        <v>88</v>
      </c>
      <c r="E7907" s="6">
        <v>0</v>
      </c>
      <c r="F7907" s="6">
        <v>0</v>
      </c>
      <c r="G7907" s="6">
        <v>24</v>
      </c>
      <c r="H7907" s="6" t="s">
        <v>16134</v>
      </c>
      <c r="I7907" s="6">
        <v>529.875</v>
      </c>
      <c r="J7907" s="2">
        <f t="shared" si="123"/>
        <v>43748.055364143518</v>
      </c>
    </row>
    <row r="7908" spans="1:10" x14ac:dyDescent="0.25">
      <c r="A7908" s="7" t="s">
        <v>16135</v>
      </c>
      <c r="B7908" s="8">
        <v>421.875</v>
      </c>
      <c r="C7908" s="8">
        <v>20.478950000000001</v>
      </c>
      <c r="D7908" s="8">
        <v>88</v>
      </c>
      <c r="E7908" s="8">
        <v>0</v>
      </c>
      <c r="F7908" s="8">
        <v>0</v>
      </c>
      <c r="G7908" s="8">
        <v>20</v>
      </c>
      <c r="H7908" s="8" t="s">
        <v>16136</v>
      </c>
      <c r="I7908" s="8">
        <v>535.5</v>
      </c>
      <c r="J7908" s="3">
        <f t="shared" si="123"/>
        <v>43748.05543641204</v>
      </c>
    </row>
    <row r="7909" spans="1:10" x14ac:dyDescent="0.25">
      <c r="A7909" s="5" t="s">
        <v>16137</v>
      </c>
      <c r="B7909" s="6">
        <v>406.25</v>
      </c>
      <c r="C7909" s="6">
        <v>20.478950000000001</v>
      </c>
      <c r="D7909" s="6">
        <v>88</v>
      </c>
      <c r="E7909" s="6">
        <v>0</v>
      </c>
      <c r="F7909" s="6">
        <v>0</v>
      </c>
      <c r="G7909" s="6">
        <v>20</v>
      </c>
      <c r="H7909" s="6" t="s">
        <v>16138</v>
      </c>
      <c r="I7909" s="6">
        <v>530.625</v>
      </c>
      <c r="J7909" s="2">
        <f t="shared" si="123"/>
        <v>43748.055507696758</v>
      </c>
    </row>
    <row r="7910" spans="1:10" x14ac:dyDescent="0.25">
      <c r="A7910" s="7" t="s">
        <v>16139</v>
      </c>
      <c r="B7910" s="8">
        <v>406.25</v>
      </c>
      <c r="C7910" s="8">
        <v>20.478950000000001</v>
      </c>
      <c r="D7910" s="8">
        <v>88</v>
      </c>
      <c r="E7910" s="8">
        <v>0</v>
      </c>
      <c r="F7910" s="8">
        <v>0</v>
      </c>
      <c r="G7910" s="8">
        <v>21</v>
      </c>
      <c r="H7910" s="8" t="s">
        <v>16140</v>
      </c>
      <c r="I7910" s="8">
        <v>530.625</v>
      </c>
      <c r="J7910" s="3">
        <f t="shared" si="123"/>
        <v>43748.05557895833</v>
      </c>
    </row>
    <row r="7911" spans="1:10" x14ac:dyDescent="0.25">
      <c r="A7911" s="5" t="s">
        <v>16141</v>
      </c>
      <c r="B7911" s="6">
        <v>406.25</v>
      </c>
      <c r="C7911" s="6">
        <v>20.478950000000001</v>
      </c>
      <c r="D7911" s="6">
        <v>88</v>
      </c>
      <c r="E7911" s="6">
        <v>0</v>
      </c>
      <c r="F7911" s="6">
        <v>0</v>
      </c>
      <c r="G7911" s="6">
        <v>22</v>
      </c>
      <c r="H7911" s="6" t="s">
        <v>16142</v>
      </c>
      <c r="I7911" s="6">
        <v>530.625</v>
      </c>
      <c r="J7911" s="2">
        <f t="shared" si="123"/>
        <v>43748.055650370363</v>
      </c>
    </row>
    <row r="7912" spans="1:10" x14ac:dyDescent="0.25">
      <c r="A7912" s="7" t="s">
        <v>16143</v>
      </c>
      <c r="B7912" s="8">
        <v>406.25</v>
      </c>
      <c r="C7912" s="8">
        <v>20.478950000000001</v>
      </c>
      <c r="D7912" s="8">
        <v>81</v>
      </c>
      <c r="E7912" s="8">
        <v>0</v>
      </c>
      <c r="F7912" s="8">
        <v>0</v>
      </c>
      <c r="G7912" s="8">
        <v>19</v>
      </c>
      <c r="H7912" s="8" t="s">
        <v>16144</v>
      </c>
      <c r="I7912" s="8">
        <v>530.625</v>
      </c>
      <c r="J7912" s="3">
        <f t="shared" si="123"/>
        <v>43748.055722476849</v>
      </c>
    </row>
    <row r="7913" spans="1:10" x14ac:dyDescent="0.25">
      <c r="A7913" s="5" t="s">
        <v>16145</v>
      </c>
      <c r="B7913" s="6">
        <v>406.25</v>
      </c>
      <c r="C7913" s="6">
        <v>20.478950000000001</v>
      </c>
      <c r="D7913" s="6">
        <v>83</v>
      </c>
      <c r="E7913" s="6">
        <v>0</v>
      </c>
      <c r="F7913" s="6">
        <v>0</v>
      </c>
      <c r="G7913" s="6">
        <v>21</v>
      </c>
      <c r="H7913" s="6" t="s">
        <v>16146</v>
      </c>
      <c r="I7913" s="6">
        <v>530.8125</v>
      </c>
      <c r="J7913" s="2">
        <f t="shared" si="123"/>
        <v>43748.055817974535</v>
      </c>
    </row>
    <row r="7914" spans="1:10" x14ac:dyDescent="0.25">
      <c r="A7914" s="7" t="s">
        <v>16147</v>
      </c>
      <c r="B7914" s="8">
        <v>406.25</v>
      </c>
      <c r="C7914" s="8">
        <v>20.478950000000001</v>
      </c>
      <c r="D7914" s="8">
        <v>83</v>
      </c>
      <c r="E7914" s="8">
        <v>0</v>
      </c>
      <c r="F7914" s="8">
        <v>0</v>
      </c>
      <c r="G7914" s="8">
        <v>22</v>
      </c>
      <c r="H7914" s="8" t="s">
        <v>16148</v>
      </c>
      <c r="I7914" s="8">
        <v>530.8125</v>
      </c>
      <c r="J7914" s="3">
        <f t="shared" si="123"/>
        <v>43748.05588915509</v>
      </c>
    </row>
    <row r="7915" spans="1:10" x14ac:dyDescent="0.25">
      <c r="A7915" s="5" t="s">
        <v>16149</v>
      </c>
      <c r="B7915" s="6">
        <v>425</v>
      </c>
      <c r="C7915" s="6">
        <v>20.478950000000001</v>
      </c>
      <c r="D7915" s="6">
        <v>87</v>
      </c>
      <c r="E7915" s="6">
        <v>0</v>
      </c>
      <c r="F7915" s="6">
        <v>0</v>
      </c>
      <c r="G7915" s="6">
        <v>27</v>
      </c>
      <c r="H7915" s="6" t="s">
        <v>16150</v>
      </c>
      <c r="I7915" s="6">
        <v>536.25</v>
      </c>
      <c r="J7915" s="2">
        <f t="shared" si="123"/>
        <v>43748.055960451391</v>
      </c>
    </row>
    <row r="7916" spans="1:10" x14ac:dyDescent="0.25">
      <c r="A7916" s="7" t="s">
        <v>16151</v>
      </c>
      <c r="B7916" s="8">
        <v>406.25</v>
      </c>
      <c r="C7916" s="8">
        <v>20.478950000000001</v>
      </c>
      <c r="D7916" s="8">
        <v>87</v>
      </c>
      <c r="E7916" s="8">
        <v>0</v>
      </c>
      <c r="F7916" s="8">
        <v>0</v>
      </c>
      <c r="G7916" s="8">
        <v>21</v>
      </c>
      <c r="H7916" s="8" t="s">
        <v>16152</v>
      </c>
      <c r="I7916" s="8">
        <v>530.625</v>
      </c>
      <c r="J7916" s="3">
        <f t="shared" si="123"/>
        <v>43748.056032604167</v>
      </c>
    </row>
    <row r="7917" spans="1:10" x14ac:dyDescent="0.25">
      <c r="A7917" s="5" t="s">
        <v>16153</v>
      </c>
      <c r="B7917" s="6">
        <v>406.25</v>
      </c>
      <c r="C7917" s="6">
        <v>20.478950000000001</v>
      </c>
      <c r="D7917" s="6">
        <v>90</v>
      </c>
      <c r="E7917" s="6">
        <v>0</v>
      </c>
      <c r="F7917" s="6">
        <v>0</v>
      </c>
      <c r="G7917" s="6">
        <v>22</v>
      </c>
      <c r="H7917" s="6" t="s">
        <v>16154</v>
      </c>
      <c r="I7917" s="6">
        <v>530.625</v>
      </c>
      <c r="J7917" s="2">
        <f t="shared" si="123"/>
        <v>43748.056103958334</v>
      </c>
    </row>
    <row r="7918" spans="1:10" x14ac:dyDescent="0.25">
      <c r="A7918" s="7" t="s">
        <v>16155</v>
      </c>
      <c r="B7918" s="8">
        <v>406.25</v>
      </c>
      <c r="C7918" s="8">
        <v>20.478950000000001</v>
      </c>
      <c r="D7918" s="8">
        <v>90</v>
      </c>
      <c r="E7918" s="8">
        <v>0</v>
      </c>
      <c r="F7918" s="8">
        <v>0</v>
      </c>
      <c r="G7918" s="8">
        <v>21</v>
      </c>
      <c r="H7918" s="8" t="s">
        <v>16156</v>
      </c>
      <c r="I7918" s="8">
        <v>530.625</v>
      </c>
      <c r="J7918" s="3">
        <f t="shared" si="123"/>
        <v>43748.056187303235</v>
      </c>
    </row>
    <row r="7919" spans="1:10" x14ac:dyDescent="0.25">
      <c r="A7919" s="5" t="s">
        <v>16157</v>
      </c>
      <c r="B7919" s="6">
        <v>406.25</v>
      </c>
      <c r="C7919" s="6">
        <v>20.478950000000001</v>
      </c>
      <c r="D7919" s="6">
        <v>90</v>
      </c>
      <c r="E7919" s="6">
        <v>0</v>
      </c>
      <c r="F7919" s="6">
        <v>0</v>
      </c>
      <c r="G7919" s="6">
        <v>16</v>
      </c>
      <c r="H7919" s="6" t="s">
        <v>16158</v>
      </c>
      <c r="I7919" s="6">
        <v>530.625</v>
      </c>
      <c r="J7919" s="2">
        <f t="shared" si="123"/>
        <v>43748.056270648151</v>
      </c>
    </row>
    <row r="7920" spans="1:10" x14ac:dyDescent="0.25">
      <c r="A7920" s="7" t="s">
        <v>16159</v>
      </c>
      <c r="B7920" s="8">
        <v>406.25</v>
      </c>
      <c r="C7920" s="8">
        <v>20.426300000000001</v>
      </c>
      <c r="D7920" s="8">
        <v>90</v>
      </c>
      <c r="E7920" s="8">
        <v>0</v>
      </c>
      <c r="F7920" s="8">
        <v>0</v>
      </c>
      <c r="G7920" s="8">
        <v>16</v>
      </c>
      <c r="H7920" s="8" t="s">
        <v>16160</v>
      </c>
      <c r="I7920" s="8">
        <v>530.625</v>
      </c>
      <c r="J7920" s="3">
        <f t="shared" si="123"/>
        <v>43748.056341979165</v>
      </c>
    </row>
    <row r="7921" spans="1:10" x14ac:dyDescent="0.25">
      <c r="A7921" s="5" t="s">
        <v>16161</v>
      </c>
      <c r="B7921" s="6">
        <v>406.25</v>
      </c>
      <c r="C7921" s="6">
        <v>20.478950000000001</v>
      </c>
      <c r="D7921" s="6">
        <v>91</v>
      </c>
      <c r="E7921" s="6">
        <v>0</v>
      </c>
      <c r="F7921" s="6">
        <v>0</v>
      </c>
      <c r="G7921" s="6">
        <v>24</v>
      </c>
      <c r="H7921" s="6" t="s">
        <v>16162</v>
      </c>
      <c r="I7921" s="6">
        <v>530.625</v>
      </c>
      <c r="J7921" s="2">
        <f t="shared" si="123"/>
        <v>43748.056414085644</v>
      </c>
    </row>
    <row r="7922" spans="1:10" x14ac:dyDescent="0.25">
      <c r="A7922" s="7" t="s">
        <v>16163</v>
      </c>
      <c r="B7922" s="8">
        <v>406.25</v>
      </c>
      <c r="C7922" s="8">
        <v>20.478950000000001</v>
      </c>
      <c r="D7922" s="8">
        <v>90</v>
      </c>
      <c r="E7922" s="8">
        <v>0</v>
      </c>
      <c r="F7922" s="8">
        <v>0</v>
      </c>
      <c r="G7922" s="8">
        <v>26</v>
      </c>
      <c r="H7922" s="8" t="s">
        <v>16164</v>
      </c>
      <c r="I7922" s="8">
        <v>530.625</v>
      </c>
      <c r="J7922" s="3">
        <f t="shared" si="123"/>
        <v>43748.056485555549</v>
      </c>
    </row>
    <row r="7923" spans="1:10" x14ac:dyDescent="0.25">
      <c r="A7923" s="5" t="s">
        <v>16165</v>
      </c>
      <c r="B7923" s="6">
        <v>403.125</v>
      </c>
      <c r="C7923" s="6">
        <v>20.478950000000001</v>
      </c>
      <c r="D7923" s="6">
        <v>89</v>
      </c>
      <c r="E7923" s="6">
        <v>0</v>
      </c>
      <c r="F7923" s="6">
        <v>0</v>
      </c>
      <c r="G7923" s="6">
        <v>18</v>
      </c>
      <c r="H7923" s="6" t="s">
        <v>16166</v>
      </c>
      <c r="I7923" s="6">
        <v>529.875</v>
      </c>
      <c r="J7923" s="2">
        <f t="shared" si="123"/>
        <v>43748.056580752316</v>
      </c>
    </row>
    <row r="7924" spans="1:10" x14ac:dyDescent="0.25">
      <c r="A7924" s="7" t="s">
        <v>16167</v>
      </c>
      <c r="B7924" s="8">
        <v>403.125</v>
      </c>
      <c r="C7924" s="8">
        <v>20.478950000000001</v>
      </c>
      <c r="D7924" s="8">
        <v>88</v>
      </c>
      <c r="E7924" s="8">
        <v>0</v>
      </c>
      <c r="F7924" s="8">
        <v>0</v>
      </c>
      <c r="G7924" s="8">
        <v>19</v>
      </c>
      <c r="H7924" s="8" t="s">
        <v>16168</v>
      </c>
      <c r="I7924" s="8">
        <v>529.875</v>
      </c>
      <c r="J7924" s="3">
        <f t="shared" si="123"/>
        <v>43748.056652245366</v>
      </c>
    </row>
    <row r="7925" spans="1:10" x14ac:dyDescent="0.25">
      <c r="A7925" s="5" t="s">
        <v>16169</v>
      </c>
      <c r="B7925" s="6">
        <v>403.125</v>
      </c>
      <c r="C7925" s="6">
        <v>20.478950000000001</v>
      </c>
      <c r="D7925" s="6">
        <v>88</v>
      </c>
      <c r="E7925" s="6">
        <v>0</v>
      </c>
      <c r="F7925" s="6">
        <v>0</v>
      </c>
      <c r="G7925" s="6">
        <v>16</v>
      </c>
      <c r="H7925" s="6" t="s">
        <v>16170</v>
      </c>
      <c r="I7925" s="6">
        <v>529.125</v>
      </c>
      <c r="J7925" s="2">
        <f t="shared" si="123"/>
        <v>43748.056724236107</v>
      </c>
    </row>
    <row r="7926" spans="1:10" x14ac:dyDescent="0.25">
      <c r="A7926" s="7" t="s">
        <v>16171</v>
      </c>
      <c r="B7926" s="8">
        <v>403.125</v>
      </c>
      <c r="C7926" s="8">
        <v>20.478950000000001</v>
      </c>
      <c r="D7926" s="8">
        <v>88</v>
      </c>
      <c r="E7926" s="8">
        <v>0</v>
      </c>
      <c r="F7926" s="8">
        <v>0</v>
      </c>
      <c r="G7926" s="8">
        <v>18</v>
      </c>
      <c r="H7926" s="8" t="s">
        <v>16172</v>
      </c>
      <c r="I7926" s="8">
        <v>529.125</v>
      </c>
      <c r="J7926" s="3">
        <f t="shared" si="123"/>
        <v>43748.056795648146</v>
      </c>
    </row>
    <row r="7927" spans="1:10" x14ac:dyDescent="0.25">
      <c r="A7927" s="5" t="s">
        <v>16173</v>
      </c>
      <c r="B7927" s="6">
        <v>403.125</v>
      </c>
      <c r="C7927" s="6">
        <v>20.478950000000001</v>
      </c>
      <c r="D7927" s="6">
        <v>88</v>
      </c>
      <c r="E7927" s="6">
        <v>0</v>
      </c>
      <c r="F7927" s="6">
        <v>0</v>
      </c>
      <c r="G7927" s="6">
        <v>21</v>
      </c>
      <c r="H7927" s="6" t="s">
        <v>16174</v>
      </c>
      <c r="I7927" s="6">
        <v>529.125</v>
      </c>
      <c r="J7927" s="2">
        <f t="shared" si="123"/>
        <v>43748.056866921295</v>
      </c>
    </row>
    <row r="7928" spans="1:10" x14ac:dyDescent="0.25">
      <c r="A7928" s="7" t="s">
        <v>16175</v>
      </c>
      <c r="B7928" s="8">
        <v>403.125</v>
      </c>
      <c r="C7928" s="8">
        <v>20.478950000000001</v>
      </c>
      <c r="D7928" s="8">
        <v>90</v>
      </c>
      <c r="E7928" s="8">
        <v>0</v>
      </c>
      <c r="F7928" s="8">
        <v>0</v>
      </c>
      <c r="G7928" s="8">
        <v>26</v>
      </c>
      <c r="H7928" s="8" t="s">
        <v>16176</v>
      </c>
      <c r="I7928" s="8">
        <v>529.125</v>
      </c>
      <c r="J7928" s="3">
        <f t="shared" si="123"/>
        <v>43748.056938229165</v>
      </c>
    </row>
    <row r="7929" spans="1:10" x14ac:dyDescent="0.25">
      <c r="A7929" s="5" t="s">
        <v>16177</v>
      </c>
      <c r="B7929" s="6">
        <v>403.125</v>
      </c>
      <c r="C7929" s="6">
        <v>20.478950000000001</v>
      </c>
      <c r="D7929" s="6">
        <v>90</v>
      </c>
      <c r="E7929" s="6">
        <v>0</v>
      </c>
      <c r="F7929" s="6">
        <v>0</v>
      </c>
      <c r="G7929" s="6">
        <v>24</v>
      </c>
      <c r="H7929" s="6" t="s">
        <v>16178</v>
      </c>
      <c r="I7929" s="6">
        <v>529.125</v>
      </c>
      <c r="J7929" s="2">
        <f t="shared" si="123"/>
        <v>43748.057010451383</v>
      </c>
    </row>
    <row r="7930" spans="1:10" x14ac:dyDescent="0.25">
      <c r="A7930" s="7" t="s">
        <v>16179</v>
      </c>
      <c r="B7930" s="8">
        <v>403.125</v>
      </c>
      <c r="C7930" s="8">
        <v>20.478950000000001</v>
      </c>
      <c r="D7930" s="8">
        <v>94</v>
      </c>
      <c r="E7930" s="8">
        <v>0</v>
      </c>
      <c r="F7930" s="8">
        <v>0</v>
      </c>
      <c r="G7930" s="8">
        <v>20</v>
      </c>
      <c r="H7930" s="8" t="s">
        <v>16180</v>
      </c>
      <c r="I7930" s="8">
        <v>529.125</v>
      </c>
      <c r="J7930" s="3">
        <f t="shared" si="123"/>
        <v>43748.05708175926</v>
      </c>
    </row>
    <row r="7931" spans="1:10" x14ac:dyDescent="0.25">
      <c r="A7931" s="5" t="s">
        <v>16181</v>
      </c>
      <c r="B7931" s="6">
        <v>403.125</v>
      </c>
      <c r="C7931" s="6">
        <v>20.478950000000001</v>
      </c>
      <c r="D7931" s="6">
        <v>94</v>
      </c>
      <c r="E7931" s="6">
        <v>0</v>
      </c>
      <c r="F7931" s="6">
        <v>0</v>
      </c>
      <c r="G7931" s="6">
        <v>22</v>
      </c>
      <c r="H7931" s="6" t="s">
        <v>16182</v>
      </c>
      <c r="I7931" s="6">
        <v>529.125</v>
      </c>
      <c r="J7931" s="2">
        <f t="shared" si="123"/>
        <v>43748.057153032401</v>
      </c>
    </row>
    <row r="7932" spans="1:10" x14ac:dyDescent="0.25">
      <c r="A7932" s="7" t="s">
        <v>16183</v>
      </c>
      <c r="B7932" s="8">
        <v>403.125</v>
      </c>
      <c r="C7932" s="8">
        <v>20.478950000000001</v>
      </c>
      <c r="D7932" s="8">
        <v>93</v>
      </c>
      <c r="E7932" s="8">
        <v>0</v>
      </c>
      <c r="F7932" s="8">
        <v>0</v>
      </c>
      <c r="G7932" s="8">
        <v>16</v>
      </c>
      <c r="H7932" s="8" t="s">
        <v>16184</v>
      </c>
      <c r="I7932" s="8">
        <v>529.125</v>
      </c>
      <c r="J7932" s="3">
        <f t="shared" si="123"/>
        <v>43748.057236365734</v>
      </c>
    </row>
    <row r="7933" spans="1:10" x14ac:dyDescent="0.25">
      <c r="A7933" s="5" t="s">
        <v>16185</v>
      </c>
      <c r="B7933" s="6">
        <v>403.125</v>
      </c>
      <c r="C7933" s="6">
        <v>20.478950000000001</v>
      </c>
      <c r="D7933" s="6">
        <v>93</v>
      </c>
      <c r="E7933" s="6">
        <v>0</v>
      </c>
      <c r="F7933" s="6">
        <v>0</v>
      </c>
      <c r="G7933" s="6">
        <v>25</v>
      </c>
      <c r="H7933" s="6" t="s">
        <v>16186</v>
      </c>
      <c r="I7933" s="6">
        <v>529.125</v>
      </c>
      <c r="J7933" s="2">
        <f t="shared" si="123"/>
        <v>43748.057319884254</v>
      </c>
    </row>
    <row r="7934" spans="1:10" x14ac:dyDescent="0.25">
      <c r="A7934" s="7" t="s">
        <v>16187</v>
      </c>
      <c r="B7934" s="8">
        <v>403.125</v>
      </c>
      <c r="C7934" s="8">
        <v>20.478950000000001</v>
      </c>
      <c r="D7934" s="8">
        <v>90</v>
      </c>
      <c r="E7934" s="8">
        <v>0</v>
      </c>
      <c r="F7934" s="8">
        <v>0</v>
      </c>
      <c r="G7934" s="8">
        <v>17</v>
      </c>
      <c r="H7934" s="8" t="s">
        <v>16188</v>
      </c>
      <c r="I7934" s="8">
        <v>529.875</v>
      </c>
      <c r="J7934" s="3">
        <f t="shared" si="123"/>
        <v>43748.05739188657</v>
      </c>
    </row>
    <row r="7935" spans="1:10" x14ac:dyDescent="0.25">
      <c r="A7935" s="5" t="s">
        <v>16189</v>
      </c>
      <c r="B7935" s="6">
        <v>403.125</v>
      </c>
      <c r="C7935" s="6">
        <v>20.478950000000001</v>
      </c>
      <c r="D7935" s="6">
        <v>88</v>
      </c>
      <c r="E7935" s="6">
        <v>0</v>
      </c>
      <c r="F7935" s="6">
        <v>0</v>
      </c>
      <c r="G7935" s="6">
        <v>19</v>
      </c>
      <c r="H7935" s="6" t="s">
        <v>16190</v>
      </c>
      <c r="I7935" s="6">
        <v>529.875</v>
      </c>
      <c r="J7935" s="2">
        <f t="shared" si="123"/>
        <v>43748.057463240737</v>
      </c>
    </row>
    <row r="7936" spans="1:10" x14ac:dyDescent="0.25">
      <c r="A7936" s="7" t="s">
        <v>16191</v>
      </c>
      <c r="B7936" s="8">
        <v>403.125</v>
      </c>
      <c r="C7936" s="8">
        <v>20.478950000000001</v>
      </c>
      <c r="D7936" s="8">
        <v>88</v>
      </c>
      <c r="E7936" s="8">
        <v>0</v>
      </c>
      <c r="F7936" s="8">
        <v>0</v>
      </c>
      <c r="G7936" s="8">
        <v>20</v>
      </c>
      <c r="H7936" s="8" t="s">
        <v>16192</v>
      </c>
      <c r="I7936" s="8">
        <v>529.875</v>
      </c>
      <c r="J7936" s="3">
        <f t="shared" si="123"/>
        <v>43748.057534513886</v>
      </c>
    </row>
    <row r="7937" spans="1:10" x14ac:dyDescent="0.25">
      <c r="A7937" s="5" t="s">
        <v>16193</v>
      </c>
      <c r="B7937" s="6">
        <v>403.125</v>
      </c>
      <c r="C7937" s="6">
        <v>20.478950000000001</v>
      </c>
      <c r="D7937" s="6">
        <v>87</v>
      </c>
      <c r="E7937" s="6">
        <v>0</v>
      </c>
      <c r="F7937" s="6">
        <v>0</v>
      </c>
      <c r="G7937" s="6">
        <v>14</v>
      </c>
      <c r="H7937" s="6" t="s">
        <v>16194</v>
      </c>
      <c r="I7937" s="6">
        <v>529.125</v>
      </c>
      <c r="J7937" s="2">
        <f t="shared" si="123"/>
        <v>43748.057606111113</v>
      </c>
    </row>
    <row r="7938" spans="1:10" x14ac:dyDescent="0.25">
      <c r="A7938" s="7" t="s">
        <v>16195</v>
      </c>
      <c r="B7938" s="8">
        <v>403.125</v>
      </c>
      <c r="C7938" s="8">
        <v>20.478950000000001</v>
      </c>
      <c r="D7938" s="8">
        <v>85</v>
      </c>
      <c r="E7938" s="8">
        <v>0</v>
      </c>
      <c r="F7938" s="8">
        <v>0</v>
      </c>
      <c r="G7938" s="8">
        <v>23</v>
      </c>
      <c r="H7938" s="8" t="s">
        <v>16196</v>
      </c>
      <c r="I7938" s="8">
        <v>529.875</v>
      </c>
      <c r="J7938" s="3">
        <f t="shared" ref="J7938:J8001" si="124">(H7938/86400000)+25569+(7/24)</f>
        <v>43748.057677476849</v>
      </c>
    </row>
    <row r="7939" spans="1:10" x14ac:dyDescent="0.25">
      <c r="A7939" s="5" t="s">
        <v>16197</v>
      </c>
      <c r="B7939" s="6">
        <v>403.125</v>
      </c>
      <c r="C7939" s="6">
        <v>20.478950000000001</v>
      </c>
      <c r="D7939" s="6">
        <v>85</v>
      </c>
      <c r="E7939" s="6">
        <v>0</v>
      </c>
      <c r="F7939" s="6">
        <v>0</v>
      </c>
      <c r="G7939" s="6">
        <v>16</v>
      </c>
      <c r="H7939" s="6" t="s">
        <v>16198</v>
      </c>
      <c r="I7939" s="6">
        <v>529.875</v>
      </c>
      <c r="J7939" s="2">
        <f t="shared" si="124"/>
        <v>43748.057749062493</v>
      </c>
    </row>
    <row r="7940" spans="1:10" x14ac:dyDescent="0.25">
      <c r="A7940" s="7" t="s">
        <v>16199</v>
      </c>
      <c r="B7940" s="8">
        <v>403.125</v>
      </c>
      <c r="C7940" s="8">
        <v>20.478950000000001</v>
      </c>
      <c r="D7940" s="8">
        <v>85</v>
      </c>
      <c r="E7940" s="8">
        <v>0</v>
      </c>
      <c r="F7940" s="8">
        <v>0</v>
      </c>
      <c r="G7940" s="8">
        <v>24</v>
      </c>
      <c r="H7940" s="8" t="s">
        <v>16200</v>
      </c>
      <c r="I7940" s="8">
        <v>529.875</v>
      </c>
      <c r="J7940" s="3">
        <f t="shared" si="124"/>
        <v>43748.057832986109</v>
      </c>
    </row>
    <row r="7941" spans="1:10" x14ac:dyDescent="0.25">
      <c r="A7941" s="5" t="s">
        <v>16201</v>
      </c>
      <c r="B7941" s="6">
        <v>403.125</v>
      </c>
      <c r="C7941" s="6">
        <v>20.478950000000001</v>
      </c>
      <c r="D7941" s="6">
        <v>85</v>
      </c>
      <c r="E7941" s="6">
        <v>0</v>
      </c>
      <c r="F7941" s="6">
        <v>0</v>
      </c>
      <c r="G7941" s="6">
        <v>21</v>
      </c>
      <c r="H7941" s="6" t="s">
        <v>16202</v>
      </c>
      <c r="I7941" s="6">
        <v>529.875</v>
      </c>
      <c r="J7941" s="2">
        <f t="shared" si="124"/>
        <v>43748.057904270834</v>
      </c>
    </row>
    <row r="7942" spans="1:10" x14ac:dyDescent="0.25">
      <c r="A7942" s="7" t="s">
        <v>16203</v>
      </c>
      <c r="B7942" s="8">
        <v>403.125</v>
      </c>
      <c r="C7942" s="8">
        <v>20.478950000000001</v>
      </c>
      <c r="D7942" s="8">
        <v>86</v>
      </c>
      <c r="E7942" s="8">
        <v>0</v>
      </c>
      <c r="F7942" s="8">
        <v>0</v>
      </c>
      <c r="G7942" s="8">
        <v>17</v>
      </c>
      <c r="H7942" s="8" t="s">
        <v>16204</v>
      </c>
      <c r="I7942" s="8">
        <v>529.875</v>
      </c>
      <c r="J7942" s="3">
        <f t="shared" si="124"/>
        <v>43748.057975613425</v>
      </c>
    </row>
    <row r="7943" spans="1:10" x14ac:dyDescent="0.25">
      <c r="A7943" s="5" t="s">
        <v>16205</v>
      </c>
      <c r="B7943" s="6">
        <v>406.25</v>
      </c>
      <c r="C7943" s="6">
        <v>20.478950000000001</v>
      </c>
      <c r="D7943" s="6">
        <v>88</v>
      </c>
      <c r="E7943" s="6">
        <v>0</v>
      </c>
      <c r="F7943" s="6">
        <v>0</v>
      </c>
      <c r="G7943" s="6">
        <v>20</v>
      </c>
      <c r="H7943" s="6" t="s">
        <v>16206</v>
      </c>
      <c r="I7943" s="6">
        <v>530.625</v>
      </c>
      <c r="J7943" s="2">
        <f t="shared" si="124"/>
        <v>43748.058047777777</v>
      </c>
    </row>
    <row r="7944" spans="1:10" x14ac:dyDescent="0.25">
      <c r="A7944" s="7" t="s">
        <v>16207</v>
      </c>
      <c r="B7944" s="8">
        <v>403.125</v>
      </c>
      <c r="C7944" s="8">
        <v>20.478950000000001</v>
      </c>
      <c r="D7944" s="8">
        <v>88</v>
      </c>
      <c r="E7944" s="8">
        <v>0</v>
      </c>
      <c r="F7944" s="8">
        <v>0</v>
      </c>
      <c r="G7944" s="8">
        <v>29</v>
      </c>
      <c r="H7944" s="8" t="s">
        <v>16208</v>
      </c>
      <c r="I7944" s="8">
        <v>529.875</v>
      </c>
      <c r="J7944" s="3">
        <f t="shared" si="124"/>
        <v>43748.058119085646</v>
      </c>
    </row>
    <row r="7945" spans="1:10" x14ac:dyDescent="0.25">
      <c r="A7945" s="5" t="s">
        <v>16209</v>
      </c>
      <c r="B7945" s="6">
        <v>403.125</v>
      </c>
      <c r="C7945" s="6">
        <v>20.478950000000001</v>
      </c>
      <c r="D7945" s="6">
        <v>88</v>
      </c>
      <c r="E7945" s="6">
        <v>0</v>
      </c>
      <c r="F7945" s="6">
        <v>0</v>
      </c>
      <c r="G7945" s="6">
        <v>17</v>
      </c>
      <c r="H7945" s="6" t="s">
        <v>16210</v>
      </c>
      <c r="I7945" s="6">
        <v>529.125</v>
      </c>
      <c r="J7945" s="2">
        <f t="shared" si="124"/>
        <v>43748.05819038194</v>
      </c>
    </row>
    <row r="7946" spans="1:10" x14ac:dyDescent="0.25">
      <c r="A7946" s="7" t="s">
        <v>16211</v>
      </c>
      <c r="B7946" s="8">
        <v>403.125</v>
      </c>
      <c r="C7946" s="8">
        <v>20.478950000000001</v>
      </c>
      <c r="D7946" s="8">
        <v>88</v>
      </c>
      <c r="E7946" s="8">
        <v>0</v>
      </c>
      <c r="F7946" s="8">
        <v>0</v>
      </c>
      <c r="G7946" s="8">
        <v>26</v>
      </c>
      <c r="H7946" s="8" t="s">
        <v>16212</v>
      </c>
      <c r="I7946" s="8">
        <v>529.125</v>
      </c>
      <c r="J7946" s="3">
        <f t="shared" si="124"/>
        <v>43748.058262430553</v>
      </c>
    </row>
    <row r="7947" spans="1:10" x14ac:dyDescent="0.25">
      <c r="A7947" s="5" t="s">
        <v>16213</v>
      </c>
      <c r="B7947" s="6">
        <v>400</v>
      </c>
      <c r="C7947" s="6">
        <v>20.478950000000001</v>
      </c>
      <c r="D7947" s="6">
        <v>89</v>
      </c>
      <c r="E7947" s="6">
        <v>0</v>
      </c>
      <c r="F7947" s="6">
        <v>0</v>
      </c>
      <c r="G7947" s="6">
        <v>25</v>
      </c>
      <c r="H7947" s="6" t="s">
        <v>16214</v>
      </c>
      <c r="I7947" s="6">
        <v>528.1875</v>
      </c>
      <c r="J7947" s="2">
        <f t="shared" si="124"/>
        <v>43748.058333912035</v>
      </c>
    </row>
    <row r="7948" spans="1:10" x14ac:dyDescent="0.25">
      <c r="A7948" s="7" t="s">
        <v>16215</v>
      </c>
      <c r="B7948" s="8">
        <v>400</v>
      </c>
      <c r="C7948" s="8">
        <v>20.478950000000001</v>
      </c>
      <c r="D7948" s="8">
        <v>88</v>
      </c>
      <c r="E7948" s="8">
        <v>0</v>
      </c>
      <c r="F7948" s="8">
        <v>0</v>
      </c>
      <c r="G7948" s="8">
        <v>19</v>
      </c>
      <c r="H7948" s="8" t="s">
        <v>16216</v>
      </c>
      <c r="I7948" s="8">
        <v>528.375</v>
      </c>
      <c r="J7948" s="3">
        <f t="shared" si="124"/>
        <v>43748.058417233791</v>
      </c>
    </row>
    <row r="7949" spans="1:10" x14ac:dyDescent="0.25">
      <c r="A7949" s="5" t="s">
        <v>16217</v>
      </c>
      <c r="B7949" s="6">
        <v>396.875</v>
      </c>
      <c r="C7949" s="6">
        <v>20.478950000000001</v>
      </c>
      <c r="D7949" s="6">
        <v>89</v>
      </c>
      <c r="E7949" s="6">
        <v>0</v>
      </c>
      <c r="F7949" s="6">
        <v>0</v>
      </c>
      <c r="G7949" s="6">
        <v>26</v>
      </c>
      <c r="H7949" s="6" t="s">
        <v>16218</v>
      </c>
      <c r="I7949" s="6">
        <v>527.4375</v>
      </c>
      <c r="J7949" s="2">
        <f t="shared" si="124"/>
        <v>43748.058488530085</v>
      </c>
    </row>
    <row r="7950" spans="1:10" x14ac:dyDescent="0.25">
      <c r="A7950" s="7" t="s">
        <v>16219</v>
      </c>
      <c r="B7950" s="8">
        <v>396.875</v>
      </c>
      <c r="C7950" s="8">
        <v>20.478950000000001</v>
      </c>
      <c r="D7950" s="8">
        <v>90</v>
      </c>
      <c r="E7950" s="8">
        <v>0</v>
      </c>
      <c r="F7950" s="8">
        <v>0</v>
      </c>
      <c r="G7950" s="8">
        <v>21</v>
      </c>
      <c r="H7950" s="8" t="s">
        <v>16220</v>
      </c>
      <c r="I7950" s="8">
        <v>527.4375</v>
      </c>
      <c r="J7950" s="3">
        <f t="shared" si="124"/>
        <v>43748.058559884252</v>
      </c>
    </row>
    <row r="7951" spans="1:10" x14ac:dyDescent="0.25">
      <c r="A7951" s="5" t="s">
        <v>16221</v>
      </c>
      <c r="B7951" s="6">
        <v>396.875</v>
      </c>
      <c r="C7951" s="6">
        <v>20.478950000000001</v>
      </c>
      <c r="D7951" s="6">
        <v>91</v>
      </c>
      <c r="E7951" s="6">
        <v>0</v>
      </c>
      <c r="F7951" s="6">
        <v>0</v>
      </c>
      <c r="G7951" s="6">
        <v>23</v>
      </c>
      <c r="H7951" s="6" t="s">
        <v>16222</v>
      </c>
      <c r="I7951" s="6">
        <v>527.625</v>
      </c>
      <c r="J7951" s="2">
        <f t="shared" si="124"/>
        <v>43748.058631979169</v>
      </c>
    </row>
    <row r="7952" spans="1:10" x14ac:dyDescent="0.25">
      <c r="A7952" s="7" t="s">
        <v>16223</v>
      </c>
      <c r="B7952" s="8">
        <v>396.875</v>
      </c>
      <c r="C7952" s="8">
        <v>20.478950000000001</v>
      </c>
      <c r="D7952" s="8">
        <v>93</v>
      </c>
      <c r="E7952" s="8">
        <v>0</v>
      </c>
      <c r="F7952" s="8">
        <v>0</v>
      </c>
      <c r="G7952" s="8">
        <v>35</v>
      </c>
      <c r="H7952" s="8" t="s">
        <v>16224</v>
      </c>
      <c r="I7952" s="8">
        <v>527.4375</v>
      </c>
      <c r="J7952" s="3">
        <f t="shared" si="124"/>
        <v>43748.058703344905</v>
      </c>
    </row>
    <row r="7953" spans="1:10" x14ac:dyDescent="0.25">
      <c r="A7953" s="5" t="s">
        <v>16225</v>
      </c>
      <c r="B7953" s="6">
        <v>396.875</v>
      </c>
      <c r="C7953" s="6">
        <v>20.478950000000001</v>
      </c>
      <c r="D7953" s="6">
        <v>93</v>
      </c>
      <c r="E7953" s="6">
        <v>0</v>
      </c>
      <c r="F7953" s="6">
        <v>0</v>
      </c>
      <c r="G7953" s="6">
        <v>24</v>
      </c>
      <c r="H7953" s="6" t="s">
        <v>16226</v>
      </c>
      <c r="I7953" s="6">
        <v>527.4375</v>
      </c>
      <c r="J7953" s="2">
        <f t="shared" si="124"/>
        <v>43748.05877462963</v>
      </c>
    </row>
    <row r="7954" spans="1:10" x14ac:dyDescent="0.25">
      <c r="A7954" s="7" t="s">
        <v>16227</v>
      </c>
      <c r="B7954" s="8">
        <v>400</v>
      </c>
      <c r="C7954" s="8">
        <v>20.478950000000001</v>
      </c>
      <c r="D7954" s="8">
        <v>92</v>
      </c>
      <c r="E7954" s="8">
        <v>0</v>
      </c>
      <c r="F7954" s="8">
        <v>0</v>
      </c>
      <c r="G7954" s="8">
        <v>21</v>
      </c>
      <c r="H7954" s="8" t="s">
        <v>16228</v>
      </c>
      <c r="I7954" s="8">
        <v>528.375</v>
      </c>
      <c r="J7954" s="3">
        <f t="shared" si="124"/>
        <v>43748.058846041669</v>
      </c>
    </row>
    <row r="7955" spans="1:10" x14ac:dyDescent="0.25">
      <c r="A7955" s="5" t="s">
        <v>16229</v>
      </c>
      <c r="B7955" s="6">
        <v>403.125</v>
      </c>
      <c r="C7955" s="6">
        <v>20.478950000000001</v>
      </c>
      <c r="D7955" s="6">
        <v>93</v>
      </c>
      <c r="E7955" s="6">
        <v>0</v>
      </c>
      <c r="F7955" s="6">
        <v>0</v>
      </c>
      <c r="G7955" s="6">
        <v>19</v>
      </c>
      <c r="H7955" s="6" t="s">
        <v>16230</v>
      </c>
      <c r="I7955" s="6">
        <v>529.125</v>
      </c>
      <c r="J7955" s="2">
        <f t="shared" si="124"/>
        <v>43748.058918182869</v>
      </c>
    </row>
    <row r="7956" spans="1:10" x14ac:dyDescent="0.25">
      <c r="A7956" s="7" t="s">
        <v>16231</v>
      </c>
      <c r="B7956" s="8">
        <v>403.125</v>
      </c>
      <c r="C7956" s="8">
        <v>20.478950000000001</v>
      </c>
      <c r="D7956" s="8">
        <v>92</v>
      </c>
      <c r="E7956" s="8">
        <v>0</v>
      </c>
      <c r="F7956" s="8">
        <v>0</v>
      </c>
      <c r="G7956" s="8">
        <v>26</v>
      </c>
      <c r="H7956" s="8" t="s">
        <v>16232</v>
      </c>
      <c r="I7956" s="8">
        <v>529.125</v>
      </c>
      <c r="J7956" s="3">
        <f t="shared" si="124"/>
        <v>43748.058989456018</v>
      </c>
    </row>
    <row r="7957" spans="1:10" x14ac:dyDescent="0.25">
      <c r="A7957" s="5" t="s">
        <v>16233</v>
      </c>
      <c r="B7957" s="6">
        <v>403.125</v>
      </c>
      <c r="C7957" s="6">
        <v>20.478950000000001</v>
      </c>
      <c r="D7957" s="6">
        <v>92</v>
      </c>
      <c r="E7957" s="6">
        <v>0</v>
      </c>
      <c r="F7957" s="6">
        <v>0</v>
      </c>
      <c r="G7957" s="6">
        <v>18</v>
      </c>
      <c r="H7957" s="6" t="s">
        <v>16234</v>
      </c>
      <c r="I7957" s="6">
        <v>529.875</v>
      </c>
      <c r="J7957" s="2">
        <f t="shared" si="124"/>
        <v>43748.059060763888</v>
      </c>
    </row>
    <row r="7958" spans="1:10" x14ac:dyDescent="0.25">
      <c r="A7958" s="7" t="s">
        <v>16235</v>
      </c>
      <c r="B7958" s="8">
        <v>403.125</v>
      </c>
      <c r="C7958" s="8">
        <v>20.478950000000001</v>
      </c>
      <c r="D7958" s="8">
        <v>92</v>
      </c>
      <c r="E7958" s="8">
        <v>0</v>
      </c>
      <c r="F7958" s="8">
        <v>0</v>
      </c>
      <c r="G7958" s="8">
        <v>26</v>
      </c>
      <c r="H7958" s="8" t="s">
        <v>16236</v>
      </c>
      <c r="I7958" s="8">
        <v>529.875</v>
      </c>
      <c r="J7958" s="3">
        <f t="shared" si="124"/>
        <v>43748.059132951392</v>
      </c>
    </row>
    <row r="7959" spans="1:10" x14ac:dyDescent="0.25">
      <c r="A7959" s="5" t="s">
        <v>16237</v>
      </c>
      <c r="B7959" s="6">
        <v>403.125</v>
      </c>
      <c r="C7959" s="6">
        <v>20.478950000000001</v>
      </c>
      <c r="D7959" s="6">
        <v>93</v>
      </c>
      <c r="E7959" s="6">
        <v>0</v>
      </c>
      <c r="F7959" s="6">
        <v>0</v>
      </c>
      <c r="G7959" s="6">
        <v>20</v>
      </c>
      <c r="H7959" s="6" t="s">
        <v>16238</v>
      </c>
      <c r="I7959" s="6">
        <v>529.875</v>
      </c>
      <c r="J7959" s="2">
        <f t="shared" si="124"/>
        <v>43748.059204259254</v>
      </c>
    </row>
    <row r="7960" spans="1:10" x14ac:dyDescent="0.25">
      <c r="A7960" s="7" t="s">
        <v>16239</v>
      </c>
      <c r="B7960" s="8">
        <v>425</v>
      </c>
      <c r="C7960" s="8">
        <v>20.478950000000001</v>
      </c>
      <c r="D7960" s="8">
        <v>93</v>
      </c>
      <c r="E7960" s="8">
        <v>0</v>
      </c>
      <c r="F7960" s="8">
        <v>0</v>
      </c>
      <c r="G7960" s="8">
        <v>22</v>
      </c>
      <c r="H7960" s="8" t="s">
        <v>16240</v>
      </c>
      <c r="I7960" s="8">
        <v>536.25</v>
      </c>
      <c r="J7960" s="3">
        <f t="shared" si="124"/>
        <v>43748.059275324071</v>
      </c>
    </row>
    <row r="7961" spans="1:10" x14ac:dyDescent="0.25">
      <c r="A7961" s="5" t="s">
        <v>16241</v>
      </c>
      <c r="B7961" s="6">
        <v>406.25</v>
      </c>
      <c r="C7961" s="6">
        <v>20.478950000000001</v>
      </c>
      <c r="D7961" s="6">
        <v>93</v>
      </c>
      <c r="E7961" s="6">
        <v>0</v>
      </c>
      <c r="F7961" s="6">
        <v>0</v>
      </c>
      <c r="G7961" s="6">
        <v>19</v>
      </c>
      <c r="H7961" s="6" t="s">
        <v>16242</v>
      </c>
      <c r="I7961" s="6">
        <v>530.625</v>
      </c>
      <c r="J7961" s="2">
        <f t="shared" si="124"/>
        <v>43748.059346863425</v>
      </c>
    </row>
    <row r="7962" spans="1:10" x14ac:dyDescent="0.25">
      <c r="A7962" s="7" t="s">
        <v>16243</v>
      </c>
      <c r="B7962" s="8">
        <v>406.25</v>
      </c>
      <c r="C7962" s="8">
        <v>20.478950000000001</v>
      </c>
      <c r="D7962" s="8">
        <v>92</v>
      </c>
      <c r="E7962" s="8">
        <v>0</v>
      </c>
      <c r="F7962" s="8">
        <v>0</v>
      </c>
      <c r="G7962" s="8">
        <v>19</v>
      </c>
      <c r="H7962" s="8" t="s">
        <v>16244</v>
      </c>
      <c r="I7962" s="8">
        <v>530.8125</v>
      </c>
      <c r="J7962" s="3">
        <f t="shared" si="124"/>
        <v>43748.059419074074</v>
      </c>
    </row>
    <row r="7963" spans="1:10" x14ac:dyDescent="0.25">
      <c r="A7963" s="5" t="s">
        <v>16245</v>
      </c>
      <c r="B7963" s="6">
        <v>406.25</v>
      </c>
      <c r="C7963" s="6">
        <v>20.478950000000001</v>
      </c>
      <c r="D7963" s="6">
        <v>93</v>
      </c>
      <c r="E7963" s="6">
        <v>0</v>
      </c>
      <c r="F7963" s="6">
        <v>0</v>
      </c>
      <c r="G7963" s="6">
        <v>16</v>
      </c>
      <c r="H7963" s="6" t="s">
        <v>16246</v>
      </c>
      <c r="I7963" s="6">
        <v>530.8125</v>
      </c>
      <c r="J7963" s="2">
        <f t="shared" si="124"/>
        <v>43748.059490266205</v>
      </c>
    </row>
    <row r="7964" spans="1:10" x14ac:dyDescent="0.25">
      <c r="A7964" s="7" t="s">
        <v>16247</v>
      </c>
      <c r="B7964" s="8">
        <v>403.125</v>
      </c>
      <c r="C7964" s="8">
        <v>20.478950000000001</v>
      </c>
      <c r="D7964" s="8">
        <v>93</v>
      </c>
      <c r="E7964" s="8">
        <v>0</v>
      </c>
      <c r="F7964" s="8">
        <v>0</v>
      </c>
      <c r="G7964" s="8">
        <v>20</v>
      </c>
      <c r="H7964" s="8" t="s">
        <v>16248</v>
      </c>
      <c r="I7964" s="8">
        <v>529.875</v>
      </c>
      <c r="J7964" s="3">
        <f t="shared" si="124"/>
        <v>43748.059561666661</v>
      </c>
    </row>
    <row r="7965" spans="1:10" x14ac:dyDescent="0.25">
      <c r="A7965" s="5" t="s">
        <v>16249</v>
      </c>
      <c r="B7965" s="6">
        <v>403.125</v>
      </c>
      <c r="C7965" s="6">
        <v>20.478950000000001</v>
      </c>
      <c r="D7965" s="6">
        <v>93</v>
      </c>
      <c r="E7965" s="6">
        <v>0</v>
      </c>
      <c r="F7965" s="6">
        <v>0</v>
      </c>
      <c r="G7965" s="6">
        <v>20</v>
      </c>
      <c r="H7965" s="6" t="s">
        <v>16250</v>
      </c>
      <c r="I7965" s="6">
        <v>529.125</v>
      </c>
      <c r="J7965" s="2">
        <f t="shared" si="124"/>
        <v>43748.059633020828</v>
      </c>
    </row>
    <row r="7966" spans="1:10" x14ac:dyDescent="0.25">
      <c r="A7966" s="7" t="s">
        <v>16251</v>
      </c>
      <c r="B7966" s="8">
        <v>400</v>
      </c>
      <c r="C7966" s="8">
        <v>20.426300000000001</v>
      </c>
      <c r="D7966" s="8">
        <v>94</v>
      </c>
      <c r="E7966" s="8">
        <v>0</v>
      </c>
      <c r="F7966" s="8">
        <v>0</v>
      </c>
      <c r="G7966" s="8">
        <v>20</v>
      </c>
      <c r="H7966" s="8" t="s">
        <v>16252</v>
      </c>
      <c r="I7966" s="8">
        <v>528.1875</v>
      </c>
      <c r="J7966" s="3">
        <f t="shared" si="124"/>
        <v>43748.059704965279</v>
      </c>
    </row>
    <row r="7967" spans="1:10" x14ac:dyDescent="0.25">
      <c r="A7967" s="5" t="s">
        <v>16253</v>
      </c>
      <c r="B7967" s="6">
        <v>400</v>
      </c>
      <c r="C7967" s="6">
        <v>20.478950000000001</v>
      </c>
      <c r="D7967" s="6">
        <v>93</v>
      </c>
      <c r="E7967" s="6">
        <v>0</v>
      </c>
      <c r="F7967" s="6">
        <v>0</v>
      </c>
      <c r="G7967" s="6">
        <v>24</v>
      </c>
      <c r="H7967" s="6" t="s">
        <v>16254</v>
      </c>
      <c r="I7967" s="6">
        <v>528.1875</v>
      </c>
      <c r="J7967" s="2">
        <f t="shared" si="124"/>
        <v>43748.059776469905</v>
      </c>
    </row>
    <row r="7968" spans="1:10" x14ac:dyDescent="0.25">
      <c r="A7968" s="7" t="s">
        <v>16255</v>
      </c>
      <c r="B7968" s="8">
        <v>400</v>
      </c>
      <c r="C7968" s="8">
        <v>20.478950000000001</v>
      </c>
      <c r="D7968" s="8">
        <v>92</v>
      </c>
      <c r="E7968" s="8">
        <v>0</v>
      </c>
      <c r="F7968" s="8">
        <v>0</v>
      </c>
      <c r="G7968" s="8">
        <v>26</v>
      </c>
      <c r="H7968" s="8" t="s">
        <v>16256</v>
      </c>
      <c r="I7968" s="8">
        <v>528.1875</v>
      </c>
      <c r="J7968" s="3">
        <f t="shared" si="124"/>
        <v>43748.059847789351</v>
      </c>
    </row>
    <row r="7969" spans="1:10" x14ac:dyDescent="0.25">
      <c r="A7969" s="5" t="s">
        <v>16257</v>
      </c>
      <c r="B7969" s="6">
        <v>400</v>
      </c>
      <c r="C7969" s="6">
        <v>20.478950000000001</v>
      </c>
      <c r="D7969" s="6">
        <v>92</v>
      </c>
      <c r="E7969" s="6">
        <v>0</v>
      </c>
      <c r="F7969" s="6">
        <v>0</v>
      </c>
      <c r="G7969" s="6">
        <v>25</v>
      </c>
      <c r="H7969" s="6" t="s">
        <v>16258</v>
      </c>
      <c r="I7969" s="6">
        <v>528.375</v>
      </c>
      <c r="J7969" s="2">
        <f t="shared" si="124"/>
        <v>43748.059919826388</v>
      </c>
    </row>
    <row r="7970" spans="1:10" x14ac:dyDescent="0.25">
      <c r="A7970" s="7" t="s">
        <v>16259</v>
      </c>
      <c r="B7970" s="8">
        <v>400</v>
      </c>
      <c r="C7970" s="8">
        <v>20.478950000000001</v>
      </c>
      <c r="D7970" s="8">
        <v>94</v>
      </c>
      <c r="E7970" s="8">
        <v>0</v>
      </c>
      <c r="F7970" s="8">
        <v>0</v>
      </c>
      <c r="G7970" s="8">
        <v>22</v>
      </c>
      <c r="H7970" s="8" t="s">
        <v>16260</v>
      </c>
      <c r="I7970" s="8">
        <v>528.375</v>
      </c>
      <c r="J7970" s="3">
        <f t="shared" si="124"/>
        <v>43748.059991284717</v>
      </c>
    </row>
    <row r="7971" spans="1:10" x14ac:dyDescent="0.25">
      <c r="A7971" s="5" t="s">
        <v>16261</v>
      </c>
      <c r="B7971" s="6">
        <v>400</v>
      </c>
      <c r="C7971" s="6">
        <v>20.478950000000001</v>
      </c>
      <c r="D7971" s="6">
        <v>94</v>
      </c>
      <c r="E7971" s="6">
        <v>0</v>
      </c>
      <c r="F7971" s="6">
        <v>0</v>
      </c>
      <c r="G7971" s="6">
        <v>29</v>
      </c>
      <c r="H7971" s="6" t="s">
        <v>16262</v>
      </c>
      <c r="I7971" s="6">
        <v>528.1875</v>
      </c>
      <c r="J7971" s="2">
        <f t="shared" si="124"/>
        <v>43748.060062581011</v>
      </c>
    </row>
    <row r="7972" spans="1:10" x14ac:dyDescent="0.25">
      <c r="A7972" s="7" t="s">
        <v>16263</v>
      </c>
      <c r="B7972" s="8">
        <v>400</v>
      </c>
      <c r="C7972" s="8">
        <v>20.478950000000001</v>
      </c>
      <c r="D7972" s="8">
        <v>93</v>
      </c>
      <c r="E7972" s="8">
        <v>0</v>
      </c>
      <c r="F7972" s="8">
        <v>0</v>
      </c>
      <c r="G7972" s="8">
        <v>21</v>
      </c>
      <c r="H7972" s="8" t="s">
        <v>16264</v>
      </c>
      <c r="I7972" s="8">
        <v>528.375</v>
      </c>
      <c r="J7972" s="3">
        <f t="shared" si="124"/>
        <v>43748.060145937496</v>
      </c>
    </row>
    <row r="7973" spans="1:10" x14ac:dyDescent="0.25">
      <c r="A7973" s="5" t="s">
        <v>16265</v>
      </c>
      <c r="B7973" s="6">
        <v>403.125</v>
      </c>
      <c r="C7973" s="6">
        <v>20.478950000000001</v>
      </c>
      <c r="D7973" s="6">
        <v>93</v>
      </c>
      <c r="E7973" s="6">
        <v>0</v>
      </c>
      <c r="F7973" s="6">
        <v>0</v>
      </c>
      <c r="G7973" s="6">
        <v>32</v>
      </c>
      <c r="H7973" s="6" t="s">
        <v>16266</v>
      </c>
      <c r="I7973" s="6">
        <v>529.125</v>
      </c>
      <c r="J7973" s="2">
        <f t="shared" si="124"/>
        <v>43748.060230370371</v>
      </c>
    </row>
    <row r="7974" spans="1:10" x14ac:dyDescent="0.25">
      <c r="A7974" s="7" t="s">
        <v>16267</v>
      </c>
      <c r="B7974" s="8">
        <v>403.125</v>
      </c>
      <c r="C7974" s="8">
        <v>20.478950000000001</v>
      </c>
      <c r="D7974" s="8">
        <v>93</v>
      </c>
      <c r="E7974" s="8">
        <v>0</v>
      </c>
      <c r="F7974" s="8">
        <v>0</v>
      </c>
      <c r="G7974" s="8">
        <v>16</v>
      </c>
      <c r="H7974" s="8" t="s">
        <v>16268</v>
      </c>
      <c r="I7974" s="8">
        <v>529.125</v>
      </c>
      <c r="J7974" s="3">
        <f t="shared" si="124"/>
        <v>43748.060301331017</v>
      </c>
    </row>
    <row r="7975" spans="1:10" x14ac:dyDescent="0.25">
      <c r="A7975" s="5" t="s">
        <v>16269</v>
      </c>
      <c r="B7975" s="6">
        <v>403.125</v>
      </c>
      <c r="C7975" s="6">
        <v>20.478950000000001</v>
      </c>
      <c r="D7975" s="6">
        <v>91</v>
      </c>
      <c r="E7975" s="6">
        <v>0</v>
      </c>
      <c r="F7975" s="6">
        <v>0</v>
      </c>
      <c r="G7975" s="6">
        <v>24</v>
      </c>
      <c r="H7975" s="6" t="s">
        <v>16270</v>
      </c>
      <c r="I7975" s="6">
        <v>529.125</v>
      </c>
      <c r="J7975" s="2">
        <f t="shared" si="124"/>
        <v>43748.060372789354</v>
      </c>
    </row>
    <row r="7976" spans="1:10" x14ac:dyDescent="0.25">
      <c r="A7976" s="7" t="s">
        <v>16271</v>
      </c>
      <c r="B7976" s="8">
        <v>403.125</v>
      </c>
      <c r="C7976" s="8">
        <v>20.478950000000001</v>
      </c>
      <c r="D7976" s="8">
        <v>91</v>
      </c>
      <c r="E7976" s="8">
        <v>0</v>
      </c>
      <c r="F7976" s="8">
        <v>0</v>
      </c>
      <c r="G7976" s="8">
        <v>24</v>
      </c>
      <c r="H7976" s="8" t="s">
        <v>16272</v>
      </c>
      <c r="I7976" s="8">
        <v>529.875</v>
      </c>
      <c r="J7976" s="3">
        <f t="shared" si="124"/>
        <v>43748.060444085648</v>
      </c>
    </row>
    <row r="7977" spans="1:10" x14ac:dyDescent="0.25">
      <c r="A7977" s="5" t="s">
        <v>16273</v>
      </c>
      <c r="B7977" s="6">
        <v>400</v>
      </c>
      <c r="C7977" s="6">
        <v>20.478950000000001</v>
      </c>
      <c r="D7977" s="6">
        <v>91</v>
      </c>
      <c r="E7977" s="6">
        <v>0</v>
      </c>
      <c r="F7977" s="6">
        <v>0</v>
      </c>
      <c r="G7977" s="6">
        <v>19</v>
      </c>
      <c r="H7977" s="6" t="s">
        <v>16274</v>
      </c>
      <c r="I7977" s="6">
        <v>528.9375</v>
      </c>
      <c r="J7977" s="2">
        <f t="shared" si="124"/>
        <v>43748.060515486104</v>
      </c>
    </row>
    <row r="7978" spans="1:10" x14ac:dyDescent="0.25">
      <c r="A7978" s="7" t="s">
        <v>16275</v>
      </c>
      <c r="B7978" s="8">
        <v>403.125</v>
      </c>
      <c r="C7978" s="8">
        <v>20.478950000000001</v>
      </c>
      <c r="D7978" s="8">
        <v>91</v>
      </c>
      <c r="E7978" s="8">
        <v>0</v>
      </c>
      <c r="F7978" s="8">
        <v>0</v>
      </c>
      <c r="G7978" s="8">
        <v>18</v>
      </c>
      <c r="H7978" s="8" t="s">
        <v>16276</v>
      </c>
      <c r="I7978" s="8">
        <v>529.125</v>
      </c>
      <c r="J7978" s="3">
        <f t="shared" si="124"/>
        <v>43748.060587604159</v>
      </c>
    </row>
    <row r="7979" spans="1:10" x14ac:dyDescent="0.25">
      <c r="A7979" s="5" t="s">
        <v>16277</v>
      </c>
      <c r="B7979" s="6">
        <v>403.125</v>
      </c>
      <c r="C7979" s="6">
        <v>20.478950000000001</v>
      </c>
      <c r="D7979" s="6">
        <v>89</v>
      </c>
      <c r="E7979" s="6">
        <v>0</v>
      </c>
      <c r="F7979" s="6">
        <v>0</v>
      </c>
      <c r="G7979" s="6">
        <v>28</v>
      </c>
      <c r="H7979" s="6" t="s">
        <v>16278</v>
      </c>
      <c r="I7979" s="6">
        <v>529.125</v>
      </c>
      <c r="J7979" s="2">
        <f t="shared" si="124"/>
        <v>43748.06065890046</v>
      </c>
    </row>
    <row r="7980" spans="1:10" x14ac:dyDescent="0.25">
      <c r="A7980" s="7" t="s">
        <v>16279</v>
      </c>
      <c r="B7980" s="8">
        <v>415.625</v>
      </c>
      <c r="C7980" s="8">
        <v>20.478950000000001</v>
      </c>
      <c r="D7980" s="8">
        <v>90</v>
      </c>
      <c r="E7980" s="8">
        <v>0</v>
      </c>
      <c r="F7980" s="8">
        <v>0</v>
      </c>
      <c r="G7980" s="8">
        <v>18</v>
      </c>
      <c r="H7980" s="8" t="s">
        <v>16280</v>
      </c>
      <c r="I7980" s="8">
        <v>533.8125</v>
      </c>
      <c r="J7980" s="3">
        <f t="shared" si="124"/>
        <v>43748.06073020833</v>
      </c>
    </row>
    <row r="7981" spans="1:10" x14ac:dyDescent="0.25">
      <c r="A7981" s="5" t="s">
        <v>16281</v>
      </c>
      <c r="B7981" s="6">
        <v>396.875</v>
      </c>
      <c r="C7981" s="6">
        <v>20.478950000000001</v>
      </c>
      <c r="D7981" s="6">
        <v>90</v>
      </c>
      <c r="E7981" s="6">
        <v>0</v>
      </c>
      <c r="F7981" s="6">
        <v>0</v>
      </c>
      <c r="G7981" s="6">
        <v>19</v>
      </c>
      <c r="H7981" s="6" t="s">
        <v>16282</v>
      </c>
      <c r="I7981" s="6">
        <v>527.4375</v>
      </c>
      <c r="J7981" s="2">
        <f t="shared" si="124"/>
        <v>43748.060801562497</v>
      </c>
    </row>
    <row r="7982" spans="1:10" x14ac:dyDescent="0.25">
      <c r="A7982" s="7" t="s">
        <v>16283</v>
      </c>
      <c r="B7982" s="8">
        <v>396.875</v>
      </c>
      <c r="C7982" s="8">
        <v>20.478950000000001</v>
      </c>
      <c r="D7982" s="8">
        <v>90</v>
      </c>
      <c r="E7982" s="8">
        <v>0</v>
      </c>
      <c r="F7982" s="8">
        <v>0</v>
      </c>
      <c r="G7982" s="8">
        <v>22</v>
      </c>
      <c r="H7982" s="8" t="s">
        <v>16284</v>
      </c>
      <c r="I7982" s="8">
        <v>527.4375</v>
      </c>
      <c r="J7982" s="3">
        <f t="shared" si="124"/>
        <v>43748.060873715272</v>
      </c>
    </row>
    <row r="7983" spans="1:10" x14ac:dyDescent="0.25">
      <c r="A7983" s="5" t="s">
        <v>16285</v>
      </c>
      <c r="B7983" s="6">
        <v>396.875</v>
      </c>
      <c r="C7983" s="6">
        <v>20.478950000000001</v>
      </c>
      <c r="D7983" s="6">
        <v>90</v>
      </c>
      <c r="E7983" s="6">
        <v>0</v>
      </c>
      <c r="F7983" s="6">
        <v>0</v>
      </c>
      <c r="G7983" s="6">
        <v>18</v>
      </c>
      <c r="H7983" s="6" t="s">
        <v>16286</v>
      </c>
      <c r="I7983" s="6">
        <v>527.4375</v>
      </c>
      <c r="J7983" s="2">
        <f t="shared" si="124"/>
        <v>43748.06094502315</v>
      </c>
    </row>
    <row r="7984" spans="1:10" x14ac:dyDescent="0.25">
      <c r="A7984" s="7" t="s">
        <v>16287</v>
      </c>
      <c r="B7984" s="8">
        <v>393.75</v>
      </c>
      <c r="C7984" s="8">
        <v>20.478950000000001</v>
      </c>
      <c r="D7984" s="8">
        <v>91</v>
      </c>
      <c r="E7984" s="8">
        <v>0</v>
      </c>
      <c r="F7984" s="8">
        <v>0</v>
      </c>
      <c r="G7984" s="8">
        <v>21</v>
      </c>
      <c r="H7984" s="8" t="s">
        <v>16288</v>
      </c>
      <c r="I7984" s="8">
        <v>526.6875</v>
      </c>
      <c r="J7984" s="3">
        <f t="shared" si="124"/>
        <v>43748.061016319443</v>
      </c>
    </row>
    <row r="7985" spans="1:10" x14ac:dyDescent="0.25">
      <c r="A7985" s="5" t="s">
        <v>16289</v>
      </c>
      <c r="B7985" s="6">
        <v>396.875</v>
      </c>
      <c r="C7985" s="6">
        <v>20.478950000000001</v>
      </c>
      <c r="D7985" s="6">
        <v>91</v>
      </c>
      <c r="E7985" s="6">
        <v>0</v>
      </c>
      <c r="F7985" s="6">
        <v>0</v>
      </c>
      <c r="G7985" s="6">
        <v>25</v>
      </c>
      <c r="H7985" s="6" t="s">
        <v>16290</v>
      </c>
      <c r="I7985" s="6">
        <v>527.4375</v>
      </c>
      <c r="J7985" s="2">
        <f t="shared" si="124"/>
        <v>43748.061088541661</v>
      </c>
    </row>
    <row r="7986" spans="1:10" x14ac:dyDescent="0.25">
      <c r="A7986" s="7" t="s">
        <v>16291</v>
      </c>
      <c r="B7986" s="8">
        <v>396.875</v>
      </c>
      <c r="C7986" s="8">
        <v>20.478950000000001</v>
      </c>
      <c r="D7986" s="8">
        <v>91</v>
      </c>
      <c r="E7986" s="8">
        <v>0</v>
      </c>
      <c r="F7986" s="8">
        <v>0</v>
      </c>
      <c r="G7986" s="8">
        <v>23</v>
      </c>
      <c r="H7986" s="8" t="s">
        <v>16292</v>
      </c>
      <c r="I7986" s="8">
        <v>527.4375</v>
      </c>
      <c r="J7986" s="3">
        <f t="shared" si="124"/>
        <v>43748.061159826386</v>
      </c>
    </row>
    <row r="7987" spans="1:10" x14ac:dyDescent="0.25">
      <c r="A7987" s="5" t="s">
        <v>16293</v>
      </c>
      <c r="B7987" s="6">
        <v>396.875</v>
      </c>
      <c r="C7987" s="6">
        <v>20.426300000000001</v>
      </c>
      <c r="D7987" s="6">
        <v>91</v>
      </c>
      <c r="E7987" s="6">
        <v>0</v>
      </c>
      <c r="F7987" s="6">
        <v>0</v>
      </c>
      <c r="G7987" s="6">
        <v>17</v>
      </c>
      <c r="H7987" s="6" t="s">
        <v>16294</v>
      </c>
      <c r="I7987" s="6">
        <v>527.4375</v>
      </c>
      <c r="J7987" s="2">
        <f t="shared" si="124"/>
        <v>43748.061243159718</v>
      </c>
    </row>
    <row r="7988" spans="1:10" x14ac:dyDescent="0.25">
      <c r="A7988" s="7" t="s">
        <v>16295</v>
      </c>
      <c r="B7988" s="8">
        <v>396.875</v>
      </c>
      <c r="C7988" s="8">
        <v>20.478950000000001</v>
      </c>
      <c r="D7988" s="8">
        <v>92</v>
      </c>
      <c r="E7988" s="8">
        <v>0</v>
      </c>
      <c r="F7988" s="8">
        <v>0</v>
      </c>
      <c r="G7988" s="8">
        <v>13</v>
      </c>
      <c r="H7988" s="8" t="s">
        <v>16296</v>
      </c>
      <c r="I7988" s="8">
        <v>527.4375</v>
      </c>
      <c r="J7988" s="3">
        <f t="shared" si="124"/>
        <v>43748.061314456012</v>
      </c>
    </row>
    <row r="7989" spans="1:10" x14ac:dyDescent="0.25">
      <c r="A7989" s="5" t="s">
        <v>16297</v>
      </c>
      <c r="B7989" s="6">
        <v>396.875</v>
      </c>
      <c r="C7989" s="6">
        <v>20.478950000000001</v>
      </c>
      <c r="D7989" s="6">
        <v>92</v>
      </c>
      <c r="E7989" s="6">
        <v>0</v>
      </c>
      <c r="F7989" s="6">
        <v>0</v>
      </c>
      <c r="G7989" s="6">
        <v>27</v>
      </c>
      <c r="H7989" s="6" t="s">
        <v>16298</v>
      </c>
      <c r="I7989" s="6">
        <v>527.4375</v>
      </c>
      <c r="J7989" s="2">
        <f t="shared" si="124"/>
        <v>43748.061386504625</v>
      </c>
    </row>
    <row r="7990" spans="1:10" x14ac:dyDescent="0.25">
      <c r="A7990" s="7" t="s">
        <v>16299</v>
      </c>
      <c r="B7990" s="8">
        <v>396.875</v>
      </c>
      <c r="C7990" s="8">
        <v>20.478950000000001</v>
      </c>
      <c r="D7990" s="8">
        <v>92</v>
      </c>
      <c r="E7990" s="8">
        <v>0</v>
      </c>
      <c r="F7990" s="8">
        <v>0</v>
      </c>
      <c r="G7990" s="8">
        <v>26</v>
      </c>
      <c r="H7990" s="8" t="s">
        <v>16300</v>
      </c>
      <c r="I7990" s="8">
        <v>527.4375</v>
      </c>
      <c r="J7990" s="3">
        <f t="shared" si="124"/>
        <v>43748.061458009259</v>
      </c>
    </row>
    <row r="7991" spans="1:10" x14ac:dyDescent="0.25">
      <c r="A7991" s="5" t="s">
        <v>16301</v>
      </c>
      <c r="B7991" s="6">
        <v>396.875</v>
      </c>
      <c r="C7991" s="6">
        <v>20.478950000000001</v>
      </c>
      <c r="D7991" s="6">
        <v>91</v>
      </c>
      <c r="E7991" s="6">
        <v>0</v>
      </c>
      <c r="F7991" s="6">
        <v>0</v>
      </c>
      <c r="G7991" s="6">
        <v>15</v>
      </c>
      <c r="H7991" s="6" t="s">
        <v>16302</v>
      </c>
      <c r="I7991" s="6">
        <v>527.4375</v>
      </c>
      <c r="J7991" s="2">
        <f t="shared" si="124"/>
        <v>43748.061529270832</v>
      </c>
    </row>
    <row r="7992" spans="1:10" x14ac:dyDescent="0.25">
      <c r="A7992" s="7" t="s">
        <v>16303</v>
      </c>
      <c r="B7992" s="8">
        <v>415.625</v>
      </c>
      <c r="C7992" s="8">
        <v>20.478950000000001</v>
      </c>
      <c r="D7992" s="8">
        <v>91</v>
      </c>
      <c r="E7992" s="8">
        <v>0</v>
      </c>
      <c r="F7992" s="8">
        <v>0</v>
      </c>
      <c r="G7992" s="8">
        <v>25</v>
      </c>
      <c r="H7992" s="8" t="s">
        <v>16304</v>
      </c>
      <c r="I7992" s="8">
        <v>533.0625</v>
      </c>
      <c r="J7992" s="3">
        <f t="shared" si="124"/>
        <v>43748.061612615733</v>
      </c>
    </row>
    <row r="7993" spans="1:10" x14ac:dyDescent="0.25">
      <c r="A7993" s="5" t="s">
        <v>16305</v>
      </c>
      <c r="B7993" s="6">
        <v>396.875</v>
      </c>
      <c r="C7993" s="6">
        <v>20.478950000000001</v>
      </c>
      <c r="D7993" s="6">
        <v>91</v>
      </c>
      <c r="E7993" s="6">
        <v>0</v>
      </c>
      <c r="F7993" s="6">
        <v>0</v>
      </c>
      <c r="G7993" s="6">
        <v>23</v>
      </c>
      <c r="H7993" s="6" t="s">
        <v>16306</v>
      </c>
      <c r="I7993" s="6">
        <v>527.4375</v>
      </c>
      <c r="J7993" s="2">
        <f t="shared" si="124"/>
        <v>43748.0616839699</v>
      </c>
    </row>
    <row r="7994" spans="1:10" x14ac:dyDescent="0.25">
      <c r="A7994" s="7" t="s">
        <v>16307</v>
      </c>
      <c r="B7994" s="8">
        <v>393.75</v>
      </c>
      <c r="C7994" s="8">
        <v>20.478950000000001</v>
      </c>
      <c r="D7994" s="8">
        <v>91</v>
      </c>
      <c r="E7994" s="8">
        <v>0</v>
      </c>
      <c r="F7994" s="8">
        <v>0</v>
      </c>
      <c r="G7994" s="8">
        <v>26</v>
      </c>
      <c r="H7994" s="8" t="s">
        <v>16308</v>
      </c>
      <c r="I7994" s="8">
        <v>526.6875</v>
      </c>
      <c r="J7994" s="3">
        <f t="shared" si="124"/>
        <v>43748.061756134259</v>
      </c>
    </row>
    <row r="7995" spans="1:10" x14ac:dyDescent="0.25">
      <c r="A7995" s="5" t="s">
        <v>16309</v>
      </c>
      <c r="B7995" s="6">
        <v>393.75</v>
      </c>
      <c r="C7995" s="6">
        <v>20.478950000000001</v>
      </c>
      <c r="D7995" s="6">
        <v>97</v>
      </c>
      <c r="E7995" s="6">
        <v>0</v>
      </c>
      <c r="F7995" s="6">
        <v>0</v>
      </c>
      <c r="G7995" s="6">
        <v>19</v>
      </c>
      <c r="H7995" s="6" t="s">
        <v>16310</v>
      </c>
      <c r="I7995" s="6">
        <v>526.5</v>
      </c>
      <c r="J7995" s="2">
        <f t="shared" si="124"/>
        <v>43748.0618274074</v>
      </c>
    </row>
    <row r="7996" spans="1:10" x14ac:dyDescent="0.25">
      <c r="A7996" s="7" t="s">
        <v>16311</v>
      </c>
      <c r="B7996" s="8">
        <v>393.75</v>
      </c>
      <c r="C7996" s="8">
        <v>20.478950000000001</v>
      </c>
      <c r="D7996" s="8">
        <v>99</v>
      </c>
      <c r="E7996" s="8">
        <v>0</v>
      </c>
      <c r="F7996" s="8">
        <v>0</v>
      </c>
      <c r="G7996" s="8">
        <v>18</v>
      </c>
      <c r="H7996" s="8" t="s">
        <v>16312</v>
      </c>
      <c r="I7996" s="8">
        <v>526.5</v>
      </c>
      <c r="J7996" s="3">
        <f t="shared" si="124"/>
        <v>43748.061910763885</v>
      </c>
    </row>
    <row r="7997" spans="1:10" x14ac:dyDescent="0.25">
      <c r="A7997" s="5" t="s">
        <v>16313</v>
      </c>
      <c r="B7997" s="6">
        <v>393.75</v>
      </c>
      <c r="C7997" s="6">
        <v>20.478950000000001</v>
      </c>
      <c r="D7997" s="6">
        <v>99</v>
      </c>
      <c r="E7997" s="6">
        <v>0</v>
      </c>
      <c r="F7997" s="6">
        <v>0</v>
      </c>
      <c r="G7997" s="6">
        <v>15</v>
      </c>
      <c r="H7997" s="6" t="s">
        <v>16314</v>
      </c>
      <c r="I7997" s="6">
        <v>526.6875</v>
      </c>
      <c r="J7997" s="2">
        <f t="shared" si="124"/>
        <v>43748.061982037034</v>
      </c>
    </row>
    <row r="7998" spans="1:10" x14ac:dyDescent="0.25">
      <c r="A7998" s="7" t="s">
        <v>16315</v>
      </c>
      <c r="B7998" s="8">
        <v>393.75</v>
      </c>
      <c r="C7998" s="8">
        <v>20.478950000000001</v>
      </c>
      <c r="D7998" s="8">
        <v>98</v>
      </c>
      <c r="E7998" s="8">
        <v>0</v>
      </c>
      <c r="F7998" s="8">
        <v>0</v>
      </c>
      <c r="G7998" s="8">
        <v>20</v>
      </c>
      <c r="H7998" s="8" t="s">
        <v>16316</v>
      </c>
      <c r="I7998" s="8">
        <v>526.6875</v>
      </c>
      <c r="J7998" s="3">
        <f t="shared" si="124"/>
        <v>43748.062054340277</v>
      </c>
    </row>
    <row r="7999" spans="1:10" x14ac:dyDescent="0.25">
      <c r="A7999" s="5" t="s">
        <v>16317</v>
      </c>
      <c r="B7999" s="6">
        <v>415.625</v>
      </c>
      <c r="C7999" s="6">
        <v>20.478950000000001</v>
      </c>
      <c r="D7999" s="6">
        <v>98</v>
      </c>
      <c r="E7999" s="6">
        <v>0</v>
      </c>
      <c r="F7999" s="6">
        <v>0</v>
      </c>
      <c r="G7999" s="6">
        <v>22</v>
      </c>
      <c r="H7999" s="6" t="s">
        <v>16318</v>
      </c>
      <c r="I7999" s="6">
        <v>533.0625</v>
      </c>
      <c r="J7999" s="2">
        <f t="shared" si="124"/>
        <v>43748.062125509256</v>
      </c>
    </row>
    <row r="8000" spans="1:10" x14ac:dyDescent="0.25">
      <c r="A8000" s="7" t="s">
        <v>16319</v>
      </c>
      <c r="B8000" s="8">
        <v>396.875</v>
      </c>
      <c r="C8000" s="8">
        <v>20.478950000000001</v>
      </c>
      <c r="D8000" s="8">
        <v>98</v>
      </c>
      <c r="E8000" s="8">
        <v>0</v>
      </c>
      <c r="F8000" s="8">
        <v>0</v>
      </c>
      <c r="G8000" s="8">
        <v>20</v>
      </c>
      <c r="H8000" s="8" t="s">
        <v>16320</v>
      </c>
      <c r="I8000" s="8">
        <v>527.4375</v>
      </c>
      <c r="J8000" s="3">
        <f t="shared" si="124"/>
        <v>43748.062196863422</v>
      </c>
    </row>
    <row r="8001" spans="1:10" x14ac:dyDescent="0.25">
      <c r="A8001" s="5" t="s">
        <v>16321</v>
      </c>
      <c r="B8001" s="6">
        <v>396.875</v>
      </c>
      <c r="C8001" s="6">
        <v>20.478950000000001</v>
      </c>
      <c r="D8001" s="6">
        <v>97</v>
      </c>
      <c r="E8001" s="6">
        <v>0</v>
      </c>
      <c r="F8001" s="6">
        <v>0</v>
      </c>
      <c r="G8001" s="6">
        <v>23</v>
      </c>
      <c r="H8001" s="6" t="s">
        <v>16322</v>
      </c>
      <c r="I8001" s="6">
        <v>527.4375</v>
      </c>
      <c r="J8001" s="2">
        <f t="shared" si="124"/>
        <v>43748.062268229165</v>
      </c>
    </row>
    <row r="8002" spans="1:10" x14ac:dyDescent="0.25">
      <c r="A8002" s="7" t="s">
        <v>16323</v>
      </c>
      <c r="B8002" s="8">
        <v>400</v>
      </c>
      <c r="C8002" s="8">
        <v>20.478950000000001</v>
      </c>
      <c r="D8002" s="8">
        <v>96</v>
      </c>
      <c r="E8002" s="8">
        <v>0</v>
      </c>
      <c r="F8002" s="8">
        <v>0</v>
      </c>
      <c r="G8002" s="8">
        <v>20</v>
      </c>
      <c r="H8002" s="8" t="s">
        <v>16324</v>
      </c>
      <c r="I8002" s="8">
        <v>528.1875</v>
      </c>
      <c r="J8002" s="3">
        <f t="shared" ref="J8002:J8065" si="125">(H8002/86400000)+25569+(7/24)</f>
        <v>43748.062351736109</v>
      </c>
    </row>
    <row r="8003" spans="1:10" x14ac:dyDescent="0.25">
      <c r="A8003" s="5" t="s">
        <v>16325</v>
      </c>
      <c r="B8003" s="6">
        <v>396.875</v>
      </c>
      <c r="C8003" s="6">
        <v>20.478950000000001</v>
      </c>
      <c r="D8003" s="6">
        <v>96</v>
      </c>
      <c r="E8003" s="6">
        <v>0</v>
      </c>
      <c r="F8003" s="6">
        <v>0</v>
      </c>
      <c r="G8003" s="6">
        <v>27</v>
      </c>
      <c r="H8003" s="6" t="s">
        <v>16326</v>
      </c>
      <c r="I8003" s="6">
        <v>527.4375</v>
      </c>
      <c r="J8003" s="2">
        <f t="shared" si="125"/>
        <v>43748.062423263887</v>
      </c>
    </row>
    <row r="8004" spans="1:10" x14ac:dyDescent="0.25">
      <c r="A8004" s="7" t="s">
        <v>16327</v>
      </c>
      <c r="B8004" s="8">
        <v>396.875</v>
      </c>
      <c r="C8004" s="8">
        <v>20.478950000000001</v>
      </c>
      <c r="D8004" s="8">
        <v>94</v>
      </c>
      <c r="E8004" s="8">
        <v>0</v>
      </c>
      <c r="F8004" s="8">
        <v>0</v>
      </c>
      <c r="G8004" s="8">
        <v>19</v>
      </c>
      <c r="H8004" s="8" t="s">
        <v>16328</v>
      </c>
      <c r="I8004" s="8">
        <v>527.4375</v>
      </c>
      <c r="J8004" s="3">
        <f t="shared" si="125"/>
        <v>43748.062495057871</v>
      </c>
    </row>
    <row r="8005" spans="1:10" x14ac:dyDescent="0.25">
      <c r="A8005" s="5" t="s">
        <v>16329</v>
      </c>
      <c r="B8005" s="6">
        <v>396.875</v>
      </c>
      <c r="C8005" s="6">
        <v>20.478950000000001</v>
      </c>
      <c r="D8005" s="6">
        <v>94</v>
      </c>
      <c r="E8005" s="6">
        <v>0</v>
      </c>
      <c r="F8005" s="6">
        <v>0</v>
      </c>
      <c r="G8005" s="6">
        <v>32</v>
      </c>
      <c r="H8005" s="6" t="s">
        <v>16330</v>
      </c>
      <c r="I8005" s="6">
        <v>527.4375</v>
      </c>
      <c r="J8005" s="2">
        <f t="shared" si="125"/>
        <v>43748.062566898145</v>
      </c>
    </row>
    <row r="8006" spans="1:10" x14ac:dyDescent="0.25">
      <c r="A8006" s="7" t="s">
        <v>16331</v>
      </c>
      <c r="B8006" s="8">
        <v>396.875</v>
      </c>
      <c r="C8006" s="8">
        <v>20.426300000000001</v>
      </c>
      <c r="D8006" s="8">
        <v>94</v>
      </c>
      <c r="E8006" s="8">
        <v>0</v>
      </c>
      <c r="F8006" s="8">
        <v>0</v>
      </c>
      <c r="G8006" s="8">
        <v>18</v>
      </c>
      <c r="H8006" s="8" t="s">
        <v>16332</v>
      </c>
      <c r="I8006" s="8">
        <v>527.4375</v>
      </c>
      <c r="J8006" s="3">
        <f t="shared" si="125"/>
        <v>43748.062638194438</v>
      </c>
    </row>
    <row r="8007" spans="1:10" x14ac:dyDescent="0.25">
      <c r="A8007" s="5" t="s">
        <v>16333</v>
      </c>
      <c r="B8007" s="6">
        <v>396.875</v>
      </c>
      <c r="C8007" s="6">
        <v>20.478950000000001</v>
      </c>
      <c r="D8007" s="6">
        <v>94</v>
      </c>
      <c r="E8007" s="6">
        <v>0</v>
      </c>
      <c r="F8007" s="6">
        <v>0</v>
      </c>
      <c r="G8007" s="6">
        <v>24</v>
      </c>
      <c r="H8007" s="6" t="s">
        <v>16334</v>
      </c>
      <c r="I8007" s="6">
        <v>527.625</v>
      </c>
      <c r="J8007" s="2">
        <f t="shared" si="125"/>
        <v>43748.062721504626</v>
      </c>
    </row>
    <row r="8008" spans="1:10" x14ac:dyDescent="0.25">
      <c r="A8008" s="7" t="s">
        <v>16335</v>
      </c>
      <c r="B8008" s="8">
        <v>396.875</v>
      </c>
      <c r="C8008" s="8">
        <v>20.478950000000001</v>
      </c>
      <c r="D8008" s="8">
        <v>94</v>
      </c>
      <c r="E8008" s="8">
        <v>0</v>
      </c>
      <c r="F8008" s="8">
        <v>0</v>
      </c>
      <c r="G8008" s="8">
        <v>18</v>
      </c>
      <c r="H8008" s="8" t="s">
        <v>16336</v>
      </c>
      <c r="I8008" s="8">
        <v>527.4375</v>
      </c>
      <c r="J8008" s="3">
        <f t="shared" si="125"/>
        <v>43748.062792858793</v>
      </c>
    </row>
    <row r="8009" spans="1:10" x14ac:dyDescent="0.25">
      <c r="A8009" s="5" t="s">
        <v>16337</v>
      </c>
      <c r="B8009" s="6">
        <v>396.875</v>
      </c>
      <c r="C8009" s="6">
        <v>20.478950000000001</v>
      </c>
      <c r="D8009" s="6">
        <v>94</v>
      </c>
      <c r="E8009" s="6">
        <v>0</v>
      </c>
      <c r="F8009" s="6">
        <v>0</v>
      </c>
      <c r="G8009" s="6">
        <v>16</v>
      </c>
      <c r="H8009" s="6" t="s">
        <v>16338</v>
      </c>
      <c r="I8009" s="6">
        <v>527.4375</v>
      </c>
      <c r="J8009" s="2">
        <f t="shared" si="125"/>
        <v>43748.062865011576</v>
      </c>
    </row>
    <row r="8010" spans="1:10" x14ac:dyDescent="0.25">
      <c r="A8010" s="7" t="s">
        <v>16339</v>
      </c>
      <c r="B8010" s="8">
        <v>437.5</v>
      </c>
      <c r="C8010" s="8">
        <v>20.478950000000001</v>
      </c>
      <c r="D8010" s="8">
        <v>92</v>
      </c>
      <c r="E8010" s="8">
        <v>0</v>
      </c>
      <c r="F8010" s="8">
        <v>0</v>
      </c>
      <c r="G8010" s="8">
        <v>32</v>
      </c>
      <c r="H8010" s="8" t="s">
        <v>16340</v>
      </c>
      <c r="I8010" s="8">
        <v>540.75</v>
      </c>
      <c r="J8010" s="3">
        <f t="shared" si="125"/>
        <v>43748.06293630787</v>
      </c>
    </row>
    <row r="8011" spans="1:10" x14ac:dyDescent="0.25">
      <c r="A8011" s="5" t="s">
        <v>16341</v>
      </c>
      <c r="B8011" s="6">
        <v>393.75</v>
      </c>
      <c r="C8011" s="6">
        <v>20.478950000000001</v>
      </c>
      <c r="D8011" s="6">
        <v>92</v>
      </c>
      <c r="E8011" s="6">
        <v>0</v>
      </c>
      <c r="F8011" s="6">
        <v>0</v>
      </c>
      <c r="G8011" s="6">
        <v>11</v>
      </c>
      <c r="H8011" s="6" t="s">
        <v>16342</v>
      </c>
      <c r="I8011" s="6">
        <v>526.6875</v>
      </c>
      <c r="J8011" s="2">
        <f t="shared" si="125"/>
        <v>43748.063007615739</v>
      </c>
    </row>
    <row r="8012" spans="1:10" x14ac:dyDescent="0.25">
      <c r="A8012" s="7" t="s">
        <v>16343</v>
      </c>
      <c r="B8012" s="8">
        <v>393.75</v>
      </c>
      <c r="C8012" s="8">
        <v>20.478950000000001</v>
      </c>
      <c r="D8012" s="8">
        <v>92</v>
      </c>
      <c r="E8012" s="8">
        <v>0</v>
      </c>
      <c r="F8012" s="8">
        <v>0</v>
      </c>
      <c r="G8012" s="8">
        <v>23</v>
      </c>
      <c r="H8012" s="8" t="s">
        <v>16344</v>
      </c>
      <c r="I8012" s="8">
        <v>526.6875</v>
      </c>
      <c r="J8012" s="3">
        <f t="shared" si="125"/>
        <v>43748.063078981482</v>
      </c>
    </row>
    <row r="8013" spans="1:10" x14ac:dyDescent="0.25">
      <c r="A8013" s="5" t="s">
        <v>16345</v>
      </c>
      <c r="B8013" s="6">
        <v>396.875</v>
      </c>
      <c r="C8013" s="6">
        <v>20.478950000000001</v>
      </c>
      <c r="D8013" s="6">
        <v>91</v>
      </c>
      <c r="E8013" s="6">
        <v>0</v>
      </c>
      <c r="F8013" s="6">
        <v>0</v>
      </c>
      <c r="G8013" s="6">
        <v>20</v>
      </c>
      <c r="H8013" s="6" t="s">
        <v>16346</v>
      </c>
      <c r="I8013" s="6">
        <v>527.4375</v>
      </c>
      <c r="J8013" s="2">
        <f t="shared" si="125"/>
        <v>43748.063151087961</v>
      </c>
    </row>
    <row r="8014" spans="1:10" x14ac:dyDescent="0.25">
      <c r="A8014" s="7" t="s">
        <v>16347</v>
      </c>
      <c r="B8014" s="8">
        <v>396.875</v>
      </c>
      <c r="C8014" s="8">
        <v>20.478950000000001</v>
      </c>
      <c r="D8014" s="8">
        <v>91</v>
      </c>
      <c r="E8014" s="8">
        <v>0</v>
      </c>
      <c r="F8014" s="8">
        <v>0</v>
      </c>
      <c r="G8014" s="8">
        <v>17</v>
      </c>
      <c r="H8014" s="8" t="s">
        <v>16348</v>
      </c>
      <c r="I8014" s="8">
        <v>527.4375</v>
      </c>
      <c r="J8014" s="3">
        <f t="shared" si="125"/>
        <v>43748.063246435187</v>
      </c>
    </row>
    <row r="8015" spans="1:10" x14ac:dyDescent="0.25">
      <c r="A8015" s="5" t="s">
        <v>16349</v>
      </c>
      <c r="B8015" s="6">
        <v>396.875</v>
      </c>
      <c r="C8015" s="6">
        <v>20.478950000000001</v>
      </c>
      <c r="D8015" s="6">
        <v>92</v>
      </c>
      <c r="E8015" s="6">
        <v>0</v>
      </c>
      <c r="F8015" s="6">
        <v>0</v>
      </c>
      <c r="G8015" s="6">
        <v>21</v>
      </c>
      <c r="H8015" s="6" t="s">
        <v>16350</v>
      </c>
      <c r="I8015" s="6">
        <v>527.4375</v>
      </c>
      <c r="J8015" s="2">
        <f t="shared" si="125"/>
        <v>43748.063317812499</v>
      </c>
    </row>
    <row r="8016" spans="1:10" x14ac:dyDescent="0.25">
      <c r="A8016" s="7" t="s">
        <v>16351</v>
      </c>
      <c r="B8016" s="8">
        <v>396.875</v>
      </c>
      <c r="C8016" s="8">
        <v>20.478950000000001</v>
      </c>
      <c r="D8016" s="8">
        <v>91</v>
      </c>
      <c r="E8016" s="8">
        <v>0</v>
      </c>
      <c r="F8016" s="8">
        <v>0</v>
      </c>
      <c r="G8016" s="8">
        <v>23</v>
      </c>
      <c r="H8016" s="8" t="s">
        <v>16352</v>
      </c>
      <c r="I8016" s="8">
        <v>527.4375</v>
      </c>
      <c r="J8016" s="3">
        <f t="shared" si="125"/>
        <v>43748.063401122687</v>
      </c>
    </row>
    <row r="8017" spans="1:10" x14ac:dyDescent="0.25">
      <c r="A8017" s="5" t="s">
        <v>16353</v>
      </c>
      <c r="B8017" s="6">
        <v>396.875</v>
      </c>
      <c r="C8017" s="6">
        <v>20.478950000000001</v>
      </c>
      <c r="D8017" s="6">
        <v>91</v>
      </c>
      <c r="E8017" s="6">
        <v>0</v>
      </c>
      <c r="F8017" s="6">
        <v>0</v>
      </c>
      <c r="G8017" s="6">
        <v>26</v>
      </c>
      <c r="H8017" s="6" t="s">
        <v>16354</v>
      </c>
      <c r="I8017" s="6">
        <v>527.4375</v>
      </c>
      <c r="J8017" s="2">
        <f t="shared" si="125"/>
        <v>43748.063472442132</v>
      </c>
    </row>
    <row r="8018" spans="1:10" x14ac:dyDescent="0.25">
      <c r="A8018" s="7" t="s">
        <v>16355</v>
      </c>
      <c r="B8018" s="8">
        <v>396.875</v>
      </c>
      <c r="C8018" s="8">
        <v>20.478950000000001</v>
      </c>
      <c r="D8018" s="8">
        <v>91</v>
      </c>
      <c r="E8018" s="8">
        <v>0</v>
      </c>
      <c r="F8018" s="8">
        <v>0</v>
      </c>
      <c r="G8018" s="8">
        <v>18</v>
      </c>
      <c r="H8018" s="8" t="s">
        <v>16356</v>
      </c>
      <c r="I8018" s="8">
        <v>527.4375</v>
      </c>
      <c r="J8018" s="3">
        <f t="shared" si="125"/>
        <v>43748.06354412037</v>
      </c>
    </row>
    <row r="8019" spans="1:10" x14ac:dyDescent="0.25">
      <c r="A8019" s="5" t="s">
        <v>16357</v>
      </c>
      <c r="B8019" s="6">
        <v>396.875</v>
      </c>
      <c r="C8019" s="6">
        <v>20.478950000000001</v>
      </c>
      <c r="D8019" s="6">
        <v>91</v>
      </c>
      <c r="E8019" s="6">
        <v>0</v>
      </c>
      <c r="F8019" s="6">
        <v>0</v>
      </c>
      <c r="G8019" s="6">
        <v>17</v>
      </c>
      <c r="H8019" s="6" t="s">
        <v>16358</v>
      </c>
      <c r="I8019" s="6">
        <v>527.4375</v>
      </c>
      <c r="J8019" s="2">
        <f t="shared" si="125"/>
        <v>43748.063615648141</v>
      </c>
    </row>
    <row r="8020" spans="1:10" x14ac:dyDescent="0.25">
      <c r="A8020" s="7" t="s">
        <v>16359</v>
      </c>
      <c r="B8020" s="8">
        <v>396.875</v>
      </c>
      <c r="C8020" s="8">
        <v>20.478950000000001</v>
      </c>
      <c r="D8020" s="8">
        <v>91</v>
      </c>
      <c r="E8020" s="8">
        <v>0</v>
      </c>
      <c r="F8020" s="8">
        <v>0</v>
      </c>
      <c r="G8020" s="8">
        <v>21</v>
      </c>
      <c r="H8020" s="8" t="s">
        <v>16360</v>
      </c>
      <c r="I8020" s="8">
        <v>527.4375</v>
      </c>
      <c r="J8020" s="3">
        <f t="shared" si="125"/>
        <v>43748.06369967592</v>
      </c>
    </row>
    <row r="8021" spans="1:10" x14ac:dyDescent="0.25">
      <c r="A8021" s="5" t="s">
        <v>16361</v>
      </c>
      <c r="B8021" s="6">
        <v>393.75</v>
      </c>
      <c r="C8021" s="6">
        <v>20.478950000000001</v>
      </c>
      <c r="D8021" s="6">
        <v>91</v>
      </c>
      <c r="E8021" s="6">
        <v>0</v>
      </c>
      <c r="F8021" s="6">
        <v>0</v>
      </c>
      <c r="G8021" s="6">
        <v>20</v>
      </c>
      <c r="H8021" s="6" t="s">
        <v>16362</v>
      </c>
      <c r="I8021" s="6">
        <v>526.6875</v>
      </c>
      <c r="J8021" s="2">
        <f t="shared" si="125"/>
        <v>43748.063783032405</v>
      </c>
    </row>
    <row r="8022" spans="1:10" x14ac:dyDescent="0.25">
      <c r="A8022" s="7" t="s">
        <v>16363</v>
      </c>
      <c r="B8022" s="8">
        <v>393.75</v>
      </c>
      <c r="C8022" s="8">
        <v>20.478950000000001</v>
      </c>
      <c r="D8022" s="8">
        <v>89</v>
      </c>
      <c r="E8022" s="8">
        <v>0</v>
      </c>
      <c r="F8022" s="8">
        <v>0</v>
      </c>
      <c r="G8022" s="8">
        <v>23</v>
      </c>
      <c r="H8022" s="8" t="s">
        <v>16364</v>
      </c>
      <c r="I8022" s="8">
        <v>526.6875</v>
      </c>
      <c r="J8022" s="3">
        <f t="shared" si="125"/>
        <v>43748.06385431713</v>
      </c>
    </row>
    <row r="8023" spans="1:10" x14ac:dyDescent="0.25">
      <c r="A8023" s="5" t="s">
        <v>16365</v>
      </c>
      <c r="B8023" s="6">
        <v>393.75</v>
      </c>
      <c r="C8023" s="6">
        <v>20.478950000000001</v>
      </c>
      <c r="D8023" s="6">
        <v>90</v>
      </c>
      <c r="E8023" s="6">
        <v>0</v>
      </c>
      <c r="F8023" s="6">
        <v>0</v>
      </c>
      <c r="G8023" s="6">
        <v>11</v>
      </c>
      <c r="H8023" s="6" t="s">
        <v>16366</v>
      </c>
      <c r="I8023" s="6">
        <v>526.6875</v>
      </c>
      <c r="J8023" s="2">
        <f t="shared" si="125"/>
        <v>43748.063925624992</v>
      </c>
    </row>
    <row r="8024" spans="1:10" x14ac:dyDescent="0.25">
      <c r="A8024" s="7" t="s">
        <v>16367</v>
      </c>
      <c r="B8024" s="8">
        <v>393.75</v>
      </c>
      <c r="C8024" s="8">
        <v>20.478950000000001</v>
      </c>
      <c r="D8024" s="8">
        <v>90</v>
      </c>
      <c r="E8024" s="8">
        <v>0</v>
      </c>
      <c r="F8024" s="8">
        <v>0</v>
      </c>
      <c r="G8024" s="8">
        <v>18</v>
      </c>
      <c r="H8024" s="8" t="s">
        <v>16368</v>
      </c>
      <c r="I8024" s="8">
        <v>526.6875</v>
      </c>
      <c r="J8024" s="3">
        <f t="shared" si="125"/>
        <v>43748.063997824072</v>
      </c>
    </row>
    <row r="8025" spans="1:10" x14ac:dyDescent="0.25">
      <c r="A8025" s="5" t="s">
        <v>16369</v>
      </c>
      <c r="B8025" s="6">
        <v>393.75</v>
      </c>
      <c r="C8025" s="6">
        <v>20.478950000000001</v>
      </c>
      <c r="D8025" s="6">
        <v>90</v>
      </c>
      <c r="E8025" s="6">
        <v>0</v>
      </c>
      <c r="F8025" s="6">
        <v>0</v>
      </c>
      <c r="G8025" s="6">
        <v>23</v>
      </c>
      <c r="H8025" s="6" t="s">
        <v>16370</v>
      </c>
      <c r="I8025" s="6">
        <v>526.6875</v>
      </c>
      <c r="J8025" s="2">
        <f t="shared" si="125"/>
        <v>43748.064081099532</v>
      </c>
    </row>
    <row r="8026" spans="1:10" x14ac:dyDescent="0.25">
      <c r="A8026" s="7" t="s">
        <v>16371</v>
      </c>
      <c r="B8026" s="8">
        <v>393.75</v>
      </c>
      <c r="C8026" s="8">
        <v>20.478950000000001</v>
      </c>
      <c r="D8026" s="8">
        <v>91</v>
      </c>
      <c r="E8026" s="8">
        <v>0</v>
      </c>
      <c r="F8026" s="8">
        <v>0</v>
      </c>
      <c r="G8026" s="8">
        <v>16</v>
      </c>
      <c r="H8026" s="8" t="s">
        <v>16372</v>
      </c>
      <c r="I8026" s="8">
        <v>526.6875</v>
      </c>
      <c r="J8026" s="3">
        <f t="shared" si="125"/>
        <v>43748.064152453699</v>
      </c>
    </row>
    <row r="8027" spans="1:10" x14ac:dyDescent="0.25">
      <c r="A8027" s="5" t="s">
        <v>16373</v>
      </c>
      <c r="B8027" s="6">
        <v>393.75</v>
      </c>
      <c r="C8027" s="6">
        <v>20.478950000000001</v>
      </c>
      <c r="D8027" s="6">
        <v>91</v>
      </c>
      <c r="E8027" s="6">
        <v>0</v>
      </c>
      <c r="F8027" s="6">
        <v>0</v>
      </c>
      <c r="G8027" s="6">
        <v>24</v>
      </c>
      <c r="H8027" s="6" t="s">
        <v>16374</v>
      </c>
      <c r="I8027" s="6">
        <v>526.6875</v>
      </c>
      <c r="J8027" s="2">
        <f t="shared" si="125"/>
        <v>43748.064223726855</v>
      </c>
    </row>
    <row r="8028" spans="1:10" x14ac:dyDescent="0.25">
      <c r="A8028" s="7" t="s">
        <v>16375</v>
      </c>
      <c r="B8028" s="8">
        <v>393.75</v>
      </c>
      <c r="C8028" s="8">
        <v>20.478950000000001</v>
      </c>
      <c r="D8028" s="8">
        <v>91</v>
      </c>
      <c r="E8028" s="8">
        <v>0</v>
      </c>
      <c r="F8028" s="8">
        <v>0</v>
      </c>
      <c r="G8028" s="8">
        <v>19</v>
      </c>
      <c r="H8028" s="8" t="s">
        <v>16376</v>
      </c>
      <c r="I8028" s="8">
        <v>526.6875</v>
      </c>
      <c r="J8028" s="3">
        <f t="shared" si="125"/>
        <v>43748.064295821758</v>
      </c>
    </row>
    <row r="8029" spans="1:10" x14ac:dyDescent="0.25">
      <c r="A8029" s="5" t="s">
        <v>16377</v>
      </c>
      <c r="B8029" s="6">
        <v>393.75</v>
      </c>
      <c r="C8029" s="6">
        <v>20.478950000000001</v>
      </c>
      <c r="D8029" s="6">
        <v>91</v>
      </c>
      <c r="E8029" s="6">
        <v>0</v>
      </c>
      <c r="F8029" s="6">
        <v>0</v>
      </c>
      <c r="G8029" s="6">
        <v>24</v>
      </c>
      <c r="H8029" s="6" t="s">
        <v>16378</v>
      </c>
      <c r="I8029" s="6">
        <v>526.6875</v>
      </c>
      <c r="J8029" s="2">
        <f t="shared" si="125"/>
        <v>43748.064367280087</v>
      </c>
    </row>
    <row r="8030" spans="1:10" x14ac:dyDescent="0.25">
      <c r="A8030" s="7" t="s">
        <v>16379</v>
      </c>
      <c r="B8030" s="8">
        <v>393.75</v>
      </c>
      <c r="C8030" s="8">
        <v>20.478950000000001</v>
      </c>
      <c r="D8030" s="8">
        <v>90</v>
      </c>
      <c r="E8030" s="8">
        <v>0</v>
      </c>
      <c r="F8030" s="8">
        <v>0</v>
      </c>
      <c r="G8030" s="8">
        <v>20</v>
      </c>
      <c r="H8030" s="8" t="s">
        <v>16380</v>
      </c>
      <c r="I8030" s="8">
        <v>526.5</v>
      </c>
      <c r="J8030" s="3">
        <f t="shared" si="125"/>
        <v>43748.064438576388</v>
      </c>
    </row>
    <row r="8031" spans="1:10" x14ac:dyDescent="0.25">
      <c r="A8031" s="5" t="s">
        <v>16381</v>
      </c>
      <c r="B8031" s="6">
        <v>412.5</v>
      </c>
      <c r="C8031" s="6">
        <v>20.478950000000001</v>
      </c>
      <c r="D8031" s="6">
        <v>91</v>
      </c>
      <c r="E8031" s="6">
        <v>0</v>
      </c>
      <c r="F8031" s="6">
        <v>0</v>
      </c>
      <c r="G8031" s="6">
        <v>20</v>
      </c>
      <c r="H8031" s="6" t="s">
        <v>16382</v>
      </c>
      <c r="I8031" s="6">
        <v>532.3125</v>
      </c>
      <c r="J8031" s="2">
        <f t="shared" si="125"/>
        <v>43748.064509884258</v>
      </c>
    </row>
    <row r="8032" spans="1:10" x14ac:dyDescent="0.25">
      <c r="A8032" s="7" t="s">
        <v>16383</v>
      </c>
      <c r="B8032" s="8">
        <v>393.75</v>
      </c>
      <c r="C8032" s="8">
        <v>20.478950000000001</v>
      </c>
      <c r="D8032" s="8">
        <v>89</v>
      </c>
      <c r="E8032" s="8">
        <v>0</v>
      </c>
      <c r="F8032" s="8">
        <v>0</v>
      </c>
      <c r="G8032" s="8">
        <v>19</v>
      </c>
      <c r="H8032" s="8" t="s">
        <v>16384</v>
      </c>
      <c r="I8032" s="8">
        <v>526.5</v>
      </c>
      <c r="J8032" s="3">
        <f t="shared" si="125"/>
        <v>43748.06458215278</v>
      </c>
    </row>
    <row r="8033" spans="1:10" x14ac:dyDescent="0.25">
      <c r="A8033" s="5" t="s">
        <v>16385</v>
      </c>
      <c r="B8033" s="6">
        <v>393.75</v>
      </c>
      <c r="C8033" s="6">
        <v>20.426300000000001</v>
      </c>
      <c r="D8033" s="6">
        <v>89</v>
      </c>
      <c r="E8033" s="6">
        <v>0</v>
      </c>
      <c r="F8033" s="6">
        <v>0</v>
      </c>
      <c r="G8033" s="6">
        <v>17</v>
      </c>
      <c r="H8033" s="6" t="s">
        <v>16386</v>
      </c>
      <c r="I8033" s="6">
        <v>526.6875</v>
      </c>
      <c r="J8033" s="2">
        <f t="shared" si="125"/>
        <v>43748.064653090274</v>
      </c>
    </row>
    <row r="8034" spans="1:10" x14ac:dyDescent="0.25">
      <c r="A8034" s="7" t="s">
        <v>16387</v>
      </c>
      <c r="B8034" s="8">
        <v>393.75</v>
      </c>
      <c r="C8034" s="8">
        <v>20.426300000000001</v>
      </c>
      <c r="D8034" s="8">
        <v>90</v>
      </c>
      <c r="E8034" s="8">
        <v>0</v>
      </c>
      <c r="F8034" s="8">
        <v>0</v>
      </c>
      <c r="G8034" s="8">
        <v>21</v>
      </c>
      <c r="H8034" s="8" t="s">
        <v>16388</v>
      </c>
      <c r="I8034" s="8">
        <v>526.6875</v>
      </c>
      <c r="J8034" s="3">
        <f t="shared" si="125"/>
        <v>43748.06472469907</v>
      </c>
    </row>
    <row r="8035" spans="1:10" x14ac:dyDescent="0.25">
      <c r="A8035" s="5" t="s">
        <v>16389</v>
      </c>
      <c r="B8035" s="6">
        <v>393.75</v>
      </c>
      <c r="C8035" s="6">
        <v>20.478950000000001</v>
      </c>
      <c r="D8035" s="6">
        <v>89</v>
      </c>
      <c r="E8035" s="6">
        <v>0</v>
      </c>
      <c r="F8035" s="6">
        <v>0</v>
      </c>
      <c r="G8035" s="6">
        <v>17</v>
      </c>
      <c r="H8035" s="6" t="s">
        <v>16390</v>
      </c>
      <c r="I8035" s="6">
        <v>526.6875</v>
      </c>
      <c r="J8035" s="2">
        <f t="shared" si="125"/>
        <v>43748.064795995371</v>
      </c>
    </row>
    <row r="8036" spans="1:10" x14ac:dyDescent="0.25">
      <c r="A8036" s="7" t="s">
        <v>16391</v>
      </c>
      <c r="B8036" s="8">
        <v>393.75</v>
      </c>
      <c r="C8036" s="8">
        <v>20.478950000000001</v>
      </c>
      <c r="D8036" s="8">
        <v>89</v>
      </c>
      <c r="E8036" s="8">
        <v>0</v>
      </c>
      <c r="F8036" s="8">
        <v>0</v>
      </c>
      <c r="G8036" s="8">
        <v>27</v>
      </c>
      <c r="H8036" s="8" t="s">
        <v>16392</v>
      </c>
      <c r="I8036" s="8">
        <v>526.6875</v>
      </c>
      <c r="J8036" s="3">
        <f t="shared" si="125"/>
        <v>43748.06486820602</v>
      </c>
    </row>
    <row r="8037" spans="1:10" x14ac:dyDescent="0.25">
      <c r="A8037" s="5" t="s">
        <v>16393</v>
      </c>
      <c r="B8037" s="6">
        <v>393.75</v>
      </c>
      <c r="C8037" s="6">
        <v>20.478950000000001</v>
      </c>
      <c r="D8037" s="6">
        <v>88</v>
      </c>
      <c r="E8037" s="6">
        <v>0</v>
      </c>
      <c r="F8037" s="6">
        <v>0</v>
      </c>
      <c r="G8037" s="6">
        <v>27</v>
      </c>
      <c r="H8037" s="6" t="s">
        <v>16394</v>
      </c>
      <c r="I8037" s="6">
        <v>526.5</v>
      </c>
      <c r="J8037" s="2">
        <f t="shared" si="125"/>
        <v>43748.064939502314</v>
      </c>
    </row>
    <row r="8038" spans="1:10" x14ac:dyDescent="0.25">
      <c r="A8038" s="7" t="s">
        <v>16395</v>
      </c>
      <c r="B8038" s="8">
        <v>393.75</v>
      </c>
      <c r="C8038" s="8">
        <v>20.478950000000001</v>
      </c>
      <c r="D8038" s="8">
        <v>88</v>
      </c>
      <c r="E8038" s="8">
        <v>0</v>
      </c>
      <c r="F8038" s="8">
        <v>0</v>
      </c>
      <c r="G8038" s="8">
        <v>24</v>
      </c>
      <c r="H8038" s="8" t="s">
        <v>16396</v>
      </c>
      <c r="I8038" s="8">
        <v>526.5</v>
      </c>
      <c r="J8038" s="3">
        <f t="shared" si="125"/>
        <v>43748.065010798608</v>
      </c>
    </row>
    <row r="8039" spans="1:10" x14ac:dyDescent="0.25">
      <c r="A8039" s="5" t="s">
        <v>16397</v>
      </c>
      <c r="B8039" s="6">
        <v>393.75</v>
      </c>
      <c r="C8039" s="6">
        <v>20.478950000000001</v>
      </c>
      <c r="D8039" s="6">
        <v>89</v>
      </c>
      <c r="E8039" s="6">
        <v>0</v>
      </c>
      <c r="F8039" s="6">
        <v>0</v>
      </c>
      <c r="G8039" s="6">
        <v>21</v>
      </c>
      <c r="H8039" s="6" t="s">
        <v>16398</v>
      </c>
      <c r="I8039" s="6">
        <v>526.6875</v>
      </c>
      <c r="J8039" s="2">
        <f t="shared" si="125"/>
        <v>43748.065082152774</v>
      </c>
    </row>
    <row r="8040" spans="1:10" x14ac:dyDescent="0.25">
      <c r="A8040" s="7" t="s">
        <v>16399</v>
      </c>
      <c r="B8040" s="8">
        <v>393.75</v>
      </c>
      <c r="C8040" s="8">
        <v>20.478950000000001</v>
      </c>
      <c r="D8040" s="8">
        <v>89</v>
      </c>
      <c r="E8040" s="8">
        <v>0</v>
      </c>
      <c r="F8040" s="8">
        <v>0</v>
      </c>
      <c r="G8040" s="8">
        <v>25</v>
      </c>
      <c r="H8040" s="8" t="s">
        <v>16400</v>
      </c>
      <c r="I8040" s="8">
        <v>526.6875</v>
      </c>
      <c r="J8040" s="3">
        <f t="shared" si="125"/>
        <v>43748.065165509259</v>
      </c>
    </row>
    <row r="8041" spans="1:10" x14ac:dyDescent="0.25">
      <c r="A8041" s="5" t="s">
        <v>16401</v>
      </c>
      <c r="B8041" s="6">
        <v>393.75</v>
      </c>
      <c r="C8041" s="6">
        <v>20.478950000000001</v>
      </c>
      <c r="D8041" s="6">
        <v>89</v>
      </c>
      <c r="E8041" s="6">
        <v>0</v>
      </c>
      <c r="F8041" s="6">
        <v>0</v>
      </c>
      <c r="G8041" s="6">
        <v>20</v>
      </c>
      <c r="H8041" s="6" t="s">
        <v>16402</v>
      </c>
      <c r="I8041" s="6">
        <v>526.6875</v>
      </c>
      <c r="J8041" s="2">
        <f t="shared" si="125"/>
        <v>43748.065237650466</v>
      </c>
    </row>
    <row r="8042" spans="1:10" x14ac:dyDescent="0.25">
      <c r="A8042" s="7" t="s">
        <v>16403</v>
      </c>
      <c r="B8042" s="8">
        <v>393.75</v>
      </c>
      <c r="C8042" s="8">
        <v>20.478950000000001</v>
      </c>
      <c r="D8042" s="8">
        <v>89</v>
      </c>
      <c r="E8042" s="8">
        <v>0</v>
      </c>
      <c r="F8042" s="8">
        <v>0</v>
      </c>
      <c r="G8042" s="8">
        <v>27</v>
      </c>
      <c r="H8042" s="8" t="s">
        <v>16404</v>
      </c>
      <c r="I8042" s="8">
        <v>526.6875</v>
      </c>
      <c r="J8042" s="3">
        <f t="shared" si="125"/>
        <v>43748.06530894676</v>
      </c>
    </row>
    <row r="8043" spans="1:10" x14ac:dyDescent="0.25">
      <c r="A8043" s="5" t="s">
        <v>16405</v>
      </c>
      <c r="B8043" s="6">
        <v>393.75</v>
      </c>
      <c r="C8043" s="6">
        <v>20.478950000000001</v>
      </c>
      <c r="D8043" s="6">
        <v>85</v>
      </c>
      <c r="E8043" s="6">
        <v>0</v>
      </c>
      <c r="F8043" s="6">
        <v>0</v>
      </c>
      <c r="G8043" s="6">
        <v>28</v>
      </c>
      <c r="H8043" s="6" t="s">
        <v>16406</v>
      </c>
      <c r="I8043" s="6">
        <v>526.6875</v>
      </c>
      <c r="J8043" s="2">
        <f t="shared" si="125"/>
        <v>43748.065380069442</v>
      </c>
    </row>
    <row r="8044" spans="1:10" x14ac:dyDescent="0.25">
      <c r="A8044" s="7" t="s">
        <v>16407</v>
      </c>
      <c r="B8044" s="8">
        <v>393.75</v>
      </c>
      <c r="C8044" s="8">
        <v>20.478950000000001</v>
      </c>
      <c r="D8044" s="8">
        <v>85</v>
      </c>
      <c r="E8044" s="8">
        <v>0</v>
      </c>
      <c r="F8044" s="8">
        <v>0</v>
      </c>
      <c r="G8044" s="8">
        <v>24</v>
      </c>
      <c r="H8044" s="8" t="s">
        <v>16408</v>
      </c>
      <c r="I8044" s="8">
        <v>526.6875</v>
      </c>
      <c r="J8044" s="3">
        <f t="shared" si="125"/>
        <v>43748.065452418981</v>
      </c>
    </row>
    <row r="8045" spans="1:10" x14ac:dyDescent="0.25">
      <c r="A8045" s="5" t="s">
        <v>16409</v>
      </c>
      <c r="B8045" s="6">
        <v>393.75</v>
      </c>
      <c r="C8045" s="6">
        <v>20.478950000000001</v>
      </c>
      <c r="D8045" s="6">
        <v>85</v>
      </c>
      <c r="E8045" s="6">
        <v>0</v>
      </c>
      <c r="F8045" s="6">
        <v>0</v>
      </c>
      <c r="G8045" s="6">
        <v>17</v>
      </c>
      <c r="H8045" s="6" t="s">
        <v>16410</v>
      </c>
      <c r="I8045" s="6">
        <v>526.6875</v>
      </c>
      <c r="J8045" s="2">
        <f t="shared" si="125"/>
        <v>43748.065523726851</v>
      </c>
    </row>
    <row r="8046" spans="1:10" x14ac:dyDescent="0.25">
      <c r="A8046" s="7" t="s">
        <v>16411</v>
      </c>
      <c r="B8046" s="8">
        <v>393.75</v>
      </c>
      <c r="C8046" s="8">
        <v>20.478950000000001</v>
      </c>
      <c r="D8046" s="8">
        <v>86</v>
      </c>
      <c r="E8046" s="8">
        <v>0</v>
      </c>
      <c r="F8046" s="8">
        <v>0</v>
      </c>
      <c r="G8046" s="8">
        <v>24</v>
      </c>
      <c r="H8046" s="8" t="s">
        <v>16412</v>
      </c>
      <c r="I8046" s="8">
        <v>526.6875</v>
      </c>
      <c r="J8046" s="3">
        <f t="shared" si="125"/>
        <v>43748.065595057873</v>
      </c>
    </row>
    <row r="8047" spans="1:10" x14ac:dyDescent="0.25">
      <c r="A8047" s="5" t="s">
        <v>16413</v>
      </c>
      <c r="B8047" s="6">
        <v>393.75</v>
      </c>
      <c r="C8047" s="6">
        <v>20.426300000000001</v>
      </c>
      <c r="D8047" s="6">
        <v>86</v>
      </c>
      <c r="E8047" s="6">
        <v>0</v>
      </c>
      <c r="F8047" s="6">
        <v>0</v>
      </c>
      <c r="G8047" s="6">
        <v>30</v>
      </c>
      <c r="H8047" s="6" t="s">
        <v>16414</v>
      </c>
      <c r="I8047" s="6">
        <v>526.5</v>
      </c>
      <c r="J8047" s="2">
        <f t="shared" si="125"/>
        <v>43748.065666377312</v>
      </c>
    </row>
    <row r="8048" spans="1:10" x14ac:dyDescent="0.25">
      <c r="A8048" s="7" t="s">
        <v>16415</v>
      </c>
      <c r="B8048" s="8">
        <v>393.75</v>
      </c>
      <c r="C8048" s="8">
        <v>20.478950000000001</v>
      </c>
      <c r="D8048" s="8">
        <v>88</v>
      </c>
      <c r="E8048" s="8">
        <v>0</v>
      </c>
      <c r="F8048" s="8">
        <v>0</v>
      </c>
      <c r="G8048" s="8">
        <v>27</v>
      </c>
      <c r="H8048" s="8" t="s">
        <v>16416</v>
      </c>
      <c r="I8048" s="8">
        <v>526.6875</v>
      </c>
      <c r="J8048" s="3">
        <f t="shared" si="125"/>
        <v>43748.065738599536</v>
      </c>
    </row>
    <row r="8049" spans="1:10" x14ac:dyDescent="0.25">
      <c r="A8049" s="5" t="s">
        <v>16417</v>
      </c>
      <c r="B8049" s="6">
        <v>396.875</v>
      </c>
      <c r="C8049" s="6">
        <v>20.478950000000001</v>
      </c>
      <c r="D8049" s="6">
        <v>88</v>
      </c>
      <c r="E8049" s="6">
        <v>0</v>
      </c>
      <c r="F8049" s="6">
        <v>0</v>
      </c>
      <c r="G8049" s="6">
        <v>21</v>
      </c>
      <c r="H8049" s="6" t="s">
        <v>16418</v>
      </c>
      <c r="I8049" s="6">
        <v>527.4375</v>
      </c>
      <c r="J8049" s="2">
        <f t="shared" si="125"/>
        <v>43748.065809872678</v>
      </c>
    </row>
    <row r="8050" spans="1:10" x14ac:dyDescent="0.25">
      <c r="A8050" s="7" t="s">
        <v>16419</v>
      </c>
      <c r="B8050" s="8">
        <v>396.875</v>
      </c>
      <c r="C8050" s="8">
        <v>20.426300000000001</v>
      </c>
      <c r="D8050" s="8">
        <v>89</v>
      </c>
      <c r="E8050" s="8">
        <v>0</v>
      </c>
      <c r="F8050" s="8">
        <v>0</v>
      </c>
      <c r="G8050" s="8">
        <v>24</v>
      </c>
      <c r="H8050" s="8" t="s">
        <v>16420</v>
      </c>
      <c r="I8050" s="8">
        <v>527.4375</v>
      </c>
      <c r="J8050" s="3">
        <f t="shared" si="125"/>
        <v>43748.065881168979</v>
      </c>
    </row>
    <row r="8051" spans="1:10" x14ac:dyDescent="0.25">
      <c r="A8051" s="5" t="s">
        <v>16421</v>
      </c>
      <c r="B8051" s="6">
        <v>396.875</v>
      </c>
      <c r="C8051" s="6">
        <v>20.478950000000001</v>
      </c>
      <c r="D8051" s="6">
        <v>89</v>
      </c>
      <c r="E8051" s="6">
        <v>0</v>
      </c>
      <c r="F8051" s="6">
        <v>0</v>
      </c>
      <c r="G8051" s="6">
        <v>26</v>
      </c>
      <c r="H8051" s="6" t="s">
        <v>16422</v>
      </c>
      <c r="I8051" s="6">
        <v>527.25</v>
      </c>
      <c r="J8051" s="2">
        <f t="shared" si="125"/>
        <v>43748.065953182864</v>
      </c>
    </row>
    <row r="8052" spans="1:10" x14ac:dyDescent="0.25">
      <c r="A8052" s="7" t="s">
        <v>16423</v>
      </c>
      <c r="B8052" s="8">
        <v>415.625</v>
      </c>
      <c r="C8052" s="8">
        <v>20.426300000000001</v>
      </c>
      <c r="D8052" s="8">
        <v>86</v>
      </c>
      <c r="E8052" s="8">
        <v>0</v>
      </c>
      <c r="F8052" s="8">
        <v>0</v>
      </c>
      <c r="G8052" s="8">
        <v>26</v>
      </c>
      <c r="H8052" s="8" t="s">
        <v>16424</v>
      </c>
      <c r="I8052" s="8">
        <v>533.8125</v>
      </c>
      <c r="J8052" s="3">
        <f t="shared" si="125"/>
        <v>43748.066024699066</v>
      </c>
    </row>
    <row r="8053" spans="1:10" x14ac:dyDescent="0.25">
      <c r="A8053" s="5" t="s">
        <v>16425</v>
      </c>
      <c r="B8053" s="6">
        <v>396.875</v>
      </c>
      <c r="C8053" s="6">
        <v>20.478950000000001</v>
      </c>
      <c r="D8053" s="6">
        <v>87</v>
      </c>
      <c r="E8053" s="6">
        <v>0</v>
      </c>
      <c r="F8053" s="6">
        <v>0</v>
      </c>
      <c r="G8053" s="6">
        <v>23</v>
      </c>
      <c r="H8053" s="6" t="s">
        <v>16426</v>
      </c>
      <c r="I8053" s="6">
        <v>527.4375</v>
      </c>
      <c r="J8053" s="2">
        <f t="shared" si="125"/>
        <v>43748.066096122682</v>
      </c>
    </row>
    <row r="8054" spans="1:10" x14ac:dyDescent="0.25">
      <c r="A8054" s="7" t="s">
        <v>16427</v>
      </c>
      <c r="B8054" s="8">
        <v>396.875</v>
      </c>
      <c r="C8054" s="8">
        <v>20.478950000000001</v>
      </c>
      <c r="D8054" s="8">
        <v>87</v>
      </c>
      <c r="E8054" s="8">
        <v>0</v>
      </c>
      <c r="F8054" s="8">
        <v>0</v>
      </c>
      <c r="G8054" s="8">
        <v>20</v>
      </c>
      <c r="H8054" s="8" t="s">
        <v>16428</v>
      </c>
      <c r="I8054" s="8">
        <v>527.4375</v>
      </c>
      <c r="J8054" s="3">
        <f t="shared" si="125"/>
        <v>43748.066167418983</v>
      </c>
    </row>
    <row r="8055" spans="1:10" x14ac:dyDescent="0.25">
      <c r="A8055" s="5" t="s">
        <v>16429</v>
      </c>
      <c r="B8055" s="6">
        <v>393.75</v>
      </c>
      <c r="C8055" s="6">
        <v>20.478950000000001</v>
      </c>
      <c r="D8055" s="6">
        <v>87</v>
      </c>
      <c r="E8055" s="6">
        <v>0</v>
      </c>
      <c r="F8055" s="6">
        <v>0</v>
      </c>
      <c r="G8055" s="6">
        <v>22</v>
      </c>
      <c r="H8055" s="6" t="s">
        <v>16430</v>
      </c>
      <c r="I8055" s="6">
        <v>526.6875</v>
      </c>
      <c r="J8055" s="2">
        <f t="shared" si="125"/>
        <v>43748.066238807871</v>
      </c>
    </row>
    <row r="8056" spans="1:10" x14ac:dyDescent="0.25">
      <c r="A8056" s="7" t="s">
        <v>16431</v>
      </c>
      <c r="B8056" s="8">
        <v>412.5</v>
      </c>
      <c r="C8056" s="8">
        <v>20.426300000000001</v>
      </c>
      <c r="D8056" s="8">
        <v>87</v>
      </c>
      <c r="E8056" s="8">
        <v>0</v>
      </c>
      <c r="F8056" s="8">
        <v>0</v>
      </c>
      <c r="G8056" s="8">
        <v>29</v>
      </c>
      <c r="H8056" s="8" t="s">
        <v>16432</v>
      </c>
      <c r="I8056" s="8">
        <v>532.3125</v>
      </c>
      <c r="J8056" s="3">
        <f t="shared" si="125"/>
        <v>43748.066322893515</v>
      </c>
    </row>
    <row r="8057" spans="1:10" x14ac:dyDescent="0.25">
      <c r="A8057" s="5" t="s">
        <v>16433</v>
      </c>
      <c r="B8057" s="6">
        <v>393.75</v>
      </c>
      <c r="C8057" s="6">
        <v>20.478950000000001</v>
      </c>
      <c r="D8057" s="6">
        <v>87</v>
      </c>
      <c r="E8057" s="6">
        <v>0</v>
      </c>
      <c r="F8057" s="6">
        <v>0</v>
      </c>
      <c r="G8057" s="6">
        <v>27</v>
      </c>
      <c r="H8057" s="6" t="s">
        <v>16434</v>
      </c>
      <c r="I8057" s="6">
        <v>526.6875</v>
      </c>
      <c r="J8057" s="2">
        <f t="shared" si="125"/>
        <v>43748.06639378472</v>
      </c>
    </row>
    <row r="8058" spans="1:10" x14ac:dyDescent="0.25">
      <c r="A8058" s="7" t="s">
        <v>16435</v>
      </c>
      <c r="B8058" s="8">
        <v>393.75</v>
      </c>
      <c r="C8058" s="8">
        <v>20.426300000000001</v>
      </c>
      <c r="D8058" s="8">
        <v>88</v>
      </c>
      <c r="E8058" s="8">
        <v>0</v>
      </c>
      <c r="F8058" s="8">
        <v>0</v>
      </c>
      <c r="G8058" s="8">
        <v>17</v>
      </c>
      <c r="H8058" s="8" t="s">
        <v>16436</v>
      </c>
      <c r="I8058" s="8">
        <v>526.6875</v>
      </c>
      <c r="J8058" s="3">
        <f t="shared" si="125"/>
        <v>43748.066465543983</v>
      </c>
    </row>
    <row r="8059" spans="1:10" x14ac:dyDescent="0.25">
      <c r="A8059" s="5" t="s">
        <v>16437</v>
      </c>
      <c r="B8059" s="6">
        <v>393.75</v>
      </c>
      <c r="C8059" s="6">
        <v>20.478950000000001</v>
      </c>
      <c r="D8059" s="6">
        <v>88</v>
      </c>
      <c r="E8059" s="6">
        <v>0</v>
      </c>
      <c r="F8059" s="6">
        <v>0</v>
      </c>
      <c r="G8059" s="6">
        <v>23</v>
      </c>
      <c r="H8059" s="6" t="s">
        <v>16438</v>
      </c>
      <c r="I8059" s="6">
        <v>526.6875</v>
      </c>
      <c r="J8059" s="2">
        <f t="shared" si="125"/>
        <v>43748.066536840277</v>
      </c>
    </row>
    <row r="8060" spans="1:10" x14ac:dyDescent="0.25">
      <c r="A8060" s="7" t="s">
        <v>16439</v>
      </c>
      <c r="B8060" s="8">
        <v>393.75</v>
      </c>
      <c r="C8060" s="8">
        <v>20.478950000000001</v>
      </c>
      <c r="D8060" s="8">
        <v>89</v>
      </c>
      <c r="E8060" s="8">
        <v>0</v>
      </c>
      <c r="F8060" s="8">
        <v>0</v>
      </c>
      <c r="G8060" s="8">
        <v>23</v>
      </c>
      <c r="H8060" s="8" t="s">
        <v>16440</v>
      </c>
      <c r="I8060" s="8">
        <v>526.6875</v>
      </c>
      <c r="J8060" s="3">
        <f t="shared" si="125"/>
        <v>43748.066632268521</v>
      </c>
    </row>
    <row r="8061" spans="1:10" x14ac:dyDescent="0.25">
      <c r="A8061" s="5" t="s">
        <v>16441</v>
      </c>
      <c r="B8061" s="6">
        <v>393.75</v>
      </c>
      <c r="C8061" s="6">
        <v>20.478950000000001</v>
      </c>
      <c r="D8061" s="6">
        <v>89</v>
      </c>
      <c r="E8061" s="6">
        <v>0</v>
      </c>
      <c r="F8061" s="6">
        <v>0</v>
      </c>
      <c r="G8061" s="6">
        <v>26</v>
      </c>
      <c r="H8061" s="6" t="s">
        <v>16442</v>
      </c>
      <c r="I8061" s="6">
        <v>526.6875</v>
      </c>
      <c r="J8061" s="2">
        <f t="shared" si="125"/>
        <v>43748.066704444442</v>
      </c>
    </row>
    <row r="8062" spans="1:10" x14ac:dyDescent="0.25">
      <c r="A8062" s="7" t="s">
        <v>16443</v>
      </c>
      <c r="B8062" s="8">
        <v>437.5</v>
      </c>
      <c r="C8062" s="8">
        <v>20.478950000000001</v>
      </c>
      <c r="D8062" s="8">
        <v>89</v>
      </c>
      <c r="E8062" s="8">
        <v>0</v>
      </c>
      <c r="F8062" s="8">
        <v>0</v>
      </c>
      <c r="G8062" s="8">
        <v>19</v>
      </c>
      <c r="H8062" s="8" t="s">
        <v>16444</v>
      </c>
      <c r="I8062" s="8">
        <v>540.9375</v>
      </c>
      <c r="J8062" s="3">
        <f t="shared" si="125"/>
        <v>43748.066775740743</v>
      </c>
    </row>
    <row r="8063" spans="1:10" x14ac:dyDescent="0.25">
      <c r="A8063" s="5" t="s">
        <v>16445</v>
      </c>
      <c r="B8063" s="6">
        <v>393.75</v>
      </c>
      <c r="C8063" s="6">
        <v>20.478950000000001</v>
      </c>
      <c r="D8063" s="6">
        <v>89</v>
      </c>
      <c r="E8063" s="6">
        <v>0</v>
      </c>
      <c r="F8063" s="6">
        <v>0</v>
      </c>
      <c r="G8063" s="6">
        <v>29</v>
      </c>
      <c r="H8063" s="6" t="s">
        <v>16446</v>
      </c>
      <c r="I8063" s="6">
        <v>526.6875</v>
      </c>
      <c r="J8063" s="2">
        <f t="shared" si="125"/>
        <v>43748.0668549537</v>
      </c>
    </row>
    <row r="8064" spans="1:10" x14ac:dyDescent="0.25">
      <c r="A8064" s="7" t="s">
        <v>16447</v>
      </c>
      <c r="B8064" s="8">
        <v>393.75</v>
      </c>
      <c r="C8064" s="8">
        <v>20.478950000000001</v>
      </c>
      <c r="D8064" s="8">
        <v>88</v>
      </c>
      <c r="E8064" s="8">
        <v>0</v>
      </c>
      <c r="F8064" s="8">
        <v>0</v>
      </c>
      <c r="G8064" s="8">
        <v>23</v>
      </c>
      <c r="H8064" s="8" t="s">
        <v>16448</v>
      </c>
      <c r="I8064" s="8">
        <v>526.6875</v>
      </c>
      <c r="J8064" s="3">
        <f t="shared" si="125"/>
        <v>43748.066930358793</v>
      </c>
    </row>
    <row r="8065" spans="1:10" x14ac:dyDescent="0.25">
      <c r="A8065" s="5" t="s">
        <v>16449</v>
      </c>
      <c r="B8065" s="6">
        <v>393.75</v>
      </c>
      <c r="C8065" s="6">
        <v>20.478950000000001</v>
      </c>
      <c r="D8065" s="6">
        <v>88</v>
      </c>
      <c r="E8065" s="6">
        <v>0</v>
      </c>
      <c r="F8065" s="6">
        <v>0</v>
      </c>
      <c r="G8065" s="6">
        <v>28</v>
      </c>
      <c r="H8065" s="6" t="s">
        <v>16450</v>
      </c>
      <c r="I8065" s="6">
        <v>526.5</v>
      </c>
      <c r="J8065" s="2">
        <f t="shared" si="125"/>
        <v>43748.067002604163</v>
      </c>
    </row>
    <row r="8066" spans="1:10" x14ac:dyDescent="0.25">
      <c r="A8066" s="7" t="s">
        <v>16451</v>
      </c>
      <c r="B8066" s="8">
        <v>393.75</v>
      </c>
      <c r="C8066" s="8">
        <v>20.478950000000001</v>
      </c>
      <c r="D8066" s="8">
        <v>88</v>
      </c>
      <c r="E8066" s="8">
        <v>0</v>
      </c>
      <c r="F8066" s="8">
        <v>0</v>
      </c>
      <c r="G8066" s="8">
        <v>35</v>
      </c>
      <c r="H8066" s="8" t="s">
        <v>16452</v>
      </c>
      <c r="I8066" s="8">
        <v>526.6875</v>
      </c>
      <c r="J8066" s="3">
        <f t="shared" ref="J8066:J8129" si="126">(H8066/86400000)+25569+(7/24)</f>
        <v>43748.067073819439</v>
      </c>
    </row>
    <row r="8067" spans="1:10" x14ac:dyDescent="0.25">
      <c r="A8067" s="5" t="s">
        <v>16453</v>
      </c>
      <c r="B8067" s="6">
        <v>393.75</v>
      </c>
      <c r="C8067" s="6">
        <v>20.478950000000001</v>
      </c>
      <c r="D8067" s="6">
        <v>88</v>
      </c>
      <c r="E8067" s="6">
        <v>0</v>
      </c>
      <c r="F8067" s="6">
        <v>0</v>
      </c>
      <c r="G8067" s="6">
        <v>28</v>
      </c>
      <c r="H8067" s="6" t="s">
        <v>16454</v>
      </c>
      <c r="I8067" s="6">
        <v>526.5</v>
      </c>
      <c r="J8067" s="2">
        <f t="shared" si="126"/>
        <v>43748.067145173605</v>
      </c>
    </row>
    <row r="8068" spans="1:10" x14ac:dyDescent="0.25">
      <c r="A8068" s="7" t="s">
        <v>16455</v>
      </c>
      <c r="B8068" s="8">
        <v>393.75</v>
      </c>
      <c r="C8068" s="8">
        <v>20.478950000000001</v>
      </c>
      <c r="D8068" s="8">
        <v>88</v>
      </c>
      <c r="E8068" s="8">
        <v>0</v>
      </c>
      <c r="F8068" s="8">
        <v>0</v>
      </c>
      <c r="G8068" s="8">
        <v>34</v>
      </c>
      <c r="H8068" s="8" t="s">
        <v>16456</v>
      </c>
      <c r="I8068" s="8">
        <v>526.6875</v>
      </c>
      <c r="J8068" s="3">
        <f t="shared" si="126"/>
        <v>43748.067240567128</v>
      </c>
    </row>
    <row r="8069" spans="1:10" x14ac:dyDescent="0.25">
      <c r="A8069" s="5" t="s">
        <v>16457</v>
      </c>
      <c r="B8069" s="6">
        <v>393.75</v>
      </c>
      <c r="C8069" s="6">
        <v>20.478950000000001</v>
      </c>
      <c r="D8069" s="6">
        <v>89</v>
      </c>
      <c r="E8069" s="6">
        <v>0</v>
      </c>
      <c r="F8069" s="6">
        <v>0</v>
      </c>
      <c r="G8069" s="6">
        <v>28</v>
      </c>
      <c r="H8069" s="6" t="s">
        <v>16458</v>
      </c>
      <c r="I8069" s="6">
        <v>526.6875</v>
      </c>
      <c r="J8069" s="2">
        <f t="shared" si="126"/>
        <v>43748.067311909719</v>
      </c>
    </row>
    <row r="8070" spans="1:10" x14ac:dyDescent="0.25">
      <c r="A8070" s="7" t="s">
        <v>16459</v>
      </c>
      <c r="B8070" s="8">
        <v>393.75</v>
      </c>
      <c r="C8070" s="8">
        <v>20.478950000000001</v>
      </c>
      <c r="D8070" s="8">
        <v>88</v>
      </c>
      <c r="E8070" s="8">
        <v>0</v>
      </c>
      <c r="F8070" s="8">
        <v>0</v>
      </c>
      <c r="G8070" s="8">
        <v>26</v>
      </c>
      <c r="H8070" s="8" t="s">
        <v>16460</v>
      </c>
      <c r="I8070" s="8">
        <v>526.6875</v>
      </c>
      <c r="J8070" s="3">
        <f t="shared" si="126"/>
        <v>43748.067384097223</v>
      </c>
    </row>
    <row r="8071" spans="1:10" x14ac:dyDescent="0.25">
      <c r="A8071" s="5" t="s">
        <v>16461</v>
      </c>
      <c r="B8071" s="6">
        <v>393.75</v>
      </c>
      <c r="C8071" s="6">
        <v>20.478950000000001</v>
      </c>
      <c r="D8071" s="6">
        <v>88</v>
      </c>
      <c r="E8071" s="6">
        <v>0</v>
      </c>
      <c r="F8071" s="6">
        <v>0</v>
      </c>
      <c r="G8071" s="6">
        <v>22</v>
      </c>
      <c r="H8071" s="6" t="s">
        <v>16462</v>
      </c>
      <c r="I8071" s="6">
        <v>526.6875</v>
      </c>
      <c r="J8071" s="2">
        <f t="shared" si="126"/>
        <v>43748.067455324075</v>
      </c>
    </row>
    <row r="8072" spans="1:10" x14ac:dyDescent="0.25">
      <c r="A8072" s="7" t="s">
        <v>16463</v>
      </c>
      <c r="B8072" s="8">
        <v>393.75</v>
      </c>
      <c r="C8072" s="8">
        <v>20.478950000000001</v>
      </c>
      <c r="D8072" s="8">
        <v>88</v>
      </c>
      <c r="E8072" s="8">
        <v>0</v>
      </c>
      <c r="F8072" s="8">
        <v>0</v>
      </c>
      <c r="G8072" s="8">
        <v>20</v>
      </c>
      <c r="H8072" s="8" t="s">
        <v>16464</v>
      </c>
      <c r="I8072" s="8">
        <v>526.6875</v>
      </c>
      <c r="J8072" s="3">
        <f t="shared" si="126"/>
        <v>43748.067526678242</v>
      </c>
    </row>
    <row r="8073" spans="1:10" x14ac:dyDescent="0.25">
      <c r="A8073" s="5" t="s">
        <v>16465</v>
      </c>
      <c r="B8073" s="6">
        <v>393.75</v>
      </c>
      <c r="C8073" s="6">
        <v>20.478950000000001</v>
      </c>
      <c r="D8073" s="6">
        <v>89</v>
      </c>
      <c r="E8073" s="6">
        <v>0</v>
      </c>
      <c r="F8073" s="6">
        <v>0</v>
      </c>
      <c r="G8073" s="6">
        <v>25</v>
      </c>
      <c r="H8073" s="6" t="s">
        <v>16466</v>
      </c>
      <c r="I8073" s="6">
        <v>526.5</v>
      </c>
      <c r="J8073" s="2">
        <f t="shared" si="126"/>
        <v>43748.067612372681</v>
      </c>
    </row>
    <row r="8074" spans="1:10" x14ac:dyDescent="0.25">
      <c r="A8074" s="7" t="s">
        <v>16467</v>
      </c>
      <c r="B8074" s="8">
        <v>393.75</v>
      </c>
      <c r="C8074" s="8">
        <v>20.426300000000001</v>
      </c>
      <c r="D8074" s="8">
        <v>90</v>
      </c>
      <c r="E8074" s="8">
        <v>0</v>
      </c>
      <c r="F8074" s="8">
        <v>0</v>
      </c>
      <c r="G8074" s="8">
        <v>29</v>
      </c>
      <c r="H8074" s="8" t="s">
        <v>16468</v>
      </c>
      <c r="I8074" s="8">
        <v>526.6875</v>
      </c>
      <c r="J8074" s="3">
        <f t="shared" si="126"/>
        <v>43748.067694270831</v>
      </c>
    </row>
    <row r="8075" spans="1:10" x14ac:dyDescent="0.25">
      <c r="A8075" s="5" t="s">
        <v>16469</v>
      </c>
      <c r="B8075" s="6">
        <v>421.875</v>
      </c>
      <c r="C8075" s="6">
        <v>20.478950000000001</v>
      </c>
      <c r="D8075" s="6">
        <v>88</v>
      </c>
      <c r="E8075" s="6">
        <v>0</v>
      </c>
      <c r="F8075" s="6">
        <v>0</v>
      </c>
      <c r="G8075" s="6">
        <v>28</v>
      </c>
      <c r="H8075" s="6" t="s">
        <v>16470</v>
      </c>
      <c r="I8075" s="6">
        <v>535.6875</v>
      </c>
      <c r="J8075" s="2">
        <f t="shared" si="126"/>
        <v>43748.0677655787</v>
      </c>
    </row>
    <row r="8076" spans="1:10" x14ac:dyDescent="0.25">
      <c r="A8076" s="7" t="s">
        <v>16471</v>
      </c>
      <c r="B8076" s="8">
        <v>393.75</v>
      </c>
      <c r="C8076" s="8">
        <v>20.478950000000001</v>
      </c>
      <c r="D8076" s="8">
        <v>89</v>
      </c>
      <c r="E8076" s="8">
        <v>0</v>
      </c>
      <c r="F8076" s="8">
        <v>0</v>
      </c>
      <c r="G8076" s="8">
        <v>32</v>
      </c>
      <c r="H8076" s="8" t="s">
        <v>16472</v>
      </c>
      <c r="I8076" s="8">
        <v>526.6875</v>
      </c>
      <c r="J8076" s="3">
        <f t="shared" si="126"/>
        <v>43748.067836863418</v>
      </c>
    </row>
    <row r="8077" spans="1:10" x14ac:dyDescent="0.25">
      <c r="A8077" s="5" t="s">
        <v>16473</v>
      </c>
      <c r="B8077" s="6">
        <v>393.75</v>
      </c>
      <c r="C8077" s="6">
        <v>20.478950000000001</v>
      </c>
      <c r="D8077" s="6">
        <v>90</v>
      </c>
      <c r="E8077" s="6">
        <v>0</v>
      </c>
      <c r="F8077" s="6">
        <v>0</v>
      </c>
      <c r="G8077" s="6">
        <v>19</v>
      </c>
      <c r="H8077" s="6" t="s">
        <v>16474</v>
      </c>
      <c r="I8077" s="6">
        <v>526.6875</v>
      </c>
      <c r="J8077" s="2">
        <f t="shared" si="126"/>
        <v>43748.067908159719</v>
      </c>
    </row>
    <row r="8078" spans="1:10" x14ac:dyDescent="0.25">
      <c r="A8078" s="7" t="s">
        <v>16475</v>
      </c>
      <c r="B8078" s="8">
        <v>393.75</v>
      </c>
      <c r="C8078" s="8">
        <v>20.478950000000001</v>
      </c>
      <c r="D8078" s="8">
        <v>89</v>
      </c>
      <c r="E8078" s="8">
        <v>0</v>
      </c>
      <c r="F8078" s="8">
        <v>0</v>
      </c>
      <c r="G8078" s="8">
        <v>21</v>
      </c>
      <c r="H8078" s="8" t="s">
        <v>16476</v>
      </c>
      <c r="I8078" s="8">
        <v>526.6875</v>
      </c>
      <c r="J8078" s="3">
        <f t="shared" si="126"/>
        <v>43748.067980370368</v>
      </c>
    </row>
    <row r="8079" spans="1:10" x14ac:dyDescent="0.25">
      <c r="A8079" s="5" t="s">
        <v>16477</v>
      </c>
      <c r="B8079" s="6">
        <v>393.75</v>
      </c>
      <c r="C8079" s="6">
        <v>20.478950000000001</v>
      </c>
      <c r="D8079" s="6">
        <v>90</v>
      </c>
      <c r="E8079" s="6">
        <v>0</v>
      </c>
      <c r="F8079" s="6">
        <v>0</v>
      </c>
      <c r="G8079" s="6">
        <v>21</v>
      </c>
      <c r="H8079" s="6" t="s">
        <v>16478</v>
      </c>
      <c r="I8079" s="6">
        <v>526.6875</v>
      </c>
      <c r="J8079" s="2">
        <f t="shared" si="126"/>
        <v>43748.068051678238</v>
      </c>
    </row>
    <row r="8080" spans="1:10" x14ac:dyDescent="0.25">
      <c r="A8080" s="7" t="s">
        <v>16479</v>
      </c>
      <c r="B8080" s="8">
        <v>393.75</v>
      </c>
      <c r="C8080" s="8">
        <v>20.478950000000001</v>
      </c>
      <c r="D8080" s="8">
        <v>90</v>
      </c>
      <c r="E8080" s="8">
        <v>0</v>
      </c>
      <c r="F8080" s="8">
        <v>0</v>
      </c>
      <c r="G8080" s="8">
        <v>23</v>
      </c>
      <c r="H8080" s="8" t="s">
        <v>16480</v>
      </c>
      <c r="I8080" s="8">
        <v>526.6875</v>
      </c>
      <c r="J8080" s="3">
        <f t="shared" si="126"/>
        <v>43748.068122962963</v>
      </c>
    </row>
    <row r="8081" spans="1:10" x14ac:dyDescent="0.25">
      <c r="A8081" s="5" t="s">
        <v>16481</v>
      </c>
      <c r="B8081" s="6">
        <v>393.75</v>
      </c>
      <c r="C8081" s="6">
        <v>20.478950000000001</v>
      </c>
      <c r="D8081" s="6">
        <v>90</v>
      </c>
      <c r="E8081" s="6">
        <v>0</v>
      </c>
      <c r="F8081" s="6">
        <v>0</v>
      </c>
      <c r="G8081" s="6">
        <v>19</v>
      </c>
      <c r="H8081" s="6" t="s">
        <v>16482</v>
      </c>
      <c r="I8081" s="6">
        <v>526.5</v>
      </c>
      <c r="J8081" s="2">
        <f t="shared" si="126"/>
        <v>43748.068194317129</v>
      </c>
    </row>
    <row r="8082" spans="1:10" x14ac:dyDescent="0.25">
      <c r="A8082" s="7" t="s">
        <v>16483</v>
      </c>
      <c r="B8082" s="8">
        <v>393.75</v>
      </c>
      <c r="C8082" s="8">
        <v>20.478950000000001</v>
      </c>
      <c r="D8082" s="8">
        <v>90</v>
      </c>
      <c r="E8082" s="8">
        <v>0</v>
      </c>
      <c r="F8082" s="8">
        <v>0</v>
      </c>
      <c r="G8082" s="8">
        <v>21</v>
      </c>
      <c r="H8082" s="8" t="s">
        <v>16484</v>
      </c>
      <c r="I8082" s="8">
        <v>526.6875</v>
      </c>
      <c r="J8082" s="3">
        <f t="shared" si="126"/>
        <v>43748.068266145834</v>
      </c>
    </row>
    <row r="8083" spans="1:10" x14ac:dyDescent="0.25">
      <c r="A8083" s="5" t="s">
        <v>16485</v>
      </c>
      <c r="B8083" s="6">
        <v>412.5</v>
      </c>
      <c r="C8083" s="6">
        <v>20.478950000000001</v>
      </c>
      <c r="D8083" s="6">
        <v>90</v>
      </c>
      <c r="E8083" s="6">
        <v>0</v>
      </c>
      <c r="F8083" s="6">
        <v>0</v>
      </c>
      <c r="G8083" s="6">
        <v>28</v>
      </c>
      <c r="H8083" s="6" t="s">
        <v>16486</v>
      </c>
      <c r="I8083" s="6">
        <v>532.6875</v>
      </c>
      <c r="J8083" s="2">
        <f t="shared" si="126"/>
        <v>43748.068349479166</v>
      </c>
    </row>
    <row r="8084" spans="1:10" x14ac:dyDescent="0.25">
      <c r="A8084" s="7" t="s">
        <v>16487</v>
      </c>
      <c r="B8084" s="8">
        <v>393.75</v>
      </c>
      <c r="C8084" s="8">
        <v>20.478950000000001</v>
      </c>
      <c r="D8084" s="8">
        <v>89</v>
      </c>
      <c r="E8084" s="8">
        <v>0</v>
      </c>
      <c r="F8084" s="8">
        <v>0</v>
      </c>
      <c r="G8084" s="8">
        <v>23</v>
      </c>
      <c r="H8084" s="8" t="s">
        <v>16488</v>
      </c>
      <c r="I8084" s="8">
        <v>526.6875</v>
      </c>
      <c r="J8084" s="3">
        <f t="shared" si="126"/>
        <v>43748.068421539348</v>
      </c>
    </row>
    <row r="8085" spans="1:10" x14ac:dyDescent="0.25">
      <c r="A8085" s="5" t="s">
        <v>16489</v>
      </c>
      <c r="B8085" s="6">
        <v>393.75</v>
      </c>
      <c r="C8085" s="6">
        <v>20.478950000000001</v>
      </c>
      <c r="D8085" s="6">
        <v>89</v>
      </c>
      <c r="E8085" s="6">
        <v>0</v>
      </c>
      <c r="F8085" s="6">
        <v>0</v>
      </c>
      <c r="G8085" s="6">
        <v>29</v>
      </c>
      <c r="H8085" s="6" t="s">
        <v>16490</v>
      </c>
      <c r="I8085" s="6">
        <v>526.6875</v>
      </c>
      <c r="J8085" s="2">
        <f t="shared" si="126"/>
        <v>43748.068504166666</v>
      </c>
    </row>
    <row r="8086" spans="1:10" x14ac:dyDescent="0.25">
      <c r="A8086" s="7" t="s">
        <v>16491</v>
      </c>
      <c r="B8086" s="8">
        <v>393.75</v>
      </c>
      <c r="C8086" s="8">
        <v>20.478950000000001</v>
      </c>
      <c r="D8086" s="8">
        <v>90</v>
      </c>
      <c r="E8086" s="8">
        <v>0</v>
      </c>
      <c r="F8086" s="8">
        <v>0</v>
      </c>
      <c r="G8086" s="8">
        <v>17</v>
      </c>
      <c r="H8086" s="8" t="s">
        <v>16492</v>
      </c>
      <c r="I8086" s="8">
        <v>526.6875</v>
      </c>
      <c r="J8086" s="3">
        <f t="shared" si="126"/>
        <v>43748.068576331018</v>
      </c>
    </row>
    <row r="8087" spans="1:10" x14ac:dyDescent="0.25">
      <c r="A8087" s="5" t="s">
        <v>16493</v>
      </c>
      <c r="B8087" s="6">
        <v>393.75</v>
      </c>
      <c r="C8087" s="6">
        <v>20.478950000000001</v>
      </c>
      <c r="D8087" s="6">
        <v>90</v>
      </c>
      <c r="E8087" s="6">
        <v>0</v>
      </c>
      <c r="F8087" s="6">
        <v>0</v>
      </c>
      <c r="G8087" s="6">
        <v>23</v>
      </c>
      <c r="H8087" s="6" t="s">
        <v>16494</v>
      </c>
      <c r="I8087" s="6">
        <v>526.6875</v>
      </c>
      <c r="J8087" s="2">
        <f t="shared" si="126"/>
        <v>43748.068647615735</v>
      </c>
    </row>
    <row r="8088" spans="1:10" x14ac:dyDescent="0.25">
      <c r="A8088" s="7" t="s">
        <v>16495</v>
      </c>
      <c r="B8088" s="8">
        <v>393.75</v>
      </c>
      <c r="C8088" s="8">
        <v>20.478950000000001</v>
      </c>
      <c r="D8088" s="8">
        <v>91</v>
      </c>
      <c r="E8088" s="8">
        <v>0</v>
      </c>
      <c r="F8088" s="8">
        <v>0</v>
      </c>
      <c r="G8088" s="8">
        <v>31</v>
      </c>
      <c r="H8088" s="8" t="s">
        <v>16496</v>
      </c>
      <c r="I8088" s="8">
        <v>526.6875</v>
      </c>
      <c r="J8088" s="3">
        <f t="shared" si="126"/>
        <v>43748.068718969902</v>
      </c>
    </row>
    <row r="8089" spans="1:10" x14ac:dyDescent="0.25">
      <c r="A8089" s="5" t="s">
        <v>16497</v>
      </c>
      <c r="B8089" s="6">
        <v>393.75</v>
      </c>
      <c r="C8089" s="6">
        <v>20.478950000000001</v>
      </c>
      <c r="D8089" s="6">
        <v>91</v>
      </c>
      <c r="E8089" s="6">
        <v>0</v>
      </c>
      <c r="F8089" s="6">
        <v>0</v>
      </c>
      <c r="G8089" s="6">
        <v>22</v>
      </c>
      <c r="H8089" s="6" t="s">
        <v>16498</v>
      </c>
      <c r="I8089" s="6">
        <v>526.5</v>
      </c>
      <c r="J8089" s="2">
        <f t="shared" si="126"/>
        <v>43748.06879114583</v>
      </c>
    </row>
    <row r="8090" spans="1:10" x14ac:dyDescent="0.25">
      <c r="A8090" s="7" t="s">
        <v>16499</v>
      </c>
      <c r="B8090" s="8">
        <v>393.75</v>
      </c>
      <c r="C8090" s="8">
        <v>20.478950000000001</v>
      </c>
      <c r="D8090" s="8">
        <v>91</v>
      </c>
      <c r="E8090" s="8">
        <v>0</v>
      </c>
      <c r="F8090" s="8">
        <v>0</v>
      </c>
      <c r="G8090" s="8">
        <v>32</v>
      </c>
      <c r="H8090" s="8" t="s">
        <v>16500</v>
      </c>
      <c r="I8090" s="8">
        <v>526.6875</v>
      </c>
      <c r="J8090" s="3">
        <f t="shared" si="126"/>
        <v>43748.068862430555</v>
      </c>
    </row>
    <row r="8091" spans="1:10" x14ac:dyDescent="0.25">
      <c r="A8091" s="5" t="s">
        <v>16501</v>
      </c>
      <c r="B8091" s="6">
        <v>393.75</v>
      </c>
      <c r="C8091" s="6">
        <v>20.478950000000001</v>
      </c>
      <c r="D8091" s="6">
        <v>91</v>
      </c>
      <c r="E8091" s="6">
        <v>0</v>
      </c>
      <c r="F8091" s="6">
        <v>0</v>
      </c>
      <c r="G8091" s="6">
        <v>22</v>
      </c>
      <c r="H8091" s="6" t="s">
        <v>16502</v>
      </c>
      <c r="I8091" s="6">
        <v>526.6875</v>
      </c>
      <c r="J8091" s="2">
        <f t="shared" si="126"/>
        <v>43748.068945844905</v>
      </c>
    </row>
    <row r="8092" spans="1:10" x14ac:dyDescent="0.25">
      <c r="A8092" s="7" t="s">
        <v>16503</v>
      </c>
      <c r="B8092" s="8">
        <v>393.75</v>
      </c>
      <c r="C8092" s="8">
        <v>20.478950000000001</v>
      </c>
      <c r="D8092" s="8">
        <v>90</v>
      </c>
      <c r="E8092" s="8">
        <v>0</v>
      </c>
      <c r="F8092" s="8">
        <v>0</v>
      </c>
      <c r="G8092" s="8">
        <v>27</v>
      </c>
      <c r="H8092" s="8" t="s">
        <v>16504</v>
      </c>
      <c r="I8092" s="8">
        <v>526.6875</v>
      </c>
      <c r="J8092" s="3">
        <f t="shared" si="126"/>
        <v>43748.069029120372</v>
      </c>
    </row>
    <row r="8093" spans="1:10" x14ac:dyDescent="0.25">
      <c r="A8093" s="5" t="s">
        <v>16505</v>
      </c>
      <c r="B8093" s="6">
        <v>393.75</v>
      </c>
      <c r="C8093" s="6">
        <v>20.478950000000001</v>
      </c>
      <c r="D8093" s="6">
        <v>93</v>
      </c>
      <c r="E8093" s="6">
        <v>0</v>
      </c>
      <c r="F8093" s="6">
        <v>0</v>
      </c>
      <c r="G8093" s="6">
        <v>19</v>
      </c>
      <c r="H8093" s="6" t="s">
        <v>16506</v>
      </c>
      <c r="I8093" s="6">
        <v>526.5</v>
      </c>
      <c r="J8093" s="2">
        <f t="shared" si="126"/>
        <v>43748.069101168978</v>
      </c>
    </row>
    <row r="8094" spans="1:10" x14ac:dyDescent="0.25">
      <c r="A8094" s="7" t="s">
        <v>16507</v>
      </c>
      <c r="B8094" s="8">
        <v>393.75</v>
      </c>
      <c r="C8094" s="8">
        <v>20.478950000000001</v>
      </c>
      <c r="D8094" s="8">
        <v>92</v>
      </c>
      <c r="E8094" s="8">
        <v>0</v>
      </c>
      <c r="F8094" s="8">
        <v>0</v>
      </c>
      <c r="G8094" s="8">
        <v>30</v>
      </c>
      <c r="H8094" s="8" t="s">
        <v>16508</v>
      </c>
      <c r="I8094" s="8">
        <v>526.6875</v>
      </c>
      <c r="J8094" s="3">
        <f t="shared" si="126"/>
        <v>43748.069172615738</v>
      </c>
    </row>
    <row r="8095" spans="1:10" x14ac:dyDescent="0.25">
      <c r="A8095" s="5" t="s">
        <v>16509</v>
      </c>
      <c r="B8095" s="6">
        <v>393.75</v>
      </c>
      <c r="C8095" s="6">
        <v>20.478950000000001</v>
      </c>
      <c r="D8095" s="6">
        <v>92</v>
      </c>
      <c r="E8095" s="6">
        <v>0</v>
      </c>
      <c r="F8095" s="6">
        <v>0</v>
      </c>
      <c r="G8095" s="6">
        <v>29</v>
      </c>
      <c r="H8095" s="6" t="s">
        <v>16510</v>
      </c>
      <c r="I8095" s="6">
        <v>526.5</v>
      </c>
      <c r="J8095" s="2">
        <f t="shared" si="126"/>
        <v>43748.069243923608</v>
      </c>
    </row>
    <row r="8096" spans="1:10" x14ac:dyDescent="0.25">
      <c r="A8096" s="7" t="s">
        <v>16511</v>
      </c>
      <c r="B8096" s="8">
        <v>393.75</v>
      </c>
      <c r="C8096" s="8">
        <v>20.426300000000001</v>
      </c>
      <c r="D8096" s="8">
        <v>92</v>
      </c>
      <c r="E8096" s="8">
        <v>0</v>
      </c>
      <c r="F8096" s="8">
        <v>0</v>
      </c>
      <c r="G8096" s="8">
        <v>28</v>
      </c>
      <c r="H8096" s="8" t="s">
        <v>16512</v>
      </c>
      <c r="I8096" s="8">
        <v>526.6875</v>
      </c>
      <c r="J8096" s="3">
        <f t="shared" si="126"/>
        <v>43748.069315219902</v>
      </c>
    </row>
    <row r="8097" spans="1:10" x14ac:dyDescent="0.25">
      <c r="A8097" s="5" t="s">
        <v>16513</v>
      </c>
      <c r="B8097" s="6">
        <v>393.75</v>
      </c>
      <c r="C8097" s="6">
        <v>20.478950000000001</v>
      </c>
      <c r="D8097" s="6">
        <v>92</v>
      </c>
      <c r="E8097" s="6">
        <v>0</v>
      </c>
      <c r="F8097" s="6">
        <v>0</v>
      </c>
      <c r="G8097" s="6">
        <v>23</v>
      </c>
      <c r="H8097" s="6" t="s">
        <v>16514</v>
      </c>
      <c r="I8097" s="6">
        <v>526.6875</v>
      </c>
      <c r="J8097" s="2">
        <f t="shared" si="126"/>
        <v>43748.069387268515</v>
      </c>
    </row>
    <row r="8098" spans="1:10" x14ac:dyDescent="0.25">
      <c r="A8098" s="7" t="s">
        <v>16515</v>
      </c>
      <c r="B8098" s="8">
        <v>393.75</v>
      </c>
      <c r="C8098" s="8">
        <v>20.478950000000001</v>
      </c>
      <c r="D8098" s="8">
        <v>91</v>
      </c>
      <c r="E8098" s="8">
        <v>0</v>
      </c>
      <c r="F8098" s="8">
        <v>0</v>
      </c>
      <c r="G8098" s="8">
        <v>24</v>
      </c>
      <c r="H8098" s="8" t="s">
        <v>16516</v>
      </c>
      <c r="I8098" s="8">
        <v>526.6875</v>
      </c>
      <c r="J8098" s="3">
        <f t="shared" si="126"/>
        <v>43748.069458726844</v>
      </c>
    </row>
    <row r="8099" spans="1:10" x14ac:dyDescent="0.25">
      <c r="A8099" s="5" t="s">
        <v>16517</v>
      </c>
      <c r="B8099" s="6">
        <v>393.75</v>
      </c>
      <c r="C8099" s="6">
        <v>20.478950000000001</v>
      </c>
      <c r="D8099" s="6">
        <v>91</v>
      </c>
      <c r="E8099" s="6">
        <v>0</v>
      </c>
      <c r="F8099" s="6">
        <v>0</v>
      </c>
      <c r="G8099" s="6">
        <v>21</v>
      </c>
      <c r="H8099" s="6" t="s">
        <v>16518</v>
      </c>
      <c r="I8099" s="6">
        <v>526.6875</v>
      </c>
      <c r="J8099" s="2">
        <f t="shared" si="126"/>
        <v>43748.069530104163</v>
      </c>
    </row>
    <row r="8100" spans="1:10" x14ac:dyDescent="0.25">
      <c r="A8100" s="7" t="s">
        <v>16519</v>
      </c>
      <c r="B8100" s="8">
        <v>393.75</v>
      </c>
      <c r="C8100" s="8">
        <v>20.478950000000001</v>
      </c>
      <c r="D8100" s="8">
        <v>91</v>
      </c>
      <c r="E8100" s="8">
        <v>0</v>
      </c>
      <c r="F8100" s="8">
        <v>0</v>
      </c>
      <c r="G8100" s="8">
        <v>21</v>
      </c>
      <c r="H8100" s="8" t="s">
        <v>16520</v>
      </c>
      <c r="I8100" s="8">
        <v>526.6875</v>
      </c>
      <c r="J8100" s="3">
        <f t="shared" si="126"/>
        <v>43748.069601354167</v>
      </c>
    </row>
    <row r="8101" spans="1:10" x14ac:dyDescent="0.25">
      <c r="A8101" s="5" t="s">
        <v>16521</v>
      </c>
      <c r="B8101" s="6">
        <v>393.75</v>
      </c>
      <c r="C8101" s="6">
        <v>20.478950000000001</v>
      </c>
      <c r="D8101" s="6">
        <v>91</v>
      </c>
      <c r="E8101" s="6">
        <v>0</v>
      </c>
      <c r="F8101" s="6">
        <v>0</v>
      </c>
      <c r="G8101" s="6">
        <v>20</v>
      </c>
      <c r="H8101" s="6" t="s">
        <v>16522</v>
      </c>
      <c r="I8101" s="6">
        <v>526.6875</v>
      </c>
      <c r="J8101" s="2">
        <f t="shared" si="126"/>
        <v>43748.069673599537</v>
      </c>
    </row>
    <row r="8102" spans="1:10" x14ac:dyDescent="0.25">
      <c r="A8102" s="7" t="s">
        <v>16523</v>
      </c>
      <c r="B8102" s="8">
        <v>412.5</v>
      </c>
      <c r="C8102" s="8">
        <v>20.426300000000001</v>
      </c>
      <c r="D8102" s="8">
        <v>91</v>
      </c>
      <c r="E8102" s="8">
        <v>0</v>
      </c>
      <c r="F8102" s="8">
        <v>0</v>
      </c>
      <c r="G8102" s="8">
        <v>25</v>
      </c>
      <c r="H8102" s="8" t="s">
        <v>16524</v>
      </c>
      <c r="I8102" s="8">
        <v>532.6875</v>
      </c>
      <c r="J8102" s="3">
        <f t="shared" si="126"/>
        <v>43748.069744837958</v>
      </c>
    </row>
    <row r="8103" spans="1:10" x14ac:dyDescent="0.25">
      <c r="A8103" s="5" t="s">
        <v>16525</v>
      </c>
      <c r="B8103" s="6">
        <v>393.75</v>
      </c>
      <c r="C8103" s="6">
        <v>20.426300000000001</v>
      </c>
      <c r="D8103" s="6">
        <v>91</v>
      </c>
      <c r="E8103" s="6">
        <v>0</v>
      </c>
      <c r="F8103" s="6">
        <v>0</v>
      </c>
      <c r="G8103" s="6">
        <v>18</v>
      </c>
      <c r="H8103" s="6" t="s">
        <v>16526</v>
      </c>
      <c r="I8103" s="6">
        <v>526.5</v>
      </c>
      <c r="J8103" s="2">
        <f t="shared" si="126"/>
        <v>43748.069840231481</v>
      </c>
    </row>
    <row r="8104" spans="1:10" x14ac:dyDescent="0.25">
      <c r="A8104" s="7" t="s">
        <v>16527</v>
      </c>
      <c r="B8104" s="8">
        <v>393.75</v>
      </c>
      <c r="C8104" s="8">
        <v>20.478950000000001</v>
      </c>
      <c r="D8104" s="8">
        <v>92</v>
      </c>
      <c r="E8104" s="8">
        <v>0</v>
      </c>
      <c r="F8104" s="8">
        <v>0</v>
      </c>
      <c r="G8104" s="8">
        <v>24</v>
      </c>
      <c r="H8104" s="8" t="s">
        <v>16528</v>
      </c>
      <c r="I8104" s="8">
        <v>526.6875</v>
      </c>
      <c r="J8104" s="3">
        <f t="shared" si="126"/>
        <v>43748.069911562496</v>
      </c>
    </row>
    <row r="8105" spans="1:10" x14ac:dyDescent="0.25">
      <c r="A8105" s="5" t="s">
        <v>16529</v>
      </c>
      <c r="B8105" s="6">
        <v>393.75</v>
      </c>
      <c r="C8105" s="6">
        <v>20.478950000000001</v>
      </c>
      <c r="D8105" s="6">
        <v>92</v>
      </c>
      <c r="E8105" s="6">
        <v>0</v>
      </c>
      <c r="F8105" s="6">
        <v>0</v>
      </c>
      <c r="G8105" s="6">
        <v>26</v>
      </c>
      <c r="H8105" s="6" t="s">
        <v>16530</v>
      </c>
      <c r="I8105" s="6">
        <v>526.6875</v>
      </c>
      <c r="J8105" s="2">
        <f t="shared" si="126"/>
        <v>43748.069983553236</v>
      </c>
    </row>
    <row r="8106" spans="1:10" x14ac:dyDescent="0.25">
      <c r="A8106" s="7" t="s">
        <v>16531</v>
      </c>
      <c r="B8106" s="8">
        <v>393.75</v>
      </c>
      <c r="C8106" s="8">
        <v>20.478950000000001</v>
      </c>
      <c r="D8106" s="8">
        <v>90</v>
      </c>
      <c r="E8106" s="8">
        <v>0</v>
      </c>
      <c r="F8106" s="8">
        <v>0</v>
      </c>
      <c r="G8106" s="8">
        <v>26</v>
      </c>
      <c r="H8106" s="8" t="s">
        <v>16532</v>
      </c>
      <c r="I8106" s="8">
        <v>526.6875</v>
      </c>
      <c r="J8106" s="3">
        <f t="shared" si="126"/>
        <v>43748.070055034717</v>
      </c>
    </row>
    <row r="8107" spans="1:10" x14ac:dyDescent="0.25">
      <c r="A8107" s="5" t="s">
        <v>16533</v>
      </c>
      <c r="B8107" s="6">
        <v>393.75</v>
      </c>
      <c r="C8107" s="6">
        <v>20.478950000000001</v>
      </c>
      <c r="D8107" s="6">
        <v>90</v>
      </c>
      <c r="E8107" s="6">
        <v>0</v>
      </c>
      <c r="F8107" s="6">
        <v>0</v>
      </c>
      <c r="G8107" s="6">
        <v>21</v>
      </c>
      <c r="H8107" s="6" t="s">
        <v>16534</v>
      </c>
      <c r="I8107" s="6">
        <v>526.6875</v>
      </c>
      <c r="J8107" s="2">
        <f t="shared" si="126"/>
        <v>43748.070150381944</v>
      </c>
    </row>
    <row r="8108" spans="1:10" x14ac:dyDescent="0.25">
      <c r="A8108" s="7" t="s">
        <v>16535</v>
      </c>
      <c r="B8108" s="8">
        <v>393.75</v>
      </c>
      <c r="C8108" s="8">
        <v>20.426300000000001</v>
      </c>
      <c r="D8108" s="8">
        <v>90</v>
      </c>
      <c r="E8108" s="8">
        <v>0</v>
      </c>
      <c r="F8108" s="8">
        <v>0</v>
      </c>
      <c r="G8108" s="8">
        <v>29</v>
      </c>
      <c r="H8108" s="8" t="s">
        <v>16536</v>
      </c>
      <c r="I8108" s="8">
        <v>526.6875</v>
      </c>
      <c r="J8108" s="3">
        <f t="shared" si="126"/>
        <v>43748.070233726852</v>
      </c>
    </row>
    <row r="8109" spans="1:10" x14ac:dyDescent="0.25">
      <c r="A8109" s="5" t="s">
        <v>16537</v>
      </c>
      <c r="B8109" s="6">
        <v>393.75</v>
      </c>
      <c r="C8109" s="6">
        <v>20.478950000000001</v>
      </c>
      <c r="D8109" s="6">
        <v>90</v>
      </c>
      <c r="E8109" s="6">
        <v>0</v>
      </c>
      <c r="F8109" s="6">
        <v>0</v>
      </c>
      <c r="G8109" s="6">
        <v>30</v>
      </c>
      <c r="H8109" s="6" t="s">
        <v>16538</v>
      </c>
      <c r="I8109" s="6">
        <v>526.5</v>
      </c>
      <c r="J8109" s="2">
        <f t="shared" si="126"/>
        <v>43748.070304999994</v>
      </c>
    </row>
    <row r="8110" spans="1:10" x14ac:dyDescent="0.25">
      <c r="A8110" s="7" t="s">
        <v>16539</v>
      </c>
      <c r="B8110" s="8">
        <v>393.75</v>
      </c>
      <c r="C8110" s="8">
        <v>20.478950000000001</v>
      </c>
      <c r="D8110" s="8">
        <v>90</v>
      </c>
      <c r="E8110" s="8">
        <v>0</v>
      </c>
      <c r="F8110" s="8">
        <v>0</v>
      </c>
      <c r="G8110" s="8">
        <v>20</v>
      </c>
      <c r="H8110" s="8" t="s">
        <v>16540</v>
      </c>
      <c r="I8110" s="8">
        <v>526.6875</v>
      </c>
      <c r="J8110" s="3">
        <f t="shared" si="126"/>
        <v>43748.070377372678</v>
      </c>
    </row>
    <row r="8111" spans="1:10" x14ac:dyDescent="0.25">
      <c r="A8111" s="5" t="s">
        <v>16541</v>
      </c>
      <c r="B8111" s="6">
        <v>393.75</v>
      </c>
      <c r="C8111" s="6">
        <v>20.478950000000001</v>
      </c>
      <c r="D8111" s="6">
        <v>91</v>
      </c>
      <c r="E8111" s="6">
        <v>0</v>
      </c>
      <c r="F8111" s="6">
        <v>0</v>
      </c>
      <c r="G8111" s="6">
        <v>22</v>
      </c>
      <c r="H8111" s="6" t="s">
        <v>16542</v>
      </c>
      <c r="I8111" s="6">
        <v>526.6875</v>
      </c>
      <c r="J8111" s="2">
        <f t="shared" si="126"/>
        <v>43748.070448541665</v>
      </c>
    </row>
    <row r="8112" spans="1:10" x14ac:dyDescent="0.25">
      <c r="A8112" s="7" t="s">
        <v>16543</v>
      </c>
      <c r="B8112" s="8">
        <v>393.75</v>
      </c>
      <c r="C8112" s="8">
        <v>20.478950000000001</v>
      </c>
      <c r="D8112" s="8">
        <v>92</v>
      </c>
      <c r="E8112" s="8">
        <v>0</v>
      </c>
      <c r="F8112" s="8">
        <v>0</v>
      </c>
      <c r="G8112" s="8">
        <v>25</v>
      </c>
      <c r="H8112" s="8" t="s">
        <v>16544</v>
      </c>
      <c r="I8112" s="8">
        <v>526.6875</v>
      </c>
      <c r="J8112" s="3">
        <f t="shared" si="126"/>
        <v>43748.070531874997</v>
      </c>
    </row>
    <row r="8113" spans="1:10" x14ac:dyDescent="0.25">
      <c r="A8113" s="5" t="s">
        <v>16545</v>
      </c>
      <c r="B8113" s="6">
        <v>393.75</v>
      </c>
      <c r="C8113" s="6">
        <v>20.478950000000001</v>
      </c>
      <c r="D8113" s="6">
        <v>96</v>
      </c>
      <c r="E8113" s="6">
        <v>0</v>
      </c>
      <c r="F8113" s="6">
        <v>0</v>
      </c>
      <c r="G8113" s="6">
        <v>18</v>
      </c>
      <c r="H8113" s="6" t="s">
        <v>16546</v>
      </c>
      <c r="I8113" s="6">
        <v>526.6875</v>
      </c>
      <c r="J8113" s="2">
        <f t="shared" si="126"/>
        <v>43748.070603171298</v>
      </c>
    </row>
    <row r="8114" spans="1:10" x14ac:dyDescent="0.25">
      <c r="A8114" s="7" t="s">
        <v>16547</v>
      </c>
      <c r="B8114" s="8">
        <v>421.875</v>
      </c>
      <c r="C8114" s="8">
        <v>20.478950000000001</v>
      </c>
      <c r="D8114" s="8">
        <v>96</v>
      </c>
      <c r="E8114" s="8">
        <v>0</v>
      </c>
      <c r="F8114" s="8">
        <v>0</v>
      </c>
      <c r="G8114" s="8">
        <v>23</v>
      </c>
      <c r="H8114" s="8" t="s">
        <v>16548</v>
      </c>
      <c r="I8114" s="8">
        <v>535.125</v>
      </c>
      <c r="J8114" s="3">
        <f t="shared" si="126"/>
        <v>43748.070675208328</v>
      </c>
    </row>
    <row r="8115" spans="1:10" x14ac:dyDescent="0.25">
      <c r="A8115" s="5" t="s">
        <v>16549</v>
      </c>
      <c r="B8115" s="6">
        <v>393.75</v>
      </c>
      <c r="C8115" s="6">
        <v>20.478950000000001</v>
      </c>
      <c r="D8115" s="6">
        <v>93</v>
      </c>
      <c r="E8115" s="6">
        <v>0</v>
      </c>
      <c r="F8115" s="6">
        <v>0</v>
      </c>
      <c r="G8115" s="6">
        <v>16</v>
      </c>
      <c r="H8115" s="6" t="s">
        <v>16550</v>
      </c>
      <c r="I8115" s="6">
        <v>526.6875</v>
      </c>
      <c r="J8115" s="2">
        <f t="shared" si="126"/>
        <v>43748.070746678241</v>
      </c>
    </row>
    <row r="8116" spans="1:10" x14ac:dyDescent="0.25">
      <c r="A8116" s="7" t="s">
        <v>16551</v>
      </c>
      <c r="B8116" s="8">
        <v>393.75</v>
      </c>
      <c r="C8116" s="8">
        <v>20.478950000000001</v>
      </c>
      <c r="D8116" s="8">
        <v>93</v>
      </c>
      <c r="E8116" s="8">
        <v>0</v>
      </c>
      <c r="F8116" s="8">
        <v>0</v>
      </c>
      <c r="G8116" s="8">
        <v>28</v>
      </c>
      <c r="H8116" s="8" t="s">
        <v>16552</v>
      </c>
      <c r="I8116" s="8">
        <v>526.5</v>
      </c>
      <c r="J8116" s="3">
        <f t="shared" si="126"/>
        <v>43748.07081798611</v>
      </c>
    </row>
    <row r="8117" spans="1:10" x14ac:dyDescent="0.25">
      <c r="A8117" s="5" t="s">
        <v>16553</v>
      </c>
      <c r="B8117" s="6">
        <v>393.75</v>
      </c>
      <c r="C8117" s="6">
        <v>20.478950000000001</v>
      </c>
      <c r="D8117" s="6">
        <v>93</v>
      </c>
      <c r="E8117" s="6">
        <v>0</v>
      </c>
      <c r="F8117" s="6">
        <v>0</v>
      </c>
      <c r="G8117" s="6">
        <v>28</v>
      </c>
      <c r="H8117" s="6" t="s">
        <v>16554</v>
      </c>
      <c r="I8117" s="6">
        <v>526.6875</v>
      </c>
      <c r="J8117" s="2">
        <f t="shared" si="126"/>
        <v>43748.07088929398</v>
      </c>
    </row>
    <row r="8118" spans="1:10" x14ac:dyDescent="0.25">
      <c r="A8118" s="7" t="s">
        <v>16555</v>
      </c>
      <c r="B8118" s="8">
        <v>393.75</v>
      </c>
      <c r="C8118" s="8">
        <v>20.478950000000001</v>
      </c>
      <c r="D8118" s="8">
        <v>93</v>
      </c>
      <c r="E8118" s="8">
        <v>0</v>
      </c>
      <c r="F8118" s="8">
        <v>0</v>
      </c>
      <c r="G8118" s="8">
        <v>20</v>
      </c>
      <c r="H8118" s="8" t="s">
        <v>16556</v>
      </c>
      <c r="I8118" s="8">
        <v>526.6875</v>
      </c>
      <c r="J8118" s="3">
        <f t="shared" si="126"/>
        <v>43748.070961331017</v>
      </c>
    </row>
    <row r="8119" spans="1:10" x14ac:dyDescent="0.25">
      <c r="A8119" s="5" t="s">
        <v>16557</v>
      </c>
      <c r="B8119" s="6">
        <v>393.75</v>
      </c>
      <c r="C8119" s="6">
        <v>20.478950000000001</v>
      </c>
      <c r="D8119" s="6">
        <v>93</v>
      </c>
      <c r="E8119" s="6">
        <v>0</v>
      </c>
      <c r="F8119" s="6">
        <v>0</v>
      </c>
      <c r="G8119" s="6">
        <v>23</v>
      </c>
      <c r="H8119" s="6" t="s">
        <v>16558</v>
      </c>
      <c r="I8119" s="6">
        <v>526.6875</v>
      </c>
      <c r="J8119" s="2">
        <f t="shared" si="126"/>
        <v>43748.07104476852</v>
      </c>
    </row>
    <row r="8120" spans="1:10" x14ac:dyDescent="0.25">
      <c r="A8120" s="7" t="s">
        <v>16559</v>
      </c>
      <c r="B8120" s="8">
        <v>393.75</v>
      </c>
      <c r="C8120" s="8">
        <v>20.478950000000001</v>
      </c>
      <c r="D8120" s="8">
        <v>93</v>
      </c>
      <c r="E8120" s="8">
        <v>0</v>
      </c>
      <c r="F8120" s="8">
        <v>0</v>
      </c>
      <c r="G8120" s="8">
        <v>30</v>
      </c>
      <c r="H8120" s="8" t="s">
        <v>16560</v>
      </c>
      <c r="I8120" s="8">
        <v>526.6875</v>
      </c>
      <c r="J8120" s="3">
        <f t="shared" si="126"/>
        <v>43748.071128171294</v>
      </c>
    </row>
    <row r="8121" spans="1:10" x14ac:dyDescent="0.25">
      <c r="A8121" s="5" t="s">
        <v>16561</v>
      </c>
      <c r="B8121" s="6">
        <v>412.5</v>
      </c>
      <c r="C8121" s="6">
        <v>20.478950000000001</v>
      </c>
      <c r="D8121" s="6">
        <v>92</v>
      </c>
      <c r="E8121" s="6">
        <v>0</v>
      </c>
      <c r="F8121" s="6">
        <v>0</v>
      </c>
      <c r="G8121" s="6">
        <v>23</v>
      </c>
      <c r="H8121" s="6" t="s">
        <v>16562</v>
      </c>
      <c r="I8121" s="6">
        <v>532.6875</v>
      </c>
      <c r="J8121" s="2">
        <f t="shared" si="126"/>
        <v>43748.071199467588</v>
      </c>
    </row>
    <row r="8122" spans="1:10" x14ac:dyDescent="0.25">
      <c r="A8122" s="7" t="s">
        <v>16563</v>
      </c>
      <c r="B8122" s="8">
        <v>396.875</v>
      </c>
      <c r="C8122" s="8">
        <v>20.478950000000001</v>
      </c>
      <c r="D8122" s="8">
        <v>92</v>
      </c>
      <c r="E8122" s="8">
        <v>0</v>
      </c>
      <c r="F8122" s="8">
        <v>0</v>
      </c>
      <c r="G8122" s="8">
        <v>23</v>
      </c>
      <c r="H8122" s="8" t="s">
        <v>16564</v>
      </c>
      <c r="I8122" s="8">
        <v>527.4375</v>
      </c>
      <c r="J8122" s="3">
        <f t="shared" si="126"/>
        <v>43748.071270752313</v>
      </c>
    </row>
    <row r="8123" spans="1:10" x14ac:dyDescent="0.25">
      <c r="A8123" s="5" t="s">
        <v>16565</v>
      </c>
      <c r="B8123" s="6">
        <v>396.875</v>
      </c>
      <c r="C8123" s="6">
        <v>20.478950000000001</v>
      </c>
      <c r="D8123" s="6">
        <v>93</v>
      </c>
      <c r="E8123" s="6">
        <v>0</v>
      </c>
      <c r="F8123" s="6">
        <v>0</v>
      </c>
      <c r="G8123" s="6">
        <v>21</v>
      </c>
      <c r="H8123" s="6" t="s">
        <v>16566</v>
      </c>
      <c r="I8123" s="6">
        <v>527.4375</v>
      </c>
      <c r="J8123" s="2">
        <f t="shared" si="126"/>
        <v>43748.071342986113</v>
      </c>
    </row>
    <row r="8124" spans="1:10" x14ac:dyDescent="0.25">
      <c r="A8124" s="7" t="s">
        <v>16567</v>
      </c>
      <c r="B8124" s="8">
        <v>396.875</v>
      </c>
      <c r="C8124" s="8">
        <v>20.478950000000001</v>
      </c>
      <c r="D8124" s="8">
        <v>94</v>
      </c>
      <c r="E8124" s="8">
        <v>0</v>
      </c>
      <c r="F8124" s="8">
        <v>0</v>
      </c>
      <c r="G8124" s="8">
        <v>27</v>
      </c>
      <c r="H8124" s="8" t="s">
        <v>16568</v>
      </c>
      <c r="I8124" s="8">
        <v>527.625</v>
      </c>
      <c r="J8124" s="3">
        <f t="shared" si="126"/>
        <v>43748.071426782401</v>
      </c>
    </row>
    <row r="8125" spans="1:10" x14ac:dyDescent="0.25">
      <c r="A8125" s="5" t="s">
        <v>16569</v>
      </c>
      <c r="B8125" s="6">
        <v>396.875</v>
      </c>
      <c r="C8125" s="6">
        <v>20.478950000000001</v>
      </c>
      <c r="D8125" s="6">
        <v>95</v>
      </c>
      <c r="E8125" s="6">
        <v>0</v>
      </c>
      <c r="F8125" s="6">
        <v>0</v>
      </c>
      <c r="G8125" s="6">
        <v>23</v>
      </c>
      <c r="H8125" s="6" t="s">
        <v>16570</v>
      </c>
      <c r="I8125" s="6">
        <v>527.4375</v>
      </c>
      <c r="J8125" s="2">
        <f t="shared" si="126"/>
        <v>43748.071509641202</v>
      </c>
    </row>
    <row r="8126" spans="1:10" x14ac:dyDescent="0.25">
      <c r="A8126" s="7" t="s">
        <v>16571</v>
      </c>
      <c r="B8126" s="8">
        <v>393.75</v>
      </c>
      <c r="C8126" s="8">
        <v>20.478950000000001</v>
      </c>
      <c r="D8126" s="8">
        <v>94</v>
      </c>
      <c r="E8126" s="8">
        <v>0</v>
      </c>
      <c r="F8126" s="8">
        <v>0</v>
      </c>
      <c r="G8126" s="8">
        <v>23</v>
      </c>
      <c r="H8126" s="8" t="s">
        <v>16572</v>
      </c>
      <c r="I8126" s="8">
        <v>526.6875</v>
      </c>
      <c r="J8126" s="3">
        <f t="shared" si="126"/>
        <v>43748.071580983793</v>
      </c>
    </row>
    <row r="8127" spans="1:10" x14ac:dyDescent="0.25">
      <c r="A8127" s="5" t="s">
        <v>16573</v>
      </c>
      <c r="B8127" s="6">
        <v>393.75</v>
      </c>
      <c r="C8127" s="6">
        <v>20.478950000000001</v>
      </c>
      <c r="D8127" s="6">
        <v>94</v>
      </c>
      <c r="E8127" s="6">
        <v>0</v>
      </c>
      <c r="F8127" s="6">
        <v>0</v>
      </c>
      <c r="G8127" s="6">
        <v>24</v>
      </c>
      <c r="H8127" s="6" t="s">
        <v>16574</v>
      </c>
      <c r="I8127" s="6">
        <v>526.5</v>
      </c>
      <c r="J8127" s="2">
        <f t="shared" si="126"/>
        <v>43748.071652997685</v>
      </c>
    </row>
    <row r="8128" spans="1:10" x14ac:dyDescent="0.25">
      <c r="A8128" s="7" t="s">
        <v>16575</v>
      </c>
      <c r="B8128" s="8">
        <v>412.5</v>
      </c>
      <c r="C8128" s="8">
        <v>20.478950000000001</v>
      </c>
      <c r="D8128" s="8">
        <v>94</v>
      </c>
      <c r="E8128" s="8">
        <v>0</v>
      </c>
      <c r="F8128" s="8">
        <v>0</v>
      </c>
      <c r="G8128" s="8">
        <v>26</v>
      </c>
      <c r="H8128" s="8" t="s">
        <v>16576</v>
      </c>
      <c r="I8128" s="8">
        <v>532.3125</v>
      </c>
      <c r="J8128" s="3">
        <f t="shared" si="126"/>
        <v>43748.071723587964</v>
      </c>
    </row>
    <row r="8129" spans="1:10" x14ac:dyDescent="0.25">
      <c r="A8129" s="5" t="s">
        <v>16577</v>
      </c>
      <c r="B8129" s="6">
        <v>393.75</v>
      </c>
      <c r="C8129" s="6">
        <v>20.478950000000001</v>
      </c>
      <c r="D8129" s="6">
        <v>94</v>
      </c>
      <c r="E8129" s="6">
        <v>0</v>
      </c>
      <c r="F8129" s="6">
        <v>0</v>
      </c>
      <c r="G8129" s="6">
        <v>26</v>
      </c>
      <c r="H8129" s="6" t="s">
        <v>16578</v>
      </c>
      <c r="I8129" s="6">
        <v>526.6875</v>
      </c>
      <c r="J8129" s="2">
        <f t="shared" si="126"/>
        <v>43748.071795763892</v>
      </c>
    </row>
    <row r="8130" spans="1:10" x14ac:dyDescent="0.25">
      <c r="A8130" s="7" t="s">
        <v>16579</v>
      </c>
      <c r="B8130" s="8">
        <v>393.75</v>
      </c>
      <c r="C8130" s="8">
        <v>20.478950000000001</v>
      </c>
      <c r="D8130" s="8">
        <v>93</v>
      </c>
      <c r="E8130" s="8">
        <v>0</v>
      </c>
      <c r="F8130" s="8">
        <v>0</v>
      </c>
      <c r="G8130" s="8">
        <v>22</v>
      </c>
      <c r="H8130" s="8" t="s">
        <v>16580</v>
      </c>
      <c r="I8130" s="8">
        <v>526.6875</v>
      </c>
      <c r="J8130" s="3">
        <f t="shared" ref="J8130:J8193" si="127">(H8130/86400000)+25569+(7/24)</f>
        <v>43748.071867002313</v>
      </c>
    </row>
    <row r="8131" spans="1:10" x14ac:dyDescent="0.25">
      <c r="A8131" s="5" t="s">
        <v>16581</v>
      </c>
      <c r="B8131" s="6">
        <v>393.75</v>
      </c>
      <c r="C8131" s="6">
        <v>20.478950000000001</v>
      </c>
      <c r="D8131" s="6">
        <v>93</v>
      </c>
      <c r="E8131" s="6">
        <v>0</v>
      </c>
      <c r="F8131" s="6">
        <v>0</v>
      </c>
      <c r="G8131" s="6">
        <v>28</v>
      </c>
      <c r="H8131" s="6" t="s">
        <v>16582</v>
      </c>
      <c r="I8131" s="6">
        <v>526.6875</v>
      </c>
      <c r="J8131" s="2">
        <f t="shared" si="127"/>
        <v>43748.071939085647</v>
      </c>
    </row>
    <row r="8132" spans="1:10" x14ac:dyDescent="0.25">
      <c r="A8132" s="7" t="s">
        <v>16583</v>
      </c>
      <c r="B8132" s="8">
        <v>393.75</v>
      </c>
      <c r="C8132" s="8">
        <v>20.478950000000001</v>
      </c>
      <c r="D8132" s="8">
        <v>94</v>
      </c>
      <c r="E8132" s="8">
        <v>0</v>
      </c>
      <c r="F8132" s="8">
        <v>0</v>
      </c>
      <c r="G8132" s="8">
        <v>21</v>
      </c>
      <c r="H8132" s="8" t="s">
        <v>16584</v>
      </c>
      <c r="I8132" s="8">
        <v>526.6875</v>
      </c>
      <c r="J8132" s="3">
        <f t="shared" si="127"/>
        <v>43748.072010578697</v>
      </c>
    </row>
    <row r="8133" spans="1:10" x14ac:dyDescent="0.25">
      <c r="A8133" s="5" t="s">
        <v>16585</v>
      </c>
      <c r="B8133" s="6">
        <v>393.75</v>
      </c>
      <c r="C8133" s="6">
        <v>20.478950000000001</v>
      </c>
      <c r="D8133" s="6">
        <v>94</v>
      </c>
      <c r="E8133" s="6">
        <v>0</v>
      </c>
      <c r="F8133" s="6">
        <v>0</v>
      </c>
      <c r="G8133" s="6">
        <v>27</v>
      </c>
      <c r="H8133" s="6" t="s">
        <v>16586</v>
      </c>
      <c r="I8133" s="6">
        <v>526.6875</v>
      </c>
      <c r="J8133" s="2">
        <f t="shared" si="127"/>
        <v>43748.072081701386</v>
      </c>
    </row>
    <row r="8134" spans="1:10" x14ac:dyDescent="0.25">
      <c r="A8134" s="7" t="s">
        <v>16587</v>
      </c>
      <c r="B8134" s="8">
        <v>393.75</v>
      </c>
      <c r="C8134" s="8">
        <v>20.478950000000001</v>
      </c>
      <c r="D8134" s="8">
        <v>93</v>
      </c>
      <c r="E8134" s="8">
        <v>0</v>
      </c>
      <c r="F8134" s="8">
        <v>0</v>
      </c>
      <c r="G8134" s="8">
        <v>17</v>
      </c>
      <c r="H8134" s="8" t="s">
        <v>16588</v>
      </c>
      <c r="I8134" s="8">
        <v>526.5</v>
      </c>
      <c r="J8134" s="3">
        <f t="shared" si="127"/>
        <v>43748.072153032401</v>
      </c>
    </row>
    <row r="8135" spans="1:10" x14ac:dyDescent="0.25">
      <c r="A8135" s="5" t="s">
        <v>16589</v>
      </c>
      <c r="B8135" s="6">
        <v>393.75</v>
      </c>
      <c r="C8135" s="6">
        <v>20.478950000000001</v>
      </c>
      <c r="D8135" s="6">
        <v>93</v>
      </c>
      <c r="E8135" s="6">
        <v>0</v>
      </c>
      <c r="F8135" s="6">
        <v>0</v>
      </c>
      <c r="G8135" s="6">
        <v>27</v>
      </c>
      <c r="H8135" s="6" t="s">
        <v>16590</v>
      </c>
      <c r="I8135" s="6">
        <v>526.5</v>
      </c>
      <c r="J8135" s="2">
        <f t="shared" si="127"/>
        <v>43748.072225370364</v>
      </c>
    </row>
    <row r="8136" spans="1:10" x14ac:dyDescent="0.25">
      <c r="A8136" s="7" t="s">
        <v>16591</v>
      </c>
      <c r="B8136" s="8">
        <v>393.75</v>
      </c>
      <c r="C8136" s="8">
        <v>20.478950000000001</v>
      </c>
      <c r="D8136" s="8">
        <v>92</v>
      </c>
      <c r="E8136" s="8">
        <v>0</v>
      </c>
      <c r="F8136" s="8">
        <v>0</v>
      </c>
      <c r="G8136" s="8">
        <v>25</v>
      </c>
      <c r="H8136" s="8" t="s">
        <v>16592</v>
      </c>
      <c r="I8136" s="8">
        <v>526.6875</v>
      </c>
      <c r="J8136" s="3">
        <f t="shared" si="127"/>
        <v>43748.07229668981</v>
      </c>
    </row>
    <row r="8137" spans="1:10" x14ac:dyDescent="0.25">
      <c r="A8137" s="5" t="s">
        <v>16593</v>
      </c>
      <c r="B8137" s="6">
        <v>393.75</v>
      </c>
      <c r="C8137" s="6">
        <v>20.478950000000001</v>
      </c>
      <c r="D8137" s="6">
        <v>92</v>
      </c>
      <c r="E8137" s="6">
        <v>0</v>
      </c>
      <c r="F8137" s="6">
        <v>0</v>
      </c>
      <c r="G8137" s="6">
        <v>15</v>
      </c>
      <c r="H8137" s="6" t="s">
        <v>16594</v>
      </c>
      <c r="I8137" s="6">
        <v>526.6875</v>
      </c>
      <c r="J8137" s="2">
        <f t="shared" si="127"/>
        <v>43748.072367986104</v>
      </c>
    </row>
    <row r="8138" spans="1:10" x14ac:dyDescent="0.25">
      <c r="A8138" s="7" t="s">
        <v>16595</v>
      </c>
      <c r="B8138" s="8">
        <v>393.75</v>
      </c>
      <c r="C8138" s="8">
        <v>20.478950000000001</v>
      </c>
      <c r="D8138" s="8">
        <v>91</v>
      </c>
      <c r="E8138" s="8">
        <v>0</v>
      </c>
      <c r="F8138" s="8">
        <v>0</v>
      </c>
      <c r="G8138" s="8">
        <v>24</v>
      </c>
      <c r="H8138" s="8" t="s">
        <v>16596</v>
      </c>
      <c r="I8138" s="8">
        <v>526.6875</v>
      </c>
      <c r="J8138" s="3">
        <f t="shared" si="127"/>
        <v>43748.07243925926</v>
      </c>
    </row>
    <row r="8139" spans="1:10" x14ac:dyDescent="0.25">
      <c r="A8139" s="5" t="s">
        <v>16597</v>
      </c>
      <c r="B8139" s="6">
        <v>393.75</v>
      </c>
      <c r="C8139" s="6">
        <v>20.478950000000001</v>
      </c>
      <c r="D8139" s="6">
        <v>91</v>
      </c>
      <c r="E8139" s="6">
        <v>0</v>
      </c>
      <c r="F8139" s="6">
        <v>0</v>
      </c>
      <c r="G8139" s="6">
        <v>24</v>
      </c>
      <c r="H8139" s="6" t="s">
        <v>16598</v>
      </c>
      <c r="I8139" s="6">
        <v>526.5</v>
      </c>
      <c r="J8139" s="2">
        <f t="shared" si="127"/>
        <v>43748.072534710642</v>
      </c>
    </row>
    <row r="8140" spans="1:10" x14ac:dyDescent="0.25">
      <c r="A8140" s="7" t="s">
        <v>16599</v>
      </c>
      <c r="B8140" s="8">
        <v>393.75</v>
      </c>
      <c r="C8140" s="8">
        <v>20.478950000000001</v>
      </c>
      <c r="D8140" s="8">
        <v>91</v>
      </c>
      <c r="E8140" s="8">
        <v>0</v>
      </c>
      <c r="F8140" s="8">
        <v>0</v>
      </c>
      <c r="G8140" s="8">
        <v>36</v>
      </c>
      <c r="H8140" s="8" t="s">
        <v>16600</v>
      </c>
      <c r="I8140" s="8">
        <v>526.6875</v>
      </c>
      <c r="J8140" s="3">
        <f t="shared" si="127"/>
        <v>43748.072630081013</v>
      </c>
    </row>
    <row r="8141" spans="1:10" x14ac:dyDescent="0.25">
      <c r="A8141" s="5" t="s">
        <v>16601</v>
      </c>
      <c r="B8141" s="6">
        <v>393.75</v>
      </c>
      <c r="C8141" s="6">
        <v>20.478950000000001</v>
      </c>
      <c r="D8141" s="6">
        <v>93</v>
      </c>
      <c r="E8141" s="6">
        <v>0</v>
      </c>
      <c r="F8141" s="6">
        <v>0</v>
      </c>
      <c r="G8141" s="6">
        <v>22</v>
      </c>
      <c r="H8141" s="6" t="s">
        <v>16602</v>
      </c>
      <c r="I8141" s="6">
        <v>526.6875</v>
      </c>
      <c r="J8141" s="2">
        <f t="shared" si="127"/>
        <v>43748.072701608799</v>
      </c>
    </row>
    <row r="8142" spans="1:10" x14ac:dyDescent="0.25">
      <c r="A8142" s="7" t="s">
        <v>16603</v>
      </c>
      <c r="B8142" s="8">
        <v>412.5</v>
      </c>
      <c r="C8142" s="8">
        <v>20.426300000000001</v>
      </c>
      <c r="D8142" s="8">
        <v>93</v>
      </c>
      <c r="E8142" s="8">
        <v>0</v>
      </c>
      <c r="F8142" s="8">
        <v>0</v>
      </c>
      <c r="G8142" s="8">
        <v>21</v>
      </c>
      <c r="H8142" s="8" t="s">
        <v>16604</v>
      </c>
      <c r="I8142" s="8">
        <v>532.125</v>
      </c>
      <c r="J8142" s="3">
        <f t="shared" si="127"/>
        <v>43748.072773553235</v>
      </c>
    </row>
    <row r="8143" spans="1:10" x14ac:dyDescent="0.25">
      <c r="A8143" s="5" t="s">
        <v>16605</v>
      </c>
      <c r="B8143" s="6">
        <v>393.75</v>
      </c>
      <c r="C8143" s="6">
        <v>20.478950000000001</v>
      </c>
      <c r="D8143" s="6">
        <v>93</v>
      </c>
      <c r="E8143" s="6">
        <v>0</v>
      </c>
      <c r="F8143" s="6">
        <v>0</v>
      </c>
      <c r="G8143" s="6">
        <v>33</v>
      </c>
      <c r="H8143" s="6" t="s">
        <v>16606</v>
      </c>
      <c r="I8143" s="6">
        <v>526.6875</v>
      </c>
      <c r="J8143" s="2">
        <f t="shared" si="127"/>
        <v>43748.072844849536</v>
      </c>
    </row>
    <row r="8144" spans="1:10" x14ac:dyDescent="0.25">
      <c r="A8144" s="7" t="s">
        <v>16607</v>
      </c>
      <c r="B8144" s="8">
        <v>393.75</v>
      </c>
      <c r="C8144" s="8">
        <v>20.478950000000001</v>
      </c>
      <c r="D8144" s="8">
        <v>90</v>
      </c>
      <c r="E8144" s="8">
        <v>0</v>
      </c>
      <c r="F8144" s="8">
        <v>0</v>
      </c>
      <c r="G8144" s="8">
        <v>24</v>
      </c>
      <c r="H8144" s="8" t="s">
        <v>16608</v>
      </c>
      <c r="I8144" s="8">
        <v>526.6875</v>
      </c>
      <c r="J8144" s="3">
        <f t="shared" si="127"/>
        <v>43748.072916874997</v>
      </c>
    </row>
    <row r="8145" spans="1:10" x14ac:dyDescent="0.25">
      <c r="A8145" s="5" t="s">
        <v>16609</v>
      </c>
      <c r="B8145" s="6">
        <v>393.75</v>
      </c>
      <c r="C8145" s="6">
        <v>20.478950000000001</v>
      </c>
      <c r="D8145" s="6">
        <v>90</v>
      </c>
      <c r="E8145" s="6">
        <v>0</v>
      </c>
      <c r="F8145" s="6">
        <v>0</v>
      </c>
      <c r="G8145" s="6">
        <v>21</v>
      </c>
      <c r="H8145" s="6" t="s">
        <v>16610</v>
      </c>
      <c r="I8145" s="6">
        <v>526.6875</v>
      </c>
      <c r="J8145" s="2">
        <f t="shared" si="127"/>
        <v>43748.072988356478</v>
      </c>
    </row>
    <row r="8146" spans="1:10" x14ac:dyDescent="0.25">
      <c r="A8146" s="7" t="s">
        <v>16611</v>
      </c>
      <c r="B8146" s="8">
        <v>393.75</v>
      </c>
      <c r="C8146" s="8">
        <v>20.478950000000001</v>
      </c>
      <c r="D8146" s="8">
        <v>95</v>
      </c>
      <c r="E8146" s="8">
        <v>0</v>
      </c>
      <c r="F8146" s="8">
        <v>0</v>
      </c>
      <c r="G8146" s="8">
        <v>19</v>
      </c>
      <c r="H8146" s="8" t="s">
        <v>16612</v>
      </c>
      <c r="I8146" s="8">
        <v>526.6875</v>
      </c>
      <c r="J8146" s="3">
        <f t="shared" si="127"/>
        <v>43748.073083749994</v>
      </c>
    </row>
    <row r="8147" spans="1:10" x14ac:dyDescent="0.25">
      <c r="A8147" s="5" t="s">
        <v>16613</v>
      </c>
      <c r="B8147" s="6">
        <v>393.75</v>
      </c>
      <c r="C8147" s="6">
        <v>20.478950000000001</v>
      </c>
      <c r="D8147" s="6">
        <v>96</v>
      </c>
      <c r="E8147" s="6">
        <v>0</v>
      </c>
      <c r="F8147" s="6">
        <v>0</v>
      </c>
      <c r="G8147" s="6">
        <v>28</v>
      </c>
      <c r="H8147" s="6" t="s">
        <v>16614</v>
      </c>
      <c r="I8147" s="6">
        <v>526.6875</v>
      </c>
      <c r="J8147" s="2">
        <f t="shared" si="127"/>
        <v>43748.073164166664</v>
      </c>
    </row>
    <row r="8148" spans="1:10" x14ac:dyDescent="0.25">
      <c r="A8148" s="7" t="s">
        <v>16615</v>
      </c>
      <c r="B8148" s="8">
        <v>415.625</v>
      </c>
      <c r="C8148" s="8">
        <v>20.478950000000001</v>
      </c>
      <c r="D8148" s="8">
        <v>95</v>
      </c>
      <c r="E8148" s="8">
        <v>0</v>
      </c>
      <c r="F8148" s="8">
        <v>0</v>
      </c>
      <c r="G8148" s="8">
        <v>31</v>
      </c>
      <c r="H8148" s="8" t="s">
        <v>16616</v>
      </c>
      <c r="I8148" s="8">
        <v>533.4375</v>
      </c>
      <c r="J8148" s="3">
        <f t="shared" si="127"/>
        <v>43748.073238368052</v>
      </c>
    </row>
    <row r="8149" spans="1:10" x14ac:dyDescent="0.25">
      <c r="A8149" s="5" t="s">
        <v>16617</v>
      </c>
      <c r="B8149" s="6">
        <v>393.75</v>
      </c>
      <c r="C8149" s="6">
        <v>20.478950000000001</v>
      </c>
      <c r="D8149" s="6">
        <v>94</v>
      </c>
      <c r="E8149" s="6">
        <v>0</v>
      </c>
      <c r="F8149" s="6">
        <v>0</v>
      </c>
      <c r="G8149" s="6">
        <v>31</v>
      </c>
      <c r="H8149" s="6" t="s">
        <v>16618</v>
      </c>
      <c r="I8149" s="6">
        <v>526.6875</v>
      </c>
      <c r="J8149" s="2">
        <f t="shared" si="127"/>
        <v>43748.073310416665</v>
      </c>
    </row>
    <row r="8150" spans="1:10" x14ac:dyDescent="0.25">
      <c r="A8150" s="7" t="s">
        <v>16619</v>
      </c>
      <c r="B8150" s="8">
        <v>393.75</v>
      </c>
      <c r="C8150" s="8">
        <v>20.426300000000001</v>
      </c>
      <c r="D8150" s="8">
        <v>94</v>
      </c>
      <c r="E8150" s="8">
        <v>0</v>
      </c>
      <c r="F8150" s="8">
        <v>0</v>
      </c>
      <c r="G8150" s="8">
        <v>22</v>
      </c>
      <c r="H8150" s="8" t="s">
        <v>16620</v>
      </c>
      <c r="I8150" s="8">
        <v>526.6875</v>
      </c>
      <c r="J8150" s="3">
        <f t="shared" si="127"/>
        <v>43748.073381643517</v>
      </c>
    </row>
    <row r="8151" spans="1:10" x14ac:dyDescent="0.25">
      <c r="A8151" s="5" t="s">
        <v>16621</v>
      </c>
      <c r="B8151" s="6">
        <v>393.75</v>
      </c>
      <c r="C8151" s="6">
        <v>20.478950000000001</v>
      </c>
      <c r="D8151" s="6">
        <v>93</v>
      </c>
      <c r="E8151" s="6">
        <v>0</v>
      </c>
      <c r="F8151" s="6">
        <v>0</v>
      </c>
      <c r="G8151" s="6">
        <v>30</v>
      </c>
      <c r="H8151" s="6" t="s">
        <v>16622</v>
      </c>
      <c r="I8151" s="6">
        <v>526.5</v>
      </c>
      <c r="J8151" s="2">
        <f t="shared" si="127"/>
        <v>43748.073465231479</v>
      </c>
    </row>
    <row r="8152" spans="1:10" x14ac:dyDescent="0.25">
      <c r="A8152" s="7" t="s">
        <v>16623</v>
      </c>
      <c r="B8152" s="8">
        <v>393.75</v>
      </c>
      <c r="C8152" s="8">
        <v>20.478950000000001</v>
      </c>
      <c r="D8152" s="8">
        <v>92</v>
      </c>
      <c r="E8152" s="8">
        <v>0</v>
      </c>
      <c r="F8152" s="8">
        <v>0</v>
      </c>
      <c r="G8152" s="8">
        <v>28</v>
      </c>
      <c r="H8152" s="8" t="s">
        <v>16624</v>
      </c>
      <c r="I8152" s="8">
        <v>526.6875</v>
      </c>
      <c r="J8152" s="3">
        <f t="shared" si="127"/>
        <v>43748.073544629624</v>
      </c>
    </row>
    <row r="8153" spans="1:10" x14ac:dyDescent="0.25">
      <c r="A8153" s="5" t="s">
        <v>16625</v>
      </c>
      <c r="B8153" s="6">
        <v>393.75</v>
      </c>
      <c r="C8153" s="6">
        <v>20.478950000000001</v>
      </c>
      <c r="D8153" s="6">
        <v>93</v>
      </c>
      <c r="E8153" s="6">
        <v>0</v>
      </c>
      <c r="F8153" s="6">
        <v>0</v>
      </c>
      <c r="G8153" s="6">
        <v>21</v>
      </c>
      <c r="H8153" s="6" t="s">
        <v>16626</v>
      </c>
      <c r="I8153" s="6">
        <v>526.6875</v>
      </c>
      <c r="J8153" s="2">
        <f t="shared" si="127"/>
        <v>43748.073619872688</v>
      </c>
    </row>
    <row r="8154" spans="1:10" x14ac:dyDescent="0.25">
      <c r="A8154" s="7" t="s">
        <v>16627</v>
      </c>
      <c r="B8154" s="8">
        <v>393.75</v>
      </c>
      <c r="C8154" s="8">
        <v>20.478950000000001</v>
      </c>
      <c r="D8154" s="8">
        <v>93</v>
      </c>
      <c r="E8154" s="8">
        <v>0</v>
      </c>
      <c r="F8154" s="8">
        <v>0</v>
      </c>
      <c r="G8154" s="8">
        <v>19</v>
      </c>
      <c r="H8154" s="8" t="s">
        <v>16628</v>
      </c>
      <c r="I8154" s="8">
        <v>526.5</v>
      </c>
      <c r="J8154" s="3">
        <f t="shared" si="127"/>
        <v>43748.073698032407</v>
      </c>
    </row>
    <row r="8155" spans="1:10" x14ac:dyDescent="0.25">
      <c r="A8155" s="5" t="s">
        <v>16629</v>
      </c>
      <c r="B8155" s="6">
        <v>396.875</v>
      </c>
      <c r="C8155" s="6">
        <v>20.478950000000001</v>
      </c>
      <c r="D8155" s="6">
        <v>87</v>
      </c>
      <c r="E8155" s="6">
        <v>0</v>
      </c>
      <c r="F8155" s="6">
        <v>0</v>
      </c>
      <c r="G8155" s="6">
        <v>20</v>
      </c>
      <c r="H8155" s="6" t="s">
        <v>16630</v>
      </c>
      <c r="I8155" s="6">
        <v>527.4375</v>
      </c>
      <c r="J8155" s="2">
        <f t="shared" si="127"/>
        <v>43748.073775393517</v>
      </c>
    </row>
    <row r="8156" spans="1:10" x14ac:dyDescent="0.25">
      <c r="A8156" s="7" t="s">
        <v>16631</v>
      </c>
      <c r="B8156" s="8">
        <v>396.875</v>
      </c>
      <c r="C8156" s="8">
        <v>20.478950000000001</v>
      </c>
      <c r="D8156" s="8">
        <v>85</v>
      </c>
      <c r="E8156" s="8">
        <v>0</v>
      </c>
      <c r="F8156" s="8">
        <v>0</v>
      </c>
      <c r="G8156" s="8">
        <v>32</v>
      </c>
      <c r="H8156" s="8" t="s">
        <v>16632</v>
      </c>
      <c r="I8156" s="8">
        <v>527.4375</v>
      </c>
      <c r="J8156" s="3">
        <f t="shared" si="127"/>
        <v>43748.07385872685</v>
      </c>
    </row>
    <row r="8157" spans="1:10" x14ac:dyDescent="0.25">
      <c r="A8157" s="5" t="s">
        <v>16633</v>
      </c>
      <c r="B8157" s="6">
        <v>440.625</v>
      </c>
      <c r="C8157" s="6">
        <v>20.478950000000001</v>
      </c>
      <c r="D8157" s="6">
        <v>86</v>
      </c>
      <c r="E8157" s="6">
        <v>0</v>
      </c>
      <c r="F8157" s="6">
        <v>0</v>
      </c>
      <c r="G8157" s="6">
        <v>21</v>
      </c>
      <c r="H8157" s="6" t="s">
        <v>16634</v>
      </c>
      <c r="I8157" s="6">
        <v>541.875</v>
      </c>
      <c r="J8157" s="2">
        <f t="shared" si="127"/>
        <v>43748.073942048613</v>
      </c>
    </row>
    <row r="8158" spans="1:10" x14ac:dyDescent="0.25">
      <c r="A8158" s="7" t="s">
        <v>16635</v>
      </c>
      <c r="B8158" s="8">
        <v>396.875</v>
      </c>
      <c r="C8158" s="8">
        <v>20.478950000000001</v>
      </c>
      <c r="D8158" s="8">
        <v>89</v>
      </c>
      <c r="E8158" s="8">
        <v>0</v>
      </c>
      <c r="F8158" s="8">
        <v>0</v>
      </c>
      <c r="G8158" s="8">
        <v>20</v>
      </c>
      <c r="H8158" s="8" t="s">
        <v>16636</v>
      </c>
      <c r="I8158" s="8">
        <v>527.4375</v>
      </c>
      <c r="J8158" s="3">
        <f t="shared" si="127"/>
        <v>43748.074013356476</v>
      </c>
    </row>
    <row r="8159" spans="1:10" x14ac:dyDescent="0.25">
      <c r="A8159" s="5" t="s">
        <v>16637</v>
      </c>
      <c r="B8159" s="6">
        <v>396.875</v>
      </c>
      <c r="C8159" s="6">
        <v>20.478950000000001</v>
      </c>
      <c r="D8159" s="6">
        <v>89</v>
      </c>
      <c r="E8159" s="6">
        <v>0</v>
      </c>
      <c r="F8159" s="6">
        <v>0</v>
      </c>
      <c r="G8159" s="6">
        <v>22</v>
      </c>
      <c r="H8159" s="6" t="s">
        <v>16638</v>
      </c>
      <c r="I8159" s="6">
        <v>527.4375</v>
      </c>
      <c r="J8159" s="2">
        <f t="shared" si="127"/>
        <v>43748.074085578701</v>
      </c>
    </row>
    <row r="8160" spans="1:10" x14ac:dyDescent="0.25">
      <c r="A8160" s="7" t="s">
        <v>16639</v>
      </c>
      <c r="B8160" s="8">
        <v>396.875</v>
      </c>
      <c r="C8160" s="8">
        <v>20.478950000000001</v>
      </c>
      <c r="D8160" s="8">
        <v>88</v>
      </c>
      <c r="E8160" s="8">
        <v>0</v>
      </c>
      <c r="F8160" s="8">
        <v>0</v>
      </c>
      <c r="G8160" s="8">
        <v>17</v>
      </c>
      <c r="H8160" s="8" t="s">
        <v>16640</v>
      </c>
      <c r="I8160" s="8">
        <v>527.4375</v>
      </c>
      <c r="J8160" s="3">
        <f t="shared" si="127"/>
        <v>43748.074168923609</v>
      </c>
    </row>
    <row r="8161" spans="1:10" x14ac:dyDescent="0.25">
      <c r="A8161" s="5" t="s">
        <v>16641</v>
      </c>
      <c r="B8161" s="6">
        <v>393.75</v>
      </c>
      <c r="C8161" s="6">
        <v>20.478950000000001</v>
      </c>
      <c r="D8161" s="6">
        <v>88</v>
      </c>
      <c r="E8161" s="6">
        <v>0</v>
      </c>
      <c r="F8161" s="6">
        <v>0</v>
      </c>
      <c r="G8161" s="6">
        <v>30</v>
      </c>
      <c r="H8161" s="6" t="s">
        <v>16642</v>
      </c>
      <c r="I8161" s="6">
        <v>526.6875</v>
      </c>
      <c r="J8161" s="2">
        <f t="shared" si="127"/>
        <v>43748.074240208334</v>
      </c>
    </row>
    <row r="8162" spans="1:10" x14ac:dyDescent="0.25">
      <c r="A8162" s="7" t="s">
        <v>16643</v>
      </c>
      <c r="B8162" s="8">
        <v>393.75</v>
      </c>
      <c r="C8162" s="8">
        <v>20.478950000000001</v>
      </c>
      <c r="D8162" s="8">
        <v>87</v>
      </c>
      <c r="E8162" s="8">
        <v>0</v>
      </c>
      <c r="F8162" s="8">
        <v>0</v>
      </c>
      <c r="G8162" s="8">
        <v>26</v>
      </c>
      <c r="H8162" s="8" t="s">
        <v>16644</v>
      </c>
      <c r="I8162" s="8">
        <v>526.6875</v>
      </c>
      <c r="J8162" s="3">
        <f t="shared" si="127"/>
        <v>43748.074311516197</v>
      </c>
    </row>
    <row r="8163" spans="1:10" x14ac:dyDescent="0.25">
      <c r="A8163" s="5" t="s">
        <v>16645</v>
      </c>
      <c r="B8163" s="6">
        <v>393.75</v>
      </c>
      <c r="C8163" s="6">
        <v>20.478950000000001</v>
      </c>
      <c r="D8163" s="6">
        <v>87</v>
      </c>
      <c r="E8163" s="6">
        <v>0</v>
      </c>
      <c r="F8163" s="6">
        <v>0</v>
      </c>
      <c r="G8163" s="6">
        <v>21</v>
      </c>
      <c r="H8163" s="6" t="s">
        <v>16646</v>
      </c>
      <c r="I8163" s="6">
        <v>526.6875</v>
      </c>
      <c r="J8163" s="2">
        <f t="shared" si="127"/>
        <v>43748.07438366898</v>
      </c>
    </row>
    <row r="8164" spans="1:10" x14ac:dyDescent="0.25">
      <c r="A8164" s="7" t="s">
        <v>16647</v>
      </c>
      <c r="B8164" s="8">
        <v>437.5</v>
      </c>
      <c r="C8164" s="8">
        <v>20.478950000000001</v>
      </c>
      <c r="D8164" s="8">
        <v>87</v>
      </c>
      <c r="E8164" s="8">
        <v>0</v>
      </c>
      <c r="F8164" s="8">
        <v>0</v>
      </c>
      <c r="G8164" s="8">
        <v>31</v>
      </c>
      <c r="H8164" s="8" t="s">
        <v>16648</v>
      </c>
      <c r="I8164" s="8">
        <v>540.9375</v>
      </c>
      <c r="J8164" s="3">
        <f t="shared" si="127"/>
        <v>43748.074455023147</v>
      </c>
    </row>
    <row r="8165" spans="1:10" x14ac:dyDescent="0.25">
      <c r="A8165" s="5" t="s">
        <v>16649</v>
      </c>
      <c r="B8165" s="6">
        <v>393.75</v>
      </c>
      <c r="C8165" s="6">
        <v>20.478950000000001</v>
      </c>
      <c r="D8165" s="6">
        <v>87</v>
      </c>
      <c r="E8165" s="6">
        <v>0</v>
      </c>
      <c r="F8165" s="6">
        <v>0</v>
      </c>
      <c r="G8165" s="6">
        <v>21</v>
      </c>
      <c r="H8165" s="6" t="s">
        <v>16650</v>
      </c>
      <c r="I8165" s="6">
        <v>526.6875</v>
      </c>
      <c r="J8165" s="2">
        <f t="shared" si="127"/>
        <v>43748.074526307864</v>
      </c>
    </row>
    <row r="8166" spans="1:10" x14ac:dyDescent="0.25">
      <c r="A8166" s="7" t="s">
        <v>16651</v>
      </c>
      <c r="B8166" s="8">
        <v>393.75</v>
      </c>
      <c r="C8166" s="8">
        <v>20.478950000000001</v>
      </c>
      <c r="D8166" s="8">
        <v>87</v>
      </c>
      <c r="E8166" s="8">
        <v>0</v>
      </c>
      <c r="F8166" s="8">
        <v>0</v>
      </c>
      <c r="G8166" s="8">
        <v>34</v>
      </c>
      <c r="H8166" s="8" t="s">
        <v>16652</v>
      </c>
      <c r="I8166" s="8">
        <v>526.6875</v>
      </c>
      <c r="J8166" s="3">
        <f t="shared" si="127"/>
        <v>43748.074597673607</v>
      </c>
    </row>
    <row r="8167" spans="1:10" x14ac:dyDescent="0.25">
      <c r="A8167" s="5" t="s">
        <v>16653</v>
      </c>
      <c r="B8167" s="6">
        <v>393.75</v>
      </c>
      <c r="C8167" s="6">
        <v>20.426300000000001</v>
      </c>
      <c r="D8167" s="6">
        <v>87</v>
      </c>
      <c r="E8167" s="6">
        <v>0</v>
      </c>
      <c r="F8167" s="6">
        <v>0</v>
      </c>
      <c r="G8167" s="6">
        <v>27</v>
      </c>
      <c r="H8167" s="6" t="s">
        <v>16654</v>
      </c>
      <c r="I8167" s="6">
        <v>526.6875</v>
      </c>
      <c r="J8167" s="2">
        <f t="shared" si="127"/>
        <v>43748.074669837959</v>
      </c>
    </row>
    <row r="8168" spans="1:10" x14ac:dyDescent="0.25">
      <c r="A8168" s="7" t="s">
        <v>16655</v>
      </c>
      <c r="B8168" s="8">
        <v>393.75</v>
      </c>
      <c r="C8168" s="8">
        <v>20.478950000000001</v>
      </c>
      <c r="D8168" s="8">
        <v>88</v>
      </c>
      <c r="E8168" s="8">
        <v>0</v>
      </c>
      <c r="F8168" s="8">
        <v>0</v>
      </c>
      <c r="G8168" s="8">
        <v>27</v>
      </c>
      <c r="H8168" s="8" t="s">
        <v>16656</v>
      </c>
      <c r="I8168" s="8">
        <v>526.6875</v>
      </c>
      <c r="J8168" s="3">
        <f t="shared" si="127"/>
        <v>43748.074741076387</v>
      </c>
    </row>
    <row r="8169" spans="1:10" x14ac:dyDescent="0.25">
      <c r="A8169" s="5" t="s">
        <v>16657</v>
      </c>
      <c r="B8169" s="6">
        <v>393.75</v>
      </c>
      <c r="C8169" s="6">
        <v>20.478950000000001</v>
      </c>
      <c r="D8169" s="6">
        <v>88</v>
      </c>
      <c r="E8169" s="6">
        <v>0</v>
      </c>
      <c r="F8169" s="6">
        <v>0</v>
      </c>
      <c r="G8169" s="6">
        <v>27</v>
      </c>
      <c r="H8169" s="6" t="s">
        <v>16658</v>
      </c>
      <c r="I8169" s="6">
        <v>526.5</v>
      </c>
      <c r="J8169" s="2">
        <f t="shared" si="127"/>
        <v>43748.074812465275</v>
      </c>
    </row>
    <row r="8170" spans="1:10" x14ac:dyDescent="0.25">
      <c r="A8170" s="7" t="s">
        <v>16659</v>
      </c>
      <c r="B8170" s="8">
        <v>393.75</v>
      </c>
      <c r="C8170" s="8">
        <v>20.478950000000001</v>
      </c>
      <c r="D8170" s="8">
        <v>88</v>
      </c>
      <c r="E8170" s="8">
        <v>0</v>
      </c>
      <c r="F8170" s="8">
        <v>0</v>
      </c>
      <c r="G8170" s="8">
        <v>15</v>
      </c>
      <c r="H8170" s="8" t="s">
        <v>16660</v>
      </c>
      <c r="I8170" s="8">
        <v>526.5</v>
      </c>
      <c r="J8170" s="3">
        <f t="shared" si="127"/>
        <v>43748.074883854169</v>
      </c>
    </row>
    <row r="8171" spans="1:10" x14ac:dyDescent="0.25">
      <c r="A8171" s="5" t="s">
        <v>16661</v>
      </c>
      <c r="B8171" s="6">
        <v>393.75</v>
      </c>
      <c r="C8171" s="6">
        <v>20.478950000000001</v>
      </c>
      <c r="D8171" s="6">
        <v>88</v>
      </c>
      <c r="E8171" s="6">
        <v>0</v>
      </c>
      <c r="F8171" s="6">
        <v>0</v>
      </c>
      <c r="G8171" s="6">
        <v>23</v>
      </c>
      <c r="H8171" s="6" t="s">
        <v>16662</v>
      </c>
      <c r="I8171" s="6">
        <v>526.6875</v>
      </c>
      <c r="J8171" s="2">
        <f t="shared" si="127"/>
        <v>43748.074968055553</v>
      </c>
    </row>
    <row r="8172" spans="1:10" x14ac:dyDescent="0.25">
      <c r="A8172" s="7" t="s">
        <v>16663</v>
      </c>
      <c r="B8172" s="8">
        <v>412.5</v>
      </c>
      <c r="C8172" s="8">
        <v>20.478950000000001</v>
      </c>
      <c r="D8172" s="8">
        <v>88</v>
      </c>
      <c r="E8172" s="8">
        <v>0</v>
      </c>
      <c r="F8172" s="8">
        <v>0</v>
      </c>
      <c r="G8172" s="8">
        <v>26</v>
      </c>
      <c r="H8172" s="8" t="s">
        <v>16664</v>
      </c>
      <c r="I8172" s="8">
        <v>532.5</v>
      </c>
      <c r="J8172" s="3">
        <f t="shared" si="127"/>
        <v>43748.075043136567</v>
      </c>
    </row>
    <row r="8173" spans="1:10" x14ac:dyDescent="0.25">
      <c r="A8173" s="5" t="s">
        <v>16665</v>
      </c>
      <c r="B8173" s="6">
        <v>393.75</v>
      </c>
      <c r="C8173" s="6">
        <v>20.478950000000001</v>
      </c>
      <c r="D8173" s="6">
        <v>88</v>
      </c>
      <c r="E8173" s="6">
        <v>0</v>
      </c>
      <c r="F8173" s="6">
        <v>0</v>
      </c>
      <c r="G8173" s="6">
        <v>21</v>
      </c>
      <c r="H8173" s="6" t="s">
        <v>16666</v>
      </c>
      <c r="I8173" s="6">
        <v>526.6875</v>
      </c>
      <c r="J8173" s="2">
        <f t="shared" si="127"/>
        <v>43748.075135833329</v>
      </c>
    </row>
    <row r="8174" spans="1:10" x14ac:dyDescent="0.25">
      <c r="A8174" s="7" t="s">
        <v>16667</v>
      </c>
      <c r="B8174" s="8">
        <v>393.75</v>
      </c>
      <c r="C8174" s="8">
        <v>20.478950000000001</v>
      </c>
      <c r="D8174" s="8">
        <v>86</v>
      </c>
      <c r="E8174" s="8">
        <v>0</v>
      </c>
      <c r="F8174" s="8">
        <v>0</v>
      </c>
      <c r="G8174" s="8">
        <v>24</v>
      </c>
      <c r="H8174" s="8" t="s">
        <v>16668</v>
      </c>
      <c r="I8174" s="8">
        <v>526.6875</v>
      </c>
      <c r="J8174" s="3">
        <f t="shared" si="127"/>
        <v>43748.07521797454</v>
      </c>
    </row>
    <row r="8175" spans="1:10" x14ac:dyDescent="0.25">
      <c r="A8175" s="5" t="s">
        <v>16669</v>
      </c>
      <c r="B8175" s="6">
        <v>393.75</v>
      </c>
      <c r="C8175" s="6">
        <v>20.478950000000001</v>
      </c>
      <c r="D8175" s="6">
        <v>85</v>
      </c>
      <c r="E8175" s="6">
        <v>0</v>
      </c>
      <c r="F8175" s="6">
        <v>0</v>
      </c>
      <c r="G8175" s="6">
        <v>21</v>
      </c>
      <c r="H8175" s="6" t="s">
        <v>16670</v>
      </c>
      <c r="I8175" s="6">
        <v>526.6875</v>
      </c>
      <c r="J8175" s="2">
        <f t="shared" si="127"/>
        <v>43748.075289282402</v>
      </c>
    </row>
    <row r="8176" spans="1:10" x14ac:dyDescent="0.25">
      <c r="A8176" s="7" t="s">
        <v>16671</v>
      </c>
      <c r="B8176" s="8">
        <v>393.75</v>
      </c>
      <c r="C8176" s="8">
        <v>20.478950000000001</v>
      </c>
      <c r="D8176" s="8">
        <v>85</v>
      </c>
      <c r="E8176" s="8">
        <v>0</v>
      </c>
      <c r="F8176" s="8">
        <v>0</v>
      </c>
      <c r="G8176" s="8">
        <v>25</v>
      </c>
      <c r="H8176" s="8" t="s">
        <v>16672</v>
      </c>
      <c r="I8176" s="8">
        <v>526.5</v>
      </c>
      <c r="J8176" s="3">
        <f t="shared" si="127"/>
        <v>43748.075361504627</v>
      </c>
    </row>
    <row r="8177" spans="1:10" x14ac:dyDescent="0.25">
      <c r="A8177" s="5" t="s">
        <v>16673</v>
      </c>
      <c r="B8177" s="6">
        <v>393.75</v>
      </c>
      <c r="C8177" s="6">
        <v>20.478950000000001</v>
      </c>
      <c r="D8177" s="6">
        <v>88</v>
      </c>
      <c r="E8177" s="6">
        <v>0</v>
      </c>
      <c r="F8177" s="6">
        <v>0</v>
      </c>
      <c r="G8177" s="6">
        <v>26</v>
      </c>
      <c r="H8177" s="6" t="s">
        <v>16674</v>
      </c>
      <c r="I8177" s="6">
        <v>526.5</v>
      </c>
      <c r="J8177" s="2">
        <f t="shared" si="127"/>
        <v>43748.075432800928</v>
      </c>
    </row>
    <row r="8178" spans="1:10" x14ac:dyDescent="0.25">
      <c r="A8178" s="7" t="s">
        <v>16675</v>
      </c>
      <c r="B8178" s="8">
        <v>415.625</v>
      </c>
      <c r="C8178" s="8">
        <v>20.478950000000001</v>
      </c>
      <c r="D8178" s="8">
        <v>89</v>
      </c>
      <c r="E8178" s="8">
        <v>0</v>
      </c>
      <c r="F8178" s="8">
        <v>0</v>
      </c>
      <c r="G8178" s="8">
        <v>24</v>
      </c>
      <c r="H8178" s="8" t="s">
        <v>16676</v>
      </c>
      <c r="I8178" s="8">
        <v>533.0625</v>
      </c>
      <c r="J8178" s="3">
        <f t="shared" si="127"/>
        <v>43748.075516122684</v>
      </c>
    </row>
    <row r="8179" spans="1:10" x14ac:dyDescent="0.25">
      <c r="A8179" s="5" t="s">
        <v>16677</v>
      </c>
      <c r="B8179" s="6">
        <v>400</v>
      </c>
      <c r="C8179" s="6">
        <v>20.478950000000001</v>
      </c>
      <c r="D8179" s="6">
        <v>89</v>
      </c>
      <c r="E8179" s="6">
        <v>0</v>
      </c>
      <c r="F8179" s="6">
        <v>0</v>
      </c>
      <c r="G8179" s="6">
        <v>24</v>
      </c>
      <c r="H8179" s="6" t="s">
        <v>16678</v>
      </c>
      <c r="I8179" s="6">
        <v>528.1875</v>
      </c>
      <c r="J8179" s="2">
        <f t="shared" si="127"/>
        <v>43748.075611493048</v>
      </c>
    </row>
    <row r="8180" spans="1:10" x14ac:dyDescent="0.25">
      <c r="A8180" s="7" t="s">
        <v>16679</v>
      </c>
      <c r="B8180" s="8">
        <v>400</v>
      </c>
      <c r="C8180" s="8">
        <v>20.478950000000001</v>
      </c>
      <c r="D8180" s="8">
        <v>89</v>
      </c>
      <c r="E8180" s="8">
        <v>0</v>
      </c>
      <c r="F8180" s="8">
        <v>0</v>
      </c>
      <c r="G8180" s="8">
        <v>22</v>
      </c>
      <c r="H8180" s="8" t="s">
        <v>16680</v>
      </c>
      <c r="I8180" s="8">
        <v>528.1875</v>
      </c>
      <c r="J8180" s="3">
        <f t="shared" si="127"/>
        <v>43748.075682812494</v>
      </c>
    </row>
    <row r="8181" spans="1:10" x14ac:dyDescent="0.25">
      <c r="A8181" s="5" t="s">
        <v>16681</v>
      </c>
      <c r="B8181" s="6">
        <v>403.125</v>
      </c>
      <c r="C8181" s="6">
        <v>20.478950000000001</v>
      </c>
      <c r="D8181" s="6">
        <v>89</v>
      </c>
      <c r="E8181" s="6">
        <v>0</v>
      </c>
      <c r="F8181" s="6">
        <v>0</v>
      </c>
      <c r="G8181" s="6">
        <v>27</v>
      </c>
      <c r="H8181" s="6" t="s">
        <v>16682</v>
      </c>
      <c r="I8181" s="6">
        <v>529.125</v>
      </c>
      <c r="J8181" s="2">
        <f t="shared" si="127"/>
        <v>43748.075754976853</v>
      </c>
    </row>
    <row r="8182" spans="1:10" x14ac:dyDescent="0.25">
      <c r="A8182" s="7" t="s">
        <v>16683</v>
      </c>
      <c r="B8182" s="8">
        <v>400</v>
      </c>
      <c r="C8182" s="8">
        <v>20.478950000000001</v>
      </c>
      <c r="D8182" s="8">
        <v>90</v>
      </c>
      <c r="E8182" s="8">
        <v>0</v>
      </c>
      <c r="F8182" s="8">
        <v>0</v>
      </c>
      <c r="G8182" s="8">
        <v>30</v>
      </c>
      <c r="H8182" s="8" t="s">
        <v>16684</v>
      </c>
      <c r="I8182" s="8">
        <v>528.9375</v>
      </c>
      <c r="J8182" s="3">
        <f t="shared" si="127"/>
        <v>43748.07582633102</v>
      </c>
    </row>
    <row r="8183" spans="1:10" x14ac:dyDescent="0.25">
      <c r="A8183" s="5" t="s">
        <v>16685</v>
      </c>
      <c r="B8183" s="6">
        <v>403.125</v>
      </c>
      <c r="C8183" s="6">
        <v>20.478950000000001</v>
      </c>
      <c r="D8183" s="6">
        <v>90</v>
      </c>
      <c r="E8183" s="6">
        <v>0</v>
      </c>
      <c r="F8183" s="6">
        <v>0</v>
      </c>
      <c r="G8183" s="6">
        <v>29</v>
      </c>
      <c r="H8183" s="6" t="s">
        <v>16686</v>
      </c>
      <c r="I8183" s="6">
        <v>529.875</v>
      </c>
      <c r="J8183" s="2">
        <f t="shared" si="127"/>
        <v>43748.075897615738</v>
      </c>
    </row>
    <row r="8184" spans="1:10" x14ac:dyDescent="0.25">
      <c r="A8184" s="7" t="s">
        <v>16687</v>
      </c>
      <c r="B8184" s="8">
        <v>425</v>
      </c>
      <c r="C8184" s="8">
        <v>20.478950000000001</v>
      </c>
      <c r="D8184" s="8">
        <v>91</v>
      </c>
      <c r="E8184" s="8">
        <v>0</v>
      </c>
      <c r="F8184" s="8">
        <v>0</v>
      </c>
      <c r="G8184" s="8">
        <v>23</v>
      </c>
      <c r="H8184" s="8" t="s">
        <v>16688</v>
      </c>
      <c r="I8184" s="8">
        <v>536.625</v>
      </c>
      <c r="J8184" s="3">
        <f t="shared" si="127"/>
        <v>43748.075968900455</v>
      </c>
    </row>
    <row r="8185" spans="1:10" x14ac:dyDescent="0.25">
      <c r="A8185" s="5" t="s">
        <v>16689</v>
      </c>
      <c r="B8185" s="6">
        <v>406.25</v>
      </c>
      <c r="C8185" s="6">
        <v>20.478950000000001</v>
      </c>
      <c r="D8185" s="6">
        <v>91</v>
      </c>
      <c r="E8185" s="6">
        <v>0</v>
      </c>
      <c r="F8185" s="6">
        <v>0</v>
      </c>
      <c r="G8185" s="6">
        <v>29</v>
      </c>
      <c r="H8185" s="6" t="s">
        <v>16690</v>
      </c>
      <c r="I8185" s="6">
        <v>530.8125</v>
      </c>
      <c r="J8185" s="2">
        <f t="shared" si="127"/>
        <v>43748.076041145832</v>
      </c>
    </row>
    <row r="8186" spans="1:10" x14ac:dyDescent="0.25">
      <c r="A8186" s="7" t="s">
        <v>16691</v>
      </c>
      <c r="B8186" s="8">
        <v>406.25</v>
      </c>
      <c r="C8186" s="8">
        <v>20.478950000000001</v>
      </c>
      <c r="D8186" s="8">
        <v>92</v>
      </c>
      <c r="E8186" s="8">
        <v>0</v>
      </c>
      <c r="F8186" s="8">
        <v>0</v>
      </c>
      <c r="G8186" s="8">
        <v>24</v>
      </c>
      <c r="H8186" s="8" t="s">
        <v>16692</v>
      </c>
      <c r="I8186" s="8">
        <v>530.8125</v>
      </c>
      <c r="J8186" s="3">
        <f t="shared" si="127"/>
        <v>43748.07611243055</v>
      </c>
    </row>
    <row r="8187" spans="1:10" x14ac:dyDescent="0.25">
      <c r="A8187" s="5" t="s">
        <v>16693</v>
      </c>
      <c r="B8187" s="6">
        <v>406.25</v>
      </c>
      <c r="C8187" s="6">
        <v>20.478950000000001</v>
      </c>
      <c r="D8187" s="6">
        <v>92</v>
      </c>
      <c r="E8187" s="6">
        <v>0</v>
      </c>
      <c r="F8187" s="6">
        <v>0</v>
      </c>
      <c r="G8187" s="6">
        <v>21</v>
      </c>
      <c r="H8187" s="6" t="s">
        <v>16694</v>
      </c>
      <c r="I8187" s="6">
        <v>530.625</v>
      </c>
      <c r="J8187" s="2">
        <f t="shared" si="127"/>
        <v>43748.076183715275</v>
      </c>
    </row>
    <row r="8188" spans="1:10" x14ac:dyDescent="0.25">
      <c r="A8188" s="7" t="s">
        <v>16695</v>
      </c>
      <c r="B8188" s="8">
        <v>425</v>
      </c>
      <c r="C8188" s="8">
        <v>20.478950000000001</v>
      </c>
      <c r="D8188" s="8">
        <v>92</v>
      </c>
      <c r="E8188" s="8">
        <v>0</v>
      </c>
      <c r="F8188" s="8">
        <v>0</v>
      </c>
      <c r="G8188" s="8">
        <v>23</v>
      </c>
      <c r="H8188" s="8" t="s">
        <v>16696</v>
      </c>
      <c r="I8188" s="8">
        <v>536.25</v>
      </c>
      <c r="J8188" s="3">
        <f t="shared" si="127"/>
        <v>43748.076267060183</v>
      </c>
    </row>
    <row r="8189" spans="1:10" x14ac:dyDescent="0.25">
      <c r="A8189" s="5" t="s">
        <v>16697</v>
      </c>
      <c r="B8189" s="6">
        <v>406.25</v>
      </c>
      <c r="C8189" s="6">
        <v>20.478950000000001</v>
      </c>
      <c r="D8189" s="6">
        <v>92</v>
      </c>
      <c r="E8189" s="6">
        <v>0</v>
      </c>
      <c r="F8189" s="6">
        <v>0</v>
      </c>
      <c r="G8189" s="6">
        <v>25</v>
      </c>
      <c r="H8189" s="6" t="s">
        <v>16698</v>
      </c>
      <c r="I8189" s="6">
        <v>530.625</v>
      </c>
      <c r="J8189" s="2">
        <f t="shared" si="127"/>
        <v>43748.076338599531</v>
      </c>
    </row>
    <row r="8190" spans="1:10" x14ac:dyDescent="0.25">
      <c r="A8190" s="7" t="s">
        <v>16699</v>
      </c>
      <c r="B8190" s="8">
        <v>409.375</v>
      </c>
      <c r="C8190" s="8">
        <v>20.478950000000001</v>
      </c>
      <c r="D8190" s="8">
        <v>91</v>
      </c>
      <c r="E8190" s="8">
        <v>0</v>
      </c>
      <c r="F8190" s="8">
        <v>0</v>
      </c>
      <c r="G8190" s="8">
        <v>23</v>
      </c>
      <c r="H8190" s="8" t="s">
        <v>16700</v>
      </c>
      <c r="I8190" s="8">
        <v>531.5625</v>
      </c>
      <c r="J8190" s="3">
        <f t="shared" si="127"/>
        <v>43748.076410590271</v>
      </c>
    </row>
    <row r="8191" spans="1:10" x14ac:dyDescent="0.25">
      <c r="A8191" s="5" t="s">
        <v>16701</v>
      </c>
      <c r="B8191" s="6">
        <v>409.375</v>
      </c>
      <c r="C8191" s="6">
        <v>20.478950000000001</v>
      </c>
      <c r="D8191" s="6">
        <v>90</v>
      </c>
      <c r="E8191" s="6">
        <v>0</v>
      </c>
      <c r="F8191" s="6">
        <v>0</v>
      </c>
      <c r="G8191" s="6">
        <v>29</v>
      </c>
      <c r="H8191" s="6" t="s">
        <v>16702</v>
      </c>
      <c r="I8191" s="6">
        <v>531.375</v>
      </c>
      <c r="J8191" s="2">
        <f t="shared" si="127"/>
        <v>43748.076481874996</v>
      </c>
    </row>
    <row r="8192" spans="1:10" x14ac:dyDescent="0.25">
      <c r="A8192" s="7" t="s">
        <v>16703</v>
      </c>
      <c r="B8192" s="8">
        <v>425</v>
      </c>
      <c r="C8192" s="8">
        <v>20.426300000000001</v>
      </c>
      <c r="D8192" s="8">
        <v>89</v>
      </c>
      <c r="E8192" s="8">
        <v>0</v>
      </c>
      <c r="F8192" s="8">
        <v>0</v>
      </c>
      <c r="G8192" s="8">
        <v>24</v>
      </c>
      <c r="H8192" s="8" t="s">
        <v>16704</v>
      </c>
      <c r="I8192" s="8">
        <v>536.25</v>
      </c>
      <c r="J8192" s="3">
        <f t="shared" si="127"/>
        <v>43748.07655317129</v>
      </c>
    </row>
    <row r="8193" spans="1:10" x14ac:dyDescent="0.25">
      <c r="A8193" s="5" t="s">
        <v>16705</v>
      </c>
      <c r="B8193" s="6">
        <v>406.25</v>
      </c>
      <c r="C8193" s="6">
        <v>20.478950000000001</v>
      </c>
      <c r="D8193" s="6">
        <v>90</v>
      </c>
      <c r="E8193" s="6">
        <v>0</v>
      </c>
      <c r="F8193" s="6">
        <v>0</v>
      </c>
      <c r="G8193" s="6">
        <v>31</v>
      </c>
      <c r="H8193" s="6" t="s">
        <v>16706</v>
      </c>
      <c r="I8193" s="6">
        <v>530.625</v>
      </c>
      <c r="J8193" s="2">
        <f t="shared" si="127"/>
        <v>43748.07662540509</v>
      </c>
    </row>
    <row r="8194" spans="1:10" x14ac:dyDescent="0.25">
      <c r="A8194" s="7" t="s">
        <v>16707</v>
      </c>
      <c r="B8194" s="8">
        <v>406.25</v>
      </c>
      <c r="C8194" s="8">
        <v>20.478950000000001</v>
      </c>
      <c r="D8194" s="8">
        <v>90</v>
      </c>
      <c r="E8194" s="8">
        <v>0</v>
      </c>
      <c r="F8194" s="8">
        <v>0</v>
      </c>
      <c r="G8194" s="8">
        <v>22</v>
      </c>
      <c r="H8194" s="8" t="s">
        <v>16708</v>
      </c>
      <c r="I8194" s="8">
        <v>530.625</v>
      </c>
      <c r="J8194" s="3">
        <f t="shared" ref="J8194:J8257" si="128">(H8194/86400000)+25569+(7/24)</f>
        <v>43748.076696631942</v>
      </c>
    </row>
    <row r="8195" spans="1:10" x14ac:dyDescent="0.25">
      <c r="A8195" s="5" t="s">
        <v>16709</v>
      </c>
      <c r="B8195" s="6">
        <v>406.25</v>
      </c>
      <c r="C8195" s="6">
        <v>20.478950000000001</v>
      </c>
      <c r="D8195" s="6">
        <v>91</v>
      </c>
      <c r="E8195" s="6">
        <v>0</v>
      </c>
      <c r="F8195" s="6">
        <v>0</v>
      </c>
      <c r="G8195" s="6">
        <v>27</v>
      </c>
      <c r="H8195" s="6" t="s">
        <v>16710</v>
      </c>
      <c r="I8195" s="6">
        <v>530.625</v>
      </c>
      <c r="J8195" s="2">
        <f t="shared" si="128"/>
        <v>43748.076767997678</v>
      </c>
    </row>
    <row r="8196" spans="1:10" x14ac:dyDescent="0.25">
      <c r="A8196" s="7" t="s">
        <v>16711</v>
      </c>
      <c r="B8196" s="8">
        <v>406.25</v>
      </c>
      <c r="C8196" s="8">
        <v>20.478950000000001</v>
      </c>
      <c r="D8196" s="8">
        <v>91</v>
      </c>
      <c r="E8196" s="8">
        <v>0</v>
      </c>
      <c r="F8196" s="8">
        <v>0</v>
      </c>
      <c r="G8196" s="8">
        <v>15</v>
      </c>
      <c r="H8196" s="8" t="s">
        <v>16712</v>
      </c>
      <c r="I8196" s="8">
        <v>530.625</v>
      </c>
      <c r="J8196" s="3">
        <f t="shared" si="128"/>
        <v>43748.076840046291</v>
      </c>
    </row>
    <row r="8197" spans="1:10" x14ac:dyDescent="0.25">
      <c r="A8197" s="5" t="s">
        <v>16713</v>
      </c>
      <c r="B8197" s="6">
        <v>403.125</v>
      </c>
      <c r="C8197" s="6">
        <v>20.478950000000001</v>
      </c>
      <c r="D8197" s="6">
        <v>91</v>
      </c>
      <c r="E8197" s="6">
        <v>0</v>
      </c>
      <c r="F8197" s="6">
        <v>0</v>
      </c>
      <c r="G8197" s="6">
        <v>29</v>
      </c>
      <c r="H8197" s="6" t="s">
        <v>16714</v>
      </c>
      <c r="I8197" s="6">
        <v>529.125</v>
      </c>
      <c r="J8197" s="2">
        <f t="shared" si="128"/>
        <v>43748.076912013887</v>
      </c>
    </row>
    <row r="8198" spans="1:10" x14ac:dyDescent="0.25">
      <c r="A8198" s="7" t="s">
        <v>16715</v>
      </c>
      <c r="B8198" s="8">
        <v>400</v>
      </c>
      <c r="C8198" s="8">
        <v>20.478950000000001</v>
      </c>
      <c r="D8198" s="8">
        <v>91</v>
      </c>
      <c r="E8198" s="8">
        <v>0</v>
      </c>
      <c r="F8198" s="8">
        <v>0</v>
      </c>
      <c r="G8198" s="8">
        <v>17</v>
      </c>
      <c r="H8198" s="8" t="s">
        <v>16716</v>
      </c>
      <c r="I8198" s="8">
        <v>528.9375</v>
      </c>
      <c r="J8198" s="3">
        <f t="shared" si="128"/>
        <v>43748.076982812498</v>
      </c>
    </row>
    <row r="8199" spans="1:10" x14ac:dyDescent="0.25">
      <c r="A8199" s="5" t="s">
        <v>16717</v>
      </c>
      <c r="B8199" s="6">
        <v>400</v>
      </c>
      <c r="C8199" s="6">
        <v>20.478950000000001</v>
      </c>
      <c r="D8199" s="6">
        <v>90</v>
      </c>
      <c r="E8199" s="6">
        <v>0</v>
      </c>
      <c r="F8199" s="6">
        <v>0</v>
      </c>
      <c r="G8199" s="6">
        <v>28</v>
      </c>
      <c r="H8199" s="6" t="s">
        <v>16718</v>
      </c>
      <c r="I8199" s="6">
        <v>528.9375</v>
      </c>
      <c r="J8199" s="2">
        <f t="shared" si="128"/>
        <v>43748.077066157406</v>
      </c>
    </row>
    <row r="8200" spans="1:10" x14ac:dyDescent="0.25">
      <c r="A8200" s="7" t="s">
        <v>16719</v>
      </c>
      <c r="B8200" s="8">
        <v>403.125</v>
      </c>
      <c r="C8200" s="8">
        <v>20.426300000000001</v>
      </c>
      <c r="D8200" s="8">
        <v>88</v>
      </c>
      <c r="E8200" s="8">
        <v>0</v>
      </c>
      <c r="F8200" s="8">
        <v>0</v>
      </c>
      <c r="G8200" s="8">
        <v>29</v>
      </c>
      <c r="H8200" s="8" t="s">
        <v>16720</v>
      </c>
      <c r="I8200" s="8">
        <v>529.125</v>
      </c>
      <c r="J8200" s="3">
        <f t="shared" si="128"/>
        <v>43748.077138217595</v>
      </c>
    </row>
    <row r="8201" spans="1:10" x14ac:dyDescent="0.25">
      <c r="A8201" s="5" t="s">
        <v>16721</v>
      </c>
      <c r="B8201" s="6">
        <v>403.125</v>
      </c>
      <c r="C8201" s="6">
        <v>20.478950000000001</v>
      </c>
      <c r="D8201" s="6">
        <v>90</v>
      </c>
      <c r="E8201" s="6">
        <v>0</v>
      </c>
      <c r="F8201" s="6">
        <v>0</v>
      </c>
      <c r="G8201" s="6">
        <v>23</v>
      </c>
      <c r="H8201" s="6" t="s">
        <v>16722</v>
      </c>
      <c r="I8201" s="6">
        <v>529.875</v>
      </c>
      <c r="J8201" s="2">
        <f t="shared" si="128"/>
        <v>43748.077209641204</v>
      </c>
    </row>
    <row r="8202" spans="1:10" x14ac:dyDescent="0.25">
      <c r="A8202" s="7" t="s">
        <v>16723</v>
      </c>
      <c r="B8202" s="8">
        <v>403.125</v>
      </c>
      <c r="C8202" s="8">
        <v>20.478950000000001</v>
      </c>
      <c r="D8202" s="8">
        <v>90</v>
      </c>
      <c r="E8202" s="8">
        <v>0</v>
      </c>
      <c r="F8202" s="8">
        <v>0</v>
      </c>
      <c r="G8202" s="8">
        <v>24</v>
      </c>
      <c r="H8202" s="8" t="s">
        <v>16724</v>
      </c>
      <c r="I8202" s="8">
        <v>529.125</v>
      </c>
      <c r="J8202" s="3">
        <f t="shared" si="128"/>
        <v>43748.077292766196</v>
      </c>
    </row>
    <row r="8203" spans="1:10" x14ac:dyDescent="0.25">
      <c r="A8203" s="5" t="s">
        <v>16725</v>
      </c>
      <c r="B8203" s="6">
        <v>400</v>
      </c>
      <c r="C8203" s="6">
        <v>20.478950000000001</v>
      </c>
      <c r="D8203" s="6">
        <v>90</v>
      </c>
      <c r="E8203" s="6">
        <v>0</v>
      </c>
      <c r="F8203" s="6">
        <v>0</v>
      </c>
      <c r="G8203" s="6">
        <v>25</v>
      </c>
      <c r="H8203" s="6" t="s">
        <v>16726</v>
      </c>
      <c r="I8203" s="6">
        <v>528.9375</v>
      </c>
      <c r="J8203" s="2">
        <f t="shared" si="128"/>
        <v>43748.07736427083</v>
      </c>
    </row>
    <row r="8204" spans="1:10" x14ac:dyDescent="0.25">
      <c r="A8204" s="7" t="s">
        <v>16727</v>
      </c>
      <c r="B8204" s="8">
        <v>400</v>
      </c>
      <c r="C8204" s="8">
        <v>20.478950000000001</v>
      </c>
      <c r="D8204" s="8">
        <v>90</v>
      </c>
      <c r="E8204" s="8">
        <v>0</v>
      </c>
      <c r="F8204" s="8">
        <v>0</v>
      </c>
      <c r="G8204" s="8">
        <v>20</v>
      </c>
      <c r="H8204" s="8" t="s">
        <v>16728</v>
      </c>
      <c r="I8204" s="8">
        <v>528.1875</v>
      </c>
      <c r="J8204" s="3">
        <f t="shared" si="128"/>
        <v>43748.077436319443</v>
      </c>
    </row>
    <row r="8205" spans="1:10" x14ac:dyDescent="0.25">
      <c r="A8205" s="5" t="s">
        <v>16729</v>
      </c>
      <c r="B8205" s="6">
        <v>400</v>
      </c>
      <c r="C8205" s="6">
        <v>20.478950000000001</v>
      </c>
      <c r="D8205" s="6">
        <v>89</v>
      </c>
      <c r="E8205" s="6">
        <v>0</v>
      </c>
      <c r="F8205" s="6">
        <v>0</v>
      </c>
      <c r="G8205" s="6">
        <v>19</v>
      </c>
      <c r="H8205" s="6" t="s">
        <v>16730</v>
      </c>
      <c r="I8205" s="6">
        <v>528.1875</v>
      </c>
      <c r="J8205" s="2">
        <f t="shared" si="128"/>
        <v>43748.077507800925</v>
      </c>
    </row>
    <row r="8206" spans="1:10" x14ac:dyDescent="0.25">
      <c r="A8206" s="7" t="s">
        <v>16731</v>
      </c>
      <c r="B8206" s="8">
        <v>396.875</v>
      </c>
      <c r="C8206" s="8">
        <v>20.478950000000001</v>
      </c>
      <c r="D8206" s="8">
        <v>90</v>
      </c>
      <c r="E8206" s="8">
        <v>0</v>
      </c>
      <c r="F8206" s="8">
        <v>0</v>
      </c>
      <c r="G8206" s="8">
        <v>33</v>
      </c>
      <c r="H8206" s="8" t="s">
        <v>16732</v>
      </c>
      <c r="I8206" s="8">
        <v>527.25</v>
      </c>
      <c r="J8206" s="3">
        <f t="shared" si="128"/>
        <v>43748.077579097218</v>
      </c>
    </row>
    <row r="8207" spans="1:10" x14ac:dyDescent="0.25">
      <c r="A8207" s="5" t="s">
        <v>16733</v>
      </c>
      <c r="B8207" s="6">
        <v>396.875</v>
      </c>
      <c r="C8207" s="6">
        <v>20.478950000000001</v>
      </c>
      <c r="D8207" s="6">
        <v>90</v>
      </c>
      <c r="E8207" s="6">
        <v>0</v>
      </c>
      <c r="F8207" s="6">
        <v>0</v>
      </c>
      <c r="G8207" s="6">
        <v>25</v>
      </c>
      <c r="H8207" s="6" t="s">
        <v>16734</v>
      </c>
      <c r="I8207" s="6">
        <v>527.4375</v>
      </c>
      <c r="J8207" s="2">
        <f t="shared" si="128"/>
        <v>43748.077674479166</v>
      </c>
    </row>
    <row r="8208" spans="1:10" x14ac:dyDescent="0.25">
      <c r="A8208" s="7" t="s">
        <v>16735</v>
      </c>
      <c r="B8208" s="8">
        <v>396.875</v>
      </c>
      <c r="C8208" s="8">
        <v>20.478950000000001</v>
      </c>
      <c r="D8208" s="8">
        <v>91</v>
      </c>
      <c r="E8208" s="8">
        <v>0</v>
      </c>
      <c r="F8208" s="8">
        <v>0</v>
      </c>
      <c r="G8208" s="8">
        <v>22</v>
      </c>
      <c r="H8208" s="8" t="s">
        <v>16736</v>
      </c>
      <c r="I8208" s="8">
        <v>527.4375</v>
      </c>
      <c r="J8208" s="3">
        <f t="shared" si="128"/>
        <v>43748.077757812498</v>
      </c>
    </row>
    <row r="8209" spans="1:10" x14ac:dyDescent="0.25">
      <c r="A8209" s="5" t="s">
        <v>16737</v>
      </c>
      <c r="B8209" s="6">
        <v>437.5</v>
      </c>
      <c r="C8209" s="6">
        <v>20.478950000000001</v>
      </c>
      <c r="D8209" s="6">
        <v>91</v>
      </c>
      <c r="E8209" s="6">
        <v>0</v>
      </c>
      <c r="F8209" s="6">
        <v>0</v>
      </c>
      <c r="G8209" s="6">
        <v>15</v>
      </c>
      <c r="H8209" s="6" t="s">
        <v>16738</v>
      </c>
      <c r="I8209" s="6">
        <v>540.5625</v>
      </c>
      <c r="J8209" s="2">
        <f t="shared" si="128"/>
        <v>43748.077829212962</v>
      </c>
    </row>
    <row r="8210" spans="1:10" x14ac:dyDescent="0.25">
      <c r="A8210" s="7" t="s">
        <v>16739</v>
      </c>
      <c r="B8210" s="8">
        <v>396.875</v>
      </c>
      <c r="C8210" s="8">
        <v>20.478950000000001</v>
      </c>
      <c r="D8210" s="8">
        <v>91</v>
      </c>
      <c r="E8210" s="8">
        <v>0</v>
      </c>
      <c r="F8210" s="8">
        <v>0</v>
      </c>
      <c r="G8210" s="8">
        <v>26</v>
      </c>
      <c r="H8210" s="8" t="s">
        <v>16740</v>
      </c>
      <c r="I8210" s="8">
        <v>527.4375</v>
      </c>
      <c r="J8210" s="3">
        <f t="shared" si="128"/>
        <v>43748.077901342585</v>
      </c>
    </row>
    <row r="8211" spans="1:10" x14ac:dyDescent="0.25">
      <c r="A8211" s="5" t="s">
        <v>16741</v>
      </c>
      <c r="B8211" s="6">
        <v>400</v>
      </c>
      <c r="C8211" s="6">
        <v>20.478950000000001</v>
      </c>
      <c r="D8211" s="6">
        <v>91</v>
      </c>
      <c r="E8211" s="6">
        <v>0</v>
      </c>
      <c r="F8211" s="6">
        <v>0</v>
      </c>
      <c r="G8211" s="6">
        <v>17</v>
      </c>
      <c r="H8211" s="6" t="s">
        <v>16742</v>
      </c>
      <c r="I8211" s="6">
        <v>528.1875</v>
      </c>
      <c r="J8211" s="2">
        <f t="shared" si="128"/>
        <v>43748.07797262731</v>
      </c>
    </row>
    <row r="8212" spans="1:10" x14ac:dyDescent="0.25">
      <c r="A8212" s="7" t="s">
        <v>16743</v>
      </c>
      <c r="B8212" s="8">
        <v>400</v>
      </c>
      <c r="C8212" s="8">
        <v>20.478950000000001</v>
      </c>
      <c r="D8212" s="8">
        <v>91</v>
      </c>
      <c r="E8212" s="8">
        <v>0</v>
      </c>
      <c r="F8212" s="8">
        <v>0</v>
      </c>
      <c r="G8212" s="8">
        <v>24</v>
      </c>
      <c r="H8212" s="8" t="s">
        <v>16744</v>
      </c>
      <c r="I8212" s="8">
        <v>528.1875</v>
      </c>
      <c r="J8212" s="3">
        <f t="shared" si="128"/>
        <v>43748.078055972219</v>
      </c>
    </row>
    <row r="8213" spans="1:10" x14ac:dyDescent="0.25">
      <c r="A8213" s="5" t="s">
        <v>16745</v>
      </c>
      <c r="B8213" s="6">
        <v>400</v>
      </c>
      <c r="C8213" s="6">
        <v>20.426300000000001</v>
      </c>
      <c r="D8213" s="6">
        <v>92</v>
      </c>
      <c r="E8213" s="6">
        <v>0</v>
      </c>
      <c r="F8213" s="6">
        <v>0</v>
      </c>
      <c r="G8213" s="6">
        <v>19</v>
      </c>
      <c r="H8213" s="6" t="s">
        <v>16746</v>
      </c>
      <c r="I8213" s="6">
        <v>528.1875</v>
      </c>
      <c r="J8213" s="2">
        <f t="shared" si="128"/>
        <v>43748.078127361114</v>
      </c>
    </row>
    <row r="8214" spans="1:10" x14ac:dyDescent="0.25">
      <c r="A8214" s="7" t="s">
        <v>16747</v>
      </c>
      <c r="B8214" s="8">
        <v>403.125</v>
      </c>
      <c r="C8214" s="8">
        <v>20.478950000000001</v>
      </c>
      <c r="D8214" s="8">
        <v>92</v>
      </c>
      <c r="E8214" s="8">
        <v>0</v>
      </c>
      <c r="F8214" s="8">
        <v>0</v>
      </c>
      <c r="G8214" s="8">
        <v>24</v>
      </c>
      <c r="H8214" s="8" t="s">
        <v>16748</v>
      </c>
      <c r="I8214" s="8">
        <v>529.125</v>
      </c>
      <c r="J8214" s="3">
        <f t="shared" si="128"/>
        <v>43748.078199479169</v>
      </c>
    </row>
    <row r="8215" spans="1:10" x14ac:dyDescent="0.25">
      <c r="A8215" s="5" t="s">
        <v>16749</v>
      </c>
      <c r="B8215" s="6">
        <v>400</v>
      </c>
      <c r="C8215" s="6">
        <v>20.478950000000001</v>
      </c>
      <c r="D8215" s="6">
        <v>93</v>
      </c>
      <c r="E8215" s="6">
        <v>0</v>
      </c>
      <c r="F8215" s="6">
        <v>0</v>
      </c>
      <c r="G8215" s="6">
        <v>26</v>
      </c>
      <c r="H8215" s="6" t="s">
        <v>16750</v>
      </c>
      <c r="I8215" s="6">
        <v>528.375</v>
      </c>
      <c r="J8215" s="2">
        <f t="shared" si="128"/>
        <v>43748.078270763886</v>
      </c>
    </row>
    <row r="8216" spans="1:10" x14ac:dyDescent="0.25">
      <c r="A8216" s="7" t="s">
        <v>16751</v>
      </c>
      <c r="B8216" s="8">
        <v>403.125</v>
      </c>
      <c r="C8216" s="8">
        <v>20.478950000000001</v>
      </c>
      <c r="D8216" s="8">
        <v>93</v>
      </c>
      <c r="E8216" s="8">
        <v>0</v>
      </c>
      <c r="F8216" s="8">
        <v>0</v>
      </c>
      <c r="G8216" s="8">
        <v>23</v>
      </c>
      <c r="H8216" s="8" t="s">
        <v>16752</v>
      </c>
      <c r="I8216" s="8">
        <v>529.125</v>
      </c>
      <c r="J8216" s="3">
        <f t="shared" si="128"/>
        <v>43748.078342060187</v>
      </c>
    </row>
    <row r="8217" spans="1:10" x14ac:dyDescent="0.25">
      <c r="A8217" s="5" t="s">
        <v>16753</v>
      </c>
      <c r="B8217" s="6">
        <v>418.75</v>
      </c>
      <c r="C8217" s="6">
        <v>20.478950000000001</v>
      </c>
      <c r="D8217" s="6">
        <v>94</v>
      </c>
      <c r="E8217" s="6">
        <v>0</v>
      </c>
      <c r="F8217" s="6">
        <v>0</v>
      </c>
      <c r="G8217" s="6">
        <v>32</v>
      </c>
      <c r="H8217" s="6" t="s">
        <v>16754</v>
      </c>
      <c r="I8217" s="6">
        <v>534.75</v>
      </c>
      <c r="J8217" s="2">
        <f t="shared" si="128"/>
        <v>43748.078414282405</v>
      </c>
    </row>
    <row r="8218" spans="1:10" x14ac:dyDescent="0.25">
      <c r="A8218" s="7" t="s">
        <v>16755</v>
      </c>
      <c r="B8218" s="8">
        <v>403.125</v>
      </c>
      <c r="C8218" s="8">
        <v>20.478950000000001</v>
      </c>
      <c r="D8218" s="8">
        <v>93</v>
      </c>
      <c r="E8218" s="8">
        <v>0</v>
      </c>
      <c r="F8218" s="8">
        <v>0</v>
      </c>
      <c r="G8218" s="8">
        <v>17</v>
      </c>
      <c r="H8218" s="8" t="s">
        <v>16756</v>
      </c>
      <c r="I8218" s="8">
        <v>529.875</v>
      </c>
      <c r="J8218" s="3">
        <f t="shared" si="128"/>
        <v>43748.078485601851</v>
      </c>
    </row>
    <row r="8219" spans="1:10" x14ac:dyDescent="0.25">
      <c r="A8219" s="5" t="s">
        <v>16757</v>
      </c>
      <c r="B8219" s="6">
        <v>403.125</v>
      </c>
      <c r="C8219" s="6">
        <v>20.426300000000001</v>
      </c>
      <c r="D8219" s="6">
        <v>92</v>
      </c>
      <c r="E8219" s="6">
        <v>0</v>
      </c>
      <c r="F8219" s="6">
        <v>0</v>
      </c>
      <c r="G8219" s="6">
        <v>23</v>
      </c>
      <c r="H8219" s="6" t="s">
        <v>16758</v>
      </c>
      <c r="I8219" s="6">
        <v>529.875</v>
      </c>
      <c r="J8219" s="2">
        <f t="shared" si="128"/>
        <v>43748.078556898145</v>
      </c>
    </row>
    <row r="8220" spans="1:10" x14ac:dyDescent="0.25">
      <c r="A8220" s="7" t="s">
        <v>16759</v>
      </c>
      <c r="B8220" s="8">
        <v>403.125</v>
      </c>
      <c r="C8220" s="8">
        <v>20.478950000000001</v>
      </c>
      <c r="D8220" s="8">
        <v>92</v>
      </c>
      <c r="E8220" s="8">
        <v>0</v>
      </c>
      <c r="F8220" s="8">
        <v>0</v>
      </c>
      <c r="G8220" s="8">
        <v>27</v>
      </c>
      <c r="H8220" s="8" t="s">
        <v>16760</v>
      </c>
      <c r="I8220" s="8">
        <v>529.875</v>
      </c>
      <c r="J8220" s="3">
        <f t="shared" si="128"/>
        <v>43748.078628194438</v>
      </c>
    </row>
    <row r="8221" spans="1:10" x14ac:dyDescent="0.25">
      <c r="A8221" s="5" t="s">
        <v>16761</v>
      </c>
      <c r="B8221" s="6">
        <v>403.125</v>
      </c>
      <c r="C8221" s="6">
        <v>20.478950000000001</v>
      </c>
      <c r="D8221" s="6">
        <v>92</v>
      </c>
      <c r="E8221" s="6">
        <v>0</v>
      </c>
      <c r="F8221" s="6">
        <v>0</v>
      </c>
      <c r="G8221" s="6">
        <v>20</v>
      </c>
      <c r="H8221" s="6" t="s">
        <v>16762</v>
      </c>
      <c r="I8221" s="6">
        <v>529.875</v>
      </c>
      <c r="J8221" s="2">
        <f t="shared" si="128"/>
        <v>43748.078700335645</v>
      </c>
    </row>
    <row r="8222" spans="1:10" x14ac:dyDescent="0.25">
      <c r="A8222" s="7" t="s">
        <v>16763</v>
      </c>
      <c r="B8222" s="8">
        <v>403.125</v>
      </c>
      <c r="C8222" s="8">
        <v>20.478950000000001</v>
      </c>
      <c r="D8222" s="8">
        <v>92</v>
      </c>
      <c r="E8222" s="8">
        <v>0</v>
      </c>
      <c r="F8222" s="8">
        <v>0</v>
      </c>
      <c r="G8222" s="8">
        <v>20</v>
      </c>
      <c r="H8222" s="8" t="s">
        <v>16764</v>
      </c>
      <c r="I8222" s="8">
        <v>529.875</v>
      </c>
      <c r="J8222" s="3">
        <f t="shared" si="128"/>
        <v>43748.078773078705</v>
      </c>
    </row>
    <row r="8223" spans="1:10" x14ac:dyDescent="0.25">
      <c r="A8223" s="5" t="s">
        <v>16765</v>
      </c>
      <c r="B8223" s="6">
        <v>403.125</v>
      </c>
      <c r="C8223" s="6">
        <v>20.478950000000001</v>
      </c>
      <c r="D8223" s="6">
        <v>92</v>
      </c>
      <c r="E8223" s="6">
        <v>0</v>
      </c>
      <c r="F8223" s="6">
        <v>0</v>
      </c>
      <c r="G8223" s="6">
        <v>20</v>
      </c>
      <c r="H8223" s="6" t="s">
        <v>16766</v>
      </c>
      <c r="I8223" s="6">
        <v>529.875</v>
      </c>
      <c r="J8223" s="2">
        <f t="shared" si="128"/>
        <v>43748.078855034721</v>
      </c>
    </row>
    <row r="8224" spans="1:10" x14ac:dyDescent="0.25">
      <c r="A8224" s="7" t="s">
        <v>16767</v>
      </c>
      <c r="B8224" s="8">
        <v>403.125</v>
      </c>
      <c r="C8224" s="8">
        <v>20.478950000000001</v>
      </c>
      <c r="D8224" s="8">
        <v>92</v>
      </c>
      <c r="E8224" s="8">
        <v>0</v>
      </c>
      <c r="F8224" s="8">
        <v>0</v>
      </c>
      <c r="G8224" s="8">
        <v>24</v>
      </c>
      <c r="H8224" s="8" t="s">
        <v>16768</v>
      </c>
      <c r="I8224" s="8">
        <v>529.125</v>
      </c>
      <c r="J8224" s="3">
        <f t="shared" si="128"/>
        <v>43748.078926331014</v>
      </c>
    </row>
    <row r="8225" spans="1:10" x14ac:dyDescent="0.25">
      <c r="A8225" s="5" t="s">
        <v>16769</v>
      </c>
      <c r="B8225" s="6">
        <v>418.75</v>
      </c>
      <c r="C8225" s="6">
        <v>20.478950000000001</v>
      </c>
      <c r="D8225" s="6">
        <v>93</v>
      </c>
      <c r="E8225" s="6">
        <v>0</v>
      </c>
      <c r="F8225" s="6">
        <v>0</v>
      </c>
      <c r="G8225" s="6">
        <v>22</v>
      </c>
      <c r="H8225" s="6" t="s">
        <v>16770</v>
      </c>
      <c r="I8225" s="6">
        <v>534.5625</v>
      </c>
      <c r="J8225" s="2">
        <f t="shared" si="128"/>
        <v>43748.078998541663</v>
      </c>
    </row>
    <row r="8226" spans="1:10" x14ac:dyDescent="0.25">
      <c r="A8226" s="7" t="s">
        <v>16771</v>
      </c>
      <c r="B8226" s="8">
        <v>396.875</v>
      </c>
      <c r="C8226" s="8">
        <v>20.478950000000001</v>
      </c>
      <c r="D8226" s="8">
        <v>91</v>
      </c>
      <c r="E8226" s="8">
        <v>0</v>
      </c>
      <c r="F8226" s="8">
        <v>0</v>
      </c>
      <c r="G8226" s="8">
        <v>34</v>
      </c>
      <c r="H8226" s="8" t="s">
        <v>16772</v>
      </c>
      <c r="I8226" s="8">
        <v>527.4375</v>
      </c>
      <c r="J8226" s="3">
        <f t="shared" si="128"/>
        <v>43748.079069861109</v>
      </c>
    </row>
    <row r="8227" spans="1:10" x14ac:dyDescent="0.25">
      <c r="A8227" s="5" t="s">
        <v>16773</v>
      </c>
      <c r="B8227" s="6">
        <v>396.875</v>
      </c>
      <c r="C8227" s="6">
        <v>20.478950000000001</v>
      </c>
      <c r="D8227" s="6">
        <v>92</v>
      </c>
      <c r="E8227" s="6">
        <v>0</v>
      </c>
      <c r="F8227" s="6">
        <v>0</v>
      </c>
      <c r="G8227" s="6">
        <v>21</v>
      </c>
      <c r="H8227" s="6" t="s">
        <v>16774</v>
      </c>
      <c r="I8227" s="6">
        <v>527.4375</v>
      </c>
      <c r="J8227" s="2">
        <f t="shared" si="128"/>
        <v>43748.079141180555</v>
      </c>
    </row>
    <row r="8228" spans="1:10" x14ac:dyDescent="0.25">
      <c r="A8228" s="7" t="s">
        <v>16775</v>
      </c>
      <c r="B8228" s="8">
        <v>393.75</v>
      </c>
      <c r="C8228" s="8">
        <v>20.478950000000001</v>
      </c>
      <c r="D8228" s="8">
        <v>92</v>
      </c>
      <c r="E8228" s="8">
        <v>0</v>
      </c>
      <c r="F8228" s="8">
        <v>0</v>
      </c>
      <c r="G8228" s="8">
        <v>24</v>
      </c>
      <c r="H8228" s="8" t="s">
        <v>16776</v>
      </c>
      <c r="I8228" s="8">
        <v>526.6875</v>
      </c>
      <c r="J8228" s="3">
        <f t="shared" si="128"/>
        <v>43748.079213136567</v>
      </c>
    </row>
    <row r="8229" spans="1:10" x14ac:dyDescent="0.25">
      <c r="A8229" s="5" t="s">
        <v>16777</v>
      </c>
      <c r="B8229" s="6">
        <v>428.125</v>
      </c>
      <c r="C8229" s="6">
        <v>20.478950000000001</v>
      </c>
      <c r="D8229" s="6">
        <v>92</v>
      </c>
      <c r="E8229" s="6">
        <v>0</v>
      </c>
      <c r="F8229" s="6">
        <v>0</v>
      </c>
      <c r="G8229" s="6">
        <v>23</v>
      </c>
      <c r="H8229" s="6" t="s">
        <v>16778</v>
      </c>
      <c r="I8229" s="6">
        <v>537</v>
      </c>
      <c r="J8229" s="2">
        <f t="shared" si="128"/>
        <v>43748.079284618048</v>
      </c>
    </row>
    <row r="8230" spans="1:10" x14ac:dyDescent="0.25">
      <c r="A8230" s="7" t="s">
        <v>16779</v>
      </c>
      <c r="B8230" s="8">
        <v>393.75</v>
      </c>
      <c r="C8230" s="8">
        <v>20.478950000000001</v>
      </c>
      <c r="D8230" s="8">
        <v>93</v>
      </c>
      <c r="E8230" s="8">
        <v>0</v>
      </c>
      <c r="F8230" s="8">
        <v>0</v>
      </c>
      <c r="G8230" s="8">
        <v>28</v>
      </c>
      <c r="H8230" s="8" t="s">
        <v>16780</v>
      </c>
      <c r="I8230" s="8">
        <v>526.6875</v>
      </c>
      <c r="J8230" s="3">
        <f t="shared" si="128"/>
        <v>43748.079355972215</v>
      </c>
    </row>
    <row r="8231" spans="1:10" x14ac:dyDescent="0.25">
      <c r="A8231" s="5" t="s">
        <v>16781</v>
      </c>
      <c r="B8231" s="6">
        <v>393.75</v>
      </c>
      <c r="C8231" s="6">
        <v>20.426300000000001</v>
      </c>
      <c r="D8231" s="6">
        <v>93</v>
      </c>
      <c r="E8231" s="6">
        <v>0</v>
      </c>
      <c r="F8231" s="6">
        <v>0</v>
      </c>
      <c r="G8231" s="6">
        <v>28</v>
      </c>
      <c r="H8231" s="6" t="s">
        <v>16782</v>
      </c>
      <c r="I8231" s="6">
        <v>526.6875</v>
      </c>
      <c r="J8231" s="2">
        <f t="shared" si="128"/>
        <v>43748.079427268516</v>
      </c>
    </row>
    <row r="8232" spans="1:10" x14ac:dyDescent="0.25">
      <c r="A8232" s="7" t="s">
        <v>16783</v>
      </c>
      <c r="B8232" s="8">
        <v>393.75</v>
      </c>
      <c r="C8232" s="8">
        <v>20.478950000000001</v>
      </c>
      <c r="D8232" s="8">
        <v>93</v>
      </c>
      <c r="E8232" s="8">
        <v>0</v>
      </c>
      <c r="F8232" s="8">
        <v>0</v>
      </c>
      <c r="G8232" s="8">
        <v>26</v>
      </c>
      <c r="H8232" s="8" t="s">
        <v>16784</v>
      </c>
      <c r="I8232" s="8">
        <v>526.5</v>
      </c>
      <c r="J8232" s="3">
        <f t="shared" si="128"/>
        <v>43748.079499490741</v>
      </c>
    </row>
    <row r="8233" spans="1:10" x14ac:dyDescent="0.25">
      <c r="A8233" s="5" t="s">
        <v>16785</v>
      </c>
      <c r="B8233" s="6">
        <v>393.75</v>
      </c>
      <c r="C8233" s="6">
        <v>20.478950000000001</v>
      </c>
      <c r="D8233" s="6">
        <v>93</v>
      </c>
      <c r="E8233" s="6">
        <v>0</v>
      </c>
      <c r="F8233" s="6">
        <v>0</v>
      </c>
      <c r="G8233" s="6">
        <v>23</v>
      </c>
      <c r="H8233" s="6" t="s">
        <v>16786</v>
      </c>
      <c r="I8233" s="6">
        <v>526.6875</v>
      </c>
      <c r="J8233" s="2">
        <f t="shared" si="128"/>
        <v>43748.079570706017</v>
      </c>
    </row>
    <row r="8234" spans="1:10" x14ac:dyDescent="0.25">
      <c r="A8234" s="7" t="s">
        <v>16787</v>
      </c>
      <c r="B8234" s="8">
        <v>393.75</v>
      </c>
      <c r="C8234" s="8">
        <v>20.478950000000001</v>
      </c>
      <c r="D8234" s="8">
        <v>94</v>
      </c>
      <c r="E8234" s="8">
        <v>0</v>
      </c>
      <c r="F8234" s="8">
        <v>0</v>
      </c>
      <c r="G8234" s="8">
        <v>18</v>
      </c>
      <c r="H8234" s="8" t="s">
        <v>16788</v>
      </c>
      <c r="I8234" s="8">
        <v>526.6875</v>
      </c>
      <c r="J8234" s="3">
        <f t="shared" si="128"/>
        <v>43748.079642060184</v>
      </c>
    </row>
    <row r="8235" spans="1:10" x14ac:dyDescent="0.25">
      <c r="A8235" s="5" t="s">
        <v>16789</v>
      </c>
      <c r="B8235" s="6">
        <v>393.75</v>
      </c>
      <c r="C8235" s="6">
        <v>20.478950000000001</v>
      </c>
      <c r="D8235" s="6">
        <v>93</v>
      </c>
      <c r="E8235" s="6">
        <v>0</v>
      </c>
      <c r="F8235" s="6">
        <v>0</v>
      </c>
      <c r="G8235" s="6">
        <v>18</v>
      </c>
      <c r="H8235" s="6" t="s">
        <v>16790</v>
      </c>
      <c r="I8235" s="6">
        <v>526.6875</v>
      </c>
      <c r="J8235" s="2">
        <f t="shared" si="128"/>
        <v>43748.079725405092</v>
      </c>
    </row>
    <row r="8236" spans="1:10" x14ac:dyDescent="0.25">
      <c r="A8236" s="7" t="s">
        <v>16791</v>
      </c>
      <c r="B8236" s="8">
        <v>393.75</v>
      </c>
      <c r="C8236" s="8">
        <v>20.478950000000001</v>
      </c>
      <c r="D8236" s="8">
        <v>92</v>
      </c>
      <c r="E8236" s="8">
        <v>0</v>
      </c>
      <c r="F8236" s="8">
        <v>0</v>
      </c>
      <c r="G8236" s="8">
        <v>24</v>
      </c>
      <c r="H8236" s="8" t="s">
        <v>16792</v>
      </c>
      <c r="I8236" s="8">
        <v>526.6875</v>
      </c>
      <c r="J8236" s="3">
        <f t="shared" si="128"/>
        <v>43748.079797453705</v>
      </c>
    </row>
    <row r="8237" spans="1:10" x14ac:dyDescent="0.25">
      <c r="A8237" s="5" t="s">
        <v>16793</v>
      </c>
      <c r="B8237" s="6">
        <v>412.5</v>
      </c>
      <c r="C8237" s="6">
        <v>20.478950000000001</v>
      </c>
      <c r="D8237" s="6">
        <v>92</v>
      </c>
      <c r="E8237" s="6">
        <v>0</v>
      </c>
      <c r="F8237" s="6">
        <v>0</v>
      </c>
      <c r="G8237" s="6">
        <v>30</v>
      </c>
      <c r="H8237" s="6" t="s">
        <v>16794</v>
      </c>
      <c r="I8237" s="6">
        <v>532.125</v>
      </c>
      <c r="J8237" s="2">
        <f t="shared" si="128"/>
        <v>43748.079868692126</v>
      </c>
    </row>
    <row r="8238" spans="1:10" x14ac:dyDescent="0.25">
      <c r="A8238" s="7" t="s">
        <v>16795</v>
      </c>
      <c r="B8238" s="8">
        <v>393.75</v>
      </c>
      <c r="C8238" s="8">
        <v>20.478950000000001</v>
      </c>
      <c r="D8238" s="8">
        <v>93</v>
      </c>
      <c r="E8238" s="8">
        <v>0</v>
      </c>
      <c r="F8238" s="8">
        <v>0</v>
      </c>
      <c r="G8238" s="8">
        <v>16</v>
      </c>
      <c r="H8238" s="8" t="s">
        <v>16796</v>
      </c>
      <c r="I8238" s="8">
        <v>526.6875</v>
      </c>
      <c r="J8238" s="3">
        <f t="shared" si="128"/>
        <v>43748.079940219905</v>
      </c>
    </row>
    <row r="8239" spans="1:10" x14ac:dyDescent="0.25">
      <c r="A8239" s="5" t="s">
        <v>16797</v>
      </c>
      <c r="B8239" s="6">
        <v>393.75</v>
      </c>
      <c r="C8239" s="6">
        <v>20.478950000000001</v>
      </c>
      <c r="D8239" s="6">
        <v>94</v>
      </c>
      <c r="E8239" s="6">
        <v>0</v>
      </c>
      <c r="F8239" s="6">
        <v>0</v>
      </c>
      <c r="G8239" s="6">
        <v>23</v>
      </c>
      <c r="H8239" s="6" t="s">
        <v>16798</v>
      </c>
      <c r="I8239" s="6">
        <v>526.5</v>
      </c>
      <c r="J8239" s="2">
        <f t="shared" si="128"/>
        <v>43748.080011527774</v>
      </c>
    </row>
    <row r="8240" spans="1:10" x14ac:dyDescent="0.25">
      <c r="A8240" s="7" t="s">
        <v>16799</v>
      </c>
      <c r="B8240" s="8">
        <v>393.75</v>
      </c>
      <c r="C8240" s="8">
        <v>20.478950000000001</v>
      </c>
      <c r="D8240" s="8">
        <v>94</v>
      </c>
      <c r="E8240" s="8">
        <v>0</v>
      </c>
      <c r="F8240" s="8">
        <v>0</v>
      </c>
      <c r="G8240" s="8">
        <v>23</v>
      </c>
      <c r="H8240" s="8" t="s">
        <v>16800</v>
      </c>
      <c r="I8240" s="8">
        <v>526.6875</v>
      </c>
      <c r="J8240" s="3">
        <f t="shared" si="128"/>
        <v>43748.080094872683</v>
      </c>
    </row>
    <row r="8241" spans="1:10" x14ac:dyDescent="0.25">
      <c r="A8241" s="5" t="s">
        <v>16801</v>
      </c>
      <c r="B8241" s="6">
        <v>393.75</v>
      </c>
      <c r="C8241" s="6">
        <v>20.478950000000001</v>
      </c>
      <c r="D8241" s="6">
        <v>94</v>
      </c>
      <c r="E8241" s="6">
        <v>0</v>
      </c>
      <c r="F8241" s="6">
        <v>0</v>
      </c>
      <c r="G8241" s="6">
        <v>28</v>
      </c>
      <c r="H8241" s="6" t="s">
        <v>16802</v>
      </c>
      <c r="I8241" s="6">
        <v>526.6875</v>
      </c>
      <c r="J8241" s="2">
        <f t="shared" si="128"/>
        <v>43748.080167048603</v>
      </c>
    </row>
    <row r="8242" spans="1:10" x14ac:dyDescent="0.25">
      <c r="A8242" s="7" t="s">
        <v>16803</v>
      </c>
      <c r="B8242" s="8">
        <v>393.75</v>
      </c>
      <c r="C8242" s="8">
        <v>20.426300000000001</v>
      </c>
      <c r="D8242" s="8">
        <v>94</v>
      </c>
      <c r="E8242" s="8">
        <v>0</v>
      </c>
      <c r="F8242" s="8">
        <v>0</v>
      </c>
      <c r="G8242" s="8">
        <v>22</v>
      </c>
      <c r="H8242" s="8" t="s">
        <v>16804</v>
      </c>
      <c r="I8242" s="8">
        <v>526.6875</v>
      </c>
      <c r="J8242" s="3">
        <f t="shared" si="128"/>
        <v>43748.080238368049</v>
      </c>
    </row>
    <row r="8243" spans="1:10" x14ac:dyDescent="0.25">
      <c r="A8243" s="5" t="s">
        <v>16805</v>
      </c>
      <c r="B8243" s="6">
        <v>393.75</v>
      </c>
      <c r="C8243" s="6">
        <v>20.478950000000001</v>
      </c>
      <c r="D8243" s="6">
        <v>94</v>
      </c>
      <c r="E8243" s="6">
        <v>0</v>
      </c>
      <c r="F8243" s="6">
        <v>0</v>
      </c>
      <c r="G8243" s="6">
        <v>24</v>
      </c>
      <c r="H8243" s="6" t="s">
        <v>16806</v>
      </c>
      <c r="I8243" s="6">
        <v>526.6875</v>
      </c>
      <c r="J8243" s="2">
        <f t="shared" si="128"/>
        <v>43748.080309629622</v>
      </c>
    </row>
    <row r="8244" spans="1:10" x14ac:dyDescent="0.25">
      <c r="A8244" s="7" t="s">
        <v>16807</v>
      </c>
      <c r="B8244" s="8">
        <v>393.75</v>
      </c>
      <c r="C8244" s="8">
        <v>20.478950000000001</v>
      </c>
      <c r="D8244" s="8">
        <v>95</v>
      </c>
      <c r="E8244" s="8">
        <v>0</v>
      </c>
      <c r="F8244" s="8">
        <v>0</v>
      </c>
      <c r="G8244" s="8">
        <v>28</v>
      </c>
      <c r="H8244" s="8" t="s">
        <v>16808</v>
      </c>
      <c r="I8244" s="8">
        <v>526.6875</v>
      </c>
      <c r="J8244" s="3">
        <f t="shared" si="128"/>
        <v>43748.08038180555</v>
      </c>
    </row>
    <row r="8245" spans="1:10" x14ac:dyDescent="0.25">
      <c r="A8245" s="5" t="s">
        <v>16809</v>
      </c>
      <c r="B8245" s="6">
        <v>393.75</v>
      </c>
      <c r="C8245" s="6">
        <v>20.478950000000001</v>
      </c>
      <c r="D8245" s="6">
        <v>95</v>
      </c>
      <c r="E8245" s="6">
        <v>0</v>
      </c>
      <c r="F8245" s="6">
        <v>0</v>
      </c>
      <c r="G8245" s="6">
        <v>27</v>
      </c>
      <c r="H8245" s="6" t="s">
        <v>16810</v>
      </c>
      <c r="I8245" s="6">
        <v>526.6875</v>
      </c>
      <c r="J8245" s="2">
        <f t="shared" si="128"/>
        <v>43748.080453159717</v>
      </c>
    </row>
    <row r="8246" spans="1:10" x14ac:dyDescent="0.25">
      <c r="A8246" s="7" t="s">
        <v>16811</v>
      </c>
      <c r="B8246" s="8">
        <v>393.75</v>
      </c>
      <c r="C8246" s="8">
        <v>20.426300000000001</v>
      </c>
      <c r="D8246" s="8">
        <v>95</v>
      </c>
      <c r="E8246" s="8">
        <v>0</v>
      </c>
      <c r="F8246" s="8">
        <v>0</v>
      </c>
      <c r="G8246" s="8">
        <v>23</v>
      </c>
      <c r="H8246" s="8" t="s">
        <v>16812</v>
      </c>
      <c r="I8246" s="8">
        <v>526.6875</v>
      </c>
      <c r="J8246" s="3">
        <f t="shared" si="128"/>
        <v>43748.080536493049</v>
      </c>
    </row>
    <row r="8247" spans="1:10" x14ac:dyDescent="0.25">
      <c r="A8247" s="5" t="s">
        <v>16813</v>
      </c>
      <c r="B8247" s="6">
        <v>393.75</v>
      </c>
      <c r="C8247" s="6">
        <v>20.478950000000001</v>
      </c>
      <c r="D8247" s="6">
        <v>96</v>
      </c>
      <c r="E8247" s="6">
        <v>0</v>
      </c>
      <c r="F8247" s="6">
        <v>0</v>
      </c>
      <c r="G8247" s="6">
        <v>30</v>
      </c>
      <c r="H8247" s="6" t="s">
        <v>16814</v>
      </c>
      <c r="I8247" s="6">
        <v>526.6875</v>
      </c>
      <c r="J8247" s="2">
        <f t="shared" si="128"/>
        <v>43748.08061478009</v>
      </c>
    </row>
    <row r="8248" spans="1:10" x14ac:dyDescent="0.25">
      <c r="A8248" s="7" t="s">
        <v>16815</v>
      </c>
      <c r="B8248" s="8">
        <v>393.75</v>
      </c>
      <c r="C8248" s="8">
        <v>20.478950000000001</v>
      </c>
      <c r="D8248" s="8">
        <v>96</v>
      </c>
      <c r="E8248" s="8">
        <v>0</v>
      </c>
      <c r="F8248" s="8">
        <v>0</v>
      </c>
      <c r="G8248" s="8">
        <v>26</v>
      </c>
      <c r="H8248" s="8" t="s">
        <v>16816</v>
      </c>
      <c r="I8248" s="8">
        <v>526.6875</v>
      </c>
      <c r="J8248" s="3">
        <f t="shared" si="128"/>
        <v>43748.080691921299</v>
      </c>
    </row>
    <row r="8249" spans="1:10" x14ac:dyDescent="0.25">
      <c r="A8249" s="5" t="s">
        <v>16817</v>
      </c>
      <c r="B8249" s="6">
        <v>396.875</v>
      </c>
      <c r="C8249" s="6">
        <v>20.478950000000001</v>
      </c>
      <c r="D8249" s="6">
        <v>96</v>
      </c>
      <c r="E8249" s="6">
        <v>0</v>
      </c>
      <c r="F8249" s="6">
        <v>0</v>
      </c>
      <c r="G8249" s="6">
        <v>28</v>
      </c>
      <c r="H8249" s="6" t="s">
        <v>16818</v>
      </c>
      <c r="I8249" s="6">
        <v>527.4375</v>
      </c>
      <c r="J8249" s="2">
        <f t="shared" si="128"/>
        <v>43748.080762465273</v>
      </c>
    </row>
    <row r="8250" spans="1:10" x14ac:dyDescent="0.25">
      <c r="A8250" s="7" t="s">
        <v>16819</v>
      </c>
      <c r="B8250" s="8">
        <v>396.875</v>
      </c>
      <c r="C8250" s="8">
        <v>20.478950000000001</v>
      </c>
      <c r="D8250" s="8">
        <v>94</v>
      </c>
      <c r="E8250" s="8">
        <v>0</v>
      </c>
      <c r="F8250" s="8">
        <v>0</v>
      </c>
      <c r="G8250" s="8">
        <v>29</v>
      </c>
      <c r="H8250" s="8" t="s">
        <v>16820</v>
      </c>
      <c r="I8250" s="8">
        <v>527.4375</v>
      </c>
      <c r="J8250" s="3">
        <f t="shared" si="128"/>
        <v>43748.080834641201</v>
      </c>
    </row>
    <row r="8251" spans="1:10" x14ac:dyDescent="0.25">
      <c r="A8251" s="5" t="s">
        <v>16821</v>
      </c>
      <c r="B8251" s="6">
        <v>396.875</v>
      </c>
      <c r="C8251" s="6">
        <v>20.478950000000001</v>
      </c>
      <c r="D8251" s="6">
        <v>94</v>
      </c>
      <c r="E8251" s="6">
        <v>0</v>
      </c>
      <c r="F8251" s="6">
        <v>0</v>
      </c>
      <c r="G8251" s="6">
        <v>31</v>
      </c>
      <c r="H8251" s="6" t="s">
        <v>16822</v>
      </c>
      <c r="I8251" s="6">
        <v>527.4375</v>
      </c>
      <c r="J8251" s="2">
        <f t="shared" si="128"/>
        <v>43748.080905949071</v>
      </c>
    </row>
    <row r="8252" spans="1:10" x14ac:dyDescent="0.25">
      <c r="A8252" s="7" t="s">
        <v>16823</v>
      </c>
      <c r="B8252" s="8">
        <v>400</v>
      </c>
      <c r="C8252" s="8">
        <v>20.478950000000001</v>
      </c>
      <c r="D8252" s="8">
        <v>94</v>
      </c>
      <c r="E8252" s="8">
        <v>0</v>
      </c>
      <c r="F8252" s="8">
        <v>0</v>
      </c>
      <c r="G8252" s="8">
        <v>38</v>
      </c>
      <c r="H8252" s="8" t="s">
        <v>16824</v>
      </c>
      <c r="I8252" s="8">
        <v>528.1875</v>
      </c>
      <c r="J8252" s="3">
        <f t="shared" si="128"/>
        <v>43748.08097815972</v>
      </c>
    </row>
    <row r="8253" spans="1:10" x14ac:dyDescent="0.25">
      <c r="A8253" s="5" t="s">
        <v>16825</v>
      </c>
      <c r="B8253" s="6">
        <v>400</v>
      </c>
      <c r="C8253" s="6">
        <v>20.478950000000001</v>
      </c>
      <c r="D8253" s="6">
        <v>94</v>
      </c>
      <c r="E8253" s="6">
        <v>0</v>
      </c>
      <c r="F8253" s="6">
        <v>0</v>
      </c>
      <c r="G8253" s="6">
        <v>30</v>
      </c>
      <c r="H8253" s="6" t="s">
        <v>16826</v>
      </c>
      <c r="I8253" s="6">
        <v>528.9375</v>
      </c>
      <c r="J8253" s="2">
        <f t="shared" si="128"/>
        <v>43748.081049456021</v>
      </c>
    </row>
    <row r="8254" spans="1:10" x14ac:dyDescent="0.25">
      <c r="A8254" s="7" t="s">
        <v>16827</v>
      </c>
      <c r="B8254" s="8">
        <v>403.125</v>
      </c>
      <c r="C8254" s="8">
        <v>20.478950000000001</v>
      </c>
      <c r="D8254" s="8">
        <v>94</v>
      </c>
      <c r="E8254" s="8">
        <v>0</v>
      </c>
      <c r="F8254" s="8">
        <v>0</v>
      </c>
      <c r="G8254" s="8">
        <v>23</v>
      </c>
      <c r="H8254" s="8" t="s">
        <v>16828</v>
      </c>
      <c r="I8254" s="8">
        <v>529.125</v>
      </c>
      <c r="J8254" s="3">
        <f t="shared" si="128"/>
        <v>43748.081120740739</v>
      </c>
    </row>
    <row r="8255" spans="1:10" x14ac:dyDescent="0.25">
      <c r="A8255" s="5" t="s">
        <v>16829</v>
      </c>
      <c r="B8255" s="6">
        <v>403.125</v>
      </c>
      <c r="C8255" s="6">
        <v>20.478950000000001</v>
      </c>
      <c r="D8255" s="6">
        <v>94</v>
      </c>
      <c r="E8255" s="6">
        <v>0</v>
      </c>
      <c r="F8255" s="6">
        <v>0</v>
      </c>
      <c r="G8255" s="6">
        <v>26</v>
      </c>
      <c r="H8255" s="6" t="s">
        <v>16830</v>
      </c>
      <c r="I8255" s="6">
        <v>529.125</v>
      </c>
      <c r="J8255" s="2">
        <f t="shared" si="128"/>
        <v>43748.081192106481</v>
      </c>
    </row>
    <row r="8256" spans="1:10" x14ac:dyDescent="0.25">
      <c r="A8256" s="7" t="s">
        <v>16831</v>
      </c>
      <c r="B8256" s="8">
        <v>421.875</v>
      </c>
      <c r="C8256" s="8">
        <v>20.478950000000001</v>
      </c>
      <c r="D8256" s="8">
        <v>94</v>
      </c>
      <c r="E8256" s="8">
        <v>0</v>
      </c>
      <c r="F8256" s="8">
        <v>0</v>
      </c>
      <c r="G8256" s="8">
        <v>21</v>
      </c>
      <c r="H8256" s="8" t="s">
        <v>16832</v>
      </c>
      <c r="I8256" s="8">
        <v>535.125</v>
      </c>
      <c r="J8256" s="3">
        <f t="shared" si="128"/>
        <v>43748.081265243054</v>
      </c>
    </row>
    <row r="8257" spans="1:10" x14ac:dyDescent="0.25">
      <c r="A8257" s="5" t="s">
        <v>16833</v>
      </c>
      <c r="B8257" s="6">
        <v>403.125</v>
      </c>
      <c r="C8257" s="6">
        <v>20.478950000000001</v>
      </c>
      <c r="D8257" s="6">
        <v>94</v>
      </c>
      <c r="E8257" s="6">
        <v>0</v>
      </c>
      <c r="F8257" s="6">
        <v>0</v>
      </c>
      <c r="G8257" s="6">
        <v>27</v>
      </c>
      <c r="H8257" s="6" t="s">
        <v>16834</v>
      </c>
      <c r="I8257" s="6">
        <v>529.125</v>
      </c>
      <c r="J8257" s="2">
        <f t="shared" si="128"/>
        <v>43748.081347604166</v>
      </c>
    </row>
    <row r="8258" spans="1:10" x14ac:dyDescent="0.25">
      <c r="A8258" s="7" t="s">
        <v>16835</v>
      </c>
      <c r="B8258" s="8">
        <v>403.125</v>
      </c>
      <c r="C8258" s="8">
        <v>20.478950000000001</v>
      </c>
      <c r="D8258" s="8">
        <v>94</v>
      </c>
      <c r="E8258" s="8">
        <v>0</v>
      </c>
      <c r="F8258" s="8">
        <v>0</v>
      </c>
      <c r="G8258" s="8">
        <v>20</v>
      </c>
      <c r="H8258" s="8" t="s">
        <v>16836</v>
      </c>
      <c r="I8258" s="8">
        <v>529.875</v>
      </c>
      <c r="J8258" s="3">
        <f t="shared" ref="J8258:J8321" si="129">(H8258/86400000)+25569+(7/24)</f>
        <v>43748.08141890046</v>
      </c>
    </row>
    <row r="8259" spans="1:10" x14ac:dyDescent="0.25">
      <c r="A8259" s="5" t="s">
        <v>16837</v>
      </c>
      <c r="B8259" s="6">
        <v>403.125</v>
      </c>
      <c r="C8259" s="6">
        <v>20.426300000000001</v>
      </c>
      <c r="D8259" s="6">
        <v>94</v>
      </c>
      <c r="E8259" s="6">
        <v>0</v>
      </c>
      <c r="F8259" s="6">
        <v>0</v>
      </c>
      <c r="G8259" s="6">
        <v>35</v>
      </c>
      <c r="H8259" s="6" t="s">
        <v>16838</v>
      </c>
      <c r="I8259" s="6">
        <v>529.6875</v>
      </c>
      <c r="J8259" s="2">
        <f t="shared" si="129"/>
        <v>43748.08149024305</v>
      </c>
    </row>
    <row r="8260" spans="1:10" x14ac:dyDescent="0.25">
      <c r="A8260" s="7" t="s">
        <v>16839</v>
      </c>
      <c r="B8260" s="8">
        <v>403.125</v>
      </c>
      <c r="C8260" s="8">
        <v>20.478950000000001</v>
      </c>
      <c r="D8260" s="8">
        <v>94</v>
      </c>
      <c r="E8260" s="8">
        <v>0</v>
      </c>
      <c r="F8260" s="8">
        <v>0</v>
      </c>
      <c r="G8260" s="8">
        <v>33</v>
      </c>
      <c r="H8260" s="8" t="s">
        <v>16840</v>
      </c>
      <c r="I8260" s="8">
        <v>529.875</v>
      </c>
      <c r="J8260" s="3">
        <f t="shared" si="129"/>
        <v>43748.081562407409</v>
      </c>
    </row>
    <row r="8261" spans="1:10" x14ac:dyDescent="0.25">
      <c r="A8261" s="5" t="s">
        <v>16841</v>
      </c>
      <c r="B8261" s="6">
        <v>403.125</v>
      </c>
      <c r="C8261" s="6">
        <v>20.478950000000001</v>
      </c>
      <c r="D8261" s="6">
        <v>93</v>
      </c>
      <c r="E8261" s="6">
        <v>0</v>
      </c>
      <c r="F8261" s="6">
        <v>0</v>
      </c>
      <c r="G8261" s="6">
        <v>24</v>
      </c>
      <c r="H8261" s="6" t="s">
        <v>16842</v>
      </c>
      <c r="I8261" s="6">
        <v>529.875</v>
      </c>
      <c r="J8261" s="2">
        <f t="shared" si="129"/>
        <v>43748.081633703703</v>
      </c>
    </row>
    <row r="8262" spans="1:10" x14ac:dyDescent="0.25">
      <c r="A8262" s="7" t="s">
        <v>16843</v>
      </c>
      <c r="B8262" s="8">
        <v>403.125</v>
      </c>
      <c r="C8262" s="8">
        <v>20.478950000000001</v>
      </c>
      <c r="D8262" s="8">
        <v>93</v>
      </c>
      <c r="E8262" s="8">
        <v>0</v>
      </c>
      <c r="F8262" s="8">
        <v>0</v>
      </c>
      <c r="G8262" s="8">
        <v>28</v>
      </c>
      <c r="H8262" s="8" t="s">
        <v>16844</v>
      </c>
      <c r="I8262" s="8">
        <v>529.125</v>
      </c>
      <c r="J8262" s="3">
        <f t="shared" si="129"/>
        <v>43748.081705011573</v>
      </c>
    </row>
    <row r="8263" spans="1:10" x14ac:dyDescent="0.25">
      <c r="A8263" s="5" t="s">
        <v>16845</v>
      </c>
      <c r="B8263" s="6">
        <v>403.125</v>
      </c>
      <c r="C8263" s="6">
        <v>20.478950000000001</v>
      </c>
      <c r="D8263" s="6">
        <v>94</v>
      </c>
      <c r="E8263" s="6">
        <v>0</v>
      </c>
      <c r="F8263" s="6">
        <v>0</v>
      </c>
      <c r="G8263" s="6">
        <v>24</v>
      </c>
      <c r="H8263" s="6" t="s">
        <v>16846</v>
      </c>
      <c r="I8263" s="6">
        <v>529.125</v>
      </c>
      <c r="J8263" s="2">
        <f t="shared" si="129"/>
        <v>43748.081777060179</v>
      </c>
    </row>
    <row r="8264" spans="1:10" x14ac:dyDescent="0.25">
      <c r="A8264" s="7" t="s">
        <v>16847</v>
      </c>
      <c r="B8264" s="8">
        <v>418.75</v>
      </c>
      <c r="C8264" s="8">
        <v>20.478950000000001</v>
      </c>
      <c r="D8264" s="8">
        <v>94</v>
      </c>
      <c r="E8264" s="8">
        <v>0</v>
      </c>
      <c r="F8264" s="8">
        <v>0</v>
      </c>
      <c r="G8264" s="8">
        <v>27</v>
      </c>
      <c r="H8264" s="8" t="s">
        <v>16848</v>
      </c>
      <c r="I8264" s="8">
        <v>534.75</v>
      </c>
      <c r="J8264" s="3">
        <f t="shared" si="129"/>
        <v>43748.081848518515</v>
      </c>
    </row>
    <row r="8265" spans="1:10" x14ac:dyDescent="0.25">
      <c r="A8265" s="5" t="s">
        <v>16849</v>
      </c>
      <c r="B8265" s="6">
        <v>403.125</v>
      </c>
      <c r="C8265" s="6">
        <v>20.478950000000001</v>
      </c>
      <c r="D8265" s="6">
        <v>94</v>
      </c>
      <c r="E8265" s="6">
        <v>0</v>
      </c>
      <c r="F8265" s="6">
        <v>0</v>
      </c>
      <c r="G8265" s="6">
        <v>32</v>
      </c>
      <c r="H8265" s="6" t="s">
        <v>16850</v>
      </c>
      <c r="I8265" s="6">
        <v>529.125</v>
      </c>
      <c r="J8265" s="2">
        <f t="shared" si="129"/>
        <v>43748.081919768512</v>
      </c>
    </row>
    <row r="8266" spans="1:10" x14ac:dyDescent="0.25">
      <c r="A8266" s="7" t="s">
        <v>16851</v>
      </c>
      <c r="B8266" s="8">
        <v>400</v>
      </c>
      <c r="C8266" s="8">
        <v>20.478950000000001</v>
      </c>
      <c r="D8266" s="8">
        <v>93</v>
      </c>
      <c r="E8266" s="8">
        <v>0</v>
      </c>
      <c r="F8266" s="8">
        <v>0</v>
      </c>
      <c r="G8266" s="8">
        <v>30</v>
      </c>
      <c r="H8266" s="8" t="s">
        <v>16852</v>
      </c>
      <c r="I8266" s="8">
        <v>528.1875</v>
      </c>
      <c r="J8266" s="3">
        <f t="shared" si="129"/>
        <v>43748.081991122679</v>
      </c>
    </row>
    <row r="8267" spans="1:10" x14ac:dyDescent="0.25">
      <c r="A8267" s="5" t="s">
        <v>16853</v>
      </c>
      <c r="B8267" s="6">
        <v>400</v>
      </c>
      <c r="C8267" s="6">
        <v>20.478950000000001</v>
      </c>
      <c r="D8267" s="6">
        <v>94</v>
      </c>
      <c r="E8267" s="6">
        <v>0</v>
      </c>
      <c r="F8267" s="6">
        <v>0</v>
      </c>
      <c r="G8267" s="6">
        <v>21</v>
      </c>
      <c r="H8267" s="6" t="s">
        <v>16854</v>
      </c>
      <c r="I8267" s="6">
        <v>528.1875</v>
      </c>
      <c r="J8267" s="2">
        <f t="shared" si="129"/>
        <v>43748.082063344904</v>
      </c>
    </row>
    <row r="8268" spans="1:10" x14ac:dyDescent="0.25">
      <c r="A8268" s="7" t="s">
        <v>16855</v>
      </c>
      <c r="B8268" s="8">
        <v>425</v>
      </c>
      <c r="C8268" s="8">
        <v>20.478950000000001</v>
      </c>
      <c r="D8268" s="8">
        <v>93</v>
      </c>
      <c r="E8268" s="8">
        <v>0</v>
      </c>
      <c r="F8268" s="8">
        <v>0</v>
      </c>
      <c r="G8268" s="8">
        <v>25</v>
      </c>
      <c r="H8268" s="8" t="s">
        <v>16856</v>
      </c>
      <c r="I8268" s="8">
        <v>536.25</v>
      </c>
      <c r="J8268" s="3">
        <f t="shared" si="129"/>
        <v>43748.082134641205</v>
      </c>
    </row>
    <row r="8269" spans="1:10" x14ac:dyDescent="0.25">
      <c r="A8269" s="5" t="s">
        <v>16857</v>
      </c>
      <c r="B8269" s="6">
        <v>396.875</v>
      </c>
      <c r="C8269" s="6">
        <v>20.478950000000001</v>
      </c>
      <c r="D8269" s="6">
        <v>94</v>
      </c>
      <c r="E8269" s="6">
        <v>0</v>
      </c>
      <c r="F8269" s="6">
        <v>0</v>
      </c>
      <c r="G8269" s="6">
        <v>19</v>
      </c>
      <c r="H8269" s="6" t="s">
        <v>16858</v>
      </c>
      <c r="I8269" s="6">
        <v>527.4375</v>
      </c>
      <c r="J8269" s="2">
        <f t="shared" si="129"/>
        <v>43748.082205937499</v>
      </c>
    </row>
    <row r="8270" spans="1:10" x14ac:dyDescent="0.25">
      <c r="A8270" s="7" t="s">
        <v>16859</v>
      </c>
      <c r="B8270" s="8">
        <v>396.875</v>
      </c>
      <c r="C8270" s="8">
        <v>20.478950000000001</v>
      </c>
      <c r="D8270" s="8">
        <v>95</v>
      </c>
      <c r="E8270" s="8">
        <v>0</v>
      </c>
      <c r="F8270" s="8">
        <v>0</v>
      </c>
      <c r="G8270" s="8">
        <v>17</v>
      </c>
      <c r="H8270" s="8" t="s">
        <v>16860</v>
      </c>
      <c r="I8270" s="8">
        <v>527.4375</v>
      </c>
      <c r="J8270" s="3">
        <f t="shared" si="129"/>
        <v>43748.082277986112</v>
      </c>
    </row>
    <row r="8271" spans="1:10" x14ac:dyDescent="0.25">
      <c r="A8271" s="5" t="s">
        <v>16861</v>
      </c>
      <c r="B8271" s="6">
        <v>396.875</v>
      </c>
      <c r="C8271" s="6">
        <v>20.426300000000001</v>
      </c>
      <c r="D8271" s="6">
        <v>95</v>
      </c>
      <c r="E8271" s="6">
        <v>0</v>
      </c>
      <c r="F8271" s="6">
        <v>0</v>
      </c>
      <c r="G8271" s="6">
        <v>19</v>
      </c>
      <c r="H8271" s="6" t="s">
        <v>16862</v>
      </c>
      <c r="I8271" s="6">
        <v>527.625</v>
      </c>
      <c r="J8271" s="2">
        <f t="shared" si="129"/>
        <v>43748.082348587959</v>
      </c>
    </row>
    <row r="8272" spans="1:10" x14ac:dyDescent="0.25">
      <c r="A8272" s="7" t="s">
        <v>16863</v>
      </c>
      <c r="B8272" s="8">
        <v>396.875</v>
      </c>
      <c r="C8272" s="8">
        <v>20.426300000000001</v>
      </c>
      <c r="D8272" s="8">
        <v>95</v>
      </c>
      <c r="E8272" s="8">
        <v>0</v>
      </c>
      <c r="F8272" s="8">
        <v>0</v>
      </c>
      <c r="G8272" s="8">
        <v>20</v>
      </c>
      <c r="H8272" s="8" t="s">
        <v>16864</v>
      </c>
      <c r="I8272" s="8">
        <v>527.4375</v>
      </c>
      <c r="J8272" s="3">
        <f t="shared" si="129"/>
        <v>43748.082420752311</v>
      </c>
    </row>
    <row r="8273" spans="1:10" x14ac:dyDescent="0.25">
      <c r="A8273" s="5" t="s">
        <v>16865</v>
      </c>
      <c r="B8273" s="6">
        <v>396.875</v>
      </c>
      <c r="C8273" s="6">
        <v>20.478950000000001</v>
      </c>
      <c r="D8273" s="6">
        <v>95</v>
      </c>
      <c r="E8273" s="6">
        <v>0</v>
      </c>
      <c r="F8273" s="6">
        <v>0</v>
      </c>
      <c r="G8273" s="6">
        <v>23</v>
      </c>
      <c r="H8273" s="6" t="s">
        <v>16866</v>
      </c>
      <c r="I8273" s="6">
        <v>527.4375</v>
      </c>
      <c r="J8273" s="2">
        <f t="shared" si="129"/>
        <v>43748.082506122686</v>
      </c>
    </row>
    <row r="8274" spans="1:10" x14ac:dyDescent="0.25">
      <c r="A8274" s="7" t="s">
        <v>16867</v>
      </c>
      <c r="B8274" s="8">
        <v>393.75</v>
      </c>
      <c r="C8274" s="8">
        <v>20.478950000000001</v>
      </c>
      <c r="D8274" s="8">
        <v>94</v>
      </c>
      <c r="E8274" s="8">
        <v>0</v>
      </c>
      <c r="F8274" s="8">
        <v>0</v>
      </c>
      <c r="G8274" s="8">
        <v>26</v>
      </c>
      <c r="H8274" s="8" t="s">
        <v>16868</v>
      </c>
      <c r="I8274" s="8">
        <v>526.5</v>
      </c>
      <c r="J8274" s="3">
        <f t="shared" si="129"/>
        <v>43748.082587418983</v>
      </c>
    </row>
    <row r="8275" spans="1:10" x14ac:dyDescent="0.25">
      <c r="A8275" s="5" t="s">
        <v>16869</v>
      </c>
      <c r="B8275" s="6">
        <v>415.625</v>
      </c>
      <c r="C8275" s="6">
        <v>20.478950000000001</v>
      </c>
      <c r="D8275" s="6">
        <v>94</v>
      </c>
      <c r="E8275" s="6">
        <v>0</v>
      </c>
      <c r="F8275" s="6">
        <v>0</v>
      </c>
      <c r="G8275" s="6">
        <v>25</v>
      </c>
      <c r="H8275" s="6" t="s">
        <v>16870</v>
      </c>
      <c r="I8275" s="6">
        <v>533.4375</v>
      </c>
      <c r="J8275" s="2">
        <f t="shared" si="129"/>
        <v>43748.082659652777</v>
      </c>
    </row>
    <row r="8276" spans="1:10" x14ac:dyDescent="0.25">
      <c r="A8276" s="7" t="s">
        <v>16871</v>
      </c>
      <c r="B8276" s="8">
        <v>393.75</v>
      </c>
      <c r="C8276" s="8">
        <v>20.426300000000001</v>
      </c>
      <c r="D8276" s="8">
        <v>94</v>
      </c>
      <c r="E8276" s="8">
        <v>0</v>
      </c>
      <c r="F8276" s="8">
        <v>0</v>
      </c>
      <c r="G8276" s="8">
        <v>19</v>
      </c>
      <c r="H8276" s="8" t="s">
        <v>16872</v>
      </c>
      <c r="I8276" s="8">
        <v>526.6875</v>
      </c>
      <c r="J8276" s="3">
        <f t="shared" si="129"/>
        <v>43748.082730925926</v>
      </c>
    </row>
    <row r="8277" spans="1:10" x14ac:dyDescent="0.25">
      <c r="A8277" s="5" t="s">
        <v>16873</v>
      </c>
      <c r="B8277" s="6">
        <v>393.75</v>
      </c>
      <c r="C8277" s="6">
        <v>20.478950000000001</v>
      </c>
      <c r="D8277" s="6">
        <v>94</v>
      </c>
      <c r="E8277" s="6">
        <v>0</v>
      </c>
      <c r="F8277" s="6">
        <v>0</v>
      </c>
      <c r="G8277" s="6">
        <v>29</v>
      </c>
      <c r="H8277" s="6" t="s">
        <v>16874</v>
      </c>
      <c r="I8277" s="6">
        <v>526.6875</v>
      </c>
      <c r="J8277" s="2">
        <f t="shared" si="129"/>
        <v>43748.082802222219</v>
      </c>
    </row>
    <row r="8278" spans="1:10" x14ac:dyDescent="0.25">
      <c r="A8278" s="7" t="s">
        <v>16875</v>
      </c>
      <c r="B8278" s="8">
        <v>393.75</v>
      </c>
      <c r="C8278" s="8">
        <v>20.478950000000001</v>
      </c>
      <c r="D8278" s="8">
        <v>100</v>
      </c>
      <c r="E8278" s="8">
        <v>0</v>
      </c>
      <c r="F8278" s="8">
        <v>0</v>
      </c>
      <c r="G8278" s="8">
        <v>31</v>
      </c>
      <c r="H8278" s="8" t="s">
        <v>16876</v>
      </c>
      <c r="I8278" s="8">
        <v>526.6875</v>
      </c>
      <c r="J8278" s="3">
        <f t="shared" si="129"/>
        <v>43748.082873576386</v>
      </c>
    </row>
    <row r="8279" spans="1:10" x14ac:dyDescent="0.25">
      <c r="A8279" s="5" t="s">
        <v>16877</v>
      </c>
      <c r="B8279" s="6">
        <v>393.75</v>
      </c>
      <c r="C8279" s="6">
        <v>20.478950000000001</v>
      </c>
      <c r="D8279" s="6">
        <v>99</v>
      </c>
      <c r="E8279" s="6">
        <v>0</v>
      </c>
      <c r="F8279" s="6">
        <v>0</v>
      </c>
      <c r="G8279" s="6">
        <v>26</v>
      </c>
      <c r="H8279" s="6" t="s">
        <v>16878</v>
      </c>
      <c r="I8279" s="6">
        <v>526.6875</v>
      </c>
      <c r="J8279" s="2">
        <f t="shared" si="129"/>
        <v>43748.082945694441</v>
      </c>
    </row>
    <row r="8280" spans="1:10" x14ac:dyDescent="0.25">
      <c r="A8280" s="7" t="s">
        <v>16879</v>
      </c>
      <c r="B8280" s="8">
        <v>393.75</v>
      </c>
      <c r="C8280" s="8">
        <v>20.478950000000001</v>
      </c>
      <c r="D8280" s="8">
        <v>99</v>
      </c>
      <c r="E8280" s="8">
        <v>0</v>
      </c>
      <c r="F8280" s="8">
        <v>0</v>
      </c>
      <c r="G8280" s="8">
        <v>17</v>
      </c>
      <c r="H8280" s="8" t="s">
        <v>16880</v>
      </c>
      <c r="I8280" s="8">
        <v>526.6875</v>
      </c>
      <c r="J8280" s="3">
        <f t="shared" si="129"/>
        <v>43748.083017037039</v>
      </c>
    </row>
    <row r="8281" spans="1:10" x14ac:dyDescent="0.25">
      <c r="A8281" s="5" t="s">
        <v>16881</v>
      </c>
      <c r="B8281" s="6">
        <v>393.75</v>
      </c>
      <c r="C8281" s="6">
        <v>20.478950000000001</v>
      </c>
      <c r="D8281" s="6">
        <v>98</v>
      </c>
      <c r="E8281" s="6">
        <v>0</v>
      </c>
      <c r="F8281" s="6">
        <v>0</v>
      </c>
      <c r="G8281" s="6">
        <v>27</v>
      </c>
      <c r="H8281" s="6" t="s">
        <v>16882</v>
      </c>
      <c r="I8281" s="6">
        <v>526.6875</v>
      </c>
      <c r="J8281" s="2">
        <f t="shared" si="129"/>
        <v>43748.083088344902</v>
      </c>
    </row>
    <row r="8282" spans="1:10" x14ac:dyDescent="0.25">
      <c r="A8282" s="7" t="s">
        <v>16883</v>
      </c>
      <c r="B8282" s="8">
        <v>393.75</v>
      </c>
      <c r="C8282" s="8">
        <v>20.478950000000001</v>
      </c>
      <c r="D8282" s="8">
        <v>98</v>
      </c>
      <c r="E8282" s="8">
        <v>0</v>
      </c>
      <c r="F8282" s="8">
        <v>0</v>
      </c>
      <c r="G8282" s="8">
        <v>26</v>
      </c>
      <c r="H8282" s="8" t="s">
        <v>16884</v>
      </c>
      <c r="I8282" s="8">
        <v>526.6875</v>
      </c>
      <c r="J8282" s="3">
        <f t="shared" si="129"/>
        <v>43748.083160509261</v>
      </c>
    </row>
    <row r="8283" spans="1:10" x14ac:dyDescent="0.25">
      <c r="A8283" s="5" t="s">
        <v>16885</v>
      </c>
      <c r="B8283" s="6">
        <v>393.75</v>
      </c>
      <c r="C8283" s="6">
        <v>20.478950000000001</v>
      </c>
      <c r="D8283" s="6">
        <v>93</v>
      </c>
      <c r="E8283" s="6">
        <v>0</v>
      </c>
      <c r="F8283" s="6">
        <v>0</v>
      </c>
      <c r="G8283" s="6">
        <v>28</v>
      </c>
      <c r="H8283" s="6" t="s">
        <v>16886</v>
      </c>
      <c r="I8283" s="6">
        <v>526.6875</v>
      </c>
      <c r="J8283" s="2">
        <f t="shared" si="129"/>
        <v>43748.083231874996</v>
      </c>
    </row>
    <row r="8284" spans="1:10" x14ac:dyDescent="0.25">
      <c r="A8284" s="7" t="s">
        <v>16887</v>
      </c>
      <c r="B8284" s="8">
        <v>393.75</v>
      </c>
      <c r="C8284" s="8">
        <v>20.478950000000001</v>
      </c>
      <c r="D8284" s="8">
        <v>92</v>
      </c>
      <c r="E8284" s="8">
        <v>0</v>
      </c>
      <c r="F8284" s="8">
        <v>0</v>
      </c>
      <c r="G8284" s="8">
        <v>15</v>
      </c>
      <c r="H8284" s="8" t="s">
        <v>16888</v>
      </c>
      <c r="I8284" s="8">
        <v>526.6875</v>
      </c>
      <c r="J8284" s="3">
        <f t="shared" si="129"/>
        <v>43748.083303159721</v>
      </c>
    </row>
    <row r="8285" spans="1:10" x14ac:dyDescent="0.25">
      <c r="A8285" s="5" t="s">
        <v>16889</v>
      </c>
      <c r="B8285" s="6">
        <v>393.75</v>
      </c>
      <c r="C8285" s="6">
        <v>20.478950000000001</v>
      </c>
      <c r="D8285" s="6">
        <v>94</v>
      </c>
      <c r="E8285" s="6">
        <v>0</v>
      </c>
      <c r="F8285" s="6">
        <v>0</v>
      </c>
      <c r="G8285" s="6">
        <v>22</v>
      </c>
      <c r="H8285" s="6" t="s">
        <v>16890</v>
      </c>
      <c r="I8285" s="6">
        <v>526.6875</v>
      </c>
      <c r="J8285" s="2">
        <f t="shared" si="129"/>
        <v>43748.083386481478</v>
      </c>
    </row>
    <row r="8286" spans="1:10" x14ac:dyDescent="0.25">
      <c r="A8286" s="7" t="s">
        <v>16891</v>
      </c>
      <c r="B8286" s="8">
        <v>412.5</v>
      </c>
      <c r="C8286" s="8">
        <v>20.478950000000001</v>
      </c>
      <c r="D8286" s="8">
        <v>92</v>
      </c>
      <c r="E8286" s="8">
        <v>0</v>
      </c>
      <c r="F8286" s="8">
        <v>0</v>
      </c>
      <c r="G8286" s="8">
        <v>19</v>
      </c>
      <c r="H8286" s="8" t="s">
        <v>16892</v>
      </c>
      <c r="I8286" s="8">
        <v>532.875</v>
      </c>
      <c r="J8286" s="3">
        <f t="shared" si="129"/>
        <v>43748.083481874994</v>
      </c>
    </row>
    <row r="8287" spans="1:10" x14ac:dyDescent="0.25">
      <c r="A8287" s="5" t="s">
        <v>16893</v>
      </c>
      <c r="B8287" s="6">
        <v>393.75</v>
      </c>
      <c r="C8287" s="6">
        <v>20.478950000000001</v>
      </c>
      <c r="D8287" s="6">
        <v>92</v>
      </c>
      <c r="E8287" s="6">
        <v>0</v>
      </c>
      <c r="F8287" s="6">
        <v>0</v>
      </c>
      <c r="G8287" s="6">
        <v>19</v>
      </c>
      <c r="H8287" s="6" t="s">
        <v>16894</v>
      </c>
      <c r="I8287" s="6">
        <v>526.6875</v>
      </c>
      <c r="J8287" s="2">
        <f t="shared" si="129"/>
        <v>43748.083554097218</v>
      </c>
    </row>
    <row r="8288" spans="1:10" x14ac:dyDescent="0.25">
      <c r="A8288" s="7" t="s">
        <v>16895</v>
      </c>
      <c r="B8288" s="8">
        <v>393.75</v>
      </c>
      <c r="C8288" s="8">
        <v>20.478950000000001</v>
      </c>
      <c r="D8288" s="8">
        <v>92</v>
      </c>
      <c r="E8288" s="8">
        <v>0</v>
      </c>
      <c r="F8288" s="8">
        <v>0</v>
      </c>
      <c r="G8288" s="8">
        <v>25</v>
      </c>
      <c r="H8288" s="8" t="s">
        <v>16896</v>
      </c>
      <c r="I8288" s="8">
        <v>526.6875</v>
      </c>
      <c r="J8288" s="3">
        <f t="shared" si="129"/>
        <v>43748.083625312494</v>
      </c>
    </row>
    <row r="8289" spans="1:10" x14ac:dyDescent="0.25">
      <c r="A8289" s="5" t="s">
        <v>16897</v>
      </c>
      <c r="B8289" s="6">
        <v>393.75</v>
      </c>
      <c r="C8289" s="6">
        <v>20.478950000000001</v>
      </c>
      <c r="D8289" s="6">
        <v>91</v>
      </c>
      <c r="E8289" s="6">
        <v>0</v>
      </c>
      <c r="F8289" s="6">
        <v>0</v>
      </c>
      <c r="G8289" s="6">
        <v>22</v>
      </c>
      <c r="H8289" s="6" t="s">
        <v>16898</v>
      </c>
      <c r="I8289" s="6">
        <v>526.6875</v>
      </c>
      <c r="J8289" s="2">
        <f t="shared" si="129"/>
        <v>43748.083696574067</v>
      </c>
    </row>
    <row r="8290" spans="1:10" x14ac:dyDescent="0.25">
      <c r="A8290" s="7" t="s">
        <v>16899</v>
      </c>
      <c r="B8290" s="8">
        <v>412.5</v>
      </c>
      <c r="C8290" s="8">
        <v>20.478950000000001</v>
      </c>
      <c r="D8290" s="8">
        <v>91</v>
      </c>
      <c r="E8290" s="8">
        <v>0</v>
      </c>
      <c r="F8290" s="8">
        <v>0</v>
      </c>
      <c r="G8290" s="8">
        <v>22</v>
      </c>
      <c r="H8290" s="8" t="s">
        <v>16900</v>
      </c>
      <c r="I8290" s="8">
        <v>532.3125</v>
      </c>
      <c r="J8290" s="3">
        <f t="shared" si="129"/>
        <v>43748.083768067132</v>
      </c>
    </row>
    <row r="8291" spans="1:10" x14ac:dyDescent="0.25">
      <c r="A8291" s="5" t="s">
        <v>16901</v>
      </c>
      <c r="B8291" s="6">
        <v>393.75</v>
      </c>
      <c r="C8291" s="6">
        <v>20.478950000000001</v>
      </c>
      <c r="D8291" s="6">
        <v>91</v>
      </c>
      <c r="E8291" s="6">
        <v>0</v>
      </c>
      <c r="F8291" s="6">
        <v>0</v>
      </c>
      <c r="G8291" s="6">
        <v>24</v>
      </c>
      <c r="H8291" s="6" t="s">
        <v>16902</v>
      </c>
      <c r="I8291" s="6">
        <v>526.6875</v>
      </c>
      <c r="J8291" s="2">
        <f t="shared" si="129"/>
        <v>43748.083840208332</v>
      </c>
    </row>
    <row r="8292" spans="1:10" x14ac:dyDescent="0.25">
      <c r="A8292" s="7" t="s">
        <v>16903</v>
      </c>
      <c r="B8292" s="8">
        <v>393.75</v>
      </c>
      <c r="C8292" s="8">
        <v>20.478950000000001</v>
      </c>
      <c r="D8292" s="8">
        <v>91</v>
      </c>
      <c r="E8292" s="8">
        <v>0</v>
      </c>
      <c r="F8292" s="8">
        <v>0</v>
      </c>
      <c r="G8292" s="8">
        <v>26</v>
      </c>
      <c r="H8292" s="8" t="s">
        <v>16904</v>
      </c>
      <c r="I8292" s="8">
        <v>526.6875</v>
      </c>
      <c r="J8292" s="3">
        <f t="shared" si="129"/>
        <v>43748.083911087961</v>
      </c>
    </row>
    <row r="8293" spans="1:10" x14ac:dyDescent="0.25">
      <c r="A8293" s="5" t="s">
        <v>16905</v>
      </c>
      <c r="B8293" s="6">
        <v>393.75</v>
      </c>
      <c r="C8293" s="6">
        <v>20.478950000000001</v>
      </c>
      <c r="D8293" s="6">
        <v>92</v>
      </c>
      <c r="E8293" s="6">
        <v>0</v>
      </c>
      <c r="F8293" s="6">
        <v>0</v>
      </c>
      <c r="G8293" s="6">
        <v>27</v>
      </c>
      <c r="H8293" s="6" t="s">
        <v>16906</v>
      </c>
      <c r="I8293" s="6">
        <v>526.5</v>
      </c>
      <c r="J8293" s="2">
        <f t="shared" si="129"/>
        <v>43748.083982777775</v>
      </c>
    </row>
    <row r="8294" spans="1:10" x14ac:dyDescent="0.25">
      <c r="A8294" s="7" t="s">
        <v>16907</v>
      </c>
      <c r="B8294" s="8">
        <v>425</v>
      </c>
      <c r="C8294" s="8">
        <v>20.478950000000001</v>
      </c>
      <c r="D8294" s="8">
        <v>91</v>
      </c>
      <c r="E8294" s="8">
        <v>0</v>
      </c>
      <c r="F8294" s="8">
        <v>0</v>
      </c>
      <c r="G8294" s="8">
        <v>26</v>
      </c>
      <c r="H8294" s="8" t="s">
        <v>16908</v>
      </c>
      <c r="I8294" s="8">
        <v>536.0625</v>
      </c>
      <c r="J8294" s="3">
        <f t="shared" si="129"/>
        <v>43748.084054826388</v>
      </c>
    </row>
    <row r="8295" spans="1:10" x14ac:dyDescent="0.25">
      <c r="A8295" s="5" t="s">
        <v>16909</v>
      </c>
      <c r="B8295" s="6">
        <v>393.75</v>
      </c>
      <c r="C8295" s="6">
        <v>20.478950000000001</v>
      </c>
      <c r="D8295" s="6">
        <v>91</v>
      </c>
      <c r="E8295" s="6">
        <v>0</v>
      </c>
      <c r="F8295" s="6">
        <v>0</v>
      </c>
      <c r="G8295" s="6">
        <v>30</v>
      </c>
      <c r="H8295" s="6" t="s">
        <v>16910</v>
      </c>
      <c r="I8295" s="6">
        <v>526.6875</v>
      </c>
      <c r="J8295" s="2">
        <f t="shared" si="129"/>
        <v>43748.084125439811</v>
      </c>
    </row>
    <row r="8296" spans="1:10" x14ac:dyDescent="0.25">
      <c r="A8296" s="7" t="s">
        <v>16911</v>
      </c>
      <c r="B8296" s="8">
        <v>393.75</v>
      </c>
      <c r="C8296" s="8">
        <v>20.478950000000001</v>
      </c>
      <c r="D8296" s="8">
        <v>88</v>
      </c>
      <c r="E8296" s="8">
        <v>0</v>
      </c>
      <c r="F8296" s="8">
        <v>0</v>
      </c>
      <c r="G8296" s="8">
        <v>29</v>
      </c>
      <c r="H8296" s="8" t="s">
        <v>16912</v>
      </c>
      <c r="I8296" s="8">
        <v>526.6875</v>
      </c>
      <c r="J8296" s="3">
        <f t="shared" si="129"/>
        <v>43748.08419754629</v>
      </c>
    </row>
    <row r="8297" spans="1:10" x14ac:dyDescent="0.25">
      <c r="A8297" s="5" t="s">
        <v>16913</v>
      </c>
      <c r="B8297" s="6">
        <v>393.75</v>
      </c>
      <c r="C8297" s="6">
        <v>20.478950000000001</v>
      </c>
      <c r="D8297" s="6">
        <v>89</v>
      </c>
      <c r="E8297" s="6">
        <v>0</v>
      </c>
      <c r="F8297" s="6">
        <v>0</v>
      </c>
      <c r="G8297" s="6">
        <v>27</v>
      </c>
      <c r="H8297" s="6" t="s">
        <v>16914</v>
      </c>
      <c r="I8297" s="6">
        <v>526.6875</v>
      </c>
      <c r="J8297" s="2">
        <f t="shared" si="129"/>
        <v>43748.084268888888</v>
      </c>
    </row>
    <row r="8298" spans="1:10" x14ac:dyDescent="0.25">
      <c r="A8298" s="7" t="s">
        <v>16915</v>
      </c>
      <c r="B8298" s="8">
        <v>393.75</v>
      </c>
      <c r="C8298" s="8">
        <v>20.478950000000001</v>
      </c>
      <c r="D8298" s="8">
        <v>89</v>
      </c>
      <c r="E8298" s="8">
        <v>0</v>
      </c>
      <c r="F8298" s="8">
        <v>0</v>
      </c>
      <c r="G8298" s="8">
        <v>24</v>
      </c>
      <c r="H8298" s="8" t="s">
        <v>16916</v>
      </c>
      <c r="I8298" s="8">
        <v>526.6875</v>
      </c>
      <c r="J8298" s="3">
        <f t="shared" si="129"/>
        <v>43748.084341134258</v>
      </c>
    </row>
    <row r="8299" spans="1:10" x14ac:dyDescent="0.25">
      <c r="A8299" s="5" t="s">
        <v>16917</v>
      </c>
      <c r="B8299" s="6">
        <v>393.75</v>
      </c>
      <c r="C8299" s="6">
        <v>20.478950000000001</v>
      </c>
      <c r="D8299" s="6">
        <v>89</v>
      </c>
      <c r="E8299" s="6">
        <v>0</v>
      </c>
      <c r="F8299" s="6">
        <v>0</v>
      </c>
      <c r="G8299" s="6">
        <v>23</v>
      </c>
      <c r="H8299" s="6" t="s">
        <v>16918</v>
      </c>
      <c r="I8299" s="6">
        <v>526.6875</v>
      </c>
      <c r="J8299" s="2">
        <f t="shared" si="129"/>
        <v>43748.084412407406</v>
      </c>
    </row>
    <row r="8300" spans="1:10" x14ac:dyDescent="0.25">
      <c r="A8300" s="7" t="s">
        <v>16919</v>
      </c>
      <c r="B8300" s="8">
        <v>393.75</v>
      </c>
      <c r="C8300" s="8">
        <v>20.478950000000001</v>
      </c>
      <c r="D8300" s="8">
        <v>89</v>
      </c>
      <c r="E8300" s="8">
        <v>0</v>
      </c>
      <c r="F8300" s="8">
        <v>0</v>
      </c>
      <c r="G8300" s="8">
        <v>27</v>
      </c>
      <c r="H8300" s="8" t="s">
        <v>16920</v>
      </c>
      <c r="I8300" s="8">
        <v>526.6875</v>
      </c>
      <c r="J8300" s="3">
        <f t="shared" si="129"/>
        <v>43748.084483715276</v>
      </c>
    </row>
    <row r="8301" spans="1:10" x14ac:dyDescent="0.25">
      <c r="A8301" s="5" t="s">
        <v>16921</v>
      </c>
      <c r="B8301" s="6">
        <v>393.75</v>
      </c>
      <c r="C8301" s="6">
        <v>20.478950000000001</v>
      </c>
      <c r="D8301" s="6">
        <v>92</v>
      </c>
      <c r="E8301" s="6">
        <v>0</v>
      </c>
      <c r="F8301" s="6">
        <v>0</v>
      </c>
      <c r="G8301" s="6">
        <v>31</v>
      </c>
      <c r="H8301" s="6" t="s">
        <v>16922</v>
      </c>
      <c r="I8301" s="6">
        <v>526.6875</v>
      </c>
      <c r="J8301" s="2">
        <f t="shared" si="129"/>
        <v>43748.084555069443</v>
      </c>
    </row>
    <row r="8302" spans="1:10" x14ac:dyDescent="0.25">
      <c r="A8302" s="7" t="s">
        <v>16923</v>
      </c>
      <c r="B8302" s="8">
        <v>393.75</v>
      </c>
      <c r="C8302" s="8">
        <v>20.478950000000001</v>
      </c>
      <c r="D8302" s="8">
        <v>90</v>
      </c>
      <c r="E8302" s="8">
        <v>0</v>
      </c>
      <c r="F8302" s="8">
        <v>0</v>
      </c>
      <c r="G8302" s="8">
        <v>30</v>
      </c>
      <c r="H8302" s="8" t="s">
        <v>16924</v>
      </c>
      <c r="I8302" s="8">
        <v>526.6875</v>
      </c>
      <c r="J8302" s="3">
        <f t="shared" si="129"/>
        <v>43748.084627222219</v>
      </c>
    </row>
    <row r="8303" spans="1:10" x14ac:dyDescent="0.25">
      <c r="A8303" s="5" t="s">
        <v>16925</v>
      </c>
      <c r="B8303" s="6">
        <v>412.5</v>
      </c>
      <c r="C8303" s="6">
        <v>20.478950000000001</v>
      </c>
      <c r="D8303" s="6">
        <v>90</v>
      </c>
      <c r="E8303" s="6">
        <v>0</v>
      </c>
      <c r="F8303" s="6">
        <v>0</v>
      </c>
      <c r="G8303" s="6">
        <v>27</v>
      </c>
      <c r="H8303" s="6" t="s">
        <v>16926</v>
      </c>
      <c r="I8303" s="6">
        <v>532.3125</v>
      </c>
      <c r="J8303" s="2">
        <f t="shared" si="129"/>
        <v>43748.084698518513</v>
      </c>
    </row>
    <row r="8304" spans="1:10" x14ac:dyDescent="0.25">
      <c r="A8304" s="7" t="s">
        <v>16927</v>
      </c>
      <c r="B8304" s="8">
        <v>393.75</v>
      </c>
      <c r="C8304" s="8">
        <v>20.426300000000001</v>
      </c>
      <c r="D8304" s="8">
        <v>88</v>
      </c>
      <c r="E8304" s="8">
        <v>0</v>
      </c>
      <c r="F8304" s="8">
        <v>0</v>
      </c>
      <c r="G8304" s="8">
        <v>28</v>
      </c>
      <c r="H8304" s="8" t="s">
        <v>16928</v>
      </c>
      <c r="I8304" s="8">
        <v>526.6875</v>
      </c>
      <c r="J8304" s="3">
        <f t="shared" si="129"/>
        <v>43748.08476982639</v>
      </c>
    </row>
    <row r="8305" spans="1:10" x14ac:dyDescent="0.25">
      <c r="A8305" s="5" t="s">
        <v>16929</v>
      </c>
      <c r="B8305" s="6">
        <v>393.75</v>
      </c>
      <c r="C8305" s="6">
        <v>20.478950000000001</v>
      </c>
      <c r="D8305" s="6">
        <v>89</v>
      </c>
      <c r="E8305" s="6">
        <v>0</v>
      </c>
      <c r="F8305" s="6">
        <v>0</v>
      </c>
      <c r="G8305" s="6">
        <v>19</v>
      </c>
      <c r="H8305" s="6" t="s">
        <v>16930</v>
      </c>
      <c r="I8305" s="6">
        <v>526.6875</v>
      </c>
      <c r="J8305" s="2">
        <f t="shared" si="129"/>
        <v>43748.084841875003</v>
      </c>
    </row>
    <row r="8306" spans="1:10" x14ac:dyDescent="0.25">
      <c r="A8306" s="7" t="s">
        <v>16931</v>
      </c>
      <c r="B8306" s="8">
        <v>393.75</v>
      </c>
      <c r="C8306" s="8">
        <v>20.478950000000001</v>
      </c>
      <c r="D8306" s="8">
        <v>90</v>
      </c>
      <c r="E8306" s="8">
        <v>0</v>
      </c>
      <c r="F8306" s="8">
        <v>0</v>
      </c>
      <c r="G8306" s="8">
        <v>28</v>
      </c>
      <c r="H8306" s="8" t="s">
        <v>16932</v>
      </c>
      <c r="I8306" s="8">
        <v>526.6875</v>
      </c>
      <c r="J8306" s="3">
        <f t="shared" si="129"/>
        <v>43748.084913344901</v>
      </c>
    </row>
    <row r="8307" spans="1:10" x14ac:dyDescent="0.25">
      <c r="A8307" s="5" t="s">
        <v>16933</v>
      </c>
      <c r="B8307" s="6">
        <v>396.875</v>
      </c>
      <c r="C8307" s="6">
        <v>20.478950000000001</v>
      </c>
      <c r="D8307" s="6">
        <v>89</v>
      </c>
      <c r="E8307" s="6">
        <v>0</v>
      </c>
      <c r="F8307" s="6">
        <v>0</v>
      </c>
      <c r="G8307" s="6">
        <v>31</v>
      </c>
      <c r="H8307" s="6" t="s">
        <v>16934</v>
      </c>
      <c r="I8307" s="6">
        <v>527.4375</v>
      </c>
      <c r="J8307" s="2">
        <f t="shared" si="129"/>
        <v>43748.085008715272</v>
      </c>
    </row>
    <row r="8308" spans="1:10" x14ac:dyDescent="0.25">
      <c r="A8308" s="7" t="s">
        <v>16935</v>
      </c>
      <c r="B8308" s="8">
        <v>396.875</v>
      </c>
      <c r="C8308" s="8">
        <v>20.426300000000001</v>
      </c>
      <c r="D8308" s="8">
        <v>90</v>
      </c>
      <c r="E8308" s="8">
        <v>0</v>
      </c>
      <c r="F8308" s="8">
        <v>0</v>
      </c>
      <c r="G8308" s="8">
        <v>23</v>
      </c>
      <c r="H8308" s="8" t="s">
        <v>16936</v>
      </c>
      <c r="I8308" s="8">
        <v>527.4375</v>
      </c>
      <c r="J8308" s="3">
        <f t="shared" si="129"/>
        <v>43748.085104074074</v>
      </c>
    </row>
    <row r="8309" spans="1:10" x14ac:dyDescent="0.25">
      <c r="A8309" s="5" t="s">
        <v>16937</v>
      </c>
      <c r="B8309" s="6">
        <v>400</v>
      </c>
      <c r="C8309" s="6">
        <v>20.426300000000001</v>
      </c>
      <c r="D8309" s="6">
        <v>90</v>
      </c>
      <c r="E8309" s="6">
        <v>0</v>
      </c>
      <c r="F8309" s="6">
        <v>0</v>
      </c>
      <c r="G8309" s="6">
        <v>18</v>
      </c>
      <c r="H8309" s="6" t="s">
        <v>16938</v>
      </c>
      <c r="I8309" s="6">
        <v>528.1875</v>
      </c>
      <c r="J8309" s="2">
        <f t="shared" si="129"/>
        <v>43748.085175428241</v>
      </c>
    </row>
    <row r="8310" spans="1:10" x14ac:dyDescent="0.25">
      <c r="A8310" s="7" t="s">
        <v>16939</v>
      </c>
      <c r="B8310" s="8">
        <v>400</v>
      </c>
      <c r="C8310" s="8">
        <v>20.478950000000001</v>
      </c>
      <c r="D8310" s="8">
        <v>89</v>
      </c>
      <c r="E8310" s="8">
        <v>0</v>
      </c>
      <c r="F8310" s="8">
        <v>0</v>
      </c>
      <c r="G8310" s="8">
        <v>24</v>
      </c>
      <c r="H8310" s="8" t="s">
        <v>16940</v>
      </c>
      <c r="I8310" s="8">
        <v>528.1875</v>
      </c>
      <c r="J8310" s="3">
        <f t="shared" si="129"/>
        <v>43748.085246724535</v>
      </c>
    </row>
    <row r="8311" spans="1:10" x14ac:dyDescent="0.25">
      <c r="A8311" s="5" t="s">
        <v>16941</v>
      </c>
      <c r="B8311" s="6">
        <v>400</v>
      </c>
      <c r="C8311" s="6">
        <v>20.478950000000001</v>
      </c>
      <c r="D8311" s="6">
        <v>89</v>
      </c>
      <c r="E8311" s="6">
        <v>0</v>
      </c>
      <c r="F8311" s="6">
        <v>0</v>
      </c>
      <c r="G8311" s="6">
        <v>26</v>
      </c>
      <c r="H8311" s="6" t="s">
        <v>16942</v>
      </c>
      <c r="I8311" s="6">
        <v>528.1875</v>
      </c>
      <c r="J8311" s="2">
        <f t="shared" si="129"/>
        <v>43748.08531884259</v>
      </c>
    </row>
    <row r="8312" spans="1:10" x14ac:dyDescent="0.25">
      <c r="A8312" s="7" t="s">
        <v>16943</v>
      </c>
      <c r="B8312" s="8">
        <v>400</v>
      </c>
      <c r="C8312" s="8">
        <v>20.478950000000001</v>
      </c>
      <c r="D8312" s="8">
        <v>89</v>
      </c>
      <c r="E8312" s="8">
        <v>0</v>
      </c>
      <c r="F8312" s="8">
        <v>0</v>
      </c>
      <c r="G8312" s="8">
        <v>30</v>
      </c>
      <c r="H8312" s="8" t="s">
        <v>16944</v>
      </c>
      <c r="I8312" s="8">
        <v>528.1875</v>
      </c>
      <c r="J8312" s="3">
        <f t="shared" si="129"/>
        <v>43748.085390185188</v>
      </c>
    </row>
    <row r="8313" spans="1:10" x14ac:dyDescent="0.25">
      <c r="A8313" s="5" t="s">
        <v>16945</v>
      </c>
      <c r="B8313" s="6">
        <v>396.875</v>
      </c>
      <c r="C8313" s="6">
        <v>20.478950000000001</v>
      </c>
      <c r="D8313" s="6">
        <v>90</v>
      </c>
      <c r="E8313" s="6">
        <v>0</v>
      </c>
      <c r="F8313" s="6">
        <v>0</v>
      </c>
      <c r="G8313" s="6">
        <v>27</v>
      </c>
      <c r="H8313" s="6" t="s">
        <v>16946</v>
      </c>
      <c r="I8313" s="6">
        <v>527.4375</v>
      </c>
      <c r="J8313" s="2">
        <f t="shared" si="129"/>
        <v>43748.085461481482</v>
      </c>
    </row>
    <row r="8314" spans="1:10" x14ac:dyDescent="0.25">
      <c r="A8314" s="7" t="s">
        <v>16947</v>
      </c>
      <c r="B8314" s="8">
        <v>396.875</v>
      </c>
      <c r="C8314" s="8">
        <v>20.478950000000001</v>
      </c>
      <c r="D8314" s="8">
        <v>91</v>
      </c>
      <c r="E8314" s="8">
        <v>0</v>
      </c>
      <c r="F8314" s="8">
        <v>0</v>
      </c>
      <c r="G8314" s="8">
        <v>19</v>
      </c>
      <c r="H8314" s="8" t="s">
        <v>16948</v>
      </c>
      <c r="I8314" s="8">
        <v>527.4375</v>
      </c>
      <c r="J8314" s="3">
        <f t="shared" si="129"/>
        <v>43748.085533715275</v>
      </c>
    </row>
    <row r="8315" spans="1:10" x14ac:dyDescent="0.25">
      <c r="A8315" s="5" t="s">
        <v>16949</v>
      </c>
      <c r="B8315" s="6">
        <v>396.875</v>
      </c>
      <c r="C8315" s="6">
        <v>20.478950000000001</v>
      </c>
      <c r="D8315" s="6">
        <v>91</v>
      </c>
      <c r="E8315" s="6">
        <v>0</v>
      </c>
      <c r="F8315" s="6">
        <v>0</v>
      </c>
      <c r="G8315" s="6">
        <v>36</v>
      </c>
      <c r="H8315" s="6" t="s">
        <v>16950</v>
      </c>
      <c r="I8315" s="6">
        <v>527.4375</v>
      </c>
      <c r="J8315" s="2">
        <f t="shared" si="129"/>
        <v>43748.085604479165</v>
      </c>
    </row>
    <row r="8316" spans="1:10" x14ac:dyDescent="0.25">
      <c r="A8316" s="7" t="s">
        <v>16951</v>
      </c>
      <c r="B8316" s="8">
        <v>396.875</v>
      </c>
      <c r="C8316" s="8">
        <v>20.478950000000001</v>
      </c>
      <c r="D8316" s="8">
        <v>91</v>
      </c>
      <c r="E8316" s="8">
        <v>0</v>
      </c>
      <c r="F8316" s="8">
        <v>0</v>
      </c>
      <c r="G8316" s="8">
        <v>20</v>
      </c>
      <c r="H8316" s="8" t="s">
        <v>16952</v>
      </c>
      <c r="I8316" s="8">
        <v>527.4375</v>
      </c>
      <c r="J8316" s="3">
        <f t="shared" si="129"/>
        <v>43748.08567630787</v>
      </c>
    </row>
    <row r="8317" spans="1:10" x14ac:dyDescent="0.25">
      <c r="A8317" s="5" t="s">
        <v>16953</v>
      </c>
      <c r="B8317" s="6">
        <v>400</v>
      </c>
      <c r="C8317" s="6">
        <v>20.478950000000001</v>
      </c>
      <c r="D8317" s="6">
        <v>91</v>
      </c>
      <c r="E8317" s="6">
        <v>0</v>
      </c>
      <c r="F8317" s="6">
        <v>0</v>
      </c>
      <c r="G8317" s="6">
        <v>24</v>
      </c>
      <c r="H8317" s="6" t="s">
        <v>16954</v>
      </c>
      <c r="I8317" s="6">
        <v>528.1875</v>
      </c>
      <c r="J8317" s="2">
        <f t="shared" si="129"/>
        <v>43748.085747592595</v>
      </c>
    </row>
    <row r="8318" spans="1:10" x14ac:dyDescent="0.25">
      <c r="A8318" s="7" t="s">
        <v>16955</v>
      </c>
      <c r="B8318" s="8">
        <v>400</v>
      </c>
      <c r="C8318" s="8">
        <v>20.478950000000001</v>
      </c>
      <c r="D8318" s="8">
        <v>91</v>
      </c>
      <c r="E8318" s="8">
        <v>0</v>
      </c>
      <c r="F8318" s="8">
        <v>0</v>
      </c>
      <c r="G8318" s="8">
        <v>20</v>
      </c>
      <c r="H8318" s="8" t="s">
        <v>16956</v>
      </c>
      <c r="I8318" s="8">
        <v>528.1875</v>
      </c>
      <c r="J8318" s="3">
        <f t="shared" si="129"/>
        <v>43748.085819814813</v>
      </c>
    </row>
    <row r="8319" spans="1:10" x14ac:dyDescent="0.25">
      <c r="A8319" s="5" t="s">
        <v>16957</v>
      </c>
      <c r="B8319" s="6">
        <v>400</v>
      </c>
      <c r="C8319" s="6">
        <v>20.478950000000001</v>
      </c>
      <c r="D8319" s="6">
        <v>89</v>
      </c>
      <c r="E8319" s="6">
        <v>0</v>
      </c>
      <c r="F8319" s="6">
        <v>0</v>
      </c>
      <c r="G8319" s="6">
        <v>28</v>
      </c>
      <c r="H8319" s="6" t="s">
        <v>16958</v>
      </c>
      <c r="I8319" s="6">
        <v>528.1875</v>
      </c>
      <c r="J8319" s="2">
        <f t="shared" si="129"/>
        <v>43748.085891064817</v>
      </c>
    </row>
    <row r="8320" spans="1:10" x14ac:dyDescent="0.25">
      <c r="A8320" s="7" t="s">
        <v>16959</v>
      </c>
      <c r="B8320" s="8">
        <v>400</v>
      </c>
      <c r="C8320" s="8">
        <v>20.426300000000001</v>
      </c>
      <c r="D8320" s="8">
        <v>89</v>
      </c>
      <c r="E8320" s="8">
        <v>0</v>
      </c>
      <c r="F8320" s="8">
        <v>0</v>
      </c>
      <c r="G8320" s="8">
        <v>30</v>
      </c>
      <c r="H8320" s="8" t="s">
        <v>16960</v>
      </c>
      <c r="I8320" s="8">
        <v>528.1875</v>
      </c>
      <c r="J8320" s="3">
        <f t="shared" si="129"/>
        <v>43748.08596236111</v>
      </c>
    </row>
    <row r="8321" spans="1:10" x14ac:dyDescent="0.25">
      <c r="A8321" s="5" t="s">
        <v>16961</v>
      </c>
      <c r="B8321" s="6">
        <v>415.625</v>
      </c>
      <c r="C8321" s="6">
        <v>20.478950000000001</v>
      </c>
      <c r="D8321" s="6">
        <v>89</v>
      </c>
      <c r="E8321" s="6">
        <v>0</v>
      </c>
      <c r="F8321" s="6">
        <v>0</v>
      </c>
      <c r="G8321" s="6">
        <v>21</v>
      </c>
      <c r="H8321" s="6" t="s">
        <v>16962</v>
      </c>
      <c r="I8321" s="6">
        <v>533.25</v>
      </c>
      <c r="J8321" s="2">
        <f t="shared" si="129"/>
        <v>43748.086033807871</v>
      </c>
    </row>
    <row r="8322" spans="1:10" x14ac:dyDescent="0.25">
      <c r="A8322" s="7" t="s">
        <v>16963</v>
      </c>
      <c r="B8322" s="8">
        <v>396.875</v>
      </c>
      <c r="C8322" s="8">
        <v>20.478950000000001</v>
      </c>
      <c r="D8322" s="8">
        <v>88</v>
      </c>
      <c r="E8322" s="8">
        <v>0</v>
      </c>
      <c r="F8322" s="8">
        <v>0</v>
      </c>
      <c r="G8322" s="8">
        <v>22</v>
      </c>
      <c r="H8322" s="8" t="s">
        <v>16964</v>
      </c>
      <c r="I8322" s="8">
        <v>527.4375</v>
      </c>
      <c r="J8322" s="3">
        <f t="shared" ref="J8322:J8385" si="130">(H8322/86400000)+25569+(7/24)</f>
        <v>43748.086105925926</v>
      </c>
    </row>
    <row r="8323" spans="1:10" x14ac:dyDescent="0.25">
      <c r="A8323" s="5" t="s">
        <v>16965</v>
      </c>
      <c r="B8323" s="6">
        <v>393.75</v>
      </c>
      <c r="C8323" s="6">
        <v>20.478950000000001</v>
      </c>
      <c r="D8323" s="6">
        <v>88</v>
      </c>
      <c r="E8323" s="6">
        <v>0</v>
      </c>
      <c r="F8323" s="6">
        <v>0</v>
      </c>
      <c r="G8323" s="6">
        <v>30</v>
      </c>
      <c r="H8323" s="6" t="s">
        <v>16966</v>
      </c>
      <c r="I8323" s="6">
        <v>526.6875</v>
      </c>
      <c r="J8323" s="2">
        <f t="shared" si="130"/>
        <v>43748.08617722222</v>
      </c>
    </row>
    <row r="8324" spans="1:10" x14ac:dyDescent="0.25">
      <c r="A8324" s="7" t="s">
        <v>16967</v>
      </c>
      <c r="B8324" s="8">
        <v>393.75</v>
      </c>
      <c r="C8324" s="8">
        <v>20.426300000000001</v>
      </c>
      <c r="D8324" s="8">
        <v>88</v>
      </c>
      <c r="E8324" s="8">
        <v>0</v>
      </c>
      <c r="F8324" s="8">
        <v>0</v>
      </c>
      <c r="G8324" s="8">
        <v>28</v>
      </c>
      <c r="H8324" s="8" t="s">
        <v>16968</v>
      </c>
      <c r="I8324" s="8">
        <v>526.6875</v>
      </c>
      <c r="J8324" s="3">
        <f t="shared" si="130"/>
        <v>43748.08624853009</v>
      </c>
    </row>
    <row r="8325" spans="1:10" x14ac:dyDescent="0.25">
      <c r="A8325" s="5" t="s">
        <v>16969</v>
      </c>
      <c r="B8325" s="6">
        <v>393.75</v>
      </c>
      <c r="C8325" s="6">
        <v>20.478950000000001</v>
      </c>
      <c r="D8325" s="6">
        <v>88</v>
      </c>
      <c r="E8325" s="6">
        <v>0</v>
      </c>
      <c r="F8325" s="6">
        <v>0</v>
      </c>
      <c r="G8325" s="6">
        <v>29</v>
      </c>
      <c r="H8325" s="6" t="s">
        <v>16970</v>
      </c>
      <c r="I8325" s="6">
        <v>526.6875</v>
      </c>
      <c r="J8325" s="2">
        <f t="shared" si="130"/>
        <v>43748.086343912037</v>
      </c>
    </row>
    <row r="8326" spans="1:10" x14ac:dyDescent="0.25">
      <c r="A8326" s="7" t="s">
        <v>16971</v>
      </c>
      <c r="B8326" s="8">
        <v>393.75</v>
      </c>
      <c r="C8326" s="8">
        <v>20.478950000000001</v>
      </c>
      <c r="D8326" s="8">
        <v>88</v>
      </c>
      <c r="E8326" s="8">
        <v>0</v>
      </c>
      <c r="F8326" s="8">
        <v>0</v>
      </c>
      <c r="G8326" s="8">
        <v>26</v>
      </c>
      <c r="H8326" s="8" t="s">
        <v>16972</v>
      </c>
      <c r="I8326" s="8">
        <v>526.5</v>
      </c>
      <c r="J8326" s="3">
        <f t="shared" si="130"/>
        <v>43748.086416111109</v>
      </c>
    </row>
    <row r="8327" spans="1:10" x14ac:dyDescent="0.25">
      <c r="A8327" s="5" t="s">
        <v>16973</v>
      </c>
      <c r="B8327" s="6">
        <v>393.75</v>
      </c>
      <c r="C8327" s="6">
        <v>20.478950000000001</v>
      </c>
      <c r="D8327" s="6">
        <v>89</v>
      </c>
      <c r="E8327" s="6">
        <v>0</v>
      </c>
      <c r="F8327" s="6">
        <v>0</v>
      </c>
      <c r="G8327" s="6">
        <v>27</v>
      </c>
      <c r="H8327" s="6" t="s">
        <v>16974</v>
      </c>
      <c r="I8327" s="6">
        <v>526.6875</v>
      </c>
      <c r="J8327" s="2">
        <f t="shared" si="130"/>
        <v>43748.086487418979</v>
      </c>
    </row>
    <row r="8328" spans="1:10" x14ac:dyDescent="0.25">
      <c r="A8328" s="7" t="s">
        <v>16975</v>
      </c>
      <c r="B8328" s="8">
        <v>415.625</v>
      </c>
      <c r="C8328" s="8">
        <v>20.478950000000001</v>
      </c>
      <c r="D8328" s="8">
        <v>90</v>
      </c>
      <c r="E8328" s="8">
        <v>0</v>
      </c>
      <c r="F8328" s="8">
        <v>0</v>
      </c>
      <c r="G8328" s="8">
        <v>17</v>
      </c>
      <c r="H8328" s="8" t="s">
        <v>16976</v>
      </c>
      <c r="I8328" s="8">
        <v>533.0625</v>
      </c>
      <c r="J8328" s="3">
        <f t="shared" si="130"/>
        <v>43748.086558726849</v>
      </c>
    </row>
    <row r="8329" spans="1:10" x14ac:dyDescent="0.25">
      <c r="A8329" s="5" t="s">
        <v>16977</v>
      </c>
      <c r="B8329" s="6">
        <v>396.875</v>
      </c>
      <c r="C8329" s="6">
        <v>20.478950000000001</v>
      </c>
      <c r="D8329" s="6">
        <v>90</v>
      </c>
      <c r="E8329" s="6">
        <v>0</v>
      </c>
      <c r="F8329" s="6">
        <v>0</v>
      </c>
      <c r="G8329" s="6">
        <v>25</v>
      </c>
      <c r="H8329" s="6" t="s">
        <v>16978</v>
      </c>
      <c r="I8329" s="6">
        <v>527.4375</v>
      </c>
      <c r="J8329" s="2">
        <f t="shared" si="130"/>
        <v>43748.086630694444</v>
      </c>
    </row>
    <row r="8330" spans="1:10" x14ac:dyDescent="0.25">
      <c r="A8330" s="7" t="s">
        <v>16979</v>
      </c>
      <c r="B8330" s="8">
        <v>396.875</v>
      </c>
      <c r="C8330" s="8">
        <v>20.478950000000001</v>
      </c>
      <c r="D8330" s="8">
        <v>89</v>
      </c>
      <c r="E8330" s="8">
        <v>0</v>
      </c>
      <c r="F8330" s="8">
        <v>0</v>
      </c>
      <c r="G8330" s="8">
        <v>23</v>
      </c>
      <c r="H8330" s="8" t="s">
        <v>16980</v>
      </c>
      <c r="I8330" s="8">
        <v>527.4375</v>
      </c>
      <c r="J8330" s="3">
        <f t="shared" si="130"/>
        <v>43748.086702175926</v>
      </c>
    </row>
    <row r="8331" spans="1:10" x14ac:dyDescent="0.25">
      <c r="A8331" s="5" t="s">
        <v>16981</v>
      </c>
      <c r="B8331" s="6">
        <v>396.875</v>
      </c>
      <c r="C8331" s="6">
        <v>20.478950000000001</v>
      </c>
      <c r="D8331" s="6">
        <v>89</v>
      </c>
      <c r="E8331" s="6">
        <v>0</v>
      </c>
      <c r="F8331" s="6">
        <v>0</v>
      </c>
      <c r="G8331" s="6">
        <v>20</v>
      </c>
      <c r="H8331" s="6" t="s">
        <v>16982</v>
      </c>
      <c r="I8331" s="6">
        <v>527.4375</v>
      </c>
      <c r="J8331" s="2">
        <f t="shared" si="130"/>
        <v>43748.086773530093</v>
      </c>
    </row>
    <row r="8332" spans="1:10" x14ac:dyDescent="0.25">
      <c r="A8332" s="7" t="s">
        <v>16983</v>
      </c>
      <c r="B8332" s="8">
        <v>396.875</v>
      </c>
      <c r="C8332" s="8">
        <v>20.478950000000001</v>
      </c>
      <c r="D8332" s="8">
        <v>89</v>
      </c>
      <c r="E8332" s="8">
        <v>0</v>
      </c>
      <c r="F8332" s="8">
        <v>0</v>
      </c>
      <c r="G8332" s="8">
        <v>29</v>
      </c>
      <c r="H8332" s="8" t="s">
        <v>16984</v>
      </c>
      <c r="I8332" s="8">
        <v>527.4375</v>
      </c>
      <c r="J8332" s="3">
        <f t="shared" si="130"/>
        <v>43748.086844814818</v>
      </c>
    </row>
    <row r="8333" spans="1:10" x14ac:dyDescent="0.25">
      <c r="A8333" s="5" t="s">
        <v>16985</v>
      </c>
      <c r="B8333" s="6">
        <v>396.875</v>
      </c>
      <c r="C8333" s="6">
        <v>20.478950000000001</v>
      </c>
      <c r="D8333" s="6">
        <v>88</v>
      </c>
      <c r="E8333" s="6">
        <v>0</v>
      </c>
      <c r="F8333" s="6">
        <v>0</v>
      </c>
      <c r="G8333" s="6">
        <v>18</v>
      </c>
      <c r="H8333" s="6" t="s">
        <v>16986</v>
      </c>
      <c r="I8333" s="6">
        <v>527.4375</v>
      </c>
      <c r="J8333" s="2">
        <f t="shared" si="130"/>
        <v>43748.086916284716</v>
      </c>
    </row>
    <row r="8334" spans="1:10" x14ac:dyDescent="0.25">
      <c r="A8334" s="7" t="s">
        <v>16987</v>
      </c>
      <c r="B8334" s="8">
        <v>396.875</v>
      </c>
      <c r="C8334" s="8">
        <v>20.478950000000001</v>
      </c>
      <c r="D8334" s="8">
        <v>88</v>
      </c>
      <c r="E8334" s="8">
        <v>0</v>
      </c>
      <c r="F8334" s="8">
        <v>0</v>
      </c>
      <c r="G8334" s="8">
        <v>16</v>
      </c>
      <c r="H8334" s="8" t="s">
        <v>16988</v>
      </c>
      <c r="I8334" s="8">
        <v>527.4375</v>
      </c>
      <c r="J8334" s="3">
        <f t="shared" si="130"/>
        <v>43748.086988298608</v>
      </c>
    </row>
    <row r="8335" spans="1:10" x14ac:dyDescent="0.25">
      <c r="A8335" s="5" t="s">
        <v>16989</v>
      </c>
      <c r="B8335" s="6">
        <v>400</v>
      </c>
      <c r="C8335" s="6">
        <v>20.478950000000001</v>
      </c>
      <c r="D8335" s="6">
        <v>89</v>
      </c>
      <c r="E8335" s="6">
        <v>0</v>
      </c>
      <c r="F8335" s="6">
        <v>0</v>
      </c>
      <c r="G8335" s="6">
        <v>18</v>
      </c>
      <c r="H8335" s="6" t="s">
        <v>16990</v>
      </c>
      <c r="I8335" s="6">
        <v>528.375</v>
      </c>
      <c r="J8335" s="2">
        <f t="shared" si="130"/>
        <v>43748.087071678237</v>
      </c>
    </row>
    <row r="8336" spans="1:10" x14ac:dyDescent="0.25">
      <c r="A8336" s="7" t="s">
        <v>16991</v>
      </c>
      <c r="B8336" s="8">
        <v>400</v>
      </c>
      <c r="C8336" s="8">
        <v>20.478950000000001</v>
      </c>
      <c r="D8336" s="8">
        <v>88</v>
      </c>
      <c r="E8336" s="8">
        <v>0</v>
      </c>
      <c r="F8336" s="8">
        <v>0</v>
      </c>
      <c r="G8336" s="8">
        <v>33</v>
      </c>
      <c r="H8336" s="8" t="s">
        <v>16992</v>
      </c>
      <c r="I8336" s="8">
        <v>528.375</v>
      </c>
      <c r="J8336" s="3">
        <f t="shared" si="130"/>
        <v>43748.087167048609</v>
      </c>
    </row>
    <row r="8337" spans="1:10" x14ac:dyDescent="0.25">
      <c r="A8337" s="5" t="s">
        <v>16993</v>
      </c>
      <c r="B8337" s="6">
        <v>400</v>
      </c>
      <c r="C8337" s="6">
        <v>20.478950000000001</v>
      </c>
      <c r="D8337" s="6">
        <v>88</v>
      </c>
      <c r="E8337" s="6">
        <v>0</v>
      </c>
      <c r="F8337" s="6">
        <v>0</v>
      </c>
      <c r="G8337" s="6">
        <v>22</v>
      </c>
      <c r="H8337" s="6" t="s">
        <v>16994</v>
      </c>
      <c r="I8337" s="6">
        <v>528.1875</v>
      </c>
      <c r="J8337" s="2">
        <f t="shared" si="130"/>
        <v>43748.08723834491</v>
      </c>
    </row>
    <row r="8338" spans="1:10" x14ac:dyDescent="0.25">
      <c r="A8338" s="7" t="s">
        <v>16995</v>
      </c>
      <c r="B8338" s="8">
        <v>434.375</v>
      </c>
      <c r="C8338" s="8">
        <v>20.478950000000001</v>
      </c>
      <c r="D8338" s="8">
        <v>88</v>
      </c>
      <c r="E8338" s="8">
        <v>0</v>
      </c>
      <c r="F8338" s="8">
        <v>0</v>
      </c>
      <c r="G8338" s="8">
        <v>27</v>
      </c>
      <c r="H8338" s="8" t="s">
        <v>16996</v>
      </c>
      <c r="I8338" s="8">
        <v>539.625</v>
      </c>
      <c r="J8338" s="3">
        <f t="shared" si="130"/>
        <v>43748.087322418978</v>
      </c>
    </row>
    <row r="8339" spans="1:10" x14ac:dyDescent="0.25">
      <c r="A8339" s="5" t="s">
        <v>16997</v>
      </c>
      <c r="B8339" s="6">
        <v>403.125</v>
      </c>
      <c r="C8339" s="6">
        <v>20.478950000000001</v>
      </c>
      <c r="D8339" s="6">
        <v>89</v>
      </c>
      <c r="E8339" s="6">
        <v>0</v>
      </c>
      <c r="F8339" s="6">
        <v>0</v>
      </c>
      <c r="G8339" s="6">
        <v>24</v>
      </c>
      <c r="H8339" s="6" t="s">
        <v>16998</v>
      </c>
      <c r="I8339" s="6">
        <v>529.125</v>
      </c>
      <c r="J8339" s="2">
        <f t="shared" si="130"/>
        <v>43748.08739390046</v>
      </c>
    </row>
    <row r="8340" spans="1:10" x14ac:dyDescent="0.25">
      <c r="A8340" s="7" t="s">
        <v>16999</v>
      </c>
      <c r="B8340" s="8">
        <v>403.125</v>
      </c>
      <c r="C8340" s="8">
        <v>20.478950000000001</v>
      </c>
      <c r="D8340" s="8">
        <v>89</v>
      </c>
      <c r="E8340" s="8">
        <v>0</v>
      </c>
      <c r="F8340" s="8">
        <v>0</v>
      </c>
      <c r="G8340" s="8">
        <v>25</v>
      </c>
      <c r="H8340" s="8" t="s">
        <v>17000</v>
      </c>
      <c r="I8340" s="8">
        <v>529.125</v>
      </c>
      <c r="J8340" s="3">
        <f t="shared" si="130"/>
        <v>43748.087489201389</v>
      </c>
    </row>
    <row r="8341" spans="1:10" x14ac:dyDescent="0.25">
      <c r="A8341" s="5" t="s">
        <v>17001</v>
      </c>
      <c r="B8341" s="6">
        <v>403.125</v>
      </c>
      <c r="C8341" s="6">
        <v>20.478950000000001</v>
      </c>
      <c r="D8341" s="6">
        <v>89</v>
      </c>
      <c r="E8341" s="6">
        <v>0</v>
      </c>
      <c r="F8341" s="6">
        <v>0</v>
      </c>
      <c r="G8341" s="6">
        <v>21</v>
      </c>
      <c r="H8341" s="6" t="s">
        <v>17002</v>
      </c>
      <c r="I8341" s="6">
        <v>529.125</v>
      </c>
      <c r="J8341" s="2">
        <f t="shared" si="130"/>
        <v>43748.087560578701</v>
      </c>
    </row>
    <row r="8342" spans="1:10" x14ac:dyDescent="0.25">
      <c r="A8342" s="7" t="s">
        <v>17003</v>
      </c>
      <c r="B8342" s="8">
        <v>400</v>
      </c>
      <c r="C8342" s="8">
        <v>20.478950000000001</v>
      </c>
      <c r="D8342" s="8">
        <v>89</v>
      </c>
      <c r="E8342" s="8">
        <v>0</v>
      </c>
      <c r="F8342" s="8">
        <v>0</v>
      </c>
      <c r="G8342" s="8">
        <v>24</v>
      </c>
      <c r="H8342" s="8" t="s">
        <v>17004</v>
      </c>
      <c r="I8342" s="8">
        <v>528.9375</v>
      </c>
      <c r="J8342" s="3">
        <f t="shared" si="130"/>
        <v>43748.087631851849</v>
      </c>
    </row>
    <row r="8343" spans="1:10" x14ac:dyDescent="0.25">
      <c r="A8343" s="5" t="s">
        <v>17005</v>
      </c>
      <c r="B8343" s="6">
        <v>400</v>
      </c>
      <c r="C8343" s="6">
        <v>20.478950000000001</v>
      </c>
      <c r="D8343" s="6">
        <v>90</v>
      </c>
      <c r="E8343" s="6">
        <v>0</v>
      </c>
      <c r="F8343" s="6">
        <v>0</v>
      </c>
      <c r="G8343" s="6">
        <v>16</v>
      </c>
      <c r="H8343" s="6" t="s">
        <v>17006</v>
      </c>
      <c r="I8343" s="6">
        <v>528.375</v>
      </c>
      <c r="J8343" s="2">
        <f t="shared" si="130"/>
        <v>43748.087704097219</v>
      </c>
    </row>
    <row r="8344" spans="1:10" x14ac:dyDescent="0.25">
      <c r="A8344" s="7" t="s">
        <v>17007</v>
      </c>
      <c r="B8344" s="8">
        <v>400</v>
      </c>
      <c r="C8344" s="8">
        <v>20.478950000000001</v>
      </c>
      <c r="D8344" s="8">
        <v>90</v>
      </c>
      <c r="E8344" s="8">
        <v>0</v>
      </c>
      <c r="F8344" s="8">
        <v>0</v>
      </c>
      <c r="G8344" s="8">
        <v>30</v>
      </c>
      <c r="H8344" s="8" t="s">
        <v>17008</v>
      </c>
      <c r="I8344" s="8">
        <v>528.1875</v>
      </c>
      <c r="J8344" s="3">
        <f t="shared" si="130"/>
        <v>43748.087775381944</v>
      </c>
    </row>
    <row r="8345" spans="1:10" x14ac:dyDescent="0.25">
      <c r="A8345" s="5" t="s">
        <v>17009</v>
      </c>
      <c r="B8345" s="6">
        <v>400</v>
      </c>
      <c r="C8345" s="6">
        <v>20.478950000000001</v>
      </c>
      <c r="D8345" s="6">
        <v>90</v>
      </c>
      <c r="E8345" s="6">
        <v>0</v>
      </c>
      <c r="F8345" s="6">
        <v>0</v>
      </c>
      <c r="G8345" s="6">
        <v>24</v>
      </c>
      <c r="H8345" s="6" t="s">
        <v>17010</v>
      </c>
      <c r="I8345" s="6">
        <v>528.1875</v>
      </c>
      <c r="J8345" s="2">
        <f t="shared" si="130"/>
        <v>43748.087847314811</v>
      </c>
    </row>
    <row r="8346" spans="1:10" x14ac:dyDescent="0.25">
      <c r="A8346" s="7" t="s">
        <v>17011</v>
      </c>
      <c r="B8346" s="8">
        <v>400</v>
      </c>
      <c r="C8346" s="8">
        <v>20.478950000000001</v>
      </c>
      <c r="D8346" s="8">
        <v>91</v>
      </c>
      <c r="E8346" s="8">
        <v>0</v>
      </c>
      <c r="F8346" s="8">
        <v>0</v>
      </c>
      <c r="G8346" s="8">
        <v>23</v>
      </c>
      <c r="H8346" s="8" t="s">
        <v>17012</v>
      </c>
      <c r="I8346" s="8">
        <v>528.1875</v>
      </c>
      <c r="J8346" s="3">
        <f t="shared" si="130"/>
        <v>43748.087918020836</v>
      </c>
    </row>
    <row r="8347" spans="1:10" x14ac:dyDescent="0.25">
      <c r="A8347" s="5" t="s">
        <v>17013</v>
      </c>
      <c r="B8347" s="6">
        <v>400</v>
      </c>
      <c r="C8347" s="6">
        <v>20.478950000000001</v>
      </c>
      <c r="D8347" s="6">
        <v>91</v>
      </c>
      <c r="E8347" s="6">
        <v>0</v>
      </c>
      <c r="F8347" s="6">
        <v>0</v>
      </c>
      <c r="G8347" s="6">
        <v>21</v>
      </c>
      <c r="H8347" s="6" t="s">
        <v>17014</v>
      </c>
      <c r="I8347" s="6">
        <v>528.1875</v>
      </c>
      <c r="J8347" s="2">
        <f t="shared" si="130"/>
        <v>43748.08799015046</v>
      </c>
    </row>
    <row r="8348" spans="1:10" x14ac:dyDescent="0.25">
      <c r="A8348" s="7" t="s">
        <v>17015</v>
      </c>
      <c r="B8348" s="8">
        <v>400</v>
      </c>
      <c r="C8348" s="8">
        <v>20.478950000000001</v>
      </c>
      <c r="D8348" s="8">
        <v>91</v>
      </c>
      <c r="E8348" s="8">
        <v>0</v>
      </c>
      <c r="F8348" s="8">
        <v>0</v>
      </c>
      <c r="G8348" s="8">
        <v>27</v>
      </c>
      <c r="H8348" s="8" t="s">
        <v>17016</v>
      </c>
      <c r="I8348" s="8">
        <v>528.9375</v>
      </c>
      <c r="J8348" s="3">
        <f t="shared" si="130"/>
        <v>43748.088061273149</v>
      </c>
    </row>
    <row r="8349" spans="1:10" x14ac:dyDescent="0.25">
      <c r="A8349" s="5" t="s">
        <v>17017</v>
      </c>
      <c r="B8349" s="6">
        <v>403.125</v>
      </c>
      <c r="C8349" s="6">
        <v>20.478950000000001</v>
      </c>
      <c r="D8349" s="6">
        <v>91</v>
      </c>
      <c r="E8349" s="6">
        <v>0</v>
      </c>
      <c r="F8349" s="6">
        <v>0</v>
      </c>
      <c r="G8349" s="6">
        <v>25</v>
      </c>
      <c r="H8349" s="6" t="s">
        <v>17018</v>
      </c>
      <c r="I8349" s="6">
        <v>529.125</v>
      </c>
      <c r="J8349" s="2">
        <f t="shared" si="130"/>
        <v>43748.088132789351</v>
      </c>
    </row>
    <row r="8350" spans="1:10" x14ac:dyDescent="0.25">
      <c r="A8350" s="7" t="s">
        <v>17019</v>
      </c>
      <c r="B8350" s="8">
        <v>403.125</v>
      </c>
      <c r="C8350" s="8">
        <v>20.478950000000001</v>
      </c>
      <c r="D8350" s="8">
        <v>91</v>
      </c>
      <c r="E8350" s="8">
        <v>0</v>
      </c>
      <c r="F8350" s="8">
        <v>0</v>
      </c>
      <c r="G8350" s="8">
        <v>19</v>
      </c>
      <c r="H8350" s="8" t="s">
        <v>17020</v>
      </c>
      <c r="I8350" s="8">
        <v>529.125</v>
      </c>
      <c r="J8350" s="3">
        <f t="shared" si="130"/>
        <v>43748.088204826381</v>
      </c>
    </row>
    <row r="8351" spans="1:10" x14ac:dyDescent="0.25">
      <c r="A8351" s="5" t="s">
        <v>17021</v>
      </c>
      <c r="B8351" s="6">
        <v>403.125</v>
      </c>
      <c r="C8351" s="6">
        <v>20.478950000000001</v>
      </c>
      <c r="D8351" s="6">
        <v>90</v>
      </c>
      <c r="E8351" s="6">
        <v>0</v>
      </c>
      <c r="F8351" s="6">
        <v>0</v>
      </c>
      <c r="G8351" s="6">
        <v>26</v>
      </c>
      <c r="H8351" s="6" t="s">
        <v>17022</v>
      </c>
      <c r="I8351" s="6">
        <v>529.875</v>
      </c>
      <c r="J8351" s="2">
        <f t="shared" si="130"/>
        <v>43748.088276319446</v>
      </c>
    </row>
    <row r="8352" spans="1:10" x14ac:dyDescent="0.25">
      <c r="A8352" s="7" t="s">
        <v>17023</v>
      </c>
      <c r="B8352" s="8">
        <v>403.125</v>
      </c>
      <c r="C8352" s="8">
        <v>20.426300000000001</v>
      </c>
      <c r="D8352" s="8">
        <v>90</v>
      </c>
      <c r="E8352" s="8">
        <v>0</v>
      </c>
      <c r="F8352" s="8">
        <v>0</v>
      </c>
      <c r="G8352" s="8">
        <v>30</v>
      </c>
      <c r="H8352" s="8" t="s">
        <v>17024</v>
      </c>
      <c r="I8352" s="8">
        <v>529.875</v>
      </c>
      <c r="J8352" s="3">
        <f t="shared" si="130"/>
        <v>43748.088347592588</v>
      </c>
    </row>
    <row r="8353" spans="1:10" x14ac:dyDescent="0.25">
      <c r="A8353" s="5" t="s">
        <v>17025</v>
      </c>
      <c r="B8353" s="6">
        <v>421.875</v>
      </c>
      <c r="C8353" s="6">
        <v>20.478950000000001</v>
      </c>
      <c r="D8353" s="6">
        <v>90</v>
      </c>
      <c r="E8353" s="6">
        <v>0</v>
      </c>
      <c r="F8353" s="6">
        <v>0</v>
      </c>
      <c r="G8353" s="6">
        <v>23</v>
      </c>
      <c r="H8353" s="6" t="s">
        <v>17026</v>
      </c>
      <c r="I8353" s="6">
        <v>535.6875</v>
      </c>
      <c r="J8353" s="2">
        <f t="shared" si="130"/>
        <v>43748.088422719906</v>
      </c>
    </row>
    <row r="8354" spans="1:10" x14ac:dyDescent="0.25">
      <c r="A8354" s="7" t="s">
        <v>17027</v>
      </c>
      <c r="B8354" s="8">
        <v>403.125</v>
      </c>
      <c r="C8354" s="8">
        <v>20.426300000000001</v>
      </c>
      <c r="D8354" s="8">
        <v>91</v>
      </c>
      <c r="E8354" s="8">
        <v>0</v>
      </c>
      <c r="F8354" s="8">
        <v>0</v>
      </c>
      <c r="G8354" s="8">
        <v>21</v>
      </c>
      <c r="H8354" s="8" t="s">
        <v>17028</v>
      </c>
      <c r="I8354" s="8">
        <v>529.875</v>
      </c>
      <c r="J8354" s="3">
        <f t="shared" si="130"/>
        <v>43748.088502997685</v>
      </c>
    </row>
    <row r="8355" spans="1:10" x14ac:dyDescent="0.25">
      <c r="A8355" s="5" t="s">
        <v>17029</v>
      </c>
      <c r="B8355" s="6">
        <v>403.125</v>
      </c>
      <c r="C8355" s="6">
        <v>20.478950000000001</v>
      </c>
      <c r="D8355" s="6">
        <v>91</v>
      </c>
      <c r="E8355" s="6">
        <v>0</v>
      </c>
      <c r="F8355" s="6">
        <v>0</v>
      </c>
      <c r="G8355" s="6">
        <v>25</v>
      </c>
      <c r="H8355" s="6" t="s">
        <v>17030</v>
      </c>
      <c r="I8355" s="6">
        <v>529.875</v>
      </c>
      <c r="J8355" s="2">
        <f t="shared" si="130"/>
        <v>43748.088574467591</v>
      </c>
    </row>
    <row r="8356" spans="1:10" x14ac:dyDescent="0.25">
      <c r="A8356" s="7" t="s">
        <v>17031</v>
      </c>
      <c r="B8356" s="8">
        <v>403.125</v>
      </c>
      <c r="C8356" s="8">
        <v>20.478950000000001</v>
      </c>
      <c r="D8356" s="8">
        <v>91</v>
      </c>
      <c r="E8356" s="8">
        <v>0</v>
      </c>
      <c r="F8356" s="8">
        <v>0</v>
      </c>
      <c r="G8356" s="8">
        <v>29</v>
      </c>
      <c r="H8356" s="8" t="s">
        <v>17032</v>
      </c>
      <c r="I8356" s="8">
        <v>529.875</v>
      </c>
      <c r="J8356" s="3">
        <f t="shared" si="130"/>
        <v>43748.088657789347</v>
      </c>
    </row>
    <row r="8357" spans="1:10" x14ac:dyDescent="0.25">
      <c r="A8357" s="5" t="s">
        <v>17033</v>
      </c>
      <c r="B8357" s="6">
        <v>406.25</v>
      </c>
      <c r="C8357" s="6">
        <v>20.478950000000001</v>
      </c>
      <c r="D8357" s="6">
        <v>91</v>
      </c>
      <c r="E8357" s="6">
        <v>0</v>
      </c>
      <c r="F8357" s="6">
        <v>0</v>
      </c>
      <c r="G8357" s="6">
        <v>26</v>
      </c>
      <c r="H8357" s="6" t="s">
        <v>17034</v>
      </c>
      <c r="I8357" s="6">
        <v>530.625</v>
      </c>
      <c r="J8357" s="2">
        <f t="shared" si="130"/>
        <v>43748.088729097224</v>
      </c>
    </row>
    <row r="8358" spans="1:10" x14ac:dyDescent="0.25">
      <c r="A8358" s="7" t="s">
        <v>17035</v>
      </c>
      <c r="B8358" s="8">
        <v>403.125</v>
      </c>
      <c r="C8358" s="8">
        <v>20.478950000000001</v>
      </c>
      <c r="D8358" s="8">
        <v>91</v>
      </c>
      <c r="E8358" s="8">
        <v>0</v>
      </c>
      <c r="F8358" s="8">
        <v>0</v>
      </c>
      <c r="G8358" s="8">
        <v>24</v>
      </c>
      <c r="H8358" s="8" t="s">
        <v>17036</v>
      </c>
      <c r="I8358" s="8">
        <v>529.875</v>
      </c>
      <c r="J8358" s="3">
        <f t="shared" si="130"/>
        <v>43748.088801134254</v>
      </c>
    </row>
    <row r="8359" spans="1:10" x14ac:dyDescent="0.25">
      <c r="A8359" s="5" t="s">
        <v>17037</v>
      </c>
      <c r="B8359" s="6">
        <v>403.125</v>
      </c>
      <c r="C8359" s="6">
        <v>20.478950000000001</v>
      </c>
      <c r="D8359" s="6">
        <v>92</v>
      </c>
      <c r="E8359" s="6">
        <v>0</v>
      </c>
      <c r="F8359" s="6">
        <v>0</v>
      </c>
      <c r="G8359" s="6">
        <v>26</v>
      </c>
      <c r="H8359" s="6" t="s">
        <v>17038</v>
      </c>
      <c r="I8359" s="6">
        <v>529.875</v>
      </c>
      <c r="J8359" s="2">
        <f t="shared" si="130"/>
        <v>43748.088872604167</v>
      </c>
    </row>
    <row r="8360" spans="1:10" x14ac:dyDescent="0.25">
      <c r="A8360" s="7" t="s">
        <v>17039</v>
      </c>
      <c r="B8360" s="8">
        <v>403.125</v>
      </c>
      <c r="C8360" s="8">
        <v>20.478950000000001</v>
      </c>
      <c r="D8360" s="8">
        <v>93</v>
      </c>
      <c r="E8360" s="8">
        <v>0</v>
      </c>
      <c r="F8360" s="8">
        <v>0</v>
      </c>
      <c r="G8360" s="8">
        <v>25</v>
      </c>
      <c r="H8360" s="8" t="s">
        <v>17040</v>
      </c>
      <c r="I8360" s="8">
        <v>529.125</v>
      </c>
      <c r="J8360" s="3">
        <f t="shared" si="130"/>
        <v>43748.088955949068</v>
      </c>
    </row>
    <row r="8361" spans="1:10" x14ac:dyDescent="0.25">
      <c r="A8361" s="5" t="s">
        <v>17041</v>
      </c>
      <c r="B8361" s="6">
        <v>403.125</v>
      </c>
      <c r="C8361" s="6">
        <v>20.478950000000001</v>
      </c>
      <c r="D8361" s="6">
        <v>93</v>
      </c>
      <c r="E8361" s="6">
        <v>0</v>
      </c>
      <c r="F8361" s="6">
        <v>0</v>
      </c>
      <c r="G8361" s="6">
        <v>22</v>
      </c>
      <c r="H8361" s="6" t="s">
        <v>17042</v>
      </c>
      <c r="I8361" s="6">
        <v>529.125</v>
      </c>
      <c r="J8361" s="2">
        <f t="shared" si="130"/>
        <v>43748.089035092591</v>
      </c>
    </row>
    <row r="8362" spans="1:10" x14ac:dyDescent="0.25">
      <c r="A8362" s="7" t="s">
        <v>17043</v>
      </c>
      <c r="B8362" s="8">
        <v>403.125</v>
      </c>
      <c r="C8362" s="8">
        <v>20.478950000000001</v>
      </c>
      <c r="D8362" s="8">
        <v>93</v>
      </c>
      <c r="E8362" s="8">
        <v>0</v>
      </c>
      <c r="F8362" s="8">
        <v>0</v>
      </c>
      <c r="G8362" s="8">
        <v>20</v>
      </c>
      <c r="H8362" s="8" t="s">
        <v>17044</v>
      </c>
      <c r="I8362" s="8">
        <v>529.125</v>
      </c>
      <c r="J8362" s="3">
        <f t="shared" si="130"/>
        <v>43748.089110578701</v>
      </c>
    </row>
    <row r="8363" spans="1:10" x14ac:dyDescent="0.25">
      <c r="A8363" s="5" t="s">
        <v>17045</v>
      </c>
      <c r="B8363" s="6">
        <v>403.125</v>
      </c>
      <c r="C8363" s="6">
        <v>20.478950000000001</v>
      </c>
      <c r="D8363" s="6">
        <v>92</v>
      </c>
      <c r="E8363" s="6">
        <v>0</v>
      </c>
      <c r="F8363" s="6">
        <v>0</v>
      </c>
      <c r="G8363" s="6">
        <v>26</v>
      </c>
      <c r="H8363" s="6" t="s">
        <v>17046</v>
      </c>
      <c r="I8363" s="6">
        <v>529.125</v>
      </c>
      <c r="J8363" s="2">
        <f t="shared" si="130"/>
        <v>43748.08918278935</v>
      </c>
    </row>
    <row r="8364" spans="1:10" x14ac:dyDescent="0.25">
      <c r="A8364" s="7" t="s">
        <v>17047</v>
      </c>
      <c r="B8364" s="8">
        <v>400</v>
      </c>
      <c r="C8364" s="8">
        <v>20.478950000000001</v>
      </c>
      <c r="D8364" s="8">
        <v>92</v>
      </c>
      <c r="E8364" s="8">
        <v>0</v>
      </c>
      <c r="F8364" s="8">
        <v>0</v>
      </c>
      <c r="G8364" s="8">
        <v>26</v>
      </c>
      <c r="H8364" s="8" t="s">
        <v>17048</v>
      </c>
      <c r="I8364" s="8">
        <v>528.1875</v>
      </c>
      <c r="J8364" s="3">
        <f t="shared" si="130"/>
        <v>43748.089254074068</v>
      </c>
    </row>
    <row r="8365" spans="1:10" x14ac:dyDescent="0.25">
      <c r="A8365" s="5" t="s">
        <v>17049</v>
      </c>
      <c r="B8365" s="6">
        <v>396.875</v>
      </c>
      <c r="C8365" s="6">
        <v>20.478950000000001</v>
      </c>
      <c r="D8365" s="6">
        <v>91</v>
      </c>
      <c r="E8365" s="6">
        <v>0</v>
      </c>
      <c r="F8365" s="6">
        <v>0</v>
      </c>
      <c r="G8365" s="6">
        <v>20</v>
      </c>
      <c r="H8365" s="6" t="s">
        <v>17050</v>
      </c>
      <c r="I8365" s="6">
        <v>527.4375</v>
      </c>
      <c r="J8365" s="2">
        <f t="shared" si="130"/>
        <v>43748.089325393514</v>
      </c>
    </row>
    <row r="8366" spans="1:10" x14ac:dyDescent="0.25">
      <c r="A8366" s="7" t="s">
        <v>17051</v>
      </c>
      <c r="B8366" s="8">
        <v>396.875</v>
      </c>
      <c r="C8366" s="8">
        <v>20.478950000000001</v>
      </c>
      <c r="D8366" s="8">
        <v>91</v>
      </c>
      <c r="E8366" s="8">
        <v>0</v>
      </c>
      <c r="F8366" s="8">
        <v>0</v>
      </c>
      <c r="G8366" s="8">
        <v>17</v>
      </c>
      <c r="H8366" s="8" t="s">
        <v>17052</v>
      </c>
      <c r="I8366" s="8">
        <v>527.4375</v>
      </c>
      <c r="J8366" s="3">
        <f t="shared" si="130"/>
        <v>43748.089396736112</v>
      </c>
    </row>
    <row r="8367" spans="1:10" x14ac:dyDescent="0.25">
      <c r="A8367" s="5" t="s">
        <v>17053</v>
      </c>
      <c r="B8367" s="6">
        <v>415.625</v>
      </c>
      <c r="C8367" s="6">
        <v>20.478950000000001</v>
      </c>
      <c r="D8367" s="6">
        <v>91</v>
      </c>
      <c r="E8367" s="6">
        <v>0</v>
      </c>
      <c r="F8367" s="6">
        <v>0</v>
      </c>
      <c r="G8367" s="6">
        <v>23</v>
      </c>
      <c r="H8367" s="6" t="s">
        <v>17054</v>
      </c>
      <c r="I8367" s="6">
        <v>533.0625</v>
      </c>
      <c r="J8367" s="2">
        <f t="shared" si="130"/>
        <v>43748.089468888887</v>
      </c>
    </row>
    <row r="8368" spans="1:10" x14ac:dyDescent="0.25">
      <c r="A8368" s="7" t="s">
        <v>17055</v>
      </c>
      <c r="B8368" s="8">
        <v>396.875</v>
      </c>
      <c r="C8368" s="8">
        <v>20.426300000000001</v>
      </c>
      <c r="D8368" s="8">
        <v>90</v>
      </c>
      <c r="E8368" s="8">
        <v>0</v>
      </c>
      <c r="F8368" s="8">
        <v>0</v>
      </c>
      <c r="G8368" s="8">
        <v>25</v>
      </c>
      <c r="H8368" s="8" t="s">
        <v>17056</v>
      </c>
      <c r="I8368" s="8">
        <v>527.4375</v>
      </c>
      <c r="J8368" s="3">
        <f t="shared" si="130"/>
        <v>43748.089540208333</v>
      </c>
    </row>
    <row r="8369" spans="1:10" x14ac:dyDescent="0.25">
      <c r="A8369" s="5" t="s">
        <v>17057</v>
      </c>
      <c r="B8369" s="6">
        <v>400</v>
      </c>
      <c r="C8369" s="6">
        <v>20.478950000000001</v>
      </c>
      <c r="D8369" s="6">
        <v>88</v>
      </c>
      <c r="E8369" s="6">
        <v>0</v>
      </c>
      <c r="F8369" s="6">
        <v>0</v>
      </c>
      <c r="G8369" s="6">
        <v>32</v>
      </c>
      <c r="H8369" s="6" t="s">
        <v>17058</v>
      </c>
      <c r="I8369" s="6">
        <v>528.375</v>
      </c>
      <c r="J8369" s="2">
        <f t="shared" si="130"/>
        <v>43748.089611481475</v>
      </c>
    </row>
    <row r="8370" spans="1:10" x14ac:dyDescent="0.25">
      <c r="A8370" s="7" t="s">
        <v>17059</v>
      </c>
      <c r="B8370" s="8">
        <v>400</v>
      </c>
      <c r="C8370" s="8">
        <v>20.478950000000001</v>
      </c>
      <c r="D8370" s="8">
        <v>89</v>
      </c>
      <c r="E8370" s="8">
        <v>0</v>
      </c>
      <c r="F8370" s="8">
        <v>0</v>
      </c>
      <c r="G8370" s="8">
        <v>21</v>
      </c>
      <c r="H8370" s="8" t="s">
        <v>17060</v>
      </c>
      <c r="I8370" s="8">
        <v>528.375</v>
      </c>
      <c r="J8370" s="3">
        <f t="shared" si="130"/>
        <v>43748.08968355324</v>
      </c>
    </row>
    <row r="8371" spans="1:10" x14ac:dyDescent="0.25">
      <c r="A8371" s="5" t="s">
        <v>17061</v>
      </c>
      <c r="B8371" s="6">
        <v>428.125</v>
      </c>
      <c r="C8371" s="6">
        <v>20.478950000000001</v>
      </c>
      <c r="D8371" s="6">
        <v>90</v>
      </c>
      <c r="E8371" s="6">
        <v>0</v>
      </c>
      <c r="F8371" s="6">
        <v>0</v>
      </c>
      <c r="G8371" s="6">
        <v>25</v>
      </c>
      <c r="H8371" s="6" t="s">
        <v>17062</v>
      </c>
      <c r="I8371" s="6">
        <v>537.5625</v>
      </c>
      <c r="J8371" s="2">
        <f t="shared" si="130"/>
        <v>43748.089754953697</v>
      </c>
    </row>
    <row r="8372" spans="1:10" x14ac:dyDescent="0.25">
      <c r="A8372" s="7" t="s">
        <v>17063</v>
      </c>
      <c r="B8372" s="8">
        <v>403.125</v>
      </c>
      <c r="C8372" s="8">
        <v>20.478950000000001</v>
      </c>
      <c r="D8372" s="8">
        <v>89</v>
      </c>
      <c r="E8372" s="8">
        <v>0</v>
      </c>
      <c r="F8372" s="8">
        <v>0</v>
      </c>
      <c r="G8372" s="8">
        <v>24</v>
      </c>
      <c r="H8372" s="8" t="s">
        <v>17064</v>
      </c>
      <c r="I8372" s="8">
        <v>529.125</v>
      </c>
      <c r="J8372" s="3">
        <f t="shared" si="130"/>
        <v>43748.089826307863</v>
      </c>
    </row>
    <row r="8373" spans="1:10" x14ac:dyDescent="0.25">
      <c r="A8373" s="5" t="s">
        <v>17065</v>
      </c>
      <c r="B8373" s="6">
        <v>400</v>
      </c>
      <c r="C8373" s="6">
        <v>20.478950000000001</v>
      </c>
      <c r="D8373" s="6">
        <v>92</v>
      </c>
      <c r="E8373" s="6">
        <v>0</v>
      </c>
      <c r="F8373" s="6">
        <v>0</v>
      </c>
      <c r="G8373" s="6">
        <v>0</v>
      </c>
      <c r="H8373" s="6" t="s">
        <v>17066</v>
      </c>
      <c r="I8373" s="6">
        <v>528.1875</v>
      </c>
      <c r="J8373" s="2">
        <f t="shared" si="130"/>
        <v>43748.09023686342</v>
      </c>
    </row>
    <row r="8374" spans="1:10" x14ac:dyDescent="0.25">
      <c r="A8374" s="7" t="s">
        <v>17067</v>
      </c>
      <c r="B8374" s="8">
        <v>400</v>
      </c>
      <c r="C8374" s="8">
        <v>20.478950000000001</v>
      </c>
      <c r="D8374" s="8">
        <v>91</v>
      </c>
      <c r="E8374" s="8">
        <v>0</v>
      </c>
      <c r="F8374" s="8">
        <v>0</v>
      </c>
      <c r="G8374" s="8">
        <v>0</v>
      </c>
      <c r="H8374" s="8" t="s">
        <v>17068</v>
      </c>
      <c r="I8374" s="8">
        <v>528.1875</v>
      </c>
      <c r="J8374" s="3">
        <f t="shared" si="130"/>
        <v>43748.090317638889</v>
      </c>
    </row>
    <row r="8375" spans="1:10" x14ac:dyDescent="0.25">
      <c r="A8375" s="5" t="s">
        <v>17069</v>
      </c>
      <c r="B8375" s="6">
        <v>400</v>
      </c>
      <c r="C8375" s="6">
        <v>20.426300000000001</v>
      </c>
      <c r="D8375" s="6">
        <v>92</v>
      </c>
      <c r="E8375" s="6">
        <v>0</v>
      </c>
      <c r="F8375" s="6">
        <v>0</v>
      </c>
      <c r="G8375" s="6">
        <v>2</v>
      </c>
      <c r="H8375" s="6" t="s">
        <v>17070</v>
      </c>
      <c r="I8375" s="6">
        <v>528.1875</v>
      </c>
      <c r="J8375" s="2">
        <f t="shared" si="130"/>
        <v>43748.090388993056</v>
      </c>
    </row>
    <row r="8376" spans="1:10" x14ac:dyDescent="0.25">
      <c r="A8376" s="7" t="s">
        <v>17071</v>
      </c>
      <c r="B8376" s="8">
        <v>400</v>
      </c>
      <c r="C8376" s="8">
        <v>20.478950000000001</v>
      </c>
      <c r="D8376" s="8">
        <v>91</v>
      </c>
      <c r="E8376" s="8">
        <v>0</v>
      </c>
      <c r="F8376" s="8">
        <v>0</v>
      </c>
      <c r="G8376" s="8">
        <v>8</v>
      </c>
      <c r="H8376" s="8" t="s">
        <v>17072</v>
      </c>
      <c r="I8376" s="8">
        <v>528.1875</v>
      </c>
      <c r="J8376" s="3">
        <f t="shared" si="130"/>
        <v>43748.090461030086</v>
      </c>
    </row>
    <row r="8377" spans="1:10" x14ac:dyDescent="0.25">
      <c r="A8377" s="5" t="s">
        <v>17073</v>
      </c>
      <c r="B8377" s="6">
        <v>400</v>
      </c>
      <c r="C8377" s="6">
        <v>20.426300000000001</v>
      </c>
      <c r="D8377" s="6">
        <v>91</v>
      </c>
      <c r="E8377" s="6">
        <v>0</v>
      </c>
      <c r="F8377" s="6">
        <v>0</v>
      </c>
      <c r="G8377" s="6">
        <v>0</v>
      </c>
      <c r="H8377" s="6" t="s">
        <v>17074</v>
      </c>
      <c r="I8377" s="6">
        <v>528.375</v>
      </c>
      <c r="J8377" s="2">
        <f t="shared" si="130"/>
        <v>43748.090532384253</v>
      </c>
    </row>
    <row r="8378" spans="1:10" x14ac:dyDescent="0.25">
      <c r="A8378" s="7" t="s">
        <v>17075</v>
      </c>
      <c r="B8378" s="8">
        <v>400</v>
      </c>
      <c r="C8378" s="8">
        <v>20.478950000000001</v>
      </c>
      <c r="D8378" s="8">
        <v>89</v>
      </c>
      <c r="E8378" s="8">
        <v>0</v>
      </c>
      <c r="F8378" s="8">
        <v>0</v>
      </c>
      <c r="G8378" s="8">
        <v>13</v>
      </c>
      <c r="H8378" s="8" t="s">
        <v>17076</v>
      </c>
      <c r="I8378" s="8">
        <v>528.375</v>
      </c>
      <c r="J8378" s="3">
        <f t="shared" si="130"/>
        <v>43748.090604456018</v>
      </c>
    </row>
    <row r="8379" spans="1:10" x14ac:dyDescent="0.25">
      <c r="A8379" s="5" t="s">
        <v>17077</v>
      </c>
      <c r="B8379" s="6">
        <v>400</v>
      </c>
      <c r="C8379" s="6">
        <v>20.478950000000001</v>
      </c>
      <c r="D8379" s="6">
        <v>89</v>
      </c>
      <c r="E8379" s="6">
        <v>0</v>
      </c>
      <c r="F8379" s="6">
        <v>0</v>
      </c>
      <c r="G8379" s="6">
        <v>7</v>
      </c>
      <c r="H8379" s="6" t="s">
        <v>17078</v>
      </c>
      <c r="I8379" s="6">
        <v>528.1875</v>
      </c>
      <c r="J8379" s="2">
        <f t="shared" si="130"/>
        <v>43748.090675740743</v>
      </c>
    </row>
    <row r="8380" spans="1:10" x14ac:dyDescent="0.25">
      <c r="A8380" s="7" t="s">
        <v>17079</v>
      </c>
      <c r="B8380" s="8">
        <v>418.75</v>
      </c>
      <c r="C8380" s="8">
        <v>20.478950000000001</v>
      </c>
      <c r="D8380" s="8">
        <v>89</v>
      </c>
      <c r="E8380" s="8">
        <v>0</v>
      </c>
      <c r="F8380" s="8">
        <v>0</v>
      </c>
      <c r="G8380" s="8">
        <v>5</v>
      </c>
      <c r="H8380" s="8" t="s">
        <v>17080</v>
      </c>
      <c r="I8380" s="8">
        <v>534.5625</v>
      </c>
      <c r="J8380" s="3">
        <f t="shared" si="130"/>
        <v>43748.090747106478</v>
      </c>
    </row>
    <row r="8381" spans="1:10" x14ac:dyDescent="0.25">
      <c r="A8381" s="5" t="s">
        <v>17081</v>
      </c>
      <c r="B8381" s="6">
        <v>403.125</v>
      </c>
      <c r="C8381" s="6">
        <v>20.478950000000001</v>
      </c>
      <c r="D8381" s="6">
        <v>89</v>
      </c>
      <c r="E8381" s="6">
        <v>0</v>
      </c>
      <c r="F8381" s="6">
        <v>0</v>
      </c>
      <c r="G8381" s="6">
        <v>11</v>
      </c>
      <c r="H8381" s="6" t="s">
        <v>17082</v>
      </c>
      <c r="I8381" s="6">
        <v>529.125</v>
      </c>
      <c r="J8381" s="2">
        <f t="shared" si="130"/>
        <v>43748.090818483797</v>
      </c>
    </row>
    <row r="8382" spans="1:10" x14ac:dyDescent="0.25">
      <c r="A8382" s="7" t="s">
        <v>17083</v>
      </c>
      <c r="B8382" s="8">
        <v>403.125</v>
      </c>
      <c r="C8382" s="8">
        <v>20.478950000000001</v>
      </c>
      <c r="D8382" s="8">
        <v>89</v>
      </c>
      <c r="E8382" s="8">
        <v>0</v>
      </c>
      <c r="F8382" s="8">
        <v>0</v>
      </c>
      <c r="G8382" s="8">
        <v>1</v>
      </c>
      <c r="H8382" s="8" t="s">
        <v>17084</v>
      </c>
      <c r="I8382" s="8">
        <v>529.125</v>
      </c>
      <c r="J8382" s="3">
        <f t="shared" si="130"/>
        <v>43748.090890138883</v>
      </c>
    </row>
    <row r="8383" spans="1:10" x14ac:dyDescent="0.25">
      <c r="A8383" s="5" t="s">
        <v>17085</v>
      </c>
      <c r="B8383" s="6">
        <v>400</v>
      </c>
      <c r="C8383" s="6">
        <v>20.478950000000001</v>
      </c>
      <c r="D8383" s="6">
        <v>89</v>
      </c>
      <c r="E8383" s="6">
        <v>0</v>
      </c>
      <c r="F8383" s="6">
        <v>0</v>
      </c>
      <c r="G8383" s="6">
        <v>8</v>
      </c>
      <c r="H8383" s="6" t="s">
        <v>17086</v>
      </c>
      <c r="I8383" s="6">
        <v>528.9375</v>
      </c>
      <c r="J8383" s="2">
        <f t="shared" si="130"/>
        <v>43748.090961863425</v>
      </c>
    </row>
    <row r="8384" spans="1:10" x14ac:dyDescent="0.25">
      <c r="A8384" s="7" t="s">
        <v>17087</v>
      </c>
      <c r="B8384" s="8">
        <v>425</v>
      </c>
      <c r="C8384" s="8">
        <v>20.478950000000001</v>
      </c>
      <c r="D8384" s="8">
        <v>91</v>
      </c>
      <c r="E8384" s="8">
        <v>0</v>
      </c>
      <c r="F8384" s="8">
        <v>0</v>
      </c>
      <c r="G8384" s="8">
        <v>7</v>
      </c>
      <c r="H8384" s="8" t="s">
        <v>17088</v>
      </c>
      <c r="I8384" s="8">
        <v>536.4375</v>
      </c>
      <c r="J8384" s="3">
        <f t="shared" si="130"/>
        <v>43748.091045243054</v>
      </c>
    </row>
    <row r="8385" spans="1:10" x14ac:dyDescent="0.25">
      <c r="A8385" s="5" t="s">
        <v>17089</v>
      </c>
      <c r="B8385" s="6">
        <v>400</v>
      </c>
      <c r="C8385" s="6">
        <v>20.478950000000001</v>
      </c>
      <c r="D8385" s="6">
        <v>91</v>
      </c>
      <c r="E8385" s="6">
        <v>0</v>
      </c>
      <c r="F8385" s="6">
        <v>0</v>
      </c>
      <c r="G8385" s="6">
        <v>11</v>
      </c>
      <c r="H8385" s="6" t="s">
        <v>17090</v>
      </c>
      <c r="I8385" s="6">
        <v>528.1875</v>
      </c>
      <c r="J8385" s="2">
        <f t="shared" si="130"/>
        <v>43748.091116539348</v>
      </c>
    </row>
    <row r="8386" spans="1:10" x14ac:dyDescent="0.25">
      <c r="A8386" s="7" t="s">
        <v>17091</v>
      </c>
      <c r="B8386" s="8">
        <v>396.875</v>
      </c>
      <c r="C8386" s="8">
        <v>20.478950000000001</v>
      </c>
      <c r="D8386" s="8">
        <v>93</v>
      </c>
      <c r="E8386" s="8">
        <v>0</v>
      </c>
      <c r="F8386" s="8">
        <v>0</v>
      </c>
      <c r="G8386" s="8">
        <v>5</v>
      </c>
      <c r="H8386" s="8" t="s">
        <v>17092</v>
      </c>
      <c r="I8386" s="8">
        <v>527.4375</v>
      </c>
      <c r="J8386" s="3">
        <f t="shared" ref="J8386:J8449" si="131">(H8386/86400000)+25569+(7/24)</f>
        <v>43748.091188773142</v>
      </c>
    </row>
    <row r="8387" spans="1:10" x14ac:dyDescent="0.25">
      <c r="A8387" s="5" t="s">
        <v>17093</v>
      </c>
      <c r="B8387" s="6">
        <v>396.875</v>
      </c>
      <c r="C8387" s="6">
        <v>20.478950000000001</v>
      </c>
      <c r="D8387" s="6">
        <v>94</v>
      </c>
      <c r="E8387" s="6">
        <v>0</v>
      </c>
      <c r="F8387" s="6">
        <v>0</v>
      </c>
      <c r="G8387" s="6">
        <v>10</v>
      </c>
      <c r="H8387" s="6" t="s">
        <v>17094</v>
      </c>
      <c r="I8387" s="6">
        <v>527.4375</v>
      </c>
      <c r="J8387" s="2">
        <f t="shared" si="131"/>
        <v>43748.091272083329</v>
      </c>
    </row>
    <row r="8388" spans="1:10" x14ac:dyDescent="0.25">
      <c r="A8388" s="7" t="s">
        <v>17095</v>
      </c>
      <c r="B8388" s="8">
        <v>396.875</v>
      </c>
      <c r="C8388" s="8">
        <v>20.426300000000001</v>
      </c>
      <c r="D8388" s="8">
        <v>94</v>
      </c>
      <c r="E8388" s="8">
        <v>0</v>
      </c>
      <c r="F8388" s="8">
        <v>0</v>
      </c>
      <c r="G8388" s="8">
        <v>7</v>
      </c>
      <c r="H8388" s="8" t="s">
        <v>17096</v>
      </c>
      <c r="I8388" s="8">
        <v>527.4375</v>
      </c>
      <c r="J8388" s="3">
        <f t="shared" si="131"/>
        <v>43748.091343402775</v>
      </c>
    </row>
    <row r="8389" spans="1:10" x14ac:dyDescent="0.25">
      <c r="A8389" s="5" t="s">
        <v>17097</v>
      </c>
      <c r="B8389" s="6">
        <v>396.875</v>
      </c>
      <c r="C8389" s="6">
        <v>20.478950000000001</v>
      </c>
      <c r="D8389" s="6">
        <v>93</v>
      </c>
      <c r="E8389" s="6">
        <v>0</v>
      </c>
      <c r="F8389" s="6">
        <v>0</v>
      </c>
      <c r="G8389" s="6">
        <v>6</v>
      </c>
      <c r="H8389" s="6" t="s">
        <v>17098</v>
      </c>
      <c r="I8389" s="6">
        <v>527.4375</v>
      </c>
      <c r="J8389" s="2">
        <f t="shared" si="131"/>
        <v>43748.091415451381</v>
      </c>
    </row>
    <row r="8390" spans="1:10" x14ac:dyDescent="0.25">
      <c r="A8390" s="7" t="s">
        <v>17099</v>
      </c>
      <c r="B8390" s="8">
        <v>396.875</v>
      </c>
      <c r="C8390" s="8">
        <v>20.426300000000001</v>
      </c>
      <c r="D8390" s="8">
        <v>93</v>
      </c>
      <c r="E8390" s="8">
        <v>0</v>
      </c>
      <c r="F8390" s="8">
        <v>0</v>
      </c>
      <c r="G8390" s="8">
        <v>4</v>
      </c>
      <c r="H8390" s="8" t="s">
        <v>17100</v>
      </c>
      <c r="I8390" s="8">
        <v>527.4375</v>
      </c>
      <c r="J8390" s="3">
        <f t="shared" si="131"/>
        <v>43748.09149893518</v>
      </c>
    </row>
    <row r="8391" spans="1:10" x14ac:dyDescent="0.25">
      <c r="A8391" s="5" t="s">
        <v>17101</v>
      </c>
      <c r="B8391" s="6">
        <v>396.875</v>
      </c>
      <c r="C8391" s="6">
        <v>20.478950000000001</v>
      </c>
      <c r="D8391" s="6">
        <v>92</v>
      </c>
      <c r="E8391" s="6">
        <v>0</v>
      </c>
      <c r="F8391" s="6">
        <v>0</v>
      </c>
      <c r="G8391" s="6">
        <v>1</v>
      </c>
      <c r="H8391" s="6" t="s">
        <v>17102</v>
      </c>
      <c r="I8391" s="6">
        <v>527.4375</v>
      </c>
      <c r="J8391" s="2">
        <f t="shared" si="131"/>
        <v>43748.091570185185</v>
      </c>
    </row>
    <row r="8392" spans="1:10" x14ac:dyDescent="0.25">
      <c r="A8392" s="7" t="s">
        <v>17103</v>
      </c>
      <c r="B8392" s="8">
        <v>396.875</v>
      </c>
      <c r="C8392" s="8">
        <v>20.478950000000001</v>
      </c>
      <c r="D8392" s="8">
        <v>92</v>
      </c>
      <c r="E8392" s="8">
        <v>0</v>
      </c>
      <c r="F8392" s="8">
        <v>0</v>
      </c>
      <c r="G8392" s="8">
        <v>12</v>
      </c>
      <c r="H8392" s="8" t="s">
        <v>17104</v>
      </c>
      <c r="I8392" s="8">
        <v>527.4375</v>
      </c>
      <c r="J8392" s="3">
        <f t="shared" si="131"/>
        <v>43748.09164155092</v>
      </c>
    </row>
    <row r="8393" spans="1:10" x14ac:dyDescent="0.25">
      <c r="A8393" s="5" t="s">
        <v>17105</v>
      </c>
      <c r="B8393" s="6">
        <v>396.875</v>
      </c>
      <c r="C8393" s="6">
        <v>20.478950000000001</v>
      </c>
      <c r="D8393" s="6">
        <v>92</v>
      </c>
      <c r="E8393" s="6">
        <v>0</v>
      </c>
      <c r="F8393" s="6">
        <v>0</v>
      </c>
      <c r="G8393" s="6">
        <v>7</v>
      </c>
      <c r="H8393" s="6" t="s">
        <v>17106</v>
      </c>
      <c r="I8393" s="6">
        <v>527.4375</v>
      </c>
      <c r="J8393" s="2">
        <f t="shared" si="131"/>
        <v>43748.091712905087</v>
      </c>
    </row>
    <row r="8394" spans="1:10" x14ac:dyDescent="0.25">
      <c r="A8394" s="7" t="s">
        <v>17107</v>
      </c>
      <c r="B8394" s="8">
        <v>393.75</v>
      </c>
      <c r="C8394" s="8">
        <v>20.478950000000001</v>
      </c>
      <c r="D8394" s="8">
        <v>89</v>
      </c>
      <c r="E8394" s="8">
        <v>0</v>
      </c>
      <c r="F8394" s="8">
        <v>0</v>
      </c>
      <c r="G8394" s="8">
        <v>6</v>
      </c>
      <c r="H8394" s="8" t="s">
        <v>17108</v>
      </c>
      <c r="I8394" s="8">
        <v>526.6875</v>
      </c>
      <c r="J8394" s="3">
        <f t="shared" si="131"/>
        <v>43748.091785046294</v>
      </c>
    </row>
    <row r="8395" spans="1:10" x14ac:dyDescent="0.25">
      <c r="A8395" s="5" t="s">
        <v>17109</v>
      </c>
      <c r="B8395" s="6">
        <v>393.75</v>
      </c>
      <c r="C8395" s="6">
        <v>20.478950000000001</v>
      </c>
      <c r="D8395" s="6">
        <v>89</v>
      </c>
      <c r="E8395" s="6">
        <v>0</v>
      </c>
      <c r="F8395" s="6">
        <v>0</v>
      </c>
      <c r="G8395" s="6">
        <v>13</v>
      </c>
      <c r="H8395" s="6" t="s">
        <v>17110</v>
      </c>
      <c r="I8395" s="6">
        <v>526.6875</v>
      </c>
      <c r="J8395" s="2">
        <f t="shared" si="131"/>
        <v>43748.091856342588</v>
      </c>
    </row>
    <row r="8396" spans="1:10" x14ac:dyDescent="0.25">
      <c r="A8396" s="7" t="s">
        <v>17111</v>
      </c>
      <c r="B8396" s="8">
        <v>393.75</v>
      </c>
      <c r="C8396" s="8">
        <v>20.426300000000001</v>
      </c>
      <c r="D8396" s="8">
        <v>89</v>
      </c>
      <c r="E8396" s="8">
        <v>0</v>
      </c>
      <c r="F8396" s="8">
        <v>0</v>
      </c>
      <c r="G8396" s="8">
        <v>5</v>
      </c>
      <c r="H8396" s="8" t="s">
        <v>17112</v>
      </c>
      <c r="I8396" s="8">
        <v>526.5</v>
      </c>
      <c r="J8396" s="3">
        <f t="shared" si="131"/>
        <v>43748.091927592592</v>
      </c>
    </row>
    <row r="8397" spans="1:10" x14ac:dyDescent="0.25">
      <c r="A8397" s="5" t="s">
        <v>17113</v>
      </c>
      <c r="B8397" s="6">
        <v>396.875</v>
      </c>
      <c r="C8397" s="6">
        <v>20.426300000000001</v>
      </c>
      <c r="D8397" s="6">
        <v>95</v>
      </c>
      <c r="E8397" s="6">
        <v>0</v>
      </c>
      <c r="F8397" s="6">
        <v>0</v>
      </c>
      <c r="G8397" s="6">
        <v>3</v>
      </c>
      <c r="H8397" s="6" t="s">
        <v>17114</v>
      </c>
      <c r="I8397" s="6">
        <v>527.4375</v>
      </c>
      <c r="J8397" s="2">
        <f t="shared" si="131"/>
        <v>43748.091999687495</v>
      </c>
    </row>
    <row r="8398" spans="1:10" x14ac:dyDescent="0.25">
      <c r="A8398" s="7" t="s">
        <v>17115</v>
      </c>
      <c r="B8398" s="8">
        <v>396.875</v>
      </c>
      <c r="C8398" s="8">
        <v>20.426300000000001</v>
      </c>
      <c r="D8398" s="8">
        <v>94</v>
      </c>
      <c r="E8398" s="8">
        <v>0</v>
      </c>
      <c r="F8398" s="8">
        <v>0</v>
      </c>
      <c r="G8398" s="8">
        <v>6</v>
      </c>
      <c r="H8398" s="8" t="s">
        <v>17116</v>
      </c>
      <c r="I8398" s="8">
        <v>527.4375</v>
      </c>
      <c r="J8398" s="3">
        <f t="shared" si="131"/>
        <v>43748.092071168976</v>
      </c>
    </row>
    <row r="8399" spans="1:10" x14ac:dyDescent="0.25">
      <c r="A8399" s="5" t="s">
        <v>17117</v>
      </c>
      <c r="B8399" s="6">
        <v>415.625</v>
      </c>
      <c r="C8399" s="6">
        <v>20.478950000000001</v>
      </c>
      <c r="D8399" s="6">
        <v>94</v>
      </c>
      <c r="E8399" s="6">
        <v>0</v>
      </c>
      <c r="F8399" s="6">
        <v>0</v>
      </c>
      <c r="G8399" s="6">
        <v>6</v>
      </c>
      <c r="H8399" s="6" t="s">
        <v>17118</v>
      </c>
      <c r="I8399" s="6">
        <v>533.0625</v>
      </c>
      <c r="J8399" s="2">
        <f t="shared" si="131"/>
        <v>43748.092142488422</v>
      </c>
    </row>
    <row r="8400" spans="1:10" x14ac:dyDescent="0.25">
      <c r="A8400" s="7" t="s">
        <v>17119</v>
      </c>
      <c r="B8400" s="8">
        <v>393.75</v>
      </c>
      <c r="C8400" s="8">
        <v>20.478950000000001</v>
      </c>
      <c r="D8400" s="8">
        <v>94</v>
      </c>
      <c r="E8400" s="8">
        <v>0</v>
      </c>
      <c r="F8400" s="8">
        <v>0</v>
      </c>
      <c r="G8400" s="8">
        <v>15</v>
      </c>
      <c r="H8400" s="8" t="s">
        <v>17120</v>
      </c>
      <c r="I8400" s="8">
        <v>526.5</v>
      </c>
      <c r="J8400" s="3">
        <f t="shared" si="131"/>
        <v>43748.092213749995</v>
      </c>
    </row>
    <row r="8401" spans="1:10" x14ac:dyDescent="0.25">
      <c r="A8401" s="5" t="s">
        <v>17121</v>
      </c>
      <c r="B8401" s="6">
        <v>393.75</v>
      </c>
      <c r="C8401" s="6">
        <v>20.478950000000001</v>
      </c>
      <c r="D8401" s="6">
        <v>94</v>
      </c>
      <c r="E8401" s="6">
        <v>0</v>
      </c>
      <c r="F8401" s="6">
        <v>0</v>
      </c>
      <c r="G8401" s="6">
        <v>6</v>
      </c>
      <c r="H8401" s="6" t="s">
        <v>17122</v>
      </c>
      <c r="I8401" s="6">
        <v>526.6875</v>
      </c>
      <c r="J8401" s="2">
        <f t="shared" si="131"/>
        <v>43748.092285914354</v>
      </c>
    </row>
    <row r="8402" spans="1:10" x14ac:dyDescent="0.25">
      <c r="A8402" s="7" t="s">
        <v>17123</v>
      </c>
      <c r="B8402" s="8">
        <v>393.75</v>
      </c>
      <c r="C8402" s="8">
        <v>20.478950000000001</v>
      </c>
      <c r="D8402" s="8">
        <v>95</v>
      </c>
      <c r="E8402" s="8">
        <v>0</v>
      </c>
      <c r="F8402" s="8">
        <v>0</v>
      </c>
      <c r="G8402" s="8">
        <v>7</v>
      </c>
      <c r="H8402" s="8" t="s">
        <v>17124</v>
      </c>
      <c r="I8402" s="8">
        <v>526.6875</v>
      </c>
      <c r="J8402" s="3">
        <f t="shared" si="131"/>
        <v>43748.092369317128</v>
      </c>
    </row>
    <row r="8403" spans="1:10" x14ac:dyDescent="0.25">
      <c r="A8403" s="5" t="s">
        <v>17125</v>
      </c>
      <c r="B8403" s="6">
        <v>393.75</v>
      </c>
      <c r="C8403" s="6">
        <v>20.478950000000001</v>
      </c>
      <c r="D8403" s="6">
        <v>95</v>
      </c>
      <c r="E8403" s="6">
        <v>0</v>
      </c>
      <c r="F8403" s="6">
        <v>0</v>
      </c>
      <c r="G8403" s="6">
        <v>12</v>
      </c>
      <c r="H8403" s="6" t="s">
        <v>17126</v>
      </c>
      <c r="I8403" s="6">
        <v>526.6875</v>
      </c>
      <c r="J8403" s="2">
        <f t="shared" si="131"/>
        <v>43748.092440613422</v>
      </c>
    </row>
    <row r="8404" spans="1:10" x14ac:dyDescent="0.25">
      <c r="A8404" s="7" t="s">
        <v>17127</v>
      </c>
      <c r="B8404" s="8">
        <v>396.875</v>
      </c>
      <c r="C8404" s="8">
        <v>20.478950000000001</v>
      </c>
      <c r="D8404" s="8">
        <v>95</v>
      </c>
      <c r="E8404" s="8">
        <v>0</v>
      </c>
      <c r="F8404" s="8">
        <v>0</v>
      </c>
      <c r="G8404" s="8">
        <v>6</v>
      </c>
      <c r="H8404" s="8" t="s">
        <v>17128</v>
      </c>
      <c r="I8404" s="8">
        <v>527.4375</v>
      </c>
      <c r="J8404" s="3">
        <f t="shared" si="131"/>
        <v>43748.092511898147</v>
      </c>
    </row>
    <row r="8405" spans="1:10" x14ac:dyDescent="0.25">
      <c r="A8405" s="5" t="s">
        <v>17129</v>
      </c>
      <c r="B8405" s="6">
        <v>396.875</v>
      </c>
      <c r="C8405" s="6">
        <v>20.478950000000001</v>
      </c>
      <c r="D8405" s="6">
        <v>93</v>
      </c>
      <c r="E8405" s="6">
        <v>0</v>
      </c>
      <c r="F8405" s="6">
        <v>0</v>
      </c>
      <c r="G8405" s="6">
        <v>4</v>
      </c>
      <c r="H8405" s="6" t="s">
        <v>17130</v>
      </c>
      <c r="I8405" s="6">
        <v>527.4375</v>
      </c>
      <c r="J8405" s="2">
        <f t="shared" si="131"/>
        <v>43748.092584062499</v>
      </c>
    </row>
    <row r="8406" spans="1:10" x14ac:dyDescent="0.25">
      <c r="A8406" s="7" t="s">
        <v>17131</v>
      </c>
      <c r="B8406" s="8">
        <v>396.875</v>
      </c>
      <c r="C8406" s="8">
        <v>20.478950000000001</v>
      </c>
      <c r="D8406" s="8">
        <v>93</v>
      </c>
      <c r="E8406" s="8">
        <v>0</v>
      </c>
      <c r="F8406" s="8">
        <v>0</v>
      </c>
      <c r="G8406" s="8">
        <v>0</v>
      </c>
      <c r="H8406" s="8" t="s">
        <v>17132</v>
      </c>
      <c r="I8406" s="8">
        <v>527.4375</v>
      </c>
      <c r="J8406" s="3">
        <f t="shared" si="131"/>
        <v>43748.09265543981</v>
      </c>
    </row>
    <row r="8407" spans="1:10" x14ac:dyDescent="0.25">
      <c r="A8407" s="5" t="s">
        <v>17133</v>
      </c>
      <c r="B8407" s="6">
        <v>396.875</v>
      </c>
      <c r="C8407" s="6">
        <v>20.478950000000001</v>
      </c>
      <c r="D8407" s="6">
        <v>93</v>
      </c>
      <c r="E8407" s="6">
        <v>0</v>
      </c>
      <c r="F8407" s="6">
        <v>0</v>
      </c>
      <c r="G8407" s="6">
        <v>10</v>
      </c>
      <c r="H8407" s="6" t="s">
        <v>17134</v>
      </c>
      <c r="I8407" s="6">
        <v>527.4375</v>
      </c>
      <c r="J8407" s="2">
        <f t="shared" si="131"/>
        <v>43748.092750787029</v>
      </c>
    </row>
    <row r="8408" spans="1:10" x14ac:dyDescent="0.25">
      <c r="A8408" s="7" t="s">
        <v>17135</v>
      </c>
      <c r="B8408" s="8">
        <v>396.875</v>
      </c>
      <c r="C8408" s="8">
        <v>20.478950000000001</v>
      </c>
      <c r="D8408" s="8">
        <v>91</v>
      </c>
      <c r="E8408" s="8">
        <v>0</v>
      </c>
      <c r="F8408" s="8">
        <v>0</v>
      </c>
      <c r="G8408" s="8">
        <v>3</v>
      </c>
      <c r="H8408" s="8" t="s">
        <v>17136</v>
      </c>
      <c r="I8408" s="8">
        <v>527.4375</v>
      </c>
      <c r="J8408" s="3">
        <f t="shared" si="131"/>
        <v>43748.092822164348</v>
      </c>
    </row>
    <row r="8409" spans="1:10" x14ac:dyDescent="0.25">
      <c r="A8409" s="5" t="s">
        <v>17137</v>
      </c>
      <c r="B8409" s="6">
        <v>396.875</v>
      </c>
      <c r="C8409" s="6">
        <v>20.426300000000001</v>
      </c>
      <c r="D8409" s="6">
        <v>91</v>
      </c>
      <c r="E8409" s="6">
        <v>0</v>
      </c>
      <c r="F8409" s="6">
        <v>0</v>
      </c>
      <c r="G8409" s="6">
        <v>12</v>
      </c>
      <c r="H8409" s="6" t="s">
        <v>17138</v>
      </c>
      <c r="I8409" s="6">
        <v>527.4375</v>
      </c>
      <c r="J8409" s="2">
        <f t="shared" si="131"/>
        <v>43748.092893437497</v>
      </c>
    </row>
    <row r="8410" spans="1:10" x14ac:dyDescent="0.25">
      <c r="A8410" s="7" t="s">
        <v>17139</v>
      </c>
      <c r="B8410" s="8">
        <v>400</v>
      </c>
      <c r="C8410" s="8">
        <v>20.478950000000001</v>
      </c>
      <c r="D8410" s="8">
        <v>91</v>
      </c>
      <c r="E8410" s="8">
        <v>0</v>
      </c>
      <c r="F8410" s="8">
        <v>0</v>
      </c>
      <c r="G8410" s="8">
        <v>5</v>
      </c>
      <c r="H8410" s="8" t="s">
        <v>17140</v>
      </c>
      <c r="I8410" s="8">
        <v>528.1875</v>
      </c>
      <c r="J8410" s="3">
        <f t="shared" si="131"/>
        <v>43748.092965625001</v>
      </c>
    </row>
    <row r="8411" spans="1:10" x14ac:dyDescent="0.25">
      <c r="A8411" s="5" t="s">
        <v>17141</v>
      </c>
      <c r="B8411" s="6">
        <v>400</v>
      </c>
      <c r="C8411" s="6">
        <v>20.478950000000001</v>
      </c>
      <c r="D8411" s="6">
        <v>91</v>
      </c>
      <c r="E8411" s="6">
        <v>0</v>
      </c>
      <c r="F8411" s="6">
        <v>0</v>
      </c>
      <c r="G8411" s="6">
        <v>8</v>
      </c>
      <c r="H8411" s="6" t="s">
        <v>17142</v>
      </c>
      <c r="I8411" s="6">
        <v>528.375</v>
      </c>
      <c r="J8411" s="2">
        <f t="shared" si="131"/>
        <v>43748.093036840277</v>
      </c>
    </row>
    <row r="8412" spans="1:10" x14ac:dyDescent="0.25">
      <c r="A8412" s="7" t="s">
        <v>17143</v>
      </c>
      <c r="B8412" s="8">
        <v>400</v>
      </c>
      <c r="C8412" s="8">
        <v>20.478950000000001</v>
      </c>
      <c r="D8412" s="8">
        <v>89</v>
      </c>
      <c r="E8412" s="8">
        <v>0</v>
      </c>
      <c r="F8412" s="8">
        <v>0</v>
      </c>
      <c r="G8412" s="8">
        <v>9</v>
      </c>
      <c r="H8412" s="8" t="s">
        <v>17144</v>
      </c>
      <c r="I8412" s="8">
        <v>528.1875</v>
      </c>
      <c r="J8412" s="3">
        <f t="shared" si="131"/>
        <v>43748.09310820602</v>
      </c>
    </row>
    <row r="8413" spans="1:10" x14ac:dyDescent="0.25">
      <c r="A8413" s="5" t="s">
        <v>17145</v>
      </c>
      <c r="B8413" s="6">
        <v>400</v>
      </c>
      <c r="C8413" s="6">
        <v>20.478950000000001</v>
      </c>
      <c r="D8413" s="6">
        <v>88</v>
      </c>
      <c r="E8413" s="6">
        <v>0</v>
      </c>
      <c r="F8413" s="6">
        <v>0</v>
      </c>
      <c r="G8413" s="6">
        <v>7</v>
      </c>
      <c r="H8413" s="6" t="s">
        <v>17146</v>
      </c>
      <c r="I8413" s="6">
        <v>528.1875</v>
      </c>
      <c r="J8413" s="2">
        <f t="shared" si="131"/>
        <v>43748.093179629628</v>
      </c>
    </row>
    <row r="8414" spans="1:10" x14ac:dyDescent="0.25">
      <c r="A8414" s="7" t="s">
        <v>17147</v>
      </c>
      <c r="B8414" s="8">
        <v>415.625</v>
      </c>
      <c r="C8414" s="8">
        <v>20.478950000000001</v>
      </c>
      <c r="D8414" s="8">
        <v>90</v>
      </c>
      <c r="E8414" s="8">
        <v>0</v>
      </c>
      <c r="F8414" s="8">
        <v>0</v>
      </c>
      <c r="G8414" s="8">
        <v>3</v>
      </c>
      <c r="H8414" s="8" t="s">
        <v>17148</v>
      </c>
      <c r="I8414" s="8">
        <v>533.8125</v>
      </c>
      <c r="J8414" s="3">
        <f t="shared" si="131"/>
        <v>43748.093251724531</v>
      </c>
    </row>
    <row r="8415" spans="1:10" x14ac:dyDescent="0.25">
      <c r="A8415" s="5" t="s">
        <v>17149</v>
      </c>
      <c r="B8415" s="6">
        <v>400</v>
      </c>
      <c r="C8415" s="6">
        <v>20.478950000000001</v>
      </c>
      <c r="D8415" s="6">
        <v>89</v>
      </c>
      <c r="E8415" s="6">
        <v>0</v>
      </c>
      <c r="F8415" s="6">
        <v>0</v>
      </c>
      <c r="G8415" s="6">
        <v>0</v>
      </c>
      <c r="H8415" s="6" t="s">
        <v>17150</v>
      </c>
      <c r="I8415" s="6">
        <v>528.1875</v>
      </c>
      <c r="J8415" s="2">
        <f t="shared" si="131"/>
        <v>43748.093323020832</v>
      </c>
    </row>
    <row r="8416" spans="1:10" x14ac:dyDescent="0.25">
      <c r="A8416" s="7" t="s">
        <v>17151</v>
      </c>
      <c r="B8416" s="8">
        <v>396.875</v>
      </c>
      <c r="C8416" s="8">
        <v>20.478950000000001</v>
      </c>
      <c r="D8416" s="8">
        <v>89</v>
      </c>
      <c r="E8416" s="8">
        <v>0</v>
      </c>
      <c r="F8416" s="8">
        <v>0</v>
      </c>
      <c r="G8416" s="8">
        <v>8</v>
      </c>
      <c r="H8416" s="8" t="s">
        <v>17152</v>
      </c>
      <c r="I8416" s="8">
        <v>527.4375</v>
      </c>
      <c r="J8416" s="3">
        <f t="shared" si="131"/>
        <v>43748.093412511567</v>
      </c>
    </row>
    <row r="8417" spans="1:10" x14ac:dyDescent="0.25">
      <c r="A8417" s="5" t="s">
        <v>17153</v>
      </c>
      <c r="B8417" s="6">
        <v>415.625</v>
      </c>
      <c r="C8417" s="6">
        <v>20.478950000000001</v>
      </c>
      <c r="D8417" s="6">
        <v>90</v>
      </c>
      <c r="E8417" s="6">
        <v>0</v>
      </c>
      <c r="F8417" s="6">
        <v>0</v>
      </c>
      <c r="G8417" s="6">
        <v>10</v>
      </c>
      <c r="H8417" s="6" t="s">
        <v>17154</v>
      </c>
      <c r="I8417" s="6">
        <v>533.0625</v>
      </c>
      <c r="J8417" s="2">
        <f t="shared" si="131"/>
        <v>43748.093489687497</v>
      </c>
    </row>
    <row r="8418" spans="1:10" x14ac:dyDescent="0.25">
      <c r="A8418" s="7" t="s">
        <v>17155</v>
      </c>
      <c r="B8418" s="8">
        <v>396.875</v>
      </c>
      <c r="C8418" s="8">
        <v>20.478950000000001</v>
      </c>
      <c r="D8418" s="8">
        <v>90</v>
      </c>
      <c r="E8418" s="8">
        <v>0</v>
      </c>
      <c r="F8418" s="8">
        <v>0</v>
      </c>
      <c r="G8418" s="8">
        <v>16</v>
      </c>
      <c r="H8418" s="8" t="s">
        <v>17156</v>
      </c>
      <c r="I8418" s="8">
        <v>527.4375</v>
      </c>
      <c r="J8418" s="3">
        <f t="shared" si="131"/>
        <v>43748.093561898146</v>
      </c>
    </row>
    <row r="8419" spans="1:10" x14ac:dyDescent="0.25">
      <c r="A8419" s="5" t="s">
        <v>17157</v>
      </c>
      <c r="B8419" s="6">
        <v>400</v>
      </c>
      <c r="C8419" s="6">
        <v>20.478950000000001</v>
      </c>
      <c r="D8419" s="6">
        <v>91</v>
      </c>
      <c r="E8419" s="6">
        <v>0</v>
      </c>
      <c r="F8419" s="6">
        <v>0</v>
      </c>
      <c r="G8419" s="6">
        <v>8</v>
      </c>
      <c r="H8419" s="6" t="s">
        <v>17158</v>
      </c>
      <c r="I8419" s="6">
        <v>528.1875</v>
      </c>
      <c r="J8419" s="2">
        <f t="shared" si="131"/>
        <v>43748.093633206016</v>
      </c>
    </row>
    <row r="8420" spans="1:10" x14ac:dyDescent="0.25">
      <c r="A8420" s="7" t="s">
        <v>17159</v>
      </c>
      <c r="B8420" s="8">
        <v>403.125</v>
      </c>
      <c r="C8420" s="8">
        <v>20.478950000000001</v>
      </c>
      <c r="D8420" s="8">
        <v>91</v>
      </c>
      <c r="E8420" s="8">
        <v>0</v>
      </c>
      <c r="F8420" s="8">
        <v>0</v>
      </c>
      <c r="G8420" s="8">
        <v>22</v>
      </c>
      <c r="H8420" s="8" t="s">
        <v>17160</v>
      </c>
      <c r="I8420" s="8">
        <v>529.125</v>
      </c>
      <c r="J8420" s="3">
        <f t="shared" si="131"/>
        <v>43748.093704502309</v>
      </c>
    </row>
    <row r="8421" spans="1:10" x14ac:dyDescent="0.25">
      <c r="A8421" s="5" t="s">
        <v>17161</v>
      </c>
      <c r="B8421" s="6">
        <v>400</v>
      </c>
      <c r="C8421" s="6">
        <v>20.478950000000001</v>
      </c>
      <c r="D8421" s="6">
        <v>91</v>
      </c>
      <c r="E8421" s="6">
        <v>0</v>
      </c>
      <c r="F8421" s="6">
        <v>0</v>
      </c>
      <c r="G8421" s="6">
        <v>20</v>
      </c>
      <c r="H8421" s="6" t="s">
        <v>17162</v>
      </c>
      <c r="I8421" s="6">
        <v>528.9375</v>
      </c>
      <c r="J8421" s="2">
        <f t="shared" si="131"/>
        <v>43748.093775914349</v>
      </c>
    </row>
    <row r="8422" spans="1:10" x14ac:dyDescent="0.25">
      <c r="A8422" s="7" t="s">
        <v>17163</v>
      </c>
      <c r="B8422" s="8">
        <v>403.125</v>
      </c>
      <c r="C8422" s="8">
        <v>20.478950000000001</v>
      </c>
      <c r="D8422" s="8">
        <v>89</v>
      </c>
      <c r="E8422" s="8">
        <v>0</v>
      </c>
      <c r="F8422" s="8">
        <v>0</v>
      </c>
      <c r="G8422" s="8">
        <v>13</v>
      </c>
      <c r="H8422" s="8" t="s">
        <v>17164</v>
      </c>
      <c r="I8422" s="8">
        <v>529.875</v>
      </c>
      <c r="J8422" s="3">
        <f t="shared" si="131"/>
        <v>43748.093848032404</v>
      </c>
    </row>
    <row r="8423" spans="1:10" x14ac:dyDescent="0.25">
      <c r="A8423" s="5" t="s">
        <v>17165</v>
      </c>
      <c r="B8423" s="6">
        <v>403.125</v>
      </c>
      <c r="C8423" s="6">
        <v>20.478950000000001</v>
      </c>
      <c r="D8423" s="6">
        <v>90</v>
      </c>
      <c r="E8423" s="6">
        <v>0</v>
      </c>
      <c r="F8423" s="6">
        <v>0</v>
      </c>
      <c r="G8423" s="6">
        <v>12</v>
      </c>
      <c r="H8423" s="6" t="s">
        <v>17166</v>
      </c>
      <c r="I8423" s="6">
        <v>529.6875</v>
      </c>
      <c r="J8423" s="2">
        <f t="shared" si="131"/>
        <v>43748.093919074068</v>
      </c>
    </row>
    <row r="8424" spans="1:10" x14ac:dyDescent="0.25">
      <c r="A8424" s="7" t="s">
        <v>17167</v>
      </c>
      <c r="B8424" s="8">
        <v>403.125</v>
      </c>
      <c r="C8424" s="8">
        <v>20.478950000000001</v>
      </c>
      <c r="D8424" s="8">
        <v>85</v>
      </c>
      <c r="E8424" s="8">
        <v>0</v>
      </c>
      <c r="F8424" s="8">
        <v>0</v>
      </c>
      <c r="G8424" s="8">
        <v>15</v>
      </c>
      <c r="H8424" s="8" t="s">
        <v>17168</v>
      </c>
      <c r="I8424" s="8">
        <v>529.875</v>
      </c>
      <c r="J8424" s="3">
        <f t="shared" si="131"/>
        <v>43748.093990624999</v>
      </c>
    </row>
    <row r="8425" spans="1:10" x14ac:dyDescent="0.25">
      <c r="A8425" s="5" t="s">
        <v>17169</v>
      </c>
      <c r="B8425" s="6">
        <v>421.875</v>
      </c>
      <c r="C8425" s="6">
        <v>20.478950000000001</v>
      </c>
      <c r="D8425" s="6">
        <v>86</v>
      </c>
      <c r="E8425" s="6">
        <v>0</v>
      </c>
      <c r="F8425" s="6">
        <v>0</v>
      </c>
      <c r="G8425" s="6">
        <v>12</v>
      </c>
      <c r="H8425" s="6" t="s">
        <v>17170</v>
      </c>
      <c r="I8425" s="6">
        <v>535.6875</v>
      </c>
      <c r="J8425" s="2">
        <f t="shared" si="131"/>
        <v>43748.094062673605</v>
      </c>
    </row>
    <row r="8426" spans="1:10" x14ac:dyDescent="0.25">
      <c r="A8426" s="7" t="s">
        <v>17171</v>
      </c>
      <c r="B8426" s="8">
        <v>406.25</v>
      </c>
      <c r="C8426" s="8">
        <v>20.478950000000001</v>
      </c>
      <c r="D8426" s="8">
        <v>87</v>
      </c>
      <c r="E8426" s="8">
        <v>0</v>
      </c>
      <c r="F8426" s="8">
        <v>0</v>
      </c>
      <c r="G8426" s="8">
        <v>16</v>
      </c>
      <c r="H8426" s="8" t="s">
        <v>17172</v>
      </c>
      <c r="I8426" s="8">
        <v>530.625</v>
      </c>
      <c r="J8426" s="3">
        <f t="shared" si="131"/>
        <v>43748.094134074076</v>
      </c>
    </row>
    <row r="8427" spans="1:10" x14ac:dyDescent="0.25">
      <c r="A8427" s="5" t="s">
        <v>17173</v>
      </c>
      <c r="B8427" s="6">
        <v>406.25</v>
      </c>
      <c r="C8427" s="6">
        <v>20.478950000000001</v>
      </c>
      <c r="D8427" s="6">
        <v>87</v>
      </c>
      <c r="E8427" s="6">
        <v>0</v>
      </c>
      <c r="F8427" s="6">
        <v>0</v>
      </c>
      <c r="G8427" s="6">
        <v>7</v>
      </c>
      <c r="H8427" s="6" t="s">
        <v>17174</v>
      </c>
      <c r="I8427" s="6">
        <v>530.625</v>
      </c>
      <c r="J8427" s="2">
        <f t="shared" si="131"/>
        <v>43748.094205439811</v>
      </c>
    </row>
    <row r="8428" spans="1:10" x14ac:dyDescent="0.25">
      <c r="A8428" s="7" t="s">
        <v>17175</v>
      </c>
      <c r="B8428" s="8">
        <v>406.25</v>
      </c>
      <c r="C8428" s="8">
        <v>20.478950000000001</v>
      </c>
      <c r="D8428" s="8">
        <v>87</v>
      </c>
      <c r="E8428" s="8">
        <v>0</v>
      </c>
      <c r="F8428" s="8">
        <v>0</v>
      </c>
      <c r="G8428" s="8">
        <v>16</v>
      </c>
      <c r="H8428" s="8" t="s">
        <v>17176</v>
      </c>
      <c r="I8428" s="8">
        <v>530.625</v>
      </c>
      <c r="J8428" s="3">
        <f t="shared" si="131"/>
        <v>43748.094276736105</v>
      </c>
    </row>
    <row r="8429" spans="1:10" x14ac:dyDescent="0.25">
      <c r="A8429" s="5" t="s">
        <v>17177</v>
      </c>
      <c r="B8429" s="6">
        <v>406.25</v>
      </c>
      <c r="C8429" s="6">
        <v>20.478950000000001</v>
      </c>
      <c r="D8429" s="6">
        <v>91</v>
      </c>
      <c r="E8429" s="6">
        <v>0</v>
      </c>
      <c r="F8429" s="6">
        <v>0</v>
      </c>
      <c r="G8429" s="6">
        <v>2</v>
      </c>
      <c r="H8429" s="6" t="s">
        <v>17178</v>
      </c>
      <c r="I8429" s="6">
        <v>530.625</v>
      </c>
      <c r="J8429" s="2">
        <f t="shared" si="131"/>
        <v>43748.094348946754</v>
      </c>
    </row>
    <row r="8430" spans="1:10" x14ac:dyDescent="0.25">
      <c r="A8430" s="7" t="s">
        <v>17179</v>
      </c>
      <c r="B8430" s="8">
        <v>403.125</v>
      </c>
      <c r="C8430" s="8">
        <v>20.478950000000001</v>
      </c>
      <c r="D8430" s="8">
        <v>90</v>
      </c>
      <c r="E8430" s="8">
        <v>0</v>
      </c>
      <c r="F8430" s="8">
        <v>0</v>
      </c>
      <c r="G8430" s="8">
        <v>16</v>
      </c>
      <c r="H8430" s="8" t="s">
        <v>17180</v>
      </c>
      <c r="I8430" s="8">
        <v>529.875</v>
      </c>
      <c r="J8430" s="3">
        <f t="shared" si="131"/>
        <v>43748.094420173606</v>
      </c>
    </row>
    <row r="8431" spans="1:10" x14ac:dyDescent="0.25">
      <c r="A8431" s="5" t="s">
        <v>17181</v>
      </c>
      <c r="B8431" s="6">
        <v>403.125</v>
      </c>
      <c r="C8431" s="6">
        <v>20.478950000000001</v>
      </c>
      <c r="D8431" s="6">
        <v>90</v>
      </c>
      <c r="E8431" s="6">
        <v>0</v>
      </c>
      <c r="F8431" s="6">
        <v>0</v>
      </c>
      <c r="G8431" s="6">
        <v>8</v>
      </c>
      <c r="H8431" s="6" t="s">
        <v>17182</v>
      </c>
      <c r="I8431" s="6">
        <v>529.125</v>
      </c>
      <c r="J8431" s="2">
        <f t="shared" si="131"/>
        <v>43748.094491539348</v>
      </c>
    </row>
    <row r="8432" spans="1:10" x14ac:dyDescent="0.25">
      <c r="A8432" s="7" t="s">
        <v>17183</v>
      </c>
      <c r="B8432" s="8">
        <v>403.125</v>
      </c>
      <c r="C8432" s="8">
        <v>20.478950000000001</v>
      </c>
      <c r="D8432" s="8">
        <v>90</v>
      </c>
      <c r="E8432" s="8">
        <v>0</v>
      </c>
      <c r="F8432" s="8">
        <v>0</v>
      </c>
      <c r="G8432" s="8">
        <v>2</v>
      </c>
      <c r="H8432" s="8" t="s">
        <v>17184</v>
      </c>
      <c r="I8432" s="8">
        <v>529.125</v>
      </c>
      <c r="J8432" s="3">
        <f t="shared" si="131"/>
        <v>43748.094562893515</v>
      </c>
    </row>
    <row r="8433" spans="1:10" x14ac:dyDescent="0.25">
      <c r="A8433" s="5" t="s">
        <v>17185</v>
      </c>
      <c r="B8433" s="6">
        <v>403.125</v>
      </c>
      <c r="C8433" s="6">
        <v>20.478950000000001</v>
      </c>
      <c r="D8433" s="6">
        <v>90</v>
      </c>
      <c r="E8433" s="6">
        <v>0</v>
      </c>
      <c r="F8433" s="6">
        <v>0</v>
      </c>
      <c r="G8433" s="6">
        <v>12</v>
      </c>
      <c r="H8433" s="6" t="s">
        <v>17186</v>
      </c>
      <c r="I8433" s="6">
        <v>529.125</v>
      </c>
      <c r="J8433" s="2">
        <f t="shared" si="131"/>
        <v>43748.094635046298</v>
      </c>
    </row>
    <row r="8434" spans="1:10" x14ac:dyDescent="0.25">
      <c r="A8434" s="7" t="s">
        <v>17187</v>
      </c>
      <c r="B8434" s="8">
        <v>400</v>
      </c>
      <c r="C8434" s="8">
        <v>20.478950000000001</v>
      </c>
      <c r="D8434" s="8">
        <v>90</v>
      </c>
      <c r="E8434" s="8">
        <v>0</v>
      </c>
      <c r="F8434" s="8">
        <v>0</v>
      </c>
      <c r="G8434" s="8">
        <v>16</v>
      </c>
      <c r="H8434" s="8" t="s">
        <v>17188</v>
      </c>
      <c r="I8434" s="8">
        <v>528.9375</v>
      </c>
      <c r="J8434" s="3">
        <f t="shared" si="131"/>
        <v>43748.094706111107</v>
      </c>
    </row>
    <row r="8435" spans="1:10" x14ac:dyDescent="0.25">
      <c r="A8435" s="5" t="s">
        <v>17189</v>
      </c>
      <c r="B8435" s="6">
        <v>400</v>
      </c>
      <c r="C8435" s="6">
        <v>20.478950000000001</v>
      </c>
      <c r="D8435" s="6">
        <v>90</v>
      </c>
      <c r="E8435" s="6">
        <v>0</v>
      </c>
      <c r="F8435" s="6">
        <v>0</v>
      </c>
      <c r="G8435" s="6">
        <v>2</v>
      </c>
      <c r="H8435" s="6" t="s">
        <v>17190</v>
      </c>
      <c r="I8435" s="6">
        <v>528.1875</v>
      </c>
      <c r="J8435" s="2">
        <f t="shared" si="131"/>
        <v>43748.094777638886</v>
      </c>
    </row>
    <row r="8436" spans="1:10" x14ac:dyDescent="0.25">
      <c r="A8436" s="7" t="s">
        <v>17191</v>
      </c>
      <c r="B8436" s="8">
        <v>396.875</v>
      </c>
      <c r="C8436" s="8">
        <v>20.478950000000001</v>
      </c>
      <c r="D8436" s="8">
        <v>90</v>
      </c>
      <c r="E8436" s="8">
        <v>0</v>
      </c>
      <c r="F8436" s="8">
        <v>0</v>
      </c>
      <c r="G8436" s="8">
        <v>8</v>
      </c>
      <c r="H8436" s="8" t="s">
        <v>17192</v>
      </c>
      <c r="I8436" s="8">
        <v>527.4375</v>
      </c>
      <c r="J8436" s="3">
        <f t="shared" si="131"/>
        <v>43748.094849710651</v>
      </c>
    </row>
    <row r="8437" spans="1:10" x14ac:dyDescent="0.25">
      <c r="A8437" s="5" t="s">
        <v>17193</v>
      </c>
      <c r="B8437" s="6">
        <v>393.75</v>
      </c>
      <c r="C8437" s="6">
        <v>20.478950000000001</v>
      </c>
      <c r="D8437" s="6">
        <v>90</v>
      </c>
      <c r="E8437" s="6">
        <v>0</v>
      </c>
      <c r="F8437" s="6">
        <v>0</v>
      </c>
      <c r="G8437" s="6">
        <v>9</v>
      </c>
      <c r="H8437" s="6" t="s">
        <v>17194</v>
      </c>
      <c r="I8437" s="6">
        <v>526.6875</v>
      </c>
      <c r="J8437" s="2">
        <f t="shared" si="131"/>
        <v>43748.094920416661</v>
      </c>
    </row>
    <row r="8438" spans="1:10" x14ac:dyDescent="0.25">
      <c r="A8438" s="7" t="s">
        <v>17195</v>
      </c>
      <c r="B8438" s="8">
        <v>415.625</v>
      </c>
      <c r="C8438" s="8">
        <v>20.478950000000001</v>
      </c>
      <c r="D8438" s="8">
        <v>89</v>
      </c>
      <c r="E8438" s="8">
        <v>0</v>
      </c>
      <c r="F8438" s="8">
        <v>0</v>
      </c>
      <c r="G8438" s="8">
        <v>1</v>
      </c>
      <c r="H8438" s="8" t="s">
        <v>17196</v>
      </c>
      <c r="I8438" s="8">
        <v>533.4375</v>
      </c>
      <c r="J8438" s="3">
        <f t="shared" si="131"/>
        <v>43748.094992488426</v>
      </c>
    </row>
    <row r="8439" spans="1:10" x14ac:dyDescent="0.25">
      <c r="A8439" s="5" t="s">
        <v>17197</v>
      </c>
      <c r="B8439" s="6">
        <v>393.75</v>
      </c>
      <c r="C8439" s="6">
        <v>20.478950000000001</v>
      </c>
      <c r="D8439" s="6">
        <v>89</v>
      </c>
      <c r="E8439" s="6">
        <v>0</v>
      </c>
      <c r="F8439" s="6">
        <v>0</v>
      </c>
      <c r="G8439" s="6">
        <v>8</v>
      </c>
      <c r="H8439" s="6" t="s">
        <v>17198</v>
      </c>
      <c r="I8439" s="6">
        <v>526.5</v>
      </c>
      <c r="J8439" s="2">
        <f t="shared" si="131"/>
        <v>43748.095063749999</v>
      </c>
    </row>
    <row r="8440" spans="1:10" x14ac:dyDescent="0.25">
      <c r="A8440" s="7" t="s">
        <v>17199</v>
      </c>
      <c r="B8440" s="8">
        <v>393.75</v>
      </c>
      <c r="C8440" s="8">
        <v>20.478950000000001</v>
      </c>
      <c r="D8440" s="8">
        <v>89</v>
      </c>
      <c r="E8440" s="8">
        <v>0</v>
      </c>
      <c r="F8440" s="8">
        <v>0</v>
      </c>
      <c r="G8440" s="8">
        <v>10</v>
      </c>
      <c r="H8440" s="8" t="s">
        <v>17200</v>
      </c>
      <c r="I8440" s="8">
        <v>526.6875</v>
      </c>
      <c r="J8440" s="3">
        <f t="shared" si="131"/>
        <v>43748.095147141205</v>
      </c>
    </row>
    <row r="8441" spans="1:10" x14ac:dyDescent="0.25">
      <c r="A8441" s="5" t="s">
        <v>17201</v>
      </c>
      <c r="B8441" s="6">
        <v>393.75</v>
      </c>
      <c r="C8441" s="6">
        <v>20.426300000000001</v>
      </c>
      <c r="D8441" s="6">
        <v>88</v>
      </c>
      <c r="E8441" s="6">
        <v>0</v>
      </c>
      <c r="F8441" s="6">
        <v>0</v>
      </c>
      <c r="G8441" s="6">
        <v>10</v>
      </c>
      <c r="H8441" s="6" t="s">
        <v>17202</v>
      </c>
      <c r="I8441" s="6">
        <v>526.6875</v>
      </c>
      <c r="J8441" s="2">
        <f t="shared" si="131"/>
        <v>43748.09521934027</v>
      </c>
    </row>
    <row r="8442" spans="1:10" x14ac:dyDescent="0.25">
      <c r="A8442" s="7" t="s">
        <v>17203</v>
      </c>
      <c r="B8442" s="8">
        <v>393.75</v>
      </c>
      <c r="C8442" s="8">
        <v>20.426300000000001</v>
      </c>
      <c r="D8442" s="8">
        <v>88</v>
      </c>
      <c r="E8442" s="8">
        <v>0</v>
      </c>
      <c r="F8442" s="8">
        <v>0</v>
      </c>
      <c r="G8442" s="8">
        <v>12</v>
      </c>
      <c r="H8442" s="8" t="s">
        <v>17204</v>
      </c>
      <c r="I8442" s="8">
        <v>526.6875</v>
      </c>
      <c r="J8442" s="3">
        <f t="shared" si="131"/>
        <v>43748.095290185178</v>
      </c>
    </row>
    <row r="8443" spans="1:10" x14ac:dyDescent="0.25">
      <c r="A8443" s="5" t="s">
        <v>17205</v>
      </c>
      <c r="B8443" s="6">
        <v>393.75</v>
      </c>
      <c r="C8443" s="6">
        <v>20.426300000000001</v>
      </c>
      <c r="D8443" s="6">
        <v>87</v>
      </c>
      <c r="E8443" s="6">
        <v>0</v>
      </c>
      <c r="F8443" s="6">
        <v>0</v>
      </c>
      <c r="G8443" s="6">
        <v>10</v>
      </c>
      <c r="H8443" s="6" t="s">
        <v>17206</v>
      </c>
      <c r="I8443" s="6">
        <v>526.6875</v>
      </c>
      <c r="J8443" s="2">
        <f t="shared" si="131"/>
        <v>43748.095361874999</v>
      </c>
    </row>
    <row r="8444" spans="1:10" x14ac:dyDescent="0.25">
      <c r="A8444" s="7" t="s">
        <v>17207</v>
      </c>
      <c r="B8444" s="8">
        <v>393.75</v>
      </c>
      <c r="C8444" s="8">
        <v>20.478950000000001</v>
      </c>
      <c r="D8444" s="8">
        <v>87</v>
      </c>
      <c r="E8444" s="8">
        <v>0</v>
      </c>
      <c r="F8444" s="8">
        <v>0</v>
      </c>
      <c r="G8444" s="8">
        <v>9</v>
      </c>
      <c r="H8444" s="8" t="s">
        <v>17208</v>
      </c>
      <c r="I8444" s="8">
        <v>526.6875</v>
      </c>
      <c r="J8444" s="3">
        <f t="shared" si="131"/>
        <v>43748.09543415509</v>
      </c>
    </row>
    <row r="8445" spans="1:10" x14ac:dyDescent="0.25">
      <c r="A8445" s="5" t="s">
        <v>17209</v>
      </c>
      <c r="B8445" s="6">
        <v>393.75</v>
      </c>
      <c r="C8445" s="6">
        <v>20.426300000000001</v>
      </c>
      <c r="D8445" s="6">
        <v>88</v>
      </c>
      <c r="E8445" s="6">
        <v>0</v>
      </c>
      <c r="F8445" s="6">
        <v>0</v>
      </c>
      <c r="G8445" s="6">
        <v>10</v>
      </c>
      <c r="H8445" s="6" t="s">
        <v>17210</v>
      </c>
      <c r="I8445" s="6">
        <v>526.5</v>
      </c>
      <c r="J8445" s="2">
        <f t="shared" si="131"/>
        <v>43748.095505381942</v>
      </c>
    </row>
    <row r="8446" spans="1:10" x14ac:dyDescent="0.25">
      <c r="A8446" s="7" t="s">
        <v>17211</v>
      </c>
      <c r="B8446" s="8">
        <v>412.5</v>
      </c>
      <c r="C8446" s="8">
        <v>20.478950000000001</v>
      </c>
      <c r="D8446" s="8">
        <v>90</v>
      </c>
      <c r="E8446" s="8">
        <v>0</v>
      </c>
      <c r="F8446" s="8">
        <v>0</v>
      </c>
      <c r="G8446" s="8">
        <v>21</v>
      </c>
      <c r="H8446" s="8" t="s">
        <v>17212</v>
      </c>
      <c r="I8446" s="8">
        <v>532.125</v>
      </c>
      <c r="J8446" s="3">
        <f t="shared" si="131"/>
        <v>43748.09557675926</v>
      </c>
    </row>
    <row r="8447" spans="1:10" x14ac:dyDescent="0.25">
      <c r="A8447" s="5" t="s">
        <v>17213</v>
      </c>
      <c r="B8447" s="6">
        <v>393.75</v>
      </c>
      <c r="C8447" s="6">
        <v>20.478950000000001</v>
      </c>
      <c r="D8447" s="6">
        <v>89</v>
      </c>
      <c r="E8447" s="6">
        <v>0</v>
      </c>
      <c r="F8447" s="6">
        <v>0</v>
      </c>
      <c r="G8447" s="6">
        <v>13</v>
      </c>
      <c r="H8447" s="6" t="s">
        <v>17214</v>
      </c>
      <c r="I8447" s="6">
        <v>526.6875</v>
      </c>
      <c r="J8447" s="2">
        <f t="shared" si="131"/>
        <v>43748.095648101851</v>
      </c>
    </row>
    <row r="8448" spans="1:10" x14ac:dyDescent="0.25">
      <c r="A8448" s="7" t="s">
        <v>17215</v>
      </c>
      <c r="B8448" s="8">
        <v>393.75</v>
      </c>
      <c r="C8448" s="8">
        <v>20.478950000000001</v>
      </c>
      <c r="D8448" s="8">
        <v>90</v>
      </c>
      <c r="E8448" s="8">
        <v>0</v>
      </c>
      <c r="F8448" s="8">
        <v>0</v>
      </c>
      <c r="G8448" s="8">
        <v>9</v>
      </c>
      <c r="H8448" s="8" t="s">
        <v>17216</v>
      </c>
      <c r="I8448" s="8">
        <v>526.6875</v>
      </c>
      <c r="J8448" s="3">
        <f t="shared" si="131"/>
        <v>43748.095719733792</v>
      </c>
    </row>
    <row r="8449" spans="1:10" x14ac:dyDescent="0.25">
      <c r="A8449" s="5" t="s">
        <v>17217</v>
      </c>
      <c r="B8449" s="6">
        <v>393.75</v>
      </c>
      <c r="C8449" s="6">
        <v>20.478950000000001</v>
      </c>
      <c r="D8449" s="6">
        <v>91</v>
      </c>
      <c r="E8449" s="6">
        <v>0</v>
      </c>
      <c r="F8449" s="6">
        <v>0</v>
      </c>
      <c r="G8449" s="6">
        <v>13</v>
      </c>
      <c r="H8449" s="6" t="s">
        <v>17218</v>
      </c>
      <c r="I8449" s="6">
        <v>526.6875</v>
      </c>
      <c r="J8449" s="2">
        <f t="shared" si="131"/>
        <v>43748.095791550928</v>
      </c>
    </row>
    <row r="8450" spans="1:10" x14ac:dyDescent="0.25">
      <c r="A8450" s="7" t="s">
        <v>17219</v>
      </c>
      <c r="B8450" s="8">
        <v>431.25</v>
      </c>
      <c r="C8450" s="8">
        <v>20.478950000000001</v>
      </c>
      <c r="D8450" s="8">
        <v>90</v>
      </c>
      <c r="E8450" s="8">
        <v>0</v>
      </c>
      <c r="F8450" s="8">
        <v>0</v>
      </c>
      <c r="G8450" s="8">
        <v>14</v>
      </c>
      <c r="H8450" s="8" t="s">
        <v>17220</v>
      </c>
      <c r="I8450" s="8">
        <v>538.3125</v>
      </c>
      <c r="J8450" s="3">
        <f t="shared" ref="J8450:J8513" si="132">(H8450/86400000)+25569+(7/24)</f>
        <v>43748.09586285879</v>
      </c>
    </row>
    <row r="8451" spans="1:10" x14ac:dyDescent="0.25">
      <c r="A8451" s="5" t="s">
        <v>17221</v>
      </c>
      <c r="B8451" s="6">
        <v>393.75</v>
      </c>
      <c r="C8451" s="6">
        <v>20.478950000000001</v>
      </c>
      <c r="D8451" s="6">
        <v>90</v>
      </c>
      <c r="E8451" s="6">
        <v>0</v>
      </c>
      <c r="F8451" s="6">
        <v>0</v>
      </c>
      <c r="G8451" s="6">
        <v>0</v>
      </c>
      <c r="H8451" s="6" t="s">
        <v>17222</v>
      </c>
      <c r="I8451" s="6">
        <v>526.6875</v>
      </c>
      <c r="J8451" s="2">
        <f t="shared" si="132"/>
        <v>43748.095934907404</v>
      </c>
    </row>
    <row r="8452" spans="1:10" x14ac:dyDescent="0.25">
      <c r="A8452" s="7" t="s">
        <v>17223</v>
      </c>
      <c r="B8452" s="8">
        <v>393.75</v>
      </c>
      <c r="C8452" s="8">
        <v>20.478950000000001</v>
      </c>
      <c r="D8452" s="8">
        <v>90</v>
      </c>
      <c r="E8452" s="8">
        <v>0</v>
      </c>
      <c r="F8452" s="8">
        <v>0</v>
      </c>
      <c r="G8452" s="8">
        <v>6</v>
      </c>
      <c r="H8452" s="8" t="s">
        <v>17224</v>
      </c>
      <c r="I8452" s="8">
        <v>526.6875</v>
      </c>
      <c r="J8452" s="3">
        <f t="shared" si="132"/>
        <v>43748.096005636573</v>
      </c>
    </row>
    <row r="8453" spans="1:10" x14ac:dyDescent="0.25">
      <c r="A8453" s="5" t="s">
        <v>17225</v>
      </c>
      <c r="B8453" s="6">
        <v>393.75</v>
      </c>
      <c r="C8453" s="6">
        <v>20.478950000000001</v>
      </c>
      <c r="D8453" s="6">
        <v>89</v>
      </c>
      <c r="E8453" s="6">
        <v>0</v>
      </c>
      <c r="F8453" s="6">
        <v>0</v>
      </c>
      <c r="G8453" s="6">
        <v>17</v>
      </c>
      <c r="H8453" s="6" t="s">
        <v>17226</v>
      </c>
      <c r="I8453" s="6">
        <v>526.6875</v>
      </c>
      <c r="J8453" s="2">
        <f t="shared" si="132"/>
        <v>43748.096077662034</v>
      </c>
    </row>
    <row r="8454" spans="1:10" x14ac:dyDescent="0.25">
      <c r="A8454" s="7" t="s">
        <v>17227</v>
      </c>
      <c r="B8454" s="8">
        <v>393.75</v>
      </c>
      <c r="C8454" s="8">
        <v>20.478950000000001</v>
      </c>
      <c r="D8454" s="8">
        <v>89</v>
      </c>
      <c r="E8454" s="8">
        <v>0</v>
      </c>
      <c r="F8454" s="8">
        <v>0</v>
      </c>
      <c r="G8454" s="8">
        <v>7</v>
      </c>
      <c r="H8454" s="8" t="s">
        <v>17228</v>
      </c>
      <c r="I8454" s="8">
        <v>526.6875</v>
      </c>
      <c r="J8454" s="3">
        <f t="shared" si="132"/>
        <v>43748.096148993056</v>
      </c>
    </row>
    <row r="8455" spans="1:10" x14ac:dyDescent="0.25">
      <c r="A8455" s="5" t="s">
        <v>17229</v>
      </c>
      <c r="B8455" s="6">
        <v>393.75</v>
      </c>
      <c r="C8455" s="6">
        <v>20.478950000000001</v>
      </c>
      <c r="D8455" s="6">
        <v>89</v>
      </c>
      <c r="E8455" s="6">
        <v>0</v>
      </c>
      <c r="F8455" s="6">
        <v>0</v>
      </c>
      <c r="G8455" s="6">
        <v>11</v>
      </c>
      <c r="H8455" s="6" t="s">
        <v>17230</v>
      </c>
      <c r="I8455" s="6">
        <v>526.6875</v>
      </c>
      <c r="J8455" s="2">
        <f t="shared" si="132"/>
        <v>43748.096221192129</v>
      </c>
    </row>
    <row r="8456" spans="1:10" x14ac:dyDescent="0.25">
      <c r="A8456" s="7" t="s">
        <v>17231</v>
      </c>
      <c r="B8456" s="8">
        <v>393.75</v>
      </c>
      <c r="C8456" s="8">
        <v>20.478950000000001</v>
      </c>
      <c r="D8456" s="8">
        <v>89</v>
      </c>
      <c r="E8456" s="8">
        <v>0</v>
      </c>
      <c r="F8456" s="8">
        <v>0</v>
      </c>
      <c r="G8456" s="8">
        <v>17</v>
      </c>
      <c r="H8456" s="8" t="s">
        <v>17232</v>
      </c>
      <c r="I8456" s="8">
        <v>526.6875</v>
      </c>
      <c r="J8456" s="3">
        <f t="shared" si="132"/>
        <v>43748.096292488422</v>
      </c>
    </row>
    <row r="8457" spans="1:10" x14ac:dyDescent="0.25">
      <c r="A8457" s="5" t="s">
        <v>17233</v>
      </c>
      <c r="B8457" s="6">
        <v>393.75</v>
      </c>
      <c r="C8457" s="6">
        <v>20.478950000000001</v>
      </c>
      <c r="D8457" s="6">
        <v>86</v>
      </c>
      <c r="E8457" s="6">
        <v>0</v>
      </c>
      <c r="F8457" s="6">
        <v>0</v>
      </c>
      <c r="G8457" s="6">
        <v>18</v>
      </c>
      <c r="H8457" s="6" t="s">
        <v>17234</v>
      </c>
      <c r="I8457" s="6">
        <v>526.6875</v>
      </c>
      <c r="J8457" s="2">
        <f t="shared" si="132"/>
        <v>43748.096363784724</v>
      </c>
    </row>
    <row r="8458" spans="1:10" x14ac:dyDescent="0.25">
      <c r="A8458" s="7" t="s">
        <v>17235</v>
      </c>
      <c r="B8458" s="8">
        <v>393.75</v>
      </c>
      <c r="C8458" s="8">
        <v>20.478950000000001</v>
      </c>
      <c r="D8458" s="8">
        <v>85</v>
      </c>
      <c r="E8458" s="8">
        <v>0</v>
      </c>
      <c r="F8458" s="8">
        <v>0</v>
      </c>
      <c r="G8458" s="8">
        <v>18</v>
      </c>
      <c r="H8458" s="8" t="s">
        <v>17236</v>
      </c>
      <c r="I8458" s="8">
        <v>526.6875</v>
      </c>
      <c r="J8458" s="3">
        <f t="shared" si="132"/>
        <v>43748.096435150459</v>
      </c>
    </row>
    <row r="8459" spans="1:10" x14ac:dyDescent="0.25">
      <c r="A8459" s="5" t="s">
        <v>17237</v>
      </c>
      <c r="B8459" s="6">
        <v>412.5</v>
      </c>
      <c r="C8459" s="6">
        <v>20.478950000000001</v>
      </c>
      <c r="D8459" s="6">
        <v>85</v>
      </c>
      <c r="E8459" s="6">
        <v>0</v>
      </c>
      <c r="F8459" s="6">
        <v>0</v>
      </c>
      <c r="G8459" s="6">
        <v>11</v>
      </c>
      <c r="H8459" s="6" t="s">
        <v>17238</v>
      </c>
      <c r="I8459" s="6">
        <v>532.3125</v>
      </c>
      <c r="J8459" s="2">
        <f t="shared" si="132"/>
        <v>43748.096507361108</v>
      </c>
    </row>
    <row r="8460" spans="1:10" x14ac:dyDescent="0.25">
      <c r="A8460" s="7" t="s">
        <v>17239</v>
      </c>
      <c r="B8460" s="8">
        <v>393.75</v>
      </c>
      <c r="C8460" s="8">
        <v>20.478950000000001</v>
      </c>
      <c r="D8460" s="8">
        <v>88</v>
      </c>
      <c r="E8460" s="8">
        <v>0</v>
      </c>
      <c r="F8460" s="8">
        <v>0</v>
      </c>
      <c r="G8460" s="8">
        <v>10</v>
      </c>
      <c r="H8460" s="8" t="s">
        <v>17240</v>
      </c>
      <c r="I8460" s="8">
        <v>526.6875</v>
      </c>
      <c r="J8460" s="3">
        <f t="shared" si="132"/>
        <v>43748.09657858796</v>
      </c>
    </row>
    <row r="8461" spans="1:10" x14ac:dyDescent="0.25">
      <c r="A8461" s="5" t="s">
        <v>17241</v>
      </c>
      <c r="B8461" s="6">
        <v>393.75</v>
      </c>
      <c r="C8461" s="6">
        <v>20.478950000000001</v>
      </c>
      <c r="D8461" s="6">
        <v>89</v>
      </c>
      <c r="E8461" s="6">
        <v>0</v>
      </c>
      <c r="F8461" s="6">
        <v>0</v>
      </c>
      <c r="G8461" s="6">
        <v>13</v>
      </c>
      <c r="H8461" s="6" t="s">
        <v>17242</v>
      </c>
      <c r="I8461" s="6">
        <v>526.5</v>
      </c>
      <c r="J8461" s="2">
        <f t="shared" si="132"/>
        <v>43748.096649999999</v>
      </c>
    </row>
    <row r="8462" spans="1:10" x14ac:dyDescent="0.25">
      <c r="A8462" s="7" t="s">
        <v>17243</v>
      </c>
      <c r="B8462" s="8">
        <v>393.75</v>
      </c>
      <c r="C8462" s="8">
        <v>20.478950000000001</v>
      </c>
      <c r="D8462" s="8">
        <v>89</v>
      </c>
      <c r="E8462" s="8">
        <v>0</v>
      </c>
      <c r="F8462" s="8">
        <v>0</v>
      </c>
      <c r="G8462" s="8">
        <v>12</v>
      </c>
      <c r="H8462" s="8" t="s">
        <v>17244</v>
      </c>
      <c r="I8462" s="8">
        <v>526.6875</v>
      </c>
      <c r="J8462" s="3">
        <f t="shared" si="132"/>
        <v>43748.096733287035</v>
      </c>
    </row>
    <row r="8463" spans="1:10" x14ac:dyDescent="0.25">
      <c r="A8463" s="5" t="s">
        <v>17245</v>
      </c>
      <c r="B8463" s="6">
        <v>393.75</v>
      </c>
      <c r="C8463" s="6">
        <v>20.426300000000001</v>
      </c>
      <c r="D8463" s="6">
        <v>89</v>
      </c>
      <c r="E8463" s="6">
        <v>0</v>
      </c>
      <c r="F8463" s="6">
        <v>0</v>
      </c>
      <c r="G8463" s="6">
        <v>9</v>
      </c>
      <c r="H8463" s="6" t="s">
        <v>17246</v>
      </c>
      <c r="I8463" s="6">
        <v>526.6875</v>
      </c>
      <c r="J8463" s="2">
        <f t="shared" si="132"/>
        <v>43748.096805567126</v>
      </c>
    </row>
    <row r="8464" spans="1:10" x14ac:dyDescent="0.25">
      <c r="A8464" s="7" t="s">
        <v>17247</v>
      </c>
      <c r="B8464" s="8">
        <v>393.75</v>
      </c>
      <c r="C8464" s="8">
        <v>20.426300000000001</v>
      </c>
      <c r="D8464" s="8">
        <v>90</v>
      </c>
      <c r="E8464" s="8">
        <v>0</v>
      </c>
      <c r="F8464" s="8">
        <v>0</v>
      </c>
      <c r="G8464" s="8">
        <v>13</v>
      </c>
      <c r="H8464" s="8" t="s">
        <v>17248</v>
      </c>
      <c r="I8464" s="8">
        <v>526.6875</v>
      </c>
      <c r="J8464" s="3">
        <f t="shared" si="132"/>
        <v>43748.096876747681</v>
      </c>
    </row>
    <row r="8465" spans="1:10" x14ac:dyDescent="0.25">
      <c r="A8465" s="5" t="s">
        <v>17249</v>
      </c>
      <c r="B8465" s="6">
        <v>393.75</v>
      </c>
      <c r="C8465" s="6">
        <v>20.478950000000001</v>
      </c>
      <c r="D8465" s="6">
        <v>90</v>
      </c>
      <c r="E8465" s="6">
        <v>0</v>
      </c>
      <c r="F8465" s="6">
        <v>0</v>
      </c>
      <c r="G8465" s="6">
        <v>6</v>
      </c>
      <c r="H8465" s="6" t="s">
        <v>17250</v>
      </c>
      <c r="I8465" s="6">
        <v>526.6875</v>
      </c>
      <c r="J8465" s="2">
        <f t="shared" si="132"/>
        <v>43748.096948043974</v>
      </c>
    </row>
    <row r="8466" spans="1:10" x14ac:dyDescent="0.25">
      <c r="A8466" s="7" t="s">
        <v>17251</v>
      </c>
      <c r="B8466" s="8">
        <v>393.75</v>
      </c>
      <c r="C8466" s="8">
        <v>20.426300000000001</v>
      </c>
      <c r="D8466" s="8">
        <v>91</v>
      </c>
      <c r="E8466" s="8">
        <v>0</v>
      </c>
      <c r="F8466" s="8">
        <v>0</v>
      </c>
      <c r="G8466" s="8">
        <v>8</v>
      </c>
      <c r="H8466" s="8" t="s">
        <v>17252</v>
      </c>
      <c r="I8466" s="8">
        <v>526.6875</v>
      </c>
      <c r="J8466" s="3">
        <f t="shared" si="132"/>
        <v>43748.09703143518</v>
      </c>
    </row>
    <row r="8467" spans="1:10" x14ac:dyDescent="0.25">
      <c r="A8467" s="5" t="s">
        <v>17253</v>
      </c>
      <c r="B8467" s="6">
        <v>393.75</v>
      </c>
      <c r="C8467" s="6">
        <v>20.426300000000001</v>
      </c>
      <c r="D8467" s="6">
        <v>90</v>
      </c>
      <c r="E8467" s="6">
        <v>0</v>
      </c>
      <c r="F8467" s="6">
        <v>0</v>
      </c>
      <c r="G8467" s="6">
        <v>16</v>
      </c>
      <c r="H8467" s="6" t="s">
        <v>17254</v>
      </c>
      <c r="I8467" s="6">
        <v>526.6875</v>
      </c>
      <c r="J8467" s="2">
        <f t="shared" si="132"/>
        <v>43748.097103541666</v>
      </c>
    </row>
    <row r="8468" spans="1:10" x14ac:dyDescent="0.25">
      <c r="A8468" s="7" t="s">
        <v>17255</v>
      </c>
      <c r="B8468" s="8">
        <v>393.75</v>
      </c>
      <c r="C8468" s="8">
        <v>20.478950000000001</v>
      </c>
      <c r="D8468" s="8">
        <v>90</v>
      </c>
      <c r="E8468" s="8">
        <v>0</v>
      </c>
      <c r="F8468" s="8">
        <v>0</v>
      </c>
      <c r="G8468" s="8">
        <v>15</v>
      </c>
      <c r="H8468" s="8" t="s">
        <v>17256</v>
      </c>
      <c r="I8468" s="8">
        <v>526.5</v>
      </c>
      <c r="J8468" s="3">
        <f t="shared" si="132"/>
        <v>43748.097186469902</v>
      </c>
    </row>
    <row r="8469" spans="1:10" x14ac:dyDescent="0.25">
      <c r="A8469" s="5" t="s">
        <v>17257</v>
      </c>
      <c r="B8469" s="6">
        <v>393.75</v>
      </c>
      <c r="C8469" s="6">
        <v>20.478950000000001</v>
      </c>
      <c r="D8469" s="6">
        <v>90</v>
      </c>
      <c r="E8469" s="6">
        <v>0</v>
      </c>
      <c r="F8469" s="6">
        <v>0</v>
      </c>
      <c r="G8469" s="6">
        <v>17</v>
      </c>
      <c r="H8469" s="6" t="s">
        <v>17258</v>
      </c>
      <c r="I8469" s="6">
        <v>526.6875</v>
      </c>
      <c r="J8469" s="2">
        <f t="shared" si="132"/>
        <v>43748.097258217589</v>
      </c>
    </row>
    <row r="8470" spans="1:10" x14ac:dyDescent="0.25">
      <c r="A8470" s="7" t="s">
        <v>17259</v>
      </c>
      <c r="B8470" s="8">
        <v>393.75</v>
      </c>
      <c r="C8470" s="8">
        <v>20.478950000000001</v>
      </c>
      <c r="D8470" s="8">
        <v>90</v>
      </c>
      <c r="E8470" s="8">
        <v>0</v>
      </c>
      <c r="F8470" s="8">
        <v>0</v>
      </c>
      <c r="G8470" s="8">
        <v>2</v>
      </c>
      <c r="H8470" s="8" t="s">
        <v>17260</v>
      </c>
      <c r="I8470" s="8">
        <v>526.6875</v>
      </c>
      <c r="J8470" s="3">
        <f t="shared" si="132"/>
        <v>43748.097329525459</v>
      </c>
    </row>
    <row r="8471" spans="1:10" x14ac:dyDescent="0.25">
      <c r="A8471" s="5" t="s">
        <v>17261</v>
      </c>
      <c r="B8471" s="6">
        <v>393.75</v>
      </c>
      <c r="C8471" s="6">
        <v>20.478950000000001</v>
      </c>
      <c r="D8471" s="6">
        <v>90</v>
      </c>
      <c r="E8471" s="6">
        <v>0</v>
      </c>
      <c r="F8471" s="6">
        <v>0</v>
      </c>
      <c r="G8471" s="6">
        <v>15</v>
      </c>
      <c r="H8471" s="6" t="s">
        <v>17262</v>
      </c>
      <c r="I8471" s="6">
        <v>526.6875</v>
      </c>
      <c r="J8471" s="2">
        <f t="shared" si="132"/>
        <v>43748.097401736108</v>
      </c>
    </row>
    <row r="8472" spans="1:10" x14ac:dyDescent="0.25">
      <c r="A8472" s="7" t="s">
        <v>17263</v>
      </c>
      <c r="B8472" s="8">
        <v>393.75</v>
      </c>
      <c r="C8472" s="8">
        <v>20.478950000000001</v>
      </c>
      <c r="D8472" s="8">
        <v>90</v>
      </c>
      <c r="E8472" s="8">
        <v>0</v>
      </c>
      <c r="F8472" s="8">
        <v>0</v>
      </c>
      <c r="G8472" s="8">
        <v>15</v>
      </c>
      <c r="H8472" s="8" t="s">
        <v>17264</v>
      </c>
      <c r="I8472" s="8">
        <v>526.5</v>
      </c>
      <c r="J8472" s="3">
        <f t="shared" si="132"/>
        <v>43748.097473043978</v>
      </c>
    </row>
    <row r="8473" spans="1:10" x14ac:dyDescent="0.25">
      <c r="A8473" s="5" t="s">
        <v>17265</v>
      </c>
      <c r="B8473" s="6">
        <v>393.75</v>
      </c>
      <c r="C8473" s="6">
        <v>20.478950000000001</v>
      </c>
      <c r="D8473" s="6">
        <v>90</v>
      </c>
      <c r="E8473" s="6">
        <v>0</v>
      </c>
      <c r="F8473" s="6">
        <v>0</v>
      </c>
      <c r="G8473" s="6">
        <v>8</v>
      </c>
      <c r="H8473" s="6" t="s">
        <v>17266</v>
      </c>
      <c r="I8473" s="6">
        <v>526.6875</v>
      </c>
      <c r="J8473" s="2">
        <f t="shared" si="132"/>
        <v>43748.097558379632</v>
      </c>
    </row>
    <row r="8474" spans="1:10" x14ac:dyDescent="0.25">
      <c r="A8474" s="7" t="s">
        <v>17267</v>
      </c>
      <c r="B8474" s="8">
        <v>396.875</v>
      </c>
      <c r="C8474" s="8">
        <v>20.478950000000001</v>
      </c>
      <c r="D8474" s="8">
        <v>90</v>
      </c>
      <c r="E8474" s="8">
        <v>0</v>
      </c>
      <c r="F8474" s="8">
        <v>0</v>
      </c>
      <c r="G8474" s="8">
        <v>15</v>
      </c>
      <c r="H8474" s="8" t="s">
        <v>17268</v>
      </c>
      <c r="I8474" s="8">
        <v>527.4375</v>
      </c>
      <c r="J8474" s="3">
        <f t="shared" si="132"/>
        <v>43748.097639675929</v>
      </c>
    </row>
    <row r="8475" spans="1:10" x14ac:dyDescent="0.25">
      <c r="A8475" s="5" t="s">
        <v>17269</v>
      </c>
      <c r="B8475" s="6">
        <v>396.875</v>
      </c>
      <c r="C8475" s="6">
        <v>20.478950000000001</v>
      </c>
      <c r="D8475" s="6">
        <v>90</v>
      </c>
      <c r="E8475" s="6">
        <v>0</v>
      </c>
      <c r="F8475" s="6">
        <v>0</v>
      </c>
      <c r="G8475" s="6">
        <v>0</v>
      </c>
      <c r="H8475" s="6" t="s">
        <v>17270</v>
      </c>
      <c r="I8475" s="6">
        <v>527.4375</v>
      </c>
      <c r="J8475" s="2">
        <f t="shared" si="132"/>
        <v>43748.097710983791</v>
      </c>
    </row>
    <row r="8476" spans="1:10" x14ac:dyDescent="0.25">
      <c r="A8476" s="7" t="s">
        <v>17271</v>
      </c>
      <c r="B8476" s="8">
        <v>428.125</v>
      </c>
      <c r="C8476" s="8">
        <v>20.478950000000001</v>
      </c>
      <c r="D8476" s="8">
        <v>89</v>
      </c>
      <c r="E8476" s="8">
        <v>0</v>
      </c>
      <c r="F8476" s="8">
        <v>0</v>
      </c>
      <c r="G8476" s="8">
        <v>14</v>
      </c>
      <c r="H8476" s="8" t="s">
        <v>17272</v>
      </c>
      <c r="I8476" s="8">
        <v>537.5625</v>
      </c>
      <c r="J8476" s="3">
        <f t="shared" si="132"/>
        <v>43748.097783252313</v>
      </c>
    </row>
    <row r="8477" spans="1:10" x14ac:dyDescent="0.25">
      <c r="A8477" s="5" t="s">
        <v>17273</v>
      </c>
      <c r="B8477" s="6">
        <v>396.875</v>
      </c>
      <c r="C8477" s="6">
        <v>20.478950000000001</v>
      </c>
      <c r="D8477" s="6">
        <v>89</v>
      </c>
      <c r="E8477" s="6">
        <v>0</v>
      </c>
      <c r="F8477" s="6">
        <v>0</v>
      </c>
      <c r="G8477" s="6">
        <v>11</v>
      </c>
      <c r="H8477" s="6" t="s">
        <v>17274</v>
      </c>
      <c r="I8477" s="6">
        <v>527.4375</v>
      </c>
      <c r="J8477" s="2">
        <f t="shared" si="132"/>
        <v>43748.097854502317</v>
      </c>
    </row>
    <row r="8478" spans="1:10" x14ac:dyDescent="0.25">
      <c r="A8478" s="7" t="s">
        <v>17275</v>
      </c>
      <c r="B8478" s="8">
        <v>396.875</v>
      </c>
      <c r="C8478" s="8">
        <v>20.478950000000001</v>
      </c>
      <c r="D8478" s="8">
        <v>89</v>
      </c>
      <c r="E8478" s="8">
        <v>0</v>
      </c>
      <c r="F8478" s="8">
        <v>0</v>
      </c>
      <c r="G8478" s="8">
        <v>8</v>
      </c>
      <c r="H8478" s="8" t="s">
        <v>17276</v>
      </c>
      <c r="I8478" s="8">
        <v>527.25</v>
      </c>
      <c r="J8478" s="3">
        <f t="shared" si="132"/>
        <v>43748.097925821756</v>
      </c>
    </row>
    <row r="8479" spans="1:10" x14ac:dyDescent="0.25">
      <c r="A8479" s="5" t="s">
        <v>17277</v>
      </c>
      <c r="B8479" s="6">
        <v>396.875</v>
      </c>
      <c r="C8479" s="6">
        <v>20.426300000000001</v>
      </c>
      <c r="D8479" s="6">
        <v>89</v>
      </c>
      <c r="E8479" s="6">
        <v>0</v>
      </c>
      <c r="F8479" s="6">
        <v>0</v>
      </c>
      <c r="G8479" s="6">
        <v>16</v>
      </c>
      <c r="H8479" s="6" t="s">
        <v>17278</v>
      </c>
      <c r="I8479" s="6">
        <v>527.4375</v>
      </c>
      <c r="J8479" s="2">
        <f t="shared" si="132"/>
        <v>43748.097998101854</v>
      </c>
    </row>
    <row r="8480" spans="1:10" x14ac:dyDescent="0.25">
      <c r="A8480" s="7" t="s">
        <v>17279</v>
      </c>
      <c r="B8480" s="8">
        <v>393.75</v>
      </c>
      <c r="C8480" s="8">
        <v>20.478950000000001</v>
      </c>
      <c r="D8480" s="8">
        <v>88</v>
      </c>
      <c r="E8480" s="8">
        <v>0</v>
      </c>
      <c r="F8480" s="8">
        <v>0</v>
      </c>
      <c r="G8480" s="8">
        <v>18</v>
      </c>
      <c r="H8480" s="8" t="s">
        <v>17280</v>
      </c>
      <c r="I8480" s="8">
        <v>526.6875</v>
      </c>
      <c r="J8480" s="3">
        <f t="shared" si="132"/>
        <v>43748.098069247681</v>
      </c>
    </row>
    <row r="8481" spans="1:10" x14ac:dyDescent="0.25">
      <c r="A8481" s="5" t="s">
        <v>17281</v>
      </c>
      <c r="B8481" s="6">
        <v>393.75</v>
      </c>
      <c r="C8481" s="6">
        <v>20.478950000000001</v>
      </c>
      <c r="D8481" s="6">
        <v>89</v>
      </c>
      <c r="E8481" s="6">
        <v>0</v>
      </c>
      <c r="F8481" s="6">
        <v>0</v>
      </c>
      <c r="G8481" s="6">
        <v>19</v>
      </c>
      <c r="H8481" s="6" t="s">
        <v>17282</v>
      </c>
      <c r="I8481" s="6">
        <v>526.6875</v>
      </c>
      <c r="J8481" s="2">
        <f t="shared" si="132"/>
        <v>43748.098152407409</v>
      </c>
    </row>
    <row r="8482" spans="1:10" x14ac:dyDescent="0.25">
      <c r="A8482" s="7" t="s">
        <v>17283</v>
      </c>
      <c r="B8482" s="8">
        <v>393.75</v>
      </c>
      <c r="C8482" s="8">
        <v>20.478950000000001</v>
      </c>
      <c r="D8482" s="8">
        <v>89</v>
      </c>
      <c r="E8482" s="8">
        <v>0</v>
      </c>
      <c r="F8482" s="8">
        <v>0</v>
      </c>
      <c r="G8482" s="8">
        <v>21</v>
      </c>
      <c r="H8482" s="8" t="s">
        <v>17284</v>
      </c>
      <c r="I8482" s="8">
        <v>526.6875</v>
      </c>
      <c r="J8482" s="3">
        <f t="shared" si="132"/>
        <v>43748.09822388889</v>
      </c>
    </row>
    <row r="8483" spans="1:10" x14ac:dyDescent="0.25">
      <c r="A8483" s="5" t="s">
        <v>17285</v>
      </c>
      <c r="B8483" s="6">
        <v>393.75</v>
      </c>
      <c r="C8483" s="6">
        <v>20.478950000000001</v>
      </c>
      <c r="D8483" s="6">
        <v>89</v>
      </c>
      <c r="E8483" s="6">
        <v>0</v>
      </c>
      <c r="F8483" s="6">
        <v>0</v>
      </c>
      <c r="G8483" s="6">
        <v>15</v>
      </c>
      <c r="H8483" s="6" t="s">
        <v>17286</v>
      </c>
      <c r="I8483" s="6">
        <v>526.6875</v>
      </c>
      <c r="J8483" s="2">
        <f t="shared" si="132"/>
        <v>43748.098296168981</v>
      </c>
    </row>
    <row r="8484" spans="1:10" x14ac:dyDescent="0.25">
      <c r="A8484" s="7" t="s">
        <v>17287</v>
      </c>
      <c r="B8484" s="8">
        <v>412.5</v>
      </c>
      <c r="C8484" s="8">
        <v>20.478950000000001</v>
      </c>
      <c r="D8484" s="8">
        <v>90</v>
      </c>
      <c r="E8484" s="8">
        <v>0</v>
      </c>
      <c r="F8484" s="8">
        <v>0</v>
      </c>
      <c r="G8484" s="8">
        <v>14</v>
      </c>
      <c r="H8484" s="8" t="s">
        <v>17288</v>
      </c>
      <c r="I8484" s="8">
        <v>532.3125</v>
      </c>
      <c r="J8484" s="3">
        <f t="shared" si="132"/>
        <v>43748.098379490737</v>
      </c>
    </row>
    <row r="8485" spans="1:10" x14ac:dyDescent="0.25">
      <c r="A8485" s="5" t="s">
        <v>17289</v>
      </c>
      <c r="B8485" s="6">
        <v>393.75</v>
      </c>
      <c r="C8485" s="6">
        <v>20.478950000000001</v>
      </c>
      <c r="D8485" s="6">
        <v>90</v>
      </c>
      <c r="E8485" s="6">
        <v>0</v>
      </c>
      <c r="F8485" s="6">
        <v>0</v>
      </c>
      <c r="G8485" s="6">
        <v>12</v>
      </c>
      <c r="H8485" s="6" t="s">
        <v>17290</v>
      </c>
      <c r="I8485" s="6">
        <v>526.6875</v>
      </c>
      <c r="J8485" s="2">
        <f t="shared" si="132"/>
        <v>43748.098450798607</v>
      </c>
    </row>
    <row r="8486" spans="1:10" x14ac:dyDescent="0.25">
      <c r="A8486" s="7" t="s">
        <v>17291</v>
      </c>
      <c r="B8486" s="8">
        <v>393.75</v>
      </c>
      <c r="C8486" s="8">
        <v>20.478950000000001</v>
      </c>
      <c r="D8486" s="8">
        <v>89</v>
      </c>
      <c r="E8486" s="8">
        <v>0</v>
      </c>
      <c r="F8486" s="8">
        <v>0</v>
      </c>
      <c r="G8486" s="8">
        <v>7</v>
      </c>
      <c r="H8486" s="8" t="s">
        <v>17292</v>
      </c>
      <c r="I8486" s="8">
        <v>526.6875</v>
      </c>
      <c r="J8486" s="3">
        <f t="shared" si="132"/>
        <v>43748.098522083332</v>
      </c>
    </row>
    <row r="8487" spans="1:10" x14ac:dyDescent="0.25">
      <c r="A8487" s="5" t="s">
        <v>17293</v>
      </c>
      <c r="B8487" s="6">
        <v>393.75</v>
      </c>
      <c r="C8487" s="6">
        <v>20.478950000000001</v>
      </c>
      <c r="D8487" s="6">
        <v>89</v>
      </c>
      <c r="E8487" s="6">
        <v>0</v>
      </c>
      <c r="F8487" s="6">
        <v>0</v>
      </c>
      <c r="G8487" s="6">
        <v>13</v>
      </c>
      <c r="H8487" s="6" t="s">
        <v>17294</v>
      </c>
      <c r="I8487" s="6">
        <v>526.6875</v>
      </c>
      <c r="J8487" s="2">
        <f t="shared" si="132"/>
        <v>43748.098593680552</v>
      </c>
    </row>
    <row r="8488" spans="1:10" x14ac:dyDescent="0.25">
      <c r="A8488" s="7" t="s">
        <v>17295</v>
      </c>
      <c r="B8488" s="8">
        <v>396.875</v>
      </c>
      <c r="C8488" s="8">
        <v>20.426300000000001</v>
      </c>
      <c r="D8488" s="8">
        <v>90</v>
      </c>
      <c r="E8488" s="8">
        <v>0</v>
      </c>
      <c r="F8488" s="8">
        <v>0</v>
      </c>
      <c r="G8488" s="8">
        <v>8</v>
      </c>
      <c r="H8488" s="8" t="s">
        <v>17296</v>
      </c>
      <c r="I8488" s="8">
        <v>527.4375</v>
      </c>
      <c r="J8488" s="3">
        <f t="shared" si="132"/>
        <v>43748.098665636571</v>
      </c>
    </row>
    <row r="8489" spans="1:10" x14ac:dyDescent="0.25">
      <c r="A8489" s="5" t="s">
        <v>17297</v>
      </c>
      <c r="B8489" s="6">
        <v>396.875</v>
      </c>
      <c r="C8489" s="6">
        <v>20.478950000000001</v>
      </c>
      <c r="D8489" s="6">
        <v>89</v>
      </c>
      <c r="E8489" s="6">
        <v>0</v>
      </c>
      <c r="F8489" s="6">
        <v>0</v>
      </c>
      <c r="G8489" s="6">
        <v>6</v>
      </c>
      <c r="H8489" s="6" t="s">
        <v>17298</v>
      </c>
      <c r="I8489" s="6">
        <v>527.4375</v>
      </c>
      <c r="J8489" s="2">
        <f t="shared" si="132"/>
        <v>43748.098736898144</v>
      </c>
    </row>
    <row r="8490" spans="1:10" x14ac:dyDescent="0.25">
      <c r="A8490" s="7" t="s">
        <v>17299</v>
      </c>
      <c r="B8490" s="8">
        <v>393.75</v>
      </c>
      <c r="C8490" s="8">
        <v>20.478950000000001</v>
      </c>
      <c r="D8490" s="8">
        <v>89</v>
      </c>
      <c r="E8490" s="8">
        <v>0</v>
      </c>
      <c r="F8490" s="8">
        <v>0</v>
      </c>
      <c r="G8490" s="8">
        <v>9</v>
      </c>
      <c r="H8490" s="8" t="s">
        <v>17300</v>
      </c>
      <c r="I8490" s="8">
        <v>526.6875</v>
      </c>
      <c r="J8490" s="3">
        <f t="shared" si="132"/>
        <v>43748.098808715273</v>
      </c>
    </row>
    <row r="8491" spans="1:10" x14ac:dyDescent="0.25">
      <c r="A8491" s="5" t="s">
        <v>17301</v>
      </c>
      <c r="B8491" s="6">
        <v>393.75</v>
      </c>
      <c r="C8491" s="6">
        <v>20.478950000000001</v>
      </c>
      <c r="D8491" s="6">
        <v>90</v>
      </c>
      <c r="E8491" s="6">
        <v>0</v>
      </c>
      <c r="F8491" s="6">
        <v>0</v>
      </c>
      <c r="G8491" s="6">
        <v>7</v>
      </c>
      <c r="H8491" s="6" t="s">
        <v>17302</v>
      </c>
      <c r="I8491" s="6">
        <v>526.6875</v>
      </c>
      <c r="J8491" s="2">
        <f t="shared" si="132"/>
        <v>43748.09888002315</v>
      </c>
    </row>
    <row r="8492" spans="1:10" x14ac:dyDescent="0.25">
      <c r="A8492" s="7" t="s">
        <v>17303</v>
      </c>
      <c r="B8492" s="8">
        <v>412.5</v>
      </c>
      <c r="C8492" s="8">
        <v>20.478950000000001</v>
      </c>
      <c r="D8492" s="8">
        <v>89</v>
      </c>
      <c r="E8492" s="8">
        <v>0</v>
      </c>
      <c r="F8492" s="8">
        <v>0</v>
      </c>
      <c r="G8492" s="8">
        <v>10</v>
      </c>
      <c r="H8492" s="8" t="s">
        <v>17304</v>
      </c>
      <c r="I8492" s="8">
        <v>532.3125</v>
      </c>
      <c r="J8492" s="3">
        <f t="shared" si="132"/>
        <v>43748.098951307868</v>
      </c>
    </row>
    <row r="8493" spans="1:10" x14ac:dyDescent="0.25">
      <c r="A8493" s="5" t="s">
        <v>17305</v>
      </c>
      <c r="B8493" s="6">
        <v>393.75</v>
      </c>
      <c r="C8493" s="6">
        <v>20.478950000000001</v>
      </c>
      <c r="D8493" s="6">
        <v>89</v>
      </c>
      <c r="E8493" s="6">
        <v>0</v>
      </c>
      <c r="F8493" s="6">
        <v>0</v>
      </c>
      <c r="G8493" s="6">
        <v>9</v>
      </c>
      <c r="H8493" s="6" t="s">
        <v>17306</v>
      </c>
      <c r="I8493" s="6">
        <v>526.6875</v>
      </c>
      <c r="J8493" s="2">
        <f t="shared" si="132"/>
        <v>43748.099023541661</v>
      </c>
    </row>
    <row r="8494" spans="1:10" x14ac:dyDescent="0.25">
      <c r="A8494" s="7" t="s">
        <v>17307</v>
      </c>
      <c r="B8494" s="8">
        <v>393.75</v>
      </c>
      <c r="C8494" s="8">
        <v>20.478950000000001</v>
      </c>
      <c r="D8494" s="8">
        <v>89</v>
      </c>
      <c r="E8494" s="8">
        <v>0</v>
      </c>
      <c r="F8494" s="8">
        <v>0</v>
      </c>
      <c r="G8494" s="8">
        <v>5</v>
      </c>
      <c r="H8494" s="8" t="s">
        <v>17308</v>
      </c>
      <c r="I8494" s="8">
        <v>526.6875</v>
      </c>
      <c r="J8494" s="3">
        <f t="shared" si="132"/>
        <v>43748.099107164351</v>
      </c>
    </row>
    <row r="8495" spans="1:10" x14ac:dyDescent="0.25">
      <c r="A8495" s="5" t="s">
        <v>17309</v>
      </c>
      <c r="B8495" s="6">
        <v>393.75</v>
      </c>
      <c r="C8495" s="6">
        <v>20.478950000000001</v>
      </c>
      <c r="D8495" s="6">
        <v>90</v>
      </c>
      <c r="E8495" s="6">
        <v>0</v>
      </c>
      <c r="F8495" s="6">
        <v>0</v>
      </c>
      <c r="G8495" s="6">
        <v>24</v>
      </c>
      <c r="H8495" s="6" t="s">
        <v>17310</v>
      </c>
      <c r="I8495" s="6">
        <v>526.6875</v>
      </c>
      <c r="J8495" s="2">
        <f t="shared" si="132"/>
        <v>43748.099178171295</v>
      </c>
    </row>
    <row r="8496" spans="1:10" x14ac:dyDescent="0.25">
      <c r="A8496" s="7" t="s">
        <v>17311</v>
      </c>
      <c r="B8496" s="8">
        <v>393.75</v>
      </c>
      <c r="C8496" s="8">
        <v>20.478950000000001</v>
      </c>
      <c r="D8496" s="8">
        <v>90</v>
      </c>
      <c r="E8496" s="8">
        <v>0</v>
      </c>
      <c r="F8496" s="8">
        <v>0</v>
      </c>
      <c r="G8496" s="8">
        <v>8</v>
      </c>
      <c r="H8496" s="8" t="s">
        <v>17312</v>
      </c>
      <c r="I8496" s="8">
        <v>526.6875</v>
      </c>
      <c r="J8496" s="3">
        <f t="shared" si="132"/>
        <v>43748.099249490733</v>
      </c>
    </row>
    <row r="8497" spans="1:10" x14ac:dyDescent="0.25">
      <c r="A8497" s="5" t="s">
        <v>17313</v>
      </c>
      <c r="B8497" s="6">
        <v>396.875</v>
      </c>
      <c r="C8497" s="6">
        <v>20.478950000000001</v>
      </c>
      <c r="D8497" s="6">
        <v>90</v>
      </c>
      <c r="E8497" s="6">
        <v>0</v>
      </c>
      <c r="F8497" s="6">
        <v>0</v>
      </c>
      <c r="G8497" s="6">
        <v>17</v>
      </c>
      <c r="H8497" s="6" t="s">
        <v>17314</v>
      </c>
      <c r="I8497" s="6">
        <v>527.4375</v>
      </c>
      <c r="J8497" s="2">
        <f t="shared" si="132"/>
        <v>43748.099321701382</v>
      </c>
    </row>
    <row r="8498" spans="1:10" x14ac:dyDescent="0.25">
      <c r="A8498" s="7" t="s">
        <v>17315</v>
      </c>
      <c r="B8498" s="8">
        <v>393.75</v>
      </c>
      <c r="C8498" s="8">
        <v>20.426300000000001</v>
      </c>
      <c r="D8498" s="8">
        <v>90</v>
      </c>
      <c r="E8498" s="8">
        <v>0</v>
      </c>
      <c r="F8498" s="8">
        <v>0</v>
      </c>
      <c r="G8498" s="8">
        <v>7</v>
      </c>
      <c r="H8498" s="8" t="s">
        <v>17316</v>
      </c>
      <c r="I8498" s="8">
        <v>526.6875</v>
      </c>
      <c r="J8498" s="3">
        <f t="shared" si="132"/>
        <v>43748.099392974538</v>
      </c>
    </row>
    <row r="8499" spans="1:10" x14ac:dyDescent="0.25">
      <c r="A8499" s="5" t="s">
        <v>17317</v>
      </c>
      <c r="B8499" s="6">
        <v>393.75</v>
      </c>
      <c r="C8499" s="6">
        <v>20.478950000000001</v>
      </c>
      <c r="D8499" s="6">
        <v>90</v>
      </c>
      <c r="E8499" s="6">
        <v>0</v>
      </c>
      <c r="F8499" s="6">
        <v>0</v>
      </c>
      <c r="G8499" s="6">
        <v>14</v>
      </c>
      <c r="H8499" s="6" t="s">
        <v>17318</v>
      </c>
      <c r="I8499" s="6">
        <v>526.6875</v>
      </c>
      <c r="J8499" s="2">
        <f t="shared" si="132"/>
        <v>43748.099464293984</v>
      </c>
    </row>
    <row r="8500" spans="1:10" x14ac:dyDescent="0.25">
      <c r="A8500" s="7" t="s">
        <v>17319</v>
      </c>
      <c r="B8500" s="8">
        <v>393.75</v>
      </c>
      <c r="C8500" s="8">
        <v>20.478950000000001</v>
      </c>
      <c r="D8500" s="8">
        <v>90</v>
      </c>
      <c r="E8500" s="8">
        <v>0</v>
      </c>
      <c r="F8500" s="8">
        <v>0</v>
      </c>
      <c r="G8500" s="8">
        <v>11</v>
      </c>
      <c r="H8500" s="8" t="s">
        <v>17320</v>
      </c>
      <c r="I8500" s="8">
        <v>526.6875</v>
      </c>
      <c r="J8500" s="3">
        <f t="shared" si="132"/>
        <v>43748.099547615733</v>
      </c>
    </row>
    <row r="8501" spans="1:10" x14ac:dyDescent="0.25">
      <c r="A8501" s="5" t="s">
        <v>17321</v>
      </c>
      <c r="B8501" s="6">
        <v>393.75</v>
      </c>
      <c r="C8501" s="6">
        <v>20.478950000000001</v>
      </c>
      <c r="D8501" s="6">
        <v>90</v>
      </c>
      <c r="E8501" s="6">
        <v>0</v>
      </c>
      <c r="F8501" s="6">
        <v>0</v>
      </c>
      <c r="G8501" s="6">
        <v>18</v>
      </c>
      <c r="H8501" s="6" t="s">
        <v>17322</v>
      </c>
      <c r="I8501" s="6">
        <v>526.6875</v>
      </c>
      <c r="J8501" s="2">
        <f t="shared" si="132"/>
        <v>43748.099619849534</v>
      </c>
    </row>
    <row r="8502" spans="1:10" x14ac:dyDescent="0.25">
      <c r="A8502" s="7" t="s">
        <v>17323</v>
      </c>
      <c r="B8502" s="8">
        <v>393.75</v>
      </c>
      <c r="C8502" s="8">
        <v>20.478950000000001</v>
      </c>
      <c r="D8502" s="8">
        <v>92</v>
      </c>
      <c r="E8502" s="8">
        <v>0</v>
      </c>
      <c r="F8502" s="8">
        <v>0</v>
      </c>
      <c r="G8502" s="8">
        <v>20</v>
      </c>
      <c r="H8502" s="8" t="s">
        <v>17324</v>
      </c>
      <c r="I8502" s="8">
        <v>526.6875</v>
      </c>
      <c r="J8502" s="3">
        <f t="shared" si="132"/>
        <v>43748.099690613424</v>
      </c>
    </row>
    <row r="8503" spans="1:10" x14ac:dyDescent="0.25">
      <c r="A8503" s="5" t="s">
        <v>17325</v>
      </c>
      <c r="B8503" s="6">
        <v>415.625</v>
      </c>
      <c r="C8503" s="6">
        <v>20.478950000000001</v>
      </c>
      <c r="D8503" s="6">
        <v>92</v>
      </c>
      <c r="E8503" s="6">
        <v>0</v>
      </c>
      <c r="F8503" s="6">
        <v>0</v>
      </c>
      <c r="G8503" s="6">
        <v>9</v>
      </c>
      <c r="H8503" s="6" t="s">
        <v>17326</v>
      </c>
      <c r="I8503" s="6">
        <v>533.25</v>
      </c>
      <c r="J8503" s="2">
        <f t="shared" si="132"/>
        <v>43748.099762488426</v>
      </c>
    </row>
    <row r="8504" spans="1:10" x14ac:dyDescent="0.25">
      <c r="A8504" s="7" t="s">
        <v>17327</v>
      </c>
      <c r="B8504" s="8">
        <v>396.875</v>
      </c>
      <c r="C8504" s="8">
        <v>20.478950000000001</v>
      </c>
      <c r="D8504" s="8">
        <v>91</v>
      </c>
      <c r="E8504" s="8">
        <v>0</v>
      </c>
      <c r="F8504" s="8">
        <v>0</v>
      </c>
      <c r="G8504" s="8">
        <v>8</v>
      </c>
      <c r="H8504" s="8" t="s">
        <v>17328</v>
      </c>
      <c r="I8504" s="8">
        <v>527.4375</v>
      </c>
      <c r="J8504" s="3">
        <f t="shared" si="132"/>
        <v>43748.09983378472</v>
      </c>
    </row>
    <row r="8505" spans="1:10" x14ac:dyDescent="0.25">
      <c r="A8505" s="5" t="s">
        <v>17329</v>
      </c>
      <c r="B8505" s="6">
        <v>396.875</v>
      </c>
      <c r="C8505" s="6">
        <v>20.478950000000001</v>
      </c>
      <c r="D8505" s="6">
        <v>91</v>
      </c>
      <c r="E8505" s="6">
        <v>0</v>
      </c>
      <c r="F8505" s="6">
        <v>0</v>
      </c>
      <c r="G8505" s="6">
        <v>12</v>
      </c>
      <c r="H8505" s="6" t="s">
        <v>17330</v>
      </c>
      <c r="I8505" s="6">
        <v>527.4375</v>
      </c>
      <c r="J8505" s="2">
        <f t="shared" si="132"/>
        <v>43748.099905949071</v>
      </c>
    </row>
    <row r="8506" spans="1:10" x14ac:dyDescent="0.25">
      <c r="A8506" s="7" t="s">
        <v>17331</v>
      </c>
      <c r="B8506" s="8">
        <v>396.875</v>
      </c>
      <c r="C8506" s="8">
        <v>20.478950000000001</v>
      </c>
      <c r="D8506" s="8">
        <v>91</v>
      </c>
      <c r="E8506" s="8">
        <v>0</v>
      </c>
      <c r="F8506" s="8">
        <v>0</v>
      </c>
      <c r="G8506" s="8">
        <v>11</v>
      </c>
      <c r="H8506" s="8" t="s">
        <v>17332</v>
      </c>
      <c r="I8506" s="8">
        <v>527.4375</v>
      </c>
      <c r="J8506" s="3">
        <f t="shared" si="132"/>
        <v>43748.099977245372</v>
      </c>
    </row>
    <row r="8507" spans="1:10" x14ac:dyDescent="0.25">
      <c r="A8507" s="5" t="s">
        <v>17333</v>
      </c>
      <c r="B8507" s="6">
        <v>400</v>
      </c>
      <c r="C8507" s="6">
        <v>20.478950000000001</v>
      </c>
      <c r="D8507" s="6">
        <v>91</v>
      </c>
      <c r="E8507" s="6">
        <v>0</v>
      </c>
      <c r="F8507" s="6">
        <v>0</v>
      </c>
      <c r="G8507" s="6">
        <v>10</v>
      </c>
      <c r="H8507" s="6" t="s">
        <v>17334</v>
      </c>
      <c r="I8507" s="6">
        <v>528.1875</v>
      </c>
      <c r="J8507" s="2">
        <f t="shared" si="132"/>
        <v>43748.100072534718</v>
      </c>
    </row>
    <row r="8508" spans="1:10" x14ac:dyDescent="0.25">
      <c r="A8508" s="7" t="s">
        <v>17335</v>
      </c>
      <c r="B8508" s="8">
        <v>400</v>
      </c>
      <c r="C8508" s="8">
        <v>20.478950000000001</v>
      </c>
      <c r="D8508" s="8">
        <v>91</v>
      </c>
      <c r="E8508" s="8">
        <v>0</v>
      </c>
      <c r="F8508" s="8">
        <v>0</v>
      </c>
      <c r="G8508" s="8">
        <v>14</v>
      </c>
      <c r="H8508" s="8" t="s">
        <v>17336</v>
      </c>
      <c r="I8508" s="8">
        <v>528.375</v>
      </c>
      <c r="J8508" s="3">
        <f t="shared" si="132"/>
        <v>43748.100143888885</v>
      </c>
    </row>
    <row r="8509" spans="1:10" x14ac:dyDescent="0.25">
      <c r="A8509" s="5" t="s">
        <v>17337</v>
      </c>
      <c r="B8509" s="6">
        <v>421.875</v>
      </c>
      <c r="C8509" s="6">
        <v>20.478950000000001</v>
      </c>
      <c r="D8509" s="6">
        <v>90</v>
      </c>
      <c r="E8509" s="6">
        <v>0</v>
      </c>
      <c r="F8509" s="6">
        <v>0</v>
      </c>
      <c r="G8509" s="6">
        <v>13</v>
      </c>
      <c r="H8509" s="6" t="s">
        <v>17338</v>
      </c>
      <c r="I8509" s="6">
        <v>535.3125</v>
      </c>
      <c r="J8509" s="2">
        <f t="shared" si="132"/>
        <v>43748.100227291659</v>
      </c>
    </row>
    <row r="8510" spans="1:10" x14ac:dyDescent="0.25">
      <c r="A8510" s="7" t="s">
        <v>17339</v>
      </c>
      <c r="B8510" s="8">
        <v>400</v>
      </c>
      <c r="C8510" s="8">
        <v>20.478950000000001</v>
      </c>
      <c r="D8510" s="8">
        <v>90</v>
      </c>
      <c r="E8510" s="8">
        <v>0</v>
      </c>
      <c r="F8510" s="8">
        <v>0</v>
      </c>
      <c r="G8510" s="8">
        <v>12</v>
      </c>
      <c r="H8510" s="8" t="s">
        <v>17340</v>
      </c>
      <c r="I8510" s="8">
        <v>528.375</v>
      </c>
      <c r="J8510" s="3">
        <f t="shared" si="132"/>
        <v>43748.100299432866</v>
      </c>
    </row>
    <row r="8511" spans="1:10" x14ac:dyDescent="0.25">
      <c r="A8511" s="5" t="s">
        <v>17341</v>
      </c>
      <c r="B8511" s="6">
        <v>400</v>
      </c>
      <c r="C8511" s="6">
        <v>20.478950000000001</v>
      </c>
      <c r="D8511" s="6">
        <v>90</v>
      </c>
      <c r="E8511" s="6">
        <v>0</v>
      </c>
      <c r="F8511" s="6">
        <v>0</v>
      </c>
      <c r="G8511" s="6">
        <v>12</v>
      </c>
      <c r="H8511" s="6" t="s">
        <v>17342</v>
      </c>
      <c r="I8511" s="6">
        <v>528.375</v>
      </c>
      <c r="J8511" s="2">
        <f t="shared" si="132"/>
        <v>43748.100370752312</v>
      </c>
    </row>
    <row r="8512" spans="1:10" x14ac:dyDescent="0.25">
      <c r="A8512" s="7" t="s">
        <v>17343</v>
      </c>
      <c r="B8512" s="8">
        <v>400</v>
      </c>
      <c r="C8512" s="8">
        <v>20.478950000000001</v>
      </c>
      <c r="D8512" s="8">
        <v>89</v>
      </c>
      <c r="E8512" s="8">
        <v>0</v>
      </c>
      <c r="F8512" s="8">
        <v>0</v>
      </c>
      <c r="G8512" s="8">
        <v>12</v>
      </c>
      <c r="H8512" s="8" t="s">
        <v>17344</v>
      </c>
      <c r="I8512" s="8">
        <v>528.1875</v>
      </c>
      <c r="J8512" s="3">
        <f t="shared" si="132"/>
        <v>43748.100442037037</v>
      </c>
    </row>
    <row r="8513" spans="1:10" x14ac:dyDescent="0.25">
      <c r="A8513" s="5" t="s">
        <v>17345</v>
      </c>
      <c r="B8513" s="6">
        <v>400</v>
      </c>
      <c r="C8513" s="6">
        <v>20.478950000000001</v>
      </c>
      <c r="D8513" s="6">
        <v>90</v>
      </c>
      <c r="E8513" s="6">
        <v>0</v>
      </c>
      <c r="F8513" s="6">
        <v>0</v>
      </c>
      <c r="G8513" s="6">
        <v>16</v>
      </c>
      <c r="H8513" s="6" t="s">
        <v>17346</v>
      </c>
      <c r="I8513" s="6">
        <v>528.375</v>
      </c>
      <c r="J8513" s="2">
        <f t="shared" si="132"/>
        <v>43748.100514189813</v>
      </c>
    </row>
    <row r="8514" spans="1:10" x14ac:dyDescent="0.25">
      <c r="A8514" s="7" t="s">
        <v>17347</v>
      </c>
      <c r="B8514" s="8">
        <v>400</v>
      </c>
      <c r="C8514" s="8">
        <v>20.478950000000001</v>
      </c>
      <c r="D8514" s="8">
        <v>91</v>
      </c>
      <c r="E8514" s="8">
        <v>0</v>
      </c>
      <c r="F8514" s="8">
        <v>0</v>
      </c>
      <c r="G8514" s="8">
        <v>6</v>
      </c>
      <c r="H8514" s="8" t="s">
        <v>17348</v>
      </c>
      <c r="I8514" s="8">
        <v>528</v>
      </c>
      <c r="J8514" s="3">
        <f t="shared" ref="J8514:J8577" si="133">(H8514/86400000)+25569+(7/24)</f>
        <v>43748.100585555549</v>
      </c>
    </row>
    <row r="8515" spans="1:10" x14ac:dyDescent="0.25">
      <c r="A8515" s="5" t="s">
        <v>17349</v>
      </c>
      <c r="B8515" s="6">
        <v>396.875</v>
      </c>
      <c r="C8515" s="6">
        <v>20.478950000000001</v>
      </c>
      <c r="D8515" s="6">
        <v>91</v>
      </c>
      <c r="E8515" s="6">
        <v>0</v>
      </c>
      <c r="F8515" s="6">
        <v>0</v>
      </c>
      <c r="G8515" s="6">
        <v>12</v>
      </c>
      <c r="H8515" s="6" t="s">
        <v>17350</v>
      </c>
      <c r="I8515" s="6">
        <v>527.4375</v>
      </c>
      <c r="J8515" s="2">
        <f t="shared" si="133"/>
        <v>43748.100656863426</v>
      </c>
    </row>
    <row r="8516" spans="1:10" x14ac:dyDescent="0.25">
      <c r="A8516" s="7" t="s">
        <v>17351</v>
      </c>
      <c r="B8516" s="8">
        <v>396.875</v>
      </c>
      <c r="C8516" s="8">
        <v>20.478950000000001</v>
      </c>
      <c r="D8516" s="8">
        <v>91</v>
      </c>
      <c r="E8516" s="8">
        <v>0</v>
      </c>
      <c r="F8516" s="8">
        <v>0</v>
      </c>
      <c r="G8516" s="8">
        <v>11</v>
      </c>
      <c r="H8516" s="8" t="s">
        <v>17352</v>
      </c>
      <c r="I8516" s="8">
        <v>527.4375</v>
      </c>
      <c r="J8516" s="3">
        <f t="shared" si="133"/>
        <v>43748.100728148151</v>
      </c>
    </row>
    <row r="8517" spans="1:10" x14ac:dyDescent="0.25">
      <c r="A8517" s="5" t="s">
        <v>17353</v>
      </c>
      <c r="B8517" s="6">
        <v>396.875</v>
      </c>
      <c r="C8517" s="6">
        <v>20.478950000000001</v>
      </c>
      <c r="D8517" s="6">
        <v>91</v>
      </c>
      <c r="E8517" s="6">
        <v>0</v>
      </c>
      <c r="F8517" s="6">
        <v>0</v>
      </c>
      <c r="G8517" s="6">
        <v>19</v>
      </c>
      <c r="H8517" s="6" t="s">
        <v>17354</v>
      </c>
      <c r="I8517" s="6">
        <v>527.4375</v>
      </c>
      <c r="J8517" s="2">
        <f t="shared" si="133"/>
        <v>43748.100800381937</v>
      </c>
    </row>
    <row r="8518" spans="1:10" x14ac:dyDescent="0.25">
      <c r="A8518" s="7" t="s">
        <v>17355</v>
      </c>
      <c r="B8518" s="8">
        <v>396.875</v>
      </c>
      <c r="C8518" s="8">
        <v>20.426300000000001</v>
      </c>
      <c r="D8518" s="8">
        <v>92</v>
      </c>
      <c r="E8518" s="8">
        <v>0</v>
      </c>
      <c r="F8518" s="8">
        <v>0</v>
      </c>
      <c r="G8518" s="8">
        <v>2</v>
      </c>
      <c r="H8518" s="8" t="s">
        <v>17356</v>
      </c>
      <c r="I8518" s="8">
        <v>527.4375</v>
      </c>
      <c r="J8518" s="3">
        <f t="shared" si="133"/>
        <v>43748.100871666662</v>
      </c>
    </row>
    <row r="8519" spans="1:10" x14ac:dyDescent="0.25">
      <c r="A8519" s="5" t="s">
        <v>17357</v>
      </c>
      <c r="B8519" s="6">
        <v>396.875</v>
      </c>
      <c r="C8519" s="6">
        <v>20.478950000000001</v>
      </c>
      <c r="D8519" s="6">
        <v>91</v>
      </c>
      <c r="E8519" s="6">
        <v>0</v>
      </c>
      <c r="F8519" s="6">
        <v>0</v>
      </c>
      <c r="G8519" s="6">
        <v>7</v>
      </c>
      <c r="H8519" s="6" t="s">
        <v>17358</v>
      </c>
      <c r="I8519" s="6">
        <v>527.4375</v>
      </c>
      <c r="J8519" s="2">
        <f t="shared" si="133"/>
        <v>43748.100967037033</v>
      </c>
    </row>
    <row r="8520" spans="1:10" x14ac:dyDescent="0.25">
      <c r="A8520" s="7" t="s">
        <v>17359</v>
      </c>
      <c r="B8520" s="8">
        <v>396.875</v>
      </c>
      <c r="C8520" s="8">
        <v>20.478950000000001</v>
      </c>
      <c r="D8520" s="8">
        <v>92</v>
      </c>
      <c r="E8520" s="8">
        <v>0</v>
      </c>
      <c r="F8520" s="8">
        <v>0</v>
      </c>
      <c r="G8520" s="8">
        <v>7</v>
      </c>
      <c r="H8520" s="8" t="s">
        <v>17360</v>
      </c>
      <c r="I8520" s="8">
        <v>527.4375</v>
      </c>
      <c r="J8520" s="3">
        <f t="shared" si="133"/>
        <v>43748.101038321758</v>
      </c>
    </row>
    <row r="8521" spans="1:10" x14ac:dyDescent="0.25">
      <c r="A8521" s="5" t="s">
        <v>17361</v>
      </c>
      <c r="B8521" s="6">
        <v>400</v>
      </c>
      <c r="C8521" s="6">
        <v>20.426300000000001</v>
      </c>
      <c r="D8521" s="6">
        <v>92</v>
      </c>
      <c r="E8521" s="6">
        <v>0</v>
      </c>
      <c r="F8521" s="6">
        <v>0</v>
      </c>
      <c r="G8521" s="6">
        <v>12</v>
      </c>
      <c r="H8521" s="6" t="s">
        <v>17362</v>
      </c>
      <c r="I8521" s="6">
        <v>528.1875</v>
      </c>
      <c r="J8521" s="2">
        <f t="shared" si="133"/>
        <v>43748.101121678243</v>
      </c>
    </row>
    <row r="8522" spans="1:10" x14ac:dyDescent="0.25">
      <c r="A8522" s="7" t="s">
        <v>17363</v>
      </c>
      <c r="B8522" s="8">
        <v>400</v>
      </c>
      <c r="C8522" s="8">
        <v>20.478950000000001</v>
      </c>
      <c r="D8522" s="8">
        <v>91</v>
      </c>
      <c r="E8522" s="8">
        <v>0</v>
      </c>
      <c r="F8522" s="8">
        <v>0</v>
      </c>
      <c r="G8522" s="8">
        <v>6</v>
      </c>
      <c r="H8522" s="8" t="s">
        <v>17364</v>
      </c>
      <c r="I8522" s="8">
        <v>528.1875</v>
      </c>
      <c r="J8522" s="3">
        <f t="shared" si="133"/>
        <v>43748.101193888891</v>
      </c>
    </row>
    <row r="8523" spans="1:10" x14ac:dyDescent="0.25">
      <c r="A8523" s="5" t="s">
        <v>17365</v>
      </c>
      <c r="B8523" s="6">
        <v>400</v>
      </c>
      <c r="C8523" s="6">
        <v>20.426300000000001</v>
      </c>
      <c r="D8523" s="6">
        <v>93</v>
      </c>
      <c r="E8523" s="6">
        <v>0</v>
      </c>
      <c r="F8523" s="6">
        <v>0</v>
      </c>
      <c r="G8523" s="6">
        <v>16</v>
      </c>
      <c r="H8523" s="6" t="s">
        <v>17366</v>
      </c>
      <c r="I8523" s="6">
        <v>528.1875</v>
      </c>
      <c r="J8523" s="2">
        <f t="shared" si="133"/>
        <v>43748.101265185185</v>
      </c>
    </row>
    <row r="8524" spans="1:10" x14ac:dyDescent="0.25">
      <c r="A8524" s="7" t="s">
        <v>17367</v>
      </c>
      <c r="B8524" s="8">
        <v>400</v>
      </c>
      <c r="C8524" s="8">
        <v>20.478950000000001</v>
      </c>
      <c r="D8524" s="8">
        <v>82</v>
      </c>
      <c r="E8524" s="8">
        <v>0</v>
      </c>
      <c r="F8524" s="8">
        <v>0</v>
      </c>
      <c r="G8524" s="8">
        <v>11</v>
      </c>
      <c r="H8524" s="8" t="s">
        <v>17368</v>
      </c>
      <c r="I8524" s="8">
        <v>528.1875</v>
      </c>
      <c r="J8524" s="3">
        <f t="shared" si="133"/>
        <v>43748.101336481479</v>
      </c>
    </row>
    <row r="8525" spans="1:10" x14ac:dyDescent="0.25">
      <c r="A8525" s="5" t="s">
        <v>17369</v>
      </c>
      <c r="B8525" s="6">
        <v>396.875</v>
      </c>
      <c r="C8525" s="6">
        <v>20.478950000000001</v>
      </c>
      <c r="D8525" s="6">
        <v>88</v>
      </c>
      <c r="E8525" s="6">
        <v>0</v>
      </c>
      <c r="F8525" s="6">
        <v>0</v>
      </c>
      <c r="G8525" s="6">
        <v>9</v>
      </c>
      <c r="H8525" s="6" t="s">
        <v>17370</v>
      </c>
      <c r="I8525" s="6">
        <v>527.4375</v>
      </c>
      <c r="J8525" s="2">
        <f t="shared" si="133"/>
        <v>43748.101408530092</v>
      </c>
    </row>
    <row r="8526" spans="1:10" x14ac:dyDescent="0.25">
      <c r="A8526" s="7" t="s">
        <v>17371</v>
      </c>
      <c r="B8526" s="8">
        <v>396.875</v>
      </c>
      <c r="C8526" s="8">
        <v>20.478950000000001</v>
      </c>
      <c r="D8526" s="8">
        <v>88</v>
      </c>
      <c r="E8526" s="8">
        <v>0</v>
      </c>
      <c r="F8526" s="8">
        <v>0</v>
      </c>
      <c r="G8526" s="8">
        <v>14</v>
      </c>
      <c r="H8526" s="8" t="s">
        <v>17372</v>
      </c>
      <c r="I8526" s="8">
        <v>527.4375</v>
      </c>
      <c r="J8526" s="3">
        <f t="shared" si="133"/>
        <v>43748.101491168978</v>
      </c>
    </row>
    <row r="8527" spans="1:10" x14ac:dyDescent="0.25">
      <c r="A8527" s="5" t="s">
        <v>17373</v>
      </c>
      <c r="B8527" s="6">
        <v>393.75</v>
      </c>
      <c r="C8527" s="6">
        <v>20.478950000000001</v>
      </c>
      <c r="D8527" s="6">
        <v>89</v>
      </c>
      <c r="E8527" s="6">
        <v>0</v>
      </c>
      <c r="F8527" s="6">
        <v>0</v>
      </c>
      <c r="G8527" s="6">
        <v>3</v>
      </c>
      <c r="H8527" s="6" t="s">
        <v>17374</v>
      </c>
      <c r="I8527" s="6">
        <v>526.6875</v>
      </c>
      <c r="J8527" s="2">
        <f t="shared" si="133"/>
        <v>43748.101563344906</v>
      </c>
    </row>
    <row r="8528" spans="1:10" x14ac:dyDescent="0.25">
      <c r="A8528" s="7" t="s">
        <v>17375</v>
      </c>
      <c r="B8528" s="8">
        <v>393.75</v>
      </c>
      <c r="C8528" s="8">
        <v>20.426300000000001</v>
      </c>
      <c r="D8528" s="8">
        <v>89</v>
      </c>
      <c r="E8528" s="8">
        <v>0</v>
      </c>
      <c r="F8528" s="8">
        <v>0</v>
      </c>
      <c r="G8528" s="8">
        <v>1</v>
      </c>
      <c r="H8528" s="8" t="s">
        <v>17376</v>
      </c>
      <c r="I8528" s="8">
        <v>526.5</v>
      </c>
      <c r="J8528" s="3">
        <f t="shared" si="133"/>
        <v>43748.101634652776</v>
      </c>
    </row>
    <row r="8529" spans="1:10" x14ac:dyDescent="0.25">
      <c r="A8529" s="5" t="s">
        <v>17377</v>
      </c>
      <c r="B8529" s="6">
        <v>393.75</v>
      </c>
      <c r="C8529" s="6">
        <v>20.478950000000001</v>
      </c>
      <c r="D8529" s="6">
        <v>90</v>
      </c>
      <c r="E8529" s="6">
        <v>0</v>
      </c>
      <c r="F8529" s="6">
        <v>0</v>
      </c>
      <c r="G8529" s="6">
        <v>14</v>
      </c>
      <c r="H8529" s="6" t="s">
        <v>17378</v>
      </c>
      <c r="I8529" s="6">
        <v>526.6875</v>
      </c>
      <c r="J8529" s="2">
        <f t="shared" si="133"/>
        <v>43748.101706064808</v>
      </c>
    </row>
    <row r="8530" spans="1:10" x14ac:dyDescent="0.25">
      <c r="A8530" s="7" t="s">
        <v>17379</v>
      </c>
      <c r="B8530" s="8">
        <v>393.75</v>
      </c>
      <c r="C8530" s="8">
        <v>20.478950000000001</v>
      </c>
      <c r="D8530" s="8">
        <v>95</v>
      </c>
      <c r="E8530" s="8">
        <v>0</v>
      </c>
      <c r="F8530" s="8">
        <v>0</v>
      </c>
      <c r="G8530" s="8">
        <v>8</v>
      </c>
      <c r="H8530" s="8" t="s">
        <v>17380</v>
      </c>
      <c r="I8530" s="8">
        <v>526.6875</v>
      </c>
      <c r="J8530" s="3">
        <f t="shared" si="133"/>
        <v>43748.101790208333</v>
      </c>
    </row>
    <row r="8531" spans="1:10" x14ac:dyDescent="0.25">
      <c r="A8531" s="5" t="s">
        <v>17381</v>
      </c>
      <c r="B8531" s="6">
        <v>393.75</v>
      </c>
      <c r="C8531" s="6">
        <v>20.478950000000001</v>
      </c>
      <c r="D8531" s="6">
        <v>95</v>
      </c>
      <c r="E8531" s="6">
        <v>0</v>
      </c>
      <c r="F8531" s="6">
        <v>0</v>
      </c>
      <c r="G8531" s="6">
        <v>12</v>
      </c>
      <c r="H8531" s="6" t="s">
        <v>17382</v>
      </c>
      <c r="I8531" s="6">
        <v>526.6875</v>
      </c>
      <c r="J8531" s="2">
        <f t="shared" si="133"/>
        <v>43748.101861493058</v>
      </c>
    </row>
    <row r="8532" spans="1:10" x14ac:dyDescent="0.25">
      <c r="A8532" s="7" t="s">
        <v>17383</v>
      </c>
      <c r="B8532" s="8">
        <v>393.75</v>
      </c>
      <c r="C8532" s="8">
        <v>20.478950000000001</v>
      </c>
      <c r="D8532" s="8">
        <v>94</v>
      </c>
      <c r="E8532" s="8">
        <v>0</v>
      </c>
      <c r="F8532" s="8">
        <v>0</v>
      </c>
      <c r="G8532" s="8">
        <v>7</v>
      </c>
      <c r="H8532" s="8" t="s">
        <v>17384</v>
      </c>
      <c r="I8532" s="8">
        <v>526.6875</v>
      </c>
      <c r="J8532" s="3">
        <f t="shared" si="133"/>
        <v>43748.101932789352</v>
      </c>
    </row>
    <row r="8533" spans="1:10" x14ac:dyDescent="0.25">
      <c r="A8533" s="5" t="s">
        <v>17385</v>
      </c>
      <c r="B8533" s="6">
        <v>393.75</v>
      </c>
      <c r="C8533" s="6">
        <v>20.478950000000001</v>
      </c>
      <c r="D8533" s="6">
        <v>94</v>
      </c>
      <c r="E8533" s="6">
        <v>0</v>
      </c>
      <c r="F8533" s="6">
        <v>0</v>
      </c>
      <c r="G8533" s="6">
        <v>6</v>
      </c>
      <c r="H8533" s="6" t="s">
        <v>17386</v>
      </c>
      <c r="I8533" s="6">
        <v>526.6875</v>
      </c>
      <c r="J8533" s="2">
        <f t="shared" si="133"/>
        <v>43748.102004108798</v>
      </c>
    </row>
    <row r="8534" spans="1:10" x14ac:dyDescent="0.25">
      <c r="A8534" s="7" t="s">
        <v>17387</v>
      </c>
      <c r="B8534" s="8">
        <v>393.75</v>
      </c>
      <c r="C8534" s="8">
        <v>20.478950000000001</v>
      </c>
      <c r="D8534" s="8">
        <v>94</v>
      </c>
      <c r="E8534" s="8">
        <v>0</v>
      </c>
      <c r="F8534" s="8">
        <v>0</v>
      </c>
      <c r="G8534" s="8">
        <v>11</v>
      </c>
      <c r="H8534" s="8" t="s">
        <v>17388</v>
      </c>
      <c r="I8534" s="8">
        <v>526.5</v>
      </c>
      <c r="J8534" s="3">
        <f t="shared" si="133"/>
        <v>43748.102076307863</v>
      </c>
    </row>
    <row r="8535" spans="1:10" x14ac:dyDescent="0.25">
      <c r="A8535" s="5" t="s">
        <v>17389</v>
      </c>
      <c r="B8535" s="6">
        <v>412.5</v>
      </c>
      <c r="C8535" s="6">
        <v>20.478950000000001</v>
      </c>
      <c r="D8535" s="6">
        <v>94</v>
      </c>
      <c r="E8535" s="6">
        <v>0</v>
      </c>
      <c r="F8535" s="6">
        <v>0</v>
      </c>
      <c r="G8535" s="6">
        <v>11</v>
      </c>
      <c r="H8535" s="6" t="s">
        <v>17390</v>
      </c>
      <c r="I8535" s="6">
        <v>532.125</v>
      </c>
      <c r="J8535" s="2">
        <f t="shared" si="133"/>
        <v>43748.102159629627</v>
      </c>
    </row>
    <row r="8536" spans="1:10" x14ac:dyDescent="0.25">
      <c r="A8536" s="7" t="s">
        <v>17391</v>
      </c>
      <c r="B8536" s="8">
        <v>393.75</v>
      </c>
      <c r="C8536" s="8">
        <v>20.478950000000001</v>
      </c>
      <c r="D8536" s="8">
        <v>94</v>
      </c>
      <c r="E8536" s="8">
        <v>0</v>
      </c>
      <c r="F8536" s="8">
        <v>0</v>
      </c>
      <c r="G8536" s="8">
        <v>17</v>
      </c>
      <c r="H8536" s="8" t="s">
        <v>17392</v>
      </c>
      <c r="I8536" s="8">
        <v>526.6875</v>
      </c>
      <c r="J8536" s="3">
        <f t="shared" si="133"/>
        <v>43748.102230949073</v>
      </c>
    </row>
    <row r="8537" spans="1:10" x14ac:dyDescent="0.25">
      <c r="A8537" s="5" t="s">
        <v>17393</v>
      </c>
      <c r="B8537" s="6">
        <v>393.75</v>
      </c>
      <c r="C8537" s="6">
        <v>20.478950000000001</v>
      </c>
      <c r="D8537" s="6">
        <v>94</v>
      </c>
      <c r="E8537" s="6">
        <v>0</v>
      </c>
      <c r="F8537" s="6">
        <v>0</v>
      </c>
      <c r="G8537" s="6">
        <v>11</v>
      </c>
      <c r="H8537" s="6" t="s">
        <v>17394</v>
      </c>
      <c r="I8537" s="6">
        <v>526.6875</v>
      </c>
      <c r="J8537" s="2">
        <f t="shared" si="133"/>
        <v>43748.102302280087</v>
      </c>
    </row>
    <row r="8538" spans="1:10" x14ac:dyDescent="0.25">
      <c r="A8538" s="7" t="s">
        <v>17395</v>
      </c>
      <c r="B8538" s="8">
        <v>393.75</v>
      </c>
      <c r="C8538" s="8">
        <v>20.478950000000001</v>
      </c>
      <c r="D8538" s="8">
        <v>94</v>
      </c>
      <c r="E8538" s="8">
        <v>0</v>
      </c>
      <c r="F8538" s="8">
        <v>0</v>
      </c>
      <c r="G8538" s="8">
        <v>13</v>
      </c>
      <c r="H8538" s="8" t="s">
        <v>17396</v>
      </c>
      <c r="I8538" s="8">
        <v>526.6875</v>
      </c>
      <c r="J8538" s="3">
        <f t="shared" si="133"/>
        <v>43748.102374456015</v>
      </c>
    </row>
    <row r="8539" spans="1:10" x14ac:dyDescent="0.25">
      <c r="A8539" s="5" t="s">
        <v>17397</v>
      </c>
      <c r="B8539" s="6">
        <v>393.75</v>
      </c>
      <c r="C8539" s="6">
        <v>20.426300000000001</v>
      </c>
      <c r="D8539" s="6">
        <v>93</v>
      </c>
      <c r="E8539" s="6">
        <v>0</v>
      </c>
      <c r="F8539" s="6">
        <v>0</v>
      </c>
      <c r="G8539" s="6">
        <v>6</v>
      </c>
      <c r="H8539" s="6" t="s">
        <v>17398</v>
      </c>
      <c r="I8539" s="6">
        <v>526.6875</v>
      </c>
      <c r="J8539" s="2">
        <f t="shared" si="133"/>
        <v>43748.102445752309</v>
      </c>
    </row>
    <row r="8540" spans="1:10" x14ac:dyDescent="0.25">
      <c r="A8540" s="7" t="s">
        <v>17399</v>
      </c>
      <c r="B8540" s="8">
        <v>393.75</v>
      </c>
      <c r="C8540" s="8">
        <v>20.478950000000001</v>
      </c>
      <c r="D8540" s="8">
        <v>93</v>
      </c>
      <c r="E8540" s="8">
        <v>0</v>
      </c>
      <c r="F8540" s="8">
        <v>0</v>
      </c>
      <c r="G8540" s="8">
        <v>14</v>
      </c>
      <c r="H8540" s="8" t="s">
        <v>17400</v>
      </c>
      <c r="I8540" s="8">
        <v>526.6875</v>
      </c>
      <c r="J8540" s="3">
        <f t="shared" si="133"/>
        <v>43748.102541145832</v>
      </c>
    </row>
    <row r="8541" spans="1:10" x14ac:dyDescent="0.25">
      <c r="A8541" s="5" t="s">
        <v>17401</v>
      </c>
      <c r="B8541" s="6">
        <v>412.5</v>
      </c>
      <c r="C8541" s="6">
        <v>20.478950000000001</v>
      </c>
      <c r="D8541" s="6">
        <v>93</v>
      </c>
      <c r="E8541" s="6">
        <v>0</v>
      </c>
      <c r="F8541" s="6">
        <v>0</v>
      </c>
      <c r="G8541" s="6">
        <v>11</v>
      </c>
      <c r="H8541" s="6" t="s">
        <v>17402</v>
      </c>
      <c r="I8541" s="6">
        <v>532.125</v>
      </c>
      <c r="J8541" s="2">
        <f t="shared" si="133"/>
        <v>43748.102624467589</v>
      </c>
    </row>
    <row r="8542" spans="1:10" x14ac:dyDescent="0.25">
      <c r="A8542" s="7" t="s">
        <v>17403</v>
      </c>
      <c r="B8542" s="8">
        <v>393.75</v>
      </c>
      <c r="C8542" s="8">
        <v>20.478950000000001</v>
      </c>
      <c r="D8542" s="8">
        <v>92</v>
      </c>
      <c r="E8542" s="8">
        <v>0</v>
      </c>
      <c r="F8542" s="8">
        <v>0</v>
      </c>
      <c r="G8542" s="8">
        <v>15</v>
      </c>
      <c r="H8542" s="8" t="s">
        <v>17404</v>
      </c>
      <c r="I8542" s="8">
        <v>526.6875</v>
      </c>
      <c r="J8542" s="3">
        <f t="shared" si="133"/>
        <v>43748.102695833331</v>
      </c>
    </row>
    <row r="8543" spans="1:10" x14ac:dyDescent="0.25">
      <c r="A8543" s="5" t="s">
        <v>17405</v>
      </c>
      <c r="B8543" s="6">
        <v>393.75</v>
      </c>
      <c r="C8543" s="6">
        <v>20.426300000000001</v>
      </c>
      <c r="D8543" s="6">
        <v>92</v>
      </c>
      <c r="E8543" s="6">
        <v>0</v>
      </c>
      <c r="F8543" s="6">
        <v>0</v>
      </c>
      <c r="G8543" s="6">
        <v>5</v>
      </c>
      <c r="H8543" s="6" t="s">
        <v>17406</v>
      </c>
      <c r="I8543" s="6">
        <v>526.6875</v>
      </c>
      <c r="J8543" s="2">
        <f t="shared" si="133"/>
        <v>43748.102767916665</v>
      </c>
    </row>
    <row r="8544" spans="1:10" x14ac:dyDescent="0.25">
      <c r="A8544" s="7" t="s">
        <v>17407</v>
      </c>
      <c r="B8544" s="8">
        <v>393.75</v>
      </c>
      <c r="C8544" s="8">
        <v>20.478950000000001</v>
      </c>
      <c r="D8544" s="8">
        <v>92</v>
      </c>
      <c r="E8544" s="8">
        <v>0</v>
      </c>
      <c r="F8544" s="8">
        <v>0</v>
      </c>
      <c r="G8544" s="8">
        <v>18</v>
      </c>
      <c r="H8544" s="8" t="s">
        <v>17408</v>
      </c>
      <c r="I8544" s="8">
        <v>526.6875</v>
      </c>
      <c r="J8544" s="3">
        <f t="shared" si="133"/>
        <v>43748.102839293984</v>
      </c>
    </row>
    <row r="8545" spans="1:10" x14ac:dyDescent="0.25">
      <c r="A8545" s="5" t="s">
        <v>17409</v>
      </c>
      <c r="B8545" s="6">
        <v>393.75</v>
      </c>
      <c r="C8545" s="6">
        <v>20.478950000000001</v>
      </c>
      <c r="D8545" s="6">
        <v>92</v>
      </c>
      <c r="E8545" s="6">
        <v>0</v>
      </c>
      <c r="F8545" s="6">
        <v>0</v>
      </c>
      <c r="G8545" s="6">
        <v>10</v>
      </c>
      <c r="H8545" s="6" t="s">
        <v>17410</v>
      </c>
      <c r="I8545" s="6">
        <v>526.6875</v>
      </c>
      <c r="J8545" s="2">
        <f t="shared" si="133"/>
        <v>43748.102910590278</v>
      </c>
    </row>
    <row r="8546" spans="1:10" x14ac:dyDescent="0.25">
      <c r="A8546" s="7" t="s">
        <v>17411</v>
      </c>
      <c r="B8546" s="8">
        <v>393.75</v>
      </c>
      <c r="C8546" s="8">
        <v>20.478950000000001</v>
      </c>
      <c r="D8546" s="8">
        <v>92</v>
      </c>
      <c r="E8546" s="8">
        <v>0</v>
      </c>
      <c r="F8546" s="8">
        <v>0</v>
      </c>
      <c r="G8546" s="8">
        <v>8</v>
      </c>
      <c r="H8546" s="8" t="s">
        <v>17412</v>
      </c>
      <c r="I8546" s="8">
        <v>526.6875</v>
      </c>
      <c r="J8546" s="3">
        <f t="shared" si="133"/>
        <v>43748.102982800927</v>
      </c>
    </row>
    <row r="8547" spans="1:10" x14ac:dyDescent="0.25">
      <c r="A8547" s="5" t="s">
        <v>17413</v>
      </c>
      <c r="B8547" s="6">
        <v>396.875</v>
      </c>
      <c r="C8547" s="6">
        <v>20.426300000000001</v>
      </c>
      <c r="D8547" s="6">
        <v>92</v>
      </c>
      <c r="E8547" s="6">
        <v>0</v>
      </c>
      <c r="F8547" s="6">
        <v>0</v>
      </c>
      <c r="G8547" s="6">
        <v>14</v>
      </c>
      <c r="H8547" s="6" t="s">
        <v>17414</v>
      </c>
      <c r="I8547" s="6">
        <v>527.4375</v>
      </c>
      <c r="J8547" s="2">
        <f t="shared" si="133"/>
        <v>43748.103054108789</v>
      </c>
    </row>
    <row r="8548" spans="1:10" x14ac:dyDescent="0.25">
      <c r="A8548" s="7" t="s">
        <v>17415</v>
      </c>
      <c r="B8548" s="8">
        <v>396.875</v>
      </c>
      <c r="C8548" s="8">
        <v>20.478950000000001</v>
      </c>
      <c r="D8548" s="8">
        <v>94</v>
      </c>
      <c r="E8548" s="8">
        <v>0</v>
      </c>
      <c r="F8548" s="8">
        <v>0</v>
      </c>
      <c r="G8548" s="8">
        <v>11</v>
      </c>
      <c r="H8548" s="8" t="s">
        <v>17416</v>
      </c>
      <c r="I8548" s="8">
        <v>527.4375</v>
      </c>
      <c r="J8548" s="3">
        <f t="shared" si="133"/>
        <v>43748.103125428235</v>
      </c>
    </row>
    <row r="8549" spans="1:10" x14ac:dyDescent="0.25">
      <c r="A8549" s="5" t="s">
        <v>17417</v>
      </c>
      <c r="B8549" s="6">
        <v>415.625</v>
      </c>
      <c r="C8549" s="6">
        <v>20.478950000000001</v>
      </c>
      <c r="D8549" s="6">
        <v>94</v>
      </c>
      <c r="E8549" s="6">
        <v>0</v>
      </c>
      <c r="F8549" s="6">
        <v>0</v>
      </c>
      <c r="G8549" s="6">
        <v>12</v>
      </c>
      <c r="H8549" s="6" t="s">
        <v>17418</v>
      </c>
      <c r="I8549" s="6">
        <v>533.0625</v>
      </c>
      <c r="J8549" s="2">
        <f t="shared" si="133"/>
        <v>43748.103196689808</v>
      </c>
    </row>
    <row r="8550" spans="1:10" x14ac:dyDescent="0.25">
      <c r="A8550" s="7" t="s">
        <v>17419</v>
      </c>
      <c r="B8550" s="8">
        <v>393.75</v>
      </c>
      <c r="C8550" s="8">
        <v>20.478950000000001</v>
      </c>
      <c r="D8550" s="8">
        <v>94</v>
      </c>
      <c r="E8550" s="8">
        <v>0</v>
      </c>
      <c r="F8550" s="8">
        <v>0</v>
      </c>
      <c r="G8550" s="8">
        <v>11</v>
      </c>
      <c r="H8550" s="8" t="s">
        <v>17420</v>
      </c>
      <c r="I8550" s="8">
        <v>526.6875</v>
      </c>
      <c r="J8550" s="3">
        <f t="shared" si="133"/>
        <v>43748.103268912033</v>
      </c>
    </row>
    <row r="8551" spans="1:10" x14ac:dyDescent="0.25">
      <c r="A8551" s="5" t="s">
        <v>17421</v>
      </c>
      <c r="B8551" s="6">
        <v>393.75</v>
      </c>
      <c r="C8551" s="6">
        <v>20.478950000000001</v>
      </c>
      <c r="D8551" s="6">
        <v>94</v>
      </c>
      <c r="E8551" s="6">
        <v>0</v>
      </c>
      <c r="F8551" s="6">
        <v>0</v>
      </c>
      <c r="G8551" s="6">
        <v>11</v>
      </c>
      <c r="H8551" s="6" t="s">
        <v>17422</v>
      </c>
      <c r="I8551" s="6">
        <v>526.6875</v>
      </c>
      <c r="J8551" s="2">
        <f t="shared" si="133"/>
        <v>43748.103340219903</v>
      </c>
    </row>
    <row r="8552" spans="1:10" x14ac:dyDescent="0.25">
      <c r="A8552" s="7" t="s">
        <v>17423</v>
      </c>
      <c r="B8552" s="8">
        <v>393.75</v>
      </c>
      <c r="C8552" s="8">
        <v>20.478950000000001</v>
      </c>
      <c r="D8552" s="8">
        <v>93</v>
      </c>
      <c r="E8552" s="8">
        <v>0</v>
      </c>
      <c r="F8552" s="8">
        <v>0</v>
      </c>
      <c r="G8552" s="8">
        <v>11</v>
      </c>
      <c r="H8552" s="8" t="s">
        <v>17424</v>
      </c>
      <c r="I8552" s="8">
        <v>526.6875</v>
      </c>
      <c r="J8552" s="3">
        <f t="shared" si="133"/>
        <v>43748.10341152778</v>
      </c>
    </row>
    <row r="8553" spans="1:10" x14ac:dyDescent="0.25">
      <c r="A8553" s="5" t="s">
        <v>17425</v>
      </c>
      <c r="B8553" s="6">
        <v>393.75</v>
      </c>
      <c r="C8553" s="6">
        <v>20.426300000000001</v>
      </c>
      <c r="D8553" s="6">
        <v>93</v>
      </c>
      <c r="E8553" s="6">
        <v>0</v>
      </c>
      <c r="F8553" s="6">
        <v>0</v>
      </c>
      <c r="G8553" s="6">
        <v>2</v>
      </c>
      <c r="H8553" s="6" t="s">
        <v>17426</v>
      </c>
      <c r="I8553" s="6">
        <v>526.6875</v>
      </c>
      <c r="J8553" s="2">
        <f t="shared" si="133"/>
        <v>43748.103494826391</v>
      </c>
    </row>
    <row r="8554" spans="1:10" x14ac:dyDescent="0.25">
      <c r="A8554" s="7" t="s">
        <v>17427</v>
      </c>
      <c r="B8554" s="8">
        <v>393.75</v>
      </c>
      <c r="C8554" s="8">
        <v>20.478950000000001</v>
      </c>
      <c r="D8554" s="8">
        <v>93</v>
      </c>
      <c r="E8554" s="8">
        <v>0</v>
      </c>
      <c r="F8554" s="8">
        <v>0</v>
      </c>
      <c r="G8554" s="8">
        <v>3</v>
      </c>
      <c r="H8554" s="8" t="s">
        <v>17428</v>
      </c>
      <c r="I8554" s="8">
        <v>526.6875</v>
      </c>
      <c r="J8554" s="3">
        <f t="shared" si="133"/>
        <v>43748.103567071761</v>
      </c>
    </row>
    <row r="8555" spans="1:10" x14ac:dyDescent="0.25">
      <c r="A8555" s="5" t="s">
        <v>17429</v>
      </c>
      <c r="B8555" s="6">
        <v>393.75</v>
      </c>
      <c r="C8555" s="6">
        <v>20.478950000000001</v>
      </c>
      <c r="D8555" s="6">
        <v>93</v>
      </c>
      <c r="E8555" s="6">
        <v>0</v>
      </c>
      <c r="F8555" s="6">
        <v>0</v>
      </c>
      <c r="G8555" s="6">
        <v>5</v>
      </c>
      <c r="H8555" s="6" t="s">
        <v>17430</v>
      </c>
      <c r="I8555" s="6">
        <v>526.6875</v>
      </c>
      <c r="J8555" s="2">
        <f t="shared" si="133"/>
        <v>43748.103638368055</v>
      </c>
    </row>
    <row r="8556" spans="1:10" x14ac:dyDescent="0.25">
      <c r="A8556" s="7" t="s">
        <v>17431</v>
      </c>
      <c r="B8556" s="8">
        <v>393.75</v>
      </c>
      <c r="C8556" s="8">
        <v>20.478950000000001</v>
      </c>
      <c r="D8556" s="8">
        <v>92</v>
      </c>
      <c r="E8556" s="8">
        <v>0</v>
      </c>
      <c r="F8556" s="8">
        <v>0</v>
      </c>
      <c r="G8556" s="8">
        <v>8</v>
      </c>
      <c r="H8556" s="8" t="s">
        <v>17432</v>
      </c>
      <c r="I8556" s="8">
        <v>526.6875</v>
      </c>
      <c r="J8556" s="3">
        <f t="shared" si="133"/>
        <v>43748.10370965278</v>
      </c>
    </row>
    <row r="8557" spans="1:10" x14ac:dyDescent="0.25">
      <c r="A8557" s="5" t="s">
        <v>17433</v>
      </c>
      <c r="B8557" s="6">
        <v>393.75</v>
      </c>
      <c r="C8557" s="6">
        <v>20.426300000000001</v>
      </c>
      <c r="D8557" s="6">
        <v>91</v>
      </c>
      <c r="E8557" s="6">
        <v>0</v>
      </c>
      <c r="F8557" s="6">
        <v>0</v>
      </c>
      <c r="G8557" s="6">
        <v>9</v>
      </c>
      <c r="H8557" s="6" t="s">
        <v>17434</v>
      </c>
      <c r="I8557" s="6">
        <v>526.6875</v>
      </c>
      <c r="J8557" s="2">
        <f t="shared" si="133"/>
        <v>43748.103782488419</v>
      </c>
    </row>
    <row r="8558" spans="1:10" x14ac:dyDescent="0.25">
      <c r="A8558" s="7" t="s">
        <v>17435</v>
      </c>
      <c r="B8558" s="8">
        <v>396.875</v>
      </c>
      <c r="C8558" s="8">
        <v>20.478950000000001</v>
      </c>
      <c r="D8558" s="8">
        <v>91</v>
      </c>
      <c r="E8558" s="8">
        <v>0</v>
      </c>
      <c r="F8558" s="8">
        <v>0</v>
      </c>
      <c r="G8558" s="8">
        <v>10</v>
      </c>
      <c r="H8558" s="8" t="s">
        <v>17436</v>
      </c>
      <c r="I8558" s="8">
        <v>527.4375</v>
      </c>
      <c r="J8558" s="3">
        <f t="shared" si="133"/>
        <v>43748.103852395834</v>
      </c>
    </row>
    <row r="8559" spans="1:10" x14ac:dyDescent="0.25">
      <c r="A8559" s="5" t="s">
        <v>17437</v>
      </c>
      <c r="B8559" s="6">
        <v>396.875</v>
      </c>
      <c r="C8559" s="6">
        <v>20.478950000000001</v>
      </c>
      <c r="D8559" s="6">
        <v>92</v>
      </c>
      <c r="E8559" s="6">
        <v>0</v>
      </c>
      <c r="F8559" s="6">
        <v>0</v>
      </c>
      <c r="G8559" s="6">
        <v>14</v>
      </c>
      <c r="H8559" s="6" t="s">
        <v>17438</v>
      </c>
      <c r="I8559" s="6">
        <v>527.4375</v>
      </c>
      <c r="J8559" s="2">
        <f t="shared" si="133"/>
        <v>43748.103924409719</v>
      </c>
    </row>
    <row r="8560" spans="1:10" x14ac:dyDescent="0.25">
      <c r="A8560" s="7" t="s">
        <v>17439</v>
      </c>
      <c r="B8560" s="8">
        <v>396.875</v>
      </c>
      <c r="C8560" s="8">
        <v>20.478950000000001</v>
      </c>
      <c r="D8560" s="8">
        <v>94</v>
      </c>
      <c r="E8560" s="8">
        <v>0</v>
      </c>
      <c r="F8560" s="8">
        <v>0</v>
      </c>
      <c r="G8560" s="8">
        <v>8</v>
      </c>
      <c r="H8560" s="8" t="s">
        <v>17440</v>
      </c>
      <c r="I8560" s="8">
        <v>527.4375</v>
      </c>
      <c r="J8560" s="3">
        <f t="shared" si="133"/>
        <v>43748.103995775462</v>
      </c>
    </row>
    <row r="8561" spans="1:10" x14ac:dyDescent="0.25">
      <c r="A8561" s="5" t="s">
        <v>17441</v>
      </c>
      <c r="B8561" s="6">
        <v>415.625</v>
      </c>
      <c r="C8561" s="6">
        <v>20.478950000000001</v>
      </c>
      <c r="D8561" s="6">
        <v>94</v>
      </c>
      <c r="E8561" s="6">
        <v>0</v>
      </c>
      <c r="F8561" s="6">
        <v>0</v>
      </c>
      <c r="G8561" s="6">
        <v>12</v>
      </c>
      <c r="H8561" s="6" t="s">
        <v>17442</v>
      </c>
      <c r="I8561" s="6">
        <v>533.25</v>
      </c>
      <c r="J8561" s="2">
        <f t="shared" si="133"/>
        <v>43748.10406799768</v>
      </c>
    </row>
    <row r="8562" spans="1:10" x14ac:dyDescent="0.25">
      <c r="A8562" s="7" t="s">
        <v>17443</v>
      </c>
      <c r="B8562" s="8">
        <v>396.875</v>
      </c>
      <c r="C8562" s="8">
        <v>20.426300000000001</v>
      </c>
      <c r="D8562" s="8">
        <v>93</v>
      </c>
      <c r="E8562" s="8">
        <v>0</v>
      </c>
      <c r="F8562" s="8">
        <v>0</v>
      </c>
      <c r="G8562" s="8">
        <v>11</v>
      </c>
      <c r="H8562" s="8" t="s">
        <v>17444</v>
      </c>
      <c r="I8562" s="8">
        <v>527.4375</v>
      </c>
      <c r="J8562" s="3">
        <f t="shared" si="133"/>
        <v>43748.104139270836</v>
      </c>
    </row>
    <row r="8563" spans="1:10" x14ac:dyDescent="0.25">
      <c r="A8563" s="5" t="s">
        <v>17445</v>
      </c>
      <c r="B8563" s="6">
        <v>396.875</v>
      </c>
      <c r="C8563" s="6">
        <v>20.478950000000001</v>
      </c>
      <c r="D8563" s="6">
        <v>91</v>
      </c>
      <c r="E8563" s="6">
        <v>0</v>
      </c>
      <c r="F8563" s="6">
        <v>0</v>
      </c>
      <c r="G8563" s="6">
        <v>11</v>
      </c>
      <c r="H8563" s="6" t="s">
        <v>17446</v>
      </c>
      <c r="I8563" s="6">
        <v>527.4375</v>
      </c>
      <c r="J8563" s="2">
        <f t="shared" si="133"/>
        <v>43748.104210451384</v>
      </c>
    </row>
    <row r="8564" spans="1:10" x14ac:dyDescent="0.25">
      <c r="A8564" s="7" t="s">
        <v>17447</v>
      </c>
      <c r="B8564" s="8">
        <v>396.875</v>
      </c>
      <c r="C8564" s="8">
        <v>20.478950000000001</v>
      </c>
      <c r="D8564" s="8">
        <v>90</v>
      </c>
      <c r="E8564" s="8">
        <v>0</v>
      </c>
      <c r="F8564" s="8">
        <v>0</v>
      </c>
      <c r="G8564" s="8">
        <v>9</v>
      </c>
      <c r="H8564" s="8" t="s">
        <v>17448</v>
      </c>
      <c r="I8564" s="8">
        <v>527.4375</v>
      </c>
      <c r="J8564" s="3">
        <f t="shared" si="133"/>
        <v>43748.104293969904</v>
      </c>
    </row>
    <row r="8565" spans="1:10" x14ac:dyDescent="0.25">
      <c r="A8565" s="5" t="s">
        <v>17449</v>
      </c>
      <c r="B8565" s="6">
        <v>393.75</v>
      </c>
      <c r="C8565" s="6">
        <v>20.478950000000001</v>
      </c>
      <c r="D8565" s="6">
        <v>90</v>
      </c>
      <c r="E8565" s="6">
        <v>0</v>
      </c>
      <c r="F8565" s="6">
        <v>0</v>
      </c>
      <c r="G8565" s="6">
        <v>9</v>
      </c>
      <c r="H8565" s="6" t="s">
        <v>17450</v>
      </c>
      <c r="I8565" s="6">
        <v>526.6875</v>
      </c>
      <c r="J8565" s="2">
        <f t="shared" si="133"/>
        <v>43748.104365983796</v>
      </c>
    </row>
    <row r="8566" spans="1:10" x14ac:dyDescent="0.25">
      <c r="A8566" s="7" t="s">
        <v>17451</v>
      </c>
      <c r="B8566" s="8">
        <v>393.75</v>
      </c>
      <c r="C8566" s="8">
        <v>20.426300000000001</v>
      </c>
      <c r="D8566" s="8">
        <v>90</v>
      </c>
      <c r="E8566" s="8">
        <v>0</v>
      </c>
      <c r="F8566" s="8">
        <v>0</v>
      </c>
      <c r="G8566" s="8">
        <v>7</v>
      </c>
      <c r="H8566" s="8" t="s">
        <v>17452</v>
      </c>
      <c r="I8566" s="8">
        <v>526.6875</v>
      </c>
      <c r="J8566" s="3">
        <f t="shared" si="133"/>
        <v>43748.104437442125</v>
      </c>
    </row>
    <row r="8567" spans="1:10" x14ac:dyDescent="0.25">
      <c r="A8567" s="5" t="s">
        <v>17453</v>
      </c>
      <c r="B8567" s="6">
        <v>393.75</v>
      </c>
      <c r="C8567" s="6">
        <v>20.478950000000001</v>
      </c>
      <c r="D8567" s="6">
        <v>90</v>
      </c>
      <c r="E8567" s="6">
        <v>0</v>
      </c>
      <c r="F8567" s="6">
        <v>0</v>
      </c>
      <c r="G8567" s="6">
        <v>3</v>
      </c>
      <c r="H8567" s="6" t="s">
        <v>17454</v>
      </c>
      <c r="I8567" s="6">
        <v>526.5</v>
      </c>
      <c r="J8567" s="2">
        <f t="shared" si="133"/>
        <v>43748.104520775458</v>
      </c>
    </row>
    <row r="8568" spans="1:10" x14ac:dyDescent="0.25">
      <c r="A8568" s="7" t="s">
        <v>17455</v>
      </c>
      <c r="B8568" s="8">
        <v>412.5</v>
      </c>
      <c r="C8568" s="8">
        <v>20.426300000000001</v>
      </c>
      <c r="D8568" s="8">
        <v>91</v>
      </c>
      <c r="E8568" s="8">
        <v>0</v>
      </c>
      <c r="F8568" s="8">
        <v>0</v>
      </c>
      <c r="G8568" s="8">
        <v>9</v>
      </c>
      <c r="H8568" s="8" t="s">
        <v>17456</v>
      </c>
      <c r="I8568" s="8">
        <v>532.3125</v>
      </c>
      <c r="J8568" s="3">
        <f t="shared" si="133"/>
        <v>43748.104592071752</v>
      </c>
    </row>
    <row r="8569" spans="1:10" x14ac:dyDescent="0.25">
      <c r="A8569" s="5" t="s">
        <v>17457</v>
      </c>
      <c r="B8569" s="6">
        <v>393.75</v>
      </c>
      <c r="C8569" s="6">
        <v>20.426300000000001</v>
      </c>
      <c r="D8569" s="6">
        <v>91</v>
      </c>
      <c r="E8569" s="6">
        <v>0</v>
      </c>
      <c r="F8569" s="6">
        <v>0</v>
      </c>
      <c r="G8569" s="6">
        <v>0</v>
      </c>
      <c r="H8569" s="6" t="s">
        <v>17458</v>
      </c>
      <c r="I8569" s="6">
        <v>526.6875</v>
      </c>
      <c r="J8569" s="2">
        <f t="shared" si="133"/>
        <v>43748.10466409722</v>
      </c>
    </row>
    <row r="8570" spans="1:10" x14ac:dyDescent="0.25">
      <c r="A8570" s="7" t="s">
        <v>17459</v>
      </c>
      <c r="B8570" s="8">
        <v>393.75</v>
      </c>
      <c r="C8570" s="8">
        <v>20.478950000000001</v>
      </c>
      <c r="D8570" s="8">
        <v>92</v>
      </c>
      <c r="E8570" s="8">
        <v>0</v>
      </c>
      <c r="F8570" s="8">
        <v>0</v>
      </c>
      <c r="G8570" s="8">
        <v>10</v>
      </c>
      <c r="H8570" s="8" t="s">
        <v>17460</v>
      </c>
      <c r="I8570" s="8">
        <v>526.6875</v>
      </c>
      <c r="J8570" s="3">
        <f t="shared" si="133"/>
        <v>43748.104735532404</v>
      </c>
    </row>
    <row r="8571" spans="1:10" x14ac:dyDescent="0.25">
      <c r="A8571" s="5" t="s">
        <v>17461</v>
      </c>
      <c r="B8571" s="6">
        <v>393.75</v>
      </c>
      <c r="C8571" s="6">
        <v>20.478950000000001</v>
      </c>
      <c r="D8571" s="6">
        <v>91</v>
      </c>
      <c r="E8571" s="6">
        <v>0</v>
      </c>
      <c r="F8571" s="6">
        <v>0</v>
      </c>
      <c r="G8571" s="6">
        <v>7</v>
      </c>
      <c r="H8571" s="6" t="s">
        <v>17462</v>
      </c>
      <c r="I8571" s="6">
        <v>526.6875</v>
      </c>
      <c r="J8571" s="2">
        <f t="shared" si="133"/>
        <v>43748.104818900458</v>
      </c>
    </row>
    <row r="8572" spans="1:10" x14ac:dyDescent="0.25">
      <c r="A8572" s="7" t="s">
        <v>17463</v>
      </c>
      <c r="B8572" s="8">
        <v>393.75</v>
      </c>
      <c r="C8572" s="8">
        <v>20.478950000000001</v>
      </c>
      <c r="D8572" s="8">
        <v>92</v>
      </c>
      <c r="E8572" s="8">
        <v>0</v>
      </c>
      <c r="F8572" s="8">
        <v>0</v>
      </c>
      <c r="G8572" s="8">
        <v>11</v>
      </c>
      <c r="H8572" s="8" t="s">
        <v>17464</v>
      </c>
      <c r="I8572" s="8">
        <v>526.6875</v>
      </c>
      <c r="J8572" s="3">
        <f t="shared" si="133"/>
        <v>43748.104890219904</v>
      </c>
    </row>
    <row r="8573" spans="1:10" x14ac:dyDescent="0.25">
      <c r="A8573" s="5" t="s">
        <v>17465</v>
      </c>
      <c r="B8573" s="6">
        <v>393.75</v>
      </c>
      <c r="C8573" s="6">
        <v>20.478950000000001</v>
      </c>
      <c r="D8573" s="6">
        <v>92</v>
      </c>
      <c r="E8573" s="6">
        <v>0</v>
      </c>
      <c r="F8573" s="6">
        <v>0</v>
      </c>
      <c r="G8573" s="6">
        <v>10</v>
      </c>
      <c r="H8573" s="6" t="s">
        <v>17466</v>
      </c>
      <c r="I8573" s="6">
        <v>526.6875</v>
      </c>
      <c r="J8573" s="2">
        <f t="shared" si="133"/>
        <v>43748.104974629627</v>
      </c>
    </row>
    <row r="8574" spans="1:10" x14ac:dyDescent="0.25">
      <c r="A8574" s="7" t="s">
        <v>17467</v>
      </c>
      <c r="B8574" s="8">
        <v>393.75</v>
      </c>
      <c r="C8574" s="8">
        <v>20.478950000000001</v>
      </c>
      <c r="D8574" s="8">
        <v>92</v>
      </c>
      <c r="E8574" s="8">
        <v>0</v>
      </c>
      <c r="F8574" s="8">
        <v>0</v>
      </c>
      <c r="G8574" s="8">
        <v>8</v>
      </c>
      <c r="H8574" s="8" t="s">
        <v>17468</v>
      </c>
      <c r="I8574" s="8">
        <v>526.6875</v>
      </c>
      <c r="J8574" s="3">
        <f t="shared" si="133"/>
        <v>43748.105044918979</v>
      </c>
    </row>
    <row r="8575" spans="1:10" x14ac:dyDescent="0.25">
      <c r="A8575" s="5" t="s">
        <v>17469</v>
      </c>
      <c r="B8575" s="6">
        <v>412.5</v>
      </c>
      <c r="C8575" s="6">
        <v>20.478950000000001</v>
      </c>
      <c r="D8575" s="6">
        <v>94</v>
      </c>
      <c r="E8575" s="6">
        <v>0</v>
      </c>
      <c r="F8575" s="6">
        <v>0</v>
      </c>
      <c r="G8575" s="6">
        <v>11</v>
      </c>
      <c r="H8575" s="6" t="s">
        <v>17470</v>
      </c>
      <c r="I8575" s="6">
        <v>532.3125</v>
      </c>
      <c r="J8575" s="2">
        <f t="shared" si="133"/>
        <v>43748.105116990737</v>
      </c>
    </row>
    <row r="8576" spans="1:10" x14ac:dyDescent="0.25">
      <c r="A8576" s="7" t="s">
        <v>17471</v>
      </c>
      <c r="B8576" s="8">
        <v>393.75</v>
      </c>
      <c r="C8576" s="8">
        <v>20.478950000000001</v>
      </c>
      <c r="D8576" s="8">
        <v>93</v>
      </c>
      <c r="E8576" s="8">
        <v>0</v>
      </c>
      <c r="F8576" s="8">
        <v>0</v>
      </c>
      <c r="G8576" s="8">
        <v>9</v>
      </c>
      <c r="H8576" s="8" t="s">
        <v>17472</v>
      </c>
      <c r="I8576" s="8">
        <v>526.6875</v>
      </c>
      <c r="J8576" s="3">
        <f t="shared" si="133"/>
        <v>43748.10518835648</v>
      </c>
    </row>
    <row r="8577" spans="1:10" x14ac:dyDescent="0.25">
      <c r="A8577" s="5" t="s">
        <v>17473</v>
      </c>
      <c r="B8577" s="6">
        <v>393.75</v>
      </c>
      <c r="C8577" s="6">
        <v>20.426300000000001</v>
      </c>
      <c r="D8577" s="6">
        <v>92</v>
      </c>
      <c r="E8577" s="6">
        <v>0</v>
      </c>
      <c r="F8577" s="6">
        <v>0</v>
      </c>
      <c r="G8577" s="6">
        <v>10</v>
      </c>
      <c r="H8577" s="6" t="s">
        <v>17474</v>
      </c>
      <c r="I8577" s="6">
        <v>526.6875</v>
      </c>
      <c r="J8577" s="2">
        <f t="shared" si="133"/>
        <v>43748.105283703706</v>
      </c>
    </row>
    <row r="8578" spans="1:10" x14ac:dyDescent="0.25">
      <c r="A8578" s="7" t="s">
        <v>17475</v>
      </c>
      <c r="B8578" s="8">
        <v>393.75</v>
      </c>
      <c r="C8578" s="8">
        <v>20.478950000000001</v>
      </c>
      <c r="D8578" s="8">
        <v>92</v>
      </c>
      <c r="E8578" s="8">
        <v>0</v>
      </c>
      <c r="F8578" s="8">
        <v>0</v>
      </c>
      <c r="G8578" s="8">
        <v>4</v>
      </c>
      <c r="H8578" s="8" t="s">
        <v>17476</v>
      </c>
      <c r="I8578" s="8">
        <v>526.6875</v>
      </c>
      <c r="J8578" s="3">
        <f t="shared" ref="J8578:J8641" si="134">(H8578/86400000)+25569+(7/24)</f>
        <v>43748.105355069441</v>
      </c>
    </row>
    <row r="8579" spans="1:10" x14ac:dyDescent="0.25">
      <c r="A8579" s="5" t="s">
        <v>17477</v>
      </c>
      <c r="B8579" s="6">
        <v>393.75</v>
      </c>
      <c r="C8579" s="6">
        <v>20.478950000000001</v>
      </c>
      <c r="D8579" s="6">
        <v>94</v>
      </c>
      <c r="E8579" s="6">
        <v>0</v>
      </c>
      <c r="F8579" s="6">
        <v>0</v>
      </c>
      <c r="G8579" s="6">
        <v>9</v>
      </c>
      <c r="H8579" s="6" t="s">
        <v>17478</v>
      </c>
      <c r="I8579" s="6">
        <v>526.6875</v>
      </c>
      <c r="J8579" s="2">
        <f t="shared" si="134"/>
        <v>43748.105427175928</v>
      </c>
    </row>
    <row r="8580" spans="1:10" x14ac:dyDescent="0.25">
      <c r="A8580" s="7" t="s">
        <v>17479</v>
      </c>
      <c r="B8580" s="8">
        <v>393.75</v>
      </c>
      <c r="C8580" s="8">
        <v>20.478950000000001</v>
      </c>
      <c r="D8580" s="8">
        <v>93</v>
      </c>
      <c r="E8580" s="8">
        <v>0</v>
      </c>
      <c r="F8580" s="8">
        <v>0</v>
      </c>
      <c r="G8580" s="8">
        <v>4</v>
      </c>
      <c r="H8580" s="8" t="s">
        <v>17480</v>
      </c>
      <c r="I8580" s="8">
        <v>526.6875</v>
      </c>
      <c r="J8580" s="3">
        <f t="shared" si="134"/>
        <v>43748.105498472221</v>
      </c>
    </row>
    <row r="8581" spans="1:10" x14ac:dyDescent="0.25">
      <c r="A8581" s="5" t="s">
        <v>17481</v>
      </c>
      <c r="B8581" s="6">
        <v>393.75</v>
      </c>
      <c r="C8581" s="6">
        <v>20.426300000000001</v>
      </c>
      <c r="D8581" s="6">
        <v>92</v>
      </c>
      <c r="E8581" s="6">
        <v>0</v>
      </c>
      <c r="F8581" s="6">
        <v>0</v>
      </c>
      <c r="G8581" s="6">
        <v>11</v>
      </c>
      <c r="H8581" s="6" t="s">
        <v>17482</v>
      </c>
      <c r="I8581" s="6">
        <v>526.6875</v>
      </c>
      <c r="J8581" s="2">
        <f t="shared" si="134"/>
        <v>43748.105569780091</v>
      </c>
    </row>
    <row r="8582" spans="1:10" x14ac:dyDescent="0.25">
      <c r="A8582" s="7" t="s">
        <v>17483</v>
      </c>
      <c r="B8582" s="8">
        <v>396.875</v>
      </c>
      <c r="C8582" s="8">
        <v>20.478950000000001</v>
      </c>
      <c r="D8582" s="8">
        <v>91</v>
      </c>
      <c r="E8582" s="8">
        <v>0</v>
      </c>
      <c r="F8582" s="8">
        <v>0</v>
      </c>
      <c r="G8582" s="8">
        <v>6</v>
      </c>
      <c r="H8582" s="8" t="s">
        <v>17484</v>
      </c>
      <c r="I8582" s="8">
        <v>527.4375</v>
      </c>
      <c r="J8582" s="3">
        <f t="shared" si="134"/>
        <v>43748.10564199074</v>
      </c>
    </row>
    <row r="8583" spans="1:10" x14ac:dyDescent="0.25">
      <c r="A8583" s="5" t="s">
        <v>17485</v>
      </c>
      <c r="B8583" s="6">
        <v>396.875</v>
      </c>
      <c r="C8583" s="6">
        <v>20.478950000000001</v>
      </c>
      <c r="D8583" s="6">
        <v>91</v>
      </c>
      <c r="E8583" s="6">
        <v>0</v>
      </c>
      <c r="F8583" s="6">
        <v>0</v>
      </c>
      <c r="G8583" s="6">
        <v>3</v>
      </c>
      <c r="H8583" s="6" t="s">
        <v>17486</v>
      </c>
      <c r="I8583" s="6">
        <v>527.4375</v>
      </c>
      <c r="J8583" s="2">
        <f t="shared" si="134"/>
        <v>43748.105713344907</v>
      </c>
    </row>
    <row r="8584" spans="1:10" x14ac:dyDescent="0.25">
      <c r="A8584" s="7" t="s">
        <v>17487</v>
      </c>
      <c r="B8584" s="8">
        <v>396.875</v>
      </c>
      <c r="C8584" s="8">
        <v>20.478950000000001</v>
      </c>
      <c r="D8584" s="8">
        <v>92</v>
      </c>
      <c r="E8584" s="8">
        <v>0</v>
      </c>
      <c r="F8584" s="8">
        <v>0</v>
      </c>
      <c r="G8584" s="8">
        <v>9</v>
      </c>
      <c r="H8584" s="8" t="s">
        <v>17488</v>
      </c>
      <c r="I8584" s="8">
        <v>527.4375</v>
      </c>
      <c r="J8584" s="3">
        <f t="shared" si="134"/>
        <v>43748.105784629624</v>
      </c>
    </row>
    <row r="8585" spans="1:10" x14ac:dyDescent="0.25">
      <c r="A8585" s="5" t="s">
        <v>17489</v>
      </c>
      <c r="B8585" s="6">
        <v>400</v>
      </c>
      <c r="C8585" s="6">
        <v>20.426300000000001</v>
      </c>
      <c r="D8585" s="6">
        <v>91</v>
      </c>
      <c r="E8585" s="6">
        <v>0</v>
      </c>
      <c r="F8585" s="6">
        <v>0</v>
      </c>
      <c r="G8585" s="6">
        <v>7</v>
      </c>
      <c r="H8585" s="6" t="s">
        <v>17490</v>
      </c>
      <c r="I8585" s="6">
        <v>528.1875</v>
      </c>
      <c r="J8585" s="2">
        <f t="shared" si="134"/>
        <v>43748.105855960646</v>
      </c>
    </row>
    <row r="8586" spans="1:10" x14ac:dyDescent="0.25">
      <c r="A8586" s="7" t="s">
        <v>17491</v>
      </c>
      <c r="B8586" s="8">
        <v>425</v>
      </c>
      <c r="C8586" s="8">
        <v>20.478950000000001</v>
      </c>
      <c r="D8586" s="8">
        <v>90</v>
      </c>
      <c r="E8586" s="8">
        <v>0</v>
      </c>
      <c r="F8586" s="8">
        <v>0</v>
      </c>
      <c r="G8586" s="8">
        <v>8</v>
      </c>
      <c r="H8586" s="8" t="s">
        <v>17492</v>
      </c>
      <c r="I8586" s="8">
        <v>536.25</v>
      </c>
      <c r="J8586" s="3">
        <f t="shared" si="134"/>
        <v>43748.10592814815</v>
      </c>
    </row>
    <row r="8587" spans="1:10" x14ac:dyDescent="0.25">
      <c r="A8587" s="5" t="s">
        <v>17493</v>
      </c>
      <c r="B8587" s="6">
        <v>403.125</v>
      </c>
      <c r="C8587" s="6">
        <v>20.426300000000001</v>
      </c>
      <c r="D8587" s="6">
        <v>89</v>
      </c>
      <c r="E8587" s="6">
        <v>0</v>
      </c>
      <c r="F8587" s="6">
        <v>0</v>
      </c>
      <c r="G8587" s="6">
        <v>5</v>
      </c>
      <c r="H8587" s="6" t="s">
        <v>17494</v>
      </c>
      <c r="I8587" s="6">
        <v>529.125</v>
      </c>
      <c r="J8587" s="2">
        <f t="shared" si="134"/>
        <v>43748.105999467589</v>
      </c>
    </row>
    <row r="8588" spans="1:10" x14ac:dyDescent="0.25">
      <c r="A8588" s="7" t="s">
        <v>17495</v>
      </c>
      <c r="B8588" s="8">
        <v>403.125</v>
      </c>
      <c r="C8588" s="8">
        <v>20.426300000000001</v>
      </c>
      <c r="D8588" s="8">
        <v>90</v>
      </c>
      <c r="E8588" s="8">
        <v>0</v>
      </c>
      <c r="F8588" s="8">
        <v>0</v>
      </c>
      <c r="G8588" s="8">
        <v>5</v>
      </c>
      <c r="H8588" s="8" t="s">
        <v>17496</v>
      </c>
      <c r="I8588" s="8">
        <v>529.125</v>
      </c>
      <c r="J8588" s="3">
        <f t="shared" si="134"/>
        <v>43748.106071666662</v>
      </c>
    </row>
    <row r="8589" spans="1:10" x14ac:dyDescent="0.25">
      <c r="A8589" s="5" t="s">
        <v>17497</v>
      </c>
      <c r="B8589" s="6">
        <v>403.125</v>
      </c>
      <c r="C8589" s="6">
        <v>20.478950000000001</v>
      </c>
      <c r="D8589" s="6">
        <v>90</v>
      </c>
      <c r="E8589" s="6">
        <v>0</v>
      </c>
      <c r="F8589" s="6">
        <v>0</v>
      </c>
      <c r="G8589" s="6">
        <v>16</v>
      </c>
      <c r="H8589" s="6" t="s">
        <v>17498</v>
      </c>
      <c r="I8589" s="6">
        <v>529.125</v>
      </c>
      <c r="J8589" s="2">
        <f t="shared" si="134"/>
        <v>43748.106142037032</v>
      </c>
    </row>
    <row r="8590" spans="1:10" x14ac:dyDescent="0.25">
      <c r="A8590" s="7" t="s">
        <v>17499</v>
      </c>
      <c r="B8590" s="8">
        <v>400</v>
      </c>
      <c r="C8590" s="8">
        <v>20.478950000000001</v>
      </c>
      <c r="D8590" s="8">
        <v>90</v>
      </c>
      <c r="E8590" s="8">
        <v>0</v>
      </c>
      <c r="F8590" s="8">
        <v>0</v>
      </c>
      <c r="G8590" s="8">
        <v>15</v>
      </c>
      <c r="H8590" s="8" t="s">
        <v>17500</v>
      </c>
      <c r="I8590" s="8">
        <v>528.375</v>
      </c>
      <c r="J8590" s="3">
        <f t="shared" si="134"/>
        <v>43748.106214270832</v>
      </c>
    </row>
    <row r="8591" spans="1:10" x14ac:dyDescent="0.25">
      <c r="A8591" s="5" t="s">
        <v>17501</v>
      </c>
      <c r="B8591" s="6">
        <v>403.125</v>
      </c>
      <c r="C8591" s="6">
        <v>20.478950000000001</v>
      </c>
      <c r="D8591" s="6">
        <v>90</v>
      </c>
      <c r="E8591" s="6">
        <v>0</v>
      </c>
      <c r="F8591" s="6">
        <v>0</v>
      </c>
      <c r="G8591" s="6">
        <v>9</v>
      </c>
      <c r="H8591" s="6" t="s">
        <v>17502</v>
      </c>
      <c r="I8591" s="6">
        <v>529.125</v>
      </c>
      <c r="J8591" s="2">
        <f t="shared" si="134"/>
        <v>43748.106285555557</v>
      </c>
    </row>
    <row r="8592" spans="1:10" x14ac:dyDescent="0.25">
      <c r="A8592" s="7" t="s">
        <v>17503</v>
      </c>
      <c r="B8592" s="8">
        <v>403.125</v>
      </c>
      <c r="C8592" s="8">
        <v>20.478950000000001</v>
      </c>
      <c r="D8592" s="8">
        <v>90</v>
      </c>
      <c r="E8592" s="8">
        <v>0</v>
      </c>
      <c r="F8592" s="8">
        <v>0</v>
      </c>
      <c r="G8592" s="8">
        <v>14</v>
      </c>
      <c r="H8592" s="8" t="s">
        <v>17504</v>
      </c>
      <c r="I8592" s="8">
        <v>529.125</v>
      </c>
      <c r="J8592" s="3">
        <f t="shared" si="134"/>
        <v>43748.10635686342</v>
      </c>
    </row>
    <row r="8593" spans="1:10" x14ac:dyDescent="0.25">
      <c r="A8593" s="5" t="s">
        <v>17505</v>
      </c>
      <c r="B8593" s="6">
        <v>403.125</v>
      </c>
      <c r="C8593" s="6">
        <v>20.426300000000001</v>
      </c>
      <c r="D8593" s="6">
        <v>90</v>
      </c>
      <c r="E8593" s="6">
        <v>0</v>
      </c>
      <c r="F8593" s="6">
        <v>0</v>
      </c>
      <c r="G8593" s="6">
        <v>11</v>
      </c>
      <c r="H8593" s="6" t="s">
        <v>17506</v>
      </c>
      <c r="I8593" s="6">
        <v>529.125</v>
      </c>
      <c r="J8593" s="2">
        <f t="shared" si="134"/>
        <v>43748.106428912033</v>
      </c>
    </row>
    <row r="8594" spans="1:10" x14ac:dyDescent="0.25">
      <c r="A8594" s="7" t="s">
        <v>17507</v>
      </c>
      <c r="B8594" s="8">
        <v>400</v>
      </c>
      <c r="C8594" s="8">
        <v>20.478950000000001</v>
      </c>
      <c r="D8594" s="8">
        <v>90</v>
      </c>
      <c r="E8594" s="8">
        <v>0</v>
      </c>
      <c r="F8594" s="8">
        <v>0</v>
      </c>
      <c r="G8594" s="8">
        <v>6</v>
      </c>
      <c r="H8594" s="8" t="s">
        <v>17508</v>
      </c>
      <c r="I8594" s="8">
        <v>528.1875</v>
      </c>
      <c r="J8594" s="3">
        <f t="shared" si="134"/>
        <v>43748.106500324073</v>
      </c>
    </row>
    <row r="8595" spans="1:10" x14ac:dyDescent="0.25">
      <c r="A8595" s="5" t="s">
        <v>17509</v>
      </c>
      <c r="B8595" s="6">
        <v>396.875</v>
      </c>
      <c r="C8595" s="6">
        <v>20.478950000000001</v>
      </c>
      <c r="D8595" s="6">
        <v>90</v>
      </c>
      <c r="E8595" s="6">
        <v>0</v>
      </c>
      <c r="F8595" s="6">
        <v>0</v>
      </c>
      <c r="G8595" s="6">
        <v>16</v>
      </c>
      <c r="H8595" s="6" t="s">
        <v>17510</v>
      </c>
      <c r="I8595" s="6">
        <v>527.4375</v>
      </c>
      <c r="J8595" s="2">
        <f t="shared" si="134"/>
        <v>43748.106583715278</v>
      </c>
    </row>
    <row r="8596" spans="1:10" x14ac:dyDescent="0.25">
      <c r="A8596" s="7" t="s">
        <v>17511</v>
      </c>
      <c r="B8596" s="8">
        <v>396.875</v>
      </c>
      <c r="C8596" s="8">
        <v>20.478950000000001</v>
      </c>
      <c r="D8596" s="8">
        <v>90</v>
      </c>
      <c r="E8596" s="8">
        <v>0</v>
      </c>
      <c r="F8596" s="8">
        <v>0</v>
      </c>
      <c r="G8596" s="8">
        <v>8</v>
      </c>
      <c r="H8596" s="8" t="s">
        <v>17512</v>
      </c>
      <c r="I8596" s="8">
        <v>527.4375</v>
      </c>
      <c r="J8596" s="3">
        <f t="shared" si="134"/>
        <v>43748.106654999996</v>
      </c>
    </row>
    <row r="8597" spans="1:10" x14ac:dyDescent="0.25">
      <c r="A8597" s="5" t="s">
        <v>17513</v>
      </c>
      <c r="B8597" s="6">
        <v>393.75</v>
      </c>
      <c r="C8597" s="6">
        <v>20.478950000000001</v>
      </c>
      <c r="D8597" s="6">
        <v>88</v>
      </c>
      <c r="E8597" s="6">
        <v>0</v>
      </c>
      <c r="F8597" s="6">
        <v>0</v>
      </c>
      <c r="G8597" s="6">
        <v>9</v>
      </c>
      <c r="H8597" s="6" t="s">
        <v>17514</v>
      </c>
      <c r="I8597" s="6">
        <v>526.5</v>
      </c>
      <c r="J8597" s="2">
        <f t="shared" si="134"/>
        <v>43748.106727071754</v>
      </c>
    </row>
    <row r="8598" spans="1:10" x14ac:dyDescent="0.25">
      <c r="A8598" s="7" t="s">
        <v>17515</v>
      </c>
      <c r="B8598" s="8">
        <v>393.75</v>
      </c>
      <c r="C8598" s="8">
        <v>20.478950000000001</v>
      </c>
      <c r="D8598" s="8">
        <v>89</v>
      </c>
      <c r="E8598" s="8">
        <v>0</v>
      </c>
      <c r="F8598" s="8">
        <v>0</v>
      </c>
      <c r="G8598" s="8">
        <v>14</v>
      </c>
      <c r="H8598" s="8" t="s">
        <v>17516</v>
      </c>
      <c r="I8598" s="8">
        <v>526.6875</v>
      </c>
      <c r="J8598" s="3">
        <f t="shared" si="134"/>
        <v>43748.106798472225</v>
      </c>
    </row>
    <row r="8599" spans="1:10" x14ac:dyDescent="0.25">
      <c r="A8599" s="5" t="s">
        <v>17517</v>
      </c>
      <c r="B8599" s="6">
        <v>393.75</v>
      </c>
      <c r="C8599" s="6">
        <v>20.426300000000001</v>
      </c>
      <c r="D8599" s="6">
        <v>88</v>
      </c>
      <c r="E8599" s="6">
        <v>0</v>
      </c>
      <c r="F8599" s="6">
        <v>0</v>
      </c>
      <c r="G8599" s="6">
        <v>11</v>
      </c>
      <c r="H8599" s="6" t="s">
        <v>17518</v>
      </c>
      <c r="I8599" s="6">
        <v>526.6875</v>
      </c>
      <c r="J8599" s="2">
        <f t="shared" si="134"/>
        <v>43748.106869814808</v>
      </c>
    </row>
    <row r="8600" spans="1:10" x14ac:dyDescent="0.25">
      <c r="A8600" s="7" t="s">
        <v>17519</v>
      </c>
      <c r="B8600" s="8">
        <v>393.75</v>
      </c>
      <c r="C8600" s="8">
        <v>20.478950000000001</v>
      </c>
      <c r="D8600" s="8">
        <v>88</v>
      </c>
      <c r="E8600" s="8">
        <v>0</v>
      </c>
      <c r="F8600" s="8">
        <v>0</v>
      </c>
      <c r="G8600" s="8">
        <v>5</v>
      </c>
      <c r="H8600" s="8" t="s">
        <v>17520</v>
      </c>
      <c r="I8600" s="8">
        <v>526.6875</v>
      </c>
      <c r="J8600" s="3">
        <f t="shared" si="134"/>
        <v>43748.106941122685</v>
      </c>
    </row>
    <row r="8601" spans="1:10" x14ac:dyDescent="0.25">
      <c r="A8601" s="5" t="s">
        <v>17521</v>
      </c>
      <c r="B8601" s="6">
        <v>393.75</v>
      </c>
      <c r="C8601" s="6">
        <v>20.478950000000001</v>
      </c>
      <c r="D8601" s="6">
        <v>88</v>
      </c>
      <c r="E8601" s="6">
        <v>0</v>
      </c>
      <c r="F8601" s="6">
        <v>0</v>
      </c>
      <c r="G8601" s="6">
        <v>4</v>
      </c>
      <c r="H8601" s="6" t="s">
        <v>17522</v>
      </c>
      <c r="I8601" s="6">
        <v>526.6875</v>
      </c>
      <c r="J8601" s="2">
        <f t="shared" si="134"/>
        <v>43748.10701328703</v>
      </c>
    </row>
    <row r="8602" spans="1:10" x14ac:dyDescent="0.25">
      <c r="A8602" s="7" t="s">
        <v>17523</v>
      </c>
      <c r="B8602" s="8">
        <v>393.75</v>
      </c>
      <c r="C8602" s="8">
        <v>20.478950000000001</v>
      </c>
      <c r="D8602" s="8">
        <v>94</v>
      </c>
      <c r="E8602" s="8">
        <v>0</v>
      </c>
      <c r="F8602" s="8">
        <v>0</v>
      </c>
      <c r="G8602" s="8">
        <v>14</v>
      </c>
      <c r="H8602" s="8" t="s">
        <v>17524</v>
      </c>
      <c r="I8602" s="8">
        <v>526.6875</v>
      </c>
      <c r="J8602" s="3">
        <f t="shared" si="134"/>
        <v>43748.10709672454</v>
      </c>
    </row>
    <row r="8603" spans="1:10" x14ac:dyDescent="0.25">
      <c r="A8603" s="5" t="s">
        <v>17525</v>
      </c>
      <c r="B8603" s="6">
        <v>393.75</v>
      </c>
      <c r="C8603" s="6">
        <v>20.426300000000001</v>
      </c>
      <c r="D8603" s="6">
        <v>94</v>
      </c>
      <c r="E8603" s="6">
        <v>0</v>
      </c>
      <c r="F8603" s="6">
        <v>0</v>
      </c>
      <c r="G8603" s="6">
        <v>13</v>
      </c>
      <c r="H8603" s="6" t="s">
        <v>17526</v>
      </c>
      <c r="I8603" s="6">
        <v>526.6875</v>
      </c>
      <c r="J8603" s="2">
        <f t="shared" si="134"/>
        <v>43748.107167986112</v>
      </c>
    </row>
    <row r="8604" spans="1:10" x14ac:dyDescent="0.25">
      <c r="A8604" s="7" t="s">
        <v>17527</v>
      </c>
      <c r="B8604" s="8">
        <v>393.75</v>
      </c>
      <c r="C8604" s="8">
        <v>20.478950000000001</v>
      </c>
      <c r="D8604" s="8">
        <v>94</v>
      </c>
      <c r="E8604" s="8">
        <v>0</v>
      </c>
      <c r="F8604" s="8">
        <v>0</v>
      </c>
      <c r="G8604" s="8">
        <v>9</v>
      </c>
      <c r="H8604" s="8" t="s">
        <v>17528</v>
      </c>
      <c r="I8604" s="8">
        <v>526.6875</v>
      </c>
      <c r="J8604" s="3">
        <f t="shared" si="134"/>
        <v>43748.107251307869</v>
      </c>
    </row>
    <row r="8605" spans="1:10" x14ac:dyDescent="0.25">
      <c r="A8605" s="5" t="s">
        <v>17529</v>
      </c>
      <c r="B8605" s="6">
        <v>434.375</v>
      </c>
      <c r="C8605" s="6">
        <v>20.478950000000001</v>
      </c>
      <c r="D8605" s="6">
        <v>94</v>
      </c>
      <c r="E8605" s="6">
        <v>0</v>
      </c>
      <c r="F8605" s="6">
        <v>0</v>
      </c>
      <c r="G8605" s="6">
        <v>7</v>
      </c>
      <c r="H8605" s="6" t="s">
        <v>17530</v>
      </c>
      <c r="I8605" s="6">
        <v>539.4375</v>
      </c>
      <c r="J8605" s="2">
        <f t="shared" si="134"/>
        <v>43748.107323368058</v>
      </c>
    </row>
    <row r="8606" spans="1:10" x14ac:dyDescent="0.25">
      <c r="A8606" s="7" t="s">
        <v>17531</v>
      </c>
      <c r="B8606" s="8">
        <v>393.75</v>
      </c>
      <c r="C8606" s="8">
        <v>20.478950000000001</v>
      </c>
      <c r="D8606" s="8">
        <v>92</v>
      </c>
      <c r="E8606" s="8">
        <v>0</v>
      </c>
      <c r="F8606" s="8">
        <v>0</v>
      </c>
      <c r="G8606" s="8">
        <v>8</v>
      </c>
      <c r="H8606" s="8" t="s">
        <v>17532</v>
      </c>
      <c r="I8606" s="8">
        <v>526.6875</v>
      </c>
      <c r="J8606" s="3">
        <f t="shared" si="134"/>
        <v>43748.107394768514</v>
      </c>
    </row>
    <row r="8607" spans="1:10" x14ac:dyDescent="0.25">
      <c r="A8607" s="5" t="s">
        <v>17533</v>
      </c>
      <c r="B8607" s="6">
        <v>393.75</v>
      </c>
      <c r="C8607" s="6">
        <v>20.478950000000001</v>
      </c>
      <c r="D8607" s="6">
        <v>89</v>
      </c>
      <c r="E8607" s="6">
        <v>0</v>
      </c>
      <c r="F8607" s="6">
        <v>0</v>
      </c>
      <c r="G8607" s="6">
        <v>2</v>
      </c>
      <c r="H8607" s="6" t="s">
        <v>17534</v>
      </c>
      <c r="I8607" s="6">
        <v>526.6875</v>
      </c>
      <c r="J8607" s="2">
        <f t="shared" si="134"/>
        <v>43748.107490196759</v>
      </c>
    </row>
    <row r="8608" spans="1:10" x14ac:dyDescent="0.25">
      <c r="A8608" s="7" t="s">
        <v>17535</v>
      </c>
      <c r="B8608" s="8">
        <v>393.75</v>
      </c>
      <c r="C8608" s="8">
        <v>20.478950000000001</v>
      </c>
      <c r="D8608" s="8">
        <v>87</v>
      </c>
      <c r="E8608" s="8">
        <v>0</v>
      </c>
      <c r="F8608" s="8">
        <v>0</v>
      </c>
      <c r="G8608" s="8">
        <v>4</v>
      </c>
      <c r="H8608" s="8" t="s">
        <v>17536</v>
      </c>
      <c r="I8608" s="8">
        <v>526.6875</v>
      </c>
      <c r="J8608" s="3">
        <f t="shared" si="134"/>
        <v>43748.107561516204</v>
      </c>
    </row>
    <row r="8609" spans="1:10" x14ac:dyDescent="0.25">
      <c r="A8609" s="5" t="s">
        <v>17537</v>
      </c>
      <c r="B8609" s="6">
        <v>393.75</v>
      </c>
      <c r="C8609" s="6">
        <v>20.478950000000001</v>
      </c>
      <c r="D8609" s="6">
        <v>87</v>
      </c>
      <c r="E8609" s="6">
        <v>0</v>
      </c>
      <c r="F8609" s="6">
        <v>0</v>
      </c>
      <c r="G8609" s="6">
        <v>1</v>
      </c>
      <c r="H8609" s="6" t="s">
        <v>17538</v>
      </c>
      <c r="I8609" s="6">
        <v>526.6875</v>
      </c>
      <c r="J8609" s="2">
        <f t="shared" si="134"/>
        <v>43748.107648206016</v>
      </c>
    </row>
    <row r="8610" spans="1:10" x14ac:dyDescent="0.25">
      <c r="A8610" s="7" t="s">
        <v>17539</v>
      </c>
      <c r="B8610" s="8">
        <v>393.75</v>
      </c>
      <c r="C8610" s="8">
        <v>20.478950000000001</v>
      </c>
      <c r="D8610" s="8">
        <v>87</v>
      </c>
      <c r="E8610" s="8">
        <v>0</v>
      </c>
      <c r="F8610" s="8">
        <v>0</v>
      </c>
      <c r="G8610" s="8">
        <v>9</v>
      </c>
      <c r="H8610" s="8" t="s">
        <v>17540</v>
      </c>
      <c r="I8610" s="8">
        <v>526.6875</v>
      </c>
      <c r="J8610" s="3">
        <f t="shared" si="134"/>
        <v>43748.107728171293</v>
      </c>
    </row>
    <row r="8611" spans="1:10" x14ac:dyDescent="0.25">
      <c r="A8611" s="5" t="s">
        <v>17541</v>
      </c>
      <c r="B8611" s="6">
        <v>393.75</v>
      </c>
      <c r="C8611" s="6">
        <v>20.478950000000001</v>
      </c>
      <c r="D8611" s="6">
        <v>87</v>
      </c>
      <c r="E8611" s="6">
        <v>0</v>
      </c>
      <c r="F8611" s="6">
        <v>0</v>
      </c>
      <c r="G8611" s="6">
        <v>11</v>
      </c>
      <c r="H8611" s="6" t="s">
        <v>17542</v>
      </c>
      <c r="I8611" s="6">
        <v>526.6875</v>
      </c>
      <c r="J8611" s="2">
        <f t="shared" si="134"/>
        <v>43748.107800381942</v>
      </c>
    </row>
    <row r="8612" spans="1:10" x14ac:dyDescent="0.25">
      <c r="A8612" s="7" t="s">
        <v>17543</v>
      </c>
      <c r="B8612" s="8">
        <v>393.75</v>
      </c>
      <c r="C8612" s="8">
        <v>20.478950000000001</v>
      </c>
      <c r="D8612" s="8">
        <v>89</v>
      </c>
      <c r="E8612" s="8">
        <v>0</v>
      </c>
      <c r="F8612" s="8">
        <v>0</v>
      </c>
      <c r="G8612" s="8">
        <v>8</v>
      </c>
      <c r="H8612" s="8" t="s">
        <v>17544</v>
      </c>
      <c r="I8612" s="8">
        <v>526.5</v>
      </c>
      <c r="J8612" s="3">
        <f t="shared" si="134"/>
        <v>43748.107871712964</v>
      </c>
    </row>
    <row r="8613" spans="1:10" x14ac:dyDescent="0.25">
      <c r="A8613" s="5" t="s">
        <v>17545</v>
      </c>
      <c r="B8613" s="6">
        <v>393.75</v>
      </c>
      <c r="C8613" s="6">
        <v>20.478950000000001</v>
      </c>
      <c r="D8613" s="6">
        <v>91</v>
      </c>
      <c r="E8613" s="6">
        <v>0</v>
      </c>
      <c r="F8613" s="6">
        <v>0</v>
      </c>
      <c r="G8613" s="6">
        <v>5</v>
      </c>
      <c r="H8613" s="6" t="s">
        <v>17546</v>
      </c>
      <c r="I8613" s="6">
        <v>526.5</v>
      </c>
      <c r="J8613" s="2">
        <f t="shared" si="134"/>
        <v>43748.107967060183</v>
      </c>
    </row>
    <row r="8614" spans="1:10" x14ac:dyDescent="0.25">
      <c r="A8614" s="7" t="s">
        <v>17547</v>
      </c>
      <c r="B8614" s="8">
        <v>393.75</v>
      </c>
      <c r="C8614" s="8">
        <v>20.478950000000001</v>
      </c>
      <c r="D8614" s="8">
        <v>91</v>
      </c>
      <c r="E8614" s="8">
        <v>0</v>
      </c>
      <c r="F8614" s="8">
        <v>0</v>
      </c>
      <c r="G8614" s="8">
        <v>6</v>
      </c>
      <c r="H8614" s="8" t="s">
        <v>17548</v>
      </c>
      <c r="I8614" s="8">
        <v>526.6875</v>
      </c>
      <c r="J8614" s="3">
        <f t="shared" si="134"/>
        <v>43748.108039108796</v>
      </c>
    </row>
    <row r="8615" spans="1:10" x14ac:dyDescent="0.25">
      <c r="A8615" s="5" t="s">
        <v>17549</v>
      </c>
      <c r="B8615" s="6">
        <v>393.75</v>
      </c>
      <c r="C8615" s="6">
        <v>20.426300000000001</v>
      </c>
      <c r="D8615" s="6">
        <v>91</v>
      </c>
      <c r="E8615" s="6">
        <v>0</v>
      </c>
      <c r="F8615" s="6">
        <v>0</v>
      </c>
      <c r="G8615" s="6">
        <v>19</v>
      </c>
      <c r="H8615" s="6" t="s">
        <v>17550</v>
      </c>
      <c r="I8615" s="6">
        <v>526.5</v>
      </c>
      <c r="J8615" s="2">
        <f t="shared" si="134"/>
        <v>43748.108109641202</v>
      </c>
    </row>
    <row r="8616" spans="1:10" x14ac:dyDescent="0.25">
      <c r="A8616" s="7" t="s">
        <v>17551</v>
      </c>
      <c r="B8616" s="8">
        <v>393.75</v>
      </c>
      <c r="C8616" s="8">
        <v>20.478950000000001</v>
      </c>
      <c r="D8616" s="8">
        <v>91</v>
      </c>
      <c r="E8616" s="8">
        <v>0</v>
      </c>
      <c r="F8616" s="8">
        <v>0</v>
      </c>
      <c r="G8616" s="8">
        <v>6</v>
      </c>
      <c r="H8616" s="8" t="s">
        <v>17552</v>
      </c>
      <c r="I8616" s="8">
        <v>526.6875</v>
      </c>
      <c r="J8616" s="3">
        <f t="shared" si="134"/>
        <v>43748.10818181713</v>
      </c>
    </row>
    <row r="8617" spans="1:10" x14ac:dyDescent="0.25">
      <c r="A8617" s="5" t="s">
        <v>17553</v>
      </c>
      <c r="B8617" s="6">
        <v>400</v>
      </c>
      <c r="C8617" s="6">
        <v>20.478950000000001</v>
      </c>
      <c r="D8617" s="6">
        <v>90</v>
      </c>
      <c r="E8617" s="6">
        <v>0</v>
      </c>
      <c r="F8617" s="6">
        <v>0</v>
      </c>
      <c r="G8617" s="6">
        <v>11</v>
      </c>
      <c r="H8617" s="6" t="s">
        <v>17554</v>
      </c>
      <c r="I8617" s="6">
        <v>528.75</v>
      </c>
      <c r="J8617" s="2">
        <f t="shared" si="134"/>
        <v>43748.108253182865</v>
      </c>
    </row>
    <row r="8618" spans="1:10" x14ac:dyDescent="0.25">
      <c r="A8618" s="7" t="s">
        <v>17555</v>
      </c>
      <c r="B8618" s="8">
        <v>393.75</v>
      </c>
      <c r="C8618" s="8">
        <v>20.478950000000001</v>
      </c>
      <c r="D8618" s="8">
        <v>91</v>
      </c>
      <c r="E8618" s="8">
        <v>0</v>
      </c>
      <c r="F8618" s="8">
        <v>0</v>
      </c>
      <c r="G8618" s="8">
        <v>10</v>
      </c>
      <c r="H8618" s="8" t="s">
        <v>17556</v>
      </c>
      <c r="I8618" s="8">
        <v>526.6875</v>
      </c>
      <c r="J8618" s="3">
        <f t="shared" si="134"/>
        <v>43748.10832446759</v>
      </c>
    </row>
    <row r="8619" spans="1:10" x14ac:dyDescent="0.25">
      <c r="A8619" s="5" t="s">
        <v>17557</v>
      </c>
      <c r="B8619" s="6">
        <v>393.75</v>
      </c>
      <c r="C8619" s="6">
        <v>20.478950000000001</v>
      </c>
      <c r="D8619" s="6">
        <v>91</v>
      </c>
      <c r="E8619" s="6">
        <v>0</v>
      </c>
      <c r="F8619" s="6">
        <v>0</v>
      </c>
      <c r="G8619" s="6">
        <v>5</v>
      </c>
      <c r="H8619" s="6" t="s">
        <v>17558</v>
      </c>
      <c r="I8619" s="6">
        <v>526.5</v>
      </c>
      <c r="J8619" s="2">
        <f t="shared" si="134"/>
        <v>43748.108396620366</v>
      </c>
    </row>
    <row r="8620" spans="1:10" x14ac:dyDescent="0.25">
      <c r="A8620" s="7" t="s">
        <v>17559</v>
      </c>
      <c r="B8620" s="8">
        <v>393.75</v>
      </c>
      <c r="C8620" s="8">
        <v>20.478950000000001</v>
      </c>
      <c r="D8620" s="8">
        <v>89</v>
      </c>
      <c r="E8620" s="8">
        <v>0</v>
      </c>
      <c r="F8620" s="8">
        <v>0</v>
      </c>
      <c r="G8620" s="8">
        <v>4</v>
      </c>
      <c r="H8620" s="8" t="s">
        <v>17560</v>
      </c>
      <c r="I8620" s="8">
        <v>526.6875</v>
      </c>
      <c r="J8620" s="3">
        <f t="shared" si="134"/>
        <v>43748.108480069444</v>
      </c>
    </row>
    <row r="8621" spans="1:10" x14ac:dyDescent="0.25">
      <c r="A8621" s="5" t="s">
        <v>17561</v>
      </c>
      <c r="B8621" s="6">
        <v>393.75</v>
      </c>
      <c r="C8621" s="6">
        <v>20.426300000000001</v>
      </c>
      <c r="D8621" s="6">
        <v>90</v>
      </c>
      <c r="E8621" s="6">
        <v>0</v>
      </c>
      <c r="F8621" s="6">
        <v>0</v>
      </c>
      <c r="G8621" s="6">
        <v>1</v>
      </c>
      <c r="H8621" s="6" t="s">
        <v>17562</v>
      </c>
      <c r="I8621" s="6">
        <v>526.6875</v>
      </c>
      <c r="J8621" s="2">
        <f t="shared" si="134"/>
        <v>43748.108551307865</v>
      </c>
    </row>
    <row r="8622" spans="1:10" x14ac:dyDescent="0.25">
      <c r="A8622" s="7" t="s">
        <v>17563</v>
      </c>
      <c r="B8622" s="8">
        <v>393.75</v>
      </c>
      <c r="C8622" s="8">
        <v>20.426300000000001</v>
      </c>
      <c r="D8622" s="8">
        <v>90</v>
      </c>
      <c r="E8622" s="8">
        <v>0</v>
      </c>
      <c r="F8622" s="8">
        <v>0</v>
      </c>
      <c r="G8622" s="8">
        <v>0</v>
      </c>
      <c r="H8622" s="8" t="s">
        <v>17564</v>
      </c>
      <c r="I8622" s="8">
        <v>526.6875</v>
      </c>
      <c r="J8622" s="3">
        <f t="shared" si="134"/>
        <v>43748.108622615742</v>
      </c>
    </row>
    <row r="8623" spans="1:10" x14ac:dyDescent="0.25">
      <c r="A8623" s="5" t="s">
        <v>17565</v>
      </c>
      <c r="B8623" s="6">
        <v>393.75</v>
      </c>
      <c r="C8623" s="6">
        <v>20.478950000000001</v>
      </c>
      <c r="D8623" s="6">
        <v>90</v>
      </c>
      <c r="E8623" s="6">
        <v>0</v>
      </c>
      <c r="F8623" s="6">
        <v>0</v>
      </c>
      <c r="G8623" s="6">
        <v>9</v>
      </c>
      <c r="H8623" s="6" t="s">
        <v>17566</v>
      </c>
      <c r="I8623" s="6">
        <v>526.5</v>
      </c>
      <c r="J8623" s="2">
        <f t="shared" si="134"/>
        <v>43748.108693854163</v>
      </c>
    </row>
    <row r="8624" spans="1:10" x14ac:dyDescent="0.25">
      <c r="A8624" s="7" t="s">
        <v>17567</v>
      </c>
      <c r="B8624" s="8">
        <v>393.75</v>
      </c>
      <c r="C8624" s="8">
        <v>20.478950000000001</v>
      </c>
      <c r="D8624" s="8">
        <v>91</v>
      </c>
      <c r="E8624" s="8">
        <v>0</v>
      </c>
      <c r="F8624" s="8">
        <v>0</v>
      </c>
      <c r="G8624" s="8">
        <v>5</v>
      </c>
      <c r="H8624" s="8" t="s">
        <v>17568</v>
      </c>
      <c r="I8624" s="8">
        <v>526.6875</v>
      </c>
      <c r="J8624" s="3">
        <f t="shared" si="134"/>
        <v>43748.108766064812</v>
      </c>
    </row>
    <row r="8625" spans="1:10" x14ac:dyDescent="0.25">
      <c r="A8625" s="5" t="s">
        <v>17569</v>
      </c>
      <c r="B8625" s="6">
        <v>412.5</v>
      </c>
      <c r="C8625" s="6">
        <v>20.478950000000001</v>
      </c>
      <c r="D8625" s="6">
        <v>91</v>
      </c>
      <c r="E8625" s="6">
        <v>0</v>
      </c>
      <c r="F8625" s="6">
        <v>0</v>
      </c>
      <c r="G8625" s="6">
        <v>0</v>
      </c>
      <c r="H8625" s="6" t="s">
        <v>17570</v>
      </c>
      <c r="I8625" s="6">
        <v>532.3125</v>
      </c>
      <c r="J8625" s="2">
        <f t="shared" si="134"/>
        <v>43748.108849456017</v>
      </c>
    </row>
    <row r="8626" spans="1:10" x14ac:dyDescent="0.25">
      <c r="A8626" s="7" t="s">
        <v>17571</v>
      </c>
      <c r="B8626" s="8">
        <v>393.75</v>
      </c>
      <c r="C8626" s="8">
        <v>20.478950000000001</v>
      </c>
      <c r="D8626" s="8">
        <v>91</v>
      </c>
      <c r="E8626" s="8">
        <v>0</v>
      </c>
      <c r="F8626" s="8">
        <v>0</v>
      </c>
      <c r="G8626" s="8">
        <v>5</v>
      </c>
      <c r="H8626" s="8" t="s">
        <v>17572</v>
      </c>
      <c r="I8626" s="8">
        <v>526.6875</v>
      </c>
      <c r="J8626" s="3">
        <f t="shared" si="134"/>
        <v>43748.108920752311</v>
      </c>
    </row>
    <row r="8627" spans="1:10" x14ac:dyDescent="0.25">
      <c r="A8627" s="5" t="s">
        <v>17573</v>
      </c>
      <c r="B8627" s="6">
        <v>393.75</v>
      </c>
      <c r="C8627" s="6">
        <v>20.478950000000001</v>
      </c>
      <c r="D8627" s="6">
        <v>92</v>
      </c>
      <c r="E8627" s="6">
        <v>0</v>
      </c>
      <c r="F8627" s="6">
        <v>0</v>
      </c>
      <c r="G8627" s="6">
        <v>3</v>
      </c>
      <c r="H8627" s="6" t="s">
        <v>17574</v>
      </c>
      <c r="I8627" s="6">
        <v>526.6875</v>
      </c>
      <c r="J8627" s="2">
        <f t="shared" si="134"/>
        <v>43748.108992986112</v>
      </c>
    </row>
    <row r="8628" spans="1:10" x14ac:dyDescent="0.25">
      <c r="A8628" s="7" t="s">
        <v>17575</v>
      </c>
      <c r="B8628" s="8">
        <v>393.75</v>
      </c>
      <c r="C8628" s="8">
        <v>20.478950000000001</v>
      </c>
      <c r="D8628" s="8">
        <v>93</v>
      </c>
      <c r="E8628" s="8">
        <v>0</v>
      </c>
      <c r="F8628" s="8">
        <v>0</v>
      </c>
      <c r="G8628" s="8">
        <v>10</v>
      </c>
      <c r="H8628" s="8" t="s">
        <v>17576</v>
      </c>
      <c r="I8628" s="8">
        <v>526.6875</v>
      </c>
      <c r="J8628" s="3">
        <f t="shared" si="134"/>
        <v>43748.109064293974</v>
      </c>
    </row>
    <row r="8629" spans="1:10" x14ac:dyDescent="0.25">
      <c r="A8629" s="5" t="s">
        <v>17577</v>
      </c>
      <c r="B8629" s="6">
        <v>393.75</v>
      </c>
      <c r="C8629" s="6">
        <v>20.426300000000001</v>
      </c>
      <c r="D8629" s="6">
        <v>92</v>
      </c>
      <c r="E8629" s="6">
        <v>0</v>
      </c>
      <c r="F8629" s="6">
        <v>0</v>
      </c>
      <c r="G8629" s="6">
        <v>1</v>
      </c>
      <c r="H8629" s="6" t="s">
        <v>17578</v>
      </c>
      <c r="I8629" s="6">
        <v>526.5</v>
      </c>
      <c r="J8629" s="2">
        <f t="shared" si="134"/>
        <v>43748.109135567131</v>
      </c>
    </row>
    <row r="8630" spans="1:10" x14ac:dyDescent="0.25">
      <c r="A8630" s="7" t="s">
        <v>17579</v>
      </c>
      <c r="B8630" s="8">
        <v>393.75</v>
      </c>
      <c r="C8630" s="8">
        <v>20.478950000000001</v>
      </c>
      <c r="D8630" s="8">
        <v>91</v>
      </c>
      <c r="E8630" s="8">
        <v>0</v>
      </c>
      <c r="F8630" s="8">
        <v>0</v>
      </c>
      <c r="G8630" s="8">
        <v>11</v>
      </c>
      <c r="H8630" s="8" t="s">
        <v>17580</v>
      </c>
      <c r="I8630" s="8">
        <v>526.5</v>
      </c>
      <c r="J8630" s="3">
        <f t="shared" si="134"/>
        <v>43748.109218923608</v>
      </c>
    </row>
    <row r="8631" spans="1:10" x14ac:dyDescent="0.25">
      <c r="A8631" s="5" t="s">
        <v>17581</v>
      </c>
      <c r="B8631" s="6">
        <v>393.75</v>
      </c>
      <c r="C8631" s="6">
        <v>20.478950000000001</v>
      </c>
      <c r="D8631" s="6">
        <v>90</v>
      </c>
      <c r="E8631" s="6">
        <v>0</v>
      </c>
      <c r="F8631" s="6">
        <v>0</v>
      </c>
      <c r="G8631" s="6">
        <v>9</v>
      </c>
      <c r="H8631" s="6" t="s">
        <v>17582</v>
      </c>
      <c r="I8631" s="6">
        <v>526.6875</v>
      </c>
      <c r="J8631" s="2">
        <f t="shared" si="134"/>
        <v>43748.109302291668</v>
      </c>
    </row>
    <row r="8632" spans="1:10" x14ac:dyDescent="0.25">
      <c r="A8632" s="7" t="s">
        <v>17583</v>
      </c>
      <c r="B8632" s="8">
        <v>393.75</v>
      </c>
      <c r="C8632" s="8">
        <v>20.478950000000001</v>
      </c>
      <c r="D8632" s="8">
        <v>90</v>
      </c>
      <c r="E8632" s="8">
        <v>0</v>
      </c>
      <c r="F8632" s="8">
        <v>0</v>
      </c>
      <c r="G8632" s="8">
        <v>7</v>
      </c>
      <c r="H8632" s="8" t="s">
        <v>17584</v>
      </c>
      <c r="I8632" s="8">
        <v>526.6875</v>
      </c>
      <c r="J8632" s="3">
        <f t="shared" si="134"/>
        <v>43748.109373587962</v>
      </c>
    </row>
    <row r="8633" spans="1:10" x14ac:dyDescent="0.25">
      <c r="A8633" s="5" t="s">
        <v>17585</v>
      </c>
      <c r="B8633" s="6">
        <v>393.75</v>
      </c>
      <c r="C8633" s="6">
        <v>20.426300000000001</v>
      </c>
      <c r="D8633" s="6">
        <v>90</v>
      </c>
      <c r="E8633" s="6">
        <v>0</v>
      </c>
      <c r="F8633" s="6">
        <v>0</v>
      </c>
      <c r="G8633" s="6">
        <v>10</v>
      </c>
      <c r="H8633" s="6" t="s">
        <v>17586</v>
      </c>
      <c r="I8633" s="6">
        <v>526.6875</v>
      </c>
      <c r="J8633" s="2">
        <f t="shared" si="134"/>
        <v>43748.109445752314</v>
      </c>
    </row>
    <row r="8634" spans="1:10" x14ac:dyDescent="0.25">
      <c r="A8634" s="7" t="s">
        <v>17587</v>
      </c>
      <c r="B8634" s="8">
        <v>393.75</v>
      </c>
      <c r="C8634" s="8">
        <v>20.426300000000001</v>
      </c>
      <c r="D8634" s="8">
        <v>90</v>
      </c>
      <c r="E8634" s="8">
        <v>0</v>
      </c>
      <c r="F8634" s="8">
        <v>0</v>
      </c>
      <c r="G8634" s="8">
        <v>0</v>
      </c>
      <c r="H8634" s="8" t="s">
        <v>17588</v>
      </c>
      <c r="I8634" s="8">
        <v>526.6875</v>
      </c>
      <c r="J8634" s="3">
        <f t="shared" si="134"/>
        <v>43748.109523773142</v>
      </c>
    </row>
    <row r="8635" spans="1:10" x14ac:dyDescent="0.25">
      <c r="A8635" s="5" t="s">
        <v>17589</v>
      </c>
      <c r="B8635" s="6">
        <v>412.5</v>
      </c>
      <c r="C8635" s="6">
        <v>20.478950000000001</v>
      </c>
      <c r="D8635" s="6">
        <v>90</v>
      </c>
      <c r="E8635" s="6">
        <v>0</v>
      </c>
      <c r="F8635" s="6">
        <v>0</v>
      </c>
      <c r="G8635" s="6">
        <v>9</v>
      </c>
      <c r="H8635" s="6" t="s">
        <v>17590</v>
      </c>
      <c r="I8635" s="6">
        <v>532.5</v>
      </c>
      <c r="J8635" s="2">
        <f t="shared" si="134"/>
        <v>43748.10960038194</v>
      </c>
    </row>
    <row r="8636" spans="1:10" x14ac:dyDescent="0.25">
      <c r="A8636" s="7" t="s">
        <v>17591</v>
      </c>
      <c r="B8636" s="8">
        <v>390.625</v>
      </c>
      <c r="C8636" s="8">
        <v>20.478950000000001</v>
      </c>
      <c r="D8636" s="8">
        <v>90</v>
      </c>
      <c r="E8636" s="8">
        <v>0</v>
      </c>
      <c r="F8636" s="8">
        <v>0</v>
      </c>
      <c r="G8636" s="8">
        <v>10</v>
      </c>
      <c r="H8636" s="8" t="s">
        <v>17592</v>
      </c>
      <c r="I8636" s="8">
        <v>525.9375</v>
      </c>
      <c r="J8636" s="3">
        <f t="shared" si="134"/>
        <v>43748.109684652773</v>
      </c>
    </row>
    <row r="8637" spans="1:10" x14ac:dyDescent="0.25">
      <c r="A8637" s="5" t="s">
        <v>17593</v>
      </c>
      <c r="B8637" s="6">
        <v>393.75</v>
      </c>
      <c r="C8637" s="6">
        <v>20.478950000000001</v>
      </c>
      <c r="D8637" s="6">
        <v>90</v>
      </c>
      <c r="E8637" s="6">
        <v>0</v>
      </c>
      <c r="F8637" s="6">
        <v>0</v>
      </c>
      <c r="G8637" s="6">
        <v>9</v>
      </c>
      <c r="H8637" s="6" t="s">
        <v>17594</v>
      </c>
      <c r="I8637" s="6">
        <v>526.6875</v>
      </c>
      <c r="J8637" s="2">
        <f t="shared" si="134"/>
        <v>43748.109755949066</v>
      </c>
    </row>
    <row r="8638" spans="1:10" x14ac:dyDescent="0.25">
      <c r="A8638" s="7" t="s">
        <v>17595</v>
      </c>
      <c r="B8638" s="8">
        <v>409.375</v>
      </c>
      <c r="C8638" s="8">
        <v>20.478950000000001</v>
      </c>
      <c r="D8638" s="8">
        <v>91</v>
      </c>
      <c r="E8638" s="8">
        <v>0</v>
      </c>
      <c r="F8638" s="8">
        <v>0</v>
      </c>
      <c r="G8638" s="8">
        <v>7</v>
      </c>
      <c r="H8638" s="8" t="s">
        <v>17596</v>
      </c>
      <c r="I8638" s="8">
        <v>531.375</v>
      </c>
      <c r="J8638" s="3">
        <f t="shared" si="134"/>
        <v>43748.109843298611</v>
      </c>
    </row>
    <row r="8639" spans="1:10" x14ac:dyDescent="0.25">
      <c r="A8639" s="5" t="s">
        <v>17597</v>
      </c>
      <c r="B8639" s="6">
        <v>393.75</v>
      </c>
      <c r="C8639" s="6">
        <v>20.478950000000001</v>
      </c>
      <c r="D8639" s="6">
        <v>91</v>
      </c>
      <c r="E8639" s="6">
        <v>0</v>
      </c>
      <c r="F8639" s="6">
        <v>0</v>
      </c>
      <c r="G8639" s="6">
        <v>2</v>
      </c>
      <c r="H8639" s="6" t="s">
        <v>17598</v>
      </c>
      <c r="I8639" s="6">
        <v>526.6875</v>
      </c>
      <c r="J8639" s="2">
        <f t="shared" si="134"/>
        <v>43748.109922604162</v>
      </c>
    </row>
    <row r="8640" spans="1:10" x14ac:dyDescent="0.25">
      <c r="A8640" s="7" t="s">
        <v>17599</v>
      </c>
      <c r="B8640" s="8">
        <v>393.75</v>
      </c>
      <c r="C8640" s="8">
        <v>20.478950000000001</v>
      </c>
      <c r="D8640" s="8">
        <v>92</v>
      </c>
      <c r="E8640" s="8">
        <v>0</v>
      </c>
      <c r="F8640" s="8">
        <v>0</v>
      </c>
      <c r="G8640" s="8">
        <v>21</v>
      </c>
      <c r="H8640" s="8" t="s">
        <v>17600</v>
      </c>
      <c r="I8640" s="8">
        <v>526.6875</v>
      </c>
      <c r="J8640" s="3">
        <f t="shared" si="134"/>
        <v>43748.11000572917</v>
      </c>
    </row>
    <row r="8641" spans="1:10" x14ac:dyDescent="0.25">
      <c r="A8641" s="5" t="s">
        <v>17601</v>
      </c>
      <c r="B8641" s="6">
        <v>393.75</v>
      </c>
      <c r="C8641" s="6">
        <v>20.478950000000001</v>
      </c>
      <c r="D8641" s="6">
        <v>92</v>
      </c>
      <c r="E8641" s="6">
        <v>0</v>
      </c>
      <c r="F8641" s="6">
        <v>0</v>
      </c>
      <c r="G8641" s="6">
        <v>8</v>
      </c>
      <c r="H8641" s="6" t="s">
        <v>17602</v>
      </c>
      <c r="I8641" s="6">
        <v>526.6875</v>
      </c>
      <c r="J8641" s="2">
        <f t="shared" si="134"/>
        <v>43748.110078182865</v>
      </c>
    </row>
    <row r="8642" spans="1:10" x14ac:dyDescent="0.25">
      <c r="A8642" s="7" t="s">
        <v>17603</v>
      </c>
      <c r="B8642" s="8">
        <v>393.75</v>
      </c>
      <c r="C8642" s="8">
        <v>20.478950000000001</v>
      </c>
      <c r="D8642" s="8">
        <v>92</v>
      </c>
      <c r="E8642" s="8">
        <v>0</v>
      </c>
      <c r="F8642" s="8">
        <v>0</v>
      </c>
      <c r="G8642" s="8">
        <v>3</v>
      </c>
      <c r="H8642" s="8" t="s">
        <v>17604</v>
      </c>
      <c r="I8642" s="8">
        <v>526.5</v>
      </c>
      <c r="J8642" s="3">
        <f t="shared" ref="J8642:J8705" si="135">(H8642/86400000)+25569+(7/24)</f>
        <v>43748.11014946759</v>
      </c>
    </row>
    <row r="8643" spans="1:10" x14ac:dyDescent="0.25">
      <c r="A8643" s="5" t="s">
        <v>17605</v>
      </c>
      <c r="B8643" s="6">
        <v>393.75</v>
      </c>
      <c r="C8643" s="6">
        <v>20.426300000000001</v>
      </c>
      <c r="D8643" s="6">
        <v>91</v>
      </c>
      <c r="E8643" s="6">
        <v>0</v>
      </c>
      <c r="F8643" s="6">
        <v>0</v>
      </c>
      <c r="G8643" s="6">
        <v>4</v>
      </c>
      <c r="H8643" s="6" t="s">
        <v>17606</v>
      </c>
      <c r="I8643" s="6">
        <v>526.5</v>
      </c>
      <c r="J8643" s="2">
        <f t="shared" si="135"/>
        <v>43748.110229710648</v>
      </c>
    </row>
    <row r="8644" spans="1:10" x14ac:dyDescent="0.25">
      <c r="A8644" s="7" t="s">
        <v>17607</v>
      </c>
      <c r="B8644" s="8">
        <v>393.75</v>
      </c>
      <c r="C8644" s="8">
        <v>20.478950000000001</v>
      </c>
      <c r="D8644" s="8">
        <v>91</v>
      </c>
      <c r="E8644" s="8">
        <v>0</v>
      </c>
      <c r="F8644" s="8">
        <v>0</v>
      </c>
      <c r="G8644" s="8">
        <v>0</v>
      </c>
      <c r="H8644" s="8" t="s">
        <v>17608</v>
      </c>
      <c r="I8644" s="8">
        <v>526.6875</v>
      </c>
      <c r="J8644" s="3">
        <f t="shared" si="135"/>
        <v>43748.110304085647</v>
      </c>
    </row>
    <row r="8645" spans="1:10" x14ac:dyDescent="0.25">
      <c r="A8645" s="5" t="s">
        <v>17609</v>
      </c>
      <c r="B8645" s="6">
        <v>393.75</v>
      </c>
      <c r="C8645" s="6">
        <v>20.478950000000001</v>
      </c>
      <c r="D8645" s="6">
        <v>89</v>
      </c>
      <c r="E8645" s="6">
        <v>0</v>
      </c>
      <c r="F8645" s="6">
        <v>0</v>
      </c>
      <c r="G8645" s="6">
        <v>3</v>
      </c>
      <c r="H8645" s="6" t="s">
        <v>17610</v>
      </c>
      <c r="I8645" s="6">
        <v>526.6875</v>
      </c>
      <c r="J8645" s="2">
        <f t="shared" si="135"/>
        <v>43748.110376145829</v>
      </c>
    </row>
    <row r="8646" spans="1:10" x14ac:dyDescent="0.25">
      <c r="A8646" s="7" t="s">
        <v>17611</v>
      </c>
      <c r="B8646" s="8">
        <v>393.75</v>
      </c>
      <c r="C8646" s="8">
        <v>20.478950000000001</v>
      </c>
      <c r="D8646" s="8">
        <v>89</v>
      </c>
      <c r="E8646" s="8">
        <v>0</v>
      </c>
      <c r="F8646" s="8">
        <v>0</v>
      </c>
      <c r="G8646" s="8">
        <v>8</v>
      </c>
      <c r="H8646" s="8" t="s">
        <v>17612</v>
      </c>
      <c r="I8646" s="8">
        <v>526.5</v>
      </c>
      <c r="J8646" s="3">
        <f t="shared" si="135"/>
        <v>43748.110447604166</v>
      </c>
    </row>
    <row r="8647" spans="1:10" x14ac:dyDescent="0.25">
      <c r="A8647" s="5" t="s">
        <v>17613</v>
      </c>
      <c r="B8647" s="6">
        <v>393.75</v>
      </c>
      <c r="C8647" s="6">
        <v>20.478950000000001</v>
      </c>
      <c r="D8647" s="6">
        <v>90</v>
      </c>
      <c r="E8647" s="6">
        <v>0</v>
      </c>
      <c r="F8647" s="6">
        <v>0</v>
      </c>
      <c r="G8647" s="6">
        <v>4</v>
      </c>
      <c r="H8647" s="6" t="s">
        <v>17614</v>
      </c>
      <c r="I8647" s="6">
        <v>526.5</v>
      </c>
      <c r="J8647" s="2">
        <f t="shared" si="135"/>
        <v>43748.110518900459</v>
      </c>
    </row>
    <row r="8648" spans="1:10" x14ac:dyDescent="0.25">
      <c r="A8648" s="7" t="s">
        <v>17615</v>
      </c>
      <c r="B8648" s="8">
        <v>393.75</v>
      </c>
      <c r="C8648" s="8">
        <v>20.478950000000001</v>
      </c>
      <c r="D8648" s="8">
        <v>90</v>
      </c>
      <c r="E8648" s="8">
        <v>0</v>
      </c>
      <c r="F8648" s="8">
        <v>0</v>
      </c>
      <c r="G8648" s="8">
        <v>6</v>
      </c>
      <c r="H8648" s="8" t="s">
        <v>17616</v>
      </c>
      <c r="I8648" s="8">
        <v>526.5</v>
      </c>
      <c r="J8648" s="3">
        <f t="shared" si="135"/>
        <v>43748.110590219905</v>
      </c>
    </row>
    <row r="8649" spans="1:10" x14ac:dyDescent="0.25">
      <c r="A8649" s="5" t="s">
        <v>17617</v>
      </c>
      <c r="B8649" s="6">
        <v>393.75</v>
      </c>
      <c r="C8649" s="6">
        <v>20.478950000000001</v>
      </c>
      <c r="D8649" s="6">
        <v>90</v>
      </c>
      <c r="E8649" s="6">
        <v>0</v>
      </c>
      <c r="F8649" s="6">
        <v>0</v>
      </c>
      <c r="G8649" s="6">
        <v>5</v>
      </c>
      <c r="H8649" s="6" t="s">
        <v>17618</v>
      </c>
      <c r="I8649" s="6">
        <v>526.5</v>
      </c>
      <c r="J8649" s="2">
        <f t="shared" si="135"/>
        <v>43748.110662372681</v>
      </c>
    </row>
    <row r="8650" spans="1:10" x14ac:dyDescent="0.25">
      <c r="A8650" s="7" t="s">
        <v>17619</v>
      </c>
      <c r="B8650" s="8">
        <v>393.75</v>
      </c>
      <c r="C8650" s="8">
        <v>20.478950000000001</v>
      </c>
      <c r="D8650" s="8">
        <v>92</v>
      </c>
      <c r="E8650" s="8">
        <v>0</v>
      </c>
      <c r="F8650" s="8">
        <v>0</v>
      </c>
      <c r="G8650" s="8">
        <v>8</v>
      </c>
      <c r="H8650" s="8" t="s">
        <v>17620</v>
      </c>
      <c r="I8650" s="8">
        <v>526.6875</v>
      </c>
      <c r="J8650" s="3">
        <f t="shared" si="135"/>
        <v>43748.110733726848</v>
      </c>
    </row>
    <row r="8651" spans="1:10" x14ac:dyDescent="0.25">
      <c r="A8651" s="5" t="s">
        <v>17621</v>
      </c>
      <c r="B8651" s="6">
        <v>393.75</v>
      </c>
      <c r="C8651" s="6">
        <v>20.478950000000001</v>
      </c>
      <c r="D8651" s="6">
        <v>93</v>
      </c>
      <c r="E8651" s="6">
        <v>0</v>
      </c>
      <c r="F8651" s="6">
        <v>0</v>
      </c>
      <c r="G8651" s="6">
        <v>4</v>
      </c>
      <c r="H8651" s="6" t="s">
        <v>17622</v>
      </c>
      <c r="I8651" s="6">
        <v>526.6875</v>
      </c>
      <c r="J8651" s="2">
        <f t="shared" si="135"/>
        <v>43748.110817071756</v>
      </c>
    </row>
    <row r="8652" spans="1:10" x14ac:dyDescent="0.25">
      <c r="A8652" s="7" t="s">
        <v>17623</v>
      </c>
      <c r="B8652" s="8">
        <v>393.75</v>
      </c>
      <c r="C8652" s="8">
        <v>20.426300000000001</v>
      </c>
      <c r="D8652" s="8">
        <v>93</v>
      </c>
      <c r="E8652" s="8">
        <v>0</v>
      </c>
      <c r="F8652" s="8">
        <v>0</v>
      </c>
      <c r="G8652" s="8">
        <v>9</v>
      </c>
      <c r="H8652" s="8" t="s">
        <v>17624</v>
      </c>
      <c r="I8652" s="8">
        <v>526.5</v>
      </c>
      <c r="J8652" s="3">
        <f t="shared" si="135"/>
        <v>43748.110900405089</v>
      </c>
    </row>
    <row r="8653" spans="1:10" x14ac:dyDescent="0.25">
      <c r="A8653" s="5" t="s">
        <v>17625</v>
      </c>
      <c r="B8653" s="6">
        <v>393.75</v>
      </c>
      <c r="C8653" s="6">
        <v>20.478950000000001</v>
      </c>
      <c r="D8653" s="6">
        <v>93</v>
      </c>
      <c r="E8653" s="6">
        <v>0</v>
      </c>
      <c r="F8653" s="6">
        <v>0</v>
      </c>
      <c r="G8653" s="6">
        <v>8</v>
      </c>
      <c r="H8653" s="6" t="s">
        <v>17626</v>
      </c>
      <c r="I8653" s="6">
        <v>526.6875</v>
      </c>
      <c r="J8653" s="2">
        <f t="shared" si="135"/>
        <v>43748.110972453702</v>
      </c>
    </row>
    <row r="8654" spans="1:10" x14ac:dyDescent="0.25">
      <c r="A8654" s="7" t="s">
        <v>17627</v>
      </c>
      <c r="B8654" s="8">
        <v>393.75</v>
      </c>
      <c r="C8654" s="8">
        <v>20.478950000000001</v>
      </c>
      <c r="D8654" s="8">
        <v>93</v>
      </c>
      <c r="E8654" s="8">
        <v>0</v>
      </c>
      <c r="F8654" s="8">
        <v>0</v>
      </c>
      <c r="G8654" s="8">
        <v>7</v>
      </c>
      <c r="H8654" s="8" t="s">
        <v>17628</v>
      </c>
      <c r="I8654" s="8">
        <v>526.5</v>
      </c>
      <c r="J8654" s="3">
        <f t="shared" si="135"/>
        <v>43748.111042997683</v>
      </c>
    </row>
    <row r="8655" spans="1:10" x14ac:dyDescent="0.25">
      <c r="A8655" s="5" t="s">
        <v>17629</v>
      </c>
      <c r="B8655" s="6">
        <v>393.75</v>
      </c>
      <c r="C8655" s="6">
        <v>20.478950000000001</v>
      </c>
      <c r="D8655" s="6">
        <v>91</v>
      </c>
      <c r="E8655" s="6">
        <v>0</v>
      </c>
      <c r="F8655" s="6">
        <v>0</v>
      </c>
      <c r="G8655" s="6">
        <v>8</v>
      </c>
      <c r="H8655" s="6" t="s">
        <v>17630</v>
      </c>
      <c r="I8655" s="6">
        <v>526.6875</v>
      </c>
      <c r="J8655" s="2">
        <f t="shared" si="135"/>
        <v>43748.111115219908</v>
      </c>
    </row>
    <row r="8656" spans="1:10" x14ac:dyDescent="0.25">
      <c r="A8656" s="7" t="s">
        <v>17631</v>
      </c>
      <c r="B8656" s="8">
        <v>393.75</v>
      </c>
      <c r="C8656" s="8">
        <v>20.426300000000001</v>
      </c>
      <c r="D8656" s="8">
        <v>91</v>
      </c>
      <c r="E8656" s="8">
        <v>0</v>
      </c>
      <c r="F8656" s="8">
        <v>0</v>
      </c>
      <c r="G8656" s="8">
        <v>6</v>
      </c>
      <c r="H8656" s="8" t="s">
        <v>17632</v>
      </c>
      <c r="I8656" s="8">
        <v>526.5</v>
      </c>
      <c r="J8656" s="3">
        <f t="shared" si="135"/>
        <v>43748.111186539354</v>
      </c>
    </row>
    <row r="8657" spans="1:10" x14ac:dyDescent="0.25">
      <c r="A8657" s="5" t="s">
        <v>17633</v>
      </c>
      <c r="B8657" s="6">
        <v>393.75</v>
      </c>
      <c r="C8657" s="6">
        <v>20.478950000000001</v>
      </c>
      <c r="D8657" s="6">
        <v>91</v>
      </c>
      <c r="E8657" s="6">
        <v>0</v>
      </c>
      <c r="F8657" s="6">
        <v>0</v>
      </c>
      <c r="G8657" s="6">
        <v>10</v>
      </c>
      <c r="H8657" s="6" t="s">
        <v>17634</v>
      </c>
      <c r="I8657" s="6">
        <v>526.6875</v>
      </c>
      <c r="J8657" s="2">
        <f t="shared" si="135"/>
        <v>43748.111258726851</v>
      </c>
    </row>
    <row r="8658" spans="1:10" x14ac:dyDescent="0.25">
      <c r="A8658" s="7" t="s">
        <v>17635</v>
      </c>
      <c r="B8658" s="8">
        <v>393.75</v>
      </c>
      <c r="C8658" s="8">
        <v>20.478950000000001</v>
      </c>
      <c r="D8658" s="8">
        <v>91</v>
      </c>
      <c r="E8658" s="8">
        <v>0</v>
      </c>
      <c r="F8658" s="8">
        <v>0</v>
      </c>
      <c r="G8658" s="8">
        <v>12</v>
      </c>
      <c r="H8658" s="8" t="s">
        <v>17636</v>
      </c>
      <c r="I8658" s="8">
        <v>526.5</v>
      </c>
      <c r="J8658" s="3">
        <f t="shared" si="135"/>
        <v>43748.111330023145</v>
      </c>
    </row>
    <row r="8659" spans="1:10" x14ac:dyDescent="0.25">
      <c r="A8659" s="5" t="s">
        <v>17637</v>
      </c>
      <c r="B8659" s="6">
        <v>393.75</v>
      </c>
      <c r="C8659" s="6">
        <v>20.426300000000001</v>
      </c>
      <c r="D8659" s="6">
        <v>90</v>
      </c>
      <c r="E8659" s="6">
        <v>0</v>
      </c>
      <c r="F8659" s="6">
        <v>0</v>
      </c>
      <c r="G8659" s="6">
        <v>4</v>
      </c>
      <c r="H8659" s="6" t="s">
        <v>17638</v>
      </c>
      <c r="I8659" s="6">
        <v>526.6875</v>
      </c>
      <c r="J8659" s="2">
        <f t="shared" si="135"/>
        <v>43748.111401331014</v>
      </c>
    </row>
    <row r="8660" spans="1:10" x14ac:dyDescent="0.25">
      <c r="A8660" s="7" t="s">
        <v>17639</v>
      </c>
      <c r="B8660" s="8">
        <v>393.75</v>
      </c>
      <c r="C8660" s="8">
        <v>20.478950000000001</v>
      </c>
      <c r="D8660" s="8">
        <v>90</v>
      </c>
      <c r="E8660" s="8">
        <v>0</v>
      </c>
      <c r="F8660" s="8">
        <v>0</v>
      </c>
      <c r="G8660" s="8">
        <v>6</v>
      </c>
      <c r="H8660" s="8" t="s">
        <v>17640</v>
      </c>
      <c r="I8660" s="8">
        <v>526.6875</v>
      </c>
      <c r="J8660" s="3">
        <f t="shared" si="135"/>
        <v>43748.111472673605</v>
      </c>
    </row>
    <row r="8661" spans="1:10" x14ac:dyDescent="0.25">
      <c r="A8661" s="5" t="s">
        <v>17641</v>
      </c>
      <c r="B8661" s="6">
        <v>393.75</v>
      </c>
      <c r="C8661" s="6">
        <v>20.426300000000001</v>
      </c>
      <c r="D8661" s="6">
        <v>90</v>
      </c>
      <c r="E8661" s="6">
        <v>0</v>
      </c>
      <c r="F8661" s="6">
        <v>0</v>
      </c>
      <c r="G8661" s="6">
        <v>5</v>
      </c>
      <c r="H8661" s="6" t="s">
        <v>17642</v>
      </c>
      <c r="I8661" s="6">
        <v>526.5</v>
      </c>
      <c r="J8661" s="2">
        <f t="shared" si="135"/>
        <v>43748.111543923609</v>
      </c>
    </row>
    <row r="8662" spans="1:10" x14ac:dyDescent="0.25">
      <c r="A8662" s="7" t="s">
        <v>17643</v>
      </c>
      <c r="B8662" s="8">
        <v>393.75</v>
      </c>
      <c r="C8662" s="8">
        <v>20.426300000000001</v>
      </c>
      <c r="D8662" s="8">
        <v>93</v>
      </c>
      <c r="E8662" s="8">
        <v>0</v>
      </c>
      <c r="F8662" s="8">
        <v>0</v>
      </c>
      <c r="G8662" s="8">
        <v>6</v>
      </c>
      <c r="H8662" s="8" t="s">
        <v>17644</v>
      </c>
      <c r="I8662" s="8">
        <v>526.6875</v>
      </c>
      <c r="J8662" s="3">
        <f t="shared" si="135"/>
        <v>43748.11161615741</v>
      </c>
    </row>
    <row r="8663" spans="1:10" x14ac:dyDescent="0.25">
      <c r="A8663" s="5" t="s">
        <v>17645</v>
      </c>
      <c r="B8663" s="6">
        <v>412.5</v>
      </c>
      <c r="C8663" s="6">
        <v>20.478950000000001</v>
      </c>
      <c r="D8663" s="6">
        <v>93</v>
      </c>
      <c r="E8663" s="6">
        <v>0</v>
      </c>
      <c r="F8663" s="6">
        <v>0</v>
      </c>
      <c r="G8663" s="6">
        <v>1</v>
      </c>
      <c r="H8663" s="6" t="s">
        <v>17646</v>
      </c>
      <c r="I8663" s="6">
        <v>532.875</v>
      </c>
      <c r="J8663" s="2">
        <f t="shared" si="135"/>
        <v>43748.111687442128</v>
      </c>
    </row>
    <row r="8664" spans="1:10" x14ac:dyDescent="0.25">
      <c r="A8664" s="7" t="s">
        <v>17647</v>
      </c>
      <c r="B8664" s="8">
        <v>393.75</v>
      </c>
      <c r="C8664" s="8">
        <v>20.478950000000001</v>
      </c>
      <c r="D8664" s="8">
        <v>93</v>
      </c>
      <c r="E8664" s="8">
        <v>0</v>
      </c>
      <c r="F8664" s="8">
        <v>0</v>
      </c>
      <c r="G8664" s="8">
        <v>11</v>
      </c>
      <c r="H8664" s="8" t="s">
        <v>17648</v>
      </c>
      <c r="I8664" s="8">
        <v>526.6875</v>
      </c>
      <c r="J8664" s="3">
        <f t="shared" si="135"/>
        <v>43748.111759490734</v>
      </c>
    </row>
    <row r="8665" spans="1:10" x14ac:dyDescent="0.25">
      <c r="A8665" s="5" t="s">
        <v>17649</v>
      </c>
      <c r="B8665" s="6">
        <v>393.75</v>
      </c>
      <c r="C8665" s="6">
        <v>20.478950000000001</v>
      </c>
      <c r="D8665" s="6">
        <v>93</v>
      </c>
      <c r="E8665" s="6">
        <v>0</v>
      </c>
      <c r="F8665" s="6">
        <v>0</v>
      </c>
      <c r="G8665" s="6">
        <v>4</v>
      </c>
      <c r="H8665" s="6" t="s">
        <v>17650</v>
      </c>
      <c r="I8665" s="6">
        <v>526.5</v>
      </c>
      <c r="J8665" s="2">
        <f t="shared" si="135"/>
        <v>43748.111854849536</v>
      </c>
    </row>
    <row r="8666" spans="1:10" x14ac:dyDescent="0.25">
      <c r="A8666" s="7" t="s">
        <v>17651</v>
      </c>
      <c r="B8666" s="8">
        <v>393.75</v>
      </c>
      <c r="C8666" s="8">
        <v>20.478950000000001</v>
      </c>
      <c r="D8666" s="8">
        <v>93</v>
      </c>
      <c r="E8666" s="8">
        <v>0</v>
      </c>
      <c r="F8666" s="8">
        <v>0</v>
      </c>
      <c r="G8666" s="8">
        <v>5</v>
      </c>
      <c r="H8666" s="8" t="s">
        <v>17652</v>
      </c>
      <c r="I8666" s="8">
        <v>526.6875</v>
      </c>
      <c r="J8666" s="3">
        <f t="shared" si="135"/>
        <v>43748.111926331017</v>
      </c>
    </row>
    <row r="8667" spans="1:10" x14ac:dyDescent="0.25">
      <c r="A8667" s="5" t="s">
        <v>17653</v>
      </c>
      <c r="B8667" s="6">
        <v>393.75</v>
      </c>
      <c r="C8667" s="6">
        <v>20.478950000000001</v>
      </c>
      <c r="D8667" s="6">
        <v>92</v>
      </c>
      <c r="E8667" s="6">
        <v>0</v>
      </c>
      <c r="F8667" s="6">
        <v>0</v>
      </c>
      <c r="G8667" s="6">
        <v>1</v>
      </c>
      <c r="H8667" s="6" t="s">
        <v>17654</v>
      </c>
      <c r="I8667" s="6">
        <v>526.6875</v>
      </c>
      <c r="J8667" s="2">
        <f t="shared" si="135"/>
        <v>43748.111997673608</v>
      </c>
    </row>
    <row r="8668" spans="1:10" x14ac:dyDescent="0.25">
      <c r="A8668" s="7" t="s">
        <v>17655</v>
      </c>
      <c r="B8668" s="8">
        <v>393.75</v>
      </c>
      <c r="C8668" s="8">
        <v>20.478950000000001</v>
      </c>
      <c r="D8668" s="8">
        <v>92</v>
      </c>
      <c r="E8668" s="8">
        <v>0</v>
      </c>
      <c r="F8668" s="8">
        <v>0</v>
      </c>
      <c r="G8668" s="8">
        <v>12</v>
      </c>
      <c r="H8668" s="8" t="s">
        <v>17656</v>
      </c>
      <c r="I8668" s="8">
        <v>526.5</v>
      </c>
      <c r="J8668" s="3">
        <f t="shared" si="135"/>
        <v>43748.11206890046</v>
      </c>
    </row>
    <row r="8669" spans="1:10" x14ac:dyDescent="0.25">
      <c r="A8669" s="5" t="s">
        <v>17657</v>
      </c>
      <c r="B8669" s="6">
        <v>393.75</v>
      </c>
      <c r="C8669" s="6">
        <v>20.478950000000001</v>
      </c>
      <c r="D8669" s="6">
        <v>92</v>
      </c>
      <c r="E8669" s="6">
        <v>0</v>
      </c>
      <c r="F8669" s="6">
        <v>0</v>
      </c>
      <c r="G8669" s="6">
        <v>9</v>
      </c>
      <c r="H8669" s="6" t="s">
        <v>17658</v>
      </c>
      <c r="I8669" s="6">
        <v>526.6875</v>
      </c>
      <c r="J8669" s="2">
        <f t="shared" si="135"/>
        <v>43748.112141168975</v>
      </c>
    </row>
    <row r="8670" spans="1:10" x14ac:dyDescent="0.25">
      <c r="A8670" s="7" t="s">
        <v>17659</v>
      </c>
      <c r="B8670" s="8">
        <v>412.5</v>
      </c>
      <c r="C8670" s="8">
        <v>20.478950000000001</v>
      </c>
      <c r="D8670" s="8">
        <v>92</v>
      </c>
      <c r="E8670" s="8">
        <v>0</v>
      </c>
      <c r="F8670" s="8">
        <v>0</v>
      </c>
      <c r="G8670" s="8">
        <v>10</v>
      </c>
      <c r="H8670" s="8" t="s">
        <v>17660</v>
      </c>
      <c r="I8670" s="8">
        <v>532.3125</v>
      </c>
      <c r="J8670" s="3">
        <f t="shared" si="135"/>
        <v>43748.112212442131</v>
      </c>
    </row>
    <row r="8671" spans="1:10" x14ac:dyDescent="0.25">
      <c r="A8671" s="5" t="s">
        <v>17661</v>
      </c>
      <c r="B8671" s="6">
        <v>393.75</v>
      </c>
      <c r="C8671" s="6">
        <v>20.426300000000001</v>
      </c>
      <c r="D8671" s="6">
        <v>90</v>
      </c>
      <c r="E8671" s="6">
        <v>0</v>
      </c>
      <c r="F8671" s="6">
        <v>0</v>
      </c>
      <c r="G8671" s="6">
        <v>7</v>
      </c>
      <c r="H8671" s="6" t="s">
        <v>17662</v>
      </c>
      <c r="I8671" s="6">
        <v>526.6875</v>
      </c>
      <c r="J8671" s="2">
        <f t="shared" si="135"/>
        <v>43748.112283738425</v>
      </c>
    </row>
    <row r="8672" spans="1:10" x14ac:dyDescent="0.25">
      <c r="A8672" s="7" t="s">
        <v>17663</v>
      </c>
      <c r="B8672" s="8">
        <v>393.75</v>
      </c>
      <c r="C8672" s="8">
        <v>20.426300000000001</v>
      </c>
      <c r="D8672" s="8">
        <v>91</v>
      </c>
      <c r="E8672" s="8">
        <v>0</v>
      </c>
      <c r="F8672" s="8">
        <v>0</v>
      </c>
      <c r="G8672" s="8">
        <v>13</v>
      </c>
      <c r="H8672" s="8" t="s">
        <v>17664</v>
      </c>
      <c r="I8672" s="8">
        <v>526.6875</v>
      </c>
      <c r="J8672" s="3">
        <f t="shared" si="135"/>
        <v>43748.112355150464</v>
      </c>
    </row>
    <row r="8673" spans="1:10" x14ac:dyDescent="0.25">
      <c r="A8673" s="5" t="s">
        <v>17665</v>
      </c>
      <c r="B8673" s="6">
        <v>393.75</v>
      </c>
      <c r="C8673" s="6">
        <v>20.426300000000001</v>
      </c>
      <c r="D8673" s="6">
        <v>91</v>
      </c>
      <c r="E8673" s="6">
        <v>0</v>
      </c>
      <c r="F8673" s="6">
        <v>0</v>
      </c>
      <c r="G8673" s="6">
        <v>5</v>
      </c>
      <c r="H8673" s="6" t="s">
        <v>17666</v>
      </c>
      <c r="I8673" s="6">
        <v>526.6875</v>
      </c>
      <c r="J8673" s="2">
        <f t="shared" si="135"/>
        <v>43748.112440405086</v>
      </c>
    </row>
    <row r="8674" spans="1:10" x14ac:dyDescent="0.25">
      <c r="A8674" s="7" t="s">
        <v>17667</v>
      </c>
      <c r="B8674" s="8">
        <v>393.75</v>
      </c>
      <c r="C8674" s="8">
        <v>20.426300000000001</v>
      </c>
      <c r="D8674" s="8">
        <v>92</v>
      </c>
      <c r="E8674" s="8">
        <v>0</v>
      </c>
      <c r="F8674" s="8">
        <v>0</v>
      </c>
      <c r="G8674" s="8">
        <v>2</v>
      </c>
      <c r="H8674" s="8" t="s">
        <v>17668</v>
      </c>
      <c r="I8674" s="8">
        <v>526.6875</v>
      </c>
      <c r="J8674" s="3">
        <f t="shared" si="135"/>
        <v>43748.112522557865</v>
      </c>
    </row>
    <row r="8675" spans="1:10" x14ac:dyDescent="0.25">
      <c r="A8675" s="5" t="s">
        <v>17669</v>
      </c>
      <c r="B8675" s="6">
        <v>393.75</v>
      </c>
      <c r="C8675" s="6">
        <v>20.426300000000001</v>
      </c>
      <c r="D8675" s="6">
        <v>91</v>
      </c>
      <c r="E8675" s="6">
        <v>0</v>
      </c>
      <c r="F8675" s="6">
        <v>0</v>
      </c>
      <c r="G8675" s="6">
        <v>1</v>
      </c>
      <c r="H8675" s="6" t="s">
        <v>17670</v>
      </c>
      <c r="I8675" s="6">
        <v>526.6875</v>
      </c>
      <c r="J8675" s="2">
        <f t="shared" si="135"/>
        <v>43748.112605960647</v>
      </c>
    </row>
    <row r="8676" spans="1:10" x14ac:dyDescent="0.25">
      <c r="A8676" s="7" t="s">
        <v>17671</v>
      </c>
      <c r="B8676" s="8">
        <v>412.5</v>
      </c>
      <c r="C8676" s="8">
        <v>20.478950000000001</v>
      </c>
      <c r="D8676" s="8">
        <v>93</v>
      </c>
      <c r="E8676" s="8">
        <v>0</v>
      </c>
      <c r="F8676" s="8">
        <v>0</v>
      </c>
      <c r="G8676" s="8">
        <v>8</v>
      </c>
      <c r="H8676" s="8" t="s">
        <v>17672</v>
      </c>
      <c r="I8676" s="8">
        <v>532.875</v>
      </c>
      <c r="J8676" s="3">
        <f t="shared" si="135"/>
        <v>43748.112677256941</v>
      </c>
    </row>
    <row r="8677" spans="1:10" x14ac:dyDescent="0.25">
      <c r="A8677" s="5" t="s">
        <v>17673</v>
      </c>
      <c r="B8677" s="6">
        <v>393.75</v>
      </c>
      <c r="C8677" s="6">
        <v>20.478950000000001</v>
      </c>
      <c r="D8677" s="6">
        <v>92</v>
      </c>
      <c r="E8677" s="6">
        <v>0</v>
      </c>
      <c r="F8677" s="6">
        <v>0</v>
      </c>
      <c r="G8677" s="6">
        <v>3</v>
      </c>
      <c r="H8677" s="6" t="s">
        <v>17674</v>
      </c>
      <c r="I8677" s="6">
        <v>526.6875</v>
      </c>
      <c r="J8677" s="2">
        <f t="shared" si="135"/>
        <v>43748.112748680556</v>
      </c>
    </row>
    <row r="8678" spans="1:10" x14ac:dyDescent="0.25">
      <c r="A8678" s="7" t="s">
        <v>17675</v>
      </c>
      <c r="B8678" s="8">
        <v>393.75</v>
      </c>
      <c r="C8678" s="8">
        <v>20.478950000000001</v>
      </c>
      <c r="D8678" s="8">
        <v>91</v>
      </c>
      <c r="E8678" s="8">
        <v>0</v>
      </c>
      <c r="F8678" s="8">
        <v>0</v>
      </c>
      <c r="G8678" s="8">
        <v>6</v>
      </c>
      <c r="H8678" s="8" t="s">
        <v>17676</v>
      </c>
      <c r="I8678" s="8">
        <v>526.6875</v>
      </c>
      <c r="J8678" s="3">
        <f t="shared" si="135"/>
        <v>43748.11282076389</v>
      </c>
    </row>
    <row r="8679" spans="1:10" x14ac:dyDescent="0.25">
      <c r="A8679" s="5" t="s">
        <v>17677</v>
      </c>
      <c r="B8679" s="6">
        <v>393.75</v>
      </c>
      <c r="C8679" s="6">
        <v>20.426300000000001</v>
      </c>
      <c r="D8679" s="6">
        <v>91</v>
      </c>
      <c r="E8679" s="6">
        <v>0</v>
      </c>
      <c r="F8679" s="6">
        <v>0</v>
      </c>
      <c r="G8679" s="6">
        <v>4</v>
      </c>
      <c r="H8679" s="6" t="s">
        <v>17678</v>
      </c>
      <c r="I8679" s="6">
        <v>526.6875</v>
      </c>
      <c r="J8679" s="2">
        <f t="shared" si="135"/>
        <v>43748.112892013887</v>
      </c>
    </row>
    <row r="8680" spans="1:10" x14ac:dyDescent="0.25">
      <c r="A8680" s="7" t="s">
        <v>17679</v>
      </c>
      <c r="B8680" s="8">
        <v>393.75</v>
      </c>
      <c r="C8680" s="8">
        <v>20.478950000000001</v>
      </c>
      <c r="D8680" s="8">
        <v>91</v>
      </c>
      <c r="E8680" s="8">
        <v>0</v>
      </c>
      <c r="F8680" s="8">
        <v>0</v>
      </c>
      <c r="G8680" s="8">
        <v>0</v>
      </c>
      <c r="H8680" s="8" t="s">
        <v>17680</v>
      </c>
      <c r="I8680" s="8">
        <v>526.5</v>
      </c>
      <c r="J8680" s="3">
        <f t="shared" si="135"/>
        <v>43748.112963356478</v>
      </c>
    </row>
    <row r="8681" spans="1:10" x14ac:dyDescent="0.25">
      <c r="A8681" s="5" t="s">
        <v>17681</v>
      </c>
      <c r="B8681" s="6">
        <v>393.75</v>
      </c>
      <c r="C8681" s="6">
        <v>20.478950000000001</v>
      </c>
      <c r="D8681" s="6">
        <v>90</v>
      </c>
      <c r="E8681" s="6">
        <v>0</v>
      </c>
      <c r="F8681" s="6">
        <v>0</v>
      </c>
      <c r="G8681" s="6">
        <v>5</v>
      </c>
      <c r="H8681" s="6" t="s">
        <v>17682</v>
      </c>
      <c r="I8681" s="6">
        <v>526.6875</v>
      </c>
      <c r="J8681" s="2">
        <f t="shared" si="135"/>
        <v>43748.113058726849</v>
      </c>
    </row>
    <row r="8682" spans="1:10" x14ac:dyDescent="0.25">
      <c r="A8682" s="7" t="s">
        <v>17683</v>
      </c>
      <c r="B8682" s="8">
        <v>393.75</v>
      </c>
      <c r="C8682" s="8">
        <v>20.426300000000001</v>
      </c>
      <c r="D8682" s="8">
        <v>89</v>
      </c>
      <c r="E8682" s="8">
        <v>0</v>
      </c>
      <c r="F8682" s="8">
        <v>0</v>
      </c>
      <c r="G8682" s="8">
        <v>9</v>
      </c>
      <c r="H8682" s="8" t="s">
        <v>17684</v>
      </c>
      <c r="I8682" s="8">
        <v>526.6875</v>
      </c>
      <c r="J8682" s="3">
        <f t="shared" si="135"/>
        <v>43748.113131122685</v>
      </c>
    </row>
    <row r="8683" spans="1:10" x14ac:dyDescent="0.25">
      <c r="A8683" s="5" t="s">
        <v>17685</v>
      </c>
      <c r="B8683" s="6">
        <v>393.75</v>
      </c>
      <c r="C8683" s="6">
        <v>20.478950000000001</v>
      </c>
      <c r="D8683" s="6">
        <v>91</v>
      </c>
      <c r="E8683" s="6">
        <v>0</v>
      </c>
      <c r="F8683" s="6">
        <v>0</v>
      </c>
      <c r="G8683" s="6">
        <v>0</v>
      </c>
      <c r="H8683" s="6" t="s">
        <v>17686</v>
      </c>
      <c r="I8683" s="6">
        <v>526.5</v>
      </c>
      <c r="J8683" s="2">
        <f t="shared" si="135"/>
        <v>43748.113226273148</v>
      </c>
    </row>
    <row r="8684" spans="1:10" x14ac:dyDescent="0.25">
      <c r="A8684" s="7" t="s">
        <v>17687</v>
      </c>
      <c r="B8684" s="8">
        <v>393.75</v>
      </c>
      <c r="C8684" s="8">
        <v>20.426300000000001</v>
      </c>
      <c r="D8684" s="8">
        <v>91</v>
      </c>
      <c r="E8684" s="8">
        <v>0</v>
      </c>
      <c r="F8684" s="8">
        <v>0</v>
      </c>
      <c r="G8684" s="8">
        <v>3</v>
      </c>
      <c r="H8684" s="8" t="s">
        <v>17688</v>
      </c>
      <c r="I8684" s="8">
        <v>526.6875</v>
      </c>
      <c r="J8684" s="3">
        <f t="shared" si="135"/>
        <v>43748.11330965277</v>
      </c>
    </row>
    <row r="8685" spans="1:10" x14ac:dyDescent="0.25">
      <c r="A8685" s="5" t="s">
        <v>17689</v>
      </c>
      <c r="B8685" s="6">
        <v>393.75</v>
      </c>
      <c r="C8685" s="6">
        <v>20.478950000000001</v>
      </c>
      <c r="D8685" s="6">
        <v>91</v>
      </c>
      <c r="E8685" s="6">
        <v>0</v>
      </c>
      <c r="F8685" s="6">
        <v>0</v>
      </c>
      <c r="G8685" s="6">
        <v>9</v>
      </c>
      <c r="H8685" s="6" t="s">
        <v>17690</v>
      </c>
      <c r="I8685" s="6">
        <v>526.6875</v>
      </c>
      <c r="J8685" s="2">
        <f t="shared" si="135"/>
        <v>43748.113380949071</v>
      </c>
    </row>
    <row r="8686" spans="1:10" x14ac:dyDescent="0.25">
      <c r="A8686" s="7" t="s">
        <v>17691</v>
      </c>
      <c r="B8686" s="8">
        <v>393.75</v>
      </c>
      <c r="C8686" s="8">
        <v>20.478950000000001</v>
      </c>
      <c r="D8686" s="8">
        <v>91</v>
      </c>
      <c r="E8686" s="8">
        <v>0</v>
      </c>
      <c r="F8686" s="8">
        <v>0</v>
      </c>
      <c r="G8686" s="8">
        <v>2</v>
      </c>
      <c r="H8686" s="8" t="s">
        <v>17692</v>
      </c>
      <c r="I8686" s="8">
        <v>526.6875</v>
      </c>
      <c r="J8686" s="3">
        <f t="shared" si="135"/>
        <v>43748.113452256941</v>
      </c>
    </row>
    <row r="8687" spans="1:10" x14ac:dyDescent="0.25">
      <c r="A8687" s="5" t="s">
        <v>17693</v>
      </c>
      <c r="B8687" s="6">
        <v>393.75</v>
      </c>
      <c r="C8687" s="6">
        <v>20.478950000000001</v>
      </c>
      <c r="D8687" s="6">
        <v>91</v>
      </c>
      <c r="E8687" s="6">
        <v>0</v>
      </c>
      <c r="F8687" s="6">
        <v>0</v>
      </c>
      <c r="G8687" s="6">
        <v>1</v>
      </c>
      <c r="H8687" s="6" t="s">
        <v>17694</v>
      </c>
      <c r="I8687" s="6">
        <v>526.6875</v>
      </c>
      <c r="J8687" s="2">
        <f t="shared" si="135"/>
        <v>43748.113524675922</v>
      </c>
    </row>
    <row r="8688" spans="1:10" x14ac:dyDescent="0.25">
      <c r="A8688" s="7" t="s">
        <v>17695</v>
      </c>
      <c r="B8688" s="8">
        <v>393.75</v>
      </c>
      <c r="C8688" s="8">
        <v>20.426300000000001</v>
      </c>
      <c r="D8688" s="8">
        <v>90</v>
      </c>
      <c r="E8688" s="8">
        <v>0</v>
      </c>
      <c r="F8688" s="8">
        <v>0</v>
      </c>
      <c r="G8688" s="8">
        <v>4</v>
      </c>
      <c r="H8688" s="8" t="s">
        <v>17696</v>
      </c>
      <c r="I8688" s="8">
        <v>526.5</v>
      </c>
      <c r="J8688" s="3">
        <f t="shared" si="135"/>
        <v>43748.113595763883</v>
      </c>
    </row>
    <row r="8689" spans="1:10" x14ac:dyDescent="0.25">
      <c r="A8689" s="5" t="s">
        <v>17697</v>
      </c>
      <c r="B8689" s="6">
        <v>412.5</v>
      </c>
      <c r="C8689" s="6">
        <v>20.478950000000001</v>
      </c>
      <c r="D8689" s="6">
        <v>90</v>
      </c>
      <c r="E8689" s="6">
        <v>0</v>
      </c>
      <c r="F8689" s="6">
        <v>0</v>
      </c>
      <c r="G8689" s="6">
        <v>7</v>
      </c>
      <c r="H8689" s="6" t="s">
        <v>17698</v>
      </c>
      <c r="I8689" s="6">
        <v>532.125</v>
      </c>
      <c r="J8689" s="2">
        <f t="shared" si="135"/>
        <v>43748.113679097216</v>
      </c>
    </row>
    <row r="8690" spans="1:10" x14ac:dyDescent="0.25">
      <c r="A8690" s="7" t="s">
        <v>17699</v>
      </c>
      <c r="B8690" s="8">
        <v>393.75</v>
      </c>
      <c r="C8690" s="8">
        <v>20.478950000000001</v>
      </c>
      <c r="D8690" s="8">
        <v>91</v>
      </c>
      <c r="E8690" s="8">
        <v>0</v>
      </c>
      <c r="F8690" s="8">
        <v>0</v>
      </c>
      <c r="G8690" s="8">
        <v>7</v>
      </c>
      <c r="H8690" s="8" t="s">
        <v>17700</v>
      </c>
      <c r="I8690" s="8">
        <v>526.6875</v>
      </c>
      <c r="J8690" s="3">
        <f t="shared" si="135"/>
        <v>43748.113762499997</v>
      </c>
    </row>
    <row r="8691" spans="1:10" x14ac:dyDescent="0.25">
      <c r="A8691" s="5" t="s">
        <v>17701</v>
      </c>
      <c r="B8691" s="6">
        <v>396.875</v>
      </c>
      <c r="C8691" s="6">
        <v>20.478950000000001</v>
      </c>
      <c r="D8691" s="6">
        <v>91</v>
      </c>
      <c r="E8691" s="6">
        <v>0</v>
      </c>
      <c r="F8691" s="6">
        <v>0</v>
      </c>
      <c r="G8691" s="6">
        <v>5</v>
      </c>
      <c r="H8691" s="6" t="s">
        <v>17702</v>
      </c>
      <c r="I8691" s="6">
        <v>527.4375</v>
      </c>
      <c r="J8691" s="2">
        <f t="shared" si="135"/>
        <v>43748.113833819443</v>
      </c>
    </row>
    <row r="8692" spans="1:10" x14ac:dyDescent="0.25">
      <c r="A8692" s="7" t="s">
        <v>17703</v>
      </c>
      <c r="B8692" s="8">
        <v>396.875</v>
      </c>
      <c r="C8692" s="8">
        <v>20.478950000000001</v>
      </c>
      <c r="D8692" s="8">
        <v>89</v>
      </c>
      <c r="E8692" s="8">
        <v>0</v>
      </c>
      <c r="F8692" s="8">
        <v>0</v>
      </c>
      <c r="G8692" s="8">
        <v>2</v>
      </c>
      <c r="H8692" s="8" t="s">
        <v>17704</v>
      </c>
      <c r="I8692" s="8">
        <v>527.4375</v>
      </c>
      <c r="J8692" s="3">
        <f t="shared" si="135"/>
        <v>43748.113905914353</v>
      </c>
    </row>
    <row r="8693" spans="1:10" x14ac:dyDescent="0.25">
      <c r="A8693" s="5" t="s">
        <v>17705</v>
      </c>
      <c r="B8693" s="6">
        <v>393.75</v>
      </c>
      <c r="C8693" s="6">
        <v>20.478950000000001</v>
      </c>
      <c r="D8693" s="6">
        <v>89</v>
      </c>
      <c r="E8693" s="6">
        <v>0</v>
      </c>
      <c r="F8693" s="6">
        <v>0</v>
      </c>
      <c r="G8693" s="6">
        <v>3</v>
      </c>
      <c r="H8693" s="6" t="s">
        <v>17706</v>
      </c>
      <c r="I8693" s="6">
        <v>526.6875</v>
      </c>
      <c r="J8693" s="2">
        <f t="shared" si="135"/>
        <v>43748.11397726852</v>
      </c>
    </row>
    <row r="8694" spans="1:10" x14ac:dyDescent="0.25">
      <c r="A8694" s="7" t="s">
        <v>17707</v>
      </c>
      <c r="B8694" s="8">
        <v>396.875</v>
      </c>
      <c r="C8694" s="8">
        <v>20.478950000000001</v>
      </c>
      <c r="D8694" s="8">
        <v>89</v>
      </c>
      <c r="E8694" s="8">
        <v>0</v>
      </c>
      <c r="F8694" s="8">
        <v>0</v>
      </c>
      <c r="G8694" s="8">
        <v>15</v>
      </c>
      <c r="H8694" s="8" t="s">
        <v>17708</v>
      </c>
      <c r="I8694" s="8">
        <v>527.25</v>
      </c>
      <c r="J8694" s="3">
        <f t="shared" si="135"/>
        <v>43748.114048541662</v>
      </c>
    </row>
    <row r="8695" spans="1:10" x14ac:dyDescent="0.25">
      <c r="A8695" s="5" t="s">
        <v>17709</v>
      </c>
      <c r="B8695" s="6">
        <v>396.875</v>
      </c>
      <c r="C8695" s="6">
        <v>20.478950000000001</v>
      </c>
      <c r="D8695" s="6">
        <v>89</v>
      </c>
      <c r="E8695" s="6">
        <v>0</v>
      </c>
      <c r="F8695" s="6">
        <v>0</v>
      </c>
      <c r="G8695" s="6">
        <v>2</v>
      </c>
      <c r="H8695" s="6" t="s">
        <v>17710</v>
      </c>
      <c r="I8695" s="6">
        <v>527.4375</v>
      </c>
      <c r="J8695" s="2">
        <f t="shared" si="135"/>
        <v>43748.114120775463</v>
      </c>
    </row>
    <row r="8696" spans="1:10" x14ac:dyDescent="0.25">
      <c r="A8696" s="7" t="s">
        <v>17711</v>
      </c>
      <c r="B8696" s="8">
        <v>412.5</v>
      </c>
      <c r="C8696" s="8">
        <v>20.426300000000001</v>
      </c>
      <c r="D8696" s="8">
        <v>88</v>
      </c>
      <c r="E8696" s="8">
        <v>0</v>
      </c>
      <c r="F8696" s="8">
        <v>0</v>
      </c>
      <c r="G8696" s="8">
        <v>0</v>
      </c>
      <c r="H8696" s="8" t="s">
        <v>17712</v>
      </c>
      <c r="I8696" s="8">
        <v>532.875</v>
      </c>
      <c r="J8696" s="3">
        <f t="shared" si="135"/>
        <v>43748.114192002315</v>
      </c>
    </row>
    <row r="8697" spans="1:10" x14ac:dyDescent="0.25">
      <c r="A8697" s="5" t="s">
        <v>17713</v>
      </c>
      <c r="B8697" s="6">
        <v>396.875</v>
      </c>
      <c r="C8697" s="6">
        <v>20.478950000000001</v>
      </c>
      <c r="D8697" s="6">
        <v>88</v>
      </c>
      <c r="E8697" s="6">
        <v>0</v>
      </c>
      <c r="F8697" s="6">
        <v>0</v>
      </c>
      <c r="G8697" s="6">
        <v>0</v>
      </c>
      <c r="H8697" s="6" t="s">
        <v>17714</v>
      </c>
      <c r="I8697" s="6">
        <v>527.4375</v>
      </c>
      <c r="J8697" s="2">
        <f t="shared" si="135"/>
        <v>43748.114264664349</v>
      </c>
    </row>
    <row r="8698" spans="1:10" x14ac:dyDescent="0.25">
      <c r="A8698" s="7" t="s">
        <v>17715</v>
      </c>
      <c r="B8698" s="8">
        <v>396.875</v>
      </c>
      <c r="C8698" s="8">
        <v>20.426300000000001</v>
      </c>
      <c r="D8698" s="8">
        <v>89</v>
      </c>
      <c r="E8698" s="8">
        <v>0</v>
      </c>
      <c r="F8698" s="8">
        <v>0</v>
      </c>
      <c r="G8698" s="8">
        <v>3</v>
      </c>
      <c r="H8698" s="8" t="s">
        <v>17716</v>
      </c>
      <c r="I8698" s="8">
        <v>527.4375</v>
      </c>
      <c r="J8698" s="3">
        <f t="shared" si="135"/>
        <v>43748.114346643517</v>
      </c>
    </row>
    <row r="8699" spans="1:10" x14ac:dyDescent="0.25">
      <c r="A8699" s="5" t="s">
        <v>17717</v>
      </c>
      <c r="B8699" s="6">
        <v>396.875</v>
      </c>
      <c r="C8699" s="6">
        <v>20.426300000000001</v>
      </c>
      <c r="D8699" s="6">
        <v>89</v>
      </c>
      <c r="E8699" s="6">
        <v>0</v>
      </c>
      <c r="F8699" s="6">
        <v>0</v>
      </c>
      <c r="G8699" s="6">
        <v>12</v>
      </c>
      <c r="H8699" s="6" t="s">
        <v>17718</v>
      </c>
      <c r="I8699" s="6">
        <v>527.4375</v>
      </c>
      <c r="J8699" s="2">
        <f t="shared" si="135"/>
        <v>43748.114418923607</v>
      </c>
    </row>
    <row r="8700" spans="1:10" x14ac:dyDescent="0.25">
      <c r="A8700" s="7" t="s">
        <v>17719</v>
      </c>
      <c r="B8700" s="8">
        <v>396.875</v>
      </c>
      <c r="C8700" s="8">
        <v>20.478950000000001</v>
      </c>
      <c r="D8700" s="8">
        <v>88</v>
      </c>
      <c r="E8700" s="8">
        <v>0</v>
      </c>
      <c r="F8700" s="8">
        <v>0</v>
      </c>
      <c r="G8700" s="8">
        <v>0</v>
      </c>
      <c r="H8700" s="8" t="s">
        <v>17720</v>
      </c>
      <c r="I8700" s="8">
        <v>527.4375</v>
      </c>
      <c r="J8700" s="3">
        <f t="shared" si="135"/>
        <v>43748.114490208332</v>
      </c>
    </row>
    <row r="8701" spans="1:10" x14ac:dyDescent="0.25">
      <c r="A8701" s="5" t="s">
        <v>17721</v>
      </c>
      <c r="B8701" s="6">
        <v>396.875</v>
      </c>
      <c r="C8701" s="6">
        <v>20.478950000000001</v>
      </c>
      <c r="D8701" s="6">
        <v>87</v>
      </c>
      <c r="E8701" s="6">
        <v>0</v>
      </c>
      <c r="F8701" s="6">
        <v>0</v>
      </c>
      <c r="G8701" s="6">
        <v>9</v>
      </c>
      <c r="H8701" s="6" t="s">
        <v>17722</v>
      </c>
      <c r="I8701" s="6">
        <v>527.4375</v>
      </c>
      <c r="J8701" s="2">
        <f t="shared" si="135"/>
        <v>43748.114561527771</v>
      </c>
    </row>
    <row r="8702" spans="1:10" x14ac:dyDescent="0.25">
      <c r="A8702" s="7" t="s">
        <v>17723</v>
      </c>
      <c r="B8702" s="8">
        <v>396.875</v>
      </c>
      <c r="C8702" s="8">
        <v>20.478950000000001</v>
      </c>
      <c r="D8702" s="8">
        <v>89</v>
      </c>
      <c r="E8702" s="8">
        <v>0</v>
      </c>
      <c r="F8702" s="8">
        <v>0</v>
      </c>
      <c r="G8702" s="8">
        <v>11</v>
      </c>
      <c r="H8702" s="8" t="s">
        <v>17724</v>
      </c>
      <c r="I8702" s="8">
        <v>527.4375</v>
      </c>
      <c r="J8702" s="3">
        <f t="shared" si="135"/>
        <v>43748.114632824072</v>
      </c>
    </row>
    <row r="8703" spans="1:10" x14ac:dyDescent="0.25">
      <c r="A8703" s="5" t="s">
        <v>17725</v>
      </c>
      <c r="B8703" s="6">
        <v>437.5</v>
      </c>
      <c r="C8703" s="6">
        <v>20.478950000000001</v>
      </c>
      <c r="D8703" s="6">
        <v>89</v>
      </c>
      <c r="E8703" s="6">
        <v>0</v>
      </c>
      <c r="F8703" s="6">
        <v>0</v>
      </c>
      <c r="G8703" s="6">
        <v>2</v>
      </c>
      <c r="H8703" s="6" t="s">
        <v>17726</v>
      </c>
      <c r="I8703" s="6">
        <v>540</v>
      </c>
      <c r="J8703" s="2">
        <f t="shared" si="135"/>
        <v>43748.114716898148</v>
      </c>
    </row>
    <row r="8704" spans="1:10" x14ac:dyDescent="0.25">
      <c r="A8704" s="7" t="s">
        <v>17727</v>
      </c>
      <c r="B8704" s="8">
        <v>396.875</v>
      </c>
      <c r="C8704" s="8">
        <v>20.426300000000001</v>
      </c>
      <c r="D8704" s="8">
        <v>89</v>
      </c>
      <c r="E8704" s="8">
        <v>0</v>
      </c>
      <c r="F8704" s="8">
        <v>0</v>
      </c>
      <c r="G8704" s="8">
        <v>0</v>
      </c>
      <c r="H8704" s="8" t="s">
        <v>17728</v>
      </c>
      <c r="I8704" s="8">
        <v>527.4375</v>
      </c>
      <c r="J8704" s="3">
        <f t="shared" si="135"/>
        <v>43748.114787488426</v>
      </c>
    </row>
    <row r="8705" spans="1:10" x14ac:dyDescent="0.25">
      <c r="A8705" s="5" t="s">
        <v>17729</v>
      </c>
      <c r="B8705" s="6">
        <v>396.875</v>
      </c>
      <c r="C8705" s="6">
        <v>20.478950000000001</v>
      </c>
      <c r="D8705" s="6">
        <v>89</v>
      </c>
      <c r="E8705" s="6">
        <v>0</v>
      </c>
      <c r="F8705" s="6">
        <v>0</v>
      </c>
      <c r="G8705" s="6">
        <v>4</v>
      </c>
      <c r="H8705" s="6" t="s">
        <v>17730</v>
      </c>
      <c r="I8705" s="6">
        <v>527.4375</v>
      </c>
      <c r="J8705" s="2">
        <f t="shared" si="135"/>
        <v>43748.114859664354</v>
      </c>
    </row>
    <row r="8706" spans="1:10" x14ac:dyDescent="0.25">
      <c r="A8706" s="7" t="s">
        <v>17731</v>
      </c>
      <c r="B8706" s="8">
        <v>393.75</v>
      </c>
      <c r="C8706" s="8">
        <v>20.478950000000001</v>
      </c>
      <c r="D8706" s="8">
        <v>88</v>
      </c>
      <c r="E8706" s="8">
        <v>0</v>
      </c>
      <c r="F8706" s="8">
        <v>0</v>
      </c>
      <c r="G8706" s="8">
        <v>0</v>
      </c>
      <c r="H8706" s="8" t="s">
        <v>17732</v>
      </c>
      <c r="I8706" s="8">
        <v>526.5</v>
      </c>
      <c r="J8706" s="3">
        <f t="shared" ref="J8706:J8769" si="136">(H8706/86400000)+25569+(7/24)</f>
        <v>43748.114930972217</v>
      </c>
    </row>
    <row r="8707" spans="1:10" x14ac:dyDescent="0.25">
      <c r="A8707" s="5" t="s">
        <v>17733</v>
      </c>
      <c r="B8707" s="6">
        <v>396.875</v>
      </c>
      <c r="C8707" s="6">
        <v>20.478950000000001</v>
      </c>
      <c r="D8707" s="6">
        <v>87</v>
      </c>
      <c r="E8707" s="6">
        <v>0</v>
      </c>
      <c r="F8707" s="6">
        <v>0</v>
      </c>
      <c r="G8707" s="6">
        <v>14</v>
      </c>
      <c r="H8707" s="6" t="s">
        <v>17734</v>
      </c>
      <c r="I8707" s="6">
        <v>527.4375</v>
      </c>
      <c r="J8707" s="2">
        <f t="shared" si="136"/>
        <v>43748.115035312498</v>
      </c>
    </row>
    <row r="8708" spans="1:10" x14ac:dyDescent="0.25">
      <c r="A8708" s="7" t="s">
        <v>17735</v>
      </c>
      <c r="B8708" s="8">
        <v>400</v>
      </c>
      <c r="C8708" s="8">
        <v>20.478950000000001</v>
      </c>
      <c r="D8708" s="8">
        <v>87</v>
      </c>
      <c r="E8708" s="8">
        <v>0</v>
      </c>
      <c r="F8708" s="8">
        <v>0</v>
      </c>
      <c r="G8708" s="8">
        <v>6</v>
      </c>
      <c r="H8708" s="8" t="s">
        <v>17736</v>
      </c>
      <c r="I8708" s="8">
        <v>528.1875</v>
      </c>
      <c r="J8708" s="3">
        <f t="shared" si="136"/>
        <v>43748.115110393519</v>
      </c>
    </row>
    <row r="8709" spans="1:10" x14ac:dyDescent="0.25">
      <c r="A8709" s="5" t="s">
        <v>17737</v>
      </c>
      <c r="B8709" s="6">
        <v>415.625</v>
      </c>
      <c r="C8709" s="6">
        <v>20.426300000000001</v>
      </c>
      <c r="D8709" s="6">
        <v>86</v>
      </c>
      <c r="E8709" s="6">
        <v>0</v>
      </c>
      <c r="F8709" s="6">
        <v>0</v>
      </c>
      <c r="G8709" s="6">
        <v>8</v>
      </c>
      <c r="H8709" s="6" t="s">
        <v>17738</v>
      </c>
      <c r="I8709" s="6">
        <v>533.8125</v>
      </c>
      <c r="J8709" s="2">
        <f t="shared" si="136"/>
        <v>43748.115181886569</v>
      </c>
    </row>
    <row r="8710" spans="1:10" x14ac:dyDescent="0.25">
      <c r="A8710" s="7" t="s">
        <v>17739</v>
      </c>
      <c r="B8710" s="8">
        <v>400</v>
      </c>
      <c r="C8710" s="8">
        <v>20.426300000000001</v>
      </c>
      <c r="D8710" s="8">
        <v>84</v>
      </c>
      <c r="E8710" s="8">
        <v>0</v>
      </c>
      <c r="F8710" s="8">
        <v>0</v>
      </c>
      <c r="G8710" s="8">
        <v>10</v>
      </c>
      <c r="H8710" s="8" t="s">
        <v>17740</v>
      </c>
      <c r="I8710" s="8">
        <v>528.375</v>
      </c>
      <c r="J8710" s="3">
        <f t="shared" si="136"/>
        <v>43748.115253194446</v>
      </c>
    </row>
    <row r="8711" spans="1:10" x14ac:dyDescent="0.25">
      <c r="A8711" s="5" t="s">
        <v>17741</v>
      </c>
      <c r="B8711" s="6">
        <v>403.125</v>
      </c>
      <c r="C8711" s="6">
        <v>20.478950000000001</v>
      </c>
      <c r="D8711" s="6">
        <v>85</v>
      </c>
      <c r="E8711" s="6">
        <v>0</v>
      </c>
      <c r="F8711" s="6">
        <v>0</v>
      </c>
      <c r="G8711" s="6">
        <v>0</v>
      </c>
      <c r="H8711" s="6" t="s">
        <v>17742</v>
      </c>
      <c r="I8711" s="6">
        <v>529.125</v>
      </c>
      <c r="J8711" s="2">
        <f t="shared" si="136"/>
        <v>43748.11532449074</v>
      </c>
    </row>
    <row r="8712" spans="1:10" x14ac:dyDescent="0.25">
      <c r="A8712" s="7" t="s">
        <v>17743</v>
      </c>
      <c r="B8712" s="8">
        <v>403.125</v>
      </c>
      <c r="C8712" s="8">
        <v>20.478950000000001</v>
      </c>
      <c r="D8712" s="8">
        <v>88</v>
      </c>
      <c r="E8712" s="8">
        <v>0</v>
      </c>
      <c r="F8712" s="8">
        <v>0</v>
      </c>
      <c r="G8712" s="8">
        <v>4</v>
      </c>
      <c r="H8712" s="8" t="s">
        <v>17744</v>
      </c>
      <c r="I8712" s="8">
        <v>529.125</v>
      </c>
      <c r="J8712" s="3">
        <f t="shared" si="136"/>
        <v>43748.115396620364</v>
      </c>
    </row>
    <row r="8713" spans="1:10" x14ac:dyDescent="0.25">
      <c r="A8713" s="5" t="s">
        <v>17745</v>
      </c>
      <c r="B8713" s="6">
        <v>425</v>
      </c>
      <c r="C8713" s="6">
        <v>20.426300000000001</v>
      </c>
      <c r="D8713" s="6">
        <v>88</v>
      </c>
      <c r="E8713" s="6">
        <v>0</v>
      </c>
      <c r="F8713" s="6">
        <v>0</v>
      </c>
      <c r="G8713" s="6">
        <v>13</v>
      </c>
      <c r="H8713" s="6" t="s">
        <v>17746</v>
      </c>
      <c r="I8713" s="6">
        <v>536.0625</v>
      </c>
      <c r="J8713" s="2">
        <f t="shared" si="136"/>
        <v>43748.115467951386</v>
      </c>
    </row>
    <row r="8714" spans="1:10" x14ac:dyDescent="0.25">
      <c r="A8714" s="7" t="s">
        <v>17747</v>
      </c>
      <c r="B8714" s="8">
        <v>403.125</v>
      </c>
      <c r="C8714" s="8">
        <v>20.478950000000001</v>
      </c>
      <c r="D8714" s="8">
        <v>88</v>
      </c>
      <c r="E8714" s="8">
        <v>0</v>
      </c>
      <c r="F8714" s="8">
        <v>0</v>
      </c>
      <c r="G8714" s="8">
        <v>7</v>
      </c>
      <c r="H8714" s="8" t="s">
        <v>17748</v>
      </c>
      <c r="I8714" s="8">
        <v>529.125</v>
      </c>
      <c r="J8714" s="3">
        <f t="shared" si="136"/>
        <v>43748.115539305552</v>
      </c>
    </row>
    <row r="8715" spans="1:10" x14ac:dyDescent="0.25">
      <c r="A8715" s="5" t="s">
        <v>17749</v>
      </c>
      <c r="B8715" s="6">
        <v>403.125</v>
      </c>
      <c r="C8715" s="6">
        <v>20.426300000000001</v>
      </c>
      <c r="D8715" s="6">
        <v>88</v>
      </c>
      <c r="E8715" s="6">
        <v>0</v>
      </c>
      <c r="F8715" s="6">
        <v>0</v>
      </c>
      <c r="G8715" s="6">
        <v>10</v>
      </c>
      <c r="H8715" s="6" t="s">
        <v>17750</v>
      </c>
      <c r="I8715" s="6">
        <v>529.125</v>
      </c>
      <c r="J8715" s="2">
        <f t="shared" si="136"/>
        <v>43748.115622604164</v>
      </c>
    </row>
    <row r="8716" spans="1:10" x14ac:dyDescent="0.25">
      <c r="A8716" s="7" t="s">
        <v>17751</v>
      </c>
      <c r="B8716" s="8">
        <v>403.125</v>
      </c>
      <c r="C8716" s="8">
        <v>20.426300000000001</v>
      </c>
      <c r="D8716" s="8">
        <v>87</v>
      </c>
      <c r="E8716" s="8">
        <v>0</v>
      </c>
      <c r="F8716" s="8">
        <v>0</v>
      </c>
      <c r="G8716" s="8">
        <v>10</v>
      </c>
      <c r="H8716" s="8" t="s">
        <v>17752</v>
      </c>
      <c r="I8716" s="8">
        <v>529.125</v>
      </c>
      <c r="J8716" s="3">
        <f t="shared" si="136"/>
        <v>43748.115694849534</v>
      </c>
    </row>
    <row r="8717" spans="1:10" x14ac:dyDescent="0.25">
      <c r="A8717" s="5" t="s">
        <v>17753</v>
      </c>
      <c r="B8717" s="6">
        <v>403.125</v>
      </c>
      <c r="C8717" s="6">
        <v>20.478950000000001</v>
      </c>
      <c r="D8717" s="6">
        <v>83</v>
      </c>
      <c r="E8717" s="6">
        <v>0</v>
      </c>
      <c r="F8717" s="6">
        <v>0</v>
      </c>
      <c r="G8717" s="6">
        <v>11</v>
      </c>
      <c r="H8717" s="6" t="s">
        <v>17754</v>
      </c>
      <c r="I8717" s="6">
        <v>529.125</v>
      </c>
      <c r="J8717" s="2">
        <f t="shared" si="136"/>
        <v>43748.115766134259</v>
      </c>
    </row>
    <row r="8718" spans="1:10" x14ac:dyDescent="0.25">
      <c r="A8718" s="7" t="s">
        <v>17755</v>
      </c>
      <c r="B8718" s="8">
        <v>403.125</v>
      </c>
      <c r="C8718" s="8">
        <v>20.426300000000001</v>
      </c>
      <c r="D8718" s="8">
        <v>84</v>
      </c>
      <c r="E8718" s="8">
        <v>0</v>
      </c>
      <c r="F8718" s="8">
        <v>0</v>
      </c>
      <c r="G8718" s="8">
        <v>12</v>
      </c>
      <c r="H8718" s="8" t="s">
        <v>17756</v>
      </c>
      <c r="I8718" s="8">
        <v>529.125</v>
      </c>
      <c r="J8718" s="3">
        <f t="shared" si="136"/>
        <v>43748.115837418976</v>
      </c>
    </row>
    <row r="8719" spans="1:10" x14ac:dyDescent="0.25">
      <c r="A8719" s="5" t="s">
        <v>17757</v>
      </c>
      <c r="B8719" s="6">
        <v>403.125</v>
      </c>
      <c r="C8719" s="6">
        <v>20.478950000000001</v>
      </c>
      <c r="D8719" s="6">
        <v>83</v>
      </c>
      <c r="E8719" s="6">
        <v>0</v>
      </c>
      <c r="F8719" s="6">
        <v>0</v>
      </c>
      <c r="G8719" s="6">
        <v>16</v>
      </c>
      <c r="H8719" s="6" t="s">
        <v>17758</v>
      </c>
      <c r="I8719" s="6">
        <v>529.125</v>
      </c>
      <c r="J8719" s="2">
        <f t="shared" si="136"/>
        <v>43748.115908842585</v>
      </c>
    </row>
    <row r="8720" spans="1:10" x14ac:dyDescent="0.25">
      <c r="A8720" s="7" t="s">
        <v>17759</v>
      </c>
      <c r="B8720" s="8">
        <v>403.125</v>
      </c>
      <c r="C8720" s="8">
        <v>20.478950000000001</v>
      </c>
      <c r="D8720" s="8">
        <v>83</v>
      </c>
      <c r="E8720" s="8">
        <v>0</v>
      </c>
      <c r="F8720" s="8">
        <v>0</v>
      </c>
      <c r="G8720" s="8">
        <v>1</v>
      </c>
      <c r="H8720" s="8" t="s">
        <v>17760</v>
      </c>
      <c r="I8720" s="8">
        <v>529.125</v>
      </c>
      <c r="J8720" s="3">
        <f t="shared" si="136"/>
        <v>43748.115980937502</v>
      </c>
    </row>
    <row r="8721" spans="1:10" x14ac:dyDescent="0.25">
      <c r="A8721" s="5" t="s">
        <v>17761</v>
      </c>
      <c r="B8721" s="6">
        <v>418.75</v>
      </c>
      <c r="C8721" s="6">
        <v>20.426300000000001</v>
      </c>
      <c r="D8721" s="6">
        <v>83</v>
      </c>
      <c r="E8721" s="6">
        <v>0</v>
      </c>
      <c r="F8721" s="6">
        <v>0</v>
      </c>
      <c r="G8721" s="6">
        <v>9</v>
      </c>
      <c r="H8721" s="6" t="s">
        <v>17762</v>
      </c>
      <c r="I8721" s="6">
        <v>534.75</v>
      </c>
      <c r="J8721" s="2">
        <f t="shared" si="136"/>
        <v>43748.116052268517</v>
      </c>
    </row>
    <row r="8722" spans="1:10" x14ac:dyDescent="0.25">
      <c r="A8722" s="7" t="s">
        <v>17763</v>
      </c>
      <c r="B8722" s="8">
        <v>400</v>
      </c>
      <c r="C8722" s="8">
        <v>20.478950000000001</v>
      </c>
      <c r="D8722" s="8">
        <v>83</v>
      </c>
      <c r="E8722" s="8">
        <v>0</v>
      </c>
      <c r="F8722" s="8">
        <v>0</v>
      </c>
      <c r="G8722" s="8">
        <v>8</v>
      </c>
      <c r="H8722" s="8" t="s">
        <v>17764</v>
      </c>
      <c r="I8722" s="8">
        <v>528.9375</v>
      </c>
      <c r="J8722" s="3">
        <f t="shared" si="136"/>
        <v>43748.11613559028</v>
      </c>
    </row>
    <row r="8723" spans="1:10" x14ac:dyDescent="0.25">
      <c r="A8723" s="5" t="s">
        <v>17765</v>
      </c>
      <c r="B8723" s="6">
        <v>403.125</v>
      </c>
      <c r="C8723" s="6">
        <v>20.478950000000001</v>
      </c>
      <c r="D8723" s="6">
        <v>84</v>
      </c>
      <c r="E8723" s="6">
        <v>0</v>
      </c>
      <c r="F8723" s="6">
        <v>0</v>
      </c>
      <c r="G8723" s="6">
        <v>10</v>
      </c>
      <c r="H8723" s="6" t="s">
        <v>17766</v>
      </c>
      <c r="I8723" s="6">
        <v>529.125</v>
      </c>
      <c r="J8723" s="2">
        <f t="shared" si="136"/>
        <v>43748.116206932864</v>
      </c>
    </row>
    <row r="8724" spans="1:10" x14ac:dyDescent="0.25">
      <c r="A8724" s="7" t="s">
        <v>17767</v>
      </c>
      <c r="B8724" s="8">
        <v>403.125</v>
      </c>
      <c r="C8724" s="8">
        <v>20.478950000000001</v>
      </c>
      <c r="D8724" s="8">
        <v>85</v>
      </c>
      <c r="E8724" s="8">
        <v>0</v>
      </c>
      <c r="F8724" s="8">
        <v>0</v>
      </c>
      <c r="G8724" s="8">
        <v>2</v>
      </c>
      <c r="H8724" s="8" t="s">
        <v>17768</v>
      </c>
      <c r="I8724" s="8">
        <v>529.125</v>
      </c>
      <c r="J8724" s="3">
        <f t="shared" si="136"/>
        <v>43748.116279097223</v>
      </c>
    </row>
    <row r="8725" spans="1:10" x14ac:dyDescent="0.25">
      <c r="A8725" s="5" t="s">
        <v>17769</v>
      </c>
      <c r="B8725" s="6">
        <v>403.125</v>
      </c>
      <c r="C8725" s="6">
        <v>20.478950000000001</v>
      </c>
      <c r="D8725" s="6">
        <v>83</v>
      </c>
      <c r="E8725" s="6">
        <v>0</v>
      </c>
      <c r="F8725" s="6">
        <v>0</v>
      </c>
      <c r="G8725" s="6">
        <v>4</v>
      </c>
      <c r="H8725" s="6" t="s">
        <v>17770</v>
      </c>
      <c r="I8725" s="6">
        <v>529.875</v>
      </c>
      <c r="J8725" s="2">
        <f t="shared" si="136"/>
        <v>43748.116352627309</v>
      </c>
    </row>
    <row r="8726" spans="1:10" x14ac:dyDescent="0.25">
      <c r="A8726" s="7" t="s">
        <v>17771</v>
      </c>
      <c r="B8726" s="8">
        <v>406.25</v>
      </c>
      <c r="C8726" s="8">
        <v>20.478950000000001</v>
      </c>
      <c r="D8726" s="8">
        <v>86</v>
      </c>
      <c r="E8726" s="8">
        <v>0</v>
      </c>
      <c r="F8726" s="8">
        <v>0</v>
      </c>
      <c r="G8726" s="8">
        <v>8</v>
      </c>
      <c r="H8726" s="8" t="s">
        <v>17772</v>
      </c>
      <c r="I8726" s="8">
        <v>530.8125</v>
      </c>
      <c r="J8726" s="3">
        <f t="shared" si="136"/>
        <v>43748.116433738425</v>
      </c>
    </row>
    <row r="8727" spans="1:10" x14ac:dyDescent="0.25">
      <c r="A8727" s="5" t="s">
        <v>17773</v>
      </c>
      <c r="B8727" s="6">
        <v>406.25</v>
      </c>
      <c r="C8727" s="6">
        <v>20.426300000000001</v>
      </c>
      <c r="D8727" s="6">
        <v>87</v>
      </c>
      <c r="E8727" s="6">
        <v>0</v>
      </c>
      <c r="F8727" s="6">
        <v>0</v>
      </c>
      <c r="G8727" s="6">
        <v>1</v>
      </c>
      <c r="H8727" s="6" t="s">
        <v>17774</v>
      </c>
      <c r="I8727" s="6">
        <v>530.625</v>
      </c>
      <c r="J8727" s="2">
        <f t="shared" si="136"/>
        <v>43748.116505081016</v>
      </c>
    </row>
    <row r="8728" spans="1:10" x14ac:dyDescent="0.25">
      <c r="A8728" s="7" t="s">
        <v>17775</v>
      </c>
      <c r="B8728" s="8">
        <v>425</v>
      </c>
      <c r="C8728" s="8">
        <v>20.478950000000001</v>
      </c>
      <c r="D8728" s="8">
        <v>86</v>
      </c>
      <c r="E8728" s="8">
        <v>0</v>
      </c>
      <c r="F8728" s="8">
        <v>0</v>
      </c>
      <c r="G8728" s="8">
        <v>0</v>
      </c>
      <c r="H8728" s="8" t="s">
        <v>17776</v>
      </c>
      <c r="I8728" s="8">
        <v>536.25</v>
      </c>
      <c r="J8728" s="3">
        <f t="shared" si="136"/>
        <v>43748.116577245368</v>
      </c>
    </row>
    <row r="8729" spans="1:10" x14ac:dyDescent="0.25">
      <c r="A8729" s="5" t="s">
        <v>17777</v>
      </c>
      <c r="B8729" s="6">
        <v>406.25</v>
      </c>
      <c r="C8729" s="6">
        <v>20.426300000000001</v>
      </c>
      <c r="D8729" s="6">
        <v>87</v>
      </c>
      <c r="E8729" s="6">
        <v>0</v>
      </c>
      <c r="F8729" s="6">
        <v>0</v>
      </c>
      <c r="G8729" s="6">
        <v>6</v>
      </c>
      <c r="H8729" s="6" t="s">
        <v>17778</v>
      </c>
      <c r="I8729" s="6">
        <v>530.625</v>
      </c>
      <c r="J8729" s="2">
        <f t="shared" si="136"/>
        <v>43748.116648564814</v>
      </c>
    </row>
    <row r="8730" spans="1:10" x14ac:dyDescent="0.25">
      <c r="A8730" s="7" t="s">
        <v>17779</v>
      </c>
      <c r="B8730" s="8">
        <v>406.25</v>
      </c>
      <c r="C8730" s="8">
        <v>20.478950000000001</v>
      </c>
      <c r="D8730" s="8">
        <v>87</v>
      </c>
      <c r="E8730" s="8">
        <v>0</v>
      </c>
      <c r="F8730" s="8">
        <v>0</v>
      </c>
      <c r="G8730" s="8">
        <v>10</v>
      </c>
      <c r="H8730" s="8" t="s">
        <v>17780</v>
      </c>
      <c r="I8730" s="8">
        <v>530.625</v>
      </c>
      <c r="J8730" s="3">
        <f t="shared" si="136"/>
        <v>43748.116719768521</v>
      </c>
    </row>
    <row r="8731" spans="1:10" x14ac:dyDescent="0.25">
      <c r="A8731" s="5" t="s">
        <v>17781</v>
      </c>
      <c r="B8731" s="6">
        <v>403.125</v>
      </c>
      <c r="C8731" s="6">
        <v>20.478950000000001</v>
      </c>
      <c r="D8731" s="6">
        <v>86</v>
      </c>
      <c r="E8731" s="6">
        <v>0</v>
      </c>
      <c r="F8731" s="6">
        <v>0</v>
      </c>
      <c r="G8731" s="6">
        <v>0</v>
      </c>
      <c r="H8731" s="6" t="s">
        <v>17782</v>
      </c>
      <c r="I8731" s="6">
        <v>529.875</v>
      </c>
      <c r="J8731" s="2">
        <f t="shared" si="136"/>
        <v>43748.116791296292</v>
      </c>
    </row>
    <row r="8732" spans="1:10" x14ac:dyDescent="0.25">
      <c r="A8732" s="7" t="s">
        <v>17783</v>
      </c>
      <c r="B8732" s="8">
        <v>403.125</v>
      </c>
      <c r="C8732" s="8">
        <v>20.478950000000001</v>
      </c>
      <c r="D8732" s="8">
        <v>86</v>
      </c>
      <c r="E8732" s="8">
        <v>0</v>
      </c>
      <c r="F8732" s="8">
        <v>0</v>
      </c>
      <c r="G8732" s="8">
        <v>1</v>
      </c>
      <c r="H8732" s="8" t="s">
        <v>17784</v>
      </c>
      <c r="I8732" s="8">
        <v>529.125</v>
      </c>
      <c r="J8732" s="3">
        <f t="shared" si="136"/>
        <v>43748.116887430551</v>
      </c>
    </row>
    <row r="8733" spans="1:10" x14ac:dyDescent="0.25">
      <c r="A8733" s="5" t="s">
        <v>17785</v>
      </c>
      <c r="B8733" s="6">
        <v>403.125</v>
      </c>
      <c r="C8733" s="6">
        <v>20.426300000000001</v>
      </c>
      <c r="D8733" s="6">
        <v>87</v>
      </c>
      <c r="E8733" s="6">
        <v>0</v>
      </c>
      <c r="F8733" s="6">
        <v>0</v>
      </c>
      <c r="G8733" s="6">
        <v>9</v>
      </c>
      <c r="H8733" s="6" t="s">
        <v>17786</v>
      </c>
      <c r="I8733" s="6">
        <v>529.125</v>
      </c>
      <c r="J8733" s="2">
        <f t="shared" si="136"/>
        <v>43748.116970763884</v>
      </c>
    </row>
    <row r="8734" spans="1:10" x14ac:dyDescent="0.25">
      <c r="A8734" s="7" t="s">
        <v>17787</v>
      </c>
      <c r="B8734" s="8">
        <v>418.75</v>
      </c>
      <c r="C8734" s="8">
        <v>20.478950000000001</v>
      </c>
      <c r="D8734" s="8">
        <v>87</v>
      </c>
      <c r="E8734" s="8">
        <v>0</v>
      </c>
      <c r="F8734" s="8">
        <v>0</v>
      </c>
      <c r="G8734" s="8">
        <v>2</v>
      </c>
      <c r="H8734" s="8" t="s">
        <v>17788</v>
      </c>
      <c r="I8734" s="8">
        <v>534.75</v>
      </c>
      <c r="J8734" s="3">
        <f t="shared" si="136"/>
        <v>43748.117042060177</v>
      </c>
    </row>
    <row r="8735" spans="1:10" x14ac:dyDescent="0.25">
      <c r="A8735" s="5" t="s">
        <v>17789</v>
      </c>
      <c r="B8735" s="6">
        <v>403.125</v>
      </c>
      <c r="C8735" s="6">
        <v>20.426300000000001</v>
      </c>
      <c r="D8735" s="6">
        <v>84</v>
      </c>
      <c r="E8735" s="6">
        <v>0</v>
      </c>
      <c r="F8735" s="6">
        <v>0</v>
      </c>
      <c r="G8735" s="6">
        <v>5</v>
      </c>
      <c r="H8735" s="6" t="s">
        <v>17790</v>
      </c>
      <c r="I8735" s="6">
        <v>529.125</v>
      </c>
      <c r="J8735" s="2">
        <f t="shared" si="136"/>
        <v>43748.117113344902</v>
      </c>
    </row>
    <row r="8736" spans="1:10" x14ac:dyDescent="0.25">
      <c r="A8736" s="7" t="s">
        <v>17791</v>
      </c>
      <c r="B8736" s="8">
        <v>403.125</v>
      </c>
      <c r="C8736" s="8">
        <v>20.478950000000001</v>
      </c>
      <c r="D8736" s="8">
        <v>83</v>
      </c>
      <c r="E8736" s="8">
        <v>0</v>
      </c>
      <c r="F8736" s="8">
        <v>0</v>
      </c>
      <c r="G8736" s="8">
        <v>14</v>
      </c>
      <c r="H8736" s="8" t="s">
        <v>17792</v>
      </c>
      <c r="I8736" s="8">
        <v>529.125</v>
      </c>
      <c r="J8736" s="3">
        <f t="shared" si="136"/>
        <v>43748.117185694442</v>
      </c>
    </row>
    <row r="8737" spans="1:10" x14ac:dyDescent="0.25">
      <c r="A8737" s="5" t="s">
        <v>17793</v>
      </c>
      <c r="B8737" s="6">
        <v>400</v>
      </c>
      <c r="C8737" s="6">
        <v>20.478950000000001</v>
      </c>
      <c r="D8737" s="6">
        <v>82</v>
      </c>
      <c r="E8737" s="6">
        <v>0</v>
      </c>
      <c r="F8737" s="6">
        <v>0</v>
      </c>
      <c r="G8737" s="6">
        <v>9</v>
      </c>
      <c r="H8737" s="6" t="s">
        <v>17794</v>
      </c>
      <c r="I8737" s="6">
        <v>528.1875</v>
      </c>
      <c r="J8737" s="2">
        <f t="shared" si="136"/>
        <v>43748.117256863428</v>
      </c>
    </row>
    <row r="8738" spans="1:10" x14ac:dyDescent="0.25">
      <c r="A8738" s="7" t="s">
        <v>17795</v>
      </c>
      <c r="B8738" s="8">
        <v>440.625</v>
      </c>
      <c r="C8738" s="8">
        <v>20.478950000000001</v>
      </c>
      <c r="D8738" s="8">
        <v>83</v>
      </c>
      <c r="E8738" s="8">
        <v>0</v>
      </c>
      <c r="F8738" s="8">
        <v>0</v>
      </c>
      <c r="G8738" s="8">
        <v>0</v>
      </c>
      <c r="H8738" s="8" t="s">
        <v>17796</v>
      </c>
      <c r="I8738" s="8">
        <v>541.6875</v>
      </c>
      <c r="J8738" s="3">
        <f t="shared" si="136"/>
        <v>43748.117328171291</v>
      </c>
    </row>
    <row r="8739" spans="1:10" x14ac:dyDescent="0.25">
      <c r="A8739" s="5" t="s">
        <v>17797</v>
      </c>
      <c r="B8739" s="6">
        <v>400</v>
      </c>
      <c r="C8739" s="6">
        <v>20.478950000000001</v>
      </c>
      <c r="D8739" s="6">
        <v>82</v>
      </c>
      <c r="E8739" s="6">
        <v>0</v>
      </c>
      <c r="F8739" s="6">
        <v>0</v>
      </c>
      <c r="G8739" s="6">
        <v>4</v>
      </c>
      <c r="H8739" s="6" t="s">
        <v>17798</v>
      </c>
      <c r="I8739" s="6">
        <v>528.1875</v>
      </c>
      <c r="J8739" s="2">
        <f t="shared" si="136"/>
        <v>43748.117399456016</v>
      </c>
    </row>
    <row r="8740" spans="1:10" x14ac:dyDescent="0.25">
      <c r="A8740" s="7" t="s">
        <v>17799</v>
      </c>
      <c r="B8740" s="8">
        <v>403.125</v>
      </c>
      <c r="C8740" s="8">
        <v>20.478950000000001</v>
      </c>
      <c r="D8740" s="8">
        <v>83</v>
      </c>
      <c r="E8740" s="8">
        <v>0</v>
      </c>
      <c r="F8740" s="8">
        <v>0</v>
      </c>
      <c r="G8740" s="8">
        <v>11</v>
      </c>
      <c r="H8740" s="8" t="s">
        <v>17800</v>
      </c>
      <c r="I8740" s="8">
        <v>529.125</v>
      </c>
      <c r="J8740" s="3">
        <f t="shared" si="136"/>
        <v>43748.117494837956</v>
      </c>
    </row>
    <row r="8741" spans="1:10" x14ac:dyDescent="0.25">
      <c r="A8741" s="5" t="s">
        <v>17801</v>
      </c>
      <c r="B8741" s="6">
        <v>418.75</v>
      </c>
      <c r="C8741" s="6">
        <v>20.478950000000001</v>
      </c>
      <c r="D8741" s="6">
        <v>85</v>
      </c>
      <c r="E8741" s="6">
        <v>0</v>
      </c>
      <c r="F8741" s="6">
        <v>0</v>
      </c>
      <c r="G8741" s="6">
        <v>10</v>
      </c>
      <c r="H8741" s="6" t="s">
        <v>17802</v>
      </c>
      <c r="I8741" s="6">
        <v>534.75</v>
      </c>
      <c r="J8741" s="2">
        <f t="shared" si="136"/>
        <v>43748.117567071757</v>
      </c>
    </row>
    <row r="8742" spans="1:10" x14ac:dyDescent="0.25">
      <c r="A8742" s="7" t="s">
        <v>17803</v>
      </c>
      <c r="B8742" s="8">
        <v>403.125</v>
      </c>
      <c r="C8742" s="8">
        <v>20.478950000000001</v>
      </c>
      <c r="D8742" s="8">
        <v>86</v>
      </c>
      <c r="E8742" s="8">
        <v>0</v>
      </c>
      <c r="F8742" s="8">
        <v>0</v>
      </c>
      <c r="G8742" s="8">
        <v>9</v>
      </c>
      <c r="H8742" s="8" t="s">
        <v>17804</v>
      </c>
      <c r="I8742" s="8">
        <v>529.125</v>
      </c>
      <c r="J8742" s="3">
        <f t="shared" si="136"/>
        <v>43748.117638344906</v>
      </c>
    </row>
    <row r="8743" spans="1:10" x14ac:dyDescent="0.25">
      <c r="A8743" s="5" t="s">
        <v>17805</v>
      </c>
      <c r="B8743" s="6">
        <v>403.125</v>
      </c>
      <c r="C8743" s="6">
        <v>20.478950000000001</v>
      </c>
      <c r="D8743" s="6">
        <v>86</v>
      </c>
      <c r="E8743" s="6">
        <v>0</v>
      </c>
      <c r="F8743" s="6">
        <v>0</v>
      </c>
      <c r="G8743" s="6">
        <v>1</v>
      </c>
      <c r="H8743" s="6" t="s">
        <v>17806</v>
      </c>
      <c r="I8743" s="6">
        <v>529.125</v>
      </c>
      <c r="J8743" s="2">
        <f t="shared" si="136"/>
        <v>43748.117721689814</v>
      </c>
    </row>
    <row r="8744" spans="1:10" x14ac:dyDescent="0.25">
      <c r="A8744" s="7" t="s">
        <v>17807</v>
      </c>
      <c r="B8744" s="8">
        <v>403.125</v>
      </c>
      <c r="C8744" s="8">
        <v>20.478950000000001</v>
      </c>
      <c r="D8744" s="8">
        <v>86</v>
      </c>
      <c r="E8744" s="8">
        <v>0</v>
      </c>
      <c r="F8744" s="8">
        <v>0</v>
      </c>
      <c r="G8744" s="8">
        <v>7</v>
      </c>
      <c r="H8744" s="8" t="s">
        <v>17808</v>
      </c>
      <c r="I8744" s="8">
        <v>529.125</v>
      </c>
      <c r="J8744" s="3">
        <f t="shared" si="136"/>
        <v>43748.117792928235</v>
      </c>
    </row>
    <row r="8745" spans="1:10" x14ac:dyDescent="0.25">
      <c r="A8745" s="5" t="s">
        <v>17809</v>
      </c>
      <c r="B8745" s="6">
        <v>403.125</v>
      </c>
      <c r="C8745" s="6">
        <v>20.426300000000001</v>
      </c>
      <c r="D8745" s="6">
        <v>88</v>
      </c>
      <c r="E8745" s="6">
        <v>0</v>
      </c>
      <c r="F8745" s="6">
        <v>0</v>
      </c>
      <c r="G8745" s="6">
        <v>14</v>
      </c>
      <c r="H8745" s="6" t="s">
        <v>17810</v>
      </c>
      <c r="I8745" s="6">
        <v>529.125</v>
      </c>
      <c r="J8745" s="2">
        <f t="shared" si="136"/>
        <v>43748.11788834491</v>
      </c>
    </row>
    <row r="8746" spans="1:10" x14ac:dyDescent="0.25">
      <c r="A8746" s="7" t="s">
        <v>17811</v>
      </c>
      <c r="B8746" s="8">
        <v>400</v>
      </c>
      <c r="C8746" s="8">
        <v>20.426300000000001</v>
      </c>
      <c r="D8746" s="8">
        <v>88</v>
      </c>
      <c r="E8746" s="8">
        <v>0</v>
      </c>
      <c r="F8746" s="8">
        <v>0</v>
      </c>
      <c r="G8746" s="8">
        <v>7</v>
      </c>
      <c r="H8746" s="8" t="s">
        <v>17812</v>
      </c>
      <c r="I8746" s="8">
        <v>528.9375</v>
      </c>
      <c r="J8746" s="3">
        <f t="shared" si="136"/>
        <v>43748.117960567128</v>
      </c>
    </row>
    <row r="8747" spans="1:10" x14ac:dyDescent="0.25">
      <c r="A8747" s="5" t="s">
        <v>17813</v>
      </c>
      <c r="B8747" s="6">
        <v>406.25</v>
      </c>
      <c r="C8747" s="6">
        <v>20.478950000000001</v>
      </c>
      <c r="D8747" s="6">
        <v>88</v>
      </c>
      <c r="E8747" s="6">
        <v>0</v>
      </c>
      <c r="F8747" s="6">
        <v>0</v>
      </c>
      <c r="G8747" s="6">
        <v>9</v>
      </c>
      <c r="H8747" s="6" t="s">
        <v>17814</v>
      </c>
      <c r="I8747" s="6">
        <v>530.8125</v>
      </c>
      <c r="J8747" s="2">
        <f t="shared" si="136"/>
        <v>43748.118031874998</v>
      </c>
    </row>
    <row r="8748" spans="1:10" x14ac:dyDescent="0.25">
      <c r="A8748" s="7" t="s">
        <v>17815</v>
      </c>
      <c r="B8748" s="8">
        <v>403.125</v>
      </c>
      <c r="C8748" s="8">
        <v>20.426300000000001</v>
      </c>
      <c r="D8748" s="8">
        <v>86</v>
      </c>
      <c r="E8748" s="8">
        <v>0</v>
      </c>
      <c r="F8748" s="8">
        <v>0</v>
      </c>
      <c r="G8748" s="8">
        <v>8</v>
      </c>
      <c r="H8748" s="8" t="s">
        <v>17816</v>
      </c>
      <c r="I8748" s="8">
        <v>529.125</v>
      </c>
      <c r="J8748" s="3">
        <f t="shared" si="136"/>
        <v>43748.118115196754</v>
      </c>
    </row>
    <row r="8749" spans="1:10" x14ac:dyDescent="0.25">
      <c r="A8749" s="5" t="s">
        <v>17817</v>
      </c>
      <c r="B8749" s="6">
        <v>400</v>
      </c>
      <c r="C8749" s="6">
        <v>20.478950000000001</v>
      </c>
      <c r="D8749" s="6">
        <v>85</v>
      </c>
      <c r="E8749" s="6">
        <v>0</v>
      </c>
      <c r="F8749" s="6">
        <v>0</v>
      </c>
      <c r="G8749" s="6">
        <v>5</v>
      </c>
      <c r="H8749" s="6" t="s">
        <v>17818</v>
      </c>
      <c r="I8749" s="6">
        <v>528.1875</v>
      </c>
      <c r="J8749" s="2">
        <f t="shared" si="136"/>
        <v>43748.1181865162</v>
      </c>
    </row>
    <row r="8750" spans="1:10" x14ac:dyDescent="0.25">
      <c r="A8750" s="7" t="s">
        <v>17819</v>
      </c>
      <c r="B8750" s="8">
        <v>425</v>
      </c>
      <c r="C8750" s="8">
        <v>20.478950000000001</v>
      </c>
      <c r="D8750" s="8">
        <v>86</v>
      </c>
      <c r="E8750" s="8">
        <v>0</v>
      </c>
      <c r="F8750" s="8">
        <v>0</v>
      </c>
      <c r="G8750" s="8">
        <v>3</v>
      </c>
      <c r="H8750" s="8" t="s">
        <v>17820</v>
      </c>
      <c r="I8750" s="8">
        <v>536.4375</v>
      </c>
      <c r="J8750" s="3">
        <f t="shared" si="136"/>
        <v>43748.118270763887</v>
      </c>
    </row>
    <row r="8751" spans="1:10" x14ac:dyDescent="0.25">
      <c r="A8751" s="5" t="s">
        <v>17821</v>
      </c>
      <c r="B8751" s="6">
        <v>396.875</v>
      </c>
      <c r="C8751" s="6">
        <v>20.478950000000001</v>
      </c>
      <c r="D8751" s="6">
        <v>87</v>
      </c>
      <c r="E8751" s="6">
        <v>0</v>
      </c>
      <c r="F8751" s="6">
        <v>0</v>
      </c>
      <c r="G8751" s="6">
        <v>0</v>
      </c>
      <c r="H8751" s="6" t="s">
        <v>17822</v>
      </c>
      <c r="I8751" s="6">
        <v>527.4375</v>
      </c>
      <c r="J8751" s="2">
        <f t="shared" si="136"/>
        <v>43748.118342071757</v>
      </c>
    </row>
    <row r="8752" spans="1:10" x14ac:dyDescent="0.25">
      <c r="A8752" s="7" t="s">
        <v>17823</v>
      </c>
      <c r="B8752" s="8">
        <v>396.875</v>
      </c>
      <c r="C8752" s="8">
        <v>20.426300000000001</v>
      </c>
      <c r="D8752" s="8">
        <v>89</v>
      </c>
      <c r="E8752" s="8">
        <v>0</v>
      </c>
      <c r="F8752" s="8">
        <v>0</v>
      </c>
      <c r="G8752" s="8">
        <v>6</v>
      </c>
      <c r="H8752" s="8" t="s">
        <v>17824</v>
      </c>
      <c r="I8752" s="8">
        <v>527.4375</v>
      </c>
      <c r="J8752" s="3">
        <f t="shared" si="136"/>
        <v>43748.118413356475</v>
      </c>
    </row>
    <row r="8753" spans="1:10" x14ac:dyDescent="0.25">
      <c r="A8753" s="5" t="s">
        <v>17825</v>
      </c>
      <c r="B8753" s="6">
        <v>396.875</v>
      </c>
      <c r="C8753" s="6">
        <v>20.478950000000001</v>
      </c>
      <c r="D8753" s="6">
        <v>89</v>
      </c>
      <c r="E8753" s="6">
        <v>0</v>
      </c>
      <c r="F8753" s="6">
        <v>0</v>
      </c>
      <c r="G8753" s="6">
        <v>3</v>
      </c>
      <c r="H8753" s="6" t="s">
        <v>17826</v>
      </c>
      <c r="I8753" s="6">
        <v>527.4375</v>
      </c>
      <c r="J8753" s="2">
        <f t="shared" si="136"/>
        <v>43748.118496678238</v>
      </c>
    </row>
    <row r="8754" spans="1:10" x14ac:dyDescent="0.25">
      <c r="A8754" s="7" t="s">
        <v>17827</v>
      </c>
      <c r="B8754" s="8">
        <v>396.875</v>
      </c>
      <c r="C8754" s="8">
        <v>20.478950000000001</v>
      </c>
      <c r="D8754" s="8">
        <v>89</v>
      </c>
      <c r="E8754" s="8">
        <v>0</v>
      </c>
      <c r="F8754" s="8">
        <v>0</v>
      </c>
      <c r="G8754" s="8">
        <v>0</v>
      </c>
      <c r="H8754" s="8" t="s">
        <v>17828</v>
      </c>
      <c r="I8754" s="8">
        <v>527.4375</v>
      </c>
      <c r="J8754" s="3">
        <f t="shared" si="136"/>
        <v>43748.118568900456</v>
      </c>
    </row>
    <row r="8755" spans="1:10" x14ac:dyDescent="0.25">
      <c r="A8755" s="5" t="s">
        <v>17829</v>
      </c>
      <c r="B8755" s="6">
        <v>396.875</v>
      </c>
      <c r="C8755" s="6">
        <v>20.478950000000001</v>
      </c>
      <c r="D8755" s="6">
        <v>90</v>
      </c>
      <c r="E8755" s="6">
        <v>0</v>
      </c>
      <c r="F8755" s="6">
        <v>0</v>
      </c>
      <c r="G8755" s="6">
        <v>6</v>
      </c>
      <c r="H8755" s="6" t="s">
        <v>17830</v>
      </c>
      <c r="I8755" s="6">
        <v>527.4375</v>
      </c>
      <c r="J8755" s="2">
        <f t="shared" si="136"/>
        <v>43748.118640254623</v>
      </c>
    </row>
    <row r="8756" spans="1:10" x14ac:dyDescent="0.25">
      <c r="A8756" s="7" t="s">
        <v>17831</v>
      </c>
      <c r="B8756" s="8">
        <v>396.875</v>
      </c>
      <c r="C8756" s="8">
        <v>20.478950000000001</v>
      </c>
      <c r="D8756" s="8">
        <v>89</v>
      </c>
      <c r="E8756" s="8">
        <v>0</v>
      </c>
      <c r="F8756" s="8">
        <v>0</v>
      </c>
      <c r="G8756" s="8">
        <v>6</v>
      </c>
      <c r="H8756" s="8" t="s">
        <v>17832</v>
      </c>
      <c r="I8756" s="8">
        <v>527.4375</v>
      </c>
      <c r="J8756" s="3">
        <f t="shared" si="136"/>
        <v>43748.118711493058</v>
      </c>
    </row>
    <row r="8757" spans="1:10" x14ac:dyDescent="0.25">
      <c r="A8757" s="5" t="s">
        <v>17833</v>
      </c>
      <c r="B8757" s="6">
        <v>428.125</v>
      </c>
      <c r="C8757" s="6">
        <v>20.478950000000001</v>
      </c>
      <c r="D8757" s="6">
        <v>90</v>
      </c>
      <c r="E8757" s="6">
        <v>0</v>
      </c>
      <c r="F8757" s="6">
        <v>0</v>
      </c>
      <c r="G8757" s="6">
        <v>0</v>
      </c>
      <c r="H8757" s="6" t="s">
        <v>17834</v>
      </c>
      <c r="I8757" s="6">
        <v>537.75</v>
      </c>
      <c r="J8757" s="2">
        <f t="shared" si="136"/>
        <v>43748.118782800921</v>
      </c>
    </row>
    <row r="8758" spans="1:10" x14ac:dyDescent="0.25">
      <c r="A8758" s="7" t="s">
        <v>17835</v>
      </c>
      <c r="B8758" s="8">
        <v>400</v>
      </c>
      <c r="C8758" s="8">
        <v>20.426300000000001</v>
      </c>
      <c r="D8758" s="8">
        <v>90</v>
      </c>
      <c r="E8758" s="8">
        <v>0</v>
      </c>
      <c r="F8758" s="8">
        <v>0</v>
      </c>
      <c r="G8758" s="8">
        <v>7</v>
      </c>
      <c r="H8758" s="8" t="s">
        <v>17836</v>
      </c>
      <c r="I8758" s="8">
        <v>528.1875</v>
      </c>
      <c r="J8758" s="3">
        <f t="shared" si="136"/>
        <v>43748.118855034721</v>
      </c>
    </row>
    <row r="8759" spans="1:10" x14ac:dyDescent="0.25">
      <c r="A8759" s="5" t="s">
        <v>17837</v>
      </c>
      <c r="B8759" s="6">
        <v>400</v>
      </c>
      <c r="C8759" s="6">
        <v>20.478950000000001</v>
      </c>
      <c r="D8759" s="6">
        <v>91</v>
      </c>
      <c r="E8759" s="6">
        <v>0</v>
      </c>
      <c r="F8759" s="6">
        <v>0</v>
      </c>
      <c r="G8759" s="6">
        <v>4</v>
      </c>
      <c r="H8759" s="6" t="s">
        <v>17838</v>
      </c>
      <c r="I8759" s="6">
        <v>528.1875</v>
      </c>
      <c r="J8759" s="2">
        <f t="shared" si="136"/>
        <v>43748.118938356478</v>
      </c>
    </row>
    <row r="8760" spans="1:10" x14ac:dyDescent="0.25">
      <c r="A8760" s="7" t="s">
        <v>17839</v>
      </c>
      <c r="B8760" s="8">
        <v>396.875</v>
      </c>
      <c r="C8760" s="8">
        <v>20.478950000000001</v>
      </c>
      <c r="D8760" s="8">
        <v>91</v>
      </c>
      <c r="E8760" s="8">
        <v>0</v>
      </c>
      <c r="F8760" s="8">
        <v>0</v>
      </c>
      <c r="G8760" s="8">
        <v>8</v>
      </c>
      <c r="H8760" s="8" t="s">
        <v>17840</v>
      </c>
      <c r="I8760" s="8">
        <v>527.4375</v>
      </c>
      <c r="J8760" s="3">
        <f t="shared" si="136"/>
        <v>43748.119009664348</v>
      </c>
    </row>
    <row r="8761" spans="1:10" x14ac:dyDescent="0.25">
      <c r="A8761" s="5" t="s">
        <v>17841</v>
      </c>
      <c r="B8761" s="6">
        <v>396.875</v>
      </c>
      <c r="C8761" s="6">
        <v>20.478950000000001</v>
      </c>
      <c r="D8761" s="6">
        <v>89</v>
      </c>
      <c r="E8761" s="6">
        <v>0</v>
      </c>
      <c r="F8761" s="6">
        <v>0</v>
      </c>
      <c r="G8761" s="6">
        <v>0</v>
      </c>
      <c r="H8761" s="6" t="s">
        <v>17842</v>
      </c>
      <c r="I8761" s="6">
        <v>527.4375</v>
      </c>
      <c r="J8761" s="2">
        <f t="shared" si="136"/>
        <v>43748.119080960641</v>
      </c>
    </row>
    <row r="8762" spans="1:10" x14ac:dyDescent="0.25">
      <c r="A8762" s="7" t="s">
        <v>17843</v>
      </c>
      <c r="B8762" s="8">
        <v>400</v>
      </c>
      <c r="C8762" s="8">
        <v>20.478950000000001</v>
      </c>
      <c r="D8762" s="8">
        <v>90</v>
      </c>
      <c r="E8762" s="8">
        <v>0</v>
      </c>
      <c r="F8762" s="8">
        <v>0</v>
      </c>
      <c r="G8762" s="8">
        <v>9</v>
      </c>
      <c r="H8762" s="8" t="s">
        <v>17844</v>
      </c>
      <c r="I8762" s="8">
        <v>528.1875</v>
      </c>
      <c r="J8762" s="3">
        <f t="shared" si="136"/>
        <v>43748.119160555558</v>
      </c>
    </row>
    <row r="8763" spans="1:10" x14ac:dyDescent="0.25">
      <c r="A8763" s="5" t="s">
        <v>17845</v>
      </c>
      <c r="B8763" s="6">
        <v>400</v>
      </c>
      <c r="C8763" s="6">
        <v>20.478950000000001</v>
      </c>
      <c r="D8763" s="6">
        <v>90</v>
      </c>
      <c r="E8763" s="6">
        <v>0</v>
      </c>
      <c r="F8763" s="6">
        <v>0</v>
      </c>
      <c r="G8763" s="6">
        <v>6</v>
      </c>
      <c r="H8763" s="6" t="s">
        <v>17846</v>
      </c>
      <c r="I8763" s="6">
        <v>528.1875</v>
      </c>
      <c r="J8763" s="2">
        <f t="shared" si="136"/>
        <v>43748.119236516206</v>
      </c>
    </row>
    <row r="8764" spans="1:10" x14ac:dyDescent="0.25">
      <c r="A8764" s="7" t="s">
        <v>17847</v>
      </c>
      <c r="B8764" s="8">
        <v>418.75</v>
      </c>
      <c r="C8764" s="8">
        <v>20.478950000000001</v>
      </c>
      <c r="D8764" s="8">
        <v>91</v>
      </c>
      <c r="E8764" s="8">
        <v>0</v>
      </c>
      <c r="F8764" s="8">
        <v>0</v>
      </c>
      <c r="G8764" s="8">
        <v>11</v>
      </c>
      <c r="H8764" s="8" t="s">
        <v>17848</v>
      </c>
      <c r="I8764" s="8">
        <v>534.9375</v>
      </c>
      <c r="J8764" s="3">
        <f t="shared" si="136"/>
        <v>43748.119307800924</v>
      </c>
    </row>
    <row r="8765" spans="1:10" x14ac:dyDescent="0.25">
      <c r="A8765" s="5" t="s">
        <v>17849</v>
      </c>
      <c r="B8765" s="6">
        <v>400</v>
      </c>
      <c r="C8765" s="6">
        <v>20.478950000000001</v>
      </c>
      <c r="D8765" s="6">
        <v>91</v>
      </c>
      <c r="E8765" s="6">
        <v>0</v>
      </c>
      <c r="F8765" s="6">
        <v>0</v>
      </c>
      <c r="G8765" s="6">
        <v>7</v>
      </c>
      <c r="H8765" s="6" t="s">
        <v>17850</v>
      </c>
      <c r="I8765" s="6">
        <v>528.1875</v>
      </c>
      <c r="J8765" s="2">
        <f t="shared" si="136"/>
        <v>43748.119379097225</v>
      </c>
    </row>
    <row r="8766" spans="1:10" x14ac:dyDescent="0.25">
      <c r="A8766" s="7" t="s">
        <v>17851</v>
      </c>
      <c r="B8766" s="8">
        <v>400</v>
      </c>
      <c r="C8766" s="8">
        <v>20.478950000000001</v>
      </c>
      <c r="D8766" s="8">
        <v>92</v>
      </c>
      <c r="E8766" s="8">
        <v>0</v>
      </c>
      <c r="F8766" s="8">
        <v>0</v>
      </c>
      <c r="G8766" s="8">
        <v>7</v>
      </c>
      <c r="H8766" s="8" t="s">
        <v>17852</v>
      </c>
      <c r="I8766" s="8">
        <v>528.375</v>
      </c>
      <c r="J8766" s="3">
        <f t="shared" si="136"/>
        <v>43748.119451319442</v>
      </c>
    </row>
    <row r="8767" spans="1:10" x14ac:dyDescent="0.25">
      <c r="A8767" s="5" t="s">
        <v>17853</v>
      </c>
      <c r="B8767" s="6">
        <v>400</v>
      </c>
      <c r="C8767" s="6">
        <v>20.478950000000001</v>
      </c>
      <c r="D8767" s="6">
        <v>92</v>
      </c>
      <c r="E8767" s="6">
        <v>0</v>
      </c>
      <c r="F8767" s="6">
        <v>0</v>
      </c>
      <c r="G8767" s="6">
        <v>6</v>
      </c>
      <c r="H8767" s="6" t="s">
        <v>17854</v>
      </c>
      <c r="I8767" s="6">
        <v>528.1875</v>
      </c>
      <c r="J8767" s="2">
        <f t="shared" si="136"/>
        <v>43748.119522557863</v>
      </c>
    </row>
    <row r="8768" spans="1:10" x14ac:dyDescent="0.25">
      <c r="A8768" s="7" t="s">
        <v>17855</v>
      </c>
      <c r="B8768" s="8">
        <v>400</v>
      </c>
      <c r="C8768" s="8">
        <v>20.478950000000001</v>
      </c>
      <c r="D8768" s="8">
        <v>91</v>
      </c>
      <c r="E8768" s="8">
        <v>0</v>
      </c>
      <c r="F8768" s="8">
        <v>0</v>
      </c>
      <c r="G8768" s="8">
        <v>6</v>
      </c>
      <c r="H8768" s="8" t="s">
        <v>17856</v>
      </c>
      <c r="I8768" s="8">
        <v>528.1875</v>
      </c>
      <c r="J8768" s="3">
        <f t="shared" si="136"/>
        <v>43748.119593900461</v>
      </c>
    </row>
    <row r="8769" spans="1:10" x14ac:dyDescent="0.25">
      <c r="A8769" s="5" t="s">
        <v>17857</v>
      </c>
      <c r="B8769" s="6">
        <v>400</v>
      </c>
      <c r="C8769" s="6">
        <v>20.478950000000001</v>
      </c>
      <c r="D8769" s="6">
        <v>92</v>
      </c>
      <c r="E8769" s="6">
        <v>0</v>
      </c>
      <c r="F8769" s="6">
        <v>0</v>
      </c>
      <c r="G8769" s="6">
        <v>3</v>
      </c>
      <c r="H8769" s="6" t="s">
        <v>17858</v>
      </c>
      <c r="I8769" s="6">
        <v>528.1875</v>
      </c>
      <c r="J8769" s="2">
        <f t="shared" si="136"/>
        <v>43748.119665914353</v>
      </c>
    </row>
    <row r="8770" spans="1:10" x14ac:dyDescent="0.25">
      <c r="A8770" s="7" t="s">
        <v>17859</v>
      </c>
      <c r="B8770" s="8">
        <v>403.125</v>
      </c>
      <c r="C8770" s="8">
        <v>20.478950000000001</v>
      </c>
      <c r="D8770" s="8">
        <v>93</v>
      </c>
      <c r="E8770" s="8">
        <v>0</v>
      </c>
      <c r="F8770" s="8">
        <v>0</v>
      </c>
      <c r="G8770" s="8">
        <v>4</v>
      </c>
      <c r="H8770" s="8" t="s">
        <v>17860</v>
      </c>
      <c r="I8770" s="8">
        <v>529.125</v>
      </c>
      <c r="J8770" s="3">
        <f t="shared" ref="J8770:J8833" si="137">(H8770/86400000)+25569+(7/24)</f>
        <v>43748.119737453701</v>
      </c>
    </row>
    <row r="8771" spans="1:10" x14ac:dyDescent="0.25">
      <c r="A8771" s="5" t="s">
        <v>17861</v>
      </c>
      <c r="B8771" s="6">
        <v>400</v>
      </c>
      <c r="C8771" s="6">
        <v>20.478950000000001</v>
      </c>
      <c r="D8771" s="6">
        <v>92</v>
      </c>
      <c r="E8771" s="6">
        <v>0</v>
      </c>
      <c r="F8771" s="6">
        <v>0</v>
      </c>
      <c r="G8771" s="6">
        <v>7</v>
      </c>
      <c r="H8771" s="6" t="s">
        <v>17862</v>
      </c>
      <c r="I8771" s="6">
        <v>528.1875</v>
      </c>
      <c r="J8771" s="2">
        <f t="shared" si="137"/>
        <v>43748.119808738418</v>
      </c>
    </row>
    <row r="8772" spans="1:10" x14ac:dyDescent="0.25">
      <c r="A8772" s="7" t="s">
        <v>17863</v>
      </c>
      <c r="B8772" s="8">
        <v>396.875</v>
      </c>
      <c r="C8772" s="8">
        <v>20.478950000000001</v>
      </c>
      <c r="D8772" s="8">
        <v>92</v>
      </c>
      <c r="E8772" s="8">
        <v>0</v>
      </c>
      <c r="F8772" s="8">
        <v>0</v>
      </c>
      <c r="G8772" s="8">
        <v>9</v>
      </c>
      <c r="H8772" s="8" t="s">
        <v>17864</v>
      </c>
      <c r="I8772" s="8">
        <v>527.4375</v>
      </c>
      <c r="J8772" s="3">
        <f t="shared" si="137"/>
        <v>43748.119880023143</v>
      </c>
    </row>
    <row r="8773" spans="1:10" x14ac:dyDescent="0.25">
      <c r="A8773" s="5" t="s">
        <v>17865</v>
      </c>
      <c r="B8773" s="6">
        <v>396.875</v>
      </c>
      <c r="C8773" s="6">
        <v>20.478950000000001</v>
      </c>
      <c r="D8773" s="6">
        <v>89</v>
      </c>
      <c r="E8773" s="6">
        <v>0</v>
      </c>
      <c r="F8773" s="6">
        <v>0</v>
      </c>
      <c r="G8773" s="6">
        <v>8</v>
      </c>
      <c r="H8773" s="6" t="s">
        <v>17866</v>
      </c>
      <c r="I8773" s="6">
        <v>527.4375</v>
      </c>
      <c r="J8773" s="2">
        <f t="shared" si="137"/>
        <v>43748.119976446753</v>
      </c>
    </row>
    <row r="8774" spans="1:10" x14ac:dyDescent="0.25">
      <c r="A8774" s="7" t="s">
        <v>17867</v>
      </c>
      <c r="B8774" s="8">
        <v>396.875</v>
      </c>
      <c r="C8774" s="8">
        <v>20.426300000000001</v>
      </c>
      <c r="D8774" s="8">
        <v>89</v>
      </c>
      <c r="E8774" s="8">
        <v>0</v>
      </c>
      <c r="F8774" s="8">
        <v>0</v>
      </c>
      <c r="G8774" s="8">
        <v>3</v>
      </c>
      <c r="H8774" s="8" t="s">
        <v>17868</v>
      </c>
      <c r="I8774" s="8">
        <v>527.4375</v>
      </c>
      <c r="J8774" s="3">
        <f t="shared" si="137"/>
        <v>43748.120046701391</v>
      </c>
    </row>
    <row r="8775" spans="1:10" x14ac:dyDescent="0.25">
      <c r="A8775" s="5" t="s">
        <v>17869</v>
      </c>
      <c r="B8775" s="6">
        <v>396.875</v>
      </c>
      <c r="C8775" s="6">
        <v>20.478950000000001</v>
      </c>
      <c r="D8775" s="6">
        <v>89</v>
      </c>
      <c r="E8775" s="6">
        <v>0</v>
      </c>
      <c r="F8775" s="6">
        <v>0</v>
      </c>
      <c r="G8775" s="6">
        <v>8</v>
      </c>
      <c r="H8775" s="6" t="s">
        <v>17870</v>
      </c>
      <c r="I8775" s="6">
        <v>527.4375</v>
      </c>
      <c r="J8775" s="2">
        <f t="shared" si="137"/>
        <v>43748.120118333332</v>
      </c>
    </row>
    <row r="8776" spans="1:10" x14ac:dyDescent="0.25">
      <c r="A8776" s="7" t="s">
        <v>17871</v>
      </c>
      <c r="B8776" s="8">
        <v>396.875</v>
      </c>
      <c r="C8776" s="8">
        <v>20.478950000000001</v>
      </c>
      <c r="D8776" s="8">
        <v>89</v>
      </c>
      <c r="E8776" s="8">
        <v>0</v>
      </c>
      <c r="F8776" s="8">
        <v>0</v>
      </c>
      <c r="G8776" s="8">
        <v>0</v>
      </c>
      <c r="H8776" s="8" t="s">
        <v>17872</v>
      </c>
      <c r="I8776" s="8">
        <v>527.4375</v>
      </c>
      <c r="J8776" s="3">
        <f t="shared" si="137"/>
        <v>43748.120203009261</v>
      </c>
    </row>
    <row r="8777" spans="1:10" x14ac:dyDescent="0.25">
      <c r="A8777" s="5" t="s">
        <v>17873</v>
      </c>
      <c r="B8777" s="6">
        <v>400</v>
      </c>
      <c r="C8777" s="6">
        <v>20.478950000000001</v>
      </c>
      <c r="D8777" s="6">
        <v>88</v>
      </c>
      <c r="E8777" s="6">
        <v>0</v>
      </c>
      <c r="F8777" s="6">
        <v>0</v>
      </c>
      <c r="G8777" s="6">
        <v>1</v>
      </c>
      <c r="H8777" s="6" t="s">
        <v>17874</v>
      </c>
      <c r="I8777" s="6">
        <v>528.1875</v>
      </c>
      <c r="J8777" s="2">
        <f t="shared" si="137"/>
        <v>43748.120289664344</v>
      </c>
    </row>
    <row r="8778" spans="1:10" x14ac:dyDescent="0.25">
      <c r="A8778" s="7" t="s">
        <v>17875</v>
      </c>
      <c r="B8778" s="8">
        <v>400</v>
      </c>
      <c r="C8778" s="8">
        <v>20.478950000000001</v>
      </c>
      <c r="D8778" s="8">
        <v>89</v>
      </c>
      <c r="E8778" s="8">
        <v>0</v>
      </c>
      <c r="F8778" s="8">
        <v>0</v>
      </c>
      <c r="G8778" s="8">
        <v>3</v>
      </c>
      <c r="H8778" s="8" t="s">
        <v>17876</v>
      </c>
      <c r="I8778" s="8">
        <v>528.1875</v>
      </c>
      <c r="J8778" s="3">
        <f t="shared" si="137"/>
        <v>43748.120368935182</v>
      </c>
    </row>
    <row r="8779" spans="1:10" x14ac:dyDescent="0.25">
      <c r="A8779" s="5" t="s">
        <v>17877</v>
      </c>
      <c r="B8779" s="6">
        <v>403.125</v>
      </c>
      <c r="C8779" s="6">
        <v>20.478950000000001</v>
      </c>
      <c r="D8779" s="6">
        <v>88</v>
      </c>
      <c r="E8779" s="6">
        <v>0</v>
      </c>
      <c r="F8779" s="6">
        <v>0</v>
      </c>
      <c r="G8779" s="6">
        <v>5</v>
      </c>
      <c r="H8779" s="6" t="s">
        <v>17878</v>
      </c>
      <c r="I8779" s="6">
        <v>529.125</v>
      </c>
      <c r="J8779" s="2">
        <f t="shared" si="137"/>
        <v>43748.120441145831</v>
      </c>
    </row>
    <row r="8780" spans="1:10" x14ac:dyDescent="0.25">
      <c r="A8780" s="7" t="s">
        <v>17879</v>
      </c>
      <c r="B8780" s="8">
        <v>400</v>
      </c>
      <c r="C8780" s="8">
        <v>20.478950000000001</v>
      </c>
      <c r="D8780" s="8">
        <v>89</v>
      </c>
      <c r="E8780" s="8">
        <v>0</v>
      </c>
      <c r="F8780" s="8">
        <v>0</v>
      </c>
      <c r="G8780" s="8">
        <v>11</v>
      </c>
      <c r="H8780" s="8" t="s">
        <v>17880</v>
      </c>
      <c r="I8780" s="8">
        <v>528.9375</v>
      </c>
      <c r="J8780" s="3">
        <f t="shared" si="137"/>
        <v>43748.120512430549</v>
      </c>
    </row>
    <row r="8781" spans="1:10" x14ac:dyDescent="0.25">
      <c r="A8781" s="5" t="s">
        <v>17881</v>
      </c>
      <c r="B8781" s="6">
        <v>403.125</v>
      </c>
      <c r="C8781" s="6">
        <v>20.478950000000001</v>
      </c>
      <c r="D8781" s="6">
        <v>89</v>
      </c>
      <c r="E8781" s="6">
        <v>0</v>
      </c>
      <c r="F8781" s="6">
        <v>0</v>
      </c>
      <c r="G8781" s="6">
        <v>4</v>
      </c>
      <c r="H8781" s="6" t="s">
        <v>17882</v>
      </c>
      <c r="I8781" s="6">
        <v>529.125</v>
      </c>
      <c r="J8781" s="2">
        <f t="shared" si="137"/>
        <v>43748.120583738426</v>
      </c>
    </row>
    <row r="8782" spans="1:10" x14ac:dyDescent="0.25">
      <c r="A8782" s="7" t="s">
        <v>17883</v>
      </c>
      <c r="B8782" s="8">
        <v>403.125</v>
      </c>
      <c r="C8782" s="8">
        <v>20.478950000000001</v>
      </c>
      <c r="D8782" s="8">
        <v>88</v>
      </c>
      <c r="E8782" s="8">
        <v>0</v>
      </c>
      <c r="F8782" s="8">
        <v>0</v>
      </c>
      <c r="G8782" s="8">
        <v>5</v>
      </c>
      <c r="H8782" s="8" t="s">
        <v>17884</v>
      </c>
      <c r="I8782" s="8">
        <v>529.125</v>
      </c>
      <c r="J8782" s="3">
        <f t="shared" si="137"/>
        <v>43748.120659525455</v>
      </c>
    </row>
    <row r="8783" spans="1:10" x14ac:dyDescent="0.25">
      <c r="A8783" s="5" t="s">
        <v>17885</v>
      </c>
      <c r="B8783" s="6">
        <v>403.125</v>
      </c>
      <c r="C8783" s="6">
        <v>20.478950000000001</v>
      </c>
      <c r="D8783" s="6">
        <v>88</v>
      </c>
      <c r="E8783" s="6">
        <v>0</v>
      </c>
      <c r="F8783" s="6">
        <v>0</v>
      </c>
      <c r="G8783" s="6">
        <v>4</v>
      </c>
      <c r="H8783" s="6" t="s">
        <v>17886</v>
      </c>
      <c r="I8783" s="6">
        <v>529.125</v>
      </c>
      <c r="J8783" s="2">
        <f t="shared" si="137"/>
        <v>43748.120739108796</v>
      </c>
    </row>
    <row r="8784" spans="1:10" x14ac:dyDescent="0.25">
      <c r="A8784" s="7" t="s">
        <v>17887</v>
      </c>
      <c r="B8784" s="8">
        <v>400</v>
      </c>
      <c r="C8784" s="8">
        <v>20.478950000000001</v>
      </c>
      <c r="D8784" s="8">
        <v>89</v>
      </c>
      <c r="E8784" s="8">
        <v>0</v>
      </c>
      <c r="F8784" s="8">
        <v>0</v>
      </c>
      <c r="G8784" s="8">
        <v>2</v>
      </c>
      <c r="H8784" s="8" t="s">
        <v>17888</v>
      </c>
      <c r="I8784" s="8">
        <v>528.9375</v>
      </c>
      <c r="J8784" s="3">
        <f t="shared" si="137"/>
        <v>43748.120810590277</v>
      </c>
    </row>
    <row r="8785" spans="1:10" x14ac:dyDescent="0.25">
      <c r="A8785" s="5" t="s">
        <v>17889</v>
      </c>
      <c r="B8785" s="6">
        <v>418.75</v>
      </c>
      <c r="C8785" s="6">
        <v>20.478950000000001</v>
      </c>
      <c r="D8785" s="6">
        <v>89</v>
      </c>
      <c r="E8785" s="6">
        <v>0</v>
      </c>
      <c r="F8785" s="6">
        <v>0</v>
      </c>
      <c r="G8785" s="6">
        <v>7</v>
      </c>
      <c r="H8785" s="6" t="s">
        <v>17890</v>
      </c>
      <c r="I8785" s="6">
        <v>534.75</v>
      </c>
      <c r="J8785" s="2">
        <f t="shared" si="137"/>
        <v>43748.120881886571</v>
      </c>
    </row>
    <row r="8786" spans="1:10" x14ac:dyDescent="0.25">
      <c r="A8786" s="7" t="s">
        <v>17891</v>
      </c>
      <c r="B8786" s="8">
        <v>400</v>
      </c>
      <c r="C8786" s="8">
        <v>20.478950000000001</v>
      </c>
      <c r="D8786" s="8">
        <v>90</v>
      </c>
      <c r="E8786" s="8">
        <v>0</v>
      </c>
      <c r="F8786" s="8">
        <v>0</v>
      </c>
      <c r="G8786" s="8">
        <v>7</v>
      </c>
      <c r="H8786" s="8" t="s">
        <v>17892</v>
      </c>
      <c r="I8786" s="8">
        <v>528.375</v>
      </c>
      <c r="J8786" s="3">
        <f t="shared" si="137"/>
        <v>43748.120965381946</v>
      </c>
    </row>
    <row r="8787" spans="1:10" x14ac:dyDescent="0.25">
      <c r="A8787" s="5" t="s">
        <v>17893</v>
      </c>
      <c r="B8787" s="6">
        <v>400</v>
      </c>
      <c r="C8787" s="6">
        <v>20.478950000000001</v>
      </c>
      <c r="D8787" s="6">
        <v>90</v>
      </c>
      <c r="E8787" s="6">
        <v>0</v>
      </c>
      <c r="F8787" s="6">
        <v>0</v>
      </c>
      <c r="G8787" s="6">
        <v>13</v>
      </c>
      <c r="H8787" s="6" t="s">
        <v>17894</v>
      </c>
      <c r="I8787" s="6">
        <v>528.375</v>
      </c>
      <c r="J8787" s="2">
        <f t="shared" si="137"/>
        <v>43748.12106060185</v>
      </c>
    </row>
    <row r="8788" spans="1:10" x14ac:dyDescent="0.25">
      <c r="A8788" s="7" t="s">
        <v>17895</v>
      </c>
      <c r="B8788" s="8">
        <v>400</v>
      </c>
      <c r="C8788" s="8">
        <v>20.478950000000001</v>
      </c>
      <c r="D8788" s="8">
        <v>90</v>
      </c>
      <c r="E8788" s="8">
        <v>0</v>
      </c>
      <c r="F8788" s="8">
        <v>0</v>
      </c>
      <c r="G8788" s="8">
        <v>4</v>
      </c>
      <c r="H8788" s="8" t="s">
        <v>17896</v>
      </c>
      <c r="I8788" s="8">
        <v>528.375</v>
      </c>
      <c r="J8788" s="3">
        <f t="shared" si="137"/>
        <v>43748.121132800923</v>
      </c>
    </row>
    <row r="8789" spans="1:10" x14ac:dyDescent="0.25">
      <c r="A8789" s="5" t="s">
        <v>17897</v>
      </c>
      <c r="B8789" s="6">
        <v>396.875</v>
      </c>
      <c r="C8789" s="6">
        <v>20.478950000000001</v>
      </c>
      <c r="D8789" s="6">
        <v>91</v>
      </c>
      <c r="E8789" s="6">
        <v>0</v>
      </c>
      <c r="F8789" s="6">
        <v>0</v>
      </c>
      <c r="G8789" s="6">
        <v>7</v>
      </c>
      <c r="H8789" s="6" t="s">
        <v>17898</v>
      </c>
      <c r="I8789" s="6">
        <v>527.4375</v>
      </c>
      <c r="J8789" s="2">
        <f t="shared" si="137"/>
        <v>43748.121203576382</v>
      </c>
    </row>
    <row r="8790" spans="1:10" x14ac:dyDescent="0.25">
      <c r="A8790" s="7" t="s">
        <v>17899</v>
      </c>
      <c r="B8790" s="8">
        <v>396.875</v>
      </c>
      <c r="C8790" s="8">
        <v>20.426300000000001</v>
      </c>
      <c r="D8790" s="8">
        <v>91</v>
      </c>
      <c r="E8790" s="8">
        <v>0</v>
      </c>
      <c r="F8790" s="8">
        <v>0</v>
      </c>
      <c r="G8790" s="8">
        <v>9</v>
      </c>
      <c r="H8790" s="8" t="s">
        <v>17900</v>
      </c>
      <c r="I8790" s="8">
        <v>527.4375</v>
      </c>
      <c r="J8790" s="3">
        <f t="shared" si="137"/>
        <v>43748.121275474536</v>
      </c>
    </row>
    <row r="8791" spans="1:10" x14ac:dyDescent="0.25">
      <c r="A8791" s="5" t="s">
        <v>17901</v>
      </c>
      <c r="B8791" s="6">
        <v>415.625</v>
      </c>
      <c r="C8791" s="6">
        <v>20.478950000000001</v>
      </c>
      <c r="D8791" s="6">
        <v>92</v>
      </c>
      <c r="E8791" s="6">
        <v>0</v>
      </c>
      <c r="F8791" s="6">
        <v>0</v>
      </c>
      <c r="G8791" s="6">
        <v>5</v>
      </c>
      <c r="H8791" s="6" t="s">
        <v>17902</v>
      </c>
      <c r="I8791" s="6">
        <v>533.0625</v>
      </c>
      <c r="J8791" s="2">
        <f t="shared" si="137"/>
        <v>43748.121346701388</v>
      </c>
    </row>
    <row r="8792" spans="1:10" x14ac:dyDescent="0.25">
      <c r="A8792" s="7" t="s">
        <v>17903</v>
      </c>
      <c r="B8792" s="8">
        <v>400</v>
      </c>
      <c r="C8792" s="8">
        <v>20.478950000000001</v>
      </c>
      <c r="D8792" s="8">
        <v>91</v>
      </c>
      <c r="E8792" s="8">
        <v>0</v>
      </c>
      <c r="F8792" s="8">
        <v>0</v>
      </c>
      <c r="G8792" s="8">
        <v>6</v>
      </c>
      <c r="H8792" s="8" t="s">
        <v>17904</v>
      </c>
      <c r="I8792" s="8">
        <v>528.1875</v>
      </c>
      <c r="J8792" s="3">
        <f t="shared" si="137"/>
        <v>43748.121418912029</v>
      </c>
    </row>
    <row r="8793" spans="1:10" x14ac:dyDescent="0.25">
      <c r="A8793" s="5" t="s">
        <v>17905</v>
      </c>
      <c r="B8793" s="6">
        <v>400</v>
      </c>
      <c r="C8793" s="6">
        <v>20.478950000000001</v>
      </c>
      <c r="D8793" s="6">
        <v>90</v>
      </c>
      <c r="E8793" s="6">
        <v>0</v>
      </c>
      <c r="F8793" s="6">
        <v>0</v>
      </c>
      <c r="G8793" s="6">
        <v>7</v>
      </c>
      <c r="H8793" s="6" t="s">
        <v>17906</v>
      </c>
      <c r="I8793" s="6">
        <v>528.1875</v>
      </c>
      <c r="J8793" s="2">
        <f t="shared" si="137"/>
        <v>43748.121502060181</v>
      </c>
    </row>
    <row r="8794" spans="1:10" x14ac:dyDescent="0.25">
      <c r="A8794" s="7" t="s">
        <v>17907</v>
      </c>
      <c r="B8794" s="8">
        <v>400</v>
      </c>
      <c r="C8794" s="8">
        <v>20.478950000000001</v>
      </c>
      <c r="D8794" s="8">
        <v>90</v>
      </c>
      <c r="E8794" s="8">
        <v>0</v>
      </c>
      <c r="F8794" s="8">
        <v>0</v>
      </c>
      <c r="G8794" s="8">
        <v>13</v>
      </c>
      <c r="H8794" s="8" t="s">
        <v>17908</v>
      </c>
      <c r="I8794" s="8">
        <v>528.1875</v>
      </c>
      <c r="J8794" s="3">
        <f t="shared" si="137"/>
        <v>43748.121573553239</v>
      </c>
    </row>
    <row r="8795" spans="1:10" x14ac:dyDescent="0.25">
      <c r="A8795" s="5" t="s">
        <v>17909</v>
      </c>
      <c r="B8795" s="6">
        <v>396.875</v>
      </c>
      <c r="C8795" s="6">
        <v>20.478950000000001</v>
      </c>
      <c r="D8795" s="6">
        <v>90</v>
      </c>
      <c r="E8795" s="6">
        <v>0</v>
      </c>
      <c r="F8795" s="6">
        <v>0</v>
      </c>
      <c r="G8795" s="6">
        <v>6</v>
      </c>
      <c r="H8795" s="6" t="s">
        <v>17910</v>
      </c>
      <c r="I8795" s="6">
        <v>527.4375</v>
      </c>
      <c r="J8795" s="2">
        <f t="shared" si="137"/>
        <v>43748.121644849532</v>
      </c>
    </row>
    <row r="8796" spans="1:10" x14ac:dyDescent="0.25">
      <c r="A8796" s="7" t="s">
        <v>17911</v>
      </c>
      <c r="B8796" s="8">
        <v>400</v>
      </c>
      <c r="C8796" s="8">
        <v>20.478950000000001</v>
      </c>
      <c r="D8796" s="8">
        <v>90</v>
      </c>
      <c r="E8796" s="8">
        <v>0</v>
      </c>
      <c r="F8796" s="8">
        <v>0</v>
      </c>
      <c r="G8796" s="8">
        <v>5</v>
      </c>
      <c r="H8796" s="8" t="s">
        <v>17912</v>
      </c>
      <c r="I8796" s="8">
        <v>528.1875</v>
      </c>
      <c r="J8796" s="3">
        <f t="shared" si="137"/>
        <v>43748.121728935184</v>
      </c>
    </row>
    <row r="8797" spans="1:10" x14ac:dyDescent="0.25">
      <c r="A8797" s="5" t="s">
        <v>17913</v>
      </c>
      <c r="B8797" s="6">
        <v>400</v>
      </c>
      <c r="C8797" s="6">
        <v>20.478950000000001</v>
      </c>
      <c r="D8797" s="6">
        <v>90</v>
      </c>
      <c r="E8797" s="6">
        <v>0</v>
      </c>
      <c r="F8797" s="6">
        <v>0</v>
      </c>
      <c r="G8797" s="6">
        <v>0</v>
      </c>
      <c r="H8797" s="6" t="s">
        <v>17914</v>
      </c>
      <c r="I8797" s="6">
        <v>528.1875</v>
      </c>
      <c r="J8797" s="2">
        <f t="shared" si="137"/>
        <v>43748.121799548608</v>
      </c>
    </row>
    <row r="8798" spans="1:10" x14ac:dyDescent="0.25">
      <c r="A8798" s="7" t="s">
        <v>17915</v>
      </c>
      <c r="B8798" s="8">
        <v>400</v>
      </c>
      <c r="C8798" s="8">
        <v>20.478950000000001</v>
      </c>
      <c r="D8798" s="8">
        <v>90</v>
      </c>
      <c r="E8798" s="8">
        <v>0</v>
      </c>
      <c r="F8798" s="8">
        <v>0</v>
      </c>
      <c r="G8798" s="8">
        <v>13</v>
      </c>
      <c r="H8798" s="8" t="s">
        <v>17916</v>
      </c>
      <c r="I8798" s="8">
        <v>528.375</v>
      </c>
      <c r="J8798" s="3">
        <f t="shared" si="137"/>
        <v>43748.121871701391</v>
      </c>
    </row>
    <row r="8799" spans="1:10" x14ac:dyDescent="0.25">
      <c r="A8799" s="5" t="s">
        <v>17917</v>
      </c>
      <c r="B8799" s="6">
        <v>396.875</v>
      </c>
      <c r="C8799" s="6">
        <v>20.478950000000001</v>
      </c>
      <c r="D8799" s="6">
        <v>90</v>
      </c>
      <c r="E8799" s="6">
        <v>0</v>
      </c>
      <c r="F8799" s="6">
        <v>0</v>
      </c>
      <c r="G8799" s="6">
        <v>3</v>
      </c>
      <c r="H8799" s="6" t="s">
        <v>17918</v>
      </c>
      <c r="I8799" s="6">
        <v>527.4375</v>
      </c>
      <c r="J8799" s="2">
        <f t="shared" si="137"/>
        <v>43748.121942997685</v>
      </c>
    </row>
    <row r="8800" spans="1:10" x14ac:dyDescent="0.25">
      <c r="A8800" s="7" t="s">
        <v>17919</v>
      </c>
      <c r="B8800" s="8">
        <v>396.875</v>
      </c>
      <c r="C8800" s="8">
        <v>20.478950000000001</v>
      </c>
      <c r="D8800" s="8">
        <v>90</v>
      </c>
      <c r="E8800" s="8">
        <v>0</v>
      </c>
      <c r="F8800" s="8">
        <v>0</v>
      </c>
      <c r="G8800" s="8">
        <v>1</v>
      </c>
      <c r="H8800" s="8" t="s">
        <v>17920</v>
      </c>
      <c r="I8800" s="8">
        <v>527.4375</v>
      </c>
      <c r="J8800" s="3">
        <f t="shared" si="137"/>
        <v>43748.122015046298</v>
      </c>
    </row>
    <row r="8801" spans="1:10" x14ac:dyDescent="0.25">
      <c r="A8801" s="5" t="s">
        <v>17921</v>
      </c>
      <c r="B8801" s="6">
        <v>400</v>
      </c>
      <c r="C8801" s="6">
        <v>20.478950000000001</v>
      </c>
      <c r="D8801" s="6">
        <v>90</v>
      </c>
      <c r="E8801" s="6">
        <v>0</v>
      </c>
      <c r="F8801" s="6">
        <v>0</v>
      </c>
      <c r="G8801" s="6">
        <v>4</v>
      </c>
      <c r="H8801" s="6" t="s">
        <v>17922</v>
      </c>
      <c r="I8801" s="6">
        <v>528.1875</v>
      </c>
      <c r="J8801" s="2">
        <f t="shared" si="137"/>
        <v>43748.122086516196</v>
      </c>
    </row>
    <row r="8802" spans="1:10" x14ac:dyDescent="0.25">
      <c r="A8802" s="7" t="s">
        <v>17923</v>
      </c>
      <c r="B8802" s="8">
        <v>418.75</v>
      </c>
      <c r="C8802" s="8">
        <v>20.426300000000001</v>
      </c>
      <c r="D8802" s="8">
        <v>90</v>
      </c>
      <c r="E8802" s="8">
        <v>0</v>
      </c>
      <c r="F8802" s="8">
        <v>0</v>
      </c>
      <c r="G8802" s="8">
        <v>8</v>
      </c>
      <c r="H8802" s="8" t="s">
        <v>17924</v>
      </c>
      <c r="I8802" s="8">
        <v>534.5625</v>
      </c>
      <c r="J8802" s="3">
        <f t="shared" si="137"/>
        <v>43748.122157800921</v>
      </c>
    </row>
    <row r="8803" spans="1:10" x14ac:dyDescent="0.25">
      <c r="A8803" s="5" t="s">
        <v>17925</v>
      </c>
      <c r="B8803" s="6">
        <v>403.125</v>
      </c>
      <c r="C8803" s="6">
        <v>20.478950000000001</v>
      </c>
      <c r="D8803" s="6">
        <v>90</v>
      </c>
      <c r="E8803" s="6">
        <v>0</v>
      </c>
      <c r="F8803" s="6">
        <v>0</v>
      </c>
      <c r="G8803" s="6">
        <v>3</v>
      </c>
      <c r="H8803" s="6" t="s">
        <v>17926</v>
      </c>
      <c r="I8803" s="6">
        <v>529.125</v>
      </c>
      <c r="J8803" s="2">
        <f t="shared" si="137"/>
        <v>43748.122229166664</v>
      </c>
    </row>
    <row r="8804" spans="1:10" x14ac:dyDescent="0.25">
      <c r="A8804" s="7" t="s">
        <v>17927</v>
      </c>
      <c r="B8804" s="8">
        <v>403.125</v>
      </c>
      <c r="C8804" s="8">
        <v>20.426300000000001</v>
      </c>
      <c r="D8804" s="8">
        <v>90</v>
      </c>
      <c r="E8804" s="8">
        <v>0</v>
      </c>
      <c r="F8804" s="8">
        <v>0</v>
      </c>
      <c r="G8804" s="8">
        <v>2</v>
      </c>
      <c r="H8804" s="8" t="s">
        <v>17928</v>
      </c>
      <c r="I8804" s="8">
        <v>529.125</v>
      </c>
      <c r="J8804" s="3">
        <f t="shared" si="137"/>
        <v>43748.122301342592</v>
      </c>
    </row>
    <row r="8805" spans="1:10" x14ac:dyDescent="0.25">
      <c r="A8805" s="5" t="s">
        <v>17929</v>
      </c>
      <c r="B8805" s="6">
        <v>403.125</v>
      </c>
      <c r="C8805" s="6">
        <v>20.478950000000001</v>
      </c>
      <c r="D8805" s="6">
        <v>90</v>
      </c>
      <c r="E8805" s="6">
        <v>0</v>
      </c>
      <c r="F8805" s="6">
        <v>0</v>
      </c>
      <c r="G8805" s="6">
        <v>7</v>
      </c>
      <c r="H8805" s="6" t="s">
        <v>17930</v>
      </c>
      <c r="I8805" s="6">
        <v>529.125</v>
      </c>
      <c r="J8805" s="2">
        <f t="shared" si="137"/>
        <v>43748.122372638885</v>
      </c>
    </row>
    <row r="8806" spans="1:10" x14ac:dyDescent="0.25">
      <c r="A8806" s="7" t="s">
        <v>17931</v>
      </c>
      <c r="B8806" s="8">
        <v>400</v>
      </c>
      <c r="C8806" s="8">
        <v>20.426300000000001</v>
      </c>
      <c r="D8806" s="8">
        <v>89</v>
      </c>
      <c r="E8806" s="8">
        <v>0</v>
      </c>
      <c r="F8806" s="8">
        <v>0</v>
      </c>
      <c r="G8806" s="8">
        <v>6</v>
      </c>
      <c r="H8806" s="8" t="s">
        <v>17932</v>
      </c>
      <c r="I8806" s="8">
        <v>528.9375</v>
      </c>
      <c r="J8806" s="3">
        <f t="shared" si="137"/>
        <v>43748.12244392361</v>
      </c>
    </row>
    <row r="8807" spans="1:10" x14ac:dyDescent="0.25">
      <c r="A8807" s="5" t="s">
        <v>17933</v>
      </c>
      <c r="B8807" s="6">
        <v>400</v>
      </c>
      <c r="C8807" s="6">
        <v>20.426300000000001</v>
      </c>
      <c r="D8807" s="6">
        <v>89</v>
      </c>
      <c r="E8807" s="6">
        <v>0</v>
      </c>
      <c r="F8807" s="6">
        <v>0</v>
      </c>
      <c r="G8807" s="6">
        <v>4</v>
      </c>
      <c r="H8807" s="6" t="s">
        <v>17934</v>
      </c>
      <c r="I8807" s="6">
        <v>528.9375</v>
      </c>
      <c r="J8807" s="2">
        <f t="shared" si="137"/>
        <v>43748.122539201388</v>
      </c>
    </row>
    <row r="8808" spans="1:10" x14ac:dyDescent="0.25">
      <c r="A8808" s="7" t="s">
        <v>17935</v>
      </c>
      <c r="B8808" s="8">
        <v>403.125</v>
      </c>
      <c r="C8808" s="8">
        <v>20.478950000000001</v>
      </c>
      <c r="D8808" s="8">
        <v>89</v>
      </c>
      <c r="E8808" s="8">
        <v>0</v>
      </c>
      <c r="F8808" s="8">
        <v>0</v>
      </c>
      <c r="G8808" s="8">
        <v>2</v>
      </c>
      <c r="H8808" s="8" t="s">
        <v>17936</v>
      </c>
      <c r="I8808" s="8">
        <v>529.125</v>
      </c>
      <c r="J8808" s="3">
        <f t="shared" si="137"/>
        <v>43748.122611319443</v>
      </c>
    </row>
    <row r="8809" spans="1:10" x14ac:dyDescent="0.25">
      <c r="A8809" s="5" t="s">
        <v>17937</v>
      </c>
      <c r="B8809" s="6">
        <v>421.875</v>
      </c>
      <c r="C8809" s="6">
        <v>20.478950000000001</v>
      </c>
      <c r="D8809" s="6">
        <v>89</v>
      </c>
      <c r="E8809" s="6">
        <v>0</v>
      </c>
      <c r="F8809" s="6">
        <v>0</v>
      </c>
      <c r="G8809" s="6">
        <v>3</v>
      </c>
      <c r="H8809" s="6" t="s">
        <v>17938</v>
      </c>
      <c r="I8809" s="6">
        <v>535.125</v>
      </c>
      <c r="J8809" s="2">
        <f t="shared" si="137"/>
        <v>43748.122682789348</v>
      </c>
    </row>
    <row r="8810" spans="1:10" x14ac:dyDescent="0.25">
      <c r="A8810" s="7" t="s">
        <v>17939</v>
      </c>
      <c r="B8810" s="8">
        <v>403.125</v>
      </c>
      <c r="C8810" s="8">
        <v>20.478950000000001</v>
      </c>
      <c r="D8810" s="8">
        <v>89</v>
      </c>
      <c r="E8810" s="8">
        <v>0</v>
      </c>
      <c r="F8810" s="8">
        <v>0</v>
      </c>
      <c r="G8810" s="8">
        <v>3</v>
      </c>
      <c r="H8810" s="8" t="s">
        <v>17940</v>
      </c>
      <c r="I8810" s="8">
        <v>529.125</v>
      </c>
      <c r="J8810" s="3">
        <f t="shared" si="137"/>
        <v>43748.122755034718</v>
      </c>
    </row>
    <row r="8811" spans="1:10" x14ac:dyDescent="0.25">
      <c r="A8811" s="5" t="s">
        <v>17941</v>
      </c>
      <c r="B8811" s="6">
        <v>403.125</v>
      </c>
      <c r="C8811" s="6">
        <v>20.478950000000001</v>
      </c>
      <c r="D8811" s="6">
        <v>88</v>
      </c>
      <c r="E8811" s="6">
        <v>0</v>
      </c>
      <c r="F8811" s="6">
        <v>0</v>
      </c>
      <c r="G8811" s="6">
        <v>12</v>
      </c>
      <c r="H8811" s="6" t="s">
        <v>17942</v>
      </c>
      <c r="I8811" s="6">
        <v>529.125</v>
      </c>
      <c r="J8811" s="2">
        <f t="shared" si="137"/>
        <v>43748.122837349532</v>
      </c>
    </row>
    <row r="8812" spans="1:10" x14ac:dyDescent="0.25">
      <c r="A8812" s="7" t="s">
        <v>17943</v>
      </c>
      <c r="B8812" s="8">
        <v>400</v>
      </c>
      <c r="C8812" s="8">
        <v>20.478950000000001</v>
      </c>
      <c r="D8812" s="8">
        <v>88</v>
      </c>
      <c r="E8812" s="8">
        <v>0</v>
      </c>
      <c r="F8812" s="8">
        <v>0</v>
      </c>
      <c r="G8812" s="8">
        <v>3</v>
      </c>
      <c r="H8812" s="8" t="s">
        <v>17944</v>
      </c>
      <c r="I8812" s="8">
        <v>528.375</v>
      </c>
      <c r="J8812" s="3">
        <f t="shared" si="137"/>
        <v>43748.122908784724</v>
      </c>
    </row>
    <row r="8813" spans="1:10" x14ac:dyDescent="0.25">
      <c r="A8813" s="5" t="s">
        <v>17945</v>
      </c>
      <c r="B8813" s="6">
        <v>400</v>
      </c>
      <c r="C8813" s="6">
        <v>20.478950000000001</v>
      </c>
      <c r="D8813" s="6">
        <v>88</v>
      </c>
      <c r="E8813" s="6">
        <v>0</v>
      </c>
      <c r="F8813" s="6">
        <v>0</v>
      </c>
      <c r="G8813" s="6">
        <v>10</v>
      </c>
      <c r="H8813" s="6" t="s">
        <v>17946</v>
      </c>
      <c r="I8813" s="6">
        <v>528.375</v>
      </c>
      <c r="J8813" s="2">
        <f t="shared" si="137"/>
        <v>43748.122981701388</v>
      </c>
    </row>
    <row r="8814" spans="1:10" x14ac:dyDescent="0.25">
      <c r="A8814" s="7" t="s">
        <v>17947</v>
      </c>
      <c r="B8814" s="8">
        <v>400</v>
      </c>
      <c r="C8814" s="8">
        <v>20.478950000000001</v>
      </c>
      <c r="D8814" s="8">
        <v>89</v>
      </c>
      <c r="E8814" s="8">
        <v>0</v>
      </c>
      <c r="F8814" s="8">
        <v>0</v>
      </c>
      <c r="G8814" s="8">
        <v>0</v>
      </c>
      <c r="H8814" s="8" t="s">
        <v>17948</v>
      </c>
      <c r="I8814" s="8">
        <v>528.1875</v>
      </c>
      <c r="J8814" s="3">
        <f t="shared" si="137"/>
        <v>43748.123052233794</v>
      </c>
    </row>
    <row r="8815" spans="1:10" x14ac:dyDescent="0.25">
      <c r="A8815" s="5" t="s">
        <v>17949</v>
      </c>
      <c r="B8815" s="6">
        <v>400</v>
      </c>
      <c r="C8815" s="6">
        <v>20.478950000000001</v>
      </c>
      <c r="D8815" s="6">
        <v>85</v>
      </c>
      <c r="E8815" s="6">
        <v>0</v>
      </c>
      <c r="F8815" s="6">
        <v>0</v>
      </c>
      <c r="G8815" s="6">
        <v>12</v>
      </c>
      <c r="H8815" s="6" t="s">
        <v>17950</v>
      </c>
      <c r="I8815" s="6">
        <v>528.1875</v>
      </c>
      <c r="J8815" s="2">
        <f t="shared" si="137"/>
        <v>43748.123123530087</v>
      </c>
    </row>
    <row r="8816" spans="1:10" x14ac:dyDescent="0.25">
      <c r="A8816" s="7" t="s">
        <v>17951</v>
      </c>
      <c r="B8816" s="8">
        <v>400</v>
      </c>
      <c r="C8816" s="8">
        <v>20.426300000000001</v>
      </c>
      <c r="D8816" s="8">
        <v>85</v>
      </c>
      <c r="E8816" s="8">
        <v>0</v>
      </c>
      <c r="F8816" s="8">
        <v>0</v>
      </c>
      <c r="G8816" s="8">
        <v>0</v>
      </c>
      <c r="H8816" s="8" t="s">
        <v>17952</v>
      </c>
      <c r="I8816" s="8">
        <v>528.9375</v>
      </c>
      <c r="J8816" s="3">
        <f t="shared" si="137"/>
        <v>43748.123195567132</v>
      </c>
    </row>
    <row r="8817" spans="1:10" x14ac:dyDescent="0.25">
      <c r="A8817" s="5" t="s">
        <v>17953</v>
      </c>
      <c r="B8817" s="6">
        <v>418.75</v>
      </c>
      <c r="C8817" s="6">
        <v>20.426300000000001</v>
      </c>
      <c r="D8817" s="6">
        <v>85</v>
      </c>
      <c r="E8817" s="6">
        <v>0</v>
      </c>
      <c r="F8817" s="6">
        <v>0</v>
      </c>
      <c r="G8817" s="6">
        <v>6</v>
      </c>
      <c r="H8817" s="6" t="s">
        <v>17954</v>
      </c>
      <c r="I8817" s="6">
        <v>534.75</v>
      </c>
      <c r="J8817" s="2">
        <f t="shared" si="137"/>
        <v>43748.12326703703</v>
      </c>
    </row>
    <row r="8818" spans="1:10" x14ac:dyDescent="0.25">
      <c r="A8818" s="7" t="s">
        <v>17955</v>
      </c>
      <c r="B8818" s="8">
        <v>403.125</v>
      </c>
      <c r="C8818" s="8">
        <v>20.478950000000001</v>
      </c>
      <c r="D8818" s="8">
        <v>86</v>
      </c>
      <c r="E8818" s="8">
        <v>0</v>
      </c>
      <c r="F8818" s="8">
        <v>0</v>
      </c>
      <c r="G8818" s="8">
        <v>6</v>
      </c>
      <c r="H8818" s="8" t="s">
        <v>17956</v>
      </c>
      <c r="I8818" s="8">
        <v>529.125</v>
      </c>
      <c r="J8818" s="3">
        <f t="shared" si="137"/>
        <v>43748.123338333331</v>
      </c>
    </row>
    <row r="8819" spans="1:10" x14ac:dyDescent="0.25">
      <c r="A8819" s="5" t="s">
        <v>17957</v>
      </c>
      <c r="B8819" s="6">
        <v>403.125</v>
      </c>
      <c r="C8819" s="6">
        <v>20.478950000000001</v>
      </c>
      <c r="D8819" s="6">
        <v>86</v>
      </c>
      <c r="E8819" s="6">
        <v>0</v>
      </c>
      <c r="F8819" s="6">
        <v>0</v>
      </c>
      <c r="G8819" s="6">
        <v>10</v>
      </c>
      <c r="H8819" s="6" t="s">
        <v>17958</v>
      </c>
      <c r="I8819" s="6">
        <v>529.125</v>
      </c>
      <c r="J8819" s="2">
        <f t="shared" si="137"/>
        <v>43748.123409641201</v>
      </c>
    </row>
    <row r="8820" spans="1:10" x14ac:dyDescent="0.25">
      <c r="A8820" s="7" t="s">
        <v>17959</v>
      </c>
      <c r="B8820" s="8">
        <v>403.125</v>
      </c>
      <c r="C8820" s="8">
        <v>20.478950000000001</v>
      </c>
      <c r="D8820" s="8">
        <v>85</v>
      </c>
      <c r="E8820" s="8">
        <v>0</v>
      </c>
      <c r="F8820" s="8">
        <v>0</v>
      </c>
      <c r="G8820" s="8">
        <v>9</v>
      </c>
      <c r="H8820" s="8" t="s">
        <v>17960</v>
      </c>
      <c r="I8820" s="8">
        <v>529.875</v>
      </c>
      <c r="J8820" s="3">
        <f t="shared" si="137"/>
        <v>43748.12348185185</v>
      </c>
    </row>
    <row r="8821" spans="1:10" x14ac:dyDescent="0.25">
      <c r="A8821" s="5" t="s">
        <v>17961</v>
      </c>
      <c r="B8821" s="6">
        <v>431.25</v>
      </c>
      <c r="C8821" s="6">
        <v>20.478950000000001</v>
      </c>
      <c r="D8821" s="6">
        <v>84</v>
      </c>
      <c r="E8821" s="6">
        <v>0</v>
      </c>
      <c r="F8821" s="6">
        <v>0</v>
      </c>
      <c r="G8821" s="6">
        <v>3</v>
      </c>
      <c r="H8821" s="6" t="s">
        <v>17962</v>
      </c>
      <c r="I8821" s="6">
        <v>538.125</v>
      </c>
      <c r="J8821" s="2">
        <f t="shared" si="137"/>
        <v>43748.123553136575</v>
      </c>
    </row>
    <row r="8822" spans="1:10" x14ac:dyDescent="0.25">
      <c r="A8822" s="7" t="s">
        <v>17963</v>
      </c>
      <c r="B8822" s="8">
        <v>403.125</v>
      </c>
      <c r="C8822" s="8">
        <v>20.478950000000001</v>
      </c>
      <c r="D8822" s="8">
        <v>86</v>
      </c>
      <c r="E8822" s="8">
        <v>0</v>
      </c>
      <c r="F8822" s="8">
        <v>0</v>
      </c>
      <c r="G8822" s="8">
        <v>10</v>
      </c>
      <c r="H8822" s="8" t="s">
        <v>17964</v>
      </c>
      <c r="I8822" s="8">
        <v>529.125</v>
      </c>
      <c r="J8822" s="3">
        <f t="shared" si="137"/>
        <v>43748.123636493052</v>
      </c>
    </row>
    <row r="8823" spans="1:10" x14ac:dyDescent="0.25">
      <c r="A8823" s="5" t="s">
        <v>17965</v>
      </c>
      <c r="B8823" s="6">
        <v>403.125</v>
      </c>
      <c r="C8823" s="6">
        <v>20.426300000000001</v>
      </c>
      <c r="D8823" s="6">
        <v>86</v>
      </c>
      <c r="E8823" s="6">
        <v>0</v>
      </c>
      <c r="F8823" s="6">
        <v>0</v>
      </c>
      <c r="G8823" s="6">
        <v>7</v>
      </c>
      <c r="H8823" s="6" t="s">
        <v>17966</v>
      </c>
      <c r="I8823" s="6">
        <v>529.125</v>
      </c>
      <c r="J8823" s="2">
        <f t="shared" si="137"/>
        <v>43748.123707789353</v>
      </c>
    </row>
    <row r="8824" spans="1:10" x14ac:dyDescent="0.25">
      <c r="A8824" s="7" t="s">
        <v>17967</v>
      </c>
      <c r="B8824" s="8">
        <v>403.125</v>
      </c>
      <c r="C8824" s="8">
        <v>20.478950000000001</v>
      </c>
      <c r="D8824" s="8">
        <v>87</v>
      </c>
      <c r="E8824" s="8">
        <v>0</v>
      </c>
      <c r="F8824" s="8">
        <v>0</v>
      </c>
      <c r="G8824" s="8">
        <v>0</v>
      </c>
      <c r="H8824" s="8" t="s">
        <v>17968</v>
      </c>
      <c r="I8824" s="8">
        <v>529.125</v>
      </c>
      <c r="J8824" s="3">
        <f t="shared" si="137"/>
        <v>43748.123779988418</v>
      </c>
    </row>
    <row r="8825" spans="1:10" x14ac:dyDescent="0.25">
      <c r="A8825" s="5" t="s">
        <v>17969</v>
      </c>
      <c r="B8825" s="6">
        <v>403.125</v>
      </c>
      <c r="C8825" s="6">
        <v>20.478950000000001</v>
      </c>
      <c r="D8825" s="6">
        <v>86</v>
      </c>
      <c r="E8825" s="6">
        <v>0</v>
      </c>
      <c r="F8825" s="6">
        <v>0</v>
      </c>
      <c r="G8825" s="6">
        <v>8</v>
      </c>
      <c r="H8825" s="6" t="s">
        <v>17970</v>
      </c>
      <c r="I8825" s="6">
        <v>529.125</v>
      </c>
      <c r="J8825" s="2">
        <f t="shared" si="137"/>
        <v>43748.123863321758</v>
      </c>
    </row>
    <row r="8826" spans="1:10" x14ac:dyDescent="0.25">
      <c r="A8826" s="7" t="s">
        <v>17971</v>
      </c>
      <c r="B8826" s="8">
        <v>403.125</v>
      </c>
      <c r="C8826" s="8">
        <v>20.426300000000001</v>
      </c>
      <c r="D8826" s="8">
        <v>87</v>
      </c>
      <c r="E8826" s="8">
        <v>0</v>
      </c>
      <c r="F8826" s="8">
        <v>0</v>
      </c>
      <c r="G8826" s="8">
        <v>6</v>
      </c>
      <c r="H8826" s="8" t="s">
        <v>17972</v>
      </c>
      <c r="I8826" s="8">
        <v>529.125</v>
      </c>
      <c r="J8826" s="3">
        <f t="shared" si="137"/>
        <v>43748.123934629628</v>
      </c>
    </row>
    <row r="8827" spans="1:10" x14ac:dyDescent="0.25">
      <c r="A8827" s="5" t="s">
        <v>17973</v>
      </c>
      <c r="B8827" s="6">
        <v>403.125</v>
      </c>
      <c r="C8827" s="6">
        <v>20.478950000000001</v>
      </c>
      <c r="D8827" s="6">
        <v>86</v>
      </c>
      <c r="E8827" s="6">
        <v>0</v>
      </c>
      <c r="F8827" s="6">
        <v>0</v>
      </c>
      <c r="G8827" s="6">
        <v>11</v>
      </c>
      <c r="H8827" s="6" t="s">
        <v>17974</v>
      </c>
      <c r="I8827" s="6">
        <v>529.125</v>
      </c>
      <c r="J8827" s="2">
        <f t="shared" si="137"/>
        <v>43748.124005937498</v>
      </c>
    </row>
    <row r="8828" spans="1:10" x14ac:dyDescent="0.25">
      <c r="A8828" s="7" t="s">
        <v>17975</v>
      </c>
      <c r="B8828" s="8">
        <v>421.875</v>
      </c>
      <c r="C8828" s="8">
        <v>20.478950000000001</v>
      </c>
      <c r="D8828" s="8">
        <v>86</v>
      </c>
      <c r="E8828" s="8">
        <v>0</v>
      </c>
      <c r="F8828" s="8">
        <v>0</v>
      </c>
      <c r="G8828" s="8">
        <v>13</v>
      </c>
      <c r="H8828" s="8" t="s">
        <v>17976</v>
      </c>
      <c r="I8828" s="8">
        <v>535.875</v>
      </c>
      <c r="J8828" s="3">
        <f t="shared" si="137"/>
        <v>43748.12407813657</v>
      </c>
    </row>
    <row r="8829" spans="1:10" x14ac:dyDescent="0.25">
      <c r="A8829" s="5" t="s">
        <v>17977</v>
      </c>
      <c r="B8829" s="6">
        <v>403.125</v>
      </c>
      <c r="C8829" s="6">
        <v>20.478950000000001</v>
      </c>
      <c r="D8829" s="6">
        <v>86</v>
      </c>
      <c r="E8829" s="6">
        <v>0</v>
      </c>
      <c r="F8829" s="6">
        <v>0</v>
      </c>
      <c r="G8829" s="6">
        <v>11</v>
      </c>
      <c r="H8829" s="6" t="s">
        <v>17978</v>
      </c>
      <c r="I8829" s="6">
        <v>529.125</v>
      </c>
      <c r="J8829" s="2">
        <f t="shared" si="137"/>
        <v>43748.124161493055</v>
      </c>
    </row>
    <row r="8830" spans="1:10" x14ac:dyDescent="0.25">
      <c r="A8830" s="7" t="s">
        <v>17979</v>
      </c>
      <c r="B8830" s="8">
        <v>403.125</v>
      </c>
      <c r="C8830" s="8">
        <v>20.478950000000001</v>
      </c>
      <c r="D8830" s="8">
        <v>86</v>
      </c>
      <c r="E8830" s="8">
        <v>0</v>
      </c>
      <c r="F8830" s="8">
        <v>0</v>
      </c>
      <c r="G8830" s="8">
        <v>11</v>
      </c>
      <c r="H8830" s="8" t="s">
        <v>17980</v>
      </c>
      <c r="I8830" s="8">
        <v>529.125</v>
      </c>
      <c r="J8830" s="3">
        <f t="shared" si="137"/>
        <v>43748.124244803235</v>
      </c>
    </row>
    <row r="8831" spans="1:10" x14ac:dyDescent="0.25">
      <c r="A8831" s="5" t="s">
        <v>17981</v>
      </c>
      <c r="B8831" s="6">
        <v>403.125</v>
      </c>
      <c r="C8831" s="6">
        <v>20.478950000000001</v>
      </c>
      <c r="D8831" s="6">
        <v>86</v>
      </c>
      <c r="E8831" s="6">
        <v>0</v>
      </c>
      <c r="F8831" s="6">
        <v>0</v>
      </c>
      <c r="G8831" s="6">
        <v>11</v>
      </c>
      <c r="H8831" s="6" t="s">
        <v>17982</v>
      </c>
      <c r="I8831" s="6">
        <v>529.125</v>
      </c>
      <c r="J8831" s="2">
        <f t="shared" si="137"/>
        <v>43748.124316122681</v>
      </c>
    </row>
    <row r="8832" spans="1:10" x14ac:dyDescent="0.25">
      <c r="A8832" s="7" t="s">
        <v>17983</v>
      </c>
      <c r="B8832" s="8">
        <v>400</v>
      </c>
      <c r="C8832" s="8">
        <v>20.478950000000001</v>
      </c>
      <c r="D8832" s="8">
        <v>86</v>
      </c>
      <c r="E8832" s="8">
        <v>0</v>
      </c>
      <c r="F8832" s="8">
        <v>0</v>
      </c>
      <c r="G8832" s="8">
        <v>0</v>
      </c>
      <c r="H8832" s="8" t="s">
        <v>17984</v>
      </c>
      <c r="I8832" s="8">
        <v>528.1875</v>
      </c>
      <c r="J8832" s="3">
        <f t="shared" si="137"/>
        <v>43748.124387430558</v>
      </c>
    </row>
    <row r="8833" spans="1:10" x14ac:dyDescent="0.25">
      <c r="A8833" s="5" t="s">
        <v>17985</v>
      </c>
      <c r="B8833" s="6">
        <v>400</v>
      </c>
      <c r="C8833" s="6">
        <v>20.478950000000001</v>
      </c>
      <c r="D8833" s="6">
        <v>87</v>
      </c>
      <c r="E8833" s="6">
        <v>0</v>
      </c>
      <c r="F8833" s="6">
        <v>0</v>
      </c>
      <c r="G8833" s="6">
        <v>5</v>
      </c>
      <c r="H8833" s="6" t="s">
        <v>17986</v>
      </c>
      <c r="I8833" s="6">
        <v>528.1875</v>
      </c>
      <c r="J8833" s="2">
        <f t="shared" si="137"/>
        <v>43748.124471493058</v>
      </c>
    </row>
    <row r="8834" spans="1:10" x14ac:dyDescent="0.25">
      <c r="A8834" s="7" t="s">
        <v>17987</v>
      </c>
      <c r="B8834" s="8">
        <v>425</v>
      </c>
      <c r="C8834" s="8">
        <v>20.426300000000001</v>
      </c>
      <c r="D8834" s="8">
        <v>87</v>
      </c>
      <c r="E8834" s="8">
        <v>0</v>
      </c>
      <c r="F8834" s="8">
        <v>0</v>
      </c>
      <c r="G8834" s="8">
        <v>13</v>
      </c>
      <c r="H8834" s="8" t="s">
        <v>17988</v>
      </c>
      <c r="I8834" s="8">
        <v>536.625</v>
      </c>
      <c r="J8834" s="3">
        <f t="shared" ref="J8834:J8897" si="138">(H8834/86400000)+25569+(7/24)</f>
        <v>43748.12454297454</v>
      </c>
    </row>
    <row r="8835" spans="1:10" x14ac:dyDescent="0.25">
      <c r="A8835" s="5" t="s">
        <v>17989</v>
      </c>
      <c r="B8835" s="6">
        <v>396.875</v>
      </c>
      <c r="C8835" s="6">
        <v>20.478950000000001</v>
      </c>
      <c r="D8835" s="6">
        <v>87</v>
      </c>
      <c r="E8835" s="6">
        <v>0</v>
      </c>
      <c r="F8835" s="6">
        <v>0</v>
      </c>
      <c r="G8835" s="6">
        <v>4</v>
      </c>
      <c r="H8835" s="6" t="s">
        <v>17990</v>
      </c>
      <c r="I8835" s="6">
        <v>527.4375</v>
      </c>
      <c r="J8835" s="2">
        <f t="shared" si="138"/>
        <v>43748.124614247681</v>
      </c>
    </row>
    <row r="8836" spans="1:10" x14ac:dyDescent="0.25">
      <c r="A8836" s="7" t="s">
        <v>17991</v>
      </c>
      <c r="B8836" s="8">
        <v>396.875</v>
      </c>
      <c r="C8836" s="8">
        <v>20.478950000000001</v>
      </c>
      <c r="D8836" s="8">
        <v>88</v>
      </c>
      <c r="E8836" s="8">
        <v>0</v>
      </c>
      <c r="F8836" s="8">
        <v>0</v>
      </c>
      <c r="G8836" s="8">
        <v>7</v>
      </c>
      <c r="H8836" s="8" t="s">
        <v>17992</v>
      </c>
      <c r="I8836" s="8">
        <v>527.4375</v>
      </c>
      <c r="J8836" s="3">
        <f t="shared" si="138"/>
        <v>43748.124685555558</v>
      </c>
    </row>
    <row r="8837" spans="1:10" x14ac:dyDescent="0.25">
      <c r="A8837" s="5" t="s">
        <v>17993</v>
      </c>
      <c r="B8837" s="6">
        <v>393.75</v>
      </c>
      <c r="C8837" s="6">
        <v>20.478950000000001</v>
      </c>
      <c r="D8837" s="6">
        <v>87</v>
      </c>
      <c r="E8837" s="6">
        <v>0</v>
      </c>
      <c r="F8837" s="6">
        <v>0</v>
      </c>
      <c r="G8837" s="6">
        <v>1</v>
      </c>
      <c r="H8837" s="6" t="s">
        <v>17994</v>
      </c>
      <c r="I8837" s="6">
        <v>526.5</v>
      </c>
      <c r="J8837" s="2">
        <f t="shared" si="138"/>
        <v>43748.124757835649</v>
      </c>
    </row>
    <row r="8838" spans="1:10" x14ac:dyDescent="0.25">
      <c r="A8838" s="7" t="s">
        <v>17995</v>
      </c>
      <c r="B8838" s="8">
        <v>393.75</v>
      </c>
      <c r="C8838" s="8">
        <v>20.426300000000001</v>
      </c>
      <c r="D8838" s="8">
        <v>87</v>
      </c>
      <c r="E8838" s="8">
        <v>0</v>
      </c>
      <c r="F8838" s="8">
        <v>0</v>
      </c>
      <c r="G8838" s="8">
        <v>11</v>
      </c>
      <c r="H8838" s="8" t="s">
        <v>17996</v>
      </c>
      <c r="I8838" s="8">
        <v>526.6875</v>
      </c>
      <c r="J8838" s="3">
        <f t="shared" si="138"/>
        <v>43748.124829085646</v>
      </c>
    </row>
    <row r="8839" spans="1:10" x14ac:dyDescent="0.25">
      <c r="A8839" s="5" t="s">
        <v>17997</v>
      </c>
      <c r="B8839" s="6">
        <v>393.75</v>
      </c>
      <c r="C8839" s="6">
        <v>20.478950000000001</v>
      </c>
      <c r="D8839" s="6">
        <v>81</v>
      </c>
      <c r="E8839" s="6">
        <v>0</v>
      </c>
      <c r="F8839" s="6">
        <v>0</v>
      </c>
      <c r="G8839" s="6">
        <v>0</v>
      </c>
      <c r="H8839" s="6" t="s">
        <v>17998</v>
      </c>
      <c r="I8839" s="6">
        <v>526.6875</v>
      </c>
      <c r="J8839" s="2">
        <f t="shared" si="138"/>
        <v>43748.125132650464</v>
      </c>
    </row>
    <row r="8840" spans="1:10" x14ac:dyDescent="0.25">
      <c r="A8840" s="7" t="s">
        <v>17999</v>
      </c>
      <c r="B8840" s="8">
        <v>393.75</v>
      </c>
      <c r="C8840" s="8">
        <v>20.478950000000001</v>
      </c>
      <c r="D8840" s="8">
        <v>82</v>
      </c>
      <c r="E8840" s="8">
        <v>0</v>
      </c>
      <c r="F8840" s="8">
        <v>0</v>
      </c>
      <c r="G8840" s="8">
        <v>0</v>
      </c>
      <c r="H8840" s="8" t="s">
        <v>18000</v>
      </c>
      <c r="I8840" s="8">
        <v>526.6875</v>
      </c>
      <c r="J8840" s="3">
        <f t="shared" si="138"/>
        <v>43748.125213368054</v>
      </c>
    </row>
    <row r="8841" spans="1:10" x14ac:dyDescent="0.25">
      <c r="A8841" s="5" t="s">
        <v>18001</v>
      </c>
      <c r="B8841" s="6">
        <v>393.75</v>
      </c>
      <c r="C8841" s="6">
        <v>20.478950000000001</v>
      </c>
      <c r="D8841" s="6">
        <v>82</v>
      </c>
      <c r="E8841" s="6">
        <v>0</v>
      </c>
      <c r="F8841" s="6">
        <v>0</v>
      </c>
      <c r="G8841" s="6">
        <v>0</v>
      </c>
      <c r="H8841" s="6" t="s">
        <v>18002</v>
      </c>
      <c r="I8841" s="6">
        <v>526.5</v>
      </c>
      <c r="J8841" s="2">
        <f t="shared" si="138"/>
        <v>43748.125284791669</v>
      </c>
    </row>
    <row r="8842" spans="1:10" x14ac:dyDescent="0.25">
      <c r="A8842" s="7" t="s">
        <v>18003</v>
      </c>
      <c r="B8842" s="8">
        <v>428.125</v>
      </c>
      <c r="C8842" s="8">
        <v>20.478950000000001</v>
      </c>
      <c r="D8842" s="8">
        <v>79</v>
      </c>
      <c r="E8842" s="8">
        <v>0</v>
      </c>
      <c r="F8842" s="8">
        <v>0</v>
      </c>
      <c r="G8842" s="8">
        <v>1</v>
      </c>
      <c r="H8842" s="8" t="s">
        <v>18004</v>
      </c>
      <c r="I8842" s="8">
        <v>537.1875</v>
      </c>
      <c r="J8842" s="3">
        <f t="shared" si="138"/>
        <v>43748.12535696759</v>
      </c>
    </row>
    <row r="8843" spans="1:10" x14ac:dyDescent="0.25">
      <c r="A8843" s="5" t="s">
        <v>18005</v>
      </c>
      <c r="B8843" s="6">
        <v>393.75</v>
      </c>
      <c r="C8843" s="6">
        <v>20.478950000000001</v>
      </c>
      <c r="D8843" s="6">
        <v>80</v>
      </c>
      <c r="E8843" s="6">
        <v>0</v>
      </c>
      <c r="F8843" s="6">
        <v>0</v>
      </c>
      <c r="G8843" s="6">
        <v>0</v>
      </c>
      <c r="H8843" s="6" t="s">
        <v>18006</v>
      </c>
      <c r="I8843" s="6">
        <v>526.6875</v>
      </c>
      <c r="J8843" s="2">
        <f t="shared" si="138"/>
        <v>43748.125428240739</v>
      </c>
    </row>
    <row r="8844" spans="1:10" x14ac:dyDescent="0.25">
      <c r="A8844" s="7" t="s">
        <v>18007</v>
      </c>
      <c r="B8844" s="8">
        <v>393.75</v>
      </c>
      <c r="C8844" s="8">
        <v>20.426300000000001</v>
      </c>
      <c r="D8844" s="8">
        <v>81</v>
      </c>
      <c r="E8844" s="8">
        <v>0</v>
      </c>
      <c r="F8844" s="8">
        <v>0</v>
      </c>
      <c r="G8844" s="8">
        <v>5</v>
      </c>
      <c r="H8844" s="8" t="s">
        <v>18008</v>
      </c>
      <c r="I8844" s="8">
        <v>526.6875</v>
      </c>
      <c r="J8844" s="3">
        <f t="shared" si="138"/>
        <v>43748.125499537033</v>
      </c>
    </row>
    <row r="8845" spans="1:10" x14ac:dyDescent="0.25">
      <c r="A8845" s="5" t="s">
        <v>18009</v>
      </c>
      <c r="B8845" s="6">
        <v>393.75</v>
      </c>
      <c r="C8845" s="6">
        <v>20.478950000000001</v>
      </c>
      <c r="D8845" s="6">
        <v>81</v>
      </c>
      <c r="E8845" s="6">
        <v>0</v>
      </c>
      <c r="F8845" s="6">
        <v>0</v>
      </c>
      <c r="G8845" s="6">
        <v>10</v>
      </c>
      <c r="H8845" s="6" t="s">
        <v>18010</v>
      </c>
      <c r="I8845" s="6">
        <v>526.5</v>
      </c>
      <c r="J8845" s="2">
        <f t="shared" si="138"/>
        <v>43748.125571736113</v>
      </c>
    </row>
    <row r="8846" spans="1:10" x14ac:dyDescent="0.25">
      <c r="A8846" s="7" t="s">
        <v>18011</v>
      </c>
      <c r="B8846" s="8">
        <v>393.75</v>
      </c>
      <c r="C8846" s="8">
        <v>20.478950000000001</v>
      </c>
      <c r="D8846" s="8">
        <v>81</v>
      </c>
      <c r="E8846" s="8">
        <v>0</v>
      </c>
      <c r="F8846" s="8">
        <v>0</v>
      </c>
      <c r="G8846" s="8">
        <v>0</v>
      </c>
      <c r="H8846" s="8" t="s">
        <v>18012</v>
      </c>
      <c r="I8846" s="8">
        <v>526.6875</v>
      </c>
      <c r="J8846" s="3">
        <f t="shared" si="138"/>
        <v>43748.125643807864</v>
      </c>
    </row>
    <row r="8847" spans="1:10" x14ac:dyDescent="0.25">
      <c r="A8847" s="5" t="s">
        <v>18013</v>
      </c>
      <c r="B8847" s="6">
        <v>393.75</v>
      </c>
      <c r="C8847" s="6">
        <v>20.478950000000001</v>
      </c>
      <c r="D8847" s="6">
        <v>82</v>
      </c>
      <c r="E8847" s="6">
        <v>0</v>
      </c>
      <c r="F8847" s="6">
        <v>0</v>
      </c>
      <c r="G8847" s="6">
        <v>3</v>
      </c>
      <c r="H8847" s="6" t="s">
        <v>18014</v>
      </c>
      <c r="I8847" s="6">
        <v>526.6875</v>
      </c>
      <c r="J8847" s="2">
        <f t="shared" si="138"/>
        <v>43748.125726388891</v>
      </c>
    </row>
    <row r="8848" spans="1:10" x14ac:dyDescent="0.25">
      <c r="A8848" s="7" t="s">
        <v>18015</v>
      </c>
      <c r="B8848" s="8">
        <v>393.75</v>
      </c>
      <c r="C8848" s="8">
        <v>20.478950000000001</v>
      </c>
      <c r="D8848" s="8">
        <v>87</v>
      </c>
      <c r="E8848" s="8">
        <v>0</v>
      </c>
      <c r="F8848" s="8">
        <v>0</v>
      </c>
      <c r="G8848" s="8">
        <v>0</v>
      </c>
      <c r="H8848" s="8" t="s">
        <v>18016</v>
      </c>
      <c r="I8848" s="8">
        <v>526.5</v>
      </c>
      <c r="J8848" s="3">
        <f t="shared" si="138"/>
        <v>43748.12579770833</v>
      </c>
    </row>
    <row r="8849" spans="1:10" x14ac:dyDescent="0.25">
      <c r="A8849" s="5" t="s">
        <v>18017</v>
      </c>
      <c r="B8849" s="6">
        <v>393.75</v>
      </c>
      <c r="C8849" s="6">
        <v>20.478950000000001</v>
      </c>
      <c r="D8849" s="6">
        <v>87</v>
      </c>
      <c r="E8849" s="6">
        <v>0</v>
      </c>
      <c r="F8849" s="6">
        <v>0</v>
      </c>
      <c r="G8849" s="6">
        <v>0</v>
      </c>
      <c r="H8849" s="6" t="s">
        <v>18018</v>
      </c>
      <c r="I8849" s="6">
        <v>526.5</v>
      </c>
      <c r="J8849" s="2">
        <f t="shared" si="138"/>
        <v>43748.125869687494</v>
      </c>
    </row>
    <row r="8850" spans="1:10" x14ac:dyDescent="0.25">
      <c r="A8850" s="7" t="s">
        <v>18019</v>
      </c>
      <c r="B8850" s="8">
        <v>412.5</v>
      </c>
      <c r="C8850" s="8">
        <v>20.478950000000001</v>
      </c>
      <c r="D8850" s="8">
        <v>87</v>
      </c>
      <c r="E8850" s="8">
        <v>0</v>
      </c>
      <c r="F8850" s="8">
        <v>0</v>
      </c>
      <c r="G8850" s="8">
        <v>11</v>
      </c>
      <c r="H8850" s="8" t="s">
        <v>18020</v>
      </c>
      <c r="I8850" s="8">
        <v>532.3125</v>
      </c>
      <c r="J8850" s="3">
        <f t="shared" si="138"/>
        <v>43748.125941226848</v>
      </c>
    </row>
    <row r="8851" spans="1:10" x14ac:dyDescent="0.25">
      <c r="A8851" s="5" t="s">
        <v>18021</v>
      </c>
      <c r="B8851" s="6">
        <v>393.75</v>
      </c>
      <c r="C8851" s="6">
        <v>20.478950000000001</v>
      </c>
      <c r="D8851" s="6">
        <v>86</v>
      </c>
      <c r="E8851" s="6">
        <v>0</v>
      </c>
      <c r="F8851" s="6">
        <v>0</v>
      </c>
      <c r="G8851" s="6">
        <v>0</v>
      </c>
      <c r="H8851" s="6" t="s">
        <v>18022</v>
      </c>
      <c r="I8851" s="6">
        <v>526.6875</v>
      </c>
      <c r="J8851" s="2">
        <f t="shared" si="138"/>
        <v>43748.126012511573</v>
      </c>
    </row>
    <row r="8852" spans="1:10" x14ac:dyDescent="0.25">
      <c r="A8852" s="7" t="s">
        <v>18023</v>
      </c>
      <c r="B8852" s="8">
        <v>393.75</v>
      </c>
      <c r="C8852" s="8">
        <v>20.478950000000001</v>
      </c>
      <c r="D8852" s="8">
        <v>88</v>
      </c>
      <c r="E8852" s="8">
        <v>0</v>
      </c>
      <c r="F8852" s="8">
        <v>0</v>
      </c>
      <c r="G8852" s="8">
        <v>4</v>
      </c>
      <c r="H8852" s="8" t="s">
        <v>18024</v>
      </c>
      <c r="I8852" s="8">
        <v>526.6875</v>
      </c>
      <c r="J8852" s="3">
        <f t="shared" si="138"/>
        <v>43748.126084537034</v>
      </c>
    </row>
    <row r="8853" spans="1:10" x14ac:dyDescent="0.25">
      <c r="A8853" s="5" t="s">
        <v>18025</v>
      </c>
      <c r="B8853" s="6">
        <v>393.75</v>
      </c>
      <c r="C8853" s="6">
        <v>20.426300000000001</v>
      </c>
      <c r="D8853" s="6">
        <v>88</v>
      </c>
      <c r="E8853" s="6">
        <v>0</v>
      </c>
      <c r="F8853" s="6">
        <v>0</v>
      </c>
      <c r="G8853" s="6">
        <v>3</v>
      </c>
      <c r="H8853" s="6" t="s">
        <v>18026</v>
      </c>
      <c r="I8853" s="6">
        <v>526.6875</v>
      </c>
      <c r="J8853" s="2">
        <f t="shared" si="138"/>
        <v>43748.126155810183</v>
      </c>
    </row>
    <row r="8854" spans="1:10" x14ac:dyDescent="0.25">
      <c r="A8854" s="7" t="s">
        <v>18027</v>
      </c>
      <c r="B8854" s="8">
        <v>393.75</v>
      </c>
      <c r="C8854" s="8">
        <v>20.478950000000001</v>
      </c>
      <c r="D8854" s="8">
        <v>88</v>
      </c>
      <c r="E8854" s="8">
        <v>0</v>
      </c>
      <c r="F8854" s="8">
        <v>0</v>
      </c>
      <c r="G8854" s="8">
        <v>8</v>
      </c>
      <c r="H8854" s="8" t="s">
        <v>18028</v>
      </c>
      <c r="I8854" s="8">
        <v>526.6875</v>
      </c>
      <c r="J8854" s="3">
        <f t="shared" si="138"/>
        <v>43748.126227372682</v>
      </c>
    </row>
    <row r="8855" spans="1:10" x14ac:dyDescent="0.25">
      <c r="A8855" s="5" t="s">
        <v>18029</v>
      </c>
      <c r="B8855" s="6">
        <v>393.75</v>
      </c>
      <c r="C8855" s="6">
        <v>20.426300000000001</v>
      </c>
      <c r="D8855" s="6">
        <v>88</v>
      </c>
      <c r="E8855" s="6">
        <v>0</v>
      </c>
      <c r="F8855" s="6">
        <v>0</v>
      </c>
      <c r="G8855" s="6">
        <v>3</v>
      </c>
      <c r="H8855" s="6" t="s">
        <v>18030</v>
      </c>
      <c r="I8855" s="6">
        <v>526.6875</v>
      </c>
      <c r="J8855" s="2">
        <f t="shared" si="138"/>
        <v>43748.126310659718</v>
      </c>
    </row>
    <row r="8856" spans="1:10" x14ac:dyDescent="0.25">
      <c r="A8856" s="7" t="s">
        <v>18031</v>
      </c>
      <c r="B8856" s="8">
        <v>393.75</v>
      </c>
      <c r="C8856" s="8">
        <v>20.426300000000001</v>
      </c>
      <c r="D8856" s="8">
        <v>89</v>
      </c>
      <c r="E8856" s="8">
        <v>0</v>
      </c>
      <c r="F8856" s="8">
        <v>0</v>
      </c>
      <c r="G8856" s="8">
        <v>10</v>
      </c>
      <c r="H8856" s="8" t="s">
        <v>18032</v>
      </c>
      <c r="I8856" s="8">
        <v>526.6875</v>
      </c>
      <c r="J8856" s="3">
        <f t="shared" si="138"/>
        <v>43748.126381967588</v>
      </c>
    </row>
    <row r="8857" spans="1:10" x14ac:dyDescent="0.25">
      <c r="A8857" s="5" t="s">
        <v>18033</v>
      </c>
      <c r="B8857" s="6">
        <v>393.75</v>
      </c>
      <c r="C8857" s="6">
        <v>20.478950000000001</v>
      </c>
      <c r="D8857" s="6">
        <v>87</v>
      </c>
      <c r="E8857" s="6">
        <v>0</v>
      </c>
      <c r="F8857" s="6">
        <v>0</v>
      </c>
      <c r="G8857" s="6">
        <v>0</v>
      </c>
      <c r="H8857" s="6" t="s">
        <v>18034</v>
      </c>
      <c r="I8857" s="6">
        <v>526.6875</v>
      </c>
      <c r="J8857" s="2">
        <f t="shared" si="138"/>
        <v>43748.126454131947</v>
      </c>
    </row>
    <row r="8858" spans="1:10" x14ac:dyDescent="0.25">
      <c r="A8858" s="7" t="s">
        <v>18035</v>
      </c>
      <c r="B8858" s="8">
        <v>393.75</v>
      </c>
      <c r="C8858" s="8">
        <v>20.478950000000001</v>
      </c>
      <c r="D8858" s="8">
        <v>84</v>
      </c>
      <c r="E8858" s="8">
        <v>0</v>
      </c>
      <c r="F8858" s="8">
        <v>0</v>
      </c>
      <c r="G8858" s="8">
        <v>5</v>
      </c>
      <c r="H8858" s="8" t="s">
        <v>18036</v>
      </c>
      <c r="I8858" s="8">
        <v>526.6875</v>
      </c>
      <c r="J8858" s="3">
        <f t="shared" si="138"/>
        <v>43748.126525462962</v>
      </c>
    </row>
    <row r="8859" spans="1:10" x14ac:dyDescent="0.25">
      <c r="A8859" s="5" t="s">
        <v>18037</v>
      </c>
      <c r="B8859" s="6">
        <v>393.75</v>
      </c>
      <c r="C8859" s="6">
        <v>20.478950000000001</v>
      </c>
      <c r="D8859" s="6">
        <v>88</v>
      </c>
      <c r="E8859" s="6">
        <v>0</v>
      </c>
      <c r="F8859" s="6">
        <v>0</v>
      </c>
      <c r="G8859" s="6">
        <v>3</v>
      </c>
      <c r="H8859" s="6" t="s">
        <v>18038</v>
      </c>
      <c r="I8859" s="6">
        <v>526.6875</v>
      </c>
      <c r="J8859" s="2">
        <f t="shared" si="138"/>
        <v>43748.126608749997</v>
      </c>
    </row>
    <row r="8860" spans="1:10" x14ac:dyDescent="0.25">
      <c r="A8860" s="7" t="s">
        <v>18039</v>
      </c>
      <c r="B8860" s="8">
        <v>393.75</v>
      </c>
      <c r="C8860" s="8">
        <v>20.478950000000001</v>
      </c>
      <c r="D8860" s="8">
        <v>86</v>
      </c>
      <c r="E8860" s="8">
        <v>0</v>
      </c>
      <c r="F8860" s="8">
        <v>0</v>
      </c>
      <c r="G8860" s="8">
        <v>0</v>
      </c>
      <c r="H8860" s="8" t="s">
        <v>18040</v>
      </c>
      <c r="I8860" s="8">
        <v>526.6875</v>
      </c>
      <c r="J8860" s="3">
        <f t="shared" si="138"/>
        <v>43748.126680104164</v>
      </c>
    </row>
    <row r="8861" spans="1:10" x14ac:dyDescent="0.25">
      <c r="A8861" s="5" t="s">
        <v>18041</v>
      </c>
      <c r="B8861" s="6">
        <v>425</v>
      </c>
      <c r="C8861" s="6">
        <v>20.478950000000001</v>
      </c>
      <c r="D8861" s="6">
        <v>86</v>
      </c>
      <c r="E8861" s="6">
        <v>0</v>
      </c>
      <c r="F8861" s="6">
        <v>0</v>
      </c>
      <c r="G8861" s="6">
        <v>7</v>
      </c>
      <c r="H8861" s="6" t="s">
        <v>18042</v>
      </c>
      <c r="I8861" s="6">
        <v>536.4375</v>
      </c>
      <c r="J8861" s="2">
        <f t="shared" si="138"/>
        <v>43748.126752314813</v>
      </c>
    </row>
    <row r="8862" spans="1:10" x14ac:dyDescent="0.25">
      <c r="A8862" s="7" t="s">
        <v>18043</v>
      </c>
      <c r="B8862" s="8">
        <v>393.75</v>
      </c>
      <c r="C8862" s="8">
        <v>20.426300000000001</v>
      </c>
      <c r="D8862" s="8">
        <v>86</v>
      </c>
      <c r="E8862" s="8">
        <v>0</v>
      </c>
      <c r="F8862" s="8">
        <v>0</v>
      </c>
      <c r="G8862" s="8">
        <v>4</v>
      </c>
      <c r="H8862" s="8" t="s">
        <v>18044</v>
      </c>
      <c r="I8862" s="8">
        <v>526.5</v>
      </c>
      <c r="J8862" s="3">
        <f t="shared" si="138"/>
        <v>43748.126822743048</v>
      </c>
    </row>
    <row r="8863" spans="1:10" x14ac:dyDescent="0.25">
      <c r="A8863" s="5" t="s">
        <v>18045</v>
      </c>
      <c r="B8863" s="6">
        <v>393.75</v>
      </c>
      <c r="C8863" s="6">
        <v>20.478950000000001</v>
      </c>
      <c r="D8863" s="6">
        <v>86</v>
      </c>
      <c r="E8863" s="6">
        <v>0</v>
      </c>
      <c r="F8863" s="6">
        <v>0</v>
      </c>
      <c r="G8863" s="6">
        <v>4</v>
      </c>
      <c r="H8863" s="6" t="s">
        <v>18046</v>
      </c>
      <c r="I8863" s="6">
        <v>526.5</v>
      </c>
      <c r="J8863" s="2">
        <f t="shared" si="138"/>
        <v>43748.126894918976</v>
      </c>
    </row>
    <row r="8864" spans="1:10" x14ac:dyDescent="0.25">
      <c r="A8864" s="7" t="s">
        <v>18047</v>
      </c>
      <c r="B8864" s="8">
        <v>393.75</v>
      </c>
      <c r="C8864" s="8">
        <v>20.478950000000001</v>
      </c>
      <c r="D8864" s="8">
        <v>86</v>
      </c>
      <c r="E8864" s="8">
        <v>0</v>
      </c>
      <c r="F8864" s="8">
        <v>0</v>
      </c>
      <c r="G8864" s="8">
        <v>0</v>
      </c>
      <c r="H8864" s="8" t="s">
        <v>18048</v>
      </c>
      <c r="I8864" s="8">
        <v>526.6875</v>
      </c>
      <c r="J8864" s="3">
        <f t="shared" si="138"/>
        <v>43748.12696621527</v>
      </c>
    </row>
    <row r="8865" spans="1:10" x14ac:dyDescent="0.25">
      <c r="A8865" s="5" t="s">
        <v>18049</v>
      </c>
      <c r="B8865" s="6">
        <v>393.75</v>
      </c>
      <c r="C8865" s="6">
        <v>20.478950000000001</v>
      </c>
      <c r="D8865" s="6">
        <v>86</v>
      </c>
      <c r="E8865" s="6">
        <v>0</v>
      </c>
      <c r="F8865" s="6">
        <v>0</v>
      </c>
      <c r="G8865" s="6">
        <v>2</v>
      </c>
      <c r="H8865" s="6" t="s">
        <v>18050</v>
      </c>
      <c r="I8865" s="6">
        <v>526.5</v>
      </c>
      <c r="J8865" s="2">
        <f t="shared" si="138"/>
        <v>43748.127044317131</v>
      </c>
    </row>
    <row r="8866" spans="1:10" x14ac:dyDescent="0.25">
      <c r="A8866" s="7" t="s">
        <v>18051</v>
      </c>
      <c r="B8866" s="8">
        <v>393.75</v>
      </c>
      <c r="C8866" s="8">
        <v>20.478950000000001</v>
      </c>
      <c r="D8866" s="8">
        <v>88</v>
      </c>
      <c r="E8866" s="8">
        <v>0</v>
      </c>
      <c r="F8866" s="8">
        <v>0</v>
      </c>
      <c r="G8866" s="8">
        <v>5</v>
      </c>
      <c r="H8866" s="8" t="s">
        <v>18052</v>
      </c>
      <c r="I8866" s="8">
        <v>526.6875</v>
      </c>
      <c r="J8866" s="3">
        <f t="shared" si="138"/>
        <v>43748.127121793979</v>
      </c>
    </row>
    <row r="8867" spans="1:10" x14ac:dyDescent="0.25">
      <c r="A8867" s="5" t="s">
        <v>18053</v>
      </c>
      <c r="B8867" s="6">
        <v>393.75</v>
      </c>
      <c r="C8867" s="6">
        <v>20.478950000000001</v>
      </c>
      <c r="D8867" s="6">
        <v>87</v>
      </c>
      <c r="E8867" s="6">
        <v>0</v>
      </c>
      <c r="F8867" s="6">
        <v>0</v>
      </c>
      <c r="G8867" s="6">
        <v>3</v>
      </c>
      <c r="H8867" s="6" t="s">
        <v>18054</v>
      </c>
      <c r="I8867" s="6">
        <v>526.6875</v>
      </c>
      <c r="J8867" s="2">
        <f t="shared" si="138"/>
        <v>43748.127193067128</v>
      </c>
    </row>
    <row r="8868" spans="1:10" x14ac:dyDescent="0.25">
      <c r="A8868" s="7" t="s">
        <v>18055</v>
      </c>
      <c r="B8868" s="8">
        <v>393.75</v>
      </c>
      <c r="C8868" s="8">
        <v>20.478950000000001</v>
      </c>
      <c r="D8868" s="8">
        <v>85</v>
      </c>
      <c r="E8868" s="8">
        <v>0</v>
      </c>
      <c r="F8868" s="8">
        <v>0</v>
      </c>
      <c r="G8868" s="8">
        <v>2</v>
      </c>
      <c r="H8868" s="8" t="s">
        <v>18056</v>
      </c>
      <c r="I8868" s="8">
        <v>526.6875</v>
      </c>
      <c r="J8868" s="3">
        <f t="shared" si="138"/>
        <v>43748.127264317132</v>
      </c>
    </row>
    <row r="8869" spans="1:10" x14ac:dyDescent="0.25">
      <c r="A8869" s="5" t="s">
        <v>18057</v>
      </c>
      <c r="B8869" s="6">
        <v>415.625</v>
      </c>
      <c r="C8869" s="6">
        <v>20.478950000000001</v>
      </c>
      <c r="D8869" s="6">
        <v>85</v>
      </c>
      <c r="E8869" s="6">
        <v>0</v>
      </c>
      <c r="F8869" s="6">
        <v>0</v>
      </c>
      <c r="G8869" s="6">
        <v>0</v>
      </c>
      <c r="H8869" s="6" t="s">
        <v>18058</v>
      </c>
      <c r="I8869" s="6">
        <v>533.0625</v>
      </c>
      <c r="J8869" s="2">
        <f t="shared" si="138"/>
        <v>43748.127336643513</v>
      </c>
    </row>
    <row r="8870" spans="1:10" x14ac:dyDescent="0.25">
      <c r="A8870" s="7" t="s">
        <v>18059</v>
      </c>
      <c r="B8870" s="8">
        <v>393.75</v>
      </c>
      <c r="C8870" s="8">
        <v>20.478950000000001</v>
      </c>
      <c r="D8870" s="8">
        <v>85</v>
      </c>
      <c r="E8870" s="8">
        <v>0</v>
      </c>
      <c r="F8870" s="8">
        <v>0</v>
      </c>
      <c r="G8870" s="8">
        <v>3</v>
      </c>
      <c r="H8870" s="8" t="s">
        <v>18060</v>
      </c>
      <c r="I8870" s="8">
        <v>526.6875</v>
      </c>
      <c r="J8870" s="3">
        <f t="shared" si="138"/>
        <v>43748.127407002314</v>
      </c>
    </row>
    <row r="8871" spans="1:10" x14ac:dyDescent="0.25">
      <c r="A8871" s="5" t="s">
        <v>18061</v>
      </c>
      <c r="B8871" s="6">
        <v>393.75</v>
      </c>
      <c r="C8871" s="6">
        <v>20.426300000000001</v>
      </c>
      <c r="D8871" s="6">
        <v>86</v>
      </c>
      <c r="E8871" s="6">
        <v>0</v>
      </c>
      <c r="F8871" s="6">
        <v>0</v>
      </c>
      <c r="G8871" s="6">
        <v>5</v>
      </c>
      <c r="H8871" s="6" t="s">
        <v>18062</v>
      </c>
      <c r="I8871" s="6">
        <v>526.6875</v>
      </c>
      <c r="J8871" s="2">
        <f t="shared" si="138"/>
        <v>43748.127491250001</v>
      </c>
    </row>
    <row r="8872" spans="1:10" x14ac:dyDescent="0.25">
      <c r="A8872" s="7" t="s">
        <v>18063</v>
      </c>
      <c r="B8872" s="8">
        <v>393.75</v>
      </c>
      <c r="C8872" s="8">
        <v>20.478950000000001</v>
      </c>
      <c r="D8872" s="8">
        <v>87</v>
      </c>
      <c r="E8872" s="8">
        <v>0</v>
      </c>
      <c r="F8872" s="8">
        <v>0</v>
      </c>
      <c r="G8872" s="8">
        <v>1</v>
      </c>
      <c r="H8872" s="8" t="s">
        <v>18064</v>
      </c>
      <c r="I8872" s="8">
        <v>526.6875</v>
      </c>
      <c r="J8872" s="3">
        <f t="shared" si="138"/>
        <v>43748.127562442132</v>
      </c>
    </row>
    <row r="8873" spans="1:10" x14ac:dyDescent="0.25">
      <c r="A8873" s="5" t="s">
        <v>18065</v>
      </c>
      <c r="B8873" s="6">
        <v>393.75</v>
      </c>
      <c r="C8873" s="6">
        <v>20.478950000000001</v>
      </c>
      <c r="D8873" s="6">
        <v>87</v>
      </c>
      <c r="E8873" s="6">
        <v>0</v>
      </c>
      <c r="F8873" s="6">
        <v>0</v>
      </c>
      <c r="G8873" s="6">
        <v>4</v>
      </c>
      <c r="H8873" s="6" t="s">
        <v>18066</v>
      </c>
      <c r="I8873" s="6">
        <v>526.5</v>
      </c>
      <c r="J8873" s="2">
        <f t="shared" si="138"/>
        <v>43748.127657893514</v>
      </c>
    </row>
    <row r="8874" spans="1:10" x14ac:dyDescent="0.25">
      <c r="A8874" s="7" t="s">
        <v>18067</v>
      </c>
      <c r="B8874" s="8">
        <v>393.75</v>
      </c>
      <c r="C8874" s="8">
        <v>20.478950000000001</v>
      </c>
      <c r="D8874" s="8">
        <v>87</v>
      </c>
      <c r="E8874" s="8">
        <v>0</v>
      </c>
      <c r="F8874" s="8">
        <v>0</v>
      </c>
      <c r="G8874" s="8">
        <v>0</v>
      </c>
      <c r="H8874" s="8" t="s">
        <v>18068</v>
      </c>
      <c r="I8874" s="8">
        <v>526.6875</v>
      </c>
      <c r="J8874" s="3">
        <f t="shared" si="138"/>
        <v>43748.12772989583</v>
      </c>
    </row>
    <row r="8875" spans="1:10" x14ac:dyDescent="0.25">
      <c r="A8875" s="5" t="s">
        <v>18069</v>
      </c>
      <c r="B8875" s="6">
        <v>412.5</v>
      </c>
      <c r="C8875" s="6">
        <v>20.478950000000001</v>
      </c>
      <c r="D8875" s="6">
        <v>86</v>
      </c>
      <c r="E8875" s="6">
        <v>0</v>
      </c>
      <c r="F8875" s="6">
        <v>0</v>
      </c>
      <c r="G8875" s="6">
        <v>7</v>
      </c>
      <c r="H8875" s="6" t="s">
        <v>18070</v>
      </c>
      <c r="I8875" s="6">
        <v>532.5</v>
      </c>
      <c r="J8875" s="2">
        <f t="shared" si="138"/>
        <v>43748.127801307863</v>
      </c>
    </row>
    <row r="8876" spans="1:10" x14ac:dyDescent="0.25">
      <c r="A8876" s="7" t="s">
        <v>18071</v>
      </c>
      <c r="B8876" s="8">
        <v>393.75</v>
      </c>
      <c r="C8876" s="8">
        <v>20.478950000000001</v>
      </c>
      <c r="D8876" s="8">
        <v>86</v>
      </c>
      <c r="E8876" s="8">
        <v>0</v>
      </c>
      <c r="F8876" s="8">
        <v>0</v>
      </c>
      <c r="G8876" s="8">
        <v>2</v>
      </c>
      <c r="H8876" s="8" t="s">
        <v>18072</v>
      </c>
      <c r="I8876" s="8">
        <v>526.6875</v>
      </c>
      <c r="J8876" s="3">
        <f t="shared" si="138"/>
        <v>43748.127884710644</v>
      </c>
    </row>
    <row r="8877" spans="1:10" x14ac:dyDescent="0.25">
      <c r="A8877" s="5" t="s">
        <v>18073</v>
      </c>
      <c r="B8877" s="6">
        <v>393.75</v>
      </c>
      <c r="C8877" s="6">
        <v>20.478950000000001</v>
      </c>
      <c r="D8877" s="6">
        <v>86</v>
      </c>
      <c r="E8877" s="6">
        <v>0</v>
      </c>
      <c r="F8877" s="6">
        <v>0</v>
      </c>
      <c r="G8877" s="6">
        <v>3</v>
      </c>
      <c r="H8877" s="6" t="s">
        <v>18074</v>
      </c>
      <c r="I8877" s="6">
        <v>526.5</v>
      </c>
      <c r="J8877" s="2">
        <f t="shared" si="138"/>
        <v>43748.127968032401</v>
      </c>
    </row>
    <row r="8878" spans="1:10" x14ac:dyDescent="0.25">
      <c r="A8878" s="7" t="s">
        <v>18075</v>
      </c>
      <c r="B8878" s="8">
        <v>393.75</v>
      </c>
      <c r="C8878" s="8">
        <v>20.426300000000001</v>
      </c>
      <c r="D8878" s="8">
        <v>87</v>
      </c>
      <c r="E8878" s="8">
        <v>0</v>
      </c>
      <c r="F8878" s="8">
        <v>0</v>
      </c>
      <c r="G8878" s="8">
        <v>6</v>
      </c>
      <c r="H8878" s="8" t="s">
        <v>18076</v>
      </c>
      <c r="I8878" s="8">
        <v>526.6875</v>
      </c>
      <c r="J8878" s="3">
        <f t="shared" si="138"/>
        <v>43748.128039328702</v>
      </c>
    </row>
    <row r="8879" spans="1:10" x14ac:dyDescent="0.25">
      <c r="A8879" s="5" t="s">
        <v>18077</v>
      </c>
      <c r="B8879" s="6">
        <v>393.75</v>
      </c>
      <c r="C8879" s="6">
        <v>20.478950000000001</v>
      </c>
      <c r="D8879" s="6">
        <v>87</v>
      </c>
      <c r="E8879" s="6">
        <v>0</v>
      </c>
      <c r="F8879" s="6">
        <v>0</v>
      </c>
      <c r="G8879" s="6">
        <v>5</v>
      </c>
      <c r="H8879" s="6" t="s">
        <v>18078</v>
      </c>
      <c r="I8879" s="6">
        <v>526.5</v>
      </c>
      <c r="J8879" s="2">
        <f t="shared" si="138"/>
        <v>43748.128111574071</v>
      </c>
    </row>
    <row r="8880" spans="1:10" x14ac:dyDescent="0.25">
      <c r="A8880" s="7" t="s">
        <v>18079</v>
      </c>
      <c r="B8880" s="8">
        <v>393.75</v>
      </c>
      <c r="C8880" s="8">
        <v>20.478950000000001</v>
      </c>
      <c r="D8880" s="8">
        <v>87</v>
      </c>
      <c r="E8880" s="8">
        <v>0</v>
      </c>
      <c r="F8880" s="8">
        <v>0</v>
      </c>
      <c r="G8880" s="8">
        <v>1</v>
      </c>
      <c r="H8880" s="8" t="s">
        <v>18080</v>
      </c>
      <c r="I8880" s="8">
        <v>526.6875</v>
      </c>
      <c r="J8880" s="3">
        <f t="shared" si="138"/>
        <v>43748.128182800923</v>
      </c>
    </row>
    <row r="8881" spans="1:10" x14ac:dyDescent="0.25">
      <c r="A8881" s="5" t="s">
        <v>18081</v>
      </c>
      <c r="B8881" s="6">
        <v>393.75</v>
      </c>
      <c r="C8881" s="6">
        <v>20.478950000000001</v>
      </c>
      <c r="D8881" s="6">
        <v>88</v>
      </c>
      <c r="E8881" s="6">
        <v>0</v>
      </c>
      <c r="F8881" s="6">
        <v>0</v>
      </c>
      <c r="G8881" s="6">
        <v>6</v>
      </c>
      <c r="H8881" s="6" t="s">
        <v>18082</v>
      </c>
      <c r="I8881" s="6">
        <v>526.6875</v>
      </c>
      <c r="J8881" s="2">
        <f t="shared" si="138"/>
        <v>43748.128254166666</v>
      </c>
    </row>
    <row r="8882" spans="1:10" x14ac:dyDescent="0.25">
      <c r="A8882" s="7" t="s">
        <v>18083</v>
      </c>
      <c r="B8882" s="8">
        <v>415.625</v>
      </c>
      <c r="C8882" s="8">
        <v>20.478950000000001</v>
      </c>
      <c r="D8882" s="8">
        <v>88</v>
      </c>
      <c r="E8882" s="8">
        <v>0</v>
      </c>
      <c r="F8882" s="8">
        <v>0</v>
      </c>
      <c r="G8882" s="8">
        <v>7</v>
      </c>
      <c r="H8882" s="8" t="s">
        <v>18084</v>
      </c>
      <c r="I8882" s="8">
        <v>533.0625</v>
      </c>
      <c r="J8882" s="3">
        <f t="shared" si="138"/>
        <v>43748.128325509257</v>
      </c>
    </row>
    <row r="8883" spans="1:10" x14ac:dyDescent="0.25">
      <c r="A8883" s="5" t="s">
        <v>18085</v>
      </c>
      <c r="B8883" s="6">
        <v>396.875</v>
      </c>
      <c r="C8883" s="6">
        <v>20.478950000000001</v>
      </c>
      <c r="D8883" s="6">
        <v>89</v>
      </c>
      <c r="E8883" s="6">
        <v>0</v>
      </c>
      <c r="F8883" s="6">
        <v>0</v>
      </c>
      <c r="G8883" s="6">
        <v>10</v>
      </c>
      <c r="H8883" s="6" t="s">
        <v>18086</v>
      </c>
      <c r="I8883" s="6">
        <v>527.4375</v>
      </c>
      <c r="J8883" s="2">
        <f t="shared" si="138"/>
        <v>43748.128397731482</v>
      </c>
    </row>
    <row r="8884" spans="1:10" x14ac:dyDescent="0.25">
      <c r="A8884" s="7" t="s">
        <v>18087</v>
      </c>
      <c r="B8884" s="8">
        <v>396.875</v>
      </c>
      <c r="C8884" s="8">
        <v>20.478950000000001</v>
      </c>
      <c r="D8884" s="8">
        <v>89</v>
      </c>
      <c r="E8884" s="8">
        <v>0</v>
      </c>
      <c r="F8884" s="8">
        <v>0</v>
      </c>
      <c r="G8884" s="8">
        <v>3</v>
      </c>
      <c r="H8884" s="8" t="s">
        <v>18088</v>
      </c>
      <c r="I8884" s="8">
        <v>527.4375</v>
      </c>
      <c r="J8884" s="3">
        <f t="shared" si="138"/>
        <v>43748.128469259253</v>
      </c>
    </row>
    <row r="8885" spans="1:10" x14ac:dyDescent="0.25">
      <c r="A8885" s="5" t="s">
        <v>18089</v>
      </c>
      <c r="B8885" s="6">
        <v>393.75</v>
      </c>
      <c r="C8885" s="6">
        <v>20.478950000000001</v>
      </c>
      <c r="D8885" s="6">
        <v>90</v>
      </c>
      <c r="E8885" s="6">
        <v>0</v>
      </c>
      <c r="F8885" s="6">
        <v>0</v>
      </c>
      <c r="G8885" s="6">
        <v>10</v>
      </c>
      <c r="H8885" s="6" t="s">
        <v>18090</v>
      </c>
      <c r="I8885" s="6">
        <v>526.6875</v>
      </c>
      <c r="J8885" s="2">
        <f t="shared" si="138"/>
        <v>43748.128541030092</v>
      </c>
    </row>
    <row r="8886" spans="1:10" x14ac:dyDescent="0.25">
      <c r="A8886" s="7" t="s">
        <v>18091</v>
      </c>
      <c r="B8886" s="8">
        <v>393.75</v>
      </c>
      <c r="C8886" s="8">
        <v>20.478950000000001</v>
      </c>
      <c r="D8886" s="8">
        <v>90</v>
      </c>
      <c r="E8886" s="8">
        <v>0</v>
      </c>
      <c r="F8886" s="8">
        <v>0</v>
      </c>
      <c r="G8886" s="8">
        <v>10</v>
      </c>
      <c r="H8886" s="8" t="s">
        <v>18092</v>
      </c>
      <c r="I8886" s="8">
        <v>526.6875</v>
      </c>
      <c r="J8886" s="3">
        <f t="shared" si="138"/>
        <v>43748.128611631946</v>
      </c>
    </row>
    <row r="8887" spans="1:10" x14ac:dyDescent="0.25">
      <c r="A8887" s="5" t="s">
        <v>18093</v>
      </c>
      <c r="B8887" s="6">
        <v>393.75</v>
      </c>
      <c r="C8887" s="6">
        <v>20.478950000000001</v>
      </c>
      <c r="D8887" s="6">
        <v>90</v>
      </c>
      <c r="E8887" s="6">
        <v>0</v>
      </c>
      <c r="F8887" s="6">
        <v>0</v>
      </c>
      <c r="G8887" s="6">
        <v>14</v>
      </c>
      <c r="H8887" s="6" t="s">
        <v>18094</v>
      </c>
      <c r="I8887" s="6">
        <v>526.6875</v>
      </c>
      <c r="J8887" s="2">
        <f t="shared" si="138"/>
        <v>43748.128683773146</v>
      </c>
    </row>
    <row r="8888" spans="1:10" x14ac:dyDescent="0.25">
      <c r="A8888" s="7" t="s">
        <v>18095</v>
      </c>
      <c r="B8888" s="8">
        <v>393.75</v>
      </c>
      <c r="C8888" s="8">
        <v>20.478950000000001</v>
      </c>
      <c r="D8888" s="8">
        <v>90</v>
      </c>
      <c r="E8888" s="8">
        <v>0</v>
      </c>
      <c r="F8888" s="8">
        <v>0</v>
      </c>
      <c r="G8888" s="8">
        <v>0</v>
      </c>
      <c r="H8888" s="8" t="s">
        <v>18096</v>
      </c>
      <c r="I8888" s="8">
        <v>526.6875</v>
      </c>
      <c r="J8888" s="3">
        <f t="shared" si="138"/>
        <v>43748.128755069447</v>
      </c>
    </row>
    <row r="8889" spans="1:10" x14ac:dyDescent="0.25">
      <c r="A8889" s="5" t="s">
        <v>18097</v>
      </c>
      <c r="B8889" s="6">
        <v>393.75</v>
      </c>
      <c r="C8889" s="6">
        <v>20.478950000000001</v>
      </c>
      <c r="D8889" s="6">
        <v>89</v>
      </c>
      <c r="E8889" s="6">
        <v>0</v>
      </c>
      <c r="F8889" s="6">
        <v>0</v>
      </c>
      <c r="G8889" s="6">
        <v>10</v>
      </c>
      <c r="H8889" s="6" t="s">
        <v>18098</v>
      </c>
      <c r="I8889" s="6">
        <v>526.6875</v>
      </c>
      <c r="J8889" s="2">
        <f t="shared" si="138"/>
        <v>43748.128826377309</v>
      </c>
    </row>
    <row r="8890" spans="1:10" x14ac:dyDescent="0.25">
      <c r="A8890" s="7" t="s">
        <v>18099</v>
      </c>
      <c r="B8890" s="8">
        <v>393.75</v>
      </c>
      <c r="C8890" s="8">
        <v>20.478950000000001</v>
      </c>
      <c r="D8890" s="8">
        <v>89</v>
      </c>
      <c r="E8890" s="8">
        <v>0</v>
      </c>
      <c r="F8890" s="8">
        <v>0</v>
      </c>
      <c r="G8890" s="8">
        <v>14</v>
      </c>
      <c r="H8890" s="8" t="s">
        <v>18100</v>
      </c>
      <c r="I8890" s="8">
        <v>526.6875</v>
      </c>
      <c r="J8890" s="3">
        <f t="shared" si="138"/>
        <v>43748.128898541669</v>
      </c>
    </row>
    <row r="8891" spans="1:10" x14ac:dyDescent="0.25">
      <c r="A8891" s="5" t="s">
        <v>18101</v>
      </c>
      <c r="B8891" s="6">
        <v>393.75</v>
      </c>
      <c r="C8891" s="6">
        <v>20.478950000000001</v>
      </c>
      <c r="D8891" s="6">
        <v>89</v>
      </c>
      <c r="E8891" s="6">
        <v>0</v>
      </c>
      <c r="F8891" s="6">
        <v>0</v>
      </c>
      <c r="G8891" s="6">
        <v>10</v>
      </c>
      <c r="H8891" s="6" t="s">
        <v>18102</v>
      </c>
      <c r="I8891" s="6">
        <v>526.6875</v>
      </c>
      <c r="J8891" s="2">
        <f t="shared" si="138"/>
        <v>43748.128969884252</v>
      </c>
    </row>
    <row r="8892" spans="1:10" x14ac:dyDescent="0.25">
      <c r="A8892" s="7" t="s">
        <v>18103</v>
      </c>
      <c r="B8892" s="8">
        <v>393.75</v>
      </c>
      <c r="C8892" s="8">
        <v>20.478950000000001</v>
      </c>
      <c r="D8892" s="8">
        <v>90</v>
      </c>
      <c r="E8892" s="8">
        <v>0</v>
      </c>
      <c r="F8892" s="8">
        <v>0</v>
      </c>
      <c r="G8892" s="8">
        <v>10</v>
      </c>
      <c r="H8892" s="8" t="s">
        <v>18104</v>
      </c>
      <c r="I8892" s="8">
        <v>526.6875</v>
      </c>
      <c r="J8892" s="3">
        <f t="shared" si="138"/>
        <v>43748.129041192129</v>
      </c>
    </row>
    <row r="8893" spans="1:10" x14ac:dyDescent="0.25">
      <c r="A8893" s="5" t="s">
        <v>18105</v>
      </c>
      <c r="B8893" s="6">
        <v>393.75</v>
      </c>
      <c r="C8893" s="6">
        <v>20.478950000000001</v>
      </c>
      <c r="D8893" s="6">
        <v>90</v>
      </c>
      <c r="E8893" s="6">
        <v>0</v>
      </c>
      <c r="F8893" s="6">
        <v>0</v>
      </c>
      <c r="G8893" s="6">
        <v>12</v>
      </c>
      <c r="H8893" s="6" t="s">
        <v>18106</v>
      </c>
      <c r="I8893" s="6">
        <v>526.6875</v>
      </c>
      <c r="J8893" s="2">
        <f t="shared" si="138"/>
        <v>43748.12911253472</v>
      </c>
    </row>
    <row r="8894" spans="1:10" x14ac:dyDescent="0.25">
      <c r="A8894" s="7" t="s">
        <v>18107</v>
      </c>
      <c r="B8894" s="8">
        <v>393.75</v>
      </c>
      <c r="C8894" s="8">
        <v>20.426300000000001</v>
      </c>
      <c r="D8894" s="8">
        <v>90</v>
      </c>
      <c r="E8894" s="8">
        <v>0</v>
      </c>
      <c r="F8894" s="8">
        <v>0</v>
      </c>
      <c r="G8894" s="8">
        <v>7</v>
      </c>
      <c r="H8894" s="8" t="s">
        <v>18108</v>
      </c>
      <c r="I8894" s="8">
        <v>526.6875</v>
      </c>
      <c r="J8894" s="3">
        <f t="shared" si="138"/>
        <v>43748.129184062498</v>
      </c>
    </row>
    <row r="8895" spans="1:10" x14ac:dyDescent="0.25">
      <c r="A8895" s="5" t="s">
        <v>18109</v>
      </c>
      <c r="B8895" s="6">
        <v>412.5</v>
      </c>
      <c r="C8895" s="6">
        <v>20.426300000000001</v>
      </c>
      <c r="D8895" s="6">
        <v>89</v>
      </c>
      <c r="E8895" s="6">
        <v>0</v>
      </c>
      <c r="F8895" s="6">
        <v>0</v>
      </c>
      <c r="G8895" s="6">
        <v>6</v>
      </c>
      <c r="H8895" s="6" t="s">
        <v>18110</v>
      </c>
      <c r="I8895" s="6">
        <v>532.875</v>
      </c>
      <c r="J8895" s="2">
        <f t="shared" si="138"/>
        <v>43748.129256053238</v>
      </c>
    </row>
    <row r="8896" spans="1:10" x14ac:dyDescent="0.25">
      <c r="A8896" s="7" t="s">
        <v>18111</v>
      </c>
      <c r="B8896" s="8">
        <v>393.75</v>
      </c>
      <c r="C8896" s="8">
        <v>20.478950000000001</v>
      </c>
      <c r="D8896" s="8">
        <v>89</v>
      </c>
      <c r="E8896" s="8">
        <v>0</v>
      </c>
      <c r="F8896" s="8">
        <v>0</v>
      </c>
      <c r="G8896" s="8">
        <v>13</v>
      </c>
      <c r="H8896" s="8" t="s">
        <v>18112</v>
      </c>
      <c r="I8896" s="8">
        <v>526.6875</v>
      </c>
      <c r="J8896" s="3">
        <f t="shared" si="138"/>
        <v>43748.129327291659</v>
      </c>
    </row>
    <row r="8897" spans="1:10" x14ac:dyDescent="0.25">
      <c r="A8897" s="5" t="s">
        <v>18113</v>
      </c>
      <c r="B8897" s="6">
        <v>393.75</v>
      </c>
      <c r="C8897" s="6">
        <v>20.478950000000001</v>
      </c>
      <c r="D8897" s="6">
        <v>89</v>
      </c>
      <c r="E8897" s="6">
        <v>0</v>
      </c>
      <c r="F8897" s="6">
        <v>0</v>
      </c>
      <c r="G8897" s="6">
        <v>19</v>
      </c>
      <c r="H8897" s="6" t="s">
        <v>18114</v>
      </c>
      <c r="I8897" s="6">
        <v>526.6875</v>
      </c>
      <c r="J8897" s="2">
        <f t="shared" si="138"/>
        <v>43748.129399282407</v>
      </c>
    </row>
    <row r="8898" spans="1:10" x14ac:dyDescent="0.25">
      <c r="A8898" s="7" t="s">
        <v>18115</v>
      </c>
      <c r="B8898" s="8">
        <v>393.75</v>
      </c>
      <c r="C8898" s="8">
        <v>20.478950000000001</v>
      </c>
      <c r="D8898" s="8">
        <v>90</v>
      </c>
      <c r="E8898" s="8">
        <v>0</v>
      </c>
      <c r="F8898" s="8">
        <v>0</v>
      </c>
      <c r="G8898" s="8">
        <v>17</v>
      </c>
      <c r="H8898" s="8" t="s">
        <v>18116</v>
      </c>
      <c r="I8898" s="8">
        <v>526.6875</v>
      </c>
      <c r="J8898" s="3">
        <f t="shared" ref="J8898:J8961" si="139">(H8898/86400000)+25569+(7/24)</f>
        <v>43748.129482824072</v>
      </c>
    </row>
    <row r="8899" spans="1:10" x14ac:dyDescent="0.25">
      <c r="A8899" s="5" t="s">
        <v>18117</v>
      </c>
      <c r="B8899" s="6">
        <v>393.75</v>
      </c>
      <c r="C8899" s="6">
        <v>20.478950000000001</v>
      </c>
      <c r="D8899" s="6">
        <v>90</v>
      </c>
      <c r="E8899" s="6">
        <v>0</v>
      </c>
      <c r="F8899" s="6">
        <v>0</v>
      </c>
      <c r="G8899" s="6">
        <v>9</v>
      </c>
      <c r="H8899" s="6" t="s">
        <v>18118</v>
      </c>
      <c r="I8899" s="6">
        <v>526.6875</v>
      </c>
      <c r="J8899" s="2">
        <f t="shared" si="139"/>
        <v>43748.129554212959</v>
      </c>
    </row>
    <row r="8900" spans="1:10" x14ac:dyDescent="0.25">
      <c r="A8900" s="7" t="s">
        <v>18119</v>
      </c>
      <c r="B8900" s="8">
        <v>393.75</v>
      </c>
      <c r="C8900" s="8">
        <v>20.478950000000001</v>
      </c>
      <c r="D8900" s="8">
        <v>88</v>
      </c>
      <c r="E8900" s="8">
        <v>0</v>
      </c>
      <c r="F8900" s="8">
        <v>0</v>
      </c>
      <c r="G8900" s="8">
        <v>0</v>
      </c>
      <c r="H8900" s="8" t="s">
        <v>18120</v>
      </c>
      <c r="I8900" s="8">
        <v>526.6875</v>
      </c>
      <c r="J8900" s="3">
        <f t="shared" si="139"/>
        <v>43748.129625451387</v>
      </c>
    </row>
    <row r="8901" spans="1:10" x14ac:dyDescent="0.25">
      <c r="A8901" s="5" t="s">
        <v>18121</v>
      </c>
      <c r="B8901" s="6">
        <v>393.75</v>
      </c>
      <c r="C8901" s="6">
        <v>20.478950000000001</v>
      </c>
      <c r="D8901" s="6">
        <v>87</v>
      </c>
      <c r="E8901" s="6">
        <v>0</v>
      </c>
      <c r="F8901" s="6">
        <v>0</v>
      </c>
      <c r="G8901" s="6">
        <v>13</v>
      </c>
      <c r="H8901" s="6" t="s">
        <v>18122</v>
      </c>
      <c r="I8901" s="6">
        <v>526.6875</v>
      </c>
      <c r="J8901" s="2">
        <f t="shared" si="139"/>
        <v>43748.129696793978</v>
      </c>
    </row>
    <row r="8902" spans="1:10" x14ac:dyDescent="0.25">
      <c r="A8902" s="7" t="s">
        <v>18123</v>
      </c>
      <c r="B8902" s="8">
        <v>393.75</v>
      </c>
      <c r="C8902" s="8">
        <v>20.478950000000001</v>
      </c>
      <c r="D8902" s="8">
        <v>88</v>
      </c>
      <c r="E8902" s="8">
        <v>0</v>
      </c>
      <c r="F8902" s="8">
        <v>0</v>
      </c>
      <c r="G8902" s="8">
        <v>3</v>
      </c>
      <c r="H8902" s="8" t="s">
        <v>18124</v>
      </c>
      <c r="I8902" s="8">
        <v>526.6875</v>
      </c>
      <c r="J8902" s="3">
        <f t="shared" si="139"/>
        <v>43748.12976885416</v>
      </c>
    </row>
    <row r="8903" spans="1:10" x14ac:dyDescent="0.25">
      <c r="A8903" s="5" t="s">
        <v>18125</v>
      </c>
      <c r="B8903" s="6">
        <v>412.5</v>
      </c>
      <c r="C8903" s="6">
        <v>20.426300000000001</v>
      </c>
      <c r="D8903" s="6">
        <v>89</v>
      </c>
      <c r="E8903" s="6">
        <v>0</v>
      </c>
      <c r="F8903" s="6">
        <v>0</v>
      </c>
      <c r="G8903" s="6">
        <v>9</v>
      </c>
      <c r="H8903" s="6" t="s">
        <v>18126</v>
      </c>
      <c r="I8903" s="6">
        <v>532.125</v>
      </c>
      <c r="J8903" s="2">
        <f t="shared" si="139"/>
        <v>43748.1298402662</v>
      </c>
    </row>
    <row r="8904" spans="1:10" x14ac:dyDescent="0.25">
      <c r="A8904" s="7" t="s">
        <v>18127</v>
      </c>
      <c r="B8904" s="8">
        <v>393.75</v>
      </c>
      <c r="C8904" s="8">
        <v>20.426300000000001</v>
      </c>
      <c r="D8904" s="8">
        <v>89</v>
      </c>
      <c r="E8904" s="8">
        <v>0</v>
      </c>
      <c r="F8904" s="8">
        <v>0</v>
      </c>
      <c r="G8904" s="8">
        <v>0</v>
      </c>
      <c r="H8904" s="8" t="s">
        <v>18128</v>
      </c>
      <c r="I8904" s="8">
        <v>526.5</v>
      </c>
      <c r="J8904" s="3">
        <f t="shared" si="139"/>
        <v>43748.129911562493</v>
      </c>
    </row>
    <row r="8905" spans="1:10" x14ac:dyDescent="0.25">
      <c r="A8905" s="5" t="s">
        <v>18129</v>
      </c>
      <c r="B8905" s="6">
        <v>393.75</v>
      </c>
      <c r="C8905" s="6">
        <v>20.478950000000001</v>
      </c>
      <c r="D8905" s="6">
        <v>89</v>
      </c>
      <c r="E8905" s="6">
        <v>0</v>
      </c>
      <c r="F8905" s="6">
        <v>0</v>
      </c>
      <c r="G8905" s="6">
        <v>12</v>
      </c>
      <c r="H8905" s="6" t="s">
        <v>18130</v>
      </c>
      <c r="I8905" s="6">
        <v>526.6875</v>
      </c>
      <c r="J8905" s="2">
        <f t="shared" si="139"/>
        <v>43748.12999577546</v>
      </c>
    </row>
    <row r="8906" spans="1:10" x14ac:dyDescent="0.25">
      <c r="A8906" s="7" t="s">
        <v>18131</v>
      </c>
      <c r="B8906" s="8">
        <v>396.875</v>
      </c>
      <c r="C8906" s="8">
        <v>20.426300000000001</v>
      </c>
      <c r="D8906" s="8">
        <v>89</v>
      </c>
      <c r="E8906" s="8">
        <v>0</v>
      </c>
      <c r="F8906" s="8">
        <v>0</v>
      </c>
      <c r="G8906" s="8">
        <v>9</v>
      </c>
      <c r="H8906" s="8" t="s">
        <v>18132</v>
      </c>
      <c r="I8906" s="8">
        <v>527.4375</v>
      </c>
      <c r="J8906" s="3">
        <f t="shared" si="139"/>
        <v>43748.130078993054</v>
      </c>
    </row>
    <row r="8907" spans="1:10" x14ac:dyDescent="0.25">
      <c r="A8907" s="5" t="s">
        <v>18133</v>
      </c>
      <c r="B8907" s="6">
        <v>396.875</v>
      </c>
      <c r="C8907" s="6">
        <v>20.478950000000001</v>
      </c>
      <c r="D8907" s="6">
        <v>89</v>
      </c>
      <c r="E8907" s="6">
        <v>0</v>
      </c>
      <c r="F8907" s="6">
        <v>0</v>
      </c>
      <c r="G8907" s="6">
        <v>10</v>
      </c>
      <c r="H8907" s="6" t="s">
        <v>18134</v>
      </c>
      <c r="I8907" s="6">
        <v>527.4375</v>
      </c>
      <c r="J8907" s="2">
        <f t="shared" si="139"/>
        <v>43748.130149583332</v>
      </c>
    </row>
    <row r="8908" spans="1:10" x14ac:dyDescent="0.25">
      <c r="A8908" s="7" t="s">
        <v>18135</v>
      </c>
      <c r="B8908" s="8">
        <v>396.875</v>
      </c>
      <c r="C8908" s="8">
        <v>20.478950000000001</v>
      </c>
      <c r="D8908" s="8">
        <v>87</v>
      </c>
      <c r="E8908" s="8">
        <v>0</v>
      </c>
      <c r="F8908" s="8">
        <v>0</v>
      </c>
      <c r="G8908" s="8">
        <v>5</v>
      </c>
      <c r="H8908" s="8" t="s">
        <v>18136</v>
      </c>
      <c r="I8908" s="8">
        <v>527.4375</v>
      </c>
      <c r="J8908" s="3">
        <f t="shared" si="139"/>
        <v>43748.130221759253</v>
      </c>
    </row>
    <row r="8909" spans="1:10" x14ac:dyDescent="0.25">
      <c r="A8909" s="5" t="s">
        <v>18137</v>
      </c>
      <c r="B8909" s="6">
        <v>396.875</v>
      </c>
      <c r="C8909" s="6">
        <v>20.478950000000001</v>
      </c>
      <c r="D8909" s="6">
        <v>87</v>
      </c>
      <c r="E8909" s="6">
        <v>0</v>
      </c>
      <c r="F8909" s="6">
        <v>0</v>
      </c>
      <c r="G8909" s="6">
        <v>11</v>
      </c>
      <c r="H8909" s="6" t="s">
        <v>18138</v>
      </c>
      <c r="I8909" s="6">
        <v>527.4375</v>
      </c>
      <c r="J8909" s="2">
        <f t="shared" si="139"/>
        <v>43748.130293043978</v>
      </c>
    </row>
    <row r="8910" spans="1:10" x14ac:dyDescent="0.25">
      <c r="A8910" s="7" t="s">
        <v>18139</v>
      </c>
      <c r="B8910" s="8">
        <v>396.875</v>
      </c>
      <c r="C8910" s="8">
        <v>20.478950000000001</v>
      </c>
      <c r="D8910" s="8">
        <v>89</v>
      </c>
      <c r="E8910" s="8">
        <v>0</v>
      </c>
      <c r="F8910" s="8">
        <v>0</v>
      </c>
      <c r="G8910" s="8">
        <v>11</v>
      </c>
      <c r="H8910" s="8" t="s">
        <v>18140</v>
      </c>
      <c r="I8910" s="8">
        <v>527.4375</v>
      </c>
      <c r="J8910" s="3">
        <f t="shared" si="139"/>
        <v>43748.130368437494</v>
      </c>
    </row>
    <row r="8911" spans="1:10" x14ac:dyDescent="0.25">
      <c r="A8911" s="5" t="s">
        <v>18141</v>
      </c>
      <c r="B8911" s="6">
        <v>400</v>
      </c>
      <c r="C8911" s="6">
        <v>20.478950000000001</v>
      </c>
      <c r="D8911" s="6">
        <v>89</v>
      </c>
      <c r="E8911" s="6">
        <v>0</v>
      </c>
      <c r="F8911" s="6">
        <v>0</v>
      </c>
      <c r="G8911" s="6">
        <v>14</v>
      </c>
      <c r="H8911" s="6" t="s">
        <v>18142</v>
      </c>
      <c r="I8911" s="6">
        <v>528.375</v>
      </c>
      <c r="J8911" s="2">
        <f t="shared" si="139"/>
        <v>43748.130448599535</v>
      </c>
    </row>
    <row r="8912" spans="1:10" x14ac:dyDescent="0.25">
      <c r="A8912" s="7" t="s">
        <v>18143</v>
      </c>
      <c r="B8912" s="8">
        <v>400</v>
      </c>
      <c r="C8912" s="8">
        <v>20.478950000000001</v>
      </c>
      <c r="D8912" s="8">
        <v>89</v>
      </c>
      <c r="E8912" s="8">
        <v>0</v>
      </c>
      <c r="F8912" s="8">
        <v>0</v>
      </c>
      <c r="G8912" s="8">
        <v>9</v>
      </c>
      <c r="H8912" s="8" t="s">
        <v>18144</v>
      </c>
      <c r="I8912" s="8">
        <v>528.1875</v>
      </c>
      <c r="J8912" s="3">
        <f t="shared" si="139"/>
        <v>43748.130519826387</v>
      </c>
    </row>
    <row r="8913" spans="1:10" x14ac:dyDescent="0.25">
      <c r="A8913" s="5" t="s">
        <v>18145</v>
      </c>
      <c r="B8913" s="6">
        <v>440.625</v>
      </c>
      <c r="C8913" s="6">
        <v>20.478950000000001</v>
      </c>
      <c r="D8913" s="6">
        <v>89</v>
      </c>
      <c r="E8913" s="6">
        <v>0</v>
      </c>
      <c r="F8913" s="6">
        <v>0</v>
      </c>
      <c r="G8913" s="6">
        <v>12</v>
      </c>
      <c r="H8913" s="6" t="s">
        <v>18146</v>
      </c>
      <c r="I8913" s="6">
        <v>541.6875</v>
      </c>
      <c r="J8913" s="2">
        <f t="shared" si="139"/>
        <v>43748.130591203699</v>
      </c>
    </row>
    <row r="8914" spans="1:10" x14ac:dyDescent="0.25">
      <c r="A8914" s="7" t="s">
        <v>18147</v>
      </c>
      <c r="B8914" s="8">
        <v>400</v>
      </c>
      <c r="C8914" s="8">
        <v>20.478950000000001</v>
      </c>
      <c r="D8914" s="8">
        <v>90</v>
      </c>
      <c r="E8914" s="8">
        <v>0</v>
      </c>
      <c r="F8914" s="8">
        <v>0</v>
      </c>
      <c r="G8914" s="8">
        <v>1</v>
      </c>
      <c r="H8914" s="8" t="s">
        <v>18148</v>
      </c>
      <c r="I8914" s="8">
        <v>528.1875</v>
      </c>
      <c r="J8914" s="3">
        <f t="shared" si="139"/>
        <v>43748.1306634375</v>
      </c>
    </row>
    <row r="8915" spans="1:10" x14ac:dyDescent="0.25">
      <c r="A8915" s="5" t="s">
        <v>18149</v>
      </c>
      <c r="B8915" s="6">
        <v>396.875</v>
      </c>
      <c r="C8915" s="6">
        <v>20.478950000000001</v>
      </c>
      <c r="D8915" s="6">
        <v>90</v>
      </c>
      <c r="E8915" s="6">
        <v>0</v>
      </c>
      <c r="F8915" s="6">
        <v>0</v>
      </c>
      <c r="G8915" s="6">
        <v>14</v>
      </c>
      <c r="H8915" s="6" t="s">
        <v>18150</v>
      </c>
      <c r="I8915" s="6">
        <v>527.4375</v>
      </c>
      <c r="J8915" s="2">
        <f t="shared" si="139"/>
        <v>43748.130747685187</v>
      </c>
    </row>
    <row r="8916" spans="1:10" x14ac:dyDescent="0.25">
      <c r="A8916" s="7" t="s">
        <v>18151</v>
      </c>
      <c r="B8916" s="8">
        <v>396.875</v>
      </c>
      <c r="C8916" s="8">
        <v>20.478950000000001</v>
      </c>
      <c r="D8916" s="8">
        <v>91</v>
      </c>
      <c r="E8916" s="8">
        <v>0</v>
      </c>
      <c r="F8916" s="8">
        <v>0</v>
      </c>
      <c r="G8916" s="8">
        <v>6</v>
      </c>
      <c r="H8916" s="8" t="s">
        <v>18152</v>
      </c>
      <c r="I8916" s="8">
        <v>527.4375</v>
      </c>
      <c r="J8916" s="3">
        <f t="shared" si="139"/>
        <v>43748.130829687499</v>
      </c>
    </row>
    <row r="8917" spans="1:10" x14ac:dyDescent="0.25">
      <c r="A8917" s="5" t="s">
        <v>18153</v>
      </c>
      <c r="B8917" s="6">
        <v>396.875</v>
      </c>
      <c r="C8917" s="6">
        <v>20.426300000000001</v>
      </c>
      <c r="D8917" s="6">
        <v>92</v>
      </c>
      <c r="E8917" s="6">
        <v>0</v>
      </c>
      <c r="F8917" s="6">
        <v>0</v>
      </c>
      <c r="G8917" s="6">
        <v>13</v>
      </c>
      <c r="H8917" s="6" t="s">
        <v>18154</v>
      </c>
      <c r="I8917" s="6">
        <v>527.4375</v>
      </c>
      <c r="J8917" s="2">
        <f t="shared" si="139"/>
        <v>43748.13090131944</v>
      </c>
    </row>
    <row r="8918" spans="1:10" x14ac:dyDescent="0.25">
      <c r="A8918" s="7" t="s">
        <v>18155</v>
      </c>
      <c r="B8918" s="8">
        <v>396.875</v>
      </c>
      <c r="C8918" s="8">
        <v>20.478950000000001</v>
      </c>
      <c r="D8918" s="8">
        <v>89</v>
      </c>
      <c r="E8918" s="8">
        <v>0</v>
      </c>
      <c r="F8918" s="8">
        <v>0</v>
      </c>
      <c r="G8918" s="8">
        <v>12</v>
      </c>
      <c r="H8918" s="8" t="s">
        <v>18156</v>
      </c>
      <c r="I8918" s="8">
        <v>527.4375</v>
      </c>
      <c r="J8918" s="3">
        <f t="shared" si="139"/>
        <v>43748.130972557869</v>
      </c>
    </row>
    <row r="8919" spans="1:10" x14ac:dyDescent="0.25">
      <c r="A8919" s="5" t="s">
        <v>18157</v>
      </c>
      <c r="B8919" s="6">
        <v>396.875</v>
      </c>
      <c r="C8919" s="6">
        <v>20.478950000000001</v>
      </c>
      <c r="D8919" s="6">
        <v>88</v>
      </c>
      <c r="E8919" s="6">
        <v>0</v>
      </c>
      <c r="F8919" s="6">
        <v>0</v>
      </c>
      <c r="G8919" s="6">
        <v>7</v>
      </c>
      <c r="H8919" s="6" t="s">
        <v>18158</v>
      </c>
      <c r="I8919" s="6">
        <v>527.4375</v>
      </c>
      <c r="J8919" s="2">
        <f t="shared" si="139"/>
        <v>43748.131044884256</v>
      </c>
    </row>
    <row r="8920" spans="1:10" x14ac:dyDescent="0.25">
      <c r="A8920" s="7" t="s">
        <v>18159</v>
      </c>
      <c r="B8920" s="8">
        <v>418.75</v>
      </c>
      <c r="C8920" s="8">
        <v>20.478950000000001</v>
      </c>
      <c r="D8920" s="8">
        <v>88</v>
      </c>
      <c r="E8920" s="8">
        <v>0</v>
      </c>
      <c r="F8920" s="8">
        <v>0</v>
      </c>
      <c r="G8920" s="8">
        <v>10</v>
      </c>
      <c r="H8920" s="8" t="s">
        <v>18160</v>
      </c>
      <c r="I8920" s="8">
        <v>534.75</v>
      </c>
      <c r="J8920" s="3">
        <f t="shared" si="139"/>
        <v>43748.131115752309</v>
      </c>
    </row>
    <row r="8921" spans="1:10" x14ac:dyDescent="0.25">
      <c r="A8921" s="5" t="s">
        <v>18161</v>
      </c>
      <c r="B8921" s="6">
        <v>403.125</v>
      </c>
      <c r="C8921" s="6">
        <v>20.478950000000001</v>
      </c>
      <c r="D8921" s="6">
        <v>88</v>
      </c>
      <c r="E8921" s="6">
        <v>0</v>
      </c>
      <c r="F8921" s="6">
        <v>0</v>
      </c>
      <c r="G8921" s="6">
        <v>10</v>
      </c>
      <c r="H8921" s="6" t="s">
        <v>18162</v>
      </c>
      <c r="I8921" s="6">
        <v>529.125</v>
      </c>
      <c r="J8921" s="2">
        <f t="shared" si="139"/>
        <v>43748.13118744213</v>
      </c>
    </row>
    <row r="8922" spans="1:10" x14ac:dyDescent="0.25">
      <c r="A8922" s="7" t="s">
        <v>18163</v>
      </c>
      <c r="B8922" s="8">
        <v>403.125</v>
      </c>
      <c r="C8922" s="8">
        <v>20.478950000000001</v>
      </c>
      <c r="D8922" s="8">
        <v>88</v>
      </c>
      <c r="E8922" s="8">
        <v>0</v>
      </c>
      <c r="F8922" s="8">
        <v>0</v>
      </c>
      <c r="G8922" s="8">
        <v>17</v>
      </c>
      <c r="H8922" s="8" t="s">
        <v>18164</v>
      </c>
      <c r="I8922" s="8">
        <v>529.125</v>
      </c>
      <c r="J8922" s="3">
        <f t="shared" si="139"/>
        <v>43748.131258796297</v>
      </c>
    </row>
    <row r="8923" spans="1:10" x14ac:dyDescent="0.25">
      <c r="A8923" s="5" t="s">
        <v>18165</v>
      </c>
      <c r="B8923" s="6">
        <v>403.125</v>
      </c>
      <c r="C8923" s="6">
        <v>20.478950000000001</v>
      </c>
      <c r="D8923" s="6">
        <v>88</v>
      </c>
      <c r="E8923" s="6">
        <v>0</v>
      </c>
      <c r="F8923" s="6">
        <v>0</v>
      </c>
      <c r="G8923" s="6">
        <v>4</v>
      </c>
      <c r="H8923" s="6" t="s">
        <v>18166</v>
      </c>
      <c r="I8923" s="6">
        <v>529.125</v>
      </c>
      <c r="J8923" s="2">
        <f t="shared" si="139"/>
        <v>43748.13133103009</v>
      </c>
    </row>
    <row r="8924" spans="1:10" x14ac:dyDescent="0.25">
      <c r="A8924" s="7" t="s">
        <v>18167</v>
      </c>
      <c r="B8924" s="8">
        <v>403.125</v>
      </c>
      <c r="C8924" s="8">
        <v>20.478950000000001</v>
      </c>
      <c r="D8924" s="8">
        <v>90</v>
      </c>
      <c r="E8924" s="8">
        <v>0</v>
      </c>
      <c r="F8924" s="8">
        <v>0</v>
      </c>
      <c r="G8924" s="8">
        <v>8</v>
      </c>
      <c r="H8924" s="8" t="s">
        <v>18168</v>
      </c>
      <c r="I8924" s="8">
        <v>529.125</v>
      </c>
      <c r="J8924" s="3">
        <f t="shared" si="139"/>
        <v>43748.131402245366</v>
      </c>
    </row>
    <row r="8925" spans="1:10" x14ac:dyDescent="0.25">
      <c r="A8925" s="5" t="s">
        <v>18169</v>
      </c>
      <c r="B8925" s="6">
        <v>400</v>
      </c>
      <c r="C8925" s="6">
        <v>20.478950000000001</v>
      </c>
      <c r="D8925" s="6">
        <v>93</v>
      </c>
      <c r="E8925" s="6">
        <v>0</v>
      </c>
      <c r="F8925" s="6">
        <v>0</v>
      </c>
      <c r="G8925" s="6">
        <v>4</v>
      </c>
      <c r="H8925" s="6" t="s">
        <v>18170</v>
      </c>
      <c r="I8925" s="6">
        <v>528.1875</v>
      </c>
      <c r="J8925" s="2">
        <f t="shared" si="139"/>
        <v>43748.131485636572</v>
      </c>
    </row>
    <row r="8926" spans="1:10" x14ac:dyDescent="0.25">
      <c r="A8926" s="7" t="s">
        <v>18171</v>
      </c>
      <c r="B8926" s="8">
        <v>400</v>
      </c>
      <c r="C8926" s="8">
        <v>20.478950000000001</v>
      </c>
      <c r="D8926" s="8">
        <v>91</v>
      </c>
      <c r="E8926" s="8">
        <v>0</v>
      </c>
      <c r="F8926" s="8">
        <v>0</v>
      </c>
      <c r="G8926" s="8">
        <v>3</v>
      </c>
      <c r="H8926" s="8" t="s">
        <v>18172</v>
      </c>
      <c r="I8926" s="8">
        <v>528.1875</v>
      </c>
      <c r="J8926" s="3">
        <f t="shared" si="139"/>
        <v>43748.131556944441</v>
      </c>
    </row>
    <row r="8927" spans="1:10" x14ac:dyDescent="0.25">
      <c r="A8927" s="5" t="s">
        <v>18173</v>
      </c>
      <c r="B8927" s="6">
        <v>400</v>
      </c>
      <c r="C8927" s="6">
        <v>20.426300000000001</v>
      </c>
      <c r="D8927" s="6">
        <v>91</v>
      </c>
      <c r="E8927" s="6">
        <v>0</v>
      </c>
      <c r="F8927" s="6">
        <v>0</v>
      </c>
      <c r="G8927" s="6">
        <v>16</v>
      </c>
      <c r="H8927" s="6" t="s">
        <v>18174</v>
      </c>
      <c r="I8927" s="6">
        <v>528.1875</v>
      </c>
      <c r="J8927" s="2">
        <f t="shared" si="139"/>
        <v>43748.131629108793</v>
      </c>
    </row>
    <row r="8928" spans="1:10" x14ac:dyDescent="0.25">
      <c r="A8928" s="7" t="s">
        <v>18175</v>
      </c>
      <c r="B8928" s="8">
        <v>418.75</v>
      </c>
      <c r="C8928" s="8">
        <v>20.478950000000001</v>
      </c>
      <c r="D8928" s="8">
        <v>91</v>
      </c>
      <c r="E8928" s="8">
        <v>0</v>
      </c>
      <c r="F8928" s="8">
        <v>0</v>
      </c>
      <c r="G8928" s="8">
        <v>9</v>
      </c>
      <c r="H8928" s="8" t="s">
        <v>18176</v>
      </c>
      <c r="I8928" s="8">
        <v>534</v>
      </c>
      <c r="J8928" s="3">
        <f t="shared" si="139"/>
        <v>43748.131700439808</v>
      </c>
    </row>
    <row r="8929" spans="1:10" x14ac:dyDescent="0.25">
      <c r="A8929" s="5" t="s">
        <v>18177</v>
      </c>
      <c r="B8929" s="6">
        <v>400</v>
      </c>
      <c r="C8929" s="6">
        <v>20.478950000000001</v>
      </c>
      <c r="D8929" s="6">
        <v>91</v>
      </c>
      <c r="E8929" s="6">
        <v>0</v>
      </c>
      <c r="F8929" s="6">
        <v>0</v>
      </c>
      <c r="G8929" s="6">
        <v>15</v>
      </c>
      <c r="H8929" s="6" t="s">
        <v>18178</v>
      </c>
      <c r="I8929" s="6">
        <v>528.375</v>
      </c>
      <c r="J8929" s="2">
        <f t="shared" si="139"/>
        <v>43748.13178377314</v>
      </c>
    </row>
    <row r="8930" spans="1:10" x14ac:dyDescent="0.25">
      <c r="A8930" s="7" t="s">
        <v>18179</v>
      </c>
      <c r="B8930" s="8">
        <v>396.875</v>
      </c>
      <c r="C8930" s="8">
        <v>20.478950000000001</v>
      </c>
      <c r="D8930" s="8">
        <v>90</v>
      </c>
      <c r="E8930" s="8">
        <v>0</v>
      </c>
      <c r="F8930" s="8">
        <v>0</v>
      </c>
      <c r="G8930" s="8">
        <v>11</v>
      </c>
      <c r="H8930" s="8" t="s">
        <v>18180</v>
      </c>
      <c r="I8930" s="8">
        <v>527.4375</v>
      </c>
      <c r="J8930" s="3">
        <f t="shared" si="139"/>
        <v>43748.131855092586</v>
      </c>
    </row>
    <row r="8931" spans="1:10" x14ac:dyDescent="0.25">
      <c r="A8931" s="5" t="s">
        <v>18181</v>
      </c>
      <c r="B8931" s="6">
        <v>396.875</v>
      </c>
      <c r="C8931" s="6">
        <v>20.478950000000001</v>
      </c>
      <c r="D8931" s="6">
        <v>91</v>
      </c>
      <c r="E8931" s="6">
        <v>0</v>
      </c>
      <c r="F8931" s="6">
        <v>0</v>
      </c>
      <c r="G8931" s="6">
        <v>3</v>
      </c>
      <c r="H8931" s="6" t="s">
        <v>18182</v>
      </c>
      <c r="I8931" s="6">
        <v>527.4375</v>
      </c>
      <c r="J8931" s="2">
        <f t="shared" si="139"/>
        <v>43748.13192717592</v>
      </c>
    </row>
    <row r="8932" spans="1:10" x14ac:dyDescent="0.25">
      <c r="A8932" s="7" t="s">
        <v>18183</v>
      </c>
      <c r="B8932" s="8">
        <v>396.875</v>
      </c>
      <c r="C8932" s="8">
        <v>20.478950000000001</v>
      </c>
      <c r="D8932" s="8">
        <v>92</v>
      </c>
      <c r="E8932" s="8">
        <v>0</v>
      </c>
      <c r="F8932" s="8">
        <v>0</v>
      </c>
      <c r="G8932" s="8">
        <v>0</v>
      </c>
      <c r="H8932" s="8" t="s">
        <v>18184</v>
      </c>
      <c r="I8932" s="8">
        <v>527.4375</v>
      </c>
      <c r="J8932" s="3">
        <f t="shared" si="139"/>
        <v>43748.132010648151</v>
      </c>
    </row>
    <row r="8933" spans="1:10" x14ac:dyDescent="0.25">
      <c r="A8933" s="5" t="s">
        <v>18185</v>
      </c>
      <c r="B8933" s="6">
        <v>400</v>
      </c>
      <c r="C8933" s="6">
        <v>20.426300000000001</v>
      </c>
      <c r="D8933" s="6">
        <v>91</v>
      </c>
      <c r="E8933" s="6">
        <v>0</v>
      </c>
      <c r="F8933" s="6">
        <v>0</v>
      </c>
      <c r="G8933" s="6">
        <v>11</v>
      </c>
      <c r="H8933" s="6" t="s">
        <v>18186</v>
      </c>
      <c r="I8933" s="6">
        <v>528.1875</v>
      </c>
      <c r="J8933" s="2">
        <f t="shared" si="139"/>
        <v>43748.132081956013</v>
      </c>
    </row>
    <row r="8934" spans="1:10" x14ac:dyDescent="0.25">
      <c r="A8934" s="7" t="s">
        <v>18187</v>
      </c>
      <c r="B8934" s="8">
        <v>400</v>
      </c>
      <c r="C8934" s="8">
        <v>20.478950000000001</v>
      </c>
      <c r="D8934" s="8">
        <v>91</v>
      </c>
      <c r="E8934" s="8">
        <v>0</v>
      </c>
      <c r="F8934" s="8">
        <v>0</v>
      </c>
      <c r="G8934" s="8">
        <v>2</v>
      </c>
      <c r="H8934" s="8" t="s">
        <v>18188</v>
      </c>
      <c r="I8934" s="8">
        <v>528.375</v>
      </c>
      <c r="J8934" s="3">
        <f t="shared" si="139"/>
        <v>43748.132153182865</v>
      </c>
    </row>
    <row r="8935" spans="1:10" x14ac:dyDescent="0.25">
      <c r="A8935" s="5" t="s">
        <v>18189</v>
      </c>
      <c r="B8935" s="6">
        <v>415.625</v>
      </c>
      <c r="C8935" s="6">
        <v>20.478950000000001</v>
      </c>
      <c r="D8935" s="6">
        <v>92</v>
      </c>
      <c r="E8935" s="6">
        <v>0</v>
      </c>
      <c r="F8935" s="6">
        <v>0</v>
      </c>
      <c r="G8935" s="6">
        <v>3</v>
      </c>
      <c r="H8935" s="6" t="s">
        <v>18190</v>
      </c>
      <c r="I8935" s="6">
        <v>533.8125</v>
      </c>
      <c r="J8935" s="2">
        <f t="shared" si="139"/>
        <v>43748.132225289351</v>
      </c>
    </row>
    <row r="8936" spans="1:10" x14ac:dyDescent="0.25">
      <c r="A8936" s="7" t="s">
        <v>18191</v>
      </c>
      <c r="B8936" s="8">
        <v>396.875</v>
      </c>
      <c r="C8936" s="8">
        <v>20.478950000000001</v>
      </c>
      <c r="D8936" s="8">
        <v>92</v>
      </c>
      <c r="E8936" s="8">
        <v>0</v>
      </c>
      <c r="F8936" s="8">
        <v>0</v>
      </c>
      <c r="G8936" s="8">
        <v>10</v>
      </c>
      <c r="H8936" s="8" t="s">
        <v>18192</v>
      </c>
      <c r="I8936" s="8">
        <v>527.4375</v>
      </c>
      <c r="J8936" s="3">
        <f t="shared" si="139"/>
        <v>43748.132295891199</v>
      </c>
    </row>
    <row r="8937" spans="1:10" x14ac:dyDescent="0.25">
      <c r="A8937" s="5" t="s">
        <v>18193</v>
      </c>
      <c r="B8937" s="6">
        <v>396.875</v>
      </c>
      <c r="C8937" s="6">
        <v>20.478950000000001</v>
      </c>
      <c r="D8937" s="6">
        <v>91</v>
      </c>
      <c r="E8937" s="6">
        <v>0</v>
      </c>
      <c r="F8937" s="6">
        <v>0</v>
      </c>
      <c r="G8937" s="6">
        <v>8</v>
      </c>
      <c r="H8937" s="6" t="s">
        <v>18194</v>
      </c>
      <c r="I8937" s="6">
        <v>527.4375</v>
      </c>
      <c r="J8937" s="2">
        <f t="shared" si="139"/>
        <v>43748.132368055558</v>
      </c>
    </row>
    <row r="8938" spans="1:10" x14ac:dyDescent="0.25">
      <c r="A8938" s="7" t="s">
        <v>18195</v>
      </c>
      <c r="B8938" s="8">
        <v>393.75</v>
      </c>
      <c r="C8938" s="8">
        <v>20.478950000000001</v>
      </c>
      <c r="D8938" s="8">
        <v>91</v>
      </c>
      <c r="E8938" s="8">
        <v>0</v>
      </c>
      <c r="F8938" s="8">
        <v>0</v>
      </c>
      <c r="G8938" s="8">
        <v>9</v>
      </c>
      <c r="H8938" s="8" t="s">
        <v>18196</v>
      </c>
      <c r="I8938" s="8">
        <v>526.5</v>
      </c>
      <c r="J8938" s="3">
        <f t="shared" si="139"/>
        <v>43748.132463402777</v>
      </c>
    </row>
    <row r="8939" spans="1:10" x14ac:dyDescent="0.25">
      <c r="A8939" s="5" t="s">
        <v>18197</v>
      </c>
      <c r="B8939" s="6">
        <v>393.75</v>
      </c>
      <c r="C8939" s="6">
        <v>20.478950000000001</v>
      </c>
      <c r="D8939" s="6">
        <v>91</v>
      </c>
      <c r="E8939" s="6">
        <v>0</v>
      </c>
      <c r="F8939" s="6">
        <v>0</v>
      </c>
      <c r="G8939" s="6">
        <v>8</v>
      </c>
      <c r="H8939" s="6" t="s">
        <v>18198</v>
      </c>
      <c r="I8939" s="6">
        <v>526.6875</v>
      </c>
      <c r="J8939" s="2">
        <f t="shared" si="139"/>
        <v>43748.132560798607</v>
      </c>
    </row>
    <row r="8940" spans="1:10" x14ac:dyDescent="0.25">
      <c r="A8940" s="7" t="s">
        <v>18199</v>
      </c>
      <c r="B8940" s="8">
        <v>393.75</v>
      </c>
      <c r="C8940" s="8">
        <v>20.478950000000001</v>
      </c>
      <c r="D8940" s="8">
        <v>91</v>
      </c>
      <c r="E8940" s="8">
        <v>0</v>
      </c>
      <c r="F8940" s="8">
        <v>0</v>
      </c>
      <c r="G8940" s="8">
        <v>7</v>
      </c>
      <c r="H8940" s="8" t="s">
        <v>18200</v>
      </c>
      <c r="I8940" s="8">
        <v>526.6875</v>
      </c>
      <c r="J8940" s="3">
        <f t="shared" si="139"/>
        <v>43748.132642129633</v>
      </c>
    </row>
    <row r="8941" spans="1:10" x14ac:dyDescent="0.25">
      <c r="A8941" s="5" t="s">
        <v>18201</v>
      </c>
      <c r="B8941" s="6">
        <v>393.75</v>
      </c>
      <c r="C8941" s="6">
        <v>20.478950000000001</v>
      </c>
      <c r="D8941" s="6">
        <v>90</v>
      </c>
      <c r="E8941" s="6">
        <v>0</v>
      </c>
      <c r="F8941" s="6">
        <v>0</v>
      </c>
      <c r="G8941" s="6">
        <v>11</v>
      </c>
      <c r="H8941" s="6" t="s">
        <v>18202</v>
      </c>
      <c r="I8941" s="6">
        <v>526.5</v>
      </c>
      <c r="J8941" s="2">
        <f t="shared" si="139"/>
        <v>43748.132714155094</v>
      </c>
    </row>
    <row r="8942" spans="1:10" x14ac:dyDescent="0.25">
      <c r="A8942" s="7" t="s">
        <v>18203</v>
      </c>
      <c r="B8942" s="8">
        <v>396.875</v>
      </c>
      <c r="C8942" s="8">
        <v>20.478950000000001</v>
      </c>
      <c r="D8942" s="8">
        <v>90</v>
      </c>
      <c r="E8942" s="8">
        <v>0</v>
      </c>
      <c r="F8942" s="8">
        <v>0</v>
      </c>
      <c r="G8942" s="8">
        <v>11</v>
      </c>
      <c r="H8942" s="8" t="s">
        <v>18204</v>
      </c>
      <c r="I8942" s="8">
        <v>527.4375</v>
      </c>
      <c r="J8942" s="3">
        <f t="shared" si="139"/>
        <v>43748.132785648144</v>
      </c>
    </row>
    <row r="8943" spans="1:10" x14ac:dyDescent="0.25">
      <c r="A8943" s="5" t="s">
        <v>18205</v>
      </c>
      <c r="B8943" s="6">
        <v>396.875</v>
      </c>
      <c r="C8943" s="6">
        <v>20.478950000000001</v>
      </c>
      <c r="D8943" s="6">
        <v>90</v>
      </c>
      <c r="E8943" s="6">
        <v>0</v>
      </c>
      <c r="F8943" s="6">
        <v>0</v>
      </c>
      <c r="G8943" s="6">
        <v>8</v>
      </c>
      <c r="H8943" s="6" t="s">
        <v>18206</v>
      </c>
      <c r="I8943" s="6">
        <v>527.4375</v>
      </c>
      <c r="J8943" s="2">
        <f t="shared" si="139"/>
        <v>43748.132856932869</v>
      </c>
    </row>
    <row r="8944" spans="1:10" x14ac:dyDescent="0.25">
      <c r="A8944" s="7" t="s">
        <v>18207</v>
      </c>
      <c r="B8944" s="8">
        <v>400</v>
      </c>
      <c r="C8944" s="8">
        <v>20.478950000000001</v>
      </c>
      <c r="D8944" s="8">
        <v>90</v>
      </c>
      <c r="E8944" s="8">
        <v>0</v>
      </c>
      <c r="F8944" s="8">
        <v>0</v>
      </c>
      <c r="G8944" s="8">
        <v>12</v>
      </c>
      <c r="H8944" s="8" t="s">
        <v>18208</v>
      </c>
      <c r="I8944" s="8">
        <v>528.375</v>
      </c>
      <c r="J8944" s="3">
        <f t="shared" si="139"/>
        <v>43748.132928344909</v>
      </c>
    </row>
    <row r="8945" spans="1:10" x14ac:dyDescent="0.25">
      <c r="A8945" s="5" t="s">
        <v>18209</v>
      </c>
      <c r="B8945" s="6">
        <v>403.125</v>
      </c>
      <c r="C8945" s="6">
        <v>20.478950000000001</v>
      </c>
      <c r="D8945" s="6">
        <v>90</v>
      </c>
      <c r="E8945" s="6">
        <v>0</v>
      </c>
      <c r="F8945" s="6">
        <v>0</v>
      </c>
      <c r="G8945" s="6">
        <v>14</v>
      </c>
      <c r="H8945" s="6" t="s">
        <v>18210</v>
      </c>
      <c r="I8945" s="6">
        <v>529.125</v>
      </c>
      <c r="J8945" s="2">
        <f t="shared" si="139"/>
        <v>43748.133000439811</v>
      </c>
    </row>
    <row r="8946" spans="1:10" x14ac:dyDescent="0.25">
      <c r="A8946" s="7" t="s">
        <v>18211</v>
      </c>
      <c r="B8946" s="8">
        <v>400</v>
      </c>
      <c r="C8946" s="8">
        <v>20.478950000000001</v>
      </c>
      <c r="D8946" s="8">
        <v>89</v>
      </c>
      <c r="E8946" s="8">
        <v>0</v>
      </c>
      <c r="F8946" s="8">
        <v>0</v>
      </c>
      <c r="G8946" s="8">
        <v>10</v>
      </c>
      <c r="H8946" s="8" t="s">
        <v>18212</v>
      </c>
      <c r="I8946" s="8">
        <v>528.9375</v>
      </c>
      <c r="J8946" s="3">
        <f t="shared" si="139"/>
        <v>43748.133071759257</v>
      </c>
    </row>
    <row r="8947" spans="1:10" x14ac:dyDescent="0.25">
      <c r="A8947" s="5" t="s">
        <v>18213</v>
      </c>
      <c r="B8947" s="6">
        <v>403.125</v>
      </c>
      <c r="C8947" s="6">
        <v>20.426300000000001</v>
      </c>
      <c r="D8947" s="6">
        <v>90</v>
      </c>
      <c r="E8947" s="6">
        <v>0</v>
      </c>
      <c r="F8947" s="6">
        <v>0</v>
      </c>
      <c r="G8947" s="6">
        <v>15</v>
      </c>
      <c r="H8947" s="6" t="s">
        <v>18214</v>
      </c>
      <c r="I8947" s="6">
        <v>529.125</v>
      </c>
      <c r="J8947" s="2">
        <f t="shared" si="139"/>
        <v>43748.133143055551</v>
      </c>
    </row>
    <row r="8948" spans="1:10" x14ac:dyDescent="0.25">
      <c r="A8948" s="7" t="s">
        <v>18215</v>
      </c>
      <c r="B8948" s="8">
        <v>418.75</v>
      </c>
      <c r="C8948" s="8">
        <v>20.478950000000001</v>
      </c>
      <c r="D8948" s="8">
        <v>90</v>
      </c>
      <c r="E8948" s="8">
        <v>0</v>
      </c>
      <c r="F8948" s="8">
        <v>0</v>
      </c>
      <c r="G8948" s="8">
        <v>7</v>
      </c>
      <c r="H8948" s="8" t="s">
        <v>18216</v>
      </c>
      <c r="I8948" s="8">
        <v>534.5625</v>
      </c>
      <c r="J8948" s="3">
        <f t="shared" si="139"/>
        <v>43748.133214386573</v>
      </c>
    </row>
    <row r="8949" spans="1:10" x14ac:dyDescent="0.25">
      <c r="A8949" s="5" t="s">
        <v>18217</v>
      </c>
      <c r="B8949" s="6">
        <v>403.125</v>
      </c>
      <c r="C8949" s="6">
        <v>20.478950000000001</v>
      </c>
      <c r="D8949" s="6">
        <v>90</v>
      </c>
      <c r="E8949" s="6">
        <v>0</v>
      </c>
      <c r="F8949" s="6">
        <v>0</v>
      </c>
      <c r="G8949" s="6">
        <v>10</v>
      </c>
      <c r="H8949" s="6" t="s">
        <v>18218</v>
      </c>
      <c r="I8949" s="6">
        <v>529.125</v>
      </c>
      <c r="J8949" s="2">
        <f t="shared" si="139"/>
        <v>43748.133286562494</v>
      </c>
    </row>
    <row r="8950" spans="1:10" x14ac:dyDescent="0.25">
      <c r="A8950" s="7" t="s">
        <v>18219</v>
      </c>
      <c r="B8950" s="8">
        <v>403.125</v>
      </c>
      <c r="C8950" s="8">
        <v>20.478950000000001</v>
      </c>
      <c r="D8950" s="8">
        <v>89</v>
      </c>
      <c r="E8950" s="8">
        <v>0</v>
      </c>
      <c r="F8950" s="8">
        <v>0</v>
      </c>
      <c r="G8950" s="8">
        <v>15</v>
      </c>
      <c r="H8950" s="8" t="s">
        <v>18220</v>
      </c>
      <c r="I8950" s="8">
        <v>529.125</v>
      </c>
      <c r="J8950" s="3">
        <f t="shared" si="139"/>
        <v>43748.133357789346</v>
      </c>
    </row>
    <row r="8951" spans="1:10" x14ac:dyDescent="0.25">
      <c r="A8951" s="5" t="s">
        <v>18221</v>
      </c>
      <c r="B8951" s="6">
        <v>400</v>
      </c>
      <c r="C8951" s="6">
        <v>20.478950000000001</v>
      </c>
      <c r="D8951" s="6">
        <v>89</v>
      </c>
      <c r="E8951" s="6">
        <v>0</v>
      </c>
      <c r="F8951" s="6">
        <v>0</v>
      </c>
      <c r="G8951" s="6">
        <v>11</v>
      </c>
      <c r="H8951" s="6" t="s">
        <v>18222</v>
      </c>
      <c r="I8951" s="6">
        <v>528.9375</v>
      </c>
      <c r="J8951" s="2">
        <f t="shared" si="139"/>
        <v>43748.133429143512</v>
      </c>
    </row>
    <row r="8952" spans="1:10" x14ac:dyDescent="0.25">
      <c r="A8952" s="7" t="s">
        <v>18223</v>
      </c>
      <c r="B8952" s="8">
        <v>421.875</v>
      </c>
      <c r="C8952" s="8">
        <v>20.426300000000001</v>
      </c>
      <c r="D8952" s="8">
        <v>89</v>
      </c>
      <c r="E8952" s="8">
        <v>0</v>
      </c>
      <c r="F8952" s="8">
        <v>0</v>
      </c>
      <c r="G8952" s="8">
        <v>8</v>
      </c>
      <c r="H8952" s="8" t="s">
        <v>18224</v>
      </c>
      <c r="I8952" s="8">
        <v>535.5</v>
      </c>
      <c r="J8952" s="3">
        <f t="shared" si="139"/>
        <v>43748.133500439813</v>
      </c>
    </row>
    <row r="8953" spans="1:10" x14ac:dyDescent="0.25">
      <c r="A8953" s="5" t="s">
        <v>18225</v>
      </c>
      <c r="B8953" s="6">
        <v>403.125</v>
      </c>
      <c r="C8953" s="6">
        <v>20.478950000000001</v>
      </c>
      <c r="D8953" s="6">
        <v>90</v>
      </c>
      <c r="E8953" s="6">
        <v>0</v>
      </c>
      <c r="F8953" s="6">
        <v>0</v>
      </c>
      <c r="G8953" s="6">
        <v>3</v>
      </c>
      <c r="H8953" s="6" t="s">
        <v>18226</v>
      </c>
      <c r="I8953" s="6">
        <v>529.125</v>
      </c>
      <c r="J8953" s="2">
        <f t="shared" si="139"/>
        <v>43748.133572662038</v>
      </c>
    </row>
    <row r="8954" spans="1:10" x14ac:dyDescent="0.25">
      <c r="A8954" s="7" t="s">
        <v>18227</v>
      </c>
      <c r="B8954" s="8">
        <v>403.125</v>
      </c>
      <c r="C8954" s="8">
        <v>20.478950000000001</v>
      </c>
      <c r="D8954" s="8">
        <v>88</v>
      </c>
      <c r="E8954" s="8">
        <v>0</v>
      </c>
      <c r="F8954" s="8">
        <v>0</v>
      </c>
      <c r="G8954" s="8">
        <v>10</v>
      </c>
      <c r="H8954" s="8" t="s">
        <v>18228</v>
      </c>
      <c r="I8954" s="8">
        <v>529.125</v>
      </c>
      <c r="J8954" s="3">
        <f t="shared" si="139"/>
        <v>43748.133643969901</v>
      </c>
    </row>
    <row r="8955" spans="1:10" x14ac:dyDescent="0.25">
      <c r="A8955" s="5" t="s">
        <v>18229</v>
      </c>
      <c r="B8955" s="6">
        <v>403.125</v>
      </c>
      <c r="C8955" s="6">
        <v>20.478950000000001</v>
      </c>
      <c r="D8955" s="6">
        <v>89</v>
      </c>
      <c r="E8955" s="6">
        <v>0</v>
      </c>
      <c r="F8955" s="6">
        <v>0</v>
      </c>
      <c r="G8955" s="6">
        <v>7</v>
      </c>
      <c r="H8955" s="6" t="s">
        <v>18230</v>
      </c>
      <c r="I8955" s="6">
        <v>529.125</v>
      </c>
      <c r="J8955" s="2">
        <f t="shared" si="139"/>
        <v>43748.133715266202</v>
      </c>
    </row>
    <row r="8956" spans="1:10" x14ac:dyDescent="0.25">
      <c r="A8956" s="7" t="s">
        <v>18231</v>
      </c>
      <c r="B8956" s="8">
        <v>400</v>
      </c>
      <c r="C8956" s="8">
        <v>20.478950000000001</v>
      </c>
      <c r="D8956" s="8">
        <v>89</v>
      </c>
      <c r="E8956" s="8">
        <v>0</v>
      </c>
      <c r="F8956" s="8">
        <v>0</v>
      </c>
      <c r="G8956" s="8">
        <v>5</v>
      </c>
      <c r="H8956" s="8" t="s">
        <v>18232</v>
      </c>
      <c r="I8956" s="8">
        <v>528.9375</v>
      </c>
      <c r="J8956" s="3">
        <f t="shared" si="139"/>
        <v>43748.133787476851</v>
      </c>
    </row>
    <row r="8957" spans="1:10" x14ac:dyDescent="0.25">
      <c r="A8957" s="5" t="s">
        <v>18233</v>
      </c>
      <c r="B8957" s="6">
        <v>403.125</v>
      </c>
      <c r="C8957" s="6">
        <v>20.478950000000001</v>
      </c>
      <c r="D8957" s="6">
        <v>90</v>
      </c>
      <c r="E8957" s="6">
        <v>0</v>
      </c>
      <c r="F8957" s="6">
        <v>0</v>
      </c>
      <c r="G8957" s="6">
        <v>12</v>
      </c>
      <c r="H8957" s="6" t="s">
        <v>18234</v>
      </c>
      <c r="I8957" s="6">
        <v>529.125</v>
      </c>
      <c r="J8957" s="2">
        <f t="shared" si="139"/>
        <v>43748.133858773144</v>
      </c>
    </row>
    <row r="8958" spans="1:10" x14ac:dyDescent="0.25">
      <c r="A8958" s="7" t="s">
        <v>18235</v>
      </c>
      <c r="B8958" s="8">
        <v>400</v>
      </c>
      <c r="C8958" s="8">
        <v>20.478950000000001</v>
      </c>
      <c r="D8958" s="8">
        <v>89</v>
      </c>
      <c r="E8958" s="8">
        <v>0</v>
      </c>
      <c r="F8958" s="8">
        <v>0</v>
      </c>
      <c r="G8958" s="8">
        <v>10</v>
      </c>
      <c r="H8958" s="8" t="s">
        <v>18236</v>
      </c>
      <c r="I8958" s="8">
        <v>528.9375</v>
      </c>
      <c r="J8958" s="3">
        <f t="shared" si="139"/>
        <v>43748.133930069445</v>
      </c>
    </row>
    <row r="8959" spans="1:10" x14ac:dyDescent="0.25">
      <c r="A8959" s="5" t="s">
        <v>18237</v>
      </c>
      <c r="B8959" s="6">
        <v>400</v>
      </c>
      <c r="C8959" s="6">
        <v>20.426300000000001</v>
      </c>
      <c r="D8959" s="6">
        <v>88</v>
      </c>
      <c r="E8959" s="6">
        <v>0</v>
      </c>
      <c r="F8959" s="6">
        <v>0</v>
      </c>
      <c r="G8959" s="6">
        <v>5</v>
      </c>
      <c r="H8959" s="6" t="s">
        <v>18238</v>
      </c>
      <c r="I8959" s="6">
        <v>528.1875</v>
      </c>
      <c r="J8959" s="2">
        <f t="shared" si="139"/>
        <v>43748.134001365739</v>
      </c>
    </row>
    <row r="8960" spans="1:10" x14ac:dyDescent="0.25">
      <c r="A8960" s="7" t="s">
        <v>18239</v>
      </c>
      <c r="B8960" s="8">
        <v>403.125</v>
      </c>
      <c r="C8960" s="8">
        <v>20.478950000000001</v>
      </c>
      <c r="D8960" s="8">
        <v>88</v>
      </c>
      <c r="E8960" s="8">
        <v>0</v>
      </c>
      <c r="F8960" s="8">
        <v>0</v>
      </c>
      <c r="G8960" s="8">
        <v>7</v>
      </c>
      <c r="H8960" s="8" t="s">
        <v>18240</v>
      </c>
      <c r="I8960" s="8">
        <v>529.125</v>
      </c>
      <c r="J8960" s="3">
        <f t="shared" si="139"/>
        <v>43748.134073611109</v>
      </c>
    </row>
    <row r="8961" spans="1:10" x14ac:dyDescent="0.25">
      <c r="A8961" s="5" t="s">
        <v>18241</v>
      </c>
      <c r="B8961" s="6">
        <v>403.125</v>
      </c>
      <c r="C8961" s="6">
        <v>20.478950000000001</v>
      </c>
      <c r="D8961" s="6">
        <v>88</v>
      </c>
      <c r="E8961" s="6">
        <v>0</v>
      </c>
      <c r="F8961" s="6">
        <v>0</v>
      </c>
      <c r="G8961" s="6">
        <v>2</v>
      </c>
      <c r="H8961" s="6" t="s">
        <v>18242</v>
      </c>
      <c r="I8961" s="6">
        <v>529.125</v>
      </c>
      <c r="J8961" s="2">
        <f t="shared" si="139"/>
        <v>43748.134156921289</v>
      </c>
    </row>
    <row r="8962" spans="1:10" x14ac:dyDescent="0.25">
      <c r="A8962" s="7" t="s">
        <v>18243</v>
      </c>
      <c r="B8962" s="8">
        <v>400</v>
      </c>
      <c r="C8962" s="8">
        <v>20.478950000000001</v>
      </c>
      <c r="D8962" s="8">
        <v>87</v>
      </c>
      <c r="E8962" s="8">
        <v>0</v>
      </c>
      <c r="F8962" s="8">
        <v>0</v>
      </c>
      <c r="G8962" s="8">
        <v>9</v>
      </c>
      <c r="H8962" s="8" t="s">
        <v>18244</v>
      </c>
      <c r="I8962" s="8">
        <v>528.1875</v>
      </c>
      <c r="J8962" s="3">
        <f t="shared" ref="J8962:J9025" si="140">(H8962/86400000)+25569+(7/24)</f>
        <v>43748.13422821759</v>
      </c>
    </row>
    <row r="8963" spans="1:10" x14ac:dyDescent="0.25">
      <c r="A8963" s="5" t="s">
        <v>18245</v>
      </c>
      <c r="B8963" s="6">
        <v>400</v>
      </c>
      <c r="C8963" s="6">
        <v>20.478950000000001</v>
      </c>
      <c r="D8963" s="6">
        <v>87</v>
      </c>
      <c r="E8963" s="6">
        <v>0</v>
      </c>
      <c r="F8963" s="6">
        <v>0</v>
      </c>
      <c r="G8963" s="6">
        <v>9</v>
      </c>
      <c r="H8963" s="6" t="s">
        <v>18246</v>
      </c>
      <c r="I8963" s="6">
        <v>528.1875</v>
      </c>
      <c r="J8963" s="2">
        <f t="shared" si="140"/>
        <v>43748.13429952546</v>
      </c>
    </row>
    <row r="8964" spans="1:10" x14ac:dyDescent="0.25">
      <c r="A8964" s="7" t="s">
        <v>18247</v>
      </c>
      <c r="B8964" s="8">
        <v>400</v>
      </c>
      <c r="C8964" s="8">
        <v>20.478950000000001</v>
      </c>
      <c r="D8964" s="8">
        <v>85</v>
      </c>
      <c r="E8964" s="8">
        <v>0</v>
      </c>
      <c r="F8964" s="8">
        <v>0</v>
      </c>
      <c r="G8964" s="8">
        <v>9</v>
      </c>
      <c r="H8964" s="8" t="s">
        <v>18248</v>
      </c>
      <c r="I8964" s="8">
        <v>528.375</v>
      </c>
      <c r="J8964" s="3">
        <f t="shared" si="140"/>
        <v>43748.134371678236</v>
      </c>
    </row>
    <row r="8965" spans="1:10" x14ac:dyDescent="0.25">
      <c r="A8965" s="5" t="s">
        <v>18249</v>
      </c>
      <c r="B8965" s="6">
        <v>396.875</v>
      </c>
      <c r="C8965" s="6">
        <v>20.478950000000001</v>
      </c>
      <c r="D8965" s="6">
        <v>86</v>
      </c>
      <c r="E8965" s="6">
        <v>0</v>
      </c>
      <c r="F8965" s="6">
        <v>0</v>
      </c>
      <c r="G8965" s="6">
        <v>4</v>
      </c>
      <c r="H8965" s="6" t="s">
        <v>18250</v>
      </c>
      <c r="I8965" s="6">
        <v>527.4375</v>
      </c>
      <c r="J8965" s="2">
        <f t="shared" si="140"/>
        <v>43748.134455081017</v>
      </c>
    </row>
    <row r="8966" spans="1:10" x14ac:dyDescent="0.25">
      <c r="A8966" s="7" t="s">
        <v>18251</v>
      </c>
      <c r="B8966" s="8">
        <v>396.875</v>
      </c>
      <c r="C8966" s="8">
        <v>20.478950000000001</v>
      </c>
      <c r="D8966" s="8">
        <v>87</v>
      </c>
      <c r="E8966" s="8">
        <v>0</v>
      </c>
      <c r="F8966" s="8">
        <v>0</v>
      </c>
      <c r="G8966" s="8">
        <v>6</v>
      </c>
      <c r="H8966" s="8" t="s">
        <v>18252</v>
      </c>
      <c r="I8966" s="8">
        <v>527.4375</v>
      </c>
      <c r="J8966" s="3">
        <f t="shared" si="140"/>
        <v>43748.134526435184</v>
      </c>
    </row>
    <row r="8967" spans="1:10" x14ac:dyDescent="0.25">
      <c r="A8967" s="5" t="s">
        <v>18253</v>
      </c>
      <c r="B8967" s="6">
        <v>396.875</v>
      </c>
      <c r="C8967" s="6">
        <v>20.478950000000001</v>
      </c>
      <c r="D8967" s="6">
        <v>87</v>
      </c>
      <c r="E8967" s="6">
        <v>0</v>
      </c>
      <c r="F8967" s="6">
        <v>0</v>
      </c>
      <c r="G8967" s="6">
        <v>5</v>
      </c>
      <c r="H8967" s="6" t="s">
        <v>18254</v>
      </c>
      <c r="I8967" s="6">
        <v>527.4375</v>
      </c>
      <c r="J8967" s="2">
        <f t="shared" si="140"/>
        <v>43748.134597662036</v>
      </c>
    </row>
    <row r="8968" spans="1:10" x14ac:dyDescent="0.25">
      <c r="A8968" s="7" t="s">
        <v>18255</v>
      </c>
      <c r="B8968" s="8">
        <v>393.75</v>
      </c>
      <c r="C8968" s="8">
        <v>20.478950000000001</v>
      </c>
      <c r="D8968" s="8">
        <v>87</v>
      </c>
      <c r="E8968" s="8">
        <v>0</v>
      </c>
      <c r="F8968" s="8">
        <v>0</v>
      </c>
      <c r="G8968" s="8">
        <v>3</v>
      </c>
      <c r="H8968" s="8" t="s">
        <v>18256</v>
      </c>
      <c r="I8968" s="8">
        <v>526.6875</v>
      </c>
      <c r="J8968" s="3">
        <f t="shared" si="140"/>
        <v>43748.134669733794</v>
      </c>
    </row>
    <row r="8969" spans="1:10" x14ac:dyDescent="0.25">
      <c r="A8969" s="5" t="s">
        <v>18257</v>
      </c>
      <c r="B8969" s="6">
        <v>393.75</v>
      </c>
      <c r="C8969" s="6">
        <v>20.478950000000001</v>
      </c>
      <c r="D8969" s="6">
        <v>87</v>
      </c>
      <c r="E8969" s="6">
        <v>0</v>
      </c>
      <c r="F8969" s="6">
        <v>0</v>
      </c>
      <c r="G8969" s="6">
        <v>13</v>
      </c>
      <c r="H8969" s="6" t="s">
        <v>18258</v>
      </c>
      <c r="I8969" s="6">
        <v>526.6875</v>
      </c>
      <c r="J8969" s="2">
        <f t="shared" si="140"/>
        <v>43748.134741180555</v>
      </c>
    </row>
    <row r="8970" spans="1:10" x14ac:dyDescent="0.25">
      <c r="A8970" s="7" t="s">
        <v>18259</v>
      </c>
      <c r="B8970" s="8">
        <v>393.75</v>
      </c>
      <c r="C8970" s="8">
        <v>20.426300000000001</v>
      </c>
      <c r="D8970" s="8">
        <v>86</v>
      </c>
      <c r="E8970" s="8">
        <v>0</v>
      </c>
      <c r="F8970" s="8">
        <v>0</v>
      </c>
      <c r="G8970" s="8">
        <v>6</v>
      </c>
      <c r="H8970" s="8" t="s">
        <v>18260</v>
      </c>
      <c r="I8970" s="8">
        <v>526.6875</v>
      </c>
      <c r="J8970" s="3">
        <f t="shared" si="140"/>
        <v>43748.134812314813</v>
      </c>
    </row>
    <row r="8971" spans="1:10" x14ac:dyDescent="0.25">
      <c r="A8971" s="5" t="s">
        <v>18261</v>
      </c>
      <c r="B8971" s="6">
        <v>393.75</v>
      </c>
      <c r="C8971" s="6">
        <v>20.478950000000001</v>
      </c>
      <c r="D8971" s="6">
        <v>86</v>
      </c>
      <c r="E8971" s="6">
        <v>0</v>
      </c>
      <c r="F8971" s="6">
        <v>0</v>
      </c>
      <c r="G8971" s="6">
        <v>11</v>
      </c>
      <c r="H8971" s="6" t="s">
        <v>18262</v>
      </c>
      <c r="I8971" s="6">
        <v>526.6875</v>
      </c>
      <c r="J8971" s="2">
        <f t="shared" si="140"/>
        <v>43748.134885509258</v>
      </c>
    </row>
    <row r="8972" spans="1:10" x14ac:dyDescent="0.25">
      <c r="A8972" s="7" t="s">
        <v>18263</v>
      </c>
      <c r="B8972" s="8">
        <v>412.5</v>
      </c>
      <c r="C8972" s="8">
        <v>20.426300000000001</v>
      </c>
      <c r="D8972" s="8">
        <v>86</v>
      </c>
      <c r="E8972" s="8">
        <v>0</v>
      </c>
      <c r="F8972" s="8">
        <v>0</v>
      </c>
      <c r="G8972" s="8">
        <v>12</v>
      </c>
      <c r="H8972" s="8" t="s">
        <v>18264</v>
      </c>
      <c r="I8972" s="8">
        <v>532.3125</v>
      </c>
      <c r="J8972" s="3">
        <f t="shared" si="140"/>
        <v>43748.134967858794</v>
      </c>
    </row>
    <row r="8973" spans="1:10" x14ac:dyDescent="0.25">
      <c r="A8973" s="5" t="s">
        <v>18265</v>
      </c>
      <c r="B8973" s="6">
        <v>393.75</v>
      </c>
      <c r="C8973" s="6">
        <v>20.478950000000001</v>
      </c>
      <c r="D8973" s="6">
        <v>87</v>
      </c>
      <c r="E8973" s="6">
        <v>0</v>
      </c>
      <c r="F8973" s="6">
        <v>0</v>
      </c>
      <c r="G8973" s="6">
        <v>13</v>
      </c>
      <c r="H8973" s="6" t="s">
        <v>18266</v>
      </c>
      <c r="I8973" s="6">
        <v>526.5</v>
      </c>
      <c r="J8973" s="2">
        <f t="shared" si="140"/>
        <v>43748.135063252317</v>
      </c>
    </row>
    <row r="8974" spans="1:10" x14ac:dyDescent="0.25">
      <c r="A8974" s="7" t="s">
        <v>18267</v>
      </c>
      <c r="B8974" s="8">
        <v>393.75</v>
      </c>
      <c r="C8974" s="8">
        <v>20.426300000000001</v>
      </c>
      <c r="D8974" s="8">
        <v>87</v>
      </c>
      <c r="E8974" s="8">
        <v>0</v>
      </c>
      <c r="F8974" s="8">
        <v>0</v>
      </c>
      <c r="G8974" s="8">
        <v>6</v>
      </c>
      <c r="H8974" s="8" t="s">
        <v>18268</v>
      </c>
      <c r="I8974" s="8">
        <v>526.6875</v>
      </c>
      <c r="J8974" s="3">
        <f t="shared" si="140"/>
        <v>43748.135158611105</v>
      </c>
    </row>
    <row r="8975" spans="1:10" x14ac:dyDescent="0.25">
      <c r="A8975" s="5" t="s">
        <v>18269</v>
      </c>
      <c r="B8975" s="6">
        <v>393.75</v>
      </c>
      <c r="C8975" s="6">
        <v>20.478950000000001</v>
      </c>
      <c r="D8975" s="6">
        <v>87</v>
      </c>
      <c r="E8975" s="6">
        <v>0</v>
      </c>
      <c r="F8975" s="6">
        <v>0</v>
      </c>
      <c r="G8975" s="6">
        <v>3</v>
      </c>
      <c r="H8975" s="6" t="s">
        <v>18270</v>
      </c>
      <c r="I8975" s="6">
        <v>526.6875</v>
      </c>
      <c r="J8975" s="2">
        <f t="shared" si="140"/>
        <v>43748.135230069442</v>
      </c>
    </row>
    <row r="8976" spans="1:10" x14ac:dyDescent="0.25">
      <c r="A8976" s="7" t="s">
        <v>18271</v>
      </c>
      <c r="B8976" s="8">
        <v>393.75</v>
      </c>
      <c r="C8976" s="8">
        <v>20.478950000000001</v>
      </c>
      <c r="D8976" s="8">
        <v>86</v>
      </c>
      <c r="E8976" s="8">
        <v>0</v>
      </c>
      <c r="F8976" s="8">
        <v>0</v>
      </c>
      <c r="G8976" s="8">
        <v>10</v>
      </c>
      <c r="H8976" s="8" t="s">
        <v>18272</v>
      </c>
      <c r="I8976" s="8">
        <v>526.6875</v>
      </c>
      <c r="J8976" s="3">
        <f t="shared" si="140"/>
        <v>43748.135301319438</v>
      </c>
    </row>
    <row r="8977" spans="1:10" x14ac:dyDescent="0.25">
      <c r="A8977" s="5" t="s">
        <v>18273</v>
      </c>
      <c r="B8977" s="6">
        <v>393.75</v>
      </c>
      <c r="C8977" s="6">
        <v>20.426300000000001</v>
      </c>
      <c r="D8977" s="6">
        <v>86</v>
      </c>
      <c r="E8977" s="6">
        <v>0</v>
      </c>
      <c r="F8977" s="6">
        <v>0</v>
      </c>
      <c r="G8977" s="6">
        <v>3</v>
      </c>
      <c r="H8977" s="6" t="s">
        <v>18274</v>
      </c>
      <c r="I8977" s="6">
        <v>526.6875</v>
      </c>
      <c r="J8977" s="2">
        <f t="shared" si="140"/>
        <v>43748.135372673605</v>
      </c>
    </row>
    <row r="8978" spans="1:10" x14ac:dyDescent="0.25">
      <c r="A8978" s="7" t="s">
        <v>18275</v>
      </c>
      <c r="B8978" s="8">
        <v>393.75</v>
      </c>
      <c r="C8978" s="8">
        <v>20.478950000000001</v>
      </c>
      <c r="D8978" s="8">
        <v>87</v>
      </c>
      <c r="E8978" s="8">
        <v>0</v>
      </c>
      <c r="F8978" s="8">
        <v>0</v>
      </c>
      <c r="G8978" s="8">
        <v>4</v>
      </c>
      <c r="H8978" s="8" t="s">
        <v>18276</v>
      </c>
      <c r="I8978" s="8">
        <v>526.6875</v>
      </c>
      <c r="J8978" s="3">
        <f t="shared" si="140"/>
        <v>43748.135444884254</v>
      </c>
    </row>
    <row r="8979" spans="1:10" x14ac:dyDescent="0.25">
      <c r="A8979" s="5" t="s">
        <v>18277</v>
      </c>
      <c r="B8979" s="6">
        <v>393.75</v>
      </c>
      <c r="C8979" s="6">
        <v>20.426300000000001</v>
      </c>
      <c r="D8979" s="6">
        <v>87</v>
      </c>
      <c r="E8979" s="6">
        <v>0</v>
      </c>
      <c r="F8979" s="6">
        <v>0</v>
      </c>
      <c r="G8979" s="6">
        <v>7</v>
      </c>
      <c r="H8979" s="6" t="s">
        <v>18278</v>
      </c>
      <c r="I8979" s="6">
        <v>526.6875</v>
      </c>
      <c r="J8979" s="2">
        <f t="shared" si="140"/>
        <v>43748.135516122682</v>
      </c>
    </row>
    <row r="8980" spans="1:10" x14ac:dyDescent="0.25">
      <c r="A8980" s="7" t="s">
        <v>18279</v>
      </c>
      <c r="B8980" s="8">
        <v>393.75</v>
      </c>
      <c r="C8980" s="8">
        <v>20.478950000000001</v>
      </c>
      <c r="D8980" s="8">
        <v>88</v>
      </c>
      <c r="E8980" s="8">
        <v>0</v>
      </c>
      <c r="F8980" s="8">
        <v>0</v>
      </c>
      <c r="G8980" s="8">
        <v>1</v>
      </c>
      <c r="H8980" s="8" t="s">
        <v>18280</v>
      </c>
      <c r="I8980" s="8">
        <v>526.6875</v>
      </c>
      <c r="J8980" s="3">
        <f t="shared" si="140"/>
        <v>43748.135587488425</v>
      </c>
    </row>
    <row r="8981" spans="1:10" x14ac:dyDescent="0.25">
      <c r="A8981" s="5" t="s">
        <v>18281</v>
      </c>
      <c r="B8981" s="6">
        <v>393.75</v>
      </c>
      <c r="C8981" s="6">
        <v>20.478950000000001</v>
      </c>
      <c r="D8981" s="6">
        <v>89</v>
      </c>
      <c r="E8981" s="6">
        <v>0</v>
      </c>
      <c r="F8981" s="6">
        <v>0</v>
      </c>
      <c r="G8981" s="6">
        <v>5</v>
      </c>
      <c r="H8981" s="6" t="s">
        <v>18282</v>
      </c>
      <c r="I8981" s="6">
        <v>526.6875</v>
      </c>
      <c r="J8981" s="2">
        <f t="shared" si="140"/>
        <v>43748.135670821757</v>
      </c>
    </row>
    <row r="8982" spans="1:10" x14ac:dyDescent="0.25">
      <c r="A8982" s="7" t="s">
        <v>18283</v>
      </c>
      <c r="B8982" s="8">
        <v>393.75</v>
      </c>
      <c r="C8982" s="8">
        <v>20.478950000000001</v>
      </c>
      <c r="D8982" s="8">
        <v>88</v>
      </c>
      <c r="E8982" s="8">
        <v>0</v>
      </c>
      <c r="F8982" s="8">
        <v>0</v>
      </c>
      <c r="G8982" s="8">
        <v>8</v>
      </c>
      <c r="H8982" s="8" t="s">
        <v>18284</v>
      </c>
      <c r="I8982" s="8">
        <v>526.6875</v>
      </c>
      <c r="J8982" s="3">
        <f t="shared" si="140"/>
        <v>43748.135743043975</v>
      </c>
    </row>
    <row r="8983" spans="1:10" x14ac:dyDescent="0.25">
      <c r="A8983" s="5" t="s">
        <v>18285</v>
      </c>
      <c r="B8983" s="6">
        <v>393.75</v>
      </c>
      <c r="C8983" s="6">
        <v>20.478950000000001</v>
      </c>
      <c r="D8983" s="6">
        <v>88</v>
      </c>
      <c r="E8983" s="6">
        <v>0</v>
      </c>
      <c r="F8983" s="6">
        <v>0</v>
      </c>
      <c r="G8983" s="6">
        <v>9</v>
      </c>
      <c r="H8983" s="6" t="s">
        <v>18286</v>
      </c>
      <c r="I8983" s="6">
        <v>526.6875</v>
      </c>
      <c r="J8983" s="2">
        <f t="shared" si="140"/>
        <v>43748.135814340276</v>
      </c>
    </row>
    <row r="8984" spans="1:10" x14ac:dyDescent="0.25">
      <c r="A8984" s="7" t="s">
        <v>18287</v>
      </c>
      <c r="B8984" s="8">
        <v>415.625</v>
      </c>
      <c r="C8984" s="8">
        <v>20.478950000000001</v>
      </c>
      <c r="D8984" s="8">
        <v>88</v>
      </c>
      <c r="E8984" s="8">
        <v>0</v>
      </c>
      <c r="F8984" s="8">
        <v>0</v>
      </c>
      <c r="G8984" s="8">
        <v>5</v>
      </c>
      <c r="H8984" s="8" t="s">
        <v>18288</v>
      </c>
      <c r="I8984" s="8">
        <v>533.0625</v>
      </c>
      <c r="J8984" s="3">
        <f t="shared" si="140"/>
        <v>43748.135897615743</v>
      </c>
    </row>
    <row r="8985" spans="1:10" x14ac:dyDescent="0.25">
      <c r="A8985" s="5" t="s">
        <v>18289</v>
      </c>
      <c r="B8985" s="6">
        <v>393.75</v>
      </c>
      <c r="C8985" s="6">
        <v>20.478950000000001</v>
      </c>
      <c r="D8985" s="6">
        <v>88</v>
      </c>
      <c r="E8985" s="6">
        <v>0</v>
      </c>
      <c r="F8985" s="6">
        <v>0</v>
      </c>
      <c r="G8985" s="6">
        <v>9</v>
      </c>
      <c r="H8985" s="6" t="s">
        <v>18290</v>
      </c>
      <c r="I8985" s="6">
        <v>526.6875</v>
      </c>
      <c r="J8985" s="2">
        <f t="shared" si="140"/>
        <v>43748.135968946757</v>
      </c>
    </row>
    <row r="8986" spans="1:10" x14ac:dyDescent="0.25">
      <c r="A8986" s="7" t="s">
        <v>18291</v>
      </c>
      <c r="B8986" s="8">
        <v>393.75</v>
      </c>
      <c r="C8986" s="8">
        <v>20.478950000000001</v>
      </c>
      <c r="D8986" s="8">
        <v>88</v>
      </c>
      <c r="E8986" s="8">
        <v>0</v>
      </c>
      <c r="F8986" s="8">
        <v>0</v>
      </c>
      <c r="G8986" s="8">
        <v>3</v>
      </c>
      <c r="H8986" s="8" t="s">
        <v>18292</v>
      </c>
      <c r="I8986" s="8">
        <v>526.6875</v>
      </c>
      <c r="J8986" s="3">
        <f t="shared" si="140"/>
        <v>43748.136041122685</v>
      </c>
    </row>
    <row r="8987" spans="1:10" x14ac:dyDescent="0.25">
      <c r="A8987" s="5" t="s">
        <v>18293</v>
      </c>
      <c r="B8987" s="6">
        <v>393.75</v>
      </c>
      <c r="C8987" s="6">
        <v>20.478950000000001</v>
      </c>
      <c r="D8987" s="6">
        <v>87</v>
      </c>
      <c r="E8987" s="6">
        <v>0</v>
      </c>
      <c r="F8987" s="6">
        <v>0</v>
      </c>
      <c r="G8987" s="6">
        <v>2</v>
      </c>
      <c r="H8987" s="6" t="s">
        <v>18294</v>
      </c>
      <c r="I8987" s="6">
        <v>526.5</v>
      </c>
      <c r="J8987" s="2">
        <f t="shared" si="140"/>
        <v>43748.136112430555</v>
      </c>
    </row>
    <row r="8988" spans="1:10" x14ac:dyDescent="0.25">
      <c r="A8988" s="7" t="s">
        <v>18295</v>
      </c>
      <c r="B8988" s="8">
        <v>396.875</v>
      </c>
      <c r="C8988" s="8">
        <v>20.426300000000001</v>
      </c>
      <c r="D8988" s="8">
        <v>87</v>
      </c>
      <c r="E8988" s="8">
        <v>0</v>
      </c>
      <c r="F8988" s="8">
        <v>0</v>
      </c>
      <c r="G8988" s="8">
        <v>5</v>
      </c>
      <c r="H8988" s="8" t="s">
        <v>18296</v>
      </c>
      <c r="I8988" s="8">
        <v>527.625</v>
      </c>
      <c r="J8988" s="3">
        <f t="shared" si="140"/>
        <v>43748.136183773146</v>
      </c>
    </row>
    <row r="8989" spans="1:10" x14ac:dyDescent="0.25">
      <c r="A8989" s="5" t="s">
        <v>18297</v>
      </c>
      <c r="B8989" s="6">
        <v>396.875</v>
      </c>
      <c r="C8989" s="6">
        <v>20.426300000000001</v>
      </c>
      <c r="D8989" s="6">
        <v>87</v>
      </c>
      <c r="E8989" s="6">
        <v>0</v>
      </c>
      <c r="F8989" s="6">
        <v>0</v>
      </c>
      <c r="G8989" s="6">
        <v>9</v>
      </c>
      <c r="H8989" s="6" t="s">
        <v>18298</v>
      </c>
      <c r="I8989" s="6">
        <v>527.4375</v>
      </c>
      <c r="J8989" s="2">
        <f t="shared" si="140"/>
        <v>43748.136255081015</v>
      </c>
    </row>
    <row r="8990" spans="1:10" x14ac:dyDescent="0.25">
      <c r="A8990" s="7" t="s">
        <v>18299</v>
      </c>
      <c r="B8990" s="8">
        <v>396.875</v>
      </c>
      <c r="C8990" s="8">
        <v>20.478950000000001</v>
      </c>
      <c r="D8990" s="8">
        <v>87</v>
      </c>
      <c r="E8990" s="8">
        <v>0</v>
      </c>
      <c r="F8990" s="8">
        <v>0</v>
      </c>
      <c r="G8990" s="8">
        <v>8</v>
      </c>
      <c r="H8990" s="8" t="s">
        <v>18300</v>
      </c>
      <c r="I8990" s="8">
        <v>527.4375</v>
      </c>
      <c r="J8990" s="3">
        <f t="shared" si="140"/>
        <v>43748.13633916666</v>
      </c>
    </row>
    <row r="8991" spans="1:10" x14ac:dyDescent="0.25">
      <c r="A8991" s="5" t="s">
        <v>18301</v>
      </c>
      <c r="B8991" s="6">
        <v>415.625</v>
      </c>
      <c r="C8991" s="6">
        <v>20.478950000000001</v>
      </c>
      <c r="D8991" s="6">
        <v>87</v>
      </c>
      <c r="E8991" s="6">
        <v>0</v>
      </c>
      <c r="F8991" s="6">
        <v>0</v>
      </c>
      <c r="G8991" s="6">
        <v>0</v>
      </c>
      <c r="H8991" s="6" t="s">
        <v>18302</v>
      </c>
      <c r="I8991" s="6">
        <v>533.4375</v>
      </c>
      <c r="J8991" s="2">
        <f t="shared" si="140"/>
        <v>43748.136409768515</v>
      </c>
    </row>
    <row r="8992" spans="1:10" x14ac:dyDescent="0.25">
      <c r="A8992" s="7" t="s">
        <v>18303</v>
      </c>
      <c r="B8992" s="8">
        <v>396.875</v>
      </c>
      <c r="C8992" s="8">
        <v>20.478950000000001</v>
      </c>
      <c r="D8992" s="8">
        <v>91</v>
      </c>
      <c r="E8992" s="8">
        <v>0</v>
      </c>
      <c r="F8992" s="8">
        <v>0</v>
      </c>
      <c r="G8992" s="8">
        <v>18</v>
      </c>
      <c r="H8992" s="8" t="s">
        <v>18304</v>
      </c>
      <c r="I8992" s="8">
        <v>527.4375</v>
      </c>
      <c r="J8992" s="3">
        <f t="shared" si="140"/>
        <v>43748.136481932866</v>
      </c>
    </row>
    <row r="8993" spans="1:10" x14ac:dyDescent="0.25">
      <c r="A8993" s="5" t="s">
        <v>18305</v>
      </c>
      <c r="B8993" s="6">
        <v>396.875</v>
      </c>
      <c r="C8993" s="6">
        <v>20.478950000000001</v>
      </c>
      <c r="D8993" s="6">
        <v>90</v>
      </c>
      <c r="E8993" s="6">
        <v>0</v>
      </c>
      <c r="F8993" s="6">
        <v>0</v>
      </c>
      <c r="G8993" s="6">
        <v>0</v>
      </c>
      <c r="H8993" s="6" t="s">
        <v>18306</v>
      </c>
      <c r="I8993" s="6">
        <v>527.4375</v>
      </c>
      <c r="J8993" s="2">
        <f t="shared" si="140"/>
        <v>43748.136553217591</v>
      </c>
    </row>
    <row r="8994" spans="1:10" x14ac:dyDescent="0.25">
      <c r="A8994" s="7" t="s">
        <v>18307</v>
      </c>
      <c r="B8994" s="8">
        <v>400</v>
      </c>
      <c r="C8994" s="8">
        <v>20.478950000000001</v>
      </c>
      <c r="D8994" s="8">
        <v>90</v>
      </c>
      <c r="E8994" s="8">
        <v>0</v>
      </c>
      <c r="F8994" s="8">
        <v>0</v>
      </c>
      <c r="G8994" s="8">
        <v>1</v>
      </c>
      <c r="H8994" s="8" t="s">
        <v>18308</v>
      </c>
      <c r="I8994" s="8">
        <v>528.375</v>
      </c>
      <c r="J8994" s="3">
        <f t="shared" si="140"/>
        <v>43748.136625451385</v>
      </c>
    </row>
    <row r="8995" spans="1:10" x14ac:dyDescent="0.25">
      <c r="A8995" s="5" t="s">
        <v>18309</v>
      </c>
      <c r="B8995" s="6">
        <v>400</v>
      </c>
      <c r="C8995" s="6">
        <v>20.478950000000001</v>
      </c>
      <c r="D8995" s="6">
        <v>89</v>
      </c>
      <c r="E8995" s="6">
        <v>0</v>
      </c>
      <c r="F8995" s="6">
        <v>0</v>
      </c>
      <c r="G8995" s="6">
        <v>0</v>
      </c>
      <c r="H8995" s="6" t="s">
        <v>18310</v>
      </c>
      <c r="I8995" s="6">
        <v>528.375</v>
      </c>
      <c r="J8995" s="2">
        <f t="shared" si="140"/>
        <v>43748.136696747686</v>
      </c>
    </row>
    <row r="8996" spans="1:10" x14ac:dyDescent="0.25">
      <c r="A8996" s="7" t="s">
        <v>18311</v>
      </c>
      <c r="B8996" s="8">
        <v>400</v>
      </c>
      <c r="C8996" s="8">
        <v>20.478950000000001</v>
      </c>
      <c r="D8996" s="8">
        <v>89</v>
      </c>
      <c r="E8996" s="8">
        <v>0</v>
      </c>
      <c r="F8996" s="8">
        <v>0</v>
      </c>
      <c r="G8996" s="8">
        <v>10</v>
      </c>
      <c r="H8996" s="8" t="s">
        <v>18312</v>
      </c>
      <c r="I8996" s="8">
        <v>528.375</v>
      </c>
      <c r="J8996" s="3">
        <f t="shared" si="140"/>
        <v>43748.136768032404</v>
      </c>
    </row>
    <row r="8997" spans="1:10" x14ac:dyDescent="0.25">
      <c r="A8997" s="5" t="s">
        <v>18313</v>
      </c>
      <c r="B8997" s="6">
        <v>400</v>
      </c>
      <c r="C8997" s="6">
        <v>20.478950000000001</v>
      </c>
      <c r="D8997" s="6">
        <v>89</v>
      </c>
      <c r="E8997" s="6">
        <v>0</v>
      </c>
      <c r="F8997" s="6">
        <v>0</v>
      </c>
      <c r="G8997" s="6">
        <v>4</v>
      </c>
      <c r="H8997" s="6" t="s">
        <v>18314</v>
      </c>
      <c r="I8997" s="6">
        <v>528.375</v>
      </c>
      <c r="J8997" s="2">
        <f t="shared" si="140"/>
        <v>43748.136839317129</v>
      </c>
    </row>
    <row r="8998" spans="1:10" x14ac:dyDescent="0.25">
      <c r="A8998" s="7" t="s">
        <v>18315</v>
      </c>
      <c r="B8998" s="8">
        <v>400</v>
      </c>
      <c r="C8998" s="8">
        <v>20.478950000000001</v>
      </c>
      <c r="D8998" s="8">
        <v>89</v>
      </c>
      <c r="E8998" s="8">
        <v>0</v>
      </c>
      <c r="F8998" s="8">
        <v>0</v>
      </c>
      <c r="G8998" s="8">
        <v>8</v>
      </c>
      <c r="H8998" s="8" t="s">
        <v>18316</v>
      </c>
      <c r="I8998" s="8">
        <v>528.1875</v>
      </c>
      <c r="J8998" s="3">
        <f t="shared" si="140"/>
        <v>43748.136911539354</v>
      </c>
    </row>
    <row r="8999" spans="1:10" x14ac:dyDescent="0.25">
      <c r="A8999" s="5" t="s">
        <v>18317</v>
      </c>
      <c r="B8999" s="6">
        <v>400</v>
      </c>
      <c r="C8999" s="6">
        <v>20.478950000000001</v>
      </c>
      <c r="D8999" s="6">
        <v>89</v>
      </c>
      <c r="E8999" s="6">
        <v>0</v>
      </c>
      <c r="F8999" s="6">
        <v>0</v>
      </c>
      <c r="G8999" s="6">
        <v>10</v>
      </c>
      <c r="H8999" s="6" t="s">
        <v>18318</v>
      </c>
      <c r="I8999" s="6">
        <v>528.1875</v>
      </c>
      <c r="J8999" s="2">
        <f t="shared" si="140"/>
        <v>43748.136982453703</v>
      </c>
    </row>
    <row r="9000" spans="1:10" x14ac:dyDescent="0.25">
      <c r="A9000" s="7" t="s">
        <v>18319</v>
      </c>
      <c r="B9000" s="8">
        <v>415.625</v>
      </c>
      <c r="C9000" s="8">
        <v>20.478950000000001</v>
      </c>
      <c r="D9000" s="8">
        <v>89</v>
      </c>
      <c r="E9000" s="8">
        <v>0</v>
      </c>
      <c r="F9000" s="8">
        <v>0</v>
      </c>
      <c r="G9000" s="8">
        <v>7</v>
      </c>
      <c r="H9000" s="8" t="s">
        <v>18320</v>
      </c>
      <c r="I9000" s="8">
        <v>533.8125</v>
      </c>
      <c r="J9000" s="3">
        <f t="shared" si="140"/>
        <v>43748.137054212959</v>
      </c>
    </row>
    <row r="9001" spans="1:10" x14ac:dyDescent="0.25">
      <c r="A9001" s="5" t="s">
        <v>18321</v>
      </c>
      <c r="B9001" s="6">
        <v>400</v>
      </c>
      <c r="C9001" s="6">
        <v>20.426300000000001</v>
      </c>
      <c r="D9001" s="6">
        <v>89</v>
      </c>
      <c r="E9001" s="6">
        <v>0</v>
      </c>
      <c r="F9001" s="6">
        <v>0</v>
      </c>
      <c r="G9001" s="6">
        <v>13</v>
      </c>
      <c r="H9001" s="6" t="s">
        <v>18322</v>
      </c>
      <c r="I9001" s="6">
        <v>528.9375</v>
      </c>
      <c r="J9001" s="2">
        <f t="shared" si="140"/>
        <v>43748.137126203706</v>
      </c>
    </row>
    <row r="9002" spans="1:10" x14ac:dyDescent="0.25">
      <c r="A9002" s="7" t="s">
        <v>18323</v>
      </c>
      <c r="B9002" s="8">
        <v>400</v>
      </c>
      <c r="C9002" s="8">
        <v>20.426300000000001</v>
      </c>
      <c r="D9002" s="8">
        <v>91</v>
      </c>
      <c r="E9002" s="8">
        <v>0</v>
      </c>
      <c r="F9002" s="8">
        <v>0</v>
      </c>
      <c r="G9002" s="8">
        <v>9</v>
      </c>
      <c r="H9002" s="8" t="s">
        <v>18324</v>
      </c>
      <c r="I9002" s="8">
        <v>528.9375</v>
      </c>
      <c r="J9002" s="3">
        <f t="shared" si="140"/>
        <v>43748.137197662036</v>
      </c>
    </row>
    <row r="9003" spans="1:10" x14ac:dyDescent="0.25">
      <c r="A9003" s="5" t="s">
        <v>18325</v>
      </c>
      <c r="B9003" s="6">
        <v>403.125</v>
      </c>
      <c r="C9003" s="6">
        <v>20.478950000000001</v>
      </c>
      <c r="D9003" s="6">
        <v>89</v>
      </c>
      <c r="E9003" s="6">
        <v>0</v>
      </c>
      <c r="F9003" s="6">
        <v>0</v>
      </c>
      <c r="G9003" s="6">
        <v>8</v>
      </c>
      <c r="H9003" s="6" t="s">
        <v>18326</v>
      </c>
      <c r="I9003" s="6">
        <v>529.125</v>
      </c>
      <c r="J9003" s="2">
        <f t="shared" si="140"/>
        <v>43748.13726895833</v>
      </c>
    </row>
    <row r="9004" spans="1:10" x14ac:dyDescent="0.25">
      <c r="A9004" s="7" t="s">
        <v>18327</v>
      </c>
      <c r="B9004" s="8">
        <v>421.875</v>
      </c>
      <c r="C9004" s="8">
        <v>20.478950000000001</v>
      </c>
      <c r="D9004" s="8">
        <v>89</v>
      </c>
      <c r="E9004" s="8">
        <v>0</v>
      </c>
      <c r="F9004" s="8">
        <v>0</v>
      </c>
      <c r="G9004" s="8">
        <v>3</v>
      </c>
      <c r="H9004" s="8" t="s">
        <v>18328</v>
      </c>
      <c r="I9004" s="8">
        <v>535.6875</v>
      </c>
      <c r="J9004" s="3">
        <f t="shared" si="140"/>
        <v>43748.137340243054</v>
      </c>
    </row>
    <row r="9005" spans="1:10" x14ac:dyDescent="0.25">
      <c r="A9005" s="5" t="s">
        <v>18329</v>
      </c>
      <c r="B9005" s="6">
        <v>400</v>
      </c>
      <c r="C9005" s="6">
        <v>20.478950000000001</v>
      </c>
      <c r="D9005" s="6">
        <v>88</v>
      </c>
      <c r="E9005" s="6">
        <v>0</v>
      </c>
      <c r="F9005" s="6">
        <v>0</v>
      </c>
      <c r="G9005" s="6">
        <v>11</v>
      </c>
      <c r="H9005" s="6" t="s">
        <v>18330</v>
      </c>
      <c r="I9005" s="6">
        <v>528.375</v>
      </c>
      <c r="J9005" s="2">
        <f t="shared" si="140"/>
        <v>43748.137412488424</v>
      </c>
    </row>
    <row r="9006" spans="1:10" x14ac:dyDescent="0.25">
      <c r="A9006" s="7" t="s">
        <v>18331</v>
      </c>
      <c r="B9006" s="8">
        <v>396.875</v>
      </c>
      <c r="C9006" s="8">
        <v>20.478950000000001</v>
      </c>
      <c r="D9006" s="8">
        <v>88</v>
      </c>
      <c r="E9006" s="8">
        <v>0</v>
      </c>
      <c r="F9006" s="8">
        <v>0</v>
      </c>
      <c r="G9006" s="8">
        <v>7</v>
      </c>
      <c r="H9006" s="8" t="s">
        <v>18332</v>
      </c>
      <c r="I9006" s="8">
        <v>527.4375</v>
      </c>
      <c r="J9006" s="3">
        <f t="shared" si="140"/>
        <v>43748.137508599531</v>
      </c>
    </row>
    <row r="9007" spans="1:10" x14ac:dyDescent="0.25">
      <c r="A9007" s="5" t="s">
        <v>18333</v>
      </c>
      <c r="B9007" s="6">
        <v>396.875</v>
      </c>
      <c r="C9007" s="6">
        <v>20.478950000000001</v>
      </c>
      <c r="D9007" s="6">
        <v>89</v>
      </c>
      <c r="E9007" s="6">
        <v>0</v>
      </c>
      <c r="F9007" s="6">
        <v>0</v>
      </c>
      <c r="G9007" s="6">
        <v>6</v>
      </c>
      <c r="H9007" s="6" t="s">
        <v>18334</v>
      </c>
      <c r="I9007" s="6">
        <v>527.4375</v>
      </c>
      <c r="J9007" s="2">
        <f t="shared" si="140"/>
        <v>43748.137579074071</v>
      </c>
    </row>
    <row r="9008" spans="1:10" x14ac:dyDescent="0.25">
      <c r="A9008" s="7" t="s">
        <v>18335</v>
      </c>
      <c r="B9008" s="8">
        <v>393.75</v>
      </c>
      <c r="C9008" s="8">
        <v>20.478950000000001</v>
      </c>
      <c r="D9008" s="8">
        <v>89</v>
      </c>
      <c r="E9008" s="8">
        <v>0</v>
      </c>
      <c r="F9008" s="8">
        <v>0</v>
      </c>
      <c r="G9008" s="8">
        <v>16</v>
      </c>
      <c r="H9008" s="8" t="s">
        <v>18336</v>
      </c>
      <c r="I9008" s="8">
        <v>526.6875</v>
      </c>
      <c r="J9008" s="3">
        <f t="shared" si="140"/>
        <v>43748.137650439814</v>
      </c>
    </row>
    <row r="9009" spans="1:10" x14ac:dyDescent="0.25">
      <c r="A9009" s="5" t="s">
        <v>18337</v>
      </c>
      <c r="B9009" s="6">
        <v>393.75</v>
      </c>
      <c r="C9009" s="6">
        <v>20.478950000000001</v>
      </c>
      <c r="D9009" s="6">
        <v>89</v>
      </c>
      <c r="E9009" s="6">
        <v>0</v>
      </c>
      <c r="F9009" s="6">
        <v>0</v>
      </c>
      <c r="G9009" s="6">
        <v>9</v>
      </c>
      <c r="H9009" s="6" t="s">
        <v>18338</v>
      </c>
      <c r="I9009" s="6">
        <v>526.5</v>
      </c>
      <c r="J9009" s="2">
        <f t="shared" si="140"/>
        <v>43748.137721793981</v>
      </c>
    </row>
    <row r="9010" spans="1:10" x14ac:dyDescent="0.25">
      <c r="A9010" s="7" t="s">
        <v>18339</v>
      </c>
      <c r="B9010" s="8">
        <v>393.75</v>
      </c>
      <c r="C9010" s="8">
        <v>20.478950000000001</v>
      </c>
      <c r="D9010" s="8">
        <v>90</v>
      </c>
      <c r="E9010" s="8">
        <v>0</v>
      </c>
      <c r="F9010" s="8">
        <v>0</v>
      </c>
      <c r="G9010" s="8">
        <v>14</v>
      </c>
      <c r="H9010" s="8" t="s">
        <v>18340</v>
      </c>
      <c r="I9010" s="8">
        <v>526.5</v>
      </c>
      <c r="J9010" s="3">
        <f t="shared" si="140"/>
        <v>43748.13779390046</v>
      </c>
    </row>
    <row r="9011" spans="1:10" x14ac:dyDescent="0.25">
      <c r="A9011" s="5" t="s">
        <v>18341</v>
      </c>
      <c r="B9011" s="6">
        <v>412.5</v>
      </c>
      <c r="C9011" s="6">
        <v>20.478950000000001</v>
      </c>
      <c r="D9011" s="6">
        <v>88</v>
      </c>
      <c r="E9011" s="6">
        <v>0</v>
      </c>
      <c r="F9011" s="6">
        <v>0</v>
      </c>
      <c r="G9011" s="6">
        <v>10</v>
      </c>
      <c r="H9011" s="6" t="s">
        <v>18342</v>
      </c>
      <c r="I9011" s="6">
        <v>532.5</v>
      </c>
      <c r="J9011" s="2">
        <f t="shared" si="140"/>
        <v>43748.137865254626</v>
      </c>
    </row>
    <row r="9012" spans="1:10" x14ac:dyDescent="0.25">
      <c r="A9012" s="7" t="s">
        <v>18343</v>
      </c>
      <c r="B9012" s="8">
        <v>393.75</v>
      </c>
      <c r="C9012" s="8">
        <v>20.478950000000001</v>
      </c>
      <c r="D9012" s="8">
        <v>88</v>
      </c>
      <c r="E9012" s="8">
        <v>0</v>
      </c>
      <c r="F9012" s="8">
        <v>0</v>
      </c>
      <c r="G9012" s="8">
        <v>10</v>
      </c>
      <c r="H9012" s="8" t="s">
        <v>18344</v>
      </c>
      <c r="I9012" s="8">
        <v>526.5</v>
      </c>
      <c r="J9012" s="3">
        <f t="shared" si="140"/>
        <v>43748.137936574072</v>
      </c>
    </row>
    <row r="9013" spans="1:10" x14ac:dyDescent="0.25">
      <c r="A9013" s="5" t="s">
        <v>18345</v>
      </c>
      <c r="B9013" s="6">
        <v>393.75</v>
      </c>
      <c r="C9013" s="6">
        <v>20.478950000000001</v>
      </c>
      <c r="D9013" s="6">
        <v>88</v>
      </c>
      <c r="E9013" s="6">
        <v>0</v>
      </c>
      <c r="F9013" s="6">
        <v>0</v>
      </c>
      <c r="G9013" s="6">
        <v>6</v>
      </c>
      <c r="H9013" s="6" t="s">
        <v>18346</v>
      </c>
      <c r="I9013" s="6">
        <v>526.6875</v>
      </c>
      <c r="J9013" s="2">
        <f t="shared" si="140"/>
        <v>43748.138008599533</v>
      </c>
    </row>
    <row r="9014" spans="1:10" x14ac:dyDescent="0.25">
      <c r="A9014" s="7" t="s">
        <v>18347</v>
      </c>
      <c r="B9014" s="8">
        <v>393.75</v>
      </c>
      <c r="C9014" s="8">
        <v>20.478950000000001</v>
      </c>
      <c r="D9014" s="8">
        <v>88</v>
      </c>
      <c r="E9014" s="8">
        <v>0</v>
      </c>
      <c r="F9014" s="8">
        <v>0</v>
      </c>
      <c r="G9014" s="8">
        <v>13</v>
      </c>
      <c r="H9014" s="8" t="s">
        <v>18348</v>
      </c>
      <c r="I9014" s="8">
        <v>526.6875</v>
      </c>
      <c r="J9014" s="3">
        <f t="shared" si="140"/>
        <v>43748.138080069439</v>
      </c>
    </row>
    <row r="9015" spans="1:10" x14ac:dyDescent="0.25">
      <c r="A9015" s="5" t="s">
        <v>18349</v>
      </c>
      <c r="B9015" s="6">
        <v>393.75</v>
      </c>
      <c r="C9015" s="6">
        <v>20.478950000000001</v>
      </c>
      <c r="D9015" s="6">
        <v>88</v>
      </c>
      <c r="E9015" s="6">
        <v>0</v>
      </c>
      <c r="F9015" s="6">
        <v>0</v>
      </c>
      <c r="G9015" s="6">
        <v>9</v>
      </c>
      <c r="H9015" s="6" t="s">
        <v>18350</v>
      </c>
      <c r="I9015" s="6">
        <v>526.6875</v>
      </c>
      <c r="J9015" s="2">
        <f t="shared" si="140"/>
        <v>43748.13815136574</v>
      </c>
    </row>
    <row r="9016" spans="1:10" x14ac:dyDescent="0.25">
      <c r="A9016" s="7" t="s">
        <v>18351</v>
      </c>
      <c r="B9016" s="8">
        <v>396.875</v>
      </c>
      <c r="C9016" s="8">
        <v>20.478950000000001</v>
      </c>
      <c r="D9016" s="8">
        <v>89</v>
      </c>
      <c r="E9016" s="8">
        <v>0</v>
      </c>
      <c r="F9016" s="8">
        <v>0</v>
      </c>
      <c r="G9016" s="8">
        <v>8</v>
      </c>
      <c r="H9016" s="8" t="s">
        <v>18352</v>
      </c>
      <c r="I9016" s="8">
        <v>527.4375</v>
      </c>
      <c r="J9016" s="3">
        <f t="shared" si="140"/>
        <v>43748.138222662034</v>
      </c>
    </row>
    <row r="9017" spans="1:10" x14ac:dyDescent="0.25">
      <c r="A9017" s="5" t="s">
        <v>18353</v>
      </c>
      <c r="B9017" s="6">
        <v>396.875</v>
      </c>
      <c r="C9017" s="6">
        <v>20.478950000000001</v>
      </c>
      <c r="D9017" s="6">
        <v>88</v>
      </c>
      <c r="E9017" s="6">
        <v>0</v>
      </c>
      <c r="F9017" s="6">
        <v>0</v>
      </c>
      <c r="G9017" s="6">
        <v>9</v>
      </c>
      <c r="H9017" s="6" t="s">
        <v>18354</v>
      </c>
      <c r="I9017" s="6">
        <v>527.4375</v>
      </c>
      <c r="J9017" s="2">
        <f t="shared" si="140"/>
        <v>43748.138294872682</v>
      </c>
    </row>
    <row r="9018" spans="1:10" x14ac:dyDescent="0.25">
      <c r="A9018" s="7" t="s">
        <v>18355</v>
      </c>
      <c r="B9018" s="8">
        <v>396.875</v>
      </c>
      <c r="C9018" s="8">
        <v>20.478950000000001</v>
      </c>
      <c r="D9018" s="8">
        <v>86</v>
      </c>
      <c r="E9018" s="8">
        <v>0</v>
      </c>
      <c r="F9018" s="8">
        <v>0</v>
      </c>
      <c r="G9018" s="8">
        <v>4</v>
      </c>
      <c r="H9018" s="8" t="s">
        <v>18356</v>
      </c>
      <c r="I9018" s="8">
        <v>527.4375</v>
      </c>
      <c r="J9018" s="3">
        <f t="shared" si="140"/>
        <v>43748.138366180552</v>
      </c>
    </row>
    <row r="9019" spans="1:10" x14ac:dyDescent="0.25">
      <c r="A9019" s="5" t="s">
        <v>18357</v>
      </c>
      <c r="B9019" s="6">
        <v>396.875</v>
      </c>
      <c r="C9019" s="6">
        <v>20.478950000000001</v>
      </c>
      <c r="D9019" s="6">
        <v>89</v>
      </c>
      <c r="E9019" s="6">
        <v>0</v>
      </c>
      <c r="F9019" s="6">
        <v>0</v>
      </c>
      <c r="G9019" s="6">
        <v>15</v>
      </c>
      <c r="H9019" s="6" t="s">
        <v>18358</v>
      </c>
      <c r="I9019" s="6">
        <v>527.4375</v>
      </c>
      <c r="J9019" s="2">
        <f t="shared" si="140"/>
        <v>43748.138437476846</v>
      </c>
    </row>
    <row r="9020" spans="1:10" x14ac:dyDescent="0.25">
      <c r="A9020" s="7" t="s">
        <v>18359</v>
      </c>
      <c r="B9020" s="8">
        <v>396.875</v>
      </c>
      <c r="C9020" s="8">
        <v>20.478950000000001</v>
      </c>
      <c r="D9020" s="8">
        <v>85</v>
      </c>
      <c r="E9020" s="8">
        <v>0</v>
      </c>
      <c r="F9020" s="8">
        <v>0</v>
      </c>
      <c r="G9020" s="8">
        <v>7</v>
      </c>
      <c r="H9020" s="8" t="s">
        <v>18360</v>
      </c>
      <c r="I9020" s="8">
        <v>527.4375</v>
      </c>
      <c r="J9020" s="3">
        <f t="shared" si="140"/>
        <v>43748.138508831013</v>
      </c>
    </row>
    <row r="9021" spans="1:10" x14ac:dyDescent="0.25">
      <c r="A9021" s="5" t="s">
        <v>18361</v>
      </c>
      <c r="B9021" s="6">
        <v>400</v>
      </c>
      <c r="C9021" s="6">
        <v>20.478950000000001</v>
      </c>
      <c r="D9021" s="6">
        <v>83</v>
      </c>
      <c r="E9021" s="6">
        <v>0</v>
      </c>
      <c r="F9021" s="6">
        <v>0</v>
      </c>
      <c r="G9021" s="6">
        <v>8</v>
      </c>
      <c r="H9021" s="6" t="s">
        <v>18362</v>
      </c>
      <c r="I9021" s="6">
        <v>528.375</v>
      </c>
      <c r="J9021" s="2">
        <f t="shared" si="140"/>
        <v>43748.138580335646</v>
      </c>
    </row>
    <row r="9022" spans="1:10" x14ac:dyDescent="0.25">
      <c r="A9022" s="7" t="s">
        <v>18363</v>
      </c>
      <c r="B9022" s="8">
        <v>400</v>
      </c>
      <c r="C9022" s="8">
        <v>20.478950000000001</v>
      </c>
      <c r="D9022" s="8">
        <v>85</v>
      </c>
      <c r="E9022" s="8">
        <v>0</v>
      </c>
      <c r="F9022" s="8">
        <v>0</v>
      </c>
      <c r="G9022" s="8">
        <v>8</v>
      </c>
      <c r="H9022" s="8" t="s">
        <v>18364</v>
      </c>
      <c r="I9022" s="8">
        <v>528.375</v>
      </c>
      <c r="J9022" s="3">
        <f t="shared" si="140"/>
        <v>43748.138652303234</v>
      </c>
    </row>
    <row r="9023" spans="1:10" x14ac:dyDescent="0.25">
      <c r="A9023" s="5" t="s">
        <v>18365</v>
      </c>
      <c r="B9023" s="6">
        <v>400</v>
      </c>
      <c r="C9023" s="6">
        <v>20.478950000000001</v>
      </c>
      <c r="D9023" s="6">
        <v>88</v>
      </c>
      <c r="E9023" s="6">
        <v>0</v>
      </c>
      <c r="F9023" s="6">
        <v>0</v>
      </c>
      <c r="G9023" s="6">
        <v>3</v>
      </c>
      <c r="H9023" s="6" t="s">
        <v>18366</v>
      </c>
      <c r="I9023" s="6">
        <v>528.1875</v>
      </c>
      <c r="J9023" s="2">
        <f t="shared" si="140"/>
        <v>43748.138723587959</v>
      </c>
    </row>
    <row r="9024" spans="1:10" x14ac:dyDescent="0.25">
      <c r="A9024" s="7" t="s">
        <v>18367</v>
      </c>
      <c r="B9024" s="8">
        <v>425</v>
      </c>
      <c r="C9024" s="8">
        <v>20.478950000000001</v>
      </c>
      <c r="D9024" s="8">
        <v>89</v>
      </c>
      <c r="E9024" s="8">
        <v>0</v>
      </c>
      <c r="F9024" s="8">
        <v>0</v>
      </c>
      <c r="G9024" s="8">
        <v>7</v>
      </c>
      <c r="H9024" s="8" t="s">
        <v>18368</v>
      </c>
      <c r="I9024" s="8">
        <v>536.0625</v>
      </c>
      <c r="J9024" s="3">
        <f t="shared" si="140"/>
        <v>43748.138795636572</v>
      </c>
    </row>
    <row r="9025" spans="1:10" x14ac:dyDescent="0.25">
      <c r="A9025" s="5" t="s">
        <v>18369</v>
      </c>
      <c r="B9025" s="6">
        <v>403.125</v>
      </c>
      <c r="C9025" s="6">
        <v>20.426300000000001</v>
      </c>
      <c r="D9025" s="6">
        <v>89</v>
      </c>
      <c r="E9025" s="6">
        <v>0</v>
      </c>
      <c r="F9025" s="6">
        <v>0</v>
      </c>
      <c r="G9025" s="6">
        <v>0</v>
      </c>
      <c r="H9025" s="6" t="s">
        <v>18370</v>
      </c>
      <c r="I9025" s="6">
        <v>529.125</v>
      </c>
      <c r="J9025" s="2">
        <f t="shared" si="140"/>
        <v>43748.13886741898</v>
      </c>
    </row>
    <row r="9026" spans="1:10" x14ac:dyDescent="0.25">
      <c r="A9026" s="7" t="s">
        <v>18371</v>
      </c>
      <c r="B9026" s="8">
        <v>403.125</v>
      </c>
      <c r="C9026" s="8">
        <v>20.478950000000001</v>
      </c>
      <c r="D9026" s="8">
        <v>87</v>
      </c>
      <c r="E9026" s="8">
        <v>0</v>
      </c>
      <c r="F9026" s="8">
        <v>0</v>
      </c>
      <c r="G9026" s="8">
        <v>4</v>
      </c>
      <c r="H9026" s="8" t="s">
        <v>18372</v>
      </c>
      <c r="I9026" s="8">
        <v>529.125</v>
      </c>
      <c r="J9026" s="3">
        <f t="shared" ref="J9026:J9089" si="141">(H9026/86400000)+25569+(7/24)</f>
        <v>43748.138938402779</v>
      </c>
    </row>
    <row r="9027" spans="1:10" x14ac:dyDescent="0.25">
      <c r="A9027" s="5" t="s">
        <v>18373</v>
      </c>
      <c r="B9027" s="6">
        <v>400</v>
      </c>
      <c r="C9027" s="6">
        <v>20.478950000000001</v>
      </c>
      <c r="D9027" s="6">
        <v>86</v>
      </c>
      <c r="E9027" s="6">
        <v>0</v>
      </c>
      <c r="F9027" s="6">
        <v>0</v>
      </c>
      <c r="G9027" s="6">
        <v>8</v>
      </c>
      <c r="H9027" s="6" t="s">
        <v>18374</v>
      </c>
      <c r="I9027" s="6">
        <v>528.1875</v>
      </c>
      <c r="J9027" s="2">
        <f t="shared" si="141"/>
        <v>43748.139009675921</v>
      </c>
    </row>
    <row r="9028" spans="1:10" x14ac:dyDescent="0.25">
      <c r="A9028" s="7" t="s">
        <v>18375</v>
      </c>
      <c r="B9028" s="8">
        <v>400</v>
      </c>
      <c r="C9028" s="8">
        <v>20.478950000000001</v>
      </c>
      <c r="D9028" s="8">
        <v>86</v>
      </c>
      <c r="E9028" s="8">
        <v>0</v>
      </c>
      <c r="F9028" s="8">
        <v>0</v>
      </c>
      <c r="G9028" s="8">
        <v>12</v>
      </c>
      <c r="H9028" s="8" t="s">
        <v>18376</v>
      </c>
      <c r="I9028" s="8">
        <v>528.1875</v>
      </c>
      <c r="J9028" s="3">
        <f t="shared" si="141"/>
        <v>43748.139081898145</v>
      </c>
    </row>
    <row r="9029" spans="1:10" x14ac:dyDescent="0.25">
      <c r="A9029" s="5" t="s">
        <v>18377</v>
      </c>
      <c r="B9029" s="6">
        <v>400</v>
      </c>
      <c r="C9029" s="6">
        <v>20.478950000000001</v>
      </c>
      <c r="D9029" s="6">
        <v>90</v>
      </c>
      <c r="E9029" s="6">
        <v>0</v>
      </c>
      <c r="F9029" s="6">
        <v>0</v>
      </c>
      <c r="G9029" s="6">
        <v>7</v>
      </c>
      <c r="H9029" s="6" t="s">
        <v>18378</v>
      </c>
      <c r="I9029" s="6">
        <v>528.375</v>
      </c>
      <c r="J9029" s="2">
        <f t="shared" si="141"/>
        <v>43748.139153194446</v>
      </c>
    </row>
    <row r="9030" spans="1:10" x14ac:dyDescent="0.25">
      <c r="A9030" s="7" t="s">
        <v>18379</v>
      </c>
      <c r="B9030" s="8">
        <v>400</v>
      </c>
      <c r="C9030" s="8">
        <v>20.478950000000001</v>
      </c>
      <c r="D9030" s="8">
        <v>90</v>
      </c>
      <c r="E9030" s="8">
        <v>0</v>
      </c>
      <c r="F9030" s="8">
        <v>0</v>
      </c>
      <c r="G9030" s="8">
        <v>14</v>
      </c>
      <c r="H9030" s="8" t="s">
        <v>18380</v>
      </c>
      <c r="I9030" s="8">
        <v>528.1875</v>
      </c>
      <c r="J9030" s="3">
        <f t="shared" si="141"/>
        <v>43748.139224560182</v>
      </c>
    </row>
    <row r="9031" spans="1:10" x14ac:dyDescent="0.25">
      <c r="A9031" s="5" t="s">
        <v>18381</v>
      </c>
      <c r="B9031" s="6">
        <v>400</v>
      </c>
      <c r="C9031" s="6">
        <v>20.478950000000001</v>
      </c>
      <c r="D9031" s="6">
        <v>88</v>
      </c>
      <c r="E9031" s="6">
        <v>0</v>
      </c>
      <c r="F9031" s="6">
        <v>0</v>
      </c>
      <c r="G9031" s="6">
        <v>4</v>
      </c>
      <c r="H9031" s="6" t="s">
        <v>18382</v>
      </c>
      <c r="I9031" s="6">
        <v>528.375</v>
      </c>
      <c r="J9031" s="2">
        <f t="shared" si="141"/>
        <v>43748.139307847225</v>
      </c>
    </row>
    <row r="9032" spans="1:10" x14ac:dyDescent="0.25">
      <c r="A9032" s="7" t="s">
        <v>18383</v>
      </c>
      <c r="B9032" s="8">
        <v>418.75</v>
      </c>
      <c r="C9032" s="8">
        <v>20.478950000000001</v>
      </c>
      <c r="D9032" s="8">
        <v>87</v>
      </c>
      <c r="E9032" s="8">
        <v>0</v>
      </c>
      <c r="F9032" s="8">
        <v>0</v>
      </c>
      <c r="G9032" s="8">
        <v>3</v>
      </c>
      <c r="H9032" s="8" t="s">
        <v>18384</v>
      </c>
      <c r="I9032" s="8">
        <v>534</v>
      </c>
      <c r="J9032" s="3">
        <f t="shared" si="141"/>
        <v>43748.139380069442</v>
      </c>
    </row>
    <row r="9033" spans="1:10" x14ac:dyDescent="0.25">
      <c r="A9033" s="5" t="s">
        <v>18385</v>
      </c>
      <c r="B9033" s="6">
        <v>400</v>
      </c>
      <c r="C9033" s="6">
        <v>20.478950000000001</v>
      </c>
      <c r="D9033" s="6">
        <v>87</v>
      </c>
      <c r="E9033" s="6">
        <v>0</v>
      </c>
      <c r="F9033" s="6">
        <v>0</v>
      </c>
      <c r="G9033" s="6">
        <v>7</v>
      </c>
      <c r="H9033" s="6" t="s">
        <v>18386</v>
      </c>
      <c r="I9033" s="6">
        <v>528.1875</v>
      </c>
      <c r="J9033" s="2">
        <f t="shared" si="141"/>
        <v>43748.139463344902</v>
      </c>
    </row>
    <row r="9034" spans="1:10" x14ac:dyDescent="0.25">
      <c r="A9034" s="7" t="s">
        <v>18387</v>
      </c>
      <c r="B9034" s="8">
        <v>400</v>
      </c>
      <c r="C9034" s="8">
        <v>20.478950000000001</v>
      </c>
      <c r="D9034" s="8">
        <v>87</v>
      </c>
      <c r="E9034" s="8">
        <v>0</v>
      </c>
      <c r="F9034" s="8">
        <v>0</v>
      </c>
      <c r="G9034" s="8">
        <v>2</v>
      </c>
      <c r="H9034" s="8" t="s">
        <v>18388</v>
      </c>
      <c r="I9034" s="8">
        <v>528.1875</v>
      </c>
      <c r="J9034" s="3">
        <f t="shared" si="141"/>
        <v>43748.139534710645</v>
      </c>
    </row>
    <row r="9035" spans="1:10" x14ac:dyDescent="0.25">
      <c r="A9035" s="5" t="s">
        <v>18389</v>
      </c>
      <c r="B9035" s="6">
        <v>400</v>
      </c>
      <c r="C9035" s="6">
        <v>20.478950000000001</v>
      </c>
      <c r="D9035" s="6">
        <v>87</v>
      </c>
      <c r="E9035" s="6">
        <v>0</v>
      </c>
      <c r="F9035" s="6">
        <v>0</v>
      </c>
      <c r="G9035" s="6">
        <v>1</v>
      </c>
      <c r="H9035" s="6" t="s">
        <v>18390</v>
      </c>
      <c r="I9035" s="6">
        <v>528.1875</v>
      </c>
      <c r="J9035" s="2">
        <f t="shared" si="141"/>
        <v>43748.139605995369</v>
      </c>
    </row>
    <row r="9036" spans="1:10" x14ac:dyDescent="0.25">
      <c r="A9036" s="7" t="s">
        <v>18391</v>
      </c>
      <c r="B9036" s="8">
        <v>400</v>
      </c>
      <c r="C9036" s="8">
        <v>20.478950000000001</v>
      </c>
      <c r="D9036" s="8">
        <v>87</v>
      </c>
      <c r="E9036" s="8">
        <v>0</v>
      </c>
      <c r="F9036" s="8">
        <v>0</v>
      </c>
      <c r="G9036" s="8">
        <v>9</v>
      </c>
      <c r="H9036" s="8" t="s">
        <v>18392</v>
      </c>
      <c r="I9036" s="8">
        <v>528.1875</v>
      </c>
      <c r="J9036" s="3">
        <f t="shared" si="141"/>
        <v>43748.139678032407</v>
      </c>
    </row>
    <row r="9037" spans="1:10" x14ac:dyDescent="0.25">
      <c r="A9037" s="5" t="s">
        <v>18393</v>
      </c>
      <c r="B9037" s="6">
        <v>400</v>
      </c>
      <c r="C9037" s="6">
        <v>20.478950000000001</v>
      </c>
      <c r="D9037" s="6">
        <v>88</v>
      </c>
      <c r="E9037" s="6">
        <v>0</v>
      </c>
      <c r="F9037" s="6">
        <v>0</v>
      </c>
      <c r="G9037" s="6">
        <v>10</v>
      </c>
      <c r="H9037" s="6" t="s">
        <v>18394</v>
      </c>
      <c r="I9037" s="6">
        <v>528.1875</v>
      </c>
      <c r="J9037" s="2">
        <f t="shared" si="141"/>
        <v>43748.139749432863</v>
      </c>
    </row>
    <row r="9038" spans="1:10" x14ac:dyDescent="0.25">
      <c r="A9038" s="7" t="s">
        <v>18395</v>
      </c>
      <c r="B9038" s="8">
        <v>396.875</v>
      </c>
      <c r="C9038" s="8">
        <v>20.478950000000001</v>
      </c>
      <c r="D9038" s="8">
        <v>88</v>
      </c>
      <c r="E9038" s="8">
        <v>0</v>
      </c>
      <c r="F9038" s="8">
        <v>0</v>
      </c>
      <c r="G9038" s="8">
        <v>9</v>
      </c>
      <c r="H9038" s="8" t="s">
        <v>18396</v>
      </c>
      <c r="I9038" s="8">
        <v>527.4375</v>
      </c>
      <c r="J9038" s="3">
        <f t="shared" si="141"/>
        <v>43748.139820729164</v>
      </c>
    </row>
    <row r="9039" spans="1:10" x14ac:dyDescent="0.25">
      <c r="A9039" s="5" t="s">
        <v>18397</v>
      </c>
      <c r="B9039" s="6">
        <v>396.875</v>
      </c>
      <c r="C9039" s="6">
        <v>20.478950000000001</v>
      </c>
      <c r="D9039" s="6">
        <v>87</v>
      </c>
      <c r="E9039" s="6">
        <v>0</v>
      </c>
      <c r="F9039" s="6">
        <v>0</v>
      </c>
      <c r="G9039" s="6">
        <v>17</v>
      </c>
      <c r="H9039" s="6" t="s">
        <v>18398</v>
      </c>
      <c r="I9039" s="6">
        <v>527.4375</v>
      </c>
      <c r="J9039" s="2">
        <f t="shared" si="141"/>
        <v>43748.13990480324</v>
      </c>
    </row>
    <row r="9040" spans="1:10" x14ac:dyDescent="0.25">
      <c r="A9040" s="7" t="s">
        <v>18399</v>
      </c>
      <c r="B9040" s="8">
        <v>396.875</v>
      </c>
      <c r="C9040" s="8">
        <v>20.478950000000001</v>
      </c>
      <c r="D9040" s="8">
        <v>87</v>
      </c>
      <c r="E9040" s="8">
        <v>0</v>
      </c>
      <c r="F9040" s="8">
        <v>0</v>
      </c>
      <c r="G9040" s="8">
        <v>7</v>
      </c>
      <c r="H9040" s="8" t="s">
        <v>18400</v>
      </c>
      <c r="I9040" s="8">
        <v>527.4375</v>
      </c>
      <c r="J9040" s="3">
        <f t="shared" si="141"/>
        <v>43748.13997621528</v>
      </c>
    </row>
    <row r="9041" spans="1:10" x14ac:dyDescent="0.25">
      <c r="A9041" s="5" t="s">
        <v>18401</v>
      </c>
      <c r="B9041" s="6">
        <v>396.875</v>
      </c>
      <c r="C9041" s="6">
        <v>20.478950000000001</v>
      </c>
      <c r="D9041" s="6">
        <v>87</v>
      </c>
      <c r="E9041" s="6">
        <v>0</v>
      </c>
      <c r="F9041" s="6">
        <v>0</v>
      </c>
      <c r="G9041" s="6">
        <v>3</v>
      </c>
      <c r="H9041" s="6" t="s">
        <v>18402</v>
      </c>
      <c r="I9041" s="6">
        <v>527.4375</v>
      </c>
      <c r="J9041" s="2">
        <f t="shared" si="141"/>
        <v>43748.140047627312</v>
      </c>
    </row>
    <row r="9042" spans="1:10" x14ac:dyDescent="0.25">
      <c r="A9042" s="7" t="s">
        <v>18403</v>
      </c>
      <c r="B9042" s="8">
        <v>396.875</v>
      </c>
      <c r="C9042" s="8">
        <v>20.478950000000001</v>
      </c>
      <c r="D9042" s="8">
        <v>86</v>
      </c>
      <c r="E9042" s="8">
        <v>0</v>
      </c>
      <c r="F9042" s="8">
        <v>0</v>
      </c>
      <c r="G9042" s="8">
        <v>10</v>
      </c>
      <c r="H9042" s="8" t="s">
        <v>18404</v>
      </c>
      <c r="I9042" s="8">
        <v>527.4375</v>
      </c>
      <c r="J9042" s="3">
        <f t="shared" si="141"/>
        <v>43748.140118993055</v>
      </c>
    </row>
    <row r="9043" spans="1:10" x14ac:dyDescent="0.25">
      <c r="A9043" s="5" t="s">
        <v>18405</v>
      </c>
      <c r="B9043" s="6">
        <v>393.75</v>
      </c>
      <c r="C9043" s="6">
        <v>20.478950000000001</v>
      </c>
      <c r="D9043" s="6">
        <v>87</v>
      </c>
      <c r="E9043" s="6">
        <v>0</v>
      </c>
      <c r="F9043" s="6">
        <v>0</v>
      </c>
      <c r="G9043" s="6">
        <v>8</v>
      </c>
      <c r="H9043" s="6" t="s">
        <v>18406</v>
      </c>
      <c r="I9043" s="6">
        <v>526.6875</v>
      </c>
      <c r="J9043" s="2">
        <f t="shared" si="141"/>
        <v>43748.140202314811</v>
      </c>
    </row>
    <row r="9044" spans="1:10" x14ac:dyDescent="0.25">
      <c r="A9044" s="7" t="s">
        <v>18407</v>
      </c>
      <c r="B9044" s="8">
        <v>396.875</v>
      </c>
      <c r="C9044" s="8">
        <v>20.478950000000001</v>
      </c>
      <c r="D9044" s="8">
        <v>87</v>
      </c>
      <c r="E9044" s="8">
        <v>0</v>
      </c>
      <c r="F9044" s="8">
        <v>0</v>
      </c>
      <c r="G9044" s="8">
        <v>16</v>
      </c>
      <c r="H9044" s="8" t="s">
        <v>18408</v>
      </c>
      <c r="I9044" s="8">
        <v>527.4375</v>
      </c>
      <c r="J9044" s="3">
        <f t="shared" si="141"/>
        <v>43748.140274351848</v>
      </c>
    </row>
    <row r="9045" spans="1:10" x14ac:dyDescent="0.25">
      <c r="A9045" s="5" t="s">
        <v>18409</v>
      </c>
      <c r="B9045" s="6">
        <v>396.875</v>
      </c>
      <c r="C9045" s="6">
        <v>20.478950000000001</v>
      </c>
      <c r="D9045" s="6">
        <v>87</v>
      </c>
      <c r="E9045" s="6">
        <v>0</v>
      </c>
      <c r="F9045" s="6">
        <v>0</v>
      </c>
      <c r="G9045" s="6">
        <v>0</v>
      </c>
      <c r="H9045" s="6" t="s">
        <v>18410</v>
      </c>
      <c r="I9045" s="6">
        <v>527.4375</v>
      </c>
      <c r="J9045" s="2">
        <f t="shared" si="141"/>
        <v>43748.140344907406</v>
      </c>
    </row>
    <row r="9046" spans="1:10" x14ac:dyDescent="0.25">
      <c r="A9046" s="7" t="s">
        <v>18411</v>
      </c>
      <c r="B9046" s="8">
        <v>396.875</v>
      </c>
      <c r="C9046" s="8">
        <v>20.478950000000001</v>
      </c>
      <c r="D9046" s="8">
        <v>88</v>
      </c>
      <c r="E9046" s="8">
        <v>0</v>
      </c>
      <c r="F9046" s="8">
        <v>0</v>
      </c>
      <c r="G9046" s="8">
        <v>11</v>
      </c>
      <c r="H9046" s="8" t="s">
        <v>18412</v>
      </c>
      <c r="I9046" s="8">
        <v>527.4375</v>
      </c>
      <c r="J9046" s="3">
        <f t="shared" si="141"/>
        <v>43748.140417118055</v>
      </c>
    </row>
    <row r="9047" spans="1:10" x14ac:dyDescent="0.25">
      <c r="A9047" s="5" t="s">
        <v>18413</v>
      </c>
      <c r="B9047" s="6">
        <v>396.875</v>
      </c>
      <c r="C9047" s="6">
        <v>20.426300000000001</v>
      </c>
      <c r="D9047" s="6">
        <v>86</v>
      </c>
      <c r="E9047" s="6">
        <v>0</v>
      </c>
      <c r="F9047" s="6">
        <v>0</v>
      </c>
      <c r="G9047" s="6">
        <v>10</v>
      </c>
      <c r="H9047" s="6" t="s">
        <v>18414</v>
      </c>
      <c r="I9047" s="6">
        <v>527.4375</v>
      </c>
      <c r="J9047" s="2">
        <f t="shared" si="141"/>
        <v>43748.140488425925</v>
      </c>
    </row>
    <row r="9048" spans="1:10" x14ac:dyDescent="0.25">
      <c r="A9048" s="7" t="s">
        <v>18415</v>
      </c>
      <c r="B9048" s="8">
        <v>400</v>
      </c>
      <c r="C9048" s="8">
        <v>20.478950000000001</v>
      </c>
      <c r="D9048" s="8">
        <v>86</v>
      </c>
      <c r="E9048" s="8">
        <v>0</v>
      </c>
      <c r="F9048" s="8">
        <v>0</v>
      </c>
      <c r="G9048" s="8">
        <v>16</v>
      </c>
      <c r="H9048" s="8" t="s">
        <v>18416</v>
      </c>
      <c r="I9048" s="8">
        <v>528.1875</v>
      </c>
      <c r="J9048" s="3">
        <f t="shared" si="141"/>
        <v>43748.140560590276</v>
      </c>
    </row>
    <row r="9049" spans="1:10" x14ac:dyDescent="0.25">
      <c r="A9049" s="5" t="s">
        <v>18417</v>
      </c>
      <c r="B9049" s="6">
        <v>400</v>
      </c>
      <c r="C9049" s="6">
        <v>20.478950000000001</v>
      </c>
      <c r="D9049" s="6">
        <v>87</v>
      </c>
      <c r="E9049" s="6">
        <v>0</v>
      </c>
      <c r="F9049" s="6">
        <v>0</v>
      </c>
      <c r="G9049" s="6">
        <v>19</v>
      </c>
      <c r="H9049" s="6" t="s">
        <v>18418</v>
      </c>
      <c r="I9049" s="6">
        <v>528.375</v>
      </c>
      <c r="J9049" s="2">
        <f t="shared" si="141"/>
        <v>43748.14063188657</v>
      </c>
    </row>
    <row r="9050" spans="1:10" x14ac:dyDescent="0.25">
      <c r="A9050" s="7" t="s">
        <v>18419</v>
      </c>
      <c r="B9050" s="8">
        <v>400</v>
      </c>
      <c r="C9050" s="8">
        <v>20.478950000000001</v>
      </c>
      <c r="D9050" s="8">
        <v>86</v>
      </c>
      <c r="E9050" s="8">
        <v>0</v>
      </c>
      <c r="F9050" s="8">
        <v>0</v>
      </c>
      <c r="G9050" s="8">
        <v>7</v>
      </c>
      <c r="H9050" s="8" t="s">
        <v>18420</v>
      </c>
      <c r="I9050" s="8">
        <v>528.1875</v>
      </c>
      <c r="J9050" s="3">
        <f t="shared" si="141"/>
        <v>43748.140703240737</v>
      </c>
    </row>
    <row r="9051" spans="1:10" x14ac:dyDescent="0.25">
      <c r="A9051" s="5" t="s">
        <v>18421</v>
      </c>
      <c r="B9051" s="6">
        <v>418.75</v>
      </c>
      <c r="C9051" s="6">
        <v>20.478950000000001</v>
      </c>
      <c r="D9051" s="6">
        <v>86</v>
      </c>
      <c r="E9051" s="6">
        <v>0</v>
      </c>
      <c r="F9051" s="6">
        <v>0</v>
      </c>
      <c r="G9051" s="6">
        <v>10</v>
      </c>
      <c r="H9051" s="6" t="s">
        <v>18422</v>
      </c>
      <c r="I9051" s="6">
        <v>534</v>
      </c>
      <c r="J9051" s="2">
        <f t="shared" si="141"/>
        <v>43748.140774594904</v>
      </c>
    </row>
    <row r="9052" spans="1:10" x14ac:dyDescent="0.25">
      <c r="A9052" s="7" t="s">
        <v>18423</v>
      </c>
      <c r="B9052" s="8">
        <v>396.875</v>
      </c>
      <c r="C9052" s="8">
        <v>20.478950000000001</v>
      </c>
      <c r="D9052" s="8">
        <v>87</v>
      </c>
      <c r="E9052" s="8">
        <v>0</v>
      </c>
      <c r="F9052" s="8">
        <v>0</v>
      </c>
      <c r="G9052" s="8">
        <v>19</v>
      </c>
      <c r="H9052" s="8" t="s">
        <v>18424</v>
      </c>
      <c r="I9052" s="8">
        <v>527.4375</v>
      </c>
      <c r="J9052" s="3">
        <f t="shared" si="141"/>
        <v>43748.140846759256</v>
      </c>
    </row>
    <row r="9053" spans="1:10" x14ac:dyDescent="0.25">
      <c r="A9053" s="5" t="s">
        <v>18425</v>
      </c>
      <c r="B9053" s="6">
        <v>393.75</v>
      </c>
      <c r="C9053" s="6">
        <v>20.478950000000001</v>
      </c>
      <c r="D9053" s="6">
        <v>86</v>
      </c>
      <c r="E9053" s="6">
        <v>0</v>
      </c>
      <c r="F9053" s="6">
        <v>0</v>
      </c>
      <c r="G9053" s="6">
        <v>8</v>
      </c>
      <c r="H9053" s="6" t="s">
        <v>18426</v>
      </c>
      <c r="I9053" s="6">
        <v>526.5</v>
      </c>
      <c r="J9053" s="2">
        <f t="shared" si="141"/>
        <v>43748.140918807869</v>
      </c>
    </row>
    <row r="9054" spans="1:10" x14ac:dyDescent="0.25">
      <c r="A9054" s="7" t="s">
        <v>18427</v>
      </c>
      <c r="B9054" s="8">
        <v>396.875</v>
      </c>
      <c r="C9054" s="8">
        <v>20.478950000000001</v>
      </c>
      <c r="D9054" s="8">
        <v>87</v>
      </c>
      <c r="E9054" s="8">
        <v>0</v>
      </c>
      <c r="F9054" s="8">
        <v>0</v>
      </c>
      <c r="G9054" s="8">
        <v>17</v>
      </c>
      <c r="H9054" s="8" t="s">
        <v>18428</v>
      </c>
      <c r="I9054" s="8">
        <v>527.4375</v>
      </c>
      <c r="J9054" s="3">
        <f t="shared" si="141"/>
        <v>43748.141001388889</v>
      </c>
    </row>
    <row r="9055" spans="1:10" x14ac:dyDescent="0.25">
      <c r="A9055" s="5" t="s">
        <v>18429</v>
      </c>
      <c r="B9055" s="6">
        <v>396.875</v>
      </c>
      <c r="C9055" s="6">
        <v>20.426300000000001</v>
      </c>
      <c r="D9055" s="6">
        <v>89</v>
      </c>
      <c r="E9055" s="6">
        <v>0</v>
      </c>
      <c r="F9055" s="6">
        <v>0</v>
      </c>
      <c r="G9055" s="6">
        <v>10</v>
      </c>
      <c r="H9055" s="6" t="s">
        <v>18430</v>
      </c>
      <c r="I9055" s="6">
        <v>527.4375</v>
      </c>
      <c r="J9055" s="2">
        <f t="shared" si="141"/>
        <v>43748.141072662031</v>
      </c>
    </row>
    <row r="9056" spans="1:10" x14ac:dyDescent="0.25">
      <c r="A9056" s="7" t="s">
        <v>18431</v>
      </c>
      <c r="B9056" s="8">
        <v>396.875</v>
      </c>
      <c r="C9056" s="8">
        <v>20.478950000000001</v>
      </c>
      <c r="D9056" s="8">
        <v>89</v>
      </c>
      <c r="E9056" s="8">
        <v>0</v>
      </c>
      <c r="F9056" s="8">
        <v>0</v>
      </c>
      <c r="G9056" s="8">
        <v>7</v>
      </c>
      <c r="H9056" s="8" t="s">
        <v>18432</v>
      </c>
      <c r="I9056" s="8">
        <v>527.4375</v>
      </c>
      <c r="J9056" s="3">
        <f t="shared" si="141"/>
        <v>43748.1411449074</v>
      </c>
    </row>
    <row r="9057" spans="1:10" x14ac:dyDescent="0.25">
      <c r="A9057" s="5" t="s">
        <v>18433</v>
      </c>
      <c r="B9057" s="6">
        <v>396.875</v>
      </c>
      <c r="C9057" s="6">
        <v>20.478950000000001</v>
      </c>
      <c r="D9057" s="6">
        <v>89</v>
      </c>
      <c r="E9057" s="6">
        <v>0</v>
      </c>
      <c r="F9057" s="6">
        <v>0</v>
      </c>
      <c r="G9057" s="6">
        <v>9</v>
      </c>
      <c r="H9057" s="6" t="s">
        <v>18434</v>
      </c>
      <c r="I9057" s="6">
        <v>527.4375</v>
      </c>
      <c r="J9057" s="2">
        <f t="shared" si="141"/>
        <v>43748.141216134252</v>
      </c>
    </row>
    <row r="9058" spans="1:10" x14ac:dyDescent="0.25">
      <c r="A9058" s="7" t="s">
        <v>18435</v>
      </c>
      <c r="B9058" s="8">
        <v>396.875</v>
      </c>
      <c r="C9058" s="8">
        <v>20.478950000000001</v>
      </c>
      <c r="D9058" s="8">
        <v>88</v>
      </c>
      <c r="E9058" s="8">
        <v>0</v>
      </c>
      <c r="F9058" s="8">
        <v>0</v>
      </c>
      <c r="G9058" s="8">
        <v>9</v>
      </c>
      <c r="H9058" s="8" t="s">
        <v>18436</v>
      </c>
      <c r="I9058" s="8">
        <v>527.4375</v>
      </c>
      <c r="J9058" s="3">
        <f t="shared" si="141"/>
        <v>43748.141287418977</v>
      </c>
    </row>
    <row r="9059" spans="1:10" x14ac:dyDescent="0.25">
      <c r="A9059" s="5" t="s">
        <v>18437</v>
      </c>
      <c r="B9059" s="6">
        <v>403.125</v>
      </c>
      <c r="C9059" s="6">
        <v>20.478950000000001</v>
      </c>
      <c r="D9059" s="6">
        <v>88</v>
      </c>
      <c r="E9059" s="6">
        <v>0</v>
      </c>
      <c r="F9059" s="6">
        <v>0</v>
      </c>
      <c r="G9059" s="6">
        <v>16</v>
      </c>
      <c r="H9059" s="6" t="s">
        <v>18438</v>
      </c>
      <c r="I9059" s="6">
        <v>529.875</v>
      </c>
      <c r="J9059" s="2">
        <f t="shared" si="141"/>
        <v>43748.141359548608</v>
      </c>
    </row>
    <row r="9060" spans="1:10" x14ac:dyDescent="0.25">
      <c r="A9060" s="7" t="s">
        <v>18439</v>
      </c>
      <c r="B9060" s="8">
        <v>393.75</v>
      </c>
      <c r="C9060" s="8">
        <v>20.478950000000001</v>
      </c>
      <c r="D9060" s="8">
        <v>88</v>
      </c>
      <c r="E9060" s="8">
        <v>0</v>
      </c>
      <c r="F9060" s="8">
        <v>0</v>
      </c>
      <c r="G9060" s="8">
        <v>17</v>
      </c>
      <c r="H9060" s="8" t="s">
        <v>18440</v>
      </c>
      <c r="I9060" s="8">
        <v>526.6875</v>
      </c>
      <c r="J9060" s="3">
        <f t="shared" si="141"/>
        <v>43748.141430960641</v>
      </c>
    </row>
    <row r="9061" spans="1:10" x14ac:dyDescent="0.25">
      <c r="A9061" s="5" t="s">
        <v>18441</v>
      </c>
      <c r="B9061" s="6">
        <v>393.75</v>
      </c>
      <c r="C9061" s="6">
        <v>20.426300000000001</v>
      </c>
      <c r="D9061" s="6">
        <v>89</v>
      </c>
      <c r="E9061" s="6">
        <v>0</v>
      </c>
      <c r="F9061" s="6">
        <v>0</v>
      </c>
      <c r="G9061" s="6">
        <v>12</v>
      </c>
      <c r="H9061" s="6" t="s">
        <v>18442</v>
      </c>
      <c r="I9061" s="6">
        <v>526.6875</v>
      </c>
      <c r="J9061" s="2">
        <f t="shared" si="141"/>
        <v>43748.14150237268</v>
      </c>
    </row>
    <row r="9062" spans="1:10" x14ac:dyDescent="0.25">
      <c r="A9062" s="7" t="s">
        <v>18443</v>
      </c>
      <c r="B9062" s="8">
        <v>393.75</v>
      </c>
      <c r="C9062" s="8">
        <v>20.478950000000001</v>
      </c>
      <c r="D9062" s="8">
        <v>87</v>
      </c>
      <c r="E9062" s="8">
        <v>0</v>
      </c>
      <c r="F9062" s="8">
        <v>0</v>
      </c>
      <c r="G9062" s="8">
        <v>1</v>
      </c>
      <c r="H9062" s="8" t="s">
        <v>18444</v>
      </c>
      <c r="I9062" s="8">
        <v>526.5</v>
      </c>
      <c r="J9062" s="3">
        <f t="shared" si="141"/>
        <v>43748.141573587964</v>
      </c>
    </row>
    <row r="9063" spans="1:10" x14ac:dyDescent="0.25">
      <c r="A9063" s="5" t="s">
        <v>18445</v>
      </c>
      <c r="B9063" s="6">
        <v>418.75</v>
      </c>
      <c r="C9063" s="6">
        <v>20.478950000000001</v>
      </c>
      <c r="D9063" s="6">
        <v>87</v>
      </c>
      <c r="E9063" s="6">
        <v>0</v>
      </c>
      <c r="F9063" s="6">
        <v>0</v>
      </c>
      <c r="G9063" s="6">
        <v>7</v>
      </c>
      <c r="H9063" s="6" t="s">
        <v>18446</v>
      </c>
      <c r="I9063" s="6">
        <v>534.5625</v>
      </c>
      <c r="J9063" s="2">
        <f t="shared" si="141"/>
        <v>43748.141645717587</v>
      </c>
    </row>
    <row r="9064" spans="1:10" x14ac:dyDescent="0.25">
      <c r="A9064" s="7" t="s">
        <v>18447</v>
      </c>
      <c r="B9064" s="8">
        <v>393.75</v>
      </c>
      <c r="C9064" s="8">
        <v>20.478950000000001</v>
      </c>
      <c r="D9064" s="8">
        <v>87</v>
      </c>
      <c r="E9064" s="8">
        <v>0</v>
      </c>
      <c r="F9064" s="8">
        <v>0</v>
      </c>
      <c r="G9064" s="8">
        <v>2</v>
      </c>
      <c r="H9064" s="8" t="s">
        <v>18448</v>
      </c>
      <c r="I9064" s="8">
        <v>526.5</v>
      </c>
      <c r="J9064" s="3">
        <f t="shared" si="141"/>
        <v>43748.141717291663</v>
      </c>
    </row>
    <row r="9065" spans="1:10" x14ac:dyDescent="0.25">
      <c r="A9065" s="5" t="s">
        <v>18449</v>
      </c>
      <c r="B9065" s="6">
        <v>393.75</v>
      </c>
      <c r="C9065" s="6">
        <v>20.478950000000001</v>
      </c>
      <c r="D9065" s="6">
        <v>89</v>
      </c>
      <c r="E9065" s="6">
        <v>0</v>
      </c>
      <c r="F9065" s="6">
        <v>0</v>
      </c>
      <c r="G9065" s="6">
        <v>1</v>
      </c>
      <c r="H9065" s="6" t="s">
        <v>18450</v>
      </c>
      <c r="I9065" s="6">
        <v>526.6875</v>
      </c>
      <c r="J9065" s="2">
        <f t="shared" si="141"/>
        <v>43748.141788425921</v>
      </c>
    </row>
    <row r="9066" spans="1:10" x14ac:dyDescent="0.25">
      <c r="A9066" s="7" t="s">
        <v>18451</v>
      </c>
      <c r="B9066" s="8">
        <v>393.75</v>
      </c>
      <c r="C9066" s="8">
        <v>20.478950000000001</v>
      </c>
      <c r="D9066" s="8">
        <v>88</v>
      </c>
      <c r="E9066" s="8">
        <v>0</v>
      </c>
      <c r="F9066" s="8">
        <v>0</v>
      </c>
      <c r="G9066" s="8">
        <v>0</v>
      </c>
      <c r="H9066" s="8" t="s">
        <v>18452</v>
      </c>
      <c r="I9066" s="8">
        <v>526.5</v>
      </c>
      <c r="J9066" s="3">
        <f t="shared" si="141"/>
        <v>43748.141859849529</v>
      </c>
    </row>
    <row r="9067" spans="1:10" x14ac:dyDescent="0.25">
      <c r="A9067" s="5" t="s">
        <v>18453</v>
      </c>
      <c r="B9067" s="6">
        <v>393.75</v>
      </c>
      <c r="C9067" s="6">
        <v>20.478950000000001</v>
      </c>
      <c r="D9067" s="6">
        <v>89</v>
      </c>
      <c r="E9067" s="6">
        <v>0</v>
      </c>
      <c r="F9067" s="6">
        <v>0</v>
      </c>
      <c r="G9067" s="6">
        <v>5</v>
      </c>
      <c r="H9067" s="6" t="s">
        <v>18454</v>
      </c>
      <c r="I9067" s="6">
        <v>526.6875</v>
      </c>
      <c r="J9067" s="2">
        <f t="shared" si="141"/>
        <v>43748.141931863422</v>
      </c>
    </row>
    <row r="9068" spans="1:10" x14ac:dyDescent="0.25">
      <c r="A9068" s="7" t="s">
        <v>18455</v>
      </c>
      <c r="B9068" s="8">
        <v>393.75</v>
      </c>
      <c r="C9068" s="8">
        <v>20.478950000000001</v>
      </c>
      <c r="D9068" s="8">
        <v>89</v>
      </c>
      <c r="E9068" s="8">
        <v>0</v>
      </c>
      <c r="F9068" s="8">
        <v>0</v>
      </c>
      <c r="G9068" s="8">
        <v>14</v>
      </c>
      <c r="H9068" s="8" t="s">
        <v>18456</v>
      </c>
      <c r="I9068" s="8">
        <v>526.6875</v>
      </c>
      <c r="J9068" s="3">
        <f t="shared" si="141"/>
        <v>43748.142003252309</v>
      </c>
    </row>
    <row r="9069" spans="1:10" x14ac:dyDescent="0.25">
      <c r="A9069" s="5" t="s">
        <v>18457</v>
      </c>
      <c r="B9069" s="6">
        <v>396.875</v>
      </c>
      <c r="C9069" s="6">
        <v>20.426300000000001</v>
      </c>
      <c r="D9069" s="6">
        <v>86</v>
      </c>
      <c r="E9069" s="6">
        <v>0</v>
      </c>
      <c r="F9069" s="6">
        <v>0</v>
      </c>
      <c r="G9069" s="6">
        <v>9</v>
      </c>
      <c r="H9069" s="6" t="s">
        <v>18458</v>
      </c>
      <c r="I9069" s="6">
        <v>527.4375</v>
      </c>
      <c r="J9069" s="2">
        <f t="shared" si="141"/>
        <v>43748.142074525465</v>
      </c>
    </row>
    <row r="9070" spans="1:10" x14ac:dyDescent="0.25">
      <c r="A9070" s="7" t="s">
        <v>18459</v>
      </c>
      <c r="B9070" s="8">
        <v>396.875</v>
      </c>
      <c r="C9070" s="8">
        <v>20.426300000000001</v>
      </c>
      <c r="D9070" s="8">
        <v>86</v>
      </c>
      <c r="E9070" s="8">
        <v>0</v>
      </c>
      <c r="F9070" s="8">
        <v>0</v>
      </c>
      <c r="G9070" s="8">
        <v>14</v>
      </c>
      <c r="H9070" s="8" t="s">
        <v>18460</v>
      </c>
      <c r="I9070" s="8">
        <v>527.4375</v>
      </c>
      <c r="J9070" s="3">
        <f t="shared" si="141"/>
        <v>43748.142146759252</v>
      </c>
    </row>
    <row r="9071" spans="1:10" x14ac:dyDescent="0.25">
      <c r="A9071" s="5" t="s">
        <v>18461</v>
      </c>
      <c r="B9071" s="6">
        <v>393.75</v>
      </c>
      <c r="C9071" s="6">
        <v>20.478950000000001</v>
      </c>
      <c r="D9071" s="6">
        <v>87</v>
      </c>
      <c r="E9071" s="6">
        <v>0</v>
      </c>
      <c r="F9071" s="6">
        <v>0</v>
      </c>
      <c r="G9071" s="6">
        <v>7</v>
      </c>
      <c r="H9071" s="6" t="s">
        <v>18462</v>
      </c>
      <c r="I9071" s="6">
        <v>526.6875</v>
      </c>
      <c r="J9071" s="2">
        <f t="shared" si="141"/>
        <v>43748.142231747683</v>
      </c>
    </row>
    <row r="9072" spans="1:10" x14ac:dyDescent="0.25">
      <c r="A9072" s="7" t="s">
        <v>18463</v>
      </c>
      <c r="B9072" s="8">
        <v>396.875</v>
      </c>
      <c r="C9072" s="8">
        <v>20.478950000000001</v>
      </c>
      <c r="D9072" s="8">
        <v>87</v>
      </c>
      <c r="E9072" s="8">
        <v>0</v>
      </c>
      <c r="F9072" s="8">
        <v>0</v>
      </c>
      <c r="G9072" s="8">
        <v>7</v>
      </c>
      <c r="H9072" s="8" t="s">
        <v>18464</v>
      </c>
      <c r="I9072" s="8">
        <v>527.4375</v>
      </c>
      <c r="J9072" s="3">
        <f t="shared" si="141"/>
        <v>43748.142313425924</v>
      </c>
    </row>
    <row r="9073" spans="1:10" x14ac:dyDescent="0.25">
      <c r="A9073" s="5" t="s">
        <v>18465</v>
      </c>
      <c r="B9073" s="6">
        <v>396.875</v>
      </c>
      <c r="C9073" s="6">
        <v>20.478950000000001</v>
      </c>
      <c r="D9073" s="6">
        <v>86</v>
      </c>
      <c r="E9073" s="6">
        <v>0</v>
      </c>
      <c r="F9073" s="6">
        <v>0</v>
      </c>
      <c r="G9073" s="6">
        <v>13</v>
      </c>
      <c r="H9073" s="6" t="s">
        <v>18466</v>
      </c>
      <c r="I9073" s="6">
        <v>527.4375</v>
      </c>
      <c r="J9073" s="2">
        <f t="shared" si="141"/>
        <v>43748.142408703701</v>
      </c>
    </row>
    <row r="9074" spans="1:10" x14ac:dyDescent="0.25">
      <c r="A9074" s="7" t="s">
        <v>18467</v>
      </c>
      <c r="B9074" s="8">
        <v>393.75</v>
      </c>
      <c r="C9074" s="8">
        <v>20.426300000000001</v>
      </c>
      <c r="D9074" s="8">
        <v>87</v>
      </c>
      <c r="E9074" s="8">
        <v>0</v>
      </c>
      <c r="F9074" s="8">
        <v>0</v>
      </c>
      <c r="G9074" s="8">
        <v>7</v>
      </c>
      <c r="H9074" s="8" t="s">
        <v>18468</v>
      </c>
      <c r="I9074" s="8">
        <v>526.6875</v>
      </c>
      <c r="J9074" s="3">
        <f t="shared" si="141"/>
        <v>43748.142480057868</v>
      </c>
    </row>
    <row r="9075" spans="1:10" x14ac:dyDescent="0.25">
      <c r="A9075" s="5" t="s">
        <v>18469</v>
      </c>
      <c r="B9075" s="6">
        <v>393.75</v>
      </c>
      <c r="C9075" s="6">
        <v>20.478950000000001</v>
      </c>
      <c r="D9075" s="6">
        <v>88</v>
      </c>
      <c r="E9075" s="6">
        <v>0</v>
      </c>
      <c r="F9075" s="6">
        <v>0</v>
      </c>
      <c r="G9075" s="6">
        <v>6</v>
      </c>
      <c r="H9075" s="6" t="s">
        <v>18470</v>
      </c>
      <c r="I9075" s="6">
        <v>526.6875</v>
      </c>
      <c r="J9075" s="2">
        <f t="shared" si="141"/>
        <v>43748.142551446756</v>
      </c>
    </row>
    <row r="9076" spans="1:10" x14ac:dyDescent="0.25">
      <c r="A9076" s="7" t="s">
        <v>18471</v>
      </c>
      <c r="B9076" s="8">
        <v>396.875</v>
      </c>
      <c r="C9076" s="8">
        <v>20.478950000000001</v>
      </c>
      <c r="D9076" s="8">
        <v>84</v>
      </c>
      <c r="E9076" s="8">
        <v>0</v>
      </c>
      <c r="F9076" s="8">
        <v>0</v>
      </c>
      <c r="G9076" s="8">
        <v>10</v>
      </c>
      <c r="H9076" s="8" t="s">
        <v>18472</v>
      </c>
      <c r="I9076" s="8">
        <v>527.4375</v>
      </c>
      <c r="J9076" s="3">
        <f t="shared" si="141"/>
        <v>43748.142623541666</v>
      </c>
    </row>
    <row r="9077" spans="1:10" x14ac:dyDescent="0.25">
      <c r="A9077" s="5" t="s">
        <v>18473</v>
      </c>
      <c r="B9077" s="6">
        <v>415.625</v>
      </c>
      <c r="C9077" s="6">
        <v>20.478950000000001</v>
      </c>
      <c r="D9077" s="6">
        <v>81</v>
      </c>
      <c r="E9077" s="6">
        <v>0</v>
      </c>
      <c r="F9077" s="6">
        <v>0</v>
      </c>
      <c r="G9077" s="6">
        <v>6</v>
      </c>
      <c r="H9077" s="6" t="s">
        <v>18474</v>
      </c>
      <c r="I9077" s="6">
        <v>533.0625</v>
      </c>
      <c r="J9077" s="2">
        <f t="shared" si="141"/>
        <v>43748.142694895832</v>
      </c>
    </row>
    <row r="9078" spans="1:10" x14ac:dyDescent="0.25">
      <c r="A9078" s="7" t="s">
        <v>18475</v>
      </c>
      <c r="B9078" s="8">
        <v>396.875</v>
      </c>
      <c r="C9078" s="8">
        <v>20.426300000000001</v>
      </c>
      <c r="D9078" s="8">
        <v>84</v>
      </c>
      <c r="E9078" s="8">
        <v>0</v>
      </c>
      <c r="F9078" s="8">
        <v>0</v>
      </c>
      <c r="G9078" s="8">
        <v>7</v>
      </c>
      <c r="H9078" s="8" t="s">
        <v>18476</v>
      </c>
      <c r="I9078" s="8">
        <v>527.4375</v>
      </c>
      <c r="J9078" s="3">
        <f t="shared" si="141"/>
        <v>43748.142766134253</v>
      </c>
    </row>
    <row r="9079" spans="1:10" x14ac:dyDescent="0.25">
      <c r="A9079" s="5" t="s">
        <v>18477</v>
      </c>
      <c r="B9079" s="6">
        <v>396.875</v>
      </c>
      <c r="C9079" s="6">
        <v>20.478950000000001</v>
      </c>
      <c r="D9079" s="6">
        <v>84</v>
      </c>
      <c r="E9079" s="6">
        <v>0</v>
      </c>
      <c r="F9079" s="6">
        <v>0</v>
      </c>
      <c r="G9079" s="6">
        <v>9</v>
      </c>
      <c r="H9079" s="6" t="s">
        <v>18478</v>
      </c>
      <c r="I9079" s="6">
        <v>527.4375</v>
      </c>
      <c r="J9079" s="2">
        <f t="shared" si="141"/>
        <v>43748.142837719904</v>
      </c>
    </row>
    <row r="9080" spans="1:10" x14ac:dyDescent="0.25">
      <c r="A9080" s="7" t="s">
        <v>18479</v>
      </c>
      <c r="B9080" s="8">
        <v>396.875</v>
      </c>
      <c r="C9080" s="8">
        <v>20.478950000000001</v>
      </c>
      <c r="D9080" s="8">
        <v>85</v>
      </c>
      <c r="E9080" s="8">
        <v>0</v>
      </c>
      <c r="F9080" s="8">
        <v>0</v>
      </c>
      <c r="G9080" s="8">
        <v>14</v>
      </c>
      <c r="H9080" s="8" t="s">
        <v>18480</v>
      </c>
      <c r="I9080" s="8">
        <v>527.4375</v>
      </c>
      <c r="J9080" s="3">
        <f t="shared" si="141"/>
        <v>43748.142921736107</v>
      </c>
    </row>
    <row r="9081" spans="1:10" x14ac:dyDescent="0.25">
      <c r="A9081" s="5" t="s">
        <v>18481</v>
      </c>
      <c r="B9081" s="6">
        <v>396.875</v>
      </c>
      <c r="C9081" s="6">
        <v>20.426300000000001</v>
      </c>
      <c r="D9081" s="6">
        <v>85</v>
      </c>
      <c r="E9081" s="6">
        <v>0</v>
      </c>
      <c r="F9081" s="6">
        <v>0</v>
      </c>
      <c r="G9081" s="6">
        <v>21</v>
      </c>
      <c r="H9081" s="6" t="s">
        <v>18482</v>
      </c>
      <c r="I9081" s="6">
        <v>527.4375</v>
      </c>
      <c r="J9081" s="2">
        <f t="shared" si="141"/>
        <v>43748.142993032401</v>
      </c>
    </row>
    <row r="9082" spans="1:10" x14ac:dyDescent="0.25">
      <c r="A9082" s="7" t="s">
        <v>18483</v>
      </c>
      <c r="B9082" s="8">
        <v>396.875</v>
      </c>
      <c r="C9082" s="8">
        <v>20.478950000000001</v>
      </c>
      <c r="D9082" s="8">
        <v>86</v>
      </c>
      <c r="E9082" s="8">
        <v>0</v>
      </c>
      <c r="F9082" s="8">
        <v>0</v>
      </c>
      <c r="G9082" s="8">
        <v>11</v>
      </c>
      <c r="H9082" s="8" t="s">
        <v>18484</v>
      </c>
      <c r="I9082" s="8">
        <v>527.4375</v>
      </c>
      <c r="J9082" s="3">
        <f t="shared" si="141"/>
        <v>43748.143064328702</v>
      </c>
    </row>
    <row r="9083" spans="1:10" x14ac:dyDescent="0.25">
      <c r="A9083" s="5" t="s">
        <v>18485</v>
      </c>
      <c r="B9083" s="6">
        <v>396.875</v>
      </c>
      <c r="C9083" s="6">
        <v>20.478950000000001</v>
      </c>
      <c r="D9083" s="6">
        <v>86</v>
      </c>
      <c r="E9083" s="6">
        <v>0</v>
      </c>
      <c r="F9083" s="6">
        <v>0</v>
      </c>
      <c r="G9083" s="6">
        <v>12</v>
      </c>
      <c r="H9083" s="6" t="s">
        <v>18486</v>
      </c>
      <c r="I9083" s="6">
        <v>527.4375</v>
      </c>
      <c r="J9083" s="2">
        <f t="shared" si="141"/>
        <v>43748.143136493054</v>
      </c>
    </row>
    <row r="9084" spans="1:10" x14ac:dyDescent="0.25">
      <c r="A9084" s="7" t="s">
        <v>18487</v>
      </c>
      <c r="B9084" s="8">
        <v>396.875</v>
      </c>
      <c r="C9084" s="8">
        <v>20.478950000000001</v>
      </c>
      <c r="D9084" s="8">
        <v>87</v>
      </c>
      <c r="E9084" s="8">
        <v>0</v>
      </c>
      <c r="F9084" s="8">
        <v>0</v>
      </c>
      <c r="G9084" s="8">
        <v>1</v>
      </c>
      <c r="H9084" s="8" t="s">
        <v>18488</v>
      </c>
      <c r="I9084" s="8">
        <v>527.4375</v>
      </c>
      <c r="J9084" s="3">
        <f t="shared" si="141"/>
        <v>43748.14320785879</v>
      </c>
    </row>
    <row r="9085" spans="1:10" x14ac:dyDescent="0.25">
      <c r="A9085" s="5" t="s">
        <v>18489</v>
      </c>
      <c r="B9085" s="6">
        <v>396.875</v>
      </c>
      <c r="C9085" s="6">
        <v>20.478950000000001</v>
      </c>
      <c r="D9085" s="6">
        <v>89</v>
      </c>
      <c r="E9085" s="6">
        <v>0</v>
      </c>
      <c r="F9085" s="6">
        <v>0</v>
      </c>
      <c r="G9085" s="6">
        <v>9</v>
      </c>
      <c r="H9085" s="6" t="s">
        <v>18490</v>
      </c>
      <c r="I9085" s="6">
        <v>527.625</v>
      </c>
      <c r="J9085" s="2">
        <f t="shared" si="141"/>
        <v>43748.143279050921</v>
      </c>
    </row>
    <row r="9086" spans="1:10" x14ac:dyDescent="0.25">
      <c r="A9086" s="7" t="s">
        <v>18491</v>
      </c>
      <c r="B9086" s="8">
        <v>403.125</v>
      </c>
      <c r="C9086" s="8">
        <v>20.478950000000001</v>
      </c>
      <c r="D9086" s="8">
        <v>88</v>
      </c>
      <c r="E9086" s="8">
        <v>0</v>
      </c>
      <c r="F9086" s="8">
        <v>0</v>
      </c>
      <c r="G9086" s="8">
        <v>13</v>
      </c>
      <c r="H9086" s="8" t="s">
        <v>18492</v>
      </c>
      <c r="I9086" s="8">
        <v>529.125</v>
      </c>
      <c r="J9086" s="3">
        <f t="shared" si="141"/>
        <v>43748.143350451392</v>
      </c>
    </row>
    <row r="9087" spans="1:10" x14ac:dyDescent="0.25">
      <c r="A9087" s="5" t="s">
        <v>18493</v>
      </c>
      <c r="B9087" s="6">
        <v>403.125</v>
      </c>
      <c r="C9087" s="6">
        <v>20.478950000000001</v>
      </c>
      <c r="D9087" s="6">
        <v>90</v>
      </c>
      <c r="E9087" s="6">
        <v>0</v>
      </c>
      <c r="F9087" s="6">
        <v>0</v>
      </c>
      <c r="G9087" s="6">
        <v>8</v>
      </c>
      <c r="H9087" s="6" t="s">
        <v>18494</v>
      </c>
      <c r="I9087" s="6">
        <v>529.125</v>
      </c>
      <c r="J9087" s="2">
        <f t="shared" si="141"/>
        <v>43748.143422673609</v>
      </c>
    </row>
    <row r="9088" spans="1:10" x14ac:dyDescent="0.25">
      <c r="A9088" s="7" t="s">
        <v>18495</v>
      </c>
      <c r="B9088" s="8">
        <v>400</v>
      </c>
      <c r="C9088" s="8">
        <v>20.478950000000001</v>
      </c>
      <c r="D9088" s="8">
        <v>90</v>
      </c>
      <c r="E9088" s="8">
        <v>0</v>
      </c>
      <c r="F9088" s="8">
        <v>0</v>
      </c>
      <c r="G9088" s="8">
        <v>10</v>
      </c>
      <c r="H9088" s="8" t="s">
        <v>18496</v>
      </c>
      <c r="I9088" s="8">
        <v>528.9375</v>
      </c>
      <c r="J9088" s="3">
        <f t="shared" si="141"/>
        <v>43748.143493958334</v>
      </c>
    </row>
    <row r="9089" spans="1:10" x14ac:dyDescent="0.25">
      <c r="A9089" s="5" t="s">
        <v>18497</v>
      </c>
      <c r="B9089" s="6">
        <v>421.875</v>
      </c>
      <c r="C9089" s="6">
        <v>20.478950000000001</v>
      </c>
      <c r="D9089" s="6">
        <v>89</v>
      </c>
      <c r="E9089" s="6">
        <v>0</v>
      </c>
      <c r="F9089" s="6">
        <v>0</v>
      </c>
      <c r="G9089" s="6">
        <v>11</v>
      </c>
      <c r="H9089" s="6" t="s">
        <v>18498</v>
      </c>
      <c r="I9089" s="6">
        <v>535.3125</v>
      </c>
      <c r="J9089" s="2">
        <f t="shared" si="141"/>
        <v>43748.143565266197</v>
      </c>
    </row>
    <row r="9090" spans="1:10" x14ac:dyDescent="0.25">
      <c r="A9090" s="7" t="s">
        <v>18499</v>
      </c>
      <c r="B9090" s="8">
        <v>400</v>
      </c>
      <c r="C9090" s="8">
        <v>20.478950000000001</v>
      </c>
      <c r="D9090" s="8">
        <v>89</v>
      </c>
      <c r="E9090" s="8">
        <v>0</v>
      </c>
      <c r="F9090" s="8">
        <v>0</v>
      </c>
      <c r="G9090" s="8">
        <v>11</v>
      </c>
      <c r="H9090" s="8" t="s">
        <v>18500</v>
      </c>
      <c r="I9090" s="8">
        <v>528.1875</v>
      </c>
      <c r="J9090" s="3">
        <f t="shared" ref="J9090:J9153" si="142">(H9090/86400000)+25569+(7/24)</f>
        <v>43748.143636608795</v>
      </c>
    </row>
    <row r="9091" spans="1:10" x14ac:dyDescent="0.25">
      <c r="A9091" s="5" t="s">
        <v>18501</v>
      </c>
      <c r="B9091" s="6">
        <v>400</v>
      </c>
      <c r="C9091" s="6">
        <v>20.426300000000001</v>
      </c>
      <c r="D9091" s="6">
        <v>89</v>
      </c>
      <c r="E9091" s="6">
        <v>0</v>
      </c>
      <c r="F9091" s="6">
        <v>0</v>
      </c>
      <c r="G9091" s="6">
        <v>7</v>
      </c>
      <c r="H9091" s="6" t="s">
        <v>18502</v>
      </c>
      <c r="I9091" s="6">
        <v>528.1875</v>
      </c>
      <c r="J9091" s="2">
        <f t="shared" si="142"/>
        <v>43748.143708703697</v>
      </c>
    </row>
    <row r="9092" spans="1:10" x14ac:dyDescent="0.25">
      <c r="A9092" s="7" t="s">
        <v>18503</v>
      </c>
      <c r="B9092" s="8">
        <v>400</v>
      </c>
      <c r="C9092" s="8">
        <v>20.478950000000001</v>
      </c>
      <c r="D9092" s="8">
        <v>88</v>
      </c>
      <c r="E9092" s="8">
        <v>0</v>
      </c>
      <c r="F9092" s="8">
        <v>0</v>
      </c>
      <c r="G9092" s="8">
        <v>5</v>
      </c>
      <c r="H9092" s="8" t="s">
        <v>18504</v>
      </c>
      <c r="I9092" s="8">
        <v>528.375</v>
      </c>
      <c r="J9092" s="3">
        <f t="shared" si="142"/>
        <v>43748.143780081016</v>
      </c>
    </row>
    <row r="9093" spans="1:10" x14ac:dyDescent="0.25">
      <c r="A9093" s="5" t="s">
        <v>18505</v>
      </c>
      <c r="B9093" s="6">
        <v>400</v>
      </c>
      <c r="C9093" s="6">
        <v>20.478950000000001</v>
      </c>
      <c r="D9093" s="6">
        <v>89</v>
      </c>
      <c r="E9093" s="6">
        <v>0</v>
      </c>
      <c r="F9093" s="6">
        <v>0</v>
      </c>
      <c r="G9093" s="6">
        <v>6</v>
      </c>
      <c r="H9093" s="6" t="s">
        <v>18506</v>
      </c>
      <c r="I9093" s="6">
        <v>528.1875</v>
      </c>
      <c r="J9093" s="2">
        <f t="shared" si="142"/>
        <v>43748.14385137731</v>
      </c>
    </row>
    <row r="9094" spans="1:10" x14ac:dyDescent="0.25">
      <c r="A9094" s="7" t="s">
        <v>18507</v>
      </c>
      <c r="B9094" s="8">
        <v>400</v>
      </c>
      <c r="C9094" s="8">
        <v>20.478950000000001</v>
      </c>
      <c r="D9094" s="8">
        <v>88</v>
      </c>
      <c r="E9094" s="8">
        <v>0</v>
      </c>
      <c r="F9094" s="8">
        <v>0</v>
      </c>
      <c r="G9094" s="8">
        <v>8</v>
      </c>
      <c r="H9094" s="8" t="s">
        <v>18508</v>
      </c>
      <c r="I9094" s="8">
        <v>528.1875</v>
      </c>
      <c r="J9094" s="3">
        <f t="shared" si="142"/>
        <v>43748.143923425923</v>
      </c>
    </row>
    <row r="9095" spans="1:10" x14ac:dyDescent="0.25">
      <c r="A9095" s="5" t="s">
        <v>18509</v>
      </c>
      <c r="B9095" s="6">
        <v>400</v>
      </c>
      <c r="C9095" s="6">
        <v>20.478950000000001</v>
      </c>
      <c r="D9095" s="6">
        <v>88</v>
      </c>
      <c r="E9095" s="6">
        <v>0</v>
      </c>
      <c r="F9095" s="6">
        <v>0</v>
      </c>
      <c r="G9095" s="6">
        <v>7</v>
      </c>
      <c r="H9095" s="6" t="s">
        <v>18510</v>
      </c>
      <c r="I9095" s="6">
        <v>528.375</v>
      </c>
      <c r="J9095" s="2">
        <f t="shared" si="142"/>
        <v>43748.143994849532</v>
      </c>
    </row>
    <row r="9096" spans="1:10" x14ac:dyDescent="0.25">
      <c r="A9096" s="7" t="s">
        <v>18511</v>
      </c>
      <c r="B9096" s="8">
        <v>400</v>
      </c>
      <c r="C9096" s="8">
        <v>20.478950000000001</v>
      </c>
      <c r="D9096" s="8">
        <v>87</v>
      </c>
      <c r="E9096" s="8">
        <v>0</v>
      </c>
      <c r="F9096" s="8">
        <v>0</v>
      </c>
      <c r="G9096" s="8">
        <v>12</v>
      </c>
      <c r="H9096" s="8" t="s">
        <v>18512</v>
      </c>
      <c r="I9096" s="8">
        <v>528.375</v>
      </c>
      <c r="J9096" s="3">
        <f t="shared" si="142"/>
        <v>43748.144066180554</v>
      </c>
    </row>
    <row r="9097" spans="1:10" x14ac:dyDescent="0.25">
      <c r="A9097" s="5" t="s">
        <v>18513</v>
      </c>
      <c r="B9097" s="6">
        <v>396.875</v>
      </c>
      <c r="C9097" s="6">
        <v>20.478950000000001</v>
      </c>
      <c r="D9097" s="6">
        <v>88</v>
      </c>
      <c r="E9097" s="6">
        <v>0</v>
      </c>
      <c r="F9097" s="6">
        <v>0</v>
      </c>
      <c r="G9097" s="6">
        <v>8</v>
      </c>
      <c r="H9097" s="6" t="s">
        <v>18514</v>
      </c>
      <c r="I9097" s="6">
        <v>527.4375</v>
      </c>
      <c r="J9097" s="2">
        <f t="shared" si="142"/>
        <v>43748.144137488423</v>
      </c>
    </row>
    <row r="9098" spans="1:10" x14ac:dyDescent="0.25">
      <c r="A9098" s="7" t="s">
        <v>18515</v>
      </c>
      <c r="B9098" s="8">
        <v>412.5</v>
      </c>
      <c r="C9098" s="8">
        <v>20.478950000000001</v>
      </c>
      <c r="D9098" s="8">
        <v>90</v>
      </c>
      <c r="E9098" s="8">
        <v>0</v>
      </c>
      <c r="F9098" s="8">
        <v>0</v>
      </c>
      <c r="G9098" s="8">
        <v>3</v>
      </c>
      <c r="H9098" s="8" t="s">
        <v>18516</v>
      </c>
      <c r="I9098" s="8">
        <v>532.875</v>
      </c>
      <c r="J9098" s="3">
        <f t="shared" si="142"/>
        <v>43748.144209699072</v>
      </c>
    </row>
    <row r="9099" spans="1:10" x14ac:dyDescent="0.25">
      <c r="A9099" s="5" t="s">
        <v>18517</v>
      </c>
      <c r="B9099" s="6">
        <v>400</v>
      </c>
      <c r="C9099" s="6">
        <v>20.478950000000001</v>
      </c>
      <c r="D9099" s="6">
        <v>90</v>
      </c>
      <c r="E9099" s="6">
        <v>0</v>
      </c>
      <c r="F9099" s="6">
        <v>0</v>
      </c>
      <c r="G9099" s="6">
        <v>11</v>
      </c>
      <c r="H9099" s="6" t="s">
        <v>18518</v>
      </c>
      <c r="I9099" s="6">
        <v>528.1875</v>
      </c>
      <c r="J9099" s="2">
        <f t="shared" si="142"/>
        <v>43748.144281006942</v>
      </c>
    </row>
    <row r="9100" spans="1:10" x14ac:dyDescent="0.25">
      <c r="A9100" s="7" t="s">
        <v>18519</v>
      </c>
      <c r="B9100" s="8">
        <v>400</v>
      </c>
      <c r="C9100" s="8">
        <v>20.426300000000001</v>
      </c>
      <c r="D9100" s="8">
        <v>92</v>
      </c>
      <c r="E9100" s="8">
        <v>0</v>
      </c>
      <c r="F9100" s="8">
        <v>0</v>
      </c>
      <c r="G9100" s="8">
        <v>11</v>
      </c>
      <c r="H9100" s="8" t="s">
        <v>18520</v>
      </c>
      <c r="I9100" s="8">
        <v>528.1875</v>
      </c>
      <c r="J9100" s="3">
        <f t="shared" si="142"/>
        <v>43748.14435229166</v>
      </c>
    </row>
    <row r="9101" spans="1:10" x14ac:dyDescent="0.25">
      <c r="A9101" s="5" t="s">
        <v>18521</v>
      </c>
      <c r="B9101" s="6">
        <v>400</v>
      </c>
      <c r="C9101" s="6">
        <v>20.426300000000001</v>
      </c>
      <c r="D9101" s="6">
        <v>91</v>
      </c>
      <c r="E9101" s="6">
        <v>0</v>
      </c>
      <c r="F9101" s="6">
        <v>0</v>
      </c>
      <c r="G9101" s="6">
        <v>7</v>
      </c>
      <c r="H9101" s="6" t="s">
        <v>18522</v>
      </c>
      <c r="I9101" s="6">
        <v>528.9375</v>
      </c>
      <c r="J9101" s="2">
        <f t="shared" si="142"/>
        <v>43748.14442365741</v>
      </c>
    </row>
    <row r="9102" spans="1:10" x14ac:dyDescent="0.25">
      <c r="A9102" s="7" t="s">
        <v>18523</v>
      </c>
      <c r="B9102" s="8">
        <v>428.125</v>
      </c>
      <c r="C9102" s="8">
        <v>20.478950000000001</v>
      </c>
      <c r="D9102" s="8">
        <v>91</v>
      </c>
      <c r="E9102" s="8">
        <v>0</v>
      </c>
      <c r="F9102" s="8">
        <v>0</v>
      </c>
      <c r="G9102" s="8">
        <v>10</v>
      </c>
      <c r="H9102" s="8" t="s">
        <v>18524</v>
      </c>
      <c r="I9102" s="8">
        <v>537.375</v>
      </c>
      <c r="J9102" s="3">
        <f t="shared" si="142"/>
        <v>43748.144495821754</v>
      </c>
    </row>
    <row r="9103" spans="1:10" x14ac:dyDescent="0.25">
      <c r="A9103" s="5" t="s">
        <v>18525</v>
      </c>
      <c r="B9103" s="6">
        <v>403.125</v>
      </c>
      <c r="C9103" s="6">
        <v>20.478950000000001</v>
      </c>
      <c r="D9103" s="6">
        <v>90</v>
      </c>
      <c r="E9103" s="6">
        <v>0</v>
      </c>
      <c r="F9103" s="6">
        <v>0</v>
      </c>
      <c r="G9103" s="6">
        <v>8</v>
      </c>
      <c r="H9103" s="6" t="s">
        <v>18526</v>
      </c>
      <c r="I9103" s="6">
        <v>529.875</v>
      </c>
      <c r="J9103" s="2">
        <f t="shared" si="142"/>
        <v>43748.144567060182</v>
      </c>
    </row>
    <row r="9104" spans="1:10" x14ac:dyDescent="0.25">
      <c r="A9104" s="7" t="s">
        <v>18527</v>
      </c>
      <c r="B9104" s="8">
        <v>403.125</v>
      </c>
      <c r="C9104" s="8">
        <v>20.478950000000001</v>
      </c>
      <c r="D9104" s="8">
        <v>89</v>
      </c>
      <c r="E9104" s="8">
        <v>0</v>
      </c>
      <c r="F9104" s="8">
        <v>0</v>
      </c>
      <c r="G9104" s="8">
        <v>7</v>
      </c>
      <c r="H9104" s="8" t="s">
        <v>18528</v>
      </c>
      <c r="I9104" s="8">
        <v>529.875</v>
      </c>
      <c r="J9104" s="3">
        <f t="shared" si="142"/>
        <v>43748.144638356483</v>
      </c>
    </row>
    <row r="9105" spans="1:10" x14ac:dyDescent="0.25">
      <c r="A9105" s="5" t="s">
        <v>18529</v>
      </c>
      <c r="B9105" s="6">
        <v>403.125</v>
      </c>
      <c r="C9105" s="6">
        <v>20.426300000000001</v>
      </c>
      <c r="D9105" s="6">
        <v>89</v>
      </c>
      <c r="E9105" s="6">
        <v>0</v>
      </c>
      <c r="F9105" s="6">
        <v>0</v>
      </c>
      <c r="G9105" s="6">
        <v>1</v>
      </c>
      <c r="H9105" s="6" t="s">
        <v>18530</v>
      </c>
      <c r="I9105" s="6">
        <v>529.875</v>
      </c>
      <c r="J9105" s="2">
        <f t="shared" si="142"/>
        <v>43748.144710462955</v>
      </c>
    </row>
    <row r="9106" spans="1:10" x14ac:dyDescent="0.25">
      <c r="A9106" s="7" t="s">
        <v>18531</v>
      </c>
      <c r="B9106" s="8">
        <v>406.25</v>
      </c>
      <c r="C9106" s="8">
        <v>20.426300000000001</v>
      </c>
      <c r="D9106" s="8">
        <v>89</v>
      </c>
      <c r="E9106" s="8">
        <v>0</v>
      </c>
      <c r="F9106" s="8">
        <v>0</v>
      </c>
      <c r="G9106" s="8">
        <v>5</v>
      </c>
      <c r="H9106" s="8" t="s">
        <v>18532</v>
      </c>
      <c r="I9106" s="8">
        <v>530.625</v>
      </c>
      <c r="J9106" s="3">
        <f t="shared" si="142"/>
        <v>43748.144793043983</v>
      </c>
    </row>
    <row r="9107" spans="1:10" x14ac:dyDescent="0.25">
      <c r="A9107" s="5" t="s">
        <v>18533</v>
      </c>
      <c r="B9107" s="6">
        <v>403.125</v>
      </c>
      <c r="C9107" s="6">
        <v>20.478950000000001</v>
      </c>
      <c r="D9107" s="6">
        <v>90</v>
      </c>
      <c r="E9107" s="6">
        <v>0</v>
      </c>
      <c r="F9107" s="6">
        <v>0</v>
      </c>
      <c r="G9107" s="6">
        <v>10</v>
      </c>
      <c r="H9107" s="6" t="s">
        <v>18534</v>
      </c>
      <c r="I9107" s="6">
        <v>529.6875</v>
      </c>
      <c r="J9107" s="2">
        <f t="shared" si="142"/>
        <v>43748.144865254631</v>
      </c>
    </row>
    <row r="9108" spans="1:10" x14ac:dyDescent="0.25">
      <c r="A9108" s="7" t="s">
        <v>18535</v>
      </c>
      <c r="B9108" s="8">
        <v>403.125</v>
      </c>
      <c r="C9108" s="8">
        <v>20.478950000000001</v>
      </c>
      <c r="D9108" s="8">
        <v>89</v>
      </c>
      <c r="E9108" s="8">
        <v>0</v>
      </c>
      <c r="F9108" s="8">
        <v>0</v>
      </c>
      <c r="G9108" s="8">
        <v>1</v>
      </c>
      <c r="H9108" s="8" t="s">
        <v>18536</v>
      </c>
      <c r="I9108" s="8">
        <v>529.875</v>
      </c>
      <c r="J9108" s="3">
        <f t="shared" si="142"/>
        <v>43748.144936493052</v>
      </c>
    </row>
    <row r="9109" spans="1:10" x14ac:dyDescent="0.25">
      <c r="A9109" s="5" t="s">
        <v>18537</v>
      </c>
      <c r="B9109" s="6">
        <v>406.25</v>
      </c>
      <c r="C9109" s="6">
        <v>20.478950000000001</v>
      </c>
      <c r="D9109" s="6">
        <v>90</v>
      </c>
      <c r="E9109" s="6">
        <v>0</v>
      </c>
      <c r="F9109" s="6">
        <v>0</v>
      </c>
      <c r="G9109" s="6">
        <v>7</v>
      </c>
      <c r="H9109" s="6" t="s">
        <v>18538</v>
      </c>
      <c r="I9109" s="6">
        <v>530.0625</v>
      </c>
      <c r="J9109" s="2">
        <f t="shared" si="142"/>
        <v>43748.145007962965</v>
      </c>
    </row>
    <row r="9110" spans="1:10" x14ac:dyDescent="0.25">
      <c r="A9110" s="7" t="s">
        <v>18539</v>
      </c>
      <c r="B9110" s="8">
        <v>421.875</v>
      </c>
      <c r="C9110" s="8">
        <v>20.478950000000001</v>
      </c>
      <c r="D9110" s="8">
        <v>89</v>
      </c>
      <c r="E9110" s="8">
        <v>0</v>
      </c>
      <c r="F9110" s="8">
        <v>0</v>
      </c>
      <c r="G9110" s="8">
        <v>2</v>
      </c>
      <c r="H9110" s="8" t="s">
        <v>18540</v>
      </c>
      <c r="I9110" s="8">
        <v>535.5</v>
      </c>
      <c r="J9110" s="3">
        <f t="shared" si="142"/>
        <v>43748.145080057868</v>
      </c>
    </row>
    <row r="9111" spans="1:10" x14ac:dyDescent="0.25">
      <c r="A9111" s="5" t="s">
        <v>18541</v>
      </c>
      <c r="B9111" s="6">
        <v>403.125</v>
      </c>
      <c r="C9111" s="6">
        <v>20.478950000000001</v>
      </c>
      <c r="D9111" s="6">
        <v>89</v>
      </c>
      <c r="E9111" s="6">
        <v>0</v>
      </c>
      <c r="F9111" s="6">
        <v>0</v>
      </c>
      <c r="G9111" s="6">
        <v>11</v>
      </c>
      <c r="H9111" s="6" t="s">
        <v>18542</v>
      </c>
      <c r="I9111" s="6">
        <v>529.125</v>
      </c>
      <c r="J9111" s="2">
        <f t="shared" si="142"/>
        <v>43748.145151365738</v>
      </c>
    </row>
    <row r="9112" spans="1:10" x14ac:dyDescent="0.25">
      <c r="A9112" s="7" t="s">
        <v>18543</v>
      </c>
      <c r="B9112" s="8">
        <v>403.125</v>
      </c>
      <c r="C9112" s="8">
        <v>20.478950000000001</v>
      </c>
      <c r="D9112" s="8">
        <v>89</v>
      </c>
      <c r="E9112" s="8">
        <v>0</v>
      </c>
      <c r="F9112" s="8">
        <v>0</v>
      </c>
      <c r="G9112" s="8">
        <v>5</v>
      </c>
      <c r="H9112" s="8" t="s">
        <v>18544</v>
      </c>
      <c r="I9112" s="8">
        <v>529.875</v>
      </c>
      <c r="J9112" s="3">
        <f t="shared" si="142"/>
        <v>43748.145234756943</v>
      </c>
    </row>
    <row r="9113" spans="1:10" x14ac:dyDescent="0.25">
      <c r="A9113" s="5" t="s">
        <v>18545</v>
      </c>
      <c r="B9113" s="6">
        <v>403.125</v>
      </c>
      <c r="C9113" s="6">
        <v>20.478950000000001</v>
      </c>
      <c r="D9113" s="6">
        <v>89</v>
      </c>
      <c r="E9113" s="6">
        <v>0</v>
      </c>
      <c r="F9113" s="6">
        <v>0</v>
      </c>
      <c r="G9113" s="6">
        <v>9</v>
      </c>
      <c r="H9113" s="6" t="s">
        <v>18546</v>
      </c>
      <c r="I9113" s="6">
        <v>529.125</v>
      </c>
      <c r="J9113" s="2">
        <f t="shared" si="142"/>
        <v>43748.145306041661</v>
      </c>
    </row>
    <row r="9114" spans="1:10" x14ac:dyDescent="0.25">
      <c r="A9114" s="7" t="s">
        <v>18547</v>
      </c>
      <c r="B9114" s="8">
        <v>403.125</v>
      </c>
      <c r="C9114" s="8">
        <v>20.478950000000001</v>
      </c>
      <c r="D9114" s="8">
        <v>88</v>
      </c>
      <c r="E9114" s="8">
        <v>0</v>
      </c>
      <c r="F9114" s="8">
        <v>0</v>
      </c>
      <c r="G9114" s="8">
        <v>9</v>
      </c>
      <c r="H9114" s="8" t="s">
        <v>18548</v>
      </c>
      <c r="I9114" s="8">
        <v>529.125</v>
      </c>
      <c r="J9114" s="3">
        <f t="shared" si="142"/>
        <v>43748.145378217589</v>
      </c>
    </row>
    <row r="9115" spans="1:10" x14ac:dyDescent="0.25">
      <c r="A9115" s="5" t="s">
        <v>18549</v>
      </c>
      <c r="B9115" s="6">
        <v>400</v>
      </c>
      <c r="C9115" s="6">
        <v>20.478950000000001</v>
      </c>
      <c r="D9115" s="6">
        <v>89</v>
      </c>
      <c r="E9115" s="6">
        <v>0</v>
      </c>
      <c r="F9115" s="6">
        <v>0</v>
      </c>
      <c r="G9115" s="6">
        <v>8</v>
      </c>
      <c r="H9115" s="6" t="s">
        <v>18550</v>
      </c>
      <c r="I9115" s="6">
        <v>528.1875</v>
      </c>
      <c r="J9115" s="2">
        <f t="shared" si="142"/>
        <v>43748.145449502314</v>
      </c>
    </row>
    <row r="9116" spans="1:10" x14ac:dyDescent="0.25">
      <c r="A9116" s="7" t="s">
        <v>18551</v>
      </c>
      <c r="B9116" s="8">
        <v>396.875</v>
      </c>
      <c r="C9116" s="8">
        <v>20.478950000000001</v>
      </c>
      <c r="D9116" s="8">
        <v>88</v>
      </c>
      <c r="E9116" s="8">
        <v>0</v>
      </c>
      <c r="F9116" s="8">
        <v>0</v>
      </c>
      <c r="G9116" s="8">
        <v>3</v>
      </c>
      <c r="H9116" s="8" t="s">
        <v>18552</v>
      </c>
      <c r="I9116" s="8">
        <v>527.4375</v>
      </c>
      <c r="J9116" s="3">
        <f t="shared" si="142"/>
        <v>43748.145520798607</v>
      </c>
    </row>
    <row r="9117" spans="1:10" x14ac:dyDescent="0.25">
      <c r="A9117" s="5" t="s">
        <v>18553</v>
      </c>
      <c r="B9117" s="6">
        <v>396.875</v>
      </c>
      <c r="C9117" s="6">
        <v>20.478950000000001</v>
      </c>
      <c r="D9117" s="6">
        <v>88</v>
      </c>
      <c r="E9117" s="6">
        <v>0</v>
      </c>
      <c r="F9117" s="6">
        <v>0</v>
      </c>
      <c r="G9117" s="6">
        <v>6</v>
      </c>
      <c r="H9117" s="6" t="s">
        <v>18554</v>
      </c>
      <c r="I9117" s="6">
        <v>527.4375</v>
      </c>
      <c r="J9117" s="2">
        <f t="shared" si="142"/>
        <v>43748.145592974535</v>
      </c>
    </row>
    <row r="9118" spans="1:10" x14ac:dyDescent="0.25">
      <c r="A9118" s="7" t="s">
        <v>18555</v>
      </c>
      <c r="B9118" s="8">
        <v>393.75</v>
      </c>
      <c r="C9118" s="8">
        <v>20.478950000000001</v>
      </c>
      <c r="D9118" s="8">
        <v>89</v>
      </c>
      <c r="E9118" s="8">
        <v>0</v>
      </c>
      <c r="F9118" s="8">
        <v>0</v>
      </c>
      <c r="G9118" s="8">
        <v>16</v>
      </c>
      <c r="H9118" s="8" t="s">
        <v>18556</v>
      </c>
      <c r="I9118" s="8">
        <v>526.5</v>
      </c>
      <c r="J9118" s="3">
        <f t="shared" si="142"/>
        <v>43748.145664340271</v>
      </c>
    </row>
    <row r="9119" spans="1:10" x14ac:dyDescent="0.25">
      <c r="A9119" s="5" t="s">
        <v>18557</v>
      </c>
      <c r="B9119" s="6">
        <v>393.75</v>
      </c>
      <c r="C9119" s="6">
        <v>20.478950000000001</v>
      </c>
      <c r="D9119" s="6">
        <v>89</v>
      </c>
      <c r="E9119" s="6">
        <v>0</v>
      </c>
      <c r="F9119" s="6">
        <v>0</v>
      </c>
      <c r="G9119" s="6">
        <v>7</v>
      </c>
      <c r="H9119" s="6" t="s">
        <v>18558</v>
      </c>
      <c r="I9119" s="6">
        <v>526.6875</v>
      </c>
      <c r="J9119" s="2">
        <f t="shared" si="142"/>
        <v>43748.145735624996</v>
      </c>
    </row>
    <row r="9120" spans="1:10" x14ac:dyDescent="0.25">
      <c r="A9120" s="7" t="s">
        <v>18559</v>
      </c>
      <c r="B9120" s="8">
        <v>396.875</v>
      </c>
      <c r="C9120" s="8">
        <v>20.478950000000001</v>
      </c>
      <c r="D9120" s="8">
        <v>89</v>
      </c>
      <c r="E9120" s="8">
        <v>0</v>
      </c>
      <c r="F9120" s="8">
        <v>0</v>
      </c>
      <c r="G9120" s="8">
        <v>17</v>
      </c>
      <c r="H9120" s="8" t="s">
        <v>18560</v>
      </c>
      <c r="I9120" s="8">
        <v>527.4375</v>
      </c>
      <c r="J9120" s="3">
        <f t="shared" si="142"/>
        <v>43748.145806851848</v>
      </c>
    </row>
    <row r="9121" spans="1:10" x14ac:dyDescent="0.25">
      <c r="A9121" s="5" t="s">
        <v>18561</v>
      </c>
      <c r="B9121" s="6">
        <v>396.875</v>
      </c>
      <c r="C9121" s="6">
        <v>20.478950000000001</v>
      </c>
      <c r="D9121" s="6">
        <v>88</v>
      </c>
      <c r="E9121" s="6">
        <v>0</v>
      </c>
      <c r="F9121" s="6">
        <v>0</v>
      </c>
      <c r="G9121" s="6">
        <v>5</v>
      </c>
      <c r="H9121" s="6" t="s">
        <v>18562</v>
      </c>
      <c r="I9121" s="6">
        <v>527.4375</v>
      </c>
      <c r="J9121" s="2">
        <f t="shared" si="142"/>
        <v>43748.145891006941</v>
      </c>
    </row>
    <row r="9122" spans="1:10" x14ac:dyDescent="0.25">
      <c r="A9122" s="7" t="s">
        <v>18563</v>
      </c>
      <c r="B9122" s="8">
        <v>396.875</v>
      </c>
      <c r="C9122" s="8">
        <v>20.478950000000001</v>
      </c>
      <c r="D9122" s="8">
        <v>88</v>
      </c>
      <c r="E9122" s="8">
        <v>0</v>
      </c>
      <c r="F9122" s="8">
        <v>0</v>
      </c>
      <c r="G9122" s="8">
        <v>2</v>
      </c>
      <c r="H9122" s="8" t="s">
        <v>18564</v>
      </c>
      <c r="I9122" s="8">
        <v>527.4375</v>
      </c>
      <c r="J9122" s="3">
        <f t="shared" si="142"/>
        <v>43748.145962488423</v>
      </c>
    </row>
    <row r="9123" spans="1:10" x14ac:dyDescent="0.25">
      <c r="A9123" s="5" t="s">
        <v>18565</v>
      </c>
      <c r="B9123" s="6">
        <v>396.875</v>
      </c>
      <c r="C9123" s="6">
        <v>20.478950000000001</v>
      </c>
      <c r="D9123" s="6">
        <v>86</v>
      </c>
      <c r="E9123" s="6">
        <v>0</v>
      </c>
      <c r="F9123" s="6">
        <v>0</v>
      </c>
      <c r="G9123" s="6">
        <v>6</v>
      </c>
      <c r="H9123" s="6" t="s">
        <v>18566</v>
      </c>
      <c r="I9123" s="6">
        <v>527.4375</v>
      </c>
      <c r="J9123" s="2">
        <f t="shared" si="142"/>
        <v>43748.146034108795</v>
      </c>
    </row>
    <row r="9124" spans="1:10" x14ac:dyDescent="0.25">
      <c r="A9124" s="7" t="s">
        <v>18567</v>
      </c>
      <c r="B9124" s="8">
        <v>396.875</v>
      </c>
      <c r="C9124" s="8">
        <v>20.478950000000001</v>
      </c>
      <c r="D9124" s="8">
        <v>86</v>
      </c>
      <c r="E9124" s="8">
        <v>0</v>
      </c>
      <c r="F9124" s="8">
        <v>0</v>
      </c>
      <c r="G9124" s="8">
        <v>3</v>
      </c>
      <c r="H9124" s="8" t="s">
        <v>18568</v>
      </c>
      <c r="I9124" s="8">
        <v>527.4375</v>
      </c>
      <c r="J9124" s="3">
        <f t="shared" si="142"/>
        <v>43748.146105081018</v>
      </c>
    </row>
    <row r="9125" spans="1:10" x14ac:dyDescent="0.25">
      <c r="A9125" s="5" t="s">
        <v>18569</v>
      </c>
      <c r="B9125" s="6">
        <v>396.875</v>
      </c>
      <c r="C9125" s="6">
        <v>20.426300000000001</v>
      </c>
      <c r="D9125" s="6">
        <v>86</v>
      </c>
      <c r="E9125" s="6">
        <v>0</v>
      </c>
      <c r="F9125" s="6">
        <v>0</v>
      </c>
      <c r="G9125" s="6">
        <v>7</v>
      </c>
      <c r="H9125" s="6" t="s">
        <v>18570</v>
      </c>
      <c r="I9125" s="6">
        <v>527.4375</v>
      </c>
      <c r="J9125" s="2">
        <f t="shared" si="142"/>
        <v>43748.146177291659</v>
      </c>
    </row>
    <row r="9126" spans="1:10" x14ac:dyDescent="0.25">
      <c r="A9126" s="7" t="s">
        <v>18571</v>
      </c>
      <c r="B9126" s="8">
        <v>396.875</v>
      </c>
      <c r="C9126" s="8">
        <v>20.478950000000001</v>
      </c>
      <c r="D9126" s="8">
        <v>85</v>
      </c>
      <c r="E9126" s="8">
        <v>0</v>
      </c>
      <c r="F9126" s="8">
        <v>0</v>
      </c>
      <c r="G9126" s="8">
        <v>9</v>
      </c>
      <c r="H9126" s="8" t="s">
        <v>18572</v>
      </c>
      <c r="I9126" s="8">
        <v>527.4375</v>
      </c>
      <c r="J9126" s="3">
        <f t="shared" si="142"/>
        <v>43748.146248576384</v>
      </c>
    </row>
    <row r="9127" spans="1:10" x14ac:dyDescent="0.25">
      <c r="A9127" s="5" t="s">
        <v>18573</v>
      </c>
      <c r="B9127" s="6">
        <v>400</v>
      </c>
      <c r="C9127" s="6">
        <v>20.478950000000001</v>
      </c>
      <c r="D9127" s="6">
        <v>85</v>
      </c>
      <c r="E9127" s="6">
        <v>0</v>
      </c>
      <c r="F9127" s="6">
        <v>0</v>
      </c>
      <c r="G9127" s="6">
        <v>8</v>
      </c>
      <c r="H9127" s="6" t="s">
        <v>18574</v>
      </c>
      <c r="I9127" s="6">
        <v>528.1875</v>
      </c>
      <c r="J9127" s="2">
        <f t="shared" si="142"/>
        <v>43748.146319872678</v>
      </c>
    </row>
    <row r="9128" spans="1:10" x14ac:dyDescent="0.25">
      <c r="A9128" s="7" t="s">
        <v>18575</v>
      </c>
      <c r="B9128" s="8">
        <v>400</v>
      </c>
      <c r="C9128" s="8">
        <v>20.478950000000001</v>
      </c>
      <c r="D9128" s="8">
        <v>85</v>
      </c>
      <c r="E9128" s="8">
        <v>0</v>
      </c>
      <c r="F9128" s="8">
        <v>0</v>
      </c>
      <c r="G9128" s="8">
        <v>5</v>
      </c>
      <c r="H9128" s="8" t="s">
        <v>18576</v>
      </c>
      <c r="I9128" s="8">
        <v>528.1875</v>
      </c>
      <c r="J9128" s="3">
        <f t="shared" si="142"/>
        <v>43748.146391122682</v>
      </c>
    </row>
    <row r="9129" spans="1:10" x14ac:dyDescent="0.25">
      <c r="A9129" s="5" t="s">
        <v>18577</v>
      </c>
      <c r="B9129" s="6">
        <v>400</v>
      </c>
      <c r="C9129" s="6">
        <v>20.478950000000001</v>
      </c>
      <c r="D9129" s="6">
        <v>85</v>
      </c>
      <c r="E9129" s="6">
        <v>0</v>
      </c>
      <c r="F9129" s="6">
        <v>0</v>
      </c>
      <c r="G9129" s="6">
        <v>3</v>
      </c>
      <c r="H9129" s="6" t="s">
        <v>18578</v>
      </c>
      <c r="I9129" s="6">
        <v>528.1875</v>
      </c>
      <c r="J9129" s="2">
        <f t="shared" si="142"/>
        <v>43748.146462476849</v>
      </c>
    </row>
    <row r="9130" spans="1:10" x14ac:dyDescent="0.25">
      <c r="A9130" s="7" t="s">
        <v>18579</v>
      </c>
      <c r="B9130" s="8">
        <v>396.875</v>
      </c>
      <c r="C9130" s="8">
        <v>20.478950000000001</v>
      </c>
      <c r="D9130" s="8">
        <v>85</v>
      </c>
      <c r="E9130" s="8">
        <v>0</v>
      </c>
      <c r="F9130" s="8">
        <v>0</v>
      </c>
      <c r="G9130" s="8">
        <v>7</v>
      </c>
      <c r="H9130" s="8" t="s">
        <v>18580</v>
      </c>
      <c r="I9130" s="8">
        <v>527.4375</v>
      </c>
      <c r="J9130" s="3">
        <f t="shared" si="142"/>
        <v>43748.146546736105</v>
      </c>
    </row>
    <row r="9131" spans="1:10" x14ac:dyDescent="0.25">
      <c r="A9131" s="5" t="s">
        <v>18581</v>
      </c>
      <c r="B9131" s="6">
        <v>396.875</v>
      </c>
      <c r="C9131" s="6">
        <v>20.478950000000001</v>
      </c>
      <c r="D9131" s="6">
        <v>83</v>
      </c>
      <c r="E9131" s="6">
        <v>0</v>
      </c>
      <c r="F9131" s="6">
        <v>0</v>
      </c>
      <c r="G9131" s="6">
        <v>0</v>
      </c>
      <c r="H9131" s="6" t="s">
        <v>18582</v>
      </c>
      <c r="I9131" s="6">
        <v>527.4375</v>
      </c>
      <c r="J9131" s="2">
        <f t="shared" si="142"/>
        <v>43748.146642094907</v>
      </c>
    </row>
    <row r="9132" spans="1:10" x14ac:dyDescent="0.25">
      <c r="A9132" s="7" t="s">
        <v>18583</v>
      </c>
      <c r="B9132" s="8">
        <v>393.75</v>
      </c>
      <c r="C9132" s="8">
        <v>20.478950000000001</v>
      </c>
      <c r="D9132" s="8">
        <v>83</v>
      </c>
      <c r="E9132" s="8">
        <v>0</v>
      </c>
      <c r="F9132" s="8">
        <v>0</v>
      </c>
      <c r="G9132" s="8">
        <v>2</v>
      </c>
      <c r="H9132" s="8" t="s">
        <v>18584</v>
      </c>
      <c r="I9132" s="8">
        <v>526.6875</v>
      </c>
      <c r="J9132" s="3">
        <f t="shared" si="142"/>
        <v>43748.146713391201</v>
      </c>
    </row>
    <row r="9133" spans="1:10" x14ac:dyDescent="0.25">
      <c r="A9133" s="5" t="s">
        <v>18585</v>
      </c>
      <c r="B9133" s="6">
        <v>393.75</v>
      </c>
      <c r="C9133" s="6">
        <v>20.478950000000001</v>
      </c>
      <c r="D9133" s="6">
        <v>83</v>
      </c>
      <c r="E9133" s="6">
        <v>0</v>
      </c>
      <c r="F9133" s="6">
        <v>0</v>
      </c>
      <c r="G9133" s="6">
        <v>11</v>
      </c>
      <c r="H9133" s="6" t="s">
        <v>18586</v>
      </c>
      <c r="I9133" s="6">
        <v>526.6875</v>
      </c>
      <c r="J9133" s="2">
        <f t="shared" si="142"/>
        <v>43748.146784699071</v>
      </c>
    </row>
    <row r="9134" spans="1:10" x14ac:dyDescent="0.25">
      <c r="A9134" s="7" t="s">
        <v>18587</v>
      </c>
      <c r="B9134" s="8">
        <v>393.75</v>
      </c>
      <c r="C9134" s="8">
        <v>20.478950000000001</v>
      </c>
      <c r="D9134" s="8">
        <v>84</v>
      </c>
      <c r="E9134" s="8">
        <v>0</v>
      </c>
      <c r="F9134" s="8">
        <v>0</v>
      </c>
      <c r="G9134" s="8">
        <v>5</v>
      </c>
      <c r="H9134" s="8" t="s">
        <v>18588</v>
      </c>
      <c r="I9134" s="8">
        <v>526.6875</v>
      </c>
      <c r="J9134" s="3">
        <f t="shared" si="142"/>
        <v>43748.14685690972</v>
      </c>
    </row>
    <row r="9135" spans="1:10" x14ac:dyDescent="0.25">
      <c r="A9135" s="5" t="s">
        <v>18589</v>
      </c>
      <c r="B9135" s="6">
        <v>393.75</v>
      </c>
      <c r="C9135" s="6">
        <v>20.478950000000001</v>
      </c>
      <c r="D9135" s="6">
        <v>84</v>
      </c>
      <c r="E9135" s="6">
        <v>0</v>
      </c>
      <c r="F9135" s="6">
        <v>0</v>
      </c>
      <c r="G9135" s="6">
        <v>2</v>
      </c>
      <c r="H9135" s="6" t="s">
        <v>18590</v>
      </c>
      <c r="I9135" s="6">
        <v>526.5</v>
      </c>
      <c r="J9135" s="2">
        <f t="shared" si="142"/>
        <v>43748.146928217589</v>
      </c>
    </row>
    <row r="9136" spans="1:10" x14ac:dyDescent="0.25">
      <c r="A9136" s="7" t="s">
        <v>18591</v>
      </c>
      <c r="B9136" s="8">
        <v>412.5</v>
      </c>
      <c r="C9136" s="8">
        <v>20.478950000000001</v>
      </c>
      <c r="D9136" s="8">
        <v>83</v>
      </c>
      <c r="E9136" s="8">
        <v>0</v>
      </c>
      <c r="F9136" s="8">
        <v>0</v>
      </c>
      <c r="G9136" s="8">
        <v>11</v>
      </c>
      <c r="H9136" s="8" t="s">
        <v>18592</v>
      </c>
      <c r="I9136" s="8">
        <v>532.125</v>
      </c>
      <c r="J9136" s="3">
        <f t="shared" si="142"/>
        <v>43748.146999513883</v>
      </c>
    </row>
    <row r="9137" spans="1:10" x14ac:dyDescent="0.25">
      <c r="A9137" s="5" t="s">
        <v>18593</v>
      </c>
      <c r="B9137" s="6">
        <v>393.75</v>
      </c>
      <c r="C9137" s="6">
        <v>20.478950000000001</v>
      </c>
      <c r="D9137" s="6">
        <v>83</v>
      </c>
      <c r="E9137" s="6">
        <v>0</v>
      </c>
      <c r="F9137" s="6">
        <v>0</v>
      </c>
      <c r="G9137" s="6">
        <v>11</v>
      </c>
      <c r="H9137" s="6" t="s">
        <v>18594</v>
      </c>
      <c r="I9137" s="6">
        <v>526.6875</v>
      </c>
      <c r="J9137" s="2">
        <f t="shared" si="142"/>
        <v>43748.14707086805</v>
      </c>
    </row>
    <row r="9138" spans="1:10" x14ac:dyDescent="0.25">
      <c r="A9138" s="7" t="s">
        <v>18595</v>
      </c>
      <c r="B9138" s="8">
        <v>393.75</v>
      </c>
      <c r="C9138" s="8">
        <v>20.426300000000001</v>
      </c>
      <c r="D9138" s="8">
        <v>82</v>
      </c>
      <c r="E9138" s="8">
        <v>0</v>
      </c>
      <c r="F9138" s="8">
        <v>0</v>
      </c>
      <c r="G9138" s="8">
        <v>0</v>
      </c>
      <c r="H9138" s="8" t="s">
        <v>18596</v>
      </c>
      <c r="I9138" s="8">
        <v>526.6875</v>
      </c>
      <c r="J9138" s="3">
        <f t="shared" si="142"/>
        <v>43748.147143043978</v>
      </c>
    </row>
    <row r="9139" spans="1:10" x14ac:dyDescent="0.25">
      <c r="A9139" s="5" t="s">
        <v>18597</v>
      </c>
      <c r="B9139" s="6">
        <v>396.875</v>
      </c>
      <c r="C9139" s="6">
        <v>20.478950000000001</v>
      </c>
      <c r="D9139" s="6">
        <v>81</v>
      </c>
      <c r="E9139" s="6">
        <v>0</v>
      </c>
      <c r="F9139" s="6">
        <v>0</v>
      </c>
      <c r="G9139" s="6">
        <v>0</v>
      </c>
      <c r="H9139" s="6" t="s">
        <v>18598</v>
      </c>
      <c r="I9139" s="6">
        <v>527.4375</v>
      </c>
      <c r="J9139" s="2">
        <f t="shared" si="142"/>
        <v>43748.147227465277</v>
      </c>
    </row>
    <row r="9140" spans="1:10" x14ac:dyDescent="0.25">
      <c r="A9140" s="7" t="s">
        <v>18599</v>
      </c>
      <c r="B9140" s="8">
        <v>396.875</v>
      </c>
      <c r="C9140" s="8">
        <v>20.478950000000001</v>
      </c>
      <c r="D9140" s="8">
        <v>82</v>
      </c>
      <c r="E9140" s="8">
        <v>0</v>
      </c>
      <c r="F9140" s="8">
        <v>0</v>
      </c>
      <c r="G9140" s="8">
        <v>6</v>
      </c>
      <c r="H9140" s="8" t="s">
        <v>18600</v>
      </c>
      <c r="I9140" s="8">
        <v>527.4375</v>
      </c>
      <c r="J9140" s="3">
        <f t="shared" si="142"/>
        <v>43748.147310451386</v>
      </c>
    </row>
    <row r="9141" spans="1:10" x14ac:dyDescent="0.25">
      <c r="A9141" s="5" t="s">
        <v>18601</v>
      </c>
      <c r="B9141" s="6">
        <v>400</v>
      </c>
      <c r="C9141" s="6">
        <v>20.426300000000001</v>
      </c>
      <c r="D9141" s="6">
        <v>82</v>
      </c>
      <c r="E9141" s="6">
        <v>0</v>
      </c>
      <c r="F9141" s="6">
        <v>0</v>
      </c>
      <c r="G9141" s="6">
        <v>7</v>
      </c>
      <c r="H9141" s="6" t="s">
        <v>18602</v>
      </c>
      <c r="I9141" s="6">
        <v>528.1875</v>
      </c>
      <c r="J9141" s="2">
        <f t="shared" si="142"/>
        <v>43748.147380995368</v>
      </c>
    </row>
    <row r="9142" spans="1:10" x14ac:dyDescent="0.25">
      <c r="A9142" s="7" t="s">
        <v>18603</v>
      </c>
      <c r="B9142" s="8">
        <v>400</v>
      </c>
      <c r="C9142" s="8">
        <v>20.478950000000001</v>
      </c>
      <c r="D9142" s="8">
        <v>83</v>
      </c>
      <c r="E9142" s="8">
        <v>0</v>
      </c>
      <c r="F9142" s="8">
        <v>0</v>
      </c>
      <c r="G9142" s="8">
        <v>9</v>
      </c>
      <c r="H9142" s="8" t="s">
        <v>18604</v>
      </c>
      <c r="I9142" s="8">
        <v>528.1875</v>
      </c>
      <c r="J9142" s="3">
        <f t="shared" si="142"/>
        <v>43748.147453182864</v>
      </c>
    </row>
    <row r="9143" spans="1:10" x14ac:dyDescent="0.25">
      <c r="A9143" s="5" t="s">
        <v>18605</v>
      </c>
      <c r="B9143" s="6">
        <v>415.625</v>
      </c>
      <c r="C9143" s="6">
        <v>20.426300000000001</v>
      </c>
      <c r="D9143" s="6">
        <v>83</v>
      </c>
      <c r="E9143" s="6">
        <v>0</v>
      </c>
      <c r="F9143" s="6">
        <v>0</v>
      </c>
      <c r="G9143" s="6">
        <v>7</v>
      </c>
      <c r="H9143" s="6" t="s">
        <v>18606</v>
      </c>
      <c r="I9143" s="6">
        <v>533.8125</v>
      </c>
      <c r="J9143" s="2">
        <f t="shared" si="142"/>
        <v>43748.147523981483</v>
      </c>
    </row>
    <row r="9144" spans="1:10" x14ac:dyDescent="0.25">
      <c r="A9144" s="7" t="s">
        <v>18607</v>
      </c>
      <c r="B9144" s="8">
        <v>400</v>
      </c>
      <c r="C9144" s="8">
        <v>20.426300000000001</v>
      </c>
      <c r="D9144" s="8">
        <v>83</v>
      </c>
      <c r="E9144" s="8">
        <v>0</v>
      </c>
      <c r="F9144" s="8">
        <v>0</v>
      </c>
      <c r="G9144" s="8">
        <v>8</v>
      </c>
      <c r="H9144" s="8" t="s">
        <v>18608</v>
      </c>
      <c r="I9144" s="8">
        <v>528.1875</v>
      </c>
      <c r="J9144" s="3">
        <f t="shared" si="142"/>
        <v>43748.147607777777</v>
      </c>
    </row>
    <row r="9145" spans="1:10" x14ac:dyDescent="0.25">
      <c r="A9145" s="5" t="s">
        <v>18609</v>
      </c>
      <c r="B9145" s="6">
        <v>400</v>
      </c>
      <c r="C9145" s="6">
        <v>20.426300000000001</v>
      </c>
      <c r="D9145" s="6">
        <v>86</v>
      </c>
      <c r="E9145" s="6">
        <v>0</v>
      </c>
      <c r="F9145" s="6">
        <v>0</v>
      </c>
      <c r="G9145" s="6">
        <v>12</v>
      </c>
      <c r="H9145" s="6" t="s">
        <v>18610</v>
      </c>
      <c r="I9145" s="6">
        <v>528.375</v>
      </c>
      <c r="J9145" s="2">
        <f t="shared" si="142"/>
        <v>43748.147679131944</v>
      </c>
    </row>
    <row r="9146" spans="1:10" x14ac:dyDescent="0.25">
      <c r="A9146" s="7" t="s">
        <v>18611</v>
      </c>
      <c r="B9146" s="8">
        <v>443.75</v>
      </c>
      <c r="C9146" s="8">
        <v>20.478950000000001</v>
      </c>
      <c r="D9146" s="8">
        <v>86</v>
      </c>
      <c r="E9146" s="8">
        <v>0</v>
      </c>
      <c r="F9146" s="8">
        <v>0</v>
      </c>
      <c r="G9146" s="8">
        <v>12</v>
      </c>
      <c r="H9146" s="8" t="s">
        <v>18612</v>
      </c>
      <c r="I9146" s="8">
        <v>542.625</v>
      </c>
      <c r="J9146" s="3">
        <f t="shared" si="142"/>
        <v>43748.147750428237</v>
      </c>
    </row>
    <row r="9147" spans="1:10" x14ac:dyDescent="0.25">
      <c r="A9147" s="5" t="s">
        <v>18613</v>
      </c>
      <c r="B9147" s="6">
        <v>400</v>
      </c>
      <c r="C9147" s="6">
        <v>20.478950000000001</v>
      </c>
      <c r="D9147" s="6">
        <v>86</v>
      </c>
      <c r="E9147" s="6">
        <v>0</v>
      </c>
      <c r="F9147" s="6">
        <v>0</v>
      </c>
      <c r="G9147" s="6">
        <v>2</v>
      </c>
      <c r="H9147" s="6" t="s">
        <v>18614</v>
      </c>
      <c r="I9147" s="6">
        <v>528.1875</v>
      </c>
      <c r="J9147" s="2">
        <f t="shared" si="142"/>
        <v>43748.147822650462</v>
      </c>
    </row>
    <row r="9148" spans="1:10" x14ac:dyDescent="0.25">
      <c r="A9148" s="7" t="s">
        <v>18615</v>
      </c>
      <c r="B9148" s="8">
        <v>400</v>
      </c>
      <c r="C9148" s="8">
        <v>20.478950000000001</v>
      </c>
      <c r="D9148" s="8">
        <v>86</v>
      </c>
      <c r="E9148" s="8">
        <v>0</v>
      </c>
      <c r="F9148" s="8">
        <v>0</v>
      </c>
      <c r="G9148" s="8">
        <v>10</v>
      </c>
      <c r="H9148" s="8" t="s">
        <v>18616</v>
      </c>
      <c r="I9148" s="8">
        <v>528.1875</v>
      </c>
      <c r="J9148" s="3">
        <f t="shared" si="142"/>
        <v>43748.147893900459</v>
      </c>
    </row>
    <row r="9149" spans="1:10" x14ac:dyDescent="0.25">
      <c r="A9149" s="5" t="s">
        <v>18617</v>
      </c>
      <c r="B9149" s="6">
        <v>396.875</v>
      </c>
      <c r="C9149" s="6">
        <v>20.478950000000001</v>
      </c>
      <c r="D9149" s="6">
        <v>86</v>
      </c>
      <c r="E9149" s="6">
        <v>0</v>
      </c>
      <c r="F9149" s="6">
        <v>0</v>
      </c>
      <c r="G9149" s="6">
        <v>3</v>
      </c>
      <c r="H9149" s="6" t="s">
        <v>18618</v>
      </c>
      <c r="I9149" s="6">
        <v>527.4375</v>
      </c>
      <c r="J9149" s="2">
        <f t="shared" si="142"/>
        <v>43748.147965254626</v>
      </c>
    </row>
    <row r="9150" spans="1:10" x14ac:dyDescent="0.25">
      <c r="A9150" s="7" t="s">
        <v>18619</v>
      </c>
      <c r="B9150" s="8">
        <v>396.875</v>
      </c>
      <c r="C9150" s="8">
        <v>20.478950000000001</v>
      </c>
      <c r="D9150" s="8">
        <v>85</v>
      </c>
      <c r="E9150" s="8">
        <v>0</v>
      </c>
      <c r="F9150" s="8">
        <v>0</v>
      </c>
      <c r="G9150" s="8">
        <v>3</v>
      </c>
      <c r="H9150" s="8" t="s">
        <v>18620</v>
      </c>
      <c r="I9150" s="8">
        <v>527.4375</v>
      </c>
      <c r="J9150" s="3">
        <f t="shared" si="142"/>
        <v>43748.148037465275</v>
      </c>
    </row>
    <row r="9151" spans="1:10" x14ac:dyDescent="0.25">
      <c r="A9151" s="5" t="s">
        <v>18621</v>
      </c>
      <c r="B9151" s="6">
        <v>396.875</v>
      </c>
      <c r="C9151" s="6">
        <v>20.478950000000001</v>
      </c>
      <c r="D9151" s="6">
        <v>85</v>
      </c>
      <c r="E9151" s="6">
        <v>0</v>
      </c>
      <c r="F9151" s="6">
        <v>0</v>
      </c>
      <c r="G9151" s="6">
        <v>9</v>
      </c>
      <c r="H9151" s="6" t="s">
        <v>18622</v>
      </c>
      <c r="I9151" s="6">
        <v>527.4375</v>
      </c>
      <c r="J9151" s="2">
        <f t="shared" si="142"/>
        <v>43748.148108761576</v>
      </c>
    </row>
    <row r="9152" spans="1:10" x14ac:dyDescent="0.25">
      <c r="A9152" s="7" t="s">
        <v>18623</v>
      </c>
      <c r="B9152" s="8">
        <v>396.875</v>
      </c>
      <c r="C9152" s="8">
        <v>20.426300000000001</v>
      </c>
      <c r="D9152" s="8">
        <v>85</v>
      </c>
      <c r="E9152" s="8">
        <v>0</v>
      </c>
      <c r="F9152" s="8">
        <v>0</v>
      </c>
      <c r="G9152" s="8">
        <v>6</v>
      </c>
      <c r="H9152" s="8" t="s">
        <v>18624</v>
      </c>
      <c r="I9152" s="8">
        <v>527.4375</v>
      </c>
      <c r="J9152" s="3">
        <f t="shared" si="142"/>
        <v>43748.148180069438</v>
      </c>
    </row>
    <row r="9153" spans="1:10" x14ac:dyDescent="0.25">
      <c r="A9153" s="5" t="s">
        <v>18625</v>
      </c>
      <c r="B9153" s="6">
        <v>396.875</v>
      </c>
      <c r="C9153" s="6">
        <v>20.478950000000001</v>
      </c>
      <c r="D9153" s="6">
        <v>86</v>
      </c>
      <c r="E9153" s="6">
        <v>0</v>
      </c>
      <c r="F9153" s="6">
        <v>0</v>
      </c>
      <c r="G9153" s="6">
        <v>8</v>
      </c>
      <c r="H9153" s="6" t="s">
        <v>18626</v>
      </c>
      <c r="I9153" s="6">
        <v>527.4375</v>
      </c>
      <c r="J9153" s="2">
        <f t="shared" si="142"/>
        <v>43748.148263402771</v>
      </c>
    </row>
    <row r="9154" spans="1:10" x14ac:dyDescent="0.25">
      <c r="A9154" s="7" t="s">
        <v>18627</v>
      </c>
      <c r="B9154" s="8">
        <v>418.75</v>
      </c>
      <c r="C9154" s="8">
        <v>20.426300000000001</v>
      </c>
      <c r="D9154" s="8">
        <v>87</v>
      </c>
      <c r="E9154" s="8">
        <v>0</v>
      </c>
      <c r="F9154" s="8">
        <v>0</v>
      </c>
      <c r="G9154" s="8">
        <v>3</v>
      </c>
      <c r="H9154" s="8" t="s">
        <v>18628</v>
      </c>
      <c r="I9154" s="8">
        <v>534</v>
      </c>
      <c r="J9154" s="3">
        <f t="shared" ref="J9154:J9217" si="143">(H9154/86400000)+25569+(7/24)</f>
        <v>43748.148335625003</v>
      </c>
    </row>
    <row r="9155" spans="1:10" x14ac:dyDescent="0.25">
      <c r="A9155" s="5" t="s">
        <v>18629</v>
      </c>
      <c r="B9155" s="6">
        <v>396.875</v>
      </c>
      <c r="C9155" s="6">
        <v>20.478950000000001</v>
      </c>
      <c r="D9155" s="6">
        <v>87</v>
      </c>
      <c r="E9155" s="6">
        <v>0</v>
      </c>
      <c r="F9155" s="6">
        <v>0</v>
      </c>
      <c r="G9155" s="6">
        <v>4</v>
      </c>
      <c r="H9155" s="6" t="s">
        <v>18630</v>
      </c>
      <c r="I9155" s="6">
        <v>527.4375</v>
      </c>
      <c r="J9155" s="2">
        <f t="shared" si="143"/>
        <v>43748.148406481479</v>
      </c>
    </row>
    <row r="9156" spans="1:10" x14ac:dyDescent="0.25">
      <c r="A9156" s="7" t="s">
        <v>18631</v>
      </c>
      <c r="B9156" s="8">
        <v>396.875</v>
      </c>
      <c r="C9156" s="8">
        <v>20.426300000000001</v>
      </c>
      <c r="D9156" s="8">
        <v>86</v>
      </c>
      <c r="E9156" s="8">
        <v>0</v>
      </c>
      <c r="F9156" s="8">
        <v>0</v>
      </c>
      <c r="G9156" s="8">
        <v>3</v>
      </c>
      <c r="H9156" s="8" t="s">
        <v>18632</v>
      </c>
      <c r="I9156" s="8">
        <v>527.4375</v>
      </c>
      <c r="J9156" s="3">
        <f t="shared" si="143"/>
        <v>43748.148490185187</v>
      </c>
    </row>
    <row r="9157" spans="1:10" x14ac:dyDescent="0.25">
      <c r="A9157" s="5" t="s">
        <v>18633</v>
      </c>
      <c r="B9157" s="6">
        <v>396.875</v>
      </c>
      <c r="C9157" s="6">
        <v>20.478950000000001</v>
      </c>
      <c r="D9157" s="6">
        <v>86</v>
      </c>
      <c r="E9157" s="6">
        <v>0</v>
      </c>
      <c r="F9157" s="6">
        <v>0</v>
      </c>
      <c r="G9157" s="6">
        <v>5</v>
      </c>
      <c r="H9157" s="6" t="s">
        <v>18634</v>
      </c>
      <c r="I9157" s="6">
        <v>527.4375</v>
      </c>
      <c r="J9157" s="2">
        <f t="shared" si="143"/>
        <v>43748.148561550923</v>
      </c>
    </row>
    <row r="9158" spans="1:10" x14ac:dyDescent="0.25">
      <c r="A9158" s="7" t="s">
        <v>18635</v>
      </c>
      <c r="B9158" s="8">
        <v>396.875</v>
      </c>
      <c r="C9158" s="8">
        <v>20.478950000000001</v>
      </c>
      <c r="D9158" s="8">
        <v>85</v>
      </c>
      <c r="E9158" s="8">
        <v>0</v>
      </c>
      <c r="F9158" s="8">
        <v>0</v>
      </c>
      <c r="G9158" s="8">
        <v>0</v>
      </c>
      <c r="H9158" s="8" t="s">
        <v>18636</v>
      </c>
      <c r="I9158" s="8">
        <v>527.625</v>
      </c>
      <c r="J9158" s="3">
        <f t="shared" si="143"/>
        <v>43748.148633761572</v>
      </c>
    </row>
    <row r="9159" spans="1:10" x14ac:dyDescent="0.25">
      <c r="A9159" s="5" t="s">
        <v>18637</v>
      </c>
      <c r="B9159" s="6">
        <v>396.875</v>
      </c>
      <c r="C9159" s="6">
        <v>20.478950000000001</v>
      </c>
      <c r="D9159" s="6">
        <v>83</v>
      </c>
      <c r="E9159" s="6">
        <v>0</v>
      </c>
      <c r="F9159" s="6">
        <v>0</v>
      </c>
      <c r="G9159" s="6">
        <v>0</v>
      </c>
      <c r="H9159" s="6" t="s">
        <v>18638</v>
      </c>
      <c r="I9159" s="6">
        <v>527.4375</v>
      </c>
      <c r="J9159" s="2">
        <f t="shared" si="143"/>
        <v>43748.148705081017</v>
      </c>
    </row>
    <row r="9160" spans="1:10" x14ac:dyDescent="0.25">
      <c r="A9160" s="7" t="s">
        <v>18639</v>
      </c>
      <c r="B9160" s="8">
        <v>396.875</v>
      </c>
      <c r="C9160" s="8">
        <v>20.478950000000001</v>
      </c>
      <c r="D9160" s="8">
        <v>84</v>
      </c>
      <c r="E9160" s="8">
        <v>0</v>
      </c>
      <c r="F9160" s="8">
        <v>0</v>
      </c>
      <c r="G9160" s="8">
        <v>3</v>
      </c>
      <c r="H9160" s="8" t="s">
        <v>18640</v>
      </c>
      <c r="I9160" s="8">
        <v>527.4375</v>
      </c>
      <c r="J9160" s="3">
        <f t="shared" si="143"/>
        <v>43748.148776365742</v>
      </c>
    </row>
    <row r="9161" spans="1:10" x14ac:dyDescent="0.25">
      <c r="A9161" s="5" t="s">
        <v>18641</v>
      </c>
      <c r="B9161" s="6">
        <v>415.625</v>
      </c>
      <c r="C9161" s="6">
        <v>20.478950000000001</v>
      </c>
      <c r="D9161" s="6">
        <v>86</v>
      </c>
      <c r="E9161" s="6">
        <v>0</v>
      </c>
      <c r="F9161" s="6">
        <v>0</v>
      </c>
      <c r="G9161" s="6">
        <v>5</v>
      </c>
      <c r="H9161" s="6" t="s">
        <v>18642</v>
      </c>
      <c r="I9161" s="6">
        <v>533.0625</v>
      </c>
      <c r="J9161" s="2">
        <f t="shared" si="143"/>
        <v>43748.148871863428</v>
      </c>
    </row>
    <row r="9162" spans="1:10" x14ac:dyDescent="0.25">
      <c r="A9162" s="7" t="s">
        <v>18643</v>
      </c>
      <c r="B9162" s="8">
        <v>396.875</v>
      </c>
      <c r="C9162" s="8">
        <v>20.478950000000001</v>
      </c>
      <c r="D9162" s="8">
        <v>87</v>
      </c>
      <c r="E9162" s="8">
        <v>0</v>
      </c>
      <c r="F9162" s="8">
        <v>0</v>
      </c>
      <c r="G9162" s="8">
        <v>6</v>
      </c>
      <c r="H9162" s="8" t="s">
        <v>18644</v>
      </c>
      <c r="I9162" s="8">
        <v>527.4375</v>
      </c>
      <c r="J9162" s="3">
        <f t="shared" si="143"/>
        <v>43748.14894309028</v>
      </c>
    </row>
    <row r="9163" spans="1:10" x14ac:dyDescent="0.25">
      <c r="A9163" s="5" t="s">
        <v>18645</v>
      </c>
      <c r="B9163" s="6">
        <v>396.875</v>
      </c>
      <c r="C9163" s="6">
        <v>20.478950000000001</v>
      </c>
      <c r="D9163" s="6">
        <v>83</v>
      </c>
      <c r="E9163" s="6">
        <v>0</v>
      </c>
      <c r="F9163" s="6">
        <v>0</v>
      </c>
      <c r="G9163" s="6">
        <v>5</v>
      </c>
      <c r="H9163" s="6" t="s">
        <v>18646</v>
      </c>
      <c r="I9163" s="6">
        <v>527.4375</v>
      </c>
      <c r="J9163" s="2">
        <f t="shared" si="143"/>
        <v>43748.149015243056</v>
      </c>
    </row>
    <row r="9164" spans="1:10" x14ac:dyDescent="0.25">
      <c r="A9164" s="7" t="s">
        <v>18647</v>
      </c>
      <c r="B9164" s="8">
        <v>396.875</v>
      </c>
      <c r="C9164" s="8">
        <v>20.478950000000001</v>
      </c>
      <c r="D9164" s="8">
        <v>86</v>
      </c>
      <c r="E9164" s="8">
        <v>0</v>
      </c>
      <c r="F9164" s="8">
        <v>0</v>
      </c>
      <c r="G9164" s="8">
        <v>3</v>
      </c>
      <c r="H9164" s="8" t="s">
        <v>18648</v>
      </c>
      <c r="I9164" s="8">
        <v>527.4375</v>
      </c>
      <c r="J9164" s="3">
        <f t="shared" si="143"/>
        <v>43748.149086562502</v>
      </c>
    </row>
    <row r="9165" spans="1:10" x14ac:dyDescent="0.25">
      <c r="A9165" s="5" t="s">
        <v>18649</v>
      </c>
      <c r="B9165" s="6">
        <v>396.875</v>
      </c>
      <c r="C9165" s="6">
        <v>20.426300000000001</v>
      </c>
      <c r="D9165" s="6">
        <v>86</v>
      </c>
      <c r="E9165" s="6">
        <v>0</v>
      </c>
      <c r="F9165" s="6">
        <v>0</v>
      </c>
      <c r="G9165" s="6">
        <v>9</v>
      </c>
      <c r="H9165" s="6" t="s">
        <v>18650</v>
      </c>
      <c r="I9165" s="6">
        <v>527.4375</v>
      </c>
      <c r="J9165" s="2">
        <f t="shared" si="143"/>
        <v>43748.149158622684</v>
      </c>
    </row>
    <row r="9166" spans="1:10" x14ac:dyDescent="0.25">
      <c r="A9166" s="7" t="s">
        <v>18651</v>
      </c>
      <c r="B9166" s="8">
        <v>396.875</v>
      </c>
      <c r="C9166" s="8">
        <v>20.426300000000001</v>
      </c>
      <c r="D9166" s="8">
        <v>86</v>
      </c>
      <c r="E9166" s="8">
        <v>0</v>
      </c>
      <c r="F9166" s="8">
        <v>0</v>
      </c>
      <c r="G9166" s="8">
        <v>10</v>
      </c>
      <c r="H9166" s="8" t="s">
        <v>18652</v>
      </c>
      <c r="I9166" s="8">
        <v>527.4375</v>
      </c>
      <c r="J9166" s="3">
        <f t="shared" si="143"/>
        <v>43748.149229131937</v>
      </c>
    </row>
    <row r="9167" spans="1:10" x14ac:dyDescent="0.25">
      <c r="A9167" s="5" t="s">
        <v>18653</v>
      </c>
      <c r="B9167" s="6">
        <v>400</v>
      </c>
      <c r="C9167" s="6">
        <v>20.426300000000001</v>
      </c>
      <c r="D9167" s="6">
        <v>88</v>
      </c>
      <c r="E9167" s="6">
        <v>0</v>
      </c>
      <c r="F9167" s="6">
        <v>0</v>
      </c>
      <c r="G9167" s="6">
        <v>5</v>
      </c>
      <c r="H9167" s="6" t="s">
        <v>18654</v>
      </c>
      <c r="I9167" s="6">
        <v>528.1875</v>
      </c>
      <c r="J9167" s="2">
        <f t="shared" si="143"/>
        <v>43748.149300844903</v>
      </c>
    </row>
    <row r="9168" spans="1:10" x14ac:dyDescent="0.25">
      <c r="A9168" s="7" t="s">
        <v>18655</v>
      </c>
      <c r="B9168" s="8">
        <v>400</v>
      </c>
      <c r="C9168" s="8">
        <v>20.478950000000001</v>
      </c>
      <c r="D9168" s="8">
        <v>88</v>
      </c>
      <c r="E9168" s="8">
        <v>0</v>
      </c>
      <c r="F9168" s="8">
        <v>0</v>
      </c>
      <c r="G9168" s="8">
        <v>9</v>
      </c>
      <c r="H9168" s="8" t="s">
        <v>18656</v>
      </c>
      <c r="I9168" s="8">
        <v>528.1875</v>
      </c>
      <c r="J9168" s="3">
        <f t="shared" si="143"/>
        <v>43748.149372662032</v>
      </c>
    </row>
    <row r="9169" spans="1:10" x14ac:dyDescent="0.25">
      <c r="A9169" s="5" t="s">
        <v>18657</v>
      </c>
      <c r="B9169" s="6">
        <v>415.625</v>
      </c>
      <c r="C9169" s="6">
        <v>20.478950000000001</v>
      </c>
      <c r="D9169" s="6">
        <v>88</v>
      </c>
      <c r="E9169" s="6">
        <v>0</v>
      </c>
      <c r="F9169" s="6">
        <v>0</v>
      </c>
      <c r="G9169" s="6">
        <v>6</v>
      </c>
      <c r="H9169" s="6" t="s">
        <v>18658</v>
      </c>
      <c r="I9169" s="6">
        <v>533.8125</v>
      </c>
      <c r="J9169" s="2">
        <f t="shared" si="143"/>
        <v>43748.149443958326</v>
      </c>
    </row>
    <row r="9170" spans="1:10" x14ac:dyDescent="0.25">
      <c r="A9170" s="7" t="s">
        <v>18659</v>
      </c>
      <c r="B9170" s="8">
        <v>400</v>
      </c>
      <c r="C9170" s="8">
        <v>20.478950000000001</v>
      </c>
      <c r="D9170" s="8">
        <v>88</v>
      </c>
      <c r="E9170" s="8">
        <v>0</v>
      </c>
      <c r="F9170" s="8">
        <v>0</v>
      </c>
      <c r="G9170" s="8">
        <v>2</v>
      </c>
      <c r="H9170" s="8" t="s">
        <v>18660</v>
      </c>
      <c r="I9170" s="8">
        <v>528.1875</v>
      </c>
      <c r="J9170" s="3">
        <f t="shared" si="143"/>
        <v>43748.149516122685</v>
      </c>
    </row>
    <row r="9171" spans="1:10" x14ac:dyDescent="0.25">
      <c r="A9171" s="5" t="s">
        <v>18661</v>
      </c>
      <c r="B9171" s="6">
        <v>400</v>
      </c>
      <c r="C9171" s="6">
        <v>20.478950000000001</v>
      </c>
      <c r="D9171" s="6">
        <v>87</v>
      </c>
      <c r="E9171" s="6">
        <v>0</v>
      </c>
      <c r="F9171" s="6">
        <v>0</v>
      </c>
      <c r="G9171" s="6">
        <v>5</v>
      </c>
      <c r="H9171" s="6" t="s">
        <v>18662</v>
      </c>
      <c r="I9171" s="6">
        <v>528.375</v>
      </c>
      <c r="J9171" s="2">
        <f t="shared" si="143"/>
        <v>43748.149587465276</v>
      </c>
    </row>
    <row r="9172" spans="1:10" x14ac:dyDescent="0.25">
      <c r="A9172" s="7" t="s">
        <v>18663</v>
      </c>
      <c r="B9172" s="8">
        <v>400</v>
      </c>
      <c r="C9172" s="8">
        <v>20.478950000000001</v>
      </c>
      <c r="D9172" s="8">
        <v>87</v>
      </c>
      <c r="E9172" s="8">
        <v>0</v>
      </c>
      <c r="F9172" s="8">
        <v>0</v>
      </c>
      <c r="G9172" s="8">
        <v>20</v>
      </c>
      <c r="H9172" s="8" t="s">
        <v>18664</v>
      </c>
      <c r="I9172" s="8">
        <v>528.375</v>
      </c>
      <c r="J9172" s="3">
        <f t="shared" si="143"/>
        <v>43748.149670798608</v>
      </c>
    </row>
    <row r="9173" spans="1:10" x14ac:dyDescent="0.25">
      <c r="A9173" s="5" t="s">
        <v>18665</v>
      </c>
      <c r="B9173" s="6">
        <v>400</v>
      </c>
      <c r="C9173" s="6">
        <v>20.478950000000001</v>
      </c>
      <c r="D9173" s="6">
        <v>87</v>
      </c>
      <c r="E9173" s="6">
        <v>0</v>
      </c>
      <c r="F9173" s="6">
        <v>0</v>
      </c>
      <c r="G9173" s="6">
        <v>7</v>
      </c>
      <c r="H9173" s="6" t="s">
        <v>18666</v>
      </c>
      <c r="I9173" s="6">
        <v>528.1875</v>
      </c>
      <c r="J9173" s="2">
        <f t="shared" si="143"/>
        <v>43748.1497662037</v>
      </c>
    </row>
    <row r="9174" spans="1:10" x14ac:dyDescent="0.25">
      <c r="A9174" s="7" t="s">
        <v>18667</v>
      </c>
      <c r="B9174" s="8">
        <v>400</v>
      </c>
      <c r="C9174" s="8">
        <v>20.478950000000001</v>
      </c>
      <c r="D9174" s="8">
        <v>87</v>
      </c>
      <c r="E9174" s="8">
        <v>0</v>
      </c>
      <c r="F9174" s="8">
        <v>0</v>
      </c>
      <c r="G9174" s="8">
        <v>6</v>
      </c>
      <c r="H9174" s="8" t="s">
        <v>18668</v>
      </c>
      <c r="I9174" s="8">
        <v>528.1875</v>
      </c>
      <c r="J9174" s="3">
        <f t="shared" si="143"/>
        <v>43748.149837534722</v>
      </c>
    </row>
    <row r="9175" spans="1:10" x14ac:dyDescent="0.25">
      <c r="A9175" s="5" t="s">
        <v>18669</v>
      </c>
      <c r="B9175" s="6">
        <v>418.75</v>
      </c>
      <c r="C9175" s="6">
        <v>20.426300000000001</v>
      </c>
      <c r="D9175" s="6">
        <v>86</v>
      </c>
      <c r="E9175" s="6">
        <v>0</v>
      </c>
      <c r="F9175" s="6">
        <v>0</v>
      </c>
      <c r="G9175" s="6">
        <v>11</v>
      </c>
      <c r="H9175" s="6" t="s">
        <v>18670</v>
      </c>
      <c r="I9175" s="6">
        <v>534</v>
      </c>
      <c r="J9175" s="2">
        <f t="shared" si="143"/>
        <v>43748.149909699066</v>
      </c>
    </row>
    <row r="9176" spans="1:10" x14ac:dyDescent="0.25">
      <c r="A9176" s="7" t="s">
        <v>18671</v>
      </c>
      <c r="B9176" s="8">
        <v>400</v>
      </c>
      <c r="C9176" s="8">
        <v>20.478950000000001</v>
      </c>
      <c r="D9176" s="8">
        <v>88</v>
      </c>
      <c r="E9176" s="8">
        <v>0</v>
      </c>
      <c r="F9176" s="8">
        <v>0</v>
      </c>
      <c r="G9176" s="8">
        <v>7</v>
      </c>
      <c r="H9176" s="8" t="s">
        <v>18672</v>
      </c>
      <c r="I9176" s="8">
        <v>528.1875</v>
      </c>
      <c r="J9176" s="3">
        <f t="shared" si="143"/>
        <v>43748.149981006944</v>
      </c>
    </row>
    <row r="9177" spans="1:10" x14ac:dyDescent="0.25">
      <c r="A9177" s="5" t="s">
        <v>18673</v>
      </c>
      <c r="B9177" s="6">
        <v>400</v>
      </c>
      <c r="C9177" s="6">
        <v>20.426300000000001</v>
      </c>
      <c r="D9177" s="6">
        <v>88</v>
      </c>
      <c r="E9177" s="6">
        <v>0</v>
      </c>
      <c r="F9177" s="6">
        <v>0</v>
      </c>
      <c r="G9177" s="6">
        <v>5</v>
      </c>
      <c r="H9177" s="6" t="s">
        <v>18674</v>
      </c>
      <c r="I9177" s="6">
        <v>528.375</v>
      </c>
      <c r="J9177" s="2">
        <f t="shared" si="143"/>
        <v>43748.150052245364</v>
      </c>
    </row>
    <row r="9178" spans="1:10" x14ac:dyDescent="0.25">
      <c r="A9178" s="7" t="s">
        <v>18675</v>
      </c>
      <c r="B9178" s="8">
        <v>400</v>
      </c>
      <c r="C9178" s="8">
        <v>20.478950000000001</v>
      </c>
      <c r="D9178" s="8">
        <v>87</v>
      </c>
      <c r="E9178" s="8">
        <v>0</v>
      </c>
      <c r="F9178" s="8">
        <v>0</v>
      </c>
      <c r="G9178" s="8">
        <v>6</v>
      </c>
      <c r="H9178" s="8" t="s">
        <v>18676</v>
      </c>
      <c r="I9178" s="8">
        <v>528.1875</v>
      </c>
      <c r="J9178" s="3">
        <f t="shared" si="143"/>
        <v>43748.150126863424</v>
      </c>
    </row>
    <row r="9179" spans="1:10" x14ac:dyDescent="0.25">
      <c r="A9179" s="5" t="s">
        <v>18677</v>
      </c>
      <c r="B9179" s="6">
        <v>418.75</v>
      </c>
      <c r="C9179" s="6">
        <v>20.478950000000001</v>
      </c>
      <c r="D9179" s="6">
        <v>87</v>
      </c>
      <c r="E9179" s="6">
        <v>0</v>
      </c>
      <c r="F9179" s="6">
        <v>0</v>
      </c>
      <c r="G9179" s="6">
        <v>0</v>
      </c>
      <c r="H9179" s="6" t="s">
        <v>18678</v>
      </c>
      <c r="I9179" s="6">
        <v>534.75</v>
      </c>
      <c r="J9179" s="2">
        <f t="shared" si="143"/>
        <v>43748.150207800929</v>
      </c>
    </row>
    <row r="9180" spans="1:10" x14ac:dyDescent="0.25">
      <c r="A9180" s="7" t="s">
        <v>18679</v>
      </c>
      <c r="B9180" s="8">
        <v>400</v>
      </c>
      <c r="C9180" s="8">
        <v>20.478950000000001</v>
      </c>
      <c r="D9180" s="8">
        <v>87</v>
      </c>
      <c r="E9180" s="8">
        <v>0</v>
      </c>
      <c r="F9180" s="8">
        <v>0</v>
      </c>
      <c r="G9180" s="8">
        <v>0</v>
      </c>
      <c r="H9180" s="8" t="s">
        <v>18680</v>
      </c>
      <c r="I9180" s="8">
        <v>528.1875</v>
      </c>
      <c r="J9180" s="3">
        <f t="shared" si="143"/>
        <v>43748.150279166664</v>
      </c>
    </row>
    <row r="9181" spans="1:10" x14ac:dyDescent="0.25">
      <c r="A9181" s="5" t="s">
        <v>18681</v>
      </c>
      <c r="B9181" s="6">
        <v>400</v>
      </c>
      <c r="C9181" s="6">
        <v>20.478950000000001</v>
      </c>
      <c r="D9181" s="6">
        <v>89</v>
      </c>
      <c r="E9181" s="6">
        <v>0</v>
      </c>
      <c r="F9181" s="6">
        <v>0</v>
      </c>
      <c r="G9181" s="6">
        <v>1</v>
      </c>
      <c r="H9181" s="6" t="s">
        <v>18682</v>
      </c>
      <c r="I9181" s="6">
        <v>528.375</v>
      </c>
      <c r="J9181" s="2">
        <f t="shared" si="143"/>
        <v>43748.150362488428</v>
      </c>
    </row>
    <row r="9182" spans="1:10" x14ac:dyDescent="0.25">
      <c r="A9182" s="7" t="s">
        <v>18683</v>
      </c>
      <c r="B9182" s="8">
        <v>400</v>
      </c>
      <c r="C9182" s="8">
        <v>20.478950000000001</v>
      </c>
      <c r="D9182" s="8">
        <v>89</v>
      </c>
      <c r="E9182" s="8">
        <v>0</v>
      </c>
      <c r="F9182" s="8">
        <v>0</v>
      </c>
      <c r="G9182" s="8">
        <v>9</v>
      </c>
      <c r="H9182" s="8" t="s">
        <v>18684</v>
      </c>
      <c r="I9182" s="8">
        <v>528.375</v>
      </c>
      <c r="J9182" s="3">
        <f t="shared" si="143"/>
        <v>43748.150433796291</v>
      </c>
    </row>
    <row r="9183" spans="1:10" x14ac:dyDescent="0.25">
      <c r="A9183" s="5" t="s">
        <v>18685</v>
      </c>
      <c r="B9183" s="6">
        <v>400</v>
      </c>
      <c r="C9183" s="6">
        <v>20.478950000000001</v>
      </c>
      <c r="D9183" s="6">
        <v>88</v>
      </c>
      <c r="E9183" s="6">
        <v>0</v>
      </c>
      <c r="F9183" s="6">
        <v>0</v>
      </c>
      <c r="G9183" s="6">
        <v>9</v>
      </c>
      <c r="H9183" s="6" t="s">
        <v>18686</v>
      </c>
      <c r="I9183" s="6">
        <v>528.1875</v>
      </c>
      <c r="J9183" s="2">
        <f t="shared" si="143"/>
        <v>43748.150506018515</v>
      </c>
    </row>
    <row r="9184" spans="1:10" x14ac:dyDescent="0.25">
      <c r="A9184" s="7" t="s">
        <v>18687</v>
      </c>
      <c r="B9184" s="8">
        <v>400</v>
      </c>
      <c r="C9184" s="8">
        <v>20.478950000000001</v>
      </c>
      <c r="D9184" s="8">
        <v>89</v>
      </c>
      <c r="E9184" s="8">
        <v>0</v>
      </c>
      <c r="F9184" s="8">
        <v>0</v>
      </c>
      <c r="G9184" s="8">
        <v>14</v>
      </c>
      <c r="H9184" s="8" t="s">
        <v>18688</v>
      </c>
      <c r="I9184" s="8">
        <v>528.1875</v>
      </c>
      <c r="J9184" s="3">
        <f t="shared" si="143"/>
        <v>43748.150577314816</v>
      </c>
    </row>
    <row r="9185" spans="1:10" x14ac:dyDescent="0.25">
      <c r="A9185" s="5" t="s">
        <v>18689</v>
      </c>
      <c r="B9185" s="6">
        <v>400</v>
      </c>
      <c r="C9185" s="6">
        <v>20.426300000000001</v>
      </c>
      <c r="D9185" s="6">
        <v>88</v>
      </c>
      <c r="E9185" s="6">
        <v>0</v>
      </c>
      <c r="F9185" s="6">
        <v>0</v>
      </c>
      <c r="G9185" s="6">
        <v>12</v>
      </c>
      <c r="H9185" s="6" t="s">
        <v>18690</v>
      </c>
      <c r="I9185" s="6">
        <v>528.1875</v>
      </c>
      <c r="J9185" s="2">
        <f t="shared" si="143"/>
        <v>43748.15064861111</v>
      </c>
    </row>
    <row r="9186" spans="1:10" x14ac:dyDescent="0.25">
      <c r="A9186" s="7" t="s">
        <v>18691</v>
      </c>
      <c r="B9186" s="8">
        <v>421.875</v>
      </c>
      <c r="C9186" s="8">
        <v>20.426300000000001</v>
      </c>
      <c r="D9186" s="8">
        <v>88</v>
      </c>
      <c r="E9186" s="8">
        <v>0</v>
      </c>
      <c r="F9186" s="8">
        <v>0</v>
      </c>
      <c r="G9186" s="8">
        <v>12</v>
      </c>
      <c r="H9186" s="8" t="s">
        <v>18692</v>
      </c>
      <c r="I9186" s="8">
        <v>535.3125</v>
      </c>
      <c r="J9186" s="3">
        <f t="shared" si="143"/>
        <v>43748.150719942125</v>
      </c>
    </row>
    <row r="9187" spans="1:10" x14ac:dyDescent="0.25">
      <c r="A9187" s="5" t="s">
        <v>18693</v>
      </c>
      <c r="B9187" s="6">
        <v>403.125</v>
      </c>
      <c r="C9187" s="6">
        <v>20.426300000000001</v>
      </c>
      <c r="D9187" s="6">
        <v>89</v>
      </c>
      <c r="E9187" s="6">
        <v>0</v>
      </c>
      <c r="F9187" s="6">
        <v>0</v>
      </c>
      <c r="G9187" s="6">
        <v>3</v>
      </c>
      <c r="H9187" s="6" t="s">
        <v>18694</v>
      </c>
      <c r="I9187" s="6">
        <v>529.875</v>
      </c>
      <c r="J9187" s="2">
        <f t="shared" si="143"/>
        <v>43748.15080416666</v>
      </c>
    </row>
    <row r="9188" spans="1:10" x14ac:dyDescent="0.25">
      <c r="A9188" s="7" t="s">
        <v>18695</v>
      </c>
      <c r="B9188" s="8">
        <v>403.125</v>
      </c>
      <c r="C9188" s="8">
        <v>20.478950000000001</v>
      </c>
      <c r="D9188" s="8">
        <v>89</v>
      </c>
      <c r="E9188" s="8">
        <v>0</v>
      </c>
      <c r="F9188" s="8">
        <v>0</v>
      </c>
      <c r="G9188" s="8">
        <v>9</v>
      </c>
      <c r="H9188" s="8" t="s">
        <v>18696</v>
      </c>
      <c r="I9188" s="8">
        <v>529.875</v>
      </c>
      <c r="J9188" s="3">
        <f t="shared" si="143"/>
        <v>43748.150875381943</v>
      </c>
    </row>
    <row r="9189" spans="1:10" x14ac:dyDescent="0.25">
      <c r="A9189" s="5" t="s">
        <v>18697</v>
      </c>
      <c r="B9189" s="6">
        <v>403.125</v>
      </c>
      <c r="C9189" s="6">
        <v>20.426300000000001</v>
      </c>
      <c r="D9189" s="6">
        <v>90</v>
      </c>
      <c r="E9189" s="6">
        <v>0</v>
      </c>
      <c r="F9189" s="6">
        <v>0</v>
      </c>
      <c r="G9189" s="6">
        <v>11</v>
      </c>
      <c r="H9189" s="6" t="s">
        <v>18698</v>
      </c>
      <c r="I9189" s="6">
        <v>529.875</v>
      </c>
      <c r="J9189" s="2">
        <f t="shared" si="143"/>
        <v>43748.150946747679</v>
      </c>
    </row>
    <row r="9190" spans="1:10" x14ac:dyDescent="0.25">
      <c r="A9190" s="7" t="s">
        <v>18699</v>
      </c>
      <c r="B9190" s="8">
        <v>403.125</v>
      </c>
      <c r="C9190" s="8">
        <v>20.478950000000001</v>
      </c>
      <c r="D9190" s="8">
        <v>90</v>
      </c>
      <c r="E9190" s="8">
        <v>0</v>
      </c>
      <c r="F9190" s="8">
        <v>0</v>
      </c>
      <c r="G9190" s="8">
        <v>8</v>
      </c>
      <c r="H9190" s="8" t="s">
        <v>18700</v>
      </c>
      <c r="I9190" s="8">
        <v>529.875</v>
      </c>
      <c r="J9190" s="3">
        <f t="shared" si="143"/>
        <v>43748.15101804398</v>
      </c>
    </row>
    <row r="9191" spans="1:10" x14ac:dyDescent="0.25">
      <c r="A9191" s="5" t="s">
        <v>18701</v>
      </c>
      <c r="B9191" s="6">
        <v>403.125</v>
      </c>
      <c r="C9191" s="6">
        <v>20.426300000000001</v>
      </c>
      <c r="D9191" s="6">
        <v>90</v>
      </c>
      <c r="E9191" s="6">
        <v>0</v>
      </c>
      <c r="F9191" s="6">
        <v>0</v>
      </c>
      <c r="G9191" s="6">
        <v>15</v>
      </c>
      <c r="H9191" s="6" t="s">
        <v>18702</v>
      </c>
      <c r="I9191" s="6">
        <v>529.125</v>
      </c>
      <c r="J9191" s="2">
        <f t="shared" si="143"/>
        <v>43748.15109028935</v>
      </c>
    </row>
    <row r="9192" spans="1:10" x14ac:dyDescent="0.25">
      <c r="A9192" s="7" t="s">
        <v>18703</v>
      </c>
      <c r="B9192" s="8">
        <v>403.125</v>
      </c>
      <c r="C9192" s="8">
        <v>20.478950000000001</v>
      </c>
      <c r="D9192" s="8">
        <v>90</v>
      </c>
      <c r="E9192" s="8">
        <v>0</v>
      </c>
      <c r="F9192" s="8">
        <v>0</v>
      </c>
      <c r="G9192" s="8">
        <v>4</v>
      </c>
      <c r="H9192" s="8" t="s">
        <v>18704</v>
      </c>
      <c r="I9192" s="8">
        <v>529.125</v>
      </c>
      <c r="J9192" s="3">
        <f t="shared" si="143"/>
        <v>43748.151161493057</v>
      </c>
    </row>
    <row r="9193" spans="1:10" x14ac:dyDescent="0.25">
      <c r="A9193" s="5" t="s">
        <v>18705</v>
      </c>
      <c r="B9193" s="6">
        <v>403.125</v>
      </c>
      <c r="C9193" s="6">
        <v>20.478950000000001</v>
      </c>
      <c r="D9193" s="6">
        <v>90</v>
      </c>
      <c r="E9193" s="6">
        <v>0</v>
      </c>
      <c r="F9193" s="6">
        <v>0</v>
      </c>
      <c r="G9193" s="6">
        <v>6</v>
      </c>
      <c r="H9193" s="6" t="s">
        <v>18706</v>
      </c>
      <c r="I9193" s="6">
        <v>529.125</v>
      </c>
      <c r="J9193" s="2">
        <f t="shared" si="143"/>
        <v>43748.151232858792</v>
      </c>
    </row>
    <row r="9194" spans="1:10" x14ac:dyDescent="0.25">
      <c r="A9194" s="7" t="s">
        <v>18707</v>
      </c>
      <c r="B9194" s="8">
        <v>418.75</v>
      </c>
      <c r="C9194" s="8">
        <v>20.478950000000001</v>
      </c>
      <c r="D9194" s="8">
        <v>90</v>
      </c>
      <c r="E9194" s="8">
        <v>0</v>
      </c>
      <c r="F9194" s="8">
        <v>0</v>
      </c>
      <c r="G9194" s="8">
        <v>10</v>
      </c>
      <c r="H9194" s="8" t="s">
        <v>18708</v>
      </c>
      <c r="I9194" s="8">
        <v>534.75</v>
      </c>
      <c r="J9194" s="3">
        <f t="shared" si="143"/>
        <v>43748.151305023144</v>
      </c>
    </row>
    <row r="9195" spans="1:10" x14ac:dyDescent="0.25">
      <c r="A9195" s="5" t="s">
        <v>18709</v>
      </c>
      <c r="B9195" s="6">
        <v>400</v>
      </c>
      <c r="C9195" s="6">
        <v>20.478950000000001</v>
      </c>
      <c r="D9195" s="6">
        <v>90</v>
      </c>
      <c r="E9195" s="6">
        <v>0</v>
      </c>
      <c r="F9195" s="6">
        <v>0</v>
      </c>
      <c r="G9195" s="6">
        <v>11</v>
      </c>
      <c r="H9195" s="6" t="s">
        <v>18710</v>
      </c>
      <c r="I9195" s="6">
        <v>528.1875</v>
      </c>
      <c r="J9195" s="2">
        <f t="shared" si="143"/>
        <v>43748.151375462963</v>
      </c>
    </row>
    <row r="9196" spans="1:10" x14ac:dyDescent="0.25">
      <c r="A9196" s="7" t="s">
        <v>18711</v>
      </c>
      <c r="B9196" s="8">
        <v>400</v>
      </c>
      <c r="C9196" s="8">
        <v>20.478950000000001</v>
      </c>
      <c r="D9196" s="8">
        <v>89</v>
      </c>
      <c r="E9196" s="8">
        <v>0</v>
      </c>
      <c r="F9196" s="8">
        <v>0</v>
      </c>
      <c r="G9196" s="8">
        <v>5</v>
      </c>
      <c r="H9196" s="8" t="s">
        <v>18712</v>
      </c>
      <c r="I9196" s="8">
        <v>528.1875</v>
      </c>
      <c r="J9196" s="3">
        <f t="shared" si="143"/>
        <v>43748.151447719902</v>
      </c>
    </row>
    <row r="9197" spans="1:10" x14ac:dyDescent="0.25">
      <c r="A9197" s="5" t="s">
        <v>18713</v>
      </c>
      <c r="B9197" s="6">
        <v>396.875</v>
      </c>
      <c r="C9197" s="6">
        <v>20.478950000000001</v>
      </c>
      <c r="D9197" s="6">
        <v>89</v>
      </c>
      <c r="E9197" s="6">
        <v>0</v>
      </c>
      <c r="F9197" s="6">
        <v>0</v>
      </c>
      <c r="G9197" s="6">
        <v>13</v>
      </c>
      <c r="H9197" s="6" t="s">
        <v>18714</v>
      </c>
      <c r="I9197" s="6">
        <v>527.4375</v>
      </c>
      <c r="J9197" s="2">
        <f t="shared" si="143"/>
        <v>43748.151518842591</v>
      </c>
    </row>
    <row r="9198" spans="1:10" x14ac:dyDescent="0.25">
      <c r="A9198" s="7" t="s">
        <v>18715</v>
      </c>
      <c r="B9198" s="8">
        <v>428.125</v>
      </c>
      <c r="C9198" s="8">
        <v>20.478950000000001</v>
      </c>
      <c r="D9198" s="8">
        <v>89</v>
      </c>
      <c r="E9198" s="8">
        <v>0</v>
      </c>
      <c r="F9198" s="8">
        <v>0</v>
      </c>
      <c r="G9198" s="8">
        <v>5</v>
      </c>
      <c r="H9198" s="8" t="s">
        <v>18716</v>
      </c>
      <c r="I9198" s="8">
        <v>537.1875</v>
      </c>
      <c r="J9198" s="3">
        <f t="shared" si="143"/>
        <v>43748.151590277776</v>
      </c>
    </row>
    <row r="9199" spans="1:10" x14ac:dyDescent="0.25">
      <c r="A9199" s="5" t="s">
        <v>18717</v>
      </c>
      <c r="B9199" s="6">
        <v>396.875</v>
      </c>
      <c r="C9199" s="6">
        <v>20.478950000000001</v>
      </c>
      <c r="D9199" s="6">
        <v>88</v>
      </c>
      <c r="E9199" s="6">
        <v>0</v>
      </c>
      <c r="F9199" s="6">
        <v>0</v>
      </c>
      <c r="G9199" s="6">
        <v>0</v>
      </c>
      <c r="H9199" s="6" t="s">
        <v>18718</v>
      </c>
      <c r="I9199" s="6">
        <v>527.4375</v>
      </c>
      <c r="J9199" s="2">
        <f t="shared" si="143"/>
        <v>43748.151662476848</v>
      </c>
    </row>
    <row r="9200" spans="1:10" x14ac:dyDescent="0.25">
      <c r="A9200" s="7" t="s">
        <v>18719</v>
      </c>
      <c r="B9200" s="8">
        <v>396.875</v>
      </c>
      <c r="C9200" s="8">
        <v>20.426300000000001</v>
      </c>
      <c r="D9200" s="8">
        <v>88</v>
      </c>
      <c r="E9200" s="8">
        <v>0</v>
      </c>
      <c r="F9200" s="8">
        <v>0</v>
      </c>
      <c r="G9200" s="8">
        <v>0</v>
      </c>
      <c r="H9200" s="8" t="s">
        <v>18720</v>
      </c>
      <c r="I9200" s="8">
        <v>527.4375</v>
      </c>
      <c r="J9200" s="3">
        <f t="shared" si="143"/>
        <v>43748.151745763891</v>
      </c>
    </row>
    <row r="9201" spans="1:10" x14ac:dyDescent="0.25">
      <c r="A9201" s="5" t="s">
        <v>18721</v>
      </c>
      <c r="B9201" s="6">
        <v>396.875</v>
      </c>
      <c r="C9201" s="6">
        <v>20.478950000000001</v>
      </c>
      <c r="D9201" s="6">
        <v>88</v>
      </c>
      <c r="E9201" s="6">
        <v>0</v>
      </c>
      <c r="F9201" s="6">
        <v>0</v>
      </c>
      <c r="G9201" s="6">
        <v>7</v>
      </c>
      <c r="H9201" s="6" t="s">
        <v>18722</v>
      </c>
      <c r="I9201" s="6">
        <v>527.4375</v>
      </c>
      <c r="J9201" s="2">
        <f t="shared" si="143"/>
        <v>43748.151817106474</v>
      </c>
    </row>
    <row r="9202" spans="1:10" x14ac:dyDescent="0.25">
      <c r="A9202" s="7" t="s">
        <v>18723</v>
      </c>
      <c r="B9202" s="8">
        <v>396.875</v>
      </c>
      <c r="C9202" s="8">
        <v>20.478950000000001</v>
      </c>
      <c r="D9202" s="8">
        <v>88</v>
      </c>
      <c r="E9202" s="8">
        <v>0</v>
      </c>
      <c r="F9202" s="8">
        <v>0</v>
      </c>
      <c r="G9202" s="8">
        <v>2</v>
      </c>
      <c r="H9202" s="8" t="s">
        <v>18724</v>
      </c>
      <c r="I9202" s="8">
        <v>527.4375</v>
      </c>
      <c r="J9202" s="3">
        <f t="shared" si="143"/>
        <v>43748.151889340275</v>
      </c>
    </row>
    <row r="9203" spans="1:10" x14ac:dyDescent="0.25">
      <c r="A9203" s="5" t="s">
        <v>18725</v>
      </c>
      <c r="B9203" s="6">
        <v>396.875</v>
      </c>
      <c r="C9203" s="6">
        <v>20.426300000000001</v>
      </c>
      <c r="D9203" s="6">
        <v>88</v>
      </c>
      <c r="E9203" s="6">
        <v>0</v>
      </c>
      <c r="F9203" s="6">
        <v>0</v>
      </c>
      <c r="G9203" s="6">
        <v>5</v>
      </c>
      <c r="H9203" s="6" t="s">
        <v>18726</v>
      </c>
      <c r="I9203" s="6">
        <v>527.4375</v>
      </c>
      <c r="J9203" s="2">
        <f t="shared" si="143"/>
        <v>43748.151972662039</v>
      </c>
    </row>
    <row r="9204" spans="1:10" x14ac:dyDescent="0.25">
      <c r="A9204" s="7" t="s">
        <v>18727</v>
      </c>
      <c r="B9204" s="8">
        <v>400</v>
      </c>
      <c r="C9204" s="8">
        <v>20.478950000000001</v>
      </c>
      <c r="D9204" s="8">
        <v>88</v>
      </c>
      <c r="E9204" s="8">
        <v>0</v>
      </c>
      <c r="F9204" s="8">
        <v>0</v>
      </c>
      <c r="G9204" s="8">
        <v>5</v>
      </c>
      <c r="H9204" s="8" t="s">
        <v>18728</v>
      </c>
      <c r="I9204" s="8">
        <v>528.1875</v>
      </c>
      <c r="J9204" s="3">
        <f t="shared" si="143"/>
        <v>43748.152043923612</v>
      </c>
    </row>
    <row r="9205" spans="1:10" x14ac:dyDescent="0.25">
      <c r="A9205" s="5" t="s">
        <v>18729</v>
      </c>
      <c r="B9205" s="6">
        <v>425</v>
      </c>
      <c r="C9205" s="6">
        <v>20.426300000000001</v>
      </c>
      <c r="D9205" s="6">
        <v>88</v>
      </c>
      <c r="E9205" s="6">
        <v>0</v>
      </c>
      <c r="F9205" s="6">
        <v>0</v>
      </c>
      <c r="G9205" s="6">
        <v>6</v>
      </c>
      <c r="H9205" s="6" t="s">
        <v>18730</v>
      </c>
      <c r="I9205" s="6">
        <v>536.25</v>
      </c>
      <c r="J9205" s="2">
        <f t="shared" si="143"/>
        <v>43748.152115254627</v>
      </c>
    </row>
    <row r="9206" spans="1:10" x14ac:dyDescent="0.25">
      <c r="A9206" s="7" t="s">
        <v>18731</v>
      </c>
      <c r="B9206" s="8">
        <v>400</v>
      </c>
      <c r="C9206" s="8">
        <v>20.478950000000001</v>
      </c>
      <c r="D9206" s="8">
        <v>87</v>
      </c>
      <c r="E9206" s="8">
        <v>0</v>
      </c>
      <c r="F9206" s="8">
        <v>0</v>
      </c>
      <c r="G9206" s="8">
        <v>16</v>
      </c>
      <c r="H9206" s="8" t="s">
        <v>18732</v>
      </c>
      <c r="I9206" s="8">
        <v>528.1875</v>
      </c>
      <c r="J9206" s="3">
        <f t="shared" si="143"/>
        <v>43748.152210624998</v>
      </c>
    </row>
    <row r="9207" spans="1:10" x14ac:dyDescent="0.25">
      <c r="A9207" s="5" t="s">
        <v>18733</v>
      </c>
      <c r="B9207" s="6">
        <v>400</v>
      </c>
      <c r="C9207" s="6">
        <v>20.478950000000001</v>
      </c>
      <c r="D9207" s="6">
        <v>87</v>
      </c>
      <c r="E9207" s="6">
        <v>0</v>
      </c>
      <c r="F9207" s="6">
        <v>0</v>
      </c>
      <c r="G9207" s="6">
        <v>10</v>
      </c>
      <c r="H9207" s="6" t="s">
        <v>18734</v>
      </c>
      <c r="I9207" s="6">
        <v>528.1875</v>
      </c>
      <c r="J9207" s="2">
        <f t="shared" si="143"/>
        <v>43748.152282777774</v>
      </c>
    </row>
    <row r="9208" spans="1:10" x14ac:dyDescent="0.25">
      <c r="A9208" s="7" t="s">
        <v>18735</v>
      </c>
      <c r="B9208" s="8">
        <v>400</v>
      </c>
      <c r="C9208" s="8">
        <v>20.478950000000001</v>
      </c>
      <c r="D9208" s="8">
        <v>87</v>
      </c>
      <c r="E9208" s="8">
        <v>0</v>
      </c>
      <c r="F9208" s="8">
        <v>0</v>
      </c>
      <c r="G9208" s="8">
        <v>13</v>
      </c>
      <c r="H9208" s="8" t="s">
        <v>18736</v>
      </c>
      <c r="I9208" s="8">
        <v>528.1875</v>
      </c>
      <c r="J9208" s="3">
        <f t="shared" si="143"/>
        <v>43748.152354143516</v>
      </c>
    </row>
    <row r="9209" spans="1:10" x14ac:dyDescent="0.25">
      <c r="A9209" s="5" t="s">
        <v>18737</v>
      </c>
      <c r="B9209" s="6">
        <v>400</v>
      </c>
      <c r="C9209" s="6">
        <v>20.426300000000001</v>
      </c>
      <c r="D9209" s="6">
        <v>87</v>
      </c>
      <c r="E9209" s="6">
        <v>0</v>
      </c>
      <c r="F9209" s="6">
        <v>0</v>
      </c>
      <c r="G9209" s="6">
        <v>10</v>
      </c>
      <c r="H9209" s="6" t="s">
        <v>18738</v>
      </c>
      <c r="I9209" s="6">
        <v>528.375</v>
      </c>
      <c r="J9209" s="2">
        <f t="shared" si="143"/>
        <v>43748.152449537032</v>
      </c>
    </row>
    <row r="9210" spans="1:10" x14ac:dyDescent="0.25">
      <c r="A9210" s="7" t="s">
        <v>18739</v>
      </c>
      <c r="B9210" s="8">
        <v>400</v>
      </c>
      <c r="C9210" s="8">
        <v>20.478950000000001</v>
      </c>
      <c r="D9210" s="8">
        <v>87</v>
      </c>
      <c r="E9210" s="8">
        <v>0</v>
      </c>
      <c r="F9210" s="8">
        <v>0</v>
      </c>
      <c r="G9210" s="8">
        <v>11</v>
      </c>
      <c r="H9210" s="8" t="s">
        <v>18740</v>
      </c>
      <c r="I9210" s="8">
        <v>528.1875</v>
      </c>
      <c r="J9210" s="3">
        <f t="shared" si="143"/>
        <v>43748.152520844909</v>
      </c>
    </row>
    <row r="9211" spans="1:10" x14ac:dyDescent="0.25">
      <c r="A9211" s="5" t="s">
        <v>18741</v>
      </c>
      <c r="B9211" s="6">
        <v>403.125</v>
      </c>
      <c r="C9211" s="6">
        <v>20.478950000000001</v>
      </c>
      <c r="D9211" s="6">
        <v>87</v>
      </c>
      <c r="E9211" s="6">
        <v>0</v>
      </c>
      <c r="F9211" s="6">
        <v>0</v>
      </c>
      <c r="G9211" s="6">
        <v>13</v>
      </c>
      <c r="H9211" s="6" t="s">
        <v>18742</v>
      </c>
      <c r="I9211" s="6">
        <v>529.125</v>
      </c>
      <c r="J9211" s="2">
        <f t="shared" si="143"/>
        <v>43748.152592094906</v>
      </c>
    </row>
    <row r="9212" spans="1:10" x14ac:dyDescent="0.25">
      <c r="A9212" s="7" t="s">
        <v>18743</v>
      </c>
      <c r="B9212" s="8">
        <v>403.125</v>
      </c>
      <c r="C9212" s="8">
        <v>20.478950000000001</v>
      </c>
      <c r="D9212" s="8">
        <v>86</v>
      </c>
      <c r="E9212" s="8">
        <v>0</v>
      </c>
      <c r="F9212" s="8">
        <v>0</v>
      </c>
      <c r="G9212" s="8">
        <v>11</v>
      </c>
      <c r="H9212" s="8" t="s">
        <v>18744</v>
      </c>
      <c r="I9212" s="8">
        <v>529.125</v>
      </c>
      <c r="J9212" s="3">
        <f t="shared" si="143"/>
        <v>43748.152664340276</v>
      </c>
    </row>
    <row r="9213" spans="1:10" x14ac:dyDescent="0.25">
      <c r="A9213" s="5" t="s">
        <v>18745</v>
      </c>
      <c r="B9213" s="6">
        <v>400</v>
      </c>
      <c r="C9213" s="6">
        <v>20.478950000000001</v>
      </c>
      <c r="D9213" s="6">
        <v>87</v>
      </c>
      <c r="E9213" s="6">
        <v>0</v>
      </c>
      <c r="F9213" s="6">
        <v>0</v>
      </c>
      <c r="G9213" s="6">
        <v>14</v>
      </c>
      <c r="H9213" s="6" t="s">
        <v>18746</v>
      </c>
      <c r="I9213" s="6">
        <v>528.9375</v>
      </c>
      <c r="J9213" s="2">
        <f t="shared" si="143"/>
        <v>43748.152735613425</v>
      </c>
    </row>
    <row r="9214" spans="1:10" x14ac:dyDescent="0.25">
      <c r="A9214" s="7" t="s">
        <v>18747</v>
      </c>
      <c r="B9214" s="8">
        <v>403.125</v>
      </c>
      <c r="C9214" s="8">
        <v>20.478950000000001</v>
      </c>
      <c r="D9214" s="8">
        <v>87</v>
      </c>
      <c r="E9214" s="8">
        <v>0</v>
      </c>
      <c r="F9214" s="8">
        <v>0</v>
      </c>
      <c r="G9214" s="8">
        <v>10</v>
      </c>
      <c r="H9214" s="8" t="s">
        <v>18748</v>
      </c>
      <c r="I9214" s="8">
        <v>529.125</v>
      </c>
      <c r="J9214" s="3">
        <f t="shared" si="143"/>
        <v>43748.152806909718</v>
      </c>
    </row>
    <row r="9215" spans="1:10" x14ac:dyDescent="0.25">
      <c r="A9215" s="5" t="s">
        <v>18749</v>
      </c>
      <c r="B9215" s="6">
        <v>403.125</v>
      </c>
      <c r="C9215" s="6">
        <v>20.478950000000001</v>
      </c>
      <c r="D9215" s="6">
        <v>86</v>
      </c>
      <c r="E9215" s="6">
        <v>0</v>
      </c>
      <c r="F9215" s="6">
        <v>0</v>
      </c>
      <c r="G9215" s="6">
        <v>9</v>
      </c>
      <c r="H9215" s="6" t="s">
        <v>18750</v>
      </c>
      <c r="I9215" s="6">
        <v>529.125</v>
      </c>
      <c r="J9215" s="2">
        <f t="shared" si="143"/>
        <v>43748.1528789699</v>
      </c>
    </row>
    <row r="9216" spans="1:10" x14ac:dyDescent="0.25">
      <c r="A9216" s="7" t="s">
        <v>18751</v>
      </c>
      <c r="B9216" s="8">
        <v>400</v>
      </c>
      <c r="C9216" s="8">
        <v>20.478950000000001</v>
      </c>
      <c r="D9216" s="8">
        <v>85</v>
      </c>
      <c r="E9216" s="8">
        <v>0</v>
      </c>
      <c r="F9216" s="8">
        <v>0</v>
      </c>
      <c r="G9216" s="8">
        <v>1</v>
      </c>
      <c r="H9216" s="8" t="s">
        <v>18752</v>
      </c>
      <c r="I9216" s="8">
        <v>528.9375</v>
      </c>
      <c r="J9216" s="3">
        <f t="shared" si="143"/>
        <v>43748.152950393516</v>
      </c>
    </row>
    <row r="9217" spans="1:10" x14ac:dyDescent="0.25">
      <c r="A9217" s="5" t="s">
        <v>18753</v>
      </c>
      <c r="B9217" s="6">
        <v>403.125</v>
      </c>
      <c r="C9217" s="6">
        <v>20.478950000000001</v>
      </c>
      <c r="D9217" s="6">
        <v>85</v>
      </c>
      <c r="E9217" s="6">
        <v>0</v>
      </c>
      <c r="F9217" s="6">
        <v>0</v>
      </c>
      <c r="G9217" s="6">
        <v>7</v>
      </c>
      <c r="H9217" s="6" t="s">
        <v>18754</v>
      </c>
      <c r="I9217" s="6">
        <v>529.125</v>
      </c>
      <c r="J9217" s="2">
        <f t="shared" si="143"/>
        <v>43748.153021736107</v>
      </c>
    </row>
    <row r="9218" spans="1:10" x14ac:dyDescent="0.25">
      <c r="A9218" s="7" t="s">
        <v>18755</v>
      </c>
      <c r="B9218" s="8">
        <v>403.125</v>
      </c>
      <c r="C9218" s="8">
        <v>20.478950000000001</v>
      </c>
      <c r="D9218" s="8">
        <v>85</v>
      </c>
      <c r="E9218" s="8">
        <v>0</v>
      </c>
      <c r="F9218" s="8">
        <v>0</v>
      </c>
      <c r="G9218" s="8">
        <v>18</v>
      </c>
      <c r="H9218" s="8" t="s">
        <v>18756</v>
      </c>
      <c r="I9218" s="8">
        <v>529.125</v>
      </c>
      <c r="J9218" s="3">
        <f t="shared" ref="J9218:J9281" si="144">(H9218/86400000)+25569+(7/24)</f>
        <v>43748.153093055553</v>
      </c>
    </row>
    <row r="9219" spans="1:10" x14ac:dyDescent="0.25">
      <c r="A9219" s="5" t="s">
        <v>18757</v>
      </c>
      <c r="B9219" s="6">
        <v>418.75</v>
      </c>
      <c r="C9219" s="6">
        <v>20.478950000000001</v>
      </c>
      <c r="D9219" s="6">
        <v>85</v>
      </c>
      <c r="E9219" s="6">
        <v>0</v>
      </c>
      <c r="F9219" s="6">
        <v>0</v>
      </c>
      <c r="G9219" s="6">
        <v>4</v>
      </c>
      <c r="H9219" s="6" t="s">
        <v>18758</v>
      </c>
      <c r="I9219" s="6">
        <v>534.5625</v>
      </c>
      <c r="J9219" s="2">
        <f t="shared" si="144"/>
        <v>43748.153165254625</v>
      </c>
    </row>
    <row r="9220" spans="1:10" x14ac:dyDescent="0.25">
      <c r="A9220" s="7" t="s">
        <v>18759</v>
      </c>
      <c r="B9220" s="8">
        <v>403.125</v>
      </c>
      <c r="C9220" s="8">
        <v>20.478950000000001</v>
      </c>
      <c r="D9220" s="8">
        <v>85</v>
      </c>
      <c r="E9220" s="8">
        <v>0</v>
      </c>
      <c r="F9220" s="8">
        <v>0</v>
      </c>
      <c r="G9220" s="8">
        <v>6</v>
      </c>
      <c r="H9220" s="8" t="s">
        <v>18760</v>
      </c>
      <c r="I9220" s="8">
        <v>529.125</v>
      </c>
      <c r="J9220" s="3">
        <f t="shared" si="144"/>
        <v>43748.15323653935</v>
      </c>
    </row>
    <row r="9221" spans="1:10" x14ac:dyDescent="0.25">
      <c r="A9221" s="5" t="s">
        <v>18761</v>
      </c>
      <c r="B9221" s="6">
        <v>400</v>
      </c>
      <c r="C9221" s="6">
        <v>20.478950000000001</v>
      </c>
      <c r="D9221" s="6">
        <v>86</v>
      </c>
      <c r="E9221" s="6">
        <v>0</v>
      </c>
      <c r="F9221" s="6">
        <v>0</v>
      </c>
      <c r="G9221" s="6">
        <v>5</v>
      </c>
      <c r="H9221" s="6" t="s">
        <v>18762</v>
      </c>
      <c r="I9221" s="6">
        <v>528.1875</v>
      </c>
      <c r="J9221" s="2">
        <f t="shared" si="144"/>
        <v>43748.153307835644</v>
      </c>
    </row>
    <row r="9222" spans="1:10" x14ac:dyDescent="0.25">
      <c r="A9222" s="7" t="s">
        <v>18763</v>
      </c>
      <c r="B9222" s="8">
        <v>400</v>
      </c>
      <c r="C9222" s="8">
        <v>20.478950000000001</v>
      </c>
      <c r="D9222" s="8">
        <v>87</v>
      </c>
      <c r="E9222" s="8">
        <v>0</v>
      </c>
      <c r="F9222" s="8">
        <v>0</v>
      </c>
      <c r="G9222" s="8">
        <v>12</v>
      </c>
      <c r="H9222" s="8" t="s">
        <v>18764</v>
      </c>
      <c r="I9222" s="8">
        <v>528.1875</v>
      </c>
      <c r="J9222" s="3">
        <f t="shared" si="144"/>
        <v>43748.153379189811</v>
      </c>
    </row>
    <row r="9223" spans="1:10" x14ac:dyDescent="0.25">
      <c r="A9223" s="5" t="s">
        <v>18765</v>
      </c>
      <c r="B9223" s="6">
        <v>400</v>
      </c>
      <c r="C9223" s="6">
        <v>20.478950000000001</v>
      </c>
      <c r="D9223" s="6">
        <v>87</v>
      </c>
      <c r="E9223" s="6">
        <v>0</v>
      </c>
      <c r="F9223" s="6">
        <v>0</v>
      </c>
      <c r="G9223" s="6">
        <v>2</v>
      </c>
      <c r="H9223" s="6" t="s">
        <v>18766</v>
      </c>
      <c r="I9223" s="6">
        <v>528.1875</v>
      </c>
      <c r="J9223" s="2">
        <f t="shared" si="144"/>
        <v>43748.153451377315</v>
      </c>
    </row>
    <row r="9224" spans="1:10" x14ac:dyDescent="0.25">
      <c r="A9224" s="7" t="s">
        <v>18767</v>
      </c>
      <c r="B9224" s="8">
        <v>400</v>
      </c>
      <c r="C9224" s="8">
        <v>20.478950000000001</v>
      </c>
      <c r="D9224" s="8">
        <v>87</v>
      </c>
      <c r="E9224" s="8">
        <v>0</v>
      </c>
      <c r="F9224" s="8">
        <v>0</v>
      </c>
      <c r="G9224" s="8">
        <v>0</v>
      </c>
      <c r="H9224" s="8" t="s">
        <v>18768</v>
      </c>
      <c r="I9224" s="8">
        <v>528.375</v>
      </c>
      <c r="J9224" s="3">
        <f t="shared" si="144"/>
        <v>43748.153522615736</v>
      </c>
    </row>
    <row r="9225" spans="1:10" x14ac:dyDescent="0.25">
      <c r="A9225" s="5" t="s">
        <v>18769</v>
      </c>
      <c r="B9225" s="6">
        <v>400</v>
      </c>
      <c r="C9225" s="6">
        <v>20.426300000000001</v>
      </c>
      <c r="D9225" s="6">
        <v>87</v>
      </c>
      <c r="E9225" s="6">
        <v>0</v>
      </c>
      <c r="F9225" s="6">
        <v>0</v>
      </c>
      <c r="G9225" s="6">
        <v>6</v>
      </c>
      <c r="H9225" s="6" t="s">
        <v>18770</v>
      </c>
      <c r="I9225" s="6">
        <v>528.1875</v>
      </c>
      <c r="J9225" s="2">
        <f t="shared" si="144"/>
        <v>43748.153594074072</v>
      </c>
    </row>
    <row r="9226" spans="1:10" x14ac:dyDescent="0.25">
      <c r="A9226" s="7" t="s">
        <v>18771</v>
      </c>
      <c r="B9226" s="8">
        <v>403.125</v>
      </c>
      <c r="C9226" s="8">
        <v>20.426300000000001</v>
      </c>
      <c r="D9226" s="8">
        <v>88</v>
      </c>
      <c r="E9226" s="8">
        <v>0</v>
      </c>
      <c r="F9226" s="8">
        <v>0</v>
      </c>
      <c r="G9226" s="8">
        <v>9</v>
      </c>
      <c r="H9226" s="8" t="s">
        <v>18772</v>
      </c>
      <c r="I9226" s="8">
        <v>529.125</v>
      </c>
      <c r="J9226" s="3">
        <f t="shared" si="144"/>
        <v>43748.153666192127</v>
      </c>
    </row>
    <row r="9227" spans="1:10" x14ac:dyDescent="0.25">
      <c r="A9227" s="5" t="s">
        <v>18773</v>
      </c>
      <c r="B9227" s="6">
        <v>400</v>
      </c>
      <c r="C9227" s="6">
        <v>20.478950000000001</v>
      </c>
      <c r="D9227" s="6">
        <v>89</v>
      </c>
      <c r="E9227" s="6">
        <v>0</v>
      </c>
      <c r="F9227" s="6">
        <v>0</v>
      </c>
      <c r="G9227" s="6">
        <v>9</v>
      </c>
      <c r="H9227" s="6" t="s">
        <v>18774</v>
      </c>
      <c r="I9227" s="6">
        <v>528.9375</v>
      </c>
      <c r="J9227" s="2">
        <f t="shared" si="144"/>
        <v>43748.153754131941</v>
      </c>
    </row>
    <row r="9228" spans="1:10" x14ac:dyDescent="0.25">
      <c r="A9228" s="7" t="s">
        <v>18775</v>
      </c>
      <c r="B9228" s="8">
        <v>403.125</v>
      </c>
      <c r="C9228" s="8">
        <v>20.478950000000001</v>
      </c>
      <c r="D9228" s="8">
        <v>89</v>
      </c>
      <c r="E9228" s="8">
        <v>0</v>
      </c>
      <c r="F9228" s="8">
        <v>0</v>
      </c>
      <c r="G9228" s="8">
        <v>11</v>
      </c>
      <c r="H9228" s="8" t="s">
        <v>18776</v>
      </c>
      <c r="I9228" s="8">
        <v>529.125</v>
      </c>
      <c r="J9228" s="3">
        <f t="shared" si="144"/>
        <v>43748.153832835647</v>
      </c>
    </row>
    <row r="9229" spans="1:10" x14ac:dyDescent="0.25">
      <c r="A9229" s="5" t="s">
        <v>18777</v>
      </c>
      <c r="B9229" s="6">
        <v>400</v>
      </c>
      <c r="C9229" s="6">
        <v>20.478950000000001</v>
      </c>
      <c r="D9229" s="6">
        <v>88</v>
      </c>
      <c r="E9229" s="6">
        <v>0</v>
      </c>
      <c r="F9229" s="6">
        <v>0</v>
      </c>
      <c r="G9229" s="6">
        <v>14</v>
      </c>
      <c r="H9229" s="6" t="s">
        <v>18778</v>
      </c>
      <c r="I9229" s="6">
        <v>528.1875</v>
      </c>
      <c r="J9229" s="2">
        <f t="shared" si="144"/>
        <v>43748.153904178238</v>
      </c>
    </row>
    <row r="9230" spans="1:10" x14ac:dyDescent="0.25">
      <c r="A9230" s="7" t="s">
        <v>18779</v>
      </c>
      <c r="B9230" s="8">
        <v>443.75</v>
      </c>
      <c r="C9230" s="8">
        <v>20.478950000000001</v>
      </c>
      <c r="D9230" s="8">
        <v>87</v>
      </c>
      <c r="E9230" s="8">
        <v>0</v>
      </c>
      <c r="F9230" s="8">
        <v>0</v>
      </c>
      <c r="G9230" s="8">
        <v>5</v>
      </c>
      <c r="H9230" s="8" t="s">
        <v>18780</v>
      </c>
      <c r="I9230" s="8">
        <v>542.4375</v>
      </c>
      <c r="J9230" s="3">
        <f t="shared" si="144"/>
        <v>43748.153975520829</v>
      </c>
    </row>
    <row r="9231" spans="1:10" x14ac:dyDescent="0.25">
      <c r="A9231" s="5" t="s">
        <v>18781</v>
      </c>
      <c r="B9231" s="6">
        <v>400</v>
      </c>
      <c r="C9231" s="6">
        <v>20.426300000000001</v>
      </c>
      <c r="D9231" s="6">
        <v>87</v>
      </c>
      <c r="E9231" s="6">
        <v>0</v>
      </c>
      <c r="F9231" s="6">
        <v>0</v>
      </c>
      <c r="G9231" s="6">
        <v>2</v>
      </c>
      <c r="H9231" s="6" t="s">
        <v>18782</v>
      </c>
      <c r="I9231" s="6">
        <v>528.1875</v>
      </c>
      <c r="J9231" s="2">
        <f t="shared" si="144"/>
        <v>43748.154047592594</v>
      </c>
    </row>
    <row r="9232" spans="1:10" x14ac:dyDescent="0.25">
      <c r="A9232" s="7" t="s">
        <v>18783</v>
      </c>
      <c r="B9232" s="8">
        <v>403.125</v>
      </c>
      <c r="C9232" s="8">
        <v>20.426300000000001</v>
      </c>
      <c r="D9232" s="8">
        <v>89</v>
      </c>
      <c r="E9232" s="8">
        <v>0</v>
      </c>
      <c r="F9232" s="8">
        <v>0</v>
      </c>
      <c r="G9232" s="8">
        <v>6</v>
      </c>
      <c r="H9232" s="8" t="s">
        <v>18784</v>
      </c>
      <c r="I9232" s="8">
        <v>529.125</v>
      </c>
      <c r="J9232" s="3">
        <f t="shared" si="144"/>
        <v>43748.154118946761</v>
      </c>
    </row>
    <row r="9233" spans="1:10" x14ac:dyDescent="0.25">
      <c r="A9233" s="5" t="s">
        <v>18785</v>
      </c>
      <c r="B9233" s="6">
        <v>400</v>
      </c>
      <c r="C9233" s="6">
        <v>20.426300000000001</v>
      </c>
      <c r="D9233" s="6">
        <v>87</v>
      </c>
      <c r="E9233" s="6">
        <v>0</v>
      </c>
      <c r="F9233" s="6">
        <v>0</v>
      </c>
      <c r="G9233" s="6">
        <v>12</v>
      </c>
      <c r="H9233" s="6" t="s">
        <v>18786</v>
      </c>
      <c r="I9233" s="6">
        <v>528.375</v>
      </c>
      <c r="J9233" s="2">
        <f t="shared" si="144"/>
        <v>43748.154190312496</v>
      </c>
    </row>
    <row r="9234" spans="1:10" x14ac:dyDescent="0.25">
      <c r="A9234" s="7" t="s">
        <v>18787</v>
      </c>
      <c r="B9234" s="8">
        <v>400</v>
      </c>
      <c r="C9234" s="8">
        <v>20.478950000000001</v>
      </c>
      <c r="D9234" s="8">
        <v>87</v>
      </c>
      <c r="E9234" s="8">
        <v>0</v>
      </c>
      <c r="F9234" s="8">
        <v>0</v>
      </c>
      <c r="G9234" s="8">
        <v>0</v>
      </c>
      <c r="H9234" s="8" t="s">
        <v>18788</v>
      </c>
      <c r="I9234" s="8">
        <v>528.1875</v>
      </c>
      <c r="J9234" s="3">
        <f t="shared" si="144"/>
        <v>43748.154261620373</v>
      </c>
    </row>
    <row r="9235" spans="1:10" x14ac:dyDescent="0.25">
      <c r="A9235" s="5" t="s">
        <v>18789</v>
      </c>
      <c r="B9235" s="6">
        <v>400</v>
      </c>
      <c r="C9235" s="6">
        <v>20.478950000000001</v>
      </c>
      <c r="D9235" s="6">
        <v>87</v>
      </c>
      <c r="E9235" s="6">
        <v>0</v>
      </c>
      <c r="F9235" s="6">
        <v>0</v>
      </c>
      <c r="G9235" s="6">
        <v>8</v>
      </c>
      <c r="H9235" s="6" t="s">
        <v>18790</v>
      </c>
      <c r="I9235" s="6">
        <v>528.375</v>
      </c>
      <c r="J9235" s="2">
        <f t="shared" si="144"/>
        <v>43748.154335833329</v>
      </c>
    </row>
    <row r="9236" spans="1:10" x14ac:dyDescent="0.25">
      <c r="A9236" s="7" t="s">
        <v>18791</v>
      </c>
      <c r="B9236" s="8">
        <v>396.875</v>
      </c>
      <c r="C9236" s="8">
        <v>20.478950000000001</v>
      </c>
      <c r="D9236" s="8">
        <v>87</v>
      </c>
      <c r="E9236" s="8">
        <v>0</v>
      </c>
      <c r="F9236" s="8">
        <v>0</v>
      </c>
      <c r="G9236" s="8">
        <v>2</v>
      </c>
      <c r="H9236" s="8" t="s">
        <v>18792</v>
      </c>
      <c r="I9236" s="8">
        <v>527.4375</v>
      </c>
      <c r="J9236" s="3">
        <f t="shared" si="144"/>
        <v>43748.154429074071</v>
      </c>
    </row>
    <row r="9237" spans="1:10" x14ac:dyDescent="0.25">
      <c r="A9237" s="5" t="s">
        <v>18793</v>
      </c>
      <c r="B9237" s="6">
        <v>418.75</v>
      </c>
      <c r="C9237" s="6">
        <v>20.426300000000001</v>
      </c>
      <c r="D9237" s="6">
        <v>88</v>
      </c>
      <c r="E9237" s="6">
        <v>0</v>
      </c>
      <c r="F9237" s="6">
        <v>0</v>
      </c>
      <c r="G9237" s="6">
        <v>4</v>
      </c>
      <c r="H9237" s="6" t="s">
        <v>18794</v>
      </c>
      <c r="I9237" s="6">
        <v>534.1875</v>
      </c>
      <c r="J9237" s="2">
        <f t="shared" si="144"/>
        <v>43748.154500439814</v>
      </c>
    </row>
    <row r="9238" spans="1:10" x14ac:dyDescent="0.25">
      <c r="A9238" s="7" t="s">
        <v>18795</v>
      </c>
      <c r="B9238" s="8">
        <v>396.875</v>
      </c>
      <c r="C9238" s="8">
        <v>20.478950000000001</v>
      </c>
      <c r="D9238" s="8">
        <v>87</v>
      </c>
      <c r="E9238" s="8">
        <v>0</v>
      </c>
      <c r="F9238" s="8">
        <v>0</v>
      </c>
      <c r="G9238" s="8">
        <v>5</v>
      </c>
      <c r="H9238" s="8" t="s">
        <v>18796</v>
      </c>
      <c r="I9238" s="8">
        <v>527.4375</v>
      </c>
      <c r="J9238" s="3">
        <f t="shared" si="144"/>
        <v>43748.154571736108</v>
      </c>
    </row>
    <row r="9239" spans="1:10" x14ac:dyDescent="0.25">
      <c r="A9239" s="5" t="s">
        <v>18797</v>
      </c>
      <c r="B9239" s="6">
        <v>396.875</v>
      </c>
      <c r="C9239" s="6">
        <v>20.426300000000001</v>
      </c>
      <c r="D9239" s="6">
        <v>87</v>
      </c>
      <c r="E9239" s="6">
        <v>0</v>
      </c>
      <c r="F9239" s="6">
        <v>0</v>
      </c>
      <c r="G9239" s="6">
        <v>0</v>
      </c>
      <c r="H9239" s="6" t="s">
        <v>18798</v>
      </c>
      <c r="I9239" s="6">
        <v>527.4375</v>
      </c>
      <c r="J9239" s="2">
        <f t="shared" si="144"/>
        <v>43748.154656168983</v>
      </c>
    </row>
    <row r="9240" spans="1:10" x14ac:dyDescent="0.25">
      <c r="A9240" s="7" t="s">
        <v>18799</v>
      </c>
      <c r="B9240" s="8">
        <v>396.875</v>
      </c>
      <c r="C9240" s="8">
        <v>20.478950000000001</v>
      </c>
      <c r="D9240" s="8">
        <v>86</v>
      </c>
      <c r="E9240" s="8">
        <v>0</v>
      </c>
      <c r="F9240" s="8">
        <v>0</v>
      </c>
      <c r="G9240" s="8">
        <v>9</v>
      </c>
      <c r="H9240" s="8" t="s">
        <v>18800</v>
      </c>
      <c r="I9240" s="8">
        <v>527.4375</v>
      </c>
      <c r="J9240" s="3">
        <f t="shared" si="144"/>
        <v>43748.154739351849</v>
      </c>
    </row>
    <row r="9241" spans="1:10" x14ac:dyDescent="0.25">
      <c r="A9241" s="5" t="s">
        <v>18801</v>
      </c>
      <c r="B9241" s="6">
        <v>396.875</v>
      </c>
      <c r="C9241" s="6">
        <v>20.478950000000001</v>
      </c>
      <c r="D9241" s="6">
        <v>86</v>
      </c>
      <c r="E9241" s="6">
        <v>0</v>
      </c>
      <c r="F9241" s="6">
        <v>0</v>
      </c>
      <c r="G9241" s="6">
        <v>3</v>
      </c>
      <c r="H9241" s="6" t="s">
        <v>18802</v>
      </c>
      <c r="I9241" s="6">
        <v>527.4375</v>
      </c>
      <c r="J9241" s="2">
        <f t="shared" si="144"/>
        <v>43748.154810648142</v>
      </c>
    </row>
    <row r="9242" spans="1:10" x14ac:dyDescent="0.25">
      <c r="A9242" s="7" t="s">
        <v>18803</v>
      </c>
      <c r="B9242" s="8">
        <v>396.875</v>
      </c>
      <c r="C9242" s="8">
        <v>20.478950000000001</v>
      </c>
      <c r="D9242" s="8">
        <v>87</v>
      </c>
      <c r="E9242" s="8">
        <v>0</v>
      </c>
      <c r="F9242" s="8">
        <v>0</v>
      </c>
      <c r="G9242" s="8">
        <v>5</v>
      </c>
      <c r="H9242" s="8" t="s">
        <v>18804</v>
      </c>
      <c r="I9242" s="8">
        <v>527.4375</v>
      </c>
      <c r="J9242" s="3">
        <f t="shared" si="144"/>
        <v>43748.154881967588</v>
      </c>
    </row>
    <row r="9243" spans="1:10" x14ac:dyDescent="0.25">
      <c r="A9243" s="5" t="s">
        <v>18805</v>
      </c>
      <c r="B9243" s="6">
        <v>396.875</v>
      </c>
      <c r="C9243" s="6">
        <v>20.478950000000001</v>
      </c>
      <c r="D9243" s="6">
        <v>89</v>
      </c>
      <c r="E9243" s="6">
        <v>0</v>
      </c>
      <c r="F9243" s="6">
        <v>0</v>
      </c>
      <c r="G9243" s="6">
        <v>10</v>
      </c>
      <c r="H9243" s="6" t="s">
        <v>18806</v>
      </c>
      <c r="I9243" s="6">
        <v>527.4375</v>
      </c>
      <c r="J9243" s="2">
        <f t="shared" si="144"/>
        <v>43748.154953310186</v>
      </c>
    </row>
    <row r="9244" spans="1:10" x14ac:dyDescent="0.25">
      <c r="A9244" s="7" t="s">
        <v>18807</v>
      </c>
      <c r="B9244" s="8">
        <v>415.625</v>
      </c>
      <c r="C9244" s="8">
        <v>20.426300000000001</v>
      </c>
      <c r="D9244" s="8">
        <v>89</v>
      </c>
      <c r="E9244" s="8">
        <v>0</v>
      </c>
      <c r="F9244" s="8">
        <v>0</v>
      </c>
      <c r="G9244" s="8">
        <v>3</v>
      </c>
      <c r="H9244" s="8" t="s">
        <v>18808</v>
      </c>
      <c r="I9244" s="8">
        <v>533.4375</v>
      </c>
      <c r="J9244" s="3">
        <f t="shared" si="144"/>
        <v>43748.155025462962</v>
      </c>
    </row>
    <row r="9245" spans="1:10" x14ac:dyDescent="0.25">
      <c r="A9245" s="5" t="s">
        <v>18809</v>
      </c>
      <c r="B9245" s="6">
        <v>393.75</v>
      </c>
      <c r="C9245" s="6">
        <v>20.478950000000001</v>
      </c>
      <c r="D9245" s="6">
        <v>89</v>
      </c>
      <c r="E9245" s="6">
        <v>0</v>
      </c>
      <c r="F9245" s="6">
        <v>0</v>
      </c>
      <c r="G9245" s="6">
        <v>4</v>
      </c>
      <c r="H9245" s="6" t="s">
        <v>18810</v>
      </c>
      <c r="I9245" s="6">
        <v>526.6875</v>
      </c>
      <c r="J9245" s="2">
        <f t="shared" si="144"/>
        <v>43748.155096747687</v>
      </c>
    </row>
    <row r="9246" spans="1:10" x14ac:dyDescent="0.25">
      <c r="A9246" s="7" t="s">
        <v>18811</v>
      </c>
      <c r="B9246" s="8">
        <v>396.875</v>
      </c>
      <c r="C9246" s="8">
        <v>20.426300000000001</v>
      </c>
      <c r="D9246" s="8">
        <v>89</v>
      </c>
      <c r="E9246" s="8">
        <v>0</v>
      </c>
      <c r="F9246" s="8">
        <v>0</v>
      </c>
      <c r="G9246" s="8">
        <v>10</v>
      </c>
      <c r="H9246" s="8" t="s">
        <v>18812</v>
      </c>
      <c r="I9246" s="8">
        <v>527.4375</v>
      </c>
      <c r="J9246" s="3">
        <f t="shared" si="144"/>
        <v>43748.155180081019</v>
      </c>
    </row>
    <row r="9247" spans="1:10" x14ac:dyDescent="0.25">
      <c r="A9247" s="5" t="s">
        <v>18813</v>
      </c>
      <c r="B9247" s="6">
        <v>393.75</v>
      </c>
      <c r="C9247" s="6">
        <v>20.478950000000001</v>
      </c>
      <c r="D9247" s="6">
        <v>88</v>
      </c>
      <c r="E9247" s="6">
        <v>0</v>
      </c>
      <c r="F9247" s="6">
        <v>0</v>
      </c>
      <c r="G9247" s="6">
        <v>13</v>
      </c>
      <c r="H9247" s="6" t="s">
        <v>18814</v>
      </c>
      <c r="I9247" s="6">
        <v>526.6875</v>
      </c>
      <c r="J9247" s="2">
        <f t="shared" si="144"/>
        <v>43748.15525207176</v>
      </c>
    </row>
    <row r="9248" spans="1:10" x14ac:dyDescent="0.25">
      <c r="A9248" s="7" t="s">
        <v>18815</v>
      </c>
      <c r="B9248" s="8">
        <v>393.75</v>
      </c>
      <c r="C9248" s="8">
        <v>20.478950000000001</v>
      </c>
      <c r="D9248" s="8">
        <v>90</v>
      </c>
      <c r="E9248" s="8">
        <v>0</v>
      </c>
      <c r="F9248" s="8">
        <v>0</v>
      </c>
      <c r="G9248" s="8">
        <v>1</v>
      </c>
      <c r="H9248" s="8" t="s">
        <v>18816</v>
      </c>
      <c r="I9248" s="8">
        <v>526.5</v>
      </c>
      <c r="J9248" s="3">
        <f t="shared" si="144"/>
        <v>43748.155323645835</v>
      </c>
    </row>
    <row r="9249" spans="1:10" x14ac:dyDescent="0.25">
      <c r="A9249" s="5" t="s">
        <v>18817</v>
      </c>
      <c r="B9249" s="6">
        <v>393.75</v>
      </c>
      <c r="C9249" s="6">
        <v>20.478950000000001</v>
      </c>
      <c r="D9249" s="6">
        <v>84</v>
      </c>
      <c r="E9249" s="6">
        <v>0</v>
      </c>
      <c r="F9249" s="6">
        <v>0</v>
      </c>
      <c r="G9249" s="6">
        <v>3</v>
      </c>
      <c r="H9249" s="6" t="s">
        <v>18818</v>
      </c>
      <c r="I9249" s="6">
        <v>526.6875</v>
      </c>
      <c r="J9249" s="2">
        <f t="shared" si="144"/>
        <v>43748.155394895832</v>
      </c>
    </row>
    <row r="9250" spans="1:10" x14ac:dyDescent="0.25">
      <c r="A9250" s="7" t="s">
        <v>18819</v>
      </c>
      <c r="B9250" s="8">
        <v>393.75</v>
      </c>
      <c r="C9250" s="8">
        <v>20.478950000000001</v>
      </c>
      <c r="D9250" s="8">
        <v>84</v>
      </c>
      <c r="E9250" s="8">
        <v>0</v>
      </c>
      <c r="F9250" s="8">
        <v>0</v>
      </c>
      <c r="G9250" s="8">
        <v>4</v>
      </c>
      <c r="H9250" s="8" t="s">
        <v>18820</v>
      </c>
      <c r="I9250" s="8">
        <v>526.6875</v>
      </c>
      <c r="J9250" s="3">
        <f t="shared" si="144"/>
        <v>43748.155471273145</v>
      </c>
    </row>
    <row r="9251" spans="1:10" x14ac:dyDescent="0.25">
      <c r="A9251" s="5" t="s">
        <v>18821</v>
      </c>
      <c r="B9251" s="6">
        <v>396.875</v>
      </c>
      <c r="C9251" s="6">
        <v>20.478950000000001</v>
      </c>
      <c r="D9251" s="6">
        <v>83</v>
      </c>
      <c r="E9251" s="6">
        <v>0</v>
      </c>
      <c r="F9251" s="6">
        <v>0</v>
      </c>
      <c r="G9251" s="6">
        <v>3</v>
      </c>
      <c r="H9251" s="6" t="s">
        <v>18822</v>
      </c>
      <c r="I9251" s="6">
        <v>527.4375</v>
      </c>
      <c r="J9251" s="2">
        <f t="shared" si="144"/>
        <v>43748.155549571755</v>
      </c>
    </row>
    <row r="9252" spans="1:10" x14ac:dyDescent="0.25">
      <c r="A9252" s="7" t="s">
        <v>18823</v>
      </c>
      <c r="B9252" s="8">
        <v>396.875</v>
      </c>
      <c r="C9252" s="8">
        <v>20.478950000000001</v>
      </c>
      <c r="D9252" s="8">
        <v>83</v>
      </c>
      <c r="E9252" s="8">
        <v>0</v>
      </c>
      <c r="F9252" s="8">
        <v>0</v>
      </c>
      <c r="G9252" s="8">
        <v>7</v>
      </c>
      <c r="H9252" s="8" t="s">
        <v>18824</v>
      </c>
      <c r="I9252" s="8">
        <v>527.4375</v>
      </c>
      <c r="J9252" s="3">
        <f t="shared" si="144"/>
        <v>43748.155621099533</v>
      </c>
    </row>
    <row r="9253" spans="1:10" x14ac:dyDescent="0.25">
      <c r="A9253" s="5" t="s">
        <v>18825</v>
      </c>
      <c r="B9253" s="6">
        <v>396.875</v>
      </c>
      <c r="C9253" s="6">
        <v>20.478950000000001</v>
      </c>
      <c r="D9253" s="6">
        <v>83</v>
      </c>
      <c r="E9253" s="6">
        <v>0</v>
      </c>
      <c r="F9253" s="6">
        <v>0</v>
      </c>
      <c r="G9253" s="6">
        <v>0</v>
      </c>
      <c r="H9253" s="6" t="s">
        <v>18826</v>
      </c>
      <c r="I9253" s="6">
        <v>527.4375</v>
      </c>
      <c r="J9253" s="2">
        <f t="shared" si="144"/>
        <v>43748.155692986104</v>
      </c>
    </row>
    <row r="9254" spans="1:10" x14ac:dyDescent="0.25">
      <c r="A9254" s="7" t="s">
        <v>18827</v>
      </c>
      <c r="B9254" s="8">
        <v>396.875</v>
      </c>
      <c r="C9254" s="8">
        <v>20.478950000000001</v>
      </c>
      <c r="D9254" s="8">
        <v>82</v>
      </c>
      <c r="E9254" s="8">
        <v>0</v>
      </c>
      <c r="F9254" s="8">
        <v>0</v>
      </c>
      <c r="G9254" s="8">
        <v>5</v>
      </c>
      <c r="H9254" s="8" t="s">
        <v>18828</v>
      </c>
      <c r="I9254" s="8">
        <v>527.4375</v>
      </c>
      <c r="J9254" s="3">
        <f t="shared" si="144"/>
        <v>43748.155764351854</v>
      </c>
    </row>
    <row r="9255" spans="1:10" x14ac:dyDescent="0.25">
      <c r="A9255" s="5" t="s">
        <v>18829</v>
      </c>
      <c r="B9255" s="6">
        <v>396.875</v>
      </c>
      <c r="C9255" s="6">
        <v>20.478950000000001</v>
      </c>
      <c r="D9255" s="6">
        <v>82</v>
      </c>
      <c r="E9255" s="6">
        <v>0</v>
      </c>
      <c r="F9255" s="6">
        <v>0</v>
      </c>
      <c r="G9255" s="6">
        <v>11</v>
      </c>
      <c r="H9255" s="6" t="s">
        <v>18830</v>
      </c>
      <c r="I9255" s="6">
        <v>527.4375</v>
      </c>
      <c r="J9255" s="2">
        <f t="shared" si="144"/>
        <v>43748.155836562502</v>
      </c>
    </row>
    <row r="9256" spans="1:10" x14ac:dyDescent="0.25">
      <c r="A9256" s="7" t="s">
        <v>18831</v>
      </c>
      <c r="B9256" s="8">
        <v>396.875</v>
      </c>
      <c r="C9256" s="8">
        <v>20.426300000000001</v>
      </c>
      <c r="D9256" s="8">
        <v>82</v>
      </c>
      <c r="E9256" s="8">
        <v>0</v>
      </c>
      <c r="F9256" s="8">
        <v>0</v>
      </c>
      <c r="G9256" s="8">
        <v>7</v>
      </c>
      <c r="H9256" s="8" t="s">
        <v>18832</v>
      </c>
      <c r="I9256" s="8">
        <v>527.4375</v>
      </c>
      <c r="J9256" s="3">
        <f t="shared" si="144"/>
        <v>43748.155907870365</v>
      </c>
    </row>
    <row r="9257" spans="1:10" x14ac:dyDescent="0.25">
      <c r="A9257" s="5" t="s">
        <v>18833</v>
      </c>
      <c r="B9257" s="6">
        <v>396.875</v>
      </c>
      <c r="C9257" s="6">
        <v>20.478950000000001</v>
      </c>
      <c r="D9257" s="6">
        <v>82</v>
      </c>
      <c r="E9257" s="6">
        <v>0</v>
      </c>
      <c r="F9257" s="6">
        <v>0</v>
      </c>
      <c r="G9257" s="6">
        <v>10</v>
      </c>
      <c r="H9257" s="6" t="s">
        <v>18834</v>
      </c>
      <c r="I9257" s="6">
        <v>527.4375</v>
      </c>
      <c r="J9257" s="2">
        <f t="shared" si="144"/>
        <v>43748.15597915509</v>
      </c>
    </row>
    <row r="9258" spans="1:10" x14ac:dyDescent="0.25">
      <c r="A9258" s="7" t="s">
        <v>18835</v>
      </c>
      <c r="B9258" s="8">
        <v>396.875</v>
      </c>
      <c r="C9258" s="8">
        <v>20.426300000000001</v>
      </c>
      <c r="D9258" s="8">
        <v>81</v>
      </c>
      <c r="E9258" s="8">
        <v>0</v>
      </c>
      <c r="F9258" s="8">
        <v>0</v>
      </c>
      <c r="G9258" s="8">
        <v>7</v>
      </c>
      <c r="H9258" s="8" t="s">
        <v>18836</v>
      </c>
      <c r="I9258" s="8">
        <v>527.4375</v>
      </c>
      <c r="J9258" s="3">
        <f t="shared" si="144"/>
        <v>43748.156050509257</v>
      </c>
    </row>
    <row r="9259" spans="1:10" x14ac:dyDescent="0.25">
      <c r="A9259" s="5" t="s">
        <v>18837</v>
      </c>
      <c r="B9259" s="6">
        <v>396.875</v>
      </c>
      <c r="C9259" s="6">
        <v>20.478950000000001</v>
      </c>
      <c r="D9259" s="6">
        <v>81</v>
      </c>
      <c r="E9259" s="6">
        <v>0</v>
      </c>
      <c r="F9259" s="6">
        <v>0</v>
      </c>
      <c r="G9259" s="6">
        <v>3</v>
      </c>
      <c r="H9259" s="6" t="s">
        <v>18838</v>
      </c>
      <c r="I9259" s="6">
        <v>527.4375</v>
      </c>
      <c r="J9259" s="2">
        <f t="shared" si="144"/>
        <v>43748.156122662032</v>
      </c>
    </row>
    <row r="9260" spans="1:10" x14ac:dyDescent="0.25">
      <c r="A9260" s="7" t="s">
        <v>18839</v>
      </c>
      <c r="B9260" s="8">
        <v>396.875</v>
      </c>
      <c r="C9260" s="8">
        <v>20.478950000000001</v>
      </c>
      <c r="D9260" s="8">
        <v>81</v>
      </c>
      <c r="E9260" s="8">
        <v>0</v>
      </c>
      <c r="F9260" s="8">
        <v>0</v>
      </c>
      <c r="G9260" s="8">
        <v>5</v>
      </c>
      <c r="H9260" s="8" t="s">
        <v>18840</v>
      </c>
      <c r="I9260" s="8">
        <v>527.4375</v>
      </c>
      <c r="J9260" s="3">
        <f t="shared" si="144"/>
        <v>43748.15619390046</v>
      </c>
    </row>
    <row r="9261" spans="1:10" x14ac:dyDescent="0.25">
      <c r="A9261" s="5" t="s">
        <v>18841</v>
      </c>
      <c r="B9261" s="6">
        <v>396.875</v>
      </c>
      <c r="C9261" s="6">
        <v>20.426300000000001</v>
      </c>
      <c r="D9261" s="6">
        <v>82</v>
      </c>
      <c r="E9261" s="6">
        <v>0</v>
      </c>
      <c r="F9261" s="6">
        <v>0</v>
      </c>
      <c r="G9261" s="6">
        <v>1</v>
      </c>
      <c r="H9261" s="6" t="s">
        <v>18842</v>
      </c>
      <c r="I9261" s="6">
        <v>527.4375</v>
      </c>
      <c r="J9261" s="2">
        <f t="shared" si="144"/>
        <v>43748.156277337963</v>
      </c>
    </row>
    <row r="9262" spans="1:10" x14ac:dyDescent="0.25">
      <c r="A9262" s="7" t="s">
        <v>18843</v>
      </c>
      <c r="B9262" s="8">
        <v>396.875</v>
      </c>
      <c r="C9262" s="8">
        <v>20.478950000000001</v>
      </c>
      <c r="D9262" s="8">
        <v>85</v>
      </c>
      <c r="E9262" s="8">
        <v>0</v>
      </c>
      <c r="F9262" s="8">
        <v>0</v>
      </c>
      <c r="G9262" s="8">
        <v>13</v>
      </c>
      <c r="H9262" s="8" t="s">
        <v>18844</v>
      </c>
      <c r="I9262" s="8">
        <v>527.4375</v>
      </c>
      <c r="J9262" s="3">
        <f t="shared" si="144"/>
        <v>43748.156348599536</v>
      </c>
    </row>
    <row r="9263" spans="1:10" x14ac:dyDescent="0.25">
      <c r="A9263" s="5" t="s">
        <v>18845</v>
      </c>
      <c r="B9263" s="6">
        <v>418.75</v>
      </c>
      <c r="C9263" s="6">
        <v>20.478950000000001</v>
      </c>
      <c r="D9263" s="6">
        <v>86</v>
      </c>
      <c r="E9263" s="6">
        <v>0</v>
      </c>
      <c r="F9263" s="6">
        <v>0</v>
      </c>
      <c r="G9263" s="6">
        <v>6</v>
      </c>
      <c r="H9263" s="6" t="s">
        <v>18846</v>
      </c>
      <c r="I9263" s="6">
        <v>534.375</v>
      </c>
      <c r="J9263" s="2">
        <f t="shared" si="144"/>
        <v>43748.156420127314</v>
      </c>
    </row>
    <row r="9264" spans="1:10" x14ac:dyDescent="0.25">
      <c r="A9264" s="7" t="s">
        <v>18847</v>
      </c>
      <c r="B9264" s="8">
        <v>393.75</v>
      </c>
      <c r="C9264" s="8">
        <v>20.426300000000001</v>
      </c>
      <c r="D9264" s="8">
        <v>86</v>
      </c>
      <c r="E9264" s="8">
        <v>0</v>
      </c>
      <c r="F9264" s="8">
        <v>0</v>
      </c>
      <c r="G9264" s="8">
        <v>4</v>
      </c>
      <c r="H9264" s="8" t="s">
        <v>18848</v>
      </c>
      <c r="I9264" s="8">
        <v>526.6875</v>
      </c>
      <c r="J9264" s="3">
        <f t="shared" si="144"/>
        <v>43748.15649212963</v>
      </c>
    </row>
    <row r="9265" spans="1:10" x14ac:dyDescent="0.25">
      <c r="A9265" s="5" t="s">
        <v>18849</v>
      </c>
      <c r="B9265" s="6">
        <v>393.75</v>
      </c>
      <c r="C9265" s="6">
        <v>20.478950000000001</v>
      </c>
      <c r="D9265" s="6">
        <v>86</v>
      </c>
      <c r="E9265" s="6">
        <v>0</v>
      </c>
      <c r="F9265" s="6">
        <v>0</v>
      </c>
      <c r="G9265" s="6">
        <v>4</v>
      </c>
      <c r="H9265" s="6" t="s">
        <v>18850</v>
      </c>
      <c r="I9265" s="6">
        <v>526.6875</v>
      </c>
      <c r="J9265" s="2">
        <f t="shared" si="144"/>
        <v>43748.156563414348</v>
      </c>
    </row>
    <row r="9266" spans="1:10" x14ac:dyDescent="0.25">
      <c r="A9266" s="7" t="s">
        <v>18851</v>
      </c>
      <c r="B9266" s="8">
        <v>393.75</v>
      </c>
      <c r="C9266" s="8">
        <v>20.478950000000001</v>
      </c>
      <c r="D9266" s="8">
        <v>85</v>
      </c>
      <c r="E9266" s="8">
        <v>0</v>
      </c>
      <c r="F9266" s="8">
        <v>0</v>
      </c>
      <c r="G9266" s="8">
        <v>9</v>
      </c>
      <c r="H9266" s="8" t="s">
        <v>18852</v>
      </c>
      <c r="I9266" s="8">
        <v>526.6875</v>
      </c>
      <c r="J9266" s="3">
        <f t="shared" si="144"/>
        <v>43748.156646736104</v>
      </c>
    </row>
    <row r="9267" spans="1:10" x14ac:dyDescent="0.25">
      <c r="A9267" s="5" t="s">
        <v>18853</v>
      </c>
      <c r="B9267" s="6">
        <v>393.75</v>
      </c>
      <c r="C9267" s="6">
        <v>20.478950000000001</v>
      </c>
      <c r="D9267" s="6">
        <v>85</v>
      </c>
      <c r="E9267" s="6">
        <v>0</v>
      </c>
      <c r="F9267" s="6">
        <v>0</v>
      </c>
      <c r="G9267" s="6">
        <v>0</v>
      </c>
      <c r="H9267" s="6" t="s">
        <v>18854</v>
      </c>
      <c r="I9267" s="6">
        <v>526.6875</v>
      </c>
      <c r="J9267" s="2">
        <f t="shared" si="144"/>
        <v>43748.156718969905</v>
      </c>
    </row>
    <row r="9268" spans="1:10" x14ac:dyDescent="0.25">
      <c r="A9268" s="7" t="s">
        <v>18855</v>
      </c>
      <c r="B9268" s="8">
        <v>393.75</v>
      </c>
      <c r="C9268" s="8">
        <v>20.426300000000001</v>
      </c>
      <c r="D9268" s="8">
        <v>84</v>
      </c>
      <c r="E9268" s="8">
        <v>0</v>
      </c>
      <c r="F9268" s="8">
        <v>0</v>
      </c>
      <c r="G9268" s="8">
        <v>6</v>
      </c>
      <c r="H9268" s="8" t="s">
        <v>18856</v>
      </c>
      <c r="I9268" s="8">
        <v>526.6875</v>
      </c>
      <c r="J9268" s="3">
        <f t="shared" si="144"/>
        <v>43748.156790266199</v>
      </c>
    </row>
    <row r="9269" spans="1:10" x14ac:dyDescent="0.25">
      <c r="A9269" s="5" t="s">
        <v>18857</v>
      </c>
      <c r="B9269" s="6">
        <v>393.75</v>
      </c>
      <c r="C9269" s="6">
        <v>20.478950000000001</v>
      </c>
      <c r="D9269" s="6">
        <v>84</v>
      </c>
      <c r="E9269" s="6">
        <v>0</v>
      </c>
      <c r="F9269" s="6">
        <v>0</v>
      </c>
      <c r="G9269" s="6">
        <v>7</v>
      </c>
      <c r="H9269" s="6" t="s">
        <v>18858</v>
      </c>
      <c r="I9269" s="6">
        <v>526.6875</v>
      </c>
      <c r="J9269" s="2">
        <f t="shared" si="144"/>
        <v>43748.156861562493</v>
      </c>
    </row>
    <row r="9270" spans="1:10" x14ac:dyDescent="0.25">
      <c r="A9270" s="7" t="s">
        <v>18859</v>
      </c>
      <c r="B9270" s="8">
        <v>393.75</v>
      </c>
      <c r="C9270" s="8">
        <v>20.478950000000001</v>
      </c>
      <c r="D9270" s="8">
        <v>83</v>
      </c>
      <c r="E9270" s="8">
        <v>0</v>
      </c>
      <c r="F9270" s="8">
        <v>0</v>
      </c>
      <c r="G9270" s="8">
        <v>11</v>
      </c>
      <c r="H9270" s="8" t="s">
        <v>18860</v>
      </c>
      <c r="I9270" s="8">
        <v>526.6875</v>
      </c>
      <c r="J9270" s="3">
        <f t="shared" si="144"/>
        <v>43748.156944884257</v>
      </c>
    </row>
    <row r="9271" spans="1:10" x14ac:dyDescent="0.25">
      <c r="A9271" s="5" t="s">
        <v>18861</v>
      </c>
      <c r="B9271" s="6">
        <v>393.75</v>
      </c>
      <c r="C9271" s="6">
        <v>20.478950000000001</v>
      </c>
      <c r="D9271" s="6">
        <v>84</v>
      </c>
      <c r="E9271" s="6">
        <v>0</v>
      </c>
      <c r="F9271" s="6">
        <v>0</v>
      </c>
      <c r="G9271" s="6">
        <v>2</v>
      </c>
      <c r="H9271" s="6" t="s">
        <v>18862</v>
      </c>
      <c r="I9271" s="6">
        <v>526.6875</v>
      </c>
      <c r="J9271" s="2">
        <f t="shared" si="144"/>
        <v>43748.157017118057</v>
      </c>
    </row>
    <row r="9272" spans="1:10" x14ac:dyDescent="0.25">
      <c r="A9272" s="7" t="s">
        <v>18863</v>
      </c>
      <c r="B9272" s="8">
        <v>393.75</v>
      </c>
      <c r="C9272" s="8">
        <v>20.478950000000001</v>
      </c>
      <c r="D9272" s="8">
        <v>84</v>
      </c>
      <c r="E9272" s="8">
        <v>0</v>
      </c>
      <c r="F9272" s="8">
        <v>0</v>
      </c>
      <c r="G9272" s="8">
        <v>4</v>
      </c>
      <c r="H9272" s="8" t="s">
        <v>18864</v>
      </c>
      <c r="I9272" s="8">
        <v>526.6875</v>
      </c>
      <c r="J9272" s="3">
        <f t="shared" si="144"/>
        <v>43748.157087951382</v>
      </c>
    </row>
    <row r="9273" spans="1:10" x14ac:dyDescent="0.25">
      <c r="A9273" s="5" t="s">
        <v>18865</v>
      </c>
      <c r="B9273" s="6">
        <v>393.75</v>
      </c>
      <c r="C9273" s="6">
        <v>20.478950000000001</v>
      </c>
      <c r="D9273" s="6">
        <v>84</v>
      </c>
      <c r="E9273" s="6">
        <v>0</v>
      </c>
      <c r="F9273" s="6">
        <v>0</v>
      </c>
      <c r="G9273" s="6">
        <v>3</v>
      </c>
      <c r="H9273" s="6" t="s">
        <v>18866</v>
      </c>
      <c r="I9273" s="6">
        <v>526.6875</v>
      </c>
      <c r="J9273" s="2">
        <f t="shared" si="144"/>
        <v>43748.157171689811</v>
      </c>
    </row>
    <row r="9274" spans="1:10" x14ac:dyDescent="0.25">
      <c r="A9274" s="7" t="s">
        <v>18867</v>
      </c>
      <c r="B9274" s="8">
        <v>393.75</v>
      </c>
      <c r="C9274" s="8">
        <v>20.478950000000001</v>
      </c>
      <c r="D9274" s="8">
        <v>81</v>
      </c>
      <c r="E9274" s="8">
        <v>0</v>
      </c>
      <c r="F9274" s="8">
        <v>0</v>
      </c>
      <c r="G9274" s="8">
        <v>7</v>
      </c>
      <c r="H9274" s="8" t="s">
        <v>18868</v>
      </c>
      <c r="I9274" s="8">
        <v>526.6875</v>
      </c>
      <c r="J9274" s="3">
        <f t="shared" si="144"/>
        <v>43748.157243043977</v>
      </c>
    </row>
    <row r="9275" spans="1:10" x14ac:dyDescent="0.25">
      <c r="A9275" s="5" t="s">
        <v>18869</v>
      </c>
      <c r="B9275" s="6">
        <v>393.75</v>
      </c>
      <c r="C9275" s="6">
        <v>20.478950000000001</v>
      </c>
      <c r="D9275" s="6">
        <v>83</v>
      </c>
      <c r="E9275" s="6">
        <v>0</v>
      </c>
      <c r="F9275" s="6">
        <v>0</v>
      </c>
      <c r="G9275" s="6">
        <v>3</v>
      </c>
      <c r="H9275" s="6" t="s">
        <v>18870</v>
      </c>
      <c r="I9275" s="6">
        <v>526.6875</v>
      </c>
      <c r="J9275" s="2">
        <f t="shared" si="144"/>
        <v>43748.157315254626</v>
      </c>
    </row>
    <row r="9276" spans="1:10" x14ac:dyDescent="0.25">
      <c r="A9276" s="7" t="s">
        <v>18871</v>
      </c>
      <c r="B9276" s="8">
        <v>393.75</v>
      </c>
      <c r="C9276" s="8">
        <v>20.478950000000001</v>
      </c>
      <c r="D9276" s="8">
        <v>85</v>
      </c>
      <c r="E9276" s="8">
        <v>0</v>
      </c>
      <c r="F9276" s="8">
        <v>0</v>
      </c>
      <c r="G9276" s="8">
        <v>4</v>
      </c>
      <c r="H9276" s="8" t="s">
        <v>18872</v>
      </c>
      <c r="I9276" s="8">
        <v>526.6875</v>
      </c>
      <c r="J9276" s="3">
        <f t="shared" si="144"/>
        <v>43748.157386539351</v>
      </c>
    </row>
    <row r="9277" spans="1:10" x14ac:dyDescent="0.25">
      <c r="A9277" s="5" t="s">
        <v>18873</v>
      </c>
      <c r="B9277" s="6">
        <v>393.75</v>
      </c>
      <c r="C9277" s="6">
        <v>20.426300000000001</v>
      </c>
      <c r="D9277" s="6">
        <v>85</v>
      </c>
      <c r="E9277" s="6">
        <v>0</v>
      </c>
      <c r="F9277" s="6">
        <v>0</v>
      </c>
      <c r="G9277" s="6">
        <v>3</v>
      </c>
      <c r="H9277" s="6" t="s">
        <v>18874</v>
      </c>
      <c r="I9277" s="6">
        <v>526.6875</v>
      </c>
      <c r="J9277" s="2">
        <f t="shared" si="144"/>
        <v>43748.157457847221</v>
      </c>
    </row>
    <row r="9278" spans="1:10" x14ac:dyDescent="0.25">
      <c r="A9278" s="7" t="s">
        <v>18875</v>
      </c>
      <c r="B9278" s="8">
        <v>412.5</v>
      </c>
      <c r="C9278" s="8">
        <v>20.478950000000001</v>
      </c>
      <c r="D9278" s="8">
        <v>85</v>
      </c>
      <c r="E9278" s="8">
        <v>0</v>
      </c>
      <c r="F9278" s="8">
        <v>0</v>
      </c>
      <c r="G9278" s="8">
        <v>3</v>
      </c>
      <c r="H9278" s="8" t="s">
        <v>18876</v>
      </c>
      <c r="I9278" s="8">
        <v>532.3125</v>
      </c>
      <c r="J9278" s="3">
        <f t="shared" si="144"/>
        <v>43748.157529247685</v>
      </c>
    </row>
    <row r="9279" spans="1:10" x14ac:dyDescent="0.25">
      <c r="A9279" s="5" t="s">
        <v>18877</v>
      </c>
      <c r="B9279" s="6">
        <v>393.75</v>
      </c>
      <c r="C9279" s="6">
        <v>20.426300000000001</v>
      </c>
      <c r="D9279" s="6">
        <v>85</v>
      </c>
      <c r="E9279" s="6">
        <v>0</v>
      </c>
      <c r="F9279" s="6">
        <v>0</v>
      </c>
      <c r="G9279" s="6">
        <v>8</v>
      </c>
      <c r="H9279" s="6" t="s">
        <v>18878</v>
      </c>
      <c r="I9279" s="6">
        <v>526.6875</v>
      </c>
      <c r="J9279" s="2">
        <f t="shared" si="144"/>
        <v>43748.157615937496</v>
      </c>
    </row>
    <row r="9280" spans="1:10" x14ac:dyDescent="0.25">
      <c r="A9280" s="7" t="s">
        <v>18879</v>
      </c>
      <c r="B9280" s="8">
        <v>393.75</v>
      </c>
      <c r="C9280" s="8">
        <v>20.478950000000001</v>
      </c>
      <c r="D9280" s="8">
        <v>85</v>
      </c>
      <c r="E9280" s="8">
        <v>0</v>
      </c>
      <c r="F9280" s="8">
        <v>0</v>
      </c>
      <c r="G9280" s="8">
        <v>8</v>
      </c>
      <c r="H9280" s="8" t="s">
        <v>18880</v>
      </c>
      <c r="I9280" s="8">
        <v>526.6875</v>
      </c>
      <c r="J9280" s="3">
        <f t="shared" si="144"/>
        <v>43748.157696736111</v>
      </c>
    </row>
    <row r="9281" spans="1:10" x14ac:dyDescent="0.25">
      <c r="A9281" s="5" t="s">
        <v>18881</v>
      </c>
      <c r="B9281" s="6">
        <v>393.75</v>
      </c>
      <c r="C9281" s="6">
        <v>20.478950000000001</v>
      </c>
      <c r="D9281" s="6">
        <v>85</v>
      </c>
      <c r="E9281" s="6">
        <v>0</v>
      </c>
      <c r="F9281" s="6">
        <v>0</v>
      </c>
      <c r="G9281" s="6">
        <v>3</v>
      </c>
      <c r="H9281" s="6" t="s">
        <v>18882</v>
      </c>
      <c r="I9281" s="6">
        <v>526.6875</v>
      </c>
      <c r="J9281" s="2">
        <f t="shared" si="144"/>
        <v>43748.157776851855</v>
      </c>
    </row>
    <row r="9282" spans="1:10" x14ac:dyDescent="0.25">
      <c r="A9282" s="7" t="s">
        <v>18883</v>
      </c>
      <c r="B9282" s="8">
        <v>393.75</v>
      </c>
      <c r="C9282" s="8">
        <v>20.478950000000001</v>
      </c>
      <c r="D9282" s="8">
        <v>85</v>
      </c>
      <c r="E9282" s="8">
        <v>0</v>
      </c>
      <c r="F9282" s="8">
        <v>0</v>
      </c>
      <c r="G9282" s="8">
        <v>0</v>
      </c>
      <c r="H9282" s="8" t="s">
        <v>18884</v>
      </c>
      <c r="I9282" s="8">
        <v>526.6875</v>
      </c>
      <c r="J9282" s="3">
        <f t="shared" ref="J9282:J9345" si="145">(H9282/86400000)+25569+(7/24)</f>
        <v>43748.157851377313</v>
      </c>
    </row>
    <row r="9283" spans="1:10" x14ac:dyDescent="0.25">
      <c r="A9283" s="5" t="s">
        <v>18885</v>
      </c>
      <c r="B9283" s="6">
        <v>393.75</v>
      </c>
      <c r="C9283" s="6">
        <v>20.478950000000001</v>
      </c>
      <c r="D9283" s="6">
        <v>85</v>
      </c>
      <c r="E9283" s="6">
        <v>0</v>
      </c>
      <c r="F9283" s="6">
        <v>0</v>
      </c>
      <c r="G9283" s="6">
        <v>9</v>
      </c>
      <c r="H9283" s="6" t="s">
        <v>18886</v>
      </c>
      <c r="I9283" s="6">
        <v>526.6875</v>
      </c>
      <c r="J9283" s="2">
        <f t="shared" si="145"/>
        <v>43748.1579227662</v>
      </c>
    </row>
    <row r="9284" spans="1:10" x14ac:dyDescent="0.25">
      <c r="A9284" s="7" t="s">
        <v>18887</v>
      </c>
      <c r="B9284" s="8">
        <v>412.5</v>
      </c>
      <c r="C9284" s="8">
        <v>20.478950000000001</v>
      </c>
      <c r="D9284" s="8">
        <v>85</v>
      </c>
      <c r="E9284" s="8">
        <v>0</v>
      </c>
      <c r="F9284" s="8">
        <v>0</v>
      </c>
      <c r="G9284" s="8">
        <v>3</v>
      </c>
      <c r="H9284" s="8" t="s">
        <v>18888</v>
      </c>
      <c r="I9284" s="8">
        <v>532.875</v>
      </c>
      <c r="J9284" s="3">
        <f t="shared" si="145"/>
        <v>43748.157994872679</v>
      </c>
    </row>
    <row r="9285" spans="1:10" x14ac:dyDescent="0.25">
      <c r="A9285" s="5" t="s">
        <v>18889</v>
      </c>
      <c r="B9285" s="6">
        <v>400</v>
      </c>
      <c r="C9285" s="6">
        <v>20.478950000000001</v>
      </c>
      <c r="D9285" s="6">
        <v>86</v>
      </c>
      <c r="E9285" s="6">
        <v>0</v>
      </c>
      <c r="F9285" s="6">
        <v>0</v>
      </c>
      <c r="G9285" s="6">
        <v>6</v>
      </c>
      <c r="H9285" s="6" t="s">
        <v>18890</v>
      </c>
      <c r="I9285" s="6">
        <v>528.1875</v>
      </c>
      <c r="J9285" s="2">
        <f t="shared" si="145"/>
        <v>43748.15806616898</v>
      </c>
    </row>
    <row r="9286" spans="1:10" x14ac:dyDescent="0.25">
      <c r="A9286" s="7" t="s">
        <v>18891</v>
      </c>
      <c r="B9286" s="8">
        <v>400</v>
      </c>
      <c r="C9286" s="8">
        <v>20.478950000000001</v>
      </c>
      <c r="D9286" s="8">
        <v>86</v>
      </c>
      <c r="E9286" s="8">
        <v>0</v>
      </c>
      <c r="F9286" s="8">
        <v>0</v>
      </c>
      <c r="G9286" s="8">
        <v>16</v>
      </c>
      <c r="H9286" s="8" t="s">
        <v>18892</v>
      </c>
      <c r="I9286" s="8">
        <v>528.1875</v>
      </c>
      <c r="J9286" s="3">
        <f t="shared" si="145"/>
        <v>43748.158161539344</v>
      </c>
    </row>
    <row r="9287" spans="1:10" x14ac:dyDescent="0.25">
      <c r="A9287" s="5" t="s">
        <v>18893</v>
      </c>
      <c r="B9287" s="6">
        <v>400</v>
      </c>
      <c r="C9287" s="6">
        <v>20.478950000000001</v>
      </c>
      <c r="D9287" s="6">
        <v>85</v>
      </c>
      <c r="E9287" s="6">
        <v>0</v>
      </c>
      <c r="F9287" s="6">
        <v>0</v>
      </c>
      <c r="G9287" s="6">
        <v>1</v>
      </c>
      <c r="H9287" s="6" t="s">
        <v>18894</v>
      </c>
      <c r="I9287" s="6">
        <v>528.1875</v>
      </c>
      <c r="J9287" s="2">
        <f t="shared" si="145"/>
        <v>43748.15823285879</v>
      </c>
    </row>
    <row r="9288" spans="1:10" x14ac:dyDescent="0.25">
      <c r="A9288" s="7" t="s">
        <v>18895</v>
      </c>
      <c r="B9288" s="8">
        <v>400</v>
      </c>
      <c r="C9288" s="8">
        <v>20.478950000000001</v>
      </c>
      <c r="D9288" s="8">
        <v>85</v>
      </c>
      <c r="E9288" s="8">
        <v>0</v>
      </c>
      <c r="F9288" s="8">
        <v>0</v>
      </c>
      <c r="G9288" s="8">
        <v>8</v>
      </c>
      <c r="H9288" s="8" t="s">
        <v>18896</v>
      </c>
      <c r="I9288" s="8">
        <v>528.1875</v>
      </c>
      <c r="J9288" s="3">
        <f t="shared" si="145"/>
        <v>43748.158304386576</v>
      </c>
    </row>
    <row r="9289" spans="1:10" x14ac:dyDescent="0.25">
      <c r="A9289" s="5" t="s">
        <v>18897</v>
      </c>
      <c r="B9289" s="6">
        <v>400</v>
      </c>
      <c r="C9289" s="6">
        <v>20.478950000000001</v>
      </c>
      <c r="D9289" s="6">
        <v>85</v>
      </c>
      <c r="E9289" s="6">
        <v>0</v>
      </c>
      <c r="F9289" s="6">
        <v>0</v>
      </c>
      <c r="G9289" s="6">
        <v>1</v>
      </c>
      <c r="H9289" s="6" t="s">
        <v>18898</v>
      </c>
      <c r="I9289" s="6">
        <v>528.1875</v>
      </c>
      <c r="J9289" s="2">
        <f t="shared" si="145"/>
        <v>43748.158376458327</v>
      </c>
    </row>
    <row r="9290" spans="1:10" x14ac:dyDescent="0.25">
      <c r="A9290" s="7" t="s">
        <v>18899</v>
      </c>
      <c r="B9290" s="8">
        <v>400</v>
      </c>
      <c r="C9290" s="8">
        <v>20.478950000000001</v>
      </c>
      <c r="D9290" s="8">
        <v>85</v>
      </c>
      <c r="E9290" s="8">
        <v>0</v>
      </c>
      <c r="F9290" s="8">
        <v>0</v>
      </c>
      <c r="G9290" s="8">
        <v>7</v>
      </c>
      <c r="H9290" s="8" t="s">
        <v>18900</v>
      </c>
      <c r="I9290" s="8">
        <v>528.375</v>
      </c>
      <c r="J9290" s="3">
        <f t="shared" si="145"/>
        <v>43748.15844767361</v>
      </c>
    </row>
    <row r="9291" spans="1:10" x14ac:dyDescent="0.25">
      <c r="A9291" s="5" t="s">
        <v>18901</v>
      </c>
      <c r="B9291" s="6">
        <v>396.875</v>
      </c>
      <c r="C9291" s="6">
        <v>20.478950000000001</v>
      </c>
      <c r="D9291" s="6">
        <v>85</v>
      </c>
      <c r="E9291" s="6">
        <v>0</v>
      </c>
      <c r="F9291" s="6">
        <v>0</v>
      </c>
      <c r="G9291" s="6">
        <v>7</v>
      </c>
      <c r="H9291" s="6" t="s">
        <v>18902</v>
      </c>
      <c r="I9291" s="6">
        <v>527.4375</v>
      </c>
      <c r="J9291" s="2">
        <f t="shared" si="145"/>
        <v>43748.158519085649</v>
      </c>
    </row>
    <row r="9292" spans="1:10" x14ac:dyDescent="0.25">
      <c r="A9292" s="7" t="s">
        <v>18903</v>
      </c>
      <c r="B9292" s="8">
        <v>396.875</v>
      </c>
      <c r="C9292" s="8">
        <v>20.478950000000001</v>
      </c>
      <c r="D9292" s="8">
        <v>86</v>
      </c>
      <c r="E9292" s="8">
        <v>0</v>
      </c>
      <c r="F9292" s="8">
        <v>0</v>
      </c>
      <c r="G9292" s="8">
        <v>11</v>
      </c>
      <c r="H9292" s="8" t="s">
        <v>18904</v>
      </c>
      <c r="I9292" s="8">
        <v>527.4375</v>
      </c>
      <c r="J9292" s="3">
        <f t="shared" si="145"/>
        <v>43748.15859777778</v>
      </c>
    </row>
    <row r="9293" spans="1:10" x14ac:dyDescent="0.25">
      <c r="A9293" s="5" t="s">
        <v>18905</v>
      </c>
      <c r="B9293" s="6">
        <v>396.875</v>
      </c>
      <c r="C9293" s="6">
        <v>20.478950000000001</v>
      </c>
      <c r="D9293" s="6">
        <v>87</v>
      </c>
      <c r="E9293" s="6">
        <v>0</v>
      </c>
      <c r="F9293" s="6">
        <v>0</v>
      </c>
      <c r="G9293" s="6">
        <v>4</v>
      </c>
      <c r="H9293" s="6" t="s">
        <v>18906</v>
      </c>
      <c r="I9293" s="6">
        <v>527.25</v>
      </c>
      <c r="J9293" s="2">
        <f t="shared" si="145"/>
        <v>43748.158674513885</v>
      </c>
    </row>
    <row r="9294" spans="1:10" x14ac:dyDescent="0.25">
      <c r="A9294" s="7" t="s">
        <v>18907</v>
      </c>
      <c r="B9294" s="8">
        <v>428.125</v>
      </c>
      <c r="C9294" s="8">
        <v>20.478950000000001</v>
      </c>
      <c r="D9294" s="8">
        <v>86</v>
      </c>
      <c r="E9294" s="8">
        <v>0</v>
      </c>
      <c r="F9294" s="8">
        <v>0</v>
      </c>
      <c r="G9294" s="8">
        <v>11</v>
      </c>
      <c r="H9294" s="8" t="s">
        <v>18908</v>
      </c>
      <c r="I9294" s="8">
        <v>537.5625</v>
      </c>
      <c r="J9294" s="3">
        <f t="shared" si="145"/>
        <v>43748.158745821762</v>
      </c>
    </row>
    <row r="9295" spans="1:10" x14ac:dyDescent="0.25">
      <c r="A9295" s="5" t="s">
        <v>18909</v>
      </c>
      <c r="B9295" s="6">
        <v>396.875</v>
      </c>
      <c r="C9295" s="6">
        <v>20.478950000000001</v>
      </c>
      <c r="D9295" s="6">
        <v>86</v>
      </c>
      <c r="E9295" s="6">
        <v>0</v>
      </c>
      <c r="F9295" s="6">
        <v>0</v>
      </c>
      <c r="G9295" s="6">
        <v>5</v>
      </c>
      <c r="H9295" s="6" t="s">
        <v>18910</v>
      </c>
      <c r="I9295" s="6">
        <v>527.4375</v>
      </c>
      <c r="J9295" s="2">
        <f t="shared" si="145"/>
        <v>43748.158817222218</v>
      </c>
    </row>
    <row r="9296" spans="1:10" x14ac:dyDescent="0.25">
      <c r="A9296" s="7" t="s">
        <v>18911</v>
      </c>
      <c r="B9296" s="8">
        <v>396.875</v>
      </c>
      <c r="C9296" s="8">
        <v>20.478950000000001</v>
      </c>
      <c r="D9296" s="8">
        <v>87</v>
      </c>
      <c r="E9296" s="8">
        <v>0</v>
      </c>
      <c r="F9296" s="8">
        <v>0</v>
      </c>
      <c r="G9296" s="8">
        <v>12</v>
      </c>
      <c r="H9296" s="8" t="s">
        <v>18912</v>
      </c>
      <c r="I9296" s="8">
        <v>527.4375</v>
      </c>
      <c r="J9296" s="3">
        <f t="shared" si="145"/>
        <v>43748.158889317128</v>
      </c>
    </row>
    <row r="9297" spans="1:10" x14ac:dyDescent="0.25">
      <c r="A9297" s="5" t="s">
        <v>18913</v>
      </c>
      <c r="B9297" s="6">
        <v>396.875</v>
      </c>
      <c r="C9297" s="6">
        <v>20.426300000000001</v>
      </c>
      <c r="D9297" s="6">
        <v>86</v>
      </c>
      <c r="E9297" s="6">
        <v>0</v>
      </c>
      <c r="F9297" s="6">
        <v>0</v>
      </c>
      <c r="G9297" s="6">
        <v>6</v>
      </c>
      <c r="H9297" s="6" t="s">
        <v>18914</v>
      </c>
      <c r="I9297" s="6">
        <v>527.4375</v>
      </c>
      <c r="J9297" s="2">
        <f t="shared" si="145"/>
        <v>43748.158972662037</v>
      </c>
    </row>
    <row r="9298" spans="1:10" x14ac:dyDescent="0.25">
      <c r="A9298" s="7" t="s">
        <v>18915</v>
      </c>
      <c r="B9298" s="8">
        <v>396.875</v>
      </c>
      <c r="C9298" s="8">
        <v>20.478950000000001</v>
      </c>
      <c r="D9298" s="8">
        <v>86</v>
      </c>
      <c r="E9298" s="8">
        <v>0</v>
      </c>
      <c r="F9298" s="8">
        <v>0</v>
      </c>
      <c r="G9298" s="8">
        <v>2</v>
      </c>
      <c r="H9298" s="8" t="s">
        <v>18916</v>
      </c>
      <c r="I9298" s="8">
        <v>527.4375</v>
      </c>
      <c r="J9298" s="3">
        <f t="shared" si="145"/>
        <v>43748.159043969907</v>
      </c>
    </row>
    <row r="9299" spans="1:10" x14ac:dyDescent="0.25">
      <c r="A9299" s="5" t="s">
        <v>18917</v>
      </c>
      <c r="B9299" s="6">
        <v>396.875</v>
      </c>
      <c r="C9299" s="6">
        <v>20.478950000000001</v>
      </c>
      <c r="D9299" s="6">
        <v>87</v>
      </c>
      <c r="E9299" s="6">
        <v>0</v>
      </c>
      <c r="F9299" s="6">
        <v>0</v>
      </c>
      <c r="G9299" s="6">
        <v>6</v>
      </c>
      <c r="H9299" s="6" t="s">
        <v>18918</v>
      </c>
      <c r="I9299" s="6">
        <v>527.4375</v>
      </c>
      <c r="J9299" s="2">
        <f t="shared" si="145"/>
        <v>43748.159116018513</v>
      </c>
    </row>
    <row r="9300" spans="1:10" x14ac:dyDescent="0.25">
      <c r="A9300" s="7" t="s">
        <v>18919</v>
      </c>
      <c r="B9300" s="8">
        <v>396.875</v>
      </c>
      <c r="C9300" s="8">
        <v>20.478950000000001</v>
      </c>
      <c r="D9300" s="8">
        <v>87</v>
      </c>
      <c r="E9300" s="8">
        <v>0</v>
      </c>
      <c r="F9300" s="8">
        <v>0</v>
      </c>
      <c r="G9300" s="8">
        <v>3</v>
      </c>
      <c r="H9300" s="8" t="s">
        <v>18920</v>
      </c>
      <c r="I9300" s="8">
        <v>527.4375</v>
      </c>
      <c r="J9300" s="3">
        <f t="shared" si="145"/>
        <v>43748.159186597222</v>
      </c>
    </row>
    <row r="9301" spans="1:10" x14ac:dyDescent="0.25">
      <c r="A9301" s="5" t="s">
        <v>18921</v>
      </c>
      <c r="B9301" s="6">
        <v>396.875</v>
      </c>
      <c r="C9301" s="6">
        <v>20.426300000000001</v>
      </c>
      <c r="D9301" s="6">
        <v>89</v>
      </c>
      <c r="E9301" s="6">
        <v>0</v>
      </c>
      <c r="F9301" s="6">
        <v>0</v>
      </c>
      <c r="G9301" s="6">
        <v>1</v>
      </c>
      <c r="H9301" s="6" t="s">
        <v>18922</v>
      </c>
      <c r="I9301" s="6">
        <v>527.4375</v>
      </c>
      <c r="J9301" s="2">
        <f t="shared" si="145"/>
        <v>43748.15925877315</v>
      </c>
    </row>
    <row r="9302" spans="1:10" x14ac:dyDescent="0.25">
      <c r="A9302" s="7" t="s">
        <v>18923</v>
      </c>
      <c r="B9302" s="8">
        <v>415.625</v>
      </c>
      <c r="C9302" s="8">
        <v>20.478950000000001</v>
      </c>
      <c r="D9302" s="8">
        <v>90</v>
      </c>
      <c r="E9302" s="8">
        <v>0</v>
      </c>
      <c r="F9302" s="8">
        <v>0</v>
      </c>
      <c r="G9302" s="8">
        <v>0</v>
      </c>
      <c r="H9302" s="8" t="s">
        <v>18924</v>
      </c>
      <c r="I9302" s="8">
        <v>533.4375</v>
      </c>
      <c r="J9302" s="3">
        <f t="shared" si="145"/>
        <v>43748.159330081013</v>
      </c>
    </row>
    <row r="9303" spans="1:10" x14ac:dyDescent="0.25">
      <c r="A9303" s="5" t="s">
        <v>18925</v>
      </c>
      <c r="B9303" s="6">
        <v>396.875</v>
      </c>
      <c r="C9303" s="6">
        <v>20.426300000000001</v>
      </c>
      <c r="D9303" s="6">
        <v>89</v>
      </c>
      <c r="E9303" s="6">
        <v>0</v>
      </c>
      <c r="F9303" s="6">
        <v>0</v>
      </c>
      <c r="G9303" s="6">
        <v>3</v>
      </c>
      <c r="H9303" s="6" t="s">
        <v>18926</v>
      </c>
      <c r="I9303" s="6">
        <v>527.4375</v>
      </c>
      <c r="J9303" s="2">
        <f t="shared" si="145"/>
        <v>43748.159425451384</v>
      </c>
    </row>
    <row r="9304" spans="1:10" x14ac:dyDescent="0.25">
      <c r="A9304" s="7" t="s">
        <v>18927</v>
      </c>
      <c r="B9304" s="8">
        <v>396.875</v>
      </c>
      <c r="C9304" s="8">
        <v>20.478950000000001</v>
      </c>
      <c r="D9304" s="8">
        <v>87</v>
      </c>
      <c r="E9304" s="8">
        <v>0</v>
      </c>
      <c r="F9304" s="8">
        <v>0</v>
      </c>
      <c r="G9304" s="8">
        <v>7</v>
      </c>
      <c r="H9304" s="8" t="s">
        <v>18928</v>
      </c>
      <c r="I9304" s="8">
        <v>527.4375</v>
      </c>
      <c r="J9304" s="3">
        <f t="shared" si="145"/>
        <v>43748.159496967586</v>
      </c>
    </row>
    <row r="9305" spans="1:10" x14ac:dyDescent="0.25">
      <c r="A9305" s="5" t="s">
        <v>18929</v>
      </c>
      <c r="B9305" s="6">
        <v>396.875</v>
      </c>
      <c r="C9305" s="6">
        <v>20.478950000000001</v>
      </c>
      <c r="D9305" s="6">
        <v>87</v>
      </c>
      <c r="E9305" s="6">
        <v>0</v>
      </c>
      <c r="F9305" s="6">
        <v>0</v>
      </c>
      <c r="G9305" s="6">
        <v>9</v>
      </c>
      <c r="H9305" s="6" t="s">
        <v>18930</v>
      </c>
      <c r="I9305" s="6">
        <v>527.4375</v>
      </c>
      <c r="J9305" s="2">
        <f t="shared" si="145"/>
        <v>43748.159568946758</v>
      </c>
    </row>
    <row r="9306" spans="1:10" x14ac:dyDescent="0.25">
      <c r="A9306" s="7" t="s">
        <v>18931</v>
      </c>
      <c r="B9306" s="8">
        <v>393.75</v>
      </c>
      <c r="C9306" s="8">
        <v>20.478950000000001</v>
      </c>
      <c r="D9306" s="8">
        <v>87</v>
      </c>
      <c r="E9306" s="8">
        <v>0</v>
      </c>
      <c r="F9306" s="8">
        <v>0</v>
      </c>
      <c r="G9306" s="8">
        <v>3</v>
      </c>
      <c r="H9306" s="8" t="s">
        <v>18932</v>
      </c>
      <c r="I9306" s="8">
        <v>526.5</v>
      </c>
      <c r="J9306" s="3">
        <f t="shared" si="145"/>
        <v>43748.159664293977</v>
      </c>
    </row>
    <row r="9307" spans="1:10" x14ac:dyDescent="0.25">
      <c r="A9307" s="5" t="s">
        <v>18933</v>
      </c>
      <c r="B9307" s="6">
        <v>418.75</v>
      </c>
      <c r="C9307" s="6">
        <v>20.478950000000001</v>
      </c>
      <c r="D9307" s="6">
        <v>87</v>
      </c>
      <c r="E9307" s="6">
        <v>0</v>
      </c>
      <c r="F9307" s="6">
        <v>0</v>
      </c>
      <c r="G9307" s="6">
        <v>7</v>
      </c>
      <c r="H9307" s="6" t="s">
        <v>18934</v>
      </c>
      <c r="I9307" s="6">
        <v>534.1875</v>
      </c>
      <c r="J9307" s="2">
        <f t="shared" si="145"/>
        <v>43748.159735636575</v>
      </c>
    </row>
    <row r="9308" spans="1:10" x14ac:dyDescent="0.25">
      <c r="A9308" s="7" t="s">
        <v>18935</v>
      </c>
      <c r="B9308" s="8">
        <v>396.875</v>
      </c>
      <c r="C9308" s="8">
        <v>20.478950000000001</v>
      </c>
      <c r="D9308" s="8">
        <v>87</v>
      </c>
      <c r="E9308" s="8">
        <v>0</v>
      </c>
      <c r="F9308" s="8">
        <v>0</v>
      </c>
      <c r="G9308" s="8">
        <v>3</v>
      </c>
      <c r="H9308" s="8" t="s">
        <v>18936</v>
      </c>
      <c r="I9308" s="8">
        <v>527.4375</v>
      </c>
      <c r="J9308" s="3">
        <f t="shared" si="145"/>
        <v>43748.159818993052</v>
      </c>
    </row>
    <row r="9309" spans="1:10" x14ac:dyDescent="0.25">
      <c r="A9309" s="5" t="s">
        <v>18937</v>
      </c>
      <c r="B9309" s="6">
        <v>396.875</v>
      </c>
      <c r="C9309" s="6">
        <v>20.478950000000001</v>
      </c>
      <c r="D9309" s="6">
        <v>87</v>
      </c>
      <c r="E9309" s="6">
        <v>0</v>
      </c>
      <c r="F9309" s="6">
        <v>0</v>
      </c>
      <c r="G9309" s="6">
        <v>8</v>
      </c>
      <c r="H9309" s="6" t="s">
        <v>18938</v>
      </c>
      <c r="I9309" s="6">
        <v>527.4375</v>
      </c>
      <c r="J9309" s="2">
        <f t="shared" si="145"/>
        <v>43748.159891215277</v>
      </c>
    </row>
    <row r="9310" spans="1:10" x14ac:dyDescent="0.25">
      <c r="A9310" s="7" t="s">
        <v>18939</v>
      </c>
      <c r="B9310" s="8">
        <v>396.875</v>
      </c>
      <c r="C9310" s="8">
        <v>20.426300000000001</v>
      </c>
      <c r="D9310" s="8">
        <v>87</v>
      </c>
      <c r="E9310" s="8">
        <v>0</v>
      </c>
      <c r="F9310" s="8">
        <v>0</v>
      </c>
      <c r="G9310" s="8">
        <v>2</v>
      </c>
      <c r="H9310" s="8" t="s">
        <v>18940</v>
      </c>
      <c r="I9310" s="8">
        <v>527.4375</v>
      </c>
      <c r="J9310" s="3">
        <f t="shared" si="145"/>
        <v>43748.15996247685</v>
      </c>
    </row>
    <row r="9311" spans="1:10" x14ac:dyDescent="0.25">
      <c r="A9311" s="5" t="s">
        <v>18941</v>
      </c>
      <c r="B9311" s="6">
        <v>396.875</v>
      </c>
      <c r="C9311" s="6">
        <v>20.478950000000001</v>
      </c>
      <c r="D9311" s="6">
        <v>88</v>
      </c>
      <c r="E9311" s="6">
        <v>0</v>
      </c>
      <c r="F9311" s="6">
        <v>0</v>
      </c>
      <c r="G9311" s="6">
        <v>3</v>
      </c>
      <c r="H9311" s="6" t="s">
        <v>18942</v>
      </c>
      <c r="I9311" s="6">
        <v>527.4375</v>
      </c>
      <c r="J9311" s="2">
        <f t="shared" si="145"/>
        <v>43748.160033773143</v>
      </c>
    </row>
    <row r="9312" spans="1:10" x14ac:dyDescent="0.25">
      <c r="A9312" s="7" t="s">
        <v>18943</v>
      </c>
      <c r="B9312" s="8">
        <v>396.875</v>
      </c>
      <c r="C9312" s="8">
        <v>20.478950000000001</v>
      </c>
      <c r="D9312" s="8">
        <v>88</v>
      </c>
      <c r="E9312" s="8">
        <v>0</v>
      </c>
      <c r="F9312" s="8">
        <v>0</v>
      </c>
      <c r="G9312" s="8">
        <v>11</v>
      </c>
      <c r="H9312" s="8" t="s">
        <v>18944</v>
      </c>
      <c r="I9312" s="8">
        <v>527.4375</v>
      </c>
      <c r="J9312" s="3">
        <f t="shared" si="145"/>
        <v>43748.16010512731</v>
      </c>
    </row>
    <row r="9313" spans="1:10" x14ac:dyDescent="0.25">
      <c r="A9313" s="5" t="s">
        <v>18945</v>
      </c>
      <c r="B9313" s="6">
        <v>396.875</v>
      </c>
      <c r="C9313" s="6">
        <v>20.426300000000001</v>
      </c>
      <c r="D9313" s="6">
        <v>88</v>
      </c>
      <c r="E9313" s="6">
        <v>0</v>
      </c>
      <c r="F9313" s="6">
        <v>0</v>
      </c>
      <c r="G9313" s="6">
        <v>0</v>
      </c>
      <c r="H9313" s="6" t="s">
        <v>18946</v>
      </c>
      <c r="I9313" s="6">
        <v>527.4375</v>
      </c>
      <c r="J9313" s="2">
        <f t="shared" si="145"/>
        <v>43748.160177291669</v>
      </c>
    </row>
    <row r="9314" spans="1:10" x14ac:dyDescent="0.25">
      <c r="A9314" s="7" t="s">
        <v>18947</v>
      </c>
      <c r="B9314" s="8">
        <v>396.875</v>
      </c>
      <c r="C9314" s="8">
        <v>20.426300000000001</v>
      </c>
      <c r="D9314" s="8">
        <v>88</v>
      </c>
      <c r="E9314" s="8">
        <v>0</v>
      </c>
      <c r="F9314" s="8">
        <v>0</v>
      </c>
      <c r="G9314" s="8">
        <v>10</v>
      </c>
      <c r="H9314" s="8" t="s">
        <v>18948</v>
      </c>
      <c r="I9314" s="8">
        <v>527.4375</v>
      </c>
      <c r="J9314" s="3">
        <f t="shared" si="145"/>
        <v>43748.160248587963</v>
      </c>
    </row>
    <row r="9315" spans="1:10" x14ac:dyDescent="0.25">
      <c r="A9315" s="5" t="s">
        <v>18949</v>
      </c>
      <c r="B9315" s="6">
        <v>415.625</v>
      </c>
      <c r="C9315" s="6">
        <v>20.478950000000001</v>
      </c>
      <c r="D9315" s="6">
        <v>88</v>
      </c>
      <c r="E9315" s="6">
        <v>0</v>
      </c>
      <c r="F9315" s="6">
        <v>0</v>
      </c>
      <c r="G9315" s="6">
        <v>13</v>
      </c>
      <c r="H9315" s="6" t="s">
        <v>18950</v>
      </c>
      <c r="I9315" s="6">
        <v>533.0625</v>
      </c>
      <c r="J9315" s="2">
        <f t="shared" si="145"/>
        <v>43748.160319907409</v>
      </c>
    </row>
    <row r="9316" spans="1:10" x14ac:dyDescent="0.25">
      <c r="A9316" s="7" t="s">
        <v>18951</v>
      </c>
      <c r="B9316" s="8">
        <v>396.875</v>
      </c>
      <c r="C9316" s="8">
        <v>20.426300000000001</v>
      </c>
      <c r="D9316" s="8">
        <v>88</v>
      </c>
      <c r="E9316" s="8">
        <v>0</v>
      </c>
      <c r="F9316" s="8">
        <v>0</v>
      </c>
      <c r="G9316" s="8">
        <v>7</v>
      </c>
      <c r="H9316" s="8" t="s">
        <v>18952</v>
      </c>
      <c r="I9316" s="8">
        <v>527.4375</v>
      </c>
      <c r="J9316" s="3">
        <f t="shared" si="145"/>
        <v>43748.16039193287</v>
      </c>
    </row>
    <row r="9317" spans="1:10" x14ac:dyDescent="0.25">
      <c r="A9317" s="5" t="s">
        <v>18953</v>
      </c>
      <c r="B9317" s="6">
        <v>396.875</v>
      </c>
      <c r="C9317" s="6">
        <v>20.478950000000001</v>
      </c>
      <c r="D9317" s="6">
        <v>87</v>
      </c>
      <c r="E9317" s="6">
        <v>0</v>
      </c>
      <c r="F9317" s="6">
        <v>0</v>
      </c>
      <c r="G9317" s="6">
        <v>6</v>
      </c>
      <c r="H9317" s="6" t="s">
        <v>18954</v>
      </c>
      <c r="I9317" s="6">
        <v>527.4375</v>
      </c>
      <c r="J9317" s="2">
        <f t="shared" si="145"/>
        <v>43748.160463414351</v>
      </c>
    </row>
    <row r="9318" spans="1:10" x14ac:dyDescent="0.25">
      <c r="A9318" s="7" t="s">
        <v>18955</v>
      </c>
      <c r="B9318" s="8">
        <v>393.75</v>
      </c>
      <c r="C9318" s="8">
        <v>20.426300000000001</v>
      </c>
      <c r="D9318" s="8">
        <v>87</v>
      </c>
      <c r="E9318" s="8">
        <v>0</v>
      </c>
      <c r="F9318" s="8">
        <v>0</v>
      </c>
      <c r="G9318" s="8">
        <v>4</v>
      </c>
      <c r="H9318" s="8" t="s">
        <v>18956</v>
      </c>
      <c r="I9318" s="8">
        <v>526.5</v>
      </c>
      <c r="J9318" s="3">
        <f t="shared" si="145"/>
        <v>43748.160534652772</v>
      </c>
    </row>
    <row r="9319" spans="1:10" x14ac:dyDescent="0.25">
      <c r="A9319" s="5" t="s">
        <v>18957</v>
      </c>
      <c r="B9319" s="6">
        <v>393.75</v>
      </c>
      <c r="C9319" s="6">
        <v>20.478950000000001</v>
      </c>
      <c r="D9319" s="6">
        <v>87</v>
      </c>
      <c r="E9319" s="6">
        <v>0</v>
      </c>
      <c r="F9319" s="6">
        <v>0</v>
      </c>
      <c r="G9319" s="6">
        <v>5</v>
      </c>
      <c r="H9319" s="6" t="s">
        <v>18958</v>
      </c>
      <c r="I9319" s="6">
        <v>526.6875</v>
      </c>
      <c r="J9319" s="2">
        <f t="shared" si="145"/>
        <v>43748.160606076388</v>
      </c>
    </row>
    <row r="9320" spans="1:10" x14ac:dyDescent="0.25">
      <c r="A9320" s="7" t="s">
        <v>18959</v>
      </c>
      <c r="B9320" s="8">
        <v>396.875</v>
      </c>
      <c r="C9320" s="8">
        <v>20.478950000000001</v>
      </c>
      <c r="D9320" s="8">
        <v>86</v>
      </c>
      <c r="E9320" s="8">
        <v>0</v>
      </c>
      <c r="F9320" s="8">
        <v>0</v>
      </c>
      <c r="G9320" s="8">
        <v>1</v>
      </c>
      <c r="H9320" s="8" t="s">
        <v>18960</v>
      </c>
      <c r="I9320" s="8">
        <v>527.4375</v>
      </c>
      <c r="J9320" s="3">
        <f t="shared" si="145"/>
        <v>43748.16067824074</v>
      </c>
    </row>
    <row r="9321" spans="1:10" x14ac:dyDescent="0.25">
      <c r="A9321" s="5" t="s">
        <v>18961</v>
      </c>
      <c r="B9321" s="6">
        <v>396.875</v>
      </c>
      <c r="C9321" s="6">
        <v>20.478950000000001</v>
      </c>
      <c r="D9321" s="6">
        <v>86</v>
      </c>
      <c r="E9321" s="6">
        <v>0</v>
      </c>
      <c r="F9321" s="6">
        <v>0</v>
      </c>
      <c r="G9321" s="6">
        <v>11</v>
      </c>
      <c r="H9321" s="6" t="s">
        <v>18962</v>
      </c>
      <c r="I9321" s="6">
        <v>527.4375</v>
      </c>
      <c r="J9321" s="2">
        <f t="shared" si="145"/>
        <v>43748.160749525465</v>
      </c>
    </row>
    <row r="9322" spans="1:10" x14ac:dyDescent="0.25">
      <c r="A9322" s="7" t="s">
        <v>18963</v>
      </c>
      <c r="B9322" s="8">
        <v>396.875</v>
      </c>
      <c r="C9322" s="8">
        <v>20.478950000000001</v>
      </c>
      <c r="D9322" s="8">
        <v>87</v>
      </c>
      <c r="E9322" s="8">
        <v>0</v>
      </c>
      <c r="F9322" s="8">
        <v>0</v>
      </c>
      <c r="G9322" s="8">
        <v>5</v>
      </c>
      <c r="H9322" s="8" t="s">
        <v>18964</v>
      </c>
      <c r="I9322" s="8">
        <v>527.4375</v>
      </c>
      <c r="J9322" s="3">
        <f t="shared" si="145"/>
        <v>43748.160820821759</v>
      </c>
    </row>
    <row r="9323" spans="1:10" x14ac:dyDescent="0.25">
      <c r="A9323" s="5" t="s">
        <v>18965</v>
      </c>
      <c r="B9323" s="6">
        <v>396.875</v>
      </c>
      <c r="C9323" s="6">
        <v>20.478950000000001</v>
      </c>
      <c r="D9323" s="6">
        <v>87</v>
      </c>
      <c r="E9323" s="6">
        <v>0</v>
      </c>
      <c r="F9323" s="6">
        <v>0</v>
      </c>
      <c r="G9323" s="6">
        <v>11</v>
      </c>
      <c r="H9323" s="6" t="s">
        <v>18966</v>
      </c>
      <c r="I9323" s="6">
        <v>527.4375</v>
      </c>
      <c r="J9323" s="2">
        <f t="shared" si="145"/>
        <v>43748.160892187494</v>
      </c>
    </row>
    <row r="9324" spans="1:10" x14ac:dyDescent="0.25">
      <c r="A9324" s="7" t="s">
        <v>18967</v>
      </c>
      <c r="B9324" s="8">
        <v>396.875</v>
      </c>
      <c r="C9324" s="8">
        <v>20.478950000000001</v>
      </c>
      <c r="D9324" s="8">
        <v>88</v>
      </c>
      <c r="E9324" s="8">
        <v>0</v>
      </c>
      <c r="F9324" s="8">
        <v>0</v>
      </c>
      <c r="G9324" s="8">
        <v>4</v>
      </c>
      <c r="H9324" s="8" t="s">
        <v>18968</v>
      </c>
      <c r="I9324" s="8">
        <v>527.4375</v>
      </c>
      <c r="J9324" s="3">
        <f t="shared" si="145"/>
        <v>43748.160964282404</v>
      </c>
    </row>
    <row r="9325" spans="1:10" x14ac:dyDescent="0.25">
      <c r="A9325" s="5" t="s">
        <v>18969</v>
      </c>
      <c r="B9325" s="6">
        <v>396.875</v>
      </c>
      <c r="C9325" s="6">
        <v>20.478950000000001</v>
      </c>
      <c r="D9325" s="6">
        <v>81</v>
      </c>
      <c r="E9325" s="6">
        <v>0</v>
      </c>
      <c r="F9325" s="6">
        <v>0</v>
      </c>
      <c r="G9325" s="6">
        <v>10</v>
      </c>
      <c r="H9325" s="6" t="s">
        <v>18970</v>
      </c>
      <c r="I9325" s="6">
        <v>527.4375</v>
      </c>
      <c r="J9325" s="2">
        <f t="shared" si="145"/>
        <v>43748.161035636571</v>
      </c>
    </row>
    <row r="9326" spans="1:10" x14ac:dyDescent="0.25">
      <c r="A9326" s="7" t="s">
        <v>18971</v>
      </c>
      <c r="B9326" s="8">
        <v>396.875</v>
      </c>
      <c r="C9326" s="8">
        <v>20.478950000000001</v>
      </c>
      <c r="D9326" s="8">
        <v>80</v>
      </c>
      <c r="E9326" s="8">
        <v>0</v>
      </c>
      <c r="F9326" s="8">
        <v>0</v>
      </c>
      <c r="G9326" s="8">
        <v>10</v>
      </c>
      <c r="H9326" s="8" t="s">
        <v>18972</v>
      </c>
      <c r="I9326" s="8">
        <v>527.4375</v>
      </c>
      <c r="J9326" s="3">
        <f t="shared" si="145"/>
        <v>43748.161106932872</v>
      </c>
    </row>
    <row r="9327" spans="1:10" x14ac:dyDescent="0.25">
      <c r="A9327" s="5" t="s">
        <v>18973</v>
      </c>
      <c r="B9327" s="6">
        <v>393.75</v>
      </c>
      <c r="C9327" s="6">
        <v>20.478950000000001</v>
      </c>
      <c r="D9327" s="6">
        <v>81</v>
      </c>
      <c r="E9327" s="6">
        <v>0</v>
      </c>
      <c r="F9327" s="6">
        <v>0</v>
      </c>
      <c r="G9327" s="6">
        <v>0</v>
      </c>
      <c r="H9327" s="6" t="s">
        <v>18974</v>
      </c>
      <c r="I9327" s="6">
        <v>526.6875</v>
      </c>
      <c r="J9327" s="2">
        <f t="shared" si="145"/>
        <v>43748.161179108793</v>
      </c>
    </row>
    <row r="9328" spans="1:10" x14ac:dyDescent="0.25">
      <c r="A9328" s="7" t="s">
        <v>18975</v>
      </c>
      <c r="B9328" s="8">
        <v>412.5</v>
      </c>
      <c r="C9328" s="8">
        <v>20.478950000000001</v>
      </c>
      <c r="D9328" s="8">
        <v>82</v>
      </c>
      <c r="E9328" s="8">
        <v>0</v>
      </c>
      <c r="F9328" s="8">
        <v>0</v>
      </c>
      <c r="G9328" s="8">
        <v>11</v>
      </c>
      <c r="H9328" s="8" t="s">
        <v>18976</v>
      </c>
      <c r="I9328" s="8">
        <v>532.3125</v>
      </c>
      <c r="J9328" s="3">
        <f t="shared" si="145"/>
        <v>43748.161250439814</v>
      </c>
    </row>
    <row r="9329" spans="1:10" x14ac:dyDescent="0.25">
      <c r="A9329" s="5" t="s">
        <v>18977</v>
      </c>
      <c r="B9329" s="6">
        <v>393.75</v>
      </c>
      <c r="C9329" s="6">
        <v>20.478950000000001</v>
      </c>
      <c r="D9329" s="6">
        <v>85</v>
      </c>
      <c r="E9329" s="6">
        <v>0</v>
      </c>
      <c r="F9329" s="6">
        <v>0</v>
      </c>
      <c r="G9329" s="6">
        <v>8</v>
      </c>
      <c r="H9329" s="6" t="s">
        <v>18978</v>
      </c>
      <c r="I9329" s="6">
        <v>526.6875</v>
      </c>
      <c r="J9329" s="2">
        <f t="shared" si="145"/>
        <v>43748.16132175926</v>
      </c>
    </row>
    <row r="9330" spans="1:10" x14ac:dyDescent="0.25">
      <c r="A9330" s="7" t="s">
        <v>18979</v>
      </c>
      <c r="B9330" s="8">
        <v>393.75</v>
      </c>
      <c r="C9330" s="8">
        <v>20.478950000000001</v>
      </c>
      <c r="D9330" s="8">
        <v>84</v>
      </c>
      <c r="E9330" s="8">
        <v>0</v>
      </c>
      <c r="F9330" s="8">
        <v>0</v>
      </c>
      <c r="G9330" s="8">
        <v>11</v>
      </c>
      <c r="H9330" s="8" t="s">
        <v>18980</v>
      </c>
      <c r="I9330" s="8">
        <v>526.6875</v>
      </c>
      <c r="J9330" s="3">
        <f t="shared" si="145"/>
        <v>43748.161393923605</v>
      </c>
    </row>
    <row r="9331" spans="1:10" x14ac:dyDescent="0.25">
      <c r="A9331" s="5" t="s">
        <v>18981</v>
      </c>
      <c r="B9331" s="6">
        <v>393.75</v>
      </c>
      <c r="C9331" s="6">
        <v>20.426300000000001</v>
      </c>
      <c r="D9331" s="6">
        <v>84</v>
      </c>
      <c r="E9331" s="6">
        <v>0</v>
      </c>
      <c r="F9331" s="6">
        <v>0</v>
      </c>
      <c r="G9331" s="6">
        <v>8</v>
      </c>
      <c r="H9331" s="6" t="s">
        <v>18982</v>
      </c>
      <c r="I9331" s="6">
        <v>526.6875</v>
      </c>
      <c r="J9331" s="2">
        <f t="shared" si="145"/>
        <v>43748.161464351848</v>
      </c>
    </row>
    <row r="9332" spans="1:10" x14ac:dyDescent="0.25">
      <c r="A9332" s="7" t="s">
        <v>18983</v>
      </c>
      <c r="B9332" s="8">
        <v>393.75</v>
      </c>
      <c r="C9332" s="8">
        <v>20.478950000000001</v>
      </c>
      <c r="D9332" s="8">
        <v>87</v>
      </c>
      <c r="E9332" s="8">
        <v>0</v>
      </c>
      <c r="F9332" s="8">
        <v>0</v>
      </c>
      <c r="G9332" s="8">
        <v>4</v>
      </c>
      <c r="H9332" s="8" t="s">
        <v>18984</v>
      </c>
      <c r="I9332" s="8">
        <v>526.6875</v>
      </c>
      <c r="J9332" s="3">
        <f t="shared" si="145"/>
        <v>43748.161536562497</v>
      </c>
    </row>
    <row r="9333" spans="1:10" x14ac:dyDescent="0.25">
      <c r="A9333" s="5" t="s">
        <v>18985</v>
      </c>
      <c r="B9333" s="6">
        <v>393.75</v>
      </c>
      <c r="C9333" s="6">
        <v>20.478950000000001</v>
      </c>
      <c r="D9333" s="6">
        <v>87</v>
      </c>
      <c r="E9333" s="6">
        <v>0</v>
      </c>
      <c r="F9333" s="6">
        <v>0</v>
      </c>
      <c r="G9333" s="6">
        <v>0</v>
      </c>
      <c r="H9333" s="6" t="s">
        <v>18986</v>
      </c>
      <c r="I9333" s="6">
        <v>526.6875</v>
      </c>
      <c r="J9333" s="2">
        <f t="shared" si="145"/>
        <v>43748.16160785879</v>
      </c>
    </row>
    <row r="9334" spans="1:10" x14ac:dyDescent="0.25">
      <c r="A9334" s="7" t="s">
        <v>18987</v>
      </c>
      <c r="B9334" s="8">
        <v>393.75</v>
      </c>
      <c r="C9334" s="8">
        <v>20.478950000000001</v>
      </c>
      <c r="D9334" s="8">
        <v>87</v>
      </c>
      <c r="E9334" s="8">
        <v>0</v>
      </c>
      <c r="F9334" s="8">
        <v>0</v>
      </c>
      <c r="G9334" s="8">
        <v>4</v>
      </c>
      <c r="H9334" s="8" t="s">
        <v>18988</v>
      </c>
      <c r="I9334" s="8">
        <v>526.6875</v>
      </c>
      <c r="J9334" s="3">
        <f t="shared" si="145"/>
        <v>43748.161679236109</v>
      </c>
    </row>
    <row r="9335" spans="1:10" x14ac:dyDescent="0.25">
      <c r="A9335" s="5" t="s">
        <v>18989</v>
      </c>
      <c r="B9335" s="6">
        <v>393.75</v>
      </c>
      <c r="C9335" s="6">
        <v>20.426300000000001</v>
      </c>
      <c r="D9335" s="6">
        <v>87</v>
      </c>
      <c r="E9335" s="6">
        <v>0</v>
      </c>
      <c r="F9335" s="6">
        <v>0</v>
      </c>
      <c r="G9335" s="6">
        <v>8</v>
      </c>
      <c r="H9335" s="6" t="s">
        <v>18990</v>
      </c>
      <c r="I9335" s="6">
        <v>526.6875</v>
      </c>
      <c r="J9335" s="2">
        <f t="shared" si="145"/>
        <v>43748.161751307867</v>
      </c>
    </row>
    <row r="9336" spans="1:10" x14ac:dyDescent="0.25">
      <c r="A9336" s="7" t="s">
        <v>18991</v>
      </c>
      <c r="B9336" s="8">
        <v>393.75</v>
      </c>
      <c r="C9336" s="8">
        <v>20.478950000000001</v>
      </c>
      <c r="D9336" s="8">
        <v>87</v>
      </c>
      <c r="E9336" s="8">
        <v>0</v>
      </c>
      <c r="F9336" s="8">
        <v>0</v>
      </c>
      <c r="G9336" s="8">
        <v>3</v>
      </c>
      <c r="H9336" s="8" t="s">
        <v>18992</v>
      </c>
      <c r="I9336" s="8">
        <v>526.6875</v>
      </c>
      <c r="J9336" s="3">
        <f t="shared" si="145"/>
        <v>43748.161822604168</v>
      </c>
    </row>
    <row r="9337" spans="1:10" x14ac:dyDescent="0.25">
      <c r="A9337" s="5" t="s">
        <v>18993</v>
      </c>
      <c r="B9337" s="6">
        <v>393.75</v>
      </c>
      <c r="C9337" s="6">
        <v>20.478950000000001</v>
      </c>
      <c r="D9337" s="6">
        <v>87</v>
      </c>
      <c r="E9337" s="6">
        <v>0</v>
      </c>
      <c r="F9337" s="6">
        <v>0</v>
      </c>
      <c r="G9337" s="6">
        <v>3</v>
      </c>
      <c r="H9337" s="6" t="s">
        <v>18994</v>
      </c>
      <c r="I9337" s="6">
        <v>526.6875</v>
      </c>
      <c r="J9337" s="2">
        <f t="shared" si="145"/>
        <v>43748.161893958335</v>
      </c>
    </row>
    <row r="9338" spans="1:10" x14ac:dyDescent="0.25">
      <c r="A9338" s="7" t="s">
        <v>18995</v>
      </c>
      <c r="B9338" s="8">
        <v>393.75</v>
      </c>
      <c r="C9338" s="8">
        <v>20.478950000000001</v>
      </c>
      <c r="D9338" s="8">
        <v>87</v>
      </c>
      <c r="E9338" s="8">
        <v>0</v>
      </c>
      <c r="F9338" s="8">
        <v>0</v>
      </c>
      <c r="G9338" s="8">
        <v>12</v>
      </c>
      <c r="H9338" s="8" t="s">
        <v>18996</v>
      </c>
      <c r="I9338" s="8">
        <v>526.6875</v>
      </c>
      <c r="J9338" s="3">
        <f t="shared" si="145"/>
        <v>43748.161989328706</v>
      </c>
    </row>
    <row r="9339" spans="1:10" x14ac:dyDescent="0.25">
      <c r="A9339" s="5" t="s">
        <v>18997</v>
      </c>
      <c r="B9339" s="6">
        <v>412.5</v>
      </c>
      <c r="C9339" s="6">
        <v>20.478950000000001</v>
      </c>
      <c r="D9339" s="6">
        <v>87</v>
      </c>
      <c r="E9339" s="6">
        <v>0</v>
      </c>
      <c r="F9339" s="6">
        <v>0</v>
      </c>
      <c r="G9339" s="6">
        <v>9</v>
      </c>
      <c r="H9339" s="6" t="s">
        <v>18998</v>
      </c>
      <c r="I9339" s="6">
        <v>532.125</v>
      </c>
      <c r="J9339" s="2">
        <f t="shared" si="145"/>
        <v>43748.162086770833</v>
      </c>
    </row>
    <row r="9340" spans="1:10" x14ac:dyDescent="0.25">
      <c r="A9340" s="7" t="s">
        <v>18999</v>
      </c>
      <c r="B9340" s="8">
        <v>393.75</v>
      </c>
      <c r="C9340" s="8">
        <v>20.426300000000001</v>
      </c>
      <c r="D9340" s="8">
        <v>87</v>
      </c>
      <c r="E9340" s="8">
        <v>0</v>
      </c>
      <c r="F9340" s="8">
        <v>0</v>
      </c>
      <c r="G9340" s="8">
        <v>4</v>
      </c>
      <c r="H9340" s="8" t="s">
        <v>19000</v>
      </c>
      <c r="I9340" s="8">
        <v>526.6875</v>
      </c>
      <c r="J9340" s="3">
        <f t="shared" si="145"/>
        <v>43748.162168148141</v>
      </c>
    </row>
    <row r="9341" spans="1:10" x14ac:dyDescent="0.25">
      <c r="A9341" s="5" t="s">
        <v>19001</v>
      </c>
      <c r="B9341" s="6">
        <v>412.5</v>
      </c>
      <c r="C9341" s="6">
        <v>20.478950000000001</v>
      </c>
      <c r="D9341" s="6">
        <v>85</v>
      </c>
      <c r="E9341" s="6">
        <v>0</v>
      </c>
      <c r="F9341" s="6">
        <v>0</v>
      </c>
      <c r="G9341" s="6">
        <v>0</v>
      </c>
      <c r="H9341" s="6" t="s">
        <v>19002</v>
      </c>
      <c r="I9341" s="6">
        <v>532.3125</v>
      </c>
      <c r="J9341" s="2">
        <f t="shared" si="145"/>
        <v>43748.162240243058</v>
      </c>
    </row>
    <row r="9342" spans="1:10" x14ac:dyDescent="0.25">
      <c r="A9342" s="7" t="s">
        <v>19003</v>
      </c>
      <c r="B9342" s="8">
        <v>393.75</v>
      </c>
      <c r="C9342" s="8">
        <v>20.478950000000001</v>
      </c>
      <c r="D9342" s="8">
        <v>85</v>
      </c>
      <c r="E9342" s="8">
        <v>0</v>
      </c>
      <c r="F9342" s="8">
        <v>0</v>
      </c>
      <c r="G9342" s="8">
        <v>1</v>
      </c>
      <c r="H9342" s="8" t="s">
        <v>19004</v>
      </c>
      <c r="I9342" s="8">
        <v>526.6875</v>
      </c>
      <c r="J9342" s="3">
        <f t="shared" si="145"/>
        <v>43748.16232358796</v>
      </c>
    </row>
    <row r="9343" spans="1:10" x14ac:dyDescent="0.25">
      <c r="A9343" s="5" t="s">
        <v>19005</v>
      </c>
      <c r="B9343" s="6">
        <v>393.75</v>
      </c>
      <c r="C9343" s="6">
        <v>20.478950000000001</v>
      </c>
      <c r="D9343" s="6">
        <v>85</v>
      </c>
      <c r="E9343" s="6">
        <v>0</v>
      </c>
      <c r="F9343" s="6">
        <v>0</v>
      </c>
      <c r="G9343" s="6">
        <v>6</v>
      </c>
      <c r="H9343" s="6" t="s">
        <v>19006</v>
      </c>
      <c r="I9343" s="6">
        <v>526.6875</v>
      </c>
      <c r="J9343" s="2">
        <f t="shared" si="145"/>
        <v>43748.162394872685</v>
      </c>
    </row>
    <row r="9344" spans="1:10" x14ac:dyDescent="0.25">
      <c r="A9344" s="7" t="s">
        <v>19007</v>
      </c>
      <c r="B9344" s="8">
        <v>393.75</v>
      </c>
      <c r="C9344" s="8">
        <v>20.478950000000001</v>
      </c>
      <c r="D9344" s="8">
        <v>85</v>
      </c>
      <c r="E9344" s="8">
        <v>0</v>
      </c>
      <c r="F9344" s="8">
        <v>0</v>
      </c>
      <c r="G9344" s="8">
        <v>0</v>
      </c>
      <c r="H9344" s="8" t="s">
        <v>19008</v>
      </c>
      <c r="I9344" s="8">
        <v>526.6875</v>
      </c>
      <c r="J9344" s="3">
        <f t="shared" si="145"/>
        <v>43748.162466296293</v>
      </c>
    </row>
    <row r="9345" spans="1:10" x14ac:dyDescent="0.25">
      <c r="A9345" s="5" t="s">
        <v>19009</v>
      </c>
      <c r="B9345" s="6">
        <v>393.75</v>
      </c>
      <c r="C9345" s="6">
        <v>20.478950000000001</v>
      </c>
      <c r="D9345" s="6">
        <v>85</v>
      </c>
      <c r="E9345" s="6">
        <v>0</v>
      </c>
      <c r="F9345" s="6">
        <v>0</v>
      </c>
      <c r="G9345" s="6">
        <v>8</v>
      </c>
      <c r="H9345" s="6" t="s">
        <v>19010</v>
      </c>
      <c r="I9345" s="6">
        <v>526.6875</v>
      </c>
      <c r="J9345" s="2">
        <f t="shared" si="145"/>
        <v>43748.162537731478</v>
      </c>
    </row>
    <row r="9346" spans="1:10" x14ac:dyDescent="0.25">
      <c r="A9346" s="7" t="s">
        <v>19011</v>
      </c>
      <c r="B9346" s="8">
        <v>393.75</v>
      </c>
      <c r="C9346" s="8">
        <v>20.478950000000001</v>
      </c>
      <c r="D9346" s="8">
        <v>85</v>
      </c>
      <c r="E9346" s="8">
        <v>0</v>
      </c>
      <c r="F9346" s="8">
        <v>0</v>
      </c>
      <c r="G9346" s="8">
        <v>9</v>
      </c>
      <c r="H9346" s="8" t="s">
        <v>19012</v>
      </c>
      <c r="I9346" s="8">
        <v>526.6875</v>
      </c>
      <c r="J9346" s="3">
        <f t="shared" ref="J9346:J9409" si="146">(H9346/86400000)+25569+(7/24)</f>
        <v>43748.162609699073</v>
      </c>
    </row>
    <row r="9347" spans="1:10" x14ac:dyDescent="0.25">
      <c r="A9347" s="5" t="s">
        <v>19013</v>
      </c>
      <c r="B9347" s="6">
        <v>393.75</v>
      </c>
      <c r="C9347" s="6">
        <v>20.478950000000001</v>
      </c>
      <c r="D9347" s="6">
        <v>85</v>
      </c>
      <c r="E9347" s="6">
        <v>0</v>
      </c>
      <c r="F9347" s="6">
        <v>0</v>
      </c>
      <c r="G9347" s="6">
        <v>1</v>
      </c>
      <c r="H9347" s="6" t="s">
        <v>19014</v>
      </c>
      <c r="I9347" s="6">
        <v>526.6875</v>
      </c>
      <c r="J9347" s="2">
        <f t="shared" si="146"/>
        <v>43748.162680833331</v>
      </c>
    </row>
    <row r="9348" spans="1:10" x14ac:dyDescent="0.25">
      <c r="A9348" s="7" t="s">
        <v>19015</v>
      </c>
      <c r="B9348" s="8">
        <v>393.75</v>
      </c>
      <c r="C9348" s="8">
        <v>20.478950000000001</v>
      </c>
      <c r="D9348" s="8">
        <v>84</v>
      </c>
      <c r="E9348" s="8">
        <v>0</v>
      </c>
      <c r="F9348" s="8">
        <v>0</v>
      </c>
      <c r="G9348" s="8">
        <v>7</v>
      </c>
      <c r="H9348" s="8" t="s">
        <v>19016</v>
      </c>
      <c r="I9348" s="8">
        <v>526.6875</v>
      </c>
      <c r="J9348" s="3">
        <f t="shared" si="146"/>
        <v>43748.162753217592</v>
      </c>
    </row>
    <row r="9349" spans="1:10" x14ac:dyDescent="0.25">
      <c r="A9349" s="5" t="s">
        <v>19017</v>
      </c>
      <c r="B9349" s="6">
        <v>393.75</v>
      </c>
      <c r="C9349" s="6">
        <v>20.478950000000001</v>
      </c>
      <c r="D9349" s="6">
        <v>84</v>
      </c>
      <c r="E9349" s="6">
        <v>0</v>
      </c>
      <c r="F9349" s="6">
        <v>0</v>
      </c>
      <c r="G9349" s="6">
        <v>10</v>
      </c>
      <c r="H9349" s="6" t="s">
        <v>19018</v>
      </c>
      <c r="I9349" s="6">
        <v>526.6875</v>
      </c>
      <c r="J9349" s="2">
        <f t="shared" si="146"/>
        <v>43748.16282453703</v>
      </c>
    </row>
    <row r="9350" spans="1:10" x14ac:dyDescent="0.25">
      <c r="A9350" s="7" t="s">
        <v>19019</v>
      </c>
      <c r="B9350" s="8">
        <v>393.75</v>
      </c>
      <c r="C9350" s="8">
        <v>20.478950000000001</v>
      </c>
      <c r="D9350" s="8">
        <v>84</v>
      </c>
      <c r="E9350" s="8">
        <v>0</v>
      </c>
      <c r="F9350" s="8">
        <v>0</v>
      </c>
      <c r="G9350" s="8">
        <v>0</v>
      </c>
      <c r="H9350" s="8" t="s">
        <v>19020</v>
      </c>
      <c r="I9350" s="8">
        <v>526.6875</v>
      </c>
      <c r="J9350" s="3">
        <f t="shared" si="146"/>
        <v>43748.16289579861</v>
      </c>
    </row>
    <row r="9351" spans="1:10" x14ac:dyDescent="0.25">
      <c r="A9351" s="5" t="s">
        <v>19021</v>
      </c>
      <c r="B9351" s="6">
        <v>393.75</v>
      </c>
      <c r="C9351" s="6">
        <v>20.478950000000001</v>
      </c>
      <c r="D9351" s="6">
        <v>84</v>
      </c>
      <c r="E9351" s="6">
        <v>0</v>
      </c>
      <c r="F9351" s="6">
        <v>0</v>
      </c>
      <c r="G9351" s="6">
        <v>2</v>
      </c>
      <c r="H9351" s="6" t="s">
        <v>19022</v>
      </c>
      <c r="I9351" s="6">
        <v>526.6875</v>
      </c>
      <c r="J9351" s="2">
        <f t="shared" si="146"/>
        <v>43748.162967037038</v>
      </c>
    </row>
    <row r="9352" spans="1:10" x14ac:dyDescent="0.25">
      <c r="A9352" s="7" t="s">
        <v>19023</v>
      </c>
      <c r="B9352" s="8">
        <v>393.75</v>
      </c>
      <c r="C9352" s="8">
        <v>20.478950000000001</v>
      </c>
      <c r="D9352" s="8">
        <v>83</v>
      </c>
      <c r="E9352" s="8">
        <v>0</v>
      </c>
      <c r="F9352" s="8">
        <v>0</v>
      </c>
      <c r="G9352" s="8">
        <v>2</v>
      </c>
      <c r="H9352" s="8" t="s">
        <v>19024</v>
      </c>
      <c r="I9352" s="8">
        <v>526.6875</v>
      </c>
      <c r="J9352" s="3">
        <f t="shared" si="146"/>
        <v>43748.163040231484</v>
      </c>
    </row>
    <row r="9353" spans="1:10" x14ac:dyDescent="0.25">
      <c r="A9353" s="5" t="s">
        <v>19025</v>
      </c>
      <c r="B9353" s="6">
        <v>412.5</v>
      </c>
      <c r="C9353" s="6">
        <v>20.478950000000001</v>
      </c>
      <c r="D9353" s="6">
        <v>83</v>
      </c>
      <c r="E9353" s="6">
        <v>0</v>
      </c>
      <c r="F9353" s="6">
        <v>0</v>
      </c>
      <c r="G9353" s="6">
        <v>7</v>
      </c>
      <c r="H9353" s="6" t="s">
        <v>19026</v>
      </c>
      <c r="I9353" s="6">
        <v>532.125</v>
      </c>
      <c r="J9353" s="2">
        <f t="shared" si="146"/>
        <v>43748.16312266203</v>
      </c>
    </row>
    <row r="9354" spans="1:10" x14ac:dyDescent="0.25">
      <c r="A9354" s="7" t="s">
        <v>19027</v>
      </c>
      <c r="B9354" s="8">
        <v>393.75</v>
      </c>
      <c r="C9354" s="8">
        <v>20.478950000000001</v>
      </c>
      <c r="D9354" s="8">
        <v>84</v>
      </c>
      <c r="E9354" s="8">
        <v>0</v>
      </c>
      <c r="F9354" s="8">
        <v>0</v>
      </c>
      <c r="G9354" s="8">
        <v>9</v>
      </c>
      <c r="H9354" s="8" t="s">
        <v>19028</v>
      </c>
      <c r="I9354" s="8">
        <v>526.6875</v>
      </c>
      <c r="J9354" s="3">
        <f t="shared" si="146"/>
        <v>43748.163193958331</v>
      </c>
    </row>
    <row r="9355" spans="1:10" x14ac:dyDescent="0.25">
      <c r="A9355" s="5" t="s">
        <v>19029</v>
      </c>
      <c r="B9355" s="6">
        <v>393.75</v>
      </c>
      <c r="C9355" s="6">
        <v>20.426300000000001</v>
      </c>
      <c r="D9355" s="6">
        <v>86</v>
      </c>
      <c r="E9355" s="6">
        <v>0</v>
      </c>
      <c r="F9355" s="6">
        <v>0</v>
      </c>
      <c r="G9355" s="6">
        <v>15</v>
      </c>
      <c r="H9355" s="6" t="s">
        <v>19030</v>
      </c>
      <c r="I9355" s="6">
        <v>526.6875</v>
      </c>
      <c r="J9355" s="2">
        <f t="shared" si="146"/>
        <v>43748.163289317126</v>
      </c>
    </row>
    <row r="9356" spans="1:10" x14ac:dyDescent="0.25">
      <c r="A9356" s="7" t="s">
        <v>19031</v>
      </c>
      <c r="B9356" s="8">
        <v>393.75</v>
      </c>
      <c r="C9356" s="8">
        <v>20.478950000000001</v>
      </c>
      <c r="D9356" s="8">
        <v>87</v>
      </c>
      <c r="E9356" s="8">
        <v>0</v>
      </c>
      <c r="F9356" s="8">
        <v>0</v>
      </c>
      <c r="G9356" s="8">
        <v>2</v>
      </c>
      <c r="H9356" s="8" t="s">
        <v>19032</v>
      </c>
      <c r="I9356" s="8">
        <v>526.6875</v>
      </c>
      <c r="J9356" s="3">
        <f t="shared" si="146"/>
        <v>43748.163360671293</v>
      </c>
    </row>
    <row r="9357" spans="1:10" x14ac:dyDescent="0.25">
      <c r="A9357" s="5" t="s">
        <v>19033</v>
      </c>
      <c r="B9357" s="6">
        <v>393.75</v>
      </c>
      <c r="C9357" s="6">
        <v>20.478950000000001</v>
      </c>
      <c r="D9357" s="6">
        <v>86</v>
      </c>
      <c r="E9357" s="6">
        <v>0</v>
      </c>
      <c r="F9357" s="6">
        <v>0</v>
      </c>
      <c r="G9357" s="6">
        <v>9</v>
      </c>
      <c r="H9357" s="6" t="s">
        <v>19034</v>
      </c>
      <c r="I9357" s="6">
        <v>526.6875</v>
      </c>
      <c r="J9357" s="2">
        <f t="shared" si="146"/>
        <v>43748.163432847221</v>
      </c>
    </row>
    <row r="9358" spans="1:10" x14ac:dyDescent="0.25">
      <c r="A9358" s="7" t="s">
        <v>19035</v>
      </c>
      <c r="B9358" s="8">
        <v>393.75</v>
      </c>
      <c r="C9358" s="8">
        <v>20.478950000000001</v>
      </c>
      <c r="D9358" s="8">
        <v>84</v>
      </c>
      <c r="E9358" s="8">
        <v>0</v>
      </c>
      <c r="F9358" s="8">
        <v>0</v>
      </c>
      <c r="G9358" s="8">
        <v>10</v>
      </c>
      <c r="H9358" s="8" t="s">
        <v>19036</v>
      </c>
      <c r="I9358" s="8">
        <v>526.6875</v>
      </c>
      <c r="J9358" s="3">
        <f t="shared" si="146"/>
        <v>43748.163504131946</v>
      </c>
    </row>
    <row r="9359" spans="1:10" x14ac:dyDescent="0.25">
      <c r="A9359" s="5" t="s">
        <v>19037</v>
      </c>
      <c r="B9359" s="6">
        <v>412.5</v>
      </c>
      <c r="C9359" s="6">
        <v>20.478950000000001</v>
      </c>
      <c r="D9359" s="6">
        <v>84</v>
      </c>
      <c r="E9359" s="6">
        <v>0</v>
      </c>
      <c r="F9359" s="6">
        <v>0</v>
      </c>
      <c r="G9359" s="6">
        <v>6</v>
      </c>
      <c r="H9359" s="6" t="s">
        <v>19038</v>
      </c>
      <c r="I9359" s="6">
        <v>532.875</v>
      </c>
      <c r="J9359" s="2">
        <f t="shared" si="146"/>
        <v>43748.163575439808</v>
      </c>
    </row>
    <row r="9360" spans="1:10" x14ac:dyDescent="0.25">
      <c r="A9360" s="7" t="s">
        <v>19039</v>
      </c>
      <c r="B9360" s="8">
        <v>393.75</v>
      </c>
      <c r="C9360" s="8">
        <v>20.478950000000001</v>
      </c>
      <c r="D9360" s="8">
        <v>85</v>
      </c>
      <c r="E9360" s="8">
        <v>0</v>
      </c>
      <c r="F9360" s="8">
        <v>0</v>
      </c>
      <c r="G9360" s="8">
        <v>7</v>
      </c>
      <c r="H9360" s="8" t="s">
        <v>19040</v>
      </c>
      <c r="I9360" s="8">
        <v>526.6875</v>
      </c>
      <c r="J9360" s="3">
        <f t="shared" si="146"/>
        <v>43748.163647511574</v>
      </c>
    </row>
    <row r="9361" spans="1:10" x14ac:dyDescent="0.25">
      <c r="A9361" s="5" t="s">
        <v>19041</v>
      </c>
      <c r="B9361" s="6">
        <v>393.75</v>
      </c>
      <c r="C9361" s="6">
        <v>20.478950000000001</v>
      </c>
      <c r="D9361" s="6">
        <v>85</v>
      </c>
      <c r="E9361" s="6">
        <v>0</v>
      </c>
      <c r="F9361" s="6">
        <v>0</v>
      </c>
      <c r="G9361" s="6">
        <v>6</v>
      </c>
      <c r="H9361" s="6" t="s">
        <v>19042</v>
      </c>
      <c r="I9361" s="6">
        <v>526.6875</v>
      </c>
      <c r="J9361" s="2">
        <f t="shared" si="146"/>
        <v>43748.16373098379</v>
      </c>
    </row>
    <row r="9362" spans="1:10" x14ac:dyDescent="0.25">
      <c r="A9362" s="7" t="s">
        <v>19043</v>
      </c>
      <c r="B9362" s="8">
        <v>393.75</v>
      </c>
      <c r="C9362" s="8">
        <v>20.426300000000001</v>
      </c>
      <c r="D9362" s="8">
        <v>86</v>
      </c>
      <c r="E9362" s="8">
        <v>0</v>
      </c>
      <c r="F9362" s="8">
        <v>0</v>
      </c>
      <c r="G9362" s="8">
        <v>12</v>
      </c>
      <c r="H9362" s="8" t="s">
        <v>19044</v>
      </c>
      <c r="I9362" s="8">
        <v>526.6875</v>
      </c>
      <c r="J9362" s="3">
        <f t="shared" si="146"/>
        <v>43748.163802303236</v>
      </c>
    </row>
    <row r="9363" spans="1:10" x14ac:dyDescent="0.25">
      <c r="A9363" s="5" t="s">
        <v>19045</v>
      </c>
      <c r="B9363" s="6">
        <v>393.75</v>
      </c>
      <c r="C9363" s="6">
        <v>20.478950000000001</v>
      </c>
      <c r="D9363" s="6">
        <v>85</v>
      </c>
      <c r="E9363" s="6">
        <v>0</v>
      </c>
      <c r="F9363" s="6">
        <v>0</v>
      </c>
      <c r="G9363" s="6">
        <v>6</v>
      </c>
      <c r="H9363" s="6" t="s">
        <v>19046</v>
      </c>
      <c r="I9363" s="6">
        <v>526.5</v>
      </c>
      <c r="J9363" s="2">
        <f t="shared" si="146"/>
        <v>43748.163873541664</v>
      </c>
    </row>
    <row r="9364" spans="1:10" x14ac:dyDescent="0.25">
      <c r="A9364" s="7" t="s">
        <v>19047</v>
      </c>
      <c r="B9364" s="8">
        <v>396.875</v>
      </c>
      <c r="C9364" s="8">
        <v>20.478950000000001</v>
      </c>
      <c r="D9364" s="8">
        <v>87</v>
      </c>
      <c r="E9364" s="8">
        <v>0</v>
      </c>
      <c r="F9364" s="8">
        <v>0</v>
      </c>
      <c r="G9364" s="8">
        <v>7</v>
      </c>
      <c r="H9364" s="8" t="s">
        <v>19048</v>
      </c>
      <c r="I9364" s="8">
        <v>527.4375</v>
      </c>
      <c r="J9364" s="3">
        <f t="shared" si="146"/>
        <v>43748.163946249995</v>
      </c>
    </row>
    <row r="9365" spans="1:10" x14ac:dyDescent="0.25">
      <c r="A9365" s="5" t="s">
        <v>19049</v>
      </c>
      <c r="B9365" s="6">
        <v>396.875</v>
      </c>
      <c r="C9365" s="6">
        <v>20.426300000000001</v>
      </c>
      <c r="D9365" s="6">
        <v>87</v>
      </c>
      <c r="E9365" s="6">
        <v>0</v>
      </c>
      <c r="F9365" s="6">
        <v>0</v>
      </c>
      <c r="G9365" s="6">
        <v>6</v>
      </c>
      <c r="H9365" s="6" t="s">
        <v>19050</v>
      </c>
      <c r="I9365" s="6">
        <v>527.4375</v>
      </c>
      <c r="J9365" s="2">
        <f t="shared" si="146"/>
        <v>43748.164029074069</v>
      </c>
    </row>
    <row r="9366" spans="1:10" x14ac:dyDescent="0.25">
      <c r="A9366" s="7" t="s">
        <v>19051</v>
      </c>
      <c r="B9366" s="8">
        <v>418.75</v>
      </c>
      <c r="C9366" s="8">
        <v>20.478950000000001</v>
      </c>
      <c r="D9366" s="8">
        <v>86</v>
      </c>
      <c r="E9366" s="8">
        <v>0</v>
      </c>
      <c r="F9366" s="8">
        <v>0</v>
      </c>
      <c r="G9366" s="8">
        <v>6</v>
      </c>
      <c r="H9366" s="8" t="s">
        <v>19052</v>
      </c>
      <c r="I9366" s="8">
        <v>534</v>
      </c>
      <c r="J9366" s="3">
        <f t="shared" si="146"/>
        <v>43748.164100428236</v>
      </c>
    </row>
    <row r="9367" spans="1:10" x14ac:dyDescent="0.25">
      <c r="A9367" s="5" t="s">
        <v>19053</v>
      </c>
      <c r="B9367" s="6">
        <v>400</v>
      </c>
      <c r="C9367" s="6">
        <v>20.478950000000001</v>
      </c>
      <c r="D9367" s="6">
        <v>86</v>
      </c>
      <c r="E9367" s="6">
        <v>0</v>
      </c>
      <c r="F9367" s="6">
        <v>0</v>
      </c>
      <c r="G9367" s="6">
        <v>2</v>
      </c>
      <c r="H9367" s="6" t="s">
        <v>19054</v>
      </c>
      <c r="I9367" s="6">
        <v>528.375</v>
      </c>
      <c r="J9367" s="2">
        <f t="shared" si="146"/>
        <v>43748.164171736113</v>
      </c>
    </row>
    <row r="9368" spans="1:10" x14ac:dyDescent="0.25">
      <c r="A9368" s="7" t="s">
        <v>19055</v>
      </c>
      <c r="B9368" s="8">
        <v>403.125</v>
      </c>
      <c r="C9368" s="8">
        <v>20.478950000000001</v>
      </c>
      <c r="D9368" s="8">
        <v>85</v>
      </c>
      <c r="E9368" s="8">
        <v>0</v>
      </c>
      <c r="F9368" s="8">
        <v>0</v>
      </c>
      <c r="G9368" s="8">
        <v>12</v>
      </c>
      <c r="H9368" s="8" t="s">
        <v>19056</v>
      </c>
      <c r="I9368" s="8">
        <v>529.125</v>
      </c>
      <c r="J9368" s="3">
        <f t="shared" si="146"/>
        <v>43748.164243784719</v>
      </c>
    </row>
    <row r="9369" spans="1:10" x14ac:dyDescent="0.25">
      <c r="A9369" s="5" t="s">
        <v>19057</v>
      </c>
      <c r="B9369" s="6">
        <v>403.125</v>
      </c>
      <c r="C9369" s="6">
        <v>20.478950000000001</v>
      </c>
      <c r="D9369" s="6">
        <v>85</v>
      </c>
      <c r="E9369" s="6">
        <v>0</v>
      </c>
      <c r="F9369" s="6">
        <v>0</v>
      </c>
      <c r="G9369" s="6">
        <v>3</v>
      </c>
      <c r="H9369" s="6" t="s">
        <v>19058</v>
      </c>
      <c r="I9369" s="6">
        <v>529.125</v>
      </c>
      <c r="J9369" s="2">
        <f t="shared" si="146"/>
        <v>43748.164315254624</v>
      </c>
    </row>
    <row r="9370" spans="1:10" x14ac:dyDescent="0.25">
      <c r="A9370" s="7" t="s">
        <v>19059</v>
      </c>
      <c r="B9370" s="8">
        <v>403.125</v>
      </c>
      <c r="C9370" s="8">
        <v>20.426300000000001</v>
      </c>
      <c r="D9370" s="8">
        <v>85</v>
      </c>
      <c r="E9370" s="8">
        <v>0</v>
      </c>
      <c r="F9370" s="8">
        <v>0</v>
      </c>
      <c r="G9370" s="8">
        <v>11</v>
      </c>
      <c r="H9370" s="8" t="s">
        <v>19060</v>
      </c>
      <c r="I9370" s="8">
        <v>529.125</v>
      </c>
      <c r="J9370" s="3">
        <f t="shared" si="146"/>
        <v>43748.164386481476</v>
      </c>
    </row>
    <row r="9371" spans="1:10" x14ac:dyDescent="0.25">
      <c r="A9371" s="5" t="s">
        <v>19061</v>
      </c>
      <c r="B9371" s="6">
        <v>400</v>
      </c>
      <c r="C9371" s="6">
        <v>20.478950000000001</v>
      </c>
      <c r="D9371" s="6">
        <v>82</v>
      </c>
      <c r="E9371" s="6">
        <v>0</v>
      </c>
      <c r="F9371" s="6">
        <v>0</v>
      </c>
      <c r="G9371" s="6">
        <v>9</v>
      </c>
      <c r="H9371" s="6" t="s">
        <v>19062</v>
      </c>
      <c r="I9371" s="6">
        <v>528.9375</v>
      </c>
      <c r="J9371" s="2">
        <f t="shared" si="146"/>
        <v>43748.164457835643</v>
      </c>
    </row>
    <row r="9372" spans="1:10" x14ac:dyDescent="0.25">
      <c r="A9372" s="7" t="s">
        <v>19063</v>
      </c>
      <c r="B9372" s="8">
        <v>400</v>
      </c>
      <c r="C9372" s="8">
        <v>20.478950000000001</v>
      </c>
      <c r="D9372" s="8">
        <v>83</v>
      </c>
      <c r="E9372" s="8">
        <v>0</v>
      </c>
      <c r="F9372" s="8">
        <v>0</v>
      </c>
      <c r="G9372" s="8">
        <v>5</v>
      </c>
      <c r="H9372" s="8" t="s">
        <v>19064</v>
      </c>
      <c r="I9372" s="8">
        <v>528.9375</v>
      </c>
      <c r="J9372" s="3">
        <f t="shared" si="146"/>
        <v>43748.164553206014</v>
      </c>
    </row>
    <row r="9373" spans="1:10" x14ac:dyDescent="0.25">
      <c r="A9373" s="5" t="s">
        <v>19065</v>
      </c>
      <c r="B9373" s="6">
        <v>403.125</v>
      </c>
      <c r="C9373" s="6">
        <v>20.426300000000001</v>
      </c>
      <c r="D9373" s="6">
        <v>84</v>
      </c>
      <c r="E9373" s="6">
        <v>0</v>
      </c>
      <c r="F9373" s="6">
        <v>0</v>
      </c>
      <c r="G9373" s="6">
        <v>1</v>
      </c>
      <c r="H9373" s="6" t="s">
        <v>19066</v>
      </c>
      <c r="I9373" s="6">
        <v>529.125</v>
      </c>
      <c r="J9373" s="2">
        <f t="shared" si="146"/>
        <v>43748.164648576385</v>
      </c>
    </row>
    <row r="9374" spans="1:10" x14ac:dyDescent="0.25">
      <c r="A9374" s="7" t="s">
        <v>19067</v>
      </c>
      <c r="B9374" s="8">
        <v>403.125</v>
      </c>
      <c r="C9374" s="8">
        <v>20.478950000000001</v>
      </c>
      <c r="D9374" s="8">
        <v>84</v>
      </c>
      <c r="E9374" s="8">
        <v>0</v>
      </c>
      <c r="F9374" s="8">
        <v>0</v>
      </c>
      <c r="G9374" s="8">
        <v>7</v>
      </c>
      <c r="H9374" s="8" t="s">
        <v>19068</v>
      </c>
      <c r="I9374" s="8">
        <v>529.125</v>
      </c>
      <c r="J9374" s="3">
        <f t="shared" si="146"/>
        <v>43748.16472079861</v>
      </c>
    </row>
    <row r="9375" spans="1:10" x14ac:dyDescent="0.25">
      <c r="A9375" s="5" t="s">
        <v>19069</v>
      </c>
      <c r="B9375" s="6">
        <v>403.125</v>
      </c>
      <c r="C9375" s="6">
        <v>20.478950000000001</v>
      </c>
      <c r="D9375" s="6">
        <v>84</v>
      </c>
      <c r="E9375" s="6">
        <v>0</v>
      </c>
      <c r="F9375" s="6">
        <v>0</v>
      </c>
      <c r="G9375" s="6">
        <v>7</v>
      </c>
      <c r="H9375" s="6" t="s">
        <v>19070</v>
      </c>
      <c r="I9375" s="6">
        <v>529.125</v>
      </c>
      <c r="J9375" s="2">
        <f t="shared" si="146"/>
        <v>43748.164804120366</v>
      </c>
    </row>
    <row r="9376" spans="1:10" x14ac:dyDescent="0.25">
      <c r="A9376" s="7" t="s">
        <v>19071</v>
      </c>
      <c r="B9376" s="8">
        <v>400</v>
      </c>
      <c r="C9376" s="8">
        <v>20.478950000000001</v>
      </c>
      <c r="D9376" s="8">
        <v>83</v>
      </c>
      <c r="E9376" s="8">
        <v>0</v>
      </c>
      <c r="F9376" s="8">
        <v>0</v>
      </c>
      <c r="G9376" s="8">
        <v>3</v>
      </c>
      <c r="H9376" s="8" t="s">
        <v>19072</v>
      </c>
      <c r="I9376" s="8">
        <v>528.1875</v>
      </c>
      <c r="J9376" s="3">
        <f t="shared" si="146"/>
        <v>43748.164875381939</v>
      </c>
    </row>
    <row r="9377" spans="1:10" x14ac:dyDescent="0.25">
      <c r="A9377" s="5" t="s">
        <v>19073</v>
      </c>
      <c r="B9377" s="6">
        <v>400</v>
      </c>
      <c r="C9377" s="6">
        <v>20.478950000000001</v>
      </c>
      <c r="D9377" s="6">
        <v>81</v>
      </c>
      <c r="E9377" s="6">
        <v>0</v>
      </c>
      <c r="F9377" s="6">
        <v>0</v>
      </c>
      <c r="G9377" s="6">
        <v>11</v>
      </c>
      <c r="H9377" s="6" t="s">
        <v>19074</v>
      </c>
      <c r="I9377" s="6">
        <v>528.375</v>
      </c>
      <c r="J9377" s="2">
        <f t="shared" si="146"/>
        <v>43748.164946724537</v>
      </c>
    </row>
    <row r="9378" spans="1:10" x14ac:dyDescent="0.25">
      <c r="A9378" s="7" t="s">
        <v>19075</v>
      </c>
      <c r="B9378" s="8">
        <v>400</v>
      </c>
      <c r="C9378" s="8">
        <v>20.478950000000001</v>
      </c>
      <c r="D9378" s="8">
        <v>80</v>
      </c>
      <c r="E9378" s="8">
        <v>0</v>
      </c>
      <c r="F9378" s="8">
        <v>0</v>
      </c>
      <c r="G9378" s="8">
        <v>7</v>
      </c>
      <c r="H9378" s="8" t="s">
        <v>19076</v>
      </c>
      <c r="I9378" s="8">
        <v>528.9375</v>
      </c>
      <c r="J9378" s="3">
        <f t="shared" si="146"/>
        <v>43748.165018958331</v>
      </c>
    </row>
    <row r="9379" spans="1:10" x14ac:dyDescent="0.25">
      <c r="A9379" s="5" t="s">
        <v>19077</v>
      </c>
      <c r="B9379" s="6">
        <v>418.75</v>
      </c>
      <c r="C9379" s="6">
        <v>20.478950000000001</v>
      </c>
      <c r="D9379" s="6">
        <v>81</v>
      </c>
      <c r="E9379" s="6">
        <v>0</v>
      </c>
      <c r="F9379" s="6">
        <v>0</v>
      </c>
      <c r="G9379" s="6">
        <v>9</v>
      </c>
      <c r="H9379" s="6" t="s">
        <v>19078</v>
      </c>
      <c r="I9379" s="6">
        <v>534.75</v>
      </c>
      <c r="J9379" s="2">
        <f t="shared" si="146"/>
        <v>43748.165102233797</v>
      </c>
    </row>
    <row r="9380" spans="1:10" x14ac:dyDescent="0.25">
      <c r="A9380" s="7" t="s">
        <v>19079</v>
      </c>
      <c r="B9380" s="8">
        <v>403.125</v>
      </c>
      <c r="C9380" s="8">
        <v>20.478950000000001</v>
      </c>
      <c r="D9380" s="8">
        <v>81</v>
      </c>
      <c r="E9380" s="8">
        <v>0</v>
      </c>
      <c r="F9380" s="8">
        <v>0</v>
      </c>
      <c r="G9380" s="8">
        <v>4</v>
      </c>
      <c r="H9380" s="8" t="s">
        <v>19080</v>
      </c>
      <c r="I9380" s="8">
        <v>529.125</v>
      </c>
      <c r="J9380" s="3">
        <f t="shared" si="146"/>
        <v>43748.165173402776</v>
      </c>
    </row>
    <row r="9381" spans="1:10" x14ac:dyDescent="0.25">
      <c r="A9381" s="5" t="s">
        <v>19081</v>
      </c>
      <c r="B9381" s="6">
        <v>403.125</v>
      </c>
      <c r="C9381" s="6">
        <v>20.426300000000001</v>
      </c>
      <c r="D9381" s="6">
        <v>81</v>
      </c>
      <c r="E9381" s="6">
        <v>0</v>
      </c>
      <c r="F9381" s="6">
        <v>0</v>
      </c>
      <c r="G9381" s="6">
        <v>10</v>
      </c>
      <c r="H9381" s="6" t="s">
        <v>19082</v>
      </c>
      <c r="I9381" s="6">
        <v>529.125</v>
      </c>
      <c r="J9381" s="2">
        <f t="shared" si="146"/>
        <v>43748.165244849537</v>
      </c>
    </row>
    <row r="9382" spans="1:10" x14ac:dyDescent="0.25">
      <c r="A9382" s="7" t="s">
        <v>19083</v>
      </c>
      <c r="B9382" s="8">
        <v>403.125</v>
      </c>
      <c r="C9382" s="8">
        <v>20.478950000000001</v>
      </c>
      <c r="D9382" s="8">
        <v>81</v>
      </c>
      <c r="E9382" s="8">
        <v>0</v>
      </c>
      <c r="F9382" s="8">
        <v>0</v>
      </c>
      <c r="G9382" s="8">
        <v>7</v>
      </c>
      <c r="H9382" s="8" t="s">
        <v>19084</v>
      </c>
      <c r="I9382" s="8">
        <v>529.125</v>
      </c>
      <c r="J9382" s="3">
        <f t="shared" si="146"/>
        <v>43748.165317094907</v>
      </c>
    </row>
    <row r="9383" spans="1:10" x14ac:dyDescent="0.25">
      <c r="A9383" s="5" t="s">
        <v>19085</v>
      </c>
      <c r="B9383" s="6">
        <v>403.125</v>
      </c>
      <c r="C9383" s="6">
        <v>20.478950000000001</v>
      </c>
      <c r="D9383" s="6">
        <v>83</v>
      </c>
      <c r="E9383" s="6">
        <v>0</v>
      </c>
      <c r="F9383" s="6">
        <v>0</v>
      </c>
      <c r="G9383" s="6">
        <v>1</v>
      </c>
      <c r="H9383" s="6" t="s">
        <v>19086</v>
      </c>
      <c r="I9383" s="6">
        <v>529.125</v>
      </c>
      <c r="J9383" s="2">
        <f t="shared" si="146"/>
        <v>43748.165388402776</v>
      </c>
    </row>
    <row r="9384" spans="1:10" x14ac:dyDescent="0.25">
      <c r="A9384" s="7" t="s">
        <v>19087</v>
      </c>
      <c r="B9384" s="8">
        <v>403.125</v>
      </c>
      <c r="C9384" s="8">
        <v>20.478950000000001</v>
      </c>
      <c r="D9384" s="8">
        <v>83</v>
      </c>
      <c r="E9384" s="8">
        <v>0</v>
      </c>
      <c r="F9384" s="8">
        <v>0</v>
      </c>
      <c r="G9384" s="8">
        <v>6</v>
      </c>
      <c r="H9384" s="8" t="s">
        <v>19088</v>
      </c>
      <c r="I9384" s="8">
        <v>529.125</v>
      </c>
      <c r="J9384" s="3">
        <f t="shared" si="146"/>
        <v>43748.16545969907</v>
      </c>
    </row>
    <row r="9385" spans="1:10" x14ac:dyDescent="0.25">
      <c r="A9385" s="5" t="s">
        <v>19089</v>
      </c>
      <c r="B9385" s="6">
        <v>403.125</v>
      </c>
      <c r="C9385" s="6">
        <v>20.478950000000001</v>
      </c>
      <c r="D9385" s="6">
        <v>84</v>
      </c>
      <c r="E9385" s="6">
        <v>0</v>
      </c>
      <c r="F9385" s="6">
        <v>0</v>
      </c>
      <c r="G9385" s="6">
        <v>0</v>
      </c>
      <c r="H9385" s="6" t="s">
        <v>19090</v>
      </c>
      <c r="I9385" s="6">
        <v>529.125</v>
      </c>
      <c r="J9385" s="2">
        <f t="shared" si="146"/>
        <v>43748.165531053237</v>
      </c>
    </row>
    <row r="9386" spans="1:10" x14ac:dyDescent="0.25">
      <c r="A9386" s="7" t="s">
        <v>19091</v>
      </c>
      <c r="B9386" s="8">
        <v>400</v>
      </c>
      <c r="C9386" s="8">
        <v>20.478950000000001</v>
      </c>
      <c r="D9386" s="8">
        <v>84</v>
      </c>
      <c r="E9386" s="8">
        <v>0</v>
      </c>
      <c r="F9386" s="8">
        <v>0</v>
      </c>
      <c r="G9386" s="8">
        <v>7</v>
      </c>
      <c r="H9386" s="8" t="s">
        <v>19092</v>
      </c>
      <c r="I9386" s="8">
        <v>528.9375</v>
      </c>
      <c r="J9386" s="3">
        <f t="shared" si="146"/>
        <v>43748.165602337962</v>
      </c>
    </row>
    <row r="9387" spans="1:10" x14ac:dyDescent="0.25">
      <c r="A9387" s="5" t="s">
        <v>19093</v>
      </c>
      <c r="B9387" s="6">
        <v>418.75</v>
      </c>
      <c r="C9387" s="6">
        <v>20.478950000000001</v>
      </c>
      <c r="D9387" s="6">
        <v>84</v>
      </c>
      <c r="E9387" s="6">
        <v>0</v>
      </c>
      <c r="F9387" s="6">
        <v>0</v>
      </c>
      <c r="G9387" s="6">
        <v>15</v>
      </c>
      <c r="H9387" s="6" t="s">
        <v>19094</v>
      </c>
      <c r="I9387" s="6">
        <v>534.5625</v>
      </c>
      <c r="J9387" s="2">
        <f t="shared" si="146"/>
        <v>43748.165674502314</v>
      </c>
    </row>
    <row r="9388" spans="1:10" x14ac:dyDescent="0.25">
      <c r="A9388" s="7" t="s">
        <v>19095</v>
      </c>
      <c r="B9388" s="8">
        <v>403.125</v>
      </c>
      <c r="C9388" s="8">
        <v>20.478950000000001</v>
      </c>
      <c r="D9388" s="8">
        <v>84</v>
      </c>
      <c r="E9388" s="8">
        <v>0</v>
      </c>
      <c r="F9388" s="8">
        <v>0</v>
      </c>
      <c r="G9388" s="8">
        <v>7</v>
      </c>
      <c r="H9388" s="8" t="s">
        <v>19096</v>
      </c>
      <c r="I9388" s="8">
        <v>529.125</v>
      </c>
      <c r="J9388" s="3">
        <f t="shared" si="146"/>
        <v>43748.165757835646</v>
      </c>
    </row>
    <row r="9389" spans="1:10" x14ac:dyDescent="0.25">
      <c r="A9389" s="5" t="s">
        <v>19097</v>
      </c>
      <c r="B9389" s="6">
        <v>403.125</v>
      </c>
      <c r="C9389" s="6">
        <v>20.478950000000001</v>
      </c>
      <c r="D9389" s="6">
        <v>80</v>
      </c>
      <c r="E9389" s="6">
        <v>0</v>
      </c>
      <c r="F9389" s="6">
        <v>0</v>
      </c>
      <c r="G9389" s="6">
        <v>11</v>
      </c>
      <c r="H9389" s="6" t="s">
        <v>19098</v>
      </c>
      <c r="I9389" s="6">
        <v>529.125</v>
      </c>
      <c r="J9389" s="2">
        <f t="shared" si="146"/>
        <v>43748.165865324067</v>
      </c>
    </row>
    <row r="9390" spans="1:10" x14ac:dyDescent="0.25">
      <c r="A9390" s="7" t="s">
        <v>19099</v>
      </c>
      <c r="B9390" s="8">
        <v>403.125</v>
      </c>
      <c r="C9390" s="8">
        <v>20.478950000000001</v>
      </c>
      <c r="D9390" s="8">
        <v>80</v>
      </c>
      <c r="E9390" s="8">
        <v>0</v>
      </c>
      <c r="F9390" s="8">
        <v>0</v>
      </c>
      <c r="G9390" s="8">
        <v>7</v>
      </c>
      <c r="H9390" s="8" t="s">
        <v>19100</v>
      </c>
      <c r="I9390" s="8">
        <v>529.125</v>
      </c>
      <c r="J9390" s="3">
        <f t="shared" si="146"/>
        <v>43748.16593653935</v>
      </c>
    </row>
    <row r="9391" spans="1:10" x14ac:dyDescent="0.25">
      <c r="A9391" s="5" t="s">
        <v>19101</v>
      </c>
      <c r="B9391" s="6">
        <v>400</v>
      </c>
      <c r="C9391" s="6">
        <v>20.426300000000001</v>
      </c>
      <c r="D9391" s="6">
        <v>80</v>
      </c>
      <c r="E9391" s="6">
        <v>0</v>
      </c>
      <c r="F9391" s="6">
        <v>0</v>
      </c>
      <c r="G9391" s="6">
        <v>4</v>
      </c>
      <c r="H9391" s="6" t="s">
        <v>19102</v>
      </c>
      <c r="I9391" s="6">
        <v>528.1875</v>
      </c>
      <c r="J9391" s="2">
        <f t="shared" si="146"/>
        <v>43748.166007835644</v>
      </c>
    </row>
    <row r="9392" spans="1:10" x14ac:dyDescent="0.25">
      <c r="A9392" s="7" t="s">
        <v>19103</v>
      </c>
      <c r="B9392" s="8">
        <v>415.625</v>
      </c>
      <c r="C9392" s="8">
        <v>20.478950000000001</v>
      </c>
      <c r="D9392" s="8">
        <v>81</v>
      </c>
      <c r="E9392" s="8">
        <v>0</v>
      </c>
      <c r="F9392" s="8">
        <v>0</v>
      </c>
      <c r="G9392" s="8">
        <v>8</v>
      </c>
      <c r="H9392" s="8" t="s">
        <v>19104</v>
      </c>
      <c r="I9392" s="8">
        <v>533.8125</v>
      </c>
      <c r="J9392" s="3">
        <f t="shared" si="146"/>
        <v>43748.166080057868</v>
      </c>
    </row>
    <row r="9393" spans="1:10" x14ac:dyDescent="0.25">
      <c r="A9393" s="5" t="s">
        <v>19105</v>
      </c>
      <c r="B9393" s="6">
        <v>400</v>
      </c>
      <c r="C9393" s="6">
        <v>20.478950000000001</v>
      </c>
      <c r="D9393" s="6">
        <v>81</v>
      </c>
      <c r="E9393" s="6">
        <v>0</v>
      </c>
      <c r="F9393" s="6">
        <v>0</v>
      </c>
      <c r="G9393" s="6">
        <v>12</v>
      </c>
      <c r="H9393" s="6" t="s">
        <v>19106</v>
      </c>
      <c r="I9393" s="6">
        <v>528.375</v>
      </c>
      <c r="J9393" s="2">
        <f t="shared" si="146"/>
        <v>43748.166151365738</v>
      </c>
    </row>
    <row r="9394" spans="1:10" x14ac:dyDescent="0.25">
      <c r="A9394" s="7" t="s">
        <v>19107</v>
      </c>
      <c r="B9394" s="8">
        <v>400</v>
      </c>
      <c r="C9394" s="8">
        <v>20.478950000000001</v>
      </c>
      <c r="D9394" s="8">
        <v>80</v>
      </c>
      <c r="E9394" s="8">
        <v>0</v>
      </c>
      <c r="F9394" s="8">
        <v>0</v>
      </c>
      <c r="G9394" s="8">
        <v>14</v>
      </c>
      <c r="H9394" s="8" t="s">
        <v>19108</v>
      </c>
      <c r="I9394" s="8">
        <v>528.1875</v>
      </c>
      <c r="J9394" s="3">
        <f t="shared" si="146"/>
        <v>43748.166222650463</v>
      </c>
    </row>
    <row r="9395" spans="1:10" x14ac:dyDescent="0.25">
      <c r="A9395" s="5" t="s">
        <v>19109</v>
      </c>
      <c r="B9395" s="6">
        <v>400</v>
      </c>
      <c r="C9395" s="6">
        <v>20.478950000000001</v>
      </c>
      <c r="D9395" s="6">
        <v>81</v>
      </c>
      <c r="E9395" s="6">
        <v>0</v>
      </c>
      <c r="F9395" s="6">
        <v>0</v>
      </c>
      <c r="G9395" s="6">
        <v>12</v>
      </c>
      <c r="H9395" s="6" t="s">
        <v>19110</v>
      </c>
      <c r="I9395" s="6">
        <v>528.1875</v>
      </c>
      <c r="J9395" s="2">
        <f t="shared" si="146"/>
        <v>43748.166306747684</v>
      </c>
    </row>
    <row r="9396" spans="1:10" x14ac:dyDescent="0.25">
      <c r="A9396" s="7" t="s">
        <v>19111</v>
      </c>
      <c r="B9396" s="8">
        <v>400</v>
      </c>
      <c r="C9396" s="8">
        <v>20.478950000000001</v>
      </c>
      <c r="D9396" s="8">
        <v>81</v>
      </c>
      <c r="E9396" s="8">
        <v>0</v>
      </c>
      <c r="F9396" s="8">
        <v>0</v>
      </c>
      <c r="G9396" s="8">
        <v>9</v>
      </c>
      <c r="H9396" s="8" t="s">
        <v>19112</v>
      </c>
      <c r="I9396" s="8">
        <v>528.1875</v>
      </c>
      <c r="J9396" s="3">
        <f t="shared" si="146"/>
        <v>43748.166389282407</v>
      </c>
    </row>
    <row r="9397" spans="1:10" x14ac:dyDescent="0.25">
      <c r="A9397" s="5" t="s">
        <v>19113</v>
      </c>
      <c r="B9397" s="6">
        <v>400</v>
      </c>
      <c r="C9397" s="6">
        <v>20.478950000000001</v>
      </c>
      <c r="D9397" s="6">
        <v>82</v>
      </c>
      <c r="E9397" s="6">
        <v>0</v>
      </c>
      <c r="F9397" s="6">
        <v>0</v>
      </c>
      <c r="G9397" s="6">
        <v>5</v>
      </c>
      <c r="H9397" s="6" t="s">
        <v>19114</v>
      </c>
      <c r="I9397" s="6">
        <v>528.375</v>
      </c>
      <c r="J9397" s="2">
        <f t="shared" si="146"/>
        <v>43748.166461550929</v>
      </c>
    </row>
    <row r="9398" spans="1:10" x14ac:dyDescent="0.25">
      <c r="A9398" s="7" t="s">
        <v>19115</v>
      </c>
      <c r="B9398" s="8">
        <v>400</v>
      </c>
      <c r="C9398" s="8">
        <v>20.478950000000001</v>
      </c>
      <c r="D9398" s="8">
        <v>82</v>
      </c>
      <c r="E9398" s="8">
        <v>0</v>
      </c>
      <c r="F9398" s="8">
        <v>0</v>
      </c>
      <c r="G9398" s="8">
        <v>0</v>
      </c>
      <c r="H9398" s="8" t="s">
        <v>19116</v>
      </c>
      <c r="I9398" s="8">
        <v>528.1875</v>
      </c>
      <c r="J9398" s="3">
        <f t="shared" si="146"/>
        <v>43748.166532847223</v>
      </c>
    </row>
    <row r="9399" spans="1:10" x14ac:dyDescent="0.25">
      <c r="A9399" s="5" t="s">
        <v>19117</v>
      </c>
      <c r="B9399" s="6">
        <v>415.625</v>
      </c>
      <c r="C9399" s="6">
        <v>20.478950000000001</v>
      </c>
      <c r="D9399" s="6">
        <v>83</v>
      </c>
      <c r="E9399" s="6">
        <v>0</v>
      </c>
      <c r="F9399" s="6">
        <v>0</v>
      </c>
      <c r="G9399" s="6">
        <v>13</v>
      </c>
      <c r="H9399" s="6" t="s">
        <v>19118</v>
      </c>
      <c r="I9399" s="6">
        <v>533.0625</v>
      </c>
      <c r="J9399" s="2">
        <f t="shared" si="146"/>
        <v>43748.166604884253</v>
      </c>
    </row>
    <row r="9400" spans="1:10" x14ac:dyDescent="0.25">
      <c r="A9400" s="7" t="s">
        <v>19119</v>
      </c>
      <c r="B9400" s="8">
        <v>396.875</v>
      </c>
      <c r="C9400" s="8">
        <v>20.478950000000001</v>
      </c>
      <c r="D9400" s="8">
        <v>82</v>
      </c>
      <c r="E9400" s="8">
        <v>0</v>
      </c>
      <c r="F9400" s="8">
        <v>0</v>
      </c>
      <c r="G9400" s="8">
        <v>7</v>
      </c>
      <c r="H9400" s="8" t="s">
        <v>19120</v>
      </c>
      <c r="I9400" s="8">
        <v>527.4375</v>
      </c>
      <c r="J9400" s="3">
        <f t="shared" si="146"/>
        <v>43748.166676365734</v>
      </c>
    </row>
    <row r="9401" spans="1:10" x14ac:dyDescent="0.25">
      <c r="A9401" s="5" t="s">
        <v>19121</v>
      </c>
      <c r="B9401" s="6">
        <v>396.875</v>
      </c>
      <c r="C9401" s="6">
        <v>20.426300000000001</v>
      </c>
      <c r="D9401" s="6">
        <v>84</v>
      </c>
      <c r="E9401" s="6">
        <v>0</v>
      </c>
      <c r="F9401" s="6">
        <v>0</v>
      </c>
      <c r="G9401" s="6">
        <v>16</v>
      </c>
      <c r="H9401" s="6" t="s">
        <v>19122</v>
      </c>
      <c r="I9401" s="6">
        <v>527.4375</v>
      </c>
      <c r="J9401" s="2">
        <f t="shared" si="146"/>
        <v>43748.166747662035</v>
      </c>
    </row>
    <row r="9402" spans="1:10" x14ac:dyDescent="0.25">
      <c r="A9402" s="7" t="s">
        <v>19123</v>
      </c>
      <c r="B9402" s="8">
        <v>396.875</v>
      </c>
      <c r="C9402" s="8">
        <v>20.426300000000001</v>
      </c>
      <c r="D9402" s="8">
        <v>82</v>
      </c>
      <c r="E9402" s="8">
        <v>0</v>
      </c>
      <c r="F9402" s="8">
        <v>0</v>
      </c>
      <c r="G9402" s="8">
        <v>5</v>
      </c>
      <c r="H9402" s="8" t="s">
        <v>19124</v>
      </c>
      <c r="I9402" s="8">
        <v>527.4375</v>
      </c>
      <c r="J9402" s="3">
        <f t="shared" si="146"/>
        <v>43748.166818946753</v>
      </c>
    </row>
    <row r="9403" spans="1:10" x14ac:dyDescent="0.25">
      <c r="A9403" s="5" t="s">
        <v>19125</v>
      </c>
      <c r="B9403" s="6">
        <v>421.875</v>
      </c>
      <c r="C9403" s="6">
        <v>20.478950000000001</v>
      </c>
      <c r="D9403" s="6">
        <v>81</v>
      </c>
      <c r="E9403" s="6">
        <v>0</v>
      </c>
      <c r="F9403" s="6">
        <v>0</v>
      </c>
      <c r="G9403" s="6">
        <v>0</v>
      </c>
      <c r="H9403" s="6" t="s">
        <v>19126</v>
      </c>
      <c r="I9403" s="6">
        <v>535.6875</v>
      </c>
      <c r="J9403" s="2">
        <f t="shared" si="146"/>
        <v>43748.166891180554</v>
      </c>
    </row>
    <row r="9404" spans="1:10" x14ac:dyDescent="0.25">
      <c r="A9404" s="7" t="s">
        <v>19127</v>
      </c>
      <c r="B9404" s="8">
        <v>396.875</v>
      </c>
      <c r="C9404" s="8">
        <v>20.478950000000001</v>
      </c>
      <c r="D9404" s="8">
        <v>82</v>
      </c>
      <c r="E9404" s="8">
        <v>0</v>
      </c>
      <c r="F9404" s="8">
        <v>0</v>
      </c>
      <c r="G9404" s="8">
        <v>1</v>
      </c>
      <c r="H9404" s="8" t="s">
        <v>19128</v>
      </c>
      <c r="I9404" s="8">
        <v>527.4375</v>
      </c>
      <c r="J9404" s="3">
        <f t="shared" si="146"/>
        <v>43748.166962476847</v>
      </c>
    </row>
    <row r="9405" spans="1:10" x14ac:dyDescent="0.25">
      <c r="A9405" s="5" t="s">
        <v>19129</v>
      </c>
      <c r="B9405" s="6">
        <v>396.875</v>
      </c>
      <c r="C9405" s="6">
        <v>20.478950000000001</v>
      </c>
      <c r="D9405" s="6">
        <v>82</v>
      </c>
      <c r="E9405" s="6">
        <v>0</v>
      </c>
      <c r="F9405" s="6">
        <v>0</v>
      </c>
      <c r="G9405" s="6">
        <v>4</v>
      </c>
      <c r="H9405" s="6" t="s">
        <v>19130</v>
      </c>
      <c r="I9405" s="6">
        <v>527.4375</v>
      </c>
      <c r="J9405" s="2">
        <f t="shared" si="146"/>
        <v>43748.167033796293</v>
      </c>
    </row>
    <row r="9406" spans="1:10" x14ac:dyDescent="0.25">
      <c r="A9406" s="7" t="s">
        <v>19131</v>
      </c>
      <c r="B9406" s="8">
        <v>393.75</v>
      </c>
      <c r="C9406" s="8">
        <v>20.478950000000001</v>
      </c>
      <c r="D9406" s="8">
        <v>82</v>
      </c>
      <c r="E9406" s="8">
        <v>0</v>
      </c>
      <c r="F9406" s="8">
        <v>0</v>
      </c>
      <c r="G9406" s="8">
        <v>10</v>
      </c>
      <c r="H9406" s="8" t="s">
        <v>19132</v>
      </c>
      <c r="I9406" s="8">
        <v>526.6875</v>
      </c>
      <c r="J9406" s="3">
        <f t="shared" si="146"/>
        <v>43748.167129155096</v>
      </c>
    </row>
    <row r="9407" spans="1:10" x14ac:dyDescent="0.25">
      <c r="A9407" s="5" t="s">
        <v>19133</v>
      </c>
      <c r="B9407" s="6">
        <v>393.75</v>
      </c>
      <c r="C9407" s="6">
        <v>20.478950000000001</v>
      </c>
      <c r="D9407" s="6">
        <v>82</v>
      </c>
      <c r="E9407" s="6">
        <v>0</v>
      </c>
      <c r="F9407" s="6">
        <v>0</v>
      </c>
      <c r="G9407" s="6">
        <v>13</v>
      </c>
      <c r="H9407" s="6" t="s">
        <v>19134</v>
      </c>
      <c r="I9407" s="6">
        <v>526.6875</v>
      </c>
      <c r="J9407" s="2">
        <f t="shared" si="146"/>
        <v>43748.167212476845</v>
      </c>
    </row>
    <row r="9408" spans="1:10" x14ac:dyDescent="0.25">
      <c r="A9408" s="7" t="s">
        <v>19135</v>
      </c>
      <c r="B9408" s="8">
        <v>396.875</v>
      </c>
      <c r="C9408" s="8">
        <v>20.478950000000001</v>
      </c>
      <c r="D9408" s="8">
        <v>83</v>
      </c>
      <c r="E9408" s="8">
        <v>0</v>
      </c>
      <c r="F9408" s="8">
        <v>0</v>
      </c>
      <c r="G9408" s="8">
        <v>11</v>
      </c>
      <c r="H9408" s="8" t="s">
        <v>19136</v>
      </c>
      <c r="I9408" s="8">
        <v>527.4375</v>
      </c>
      <c r="J9408" s="3">
        <f t="shared" si="146"/>
        <v>43748.167284687494</v>
      </c>
    </row>
    <row r="9409" spans="1:10" x14ac:dyDescent="0.25">
      <c r="A9409" s="5" t="s">
        <v>19137</v>
      </c>
      <c r="B9409" s="6">
        <v>418.75</v>
      </c>
      <c r="C9409" s="6">
        <v>20.478950000000001</v>
      </c>
      <c r="D9409" s="6">
        <v>82</v>
      </c>
      <c r="E9409" s="6">
        <v>0</v>
      </c>
      <c r="F9409" s="6">
        <v>0</v>
      </c>
      <c r="G9409" s="6">
        <v>7</v>
      </c>
      <c r="H9409" s="6" t="s">
        <v>19138</v>
      </c>
      <c r="I9409" s="6">
        <v>534.375</v>
      </c>
      <c r="J9409" s="2">
        <f t="shared" si="146"/>
        <v>43748.167355925929</v>
      </c>
    </row>
    <row r="9410" spans="1:10" x14ac:dyDescent="0.25">
      <c r="A9410" s="7" t="s">
        <v>19139</v>
      </c>
      <c r="B9410" s="8">
        <v>400</v>
      </c>
      <c r="C9410" s="8">
        <v>20.478950000000001</v>
      </c>
      <c r="D9410" s="8">
        <v>74</v>
      </c>
      <c r="E9410" s="8">
        <v>0</v>
      </c>
      <c r="F9410" s="8">
        <v>0</v>
      </c>
      <c r="G9410" s="8">
        <v>7</v>
      </c>
      <c r="H9410" s="8" t="s">
        <v>19140</v>
      </c>
      <c r="I9410" s="8">
        <v>528.1875</v>
      </c>
      <c r="J9410" s="3">
        <f t="shared" ref="J9410:J9473" si="147">(H9410/86400000)+25569+(7/24)</f>
        <v>43748.167427280096</v>
      </c>
    </row>
    <row r="9411" spans="1:10" x14ac:dyDescent="0.25">
      <c r="A9411" s="5" t="s">
        <v>19141</v>
      </c>
      <c r="B9411" s="6">
        <v>400</v>
      </c>
      <c r="C9411" s="6">
        <v>20.478950000000001</v>
      </c>
      <c r="D9411" s="6">
        <v>80</v>
      </c>
      <c r="E9411" s="6">
        <v>0</v>
      </c>
      <c r="F9411" s="6">
        <v>0</v>
      </c>
      <c r="G9411" s="6">
        <v>7</v>
      </c>
      <c r="H9411" s="6" t="s">
        <v>19142</v>
      </c>
      <c r="I9411" s="6">
        <v>528.375</v>
      </c>
      <c r="J9411" s="2">
        <f t="shared" si="147"/>
        <v>43748.167498634255</v>
      </c>
    </row>
    <row r="9412" spans="1:10" x14ac:dyDescent="0.25">
      <c r="A9412" s="7" t="s">
        <v>19143</v>
      </c>
      <c r="B9412" s="8">
        <v>400</v>
      </c>
      <c r="C9412" s="8">
        <v>20.478950000000001</v>
      </c>
      <c r="D9412" s="8">
        <v>80</v>
      </c>
      <c r="E9412" s="8">
        <v>0</v>
      </c>
      <c r="F9412" s="8">
        <v>0</v>
      </c>
      <c r="G9412" s="8">
        <v>10</v>
      </c>
      <c r="H9412" s="8" t="s">
        <v>19144</v>
      </c>
      <c r="I9412" s="8">
        <v>528.375</v>
      </c>
      <c r="J9412" s="3">
        <f t="shared" si="147"/>
        <v>43748.167570810183</v>
      </c>
    </row>
    <row r="9413" spans="1:10" x14ac:dyDescent="0.25">
      <c r="A9413" s="5" t="s">
        <v>19145</v>
      </c>
      <c r="B9413" s="6">
        <v>400</v>
      </c>
      <c r="C9413" s="6">
        <v>20.478950000000001</v>
      </c>
      <c r="D9413" s="6">
        <v>80</v>
      </c>
      <c r="E9413" s="6">
        <v>0</v>
      </c>
      <c r="F9413" s="6">
        <v>0</v>
      </c>
      <c r="G9413" s="6">
        <v>12</v>
      </c>
      <c r="H9413" s="6" t="s">
        <v>19146</v>
      </c>
      <c r="I9413" s="6">
        <v>528.375</v>
      </c>
      <c r="J9413" s="2">
        <f t="shared" si="147"/>
        <v>43748.167642118053</v>
      </c>
    </row>
    <row r="9414" spans="1:10" x14ac:dyDescent="0.25">
      <c r="A9414" s="7" t="s">
        <v>19147</v>
      </c>
      <c r="B9414" s="8">
        <v>400</v>
      </c>
      <c r="C9414" s="8">
        <v>20.478950000000001</v>
      </c>
      <c r="D9414" s="8">
        <v>80</v>
      </c>
      <c r="E9414" s="8">
        <v>0</v>
      </c>
      <c r="F9414" s="8">
        <v>0</v>
      </c>
      <c r="G9414" s="8">
        <v>5</v>
      </c>
      <c r="H9414" s="8" t="s">
        <v>19148</v>
      </c>
      <c r="I9414" s="8">
        <v>528.375</v>
      </c>
      <c r="J9414" s="3">
        <f t="shared" si="147"/>
        <v>43748.167713402778</v>
      </c>
    </row>
    <row r="9415" spans="1:10" x14ac:dyDescent="0.25">
      <c r="A9415" s="5" t="s">
        <v>19149</v>
      </c>
      <c r="B9415" s="6">
        <v>400</v>
      </c>
      <c r="C9415" s="6">
        <v>20.426300000000001</v>
      </c>
      <c r="D9415" s="6">
        <v>76</v>
      </c>
      <c r="E9415" s="6">
        <v>0</v>
      </c>
      <c r="F9415" s="6">
        <v>0</v>
      </c>
      <c r="G9415" s="6">
        <v>2</v>
      </c>
      <c r="H9415" s="6" t="s">
        <v>19150</v>
      </c>
      <c r="I9415" s="6">
        <v>528.1875</v>
      </c>
      <c r="J9415" s="2">
        <f t="shared" si="147"/>
        <v>43748.167785439808</v>
      </c>
    </row>
    <row r="9416" spans="1:10" x14ac:dyDescent="0.25">
      <c r="A9416" s="7" t="s">
        <v>19151</v>
      </c>
      <c r="B9416" s="8">
        <v>400</v>
      </c>
      <c r="C9416" s="8">
        <v>20.478950000000001</v>
      </c>
      <c r="D9416" s="8">
        <v>76</v>
      </c>
      <c r="E9416" s="8">
        <v>0</v>
      </c>
      <c r="F9416" s="8">
        <v>0</v>
      </c>
      <c r="G9416" s="8">
        <v>9</v>
      </c>
      <c r="H9416" s="8" t="s">
        <v>19152</v>
      </c>
      <c r="I9416" s="8">
        <v>528.1875</v>
      </c>
      <c r="J9416" s="3">
        <f t="shared" si="147"/>
        <v>43748.167869872683</v>
      </c>
    </row>
    <row r="9417" spans="1:10" x14ac:dyDescent="0.25">
      <c r="A9417" s="5" t="s">
        <v>19153</v>
      </c>
      <c r="B9417" s="6">
        <v>415.625</v>
      </c>
      <c r="C9417" s="6">
        <v>20.478950000000001</v>
      </c>
      <c r="D9417" s="6">
        <v>78</v>
      </c>
      <c r="E9417" s="6">
        <v>0</v>
      </c>
      <c r="F9417" s="6">
        <v>0</v>
      </c>
      <c r="G9417" s="6">
        <v>2</v>
      </c>
      <c r="H9417" s="6" t="s">
        <v>19154</v>
      </c>
      <c r="I9417" s="6">
        <v>533.8125</v>
      </c>
      <c r="J9417" s="2">
        <f t="shared" si="147"/>
        <v>43748.167952280091</v>
      </c>
    </row>
    <row r="9418" spans="1:10" x14ac:dyDescent="0.25">
      <c r="A9418" s="7" t="s">
        <v>19155</v>
      </c>
      <c r="B9418" s="8">
        <v>400</v>
      </c>
      <c r="C9418" s="8">
        <v>20.426300000000001</v>
      </c>
      <c r="D9418" s="8">
        <v>78</v>
      </c>
      <c r="E9418" s="8">
        <v>0</v>
      </c>
      <c r="F9418" s="8">
        <v>0</v>
      </c>
      <c r="G9418" s="8">
        <v>10</v>
      </c>
      <c r="H9418" s="8" t="s">
        <v>19156</v>
      </c>
      <c r="I9418" s="8">
        <v>528.1875</v>
      </c>
      <c r="J9418" s="3">
        <f t="shared" si="147"/>
        <v>43748.168023587961</v>
      </c>
    </row>
    <row r="9419" spans="1:10" x14ac:dyDescent="0.25">
      <c r="A9419" s="5" t="s">
        <v>19157</v>
      </c>
      <c r="B9419" s="6">
        <v>400</v>
      </c>
      <c r="C9419" s="6">
        <v>20.426300000000001</v>
      </c>
      <c r="D9419" s="6">
        <v>80</v>
      </c>
      <c r="E9419" s="6">
        <v>0</v>
      </c>
      <c r="F9419" s="6">
        <v>0</v>
      </c>
      <c r="G9419" s="6">
        <v>6</v>
      </c>
      <c r="H9419" s="6" t="s">
        <v>19158</v>
      </c>
      <c r="I9419" s="6">
        <v>528.1875</v>
      </c>
      <c r="J9419" s="2">
        <f t="shared" si="147"/>
        <v>43748.168094895831</v>
      </c>
    </row>
    <row r="9420" spans="1:10" x14ac:dyDescent="0.25">
      <c r="A9420" s="7" t="s">
        <v>19159</v>
      </c>
      <c r="B9420" s="8">
        <v>400</v>
      </c>
      <c r="C9420" s="8">
        <v>20.426300000000001</v>
      </c>
      <c r="D9420" s="8">
        <v>81</v>
      </c>
      <c r="E9420" s="8">
        <v>0</v>
      </c>
      <c r="F9420" s="8">
        <v>0</v>
      </c>
      <c r="G9420" s="8">
        <v>6</v>
      </c>
      <c r="H9420" s="8" t="s">
        <v>19160</v>
      </c>
      <c r="I9420" s="8">
        <v>528.9375</v>
      </c>
      <c r="J9420" s="3">
        <f t="shared" si="147"/>
        <v>43748.16816710648</v>
      </c>
    </row>
    <row r="9421" spans="1:10" x14ac:dyDescent="0.25">
      <c r="A9421" s="5" t="s">
        <v>19161</v>
      </c>
      <c r="B9421" s="6">
        <v>403.125</v>
      </c>
      <c r="C9421" s="6">
        <v>20.426300000000001</v>
      </c>
      <c r="D9421" s="6">
        <v>81</v>
      </c>
      <c r="E9421" s="6">
        <v>0</v>
      </c>
      <c r="F9421" s="6">
        <v>0</v>
      </c>
      <c r="G9421" s="6">
        <v>10</v>
      </c>
      <c r="H9421" s="6" t="s">
        <v>19162</v>
      </c>
      <c r="I9421" s="6">
        <v>529.125</v>
      </c>
      <c r="J9421" s="2">
        <f t="shared" si="147"/>
        <v>43748.168238356484</v>
      </c>
    </row>
    <row r="9422" spans="1:10" x14ac:dyDescent="0.25">
      <c r="A9422" s="7" t="s">
        <v>19163</v>
      </c>
      <c r="B9422" s="8">
        <v>400</v>
      </c>
      <c r="C9422" s="8">
        <v>20.478950000000001</v>
      </c>
      <c r="D9422" s="8">
        <v>84</v>
      </c>
      <c r="E9422" s="8">
        <v>0</v>
      </c>
      <c r="F9422" s="8">
        <v>0</v>
      </c>
      <c r="G9422" s="8">
        <v>8</v>
      </c>
      <c r="H9422" s="8" t="s">
        <v>19164</v>
      </c>
      <c r="I9422" s="8">
        <v>528.1875</v>
      </c>
      <c r="J9422" s="3">
        <f t="shared" si="147"/>
        <v>43748.168321747682</v>
      </c>
    </row>
    <row r="9423" spans="1:10" x14ac:dyDescent="0.25">
      <c r="A9423" s="5" t="s">
        <v>19165</v>
      </c>
      <c r="B9423" s="6">
        <v>400</v>
      </c>
      <c r="C9423" s="6">
        <v>20.478950000000001</v>
      </c>
      <c r="D9423" s="6">
        <v>85</v>
      </c>
      <c r="E9423" s="6">
        <v>0</v>
      </c>
      <c r="F9423" s="6">
        <v>0</v>
      </c>
      <c r="G9423" s="6">
        <v>2</v>
      </c>
      <c r="H9423" s="6" t="s">
        <v>19166</v>
      </c>
      <c r="I9423" s="6">
        <v>528.375</v>
      </c>
      <c r="J9423" s="2">
        <f t="shared" si="147"/>
        <v>43748.168417106477</v>
      </c>
    </row>
    <row r="9424" spans="1:10" x14ac:dyDescent="0.25">
      <c r="A9424" s="7" t="s">
        <v>19167</v>
      </c>
      <c r="B9424" s="8">
        <v>400</v>
      </c>
      <c r="C9424" s="8">
        <v>20.478950000000001</v>
      </c>
      <c r="D9424" s="8">
        <v>85</v>
      </c>
      <c r="E9424" s="8">
        <v>0</v>
      </c>
      <c r="F9424" s="8">
        <v>0</v>
      </c>
      <c r="G9424" s="8">
        <v>7</v>
      </c>
      <c r="H9424" s="8" t="s">
        <v>19168</v>
      </c>
      <c r="I9424" s="8">
        <v>528.1875</v>
      </c>
      <c r="J9424" s="3">
        <f t="shared" si="147"/>
        <v>43748.168488402771</v>
      </c>
    </row>
    <row r="9425" spans="1:10" x14ac:dyDescent="0.25">
      <c r="A9425" s="5" t="s">
        <v>19169</v>
      </c>
      <c r="B9425" s="6">
        <v>396.875</v>
      </c>
      <c r="C9425" s="6">
        <v>20.478950000000001</v>
      </c>
      <c r="D9425" s="6">
        <v>80</v>
      </c>
      <c r="E9425" s="6">
        <v>0</v>
      </c>
      <c r="F9425" s="6">
        <v>0</v>
      </c>
      <c r="G9425" s="6">
        <v>9</v>
      </c>
      <c r="H9425" s="6" t="s">
        <v>19170</v>
      </c>
      <c r="I9425" s="6">
        <v>527.4375</v>
      </c>
      <c r="J9425" s="2">
        <f t="shared" si="147"/>
        <v>43748.168560636572</v>
      </c>
    </row>
    <row r="9426" spans="1:10" x14ac:dyDescent="0.25">
      <c r="A9426" s="7" t="s">
        <v>19171</v>
      </c>
      <c r="B9426" s="8">
        <v>396.875</v>
      </c>
      <c r="C9426" s="8">
        <v>20.478950000000001</v>
      </c>
      <c r="D9426" s="8">
        <v>80</v>
      </c>
      <c r="E9426" s="8">
        <v>0</v>
      </c>
      <c r="F9426" s="8">
        <v>0</v>
      </c>
      <c r="G9426" s="8">
        <v>5</v>
      </c>
      <c r="H9426" s="8" t="s">
        <v>19172</v>
      </c>
      <c r="I9426" s="8">
        <v>527.4375</v>
      </c>
      <c r="J9426" s="3">
        <f t="shared" si="147"/>
        <v>43748.168631921297</v>
      </c>
    </row>
    <row r="9427" spans="1:10" x14ac:dyDescent="0.25">
      <c r="A9427" s="5" t="s">
        <v>19173</v>
      </c>
      <c r="B9427" s="6">
        <v>396.875</v>
      </c>
      <c r="C9427" s="6">
        <v>20.426300000000001</v>
      </c>
      <c r="D9427" s="6">
        <v>82</v>
      </c>
      <c r="E9427" s="6">
        <v>0</v>
      </c>
      <c r="F9427" s="6">
        <v>0</v>
      </c>
      <c r="G9427" s="6">
        <v>1</v>
      </c>
      <c r="H9427" s="6" t="s">
        <v>19174</v>
      </c>
      <c r="I9427" s="6">
        <v>527.4375</v>
      </c>
      <c r="J9427" s="2">
        <f t="shared" si="147"/>
        <v>43748.168703217591</v>
      </c>
    </row>
    <row r="9428" spans="1:10" x14ac:dyDescent="0.25">
      <c r="A9428" s="7" t="s">
        <v>19175</v>
      </c>
      <c r="B9428" s="8">
        <v>396.875</v>
      </c>
      <c r="C9428" s="8">
        <v>20.426300000000001</v>
      </c>
      <c r="D9428" s="8">
        <v>82</v>
      </c>
      <c r="E9428" s="8">
        <v>0</v>
      </c>
      <c r="F9428" s="8">
        <v>0</v>
      </c>
      <c r="G9428" s="8">
        <v>4</v>
      </c>
      <c r="H9428" s="8" t="s">
        <v>19176</v>
      </c>
      <c r="I9428" s="8">
        <v>527.4375</v>
      </c>
      <c r="J9428" s="3">
        <f t="shared" si="147"/>
        <v>43748.168774606478</v>
      </c>
    </row>
    <row r="9429" spans="1:10" x14ac:dyDescent="0.25">
      <c r="A9429" s="5" t="s">
        <v>19177</v>
      </c>
      <c r="B9429" s="6">
        <v>396.875</v>
      </c>
      <c r="C9429" s="6">
        <v>20.478950000000001</v>
      </c>
      <c r="D9429" s="6">
        <v>81</v>
      </c>
      <c r="E9429" s="6">
        <v>0</v>
      </c>
      <c r="F9429" s="6">
        <v>0</v>
      </c>
      <c r="G9429" s="6">
        <v>8</v>
      </c>
      <c r="H9429" s="6" t="s">
        <v>19178</v>
      </c>
      <c r="I9429" s="6">
        <v>527.4375</v>
      </c>
      <c r="J9429" s="2">
        <f t="shared" si="147"/>
        <v>43748.168846747685</v>
      </c>
    </row>
    <row r="9430" spans="1:10" x14ac:dyDescent="0.25">
      <c r="A9430" s="7" t="s">
        <v>19179</v>
      </c>
      <c r="B9430" s="8">
        <v>400</v>
      </c>
      <c r="C9430" s="8">
        <v>20.426300000000001</v>
      </c>
      <c r="D9430" s="8">
        <v>81</v>
      </c>
      <c r="E9430" s="8">
        <v>0</v>
      </c>
      <c r="F9430" s="8">
        <v>0</v>
      </c>
      <c r="G9430" s="8">
        <v>8</v>
      </c>
      <c r="H9430" s="8" t="s">
        <v>19180</v>
      </c>
      <c r="I9430" s="8">
        <v>528.375</v>
      </c>
      <c r="J9430" s="3">
        <f t="shared" si="147"/>
        <v>43748.168930081018</v>
      </c>
    </row>
    <row r="9431" spans="1:10" x14ac:dyDescent="0.25">
      <c r="A9431" s="5" t="s">
        <v>19181</v>
      </c>
      <c r="B9431" s="6">
        <v>403.125</v>
      </c>
      <c r="C9431" s="6">
        <v>20.478950000000001</v>
      </c>
      <c r="D9431" s="6">
        <v>81</v>
      </c>
      <c r="E9431" s="6">
        <v>0</v>
      </c>
      <c r="F9431" s="6">
        <v>0</v>
      </c>
      <c r="G9431" s="6">
        <v>8</v>
      </c>
      <c r="H9431" s="6" t="s">
        <v>19182</v>
      </c>
      <c r="I9431" s="6">
        <v>529.125</v>
      </c>
      <c r="J9431" s="2">
        <f t="shared" si="147"/>
        <v>43748.169001377311</v>
      </c>
    </row>
    <row r="9432" spans="1:10" x14ac:dyDescent="0.25">
      <c r="A9432" s="7" t="s">
        <v>19183</v>
      </c>
      <c r="B9432" s="8">
        <v>403.125</v>
      </c>
      <c r="C9432" s="8">
        <v>20.478950000000001</v>
      </c>
      <c r="D9432" s="8">
        <v>81</v>
      </c>
      <c r="E9432" s="8">
        <v>0</v>
      </c>
      <c r="F9432" s="8">
        <v>0</v>
      </c>
      <c r="G9432" s="8">
        <v>6</v>
      </c>
      <c r="H9432" s="8" t="s">
        <v>19184</v>
      </c>
      <c r="I9432" s="8">
        <v>529.125</v>
      </c>
      <c r="J9432" s="3">
        <f t="shared" si="147"/>
        <v>43748.169072673605</v>
      </c>
    </row>
    <row r="9433" spans="1:10" x14ac:dyDescent="0.25">
      <c r="A9433" s="5" t="s">
        <v>19185</v>
      </c>
      <c r="B9433" s="6">
        <v>403.125</v>
      </c>
      <c r="C9433" s="6">
        <v>20.426300000000001</v>
      </c>
      <c r="D9433" s="6">
        <v>80</v>
      </c>
      <c r="E9433" s="6">
        <v>0</v>
      </c>
      <c r="F9433" s="6">
        <v>0</v>
      </c>
      <c r="G9433" s="6">
        <v>9</v>
      </c>
      <c r="H9433" s="6" t="s">
        <v>19186</v>
      </c>
      <c r="I9433" s="6">
        <v>529.125</v>
      </c>
      <c r="J9433" s="2">
        <f t="shared" si="147"/>
        <v>43748.16914489583</v>
      </c>
    </row>
    <row r="9434" spans="1:10" x14ac:dyDescent="0.25">
      <c r="A9434" s="7" t="s">
        <v>19187</v>
      </c>
      <c r="B9434" s="8">
        <v>440.625</v>
      </c>
      <c r="C9434" s="8">
        <v>20.426300000000001</v>
      </c>
      <c r="D9434" s="8">
        <v>80</v>
      </c>
      <c r="E9434" s="8">
        <v>0</v>
      </c>
      <c r="F9434" s="8">
        <v>0</v>
      </c>
      <c r="G9434" s="8">
        <v>8</v>
      </c>
      <c r="H9434" s="8" t="s">
        <v>19188</v>
      </c>
      <c r="I9434" s="8">
        <v>541.6875</v>
      </c>
      <c r="J9434" s="3">
        <f t="shared" si="147"/>
        <v>43748.169216064816</v>
      </c>
    </row>
    <row r="9435" spans="1:10" x14ac:dyDescent="0.25">
      <c r="A9435" s="5" t="s">
        <v>19189</v>
      </c>
      <c r="B9435" s="6">
        <v>400</v>
      </c>
      <c r="C9435" s="6">
        <v>20.478950000000001</v>
      </c>
      <c r="D9435" s="6">
        <v>81</v>
      </c>
      <c r="E9435" s="6">
        <v>0</v>
      </c>
      <c r="F9435" s="6">
        <v>0</v>
      </c>
      <c r="G9435" s="6">
        <v>7</v>
      </c>
      <c r="H9435" s="6" t="s">
        <v>19190</v>
      </c>
      <c r="I9435" s="6">
        <v>528.375</v>
      </c>
      <c r="J9435" s="2">
        <f t="shared" si="147"/>
        <v>43748.169287465273</v>
      </c>
    </row>
    <row r="9436" spans="1:10" x14ac:dyDescent="0.25">
      <c r="A9436" s="7" t="s">
        <v>19191</v>
      </c>
      <c r="B9436" s="8">
        <v>400</v>
      </c>
      <c r="C9436" s="8">
        <v>20.478950000000001</v>
      </c>
      <c r="D9436" s="8">
        <v>80</v>
      </c>
      <c r="E9436" s="8">
        <v>0</v>
      </c>
      <c r="F9436" s="8">
        <v>0</v>
      </c>
      <c r="G9436" s="8">
        <v>0</v>
      </c>
      <c r="H9436" s="8" t="s">
        <v>19192</v>
      </c>
      <c r="I9436" s="8">
        <v>528.1875</v>
      </c>
      <c r="J9436" s="3">
        <f t="shared" si="147"/>
        <v>43748.169394884259</v>
      </c>
    </row>
    <row r="9437" spans="1:10" x14ac:dyDescent="0.25">
      <c r="A9437" s="5" t="s">
        <v>19193</v>
      </c>
      <c r="B9437" s="6">
        <v>400</v>
      </c>
      <c r="C9437" s="6">
        <v>20.478950000000001</v>
      </c>
      <c r="D9437" s="6">
        <v>80</v>
      </c>
      <c r="E9437" s="6">
        <v>0</v>
      </c>
      <c r="F9437" s="6">
        <v>0</v>
      </c>
      <c r="G9437" s="6">
        <v>5</v>
      </c>
      <c r="H9437" s="6" t="s">
        <v>19194</v>
      </c>
      <c r="I9437" s="6">
        <v>528.9375</v>
      </c>
      <c r="J9437" s="2">
        <f t="shared" si="147"/>
        <v>43748.169466180552</v>
      </c>
    </row>
    <row r="9438" spans="1:10" x14ac:dyDescent="0.25">
      <c r="A9438" s="7" t="s">
        <v>19195</v>
      </c>
      <c r="B9438" s="8">
        <v>403.125</v>
      </c>
      <c r="C9438" s="8">
        <v>20.478950000000001</v>
      </c>
      <c r="D9438" s="8">
        <v>80</v>
      </c>
      <c r="E9438" s="8">
        <v>0</v>
      </c>
      <c r="F9438" s="8">
        <v>0</v>
      </c>
      <c r="G9438" s="8">
        <v>4</v>
      </c>
      <c r="H9438" s="8" t="s">
        <v>19196</v>
      </c>
      <c r="I9438" s="8">
        <v>529.125</v>
      </c>
      <c r="J9438" s="3">
        <f t="shared" si="147"/>
        <v>43748.169538402777</v>
      </c>
    </row>
    <row r="9439" spans="1:10" x14ac:dyDescent="0.25">
      <c r="A9439" s="5" t="s">
        <v>19197</v>
      </c>
      <c r="B9439" s="6">
        <v>403.125</v>
      </c>
      <c r="C9439" s="6">
        <v>20.426300000000001</v>
      </c>
      <c r="D9439" s="6">
        <v>81</v>
      </c>
      <c r="E9439" s="6">
        <v>0</v>
      </c>
      <c r="F9439" s="6">
        <v>0</v>
      </c>
      <c r="G9439" s="6">
        <v>0</v>
      </c>
      <c r="H9439" s="6" t="s">
        <v>19198</v>
      </c>
      <c r="I9439" s="6">
        <v>529.125</v>
      </c>
      <c r="J9439" s="2">
        <f t="shared" si="147"/>
        <v>43748.16982476852</v>
      </c>
    </row>
    <row r="9440" spans="1:10" x14ac:dyDescent="0.25">
      <c r="A9440" s="7" t="s">
        <v>19199</v>
      </c>
      <c r="B9440" s="8">
        <v>403.125</v>
      </c>
      <c r="C9440" s="8">
        <v>20.478950000000001</v>
      </c>
      <c r="D9440" s="8">
        <v>82</v>
      </c>
      <c r="E9440" s="8">
        <v>0</v>
      </c>
      <c r="F9440" s="8">
        <v>0</v>
      </c>
      <c r="G9440" s="8">
        <v>0</v>
      </c>
      <c r="H9440" s="8" t="s">
        <v>19200</v>
      </c>
      <c r="I9440" s="8">
        <v>529.125</v>
      </c>
      <c r="J9440" s="3">
        <f t="shared" si="147"/>
        <v>43748.169906944437</v>
      </c>
    </row>
    <row r="9441" spans="1:10" x14ac:dyDescent="0.25">
      <c r="A9441" s="5" t="s">
        <v>19201</v>
      </c>
      <c r="B9441" s="6">
        <v>400</v>
      </c>
      <c r="C9441" s="6">
        <v>20.478950000000001</v>
      </c>
      <c r="D9441" s="6">
        <v>85</v>
      </c>
      <c r="E9441" s="6">
        <v>0</v>
      </c>
      <c r="F9441" s="6">
        <v>0</v>
      </c>
      <c r="G9441" s="6">
        <v>0</v>
      </c>
      <c r="H9441" s="6" t="s">
        <v>19202</v>
      </c>
      <c r="I9441" s="6">
        <v>528.1875</v>
      </c>
      <c r="J9441" s="2">
        <f t="shared" si="147"/>
        <v>43748.169978981481</v>
      </c>
    </row>
    <row r="9442" spans="1:10" x14ac:dyDescent="0.25">
      <c r="A9442" s="7" t="s">
        <v>19203</v>
      </c>
      <c r="B9442" s="8">
        <v>400</v>
      </c>
      <c r="C9442" s="8">
        <v>20.478950000000001</v>
      </c>
      <c r="D9442" s="8">
        <v>85</v>
      </c>
      <c r="E9442" s="8">
        <v>0</v>
      </c>
      <c r="F9442" s="8">
        <v>0</v>
      </c>
      <c r="G9442" s="8">
        <v>3</v>
      </c>
      <c r="H9442" s="8" t="s">
        <v>19204</v>
      </c>
      <c r="I9442" s="8">
        <v>528.1875</v>
      </c>
      <c r="J9442" s="3">
        <f t="shared" si="147"/>
        <v>43748.170049722219</v>
      </c>
    </row>
    <row r="9443" spans="1:10" x14ac:dyDescent="0.25">
      <c r="A9443" s="5" t="s">
        <v>19205</v>
      </c>
      <c r="B9443" s="6">
        <v>403.125</v>
      </c>
      <c r="C9443" s="6">
        <v>20.478950000000001</v>
      </c>
      <c r="D9443" s="6">
        <v>85</v>
      </c>
      <c r="E9443" s="6">
        <v>0</v>
      </c>
      <c r="F9443" s="6">
        <v>0</v>
      </c>
      <c r="G9443" s="6">
        <v>5</v>
      </c>
      <c r="H9443" s="6" t="s">
        <v>19206</v>
      </c>
      <c r="I9443" s="6">
        <v>529.125</v>
      </c>
      <c r="J9443" s="2">
        <f t="shared" si="147"/>
        <v>43748.170121759256</v>
      </c>
    </row>
    <row r="9444" spans="1:10" x14ac:dyDescent="0.25">
      <c r="A9444" s="7" t="s">
        <v>19207</v>
      </c>
      <c r="B9444" s="8">
        <v>403.125</v>
      </c>
      <c r="C9444" s="8">
        <v>20.478950000000001</v>
      </c>
      <c r="D9444" s="8">
        <v>81</v>
      </c>
      <c r="E9444" s="8">
        <v>0</v>
      </c>
      <c r="F9444" s="8">
        <v>0</v>
      </c>
      <c r="G9444" s="8">
        <v>0</v>
      </c>
      <c r="H9444" s="8" t="s">
        <v>19208</v>
      </c>
      <c r="I9444" s="8">
        <v>529.125</v>
      </c>
      <c r="J9444" s="3">
        <f t="shared" si="147"/>
        <v>43748.170193124999</v>
      </c>
    </row>
    <row r="9445" spans="1:10" x14ac:dyDescent="0.25">
      <c r="A9445" s="5" t="s">
        <v>19209</v>
      </c>
      <c r="B9445" s="6">
        <v>437.5</v>
      </c>
      <c r="C9445" s="6">
        <v>20.478950000000001</v>
      </c>
      <c r="D9445" s="6">
        <v>81</v>
      </c>
      <c r="E9445" s="6">
        <v>0</v>
      </c>
      <c r="F9445" s="6">
        <v>0</v>
      </c>
      <c r="G9445" s="6">
        <v>2</v>
      </c>
      <c r="H9445" s="6" t="s">
        <v>19210</v>
      </c>
      <c r="I9445" s="6">
        <v>540.5625</v>
      </c>
      <c r="J9445" s="2">
        <f t="shared" si="147"/>
        <v>43748.170265277775</v>
      </c>
    </row>
    <row r="9446" spans="1:10" x14ac:dyDescent="0.25">
      <c r="A9446" s="7" t="s">
        <v>19211</v>
      </c>
      <c r="B9446" s="8">
        <v>403.125</v>
      </c>
      <c r="C9446" s="8">
        <v>20.478950000000001</v>
      </c>
      <c r="D9446" s="8">
        <v>81</v>
      </c>
      <c r="E9446" s="8">
        <v>0</v>
      </c>
      <c r="F9446" s="8">
        <v>0</v>
      </c>
      <c r="G9446" s="8">
        <v>12</v>
      </c>
      <c r="H9446" s="8" t="s">
        <v>19212</v>
      </c>
      <c r="I9446" s="8">
        <v>529.125</v>
      </c>
      <c r="J9446" s="3">
        <f t="shared" si="147"/>
        <v>43748.170336562493</v>
      </c>
    </row>
    <row r="9447" spans="1:10" x14ac:dyDescent="0.25">
      <c r="A9447" s="5" t="s">
        <v>19213</v>
      </c>
      <c r="B9447" s="6">
        <v>400</v>
      </c>
      <c r="C9447" s="6">
        <v>20.426300000000001</v>
      </c>
      <c r="D9447" s="6">
        <v>81</v>
      </c>
      <c r="E9447" s="6">
        <v>0</v>
      </c>
      <c r="F9447" s="6">
        <v>0</v>
      </c>
      <c r="G9447" s="6">
        <v>2</v>
      </c>
      <c r="H9447" s="6" t="s">
        <v>19214</v>
      </c>
      <c r="I9447" s="6">
        <v>528.1875</v>
      </c>
      <c r="J9447" s="2">
        <f t="shared" si="147"/>
        <v>43748.17040787037</v>
      </c>
    </row>
    <row r="9448" spans="1:10" x14ac:dyDescent="0.25">
      <c r="A9448" s="7" t="s">
        <v>19215</v>
      </c>
      <c r="B9448" s="8">
        <v>400</v>
      </c>
      <c r="C9448" s="8">
        <v>20.478950000000001</v>
      </c>
      <c r="D9448" s="8">
        <v>80</v>
      </c>
      <c r="E9448" s="8">
        <v>0</v>
      </c>
      <c r="F9448" s="8">
        <v>0</v>
      </c>
      <c r="G9448" s="8">
        <v>1</v>
      </c>
      <c r="H9448" s="8" t="s">
        <v>19216</v>
      </c>
      <c r="I9448" s="8">
        <v>528.1875</v>
      </c>
      <c r="J9448" s="3">
        <f t="shared" si="147"/>
        <v>43748.170479282409</v>
      </c>
    </row>
    <row r="9449" spans="1:10" x14ac:dyDescent="0.25">
      <c r="A9449" s="5" t="s">
        <v>19217</v>
      </c>
      <c r="B9449" s="6">
        <v>400</v>
      </c>
      <c r="C9449" s="6">
        <v>20.478950000000001</v>
      </c>
      <c r="D9449" s="6">
        <v>84</v>
      </c>
      <c r="E9449" s="6">
        <v>0</v>
      </c>
      <c r="F9449" s="6">
        <v>0</v>
      </c>
      <c r="G9449" s="6">
        <v>0</v>
      </c>
      <c r="H9449" s="6" t="s">
        <v>19218</v>
      </c>
      <c r="I9449" s="6">
        <v>528.375</v>
      </c>
      <c r="J9449" s="2">
        <f t="shared" si="147"/>
        <v>43748.170563414351</v>
      </c>
    </row>
    <row r="9450" spans="1:10" x14ac:dyDescent="0.25">
      <c r="A9450" s="7" t="s">
        <v>19219</v>
      </c>
      <c r="B9450" s="8">
        <v>400</v>
      </c>
      <c r="C9450" s="8">
        <v>20.426300000000001</v>
      </c>
      <c r="D9450" s="8">
        <v>84</v>
      </c>
      <c r="E9450" s="8">
        <v>0</v>
      </c>
      <c r="F9450" s="8">
        <v>0</v>
      </c>
      <c r="G9450" s="8">
        <v>16</v>
      </c>
      <c r="H9450" s="8" t="s">
        <v>19220</v>
      </c>
      <c r="I9450" s="8">
        <v>528.1875</v>
      </c>
      <c r="J9450" s="3">
        <f t="shared" si="147"/>
        <v>43748.170634537033</v>
      </c>
    </row>
    <row r="9451" spans="1:10" x14ac:dyDescent="0.25">
      <c r="A9451" s="5" t="s">
        <v>19221</v>
      </c>
      <c r="B9451" s="6">
        <v>400</v>
      </c>
      <c r="C9451" s="6">
        <v>20.426300000000001</v>
      </c>
      <c r="D9451" s="6">
        <v>84</v>
      </c>
      <c r="E9451" s="6">
        <v>0</v>
      </c>
      <c r="F9451" s="6">
        <v>0</v>
      </c>
      <c r="G9451" s="6">
        <v>0</v>
      </c>
      <c r="H9451" s="6" t="s">
        <v>19222</v>
      </c>
      <c r="I9451" s="6">
        <v>528.1875</v>
      </c>
      <c r="J9451" s="2">
        <f t="shared" si="147"/>
        <v>43748.170706041659</v>
      </c>
    </row>
    <row r="9452" spans="1:10" x14ac:dyDescent="0.25">
      <c r="A9452" s="7" t="s">
        <v>19223</v>
      </c>
      <c r="B9452" s="8">
        <v>400</v>
      </c>
      <c r="C9452" s="8">
        <v>20.478950000000001</v>
      </c>
      <c r="D9452" s="8">
        <v>85</v>
      </c>
      <c r="E9452" s="8">
        <v>0</v>
      </c>
      <c r="F9452" s="8">
        <v>0</v>
      </c>
      <c r="G9452" s="8">
        <v>5</v>
      </c>
      <c r="H9452" s="8" t="s">
        <v>19224</v>
      </c>
      <c r="I9452" s="8">
        <v>528.375</v>
      </c>
      <c r="J9452" s="3">
        <f t="shared" si="147"/>
        <v>43748.170789351854</v>
      </c>
    </row>
    <row r="9453" spans="1:10" x14ac:dyDescent="0.25">
      <c r="A9453" s="5" t="s">
        <v>19225</v>
      </c>
      <c r="B9453" s="6">
        <v>400</v>
      </c>
      <c r="C9453" s="6">
        <v>20.478950000000001</v>
      </c>
      <c r="D9453" s="6">
        <v>85</v>
      </c>
      <c r="E9453" s="6">
        <v>0</v>
      </c>
      <c r="F9453" s="6">
        <v>0</v>
      </c>
      <c r="G9453" s="6">
        <v>10</v>
      </c>
      <c r="H9453" s="6" t="s">
        <v>19226</v>
      </c>
      <c r="I9453" s="6">
        <v>528.1875</v>
      </c>
      <c r="J9453" s="2">
        <f t="shared" si="147"/>
        <v>43748.170860763887</v>
      </c>
    </row>
    <row r="9454" spans="1:10" x14ac:dyDescent="0.25">
      <c r="A9454" s="7" t="s">
        <v>19227</v>
      </c>
      <c r="B9454" s="8">
        <v>400</v>
      </c>
      <c r="C9454" s="8">
        <v>20.478950000000001</v>
      </c>
      <c r="D9454" s="8">
        <v>85</v>
      </c>
      <c r="E9454" s="8">
        <v>0</v>
      </c>
      <c r="F9454" s="8">
        <v>0</v>
      </c>
      <c r="G9454" s="8">
        <v>2</v>
      </c>
      <c r="H9454" s="8" t="s">
        <v>19228</v>
      </c>
      <c r="I9454" s="8">
        <v>528.1875</v>
      </c>
      <c r="J9454" s="3">
        <f t="shared" si="147"/>
        <v>43748.17093299768</v>
      </c>
    </row>
    <row r="9455" spans="1:10" x14ac:dyDescent="0.25">
      <c r="A9455" s="5" t="s">
        <v>19229</v>
      </c>
      <c r="B9455" s="6">
        <v>400</v>
      </c>
      <c r="C9455" s="6">
        <v>20.478950000000001</v>
      </c>
      <c r="D9455" s="6">
        <v>85</v>
      </c>
      <c r="E9455" s="6">
        <v>0</v>
      </c>
      <c r="F9455" s="6">
        <v>0</v>
      </c>
      <c r="G9455" s="6">
        <v>3</v>
      </c>
      <c r="H9455" s="6" t="s">
        <v>19230</v>
      </c>
      <c r="I9455" s="6">
        <v>528.9375</v>
      </c>
      <c r="J9455" s="2">
        <f t="shared" si="147"/>
        <v>43748.171004166659</v>
      </c>
    </row>
    <row r="9456" spans="1:10" x14ac:dyDescent="0.25">
      <c r="A9456" s="7" t="s">
        <v>19231</v>
      </c>
      <c r="B9456" s="8">
        <v>403.125</v>
      </c>
      <c r="C9456" s="8">
        <v>20.478950000000001</v>
      </c>
      <c r="D9456" s="8">
        <v>88</v>
      </c>
      <c r="E9456" s="8">
        <v>0</v>
      </c>
      <c r="F9456" s="8">
        <v>0</v>
      </c>
      <c r="G9456" s="8">
        <v>4</v>
      </c>
      <c r="H9456" s="8" t="s">
        <v>19232</v>
      </c>
      <c r="I9456" s="8">
        <v>529.125</v>
      </c>
      <c r="J9456" s="3">
        <f t="shared" si="147"/>
        <v>43748.171075520826</v>
      </c>
    </row>
    <row r="9457" spans="1:10" x14ac:dyDescent="0.25">
      <c r="A9457" s="5" t="s">
        <v>19233</v>
      </c>
      <c r="B9457" s="6">
        <v>403.125</v>
      </c>
      <c r="C9457" s="6">
        <v>20.426300000000001</v>
      </c>
      <c r="D9457" s="6">
        <v>89</v>
      </c>
      <c r="E9457" s="6">
        <v>0</v>
      </c>
      <c r="F9457" s="6">
        <v>0</v>
      </c>
      <c r="G9457" s="6">
        <v>3</v>
      </c>
      <c r="H9457" s="6" t="s">
        <v>19234</v>
      </c>
      <c r="I9457" s="6">
        <v>529.125</v>
      </c>
      <c r="J9457" s="2">
        <f t="shared" si="147"/>
        <v>43748.171147685185</v>
      </c>
    </row>
    <row r="9458" spans="1:10" x14ac:dyDescent="0.25">
      <c r="A9458" s="7" t="s">
        <v>19235</v>
      </c>
      <c r="B9458" s="8">
        <v>403.125</v>
      </c>
      <c r="C9458" s="8">
        <v>20.478950000000001</v>
      </c>
      <c r="D9458" s="8">
        <v>87</v>
      </c>
      <c r="E9458" s="8">
        <v>0</v>
      </c>
      <c r="F9458" s="8">
        <v>0</v>
      </c>
      <c r="G9458" s="8">
        <v>3</v>
      </c>
      <c r="H9458" s="8" t="s">
        <v>19236</v>
      </c>
      <c r="I9458" s="8">
        <v>529.125</v>
      </c>
      <c r="J9458" s="3">
        <f t="shared" si="147"/>
        <v>43748.171218981479</v>
      </c>
    </row>
    <row r="9459" spans="1:10" x14ac:dyDescent="0.25">
      <c r="A9459" s="5" t="s">
        <v>19237</v>
      </c>
      <c r="B9459" s="6">
        <v>403.125</v>
      </c>
      <c r="C9459" s="6">
        <v>20.478950000000001</v>
      </c>
      <c r="D9459" s="6">
        <v>86</v>
      </c>
      <c r="E9459" s="6">
        <v>0</v>
      </c>
      <c r="F9459" s="6">
        <v>0</v>
      </c>
      <c r="G9459" s="6">
        <v>3</v>
      </c>
      <c r="H9459" s="6" t="s">
        <v>19238</v>
      </c>
      <c r="I9459" s="6">
        <v>529.125</v>
      </c>
      <c r="J9459" s="2">
        <f t="shared" si="147"/>
        <v>43748.171290324077</v>
      </c>
    </row>
    <row r="9460" spans="1:10" x14ac:dyDescent="0.25">
      <c r="A9460" s="7" t="s">
        <v>19239</v>
      </c>
      <c r="B9460" s="8">
        <v>400</v>
      </c>
      <c r="C9460" s="8">
        <v>20.478950000000001</v>
      </c>
      <c r="D9460" s="8">
        <v>86</v>
      </c>
      <c r="E9460" s="8">
        <v>0</v>
      </c>
      <c r="F9460" s="8">
        <v>0</v>
      </c>
      <c r="G9460" s="8">
        <v>2</v>
      </c>
      <c r="H9460" s="8" t="s">
        <v>19240</v>
      </c>
      <c r="I9460" s="8">
        <v>528.9375</v>
      </c>
      <c r="J9460" s="3">
        <f t="shared" si="147"/>
        <v>43748.171361631939</v>
      </c>
    </row>
    <row r="9461" spans="1:10" x14ac:dyDescent="0.25">
      <c r="A9461" s="5" t="s">
        <v>19241</v>
      </c>
      <c r="B9461" s="6">
        <v>403.125</v>
      </c>
      <c r="C9461" s="6">
        <v>20.426300000000001</v>
      </c>
      <c r="D9461" s="6">
        <v>86</v>
      </c>
      <c r="E9461" s="6">
        <v>0</v>
      </c>
      <c r="F9461" s="6">
        <v>0</v>
      </c>
      <c r="G9461" s="6">
        <v>3</v>
      </c>
      <c r="H9461" s="6" t="s">
        <v>19242</v>
      </c>
      <c r="I9461" s="6">
        <v>529.125</v>
      </c>
      <c r="J9461" s="2">
        <f t="shared" si="147"/>
        <v>43748.171433796299</v>
      </c>
    </row>
    <row r="9462" spans="1:10" x14ac:dyDescent="0.25">
      <c r="A9462" s="7" t="s">
        <v>19243</v>
      </c>
      <c r="B9462" s="8">
        <v>403.125</v>
      </c>
      <c r="C9462" s="8">
        <v>20.478950000000001</v>
      </c>
      <c r="D9462" s="8">
        <v>86</v>
      </c>
      <c r="E9462" s="8">
        <v>0</v>
      </c>
      <c r="F9462" s="8">
        <v>0</v>
      </c>
      <c r="G9462" s="8">
        <v>2</v>
      </c>
      <c r="H9462" s="8" t="s">
        <v>19244</v>
      </c>
      <c r="I9462" s="8">
        <v>529.125</v>
      </c>
      <c r="J9462" s="3">
        <f t="shared" si="147"/>
        <v>43748.171505023151</v>
      </c>
    </row>
    <row r="9463" spans="1:10" x14ac:dyDescent="0.25">
      <c r="A9463" s="5" t="s">
        <v>19245</v>
      </c>
      <c r="B9463" s="6">
        <v>403.125</v>
      </c>
      <c r="C9463" s="6">
        <v>20.426300000000001</v>
      </c>
      <c r="D9463" s="6">
        <v>86</v>
      </c>
      <c r="E9463" s="6">
        <v>0</v>
      </c>
      <c r="F9463" s="6">
        <v>0</v>
      </c>
      <c r="G9463" s="6">
        <v>2</v>
      </c>
      <c r="H9463" s="6" t="s">
        <v>19246</v>
      </c>
      <c r="I9463" s="6">
        <v>529.875</v>
      </c>
      <c r="J9463" s="2">
        <f t="shared" si="147"/>
        <v>43748.171577129622</v>
      </c>
    </row>
    <row r="9464" spans="1:10" x14ac:dyDescent="0.25">
      <c r="A9464" s="7" t="s">
        <v>19247</v>
      </c>
      <c r="B9464" s="8">
        <v>403.125</v>
      </c>
      <c r="C9464" s="8">
        <v>20.426300000000001</v>
      </c>
      <c r="D9464" s="8">
        <v>87</v>
      </c>
      <c r="E9464" s="8">
        <v>0</v>
      </c>
      <c r="F9464" s="8">
        <v>0</v>
      </c>
      <c r="G9464" s="8">
        <v>4</v>
      </c>
      <c r="H9464" s="8" t="s">
        <v>19248</v>
      </c>
      <c r="I9464" s="8">
        <v>529.875</v>
      </c>
      <c r="J9464" s="3">
        <f t="shared" si="147"/>
        <v>43748.171648437499</v>
      </c>
    </row>
    <row r="9465" spans="1:10" x14ac:dyDescent="0.25">
      <c r="A9465" s="5" t="s">
        <v>19249</v>
      </c>
      <c r="B9465" s="6">
        <v>418.75</v>
      </c>
      <c r="C9465" s="6">
        <v>20.478950000000001</v>
      </c>
      <c r="D9465" s="6">
        <v>87</v>
      </c>
      <c r="E9465" s="6">
        <v>0</v>
      </c>
      <c r="F9465" s="6">
        <v>0</v>
      </c>
      <c r="G9465" s="6">
        <v>0</v>
      </c>
      <c r="H9465" s="6" t="s">
        <v>19250</v>
      </c>
      <c r="I9465" s="6">
        <v>534.75</v>
      </c>
      <c r="J9465" s="2">
        <f t="shared" si="147"/>
        <v>43748.171718993057</v>
      </c>
    </row>
    <row r="9466" spans="1:10" x14ac:dyDescent="0.25">
      <c r="A9466" s="7" t="s">
        <v>19251</v>
      </c>
      <c r="B9466" s="8">
        <v>403.125</v>
      </c>
      <c r="C9466" s="8">
        <v>20.426300000000001</v>
      </c>
      <c r="D9466" s="8">
        <v>86</v>
      </c>
      <c r="E9466" s="8">
        <v>0</v>
      </c>
      <c r="F9466" s="8">
        <v>0</v>
      </c>
      <c r="G9466" s="8">
        <v>1</v>
      </c>
      <c r="H9466" s="8" t="s">
        <v>19252</v>
      </c>
      <c r="I9466" s="8">
        <v>529.125</v>
      </c>
      <c r="J9466" s="3">
        <f t="shared" si="147"/>
        <v>43748.171791203706</v>
      </c>
    </row>
    <row r="9467" spans="1:10" x14ac:dyDescent="0.25">
      <c r="A9467" s="5" t="s">
        <v>19253</v>
      </c>
      <c r="B9467" s="6">
        <v>403.125</v>
      </c>
      <c r="C9467" s="6">
        <v>20.426300000000001</v>
      </c>
      <c r="D9467" s="6">
        <v>87</v>
      </c>
      <c r="E9467" s="6">
        <v>0</v>
      </c>
      <c r="F9467" s="6">
        <v>0</v>
      </c>
      <c r="G9467" s="6">
        <v>10</v>
      </c>
      <c r="H9467" s="6" t="s">
        <v>19254</v>
      </c>
      <c r="I9467" s="6">
        <v>529.125</v>
      </c>
      <c r="J9467" s="2">
        <f t="shared" si="147"/>
        <v>43748.171862442126</v>
      </c>
    </row>
    <row r="9468" spans="1:10" x14ac:dyDescent="0.25">
      <c r="A9468" s="7" t="s">
        <v>19255</v>
      </c>
      <c r="B9468" s="8">
        <v>403.125</v>
      </c>
      <c r="C9468" s="8">
        <v>20.478950000000001</v>
      </c>
      <c r="D9468" s="8">
        <v>82</v>
      </c>
      <c r="E9468" s="8">
        <v>0</v>
      </c>
      <c r="F9468" s="8">
        <v>0</v>
      </c>
      <c r="G9468" s="8">
        <v>3</v>
      </c>
      <c r="H9468" s="8" t="s">
        <v>19256</v>
      </c>
      <c r="I9468" s="8">
        <v>529.125</v>
      </c>
      <c r="J9468" s="3">
        <f t="shared" si="147"/>
        <v>43748.171934722217</v>
      </c>
    </row>
    <row r="9469" spans="1:10" x14ac:dyDescent="0.25">
      <c r="A9469" s="5" t="s">
        <v>19257</v>
      </c>
      <c r="B9469" s="6">
        <v>400</v>
      </c>
      <c r="C9469" s="6">
        <v>20.478950000000001</v>
      </c>
      <c r="D9469" s="6">
        <v>81</v>
      </c>
      <c r="E9469" s="6">
        <v>0</v>
      </c>
      <c r="F9469" s="6">
        <v>0</v>
      </c>
      <c r="G9469" s="6">
        <v>9</v>
      </c>
      <c r="H9469" s="6" t="s">
        <v>19258</v>
      </c>
      <c r="I9469" s="6">
        <v>528.1875</v>
      </c>
      <c r="J9469" s="2">
        <f t="shared" si="147"/>
        <v>43748.172006030094</v>
      </c>
    </row>
    <row r="9470" spans="1:10" x14ac:dyDescent="0.25">
      <c r="A9470" s="7" t="s">
        <v>19259</v>
      </c>
      <c r="B9470" s="8">
        <v>400</v>
      </c>
      <c r="C9470" s="8">
        <v>20.426300000000001</v>
      </c>
      <c r="D9470" s="8">
        <v>82</v>
      </c>
      <c r="E9470" s="8">
        <v>0</v>
      </c>
      <c r="F9470" s="8">
        <v>0</v>
      </c>
      <c r="G9470" s="8">
        <v>0</v>
      </c>
      <c r="H9470" s="8" t="s">
        <v>19260</v>
      </c>
      <c r="I9470" s="8">
        <v>528.375</v>
      </c>
      <c r="J9470" s="3">
        <f t="shared" si="147"/>
        <v>43748.172077314812</v>
      </c>
    </row>
    <row r="9471" spans="1:10" x14ac:dyDescent="0.25">
      <c r="A9471" s="5" t="s">
        <v>19261</v>
      </c>
      <c r="B9471" s="6">
        <v>403.125</v>
      </c>
      <c r="C9471" s="6">
        <v>20.478950000000001</v>
      </c>
      <c r="D9471" s="6">
        <v>82</v>
      </c>
      <c r="E9471" s="6">
        <v>0</v>
      </c>
      <c r="F9471" s="6">
        <v>0</v>
      </c>
      <c r="G9471" s="6">
        <v>0</v>
      </c>
      <c r="H9471" s="6" t="s">
        <v>19262</v>
      </c>
      <c r="I9471" s="6">
        <v>529.125</v>
      </c>
      <c r="J9471" s="2">
        <f t="shared" si="147"/>
        <v>43748.172172696759</v>
      </c>
    </row>
    <row r="9472" spans="1:10" x14ac:dyDescent="0.25">
      <c r="A9472" s="7" t="s">
        <v>19263</v>
      </c>
      <c r="B9472" s="8">
        <v>400</v>
      </c>
      <c r="C9472" s="8">
        <v>20.478950000000001</v>
      </c>
      <c r="D9472" s="8">
        <v>92</v>
      </c>
      <c r="E9472" s="8">
        <v>0</v>
      </c>
      <c r="F9472" s="8">
        <v>0</v>
      </c>
      <c r="G9472" s="8">
        <v>0</v>
      </c>
      <c r="H9472" s="8" t="s">
        <v>19264</v>
      </c>
      <c r="I9472" s="8">
        <v>528.1875</v>
      </c>
      <c r="J9472" s="3">
        <f t="shared" si="147"/>
        <v>43748.172461724535</v>
      </c>
    </row>
    <row r="9473" spans="1:10" x14ac:dyDescent="0.25">
      <c r="A9473" s="5" t="s">
        <v>19265</v>
      </c>
      <c r="B9473" s="6">
        <v>421.875</v>
      </c>
      <c r="C9473" s="6">
        <v>20.478950000000001</v>
      </c>
      <c r="D9473" s="6">
        <v>92</v>
      </c>
      <c r="E9473" s="6">
        <v>0</v>
      </c>
      <c r="F9473" s="6">
        <v>0</v>
      </c>
      <c r="G9473" s="6">
        <v>0</v>
      </c>
      <c r="H9473" s="6" t="s">
        <v>19266</v>
      </c>
      <c r="I9473" s="6">
        <v>535.3125</v>
      </c>
      <c r="J9473" s="2">
        <f t="shared" si="147"/>
        <v>43748.172532673612</v>
      </c>
    </row>
    <row r="9474" spans="1:10" x14ac:dyDescent="0.25">
      <c r="A9474" s="7" t="s">
        <v>19267</v>
      </c>
      <c r="B9474" s="8">
        <v>396.875</v>
      </c>
      <c r="C9474" s="8">
        <v>20.478950000000001</v>
      </c>
      <c r="D9474" s="8">
        <v>91</v>
      </c>
      <c r="E9474" s="8">
        <v>0</v>
      </c>
      <c r="F9474" s="8">
        <v>0</v>
      </c>
      <c r="G9474" s="8">
        <v>0</v>
      </c>
      <c r="H9474" s="8" t="s">
        <v>19268</v>
      </c>
      <c r="I9474" s="8">
        <v>527.625</v>
      </c>
      <c r="J9474" s="3">
        <f t="shared" ref="J9474:J9537" si="148">(H9474/86400000)+25569+(7/24)</f>
        <v>43748.172604131942</v>
      </c>
    </row>
    <row r="9475" spans="1:10" x14ac:dyDescent="0.25">
      <c r="A9475" s="5" t="s">
        <v>19269</v>
      </c>
      <c r="B9475" s="6">
        <v>393.75</v>
      </c>
      <c r="C9475" s="6">
        <v>20.426300000000001</v>
      </c>
      <c r="D9475" s="6">
        <v>86</v>
      </c>
      <c r="E9475" s="6">
        <v>0</v>
      </c>
      <c r="F9475" s="6">
        <v>0</v>
      </c>
      <c r="G9475" s="6">
        <v>4</v>
      </c>
      <c r="H9475" s="6" t="s">
        <v>19270</v>
      </c>
      <c r="I9475" s="6">
        <v>526.6875</v>
      </c>
      <c r="J9475" s="2">
        <f t="shared" si="148"/>
        <v>43748.172675439811</v>
      </c>
    </row>
    <row r="9476" spans="1:10" x14ac:dyDescent="0.25">
      <c r="A9476" s="7" t="s">
        <v>19271</v>
      </c>
      <c r="B9476" s="8">
        <v>393.75</v>
      </c>
      <c r="C9476" s="8">
        <v>20.478950000000001</v>
      </c>
      <c r="D9476" s="8">
        <v>85</v>
      </c>
      <c r="E9476" s="8">
        <v>0</v>
      </c>
      <c r="F9476" s="8">
        <v>0</v>
      </c>
      <c r="G9476" s="8">
        <v>1</v>
      </c>
      <c r="H9476" s="8" t="s">
        <v>19272</v>
      </c>
      <c r="I9476" s="8">
        <v>526.5</v>
      </c>
      <c r="J9476" s="3">
        <f t="shared" si="148"/>
        <v>43748.172746724536</v>
      </c>
    </row>
    <row r="9477" spans="1:10" x14ac:dyDescent="0.25">
      <c r="A9477" s="5" t="s">
        <v>19273</v>
      </c>
      <c r="B9477" s="6">
        <v>393.75</v>
      </c>
      <c r="C9477" s="6">
        <v>20.478950000000001</v>
      </c>
      <c r="D9477" s="6">
        <v>84</v>
      </c>
      <c r="E9477" s="6">
        <v>0</v>
      </c>
      <c r="F9477" s="6">
        <v>0</v>
      </c>
      <c r="G9477" s="6">
        <v>6</v>
      </c>
      <c r="H9477" s="6" t="s">
        <v>19274</v>
      </c>
      <c r="I9477" s="6">
        <v>526.6875</v>
      </c>
      <c r="J9477" s="2">
        <f t="shared" si="148"/>
        <v>43748.172818946761</v>
      </c>
    </row>
    <row r="9478" spans="1:10" x14ac:dyDescent="0.25">
      <c r="A9478" s="7" t="s">
        <v>19275</v>
      </c>
      <c r="B9478" s="8">
        <v>393.75</v>
      </c>
      <c r="C9478" s="8">
        <v>20.478950000000001</v>
      </c>
      <c r="D9478" s="8">
        <v>84</v>
      </c>
      <c r="E9478" s="8">
        <v>0</v>
      </c>
      <c r="F9478" s="8">
        <v>0</v>
      </c>
      <c r="G9478" s="8">
        <v>9</v>
      </c>
      <c r="H9478" s="8" t="s">
        <v>19276</v>
      </c>
      <c r="I9478" s="8">
        <v>526.6875</v>
      </c>
      <c r="J9478" s="3">
        <f t="shared" si="148"/>
        <v>43748.172890185182</v>
      </c>
    </row>
    <row r="9479" spans="1:10" x14ac:dyDescent="0.25">
      <c r="A9479" s="5" t="s">
        <v>19277</v>
      </c>
      <c r="B9479" s="6">
        <v>393.75</v>
      </c>
      <c r="C9479" s="6">
        <v>20.478950000000001</v>
      </c>
      <c r="D9479" s="6">
        <v>84</v>
      </c>
      <c r="E9479" s="6">
        <v>0</v>
      </c>
      <c r="F9479" s="6">
        <v>0</v>
      </c>
      <c r="G9479" s="6">
        <v>1</v>
      </c>
      <c r="H9479" s="6" t="s">
        <v>19278</v>
      </c>
      <c r="I9479" s="6">
        <v>526.6875</v>
      </c>
      <c r="J9479" s="2">
        <f t="shared" si="148"/>
        <v>43748.172961550925</v>
      </c>
    </row>
    <row r="9480" spans="1:10" x14ac:dyDescent="0.25">
      <c r="A9480" s="7" t="s">
        <v>19279</v>
      </c>
      <c r="B9480" s="8">
        <v>393.75</v>
      </c>
      <c r="C9480" s="8">
        <v>20.478950000000001</v>
      </c>
      <c r="D9480" s="8">
        <v>85</v>
      </c>
      <c r="E9480" s="8">
        <v>0</v>
      </c>
      <c r="F9480" s="8">
        <v>0</v>
      </c>
      <c r="G9480" s="8">
        <v>16</v>
      </c>
      <c r="H9480" s="8" t="s">
        <v>19280</v>
      </c>
      <c r="I9480" s="8">
        <v>526.6875</v>
      </c>
      <c r="J9480" s="3">
        <f t="shared" si="148"/>
        <v>43748.173033530089</v>
      </c>
    </row>
    <row r="9481" spans="1:10" x14ac:dyDescent="0.25">
      <c r="A9481" s="5" t="s">
        <v>19281</v>
      </c>
      <c r="B9481" s="6">
        <v>393.75</v>
      </c>
      <c r="C9481" s="6">
        <v>20.478950000000001</v>
      </c>
      <c r="D9481" s="6">
        <v>85</v>
      </c>
      <c r="E9481" s="6">
        <v>0</v>
      </c>
      <c r="F9481" s="6">
        <v>0</v>
      </c>
      <c r="G9481" s="6">
        <v>3</v>
      </c>
      <c r="H9481" s="6" t="s">
        <v>19282</v>
      </c>
      <c r="I9481" s="6">
        <v>526.6875</v>
      </c>
      <c r="J9481" s="2">
        <f t="shared" si="148"/>
        <v>43748.173117094906</v>
      </c>
    </row>
    <row r="9482" spans="1:10" x14ac:dyDescent="0.25">
      <c r="A9482" s="7" t="s">
        <v>19283</v>
      </c>
      <c r="B9482" s="8">
        <v>393.75</v>
      </c>
      <c r="C9482" s="8">
        <v>20.426300000000001</v>
      </c>
      <c r="D9482" s="8">
        <v>86</v>
      </c>
      <c r="E9482" s="8">
        <v>0</v>
      </c>
      <c r="F9482" s="8">
        <v>0</v>
      </c>
      <c r="G9482" s="8">
        <v>2</v>
      </c>
      <c r="H9482" s="8" t="s">
        <v>19284</v>
      </c>
      <c r="I9482" s="8">
        <v>526.6875</v>
      </c>
      <c r="J9482" s="3">
        <f t="shared" si="148"/>
        <v>43748.173200439815</v>
      </c>
    </row>
    <row r="9483" spans="1:10" x14ac:dyDescent="0.25">
      <c r="A9483" s="5" t="s">
        <v>19285</v>
      </c>
      <c r="B9483" s="6">
        <v>393.75</v>
      </c>
      <c r="C9483" s="6">
        <v>20.478950000000001</v>
      </c>
      <c r="D9483" s="6">
        <v>86</v>
      </c>
      <c r="E9483" s="6">
        <v>0</v>
      </c>
      <c r="F9483" s="6">
        <v>0</v>
      </c>
      <c r="G9483" s="6">
        <v>3</v>
      </c>
      <c r="H9483" s="6" t="s">
        <v>19286</v>
      </c>
      <c r="I9483" s="6">
        <v>526.6875</v>
      </c>
      <c r="J9483" s="2">
        <f t="shared" si="148"/>
        <v>43748.173283715274</v>
      </c>
    </row>
    <row r="9484" spans="1:10" x14ac:dyDescent="0.25">
      <c r="A9484" s="7" t="s">
        <v>19287</v>
      </c>
      <c r="B9484" s="8">
        <v>393.75</v>
      </c>
      <c r="C9484" s="8">
        <v>20.478950000000001</v>
      </c>
      <c r="D9484" s="8">
        <v>86</v>
      </c>
      <c r="E9484" s="8">
        <v>0</v>
      </c>
      <c r="F9484" s="8">
        <v>0</v>
      </c>
      <c r="G9484" s="8">
        <v>7</v>
      </c>
      <c r="H9484" s="8" t="s">
        <v>19288</v>
      </c>
      <c r="I9484" s="8">
        <v>526.6875</v>
      </c>
      <c r="J9484" s="3">
        <f t="shared" si="148"/>
        <v>43748.173355069441</v>
      </c>
    </row>
    <row r="9485" spans="1:10" x14ac:dyDescent="0.25">
      <c r="A9485" s="5" t="s">
        <v>19289</v>
      </c>
      <c r="B9485" s="6">
        <v>393.75</v>
      </c>
      <c r="C9485" s="6">
        <v>20.426300000000001</v>
      </c>
      <c r="D9485" s="6">
        <v>85</v>
      </c>
      <c r="E9485" s="6">
        <v>0</v>
      </c>
      <c r="F9485" s="6">
        <v>0</v>
      </c>
      <c r="G9485" s="6">
        <v>0</v>
      </c>
      <c r="H9485" s="6" t="s">
        <v>19290</v>
      </c>
      <c r="I9485" s="6">
        <v>526.5</v>
      </c>
      <c r="J9485" s="2">
        <f t="shared" si="148"/>
        <v>43748.173427002308</v>
      </c>
    </row>
    <row r="9486" spans="1:10" x14ac:dyDescent="0.25">
      <c r="A9486" s="7" t="s">
        <v>19291</v>
      </c>
      <c r="B9486" s="8">
        <v>393.75</v>
      </c>
      <c r="C9486" s="8">
        <v>20.478950000000001</v>
      </c>
      <c r="D9486" s="8">
        <v>83</v>
      </c>
      <c r="E9486" s="8">
        <v>0</v>
      </c>
      <c r="F9486" s="8">
        <v>0</v>
      </c>
      <c r="G9486" s="8">
        <v>4</v>
      </c>
      <c r="H9486" s="8" t="s">
        <v>19292</v>
      </c>
      <c r="I9486" s="8">
        <v>526.6875</v>
      </c>
      <c r="J9486" s="3">
        <f t="shared" si="148"/>
        <v>43748.173498587959</v>
      </c>
    </row>
    <row r="9487" spans="1:10" x14ac:dyDescent="0.25">
      <c r="A9487" s="5" t="s">
        <v>19293</v>
      </c>
      <c r="B9487" s="6">
        <v>393.75</v>
      </c>
      <c r="C9487" s="6">
        <v>20.426300000000001</v>
      </c>
      <c r="D9487" s="6">
        <v>82</v>
      </c>
      <c r="E9487" s="6">
        <v>0</v>
      </c>
      <c r="F9487" s="6">
        <v>0</v>
      </c>
      <c r="G9487" s="6">
        <v>11</v>
      </c>
      <c r="H9487" s="6" t="s">
        <v>19294</v>
      </c>
      <c r="I9487" s="6">
        <v>526.6875</v>
      </c>
      <c r="J9487" s="2">
        <f t="shared" si="148"/>
        <v>43748.173569895829</v>
      </c>
    </row>
    <row r="9488" spans="1:10" x14ac:dyDescent="0.25">
      <c r="A9488" s="7" t="s">
        <v>19295</v>
      </c>
      <c r="B9488" s="8">
        <v>412.5</v>
      </c>
      <c r="C9488" s="8">
        <v>20.478950000000001</v>
      </c>
      <c r="D9488" s="8">
        <v>81</v>
      </c>
      <c r="E9488" s="8">
        <v>0</v>
      </c>
      <c r="F9488" s="8">
        <v>0</v>
      </c>
      <c r="G9488" s="8">
        <v>4</v>
      </c>
      <c r="H9488" s="8" t="s">
        <v>19296</v>
      </c>
      <c r="I9488" s="8">
        <v>532.3125</v>
      </c>
      <c r="J9488" s="3">
        <f t="shared" si="148"/>
        <v>43748.173641168978</v>
      </c>
    </row>
    <row r="9489" spans="1:10" x14ac:dyDescent="0.25">
      <c r="A9489" s="5" t="s">
        <v>19297</v>
      </c>
      <c r="B9489" s="6">
        <v>393.75</v>
      </c>
      <c r="C9489" s="6">
        <v>20.478950000000001</v>
      </c>
      <c r="D9489" s="6">
        <v>81</v>
      </c>
      <c r="E9489" s="6">
        <v>0</v>
      </c>
      <c r="F9489" s="6">
        <v>0</v>
      </c>
      <c r="G9489" s="6">
        <v>0</v>
      </c>
      <c r="H9489" s="6" t="s">
        <v>19298</v>
      </c>
      <c r="I9489" s="6">
        <v>526.5</v>
      </c>
      <c r="J9489" s="2">
        <f t="shared" si="148"/>
        <v>43748.173713414348</v>
      </c>
    </row>
    <row r="9490" spans="1:10" x14ac:dyDescent="0.25">
      <c r="A9490" s="7" t="s">
        <v>19299</v>
      </c>
      <c r="B9490" s="8">
        <v>393.75</v>
      </c>
      <c r="C9490" s="8">
        <v>20.478950000000001</v>
      </c>
      <c r="D9490" s="8">
        <v>81</v>
      </c>
      <c r="E9490" s="8">
        <v>0</v>
      </c>
      <c r="F9490" s="8">
        <v>0</v>
      </c>
      <c r="G9490" s="8">
        <v>9</v>
      </c>
      <c r="H9490" s="8" t="s">
        <v>19300</v>
      </c>
      <c r="I9490" s="8">
        <v>526.6875</v>
      </c>
      <c r="J9490" s="3">
        <f t="shared" si="148"/>
        <v>43748.1737846412</v>
      </c>
    </row>
    <row r="9491" spans="1:10" x14ac:dyDescent="0.25">
      <c r="A9491" s="5" t="s">
        <v>19301</v>
      </c>
      <c r="B9491" s="6">
        <v>393.75</v>
      </c>
      <c r="C9491" s="6">
        <v>20.478950000000001</v>
      </c>
      <c r="D9491" s="6">
        <v>81</v>
      </c>
      <c r="E9491" s="6">
        <v>0</v>
      </c>
      <c r="F9491" s="6">
        <v>0</v>
      </c>
      <c r="G9491" s="6">
        <v>3</v>
      </c>
      <c r="H9491" s="6" t="s">
        <v>19302</v>
      </c>
      <c r="I9491" s="6">
        <v>526.6875</v>
      </c>
      <c r="J9491" s="2">
        <f t="shared" si="148"/>
        <v>43748.17385598379</v>
      </c>
    </row>
    <row r="9492" spans="1:10" x14ac:dyDescent="0.25">
      <c r="A9492" s="7" t="s">
        <v>19303</v>
      </c>
      <c r="B9492" s="8">
        <v>393.75</v>
      </c>
      <c r="C9492" s="8">
        <v>20.478950000000001</v>
      </c>
      <c r="D9492" s="8">
        <v>82</v>
      </c>
      <c r="E9492" s="8">
        <v>0</v>
      </c>
      <c r="F9492" s="8">
        <v>0</v>
      </c>
      <c r="G9492" s="8">
        <v>0</v>
      </c>
      <c r="H9492" s="8" t="s">
        <v>19304</v>
      </c>
      <c r="I9492" s="8">
        <v>526.6875</v>
      </c>
      <c r="J9492" s="3">
        <f t="shared" si="148"/>
        <v>43748.173927303236</v>
      </c>
    </row>
    <row r="9493" spans="1:10" x14ac:dyDescent="0.25">
      <c r="A9493" s="5" t="s">
        <v>19305</v>
      </c>
      <c r="B9493" s="6">
        <v>393.75</v>
      </c>
      <c r="C9493" s="6">
        <v>20.478950000000001</v>
      </c>
      <c r="D9493" s="6">
        <v>82</v>
      </c>
      <c r="E9493" s="6">
        <v>0</v>
      </c>
      <c r="F9493" s="6">
        <v>0</v>
      </c>
      <c r="G9493" s="6">
        <v>7</v>
      </c>
      <c r="H9493" s="6" t="s">
        <v>19306</v>
      </c>
      <c r="I9493" s="6">
        <v>526.6875</v>
      </c>
      <c r="J9493" s="2">
        <f t="shared" si="148"/>
        <v>43748.173998877312</v>
      </c>
    </row>
    <row r="9494" spans="1:10" x14ac:dyDescent="0.25">
      <c r="A9494" s="7" t="s">
        <v>19307</v>
      </c>
      <c r="B9494" s="8">
        <v>393.75</v>
      </c>
      <c r="C9494" s="8">
        <v>20.478950000000001</v>
      </c>
      <c r="D9494" s="8">
        <v>82</v>
      </c>
      <c r="E9494" s="8">
        <v>0</v>
      </c>
      <c r="F9494" s="8">
        <v>0</v>
      </c>
      <c r="G9494" s="8">
        <v>8</v>
      </c>
      <c r="H9494" s="8" t="s">
        <v>19308</v>
      </c>
      <c r="I9494" s="8">
        <v>526.6875</v>
      </c>
      <c r="J9494" s="3">
        <f t="shared" si="148"/>
        <v>43748.174084884253</v>
      </c>
    </row>
    <row r="9495" spans="1:10" x14ac:dyDescent="0.25">
      <c r="A9495" s="5" t="s">
        <v>19309</v>
      </c>
      <c r="B9495" s="6">
        <v>393.75</v>
      </c>
      <c r="C9495" s="6">
        <v>20.478950000000001</v>
      </c>
      <c r="D9495" s="6">
        <v>82</v>
      </c>
      <c r="E9495" s="6">
        <v>0</v>
      </c>
      <c r="F9495" s="6">
        <v>0</v>
      </c>
      <c r="G9495" s="6">
        <v>8</v>
      </c>
      <c r="H9495" s="6" t="s">
        <v>19310</v>
      </c>
      <c r="I9495" s="6">
        <v>526.5</v>
      </c>
      <c r="J9495" s="2">
        <f t="shared" si="148"/>
        <v>43748.174166168981</v>
      </c>
    </row>
    <row r="9496" spans="1:10" x14ac:dyDescent="0.25">
      <c r="A9496" s="7" t="s">
        <v>19311</v>
      </c>
      <c r="B9496" s="8">
        <v>396.875</v>
      </c>
      <c r="C9496" s="8">
        <v>20.478950000000001</v>
      </c>
      <c r="D9496" s="8">
        <v>83</v>
      </c>
      <c r="E9496" s="8">
        <v>0</v>
      </c>
      <c r="F9496" s="8">
        <v>0</v>
      </c>
      <c r="G9496" s="8">
        <v>1</v>
      </c>
      <c r="H9496" s="8" t="s">
        <v>19312</v>
      </c>
      <c r="I9496" s="8">
        <v>527.4375</v>
      </c>
      <c r="J9496" s="3">
        <f t="shared" si="148"/>
        <v>43748.174237499996</v>
      </c>
    </row>
    <row r="9497" spans="1:10" x14ac:dyDescent="0.25">
      <c r="A9497" s="5" t="s">
        <v>19313</v>
      </c>
      <c r="B9497" s="6">
        <v>396.875</v>
      </c>
      <c r="C9497" s="6">
        <v>20.478950000000001</v>
      </c>
      <c r="D9497" s="6">
        <v>83</v>
      </c>
      <c r="E9497" s="6">
        <v>0</v>
      </c>
      <c r="F9497" s="6">
        <v>0</v>
      </c>
      <c r="G9497" s="6">
        <v>10</v>
      </c>
      <c r="H9497" s="6" t="s">
        <v>19314</v>
      </c>
      <c r="I9497" s="6">
        <v>527.4375</v>
      </c>
      <c r="J9497" s="2">
        <f t="shared" si="148"/>
        <v>43748.174309456015</v>
      </c>
    </row>
    <row r="9498" spans="1:10" x14ac:dyDescent="0.25">
      <c r="A9498" s="7" t="s">
        <v>19315</v>
      </c>
      <c r="B9498" s="8">
        <v>396.875</v>
      </c>
      <c r="C9498" s="8">
        <v>20.426300000000001</v>
      </c>
      <c r="D9498" s="8">
        <v>84</v>
      </c>
      <c r="E9498" s="8">
        <v>0</v>
      </c>
      <c r="F9498" s="8">
        <v>0</v>
      </c>
      <c r="G9498" s="8">
        <v>10</v>
      </c>
      <c r="H9498" s="8" t="s">
        <v>19316</v>
      </c>
      <c r="I9498" s="8">
        <v>527.4375</v>
      </c>
      <c r="J9498" s="3">
        <f t="shared" si="148"/>
        <v>43748.174380937497</v>
      </c>
    </row>
    <row r="9499" spans="1:10" x14ac:dyDescent="0.25">
      <c r="A9499" s="5" t="s">
        <v>19317</v>
      </c>
      <c r="B9499" s="6">
        <v>421.875</v>
      </c>
      <c r="C9499" s="6">
        <v>20.478950000000001</v>
      </c>
      <c r="D9499" s="6">
        <v>83</v>
      </c>
      <c r="E9499" s="6">
        <v>0</v>
      </c>
      <c r="F9499" s="6">
        <v>0</v>
      </c>
      <c r="G9499" s="6">
        <v>1</v>
      </c>
      <c r="H9499" s="6" t="s">
        <v>19318</v>
      </c>
      <c r="I9499" s="6">
        <v>535.6875</v>
      </c>
      <c r="J9499" s="2">
        <f t="shared" si="148"/>
        <v>43748.174452280095</v>
      </c>
    </row>
    <row r="9500" spans="1:10" x14ac:dyDescent="0.25">
      <c r="A9500" s="7" t="s">
        <v>19319</v>
      </c>
      <c r="B9500" s="8">
        <v>400</v>
      </c>
      <c r="C9500" s="8">
        <v>20.478950000000001</v>
      </c>
      <c r="D9500" s="8">
        <v>83</v>
      </c>
      <c r="E9500" s="8">
        <v>0</v>
      </c>
      <c r="F9500" s="8">
        <v>0</v>
      </c>
      <c r="G9500" s="8">
        <v>10</v>
      </c>
      <c r="H9500" s="8" t="s">
        <v>19320</v>
      </c>
      <c r="I9500" s="8">
        <v>528.1875</v>
      </c>
      <c r="J9500" s="3">
        <f t="shared" si="148"/>
        <v>43748.174523587957</v>
      </c>
    </row>
    <row r="9501" spans="1:10" x14ac:dyDescent="0.25">
      <c r="A9501" s="5" t="s">
        <v>19321</v>
      </c>
      <c r="B9501" s="6">
        <v>400</v>
      </c>
      <c r="C9501" s="6">
        <v>20.478950000000001</v>
      </c>
      <c r="D9501" s="6">
        <v>84</v>
      </c>
      <c r="E9501" s="6">
        <v>0</v>
      </c>
      <c r="F9501" s="6">
        <v>0</v>
      </c>
      <c r="G9501" s="6">
        <v>5</v>
      </c>
      <c r="H9501" s="6" t="s">
        <v>19322</v>
      </c>
      <c r="I9501" s="6">
        <v>528.375</v>
      </c>
      <c r="J9501" s="2">
        <f t="shared" si="148"/>
        <v>43748.174595740733</v>
      </c>
    </row>
    <row r="9502" spans="1:10" x14ac:dyDescent="0.25">
      <c r="A9502" s="7" t="s">
        <v>19323</v>
      </c>
      <c r="B9502" s="8">
        <v>400</v>
      </c>
      <c r="C9502" s="8">
        <v>20.478950000000001</v>
      </c>
      <c r="D9502" s="8">
        <v>84</v>
      </c>
      <c r="E9502" s="8">
        <v>0</v>
      </c>
      <c r="F9502" s="8">
        <v>0</v>
      </c>
      <c r="G9502" s="8">
        <v>3</v>
      </c>
      <c r="H9502" s="8" t="s">
        <v>19324</v>
      </c>
      <c r="I9502" s="8">
        <v>528.375</v>
      </c>
      <c r="J9502" s="3">
        <f t="shared" si="148"/>
        <v>43748.174679074073</v>
      </c>
    </row>
    <row r="9503" spans="1:10" x14ac:dyDescent="0.25">
      <c r="A9503" s="5" t="s">
        <v>19325</v>
      </c>
      <c r="B9503" s="6">
        <v>396.875</v>
      </c>
      <c r="C9503" s="6">
        <v>20.478950000000001</v>
      </c>
      <c r="D9503" s="6">
        <v>84</v>
      </c>
      <c r="E9503" s="6">
        <v>0</v>
      </c>
      <c r="F9503" s="6">
        <v>0</v>
      </c>
      <c r="G9503" s="6">
        <v>2</v>
      </c>
      <c r="H9503" s="6" t="s">
        <v>19326</v>
      </c>
      <c r="I9503" s="6">
        <v>527.4375</v>
      </c>
      <c r="J9503" s="2">
        <f t="shared" si="148"/>
        <v>43748.174750439815</v>
      </c>
    </row>
    <row r="9504" spans="1:10" x14ac:dyDescent="0.25">
      <c r="A9504" s="7" t="s">
        <v>19327</v>
      </c>
      <c r="B9504" s="8">
        <v>396.875</v>
      </c>
      <c r="C9504" s="8">
        <v>20.478950000000001</v>
      </c>
      <c r="D9504" s="8">
        <v>85</v>
      </c>
      <c r="E9504" s="8">
        <v>0</v>
      </c>
      <c r="F9504" s="8">
        <v>0</v>
      </c>
      <c r="G9504" s="8">
        <v>1</v>
      </c>
      <c r="H9504" s="8" t="s">
        <v>19328</v>
      </c>
      <c r="I9504" s="8">
        <v>527.4375</v>
      </c>
      <c r="J9504" s="3">
        <f t="shared" si="148"/>
        <v>43748.174833773148</v>
      </c>
    </row>
    <row r="9505" spans="1:10" x14ac:dyDescent="0.25">
      <c r="A9505" s="5" t="s">
        <v>19329</v>
      </c>
      <c r="B9505" s="6">
        <v>396.875</v>
      </c>
      <c r="C9505" s="6">
        <v>20.426300000000001</v>
      </c>
      <c r="D9505" s="6">
        <v>85</v>
      </c>
      <c r="E9505" s="6">
        <v>0</v>
      </c>
      <c r="F9505" s="6">
        <v>0</v>
      </c>
      <c r="G9505" s="6">
        <v>6</v>
      </c>
      <c r="H9505" s="6" t="s">
        <v>19330</v>
      </c>
      <c r="I9505" s="6">
        <v>527.4375</v>
      </c>
      <c r="J9505" s="2">
        <f t="shared" si="148"/>
        <v>43748.174905196756</v>
      </c>
    </row>
    <row r="9506" spans="1:10" x14ac:dyDescent="0.25">
      <c r="A9506" s="7" t="s">
        <v>19331</v>
      </c>
      <c r="B9506" s="8">
        <v>400</v>
      </c>
      <c r="C9506" s="8">
        <v>20.478950000000001</v>
      </c>
      <c r="D9506" s="8">
        <v>85</v>
      </c>
      <c r="E9506" s="8">
        <v>0</v>
      </c>
      <c r="F9506" s="8">
        <v>0</v>
      </c>
      <c r="G9506" s="8">
        <v>4</v>
      </c>
      <c r="H9506" s="8" t="s">
        <v>19332</v>
      </c>
      <c r="I9506" s="8">
        <v>528.1875</v>
      </c>
      <c r="J9506" s="3">
        <f t="shared" si="148"/>
        <v>43748.174988460647</v>
      </c>
    </row>
    <row r="9507" spans="1:10" x14ac:dyDescent="0.25">
      <c r="A9507" s="5" t="s">
        <v>19333</v>
      </c>
      <c r="B9507" s="6">
        <v>400</v>
      </c>
      <c r="C9507" s="6">
        <v>20.478950000000001</v>
      </c>
      <c r="D9507" s="6">
        <v>84</v>
      </c>
      <c r="E9507" s="6">
        <v>0</v>
      </c>
      <c r="F9507" s="6">
        <v>0</v>
      </c>
      <c r="G9507" s="6">
        <v>0</v>
      </c>
      <c r="H9507" s="6" t="s">
        <v>19334</v>
      </c>
      <c r="I9507" s="6">
        <v>528.1875</v>
      </c>
      <c r="J9507" s="2">
        <f t="shared" si="148"/>
        <v>43748.175060636575</v>
      </c>
    </row>
    <row r="9508" spans="1:10" x14ac:dyDescent="0.25">
      <c r="A9508" s="7" t="s">
        <v>19335</v>
      </c>
      <c r="B9508" s="8">
        <v>400</v>
      </c>
      <c r="C9508" s="8">
        <v>20.426300000000001</v>
      </c>
      <c r="D9508" s="8">
        <v>84</v>
      </c>
      <c r="E9508" s="8">
        <v>0</v>
      </c>
      <c r="F9508" s="8">
        <v>0</v>
      </c>
      <c r="G9508" s="8">
        <v>14</v>
      </c>
      <c r="H9508" s="8" t="s">
        <v>19336</v>
      </c>
      <c r="I9508" s="8">
        <v>528.375</v>
      </c>
      <c r="J9508" s="3">
        <f t="shared" si="148"/>
        <v>43748.175131979166</v>
      </c>
    </row>
    <row r="9509" spans="1:10" x14ac:dyDescent="0.25">
      <c r="A9509" s="5" t="s">
        <v>19337</v>
      </c>
      <c r="B9509" s="6">
        <v>403.125</v>
      </c>
      <c r="C9509" s="6">
        <v>20.478950000000001</v>
      </c>
      <c r="D9509" s="6">
        <v>85</v>
      </c>
      <c r="E9509" s="6">
        <v>0</v>
      </c>
      <c r="F9509" s="6">
        <v>0</v>
      </c>
      <c r="G9509" s="6">
        <v>6</v>
      </c>
      <c r="H9509" s="6" t="s">
        <v>19338</v>
      </c>
      <c r="I9509" s="6">
        <v>529.125</v>
      </c>
      <c r="J9509" s="2">
        <f t="shared" si="148"/>
        <v>43748.175203263883</v>
      </c>
    </row>
    <row r="9510" spans="1:10" x14ac:dyDescent="0.25">
      <c r="A9510" s="7" t="s">
        <v>19339</v>
      </c>
      <c r="B9510" s="8">
        <v>403.125</v>
      </c>
      <c r="C9510" s="8">
        <v>20.426300000000001</v>
      </c>
      <c r="D9510" s="8">
        <v>85</v>
      </c>
      <c r="E9510" s="8">
        <v>0</v>
      </c>
      <c r="F9510" s="8">
        <v>0</v>
      </c>
      <c r="G9510" s="8">
        <v>3</v>
      </c>
      <c r="H9510" s="8" t="s">
        <v>19340</v>
      </c>
      <c r="I9510" s="8">
        <v>529.125</v>
      </c>
      <c r="J9510" s="3">
        <f t="shared" si="148"/>
        <v>43748.175275370369</v>
      </c>
    </row>
    <row r="9511" spans="1:10" x14ac:dyDescent="0.25">
      <c r="A9511" s="5" t="s">
        <v>19341</v>
      </c>
      <c r="B9511" s="6">
        <v>403.125</v>
      </c>
      <c r="C9511" s="6">
        <v>20.478950000000001</v>
      </c>
      <c r="D9511" s="6">
        <v>86</v>
      </c>
      <c r="E9511" s="6">
        <v>0</v>
      </c>
      <c r="F9511" s="6">
        <v>0</v>
      </c>
      <c r="G9511" s="6">
        <v>0</v>
      </c>
      <c r="H9511" s="6" t="s">
        <v>19342</v>
      </c>
      <c r="I9511" s="6">
        <v>529.125</v>
      </c>
      <c r="J9511" s="2">
        <f t="shared" si="148"/>
        <v>43748.175346724536</v>
      </c>
    </row>
    <row r="9512" spans="1:10" x14ac:dyDescent="0.25">
      <c r="A9512" s="7" t="s">
        <v>19343</v>
      </c>
      <c r="B9512" s="8">
        <v>400</v>
      </c>
      <c r="C9512" s="8">
        <v>20.478950000000001</v>
      </c>
      <c r="D9512" s="8">
        <v>87</v>
      </c>
      <c r="E9512" s="8">
        <v>0</v>
      </c>
      <c r="F9512" s="8">
        <v>0</v>
      </c>
      <c r="G9512" s="8">
        <v>9</v>
      </c>
      <c r="H9512" s="8" t="s">
        <v>19344</v>
      </c>
      <c r="I9512" s="8">
        <v>528.9375</v>
      </c>
      <c r="J9512" s="3">
        <f t="shared" si="148"/>
        <v>43748.175418032406</v>
      </c>
    </row>
    <row r="9513" spans="1:10" x14ac:dyDescent="0.25">
      <c r="A9513" s="5" t="s">
        <v>19345</v>
      </c>
      <c r="B9513" s="6">
        <v>403.125</v>
      </c>
      <c r="C9513" s="6">
        <v>20.426300000000001</v>
      </c>
      <c r="D9513" s="6">
        <v>86</v>
      </c>
      <c r="E9513" s="6">
        <v>0</v>
      </c>
      <c r="F9513" s="6">
        <v>0</v>
      </c>
      <c r="G9513" s="6">
        <v>12</v>
      </c>
      <c r="H9513" s="6" t="s">
        <v>19346</v>
      </c>
      <c r="I9513" s="6">
        <v>529.125</v>
      </c>
      <c r="J9513" s="2">
        <f t="shared" si="148"/>
        <v>43748.175490069443</v>
      </c>
    </row>
    <row r="9514" spans="1:10" x14ac:dyDescent="0.25">
      <c r="A9514" s="7" t="s">
        <v>19347</v>
      </c>
      <c r="B9514" s="8">
        <v>418.75</v>
      </c>
      <c r="C9514" s="8">
        <v>20.478950000000001</v>
      </c>
      <c r="D9514" s="8">
        <v>83</v>
      </c>
      <c r="E9514" s="8">
        <v>0</v>
      </c>
      <c r="F9514" s="8">
        <v>0</v>
      </c>
      <c r="G9514" s="8">
        <v>2</v>
      </c>
      <c r="H9514" s="8" t="s">
        <v>19348</v>
      </c>
      <c r="I9514" s="8">
        <v>534.5625</v>
      </c>
      <c r="J9514" s="3">
        <f t="shared" si="148"/>
        <v>43748.175561527773</v>
      </c>
    </row>
    <row r="9515" spans="1:10" x14ac:dyDescent="0.25">
      <c r="A9515" s="5" t="s">
        <v>19349</v>
      </c>
      <c r="B9515" s="6">
        <v>403.125</v>
      </c>
      <c r="C9515" s="6">
        <v>20.478950000000001</v>
      </c>
      <c r="D9515" s="6">
        <v>83</v>
      </c>
      <c r="E9515" s="6">
        <v>0</v>
      </c>
      <c r="F9515" s="6">
        <v>0</v>
      </c>
      <c r="G9515" s="6">
        <v>8</v>
      </c>
      <c r="H9515" s="6" t="s">
        <v>19350</v>
      </c>
      <c r="I9515" s="6">
        <v>529.125</v>
      </c>
      <c r="J9515" s="2">
        <f t="shared" si="148"/>
        <v>43748.175632858794</v>
      </c>
    </row>
    <row r="9516" spans="1:10" x14ac:dyDescent="0.25">
      <c r="A9516" s="7" t="s">
        <v>19351</v>
      </c>
      <c r="B9516" s="8">
        <v>400</v>
      </c>
      <c r="C9516" s="8">
        <v>20.426300000000001</v>
      </c>
      <c r="D9516" s="8">
        <v>83</v>
      </c>
      <c r="E9516" s="8">
        <v>0</v>
      </c>
      <c r="F9516" s="8">
        <v>0</v>
      </c>
      <c r="G9516" s="8">
        <v>9</v>
      </c>
      <c r="H9516" s="8" t="s">
        <v>19352</v>
      </c>
      <c r="I9516" s="8">
        <v>528.9375</v>
      </c>
      <c r="J9516" s="3">
        <f t="shared" si="148"/>
        <v>43748.175704143512</v>
      </c>
    </row>
    <row r="9517" spans="1:10" x14ac:dyDescent="0.25">
      <c r="A9517" s="5" t="s">
        <v>19353</v>
      </c>
      <c r="B9517" s="6">
        <v>400</v>
      </c>
      <c r="C9517" s="6">
        <v>20.478950000000001</v>
      </c>
      <c r="D9517" s="6">
        <v>83</v>
      </c>
      <c r="E9517" s="6">
        <v>0</v>
      </c>
      <c r="F9517" s="6">
        <v>0</v>
      </c>
      <c r="G9517" s="6">
        <v>3</v>
      </c>
      <c r="H9517" s="6" t="s">
        <v>19354</v>
      </c>
      <c r="I9517" s="6">
        <v>528.375</v>
      </c>
      <c r="J9517" s="2">
        <f t="shared" si="148"/>
        <v>43748.175776377313</v>
      </c>
    </row>
    <row r="9518" spans="1:10" x14ac:dyDescent="0.25">
      <c r="A9518" s="7" t="s">
        <v>19355</v>
      </c>
      <c r="B9518" s="8">
        <v>431.25</v>
      </c>
      <c r="C9518" s="8">
        <v>20.478950000000001</v>
      </c>
      <c r="D9518" s="8">
        <v>84</v>
      </c>
      <c r="E9518" s="8">
        <v>0</v>
      </c>
      <c r="F9518" s="8">
        <v>0</v>
      </c>
      <c r="G9518" s="8">
        <v>3</v>
      </c>
      <c r="H9518" s="8" t="s">
        <v>19356</v>
      </c>
      <c r="I9518" s="8">
        <v>538.875</v>
      </c>
      <c r="J9518" s="3">
        <f t="shared" si="148"/>
        <v>43748.175847685183</v>
      </c>
    </row>
    <row r="9519" spans="1:10" x14ac:dyDescent="0.25">
      <c r="A9519" s="5" t="s">
        <v>19357</v>
      </c>
      <c r="B9519" s="6">
        <v>396.875</v>
      </c>
      <c r="C9519" s="6">
        <v>20.478950000000001</v>
      </c>
      <c r="D9519" s="6">
        <v>83</v>
      </c>
      <c r="E9519" s="6">
        <v>0</v>
      </c>
      <c r="F9519" s="6">
        <v>0</v>
      </c>
      <c r="G9519" s="6">
        <v>2</v>
      </c>
      <c r="H9519" s="6" t="s">
        <v>19358</v>
      </c>
      <c r="I9519" s="6">
        <v>527.4375</v>
      </c>
      <c r="J9519" s="2">
        <f t="shared" si="148"/>
        <v>43748.175918946756</v>
      </c>
    </row>
    <row r="9520" spans="1:10" x14ac:dyDescent="0.25">
      <c r="A9520" s="7" t="s">
        <v>19359</v>
      </c>
      <c r="B9520" s="8">
        <v>396.875</v>
      </c>
      <c r="C9520" s="8">
        <v>20.478950000000001</v>
      </c>
      <c r="D9520" s="8">
        <v>83</v>
      </c>
      <c r="E9520" s="8">
        <v>0</v>
      </c>
      <c r="F9520" s="8">
        <v>0</v>
      </c>
      <c r="G9520" s="8">
        <v>0</v>
      </c>
      <c r="H9520" s="8" t="s">
        <v>19360</v>
      </c>
      <c r="I9520" s="8">
        <v>527.4375</v>
      </c>
      <c r="J9520" s="3">
        <f t="shared" si="148"/>
        <v>43748.175990312498</v>
      </c>
    </row>
    <row r="9521" spans="1:10" x14ac:dyDescent="0.25">
      <c r="A9521" s="5" t="s">
        <v>19361</v>
      </c>
      <c r="B9521" s="6">
        <v>396.875</v>
      </c>
      <c r="C9521" s="6">
        <v>20.478950000000001</v>
      </c>
      <c r="D9521" s="6">
        <v>83</v>
      </c>
      <c r="E9521" s="6">
        <v>0</v>
      </c>
      <c r="F9521" s="6">
        <v>0</v>
      </c>
      <c r="G9521" s="6">
        <v>4</v>
      </c>
      <c r="H9521" s="6" t="s">
        <v>19362</v>
      </c>
      <c r="I9521" s="6">
        <v>527.4375</v>
      </c>
      <c r="J9521" s="2">
        <f t="shared" si="148"/>
        <v>43748.17606247685</v>
      </c>
    </row>
    <row r="9522" spans="1:10" x14ac:dyDescent="0.25">
      <c r="A9522" s="7" t="s">
        <v>19363</v>
      </c>
      <c r="B9522" s="8">
        <v>400</v>
      </c>
      <c r="C9522" s="8">
        <v>20.426300000000001</v>
      </c>
      <c r="D9522" s="8">
        <v>83</v>
      </c>
      <c r="E9522" s="8">
        <v>0</v>
      </c>
      <c r="F9522" s="8">
        <v>0</v>
      </c>
      <c r="G9522" s="8">
        <v>5</v>
      </c>
      <c r="H9522" s="8" t="s">
        <v>19364</v>
      </c>
      <c r="I9522" s="8">
        <v>528.1875</v>
      </c>
      <c r="J9522" s="3">
        <f t="shared" si="148"/>
        <v>43748.176133530091</v>
      </c>
    </row>
    <row r="9523" spans="1:10" x14ac:dyDescent="0.25">
      <c r="A9523" s="5" t="s">
        <v>19365</v>
      </c>
      <c r="B9523" s="6">
        <v>400</v>
      </c>
      <c r="C9523" s="6">
        <v>20.478950000000001</v>
      </c>
      <c r="D9523" s="6">
        <v>83</v>
      </c>
      <c r="E9523" s="6">
        <v>0</v>
      </c>
      <c r="F9523" s="6">
        <v>0</v>
      </c>
      <c r="G9523" s="6">
        <v>1</v>
      </c>
      <c r="H9523" s="6" t="s">
        <v>19366</v>
      </c>
      <c r="I9523" s="6">
        <v>528.1875</v>
      </c>
      <c r="J9523" s="2">
        <f t="shared" si="148"/>
        <v>43748.176205057869</v>
      </c>
    </row>
    <row r="9524" spans="1:10" x14ac:dyDescent="0.25">
      <c r="A9524" s="7" t="s">
        <v>19367</v>
      </c>
      <c r="B9524" s="8">
        <v>400</v>
      </c>
      <c r="C9524" s="8">
        <v>20.478950000000001</v>
      </c>
      <c r="D9524" s="8">
        <v>83</v>
      </c>
      <c r="E9524" s="8">
        <v>0</v>
      </c>
      <c r="F9524" s="8">
        <v>0</v>
      </c>
      <c r="G9524" s="8">
        <v>13</v>
      </c>
      <c r="H9524" s="8" t="s">
        <v>19368</v>
      </c>
      <c r="I9524" s="8">
        <v>528.1875</v>
      </c>
      <c r="J9524" s="3">
        <f t="shared" si="148"/>
        <v>43748.176277106475</v>
      </c>
    </row>
    <row r="9525" spans="1:10" x14ac:dyDescent="0.25">
      <c r="A9525" s="5" t="s">
        <v>19369</v>
      </c>
      <c r="B9525" s="6">
        <v>400</v>
      </c>
      <c r="C9525" s="6">
        <v>20.478950000000001</v>
      </c>
      <c r="D9525" s="6">
        <v>83</v>
      </c>
      <c r="E9525" s="6">
        <v>0</v>
      </c>
      <c r="F9525" s="6">
        <v>0</v>
      </c>
      <c r="G9525" s="6">
        <v>9</v>
      </c>
      <c r="H9525" s="6" t="s">
        <v>19370</v>
      </c>
      <c r="I9525" s="6">
        <v>528.1875</v>
      </c>
      <c r="J9525" s="2">
        <f t="shared" si="148"/>
        <v>43748.176348576388</v>
      </c>
    </row>
    <row r="9526" spans="1:10" x14ac:dyDescent="0.25">
      <c r="A9526" s="7" t="s">
        <v>19371</v>
      </c>
      <c r="B9526" s="8">
        <v>403.125</v>
      </c>
      <c r="C9526" s="8">
        <v>20.478950000000001</v>
      </c>
      <c r="D9526" s="8">
        <v>83</v>
      </c>
      <c r="E9526" s="8">
        <v>0</v>
      </c>
      <c r="F9526" s="8">
        <v>0</v>
      </c>
      <c r="G9526" s="8">
        <v>1</v>
      </c>
      <c r="H9526" s="8" t="s">
        <v>19372</v>
      </c>
      <c r="I9526" s="8">
        <v>529.125</v>
      </c>
      <c r="J9526" s="3">
        <f t="shared" si="148"/>
        <v>43748.176419895834</v>
      </c>
    </row>
    <row r="9527" spans="1:10" x14ac:dyDescent="0.25">
      <c r="A9527" s="5" t="s">
        <v>19373</v>
      </c>
      <c r="B9527" s="6">
        <v>418.75</v>
      </c>
      <c r="C9527" s="6">
        <v>20.478950000000001</v>
      </c>
      <c r="D9527" s="6">
        <v>81</v>
      </c>
      <c r="E9527" s="6">
        <v>0</v>
      </c>
      <c r="F9527" s="6">
        <v>0</v>
      </c>
      <c r="G9527" s="6">
        <v>12</v>
      </c>
      <c r="H9527" s="6" t="s">
        <v>19374</v>
      </c>
      <c r="I9527" s="6">
        <v>534.75</v>
      </c>
      <c r="J9527" s="2">
        <f t="shared" si="148"/>
        <v>43748.176491192127</v>
      </c>
    </row>
    <row r="9528" spans="1:10" x14ac:dyDescent="0.25">
      <c r="A9528" s="7" t="s">
        <v>19375</v>
      </c>
      <c r="B9528" s="8">
        <v>400</v>
      </c>
      <c r="C9528" s="8">
        <v>20.478950000000001</v>
      </c>
      <c r="D9528" s="8">
        <v>81</v>
      </c>
      <c r="E9528" s="8">
        <v>0</v>
      </c>
      <c r="F9528" s="8">
        <v>0</v>
      </c>
      <c r="G9528" s="8">
        <v>4</v>
      </c>
      <c r="H9528" s="8" t="s">
        <v>19376</v>
      </c>
      <c r="I9528" s="8">
        <v>528.1875</v>
      </c>
      <c r="J9528" s="3">
        <f t="shared" si="148"/>
        <v>43748.176575254627</v>
      </c>
    </row>
    <row r="9529" spans="1:10" x14ac:dyDescent="0.25">
      <c r="A9529" s="5" t="s">
        <v>19377</v>
      </c>
      <c r="B9529" s="6">
        <v>400</v>
      </c>
      <c r="C9529" s="6">
        <v>20.478950000000001</v>
      </c>
      <c r="D9529" s="6">
        <v>80</v>
      </c>
      <c r="E9529" s="6">
        <v>0</v>
      </c>
      <c r="F9529" s="6">
        <v>0</v>
      </c>
      <c r="G9529" s="6">
        <v>9</v>
      </c>
      <c r="H9529" s="6" t="s">
        <v>19378</v>
      </c>
      <c r="I9529" s="6">
        <v>528.1875</v>
      </c>
      <c r="J9529" s="2">
        <f t="shared" si="148"/>
        <v>43748.17664672454</v>
      </c>
    </row>
    <row r="9530" spans="1:10" x14ac:dyDescent="0.25">
      <c r="A9530" s="7" t="s">
        <v>19379</v>
      </c>
      <c r="B9530" s="8">
        <v>396.875</v>
      </c>
      <c r="C9530" s="8">
        <v>20.478950000000001</v>
      </c>
      <c r="D9530" s="8">
        <v>80</v>
      </c>
      <c r="E9530" s="8">
        <v>0</v>
      </c>
      <c r="F9530" s="8">
        <v>0</v>
      </c>
      <c r="G9530" s="8">
        <v>11</v>
      </c>
      <c r="H9530" s="8" t="s">
        <v>19380</v>
      </c>
      <c r="I9530" s="8">
        <v>527.4375</v>
      </c>
      <c r="J9530" s="3">
        <f t="shared" si="148"/>
        <v>43748.176718043978</v>
      </c>
    </row>
    <row r="9531" spans="1:10" x14ac:dyDescent="0.25">
      <c r="A9531" s="5" t="s">
        <v>19381</v>
      </c>
      <c r="B9531" s="6">
        <v>396.875</v>
      </c>
      <c r="C9531" s="6">
        <v>20.478950000000001</v>
      </c>
      <c r="D9531" s="6">
        <v>80</v>
      </c>
      <c r="E9531" s="6">
        <v>0</v>
      </c>
      <c r="F9531" s="6">
        <v>0</v>
      </c>
      <c r="G9531" s="6">
        <v>2</v>
      </c>
      <c r="H9531" s="6" t="s">
        <v>19382</v>
      </c>
      <c r="I9531" s="6">
        <v>527.4375</v>
      </c>
      <c r="J9531" s="2">
        <f t="shared" si="148"/>
        <v>43748.176789328696</v>
      </c>
    </row>
    <row r="9532" spans="1:10" x14ac:dyDescent="0.25">
      <c r="A9532" s="7" t="s">
        <v>19383</v>
      </c>
      <c r="B9532" s="8">
        <v>396.875</v>
      </c>
      <c r="C9532" s="8">
        <v>20.426300000000001</v>
      </c>
      <c r="D9532" s="8">
        <v>81</v>
      </c>
      <c r="E9532" s="8">
        <v>0</v>
      </c>
      <c r="F9532" s="8">
        <v>0</v>
      </c>
      <c r="G9532" s="8">
        <v>4</v>
      </c>
      <c r="H9532" s="8" t="s">
        <v>19384</v>
      </c>
      <c r="I9532" s="8">
        <v>527.4375</v>
      </c>
      <c r="J9532" s="3">
        <f t="shared" si="148"/>
        <v>43748.176861550928</v>
      </c>
    </row>
    <row r="9533" spans="1:10" x14ac:dyDescent="0.25">
      <c r="A9533" s="5" t="s">
        <v>19385</v>
      </c>
      <c r="B9533" s="6">
        <v>396.875</v>
      </c>
      <c r="C9533" s="6">
        <v>20.478950000000001</v>
      </c>
      <c r="D9533" s="6">
        <v>80</v>
      </c>
      <c r="E9533" s="6">
        <v>0</v>
      </c>
      <c r="F9533" s="6">
        <v>0</v>
      </c>
      <c r="G9533" s="6">
        <v>8</v>
      </c>
      <c r="H9533" s="6" t="s">
        <v>19386</v>
      </c>
      <c r="I9533" s="6">
        <v>527.4375</v>
      </c>
      <c r="J9533" s="2">
        <f t="shared" si="148"/>
        <v>43748.176932847222</v>
      </c>
    </row>
    <row r="9534" spans="1:10" x14ac:dyDescent="0.25">
      <c r="A9534" s="7" t="s">
        <v>19387</v>
      </c>
      <c r="B9534" s="8">
        <v>400</v>
      </c>
      <c r="C9534" s="8">
        <v>20.478950000000001</v>
      </c>
      <c r="D9534" s="8">
        <v>80</v>
      </c>
      <c r="E9534" s="8">
        <v>0</v>
      </c>
      <c r="F9534" s="8">
        <v>0</v>
      </c>
      <c r="G9534" s="8">
        <v>10</v>
      </c>
      <c r="H9534" s="8" t="s">
        <v>19388</v>
      </c>
      <c r="I9534" s="8">
        <v>528.1875</v>
      </c>
      <c r="J9534" s="3">
        <f t="shared" si="148"/>
        <v>43748.177004131947</v>
      </c>
    </row>
    <row r="9535" spans="1:10" x14ac:dyDescent="0.25">
      <c r="A9535" s="5" t="s">
        <v>19389</v>
      </c>
      <c r="B9535" s="6">
        <v>400</v>
      </c>
      <c r="C9535" s="6">
        <v>20.478950000000001</v>
      </c>
      <c r="D9535" s="6">
        <v>80</v>
      </c>
      <c r="E9535" s="6">
        <v>0</v>
      </c>
      <c r="F9535" s="6">
        <v>0</v>
      </c>
      <c r="G9535" s="6">
        <v>2</v>
      </c>
      <c r="H9535" s="6" t="s">
        <v>19390</v>
      </c>
      <c r="I9535" s="6">
        <v>528.375</v>
      </c>
      <c r="J9535" s="2">
        <f t="shared" si="148"/>
        <v>43748.177075497682</v>
      </c>
    </row>
    <row r="9536" spans="1:10" x14ac:dyDescent="0.25">
      <c r="A9536" s="7" t="s">
        <v>19391</v>
      </c>
      <c r="B9536" s="8">
        <v>403.125</v>
      </c>
      <c r="C9536" s="8">
        <v>20.478950000000001</v>
      </c>
      <c r="D9536" s="8">
        <v>79</v>
      </c>
      <c r="E9536" s="8">
        <v>0</v>
      </c>
      <c r="F9536" s="8">
        <v>0</v>
      </c>
      <c r="G9536" s="8">
        <v>7</v>
      </c>
      <c r="H9536" s="8" t="s">
        <v>19392</v>
      </c>
      <c r="I9536" s="8">
        <v>529.125</v>
      </c>
      <c r="J9536" s="3">
        <f t="shared" si="148"/>
        <v>43748.177147592585</v>
      </c>
    </row>
    <row r="9537" spans="1:10" x14ac:dyDescent="0.25">
      <c r="A9537" s="5" t="s">
        <v>19393</v>
      </c>
      <c r="B9537" s="6">
        <v>403.125</v>
      </c>
      <c r="C9537" s="6">
        <v>20.478950000000001</v>
      </c>
      <c r="D9537" s="6">
        <v>79</v>
      </c>
      <c r="E9537" s="6">
        <v>0</v>
      </c>
      <c r="F9537" s="6">
        <v>0</v>
      </c>
      <c r="G9537" s="6">
        <v>4</v>
      </c>
      <c r="H9537" s="6" t="s">
        <v>19394</v>
      </c>
      <c r="I9537" s="6">
        <v>529.125</v>
      </c>
      <c r="J9537" s="2">
        <f t="shared" si="148"/>
        <v>43748.177218888886</v>
      </c>
    </row>
    <row r="9538" spans="1:10" x14ac:dyDescent="0.25">
      <c r="A9538" s="7" t="s">
        <v>19395</v>
      </c>
      <c r="B9538" s="8">
        <v>400</v>
      </c>
      <c r="C9538" s="8">
        <v>20.478950000000001</v>
      </c>
      <c r="D9538" s="8">
        <v>78</v>
      </c>
      <c r="E9538" s="8">
        <v>0</v>
      </c>
      <c r="F9538" s="8">
        <v>0</v>
      </c>
      <c r="G9538" s="8">
        <v>4</v>
      </c>
      <c r="H9538" s="8" t="s">
        <v>19396</v>
      </c>
      <c r="I9538" s="8">
        <v>528.9375</v>
      </c>
      <c r="J9538" s="3">
        <f t="shared" ref="J9538:J9601" si="149">(H9538/86400000)+25569+(7/24)</f>
        <v>43748.177290127314</v>
      </c>
    </row>
    <row r="9539" spans="1:10" x14ac:dyDescent="0.25">
      <c r="A9539" s="5" t="s">
        <v>19397</v>
      </c>
      <c r="B9539" s="6">
        <v>403.125</v>
      </c>
      <c r="C9539" s="6">
        <v>20.478950000000001</v>
      </c>
      <c r="D9539" s="6">
        <v>80</v>
      </c>
      <c r="E9539" s="6">
        <v>0</v>
      </c>
      <c r="F9539" s="6">
        <v>0</v>
      </c>
      <c r="G9539" s="6">
        <v>8</v>
      </c>
      <c r="H9539" s="6" t="s">
        <v>19398</v>
      </c>
      <c r="I9539" s="6">
        <v>529.125</v>
      </c>
      <c r="J9539" s="2">
        <f t="shared" si="149"/>
        <v>43748.177385555558</v>
      </c>
    </row>
    <row r="9540" spans="1:10" x14ac:dyDescent="0.25">
      <c r="A9540" s="7" t="s">
        <v>19399</v>
      </c>
      <c r="B9540" s="8">
        <v>403.125</v>
      </c>
      <c r="C9540" s="8">
        <v>20.478950000000001</v>
      </c>
      <c r="D9540" s="8">
        <v>80</v>
      </c>
      <c r="E9540" s="8">
        <v>0</v>
      </c>
      <c r="F9540" s="8">
        <v>0</v>
      </c>
      <c r="G9540" s="8">
        <v>13</v>
      </c>
      <c r="H9540" s="8" t="s">
        <v>19400</v>
      </c>
      <c r="I9540" s="8">
        <v>529.125</v>
      </c>
      <c r="J9540" s="3">
        <f t="shared" si="149"/>
        <v>43748.177456932863</v>
      </c>
    </row>
    <row r="9541" spans="1:10" x14ac:dyDescent="0.25">
      <c r="A9541" s="5" t="s">
        <v>19401</v>
      </c>
      <c r="B9541" s="6">
        <v>403.125</v>
      </c>
      <c r="C9541" s="6">
        <v>20.478950000000001</v>
      </c>
      <c r="D9541" s="6">
        <v>79</v>
      </c>
      <c r="E9541" s="6">
        <v>0</v>
      </c>
      <c r="F9541" s="6">
        <v>0</v>
      </c>
      <c r="G9541" s="6">
        <v>11</v>
      </c>
      <c r="H9541" s="6" t="s">
        <v>19402</v>
      </c>
      <c r="I9541" s="6">
        <v>529.125</v>
      </c>
      <c r="J9541" s="2">
        <f t="shared" si="149"/>
        <v>43748.177529143511</v>
      </c>
    </row>
    <row r="9542" spans="1:10" x14ac:dyDescent="0.25">
      <c r="A9542" s="7" t="s">
        <v>19403</v>
      </c>
      <c r="B9542" s="8">
        <v>400</v>
      </c>
      <c r="C9542" s="8">
        <v>20.478950000000001</v>
      </c>
      <c r="D9542" s="8">
        <v>79</v>
      </c>
      <c r="E9542" s="8">
        <v>0</v>
      </c>
      <c r="F9542" s="8">
        <v>0</v>
      </c>
      <c r="G9542" s="8">
        <v>10</v>
      </c>
      <c r="H9542" s="8" t="s">
        <v>19404</v>
      </c>
      <c r="I9542" s="8">
        <v>528.1875</v>
      </c>
      <c r="J9542" s="3">
        <f t="shared" si="149"/>
        <v>43748.177600428236</v>
      </c>
    </row>
    <row r="9543" spans="1:10" x14ac:dyDescent="0.25">
      <c r="A9543" s="5" t="s">
        <v>19405</v>
      </c>
      <c r="B9543" s="6">
        <v>400</v>
      </c>
      <c r="C9543" s="6">
        <v>20.426300000000001</v>
      </c>
      <c r="D9543" s="6">
        <v>79</v>
      </c>
      <c r="E9543" s="6">
        <v>0</v>
      </c>
      <c r="F9543" s="6">
        <v>0</v>
      </c>
      <c r="G9543" s="6">
        <v>4</v>
      </c>
      <c r="H9543" s="6" t="s">
        <v>19406</v>
      </c>
      <c r="I9543" s="6">
        <v>528.375</v>
      </c>
      <c r="J9543" s="2">
        <f t="shared" si="149"/>
        <v>43748.177671736114</v>
      </c>
    </row>
    <row r="9544" spans="1:10" x14ac:dyDescent="0.25">
      <c r="A9544" s="7" t="s">
        <v>19407</v>
      </c>
      <c r="B9544" s="8">
        <v>403.125</v>
      </c>
      <c r="C9544" s="8">
        <v>20.478950000000001</v>
      </c>
      <c r="D9544" s="8">
        <v>79</v>
      </c>
      <c r="E9544" s="8">
        <v>0</v>
      </c>
      <c r="F9544" s="8">
        <v>0</v>
      </c>
      <c r="G9544" s="8">
        <v>12</v>
      </c>
      <c r="H9544" s="8" t="s">
        <v>19408</v>
      </c>
      <c r="I9544" s="8">
        <v>529.125</v>
      </c>
      <c r="J9544" s="3">
        <f t="shared" si="149"/>
        <v>43748.177743946755</v>
      </c>
    </row>
    <row r="9545" spans="1:10" x14ac:dyDescent="0.25">
      <c r="A9545" s="5" t="s">
        <v>19409</v>
      </c>
      <c r="B9545" s="6">
        <v>403.125</v>
      </c>
      <c r="C9545" s="6">
        <v>20.478950000000001</v>
      </c>
      <c r="D9545" s="6">
        <v>80</v>
      </c>
      <c r="E9545" s="6">
        <v>0</v>
      </c>
      <c r="F9545" s="6">
        <v>0</v>
      </c>
      <c r="G9545" s="6">
        <v>15</v>
      </c>
      <c r="H9545" s="6" t="s">
        <v>19410</v>
      </c>
      <c r="I9545" s="6">
        <v>529.125</v>
      </c>
      <c r="J9545" s="2">
        <f t="shared" si="149"/>
        <v>43748.17781483796</v>
      </c>
    </row>
    <row r="9546" spans="1:10" x14ac:dyDescent="0.25">
      <c r="A9546" s="7" t="s">
        <v>19411</v>
      </c>
      <c r="B9546" s="8">
        <v>418.75</v>
      </c>
      <c r="C9546" s="8">
        <v>20.478950000000001</v>
      </c>
      <c r="D9546" s="8">
        <v>80</v>
      </c>
      <c r="E9546" s="8">
        <v>0</v>
      </c>
      <c r="F9546" s="8">
        <v>0</v>
      </c>
      <c r="G9546" s="8">
        <v>6</v>
      </c>
      <c r="H9546" s="8" t="s">
        <v>19412</v>
      </c>
      <c r="I9546" s="8">
        <v>534.9375</v>
      </c>
      <c r="J9546" s="3">
        <f t="shared" si="149"/>
        <v>43748.177886562502</v>
      </c>
    </row>
    <row r="9547" spans="1:10" x14ac:dyDescent="0.25">
      <c r="A9547" s="5" t="s">
        <v>19413</v>
      </c>
      <c r="B9547" s="6">
        <v>400</v>
      </c>
      <c r="C9547" s="6">
        <v>20.478950000000001</v>
      </c>
      <c r="D9547" s="6">
        <v>80</v>
      </c>
      <c r="E9547" s="6">
        <v>0</v>
      </c>
      <c r="F9547" s="6">
        <v>0</v>
      </c>
      <c r="G9547" s="6">
        <v>6</v>
      </c>
      <c r="H9547" s="6" t="s">
        <v>19414</v>
      </c>
      <c r="I9547" s="6">
        <v>528.1875</v>
      </c>
      <c r="J9547" s="2">
        <f t="shared" si="149"/>
        <v>43748.177957905085</v>
      </c>
    </row>
    <row r="9548" spans="1:10" x14ac:dyDescent="0.25">
      <c r="A9548" s="7" t="s">
        <v>19415</v>
      </c>
      <c r="B9548" s="8">
        <v>400</v>
      </c>
      <c r="C9548" s="8">
        <v>20.478950000000001</v>
      </c>
      <c r="D9548" s="8">
        <v>80</v>
      </c>
      <c r="E9548" s="8">
        <v>0</v>
      </c>
      <c r="F9548" s="8">
        <v>0</v>
      </c>
      <c r="G9548" s="8">
        <v>4</v>
      </c>
      <c r="H9548" s="8" t="s">
        <v>19416</v>
      </c>
      <c r="I9548" s="8">
        <v>528.375</v>
      </c>
      <c r="J9548" s="3">
        <f t="shared" si="149"/>
        <v>43748.178030833333</v>
      </c>
    </row>
    <row r="9549" spans="1:10" x14ac:dyDescent="0.25">
      <c r="A9549" s="5" t="s">
        <v>19417</v>
      </c>
      <c r="B9549" s="6">
        <v>400</v>
      </c>
      <c r="C9549" s="6">
        <v>20.478950000000001</v>
      </c>
      <c r="D9549" s="6">
        <v>79</v>
      </c>
      <c r="E9549" s="6">
        <v>0</v>
      </c>
      <c r="F9549" s="6">
        <v>0</v>
      </c>
      <c r="G9549" s="6">
        <v>5</v>
      </c>
      <c r="H9549" s="6" t="s">
        <v>19418</v>
      </c>
      <c r="I9549" s="6">
        <v>528.375</v>
      </c>
      <c r="J9549" s="2">
        <f t="shared" si="149"/>
        <v>43748.178125439816</v>
      </c>
    </row>
    <row r="9550" spans="1:10" x14ac:dyDescent="0.25">
      <c r="A9550" s="7" t="s">
        <v>19419</v>
      </c>
      <c r="B9550" s="8">
        <v>396.875</v>
      </c>
      <c r="C9550" s="8">
        <v>20.478950000000001</v>
      </c>
      <c r="D9550" s="8">
        <v>79</v>
      </c>
      <c r="E9550" s="8">
        <v>0</v>
      </c>
      <c r="F9550" s="8">
        <v>0</v>
      </c>
      <c r="G9550" s="8">
        <v>9</v>
      </c>
      <c r="H9550" s="8" t="s">
        <v>19420</v>
      </c>
      <c r="I9550" s="8">
        <v>527.4375</v>
      </c>
      <c r="J9550" s="3">
        <f t="shared" si="149"/>
        <v>43748.178196736109</v>
      </c>
    </row>
    <row r="9551" spans="1:10" x14ac:dyDescent="0.25">
      <c r="A9551" s="5" t="s">
        <v>19421</v>
      </c>
      <c r="B9551" s="6">
        <v>396.875</v>
      </c>
      <c r="C9551" s="6">
        <v>20.478950000000001</v>
      </c>
      <c r="D9551" s="6">
        <v>77</v>
      </c>
      <c r="E9551" s="6">
        <v>0</v>
      </c>
      <c r="F9551" s="6">
        <v>0</v>
      </c>
      <c r="G9551" s="6">
        <v>5</v>
      </c>
      <c r="H9551" s="6" t="s">
        <v>19422</v>
      </c>
      <c r="I9551" s="6">
        <v>527.4375</v>
      </c>
      <c r="J9551" s="2">
        <f t="shared" si="149"/>
        <v>43748.178267962961</v>
      </c>
    </row>
    <row r="9552" spans="1:10" x14ac:dyDescent="0.25">
      <c r="A9552" s="7" t="s">
        <v>19423</v>
      </c>
      <c r="B9552" s="8">
        <v>396.875</v>
      </c>
      <c r="C9552" s="8">
        <v>20.478950000000001</v>
      </c>
      <c r="D9552" s="8">
        <v>78</v>
      </c>
      <c r="E9552" s="8">
        <v>0</v>
      </c>
      <c r="F9552" s="8">
        <v>0</v>
      </c>
      <c r="G9552" s="8">
        <v>8</v>
      </c>
      <c r="H9552" s="8" t="s">
        <v>19424</v>
      </c>
      <c r="I9552" s="8">
        <v>527.4375</v>
      </c>
      <c r="J9552" s="3">
        <f t="shared" si="149"/>
        <v>43748.178340185179</v>
      </c>
    </row>
    <row r="9553" spans="1:10" x14ac:dyDescent="0.25">
      <c r="A9553" s="5" t="s">
        <v>19425</v>
      </c>
      <c r="B9553" s="6">
        <v>415.625</v>
      </c>
      <c r="C9553" s="6">
        <v>20.426300000000001</v>
      </c>
      <c r="D9553" s="6">
        <v>78</v>
      </c>
      <c r="E9553" s="6">
        <v>0</v>
      </c>
      <c r="F9553" s="6">
        <v>0</v>
      </c>
      <c r="G9553" s="6">
        <v>6</v>
      </c>
      <c r="H9553" s="6" t="s">
        <v>19426</v>
      </c>
      <c r="I9553" s="6">
        <v>533.8125</v>
      </c>
      <c r="J9553" s="2">
        <f t="shared" si="149"/>
        <v>43748.178411550922</v>
      </c>
    </row>
    <row r="9554" spans="1:10" x14ac:dyDescent="0.25">
      <c r="A9554" s="7" t="s">
        <v>19427</v>
      </c>
      <c r="B9554" s="8">
        <v>400</v>
      </c>
      <c r="C9554" s="8">
        <v>20.478950000000001</v>
      </c>
      <c r="D9554" s="8">
        <v>78</v>
      </c>
      <c r="E9554" s="8">
        <v>0</v>
      </c>
      <c r="F9554" s="8">
        <v>0</v>
      </c>
      <c r="G9554" s="8">
        <v>10</v>
      </c>
      <c r="H9554" s="8" t="s">
        <v>19428</v>
      </c>
      <c r="I9554" s="8">
        <v>528.1875</v>
      </c>
      <c r="J9554" s="3">
        <f t="shared" si="149"/>
        <v>43748.178482835647</v>
      </c>
    </row>
    <row r="9555" spans="1:10" x14ac:dyDescent="0.25">
      <c r="A9555" s="5" t="s">
        <v>19429</v>
      </c>
      <c r="B9555" s="6">
        <v>400</v>
      </c>
      <c r="C9555" s="6">
        <v>20.478950000000001</v>
      </c>
      <c r="D9555" s="6">
        <v>78</v>
      </c>
      <c r="E9555" s="6">
        <v>0</v>
      </c>
      <c r="F9555" s="6">
        <v>0</v>
      </c>
      <c r="G9555" s="6">
        <v>7</v>
      </c>
      <c r="H9555" s="6" t="s">
        <v>19430</v>
      </c>
      <c r="I9555" s="6">
        <v>528.1875</v>
      </c>
      <c r="J9555" s="2">
        <f t="shared" si="149"/>
        <v>43748.178554143517</v>
      </c>
    </row>
    <row r="9556" spans="1:10" x14ac:dyDescent="0.25">
      <c r="A9556" s="7" t="s">
        <v>19431</v>
      </c>
      <c r="B9556" s="8">
        <v>400</v>
      </c>
      <c r="C9556" s="8">
        <v>20.478950000000001</v>
      </c>
      <c r="D9556" s="8">
        <v>78</v>
      </c>
      <c r="E9556" s="8">
        <v>0</v>
      </c>
      <c r="F9556" s="8">
        <v>0</v>
      </c>
      <c r="G9556" s="8">
        <v>4</v>
      </c>
      <c r="H9556" s="8" t="s">
        <v>19432</v>
      </c>
      <c r="I9556" s="8">
        <v>528.1875</v>
      </c>
      <c r="J9556" s="3">
        <f t="shared" si="149"/>
        <v>43748.178626319444</v>
      </c>
    </row>
    <row r="9557" spans="1:10" x14ac:dyDescent="0.25">
      <c r="A9557" s="5" t="s">
        <v>19433</v>
      </c>
      <c r="B9557" s="6">
        <v>443.75</v>
      </c>
      <c r="C9557" s="6">
        <v>20.478950000000001</v>
      </c>
      <c r="D9557" s="6">
        <v>79</v>
      </c>
      <c r="E9557" s="6">
        <v>0</v>
      </c>
      <c r="F9557" s="6">
        <v>0</v>
      </c>
      <c r="G9557" s="6">
        <v>6</v>
      </c>
      <c r="H9557" s="6" t="s">
        <v>19434</v>
      </c>
      <c r="I9557" s="6">
        <v>542.625</v>
      </c>
      <c r="J9557" s="2">
        <f t="shared" si="149"/>
        <v>43748.178697557865</v>
      </c>
    </row>
    <row r="9558" spans="1:10" x14ac:dyDescent="0.25">
      <c r="A9558" s="7" t="s">
        <v>19435</v>
      </c>
      <c r="B9558" s="8">
        <v>396.875</v>
      </c>
      <c r="C9558" s="8">
        <v>20.478950000000001</v>
      </c>
      <c r="D9558" s="8">
        <v>80</v>
      </c>
      <c r="E9558" s="8">
        <v>0</v>
      </c>
      <c r="F9558" s="8">
        <v>0</v>
      </c>
      <c r="G9558" s="8">
        <v>0</v>
      </c>
      <c r="H9558" s="8" t="s">
        <v>19436</v>
      </c>
      <c r="I9558" s="8">
        <v>527.4375</v>
      </c>
      <c r="J9558" s="3">
        <f t="shared" si="149"/>
        <v>43748.178768958336</v>
      </c>
    </row>
    <row r="9559" spans="1:10" x14ac:dyDescent="0.25">
      <c r="A9559" s="5" t="s">
        <v>19437</v>
      </c>
      <c r="B9559" s="6">
        <v>396.875</v>
      </c>
      <c r="C9559" s="6">
        <v>20.478950000000001</v>
      </c>
      <c r="D9559" s="6">
        <v>80</v>
      </c>
      <c r="E9559" s="6">
        <v>0</v>
      </c>
      <c r="F9559" s="6">
        <v>0</v>
      </c>
      <c r="G9559" s="6">
        <v>6</v>
      </c>
      <c r="H9559" s="6" t="s">
        <v>19438</v>
      </c>
      <c r="I9559" s="6">
        <v>527.4375</v>
      </c>
      <c r="J9559" s="2">
        <f t="shared" si="149"/>
        <v>43748.178840312503</v>
      </c>
    </row>
    <row r="9560" spans="1:10" x14ac:dyDescent="0.25">
      <c r="A9560" s="7" t="s">
        <v>19439</v>
      </c>
      <c r="B9560" s="8">
        <v>396.875</v>
      </c>
      <c r="C9560" s="8">
        <v>20.478950000000001</v>
      </c>
      <c r="D9560" s="8">
        <v>84</v>
      </c>
      <c r="E9560" s="8">
        <v>0</v>
      </c>
      <c r="F9560" s="8">
        <v>0</v>
      </c>
      <c r="G9560" s="8">
        <v>8</v>
      </c>
      <c r="H9560" s="8" t="s">
        <v>19440</v>
      </c>
      <c r="I9560" s="8">
        <v>527.4375</v>
      </c>
      <c r="J9560" s="3">
        <f t="shared" si="149"/>
        <v>43748.178912662035</v>
      </c>
    </row>
    <row r="9561" spans="1:10" x14ac:dyDescent="0.25">
      <c r="A9561" s="5" t="s">
        <v>19441</v>
      </c>
      <c r="B9561" s="6">
        <v>396.875</v>
      </c>
      <c r="C9561" s="6">
        <v>20.426300000000001</v>
      </c>
      <c r="D9561" s="6">
        <v>83</v>
      </c>
      <c r="E9561" s="6">
        <v>0</v>
      </c>
      <c r="F9561" s="6">
        <v>0</v>
      </c>
      <c r="G9561" s="6">
        <v>12</v>
      </c>
      <c r="H9561" s="6" t="s">
        <v>19442</v>
      </c>
      <c r="I9561" s="6">
        <v>527.4375</v>
      </c>
      <c r="J9561" s="2">
        <f t="shared" si="149"/>
        <v>43748.178995798611</v>
      </c>
    </row>
    <row r="9562" spans="1:10" x14ac:dyDescent="0.25">
      <c r="A9562" s="7" t="s">
        <v>19443</v>
      </c>
      <c r="B9562" s="8">
        <v>396.875</v>
      </c>
      <c r="C9562" s="8">
        <v>20.478950000000001</v>
      </c>
      <c r="D9562" s="8">
        <v>82</v>
      </c>
      <c r="E9562" s="8">
        <v>0</v>
      </c>
      <c r="F9562" s="8">
        <v>0</v>
      </c>
      <c r="G9562" s="8">
        <v>8</v>
      </c>
      <c r="H9562" s="8" t="s">
        <v>19444</v>
      </c>
      <c r="I9562" s="8">
        <v>527.4375</v>
      </c>
      <c r="J9562" s="3">
        <f t="shared" si="149"/>
        <v>43748.179067106474</v>
      </c>
    </row>
    <row r="9563" spans="1:10" x14ac:dyDescent="0.25">
      <c r="A9563" s="5" t="s">
        <v>19445</v>
      </c>
      <c r="B9563" s="6">
        <v>400</v>
      </c>
      <c r="C9563" s="6">
        <v>20.478950000000001</v>
      </c>
      <c r="D9563" s="6">
        <v>82</v>
      </c>
      <c r="E9563" s="6">
        <v>0</v>
      </c>
      <c r="F9563" s="6">
        <v>0</v>
      </c>
      <c r="G9563" s="6">
        <v>6</v>
      </c>
      <c r="H9563" s="6" t="s">
        <v>19446</v>
      </c>
      <c r="I9563" s="6">
        <v>528.375</v>
      </c>
      <c r="J9563" s="2">
        <f t="shared" si="149"/>
        <v>43748.179138449072</v>
      </c>
    </row>
    <row r="9564" spans="1:10" x14ac:dyDescent="0.25">
      <c r="A9564" s="7" t="s">
        <v>19447</v>
      </c>
      <c r="B9564" s="8">
        <v>400</v>
      </c>
      <c r="C9564" s="8">
        <v>20.478950000000001</v>
      </c>
      <c r="D9564" s="8">
        <v>82</v>
      </c>
      <c r="E9564" s="8">
        <v>0</v>
      </c>
      <c r="F9564" s="8">
        <v>0</v>
      </c>
      <c r="G9564" s="8">
        <v>6</v>
      </c>
      <c r="H9564" s="8" t="s">
        <v>19448</v>
      </c>
      <c r="I9564" s="8">
        <v>528.1875</v>
      </c>
      <c r="J9564" s="3">
        <f t="shared" si="149"/>
        <v>43748.179210625</v>
      </c>
    </row>
    <row r="9565" spans="1:10" x14ac:dyDescent="0.25">
      <c r="A9565" s="5" t="s">
        <v>19449</v>
      </c>
      <c r="B9565" s="6">
        <v>418.75</v>
      </c>
      <c r="C9565" s="6">
        <v>20.426300000000001</v>
      </c>
      <c r="D9565" s="6">
        <v>82</v>
      </c>
      <c r="E9565" s="6">
        <v>0</v>
      </c>
      <c r="F9565" s="6">
        <v>0</v>
      </c>
      <c r="G9565" s="6">
        <v>4</v>
      </c>
      <c r="H9565" s="6" t="s">
        <v>19450</v>
      </c>
      <c r="I9565" s="6">
        <v>534</v>
      </c>
      <c r="J9565" s="2">
        <f t="shared" si="149"/>
        <v>43748.179281921293</v>
      </c>
    </row>
    <row r="9566" spans="1:10" x14ac:dyDescent="0.25">
      <c r="A9566" s="7" t="s">
        <v>19451</v>
      </c>
      <c r="B9566" s="8">
        <v>400</v>
      </c>
      <c r="C9566" s="8">
        <v>20.478950000000001</v>
      </c>
      <c r="D9566" s="8">
        <v>82</v>
      </c>
      <c r="E9566" s="8">
        <v>0</v>
      </c>
      <c r="F9566" s="8">
        <v>0</v>
      </c>
      <c r="G9566" s="8">
        <v>6</v>
      </c>
      <c r="H9566" s="8" t="s">
        <v>19452</v>
      </c>
      <c r="I9566" s="8">
        <v>528.1875</v>
      </c>
      <c r="J9566" s="3">
        <f t="shared" si="149"/>
        <v>43748.179353217587</v>
      </c>
    </row>
    <row r="9567" spans="1:10" x14ac:dyDescent="0.25">
      <c r="A9567" s="5" t="s">
        <v>19453</v>
      </c>
      <c r="B9567" s="6">
        <v>400</v>
      </c>
      <c r="C9567" s="6">
        <v>20.426300000000001</v>
      </c>
      <c r="D9567" s="6">
        <v>82</v>
      </c>
      <c r="E9567" s="6">
        <v>0</v>
      </c>
      <c r="F9567" s="6">
        <v>0</v>
      </c>
      <c r="G9567" s="6">
        <v>7</v>
      </c>
      <c r="H9567" s="6" t="s">
        <v>19454</v>
      </c>
      <c r="I9567" s="6">
        <v>528.375</v>
      </c>
      <c r="J9567" s="2">
        <f t="shared" si="149"/>
        <v>43748.179436597224</v>
      </c>
    </row>
    <row r="9568" spans="1:10" x14ac:dyDescent="0.25">
      <c r="A9568" s="7" t="s">
        <v>19455</v>
      </c>
      <c r="B9568" s="8">
        <v>400</v>
      </c>
      <c r="C9568" s="8">
        <v>20.478950000000001</v>
      </c>
      <c r="D9568" s="8">
        <v>82</v>
      </c>
      <c r="E9568" s="8">
        <v>0</v>
      </c>
      <c r="F9568" s="8">
        <v>0</v>
      </c>
      <c r="G9568" s="8">
        <v>0</v>
      </c>
      <c r="H9568" s="8" t="s">
        <v>19456</v>
      </c>
      <c r="I9568" s="8">
        <v>528.1875</v>
      </c>
      <c r="J9568" s="3">
        <f t="shared" si="149"/>
        <v>43748.17950878472</v>
      </c>
    </row>
    <row r="9569" spans="1:10" x14ac:dyDescent="0.25">
      <c r="A9569" s="5" t="s">
        <v>19457</v>
      </c>
      <c r="B9569" s="6">
        <v>400</v>
      </c>
      <c r="C9569" s="6">
        <v>20.478950000000001</v>
      </c>
      <c r="D9569" s="6">
        <v>81</v>
      </c>
      <c r="E9569" s="6">
        <v>0</v>
      </c>
      <c r="F9569" s="6">
        <v>0</v>
      </c>
      <c r="G9569" s="6">
        <v>15</v>
      </c>
      <c r="H9569" s="6" t="s">
        <v>19458</v>
      </c>
      <c r="I9569" s="6">
        <v>528.1875</v>
      </c>
      <c r="J9569" s="2">
        <f t="shared" si="149"/>
        <v>43748.179588946754</v>
      </c>
    </row>
    <row r="9570" spans="1:10" x14ac:dyDescent="0.25">
      <c r="A9570" s="7" t="s">
        <v>19459</v>
      </c>
      <c r="B9570" s="8">
        <v>400</v>
      </c>
      <c r="C9570" s="8">
        <v>20.478950000000001</v>
      </c>
      <c r="D9570" s="8">
        <v>81</v>
      </c>
      <c r="E9570" s="8">
        <v>0</v>
      </c>
      <c r="F9570" s="8">
        <v>0</v>
      </c>
      <c r="G9570" s="8">
        <v>8</v>
      </c>
      <c r="H9570" s="8" t="s">
        <v>19460</v>
      </c>
      <c r="I9570" s="8">
        <v>528.375</v>
      </c>
      <c r="J9570" s="3">
        <f t="shared" si="149"/>
        <v>43748.179663402778</v>
      </c>
    </row>
    <row r="9571" spans="1:10" x14ac:dyDescent="0.25">
      <c r="A9571" s="5" t="s">
        <v>19461</v>
      </c>
      <c r="B9571" s="6">
        <v>400</v>
      </c>
      <c r="C9571" s="6">
        <v>20.478950000000001</v>
      </c>
      <c r="D9571" s="6">
        <v>80</v>
      </c>
      <c r="E9571" s="6">
        <v>0</v>
      </c>
      <c r="F9571" s="6">
        <v>0</v>
      </c>
      <c r="G9571" s="6">
        <v>10</v>
      </c>
      <c r="H9571" s="6" t="s">
        <v>19462</v>
      </c>
      <c r="I9571" s="6">
        <v>528.1875</v>
      </c>
      <c r="J9571" s="2">
        <f t="shared" si="149"/>
        <v>43748.179734699072</v>
      </c>
    </row>
    <row r="9572" spans="1:10" x14ac:dyDescent="0.25">
      <c r="A9572" s="7" t="s">
        <v>19463</v>
      </c>
      <c r="B9572" s="8">
        <v>418.75</v>
      </c>
      <c r="C9572" s="8">
        <v>20.478950000000001</v>
      </c>
      <c r="D9572" s="8">
        <v>80</v>
      </c>
      <c r="E9572" s="8">
        <v>0</v>
      </c>
      <c r="F9572" s="8">
        <v>0</v>
      </c>
      <c r="G9572" s="8">
        <v>5</v>
      </c>
      <c r="H9572" s="8" t="s">
        <v>19464</v>
      </c>
      <c r="I9572" s="8">
        <v>534</v>
      </c>
      <c r="J9572" s="3">
        <f t="shared" si="149"/>
        <v>43748.179819131947</v>
      </c>
    </row>
    <row r="9573" spans="1:10" x14ac:dyDescent="0.25">
      <c r="A9573" s="5" t="s">
        <v>19465</v>
      </c>
      <c r="B9573" s="6">
        <v>396.875</v>
      </c>
      <c r="C9573" s="6">
        <v>20.478950000000001</v>
      </c>
      <c r="D9573" s="6">
        <v>80</v>
      </c>
      <c r="E9573" s="6">
        <v>0</v>
      </c>
      <c r="F9573" s="6">
        <v>0</v>
      </c>
      <c r="G9573" s="6">
        <v>7</v>
      </c>
      <c r="H9573" s="6" t="s">
        <v>19466</v>
      </c>
      <c r="I9573" s="6">
        <v>527.4375</v>
      </c>
      <c r="J9573" s="2">
        <f t="shared" si="149"/>
        <v>43748.179889375002</v>
      </c>
    </row>
    <row r="9574" spans="1:10" x14ac:dyDescent="0.25">
      <c r="A9574" s="7" t="s">
        <v>19467</v>
      </c>
      <c r="B9574" s="8">
        <v>393.75</v>
      </c>
      <c r="C9574" s="8">
        <v>20.478950000000001</v>
      </c>
      <c r="D9574" s="8">
        <v>80</v>
      </c>
      <c r="E9574" s="8">
        <v>0</v>
      </c>
      <c r="F9574" s="8">
        <v>0</v>
      </c>
      <c r="G9574" s="8">
        <v>8</v>
      </c>
      <c r="H9574" s="8" t="s">
        <v>19468</v>
      </c>
      <c r="I9574" s="8">
        <v>526.6875</v>
      </c>
      <c r="J9574" s="3">
        <f t="shared" si="149"/>
        <v>43748.179961550923</v>
      </c>
    </row>
    <row r="9575" spans="1:10" x14ac:dyDescent="0.25">
      <c r="A9575" s="5" t="s">
        <v>19469</v>
      </c>
      <c r="B9575" s="6">
        <v>393.75</v>
      </c>
      <c r="C9575" s="6">
        <v>20.478950000000001</v>
      </c>
      <c r="D9575" s="6">
        <v>80</v>
      </c>
      <c r="E9575" s="6">
        <v>0</v>
      </c>
      <c r="F9575" s="6">
        <v>0</v>
      </c>
      <c r="G9575" s="6">
        <v>8</v>
      </c>
      <c r="H9575" s="6" t="s">
        <v>19470</v>
      </c>
      <c r="I9575" s="6">
        <v>526.5</v>
      </c>
      <c r="J9575" s="2">
        <f t="shared" si="149"/>
        <v>43748.18003283564</v>
      </c>
    </row>
    <row r="9576" spans="1:10" x14ac:dyDescent="0.25">
      <c r="A9576" s="7" t="s">
        <v>19471</v>
      </c>
      <c r="B9576" s="8">
        <v>393.75</v>
      </c>
      <c r="C9576" s="8">
        <v>20.478950000000001</v>
      </c>
      <c r="D9576" s="8">
        <v>80</v>
      </c>
      <c r="E9576" s="8">
        <v>0</v>
      </c>
      <c r="F9576" s="8">
        <v>0</v>
      </c>
      <c r="G9576" s="8">
        <v>11</v>
      </c>
      <c r="H9576" s="8" t="s">
        <v>19472</v>
      </c>
      <c r="I9576" s="8">
        <v>526.6875</v>
      </c>
      <c r="J9576" s="3">
        <f t="shared" si="149"/>
        <v>43748.180105011568</v>
      </c>
    </row>
    <row r="9577" spans="1:10" x14ac:dyDescent="0.25">
      <c r="A9577" s="5" t="s">
        <v>19473</v>
      </c>
      <c r="B9577" s="6">
        <v>393.75</v>
      </c>
      <c r="C9577" s="6">
        <v>20.478950000000001</v>
      </c>
      <c r="D9577" s="6">
        <v>80</v>
      </c>
      <c r="E9577" s="6">
        <v>0</v>
      </c>
      <c r="F9577" s="6">
        <v>0</v>
      </c>
      <c r="G9577" s="6">
        <v>2</v>
      </c>
      <c r="H9577" s="6" t="s">
        <v>19474</v>
      </c>
      <c r="I9577" s="6">
        <v>526.6875</v>
      </c>
      <c r="J9577" s="2">
        <f t="shared" si="149"/>
        <v>43748.180176319445</v>
      </c>
    </row>
    <row r="9578" spans="1:10" x14ac:dyDescent="0.25">
      <c r="A9578" s="7" t="s">
        <v>19475</v>
      </c>
      <c r="B9578" s="8">
        <v>393.75</v>
      </c>
      <c r="C9578" s="8">
        <v>20.478950000000001</v>
      </c>
      <c r="D9578" s="8">
        <v>80</v>
      </c>
      <c r="E9578" s="8">
        <v>0</v>
      </c>
      <c r="F9578" s="8">
        <v>0</v>
      </c>
      <c r="G9578" s="8">
        <v>6</v>
      </c>
      <c r="H9578" s="8" t="s">
        <v>19476</v>
      </c>
      <c r="I9578" s="8">
        <v>526.6875</v>
      </c>
      <c r="J9578" s="3">
        <f t="shared" si="149"/>
        <v>43748.180259699067</v>
      </c>
    </row>
    <row r="9579" spans="1:10" x14ac:dyDescent="0.25">
      <c r="A9579" s="5" t="s">
        <v>19477</v>
      </c>
      <c r="B9579" s="6">
        <v>412.5</v>
      </c>
      <c r="C9579" s="6">
        <v>20.426300000000001</v>
      </c>
      <c r="D9579" s="6">
        <v>80</v>
      </c>
      <c r="E9579" s="6">
        <v>0</v>
      </c>
      <c r="F9579" s="6">
        <v>0</v>
      </c>
      <c r="G9579" s="6">
        <v>10</v>
      </c>
      <c r="H9579" s="6" t="s">
        <v>19478</v>
      </c>
      <c r="I9579" s="6">
        <v>532.3125</v>
      </c>
      <c r="J9579" s="2">
        <f t="shared" si="149"/>
        <v>43748.180330983792</v>
      </c>
    </row>
    <row r="9580" spans="1:10" x14ac:dyDescent="0.25">
      <c r="A9580" s="7" t="s">
        <v>19479</v>
      </c>
      <c r="B9580" s="8">
        <v>393.75</v>
      </c>
      <c r="C9580" s="8">
        <v>20.478950000000001</v>
      </c>
      <c r="D9580" s="8">
        <v>79</v>
      </c>
      <c r="E9580" s="8">
        <v>0</v>
      </c>
      <c r="F9580" s="8">
        <v>0</v>
      </c>
      <c r="G9580" s="8">
        <v>6</v>
      </c>
      <c r="H9580" s="8" t="s">
        <v>19480</v>
      </c>
      <c r="I9580" s="8">
        <v>526.6875</v>
      </c>
      <c r="J9580" s="3">
        <f t="shared" si="149"/>
        <v>43748.180403206017</v>
      </c>
    </row>
    <row r="9581" spans="1:10" x14ac:dyDescent="0.25">
      <c r="A9581" s="5" t="s">
        <v>19481</v>
      </c>
      <c r="B9581" s="6">
        <v>393.75</v>
      </c>
      <c r="C9581" s="6">
        <v>20.478950000000001</v>
      </c>
      <c r="D9581" s="6">
        <v>79</v>
      </c>
      <c r="E9581" s="6">
        <v>0</v>
      </c>
      <c r="F9581" s="6">
        <v>0</v>
      </c>
      <c r="G9581" s="6">
        <v>8</v>
      </c>
      <c r="H9581" s="6" t="s">
        <v>19482</v>
      </c>
      <c r="I9581" s="6">
        <v>526.6875</v>
      </c>
      <c r="J9581" s="2">
        <f t="shared" si="149"/>
        <v>43748.180474456014</v>
      </c>
    </row>
    <row r="9582" spans="1:10" x14ac:dyDescent="0.25">
      <c r="A9582" s="7" t="s">
        <v>19483</v>
      </c>
      <c r="B9582" s="8">
        <v>393.75</v>
      </c>
      <c r="C9582" s="8">
        <v>20.478950000000001</v>
      </c>
      <c r="D9582" s="8">
        <v>80</v>
      </c>
      <c r="E9582" s="8">
        <v>0</v>
      </c>
      <c r="F9582" s="8">
        <v>0</v>
      </c>
      <c r="G9582" s="8">
        <v>9</v>
      </c>
      <c r="H9582" s="8" t="s">
        <v>19484</v>
      </c>
      <c r="I9582" s="8">
        <v>526.6875</v>
      </c>
      <c r="J9582" s="3">
        <f t="shared" si="149"/>
        <v>43748.180557905092</v>
      </c>
    </row>
    <row r="9583" spans="1:10" x14ac:dyDescent="0.25">
      <c r="A9583" s="5" t="s">
        <v>19485</v>
      </c>
      <c r="B9583" s="6">
        <v>393.75</v>
      </c>
      <c r="C9583" s="6">
        <v>20.478950000000001</v>
      </c>
      <c r="D9583" s="6">
        <v>79</v>
      </c>
      <c r="E9583" s="6">
        <v>0</v>
      </c>
      <c r="F9583" s="6">
        <v>0</v>
      </c>
      <c r="G9583" s="6">
        <v>9</v>
      </c>
      <c r="H9583" s="6" t="s">
        <v>19486</v>
      </c>
      <c r="I9583" s="6">
        <v>526.6875</v>
      </c>
      <c r="J9583" s="2">
        <f t="shared" si="149"/>
        <v>43748.180629155089</v>
      </c>
    </row>
    <row r="9584" spans="1:10" x14ac:dyDescent="0.25">
      <c r="A9584" s="7" t="s">
        <v>19487</v>
      </c>
      <c r="B9584" s="8">
        <v>393.75</v>
      </c>
      <c r="C9584" s="8">
        <v>20.478950000000001</v>
      </c>
      <c r="D9584" s="8">
        <v>79</v>
      </c>
      <c r="E9584" s="8">
        <v>0</v>
      </c>
      <c r="F9584" s="8">
        <v>0</v>
      </c>
      <c r="G9584" s="8">
        <v>9</v>
      </c>
      <c r="H9584" s="8" t="s">
        <v>19488</v>
      </c>
      <c r="I9584" s="8">
        <v>526.6875</v>
      </c>
      <c r="J9584" s="3">
        <f t="shared" si="149"/>
        <v>43748.180701377314</v>
      </c>
    </row>
    <row r="9585" spans="1:10" x14ac:dyDescent="0.25">
      <c r="A9585" s="5" t="s">
        <v>19489</v>
      </c>
      <c r="B9585" s="6">
        <v>393.75</v>
      </c>
      <c r="C9585" s="6">
        <v>20.478950000000001</v>
      </c>
      <c r="D9585" s="6">
        <v>79</v>
      </c>
      <c r="E9585" s="6">
        <v>0</v>
      </c>
      <c r="F9585" s="6">
        <v>0</v>
      </c>
      <c r="G9585" s="6">
        <v>3</v>
      </c>
      <c r="H9585" s="6" t="s">
        <v>19490</v>
      </c>
      <c r="I9585" s="6">
        <v>526.6875</v>
      </c>
      <c r="J9585" s="2">
        <f t="shared" si="149"/>
        <v>43748.180771863423</v>
      </c>
    </row>
    <row r="9586" spans="1:10" x14ac:dyDescent="0.25">
      <c r="A9586" s="7" t="s">
        <v>19491</v>
      </c>
      <c r="B9586" s="8">
        <v>393.75</v>
      </c>
      <c r="C9586" s="8">
        <v>20.478950000000001</v>
      </c>
      <c r="D9586" s="8">
        <v>80</v>
      </c>
      <c r="E9586" s="8">
        <v>0</v>
      </c>
      <c r="F9586" s="8">
        <v>0</v>
      </c>
      <c r="G9586" s="8">
        <v>13</v>
      </c>
      <c r="H9586" s="8" t="s">
        <v>19492</v>
      </c>
      <c r="I9586" s="8">
        <v>526.6875</v>
      </c>
      <c r="J9586" s="3">
        <f t="shared" si="149"/>
        <v>43748.180843969902</v>
      </c>
    </row>
    <row r="9587" spans="1:10" x14ac:dyDescent="0.25">
      <c r="A9587" s="5" t="s">
        <v>19493</v>
      </c>
      <c r="B9587" s="6">
        <v>393.75</v>
      </c>
      <c r="C9587" s="6">
        <v>20.478950000000001</v>
      </c>
      <c r="D9587" s="6">
        <v>81</v>
      </c>
      <c r="E9587" s="6">
        <v>0</v>
      </c>
      <c r="F9587" s="6">
        <v>0</v>
      </c>
      <c r="G9587" s="6">
        <v>8</v>
      </c>
      <c r="H9587" s="6" t="s">
        <v>19494</v>
      </c>
      <c r="I9587" s="6">
        <v>526.6875</v>
      </c>
      <c r="J9587" s="2">
        <f t="shared" si="149"/>
        <v>43748.180915277779</v>
      </c>
    </row>
    <row r="9588" spans="1:10" x14ac:dyDescent="0.25">
      <c r="A9588" s="7" t="s">
        <v>19495</v>
      </c>
      <c r="B9588" s="8">
        <v>393.75</v>
      </c>
      <c r="C9588" s="8">
        <v>20.478950000000001</v>
      </c>
      <c r="D9588" s="8">
        <v>81</v>
      </c>
      <c r="E9588" s="8">
        <v>0</v>
      </c>
      <c r="F9588" s="8">
        <v>0</v>
      </c>
      <c r="G9588" s="8">
        <v>4</v>
      </c>
      <c r="H9588" s="8" t="s">
        <v>19496</v>
      </c>
      <c r="I9588" s="8">
        <v>526.6875</v>
      </c>
      <c r="J9588" s="3">
        <f t="shared" si="149"/>
        <v>43748.180986608793</v>
      </c>
    </row>
    <row r="9589" spans="1:10" x14ac:dyDescent="0.25">
      <c r="A9589" s="5" t="s">
        <v>19497</v>
      </c>
      <c r="B9589" s="6">
        <v>393.75</v>
      </c>
      <c r="C9589" s="6">
        <v>20.426300000000001</v>
      </c>
      <c r="D9589" s="6">
        <v>81</v>
      </c>
      <c r="E9589" s="6">
        <v>0</v>
      </c>
      <c r="F9589" s="6">
        <v>0</v>
      </c>
      <c r="G9589" s="6">
        <v>15</v>
      </c>
      <c r="H9589" s="6" t="s">
        <v>19498</v>
      </c>
      <c r="I9589" s="6">
        <v>526.6875</v>
      </c>
      <c r="J9589" s="2">
        <f t="shared" si="149"/>
        <v>43748.181058784721</v>
      </c>
    </row>
    <row r="9590" spans="1:10" x14ac:dyDescent="0.25">
      <c r="A9590" s="7" t="s">
        <v>19499</v>
      </c>
      <c r="B9590" s="8">
        <v>393.75</v>
      </c>
      <c r="C9590" s="8">
        <v>20.478950000000001</v>
      </c>
      <c r="D9590" s="8">
        <v>81</v>
      </c>
      <c r="E9590" s="8">
        <v>0</v>
      </c>
      <c r="F9590" s="8">
        <v>0</v>
      </c>
      <c r="G9590" s="8">
        <v>0</v>
      </c>
      <c r="H9590" s="8" t="s">
        <v>19500</v>
      </c>
      <c r="I9590" s="8">
        <v>526.6875</v>
      </c>
      <c r="J9590" s="3">
        <f t="shared" si="149"/>
        <v>43748.181130081015</v>
      </c>
    </row>
    <row r="9591" spans="1:10" x14ac:dyDescent="0.25">
      <c r="A9591" s="5" t="s">
        <v>19501</v>
      </c>
      <c r="B9591" s="6">
        <v>415.625</v>
      </c>
      <c r="C9591" s="6">
        <v>20.478950000000001</v>
      </c>
      <c r="D9591" s="6">
        <v>82</v>
      </c>
      <c r="E9591" s="6">
        <v>0</v>
      </c>
      <c r="F9591" s="6">
        <v>0</v>
      </c>
      <c r="G9591" s="6">
        <v>2</v>
      </c>
      <c r="H9591" s="6" t="s">
        <v>19502</v>
      </c>
      <c r="I9591" s="6">
        <v>533.4375</v>
      </c>
      <c r="J9591" s="2">
        <f t="shared" si="149"/>
        <v>43748.181201481479</v>
      </c>
    </row>
    <row r="9592" spans="1:10" x14ac:dyDescent="0.25">
      <c r="A9592" s="7" t="s">
        <v>19503</v>
      </c>
      <c r="B9592" s="8">
        <v>393.75</v>
      </c>
      <c r="C9592" s="8">
        <v>20.426300000000001</v>
      </c>
      <c r="D9592" s="8">
        <v>82</v>
      </c>
      <c r="E9592" s="8">
        <v>0</v>
      </c>
      <c r="F9592" s="8">
        <v>0</v>
      </c>
      <c r="G9592" s="8">
        <v>16</v>
      </c>
      <c r="H9592" s="8" t="s">
        <v>19504</v>
      </c>
      <c r="I9592" s="8">
        <v>526.6875</v>
      </c>
      <c r="J9592" s="3">
        <f t="shared" si="149"/>
        <v>43748.181273530092</v>
      </c>
    </row>
    <row r="9593" spans="1:10" x14ac:dyDescent="0.25">
      <c r="A9593" s="5" t="s">
        <v>19505</v>
      </c>
      <c r="B9593" s="6">
        <v>393.75</v>
      </c>
      <c r="C9593" s="6">
        <v>20.478950000000001</v>
      </c>
      <c r="D9593" s="6">
        <v>82</v>
      </c>
      <c r="E9593" s="6">
        <v>0</v>
      </c>
      <c r="F9593" s="6">
        <v>0</v>
      </c>
      <c r="G9593" s="6">
        <v>0</v>
      </c>
      <c r="H9593" s="6" t="s">
        <v>19506</v>
      </c>
      <c r="I9593" s="6">
        <v>526.6875</v>
      </c>
      <c r="J9593" s="2">
        <f t="shared" si="149"/>
        <v>43748.181344895835</v>
      </c>
    </row>
    <row r="9594" spans="1:10" x14ac:dyDescent="0.25">
      <c r="A9594" s="7" t="s">
        <v>19507</v>
      </c>
      <c r="B9594" s="8">
        <v>393.75</v>
      </c>
      <c r="C9594" s="8">
        <v>20.478950000000001</v>
      </c>
      <c r="D9594" s="8">
        <v>82</v>
      </c>
      <c r="E9594" s="8">
        <v>0</v>
      </c>
      <c r="F9594" s="8">
        <v>0</v>
      </c>
      <c r="G9594" s="8">
        <v>1</v>
      </c>
      <c r="H9594" s="8" t="s">
        <v>19508</v>
      </c>
      <c r="I9594" s="8">
        <v>526.6875</v>
      </c>
      <c r="J9594" s="3">
        <f t="shared" si="149"/>
        <v>43748.181416192128</v>
      </c>
    </row>
    <row r="9595" spans="1:10" x14ac:dyDescent="0.25">
      <c r="A9595" s="5" t="s">
        <v>19509</v>
      </c>
      <c r="B9595" s="6">
        <v>393.75</v>
      </c>
      <c r="C9595" s="6">
        <v>20.426300000000001</v>
      </c>
      <c r="D9595" s="6">
        <v>82</v>
      </c>
      <c r="E9595" s="6">
        <v>0</v>
      </c>
      <c r="F9595" s="6">
        <v>0</v>
      </c>
      <c r="G9595" s="6">
        <v>5</v>
      </c>
      <c r="H9595" s="6" t="s">
        <v>19510</v>
      </c>
      <c r="I9595" s="6">
        <v>526.5</v>
      </c>
      <c r="J9595" s="2">
        <f t="shared" si="149"/>
        <v>43748.181488425922</v>
      </c>
    </row>
    <row r="9596" spans="1:10" x14ac:dyDescent="0.25">
      <c r="A9596" s="7" t="s">
        <v>19511</v>
      </c>
      <c r="B9596" s="8">
        <v>393.75</v>
      </c>
      <c r="C9596" s="8">
        <v>20.478950000000001</v>
      </c>
      <c r="D9596" s="8">
        <v>83</v>
      </c>
      <c r="E9596" s="8">
        <v>0</v>
      </c>
      <c r="F9596" s="8">
        <v>0</v>
      </c>
      <c r="G9596" s="8">
        <v>17</v>
      </c>
      <c r="H9596" s="8" t="s">
        <v>19512</v>
      </c>
      <c r="I9596" s="8">
        <v>526.6875</v>
      </c>
      <c r="J9596" s="3">
        <f t="shared" si="149"/>
        <v>43748.181559710647</v>
      </c>
    </row>
    <row r="9597" spans="1:10" x14ac:dyDescent="0.25">
      <c r="A9597" s="5" t="s">
        <v>19513</v>
      </c>
      <c r="B9597" s="6">
        <v>393.75</v>
      </c>
      <c r="C9597" s="6">
        <v>20.478950000000001</v>
      </c>
      <c r="D9597" s="6">
        <v>83</v>
      </c>
      <c r="E9597" s="6">
        <v>0</v>
      </c>
      <c r="F9597" s="6">
        <v>0</v>
      </c>
      <c r="G9597" s="6">
        <v>13</v>
      </c>
      <c r="H9597" s="6" t="s">
        <v>19514</v>
      </c>
      <c r="I9597" s="6">
        <v>526.5</v>
      </c>
      <c r="J9597" s="2">
        <f t="shared" si="149"/>
        <v>43748.181630925923</v>
      </c>
    </row>
    <row r="9598" spans="1:10" x14ac:dyDescent="0.25">
      <c r="A9598" s="7" t="s">
        <v>19515</v>
      </c>
      <c r="B9598" s="8">
        <v>393.75</v>
      </c>
      <c r="C9598" s="8">
        <v>20.478950000000001</v>
      </c>
      <c r="D9598" s="8">
        <v>83</v>
      </c>
      <c r="E9598" s="8">
        <v>0</v>
      </c>
      <c r="F9598" s="8">
        <v>0</v>
      </c>
      <c r="G9598" s="8">
        <v>10</v>
      </c>
      <c r="H9598" s="8" t="s">
        <v>19516</v>
      </c>
      <c r="I9598" s="8">
        <v>526.6875</v>
      </c>
      <c r="J9598" s="3">
        <f t="shared" si="149"/>
        <v>43748.181702291666</v>
      </c>
    </row>
    <row r="9599" spans="1:10" x14ac:dyDescent="0.25">
      <c r="A9599" s="5" t="s">
        <v>19517</v>
      </c>
      <c r="B9599" s="6">
        <v>393.75</v>
      </c>
      <c r="C9599" s="6">
        <v>20.426300000000001</v>
      </c>
      <c r="D9599" s="6">
        <v>83</v>
      </c>
      <c r="E9599" s="6">
        <v>0</v>
      </c>
      <c r="F9599" s="6">
        <v>0</v>
      </c>
      <c r="G9599" s="6">
        <v>5</v>
      </c>
      <c r="H9599" s="6" t="s">
        <v>19518</v>
      </c>
      <c r="I9599" s="6">
        <v>526.5</v>
      </c>
      <c r="J9599" s="2">
        <f t="shared" si="149"/>
        <v>43748.181774525459</v>
      </c>
    </row>
    <row r="9600" spans="1:10" x14ac:dyDescent="0.25">
      <c r="A9600" s="7" t="s">
        <v>19519</v>
      </c>
      <c r="B9600" s="8">
        <v>393.75</v>
      </c>
      <c r="C9600" s="8">
        <v>20.478950000000001</v>
      </c>
      <c r="D9600" s="8">
        <v>83</v>
      </c>
      <c r="E9600" s="8">
        <v>0</v>
      </c>
      <c r="F9600" s="8">
        <v>0</v>
      </c>
      <c r="G9600" s="8">
        <v>8</v>
      </c>
      <c r="H9600" s="8" t="s">
        <v>19520</v>
      </c>
      <c r="I9600" s="8">
        <v>526.6875</v>
      </c>
      <c r="J9600" s="3">
        <f t="shared" si="149"/>
        <v>43748.181845821753</v>
      </c>
    </row>
    <row r="9601" spans="1:10" x14ac:dyDescent="0.25">
      <c r="A9601" s="5" t="s">
        <v>19521</v>
      </c>
      <c r="B9601" s="6">
        <v>393.75</v>
      </c>
      <c r="C9601" s="6">
        <v>20.478950000000001</v>
      </c>
      <c r="D9601" s="6">
        <v>83</v>
      </c>
      <c r="E9601" s="6">
        <v>0</v>
      </c>
      <c r="F9601" s="6">
        <v>0</v>
      </c>
      <c r="G9601" s="6">
        <v>7</v>
      </c>
      <c r="H9601" s="6" t="s">
        <v>19522</v>
      </c>
      <c r="I9601" s="6">
        <v>526.5</v>
      </c>
      <c r="J9601" s="2">
        <f t="shared" si="149"/>
        <v>43748.181917106478</v>
      </c>
    </row>
    <row r="9602" spans="1:10" x14ac:dyDescent="0.25">
      <c r="A9602" s="7" t="s">
        <v>19523</v>
      </c>
      <c r="B9602" s="8">
        <v>393.75</v>
      </c>
      <c r="C9602" s="8">
        <v>20.478950000000001</v>
      </c>
      <c r="D9602" s="8">
        <v>84</v>
      </c>
      <c r="E9602" s="8">
        <v>0</v>
      </c>
      <c r="F9602" s="8">
        <v>0</v>
      </c>
      <c r="G9602" s="8">
        <v>7</v>
      </c>
      <c r="H9602" s="8" t="s">
        <v>19524</v>
      </c>
      <c r="I9602" s="8">
        <v>526.6875</v>
      </c>
      <c r="J9602" s="3">
        <f t="shared" ref="J9602:J9665" si="150">(H9602/86400000)+25569+(7/24)</f>
        <v>43748.181988449076</v>
      </c>
    </row>
    <row r="9603" spans="1:10" x14ac:dyDescent="0.25">
      <c r="A9603" s="5" t="s">
        <v>19525</v>
      </c>
      <c r="B9603" s="6">
        <v>393.75</v>
      </c>
      <c r="C9603" s="6">
        <v>20.478950000000001</v>
      </c>
      <c r="D9603" s="6">
        <v>84</v>
      </c>
      <c r="E9603" s="6">
        <v>0</v>
      </c>
      <c r="F9603" s="6">
        <v>0</v>
      </c>
      <c r="G9603" s="6">
        <v>16</v>
      </c>
      <c r="H9603" s="6" t="s">
        <v>19526</v>
      </c>
      <c r="I9603" s="6">
        <v>526.6875</v>
      </c>
      <c r="J9603" s="2">
        <f t="shared" si="150"/>
        <v>43748.182060567131</v>
      </c>
    </row>
    <row r="9604" spans="1:10" x14ac:dyDescent="0.25">
      <c r="A9604" s="7" t="s">
        <v>19527</v>
      </c>
      <c r="B9604" s="8">
        <v>412.5</v>
      </c>
      <c r="C9604" s="8">
        <v>20.426300000000001</v>
      </c>
      <c r="D9604" s="8">
        <v>84</v>
      </c>
      <c r="E9604" s="8">
        <v>0</v>
      </c>
      <c r="F9604" s="8">
        <v>0</v>
      </c>
      <c r="G9604" s="8">
        <v>18</v>
      </c>
      <c r="H9604" s="8" t="s">
        <v>19528</v>
      </c>
      <c r="I9604" s="8">
        <v>532.6875</v>
      </c>
      <c r="J9604" s="3">
        <f t="shared" si="150"/>
        <v>43748.182131932866</v>
      </c>
    </row>
    <row r="9605" spans="1:10" x14ac:dyDescent="0.25">
      <c r="A9605" s="5" t="s">
        <v>19529</v>
      </c>
      <c r="B9605" s="6">
        <v>393.75</v>
      </c>
      <c r="C9605" s="6">
        <v>20.478950000000001</v>
      </c>
      <c r="D9605" s="6">
        <v>84</v>
      </c>
      <c r="E9605" s="6">
        <v>0</v>
      </c>
      <c r="F9605" s="6">
        <v>0</v>
      </c>
      <c r="G9605" s="6">
        <v>17</v>
      </c>
      <c r="H9605" s="6" t="s">
        <v>19530</v>
      </c>
      <c r="I9605" s="6">
        <v>526.6875</v>
      </c>
      <c r="J9605" s="2">
        <f t="shared" si="150"/>
        <v>43748.182203912038</v>
      </c>
    </row>
    <row r="9606" spans="1:10" x14ac:dyDescent="0.25">
      <c r="A9606" s="7" t="s">
        <v>19531</v>
      </c>
      <c r="B9606" s="8">
        <v>393.75</v>
      </c>
      <c r="C9606" s="8">
        <v>20.426300000000001</v>
      </c>
      <c r="D9606" s="8">
        <v>84</v>
      </c>
      <c r="E9606" s="8">
        <v>0</v>
      </c>
      <c r="F9606" s="8">
        <v>0</v>
      </c>
      <c r="G9606" s="8">
        <v>10</v>
      </c>
      <c r="H9606" s="8" t="s">
        <v>19532</v>
      </c>
      <c r="I9606" s="8">
        <v>526.5</v>
      </c>
      <c r="J9606" s="3">
        <f t="shared" si="150"/>
        <v>43748.182298611107</v>
      </c>
    </row>
    <row r="9607" spans="1:10" x14ac:dyDescent="0.25">
      <c r="A9607" s="5" t="s">
        <v>19533</v>
      </c>
      <c r="B9607" s="6">
        <v>393.75</v>
      </c>
      <c r="C9607" s="6">
        <v>20.478950000000001</v>
      </c>
      <c r="D9607" s="6">
        <v>84</v>
      </c>
      <c r="E9607" s="6">
        <v>0</v>
      </c>
      <c r="F9607" s="6">
        <v>0</v>
      </c>
      <c r="G9607" s="6">
        <v>9</v>
      </c>
      <c r="H9607" s="6" t="s">
        <v>19534</v>
      </c>
      <c r="I9607" s="6">
        <v>526.5</v>
      </c>
      <c r="J9607" s="2">
        <f t="shared" si="150"/>
        <v>43748.182370763891</v>
      </c>
    </row>
    <row r="9608" spans="1:10" x14ac:dyDescent="0.25">
      <c r="A9608" s="7" t="s">
        <v>19535</v>
      </c>
      <c r="B9608" s="8">
        <v>393.75</v>
      </c>
      <c r="C9608" s="8">
        <v>20.426300000000001</v>
      </c>
      <c r="D9608" s="8">
        <v>83</v>
      </c>
      <c r="E9608" s="8">
        <v>0</v>
      </c>
      <c r="F9608" s="8">
        <v>0</v>
      </c>
      <c r="G9608" s="8">
        <v>13</v>
      </c>
      <c r="H9608" s="8" t="s">
        <v>19536</v>
      </c>
      <c r="I9608" s="8">
        <v>526.6875</v>
      </c>
      <c r="J9608" s="3">
        <f t="shared" si="150"/>
        <v>43748.182442129626</v>
      </c>
    </row>
    <row r="9609" spans="1:10" x14ac:dyDescent="0.25">
      <c r="A9609" s="5" t="s">
        <v>19537</v>
      </c>
      <c r="B9609" s="6">
        <v>393.75</v>
      </c>
      <c r="C9609" s="6">
        <v>20.478950000000001</v>
      </c>
      <c r="D9609" s="6">
        <v>84</v>
      </c>
      <c r="E9609" s="6">
        <v>0</v>
      </c>
      <c r="F9609" s="6">
        <v>0</v>
      </c>
      <c r="G9609" s="6">
        <v>15</v>
      </c>
      <c r="H9609" s="6" t="s">
        <v>19538</v>
      </c>
      <c r="I9609" s="6">
        <v>526.6875</v>
      </c>
      <c r="J9609" s="2">
        <f t="shared" si="150"/>
        <v>43748.182513391199</v>
      </c>
    </row>
    <row r="9610" spans="1:10" x14ac:dyDescent="0.25">
      <c r="A9610" s="7" t="s">
        <v>19539</v>
      </c>
      <c r="B9610" s="8">
        <v>393.75</v>
      </c>
      <c r="C9610" s="8">
        <v>20.478950000000001</v>
      </c>
      <c r="D9610" s="8">
        <v>83</v>
      </c>
      <c r="E9610" s="8">
        <v>0</v>
      </c>
      <c r="F9610" s="8">
        <v>0</v>
      </c>
      <c r="G9610" s="8">
        <v>7</v>
      </c>
      <c r="H9610" s="8" t="s">
        <v>19540</v>
      </c>
      <c r="I9610" s="8">
        <v>526.6875</v>
      </c>
      <c r="J9610" s="3">
        <f t="shared" si="150"/>
        <v>43748.18260871528</v>
      </c>
    </row>
    <row r="9611" spans="1:10" x14ac:dyDescent="0.25">
      <c r="A9611" s="5" t="s">
        <v>19541</v>
      </c>
      <c r="B9611" s="6">
        <v>396.875</v>
      </c>
      <c r="C9611" s="6">
        <v>20.426300000000001</v>
      </c>
      <c r="D9611" s="6">
        <v>83</v>
      </c>
      <c r="E9611" s="6">
        <v>0</v>
      </c>
      <c r="F9611" s="6">
        <v>0</v>
      </c>
      <c r="G9611" s="6">
        <v>4</v>
      </c>
      <c r="H9611" s="6" t="s">
        <v>19542</v>
      </c>
      <c r="I9611" s="6">
        <v>527.4375</v>
      </c>
      <c r="J9611" s="2">
        <f t="shared" si="150"/>
        <v>43748.182692106478</v>
      </c>
    </row>
    <row r="9612" spans="1:10" x14ac:dyDescent="0.25">
      <c r="A9612" s="7" t="s">
        <v>19543</v>
      </c>
      <c r="B9612" s="8">
        <v>396.875</v>
      </c>
      <c r="C9612" s="8">
        <v>20.478950000000001</v>
      </c>
      <c r="D9612" s="8">
        <v>83</v>
      </c>
      <c r="E9612" s="8">
        <v>0</v>
      </c>
      <c r="F9612" s="8">
        <v>0</v>
      </c>
      <c r="G9612" s="8">
        <v>16</v>
      </c>
      <c r="H9612" s="8" t="s">
        <v>19544</v>
      </c>
      <c r="I9612" s="8">
        <v>527.4375</v>
      </c>
      <c r="J9612" s="3">
        <f t="shared" si="150"/>
        <v>43748.182764340272</v>
      </c>
    </row>
    <row r="9613" spans="1:10" x14ac:dyDescent="0.25">
      <c r="A9613" s="5" t="s">
        <v>19545</v>
      </c>
      <c r="B9613" s="6">
        <v>396.875</v>
      </c>
      <c r="C9613" s="6">
        <v>20.426300000000001</v>
      </c>
      <c r="D9613" s="6">
        <v>83</v>
      </c>
      <c r="E9613" s="6">
        <v>0</v>
      </c>
      <c r="F9613" s="6">
        <v>0</v>
      </c>
      <c r="G9613" s="6">
        <v>6</v>
      </c>
      <c r="H9613" s="6" t="s">
        <v>19546</v>
      </c>
      <c r="I9613" s="6">
        <v>527.4375</v>
      </c>
      <c r="J9613" s="2">
        <f t="shared" si="150"/>
        <v>43748.182835636573</v>
      </c>
    </row>
    <row r="9614" spans="1:10" x14ac:dyDescent="0.25">
      <c r="A9614" s="7" t="s">
        <v>19547</v>
      </c>
      <c r="B9614" s="8">
        <v>400</v>
      </c>
      <c r="C9614" s="8">
        <v>20.478950000000001</v>
      </c>
      <c r="D9614" s="8">
        <v>84</v>
      </c>
      <c r="E9614" s="8">
        <v>0</v>
      </c>
      <c r="F9614" s="8">
        <v>0</v>
      </c>
      <c r="G9614" s="8">
        <v>11</v>
      </c>
      <c r="H9614" s="8" t="s">
        <v>19548</v>
      </c>
      <c r="I9614" s="8">
        <v>528.375</v>
      </c>
      <c r="J9614" s="3">
        <f t="shared" si="150"/>
        <v>43748.182906817128</v>
      </c>
    </row>
    <row r="9615" spans="1:10" x14ac:dyDescent="0.25">
      <c r="A9615" s="5" t="s">
        <v>19549</v>
      </c>
      <c r="B9615" s="6">
        <v>400</v>
      </c>
      <c r="C9615" s="6">
        <v>20.478950000000001</v>
      </c>
      <c r="D9615" s="6">
        <v>85</v>
      </c>
      <c r="E9615" s="6">
        <v>0</v>
      </c>
      <c r="F9615" s="6">
        <v>0</v>
      </c>
      <c r="G9615" s="6">
        <v>5</v>
      </c>
      <c r="H9615" s="6" t="s">
        <v>19550</v>
      </c>
      <c r="I9615" s="6">
        <v>528.375</v>
      </c>
      <c r="J9615" s="2">
        <f t="shared" si="150"/>
        <v>43748.182978217592</v>
      </c>
    </row>
    <row r="9616" spans="1:10" x14ac:dyDescent="0.25">
      <c r="A9616" s="7" t="s">
        <v>19551</v>
      </c>
      <c r="B9616" s="8">
        <v>400</v>
      </c>
      <c r="C9616" s="8">
        <v>20.426300000000001</v>
      </c>
      <c r="D9616" s="8">
        <v>84</v>
      </c>
      <c r="E9616" s="8">
        <v>0</v>
      </c>
      <c r="F9616" s="8">
        <v>0</v>
      </c>
      <c r="G9616" s="8">
        <v>13</v>
      </c>
      <c r="H9616" s="8" t="s">
        <v>19552</v>
      </c>
      <c r="I9616" s="8">
        <v>528.375</v>
      </c>
      <c r="J9616" s="3">
        <f t="shared" si="150"/>
        <v>43748.183050405089</v>
      </c>
    </row>
    <row r="9617" spans="1:10" x14ac:dyDescent="0.25">
      <c r="A9617" s="5" t="s">
        <v>19553</v>
      </c>
      <c r="B9617" s="6">
        <v>418.75</v>
      </c>
      <c r="C9617" s="6">
        <v>20.478950000000001</v>
      </c>
      <c r="D9617" s="6">
        <v>84</v>
      </c>
      <c r="E9617" s="6">
        <v>0</v>
      </c>
      <c r="F9617" s="6">
        <v>0</v>
      </c>
      <c r="G9617" s="6">
        <v>3</v>
      </c>
      <c r="H9617" s="6" t="s">
        <v>19554</v>
      </c>
      <c r="I9617" s="6">
        <v>534</v>
      </c>
      <c r="J9617" s="2">
        <f t="shared" si="150"/>
        <v>43748.183121747679</v>
      </c>
    </row>
    <row r="9618" spans="1:10" x14ac:dyDescent="0.25">
      <c r="A9618" s="7" t="s">
        <v>19555</v>
      </c>
      <c r="B9618" s="8">
        <v>403.125</v>
      </c>
      <c r="C9618" s="8">
        <v>20.426300000000001</v>
      </c>
      <c r="D9618" s="8">
        <v>84</v>
      </c>
      <c r="E9618" s="8">
        <v>0</v>
      </c>
      <c r="F9618" s="8">
        <v>0</v>
      </c>
      <c r="G9618" s="8">
        <v>18</v>
      </c>
      <c r="H9618" s="8" t="s">
        <v>19556</v>
      </c>
      <c r="I9618" s="8">
        <v>529.125</v>
      </c>
      <c r="J9618" s="3">
        <f t="shared" si="150"/>
        <v>43748.18319304398</v>
      </c>
    </row>
    <row r="9619" spans="1:10" x14ac:dyDescent="0.25">
      <c r="A9619" s="5" t="s">
        <v>19557</v>
      </c>
      <c r="B9619" s="6">
        <v>403.125</v>
      </c>
      <c r="C9619" s="6">
        <v>20.478950000000001</v>
      </c>
      <c r="D9619" s="6">
        <v>84</v>
      </c>
      <c r="E9619" s="6">
        <v>0</v>
      </c>
      <c r="F9619" s="6">
        <v>0</v>
      </c>
      <c r="G9619" s="6">
        <v>7</v>
      </c>
      <c r="H9619" s="6" t="s">
        <v>19558</v>
      </c>
      <c r="I9619" s="6">
        <v>529.125</v>
      </c>
      <c r="J9619" s="2">
        <f t="shared" si="150"/>
        <v>43748.183264444444</v>
      </c>
    </row>
    <row r="9620" spans="1:10" x14ac:dyDescent="0.25">
      <c r="A9620" s="7" t="s">
        <v>19559</v>
      </c>
      <c r="B9620" s="8">
        <v>400</v>
      </c>
      <c r="C9620" s="8">
        <v>20.426300000000001</v>
      </c>
      <c r="D9620" s="8">
        <v>84</v>
      </c>
      <c r="E9620" s="8">
        <v>0</v>
      </c>
      <c r="F9620" s="8">
        <v>0</v>
      </c>
      <c r="G9620" s="8">
        <v>13</v>
      </c>
      <c r="H9620" s="8" t="s">
        <v>19560</v>
      </c>
      <c r="I9620" s="8">
        <v>528.9375</v>
      </c>
      <c r="J9620" s="3">
        <f t="shared" si="150"/>
        <v>43748.183336550923</v>
      </c>
    </row>
    <row r="9621" spans="1:10" x14ac:dyDescent="0.25">
      <c r="A9621" s="5" t="s">
        <v>19561</v>
      </c>
      <c r="B9621" s="6">
        <v>400</v>
      </c>
      <c r="C9621" s="6">
        <v>20.478950000000001</v>
      </c>
      <c r="D9621" s="6">
        <v>83</v>
      </c>
      <c r="E9621" s="6">
        <v>0</v>
      </c>
      <c r="F9621" s="6">
        <v>0</v>
      </c>
      <c r="G9621" s="6">
        <v>11</v>
      </c>
      <c r="H9621" s="6" t="s">
        <v>19562</v>
      </c>
      <c r="I9621" s="6">
        <v>528.9375</v>
      </c>
      <c r="J9621" s="2">
        <f t="shared" si="150"/>
        <v>43748.183407812503</v>
      </c>
    </row>
    <row r="9622" spans="1:10" x14ac:dyDescent="0.25">
      <c r="A9622" s="7" t="s">
        <v>19563</v>
      </c>
      <c r="B9622" s="8">
        <v>400</v>
      </c>
      <c r="C9622" s="8">
        <v>20.426300000000001</v>
      </c>
      <c r="D9622" s="8">
        <v>84</v>
      </c>
      <c r="E9622" s="8">
        <v>0</v>
      </c>
      <c r="F9622" s="8">
        <v>0</v>
      </c>
      <c r="G9622" s="8">
        <v>7</v>
      </c>
      <c r="H9622" s="8" t="s">
        <v>19564</v>
      </c>
      <c r="I9622" s="8">
        <v>528.9375</v>
      </c>
      <c r="J9622" s="3">
        <f t="shared" si="150"/>
        <v>43748.183479097221</v>
      </c>
    </row>
    <row r="9623" spans="1:10" x14ac:dyDescent="0.25">
      <c r="A9623" s="5" t="s">
        <v>19565</v>
      </c>
      <c r="B9623" s="6">
        <v>403.125</v>
      </c>
      <c r="C9623" s="6">
        <v>20.426300000000001</v>
      </c>
      <c r="D9623" s="6">
        <v>84</v>
      </c>
      <c r="E9623" s="6">
        <v>0</v>
      </c>
      <c r="F9623" s="6">
        <v>0</v>
      </c>
      <c r="G9623" s="6">
        <v>10</v>
      </c>
      <c r="H9623" s="6" t="s">
        <v>19566</v>
      </c>
      <c r="I9623" s="6">
        <v>529.125</v>
      </c>
      <c r="J9623" s="2">
        <f t="shared" si="150"/>
        <v>43748.183550509253</v>
      </c>
    </row>
    <row r="9624" spans="1:10" x14ac:dyDescent="0.25">
      <c r="A9624" s="7" t="s">
        <v>19567</v>
      </c>
      <c r="B9624" s="8">
        <v>403.125</v>
      </c>
      <c r="C9624" s="8">
        <v>20.426300000000001</v>
      </c>
      <c r="D9624" s="8">
        <v>84</v>
      </c>
      <c r="E9624" s="8">
        <v>0</v>
      </c>
      <c r="F9624" s="8">
        <v>0</v>
      </c>
      <c r="G9624" s="8">
        <v>9</v>
      </c>
      <c r="H9624" s="8" t="s">
        <v>19568</v>
      </c>
      <c r="I9624" s="8">
        <v>529.125</v>
      </c>
      <c r="J9624" s="3">
        <f t="shared" si="150"/>
        <v>43748.183622673612</v>
      </c>
    </row>
    <row r="9625" spans="1:10" x14ac:dyDescent="0.25">
      <c r="A9625" s="5" t="s">
        <v>19569</v>
      </c>
      <c r="B9625" s="6">
        <v>403.125</v>
      </c>
      <c r="C9625" s="6">
        <v>20.426300000000001</v>
      </c>
      <c r="D9625" s="6">
        <v>87</v>
      </c>
      <c r="E9625" s="6">
        <v>0</v>
      </c>
      <c r="F9625" s="6">
        <v>0</v>
      </c>
      <c r="G9625" s="6">
        <v>14</v>
      </c>
      <c r="H9625" s="6" t="s">
        <v>19570</v>
      </c>
      <c r="I9625" s="6">
        <v>529.125</v>
      </c>
      <c r="J9625" s="2">
        <f t="shared" si="150"/>
        <v>43748.183693969906</v>
      </c>
    </row>
    <row r="9626" spans="1:10" x14ac:dyDescent="0.25">
      <c r="A9626" s="7" t="s">
        <v>19571</v>
      </c>
      <c r="B9626" s="8">
        <v>403.125</v>
      </c>
      <c r="C9626" s="8">
        <v>20.426300000000001</v>
      </c>
      <c r="D9626" s="8">
        <v>87</v>
      </c>
      <c r="E9626" s="8">
        <v>0</v>
      </c>
      <c r="F9626" s="8">
        <v>0</v>
      </c>
      <c r="G9626" s="8">
        <v>13</v>
      </c>
      <c r="H9626" s="8" t="s">
        <v>19572</v>
      </c>
      <c r="I9626" s="8">
        <v>529.125</v>
      </c>
      <c r="J9626" s="3">
        <f t="shared" si="150"/>
        <v>43748.183789340277</v>
      </c>
    </row>
    <row r="9627" spans="1:10" x14ac:dyDescent="0.25">
      <c r="A9627" s="5" t="s">
        <v>19573</v>
      </c>
      <c r="B9627" s="6">
        <v>403.125</v>
      </c>
      <c r="C9627" s="6">
        <v>20.478950000000001</v>
      </c>
      <c r="D9627" s="6">
        <v>87</v>
      </c>
      <c r="E9627" s="6">
        <v>0</v>
      </c>
      <c r="F9627" s="6">
        <v>0</v>
      </c>
      <c r="G9627" s="6">
        <v>8</v>
      </c>
      <c r="H9627" s="6" t="s">
        <v>19574</v>
      </c>
      <c r="I9627" s="6">
        <v>529.125</v>
      </c>
      <c r="J9627" s="2">
        <f t="shared" si="150"/>
        <v>43748.183860636571</v>
      </c>
    </row>
    <row r="9628" spans="1:10" x14ac:dyDescent="0.25">
      <c r="A9628" s="7" t="s">
        <v>19575</v>
      </c>
      <c r="B9628" s="8">
        <v>400</v>
      </c>
      <c r="C9628" s="8">
        <v>20.478950000000001</v>
      </c>
      <c r="D9628" s="8">
        <v>86</v>
      </c>
      <c r="E9628" s="8">
        <v>0</v>
      </c>
      <c r="F9628" s="8">
        <v>0</v>
      </c>
      <c r="G9628" s="8">
        <v>17</v>
      </c>
      <c r="H9628" s="8" t="s">
        <v>19576</v>
      </c>
      <c r="I9628" s="8">
        <v>528.9375</v>
      </c>
      <c r="J9628" s="3">
        <f t="shared" si="150"/>
        <v>43748.183932858788</v>
      </c>
    </row>
    <row r="9629" spans="1:10" x14ac:dyDescent="0.25">
      <c r="A9629" s="5" t="s">
        <v>19577</v>
      </c>
      <c r="B9629" s="6">
        <v>403.125</v>
      </c>
      <c r="C9629" s="6">
        <v>20.478950000000001</v>
      </c>
      <c r="D9629" s="6">
        <v>86</v>
      </c>
      <c r="E9629" s="6">
        <v>0</v>
      </c>
      <c r="F9629" s="6">
        <v>0</v>
      </c>
      <c r="G9629" s="6">
        <v>8</v>
      </c>
      <c r="H9629" s="6" t="s">
        <v>19578</v>
      </c>
      <c r="I9629" s="6">
        <v>529.125</v>
      </c>
      <c r="J9629" s="2">
        <f t="shared" si="150"/>
        <v>43748.184004097224</v>
      </c>
    </row>
    <row r="9630" spans="1:10" x14ac:dyDescent="0.25">
      <c r="A9630" s="7" t="s">
        <v>19579</v>
      </c>
      <c r="B9630" s="8">
        <v>403.125</v>
      </c>
      <c r="C9630" s="8">
        <v>20.478950000000001</v>
      </c>
      <c r="D9630" s="8">
        <v>85</v>
      </c>
      <c r="E9630" s="8">
        <v>0</v>
      </c>
      <c r="F9630" s="8">
        <v>0</v>
      </c>
      <c r="G9630" s="8">
        <v>7</v>
      </c>
      <c r="H9630" s="8" t="s">
        <v>19580</v>
      </c>
      <c r="I9630" s="8">
        <v>529.125</v>
      </c>
      <c r="J9630" s="3">
        <f t="shared" si="150"/>
        <v>43748.184087546295</v>
      </c>
    </row>
    <row r="9631" spans="1:10" x14ac:dyDescent="0.25">
      <c r="A9631" s="5" t="s">
        <v>19581</v>
      </c>
      <c r="B9631" s="6">
        <v>403.125</v>
      </c>
      <c r="C9631" s="6">
        <v>20.478950000000001</v>
      </c>
      <c r="D9631" s="6">
        <v>84</v>
      </c>
      <c r="E9631" s="6">
        <v>0</v>
      </c>
      <c r="F9631" s="6">
        <v>0</v>
      </c>
      <c r="G9631" s="6">
        <v>4</v>
      </c>
      <c r="H9631" s="6" t="s">
        <v>19582</v>
      </c>
      <c r="I9631" s="6">
        <v>529.125</v>
      </c>
      <c r="J9631" s="2">
        <f t="shared" si="150"/>
        <v>43748.184158784723</v>
      </c>
    </row>
    <row r="9632" spans="1:10" x14ac:dyDescent="0.25">
      <c r="A9632" s="7" t="s">
        <v>19583</v>
      </c>
      <c r="B9632" s="8">
        <v>400</v>
      </c>
      <c r="C9632" s="8">
        <v>20.478950000000001</v>
      </c>
      <c r="D9632" s="8">
        <v>84</v>
      </c>
      <c r="E9632" s="8">
        <v>0</v>
      </c>
      <c r="F9632" s="8">
        <v>0</v>
      </c>
      <c r="G9632" s="8">
        <v>6</v>
      </c>
      <c r="H9632" s="8" t="s">
        <v>19584</v>
      </c>
      <c r="I9632" s="8">
        <v>528.9375</v>
      </c>
      <c r="J9632" s="3">
        <f t="shared" si="150"/>
        <v>43748.184231006941</v>
      </c>
    </row>
    <row r="9633" spans="1:10" x14ac:dyDescent="0.25">
      <c r="A9633" s="5" t="s">
        <v>19585</v>
      </c>
      <c r="B9633" s="6">
        <v>403.125</v>
      </c>
      <c r="C9633" s="6">
        <v>20.426300000000001</v>
      </c>
      <c r="D9633" s="6">
        <v>84</v>
      </c>
      <c r="E9633" s="6">
        <v>0</v>
      </c>
      <c r="F9633" s="6">
        <v>0</v>
      </c>
      <c r="G9633" s="6">
        <v>8</v>
      </c>
      <c r="H9633" s="6" t="s">
        <v>19586</v>
      </c>
      <c r="I9633" s="6">
        <v>529.125</v>
      </c>
      <c r="J9633" s="2">
        <f t="shared" si="150"/>
        <v>43748.184302303234</v>
      </c>
    </row>
    <row r="9634" spans="1:10" x14ac:dyDescent="0.25">
      <c r="A9634" s="7" t="s">
        <v>19587</v>
      </c>
      <c r="B9634" s="8">
        <v>403.125</v>
      </c>
      <c r="C9634" s="8">
        <v>20.478950000000001</v>
      </c>
      <c r="D9634" s="8">
        <v>84</v>
      </c>
      <c r="E9634" s="8">
        <v>0</v>
      </c>
      <c r="F9634" s="8">
        <v>0</v>
      </c>
      <c r="G9634" s="8">
        <v>10</v>
      </c>
      <c r="H9634" s="8" t="s">
        <v>19588</v>
      </c>
      <c r="I9634" s="8">
        <v>529.125</v>
      </c>
      <c r="J9634" s="3">
        <f t="shared" si="150"/>
        <v>43748.184373599535</v>
      </c>
    </row>
    <row r="9635" spans="1:10" x14ac:dyDescent="0.25">
      <c r="A9635" s="5" t="s">
        <v>19589</v>
      </c>
      <c r="B9635" s="6">
        <v>400</v>
      </c>
      <c r="C9635" s="6">
        <v>20.478950000000001</v>
      </c>
      <c r="D9635" s="6">
        <v>84</v>
      </c>
      <c r="E9635" s="6">
        <v>0</v>
      </c>
      <c r="F9635" s="6">
        <v>0</v>
      </c>
      <c r="G9635" s="6">
        <v>13</v>
      </c>
      <c r="H9635" s="6" t="s">
        <v>19590</v>
      </c>
      <c r="I9635" s="6">
        <v>528.9375</v>
      </c>
      <c r="J9635" s="2">
        <f t="shared" si="150"/>
        <v>43748.184444884253</v>
      </c>
    </row>
    <row r="9636" spans="1:10" x14ac:dyDescent="0.25">
      <c r="A9636" s="7" t="s">
        <v>19591</v>
      </c>
      <c r="B9636" s="8">
        <v>421.875</v>
      </c>
      <c r="C9636" s="8">
        <v>20.426300000000001</v>
      </c>
      <c r="D9636" s="8">
        <v>82</v>
      </c>
      <c r="E9636" s="8">
        <v>0</v>
      </c>
      <c r="F9636" s="8">
        <v>0</v>
      </c>
      <c r="G9636" s="8">
        <v>16</v>
      </c>
      <c r="H9636" s="8" t="s">
        <v>19592</v>
      </c>
      <c r="I9636" s="8">
        <v>535.6875</v>
      </c>
      <c r="J9636" s="3">
        <f t="shared" si="150"/>
        <v>43748.184517106478</v>
      </c>
    </row>
    <row r="9637" spans="1:10" x14ac:dyDescent="0.25">
      <c r="A9637" s="5" t="s">
        <v>19593</v>
      </c>
      <c r="B9637" s="6">
        <v>396.875</v>
      </c>
      <c r="C9637" s="6">
        <v>20.478950000000001</v>
      </c>
      <c r="D9637" s="6">
        <v>82</v>
      </c>
      <c r="E9637" s="6">
        <v>0</v>
      </c>
      <c r="F9637" s="6">
        <v>0</v>
      </c>
      <c r="G9637" s="6">
        <v>10</v>
      </c>
      <c r="H9637" s="6" t="s">
        <v>19594</v>
      </c>
      <c r="I9637" s="6">
        <v>527.4375</v>
      </c>
      <c r="J9637" s="2">
        <f t="shared" si="150"/>
        <v>43748.184588414348</v>
      </c>
    </row>
    <row r="9638" spans="1:10" x14ac:dyDescent="0.25">
      <c r="A9638" s="7" t="s">
        <v>19595</v>
      </c>
      <c r="B9638" s="8">
        <v>393.75</v>
      </c>
      <c r="C9638" s="8">
        <v>20.478950000000001</v>
      </c>
      <c r="D9638" s="8">
        <v>82</v>
      </c>
      <c r="E9638" s="8">
        <v>0</v>
      </c>
      <c r="F9638" s="8">
        <v>0</v>
      </c>
      <c r="G9638" s="8">
        <v>4</v>
      </c>
      <c r="H9638" s="8" t="s">
        <v>19596</v>
      </c>
      <c r="I9638" s="8">
        <v>526.5</v>
      </c>
      <c r="J9638" s="3">
        <f t="shared" si="150"/>
        <v>43748.184659699073</v>
      </c>
    </row>
    <row r="9639" spans="1:10" x14ac:dyDescent="0.25">
      <c r="A9639" s="5" t="s">
        <v>19597</v>
      </c>
      <c r="B9639" s="6">
        <v>393.75</v>
      </c>
      <c r="C9639" s="6">
        <v>20.478950000000001</v>
      </c>
      <c r="D9639" s="6">
        <v>82</v>
      </c>
      <c r="E9639" s="6">
        <v>0</v>
      </c>
      <c r="F9639" s="6">
        <v>0</v>
      </c>
      <c r="G9639" s="6">
        <v>2</v>
      </c>
      <c r="H9639" s="6" t="s">
        <v>19598</v>
      </c>
      <c r="I9639" s="6">
        <v>526.6875</v>
      </c>
      <c r="J9639" s="2">
        <f t="shared" si="150"/>
        <v>43748.184755057868</v>
      </c>
    </row>
    <row r="9640" spans="1:10" x14ac:dyDescent="0.25">
      <c r="A9640" s="7" t="s">
        <v>19599</v>
      </c>
      <c r="B9640" s="8">
        <v>393.75</v>
      </c>
      <c r="C9640" s="8">
        <v>20.478950000000001</v>
      </c>
      <c r="D9640" s="8">
        <v>82</v>
      </c>
      <c r="E9640" s="8">
        <v>0</v>
      </c>
      <c r="F9640" s="8">
        <v>0</v>
      </c>
      <c r="G9640" s="8">
        <v>4</v>
      </c>
      <c r="H9640" s="8" t="s">
        <v>19600</v>
      </c>
      <c r="I9640" s="8">
        <v>526.6875</v>
      </c>
      <c r="J9640" s="3">
        <f t="shared" si="150"/>
        <v>43748.184826423611</v>
      </c>
    </row>
    <row r="9641" spans="1:10" x14ac:dyDescent="0.25">
      <c r="A9641" s="5" t="s">
        <v>19601</v>
      </c>
      <c r="B9641" s="6">
        <v>393.75</v>
      </c>
      <c r="C9641" s="6">
        <v>20.478950000000001</v>
      </c>
      <c r="D9641" s="6">
        <v>82</v>
      </c>
      <c r="E9641" s="6">
        <v>0</v>
      </c>
      <c r="F9641" s="6">
        <v>0</v>
      </c>
      <c r="G9641" s="6">
        <v>2</v>
      </c>
      <c r="H9641" s="6" t="s">
        <v>19602</v>
      </c>
      <c r="I9641" s="6">
        <v>526.6875</v>
      </c>
      <c r="J9641" s="2">
        <f t="shared" si="150"/>
        <v>43748.184898518513</v>
      </c>
    </row>
    <row r="9642" spans="1:10" x14ac:dyDescent="0.25">
      <c r="A9642" s="7" t="s">
        <v>19603</v>
      </c>
      <c r="B9642" s="8">
        <v>393.75</v>
      </c>
      <c r="C9642" s="8">
        <v>20.478950000000001</v>
      </c>
      <c r="D9642" s="8">
        <v>82</v>
      </c>
      <c r="E9642" s="8">
        <v>0</v>
      </c>
      <c r="F9642" s="8">
        <v>0</v>
      </c>
      <c r="G9642" s="8">
        <v>4</v>
      </c>
      <c r="H9642" s="8" t="s">
        <v>19604</v>
      </c>
      <c r="I9642" s="8">
        <v>526.6875</v>
      </c>
      <c r="J9642" s="3">
        <f t="shared" si="150"/>
        <v>43748.184969895832</v>
      </c>
    </row>
    <row r="9643" spans="1:10" x14ac:dyDescent="0.25">
      <c r="A9643" s="5" t="s">
        <v>19605</v>
      </c>
      <c r="B9643" s="6">
        <v>412.5</v>
      </c>
      <c r="C9643" s="6">
        <v>20.478950000000001</v>
      </c>
      <c r="D9643" s="6">
        <v>82</v>
      </c>
      <c r="E9643" s="6">
        <v>0</v>
      </c>
      <c r="F9643" s="6">
        <v>0</v>
      </c>
      <c r="G9643" s="6">
        <v>9</v>
      </c>
      <c r="H9643" s="6" t="s">
        <v>19606</v>
      </c>
      <c r="I9643" s="6">
        <v>532.3125</v>
      </c>
      <c r="J9643" s="2">
        <f t="shared" si="150"/>
        <v>43748.185041180557</v>
      </c>
    </row>
    <row r="9644" spans="1:10" x14ac:dyDescent="0.25">
      <c r="A9644" s="7" t="s">
        <v>19607</v>
      </c>
      <c r="B9644" s="8">
        <v>393.75</v>
      </c>
      <c r="C9644" s="8">
        <v>20.478950000000001</v>
      </c>
      <c r="D9644" s="8">
        <v>82</v>
      </c>
      <c r="E9644" s="8">
        <v>0</v>
      </c>
      <c r="F9644" s="8">
        <v>0</v>
      </c>
      <c r="G9644" s="8">
        <v>7</v>
      </c>
      <c r="H9644" s="8" t="s">
        <v>19608</v>
      </c>
      <c r="I9644" s="8">
        <v>526.6875</v>
      </c>
      <c r="J9644" s="3">
        <f t="shared" si="150"/>
        <v>43748.185136550928</v>
      </c>
    </row>
    <row r="9645" spans="1:10" x14ac:dyDescent="0.25">
      <c r="A9645" s="5" t="s">
        <v>19609</v>
      </c>
      <c r="B9645" s="6">
        <v>393.75</v>
      </c>
      <c r="C9645" s="6">
        <v>20.478950000000001</v>
      </c>
      <c r="D9645" s="6">
        <v>82</v>
      </c>
      <c r="E9645" s="6">
        <v>0</v>
      </c>
      <c r="F9645" s="6">
        <v>0</v>
      </c>
      <c r="G9645" s="6">
        <v>7</v>
      </c>
      <c r="H9645" s="6" t="s">
        <v>19610</v>
      </c>
      <c r="I9645" s="6">
        <v>526.6875</v>
      </c>
      <c r="J9645" s="2">
        <f t="shared" si="150"/>
        <v>43748.185208530085</v>
      </c>
    </row>
    <row r="9646" spans="1:10" x14ac:dyDescent="0.25">
      <c r="A9646" s="7" t="s">
        <v>19611</v>
      </c>
      <c r="B9646" s="8">
        <v>393.75</v>
      </c>
      <c r="C9646" s="8">
        <v>20.478950000000001</v>
      </c>
      <c r="D9646" s="8">
        <v>82</v>
      </c>
      <c r="E9646" s="8">
        <v>0</v>
      </c>
      <c r="F9646" s="8">
        <v>0</v>
      </c>
      <c r="G9646" s="8">
        <v>12</v>
      </c>
      <c r="H9646" s="8" t="s">
        <v>19612</v>
      </c>
      <c r="I9646" s="8">
        <v>526.6875</v>
      </c>
      <c r="J9646" s="3">
        <f t="shared" si="150"/>
        <v>43748.185280092592</v>
      </c>
    </row>
    <row r="9647" spans="1:10" x14ac:dyDescent="0.25">
      <c r="A9647" s="5" t="s">
        <v>19613</v>
      </c>
      <c r="B9647" s="6">
        <v>393.75</v>
      </c>
      <c r="C9647" s="6">
        <v>20.478950000000001</v>
      </c>
      <c r="D9647" s="6">
        <v>82</v>
      </c>
      <c r="E9647" s="6">
        <v>0</v>
      </c>
      <c r="F9647" s="6">
        <v>0</v>
      </c>
      <c r="G9647" s="6">
        <v>14</v>
      </c>
      <c r="H9647" s="6" t="s">
        <v>19614</v>
      </c>
      <c r="I9647" s="6">
        <v>526.5</v>
      </c>
      <c r="J9647" s="2">
        <f t="shared" si="150"/>
        <v>43748.185351539352</v>
      </c>
    </row>
    <row r="9648" spans="1:10" x14ac:dyDescent="0.25">
      <c r="A9648" s="7" t="s">
        <v>19615</v>
      </c>
      <c r="B9648" s="8">
        <v>393.75</v>
      </c>
      <c r="C9648" s="8">
        <v>20.478950000000001</v>
      </c>
      <c r="D9648" s="8">
        <v>82</v>
      </c>
      <c r="E9648" s="8">
        <v>0</v>
      </c>
      <c r="F9648" s="8">
        <v>0</v>
      </c>
      <c r="G9648" s="8">
        <v>13</v>
      </c>
      <c r="H9648" s="8" t="s">
        <v>19616</v>
      </c>
      <c r="I9648" s="8">
        <v>526.5</v>
      </c>
      <c r="J9648" s="3">
        <f t="shared" si="150"/>
        <v>43748.185422615737</v>
      </c>
    </row>
    <row r="9649" spans="1:10" x14ac:dyDescent="0.25">
      <c r="A9649" s="5" t="s">
        <v>19617</v>
      </c>
      <c r="B9649" s="6">
        <v>393.75</v>
      </c>
      <c r="C9649" s="6">
        <v>20.478950000000001</v>
      </c>
      <c r="D9649" s="6">
        <v>82</v>
      </c>
      <c r="E9649" s="6">
        <v>0</v>
      </c>
      <c r="F9649" s="6">
        <v>0</v>
      </c>
      <c r="G9649" s="6">
        <v>15</v>
      </c>
      <c r="H9649" s="6" t="s">
        <v>19618</v>
      </c>
      <c r="I9649" s="6">
        <v>526.5</v>
      </c>
      <c r="J9649" s="2">
        <f t="shared" si="150"/>
        <v>43748.18549471064</v>
      </c>
    </row>
    <row r="9650" spans="1:10" x14ac:dyDescent="0.25">
      <c r="A9650" s="7" t="s">
        <v>19619</v>
      </c>
      <c r="B9650" s="8">
        <v>412.5</v>
      </c>
      <c r="C9650" s="8">
        <v>20.478950000000001</v>
      </c>
      <c r="D9650" s="8">
        <v>82</v>
      </c>
      <c r="E9650" s="8">
        <v>0</v>
      </c>
      <c r="F9650" s="8">
        <v>0</v>
      </c>
      <c r="G9650" s="8">
        <v>6</v>
      </c>
      <c r="H9650" s="8" t="s">
        <v>19620</v>
      </c>
      <c r="I9650" s="8">
        <v>532.3125</v>
      </c>
      <c r="J9650" s="3">
        <f t="shared" si="150"/>
        <v>43748.185566168984</v>
      </c>
    </row>
    <row r="9651" spans="1:10" x14ac:dyDescent="0.25">
      <c r="A9651" s="5" t="s">
        <v>19621</v>
      </c>
      <c r="B9651" s="6">
        <v>393.75</v>
      </c>
      <c r="C9651" s="6">
        <v>20.478950000000001</v>
      </c>
      <c r="D9651" s="6">
        <v>82</v>
      </c>
      <c r="E9651" s="6">
        <v>0</v>
      </c>
      <c r="F9651" s="6">
        <v>0</v>
      </c>
      <c r="G9651" s="6">
        <v>0</v>
      </c>
      <c r="H9651" s="6" t="s">
        <v>19622</v>
      </c>
      <c r="I9651" s="6">
        <v>526.6875</v>
      </c>
      <c r="J9651" s="2">
        <f t="shared" si="150"/>
        <v>43748.185637488423</v>
      </c>
    </row>
    <row r="9652" spans="1:10" x14ac:dyDescent="0.25">
      <c r="A9652" s="7" t="s">
        <v>19623</v>
      </c>
      <c r="B9652" s="8">
        <v>393.75</v>
      </c>
      <c r="C9652" s="8">
        <v>20.426300000000001</v>
      </c>
      <c r="D9652" s="8">
        <v>82</v>
      </c>
      <c r="E9652" s="8">
        <v>0</v>
      </c>
      <c r="F9652" s="8">
        <v>0</v>
      </c>
      <c r="G9652" s="8">
        <v>6</v>
      </c>
      <c r="H9652" s="8" t="s">
        <v>19624</v>
      </c>
      <c r="I9652" s="8">
        <v>526.6875</v>
      </c>
      <c r="J9652" s="3">
        <f t="shared" si="150"/>
        <v>43748.185708784724</v>
      </c>
    </row>
    <row r="9653" spans="1:10" x14ac:dyDescent="0.25">
      <c r="A9653" s="5" t="s">
        <v>19625</v>
      </c>
      <c r="B9653" s="6">
        <v>393.75</v>
      </c>
      <c r="C9653" s="6">
        <v>20.478950000000001</v>
      </c>
      <c r="D9653" s="6">
        <v>82</v>
      </c>
      <c r="E9653" s="6">
        <v>0</v>
      </c>
      <c r="F9653" s="6">
        <v>0</v>
      </c>
      <c r="G9653" s="6">
        <v>6</v>
      </c>
      <c r="H9653" s="6" t="s">
        <v>19626</v>
      </c>
      <c r="I9653" s="6">
        <v>526.5</v>
      </c>
      <c r="J9653" s="2">
        <f t="shared" si="150"/>
        <v>43748.1857809375</v>
      </c>
    </row>
    <row r="9654" spans="1:10" x14ac:dyDescent="0.25">
      <c r="A9654" s="7" t="s">
        <v>19627</v>
      </c>
      <c r="B9654" s="8">
        <v>393.75</v>
      </c>
      <c r="C9654" s="8">
        <v>20.478950000000001</v>
      </c>
      <c r="D9654" s="8">
        <v>82</v>
      </c>
      <c r="E9654" s="8">
        <v>0</v>
      </c>
      <c r="F9654" s="8">
        <v>0</v>
      </c>
      <c r="G9654" s="8">
        <v>11</v>
      </c>
      <c r="H9654" s="8" t="s">
        <v>19628</v>
      </c>
      <c r="I9654" s="8">
        <v>526.5</v>
      </c>
      <c r="J9654" s="3">
        <f t="shared" si="150"/>
        <v>43748.18585228009</v>
      </c>
    </row>
    <row r="9655" spans="1:10" x14ac:dyDescent="0.25">
      <c r="A9655" s="5" t="s">
        <v>19629</v>
      </c>
      <c r="B9655" s="6">
        <v>393.75</v>
      </c>
      <c r="C9655" s="6">
        <v>20.426300000000001</v>
      </c>
      <c r="D9655" s="6">
        <v>82</v>
      </c>
      <c r="E9655" s="6">
        <v>0</v>
      </c>
      <c r="F9655" s="6">
        <v>0</v>
      </c>
      <c r="G9655" s="6">
        <v>8</v>
      </c>
      <c r="H9655" s="6" t="s">
        <v>19630</v>
      </c>
      <c r="I9655" s="6">
        <v>526.6875</v>
      </c>
      <c r="J9655" s="2">
        <f t="shared" si="150"/>
        <v>43748.185923599536</v>
      </c>
    </row>
    <row r="9656" spans="1:10" x14ac:dyDescent="0.25">
      <c r="A9656" s="7" t="s">
        <v>19631</v>
      </c>
      <c r="B9656" s="8">
        <v>393.75</v>
      </c>
      <c r="C9656" s="8">
        <v>20.478950000000001</v>
      </c>
      <c r="D9656" s="8">
        <v>82</v>
      </c>
      <c r="E9656" s="8">
        <v>0</v>
      </c>
      <c r="F9656" s="8">
        <v>0</v>
      </c>
      <c r="G9656" s="8">
        <v>6</v>
      </c>
      <c r="H9656" s="8" t="s">
        <v>19632</v>
      </c>
      <c r="I9656" s="8">
        <v>526.6875</v>
      </c>
      <c r="J9656" s="3">
        <f t="shared" si="150"/>
        <v>43748.185994918975</v>
      </c>
    </row>
    <row r="9657" spans="1:10" x14ac:dyDescent="0.25">
      <c r="A9657" s="5" t="s">
        <v>19633</v>
      </c>
      <c r="B9657" s="6">
        <v>393.75</v>
      </c>
      <c r="C9657" s="6">
        <v>20.478950000000001</v>
      </c>
      <c r="D9657" s="6">
        <v>82</v>
      </c>
      <c r="E9657" s="6">
        <v>0</v>
      </c>
      <c r="F9657" s="6">
        <v>0</v>
      </c>
      <c r="G9657" s="6">
        <v>14</v>
      </c>
      <c r="H9657" s="6" t="s">
        <v>19634</v>
      </c>
      <c r="I9657" s="6">
        <v>526.6875</v>
      </c>
      <c r="J9657" s="2">
        <f t="shared" si="150"/>
        <v>43748.186067094903</v>
      </c>
    </row>
    <row r="9658" spans="1:10" x14ac:dyDescent="0.25">
      <c r="A9658" s="7" t="s">
        <v>19635</v>
      </c>
      <c r="B9658" s="8">
        <v>396.875</v>
      </c>
      <c r="C9658" s="8">
        <v>20.478950000000001</v>
      </c>
      <c r="D9658" s="8">
        <v>86</v>
      </c>
      <c r="E9658" s="8">
        <v>0</v>
      </c>
      <c r="F9658" s="8">
        <v>0</v>
      </c>
      <c r="G9658" s="8">
        <v>7</v>
      </c>
      <c r="H9658" s="8" t="s">
        <v>19636</v>
      </c>
      <c r="I9658" s="8">
        <v>527.25</v>
      </c>
      <c r="J9658" s="3">
        <f t="shared" si="150"/>
        <v>43748.186138414349</v>
      </c>
    </row>
    <row r="9659" spans="1:10" x14ac:dyDescent="0.25">
      <c r="A9659" s="5" t="s">
        <v>19637</v>
      </c>
      <c r="B9659" s="6">
        <v>396.875</v>
      </c>
      <c r="C9659" s="6">
        <v>20.478950000000001</v>
      </c>
      <c r="D9659" s="6">
        <v>86</v>
      </c>
      <c r="E9659" s="6">
        <v>0</v>
      </c>
      <c r="F9659" s="6">
        <v>0</v>
      </c>
      <c r="G9659" s="6">
        <v>8</v>
      </c>
      <c r="H9659" s="6" t="s">
        <v>19638</v>
      </c>
      <c r="I9659" s="6">
        <v>527.4375</v>
      </c>
      <c r="J9659" s="2">
        <f t="shared" si="150"/>
        <v>43748.186209710642</v>
      </c>
    </row>
    <row r="9660" spans="1:10" x14ac:dyDescent="0.25">
      <c r="A9660" s="7" t="s">
        <v>19639</v>
      </c>
      <c r="B9660" s="8">
        <v>396.875</v>
      </c>
      <c r="C9660" s="8">
        <v>20.478950000000001</v>
      </c>
      <c r="D9660" s="8">
        <v>86</v>
      </c>
      <c r="E9660" s="8">
        <v>0</v>
      </c>
      <c r="F9660" s="8">
        <v>0</v>
      </c>
      <c r="G9660" s="8">
        <v>16</v>
      </c>
      <c r="H9660" s="8" t="s">
        <v>19640</v>
      </c>
      <c r="I9660" s="8">
        <v>527.4375</v>
      </c>
      <c r="J9660" s="3">
        <f t="shared" si="150"/>
        <v>43748.186281064809</v>
      </c>
    </row>
    <row r="9661" spans="1:10" x14ac:dyDescent="0.25">
      <c r="A9661" s="5" t="s">
        <v>19641</v>
      </c>
      <c r="B9661" s="6">
        <v>396.875</v>
      </c>
      <c r="C9661" s="6">
        <v>20.478950000000001</v>
      </c>
      <c r="D9661" s="6">
        <v>86</v>
      </c>
      <c r="E9661" s="6">
        <v>0</v>
      </c>
      <c r="F9661" s="6">
        <v>0</v>
      </c>
      <c r="G9661" s="6">
        <v>17</v>
      </c>
      <c r="H9661" s="6" t="s">
        <v>19642</v>
      </c>
      <c r="I9661" s="6">
        <v>527.4375</v>
      </c>
      <c r="J9661" s="2">
        <f t="shared" si="150"/>
        <v>43748.186353217585</v>
      </c>
    </row>
    <row r="9662" spans="1:10" x14ac:dyDescent="0.25">
      <c r="A9662" s="7" t="s">
        <v>19643</v>
      </c>
      <c r="B9662" s="8">
        <v>396.875</v>
      </c>
      <c r="C9662" s="8">
        <v>20.478950000000001</v>
      </c>
      <c r="D9662" s="8">
        <v>85</v>
      </c>
      <c r="E9662" s="8">
        <v>0</v>
      </c>
      <c r="F9662" s="8">
        <v>0</v>
      </c>
      <c r="G9662" s="8">
        <v>13</v>
      </c>
      <c r="H9662" s="8" t="s">
        <v>19644</v>
      </c>
      <c r="I9662" s="8">
        <v>527.4375</v>
      </c>
      <c r="J9662" s="3">
        <f t="shared" si="150"/>
        <v>43748.186424513886</v>
      </c>
    </row>
    <row r="9663" spans="1:10" x14ac:dyDescent="0.25">
      <c r="A9663" s="5" t="s">
        <v>19645</v>
      </c>
      <c r="B9663" s="6">
        <v>415.625</v>
      </c>
      <c r="C9663" s="6">
        <v>20.478950000000001</v>
      </c>
      <c r="D9663" s="6">
        <v>78</v>
      </c>
      <c r="E9663" s="6">
        <v>0</v>
      </c>
      <c r="F9663" s="6">
        <v>0</v>
      </c>
      <c r="G9663" s="6">
        <v>10</v>
      </c>
      <c r="H9663" s="6" t="s">
        <v>19646</v>
      </c>
      <c r="I9663" s="6">
        <v>533.0625</v>
      </c>
      <c r="J9663" s="2">
        <f t="shared" si="150"/>
        <v>43748.186495810187</v>
      </c>
    </row>
    <row r="9664" spans="1:10" x14ac:dyDescent="0.25">
      <c r="A9664" s="7" t="s">
        <v>19647</v>
      </c>
      <c r="B9664" s="8">
        <v>393.75</v>
      </c>
      <c r="C9664" s="8">
        <v>20.478950000000001</v>
      </c>
      <c r="D9664" s="8">
        <v>72</v>
      </c>
      <c r="E9664" s="8">
        <v>0</v>
      </c>
      <c r="F9664" s="8">
        <v>0</v>
      </c>
      <c r="G9664" s="8">
        <v>5</v>
      </c>
      <c r="H9664" s="8" t="s">
        <v>19648</v>
      </c>
      <c r="I9664" s="8">
        <v>526.6875</v>
      </c>
      <c r="J9664" s="3">
        <f t="shared" si="150"/>
        <v>43748.186567858793</v>
      </c>
    </row>
    <row r="9665" spans="1:10" x14ac:dyDescent="0.25">
      <c r="A9665" s="5" t="s">
        <v>19649</v>
      </c>
      <c r="B9665" s="6">
        <v>393.75</v>
      </c>
      <c r="C9665" s="6">
        <v>20.478950000000001</v>
      </c>
      <c r="D9665" s="6">
        <v>76</v>
      </c>
      <c r="E9665" s="6">
        <v>0</v>
      </c>
      <c r="F9665" s="6">
        <v>0</v>
      </c>
      <c r="G9665" s="6">
        <v>5</v>
      </c>
      <c r="H9665" s="6" t="s">
        <v>19650</v>
      </c>
      <c r="I9665" s="6">
        <v>526.6875</v>
      </c>
      <c r="J9665" s="2">
        <f t="shared" si="150"/>
        <v>43748.186639328698</v>
      </c>
    </row>
    <row r="9666" spans="1:10" x14ac:dyDescent="0.25">
      <c r="A9666" s="7" t="s">
        <v>19651</v>
      </c>
      <c r="B9666" s="8">
        <v>393.75</v>
      </c>
      <c r="C9666" s="8">
        <v>20.426300000000001</v>
      </c>
      <c r="D9666" s="8">
        <v>79</v>
      </c>
      <c r="E9666" s="8">
        <v>0</v>
      </c>
      <c r="F9666" s="8">
        <v>0</v>
      </c>
      <c r="G9666" s="8">
        <v>12</v>
      </c>
      <c r="H9666" s="8" t="s">
        <v>19652</v>
      </c>
      <c r="I9666" s="8">
        <v>526.5</v>
      </c>
      <c r="J9666" s="3">
        <f t="shared" ref="J9666:J9729" si="151">(H9666/86400000)+25569+(7/24)</f>
        <v>43748.186710624999</v>
      </c>
    </row>
    <row r="9667" spans="1:10" x14ac:dyDescent="0.25">
      <c r="A9667" s="5" t="s">
        <v>19653</v>
      </c>
      <c r="B9667" s="6">
        <v>393.75</v>
      </c>
      <c r="C9667" s="6">
        <v>20.478950000000001</v>
      </c>
      <c r="D9667" s="6">
        <v>80</v>
      </c>
      <c r="E9667" s="6">
        <v>0</v>
      </c>
      <c r="F9667" s="6">
        <v>0</v>
      </c>
      <c r="G9667" s="6">
        <v>7</v>
      </c>
      <c r="H9667" s="6" t="s">
        <v>19654</v>
      </c>
      <c r="I9667" s="6">
        <v>526.5</v>
      </c>
      <c r="J9667" s="2">
        <f t="shared" si="151"/>
        <v>43748.186781921293</v>
      </c>
    </row>
    <row r="9668" spans="1:10" x14ac:dyDescent="0.25">
      <c r="A9668" s="7" t="s">
        <v>19655</v>
      </c>
      <c r="B9668" s="8">
        <v>396.875</v>
      </c>
      <c r="C9668" s="8">
        <v>20.426300000000001</v>
      </c>
      <c r="D9668" s="8">
        <v>79</v>
      </c>
      <c r="E9668" s="8">
        <v>0</v>
      </c>
      <c r="F9668" s="8">
        <v>0</v>
      </c>
      <c r="G9668" s="8">
        <v>15</v>
      </c>
      <c r="H9668" s="8" t="s">
        <v>19656</v>
      </c>
      <c r="I9668" s="8">
        <v>527.4375</v>
      </c>
      <c r="J9668" s="3">
        <f t="shared" si="151"/>
        <v>43748.186854155087</v>
      </c>
    </row>
    <row r="9669" spans="1:10" x14ac:dyDescent="0.25">
      <c r="A9669" s="5" t="s">
        <v>19657</v>
      </c>
      <c r="B9669" s="6">
        <v>396.875</v>
      </c>
      <c r="C9669" s="6">
        <v>20.426300000000001</v>
      </c>
      <c r="D9669" s="6">
        <v>79</v>
      </c>
      <c r="E9669" s="6">
        <v>0</v>
      </c>
      <c r="F9669" s="6">
        <v>0</v>
      </c>
      <c r="G9669" s="6">
        <v>13</v>
      </c>
      <c r="H9669" s="6" t="s">
        <v>19658</v>
      </c>
      <c r="I9669" s="6">
        <v>527.625</v>
      </c>
      <c r="J9669" s="2">
        <f t="shared" si="151"/>
        <v>43748.186925451388</v>
      </c>
    </row>
    <row r="9670" spans="1:10" x14ac:dyDescent="0.25">
      <c r="A9670" s="7" t="s">
        <v>19659</v>
      </c>
      <c r="B9670" s="8">
        <v>400</v>
      </c>
      <c r="C9670" s="8">
        <v>20.426300000000001</v>
      </c>
      <c r="D9670" s="8">
        <v>80</v>
      </c>
      <c r="E9670" s="8">
        <v>0</v>
      </c>
      <c r="F9670" s="8">
        <v>0</v>
      </c>
      <c r="G9670" s="8">
        <v>9</v>
      </c>
      <c r="H9670" s="8" t="s">
        <v>19660</v>
      </c>
      <c r="I9670" s="8">
        <v>528.1875</v>
      </c>
      <c r="J9670" s="3">
        <f t="shared" si="151"/>
        <v>43748.186996747681</v>
      </c>
    </row>
    <row r="9671" spans="1:10" x14ac:dyDescent="0.25">
      <c r="A9671" s="5" t="s">
        <v>19661</v>
      </c>
      <c r="B9671" s="6">
        <v>396.875</v>
      </c>
      <c r="C9671" s="6">
        <v>20.478950000000001</v>
      </c>
      <c r="D9671" s="6">
        <v>80</v>
      </c>
      <c r="E9671" s="6">
        <v>0</v>
      </c>
      <c r="F9671" s="6">
        <v>0</v>
      </c>
      <c r="G9671" s="6">
        <v>5</v>
      </c>
      <c r="H9671" s="6" t="s">
        <v>19662</v>
      </c>
      <c r="I9671" s="6">
        <v>527.4375</v>
      </c>
      <c r="J9671" s="2">
        <f t="shared" si="151"/>
        <v>43748.187068969906</v>
      </c>
    </row>
    <row r="9672" spans="1:10" x14ac:dyDescent="0.25">
      <c r="A9672" s="7" t="s">
        <v>19663</v>
      </c>
      <c r="B9672" s="8">
        <v>396.875</v>
      </c>
      <c r="C9672" s="8">
        <v>20.478950000000001</v>
      </c>
      <c r="D9672" s="8">
        <v>80</v>
      </c>
      <c r="E9672" s="8">
        <v>0</v>
      </c>
      <c r="F9672" s="8">
        <v>0</v>
      </c>
      <c r="G9672" s="8">
        <v>6</v>
      </c>
      <c r="H9672" s="8" t="s">
        <v>19664</v>
      </c>
      <c r="I9672" s="8">
        <v>527.625</v>
      </c>
      <c r="J9672" s="3">
        <f t="shared" si="151"/>
        <v>43748.18715341435</v>
      </c>
    </row>
    <row r="9673" spans="1:10" x14ac:dyDescent="0.25">
      <c r="A9673" s="5" t="s">
        <v>19665</v>
      </c>
      <c r="B9673" s="6">
        <v>393.75</v>
      </c>
      <c r="C9673" s="6">
        <v>20.426300000000001</v>
      </c>
      <c r="D9673" s="6">
        <v>80</v>
      </c>
      <c r="E9673" s="6">
        <v>0</v>
      </c>
      <c r="F9673" s="6">
        <v>0</v>
      </c>
      <c r="G9673" s="6">
        <v>17</v>
      </c>
      <c r="H9673" s="6" t="s">
        <v>19666</v>
      </c>
      <c r="I9673" s="6">
        <v>526.6875</v>
      </c>
      <c r="J9673" s="2">
        <f t="shared" si="151"/>
        <v>43748.187235636571</v>
      </c>
    </row>
    <row r="9674" spans="1:10" x14ac:dyDescent="0.25">
      <c r="A9674" s="7" t="s">
        <v>19667</v>
      </c>
      <c r="B9674" s="8">
        <v>437.5</v>
      </c>
      <c r="C9674" s="8">
        <v>20.478950000000001</v>
      </c>
      <c r="D9674" s="8">
        <v>80</v>
      </c>
      <c r="E9674" s="8">
        <v>0</v>
      </c>
      <c r="F9674" s="8">
        <v>0</v>
      </c>
      <c r="G9674" s="8">
        <v>17</v>
      </c>
      <c r="H9674" s="8" t="s">
        <v>19668</v>
      </c>
      <c r="I9674" s="8">
        <v>540.375</v>
      </c>
      <c r="J9674" s="3">
        <f t="shared" si="151"/>
        <v>43748.187306932865</v>
      </c>
    </row>
    <row r="9675" spans="1:10" x14ac:dyDescent="0.25">
      <c r="A9675" s="5" t="s">
        <v>19669</v>
      </c>
      <c r="B9675" s="6">
        <v>393.75</v>
      </c>
      <c r="C9675" s="6">
        <v>20.426300000000001</v>
      </c>
      <c r="D9675" s="6">
        <v>79</v>
      </c>
      <c r="E9675" s="6">
        <v>0</v>
      </c>
      <c r="F9675" s="6">
        <v>0</v>
      </c>
      <c r="G9675" s="6">
        <v>21</v>
      </c>
      <c r="H9675" s="6" t="s">
        <v>19670</v>
      </c>
      <c r="I9675" s="6">
        <v>526.5</v>
      </c>
      <c r="J9675" s="2">
        <f t="shared" si="151"/>
        <v>43748.187390277781</v>
      </c>
    </row>
    <row r="9676" spans="1:10" x14ac:dyDescent="0.25">
      <c r="A9676" s="7" t="s">
        <v>19671</v>
      </c>
      <c r="B9676" s="8">
        <v>393.75</v>
      </c>
      <c r="C9676" s="8">
        <v>20.478950000000001</v>
      </c>
      <c r="D9676" s="8">
        <v>79</v>
      </c>
      <c r="E9676" s="8">
        <v>0</v>
      </c>
      <c r="F9676" s="8">
        <v>0</v>
      </c>
      <c r="G9676" s="8">
        <v>14</v>
      </c>
      <c r="H9676" s="8" t="s">
        <v>19672</v>
      </c>
      <c r="I9676" s="8">
        <v>526.6875</v>
      </c>
      <c r="J9676" s="3">
        <f t="shared" si="151"/>
        <v>43748.187461562498</v>
      </c>
    </row>
    <row r="9677" spans="1:10" x14ac:dyDescent="0.25">
      <c r="A9677" s="5" t="s">
        <v>19673</v>
      </c>
      <c r="B9677" s="6">
        <v>393.75</v>
      </c>
      <c r="C9677" s="6">
        <v>20.478950000000001</v>
      </c>
      <c r="D9677" s="6">
        <v>80</v>
      </c>
      <c r="E9677" s="6">
        <v>0</v>
      </c>
      <c r="F9677" s="6">
        <v>0</v>
      </c>
      <c r="G9677" s="6">
        <v>9</v>
      </c>
      <c r="H9677" s="6" t="s">
        <v>19674</v>
      </c>
      <c r="I9677" s="6">
        <v>526.5</v>
      </c>
      <c r="J9677" s="2">
        <f t="shared" si="151"/>
        <v>43748.187545659719</v>
      </c>
    </row>
    <row r="9678" spans="1:10" x14ac:dyDescent="0.25">
      <c r="A9678" s="7" t="s">
        <v>19675</v>
      </c>
      <c r="B9678" s="8">
        <v>393.75</v>
      </c>
      <c r="C9678" s="8">
        <v>20.478950000000001</v>
      </c>
      <c r="D9678" s="8">
        <v>80</v>
      </c>
      <c r="E9678" s="8">
        <v>0</v>
      </c>
      <c r="F9678" s="8">
        <v>0</v>
      </c>
      <c r="G9678" s="8">
        <v>9</v>
      </c>
      <c r="H9678" s="8" t="s">
        <v>19676</v>
      </c>
      <c r="I9678" s="8">
        <v>526.6875</v>
      </c>
      <c r="J9678" s="3">
        <f t="shared" si="151"/>
        <v>43748.187629166663</v>
      </c>
    </row>
    <row r="9679" spans="1:10" x14ac:dyDescent="0.25">
      <c r="A9679" s="5" t="s">
        <v>19677</v>
      </c>
      <c r="B9679" s="6">
        <v>393.75</v>
      </c>
      <c r="C9679" s="6">
        <v>20.426300000000001</v>
      </c>
      <c r="D9679" s="6">
        <v>81</v>
      </c>
      <c r="E9679" s="6">
        <v>0</v>
      </c>
      <c r="F9679" s="6">
        <v>0</v>
      </c>
      <c r="G9679" s="6">
        <v>7</v>
      </c>
      <c r="H9679" s="6" t="s">
        <v>19678</v>
      </c>
      <c r="I9679" s="6">
        <v>526.6875</v>
      </c>
      <c r="J9679" s="2">
        <f t="shared" si="151"/>
        <v>43748.187700057868</v>
      </c>
    </row>
    <row r="9680" spans="1:10" x14ac:dyDescent="0.25">
      <c r="A9680" s="7" t="s">
        <v>19679</v>
      </c>
      <c r="B9680" s="8">
        <v>393.75</v>
      </c>
      <c r="C9680" s="8">
        <v>20.478950000000001</v>
      </c>
      <c r="D9680" s="8">
        <v>79</v>
      </c>
      <c r="E9680" s="8">
        <v>0</v>
      </c>
      <c r="F9680" s="8">
        <v>0</v>
      </c>
      <c r="G9680" s="8">
        <v>12</v>
      </c>
      <c r="H9680" s="8" t="s">
        <v>19680</v>
      </c>
      <c r="I9680" s="8">
        <v>526.5</v>
      </c>
      <c r="J9680" s="3">
        <f t="shared" si="151"/>
        <v>43748.187771851844</v>
      </c>
    </row>
    <row r="9681" spans="1:10" x14ac:dyDescent="0.25">
      <c r="A9681" s="5" t="s">
        <v>19681</v>
      </c>
      <c r="B9681" s="6">
        <v>393.75</v>
      </c>
      <c r="C9681" s="6">
        <v>20.478950000000001</v>
      </c>
      <c r="D9681" s="6">
        <v>78</v>
      </c>
      <c r="E9681" s="6">
        <v>0</v>
      </c>
      <c r="F9681" s="6">
        <v>0</v>
      </c>
      <c r="G9681" s="6">
        <v>9</v>
      </c>
      <c r="H9681" s="6" t="s">
        <v>19682</v>
      </c>
      <c r="I9681" s="6">
        <v>526.5</v>
      </c>
      <c r="J9681" s="2">
        <f t="shared" si="151"/>
        <v>43748.18784317129</v>
      </c>
    </row>
    <row r="9682" spans="1:10" x14ac:dyDescent="0.25">
      <c r="A9682" s="7" t="s">
        <v>19683</v>
      </c>
      <c r="B9682" s="8">
        <v>393.75</v>
      </c>
      <c r="C9682" s="8">
        <v>20.426300000000001</v>
      </c>
      <c r="D9682" s="8">
        <v>79</v>
      </c>
      <c r="E9682" s="8">
        <v>0</v>
      </c>
      <c r="F9682" s="8">
        <v>0</v>
      </c>
      <c r="G9682" s="8">
        <v>18</v>
      </c>
      <c r="H9682" s="8" t="s">
        <v>19684</v>
      </c>
      <c r="I9682" s="8">
        <v>526.5</v>
      </c>
      <c r="J9682" s="3">
        <f t="shared" si="151"/>
        <v>43748.1879152662</v>
      </c>
    </row>
    <row r="9683" spans="1:10" x14ac:dyDescent="0.25">
      <c r="A9683" s="5" t="s">
        <v>19685</v>
      </c>
      <c r="B9683" s="6">
        <v>393.75</v>
      </c>
      <c r="C9683" s="6">
        <v>20.478950000000001</v>
      </c>
      <c r="D9683" s="6">
        <v>80</v>
      </c>
      <c r="E9683" s="6">
        <v>0</v>
      </c>
      <c r="F9683" s="6">
        <v>0</v>
      </c>
      <c r="G9683" s="6">
        <v>8</v>
      </c>
      <c r="H9683" s="6" t="s">
        <v>19686</v>
      </c>
      <c r="I9683" s="6">
        <v>526.5</v>
      </c>
      <c r="J9683" s="2">
        <f t="shared" si="151"/>
        <v>43748.187986504628</v>
      </c>
    </row>
    <row r="9684" spans="1:10" x14ac:dyDescent="0.25">
      <c r="A9684" s="7" t="s">
        <v>19687</v>
      </c>
      <c r="B9684" s="8">
        <v>393.75</v>
      </c>
      <c r="C9684" s="8">
        <v>20.426300000000001</v>
      </c>
      <c r="D9684" s="8">
        <v>80</v>
      </c>
      <c r="E9684" s="8">
        <v>0</v>
      </c>
      <c r="F9684" s="8">
        <v>0</v>
      </c>
      <c r="G9684" s="8">
        <v>11</v>
      </c>
      <c r="H9684" s="8" t="s">
        <v>19688</v>
      </c>
      <c r="I9684" s="8">
        <v>526.6875</v>
      </c>
      <c r="J9684" s="3">
        <f t="shared" si="151"/>
        <v>43748.188057858795</v>
      </c>
    </row>
    <row r="9685" spans="1:10" x14ac:dyDescent="0.25">
      <c r="A9685" s="5" t="s">
        <v>19689</v>
      </c>
      <c r="B9685" s="6">
        <v>393.75</v>
      </c>
      <c r="C9685" s="6">
        <v>20.478950000000001</v>
      </c>
      <c r="D9685" s="6">
        <v>81</v>
      </c>
      <c r="E9685" s="6">
        <v>0</v>
      </c>
      <c r="F9685" s="6">
        <v>0</v>
      </c>
      <c r="G9685" s="6">
        <v>2</v>
      </c>
      <c r="H9685" s="6" t="s">
        <v>19690</v>
      </c>
      <c r="I9685" s="6">
        <v>526.6875</v>
      </c>
      <c r="J9685" s="2">
        <f t="shared" si="151"/>
        <v>43748.188129918977</v>
      </c>
    </row>
    <row r="9686" spans="1:10" x14ac:dyDescent="0.25">
      <c r="A9686" s="7" t="s">
        <v>19691</v>
      </c>
      <c r="B9686" s="8">
        <v>393.75</v>
      </c>
      <c r="C9686" s="8">
        <v>20.478950000000001</v>
      </c>
      <c r="D9686" s="8">
        <v>81</v>
      </c>
      <c r="E9686" s="8">
        <v>0</v>
      </c>
      <c r="F9686" s="8">
        <v>0</v>
      </c>
      <c r="G9686" s="8">
        <v>9</v>
      </c>
      <c r="H9686" s="8" t="s">
        <v>19692</v>
      </c>
      <c r="I9686" s="8">
        <v>526.6875</v>
      </c>
      <c r="J9686" s="3">
        <f t="shared" si="151"/>
        <v>43748.188200509256</v>
      </c>
    </row>
    <row r="9687" spans="1:10" x14ac:dyDescent="0.25">
      <c r="A9687" s="5" t="s">
        <v>19693</v>
      </c>
      <c r="B9687" s="6">
        <v>393.75</v>
      </c>
      <c r="C9687" s="6">
        <v>20.478950000000001</v>
      </c>
      <c r="D9687" s="6">
        <v>81</v>
      </c>
      <c r="E9687" s="6">
        <v>0</v>
      </c>
      <c r="F9687" s="6">
        <v>0</v>
      </c>
      <c r="G9687" s="6">
        <v>7</v>
      </c>
      <c r="H9687" s="6" t="s">
        <v>19694</v>
      </c>
      <c r="I9687" s="6">
        <v>526.6875</v>
      </c>
      <c r="J9687" s="2">
        <f t="shared" si="151"/>
        <v>43748.18827825231</v>
      </c>
    </row>
    <row r="9688" spans="1:10" x14ac:dyDescent="0.25">
      <c r="A9688" s="7" t="s">
        <v>19695</v>
      </c>
      <c r="B9688" s="8">
        <v>393.75</v>
      </c>
      <c r="C9688" s="8">
        <v>20.426300000000001</v>
      </c>
      <c r="D9688" s="8">
        <v>81</v>
      </c>
      <c r="E9688" s="8">
        <v>0</v>
      </c>
      <c r="F9688" s="8">
        <v>0</v>
      </c>
      <c r="G9688" s="8">
        <v>2</v>
      </c>
      <c r="H9688" s="8" t="s">
        <v>19696</v>
      </c>
      <c r="I9688" s="8">
        <v>526.6875</v>
      </c>
      <c r="J9688" s="3">
        <f t="shared" si="151"/>
        <v>43748.188356018516</v>
      </c>
    </row>
    <row r="9689" spans="1:10" x14ac:dyDescent="0.25">
      <c r="A9689" s="5" t="s">
        <v>19697</v>
      </c>
      <c r="B9689" s="6">
        <v>393.75</v>
      </c>
      <c r="C9689" s="6">
        <v>20.478950000000001</v>
      </c>
      <c r="D9689" s="6">
        <v>81</v>
      </c>
      <c r="E9689" s="6">
        <v>0</v>
      </c>
      <c r="F9689" s="6">
        <v>0</v>
      </c>
      <c r="G9689" s="6">
        <v>14</v>
      </c>
      <c r="H9689" s="6" t="s">
        <v>19698</v>
      </c>
      <c r="I9689" s="6">
        <v>526.6875</v>
      </c>
      <c r="J9689" s="2">
        <f t="shared" si="151"/>
        <v>43748.188427997688</v>
      </c>
    </row>
    <row r="9690" spans="1:10" x14ac:dyDescent="0.25">
      <c r="A9690" s="7" t="s">
        <v>19699</v>
      </c>
      <c r="B9690" s="8">
        <v>393.75</v>
      </c>
      <c r="C9690" s="8">
        <v>20.478950000000001</v>
      </c>
      <c r="D9690" s="8">
        <v>82</v>
      </c>
      <c r="E9690" s="8">
        <v>0</v>
      </c>
      <c r="F9690" s="8">
        <v>0</v>
      </c>
      <c r="G9690" s="8">
        <v>9</v>
      </c>
      <c r="H9690" s="8" t="s">
        <v>19700</v>
      </c>
      <c r="I9690" s="8">
        <v>526.6875</v>
      </c>
      <c r="J9690" s="3">
        <f t="shared" si="151"/>
        <v>43748.18849951389</v>
      </c>
    </row>
    <row r="9691" spans="1:10" x14ac:dyDescent="0.25">
      <c r="A9691" s="5" t="s">
        <v>19701</v>
      </c>
      <c r="B9691" s="6">
        <v>393.75</v>
      </c>
      <c r="C9691" s="6">
        <v>20.478950000000001</v>
      </c>
      <c r="D9691" s="6">
        <v>82</v>
      </c>
      <c r="E9691" s="6">
        <v>0</v>
      </c>
      <c r="F9691" s="6">
        <v>0</v>
      </c>
      <c r="G9691" s="6">
        <v>14</v>
      </c>
      <c r="H9691" s="6" t="s">
        <v>19702</v>
      </c>
      <c r="I9691" s="6">
        <v>526.5</v>
      </c>
      <c r="J9691" s="2">
        <f t="shared" si="151"/>
        <v>43748.188570833336</v>
      </c>
    </row>
    <row r="9692" spans="1:10" x14ac:dyDescent="0.25">
      <c r="A9692" s="7" t="s">
        <v>19703</v>
      </c>
      <c r="B9692" s="8">
        <v>393.75</v>
      </c>
      <c r="C9692" s="8">
        <v>20.478950000000001</v>
      </c>
      <c r="D9692" s="8">
        <v>82</v>
      </c>
      <c r="E9692" s="8">
        <v>0</v>
      </c>
      <c r="F9692" s="8">
        <v>0</v>
      </c>
      <c r="G9692" s="8">
        <v>1</v>
      </c>
      <c r="H9692" s="8" t="s">
        <v>19704</v>
      </c>
      <c r="I9692" s="8">
        <v>526.6875</v>
      </c>
      <c r="J9692" s="3">
        <f t="shared" si="151"/>
        <v>43748.188666192123</v>
      </c>
    </row>
    <row r="9693" spans="1:10" x14ac:dyDescent="0.25">
      <c r="A9693" s="5" t="s">
        <v>19705</v>
      </c>
      <c r="B9693" s="6">
        <v>393.75</v>
      </c>
      <c r="C9693" s="6">
        <v>20.478950000000001</v>
      </c>
      <c r="D9693" s="6">
        <v>82</v>
      </c>
      <c r="E9693" s="6">
        <v>0</v>
      </c>
      <c r="F9693" s="6">
        <v>0</v>
      </c>
      <c r="G9693" s="6">
        <v>9</v>
      </c>
      <c r="H9693" s="6" t="s">
        <v>19706</v>
      </c>
      <c r="I9693" s="6">
        <v>526.6875</v>
      </c>
      <c r="J9693" s="2">
        <f t="shared" si="151"/>
        <v>43748.188737488425</v>
      </c>
    </row>
    <row r="9694" spans="1:10" x14ac:dyDescent="0.25">
      <c r="A9694" s="7" t="s">
        <v>19707</v>
      </c>
      <c r="B9694" s="8">
        <v>393.75</v>
      </c>
      <c r="C9694" s="8">
        <v>20.478950000000001</v>
      </c>
      <c r="D9694" s="8">
        <v>82</v>
      </c>
      <c r="E9694" s="8">
        <v>0</v>
      </c>
      <c r="F9694" s="8">
        <v>0</v>
      </c>
      <c r="G9694" s="8">
        <v>12</v>
      </c>
      <c r="H9694" s="8" t="s">
        <v>19708</v>
      </c>
      <c r="I9694" s="8">
        <v>526.6875</v>
      </c>
      <c r="J9694" s="3">
        <f t="shared" si="151"/>
        <v>43748.188808969906</v>
      </c>
    </row>
    <row r="9695" spans="1:10" x14ac:dyDescent="0.25">
      <c r="A9695" s="5" t="s">
        <v>19709</v>
      </c>
      <c r="B9695" s="6">
        <v>412.5</v>
      </c>
      <c r="C9695" s="6">
        <v>20.478950000000001</v>
      </c>
      <c r="D9695" s="6">
        <v>82</v>
      </c>
      <c r="E9695" s="6">
        <v>0</v>
      </c>
      <c r="F9695" s="6">
        <v>0</v>
      </c>
      <c r="G9695" s="6">
        <v>6</v>
      </c>
      <c r="H9695" s="6" t="s">
        <v>19710</v>
      </c>
      <c r="I9695" s="6">
        <v>532.5</v>
      </c>
      <c r="J9695" s="2">
        <f t="shared" si="151"/>
        <v>43748.188881018512</v>
      </c>
    </row>
    <row r="9696" spans="1:10" x14ac:dyDescent="0.25">
      <c r="A9696" s="7" t="s">
        <v>19711</v>
      </c>
      <c r="B9696" s="8">
        <v>393.75</v>
      </c>
      <c r="C9696" s="8">
        <v>20.478950000000001</v>
      </c>
      <c r="D9696" s="8">
        <v>83</v>
      </c>
      <c r="E9696" s="8">
        <v>0</v>
      </c>
      <c r="F9696" s="8">
        <v>0</v>
      </c>
      <c r="G9696" s="8">
        <v>7</v>
      </c>
      <c r="H9696" s="8" t="s">
        <v>19712</v>
      </c>
      <c r="I9696" s="8">
        <v>526.6875</v>
      </c>
      <c r="J9696" s="3">
        <f t="shared" si="151"/>
        <v>43748.188952303237</v>
      </c>
    </row>
    <row r="9697" spans="1:10" x14ac:dyDescent="0.25">
      <c r="A9697" s="5" t="s">
        <v>19713</v>
      </c>
      <c r="B9697" s="6">
        <v>393.75</v>
      </c>
      <c r="C9697" s="6">
        <v>20.478950000000001</v>
      </c>
      <c r="D9697" s="6">
        <v>83</v>
      </c>
      <c r="E9697" s="6">
        <v>0</v>
      </c>
      <c r="F9697" s="6">
        <v>0</v>
      </c>
      <c r="G9697" s="6">
        <v>18</v>
      </c>
      <c r="H9697" s="6" t="s">
        <v>19714</v>
      </c>
      <c r="I9697" s="6">
        <v>526.6875</v>
      </c>
      <c r="J9697" s="2">
        <f t="shared" si="151"/>
        <v>43748.189023599531</v>
      </c>
    </row>
    <row r="9698" spans="1:10" x14ac:dyDescent="0.25">
      <c r="A9698" s="7" t="s">
        <v>19715</v>
      </c>
      <c r="B9698" s="8">
        <v>393.75</v>
      </c>
      <c r="C9698" s="8">
        <v>20.478950000000001</v>
      </c>
      <c r="D9698" s="8">
        <v>82</v>
      </c>
      <c r="E9698" s="8">
        <v>0</v>
      </c>
      <c r="F9698" s="8">
        <v>0</v>
      </c>
      <c r="G9698" s="8">
        <v>17</v>
      </c>
      <c r="H9698" s="8" t="s">
        <v>19716</v>
      </c>
      <c r="I9698" s="8">
        <v>526.6875</v>
      </c>
      <c r="J9698" s="3">
        <f t="shared" si="151"/>
        <v>43748.189095821755</v>
      </c>
    </row>
    <row r="9699" spans="1:10" x14ac:dyDescent="0.25">
      <c r="A9699" s="5" t="s">
        <v>19717</v>
      </c>
      <c r="B9699" s="6">
        <v>393.75</v>
      </c>
      <c r="C9699" s="6">
        <v>20.478950000000001</v>
      </c>
      <c r="D9699" s="6">
        <v>82</v>
      </c>
      <c r="E9699" s="6">
        <v>0</v>
      </c>
      <c r="F9699" s="6">
        <v>0</v>
      </c>
      <c r="G9699" s="6">
        <v>7</v>
      </c>
      <c r="H9699" s="6" t="s">
        <v>19718</v>
      </c>
      <c r="I9699" s="6">
        <v>526.6875</v>
      </c>
      <c r="J9699" s="2">
        <f t="shared" si="151"/>
        <v>43748.189167129625</v>
      </c>
    </row>
    <row r="9700" spans="1:10" x14ac:dyDescent="0.25">
      <c r="A9700" s="7" t="s">
        <v>19719</v>
      </c>
      <c r="B9700" s="8">
        <v>393.75</v>
      </c>
      <c r="C9700" s="8">
        <v>20.426300000000001</v>
      </c>
      <c r="D9700" s="8">
        <v>85</v>
      </c>
      <c r="E9700" s="8">
        <v>0</v>
      </c>
      <c r="F9700" s="8">
        <v>0</v>
      </c>
      <c r="G9700" s="8">
        <v>8</v>
      </c>
      <c r="H9700" s="8" t="s">
        <v>19720</v>
      </c>
      <c r="I9700" s="8">
        <v>526.6875</v>
      </c>
      <c r="J9700" s="3">
        <f t="shared" si="151"/>
        <v>43748.18923841435</v>
      </c>
    </row>
    <row r="9701" spans="1:10" x14ac:dyDescent="0.25">
      <c r="A9701" s="5" t="s">
        <v>19721</v>
      </c>
      <c r="B9701" s="6">
        <v>393.75</v>
      </c>
      <c r="C9701" s="6">
        <v>20.478950000000001</v>
      </c>
      <c r="D9701" s="6">
        <v>85</v>
      </c>
      <c r="E9701" s="6">
        <v>0</v>
      </c>
      <c r="F9701" s="6">
        <v>0</v>
      </c>
      <c r="G9701" s="6">
        <v>1</v>
      </c>
      <c r="H9701" s="6" t="s">
        <v>19722</v>
      </c>
      <c r="I9701" s="6">
        <v>526.5</v>
      </c>
      <c r="J9701" s="2">
        <f t="shared" si="151"/>
        <v>43748.189310405091</v>
      </c>
    </row>
    <row r="9702" spans="1:10" x14ac:dyDescent="0.25">
      <c r="A9702" s="7" t="s">
        <v>19723</v>
      </c>
      <c r="B9702" s="8">
        <v>393.75</v>
      </c>
      <c r="C9702" s="8">
        <v>20.426300000000001</v>
      </c>
      <c r="D9702" s="8">
        <v>84</v>
      </c>
      <c r="E9702" s="8">
        <v>0</v>
      </c>
      <c r="F9702" s="8">
        <v>0</v>
      </c>
      <c r="G9702" s="8">
        <v>11</v>
      </c>
      <c r="H9702" s="8" t="s">
        <v>19724</v>
      </c>
      <c r="I9702" s="8">
        <v>526.5</v>
      </c>
      <c r="J9702" s="3">
        <f t="shared" si="151"/>
        <v>43748.189381944445</v>
      </c>
    </row>
    <row r="9703" spans="1:10" x14ac:dyDescent="0.25">
      <c r="A9703" s="5" t="s">
        <v>19725</v>
      </c>
      <c r="B9703" s="6">
        <v>393.75</v>
      </c>
      <c r="C9703" s="6">
        <v>20.478950000000001</v>
      </c>
      <c r="D9703" s="6">
        <v>84</v>
      </c>
      <c r="E9703" s="6">
        <v>0</v>
      </c>
      <c r="F9703" s="6">
        <v>0</v>
      </c>
      <c r="G9703" s="6">
        <v>11</v>
      </c>
      <c r="H9703" s="6" t="s">
        <v>19726</v>
      </c>
      <c r="I9703" s="6">
        <v>526.5</v>
      </c>
      <c r="J9703" s="2">
        <f t="shared" si="151"/>
        <v>43748.189453182866</v>
      </c>
    </row>
    <row r="9704" spans="1:10" x14ac:dyDescent="0.25">
      <c r="A9704" s="7" t="s">
        <v>19727</v>
      </c>
      <c r="B9704" s="8">
        <v>393.75</v>
      </c>
      <c r="C9704" s="8">
        <v>20.478950000000001</v>
      </c>
      <c r="D9704" s="8">
        <v>84</v>
      </c>
      <c r="E9704" s="8">
        <v>0</v>
      </c>
      <c r="F9704" s="8">
        <v>0</v>
      </c>
      <c r="G9704" s="8">
        <v>14</v>
      </c>
      <c r="H9704" s="8" t="s">
        <v>19728</v>
      </c>
      <c r="I9704" s="8">
        <v>526.5</v>
      </c>
      <c r="J9704" s="3">
        <f t="shared" si="151"/>
        <v>43748.189536574071</v>
      </c>
    </row>
    <row r="9705" spans="1:10" x14ac:dyDescent="0.25">
      <c r="A9705" s="5" t="s">
        <v>19729</v>
      </c>
      <c r="B9705" s="6">
        <v>393.75</v>
      </c>
      <c r="C9705" s="6">
        <v>20.478950000000001</v>
      </c>
      <c r="D9705" s="6">
        <v>84</v>
      </c>
      <c r="E9705" s="6">
        <v>0</v>
      </c>
      <c r="F9705" s="6">
        <v>0</v>
      </c>
      <c r="G9705" s="6">
        <v>10</v>
      </c>
      <c r="H9705" s="6" t="s">
        <v>19730</v>
      </c>
      <c r="I9705" s="6">
        <v>526.6875</v>
      </c>
      <c r="J9705" s="2">
        <f t="shared" si="151"/>
        <v>43748.189607928238</v>
      </c>
    </row>
    <row r="9706" spans="1:10" x14ac:dyDescent="0.25">
      <c r="A9706" s="7" t="s">
        <v>19731</v>
      </c>
      <c r="B9706" s="8">
        <v>431.25</v>
      </c>
      <c r="C9706" s="8">
        <v>20.478950000000001</v>
      </c>
      <c r="D9706" s="8">
        <v>84</v>
      </c>
      <c r="E9706" s="8">
        <v>0</v>
      </c>
      <c r="F9706" s="8">
        <v>0</v>
      </c>
      <c r="G9706" s="8">
        <v>8</v>
      </c>
      <c r="H9706" s="8" t="s">
        <v>19732</v>
      </c>
      <c r="I9706" s="8">
        <v>538.5</v>
      </c>
      <c r="J9706" s="3">
        <f t="shared" si="151"/>
        <v>43748.189691226849</v>
      </c>
    </row>
    <row r="9707" spans="1:10" x14ac:dyDescent="0.25">
      <c r="A9707" s="5" t="s">
        <v>19733</v>
      </c>
      <c r="B9707" s="6">
        <v>393.75</v>
      </c>
      <c r="C9707" s="6">
        <v>20.478950000000001</v>
      </c>
      <c r="D9707" s="6">
        <v>84</v>
      </c>
      <c r="E9707" s="6">
        <v>0</v>
      </c>
      <c r="F9707" s="6">
        <v>0</v>
      </c>
      <c r="G9707" s="6">
        <v>5</v>
      </c>
      <c r="H9707" s="6" t="s">
        <v>19734</v>
      </c>
      <c r="I9707" s="6">
        <v>526.6875</v>
      </c>
      <c r="J9707" s="2">
        <f t="shared" si="151"/>
        <v>43748.189763402777</v>
      </c>
    </row>
    <row r="9708" spans="1:10" x14ac:dyDescent="0.25">
      <c r="A9708" s="7" t="s">
        <v>19735</v>
      </c>
      <c r="B9708" s="8">
        <v>393.75</v>
      </c>
      <c r="C9708" s="8">
        <v>20.478950000000001</v>
      </c>
      <c r="D9708" s="8">
        <v>84</v>
      </c>
      <c r="E9708" s="8">
        <v>0</v>
      </c>
      <c r="F9708" s="8">
        <v>0</v>
      </c>
      <c r="G9708" s="8">
        <v>11</v>
      </c>
      <c r="H9708" s="8" t="s">
        <v>19736</v>
      </c>
      <c r="I9708" s="8">
        <v>526.6875</v>
      </c>
      <c r="J9708" s="3">
        <f t="shared" si="151"/>
        <v>43748.189834710647</v>
      </c>
    </row>
    <row r="9709" spans="1:10" x14ac:dyDescent="0.25">
      <c r="A9709" s="5" t="s">
        <v>19737</v>
      </c>
      <c r="B9709" s="6">
        <v>393.75</v>
      </c>
      <c r="C9709" s="6">
        <v>20.426300000000001</v>
      </c>
      <c r="D9709" s="6">
        <v>81</v>
      </c>
      <c r="E9709" s="6">
        <v>0</v>
      </c>
      <c r="F9709" s="6">
        <v>0</v>
      </c>
      <c r="G9709" s="6">
        <v>6</v>
      </c>
      <c r="H9709" s="6" t="s">
        <v>19738</v>
      </c>
      <c r="I9709" s="6">
        <v>526.6875</v>
      </c>
      <c r="J9709" s="2">
        <f t="shared" si="151"/>
        <v>43748.189905995365</v>
      </c>
    </row>
    <row r="9710" spans="1:10" x14ac:dyDescent="0.25">
      <c r="A9710" s="7" t="s">
        <v>19739</v>
      </c>
      <c r="B9710" s="8">
        <v>393.75</v>
      </c>
      <c r="C9710" s="8">
        <v>20.478950000000001</v>
      </c>
      <c r="D9710" s="8">
        <v>80</v>
      </c>
      <c r="E9710" s="8">
        <v>0</v>
      </c>
      <c r="F9710" s="8">
        <v>0</v>
      </c>
      <c r="G9710" s="8">
        <v>13</v>
      </c>
      <c r="H9710" s="8" t="s">
        <v>19740</v>
      </c>
      <c r="I9710" s="8">
        <v>526.6875</v>
      </c>
      <c r="J9710" s="3">
        <f t="shared" si="151"/>
        <v>43748.18997821759</v>
      </c>
    </row>
    <row r="9711" spans="1:10" x14ac:dyDescent="0.25">
      <c r="A9711" s="5" t="s">
        <v>19741</v>
      </c>
      <c r="B9711" s="6">
        <v>396.875</v>
      </c>
      <c r="C9711" s="6">
        <v>20.478950000000001</v>
      </c>
      <c r="D9711" s="6">
        <v>80</v>
      </c>
      <c r="E9711" s="6">
        <v>0</v>
      </c>
      <c r="F9711" s="6">
        <v>0</v>
      </c>
      <c r="G9711" s="6">
        <v>6</v>
      </c>
      <c r="H9711" s="6" t="s">
        <v>19742</v>
      </c>
      <c r="I9711" s="6">
        <v>527.4375</v>
      </c>
      <c r="J9711" s="2">
        <f t="shared" si="151"/>
        <v>43748.190049537036</v>
      </c>
    </row>
    <row r="9712" spans="1:10" x14ac:dyDescent="0.25">
      <c r="A9712" s="7" t="s">
        <v>19743</v>
      </c>
      <c r="B9712" s="8">
        <v>400</v>
      </c>
      <c r="C9712" s="8">
        <v>20.478950000000001</v>
      </c>
      <c r="D9712" s="8">
        <v>80</v>
      </c>
      <c r="E9712" s="8">
        <v>0</v>
      </c>
      <c r="F9712" s="8">
        <v>0</v>
      </c>
      <c r="G9712" s="8">
        <v>6</v>
      </c>
      <c r="H9712" s="8" t="s">
        <v>19744</v>
      </c>
      <c r="I9712" s="8">
        <v>528.1875</v>
      </c>
      <c r="J9712" s="3">
        <f t="shared" si="151"/>
        <v>43748.190120821753</v>
      </c>
    </row>
    <row r="9713" spans="1:10" x14ac:dyDescent="0.25">
      <c r="A9713" s="5" t="s">
        <v>19745</v>
      </c>
      <c r="B9713" s="6">
        <v>400</v>
      </c>
      <c r="C9713" s="6">
        <v>20.478950000000001</v>
      </c>
      <c r="D9713" s="6">
        <v>81</v>
      </c>
      <c r="E9713" s="6">
        <v>0</v>
      </c>
      <c r="F9713" s="6">
        <v>0</v>
      </c>
      <c r="G9713" s="6">
        <v>1</v>
      </c>
      <c r="H9713" s="6" t="s">
        <v>19746</v>
      </c>
      <c r="I9713" s="6">
        <v>528.1875</v>
      </c>
      <c r="J9713" s="2">
        <f t="shared" si="151"/>
        <v>43748.190192152775</v>
      </c>
    </row>
    <row r="9714" spans="1:10" x14ac:dyDescent="0.25">
      <c r="A9714" s="7" t="s">
        <v>19747</v>
      </c>
      <c r="B9714" s="8">
        <v>400</v>
      </c>
      <c r="C9714" s="8">
        <v>20.426300000000001</v>
      </c>
      <c r="D9714" s="8">
        <v>80</v>
      </c>
      <c r="E9714" s="8">
        <v>0</v>
      </c>
      <c r="F9714" s="8">
        <v>0</v>
      </c>
      <c r="G9714" s="8">
        <v>13</v>
      </c>
      <c r="H9714" s="8" t="s">
        <v>19748</v>
      </c>
      <c r="I9714" s="8">
        <v>528.9375</v>
      </c>
      <c r="J9714" s="3">
        <f t="shared" si="151"/>
        <v>43748.190264328703</v>
      </c>
    </row>
    <row r="9715" spans="1:10" x14ac:dyDescent="0.25">
      <c r="A9715" s="5" t="s">
        <v>19749</v>
      </c>
      <c r="B9715" s="6">
        <v>418.75</v>
      </c>
      <c r="C9715" s="6">
        <v>20.478950000000001</v>
      </c>
      <c r="D9715" s="6">
        <v>82</v>
      </c>
      <c r="E9715" s="6">
        <v>0</v>
      </c>
      <c r="F9715" s="6">
        <v>0</v>
      </c>
      <c r="G9715" s="6">
        <v>6</v>
      </c>
      <c r="H9715" s="6" t="s">
        <v>19750</v>
      </c>
      <c r="I9715" s="6">
        <v>534.75</v>
      </c>
      <c r="J9715" s="2">
        <f t="shared" si="151"/>
        <v>43748.190335636573</v>
      </c>
    </row>
    <row r="9716" spans="1:10" x14ac:dyDescent="0.25">
      <c r="A9716" s="7" t="s">
        <v>19751</v>
      </c>
      <c r="B9716" s="8">
        <v>400</v>
      </c>
      <c r="C9716" s="8">
        <v>20.478950000000001</v>
      </c>
      <c r="D9716" s="8">
        <v>85</v>
      </c>
      <c r="E9716" s="8">
        <v>0</v>
      </c>
      <c r="F9716" s="8">
        <v>0</v>
      </c>
      <c r="G9716" s="8">
        <v>7</v>
      </c>
      <c r="H9716" s="8" t="s">
        <v>19752</v>
      </c>
      <c r="I9716" s="8">
        <v>528.9375</v>
      </c>
      <c r="J9716" s="3">
        <f t="shared" si="151"/>
        <v>43748.190407685186</v>
      </c>
    </row>
    <row r="9717" spans="1:10" x14ac:dyDescent="0.25">
      <c r="A9717" s="5" t="s">
        <v>19753</v>
      </c>
      <c r="B9717" s="6">
        <v>400</v>
      </c>
      <c r="C9717" s="6">
        <v>20.478950000000001</v>
      </c>
      <c r="D9717" s="6">
        <v>84</v>
      </c>
      <c r="E9717" s="6">
        <v>0</v>
      </c>
      <c r="F9717" s="6">
        <v>0</v>
      </c>
      <c r="G9717" s="6">
        <v>2</v>
      </c>
      <c r="H9717" s="6" t="s">
        <v>19754</v>
      </c>
      <c r="I9717" s="6">
        <v>528.9375</v>
      </c>
      <c r="J9717" s="2">
        <f t="shared" si="151"/>
        <v>43748.190478969904</v>
      </c>
    </row>
    <row r="9718" spans="1:10" x14ac:dyDescent="0.25">
      <c r="A9718" s="7" t="s">
        <v>19755</v>
      </c>
      <c r="B9718" s="8">
        <v>400</v>
      </c>
      <c r="C9718" s="8">
        <v>20.426300000000001</v>
      </c>
      <c r="D9718" s="8">
        <v>84</v>
      </c>
      <c r="E9718" s="8">
        <v>0</v>
      </c>
      <c r="F9718" s="8">
        <v>0</v>
      </c>
      <c r="G9718" s="8">
        <v>6</v>
      </c>
      <c r="H9718" s="8" t="s">
        <v>19756</v>
      </c>
      <c r="I9718" s="8">
        <v>528.9375</v>
      </c>
      <c r="J9718" s="3">
        <f t="shared" si="151"/>
        <v>43748.190550451385</v>
      </c>
    </row>
    <row r="9719" spans="1:10" x14ac:dyDescent="0.25">
      <c r="A9719" s="5" t="s">
        <v>19757</v>
      </c>
      <c r="B9719" s="6">
        <v>400</v>
      </c>
      <c r="C9719" s="6">
        <v>20.478950000000001</v>
      </c>
      <c r="D9719" s="6">
        <v>82</v>
      </c>
      <c r="E9719" s="6">
        <v>0</v>
      </c>
      <c r="F9719" s="6">
        <v>0</v>
      </c>
      <c r="G9719" s="6">
        <v>4</v>
      </c>
      <c r="H9719" s="6" t="s">
        <v>19758</v>
      </c>
      <c r="I9719" s="6">
        <v>528.9375</v>
      </c>
      <c r="J9719" s="2">
        <f t="shared" si="151"/>
        <v>43748.190621747686</v>
      </c>
    </row>
    <row r="9720" spans="1:10" x14ac:dyDescent="0.25">
      <c r="A9720" s="7" t="s">
        <v>19759</v>
      </c>
      <c r="B9720" s="8">
        <v>396.875</v>
      </c>
      <c r="C9720" s="8">
        <v>20.426300000000001</v>
      </c>
      <c r="D9720" s="8">
        <v>86</v>
      </c>
      <c r="E9720" s="8">
        <v>0</v>
      </c>
      <c r="F9720" s="8">
        <v>0</v>
      </c>
      <c r="G9720" s="8">
        <v>10</v>
      </c>
      <c r="H9720" s="8" t="s">
        <v>19760</v>
      </c>
      <c r="I9720" s="8">
        <v>527.4375</v>
      </c>
      <c r="J9720" s="3">
        <f t="shared" si="151"/>
        <v>43748.19069304398</v>
      </c>
    </row>
    <row r="9721" spans="1:10" x14ac:dyDescent="0.25">
      <c r="A9721" s="5" t="s">
        <v>19761</v>
      </c>
      <c r="B9721" s="6">
        <v>396.875</v>
      </c>
      <c r="C9721" s="6">
        <v>20.426300000000001</v>
      </c>
      <c r="D9721" s="6">
        <v>86</v>
      </c>
      <c r="E9721" s="6">
        <v>0</v>
      </c>
      <c r="F9721" s="6">
        <v>0</v>
      </c>
      <c r="G9721" s="6">
        <v>12</v>
      </c>
      <c r="H9721" s="6" t="s">
        <v>19762</v>
      </c>
      <c r="I9721" s="6">
        <v>527.4375</v>
      </c>
      <c r="J9721" s="2">
        <f t="shared" si="151"/>
        <v>43748.190765266198</v>
      </c>
    </row>
    <row r="9722" spans="1:10" x14ac:dyDescent="0.25">
      <c r="A9722" s="7" t="s">
        <v>19763</v>
      </c>
      <c r="B9722" s="8">
        <v>393.75</v>
      </c>
      <c r="C9722" s="8">
        <v>20.426300000000001</v>
      </c>
      <c r="D9722" s="8">
        <v>86</v>
      </c>
      <c r="E9722" s="8">
        <v>0</v>
      </c>
      <c r="F9722" s="8">
        <v>0</v>
      </c>
      <c r="G9722" s="8">
        <v>6</v>
      </c>
      <c r="H9722" s="8" t="s">
        <v>19764</v>
      </c>
      <c r="I9722" s="8">
        <v>526.6875</v>
      </c>
      <c r="J9722" s="3">
        <f t="shared" si="151"/>
        <v>43748.190836550923</v>
      </c>
    </row>
    <row r="9723" spans="1:10" x14ac:dyDescent="0.25">
      <c r="A9723" s="5" t="s">
        <v>19765</v>
      </c>
      <c r="B9723" s="6">
        <v>393.75</v>
      </c>
      <c r="C9723" s="6">
        <v>20.478950000000001</v>
      </c>
      <c r="D9723" s="6">
        <v>83</v>
      </c>
      <c r="E9723" s="6">
        <v>0</v>
      </c>
      <c r="F9723" s="6">
        <v>0</v>
      </c>
      <c r="G9723" s="6">
        <v>5</v>
      </c>
      <c r="H9723" s="6" t="s">
        <v>19766</v>
      </c>
      <c r="I9723" s="6">
        <v>526.6875</v>
      </c>
      <c r="J9723" s="2">
        <f t="shared" si="151"/>
        <v>43748.190907858792</v>
      </c>
    </row>
    <row r="9724" spans="1:10" x14ac:dyDescent="0.25">
      <c r="A9724" s="7" t="s">
        <v>19767</v>
      </c>
      <c r="B9724" s="8">
        <v>393.75</v>
      </c>
      <c r="C9724" s="8">
        <v>20.478950000000001</v>
      </c>
      <c r="D9724" s="8">
        <v>81</v>
      </c>
      <c r="E9724" s="8">
        <v>0</v>
      </c>
      <c r="F9724" s="8">
        <v>0</v>
      </c>
      <c r="G9724" s="8">
        <v>14</v>
      </c>
      <c r="H9724" s="8" t="s">
        <v>19768</v>
      </c>
      <c r="I9724" s="8">
        <v>526.6875</v>
      </c>
      <c r="J9724" s="3">
        <f t="shared" si="151"/>
        <v>43748.190979236104</v>
      </c>
    </row>
    <row r="9725" spans="1:10" x14ac:dyDescent="0.25">
      <c r="A9725" s="5" t="s">
        <v>19769</v>
      </c>
      <c r="B9725" s="6">
        <v>393.75</v>
      </c>
      <c r="C9725" s="6">
        <v>20.478950000000001</v>
      </c>
      <c r="D9725" s="6">
        <v>81</v>
      </c>
      <c r="E9725" s="6">
        <v>0</v>
      </c>
      <c r="F9725" s="6">
        <v>0</v>
      </c>
      <c r="G9725" s="6">
        <v>5</v>
      </c>
      <c r="H9725" s="6" t="s">
        <v>19770</v>
      </c>
      <c r="I9725" s="6">
        <v>526.6875</v>
      </c>
      <c r="J9725" s="2">
        <f t="shared" si="151"/>
        <v>43748.19106070602</v>
      </c>
    </row>
    <row r="9726" spans="1:10" x14ac:dyDescent="0.25">
      <c r="A9726" s="7" t="s">
        <v>19771</v>
      </c>
      <c r="B9726" s="8">
        <v>393.75</v>
      </c>
      <c r="C9726" s="8">
        <v>20.478950000000001</v>
      </c>
      <c r="D9726" s="8">
        <v>81</v>
      </c>
      <c r="E9726" s="8">
        <v>0</v>
      </c>
      <c r="F9726" s="8">
        <v>0</v>
      </c>
      <c r="G9726" s="8">
        <v>1</v>
      </c>
      <c r="H9726" s="8" t="s">
        <v>19772</v>
      </c>
      <c r="I9726" s="8">
        <v>526.6875</v>
      </c>
      <c r="J9726" s="3">
        <f t="shared" si="151"/>
        <v>43748.191146736113</v>
      </c>
    </row>
    <row r="9727" spans="1:10" x14ac:dyDescent="0.25">
      <c r="A9727" s="5" t="s">
        <v>19773</v>
      </c>
      <c r="B9727" s="6">
        <v>393.75</v>
      </c>
      <c r="C9727" s="6">
        <v>20.478950000000001</v>
      </c>
      <c r="D9727" s="6">
        <v>82</v>
      </c>
      <c r="E9727" s="6">
        <v>0</v>
      </c>
      <c r="F9727" s="6">
        <v>0</v>
      </c>
      <c r="G9727" s="6">
        <v>1</v>
      </c>
      <c r="H9727" s="6" t="s">
        <v>19774</v>
      </c>
      <c r="I9727" s="6">
        <v>526.5</v>
      </c>
      <c r="J9727" s="2">
        <f t="shared" si="151"/>
        <v>43748.191218043976</v>
      </c>
    </row>
    <row r="9728" spans="1:10" x14ac:dyDescent="0.25">
      <c r="A9728" s="7" t="s">
        <v>19775</v>
      </c>
      <c r="B9728" s="8">
        <v>393.75</v>
      </c>
      <c r="C9728" s="8">
        <v>20.478950000000001</v>
      </c>
      <c r="D9728" s="8">
        <v>82</v>
      </c>
      <c r="E9728" s="8">
        <v>0</v>
      </c>
      <c r="F9728" s="8">
        <v>0</v>
      </c>
      <c r="G9728" s="8">
        <v>9</v>
      </c>
      <c r="H9728" s="8" t="s">
        <v>19776</v>
      </c>
      <c r="I9728" s="8">
        <v>526.6875</v>
      </c>
      <c r="J9728" s="3">
        <f t="shared" si="151"/>
        <v>43748.191289328701</v>
      </c>
    </row>
    <row r="9729" spans="1:10" x14ac:dyDescent="0.25">
      <c r="A9729" s="5" t="s">
        <v>19777</v>
      </c>
      <c r="B9729" s="6">
        <v>393.75</v>
      </c>
      <c r="C9729" s="6">
        <v>20.478950000000001</v>
      </c>
      <c r="D9729" s="6">
        <v>83</v>
      </c>
      <c r="E9729" s="6">
        <v>0</v>
      </c>
      <c r="F9729" s="6">
        <v>0</v>
      </c>
      <c r="G9729" s="6">
        <v>18</v>
      </c>
      <c r="H9729" s="6" t="s">
        <v>19778</v>
      </c>
      <c r="I9729" s="6">
        <v>526.5</v>
      </c>
      <c r="J9729" s="2">
        <f t="shared" si="151"/>
        <v>43748.191361550918</v>
      </c>
    </row>
    <row r="9730" spans="1:10" x14ac:dyDescent="0.25">
      <c r="A9730" s="7" t="s">
        <v>19779</v>
      </c>
      <c r="B9730" s="8">
        <v>393.75</v>
      </c>
      <c r="C9730" s="8">
        <v>20.478950000000001</v>
      </c>
      <c r="D9730" s="8">
        <v>83</v>
      </c>
      <c r="E9730" s="8">
        <v>0</v>
      </c>
      <c r="F9730" s="8">
        <v>0</v>
      </c>
      <c r="G9730" s="8">
        <v>9</v>
      </c>
      <c r="H9730" s="8" t="s">
        <v>19780</v>
      </c>
      <c r="I9730" s="8">
        <v>526.6875</v>
      </c>
      <c r="J9730" s="3">
        <f t="shared" ref="J9730:J9793" si="152">(H9730/86400000)+25569+(7/24)</f>
        <v>43748.191432800922</v>
      </c>
    </row>
    <row r="9731" spans="1:10" x14ac:dyDescent="0.25">
      <c r="A9731" s="5" t="s">
        <v>19781</v>
      </c>
      <c r="B9731" s="6">
        <v>393.75</v>
      </c>
      <c r="C9731" s="6">
        <v>20.426300000000001</v>
      </c>
      <c r="D9731" s="6">
        <v>81</v>
      </c>
      <c r="E9731" s="6">
        <v>0</v>
      </c>
      <c r="F9731" s="6">
        <v>0</v>
      </c>
      <c r="G9731" s="6">
        <v>2</v>
      </c>
      <c r="H9731" s="6" t="s">
        <v>19782</v>
      </c>
      <c r="I9731" s="6">
        <v>526.6875</v>
      </c>
      <c r="J9731" s="2">
        <f t="shared" si="152"/>
        <v>43748.191504155089</v>
      </c>
    </row>
    <row r="9732" spans="1:10" x14ac:dyDescent="0.25">
      <c r="A9732" s="7" t="s">
        <v>19783</v>
      </c>
      <c r="B9732" s="8">
        <v>393.75</v>
      </c>
      <c r="C9732" s="8">
        <v>20.478950000000001</v>
      </c>
      <c r="D9732" s="8">
        <v>80</v>
      </c>
      <c r="E9732" s="8">
        <v>0</v>
      </c>
      <c r="F9732" s="8">
        <v>0</v>
      </c>
      <c r="G9732" s="8">
        <v>9</v>
      </c>
      <c r="H9732" s="8" t="s">
        <v>19784</v>
      </c>
      <c r="I9732" s="8">
        <v>526.6875</v>
      </c>
      <c r="J9732" s="3">
        <f t="shared" si="152"/>
        <v>43748.191575451383</v>
      </c>
    </row>
    <row r="9733" spans="1:10" x14ac:dyDescent="0.25">
      <c r="A9733" s="5" t="s">
        <v>19785</v>
      </c>
      <c r="B9733" s="6">
        <v>393.75</v>
      </c>
      <c r="C9733" s="6">
        <v>20.478950000000001</v>
      </c>
      <c r="D9733" s="6">
        <v>80</v>
      </c>
      <c r="E9733" s="6">
        <v>0</v>
      </c>
      <c r="F9733" s="6">
        <v>0</v>
      </c>
      <c r="G9733" s="6">
        <v>11</v>
      </c>
      <c r="H9733" s="6" t="s">
        <v>19786</v>
      </c>
      <c r="I9733" s="6">
        <v>526.6875</v>
      </c>
      <c r="J9733" s="2">
        <f t="shared" si="152"/>
        <v>43748.191647673608</v>
      </c>
    </row>
    <row r="9734" spans="1:10" x14ac:dyDescent="0.25">
      <c r="A9734" s="7" t="s">
        <v>19787</v>
      </c>
      <c r="B9734" s="8">
        <v>393.75</v>
      </c>
      <c r="C9734" s="8">
        <v>20.478950000000001</v>
      </c>
      <c r="D9734" s="8">
        <v>80</v>
      </c>
      <c r="E9734" s="8">
        <v>0</v>
      </c>
      <c r="F9734" s="8">
        <v>0</v>
      </c>
      <c r="G9734" s="8">
        <v>3</v>
      </c>
      <c r="H9734" s="8" t="s">
        <v>19788</v>
      </c>
      <c r="I9734" s="8">
        <v>526.5</v>
      </c>
      <c r="J9734" s="3">
        <f t="shared" si="152"/>
        <v>43748.191718958326</v>
      </c>
    </row>
    <row r="9735" spans="1:10" x14ac:dyDescent="0.25">
      <c r="A9735" s="5" t="s">
        <v>19789</v>
      </c>
      <c r="B9735" s="6">
        <v>412.5</v>
      </c>
      <c r="C9735" s="6">
        <v>20.478950000000001</v>
      </c>
      <c r="D9735" s="6">
        <v>80</v>
      </c>
      <c r="E9735" s="6">
        <v>0</v>
      </c>
      <c r="F9735" s="6">
        <v>0</v>
      </c>
      <c r="G9735" s="6">
        <v>10</v>
      </c>
      <c r="H9735" s="6" t="s">
        <v>19790</v>
      </c>
      <c r="I9735" s="6">
        <v>532.125</v>
      </c>
      <c r="J9735" s="2">
        <f t="shared" si="152"/>
        <v>43748.191790266203</v>
      </c>
    </row>
    <row r="9736" spans="1:10" x14ac:dyDescent="0.25">
      <c r="A9736" s="7" t="s">
        <v>19791</v>
      </c>
      <c r="B9736" s="8">
        <v>396.875</v>
      </c>
      <c r="C9736" s="8">
        <v>20.478950000000001</v>
      </c>
      <c r="D9736" s="8">
        <v>81</v>
      </c>
      <c r="E9736" s="8">
        <v>0</v>
      </c>
      <c r="F9736" s="8">
        <v>0</v>
      </c>
      <c r="G9736" s="8">
        <v>9</v>
      </c>
      <c r="H9736" s="8" t="s">
        <v>19792</v>
      </c>
      <c r="I9736" s="8">
        <v>527.4375</v>
      </c>
      <c r="J9736" s="3">
        <f t="shared" si="152"/>
        <v>43748.191861620369</v>
      </c>
    </row>
    <row r="9737" spans="1:10" x14ac:dyDescent="0.25">
      <c r="A9737" s="5" t="s">
        <v>19793</v>
      </c>
      <c r="B9737" s="6">
        <v>396.875</v>
      </c>
      <c r="C9737" s="6">
        <v>20.478950000000001</v>
      </c>
      <c r="D9737" s="6">
        <v>81</v>
      </c>
      <c r="E9737" s="6">
        <v>0</v>
      </c>
      <c r="F9737" s="6">
        <v>0</v>
      </c>
      <c r="G9737" s="6">
        <v>2</v>
      </c>
      <c r="H9737" s="6" t="s">
        <v>19794</v>
      </c>
      <c r="I9737" s="6">
        <v>527.4375</v>
      </c>
      <c r="J9737" s="2">
        <f t="shared" si="152"/>
        <v>43748.191940219906</v>
      </c>
    </row>
    <row r="9738" spans="1:10" x14ac:dyDescent="0.25">
      <c r="A9738" s="7" t="s">
        <v>19795</v>
      </c>
      <c r="B9738" s="8">
        <v>418.75</v>
      </c>
      <c r="C9738" s="8">
        <v>20.478950000000001</v>
      </c>
      <c r="D9738" s="8">
        <v>80</v>
      </c>
      <c r="E9738" s="8">
        <v>0</v>
      </c>
      <c r="F9738" s="8">
        <v>0</v>
      </c>
      <c r="G9738" s="8">
        <v>10</v>
      </c>
      <c r="H9738" s="8" t="s">
        <v>19796</v>
      </c>
      <c r="I9738" s="8">
        <v>534.5625</v>
      </c>
      <c r="J9738" s="3">
        <f t="shared" si="152"/>
        <v>43748.192029108795</v>
      </c>
    </row>
    <row r="9739" spans="1:10" x14ac:dyDescent="0.25">
      <c r="A9739" s="5" t="s">
        <v>19797</v>
      </c>
      <c r="B9739" s="6">
        <v>396.875</v>
      </c>
      <c r="C9739" s="6">
        <v>20.426300000000001</v>
      </c>
      <c r="D9739" s="6">
        <v>80</v>
      </c>
      <c r="E9739" s="6">
        <v>0</v>
      </c>
      <c r="F9739" s="6">
        <v>0</v>
      </c>
      <c r="G9739" s="6">
        <v>4</v>
      </c>
      <c r="H9739" s="6" t="s">
        <v>19798</v>
      </c>
      <c r="I9739" s="6">
        <v>527.4375</v>
      </c>
      <c r="J9739" s="2">
        <f t="shared" si="152"/>
        <v>43748.192124525456</v>
      </c>
    </row>
    <row r="9740" spans="1:10" x14ac:dyDescent="0.25">
      <c r="A9740" s="7" t="s">
        <v>19799</v>
      </c>
      <c r="B9740" s="8">
        <v>415.625</v>
      </c>
      <c r="C9740" s="8">
        <v>20.426300000000001</v>
      </c>
      <c r="D9740" s="8">
        <v>79</v>
      </c>
      <c r="E9740" s="8">
        <v>0</v>
      </c>
      <c r="F9740" s="8">
        <v>0</v>
      </c>
      <c r="G9740" s="8">
        <v>10</v>
      </c>
      <c r="H9740" s="8" t="s">
        <v>19800</v>
      </c>
      <c r="I9740" s="8">
        <v>533.25</v>
      </c>
      <c r="J9740" s="3">
        <f t="shared" si="152"/>
        <v>43748.192210624999</v>
      </c>
    </row>
    <row r="9741" spans="1:10" x14ac:dyDescent="0.25">
      <c r="A9741" s="5" t="s">
        <v>19801</v>
      </c>
      <c r="B9741" s="6">
        <v>396.875</v>
      </c>
      <c r="C9741" s="6">
        <v>20.478950000000001</v>
      </c>
      <c r="D9741" s="6">
        <v>79</v>
      </c>
      <c r="E9741" s="6">
        <v>0</v>
      </c>
      <c r="F9741" s="6">
        <v>0</v>
      </c>
      <c r="G9741" s="6">
        <v>0</v>
      </c>
      <c r="H9741" s="6" t="s">
        <v>19802</v>
      </c>
      <c r="I9741" s="6">
        <v>527.4375</v>
      </c>
      <c r="J9741" s="2">
        <f t="shared" si="152"/>
        <v>43748.192291203704</v>
      </c>
    </row>
    <row r="9742" spans="1:10" x14ac:dyDescent="0.25">
      <c r="A9742" s="7" t="s">
        <v>19803</v>
      </c>
      <c r="B9742" s="8">
        <v>396.875</v>
      </c>
      <c r="C9742" s="8">
        <v>20.478950000000001</v>
      </c>
      <c r="D9742" s="8">
        <v>79</v>
      </c>
      <c r="E9742" s="8">
        <v>0</v>
      </c>
      <c r="F9742" s="8">
        <v>0</v>
      </c>
      <c r="G9742" s="8">
        <v>4</v>
      </c>
      <c r="H9742" s="8" t="s">
        <v>19804</v>
      </c>
      <c r="I9742" s="8">
        <v>527.4375</v>
      </c>
      <c r="J9742" s="3">
        <f t="shared" si="152"/>
        <v>43748.192362488422</v>
      </c>
    </row>
    <row r="9743" spans="1:10" x14ac:dyDescent="0.25">
      <c r="A9743" s="5" t="s">
        <v>19805</v>
      </c>
      <c r="B9743" s="6">
        <v>396.875</v>
      </c>
      <c r="C9743" s="6">
        <v>20.478950000000001</v>
      </c>
      <c r="D9743" s="6">
        <v>79</v>
      </c>
      <c r="E9743" s="6">
        <v>0</v>
      </c>
      <c r="F9743" s="6">
        <v>0</v>
      </c>
      <c r="G9743" s="6">
        <v>19</v>
      </c>
      <c r="H9743" s="6" t="s">
        <v>19806</v>
      </c>
      <c r="I9743" s="6">
        <v>527.4375</v>
      </c>
      <c r="J9743" s="2">
        <f t="shared" si="152"/>
        <v>43748.192433784723</v>
      </c>
    </row>
    <row r="9744" spans="1:10" x14ac:dyDescent="0.25">
      <c r="A9744" s="7" t="s">
        <v>19807</v>
      </c>
      <c r="B9744" s="8">
        <v>396.875</v>
      </c>
      <c r="C9744" s="8">
        <v>20.426300000000001</v>
      </c>
      <c r="D9744" s="8">
        <v>81</v>
      </c>
      <c r="E9744" s="8">
        <v>0</v>
      </c>
      <c r="F9744" s="8">
        <v>0</v>
      </c>
      <c r="G9744" s="8">
        <v>9</v>
      </c>
      <c r="H9744" s="8" t="s">
        <v>19808</v>
      </c>
      <c r="I9744" s="8">
        <v>527.4375</v>
      </c>
      <c r="J9744" s="3">
        <f t="shared" si="152"/>
        <v>43748.192505960651</v>
      </c>
    </row>
    <row r="9745" spans="1:10" x14ac:dyDescent="0.25">
      <c r="A9745" s="5" t="s">
        <v>19809</v>
      </c>
      <c r="B9745" s="6">
        <v>396.875</v>
      </c>
      <c r="C9745" s="6">
        <v>20.478950000000001</v>
      </c>
      <c r="D9745" s="6">
        <v>80</v>
      </c>
      <c r="E9745" s="6">
        <v>0</v>
      </c>
      <c r="F9745" s="6">
        <v>0</v>
      </c>
      <c r="G9745" s="6">
        <v>16</v>
      </c>
      <c r="H9745" s="6" t="s">
        <v>19810</v>
      </c>
      <c r="I9745" s="6">
        <v>527.4375</v>
      </c>
      <c r="J9745" s="2">
        <f t="shared" si="152"/>
        <v>43748.192578310183</v>
      </c>
    </row>
    <row r="9746" spans="1:10" x14ac:dyDescent="0.25">
      <c r="A9746" s="7" t="s">
        <v>19811</v>
      </c>
      <c r="B9746" s="8">
        <v>396.875</v>
      </c>
      <c r="C9746" s="8">
        <v>20.478950000000001</v>
      </c>
      <c r="D9746" s="8">
        <v>80</v>
      </c>
      <c r="E9746" s="8">
        <v>0</v>
      </c>
      <c r="F9746" s="8">
        <v>0</v>
      </c>
      <c r="G9746" s="8">
        <v>2</v>
      </c>
      <c r="H9746" s="8" t="s">
        <v>19812</v>
      </c>
      <c r="I9746" s="8">
        <v>527.4375</v>
      </c>
      <c r="J9746" s="3">
        <f t="shared" si="152"/>
        <v>43748.192648541662</v>
      </c>
    </row>
    <row r="9747" spans="1:10" x14ac:dyDescent="0.25">
      <c r="A9747" s="5" t="s">
        <v>19813</v>
      </c>
      <c r="B9747" s="6">
        <v>412.5</v>
      </c>
      <c r="C9747" s="6">
        <v>20.478950000000001</v>
      </c>
      <c r="D9747" s="6">
        <v>80</v>
      </c>
      <c r="E9747" s="6">
        <v>0</v>
      </c>
      <c r="F9747" s="6">
        <v>0</v>
      </c>
      <c r="G9747" s="6">
        <v>8</v>
      </c>
      <c r="H9747" s="6" t="s">
        <v>19814</v>
      </c>
      <c r="I9747" s="6">
        <v>532.3125</v>
      </c>
      <c r="J9747" s="2">
        <f t="shared" si="152"/>
        <v>43748.19272082176</v>
      </c>
    </row>
    <row r="9748" spans="1:10" x14ac:dyDescent="0.25">
      <c r="A9748" s="7" t="s">
        <v>19815</v>
      </c>
      <c r="B9748" s="8">
        <v>393.75</v>
      </c>
      <c r="C9748" s="8">
        <v>20.478950000000001</v>
      </c>
      <c r="D9748" s="8">
        <v>80</v>
      </c>
      <c r="E9748" s="8">
        <v>0</v>
      </c>
      <c r="F9748" s="8">
        <v>0</v>
      </c>
      <c r="G9748" s="8">
        <v>9</v>
      </c>
      <c r="H9748" s="8" t="s">
        <v>19816</v>
      </c>
      <c r="I9748" s="8">
        <v>526.6875</v>
      </c>
      <c r="J9748" s="3">
        <f t="shared" si="152"/>
        <v>43748.192792118054</v>
      </c>
    </row>
    <row r="9749" spans="1:10" x14ac:dyDescent="0.25">
      <c r="A9749" s="5" t="s">
        <v>19817</v>
      </c>
      <c r="B9749" s="6">
        <v>396.875</v>
      </c>
      <c r="C9749" s="6">
        <v>20.478950000000001</v>
      </c>
      <c r="D9749" s="6">
        <v>80</v>
      </c>
      <c r="E9749" s="6">
        <v>0</v>
      </c>
      <c r="F9749" s="6">
        <v>0</v>
      </c>
      <c r="G9749" s="6">
        <v>4</v>
      </c>
      <c r="H9749" s="6" t="s">
        <v>19818</v>
      </c>
      <c r="I9749" s="6">
        <v>527.4375</v>
      </c>
      <c r="J9749" s="2">
        <f t="shared" si="152"/>
        <v>43748.192863402779</v>
      </c>
    </row>
    <row r="9750" spans="1:10" x14ac:dyDescent="0.25">
      <c r="A9750" s="7" t="s">
        <v>19819</v>
      </c>
      <c r="B9750" s="8">
        <v>396.875</v>
      </c>
      <c r="C9750" s="8">
        <v>20.478950000000001</v>
      </c>
      <c r="D9750" s="8">
        <v>80</v>
      </c>
      <c r="E9750" s="8">
        <v>0</v>
      </c>
      <c r="F9750" s="8">
        <v>0</v>
      </c>
      <c r="G9750" s="8">
        <v>7</v>
      </c>
      <c r="H9750" s="8" t="s">
        <v>19820</v>
      </c>
      <c r="I9750" s="8">
        <v>527.4375</v>
      </c>
      <c r="J9750" s="3">
        <f t="shared" si="152"/>
        <v>43748.192935462961</v>
      </c>
    </row>
    <row r="9751" spans="1:10" x14ac:dyDescent="0.25">
      <c r="A9751" s="5" t="s">
        <v>19821</v>
      </c>
      <c r="B9751" s="6">
        <v>393.75</v>
      </c>
      <c r="C9751" s="6">
        <v>20.478950000000001</v>
      </c>
      <c r="D9751" s="6">
        <v>80</v>
      </c>
      <c r="E9751" s="6">
        <v>0</v>
      </c>
      <c r="F9751" s="6">
        <v>0</v>
      </c>
      <c r="G9751" s="6">
        <v>11</v>
      </c>
      <c r="H9751" s="6" t="s">
        <v>19822</v>
      </c>
      <c r="I9751" s="6">
        <v>526.6875</v>
      </c>
      <c r="J9751" s="2">
        <f t="shared" si="152"/>
        <v>43748.193006863425</v>
      </c>
    </row>
    <row r="9752" spans="1:10" x14ac:dyDescent="0.25">
      <c r="A9752" s="7" t="s">
        <v>19823</v>
      </c>
      <c r="B9752" s="8">
        <v>393.75</v>
      </c>
      <c r="C9752" s="8">
        <v>20.478950000000001</v>
      </c>
      <c r="D9752" s="8">
        <v>80</v>
      </c>
      <c r="E9752" s="8">
        <v>0</v>
      </c>
      <c r="F9752" s="8">
        <v>0</v>
      </c>
      <c r="G9752" s="8">
        <v>12</v>
      </c>
      <c r="H9752" s="8" t="s">
        <v>19824</v>
      </c>
      <c r="I9752" s="8">
        <v>526.6875</v>
      </c>
      <c r="J9752" s="3">
        <f t="shared" si="152"/>
        <v>43748.193078240736</v>
      </c>
    </row>
    <row r="9753" spans="1:10" x14ac:dyDescent="0.25">
      <c r="A9753" s="5" t="s">
        <v>19825</v>
      </c>
      <c r="B9753" s="6">
        <v>393.75</v>
      </c>
      <c r="C9753" s="6">
        <v>20.478950000000001</v>
      </c>
      <c r="D9753" s="6">
        <v>81</v>
      </c>
      <c r="E9753" s="6">
        <v>0</v>
      </c>
      <c r="F9753" s="6">
        <v>0</v>
      </c>
      <c r="G9753" s="6">
        <v>7</v>
      </c>
      <c r="H9753" s="6" t="s">
        <v>19826</v>
      </c>
      <c r="I9753" s="6">
        <v>526.5</v>
      </c>
      <c r="J9753" s="2">
        <f t="shared" si="152"/>
        <v>43748.193149525461</v>
      </c>
    </row>
    <row r="9754" spans="1:10" x14ac:dyDescent="0.25">
      <c r="A9754" s="7" t="s">
        <v>19827</v>
      </c>
      <c r="B9754" s="8">
        <v>393.75</v>
      </c>
      <c r="C9754" s="8">
        <v>20.478950000000001</v>
      </c>
      <c r="D9754" s="8">
        <v>82</v>
      </c>
      <c r="E9754" s="8">
        <v>0</v>
      </c>
      <c r="F9754" s="8">
        <v>0</v>
      </c>
      <c r="G9754" s="8">
        <v>5</v>
      </c>
      <c r="H9754" s="8" t="s">
        <v>19828</v>
      </c>
      <c r="I9754" s="8">
        <v>526.6875</v>
      </c>
      <c r="J9754" s="3">
        <f t="shared" si="152"/>
        <v>43748.193221574074</v>
      </c>
    </row>
    <row r="9755" spans="1:10" x14ac:dyDescent="0.25">
      <c r="A9755" s="5" t="s">
        <v>19829</v>
      </c>
      <c r="B9755" s="6">
        <v>393.75</v>
      </c>
      <c r="C9755" s="6">
        <v>20.478950000000001</v>
      </c>
      <c r="D9755" s="6">
        <v>82</v>
      </c>
      <c r="E9755" s="6">
        <v>0</v>
      </c>
      <c r="F9755" s="6">
        <v>0</v>
      </c>
      <c r="G9755" s="6">
        <v>8</v>
      </c>
      <c r="H9755" s="6" t="s">
        <v>19830</v>
      </c>
      <c r="I9755" s="6">
        <v>526.5</v>
      </c>
      <c r="J9755" s="2">
        <f t="shared" si="152"/>
        <v>43748.193293055556</v>
      </c>
    </row>
    <row r="9756" spans="1:10" x14ac:dyDescent="0.25">
      <c r="A9756" s="7" t="s">
        <v>19831</v>
      </c>
      <c r="B9756" s="8">
        <v>393.75</v>
      </c>
      <c r="C9756" s="8">
        <v>20.478950000000001</v>
      </c>
      <c r="D9756" s="8">
        <v>81</v>
      </c>
      <c r="E9756" s="8">
        <v>0</v>
      </c>
      <c r="F9756" s="8">
        <v>0</v>
      </c>
      <c r="G9756" s="8">
        <v>13</v>
      </c>
      <c r="H9756" s="8" t="s">
        <v>19832</v>
      </c>
      <c r="I9756" s="8">
        <v>526.6875</v>
      </c>
      <c r="J9756" s="3">
        <f t="shared" si="152"/>
        <v>43748.193364212959</v>
      </c>
    </row>
    <row r="9757" spans="1:10" x14ac:dyDescent="0.25">
      <c r="A9757" s="5" t="s">
        <v>19833</v>
      </c>
      <c r="B9757" s="6">
        <v>393.75</v>
      </c>
      <c r="C9757" s="6">
        <v>20.478950000000001</v>
      </c>
      <c r="D9757" s="6">
        <v>80</v>
      </c>
      <c r="E9757" s="6">
        <v>0</v>
      </c>
      <c r="F9757" s="6">
        <v>0</v>
      </c>
      <c r="G9757" s="6">
        <v>4</v>
      </c>
      <c r="H9757" s="6" t="s">
        <v>19834</v>
      </c>
      <c r="I9757" s="6">
        <v>526.5</v>
      </c>
      <c r="J9757" s="2">
        <f t="shared" si="152"/>
        <v>43748.193435624999</v>
      </c>
    </row>
    <row r="9758" spans="1:10" x14ac:dyDescent="0.25">
      <c r="A9758" s="7" t="s">
        <v>19835</v>
      </c>
      <c r="B9758" s="8">
        <v>393.75</v>
      </c>
      <c r="C9758" s="8">
        <v>20.478950000000001</v>
      </c>
      <c r="D9758" s="8">
        <v>78</v>
      </c>
      <c r="E9758" s="8">
        <v>0</v>
      </c>
      <c r="F9758" s="8">
        <v>0</v>
      </c>
      <c r="G9758" s="8">
        <v>8</v>
      </c>
      <c r="H9758" s="8" t="s">
        <v>19836</v>
      </c>
      <c r="I9758" s="8">
        <v>526.5</v>
      </c>
      <c r="J9758" s="3">
        <f t="shared" si="152"/>
        <v>43748.19350778935</v>
      </c>
    </row>
    <row r="9759" spans="1:10" x14ac:dyDescent="0.25">
      <c r="A9759" s="5" t="s">
        <v>19837</v>
      </c>
      <c r="B9759" s="6">
        <v>393.75</v>
      </c>
      <c r="C9759" s="6">
        <v>20.478950000000001</v>
      </c>
      <c r="D9759" s="6">
        <v>82</v>
      </c>
      <c r="E9759" s="6">
        <v>0</v>
      </c>
      <c r="F9759" s="6">
        <v>0</v>
      </c>
      <c r="G9759" s="6">
        <v>2</v>
      </c>
      <c r="H9759" s="6" t="s">
        <v>19838</v>
      </c>
      <c r="I9759" s="6">
        <v>526.6875</v>
      </c>
      <c r="J9759" s="2">
        <f t="shared" si="152"/>
        <v>43748.193579120365</v>
      </c>
    </row>
    <row r="9760" spans="1:10" x14ac:dyDescent="0.25">
      <c r="A9760" s="7" t="s">
        <v>19839</v>
      </c>
      <c r="B9760" s="8">
        <v>415.625</v>
      </c>
      <c r="C9760" s="8">
        <v>20.478950000000001</v>
      </c>
      <c r="D9760" s="8">
        <v>82</v>
      </c>
      <c r="E9760" s="8">
        <v>0</v>
      </c>
      <c r="F9760" s="8">
        <v>0</v>
      </c>
      <c r="G9760" s="8">
        <v>7</v>
      </c>
      <c r="H9760" s="8" t="s">
        <v>19840</v>
      </c>
      <c r="I9760" s="8">
        <v>533.0625</v>
      </c>
      <c r="J9760" s="3">
        <f t="shared" si="152"/>
        <v>43748.193650451387</v>
      </c>
    </row>
    <row r="9761" spans="1:10" x14ac:dyDescent="0.25">
      <c r="A9761" s="5" t="s">
        <v>19841</v>
      </c>
      <c r="B9761" s="6">
        <v>396.875</v>
      </c>
      <c r="C9761" s="6">
        <v>20.478950000000001</v>
      </c>
      <c r="D9761" s="6">
        <v>83</v>
      </c>
      <c r="E9761" s="6">
        <v>0</v>
      </c>
      <c r="F9761" s="6">
        <v>0</v>
      </c>
      <c r="G9761" s="6">
        <v>5</v>
      </c>
      <c r="H9761" s="6" t="s">
        <v>19842</v>
      </c>
      <c r="I9761" s="6">
        <v>527.4375</v>
      </c>
      <c r="J9761" s="2">
        <f t="shared" si="152"/>
        <v>43748.193721805554</v>
      </c>
    </row>
    <row r="9762" spans="1:10" x14ac:dyDescent="0.25">
      <c r="A9762" s="7" t="s">
        <v>19843</v>
      </c>
      <c r="B9762" s="8">
        <v>396.875</v>
      </c>
      <c r="C9762" s="8">
        <v>20.478950000000001</v>
      </c>
      <c r="D9762" s="8">
        <v>83</v>
      </c>
      <c r="E9762" s="8">
        <v>0</v>
      </c>
      <c r="F9762" s="8">
        <v>0</v>
      </c>
      <c r="G9762" s="8">
        <v>8</v>
      </c>
      <c r="H9762" s="8" t="s">
        <v>19844</v>
      </c>
      <c r="I9762" s="8">
        <v>527.4375</v>
      </c>
      <c r="J9762" s="3">
        <f t="shared" si="152"/>
        <v>43748.193793912033</v>
      </c>
    </row>
    <row r="9763" spans="1:10" x14ac:dyDescent="0.25">
      <c r="A9763" s="5" t="s">
        <v>19845</v>
      </c>
      <c r="B9763" s="6">
        <v>396.875</v>
      </c>
      <c r="C9763" s="6">
        <v>20.426300000000001</v>
      </c>
      <c r="D9763" s="6">
        <v>84</v>
      </c>
      <c r="E9763" s="6">
        <v>0</v>
      </c>
      <c r="F9763" s="6">
        <v>0</v>
      </c>
      <c r="G9763" s="6">
        <v>1</v>
      </c>
      <c r="H9763" s="6" t="s">
        <v>19846</v>
      </c>
      <c r="I9763" s="6">
        <v>527.4375</v>
      </c>
      <c r="J9763" s="2">
        <f t="shared" si="152"/>
        <v>43748.193871446761</v>
      </c>
    </row>
    <row r="9764" spans="1:10" x14ac:dyDescent="0.25">
      <c r="A9764" s="7" t="s">
        <v>19847</v>
      </c>
      <c r="B9764" s="8">
        <v>415.625</v>
      </c>
      <c r="C9764" s="8">
        <v>20.426300000000001</v>
      </c>
      <c r="D9764" s="8">
        <v>84</v>
      </c>
      <c r="E9764" s="8">
        <v>0</v>
      </c>
      <c r="F9764" s="8">
        <v>0</v>
      </c>
      <c r="G9764" s="8">
        <v>8</v>
      </c>
      <c r="H9764" s="8" t="s">
        <v>19848</v>
      </c>
      <c r="I9764" s="8">
        <v>533.8125</v>
      </c>
      <c r="J9764" s="3">
        <f t="shared" si="152"/>
        <v>43748.193948599532</v>
      </c>
    </row>
    <row r="9765" spans="1:10" x14ac:dyDescent="0.25">
      <c r="A9765" s="5" t="s">
        <v>19849</v>
      </c>
      <c r="B9765" s="6">
        <v>403.125</v>
      </c>
      <c r="C9765" s="6">
        <v>20.478950000000001</v>
      </c>
      <c r="D9765" s="6">
        <v>86</v>
      </c>
      <c r="E9765" s="6">
        <v>0</v>
      </c>
      <c r="F9765" s="6">
        <v>0</v>
      </c>
      <c r="G9765" s="6">
        <v>5</v>
      </c>
      <c r="H9765" s="6" t="s">
        <v>19850</v>
      </c>
      <c r="I9765" s="6">
        <v>529.125</v>
      </c>
      <c r="J9765" s="2">
        <f t="shared" si="152"/>
        <v>43748.19401994213</v>
      </c>
    </row>
    <row r="9766" spans="1:10" x14ac:dyDescent="0.25">
      <c r="A9766" s="7" t="s">
        <v>19851</v>
      </c>
      <c r="B9766" s="8">
        <v>400</v>
      </c>
      <c r="C9766" s="8">
        <v>20.478950000000001</v>
      </c>
      <c r="D9766" s="8">
        <v>86</v>
      </c>
      <c r="E9766" s="8">
        <v>0</v>
      </c>
      <c r="F9766" s="8">
        <v>0</v>
      </c>
      <c r="G9766" s="8">
        <v>2</v>
      </c>
      <c r="H9766" s="8" t="s">
        <v>19852</v>
      </c>
      <c r="I9766" s="8">
        <v>528.9375</v>
      </c>
      <c r="J9766" s="3">
        <f t="shared" si="152"/>
        <v>43748.194092118058</v>
      </c>
    </row>
    <row r="9767" spans="1:10" x14ac:dyDescent="0.25">
      <c r="A9767" s="5" t="s">
        <v>19853</v>
      </c>
      <c r="B9767" s="6">
        <v>403.125</v>
      </c>
      <c r="C9767" s="6">
        <v>20.426300000000001</v>
      </c>
      <c r="D9767" s="6">
        <v>86</v>
      </c>
      <c r="E9767" s="6">
        <v>0</v>
      </c>
      <c r="F9767" s="6">
        <v>0</v>
      </c>
      <c r="G9767" s="6">
        <v>2</v>
      </c>
      <c r="H9767" s="6" t="s">
        <v>19854</v>
      </c>
      <c r="I9767" s="6">
        <v>529.125</v>
      </c>
      <c r="J9767" s="2">
        <f t="shared" si="152"/>
        <v>43748.194163414351</v>
      </c>
    </row>
    <row r="9768" spans="1:10" x14ac:dyDescent="0.25">
      <c r="A9768" s="7" t="s">
        <v>19855</v>
      </c>
      <c r="B9768" s="8">
        <v>418.75</v>
      </c>
      <c r="C9768" s="8">
        <v>20.478950000000001</v>
      </c>
      <c r="D9768" s="8">
        <v>84</v>
      </c>
      <c r="E9768" s="8">
        <v>0</v>
      </c>
      <c r="F9768" s="8">
        <v>0</v>
      </c>
      <c r="G9768" s="8">
        <v>5</v>
      </c>
      <c r="H9768" s="8" t="s">
        <v>19856</v>
      </c>
      <c r="I9768" s="8">
        <v>534.75</v>
      </c>
      <c r="J9768" s="3">
        <f t="shared" si="152"/>
        <v>43748.194234699076</v>
      </c>
    </row>
    <row r="9769" spans="1:10" x14ac:dyDescent="0.25">
      <c r="A9769" s="5" t="s">
        <v>19857</v>
      </c>
      <c r="B9769" s="6">
        <v>406.25</v>
      </c>
      <c r="C9769" s="6">
        <v>20.426300000000001</v>
      </c>
      <c r="D9769" s="6">
        <v>84</v>
      </c>
      <c r="E9769" s="6">
        <v>0</v>
      </c>
      <c r="F9769" s="6">
        <v>0</v>
      </c>
      <c r="G9769" s="6">
        <v>5</v>
      </c>
      <c r="H9769" s="6" t="s">
        <v>19858</v>
      </c>
      <c r="I9769" s="6">
        <v>530.625</v>
      </c>
      <c r="J9769" s="2">
        <f t="shared" si="152"/>
        <v>43748.194306747682</v>
      </c>
    </row>
    <row r="9770" spans="1:10" x14ac:dyDescent="0.25">
      <c r="A9770" s="7" t="s">
        <v>19859</v>
      </c>
      <c r="B9770" s="8">
        <v>406.25</v>
      </c>
      <c r="C9770" s="8">
        <v>20.426300000000001</v>
      </c>
      <c r="D9770" s="8">
        <v>84</v>
      </c>
      <c r="E9770" s="8">
        <v>0</v>
      </c>
      <c r="F9770" s="8">
        <v>0</v>
      </c>
      <c r="G9770" s="8">
        <v>7</v>
      </c>
      <c r="H9770" s="8" t="s">
        <v>19860</v>
      </c>
      <c r="I9770" s="8">
        <v>530.625</v>
      </c>
      <c r="J9770" s="3">
        <f t="shared" si="152"/>
        <v>43748.19437824074</v>
      </c>
    </row>
    <row r="9771" spans="1:10" x14ac:dyDescent="0.25">
      <c r="A9771" s="5" t="s">
        <v>19861</v>
      </c>
      <c r="B9771" s="6">
        <v>406.25</v>
      </c>
      <c r="C9771" s="6">
        <v>20.426300000000001</v>
      </c>
      <c r="D9771" s="6">
        <v>84</v>
      </c>
      <c r="E9771" s="6">
        <v>0</v>
      </c>
      <c r="F9771" s="6">
        <v>0</v>
      </c>
      <c r="G9771" s="6">
        <v>5</v>
      </c>
      <c r="H9771" s="6" t="s">
        <v>19862</v>
      </c>
      <c r="I9771" s="6">
        <v>530.625</v>
      </c>
      <c r="J9771" s="2">
        <f t="shared" si="152"/>
        <v>43748.194449513881</v>
      </c>
    </row>
    <row r="9772" spans="1:10" x14ac:dyDescent="0.25">
      <c r="A9772" s="7" t="s">
        <v>19863</v>
      </c>
      <c r="B9772" s="8">
        <v>431.25</v>
      </c>
      <c r="C9772" s="8">
        <v>20.478950000000001</v>
      </c>
      <c r="D9772" s="8">
        <v>84</v>
      </c>
      <c r="E9772" s="8">
        <v>0</v>
      </c>
      <c r="F9772" s="8">
        <v>0</v>
      </c>
      <c r="G9772" s="8">
        <v>0</v>
      </c>
      <c r="H9772" s="8" t="s">
        <v>19864</v>
      </c>
      <c r="I9772" s="8">
        <v>538.875</v>
      </c>
      <c r="J9772" s="3">
        <f t="shared" si="152"/>
        <v>43748.194533969909</v>
      </c>
    </row>
    <row r="9773" spans="1:10" x14ac:dyDescent="0.25">
      <c r="A9773" s="5" t="s">
        <v>19865</v>
      </c>
      <c r="B9773" s="6">
        <v>406.25</v>
      </c>
      <c r="C9773" s="6">
        <v>20.426300000000001</v>
      </c>
      <c r="D9773" s="6">
        <v>84</v>
      </c>
      <c r="E9773" s="6">
        <v>0</v>
      </c>
      <c r="F9773" s="6">
        <v>0</v>
      </c>
      <c r="G9773" s="6">
        <v>7</v>
      </c>
      <c r="H9773" s="6" t="s">
        <v>19866</v>
      </c>
      <c r="I9773" s="6">
        <v>530.625</v>
      </c>
      <c r="J9773" s="2">
        <f t="shared" si="152"/>
        <v>43748.194604155091</v>
      </c>
    </row>
    <row r="9774" spans="1:10" x14ac:dyDescent="0.25">
      <c r="A9774" s="7" t="s">
        <v>19867</v>
      </c>
      <c r="B9774" s="8">
        <v>406.25</v>
      </c>
      <c r="C9774" s="8">
        <v>20.426300000000001</v>
      </c>
      <c r="D9774" s="8">
        <v>83</v>
      </c>
      <c r="E9774" s="8">
        <v>0</v>
      </c>
      <c r="F9774" s="8">
        <v>0</v>
      </c>
      <c r="G9774" s="8">
        <v>15</v>
      </c>
      <c r="H9774" s="8" t="s">
        <v>19868</v>
      </c>
      <c r="I9774" s="8">
        <v>530.625</v>
      </c>
      <c r="J9774" s="3">
        <f t="shared" si="152"/>
        <v>43748.19467636574</v>
      </c>
    </row>
    <row r="9775" spans="1:10" x14ac:dyDescent="0.25">
      <c r="A9775" s="5" t="s">
        <v>19869</v>
      </c>
      <c r="B9775" s="6">
        <v>406.25</v>
      </c>
      <c r="C9775" s="6">
        <v>20.478950000000001</v>
      </c>
      <c r="D9775" s="6">
        <v>82</v>
      </c>
      <c r="E9775" s="6">
        <v>0</v>
      </c>
      <c r="F9775" s="6">
        <v>0</v>
      </c>
      <c r="G9775" s="6">
        <v>6</v>
      </c>
      <c r="H9775" s="6" t="s">
        <v>19870</v>
      </c>
      <c r="I9775" s="6">
        <v>530.625</v>
      </c>
      <c r="J9775" s="2">
        <f t="shared" si="152"/>
        <v>43748.194760590275</v>
      </c>
    </row>
    <row r="9776" spans="1:10" x14ac:dyDescent="0.25">
      <c r="A9776" s="7" t="s">
        <v>19871</v>
      </c>
      <c r="B9776" s="8">
        <v>406.25</v>
      </c>
      <c r="C9776" s="8">
        <v>20.426300000000001</v>
      </c>
      <c r="D9776" s="8">
        <v>82</v>
      </c>
      <c r="E9776" s="8">
        <v>0</v>
      </c>
      <c r="F9776" s="8">
        <v>0</v>
      </c>
      <c r="G9776" s="8">
        <v>7</v>
      </c>
      <c r="H9776" s="8" t="s">
        <v>19872</v>
      </c>
      <c r="I9776" s="8">
        <v>530.625</v>
      </c>
      <c r="J9776" s="3">
        <f t="shared" si="152"/>
        <v>43748.194842986108</v>
      </c>
    </row>
    <row r="9777" spans="1:10" x14ac:dyDescent="0.25">
      <c r="A9777" s="5" t="s">
        <v>19873</v>
      </c>
      <c r="B9777" s="6">
        <v>406.25</v>
      </c>
      <c r="C9777" s="6">
        <v>20.478950000000001</v>
      </c>
      <c r="D9777" s="6">
        <v>82</v>
      </c>
      <c r="E9777" s="6">
        <v>0</v>
      </c>
      <c r="F9777" s="6">
        <v>0</v>
      </c>
      <c r="G9777" s="6">
        <v>2</v>
      </c>
      <c r="H9777" s="6" t="s">
        <v>19874</v>
      </c>
      <c r="I9777" s="6">
        <v>530.625</v>
      </c>
      <c r="J9777" s="2">
        <f t="shared" si="152"/>
        <v>43748.194914328698</v>
      </c>
    </row>
    <row r="9778" spans="1:10" x14ac:dyDescent="0.25">
      <c r="A9778" s="7" t="s">
        <v>19875</v>
      </c>
      <c r="B9778" s="8">
        <v>440.625</v>
      </c>
      <c r="C9778" s="8">
        <v>20.478950000000001</v>
      </c>
      <c r="D9778" s="8">
        <v>81</v>
      </c>
      <c r="E9778" s="8">
        <v>0</v>
      </c>
      <c r="F9778" s="8">
        <v>0</v>
      </c>
      <c r="G9778" s="8">
        <v>4</v>
      </c>
      <c r="H9778" s="8" t="s">
        <v>19876</v>
      </c>
      <c r="I9778" s="8">
        <v>541.875</v>
      </c>
      <c r="J9778" s="3">
        <f t="shared" si="152"/>
        <v>43748.194985752314</v>
      </c>
    </row>
    <row r="9779" spans="1:10" x14ac:dyDescent="0.25">
      <c r="A9779" s="5" t="s">
        <v>19877</v>
      </c>
      <c r="B9779" s="6">
        <v>406.25</v>
      </c>
      <c r="C9779" s="6">
        <v>20.478950000000001</v>
      </c>
      <c r="D9779" s="6">
        <v>80</v>
      </c>
      <c r="E9779" s="6">
        <v>0</v>
      </c>
      <c r="F9779" s="6">
        <v>0</v>
      </c>
      <c r="G9779" s="6">
        <v>13</v>
      </c>
      <c r="H9779" s="6" t="s">
        <v>19878</v>
      </c>
      <c r="I9779" s="6">
        <v>530.625</v>
      </c>
      <c r="J9779" s="2">
        <f t="shared" si="152"/>
        <v>43748.195057858793</v>
      </c>
    </row>
    <row r="9780" spans="1:10" x14ac:dyDescent="0.25">
      <c r="A9780" s="7" t="s">
        <v>19879</v>
      </c>
      <c r="B9780" s="8">
        <v>406.25</v>
      </c>
      <c r="C9780" s="8">
        <v>20.426300000000001</v>
      </c>
      <c r="D9780" s="8">
        <v>82</v>
      </c>
      <c r="E9780" s="8">
        <v>0</v>
      </c>
      <c r="F9780" s="8">
        <v>0</v>
      </c>
      <c r="G9780" s="8">
        <v>9</v>
      </c>
      <c r="H9780" s="8" t="s">
        <v>19880</v>
      </c>
      <c r="I9780" s="8">
        <v>530.8125</v>
      </c>
      <c r="J9780" s="3">
        <f t="shared" si="152"/>
        <v>43748.195129155087</v>
      </c>
    </row>
    <row r="9781" spans="1:10" x14ac:dyDescent="0.25">
      <c r="A9781" s="5" t="s">
        <v>19881</v>
      </c>
      <c r="B9781" s="6">
        <v>406.25</v>
      </c>
      <c r="C9781" s="6">
        <v>20.426300000000001</v>
      </c>
      <c r="D9781" s="6">
        <v>82</v>
      </c>
      <c r="E9781" s="6">
        <v>0</v>
      </c>
      <c r="F9781" s="6">
        <v>0</v>
      </c>
      <c r="G9781" s="6">
        <v>10</v>
      </c>
      <c r="H9781" s="6" t="s">
        <v>19882</v>
      </c>
      <c r="I9781" s="6">
        <v>530.625</v>
      </c>
      <c r="J9781" s="2">
        <f t="shared" si="152"/>
        <v>43748.195200451388</v>
      </c>
    </row>
    <row r="9782" spans="1:10" x14ac:dyDescent="0.25">
      <c r="A9782" s="7" t="s">
        <v>19883</v>
      </c>
      <c r="B9782" s="8">
        <v>406.25</v>
      </c>
      <c r="C9782" s="8">
        <v>20.426300000000001</v>
      </c>
      <c r="D9782" s="8">
        <v>82</v>
      </c>
      <c r="E9782" s="8">
        <v>0</v>
      </c>
      <c r="F9782" s="8">
        <v>0</v>
      </c>
      <c r="G9782" s="8">
        <v>0</v>
      </c>
      <c r="H9782" s="8" t="s">
        <v>19884</v>
      </c>
      <c r="I9782" s="8">
        <v>530.625</v>
      </c>
      <c r="J9782" s="3">
        <f t="shared" si="152"/>
        <v>43748.195272673613</v>
      </c>
    </row>
    <row r="9783" spans="1:10" x14ac:dyDescent="0.25">
      <c r="A9783" s="5" t="s">
        <v>19885</v>
      </c>
      <c r="B9783" s="6">
        <v>406.25</v>
      </c>
      <c r="C9783" s="6">
        <v>20.478950000000001</v>
      </c>
      <c r="D9783" s="6">
        <v>83</v>
      </c>
      <c r="E9783" s="6">
        <v>0</v>
      </c>
      <c r="F9783" s="6">
        <v>0</v>
      </c>
      <c r="G9783" s="6">
        <v>3</v>
      </c>
      <c r="H9783" s="6" t="s">
        <v>19886</v>
      </c>
      <c r="I9783" s="6">
        <v>530.625</v>
      </c>
      <c r="J9783" s="2">
        <f t="shared" si="152"/>
        <v>43748.195343969906</v>
      </c>
    </row>
    <row r="9784" spans="1:10" x14ac:dyDescent="0.25">
      <c r="A9784" s="7" t="s">
        <v>19887</v>
      </c>
      <c r="B9784" s="8">
        <v>406.25</v>
      </c>
      <c r="C9784" s="8">
        <v>20.426300000000001</v>
      </c>
      <c r="D9784" s="8">
        <v>82</v>
      </c>
      <c r="E9784" s="8">
        <v>0</v>
      </c>
      <c r="F9784" s="8">
        <v>0</v>
      </c>
      <c r="G9784" s="8">
        <v>7</v>
      </c>
      <c r="H9784" s="8" t="s">
        <v>19888</v>
      </c>
      <c r="I9784" s="8">
        <v>530.625</v>
      </c>
      <c r="J9784" s="3">
        <f t="shared" si="152"/>
        <v>43748.1954152662</v>
      </c>
    </row>
    <row r="9785" spans="1:10" x14ac:dyDescent="0.25">
      <c r="A9785" s="5" t="s">
        <v>19889</v>
      </c>
      <c r="B9785" s="6">
        <v>406.25</v>
      </c>
      <c r="C9785" s="6">
        <v>20.478950000000001</v>
      </c>
      <c r="D9785" s="6">
        <v>82</v>
      </c>
      <c r="E9785" s="6">
        <v>0</v>
      </c>
      <c r="F9785" s="6">
        <v>0</v>
      </c>
      <c r="G9785" s="6">
        <v>11</v>
      </c>
      <c r="H9785" s="6" t="s">
        <v>19890</v>
      </c>
      <c r="I9785" s="6">
        <v>530.625</v>
      </c>
      <c r="J9785" s="2">
        <f t="shared" si="152"/>
        <v>43748.195487303237</v>
      </c>
    </row>
    <row r="9786" spans="1:10" x14ac:dyDescent="0.25">
      <c r="A9786" s="7" t="s">
        <v>19891</v>
      </c>
      <c r="B9786" s="8">
        <v>406.25</v>
      </c>
      <c r="C9786" s="8">
        <v>20.426300000000001</v>
      </c>
      <c r="D9786" s="8">
        <v>82</v>
      </c>
      <c r="E9786" s="8">
        <v>0</v>
      </c>
      <c r="F9786" s="8">
        <v>0</v>
      </c>
      <c r="G9786" s="8">
        <v>13</v>
      </c>
      <c r="H9786" s="8" t="s">
        <v>19892</v>
      </c>
      <c r="I9786" s="8">
        <v>530.625</v>
      </c>
      <c r="J9786" s="3">
        <f t="shared" si="152"/>
        <v>43748.195558784719</v>
      </c>
    </row>
    <row r="9787" spans="1:10" x14ac:dyDescent="0.25">
      <c r="A9787" s="5" t="s">
        <v>19893</v>
      </c>
      <c r="B9787" s="6">
        <v>425</v>
      </c>
      <c r="C9787" s="6">
        <v>20.478950000000001</v>
      </c>
      <c r="D9787" s="6">
        <v>82</v>
      </c>
      <c r="E9787" s="6">
        <v>0</v>
      </c>
      <c r="F9787" s="6">
        <v>0</v>
      </c>
      <c r="G9787" s="6">
        <v>7</v>
      </c>
      <c r="H9787" s="6" t="s">
        <v>19894</v>
      </c>
      <c r="I9787" s="6">
        <v>536.25</v>
      </c>
      <c r="J9787" s="2">
        <f t="shared" si="152"/>
        <v>43748.195630069444</v>
      </c>
    </row>
    <row r="9788" spans="1:10" x14ac:dyDescent="0.25">
      <c r="A9788" s="7" t="s">
        <v>19895</v>
      </c>
      <c r="B9788" s="8">
        <v>406.25</v>
      </c>
      <c r="C9788" s="8">
        <v>20.478950000000001</v>
      </c>
      <c r="D9788" s="8">
        <v>82</v>
      </c>
      <c r="E9788" s="8">
        <v>0</v>
      </c>
      <c r="F9788" s="8">
        <v>0</v>
      </c>
      <c r="G9788" s="8">
        <v>10</v>
      </c>
      <c r="H9788" s="8" t="s">
        <v>19896</v>
      </c>
      <c r="I9788" s="8">
        <v>530.8125</v>
      </c>
      <c r="J9788" s="3">
        <f t="shared" si="152"/>
        <v>43748.195701365737</v>
      </c>
    </row>
    <row r="9789" spans="1:10" x14ac:dyDescent="0.25">
      <c r="A9789" s="5" t="s">
        <v>19897</v>
      </c>
      <c r="B9789" s="6">
        <v>406.25</v>
      </c>
      <c r="C9789" s="6">
        <v>20.478950000000001</v>
      </c>
      <c r="D9789" s="6">
        <v>82</v>
      </c>
      <c r="E9789" s="6">
        <v>0</v>
      </c>
      <c r="F9789" s="6">
        <v>0</v>
      </c>
      <c r="G9789" s="6">
        <v>4</v>
      </c>
      <c r="H9789" s="6" t="s">
        <v>19898</v>
      </c>
      <c r="I9789" s="6">
        <v>530.625</v>
      </c>
      <c r="J9789" s="2">
        <f t="shared" si="152"/>
        <v>43748.195773414351</v>
      </c>
    </row>
    <row r="9790" spans="1:10" x14ac:dyDescent="0.25">
      <c r="A9790" s="7" t="s">
        <v>19899</v>
      </c>
      <c r="B9790" s="8">
        <v>406.25</v>
      </c>
      <c r="C9790" s="8">
        <v>20.478950000000001</v>
      </c>
      <c r="D9790" s="8">
        <v>82</v>
      </c>
      <c r="E9790" s="8">
        <v>0</v>
      </c>
      <c r="F9790" s="8">
        <v>0</v>
      </c>
      <c r="G9790" s="8">
        <v>12</v>
      </c>
      <c r="H9790" s="8" t="s">
        <v>19900</v>
      </c>
      <c r="I9790" s="8">
        <v>530.625</v>
      </c>
      <c r="J9790" s="3">
        <f t="shared" si="152"/>
        <v>43748.195844421294</v>
      </c>
    </row>
    <row r="9791" spans="1:10" x14ac:dyDescent="0.25">
      <c r="A9791" s="5" t="s">
        <v>19901</v>
      </c>
      <c r="B9791" s="6">
        <v>428.125</v>
      </c>
      <c r="C9791" s="6">
        <v>20.478950000000001</v>
      </c>
      <c r="D9791" s="6">
        <v>82</v>
      </c>
      <c r="E9791" s="6">
        <v>0</v>
      </c>
      <c r="F9791" s="6">
        <v>0</v>
      </c>
      <c r="G9791" s="6">
        <v>0</v>
      </c>
      <c r="H9791" s="6" t="s">
        <v>19902</v>
      </c>
      <c r="I9791" s="6">
        <v>537.9375</v>
      </c>
      <c r="J9791" s="2">
        <f t="shared" si="152"/>
        <v>43748.195928217589</v>
      </c>
    </row>
    <row r="9792" spans="1:10" x14ac:dyDescent="0.25">
      <c r="A9792" s="7" t="s">
        <v>19903</v>
      </c>
      <c r="B9792" s="8">
        <v>403.125</v>
      </c>
      <c r="C9792" s="8">
        <v>20.478950000000001</v>
      </c>
      <c r="D9792" s="8">
        <v>84</v>
      </c>
      <c r="E9792" s="8">
        <v>0</v>
      </c>
      <c r="F9792" s="8">
        <v>0</v>
      </c>
      <c r="G9792" s="8">
        <v>12</v>
      </c>
      <c r="H9792" s="8" t="s">
        <v>19904</v>
      </c>
      <c r="I9792" s="8">
        <v>529.875</v>
      </c>
      <c r="J9792" s="3">
        <f t="shared" si="152"/>
        <v>43748.195999513882</v>
      </c>
    </row>
    <row r="9793" spans="1:10" x14ac:dyDescent="0.25">
      <c r="A9793" s="5" t="s">
        <v>19905</v>
      </c>
      <c r="B9793" s="6">
        <v>403.125</v>
      </c>
      <c r="C9793" s="6">
        <v>20.478950000000001</v>
      </c>
      <c r="D9793" s="6">
        <v>84</v>
      </c>
      <c r="E9793" s="6">
        <v>0</v>
      </c>
      <c r="F9793" s="6">
        <v>0</v>
      </c>
      <c r="G9793" s="6">
        <v>8</v>
      </c>
      <c r="H9793" s="6" t="s">
        <v>19906</v>
      </c>
      <c r="I9793" s="6">
        <v>529.875</v>
      </c>
      <c r="J9793" s="2">
        <f t="shared" si="152"/>
        <v>43748.196070925922</v>
      </c>
    </row>
    <row r="9794" spans="1:10" x14ac:dyDescent="0.25">
      <c r="A9794" s="7" t="s">
        <v>19907</v>
      </c>
      <c r="B9794" s="8">
        <v>403.125</v>
      </c>
      <c r="C9794" s="8">
        <v>20.478950000000001</v>
      </c>
      <c r="D9794" s="8">
        <v>84</v>
      </c>
      <c r="E9794" s="8">
        <v>0</v>
      </c>
      <c r="F9794" s="8">
        <v>0</v>
      </c>
      <c r="G9794" s="8">
        <v>14</v>
      </c>
      <c r="H9794" s="8" t="s">
        <v>19908</v>
      </c>
      <c r="I9794" s="8">
        <v>529.875</v>
      </c>
      <c r="J9794" s="3">
        <f t="shared" ref="J9794:J9857" si="153">(H9794/86400000)+25569+(7/24)</f>
        <v>43748.196142986104</v>
      </c>
    </row>
    <row r="9795" spans="1:10" x14ac:dyDescent="0.25">
      <c r="A9795" s="5" t="s">
        <v>19909</v>
      </c>
      <c r="B9795" s="6">
        <v>403.125</v>
      </c>
      <c r="C9795" s="6">
        <v>20.426300000000001</v>
      </c>
      <c r="D9795" s="6">
        <v>85</v>
      </c>
      <c r="E9795" s="6">
        <v>0</v>
      </c>
      <c r="F9795" s="6">
        <v>0</v>
      </c>
      <c r="G9795" s="6">
        <v>12</v>
      </c>
      <c r="H9795" s="6" t="s">
        <v>19910</v>
      </c>
      <c r="I9795" s="6">
        <v>529.875</v>
      </c>
      <c r="J9795" s="2">
        <f t="shared" si="153"/>
        <v>43748.196214328702</v>
      </c>
    </row>
    <row r="9796" spans="1:10" x14ac:dyDescent="0.25">
      <c r="A9796" s="7" t="s">
        <v>19911</v>
      </c>
      <c r="B9796" s="8">
        <v>403.125</v>
      </c>
      <c r="C9796" s="8">
        <v>20.478950000000001</v>
      </c>
      <c r="D9796" s="8">
        <v>86</v>
      </c>
      <c r="E9796" s="8">
        <v>0</v>
      </c>
      <c r="F9796" s="8">
        <v>0</v>
      </c>
      <c r="G9796" s="8">
        <v>5</v>
      </c>
      <c r="H9796" s="8" t="s">
        <v>19912</v>
      </c>
      <c r="I9796" s="8">
        <v>529.875</v>
      </c>
      <c r="J9796" s="3">
        <f t="shared" si="153"/>
        <v>43748.196285636572</v>
      </c>
    </row>
    <row r="9797" spans="1:10" x14ac:dyDescent="0.25">
      <c r="A9797" s="5" t="s">
        <v>19913</v>
      </c>
      <c r="B9797" s="6">
        <v>403.125</v>
      </c>
      <c r="C9797" s="6">
        <v>20.478950000000001</v>
      </c>
      <c r="D9797" s="6">
        <v>84</v>
      </c>
      <c r="E9797" s="6">
        <v>0</v>
      </c>
      <c r="F9797" s="6">
        <v>0</v>
      </c>
      <c r="G9797" s="6">
        <v>9</v>
      </c>
      <c r="H9797" s="6" t="s">
        <v>19914</v>
      </c>
      <c r="I9797" s="6">
        <v>529.875</v>
      </c>
      <c r="J9797" s="2">
        <f t="shared" si="153"/>
        <v>43748.196357812492</v>
      </c>
    </row>
    <row r="9798" spans="1:10" x14ac:dyDescent="0.25">
      <c r="A9798" s="7" t="s">
        <v>19915</v>
      </c>
      <c r="B9798" s="8">
        <v>406.25</v>
      </c>
      <c r="C9798" s="8">
        <v>20.426300000000001</v>
      </c>
      <c r="D9798" s="8">
        <v>84</v>
      </c>
      <c r="E9798" s="8">
        <v>0</v>
      </c>
      <c r="F9798" s="8">
        <v>0</v>
      </c>
      <c r="G9798" s="8">
        <v>9</v>
      </c>
      <c r="H9798" s="8" t="s">
        <v>19916</v>
      </c>
      <c r="I9798" s="8">
        <v>530.625</v>
      </c>
      <c r="J9798" s="3">
        <f t="shared" si="153"/>
        <v>43748.196429097217</v>
      </c>
    </row>
    <row r="9799" spans="1:10" x14ac:dyDescent="0.25">
      <c r="A9799" s="5" t="s">
        <v>19917</v>
      </c>
      <c r="B9799" s="6">
        <v>425</v>
      </c>
      <c r="C9799" s="6">
        <v>20.478950000000001</v>
      </c>
      <c r="D9799" s="6">
        <v>85</v>
      </c>
      <c r="E9799" s="6">
        <v>0</v>
      </c>
      <c r="F9799" s="6">
        <v>0</v>
      </c>
      <c r="G9799" s="6">
        <v>7</v>
      </c>
      <c r="H9799" s="6" t="s">
        <v>19918</v>
      </c>
      <c r="I9799" s="6">
        <v>536.4375</v>
      </c>
      <c r="J9799" s="2">
        <f t="shared" si="153"/>
        <v>43748.196500451384</v>
      </c>
    </row>
    <row r="9800" spans="1:10" x14ac:dyDescent="0.25">
      <c r="A9800" s="7" t="s">
        <v>19919</v>
      </c>
      <c r="B9800" s="8">
        <v>406.25</v>
      </c>
      <c r="C9800" s="8">
        <v>20.426300000000001</v>
      </c>
      <c r="D9800" s="8">
        <v>85</v>
      </c>
      <c r="E9800" s="8">
        <v>0</v>
      </c>
      <c r="F9800" s="8">
        <v>0</v>
      </c>
      <c r="G9800" s="8">
        <v>11</v>
      </c>
      <c r="H9800" s="8" t="s">
        <v>19920</v>
      </c>
      <c r="I9800" s="8">
        <v>530.625</v>
      </c>
      <c r="J9800" s="3">
        <f t="shared" si="153"/>
        <v>43748.196583773148</v>
      </c>
    </row>
    <row r="9801" spans="1:10" x14ac:dyDescent="0.25">
      <c r="A9801" s="5" t="s">
        <v>19921</v>
      </c>
      <c r="B9801" s="6">
        <v>406.25</v>
      </c>
      <c r="C9801" s="6">
        <v>20.478950000000001</v>
      </c>
      <c r="D9801" s="6">
        <v>85</v>
      </c>
      <c r="E9801" s="6">
        <v>0</v>
      </c>
      <c r="F9801" s="6">
        <v>0</v>
      </c>
      <c r="G9801" s="6">
        <v>7</v>
      </c>
      <c r="H9801" s="6" t="s">
        <v>19922</v>
      </c>
      <c r="I9801" s="6">
        <v>530.625</v>
      </c>
      <c r="J9801" s="2">
        <f t="shared" si="153"/>
        <v>43748.19665583333</v>
      </c>
    </row>
    <row r="9802" spans="1:10" x14ac:dyDescent="0.25">
      <c r="A9802" s="7" t="s">
        <v>19923</v>
      </c>
      <c r="B9802" s="8">
        <v>406.25</v>
      </c>
      <c r="C9802" s="8">
        <v>20.426300000000001</v>
      </c>
      <c r="D9802" s="8">
        <v>85</v>
      </c>
      <c r="E9802" s="8">
        <v>0</v>
      </c>
      <c r="F9802" s="8">
        <v>0</v>
      </c>
      <c r="G9802" s="8">
        <v>6</v>
      </c>
      <c r="H9802" s="8" t="s">
        <v>19924</v>
      </c>
      <c r="I9802" s="8">
        <v>530.625</v>
      </c>
      <c r="J9802" s="3">
        <f t="shared" si="153"/>
        <v>43748.196726435184</v>
      </c>
    </row>
    <row r="9803" spans="1:10" x14ac:dyDescent="0.25">
      <c r="A9803" s="5" t="s">
        <v>19925</v>
      </c>
      <c r="B9803" s="6">
        <v>406.25</v>
      </c>
      <c r="C9803" s="6">
        <v>20.478950000000001</v>
      </c>
      <c r="D9803" s="6">
        <v>86</v>
      </c>
      <c r="E9803" s="6">
        <v>0</v>
      </c>
      <c r="F9803" s="6">
        <v>0</v>
      </c>
      <c r="G9803" s="6">
        <v>4</v>
      </c>
      <c r="H9803" s="6" t="s">
        <v>19926</v>
      </c>
      <c r="I9803" s="6">
        <v>530.625</v>
      </c>
      <c r="J9803" s="2">
        <f t="shared" si="153"/>
        <v>43748.196798541663</v>
      </c>
    </row>
    <row r="9804" spans="1:10" x14ac:dyDescent="0.25">
      <c r="A9804" s="7" t="s">
        <v>19927</v>
      </c>
      <c r="B9804" s="8">
        <v>406.25</v>
      </c>
      <c r="C9804" s="8">
        <v>20.478950000000001</v>
      </c>
      <c r="D9804" s="8">
        <v>86</v>
      </c>
      <c r="E9804" s="8">
        <v>0</v>
      </c>
      <c r="F9804" s="8">
        <v>0</v>
      </c>
      <c r="G9804" s="8">
        <v>5</v>
      </c>
      <c r="H9804" s="8" t="s">
        <v>19928</v>
      </c>
      <c r="I9804" s="8">
        <v>530.625</v>
      </c>
      <c r="J9804" s="3">
        <f t="shared" si="153"/>
        <v>43748.19686989583</v>
      </c>
    </row>
    <row r="9805" spans="1:10" x14ac:dyDescent="0.25">
      <c r="A9805" s="5" t="s">
        <v>19929</v>
      </c>
      <c r="B9805" s="6">
        <v>406.25</v>
      </c>
      <c r="C9805" s="6">
        <v>20.478950000000001</v>
      </c>
      <c r="D9805" s="6">
        <v>84</v>
      </c>
      <c r="E9805" s="6">
        <v>0</v>
      </c>
      <c r="F9805" s="6">
        <v>0</v>
      </c>
      <c r="G9805" s="6">
        <v>3</v>
      </c>
      <c r="H9805" s="6" t="s">
        <v>19930</v>
      </c>
      <c r="I9805" s="6">
        <v>530.625</v>
      </c>
      <c r="J9805" s="2">
        <f t="shared" si="153"/>
        <v>43748.196942118055</v>
      </c>
    </row>
    <row r="9806" spans="1:10" x14ac:dyDescent="0.25">
      <c r="A9806" s="7" t="s">
        <v>19931</v>
      </c>
      <c r="B9806" s="8">
        <v>425</v>
      </c>
      <c r="C9806" s="8">
        <v>20.478950000000001</v>
      </c>
      <c r="D9806" s="8">
        <v>83</v>
      </c>
      <c r="E9806" s="8">
        <v>0</v>
      </c>
      <c r="F9806" s="8">
        <v>0</v>
      </c>
      <c r="G9806" s="8">
        <v>6</v>
      </c>
      <c r="H9806" s="8" t="s">
        <v>19932</v>
      </c>
      <c r="I9806" s="8">
        <v>536.4375</v>
      </c>
      <c r="J9806" s="3">
        <f t="shared" si="153"/>
        <v>43748.197037488419</v>
      </c>
    </row>
    <row r="9807" spans="1:10" x14ac:dyDescent="0.25">
      <c r="A9807" s="5" t="s">
        <v>19933</v>
      </c>
      <c r="B9807" s="6">
        <v>403.125</v>
      </c>
      <c r="C9807" s="6">
        <v>20.478950000000001</v>
      </c>
      <c r="D9807" s="6">
        <v>83</v>
      </c>
      <c r="E9807" s="6">
        <v>0</v>
      </c>
      <c r="F9807" s="6">
        <v>0</v>
      </c>
      <c r="G9807" s="6">
        <v>2</v>
      </c>
      <c r="H9807" s="6" t="s">
        <v>19934</v>
      </c>
      <c r="I9807" s="6">
        <v>529.125</v>
      </c>
      <c r="J9807" s="2">
        <f t="shared" si="153"/>
        <v>43748.197108773144</v>
      </c>
    </row>
    <row r="9808" spans="1:10" x14ac:dyDescent="0.25">
      <c r="A9808" s="7" t="s">
        <v>19935</v>
      </c>
      <c r="B9808" s="8">
        <v>403.125</v>
      </c>
      <c r="C9808" s="8">
        <v>20.478950000000001</v>
      </c>
      <c r="D9808" s="8">
        <v>84</v>
      </c>
      <c r="E9808" s="8">
        <v>0</v>
      </c>
      <c r="F9808" s="8">
        <v>0</v>
      </c>
      <c r="G9808" s="8">
        <v>3</v>
      </c>
      <c r="H9808" s="8" t="s">
        <v>19936</v>
      </c>
      <c r="I9808" s="8">
        <v>529.125</v>
      </c>
      <c r="J9808" s="3">
        <f t="shared" si="153"/>
        <v>43748.197180081021</v>
      </c>
    </row>
    <row r="9809" spans="1:10" x14ac:dyDescent="0.25">
      <c r="A9809" s="5" t="s">
        <v>19937</v>
      </c>
      <c r="B9809" s="6">
        <v>400</v>
      </c>
      <c r="C9809" s="6">
        <v>20.478950000000001</v>
      </c>
      <c r="D9809" s="6">
        <v>84</v>
      </c>
      <c r="E9809" s="6">
        <v>0</v>
      </c>
      <c r="F9809" s="6">
        <v>0</v>
      </c>
      <c r="G9809" s="6">
        <v>12</v>
      </c>
      <c r="H9809" s="6" t="s">
        <v>19938</v>
      </c>
      <c r="I9809" s="6">
        <v>528.1875</v>
      </c>
      <c r="J9809" s="2">
        <f t="shared" si="153"/>
        <v>43748.197252291669</v>
      </c>
    </row>
    <row r="9810" spans="1:10" x14ac:dyDescent="0.25">
      <c r="A9810" s="7" t="s">
        <v>19939</v>
      </c>
      <c r="B9810" s="8">
        <v>400</v>
      </c>
      <c r="C9810" s="8">
        <v>20.478950000000001</v>
      </c>
      <c r="D9810" s="8">
        <v>84</v>
      </c>
      <c r="E9810" s="8">
        <v>0</v>
      </c>
      <c r="F9810" s="8">
        <v>0</v>
      </c>
      <c r="G9810" s="8">
        <v>7</v>
      </c>
      <c r="H9810" s="8" t="s">
        <v>19940</v>
      </c>
      <c r="I9810" s="8">
        <v>528.375</v>
      </c>
      <c r="J9810" s="3">
        <f t="shared" si="153"/>
        <v>43748.197322662039</v>
      </c>
    </row>
    <row r="9811" spans="1:10" x14ac:dyDescent="0.25">
      <c r="A9811" s="5" t="s">
        <v>19941</v>
      </c>
      <c r="B9811" s="6">
        <v>400</v>
      </c>
      <c r="C9811" s="6">
        <v>20.478950000000001</v>
      </c>
      <c r="D9811" s="6">
        <v>75</v>
      </c>
      <c r="E9811" s="6">
        <v>0</v>
      </c>
      <c r="F9811" s="6">
        <v>0</v>
      </c>
      <c r="G9811" s="6">
        <v>9</v>
      </c>
      <c r="H9811" s="6" t="s">
        <v>19942</v>
      </c>
      <c r="I9811" s="6">
        <v>528.375</v>
      </c>
      <c r="J9811" s="2">
        <f t="shared" si="153"/>
        <v>43748.197394895826</v>
      </c>
    </row>
    <row r="9812" spans="1:10" x14ac:dyDescent="0.25">
      <c r="A9812" s="7" t="s">
        <v>19943</v>
      </c>
      <c r="B9812" s="8">
        <v>403.125</v>
      </c>
      <c r="C9812" s="8">
        <v>20.478950000000001</v>
      </c>
      <c r="D9812" s="8">
        <v>75</v>
      </c>
      <c r="E9812" s="8">
        <v>0</v>
      </c>
      <c r="F9812" s="8">
        <v>0</v>
      </c>
      <c r="G9812" s="8">
        <v>9</v>
      </c>
      <c r="H9812" s="8" t="s">
        <v>19944</v>
      </c>
      <c r="I9812" s="8">
        <v>529.125</v>
      </c>
      <c r="J9812" s="3">
        <f t="shared" si="153"/>
        <v>43748.197466192127</v>
      </c>
    </row>
    <row r="9813" spans="1:10" x14ac:dyDescent="0.25">
      <c r="A9813" s="5" t="s">
        <v>19945</v>
      </c>
      <c r="B9813" s="6">
        <v>403.125</v>
      </c>
      <c r="C9813" s="6">
        <v>20.426300000000001</v>
      </c>
      <c r="D9813" s="6">
        <v>75</v>
      </c>
      <c r="E9813" s="6">
        <v>0</v>
      </c>
      <c r="F9813" s="6">
        <v>0</v>
      </c>
      <c r="G9813" s="6">
        <v>9</v>
      </c>
      <c r="H9813" s="6" t="s">
        <v>19946</v>
      </c>
      <c r="I9813" s="6">
        <v>529.125</v>
      </c>
      <c r="J9813" s="2">
        <f t="shared" si="153"/>
        <v>43748.197537488428</v>
      </c>
    </row>
    <row r="9814" spans="1:10" x14ac:dyDescent="0.25">
      <c r="A9814" s="7" t="s">
        <v>19947</v>
      </c>
      <c r="B9814" s="8">
        <v>400</v>
      </c>
      <c r="C9814" s="8">
        <v>20.478950000000001</v>
      </c>
      <c r="D9814" s="8">
        <v>81</v>
      </c>
      <c r="E9814" s="8">
        <v>0</v>
      </c>
      <c r="F9814" s="8">
        <v>0</v>
      </c>
      <c r="G9814" s="8">
        <v>3</v>
      </c>
      <c r="H9814" s="8" t="s">
        <v>19948</v>
      </c>
      <c r="I9814" s="8">
        <v>528.1875</v>
      </c>
      <c r="J9814" s="3">
        <f t="shared" si="153"/>
        <v>43748.197609699077</v>
      </c>
    </row>
    <row r="9815" spans="1:10" x14ac:dyDescent="0.25">
      <c r="A9815" s="5" t="s">
        <v>19949</v>
      </c>
      <c r="B9815" s="6">
        <v>400</v>
      </c>
      <c r="C9815" s="6">
        <v>20.426300000000001</v>
      </c>
      <c r="D9815" s="6">
        <v>82</v>
      </c>
      <c r="E9815" s="6">
        <v>0</v>
      </c>
      <c r="F9815" s="6">
        <v>0</v>
      </c>
      <c r="G9815" s="6">
        <v>7</v>
      </c>
      <c r="H9815" s="6" t="s">
        <v>19950</v>
      </c>
      <c r="I9815" s="6">
        <v>528.1875</v>
      </c>
      <c r="J9815" s="2">
        <f t="shared" si="153"/>
        <v>43748.197680983794</v>
      </c>
    </row>
    <row r="9816" spans="1:10" x14ac:dyDescent="0.25">
      <c r="A9816" s="7" t="s">
        <v>19951</v>
      </c>
      <c r="B9816" s="8">
        <v>400</v>
      </c>
      <c r="C9816" s="8">
        <v>20.426300000000001</v>
      </c>
      <c r="D9816" s="8">
        <v>82</v>
      </c>
      <c r="E9816" s="8">
        <v>0</v>
      </c>
      <c r="F9816" s="8">
        <v>0</v>
      </c>
      <c r="G9816" s="8">
        <v>11</v>
      </c>
      <c r="H9816" s="8" t="s">
        <v>19952</v>
      </c>
      <c r="I9816" s="8">
        <v>528.1875</v>
      </c>
      <c r="J9816" s="3">
        <f t="shared" si="153"/>
        <v>43748.19775230324</v>
      </c>
    </row>
    <row r="9817" spans="1:10" x14ac:dyDescent="0.25">
      <c r="A9817" s="5" t="s">
        <v>19953</v>
      </c>
      <c r="B9817" s="6">
        <v>403.125</v>
      </c>
      <c r="C9817" s="6">
        <v>20.478950000000001</v>
      </c>
      <c r="D9817" s="6">
        <v>82</v>
      </c>
      <c r="E9817" s="6">
        <v>0</v>
      </c>
      <c r="F9817" s="6">
        <v>0</v>
      </c>
      <c r="G9817" s="6">
        <v>0</v>
      </c>
      <c r="H9817" s="6" t="s">
        <v>19954</v>
      </c>
      <c r="I9817" s="6">
        <v>529.125</v>
      </c>
      <c r="J9817" s="2">
        <f t="shared" si="153"/>
        <v>43748.1978236574</v>
      </c>
    </row>
    <row r="9818" spans="1:10" x14ac:dyDescent="0.25">
      <c r="A9818" s="7" t="s">
        <v>19955</v>
      </c>
      <c r="B9818" s="8">
        <v>421.875</v>
      </c>
      <c r="C9818" s="8">
        <v>20.426300000000001</v>
      </c>
      <c r="D9818" s="8">
        <v>82</v>
      </c>
      <c r="E9818" s="8">
        <v>0</v>
      </c>
      <c r="F9818" s="8">
        <v>0</v>
      </c>
      <c r="G9818" s="8">
        <v>10</v>
      </c>
      <c r="H9818" s="8" t="s">
        <v>19956</v>
      </c>
      <c r="I9818" s="8">
        <v>535.6875</v>
      </c>
      <c r="J9818" s="3">
        <f t="shared" si="153"/>
        <v>43748.197895821759</v>
      </c>
    </row>
    <row r="9819" spans="1:10" x14ac:dyDescent="0.25">
      <c r="A9819" s="5" t="s">
        <v>19957</v>
      </c>
      <c r="B9819" s="6">
        <v>400</v>
      </c>
      <c r="C9819" s="6">
        <v>20.478950000000001</v>
      </c>
      <c r="D9819" s="6">
        <v>86</v>
      </c>
      <c r="E9819" s="6">
        <v>0</v>
      </c>
      <c r="F9819" s="6">
        <v>0</v>
      </c>
      <c r="G9819" s="6">
        <v>6</v>
      </c>
      <c r="H9819" s="6" t="s">
        <v>19958</v>
      </c>
      <c r="I9819" s="6">
        <v>528.1875</v>
      </c>
      <c r="J9819" s="2">
        <f t="shared" si="153"/>
        <v>43748.197967071756</v>
      </c>
    </row>
    <row r="9820" spans="1:10" x14ac:dyDescent="0.25">
      <c r="A9820" s="7" t="s">
        <v>19959</v>
      </c>
      <c r="B9820" s="8">
        <v>396.875</v>
      </c>
      <c r="C9820" s="8">
        <v>20.478950000000001</v>
      </c>
      <c r="D9820" s="8">
        <v>85</v>
      </c>
      <c r="E9820" s="8">
        <v>0</v>
      </c>
      <c r="F9820" s="8">
        <v>0</v>
      </c>
      <c r="G9820" s="8">
        <v>1</v>
      </c>
      <c r="H9820" s="8" t="s">
        <v>19960</v>
      </c>
      <c r="I9820" s="8">
        <v>527.4375</v>
      </c>
      <c r="J9820" s="3">
        <f t="shared" si="153"/>
        <v>43748.198038414346</v>
      </c>
    </row>
    <row r="9821" spans="1:10" x14ac:dyDescent="0.25">
      <c r="A9821" s="5" t="s">
        <v>19961</v>
      </c>
      <c r="B9821" s="6">
        <v>396.875</v>
      </c>
      <c r="C9821" s="6">
        <v>20.478950000000001</v>
      </c>
      <c r="D9821" s="6">
        <v>85</v>
      </c>
      <c r="E9821" s="6">
        <v>0</v>
      </c>
      <c r="F9821" s="6">
        <v>0</v>
      </c>
      <c r="G9821" s="6">
        <v>0</v>
      </c>
      <c r="H9821" s="6" t="s">
        <v>19962</v>
      </c>
      <c r="I9821" s="6">
        <v>527.4375</v>
      </c>
      <c r="J9821" s="2">
        <f t="shared" si="153"/>
        <v>43748.198110462959</v>
      </c>
    </row>
    <row r="9822" spans="1:10" x14ac:dyDescent="0.25">
      <c r="A9822" s="7" t="s">
        <v>19963</v>
      </c>
      <c r="B9822" s="8">
        <v>393.75</v>
      </c>
      <c r="C9822" s="8">
        <v>20.478950000000001</v>
      </c>
      <c r="D9822" s="8">
        <v>86</v>
      </c>
      <c r="E9822" s="8">
        <v>0</v>
      </c>
      <c r="F9822" s="8">
        <v>0</v>
      </c>
      <c r="G9822" s="8">
        <v>0</v>
      </c>
      <c r="H9822" s="8" t="s">
        <v>19964</v>
      </c>
      <c r="I9822" s="8">
        <v>526.6875</v>
      </c>
      <c r="J9822" s="3">
        <f t="shared" si="153"/>
        <v>43748.198181932872</v>
      </c>
    </row>
    <row r="9823" spans="1:10" x14ac:dyDescent="0.25">
      <c r="A9823" s="5" t="s">
        <v>19965</v>
      </c>
      <c r="B9823" s="6">
        <v>393.75</v>
      </c>
      <c r="C9823" s="6">
        <v>20.426300000000001</v>
      </c>
      <c r="D9823" s="6">
        <v>86</v>
      </c>
      <c r="E9823" s="6">
        <v>0</v>
      </c>
      <c r="F9823" s="6">
        <v>0</v>
      </c>
      <c r="G9823" s="6">
        <v>7</v>
      </c>
      <c r="H9823" s="6" t="s">
        <v>19966</v>
      </c>
      <c r="I9823" s="6">
        <v>526.6875</v>
      </c>
      <c r="J9823" s="2">
        <f t="shared" si="153"/>
        <v>43748.198253148141</v>
      </c>
    </row>
    <row r="9824" spans="1:10" x14ac:dyDescent="0.25">
      <c r="A9824" s="7" t="s">
        <v>19967</v>
      </c>
      <c r="B9824" s="8">
        <v>393.75</v>
      </c>
      <c r="C9824" s="8">
        <v>20.478950000000001</v>
      </c>
      <c r="D9824" s="8">
        <v>85</v>
      </c>
      <c r="E9824" s="8">
        <v>0</v>
      </c>
      <c r="F9824" s="8">
        <v>0</v>
      </c>
      <c r="G9824" s="8">
        <v>9</v>
      </c>
      <c r="H9824" s="8" t="s">
        <v>19968</v>
      </c>
      <c r="I9824" s="8">
        <v>526.6875</v>
      </c>
      <c r="J9824" s="3">
        <f t="shared" si="153"/>
        <v>43748.198324513891</v>
      </c>
    </row>
    <row r="9825" spans="1:10" x14ac:dyDescent="0.25">
      <c r="A9825" s="5" t="s">
        <v>19969</v>
      </c>
      <c r="B9825" s="6">
        <v>393.75</v>
      </c>
      <c r="C9825" s="6">
        <v>20.426300000000001</v>
      </c>
      <c r="D9825" s="6">
        <v>85</v>
      </c>
      <c r="E9825" s="6">
        <v>0</v>
      </c>
      <c r="F9825" s="6">
        <v>0</v>
      </c>
      <c r="G9825" s="6">
        <v>5</v>
      </c>
      <c r="H9825" s="6" t="s">
        <v>19970</v>
      </c>
      <c r="I9825" s="6">
        <v>526.5</v>
      </c>
      <c r="J9825" s="2">
        <f t="shared" si="153"/>
        <v>43748.198396747684</v>
      </c>
    </row>
    <row r="9826" spans="1:10" x14ac:dyDescent="0.25">
      <c r="A9826" s="7" t="s">
        <v>19971</v>
      </c>
      <c r="B9826" s="8">
        <v>393.75</v>
      </c>
      <c r="C9826" s="8">
        <v>20.426300000000001</v>
      </c>
      <c r="D9826" s="8">
        <v>85</v>
      </c>
      <c r="E9826" s="8">
        <v>0</v>
      </c>
      <c r="F9826" s="8">
        <v>0</v>
      </c>
      <c r="G9826" s="8">
        <v>15</v>
      </c>
      <c r="H9826" s="8" t="s">
        <v>19972</v>
      </c>
      <c r="I9826" s="8">
        <v>526.6875</v>
      </c>
      <c r="J9826" s="3">
        <f t="shared" si="153"/>
        <v>43748.198468043978</v>
      </c>
    </row>
    <row r="9827" spans="1:10" x14ac:dyDescent="0.25">
      <c r="A9827" s="5" t="s">
        <v>19973</v>
      </c>
      <c r="B9827" s="6">
        <v>412.5</v>
      </c>
      <c r="C9827" s="6">
        <v>20.478950000000001</v>
      </c>
      <c r="D9827" s="6">
        <v>85</v>
      </c>
      <c r="E9827" s="6">
        <v>0</v>
      </c>
      <c r="F9827" s="6">
        <v>0</v>
      </c>
      <c r="G9827" s="6">
        <v>5</v>
      </c>
      <c r="H9827" s="6" t="s">
        <v>19974</v>
      </c>
      <c r="I9827" s="6">
        <v>532.3125</v>
      </c>
      <c r="J9827" s="2">
        <f t="shared" si="153"/>
        <v>43748.198539328696</v>
      </c>
    </row>
    <row r="9828" spans="1:10" x14ac:dyDescent="0.25">
      <c r="A9828" s="7" t="s">
        <v>19975</v>
      </c>
      <c r="B9828" s="8">
        <v>393.75</v>
      </c>
      <c r="C9828" s="8">
        <v>20.478950000000001</v>
      </c>
      <c r="D9828" s="8">
        <v>85</v>
      </c>
      <c r="E9828" s="8">
        <v>0</v>
      </c>
      <c r="F9828" s="8">
        <v>0</v>
      </c>
      <c r="G9828" s="8">
        <v>9</v>
      </c>
      <c r="H9828" s="8" t="s">
        <v>19976</v>
      </c>
      <c r="I9828" s="8">
        <v>526.6875</v>
      </c>
      <c r="J9828" s="3">
        <f t="shared" si="153"/>
        <v>43748.198610694446</v>
      </c>
    </row>
    <row r="9829" spans="1:10" x14ac:dyDescent="0.25">
      <c r="A9829" s="5" t="s">
        <v>19977</v>
      </c>
      <c r="B9829" s="6">
        <v>393.75</v>
      </c>
      <c r="C9829" s="6">
        <v>20.478950000000001</v>
      </c>
      <c r="D9829" s="6">
        <v>84</v>
      </c>
      <c r="E9829" s="6">
        <v>0</v>
      </c>
      <c r="F9829" s="6">
        <v>0</v>
      </c>
      <c r="G9829" s="6">
        <v>5</v>
      </c>
      <c r="H9829" s="6" t="s">
        <v>19978</v>
      </c>
      <c r="I9829" s="6">
        <v>526.6875</v>
      </c>
      <c r="J9829" s="2">
        <f t="shared" si="153"/>
        <v>43748.198682800925</v>
      </c>
    </row>
    <row r="9830" spans="1:10" x14ac:dyDescent="0.25">
      <c r="A9830" s="7" t="s">
        <v>19979</v>
      </c>
      <c r="B9830" s="8">
        <v>393.75</v>
      </c>
      <c r="C9830" s="8">
        <v>20.426300000000001</v>
      </c>
      <c r="D9830" s="8">
        <v>84</v>
      </c>
      <c r="E9830" s="8">
        <v>0</v>
      </c>
      <c r="F9830" s="8">
        <v>0</v>
      </c>
      <c r="G9830" s="8">
        <v>14</v>
      </c>
      <c r="H9830" s="8" t="s">
        <v>19980</v>
      </c>
      <c r="I9830" s="8">
        <v>526.6875</v>
      </c>
      <c r="J9830" s="3">
        <f t="shared" si="153"/>
        <v>43748.198754143516</v>
      </c>
    </row>
    <row r="9831" spans="1:10" x14ac:dyDescent="0.25">
      <c r="A9831" s="5" t="s">
        <v>19981</v>
      </c>
      <c r="B9831" s="6">
        <v>396.875</v>
      </c>
      <c r="C9831" s="6">
        <v>20.478950000000001</v>
      </c>
      <c r="D9831" s="6">
        <v>83</v>
      </c>
      <c r="E9831" s="6">
        <v>0</v>
      </c>
      <c r="F9831" s="6">
        <v>0</v>
      </c>
      <c r="G9831" s="6">
        <v>9</v>
      </c>
      <c r="H9831" s="6" t="s">
        <v>19982</v>
      </c>
      <c r="I9831" s="6">
        <v>527.4375</v>
      </c>
      <c r="J9831" s="2">
        <f t="shared" si="153"/>
        <v>43748.198849525455</v>
      </c>
    </row>
    <row r="9832" spans="1:10" x14ac:dyDescent="0.25">
      <c r="A9832" s="7" t="s">
        <v>19983</v>
      </c>
      <c r="B9832" s="8">
        <v>396.875</v>
      </c>
      <c r="C9832" s="8">
        <v>20.478950000000001</v>
      </c>
      <c r="D9832" s="8">
        <v>83</v>
      </c>
      <c r="E9832" s="8">
        <v>0</v>
      </c>
      <c r="F9832" s="8">
        <v>0</v>
      </c>
      <c r="G9832" s="8">
        <v>5</v>
      </c>
      <c r="H9832" s="8" t="s">
        <v>19984</v>
      </c>
      <c r="I9832" s="8">
        <v>527.4375</v>
      </c>
      <c r="J9832" s="3">
        <f t="shared" si="153"/>
        <v>43748.19893283565</v>
      </c>
    </row>
    <row r="9833" spans="1:10" x14ac:dyDescent="0.25">
      <c r="A9833" s="5" t="s">
        <v>19985</v>
      </c>
      <c r="B9833" s="6">
        <v>415.625</v>
      </c>
      <c r="C9833" s="6">
        <v>20.478950000000001</v>
      </c>
      <c r="D9833" s="6">
        <v>83</v>
      </c>
      <c r="E9833" s="6">
        <v>0</v>
      </c>
      <c r="F9833" s="6">
        <v>0</v>
      </c>
      <c r="G9833" s="6">
        <v>4</v>
      </c>
      <c r="H9833" s="6" t="s">
        <v>19986</v>
      </c>
      <c r="I9833" s="6">
        <v>533.0625</v>
      </c>
      <c r="J9833" s="2">
        <f t="shared" si="153"/>
        <v>43748.199004212962</v>
      </c>
    </row>
    <row r="9834" spans="1:10" x14ac:dyDescent="0.25">
      <c r="A9834" s="7" t="s">
        <v>19987</v>
      </c>
      <c r="B9834" s="8">
        <v>396.875</v>
      </c>
      <c r="C9834" s="8">
        <v>20.478950000000001</v>
      </c>
      <c r="D9834" s="8">
        <v>82</v>
      </c>
      <c r="E9834" s="8">
        <v>0</v>
      </c>
      <c r="F9834" s="8">
        <v>0</v>
      </c>
      <c r="G9834" s="8">
        <v>0</v>
      </c>
      <c r="H9834" s="8" t="s">
        <v>19988</v>
      </c>
      <c r="I9834" s="8">
        <v>527.4375</v>
      </c>
      <c r="J9834" s="3">
        <f t="shared" si="153"/>
        <v>43748.199076365738</v>
      </c>
    </row>
    <row r="9835" spans="1:10" x14ac:dyDescent="0.25">
      <c r="A9835" s="5" t="s">
        <v>19989</v>
      </c>
      <c r="B9835" s="6">
        <v>396.875</v>
      </c>
      <c r="C9835" s="6">
        <v>20.426300000000001</v>
      </c>
      <c r="D9835" s="6">
        <v>82</v>
      </c>
      <c r="E9835" s="6">
        <v>0</v>
      </c>
      <c r="F9835" s="6">
        <v>0</v>
      </c>
      <c r="G9835" s="6">
        <v>9</v>
      </c>
      <c r="H9835" s="6" t="s">
        <v>19990</v>
      </c>
      <c r="I9835" s="6">
        <v>527.4375</v>
      </c>
      <c r="J9835" s="2">
        <f t="shared" si="153"/>
        <v>43748.199147673608</v>
      </c>
    </row>
    <row r="9836" spans="1:10" x14ac:dyDescent="0.25">
      <c r="A9836" s="7" t="s">
        <v>19991</v>
      </c>
      <c r="B9836" s="8">
        <v>396.875</v>
      </c>
      <c r="C9836" s="8">
        <v>20.478950000000001</v>
      </c>
      <c r="D9836" s="8">
        <v>83</v>
      </c>
      <c r="E9836" s="8">
        <v>0</v>
      </c>
      <c r="F9836" s="8">
        <v>0</v>
      </c>
      <c r="G9836" s="8">
        <v>6</v>
      </c>
      <c r="H9836" s="8" t="s">
        <v>19992</v>
      </c>
      <c r="I9836" s="8">
        <v>527.4375</v>
      </c>
      <c r="J9836" s="3">
        <f t="shared" si="153"/>
        <v>43748.199218969901</v>
      </c>
    </row>
    <row r="9837" spans="1:10" x14ac:dyDescent="0.25">
      <c r="A9837" s="5" t="s">
        <v>19993</v>
      </c>
      <c r="B9837" s="6">
        <v>434.375</v>
      </c>
      <c r="C9837" s="6">
        <v>20.478950000000001</v>
      </c>
      <c r="D9837" s="6">
        <v>83</v>
      </c>
      <c r="E9837" s="6">
        <v>0</v>
      </c>
      <c r="F9837" s="6">
        <v>0</v>
      </c>
      <c r="G9837" s="6">
        <v>9</v>
      </c>
      <c r="H9837" s="6" t="s">
        <v>19994</v>
      </c>
      <c r="I9837" s="6">
        <v>539.25</v>
      </c>
      <c r="J9837" s="2">
        <f t="shared" si="153"/>
        <v>43748.199290370372</v>
      </c>
    </row>
    <row r="9838" spans="1:10" x14ac:dyDescent="0.25">
      <c r="A9838" s="7" t="s">
        <v>19995</v>
      </c>
      <c r="B9838" s="8">
        <v>403.125</v>
      </c>
      <c r="C9838" s="8">
        <v>20.426300000000001</v>
      </c>
      <c r="D9838" s="8">
        <v>84</v>
      </c>
      <c r="E9838" s="8">
        <v>0</v>
      </c>
      <c r="F9838" s="8">
        <v>0</v>
      </c>
      <c r="G9838" s="8">
        <v>7</v>
      </c>
      <c r="H9838" s="8" t="s">
        <v>19996</v>
      </c>
      <c r="I9838" s="8">
        <v>529.125</v>
      </c>
      <c r="J9838" s="3">
        <f t="shared" si="153"/>
        <v>43748.199362476851</v>
      </c>
    </row>
    <row r="9839" spans="1:10" x14ac:dyDescent="0.25">
      <c r="A9839" s="5" t="s">
        <v>19997</v>
      </c>
      <c r="B9839" s="6">
        <v>403.125</v>
      </c>
      <c r="C9839" s="6">
        <v>20.478950000000001</v>
      </c>
      <c r="D9839" s="6">
        <v>84</v>
      </c>
      <c r="E9839" s="6">
        <v>0</v>
      </c>
      <c r="F9839" s="6">
        <v>0</v>
      </c>
      <c r="G9839" s="6">
        <v>15</v>
      </c>
      <c r="H9839" s="6" t="s">
        <v>19998</v>
      </c>
      <c r="I9839" s="6">
        <v>529.125</v>
      </c>
      <c r="J9839" s="2">
        <f t="shared" si="153"/>
        <v>43748.199457881943</v>
      </c>
    </row>
    <row r="9840" spans="1:10" x14ac:dyDescent="0.25">
      <c r="A9840" s="7" t="s">
        <v>19999</v>
      </c>
      <c r="B9840" s="8">
        <v>403.125</v>
      </c>
      <c r="C9840" s="8">
        <v>20.478950000000001</v>
      </c>
      <c r="D9840" s="8">
        <v>84</v>
      </c>
      <c r="E9840" s="8">
        <v>0</v>
      </c>
      <c r="F9840" s="8">
        <v>0</v>
      </c>
      <c r="G9840" s="8">
        <v>3</v>
      </c>
      <c r="H9840" s="8" t="s">
        <v>20000</v>
      </c>
      <c r="I9840" s="8">
        <v>529.125</v>
      </c>
      <c r="J9840" s="3">
        <f t="shared" si="153"/>
        <v>43748.199529155092</v>
      </c>
    </row>
    <row r="9841" spans="1:10" x14ac:dyDescent="0.25">
      <c r="A9841" s="5" t="s">
        <v>20001</v>
      </c>
      <c r="B9841" s="6">
        <v>400</v>
      </c>
      <c r="C9841" s="6">
        <v>20.478950000000001</v>
      </c>
      <c r="D9841" s="6">
        <v>84</v>
      </c>
      <c r="E9841" s="6">
        <v>0</v>
      </c>
      <c r="F9841" s="6">
        <v>0</v>
      </c>
      <c r="G9841" s="6">
        <v>9</v>
      </c>
      <c r="H9841" s="6" t="s">
        <v>20002</v>
      </c>
      <c r="I9841" s="6">
        <v>528.1875</v>
      </c>
      <c r="J9841" s="2">
        <f t="shared" si="153"/>
        <v>43748.199600439817</v>
      </c>
    </row>
    <row r="9842" spans="1:10" x14ac:dyDescent="0.25">
      <c r="A9842" s="7" t="s">
        <v>20003</v>
      </c>
      <c r="B9842" s="8">
        <v>400</v>
      </c>
      <c r="C9842" s="8">
        <v>20.426300000000001</v>
      </c>
      <c r="D9842" s="8">
        <v>81</v>
      </c>
      <c r="E9842" s="8">
        <v>0</v>
      </c>
      <c r="F9842" s="8">
        <v>0</v>
      </c>
      <c r="G9842" s="8">
        <v>9</v>
      </c>
      <c r="H9842" s="8" t="s">
        <v>20004</v>
      </c>
      <c r="I9842" s="8">
        <v>528.1875</v>
      </c>
      <c r="J9842" s="3">
        <f t="shared" si="153"/>
        <v>43748.199671967588</v>
      </c>
    </row>
    <row r="9843" spans="1:10" x14ac:dyDescent="0.25">
      <c r="A9843" s="5" t="s">
        <v>20005</v>
      </c>
      <c r="B9843" s="6">
        <v>400</v>
      </c>
      <c r="C9843" s="6">
        <v>20.426300000000001</v>
      </c>
      <c r="D9843" s="6">
        <v>80</v>
      </c>
      <c r="E9843" s="6">
        <v>0</v>
      </c>
      <c r="F9843" s="6">
        <v>0</v>
      </c>
      <c r="G9843" s="6">
        <v>10</v>
      </c>
      <c r="H9843" s="6" t="s">
        <v>20006</v>
      </c>
      <c r="I9843" s="6">
        <v>528.1875</v>
      </c>
      <c r="J9843" s="2">
        <f t="shared" si="153"/>
        <v>43748.199744722217</v>
      </c>
    </row>
    <row r="9844" spans="1:10" x14ac:dyDescent="0.25">
      <c r="A9844" s="7" t="s">
        <v>20007</v>
      </c>
      <c r="B9844" s="8">
        <v>418.75</v>
      </c>
      <c r="C9844" s="8">
        <v>20.478950000000001</v>
      </c>
      <c r="D9844" s="8">
        <v>80</v>
      </c>
      <c r="E9844" s="8">
        <v>0</v>
      </c>
      <c r="F9844" s="8">
        <v>0</v>
      </c>
      <c r="G9844" s="8">
        <v>7</v>
      </c>
      <c r="H9844" s="8" t="s">
        <v>20008</v>
      </c>
      <c r="I9844" s="8">
        <v>534.5625</v>
      </c>
      <c r="J9844" s="3">
        <f t="shared" si="153"/>
        <v>43748.199816122687</v>
      </c>
    </row>
    <row r="9845" spans="1:10" x14ac:dyDescent="0.25">
      <c r="A9845" s="5" t="s">
        <v>20009</v>
      </c>
      <c r="B9845" s="6">
        <v>400</v>
      </c>
      <c r="C9845" s="6">
        <v>20.478950000000001</v>
      </c>
      <c r="D9845" s="6">
        <v>80</v>
      </c>
      <c r="E9845" s="6">
        <v>0</v>
      </c>
      <c r="F9845" s="6">
        <v>0</v>
      </c>
      <c r="G9845" s="6">
        <v>17</v>
      </c>
      <c r="H9845" s="6" t="s">
        <v>20010</v>
      </c>
      <c r="I9845" s="6">
        <v>528.1875</v>
      </c>
      <c r="J9845" s="2">
        <f t="shared" si="153"/>
        <v>43748.199886550923</v>
      </c>
    </row>
    <row r="9846" spans="1:10" x14ac:dyDescent="0.25">
      <c r="A9846" s="7" t="s">
        <v>20011</v>
      </c>
      <c r="B9846" s="8">
        <v>400</v>
      </c>
      <c r="C9846" s="8">
        <v>20.478950000000001</v>
      </c>
      <c r="D9846" s="8">
        <v>79</v>
      </c>
      <c r="E9846" s="8">
        <v>0</v>
      </c>
      <c r="F9846" s="8">
        <v>0</v>
      </c>
      <c r="G9846" s="8">
        <v>8</v>
      </c>
      <c r="H9846" s="8" t="s">
        <v>20012</v>
      </c>
      <c r="I9846" s="8">
        <v>528.375</v>
      </c>
      <c r="J9846" s="3">
        <f t="shared" si="153"/>
        <v>43748.199958703706</v>
      </c>
    </row>
    <row r="9847" spans="1:10" x14ac:dyDescent="0.25">
      <c r="A9847" s="5" t="s">
        <v>20013</v>
      </c>
      <c r="B9847" s="6">
        <v>400</v>
      </c>
      <c r="C9847" s="6">
        <v>20.478950000000001</v>
      </c>
      <c r="D9847" s="6">
        <v>81</v>
      </c>
      <c r="E9847" s="6">
        <v>0</v>
      </c>
      <c r="F9847" s="6">
        <v>0</v>
      </c>
      <c r="G9847" s="6">
        <v>3</v>
      </c>
      <c r="H9847" s="6" t="s">
        <v>20014</v>
      </c>
      <c r="I9847" s="6">
        <v>528.1875</v>
      </c>
      <c r="J9847" s="2">
        <f t="shared" si="153"/>
        <v>43748.200042094904</v>
      </c>
    </row>
    <row r="9848" spans="1:10" x14ac:dyDescent="0.25">
      <c r="A9848" s="7" t="s">
        <v>20015</v>
      </c>
      <c r="B9848" s="8">
        <v>396.875</v>
      </c>
      <c r="C9848" s="8">
        <v>20.478950000000001</v>
      </c>
      <c r="D9848" s="8">
        <v>81</v>
      </c>
      <c r="E9848" s="8">
        <v>0</v>
      </c>
      <c r="F9848" s="8">
        <v>0</v>
      </c>
      <c r="G9848" s="8">
        <v>5</v>
      </c>
      <c r="H9848" s="8" t="s">
        <v>20016</v>
      </c>
      <c r="I9848" s="8">
        <v>527.4375</v>
      </c>
      <c r="J9848" s="3">
        <f t="shared" si="153"/>
        <v>43748.200113425926</v>
      </c>
    </row>
    <row r="9849" spans="1:10" x14ac:dyDescent="0.25">
      <c r="A9849" s="5" t="s">
        <v>20017</v>
      </c>
      <c r="B9849" s="6">
        <v>396.875</v>
      </c>
      <c r="C9849" s="6">
        <v>20.426300000000001</v>
      </c>
      <c r="D9849" s="6">
        <v>81</v>
      </c>
      <c r="E9849" s="6">
        <v>0</v>
      </c>
      <c r="F9849" s="6">
        <v>0</v>
      </c>
      <c r="G9849" s="6">
        <v>8</v>
      </c>
      <c r="H9849" s="6" t="s">
        <v>20018</v>
      </c>
      <c r="I9849" s="6">
        <v>527.4375</v>
      </c>
      <c r="J9849" s="2">
        <f t="shared" si="153"/>
        <v>43748.200184641202</v>
      </c>
    </row>
    <row r="9850" spans="1:10" x14ac:dyDescent="0.25">
      <c r="A9850" s="7" t="s">
        <v>20019</v>
      </c>
      <c r="B9850" s="8">
        <v>393.75</v>
      </c>
      <c r="C9850" s="8">
        <v>20.478950000000001</v>
      </c>
      <c r="D9850" s="8">
        <v>81</v>
      </c>
      <c r="E9850" s="8">
        <v>0</v>
      </c>
      <c r="F9850" s="8">
        <v>0</v>
      </c>
      <c r="G9850" s="8">
        <v>12</v>
      </c>
      <c r="H9850" s="8" t="s">
        <v>20020</v>
      </c>
      <c r="I9850" s="8">
        <v>526.6875</v>
      </c>
      <c r="J9850" s="3">
        <f t="shared" si="153"/>
        <v>43748.200255995369</v>
      </c>
    </row>
    <row r="9851" spans="1:10" x14ac:dyDescent="0.25">
      <c r="A9851" s="5" t="s">
        <v>20021</v>
      </c>
      <c r="B9851" s="6">
        <v>393.75</v>
      </c>
      <c r="C9851" s="6">
        <v>20.478950000000001</v>
      </c>
      <c r="D9851" s="6">
        <v>82</v>
      </c>
      <c r="E9851" s="6">
        <v>0</v>
      </c>
      <c r="F9851" s="6">
        <v>0</v>
      </c>
      <c r="G9851" s="6">
        <v>11</v>
      </c>
      <c r="H9851" s="6" t="s">
        <v>20022</v>
      </c>
      <c r="I9851" s="6">
        <v>526.6875</v>
      </c>
      <c r="J9851" s="2">
        <f t="shared" si="153"/>
        <v>43748.200328206018</v>
      </c>
    </row>
    <row r="9852" spans="1:10" x14ac:dyDescent="0.25">
      <c r="A9852" s="7" t="s">
        <v>20023</v>
      </c>
      <c r="B9852" s="8">
        <v>412.5</v>
      </c>
      <c r="C9852" s="8">
        <v>20.478950000000001</v>
      </c>
      <c r="D9852" s="8">
        <v>82</v>
      </c>
      <c r="E9852" s="8">
        <v>0</v>
      </c>
      <c r="F9852" s="8">
        <v>0</v>
      </c>
      <c r="G9852" s="8">
        <v>5</v>
      </c>
      <c r="H9852" s="8" t="s">
        <v>20024</v>
      </c>
      <c r="I9852" s="8">
        <v>532.3125</v>
      </c>
      <c r="J9852" s="3">
        <f t="shared" si="153"/>
        <v>43748.200399513888</v>
      </c>
    </row>
    <row r="9853" spans="1:10" x14ac:dyDescent="0.25">
      <c r="A9853" s="5" t="s">
        <v>20025</v>
      </c>
      <c r="B9853" s="6">
        <v>396.875</v>
      </c>
      <c r="C9853" s="6">
        <v>20.478950000000001</v>
      </c>
      <c r="D9853" s="6">
        <v>82</v>
      </c>
      <c r="E9853" s="6">
        <v>0</v>
      </c>
      <c r="F9853" s="6">
        <v>0</v>
      </c>
      <c r="G9853" s="6">
        <v>9</v>
      </c>
      <c r="H9853" s="6" t="s">
        <v>20026</v>
      </c>
      <c r="I9853" s="6">
        <v>527.25</v>
      </c>
      <c r="J9853" s="2">
        <f t="shared" si="153"/>
        <v>43748.200482835644</v>
      </c>
    </row>
    <row r="9854" spans="1:10" x14ac:dyDescent="0.25">
      <c r="A9854" s="7" t="s">
        <v>20027</v>
      </c>
      <c r="B9854" s="8">
        <v>396.875</v>
      </c>
      <c r="C9854" s="8">
        <v>20.426300000000001</v>
      </c>
      <c r="D9854" s="8">
        <v>81</v>
      </c>
      <c r="E9854" s="8">
        <v>0</v>
      </c>
      <c r="F9854" s="8">
        <v>0</v>
      </c>
      <c r="G9854" s="8">
        <v>12</v>
      </c>
      <c r="H9854" s="8" t="s">
        <v>20028</v>
      </c>
      <c r="I9854" s="8">
        <v>527.4375</v>
      </c>
      <c r="J9854" s="3">
        <f t="shared" si="153"/>
        <v>43748.200555069438</v>
      </c>
    </row>
    <row r="9855" spans="1:10" x14ac:dyDescent="0.25">
      <c r="A9855" s="5" t="s">
        <v>20029</v>
      </c>
      <c r="B9855" s="6">
        <v>431.25</v>
      </c>
      <c r="C9855" s="6">
        <v>20.478950000000001</v>
      </c>
      <c r="D9855" s="6">
        <v>81</v>
      </c>
      <c r="E9855" s="6">
        <v>0</v>
      </c>
      <c r="F9855" s="6">
        <v>0</v>
      </c>
      <c r="G9855" s="6">
        <v>4</v>
      </c>
      <c r="H9855" s="6" t="s">
        <v>20030</v>
      </c>
      <c r="I9855" s="6">
        <v>538.6875</v>
      </c>
      <c r="J9855" s="2">
        <f t="shared" si="153"/>
        <v>43748.200638287039</v>
      </c>
    </row>
    <row r="9856" spans="1:10" x14ac:dyDescent="0.25">
      <c r="A9856" s="7" t="s">
        <v>20031</v>
      </c>
      <c r="B9856" s="8">
        <v>396.875</v>
      </c>
      <c r="C9856" s="8">
        <v>20.478950000000001</v>
      </c>
      <c r="D9856" s="8">
        <v>81</v>
      </c>
      <c r="E9856" s="8">
        <v>0</v>
      </c>
      <c r="F9856" s="8">
        <v>0</v>
      </c>
      <c r="G9856" s="8">
        <v>15</v>
      </c>
      <c r="H9856" s="8" t="s">
        <v>20032</v>
      </c>
      <c r="I9856" s="8">
        <v>527.4375</v>
      </c>
      <c r="J9856" s="3">
        <f t="shared" si="153"/>
        <v>43748.200709687495</v>
      </c>
    </row>
    <row r="9857" spans="1:10" x14ac:dyDescent="0.25">
      <c r="A9857" s="5" t="s">
        <v>20033</v>
      </c>
      <c r="B9857" s="6">
        <v>396.875</v>
      </c>
      <c r="C9857" s="6">
        <v>20.426300000000001</v>
      </c>
      <c r="D9857" s="6">
        <v>81</v>
      </c>
      <c r="E9857" s="6">
        <v>0</v>
      </c>
      <c r="F9857" s="6">
        <v>0</v>
      </c>
      <c r="G9857" s="6">
        <v>10</v>
      </c>
      <c r="H9857" s="6" t="s">
        <v>20034</v>
      </c>
      <c r="I9857" s="6">
        <v>527.4375</v>
      </c>
      <c r="J9857" s="2">
        <f t="shared" si="153"/>
        <v>43748.200780995372</v>
      </c>
    </row>
    <row r="9858" spans="1:10" x14ac:dyDescent="0.25">
      <c r="A9858" s="7" t="s">
        <v>20035</v>
      </c>
      <c r="B9858" s="8">
        <v>393.75</v>
      </c>
      <c r="C9858" s="8">
        <v>20.478950000000001</v>
      </c>
      <c r="D9858" s="8">
        <v>81</v>
      </c>
      <c r="E9858" s="8">
        <v>0</v>
      </c>
      <c r="F9858" s="8">
        <v>0</v>
      </c>
      <c r="G9858" s="8">
        <v>17</v>
      </c>
      <c r="H9858" s="8" t="s">
        <v>20036</v>
      </c>
      <c r="I9858" s="8">
        <v>526.6875</v>
      </c>
      <c r="J9858" s="3">
        <f t="shared" ref="J9858:J9921" si="154">(H9858/86400000)+25569+(7/24)</f>
        <v>43748.200853043978</v>
      </c>
    </row>
    <row r="9859" spans="1:10" x14ac:dyDescent="0.25">
      <c r="A9859" s="5" t="s">
        <v>20037</v>
      </c>
      <c r="B9859" s="6">
        <v>412.5</v>
      </c>
      <c r="C9859" s="6">
        <v>20.478950000000001</v>
      </c>
      <c r="D9859" s="6">
        <v>81</v>
      </c>
      <c r="E9859" s="6">
        <v>0</v>
      </c>
      <c r="F9859" s="6">
        <v>0</v>
      </c>
      <c r="G9859" s="6">
        <v>8</v>
      </c>
      <c r="H9859" s="6" t="s">
        <v>20038</v>
      </c>
      <c r="I9859" s="6">
        <v>532.125</v>
      </c>
      <c r="J9859" s="2">
        <f t="shared" si="154"/>
        <v>43748.200924456018</v>
      </c>
    </row>
    <row r="9860" spans="1:10" x14ac:dyDescent="0.25">
      <c r="A9860" s="7" t="s">
        <v>20039</v>
      </c>
      <c r="B9860" s="8">
        <v>396.875</v>
      </c>
      <c r="C9860" s="8">
        <v>20.478950000000001</v>
      </c>
      <c r="D9860" s="8">
        <v>81</v>
      </c>
      <c r="E9860" s="8">
        <v>0</v>
      </c>
      <c r="F9860" s="8">
        <v>0</v>
      </c>
      <c r="G9860" s="8">
        <v>3</v>
      </c>
      <c r="H9860" s="8" t="s">
        <v>20040</v>
      </c>
      <c r="I9860" s="8">
        <v>527.4375</v>
      </c>
      <c r="J9860" s="3">
        <f t="shared" si="154"/>
        <v>43748.200995810184</v>
      </c>
    </row>
    <row r="9861" spans="1:10" x14ac:dyDescent="0.25">
      <c r="A9861" s="5" t="s">
        <v>20041</v>
      </c>
      <c r="B9861" s="6">
        <v>400</v>
      </c>
      <c r="C9861" s="6">
        <v>20.478950000000001</v>
      </c>
      <c r="D9861" s="6">
        <v>81</v>
      </c>
      <c r="E9861" s="6">
        <v>0</v>
      </c>
      <c r="F9861" s="6">
        <v>0</v>
      </c>
      <c r="G9861" s="6">
        <v>8</v>
      </c>
      <c r="H9861" s="6" t="s">
        <v>20042</v>
      </c>
      <c r="I9861" s="6">
        <v>528.375</v>
      </c>
      <c r="J9861" s="2">
        <f t="shared" si="154"/>
        <v>43748.201067094902</v>
      </c>
    </row>
    <row r="9862" spans="1:10" x14ac:dyDescent="0.25">
      <c r="A9862" s="7" t="s">
        <v>20043</v>
      </c>
      <c r="B9862" s="8">
        <v>400</v>
      </c>
      <c r="C9862" s="8">
        <v>20.478950000000001</v>
      </c>
      <c r="D9862" s="8">
        <v>81</v>
      </c>
      <c r="E9862" s="8">
        <v>0</v>
      </c>
      <c r="F9862" s="8">
        <v>0</v>
      </c>
      <c r="G9862" s="8">
        <v>6</v>
      </c>
      <c r="H9862" s="8" t="s">
        <v>20044</v>
      </c>
      <c r="I9862" s="8">
        <v>528.1875</v>
      </c>
      <c r="J9862" s="3">
        <f t="shared" si="154"/>
        <v>43748.201139398145</v>
      </c>
    </row>
    <row r="9863" spans="1:10" x14ac:dyDescent="0.25">
      <c r="A9863" s="5" t="s">
        <v>20045</v>
      </c>
      <c r="B9863" s="6">
        <v>425</v>
      </c>
      <c r="C9863" s="6">
        <v>20.478950000000001</v>
      </c>
      <c r="D9863" s="6">
        <v>81</v>
      </c>
      <c r="E9863" s="6">
        <v>0</v>
      </c>
      <c r="F9863" s="6">
        <v>0</v>
      </c>
      <c r="G9863" s="6">
        <v>9</v>
      </c>
      <c r="H9863" s="6" t="s">
        <v>20046</v>
      </c>
      <c r="I9863" s="6">
        <v>536.0625</v>
      </c>
      <c r="J9863" s="2">
        <f t="shared" si="154"/>
        <v>43748.201210555555</v>
      </c>
    </row>
    <row r="9864" spans="1:10" x14ac:dyDescent="0.25">
      <c r="A9864" s="7" t="s">
        <v>20047</v>
      </c>
      <c r="B9864" s="8">
        <v>400</v>
      </c>
      <c r="C9864" s="8">
        <v>20.478950000000001</v>
      </c>
      <c r="D9864" s="8">
        <v>83</v>
      </c>
      <c r="E9864" s="8">
        <v>0</v>
      </c>
      <c r="F9864" s="8">
        <v>0</v>
      </c>
      <c r="G9864" s="8">
        <v>6</v>
      </c>
      <c r="H9864" s="8" t="s">
        <v>20048</v>
      </c>
      <c r="I9864" s="8">
        <v>528.375</v>
      </c>
      <c r="J9864" s="3">
        <f t="shared" si="154"/>
        <v>43748.201281921291</v>
      </c>
    </row>
    <row r="9865" spans="1:10" x14ac:dyDescent="0.25">
      <c r="A9865" s="5" t="s">
        <v>20049</v>
      </c>
      <c r="B9865" s="6">
        <v>400</v>
      </c>
      <c r="C9865" s="6">
        <v>20.478950000000001</v>
      </c>
      <c r="D9865" s="6">
        <v>80</v>
      </c>
      <c r="E9865" s="6">
        <v>0</v>
      </c>
      <c r="F9865" s="6">
        <v>0</v>
      </c>
      <c r="G9865" s="6">
        <v>1</v>
      </c>
      <c r="H9865" s="6" t="s">
        <v>20050</v>
      </c>
      <c r="I9865" s="6">
        <v>528.1875</v>
      </c>
      <c r="J9865" s="2">
        <f t="shared" si="154"/>
        <v>43748.201377337966</v>
      </c>
    </row>
    <row r="9866" spans="1:10" x14ac:dyDescent="0.25">
      <c r="A9866" s="7" t="s">
        <v>20051</v>
      </c>
      <c r="B9866" s="8">
        <v>400</v>
      </c>
      <c r="C9866" s="8">
        <v>20.478950000000001</v>
      </c>
      <c r="D9866" s="8">
        <v>80</v>
      </c>
      <c r="E9866" s="8">
        <v>0</v>
      </c>
      <c r="F9866" s="8">
        <v>0</v>
      </c>
      <c r="G9866" s="8">
        <v>5</v>
      </c>
      <c r="H9866" s="8" t="s">
        <v>20052</v>
      </c>
      <c r="I9866" s="8">
        <v>528.375</v>
      </c>
      <c r="J9866" s="3">
        <f t="shared" si="154"/>
        <v>43748.201448645828</v>
      </c>
    </row>
    <row r="9867" spans="1:10" x14ac:dyDescent="0.25">
      <c r="A9867" s="5" t="s">
        <v>20053</v>
      </c>
      <c r="B9867" s="6">
        <v>396.875</v>
      </c>
      <c r="C9867" s="6">
        <v>20.478950000000001</v>
      </c>
      <c r="D9867" s="6">
        <v>80</v>
      </c>
      <c r="E9867" s="6">
        <v>0</v>
      </c>
      <c r="F9867" s="6">
        <v>0</v>
      </c>
      <c r="G9867" s="6">
        <v>11</v>
      </c>
      <c r="H9867" s="6" t="s">
        <v>20054</v>
      </c>
      <c r="I9867" s="6">
        <v>527.4375</v>
      </c>
      <c r="J9867" s="2">
        <f t="shared" si="154"/>
        <v>43748.201520821756</v>
      </c>
    </row>
    <row r="9868" spans="1:10" x14ac:dyDescent="0.25">
      <c r="A9868" s="7" t="s">
        <v>20055</v>
      </c>
      <c r="B9868" s="8">
        <v>396.875</v>
      </c>
      <c r="C9868" s="8">
        <v>20.478950000000001</v>
      </c>
      <c r="D9868" s="8">
        <v>81</v>
      </c>
      <c r="E9868" s="8">
        <v>0</v>
      </c>
      <c r="F9868" s="8">
        <v>0</v>
      </c>
      <c r="G9868" s="8">
        <v>9</v>
      </c>
      <c r="H9868" s="8" t="s">
        <v>20056</v>
      </c>
      <c r="I9868" s="8">
        <v>527.4375</v>
      </c>
      <c r="J9868" s="3">
        <f t="shared" si="154"/>
        <v>43748.201592048608</v>
      </c>
    </row>
    <row r="9869" spans="1:10" x14ac:dyDescent="0.25">
      <c r="A9869" s="5" t="s">
        <v>20057</v>
      </c>
      <c r="B9869" s="6">
        <v>396.875</v>
      </c>
      <c r="C9869" s="6">
        <v>20.426300000000001</v>
      </c>
      <c r="D9869" s="6">
        <v>84</v>
      </c>
      <c r="E9869" s="6">
        <v>0</v>
      </c>
      <c r="F9869" s="6">
        <v>0</v>
      </c>
      <c r="G9869" s="6">
        <v>0</v>
      </c>
      <c r="H9869" s="6" t="s">
        <v>20058</v>
      </c>
      <c r="I9869" s="6">
        <v>527.4375</v>
      </c>
      <c r="J9869" s="2">
        <f t="shared" si="154"/>
        <v>43748.201663402775</v>
      </c>
    </row>
    <row r="9870" spans="1:10" x14ac:dyDescent="0.25">
      <c r="A9870" s="7" t="s">
        <v>20059</v>
      </c>
      <c r="B9870" s="8">
        <v>418.75</v>
      </c>
      <c r="C9870" s="8">
        <v>20.478950000000001</v>
      </c>
      <c r="D9870" s="8">
        <v>84</v>
      </c>
      <c r="E9870" s="8">
        <v>0</v>
      </c>
      <c r="F9870" s="8">
        <v>0</v>
      </c>
      <c r="G9870" s="8">
        <v>5</v>
      </c>
      <c r="H9870" s="8" t="s">
        <v>20060</v>
      </c>
      <c r="I9870" s="8">
        <v>534</v>
      </c>
      <c r="J9870" s="3">
        <f t="shared" si="154"/>
        <v>43748.201734872688</v>
      </c>
    </row>
    <row r="9871" spans="1:10" x14ac:dyDescent="0.25">
      <c r="A9871" s="5" t="s">
        <v>20061</v>
      </c>
      <c r="B9871" s="6">
        <v>400</v>
      </c>
      <c r="C9871" s="6">
        <v>20.478950000000001</v>
      </c>
      <c r="D9871" s="6">
        <v>84</v>
      </c>
      <c r="E9871" s="6">
        <v>0</v>
      </c>
      <c r="F9871" s="6">
        <v>0</v>
      </c>
      <c r="G9871" s="6">
        <v>0</v>
      </c>
      <c r="H9871" s="6" t="s">
        <v>20062</v>
      </c>
      <c r="I9871" s="6">
        <v>528.1875</v>
      </c>
      <c r="J9871" s="2">
        <f t="shared" si="154"/>
        <v>43748.201806921294</v>
      </c>
    </row>
    <row r="9872" spans="1:10" x14ac:dyDescent="0.25">
      <c r="A9872" s="7" t="s">
        <v>20063</v>
      </c>
      <c r="B9872" s="8">
        <v>400</v>
      </c>
      <c r="C9872" s="8">
        <v>20.478950000000001</v>
      </c>
      <c r="D9872" s="8">
        <v>87</v>
      </c>
      <c r="E9872" s="8">
        <v>0</v>
      </c>
      <c r="F9872" s="8">
        <v>0</v>
      </c>
      <c r="G9872" s="8">
        <v>0</v>
      </c>
      <c r="H9872" s="8" t="s">
        <v>20064</v>
      </c>
      <c r="I9872" s="8">
        <v>528.1875</v>
      </c>
      <c r="J9872" s="3">
        <f t="shared" si="154"/>
        <v>43748.20208116898</v>
      </c>
    </row>
    <row r="9873" spans="1:10" x14ac:dyDescent="0.25">
      <c r="A9873" s="5" t="s">
        <v>20065</v>
      </c>
      <c r="B9873" s="6">
        <v>396.875</v>
      </c>
      <c r="C9873" s="6">
        <v>20.478950000000001</v>
      </c>
      <c r="D9873" s="6">
        <v>86</v>
      </c>
      <c r="E9873" s="6">
        <v>0</v>
      </c>
      <c r="F9873" s="6">
        <v>0</v>
      </c>
      <c r="G9873" s="6">
        <v>0</v>
      </c>
      <c r="H9873" s="6" t="s">
        <v>20066</v>
      </c>
      <c r="I9873" s="6">
        <v>527.4375</v>
      </c>
      <c r="J9873" s="2">
        <f t="shared" si="154"/>
        <v>43748.202163425922</v>
      </c>
    </row>
    <row r="9874" spans="1:10" x14ac:dyDescent="0.25">
      <c r="A9874" s="7" t="s">
        <v>20067</v>
      </c>
      <c r="B9874" s="8">
        <v>396.875</v>
      </c>
      <c r="C9874" s="8">
        <v>20.478950000000001</v>
      </c>
      <c r="D9874" s="8">
        <v>85</v>
      </c>
      <c r="E9874" s="8">
        <v>0</v>
      </c>
      <c r="F9874" s="8">
        <v>0</v>
      </c>
      <c r="G9874" s="8">
        <v>0</v>
      </c>
      <c r="H9874" s="8" t="s">
        <v>20068</v>
      </c>
      <c r="I9874" s="8">
        <v>527.4375</v>
      </c>
      <c r="J9874" s="3">
        <f t="shared" si="154"/>
        <v>43748.202235625002</v>
      </c>
    </row>
    <row r="9875" spans="1:10" x14ac:dyDescent="0.25">
      <c r="A9875" s="5" t="s">
        <v>20069</v>
      </c>
      <c r="B9875" s="6">
        <v>396.875</v>
      </c>
      <c r="C9875" s="6">
        <v>20.426300000000001</v>
      </c>
      <c r="D9875" s="6">
        <v>85</v>
      </c>
      <c r="E9875" s="6">
        <v>0</v>
      </c>
      <c r="F9875" s="6">
        <v>0</v>
      </c>
      <c r="G9875" s="6">
        <v>0</v>
      </c>
      <c r="H9875" s="6" t="s">
        <v>20070</v>
      </c>
      <c r="I9875" s="6">
        <v>527.4375</v>
      </c>
      <c r="J9875" s="2">
        <f t="shared" si="154"/>
        <v>43748.20230611111</v>
      </c>
    </row>
    <row r="9876" spans="1:10" x14ac:dyDescent="0.25">
      <c r="A9876" s="7" t="s">
        <v>20071</v>
      </c>
      <c r="B9876" s="8">
        <v>415.625</v>
      </c>
      <c r="C9876" s="8">
        <v>20.478950000000001</v>
      </c>
      <c r="D9876" s="8">
        <v>86</v>
      </c>
      <c r="E9876" s="8">
        <v>0</v>
      </c>
      <c r="F9876" s="8">
        <v>0</v>
      </c>
      <c r="G9876" s="8">
        <v>10</v>
      </c>
      <c r="H9876" s="8" t="s">
        <v>20072</v>
      </c>
      <c r="I9876" s="8">
        <v>533.0625</v>
      </c>
      <c r="J9876" s="3">
        <f t="shared" si="154"/>
        <v>43748.202378229165</v>
      </c>
    </row>
    <row r="9877" spans="1:10" x14ac:dyDescent="0.25">
      <c r="A9877" s="5" t="s">
        <v>20073</v>
      </c>
      <c r="B9877" s="6">
        <v>400</v>
      </c>
      <c r="C9877" s="6">
        <v>20.426300000000001</v>
      </c>
      <c r="D9877" s="6">
        <v>87</v>
      </c>
      <c r="E9877" s="6">
        <v>0</v>
      </c>
      <c r="F9877" s="6">
        <v>0</v>
      </c>
      <c r="G9877" s="6">
        <v>8</v>
      </c>
      <c r="H9877" s="6" t="s">
        <v>20074</v>
      </c>
      <c r="I9877" s="6">
        <v>528.375</v>
      </c>
      <c r="J9877" s="2">
        <f t="shared" si="154"/>
        <v>43748.202449537035</v>
      </c>
    </row>
    <row r="9878" spans="1:10" x14ac:dyDescent="0.25">
      <c r="A9878" s="7" t="s">
        <v>20075</v>
      </c>
      <c r="B9878" s="8">
        <v>400</v>
      </c>
      <c r="C9878" s="8">
        <v>20.478950000000001</v>
      </c>
      <c r="D9878" s="8">
        <v>85</v>
      </c>
      <c r="E9878" s="8">
        <v>0</v>
      </c>
      <c r="F9878" s="8">
        <v>0</v>
      </c>
      <c r="G9878" s="8">
        <v>14</v>
      </c>
      <c r="H9878" s="8" t="s">
        <v>20076</v>
      </c>
      <c r="I9878" s="8">
        <v>528.1875</v>
      </c>
      <c r="J9878" s="3">
        <f t="shared" si="154"/>
        <v>43748.202521747684</v>
      </c>
    </row>
    <row r="9879" spans="1:10" x14ac:dyDescent="0.25">
      <c r="A9879" s="5" t="s">
        <v>20077</v>
      </c>
      <c r="B9879" s="6">
        <v>400</v>
      </c>
      <c r="C9879" s="6">
        <v>20.426300000000001</v>
      </c>
      <c r="D9879" s="6">
        <v>86</v>
      </c>
      <c r="E9879" s="6">
        <v>0</v>
      </c>
      <c r="F9879" s="6">
        <v>0</v>
      </c>
      <c r="G9879" s="6">
        <v>14</v>
      </c>
      <c r="H9879" s="6" t="s">
        <v>20078</v>
      </c>
      <c r="I9879" s="6">
        <v>528.375</v>
      </c>
      <c r="J9879" s="2">
        <f t="shared" si="154"/>
        <v>43748.202605081016</v>
      </c>
    </row>
    <row r="9880" spans="1:10" x14ac:dyDescent="0.25">
      <c r="A9880" s="7" t="s">
        <v>20079</v>
      </c>
      <c r="B9880" s="8">
        <v>400</v>
      </c>
      <c r="C9880" s="8">
        <v>20.426300000000001</v>
      </c>
      <c r="D9880" s="8">
        <v>86</v>
      </c>
      <c r="E9880" s="8">
        <v>0</v>
      </c>
      <c r="F9880" s="8">
        <v>0</v>
      </c>
      <c r="G9880" s="8">
        <v>12</v>
      </c>
      <c r="H9880" s="8" t="s">
        <v>20080</v>
      </c>
      <c r="I9880" s="8">
        <v>528.1875</v>
      </c>
      <c r="J9880" s="3">
        <f t="shared" si="154"/>
        <v>43748.20267637731</v>
      </c>
    </row>
    <row r="9881" spans="1:10" x14ac:dyDescent="0.25">
      <c r="A9881" s="5" t="s">
        <v>20081</v>
      </c>
      <c r="B9881" s="6">
        <v>396.875</v>
      </c>
      <c r="C9881" s="6">
        <v>20.478950000000001</v>
      </c>
      <c r="D9881" s="6">
        <v>87</v>
      </c>
      <c r="E9881" s="6">
        <v>0</v>
      </c>
      <c r="F9881" s="6">
        <v>0</v>
      </c>
      <c r="G9881" s="6">
        <v>2</v>
      </c>
      <c r="H9881" s="6" t="s">
        <v>20082</v>
      </c>
      <c r="I9881" s="6">
        <v>527.4375</v>
      </c>
      <c r="J9881" s="2">
        <f t="shared" si="154"/>
        <v>43748.202747731477</v>
      </c>
    </row>
    <row r="9882" spans="1:10" x14ac:dyDescent="0.25">
      <c r="A9882" s="7" t="s">
        <v>20083</v>
      </c>
      <c r="B9882" s="8">
        <v>396.875</v>
      </c>
      <c r="C9882" s="8">
        <v>20.478950000000001</v>
      </c>
      <c r="D9882" s="8">
        <v>86</v>
      </c>
      <c r="E9882" s="8">
        <v>0</v>
      </c>
      <c r="F9882" s="8">
        <v>0</v>
      </c>
      <c r="G9882" s="8">
        <v>20</v>
      </c>
      <c r="H9882" s="8" t="s">
        <v>20084</v>
      </c>
      <c r="I9882" s="8">
        <v>527.4375</v>
      </c>
      <c r="J9882" s="3">
        <f t="shared" si="154"/>
        <v>43748.202819895836</v>
      </c>
    </row>
    <row r="9883" spans="1:10" x14ac:dyDescent="0.25">
      <c r="A9883" s="5" t="s">
        <v>20085</v>
      </c>
      <c r="B9883" s="6">
        <v>396.875</v>
      </c>
      <c r="C9883" s="6">
        <v>20.478950000000001</v>
      </c>
      <c r="D9883" s="6">
        <v>87</v>
      </c>
      <c r="E9883" s="6">
        <v>0</v>
      </c>
      <c r="F9883" s="6">
        <v>0</v>
      </c>
      <c r="G9883" s="6">
        <v>2</v>
      </c>
      <c r="H9883" s="6" t="s">
        <v>20086</v>
      </c>
      <c r="I9883" s="6">
        <v>527.4375</v>
      </c>
      <c r="J9883" s="2">
        <f t="shared" si="154"/>
        <v>43748.202891180554</v>
      </c>
    </row>
    <row r="9884" spans="1:10" x14ac:dyDescent="0.25">
      <c r="A9884" s="7" t="s">
        <v>20087</v>
      </c>
      <c r="B9884" s="8">
        <v>396.875</v>
      </c>
      <c r="C9884" s="8">
        <v>20.478950000000001</v>
      </c>
      <c r="D9884" s="8">
        <v>86</v>
      </c>
      <c r="E9884" s="8">
        <v>0</v>
      </c>
      <c r="F9884" s="8">
        <v>0</v>
      </c>
      <c r="G9884" s="8">
        <v>20</v>
      </c>
      <c r="H9884" s="8" t="s">
        <v>20088</v>
      </c>
      <c r="I9884" s="8">
        <v>527.4375</v>
      </c>
      <c r="J9884" s="3">
        <f t="shared" si="154"/>
        <v>43748.202962418982</v>
      </c>
    </row>
    <row r="9885" spans="1:10" x14ac:dyDescent="0.25">
      <c r="A9885" s="5" t="s">
        <v>20089</v>
      </c>
      <c r="B9885" s="6">
        <v>396.875</v>
      </c>
      <c r="C9885" s="6">
        <v>20.478950000000001</v>
      </c>
      <c r="D9885" s="6">
        <v>86</v>
      </c>
      <c r="E9885" s="6">
        <v>0</v>
      </c>
      <c r="F9885" s="6">
        <v>0</v>
      </c>
      <c r="G9885" s="6">
        <v>16</v>
      </c>
      <c r="H9885" s="6" t="s">
        <v>20090</v>
      </c>
      <c r="I9885" s="6">
        <v>527.4375</v>
      </c>
      <c r="J9885" s="2">
        <f t="shared" si="154"/>
        <v>43748.203045821756</v>
      </c>
    </row>
    <row r="9886" spans="1:10" x14ac:dyDescent="0.25">
      <c r="A9886" s="7" t="s">
        <v>20091</v>
      </c>
      <c r="B9886" s="8">
        <v>396.875</v>
      </c>
      <c r="C9886" s="8">
        <v>20.478950000000001</v>
      </c>
      <c r="D9886" s="8">
        <v>85</v>
      </c>
      <c r="E9886" s="8">
        <v>0</v>
      </c>
      <c r="F9886" s="8">
        <v>0</v>
      </c>
      <c r="G9886" s="8">
        <v>4</v>
      </c>
      <c r="H9886" s="8" t="s">
        <v>20092</v>
      </c>
      <c r="I9886" s="8">
        <v>527.4375</v>
      </c>
      <c r="J9886" s="3">
        <f t="shared" si="154"/>
        <v>43748.203118055557</v>
      </c>
    </row>
    <row r="9887" spans="1:10" x14ac:dyDescent="0.25">
      <c r="A9887" s="5" t="s">
        <v>20093</v>
      </c>
      <c r="B9887" s="6">
        <v>415.625</v>
      </c>
      <c r="C9887" s="6">
        <v>20.478950000000001</v>
      </c>
      <c r="D9887" s="6">
        <v>85</v>
      </c>
      <c r="E9887" s="6">
        <v>0</v>
      </c>
      <c r="F9887" s="6">
        <v>0</v>
      </c>
      <c r="G9887" s="6">
        <v>7</v>
      </c>
      <c r="H9887" s="6" t="s">
        <v>20094</v>
      </c>
      <c r="I9887" s="6">
        <v>533.625</v>
      </c>
      <c r="J9887" s="2">
        <f t="shared" si="154"/>
        <v>43748.203189351851</v>
      </c>
    </row>
    <row r="9888" spans="1:10" x14ac:dyDescent="0.25">
      <c r="A9888" s="7" t="s">
        <v>20095</v>
      </c>
      <c r="B9888" s="8">
        <v>396.875</v>
      </c>
      <c r="C9888" s="8">
        <v>20.426300000000001</v>
      </c>
      <c r="D9888" s="8">
        <v>85</v>
      </c>
      <c r="E9888" s="8">
        <v>0</v>
      </c>
      <c r="F9888" s="8">
        <v>0</v>
      </c>
      <c r="G9888" s="8">
        <v>4</v>
      </c>
      <c r="H9888" s="8" t="s">
        <v>20096</v>
      </c>
      <c r="I9888" s="8">
        <v>527.4375</v>
      </c>
      <c r="J9888" s="3">
        <f t="shared" si="154"/>
        <v>43748.203260567127</v>
      </c>
    </row>
    <row r="9889" spans="1:10" x14ac:dyDescent="0.25">
      <c r="A9889" s="5" t="s">
        <v>20097</v>
      </c>
      <c r="B9889" s="6">
        <v>400</v>
      </c>
      <c r="C9889" s="6">
        <v>20.478950000000001</v>
      </c>
      <c r="D9889" s="6">
        <v>85</v>
      </c>
      <c r="E9889" s="6">
        <v>0</v>
      </c>
      <c r="F9889" s="6">
        <v>0</v>
      </c>
      <c r="G9889" s="6">
        <v>2</v>
      </c>
      <c r="H9889" s="6" t="s">
        <v>20098</v>
      </c>
      <c r="I9889" s="6">
        <v>528.1875</v>
      </c>
      <c r="J9889" s="2">
        <f t="shared" si="154"/>
        <v>43748.203331932869</v>
      </c>
    </row>
    <row r="9890" spans="1:10" x14ac:dyDescent="0.25">
      <c r="A9890" s="7" t="s">
        <v>20099</v>
      </c>
      <c r="B9890" s="8">
        <v>400</v>
      </c>
      <c r="C9890" s="8">
        <v>20.478950000000001</v>
      </c>
      <c r="D9890" s="8">
        <v>85</v>
      </c>
      <c r="E9890" s="8">
        <v>0</v>
      </c>
      <c r="F9890" s="8">
        <v>0</v>
      </c>
      <c r="G9890" s="8">
        <v>6</v>
      </c>
      <c r="H9890" s="8" t="s">
        <v>20100</v>
      </c>
      <c r="I9890" s="8">
        <v>528.375</v>
      </c>
      <c r="J9890" s="3">
        <f t="shared" si="154"/>
        <v>43748.203404166663</v>
      </c>
    </row>
    <row r="9891" spans="1:10" x14ac:dyDescent="0.25">
      <c r="A9891" s="5" t="s">
        <v>20101</v>
      </c>
      <c r="B9891" s="6">
        <v>400</v>
      </c>
      <c r="C9891" s="6">
        <v>20.478950000000001</v>
      </c>
      <c r="D9891" s="6">
        <v>85</v>
      </c>
      <c r="E9891" s="6">
        <v>0</v>
      </c>
      <c r="F9891" s="6">
        <v>0</v>
      </c>
      <c r="G9891" s="6">
        <v>3</v>
      </c>
      <c r="H9891" s="6" t="s">
        <v>20102</v>
      </c>
      <c r="I9891" s="6">
        <v>528.9375</v>
      </c>
      <c r="J9891" s="2">
        <f t="shared" si="154"/>
        <v>43748.203475451388</v>
      </c>
    </row>
    <row r="9892" spans="1:10" x14ac:dyDescent="0.25">
      <c r="A9892" s="7" t="s">
        <v>20103</v>
      </c>
      <c r="B9892" s="8">
        <v>403.125</v>
      </c>
      <c r="C9892" s="8">
        <v>20.478950000000001</v>
      </c>
      <c r="D9892" s="8">
        <v>84</v>
      </c>
      <c r="E9892" s="8">
        <v>0</v>
      </c>
      <c r="F9892" s="8">
        <v>0</v>
      </c>
      <c r="G9892" s="8">
        <v>11</v>
      </c>
      <c r="H9892" s="8" t="s">
        <v>20104</v>
      </c>
      <c r="I9892" s="8">
        <v>529.125</v>
      </c>
      <c r="J9892" s="3">
        <f t="shared" si="154"/>
        <v>43748.203546747682</v>
      </c>
    </row>
    <row r="9893" spans="1:10" x14ac:dyDescent="0.25">
      <c r="A9893" s="5" t="s">
        <v>20105</v>
      </c>
      <c r="B9893" s="6">
        <v>400</v>
      </c>
      <c r="C9893" s="6">
        <v>20.426300000000001</v>
      </c>
      <c r="D9893" s="6">
        <v>84</v>
      </c>
      <c r="E9893" s="6">
        <v>0</v>
      </c>
      <c r="F9893" s="6">
        <v>0</v>
      </c>
      <c r="G9893" s="6">
        <v>8</v>
      </c>
      <c r="H9893" s="6" t="s">
        <v>20106</v>
      </c>
      <c r="I9893" s="6">
        <v>528.1875</v>
      </c>
      <c r="J9893" s="2">
        <f t="shared" si="154"/>
        <v>43748.203618113424</v>
      </c>
    </row>
    <row r="9894" spans="1:10" x14ac:dyDescent="0.25">
      <c r="A9894" s="7" t="s">
        <v>20107</v>
      </c>
      <c r="B9894" s="8">
        <v>400</v>
      </c>
      <c r="C9894" s="8">
        <v>20.478950000000001</v>
      </c>
      <c r="D9894" s="8">
        <v>85</v>
      </c>
      <c r="E9894" s="8">
        <v>0</v>
      </c>
      <c r="F9894" s="8">
        <v>0</v>
      </c>
      <c r="G9894" s="8">
        <v>8</v>
      </c>
      <c r="H9894" s="8" t="s">
        <v>20108</v>
      </c>
      <c r="I9894" s="8">
        <v>528.1875</v>
      </c>
      <c r="J9894" s="3">
        <f t="shared" si="154"/>
        <v>43748.203689618058</v>
      </c>
    </row>
    <row r="9895" spans="1:10" x14ac:dyDescent="0.25">
      <c r="A9895" s="5" t="s">
        <v>20109</v>
      </c>
      <c r="B9895" s="6">
        <v>400</v>
      </c>
      <c r="C9895" s="6">
        <v>20.426300000000001</v>
      </c>
      <c r="D9895" s="6">
        <v>84</v>
      </c>
      <c r="E9895" s="6">
        <v>0</v>
      </c>
      <c r="F9895" s="6">
        <v>0</v>
      </c>
      <c r="G9895" s="6">
        <v>2</v>
      </c>
      <c r="H9895" s="6" t="s">
        <v>20110</v>
      </c>
      <c r="I9895" s="6">
        <v>528.1875</v>
      </c>
      <c r="J9895" s="2">
        <f t="shared" si="154"/>
        <v>43748.203761516204</v>
      </c>
    </row>
    <row r="9896" spans="1:10" x14ac:dyDescent="0.25">
      <c r="A9896" s="7" t="s">
        <v>20111</v>
      </c>
      <c r="B9896" s="8">
        <v>412.5</v>
      </c>
      <c r="C9896" s="8">
        <v>20.426300000000001</v>
      </c>
      <c r="D9896" s="8">
        <v>84</v>
      </c>
      <c r="E9896" s="8">
        <v>0</v>
      </c>
      <c r="F9896" s="8">
        <v>0</v>
      </c>
      <c r="G9896" s="8">
        <v>7</v>
      </c>
      <c r="H9896" s="8" t="s">
        <v>20112</v>
      </c>
      <c r="I9896" s="8">
        <v>532.875</v>
      </c>
      <c r="J9896" s="3">
        <f t="shared" si="154"/>
        <v>43748.203832858795</v>
      </c>
    </row>
    <row r="9897" spans="1:10" x14ac:dyDescent="0.25">
      <c r="A9897" s="5" t="s">
        <v>20113</v>
      </c>
      <c r="B9897" s="6">
        <v>396.875</v>
      </c>
      <c r="C9897" s="6">
        <v>20.478950000000001</v>
      </c>
      <c r="D9897" s="6">
        <v>84</v>
      </c>
      <c r="E9897" s="6">
        <v>0</v>
      </c>
      <c r="F9897" s="6">
        <v>0</v>
      </c>
      <c r="G9897" s="6">
        <v>4</v>
      </c>
      <c r="H9897" s="6" t="s">
        <v>20114</v>
      </c>
      <c r="I9897" s="6">
        <v>527.4375</v>
      </c>
      <c r="J9897" s="2">
        <f t="shared" si="154"/>
        <v>43748.203904259259</v>
      </c>
    </row>
    <row r="9898" spans="1:10" x14ac:dyDescent="0.25">
      <c r="A9898" s="7" t="s">
        <v>20115</v>
      </c>
      <c r="B9898" s="8">
        <v>396.875</v>
      </c>
      <c r="C9898" s="8">
        <v>20.478950000000001</v>
      </c>
      <c r="D9898" s="8">
        <v>85</v>
      </c>
      <c r="E9898" s="8">
        <v>0</v>
      </c>
      <c r="F9898" s="8">
        <v>0</v>
      </c>
      <c r="G9898" s="8">
        <v>13</v>
      </c>
      <c r="H9898" s="8" t="s">
        <v>20116</v>
      </c>
      <c r="I9898" s="8">
        <v>527.4375</v>
      </c>
      <c r="J9898" s="3">
        <f t="shared" si="154"/>
        <v>43748.203976365738</v>
      </c>
    </row>
    <row r="9899" spans="1:10" x14ac:dyDescent="0.25">
      <c r="A9899" s="5" t="s">
        <v>20117</v>
      </c>
      <c r="B9899" s="6">
        <v>396.875</v>
      </c>
      <c r="C9899" s="6">
        <v>20.426300000000001</v>
      </c>
      <c r="D9899" s="6">
        <v>85</v>
      </c>
      <c r="E9899" s="6">
        <v>0</v>
      </c>
      <c r="F9899" s="6">
        <v>0</v>
      </c>
      <c r="G9899" s="6">
        <v>11</v>
      </c>
      <c r="H9899" s="6" t="s">
        <v>20118</v>
      </c>
      <c r="I9899" s="6">
        <v>527.4375</v>
      </c>
      <c r="J9899" s="2">
        <f t="shared" si="154"/>
        <v>43748.204047673607</v>
      </c>
    </row>
    <row r="9900" spans="1:10" x14ac:dyDescent="0.25">
      <c r="A9900" s="7" t="s">
        <v>20119</v>
      </c>
      <c r="B9900" s="8">
        <v>425</v>
      </c>
      <c r="C9900" s="8">
        <v>20.478950000000001</v>
      </c>
      <c r="D9900" s="8">
        <v>86</v>
      </c>
      <c r="E9900" s="8">
        <v>0</v>
      </c>
      <c r="F9900" s="8">
        <v>0</v>
      </c>
      <c r="G9900" s="8">
        <v>3</v>
      </c>
      <c r="H9900" s="8" t="s">
        <v>20120</v>
      </c>
      <c r="I9900" s="8">
        <v>536.0625</v>
      </c>
      <c r="J9900" s="3">
        <f t="shared" si="154"/>
        <v>43748.204118958332</v>
      </c>
    </row>
    <row r="9901" spans="1:10" x14ac:dyDescent="0.25">
      <c r="A9901" s="5" t="s">
        <v>20121</v>
      </c>
      <c r="B9901" s="6">
        <v>393.75</v>
      </c>
      <c r="C9901" s="6">
        <v>20.478950000000001</v>
      </c>
      <c r="D9901" s="6">
        <v>87</v>
      </c>
      <c r="E9901" s="6">
        <v>0</v>
      </c>
      <c r="F9901" s="6">
        <v>0</v>
      </c>
      <c r="G9901" s="6">
        <v>6</v>
      </c>
      <c r="H9901" s="6" t="s">
        <v>20122</v>
      </c>
      <c r="I9901" s="6">
        <v>526.6875</v>
      </c>
      <c r="J9901" s="2">
        <f t="shared" si="154"/>
        <v>43748.204191192126</v>
      </c>
    </row>
    <row r="9902" spans="1:10" x14ac:dyDescent="0.25">
      <c r="A9902" s="7" t="s">
        <v>20123</v>
      </c>
      <c r="B9902" s="8">
        <v>393.75</v>
      </c>
      <c r="C9902" s="8">
        <v>20.426300000000001</v>
      </c>
      <c r="D9902" s="8">
        <v>87</v>
      </c>
      <c r="E9902" s="8">
        <v>0</v>
      </c>
      <c r="F9902" s="8">
        <v>0</v>
      </c>
      <c r="G9902" s="8">
        <v>10</v>
      </c>
      <c r="H9902" s="8" t="s">
        <v>20124</v>
      </c>
      <c r="I9902" s="8">
        <v>526.6875</v>
      </c>
      <c r="J9902" s="3">
        <f t="shared" si="154"/>
        <v>43748.20426259259</v>
      </c>
    </row>
    <row r="9903" spans="1:10" x14ac:dyDescent="0.25">
      <c r="A9903" s="5" t="s">
        <v>20125</v>
      </c>
      <c r="B9903" s="6">
        <v>393.75</v>
      </c>
      <c r="C9903" s="6">
        <v>20.426300000000001</v>
      </c>
      <c r="D9903" s="6">
        <v>88</v>
      </c>
      <c r="E9903" s="6">
        <v>0</v>
      </c>
      <c r="F9903" s="6">
        <v>0</v>
      </c>
      <c r="G9903" s="6">
        <v>4</v>
      </c>
      <c r="H9903" s="6" t="s">
        <v>20126</v>
      </c>
      <c r="I9903" s="6">
        <v>526.5</v>
      </c>
      <c r="J9903" s="2">
        <f t="shared" si="154"/>
        <v>43748.20433379629</v>
      </c>
    </row>
    <row r="9904" spans="1:10" x14ac:dyDescent="0.25">
      <c r="A9904" s="7" t="s">
        <v>20127</v>
      </c>
      <c r="B9904" s="8">
        <v>393.75</v>
      </c>
      <c r="C9904" s="8">
        <v>20.478950000000001</v>
      </c>
      <c r="D9904" s="8">
        <v>86</v>
      </c>
      <c r="E9904" s="8">
        <v>0</v>
      </c>
      <c r="F9904" s="8">
        <v>0</v>
      </c>
      <c r="G9904" s="8">
        <v>1</v>
      </c>
      <c r="H9904" s="8" t="s">
        <v>20128</v>
      </c>
      <c r="I9904" s="8">
        <v>526.6875</v>
      </c>
      <c r="J9904" s="3">
        <f t="shared" si="154"/>
        <v>43748.204405069446</v>
      </c>
    </row>
    <row r="9905" spans="1:10" x14ac:dyDescent="0.25">
      <c r="A9905" s="5" t="s">
        <v>20129</v>
      </c>
      <c r="B9905" s="6">
        <v>396.875</v>
      </c>
      <c r="C9905" s="6">
        <v>20.478950000000001</v>
      </c>
      <c r="D9905" s="6">
        <v>86</v>
      </c>
      <c r="E9905" s="6">
        <v>0</v>
      </c>
      <c r="F9905" s="6">
        <v>0</v>
      </c>
      <c r="G9905" s="6">
        <v>14</v>
      </c>
      <c r="H9905" s="6" t="s">
        <v>20130</v>
      </c>
      <c r="I9905" s="6">
        <v>527.4375</v>
      </c>
      <c r="J9905" s="2">
        <f t="shared" si="154"/>
        <v>43748.204477291663</v>
      </c>
    </row>
    <row r="9906" spans="1:10" x14ac:dyDescent="0.25">
      <c r="A9906" s="7" t="s">
        <v>20131</v>
      </c>
      <c r="B9906" s="8">
        <v>396.875</v>
      </c>
      <c r="C9906" s="8">
        <v>20.426300000000001</v>
      </c>
      <c r="D9906" s="8">
        <v>87</v>
      </c>
      <c r="E9906" s="8">
        <v>0</v>
      </c>
      <c r="F9906" s="8">
        <v>0</v>
      </c>
      <c r="G9906" s="8">
        <v>3</v>
      </c>
      <c r="H9906" s="8" t="s">
        <v>20132</v>
      </c>
      <c r="I9906" s="8">
        <v>527.4375</v>
      </c>
      <c r="J9906" s="3">
        <f t="shared" si="154"/>
        <v>43748.204572673603</v>
      </c>
    </row>
    <row r="9907" spans="1:10" x14ac:dyDescent="0.25">
      <c r="A9907" s="5" t="s">
        <v>20133</v>
      </c>
      <c r="B9907" s="6">
        <v>415.625</v>
      </c>
      <c r="C9907" s="6">
        <v>20.478950000000001</v>
      </c>
      <c r="D9907" s="6">
        <v>86</v>
      </c>
      <c r="E9907" s="6">
        <v>0</v>
      </c>
      <c r="F9907" s="6">
        <v>0</v>
      </c>
      <c r="G9907" s="6">
        <v>11</v>
      </c>
      <c r="H9907" s="6" t="s">
        <v>20134</v>
      </c>
      <c r="I9907" s="6">
        <v>533.0625</v>
      </c>
      <c r="J9907" s="2">
        <f t="shared" si="154"/>
        <v>43748.204655428235</v>
      </c>
    </row>
    <row r="9908" spans="1:10" x14ac:dyDescent="0.25">
      <c r="A9908" s="7" t="s">
        <v>20135</v>
      </c>
      <c r="B9908" s="8">
        <v>393.75</v>
      </c>
      <c r="C9908" s="8">
        <v>20.426300000000001</v>
      </c>
      <c r="D9908" s="8">
        <v>85</v>
      </c>
      <c r="E9908" s="8">
        <v>0</v>
      </c>
      <c r="F9908" s="8">
        <v>0</v>
      </c>
      <c r="G9908" s="8">
        <v>11</v>
      </c>
      <c r="H9908" s="8" t="s">
        <v>20136</v>
      </c>
      <c r="I9908" s="8">
        <v>526.5</v>
      </c>
      <c r="J9908" s="3">
        <f t="shared" si="154"/>
        <v>43748.20472725694</v>
      </c>
    </row>
    <row r="9909" spans="1:10" x14ac:dyDescent="0.25">
      <c r="A9909" s="5" t="s">
        <v>20137</v>
      </c>
      <c r="B9909" s="6">
        <v>393.75</v>
      </c>
      <c r="C9909" s="6">
        <v>20.478950000000001</v>
      </c>
      <c r="D9909" s="6">
        <v>84</v>
      </c>
      <c r="E9909" s="6">
        <v>0</v>
      </c>
      <c r="F9909" s="6">
        <v>0</v>
      </c>
      <c r="G9909" s="6">
        <v>9</v>
      </c>
      <c r="H9909" s="6" t="s">
        <v>20138</v>
      </c>
      <c r="I9909" s="6">
        <v>526.6875</v>
      </c>
      <c r="J9909" s="2">
        <f t="shared" si="154"/>
        <v>43748.20479953703</v>
      </c>
    </row>
    <row r="9910" spans="1:10" x14ac:dyDescent="0.25">
      <c r="A9910" s="7" t="s">
        <v>20139</v>
      </c>
      <c r="B9910" s="8">
        <v>393.75</v>
      </c>
      <c r="C9910" s="8">
        <v>20.426300000000001</v>
      </c>
      <c r="D9910" s="8">
        <v>84</v>
      </c>
      <c r="E9910" s="8">
        <v>0</v>
      </c>
      <c r="F9910" s="8">
        <v>0</v>
      </c>
      <c r="G9910" s="8">
        <v>6</v>
      </c>
      <c r="H9910" s="8" t="s">
        <v>20140</v>
      </c>
      <c r="I9910" s="8">
        <v>526.6875</v>
      </c>
      <c r="J9910" s="3">
        <f t="shared" si="154"/>
        <v>43748.204869884255</v>
      </c>
    </row>
    <row r="9911" spans="1:10" x14ac:dyDescent="0.25">
      <c r="A9911" s="5" t="s">
        <v>20141</v>
      </c>
      <c r="B9911" s="6">
        <v>393.75</v>
      </c>
      <c r="C9911" s="6">
        <v>20.478950000000001</v>
      </c>
      <c r="D9911" s="6">
        <v>83</v>
      </c>
      <c r="E9911" s="6">
        <v>0</v>
      </c>
      <c r="F9911" s="6">
        <v>0</v>
      </c>
      <c r="G9911" s="6">
        <v>13</v>
      </c>
      <c r="H9911" s="6" t="s">
        <v>20142</v>
      </c>
      <c r="I9911" s="6">
        <v>526.6875</v>
      </c>
      <c r="J9911" s="2">
        <f t="shared" si="154"/>
        <v>43748.204942118049</v>
      </c>
    </row>
    <row r="9912" spans="1:10" x14ac:dyDescent="0.25">
      <c r="A9912" s="7" t="s">
        <v>20143</v>
      </c>
      <c r="B9912" s="8">
        <v>396.875</v>
      </c>
      <c r="C9912" s="8">
        <v>20.478950000000001</v>
      </c>
      <c r="D9912" s="8">
        <v>87</v>
      </c>
      <c r="E9912" s="8">
        <v>0</v>
      </c>
      <c r="F9912" s="8">
        <v>0</v>
      </c>
      <c r="G9912" s="8">
        <v>6</v>
      </c>
      <c r="H9912" s="8" t="s">
        <v>20144</v>
      </c>
      <c r="I9912" s="8">
        <v>527.4375</v>
      </c>
      <c r="J9912" s="3">
        <f t="shared" si="154"/>
        <v>43748.205024039351</v>
      </c>
    </row>
    <row r="9913" spans="1:10" x14ac:dyDescent="0.25">
      <c r="A9913" s="5" t="s">
        <v>20145</v>
      </c>
      <c r="B9913" s="6">
        <v>396.875</v>
      </c>
      <c r="C9913" s="6">
        <v>20.478950000000001</v>
      </c>
      <c r="D9913" s="6">
        <v>86</v>
      </c>
      <c r="E9913" s="6">
        <v>0</v>
      </c>
      <c r="F9913" s="6">
        <v>0</v>
      </c>
      <c r="G9913" s="6">
        <v>4</v>
      </c>
      <c r="H9913" s="6" t="s">
        <v>20146</v>
      </c>
      <c r="I9913" s="6">
        <v>527.4375</v>
      </c>
      <c r="J9913" s="2">
        <f t="shared" si="154"/>
        <v>43748.205096759259</v>
      </c>
    </row>
    <row r="9914" spans="1:10" x14ac:dyDescent="0.25">
      <c r="A9914" s="7" t="s">
        <v>20147</v>
      </c>
      <c r="B9914" s="8">
        <v>415.625</v>
      </c>
      <c r="C9914" s="8">
        <v>20.478950000000001</v>
      </c>
      <c r="D9914" s="8">
        <v>85</v>
      </c>
      <c r="E9914" s="8">
        <v>0</v>
      </c>
      <c r="F9914" s="8">
        <v>0</v>
      </c>
      <c r="G9914" s="8">
        <v>3</v>
      </c>
      <c r="H9914" s="8" t="s">
        <v>20148</v>
      </c>
      <c r="I9914" s="8">
        <v>533.25</v>
      </c>
      <c r="J9914" s="3">
        <f t="shared" si="154"/>
        <v>43748.205168969907</v>
      </c>
    </row>
    <row r="9915" spans="1:10" x14ac:dyDescent="0.25">
      <c r="A9915" s="5" t="s">
        <v>20149</v>
      </c>
      <c r="B9915" s="6">
        <v>396.875</v>
      </c>
      <c r="C9915" s="6">
        <v>20.478950000000001</v>
      </c>
      <c r="D9915" s="6">
        <v>85</v>
      </c>
      <c r="E9915" s="6">
        <v>0</v>
      </c>
      <c r="F9915" s="6">
        <v>0</v>
      </c>
      <c r="G9915" s="6">
        <v>16</v>
      </c>
      <c r="H9915" s="6" t="s">
        <v>20150</v>
      </c>
      <c r="I9915" s="6">
        <v>527.625</v>
      </c>
      <c r="J9915" s="2">
        <f t="shared" si="154"/>
        <v>43748.205240254632</v>
      </c>
    </row>
    <row r="9916" spans="1:10" x14ac:dyDescent="0.25">
      <c r="A9916" s="7" t="s">
        <v>20151</v>
      </c>
      <c r="B9916" s="8">
        <v>396.875</v>
      </c>
      <c r="C9916" s="8">
        <v>20.478950000000001</v>
      </c>
      <c r="D9916" s="8">
        <v>86</v>
      </c>
      <c r="E9916" s="8">
        <v>0</v>
      </c>
      <c r="F9916" s="8">
        <v>0</v>
      </c>
      <c r="G9916" s="8">
        <v>6</v>
      </c>
      <c r="H9916" s="8" t="s">
        <v>20152</v>
      </c>
      <c r="I9916" s="8">
        <v>527.4375</v>
      </c>
      <c r="J9916" s="3">
        <f t="shared" si="154"/>
        <v>43748.205311562495</v>
      </c>
    </row>
    <row r="9917" spans="1:10" x14ac:dyDescent="0.25">
      <c r="A9917" s="5" t="s">
        <v>20153</v>
      </c>
      <c r="B9917" s="6">
        <v>396.875</v>
      </c>
      <c r="C9917" s="6">
        <v>20.426300000000001</v>
      </c>
      <c r="D9917" s="6">
        <v>86</v>
      </c>
      <c r="E9917" s="6">
        <v>0</v>
      </c>
      <c r="F9917" s="6">
        <v>0</v>
      </c>
      <c r="G9917" s="6">
        <v>4</v>
      </c>
      <c r="H9917" s="6" t="s">
        <v>20154</v>
      </c>
      <c r="I9917" s="6">
        <v>527.4375</v>
      </c>
      <c r="J9917" s="2">
        <f t="shared" si="154"/>
        <v>43748.205382916662</v>
      </c>
    </row>
    <row r="9918" spans="1:10" x14ac:dyDescent="0.25">
      <c r="A9918" s="7" t="s">
        <v>20155</v>
      </c>
      <c r="B9918" s="8">
        <v>396.875</v>
      </c>
      <c r="C9918" s="8">
        <v>20.478950000000001</v>
      </c>
      <c r="D9918" s="8">
        <v>86</v>
      </c>
      <c r="E9918" s="8">
        <v>0</v>
      </c>
      <c r="F9918" s="8">
        <v>0</v>
      </c>
      <c r="G9918" s="8">
        <v>7</v>
      </c>
      <c r="H9918" s="8" t="s">
        <v>20156</v>
      </c>
      <c r="I9918" s="8">
        <v>527.4375</v>
      </c>
      <c r="J9918" s="3">
        <f t="shared" si="154"/>
        <v>43748.205456111107</v>
      </c>
    </row>
    <row r="9919" spans="1:10" x14ac:dyDescent="0.25">
      <c r="A9919" s="5" t="s">
        <v>20157</v>
      </c>
      <c r="B9919" s="6">
        <v>396.875</v>
      </c>
      <c r="C9919" s="6">
        <v>20.478950000000001</v>
      </c>
      <c r="D9919" s="6">
        <v>85</v>
      </c>
      <c r="E9919" s="6">
        <v>0</v>
      </c>
      <c r="F9919" s="6">
        <v>0</v>
      </c>
      <c r="G9919" s="6">
        <v>11</v>
      </c>
      <c r="H9919" s="6" t="s">
        <v>20158</v>
      </c>
      <c r="I9919" s="6">
        <v>527.4375</v>
      </c>
      <c r="J9919" s="2">
        <f t="shared" si="154"/>
        <v>43748.205538368049</v>
      </c>
    </row>
    <row r="9920" spans="1:10" x14ac:dyDescent="0.25">
      <c r="A9920" s="7" t="s">
        <v>20159</v>
      </c>
      <c r="B9920" s="8">
        <v>396.875</v>
      </c>
      <c r="C9920" s="8">
        <v>20.478950000000001</v>
      </c>
      <c r="D9920" s="8">
        <v>86</v>
      </c>
      <c r="E9920" s="8">
        <v>0</v>
      </c>
      <c r="F9920" s="8">
        <v>0</v>
      </c>
      <c r="G9920" s="8">
        <v>11</v>
      </c>
      <c r="H9920" s="8" t="s">
        <v>20160</v>
      </c>
      <c r="I9920" s="8">
        <v>527.4375</v>
      </c>
      <c r="J9920" s="3">
        <f t="shared" si="154"/>
        <v>43748.205609722216</v>
      </c>
    </row>
    <row r="9921" spans="1:10" x14ac:dyDescent="0.25">
      <c r="A9921" s="5" t="s">
        <v>20161</v>
      </c>
      <c r="B9921" s="6">
        <v>396.875</v>
      </c>
      <c r="C9921" s="6">
        <v>20.426300000000001</v>
      </c>
      <c r="D9921" s="6">
        <v>85</v>
      </c>
      <c r="E9921" s="6">
        <v>0</v>
      </c>
      <c r="F9921" s="6">
        <v>0</v>
      </c>
      <c r="G9921" s="6">
        <v>3</v>
      </c>
      <c r="H9921" s="6" t="s">
        <v>20162</v>
      </c>
      <c r="I9921" s="6">
        <v>527.4375</v>
      </c>
      <c r="J9921" s="2">
        <f t="shared" si="154"/>
        <v>43748.205681006941</v>
      </c>
    </row>
    <row r="9922" spans="1:10" x14ac:dyDescent="0.25">
      <c r="A9922" s="7" t="s">
        <v>20163</v>
      </c>
      <c r="B9922" s="8">
        <v>415.625</v>
      </c>
      <c r="C9922" s="8">
        <v>20.478950000000001</v>
      </c>
      <c r="D9922" s="8">
        <v>85</v>
      </c>
      <c r="E9922" s="8">
        <v>0</v>
      </c>
      <c r="F9922" s="8">
        <v>0</v>
      </c>
      <c r="G9922" s="8">
        <v>0</v>
      </c>
      <c r="H9922" s="8" t="s">
        <v>20164</v>
      </c>
      <c r="I9922" s="8">
        <v>533.0625</v>
      </c>
      <c r="J9922" s="3">
        <f t="shared" ref="J9922:J9985" si="155">(H9922/86400000)+25569+(7/24)</f>
        <v>43748.20575321759</v>
      </c>
    </row>
    <row r="9923" spans="1:10" x14ac:dyDescent="0.25">
      <c r="A9923" s="5" t="s">
        <v>20165</v>
      </c>
      <c r="B9923" s="6">
        <v>396.875</v>
      </c>
      <c r="C9923" s="6">
        <v>20.426300000000001</v>
      </c>
      <c r="D9923" s="6">
        <v>85</v>
      </c>
      <c r="E9923" s="6">
        <v>0</v>
      </c>
      <c r="F9923" s="6">
        <v>0</v>
      </c>
      <c r="G9923" s="6">
        <v>12</v>
      </c>
      <c r="H9923" s="6" t="s">
        <v>20166</v>
      </c>
      <c r="I9923" s="6">
        <v>527.4375</v>
      </c>
      <c r="J9923" s="2">
        <f t="shared" si="155"/>
        <v>43748.205824050929</v>
      </c>
    </row>
    <row r="9924" spans="1:10" x14ac:dyDescent="0.25">
      <c r="A9924" s="7" t="s">
        <v>20167</v>
      </c>
      <c r="B9924" s="8">
        <v>396.875</v>
      </c>
      <c r="C9924" s="8">
        <v>20.478950000000001</v>
      </c>
      <c r="D9924" s="8">
        <v>85</v>
      </c>
      <c r="E9924" s="8">
        <v>0</v>
      </c>
      <c r="F9924" s="8">
        <v>0</v>
      </c>
      <c r="G9924" s="8">
        <v>4</v>
      </c>
      <c r="H9924" s="8" t="s">
        <v>20168</v>
      </c>
      <c r="I9924" s="8">
        <v>527.25</v>
      </c>
      <c r="J9924" s="3">
        <f t="shared" si="155"/>
        <v>43748.20589582176</v>
      </c>
    </row>
    <row r="9925" spans="1:10" x14ac:dyDescent="0.25">
      <c r="A9925" s="5" t="s">
        <v>20169</v>
      </c>
      <c r="B9925" s="6">
        <v>396.875</v>
      </c>
      <c r="C9925" s="6">
        <v>20.478950000000001</v>
      </c>
      <c r="D9925" s="6">
        <v>85</v>
      </c>
      <c r="E9925" s="6">
        <v>0</v>
      </c>
      <c r="F9925" s="6">
        <v>0</v>
      </c>
      <c r="G9925" s="6">
        <v>9</v>
      </c>
      <c r="H9925" s="6" t="s">
        <v>20170</v>
      </c>
      <c r="I9925" s="6">
        <v>527.4375</v>
      </c>
      <c r="J9925" s="2">
        <f t="shared" si="155"/>
        <v>43748.205967175927</v>
      </c>
    </row>
    <row r="9926" spans="1:10" x14ac:dyDescent="0.25">
      <c r="A9926" s="7" t="s">
        <v>20171</v>
      </c>
      <c r="B9926" s="8">
        <v>428.125</v>
      </c>
      <c r="C9926" s="8">
        <v>20.478950000000001</v>
      </c>
      <c r="D9926" s="8">
        <v>86</v>
      </c>
      <c r="E9926" s="8">
        <v>0</v>
      </c>
      <c r="F9926" s="8">
        <v>0</v>
      </c>
      <c r="G9926" s="8">
        <v>8</v>
      </c>
      <c r="H9926" s="8" t="s">
        <v>20172</v>
      </c>
      <c r="I9926" s="8">
        <v>537.375</v>
      </c>
      <c r="J9926" s="3">
        <f t="shared" si="155"/>
        <v>43748.206039328703</v>
      </c>
    </row>
    <row r="9927" spans="1:10" x14ac:dyDescent="0.25">
      <c r="A9927" s="5" t="s">
        <v>20173</v>
      </c>
      <c r="B9927" s="6">
        <v>396.875</v>
      </c>
      <c r="C9927" s="6">
        <v>20.426300000000001</v>
      </c>
      <c r="D9927" s="6">
        <v>86</v>
      </c>
      <c r="E9927" s="6">
        <v>0</v>
      </c>
      <c r="F9927" s="6">
        <v>0</v>
      </c>
      <c r="G9927" s="6">
        <v>5</v>
      </c>
      <c r="H9927" s="6" t="s">
        <v>20174</v>
      </c>
      <c r="I9927" s="6">
        <v>527.4375</v>
      </c>
      <c r="J9927" s="2">
        <f t="shared" si="155"/>
        <v>43748.206110636573</v>
      </c>
    </row>
    <row r="9928" spans="1:10" x14ac:dyDescent="0.25">
      <c r="A9928" s="7" t="s">
        <v>20175</v>
      </c>
      <c r="B9928" s="8">
        <v>396.875</v>
      </c>
      <c r="C9928" s="8">
        <v>20.478950000000001</v>
      </c>
      <c r="D9928" s="8">
        <v>86</v>
      </c>
      <c r="E9928" s="8">
        <v>0</v>
      </c>
      <c r="F9928" s="8">
        <v>0</v>
      </c>
      <c r="G9928" s="8">
        <v>7</v>
      </c>
      <c r="H9928" s="8" t="s">
        <v>20176</v>
      </c>
      <c r="I9928" s="8">
        <v>527.4375</v>
      </c>
      <c r="J9928" s="3">
        <f t="shared" si="155"/>
        <v>43748.206181932866</v>
      </c>
    </row>
    <row r="9929" spans="1:10" x14ac:dyDescent="0.25">
      <c r="A9929" s="5" t="s">
        <v>20177</v>
      </c>
      <c r="B9929" s="6">
        <v>396.875</v>
      </c>
      <c r="C9929" s="6">
        <v>20.426300000000001</v>
      </c>
      <c r="D9929" s="6">
        <v>86</v>
      </c>
      <c r="E9929" s="6">
        <v>0</v>
      </c>
      <c r="F9929" s="6">
        <v>0</v>
      </c>
      <c r="G9929" s="6">
        <v>13</v>
      </c>
      <c r="H9929" s="6" t="s">
        <v>20178</v>
      </c>
      <c r="I9929" s="6">
        <v>527.4375</v>
      </c>
      <c r="J9929" s="2">
        <f t="shared" si="155"/>
        <v>43748.20625333333</v>
      </c>
    </row>
    <row r="9930" spans="1:10" x14ac:dyDescent="0.25">
      <c r="A9930" s="7" t="s">
        <v>20179</v>
      </c>
      <c r="B9930" s="8">
        <v>396.875</v>
      </c>
      <c r="C9930" s="8">
        <v>20.478950000000001</v>
      </c>
      <c r="D9930" s="8">
        <v>87</v>
      </c>
      <c r="E9930" s="8">
        <v>0</v>
      </c>
      <c r="F9930" s="8">
        <v>0</v>
      </c>
      <c r="G9930" s="8">
        <v>9</v>
      </c>
      <c r="H9930" s="8" t="s">
        <v>20180</v>
      </c>
      <c r="I9930" s="8">
        <v>527.4375</v>
      </c>
      <c r="J9930" s="3">
        <f t="shared" si="155"/>
        <v>43748.206337546297</v>
      </c>
    </row>
    <row r="9931" spans="1:10" x14ac:dyDescent="0.25">
      <c r="A9931" s="5" t="s">
        <v>20181</v>
      </c>
      <c r="B9931" s="6">
        <v>396.875</v>
      </c>
      <c r="C9931" s="6">
        <v>20.478950000000001</v>
      </c>
      <c r="D9931" s="6">
        <v>87</v>
      </c>
      <c r="E9931" s="6">
        <v>0</v>
      </c>
      <c r="F9931" s="6">
        <v>0</v>
      </c>
      <c r="G9931" s="6">
        <v>3</v>
      </c>
      <c r="H9931" s="6" t="s">
        <v>20182</v>
      </c>
      <c r="I9931" s="6">
        <v>527.4375</v>
      </c>
      <c r="J9931" s="2">
        <f t="shared" si="155"/>
        <v>43748.206432858795</v>
      </c>
    </row>
    <row r="9932" spans="1:10" x14ac:dyDescent="0.25">
      <c r="A9932" s="7" t="s">
        <v>20183</v>
      </c>
      <c r="B9932" s="8">
        <v>421.875</v>
      </c>
      <c r="C9932" s="8">
        <v>20.478950000000001</v>
      </c>
      <c r="D9932" s="8">
        <v>87</v>
      </c>
      <c r="E9932" s="8">
        <v>0</v>
      </c>
      <c r="F9932" s="8">
        <v>0</v>
      </c>
      <c r="G9932" s="8">
        <v>4</v>
      </c>
      <c r="H9932" s="8" t="s">
        <v>20184</v>
      </c>
      <c r="I9932" s="8">
        <v>535.5</v>
      </c>
      <c r="J9932" s="3">
        <f t="shared" si="155"/>
        <v>43748.206504155089</v>
      </c>
    </row>
    <row r="9933" spans="1:10" x14ac:dyDescent="0.25">
      <c r="A9933" s="5" t="s">
        <v>20185</v>
      </c>
      <c r="B9933" s="6">
        <v>396.875</v>
      </c>
      <c r="C9933" s="6">
        <v>20.478950000000001</v>
      </c>
      <c r="D9933" s="6">
        <v>87</v>
      </c>
      <c r="E9933" s="6">
        <v>0</v>
      </c>
      <c r="F9933" s="6">
        <v>0</v>
      </c>
      <c r="G9933" s="6">
        <v>8</v>
      </c>
      <c r="H9933" s="6" t="s">
        <v>20186</v>
      </c>
      <c r="I9933" s="6">
        <v>527.4375</v>
      </c>
      <c r="J9933" s="2">
        <f t="shared" si="155"/>
        <v>43748.206575462966</v>
      </c>
    </row>
    <row r="9934" spans="1:10" x14ac:dyDescent="0.25">
      <c r="A9934" s="7" t="s">
        <v>20187</v>
      </c>
      <c r="B9934" s="8">
        <v>396.875</v>
      </c>
      <c r="C9934" s="8">
        <v>20.426300000000001</v>
      </c>
      <c r="D9934" s="8">
        <v>87</v>
      </c>
      <c r="E9934" s="8">
        <v>0</v>
      </c>
      <c r="F9934" s="8">
        <v>0</v>
      </c>
      <c r="G9934" s="8">
        <v>0</v>
      </c>
      <c r="H9934" s="8" t="s">
        <v>20188</v>
      </c>
      <c r="I9934" s="8">
        <v>527.4375</v>
      </c>
      <c r="J9934" s="3">
        <f t="shared" si="155"/>
        <v>43748.206646828701</v>
      </c>
    </row>
    <row r="9935" spans="1:10" x14ac:dyDescent="0.25">
      <c r="A9935" s="5" t="s">
        <v>20189</v>
      </c>
      <c r="B9935" s="6">
        <v>396.875</v>
      </c>
      <c r="C9935" s="6">
        <v>20.478950000000001</v>
      </c>
      <c r="D9935" s="6">
        <v>89</v>
      </c>
      <c r="E9935" s="6">
        <v>0</v>
      </c>
      <c r="F9935" s="6">
        <v>0</v>
      </c>
      <c r="G9935" s="6">
        <v>1</v>
      </c>
      <c r="H9935" s="6" t="s">
        <v>20190</v>
      </c>
      <c r="I9935" s="6">
        <v>527.4375</v>
      </c>
      <c r="J9935" s="2">
        <f t="shared" si="155"/>
        <v>43748.206718969908</v>
      </c>
    </row>
    <row r="9936" spans="1:10" x14ac:dyDescent="0.25">
      <c r="A9936" s="7" t="s">
        <v>20191</v>
      </c>
      <c r="B9936" s="8">
        <v>396.875</v>
      </c>
      <c r="C9936" s="8">
        <v>20.426300000000001</v>
      </c>
      <c r="D9936" s="8">
        <v>88</v>
      </c>
      <c r="E9936" s="8">
        <v>0</v>
      </c>
      <c r="F9936" s="8">
        <v>0</v>
      </c>
      <c r="G9936" s="8">
        <v>12</v>
      </c>
      <c r="H9936" s="8" t="s">
        <v>20192</v>
      </c>
      <c r="I9936" s="8">
        <v>527.4375</v>
      </c>
      <c r="J9936" s="3">
        <f t="shared" si="155"/>
        <v>43748.20679103009</v>
      </c>
    </row>
    <row r="9937" spans="1:10" x14ac:dyDescent="0.25">
      <c r="A9937" s="5" t="s">
        <v>20193</v>
      </c>
      <c r="B9937" s="6">
        <v>396.875</v>
      </c>
      <c r="C9937" s="6">
        <v>20.478950000000001</v>
      </c>
      <c r="D9937" s="6">
        <v>88</v>
      </c>
      <c r="E9937" s="6">
        <v>0</v>
      </c>
      <c r="F9937" s="6">
        <v>0</v>
      </c>
      <c r="G9937" s="6">
        <v>7</v>
      </c>
      <c r="H9937" s="6" t="s">
        <v>20194</v>
      </c>
      <c r="I9937" s="6">
        <v>527.4375</v>
      </c>
      <c r="J9937" s="2">
        <f t="shared" si="155"/>
        <v>43748.206873587966</v>
      </c>
    </row>
    <row r="9938" spans="1:10" x14ac:dyDescent="0.25">
      <c r="A9938" s="7" t="s">
        <v>20195</v>
      </c>
      <c r="B9938" s="8">
        <v>396.875</v>
      </c>
      <c r="C9938" s="8">
        <v>20.478950000000001</v>
      </c>
      <c r="D9938" s="8">
        <v>88</v>
      </c>
      <c r="E9938" s="8">
        <v>0</v>
      </c>
      <c r="F9938" s="8">
        <v>0</v>
      </c>
      <c r="G9938" s="8">
        <v>5</v>
      </c>
      <c r="H9938" s="8" t="s">
        <v>20196</v>
      </c>
      <c r="I9938" s="8">
        <v>527.4375</v>
      </c>
      <c r="J9938" s="3">
        <f t="shared" si="155"/>
        <v>43748.20694496527</v>
      </c>
    </row>
    <row r="9939" spans="1:10" x14ac:dyDescent="0.25">
      <c r="A9939" s="5" t="s">
        <v>20197</v>
      </c>
      <c r="B9939" s="6">
        <v>415.625</v>
      </c>
      <c r="C9939" s="6">
        <v>20.478950000000001</v>
      </c>
      <c r="D9939" s="6">
        <v>88</v>
      </c>
      <c r="E9939" s="6">
        <v>0</v>
      </c>
      <c r="F9939" s="6">
        <v>0</v>
      </c>
      <c r="G9939" s="6">
        <v>11</v>
      </c>
      <c r="H9939" s="6" t="s">
        <v>20198</v>
      </c>
      <c r="I9939" s="6">
        <v>533.25</v>
      </c>
      <c r="J9939" s="2">
        <f t="shared" si="155"/>
        <v>43748.207028287034</v>
      </c>
    </row>
    <row r="9940" spans="1:10" x14ac:dyDescent="0.25">
      <c r="A9940" s="7" t="s">
        <v>20199</v>
      </c>
      <c r="B9940" s="8">
        <v>393.75</v>
      </c>
      <c r="C9940" s="8">
        <v>20.426300000000001</v>
      </c>
      <c r="D9940" s="8">
        <v>87</v>
      </c>
      <c r="E9940" s="8">
        <v>0</v>
      </c>
      <c r="F9940" s="8">
        <v>0</v>
      </c>
      <c r="G9940" s="8">
        <v>0</v>
      </c>
      <c r="H9940" s="8" t="s">
        <v>20200</v>
      </c>
      <c r="I9940" s="8">
        <v>526.6875</v>
      </c>
      <c r="J9940" s="3">
        <f t="shared" si="155"/>
        <v>43748.207099884261</v>
      </c>
    </row>
    <row r="9941" spans="1:10" x14ac:dyDescent="0.25">
      <c r="A9941" s="5" t="s">
        <v>20201</v>
      </c>
      <c r="B9941" s="6">
        <v>396.875</v>
      </c>
      <c r="C9941" s="6">
        <v>20.478950000000001</v>
      </c>
      <c r="D9941" s="6">
        <v>86</v>
      </c>
      <c r="E9941" s="6">
        <v>0</v>
      </c>
      <c r="F9941" s="6">
        <v>0</v>
      </c>
      <c r="G9941" s="6">
        <v>6</v>
      </c>
      <c r="H9941" s="6" t="s">
        <v>20202</v>
      </c>
      <c r="I9941" s="6">
        <v>527.4375</v>
      </c>
      <c r="J9941" s="2">
        <f t="shared" si="155"/>
        <v>43748.207171631941</v>
      </c>
    </row>
    <row r="9942" spans="1:10" x14ac:dyDescent="0.25">
      <c r="A9942" s="7" t="s">
        <v>20203</v>
      </c>
      <c r="B9942" s="8">
        <v>393.75</v>
      </c>
      <c r="C9942" s="8">
        <v>20.478950000000001</v>
      </c>
      <c r="D9942" s="8">
        <v>86</v>
      </c>
      <c r="E9942" s="8">
        <v>0</v>
      </c>
      <c r="F9942" s="8">
        <v>0</v>
      </c>
      <c r="G9942" s="8">
        <v>7</v>
      </c>
      <c r="H9942" s="8" t="s">
        <v>20204</v>
      </c>
      <c r="I9942" s="8">
        <v>526.6875</v>
      </c>
      <c r="J9942" s="3">
        <f t="shared" si="155"/>
        <v>43748.207255092588</v>
      </c>
    </row>
    <row r="9943" spans="1:10" x14ac:dyDescent="0.25">
      <c r="A9943" s="5" t="s">
        <v>20205</v>
      </c>
      <c r="B9943" s="6">
        <v>393.75</v>
      </c>
      <c r="C9943" s="6">
        <v>20.478950000000001</v>
      </c>
      <c r="D9943" s="6">
        <v>86</v>
      </c>
      <c r="E9943" s="6">
        <v>0</v>
      </c>
      <c r="F9943" s="6">
        <v>0</v>
      </c>
      <c r="G9943" s="6">
        <v>11</v>
      </c>
      <c r="H9943" s="6" t="s">
        <v>20206</v>
      </c>
      <c r="I9943" s="6">
        <v>526.6875</v>
      </c>
      <c r="J9943" s="2">
        <f t="shared" si="155"/>
        <v>43748.207326504627</v>
      </c>
    </row>
    <row r="9944" spans="1:10" x14ac:dyDescent="0.25">
      <c r="A9944" s="7" t="s">
        <v>20207</v>
      </c>
      <c r="B9944" s="8">
        <v>393.75</v>
      </c>
      <c r="C9944" s="8">
        <v>20.478950000000001</v>
      </c>
      <c r="D9944" s="8">
        <v>84</v>
      </c>
      <c r="E9944" s="8">
        <v>0</v>
      </c>
      <c r="F9944" s="8">
        <v>0</v>
      </c>
      <c r="G9944" s="8">
        <v>7</v>
      </c>
      <c r="H9944" s="8" t="s">
        <v>20208</v>
      </c>
      <c r="I9944" s="8">
        <v>526.6875</v>
      </c>
      <c r="J9944" s="3">
        <f t="shared" si="155"/>
        <v>43748.207398611114</v>
      </c>
    </row>
    <row r="9945" spans="1:10" x14ac:dyDescent="0.25">
      <c r="A9945" s="5" t="s">
        <v>20209</v>
      </c>
      <c r="B9945" s="6">
        <v>393.75</v>
      </c>
      <c r="C9945" s="6">
        <v>20.478950000000001</v>
      </c>
      <c r="D9945" s="6">
        <v>88</v>
      </c>
      <c r="E9945" s="6">
        <v>0</v>
      </c>
      <c r="F9945" s="6">
        <v>0</v>
      </c>
      <c r="G9945" s="6">
        <v>4</v>
      </c>
      <c r="H9945" s="6" t="s">
        <v>20210</v>
      </c>
      <c r="I9945" s="6">
        <v>526.6875</v>
      </c>
      <c r="J9945" s="2">
        <f t="shared" si="155"/>
        <v>43748.207469780093</v>
      </c>
    </row>
    <row r="9946" spans="1:10" x14ac:dyDescent="0.25">
      <c r="A9946" s="7" t="s">
        <v>20211</v>
      </c>
      <c r="B9946" s="8">
        <v>393.75</v>
      </c>
      <c r="C9946" s="8">
        <v>20.478950000000001</v>
      </c>
      <c r="D9946" s="8">
        <v>87</v>
      </c>
      <c r="E9946" s="8">
        <v>0</v>
      </c>
      <c r="F9946" s="8">
        <v>0</v>
      </c>
      <c r="G9946" s="8">
        <v>8</v>
      </c>
      <c r="H9946" s="8" t="s">
        <v>20212</v>
      </c>
      <c r="I9946" s="8">
        <v>526.5</v>
      </c>
      <c r="J9946" s="3">
        <f t="shared" si="155"/>
        <v>43748.207541203701</v>
      </c>
    </row>
    <row r="9947" spans="1:10" x14ac:dyDescent="0.25">
      <c r="A9947" s="5" t="s">
        <v>20213</v>
      </c>
      <c r="B9947" s="6">
        <v>393.75</v>
      </c>
      <c r="C9947" s="6">
        <v>20.478950000000001</v>
      </c>
      <c r="D9947" s="6">
        <v>85</v>
      </c>
      <c r="E9947" s="6">
        <v>0</v>
      </c>
      <c r="F9947" s="6">
        <v>0</v>
      </c>
      <c r="G9947" s="6">
        <v>17</v>
      </c>
      <c r="H9947" s="6" t="s">
        <v>20214</v>
      </c>
      <c r="I9947" s="6">
        <v>526.6875</v>
      </c>
      <c r="J9947" s="2">
        <f t="shared" si="155"/>
        <v>43748.207625289353</v>
      </c>
    </row>
    <row r="9948" spans="1:10" x14ac:dyDescent="0.25">
      <c r="A9948" s="7" t="s">
        <v>20215</v>
      </c>
      <c r="B9948" s="8">
        <v>396.875</v>
      </c>
      <c r="C9948" s="8">
        <v>20.426300000000001</v>
      </c>
      <c r="D9948" s="8">
        <v>85</v>
      </c>
      <c r="E9948" s="8">
        <v>0</v>
      </c>
      <c r="F9948" s="8">
        <v>0</v>
      </c>
      <c r="G9948" s="8">
        <v>2</v>
      </c>
      <c r="H9948" s="8" t="s">
        <v>20216</v>
      </c>
      <c r="I9948" s="8">
        <v>527.4375</v>
      </c>
      <c r="J9948" s="3">
        <f t="shared" si="155"/>
        <v>43748.207695763886</v>
      </c>
    </row>
    <row r="9949" spans="1:10" x14ac:dyDescent="0.25">
      <c r="A9949" s="5" t="s">
        <v>20217</v>
      </c>
      <c r="B9949" s="6">
        <v>396.875</v>
      </c>
      <c r="C9949" s="6">
        <v>20.478950000000001</v>
      </c>
      <c r="D9949" s="6">
        <v>85</v>
      </c>
      <c r="E9949" s="6">
        <v>0</v>
      </c>
      <c r="F9949" s="6">
        <v>0</v>
      </c>
      <c r="G9949" s="6">
        <v>1</v>
      </c>
      <c r="H9949" s="6" t="s">
        <v>20218</v>
      </c>
      <c r="I9949" s="6">
        <v>527.4375</v>
      </c>
      <c r="J9949" s="2">
        <f t="shared" si="155"/>
        <v>43748.207768043976</v>
      </c>
    </row>
    <row r="9950" spans="1:10" x14ac:dyDescent="0.25">
      <c r="A9950" s="7" t="s">
        <v>20219</v>
      </c>
      <c r="B9950" s="8">
        <v>400</v>
      </c>
      <c r="C9950" s="8">
        <v>20.478950000000001</v>
      </c>
      <c r="D9950" s="8">
        <v>88</v>
      </c>
      <c r="E9950" s="8">
        <v>0</v>
      </c>
      <c r="F9950" s="8">
        <v>0</v>
      </c>
      <c r="G9950" s="8">
        <v>9</v>
      </c>
      <c r="H9950" s="8" t="s">
        <v>20220</v>
      </c>
      <c r="I9950" s="8">
        <v>528.1875</v>
      </c>
      <c r="J9950" s="3">
        <f t="shared" si="155"/>
        <v>43748.207839351853</v>
      </c>
    </row>
    <row r="9951" spans="1:10" x14ac:dyDescent="0.25">
      <c r="A9951" s="5" t="s">
        <v>20221</v>
      </c>
      <c r="B9951" s="6">
        <v>396.875</v>
      </c>
      <c r="C9951" s="6">
        <v>20.478950000000001</v>
      </c>
      <c r="D9951" s="6">
        <v>88</v>
      </c>
      <c r="E9951" s="6">
        <v>0</v>
      </c>
      <c r="F9951" s="6">
        <v>0</v>
      </c>
      <c r="G9951" s="6">
        <v>6</v>
      </c>
      <c r="H9951" s="6" t="s">
        <v>20222</v>
      </c>
      <c r="I9951" s="6">
        <v>527.4375</v>
      </c>
      <c r="J9951" s="2">
        <f t="shared" si="155"/>
        <v>43748.20791075231</v>
      </c>
    </row>
    <row r="9952" spans="1:10" x14ac:dyDescent="0.25">
      <c r="A9952" s="7" t="s">
        <v>20223</v>
      </c>
      <c r="B9952" s="8">
        <v>396.875</v>
      </c>
      <c r="C9952" s="8">
        <v>20.478950000000001</v>
      </c>
      <c r="D9952" s="8">
        <v>88</v>
      </c>
      <c r="E9952" s="8">
        <v>0</v>
      </c>
      <c r="F9952" s="8">
        <v>0</v>
      </c>
      <c r="G9952" s="8">
        <v>7</v>
      </c>
      <c r="H9952" s="8" t="s">
        <v>20224</v>
      </c>
      <c r="I9952" s="8">
        <v>527.4375</v>
      </c>
      <c r="J9952" s="3">
        <f t="shared" si="155"/>
        <v>43748.20798284722</v>
      </c>
    </row>
    <row r="9953" spans="1:10" x14ac:dyDescent="0.25">
      <c r="A9953" s="5" t="s">
        <v>20225</v>
      </c>
      <c r="B9953" s="6">
        <v>396.875</v>
      </c>
      <c r="C9953" s="6">
        <v>20.478950000000001</v>
      </c>
      <c r="D9953" s="6">
        <v>88</v>
      </c>
      <c r="E9953" s="6">
        <v>0</v>
      </c>
      <c r="F9953" s="6">
        <v>0</v>
      </c>
      <c r="G9953" s="6">
        <v>0</v>
      </c>
      <c r="H9953" s="6" t="s">
        <v>20226</v>
      </c>
      <c r="I9953" s="6">
        <v>527.4375</v>
      </c>
      <c r="J9953" s="2">
        <f t="shared" si="155"/>
        <v>43748.208054155089</v>
      </c>
    </row>
    <row r="9954" spans="1:10" x14ac:dyDescent="0.25">
      <c r="A9954" s="7" t="s">
        <v>20227</v>
      </c>
      <c r="B9954" s="8">
        <v>396.875</v>
      </c>
      <c r="C9954" s="8">
        <v>20.426300000000001</v>
      </c>
      <c r="D9954" s="8">
        <v>89</v>
      </c>
      <c r="E9954" s="8">
        <v>0</v>
      </c>
      <c r="F9954" s="8">
        <v>0</v>
      </c>
      <c r="G9954" s="8">
        <v>9</v>
      </c>
      <c r="H9954" s="8" t="s">
        <v>20228</v>
      </c>
      <c r="I9954" s="8">
        <v>527.4375</v>
      </c>
      <c r="J9954" s="3">
        <f t="shared" si="155"/>
        <v>43748.208125451383</v>
      </c>
    </row>
    <row r="9955" spans="1:10" x14ac:dyDescent="0.25">
      <c r="A9955" s="5" t="s">
        <v>20229</v>
      </c>
      <c r="B9955" s="6">
        <v>396.875</v>
      </c>
      <c r="C9955" s="6">
        <v>20.426300000000001</v>
      </c>
      <c r="D9955" s="6">
        <v>89</v>
      </c>
      <c r="E9955" s="6">
        <v>0</v>
      </c>
      <c r="F9955" s="6">
        <v>0</v>
      </c>
      <c r="G9955" s="6">
        <v>0</v>
      </c>
      <c r="H9955" s="6" t="s">
        <v>20230</v>
      </c>
      <c r="I9955" s="6">
        <v>527.4375</v>
      </c>
      <c r="J9955" s="2">
        <f t="shared" si="155"/>
        <v>43748.208197627311</v>
      </c>
    </row>
    <row r="9956" spans="1:10" x14ac:dyDescent="0.25">
      <c r="A9956" s="7" t="s">
        <v>20231</v>
      </c>
      <c r="B9956" s="8">
        <v>396.875</v>
      </c>
      <c r="C9956" s="8">
        <v>20.478950000000001</v>
      </c>
      <c r="D9956" s="8">
        <v>89</v>
      </c>
      <c r="E9956" s="8">
        <v>0</v>
      </c>
      <c r="F9956" s="8">
        <v>0</v>
      </c>
      <c r="G9956" s="8">
        <v>1</v>
      </c>
      <c r="H9956" s="8" t="s">
        <v>20232</v>
      </c>
      <c r="I9956" s="8">
        <v>527.4375</v>
      </c>
      <c r="J9956" s="3">
        <f t="shared" si="155"/>
        <v>43748.208268981478</v>
      </c>
    </row>
    <row r="9957" spans="1:10" x14ac:dyDescent="0.25">
      <c r="A9957" s="5" t="s">
        <v>20233</v>
      </c>
      <c r="B9957" s="6">
        <v>396.875</v>
      </c>
      <c r="C9957" s="6">
        <v>20.478950000000001</v>
      </c>
      <c r="D9957" s="6">
        <v>89</v>
      </c>
      <c r="E9957" s="6">
        <v>0</v>
      </c>
      <c r="F9957" s="6">
        <v>0</v>
      </c>
      <c r="G9957" s="6">
        <v>7</v>
      </c>
      <c r="H9957" s="6" t="s">
        <v>20234</v>
      </c>
      <c r="I9957" s="6">
        <v>527.4375</v>
      </c>
      <c r="J9957" s="2">
        <f t="shared" si="155"/>
        <v>43748.208340266203</v>
      </c>
    </row>
    <row r="9958" spans="1:10" x14ac:dyDescent="0.25">
      <c r="A9958" s="7" t="s">
        <v>20235</v>
      </c>
      <c r="B9958" s="8">
        <v>396.875</v>
      </c>
      <c r="C9958" s="8">
        <v>20.478950000000001</v>
      </c>
      <c r="D9958" s="8">
        <v>88</v>
      </c>
      <c r="E9958" s="8">
        <v>0</v>
      </c>
      <c r="F9958" s="8">
        <v>0</v>
      </c>
      <c r="G9958" s="8">
        <v>9</v>
      </c>
      <c r="H9958" s="8" t="s">
        <v>20236</v>
      </c>
      <c r="I9958" s="8">
        <v>527.4375</v>
      </c>
      <c r="J9958" s="3">
        <f t="shared" si="155"/>
        <v>43748.208411550928</v>
      </c>
    </row>
    <row r="9959" spans="1:10" x14ac:dyDescent="0.25">
      <c r="A9959" s="5" t="s">
        <v>20237</v>
      </c>
      <c r="B9959" s="6">
        <v>418.75</v>
      </c>
      <c r="C9959" s="6">
        <v>20.478950000000001</v>
      </c>
      <c r="D9959" s="6">
        <v>88</v>
      </c>
      <c r="E9959" s="6">
        <v>0</v>
      </c>
      <c r="F9959" s="6">
        <v>0</v>
      </c>
      <c r="G9959" s="6">
        <v>10</v>
      </c>
      <c r="H9959" s="6" t="s">
        <v>20238</v>
      </c>
      <c r="I9959" s="6">
        <v>534.5625</v>
      </c>
      <c r="J9959" s="2">
        <f t="shared" si="155"/>
        <v>43748.208483796298</v>
      </c>
    </row>
    <row r="9960" spans="1:10" x14ac:dyDescent="0.25">
      <c r="A9960" s="7" t="s">
        <v>20239</v>
      </c>
      <c r="B9960" s="8">
        <v>403.125</v>
      </c>
      <c r="C9960" s="8">
        <v>20.478950000000001</v>
      </c>
      <c r="D9960" s="8">
        <v>85</v>
      </c>
      <c r="E9960" s="8">
        <v>0</v>
      </c>
      <c r="F9960" s="8">
        <v>0</v>
      </c>
      <c r="G9960" s="8">
        <v>0</v>
      </c>
      <c r="H9960" s="8" t="s">
        <v>20240</v>
      </c>
      <c r="I9960" s="8">
        <v>529.125</v>
      </c>
      <c r="J9960" s="3">
        <f t="shared" si="155"/>
        <v>43748.208555092591</v>
      </c>
    </row>
    <row r="9961" spans="1:10" x14ac:dyDescent="0.25">
      <c r="A9961" s="5" t="s">
        <v>20241</v>
      </c>
      <c r="B9961" s="6">
        <v>400</v>
      </c>
      <c r="C9961" s="6">
        <v>20.478950000000001</v>
      </c>
      <c r="D9961" s="6">
        <v>84</v>
      </c>
      <c r="E9961" s="6">
        <v>0</v>
      </c>
      <c r="F9961" s="6">
        <v>0</v>
      </c>
      <c r="G9961" s="6">
        <v>13</v>
      </c>
      <c r="H9961" s="6" t="s">
        <v>20242</v>
      </c>
      <c r="I9961" s="6">
        <v>528.9375</v>
      </c>
      <c r="J9961" s="2">
        <f t="shared" si="155"/>
        <v>43748.208627256943</v>
      </c>
    </row>
    <row r="9962" spans="1:10" x14ac:dyDescent="0.25">
      <c r="A9962" s="7" t="s">
        <v>20243</v>
      </c>
      <c r="B9962" s="8">
        <v>403.125</v>
      </c>
      <c r="C9962" s="8">
        <v>20.426300000000001</v>
      </c>
      <c r="D9962" s="8">
        <v>84</v>
      </c>
      <c r="E9962" s="8">
        <v>0</v>
      </c>
      <c r="F9962" s="8">
        <v>0</v>
      </c>
      <c r="G9962" s="8">
        <v>11</v>
      </c>
      <c r="H9962" s="8" t="s">
        <v>20244</v>
      </c>
      <c r="I9962" s="8">
        <v>529.125</v>
      </c>
      <c r="J9962" s="3">
        <f t="shared" si="155"/>
        <v>43748.20869767361</v>
      </c>
    </row>
    <row r="9963" spans="1:10" x14ac:dyDescent="0.25">
      <c r="A9963" s="5" t="s">
        <v>20245</v>
      </c>
      <c r="B9963" s="6">
        <v>403.125</v>
      </c>
      <c r="C9963" s="6">
        <v>20.478950000000001</v>
      </c>
      <c r="D9963" s="6">
        <v>83</v>
      </c>
      <c r="E9963" s="6">
        <v>0</v>
      </c>
      <c r="F9963" s="6">
        <v>0</v>
      </c>
      <c r="G9963" s="6">
        <v>3</v>
      </c>
      <c r="H9963" s="6" t="s">
        <v>20246</v>
      </c>
      <c r="I9963" s="6">
        <v>529.125</v>
      </c>
      <c r="J9963" s="2">
        <f t="shared" si="155"/>
        <v>43748.20876991898</v>
      </c>
    </row>
    <row r="9964" spans="1:10" x14ac:dyDescent="0.25">
      <c r="A9964" s="7" t="s">
        <v>20247</v>
      </c>
      <c r="B9964" s="8">
        <v>403.125</v>
      </c>
      <c r="C9964" s="8">
        <v>20.478950000000001</v>
      </c>
      <c r="D9964" s="8">
        <v>82</v>
      </c>
      <c r="E9964" s="8">
        <v>0</v>
      </c>
      <c r="F9964" s="8">
        <v>0</v>
      </c>
      <c r="G9964" s="8">
        <v>4</v>
      </c>
      <c r="H9964" s="8" t="s">
        <v>20248</v>
      </c>
      <c r="I9964" s="8">
        <v>529.125</v>
      </c>
      <c r="J9964" s="3">
        <f t="shared" si="155"/>
        <v>43748.208841145832</v>
      </c>
    </row>
    <row r="9965" spans="1:10" x14ac:dyDescent="0.25">
      <c r="A9965" s="5" t="s">
        <v>20249</v>
      </c>
      <c r="B9965" s="6">
        <v>403.125</v>
      </c>
      <c r="C9965" s="6">
        <v>20.426300000000001</v>
      </c>
      <c r="D9965" s="6">
        <v>83</v>
      </c>
      <c r="E9965" s="6">
        <v>0</v>
      </c>
      <c r="F9965" s="6">
        <v>0</v>
      </c>
      <c r="G9965" s="6">
        <v>5</v>
      </c>
      <c r="H9965" s="6" t="s">
        <v>20250</v>
      </c>
      <c r="I9965" s="6">
        <v>529.125</v>
      </c>
      <c r="J9965" s="2">
        <f t="shared" si="155"/>
        <v>43748.208912499998</v>
      </c>
    </row>
    <row r="9966" spans="1:10" x14ac:dyDescent="0.25">
      <c r="A9966" s="7" t="s">
        <v>20251</v>
      </c>
      <c r="B9966" s="8">
        <v>400</v>
      </c>
      <c r="C9966" s="8">
        <v>20.478950000000001</v>
      </c>
      <c r="D9966" s="8">
        <v>84</v>
      </c>
      <c r="E9966" s="8">
        <v>0</v>
      </c>
      <c r="F9966" s="8">
        <v>0</v>
      </c>
      <c r="G9966" s="8">
        <v>7</v>
      </c>
      <c r="H9966" s="8" t="s">
        <v>20252</v>
      </c>
      <c r="I9966" s="8">
        <v>528.9375</v>
      </c>
      <c r="J9966" s="3">
        <f t="shared" si="155"/>
        <v>43748.208984722216</v>
      </c>
    </row>
    <row r="9967" spans="1:10" x14ac:dyDescent="0.25">
      <c r="A9967" s="5" t="s">
        <v>20253</v>
      </c>
      <c r="B9967" s="6">
        <v>403.125</v>
      </c>
      <c r="C9967" s="6">
        <v>20.478950000000001</v>
      </c>
      <c r="D9967" s="6">
        <v>89</v>
      </c>
      <c r="E9967" s="6">
        <v>0</v>
      </c>
      <c r="F9967" s="6">
        <v>0</v>
      </c>
      <c r="G9967" s="6">
        <v>7</v>
      </c>
      <c r="H9967" s="6" t="s">
        <v>20254</v>
      </c>
      <c r="I9967" s="6">
        <v>529.125</v>
      </c>
      <c r="J9967" s="2">
        <f t="shared" si="155"/>
        <v>43748.209056018517</v>
      </c>
    </row>
    <row r="9968" spans="1:10" x14ac:dyDescent="0.25">
      <c r="A9968" s="7" t="s">
        <v>20255</v>
      </c>
      <c r="B9968" s="8">
        <v>403.125</v>
      </c>
      <c r="C9968" s="8">
        <v>20.478950000000001</v>
      </c>
      <c r="D9968" s="8">
        <v>89</v>
      </c>
      <c r="E9968" s="8">
        <v>0</v>
      </c>
      <c r="F9968" s="8">
        <v>0</v>
      </c>
      <c r="G9968" s="8">
        <v>3</v>
      </c>
      <c r="H9968" s="8" t="s">
        <v>20256</v>
      </c>
      <c r="I9968" s="8">
        <v>529.125</v>
      </c>
      <c r="J9968" s="3">
        <f t="shared" si="155"/>
        <v>43748.209127199072</v>
      </c>
    </row>
    <row r="9969" spans="1:10" x14ac:dyDescent="0.25">
      <c r="A9969" s="5" t="s">
        <v>20257</v>
      </c>
      <c r="B9969" s="6">
        <v>403.125</v>
      </c>
      <c r="C9969" s="6">
        <v>20.478950000000001</v>
      </c>
      <c r="D9969" s="6">
        <v>90</v>
      </c>
      <c r="E9969" s="6">
        <v>0</v>
      </c>
      <c r="F9969" s="6">
        <v>0</v>
      </c>
      <c r="G9969" s="6">
        <v>5</v>
      </c>
      <c r="H9969" s="6" t="s">
        <v>20258</v>
      </c>
      <c r="I9969" s="6">
        <v>529.125</v>
      </c>
      <c r="J9969" s="2">
        <f t="shared" si="155"/>
        <v>43748.209198599536</v>
      </c>
    </row>
    <row r="9970" spans="1:10" x14ac:dyDescent="0.25">
      <c r="A9970" s="7" t="s">
        <v>20259</v>
      </c>
      <c r="B9970" s="8">
        <v>403.125</v>
      </c>
      <c r="C9970" s="8">
        <v>20.426300000000001</v>
      </c>
      <c r="D9970" s="8">
        <v>89</v>
      </c>
      <c r="E9970" s="8">
        <v>0</v>
      </c>
      <c r="F9970" s="8">
        <v>0</v>
      </c>
      <c r="G9970" s="8">
        <v>4</v>
      </c>
      <c r="H9970" s="8" t="s">
        <v>20260</v>
      </c>
      <c r="I9970" s="8">
        <v>529.125</v>
      </c>
      <c r="J9970" s="3">
        <f t="shared" si="155"/>
        <v>43748.209270821761</v>
      </c>
    </row>
    <row r="9971" spans="1:10" x14ac:dyDescent="0.25">
      <c r="A9971" s="5" t="s">
        <v>20261</v>
      </c>
      <c r="B9971" s="6">
        <v>400</v>
      </c>
      <c r="C9971" s="6">
        <v>20.478950000000001</v>
      </c>
      <c r="D9971" s="6">
        <v>88</v>
      </c>
      <c r="E9971" s="6">
        <v>0</v>
      </c>
      <c r="F9971" s="6">
        <v>0</v>
      </c>
      <c r="G9971" s="6">
        <v>0</v>
      </c>
      <c r="H9971" s="6" t="s">
        <v>20262</v>
      </c>
      <c r="I9971" s="6">
        <v>528.9375</v>
      </c>
      <c r="J9971" s="2">
        <f t="shared" si="155"/>
        <v>43748.209342129623</v>
      </c>
    </row>
    <row r="9972" spans="1:10" x14ac:dyDescent="0.25">
      <c r="A9972" s="7" t="s">
        <v>20263</v>
      </c>
      <c r="B9972" s="8">
        <v>421.875</v>
      </c>
      <c r="C9972" s="8">
        <v>20.478950000000001</v>
      </c>
      <c r="D9972" s="8">
        <v>85</v>
      </c>
      <c r="E9972" s="8">
        <v>0</v>
      </c>
      <c r="F9972" s="8">
        <v>0</v>
      </c>
      <c r="G9972" s="8">
        <v>5</v>
      </c>
      <c r="H9972" s="8" t="s">
        <v>20264</v>
      </c>
      <c r="I9972" s="8">
        <v>535.5</v>
      </c>
      <c r="J9972" s="3">
        <f t="shared" si="155"/>
        <v>43748.209425636574</v>
      </c>
    </row>
    <row r="9973" spans="1:10" x14ac:dyDescent="0.25">
      <c r="A9973" s="5" t="s">
        <v>20265</v>
      </c>
      <c r="B9973" s="6">
        <v>400</v>
      </c>
      <c r="C9973" s="6">
        <v>20.478950000000001</v>
      </c>
      <c r="D9973" s="6">
        <v>83</v>
      </c>
      <c r="E9973" s="6">
        <v>0</v>
      </c>
      <c r="F9973" s="6">
        <v>0</v>
      </c>
      <c r="G9973" s="6">
        <v>11</v>
      </c>
      <c r="H9973" s="6" t="s">
        <v>20266</v>
      </c>
      <c r="I9973" s="6">
        <v>528.1875</v>
      </c>
      <c r="J9973" s="2">
        <f t="shared" si="155"/>
        <v>43748.209497569442</v>
      </c>
    </row>
    <row r="9974" spans="1:10" x14ac:dyDescent="0.25">
      <c r="A9974" s="7" t="s">
        <v>20267</v>
      </c>
      <c r="B9974" s="8">
        <v>396.875</v>
      </c>
      <c r="C9974" s="8">
        <v>20.478950000000001</v>
      </c>
      <c r="D9974" s="8">
        <v>82</v>
      </c>
      <c r="E9974" s="8">
        <v>0</v>
      </c>
      <c r="F9974" s="8">
        <v>0</v>
      </c>
      <c r="G9974" s="8">
        <v>5</v>
      </c>
      <c r="H9974" s="8" t="s">
        <v>20268</v>
      </c>
      <c r="I9974" s="8">
        <v>527.4375</v>
      </c>
      <c r="J9974" s="3">
        <f t="shared" si="155"/>
        <v>43748.209568958329</v>
      </c>
    </row>
    <row r="9975" spans="1:10" x14ac:dyDescent="0.25">
      <c r="A9975" s="5" t="s">
        <v>20269</v>
      </c>
      <c r="B9975" s="6">
        <v>396.875</v>
      </c>
      <c r="C9975" s="6">
        <v>20.478950000000001</v>
      </c>
      <c r="D9975" s="6">
        <v>84</v>
      </c>
      <c r="E9975" s="6">
        <v>0</v>
      </c>
      <c r="F9975" s="6">
        <v>0</v>
      </c>
      <c r="G9975" s="6">
        <v>4</v>
      </c>
      <c r="H9975" s="6" t="s">
        <v>20270</v>
      </c>
      <c r="I9975" s="6">
        <v>527.4375</v>
      </c>
      <c r="J9975" s="2">
        <f t="shared" si="155"/>
        <v>43748.209640266206</v>
      </c>
    </row>
    <row r="9976" spans="1:10" x14ac:dyDescent="0.25">
      <c r="A9976" s="7" t="s">
        <v>20271</v>
      </c>
      <c r="B9976" s="8">
        <v>396.875</v>
      </c>
      <c r="C9976" s="8">
        <v>20.426300000000001</v>
      </c>
      <c r="D9976" s="8">
        <v>84</v>
      </c>
      <c r="E9976" s="8">
        <v>0</v>
      </c>
      <c r="F9976" s="8">
        <v>0</v>
      </c>
      <c r="G9976" s="8">
        <v>12</v>
      </c>
      <c r="H9976" s="8" t="s">
        <v>20272</v>
      </c>
      <c r="I9976" s="8">
        <v>527.4375</v>
      </c>
      <c r="J9976" s="3">
        <f t="shared" si="155"/>
        <v>43748.209711574069</v>
      </c>
    </row>
    <row r="9977" spans="1:10" x14ac:dyDescent="0.25">
      <c r="A9977" s="5" t="s">
        <v>20273</v>
      </c>
      <c r="B9977" s="6">
        <v>400</v>
      </c>
      <c r="C9977" s="6">
        <v>20.478950000000001</v>
      </c>
      <c r="D9977" s="6">
        <v>84</v>
      </c>
      <c r="E9977" s="6">
        <v>0</v>
      </c>
      <c r="F9977" s="6">
        <v>0</v>
      </c>
      <c r="G9977" s="6">
        <v>0</v>
      </c>
      <c r="H9977" s="6" t="s">
        <v>20274</v>
      </c>
      <c r="I9977" s="6">
        <v>528.1875</v>
      </c>
      <c r="J9977" s="2">
        <f t="shared" si="155"/>
        <v>43748.209782916667</v>
      </c>
    </row>
    <row r="9978" spans="1:10" x14ac:dyDescent="0.25">
      <c r="A9978" s="7" t="s">
        <v>20275</v>
      </c>
      <c r="B9978" s="8">
        <v>396.875</v>
      </c>
      <c r="C9978" s="8">
        <v>20.478950000000001</v>
      </c>
      <c r="D9978" s="8">
        <v>86</v>
      </c>
      <c r="E9978" s="8">
        <v>0</v>
      </c>
      <c r="F9978" s="8">
        <v>0</v>
      </c>
      <c r="G9978" s="8">
        <v>7</v>
      </c>
      <c r="H9978" s="8" t="s">
        <v>20276</v>
      </c>
      <c r="I9978" s="8">
        <v>527.4375</v>
      </c>
      <c r="J9978" s="3">
        <f t="shared" si="155"/>
        <v>43748.209855069443</v>
      </c>
    </row>
    <row r="9979" spans="1:10" x14ac:dyDescent="0.25">
      <c r="A9979" s="5" t="s">
        <v>20277</v>
      </c>
      <c r="B9979" s="6">
        <v>396.875</v>
      </c>
      <c r="C9979" s="6">
        <v>20.478950000000001</v>
      </c>
      <c r="D9979" s="6">
        <v>86</v>
      </c>
      <c r="E9979" s="6">
        <v>0</v>
      </c>
      <c r="F9979" s="6">
        <v>0</v>
      </c>
      <c r="G9979" s="6">
        <v>10</v>
      </c>
      <c r="H9979" s="6" t="s">
        <v>20278</v>
      </c>
      <c r="I9979" s="6">
        <v>527.4375</v>
      </c>
      <c r="J9979" s="2">
        <f t="shared" si="155"/>
        <v>43748.209946689814</v>
      </c>
    </row>
    <row r="9980" spans="1:10" x14ac:dyDescent="0.25">
      <c r="A9980" s="7" t="s">
        <v>20279</v>
      </c>
      <c r="B9980" s="8">
        <v>396.875</v>
      </c>
      <c r="C9980" s="8">
        <v>20.426300000000001</v>
      </c>
      <c r="D9980" s="8">
        <v>87</v>
      </c>
      <c r="E9980" s="8">
        <v>0</v>
      </c>
      <c r="F9980" s="8">
        <v>0</v>
      </c>
      <c r="G9980" s="8">
        <v>6</v>
      </c>
      <c r="H9980" s="8" t="s">
        <v>20280</v>
      </c>
      <c r="I9980" s="8">
        <v>527.4375</v>
      </c>
      <c r="J9980" s="3">
        <f t="shared" si="155"/>
        <v>43748.210021736108</v>
      </c>
    </row>
    <row r="9981" spans="1:10" x14ac:dyDescent="0.25">
      <c r="A9981" s="5" t="s">
        <v>20281</v>
      </c>
      <c r="B9981" s="6">
        <v>396.875</v>
      </c>
      <c r="C9981" s="6">
        <v>20.426300000000001</v>
      </c>
      <c r="D9981" s="6">
        <v>82</v>
      </c>
      <c r="E9981" s="6">
        <v>0</v>
      </c>
      <c r="F9981" s="6">
        <v>0</v>
      </c>
      <c r="G9981" s="6">
        <v>13</v>
      </c>
      <c r="H9981" s="6" t="s">
        <v>20282</v>
      </c>
      <c r="I9981" s="6">
        <v>527.4375</v>
      </c>
      <c r="J9981" s="2">
        <f t="shared" si="155"/>
        <v>43748.210093055553</v>
      </c>
    </row>
    <row r="9982" spans="1:10" x14ac:dyDescent="0.25">
      <c r="A9982" s="7" t="s">
        <v>20283</v>
      </c>
      <c r="B9982" s="8">
        <v>396.875</v>
      </c>
      <c r="C9982" s="8">
        <v>20.426300000000001</v>
      </c>
      <c r="D9982" s="8">
        <v>83</v>
      </c>
      <c r="E9982" s="8">
        <v>0</v>
      </c>
      <c r="F9982" s="8">
        <v>0</v>
      </c>
      <c r="G9982" s="8">
        <v>21</v>
      </c>
      <c r="H9982" s="8" t="s">
        <v>20284</v>
      </c>
      <c r="I9982" s="8">
        <v>527.4375</v>
      </c>
      <c r="J9982" s="3">
        <f t="shared" si="155"/>
        <v>43748.210188414349</v>
      </c>
    </row>
    <row r="9983" spans="1:10" x14ac:dyDescent="0.25">
      <c r="A9983" s="5" t="s">
        <v>20285</v>
      </c>
      <c r="B9983" s="6">
        <v>396.875</v>
      </c>
      <c r="C9983" s="6">
        <v>20.478950000000001</v>
      </c>
      <c r="D9983" s="6">
        <v>83</v>
      </c>
      <c r="E9983" s="6">
        <v>0</v>
      </c>
      <c r="F9983" s="6">
        <v>0</v>
      </c>
      <c r="G9983" s="6">
        <v>6</v>
      </c>
      <c r="H9983" s="6" t="s">
        <v>20286</v>
      </c>
      <c r="I9983" s="6">
        <v>527.4375</v>
      </c>
      <c r="J9983" s="2">
        <f t="shared" si="155"/>
        <v>43748.210260486107</v>
      </c>
    </row>
    <row r="9984" spans="1:10" x14ac:dyDescent="0.25">
      <c r="A9984" s="7" t="s">
        <v>20287</v>
      </c>
      <c r="B9984" s="8">
        <v>396.875</v>
      </c>
      <c r="C9984" s="8">
        <v>20.478950000000001</v>
      </c>
      <c r="D9984" s="8">
        <v>83</v>
      </c>
      <c r="E9984" s="8">
        <v>0</v>
      </c>
      <c r="F9984" s="8">
        <v>0</v>
      </c>
      <c r="G9984" s="8">
        <v>10</v>
      </c>
      <c r="H9984" s="8" t="s">
        <v>20288</v>
      </c>
      <c r="I9984" s="8">
        <v>527.4375</v>
      </c>
      <c r="J9984" s="3">
        <f t="shared" si="155"/>
        <v>43748.210331932867</v>
      </c>
    </row>
    <row r="9985" spans="1:10" x14ac:dyDescent="0.25">
      <c r="A9985" s="5" t="s">
        <v>20289</v>
      </c>
      <c r="B9985" s="6">
        <v>415.625</v>
      </c>
      <c r="C9985" s="6">
        <v>20.478950000000001</v>
      </c>
      <c r="D9985" s="6">
        <v>83</v>
      </c>
      <c r="E9985" s="6">
        <v>0</v>
      </c>
      <c r="F9985" s="6">
        <v>0</v>
      </c>
      <c r="G9985" s="6">
        <v>10</v>
      </c>
      <c r="H9985" s="6" t="s">
        <v>20290</v>
      </c>
      <c r="I9985" s="6">
        <v>533.25</v>
      </c>
      <c r="J9985" s="2">
        <f t="shared" si="155"/>
        <v>43748.210403240737</v>
      </c>
    </row>
    <row r="9986" spans="1:10" x14ac:dyDescent="0.25">
      <c r="A9986" s="7" t="s">
        <v>20291</v>
      </c>
      <c r="B9986" s="8">
        <v>396.875</v>
      </c>
      <c r="C9986" s="8">
        <v>20.426300000000001</v>
      </c>
      <c r="D9986" s="8">
        <v>83</v>
      </c>
      <c r="E9986" s="8">
        <v>0</v>
      </c>
      <c r="F9986" s="8">
        <v>0</v>
      </c>
      <c r="G9986" s="8">
        <v>1</v>
      </c>
      <c r="H9986" s="8" t="s">
        <v>20292</v>
      </c>
      <c r="I9986" s="8">
        <v>527.4375</v>
      </c>
      <c r="J9986" s="3">
        <f t="shared" ref="J9986:J10049" si="156">(H9986/86400000)+25569+(7/24)</f>
        <v>43748.210475381937</v>
      </c>
    </row>
    <row r="9987" spans="1:10" x14ac:dyDescent="0.25">
      <c r="A9987" s="5" t="s">
        <v>20293</v>
      </c>
      <c r="B9987" s="6">
        <v>396.875</v>
      </c>
      <c r="C9987" s="6">
        <v>20.478950000000001</v>
      </c>
      <c r="D9987" s="6">
        <v>83</v>
      </c>
      <c r="E9987" s="6">
        <v>0</v>
      </c>
      <c r="F9987" s="6">
        <v>0</v>
      </c>
      <c r="G9987" s="6">
        <v>17</v>
      </c>
      <c r="H9987" s="6" t="s">
        <v>20294</v>
      </c>
      <c r="I9987" s="6">
        <v>527.4375</v>
      </c>
      <c r="J9987" s="2">
        <f t="shared" si="156"/>
        <v>43748.21054659722</v>
      </c>
    </row>
    <row r="9988" spans="1:10" x14ac:dyDescent="0.25">
      <c r="A9988" s="7" t="s">
        <v>20295</v>
      </c>
      <c r="B9988" s="8">
        <v>393.75</v>
      </c>
      <c r="C9988" s="8">
        <v>20.478950000000001</v>
      </c>
      <c r="D9988" s="8">
        <v>83</v>
      </c>
      <c r="E9988" s="8">
        <v>0</v>
      </c>
      <c r="F9988" s="8">
        <v>0</v>
      </c>
      <c r="G9988" s="8">
        <v>13</v>
      </c>
      <c r="H9988" s="8" t="s">
        <v>20296</v>
      </c>
      <c r="I9988" s="8">
        <v>526.6875</v>
      </c>
      <c r="J9988" s="3">
        <f t="shared" si="156"/>
        <v>43748.210618032404</v>
      </c>
    </row>
    <row r="9989" spans="1:10" x14ac:dyDescent="0.25">
      <c r="A9989" s="5" t="s">
        <v>20297</v>
      </c>
      <c r="B9989" s="6">
        <v>393.75</v>
      </c>
      <c r="C9989" s="6">
        <v>20.478950000000001</v>
      </c>
      <c r="D9989" s="6">
        <v>84</v>
      </c>
      <c r="E9989" s="6">
        <v>0</v>
      </c>
      <c r="F9989" s="6">
        <v>0</v>
      </c>
      <c r="G9989" s="6">
        <v>12</v>
      </c>
      <c r="H9989" s="6" t="s">
        <v>20298</v>
      </c>
      <c r="I9989" s="6">
        <v>526.6875</v>
      </c>
      <c r="J9989" s="2">
        <f t="shared" si="156"/>
        <v>43748.21068935185</v>
      </c>
    </row>
    <row r="9990" spans="1:10" x14ac:dyDescent="0.25">
      <c r="A9990" s="7" t="s">
        <v>20299</v>
      </c>
      <c r="B9990" s="8">
        <v>393.75</v>
      </c>
      <c r="C9990" s="8">
        <v>20.426300000000001</v>
      </c>
      <c r="D9990" s="8">
        <v>84</v>
      </c>
      <c r="E9990" s="8">
        <v>0</v>
      </c>
      <c r="F9990" s="8">
        <v>0</v>
      </c>
      <c r="G9990" s="8">
        <v>9</v>
      </c>
      <c r="H9990" s="8" t="s">
        <v>20300</v>
      </c>
      <c r="I9990" s="8">
        <v>526.6875</v>
      </c>
      <c r="J9990" s="3">
        <f t="shared" si="156"/>
        <v>43748.210760682872</v>
      </c>
    </row>
    <row r="9991" spans="1:10" x14ac:dyDescent="0.25">
      <c r="A9991" s="5" t="s">
        <v>20301</v>
      </c>
      <c r="B9991" s="6">
        <v>393.75</v>
      </c>
      <c r="C9991" s="6">
        <v>20.478950000000001</v>
      </c>
      <c r="D9991" s="6">
        <v>83</v>
      </c>
      <c r="E9991" s="6">
        <v>0</v>
      </c>
      <c r="F9991" s="6">
        <v>0</v>
      </c>
      <c r="G9991" s="6">
        <v>11</v>
      </c>
      <c r="H9991" s="6" t="s">
        <v>20302</v>
      </c>
      <c r="I9991" s="6">
        <v>526.5</v>
      </c>
      <c r="J9991" s="2">
        <f t="shared" si="156"/>
        <v>43748.210832858793</v>
      </c>
    </row>
    <row r="9992" spans="1:10" x14ac:dyDescent="0.25">
      <c r="A9992" s="7" t="s">
        <v>20303</v>
      </c>
      <c r="B9992" s="8">
        <v>393.75</v>
      </c>
      <c r="C9992" s="8">
        <v>20.478950000000001</v>
      </c>
      <c r="D9992" s="8">
        <v>84</v>
      </c>
      <c r="E9992" s="8">
        <v>0</v>
      </c>
      <c r="F9992" s="8">
        <v>0</v>
      </c>
      <c r="G9992" s="8">
        <v>5</v>
      </c>
      <c r="H9992" s="8" t="s">
        <v>20304</v>
      </c>
      <c r="I9992" s="8">
        <v>526.6875</v>
      </c>
      <c r="J9992" s="3">
        <f t="shared" si="156"/>
        <v>43748.210904085645</v>
      </c>
    </row>
    <row r="9993" spans="1:10" x14ac:dyDescent="0.25">
      <c r="A9993" s="5" t="s">
        <v>20305</v>
      </c>
      <c r="B9993" s="6">
        <v>393.75</v>
      </c>
      <c r="C9993" s="6">
        <v>20.478950000000001</v>
      </c>
      <c r="D9993" s="6">
        <v>84</v>
      </c>
      <c r="E9993" s="6">
        <v>0</v>
      </c>
      <c r="F9993" s="6">
        <v>0</v>
      </c>
      <c r="G9993" s="6">
        <v>7</v>
      </c>
      <c r="H9993" s="6" t="s">
        <v>20306</v>
      </c>
      <c r="I9993" s="6">
        <v>526.6875</v>
      </c>
      <c r="J9993" s="2">
        <f t="shared" si="156"/>
        <v>43748.210975462956</v>
      </c>
    </row>
    <row r="9994" spans="1:10" x14ac:dyDescent="0.25">
      <c r="A9994" s="7" t="s">
        <v>20307</v>
      </c>
      <c r="B9994" s="8">
        <v>393.75</v>
      </c>
      <c r="C9994" s="8">
        <v>20.426300000000001</v>
      </c>
      <c r="D9994" s="8">
        <v>84</v>
      </c>
      <c r="E9994" s="8">
        <v>0</v>
      </c>
      <c r="F9994" s="8">
        <v>0</v>
      </c>
      <c r="G9994" s="8">
        <v>10</v>
      </c>
      <c r="H9994" s="8" t="s">
        <v>20308</v>
      </c>
      <c r="I9994" s="8">
        <v>526.6875</v>
      </c>
      <c r="J9994" s="3">
        <f t="shared" si="156"/>
        <v>43748.21104751157</v>
      </c>
    </row>
    <row r="9995" spans="1:10" x14ac:dyDescent="0.25">
      <c r="A9995" s="5" t="s">
        <v>20309</v>
      </c>
      <c r="B9995" s="6">
        <v>393.75</v>
      </c>
      <c r="C9995" s="6">
        <v>20.426300000000001</v>
      </c>
      <c r="D9995" s="6">
        <v>85</v>
      </c>
      <c r="E9995" s="6">
        <v>0</v>
      </c>
      <c r="F9995" s="6">
        <v>0</v>
      </c>
      <c r="G9995" s="6">
        <v>13</v>
      </c>
      <c r="H9995" s="6" t="s">
        <v>20310</v>
      </c>
      <c r="I9995" s="6">
        <v>526.6875</v>
      </c>
      <c r="J9995" s="2">
        <f t="shared" si="156"/>
        <v>43748.211118912033</v>
      </c>
    </row>
    <row r="9996" spans="1:10" x14ac:dyDescent="0.25">
      <c r="A9996" s="7" t="s">
        <v>20311</v>
      </c>
      <c r="B9996" s="8">
        <v>393.75</v>
      </c>
      <c r="C9996" s="8">
        <v>20.426300000000001</v>
      </c>
      <c r="D9996" s="8">
        <v>85</v>
      </c>
      <c r="E9996" s="8">
        <v>0</v>
      </c>
      <c r="F9996" s="8">
        <v>0</v>
      </c>
      <c r="G9996" s="8">
        <v>4</v>
      </c>
      <c r="H9996" s="8" t="s">
        <v>20312</v>
      </c>
      <c r="I9996" s="8">
        <v>526.6875</v>
      </c>
      <c r="J9996" s="3">
        <f t="shared" si="156"/>
        <v>43748.211204953703</v>
      </c>
    </row>
    <row r="9997" spans="1:10" x14ac:dyDescent="0.25">
      <c r="A9997" s="5" t="s">
        <v>20313</v>
      </c>
      <c r="B9997" s="6">
        <v>393.75</v>
      </c>
      <c r="C9997" s="6">
        <v>20.426300000000001</v>
      </c>
      <c r="D9997" s="6">
        <v>85</v>
      </c>
      <c r="E9997" s="6">
        <v>0</v>
      </c>
      <c r="F9997" s="6">
        <v>0</v>
      </c>
      <c r="G9997" s="6">
        <v>3</v>
      </c>
      <c r="H9997" s="6" t="s">
        <v>20314</v>
      </c>
      <c r="I9997" s="6">
        <v>526.6875</v>
      </c>
      <c r="J9997" s="2">
        <f t="shared" si="156"/>
        <v>43748.211285624995</v>
      </c>
    </row>
    <row r="9998" spans="1:10" x14ac:dyDescent="0.25">
      <c r="A9998" s="7" t="s">
        <v>20315</v>
      </c>
      <c r="B9998" s="8">
        <v>393.75</v>
      </c>
      <c r="C9998" s="8">
        <v>20.478950000000001</v>
      </c>
      <c r="D9998" s="8">
        <v>84</v>
      </c>
      <c r="E9998" s="8">
        <v>0</v>
      </c>
      <c r="F9998" s="8">
        <v>0</v>
      </c>
      <c r="G9998" s="8">
        <v>12</v>
      </c>
      <c r="H9998" s="8" t="s">
        <v>20316</v>
      </c>
      <c r="I9998" s="8">
        <v>526.6875</v>
      </c>
      <c r="J9998" s="3">
        <f t="shared" si="156"/>
        <v>43748.211356944441</v>
      </c>
    </row>
    <row r="9999" spans="1:10" x14ac:dyDescent="0.25">
      <c r="A9999" s="5" t="s">
        <v>20317</v>
      </c>
      <c r="B9999" s="6">
        <v>393.75</v>
      </c>
      <c r="C9999" s="6">
        <v>20.426300000000001</v>
      </c>
      <c r="D9999" s="6">
        <v>84</v>
      </c>
      <c r="E9999" s="6">
        <v>0</v>
      </c>
      <c r="F9999" s="6">
        <v>0</v>
      </c>
      <c r="G9999" s="6">
        <v>8</v>
      </c>
      <c r="H9999" s="6" t="s">
        <v>20318</v>
      </c>
      <c r="I9999" s="6">
        <v>526.6875</v>
      </c>
      <c r="J9999" s="2">
        <f t="shared" si="156"/>
        <v>43748.211428275456</v>
      </c>
    </row>
    <row r="10000" spans="1:10" x14ac:dyDescent="0.25">
      <c r="A10000" s="7" t="s">
        <v>20319</v>
      </c>
      <c r="B10000" s="8">
        <v>393.75</v>
      </c>
      <c r="C10000" s="8">
        <v>20.478950000000001</v>
      </c>
      <c r="D10000" s="8">
        <v>85</v>
      </c>
      <c r="E10000" s="8">
        <v>0</v>
      </c>
      <c r="F10000" s="8">
        <v>0</v>
      </c>
      <c r="G10000" s="8">
        <v>9</v>
      </c>
      <c r="H10000" s="8" t="s">
        <v>20320</v>
      </c>
      <c r="I10000" s="8">
        <v>526.6875</v>
      </c>
      <c r="J10000" s="3">
        <f t="shared" si="156"/>
        <v>43748.211500393518</v>
      </c>
    </row>
    <row r="10001" spans="1:10" x14ac:dyDescent="0.25">
      <c r="A10001" s="5" t="s">
        <v>20321</v>
      </c>
      <c r="B10001" s="6">
        <v>393.75</v>
      </c>
      <c r="C10001" s="6">
        <v>20.478950000000001</v>
      </c>
      <c r="D10001" s="6">
        <v>85</v>
      </c>
      <c r="E10001" s="6">
        <v>0</v>
      </c>
      <c r="F10001" s="6">
        <v>0</v>
      </c>
      <c r="G10001" s="6">
        <v>10</v>
      </c>
      <c r="H10001" s="6" t="s">
        <v>20322</v>
      </c>
      <c r="I10001" s="6">
        <v>526.6875</v>
      </c>
      <c r="J10001" s="2">
        <f t="shared" si="156"/>
        <v>43748.211571631946</v>
      </c>
    </row>
    <row r="10002" spans="1:10" x14ac:dyDescent="0.25">
      <c r="A10002" s="7" t="s">
        <v>20323</v>
      </c>
      <c r="B10002" s="8">
        <v>396.875</v>
      </c>
      <c r="C10002" s="8">
        <v>20.478950000000001</v>
      </c>
      <c r="D10002" s="8">
        <v>85</v>
      </c>
      <c r="E10002" s="8">
        <v>0</v>
      </c>
      <c r="F10002" s="8">
        <v>0</v>
      </c>
      <c r="G10002" s="8">
        <v>3</v>
      </c>
      <c r="H10002" s="8" t="s">
        <v>20324</v>
      </c>
      <c r="I10002" s="8">
        <v>527.4375</v>
      </c>
      <c r="J10002" s="3">
        <f t="shared" si="156"/>
        <v>43748.21164379629</v>
      </c>
    </row>
    <row r="10003" spans="1:10" x14ac:dyDescent="0.25">
      <c r="A10003" s="5" t="s">
        <v>20325</v>
      </c>
      <c r="B10003" s="6">
        <v>396.875</v>
      </c>
      <c r="C10003" s="6">
        <v>20.478950000000001</v>
      </c>
      <c r="D10003" s="6">
        <v>85</v>
      </c>
      <c r="E10003" s="6">
        <v>0</v>
      </c>
      <c r="F10003" s="6">
        <v>0</v>
      </c>
      <c r="G10003" s="6">
        <v>7</v>
      </c>
      <c r="H10003" s="6" t="s">
        <v>20326</v>
      </c>
      <c r="I10003" s="6">
        <v>527.4375</v>
      </c>
      <c r="J10003" s="2">
        <f t="shared" si="156"/>
        <v>43748.211715266203</v>
      </c>
    </row>
    <row r="10004" spans="1:10" x14ac:dyDescent="0.25">
      <c r="A10004" s="7" t="s">
        <v>20327</v>
      </c>
      <c r="B10004" s="8">
        <v>396.875</v>
      </c>
      <c r="C10004" s="8">
        <v>20.478950000000001</v>
      </c>
      <c r="D10004" s="8">
        <v>85</v>
      </c>
      <c r="E10004" s="8">
        <v>0</v>
      </c>
      <c r="F10004" s="8">
        <v>0</v>
      </c>
      <c r="G10004" s="8">
        <v>9</v>
      </c>
      <c r="H10004" s="8" t="s">
        <v>20328</v>
      </c>
      <c r="I10004" s="8">
        <v>527.4375</v>
      </c>
      <c r="J10004" s="3">
        <f t="shared" si="156"/>
        <v>43748.211786550928</v>
      </c>
    </row>
    <row r="10005" spans="1:10" x14ac:dyDescent="0.25">
      <c r="A10005" s="5" t="s">
        <v>20329</v>
      </c>
      <c r="B10005" s="6">
        <v>415.625</v>
      </c>
      <c r="C10005" s="6">
        <v>20.478950000000001</v>
      </c>
      <c r="D10005" s="6">
        <v>85</v>
      </c>
      <c r="E10005" s="6">
        <v>0</v>
      </c>
      <c r="F10005" s="6">
        <v>0</v>
      </c>
      <c r="G10005" s="6">
        <v>6</v>
      </c>
      <c r="H10005" s="6" t="s">
        <v>20330</v>
      </c>
      <c r="I10005" s="6">
        <v>533.0625</v>
      </c>
      <c r="J10005" s="2">
        <f t="shared" si="156"/>
        <v>43748.211857847222</v>
      </c>
    </row>
    <row r="10006" spans="1:10" x14ac:dyDescent="0.25">
      <c r="A10006" s="7" t="s">
        <v>20331</v>
      </c>
      <c r="B10006" s="8">
        <v>396.875</v>
      </c>
      <c r="C10006" s="8">
        <v>20.478950000000001</v>
      </c>
      <c r="D10006" s="8">
        <v>86</v>
      </c>
      <c r="E10006" s="8">
        <v>0</v>
      </c>
      <c r="F10006" s="8">
        <v>0</v>
      </c>
      <c r="G10006" s="8">
        <v>4</v>
      </c>
      <c r="H10006" s="8" t="s">
        <v>20332</v>
      </c>
      <c r="I10006" s="8">
        <v>527.4375</v>
      </c>
      <c r="J10006" s="3">
        <f t="shared" si="156"/>
        <v>43748.211953229162</v>
      </c>
    </row>
    <row r="10007" spans="1:10" x14ac:dyDescent="0.25">
      <c r="A10007" s="5" t="s">
        <v>20333</v>
      </c>
      <c r="B10007" s="6">
        <v>396.875</v>
      </c>
      <c r="C10007" s="6">
        <v>20.426300000000001</v>
      </c>
      <c r="D10007" s="6">
        <v>85</v>
      </c>
      <c r="E10007" s="6">
        <v>0</v>
      </c>
      <c r="F10007" s="6">
        <v>0</v>
      </c>
      <c r="G10007" s="6">
        <v>8</v>
      </c>
      <c r="H10007" s="6" t="s">
        <v>20334</v>
      </c>
      <c r="I10007" s="6">
        <v>527.4375</v>
      </c>
      <c r="J10007" s="2">
        <f t="shared" si="156"/>
        <v>43748.212025462963</v>
      </c>
    </row>
    <row r="10008" spans="1:10" x14ac:dyDescent="0.25">
      <c r="A10008" s="7" t="s">
        <v>20335</v>
      </c>
      <c r="B10008" s="8">
        <v>396.875</v>
      </c>
      <c r="C10008" s="8">
        <v>20.478950000000001</v>
      </c>
      <c r="D10008" s="8">
        <v>85</v>
      </c>
      <c r="E10008" s="8">
        <v>0</v>
      </c>
      <c r="F10008" s="8">
        <v>0</v>
      </c>
      <c r="G10008" s="8">
        <v>2</v>
      </c>
      <c r="H10008" s="8" t="s">
        <v>20336</v>
      </c>
      <c r="I10008" s="8">
        <v>527.4375</v>
      </c>
      <c r="J10008" s="3">
        <f t="shared" si="156"/>
        <v>43748.212096736104</v>
      </c>
    </row>
    <row r="10009" spans="1:10" x14ac:dyDescent="0.25">
      <c r="A10009" s="5" t="s">
        <v>20337</v>
      </c>
      <c r="B10009" s="6">
        <v>400</v>
      </c>
      <c r="C10009" s="6">
        <v>20.426300000000001</v>
      </c>
      <c r="D10009" s="6">
        <v>83</v>
      </c>
      <c r="E10009" s="6">
        <v>0</v>
      </c>
      <c r="F10009" s="6">
        <v>0</v>
      </c>
      <c r="G10009" s="6">
        <v>4</v>
      </c>
      <c r="H10009" s="6" t="s">
        <v>20338</v>
      </c>
      <c r="I10009" s="6">
        <v>528.375</v>
      </c>
      <c r="J10009" s="2">
        <f t="shared" si="156"/>
        <v>43748.21218008102</v>
      </c>
    </row>
    <row r="10010" spans="1:10" x14ac:dyDescent="0.25">
      <c r="A10010" s="7" t="s">
        <v>20339</v>
      </c>
      <c r="B10010" s="8">
        <v>403.125</v>
      </c>
      <c r="C10010" s="8">
        <v>20.426300000000001</v>
      </c>
      <c r="D10010" s="8">
        <v>83</v>
      </c>
      <c r="E10010" s="8">
        <v>0</v>
      </c>
      <c r="F10010" s="8">
        <v>0</v>
      </c>
      <c r="G10010" s="8">
        <v>4</v>
      </c>
      <c r="H10010" s="8" t="s">
        <v>20340</v>
      </c>
      <c r="I10010" s="8">
        <v>529.125</v>
      </c>
      <c r="J10010" s="3">
        <f t="shared" si="156"/>
        <v>43748.212251388883</v>
      </c>
    </row>
    <row r="10011" spans="1:10" x14ac:dyDescent="0.25">
      <c r="A10011" s="5" t="s">
        <v>20341</v>
      </c>
      <c r="B10011" s="6">
        <v>418.75</v>
      </c>
      <c r="C10011" s="6">
        <v>20.478950000000001</v>
      </c>
      <c r="D10011" s="6">
        <v>82</v>
      </c>
      <c r="E10011" s="6">
        <v>0</v>
      </c>
      <c r="F10011" s="6">
        <v>0</v>
      </c>
      <c r="G10011" s="6">
        <v>17</v>
      </c>
      <c r="H10011" s="6" t="s">
        <v>20342</v>
      </c>
      <c r="I10011" s="6">
        <v>534.9375</v>
      </c>
      <c r="J10011" s="2">
        <f t="shared" si="156"/>
        <v>43748.212323437496</v>
      </c>
    </row>
    <row r="10012" spans="1:10" x14ac:dyDescent="0.25">
      <c r="A10012" s="7" t="s">
        <v>20343</v>
      </c>
      <c r="B10012" s="8">
        <v>403.125</v>
      </c>
      <c r="C10012" s="8">
        <v>20.478950000000001</v>
      </c>
      <c r="D10012" s="8">
        <v>82</v>
      </c>
      <c r="E10012" s="8">
        <v>0</v>
      </c>
      <c r="F10012" s="8">
        <v>0</v>
      </c>
      <c r="G10012" s="8">
        <v>8</v>
      </c>
      <c r="H10012" s="8" t="s">
        <v>20344</v>
      </c>
      <c r="I10012" s="8">
        <v>529.875</v>
      </c>
      <c r="J10012" s="3">
        <f t="shared" si="156"/>
        <v>43748.212394895832</v>
      </c>
    </row>
    <row r="10013" spans="1:10" x14ac:dyDescent="0.25">
      <c r="A10013" s="5" t="s">
        <v>20345</v>
      </c>
      <c r="B10013" s="6">
        <v>406.25</v>
      </c>
      <c r="C10013" s="6">
        <v>20.426300000000001</v>
      </c>
      <c r="D10013" s="6">
        <v>81</v>
      </c>
      <c r="E10013" s="6">
        <v>0</v>
      </c>
      <c r="F10013" s="6">
        <v>0</v>
      </c>
      <c r="G10013" s="6">
        <v>10</v>
      </c>
      <c r="H10013" s="6" t="s">
        <v>20346</v>
      </c>
      <c r="I10013" s="6">
        <v>530.625</v>
      </c>
      <c r="J10013" s="2">
        <f t="shared" si="156"/>
        <v>43748.212466076387</v>
      </c>
    </row>
    <row r="10014" spans="1:10" x14ac:dyDescent="0.25">
      <c r="A10014" s="7" t="s">
        <v>20347</v>
      </c>
      <c r="B10014" s="8">
        <v>403.125</v>
      </c>
      <c r="C10014" s="8">
        <v>20.478950000000001</v>
      </c>
      <c r="D10014" s="8">
        <v>81</v>
      </c>
      <c r="E10014" s="8">
        <v>0</v>
      </c>
      <c r="F10014" s="8">
        <v>0</v>
      </c>
      <c r="G10014" s="8">
        <v>8</v>
      </c>
      <c r="H10014" s="8" t="s">
        <v>20348</v>
      </c>
      <c r="I10014" s="8">
        <v>529.875</v>
      </c>
      <c r="J10014" s="3">
        <f t="shared" si="156"/>
        <v>43748.212537499996</v>
      </c>
    </row>
    <row r="10015" spans="1:10" x14ac:dyDescent="0.25">
      <c r="A10015" s="5" t="s">
        <v>20349</v>
      </c>
      <c r="B10015" s="6">
        <v>403.125</v>
      </c>
      <c r="C10015" s="6">
        <v>20.478950000000001</v>
      </c>
      <c r="D10015" s="6">
        <v>82</v>
      </c>
      <c r="E10015" s="6">
        <v>0</v>
      </c>
      <c r="F10015" s="6">
        <v>0</v>
      </c>
      <c r="G10015" s="6">
        <v>3</v>
      </c>
      <c r="H10015" s="6" t="s">
        <v>20350</v>
      </c>
      <c r="I10015" s="6">
        <v>529.875</v>
      </c>
      <c r="J10015" s="2">
        <f t="shared" si="156"/>
        <v>43748.212609722221</v>
      </c>
    </row>
    <row r="10016" spans="1:10" x14ac:dyDescent="0.25">
      <c r="A10016" s="7" t="s">
        <v>20351</v>
      </c>
      <c r="B10016" s="8">
        <v>403.125</v>
      </c>
      <c r="C10016" s="8">
        <v>20.478950000000001</v>
      </c>
      <c r="D10016" s="8">
        <v>82</v>
      </c>
      <c r="E10016" s="8">
        <v>0</v>
      </c>
      <c r="F10016" s="8">
        <v>0</v>
      </c>
      <c r="G10016" s="8">
        <v>17</v>
      </c>
      <c r="H10016" s="8" t="s">
        <v>20352</v>
      </c>
      <c r="I10016" s="8">
        <v>529.875</v>
      </c>
      <c r="J10016" s="3">
        <f t="shared" si="156"/>
        <v>43748.212680960649</v>
      </c>
    </row>
    <row r="10017" spans="1:10" x14ac:dyDescent="0.25">
      <c r="A10017" s="5" t="s">
        <v>20353</v>
      </c>
      <c r="B10017" s="6">
        <v>400</v>
      </c>
      <c r="C10017" s="6">
        <v>20.478950000000001</v>
      </c>
      <c r="D10017" s="6">
        <v>83</v>
      </c>
      <c r="E10017" s="6">
        <v>0</v>
      </c>
      <c r="F10017" s="6">
        <v>0</v>
      </c>
      <c r="G10017" s="6">
        <v>2</v>
      </c>
      <c r="H10017" s="6" t="s">
        <v>20354</v>
      </c>
      <c r="I10017" s="6">
        <v>528.9375</v>
      </c>
      <c r="J10017" s="2">
        <f t="shared" si="156"/>
        <v>43748.212752314816</v>
      </c>
    </row>
    <row r="10018" spans="1:10" x14ac:dyDescent="0.25">
      <c r="A10018" s="7" t="s">
        <v>20355</v>
      </c>
      <c r="B10018" s="8">
        <v>400</v>
      </c>
      <c r="C10018" s="8">
        <v>20.478950000000001</v>
      </c>
      <c r="D10018" s="8">
        <v>84</v>
      </c>
      <c r="E10018" s="8">
        <v>0</v>
      </c>
      <c r="F10018" s="8">
        <v>0</v>
      </c>
      <c r="G10018" s="8">
        <v>8</v>
      </c>
      <c r="H10018" s="8" t="s">
        <v>20356</v>
      </c>
      <c r="I10018" s="8">
        <v>528.9375</v>
      </c>
      <c r="J10018" s="3">
        <f t="shared" si="156"/>
        <v>43748.212823668982</v>
      </c>
    </row>
    <row r="10019" spans="1:10" x14ac:dyDescent="0.25">
      <c r="A10019" s="5" t="s">
        <v>20357</v>
      </c>
      <c r="B10019" s="6">
        <v>403.125</v>
      </c>
      <c r="C10019" s="6">
        <v>20.478950000000001</v>
      </c>
      <c r="D10019" s="6">
        <v>84</v>
      </c>
      <c r="E10019" s="6">
        <v>0</v>
      </c>
      <c r="F10019" s="6">
        <v>0</v>
      </c>
      <c r="G10019" s="6">
        <v>13</v>
      </c>
      <c r="H10019" s="6" t="s">
        <v>20358</v>
      </c>
      <c r="I10019" s="6">
        <v>529.125</v>
      </c>
      <c r="J10019" s="2">
        <f t="shared" si="156"/>
        <v>43748.212896562494</v>
      </c>
    </row>
    <row r="10020" spans="1:10" x14ac:dyDescent="0.25">
      <c r="A10020" s="7" t="s">
        <v>20359</v>
      </c>
      <c r="B10020" s="8">
        <v>403.125</v>
      </c>
      <c r="C10020" s="8">
        <v>20.426300000000001</v>
      </c>
      <c r="D10020" s="8">
        <v>84</v>
      </c>
      <c r="E10020" s="8">
        <v>0</v>
      </c>
      <c r="F10020" s="8">
        <v>0</v>
      </c>
      <c r="G10020" s="8">
        <v>14</v>
      </c>
      <c r="H10020" s="8" t="s">
        <v>20360</v>
      </c>
      <c r="I10020" s="8">
        <v>529.875</v>
      </c>
      <c r="J10020" s="3">
        <f t="shared" si="156"/>
        <v>43748.212967129628</v>
      </c>
    </row>
    <row r="10021" spans="1:10" x14ac:dyDescent="0.25">
      <c r="A10021" s="5" t="s">
        <v>20361</v>
      </c>
      <c r="B10021" s="6">
        <v>403.125</v>
      </c>
      <c r="C10021" s="6">
        <v>20.426300000000001</v>
      </c>
      <c r="D10021" s="6">
        <v>84</v>
      </c>
      <c r="E10021" s="6">
        <v>0</v>
      </c>
      <c r="F10021" s="6">
        <v>0</v>
      </c>
      <c r="G10021" s="6">
        <v>14</v>
      </c>
      <c r="H10021" s="6" t="s">
        <v>20362</v>
      </c>
      <c r="I10021" s="6">
        <v>529.125</v>
      </c>
      <c r="J10021" s="2">
        <f t="shared" si="156"/>
        <v>43748.21303835648</v>
      </c>
    </row>
    <row r="10022" spans="1:10" x14ac:dyDescent="0.25">
      <c r="A10022" s="7" t="s">
        <v>20363</v>
      </c>
      <c r="B10022" s="8">
        <v>400</v>
      </c>
      <c r="C10022" s="8">
        <v>20.426300000000001</v>
      </c>
      <c r="D10022" s="8">
        <v>84</v>
      </c>
      <c r="E10022" s="8">
        <v>0</v>
      </c>
      <c r="F10022" s="8">
        <v>0</v>
      </c>
      <c r="G10022" s="8">
        <v>0</v>
      </c>
      <c r="H10022" s="8" t="s">
        <v>20364</v>
      </c>
      <c r="I10022" s="8">
        <v>528.9375</v>
      </c>
      <c r="J10022" s="3">
        <f t="shared" si="156"/>
        <v>43748.213110590274</v>
      </c>
    </row>
    <row r="10023" spans="1:10" x14ac:dyDescent="0.25">
      <c r="A10023" s="5" t="s">
        <v>20365</v>
      </c>
      <c r="B10023" s="6">
        <v>403.125</v>
      </c>
      <c r="C10023" s="6">
        <v>20.478950000000001</v>
      </c>
      <c r="D10023" s="6">
        <v>85</v>
      </c>
      <c r="E10023" s="6">
        <v>0</v>
      </c>
      <c r="F10023" s="6">
        <v>0</v>
      </c>
      <c r="G10023" s="6">
        <v>7</v>
      </c>
      <c r="H10023" s="6" t="s">
        <v>20366</v>
      </c>
      <c r="I10023" s="6">
        <v>529.125</v>
      </c>
      <c r="J10023" s="2">
        <f t="shared" si="156"/>
        <v>43748.21319396991</v>
      </c>
    </row>
    <row r="10024" spans="1:10" x14ac:dyDescent="0.25">
      <c r="A10024" s="7" t="s">
        <v>20367</v>
      </c>
      <c r="B10024" s="8">
        <v>403.125</v>
      </c>
      <c r="C10024" s="8">
        <v>20.426300000000001</v>
      </c>
      <c r="D10024" s="8">
        <v>87</v>
      </c>
      <c r="E10024" s="8">
        <v>0</v>
      </c>
      <c r="F10024" s="8">
        <v>0</v>
      </c>
      <c r="G10024" s="8">
        <v>5</v>
      </c>
      <c r="H10024" s="8" t="s">
        <v>20368</v>
      </c>
      <c r="I10024" s="8">
        <v>529.125</v>
      </c>
      <c r="J10024" s="3">
        <f t="shared" si="156"/>
        <v>43748.213265277773</v>
      </c>
    </row>
    <row r="10025" spans="1:10" x14ac:dyDescent="0.25">
      <c r="A10025" s="5" t="s">
        <v>20369</v>
      </c>
      <c r="B10025" s="6">
        <v>403.125</v>
      </c>
      <c r="C10025" s="6">
        <v>20.426300000000001</v>
      </c>
      <c r="D10025" s="6">
        <v>87</v>
      </c>
      <c r="E10025" s="6">
        <v>0</v>
      </c>
      <c r="F10025" s="6">
        <v>0</v>
      </c>
      <c r="G10025" s="6">
        <v>3</v>
      </c>
      <c r="H10025" s="6" t="s">
        <v>20370</v>
      </c>
      <c r="I10025" s="6">
        <v>529.125</v>
      </c>
      <c r="J10025" s="2">
        <f t="shared" si="156"/>
        <v>43748.213336562498</v>
      </c>
    </row>
    <row r="10026" spans="1:10" x14ac:dyDescent="0.25">
      <c r="A10026" s="7" t="s">
        <v>20371</v>
      </c>
      <c r="B10026" s="8">
        <v>400</v>
      </c>
      <c r="C10026" s="8">
        <v>20.478950000000001</v>
      </c>
      <c r="D10026" s="8">
        <v>89</v>
      </c>
      <c r="E10026" s="8">
        <v>0</v>
      </c>
      <c r="F10026" s="8">
        <v>0</v>
      </c>
      <c r="G10026" s="8">
        <v>2</v>
      </c>
      <c r="H10026" s="8" t="s">
        <v>20372</v>
      </c>
      <c r="I10026" s="8">
        <v>528.9375</v>
      </c>
      <c r="J10026" s="3">
        <f t="shared" si="156"/>
        <v>43748.213407916664</v>
      </c>
    </row>
    <row r="10027" spans="1:10" x14ac:dyDescent="0.25">
      <c r="A10027" s="5" t="s">
        <v>20373</v>
      </c>
      <c r="B10027" s="6">
        <v>403.125</v>
      </c>
      <c r="C10027" s="6">
        <v>20.478950000000001</v>
      </c>
      <c r="D10027" s="6">
        <v>89</v>
      </c>
      <c r="E10027" s="6">
        <v>0</v>
      </c>
      <c r="F10027" s="6">
        <v>0</v>
      </c>
      <c r="G10027" s="6">
        <v>9</v>
      </c>
      <c r="H10027" s="6" t="s">
        <v>20374</v>
      </c>
      <c r="I10027" s="6">
        <v>529.125</v>
      </c>
      <c r="J10027" s="2">
        <f t="shared" si="156"/>
        <v>43748.213480127313</v>
      </c>
    </row>
    <row r="10028" spans="1:10" x14ac:dyDescent="0.25">
      <c r="A10028" s="7" t="s">
        <v>20375</v>
      </c>
      <c r="B10028" s="8">
        <v>400</v>
      </c>
      <c r="C10028" s="8">
        <v>20.426300000000001</v>
      </c>
      <c r="D10028" s="8">
        <v>89</v>
      </c>
      <c r="E10028" s="8">
        <v>0</v>
      </c>
      <c r="F10028" s="8">
        <v>0</v>
      </c>
      <c r="G10028" s="8">
        <v>11</v>
      </c>
      <c r="H10028" s="8" t="s">
        <v>20376</v>
      </c>
      <c r="I10028" s="8">
        <v>528.9375</v>
      </c>
      <c r="J10028" s="3">
        <f t="shared" si="156"/>
        <v>43748.213551388886</v>
      </c>
    </row>
    <row r="10029" spans="1:10" x14ac:dyDescent="0.25">
      <c r="A10029" s="5" t="s">
        <v>20377</v>
      </c>
      <c r="B10029" s="6">
        <v>400</v>
      </c>
      <c r="C10029" s="6">
        <v>20.426300000000001</v>
      </c>
      <c r="D10029" s="6">
        <v>89</v>
      </c>
      <c r="E10029" s="6">
        <v>0</v>
      </c>
      <c r="F10029" s="6">
        <v>0</v>
      </c>
      <c r="G10029" s="6">
        <v>11</v>
      </c>
      <c r="H10029" s="6" t="s">
        <v>20378</v>
      </c>
      <c r="I10029" s="6">
        <v>528.9375</v>
      </c>
      <c r="J10029" s="2">
        <f t="shared" si="156"/>
        <v>43748.213622673611</v>
      </c>
    </row>
    <row r="10030" spans="1:10" x14ac:dyDescent="0.25">
      <c r="A10030" s="7" t="s">
        <v>20379</v>
      </c>
      <c r="B10030" s="8">
        <v>400</v>
      </c>
      <c r="C10030" s="8">
        <v>20.426300000000001</v>
      </c>
      <c r="D10030" s="8">
        <v>89</v>
      </c>
      <c r="E10030" s="8">
        <v>0</v>
      </c>
      <c r="F10030" s="8">
        <v>0</v>
      </c>
      <c r="G10030" s="8">
        <v>7</v>
      </c>
      <c r="H10030" s="8" t="s">
        <v>20380</v>
      </c>
      <c r="I10030" s="8">
        <v>528.1875</v>
      </c>
      <c r="J10030" s="3">
        <f t="shared" si="156"/>
        <v>43748.213694085651</v>
      </c>
    </row>
    <row r="10031" spans="1:10" x14ac:dyDescent="0.25">
      <c r="A10031" s="5" t="s">
        <v>20381</v>
      </c>
      <c r="B10031" s="6">
        <v>400</v>
      </c>
      <c r="C10031" s="6">
        <v>20.426300000000001</v>
      </c>
      <c r="D10031" s="6">
        <v>89</v>
      </c>
      <c r="E10031" s="6">
        <v>0</v>
      </c>
      <c r="F10031" s="6">
        <v>0</v>
      </c>
      <c r="G10031" s="6">
        <v>10</v>
      </c>
      <c r="H10031" s="6" t="s">
        <v>20382</v>
      </c>
      <c r="I10031" s="6">
        <v>528.1875</v>
      </c>
      <c r="J10031" s="2">
        <f t="shared" si="156"/>
        <v>43748.21376533564</v>
      </c>
    </row>
    <row r="10032" spans="1:10" x14ac:dyDescent="0.25">
      <c r="A10032" s="7" t="s">
        <v>20383</v>
      </c>
      <c r="B10032" s="8">
        <v>415.625</v>
      </c>
      <c r="C10032" s="8">
        <v>20.426300000000001</v>
      </c>
      <c r="D10032" s="8">
        <v>88</v>
      </c>
      <c r="E10032" s="8">
        <v>0</v>
      </c>
      <c r="F10032" s="8">
        <v>0</v>
      </c>
      <c r="G10032" s="8">
        <v>7</v>
      </c>
      <c r="H10032" s="8" t="s">
        <v>20384</v>
      </c>
      <c r="I10032" s="8">
        <v>533.8125</v>
      </c>
      <c r="J10032" s="3">
        <f t="shared" si="156"/>
        <v>43748.213837511568</v>
      </c>
    </row>
    <row r="10033" spans="1:10" x14ac:dyDescent="0.25">
      <c r="A10033" s="5" t="s">
        <v>20385</v>
      </c>
      <c r="B10033" s="6">
        <v>400</v>
      </c>
      <c r="C10033" s="6">
        <v>20.478950000000001</v>
      </c>
      <c r="D10033" s="6">
        <v>88</v>
      </c>
      <c r="E10033" s="6">
        <v>0</v>
      </c>
      <c r="F10033" s="6">
        <v>0</v>
      </c>
      <c r="G10033" s="6">
        <v>0</v>
      </c>
      <c r="H10033" s="6" t="s">
        <v>20386</v>
      </c>
      <c r="I10033" s="6">
        <v>528.9375</v>
      </c>
      <c r="J10033" s="2">
        <f t="shared" si="156"/>
        <v>43748.213908784724</v>
      </c>
    </row>
    <row r="10034" spans="1:10" x14ac:dyDescent="0.25">
      <c r="A10034" s="7" t="s">
        <v>20387</v>
      </c>
      <c r="B10034" s="8">
        <v>403.125</v>
      </c>
      <c r="C10034" s="8">
        <v>20.478950000000001</v>
      </c>
      <c r="D10034" s="8">
        <v>88</v>
      </c>
      <c r="E10034" s="8">
        <v>0</v>
      </c>
      <c r="F10034" s="8">
        <v>0</v>
      </c>
      <c r="G10034" s="8">
        <v>10</v>
      </c>
      <c r="H10034" s="8" t="s">
        <v>20388</v>
      </c>
      <c r="I10034" s="8">
        <v>529.125</v>
      </c>
      <c r="J10034" s="3">
        <f t="shared" si="156"/>
        <v>43748.213981018511</v>
      </c>
    </row>
    <row r="10035" spans="1:10" x14ac:dyDescent="0.25">
      <c r="A10035" s="5" t="s">
        <v>20389</v>
      </c>
      <c r="B10035" s="6">
        <v>400</v>
      </c>
      <c r="C10035" s="6">
        <v>20.426300000000001</v>
      </c>
      <c r="D10035" s="6">
        <v>92</v>
      </c>
      <c r="E10035" s="6">
        <v>0</v>
      </c>
      <c r="F10035" s="6">
        <v>0</v>
      </c>
      <c r="G10035" s="6">
        <v>0</v>
      </c>
      <c r="H10035" s="6" t="s">
        <v>20390</v>
      </c>
      <c r="I10035" s="6">
        <v>528.9375</v>
      </c>
      <c r="J10035" s="2">
        <f t="shared" si="156"/>
        <v>43748.214064340274</v>
      </c>
    </row>
    <row r="10036" spans="1:10" x14ac:dyDescent="0.25">
      <c r="A10036" s="7" t="s">
        <v>20391</v>
      </c>
      <c r="B10036" s="8">
        <v>403.125</v>
      </c>
      <c r="C10036" s="8">
        <v>20.426300000000001</v>
      </c>
      <c r="D10036" s="8">
        <v>92</v>
      </c>
      <c r="E10036" s="8">
        <v>0</v>
      </c>
      <c r="F10036" s="8">
        <v>0</v>
      </c>
      <c r="G10036" s="8">
        <v>11</v>
      </c>
      <c r="H10036" s="8" t="s">
        <v>20392</v>
      </c>
      <c r="I10036" s="8">
        <v>529.125</v>
      </c>
      <c r="J10036" s="3">
        <f t="shared" si="156"/>
        <v>43748.214135624999</v>
      </c>
    </row>
    <row r="10037" spans="1:10" x14ac:dyDescent="0.25">
      <c r="A10037" s="5" t="s">
        <v>20393</v>
      </c>
      <c r="B10037" s="6">
        <v>403.125</v>
      </c>
      <c r="C10037" s="6">
        <v>20.478950000000001</v>
      </c>
      <c r="D10037" s="6">
        <v>91</v>
      </c>
      <c r="E10037" s="6">
        <v>0</v>
      </c>
      <c r="F10037" s="6">
        <v>0</v>
      </c>
      <c r="G10037" s="6">
        <v>12</v>
      </c>
      <c r="H10037" s="6" t="s">
        <v>20394</v>
      </c>
      <c r="I10037" s="6">
        <v>529.125</v>
      </c>
      <c r="J10037" s="2">
        <f t="shared" si="156"/>
        <v>43748.214206944445</v>
      </c>
    </row>
    <row r="10038" spans="1:10" x14ac:dyDescent="0.25">
      <c r="A10038" s="7" t="s">
        <v>20395</v>
      </c>
      <c r="B10038" s="8">
        <v>403.125</v>
      </c>
      <c r="C10038" s="8">
        <v>20.426300000000001</v>
      </c>
      <c r="D10038" s="8">
        <v>91</v>
      </c>
      <c r="E10038" s="8">
        <v>0</v>
      </c>
      <c r="F10038" s="8">
        <v>0</v>
      </c>
      <c r="G10038" s="8">
        <v>15</v>
      </c>
      <c r="H10038" s="8" t="s">
        <v>20396</v>
      </c>
      <c r="I10038" s="8">
        <v>529.125</v>
      </c>
      <c r="J10038" s="3">
        <f t="shared" si="156"/>
        <v>43748.214278240739</v>
      </c>
    </row>
    <row r="10039" spans="1:10" x14ac:dyDescent="0.25">
      <c r="A10039" s="5" t="s">
        <v>20397</v>
      </c>
      <c r="B10039" s="6">
        <v>400</v>
      </c>
      <c r="C10039" s="6">
        <v>20.478950000000001</v>
      </c>
      <c r="D10039" s="6">
        <v>91</v>
      </c>
      <c r="E10039" s="6">
        <v>0</v>
      </c>
      <c r="F10039" s="6">
        <v>0</v>
      </c>
      <c r="G10039" s="6">
        <v>10</v>
      </c>
      <c r="H10039" s="6" t="s">
        <v>20398</v>
      </c>
      <c r="I10039" s="6">
        <v>528.1875</v>
      </c>
      <c r="J10039" s="2">
        <f t="shared" si="156"/>
        <v>43748.214361666665</v>
      </c>
    </row>
    <row r="10040" spans="1:10" x14ac:dyDescent="0.25">
      <c r="A10040" s="7" t="s">
        <v>20399</v>
      </c>
      <c r="B10040" s="8">
        <v>403.125</v>
      </c>
      <c r="C10040" s="8">
        <v>20.426300000000001</v>
      </c>
      <c r="D10040" s="8">
        <v>91</v>
      </c>
      <c r="E10040" s="8">
        <v>0</v>
      </c>
      <c r="F10040" s="8">
        <v>0</v>
      </c>
      <c r="G10040" s="8">
        <v>5</v>
      </c>
      <c r="H10040" s="8" t="s">
        <v>20400</v>
      </c>
      <c r="I10040" s="8">
        <v>529.125</v>
      </c>
      <c r="J10040" s="3">
        <f t="shared" si="156"/>
        <v>43748.214433773144</v>
      </c>
    </row>
    <row r="10041" spans="1:10" x14ac:dyDescent="0.25">
      <c r="A10041" s="5" t="s">
        <v>20401</v>
      </c>
      <c r="B10041" s="6">
        <v>403.125</v>
      </c>
      <c r="C10041" s="6">
        <v>20.478950000000001</v>
      </c>
      <c r="D10041" s="6">
        <v>91</v>
      </c>
      <c r="E10041" s="6">
        <v>0</v>
      </c>
      <c r="F10041" s="6">
        <v>0</v>
      </c>
      <c r="G10041" s="6">
        <v>6</v>
      </c>
      <c r="H10041" s="6" t="s">
        <v>20402</v>
      </c>
      <c r="I10041" s="6">
        <v>529.125</v>
      </c>
      <c r="J10041" s="2">
        <f t="shared" si="156"/>
        <v>43748.21451701389</v>
      </c>
    </row>
    <row r="10042" spans="1:10" x14ac:dyDescent="0.25">
      <c r="A10042" s="7" t="s">
        <v>20403</v>
      </c>
      <c r="B10042" s="8">
        <v>428.125</v>
      </c>
      <c r="C10042" s="8">
        <v>20.478950000000001</v>
      </c>
      <c r="D10042" s="8">
        <v>93</v>
      </c>
      <c r="E10042" s="8">
        <v>0</v>
      </c>
      <c r="F10042" s="8">
        <v>0</v>
      </c>
      <c r="G10042" s="8">
        <v>13</v>
      </c>
      <c r="H10042" s="8" t="s">
        <v>20404</v>
      </c>
      <c r="I10042" s="8">
        <v>537.9375</v>
      </c>
      <c r="J10042" s="3">
        <f t="shared" si="156"/>
        <v>43748.214600462961</v>
      </c>
    </row>
    <row r="10043" spans="1:10" x14ac:dyDescent="0.25">
      <c r="A10043" s="5" t="s">
        <v>20405</v>
      </c>
      <c r="B10043" s="6">
        <v>403.125</v>
      </c>
      <c r="C10043" s="6">
        <v>20.478950000000001</v>
      </c>
      <c r="D10043" s="6">
        <v>93</v>
      </c>
      <c r="E10043" s="6">
        <v>0</v>
      </c>
      <c r="F10043" s="6">
        <v>0</v>
      </c>
      <c r="G10043" s="6">
        <v>11</v>
      </c>
      <c r="H10043" s="6" t="s">
        <v>20406</v>
      </c>
      <c r="I10043" s="6">
        <v>529.875</v>
      </c>
      <c r="J10043" s="2">
        <f t="shared" si="156"/>
        <v>43748.214672499998</v>
      </c>
    </row>
    <row r="10044" spans="1:10" x14ac:dyDescent="0.25">
      <c r="A10044" s="7" t="s">
        <v>20407</v>
      </c>
      <c r="B10044" s="8">
        <v>403.125</v>
      </c>
      <c r="C10044" s="8">
        <v>20.478950000000001</v>
      </c>
      <c r="D10044" s="8">
        <v>93</v>
      </c>
      <c r="E10044" s="8">
        <v>0</v>
      </c>
      <c r="F10044" s="8">
        <v>0</v>
      </c>
      <c r="G10044" s="8">
        <v>17</v>
      </c>
      <c r="H10044" s="8" t="s">
        <v>20408</v>
      </c>
      <c r="I10044" s="8">
        <v>529.125</v>
      </c>
      <c r="J10044" s="3">
        <f t="shared" si="156"/>
        <v>43748.21474398148</v>
      </c>
    </row>
    <row r="10045" spans="1:10" x14ac:dyDescent="0.25">
      <c r="A10045" s="5" t="s">
        <v>20409</v>
      </c>
      <c r="B10045" s="6">
        <v>403.125</v>
      </c>
      <c r="C10045" s="6">
        <v>20.426300000000001</v>
      </c>
      <c r="D10045" s="6">
        <v>91</v>
      </c>
      <c r="E10045" s="6">
        <v>0</v>
      </c>
      <c r="F10045" s="6">
        <v>0</v>
      </c>
      <c r="G10045" s="6">
        <v>11</v>
      </c>
      <c r="H10045" s="6" t="s">
        <v>20410</v>
      </c>
      <c r="I10045" s="6">
        <v>529.125</v>
      </c>
      <c r="J10045" s="2">
        <f t="shared" si="156"/>
        <v>43748.214815277774</v>
      </c>
    </row>
    <row r="10046" spans="1:10" x14ac:dyDescent="0.25">
      <c r="A10046" s="7" t="s">
        <v>20411</v>
      </c>
      <c r="B10046" s="8">
        <v>400</v>
      </c>
      <c r="C10046" s="8">
        <v>20.426300000000001</v>
      </c>
      <c r="D10046" s="8">
        <v>90</v>
      </c>
      <c r="E10046" s="8">
        <v>0</v>
      </c>
      <c r="F10046" s="8">
        <v>0</v>
      </c>
      <c r="G10046" s="8">
        <v>14</v>
      </c>
      <c r="H10046" s="8" t="s">
        <v>20412</v>
      </c>
      <c r="I10046" s="8">
        <v>528.375</v>
      </c>
      <c r="J10046" s="3">
        <f t="shared" si="156"/>
        <v>43748.214886550923</v>
      </c>
    </row>
    <row r="10047" spans="1:10" x14ac:dyDescent="0.25">
      <c r="A10047" s="5" t="s">
        <v>20413</v>
      </c>
      <c r="B10047" s="6">
        <v>400</v>
      </c>
      <c r="C10047" s="6">
        <v>20.478950000000001</v>
      </c>
      <c r="D10047" s="6">
        <v>91</v>
      </c>
      <c r="E10047" s="6">
        <v>0</v>
      </c>
      <c r="F10047" s="6">
        <v>0</v>
      </c>
      <c r="G10047" s="6">
        <v>9</v>
      </c>
      <c r="H10047" s="6" t="s">
        <v>20414</v>
      </c>
      <c r="I10047" s="6">
        <v>528.1875</v>
      </c>
      <c r="J10047" s="2">
        <f t="shared" si="156"/>
        <v>43748.214958784716</v>
      </c>
    </row>
    <row r="10048" spans="1:10" x14ac:dyDescent="0.25">
      <c r="A10048" s="7" t="s">
        <v>20415</v>
      </c>
      <c r="B10048" s="8">
        <v>400</v>
      </c>
      <c r="C10048" s="8">
        <v>20.478950000000001</v>
      </c>
      <c r="D10048" s="8">
        <v>90</v>
      </c>
      <c r="E10048" s="8">
        <v>0</v>
      </c>
      <c r="F10048" s="8">
        <v>0</v>
      </c>
      <c r="G10048" s="8">
        <v>13</v>
      </c>
      <c r="H10048" s="8" t="s">
        <v>20416</v>
      </c>
      <c r="I10048" s="8">
        <v>528.375</v>
      </c>
      <c r="J10048" s="3">
        <f t="shared" si="156"/>
        <v>43748.215030081017</v>
      </c>
    </row>
    <row r="10049" spans="1:10" x14ac:dyDescent="0.25">
      <c r="A10049" s="5" t="s">
        <v>20417</v>
      </c>
      <c r="B10049" s="6">
        <v>400</v>
      </c>
      <c r="C10049" s="6">
        <v>20.426300000000001</v>
      </c>
      <c r="D10049" s="6">
        <v>88</v>
      </c>
      <c r="E10049" s="6">
        <v>0</v>
      </c>
      <c r="F10049" s="6">
        <v>0</v>
      </c>
      <c r="G10049" s="6">
        <v>18</v>
      </c>
      <c r="H10049" s="6" t="s">
        <v>20418</v>
      </c>
      <c r="I10049" s="6">
        <v>528.375</v>
      </c>
      <c r="J10049" s="2">
        <f t="shared" si="156"/>
        <v>43748.215101377311</v>
      </c>
    </row>
    <row r="10050" spans="1:10" x14ac:dyDescent="0.25">
      <c r="A10050" s="7" t="s">
        <v>20419</v>
      </c>
      <c r="B10050" s="8">
        <v>418.75</v>
      </c>
      <c r="C10050" s="8">
        <v>20.478950000000001</v>
      </c>
      <c r="D10050" s="8">
        <v>85</v>
      </c>
      <c r="E10050" s="8">
        <v>0</v>
      </c>
      <c r="F10050" s="8">
        <v>0</v>
      </c>
      <c r="G10050" s="8">
        <v>7</v>
      </c>
      <c r="H10050" s="8" t="s">
        <v>20420</v>
      </c>
      <c r="I10050" s="8">
        <v>534</v>
      </c>
      <c r="J10050" s="3">
        <f t="shared" ref="J10050:J10113" si="157">(H10050/86400000)+25569+(7/24)</f>
        <v>43748.215172731478</v>
      </c>
    </row>
    <row r="10051" spans="1:10" x14ac:dyDescent="0.25">
      <c r="A10051" s="5" t="s">
        <v>20421</v>
      </c>
      <c r="B10051" s="6">
        <v>396.875</v>
      </c>
      <c r="C10051" s="6">
        <v>20.426300000000001</v>
      </c>
      <c r="D10051" s="6">
        <v>84</v>
      </c>
      <c r="E10051" s="6">
        <v>0</v>
      </c>
      <c r="F10051" s="6">
        <v>0</v>
      </c>
      <c r="G10051" s="6">
        <v>11</v>
      </c>
      <c r="H10051" s="6" t="s">
        <v>20422</v>
      </c>
      <c r="I10051" s="6">
        <v>527.4375</v>
      </c>
      <c r="J10051" s="2">
        <f t="shared" si="157"/>
        <v>43748.21524489583</v>
      </c>
    </row>
    <row r="10052" spans="1:10" x14ac:dyDescent="0.25">
      <c r="A10052" s="7" t="s">
        <v>20423</v>
      </c>
      <c r="B10052" s="8">
        <v>396.875</v>
      </c>
      <c r="C10052" s="8">
        <v>20.478950000000001</v>
      </c>
      <c r="D10052" s="8">
        <v>84</v>
      </c>
      <c r="E10052" s="8">
        <v>0</v>
      </c>
      <c r="F10052" s="8">
        <v>0</v>
      </c>
      <c r="G10052" s="8">
        <v>12</v>
      </c>
      <c r="H10052" s="8" t="s">
        <v>20424</v>
      </c>
      <c r="I10052" s="8">
        <v>527.4375</v>
      </c>
      <c r="J10052" s="3">
        <f t="shared" si="157"/>
        <v>43748.215316134258</v>
      </c>
    </row>
    <row r="10053" spans="1:10" x14ac:dyDescent="0.25">
      <c r="A10053" s="5" t="s">
        <v>20425</v>
      </c>
      <c r="B10053" s="6">
        <v>396.875</v>
      </c>
      <c r="C10053" s="6">
        <v>20.478950000000001</v>
      </c>
      <c r="D10053" s="6">
        <v>85</v>
      </c>
      <c r="E10053" s="6">
        <v>0</v>
      </c>
      <c r="F10053" s="6">
        <v>0</v>
      </c>
      <c r="G10053" s="6">
        <v>12</v>
      </c>
      <c r="H10053" s="6" t="s">
        <v>20426</v>
      </c>
      <c r="I10053" s="6">
        <v>527.4375</v>
      </c>
      <c r="J10053" s="2">
        <f t="shared" si="157"/>
        <v>43748.215399537039</v>
      </c>
    </row>
    <row r="10054" spans="1:10" x14ac:dyDescent="0.25">
      <c r="A10054" s="7" t="s">
        <v>20427</v>
      </c>
      <c r="B10054" s="8">
        <v>393.75</v>
      </c>
      <c r="C10054" s="8">
        <v>20.426300000000001</v>
      </c>
      <c r="D10054" s="8">
        <v>85</v>
      </c>
      <c r="E10054" s="8">
        <v>0</v>
      </c>
      <c r="F10054" s="8">
        <v>0</v>
      </c>
      <c r="G10054" s="8">
        <v>6</v>
      </c>
      <c r="H10054" s="8" t="s">
        <v>20428</v>
      </c>
      <c r="I10054" s="8">
        <v>526.6875</v>
      </c>
      <c r="J10054" s="3">
        <f t="shared" si="157"/>
        <v>43748.215470868054</v>
      </c>
    </row>
    <row r="10055" spans="1:10" x14ac:dyDescent="0.25">
      <c r="A10055" s="5" t="s">
        <v>20429</v>
      </c>
      <c r="B10055" s="6">
        <v>393.75</v>
      </c>
      <c r="C10055" s="6">
        <v>20.478950000000001</v>
      </c>
      <c r="D10055" s="6">
        <v>86</v>
      </c>
      <c r="E10055" s="6">
        <v>0</v>
      </c>
      <c r="F10055" s="6">
        <v>0</v>
      </c>
      <c r="G10055" s="6">
        <v>4</v>
      </c>
      <c r="H10055" s="6" t="s">
        <v>20430</v>
      </c>
      <c r="I10055" s="6">
        <v>526.6875</v>
      </c>
      <c r="J10055" s="2">
        <f t="shared" si="157"/>
        <v>43748.215542418977</v>
      </c>
    </row>
    <row r="10056" spans="1:10" x14ac:dyDescent="0.25">
      <c r="A10056" s="7" t="s">
        <v>20431</v>
      </c>
      <c r="B10056" s="8">
        <v>393.75</v>
      </c>
      <c r="C10056" s="8">
        <v>20.478950000000001</v>
      </c>
      <c r="D10056" s="8">
        <v>87</v>
      </c>
      <c r="E10056" s="8">
        <v>0</v>
      </c>
      <c r="F10056" s="8">
        <v>0</v>
      </c>
      <c r="G10056" s="8">
        <v>10</v>
      </c>
      <c r="H10056" s="8" t="s">
        <v>20432</v>
      </c>
      <c r="I10056" s="8">
        <v>526.6875</v>
      </c>
      <c r="J10056" s="3">
        <f t="shared" si="157"/>
        <v>43748.215614340275</v>
      </c>
    </row>
    <row r="10057" spans="1:10" x14ac:dyDescent="0.25">
      <c r="A10057" s="5" t="s">
        <v>20433</v>
      </c>
      <c r="B10057" s="6">
        <v>393.75</v>
      </c>
      <c r="C10057" s="6">
        <v>20.426300000000001</v>
      </c>
      <c r="D10057" s="6">
        <v>87</v>
      </c>
      <c r="E10057" s="6">
        <v>0</v>
      </c>
      <c r="F10057" s="6">
        <v>0</v>
      </c>
      <c r="G10057" s="6">
        <v>6</v>
      </c>
      <c r="H10057" s="6" t="s">
        <v>20434</v>
      </c>
      <c r="I10057" s="6">
        <v>526.6875</v>
      </c>
      <c r="J10057" s="2">
        <f t="shared" si="157"/>
        <v>43748.215685567127</v>
      </c>
    </row>
    <row r="10058" spans="1:10" x14ac:dyDescent="0.25">
      <c r="A10058" s="7" t="s">
        <v>20435</v>
      </c>
      <c r="B10058" s="8">
        <v>393.75</v>
      </c>
      <c r="C10058" s="8">
        <v>20.478950000000001</v>
      </c>
      <c r="D10058" s="8">
        <v>87</v>
      </c>
      <c r="E10058" s="8">
        <v>0</v>
      </c>
      <c r="F10058" s="8">
        <v>0</v>
      </c>
      <c r="G10058" s="8">
        <v>12</v>
      </c>
      <c r="H10058" s="8" t="s">
        <v>20436</v>
      </c>
      <c r="I10058" s="8">
        <v>526.5</v>
      </c>
      <c r="J10058" s="3">
        <f t="shared" si="157"/>
        <v>43748.215756944446</v>
      </c>
    </row>
    <row r="10059" spans="1:10" x14ac:dyDescent="0.25">
      <c r="A10059" s="5" t="s">
        <v>20437</v>
      </c>
      <c r="B10059" s="6">
        <v>396.875</v>
      </c>
      <c r="C10059" s="6">
        <v>20.478950000000001</v>
      </c>
      <c r="D10059" s="6">
        <v>86</v>
      </c>
      <c r="E10059" s="6">
        <v>0</v>
      </c>
      <c r="F10059" s="6">
        <v>0</v>
      </c>
      <c r="G10059" s="6">
        <v>10</v>
      </c>
      <c r="H10059" s="6" t="s">
        <v>20438</v>
      </c>
      <c r="I10059" s="6">
        <v>527.4375</v>
      </c>
      <c r="J10059" s="2">
        <f t="shared" si="157"/>
        <v>43748.215829097222</v>
      </c>
    </row>
    <row r="10060" spans="1:10" x14ac:dyDescent="0.25">
      <c r="A10060" s="7" t="s">
        <v>20439</v>
      </c>
      <c r="B10060" s="8">
        <v>396.875</v>
      </c>
      <c r="C10060" s="8">
        <v>20.426300000000001</v>
      </c>
      <c r="D10060" s="8">
        <v>88</v>
      </c>
      <c r="E10060" s="8">
        <v>0</v>
      </c>
      <c r="F10060" s="8">
        <v>0</v>
      </c>
      <c r="G10060" s="8">
        <v>15</v>
      </c>
      <c r="H10060" s="8" t="s">
        <v>20440</v>
      </c>
      <c r="I10060" s="8">
        <v>527.4375</v>
      </c>
      <c r="J10060" s="3">
        <f t="shared" si="157"/>
        <v>43748.215912361113</v>
      </c>
    </row>
    <row r="10061" spans="1:10" x14ac:dyDescent="0.25">
      <c r="A10061" s="5" t="s">
        <v>20441</v>
      </c>
      <c r="B10061" s="6">
        <v>400</v>
      </c>
      <c r="C10061" s="6">
        <v>20.478950000000001</v>
      </c>
      <c r="D10061" s="6">
        <v>88</v>
      </c>
      <c r="E10061" s="6">
        <v>0</v>
      </c>
      <c r="F10061" s="6">
        <v>0</v>
      </c>
      <c r="G10061" s="6">
        <v>12</v>
      </c>
      <c r="H10061" s="6" t="s">
        <v>20442</v>
      </c>
      <c r="I10061" s="6">
        <v>528.1875</v>
      </c>
      <c r="J10061" s="2">
        <f t="shared" si="157"/>
        <v>43748.215983773145</v>
      </c>
    </row>
    <row r="10062" spans="1:10" x14ac:dyDescent="0.25">
      <c r="A10062" s="7" t="s">
        <v>20443</v>
      </c>
      <c r="B10062" s="8">
        <v>403.125</v>
      </c>
      <c r="C10062" s="8">
        <v>20.478950000000001</v>
      </c>
      <c r="D10062" s="8">
        <v>89</v>
      </c>
      <c r="E10062" s="8">
        <v>0</v>
      </c>
      <c r="F10062" s="8">
        <v>0</v>
      </c>
      <c r="G10062" s="8">
        <v>4</v>
      </c>
      <c r="H10062" s="8" t="s">
        <v>20444</v>
      </c>
      <c r="I10062" s="8">
        <v>529.125</v>
      </c>
      <c r="J10062" s="3">
        <f t="shared" si="157"/>
        <v>43748.21605516204</v>
      </c>
    </row>
    <row r="10063" spans="1:10" x14ac:dyDescent="0.25">
      <c r="A10063" s="5" t="s">
        <v>20445</v>
      </c>
      <c r="B10063" s="6">
        <v>403.125</v>
      </c>
      <c r="C10063" s="6">
        <v>20.478950000000001</v>
      </c>
      <c r="D10063" s="6">
        <v>89</v>
      </c>
      <c r="E10063" s="6">
        <v>0</v>
      </c>
      <c r="F10063" s="6">
        <v>0</v>
      </c>
      <c r="G10063" s="6">
        <v>7</v>
      </c>
      <c r="H10063" s="6" t="s">
        <v>20446</v>
      </c>
      <c r="I10063" s="6">
        <v>529.125</v>
      </c>
      <c r="J10063" s="2">
        <f t="shared" si="157"/>
        <v>43748.216127291664</v>
      </c>
    </row>
    <row r="10064" spans="1:10" x14ac:dyDescent="0.25">
      <c r="A10064" s="7" t="s">
        <v>20447</v>
      </c>
      <c r="B10064" s="8">
        <v>400</v>
      </c>
      <c r="C10064" s="8">
        <v>20.426300000000001</v>
      </c>
      <c r="D10064" s="8">
        <v>89</v>
      </c>
      <c r="E10064" s="8">
        <v>0</v>
      </c>
      <c r="F10064" s="8">
        <v>0</v>
      </c>
      <c r="G10064" s="8">
        <v>10</v>
      </c>
      <c r="H10064" s="8" t="s">
        <v>20448</v>
      </c>
      <c r="I10064" s="8">
        <v>528.9375</v>
      </c>
      <c r="J10064" s="3">
        <f t="shared" si="157"/>
        <v>43748.21619861111</v>
      </c>
    </row>
    <row r="10065" spans="1:10" x14ac:dyDescent="0.25">
      <c r="A10065" s="5" t="s">
        <v>20449</v>
      </c>
      <c r="B10065" s="6">
        <v>400</v>
      </c>
      <c r="C10065" s="6">
        <v>20.478950000000001</v>
      </c>
      <c r="D10065" s="6">
        <v>89</v>
      </c>
      <c r="E10065" s="6">
        <v>0</v>
      </c>
      <c r="F10065" s="6">
        <v>0</v>
      </c>
      <c r="G10065" s="6">
        <v>13</v>
      </c>
      <c r="H10065" s="6" t="s">
        <v>20450</v>
      </c>
      <c r="I10065" s="6">
        <v>528.9375</v>
      </c>
      <c r="J10065" s="2">
        <f t="shared" si="157"/>
        <v>43748.216269884259</v>
      </c>
    </row>
    <row r="10066" spans="1:10" x14ac:dyDescent="0.25">
      <c r="A10066" s="7" t="s">
        <v>20451</v>
      </c>
      <c r="B10066" s="8">
        <v>403.125</v>
      </c>
      <c r="C10066" s="8">
        <v>20.478950000000001</v>
      </c>
      <c r="D10066" s="8">
        <v>89</v>
      </c>
      <c r="E10066" s="8">
        <v>0</v>
      </c>
      <c r="F10066" s="8">
        <v>0</v>
      </c>
      <c r="G10066" s="8">
        <v>12</v>
      </c>
      <c r="H10066" s="8" t="s">
        <v>20452</v>
      </c>
      <c r="I10066" s="8">
        <v>529.125</v>
      </c>
      <c r="J10066" s="3">
        <f t="shared" si="157"/>
        <v>43748.216342071755</v>
      </c>
    </row>
    <row r="10067" spans="1:10" x14ac:dyDescent="0.25">
      <c r="A10067" s="5" t="s">
        <v>20453</v>
      </c>
      <c r="B10067" s="6">
        <v>403.125</v>
      </c>
      <c r="C10067" s="6">
        <v>20.478950000000001</v>
      </c>
      <c r="D10067" s="6">
        <v>89</v>
      </c>
      <c r="E10067" s="6">
        <v>0</v>
      </c>
      <c r="F10067" s="6">
        <v>0</v>
      </c>
      <c r="G10067" s="6">
        <v>8</v>
      </c>
      <c r="H10067" s="6" t="s">
        <v>20454</v>
      </c>
      <c r="I10067" s="6">
        <v>529.125</v>
      </c>
      <c r="J10067" s="2">
        <f t="shared" si="157"/>
        <v>43748.216421851852</v>
      </c>
    </row>
    <row r="10068" spans="1:10" x14ac:dyDescent="0.25">
      <c r="A10068" s="7" t="s">
        <v>20455</v>
      </c>
      <c r="B10068" s="8">
        <v>403.125</v>
      </c>
      <c r="C10068" s="8">
        <v>20.478950000000001</v>
      </c>
      <c r="D10068" s="8">
        <v>89</v>
      </c>
      <c r="E10068" s="8">
        <v>0</v>
      </c>
      <c r="F10068" s="8">
        <v>0</v>
      </c>
      <c r="G10068" s="8">
        <v>5</v>
      </c>
      <c r="H10068" s="8" t="s">
        <v>20456</v>
      </c>
      <c r="I10068" s="8">
        <v>529.125</v>
      </c>
      <c r="J10068" s="3">
        <f t="shared" si="157"/>
        <v>43748.216496701389</v>
      </c>
    </row>
    <row r="10069" spans="1:10" x14ac:dyDescent="0.25">
      <c r="A10069" s="5" t="s">
        <v>20457</v>
      </c>
      <c r="B10069" s="6">
        <v>421.875</v>
      </c>
      <c r="C10069" s="6">
        <v>20.478950000000001</v>
      </c>
      <c r="D10069" s="6">
        <v>90</v>
      </c>
      <c r="E10069" s="6">
        <v>0</v>
      </c>
      <c r="F10069" s="6">
        <v>0</v>
      </c>
      <c r="G10069" s="6">
        <v>8</v>
      </c>
      <c r="H10069" s="6" t="s">
        <v>20458</v>
      </c>
      <c r="I10069" s="6">
        <v>535.3125</v>
      </c>
      <c r="J10069" s="2">
        <f t="shared" si="157"/>
        <v>43748.216568043979</v>
      </c>
    </row>
    <row r="10070" spans="1:10" x14ac:dyDescent="0.25">
      <c r="A10070" s="7" t="s">
        <v>20459</v>
      </c>
      <c r="B10070" s="8">
        <v>403.125</v>
      </c>
      <c r="C10070" s="8">
        <v>20.426300000000001</v>
      </c>
      <c r="D10070" s="8">
        <v>89</v>
      </c>
      <c r="E10070" s="8">
        <v>0</v>
      </c>
      <c r="F10070" s="8">
        <v>0</v>
      </c>
      <c r="G10070" s="8">
        <v>6</v>
      </c>
      <c r="H10070" s="8" t="s">
        <v>20460</v>
      </c>
      <c r="I10070" s="8">
        <v>529.125</v>
      </c>
      <c r="J10070" s="3">
        <f t="shared" si="157"/>
        <v>43748.216639444443</v>
      </c>
    </row>
    <row r="10071" spans="1:10" x14ac:dyDescent="0.25">
      <c r="A10071" s="5" t="s">
        <v>20461</v>
      </c>
      <c r="B10071" s="6">
        <v>403.125</v>
      </c>
      <c r="C10071" s="6">
        <v>20.426300000000001</v>
      </c>
      <c r="D10071" s="6">
        <v>89</v>
      </c>
      <c r="E10071" s="6">
        <v>0</v>
      </c>
      <c r="F10071" s="6">
        <v>0</v>
      </c>
      <c r="G10071" s="6">
        <v>17</v>
      </c>
      <c r="H10071" s="6" t="s">
        <v>20462</v>
      </c>
      <c r="I10071" s="6">
        <v>529.125</v>
      </c>
      <c r="J10071" s="2">
        <f t="shared" si="157"/>
        <v>43748.216711574067</v>
      </c>
    </row>
    <row r="10072" spans="1:10" x14ac:dyDescent="0.25">
      <c r="A10072" s="7" t="s">
        <v>20463</v>
      </c>
      <c r="B10072" s="8">
        <v>403.125</v>
      </c>
      <c r="C10072" s="8">
        <v>20.426300000000001</v>
      </c>
      <c r="D10072" s="8">
        <v>90</v>
      </c>
      <c r="E10072" s="8">
        <v>0</v>
      </c>
      <c r="F10072" s="8">
        <v>0</v>
      </c>
      <c r="G10072" s="8">
        <v>14</v>
      </c>
      <c r="H10072" s="8" t="s">
        <v>20464</v>
      </c>
      <c r="I10072" s="8">
        <v>529.125</v>
      </c>
      <c r="J10072" s="3">
        <f t="shared" si="157"/>
        <v>43748.216808935184</v>
      </c>
    </row>
    <row r="10073" spans="1:10" x14ac:dyDescent="0.25">
      <c r="A10073" s="5" t="s">
        <v>20465</v>
      </c>
      <c r="B10073" s="6">
        <v>403.125</v>
      </c>
      <c r="C10073" s="6">
        <v>20.426300000000001</v>
      </c>
      <c r="D10073" s="6">
        <v>91</v>
      </c>
      <c r="E10073" s="6">
        <v>0</v>
      </c>
      <c r="F10073" s="6">
        <v>0</v>
      </c>
      <c r="G10073" s="6">
        <v>2</v>
      </c>
      <c r="H10073" s="6" t="s">
        <v>20466</v>
      </c>
      <c r="I10073" s="6">
        <v>529.125</v>
      </c>
      <c r="J10073" s="2">
        <f t="shared" si="157"/>
        <v>43748.216890138887</v>
      </c>
    </row>
    <row r="10074" spans="1:10" x14ac:dyDescent="0.25">
      <c r="A10074" s="7" t="s">
        <v>20467</v>
      </c>
      <c r="B10074" s="8">
        <v>400</v>
      </c>
      <c r="C10074" s="8">
        <v>20.478950000000001</v>
      </c>
      <c r="D10074" s="8">
        <v>91</v>
      </c>
      <c r="E10074" s="8">
        <v>0</v>
      </c>
      <c r="F10074" s="8">
        <v>0</v>
      </c>
      <c r="G10074" s="8">
        <v>3</v>
      </c>
      <c r="H10074" s="8" t="s">
        <v>20468</v>
      </c>
      <c r="I10074" s="8">
        <v>528.9375</v>
      </c>
      <c r="J10074" s="3">
        <f t="shared" si="157"/>
        <v>43748.216973587965</v>
      </c>
    </row>
    <row r="10075" spans="1:10" x14ac:dyDescent="0.25">
      <c r="A10075" s="5" t="s">
        <v>20469</v>
      </c>
      <c r="B10075" s="6">
        <v>403.125</v>
      </c>
      <c r="C10075" s="6">
        <v>20.426300000000001</v>
      </c>
      <c r="D10075" s="6">
        <v>92</v>
      </c>
      <c r="E10075" s="6">
        <v>0</v>
      </c>
      <c r="F10075" s="6">
        <v>0</v>
      </c>
      <c r="G10075" s="6">
        <v>5</v>
      </c>
      <c r="H10075" s="6" t="s">
        <v>20470</v>
      </c>
      <c r="I10075" s="6">
        <v>529.875</v>
      </c>
      <c r="J10075" s="2">
        <f t="shared" si="157"/>
        <v>43748.217044872683</v>
      </c>
    </row>
    <row r="10076" spans="1:10" x14ac:dyDescent="0.25">
      <c r="A10076" s="7" t="s">
        <v>20471</v>
      </c>
      <c r="B10076" s="8">
        <v>403.125</v>
      </c>
      <c r="C10076" s="8">
        <v>20.426300000000001</v>
      </c>
      <c r="D10076" s="8">
        <v>92</v>
      </c>
      <c r="E10076" s="8">
        <v>0</v>
      </c>
      <c r="F10076" s="8">
        <v>0</v>
      </c>
      <c r="G10076" s="8">
        <v>5</v>
      </c>
      <c r="H10076" s="8" t="s">
        <v>20472</v>
      </c>
      <c r="I10076" s="8">
        <v>529.125</v>
      </c>
      <c r="J10076" s="3">
        <f t="shared" si="157"/>
        <v>43748.217116400461</v>
      </c>
    </row>
    <row r="10077" spans="1:10" x14ac:dyDescent="0.25">
      <c r="A10077" s="5" t="s">
        <v>20473</v>
      </c>
      <c r="B10077" s="6">
        <v>403.125</v>
      </c>
      <c r="C10077" s="6">
        <v>20.426300000000001</v>
      </c>
      <c r="D10077" s="6">
        <v>93</v>
      </c>
      <c r="E10077" s="6">
        <v>0</v>
      </c>
      <c r="F10077" s="6">
        <v>0</v>
      </c>
      <c r="G10077" s="6">
        <v>11</v>
      </c>
      <c r="H10077" s="6" t="s">
        <v>20474</v>
      </c>
      <c r="I10077" s="6">
        <v>529.125</v>
      </c>
      <c r="J10077" s="2">
        <f t="shared" si="157"/>
        <v>43748.21718840277</v>
      </c>
    </row>
    <row r="10078" spans="1:10" x14ac:dyDescent="0.25">
      <c r="A10078" s="7" t="s">
        <v>20475</v>
      </c>
      <c r="B10078" s="8">
        <v>403.125</v>
      </c>
      <c r="C10078" s="8">
        <v>20.478950000000001</v>
      </c>
      <c r="D10078" s="8">
        <v>92</v>
      </c>
      <c r="E10078" s="8">
        <v>0</v>
      </c>
      <c r="F10078" s="8">
        <v>0</v>
      </c>
      <c r="G10078" s="8">
        <v>9</v>
      </c>
      <c r="H10078" s="8" t="s">
        <v>20476</v>
      </c>
      <c r="I10078" s="8">
        <v>529.125</v>
      </c>
      <c r="J10078" s="3">
        <f t="shared" si="157"/>
        <v>43748.217271539346</v>
      </c>
    </row>
    <row r="10079" spans="1:10" x14ac:dyDescent="0.25">
      <c r="A10079" s="5" t="s">
        <v>20477</v>
      </c>
      <c r="B10079" s="6">
        <v>403.125</v>
      </c>
      <c r="C10079" s="6">
        <v>20.426300000000001</v>
      </c>
      <c r="D10079" s="6">
        <v>92</v>
      </c>
      <c r="E10079" s="6">
        <v>0</v>
      </c>
      <c r="F10079" s="6">
        <v>0</v>
      </c>
      <c r="G10079" s="6">
        <v>8</v>
      </c>
      <c r="H10079" s="6" t="s">
        <v>20478</v>
      </c>
      <c r="I10079" s="6">
        <v>529.125</v>
      </c>
      <c r="J10079" s="2">
        <f t="shared" si="157"/>
        <v>43748.217342974538</v>
      </c>
    </row>
    <row r="10080" spans="1:10" x14ac:dyDescent="0.25">
      <c r="A10080" s="7" t="s">
        <v>20479</v>
      </c>
      <c r="B10080" s="8">
        <v>403.125</v>
      </c>
      <c r="C10080" s="8">
        <v>20.426300000000001</v>
      </c>
      <c r="D10080" s="8">
        <v>92</v>
      </c>
      <c r="E10080" s="8">
        <v>0</v>
      </c>
      <c r="F10080" s="8">
        <v>0</v>
      </c>
      <c r="G10080" s="8">
        <v>4</v>
      </c>
      <c r="H10080" s="8" t="s">
        <v>20480</v>
      </c>
      <c r="I10080" s="8">
        <v>529.125</v>
      </c>
      <c r="J10080" s="3">
        <f t="shared" si="157"/>
        <v>43748.217415069441</v>
      </c>
    </row>
    <row r="10081" spans="1:10" x14ac:dyDescent="0.25">
      <c r="A10081" s="5" t="s">
        <v>20481</v>
      </c>
      <c r="B10081" s="6">
        <v>400</v>
      </c>
      <c r="C10081" s="6">
        <v>20.426300000000001</v>
      </c>
      <c r="D10081" s="6">
        <v>92</v>
      </c>
      <c r="E10081" s="6">
        <v>0</v>
      </c>
      <c r="F10081" s="6">
        <v>0</v>
      </c>
      <c r="G10081" s="6">
        <v>7</v>
      </c>
      <c r="H10081" s="6" t="s">
        <v>20482</v>
      </c>
      <c r="I10081" s="6">
        <v>528.9375</v>
      </c>
      <c r="J10081" s="2">
        <f t="shared" si="157"/>
        <v>43748.217486562498</v>
      </c>
    </row>
    <row r="10082" spans="1:10" x14ac:dyDescent="0.25">
      <c r="A10082" s="7" t="s">
        <v>20483</v>
      </c>
      <c r="B10082" s="8">
        <v>418.75</v>
      </c>
      <c r="C10082" s="8">
        <v>20.478950000000001</v>
      </c>
      <c r="D10082" s="8">
        <v>91</v>
      </c>
      <c r="E10082" s="8">
        <v>0</v>
      </c>
      <c r="F10082" s="8">
        <v>0</v>
      </c>
      <c r="G10082" s="8">
        <v>20</v>
      </c>
      <c r="H10082" s="8" t="s">
        <v>20484</v>
      </c>
      <c r="I10082" s="8">
        <v>534.75</v>
      </c>
      <c r="J10082" s="3">
        <f t="shared" si="157"/>
        <v>43748.217557835647</v>
      </c>
    </row>
    <row r="10083" spans="1:10" x14ac:dyDescent="0.25">
      <c r="A10083" s="5" t="s">
        <v>20485</v>
      </c>
      <c r="B10083" s="6">
        <v>400</v>
      </c>
      <c r="C10083" s="6">
        <v>20.426300000000001</v>
      </c>
      <c r="D10083" s="6">
        <v>91</v>
      </c>
      <c r="E10083" s="6">
        <v>0</v>
      </c>
      <c r="F10083" s="6">
        <v>0</v>
      </c>
      <c r="G10083" s="6">
        <v>4</v>
      </c>
      <c r="H10083" s="6" t="s">
        <v>20486</v>
      </c>
      <c r="I10083" s="6">
        <v>528.375</v>
      </c>
      <c r="J10083" s="2">
        <f t="shared" si="157"/>
        <v>43748.217629143517</v>
      </c>
    </row>
    <row r="10084" spans="1:10" x14ac:dyDescent="0.25">
      <c r="A10084" s="7" t="s">
        <v>20487</v>
      </c>
      <c r="B10084" s="8">
        <v>400</v>
      </c>
      <c r="C10084" s="8">
        <v>20.478950000000001</v>
      </c>
      <c r="D10084" s="8">
        <v>91</v>
      </c>
      <c r="E10084" s="8">
        <v>0</v>
      </c>
      <c r="F10084" s="8">
        <v>0</v>
      </c>
      <c r="G10084" s="8">
        <v>7</v>
      </c>
      <c r="H10084" s="8" t="s">
        <v>20488</v>
      </c>
      <c r="I10084" s="8">
        <v>528.1875</v>
      </c>
      <c r="J10084" s="3">
        <f t="shared" si="157"/>
        <v>43748.217701365742</v>
      </c>
    </row>
    <row r="10085" spans="1:10" x14ac:dyDescent="0.25">
      <c r="A10085" s="5" t="s">
        <v>20489</v>
      </c>
      <c r="B10085" s="6">
        <v>400</v>
      </c>
      <c r="C10085" s="6">
        <v>20.478950000000001</v>
      </c>
      <c r="D10085" s="6">
        <v>92</v>
      </c>
      <c r="E10085" s="6">
        <v>0</v>
      </c>
      <c r="F10085" s="6">
        <v>0</v>
      </c>
      <c r="G10085" s="6">
        <v>4</v>
      </c>
      <c r="H10085" s="6" t="s">
        <v>20490</v>
      </c>
      <c r="I10085" s="6">
        <v>528.1875</v>
      </c>
      <c r="J10085" s="2">
        <f t="shared" si="157"/>
        <v>43748.217772604163</v>
      </c>
    </row>
    <row r="10086" spans="1:10" x14ac:dyDescent="0.25">
      <c r="A10086" s="7" t="s">
        <v>20491</v>
      </c>
      <c r="B10086" s="8">
        <v>396.875</v>
      </c>
      <c r="C10086" s="8">
        <v>20.478950000000001</v>
      </c>
      <c r="D10086" s="8">
        <v>89</v>
      </c>
      <c r="E10086" s="8">
        <v>0</v>
      </c>
      <c r="F10086" s="8">
        <v>0</v>
      </c>
      <c r="G10086" s="8">
        <v>13</v>
      </c>
      <c r="H10086" s="8" t="s">
        <v>20492</v>
      </c>
      <c r="I10086" s="8">
        <v>527.4375</v>
      </c>
      <c r="J10086" s="3">
        <f t="shared" si="157"/>
        <v>43748.217843935177</v>
      </c>
    </row>
    <row r="10087" spans="1:10" x14ac:dyDescent="0.25">
      <c r="A10087" s="5" t="s">
        <v>20493</v>
      </c>
      <c r="B10087" s="6">
        <v>396.875</v>
      </c>
      <c r="C10087" s="6">
        <v>20.426300000000001</v>
      </c>
      <c r="D10087" s="6">
        <v>92</v>
      </c>
      <c r="E10087" s="6">
        <v>0</v>
      </c>
      <c r="F10087" s="6">
        <v>0</v>
      </c>
      <c r="G10087" s="6">
        <v>0</v>
      </c>
      <c r="H10087" s="6" t="s">
        <v>20494</v>
      </c>
      <c r="I10087" s="6">
        <v>527.4375</v>
      </c>
      <c r="J10087" s="2">
        <f t="shared" si="157"/>
        <v>43748.217915937501</v>
      </c>
    </row>
    <row r="10088" spans="1:10" x14ac:dyDescent="0.25">
      <c r="A10088" s="7" t="s">
        <v>20495</v>
      </c>
      <c r="B10088" s="8">
        <v>396.875</v>
      </c>
      <c r="C10088" s="8">
        <v>20.478950000000001</v>
      </c>
      <c r="D10088" s="8">
        <v>92</v>
      </c>
      <c r="E10088" s="8">
        <v>0</v>
      </c>
      <c r="F10088" s="8">
        <v>0</v>
      </c>
      <c r="G10088" s="8">
        <v>6</v>
      </c>
      <c r="H10088" s="8" t="s">
        <v>20496</v>
      </c>
      <c r="I10088" s="8">
        <v>527.4375</v>
      </c>
      <c r="J10088" s="3">
        <f t="shared" si="157"/>
        <v>43748.217987476848</v>
      </c>
    </row>
    <row r="10089" spans="1:10" x14ac:dyDescent="0.25">
      <c r="A10089" s="5" t="s">
        <v>20497</v>
      </c>
      <c r="B10089" s="6">
        <v>400</v>
      </c>
      <c r="C10089" s="6">
        <v>20.478950000000001</v>
      </c>
      <c r="D10089" s="6">
        <v>92</v>
      </c>
      <c r="E10089" s="6">
        <v>0</v>
      </c>
      <c r="F10089" s="6">
        <v>0</v>
      </c>
      <c r="G10089" s="6">
        <v>9</v>
      </c>
      <c r="H10089" s="6" t="s">
        <v>20498</v>
      </c>
      <c r="I10089" s="6">
        <v>528.1875</v>
      </c>
      <c r="J10089" s="2">
        <f t="shared" si="157"/>
        <v>43748.218058761573</v>
      </c>
    </row>
    <row r="10090" spans="1:10" x14ac:dyDescent="0.25">
      <c r="A10090" s="7" t="s">
        <v>20499</v>
      </c>
      <c r="B10090" s="8">
        <v>400</v>
      </c>
      <c r="C10090" s="8">
        <v>20.426300000000001</v>
      </c>
      <c r="D10090" s="8">
        <v>90</v>
      </c>
      <c r="E10090" s="8">
        <v>0</v>
      </c>
      <c r="F10090" s="8">
        <v>0</v>
      </c>
      <c r="G10090" s="8">
        <v>11</v>
      </c>
      <c r="H10090" s="8" t="s">
        <v>20500</v>
      </c>
      <c r="I10090" s="8">
        <v>528.375</v>
      </c>
      <c r="J10090" s="3">
        <f t="shared" si="157"/>
        <v>43748.218130069443</v>
      </c>
    </row>
    <row r="10091" spans="1:10" x14ac:dyDescent="0.25">
      <c r="A10091" s="5" t="s">
        <v>20501</v>
      </c>
      <c r="B10091" s="6">
        <v>403.125</v>
      </c>
      <c r="C10091" s="6">
        <v>20.478950000000001</v>
      </c>
      <c r="D10091" s="6">
        <v>90</v>
      </c>
      <c r="E10091" s="6">
        <v>0</v>
      </c>
      <c r="F10091" s="6">
        <v>0</v>
      </c>
      <c r="G10091" s="6">
        <v>14</v>
      </c>
      <c r="H10091" s="6" t="s">
        <v>20502</v>
      </c>
      <c r="I10091" s="6">
        <v>529.125</v>
      </c>
      <c r="J10091" s="2">
        <f t="shared" si="157"/>
        <v>43748.218202094904</v>
      </c>
    </row>
    <row r="10092" spans="1:10" x14ac:dyDescent="0.25">
      <c r="A10092" s="7" t="s">
        <v>20503</v>
      </c>
      <c r="B10092" s="8">
        <v>400</v>
      </c>
      <c r="C10092" s="8">
        <v>20.426300000000001</v>
      </c>
      <c r="D10092" s="8">
        <v>91</v>
      </c>
      <c r="E10092" s="8">
        <v>0</v>
      </c>
      <c r="F10092" s="8">
        <v>0</v>
      </c>
      <c r="G10092" s="8">
        <v>7</v>
      </c>
      <c r="H10092" s="8" t="s">
        <v>20504</v>
      </c>
      <c r="I10092" s="8">
        <v>528.1875</v>
      </c>
      <c r="J10092" s="3">
        <f t="shared" si="157"/>
        <v>43748.218273587961</v>
      </c>
    </row>
    <row r="10093" spans="1:10" x14ac:dyDescent="0.25">
      <c r="A10093" s="5" t="s">
        <v>20505</v>
      </c>
      <c r="B10093" s="6">
        <v>400</v>
      </c>
      <c r="C10093" s="6">
        <v>20.426300000000001</v>
      </c>
      <c r="D10093" s="6">
        <v>92</v>
      </c>
      <c r="E10093" s="6">
        <v>0</v>
      </c>
      <c r="F10093" s="6">
        <v>0</v>
      </c>
      <c r="G10093" s="6">
        <v>6</v>
      </c>
      <c r="H10093" s="6" t="s">
        <v>20506</v>
      </c>
      <c r="I10093" s="6">
        <v>528.9375</v>
      </c>
      <c r="J10093" s="2">
        <f t="shared" si="157"/>
        <v>43748.218344884255</v>
      </c>
    </row>
    <row r="10094" spans="1:10" x14ac:dyDescent="0.25">
      <c r="A10094" s="7" t="s">
        <v>20507</v>
      </c>
      <c r="B10094" s="8">
        <v>400</v>
      </c>
      <c r="C10094" s="8">
        <v>20.426300000000001</v>
      </c>
      <c r="D10094" s="8">
        <v>92</v>
      </c>
      <c r="E10094" s="8">
        <v>0</v>
      </c>
      <c r="F10094" s="8">
        <v>0</v>
      </c>
      <c r="G10094" s="8">
        <v>11</v>
      </c>
      <c r="H10094" s="8" t="s">
        <v>20508</v>
      </c>
      <c r="I10094" s="8">
        <v>528.375</v>
      </c>
      <c r="J10094" s="3">
        <f t="shared" si="157"/>
        <v>43748.218416157404</v>
      </c>
    </row>
    <row r="10095" spans="1:10" x14ac:dyDescent="0.25">
      <c r="A10095" s="5" t="s">
        <v>20509</v>
      </c>
      <c r="B10095" s="6">
        <v>415.625</v>
      </c>
      <c r="C10095" s="6">
        <v>20.426300000000001</v>
      </c>
      <c r="D10095" s="6">
        <v>92</v>
      </c>
      <c r="E10095" s="6">
        <v>0</v>
      </c>
      <c r="F10095" s="6">
        <v>0</v>
      </c>
      <c r="G10095" s="6">
        <v>14</v>
      </c>
      <c r="H10095" s="6" t="s">
        <v>20510</v>
      </c>
      <c r="I10095" s="6">
        <v>533.625</v>
      </c>
      <c r="J10095" s="2">
        <f t="shared" si="157"/>
        <v>43748.218488402774</v>
      </c>
    </row>
    <row r="10096" spans="1:10" x14ac:dyDescent="0.25">
      <c r="A10096" s="7" t="s">
        <v>20511</v>
      </c>
      <c r="B10096" s="8">
        <v>396.875</v>
      </c>
      <c r="C10096" s="8">
        <v>20.478950000000001</v>
      </c>
      <c r="D10096" s="8">
        <v>91</v>
      </c>
      <c r="E10096" s="8">
        <v>0</v>
      </c>
      <c r="F10096" s="8">
        <v>0</v>
      </c>
      <c r="G10096" s="8">
        <v>13</v>
      </c>
      <c r="H10096" s="8" t="s">
        <v>20512</v>
      </c>
      <c r="I10096" s="8">
        <v>527.4375</v>
      </c>
      <c r="J10096" s="3">
        <f t="shared" si="157"/>
        <v>43748.218571666665</v>
      </c>
    </row>
    <row r="10097" spans="1:10" x14ac:dyDescent="0.25">
      <c r="A10097" s="5" t="s">
        <v>20513</v>
      </c>
      <c r="B10097" s="6">
        <v>396.875</v>
      </c>
      <c r="C10097" s="6">
        <v>20.426300000000001</v>
      </c>
      <c r="D10097" s="6">
        <v>91</v>
      </c>
      <c r="E10097" s="6">
        <v>0</v>
      </c>
      <c r="F10097" s="6">
        <v>0</v>
      </c>
      <c r="G10097" s="6">
        <v>3</v>
      </c>
      <c r="H10097" s="6" t="s">
        <v>20514</v>
      </c>
      <c r="I10097" s="6">
        <v>527.4375</v>
      </c>
      <c r="J10097" s="2">
        <f t="shared" si="157"/>
        <v>43748.21865505787</v>
      </c>
    </row>
    <row r="10098" spans="1:10" x14ac:dyDescent="0.25">
      <c r="A10098" s="7" t="s">
        <v>20515</v>
      </c>
      <c r="B10098" s="8">
        <v>396.875</v>
      </c>
      <c r="C10098" s="8">
        <v>20.478950000000001</v>
      </c>
      <c r="D10098" s="8">
        <v>91</v>
      </c>
      <c r="E10098" s="8">
        <v>0</v>
      </c>
      <c r="F10098" s="8">
        <v>0</v>
      </c>
      <c r="G10098" s="8">
        <v>9</v>
      </c>
      <c r="H10098" s="8" t="s">
        <v>20516</v>
      </c>
      <c r="I10098" s="8">
        <v>527.4375</v>
      </c>
      <c r="J10098" s="3">
        <f t="shared" si="157"/>
        <v>43748.218726238425</v>
      </c>
    </row>
    <row r="10099" spans="1:10" x14ac:dyDescent="0.25">
      <c r="A10099" s="5" t="s">
        <v>20517</v>
      </c>
      <c r="B10099" s="6">
        <v>396.875</v>
      </c>
      <c r="C10099" s="6">
        <v>20.426300000000001</v>
      </c>
      <c r="D10099" s="6">
        <v>91</v>
      </c>
      <c r="E10099" s="6">
        <v>0</v>
      </c>
      <c r="F10099" s="6">
        <v>0</v>
      </c>
      <c r="G10099" s="6">
        <v>14</v>
      </c>
      <c r="H10099" s="6" t="s">
        <v>20518</v>
      </c>
      <c r="I10099" s="6">
        <v>527.4375</v>
      </c>
      <c r="J10099" s="2">
        <f t="shared" si="157"/>
        <v>43748.218798402777</v>
      </c>
    </row>
    <row r="10100" spans="1:10" x14ac:dyDescent="0.25">
      <c r="A10100" s="7" t="s">
        <v>20519</v>
      </c>
      <c r="B10100" s="8">
        <v>400</v>
      </c>
      <c r="C10100" s="8">
        <v>20.478950000000001</v>
      </c>
      <c r="D10100" s="8">
        <v>90</v>
      </c>
      <c r="E10100" s="8">
        <v>0</v>
      </c>
      <c r="F10100" s="8">
        <v>0</v>
      </c>
      <c r="G10100" s="8">
        <v>11</v>
      </c>
      <c r="H10100" s="8" t="s">
        <v>20520</v>
      </c>
      <c r="I10100" s="8">
        <v>528.1875</v>
      </c>
      <c r="J10100" s="3">
        <f t="shared" si="157"/>
        <v>43748.218869872682</v>
      </c>
    </row>
    <row r="10101" spans="1:10" x14ac:dyDescent="0.25">
      <c r="A10101" s="5" t="s">
        <v>20521</v>
      </c>
      <c r="B10101" s="6">
        <v>403.125</v>
      </c>
      <c r="C10101" s="6">
        <v>20.478950000000001</v>
      </c>
      <c r="D10101" s="6">
        <v>90</v>
      </c>
      <c r="E10101" s="6">
        <v>0</v>
      </c>
      <c r="F10101" s="6">
        <v>0</v>
      </c>
      <c r="G10101" s="6">
        <v>12</v>
      </c>
      <c r="H10101" s="6" t="s">
        <v>20522</v>
      </c>
      <c r="I10101" s="6">
        <v>529.125</v>
      </c>
      <c r="J10101" s="2">
        <f t="shared" si="157"/>
        <v>43748.218941099534</v>
      </c>
    </row>
    <row r="10102" spans="1:10" x14ac:dyDescent="0.25">
      <c r="A10102" s="7" t="s">
        <v>20523</v>
      </c>
      <c r="B10102" s="8">
        <v>418.75</v>
      </c>
      <c r="C10102" s="8">
        <v>20.478950000000001</v>
      </c>
      <c r="D10102" s="8">
        <v>89</v>
      </c>
      <c r="E10102" s="8">
        <v>0</v>
      </c>
      <c r="F10102" s="8">
        <v>0</v>
      </c>
      <c r="G10102" s="8">
        <v>13</v>
      </c>
      <c r="H10102" s="8" t="s">
        <v>20524</v>
      </c>
      <c r="I10102" s="8">
        <v>534.5625</v>
      </c>
      <c r="J10102" s="3">
        <f t="shared" si="157"/>
        <v>43748.219012465277</v>
      </c>
    </row>
    <row r="10103" spans="1:10" x14ac:dyDescent="0.25">
      <c r="A10103" s="5" t="s">
        <v>20525</v>
      </c>
      <c r="B10103" s="6">
        <v>403.125</v>
      </c>
      <c r="C10103" s="6">
        <v>20.426300000000001</v>
      </c>
      <c r="D10103" s="6">
        <v>88</v>
      </c>
      <c r="E10103" s="6">
        <v>0</v>
      </c>
      <c r="F10103" s="6">
        <v>0</v>
      </c>
      <c r="G10103" s="6">
        <v>8</v>
      </c>
      <c r="H10103" s="6" t="s">
        <v>20526</v>
      </c>
      <c r="I10103" s="6">
        <v>529.125</v>
      </c>
      <c r="J10103" s="2">
        <f t="shared" si="157"/>
        <v>43748.219084629629</v>
      </c>
    </row>
    <row r="10104" spans="1:10" x14ac:dyDescent="0.25">
      <c r="A10104" s="7" t="s">
        <v>20527</v>
      </c>
      <c r="B10104" s="8">
        <v>403.125</v>
      </c>
      <c r="C10104" s="8">
        <v>20.426300000000001</v>
      </c>
      <c r="D10104" s="8">
        <v>87</v>
      </c>
      <c r="E10104" s="8">
        <v>0</v>
      </c>
      <c r="F10104" s="8">
        <v>0</v>
      </c>
      <c r="G10104" s="8">
        <v>13</v>
      </c>
      <c r="H10104" s="8" t="s">
        <v>20528</v>
      </c>
      <c r="I10104" s="8">
        <v>529.125</v>
      </c>
      <c r="J10104" s="3">
        <f t="shared" si="157"/>
        <v>43748.219179363419</v>
      </c>
    </row>
    <row r="10105" spans="1:10" x14ac:dyDescent="0.25">
      <c r="A10105" s="5" t="s">
        <v>20529</v>
      </c>
      <c r="B10105" s="6">
        <v>403.125</v>
      </c>
      <c r="C10105" s="6">
        <v>20.478950000000001</v>
      </c>
      <c r="D10105" s="6">
        <v>87</v>
      </c>
      <c r="E10105" s="6">
        <v>0</v>
      </c>
      <c r="F10105" s="6">
        <v>0</v>
      </c>
      <c r="G10105" s="6">
        <v>14</v>
      </c>
      <c r="H10105" s="6" t="s">
        <v>20530</v>
      </c>
      <c r="I10105" s="6">
        <v>529.125</v>
      </c>
      <c r="J10105" s="2">
        <f t="shared" si="157"/>
        <v>43748.21925209491</v>
      </c>
    </row>
    <row r="10106" spans="1:10" x14ac:dyDescent="0.25">
      <c r="A10106" s="7" t="s">
        <v>20531</v>
      </c>
      <c r="B10106" s="8">
        <v>400</v>
      </c>
      <c r="C10106" s="8">
        <v>20.478950000000001</v>
      </c>
      <c r="D10106" s="8">
        <v>87</v>
      </c>
      <c r="E10106" s="8">
        <v>0</v>
      </c>
      <c r="F10106" s="8">
        <v>0</v>
      </c>
      <c r="G10106" s="8">
        <v>10</v>
      </c>
      <c r="H10106" s="8" t="s">
        <v>20532</v>
      </c>
      <c r="I10106" s="8">
        <v>528.1875</v>
      </c>
      <c r="J10106" s="3">
        <f t="shared" si="157"/>
        <v>43748.21935879629</v>
      </c>
    </row>
    <row r="10107" spans="1:10" x14ac:dyDescent="0.25">
      <c r="A10107" s="5" t="s">
        <v>20533</v>
      </c>
      <c r="B10107" s="6">
        <v>403.125</v>
      </c>
      <c r="C10107" s="6">
        <v>20.426300000000001</v>
      </c>
      <c r="D10107" s="6">
        <v>87</v>
      </c>
      <c r="E10107" s="6">
        <v>0</v>
      </c>
      <c r="F10107" s="6">
        <v>0</v>
      </c>
      <c r="G10107" s="6">
        <v>12</v>
      </c>
      <c r="H10107" s="6" t="s">
        <v>20534</v>
      </c>
      <c r="I10107" s="6">
        <v>529.125</v>
      </c>
      <c r="J10107" s="2">
        <f t="shared" si="157"/>
        <v>43748.219430092591</v>
      </c>
    </row>
    <row r="10108" spans="1:10" x14ac:dyDescent="0.25">
      <c r="A10108" s="7" t="s">
        <v>20535</v>
      </c>
      <c r="B10108" s="8">
        <v>403.125</v>
      </c>
      <c r="C10108" s="8">
        <v>20.426300000000001</v>
      </c>
      <c r="D10108" s="8">
        <v>87</v>
      </c>
      <c r="E10108" s="8">
        <v>0</v>
      </c>
      <c r="F10108" s="8">
        <v>0</v>
      </c>
      <c r="G10108" s="8">
        <v>6</v>
      </c>
      <c r="H10108" s="8" t="s">
        <v>20536</v>
      </c>
      <c r="I10108" s="8">
        <v>529.125</v>
      </c>
      <c r="J10108" s="3">
        <f t="shared" si="157"/>
        <v>43748.2195134375</v>
      </c>
    </row>
    <row r="10109" spans="1:10" x14ac:dyDescent="0.25">
      <c r="A10109" s="5" t="s">
        <v>20537</v>
      </c>
      <c r="B10109" s="6">
        <v>400</v>
      </c>
      <c r="C10109" s="6">
        <v>20.478950000000001</v>
      </c>
      <c r="D10109" s="6">
        <v>87</v>
      </c>
      <c r="E10109" s="6">
        <v>0</v>
      </c>
      <c r="F10109" s="6">
        <v>0</v>
      </c>
      <c r="G10109" s="6">
        <v>0</v>
      </c>
      <c r="H10109" s="6" t="s">
        <v>20538</v>
      </c>
      <c r="I10109" s="6">
        <v>528.9375</v>
      </c>
      <c r="J10109" s="2">
        <f t="shared" si="157"/>
        <v>43748.219584837956</v>
      </c>
    </row>
    <row r="10110" spans="1:10" x14ac:dyDescent="0.25">
      <c r="A10110" s="7" t="s">
        <v>20539</v>
      </c>
      <c r="B10110" s="8">
        <v>403.125</v>
      </c>
      <c r="C10110" s="8">
        <v>20.478950000000001</v>
      </c>
      <c r="D10110" s="8">
        <v>87</v>
      </c>
      <c r="E10110" s="8">
        <v>0</v>
      </c>
      <c r="F10110" s="8">
        <v>0</v>
      </c>
      <c r="G10110" s="8">
        <v>13</v>
      </c>
      <c r="H10110" s="8" t="s">
        <v>20540</v>
      </c>
      <c r="I10110" s="8">
        <v>529.125</v>
      </c>
      <c r="J10110" s="3">
        <f t="shared" si="157"/>
        <v>43748.219656956011</v>
      </c>
    </row>
    <row r="10111" spans="1:10" x14ac:dyDescent="0.25">
      <c r="A10111" s="5" t="s">
        <v>20541</v>
      </c>
      <c r="B10111" s="6">
        <v>400</v>
      </c>
      <c r="C10111" s="6">
        <v>20.426300000000001</v>
      </c>
      <c r="D10111" s="6">
        <v>87</v>
      </c>
      <c r="E10111" s="6">
        <v>0</v>
      </c>
      <c r="F10111" s="6">
        <v>0</v>
      </c>
      <c r="G10111" s="6">
        <v>14</v>
      </c>
      <c r="H10111" s="6" t="s">
        <v>20542</v>
      </c>
      <c r="I10111" s="6">
        <v>528.9375</v>
      </c>
      <c r="J10111" s="2">
        <f t="shared" si="157"/>
        <v>43748.219728252312</v>
      </c>
    </row>
    <row r="10112" spans="1:10" x14ac:dyDescent="0.25">
      <c r="A10112" s="7" t="s">
        <v>20543</v>
      </c>
      <c r="B10112" s="8">
        <v>403.125</v>
      </c>
      <c r="C10112" s="8">
        <v>20.478950000000001</v>
      </c>
      <c r="D10112" s="8">
        <v>88</v>
      </c>
      <c r="E10112" s="8">
        <v>0</v>
      </c>
      <c r="F10112" s="8">
        <v>0</v>
      </c>
      <c r="G10112" s="8">
        <v>7</v>
      </c>
      <c r="H10112" s="8" t="s">
        <v>20544</v>
      </c>
      <c r="I10112" s="8">
        <v>529.125</v>
      </c>
      <c r="J10112" s="3">
        <f t="shared" si="157"/>
        <v>43748.219799548613</v>
      </c>
    </row>
    <row r="10113" spans="1:10" x14ac:dyDescent="0.25">
      <c r="A10113" s="5" t="s">
        <v>20545</v>
      </c>
      <c r="B10113" s="6">
        <v>403.125</v>
      </c>
      <c r="C10113" s="6">
        <v>20.478950000000001</v>
      </c>
      <c r="D10113" s="6">
        <v>89</v>
      </c>
      <c r="E10113" s="6">
        <v>0</v>
      </c>
      <c r="F10113" s="6">
        <v>0</v>
      </c>
      <c r="G10113" s="6">
        <v>9</v>
      </c>
      <c r="H10113" s="6" t="s">
        <v>20546</v>
      </c>
      <c r="I10113" s="6">
        <v>529.125</v>
      </c>
      <c r="J10113" s="2">
        <f t="shared" si="157"/>
        <v>43748.219871770831</v>
      </c>
    </row>
    <row r="10114" spans="1:10" x14ac:dyDescent="0.25">
      <c r="A10114" s="7" t="s">
        <v>20547</v>
      </c>
      <c r="B10114" s="8">
        <v>418.75</v>
      </c>
      <c r="C10114" s="8">
        <v>20.426300000000001</v>
      </c>
      <c r="D10114" s="8">
        <v>90</v>
      </c>
      <c r="E10114" s="8">
        <v>0</v>
      </c>
      <c r="F10114" s="8">
        <v>0</v>
      </c>
      <c r="G10114" s="8">
        <v>12</v>
      </c>
      <c r="H10114" s="8" t="s">
        <v>20548</v>
      </c>
      <c r="I10114" s="8">
        <v>534.75</v>
      </c>
      <c r="J10114" s="3">
        <f t="shared" ref="J10114:J10177" si="158">(H10114/86400000)+25569+(7/24)</f>
        <v>43748.219943067124</v>
      </c>
    </row>
    <row r="10115" spans="1:10" x14ac:dyDescent="0.25">
      <c r="A10115" s="5" t="s">
        <v>20549</v>
      </c>
      <c r="B10115" s="6">
        <v>400</v>
      </c>
      <c r="C10115" s="6">
        <v>20.426300000000001</v>
      </c>
      <c r="D10115" s="6">
        <v>90</v>
      </c>
      <c r="E10115" s="6">
        <v>0</v>
      </c>
      <c r="F10115" s="6">
        <v>0</v>
      </c>
      <c r="G10115" s="6">
        <v>8</v>
      </c>
      <c r="H10115" s="6" t="s">
        <v>20550</v>
      </c>
      <c r="I10115" s="6">
        <v>528.9375</v>
      </c>
      <c r="J10115" s="2">
        <f t="shared" si="158"/>
        <v>43748.220014363418</v>
      </c>
    </row>
    <row r="10116" spans="1:10" x14ac:dyDescent="0.25">
      <c r="A10116" s="7" t="s">
        <v>20551</v>
      </c>
      <c r="B10116" s="8">
        <v>403.125</v>
      </c>
      <c r="C10116" s="8">
        <v>20.478950000000001</v>
      </c>
      <c r="D10116" s="8">
        <v>90</v>
      </c>
      <c r="E10116" s="8">
        <v>0</v>
      </c>
      <c r="F10116" s="8">
        <v>0</v>
      </c>
      <c r="G10116" s="8">
        <v>11</v>
      </c>
      <c r="H10116" s="8" t="s">
        <v>20552</v>
      </c>
      <c r="I10116" s="8">
        <v>529.125</v>
      </c>
      <c r="J10116" s="3">
        <f t="shared" si="158"/>
        <v>43748.220085717585</v>
      </c>
    </row>
    <row r="10117" spans="1:10" x14ac:dyDescent="0.25">
      <c r="A10117" s="5" t="s">
        <v>20553</v>
      </c>
      <c r="B10117" s="6">
        <v>403.125</v>
      </c>
      <c r="C10117" s="6">
        <v>20.478950000000001</v>
      </c>
      <c r="D10117" s="6">
        <v>89</v>
      </c>
      <c r="E10117" s="6">
        <v>0</v>
      </c>
      <c r="F10117" s="6">
        <v>0</v>
      </c>
      <c r="G10117" s="6">
        <v>10</v>
      </c>
      <c r="H10117" s="6" t="s">
        <v>20554</v>
      </c>
      <c r="I10117" s="6">
        <v>529.125</v>
      </c>
      <c r="J10117" s="2">
        <f t="shared" si="158"/>
        <v>43748.22016986111</v>
      </c>
    </row>
    <row r="10118" spans="1:10" x14ac:dyDescent="0.25">
      <c r="A10118" s="7" t="s">
        <v>20555</v>
      </c>
      <c r="B10118" s="8">
        <v>400</v>
      </c>
      <c r="C10118" s="8">
        <v>20.478950000000001</v>
      </c>
      <c r="D10118" s="8">
        <v>89</v>
      </c>
      <c r="E10118" s="8">
        <v>0</v>
      </c>
      <c r="F10118" s="8">
        <v>0</v>
      </c>
      <c r="G10118" s="8">
        <v>11</v>
      </c>
      <c r="H10118" s="8" t="s">
        <v>20556</v>
      </c>
      <c r="I10118" s="8">
        <v>528.1875</v>
      </c>
      <c r="J10118" s="3">
        <f t="shared" si="158"/>
        <v>43748.2202412037</v>
      </c>
    </row>
    <row r="10119" spans="1:10" x14ac:dyDescent="0.25">
      <c r="A10119" s="5" t="s">
        <v>20557</v>
      </c>
      <c r="B10119" s="6">
        <v>400</v>
      </c>
      <c r="C10119" s="6">
        <v>20.426300000000001</v>
      </c>
      <c r="D10119" s="6">
        <v>88</v>
      </c>
      <c r="E10119" s="6">
        <v>0</v>
      </c>
      <c r="F10119" s="6">
        <v>0</v>
      </c>
      <c r="G10119" s="6">
        <v>17</v>
      </c>
      <c r="H10119" s="6" t="s">
        <v>20558</v>
      </c>
      <c r="I10119" s="6">
        <v>528.1875</v>
      </c>
      <c r="J10119" s="2">
        <f t="shared" si="158"/>
        <v>43748.220312442128</v>
      </c>
    </row>
    <row r="10120" spans="1:10" x14ac:dyDescent="0.25">
      <c r="A10120" s="7" t="s">
        <v>20559</v>
      </c>
      <c r="B10120" s="8">
        <v>400</v>
      </c>
      <c r="C10120" s="8">
        <v>20.426300000000001</v>
      </c>
      <c r="D10120" s="8">
        <v>88</v>
      </c>
      <c r="E10120" s="8">
        <v>0</v>
      </c>
      <c r="F10120" s="8">
        <v>0</v>
      </c>
      <c r="G10120" s="8">
        <v>5</v>
      </c>
      <c r="H10120" s="8" t="s">
        <v>20560</v>
      </c>
      <c r="I10120" s="8">
        <v>528.375</v>
      </c>
      <c r="J10120" s="3">
        <f t="shared" si="158"/>
        <v>43748.220407881941</v>
      </c>
    </row>
    <row r="10121" spans="1:10" x14ac:dyDescent="0.25">
      <c r="A10121" s="5" t="s">
        <v>20561</v>
      </c>
      <c r="B10121" s="6">
        <v>400</v>
      </c>
      <c r="C10121" s="6">
        <v>20.478950000000001</v>
      </c>
      <c r="D10121" s="6">
        <v>102</v>
      </c>
      <c r="E10121" s="6">
        <v>0</v>
      </c>
      <c r="F10121" s="6">
        <v>0</v>
      </c>
      <c r="G10121" s="6">
        <v>12</v>
      </c>
      <c r="H10121" s="6" t="s">
        <v>20562</v>
      </c>
      <c r="I10121" s="6">
        <v>528.1875</v>
      </c>
      <c r="J10121" s="2">
        <f t="shared" si="158"/>
        <v>43748.220479166666</v>
      </c>
    </row>
    <row r="10122" spans="1:10" x14ac:dyDescent="0.25">
      <c r="A10122" s="7" t="s">
        <v>20563</v>
      </c>
      <c r="B10122" s="8">
        <v>400</v>
      </c>
      <c r="C10122" s="8">
        <v>20.478950000000001</v>
      </c>
      <c r="D10122" s="8">
        <v>85</v>
      </c>
      <c r="E10122" s="8">
        <v>0</v>
      </c>
      <c r="F10122" s="8">
        <v>0</v>
      </c>
      <c r="G10122" s="8">
        <v>5</v>
      </c>
      <c r="H10122" s="8" t="s">
        <v>20564</v>
      </c>
      <c r="I10122" s="8">
        <v>528.9375</v>
      </c>
      <c r="J10122" s="3">
        <f t="shared" si="158"/>
        <v>43748.220551388884</v>
      </c>
    </row>
    <row r="10123" spans="1:10" x14ac:dyDescent="0.25">
      <c r="A10123" s="5" t="s">
        <v>20565</v>
      </c>
      <c r="B10123" s="6">
        <v>403.125</v>
      </c>
      <c r="C10123" s="6">
        <v>20.478950000000001</v>
      </c>
      <c r="D10123" s="6">
        <v>84</v>
      </c>
      <c r="E10123" s="6">
        <v>0</v>
      </c>
      <c r="F10123" s="6">
        <v>0</v>
      </c>
      <c r="G10123" s="6">
        <v>0</v>
      </c>
      <c r="H10123" s="6" t="s">
        <v>20566</v>
      </c>
      <c r="I10123" s="6">
        <v>529.125</v>
      </c>
      <c r="J10123" s="2">
        <f t="shared" si="158"/>
        <v>43748.220622696761</v>
      </c>
    </row>
    <row r="10124" spans="1:10" x14ac:dyDescent="0.25">
      <c r="A10124" s="7" t="s">
        <v>20567</v>
      </c>
      <c r="B10124" s="8">
        <v>403.125</v>
      </c>
      <c r="C10124" s="8">
        <v>20.426300000000001</v>
      </c>
      <c r="D10124" s="8">
        <v>85</v>
      </c>
      <c r="E10124" s="8">
        <v>0</v>
      </c>
      <c r="F10124" s="8">
        <v>0</v>
      </c>
      <c r="G10124" s="8">
        <v>2</v>
      </c>
      <c r="H10124" s="8" t="s">
        <v>20568</v>
      </c>
      <c r="I10124" s="8">
        <v>529.125</v>
      </c>
      <c r="J10124" s="3">
        <f t="shared" si="158"/>
        <v>43748.220693981479</v>
      </c>
    </row>
    <row r="10125" spans="1:10" x14ac:dyDescent="0.25">
      <c r="A10125" s="5" t="s">
        <v>20569</v>
      </c>
      <c r="B10125" s="6">
        <v>403.125</v>
      </c>
      <c r="C10125" s="6">
        <v>20.426300000000001</v>
      </c>
      <c r="D10125" s="6">
        <v>86</v>
      </c>
      <c r="E10125" s="6">
        <v>0</v>
      </c>
      <c r="F10125" s="6">
        <v>0</v>
      </c>
      <c r="G10125" s="6">
        <v>9</v>
      </c>
      <c r="H10125" s="6" t="s">
        <v>20570</v>
      </c>
      <c r="I10125" s="6">
        <v>529.125</v>
      </c>
      <c r="J10125" s="2">
        <f t="shared" si="158"/>
        <v>43748.220766041668</v>
      </c>
    </row>
    <row r="10126" spans="1:10" x14ac:dyDescent="0.25">
      <c r="A10126" s="7" t="s">
        <v>20571</v>
      </c>
      <c r="B10126" s="8">
        <v>403.125</v>
      </c>
      <c r="C10126" s="8">
        <v>20.478950000000001</v>
      </c>
      <c r="D10126" s="8">
        <v>86</v>
      </c>
      <c r="E10126" s="8">
        <v>0</v>
      </c>
      <c r="F10126" s="8">
        <v>0</v>
      </c>
      <c r="G10126" s="8">
        <v>13</v>
      </c>
      <c r="H10126" s="8" t="s">
        <v>20572</v>
      </c>
      <c r="I10126" s="8">
        <v>529.125</v>
      </c>
      <c r="J10126" s="3">
        <f t="shared" si="158"/>
        <v>43748.220836643515</v>
      </c>
    </row>
    <row r="10127" spans="1:10" x14ac:dyDescent="0.25">
      <c r="A10127" s="5" t="s">
        <v>20573</v>
      </c>
      <c r="B10127" s="6">
        <v>403.125</v>
      </c>
      <c r="C10127" s="6">
        <v>20.478950000000001</v>
      </c>
      <c r="D10127" s="6">
        <v>86</v>
      </c>
      <c r="E10127" s="6">
        <v>0</v>
      </c>
      <c r="F10127" s="6">
        <v>0</v>
      </c>
      <c r="G10127" s="6">
        <v>9</v>
      </c>
      <c r="H10127" s="6" t="s">
        <v>20574</v>
      </c>
      <c r="I10127" s="6">
        <v>529.125</v>
      </c>
      <c r="J10127" s="2">
        <f t="shared" si="158"/>
        <v>43748.220908622687</v>
      </c>
    </row>
    <row r="10128" spans="1:10" x14ac:dyDescent="0.25">
      <c r="A10128" s="7" t="s">
        <v>20575</v>
      </c>
      <c r="B10128" s="8">
        <v>403.125</v>
      </c>
      <c r="C10128" s="8">
        <v>20.478950000000001</v>
      </c>
      <c r="D10128" s="8">
        <v>84</v>
      </c>
      <c r="E10128" s="8">
        <v>0</v>
      </c>
      <c r="F10128" s="8">
        <v>0</v>
      </c>
      <c r="G10128" s="8">
        <v>9</v>
      </c>
      <c r="H10128" s="8" t="s">
        <v>20576</v>
      </c>
      <c r="I10128" s="8">
        <v>529.125</v>
      </c>
      <c r="J10128" s="3">
        <f t="shared" si="158"/>
        <v>43748.220980104168</v>
      </c>
    </row>
    <row r="10129" spans="1:10" x14ac:dyDescent="0.25">
      <c r="A10129" s="5" t="s">
        <v>20577</v>
      </c>
      <c r="B10129" s="6">
        <v>400</v>
      </c>
      <c r="C10129" s="6">
        <v>20.478950000000001</v>
      </c>
      <c r="D10129" s="6">
        <v>85</v>
      </c>
      <c r="E10129" s="6">
        <v>0</v>
      </c>
      <c r="F10129" s="6">
        <v>0</v>
      </c>
      <c r="G10129" s="6">
        <v>7</v>
      </c>
      <c r="H10129" s="6" t="s">
        <v>20578</v>
      </c>
      <c r="I10129" s="6">
        <v>528.9375</v>
      </c>
      <c r="J10129" s="2">
        <f t="shared" si="158"/>
        <v>43748.221052337962</v>
      </c>
    </row>
    <row r="10130" spans="1:10" x14ac:dyDescent="0.25">
      <c r="A10130" s="7" t="s">
        <v>20579</v>
      </c>
      <c r="B10130" s="8">
        <v>400</v>
      </c>
      <c r="C10130" s="8">
        <v>20.478950000000001</v>
      </c>
      <c r="D10130" s="8">
        <v>86</v>
      </c>
      <c r="E10130" s="8">
        <v>0</v>
      </c>
      <c r="F10130" s="8">
        <v>0</v>
      </c>
      <c r="G10130" s="8">
        <v>4</v>
      </c>
      <c r="H10130" s="8" t="s">
        <v>20580</v>
      </c>
      <c r="I10130" s="8">
        <v>528.1875</v>
      </c>
      <c r="J10130" s="3">
        <f t="shared" si="158"/>
        <v>43748.221135069442</v>
      </c>
    </row>
    <row r="10131" spans="1:10" x14ac:dyDescent="0.25">
      <c r="A10131" s="5" t="s">
        <v>20581</v>
      </c>
      <c r="B10131" s="6">
        <v>403.125</v>
      </c>
      <c r="C10131" s="6">
        <v>20.426300000000001</v>
      </c>
      <c r="D10131" s="6">
        <v>86</v>
      </c>
      <c r="E10131" s="6">
        <v>0</v>
      </c>
      <c r="F10131" s="6">
        <v>0</v>
      </c>
      <c r="G10131" s="6">
        <v>6</v>
      </c>
      <c r="H10131" s="6" t="s">
        <v>20582</v>
      </c>
      <c r="I10131" s="6">
        <v>529.125</v>
      </c>
      <c r="J10131" s="2">
        <f t="shared" si="158"/>
        <v>43748.221206875001</v>
      </c>
    </row>
    <row r="10132" spans="1:10" x14ac:dyDescent="0.25">
      <c r="A10132" s="7" t="s">
        <v>20583</v>
      </c>
      <c r="B10132" s="8">
        <v>431.25</v>
      </c>
      <c r="C10132" s="8">
        <v>20.478950000000001</v>
      </c>
      <c r="D10132" s="8">
        <v>87</v>
      </c>
      <c r="E10132" s="8">
        <v>0</v>
      </c>
      <c r="F10132" s="8">
        <v>0</v>
      </c>
      <c r="G10132" s="8">
        <v>0</v>
      </c>
      <c r="H10132" s="8" t="s">
        <v>20584</v>
      </c>
      <c r="I10132" s="8">
        <v>538.5</v>
      </c>
      <c r="J10132" s="3">
        <f t="shared" si="158"/>
        <v>43748.221278229168</v>
      </c>
    </row>
    <row r="10133" spans="1:10" x14ac:dyDescent="0.25">
      <c r="A10133" s="5" t="s">
        <v>20585</v>
      </c>
      <c r="B10133" s="6">
        <v>403.125</v>
      </c>
      <c r="C10133" s="6">
        <v>20.478950000000001</v>
      </c>
      <c r="D10133" s="6">
        <v>87</v>
      </c>
      <c r="E10133" s="6">
        <v>0</v>
      </c>
      <c r="F10133" s="6">
        <v>0</v>
      </c>
      <c r="G10133" s="6">
        <v>0</v>
      </c>
      <c r="H10133" s="6" t="s">
        <v>20586</v>
      </c>
      <c r="I10133" s="6">
        <v>529.125</v>
      </c>
      <c r="J10133" s="2">
        <f t="shared" si="158"/>
        <v>43748.221362337958</v>
      </c>
    </row>
    <row r="10134" spans="1:10" x14ac:dyDescent="0.25">
      <c r="A10134" s="7" t="s">
        <v>20587</v>
      </c>
      <c r="B10134" s="8">
        <v>403.125</v>
      </c>
      <c r="C10134" s="8">
        <v>20.478950000000001</v>
      </c>
      <c r="D10134" s="8">
        <v>87</v>
      </c>
      <c r="E10134" s="8">
        <v>0</v>
      </c>
      <c r="F10134" s="8">
        <v>0</v>
      </c>
      <c r="G10134" s="8">
        <v>5</v>
      </c>
      <c r="H10134" s="8" t="s">
        <v>20588</v>
      </c>
      <c r="I10134" s="8">
        <v>529.125</v>
      </c>
      <c r="J10134" s="3">
        <f t="shared" si="158"/>
        <v>43748.221432928236</v>
      </c>
    </row>
    <row r="10135" spans="1:10" x14ac:dyDescent="0.25">
      <c r="A10135" s="5" t="s">
        <v>20589</v>
      </c>
      <c r="B10135" s="6">
        <v>400</v>
      </c>
      <c r="C10135" s="6">
        <v>20.426300000000001</v>
      </c>
      <c r="D10135" s="6">
        <v>87</v>
      </c>
      <c r="E10135" s="6">
        <v>0</v>
      </c>
      <c r="F10135" s="6">
        <v>0</v>
      </c>
      <c r="G10135" s="6">
        <v>9</v>
      </c>
      <c r="H10135" s="6" t="s">
        <v>20590</v>
      </c>
      <c r="I10135" s="6">
        <v>528.1875</v>
      </c>
      <c r="J10135" s="2">
        <f t="shared" si="158"/>
        <v>43748.221505057867</v>
      </c>
    </row>
    <row r="10136" spans="1:10" x14ac:dyDescent="0.25">
      <c r="A10136" s="7" t="s">
        <v>20591</v>
      </c>
      <c r="B10136" s="8">
        <v>396.875</v>
      </c>
      <c r="C10136" s="8">
        <v>20.426300000000001</v>
      </c>
      <c r="D10136" s="8">
        <v>88</v>
      </c>
      <c r="E10136" s="8">
        <v>0</v>
      </c>
      <c r="F10136" s="8">
        <v>0</v>
      </c>
      <c r="G10136" s="8">
        <v>17</v>
      </c>
      <c r="H10136" s="8" t="s">
        <v>20592</v>
      </c>
      <c r="I10136" s="8">
        <v>527.4375</v>
      </c>
      <c r="J10136" s="3">
        <f t="shared" si="158"/>
        <v>43748.221588449072</v>
      </c>
    </row>
    <row r="10137" spans="1:10" x14ac:dyDescent="0.25">
      <c r="A10137" s="5" t="s">
        <v>20593</v>
      </c>
      <c r="B10137" s="6">
        <v>396.875</v>
      </c>
      <c r="C10137" s="6">
        <v>20.478950000000001</v>
      </c>
      <c r="D10137" s="6">
        <v>86</v>
      </c>
      <c r="E10137" s="6">
        <v>0</v>
      </c>
      <c r="F10137" s="6">
        <v>0</v>
      </c>
      <c r="G10137" s="6">
        <v>12</v>
      </c>
      <c r="H10137" s="6" t="s">
        <v>20594</v>
      </c>
      <c r="I10137" s="6">
        <v>527.4375</v>
      </c>
      <c r="J10137" s="2">
        <f t="shared" si="158"/>
        <v>43748.221659745366</v>
      </c>
    </row>
    <row r="10138" spans="1:10" x14ac:dyDescent="0.25">
      <c r="A10138" s="7" t="s">
        <v>20595</v>
      </c>
      <c r="B10138" s="8">
        <v>396.875</v>
      </c>
      <c r="C10138" s="8">
        <v>20.478950000000001</v>
      </c>
      <c r="D10138" s="8">
        <v>86</v>
      </c>
      <c r="E10138" s="8">
        <v>0</v>
      </c>
      <c r="F10138" s="8">
        <v>0</v>
      </c>
      <c r="G10138" s="8">
        <v>12</v>
      </c>
      <c r="H10138" s="8" t="s">
        <v>20596</v>
      </c>
      <c r="I10138" s="8">
        <v>527.25</v>
      </c>
      <c r="J10138" s="3">
        <f t="shared" si="158"/>
        <v>43748.221731898149</v>
      </c>
    </row>
    <row r="10139" spans="1:10" x14ac:dyDescent="0.25">
      <c r="A10139" s="5" t="s">
        <v>20597</v>
      </c>
      <c r="B10139" s="6">
        <v>393.75</v>
      </c>
      <c r="C10139" s="6">
        <v>20.478950000000001</v>
      </c>
      <c r="D10139" s="6">
        <v>86</v>
      </c>
      <c r="E10139" s="6">
        <v>0</v>
      </c>
      <c r="F10139" s="6">
        <v>0</v>
      </c>
      <c r="G10139" s="6">
        <v>10</v>
      </c>
      <c r="H10139" s="6" t="s">
        <v>20598</v>
      </c>
      <c r="I10139" s="6">
        <v>526.6875</v>
      </c>
      <c r="J10139" s="2">
        <f t="shared" si="158"/>
        <v>43748.221826678237</v>
      </c>
    </row>
    <row r="10140" spans="1:10" x14ac:dyDescent="0.25">
      <c r="A10140" s="7" t="s">
        <v>20599</v>
      </c>
      <c r="B10140" s="8">
        <v>393.75</v>
      </c>
      <c r="C10140" s="8">
        <v>20.426300000000001</v>
      </c>
      <c r="D10140" s="8">
        <v>87</v>
      </c>
      <c r="E10140" s="8">
        <v>0</v>
      </c>
      <c r="F10140" s="8">
        <v>0</v>
      </c>
      <c r="G10140" s="8">
        <v>9</v>
      </c>
      <c r="H10140" s="8" t="s">
        <v>20600</v>
      </c>
      <c r="I10140" s="8">
        <v>526.6875</v>
      </c>
      <c r="J10140" s="3">
        <f t="shared" si="158"/>
        <v>43748.221898622687</v>
      </c>
    </row>
    <row r="10141" spans="1:10" x14ac:dyDescent="0.25">
      <c r="A10141" s="5" t="s">
        <v>20601</v>
      </c>
      <c r="B10141" s="6">
        <v>393.75</v>
      </c>
      <c r="C10141" s="6">
        <v>20.478950000000001</v>
      </c>
      <c r="D10141" s="6">
        <v>87</v>
      </c>
      <c r="E10141" s="6">
        <v>0</v>
      </c>
      <c r="F10141" s="6">
        <v>0</v>
      </c>
      <c r="G10141" s="6">
        <v>8</v>
      </c>
      <c r="H10141" s="6" t="s">
        <v>20602</v>
      </c>
      <c r="I10141" s="6">
        <v>526.6875</v>
      </c>
      <c r="J10141" s="2">
        <f t="shared" si="158"/>
        <v>43748.221969965271</v>
      </c>
    </row>
    <row r="10142" spans="1:10" x14ac:dyDescent="0.25">
      <c r="A10142" s="7" t="s">
        <v>20603</v>
      </c>
      <c r="B10142" s="8">
        <v>393.75</v>
      </c>
      <c r="C10142" s="8">
        <v>20.478950000000001</v>
      </c>
      <c r="D10142" s="8">
        <v>87</v>
      </c>
      <c r="E10142" s="8">
        <v>0</v>
      </c>
      <c r="F10142" s="8">
        <v>0</v>
      </c>
      <c r="G10142" s="8">
        <v>8</v>
      </c>
      <c r="H10142" s="8" t="s">
        <v>20604</v>
      </c>
      <c r="I10142" s="8">
        <v>526.6875</v>
      </c>
      <c r="J10142" s="3">
        <f t="shared" si="158"/>
        <v>43748.222041944442</v>
      </c>
    </row>
    <row r="10143" spans="1:10" x14ac:dyDescent="0.25">
      <c r="A10143" s="5" t="s">
        <v>20605</v>
      </c>
      <c r="B10143" s="6">
        <v>393.75</v>
      </c>
      <c r="C10143" s="6">
        <v>20.478950000000001</v>
      </c>
      <c r="D10143" s="6">
        <v>87</v>
      </c>
      <c r="E10143" s="6">
        <v>0</v>
      </c>
      <c r="F10143" s="6">
        <v>0</v>
      </c>
      <c r="G10143" s="6">
        <v>13</v>
      </c>
      <c r="H10143" s="6" t="s">
        <v>20606</v>
      </c>
      <c r="I10143" s="6">
        <v>526.6875</v>
      </c>
      <c r="J10143" s="2">
        <f t="shared" si="158"/>
        <v>43748.222113425923</v>
      </c>
    </row>
    <row r="10144" spans="1:10" x14ac:dyDescent="0.25">
      <c r="A10144" s="7" t="s">
        <v>20607</v>
      </c>
      <c r="B10144" s="8">
        <v>393.75</v>
      </c>
      <c r="C10144" s="8">
        <v>20.478950000000001</v>
      </c>
      <c r="D10144" s="8">
        <v>87</v>
      </c>
      <c r="E10144" s="8">
        <v>0</v>
      </c>
      <c r="F10144" s="8">
        <v>0</v>
      </c>
      <c r="G10144" s="8">
        <v>6</v>
      </c>
      <c r="H10144" s="8" t="s">
        <v>20608</v>
      </c>
      <c r="I10144" s="8">
        <v>526.5</v>
      </c>
      <c r="J10144" s="3">
        <f t="shared" si="158"/>
        <v>43748.222184699072</v>
      </c>
    </row>
    <row r="10145" spans="1:10" x14ac:dyDescent="0.25">
      <c r="A10145" s="5" t="s">
        <v>20609</v>
      </c>
      <c r="B10145" s="6">
        <v>393.75</v>
      </c>
      <c r="C10145" s="6">
        <v>20.478950000000001</v>
      </c>
      <c r="D10145" s="6">
        <v>88</v>
      </c>
      <c r="E10145" s="6">
        <v>0</v>
      </c>
      <c r="F10145" s="6">
        <v>0</v>
      </c>
      <c r="G10145" s="6">
        <v>9</v>
      </c>
      <c r="H10145" s="6" t="s">
        <v>20610</v>
      </c>
      <c r="I10145" s="6">
        <v>526.5</v>
      </c>
      <c r="J10145" s="2">
        <f t="shared" si="158"/>
        <v>43748.222256006942</v>
      </c>
    </row>
    <row r="10146" spans="1:10" x14ac:dyDescent="0.25">
      <c r="A10146" s="7" t="s">
        <v>20611</v>
      </c>
      <c r="B10146" s="8">
        <v>412.5</v>
      </c>
      <c r="C10146" s="8">
        <v>20.426300000000001</v>
      </c>
      <c r="D10146" s="8">
        <v>88</v>
      </c>
      <c r="E10146" s="8">
        <v>0</v>
      </c>
      <c r="F10146" s="8">
        <v>0</v>
      </c>
      <c r="G10146" s="8">
        <v>15</v>
      </c>
      <c r="H10146" s="8" t="s">
        <v>20612</v>
      </c>
      <c r="I10146" s="8">
        <v>532.5</v>
      </c>
      <c r="J10146" s="3">
        <f t="shared" si="158"/>
        <v>43748.22232822916</v>
      </c>
    </row>
    <row r="10147" spans="1:10" x14ac:dyDescent="0.25">
      <c r="A10147" s="5" t="s">
        <v>20613</v>
      </c>
      <c r="B10147" s="6">
        <v>393.75</v>
      </c>
      <c r="C10147" s="6">
        <v>20.478950000000001</v>
      </c>
      <c r="D10147" s="6">
        <v>89</v>
      </c>
      <c r="E10147" s="6">
        <v>0</v>
      </c>
      <c r="F10147" s="6">
        <v>0</v>
      </c>
      <c r="G10147" s="6">
        <v>14</v>
      </c>
      <c r="H10147" s="6" t="s">
        <v>20614</v>
      </c>
      <c r="I10147" s="6">
        <v>526.6875</v>
      </c>
      <c r="J10147" s="2">
        <f t="shared" si="158"/>
        <v>43748.222399525461</v>
      </c>
    </row>
    <row r="10148" spans="1:10" x14ac:dyDescent="0.25">
      <c r="A10148" s="7" t="s">
        <v>20615</v>
      </c>
      <c r="B10148" s="8">
        <v>393.75</v>
      </c>
      <c r="C10148" s="8">
        <v>20.478950000000001</v>
      </c>
      <c r="D10148" s="8">
        <v>91</v>
      </c>
      <c r="E10148" s="8">
        <v>0</v>
      </c>
      <c r="F10148" s="8">
        <v>0</v>
      </c>
      <c r="G10148" s="8">
        <v>15</v>
      </c>
      <c r="H10148" s="8" t="s">
        <v>20616</v>
      </c>
      <c r="I10148" s="8">
        <v>526.6875</v>
      </c>
      <c r="J10148" s="3">
        <f t="shared" si="158"/>
        <v>43748.222470833331</v>
      </c>
    </row>
    <row r="10149" spans="1:10" x14ac:dyDescent="0.25">
      <c r="A10149" s="5" t="s">
        <v>20617</v>
      </c>
      <c r="B10149" s="6">
        <v>393.75</v>
      </c>
      <c r="C10149" s="6">
        <v>20.478950000000001</v>
      </c>
      <c r="D10149" s="6">
        <v>92</v>
      </c>
      <c r="E10149" s="6">
        <v>0</v>
      </c>
      <c r="F10149" s="6">
        <v>0</v>
      </c>
      <c r="G10149" s="6">
        <v>5</v>
      </c>
      <c r="H10149" s="6" t="s">
        <v>20618</v>
      </c>
      <c r="I10149" s="6">
        <v>526.6875</v>
      </c>
      <c r="J10149" s="2">
        <f t="shared" si="158"/>
        <v>43748.222542175929</v>
      </c>
    </row>
    <row r="10150" spans="1:10" x14ac:dyDescent="0.25">
      <c r="A10150" s="7" t="s">
        <v>20619</v>
      </c>
      <c r="B10150" s="8">
        <v>393.75</v>
      </c>
      <c r="C10150" s="8">
        <v>20.478950000000001</v>
      </c>
      <c r="D10150" s="8">
        <v>92</v>
      </c>
      <c r="E10150" s="8">
        <v>0</v>
      </c>
      <c r="F10150" s="8">
        <v>0</v>
      </c>
      <c r="G10150" s="8">
        <v>13</v>
      </c>
      <c r="H10150" s="8" t="s">
        <v>20620</v>
      </c>
      <c r="I10150" s="8">
        <v>526.6875</v>
      </c>
      <c r="J10150" s="3">
        <f t="shared" si="158"/>
        <v>43748.222614328704</v>
      </c>
    </row>
    <row r="10151" spans="1:10" x14ac:dyDescent="0.25">
      <c r="A10151" s="5" t="s">
        <v>20621</v>
      </c>
      <c r="B10151" s="6">
        <v>393.75</v>
      </c>
      <c r="C10151" s="6">
        <v>20.478950000000001</v>
      </c>
      <c r="D10151" s="6">
        <v>91</v>
      </c>
      <c r="E10151" s="6">
        <v>0</v>
      </c>
      <c r="F10151" s="6">
        <v>0</v>
      </c>
      <c r="G10151" s="6">
        <v>7</v>
      </c>
      <c r="H10151" s="6" t="s">
        <v>20622</v>
      </c>
      <c r="I10151" s="6">
        <v>526.6875</v>
      </c>
      <c r="J10151" s="2">
        <f t="shared" si="158"/>
        <v>43748.22268564815</v>
      </c>
    </row>
    <row r="10152" spans="1:10" x14ac:dyDescent="0.25">
      <c r="A10152" s="7" t="s">
        <v>20623</v>
      </c>
      <c r="B10152" s="8">
        <v>393.75</v>
      </c>
      <c r="C10152" s="8">
        <v>20.478950000000001</v>
      </c>
      <c r="D10152" s="8">
        <v>91</v>
      </c>
      <c r="E10152" s="8">
        <v>0</v>
      </c>
      <c r="F10152" s="8">
        <v>0</v>
      </c>
      <c r="G10152" s="8">
        <v>11</v>
      </c>
      <c r="H10152" s="8" t="s">
        <v>20624</v>
      </c>
      <c r="I10152" s="8">
        <v>526.6875</v>
      </c>
      <c r="J10152" s="3">
        <f t="shared" si="158"/>
        <v>43748.222756828698</v>
      </c>
    </row>
    <row r="10153" spans="1:10" x14ac:dyDescent="0.25">
      <c r="A10153" s="5" t="s">
        <v>20625</v>
      </c>
      <c r="B10153" s="6">
        <v>396.875</v>
      </c>
      <c r="C10153" s="6">
        <v>20.478950000000001</v>
      </c>
      <c r="D10153" s="6">
        <v>91</v>
      </c>
      <c r="E10153" s="6">
        <v>0</v>
      </c>
      <c r="F10153" s="6">
        <v>0</v>
      </c>
      <c r="G10153" s="6">
        <v>11</v>
      </c>
      <c r="H10153" s="6" t="s">
        <v>20626</v>
      </c>
      <c r="I10153" s="6">
        <v>527.4375</v>
      </c>
      <c r="J10153" s="2">
        <f t="shared" si="158"/>
        <v>43748.2228283449</v>
      </c>
    </row>
    <row r="10154" spans="1:10" x14ac:dyDescent="0.25">
      <c r="A10154" s="7" t="s">
        <v>20627</v>
      </c>
      <c r="B10154" s="8">
        <v>396.875</v>
      </c>
      <c r="C10154" s="8">
        <v>20.426300000000001</v>
      </c>
      <c r="D10154" s="8">
        <v>94</v>
      </c>
      <c r="E10154" s="8">
        <v>0</v>
      </c>
      <c r="F10154" s="8">
        <v>0</v>
      </c>
      <c r="G10154" s="8">
        <v>5</v>
      </c>
      <c r="H10154" s="8" t="s">
        <v>20628</v>
      </c>
      <c r="I10154" s="8">
        <v>527.4375</v>
      </c>
      <c r="J10154" s="3">
        <f t="shared" si="158"/>
        <v>43748.222900451387</v>
      </c>
    </row>
    <row r="10155" spans="1:10" x14ac:dyDescent="0.25">
      <c r="A10155" s="5" t="s">
        <v>20629</v>
      </c>
      <c r="B10155" s="6">
        <v>396.875</v>
      </c>
      <c r="C10155" s="6">
        <v>20.426300000000001</v>
      </c>
      <c r="D10155" s="6">
        <v>95</v>
      </c>
      <c r="E10155" s="6">
        <v>0</v>
      </c>
      <c r="F10155" s="6">
        <v>0</v>
      </c>
      <c r="G10155" s="6">
        <v>15</v>
      </c>
      <c r="H10155" s="6" t="s">
        <v>20630</v>
      </c>
      <c r="I10155" s="6">
        <v>527.4375</v>
      </c>
      <c r="J10155" s="2">
        <f t="shared" si="158"/>
        <v>43748.222971759256</v>
      </c>
    </row>
    <row r="10156" spans="1:10" x14ac:dyDescent="0.25">
      <c r="A10156" s="7" t="s">
        <v>20631</v>
      </c>
      <c r="B10156" s="8">
        <v>393.75</v>
      </c>
      <c r="C10156" s="8">
        <v>20.478950000000001</v>
      </c>
      <c r="D10156" s="8">
        <v>93</v>
      </c>
      <c r="E10156" s="8">
        <v>0</v>
      </c>
      <c r="F10156" s="8">
        <v>0</v>
      </c>
      <c r="G10156" s="8">
        <v>13</v>
      </c>
      <c r="H10156" s="8" t="s">
        <v>20632</v>
      </c>
      <c r="I10156" s="8">
        <v>526.6875</v>
      </c>
      <c r="J10156" s="3">
        <f t="shared" si="158"/>
        <v>43748.223055104165</v>
      </c>
    </row>
    <row r="10157" spans="1:10" x14ac:dyDescent="0.25">
      <c r="A10157" s="5" t="s">
        <v>20633</v>
      </c>
      <c r="B10157" s="6">
        <v>393.75</v>
      </c>
      <c r="C10157" s="6">
        <v>20.478950000000001</v>
      </c>
      <c r="D10157" s="6">
        <v>96</v>
      </c>
      <c r="E10157" s="6">
        <v>0</v>
      </c>
      <c r="F10157" s="6">
        <v>0</v>
      </c>
      <c r="G10157" s="6">
        <v>3</v>
      </c>
      <c r="H10157" s="6" t="s">
        <v>20634</v>
      </c>
      <c r="I10157" s="6">
        <v>526.5</v>
      </c>
      <c r="J10157" s="2">
        <f t="shared" si="158"/>
        <v>43748.223127256941</v>
      </c>
    </row>
    <row r="10158" spans="1:10" x14ac:dyDescent="0.25">
      <c r="A10158" s="7" t="s">
        <v>20635</v>
      </c>
      <c r="B10158" s="8">
        <v>415.625</v>
      </c>
      <c r="C10158" s="8">
        <v>20.478950000000001</v>
      </c>
      <c r="D10158" s="8">
        <v>96</v>
      </c>
      <c r="E10158" s="8">
        <v>0</v>
      </c>
      <c r="F10158" s="8">
        <v>0</v>
      </c>
      <c r="G10158" s="8">
        <v>9</v>
      </c>
      <c r="H10158" s="8" t="s">
        <v>20636</v>
      </c>
      <c r="I10158" s="8">
        <v>533.625</v>
      </c>
      <c r="J10158" s="3">
        <f t="shared" si="158"/>
        <v>43748.22319773148</v>
      </c>
    </row>
    <row r="10159" spans="1:10" x14ac:dyDescent="0.25">
      <c r="A10159" s="5" t="s">
        <v>20637</v>
      </c>
      <c r="B10159" s="6">
        <v>393.75</v>
      </c>
      <c r="C10159" s="6">
        <v>20.478950000000001</v>
      </c>
      <c r="D10159" s="6">
        <v>96</v>
      </c>
      <c r="E10159" s="6">
        <v>0</v>
      </c>
      <c r="F10159" s="6">
        <v>0</v>
      </c>
      <c r="G10159" s="6">
        <v>9</v>
      </c>
      <c r="H10159" s="6" t="s">
        <v>20638</v>
      </c>
      <c r="I10159" s="6">
        <v>526.6875</v>
      </c>
      <c r="J10159" s="2">
        <f t="shared" si="158"/>
        <v>43748.223269953705</v>
      </c>
    </row>
    <row r="10160" spans="1:10" x14ac:dyDescent="0.25">
      <c r="A10160" s="7" t="s">
        <v>20639</v>
      </c>
      <c r="B10160" s="8">
        <v>393.75</v>
      </c>
      <c r="C10160" s="8">
        <v>20.478950000000001</v>
      </c>
      <c r="D10160" s="8">
        <v>96</v>
      </c>
      <c r="E10160" s="8">
        <v>0</v>
      </c>
      <c r="F10160" s="8">
        <v>0</v>
      </c>
      <c r="G10160" s="8">
        <v>8</v>
      </c>
      <c r="H10160" s="8" t="s">
        <v>20640</v>
      </c>
      <c r="I10160" s="8">
        <v>526.6875</v>
      </c>
      <c r="J10160" s="3">
        <f t="shared" si="158"/>
        <v>43748.223341944446</v>
      </c>
    </row>
    <row r="10161" spans="1:10" x14ac:dyDescent="0.25">
      <c r="A10161" s="5" t="s">
        <v>20641</v>
      </c>
      <c r="B10161" s="6">
        <v>393.75</v>
      </c>
      <c r="C10161" s="6">
        <v>20.426300000000001</v>
      </c>
      <c r="D10161" s="6">
        <v>95</v>
      </c>
      <c r="E10161" s="6">
        <v>0</v>
      </c>
      <c r="F10161" s="6">
        <v>0</v>
      </c>
      <c r="G10161" s="6">
        <v>7</v>
      </c>
      <c r="H10161" s="6" t="s">
        <v>20642</v>
      </c>
      <c r="I10161" s="6">
        <v>526.6875</v>
      </c>
      <c r="J10161" s="2">
        <f t="shared" si="158"/>
        <v>43748.223413414351</v>
      </c>
    </row>
    <row r="10162" spans="1:10" x14ac:dyDescent="0.25">
      <c r="A10162" s="7" t="s">
        <v>20643</v>
      </c>
      <c r="B10162" s="8">
        <v>393.75</v>
      </c>
      <c r="C10162" s="8">
        <v>20.478950000000001</v>
      </c>
      <c r="D10162" s="8">
        <v>96</v>
      </c>
      <c r="E10162" s="8">
        <v>0</v>
      </c>
      <c r="F10162" s="8">
        <v>0</v>
      </c>
      <c r="G10162" s="8">
        <v>9</v>
      </c>
      <c r="H10162" s="8" t="s">
        <v>20644</v>
      </c>
      <c r="I10162" s="8">
        <v>526.6875</v>
      </c>
      <c r="J10162" s="3">
        <f t="shared" si="158"/>
        <v>43748.223508726849</v>
      </c>
    </row>
    <row r="10163" spans="1:10" x14ac:dyDescent="0.25">
      <c r="A10163" s="5" t="s">
        <v>20645</v>
      </c>
      <c r="B10163" s="6">
        <v>393.75</v>
      </c>
      <c r="C10163" s="6">
        <v>20.478950000000001</v>
      </c>
      <c r="D10163" s="6">
        <v>96</v>
      </c>
      <c r="E10163" s="6">
        <v>0</v>
      </c>
      <c r="F10163" s="6">
        <v>0</v>
      </c>
      <c r="G10163" s="6">
        <v>7</v>
      </c>
      <c r="H10163" s="6" t="s">
        <v>20646</v>
      </c>
      <c r="I10163" s="6">
        <v>526.5</v>
      </c>
      <c r="J10163" s="2">
        <f t="shared" si="158"/>
        <v>43748.223580081016</v>
      </c>
    </row>
    <row r="10164" spans="1:10" x14ac:dyDescent="0.25">
      <c r="A10164" s="7" t="s">
        <v>20647</v>
      </c>
      <c r="B10164" s="8">
        <v>390.625</v>
      </c>
      <c r="C10164" s="8">
        <v>20.426300000000001</v>
      </c>
      <c r="D10164" s="8">
        <v>93</v>
      </c>
      <c r="E10164" s="8">
        <v>0</v>
      </c>
      <c r="F10164" s="8">
        <v>0</v>
      </c>
      <c r="G10164" s="8">
        <v>11</v>
      </c>
      <c r="H10164" s="8" t="s">
        <v>20648</v>
      </c>
      <c r="I10164" s="8">
        <v>525.75</v>
      </c>
      <c r="J10164" s="3">
        <f t="shared" si="158"/>
        <v>43748.223651388886</v>
      </c>
    </row>
    <row r="10165" spans="1:10" x14ac:dyDescent="0.25">
      <c r="A10165" s="5" t="s">
        <v>20649</v>
      </c>
      <c r="B10165" s="6">
        <v>412.5</v>
      </c>
      <c r="C10165" s="6">
        <v>20.478950000000001</v>
      </c>
      <c r="D10165" s="6">
        <v>93</v>
      </c>
      <c r="E10165" s="6">
        <v>0</v>
      </c>
      <c r="F10165" s="6">
        <v>0</v>
      </c>
      <c r="G10165" s="6">
        <v>5</v>
      </c>
      <c r="H10165" s="6" t="s">
        <v>20650</v>
      </c>
      <c r="I10165" s="6">
        <v>532.875</v>
      </c>
      <c r="J10165" s="2">
        <f t="shared" si="158"/>
        <v>43748.223722731484</v>
      </c>
    </row>
    <row r="10166" spans="1:10" x14ac:dyDescent="0.25">
      <c r="A10166" s="7" t="s">
        <v>20651</v>
      </c>
      <c r="B10166" s="8">
        <v>396.875</v>
      </c>
      <c r="C10166" s="8">
        <v>20.478950000000001</v>
      </c>
      <c r="D10166" s="8">
        <v>94</v>
      </c>
      <c r="E10166" s="8">
        <v>0</v>
      </c>
      <c r="F10166" s="8">
        <v>0</v>
      </c>
      <c r="G10166" s="8">
        <v>3</v>
      </c>
      <c r="H10166" s="8" t="s">
        <v>20652</v>
      </c>
      <c r="I10166" s="8">
        <v>527.4375</v>
      </c>
      <c r="J10166" s="3">
        <f t="shared" si="158"/>
        <v>43748.223794849539</v>
      </c>
    </row>
    <row r="10167" spans="1:10" x14ac:dyDescent="0.25">
      <c r="A10167" s="5" t="s">
        <v>20653</v>
      </c>
      <c r="B10167" s="6">
        <v>396.875</v>
      </c>
      <c r="C10167" s="6">
        <v>20.478950000000001</v>
      </c>
      <c r="D10167" s="6">
        <v>94</v>
      </c>
      <c r="E10167" s="6">
        <v>0</v>
      </c>
      <c r="F10167" s="6">
        <v>0</v>
      </c>
      <c r="G10167" s="6">
        <v>8</v>
      </c>
      <c r="H10167" s="6" t="s">
        <v>20654</v>
      </c>
      <c r="I10167" s="6">
        <v>527.4375</v>
      </c>
      <c r="J10167" s="2">
        <f t="shared" si="158"/>
        <v>43748.223866215274</v>
      </c>
    </row>
    <row r="10168" spans="1:10" x14ac:dyDescent="0.25">
      <c r="A10168" s="7" t="s">
        <v>20655</v>
      </c>
      <c r="B10168" s="8">
        <v>396.875</v>
      </c>
      <c r="C10168" s="8">
        <v>20.478950000000001</v>
      </c>
      <c r="D10168" s="8">
        <v>94</v>
      </c>
      <c r="E10168" s="8">
        <v>0</v>
      </c>
      <c r="F10168" s="8">
        <v>0</v>
      </c>
      <c r="G10168" s="8">
        <v>9</v>
      </c>
      <c r="H10168" s="8" t="s">
        <v>20656</v>
      </c>
      <c r="I10168" s="8">
        <v>527.4375</v>
      </c>
      <c r="J10168" s="3">
        <f t="shared" si="158"/>
        <v>43748.22393836805</v>
      </c>
    </row>
    <row r="10169" spans="1:10" x14ac:dyDescent="0.25">
      <c r="A10169" s="5" t="s">
        <v>20657</v>
      </c>
      <c r="B10169" s="6">
        <v>396.875</v>
      </c>
      <c r="C10169" s="6">
        <v>20.426300000000001</v>
      </c>
      <c r="D10169" s="6">
        <v>94</v>
      </c>
      <c r="E10169" s="6">
        <v>0</v>
      </c>
      <c r="F10169" s="6">
        <v>0</v>
      </c>
      <c r="G10169" s="6">
        <v>3</v>
      </c>
      <c r="H10169" s="6" t="s">
        <v>20658</v>
      </c>
      <c r="I10169" s="6">
        <v>527.4375</v>
      </c>
      <c r="J10169" s="2">
        <f t="shared" si="158"/>
        <v>43748.224008854166</v>
      </c>
    </row>
    <row r="10170" spans="1:10" x14ac:dyDescent="0.25">
      <c r="A10170" s="7" t="s">
        <v>20659</v>
      </c>
      <c r="B10170" s="8">
        <v>396.875</v>
      </c>
      <c r="C10170" s="8">
        <v>20.478950000000001</v>
      </c>
      <c r="D10170" s="8">
        <v>93</v>
      </c>
      <c r="E10170" s="8">
        <v>0</v>
      </c>
      <c r="F10170" s="8">
        <v>0</v>
      </c>
      <c r="G10170" s="8">
        <v>8</v>
      </c>
      <c r="H10170" s="8" t="s">
        <v>20660</v>
      </c>
      <c r="I10170" s="8">
        <v>527.4375</v>
      </c>
      <c r="J10170" s="3">
        <f t="shared" si="158"/>
        <v>43748.224081018518</v>
      </c>
    </row>
    <row r="10171" spans="1:10" x14ac:dyDescent="0.25">
      <c r="A10171" s="5" t="s">
        <v>20661</v>
      </c>
      <c r="B10171" s="6">
        <v>396.875</v>
      </c>
      <c r="C10171" s="6">
        <v>20.478950000000001</v>
      </c>
      <c r="D10171" s="6">
        <v>92</v>
      </c>
      <c r="E10171" s="6">
        <v>0</v>
      </c>
      <c r="F10171" s="6">
        <v>0</v>
      </c>
      <c r="G10171" s="6">
        <v>6</v>
      </c>
      <c r="H10171" s="6" t="s">
        <v>20662</v>
      </c>
      <c r="I10171" s="6">
        <v>527.4375</v>
      </c>
      <c r="J10171" s="2">
        <f t="shared" si="158"/>
        <v>43748.2241521412</v>
      </c>
    </row>
    <row r="10172" spans="1:10" x14ac:dyDescent="0.25">
      <c r="A10172" s="7" t="s">
        <v>20663</v>
      </c>
      <c r="B10172" s="8">
        <v>396.875</v>
      </c>
      <c r="C10172" s="8">
        <v>20.478950000000001</v>
      </c>
      <c r="D10172" s="8">
        <v>91</v>
      </c>
      <c r="E10172" s="8">
        <v>0</v>
      </c>
      <c r="F10172" s="8">
        <v>0</v>
      </c>
      <c r="G10172" s="8">
        <v>7</v>
      </c>
      <c r="H10172" s="8" t="s">
        <v>20664</v>
      </c>
      <c r="I10172" s="8">
        <v>527.4375</v>
      </c>
      <c r="J10172" s="3">
        <f t="shared" si="158"/>
        <v>43748.224236793983</v>
      </c>
    </row>
    <row r="10173" spans="1:10" x14ac:dyDescent="0.25">
      <c r="A10173" s="5" t="s">
        <v>20665</v>
      </c>
      <c r="B10173" s="6">
        <v>415.625</v>
      </c>
      <c r="C10173" s="6">
        <v>20.478950000000001</v>
      </c>
      <c r="D10173" s="6">
        <v>91</v>
      </c>
      <c r="E10173" s="6">
        <v>0</v>
      </c>
      <c r="F10173" s="6">
        <v>0</v>
      </c>
      <c r="G10173" s="6">
        <v>13</v>
      </c>
      <c r="H10173" s="6" t="s">
        <v>20666</v>
      </c>
      <c r="I10173" s="6">
        <v>533.0625</v>
      </c>
      <c r="J10173" s="2">
        <f t="shared" si="158"/>
        <v>43748.224306979166</v>
      </c>
    </row>
    <row r="10174" spans="1:10" x14ac:dyDescent="0.25">
      <c r="A10174" s="7" t="s">
        <v>20667</v>
      </c>
      <c r="B10174" s="8">
        <v>396.875</v>
      </c>
      <c r="C10174" s="8">
        <v>20.478950000000001</v>
      </c>
      <c r="D10174" s="8">
        <v>91</v>
      </c>
      <c r="E10174" s="8">
        <v>0</v>
      </c>
      <c r="F10174" s="8">
        <v>0</v>
      </c>
      <c r="G10174" s="8">
        <v>5</v>
      </c>
      <c r="H10174" s="8" t="s">
        <v>20668</v>
      </c>
      <c r="I10174" s="8">
        <v>527.4375</v>
      </c>
      <c r="J10174" s="3">
        <f t="shared" si="158"/>
        <v>43748.224379143518</v>
      </c>
    </row>
    <row r="10175" spans="1:10" x14ac:dyDescent="0.25">
      <c r="A10175" s="5" t="s">
        <v>20669</v>
      </c>
      <c r="B10175" s="6">
        <v>396.875</v>
      </c>
      <c r="C10175" s="6">
        <v>20.478950000000001</v>
      </c>
      <c r="D10175" s="6">
        <v>91</v>
      </c>
      <c r="E10175" s="6">
        <v>0</v>
      </c>
      <c r="F10175" s="6">
        <v>0</v>
      </c>
      <c r="G10175" s="6">
        <v>8</v>
      </c>
      <c r="H10175" s="6" t="s">
        <v>20670</v>
      </c>
      <c r="I10175" s="6">
        <v>527.4375</v>
      </c>
      <c r="J10175" s="2">
        <f t="shared" si="158"/>
        <v>43748.224450462956</v>
      </c>
    </row>
    <row r="10176" spans="1:10" x14ac:dyDescent="0.25">
      <c r="A10176" s="7" t="s">
        <v>20671</v>
      </c>
      <c r="B10176" s="8">
        <v>396.875</v>
      </c>
      <c r="C10176" s="8">
        <v>20.478950000000001</v>
      </c>
      <c r="D10176" s="8">
        <v>91</v>
      </c>
      <c r="E10176" s="8">
        <v>0</v>
      </c>
      <c r="F10176" s="8">
        <v>0</v>
      </c>
      <c r="G10176" s="8">
        <v>13</v>
      </c>
      <c r="H10176" s="8" t="s">
        <v>20672</v>
      </c>
      <c r="I10176" s="8">
        <v>527.4375</v>
      </c>
      <c r="J10176" s="3">
        <f t="shared" si="158"/>
        <v>43748.22453378472</v>
      </c>
    </row>
    <row r="10177" spans="1:10" x14ac:dyDescent="0.25">
      <c r="A10177" s="5" t="s">
        <v>20673</v>
      </c>
      <c r="B10177" s="6">
        <v>396.875</v>
      </c>
      <c r="C10177" s="6">
        <v>20.478950000000001</v>
      </c>
      <c r="D10177" s="6">
        <v>91</v>
      </c>
      <c r="E10177" s="6">
        <v>0</v>
      </c>
      <c r="F10177" s="6">
        <v>0</v>
      </c>
      <c r="G10177" s="6">
        <v>4</v>
      </c>
      <c r="H10177" s="6" t="s">
        <v>20674</v>
      </c>
      <c r="I10177" s="6">
        <v>527.4375</v>
      </c>
      <c r="J10177" s="2">
        <f t="shared" si="158"/>
        <v>43748.224605844902</v>
      </c>
    </row>
    <row r="10178" spans="1:10" x14ac:dyDescent="0.25">
      <c r="A10178" s="7" t="s">
        <v>20675</v>
      </c>
      <c r="B10178" s="8">
        <v>400</v>
      </c>
      <c r="C10178" s="8">
        <v>20.426300000000001</v>
      </c>
      <c r="D10178" s="8">
        <v>91</v>
      </c>
      <c r="E10178" s="8">
        <v>0</v>
      </c>
      <c r="F10178" s="8">
        <v>0</v>
      </c>
      <c r="G10178" s="8">
        <v>0</v>
      </c>
      <c r="H10178" s="8" t="s">
        <v>20676</v>
      </c>
      <c r="I10178" s="8">
        <v>528.1875</v>
      </c>
      <c r="J10178" s="3">
        <f t="shared" ref="J10178:J10241" si="159">(H10178/86400000)+25569+(7/24)</f>
        <v>43748.224677326383</v>
      </c>
    </row>
    <row r="10179" spans="1:10" x14ac:dyDescent="0.25">
      <c r="A10179" s="5" t="s">
        <v>20677</v>
      </c>
      <c r="B10179" s="6">
        <v>400</v>
      </c>
      <c r="C10179" s="6">
        <v>20.478950000000001</v>
      </c>
      <c r="D10179" s="6">
        <v>91</v>
      </c>
      <c r="E10179" s="6">
        <v>0</v>
      </c>
      <c r="F10179" s="6">
        <v>0</v>
      </c>
      <c r="G10179" s="6">
        <v>2</v>
      </c>
      <c r="H10179" s="6" t="s">
        <v>20678</v>
      </c>
      <c r="I10179" s="6">
        <v>528.1875</v>
      </c>
      <c r="J10179" s="2">
        <f t="shared" si="159"/>
        <v>43748.224748587956</v>
      </c>
    </row>
    <row r="10180" spans="1:10" x14ac:dyDescent="0.25">
      <c r="A10180" s="7" t="s">
        <v>20679</v>
      </c>
      <c r="B10180" s="8">
        <v>400</v>
      </c>
      <c r="C10180" s="8">
        <v>20.426300000000001</v>
      </c>
      <c r="D10180" s="8">
        <v>88</v>
      </c>
      <c r="E10180" s="8">
        <v>0</v>
      </c>
      <c r="F10180" s="8">
        <v>0</v>
      </c>
      <c r="G10180" s="8">
        <v>18</v>
      </c>
      <c r="H10180" s="8" t="s">
        <v>20680</v>
      </c>
      <c r="I10180" s="8">
        <v>528.1875</v>
      </c>
      <c r="J10180" s="3">
        <f t="shared" si="159"/>
        <v>43748.224819895833</v>
      </c>
    </row>
    <row r="10181" spans="1:10" x14ac:dyDescent="0.25">
      <c r="A10181" s="5" t="s">
        <v>20681</v>
      </c>
      <c r="B10181" s="6">
        <v>400</v>
      </c>
      <c r="C10181" s="6">
        <v>20.426300000000001</v>
      </c>
      <c r="D10181" s="6">
        <v>88</v>
      </c>
      <c r="E10181" s="6">
        <v>0</v>
      </c>
      <c r="F10181" s="6">
        <v>0</v>
      </c>
      <c r="G10181" s="6">
        <v>4</v>
      </c>
      <c r="H10181" s="6" t="s">
        <v>20682</v>
      </c>
      <c r="I10181" s="6">
        <v>528.1875</v>
      </c>
      <c r="J10181" s="2">
        <f t="shared" si="159"/>
        <v>43748.224892048609</v>
      </c>
    </row>
    <row r="10182" spans="1:10" x14ac:dyDescent="0.25">
      <c r="A10182" s="7" t="s">
        <v>20683</v>
      </c>
      <c r="B10182" s="8">
        <v>396.875</v>
      </c>
      <c r="C10182" s="8">
        <v>20.426300000000001</v>
      </c>
      <c r="D10182" s="8">
        <v>89</v>
      </c>
      <c r="E10182" s="8">
        <v>0</v>
      </c>
      <c r="F10182" s="8">
        <v>0</v>
      </c>
      <c r="G10182" s="8">
        <v>15</v>
      </c>
      <c r="H10182" s="8" t="s">
        <v>20684</v>
      </c>
      <c r="I10182" s="8">
        <v>527.25</v>
      </c>
      <c r="J10182" s="3">
        <f t="shared" si="159"/>
        <v>43748.224963414345</v>
      </c>
    </row>
    <row r="10183" spans="1:10" x14ac:dyDescent="0.25">
      <c r="A10183" s="5" t="s">
        <v>20685</v>
      </c>
      <c r="B10183" s="6">
        <v>396.875</v>
      </c>
      <c r="C10183" s="6">
        <v>20.478950000000001</v>
      </c>
      <c r="D10183" s="6">
        <v>90</v>
      </c>
      <c r="E10183" s="6">
        <v>0</v>
      </c>
      <c r="F10183" s="6">
        <v>0</v>
      </c>
      <c r="G10183" s="6">
        <v>14</v>
      </c>
      <c r="H10183" s="6" t="s">
        <v>20686</v>
      </c>
      <c r="I10183" s="6">
        <v>527.4375</v>
      </c>
      <c r="J10183" s="2">
        <f t="shared" si="159"/>
        <v>43748.225034710646</v>
      </c>
    </row>
    <row r="10184" spans="1:10" x14ac:dyDescent="0.25">
      <c r="A10184" s="7" t="s">
        <v>20687</v>
      </c>
      <c r="B10184" s="8">
        <v>396.875</v>
      </c>
      <c r="C10184" s="8">
        <v>20.478950000000001</v>
      </c>
      <c r="D10184" s="8">
        <v>90</v>
      </c>
      <c r="E10184" s="8">
        <v>0</v>
      </c>
      <c r="F10184" s="8">
        <v>0</v>
      </c>
      <c r="G10184" s="8">
        <v>1</v>
      </c>
      <c r="H10184" s="8" t="s">
        <v>20688</v>
      </c>
      <c r="I10184" s="8">
        <v>527.4375</v>
      </c>
      <c r="J10184" s="3">
        <f t="shared" si="159"/>
        <v>43748.225106064812</v>
      </c>
    </row>
    <row r="10185" spans="1:10" x14ac:dyDescent="0.25">
      <c r="A10185" s="5" t="s">
        <v>20689</v>
      </c>
      <c r="B10185" s="6">
        <v>415.625</v>
      </c>
      <c r="C10185" s="6">
        <v>20.478950000000001</v>
      </c>
      <c r="D10185" s="6">
        <v>90</v>
      </c>
      <c r="E10185" s="6">
        <v>0</v>
      </c>
      <c r="F10185" s="6">
        <v>0</v>
      </c>
      <c r="G10185" s="6">
        <v>8</v>
      </c>
      <c r="H10185" s="6" t="s">
        <v>20690</v>
      </c>
      <c r="I10185" s="6">
        <v>533.4375</v>
      </c>
      <c r="J10185" s="2">
        <f t="shared" si="159"/>
        <v>43748.225178229164</v>
      </c>
    </row>
    <row r="10186" spans="1:10" x14ac:dyDescent="0.25">
      <c r="A10186" s="7" t="s">
        <v>20691</v>
      </c>
      <c r="B10186" s="8">
        <v>396.875</v>
      </c>
      <c r="C10186" s="8">
        <v>20.478950000000001</v>
      </c>
      <c r="D10186" s="8">
        <v>91</v>
      </c>
      <c r="E10186" s="8">
        <v>0</v>
      </c>
      <c r="F10186" s="8">
        <v>0</v>
      </c>
      <c r="G10186" s="8">
        <v>5</v>
      </c>
      <c r="H10186" s="8" t="s">
        <v>20692</v>
      </c>
      <c r="I10186" s="8">
        <v>527.4375</v>
      </c>
      <c r="J10186" s="3">
        <f t="shared" si="159"/>
        <v>43748.225249537034</v>
      </c>
    </row>
    <row r="10187" spans="1:10" x14ac:dyDescent="0.25">
      <c r="A10187" s="5" t="s">
        <v>20693</v>
      </c>
      <c r="B10187" s="6">
        <v>396.875</v>
      </c>
      <c r="C10187" s="6">
        <v>20.478950000000001</v>
      </c>
      <c r="D10187" s="6">
        <v>91</v>
      </c>
      <c r="E10187" s="6">
        <v>0</v>
      </c>
      <c r="F10187" s="6">
        <v>0</v>
      </c>
      <c r="G10187" s="6">
        <v>10</v>
      </c>
      <c r="H10187" s="6" t="s">
        <v>20694</v>
      </c>
      <c r="I10187" s="6">
        <v>527.4375</v>
      </c>
      <c r="J10187" s="2">
        <f t="shared" si="159"/>
        <v>43748.225320821752</v>
      </c>
    </row>
    <row r="10188" spans="1:10" x14ac:dyDescent="0.25">
      <c r="A10188" s="7" t="s">
        <v>20695</v>
      </c>
      <c r="B10188" s="8">
        <v>396.875</v>
      </c>
      <c r="C10188" s="8">
        <v>20.426300000000001</v>
      </c>
      <c r="D10188" s="8">
        <v>91</v>
      </c>
      <c r="E10188" s="8">
        <v>0</v>
      </c>
      <c r="F10188" s="8">
        <v>0</v>
      </c>
      <c r="G10188" s="8">
        <v>12</v>
      </c>
      <c r="H10188" s="8" t="s">
        <v>20696</v>
      </c>
      <c r="I10188" s="8">
        <v>527.4375</v>
      </c>
      <c r="J10188" s="3">
        <f t="shared" si="159"/>
        <v>43748.225392870365</v>
      </c>
    </row>
    <row r="10189" spans="1:10" x14ac:dyDescent="0.25">
      <c r="A10189" s="5" t="s">
        <v>20697</v>
      </c>
      <c r="B10189" s="6">
        <v>396.875</v>
      </c>
      <c r="C10189" s="6">
        <v>20.426300000000001</v>
      </c>
      <c r="D10189" s="6">
        <v>90</v>
      </c>
      <c r="E10189" s="6">
        <v>0</v>
      </c>
      <c r="F10189" s="6">
        <v>0</v>
      </c>
      <c r="G10189" s="6">
        <v>9</v>
      </c>
      <c r="H10189" s="6" t="s">
        <v>20698</v>
      </c>
      <c r="I10189" s="6">
        <v>527.4375</v>
      </c>
      <c r="J10189" s="2">
        <f t="shared" si="159"/>
        <v>43748.225476400461</v>
      </c>
    </row>
    <row r="10190" spans="1:10" x14ac:dyDescent="0.25">
      <c r="A10190" s="7" t="s">
        <v>20699</v>
      </c>
      <c r="B10190" s="8">
        <v>396.875</v>
      </c>
      <c r="C10190" s="8">
        <v>20.478950000000001</v>
      </c>
      <c r="D10190" s="8">
        <v>90</v>
      </c>
      <c r="E10190" s="8">
        <v>0</v>
      </c>
      <c r="F10190" s="8">
        <v>0</v>
      </c>
      <c r="G10190" s="8">
        <v>8</v>
      </c>
      <c r="H10190" s="8" t="s">
        <v>20700</v>
      </c>
      <c r="I10190" s="8">
        <v>527.4375</v>
      </c>
      <c r="J10190" s="3">
        <f t="shared" si="159"/>
        <v>43748.225559699073</v>
      </c>
    </row>
    <row r="10191" spans="1:10" x14ac:dyDescent="0.25">
      <c r="A10191" s="5" t="s">
        <v>20701</v>
      </c>
      <c r="B10191" s="6">
        <v>400</v>
      </c>
      <c r="C10191" s="6">
        <v>20.478950000000001</v>
      </c>
      <c r="D10191" s="6">
        <v>91</v>
      </c>
      <c r="E10191" s="6">
        <v>0</v>
      </c>
      <c r="F10191" s="6">
        <v>0</v>
      </c>
      <c r="G10191" s="6">
        <v>11</v>
      </c>
      <c r="H10191" s="6" t="s">
        <v>20702</v>
      </c>
      <c r="I10191" s="6">
        <v>528.1875</v>
      </c>
      <c r="J10191" s="2">
        <f t="shared" si="159"/>
        <v>43748.22563090278</v>
      </c>
    </row>
    <row r="10192" spans="1:10" x14ac:dyDescent="0.25">
      <c r="A10192" s="7" t="s">
        <v>20703</v>
      </c>
      <c r="B10192" s="8">
        <v>415.625</v>
      </c>
      <c r="C10192" s="8">
        <v>20.426300000000001</v>
      </c>
      <c r="D10192" s="8">
        <v>89</v>
      </c>
      <c r="E10192" s="8">
        <v>0</v>
      </c>
      <c r="F10192" s="8">
        <v>0</v>
      </c>
      <c r="G10192" s="8">
        <v>7</v>
      </c>
      <c r="H10192" s="8" t="s">
        <v>20704</v>
      </c>
      <c r="I10192" s="8">
        <v>533.8125</v>
      </c>
      <c r="J10192" s="3">
        <f t="shared" si="159"/>
        <v>43748.225702349533</v>
      </c>
    </row>
    <row r="10193" spans="1:10" x14ac:dyDescent="0.25">
      <c r="A10193" s="5" t="s">
        <v>20705</v>
      </c>
      <c r="B10193" s="6">
        <v>400</v>
      </c>
      <c r="C10193" s="6">
        <v>20.478950000000001</v>
      </c>
      <c r="D10193" s="6">
        <v>90</v>
      </c>
      <c r="E10193" s="6">
        <v>0</v>
      </c>
      <c r="F10193" s="6">
        <v>0</v>
      </c>
      <c r="G10193" s="6">
        <v>7</v>
      </c>
      <c r="H10193" s="6" t="s">
        <v>20706</v>
      </c>
      <c r="I10193" s="6">
        <v>528.1875</v>
      </c>
      <c r="J10193" s="2">
        <f t="shared" si="159"/>
        <v>43748.225774467595</v>
      </c>
    </row>
    <row r="10194" spans="1:10" x14ac:dyDescent="0.25">
      <c r="A10194" s="7" t="s">
        <v>20707</v>
      </c>
      <c r="B10194" s="8">
        <v>400</v>
      </c>
      <c r="C10194" s="8">
        <v>20.426300000000001</v>
      </c>
      <c r="D10194" s="8">
        <v>90</v>
      </c>
      <c r="E10194" s="8">
        <v>0</v>
      </c>
      <c r="F10194" s="8">
        <v>0</v>
      </c>
      <c r="G10194" s="8">
        <v>8</v>
      </c>
      <c r="H10194" s="8" t="s">
        <v>20708</v>
      </c>
      <c r="I10194" s="8">
        <v>528.1875</v>
      </c>
      <c r="J10194" s="3">
        <f t="shared" si="159"/>
        <v>43748.225845821762</v>
      </c>
    </row>
    <row r="10195" spans="1:10" x14ac:dyDescent="0.25">
      <c r="A10195" s="5" t="s">
        <v>20709</v>
      </c>
      <c r="B10195" s="6">
        <v>396.875</v>
      </c>
      <c r="C10195" s="6">
        <v>20.426300000000001</v>
      </c>
      <c r="D10195" s="6">
        <v>91</v>
      </c>
      <c r="E10195" s="6">
        <v>0</v>
      </c>
      <c r="F10195" s="6">
        <v>0</v>
      </c>
      <c r="G10195" s="6">
        <v>2</v>
      </c>
      <c r="H10195" s="6" t="s">
        <v>20710</v>
      </c>
      <c r="I10195" s="6">
        <v>527.4375</v>
      </c>
      <c r="J10195" s="2">
        <f t="shared" si="159"/>
        <v>43748.225929039349</v>
      </c>
    </row>
    <row r="10196" spans="1:10" x14ac:dyDescent="0.25">
      <c r="A10196" s="7" t="s">
        <v>20711</v>
      </c>
      <c r="B10196" s="8">
        <v>396.875</v>
      </c>
      <c r="C10196" s="8">
        <v>20.426300000000001</v>
      </c>
      <c r="D10196" s="8">
        <v>95</v>
      </c>
      <c r="E10196" s="8">
        <v>0</v>
      </c>
      <c r="F10196" s="8">
        <v>0</v>
      </c>
      <c r="G10196" s="8">
        <v>11</v>
      </c>
      <c r="H10196" s="8" t="s">
        <v>20712</v>
      </c>
      <c r="I10196" s="8">
        <v>527.4375</v>
      </c>
      <c r="J10196" s="3">
        <f t="shared" si="159"/>
        <v>43748.226000497678</v>
      </c>
    </row>
    <row r="10197" spans="1:10" x14ac:dyDescent="0.25">
      <c r="A10197" s="5" t="s">
        <v>20713</v>
      </c>
      <c r="B10197" s="6">
        <v>396.875</v>
      </c>
      <c r="C10197" s="6">
        <v>20.478950000000001</v>
      </c>
      <c r="D10197" s="6">
        <v>95</v>
      </c>
      <c r="E10197" s="6">
        <v>0</v>
      </c>
      <c r="F10197" s="6">
        <v>0</v>
      </c>
      <c r="G10197" s="6">
        <v>8</v>
      </c>
      <c r="H10197" s="6" t="s">
        <v>20714</v>
      </c>
      <c r="I10197" s="6">
        <v>527.4375</v>
      </c>
      <c r="J10197" s="2">
        <f t="shared" si="159"/>
        <v>43748.226072604164</v>
      </c>
    </row>
    <row r="10198" spans="1:10" x14ac:dyDescent="0.25">
      <c r="A10198" s="7" t="s">
        <v>20715</v>
      </c>
      <c r="B10198" s="8">
        <v>400</v>
      </c>
      <c r="C10198" s="8">
        <v>20.478950000000001</v>
      </c>
      <c r="D10198" s="8">
        <v>95</v>
      </c>
      <c r="E10198" s="8">
        <v>0</v>
      </c>
      <c r="F10198" s="8">
        <v>0</v>
      </c>
      <c r="G10198" s="8">
        <v>4</v>
      </c>
      <c r="H10198" s="8" t="s">
        <v>20716</v>
      </c>
      <c r="I10198" s="8">
        <v>528.375</v>
      </c>
      <c r="J10198" s="3">
        <f t="shared" si="159"/>
        <v>43748.2261439699</v>
      </c>
    </row>
    <row r="10199" spans="1:10" x14ac:dyDescent="0.25">
      <c r="A10199" s="5" t="s">
        <v>20717</v>
      </c>
      <c r="B10199" s="6">
        <v>396.875</v>
      </c>
      <c r="C10199" s="6">
        <v>20.478950000000001</v>
      </c>
      <c r="D10199" s="6">
        <v>96</v>
      </c>
      <c r="E10199" s="6">
        <v>0</v>
      </c>
      <c r="F10199" s="6">
        <v>0</v>
      </c>
      <c r="G10199" s="6">
        <v>3</v>
      </c>
      <c r="H10199" s="6" t="s">
        <v>20718</v>
      </c>
      <c r="I10199" s="6">
        <v>527.4375</v>
      </c>
      <c r="J10199" s="2">
        <f t="shared" si="159"/>
        <v>43748.226215254625</v>
      </c>
    </row>
    <row r="10200" spans="1:10" x14ac:dyDescent="0.25">
      <c r="A10200" s="7" t="s">
        <v>20719</v>
      </c>
      <c r="B10200" s="8">
        <v>396.875</v>
      </c>
      <c r="C10200" s="8">
        <v>20.478950000000001</v>
      </c>
      <c r="D10200" s="8">
        <v>95</v>
      </c>
      <c r="E10200" s="8">
        <v>0</v>
      </c>
      <c r="F10200" s="8">
        <v>0</v>
      </c>
      <c r="G10200" s="8">
        <v>6</v>
      </c>
      <c r="H10200" s="8" t="s">
        <v>20720</v>
      </c>
      <c r="I10200" s="8">
        <v>527.4375</v>
      </c>
      <c r="J10200" s="3">
        <f t="shared" si="159"/>
        <v>43748.226287314814</v>
      </c>
    </row>
    <row r="10201" spans="1:10" x14ac:dyDescent="0.25">
      <c r="A10201" s="5" t="s">
        <v>20721</v>
      </c>
      <c r="B10201" s="6">
        <v>400</v>
      </c>
      <c r="C10201" s="6">
        <v>20.478950000000001</v>
      </c>
      <c r="D10201" s="6">
        <v>95</v>
      </c>
      <c r="E10201" s="6">
        <v>0</v>
      </c>
      <c r="F10201" s="6">
        <v>0</v>
      </c>
      <c r="G10201" s="6">
        <v>7</v>
      </c>
      <c r="H10201" s="6" t="s">
        <v>20722</v>
      </c>
      <c r="I10201" s="6">
        <v>528.1875</v>
      </c>
      <c r="J10201" s="2">
        <f t="shared" si="159"/>
        <v>43748.226358726846</v>
      </c>
    </row>
    <row r="10202" spans="1:10" x14ac:dyDescent="0.25">
      <c r="A10202" s="7" t="s">
        <v>20723</v>
      </c>
      <c r="B10202" s="8">
        <v>403.125</v>
      </c>
      <c r="C10202" s="8">
        <v>20.478950000000001</v>
      </c>
      <c r="D10202" s="8">
        <v>95</v>
      </c>
      <c r="E10202" s="8">
        <v>0</v>
      </c>
      <c r="F10202" s="8">
        <v>0</v>
      </c>
      <c r="G10202" s="8">
        <v>12</v>
      </c>
      <c r="H10202" s="8" t="s">
        <v>20724</v>
      </c>
      <c r="I10202" s="8">
        <v>529.125</v>
      </c>
      <c r="J10202" s="3">
        <f t="shared" si="159"/>
        <v>43748.226429907409</v>
      </c>
    </row>
    <row r="10203" spans="1:10" x14ac:dyDescent="0.25">
      <c r="A10203" s="5" t="s">
        <v>20725</v>
      </c>
      <c r="B10203" s="6">
        <v>403.125</v>
      </c>
      <c r="C10203" s="6">
        <v>20.478950000000001</v>
      </c>
      <c r="D10203" s="6">
        <v>95</v>
      </c>
      <c r="E10203" s="6">
        <v>0</v>
      </c>
      <c r="F10203" s="6">
        <v>0</v>
      </c>
      <c r="G10203" s="6">
        <v>11</v>
      </c>
      <c r="H10203" s="6" t="s">
        <v>20726</v>
      </c>
      <c r="I10203" s="6">
        <v>529.125</v>
      </c>
      <c r="J10203" s="2">
        <f t="shared" si="159"/>
        <v>43748.226502314814</v>
      </c>
    </row>
    <row r="10204" spans="1:10" x14ac:dyDescent="0.25">
      <c r="A10204" s="7" t="s">
        <v>20727</v>
      </c>
      <c r="B10204" s="8">
        <v>418.75</v>
      </c>
      <c r="C10204" s="8">
        <v>20.478950000000001</v>
      </c>
      <c r="D10204" s="8">
        <v>94</v>
      </c>
      <c r="E10204" s="8">
        <v>0</v>
      </c>
      <c r="F10204" s="8">
        <v>0</v>
      </c>
      <c r="G10204" s="8">
        <v>9</v>
      </c>
      <c r="H10204" s="8" t="s">
        <v>20728</v>
      </c>
      <c r="I10204" s="8">
        <v>534.75</v>
      </c>
      <c r="J10204" s="3">
        <f t="shared" si="159"/>
        <v>43748.226585462959</v>
      </c>
    </row>
    <row r="10205" spans="1:10" x14ac:dyDescent="0.25">
      <c r="A10205" s="5" t="s">
        <v>20729</v>
      </c>
      <c r="B10205" s="6">
        <v>400</v>
      </c>
      <c r="C10205" s="6">
        <v>20.478950000000001</v>
      </c>
      <c r="D10205" s="6">
        <v>92</v>
      </c>
      <c r="E10205" s="6">
        <v>0</v>
      </c>
      <c r="F10205" s="6">
        <v>0</v>
      </c>
      <c r="G10205" s="6">
        <v>12</v>
      </c>
      <c r="H10205" s="6" t="s">
        <v>20730</v>
      </c>
      <c r="I10205" s="6">
        <v>528.9375</v>
      </c>
      <c r="J10205" s="2">
        <f t="shared" si="159"/>
        <v>43748.226656932871</v>
      </c>
    </row>
    <row r="10206" spans="1:10" x14ac:dyDescent="0.25">
      <c r="A10206" s="7" t="s">
        <v>20731</v>
      </c>
      <c r="B10206" s="8">
        <v>403.125</v>
      </c>
      <c r="C10206" s="8">
        <v>20.426300000000001</v>
      </c>
      <c r="D10206" s="8">
        <v>93</v>
      </c>
      <c r="E10206" s="8">
        <v>0</v>
      </c>
      <c r="F10206" s="8">
        <v>0</v>
      </c>
      <c r="G10206" s="8">
        <v>9</v>
      </c>
      <c r="H10206" s="8" t="s">
        <v>20732</v>
      </c>
      <c r="I10206" s="8">
        <v>529.125</v>
      </c>
      <c r="J10206" s="3">
        <f t="shared" si="159"/>
        <v>43748.226752303242</v>
      </c>
    </row>
    <row r="10207" spans="1:10" x14ac:dyDescent="0.25">
      <c r="A10207" s="5" t="s">
        <v>20733</v>
      </c>
      <c r="B10207" s="6">
        <v>400</v>
      </c>
      <c r="C10207" s="6">
        <v>20.478950000000001</v>
      </c>
      <c r="D10207" s="6">
        <v>92</v>
      </c>
      <c r="E10207" s="6">
        <v>0</v>
      </c>
      <c r="F10207" s="6">
        <v>0</v>
      </c>
      <c r="G10207" s="6">
        <v>5</v>
      </c>
      <c r="H10207" s="6" t="s">
        <v>20734</v>
      </c>
      <c r="I10207" s="6">
        <v>528.9375</v>
      </c>
      <c r="J10207" s="2">
        <f t="shared" si="159"/>
        <v>43748.226823599536</v>
      </c>
    </row>
    <row r="10208" spans="1:10" x14ac:dyDescent="0.25">
      <c r="A10208" s="7" t="s">
        <v>20735</v>
      </c>
      <c r="B10208" s="8">
        <v>403.125</v>
      </c>
      <c r="C10208" s="8">
        <v>20.478950000000001</v>
      </c>
      <c r="D10208" s="8">
        <v>92</v>
      </c>
      <c r="E10208" s="8">
        <v>0</v>
      </c>
      <c r="F10208" s="8">
        <v>0</v>
      </c>
      <c r="G10208" s="8">
        <v>7</v>
      </c>
      <c r="H10208" s="8" t="s">
        <v>20736</v>
      </c>
      <c r="I10208" s="8">
        <v>529.125</v>
      </c>
      <c r="J10208" s="3">
        <f t="shared" si="159"/>
        <v>43748.22689489583</v>
      </c>
    </row>
    <row r="10209" spans="1:10" x14ac:dyDescent="0.25">
      <c r="A10209" s="5" t="s">
        <v>20737</v>
      </c>
      <c r="B10209" s="6">
        <v>403.125</v>
      </c>
      <c r="C10209" s="6">
        <v>20.478950000000001</v>
      </c>
      <c r="D10209" s="6">
        <v>91</v>
      </c>
      <c r="E10209" s="6">
        <v>0</v>
      </c>
      <c r="F10209" s="6">
        <v>0</v>
      </c>
      <c r="G10209" s="6">
        <v>5</v>
      </c>
      <c r="H10209" s="6" t="s">
        <v>20738</v>
      </c>
      <c r="I10209" s="6">
        <v>529.875</v>
      </c>
      <c r="J10209" s="2">
        <f t="shared" si="159"/>
        <v>43748.226967106479</v>
      </c>
    </row>
    <row r="10210" spans="1:10" x14ac:dyDescent="0.25">
      <c r="A10210" s="7" t="s">
        <v>20739</v>
      </c>
      <c r="B10210" s="8">
        <v>425</v>
      </c>
      <c r="C10210" s="8">
        <v>20.478950000000001</v>
      </c>
      <c r="D10210" s="8">
        <v>93</v>
      </c>
      <c r="E10210" s="8">
        <v>0</v>
      </c>
      <c r="F10210" s="8">
        <v>0</v>
      </c>
      <c r="G10210" s="8">
        <v>1</v>
      </c>
      <c r="H10210" s="8" t="s">
        <v>20740</v>
      </c>
      <c r="I10210" s="8">
        <v>536.0625</v>
      </c>
      <c r="J10210" s="3">
        <f t="shared" si="159"/>
        <v>43748.227038356483</v>
      </c>
    </row>
    <row r="10211" spans="1:10" x14ac:dyDescent="0.25">
      <c r="A10211" s="5" t="s">
        <v>20741</v>
      </c>
      <c r="B10211" s="6">
        <v>406.25</v>
      </c>
      <c r="C10211" s="6">
        <v>20.478950000000001</v>
      </c>
      <c r="D10211" s="6">
        <v>93</v>
      </c>
      <c r="E10211" s="6">
        <v>0</v>
      </c>
      <c r="F10211" s="6">
        <v>0</v>
      </c>
      <c r="G10211" s="6">
        <v>9</v>
      </c>
      <c r="H10211" s="6" t="s">
        <v>20742</v>
      </c>
      <c r="I10211" s="6">
        <v>530.0625</v>
      </c>
      <c r="J10211" s="2">
        <f t="shared" si="159"/>
        <v>43748.22710971065</v>
      </c>
    </row>
    <row r="10212" spans="1:10" x14ac:dyDescent="0.25">
      <c r="A10212" s="7" t="s">
        <v>20743</v>
      </c>
      <c r="B10212" s="8">
        <v>403.125</v>
      </c>
      <c r="C10212" s="8">
        <v>20.426300000000001</v>
      </c>
      <c r="D10212" s="8">
        <v>94</v>
      </c>
      <c r="E10212" s="8">
        <v>0</v>
      </c>
      <c r="F10212" s="8">
        <v>0</v>
      </c>
      <c r="G10212" s="8">
        <v>7</v>
      </c>
      <c r="H10212" s="8" t="s">
        <v>20744</v>
      </c>
      <c r="I10212" s="8">
        <v>529.875</v>
      </c>
      <c r="J10212" s="3">
        <f t="shared" si="159"/>
        <v>43748.227181817128</v>
      </c>
    </row>
    <row r="10213" spans="1:10" x14ac:dyDescent="0.25">
      <c r="A10213" s="5" t="s">
        <v>20745</v>
      </c>
      <c r="B10213" s="6">
        <v>403.125</v>
      </c>
      <c r="C10213" s="6">
        <v>20.478950000000001</v>
      </c>
      <c r="D10213" s="6">
        <v>95</v>
      </c>
      <c r="E10213" s="6">
        <v>0</v>
      </c>
      <c r="F10213" s="6">
        <v>0</v>
      </c>
      <c r="G10213" s="6">
        <v>2</v>
      </c>
      <c r="H10213" s="6" t="s">
        <v>20746</v>
      </c>
      <c r="I10213" s="6">
        <v>529.125</v>
      </c>
      <c r="J10213" s="2">
        <f t="shared" si="159"/>
        <v>43748.227253229161</v>
      </c>
    </row>
    <row r="10214" spans="1:10" x14ac:dyDescent="0.25">
      <c r="A10214" s="7" t="s">
        <v>20747</v>
      </c>
      <c r="B10214" s="8">
        <v>400</v>
      </c>
      <c r="C10214" s="8">
        <v>20.426300000000001</v>
      </c>
      <c r="D10214" s="8">
        <v>94</v>
      </c>
      <c r="E10214" s="8">
        <v>0</v>
      </c>
      <c r="F10214" s="8">
        <v>0</v>
      </c>
      <c r="G10214" s="8">
        <v>2</v>
      </c>
      <c r="H10214" s="8" t="s">
        <v>20748</v>
      </c>
      <c r="I10214" s="8">
        <v>528.1875</v>
      </c>
      <c r="J10214" s="3">
        <f t="shared" si="159"/>
        <v>43748.227324467589</v>
      </c>
    </row>
    <row r="10215" spans="1:10" x14ac:dyDescent="0.25">
      <c r="A10215" s="5" t="s">
        <v>20749</v>
      </c>
      <c r="B10215" s="6">
        <v>400</v>
      </c>
      <c r="C10215" s="6">
        <v>20.478950000000001</v>
      </c>
      <c r="D10215" s="6">
        <v>94</v>
      </c>
      <c r="E10215" s="6">
        <v>0</v>
      </c>
      <c r="F10215" s="6">
        <v>0</v>
      </c>
      <c r="G10215" s="6">
        <v>10</v>
      </c>
      <c r="H10215" s="6" t="s">
        <v>20750</v>
      </c>
      <c r="I10215" s="6">
        <v>528.1875</v>
      </c>
      <c r="J10215" s="2">
        <f t="shared" si="159"/>
        <v>43748.227395833332</v>
      </c>
    </row>
    <row r="10216" spans="1:10" x14ac:dyDescent="0.25">
      <c r="A10216" s="7" t="s">
        <v>20751</v>
      </c>
      <c r="B10216" s="8">
        <v>400</v>
      </c>
      <c r="C10216" s="8">
        <v>20.478950000000001</v>
      </c>
      <c r="D10216" s="8">
        <v>94</v>
      </c>
      <c r="E10216" s="8">
        <v>0</v>
      </c>
      <c r="F10216" s="8">
        <v>0</v>
      </c>
      <c r="G10216" s="8">
        <v>4</v>
      </c>
      <c r="H10216" s="8" t="s">
        <v>20752</v>
      </c>
      <c r="I10216" s="8">
        <v>528.375</v>
      </c>
      <c r="J10216" s="3">
        <f t="shared" si="159"/>
        <v>43748.227467986108</v>
      </c>
    </row>
    <row r="10217" spans="1:10" x14ac:dyDescent="0.25">
      <c r="A10217" s="5" t="s">
        <v>20753</v>
      </c>
      <c r="B10217" s="6">
        <v>400</v>
      </c>
      <c r="C10217" s="6">
        <v>20.478950000000001</v>
      </c>
      <c r="D10217" s="6">
        <v>94</v>
      </c>
      <c r="E10217" s="6">
        <v>0</v>
      </c>
      <c r="F10217" s="6">
        <v>0</v>
      </c>
      <c r="G10217" s="6">
        <v>13</v>
      </c>
      <c r="H10217" s="6" t="s">
        <v>20754</v>
      </c>
      <c r="I10217" s="6">
        <v>528.1875</v>
      </c>
      <c r="J10217" s="2">
        <f t="shared" si="159"/>
        <v>43748.227539340274</v>
      </c>
    </row>
    <row r="10218" spans="1:10" x14ac:dyDescent="0.25">
      <c r="A10218" s="7" t="s">
        <v>20755</v>
      </c>
      <c r="B10218" s="8">
        <v>403.125</v>
      </c>
      <c r="C10218" s="8">
        <v>20.478950000000001</v>
      </c>
      <c r="D10218" s="8">
        <v>94</v>
      </c>
      <c r="E10218" s="8">
        <v>0</v>
      </c>
      <c r="F10218" s="8">
        <v>0</v>
      </c>
      <c r="G10218" s="8">
        <v>0</v>
      </c>
      <c r="H10218" s="8" t="s">
        <v>20756</v>
      </c>
      <c r="I10218" s="8">
        <v>529.125</v>
      </c>
      <c r="J10218" s="3">
        <f t="shared" si="159"/>
        <v>43748.227610636568</v>
      </c>
    </row>
    <row r="10219" spans="1:10" x14ac:dyDescent="0.25">
      <c r="A10219" s="5" t="s">
        <v>20757</v>
      </c>
      <c r="B10219" s="6">
        <v>412.5</v>
      </c>
      <c r="C10219" s="6">
        <v>20.478950000000001</v>
      </c>
      <c r="D10219" s="6">
        <v>95</v>
      </c>
      <c r="E10219" s="6">
        <v>0</v>
      </c>
      <c r="F10219" s="6">
        <v>0</v>
      </c>
      <c r="G10219" s="6">
        <v>11</v>
      </c>
      <c r="H10219" s="6" t="s">
        <v>20758</v>
      </c>
      <c r="I10219" s="6">
        <v>532.875</v>
      </c>
      <c r="J10219" s="2">
        <f t="shared" si="159"/>
        <v>43748.227681921293</v>
      </c>
    </row>
    <row r="10220" spans="1:10" x14ac:dyDescent="0.25">
      <c r="A10220" s="7" t="s">
        <v>20759</v>
      </c>
      <c r="B10220" s="8">
        <v>403.125</v>
      </c>
      <c r="C10220" s="8">
        <v>20.478950000000001</v>
      </c>
      <c r="D10220" s="8">
        <v>95</v>
      </c>
      <c r="E10220" s="8">
        <v>0</v>
      </c>
      <c r="F10220" s="8">
        <v>0</v>
      </c>
      <c r="G10220" s="8">
        <v>4</v>
      </c>
      <c r="H10220" s="8" t="s">
        <v>20760</v>
      </c>
      <c r="I10220" s="8">
        <v>529.125</v>
      </c>
      <c r="J10220" s="3">
        <f t="shared" si="159"/>
        <v>43748.227754085645</v>
      </c>
    </row>
    <row r="10221" spans="1:10" x14ac:dyDescent="0.25">
      <c r="A10221" s="5" t="s">
        <v>20761</v>
      </c>
      <c r="B10221" s="6">
        <v>403.125</v>
      </c>
      <c r="C10221" s="6">
        <v>20.426300000000001</v>
      </c>
      <c r="D10221" s="6">
        <v>96</v>
      </c>
      <c r="E10221" s="6">
        <v>0</v>
      </c>
      <c r="F10221" s="6">
        <v>0</v>
      </c>
      <c r="G10221" s="6">
        <v>7</v>
      </c>
      <c r="H10221" s="6" t="s">
        <v>20762</v>
      </c>
      <c r="I10221" s="6">
        <v>529.875</v>
      </c>
      <c r="J10221" s="2">
        <f t="shared" si="159"/>
        <v>43748.22782547454</v>
      </c>
    </row>
    <row r="10222" spans="1:10" x14ac:dyDescent="0.25">
      <c r="A10222" s="7" t="s">
        <v>20763</v>
      </c>
      <c r="B10222" s="8">
        <v>400</v>
      </c>
      <c r="C10222" s="8">
        <v>20.426300000000001</v>
      </c>
      <c r="D10222" s="8">
        <v>96</v>
      </c>
      <c r="E10222" s="8">
        <v>0</v>
      </c>
      <c r="F10222" s="8">
        <v>0</v>
      </c>
      <c r="G10222" s="8">
        <v>5</v>
      </c>
      <c r="H10222" s="8" t="s">
        <v>20764</v>
      </c>
      <c r="I10222" s="8">
        <v>528.9375</v>
      </c>
      <c r="J10222" s="3">
        <f t="shared" si="159"/>
        <v>43748.227896736113</v>
      </c>
    </row>
    <row r="10223" spans="1:10" x14ac:dyDescent="0.25">
      <c r="A10223" s="5" t="s">
        <v>20765</v>
      </c>
      <c r="B10223" s="6">
        <v>428.125</v>
      </c>
      <c r="C10223" s="6">
        <v>20.426300000000001</v>
      </c>
      <c r="D10223" s="6">
        <v>96</v>
      </c>
      <c r="E10223" s="6">
        <v>0</v>
      </c>
      <c r="F10223" s="6">
        <v>0</v>
      </c>
      <c r="G10223" s="6">
        <v>7</v>
      </c>
      <c r="H10223" s="6" t="s">
        <v>20766</v>
      </c>
      <c r="I10223" s="6">
        <v>537</v>
      </c>
      <c r="J10223" s="2">
        <f t="shared" si="159"/>
        <v>43748.227968101848</v>
      </c>
    </row>
    <row r="10224" spans="1:10" x14ac:dyDescent="0.25">
      <c r="A10224" s="7" t="s">
        <v>20767</v>
      </c>
      <c r="B10224" s="8">
        <v>403.125</v>
      </c>
      <c r="C10224" s="8">
        <v>20.426300000000001</v>
      </c>
      <c r="D10224" s="8">
        <v>96</v>
      </c>
      <c r="E10224" s="8">
        <v>0</v>
      </c>
      <c r="F10224" s="8">
        <v>0</v>
      </c>
      <c r="G10224" s="8">
        <v>2</v>
      </c>
      <c r="H10224" s="8" t="s">
        <v>20768</v>
      </c>
      <c r="I10224" s="8">
        <v>529.125</v>
      </c>
      <c r="J10224" s="3">
        <f t="shared" si="159"/>
        <v>43748.228051377308</v>
      </c>
    </row>
    <row r="10225" spans="1:10" x14ac:dyDescent="0.25">
      <c r="A10225" s="5" t="s">
        <v>20769</v>
      </c>
      <c r="B10225" s="6">
        <v>403.125</v>
      </c>
      <c r="C10225" s="6">
        <v>20.478950000000001</v>
      </c>
      <c r="D10225" s="6">
        <v>96</v>
      </c>
      <c r="E10225" s="6">
        <v>0</v>
      </c>
      <c r="F10225" s="6">
        <v>0</v>
      </c>
      <c r="G10225" s="6">
        <v>8</v>
      </c>
      <c r="H10225" s="6" t="s">
        <v>20770</v>
      </c>
      <c r="I10225" s="6">
        <v>529.125</v>
      </c>
      <c r="J10225" s="2">
        <f t="shared" si="159"/>
        <v>43748.228134756944</v>
      </c>
    </row>
    <row r="10226" spans="1:10" x14ac:dyDescent="0.25">
      <c r="A10226" s="7" t="s">
        <v>20771</v>
      </c>
      <c r="B10226" s="8">
        <v>418.75</v>
      </c>
      <c r="C10226" s="8">
        <v>20.426300000000001</v>
      </c>
      <c r="D10226" s="8">
        <v>99</v>
      </c>
      <c r="E10226" s="8">
        <v>0</v>
      </c>
      <c r="F10226" s="8">
        <v>0</v>
      </c>
      <c r="G10226" s="8">
        <v>5</v>
      </c>
      <c r="H10226" s="8" t="s">
        <v>20772</v>
      </c>
      <c r="I10226" s="8">
        <v>534.5625</v>
      </c>
      <c r="J10226" s="3">
        <f t="shared" si="159"/>
        <v>43748.228206956017</v>
      </c>
    </row>
    <row r="10227" spans="1:10" x14ac:dyDescent="0.25">
      <c r="A10227" s="5" t="s">
        <v>20773</v>
      </c>
      <c r="B10227" s="6">
        <v>400</v>
      </c>
      <c r="C10227" s="6">
        <v>20.426300000000001</v>
      </c>
      <c r="D10227" s="6">
        <v>99</v>
      </c>
      <c r="E10227" s="6">
        <v>0</v>
      </c>
      <c r="F10227" s="6">
        <v>0</v>
      </c>
      <c r="G10227" s="6">
        <v>3</v>
      </c>
      <c r="H10227" s="6" t="s">
        <v>20774</v>
      </c>
      <c r="I10227" s="6">
        <v>528.375</v>
      </c>
      <c r="J10227" s="2">
        <f t="shared" si="159"/>
        <v>43748.228290254629</v>
      </c>
    </row>
    <row r="10228" spans="1:10" x14ac:dyDescent="0.25">
      <c r="A10228" s="7" t="s">
        <v>20775</v>
      </c>
      <c r="B10228" s="8">
        <v>400</v>
      </c>
      <c r="C10228" s="8">
        <v>20.478950000000001</v>
      </c>
      <c r="D10228" s="8">
        <v>99</v>
      </c>
      <c r="E10228" s="8">
        <v>0</v>
      </c>
      <c r="F10228" s="8">
        <v>0</v>
      </c>
      <c r="G10228" s="8">
        <v>9</v>
      </c>
      <c r="H10228" s="8" t="s">
        <v>20776</v>
      </c>
      <c r="I10228" s="8">
        <v>528.1875</v>
      </c>
      <c r="J10228" s="3">
        <f t="shared" si="159"/>
        <v>43748.228361597219</v>
      </c>
    </row>
    <row r="10229" spans="1:10" x14ac:dyDescent="0.25">
      <c r="A10229" s="5" t="s">
        <v>20777</v>
      </c>
      <c r="B10229" s="6">
        <v>431.25</v>
      </c>
      <c r="C10229" s="6">
        <v>20.426300000000001</v>
      </c>
      <c r="D10229" s="6">
        <v>99</v>
      </c>
      <c r="E10229" s="6">
        <v>0</v>
      </c>
      <c r="F10229" s="6">
        <v>0</v>
      </c>
      <c r="G10229" s="6">
        <v>4</v>
      </c>
      <c r="H10229" s="6" t="s">
        <v>20778</v>
      </c>
      <c r="I10229" s="6">
        <v>538.5</v>
      </c>
      <c r="J10229" s="2">
        <f t="shared" si="159"/>
        <v>43748.228433773147</v>
      </c>
    </row>
    <row r="10230" spans="1:10" x14ac:dyDescent="0.25">
      <c r="A10230" s="7" t="s">
        <v>20779</v>
      </c>
      <c r="B10230" s="8">
        <v>403.125</v>
      </c>
      <c r="C10230" s="8">
        <v>20.426300000000001</v>
      </c>
      <c r="D10230" s="8">
        <v>98</v>
      </c>
      <c r="E10230" s="8">
        <v>0</v>
      </c>
      <c r="F10230" s="8">
        <v>0</v>
      </c>
      <c r="G10230" s="8">
        <v>4</v>
      </c>
      <c r="H10230" s="8" t="s">
        <v>20780</v>
      </c>
      <c r="I10230" s="8">
        <v>529.125</v>
      </c>
      <c r="J10230" s="3">
        <f t="shared" si="159"/>
        <v>43748.228505023144</v>
      </c>
    </row>
    <row r="10231" spans="1:10" x14ac:dyDescent="0.25">
      <c r="A10231" s="5" t="s">
        <v>20781</v>
      </c>
      <c r="B10231" s="6">
        <v>403.125</v>
      </c>
      <c r="C10231" s="6">
        <v>20.426300000000001</v>
      </c>
      <c r="D10231" s="6">
        <v>98</v>
      </c>
      <c r="E10231" s="6">
        <v>0</v>
      </c>
      <c r="F10231" s="6">
        <v>0</v>
      </c>
      <c r="G10231" s="6">
        <v>0</v>
      </c>
      <c r="H10231" s="6" t="s">
        <v>20782</v>
      </c>
      <c r="I10231" s="6">
        <v>529.125</v>
      </c>
      <c r="J10231" s="2">
        <f t="shared" si="159"/>
        <v>43748.228588414349</v>
      </c>
    </row>
    <row r="10232" spans="1:10" x14ac:dyDescent="0.25">
      <c r="A10232" s="7" t="s">
        <v>20783</v>
      </c>
      <c r="B10232" s="8">
        <v>403.125</v>
      </c>
      <c r="C10232" s="8">
        <v>20.426300000000001</v>
      </c>
      <c r="D10232" s="8">
        <v>98</v>
      </c>
      <c r="E10232" s="8">
        <v>0</v>
      </c>
      <c r="F10232" s="8">
        <v>0</v>
      </c>
      <c r="G10232" s="8">
        <v>9</v>
      </c>
      <c r="H10232" s="8" t="s">
        <v>20784</v>
      </c>
      <c r="I10232" s="8">
        <v>529.125</v>
      </c>
      <c r="J10232" s="3">
        <f t="shared" si="159"/>
        <v>43748.228671747682</v>
      </c>
    </row>
    <row r="10233" spans="1:10" x14ac:dyDescent="0.25">
      <c r="A10233" s="5" t="s">
        <v>20785</v>
      </c>
      <c r="B10233" s="6">
        <v>400</v>
      </c>
      <c r="C10233" s="6">
        <v>20.478950000000001</v>
      </c>
      <c r="D10233" s="6">
        <v>98</v>
      </c>
      <c r="E10233" s="6">
        <v>0</v>
      </c>
      <c r="F10233" s="6">
        <v>0</v>
      </c>
      <c r="G10233" s="6">
        <v>5</v>
      </c>
      <c r="H10233" s="6" t="s">
        <v>20786</v>
      </c>
      <c r="I10233" s="6">
        <v>528.9375</v>
      </c>
      <c r="J10233" s="2">
        <f t="shared" si="159"/>
        <v>43748.228743796295</v>
      </c>
    </row>
    <row r="10234" spans="1:10" x14ac:dyDescent="0.25">
      <c r="A10234" s="7" t="s">
        <v>20787</v>
      </c>
      <c r="B10234" s="8">
        <v>400</v>
      </c>
      <c r="C10234" s="8">
        <v>20.478950000000001</v>
      </c>
      <c r="D10234" s="8">
        <v>98</v>
      </c>
      <c r="E10234" s="8">
        <v>0</v>
      </c>
      <c r="F10234" s="8">
        <v>0</v>
      </c>
      <c r="G10234" s="8">
        <v>7</v>
      </c>
      <c r="H10234" s="8" t="s">
        <v>20788</v>
      </c>
      <c r="I10234" s="8">
        <v>528.9375</v>
      </c>
      <c r="J10234" s="3">
        <f t="shared" si="159"/>
        <v>43748.228815254632</v>
      </c>
    </row>
    <row r="10235" spans="1:10" x14ac:dyDescent="0.25">
      <c r="A10235" s="5" t="s">
        <v>20789</v>
      </c>
      <c r="B10235" s="6">
        <v>400</v>
      </c>
      <c r="C10235" s="6">
        <v>20.426300000000001</v>
      </c>
      <c r="D10235" s="6">
        <v>97</v>
      </c>
      <c r="E10235" s="6">
        <v>0</v>
      </c>
      <c r="F10235" s="6">
        <v>0</v>
      </c>
      <c r="G10235" s="6">
        <v>13</v>
      </c>
      <c r="H10235" s="6" t="s">
        <v>20790</v>
      </c>
      <c r="I10235" s="6">
        <v>528.1875</v>
      </c>
      <c r="J10235" s="2">
        <f t="shared" si="159"/>
        <v>43748.22888657407</v>
      </c>
    </row>
    <row r="10236" spans="1:10" x14ac:dyDescent="0.25">
      <c r="A10236" s="7" t="s">
        <v>20791</v>
      </c>
      <c r="B10236" s="8">
        <v>418.75</v>
      </c>
      <c r="C10236" s="8">
        <v>20.478950000000001</v>
      </c>
      <c r="D10236" s="8">
        <v>97</v>
      </c>
      <c r="E10236" s="8">
        <v>0</v>
      </c>
      <c r="F10236" s="8">
        <v>0</v>
      </c>
      <c r="G10236" s="8">
        <v>5</v>
      </c>
      <c r="H10236" s="8" t="s">
        <v>20792</v>
      </c>
      <c r="I10236" s="8">
        <v>534.375</v>
      </c>
      <c r="J10236" s="3">
        <f t="shared" si="159"/>
        <v>43748.228957858795</v>
      </c>
    </row>
    <row r="10237" spans="1:10" x14ac:dyDescent="0.25">
      <c r="A10237" s="5" t="s">
        <v>20793</v>
      </c>
      <c r="B10237" s="6">
        <v>396.875</v>
      </c>
      <c r="C10237" s="6">
        <v>20.478950000000001</v>
      </c>
      <c r="D10237" s="6">
        <v>95</v>
      </c>
      <c r="E10237" s="6">
        <v>0</v>
      </c>
      <c r="F10237" s="6">
        <v>0</v>
      </c>
      <c r="G10237" s="6">
        <v>8</v>
      </c>
      <c r="H10237" s="6" t="s">
        <v>20794</v>
      </c>
      <c r="I10237" s="6">
        <v>527.4375</v>
      </c>
      <c r="J10237" s="2">
        <f t="shared" si="159"/>
        <v>43748.229029456015</v>
      </c>
    </row>
    <row r="10238" spans="1:10" x14ac:dyDescent="0.25">
      <c r="A10238" s="7" t="s">
        <v>20795</v>
      </c>
      <c r="B10238" s="8">
        <v>396.875</v>
      </c>
      <c r="C10238" s="8">
        <v>20.478950000000001</v>
      </c>
      <c r="D10238" s="8">
        <v>96</v>
      </c>
      <c r="E10238" s="8">
        <v>0</v>
      </c>
      <c r="F10238" s="8">
        <v>0</v>
      </c>
      <c r="G10238" s="8">
        <v>4</v>
      </c>
      <c r="H10238" s="8" t="s">
        <v>20796</v>
      </c>
      <c r="I10238" s="8">
        <v>527.4375</v>
      </c>
      <c r="J10238" s="3">
        <f t="shared" si="159"/>
        <v>43748.229101377314</v>
      </c>
    </row>
    <row r="10239" spans="1:10" x14ac:dyDescent="0.25">
      <c r="A10239" s="5" t="s">
        <v>20797</v>
      </c>
      <c r="B10239" s="6">
        <v>400</v>
      </c>
      <c r="C10239" s="6">
        <v>20.478950000000001</v>
      </c>
      <c r="D10239" s="6">
        <v>97</v>
      </c>
      <c r="E10239" s="6">
        <v>0</v>
      </c>
      <c r="F10239" s="6">
        <v>0</v>
      </c>
      <c r="G10239" s="6">
        <v>2</v>
      </c>
      <c r="H10239" s="6" t="s">
        <v>20798</v>
      </c>
      <c r="I10239" s="6">
        <v>528.1875</v>
      </c>
      <c r="J10239" s="2">
        <f t="shared" si="159"/>
        <v>43748.229196736109</v>
      </c>
    </row>
    <row r="10240" spans="1:10" x14ac:dyDescent="0.25">
      <c r="A10240" s="7" t="s">
        <v>20799</v>
      </c>
      <c r="B10240" s="8">
        <v>400</v>
      </c>
      <c r="C10240" s="8">
        <v>20.426300000000001</v>
      </c>
      <c r="D10240" s="8">
        <v>97</v>
      </c>
      <c r="E10240" s="8">
        <v>0</v>
      </c>
      <c r="F10240" s="8">
        <v>0</v>
      </c>
      <c r="G10240" s="8">
        <v>8</v>
      </c>
      <c r="H10240" s="8" t="s">
        <v>20800</v>
      </c>
      <c r="I10240" s="8">
        <v>528.1875</v>
      </c>
      <c r="J10240" s="3">
        <f t="shared" si="159"/>
        <v>43748.22926803241</v>
      </c>
    </row>
    <row r="10241" spans="1:10" x14ac:dyDescent="0.25">
      <c r="A10241" s="5" t="s">
        <v>20801</v>
      </c>
      <c r="B10241" s="6">
        <v>400</v>
      </c>
      <c r="C10241" s="6">
        <v>20.478950000000001</v>
      </c>
      <c r="D10241" s="6">
        <v>96</v>
      </c>
      <c r="E10241" s="6">
        <v>0</v>
      </c>
      <c r="F10241" s="6">
        <v>0</v>
      </c>
      <c r="G10241" s="6">
        <v>5</v>
      </c>
      <c r="H10241" s="6" t="s">
        <v>20802</v>
      </c>
      <c r="I10241" s="6">
        <v>528.1875</v>
      </c>
      <c r="J10241" s="2">
        <f t="shared" si="159"/>
        <v>43748.229363402774</v>
      </c>
    </row>
    <row r="10242" spans="1:10" x14ac:dyDescent="0.25">
      <c r="A10242" s="7" t="s">
        <v>20803</v>
      </c>
      <c r="B10242" s="8">
        <v>396.875</v>
      </c>
      <c r="C10242" s="8">
        <v>20.426300000000001</v>
      </c>
      <c r="D10242" s="8">
        <v>97</v>
      </c>
      <c r="E10242" s="8">
        <v>0</v>
      </c>
      <c r="F10242" s="8">
        <v>0</v>
      </c>
      <c r="G10242" s="8">
        <v>6</v>
      </c>
      <c r="H10242" s="8" t="s">
        <v>20804</v>
      </c>
      <c r="I10242" s="8">
        <v>527.4375</v>
      </c>
      <c r="J10242" s="3">
        <f t="shared" ref="J10242:J10305" si="160">(H10242/86400000)+25569+(7/24)</f>
        <v>43748.229437615737</v>
      </c>
    </row>
    <row r="10243" spans="1:10" x14ac:dyDescent="0.25">
      <c r="A10243" s="5" t="s">
        <v>20805</v>
      </c>
      <c r="B10243" s="6">
        <v>396.875</v>
      </c>
      <c r="C10243" s="6">
        <v>20.478950000000001</v>
      </c>
      <c r="D10243" s="6">
        <v>97</v>
      </c>
      <c r="E10243" s="6">
        <v>0</v>
      </c>
      <c r="F10243" s="6">
        <v>0</v>
      </c>
      <c r="G10243" s="6">
        <v>9</v>
      </c>
      <c r="H10243" s="6" t="s">
        <v>20806</v>
      </c>
      <c r="I10243" s="6">
        <v>527.4375</v>
      </c>
      <c r="J10243" s="2">
        <f t="shared" si="160"/>
        <v>43748.229518900458</v>
      </c>
    </row>
    <row r="10244" spans="1:10" x14ac:dyDescent="0.25">
      <c r="A10244" s="7" t="s">
        <v>20807</v>
      </c>
      <c r="B10244" s="8">
        <v>396.875</v>
      </c>
      <c r="C10244" s="8">
        <v>20.478950000000001</v>
      </c>
      <c r="D10244" s="8">
        <v>96</v>
      </c>
      <c r="E10244" s="8">
        <v>0</v>
      </c>
      <c r="F10244" s="8">
        <v>0</v>
      </c>
      <c r="G10244" s="8">
        <v>7</v>
      </c>
      <c r="H10244" s="8" t="s">
        <v>20808</v>
      </c>
      <c r="I10244" s="8">
        <v>527.4375</v>
      </c>
      <c r="J10244" s="3">
        <f t="shared" si="160"/>
        <v>43748.229602291663</v>
      </c>
    </row>
    <row r="10245" spans="1:10" x14ac:dyDescent="0.25">
      <c r="A10245" s="5" t="s">
        <v>20809</v>
      </c>
      <c r="B10245" s="6">
        <v>396.875</v>
      </c>
      <c r="C10245" s="6">
        <v>20.426300000000001</v>
      </c>
      <c r="D10245" s="6">
        <v>92</v>
      </c>
      <c r="E10245" s="6">
        <v>0</v>
      </c>
      <c r="F10245" s="6">
        <v>0</v>
      </c>
      <c r="G10245" s="6">
        <v>5</v>
      </c>
      <c r="H10245" s="6" t="s">
        <v>20810</v>
      </c>
      <c r="I10245" s="6">
        <v>527.4375</v>
      </c>
      <c r="J10245" s="2">
        <f t="shared" si="160"/>
        <v>43748.229673530092</v>
      </c>
    </row>
    <row r="10246" spans="1:10" x14ac:dyDescent="0.25">
      <c r="A10246" s="7" t="s">
        <v>20811</v>
      </c>
      <c r="B10246" s="8">
        <v>396.875</v>
      </c>
      <c r="C10246" s="8">
        <v>20.478950000000001</v>
      </c>
      <c r="D10246" s="8">
        <v>92</v>
      </c>
      <c r="E10246" s="8">
        <v>0</v>
      </c>
      <c r="F10246" s="8">
        <v>0</v>
      </c>
      <c r="G10246" s="8">
        <v>5</v>
      </c>
      <c r="H10246" s="8" t="s">
        <v>20812</v>
      </c>
      <c r="I10246" s="8">
        <v>527.4375</v>
      </c>
      <c r="J10246" s="3">
        <f t="shared" si="160"/>
        <v>43748.229744872682</v>
      </c>
    </row>
    <row r="10247" spans="1:10" x14ac:dyDescent="0.25">
      <c r="A10247" s="5" t="s">
        <v>20813</v>
      </c>
      <c r="B10247" s="6">
        <v>396.875</v>
      </c>
      <c r="C10247" s="6">
        <v>20.426300000000001</v>
      </c>
      <c r="D10247" s="6">
        <v>92</v>
      </c>
      <c r="E10247" s="6">
        <v>0</v>
      </c>
      <c r="F10247" s="6">
        <v>0</v>
      </c>
      <c r="G10247" s="6">
        <v>6</v>
      </c>
      <c r="H10247" s="6" t="s">
        <v>20814</v>
      </c>
      <c r="I10247" s="6">
        <v>527.4375</v>
      </c>
      <c r="J10247" s="2">
        <f t="shared" si="160"/>
        <v>43748.2298170949</v>
      </c>
    </row>
    <row r="10248" spans="1:10" x14ac:dyDescent="0.25">
      <c r="A10248" s="7" t="s">
        <v>20815</v>
      </c>
      <c r="B10248" s="8">
        <v>421.875</v>
      </c>
      <c r="C10248" s="8">
        <v>20.478950000000001</v>
      </c>
      <c r="D10248" s="8">
        <v>92</v>
      </c>
      <c r="E10248" s="8">
        <v>0</v>
      </c>
      <c r="F10248" s="8">
        <v>0</v>
      </c>
      <c r="G10248" s="8">
        <v>7</v>
      </c>
      <c r="H10248" s="8" t="s">
        <v>20816</v>
      </c>
      <c r="I10248" s="8">
        <v>535.875</v>
      </c>
      <c r="J10248" s="3">
        <f t="shared" si="160"/>
        <v>43748.229888414346</v>
      </c>
    </row>
    <row r="10249" spans="1:10" x14ac:dyDescent="0.25">
      <c r="A10249" s="5" t="s">
        <v>20817</v>
      </c>
      <c r="B10249" s="6">
        <v>400</v>
      </c>
      <c r="C10249" s="6">
        <v>20.478950000000001</v>
      </c>
      <c r="D10249" s="6">
        <v>91</v>
      </c>
      <c r="E10249" s="6">
        <v>0</v>
      </c>
      <c r="F10249" s="6">
        <v>0</v>
      </c>
      <c r="G10249" s="6">
        <v>19</v>
      </c>
      <c r="H10249" s="6" t="s">
        <v>20818</v>
      </c>
      <c r="I10249" s="6">
        <v>528.1875</v>
      </c>
      <c r="J10249" s="2">
        <f t="shared" si="160"/>
        <v>43748.229959699071</v>
      </c>
    </row>
    <row r="10250" spans="1:10" x14ac:dyDescent="0.25">
      <c r="A10250" s="7" t="s">
        <v>20819</v>
      </c>
      <c r="B10250" s="8">
        <v>400</v>
      </c>
      <c r="C10250" s="8">
        <v>20.478950000000001</v>
      </c>
      <c r="D10250" s="8">
        <v>91</v>
      </c>
      <c r="E10250" s="8">
        <v>0</v>
      </c>
      <c r="F10250" s="8">
        <v>0</v>
      </c>
      <c r="G10250" s="8">
        <v>7</v>
      </c>
      <c r="H10250" s="8" t="s">
        <v>20820</v>
      </c>
      <c r="I10250" s="8">
        <v>528.1875</v>
      </c>
      <c r="J10250" s="3">
        <f t="shared" si="160"/>
        <v>43748.230030879626</v>
      </c>
    </row>
    <row r="10251" spans="1:10" x14ac:dyDescent="0.25">
      <c r="A10251" s="5" t="s">
        <v>20821</v>
      </c>
      <c r="B10251" s="6">
        <v>403.125</v>
      </c>
      <c r="C10251" s="6">
        <v>20.478950000000001</v>
      </c>
      <c r="D10251" s="6">
        <v>91</v>
      </c>
      <c r="E10251" s="6">
        <v>0</v>
      </c>
      <c r="F10251" s="6">
        <v>0</v>
      </c>
      <c r="G10251" s="6">
        <v>3</v>
      </c>
      <c r="H10251" s="6" t="s">
        <v>20822</v>
      </c>
      <c r="I10251" s="6">
        <v>529.125</v>
      </c>
      <c r="J10251" s="2">
        <f t="shared" si="160"/>
        <v>43748.230103171292</v>
      </c>
    </row>
    <row r="10252" spans="1:10" x14ac:dyDescent="0.25">
      <c r="A10252" s="7" t="s">
        <v>20823</v>
      </c>
      <c r="B10252" s="8">
        <v>403.125</v>
      </c>
      <c r="C10252" s="8">
        <v>20.478950000000001</v>
      </c>
      <c r="D10252" s="8">
        <v>92</v>
      </c>
      <c r="E10252" s="8">
        <v>0</v>
      </c>
      <c r="F10252" s="8">
        <v>0</v>
      </c>
      <c r="G10252" s="8">
        <v>9</v>
      </c>
      <c r="H10252" s="8" t="s">
        <v>20824</v>
      </c>
      <c r="I10252" s="8">
        <v>529.125</v>
      </c>
      <c r="J10252" s="3">
        <f t="shared" si="160"/>
        <v>43748.23017451389</v>
      </c>
    </row>
    <row r="10253" spans="1:10" x14ac:dyDescent="0.25">
      <c r="A10253" s="5" t="s">
        <v>20825</v>
      </c>
      <c r="B10253" s="6">
        <v>403.125</v>
      </c>
      <c r="C10253" s="6">
        <v>20.478950000000001</v>
      </c>
      <c r="D10253" s="6">
        <v>92</v>
      </c>
      <c r="E10253" s="6">
        <v>0</v>
      </c>
      <c r="F10253" s="6">
        <v>0</v>
      </c>
      <c r="G10253" s="6">
        <v>0</v>
      </c>
      <c r="H10253" s="6" t="s">
        <v>20826</v>
      </c>
      <c r="I10253" s="6">
        <v>529.125</v>
      </c>
      <c r="J10253" s="2">
        <f t="shared" si="160"/>
        <v>43748.230245810184</v>
      </c>
    </row>
    <row r="10254" spans="1:10" x14ac:dyDescent="0.25">
      <c r="A10254" s="7" t="s">
        <v>20827</v>
      </c>
      <c r="B10254" s="8">
        <v>403.125</v>
      </c>
      <c r="C10254" s="8">
        <v>20.426300000000001</v>
      </c>
      <c r="D10254" s="8">
        <v>97</v>
      </c>
      <c r="E10254" s="8">
        <v>0</v>
      </c>
      <c r="F10254" s="8">
        <v>0</v>
      </c>
      <c r="G10254" s="8">
        <v>10</v>
      </c>
      <c r="H10254" s="8" t="s">
        <v>20828</v>
      </c>
      <c r="I10254" s="8">
        <v>529.875</v>
      </c>
      <c r="J10254" s="3">
        <f t="shared" si="160"/>
        <v>43748.230317106478</v>
      </c>
    </row>
    <row r="10255" spans="1:10" x14ac:dyDescent="0.25">
      <c r="A10255" s="5" t="s">
        <v>20829</v>
      </c>
      <c r="B10255" s="6">
        <v>403.125</v>
      </c>
      <c r="C10255" s="6">
        <v>20.478950000000001</v>
      </c>
      <c r="D10255" s="6">
        <v>95</v>
      </c>
      <c r="E10255" s="6">
        <v>0</v>
      </c>
      <c r="F10255" s="6">
        <v>0</v>
      </c>
      <c r="G10255" s="6">
        <v>8</v>
      </c>
      <c r="H10255" s="6" t="s">
        <v>20830</v>
      </c>
      <c r="I10255" s="6">
        <v>529.875</v>
      </c>
      <c r="J10255" s="2">
        <f t="shared" si="160"/>
        <v>43748.230389328703</v>
      </c>
    </row>
    <row r="10256" spans="1:10" x14ac:dyDescent="0.25">
      <c r="A10256" s="7" t="s">
        <v>20831</v>
      </c>
      <c r="B10256" s="8">
        <v>403.125</v>
      </c>
      <c r="C10256" s="8">
        <v>20.478950000000001</v>
      </c>
      <c r="D10256" s="8">
        <v>94</v>
      </c>
      <c r="E10256" s="8">
        <v>0</v>
      </c>
      <c r="F10256" s="8">
        <v>0</v>
      </c>
      <c r="G10256" s="8">
        <v>7</v>
      </c>
      <c r="H10256" s="8" t="s">
        <v>20832</v>
      </c>
      <c r="I10256" s="8">
        <v>529.875</v>
      </c>
      <c r="J10256" s="3">
        <f t="shared" si="160"/>
        <v>43748.230472604169</v>
      </c>
    </row>
    <row r="10257" spans="1:10" x14ac:dyDescent="0.25">
      <c r="A10257" s="5" t="s">
        <v>20833</v>
      </c>
      <c r="B10257" s="6">
        <v>406.25</v>
      </c>
      <c r="C10257" s="6">
        <v>20.478950000000001</v>
      </c>
      <c r="D10257" s="6">
        <v>94</v>
      </c>
      <c r="E10257" s="6">
        <v>0</v>
      </c>
      <c r="F10257" s="6">
        <v>0</v>
      </c>
      <c r="G10257" s="6">
        <v>8</v>
      </c>
      <c r="H10257" s="6" t="s">
        <v>20834</v>
      </c>
      <c r="I10257" s="6">
        <v>530.625</v>
      </c>
      <c r="J10257" s="2">
        <f t="shared" si="160"/>
        <v>43748.230543946753</v>
      </c>
    </row>
    <row r="10258" spans="1:10" x14ac:dyDescent="0.25">
      <c r="A10258" s="7" t="s">
        <v>20835</v>
      </c>
      <c r="B10258" s="8">
        <v>406.25</v>
      </c>
      <c r="C10258" s="8">
        <v>20.478950000000001</v>
      </c>
      <c r="D10258" s="8">
        <v>95</v>
      </c>
      <c r="E10258" s="8">
        <v>0</v>
      </c>
      <c r="F10258" s="8">
        <v>0</v>
      </c>
      <c r="G10258" s="8">
        <v>9</v>
      </c>
      <c r="H10258" s="8" t="s">
        <v>20836</v>
      </c>
      <c r="I10258" s="8">
        <v>530.625</v>
      </c>
      <c r="J10258" s="3">
        <f t="shared" si="160"/>
        <v>43748.230615208326</v>
      </c>
    </row>
    <row r="10259" spans="1:10" x14ac:dyDescent="0.25">
      <c r="A10259" s="5" t="s">
        <v>20837</v>
      </c>
      <c r="B10259" s="6">
        <v>406.25</v>
      </c>
      <c r="C10259" s="6">
        <v>20.478950000000001</v>
      </c>
      <c r="D10259" s="6">
        <v>95</v>
      </c>
      <c r="E10259" s="6">
        <v>0</v>
      </c>
      <c r="F10259" s="6">
        <v>0</v>
      </c>
      <c r="G10259" s="6">
        <v>7</v>
      </c>
      <c r="H10259" s="6" t="s">
        <v>20838</v>
      </c>
      <c r="I10259" s="6">
        <v>530.625</v>
      </c>
      <c r="J10259" s="2">
        <f t="shared" si="160"/>
        <v>43748.230687476847</v>
      </c>
    </row>
    <row r="10260" spans="1:10" x14ac:dyDescent="0.25">
      <c r="A10260" s="7" t="s">
        <v>20839</v>
      </c>
      <c r="B10260" s="8">
        <v>403.125</v>
      </c>
      <c r="C10260" s="8">
        <v>20.426300000000001</v>
      </c>
      <c r="D10260" s="8">
        <v>95</v>
      </c>
      <c r="E10260" s="8">
        <v>0</v>
      </c>
      <c r="F10260" s="8">
        <v>0</v>
      </c>
      <c r="G10260" s="8">
        <v>6</v>
      </c>
      <c r="H10260" s="8" t="s">
        <v>20840</v>
      </c>
      <c r="I10260" s="8">
        <v>529.875</v>
      </c>
      <c r="J10260" s="3">
        <f t="shared" si="160"/>
        <v>43748.230758773141</v>
      </c>
    </row>
    <row r="10261" spans="1:10" x14ac:dyDescent="0.25">
      <c r="A10261" s="5" t="s">
        <v>20841</v>
      </c>
      <c r="B10261" s="6">
        <v>403.125</v>
      </c>
      <c r="C10261" s="6">
        <v>20.478950000000001</v>
      </c>
      <c r="D10261" s="6">
        <v>95</v>
      </c>
      <c r="E10261" s="6">
        <v>0</v>
      </c>
      <c r="F10261" s="6">
        <v>0</v>
      </c>
      <c r="G10261" s="6">
        <v>6</v>
      </c>
      <c r="H10261" s="6" t="s">
        <v>20842</v>
      </c>
      <c r="I10261" s="6">
        <v>529.125</v>
      </c>
      <c r="J10261" s="2">
        <f t="shared" si="160"/>
        <v>43748.230830069442</v>
      </c>
    </row>
    <row r="10262" spans="1:10" x14ac:dyDescent="0.25">
      <c r="A10262" s="7" t="s">
        <v>20843</v>
      </c>
      <c r="B10262" s="8">
        <v>403.125</v>
      </c>
      <c r="C10262" s="8">
        <v>20.426300000000001</v>
      </c>
      <c r="D10262" s="8">
        <v>95</v>
      </c>
      <c r="E10262" s="8">
        <v>0</v>
      </c>
      <c r="F10262" s="8">
        <v>0</v>
      </c>
      <c r="G10262" s="8">
        <v>5</v>
      </c>
      <c r="H10262" s="8" t="s">
        <v>20844</v>
      </c>
      <c r="I10262" s="8">
        <v>529.125</v>
      </c>
      <c r="J10262" s="3">
        <f t="shared" si="160"/>
        <v>43748.230901412033</v>
      </c>
    </row>
    <row r="10263" spans="1:10" x14ac:dyDescent="0.25">
      <c r="A10263" s="5" t="s">
        <v>20845</v>
      </c>
      <c r="B10263" s="6">
        <v>403.125</v>
      </c>
      <c r="C10263" s="6">
        <v>20.478950000000001</v>
      </c>
      <c r="D10263" s="6">
        <v>95</v>
      </c>
      <c r="E10263" s="6">
        <v>0</v>
      </c>
      <c r="F10263" s="6">
        <v>0</v>
      </c>
      <c r="G10263" s="6">
        <v>8</v>
      </c>
      <c r="H10263" s="6" t="s">
        <v>20846</v>
      </c>
      <c r="I10263" s="6">
        <v>529.125</v>
      </c>
      <c r="J10263" s="2">
        <f t="shared" si="160"/>
        <v>43748.230973657403</v>
      </c>
    </row>
    <row r="10264" spans="1:10" x14ac:dyDescent="0.25">
      <c r="A10264" s="7" t="s">
        <v>20847</v>
      </c>
      <c r="B10264" s="8">
        <v>403.125</v>
      </c>
      <c r="C10264" s="8">
        <v>20.478950000000001</v>
      </c>
      <c r="D10264" s="8">
        <v>95</v>
      </c>
      <c r="E10264" s="8">
        <v>0</v>
      </c>
      <c r="F10264" s="8">
        <v>0</v>
      </c>
      <c r="G10264" s="8">
        <v>0</v>
      </c>
      <c r="H10264" s="8" t="s">
        <v>20848</v>
      </c>
      <c r="I10264" s="8">
        <v>529.125</v>
      </c>
      <c r="J10264" s="3">
        <f t="shared" si="160"/>
        <v>43748.231044884255</v>
      </c>
    </row>
    <row r="10265" spans="1:10" x14ac:dyDescent="0.25">
      <c r="A10265" s="5" t="s">
        <v>20849</v>
      </c>
      <c r="B10265" s="6">
        <v>403.125</v>
      </c>
      <c r="C10265" s="6">
        <v>20.478950000000001</v>
      </c>
      <c r="D10265" s="6">
        <v>95</v>
      </c>
      <c r="E10265" s="6">
        <v>0</v>
      </c>
      <c r="F10265" s="6">
        <v>0</v>
      </c>
      <c r="G10265" s="6">
        <v>11</v>
      </c>
      <c r="H10265" s="6" t="s">
        <v>20850</v>
      </c>
      <c r="I10265" s="6">
        <v>529.125</v>
      </c>
      <c r="J10265" s="2">
        <f t="shared" si="160"/>
        <v>43748.231116180548</v>
      </c>
    </row>
    <row r="10266" spans="1:10" x14ac:dyDescent="0.25">
      <c r="A10266" s="7" t="s">
        <v>20851</v>
      </c>
      <c r="B10266" s="8">
        <v>403.125</v>
      </c>
      <c r="C10266" s="8">
        <v>20.426300000000001</v>
      </c>
      <c r="D10266" s="8">
        <v>95</v>
      </c>
      <c r="E10266" s="8">
        <v>0</v>
      </c>
      <c r="F10266" s="8">
        <v>0</v>
      </c>
      <c r="G10266" s="8">
        <v>10</v>
      </c>
      <c r="H10266" s="8" t="s">
        <v>20852</v>
      </c>
      <c r="I10266" s="8">
        <v>529.125</v>
      </c>
      <c r="J10266" s="3">
        <f t="shared" si="160"/>
        <v>43748.231187534715</v>
      </c>
    </row>
    <row r="10267" spans="1:10" x14ac:dyDescent="0.25">
      <c r="A10267" s="5" t="s">
        <v>20853</v>
      </c>
      <c r="B10267" s="6">
        <v>403.125</v>
      </c>
      <c r="C10267" s="6">
        <v>20.478950000000001</v>
      </c>
      <c r="D10267" s="6">
        <v>94</v>
      </c>
      <c r="E10267" s="6">
        <v>0</v>
      </c>
      <c r="F10267" s="6">
        <v>0</v>
      </c>
      <c r="G10267" s="6">
        <v>1</v>
      </c>
      <c r="H10267" s="6" t="s">
        <v>20854</v>
      </c>
      <c r="I10267" s="6">
        <v>529.125</v>
      </c>
      <c r="J10267" s="2">
        <f t="shared" si="160"/>
        <v>43748.231259699074</v>
      </c>
    </row>
    <row r="10268" spans="1:10" x14ac:dyDescent="0.25">
      <c r="A10268" s="7" t="s">
        <v>20855</v>
      </c>
      <c r="B10268" s="8">
        <v>403.125</v>
      </c>
      <c r="C10268" s="8">
        <v>20.426300000000001</v>
      </c>
      <c r="D10268" s="8">
        <v>94</v>
      </c>
      <c r="E10268" s="8">
        <v>0</v>
      </c>
      <c r="F10268" s="8">
        <v>0</v>
      </c>
      <c r="G10268" s="8">
        <v>10</v>
      </c>
      <c r="H10268" s="8" t="s">
        <v>20856</v>
      </c>
      <c r="I10268" s="8">
        <v>529.125</v>
      </c>
      <c r="J10268" s="3">
        <f t="shared" si="160"/>
        <v>43748.231330995368</v>
      </c>
    </row>
    <row r="10269" spans="1:10" x14ac:dyDescent="0.25">
      <c r="A10269" s="5" t="s">
        <v>20857</v>
      </c>
      <c r="B10269" s="6">
        <v>418.75</v>
      </c>
      <c r="C10269" s="6">
        <v>20.426300000000001</v>
      </c>
      <c r="D10269" s="6">
        <v>92</v>
      </c>
      <c r="E10269" s="6">
        <v>0</v>
      </c>
      <c r="F10269" s="6">
        <v>0</v>
      </c>
      <c r="G10269" s="6">
        <v>9</v>
      </c>
      <c r="H10269" s="6" t="s">
        <v>20858</v>
      </c>
      <c r="I10269" s="6">
        <v>534.75</v>
      </c>
      <c r="J10269" s="2">
        <f t="shared" si="160"/>
        <v>43748.231402291662</v>
      </c>
    </row>
    <row r="10270" spans="1:10" x14ac:dyDescent="0.25">
      <c r="A10270" s="7" t="s">
        <v>20859</v>
      </c>
      <c r="B10270" s="8">
        <v>403.125</v>
      </c>
      <c r="C10270" s="8">
        <v>20.478950000000001</v>
      </c>
      <c r="D10270" s="8">
        <v>93</v>
      </c>
      <c r="E10270" s="8">
        <v>0</v>
      </c>
      <c r="F10270" s="8">
        <v>0</v>
      </c>
      <c r="G10270" s="8">
        <v>3</v>
      </c>
      <c r="H10270" s="8" t="s">
        <v>20860</v>
      </c>
      <c r="I10270" s="8">
        <v>529.875</v>
      </c>
      <c r="J10270" s="3">
        <f t="shared" si="160"/>
        <v>43748.231473761574</v>
      </c>
    </row>
    <row r="10271" spans="1:10" x14ac:dyDescent="0.25">
      <c r="A10271" s="5" t="s">
        <v>20861</v>
      </c>
      <c r="B10271" s="6">
        <v>403.125</v>
      </c>
      <c r="C10271" s="6">
        <v>20.478950000000001</v>
      </c>
      <c r="D10271" s="6">
        <v>93</v>
      </c>
      <c r="E10271" s="6">
        <v>0</v>
      </c>
      <c r="F10271" s="6">
        <v>0</v>
      </c>
      <c r="G10271" s="6">
        <v>10</v>
      </c>
      <c r="H10271" s="6" t="s">
        <v>20862</v>
      </c>
      <c r="I10271" s="6">
        <v>529.875</v>
      </c>
      <c r="J10271" s="2">
        <f t="shared" si="160"/>
        <v>43748.231545752315</v>
      </c>
    </row>
    <row r="10272" spans="1:10" x14ac:dyDescent="0.25">
      <c r="A10272" s="7" t="s">
        <v>20863</v>
      </c>
      <c r="B10272" s="8">
        <v>406.25</v>
      </c>
      <c r="C10272" s="8">
        <v>20.478950000000001</v>
      </c>
      <c r="D10272" s="8">
        <v>94</v>
      </c>
      <c r="E10272" s="8">
        <v>0</v>
      </c>
      <c r="F10272" s="8">
        <v>0</v>
      </c>
      <c r="G10272" s="8">
        <v>7</v>
      </c>
      <c r="H10272" s="8" t="s">
        <v>20864</v>
      </c>
      <c r="I10272" s="8">
        <v>530.625</v>
      </c>
      <c r="J10272" s="3">
        <f t="shared" si="160"/>
        <v>43748.231631400464</v>
      </c>
    </row>
    <row r="10273" spans="1:10" x14ac:dyDescent="0.25">
      <c r="A10273" s="5" t="s">
        <v>20865</v>
      </c>
      <c r="B10273" s="6">
        <v>406.25</v>
      </c>
      <c r="C10273" s="6">
        <v>20.478950000000001</v>
      </c>
      <c r="D10273" s="6">
        <v>93</v>
      </c>
      <c r="E10273" s="6">
        <v>0</v>
      </c>
      <c r="F10273" s="6">
        <v>0</v>
      </c>
      <c r="G10273" s="6">
        <v>5</v>
      </c>
      <c r="H10273" s="6" t="s">
        <v>20866</v>
      </c>
      <c r="I10273" s="6">
        <v>530.625</v>
      </c>
      <c r="J10273" s="2">
        <f t="shared" si="160"/>
        <v>43748.231712465276</v>
      </c>
    </row>
    <row r="10274" spans="1:10" x14ac:dyDescent="0.25">
      <c r="A10274" s="7" t="s">
        <v>20867</v>
      </c>
      <c r="B10274" s="8">
        <v>406.25</v>
      </c>
      <c r="C10274" s="8">
        <v>20.478950000000001</v>
      </c>
      <c r="D10274" s="8">
        <v>93</v>
      </c>
      <c r="E10274" s="8">
        <v>0</v>
      </c>
      <c r="F10274" s="8">
        <v>0</v>
      </c>
      <c r="G10274" s="8">
        <v>14</v>
      </c>
      <c r="H10274" s="8" t="s">
        <v>20868</v>
      </c>
      <c r="I10274" s="8">
        <v>530.625</v>
      </c>
      <c r="J10274" s="3">
        <f t="shared" si="160"/>
        <v>43748.231783773146</v>
      </c>
    </row>
    <row r="10275" spans="1:10" x14ac:dyDescent="0.25">
      <c r="A10275" s="5" t="s">
        <v>20869</v>
      </c>
      <c r="B10275" s="6">
        <v>406.25</v>
      </c>
      <c r="C10275" s="6">
        <v>20.478950000000001</v>
      </c>
      <c r="D10275" s="6">
        <v>92</v>
      </c>
      <c r="E10275" s="6">
        <v>0</v>
      </c>
      <c r="F10275" s="6">
        <v>0</v>
      </c>
      <c r="G10275" s="6">
        <v>5</v>
      </c>
      <c r="H10275" s="6" t="s">
        <v>20870</v>
      </c>
      <c r="I10275" s="6">
        <v>530.625</v>
      </c>
      <c r="J10275" s="2">
        <f t="shared" si="160"/>
        <v>43748.231856018516</v>
      </c>
    </row>
    <row r="10276" spans="1:10" x14ac:dyDescent="0.25">
      <c r="A10276" s="7" t="s">
        <v>20871</v>
      </c>
      <c r="B10276" s="8">
        <v>425</v>
      </c>
      <c r="C10276" s="8">
        <v>20.426300000000001</v>
      </c>
      <c r="D10276" s="8">
        <v>93</v>
      </c>
      <c r="E10276" s="8">
        <v>0</v>
      </c>
      <c r="F10276" s="8">
        <v>0</v>
      </c>
      <c r="G10276" s="8">
        <v>10</v>
      </c>
      <c r="H10276" s="8" t="s">
        <v>20872</v>
      </c>
      <c r="I10276" s="8">
        <v>536.25</v>
      </c>
      <c r="J10276" s="3">
        <f t="shared" si="160"/>
        <v>43748.231927245368</v>
      </c>
    </row>
    <row r="10277" spans="1:10" x14ac:dyDescent="0.25">
      <c r="A10277" s="5" t="s">
        <v>20873</v>
      </c>
      <c r="B10277" s="6">
        <v>406.25</v>
      </c>
      <c r="C10277" s="6">
        <v>20.478950000000001</v>
      </c>
      <c r="D10277" s="6">
        <v>93</v>
      </c>
      <c r="E10277" s="6">
        <v>0</v>
      </c>
      <c r="F10277" s="6">
        <v>0</v>
      </c>
      <c r="G10277" s="6">
        <v>9</v>
      </c>
      <c r="H10277" s="6" t="s">
        <v>20874</v>
      </c>
      <c r="I10277" s="6">
        <v>530.8125</v>
      </c>
      <c r="J10277" s="2">
        <f t="shared" si="160"/>
        <v>43748.231998599535</v>
      </c>
    </row>
    <row r="10278" spans="1:10" x14ac:dyDescent="0.25">
      <c r="A10278" s="7" t="s">
        <v>20875</v>
      </c>
      <c r="B10278" s="8">
        <v>406.25</v>
      </c>
      <c r="C10278" s="8">
        <v>20.478950000000001</v>
      </c>
      <c r="D10278" s="8">
        <v>92</v>
      </c>
      <c r="E10278" s="8">
        <v>0</v>
      </c>
      <c r="F10278" s="8">
        <v>0</v>
      </c>
      <c r="G10278" s="8">
        <v>3</v>
      </c>
      <c r="H10278" s="8" t="s">
        <v>20876</v>
      </c>
      <c r="I10278" s="8">
        <v>530.8125</v>
      </c>
      <c r="J10278" s="3">
        <f t="shared" si="160"/>
        <v>43748.232070648148</v>
      </c>
    </row>
    <row r="10279" spans="1:10" x14ac:dyDescent="0.25">
      <c r="A10279" s="5" t="s">
        <v>20877</v>
      </c>
      <c r="B10279" s="6">
        <v>406.25</v>
      </c>
      <c r="C10279" s="6">
        <v>20.478950000000001</v>
      </c>
      <c r="D10279" s="6">
        <v>92</v>
      </c>
      <c r="E10279" s="6">
        <v>0</v>
      </c>
      <c r="F10279" s="6">
        <v>0</v>
      </c>
      <c r="G10279" s="6">
        <v>9</v>
      </c>
      <c r="H10279" s="6" t="s">
        <v>20878</v>
      </c>
      <c r="I10279" s="6">
        <v>530.625</v>
      </c>
      <c r="J10279" s="2">
        <f t="shared" si="160"/>
        <v>43748.232142141198</v>
      </c>
    </row>
    <row r="10280" spans="1:10" x14ac:dyDescent="0.25">
      <c r="A10280" s="7" t="s">
        <v>20879</v>
      </c>
      <c r="B10280" s="8">
        <v>446.875</v>
      </c>
      <c r="C10280" s="8">
        <v>20.426300000000001</v>
      </c>
      <c r="D10280" s="8">
        <v>93</v>
      </c>
      <c r="E10280" s="8">
        <v>0</v>
      </c>
      <c r="F10280" s="8">
        <v>0</v>
      </c>
      <c r="G10280" s="8">
        <v>8</v>
      </c>
      <c r="H10280" s="8" t="s">
        <v>20880</v>
      </c>
      <c r="I10280" s="8">
        <v>543.9375</v>
      </c>
      <c r="J10280" s="3">
        <f t="shared" si="160"/>
        <v>43748.232213414354</v>
      </c>
    </row>
    <row r="10281" spans="1:10" x14ac:dyDescent="0.25">
      <c r="A10281" s="5" t="s">
        <v>20881</v>
      </c>
      <c r="B10281" s="6">
        <v>406.25</v>
      </c>
      <c r="C10281" s="6">
        <v>20.426300000000001</v>
      </c>
      <c r="D10281" s="6">
        <v>95</v>
      </c>
      <c r="E10281" s="6">
        <v>0</v>
      </c>
      <c r="F10281" s="6">
        <v>0</v>
      </c>
      <c r="G10281" s="6">
        <v>13</v>
      </c>
      <c r="H10281" s="6" t="s">
        <v>20882</v>
      </c>
      <c r="I10281" s="6">
        <v>530.625</v>
      </c>
      <c r="J10281" s="2">
        <f t="shared" si="160"/>
        <v>43748.232296759255</v>
      </c>
    </row>
    <row r="10282" spans="1:10" x14ac:dyDescent="0.25">
      <c r="A10282" s="7" t="s">
        <v>20883</v>
      </c>
      <c r="B10282" s="8">
        <v>406.25</v>
      </c>
      <c r="C10282" s="8">
        <v>20.478950000000001</v>
      </c>
      <c r="D10282" s="8">
        <v>95</v>
      </c>
      <c r="E10282" s="8">
        <v>0</v>
      </c>
      <c r="F10282" s="8">
        <v>0</v>
      </c>
      <c r="G10282" s="8">
        <v>2</v>
      </c>
      <c r="H10282" s="8" t="s">
        <v>20884</v>
      </c>
      <c r="I10282" s="8">
        <v>530.625</v>
      </c>
      <c r="J10282" s="3">
        <f t="shared" si="160"/>
        <v>43748.23236809027</v>
      </c>
    </row>
    <row r="10283" spans="1:10" x14ac:dyDescent="0.25">
      <c r="A10283" s="5" t="s">
        <v>20885</v>
      </c>
      <c r="B10283" s="6">
        <v>406.25</v>
      </c>
      <c r="C10283" s="6">
        <v>20.426300000000001</v>
      </c>
      <c r="D10283" s="6">
        <v>95</v>
      </c>
      <c r="E10283" s="6">
        <v>0</v>
      </c>
      <c r="F10283" s="6">
        <v>0</v>
      </c>
      <c r="G10283" s="6">
        <v>6</v>
      </c>
      <c r="H10283" s="6" t="s">
        <v>20886</v>
      </c>
      <c r="I10283" s="6">
        <v>530.625</v>
      </c>
      <c r="J10283" s="2">
        <f t="shared" si="160"/>
        <v>43748.232440266198</v>
      </c>
    </row>
    <row r="10284" spans="1:10" x14ac:dyDescent="0.25">
      <c r="A10284" s="7" t="s">
        <v>20887</v>
      </c>
      <c r="B10284" s="8">
        <v>406.25</v>
      </c>
      <c r="C10284" s="8">
        <v>20.478950000000001</v>
      </c>
      <c r="D10284" s="8">
        <v>94</v>
      </c>
      <c r="E10284" s="8">
        <v>0</v>
      </c>
      <c r="F10284" s="8">
        <v>0</v>
      </c>
      <c r="G10284" s="8">
        <v>12</v>
      </c>
      <c r="H10284" s="8" t="s">
        <v>20888</v>
      </c>
      <c r="I10284" s="8">
        <v>530.625</v>
      </c>
      <c r="J10284" s="3">
        <f t="shared" si="160"/>
        <v>43748.232511562499</v>
      </c>
    </row>
    <row r="10285" spans="1:10" x14ac:dyDescent="0.25">
      <c r="A10285" s="5" t="s">
        <v>20889</v>
      </c>
      <c r="B10285" s="6">
        <v>406.25</v>
      </c>
      <c r="C10285" s="6">
        <v>20.478950000000001</v>
      </c>
      <c r="D10285" s="6">
        <v>93</v>
      </c>
      <c r="E10285" s="6">
        <v>0</v>
      </c>
      <c r="F10285" s="6">
        <v>0</v>
      </c>
      <c r="G10285" s="6">
        <v>13</v>
      </c>
      <c r="H10285" s="6" t="s">
        <v>20890</v>
      </c>
      <c r="I10285" s="6">
        <v>530.625</v>
      </c>
      <c r="J10285" s="2">
        <f t="shared" si="160"/>
        <v>43748.232582870369</v>
      </c>
    </row>
    <row r="10286" spans="1:10" x14ac:dyDescent="0.25">
      <c r="A10286" s="7" t="s">
        <v>20891</v>
      </c>
      <c r="B10286" s="8">
        <v>406.25</v>
      </c>
      <c r="C10286" s="8">
        <v>20.478950000000001</v>
      </c>
      <c r="D10286" s="8">
        <v>94</v>
      </c>
      <c r="E10286" s="8">
        <v>0</v>
      </c>
      <c r="F10286" s="8">
        <v>0</v>
      </c>
      <c r="G10286" s="8">
        <v>8</v>
      </c>
      <c r="H10286" s="8" t="s">
        <v>20892</v>
      </c>
      <c r="I10286" s="8">
        <v>530.625</v>
      </c>
      <c r="J10286" s="3">
        <f t="shared" si="160"/>
        <v>43748.232654907406</v>
      </c>
    </row>
    <row r="10287" spans="1:10" x14ac:dyDescent="0.25">
      <c r="A10287" s="5" t="s">
        <v>20893</v>
      </c>
      <c r="B10287" s="6">
        <v>406.25</v>
      </c>
      <c r="C10287" s="6">
        <v>20.478950000000001</v>
      </c>
      <c r="D10287" s="6">
        <v>94</v>
      </c>
      <c r="E10287" s="6">
        <v>0</v>
      </c>
      <c r="F10287" s="6">
        <v>0</v>
      </c>
      <c r="G10287" s="6">
        <v>3</v>
      </c>
      <c r="H10287" s="6" t="s">
        <v>20894</v>
      </c>
      <c r="I10287" s="6">
        <v>530.625</v>
      </c>
      <c r="J10287" s="2">
        <f t="shared" si="160"/>
        <v>43748.232726377311</v>
      </c>
    </row>
    <row r="10288" spans="1:10" x14ac:dyDescent="0.25">
      <c r="A10288" s="7" t="s">
        <v>20895</v>
      </c>
      <c r="B10288" s="8">
        <v>425</v>
      </c>
      <c r="C10288" s="8">
        <v>20.478950000000001</v>
      </c>
      <c r="D10288" s="8">
        <v>93</v>
      </c>
      <c r="E10288" s="8">
        <v>0</v>
      </c>
      <c r="F10288" s="8">
        <v>0</v>
      </c>
      <c r="G10288" s="8">
        <v>15</v>
      </c>
      <c r="H10288" s="8" t="s">
        <v>20896</v>
      </c>
      <c r="I10288" s="8">
        <v>536.4375</v>
      </c>
      <c r="J10288" s="3">
        <f t="shared" si="160"/>
        <v>43748.232797673605</v>
      </c>
    </row>
    <row r="10289" spans="1:10" x14ac:dyDescent="0.25">
      <c r="A10289" s="5" t="s">
        <v>20897</v>
      </c>
      <c r="B10289" s="6">
        <v>403.125</v>
      </c>
      <c r="C10289" s="6">
        <v>20.478950000000001</v>
      </c>
      <c r="D10289" s="6">
        <v>93</v>
      </c>
      <c r="E10289" s="6">
        <v>0</v>
      </c>
      <c r="F10289" s="6">
        <v>0</v>
      </c>
      <c r="G10289" s="6">
        <v>9</v>
      </c>
      <c r="H10289" s="6" t="s">
        <v>20898</v>
      </c>
      <c r="I10289" s="6">
        <v>529.875</v>
      </c>
      <c r="J10289" s="2">
        <f t="shared" si="160"/>
        <v>43748.232868946761</v>
      </c>
    </row>
    <row r="10290" spans="1:10" x14ac:dyDescent="0.25">
      <c r="A10290" s="7" t="s">
        <v>20899</v>
      </c>
      <c r="B10290" s="8">
        <v>400</v>
      </c>
      <c r="C10290" s="8">
        <v>20.478950000000001</v>
      </c>
      <c r="D10290" s="8">
        <v>95</v>
      </c>
      <c r="E10290" s="8">
        <v>0</v>
      </c>
      <c r="F10290" s="8">
        <v>0</v>
      </c>
      <c r="G10290" s="8">
        <v>5</v>
      </c>
      <c r="H10290" s="8" t="s">
        <v>20900</v>
      </c>
      <c r="I10290" s="8">
        <v>528.9375</v>
      </c>
      <c r="J10290" s="3">
        <f t="shared" si="160"/>
        <v>43748.232941192131</v>
      </c>
    </row>
    <row r="10291" spans="1:10" x14ac:dyDescent="0.25">
      <c r="A10291" s="5" t="s">
        <v>20901</v>
      </c>
      <c r="B10291" s="6">
        <v>400</v>
      </c>
      <c r="C10291" s="6">
        <v>20.478950000000001</v>
      </c>
      <c r="D10291" s="6">
        <v>95</v>
      </c>
      <c r="E10291" s="6">
        <v>0</v>
      </c>
      <c r="F10291" s="6">
        <v>0</v>
      </c>
      <c r="G10291" s="6">
        <v>8</v>
      </c>
      <c r="H10291" s="6" t="s">
        <v>20902</v>
      </c>
      <c r="I10291" s="6">
        <v>528.9375</v>
      </c>
      <c r="J10291" s="2">
        <f t="shared" si="160"/>
        <v>43748.233012303237</v>
      </c>
    </row>
    <row r="10292" spans="1:10" x14ac:dyDescent="0.25">
      <c r="A10292" s="7" t="s">
        <v>20903</v>
      </c>
      <c r="B10292" s="8">
        <v>400</v>
      </c>
      <c r="C10292" s="8">
        <v>20.478950000000001</v>
      </c>
      <c r="D10292" s="8">
        <v>96</v>
      </c>
      <c r="E10292" s="8">
        <v>0</v>
      </c>
      <c r="F10292" s="8">
        <v>0</v>
      </c>
      <c r="G10292" s="8">
        <v>3</v>
      </c>
      <c r="H10292" s="8" t="s">
        <v>20904</v>
      </c>
      <c r="I10292" s="8">
        <v>528.1875</v>
      </c>
      <c r="J10292" s="3">
        <f t="shared" si="160"/>
        <v>43748.233083784718</v>
      </c>
    </row>
    <row r="10293" spans="1:10" x14ac:dyDescent="0.25">
      <c r="A10293" s="5" t="s">
        <v>20905</v>
      </c>
      <c r="B10293" s="6">
        <v>396.875</v>
      </c>
      <c r="C10293" s="6">
        <v>20.478950000000001</v>
      </c>
      <c r="D10293" s="6">
        <v>94</v>
      </c>
      <c r="E10293" s="6">
        <v>0</v>
      </c>
      <c r="F10293" s="6">
        <v>0</v>
      </c>
      <c r="G10293" s="6">
        <v>1</v>
      </c>
      <c r="H10293" s="6" t="s">
        <v>20906</v>
      </c>
      <c r="I10293" s="6">
        <v>527.625</v>
      </c>
      <c r="J10293" s="2">
        <f t="shared" si="160"/>
        <v>43748.233155069443</v>
      </c>
    </row>
    <row r="10294" spans="1:10" x14ac:dyDescent="0.25">
      <c r="A10294" s="7" t="s">
        <v>20907</v>
      </c>
      <c r="B10294" s="8">
        <v>396.875</v>
      </c>
      <c r="C10294" s="8">
        <v>20.426300000000001</v>
      </c>
      <c r="D10294" s="8">
        <v>94</v>
      </c>
      <c r="E10294" s="8">
        <v>0</v>
      </c>
      <c r="F10294" s="8">
        <v>0</v>
      </c>
      <c r="G10294" s="8">
        <v>5</v>
      </c>
      <c r="H10294" s="8" t="s">
        <v>20908</v>
      </c>
      <c r="I10294" s="8">
        <v>527.4375</v>
      </c>
      <c r="J10294" s="3">
        <f t="shared" si="160"/>
        <v>43748.233227245371</v>
      </c>
    </row>
    <row r="10295" spans="1:10" x14ac:dyDescent="0.25">
      <c r="A10295" s="5" t="s">
        <v>20909</v>
      </c>
      <c r="B10295" s="6">
        <v>393.75</v>
      </c>
      <c r="C10295" s="6">
        <v>20.478950000000001</v>
      </c>
      <c r="D10295" s="6">
        <v>94</v>
      </c>
      <c r="E10295" s="6">
        <v>0</v>
      </c>
      <c r="F10295" s="6">
        <v>0</v>
      </c>
      <c r="G10295" s="6">
        <v>2</v>
      </c>
      <c r="H10295" s="6" t="s">
        <v>20910</v>
      </c>
      <c r="I10295" s="6">
        <v>526.6875</v>
      </c>
      <c r="J10295" s="2">
        <f t="shared" si="160"/>
        <v>43748.233312731478</v>
      </c>
    </row>
    <row r="10296" spans="1:10" x14ac:dyDescent="0.25">
      <c r="A10296" s="7" t="s">
        <v>20911</v>
      </c>
      <c r="B10296" s="8">
        <v>396.875</v>
      </c>
      <c r="C10296" s="8">
        <v>20.426300000000001</v>
      </c>
      <c r="D10296" s="8">
        <v>93</v>
      </c>
      <c r="E10296" s="8">
        <v>0</v>
      </c>
      <c r="F10296" s="8">
        <v>0</v>
      </c>
      <c r="G10296" s="8">
        <v>8</v>
      </c>
      <c r="H10296" s="8" t="s">
        <v>20912</v>
      </c>
      <c r="I10296" s="8">
        <v>527.4375</v>
      </c>
      <c r="J10296" s="3">
        <f t="shared" si="160"/>
        <v>43748.233406006941</v>
      </c>
    </row>
    <row r="10297" spans="1:10" x14ac:dyDescent="0.25">
      <c r="A10297" s="5" t="s">
        <v>20913</v>
      </c>
      <c r="B10297" s="6">
        <v>396.875</v>
      </c>
      <c r="C10297" s="6">
        <v>20.478950000000001</v>
      </c>
      <c r="D10297" s="6">
        <v>93</v>
      </c>
      <c r="E10297" s="6">
        <v>0</v>
      </c>
      <c r="F10297" s="6">
        <v>0</v>
      </c>
      <c r="G10297" s="6">
        <v>3</v>
      </c>
      <c r="H10297" s="6" t="s">
        <v>20914</v>
      </c>
      <c r="I10297" s="6">
        <v>527.4375</v>
      </c>
      <c r="J10297" s="2">
        <f t="shared" si="160"/>
        <v>43748.233477303242</v>
      </c>
    </row>
    <row r="10298" spans="1:10" x14ac:dyDescent="0.25">
      <c r="A10298" s="7" t="s">
        <v>20915</v>
      </c>
      <c r="B10298" s="8">
        <v>400</v>
      </c>
      <c r="C10298" s="8">
        <v>20.478950000000001</v>
      </c>
      <c r="D10298" s="8">
        <v>93</v>
      </c>
      <c r="E10298" s="8">
        <v>0</v>
      </c>
      <c r="F10298" s="8">
        <v>0</v>
      </c>
      <c r="G10298" s="8">
        <v>6</v>
      </c>
      <c r="H10298" s="8" t="s">
        <v>20916</v>
      </c>
      <c r="I10298" s="8">
        <v>528.1875</v>
      </c>
      <c r="J10298" s="3">
        <f t="shared" si="160"/>
        <v>43748.233548599535</v>
      </c>
    </row>
    <row r="10299" spans="1:10" x14ac:dyDescent="0.25">
      <c r="A10299" s="5" t="s">
        <v>20917</v>
      </c>
      <c r="B10299" s="6">
        <v>400</v>
      </c>
      <c r="C10299" s="6">
        <v>20.426300000000001</v>
      </c>
      <c r="D10299" s="6">
        <v>93</v>
      </c>
      <c r="E10299" s="6">
        <v>0</v>
      </c>
      <c r="F10299" s="6">
        <v>0</v>
      </c>
      <c r="G10299" s="6">
        <v>1</v>
      </c>
      <c r="H10299" s="6" t="s">
        <v>20918</v>
      </c>
      <c r="I10299" s="6">
        <v>528.1875</v>
      </c>
      <c r="J10299" s="2">
        <f t="shared" si="160"/>
        <v>43748.233620810184</v>
      </c>
    </row>
    <row r="10300" spans="1:10" x14ac:dyDescent="0.25">
      <c r="A10300" s="7" t="s">
        <v>20919</v>
      </c>
      <c r="B10300" s="8">
        <v>400</v>
      </c>
      <c r="C10300" s="8">
        <v>20.426300000000001</v>
      </c>
      <c r="D10300" s="8">
        <v>94</v>
      </c>
      <c r="E10300" s="8">
        <v>0</v>
      </c>
      <c r="F10300" s="8">
        <v>0</v>
      </c>
      <c r="G10300" s="8">
        <v>8</v>
      </c>
      <c r="H10300" s="8" t="s">
        <v>20920</v>
      </c>
      <c r="I10300" s="8">
        <v>528.1875</v>
      </c>
      <c r="J10300" s="3">
        <f t="shared" si="160"/>
        <v>43748.233692118054</v>
      </c>
    </row>
    <row r="10301" spans="1:10" x14ac:dyDescent="0.25">
      <c r="A10301" s="5" t="s">
        <v>20921</v>
      </c>
      <c r="B10301" s="6">
        <v>403.125</v>
      </c>
      <c r="C10301" s="6">
        <v>20.426300000000001</v>
      </c>
      <c r="D10301" s="6">
        <v>95</v>
      </c>
      <c r="E10301" s="6">
        <v>0</v>
      </c>
      <c r="F10301" s="6">
        <v>0</v>
      </c>
      <c r="G10301" s="6">
        <v>8</v>
      </c>
      <c r="H10301" s="6" t="s">
        <v>20922</v>
      </c>
      <c r="I10301" s="6">
        <v>529.125</v>
      </c>
      <c r="J10301" s="2">
        <f t="shared" si="160"/>
        <v>43748.233763414348</v>
      </c>
    </row>
    <row r="10302" spans="1:10" x14ac:dyDescent="0.25">
      <c r="A10302" s="7" t="s">
        <v>20923</v>
      </c>
      <c r="B10302" s="8">
        <v>403.125</v>
      </c>
      <c r="C10302" s="8">
        <v>20.478950000000001</v>
      </c>
      <c r="D10302" s="8">
        <v>91</v>
      </c>
      <c r="E10302" s="8">
        <v>0</v>
      </c>
      <c r="F10302" s="8">
        <v>0</v>
      </c>
      <c r="G10302" s="8">
        <v>0</v>
      </c>
      <c r="H10302" s="8" t="s">
        <v>20924</v>
      </c>
      <c r="I10302" s="8">
        <v>529.125</v>
      </c>
      <c r="J10302" s="3">
        <f t="shared" si="160"/>
        <v>43748.233846747687</v>
      </c>
    </row>
    <row r="10303" spans="1:10" x14ac:dyDescent="0.25">
      <c r="A10303" s="5" t="s">
        <v>20925</v>
      </c>
      <c r="B10303" s="6">
        <v>400</v>
      </c>
      <c r="C10303" s="6">
        <v>20.478950000000001</v>
      </c>
      <c r="D10303" s="6">
        <v>92</v>
      </c>
      <c r="E10303" s="6">
        <v>0</v>
      </c>
      <c r="F10303" s="6">
        <v>0</v>
      </c>
      <c r="G10303" s="6">
        <v>15</v>
      </c>
      <c r="H10303" s="6" t="s">
        <v>20926</v>
      </c>
      <c r="I10303" s="6">
        <v>528.9375</v>
      </c>
      <c r="J10303" s="2">
        <f t="shared" si="160"/>
        <v>43748.233918796293</v>
      </c>
    </row>
    <row r="10304" spans="1:10" x14ac:dyDescent="0.25">
      <c r="A10304" s="7" t="s">
        <v>20927</v>
      </c>
      <c r="B10304" s="8">
        <v>400</v>
      </c>
      <c r="C10304" s="8">
        <v>20.478950000000001</v>
      </c>
      <c r="D10304" s="8">
        <v>93</v>
      </c>
      <c r="E10304" s="8">
        <v>0</v>
      </c>
      <c r="F10304" s="8">
        <v>0</v>
      </c>
      <c r="G10304" s="8">
        <v>4</v>
      </c>
      <c r="H10304" s="8" t="s">
        <v>20928</v>
      </c>
      <c r="I10304" s="8">
        <v>528.1875</v>
      </c>
      <c r="J10304" s="3">
        <f t="shared" si="160"/>
        <v>43748.233990196757</v>
      </c>
    </row>
    <row r="10305" spans="1:10" x14ac:dyDescent="0.25">
      <c r="A10305" s="5" t="s">
        <v>20929</v>
      </c>
      <c r="B10305" s="6">
        <v>393.75</v>
      </c>
      <c r="C10305" s="6">
        <v>20.478950000000001</v>
      </c>
      <c r="D10305" s="6">
        <v>80</v>
      </c>
      <c r="E10305" s="6">
        <v>0</v>
      </c>
      <c r="F10305" s="6">
        <v>0</v>
      </c>
      <c r="G10305" s="6">
        <v>0</v>
      </c>
      <c r="H10305" s="6" t="s">
        <v>20930</v>
      </c>
      <c r="I10305" s="6">
        <v>526.6875</v>
      </c>
      <c r="J10305" s="2">
        <f t="shared" si="160"/>
        <v>43748.234274722221</v>
      </c>
    </row>
    <row r="10306" spans="1:10" x14ac:dyDescent="0.25">
      <c r="A10306" s="7" t="s">
        <v>20931</v>
      </c>
      <c r="B10306" s="8">
        <v>393.75</v>
      </c>
      <c r="C10306" s="8">
        <v>20.478950000000001</v>
      </c>
      <c r="D10306" s="8">
        <v>89</v>
      </c>
      <c r="E10306" s="8">
        <v>0</v>
      </c>
      <c r="F10306" s="8">
        <v>0</v>
      </c>
      <c r="G10306" s="8">
        <v>0</v>
      </c>
      <c r="H10306" s="8" t="s">
        <v>20932</v>
      </c>
      <c r="I10306" s="8">
        <v>526.6875</v>
      </c>
      <c r="J10306" s="3">
        <f t="shared" ref="J10306:J10369" si="161">(H10306/86400000)+25569+(7/24)</f>
        <v>43748.234356759254</v>
      </c>
    </row>
    <row r="10307" spans="1:10" x14ac:dyDescent="0.25">
      <c r="A10307" s="5" t="s">
        <v>20933</v>
      </c>
      <c r="B10307" s="6">
        <v>412.5</v>
      </c>
      <c r="C10307" s="6">
        <v>20.478950000000001</v>
      </c>
      <c r="D10307" s="6">
        <v>91</v>
      </c>
      <c r="E10307" s="6">
        <v>0</v>
      </c>
      <c r="F10307" s="6">
        <v>0</v>
      </c>
      <c r="G10307" s="6">
        <v>0</v>
      </c>
      <c r="H10307" s="6" t="s">
        <v>20934</v>
      </c>
      <c r="I10307" s="6">
        <v>532.125</v>
      </c>
      <c r="J10307" s="2">
        <f t="shared" si="161"/>
        <v>43748.234428194446</v>
      </c>
    </row>
    <row r="10308" spans="1:10" x14ac:dyDescent="0.25">
      <c r="A10308" s="7" t="s">
        <v>20935</v>
      </c>
      <c r="B10308" s="8">
        <v>393.75</v>
      </c>
      <c r="C10308" s="8">
        <v>20.426300000000001</v>
      </c>
      <c r="D10308" s="8">
        <v>92</v>
      </c>
      <c r="E10308" s="8">
        <v>0</v>
      </c>
      <c r="F10308" s="8">
        <v>0</v>
      </c>
      <c r="G10308" s="8">
        <v>0</v>
      </c>
      <c r="H10308" s="8" t="s">
        <v>20936</v>
      </c>
      <c r="I10308" s="8">
        <v>526.6875</v>
      </c>
      <c r="J10308" s="3">
        <f t="shared" si="161"/>
        <v>43748.234500393512</v>
      </c>
    </row>
    <row r="10309" spans="1:10" x14ac:dyDescent="0.25">
      <c r="A10309" s="5" t="s">
        <v>20937</v>
      </c>
      <c r="B10309" s="6">
        <v>393.75</v>
      </c>
      <c r="C10309" s="6">
        <v>20.478950000000001</v>
      </c>
      <c r="D10309" s="6">
        <v>94</v>
      </c>
      <c r="E10309" s="6">
        <v>0</v>
      </c>
      <c r="F10309" s="6">
        <v>0</v>
      </c>
      <c r="G10309" s="6">
        <v>0</v>
      </c>
      <c r="H10309" s="6" t="s">
        <v>20938</v>
      </c>
      <c r="I10309" s="6">
        <v>526.5</v>
      </c>
      <c r="J10309" s="2">
        <f t="shared" si="161"/>
        <v>43748.234571759262</v>
      </c>
    </row>
    <row r="10310" spans="1:10" x14ac:dyDescent="0.25">
      <c r="A10310" s="7" t="s">
        <v>20939</v>
      </c>
      <c r="B10310" s="8">
        <v>393.75</v>
      </c>
      <c r="C10310" s="8">
        <v>20.478950000000001</v>
      </c>
      <c r="D10310" s="8">
        <v>95</v>
      </c>
      <c r="E10310" s="8">
        <v>0</v>
      </c>
      <c r="F10310" s="8">
        <v>0</v>
      </c>
      <c r="G10310" s="8">
        <v>11</v>
      </c>
      <c r="H10310" s="8" t="s">
        <v>20940</v>
      </c>
      <c r="I10310" s="8">
        <v>526.6875</v>
      </c>
      <c r="J10310" s="3">
        <f t="shared" si="161"/>
        <v>43748.234642997682</v>
      </c>
    </row>
    <row r="10311" spans="1:10" x14ac:dyDescent="0.25">
      <c r="A10311" s="5" t="s">
        <v>20941</v>
      </c>
      <c r="B10311" s="6">
        <v>393.75</v>
      </c>
      <c r="C10311" s="6">
        <v>20.478950000000001</v>
      </c>
      <c r="D10311" s="6">
        <v>95</v>
      </c>
      <c r="E10311" s="6">
        <v>0</v>
      </c>
      <c r="F10311" s="6">
        <v>0</v>
      </c>
      <c r="G10311" s="6">
        <v>5</v>
      </c>
      <c r="H10311" s="6" t="s">
        <v>20942</v>
      </c>
      <c r="I10311" s="6">
        <v>526.6875</v>
      </c>
      <c r="J10311" s="2">
        <f t="shared" si="161"/>
        <v>43748.234714363425</v>
      </c>
    </row>
    <row r="10312" spans="1:10" x14ac:dyDescent="0.25">
      <c r="A10312" s="7" t="s">
        <v>20943</v>
      </c>
      <c r="B10312" s="8">
        <v>393.75</v>
      </c>
      <c r="C10312" s="8">
        <v>20.478950000000001</v>
      </c>
      <c r="D10312" s="8">
        <v>95</v>
      </c>
      <c r="E10312" s="8">
        <v>0</v>
      </c>
      <c r="F10312" s="8">
        <v>0</v>
      </c>
      <c r="G10312" s="8">
        <v>5</v>
      </c>
      <c r="H10312" s="8" t="s">
        <v>20944</v>
      </c>
      <c r="I10312" s="8">
        <v>526.6875</v>
      </c>
      <c r="J10312" s="3">
        <f t="shared" si="161"/>
        <v>43748.234786469904</v>
      </c>
    </row>
    <row r="10313" spans="1:10" x14ac:dyDescent="0.25">
      <c r="A10313" s="5" t="s">
        <v>20945</v>
      </c>
      <c r="B10313" s="6">
        <v>393.75</v>
      </c>
      <c r="C10313" s="6">
        <v>20.478950000000001</v>
      </c>
      <c r="D10313" s="6">
        <v>92</v>
      </c>
      <c r="E10313" s="6">
        <v>0</v>
      </c>
      <c r="F10313" s="6">
        <v>0</v>
      </c>
      <c r="G10313" s="6">
        <v>6</v>
      </c>
      <c r="H10313" s="6" t="s">
        <v>20946</v>
      </c>
      <c r="I10313" s="6">
        <v>526.6875</v>
      </c>
      <c r="J10313" s="2">
        <f t="shared" si="161"/>
        <v>43748.234857800919</v>
      </c>
    </row>
    <row r="10314" spans="1:10" x14ac:dyDescent="0.25">
      <c r="A10314" s="7" t="s">
        <v>20947</v>
      </c>
      <c r="B10314" s="8">
        <v>393.75</v>
      </c>
      <c r="C10314" s="8">
        <v>20.478950000000001</v>
      </c>
      <c r="D10314" s="8">
        <v>93</v>
      </c>
      <c r="E10314" s="8">
        <v>0</v>
      </c>
      <c r="F10314" s="8">
        <v>0</v>
      </c>
      <c r="G10314" s="8">
        <v>5</v>
      </c>
      <c r="H10314" s="8" t="s">
        <v>20948</v>
      </c>
      <c r="I10314" s="8">
        <v>526.6875</v>
      </c>
      <c r="J10314" s="3">
        <f t="shared" si="161"/>
        <v>43748.234929120365</v>
      </c>
    </row>
    <row r="10315" spans="1:10" x14ac:dyDescent="0.25">
      <c r="A10315" s="5" t="s">
        <v>20949</v>
      </c>
      <c r="B10315" s="6">
        <v>396.875</v>
      </c>
      <c r="C10315" s="6">
        <v>20.478950000000001</v>
      </c>
      <c r="D10315" s="6">
        <v>93</v>
      </c>
      <c r="E10315" s="6">
        <v>0</v>
      </c>
      <c r="F10315" s="6">
        <v>0</v>
      </c>
      <c r="G10315" s="6">
        <v>9</v>
      </c>
      <c r="H10315" s="6" t="s">
        <v>20950</v>
      </c>
      <c r="I10315" s="6">
        <v>527.4375</v>
      </c>
      <c r="J10315" s="2">
        <f t="shared" si="161"/>
        <v>43748.235006192124</v>
      </c>
    </row>
    <row r="10316" spans="1:10" x14ac:dyDescent="0.25">
      <c r="A10316" s="7" t="s">
        <v>20951</v>
      </c>
      <c r="B10316" s="8">
        <v>396.875</v>
      </c>
      <c r="C10316" s="8">
        <v>20.426300000000001</v>
      </c>
      <c r="D10316" s="8">
        <v>93</v>
      </c>
      <c r="E10316" s="8">
        <v>0</v>
      </c>
      <c r="F10316" s="8">
        <v>0</v>
      </c>
      <c r="G10316" s="8">
        <v>2</v>
      </c>
      <c r="H10316" s="8" t="s">
        <v>20952</v>
      </c>
      <c r="I10316" s="8">
        <v>527.4375</v>
      </c>
      <c r="J10316" s="3">
        <f t="shared" si="161"/>
        <v>43748.235084664346</v>
      </c>
    </row>
    <row r="10317" spans="1:10" x14ac:dyDescent="0.25">
      <c r="A10317" s="5" t="s">
        <v>20953</v>
      </c>
      <c r="B10317" s="6">
        <v>396.875</v>
      </c>
      <c r="C10317" s="6">
        <v>20.478950000000001</v>
      </c>
      <c r="D10317" s="6">
        <v>95</v>
      </c>
      <c r="E10317" s="6">
        <v>0</v>
      </c>
      <c r="F10317" s="6">
        <v>0</v>
      </c>
      <c r="G10317" s="6">
        <v>7</v>
      </c>
      <c r="H10317" s="6" t="s">
        <v>20954</v>
      </c>
      <c r="I10317" s="6">
        <v>527.4375</v>
      </c>
      <c r="J10317" s="2">
        <f t="shared" si="161"/>
        <v>43748.235155972223</v>
      </c>
    </row>
    <row r="10318" spans="1:10" x14ac:dyDescent="0.25">
      <c r="A10318" s="7" t="s">
        <v>20955</v>
      </c>
      <c r="B10318" s="8">
        <v>396.875</v>
      </c>
      <c r="C10318" s="8">
        <v>20.426300000000001</v>
      </c>
      <c r="D10318" s="8">
        <v>95</v>
      </c>
      <c r="E10318" s="8">
        <v>0</v>
      </c>
      <c r="F10318" s="8">
        <v>0</v>
      </c>
      <c r="G10318" s="8">
        <v>8</v>
      </c>
      <c r="H10318" s="8" t="s">
        <v>20956</v>
      </c>
      <c r="I10318" s="8">
        <v>527.4375</v>
      </c>
      <c r="J10318" s="3">
        <f t="shared" si="161"/>
        <v>43748.235227256941</v>
      </c>
    </row>
    <row r="10319" spans="1:10" x14ac:dyDescent="0.25">
      <c r="A10319" s="5" t="s">
        <v>20957</v>
      </c>
      <c r="B10319" s="6">
        <v>415.625</v>
      </c>
      <c r="C10319" s="6">
        <v>20.478950000000001</v>
      </c>
      <c r="D10319" s="6">
        <v>95</v>
      </c>
      <c r="E10319" s="6">
        <v>0</v>
      </c>
      <c r="F10319" s="6">
        <v>0</v>
      </c>
      <c r="G10319" s="6">
        <v>3</v>
      </c>
      <c r="H10319" s="6" t="s">
        <v>20958</v>
      </c>
      <c r="I10319" s="6">
        <v>533.25</v>
      </c>
      <c r="J10319" s="2">
        <f t="shared" si="161"/>
        <v>43748.235298611107</v>
      </c>
    </row>
    <row r="10320" spans="1:10" x14ac:dyDescent="0.25">
      <c r="A10320" s="7" t="s">
        <v>20959</v>
      </c>
      <c r="B10320" s="8">
        <v>393.75</v>
      </c>
      <c r="C10320" s="8">
        <v>20.478950000000001</v>
      </c>
      <c r="D10320" s="8">
        <v>95</v>
      </c>
      <c r="E10320" s="8">
        <v>0</v>
      </c>
      <c r="F10320" s="8">
        <v>0</v>
      </c>
      <c r="G10320" s="8">
        <v>1</v>
      </c>
      <c r="H10320" s="8" t="s">
        <v>20960</v>
      </c>
      <c r="I10320" s="8">
        <v>526.6875</v>
      </c>
      <c r="J10320" s="3">
        <f t="shared" si="161"/>
        <v>43748.235369918977</v>
      </c>
    </row>
    <row r="10321" spans="1:10" x14ac:dyDescent="0.25">
      <c r="A10321" s="5" t="s">
        <v>20961</v>
      </c>
      <c r="B10321" s="6">
        <v>393.75</v>
      </c>
      <c r="C10321" s="6">
        <v>20.426300000000001</v>
      </c>
      <c r="D10321" s="6">
        <v>94</v>
      </c>
      <c r="E10321" s="6">
        <v>0</v>
      </c>
      <c r="F10321" s="6">
        <v>0</v>
      </c>
      <c r="G10321" s="6">
        <v>0</v>
      </c>
      <c r="H10321" s="6" t="s">
        <v>20962</v>
      </c>
      <c r="I10321" s="6">
        <v>526.6875</v>
      </c>
      <c r="J10321" s="2">
        <f t="shared" si="161"/>
        <v>43748.235442002311</v>
      </c>
    </row>
    <row r="10322" spans="1:10" x14ac:dyDescent="0.25">
      <c r="A10322" s="7" t="s">
        <v>20963</v>
      </c>
      <c r="B10322" s="8">
        <v>393.75</v>
      </c>
      <c r="C10322" s="8">
        <v>20.478950000000001</v>
      </c>
      <c r="D10322" s="8">
        <v>92</v>
      </c>
      <c r="E10322" s="8">
        <v>0</v>
      </c>
      <c r="F10322" s="8">
        <v>0</v>
      </c>
      <c r="G10322" s="8">
        <v>11</v>
      </c>
      <c r="H10322" s="8" t="s">
        <v>20964</v>
      </c>
      <c r="I10322" s="8">
        <v>526.5</v>
      </c>
      <c r="J10322" s="3">
        <f t="shared" si="161"/>
        <v>43748.23551337963</v>
      </c>
    </row>
    <row r="10323" spans="1:10" x14ac:dyDescent="0.25">
      <c r="A10323" s="5" t="s">
        <v>20965</v>
      </c>
      <c r="B10323" s="6">
        <v>393.75</v>
      </c>
      <c r="C10323" s="6">
        <v>20.426300000000001</v>
      </c>
      <c r="D10323" s="6">
        <v>93</v>
      </c>
      <c r="E10323" s="6">
        <v>0</v>
      </c>
      <c r="F10323" s="6">
        <v>0</v>
      </c>
      <c r="G10323" s="6">
        <v>3</v>
      </c>
      <c r="H10323" s="6" t="s">
        <v>20966</v>
      </c>
      <c r="I10323" s="6">
        <v>526.6875</v>
      </c>
      <c r="J10323" s="2">
        <f t="shared" si="161"/>
        <v>43748.23558541666</v>
      </c>
    </row>
    <row r="10324" spans="1:10" x14ac:dyDescent="0.25">
      <c r="A10324" s="7" t="s">
        <v>20967</v>
      </c>
      <c r="B10324" s="8">
        <v>396.875</v>
      </c>
      <c r="C10324" s="8">
        <v>20.478950000000001</v>
      </c>
      <c r="D10324" s="8">
        <v>92</v>
      </c>
      <c r="E10324" s="8">
        <v>0</v>
      </c>
      <c r="F10324" s="8">
        <v>0</v>
      </c>
      <c r="G10324" s="8">
        <v>4</v>
      </c>
      <c r="H10324" s="8" t="s">
        <v>20968</v>
      </c>
      <c r="I10324" s="8">
        <v>527.4375</v>
      </c>
      <c r="J10324" s="3">
        <f t="shared" si="161"/>
        <v>43748.235656898141</v>
      </c>
    </row>
    <row r="10325" spans="1:10" x14ac:dyDescent="0.25">
      <c r="A10325" s="5" t="s">
        <v>20969</v>
      </c>
      <c r="B10325" s="6">
        <v>396.875</v>
      </c>
      <c r="C10325" s="6">
        <v>20.478950000000001</v>
      </c>
      <c r="D10325" s="6">
        <v>92</v>
      </c>
      <c r="E10325" s="6">
        <v>0</v>
      </c>
      <c r="F10325" s="6">
        <v>0</v>
      </c>
      <c r="G10325" s="6">
        <v>2</v>
      </c>
      <c r="H10325" s="6" t="s">
        <v>20970</v>
      </c>
      <c r="I10325" s="6">
        <v>527.4375</v>
      </c>
      <c r="J10325" s="2">
        <f t="shared" si="161"/>
        <v>43748.235728171298</v>
      </c>
    </row>
    <row r="10326" spans="1:10" x14ac:dyDescent="0.25">
      <c r="A10326" s="7" t="s">
        <v>20971</v>
      </c>
      <c r="B10326" s="8">
        <v>396.875</v>
      </c>
      <c r="C10326" s="8">
        <v>20.478950000000001</v>
      </c>
      <c r="D10326" s="8">
        <v>92</v>
      </c>
      <c r="E10326" s="8">
        <v>0</v>
      </c>
      <c r="F10326" s="8">
        <v>0</v>
      </c>
      <c r="G10326" s="8">
        <v>7</v>
      </c>
      <c r="H10326" s="8" t="s">
        <v>20972</v>
      </c>
      <c r="I10326" s="8">
        <v>527.4375</v>
      </c>
      <c r="J10326" s="3">
        <f t="shared" si="161"/>
        <v>43748.23579947916</v>
      </c>
    </row>
    <row r="10327" spans="1:10" x14ac:dyDescent="0.25">
      <c r="A10327" s="5" t="s">
        <v>20973</v>
      </c>
      <c r="B10327" s="6">
        <v>396.875</v>
      </c>
      <c r="C10327" s="6">
        <v>20.426300000000001</v>
      </c>
      <c r="D10327" s="6">
        <v>92</v>
      </c>
      <c r="E10327" s="6">
        <v>0</v>
      </c>
      <c r="F10327" s="6">
        <v>0</v>
      </c>
      <c r="G10327" s="6">
        <v>12</v>
      </c>
      <c r="H10327" s="6" t="s">
        <v>20974</v>
      </c>
      <c r="I10327" s="6">
        <v>527.4375</v>
      </c>
      <c r="J10327" s="2">
        <f t="shared" si="161"/>
        <v>43748.23587172453</v>
      </c>
    </row>
    <row r="10328" spans="1:10" x14ac:dyDescent="0.25">
      <c r="A10328" s="7" t="s">
        <v>20975</v>
      </c>
      <c r="B10328" s="8">
        <v>393.75</v>
      </c>
      <c r="C10328" s="8">
        <v>20.478950000000001</v>
      </c>
      <c r="D10328" s="8">
        <v>92</v>
      </c>
      <c r="E10328" s="8">
        <v>0</v>
      </c>
      <c r="F10328" s="8">
        <v>0</v>
      </c>
      <c r="G10328" s="8">
        <v>6</v>
      </c>
      <c r="H10328" s="8" t="s">
        <v>20976</v>
      </c>
      <c r="I10328" s="8">
        <v>526.6875</v>
      </c>
      <c r="J10328" s="3">
        <f t="shared" si="161"/>
        <v>43748.235942141204</v>
      </c>
    </row>
    <row r="10329" spans="1:10" x14ac:dyDescent="0.25">
      <c r="A10329" s="5" t="s">
        <v>20977</v>
      </c>
      <c r="B10329" s="6">
        <v>393.75</v>
      </c>
      <c r="C10329" s="6">
        <v>20.426300000000001</v>
      </c>
      <c r="D10329" s="6">
        <v>94</v>
      </c>
      <c r="E10329" s="6">
        <v>0</v>
      </c>
      <c r="F10329" s="6">
        <v>0</v>
      </c>
      <c r="G10329" s="6">
        <v>5</v>
      </c>
      <c r="H10329" s="6" t="s">
        <v>20978</v>
      </c>
      <c r="I10329" s="6">
        <v>526.6875</v>
      </c>
      <c r="J10329" s="2">
        <f t="shared" si="161"/>
        <v>43748.236014305548</v>
      </c>
    </row>
    <row r="10330" spans="1:10" x14ac:dyDescent="0.25">
      <c r="A10330" s="7" t="s">
        <v>20979</v>
      </c>
      <c r="B10330" s="8">
        <v>393.75</v>
      </c>
      <c r="C10330" s="8">
        <v>20.478950000000001</v>
      </c>
      <c r="D10330" s="8">
        <v>94</v>
      </c>
      <c r="E10330" s="8">
        <v>0</v>
      </c>
      <c r="F10330" s="8">
        <v>0</v>
      </c>
      <c r="G10330" s="8">
        <v>5</v>
      </c>
      <c r="H10330" s="8" t="s">
        <v>20980</v>
      </c>
      <c r="I10330" s="8">
        <v>526.6875</v>
      </c>
      <c r="J10330" s="3">
        <f t="shared" si="161"/>
        <v>43748.236085520832</v>
      </c>
    </row>
    <row r="10331" spans="1:10" x14ac:dyDescent="0.25">
      <c r="A10331" s="5" t="s">
        <v>20981</v>
      </c>
      <c r="B10331" s="6">
        <v>418.75</v>
      </c>
      <c r="C10331" s="6">
        <v>20.478950000000001</v>
      </c>
      <c r="D10331" s="6">
        <v>94</v>
      </c>
      <c r="E10331" s="6">
        <v>0</v>
      </c>
      <c r="F10331" s="6">
        <v>0</v>
      </c>
      <c r="G10331" s="6">
        <v>8</v>
      </c>
      <c r="H10331" s="6" t="s">
        <v>20982</v>
      </c>
      <c r="I10331" s="6">
        <v>534</v>
      </c>
      <c r="J10331" s="2">
        <f t="shared" si="161"/>
        <v>43748.236168993055</v>
      </c>
    </row>
    <row r="10332" spans="1:10" x14ac:dyDescent="0.25">
      <c r="A10332" s="7" t="s">
        <v>20983</v>
      </c>
      <c r="B10332" s="8">
        <v>396.875</v>
      </c>
      <c r="C10332" s="8">
        <v>20.478950000000001</v>
      </c>
      <c r="D10332" s="8">
        <v>93</v>
      </c>
      <c r="E10332" s="8">
        <v>0</v>
      </c>
      <c r="F10332" s="8">
        <v>0</v>
      </c>
      <c r="G10332" s="8">
        <v>4</v>
      </c>
      <c r="H10332" s="8" t="s">
        <v>20984</v>
      </c>
      <c r="I10332" s="8">
        <v>527.4375</v>
      </c>
      <c r="J10332" s="3">
        <f t="shared" si="161"/>
        <v>43748.236241157407</v>
      </c>
    </row>
    <row r="10333" spans="1:10" x14ac:dyDescent="0.25">
      <c r="A10333" s="5" t="s">
        <v>20985</v>
      </c>
      <c r="B10333" s="6">
        <v>400</v>
      </c>
      <c r="C10333" s="6">
        <v>20.426300000000001</v>
      </c>
      <c r="D10333" s="6">
        <v>95</v>
      </c>
      <c r="E10333" s="6">
        <v>0</v>
      </c>
      <c r="F10333" s="6">
        <v>0</v>
      </c>
      <c r="G10333" s="6">
        <v>8</v>
      </c>
      <c r="H10333" s="6" t="s">
        <v>20986</v>
      </c>
      <c r="I10333" s="6">
        <v>528.1875</v>
      </c>
      <c r="J10333" s="2">
        <f t="shared" si="161"/>
        <v>43748.236312384259</v>
      </c>
    </row>
    <row r="10334" spans="1:10" x14ac:dyDescent="0.25">
      <c r="A10334" s="7" t="s">
        <v>20987</v>
      </c>
      <c r="B10334" s="8">
        <v>400</v>
      </c>
      <c r="C10334" s="8">
        <v>20.426300000000001</v>
      </c>
      <c r="D10334" s="8">
        <v>95</v>
      </c>
      <c r="E10334" s="8">
        <v>0</v>
      </c>
      <c r="F10334" s="8">
        <v>0</v>
      </c>
      <c r="G10334" s="8">
        <v>8</v>
      </c>
      <c r="H10334" s="8" t="s">
        <v>20988</v>
      </c>
      <c r="I10334" s="8">
        <v>528.1875</v>
      </c>
      <c r="J10334" s="3">
        <f t="shared" si="161"/>
        <v>43748.236383749994</v>
      </c>
    </row>
    <row r="10335" spans="1:10" x14ac:dyDescent="0.25">
      <c r="A10335" s="5" t="s">
        <v>20989</v>
      </c>
      <c r="B10335" s="6">
        <v>400</v>
      </c>
      <c r="C10335" s="6">
        <v>20.478950000000001</v>
      </c>
      <c r="D10335" s="6">
        <v>95</v>
      </c>
      <c r="E10335" s="6">
        <v>0</v>
      </c>
      <c r="F10335" s="6">
        <v>0</v>
      </c>
      <c r="G10335" s="6">
        <v>7</v>
      </c>
      <c r="H10335" s="6" t="s">
        <v>20990</v>
      </c>
      <c r="I10335" s="6">
        <v>528.1875</v>
      </c>
      <c r="J10335" s="2">
        <f t="shared" si="161"/>
        <v>43748.236455787039</v>
      </c>
    </row>
    <row r="10336" spans="1:10" x14ac:dyDescent="0.25">
      <c r="A10336" s="7" t="s">
        <v>20991</v>
      </c>
      <c r="B10336" s="8">
        <v>400</v>
      </c>
      <c r="C10336" s="8">
        <v>20.478950000000001</v>
      </c>
      <c r="D10336" s="8">
        <v>95</v>
      </c>
      <c r="E10336" s="8">
        <v>0</v>
      </c>
      <c r="F10336" s="8">
        <v>0</v>
      </c>
      <c r="G10336" s="8">
        <v>3</v>
      </c>
      <c r="H10336" s="8" t="s">
        <v>20992</v>
      </c>
      <c r="I10336" s="8">
        <v>528.1875</v>
      </c>
      <c r="J10336" s="3">
        <f t="shared" si="161"/>
        <v>43748.236527256937</v>
      </c>
    </row>
    <row r="10337" spans="1:10" x14ac:dyDescent="0.25">
      <c r="A10337" s="5" t="s">
        <v>20993</v>
      </c>
      <c r="B10337" s="6">
        <v>400</v>
      </c>
      <c r="C10337" s="6">
        <v>20.478950000000001</v>
      </c>
      <c r="D10337" s="6">
        <v>95</v>
      </c>
      <c r="E10337" s="6">
        <v>0</v>
      </c>
      <c r="F10337" s="6">
        <v>0</v>
      </c>
      <c r="G10337" s="6">
        <v>6</v>
      </c>
      <c r="H10337" s="6" t="s">
        <v>20994</v>
      </c>
      <c r="I10337" s="6">
        <v>528.1875</v>
      </c>
      <c r="J10337" s="2">
        <f t="shared" si="161"/>
        <v>43748.236598449068</v>
      </c>
    </row>
    <row r="10338" spans="1:10" x14ac:dyDescent="0.25">
      <c r="A10338" s="7" t="s">
        <v>20995</v>
      </c>
      <c r="B10338" s="8">
        <v>400</v>
      </c>
      <c r="C10338" s="8">
        <v>20.478950000000001</v>
      </c>
      <c r="D10338" s="8">
        <v>96</v>
      </c>
      <c r="E10338" s="8">
        <v>0</v>
      </c>
      <c r="F10338" s="8">
        <v>0</v>
      </c>
      <c r="G10338" s="8">
        <v>3</v>
      </c>
      <c r="H10338" s="8" t="s">
        <v>20996</v>
      </c>
      <c r="I10338" s="8">
        <v>528.375</v>
      </c>
      <c r="J10338" s="3">
        <f t="shared" si="161"/>
        <v>43748.236693935185</v>
      </c>
    </row>
    <row r="10339" spans="1:10" x14ac:dyDescent="0.25">
      <c r="A10339" s="5" t="s">
        <v>20997</v>
      </c>
      <c r="B10339" s="6">
        <v>403.125</v>
      </c>
      <c r="C10339" s="6">
        <v>20.426300000000001</v>
      </c>
      <c r="D10339" s="6">
        <v>95</v>
      </c>
      <c r="E10339" s="6">
        <v>0</v>
      </c>
      <c r="F10339" s="6">
        <v>0</v>
      </c>
      <c r="G10339" s="6">
        <v>3</v>
      </c>
      <c r="H10339" s="6" t="s">
        <v>20998</v>
      </c>
      <c r="I10339" s="6">
        <v>529.125</v>
      </c>
      <c r="J10339" s="2">
        <f t="shared" si="161"/>
        <v>43748.236789305556</v>
      </c>
    </row>
    <row r="10340" spans="1:10" x14ac:dyDescent="0.25">
      <c r="A10340" s="7" t="s">
        <v>20999</v>
      </c>
      <c r="B10340" s="8">
        <v>403.125</v>
      </c>
      <c r="C10340" s="8">
        <v>20.478950000000001</v>
      </c>
      <c r="D10340" s="8">
        <v>93</v>
      </c>
      <c r="E10340" s="8">
        <v>0</v>
      </c>
      <c r="F10340" s="8">
        <v>0</v>
      </c>
      <c r="G10340" s="8">
        <v>4</v>
      </c>
      <c r="H10340" s="8" t="s">
        <v>21000</v>
      </c>
      <c r="I10340" s="8">
        <v>529.125</v>
      </c>
      <c r="J10340" s="3">
        <f t="shared" si="161"/>
        <v>43748.236860590274</v>
      </c>
    </row>
    <row r="10341" spans="1:10" x14ac:dyDescent="0.25">
      <c r="A10341" s="5" t="s">
        <v>21001</v>
      </c>
      <c r="B10341" s="6">
        <v>400</v>
      </c>
      <c r="C10341" s="6">
        <v>20.478950000000001</v>
      </c>
      <c r="D10341" s="6">
        <v>91</v>
      </c>
      <c r="E10341" s="6">
        <v>0</v>
      </c>
      <c r="F10341" s="6">
        <v>0</v>
      </c>
      <c r="G10341" s="6">
        <v>5</v>
      </c>
      <c r="H10341" s="6" t="s">
        <v>21002</v>
      </c>
      <c r="I10341" s="6">
        <v>528.9375</v>
      </c>
      <c r="J10341" s="2">
        <f t="shared" si="161"/>
        <v>43748.236932800923</v>
      </c>
    </row>
    <row r="10342" spans="1:10" x14ac:dyDescent="0.25">
      <c r="A10342" s="7" t="s">
        <v>21003</v>
      </c>
      <c r="B10342" s="8">
        <v>403.125</v>
      </c>
      <c r="C10342" s="8">
        <v>20.478950000000001</v>
      </c>
      <c r="D10342" s="8">
        <v>91</v>
      </c>
      <c r="E10342" s="8">
        <v>0</v>
      </c>
      <c r="F10342" s="8">
        <v>0</v>
      </c>
      <c r="G10342" s="8">
        <v>0</v>
      </c>
      <c r="H10342" s="8" t="s">
        <v>21004</v>
      </c>
      <c r="I10342" s="8">
        <v>529.125</v>
      </c>
      <c r="J10342" s="3">
        <f t="shared" si="161"/>
        <v>43748.237016134255</v>
      </c>
    </row>
    <row r="10343" spans="1:10" x14ac:dyDescent="0.25">
      <c r="A10343" s="5" t="s">
        <v>21005</v>
      </c>
      <c r="B10343" s="6">
        <v>403.125</v>
      </c>
      <c r="C10343" s="6">
        <v>20.478950000000001</v>
      </c>
      <c r="D10343" s="6">
        <v>92</v>
      </c>
      <c r="E10343" s="6">
        <v>0</v>
      </c>
      <c r="F10343" s="6">
        <v>0</v>
      </c>
      <c r="G10343" s="6">
        <v>0</v>
      </c>
      <c r="H10343" s="6" t="s">
        <v>21006</v>
      </c>
      <c r="I10343" s="6">
        <v>529.125</v>
      </c>
      <c r="J10343" s="2">
        <f t="shared" si="161"/>
        <v>43748.237087453701</v>
      </c>
    </row>
    <row r="10344" spans="1:10" x14ac:dyDescent="0.25">
      <c r="A10344" s="7" t="s">
        <v>21007</v>
      </c>
      <c r="B10344" s="8">
        <v>425</v>
      </c>
      <c r="C10344" s="8">
        <v>20.478950000000001</v>
      </c>
      <c r="D10344" s="8">
        <v>93</v>
      </c>
      <c r="E10344" s="8">
        <v>0</v>
      </c>
      <c r="F10344" s="8">
        <v>0</v>
      </c>
      <c r="G10344" s="8">
        <v>0</v>
      </c>
      <c r="H10344" s="8" t="s">
        <v>21008</v>
      </c>
      <c r="I10344" s="8">
        <v>536.25</v>
      </c>
      <c r="J10344" s="3">
        <f t="shared" si="161"/>
        <v>43748.237158750002</v>
      </c>
    </row>
    <row r="10345" spans="1:10" x14ac:dyDescent="0.25">
      <c r="A10345" s="5" t="s">
        <v>21009</v>
      </c>
      <c r="B10345" s="6">
        <v>396.875</v>
      </c>
      <c r="C10345" s="6">
        <v>20.426300000000001</v>
      </c>
      <c r="D10345" s="6">
        <v>93</v>
      </c>
      <c r="E10345" s="6">
        <v>0</v>
      </c>
      <c r="F10345" s="6">
        <v>0</v>
      </c>
      <c r="G10345" s="6">
        <v>0</v>
      </c>
      <c r="H10345" s="6" t="s">
        <v>21010</v>
      </c>
      <c r="I10345" s="6">
        <v>527.4375</v>
      </c>
      <c r="J10345" s="2">
        <f t="shared" si="161"/>
        <v>43748.237231701387</v>
      </c>
    </row>
    <row r="10346" spans="1:10" x14ac:dyDescent="0.25">
      <c r="A10346" s="7" t="s">
        <v>21011</v>
      </c>
      <c r="B10346" s="8">
        <v>396.875</v>
      </c>
      <c r="C10346" s="8">
        <v>20.478950000000001</v>
      </c>
      <c r="D10346" s="8">
        <v>94</v>
      </c>
      <c r="E10346" s="8">
        <v>0</v>
      </c>
      <c r="F10346" s="8">
        <v>0</v>
      </c>
      <c r="G10346" s="8">
        <v>2</v>
      </c>
      <c r="H10346" s="8" t="s">
        <v>21012</v>
      </c>
      <c r="I10346" s="8">
        <v>527.4375</v>
      </c>
      <c r="J10346" s="3">
        <f t="shared" si="161"/>
        <v>43748.23730221064</v>
      </c>
    </row>
    <row r="10347" spans="1:10" x14ac:dyDescent="0.25">
      <c r="A10347" s="5" t="s">
        <v>21013</v>
      </c>
      <c r="B10347" s="6">
        <v>393.75</v>
      </c>
      <c r="C10347" s="6">
        <v>20.478950000000001</v>
      </c>
      <c r="D10347" s="6">
        <v>94</v>
      </c>
      <c r="E10347" s="6">
        <v>0</v>
      </c>
      <c r="F10347" s="6">
        <v>0</v>
      </c>
      <c r="G10347" s="6">
        <v>12</v>
      </c>
      <c r="H10347" s="6" t="s">
        <v>21014</v>
      </c>
      <c r="I10347" s="6">
        <v>526.6875</v>
      </c>
      <c r="J10347" s="2">
        <f t="shared" si="161"/>
        <v>43748.237373553238</v>
      </c>
    </row>
    <row r="10348" spans="1:10" x14ac:dyDescent="0.25">
      <c r="A10348" s="7" t="s">
        <v>21015</v>
      </c>
      <c r="B10348" s="8">
        <v>393.75</v>
      </c>
      <c r="C10348" s="8">
        <v>20.426300000000001</v>
      </c>
      <c r="D10348" s="8">
        <v>94</v>
      </c>
      <c r="E10348" s="8">
        <v>0</v>
      </c>
      <c r="F10348" s="8">
        <v>0</v>
      </c>
      <c r="G10348" s="8">
        <v>7</v>
      </c>
      <c r="H10348" s="8" t="s">
        <v>21016</v>
      </c>
      <c r="I10348" s="8">
        <v>526.6875</v>
      </c>
      <c r="J10348" s="3">
        <f t="shared" si="161"/>
        <v>43748.237444907405</v>
      </c>
    </row>
    <row r="10349" spans="1:10" x14ac:dyDescent="0.25">
      <c r="A10349" s="5" t="s">
        <v>21017</v>
      </c>
      <c r="B10349" s="6">
        <v>393.75</v>
      </c>
      <c r="C10349" s="6">
        <v>20.478950000000001</v>
      </c>
      <c r="D10349" s="6">
        <v>96</v>
      </c>
      <c r="E10349" s="6">
        <v>0</v>
      </c>
      <c r="F10349" s="6">
        <v>0</v>
      </c>
      <c r="G10349" s="6">
        <v>10</v>
      </c>
      <c r="H10349" s="6" t="s">
        <v>21018</v>
      </c>
      <c r="I10349" s="6">
        <v>526.6875</v>
      </c>
      <c r="J10349" s="2">
        <f t="shared" si="161"/>
        <v>43748.237517083333</v>
      </c>
    </row>
    <row r="10350" spans="1:10" x14ac:dyDescent="0.25">
      <c r="A10350" s="7" t="s">
        <v>21019</v>
      </c>
      <c r="B10350" s="8">
        <v>393.75</v>
      </c>
      <c r="C10350" s="8">
        <v>20.478950000000001</v>
      </c>
      <c r="D10350" s="8">
        <v>96</v>
      </c>
      <c r="E10350" s="8">
        <v>0</v>
      </c>
      <c r="F10350" s="8">
        <v>0</v>
      </c>
      <c r="G10350" s="8">
        <v>15</v>
      </c>
      <c r="H10350" s="8" t="s">
        <v>21020</v>
      </c>
      <c r="I10350" s="8">
        <v>526.6875</v>
      </c>
      <c r="J10350" s="3">
        <f t="shared" si="161"/>
        <v>43748.237588379627</v>
      </c>
    </row>
    <row r="10351" spans="1:10" x14ac:dyDescent="0.25">
      <c r="A10351" s="5" t="s">
        <v>21021</v>
      </c>
      <c r="B10351" s="6">
        <v>393.75</v>
      </c>
      <c r="C10351" s="6">
        <v>20.478950000000001</v>
      </c>
      <c r="D10351" s="6">
        <v>96</v>
      </c>
      <c r="E10351" s="6">
        <v>0</v>
      </c>
      <c r="F10351" s="6">
        <v>0</v>
      </c>
      <c r="G10351" s="6">
        <v>12</v>
      </c>
      <c r="H10351" s="6" t="s">
        <v>21022</v>
      </c>
      <c r="I10351" s="6">
        <v>526.6875</v>
      </c>
      <c r="J10351" s="2">
        <f t="shared" si="161"/>
        <v>43748.237660486113</v>
      </c>
    </row>
    <row r="10352" spans="1:10" x14ac:dyDescent="0.25">
      <c r="A10352" s="7" t="s">
        <v>21023</v>
      </c>
      <c r="B10352" s="8">
        <v>393.75</v>
      </c>
      <c r="C10352" s="8">
        <v>20.478950000000001</v>
      </c>
      <c r="D10352" s="8">
        <v>99</v>
      </c>
      <c r="E10352" s="8">
        <v>0</v>
      </c>
      <c r="F10352" s="8">
        <v>0</v>
      </c>
      <c r="G10352" s="8">
        <v>2</v>
      </c>
      <c r="H10352" s="8" t="s">
        <v>21024</v>
      </c>
      <c r="I10352" s="8">
        <v>526.5</v>
      </c>
      <c r="J10352" s="3">
        <f t="shared" si="161"/>
        <v>43748.237733020833</v>
      </c>
    </row>
    <row r="10353" spans="1:10" x14ac:dyDescent="0.25">
      <c r="A10353" s="5" t="s">
        <v>21025</v>
      </c>
      <c r="B10353" s="6">
        <v>393.75</v>
      </c>
      <c r="C10353" s="6">
        <v>20.478950000000001</v>
      </c>
      <c r="D10353" s="6">
        <v>98</v>
      </c>
      <c r="E10353" s="6">
        <v>0</v>
      </c>
      <c r="F10353" s="6">
        <v>0</v>
      </c>
      <c r="G10353" s="6">
        <v>16</v>
      </c>
      <c r="H10353" s="6" t="s">
        <v>21026</v>
      </c>
      <c r="I10353" s="6">
        <v>526.6875</v>
      </c>
      <c r="J10353" s="2">
        <f t="shared" si="161"/>
        <v>43748.237815219902</v>
      </c>
    </row>
    <row r="10354" spans="1:10" x14ac:dyDescent="0.25">
      <c r="A10354" s="7" t="s">
        <v>21027</v>
      </c>
      <c r="B10354" s="8">
        <v>393.75</v>
      </c>
      <c r="C10354" s="8">
        <v>20.426300000000001</v>
      </c>
      <c r="D10354" s="8">
        <v>98</v>
      </c>
      <c r="E10354" s="8">
        <v>0</v>
      </c>
      <c r="F10354" s="8">
        <v>0</v>
      </c>
      <c r="G10354" s="8">
        <v>13</v>
      </c>
      <c r="H10354" s="8" t="s">
        <v>21028</v>
      </c>
      <c r="I10354" s="8">
        <v>526.6875</v>
      </c>
      <c r="J10354" s="3">
        <f t="shared" si="161"/>
        <v>43748.237886527779</v>
      </c>
    </row>
    <row r="10355" spans="1:10" x14ac:dyDescent="0.25">
      <c r="A10355" s="5" t="s">
        <v>21029</v>
      </c>
      <c r="B10355" s="6">
        <v>393.75</v>
      </c>
      <c r="C10355" s="6">
        <v>20.426300000000001</v>
      </c>
      <c r="D10355" s="6">
        <v>98</v>
      </c>
      <c r="E10355" s="6">
        <v>0</v>
      </c>
      <c r="F10355" s="6">
        <v>0</v>
      </c>
      <c r="G10355" s="6">
        <v>17</v>
      </c>
      <c r="H10355" s="6" t="s">
        <v>21030</v>
      </c>
      <c r="I10355" s="6">
        <v>526.6875</v>
      </c>
      <c r="J10355" s="2">
        <f t="shared" si="161"/>
        <v>43748.237957812496</v>
      </c>
    </row>
    <row r="10356" spans="1:10" x14ac:dyDescent="0.25">
      <c r="A10356" s="7" t="s">
        <v>21031</v>
      </c>
      <c r="B10356" s="8">
        <v>393.75</v>
      </c>
      <c r="C10356" s="8">
        <v>20.478950000000001</v>
      </c>
      <c r="D10356" s="8">
        <v>98</v>
      </c>
      <c r="E10356" s="8">
        <v>0</v>
      </c>
      <c r="F10356" s="8">
        <v>0</v>
      </c>
      <c r="G10356" s="8">
        <v>12</v>
      </c>
      <c r="H10356" s="8" t="s">
        <v>21032</v>
      </c>
      <c r="I10356" s="8">
        <v>526.6875</v>
      </c>
      <c r="J10356" s="3">
        <f t="shared" si="161"/>
        <v>43748.238029872686</v>
      </c>
    </row>
    <row r="10357" spans="1:10" x14ac:dyDescent="0.25">
      <c r="A10357" s="5" t="s">
        <v>21033</v>
      </c>
      <c r="B10357" s="6">
        <v>393.75</v>
      </c>
      <c r="C10357" s="6">
        <v>20.478950000000001</v>
      </c>
      <c r="D10357" s="6">
        <v>98</v>
      </c>
      <c r="E10357" s="6">
        <v>0</v>
      </c>
      <c r="F10357" s="6">
        <v>0</v>
      </c>
      <c r="G10357" s="6">
        <v>18</v>
      </c>
      <c r="H10357" s="6" t="s">
        <v>21034</v>
      </c>
      <c r="I10357" s="6">
        <v>526.5</v>
      </c>
      <c r="J10357" s="2">
        <f t="shared" si="161"/>
        <v>43748.238101284718</v>
      </c>
    </row>
    <row r="10358" spans="1:10" x14ac:dyDescent="0.25">
      <c r="A10358" s="7" t="s">
        <v>21035</v>
      </c>
      <c r="B10358" s="8">
        <v>393.75</v>
      </c>
      <c r="C10358" s="8">
        <v>20.478950000000001</v>
      </c>
      <c r="D10358" s="8">
        <v>97</v>
      </c>
      <c r="E10358" s="8">
        <v>0</v>
      </c>
      <c r="F10358" s="8">
        <v>0</v>
      </c>
      <c r="G10358" s="8">
        <v>15</v>
      </c>
      <c r="H10358" s="8" t="s">
        <v>21036</v>
      </c>
      <c r="I10358" s="8">
        <v>526.5</v>
      </c>
      <c r="J10358" s="3">
        <f t="shared" si="161"/>
        <v>43748.23817261574</v>
      </c>
    </row>
    <row r="10359" spans="1:10" x14ac:dyDescent="0.25">
      <c r="A10359" s="5" t="s">
        <v>21037</v>
      </c>
      <c r="B10359" s="6">
        <v>396.875</v>
      </c>
      <c r="C10359" s="6">
        <v>20.478950000000001</v>
      </c>
      <c r="D10359" s="6">
        <v>97</v>
      </c>
      <c r="E10359" s="6">
        <v>0</v>
      </c>
      <c r="F10359" s="6">
        <v>0</v>
      </c>
      <c r="G10359" s="6">
        <v>12</v>
      </c>
      <c r="H10359" s="6" t="s">
        <v>21038</v>
      </c>
      <c r="I10359" s="6">
        <v>527.4375</v>
      </c>
      <c r="J10359" s="2">
        <f t="shared" si="161"/>
        <v>43748.23824392361</v>
      </c>
    </row>
    <row r="10360" spans="1:10" x14ac:dyDescent="0.25">
      <c r="A10360" s="7" t="s">
        <v>21039</v>
      </c>
      <c r="B10360" s="8">
        <v>396.875</v>
      </c>
      <c r="C10360" s="8">
        <v>20.478950000000001</v>
      </c>
      <c r="D10360" s="8">
        <v>97</v>
      </c>
      <c r="E10360" s="8">
        <v>0</v>
      </c>
      <c r="F10360" s="8">
        <v>0</v>
      </c>
      <c r="G10360" s="8">
        <v>5</v>
      </c>
      <c r="H10360" s="8" t="s">
        <v>21040</v>
      </c>
      <c r="I10360" s="8">
        <v>527.4375</v>
      </c>
      <c r="J10360" s="3">
        <f t="shared" si="161"/>
        <v>43748.238316157403</v>
      </c>
    </row>
    <row r="10361" spans="1:10" x14ac:dyDescent="0.25">
      <c r="A10361" s="5" t="s">
        <v>21041</v>
      </c>
      <c r="B10361" s="6">
        <v>400</v>
      </c>
      <c r="C10361" s="6">
        <v>20.478950000000001</v>
      </c>
      <c r="D10361" s="6">
        <v>97</v>
      </c>
      <c r="E10361" s="6">
        <v>0</v>
      </c>
      <c r="F10361" s="6">
        <v>0</v>
      </c>
      <c r="G10361" s="6">
        <v>17</v>
      </c>
      <c r="H10361" s="6" t="s">
        <v>21042</v>
      </c>
      <c r="I10361" s="6">
        <v>528.1875</v>
      </c>
      <c r="J10361" s="2">
        <f t="shared" si="161"/>
        <v>43748.238387453697</v>
      </c>
    </row>
    <row r="10362" spans="1:10" x14ac:dyDescent="0.25">
      <c r="A10362" s="7" t="s">
        <v>21043</v>
      </c>
      <c r="B10362" s="8">
        <v>400</v>
      </c>
      <c r="C10362" s="8">
        <v>20.478950000000001</v>
      </c>
      <c r="D10362" s="8">
        <v>98</v>
      </c>
      <c r="E10362" s="8">
        <v>0</v>
      </c>
      <c r="F10362" s="8">
        <v>0</v>
      </c>
      <c r="G10362" s="8">
        <v>6</v>
      </c>
      <c r="H10362" s="8" t="s">
        <v>21044</v>
      </c>
      <c r="I10362" s="8">
        <v>528.1875</v>
      </c>
      <c r="J10362" s="3">
        <f t="shared" si="161"/>
        <v>43748.238458749998</v>
      </c>
    </row>
    <row r="10363" spans="1:10" x14ac:dyDescent="0.25">
      <c r="A10363" s="5" t="s">
        <v>21045</v>
      </c>
      <c r="B10363" s="6">
        <v>400</v>
      </c>
      <c r="C10363" s="6">
        <v>20.478950000000001</v>
      </c>
      <c r="D10363" s="6">
        <v>98</v>
      </c>
      <c r="E10363" s="6">
        <v>0</v>
      </c>
      <c r="F10363" s="6">
        <v>0</v>
      </c>
      <c r="G10363" s="6">
        <v>12</v>
      </c>
      <c r="H10363" s="6" t="s">
        <v>21046</v>
      </c>
      <c r="I10363" s="6">
        <v>528.1875</v>
      </c>
      <c r="J10363" s="2">
        <f t="shared" si="161"/>
        <v>43748.238542071755</v>
      </c>
    </row>
    <row r="10364" spans="1:10" x14ac:dyDescent="0.25">
      <c r="A10364" s="7" t="s">
        <v>21047</v>
      </c>
      <c r="B10364" s="8">
        <v>418.75</v>
      </c>
      <c r="C10364" s="8">
        <v>20.478950000000001</v>
      </c>
      <c r="D10364" s="8">
        <v>98</v>
      </c>
      <c r="E10364" s="8">
        <v>0</v>
      </c>
      <c r="F10364" s="8">
        <v>0</v>
      </c>
      <c r="G10364" s="8">
        <v>17</v>
      </c>
      <c r="H10364" s="8" t="s">
        <v>21048</v>
      </c>
      <c r="I10364" s="8">
        <v>534.75</v>
      </c>
      <c r="J10364" s="3">
        <f t="shared" si="161"/>
        <v>43748.238614074071</v>
      </c>
    </row>
    <row r="10365" spans="1:10" x14ac:dyDescent="0.25">
      <c r="A10365" s="5" t="s">
        <v>21049</v>
      </c>
      <c r="B10365" s="6">
        <v>396.875</v>
      </c>
      <c r="C10365" s="6">
        <v>20.478950000000001</v>
      </c>
      <c r="D10365" s="6">
        <v>97</v>
      </c>
      <c r="E10365" s="6">
        <v>0</v>
      </c>
      <c r="F10365" s="6">
        <v>0</v>
      </c>
      <c r="G10365" s="6">
        <v>8</v>
      </c>
      <c r="H10365" s="6" t="s">
        <v>21050</v>
      </c>
      <c r="I10365" s="6">
        <v>527.4375</v>
      </c>
      <c r="J10365" s="2">
        <f t="shared" si="161"/>
        <v>43748.238685625001</v>
      </c>
    </row>
    <row r="10366" spans="1:10" x14ac:dyDescent="0.25">
      <c r="A10366" s="7" t="s">
        <v>21051</v>
      </c>
      <c r="B10366" s="8">
        <v>396.875</v>
      </c>
      <c r="C10366" s="8">
        <v>20.426300000000001</v>
      </c>
      <c r="D10366" s="8">
        <v>96</v>
      </c>
      <c r="E10366" s="8">
        <v>0</v>
      </c>
      <c r="F10366" s="8">
        <v>0</v>
      </c>
      <c r="G10366" s="8">
        <v>14</v>
      </c>
      <c r="H10366" s="8" t="s">
        <v>21052</v>
      </c>
      <c r="I10366" s="8">
        <v>527.4375</v>
      </c>
      <c r="J10366" s="3">
        <f t="shared" si="161"/>
        <v>43748.23875675926</v>
      </c>
    </row>
    <row r="10367" spans="1:10" x14ac:dyDescent="0.25">
      <c r="A10367" s="5" t="s">
        <v>21053</v>
      </c>
      <c r="B10367" s="6">
        <v>396.875</v>
      </c>
      <c r="C10367" s="6">
        <v>20.478950000000001</v>
      </c>
      <c r="D10367" s="6">
        <v>96</v>
      </c>
      <c r="E10367" s="6">
        <v>0</v>
      </c>
      <c r="F10367" s="6">
        <v>0</v>
      </c>
      <c r="G10367" s="6">
        <v>14</v>
      </c>
      <c r="H10367" s="6" t="s">
        <v>21054</v>
      </c>
      <c r="I10367" s="6">
        <v>527.4375</v>
      </c>
      <c r="J10367" s="2">
        <f t="shared" si="161"/>
        <v>43748.238828194437</v>
      </c>
    </row>
    <row r="10368" spans="1:10" x14ac:dyDescent="0.25">
      <c r="A10368" s="7" t="s">
        <v>21055</v>
      </c>
      <c r="B10368" s="8">
        <v>396.875</v>
      </c>
      <c r="C10368" s="8">
        <v>20.478950000000001</v>
      </c>
      <c r="D10368" s="8">
        <v>96</v>
      </c>
      <c r="E10368" s="8">
        <v>0</v>
      </c>
      <c r="F10368" s="8">
        <v>0</v>
      </c>
      <c r="G10368" s="8">
        <v>13</v>
      </c>
      <c r="H10368" s="8" t="s">
        <v>21056</v>
      </c>
      <c r="I10368" s="8">
        <v>527.4375</v>
      </c>
      <c r="J10368" s="3">
        <f t="shared" si="161"/>
        <v>43748.238900358796</v>
      </c>
    </row>
    <row r="10369" spans="1:10" x14ac:dyDescent="0.25">
      <c r="A10369" s="5" t="s">
        <v>21057</v>
      </c>
      <c r="B10369" s="6">
        <v>400</v>
      </c>
      <c r="C10369" s="6">
        <v>20.478950000000001</v>
      </c>
      <c r="D10369" s="6">
        <v>95</v>
      </c>
      <c r="E10369" s="6">
        <v>0</v>
      </c>
      <c r="F10369" s="6">
        <v>0</v>
      </c>
      <c r="G10369" s="6">
        <v>11</v>
      </c>
      <c r="H10369" s="6" t="s">
        <v>21058</v>
      </c>
      <c r="I10369" s="6">
        <v>528.375</v>
      </c>
      <c r="J10369" s="2">
        <f t="shared" si="161"/>
        <v>43748.238971724531</v>
      </c>
    </row>
    <row r="10370" spans="1:10" x14ac:dyDescent="0.25">
      <c r="A10370" s="7" t="s">
        <v>21059</v>
      </c>
      <c r="B10370" s="8">
        <v>400</v>
      </c>
      <c r="C10370" s="8">
        <v>20.426300000000001</v>
      </c>
      <c r="D10370" s="8">
        <v>96</v>
      </c>
      <c r="E10370" s="8">
        <v>0</v>
      </c>
      <c r="F10370" s="8">
        <v>0</v>
      </c>
      <c r="G10370" s="8">
        <v>6</v>
      </c>
      <c r="H10370" s="8" t="s">
        <v>21060</v>
      </c>
      <c r="I10370" s="8">
        <v>528.1875</v>
      </c>
      <c r="J10370" s="3">
        <f t="shared" ref="J10370:J10433" si="162">(H10370/86400000)+25569+(7/24)</f>
        <v>43748.239043020832</v>
      </c>
    </row>
    <row r="10371" spans="1:10" x14ac:dyDescent="0.25">
      <c r="A10371" s="5" t="s">
        <v>21061</v>
      </c>
      <c r="B10371" s="6">
        <v>396.875</v>
      </c>
      <c r="C10371" s="6">
        <v>20.478950000000001</v>
      </c>
      <c r="D10371" s="6">
        <v>106</v>
      </c>
      <c r="E10371" s="6">
        <v>0</v>
      </c>
      <c r="F10371" s="6">
        <v>0</v>
      </c>
      <c r="G10371" s="6">
        <v>0</v>
      </c>
      <c r="H10371" s="6" t="s">
        <v>21062</v>
      </c>
      <c r="I10371" s="6">
        <v>527.4375</v>
      </c>
      <c r="J10371" s="2">
        <f t="shared" si="162"/>
        <v>43748.239337592589</v>
      </c>
    </row>
    <row r="10372" spans="1:10" x14ac:dyDescent="0.25">
      <c r="A10372" s="7" t="s">
        <v>21063</v>
      </c>
      <c r="B10372" s="8">
        <v>396.875</v>
      </c>
      <c r="C10372" s="8">
        <v>20.478950000000001</v>
      </c>
      <c r="D10372" s="8">
        <v>101</v>
      </c>
      <c r="E10372" s="8">
        <v>0</v>
      </c>
      <c r="F10372" s="8">
        <v>0</v>
      </c>
      <c r="G10372" s="8">
        <v>0</v>
      </c>
      <c r="H10372" s="8" t="s">
        <v>21064</v>
      </c>
      <c r="I10372" s="8">
        <v>527.25</v>
      </c>
      <c r="J10372" s="3">
        <f t="shared" si="162"/>
        <v>43748.239419803234</v>
      </c>
    </row>
    <row r="10373" spans="1:10" x14ac:dyDescent="0.25">
      <c r="A10373" s="5" t="s">
        <v>21065</v>
      </c>
      <c r="B10373" s="6">
        <v>396.875</v>
      </c>
      <c r="C10373" s="6">
        <v>20.478950000000001</v>
      </c>
      <c r="D10373" s="6">
        <v>100</v>
      </c>
      <c r="E10373" s="6">
        <v>0</v>
      </c>
      <c r="F10373" s="6">
        <v>0</v>
      </c>
      <c r="G10373" s="6">
        <v>0</v>
      </c>
      <c r="H10373" s="6" t="s">
        <v>21066</v>
      </c>
      <c r="I10373" s="6">
        <v>527.4375</v>
      </c>
      <c r="J10373" s="2">
        <f t="shared" si="162"/>
        <v>43748.239491990738</v>
      </c>
    </row>
    <row r="10374" spans="1:10" x14ac:dyDescent="0.25">
      <c r="A10374" s="7" t="s">
        <v>21067</v>
      </c>
      <c r="B10374" s="8">
        <v>396.875</v>
      </c>
      <c r="C10374" s="8">
        <v>20.426300000000001</v>
      </c>
      <c r="D10374" s="8">
        <v>97</v>
      </c>
      <c r="E10374" s="8">
        <v>0</v>
      </c>
      <c r="F10374" s="8">
        <v>0</v>
      </c>
      <c r="G10374" s="8">
        <v>7</v>
      </c>
      <c r="H10374" s="8" t="s">
        <v>21068</v>
      </c>
      <c r="I10374" s="8">
        <v>527.4375</v>
      </c>
      <c r="J10374" s="3">
        <f t="shared" si="162"/>
        <v>43748.239563344905</v>
      </c>
    </row>
    <row r="10375" spans="1:10" x14ac:dyDescent="0.25">
      <c r="A10375" s="5" t="s">
        <v>21069</v>
      </c>
      <c r="B10375" s="6">
        <v>400</v>
      </c>
      <c r="C10375" s="6">
        <v>20.478950000000001</v>
      </c>
      <c r="D10375" s="6">
        <v>96</v>
      </c>
      <c r="E10375" s="6">
        <v>0</v>
      </c>
      <c r="F10375" s="6">
        <v>0</v>
      </c>
      <c r="G10375" s="6">
        <v>10</v>
      </c>
      <c r="H10375" s="6" t="s">
        <v>21070</v>
      </c>
      <c r="I10375" s="6">
        <v>528.1875</v>
      </c>
      <c r="J10375" s="2">
        <f t="shared" si="162"/>
        <v>43748.239646689814</v>
      </c>
    </row>
    <row r="10376" spans="1:10" x14ac:dyDescent="0.25">
      <c r="A10376" s="7" t="s">
        <v>21071</v>
      </c>
      <c r="B10376" s="8">
        <v>425</v>
      </c>
      <c r="C10376" s="8">
        <v>20.478950000000001</v>
      </c>
      <c r="D10376" s="8">
        <v>96</v>
      </c>
      <c r="E10376" s="8">
        <v>0</v>
      </c>
      <c r="F10376" s="8">
        <v>0</v>
      </c>
      <c r="G10376" s="8">
        <v>15</v>
      </c>
      <c r="H10376" s="8" t="s">
        <v>21072</v>
      </c>
      <c r="I10376" s="8">
        <v>536.25</v>
      </c>
      <c r="J10376" s="3">
        <f t="shared" si="162"/>
        <v>43748.239718888886</v>
      </c>
    </row>
    <row r="10377" spans="1:10" x14ac:dyDescent="0.25">
      <c r="A10377" s="5" t="s">
        <v>21073</v>
      </c>
      <c r="B10377" s="6">
        <v>403.125</v>
      </c>
      <c r="C10377" s="6">
        <v>20.426300000000001</v>
      </c>
      <c r="D10377" s="6">
        <v>96</v>
      </c>
      <c r="E10377" s="6">
        <v>0</v>
      </c>
      <c r="F10377" s="6">
        <v>0</v>
      </c>
      <c r="G10377" s="6">
        <v>13</v>
      </c>
      <c r="H10377" s="6" t="s">
        <v>21074</v>
      </c>
      <c r="I10377" s="6">
        <v>529.125</v>
      </c>
      <c r="J10377" s="2">
        <f t="shared" si="162"/>
        <v>43748.239801238422</v>
      </c>
    </row>
    <row r="10378" spans="1:10" x14ac:dyDescent="0.25">
      <c r="A10378" s="7" t="s">
        <v>21075</v>
      </c>
      <c r="B10378" s="8">
        <v>403.125</v>
      </c>
      <c r="C10378" s="8">
        <v>20.478950000000001</v>
      </c>
      <c r="D10378" s="8">
        <v>97</v>
      </c>
      <c r="E10378" s="8">
        <v>0</v>
      </c>
      <c r="F10378" s="8">
        <v>0</v>
      </c>
      <c r="G10378" s="8">
        <v>7</v>
      </c>
      <c r="H10378" s="8" t="s">
        <v>21076</v>
      </c>
      <c r="I10378" s="8">
        <v>529.125</v>
      </c>
      <c r="J10378" s="3">
        <f t="shared" si="162"/>
        <v>43748.23987351852</v>
      </c>
    </row>
    <row r="10379" spans="1:10" x14ac:dyDescent="0.25">
      <c r="A10379" s="5" t="s">
        <v>21077</v>
      </c>
      <c r="B10379" s="6">
        <v>403.125</v>
      </c>
      <c r="C10379" s="6">
        <v>20.426300000000001</v>
      </c>
      <c r="D10379" s="6">
        <v>96</v>
      </c>
      <c r="E10379" s="6">
        <v>0</v>
      </c>
      <c r="F10379" s="6">
        <v>0</v>
      </c>
      <c r="G10379" s="6">
        <v>2</v>
      </c>
      <c r="H10379" s="6" t="s">
        <v>21078</v>
      </c>
      <c r="I10379" s="6">
        <v>529.875</v>
      </c>
      <c r="J10379" s="2">
        <f t="shared" si="162"/>
        <v>43748.239944768517</v>
      </c>
    </row>
    <row r="10380" spans="1:10" x14ac:dyDescent="0.25">
      <c r="A10380" s="7" t="s">
        <v>21079</v>
      </c>
      <c r="B10380" s="8">
        <v>403.125</v>
      </c>
      <c r="C10380" s="8">
        <v>20.478950000000001</v>
      </c>
      <c r="D10380" s="8">
        <v>93</v>
      </c>
      <c r="E10380" s="8">
        <v>0</v>
      </c>
      <c r="F10380" s="8">
        <v>0</v>
      </c>
      <c r="G10380" s="8">
        <v>10</v>
      </c>
      <c r="H10380" s="8" t="s">
        <v>21080</v>
      </c>
      <c r="I10380" s="8">
        <v>529.875</v>
      </c>
      <c r="J10380" s="3">
        <f t="shared" si="162"/>
        <v>43748.240016053234</v>
      </c>
    </row>
    <row r="10381" spans="1:10" x14ac:dyDescent="0.25">
      <c r="A10381" s="5" t="s">
        <v>21081</v>
      </c>
      <c r="B10381" s="6">
        <v>400</v>
      </c>
      <c r="C10381" s="6">
        <v>20.426300000000001</v>
      </c>
      <c r="D10381" s="6">
        <v>95</v>
      </c>
      <c r="E10381" s="6">
        <v>0</v>
      </c>
      <c r="F10381" s="6">
        <v>0</v>
      </c>
      <c r="G10381" s="6">
        <v>11</v>
      </c>
      <c r="H10381" s="6" t="s">
        <v>21082</v>
      </c>
      <c r="I10381" s="6">
        <v>528.9375</v>
      </c>
      <c r="J10381" s="2">
        <f t="shared" si="162"/>
        <v>43748.240088287035</v>
      </c>
    </row>
    <row r="10382" spans="1:10" x14ac:dyDescent="0.25">
      <c r="A10382" s="7" t="s">
        <v>21083</v>
      </c>
      <c r="B10382" s="8">
        <v>403.125</v>
      </c>
      <c r="C10382" s="8">
        <v>20.478950000000001</v>
      </c>
      <c r="D10382" s="8">
        <v>95</v>
      </c>
      <c r="E10382" s="8">
        <v>0</v>
      </c>
      <c r="F10382" s="8">
        <v>0</v>
      </c>
      <c r="G10382" s="8">
        <v>6</v>
      </c>
      <c r="H10382" s="8" t="s">
        <v>21084</v>
      </c>
      <c r="I10382" s="8">
        <v>529.125</v>
      </c>
      <c r="J10382" s="3">
        <f t="shared" si="162"/>
        <v>43748.240158831017</v>
      </c>
    </row>
    <row r="10383" spans="1:10" x14ac:dyDescent="0.25">
      <c r="A10383" s="5" t="s">
        <v>21085</v>
      </c>
      <c r="B10383" s="6">
        <v>400</v>
      </c>
      <c r="C10383" s="6">
        <v>20.478950000000001</v>
      </c>
      <c r="D10383" s="6">
        <v>95</v>
      </c>
      <c r="E10383" s="6">
        <v>0</v>
      </c>
      <c r="F10383" s="6">
        <v>0</v>
      </c>
      <c r="G10383" s="6">
        <v>8</v>
      </c>
      <c r="H10383" s="6" t="s">
        <v>21086</v>
      </c>
      <c r="I10383" s="6">
        <v>528.1875</v>
      </c>
      <c r="J10383" s="2">
        <f t="shared" si="162"/>
        <v>43748.240230914351</v>
      </c>
    </row>
    <row r="10384" spans="1:10" x14ac:dyDescent="0.25">
      <c r="A10384" s="7" t="s">
        <v>21087</v>
      </c>
      <c r="B10384" s="8">
        <v>415.625</v>
      </c>
      <c r="C10384" s="8">
        <v>20.426300000000001</v>
      </c>
      <c r="D10384" s="8">
        <v>95</v>
      </c>
      <c r="E10384" s="8">
        <v>0</v>
      </c>
      <c r="F10384" s="8">
        <v>0</v>
      </c>
      <c r="G10384" s="8">
        <v>12</v>
      </c>
      <c r="H10384" s="8" t="s">
        <v>21088</v>
      </c>
      <c r="I10384" s="8">
        <v>533.8125</v>
      </c>
      <c r="J10384" s="3">
        <f t="shared" si="162"/>
        <v>43748.240302222221</v>
      </c>
    </row>
    <row r="10385" spans="1:10" x14ac:dyDescent="0.25">
      <c r="A10385" s="5" t="s">
        <v>21089</v>
      </c>
      <c r="B10385" s="6">
        <v>400</v>
      </c>
      <c r="C10385" s="6">
        <v>20.478950000000001</v>
      </c>
      <c r="D10385" s="6">
        <v>95</v>
      </c>
      <c r="E10385" s="6">
        <v>0</v>
      </c>
      <c r="F10385" s="6">
        <v>0</v>
      </c>
      <c r="G10385" s="6">
        <v>9</v>
      </c>
      <c r="H10385" s="6" t="s">
        <v>21090</v>
      </c>
      <c r="I10385" s="6">
        <v>528.9375</v>
      </c>
      <c r="J10385" s="2">
        <f t="shared" si="162"/>
        <v>43748.240373692126</v>
      </c>
    </row>
    <row r="10386" spans="1:10" x14ac:dyDescent="0.25">
      <c r="A10386" s="7" t="s">
        <v>21091</v>
      </c>
      <c r="B10386" s="8">
        <v>400</v>
      </c>
      <c r="C10386" s="8">
        <v>20.478950000000001</v>
      </c>
      <c r="D10386" s="8">
        <v>93</v>
      </c>
      <c r="E10386" s="8">
        <v>0</v>
      </c>
      <c r="F10386" s="8">
        <v>0</v>
      </c>
      <c r="G10386" s="8">
        <v>11</v>
      </c>
      <c r="H10386" s="8" t="s">
        <v>21092</v>
      </c>
      <c r="I10386" s="8">
        <v>528.9375</v>
      </c>
      <c r="J10386" s="3">
        <f t="shared" si="162"/>
        <v>43748.240457719905</v>
      </c>
    </row>
    <row r="10387" spans="1:10" x14ac:dyDescent="0.25">
      <c r="A10387" s="5" t="s">
        <v>21093</v>
      </c>
      <c r="B10387" s="6">
        <v>403.125</v>
      </c>
      <c r="C10387" s="6">
        <v>20.426300000000001</v>
      </c>
      <c r="D10387" s="6">
        <v>95</v>
      </c>
      <c r="E10387" s="6">
        <v>0</v>
      </c>
      <c r="F10387" s="6">
        <v>0</v>
      </c>
      <c r="G10387" s="6">
        <v>14</v>
      </c>
      <c r="H10387" s="6" t="s">
        <v>21094</v>
      </c>
      <c r="I10387" s="6">
        <v>529.125</v>
      </c>
      <c r="J10387" s="2">
        <f t="shared" si="162"/>
        <v>43748.24052918981</v>
      </c>
    </row>
    <row r="10388" spans="1:10" x14ac:dyDescent="0.25">
      <c r="A10388" s="7" t="s">
        <v>21095</v>
      </c>
      <c r="B10388" s="8">
        <v>403.125</v>
      </c>
      <c r="C10388" s="8">
        <v>20.426300000000001</v>
      </c>
      <c r="D10388" s="8">
        <v>96</v>
      </c>
      <c r="E10388" s="8">
        <v>0</v>
      </c>
      <c r="F10388" s="8">
        <v>0</v>
      </c>
      <c r="G10388" s="8">
        <v>12</v>
      </c>
      <c r="H10388" s="8" t="s">
        <v>21096</v>
      </c>
      <c r="I10388" s="8">
        <v>529.125</v>
      </c>
      <c r="J10388" s="3">
        <f t="shared" si="162"/>
        <v>43748.240600381941</v>
      </c>
    </row>
    <row r="10389" spans="1:10" x14ac:dyDescent="0.25">
      <c r="A10389" s="5" t="s">
        <v>21097</v>
      </c>
      <c r="B10389" s="6">
        <v>403.125</v>
      </c>
      <c r="C10389" s="6">
        <v>20.478950000000001</v>
      </c>
      <c r="D10389" s="6">
        <v>98</v>
      </c>
      <c r="E10389" s="6">
        <v>0</v>
      </c>
      <c r="F10389" s="6">
        <v>0</v>
      </c>
      <c r="G10389" s="6">
        <v>12</v>
      </c>
      <c r="H10389" s="6" t="s">
        <v>21098</v>
      </c>
      <c r="I10389" s="6">
        <v>529.125</v>
      </c>
      <c r="J10389" s="2">
        <f t="shared" si="162"/>
        <v>43748.240672604159</v>
      </c>
    </row>
    <row r="10390" spans="1:10" x14ac:dyDescent="0.25">
      <c r="A10390" s="7" t="s">
        <v>21099</v>
      </c>
      <c r="B10390" s="8">
        <v>403.125</v>
      </c>
      <c r="C10390" s="8">
        <v>20.426300000000001</v>
      </c>
      <c r="D10390" s="8">
        <v>98</v>
      </c>
      <c r="E10390" s="8">
        <v>0</v>
      </c>
      <c r="F10390" s="8">
        <v>0</v>
      </c>
      <c r="G10390" s="8">
        <v>2</v>
      </c>
      <c r="H10390" s="8" t="s">
        <v>21100</v>
      </c>
      <c r="I10390" s="8">
        <v>529.125</v>
      </c>
      <c r="J10390" s="3">
        <f t="shared" si="162"/>
        <v>43748.240743888884</v>
      </c>
    </row>
    <row r="10391" spans="1:10" x14ac:dyDescent="0.25">
      <c r="A10391" s="5" t="s">
        <v>21101</v>
      </c>
      <c r="B10391" s="6">
        <v>403.125</v>
      </c>
      <c r="C10391" s="6">
        <v>20.478950000000001</v>
      </c>
      <c r="D10391" s="6">
        <v>105</v>
      </c>
      <c r="E10391" s="6">
        <v>0</v>
      </c>
      <c r="F10391" s="6">
        <v>0</v>
      </c>
      <c r="G10391" s="6">
        <v>1</v>
      </c>
      <c r="H10391" s="6" t="s">
        <v>21102</v>
      </c>
      <c r="I10391" s="6">
        <v>529.875</v>
      </c>
      <c r="J10391" s="2">
        <f t="shared" si="162"/>
        <v>43748.240815196761</v>
      </c>
    </row>
    <row r="10392" spans="1:10" x14ac:dyDescent="0.25">
      <c r="A10392" s="7" t="s">
        <v>21103</v>
      </c>
      <c r="B10392" s="8">
        <v>403.125</v>
      </c>
      <c r="C10392" s="8">
        <v>20.478950000000001</v>
      </c>
      <c r="D10392" s="8">
        <v>107</v>
      </c>
      <c r="E10392" s="8">
        <v>0</v>
      </c>
      <c r="F10392" s="8">
        <v>0</v>
      </c>
      <c r="G10392" s="8">
        <v>6</v>
      </c>
      <c r="H10392" s="8" t="s">
        <v>21104</v>
      </c>
      <c r="I10392" s="8">
        <v>529.875</v>
      </c>
      <c r="J10392" s="3">
        <f t="shared" si="162"/>
        <v>43748.240886493055</v>
      </c>
    </row>
    <row r="10393" spans="1:10" x14ac:dyDescent="0.25">
      <c r="A10393" s="5" t="s">
        <v>21105</v>
      </c>
      <c r="B10393" s="6">
        <v>400</v>
      </c>
      <c r="C10393" s="6">
        <v>20.478950000000001</v>
      </c>
      <c r="D10393" s="6">
        <v>106</v>
      </c>
      <c r="E10393" s="6">
        <v>0</v>
      </c>
      <c r="F10393" s="6">
        <v>0</v>
      </c>
      <c r="G10393" s="6">
        <v>8</v>
      </c>
      <c r="H10393" s="6" t="s">
        <v>21106</v>
      </c>
      <c r="I10393" s="6">
        <v>528.9375</v>
      </c>
      <c r="J10393" s="2">
        <f t="shared" si="162"/>
        <v>43748.240958715272</v>
      </c>
    </row>
    <row r="10394" spans="1:10" x14ac:dyDescent="0.25">
      <c r="A10394" s="7" t="s">
        <v>21107</v>
      </c>
      <c r="B10394" s="8">
        <v>403.125</v>
      </c>
      <c r="C10394" s="8">
        <v>20.478950000000001</v>
      </c>
      <c r="D10394" s="8">
        <v>106</v>
      </c>
      <c r="E10394" s="8">
        <v>0</v>
      </c>
      <c r="F10394" s="8">
        <v>0</v>
      </c>
      <c r="G10394" s="8">
        <v>11</v>
      </c>
      <c r="H10394" s="8" t="s">
        <v>21108</v>
      </c>
      <c r="I10394" s="8">
        <v>529.125</v>
      </c>
      <c r="J10394" s="3">
        <f t="shared" si="162"/>
        <v>43748.241030011573</v>
      </c>
    </row>
    <row r="10395" spans="1:10" x14ac:dyDescent="0.25">
      <c r="A10395" s="5" t="s">
        <v>21109</v>
      </c>
      <c r="B10395" s="6">
        <v>403.125</v>
      </c>
      <c r="C10395" s="6">
        <v>20.478950000000001</v>
      </c>
      <c r="D10395" s="6">
        <v>106</v>
      </c>
      <c r="E10395" s="6">
        <v>0</v>
      </c>
      <c r="F10395" s="6">
        <v>0</v>
      </c>
      <c r="G10395" s="6">
        <v>10</v>
      </c>
      <c r="H10395" s="6" t="s">
        <v>21110</v>
      </c>
      <c r="I10395" s="6">
        <v>529.125</v>
      </c>
      <c r="J10395" s="2">
        <f t="shared" si="162"/>
        <v>43748.24111333333</v>
      </c>
    </row>
    <row r="10396" spans="1:10" x14ac:dyDescent="0.25">
      <c r="A10396" s="7" t="s">
        <v>21111</v>
      </c>
      <c r="B10396" s="8">
        <v>403.125</v>
      </c>
      <c r="C10396" s="8">
        <v>20.478950000000001</v>
      </c>
      <c r="D10396" s="8">
        <v>106</v>
      </c>
      <c r="E10396" s="8">
        <v>0</v>
      </c>
      <c r="F10396" s="8">
        <v>0</v>
      </c>
      <c r="G10396" s="8">
        <v>11</v>
      </c>
      <c r="H10396" s="8" t="s">
        <v>21112</v>
      </c>
      <c r="I10396" s="8">
        <v>529.125</v>
      </c>
      <c r="J10396" s="3">
        <f t="shared" si="162"/>
        <v>43748.241184629624</v>
      </c>
    </row>
    <row r="10397" spans="1:10" x14ac:dyDescent="0.25">
      <c r="A10397" s="5" t="s">
        <v>21113</v>
      </c>
      <c r="B10397" s="6">
        <v>403.125</v>
      </c>
      <c r="C10397" s="6">
        <v>20.478950000000001</v>
      </c>
      <c r="D10397" s="6">
        <v>104</v>
      </c>
      <c r="E10397" s="6">
        <v>0</v>
      </c>
      <c r="F10397" s="6">
        <v>0</v>
      </c>
      <c r="G10397" s="6">
        <v>14</v>
      </c>
      <c r="H10397" s="6" t="s">
        <v>21114</v>
      </c>
      <c r="I10397" s="6">
        <v>529.125</v>
      </c>
      <c r="J10397" s="2">
        <f t="shared" si="162"/>
        <v>43748.241279999995</v>
      </c>
    </row>
    <row r="10398" spans="1:10" x14ac:dyDescent="0.25">
      <c r="A10398" s="7" t="s">
        <v>21115</v>
      </c>
      <c r="B10398" s="8">
        <v>418.75</v>
      </c>
      <c r="C10398" s="8">
        <v>20.478950000000001</v>
      </c>
      <c r="D10398" s="8">
        <v>104</v>
      </c>
      <c r="E10398" s="8">
        <v>0</v>
      </c>
      <c r="F10398" s="8">
        <v>0</v>
      </c>
      <c r="G10398" s="8">
        <v>8</v>
      </c>
      <c r="H10398" s="8" t="s">
        <v>21116</v>
      </c>
      <c r="I10398" s="8">
        <v>534.5625</v>
      </c>
      <c r="J10398" s="3">
        <f t="shared" si="162"/>
        <v>43748.24135222222</v>
      </c>
    </row>
    <row r="10399" spans="1:10" x14ac:dyDescent="0.25">
      <c r="A10399" s="5" t="s">
        <v>21117</v>
      </c>
      <c r="B10399" s="6">
        <v>396.875</v>
      </c>
      <c r="C10399" s="6">
        <v>20.478950000000001</v>
      </c>
      <c r="D10399" s="6">
        <v>105</v>
      </c>
      <c r="E10399" s="6">
        <v>0</v>
      </c>
      <c r="F10399" s="6">
        <v>0</v>
      </c>
      <c r="G10399" s="6">
        <v>7</v>
      </c>
      <c r="H10399" s="6" t="s">
        <v>21118</v>
      </c>
      <c r="I10399" s="6">
        <v>527.4375</v>
      </c>
      <c r="J10399" s="2">
        <f t="shared" si="162"/>
        <v>43748.241423449072</v>
      </c>
    </row>
    <row r="10400" spans="1:10" x14ac:dyDescent="0.25">
      <c r="A10400" s="7" t="s">
        <v>21119</v>
      </c>
      <c r="B10400" s="8">
        <v>396.875</v>
      </c>
      <c r="C10400" s="8">
        <v>20.478950000000001</v>
      </c>
      <c r="D10400" s="8">
        <v>104</v>
      </c>
      <c r="E10400" s="8">
        <v>0</v>
      </c>
      <c r="F10400" s="8">
        <v>0</v>
      </c>
      <c r="G10400" s="8">
        <v>12</v>
      </c>
      <c r="H10400" s="8" t="s">
        <v>21120</v>
      </c>
      <c r="I10400" s="8">
        <v>527.4375</v>
      </c>
      <c r="J10400" s="3">
        <f t="shared" si="162"/>
        <v>43748.241494826383</v>
      </c>
    </row>
    <row r="10401" spans="1:10" x14ac:dyDescent="0.25">
      <c r="A10401" s="5" t="s">
        <v>21121</v>
      </c>
      <c r="B10401" s="6">
        <v>396.875</v>
      </c>
      <c r="C10401" s="6">
        <v>20.478950000000001</v>
      </c>
      <c r="D10401" s="6">
        <v>102</v>
      </c>
      <c r="E10401" s="6">
        <v>0</v>
      </c>
      <c r="F10401" s="6">
        <v>0</v>
      </c>
      <c r="G10401" s="6">
        <v>22</v>
      </c>
      <c r="H10401" s="6" t="s">
        <v>21122</v>
      </c>
      <c r="I10401" s="6">
        <v>527.4375</v>
      </c>
      <c r="J10401" s="2">
        <f t="shared" si="162"/>
        <v>43748.241566111108</v>
      </c>
    </row>
    <row r="10402" spans="1:10" x14ac:dyDescent="0.25">
      <c r="A10402" s="7" t="s">
        <v>21123</v>
      </c>
      <c r="B10402" s="8">
        <v>425</v>
      </c>
      <c r="C10402" s="8">
        <v>20.426300000000001</v>
      </c>
      <c r="D10402" s="8">
        <v>102</v>
      </c>
      <c r="E10402" s="8">
        <v>0</v>
      </c>
      <c r="F10402" s="8">
        <v>0</v>
      </c>
      <c r="G10402" s="8">
        <v>10</v>
      </c>
      <c r="H10402" s="8" t="s">
        <v>21124</v>
      </c>
      <c r="I10402" s="8">
        <v>536.625</v>
      </c>
      <c r="J10402" s="3">
        <f t="shared" si="162"/>
        <v>43748.241638321757</v>
      </c>
    </row>
    <row r="10403" spans="1:10" x14ac:dyDescent="0.25">
      <c r="A10403" s="5" t="s">
        <v>21125</v>
      </c>
      <c r="B10403" s="6">
        <v>400</v>
      </c>
      <c r="C10403" s="6">
        <v>20.478950000000001</v>
      </c>
      <c r="D10403" s="6">
        <v>102</v>
      </c>
      <c r="E10403" s="6">
        <v>0</v>
      </c>
      <c r="F10403" s="6">
        <v>0</v>
      </c>
      <c r="G10403" s="6">
        <v>9</v>
      </c>
      <c r="H10403" s="6" t="s">
        <v>21126</v>
      </c>
      <c r="I10403" s="6">
        <v>528.1875</v>
      </c>
      <c r="J10403" s="2">
        <f t="shared" si="162"/>
        <v>43748.241709629627</v>
      </c>
    </row>
    <row r="10404" spans="1:10" x14ac:dyDescent="0.25">
      <c r="A10404" s="7" t="s">
        <v>21127</v>
      </c>
      <c r="B10404" s="8">
        <v>400</v>
      </c>
      <c r="C10404" s="8">
        <v>20.478950000000001</v>
      </c>
      <c r="D10404" s="8">
        <v>101</v>
      </c>
      <c r="E10404" s="8">
        <v>0</v>
      </c>
      <c r="F10404" s="8">
        <v>0</v>
      </c>
      <c r="G10404" s="8">
        <v>11</v>
      </c>
      <c r="H10404" s="8" t="s">
        <v>21128</v>
      </c>
      <c r="I10404" s="8">
        <v>528.1875</v>
      </c>
      <c r="J10404" s="3">
        <f t="shared" si="162"/>
        <v>43748.241780925928</v>
      </c>
    </row>
    <row r="10405" spans="1:10" x14ac:dyDescent="0.25">
      <c r="A10405" s="5" t="s">
        <v>21129</v>
      </c>
      <c r="B10405" s="6">
        <v>400</v>
      </c>
      <c r="C10405" s="6">
        <v>20.426300000000001</v>
      </c>
      <c r="D10405" s="6">
        <v>102</v>
      </c>
      <c r="E10405" s="6">
        <v>0</v>
      </c>
      <c r="F10405" s="6">
        <v>0</v>
      </c>
      <c r="G10405" s="6">
        <v>13</v>
      </c>
      <c r="H10405" s="6" t="s">
        <v>21130</v>
      </c>
      <c r="I10405" s="6">
        <v>528.1875</v>
      </c>
      <c r="J10405" s="2">
        <f t="shared" si="162"/>
        <v>43748.241876238426</v>
      </c>
    </row>
    <row r="10406" spans="1:10" x14ac:dyDescent="0.25">
      <c r="A10406" s="7" t="s">
        <v>21131</v>
      </c>
      <c r="B10406" s="8">
        <v>396.875</v>
      </c>
      <c r="C10406" s="8">
        <v>20.478950000000001</v>
      </c>
      <c r="D10406" s="8">
        <v>101</v>
      </c>
      <c r="E10406" s="8">
        <v>0</v>
      </c>
      <c r="F10406" s="8">
        <v>0</v>
      </c>
      <c r="G10406" s="8">
        <v>12</v>
      </c>
      <c r="H10406" s="8" t="s">
        <v>21132</v>
      </c>
      <c r="I10406" s="8">
        <v>527.4375</v>
      </c>
      <c r="J10406" s="3">
        <f t="shared" si="162"/>
        <v>43748.241947708331</v>
      </c>
    </row>
    <row r="10407" spans="1:10" x14ac:dyDescent="0.25">
      <c r="A10407" s="5" t="s">
        <v>21133</v>
      </c>
      <c r="B10407" s="6">
        <v>396.875</v>
      </c>
      <c r="C10407" s="6">
        <v>20.478950000000001</v>
      </c>
      <c r="D10407" s="6">
        <v>101</v>
      </c>
      <c r="E10407" s="6">
        <v>0</v>
      </c>
      <c r="F10407" s="6">
        <v>0</v>
      </c>
      <c r="G10407" s="6">
        <v>6</v>
      </c>
      <c r="H10407" s="6" t="s">
        <v>21134</v>
      </c>
      <c r="I10407" s="6">
        <v>527.4375</v>
      </c>
      <c r="J10407" s="2">
        <f t="shared" si="162"/>
        <v>43748.242019861107</v>
      </c>
    </row>
    <row r="10408" spans="1:10" x14ac:dyDescent="0.25">
      <c r="A10408" s="7" t="s">
        <v>21135</v>
      </c>
      <c r="B10408" s="8">
        <v>396.875</v>
      </c>
      <c r="C10408" s="8">
        <v>20.426300000000001</v>
      </c>
      <c r="D10408" s="8">
        <v>101</v>
      </c>
      <c r="E10408" s="8">
        <v>0</v>
      </c>
      <c r="F10408" s="8">
        <v>0</v>
      </c>
      <c r="G10408" s="8">
        <v>12</v>
      </c>
      <c r="H10408" s="8" t="s">
        <v>21136</v>
      </c>
      <c r="I10408" s="8">
        <v>527.25</v>
      </c>
      <c r="J10408" s="3">
        <f t="shared" si="162"/>
        <v>43748.242091168977</v>
      </c>
    </row>
    <row r="10409" spans="1:10" x14ac:dyDescent="0.25">
      <c r="A10409" s="5" t="s">
        <v>21137</v>
      </c>
      <c r="B10409" s="6">
        <v>418.75</v>
      </c>
      <c r="C10409" s="6">
        <v>20.478950000000001</v>
      </c>
      <c r="D10409" s="6">
        <v>101</v>
      </c>
      <c r="E10409" s="6">
        <v>0</v>
      </c>
      <c r="F10409" s="6">
        <v>0</v>
      </c>
      <c r="G10409" s="6">
        <v>7</v>
      </c>
      <c r="H10409" s="6" t="s">
        <v>21138</v>
      </c>
      <c r="I10409" s="6">
        <v>534.375</v>
      </c>
      <c r="J10409" s="2">
        <f t="shared" si="162"/>
        <v>43748.242162465271</v>
      </c>
    </row>
    <row r="10410" spans="1:10" x14ac:dyDescent="0.25">
      <c r="A10410" s="7" t="s">
        <v>21139</v>
      </c>
      <c r="B10410" s="8">
        <v>396.875</v>
      </c>
      <c r="C10410" s="8">
        <v>20.478950000000001</v>
      </c>
      <c r="D10410" s="8">
        <v>101</v>
      </c>
      <c r="E10410" s="8">
        <v>0</v>
      </c>
      <c r="F10410" s="8">
        <v>0</v>
      </c>
      <c r="G10410" s="8">
        <v>0</v>
      </c>
      <c r="H10410" s="8" t="s">
        <v>21140</v>
      </c>
      <c r="I10410" s="8">
        <v>527.4375</v>
      </c>
      <c r="J10410" s="3">
        <f t="shared" si="162"/>
        <v>43748.242234513884</v>
      </c>
    </row>
    <row r="10411" spans="1:10" x14ac:dyDescent="0.25">
      <c r="A10411" s="5" t="s">
        <v>21141</v>
      </c>
      <c r="B10411" s="6">
        <v>393.75</v>
      </c>
      <c r="C10411" s="6">
        <v>20.478950000000001</v>
      </c>
      <c r="D10411" s="6">
        <v>101</v>
      </c>
      <c r="E10411" s="6">
        <v>0</v>
      </c>
      <c r="F10411" s="6">
        <v>0</v>
      </c>
      <c r="G10411" s="6">
        <v>9</v>
      </c>
      <c r="H10411" s="6" t="s">
        <v>21142</v>
      </c>
      <c r="I10411" s="6">
        <v>526.6875</v>
      </c>
      <c r="J10411" s="2">
        <f t="shared" si="162"/>
        <v>43748.242318009252</v>
      </c>
    </row>
    <row r="10412" spans="1:10" x14ac:dyDescent="0.25">
      <c r="A10412" s="7" t="s">
        <v>21143</v>
      </c>
      <c r="B10412" s="8">
        <v>393.75</v>
      </c>
      <c r="C10412" s="8">
        <v>20.478950000000001</v>
      </c>
      <c r="D10412" s="8">
        <v>99</v>
      </c>
      <c r="E10412" s="8">
        <v>0</v>
      </c>
      <c r="F10412" s="8">
        <v>0</v>
      </c>
      <c r="G10412" s="8">
        <v>11</v>
      </c>
      <c r="H10412" s="8" t="s">
        <v>21144</v>
      </c>
      <c r="I10412" s="8">
        <v>526.6875</v>
      </c>
      <c r="J10412" s="3">
        <f t="shared" si="162"/>
        <v>43748.242389259256</v>
      </c>
    </row>
    <row r="10413" spans="1:10" x14ac:dyDescent="0.25">
      <c r="A10413" s="5" t="s">
        <v>21145</v>
      </c>
      <c r="B10413" s="6">
        <v>393.75</v>
      </c>
      <c r="C10413" s="6">
        <v>20.478950000000001</v>
      </c>
      <c r="D10413" s="6">
        <v>99</v>
      </c>
      <c r="E10413" s="6">
        <v>0</v>
      </c>
      <c r="F10413" s="6">
        <v>0</v>
      </c>
      <c r="G10413" s="6">
        <v>0</v>
      </c>
      <c r="H10413" s="6" t="s">
        <v>21146</v>
      </c>
      <c r="I10413" s="6">
        <v>526.5</v>
      </c>
      <c r="J10413" s="2">
        <f t="shared" si="162"/>
        <v>43748.24246055555</v>
      </c>
    </row>
    <row r="10414" spans="1:10" x14ac:dyDescent="0.25">
      <c r="A10414" s="7" t="s">
        <v>21147</v>
      </c>
      <c r="B10414" s="8">
        <v>393.75</v>
      </c>
      <c r="C10414" s="8">
        <v>20.478950000000001</v>
      </c>
      <c r="D10414" s="8">
        <v>99</v>
      </c>
      <c r="E10414" s="8">
        <v>0</v>
      </c>
      <c r="F10414" s="8">
        <v>0</v>
      </c>
      <c r="G10414" s="8">
        <v>17</v>
      </c>
      <c r="H10414" s="8" t="s">
        <v>21148</v>
      </c>
      <c r="I10414" s="8">
        <v>526.6875</v>
      </c>
      <c r="J10414" s="3">
        <f t="shared" si="162"/>
        <v>43748.242531967589</v>
      </c>
    </row>
    <row r="10415" spans="1:10" x14ac:dyDescent="0.25">
      <c r="A10415" s="5" t="s">
        <v>21149</v>
      </c>
      <c r="B10415" s="6">
        <v>393.75</v>
      </c>
      <c r="C10415" s="6">
        <v>20.478950000000001</v>
      </c>
      <c r="D10415" s="6">
        <v>99</v>
      </c>
      <c r="E10415" s="6">
        <v>0</v>
      </c>
      <c r="F10415" s="6">
        <v>0</v>
      </c>
      <c r="G10415" s="6">
        <v>8</v>
      </c>
      <c r="H10415" s="6" t="s">
        <v>21150</v>
      </c>
      <c r="I10415" s="6">
        <v>526.6875</v>
      </c>
      <c r="J10415" s="2">
        <f t="shared" si="162"/>
        <v>43748.242604120365</v>
      </c>
    </row>
    <row r="10416" spans="1:10" x14ac:dyDescent="0.25">
      <c r="A10416" s="7" t="s">
        <v>21151</v>
      </c>
      <c r="B10416" s="8">
        <v>393.75</v>
      </c>
      <c r="C10416" s="8">
        <v>20.478950000000001</v>
      </c>
      <c r="D10416" s="8">
        <v>99</v>
      </c>
      <c r="E10416" s="8">
        <v>0</v>
      </c>
      <c r="F10416" s="8">
        <v>0</v>
      </c>
      <c r="G10416" s="8">
        <v>15</v>
      </c>
      <c r="H10416" s="8" t="s">
        <v>21152</v>
      </c>
      <c r="I10416" s="8">
        <v>526.6875</v>
      </c>
      <c r="J10416" s="3">
        <f t="shared" si="162"/>
        <v>43748.242682337957</v>
      </c>
    </row>
    <row r="10417" spans="1:10" x14ac:dyDescent="0.25">
      <c r="A10417" s="5" t="s">
        <v>21153</v>
      </c>
      <c r="B10417" s="6">
        <v>396.875</v>
      </c>
      <c r="C10417" s="6">
        <v>20.478950000000001</v>
      </c>
      <c r="D10417" s="6">
        <v>101</v>
      </c>
      <c r="E10417" s="6">
        <v>0</v>
      </c>
      <c r="F10417" s="6">
        <v>0</v>
      </c>
      <c r="G10417" s="6">
        <v>11</v>
      </c>
      <c r="H10417" s="6" t="s">
        <v>21154</v>
      </c>
      <c r="I10417" s="6">
        <v>527.4375</v>
      </c>
      <c r="J10417" s="2">
        <f t="shared" si="162"/>
        <v>43748.242758773144</v>
      </c>
    </row>
    <row r="10418" spans="1:10" x14ac:dyDescent="0.25">
      <c r="A10418" s="7" t="s">
        <v>21155</v>
      </c>
      <c r="B10418" s="8">
        <v>393.75</v>
      </c>
      <c r="C10418" s="8">
        <v>20.478950000000001</v>
      </c>
      <c r="D10418" s="8">
        <v>101</v>
      </c>
      <c r="E10418" s="8">
        <v>0</v>
      </c>
      <c r="F10418" s="8">
        <v>0</v>
      </c>
      <c r="G10418" s="8">
        <v>4</v>
      </c>
      <c r="H10418" s="8" t="s">
        <v>21156</v>
      </c>
      <c r="I10418" s="8">
        <v>526.6875</v>
      </c>
      <c r="J10418" s="3">
        <f t="shared" si="162"/>
        <v>43748.242830046293</v>
      </c>
    </row>
    <row r="10419" spans="1:10" x14ac:dyDescent="0.25">
      <c r="A10419" s="5" t="s">
        <v>21157</v>
      </c>
      <c r="B10419" s="6">
        <v>393.75</v>
      </c>
      <c r="C10419" s="6">
        <v>20.478950000000001</v>
      </c>
      <c r="D10419" s="6">
        <v>101</v>
      </c>
      <c r="E10419" s="6">
        <v>0</v>
      </c>
      <c r="F10419" s="6">
        <v>0</v>
      </c>
      <c r="G10419" s="6">
        <v>6</v>
      </c>
      <c r="H10419" s="6" t="s">
        <v>21158</v>
      </c>
      <c r="I10419" s="6">
        <v>526.6875</v>
      </c>
      <c r="J10419" s="2">
        <f t="shared" si="162"/>
        <v>43748.242902280086</v>
      </c>
    </row>
    <row r="10420" spans="1:10" x14ac:dyDescent="0.25">
      <c r="A10420" s="7" t="s">
        <v>21159</v>
      </c>
      <c r="B10420" s="8">
        <v>393.75</v>
      </c>
      <c r="C10420" s="8">
        <v>20.426300000000001</v>
      </c>
      <c r="D10420" s="8">
        <v>101</v>
      </c>
      <c r="E10420" s="8">
        <v>0</v>
      </c>
      <c r="F10420" s="8">
        <v>0</v>
      </c>
      <c r="G10420" s="8">
        <v>9</v>
      </c>
      <c r="H10420" s="8" t="s">
        <v>21160</v>
      </c>
      <c r="I10420" s="8">
        <v>526.6875</v>
      </c>
      <c r="J10420" s="3">
        <f t="shared" si="162"/>
        <v>43748.242973576387</v>
      </c>
    </row>
    <row r="10421" spans="1:10" x14ac:dyDescent="0.25">
      <c r="A10421" s="5" t="s">
        <v>21161</v>
      </c>
      <c r="B10421" s="6">
        <v>393.75</v>
      </c>
      <c r="C10421" s="6">
        <v>20.478950000000001</v>
      </c>
      <c r="D10421" s="6">
        <v>100</v>
      </c>
      <c r="E10421" s="6">
        <v>0</v>
      </c>
      <c r="F10421" s="6">
        <v>0</v>
      </c>
      <c r="G10421" s="6">
        <v>15</v>
      </c>
      <c r="H10421" s="6" t="s">
        <v>21162</v>
      </c>
      <c r="I10421" s="6">
        <v>526.6875</v>
      </c>
      <c r="J10421" s="2">
        <f t="shared" si="162"/>
        <v>43748.243044861105</v>
      </c>
    </row>
    <row r="10422" spans="1:10" x14ac:dyDescent="0.25">
      <c r="A10422" s="7" t="s">
        <v>21163</v>
      </c>
      <c r="B10422" s="8">
        <v>393.75</v>
      </c>
      <c r="C10422" s="8">
        <v>20.426300000000001</v>
      </c>
      <c r="D10422" s="8">
        <v>101</v>
      </c>
      <c r="E10422" s="8">
        <v>0</v>
      </c>
      <c r="F10422" s="8">
        <v>0</v>
      </c>
      <c r="G10422" s="8">
        <v>5</v>
      </c>
      <c r="H10422" s="8" t="s">
        <v>21164</v>
      </c>
      <c r="I10422" s="8">
        <v>526.5</v>
      </c>
      <c r="J10422" s="3">
        <f t="shared" si="162"/>
        <v>43748.243116238424</v>
      </c>
    </row>
    <row r="10423" spans="1:10" x14ac:dyDescent="0.25">
      <c r="A10423" s="5" t="s">
        <v>21165</v>
      </c>
      <c r="B10423" s="6">
        <v>396.875</v>
      </c>
      <c r="C10423" s="6">
        <v>20.426300000000001</v>
      </c>
      <c r="D10423" s="6">
        <v>100</v>
      </c>
      <c r="E10423" s="6">
        <v>0</v>
      </c>
      <c r="F10423" s="6">
        <v>0</v>
      </c>
      <c r="G10423" s="6">
        <v>9</v>
      </c>
      <c r="H10423" s="6" t="s">
        <v>21166</v>
      </c>
      <c r="I10423" s="6">
        <v>527.4375</v>
      </c>
      <c r="J10423" s="2">
        <f t="shared" si="162"/>
        <v>43748.243188402776</v>
      </c>
    </row>
    <row r="10424" spans="1:10" x14ac:dyDescent="0.25">
      <c r="A10424" s="7" t="s">
        <v>21167</v>
      </c>
      <c r="B10424" s="8">
        <v>393.75</v>
      </c>
      <c r="C10424" s="8">
        <v>20.478950000000001</v>
      </c>
      <c r="D10424" s="8">
        <v>100</v>
      </c>
      <c r="E10424" s="8">
        <v>0</v>
      </c>
      <c r="F10424" s="8">
        <v>0</v>
      </c>
      <c r="G10424" s="8">
        <v>10</v>
      </c>
      <c r="H10424" s="8" t="s">
        <v>21168</v>
      </c>
      <c r="I10424" s="8">
        <v>526.6875</v>
      </c>
      <c r="J10424" s="3">
        <f t="shared" si="162"/>
        <v>43748.243259687493</v>
      </c>
    </row>
    <row r="10425" spans="1:10" x14ac:dyDescent="0.25">
      <c r="A10425" s="5" t="s">
        <v>21169</v>
      </c>
      <c r="B10425" s="6">
        <v>393.75</v>
      </c>
      <c r="C10425" s="6">
        <v>20.478950000000001</v>
      </c>
      <c r="D10425" s="6">
        <v>97</v>
      </c>
      <c r="E10425" s="6">
        <v>0</v>
      </c>
      <c r="F10425" s="6">
        <v>0</v>
      </c>
      <c r="G10425" s="6">
        <v>8</v>
      </c>
      <c r="H10425" s="6" t="s">
        <v>21170</v>
      </c>
      <c r="I10425" s="6">
        <v>526.6875</v>
      </c>
      <c r="J10425" s="2">
        <f t="shared" si="162"/>
        <v>43748.243331157406</v>
      </c>
    </row>
    <row r="10426" spans="1:10" x14ac:dyDescent="0.25">
      <c r="A10426" s="7" t="s">
        <v>21171</v>
      </c>
      <c r="B10426" s="8">
        <v>393.75</v>
      </c>
      <c r="C10426" s="8">
        <v>20.426300000000001</v>
      </c>
      <c r="D10426" s="8">
        <v>97</v>
      </c>
      <c r="E10426" s="8">
        <v>0</v>
      </c>
      <c r="F10426" s="8">
        <v>0</v>
      </c>
      <c r="G10426" s="8">
        <v>9</v>
      </c>
      <c r="H10426" s="8" t="s">
        <v>21172</v>
      </c>
      <c r="I10426" s="8">
        <v>526.6875</v>
      </c>
      <c r="J10426" s="3">
        <f t="shared" si="162"/>
        <v>43748.243402326385</v>
      </c>
    </row>
    <row r="10427" spans="1:10" x14ac:dyDescent="0.25">
      <c r="A10427" s="5" t="s">
        <v>21173</v>
      </c>
      <c r="B10427" s="6">
        <v>393.75</v>
      </c>
      <c r="C10427" s="6">
        <v>20.426300000000001</v>
      </c>
      <c r="D10427" s="6">
        <v>97</v>
      </c>
      <c r="E10427" s="6">
        <v>0</v>
      </c>
      <c r="F10427" s="6">
        <v>0</v>
      </c>
      <c r="G10427" s="6">
        <v>7</v>
      </c>
      <c r="H10427" s="6" t="s">
        <v>21174</v>
      </c>
      <c r="I10427" s="6">
        <v>526.6875</v>
      </c>
      <c r="J10427" s="2">
        <f t="shared" si="162"/>
        <v>43748.243474490737</v>
      </c>
    </row>
    <row r="10428" spans="1:10" x14ac:dyDescent="0.25">
      <c r="A10428" s="7" t="s">
        <v>21175</v>
      </c>
      <c r="B10428" s="8">
        <v>393.75</v>
      </c>
      <c r="C10428" s="8">
        <v>20.478950000000001</v>
      </c>
      <c r="D10428" s="8">
        <v>98</v>
      </c>
      <c r="E10428" s="8">
        <v>0</v>
      </c>
      <c r="F10428" s="8">
        <v>0</v>
      </c>
      <c r="G10428" s="8">
        <v>12</v>
      </c>
      <c r="H10428" s="8" t="s">
        <v>21176</v>
      </c>
      <c r="I10428" s="8">
        <v>526.6875</v>
      </c>
      <c r="J10428" s="3">
        <f t="shared" si="162"/>
        <v>43748.243559733797</v>
      </c>
    </row>
    <row r="10429" spans="1:10" x14ac:dyDescent="0.25">
      <c r="A10429" s="5" t="s">
        <v>21177</v>
      </c>
      <c r="B10429" s="6">
        <v>393.75</v>
      </c>
      <c r="C10429" s="6">
        <v>20.478950000000001</v>
      </c>
      <c r="D10429" s="6">
        <v>99</v>
      </c>
      <c r="E10429" s="6">
        <v>0</v>
      </c>
      <c r="F10429" s="6">
        <v>0</v>
      </c>
      <c r="G10429" s="6">
        <v>8</v>
      </c>
      <c r="H10429" s="6" t="s">
        <v>21178</v>
      </c>
      <c r="I10429" s="6">
        <v>526.6875</v>
      </c>
      <c r="J10429" s="2">
        <f t="shared" si="162"/>
        <v>43748.243641157409</v>
      </c>
    </row>
    <row r="10430" spans="1:10" x14ac:dyDescent="0.25">
      <c r="A10430" s="7" t="s">
        <v>21179</v>
      </c>
      <c r="B10430" s="8">
        <v>393.75</v>
      </c>
      <c r="C10430" s="8">
        <v>20.478950000000001</v>
      </c>
      <c r="D10430" s="8">
        <v>99</v>
      </c>
      <c r="E10430" s="8">
        <v>0</v>
      </c>
      <c r="F10430" s="8">
        <v>0</v>
      </c>
      <c r="G10430" s="8">
        <v>6</v>
      </c>
      <c r="H10430" s="8" t="s">
        <v>21180</v>
      </c>
      <c r="I10430" s="8">
        <v>526.6875</v>
      </c>
      <c r="J10430" s="3">
        <f t="shared" si="162"/>
        <v>43748.243712465272</v>
      </c>
    </row>
    <row r="10431" spans="1:10" x14ac:dyDescent="0.25">
      <c r="A10431" s="5" t="s">
        <v>21181</v>
      </c>
      <c r="B10431" s="6">
        <v>393.75</v>
      </c>
      <c r="C10431" s="6">
        <v>20.478950000000001</v>
      </c>
      <c r="D10431" s="6">
        <v>100</v>
      </c>
      <c r="E10431" s="6">
        <v>0</v>
      </c>
      <c r="F10431" s="6">
        <v>0</v>
      </c>
      <c r="G10431" s="6">
        <v>1</v>
      </c>
      <c r="H10431" s="6" t="s">
        <v>21182</v>
      </c>
      <c r="I10431" s="6">
        <v>526.5</v>
      </c>
      <c r="J10431" s="2">
        <f t="shared" si="162"/>
        <v>43748.243807835643</v>
      </c>
    </row>
    <row r="10432" spans="1:10" x14ac:dyDescent="0.25">
      <c r="A10432" s="7" t="s">
        <v>21183</v>
      </c>
      <c r="B10432" s="8">
        <v>393.75</v>
      </c>
      <c r="C10432" s="8">
        <v>20.478950000000001</v>
      </c>
      <c r="D10432" s="8">
        <v>99</v>
      </c>
      <c r="E10432" s="8">
        <v>0</v>
      </c>
      <c r="F10432" s="8">
        <v>0</v>
      </c>
      <c r="G10432" s="8">
        <v>1</v>
      </c>
      <c r="H10432" s="8" t="s">
        <v>21184</v>
      </c>
      <c r="I10432" s="8">
        <v>526.6875</v>
      </c>
      <c r="J10432" s="3">
        <f t="shared" si="162"/>
        <v>43748.243879884256</v>
      </c>
    </row>
    <row r="10433" spans="1:10" x14ac:dyDescent="0.25">
      <c r="A10433" s="5" t="s">
        <v>21185</v>
      </c>
      <c r="B10433" s="6">
        <v>393.75</v>
      </c>
      <c r="C10433" s="6">
        <v>20.478950000000001</v>
      </c>
      <c r="D10433" s="6">
        <v>102</v>
      </c>
      <c r="E10433" s="6">
        <v>0</v>
      </c>
      <c r="F10433" s="6">
        <v>0</v>
      </c>
      <c r="G10433" s="6">
        <v>13</v>
      </c>
      <c r="H10433" s="6" t="s">
        <v>21186</v>
      </c>
      <c r="I10433" s="6">
        <v>526.6875</v>
      </c>
      <c r="J10433" s="2">
        <f t="shared" si="162"/>
        <v>43748.243951342585</v>
      </c>
    </row>
    <row r="10434" spans="1:10" x14ac:dyDescent="0.25">
      <c r="A10434" s="7" t="s">
        <v>21187</v>
      </c>
      <c r="B10434" s="8">
        <v>418.75</v>
      </c>
      <c r="C10434" s="8">
        <v>20.478950000000001</v>
      </c>
      <c r="D10434" s="8">
        <v>104</v>
      </c>
      <c r="E10434" s="8">
        <v>0</v>
      </c>
      <c r="F10434" s="8">
        <v>0</v>
      </c>
      <c r="G10434" s="8">
        <v>10</v>
      </c>
      <c r="H10434" s="8" t="s">
        <v>21188</v>
      </c>
      <c r="I10434" s="8">
        <v>534.1875</v>
      </c>
      <c r="J10434" s="3">
        <f t="shared" ref="J10434:J10497" si="163">(H10434/86400000)+25569+(7/24)</f>
        <v>43748.244022638886</v>
      </c>
    </row>
    <row r="10435" spans="1:10" x14ac:dyDescent="0.25">
      <c r="A10435" s="5" t="s">
        <v>21189</v>
      </c>
      <c r="B10435" s="6">
        <v>393.75</v>
      </c>
      <c r="C10435" s="6">
        <v>20.426300000000001</v>
      </c>
      <c r="D10435" s="6">
        <v>104</v>
      </c>
      <c r="E10435" s="6">
        <v>0</v>
      </c>
      <c r="F10435" s="6">
        <v>0</v>
      </c>
      <c r="G10435" s="6">
        <v>11</v>
      </c>
      <c r="H10435" s="6" t="s">
        <v>21190</v>
      </c>
      <c r="I10435" s="6">
        <v>526.5</v>
      </c>
      <c r="J10435" s="2">
        <f t="shared" si="163"/>
        <v>43748.244093946756</v>
      </c>
    </row>
    <row r="10436" spans="1:10" x14ac:dyDescent="0.25">
      <c r="A10436" s="7" t="s">
        <v>21191</v>
      </c>
      <c r="B10436" s="8">
        <v>393.75</v>
      </c>
      <c r="C10436" s="8">
        <v>20.478950000000001</v>
      </c>
      <c r="D10436" s="8">
        <v>104</v>
      </c>
      <c r="E10436" s="8">
        <v>0</v>
      </c>
      <c r="F10436" s="8">
        <v>0</v>
      </c>
      <c r="G10436" s="8">
        <v>12</v>
      </c>
      <c r="H10436" s="8" t="s">
        <v>21192</v>
      </c>
      <c r="I10436" s="8">
        <v>526.6875</v>
      </c>
      <c r="J10436" s="3">
        <f t="shared" si="163"/>
        <v>43748.244177337961</v>
      </c>
    </row>
    <row r="10437" spans="1:10" x14ac:dyDescent="0.25">
      <c r="A10437" s="5" t="s">
        <v>21193</v>
      </c>
      <c r="B10437" s="6">
        <v>393.75</v>
      </c>
      <c r="C10437" s="6">
        <v>20.478950000000001</v>
      </c>
      <c r="D10437" s="6">
        <v>104</v>
      </c>
      <c r="E10437" s="6">
        <v>0</v>
      </c>
      <c r="F10437" s="6">
        <v>0</v>
      </c>
      <c r="G10437" s="6">
        <v>4</v>
      </c>
      <c r="H10437" s="6" t="s">
        <v>21194</v>
      </c>
      <c r="I10437" s="6">
        <v>526.6875</v>
      </c>
      <c r="J10437" s="2">
        <f t="shared" si="163"/>
        <v>43748.244249432864</v>
      </c>
    </row>
    <row r="10438" spans="1:10" x14ac:dyDescent="0.25">
      <c r="A10438" s="7" t="s">
        <v>21195</v>
      </c>
      <c r="B10438" s="8">
        <v>393.75</v>
      </c>
      <c r="C10438" s="8">
        <v>20.426300000000001</v>
      </c>
      <c r="D10438" s="8">
        <v>102</v>
      </c>
      <c r="E10438" s="8">
        <v>0</v>
      </c>
      <c r="F10438" s="8">
        <v>0</v>
      </c>
      <c r="G10438" s="8">
        <v>9</v>
      </c>
      <c r="H10438" s="8" t="s">
        <v>21196</v>
      </c>
      <c r="I10438" s="8">
        <v>526.6875</v>
      </c>
      <c r="J10438" s="3">
        <f t="shared" si="163"/>
        <v>43748.244344826388</v>
      </c>
    </row>
    <row r="10439" spans="1:10" x14ac:dyDescent="0.25">
      <c r="A10439" s="5" t="s">
        <v>21197</v>
      </c>
      <c r="B10439" s="6">
        <v>393.75</v>
      </c>
      <c r="C10439" s="6">
        <v>20.478950000000001</v>
      </c>
      <c r="D10439" s="6">
        <v>103</v>
      </c>
      <c r="E10439" s="6">
        <v>0</v>
      </c>
      <c r="F10439" s="6">
        <v>0</v>
      </c>
      <c r="G10439" s="6">
        <v>0</v>
      </c>
      <c r="H10439" s="6" t="s">
        <v>21198</v>
      </c>
      <c r="I10439" s="6">
        <v>526.5</v>
      </c>
      <c r="J10439" s="2">
        <f t="shared" si="163"/>
        <v>43748.244427025456</v>
      </c>
    </row>
    <row r="10440" spans="1:10" x14ac:dyDescent="0.25">
      <c r="A10440" s="7" t="s">
        <v>21199</v>
      </c>
      <c r="B10440" s="8">
        <v>393.75</v>
      </c>
      <c r="C10440" s="8">
        <v>20.426300000000001</v>
      </c>
      <c r="D10440" s="8">
        <v>102</v>
      </c>
      <c r="E10440" s="8">
        <v>0</v>
      </c>
      <c r="F10440" s="8">
        <v>0</v>
      </c>
      <c r="G10440" s="8">
        <v>12</v>
      </c>
      <c r="H10440" s="8" t="s">
        <v>21200</v>
      </c>
      <c r="I10440" s="8">
        <v>526.6875</v>
      </c>
      <c r="J10440" s="3">
        <f t="shared" si="163"/>
        <v>43748.244499502311</v>
      </c>
    </row>
    <row r="10441" spans="1:10" x14ac:dyDescent="0.25">
      <c r="A10441" s="5" t="s">
        <v>21201</v>
      </c>
      <c r="B10441" s="6">
        <v>393.75</v>
      </c>
      <c r="C10441" s="6">
        <v>20.478950000000001</v>
      </c>
      <c r="D10441" s="6">
        <v>102</v>
      </c>
      <c r="E10441" s="6">
        <v>0</v>
      </c>
      <c r="F10441" s="6">
        <v>0</v>
      </c>
      <c r="G10441" s="6">
        <v>15</v>
      </c>
      <c r="H10441" s="6" t="s">
        <v>21202</v>
      </c>
      <c r="I10441" s="6">
        <v>526.6875</v>
      </c>
      <c r="J10441" s="2">
        <f t="shared" si="163"/>
        <v>43748.24457091435</v>
      </c>
    </row>
    <row r="10442" spans="1:10" x14ac:dyDescent="0.25">
      <c r="A10442" s="7" t="s">
        <v>21203</v>
      </c>
      <c r="B10442" s="8">
        <v>393.75</v>
      </c>
      <c r="C10442" s="8">
        <v>20.478950000000001</v>
      </c>
      <c r="D10442" s="8">
        <v>103</v>
      </c>
      <c r="E10442" s="8">
        <v>0</v>
      </c>
      <c r="F10442" s="8">
        <v>0</v>
      </c>
      <c r="G10442" s="8">
        <v>16</v>
      </c>
      <c r="H10442" s="8" t="s">
        <v>21204</v>
      </c>
      <c r="I10442" s="8">
        <v>526.6875</v>
      </c>
      <c r="J10442" s="3">
        <f t="shared" si="163"/>
        <v>43748.24464297454</v>
      </c>
    </row>
    <row r="10443" spans="1:10" x14ac:dyDescent="0.25">
      <c r="A10443" s="5" t="s">
        <v>21205</v>
      </c>
      <c r="B10443" s="6">
        <v>393.75</v>
      </c>
      <c r="C10443" s="6">
        <v>20.478950000000001</v>
      </c>
      <c r="D10443" s="6">
        <v>102</v>
      </c>
      <c r="E10443" s="6">
        <v>0</v>
      </c>
      <c r="F10443" s="6">
        <v>0</v>
      </c>
      <c r="G10443" s="6">
        <v>18</v>
      </c>
      <c r="H10443" s="6" t="s">
        <v>21206</v>
      </c>
      <c r="I10443" s="6">
        <v>526.6875</v>
      </c>
      <c r="J10443" s="2">
        <f t="shared" si="163"/>
        <v>43748.244715092595</v>
      </c>
    </row>
    <row r="10444" spans="1:10" x14ac:dyDescent="0.25">
      <c r="A10444" s="7" t="s">
        <v>21207</v>
      </c>
      <c r="B10444" s="8">
        <v>393.75</v>
      </c>
      <c r="C10444" s="8">
        <v>20.478950000000001</v>
      </c>
      <c r="D10444" s="8">
        <v>102</v>
      </c>
      <c r="E10444" s="8">
        <v>0</v>
      </c>
      <c r="F10444" s="8">
        <v>0</v>
      </c>
      <c r="G10444" s="8">
        <v>9</v>
      </c>
      <c r="H10444" s="8" t="s">
        <v>21208</v>
      </c>
      <c r="I10444" s="8">
        <v>526.6875</v>
      </c>
      <c r="J10444" s="3">
        <f t="shared" si="163"/>
        <v>43748.244785625</v>
      </c>
    </row>
    <row r="10445" spans="1:10" x14ac:dyDescent="0.25">
      <c r="A10445" s="5" t="s">
        <v>21209</v>
      </c>
      <c r="B10445" s="6">
        <v>393.75</v>
      </c>
      <c r="C10445" s="6">
        <v>20.478950000000001</v>
      </c>
      <c r="D10445" s="6">
        <v>102</v>
      </c>
      <c r="E10445" s="6">
        <v>0</v>
      </c>
      <c r="F10445" s="6">
        <v>0</v>
      </c>
      <c r="G10445" s="6">
        <v>8</v>
      </c>
      <c r="H10445" s="6" t="s">
        <v>21210</v>
      </c>
      <c r="I10445" s="6">
        <v>526.6875</v>
      </c>
      <c r="J10445" s="2">
        <f t="shared" si="163"/>
        <v>43748.244857685182</v>
      </c>
    </row>
    <row r="10446" spans="1:10" x14ac:dyDescent="0.25">
      <c r="A10446" s="7" t="s">
        <v>21211</v>
      </c>
      <c r="B10446" s="8">
        <v>393.75</v>
      </c>
      <c r="C10446" s="8">
        <v>20.478950000000001</v>
      </c>
      <c r="D10446" s="8">
        <v>101</v>
      </c>
      <c r="E10446" s="8">
        <v>0</v>
      </c>
      <c r="F10446" s="8">
        <v>0</v>
      </c>
      <c r="G10446" s="8">
        <v>23</v>
      </c>
      <c r="H10446" s="8" t="s">
        <v>21212</v>
      </c>
      <c r="I10446" s="8">
        <v>526.6875</v>
      </c>
      <c r="J10446" s="3">
        <f t="shared" si="163"/>
        <v>43748.244929155095</v>
      </c>
    </row>
    <row r="10447" spans="1:10" x14ac:dyDescent="0.25">
      <c r="A10447" s="5" t="s">
        <v>21213</v>
      </c>
      <c r="B10447" s="6">
        <v>393.75</v>
      </c>
      <c r="C10447" s="6">
        <v>20.478950000000001</v>
      </c>
      <c r="D10447" s="6">
        <v>101</v>
      </c>
      <c r="E10447" s="6">
        <v>0</v>
      </c>
      <c r="F10447" s="6">
        <v>0</v>
      </c>
      <c r="G10447" s="6">
        <v>21</v>
      </c>
      <c r="H10447" s="6" t="s">
        <v>21214</v>
      </c>
      <c r="I10447" s="6">
        <v>526.6875</v>
      </c>
      <c r="J10447" s="2">
        <f t="shared" si="163"/>
        <v>43748.245000451388</v>
      </c>
    </row>
    <row r="10448" spans="1:10" x14ac:dyDescent="0.25">
      <c r="A10448" s="7" t="s">
        <v>21215</v>
      </c>
      <c r="B10448" s="8">
        <v>412.5</v>
      </c>
      <c r="C10448" s="8">
        <v>20.478950000000001</v>
      </c>
      <c r="D10448" s="8">
        <v>104</v>
      </c>
      <c r="E10448" s="8">
        <v>0</v>
      </c>
      <c r="F10448" s="8">
        <v>0</v>
      </c>
      <c r="G10448" s="8">
        <v>12</v>
      </c>
      <c r="H10448" s="8" t="s">
        <v>21216</v>
      </c>
      <c r="I10448" s="8">
        <v>532.3125</v>
      </c>
      <c r="J10448" s="3">
        <f t="shared" si="163"/>
        <v>43748.245071793979</v>
      </c>
    </row>
    <row r="10449" spans="1:10" x14ac:dyDescent="0.25">
      <c r="A10449" s="5" t="s">
        <v>21217</v>
      </c>
      <c r="B10449" s="6">
        <v>393.75</v>
      </c>
      <c r="C10449" s="6">
        <v>20.478950000000001</v>
      </c>
      <c r="D10449" s="6">
        <v>104</v>
      </c>
      <c r="E10449" s="6">
        <v>0</v>
      </c>
      <c r="F10449" s="6">
        <v>0</v>
      </c>
      <c r="G10449" s="6">
        <v>6</v>
      </c>
      <c r="H10449" s="6" t="s">
        <v>21218</v>
      </c>
      <c r="I10449" s="6">
        <v>526.6875</v>
      </c>
      <c r="J10449" s="2">
        <f t="shared" si="163"/>
        <v>43748.245143032407</v>
      </c>
    </row>
    <row r="10450" spans="1:10" x14ac:dyDescent="0.25">
      <c r="A10450" s="7" t="s">
        <v>21219</v>
      </c>
      <c r="B10450" s="8">
        <v>393.75</v>
      </c>
      <c r="C10450" s="8">
        <v>20.426300000000001</v>
      </c>
      <c r="D10450" s="8">
        <v>102</v>
      </c>
      <c r="E10450" s="8">
        <v>0</v>
      </c>
      <c r="F10450" s="8">
        <v>0</v>
      </c>
      <c r="G10450" s="8">
        <v>6</v>
      </c>
      <c r="H10450" s="8" t="s">
        <v>21220</v>
      </c>
      <c r="I10450" s="8">
        <v>526.6875</v>
      </c>
      <c r="J10450" s="3">
        <f t="shared" si="163"/>
        <v>43748.245215243056</v>
      </c>
    </row>
    <row r="10451" spans="1:10" x14ac:dyDescent="0.25">
      <c r="A10451" s="5" t="s">
        <v>21221</v>
      </c>
      <c r="B10451" s="6">
        <v>393.75</v>
      </c>
      <c r="C10451" s="6">
        <v>20.426300000000001</v>
      </c>
      <c r="D10451" s="6">
        <v>101</v>
      </c>
      <c r="E10451" s="6">
        <v>0</v>
      </c>
      <c r="F10451" s="6">
        <v>0</v>
      </c>
      <c r="G10451" s="6">
        <v>3</v>
      </c>
      <c r="H10451" s="6" t="s">
        <v>21222</v>
      </c>
      <c r="I10451" s="6">
        <v>526.6875</v>
      </c>
      <c r="J10451" s="2">
        <f t="shared" si="163"/>
        <v>43748.245286562502</v>
      </c>
    </row>
    <row r="10452" spans="1:10" x14ac:dyDescent="0.25">
      <c r="A10452" s="7" t="s">
        <v>21223</v>
      </c>
      <c r="B10452" s="8">
        <v>393.75</v>
      </c>
      <c r="C10452" s="8">
        <v>20.426300000000001</v>
      </c>
      <c r="D10452" s="8">
        <v>101</v>
      </c>
      <c r="E10452" s="8">
        <v>0</v>
      </c>
      <c r="F10452" s="8">
        <v>0</v>
      </c>
      <c r="G10452" s="8">
        <v>13</v>
      </c>
      <c r="H10452" s="8" t="s">
        <v>21224</v>
      </c>
      <c r="I10452" s="8">
        <v>526.6875</v>
      </c>
      <c r="J10452" s="3">
        <f t="shared" si="163"/>
        <v>43748.245369895834</v>
      </c>
    </row>
    <row r="10453" spans="1:10" x14ac:dyDescent="0.25">
      <c r="A10453" s="5" t="s">
        <v>21225</v>
      </c>
      <c r="B10453" s="6">
        <v>393.75</v>
      </c>
      <c r="C10453" s="6">
        <v>20.478950000000001</v>
      </c>
      <c r="D10453" s="6">
        <v>101</v>
      </c>
      <c r="E10453" s="6">
        <v>0</v>
      </c>
      <c r="F10453" s="6">
        <v>0</v>
      </c>
      <c r="G10453" s="6">
        <v>2</v>
      </c>
      <c r="H10453" s="6" t="s">
        <v>21226</v>
      </c>
      <c r="I10453" s="6">
        <v>526.5</v>
      </c>
      <c r="J10453" s="2">
        <f t="shared" si="163"/>
        <v>43748.245441863422</v>
      </c>
    </row>
    <row r="10454" spans="1:10" x14ac:dyDescent="0.25">
      <c r="A10454" s="7" t="s">
        <v>21227</v>
      </c>
      <c r="B10454" s="8">
        <v>393.75</v>
      </c>
      <c r="C10454" s="8">
        <v>20.478950000000001</v>
      </c>
      <c r="D10454" s="8">
        <v>101</v>
      </c>
      <c r="E10454" s="8">
        <v>0</v>
      </c>
      <c r="F10454" s="8">
        <v>0</v>
      </c>
      <c r="G10454" s="8">
        <v>17</v>
      </c>
      <c r="H10454" s="8" t="s">
        <v>21228</v>
      </c>
      <c r="I10454" s="8">
        <v>526.5</v>
      </c>
      <c r="J10454" s="3">
        <f t="shared" si="163"/>
        <v>43748.245513391201</v>
      </c>
    </row>
    <row r="10455" spans="1:10" x14ac:dyDescent="0.25">
      <c r="A10455" s="5" t="s">
        <v>21229</v>
      </c>
      <c r="B10455" s="6">
        <v>393.75</v>
      </c>
      <c r="C10455" s="6">
        <v>20.478950000000001</v>
      </c>
      <c r="D10455" s="6">
        <v>102</v>
      </c>
      <c r="E10455" s="6">
        <v>0</v>
      </c>
      <c r="F10455" s="6">
        <v>0</v>
      </c>
      <c r="G10455" s="6">
        <v>10</v>
      </c>
      <c r="H10455" s="6" t="s">
        <v>21230</v>
      </c>
      <c r="I10455" s="6">
        <v>526.6875</v>
      </c>
      <c r="J10455" s="2">
        <f t="shared" si="163"/>
        <v>43748.245584687502</v>
      </c>
    </row>
    <row r="10456" spans="1:10" x14ac:dyDescent="0.25">
      <c r="A10456" s="7" t="s">
        <v>21231</v>
      </c>
      <c r="B10456" s="8">
        <v>393.75</v>
      </c>
      <c r="C10456" s="8">
        <v>20.478950000000001</v>
      </c>
      <c r="D10456" s="8">
        <v>101</v>
      </c>
      <c r="E10456" s="8">
        <v>0</v>
      </c>
      <c r="F10456" s="8">
        <v>0</v>
      </c>
      <c r="G10456" s="8">
        <v>10</v>
      </c>
      <c r="H10456" s="8" t="s">
        <v>21232</v>
      </c>
      <c r="I10456" s="8">
        <v>526.6875</v>
      </c>
      <c r="J10456" s="3">
        <f t="shared" si="163"/>
        <v>43748.245655983796</v>
      </c>
    </row>
    <row r="10457" spans="1:10" x14ac:dyDescent="0.25">
      <c r="A10457" s="5" t="s">
        <v>21233</v>
      </c>
      <c r="B10457" s="6">
        <v>393.75</v>
      </c>
      <c r="C10457" s="6">
        <v>20.478950000000001</v>
      </c>
      <c r="D10457" s="6">
        <v>101</v>
      </c>
      <c r="E10457" s="6">
        <v>0</v>
      </c>
      <c r="F10457" s="6">
        <v>0</v>
      </c>
      <c r="G10457" s="6">
        <v>0</v>
      </c>
      <c r="H10457" s="6" t="s">
        <v>21234</v>
      </c>
      <c r="I10457" s="6">
        <v>526.6875</v>
      </c>
      <c r="J10457" s="2">
        <f t="shared" si="163"/>
        <v>43748.245728217589</v>
      </c>
    </row>
    <row r="10458" spans="1:10" x14ac:dyDescent="0.25">
      <c r="A10458" s="7" t="s">
        <v>21235</v>
      </c>
      <c r="B10458" s="8">
        <v>393.75</v>
      </c>
      <c r="C10458" s="8">
        <v>20.478950000000001</v>
      </c>
      <c r="D10458" s="8">
        <v>100</v>
      </c>
      <c r="E10458" s="8">
        <v>0</v>
      </c>
      <c r="F10458" s="8">
        <v>0</v>
      </c>
      <c r="G10458" s="8">
        <v>10</v>
      </c>
      <c r="H10458" s="8" t="s">
        <v>21236</v>
      </c>
      <c r="I10458" s="8">
        <v>526.6875</v>
      </c>
      <c r="J10458" s="3">
        <f t="shared" si="163"/>
        <v>43748.24579951389</v>
      </c>
    </row>
    <row r="10459" spans="1:10" x14ac:dyDescent="0.25">
      <c r="A10459" s="5" t="s">
        <v>21237</v>
      </c>
      <c r="B10459" s="6">
        <v>393.75</v>
      </c>
      <c r="C10459" s="6">
        <v>20.426300000000001</v>
      </c>
      <c r="D10459" s="6">
        <v>100</v>
      </c>
      <c r="E10459" s="6">
        <v>0</v>
      </c>
      <c r="F10459" s="6">
        <v>0</v>
      </c>
      <c r="G10459" s="6">
        <v>16</v>
      </c>
      <c r="H10459" s="6" t="s">
        <v>21238</v>
      </c>
      <c r="I10459" s="6">
        <v>526.5</v>
      </c>
      <c r="J10459" s="2">
        <f t="shared" si="163"/>
        <v>43748.245870798608</v>
      </c>
    </row>
    <row r="10460" spans="1:10" x14ac:dyDescent="0.25">
      <c r="A10460" s="7" t="s">
        <v>21239</v>
      </c>
      <c r="B10460" s="8">
        <v>418.75</v>
      </c>
      <c r="C10460" s="8">
        <v>20.426300000000001</v>
      </c>
      <c r="D10460" s="8">
        <v>100</v>
      </c>
      <c r="E10460" s="8">
        <v>0</v>
      </c>
      <c r="F10460" s="8">
        <v>0</v>
      </c>
      <c r="G10460" s="8">
        <v>10</v>
      </c>
      <c r="H10460" s="8" t="s">
        <v>21240</v>
      </c>
      <c r="I10460" s="8">
        <v>534.375</v>
      </c>
      <c r="J10460" s="3">
        <f t="shared" si="163"/>
        <v>43748.245942118054</v>
      </c>
    </row>
    <row r="10461" spans="1:10" x14ac:dyDescent="0.25">
      <c r="A10461" s="5" t="s">
        <v>21241</v>
      </c>
      <c r="B10461" s="6">
        <v>393.75</v>
      </c>
      <c r="C10461" s="6">
        <v>20.478950000000001</v>
      </c>
      <c r="D10461" s="6">
        <v>100</v>
      </c>
      <c r="E10461" s="6">
        <v>0</v>
      </c>
      <c r="F10461" s="6">
        <v>0</v>
      </c>
      <c r="G10461" s="6">
        <v>8</v>
      </c>
      <c r="H10461" s="6" t="s">
        <v>21242</v>
      </c>
      <c r="I10461" s="6">
        <v>526.6875</v>
      </c>
      <c r="J10461" s="2">
        <f t="shared" si="163"/>
        <v>43748.246014340279</v>
      </c>
    </row>
    <row r="10462" spans="1:10" x14ac:dyDescent="0.25">
      <c r="A10462" s="7" t="s">
        <v>21243</v>
      </c>
      <c r="B10462" s="8">
        <v>393.75</v>
      </c>
      <c r="C10462" s="8">
        <v>20.478950000000001</v>
      </c>
      <c r="D10462" s="8">
        <v>99</v>
      </c>
      <c r="E10462" s="8">
        <v>0</v>
      </c>
      <c r="F10462" s="8">
        <v>0</v>
      </c>
      <c r="G10462" s="8">
        <v>11</v>
      </c>
      <c r="H10462" s="8" t="s">
        <v>21244</v>
      </c>
      <c r="I10462" s="8">
        <v>526.6875</v>
      </c>
      <c r="J10462" s="3">
        <f t="shared" si="163"/>
        <v>43748.246085624996</v>
      </c>
    </row>
    <row r="10463" spans="1:10" x14ac:dyDescent="0.25">
      <c r="A10463" s="5" t="s">
        <v>21245</v>
      </c>
      <c r="B10463" s="6">
        <v>393.75</v>
      </c>
      <c r="C10463" s="6">
        <v>20.426300000000001</v>
      </c>
      <c r="D10463" s="6">
        <v>99</v>
      </c>
      <c r="E10463" s="6">
        <v>0</v>
      </c>
      <c r="F10463" s="6">
        <v>0</v>
      </c>
      <c r="G10463" s="6">
        <v>13</v>
      </c>
      <c r="H10463" s="6" t="s">
        <v>21246</v>
      </c>
      <c r="I10463" s="6">
        <v>526.6875</v>
      </c>
      <c r="J10463" s="2">
        <f t="shared" si="163"/>
        <v>43748.246156909721</v>
      </c>
    </row>
    <row r="10464" spans="1:10" x14ac:dyDescent="0.25">
      <c r="A10464" s="7" t="s">
        <v>21247</v>
      </c>
      <c r="B10464" s="8">
        <v>393.75</v>
      </c>
      <c r="C10464" s="8">
        <v>20.426300000000001</v>
      </c>
      <c r="D10464" s="8">
        <v>98</v>
      </c>
      <c r="E10464" s="8">
        <v>0</v>
      </c>
      <c r="F10464" s="8">
        <v>0</v>
      </c>
      <c r="G10464" s="8">
        <v>12</v>
      </c>
      <c r="H10464" s="8" t="s">
        <v>21248</v>
      </c>
      <c r="I10464" s="8">
        <v>526.5</v>
      </c>
      <c r="J10464" s="3">
        <f t="shared" si="163"/>
        <v>43748.246228263888</v>
      </c>
    </row>
    <row r="10465" spans="1:10" x14ac:dyDescent="0.25">
      <c r="A10465" s="5" t="s">
        <v>21249</v>
      </c>
      <c r="B10465" s="6">
        <v>393.75</v>
      </c>
      <c r="C10465" s="6">
        <v>20.426300000000001</v>
      </c>
      <c r="D10465" s="6">
        <v>103</v>
      </c>
      <c r="E10465" s="6">
        <v>0</v>
      </c>
      <c r="F10465" s="6">
        <v>0</v>
      </c>
      <c r="G10465" s="6">
        <v>19</v>
      </c>
      <c r="H10465" s="6" t="s">
        <v>21250</v>
      </c>
      <c r="I10465" s="6">
        <v>526.6875</v>
      </c>
      <c r="J10465" s="2">
        <f t="shared" si="163"/>
        <v>43748.246300370367</v>
      </c>
    </row>
    <row r="10466" spans="1:10" x14ac:dyDescent="0.25">
      <c r="A10466" s="7" t="s">
        <v>21251</v>
      </c>
      <c r="B10466" s="8">
        <v>393.75</v>
      </c>
      <c r="C10466" s="8">
        <v>20.478950000000001</v>
      </c>
      <c r="D10466" s="8">
        <v>106</v>
      </c>
      <c r="E10466" s="8">
        <v>0</v>
      </c>
      <c r="F10466" s="8">
        <v>0</v>
      </c>
      <c r="G10466" s="8">
        <v>16</v>
      </c>
      <c r="H10466" s="8" t="s">
        <v>21252</v>
      </c>
      <c r="I10466" s="8">
        <v>526.6875</v>
      </c>
      <c r="J10466" s="3">
        <f t="shared" si="163"/>
        <v>43748.246371678237</v>
      </c>
    </row>
    <row r="10467" spans="1:10" x14ac:dyDescent="0.25">
      <c r="A10467" s="5" t="s">
        <v>21253</v>
      </c>
      <c r="B10467" s="6">
        <v>393.75</v>
      </c>
      <c r="C10467" s="6">
        <v>20.478950000000001</v>
      </c>
      <c r="D10467" s="6">
        <v>104</v>
      </c>
      <c r="E10467" s="6">
        <v>0</v>
      </c>
      <c r="F10467" s="6">
        <v>0</v>
      </c>
      <c r="G10467" s="6">
        <v>14</v>
      </c>
      <c r="H10467" s="6" t="s">
        <v>21254</v>
      </c>
      <c r="I10467" s="6">
        <v>526.6875</v>
      </c>
      <c r="J10467" s="2">
        <f t="shared" si="163"/>
        <v>43748.246443032403</v>
      </c>
    </row>
    <row r="10468" spans="1:10" x14ac:dyDescent="0.25">
      <c r="A10468" s="7" t="s">
        <v>21255</v>
      </c>
      <c r="B10468" s="8">
        <v>393.75</v>
      </c>
      <c r="C10468" s="8">
        <v>20.478950000000001</v>
      </c>
      <c r="D10468" s="8">
        <v>98</v>
      </c>
      <c r="E10468" s="8">
        <v>0</v>
      </c>
      <c r="F10468" s="8">
        <v>0</v>
      </c>
      <c r="G10468" s="8">
        <v>16</v>
      </c>
      <c r="H10468" s="8" t="s">
        <v>21256</v>
      </c>
      <c r="I10468" s="8">
        <v>526.5</v>
      </c>
      <c r="J10468" s="3">
        <f t="shared" si="163"/>
        <v>43748.246515254628</v>
      </c>
    </row>
    <row r="10469" spans="1:10" x14ac:dyDescent="0.25">
      <c r="A10469" s="5" t="s">
        <v>21257</v>
      </c>
      <c r="B10469" s="6">
        <v>412.5</v>
      </c>
      <c r="C10469" s="6">
        <v>20.426300000000001</v>
      </c>
      <c r="D10469" s="6">
        <v>99</v>
      </c>
      <c r="E10469" s="6">
        <v>0</v>
      </c>
      <c r="F10469" s="6">
        <v>0</v>
      </c>
      <c r="G10469" s="6">
        <v>12</v>
      </c>
      <c r="H10469" s="6" t="s">
        <v>21258</v>
      </c>
      <c r="I10469" s="6">
        <v>532.3125</v>
      </c>
      <c r="J10469" s="2">
        <f t="shared" si="163"/>
        <v>43748.246586562498</v>
      </c>
    </row>
    <row r="10470" spans="1:10" x14ac:dyDescent="0.25">
      <c r="A10470" s="7" t="s">
        <v>21259</v>
      </c>
      <c r="B10470" s="8">
        <v>393.75</v>
      </c>
      <c r="C10470" s="8">
        <v>20.426300000000001</v>
      </c>
      <c r="D10470" s="8">
        <v>99</v>
      </c>
      <c r="E10470" s="8">
        <v>0</v>
      </c>
      <c r="F10470" s="8">
        <v>0</v>
      </c>
      <c r="G10470" s="8">
        <v>17</v>
      </c>
      <c r="H10470" s="8" t="s">
        <v>21260</v>
      </c>
      <c r="I10470" s="8">
        <v>526.6875</v>
      </c>
      <c r="J10470" s="3">
        <f t="shared" si="163"/>
        <v>43748.246657870368</v>
      </c>
    </row>
    <row r="10471" spans="1:10" x14ac:dyDescent="0.25">
      <c r="A10471" s="5" t="s">
        <v>21261</v>
      </c>
      <c r="B10471" s="6">
        <v>393.75</v>
      </c>
      <c r="C10471" s="6">
        <v>20.426300000000001</v>
      </c>
      <c r="D10471" s="6">
        <v>99</v>
      </c>
      <c r="E10471" s="6">
        <v>0</v>
      </c>
      <c r="F10471" s="6">
        <v>0</v>
      </c>
      <c r="G10471" s="6">
        <v>12</v>
      </c>
      <c r="H10471" s="6" t="s">
        <v>21262</v>
      </c>
      <c r="I10471" s="6">
        <v>526.6875</v>
      </c>
      <c r="J10471" s="2">
        <f t="shared" si="163"/>
        <v>43748.24675528935</v>
      </c>
    </row>
    <row r="10472" spans="1:10" x14ac:dyDescent="0.25">
      <c r="A10472" s="7" t="s">
        <v>21263</v>
      </c>
      <c r="B10472" s="8">
        <v>393.75</v>
      </c>
      <c r="C10472" s="8">
        <v>20.478950000000001</v>
      </c>
      <c r="D10472" s="8">
        <v>99</v>
      </c>
      <c r="E10472" s="8">
        <v>0</v>
      </c>
      <c r="F10472" s="8">
        <v>0</v>
      </c>
      <c r="G10472" s="8">
        <v>14</v>
      </c>
      <c r="H10472" s="8" t="s">
        <v>21264</v>
      </c>
      <c r="I10472" s="8">
        <v>526.6875</v>
      </c>
      <c r="J10472" s="3">
        <f t="shared" si="163"/>
        <v>43748.246836550919</v>
      </c>
    </row>
    <row r="10473" spans="1:10" x14ac:dyDescent="0.25">
      <c r="A10473" s="5" t="s">
        <v>21265</v>
      </c>
      <c r="B10473" s="6">
        <v>393.75</v>
      </c>
      <c r="C10473" s="6">
        <v>20.426300000000001</v>
      </c>
      <c r="D10473" s="6">
        <v>99</v>
      </c>
      <c r="E10473" s="6">
        <v>0</v>
      </c>
      <c r="F10473" s="6">
        <v>0</v>
      </c>
      <c r="G10473" s="6">
        <v>16</v>
      </c>
      <c r="H10473" s="6" t="s">
        <v>21266</v>
      </c>
      <c r="I10473" s="6">
        <v>526.6875</v>
      </c>
      <c r="J10473" s="2">
        <f t="shared" si="163"/>
        <v>43748.246919953701</v>
      </c>
    </row>
    <row r="10474" spans="1:10" x14ac:dyDescent="0.25">
      <c r="A10474" s="7" t="s">
        <v>21267</v>
      </c>
      <c r="B10474" s="8">
        <v>412.5</v>
      </c>
      <c r="C10474" s="8">
        <v>20.478950000000001</v>
      </c>
      <c r="D10474" s="8">
        <v>98</v>
      </c>
      <c r="E10474" s="8">
        <v>0</v>
      </c>
      <c r="F10474" s="8">
        <v>0</v>
      </c>
      <c r="G10474" s="8">
        <v>6</v>
      </c>
      <c r="H10474" s="8" t="s">
        <v>21268</v>
      </c>
      <c r="I10474" s="8">
        <v>532.3125</v>
      </c>
      <c r="J10474" s="3">
        <f t="shared" si="163"/>
        <v>43748.246992071756</v>
      </c>
    </row>
    <row r="10475" spans="1:10" x14ac:dyDescent="0.25">
      <c r="A10475" s="5" t="s">
        <v>21269</v>
      </c>
      <c r="B10475" s="6">
        <v>393.75</v>
      </c>
      <c r="C10475" s="6">
        <v>20.426300000000001</v>
      </c>
      <c r="D10475" s="6">
        <v>98</v>
      </c>
      <c r="E10475" s="6">
        <v>0</v>
      </c>
      <c r="F10475" s="6">
        <v>0</v>
      </c>
      <c r="G10475" s="6">
        <v>10</v>
      </c>
      <c r="H10475" s="6" t="s">
        <v>21270</v>
      </c>
      <c r="I10475" s="6">
        <v>526.6875</v>
      </c>
      <c r="J10475" s="2">
        <f t="shared" si="163"/>
        <v>43748.247063460651</v>
      </c>
    </row>
    <row r="10476" spans="1:10" x14ac:dyDescent="0.25">
      <c r="A10476" s="7" t="s">
        <v>21271</v>
      </c>
      <c r="B10476" s="8">
        <v>393.75</v>
      </c>
      <c r="C10476" s="8">
        <v>20.426300000000001</v>
      </c>
      <c r="D10476" s="8">
        <v>99</v>
      </c>
      <c r="E10476" s="8">
        <v>0</v>
      </c>
      <c r="F10476" s="8">
        <v>0</v>
      </c>
      <c r="G10476" s="8">
        <v>6</v>
      </c>
      <c r="H10476" s="8" t="s">
        <v>21272</v>
      </c>
      <c r="I10476" s="8">
        <v>526.6875</v>
      </c>
      <c r="J10476" s="3">
        <f t="shared" si="163"/>
        <v>43748.247134710648</v>
      </c>
    </row>
    <row r="10477" spans="1:10" x14ac:dyDescent="0.25">
      <c r="A10477" s="5" t="s">
        <v>21273</v>
      </c>
      <c r="B10477" s="6">
        <v>393.75</v>
      </c>
      <c r="C10477" s="6">
        <v>20.478950000000001</v>
      </c>
      <c r="D10477" s="6">
        <v>98</v>
      </c>
      <c r="E10477" s="6">
        <v>0</v>
      </c>
      <c r="F10477" s="6">
        <v>0</v>
      </c>
      <c r="G10477" s="6">
        <v>8</v>
      </c>
      <c r="H10477" s="6" t="s">
        <v>21274</v>
      </c>
      <c r="I10477" s="6">
        <v>526.6875</v>
      </c>
      <c r="J10477" s="2">
        <f t="shared" si="163"/>
        <v>43748.24720612268</v>
      </c>
    </row>
    <row r="10478" spans="1:10" x14ac:dyDescent="0.25">
      <c r="A10478" s="7" t="s">
        <v>21275</v>
      </c>
      <c r="B10478" s="8">
        <v>393.75</v>
      </c>
      <c r="C10478" s="8">
        <v>20.478950000000001</v>
      </c>
      <c r="D10478" s="8">
        <v>98</v>
      </c>
      <c r="E10478" s="8">
        <v>0</v>
      </c>
      <c r="F10478" s="8">
        <v>0</v>
      </c>
      <c r="G10478" s="8">
        <v>15</v>
      </c>
      <c r="H10478" s="8" t="s">
        <v>21276</v>
      </c>
      <c r="I10478" s="8">
        <v>526.6875</v>
      </c>
      <c r="J10478" s="3">
        <f t="shared" si="163"/>
        <v>43748.24727821759</v>
      </c>
    </row>
    <row r="10479" spans="1:10" x14ac:dyDescent="0.25">
      <c r="A10479" s="5" t="s">
        <v>21277</v>
      </c>
      <c r="B10479" s="6">
        <v>393.75</v>
      </c>
      <c r="C10479" s="6">
        <v>20.478950000000001</v>
      </c>
      <c r="D10479" s="6">
        <v>98</v>
      </c>
      <c r="E10479" s="6">
        <v>0</v>
      </c>
      <c r="F10479" s="6">
        <v>0</v>
      </c>
      <c r="G10479" s="6">
        <v>12</v>
      </c>
      <c r="H10479" s="6" t="s">
        <v>21278</v>
      </c>
      <c r="I10479" s="6">
        <v>526.6875</v>
      </c>
      <c r="J10479" s="2">
        <f t="shared" si="163"/>
        <v>43748.247361574067</v>
      </c>
    </row>
    <row r="10480" spans="1:10" x14ac:dyDescent="0.25">
      <c r="A10480" s="7" t="s">
        <v>21279</v>
      </c>
      <c r="B10480" s="8">
        <v>393.75</v>
      </c>
      <c r="C10480" s="8">
        <v>20.426300000000001</v>
      </c>
      <c r="D10480" s="8">
        <v>98</v>
      </c>
      <c r="E10480" s="8">
        <v>0</v>
      </c>
      <c r="F10480" s="8">
        <v>0</v>
      </c>
      <c r="G10480" s="8">
        <v>15</v>
      </c>
      <c r="H10480" s="8" t="s">
        <v>21280</v>
      </c>
      <c r="I10480" s="8">
        <v>526.6875</v>
      </c>
      <c r="J10480" s="3">
        <f t="shared" si="163"/>
        <v>43748.247444884262</v>
      </c>
    </row>
    <row r="10481" spans="1:10" x14ac:dyDescent="0.25">
      <c r="A10481" s="5" t="s">
        <v>21281</v>
      </c>
      <c r="B10481" s="6">
        <v>412.5</v>
      </c>
      <c r="C10481" s="6">
        <v>20.478950000000001</v>
      </c>
      <c r="D10481" s="6">
        <v>98</v>
      </c>
      <c r="E10481" s="6">
        <v>0</v>
      </c>
      <c r="F10481" s="6">
        <v>0</v>
      </c>
      <c r="G10481" s="6">
        <v>19</v>
      </c>
      <c r="H10481" s="6" t="s">
        <v>21282</v>
      </c>
      <c r="I10481" s="6">
        <v>532.3125</v>
      </c>
      <c r="J10481" s="2">
        <f t="shared" si="163"/>
        <v>43748.247516203701</v>
      </c>
    </row>
    <row r="10482" spans="1:10" x14ac:dyDescent="0.25">
      <c r="A10482" s="7" t="s">
        <v>21283</v>
      </c>
      <c r="B10482" s="8">
        <v>393.75</v>
      </c>
      <c r="C10482" s="8">
        <v>20.426300000000001</v>
      </c>
      <c r="D10482" s="8">
        <v>98</v>
      </c>
      <c r="E10482" s="8">
        <v>0</v>
      </c>
      <c r="F10482" s="8">
        <v>0</v>
      </c>
      <c r="G10482" s="8">
        <v>14</v>
      </c>
      <c r="H10482" s="8" t="s">
        <v>21284</v>
      </c>
      <c r="I10482" s="8">
        <v>526.6875</v>
      </c>
      <c r="J10482" s="3">
        <f t="shared" si="163"/>
        <v>43748.247588402774</v>
      </c>
    </row>
    <row r="10483" spans="1:10" x14ac:dyDescent="0.25">
      <c r="A10483" s="5" t="s">
        <v>21285</v>
      </c>
      <c r="B10483" s="6">
        <v>393.75</v>
      </c>
      <c r="C10483" s="6">
        <v>20.478950000000001</v>
      </c>
      <c r="D10483" s="6">
        <v>97</v>
      </c>
      <c r="E10483" s="6">
        <v>0</v>
      </c>
      <c r="F10483" s="6">
        <v>0</v>
      </c>
      <c r="G10483" s="6">
        <v>15</v>
      </c>
      <c r="H10483" s="6" t="s">
        <v>21286</v>
      </c>
      <c r="I10483" s="6">
        <v>526.6875</v>
      </c>
      <c r="J10483" s="2">
        <f t="shared" si="163"/>
        <v>43748.247659699067</v>
      </c>
    </row>
    <row r="10484" spans="1:10" x14ac:dyDescent="0.25">
      <c r="A10484" s="7" t="s">
        <v>21287</v>
      </c>
      <c r="B10484" s="8">
        <v>393.75</v>
      </c>
      <c r="C10484" s="8">
        <v>20.478950000000001</v>
      </c>
      <c r="D10484" s="8">
        <v>96</v>
      </c>
      <c r="E10484" s="8">
        <v>0</v>
      </c>
      <c r="F10484" s="8">
        <v>0</v>
      </c>
      <c r="G10484" s="8">
        <v>8</v>
      </c>
      <c r="H10484" s="8" t="s">
        <v>21288</v>
      </c>
      <c r="I10484" s="8">
        <v>526.6875</v>
      </c>
      <c r="J10484" s="3">
        <f t="shared" si="163"/>
        <v>43748.247730937503</v>
      </c>
    </row>
    <row r="10485" spans="1:10" x14ac:dyDescent="0.25">
      <c r="A10485" s="5" t="s">
        <v>21289</v>
      </c>
      <c r="B10485" s="6">
        <v>393.75</v>
      </c>
      <c r="C10485" s="6">
        <v>20.478950000000001</v>
      </c>
      <c r="D10485" s="6">
        <v>98</v>
      </c>
      <c r="E10485" s="6">
        <v>0</v>
      </c>
      <c r="F10485" s="6">
        <v>0</v>
      </c>
      <c r="G10485" s="6">
        <v>13</v>
      </c>
      <c r="H10485" s="6" t="s">
        <v>21290</v>
      </c>
      <c r="I10485" s="6">
        <v>526.6875</v>
      </c>
      <c r="J10485" s="2">
        <f t="shared" si="163"/>
        <v>43748.24780237268</v>
      </c>
    </row>
    <row r="10486" spans="1:10" x14ac:dyDescent="0.25">
      <c r="A10486" s="7" t="s">
        <v>21291</v>
      </c>
      <c r="B10486" s="8">
        <v>393.75</v>
      </c>
      <c r="C10486" s="8">
        <v>20.478950000000001</v>
      </c>
      <c r="D10486" s="8">
        <v>99</v>
      </c>
      <c r="E10486" s="8">
        <v>0</v>
      </c>
      <c r="F10486" s="8">
        <v>0</v>
      </c>
      <c r="G10486" s="8">
        <v>8</v>
      </c>
      <c r="H10486" s="8" t="s">
        <v>21292</v>
      </c>
      <c r="I10486" s="8">
        <v>526.5</v>
      </c>
      <c r="J10486" s="3">
        <f t="shared" si="163"/>
        <v>43748.247874537039</v>
      </c>
    </row>
    <row r="10487" spans="1:10" x14ac:dyDescent="0.25">
      <c r="A10487" s="5" t="s">
        <v>21293</v>
      </c>
      <c r="B10487" s="6">
        <v>393.75</v>
      </c>
      <c r="C10487" s="6">
        <v>20.478950000000001</v>
      </c>
      <c r="D10487" s="6">
        <v>100</v>
      </c>
      <c r="E10487" s="6">
        <v>0</v>
      </c>
      <c r="F10487" s="6">
        <v>0</v>
      </c>
      <c r="G10487" s="6">
        <v>18</v>
      </c>
      <c r="H10487" s="6" t="s">
        <v>21294</v>
      </c>
      <c r="I10487" s="6">
        <v>526.6875</v>
      </c>
      <c r="J10487" s="2">
        <f t="shared" si="163"/>
        <v>43748.247945821757</v>
      </c>
    </row>
    <row r="10488" spans="1:10" x14ac:dyDescent="0.25">
      <c r="A10488" s="7" t="s">
        <v>21295</v>
      </c>
      <c r="B10488" s="8">
        <v>393.75</v>
      </c>
      <c r="C10488" s="8">
        <v>20.478950000000001</v>
      </c>
      <c r="D10488" s="8">
        <v>99</v>
      </c>
      <c r="E10488" s="8">
        <v>0</v>
      </c>
      <c r="F10488" s="8">
        <v>0</v>
      </c>
      <c r="G10488" s="8">
        <v>10</v>
      </c>
      <c r="H10488" s="8" t="s">
        <v>21296</v>
      </c>
      <c r="I10488" s="8">
        <v>526.6875</v>
      </c>
      <c r="J10488" s="3">
        <f t="shared" si="163"/>
        <v>43748.24801708333</v>
      </c>
    </row>
    <row r="10489" spans="1:10" x14ac:dyDescent="0.25">
      <c r="A10489" s="5" t="s">
        <v>21297</v>
      </c>
      <c r="B10489" s="6">
        <v>393.75</v>
      </c>
      <c r="C10489" s="6">
        <v>20.478950000000001</v>
      </c>
      <c r="D10489" s="6">
        <v>99</v>
      </c>
      <c r="E10489" s="6">
        <v>0</v>
      </c>
      <c r="F10489" s="6">
        <v>0</v>
      </c>
      <c r="G10489" s="6">
        <v>13</v>
      </c>
      <c r="H10489" s="6" t="s">
        <v>21298</v>
      </c>
      <c r="I10489" s="6">
        <v>526.5</v>
      </c>
      <c r="J10489" s="2">
        <f t="shared" si="163"/>
        <v>43748.24808917824</v>
      </c>
    </row>
    <row r="10490" spans="1:10" x14ac:dyDescent="0.25">
      <c r="A10490" s="7" t="s">
        <v>21299</v>
      </c>
      <c r="B10490" s="8">
        <v>393.75</v>
      </c>
      <c r="C10490" s="8">
        <v>20.478950000000001</v>
      </c>
      <c r="D10490" s="8">
        <v>98</v>
      </c>
      <c r="E10490" s="8">
        <v>0</v>
      </c>
      <c r="F10490" s="8">
        <v>0</v>
      </c>
      <c r="G10490" s="8">
        <v>17</v>
      </c>
      <c r="H10490" s="8" t="s">
        <v>21300</v>
      </c>
      <c r="I10490" s="8">
        <v>526.5</v>
      </c>
      <c r="J10490" s="3">
        <f t="shared" si="163"/>
        <v>43748.248160694442</v>
      </c>
    </row>
    <row r="10491" spans="1:10" x14ac:dyDescent="0.25">
      <c r="A10491" s="5" t="s">
        <v>21301</v>
      </c>
      <c r="B10491" s="6">
        <v>396.875</v>
      </c>
      <c r="C10491" s="6">
        <v>20.478950000000001</v>
      </c>
      <c r="D10491" s="6">
        <v>99</v>
      </c>
      <c r="E10491" s="6">
        <v>0</v>
      </c>
      <c r="F10491" s="6">
        <v>0</v>
      </c>
      <c r="G10491" s="6">
        <v>8</v>
      </c>
      <c r="H10491" s="6" t="s">
        <v>21302</v>
      </c>
      <c r="I10491" s="6">
        <v>527.4375</v>
      </c>
      <c r="J10491" s="2">
        <f t="shared" si="163"/>
        <v>43748.248243981478</v>
      </c>
    </row>
    <row r="10492" spans="1:10" x14ac:dyDescent="0.25">
      <c r="A10492" s="7" t="s">
        <v>21303</v>
      </c>
      <c r="B10492" s="8">
        <v>396.875</v>
      </c>
      <c r="C10492" s="8">
        <v>20.478950000000001</v>
      </c>
      <c r="D10492" s="8">
        <v>98</v>
      </c>
      <c r="E10492" s="8">
        <v>0</v>
      </c>
      <c r="F10492" s="8">
        <v>0</v>
      </c>
      <c r="G10492" s="8">
        <v>13</v>
      </c>
      <c r="H10492" s="8" t="s">
        <v>21304</v>
      </c>
      <c r="I10492" s="8">
        <v>527.4375</v>
      </c>
      <c r="J10492" s="3">
        <f t="shared" si="163"/>
        <v>43748.248327245368</v>
      </c>
    </row>
    <row r="10493" spans="1:10" x14ac:dyDescent="0.25">
      <c r="A10493" s="5" t="s">
        <v>21305</v>
      </c>
      <c r="B10493" s="6">
        <v>396.875</v>
      </c>
      <c r="C10493" s="6">
        <v>20.478950000000001</v>
      </c>
      <c r="D10493" s="6">
        <v>97</v>
      </c>
      <c r="E10493" s="6">
        <v>0</v>
      </c>
      <c r="F10493" s="6">
        <v>0</v>
      </c>
      <c r="G10493" s="6">
        <v>13</v>
      </c>
      <c r="H10493" s="6" t="s">
        <v>21306</v>
      </c>
      <c r="I10493" s="6">
        <v>527.4375</v>
      </c>
      <c r="J10493" s="2">
        <f t="shared" si="163"/>
        <v>43748.248398599535</v>
      </c>
    </row>
    <row r="10494" spans="1:10" x14ac:dyDescent="0.25">
      <c r="A10494" s="7" t="s">
        <v>21307</v>
      </c>
      <c r="B10494" s="8">
        <v>396.875</v>
      </c>
      <c r="C10494" s="8">
        <v>20.426300000000001</v>
      </c>
      <c r="D10494" s="8">
        <v>96</v>
      </c>
      <c r="E10494" s="8">
        <v>0</v>
      </c>
      <c r="F10494" s="8">
        <v>0</v>
      </c>
      <c r="G10494" s="8">
        <v>2</v>
      </c>
      <c r="H10494" s="8" t="s">
        <v>21308</v>
      </c>
      <c r="I10494" s="8">
        <v>527.4375</v>
      </c>
      <c r="J10494" s="3">
        <f t="shared" si="163"/>
        <v>43748.248482060182</v>
      </c>
    </row>
    <row r="10495" spans="1:10" x14ac:dyDescent="0.25">
      <c r="A10495" s="5" t="s">
        <v>21309</v>
      </c>
      <c r="B10495" s="6">
        <v>400</v>
      </c>
      <c r="C10495" s="6">
        <v>20.426300000000001</v>
      </c>
      <c r="D10495" s="6">
        <v>96</v>
      </c>
      <c r="E10495" s="6">
        <v>0</v>
      </c>
      <c r="F10495" s="6">
        <v>0</v>
      </c>
      <c r="G10495" s="6">
        <v>15</v>
      </c>
      <c r="H10495" s="6" t="s">
        <v>21310</v>
      </c>
      <c r="I10495" s="6">
        <v>528.1875</v>
      </c>
      <c r="J10495" s="2">
        <f t="shared" si="163"/>
        <v>43748.248554166661</v>
      </c>
    </row>
    <row r="10496" spans="1:10" x14ac:dyDescent="0.25">
      <c r="A10496" s="7" t="s">
        <v>21311</v>
      </c>
      <c r="B10496" s="8">
        <v>400</v>
      </c>
      <c r="C10496" s="8">
        <v>20.478950000000001</v>
      </c>
      <c r="D10496" s="8">
        <v>96</v>
      </c>
      <c r="E10496" s="8">
        <v>0</v>
      </c>
      <c r="F10496" s="8">
        <v>0</v>
      </c>
      <c r="G10496" s="8">
        <v>5</v>
      </c>
      <c r="H10496" s="8" t="s">
        <v>21312</v>
      </c>
      <c r="I10496" s="8">
        <v>528.1875</v>
      </c>
      <c r="J10496" s="3">
        <f t="shared" si="163"/>
        <v>43748.248625451386</v>
      </c>
    </row>
    <row r="10497" spans="1:10" x14ac:dyDescent="0.25">
      <c r="A10497" s="5" t="s">
        <v>21313</v>
      </c>
      <c r="B10497" s="6">
        <v>396.875</v>
      </c>
      <c r="C10497" s="6">
        <v>20.478950000000001</v>
      </c>
      <c r="D10497" s="6">
        <v>97</v>
      </c>
      <c r="E10497" s="6">
        <v>0</v>
      </c>
      <c r="F10497" s="6">
        <v>0</v>
      </c>
      <c r="G10497" s="6">
        <v>9</v>
      </c>
      <c r="H10497" s="6" t="s">
        <v>21314</v>
      </c>
      <c r="I10497" s="6">
        <v>527.4375</v>
      </c>
      <c r="J10497" s="2">
        <f t="shared" si="163"/>
        <v>43748.24869674768</v>
      </c>
    </row>
    <row r="10498" spans="1:10" x14ac:dyDescent="0.25">
      <c r="A10498" s="7" t="s">
        <v>21315</v>
      </c>
      <c r="B10498" s="8">
        <v>396.875</v>
      </c>
      <c r="C10498" s="8">
        <v>20.478950000000001</v>
      </c>
      <c r="D10498" s="8">
        <v>96</v>
      </c>
      <c r="E10498" s="8">
        <v>0</v>
      </c>
      <c r="F10498" s="8">
        <v>0</v>
      </c>
      <c r="G10498" s="8">
        <v>14</v>
      </c>
      <c r="H10498" s="8" t="s">
        <v>21316</v>
      </c>
      <c r="I10498" s="8">
        <v>527.4375</v>
      </c>
      <c r="J10498" s="3">
        <f t="shared" ref="J10498:J10561" si="164">(H10498/86400000)+25569+(7/24)</f>
        <v>43748.248768981481</v>
      </c>
    </row>
    <row r="10499" spans="1:10" x14ac:dyDescent="0.25">
      <c r="A10499" s="5" t="s">
        <v>21317</v>
      </c>
      <c r="B10499" s="6">
        <v>396.875</v>
      </c>
      <c r="C10499" s="6">
        <v>20.426300000000001</v>
      </c>
      <c r="D10499" s="6">
        <v>96</v>
      </c>
      <c r="E10499" s="6">
        <v>0</v>
      </c>
      <c r="F10499" s="6">
        <v>0</v>
      </c>
      <c r="G10499" s="6">
        <v>11</v>
      </c>
      <c r="H10499" s="6" t="s">
        <v>21318</v>
      </c>
      <c r="I10499" s="6">
        <v>527.25</v>
      </c>
      <c r="J10499" s="2">
        <f t="shared" si="164"/>
        <v>43748.248852314813</v>
      </c>
    </row>
    <row r="10500" spans="1:10" x14ac:dyDescent="0.25">
      <c r="A10500" s="7" t="s">
        <v>21319</v>
      </c>
      <c r="B10500" s="8">
        <v>396.875</v>
      </c>
      <c r="C10500" s="8">
        <v>20.478950000000001</v>
      </c>
      <c r="D10500" s="8">
        <v>97</v>
      </c>
      <c r="E10500" s="8">
        <v>0</v>
      </c>
      <c r="F10500" s="8">
        <v>0</v>
      </c>
      <c r="G10500" s="8">
        <v>8</v>
      </c>
      <c r="H10500" s="8" t="s">
        <v>21320</v>
      </c>
      <c r="I10500" s="8">
        <v>527.4375</v>
      </c>
      <c r="J10500" s="3">
        <f t="shared" si="164"/>
        <v>43748.248923599538</v>
      </c>
    </row>
    <row r="10501" spans="1:10" x14ac:dyDescent="0.25">
      <c r="A10501" s="5" t="s">
        <v>21321</v>
      </c>
      <c r="B10501" s="6">
        <v>396.875</v>
      </c>
      <c r="C10501" s="6">
        <v>20.478950000000001</v>
      </c>
      <c r="D10501" s="6">
        <v>97</v>
      </c>
      <c r="E10501" s="6">
        <v>0</v>
      </c>
      <c r="F10501" s="6">
        <v>0</v>
      </c>
      <c r="G10501" s="6">
        <v>15</v>
      </c>
      <c r="H10501" s="6" t="s">
        <v>21322</v>
      </c>
      <c r="I10501" s="6">
        <v>527.4375</v>
      </c>
      <c r="J10501" s="2">
        <f t="shared" si="164"/>
        <v>43748.248994884256</v>
      </c>
    </row>
    <row r="10502" spans="1:10" x14ac:dyDescent="0.25">
      <c r="A10502" s="7" t="s">
        <v>21323</v>
      </c>
      <c r="B10502" s="8">
        <v>396.875</v>
      </c>
      <c r="C10502" s="8">
        <v>20.426300000000001</v>
      </c>
      <c r="D10502" s="8">
        <v>97</v>
      </c>
      <c r="E10502" s="8">
        <v>0</v>
      </c>
      <c r="F10502" s="8">
        <v>0</v>
      </c>
      <c r="G10502" s="8">
        <v>18</v>
      </c>
      <c r="H10502" s="8" t="s">
        <v>21324</v>
      </c>
      <c r="I10502" s="8">
        <v>527.25</v>
      </c>
      <c r="J10502" s="3">
        <f t="shared" si="164"/>
        <v>43748.249067129625</v>
      </c>
    </row>
    <row r="10503" spans="1:10" x14ac:dyDescent="0.25">
      <c r="A10503" s="5" t="s">
        <v>21325</v>
      </c>
      <c r="B10503" s="6">
        <v>396.875</v>
      </c>
      <c r="C10503" s="6">
        <v>20.478950000000001</v>
      </c>
      <c r="D10503" s="6">
        <v>97</v>
      </c>
      <c r="E10503" s="6">
        <v>0</v>
      </c>
      <c r="F10503" s="6">
        <v>0</v>
      </c>
      <c r="G10503" s="6">
        <v>6</v>
      </c>
      <c r="H10503" s="6" t="s">
        <v>21326</v>
      </c>
      <c r="I10503" s="6">
        <v>527.4375</v>
      </c>
      <c r="J10503" s="2">
        <f t="shared" si="164"/>
        <v>43748.24913841435</v>
      </c>
    </row>
    <row r="10504" spans="1:10" x14ac:dyDescent="0.25">
      <c r="A10504" s="7" t="s">
        <v>21327</v>
      </c>
      <c r="B10504" s="8">
        <v>396.875</v>
      </c>
      <c r="C10504" s="8">
        <v>20.426300000000001</v>
      </c>
      <c r="D10504" s="8">
        <v>97</v>
      </c>
      <c r="E10504" s="8">
        <v>0</v>
      </c>
      <c r="F10504" s="8">
        <v>0</v>
      </c>
      <c r="G10504" s="8">
        <v>8</v>
      </c>
      <c r="H10504" s="8" t="s">
        <v>21328</v>
      </c>
      <c r="I10504" s="8">
        <v>527.4375</v>
      </c>
      <c r="J10504" s="3">
        <f t="shared" si="164"/>
        <v>43748.249209699068</v>
      </c>
    </row>
    <row r="10505" spans="1:10" x14ac:dyDescent="0.25">
      <c r="A10505" s="5" t="s">
        <v>21329</v>
      </c>
      <c r="B10505" s="6">
        <v>393.75</v>
      </c>
      <c r="C10505" s="6">
        <v>20.426300000000001</v>
      </c>
      <c r="D10505" s="6">
        <v>97</v>
      </c>
      <c r="E10505" s="6">
        <v>0</v>
      </c>
      <c r="F10505" s="6">
        <v>0</v>
      </c>
      <c r="G10505" s="6">
        <v>9</v>
      </c>
      <c r="H10505" s="6" t="s">
        <v>21330</v>
      </c>
      <c r="I10505" s="6">
        <v>526.6875</v>
      </c>
      <c r="J10505" s="2">
        <f t="shared" si="164"/>
        <v>43748.249304930556</v>
      </c>
    </row>
    <row r="10506" spans="1:10" x14ac:dyDescent="0.25">
      <c r="A10506" s="7" t="s">
        <v>21331</v>
      </c>
      <c r="B10506" s="8">
        <v>415.625</v>
      </c>
      <c r="C10506" s="8">
        <v>20.426300000000001</v>
      </c>
      <c r="D10506" s="8">
        <v>98</v>
      </c>
      <c r="E10506" s="8">
        <v>0</v>
      </c>
      <c r="F10506" s="8">
        <v>0</v>
      </c>
      <c r="G10506" s="8">
        <v>2</v>
      </c>
      <c r="H10506" s="8" t="s">
        <v>21332</v>
      </c>
      <c r="I10506" s="8">
        <v>533.0625</v>
      </c>
      <c r="J10506" s="3">
        <f t="shared" si="164"/>
        <v>43748.249376296291</v>
      </c>
    </row>
    <row r="10507" spans="1:10" x14ac:dyDescent="0.25">
      <c r="A10507" s="5" t="s">
        <v>21333</v>
      </c>
      <c r="B10507" s="6">
        <v>396.875</v>
      </c>
      <c r="C10507" s="6">
        <v>20.478950000000001</v>
      </c>
      <c r="D10507" s="6">
        <v>99</v>
      </c>
      <c r="E10507" s="6">
        <v>0</v>
      </c>
      <c r="F10507" s="6">
        <v>0</v>
      </c>
      <c r="G10507" s="6">
        <v>7</v>
      </c>
      <c r="H10507" s="6" t="s">
        <v>21334</v>
      </c>
      <c r="I10507" s="6">
        <v>527.625</v>
      </c>
      <c r="J10507" s="2">
        <f t="shared" si="164"/>
        <v>43748.249448518516</v>
      </c>
    </row>
    <row r="10508" spans="1:10" x14ac:dyDescent="0.25">
      <c r="A10508" s="7" t="s">
        <v>21335</v>
      </c>
      <c r="B10508" s="8">
        <v>396.875</v>
      </c>
      <c r="C10508" s="8">
        <v>20.426300000000001</v>
      </c>
      <c r="D10508" s="8">
        <v>99</v>
      </c>
      <c r="E10508" s="8">
        <v>0</v>
      </c>
      <c r="F10508" s="8">
        <v>0</v>
      </c>
      <c r="G10508" s="8">
        <v>7</v>
      </c>
      <c r="H10508" s="8" t="s">
        <v>21336</v>
      </c>
      <c r="I10508" s="8">
        <v>527.4375</v>
      </c>
      <c r="J10508" s="3">
        <f t="shared" si="164"/>
        <v>43748.249519768513</v>
      </c>
    </row>
    <row r="10509" spans="1:10" x14ac:dyDescent="0.25">
      <c r="A10509" s="5" t="s">
        <v>21337</v>
      </c>
      <c r="B10509" s="6">
        <v>396.875</v>
      </c>
      <c r="C10509" s="6">
        <v>20.478950000000001</v>
      </c>
      <c r="D10509" s="6">
        <v>99</v>
      </c>
      <c r="E10509" s="6">
        <v>0</v>
      </c>
      <c r="F10509" s="6">
        <v>0</v>
      </c>
      <c r="G10509" s="6">
        <v>9</v>
      </c>
      <c r="H10509" s="6" t="s">
        <v>21338</v>
      </c>
      <c r="I10509" s="6">
        <v>527.4375</v>
      </c>
      <c r="J10509" s="2">
        <f t="shared" si="164"/>
        <v>43748.249591111111</v>
      </c>
    </row>
    <row r="10510" spans="1:10" x14ac:dyDescent="0.25">
      <c r="A10510" s="7" t="s">
        <v>21339</v>
      </c>
      <c r="B10510" s="8">
        <v>418.75</v>
      </c>
      <c r="C10510" s="8">
        <v>20.478950000000001</v>
      </c>
      <c r="D10510" s="8">
        <v>99</v>
      </c>
      <c r="E10510" s="8">
        <v>0</v>
      </c>
      <c r="F10510" s="8">
        <v>0</v>
      </c>
      <c r="G10510" s="8">
        <v>15</v>
      </c>
      <c r="H10510" s="8" t="s">
        <v>21340</v>
      </c>
      <c r="I10510" s="8">
        <v>534.1875</v>
      </c>
      <c r="J10510" s="3">
        <f t="shared" si="164"/>
        <v>43748.249674444443</v>
      </c>
    </row>
    <row r="10511" spans="1:10" x14ac:dyDescent="0.25">
      <c r="A10511" s="5" t="s">
        <v>21341</v>
      </c>
      <c r="B10511" s="6">
        <v>393.75</v>
      </c>
      <c r="C10511" s="6">
        <v>20.426300000000001</v>
      </c>
      <c r="D10511" s="6">
        <v>100</v>
      </c>
      <c r="E10511" s="6">
        <v>0</v>
      </c>
      <c r="F10511" s="6">
        <v>0</v>
      </c>
      <c r="G10511" s="6">
        <v>13</v>
      </c>
      <c r="H10511" s="6" t="s">
        <v>21342</v>
      </c>
      <c r="I10511" s="6">
        <v>526.6875</v>
      </c>
      <c r="J10511" s="2">
        <f t="shared" si="164"/>
        <v>43748.249746655092</v>
      </c>
    </row>
    <row r="10512" spans="1:10" x14ac:dyDescent="0.25">
      <c r="A10512" s="7" t="s">
        <v>21343</v>
      </c>
      <c r="B10512" s="8">
        <v>396.875</v>
      </c>
      <c r="C10512" s="8">
        <v>20.478950000000001</v>
      </c>
      <c r="D10512" s="8">
        <v>101</v>
      </c>
      <c r="E10512" s="8">
        <v>0</v>
      </c>
      <c r="F10512" s="8">
        <v>0</v>
      </c>
      <c r="G10512" s="8">
        <v>11</v>
      </c>
      <c r="H10512" s="8" t="s">
        <v>21344</v>
      </c>
      <c r="I10512" s="8">
        <v>527.4375</v>
      </c>
      <c r="J10512" s="3">
        <f t="shared" si="164"/>
        <v>43748.249817951386</v>
      </c>
    </row>
    <row r="10513" spans="1:10" x14ac:dyDescent="0.25">
      <c r="A10513" s="5" t="s">
        <v>21345</v>
      </c>
      <c r="B10513" s="6">
        <v>396.875</v>
      </c>
      <c r="C10513" s="6">
        <v>20.478950000000001</v>
      </c>
      <c r="D10513" s="6">
        <v>101</v>
      </c>
      <c r="E10513" s="6">
        <v>0</v>
      </c>
      <c r="F10513" s="6">
        <v>0</v>
      </c>
      <c r="G10513" s="6">
        <v>20</v>
      </c>
      <c r="H10513" s="6" t="s">
        <v>21346</v>
      </c>
      <c r="I10513" s="6">
        <v>527.4375</v>
      </c>
      <c r="J10513" s="2">
        <f t="shared" si="164"/>
        <v>43748.249889270832</v>
      </c>
    </row>
    <row r="10514" spans="1:10" x14ac:dyDescent="0.25">
      <c r="A10514" s="7" t="s">
        <v>21347</v>
      </c>
      <c r="B10514" s="8">
        <v>396.875</v>
      </c>
      <c r="C10514" s="8">
        <v>20.426300000000001</v>
      </c>
      <c r="D10514" s="8">
        <v>101</v>
      </c>
      <c r="E10514" s="8">
        <v>0</v>
      </c>
      <c r="F10514" s="8">
        <v>0</v>
      </c>
      <c r="G10514" s="8">
        <v>10</v>
      </c>
      <c r="H10514" s="8" t="s">
        <v>21348</v>
      </c>
      <c r="I10514" s="8">
        <v>527.4375</v>
      </c>
      <c r="J10514" s="3">
        <f t="shared" si="164"/>
        <v>43748.249960682871</v>
      </c>
    </row>
    <row r="10515" spans="1:10" x14ac:dyDescent="0.25">
      <c r="A10515" s="5" t="s">
        <v>21349</v>
      </c>
      <c r="B10515" s="6">
        <v>396.875</v>
      </c>
      <c r="C10515" s="6">
        <v>20.478950000000001</v>
      </c>
      <c r="D10515" s="6">
        <v>102</v>
      </c>
      <c r="E10515" s="6">
        <v>0</v>
      </c>
      <c r="F10515" s="6">
        <v>0</v>
      </c>
      <c r="G10515" s="6">
        <v>11</v>
      </c>
      <c r="H10515" s="6" t="s">
        <v>21350</v>
      </c>
      <c r="I10515" s="6">
        <v>527.4375</v>
      </c>
      <c r="J10515" s="2">
        <f t="shared" si="164"/>
        <v>43748.250032812495</v>
      </c>
    </row>
    <row r="10516" spans="1:10" x14ac:dyDescent="0.25">
      <c r="A10516" s="7" t="s">
        <v>21351</v>
      </c>
      <c r="B10516" s="8">
        <v>396.875</v>
      </c>
      <c r="C10516" s="8">
        <v>20.478950000000001</v>
      </c>
      <c r="D10516" s="8">
        <v>102</v>
      </c>
      <c r="E10516" s="8">
        <v>0</v>
      </c>
      <c r="F10516" s="8">
        <v>0</v>
      </c>
      <c r="G10516" s="8">
        <v>10</v>
      </c>
      <c r="H10516" s="8" t="s">
        <v>21352</v>
      </c>
      <c r="I10516" s="8">
        <v>527.4375</v>
      </c>
      <c r="J10516" s="3">
        <f t="shared" si="164"/>
        <v>43748.250104062499</v>
      </c>
    </row>
    <row r="10517" spans="1:10" x14ac:dyDescent="0.25">
      <c r="A10517" s="5" t="s">
        <v>21353</v>
      </c>
      <c r="B10517" s="6">
        <v>415.625</v>
      </c>
      <c r="C10517" s="6">
        <v>20.478950000000001</v>
      </c>
      <c r="D10517" s="6">
        <v>100</v>
      </c>
      <c r="E10517" s="6">
        <v>0</v>
      </c>
      <c r="F10517" s="6">
        <v>0</v>
      </c>
      <c r="G10517" s="6">
        <v>2</v>
      </c>
      <c r="H10517" s="6" t="s">
        <v>21354</v>
      </c>
      <c r="I10517" s="6">
        <v>533.25</v>
      </c>
      <c r="J10517" s="2">
        <f t="shared" si="164"/>
        <v>43748.25019939815</v>
      </c>
    </row>
    <row r="10518" spans="1:10" x14ac:dyDescent="0.25">
      <c r="A10518" s="7" t="s">
        <v>21355</v>
      </c>
      <c r="B10518" s="8">
        <v>396.875</v>
      </c>
      <c r="C10518" s="8">
        <v>20.478950000000001</v>
      </c>
      <c r="D10518" s="8">
        <v>101</v>
      </c>
      <c r="E10518" s="8">
        <v>0</v>
      </c>
      <c r="F10518" s="8">
        <v>0</v>
      </c>
      <c r="G10518" s="8">
        <v>11</v>
      </c>
      <c r="H10518" s="8" t="s">
        <v>21356</v>
      </c>
      <c r="I10518" s="8">
        <v>527.4375</v>
      </c>
      <c r="J10518" s="3">
        <f t="shared" si="164"/>
        <v>43748.250270763885</v>
      </c>
    </row>
    <row r="10519" spans="1:10" x14ac:dyDescent="0.25">
      <c r="A10519" s="5" t="s">
        <v>21357</v>
      </c>
      <c r="B10519" s="6">
        <v>393.75</v>
      </c>
      <c r="C10519" s="6">
        <v>20.426300000000001</v>
      </c>
      <c r="D10519" s="6">
        <v>102</v>
      </c>
      <c r="E10519" s="6">
        <v>0</v>
      </c>
      <c r="F10519" s="6">
        <v>0</v>
      </c>
      <c r="G10519" s="6">
        <v>16</v>
      </c>
      <c r="H10519" s="6" t="s">
        <v>21358</v>
      </c>
      <c r="I10519" s="6">
        <v>526.6875</v>
      </c>
      <c r="J10519" s="2">
        <f t="shared" si="164"/>
        <v>43748.250354201387</v>
      </c>
    </row>
    <row r="10520" spans="1:10" x14ac:dyDescent="0.25">
      <c r="A10520" s="7" t="s">
        <v>21359</v>
      </c>
      <c r="B10520" s="8">
        <v>412.5</v>
      </c>
      <c r="C10520" s="8">
        <v>20.478950000000001</v>
      </c>
      <c r="D10520" s="8">
        <v>102</v>
      </c>
      <c r="E10520" s="8">
        <v>0</v>
      </c>
      <c r="F10520" s="8">
        <v>0</v>
      </c>
      <c r="G10520" s="8">
        <v>15</v>
      </c>
      <c r="H10520" s="8" t="s">
        <v>21360</v>
      </c>
      <c r="I10520" s="8">
        <v>532.3125</v>
      </c>
      <c r="J10520" s="3">
        <f t="shared" si="164"/>
        <v>43748.250426365739</v>
      </c>
    </row>
    <row r="10521" spans="1:10" x14ac:dyDescent="0.25">
      <c r="A10521" s="5" t="s">
        <v>21361</v>
      </c>
      <c r="B10521" s="6">
        <v>393.75</v>
      </c>
      <c r="C10521" s="6">
        <v>20.478950000000001</v>
      </c>
      <c r="D10521" s="6">
        <v>102</v>
      </c>
      <c r="E10521" s="6">
        <v>0</v>
      </c>
      <c r="F10521" s="6">
        <v>0</v>
      </c>
      <c r="G10521" s="6">
        <v>14</v>
      </c>
      <c r="H10521" s="6" t="s">
        <v>21362</v>
      </c>
      <c r="I10521" s="6">
        <v>526.6875</v>
      </c>
      <c r="J10521" s="2">
        <f t="shared" si="164"/>
        <v>43748.250497581015</v>
      </c>
    </row>
    <row r="10522" spans="1:10" x14ac:dyDescent="0.25">
      <c r="A10522" s="7" t="s">
        <v>21363</v>
      </c>
      <c r="B10522" s="8">
        <v>393.75</v>
      </c>
      <c r="C10522" s="8">
        <v>20.426300000000001</v>
      </c>
      <c r="D10522" s="8">
        <v>102</v>
      </c>
      <c r="E10522" s="8">
        <v>0</v>
      </c>
      <c r="F10522" s="8">
        <v>0</v>
      </c>
      <c r="G10522" s="8">
        <v>14</v>
      </c>
      <c r="H10522" s="8" t="s">
        <v>21364</v>
      </c>
      <c r="I10522" s="8">
        <v>526.6875</v>
      </c>
      <c r="J10522" s="3">
        <f t="shared" si="164"/>
        <v>43748.250568900461</v>
      </c>
    </row>
    <row r="10523" spans="1:10" x14ac:dyDescent="0.25">
      <c r="A10523" s="5" t="s">
        <v>21365</v>
      </c>
      <c r="B10523" s="6">
        <v>393.75</v>
      </c>
      <c r="C10523" s="6">
        <v>20.478950000000001</v>
      </c>
      <c r="D10523" s="6">
        <v>102</v>
      </c>
      <c r="E10523" s="6">
        <v>0</v>
      </c>
      <c r="F10523" s="6">
        <v>0</v>
      </c>
      <c r="G10523" s="6">
        <v>6</v>
      </c>
      <c r="H10523" s="6" t="s">
        <v>21366</v>
      </c>
      <c r="I10523" s="6">
        <v>526.6875</v>
      </c>
      <c r="J10523" s="2">
        <f t="shared" si="164"/>
        <v>43748.25064096065</v>
      </c>
    </row>
    <row r="10524" spans="1:10" x14ac:dyDescent="0.25">
      <c r="A10524" s="7" t="s">
        <v>21367</v>
      </c>
      <c r="B10524" s="8">
        <v>412.5</v>
      </c>
      <c r="C10524" s="8">
        <v>20.478950000000001</v>
      </c>
      <c r="D10524" s="8">
        <v>103</v>
      </c>
      <c r="E10524" s="8">
        <v>0</v>
      </c>
      <c r="F10524" s="8">
        <v>0</v>
      </c>
      <c r="G10524" s="8">
        <v>28</v>
      </c>
      <c r="H10524" s="8" t="s">
        <v>21368</v>
      </c>
      <c r="I10524" s="8">
        <v>532.5</v>
      </c>
      <c r="J10524" s="3">
        <f t="shared" si="164"/>
        <v>43748.250724456018</v>
      </c>
    </row>
    <row r="10525" spans="1:10" x14ac:dyDescent="0.25">
      <c r="A10525" s="5" t="s">
        <v>21369</v>
      </c>
      <c r="B10525" s="6">
        <v>393.75</v>
      </c>
      <c r="C10525" s="6">
        <v>20.478950000000001</v>
      </c>
      <c r="D10525" s="6">
        <v>103</v>
      </c>
      <c r="E10525" s="6">
        <v>0</v>
      </c>
      <c r="F10525" s="6">
        <v>0</v>
      </c>
      <c r="G10525" s="6">
        <v>15</v>
      </c>
      <c r="H10525" s="6" t="s">
        <v>21370</v>
      </c>
      <c r="I10525" s="6">
        <v>526.5</v>
      </c>
      <c r="J10525" s="2">
        <f t="shared" si="164"/>
        <v>43748.250795752312</v>
      </c>
    </row>
    <row r="10526" spans="1:10" x14ac:dyDescent="0.25">
      <c r="A10526" s="7" t="s">
        <v>21371</v>
      </c>
      <c r="B10526" s="8">
        <v>393.75</v>
      </c>
      <c r="C10526" s="8">
        <v>20.478950000000001</v>
      </c>
      <c r="D10526" s="8">
        <v>102</v>
      </c>
      <c r="E10526" s="8">
        <v>0</v>
      </c>
      <c r="F10526" s="8">
        <v>0</v>
      </c>
      <c r="G10526" s="8">
        <v>13</v>
      </c>
      <c r="H10526" s="8" t="s">
        <v>21372</v>
      </c>
      <c r="I10526" s="8">
        <v>526.6875</v>
      </c>
      <c r="J10526" s="3">
        <f t="shared" si="164"/>
        <v>43748.250872349534</v>
      </c>
    </row>
    <row r="10527" spans="1:10" x14ac:dyDescent="0.25">
      <c r="A10527" s="5" t="s">
        <v>21373</v>
      </c>
      <c r="B10527" s="6">
        <v>393.75</v>
      </c>
      <c r="C10527" s="6">
        <v>20.478950000000001</v>
      </c>
      <c r="D10527" s="6">
        <v>100</v>
      </c>
      <c r="E10527" s="6">
        <v>0</v>
      </c>
      <c r="F10527" s="6">
        <v>0</v>
      </c>
      <c r="G10527" s="6">
        <v>5</v>
      </c>
      <c r="H10527" s="6" t="s">
        <v>21374</v>
      </c>
      <c r="I10527" s="6">
        <v>526.6875</v>
      </c>
      <c r="J10527" s="2">
        <f t="shared" si="164"/>
        <v>43748.250951134258</v>
      </c>
    </row>
    <row r="10528" spans="1:10" x14ac:dyDescent="0.25">
      <c r="A10528" s="7" t="s">
        <v>21375</v>
      </c>
      <c r="B10528" s="8">
        <v>396.875</v>
      </c>
      <c r="C10528" s="8">
        <v>20.478950000000001</v>
      </c>
      <c r="D10528" s="8">
        <v>100</v>
      </c>
      <c r="E10528" s="8">
        <v>0</v>
      </c>
      <c r="F10528" s="8">
        <v>0</v>
      </c>
      <c r="G10528" s="8">
        <v>23</v>
      </c>
      <c r="H10528" s="8" t="s">
        <v>21376</v>
      </c>
      <c r="I10528" s="8">
        <v>527.4375</v>
      </c>
      <c r="J10528" s="3">
        <f t="shared" si="164"/>
        <v>43748.251022604163</v>
      </c>
    </row>
    <row r="10529" spans="1:10" x14ac:dyDescent="0.25">
      <c r="A10529" s="5" t="s">
        <v>21377</v>
      </c>
      <c r="B10529" s="6">
        <v>396.875</v>
      </c>
      <c r="C10529" s="6">
        <v>20.426300000000001</v>
      </c>
      <c r="D10529" s="6">
        <v>101</v>
      </c>
      <c r="E10529" s="6">
        <v>0</v>
      </c>
      <c r="F10529" s="6">
        <v>0</v>
      </c>
      <c r="G10529" s="6">
        <v>8</v>
      </c>
      <c r="H10529" s="6" t="s">
        <v>21378</v>
      </c>
      <c r="I10529" s="6">
        <v>527.4375</v>
      </c>
      <c r="J10529" s="2">
        <f t="shared" si="164"/>
        <v>43748.251093842591</v>
      </c>
    </row>
    <row r="10530" spans="1:10" x14ac:dyDescent="0.25">
      <c r="A10530" s="7" t="s">
        <v>21379</v>
      </c>
      <c r="B10530" s="8">
        <v>396.875</v>
      </c>
      <c r="C10530" s="8">
        <v>20.478950000000001</v>
      </c>
      <c r="D10530" s="8">
        <v>101</v>
      </c>
      <c r="E10530" s="8">
        <v>0</v>
      </c>
      <c r="F10530" s="8">
        <v>0</v>
      </c>
      <c r="G10530" s="8">
        <v>14</v>
      </c>
      <c r="H10530" s="8" t="s">
        <v>21380</v>
      </c>
      <c r="I10530" s="8">
        <v>527.25</v>
      </c>
      <c r="J10530" s="3">
        <f t="shared" si="164"/>
        <v>43748.251179085644</v>
      </c>
    </row>
    <row r="10531" spans="1:10" x14ac:dyDescent="0.25">
      <c r="A10531" s="5" t="s">
        <v>21381</v>
      </c>
      <c r="B10531" s="6">
        <v>396.875</v>
      </c>
      <c r="C10531" s="6">
        <v>20.478950000000001</v>
      </c>
      <c r="D10531" s="6">
        <v>103</v>
      </c>
      <c r="E10531" s="6">
        <v>0</v>
      </c>
      <c r="F10531" s="6">
        <v>0</v>
      </c>
      <c r="G10531" s="6">
        <v>12</v>
      </c>
      <c r="H10531" s="6" t="s">
        <v>21382</v>
      </c>
      <c r="I10531" s="6">
        <v>527.4375</v>
      </c>
      <c r="J10531" s="2">
        <f t="shared" si="164"/>
        <v>43748.251260451383</v>
      </c>
    </row>
    <row r="10532" spans="1:10" x14ac:dyDescent="0.25">
      <c r="A10532" s="7" t="s">
        <v>21383</v>
      </c>
      <c r="B10532" s="8">
        <v>396.875</v>
      </c>
      <c r="C10532" s="8">
        <v>20.478950000000001</v>
      </c>
      <c r="D10532" s="8">
        <v>104</v>
      </c>
      <c r="E10532" s="8">
        <v>0</v>
      </c>
      <c r="F10532" s="8">
        <v>0</v>
      </c>
      <c r="G10532" s="8">
        <v>12</v>
      </c>
      <c r="H10532" s="8" t="s">
        <v>21384</v>
      </c>
      <c r="I10532" s="8">
        <v>527.4375</v>
      </c>
      <c r="J10532" s="3">
        <f t="shared" si="164"/>
        <v>43748.25135366898</v>
      </c>
    </row>
    <row r="10533" spans="1:10" x14ac:dyDescent="0.25">
      <c r="A10533" s="5" t="s">
        <v>21385</v>
      </c>
      <c r="B10533" s="6">
        <v>400</v>
      </c>
      <c r="C10533" s="6">
        <v>20.426300000000001</v>
      </c>
      <c r="D10533" s="6">
        <v>103</v>
      </c>
      <c r="E10533" s="6">
        <v>0</v>
      </c>
      <c r="F10533" s="6">
        <v>0</v>
      </c>
      <c r="G10533" s="6">
        <v>11</v>
      </c>
      <c r="H10533" s="6" t="s">
        <v>21386</v>
      </c>
      <c r="I10533" s="6">
        <v>528.1875</v>
      </c>
      <c r="J10533" s="2">
        <f t="shared" si="164"/>
        <v>43748.25142792824</v>
      </c>
    </row>
    <row r="10534" spans="1:10" x14ac:dyDescent="0.25">
      <c r="A10534" s="7" t="s">
        <v>21387</v>
      </c>
      <c r="B10534" s="8">
        <v>400</v>
      </c>
      <c r="C10534" s="8">
        <v>20.478950000000001</v>
      </c>
      <c r="D10534" s="8">
        <v>104</v>
      </c>
      <c r="E10534" s="8">
        <v>0</v>
      </c>
      <c r="F10534" s="8">
        <v>0</v>
      </c>
      <c r="G10534" s="8">
        <v>13</v>
      </c>
      <c r="H10534" s="8" t="s">
        <v>21388</v>
      </c>
      <c r="I10534" s="8">
        <v>528.375</v>
      </c>
      <c r="J10534" s="3">
        <f t="shared" si="164"/>
        <v>43748.251511435185</v>
      </c>
    </row>
    <row r="10535" spans="1:10" x14ac:dyDescent="0.25">
      <c r="A10535" s="5" t="s">
        <v>21389</v>
      </c>
      <c r="B10535" s="6">
        <v>403.125</v>
      </c>
      <c r="C10535" s="6">
        <v>20.426300000000001</v>
      </c>
      <c r="D10535" s="6">
        <v>103</v>
      </c>
      <c r="E10535" s="6">
        <v>0</v>
      </c>
      <c r="F10535" s="6">
        <v>0</v>
      </c>
      <c r="G10535" s="6">
        <v>7</v>
      </c>
      <c r="H10535" s="6" t="s">
        <v>21390</v>
      </c>
      <c r="I10535" s="6">
        <v>529.125</v>
      </c>
      <c r="J10535" s="2">
        <f t="shared" si="164"/>
        <v>43748.251582789351</v>
      </c>
    </row>
    <row r="10536" spans="1:10" x14ac:dyDescent="0.25">
      <c r="A10536" s="7" t="s">
        <v>21391</v>
      </c>
      <c r="B10536" s="8">
        <v>403.125</v>
      </c>
      <c r="C10536" s="8">
        <v>20.478950000000001</v>
      </c>
      <c r="D10536" s="8">
        <v>103</v>
      </c>
      <c r="E10536" s="8">
        <v>0</v>
      </c>
      <c r="F10536" s="8">
        <v>0</v>
      </c>
      <c r="G10536" s="8">
        <v>10</v>
      </c>
      <c r="H10536" s="8" t="s">
        <v>21392</v>
      </c>
      <c r="I10536" s="8">
        <v>529.125</v>
      </c>
      <c r="J10536" s="3">
        <f t="shared" si="164"/>
        <v>43748.251654097221</v>
      </c>
    </row>
    <row r="10537" spans="1:10" x14ac:dyDescent="0.25">
      <c r="A10537" s="5" t="s">
        <v>21393</v>
      </c>
      <c r="B10537" s="6">
        <v>400</v>
      </c>
      <c r="C10537" s="6">
        <v>20.426300000000001</v>
      </c>
      <c r="D10537" s="6">
        <v>105</v>
      </c>
      <c r="E10537" s="6">
        <v>0</v>
      </c>
      <c r="F10537" s="6">
        <v>0</v>
      </c>
      <c r="G10537" s="6">
        <v>12</v>
      </c>
      <c r="H10537" s="6" t="s">
        <v>21394</v>
      </c>
      <c r="I10537" s="6">
        <v>528.375</v>
      </c>
      <c r="J10537" s="2">
        <f t="shared" si="164"/>
        <v>43748.251725439812</v>
      </c>
    </row>
    <row r="10538" spans="1:10" x14ac:dyDescent="0.25">
      <c r="A10538" s="7" t="s">
        <v>21395</v>
      </c>
      <c r="B10538" s="8">
        <v>400</v>
      </c>
      <c r="C10538" s="8">
        <v>20.478950000000001</v>
      </c>
      <c r="D10538" s="8">
        <v>105</v>
      </c>
      <c r="E10538" s="8">
        <v>0</v>
      </c>
      <c r="F10538" s="8">
        <v>0</v>
      </c>
      <c r="G10538" s="8">
        <v>8</v>
      </c>
      <c r="H10538" s="8" t="s">
        <v>21396</v>
      </c>
      <c r="I10538" s="8">
        <v>528.1875</v>
      </c>
      <c r="J10538" s="3">
        <f t="shared" si="164"/>
        <v>43748.251808854162</v>
      </c>
    </row>
    <row r="10539" spans="1:10" x14ac:dyDescent="0.25">
      <c r="A10539" s="5" t="s">
        <v>21397</v>
      </c>
      <c r="B10539" s="6">
        <v>400</v>
      </c>
      <c r="C10539" s="6">
        <v>20.478950000000001</v>
      </c>
      <c r="D10539" s="6">
        <v>106</v>
      </c>
      <c r="E10539" s="6">
        <v>0</v>
      </c>
      <c r="F10539" s="6">
        <v>0</v>
      </c>
      <c r="G10539" s="6">
        <v>19</v>
      </c>
      <c r="H10539" s="6" t="s">
        <v>21398</v>
      </c>
      <c r="I10539" s="6">
        <v>528.1875</v>
      </c>
      <c r="J10539" s="2">
        <f t="shared" si="164"/>
        <v>43748.251880833333</v>
      </c>
    </row>
    <row r="10540" spans="1:10" x14ac:dyDescent="0.25">
      <c r="A10540" s="7" t="s">
        <v>21399</v>
      </c>
      <c r="B10540" s="8">
        <v>396.875</v>
      </c>
      <c r="C10540" s="8">
        <v>20.478950000000001</v>
      </c>
      <c r="D10540" s="8">
        <v>107</v>
      </c>
      <c r="E10540" s="8">
        <v>0</v>
      </c>
      <c r="F10540" s="8">
        <v>0</v>
      </c>
      <c r="G10540" s="8">
        <v>0</v>
      </c>
      <c r="H10540" s="8" t="s">
        <v>21400</v>
      </c>
      <c r="I10540" s="8">
        <v>527.4375</v>
      </c>
      <c r="J10540" s="3">
        <f t="shared" si="164"/>
        <v>43748.25196434027</v>
      </c>
    </row>
    <row r="10541" spans="1:10" x14ac:dyDescent="0.25">
      <c r="A10541" s="5" t="s">
        <v>21401</v>
      </c>
      <c r="B10541" s="6">
        <v>396.875</v>
      </c>
      <c r="C10541" s="6">
        <v>20.426300000000001</v>
      </c>
      <c r="D10541" s="6">
        <v>108</v>
      </c>
      <c r="E10541" s="6">
        <v>0</v>
      </c>
      <c r="F10541" s="6">
        <v>0</v>
      </c>
      <c r="G10541" s="6">
        <v>9</v>
      </c>
      <c r="H10541" s="6" t="s">
        <v>21402</v>
      </c>
      <c r="I10541" s="6">
        <v>527.4375</v>
      </c>
      <c r="J10541" s="2">
        <f t="shared" si="164"/>
        <v>43748.252035648147</v>
      </c>
    </row>
    <row r="10542" spans="1:10" x14ac:dyDescent="0.25">
      <c r="A10542" s="7" t="s">
        <v>21403</v>
      </c>
      <c r="B10542" s="8">
        <v>437.5</v>
      </c>
      <c r="C10542" s="8">
        <v>20.426300000000001</v>
      </c>
      <c r="D10542" s="8">
        <v>108</v>
      </c>
      <c r="E10542" s="8">
        <v>0</v>
      </c>
      <c r="F10542" s="8">
        <v>0</v>
      </c>
      <c r="G10542" s="8">
        <v>10</v>
      </c>
      <c r="H10542" s="8" t="s">
        <v>21404</v>
      </c>
      <c r="I10542" s="8">
        <v>540.1875</v>
      </c>
      <c r="J10542" s="3">
        <f t="shared" si="164"/>
        <v>43748.252107638888</v>
      </c>
    </row>
    <row r="10543" spans="1:10" x14ac:dyDescent="0.25">
      <c r="A10543" s="5" t="s">
        <v>21405</v>
      </c>
      <c r="B10543" s="6">
        <v>396.875</v>
      </c>
      <c r="C10543" s="6">
        <v>20.426300000000001</v>
      </c>
      <c r="D10543" s="6">
        <v>108</v>
      </c>
      <c r="E10543" s="6">
        <v>0</v>
      </c>
      <c r="F10543" s="6">
        <v>0</v>
      </c>
      <c r="G10543" s="6">
        <v>9</v>
      </c>
      <c r="H10543" s="6" t="s">
        <v>21406</v>
      </c>
      <c r="I10543" s="6">
        <v>527.4375</v>
      </c>
      <c r="J10543" s="2">
        <f t="shared" si="164"/>
        <v>43748.252191203697</v>
      </c>
    </row>
    <row r="10544" spans="1:10" x14ac:dyDescent="0.25">
      <c r="A10544" s="7" t="s">
        <v>21407</v>
      </c>
      <c r="B10544" s="8">
        <v>396.875</v>
      </c>
      <c r="C10544" s="8">
        <v>20.426300000000001</v>
      </c>
      <c r="D10544" s="8">
        <v>107</v>
      </c>
      <c r="E10544" s="8">
        <v>0</v>
      </c>
      <c r="F10544" s="8">
        <v>0</v>
      </c>
      <c r="G10544" s="8">
        <v>7</v>
      </c>
      <c r="H10544" s="8" t="s">
        <v>21408</v>
      </c>
      <c r="I10544" s="8">
        <v>527.4375</v>
      </c>
      <c r="J10544" s="3">
        <f t="shared" si="164"/>
        <v>43748.252262488422</v>
      </c>
    </row>
    <row r="10545" spans="1:10" x14ac:dyDescent="0.25">
      <c r="A10545" s="5" t="s">
        <v>21409</v>
      </c>
      <c r="B10545" s="6">
        <v>396.875</v>
      </c>
      <c r="C10545" s="6">
        <v>20.478950000000001</v>
      </c>
      <c r="D10545" s="6">
        <v>108</v>
      </c>
      <c r="E10545" s="6">
        <v>0</v>
      </c>
      <c r="F10545" s="6">
        <v>0</v>
      </c>
      <c r="G10545" s="6">
        <v>8</v>
      </c>
      <c r="H10545" s="6" t="s">
        <v>21410</v>
      </c>
      <c r="I10545" s="6">
        <v>527.4375</v>
      </c>
      <c r="J10545" s="2">
        <f t="shared" si="164"/>
        <v>43748.252333807868</v>
      </c>
    </row>
    <row r="10546" spans="1:10" x14ac:dyDescent="0.25">
      <c r="A10546" s="7" t="s">
        <v>21411</v>
      </c>
      <c r="B10546" s="8">
        <v>396.875</v>
      </c>
      <c r="C10546" s="8">
        <v>20.478950000000001</v>
      </c>
      <c r="D10546" s="8">
        <v>107</v>
      </c>
      <c r="E10546" s="8">
        <v>0</v>
      </c>
      <c r="F10546" s="8">
        <v>0</v>
      </c>
      <c r="G10546" s="8">
        <v>8</v>
      </c>
      <c r="H10546" s="8" t="s">
        <v>21412</v>
      </c>
      <c r="I10546" s="8">
        <v>527.4375</v>
      </c>
      <c r="J10546" s="3">
        <f t="shared" si="164"/>
        <v>43748.252405150459</v>
      </c>
    </row>
    <row r="10547" spans="1:10" x14ac:dyDescent="0.25">
      <c r="A10547" s="5" t="s">
        <v>21413</v>
      </c>
      <c r="B10547" s="6">
        <v>396.875</v>
      </c>
      <c r="C10547" s="6">
        <v>20.478950000000001</v>
      </c>
      <c r="D10547" s="6">
        <v>106</v>
      </c>
      <c r="E10547" s="6">
        <v>0</v>
      </c>
      <c r="F10547" s="6">
        <v>0</v>
      </c>
      <c r="G10547" s="6">
        <v>4</v>
      </c>
      <c r="H10547" s="6" t="s">
        <v>21414</v>
      </c>
      <c r="I10547" s="6">
        <v>527.4375</v>
      </c>
      <c r="J10547" s="2">
        <f t="shared" si="164"/>
        <v>43748.252477326387</v>
      </c>
    </row>
    <row r="10548" spans="1:10" x14ac:dyDescent="0.25">
      <c r="A10548" s="7" t="s">
        <v>21415</v>
      </c>
      <c r="B10548" s="8">
        <v>396.875</v>
      </c>
      <c r="C10548" s="8">
        <v>20.478950000000001</v>
      </c>
      <c r="D10548" s="8">
        <v>106</v>
      </c>
      <c r="E10548" s="8">
        <v>0</v>
      </c>
      <c r="F10548" s="8">
        <v>0</v>
      </c>
      <c r="G10548" s="8">
        <v>7</v>
      </c>
      <c r="H10548" s="8" t="s">
        <v>21416</v>
      </c>
      <c r="I10548" s="8">
        <v>527.4375</v>
      </c>
      <c r="J10548" s="3">
        <f t="shared" si="164"/>
        <v>43748.252548611104</v>
      </c>
    </row>
    <row r="10549" spans="1:10" x14ac:dyDescent="0.25">
      <c r="A10549" s="5" t="s">
        <v>21417</v>
      </c>
      <c r="B10549" s="6">
        <v>400</v>
      </c>
      <c r="C10549" s="6">
        <v>20.478950000000001</v>
      </c>
      <c r="D10549" s="6">
        <v>106</v>
      </c>
      <c r="E10549" s="6">
        <v>0</v>
      </c>
      <c r="F10549" s="6">
        <v>0</v>
      </c>
      <c r="G10549" s="6">
        <v>15</v>
      </c>
      <c r="H10549" s="6" t="s">
        <v>21418</v>
      </c>
      <c r="I10549" s="6">
        <v>528.1875</v>
      </c>
      <c r="J10549" s="2">
        <f t="shared" si="164"/>
        <v>43748.252619895829</v>
      </c>
    </row>
    <row r="10550" spans="1:10" x14ac:dyDescent="0.25">
      <c r="A10550" s="7" t="s">
        <v>21419</v>
      </c>
      <c r="B10550" s="8">
        <v>418.75</v>
      </c>
      <c r="C10550" s="8">
        <v>20.478950000000001</v>
      </c>
      <c r="D10550" s="8">
        <v>106</v>
      </c>
      <c r="E10550" s="8">
        <v>0</v>
      </c>
      <c r="F10550" s="8">
        <v>0</v>
      </c>
      <c r="G10550" s="8">
        <v>5</v>
      </c>
      <c r="H10550" s="8" t="s">
        <v>21420</v>
      </c>
      <c r="I10550" s="8">
        <v>534</v>
      </c>
      <c r="J10550" s="3">
        <f t="shared" si="164"/>
        <v>43748.252691898146</v>
      </c>
    </row>
    <row r="10551" spans="1:10" x14ac:dyDescent="0.25">
      <c r="A10551" s="5" t="s">
        <v>21421</v>
      </c>
      <c r="B10551" s="6">
        <v>403.125</v>
      </c>
      <c r="C10551" s="6">
        <v>20.478950000000001</v>
      </c>
      <c r="D10551" s="6">
        <v>106</v>
      </c>
      <c r="E10551" s="6">
        <v>0</v>
      </c>
      <c r="F10551" s="6">
        <v>0</v>
      </c>
      <c r="G10551" s="6">
        <v>16</v>
      </c>
      <c r="H10551" s="6" t="s">
        <v>21422</v>
      </c>
      <c r="I10551" s="6">
        <v>529.125</v>
      </c>
      <c r="J10551" s="2">
        <f t="shared" si="164"/>
        <v>43748.252762905089</v>
      </c>
    </row>
    <row r="10552" spans="1:10" x14ac:dyDescent="0.25">
      <c r="A10552" s="7" t="s">
        <v>21423</v>
      </c>
      <c r="B10552" s="8">
        <v>400</v>
      </c>
      <c r="C10552" s="8">
        <v>20.426300000000001</v>
      </c>
      <c r="D10552" s="8">
        <v>106</v>
      </c>
      <c r="E10552" s="8">
        <v>0</v>
      </c>
      <c r="F10552" s="8">
        <v>0</v>
      </c>
      <c r="G10552" s="8">
        <v>3</v>
      </c>
      <c r="H10552" s="8" t="s">
        <v>21424</v>
      </c>
      <c r="I10552" s="8">
        <v>528.9375</v>
      </c>
      <c r="J10552" s="3">
        <f t="shared" si="164"/>
        <v>43748.252834664345</v>
      </c>
    </row>
    <row r="10553" spans="1:10" x14ac:dyDescent="0.25">
      <c r="A10553" s="5" t="s">
        <v>21425</v>
      </c>
      <c r="B10553" s="6">
        <v>403.125</v>
      </c>
      <c r="C10553" s="6">
        <v>20.478950000000001</v>
      </c>
      <c r="D10553" s="6">
        <v>104</v>
      </c>
      <c r="E10553" s="6">
        <v>0</v>
      </c>
      <c r="F10553" s="6">
        <v>0</v>
      </c>
      <c r="G10553" s="6">
        <v>12</v>
      </c>
      <c r="H10553" s="6" t="s">
        <v>21426</v>
      </c>
      <c r="I10553" s="6">
        <v>529.125</v>
      </c>
      <c r="J10553" s="2">
        <f t="shared" si="164"/>
        <v>43748.252905960646</v>
      </c>
    </row>
    <row r="10554" spans="1:10" x14ac:dyDescent="0.25">
      <c r="A10554" s="7" t="s">
        <v>21427</v>
      </c>
      <c r="B10554" s="8">
        <v>403.125</v>
      </c>
      <c r="C10554" s="8">
        <v>20.478950000000001</v>
      </c>
      <c r="D10554" s="8">
        <v>105</v>
      </c>
      <c r="E10554" s="8">
        <v>0</v>
      </c>
      <c r="F10554" s="8">
        <v>0</v>
      </c>
      <c r="G10554" s="8">
        <v>6</v>
      </c>
      <c r="H10554" s="8" t="s">
        <v>21428</v>
      </c>
      <c r="I10554" s="8">
        <v>529.875</v>
      </c>
      <c r="J10554" s="3">
        <f t="shared" si="164"/>
        <v>43748.25297822916</v>
      </c>
    </row>
    <row r="10555" spans="1:10" x14ac:dyDescent="0.25">
      <c r="A10555" s="5" t="s">
        <v>21429</v>
      </c>
      <c r="B10555" s="6">
        <v>403.125</v>
      </c>
      <c r="C10555" s="6">
        <v>20.426300000000001</v>
      </c>
      <c r="D10555" s="6">
        <v>105</v>
      </c>
      <c r="E10555" s="6">
        <v>0</v>
      </c>
      <c r="F10555" s="6">
        <v>0</v>
      </c>
      <c r="G10555" s="6">
        <v>6</v>
      </c>
      <c r="H10555" s="6" t="s">
        <v>21430</v>
      </c>
      <c r="I10555" s="6">
        <v>529.875</v>
      </c>
      <c r="J10555" s="2">
        <f t="shared" si="164"/>
        <v>43748.253061562493</v>
      </c>
    </row>
    <row r="10556" spans="1:10" x14ac:dyDescent="0.25">
      <c r="A10556" s="7" t="s">
        <v>21431</v>
      </c>
      <c r="B10556" s="8">
        <v>403.125</v>
      </c>
      <c r="C10556" s="8">
        <v>20.478950000000001</v>
      </c>
      <c r="D10556" s="8">
        <v>104</v>
      </c>
      <c r="E10556" s="8">
        <v>0</v>
      </c>
      <c r="F10556" s="8">
        <v>0</v>
      </c>
      <c r="G10556" s="8">
        <v>7</v>
      </c>
      <c r="H10556" s="8" t="s">
        <v>21432</v>
      </c>
      <c r="I10556" s="8">
        <v>529.875</v>
      </c>
      <c r="J10556" s="3">
        <f t="shared" si="164"/>
        <v>43748.25313287037</v>
      </c>
    </row>
    <row r="10557" spans="1:10" x14ac:dyDescent="0.25">
      <c r="A10557" s="5" t="s">
        <v>21433</v>
      </c>
      <c r="B10557" s="6">
        <v>403.125</v>
      </c>
      <c r="C10557" s="6">
        <v>20.478950000000001</v>
      </c>
      <c r="D10557" s="6">
        <v>105</v>
      </c>
      <c r="E10557" s="6">
        <v>0</v>
      </c>
      <c r="F10557" s="6">
        <v>0</v>
      </c>
      <c r="G10557" s="6">
        <v>7</v>
      </c>
      <c r="H10557" s="6" t="s">
        <v>21434</v>
      </c>
      <c r="I10557" s="6">
        <v>529.875</v>
      </c>
      <c r="J10557" s="2">
        <f t="shared" si="164"/>
        <v>43748.253204166664</v>
      </c>
    </row>
    <row r="10558" spans="1:10" x14ac:dyDescent="0.25">
      <c r="A10558" s="7" t="s">
        <v>21435</v>
      </c>
      <c r="B10558" s="8">
        <v>418.75</v>
      </c>
      <c r="C10558" s="8">
        <v>20.426300000000001</v>
      </c>
      <c r="D10558" s="8">
        <v>105</v>
      </c>
      <c r="E10558" s="8">
        <v>0</v>
      </c>
      <c r="F10558" s="8">
        <v>0</v>
      </c>
      <c r="G10558" s="8">
        <v>8</v>
      </c>
      <c r="H10558" s="8" t="s">
        <v>21436</v>
      </c>
      <c r="I10558" s="8">
        <v>534.5625</v>
      </c>
      <c r="J10558" s="3">
        <f t="shared" si="164"/>
        <v>43748.253275578703</v>
      </c>
    </row>
    <row r="10559" spans="1:10" x14ac:dyDescent="0.25">
      <c r="A10559" s="5" t="s">
        <v>21437</v>
      </c>
      <c r="B10559" s="6">
        <v>403.125</v>
      </c>
      <c r="C10559" s="6">
        <v>20.478950000000001</v>
      </c>
      <c r="D10559" s="6">
        <v>105</v>
      </c>
      <c r="E10559" s="6">
        <v>0</v>
      </c>
      <c r="F10559" s="6">
        <v>0</v>
      </c>
      <c r="G10559" s="6">
        <v>12</v>
      </c>
      <c r="H10559" s="6" t="s">
        <v>21438</v>
      </c>
      <c r="I10559" s="6">
        <v>529.125</v>
      </c>
      <c r="J10559" s="2">
        <f t="shared" si="164"/>
        <v>43748.253347673606</v>
      </c>
    </row>
    <row r="10560" spans="1:10" x14ac:dyDescent="0.25">
      <c r="A10560" s="7" t="s">
        <v>21439</v>
      </c>
      <c r="B10560" s="8">
        <v>403.125</v>
      </c>
      <c r="C10560" s="8">
        <v>20.426300000000001</v>
      </c>
      <c r="D10560" s="8">
        <v>106</v>
      </c>
      <c r="E10560" s="8">
        <v>0</v>
      </c>
      <c r="F10560" s="8">
        <v>0</v>
      </c>
      <c r="G10560" s="8">
        <v>5</v>
      </c>
      <c r="H10560" s="8" t="s">
        <v>21440</v>
      </c>
      <c r="I10560" s="8">
        <v>529.125</v>
      </c>
      <c r="J10560" s="3">
        <f t="shared" si="164"/>
        <v>43748.253419722219</v>
      </c>
    </row>
    <row r="10561" spans="1:10" x14ac:dyDescent="0.25">
      <c r="A10561" s="5" t="s">
        <v>21441</v>
      </c>
      <c r="B10561" s="6">
        <v>403.125</v>
      </c>
      <c r="C10561" s="6">
        <v>20.478950000000001</v>
      </c>
      <c r="D10561" s="6">
        <v>106</v>
      </c>
      <c r="E10561" s="6">
        <v>0</v>
      </c>
      <c r="F10561" s="6">
        <v>0</v>
      </c>
      <c r="G10561" s="6">
        <v>8</v>
      </c>
      <c r="H10561" s="6" t="s">
        <v>21442</v>
      </c>
      <c r="I10561" s="6">
        <v>529.125</v>
      </c>
      <c r="J10561" s="2">
        <f t="shared" si="164"/>
        <v>43748.253490277777</v>
      </c>
    </row>
    <row r="10562" spans="1:10" x14ac:dyDescent="0.25">
      <c r="A10562" s="7" t="s">
        <v>21443</v>
      </c>
      <c r="B10562" s="8">
        <v>431.25</v>
      </c>
      <c r="C10562" s="8">
        <v>20.478950000000001</v>
      </c>
      <c r="D10562" s="8">
        <v>106</v>
      </c>
      <c r="E10562" s="8">
        <v>0</v>
      </c>
      <c r="F10562" s="8">
        <v>0</v>
      </c>
      <c r="G10562" s="8">
        <v>11</v>
      </c>
      <c r="H10562" s="8" t="s">
        <v>21444</v>
      </c>
      <c r="I10562" s="8">
        <v>538.5</v>
      </c>
      <c r="J10562" s="3">
        <f t="shared" ref="J10562:J10625" si="165">(H10562/86400000)+25569+(7/24)</f>
        <v>43748.253562511571</v>
      </c>
    </row>
    <row r="10563" spans="1:10" x14ac:dyDescent="0.25">
      <c r="A10563" s="5" t="s">
        <v>21445</v>
      </c>
      <c r="B10563" s="6">
        <v>403.125</v>
      </c>
      <c r="C10563" s="6">
        <v>20.426300000000001</v>
      </c>
      <c r="D10563" s="6">
        <v>106</v>
      </c>
      <c r="E10563" s="6">
        <v>0</v>
      </c>
      <c r="F10563" s="6">
        <v>0</v>
      </c>
      <c r="G10563" s="6">
        <v>10</v>
      </c>
      <c r="H10563" s="6" t="s">
        <v>21446</v>
      </c>
      <c r="I10563" s="6">
        <v>529.125</v>
      </c>
      <c r="J10563" s="2">
        <f t="shared" si="165"/>
        <v>43748.253633796296</v>
      </c>
    </row>
    <row r="10564" spans="1:10" x14ac:dyDescent="0.25">
      <c r="A10564" s="7" t="s">
        <v>21447</v>
      </c>
      <c r="B10564" s="8">
        <v>403.125</v>
      </c>
      <c r="C10564" s="8">
        <v>20.426300000000001</v>
      </c>
      <c r="D10564" s="8">
        <v>106</v>
      </c>
      <c r="E10564" s="8">
        <v>0</v>
      </c>
      <c r="F10564" s="8">
        <v>0</v>
      </c>
      <c r="G10564" s="8">
        <v>8</v>
      </c>
      <c r="H10564" s="8" t="s">
        <v>21448</v>
      </c>
      <c r="I10564" s="8">
        <v>529.125</v>
      </c>
      <c r="J10564" s="3">
        <f t="shared" si="165"/>
        <v>43748.25370502314</v>
      </c>
    </row>
    <row r="10565" spans="1:10" x14ac:dyDescent="0.25">
      <c r="A10565" s="5" t="s">
        <v>21449</v>
      </c>
      <c r="B10565" s="6">
        <v>400</v>
      </c>
      <c r="C10565" s="6">
        <v>20.426300000000001</v>
      </c>
      <c r="D10565" s="6">
        <v>105</v>
      </c>
      <c r="E10565" s="6">
        <v>0</v>
      </c>
      <c r="F10565" s="6">
        <v>0</v>
      </c>
      <c r="G10565" s="6">
        <v>9</v>
      </c>
      <c r="H10565" s="6" t="s">
        <v>21450</v>
      </c>
      <c r="I10565" s="6">
        <v>528.9375</v>
      </c>
      <c r="J10565" s="2">
        <f t="shared" si="165"/>
        <v>43748.253786655092</v>
      </c>
    </row>
    <row r="10566" spans="1:10" x14ac:dyDescent="0.25">
      <c r="A10566" s="7" t="s">
        <v>21451</v>
      </c>
      <c r="B10566" s="8">
        <v>403.125</v>
      </c>
      <c r="C10566" s="8">
        <v>20.426300000000001</v>
      </c>
      <c r="D10566" s="8">
        <v>105</v>
      </c>
      <c r="E10566" s="8">
        <v>0</v>
      </c>
      <c r="F10566" s="8">
        <v>0</v>
      </c>
      <c r="G10566" s="8">
        <v>3</v>
      </c>
      <c r="H10566" s="8" t="s">
        <v>21452</v>
      </c>
      <c r="I10566" s="8">
        <v>529.125</v>
      </c>
      <c r="J10566" s="3">
        <f t="shared" si="165"/>
        <v>43748.253860590274</v>
      </c>
    </row>
    <row r="10567" spans="1:10" x14ac:dyDescent="0.25">
      <c r="A10567" s="5" t="s">
        <v>21453</v>
      </c>
      <c r="B10567" s="6">
        <v>403.125</v>
      </c>
      <c r="C10567" s="6">
        <v>20.478950000000001</v>
      </c>
      <c r="D10567" s="6">
        <v>106</v>
      </c>
      <c r="E10567" s="6">
        <v>0</v>
      </c>
      <c r="F10567" s="6">
        <v>0</v>
      </c>
      <c r="G10567" s="6">
        <v>6</v>
      </c>
      <c r="H10567" s="6" t="s">
        <v>21454</v>
      </c>
      <c r="I10567" s="6">
        <v>529.125</v>
      </c>
      <c r="J10567" s="2">
        <f t="shared" si="165"/>
        <v>43748.253931932872</v>
      </c>
    </row>
    <row r="10568" spans="1:10" x14ac:dyDescent="0.25">
      <c r="A10568" s="7" t="s">
        <v>21455</v>
      </c>
      <c r="B10568" s="8">
        <v>403.125</v>
      </c>
      <c r="C10568" s="8">
        <v>20.426300000000001</v>
      </c>
      <c r="D10568" s="8">
        <v>106</v>
      </c>
      <c r="E10568" s="8">
        <v>0</v>
      </c>
      <c r="F10568" s="8">
        <v>0</v>
      </c>
      <c r="G10568" s="8">
        <v>7</v>
      </c>
      <c r="H10568" s="8" t="s">
        <v>21456</v>
      </c>
      <c r="I10568" s="8">
        <v>529.125</v>
      </c>
      <c r="J10568" s="3">
        <f t="shared" si="165"/>
        <v>43748.254027326388</v>
      </c>
    </row>
    <row r="10569" spans="1:10" x14ac:dyDescent="0.25">
      <c r="A10569" s="5" t="s">
        <v>21457</v>
      </c>
      <c r="B10569" s="6">
        <v>403.125</v>
      </c>
      <c r="C10569" s="6">
        <v>20.426300000000001</v>
      </c>
      <c r="D10569" s="6">
        <v>106</v>
      </c>
      <c r="E10569" s="6">
        <v>0</v>
      </c>
      <c r="F10569" s="6">
        <v>0</v>
      </c>
      <c r="G10569" s="6">
        <v>3</v>
      </c>
      <c r="H10569" s="6" t="s">
        <v>21458</v>
      </c>
      <c r="I10569" s="6">
        <v>529.125</v>
      </c>
      <c r="J10569" s="2">
        <f t="shared" si="165"/>
        <v>43748.254098611105</v>
      </c>
    </row>
    <row r="10570" spans="1:10" x14ac:dyDescent="0.25">
      <c r="A10570" s="7" t="s">
        <v>21459</v>
      </c>
      <c r="B10570" s="8">
        <v>403.125</v>
      </c>
      <c r="C10570" s="8">
        <v>20.478950000000001</v>
      </c>
      <c r="D10570" s="8">
        <v>106</v>
      </c>
      <c r="E10570" s="8">
        <v>0</v>
      </c>
      <c r="F10570" s="8">
        <v>0</v>
      </c>
      <c r="G10570" s="8">
        <v>11</v>
      </c>
      <c r="H10570" s="8" t="s">
        <v>21460</v>
      </c>
      <c r="I10570" s="8">
        <v>529.125</v>
      </c>
      <c r="J10570" s="3">
        <f t="shared" si="165"/>
        <v>43748.254169907406</v>
      </c>
    </row>
    <row r="10571" spans="1:10" x14ac:dyDescent="0.25">
      <c r="A10571" s="5" t="s">
        <v>21461</v>
      </c>
      <c r="B10571" s="6">
        <v>403.125</v>
      </c>
      <c r="C10571" s="6">
        <v>20.478950000000001</v>
      </c>
      <c r="D10571" s="6">
        <v>106</v>
      </c>
      <c r="E10571" s="6">
        <v>0</v>
      </c>
      <c r="F10571" s="6">
        <v>0</v>
      </c>
      <c r="G10571" s="6">
        <v>13</v>
      </c>
      <c r="H10571" s="6" t="s">
        <v>21462</v>
      </c>
      <c r="I10571" s="6">
        <v>529.875</v>
      </c>
      <c r="J10571" s="2">
        <f t="shared" si="165"/>
        <v>43748.25425424768</v>
      </c>
    </row>
    <row r="10572" spans="1:10" x14ac:dyDescent="0.25">
      <c r="A10572" s="7" t="s">
        <v>21463</v>
      </c>
      <c r="B10572" s="8">
        <v>403.125</v>
      </c>
      <c r="C10572" s="8">
        <v>20.478950000000001</v>
      </c>
      <c r="D10572" s="8">
        <v>106</v>
      </c>
      <c r="E10572" s="8">
        <v>0</v>
      </c>
      <c r="F10572" s="8">
        <v>0</v>
      </c>
      <c r="G10572" s="8">
        <v>7</v>
      </c>
      <c r="H10572" s="8" t="s">
        <v>21464</v>
      </c>
      <c r="I10572" s="8">
        <v>529.125</v>
      </c>
      <c r="J10572" s="3">
        <f t="shared" si="165"/>
        <v>43748.254324490736</v>
      </c>
    </row>
    <row r="10573" spans="1:10" x14ac:dyDescent="0.25">
      <c r="A10573" s="5" t="s">
        <v>21465</v>
      </c>
      <c r="B10573" s="6">
        <v>403.125</v>
      </c>
      <c r="C10573" s="6">
        <v>20.478950000000001</v>
      </c>
      <c r="D10573" s="6">
        <v>106</v>
      </c>
      <c r="E10573" s="6">
        <v>0</v>
      </c>
      <c r="F10573" s="6">
        <v>0</v>
      </c>
      <c r="G10573" s="6">
        <v>13</v>
      </c>
      <c r="H10573" s="6" t="s">
        <v>21466</v>
      </c>
      <c r="I10573" s="6">
        <v>529.875</v>
      </c>
      <c r="J10573" s="2">
        <f t="shared" si="165"/>
        <v>43748.25439667824</v>
      </c>
    </row>
    <row r="10574" spans="1:10" x14ac:dyDescent="0.25">
      <c r="A10574" s="7" t="s">
        <v>21467</v>
      </c>
      <c r="B10574" s="8">
        <v>403.125</v>
      </c>
      <c r="C10574" s="8">
        <v>20.478950000000001</v>
      </c>
      <c r="D10574" s="8">
        <v>107</v>
      </c>
      <c r="E10574" s="8">
        <v>0</v>
      </c>
      <c r="F10574" s="8">
        <v>0</v>
      </c>
      <c r="G10574" s="8">
        <v>6</v>
      </c>
      <c r="H10574" s="8" t="s">
        <v>21468</v>
      </c>
      <c r="I10574" s="8">
        <v>529.875</v>
      </c>
      <c r="J10574" s="3">
        <f t="shared" si="165"/>
        <v>43748.254467962957</v>
      </c>
    </row>
    <row r="10575" spans="1:10" x14ac:dyDescent="0.25">
      <c r="A10575" s="5" t="s">
        <v>21469</v>
      </c>
      <c r="B10575" s="6">
        <v>406.25</v>
      </c>
      <c r="C10575" s="6">
        <v>20.426300000000001</v>
      </c>
      <c r="D10575" s="6">
        <v>106</v>
      </c>
      <c r="E10575" s="6">
        <v>0</v>
      </c>
      <c r="F10575" s="6">
        <v>0</v>
      </c>
      <c r="G10575" s="6">
        <v>6</v>
      </c>
      <c r="H10575" s="6" t="s">
        <v>21470</v>
      </c>
      <c r="I10575" s="6">
        <v>530.625</v>
      </c>
      <c r="J10575" s="2">
        <f t="shared" si="165"/>
        <v>43748.254539444439</v>
      </c>
    </row>
    <row r="10576" spans="1:10" x14ac:dyDescent="0.25">
      <c r="A10576" s="7" t="s">
        <v>21471</v>
      </c>
      <c r="B10576" s="8">
        <v>425</v>
      </c>
      <c r="C10576" s="8">
        <v>20.478950000000001</v>
      </c>
      <c r="D10576" s="8">
        <v>106</v>
      </c>
      <c r="E10576" s="8">
        <v>0</v>
      </c>
      <c r="F10576" s="8">
        <v>0</v>
      </c>
      <c r="G10576" s="8">
        <v>8</v>
      </c>
      <c r="H10576" s="8" t="s">
        <v>21472</v>
      </c>
      <c r="I10576" s="8">
        <v>536.25</v>
      </c>
      <c r="J10576" s="3">
        <f t="shared" si="165"/>
        <v>43748.2546114699</v>
      </c>
    </row>
    <row r="10577" spans="1:10" x14ac:dyDescent="0.25">
      <c r="A10577" s="5" t="s">
        <v>21473</v>
      </c>
      <c r="B10577" s="6">
        <v>406.25</v>
      </c>
      <c r="C10577" s="6">
        <v>20.478950000000001</v>
      </c>
      <c r="D10577" s="6">
        <v>104</v>
      </c>
      <c r="E10577" s="6">
        <v>0</v>
      </c>
      <c r="F10577" s="6">
        <v>0</v>
      </c>
      <c r="G10577" s="6">
        <v>8</v>
      </c>
      <c r="H10577" s="6" t="s">
        <v>21474</v>
      </c>
      <c r="I10577" s="6">
        <v>530.625</v>
      </c>
      <c r="J10577" s="2">
        <f t="shared" si="165"/>
        <v>43748.254682650462</v>
      </c>
    </row>
    <row r="10578" spans="1:10" x14ac:dyDescent="0.25">
      <c r="A10578" s="7" t="s">
        <v>21475</v>
      </c>
      <c r="B10578" s="8">
        <v>403.125</v>
      </c>
      <c r="C10578" s="8">
        <v>20.478950000000001</v>
      </c>
      <c r="D10578" s="8">
        <v>104</v>
      </c>
      <c r="E10578" s="8">
        <v>0</v>
      </c>
      <c r="F10578" s="8">
        <v>0</v>
      </c>
      <c r="G10578" s="8">
        <v>11</v>
      </c>
      <c r="H10578" s="8" t="s">
        <v>21476</v>
      </c>
      <c r="I10578" s="8">
        <v>529.875</v>
      </c>
      <c r="J10578" s="3">
        <f t="shared" si="165"/>
        <v>43748.254754131944</v>
      </c>
    </row>
    <row r="10579" spans="1:10" x14ac:dyDescent="0.25">
      <c r="A10579" s="5" t="s">
        <v>21477</v>
      </c>
      <c r="B10579" s="6">
        <v>403.125</v>
      </c>
      <c r="C10579" s="6">
        <v>20.478950000000001</v>
      </c>
      <c r="D10579" s="6">
        <v>104</v>
      </c>
      <c r="E10579" s="6">
        <v>0</v>
      </c>
      <c r="F10579" s="6">
        <v>0</v>
      </c>
      <c r="G10579" s="6">
        <v>12</v>
      </c>
      <c r="H10579" s="6" t="s">
        <v>21478</v>
      </c>
      <c r="I10579" s="6">
        <v>529.875</v>
      </c>
      <c r="J10579" s="2">
        <f t="shared" si="165"/>
        <v>43748.254826226846</v>
      </c>
    </row>
    <row r="10580" spans="1:10" x14ac:dyDescent="0.25">
      <c r="A10580" s="7" t="s">
        <v>21479</v>
      </c>
      <c r="B10580" s="8">
        <v>400</v>
      </c>
      <c r="C10580" s="8">
        <v>20.478950000000001</v>
      </c>
      <c r="D10580" s="8">
        <v>104</v>
      </c>
      <c r="E10580" s="8">
        <v>0</v>
      </c>
      <c r="F10580" s="8">
        <v>0</v>
      </c>
      <c r="G10580" s="8">
        <v>11</v>
      </c>
      <c r="H10580" s="8" t="s">
        <v>21480</v>
      </c>
      <c r="I10580" s="8">
        <v>528.9375</v>
      </c>
      <c r="J10580" s="3">
        <f t="shared" si="165"/>
        <v>43748.254897650462</v>
      </c>
    </row>
    <row r="10581" spans="1:10" x14ac:dyDescent="0.25">
      <c r="A10581" s="5" t="s">
        <v>21481</v>
      </c>
      <c r="B10581" s="6">
        <v>403.125</v>
      </c>
      <c r="C10581" s="6">
        <v>20.426300000000001</v>
      </c>
      <c r="D10581" s="6">
        <v>104</v>
      </c>
      <c r="E10581" s="6">
        <v>0</v>
      </c>
      <c r="F10581" s="6">
        <v>0</v>
      </c>
      <c r="G10581" s="6">
        <v>8</v>
      </c>
      <c r="H10581" s="6" t="s">
        <v>21482</v>
      </c>
      <c r="I10581" s="6">
        <v>529.125</v>
      </c>
      <c r="J10581" s="2">
        <f t="shared" si="165"/>
        <v>43748.254980925922</v>
      </c>
    </row>
    <row r="10582" spans="1:10" x14ac:dyDescent="0.25">
      <c r="A10582" s="7" t="s">
        <v>21483</v>
      </c>
      <c r="B10582" s="8">
        <v>403.125</v>
      </c>
      <c r="C10582" s="8">
        <v>20.478950000000001</v>
      </c>
      <c r="D10582" s="8">
        <v>104</v>
      </c>
      <c r="E10582" s="8">
        <v>0</v>
      </c>
      <c r="F10582" s="8">
        <v>0</v>
      </c>
      <c r="G10582" s="8">
        <v>3</v>
      </c>
      <c r="H10582" s="8" t="s">
        <v>21484</v>
      </c>
      <c r="I10582" s="8">
        <v>529.125</v>
      </c>
      <c r="J10582" s="3">
        <f t="shared" si="165"/>
        <v>43748.255064259261</v>
      </c>
    </row>
    <row r="10583" spans="1:10" x14ac:dyDescent="0.25">
      <c r="A10583" s="5" t="s">
        <v>21485</v>
      </c>
      <c r="B10583" s="6">
        <v>418.75</v>
      </c>
      <c r="C10583" s="6">
        <v>20.478950000000001</v>
      </c>
      <c r="D10583" s="6">
        <v>107</v>
      </c>
      <c r="E10583" s="6">
        <v>0</v>
      </c>
      <c r="F10583" s="6">
        <v>0</v>
      </c>
      <c r="G10583" s="6">
        <v>8</v>
      </c>
      <c r="H10583" s="6" t="s">
        <v>21486</v>
      </c>
      <c r="I10583" s="6">
        <v>534.5625</v>
      </c>
      <c r="J10583" s="2">
        <f t="shared" si="165"/>
        <v>43748.255136238418</v>
      </c>
    </row>
    <row r="10584" spans="1:10" x14ac:dyDescent="0.25">
      <c r="A10584" s="7" t="s">
        <v>21487</v>
      </c>
      <c r="B10584" s="8">
        <v>403.125</v>
      </c>
      <c r="C10584" s="8">
        <v>20.478950000000001</v>
      </c>
      <c r="D10584" s="8">
        <v>107</v>
      </c>
      <c r="E10584" s="8">
        <v>0</v>
      </c>
      <c r="F10584" s="8">
        <v>0</v>
      </c>
      <c r="G10584" s="8">
        <v>3</v>
      </c>
      <c r="H10584" s="8" t="s">
        <v>21488</v>
      </c>
      <c r="I10584" s="8">
        <v>529.125</v>
      </c>
      <c r="J10584" s="3">
        <f t="shared" si="165"/>
        <v>43748.255207777773</v>
      </c>
    </row>
    <row r="10585" spans="1:10" x14ac:dyDescent="0.25">
      <c r="A10585" s="5" t="s">
        <v>21489</v>
      </c>
      <c r="B10585" s="6">
        <v>403.125</v>
      </c>
      <c r="C10585" s="6">
        <v>20.478950000000001</v>
      </c>
      <c r="D10585" s="6">
        <v>107</v>
      </c>
      <c r="E10585" s="6">
        <v>0</v>
      </c>
      <c r="F10585" s="6">
        <v>0</v>
      </c>
      <c r="G10585" s="6">
        <v>2</v>
      </c>
      <c r="H10585" s="6" t="s">
        <v>21490</v>
      </c>
      <c r="I10585" s="6">
        <v>529.125</v>
      </c>
      <c r="J10585" s="2">
        <f t="shared" si="165"/>
        <v>43748.255279074066</v>
      </c>
    </row>
    <row r="10586" spans="1:10" x14ac:dyDescent="0.25">
      <c r="A10586" s="7" t="s">
        <v>21491</v>
      </c>
      <c r="B10586" s="8">
        <v>403.125</v>
      </c>
      <c r="C10586" s="8">
        <v>20.478950000000001</v>
      </c>
      <c r="D10586" s="8">
        <v>106</v>
      </c>
      <c r="E10586" s="8">
        <v>0</v>
      </c>
      <c r="F10586" s="8">
        <v>0</v>
      </c>
      <c r="G10586" s="8">
        <v>7</v>
      </c>
      <c r="H10586" s="8" t="s">
        <v>21492</v>
      </c>
      <c r="I10586" s="8">
        <v>529.125</v>
      </c>
      <c r="J10586" s="3">
        <f t="shared" si="165"/>
        <v>43748.255359247683</v>
      </c>
    </row>
    <row r="10587" spans="1:10" x14ac:dyDescent="0.25">
      <c r="A10587" s="5" t="s">
        <v>21493</v>
      </c>
      <c r="B10587" s="6">
        <v>403.125</v>
      </c>
      <c r="C10587" s="6">
        <v>20.478950000000001</v>
      </c>
      <c r="D10587" s="6">
        <v>106</v>
      </c>
      <c r="E10587" s="6">
        <v>0</v>
      </c>
      <c r="F10587" s="6">
        <v>0</v>
      </c>
      <c r="G10587" s="6">
        <v>11</v>
      </c>
      <c r="H10587" s="6" t="s">
        <v>21494</v>
      </c>
      <c r="I10587" s="6">
        <v>529.125</v>
      </c>
      <c r="J10587" s="2">
        <f t="shared" si="165"/>
        <v>43748.25543380787</v>
      </c>
    </row>
    <row r="10588" spans="1:10" x14ac:dyDescent="0.25">
      <c r="A10588" s="7" t="s">
        <v>21495</v>
      </c>
      <c r="B10588" s="8">
        <v>403.125</v>
      </c>
      <c r="C10588" s="8">
        <v>20.426300000000001</v>
      </c>
      <c r="D10588" s="8">
        <v>106</v>
      </c>
      <c r="E10588" s="8">
        <v>0</v>
      </c>
      <c r="F10588" s="8">
        <v>0</v>
      </c>
      <c r="G10588" s="8">
        <v>6</v>
      </c>
      <c r="H10588" s="8" t="s">
        <v>21496</v>
      </c>
      <c r="I10588" s="8">
        <v>529.875</v>
      </c>
      <c r="J10588" s="3">
        <f t="shared" si="165"/>
        <v>43748.255505868052</v>
      </c>
    </row>
    <row r="10589" spans="1:10" x14ac:dyDescent="0.25">
      <c r="A10589" s="5" t="s">
        <v>21497</v>
      </c>
      <c r="B10589" s="6">
        <v>403.125</v>
      </c>
      <c r="C10589" s="6">
        <v>20.478950000000001</v>
      </c>
      <c r="D10589" s="6">
        <v>105</v>
      </c>
      <c r="E10589" s="6">
        <v>0</v>
      </c>
      <c r="F10589" s="6">
        <v>0</v>
      </c>
      <c r="G10589" s="6">
        <v>0</v>
      </c>
      <c r="H10589" s="6" t="s">
        <v>21498</v>
      </c>
      <c r="I10589" s="6">
        <v>529.875</v>
      </c>
      <c r="J10589" s="2">
        <f t="shared" si="165"/>
        <v>43748.255577175929</v>
      </c>
    </row>
    <row r="10590" spans="1:10" x14ac:dyDescent="0.25">
      <c r="A10590" s="7" t="s">
        <v>21499</v>
      </c>
      <c r="B10590" s="8">
        <v>400</v>
      </c>
      <c r="C10590" s="8">
        <v>20.478950000000001</v>
      </c>
      <c r="D10590" s="8">
        <v>105</v>
      </c>
      <c r="E10590" s="8">
        <v>0</v>
      </c>
      <c r="F10590" s="8">
        <v>0</v>
      </c>
      <c r="G10590" s="8">
        <v>13</v>
      </c>
      <c r="H10590" s="8" t="s">
        <v>21500</v>
      </c>
      <c r="I10590" s="8">
        <v>528.9375</v>
      </c>
      <c r="J10590" s="3">
        <f t="shared" si="165"/>
        <v>43748.255648518512</v>
      </c>
    </row>
    <row r="10591" spans="1:10" x14ac:dyDescent="0.25">
      <c r="A10591" s="5" t="s">
        <v>21501</v>
      </c>
      <c r="B10591" s="6">
        <v>403.125</v>
      </c>
      <c r="C10591" s="6">
        <v>20.478950000000001</v>
      </c>
      <c r="D10591" s="6">
        <v>104</v>
      </c>
      <c r="E10591" s="6">
        <v>0</v>
      </c>
      <c r="F10591" s="6">
        <v>0</v>
      </c>
      <c r="G10591" s="6">
        <v>7</v>
      </c>
      <c r="H10591" s="6" t="s">
        <v>21502</v>
      </c>
      <c r="I10591" s="6">
        <v>529.125</v>
      </c>
      <c r="J10591" s="2">
        <f t="shared" si="165"/>
        <v>43748.25572069444</v>
      </c>
    </row>
    <row r="10592" spans="1:10" x14ac:dyDescent="0.25">
      <c r="A10592" s="7" t="s">
        <v>21503</v>
      </c>
      <c r="B10592" s="8">
        <v>403.125</v>
      </c>
      <c r="C10592" s="8">
        <v>20.426300000000001</v>
      </c>
      <c r="D10592" s="8">
        <v>104</v>
      </c>
      <c r="E10592" s="8">
        <v>0</v>
      </c>
      <c r="F10592" s="8">
        <v>0</v>
      </c>
      <c r="G10592" s="8">
        <v>0</v>
      </c>
      <c r="H10592" s="8" t="s">
        <v>21504</v>
      </c>
      <c r="I10592" s="8">
        <v>529.125</v>
      </c>
      <c r="J10592" s="3">
        <f t="shared" si="165"/>
        <v>43748.255791805554</v>
      </c>
    </row>
    <row r="10593" spans="1:10" x14ac:dyDescent="0.25">
      <c r="A10593" s="5" t="s">
        <v>21505</v>
      </c>
      <c r="B10593" s="6">
        <v>403.125</v>
      </c>
      <c r="C10593" s="6">
        <v>20.478950000000001</v>
      </c>
      <c r="D10593" s="6">
        <v>103</v>
      </c>
      <c r="E10593" s="6">
        <v>0</v>
      </c>
      <c r="F10593" s="6">
        <v>0</v>
      </c>
      <c r="G10593" s="6">
        <v>11</v>
      </c>
      <c r="H10593" s="6" t="s">
        <v>21506</v>
      </c>
      <c r="I10593" s="6">
        <v>529.125</v>
      </c>
      <c r="J10593" s="2">
        <f t="shared" si="165"/>
        <v>43748.255863333332</v>
      </c>
    </row>
    <row r="10594" spans="1:10" x14ac:dyDescent="0.25">
      <c r="A10594" s="7" t="s">
        <v>21507</v>
      </c>
      <c r="B10594" s="8">
        <v>400</v>
      </c>
      <c r="C10594" s="8">
        <v>20.426300000000001</v>
      </c>
      <c r="D10594" s="8">
        <v>110</v>
      </c>
      <c r="E10594" s="8">
        <v>0</v>
      </c>
      <c r="F10594" s="8">
        <v>0</v>
      </c>
      <c r="G10594" s="8">
        <v>4</v>
      </c>
      <c r="H10594" s="8" t="s">
        <v>21508</v>
      </c>
      <c r="I10594" s="8">
        <v>528.9375</v>
      </c>
      <c r="J10594" s="3">
        <f t="shared" si="165"/>
        <v>43748.255934629626</v>
      </c>
    </row>
    <row r="10595" spans="1:10" x14ac:dyDescent="0.25">
      <c r="A10595" s="5" t="s">
        <v>21509</v>
      </c>
      <c r="B10595" s="6">
        <v>421.875</v>
      </c>
      <c r="C10595" s="6">
        <v>20.426300000000001</v>
      </c>
      <c r="D10595" s="6">
        <v>108</v>
      </c>
      <c r="E10595" s="6">
        <v>0</v>
      </c>
      <c r="F10595" s="6">
        <v>0</v>
      </c>
      <c r="G10595" s="6">
        <v>5</v>
      </c>
      <c r="H10595" s="6" t="s">
        <v>21510</v>
      </c>
      <c r="I10595" s="6">
        <v>535.125</v>
      </c>
      <c r="J10595" s="2">
        <f t="shared" si="165"/>
        <v>43748.256006782402</v>
      </c>
    </row>
    <row r="10596" spans="1:10" x14ac:dyDescent="0.25">
      <c r="A10596" s="7" t="s">
        <v>21511</v>
      </c>
      <c r="B10596" s="8">
        <v>403.125</v>
      </c>
      <c r="C10596" s="8">
        <v>20.478950000000001</v>
      </c>
      <c r="D10596" s="8">
        <v>108</v>
      </c>
      <c r="E10596" s="8">
        <v>0</v>
      </c>
      <c r="F10596" s="8">
        <v>0</v>
      </c>
      <c r="G10596" s="8">
        <v>8</v>
      </c>
      <c r="H10596" s="8" t="s">
        <v>21512</v>
      </c>
      <c r="I10596" s="8">
        <v>529.125</v>
      </c>
      <c r="J10596" s="3">
        <f t="shared" si="165"/>
        <v>43748.256078078703</v>
      </c>
    </row>
    <row r="10597" spans="1:10" x14ac:dyDescent="0.25">
      <c r="A10597" s="5" t="s">
        <v>21513</v>
      </c>
      <c r="B10597" s="6">
        <v>403.125</v>
      </c>
      <c r="C10597" s="6">
        <v>20.426300000000001</v>
      </c>
      <c r="D10597" s="6">
        <v>100</v>
      </c>
      <c r="E10597" s="6">
        <v>0</v>
      </c>
      <c r="F10597" s="6">
        <v>0</v>
      </c>
      <c r="G10597" s="6">
        <v>8</v>
      </c>
      <c r="H10597" s="6" t="s">
        <v>21514</v>
      </c>
      <c r="I10597" s="6">
        <v>529.125</v>
      </c>
      <c r="J10597" s="2">
        <f t="shared" si="165"/>
        <v>43748.256149143512</v>
      </c>
    </row>
    <row r="10598" spans="1:10" x14ac:dyDescent="0.25">
      <c r="A10598" s="7" t="s">
        <v>21515</v>
      </c>
      <c r="B10598" s="8">
        <v>403.125</v>
      </c>
      <c r="C10598" s="8">
        <v>20.478950000000001</v>
      </c>
      <c r="D10598" s="8">
        <v>100</v>
      </c>
      <c r="E10598" s="8">
        <v>0</v>
      </c>
      <c r="F10598" s="8">
        <v>0</v>
      </c>
      <c r="G10598" s="8">
        <v>15</v>
      </c>
      <c r="H10598" s="8" t="s">
        <v>21516</v>
      </c>
      <c r="I10598" s="8">
        <v>529.125</v>
      </c>
      <c r="J10598" s="3">
        <f t="shared" si="165"/>
        <v>43748.256221655094</v>
      </c>
    </row>
    <row r="10599" spans="1:10" x14ac:dyDescent="0.25">
      <c r="A10599" s="5" t="s">
        <v>21517</v>
      </c>
      <c r="B10599" s="6">
        <v>400</v>
      </c>
      <c r="C10599" s="6">
        <v>20.426300000000001</v>
      </c>
      <c r="D10599" s="6">
        <v>100</v>
      </c>
      <c r="E10599" s="6">
        <v>0</v>
      </c>
      <c r="F10599" s="6">
        <v>0</v>
      </c>
      <c r="G10599" s="6">
        <v>12</v>
      </c>
      <c r="H10599" s="6" t="s">
        <v>21518</v>
      </c>
      <c r="I10599" s="6">
        <v>528.9375</v>
      </c>
      <c r="J10599" s="2">
        <f t="shared" si="165"/>
        <v>43748.256292094906</v>
      </c>
    </row>
    <row r="10600" spans="1:10" x14ac:dyDescent="0.25">
      <c r="A10600" s="7" t="s">
        <v>21519</v>
      </c>
      <c r="B10600" s="8">
        <v>403.125</v>
      </c>
      <c r="C10600" s="8">
        <v>20.426300000000001</v>
      </c>
      <c r="D10600" s="8">
        <v>100</v>
      </c>
      <c r="E10600" s="8">
        <v>0</v>
      </c>
      <c r="F10600" s="8">
        <v>0</v>
      </c>
      <c r="G10600" s="8">
        <v>17</v>
      </c>
      <c r="H10600" s="8" t="s">
        <v>21520</v>
      </c>
      <c r="I10600" s="8">
        <v>529.125</v>
      </c>
      <c r="J10600" s="3">
        <f t="shared" si="165"/>
        <v>43748.256364259258</v>
      </c>
    </row>
    <row r="10601" spans="1:10" x14ac:dyDescent="0.25">
      <c r="A10601" s="5" t="s">
        <v>21521</v>
      </c>
      <c r="B10601" s="6">
        <v>400</v>
      </c>
      <c r="C10601" s="6">
        <v>20.478950000000001</v>
      </c>
      <c r="D10601" s="6">
        <v>100</v>
      </c>
      <c r="E10601" s="6">
        <v>0</v>
      </c>
      <c r="F10601" s="6">
        <v>0</v>
      </c>
      <c r="G10601" s="6">
        <v>12</v>
      </c>
      <c r="H10601" s="6" t="s">
        <v>21522</v>
      </c>
      <c r="I10601" s="6">
        <v>528.1875</v>
      </c>
      <c r="J10601" s="2">
        <f t="shared" si="165"/>
        <v>43748.256435543975</v>
      </c>
    </row>
    <row r="10602" spans="1:10" x14ac:dyDescent="0.25">
      <c r="A10602" s="7" t="s">
        <v>21523</v>
      </c>
      <c r="B10602" s="8">
        <v>400</v>
      </c>
      <c r="C10602" s="8">
        <v>20.478950000000001</v>
      </c>
      <c r="D10602" s="8">
        <v>101</v>
      </c>
      <c r="E10602" s="8">
        <v>0</v>
      </c>
      <c r="F10602" s="8">
        <v>0</v>
      </c>
      <c r="G10602" s="8">
        <v>8</v>
      </c>
      <c r="H10602" s="8" t="s">
        <v>21524</v>
      </c>
      <c r="I10602" s="8">
        <v>528.1875</v>
      </c>
      <c r="J10602" s="3">
        <f t="shared" si="165"/>
        <v>43748.256507604165</v>
      </c>
    </row>
    <row r="10603" spans="1:10" x14ac:dyDescent="0.25">
      <c r="A10603" s="5" t="s">
        <v>21525</v>
      </c>
      <c r="B10603" s="6">
        <v>400</v>
      </c>
      <c r="C10603" s="6">
        <v>20.426300000000001</v>
      </c>
      <c r="D10603" s="6">
        <v>102</v>
      </c>
      <c r="E10603" s="6">
        <v>0</v>
      </c>
      <c r="F10603" s="6">
        <v>0</v>
      </c>
      <c r="G10603" s="6">
        <v>8</v>
      </c>
      <c r="H10603" s="6" t="s">
        <v>21526</v>
      </c>
      <c r="I10603" s="6">
        <v>528.375</v>
      </c>
      <c r="J10603" s="2">
        <f t="shared" si="165"/>
        <v>43748.256579016197</v>
      </c>
    </row>
    <row r="10604" spans="1:10" x14ac:dyDescent="0.25">
      <c r="A10604" s="7" t="s">
        <v>21527</v>
      </c>
      <c r="B10604" s="8">
        <v>415.625</v>
      </c>
      <c r="C10604" s="8">
        <v>20.478950000000001</v>
      </c>
      <c r="D10604" s="8">
        <v>101</v>
      </c>
      <c r="E10604" s="8">
        <v>0</v>
      </c>
      <c r="F10604" s="8">
        <v>0</v>
      </c>
      <c r="G10604" s="8">
        <v>11</v>
      </c>
      <c r="H10604" s="8" t="s">
        <v>21528</v>
      </c>
      <c r="I10604" s="8">
        <v>533.8125</v>
      </c>
      <c r="J10604" s="3">
        <f t="shared" si="165"/>
        <v>43748.256650370364</v>
      </c>
    </row>
    <row r="10605" spans="1:10" x14ac:dyDescent="0.25">
      <c r="A10605" s="5" t="s">
        <v>21529</v>
      </c>
      <c r="B10605" s="6">
        <v>400</v>
      </c>
      <c r="C10605" s="6">
        <v>20.478950000000001</v>
      </c>
      <c r="D10605" s="6">
        <v>102</v>
      </c>
      <c r="E10605" s="6">
        <v>0</v>
      </c>
      <c r="F10605" s="6">
        <v>0</v>
      </c>
      <c r="G10605" s="6">
        <v>10</v>
      </c>
      <c r="H10605" s="6" t="s">
        <v>21530</v>
      </c>
      <c r="I10605" s="6">
        <v>528.1875</v>
      </c>
      <c r="J10605" s="2">
        <f t="shared" si="165"/>
        <v>43748.256745763887</v>
      </c>
    </row>
    <row r="10606" spans="1:10" x14ac:dyDescent="0.25">
      <c r="A10606" s="7" t="s">
        <v>21531</v>
      </c>
      <c r="B10606" s="8">
        <v>400</v>
      </c>
      <c r="C10606" s="8">
        <v>20.426300000000001</v>
      </c>
      <c r="D10606" s="8">
        <v>102</v>
      </c>
      <c r="E10606" s="8">
        <v>0</v>
      </c>
      <c r="F10606" s="8">
        <v>0</v>
      </c>
      <c r="G10606" s="8">
        <v>11</v>
      </c>
      <c r="H10606" s="8" t="s">
        <v>21532</v>
      </c>
      <c r="I10606" s="8">
        <v>528.1875</v>
      </c>
      <c r="J10606" s="3">
        <f t="shared" si="165"/>
        <v>43748.256817060181</v>
      </c>
    </row>
    <row r="10607" spans="1:10" x14ac:dyDescent="0.25">
      <c r="A10607" s="5" t="s">
        <v>21533</v>
      </c>
      <c r="B10607" s="6">
        <v>403.125</v>
      </c>
      <c r="C10607" s="6">
        <v>20.426300000000001</v>
      </c>
      <c r="D10607" s="6">
        <v>102</v>
      </c>
      <c r="E10607" s="6">
        <v>0</v>
      </c>
      <c r="F10607" s="6">
        <v>0</v>
      </c>
      <c r="G10607" s="6">
        <v>11</v>
      </c>
      <c r="H10607" s="6" t="s">
        <v>21534</v>
      </c>
      <c r="I10607" s="6">
        <v>529.125</v>
      </c>
      <c r="J10607" s="2">
        <f t="shared" si="165"/>
        <v>43748.256889293982</v>
      </c>
    </row>
    <row r="10608" spans="1:10" x14ac:dyDescent="0.25">
      <c r="A10608" s="7" t="s">
        <v>21535</v>
      </c>
      <c r="B10608" s="8">
        <v>403.125</v>
      </c>
      <c r="C10608" s="8">
        <v>20.426300000000001</v>
      </c>
      <c r="D10608" s="8">
        <v>102</v>
      </c>
      <c r="E10608" s="8">
        <v>0</v>
      </c>
      <c r="F10608" s="8">
        <v>0</v>
      </c>
      <c r="G10608" s="8">
        <v>9</v>
      </c>
      <c r="H10608" s="8" t="s">
        <v>21536</v>
      </c>
      <c r="I10608" s="8">
        <v>529.125</v>
      </c>
      <c r="J10608" s="3">
        <f t="shared" si="165"/>
        <v>43748.256972615738</v>
      </c>
    </row>
    <row r="10609" spans="1:10" x14ac:dyDescent="0.25">
      <c r="A10609" s="5" t="s">
        <v>21537</v>
      </c>
      <c r="B10609" s="6">
        <v>403.125</v>
      </c>
      <c r="C10609" s="6">
        <v>20.478950000000001</v>
      </c>
      <c r="D10609" s="6">
        <v>102</v>
      </c>
      <c r="E10609" s="6">
        <v>0</v>
      </c>
      <c r="F10609" s="6">
        <v>0</v>
      </c>
      <c r="G10609" s="6">
        <v>8</v>
      </c>
      <c r="H10609" s="6" t="s">
        <v>21538</v>
      </c>
      <c r="I10609" s="6">
        <v>529.875</v>
      </c>
      <c r="J10609" s="2">
        <f t="shared" si="165"/>
        <v>43748.257043912039</v>
      </c>
    </row>
    <row r="10610" spans="1:10" x14ac:dyDescent="0.25">
      <c r="A10610" s="7" t="s">
        <v>21539</v>
      </c>
      <c r="B10610" s="8">
        <v>403.125</v>
      </c>
      <c r="C10610" s="8">
        <v>20.478950000000001</v>
      </c>
      <c r="D10610" s="8">
        <v>102</v>
      </c>
      <c r="E10610" s="8">
        <v>0</v>
      </c>
      <c r="F10610" s="8">
        <v>0</v>
      </c>
      <c r="G10610" s="8">
        <v>5</v>
      </c>
      <c r="H10610" s="8" t="s">
        <v>21540</v>
      </c>
      <c r="I10610" s="8">
        <v>529.875</v>
      </c>
      <c r="J10610" s="3">
        <f t="shared" si="165"/>
        <v>43748.257114976848</v>
      </c>
    </row>
    <row r="10611" spans="1:10" x14ac:dyDescent="0.25">
      <c r="A10611" s="5" t="s">
        <v>21541</v>
      </c>
      <c r="B10611" s="6">
        <v>403.125</v>
      </c>
      <c r="C10611" s="6">
        <v>20.478950000000001</v>
      </c>
      <c r="D10611" s="6">
        <v>97</v>
      </c>
      <c r="E10611" s="6">
        <v>0</v>
      </c>
      <c r="F10611" s="6">
        <v>0</v>
      </c>
      <c r="G10611" s="6">
        <v>12</v>
      </c>
      <c r="H10611" s="6" t="s">
        <v>21542</v>
      </c>
      <c r="I10611" s="6">
        <v>529.875</v>
      </c>
      <c r="J10611" s="2">
        <f t="shared" si="165"/>
        <v>43748.257197187493</v>
      </c>
    </row>
    <row r="10612" spans="1:10" x14ac:dyDescent="0.25">
      <c r="A10612" s="7" t="s">
        <v>21543</v>
      </c>
      <c r="B10612" s="8">
        <v>403.125</v>
      </c>
      <c r="C10612" s="8">
        <v>20.478950000000001</v>
      </c>
      <c r="D10612" s="8">
        <v>96</v>
      </c>
      <c r="E10612" s="8">
        <v>0</v>
      </c>
      <c r="F10612" s="8">
        <v>0</v>
      </c>
      <c r="G10612" s="8">
        <v>6</v>
      </c>
      <c r="H10612" s="8" t="s">
        <v>21544</v>
      </c>
      <c r="I10612" s="8">
        <v>529.875</v>
      </c>
      <c r="J10612" s="3">
        <f t="shared" si="165"/>
        <v>43748.257282800922</v>
      </c>
    </row>
    <row r="10613" spans="1:10" x14ac:dyDescent="0.25">
      <c r="A10613" s="5" t="s">
        <v>21545</v>
      </c>
      <c r="B10613" s="6">
        <v>400</v>
      </c>
      <c r="C10613" s="6">
        <v>20.478950000000001</v>
      </c>
      <c r="D10613" s="6">
        <v>96</v>
      </c>
      <c r="E10613" s="6">
        <v>0</v>
      </c>
      <c r="F10613" s="6">
        <v>0</v>
      </c>
      <c r="G10613" s="6">
        <v>1</v>
      </c>
      <c r="H10613" s="6" t="s">
        <v>21546</v>
      </c>
      <c r="I10613" s="6">
        <v>528.9375</v>
      </c>
      <c r="J10613" s="2">
        <f t="shared" si="165"/>
        <v>43748.257354108799</v>
      </c>
    </row>
    <row r="10614" spans="1:10" x14ac:dyDescent="0.25">
      <c r="A10614" s="7" t="s">
        <v>21547</v>
      </c>
      <c r="B10614" s="8">
        <v>403.125</v>
      </c>
      <c r="C10614" s="8">
        <v>20.478950000000001</v>
      </c>
      <c r="D10614" s="8">
        <v>97</v>
      </c>
      <c r="E10614" s="8">
        <v>0</v>
      </c>
      <c r="F10614" s="8">
        <v>0</v>
      </c>
      <c r="G10614" s="8">
        <v>7</v>
      </c>
      <c r="H10614" s="8" t="s">
        <v>21548</v>
      </c>
      <c r="I10614" s="8">
        <v>529.125</v>
      </c>
      <c r="J10614" s="3">
        <f t="shared" si="165"/>
        <v>43748.257425405092</v>
      </c>
    </row>
    <row r="10615" spans="1:10" x14ac:dyDescent="0.25">
      <c r="A10615" s="5" t="s">
        <v>21549</v>
      </c>
      <c r="B10615" s="6">
        <v>403.125</v>
      </c>
      <c r="C10615" s="6">
        <v>20.478950000000001</v>
      </c>
      <c r="D10615" s="6">
        <v>98</v>
      </c>
      <c r="E10615" s="6">
        <v>0</v>
      </c>
      <c r="F10615" s="6">
        <v>0</v>
      </c>
      <c r="G10615" s="6">
        <v>5</v>
      </c>
      <c r="H10615" s="6" t="s">
        <v>21550</v>
      </c>
      <c r="I10615" s="6">
        <v>529.125</v>
      </c>
      <c r="J10615" s="2">
        <f t="shared" si="165"/>
        <v>43748.257496701386</v>
      </c>
    </row>
    <row r="10616" spans="1:10" x14ac:dyDescent="0.25">
      <c r="A10616" s="7" t="s">
        <v>21551</v>
      </c>
      <c r="B10616" s="8">
        <v>403.125</v>
      </c>
      <c r="C10616" s="8">
        <v>20.426300000000001</v>
      </c>
      <c r="D10616" s="8">
        <v>98</v>
      </c>
      <c r="E10616" s="8">
        <v>0</v>
      </c>
      <c r="F10616" s="8">
        <v>0</v>
      </c>
      <c r="G10616" s="8">
        <v>7</v>
      </c>
      <c r="H10616" s="8" t="s">
        <v>21552</v>
      </c>
      <c r="I10616" s="8">
        <v>529.875</v>
      </c>
      <c r="J10616" s="3">
        <f t="shared" si="165"/>
        <v>43748.257568923604</v>
      </c>
    </row>
    <row r="10617" spans="1:10" x14ac:dyDescent="0.25">
      <c r="A10617" s="5" t="s">
        <v>21553</v>
      </c>
      <c r="B10617" s="6">
        <v>403.125</v>
      </c>
      <c r="C10617" s="6">
        <v>20.478950000000001</v>
      </c>
      <c r="D10617" s="6">
        <v>98</v>
      </c>
      <c r="E10617" s="6">
        <v>0</v>
      </c>
      <c r="F10617" s="6">
        <v>0</v>
      </c>
      <c r="G10617" s="6">
        <v>7</v>
      </c>
      <c r="H10617" s="6" t="s">
        <v>21554</v>
      </c>
      <c r="I10617" s="6">
        <v>529.125</v>
      </c>
      <c r="J10617" s="2">
        <f t="shared" si="165"/>
        <v>43748.257640162039</v>
      </c>
    </row>
    <row r="10618" spans="1:10" x14ac:dyDescent="0.25">
      <c r="A10618" s="7" t="s">
        <v>21555</v>
      </c>
      <c r="B10618" s="8">
        <v>403.125</v>
      </c>
      <c r="C10618" s="8">
        <v>20.426300000000001</v>
      </c>
      <c r="D10618" s="8">
        <v>100</v>
      </c>
      <c r="E10618" s="8">
        <v>0</v>
      </c>
      <c r="F10618" s="8">
        <v>0</v>
      </c>
      <c r="G10618" s="8">
        <v>8</v>
      </c>
      <c r="H10618" s="8" t="s">
        <v>21556</v>
      </c>
      <c r="I10618" s="8">
        <v>529.125</v>
      </c>
      <c r="J10618" s="3">
        <f t="shared" si="165"/>
        <v>43748.257711516206</v>
      </c>
    </row>
    <row r="10619" spans="1:10" x14ac:dyDescent="0.25">
      <c r="A10619" s="5" t="s">
        <v>21557</v>
      </c>
      <c r="B10619" s="6">
        <v>403.125</v>
      </c>
      <c r="C10619" s="6">
        <v>20.478950000000001</v>
      </c>
      <c r="D10619" s="6">
        <v>100</v>
      </c>
      <c r="E10619" s="6">
        <v>0</v>
      </c>
      <c r="F10619" s="6">
        <v>0</v>
      </c>
      <c r="G10619" s="6">
        <v>8</v>
      </c>
      <c r="H10619" s="6" t="s">
        <v>21558</v>
      </c>
      <c r="I10619" s="6">
        <v>529.125</v>
      </c>
      <c r="J10619" s="2">
        <f t="shared" si="165"/>
        <v>43748.257783564812</v>
      </c>
    </row>
    <row r="10620" spans="1:10" x14ac:dyDescent="0.25">
      <c r="A10620" s="7" t="s">
        <v>21559</v>
      </c>
      <c r="B10620" s="8">
        <v>403.125</v>
      </c>
      <c r="C10620" s="8">
        <v>20.478950000000001</v>
      </c>
      <c r="D10620" s="8">
        <v>100</v>
      </c>
      <c r="E10620" s="8">
        <v>0</v>
      </c>
      <c r="F10620" s="8">
        <v>0</v>
      </c>
      <c r="G10620" s="8">
        <v>5</v>
      </c>
      <c r="H10620" s="8" t="s">
        <v>21560</v>
      </c>
      <c r="I10620" s="8">
        <v>529.125</v>
      </c>
      <c r="J10620" s="3">
        <f t="shared" si="165"/>
        <v>43748.257854976844</v>
      </c>
    </row>
    <row r="10621" spans="1:10" x14ac:dyDescent="0.25">
      <c r="A10621" s="5" t="s">
        <v>21561</v>
      </c>
      <c r="B10621" s="6">
        <v>418.75</v>
      </c>
      <c r="C10621" s="6">
        <v>20.478950000000001</v>
      </c>
      <c r="D10621" s="6">
        <v>101</v>
      </c>
      <c r="E10621" s="6">
        <v>0</v>
      </c>
      <c r="F10621" s="6">
        <v>0</v>
      </c>
      <c r="G10621" s="6">
        <v>3</v>
      </c>
      <c r="H10621" s="6" t="s">
        <v>21562</v>
      </c>
      <c r="I10621" s="6">
        <v>534.9375</v>
      </c>
      <c r="J10621" s="2">
        <f t="shared" si="165"/>
        <v>43748.257926168975</v>
      </c>
    </row>
    <row r="10622" spans="1:10" x14ac:dyDescent="0.25">
      <c r="A10622" s="7" t="s">
        <v>21563</v>
      </c>
      <c r="B10622" s="8">
        <v>400</v>
      </c>
      <c r="C10622" s="8">
        <v>20.478950000000001</v>
      </c>
      <c r="D10622" s="8">
        <v>101</v>
      </c>
      <c r="E10622" s="8">
        <v>0</v>
      </c>
      <c r="F10622" s="8">
        <v>0</v>
      </c>
      <c r="G10622" s="8">
        <v>11</v>
      </c>
      <c r="H10622" s="8" t="s">
        <v>21564</v>
      </c>
      <c r="I10622" s="8">
        <v>528.1875</v>
      </c>
      <c r="J10622" s="3">
        <f t="shared" si="165"/>
        <v>43748.258005138887</v>
      </c>
    </row>
    <row r="10623" spans="1:10" x14ac:dyDescent="0.25">
      <c r="A10623" s="5" t="s">
        <v>21565</v>
      </c>
      <c r="B10623" s="6">
        <v>400</v>
      </c>
      <c r="C10623" s="6">
        <v>20.478950000000001</v>
      </c>
      <c r="D10623" s="6">
        <v>103</v>
      </c>
      <c r="E10623" s="6">
        <v>0</v>
      </c>
      <c r="F10623" s="6">
        <v>0</v>
      </c>
      <c r="G10623" s="6">
        <v>10</v>
      </c>
      <c r="H10623" s="6" t="s">
        <v>21566</v>
      </c>
      <c r="I10623" s="6">
        <v>528.1875</v>
      </c>
      <c r="J10623" s="2">
        <f t="shared" si="165"/>
        <v>43748.258081064814</v>
      </c>
    </row>
    <row r="10624" spans="1:10" x14ac:dyDescent="0.25">
      <c r="A10624" s="7" t="s">
        <v>21567</v>
      </c>
      <c r="B10624" s="8">
        <v>400</v>
      </c>
      <c r="C10624" s="8">
        <v>20.478950000000001</v>
      </c>
      <c r="D10624" s="8">
        <v>102</v>
      </c>
      <c r="E10624" s="8">
        <v>0</v>
      </c>
      <c r="F10624" s="8">
        <v>0</v>
      </c>
      <c r="G10624" s="8">
        <v>9</v>
      </c>
      <c r="H10624" s="8" t="s">
        <v>21568</v>
      </c>
      <c r="I10624" s="8">
        <v>528.1875</v>
      </c>
      <c r="J10624" s="3">
        <f t="shared" si="165"/>
        <v>43748.258153171293</v>
      </c>
    </row>
    <row r="10625" spans="1:10" x14ac:dyDescent="0.25">
      <c r="A10625" s="5" t="s">
        <v>21569</v>
      </c>
      <c r="B10625" s="6">
        <v>396.875</v>
      </c>
      <c r="C10625" s="6">
        <v>20.478950000000001</v>
      </c>
      <c r="D10625" s="6">
        <v>108</v>
      </c>
      <c r="E10625" s="6">
        <v>0</v>
      </c>
      <c r="F10625" s="6">
        <v>0</v>
      </c>
      <c r="G10625" s="6">
        <v>4</v>
      </c>
      <c r="H10625" s="6" t="s">
        <v>21570</v>
      </c>
      <c r="I10625" s="6">
        <v>527.4375</v>
      </c>
      <c r="J10625" s="2">
        <f t="shared" si="165"/>
        <v>43748.258236458329</v>
      </c>
    </row>
    <row r="10626" spans="1:10" x14ac:dyDescent="0.25">
      <c r="A10626" s="7" t="s">
        <v>21571</v>
      </c>
      <c r="B10626" s="8">
        <v>396.875</v>
      </c>
      <c r="C10626" s="8">
        <v>20.478950000000001</v>
      </c>
      <c r="D10626" s="8">
        <v>108</v>
      </c>
      <c r="E10626" s="8">
        <v>0</v>
      </c>
      <c r="F10626" s="8">
        <v>0</v>
      </c>
      <c r="G10626" s="8">
        <v>6</v>
      </c>
      <c r="H10626" s="8" t="s">
        <v>21572</v>
      </c>
      <c r="I10626" s="8">
        <v>527.4375</v>
      </c>
      <c r="J10626" s="3">
        <f t="shared" ref="J10626:J10689" si="166">(H10626/86400000)+25569+(7/24)</f>
        <v>43748.258307812495</v>
      </c>
    </row>
    <row r="10627" spans="1:10" x14ac:dyDescent="0.25">
      <c r="A10627" s="5" t="s">
        <v>21573</v>
      </c>
      <c r="B10627" s="6">
        <v>396.875</v>
      </c>
      <c r="C10627" s="6">
        <v>20.478950000000001</v>
      </c>
      <c r="D10627" s="6">
        <v>104</v>
      </c>
      <c r="E10627" s="6">
        <v>0</v>
      </c>
      <c r="F10627" s="6">
        <v>0</v>
      </c>
      <c r="G10627" s="6">
        <v>5</v>
      </c>
      <c r="H10627" s="6" t="s">
        <v>21574</v>
      </c>
      <c r="I10627" s="6">
        <v>527.4375</v>
      </c>
      <c r="J10627" s="2">
        <f t="shared" si="166"/>
        <v>43748.258379178238</v>
      </c>
    </row>
    <row r="10628" spans="1:10" x14ac:dyDescent="0.25">
      <c r="A10628" s="7" t="s">
        <v>21575</v>
      </c>
      <c r="B10628" s="8">
        <v>415.625</v>
      </c>
      <c r="C10628" s="8">
        <v>20.478950000000001</v>
      </c>
      <c r="D10628" s="8">
        <v>104</v>
      </c>
      <c r="E10628" s="8">
        <v>0</v>
      </c>
      <c r="F10628" s="8">
        <v>0</v>
      </c>
      <c r="G10628" s="8">
        <v>3</v>
      </c>
      <c r="H10628" s="8" t="s">
        <v>21576</v>
      </c>
      <c r="I10628" s="8">
        <v>533.0625</v>
      </c>
      <c r="J10628" s="3">
        <f t="shared" si="166"/>
        <v>43748.258451331021</v>
      </c>
    </row>
    <row r="10629" spans="1:10" x14ac:dyDescent="0.25">
      <c r="A10629" s="5" t="s">
        <v>21577</v>
      </c>
      <c r="B10629" s="6">
        <v>396.875</v>
      </c>
      <c r="C10629" s="6">
        <v>20.478950000000001</v>
      </c>
      <c r="D10629" s="6">
        <v>104</v>
      </c>
      <c r="E10629" s="6">
        <v>0</v>
      </c>
      <c r="F10629" s="6">
        <v>0</v>
      </c>
      <c r="G10629" s="6">
        <v>0</v>
      </c>
      <c r="H10629" s="6" t="s">
        <v>21578</v>
      </c>
      <c r="I10629" s="6">
        <v>527.4375</v>
      </c>
      <c r="J10629" s="2">
        <f t="shared" si="166"/>
        <v>43748.258522627315</v>
      </c>
    </row>
    <row r="10630" spans="1:10" x14ac:dyDescent="0.25">
      <c r="A10630" s="7" t="s">
        <v>21579</v>
      </c>
      <c r="B10630" s="8">
        <v>396.875</v>
      </c>
      <c r="C10630" s="8">
        <v>20.478950000000001</v>
      </c>
      <c r="D10630" s="8">
        <v>105</v>
      </c>
      <c r="E10630" s="8">
        <v>0</v>
      </c>
      <c r="F10630" s="8">
        <v>0</v>
      </c>
      <c r="G10630" s="8">
        <v>4</v>
      </c>
      <c r="H10630" s="8" t="s">
        <v>21580</v>
      </c>
      <c r="I10630" s="8">
        <v>527.4375</v>
      </c>
      <c r="J10630" s="3">
        <f t="shared" si="166"/>
        <v>43748.258593796294</v>
      </c>
    </row>
    <row r="10631" spans="1:10" x14ac:dyDescent="0.25">
      <c r="A10631" s="5" t="s">
        <v>21581</v>
      </c>
      <c r="B10631" s="6">
        <v>396.875</v>
      </c>
      <c r="C10631" s="6">
        <v>20.478950000000001</v>
      </c>
      <c r="D10631" s="6">
        <v>106</v>
      </c>
      <c r="E10631" s="6">
        <v>0</v>
      </c>
      <c r="F10631" s="6">
        <v>0</v>
      </c>
      <c r="G10631" s="6">
        <v>0</v>
      </c>
      <c r="H10631" s="6" t="s">
        <v>21582</v>
      </c>
      <c r="I10631" s="6">
        <v>527.4375</v>
      </c>
      <c r="J10631" s="2">
        <f t="shared" si="166"/>
        <v>43748.258666041664</v>
      </c>
    </row>
    <row r="10632" spans="1:10" x14ac:dyDescent="0.25">
      <c r="A10632" s="7" t="s">
        <v>21583</v>
      </c>
      <c r="B10632" s="8">
        <v>396.875</v>
      </c>
      <c r="C10632" s="8">
        <v>20.426300000000001</v>
      </c>
      <c r="D10632" s="8">
        <v>106</v>
      </c>
      <c r="E10632" s="8">
        <v>0</v>
      </c>
      <c r="F10632" s="8">
        <v>0</v>
      </c>
      <c r="G10632" s="8">
        <v>5</v>
      </c>
      <c r="H10632" s="8" t="s">
        <v>21584</v>
      </c>
      <c r="I10632" s="8">
        <v>527.4375</v>
      </c>
      <c r="J10632" s="3">
        <f t="shared" si="166"/>
        <v>43748.258736585645</v>
      </c>
    </row>
    <row r="10633" spans="1:10" x14ac:dyDescent="0.25">
      <c r="A10633" s="5" t="s">
        <v>21585</v>
      </c>
      <c r="B10633" s="6">
        <v>396.875</v>
      </c>
      <c r="C10633" s="6">
        <v>20.478950000000001</v>
      </c>
      <c r="D10633" s="6">
        <v>103</v>
      </c>
      <c r="E10633" s="6">
        <v>0</v>
      </c>
      <c r="F10633" s="6">
        <v>0</v>
      </c>
      <c r="G10633" s="6">
        <v>3</v>
      </c>
      <c r="H10633" s="6" t="s">
        <v>21586</v>
      </c>
      <c r="I10633" s="6">
        <v>527.4375</v>
      </c>
      <c r="J10633" s="2">
        <f t="shared" si="166"/>
        <v>43748.258808726845</v>
      </c>
    </row>
    <row r="10634" spans="1:10" x14ac:dyDescent="0.25">
      <c r="A10634" s="7" t="s">
        <v>21587</v>
      </c>
      <c r="B10634" s="8">
        <v>396.875</v>
      </c>
      <c r="C10634" s="8">
        <v>20.478950000000001</v>
      </c>
      <c r="D10634" s="8">
        <v>104</v>
      </c>
      <c r="E10634" s="8">
        <v>0</v>
      </c>
      <c r="F10634" s="8">
        <v>0</v>
      </c>
      <c r="G10634" s="8">
        <v>5</v>
      </c>
      <c r="H10634" s="8" t="s">
        <v>21588</v>
      </c>
      <c r="I10634" s="8">
        <v>527.4375</v>
      </c>
      <c r="J10634" s="3">
        <f t="shared" si="166"/>
        <v>43748.258892094906</v>
      </c>
    </row>
    <row r="10635" spans="1:10" x14ac:dyDescent="0.25">
      <c r="A10635" s="5" t="s">
        <v>21589</v>
      </c>
      <c r="B10635" s="6">
        <v>400</v>
      </c>
      <c r="C10635" s="6">
        <v>20.478950000000001</v>
      </c>
      <c r="D10635" s="6">
        <v>103</v>
      </c>
      <c r="E10635" s="6">
        <v>0</v>
      </c>
      <c r="F10635" s="6">
        <v>0</v>
      </c>
      <c r="G10635" s="6">
        <v>4</v>
      </c>
      <c r="H10635" s="6" t="s">
        <v>21590</v>
      </c>
      <c r="I10635" s="6">
        <v>528.1875</v>
      </c>
      <c r="J10635" s="2">
        <f t="shared" si="166"/>
        <v>43748.258964236105</v>
      </c>
    </row>
    <row r="10636" spans="1:10" x14ac:dyDescent="0.25">
      <c r="A10636" s="7" t="s">
        <v>21591</v>
      </c>
      <c r="B10636" s="8">
        <v>403.125</v>
      </c>
      <c r="C10636" s="8">
        <v>20.478950000000001</v>
      </c>
      <c r="D10636" s="8">
        <v>103</v>
      </c>
      <c r="E10636" s="8">
        <v>0</v>
      </c>
      <c r="F10636" s="8">
        <v>0</v>
      </c>
      <c r="G10636" s="8">
        <v>6</v>
      </c>
      <c r="H10636" s="8" t="s">
        <v>21592</v>
      </c>
      <c r="I10636" s="8">
        <v>529.125</v>
      </c>
      <c r="J10636" s="3">
        <f t="shared" si="166"/>
        <v>43748.259034722221</v>
      </c>
    </row>
    <row r="10637" spans="1:10" x14ac:dyDescent="0.25">
      <c r="A10637" s="5" t="s">
        <v>21593</v>
      </c>
      <c r="B10637" s="6">
        <v>403.125</v>
      </c>
      <c r="C10637" s="6">
        <v>20.478950000000001</v>
      </c>
      <c r="D10637" s="6">
        <v>101</v>
      </c>
      <c r="E10637" s="6">
        <v>0</v>
      </c>
      <c r="F10637" s="6">
        <v>0</v>
      </c>
      <c r="G10637" s="6">
        <v>5</v>
      </c>
      <c r="H10637" s="6" t="s">
        <v>21594</v>
      </c>
      <c r="I10637" s="6">
        <v>529.875</v>
      </c>
      <c r="J10637" s="2">
        <f t="shared" si="166"/>
        <v>43748.259106886573</v>
      </c>
    </row>
    <row r="10638" spans="1:10" x14ac:dyDescent="0.25">
      <c r="A10638" s="7" t="s">
        <v>21595</v>
      </c>
      <c r="B10638" s="8">
        <v>406.25</v>
      </c>
      <c r="C10638" s="8">
        <v>20.478950000000001</v>
      </c>
      <c r="D10638" s="8">
        <v>103</v>
      </c>
      <c r="E10638" s="8">
        <v>0</v>
      </c>
      <c r="F10638" s="8">
        <v>0</v>
      </c>
      <c r="G10638" s="8">
        <v>2</v>
      </c>
      <c r="H10638" s="8" t="s">
        <v>21596</v>
      </c>
      <c r="I10638" s="8">
        <v>530.625</v>
      </c>
      <c r="J10638" s="3">
        <f t="shared" si="166"/>
        <v>43748.259202233792</v>
      </c>
    </row>
    <row r="10639" spans="1:10" x14ac:dyDescent="0.25">
      <c r="A10639" s="5" t="s">
        <v>21597</v>
      </c>
      <c r="B10639" s="6">
        <v>409.375</v>
      </c>
      <c r="C10639" s="6">
        <v>20.478950000000001</v>
      </c>
      <c r="D10639" s="6">
        <v>104</v>
      </c>
      <c r="E10639" s="6">
        <v>0</v>
      </c>
      <c r="F10639" s="6">
        <v>0</v>
      </c>
      <c r="G10639" s="6">
        <v>3</v>
      </c>
      <c r="H10639" s="6" t="s">
        <v>21598</v>
      </c>
      <c r="I10639" s="6">
        <v>531.5625</v>
      </c>
      <c r="J10639" s="2">
        <f t="shared" si="166"/>
        <v>43748.259273541662</v>
      </c>
    </row>
    <row r="10640" spans="1:10" x14ac:dyDescent="0.25">
      <c r="A10640" s="7" t="s">
        <v>21599</v>
      </c>
      <c r="B10640" s="8">
        <v>409.375</v>
      </c>
      <c r="C10640" s="8">
        <v>20.426300000000001</v>
      </c>
      <c r="D10640" s="8">
        <v>102</v>
      </c>
      <c r="E10640" s="8">
        <v>0</v>
      </c>
      <c r="F10640" s="8">
        <v>0</v>
      </c>
      <c r="G10640" s="8">
        <v>14</v>
      </c>
      <c r="H10640" s="8" t="s">
        <v>21600</v>
      </c>
      <c r="I10640" s="8">
        <v>531.375</v>
      </c>
      <c r="J10640" s="3">
        <f t="shared" si="166"/>
        <v>43748.259356921299</v>
      </c>
    </row>
    <row r="10641" spans="1:10" x14ac:dyDescent="0.25">
      <c r="A10641" s="5" t="s">
        <v>21601</v>
      </c>
      <c r="B10641" s="6">
        <v>412.5</v>
      </c>
      <c r="C10641" s="6">
        <v>20.478950000000001</v>
      </c>
      <c r="D10641" s="6">
        <v>106</v>
      </c>
      <c r="E10641" s="6">
        <v>0</v>
      </c>
      <c r="F10641" s="6">
        <v>0</v>
      </c>
      <c r="G10641" s="6">
        <v>9</v>
      </c>
      <c r="H10641" s="6" t="s">
        <v>21602</v>
      </c>
      <c r="I10641" s="6">
        <v>532.3125</v>
      </c>
      <c r="J10641" s="2">
        <f t="shared" si="166"/>
        <v>43748.259429085643</v>
      </c>
    </row>
    <row r="10642" spans="1:10" x14ac:dyDescent="0.25">
      <c r="A10642" s="7" t="s">
        <v>21603</v>
      </c>
      <c r="B10642" s="8">
        <v>412.5</v>
      </c>
      <c r="C10642" s="8">
        <v>20.426300000000001</v>
      </c>
      <c r="D10642" s="8">
        <v>106</v>
      </c>
      <c r="E10642" s="8">
        <v>0</v>
      </c>
      <c r="F10642" s="8">
        <v>0</v>
      </c>
      <c r="G10642" s="8">
        <v>7</v>
      </c>
      <c r="H10642" s="8" t="s">
        <v>21604</v>
      </c>
      <c r="I10642" s="8">
        <v>532.3125</v>
      </c>
      <c r="J10642" s="3">
        <f t="shared" si="166"/>
        <v>43748.259500324071</v>
      </c>
    </row>
    <row r="10643" spans="1:10" x14ac:dyDescent="0.25">
      <c r="A10643" s="5" t="s">
        <v>21605</v>
      </c>
      <c r="B10643" s="6">
        <v>412.5</v>
      </c>
      <c r="C10643" s="6">
        <v>20.478950000000001</v>
      </c>
      <c r="D10643" s="6">
        <v>107</v>
      </c>
      <c r="E10643" s="6">
        <v>0</v>
      </c>
      <c r="F10643" s="6">
        <v>0</v>
      </c>
      <c r="G10643" s="6">
        <v>11</v>
      </c>
      <c r="H10643" s="6" t="s">
        <v>21606</v>
      </c>
      <c r="I10643" s="6">
        <v>532.3125</v>
      </c>
      <c r="J10643" s="2">
        <f t="shared" si="166"/>
        <v>43748.25957159722</v>
      </c>
    </row>
    <row r="10644" spans="1:10" x14ac:dyDescent="0.25">
      <c r="A10644" s="7" t="s">
        <v>21607</v>
      </c>
      <c r="B10644" s="8">
        <v>412.5</v>
      </c>
      <c r="C10644" s="8">
        <v>20.478950000000001</v>
      </c>
      <c r="D10644" s="8">
        <v>107</v>
      </c>
      <c r="E10644" s="8">
        <v>0</v>
      </c>
      <c r="F10644" s="8">
        <v>0</v>
      </c>
      <c r="G10644" s="8">
        <v>5</v>
      </c>
      <c r="H10644" s="8" t="s">
        <v>21608</v>
      </c>
      <c r="I10644" s="8">
        <v>532.3125</v>
      </c>
      <c r="J10644" s="3">
        <f t="shared" si="166"/>
        <v>43748.259643900463</v>
      </c>
    </row>
    <row r="10645" spans="1:10" x14ac:dyDescent="0.25">
      <c r="A10645" s="5" t="s">
        <v>21609</v>
      </c>
      <c r="B10645" s="6">
        <v>412.5</v>
      </c>
      <c r="C10645" s="6">
        <v>20.426300000000001</v>
      </c>
      <c r="D10645" s="6">
        <v>107</v>
      </c>
      <c r="E10645" s="6">
        <v>0</v>
      </c>
      <c r="F10645" s="6">
        <v>0</v>
      </c>
      <c r="G10645" s="6">
        <v>1</v>
      </c>
      <c r="H10645" s="6" t="s">
        <v>21610</v>
      </c>
      <c r="I10645" s="6">
        <v>532.125</v>
      </c>
      <c r="J10645" s="2">
        <f t="shared" si="166"/>
        <v>43748.259715138884</v>
      </c>
    </row>
    <row r="10646" spans="1:10" x14ac:dyDescent="0.25">
      <c r="A10646" s="7" t="s">
        <v>21611</v>
      </c>
      <c r="B10646" s="8">
        <v>431.25</v>
      </c>
      <c r="C10646" s="8">
        <v>20.426300000000001</v>
      </c>
      <c r="D10646" s="8">
        <v>108</v>
      </c>
      <c r="E10646" s="8">
        <v>0</v>
      </c>
      <c r="F10646" s="8">
        <v>0</v>
      </c>
      <c r="G10646" s="8">
        <v>6</v>
      </c>
      <c r="H10646" s="8" t="s">
        <v>21612</v>
      </c>
      <c r="I10646" s="8">
        <v>538.6875</v>
      </c>
      <c r="J10646" s="3">
        <f t="shared" si="166"/>
        <v>43748.25978649305</v>
      </c>
    </row>
    <row r="10647" spans="1:10" x14ac:dyDescent="0.25">
      <c r="A10647" s="5" t="s">
        <v>21613</v>
      </c>
      <c r="B10647" s="6">
        <v>412.5</v>
      </c>
      <c r="C10647" s="6">
        <v>20.478950000000001</v>
      </c>
      <c r="D10647" s="6">
        <v>110</v>
      </c>
      <c r="E10647" s="6">
        <v>0</v>
      </c>
      <c r="F10647" s="6">
        <v>0</v>
      </c>
      <c r="G10647" s="6">
        <v>9</v>
      </c>
      <c r="H10647" s="6" t="s">
        <v>21614</v>
      </c>
      <c r="I10647" s="6">
        <v>532.3125</v>
      </c>
      <c r="J10647" s="2">
        <f t="shared" si="166"/>
        <v>43748.259857777775</v>
      </c>
    </row>
    <row r="10648" spans="1:10" x14ac:dyDescent="0.25">
      <c r="A10648" s="7" t="s">
        <v>21615</v>
      </c>
      <c r="B10648" s="8">
        <v>412.5</v>
      </c>
      <c r="C10648" s="8">
        <v>20.426300000000001</v>
      </c>
      <c r="D10648" s="8">
        <v>109</v>
      </c>
      <c r="E10648" s="8">
        <v>0</v>
      </c>
      <c r="F10648" s="8">
        <v>0</v>
      </c>
      <c r="G10648" s="8">
        <v>0</v>
      </c>
      <c r="H10648" s="8" t="s">
        <v>21616</v>
      </c>
      <c r="I10648" s="8">
        <v>532.3125</v>
      </c>
      <c r="J10648" s="3">
        <f t="shared" si="166"/>
        <v>43748.259930011576</v>
      </c>
    </row>
    <row r="10649" spans="1:10" x14ac:dyDescent="0.25">
      <c r="A10649" s="5" t="s">
        <v>21617</v>
      </c>
      <c r="B10649" s="6">
        <v>412.5</v>
      </c>
      <c r="C10649" s="6">
        <v>20.478950000000001</v>
      </c>
      <c r="D10649" s="6">
        <v>109</v>
      </c>
      <c r="E10649" s="6">
        <v>0</v>
      </c>
      <c r="F10649" s="6">
        <v>0</v>
      </c>
      <c r="G10649" s="6">
        <v>7</v>
      </c>
      <c r="H10649" s="6" t="s">
        <v>21618</v>
      </c>
      <c r="I10649" s="6">
        <v>532.3125</v>
      </c>
      <c r="J10649" s="2">
        <f t="shared" si="166"/>
        <v>43748.260001249997</v>
      </c>
    </row>
    <row r="10650" spans="1:10" x14ac:dyDescent="0.25">
      <c r="A10650" s="7" t="s">
        <v>21619</v>
      </c>
      <c r="B10650" s="8">
        <v>412.5</v>
      </c>
      <c r="C10650" s="8">
        <v>20.478950000000001</v>
      </c>
      <c r="D10650" s="8">
        <v>108</v>
      </c>
      <c r="E10650" s="8">
        <v>0</v>
      </c>
      <c r="F10650" s="8">
        <v>0</v>
      </c>
      <c r="G10650" s="8">
        <v>8</v>
      </c>
      <c r="H10650" s="8" t="s">
        <v>21620</v>
      </c>
      <c r="I10650" s="8">
        <v>532.3125</v>
      </c>
      <c r="J10650" s="3">
        <f t="shared" si="166"/>
        <v>43748.260072592595</v>
      </c>
    </row>
    <row r="10651" spans="1:10" x14ac:dyDescent="0.25">
      <c r="A10651" s="5" t="s">
        <v>21621</v>
      </c>
      <c r="B10651" s="6">
        <v>412.5</v>
      </c>
      <c r="C10651" s="6">
        <v>20.478950000000001</v>
      </c>
      <c r="D10651" s="6">
        <v>109</v>
      </c>
      <c r="E10651" s="6">
        <v>0</v>
      </c>
      <c r="F10651" s="6">
        <v>0</v>
      </c>
      <c r="G10651" s="6">
        <v>13</v>
      </c>
      <c r="H10651" s="6" t="s">
        <v>21622</v>
      </c>
      <c r="I10651" s="6">
        <v>532.3125</v>
      </c>
      <c r="J10651" s="2">
        <f t="shared" si="166"/>
        <v>43748.260143900457</v>
      </c>
    </row>
    <row r="10652" spans="1:10" x14ac:dyDescent="0.25">
      <c r="A10652" s="7" t="s">
        <v>21623</v>
      </c>
      <c r="B10652" s="8">
        <v>412.5</v>
      </c>
      <c r="C10652" s="8">
        <v>20.478950000000001</v>
      </c>
      <c r="D10652" s="8">
        <v>109</v>
      </c>
      <c r="E10652" s="8">
        <v>0</v>
      </c>
      <c r="F10652" s="8">
        <v>0</v>
      </c>
      <c r="G10652" s="8">
        <v>5</v>
      </c>
      <c r="H10652" s="8" t="s">
        <v>21624</v>
      </c>
      <c r="I10652" s="8">
        <v>532.3125</v>
      </c>
      <c r="J10652" s="3">
        <f t="shared" si="166"/>
        <v>43748.260228171297</v>
      </c>
    </row>
    <row r="10653" spans="1:10" x14ac:dyDescent="0.25">
      <c r="A10653" s="5" t="s">
        <v>21625</v>
      </c>
      <c r="B10653" s="6">
        <v>412.5</v>
      </c>
      <c r="C10653" s="6">
        <v>20.478950000000001</v>
      </c>
      <c r="D10653" s="6">
        <v>108</v>
      </c>
      <c r="E10653" s="6">
        <v>0</v>
      </c>
      <c r="F10653" s="6">
        <v>0</v>
      </c>
      <c r="G10653" s="6">
        <v>7</v>
      </c>
      <c r="H10653" s="6" t="s">
        <v>21626</v>
      </c>
      <c r="I10653" s="6">
        <v>532.3125</v>
      </c>
      <c r="J10653" s="2">
        <f t="shared" si="166"/>
        <v>43748.260299456015</v>
      </c>
    </row>
    <row r="10654" spans="1:10" x14ac:dyDescent="0.25">
      <c r="A10654" s="7" t="s">
        <v>21627</v>
      </c>
      <c r="B10654" s="8">
        <v>428.125</v>
      </c>
      <c r="C10654" s="8">
        <v>20.478950000000001</v>
      </c>
      <c r="D10654" s="8">
        <v>108</v>
      </c>
      <c r="E10654" s="8">
        <v>0</v>
      </c>
      <c r="F10654" s="8">
        <v>0</v>
      </c>
      <c r="G10654" s="8">
        <v>7</v>
      </c>
      <c r="H10654" s="8" t="s">
        <v>21628</v>
      </c>
      <c r="I10654" s="8">
        <v>537.9375</v>
      </c>
      <c r="J10654" s="3">
        <f t="shared" si="166"/>
        <v>43748.260370625001</v>
      </c>
    </row>
    <row r="10655" spans="1:10" x14ac:dyDescent="0.25">
      <c r="A10655" s="5" t="s">
        <v>21629</v>
      </c>
      <c r="B10655" s="6">
        <v>412.5</v>
      </c>
      <c r="C10655" s="6">
        <v>20.478950000000001</v>
      </c>
      <c r="D10655" s="6">
        <v>108</v>
      </c>
      <c r="E10655" s="6">
        <v>0</v>
      </c>
      <c r="F10655" s="6">
        <v>0</v>
      </c>
      <c r="G10655" s="6">
        <v>7</v>
      </c>
      <c r="H10655" s="6" t="s">
        <v>21630</v>
      </c>
      <c r="I10655" s="6">
        <v>532.3125</v>
      </c>
      <c r="J10655" s="2">
        <f t="shared" si="166"/>
        <v>43748.26044204861</v>
      </c>
    </row>
    <row r="10656" spans="1:10" x14ac:dyDescent="0.25">
      <c r="A10656" s="7" t="s">
        <v>21631</v>
      </c>
      <c r="B10656" s="8">
        <v>412.5</v>
      </c>
      <c r="C10656" s="8">
        <v>20.426300000000001</v>
      </c>
      <c r="D10656" s="8">
        <v>108</v>
      </c>
      <c r="E10656" s="8">
        <v>0</v>
      </c>
      <c r="F10656" s="8">
        <v>0</v>
      </c>
      <c r="G10656" s="8">
        <v>5</v>
      </c>
      <c r="H10656" s="8" t="s">
        <v>21632</v>
      </c>
      <c r="I10656" s="8">
        <v>532.3125</v>
      </c>
      <c r="J10656" s="3">
        <f t="shared" si="166"/>
        <v>43748.260514224537</v>
      </c>
    </row>
    <row r="10657" spans="1:10" x14ac:dyDescent="0.25">
      <c r="A10657" s="5" t="s">
        <v>21633</v>
      </c>
      <c r="B10657" s="6">
        <v>412.5</v>
      </c>
      <c r="C10657" s="6">
        <v>20.478950000000001</v>
      </c>
      <c r="D10657" s="6">
        <v>108</v>
      </c>
      <c r="E10657" s="6">
        <v>0</v>
      </c>
      <c r="F10657" s="6">
        <v>0</v>
      </c>
      <c r="G10657" s="6">
        <v>9</v>
      </c>
      <c r="H10657" s="6" t="s">
        <v>21634</v>
      </c>
      <c r="I10657" s="6">
        <v>532.3125</v>
      </c>
      <c r="J10657" s="2">
        <f t="shared" si="166"/>
        <v>43748.260585520831</v>
      </c>
    </row>
    <row r="10658" spans="1:10" x14ac:dyDescent="0.25">
      <c r="A10658" s="7" t="s">
        <v>21635</v>
      </c>
      <c r="B10658" s="8">
        <v>412.5</v>
      </c>
      <c r="C10658" s="8">
        <v>20.478950000000001</v>
      </c>
      <c r="D10658" s="8">
        <v>107</v>
      </c>
      <c r="E10658" s="8">
        <v>0</v>
      </c>
      <c r="F10658" s="8">
        <v>0</v>
      </c>
      <c r="G10658" s="8">
        <v>4</v>
      </c>
      <c r="H10658" s="8" t="s">
        <v>21636</v>
      </c>
      <c r="I10658" s="8">
        <v>532.3125</v>
      </c>
      <c r="J10658" s="3">
        <f t="shared" si="166"/>
        <v>43748.260656851846</v>
      </c>
    </row>
    <row r="10659" spans="1:10" x14ac:dyDescent="0.25">
      <c r="A10659" s="5" t="s">
        <v>21637</v>
      </c>
      <c r="B10659" s="6">
        <v>412.5</v>
      </c>
      <c r="C10659" s="6">
        <v>20.478950000000001</v>
      </c>
      <c r="D10659" s="6">
        <v>107</v>
      </c>
      <c r="E10659" s="6">
        <v>0</v>
      </c>
      <c r="F10659" s="6">
        <v>0</v>
      </c>
      <c r="G10659" s="6">
        <v>6</v>
      </c>
      <c r="H10659" s="6" t="s">
        <v>21638</v>
      </c>
      <c r="I10659" s="6">
        <v>532.3125</v>
      </c>
      <c r="J10659" s="2">
        <f t="shared" si="166"/>
        <v>43748.260729293979</v>
      </c>
    </row>
    <row r="10660" spans="1:10" x14ac:dyDescent="0.25">
      <c r="A10660" s="7" t="s">
        <v>21639</v>
      </c>
      <c r="B10660" s="8">
        <v>412.5</v>
      </c>
      <c r="C10660" s="8">
        <v>20.478950000000001</v>
      </c>
      <c r="D10660" s="8">
        <v>107</v>
      </c>
      <c r="E10660" s="8">
        <v>0</v>
      </c>
      <c r="F10660" s="8">
        <v>0</v>
      </c>
      <c r="G10660" s="8">
        <v>10</v>
      </c>
      <c r="H10660" s="8" t="s">
        <v>21640</v>
      </c>
      <c r="I10660" s="8">
        <v>532.3125</v>
      </c>
      <c r="J10660" s="3">
        <f t="shared" si="166"/>
        <v>43748.260799502314</v>
      </c>
    </row>
    <row r="10661" spans="1:10" x14ac:dyDescent="0.25">
      <c r="A10661" s="5" t="s">
        <v>21641</v>
      </c>
      <c r="B10661" s="6">
        <v>412.5</v>
      </c>
      <c r="C10661" s="6">
        <v>20.478950000000001</v>
      </c>
      <c r="D10661" s="6">
        <v>108</v>
      </c>
      <c r="E10661" s="6">
        <v>0</v>
      </c>
      <c r="F10661" s="6">
        <v>0</v>
      </c>
      <c r="G10661" s="6">
        <v>13</v>
      </c>
      <c r="H10661" s="6" t="s">
        <v>21642</v>
      </c>
      <c r="I10661" s="6">
        <v>532.3125</v>
      </c>
      <c r="J10661" s="2">
        <f t="shared" si="166"/>
        <v>43748.260871701386</v>
      </c>
    </row>
    <row r="10662" spans="1:10" x14ac:dyDescent="0.25">
      <c r="A10662" s="7" t="s">
        <v>21643</v>
      </c>
      <c r="B10662" s="8">
        <v>412.5</v>
      </c>
      <c r="C10662" s="8">
        <v>20.426300000000001</v>
      </c>
      <c r="D10662" s="8">
        <v>108</v>
      </c>
      <c r="E10662" s="8">
        <v>0</v>
      </c>
      <c r="F10662" s="8">
        <v>0</v>
      </c>
      <c r="G10662" s="8">
        <v>3</v>
      </c>
      <c r="H10662" s="8" t="s">
        <v>21644</v>
      </c>
      <c r="I10662" s="8">
        <v>532.3125</v>
      </c>
      <c r="J10662" s="3">
        <f t="shared" si="166"/>
        <v>43748.260942962959</v>
      </c>
    </row>
    <row r="10663" spans="1:10" x14ac:dyDescent="0.25">
      <c r="A10663" s="5" t="s">
        <v>21645</v>
      </c>
      <c r="B10663" s="6">
        <v>412.5</v>
      </c>
      <c r="C10663" s="6">
        <v>20.478950000000001</v>
      </c>
      <c r="D10663" s="6">
        <v>108</v>
      </c>
      <c r="E10663" s="6">
        <v>0</v>
      </c>
      <c r="F10663" s="6">
        <v>0</v>
      </c>
      <c r="G10663" s="6">
        <v>4</v>
      </c>
      <c r="H10663" s="6" t="s">
        <v>21646</v>
      </c>
      <c r="I10663" s="6">
        <v>532.3125</v>
      </c>
      <c r="J10663" s="2">
        <f t="shared" si="166"/>
        <v>43748.261014317126</v>
      </c>
    </row>
    <row r="10664" spans="1:10" x14ac:dyDescent="0.25">
      <c r="A10664" s="7" t="s">
        <v>21647</v>
      </c>
      <c r="B10664" s="8">
        <v>412.5</v>
      </c>
      <c r="C10664" s="8">
        <v>20.478950000000001</v>
      </c>
      <c r="D10664" s="8">
        <v>108</v>
      </c>
      <c r="E10664" s="8">
        <v>0</v>
      </c>
      <c r="F10664" s="8">
        <v>0</v>
      </c>
      <c r="G10664" s="8">
        <v>1</v>
      </c>
      <c r="H10664" s="8" t="s">
        <v>21648</v>
      </c>
      <c r="I10664" s="8">
        <v>532.3125</v>
      </c>
      <c r="J10664" s="3">
        <f t="shared" si="166"/>
        <v>43748.261086493054</v>
      </c>
    </row>
    <row r="10665" spans="1:10" x14ac:dyDescent="0.25">
      <c r="A10665" s="5" t="s">
        <v>21649</v>
      </c>
      <c r="B10665" s="6">
        <v>409.375</v>
      </c>
      <c r="C10665" s="6">
        <v>20.478950000000001</v>
      </c>
      <c r="D10665" s="6">
        <v>107</v>
      </c>
      <c r="E10665" s="6">
        <v>0</v>
      </c>
      <c r="F10665" s="6">
        <v>0</v>
      </c>
      <c r="G10665" s="6">
        <v>0</v>
      </c>
      <c r="H10665" s="6" t="s">
        <v>21650</v>
      </c>
      <c r="I10665" s="6">
        <v>531.375</v>
      </c>
      <c r="J10665" s="2">
        <f t="shared" si="166"/>
        <v>43748.261157789348</v>
      </c>
    </row>
    <row r="10666" spans="1:10" x14ac:dyDescent="0.25">
      <c r="A10666" s="7" t="s">
        <v>21651</v>
      </c>
      <c r="B10666" s="8">
        <v>446.875</v>
      </c>
      <c r="C10666" s="8">
        <v>20.478950000000001</v>
      </c>
      <c r="D10666" s="8">
        <v>107</v>
      </c>
      <c r="E10666" s="8">
        <v>0</v>
      </c>
      <c r="F10666" s="8">
        <v>0</v>
      </c>
      <c r="G10666" s="8">
        <v>9</v>
      </c>
      <c r="H10666" s="8" t="s">
        <v>21652</v>
      </c>
      <c r="I10666" s="8">
        <v>543.5625</v>
      </c>
      <c r="J10666" s="3">
        <f t="shared" si="166"/>
        <v>43748.261241192122</v>
      </c>
    </row>
    <row r="10667" spans="1:10" x14ac:dyDescent="0.25">
      <c r="A10667" s="5" t="s">
        <v>21653</v>
      </c>
      <c r="B10667" s="6">
        <v>406.25</v>
      </c>
      <c r="C10667" s="6">
        <v>20.478950000000001</v>
      </c>
      <c r="D10667" s="6">
        <v>107</v>
      </c>
      <c r="E10667" s="6">
        <v>0</v>
      </c>
      <c r="F10667" s="6">
        <v>0</v>
      </c>
      <c r="G10667" s="6">
        <v>11</v>
      </c>
      <c r="H10667" s="6" t="s">
        <v>21654</v>
      </c>
      <c r="I10667" s="6">
        <v>530.8125</v>
      </c>
      <c r="J10667" s="2">
        <f t="shared" si="166"/>
        <v>43748.261313356481</v>
      </c>
    </row>
    <row r="10668" spans="1:10" x14ac:dyDescent="0.25">
      <c r="A10668" s="7" t="s">
        <v>21655</v>
      </c>
      <c r="B10668" s="8">
        <v>406.25</v>
      </c>
      <c r="C10668" s="8">
        <v>20.426300000000001</v>
      </c>
      <c r="D10668" s="8">
        <v>107</v>
      </c>
      <c r="E10668" s="8">
        <v>0</v>
      </c>
      <c r="F10668" s="8">
        <v>0</v>
      </c>
      <c r="G10668" s="8">
        <v>13</v>
      </c>
      <c r="H10668" s="8" t="s">
        <v>21656</v>
      </c>
      <c r="I10668" s="8">
        <v>530.625</v>
      </c>
      <c r="J10668" s="3">
        <f t="shared" si="166"/>
        <v>43748.261383703699</v>
      </c>
    </row>
    <row r="10669" spans="1:10" x14ac:dyDescent="0.25">
      <c r="A10669" s="5" t="s">
        <v>21657</v>
      </c>
      <c r="B10669" s="6">
        <v>406.25</v>
      </c>
      <c r="C10669" s="6">
        <v>20.478950000000001</v>
      </c>
      <c r="D10669" s="6">
        <v>106</v>
      </c>
      <c r="E10669" s="6">
        <v>0</v>
      </c>
      <c r="F10669" s="6">
        <v>0</v>
      </c>
      <c r="G10669" s="6">
        <v>9</v>
      </c>
      <c r="H10669" s="6" t="s">
        <v>21658</v>
      </c>
      <c r="I10669" s="6">
        <v>530.625</v>
      </c>
      <c r="J10669" s="2">
        <f t="shared" si="166"/>
        <v>43748.261467916665</v>
      </c>
    </row>
    <row r="10670" spans="1:10" x14ac:dyDescent="0.25">
      <c r="A10670" s="7" t="s">
        <v>21659</v>
      </c>
      <c r="B10670" s="8">
        <v>406.25</v>
      </c>
      <c r="C10670" s="8">
        <v>20.478950000000001</v>
      </c>
      <c r="D10670" s="8">
        <v>107</v>
      </c>
      <c r="E10670" s="8">
        <v>0</v>
      </c>
      <c r="F10670" s="8">
        <v>0</v>
      </c>
      <c r="G10670" s="8">
        <v>6</v>
      </c>
      <c r="H10670" s="8" t="s">
        <v>21660</v>
      </c>
      <c r="I10670" s="8">
        <v>530.8125</v>
      </c>
      <c r="J10670" s="3">
        <f t="shared" si="166"/>
        <v>43748.261539097221</v>
      </c>
    </row>
    <row r="10671" spans="1:10" x14ac:dyDescent="0.25">
      <c r="A10671" s="5" t="s">
        <v>21661</v>
      </c>
      <c r="B10671" s="6">
        <v>406.25</v>
      </c>
      <c r="C10671" s="6">
        <v>20.478950000000001</v>
      </c>
      <c r="D10671" s="6">
        <v>107</v>
      </c>
      <c r="E10671" s="6">
        <v>0</v>
      </c>
      <c r="F10671" s="6">
        <v>0</v>
      </c>
      <c r="G10671" s="6">
        <v>7</v>
      </c>
      <c r="H10671" s="6" t="s">
        <v>21662</v>
      </c>
      <c r="I10671" s="6">
        <v>530.625</v>
      </c>
      <c r="J10671" s="2">
        <f t="shared" si="166"/>
        <v>43748.261623692124</v>
      </c>
    </row>
    <row r="10672" spans="1:10" x14ac:dyDescent="0.25">
      <c r="A10672" s="7" t="s">
        <v>21663</v>
      </c>
      <c r="B10672" s="8">
        <v>406.25</v>
      </c>
      <c r="C10672" s="8">
        <v>20.478950000000001</v>
      </c>
      <c r="D10672" s="8">
        <v>108</v>
      </c>
      <c r="E10672" s="8">
        <v>0</v>
      </c>
      <c r="F10672" s="8">
        <v>0</v>
      </c>
      <c r="G10672" s="8">
        <v>14</v>
      </c>
      <c r="H10672" s="8" t="s">
        <v>21664</v>
      </c>
      <c r="I10672" s="8">
        <v>530.8125</v>
      </c>
      <c r="J10672" s="3">
        <f t="shared" si="166"/>
        <v>43748.261705937497</v>
      </c>
    </row>
    <row r="10673" spans="1:10" x14ac:dyDescent="0.25">
      <c r="A10673" s="5" t="s">
        <v>21665</v>
      </c>
      <c r="B10673" s="6">
        <v>409.375</v>
      </c>
      <c r="C10673" s="6">
        <v>20.478950000000001</v>
      </c>
      <c r="D10673" s="6">
        <v>108</v>
      </c>
      <c r="E10673" s="6">
        <v>0</v>
      </c>
      <c r="F10673" s="6">
        <v>0</v>
      </c>
      <c r="G10673" s="6">
        <v>11</v>
      </c>
      <c r="H10673" s="6" t="s">
        <v>21666</v>
      </c>
      <c r="I10673" s="6">
        <v>531.5625</v>
      </c>
      <c r="J10673" s="2">
        <f t="shared" si="166"/>
        <v>43748.261778148146</v>
      </c>
    </row>
    <row r="10674" spans="1:10" x14ac:dyDescent="0.25">
      <c r="A10674" s="7" t="s">
        <v>21667</v>
      </c>
      <c r="B10674" s="8">
        <v>409.375</v>
      </c>
      <c r="C10674" s="8">
        <v>20.478950000000001</v>
      </c>
      <c r="D10674" s="8">
        <v>109</v>
      </c>
      <c r="E10674" s="8">
        <v>0</v>
      </c>
      <c r="F10674" s="8">
        <v>0</v>
      </c>
      <c r="G10674" s="8">
        <v>5</v>
      </c>
      <c r="H10674" s="8" t="s">
        <v>21668</v>
      </c>
      <c r="I10674" s="8">
        <v>531.5625</v>
      </c>
      <c r="J10674" s="3">
        <f t="shared" si="166"/>
        <v>43748.261849467592</v>
      </c>
    </row>
    <row r="10675" spans="1:10" x14ac:dyDescent="0.25">
      <c r="A10675" s="5" t="s">
        <v>21669</v>
      </c>
      <c r="B10675" s="6">
        <v>409.375</v>
      </c>
      <c r="C10675" s="6">
        <v>20.478950000000001</v>
      </c>
      <c r="D10675" s="6">
        <v>109</v>
      </c>
      <c r="E10675" s="6">
        <v>0</v>
      </c>
      <c r="F10675" s="6">
        <v>0</v>
      </c>
      <c r="G10675" s="6">
        <v>9</v>
      </c>
      <c r="H10675" s="6" t="s">
        <v>21670</v>
      </c>
      <c r="I10675" s="6">
        <v>531.375</v>
      </c>
      <c r="J10675" s="2">
        <f t="shared" si="166"/>
        <v>43748.261920763885</v>
      </c>
    </row>
    <row r="10676" spans="1:10" x14ac:dyDescent="0.25">
      <c r="A10676" s="7" t="s">
        <v>21671</v>
      </c>
      <c r="B10676" s="8">
        <v>409.375</v>
      </c>
      <c r="C10676" s="8">
        <v>20.478950000000001</v>
      </c>
      <c r="D10676" s="8">
        <v>109</v>
      </c>
      <c r="E10676" s="8">
        <v>0</v>
      </c>
      <c r="F10676" s="8">
        <v>0</v>
      </c>
      <c r="G10676" s="8">
        <v>0</v>
      </c>
      <c r="H10676" s="8" t="s">
        <v>21672</v>
      </c>
      <c r="I10676" s="8">
        <v>531.375</v>
      </c>
      <c r="J10676" s="3">
        <f t="shared" si="166"/>
        <v>43748.261992118052</v>
      </c>
    </row>
    <row r="10677" spans="1:10" x14ac:dyDescent="0.25">
      <c r="A10677" s="5" t="s">
        <v>21673</v>
      </c>
      <c r="B10677" s="6">
        <v>412.5</v>
      </c>
      <c r="C10677" s="6">
        <v>20.426300000000001</v>
      </c>
      <c r="D10677" s="6">
        <v>109</v>
      </c>
      <c r="E10677" s="6">
        <v>0</v>
      </c>
      <c r="F10677" s="6">
        <v>0</v>
      </c>
      <c r="G10677" s="6">
        <v>6</v>
      </c>
      <c r="H10677" s="6" t="s">
        <v>21674</v>
      </c>
      <c r="I10677" s="6">
        <v>532.5</v>
      </c>
      <c r="J10677" s="2">
        <f t="shared" si="166"/>
        <v>43748.262064270828</v>
      </c>
    </row>
    <row r="10678" spans="1:10" x14ac:dyDescent="0.25">
      <c r="A10678" s="7" t="s">
        <v>21675</v>
      </c>
      <c r="B10678" s="8">
        <v>412.5</v>
      </c>
      <c r="C10678" s="8">
        <v>20.426300000000001</v>
      </c>
      <c r="D10678" s="8">
        <v>107</v>
      </c>
      <c r="E10678" s="8">
        <v>0</v>
      </c>
      <c r="F10678" s="8">
        <v>0</v>
      </c>
      <c r="G10678" s="8">
        <v>3</v>
      </c>
      <c r="H10678" s="8" t="s">
        <v>21676</v>
      </c>
      <c r="I10678" s="8">
        <v>532.3125</v>
      </c>
      <c r="J10678" s="3">
        <f t="shared" si="166"/>
        <v>43748.262135520832</v>
      </c>
    </row>
    <row r="10679" spans="1:10" x14ac:dyDescent="0.25">
      <c r="A10679" s="5" t="s">
        <v>21677</v>
      </c>
      <c r="B10679" s="6">
        <v>412.5</v>
      </c>
      <c r="C10679" s="6">
        <v>20.426300000000001</v>
      </c>
      <c r="D10679" s="6">
        <v>107</v>
      </c>
      <c r="E10679" s="6">
        <v>0</v>
      </c>
      <c r="F10679" s="6">
        <v>0</v>
      </c>
      <c r="G10679" s="6">
        <v>12</v>
      </c>
      <c r="H10679" s="6" t="s">
        <v>21678</v>
      </c>
      <c r="I10679" s="6">
        <v>532.3125</v>
      </c>
      <c r="J10679" s="2">
        <f t="shared" si="166"/>
        <v>43748.262218900461</v>
      </c>
    </row>
    <row r="10680" spans="1:10" x14ac:dyDescent="0.25">
      <c r="A10680" s="7" t="s">
        <v>21679</v>
      </c>
      <c r="B10680" s="8">
        <v>428.125</v>
      </c>
      <c r="C10680" s="8">
        <v>20.426300000000001</v>
      </c>
      <c r="D10680" s="8">
        <v>107</v>
      </c>
      <c r="E10680" s="8">
        <v>0</v>
      </c>
      <c r="F10680" s="8">
        <v>0</v>
      </c>
      <c r="G10680" s="8">
        <v>3</v>
      </c>
      <c r="H10680" s="8" t="s">
        <v>21680</v>
      </c>
      <c r="I10680" s="8">
        <v>537.9375</v>
      </c>
      <c r="J10680" s="3">
        <f t="shared" si="166"/>
        <v>43748.262290196755</v>
      </c>
    </row>
    <row r="10681" spans="1:10" x14ac:dyDescent="0.25">
      <c r="A10681" s="5" t="s">
        <v>21681</v>
      </c>
      <c r="B10681" s="6">
        <v>409.375</v>
      </c>
      <c r="C10681" s="6">
        <v>20.426300000000001</v>
      </c>
      <c r="D10681" s="6">
        <v>108</v>
      </c>
      <c r="E10681" s="6">
        <v>0</v>
      </c>
      <c r="F10681" s="6">
        <v>0</v>
      </c>
      <c r="G10681" s="6">
        <v>7</v>
      </c>
      <c r="H10681" s="6" t="s">
        <v>21682</v>
      </c>
      <c r="I10681" s="6">
        <v>531.5625</v>
      </c>
      <c r="J10681" s="2">
        <f t="shared" si="166"/>
        <v>43748.262362407404</v>
      </c>
    </row>
    <row r="10682" spans="1:10" x14ac:dyDescent="0.25">
      <c r="A10682" s="7" t="s">
        <v>21683</v>
      </c>
      <c r="B10682" s="8">
        <v>409.375</v>
      </c>
      <c r="C10682" s="8">
        <v>20.478950000000001</v>
      </c>
      <c r="D10682" s="8">
        <v>108</v>
      </c>
      <c r="E10682" s="8">
        <v>0</v>
      </c>
      <c r="F10682" s="8">
        <v>0</v>
      </c>
      <c r="G10682" s="8">
        <v>5</v>
      </c>
      <c r="H10682" s="8" t="s">
        <v>21684</v>
      </c>
      <c r="I10682" s="8">
        <v>531.375</v>
      </c>
      <c r="J10682" s="3">
        <f t="shared" si="166"/>
        <v>43748.262433715274</v>
      </c>
    </row>
    <row r="10683" spans="1:10" x14ac:dyDescent="0.25">
      <c r="A10683" s="5" t="s">
        <v>21685</v>
      </c>
      <c r="B10683" s="6">
        <v>409.375</v>
      </c>
      <c r="C10683" s="6">
        <v>20.478950000000001</v>
      </c>
      <c r="D10683" s="6">
        <v>108</v>
      </c>
      <c r="E10683" s="6">
        <v>0</v>
      </c>
      <c r="F10683" s="6">
        <v>0</v>
      </c>
      <c r="G10683" s="6">
        <v>1</v>
      </c>
      <c r="H10683" s="6" t="s">
        <v>21686</v>
      </c>
      <c r="I10683" s="6">
        <v>531.5625</v>
      </c>
      <c r="J10683" s="2">
        <f t="shared" si="166"/>
        <v>43748.262517060182</v>
      </c>
    </row>
    <row r="10684" spans="1:10" x14ac:dyDescent="0.25">
      <c r="A10684" s="7" t="s">
        <v>21687</v>
      </c>
      <c r="B10684" s="8">
        <v>409.375</v>
      </c>
      <c r="C10684" s="8">
        <v>20.478950000000001</v>
      </c>
      <c r="D10684" s="8">
        <v>108</v>
      </c>
      <c r="E10684" s="8">
        <v>0</v>
      </c>
      <c r="F10684" s="8">
        <v>0</v>
      </c>
      <c r="G10684" s="8">
        <v>7</v>
      </c>
      <c r="H10684" s="8" t="s">
        <v>21688</v>
      </c>
      <c r="I10684" s="8">
        <v>531.5625</v>
      </c>
      <c r="J10684" s="3">
        <f t="shared" si="166"/>
        <v>43748.262588333331</v>
      </c>
    </row>
    <row r="10685" spans="1:10" x14ac:dyDescent="0.25">
      <c r="A10685" s="5" t="s">
        <v>21689</v>
      </c>
      <c r="B10685" s="6">
        <v>409.375</v>
      </c>
      <c r="C10685" s="6">
        <v>20.478950000000001</v>
      </c>
      <c r="D10685" s="6">
        <v>108</v>
      </c>
      <c r="E10685" s="6">
        <v>0</v>
      </c>
      <c r="F10685" s="6">
        <v>0</v>
      </c>
      <c r="G10685" s="6">
        <v>8</v>
      </c>
      <c r="H10685" s="6" t="s">
        <v>21690</v>
      </c>
      <c r="I10685" s="6">
        <v>531.375</v>
      </c>
      <c r="J10685" s="2">
        <f t="shared" si="166"/>
        <v>43748.262660555549</v>
      </c>
    </row>
    <row r="10686" spans="1:10" x14ac:dyDescent="0.25">
      <c r="A10686" s="7" t="s">
        <v>21691</v>
      </c>
      <c r="B10686" s="8">
        <v>409.375</v>
      </c>
      <c r="C10686" s="8">
        <v>20.478950000000001</v>
      </c>
      <c r="D10686" s="8">
        <v>108</v>
      </c>
      <c r="E10686" s="8">
        <v>0</v>
      </c>
      <c r="F10686" s="8">
        <v>0</v>
      </c>
      <c r="G10686" s="8">
        <v>3</v>
      </c>
      <c r="H10686" s="8" t="s">
        <v>21692</v>
      </c>
      <c r="I10686" s="8">
        <v>531.375</v>
      </c>
      <c r="J10686" s="3">
        <f t="shared" si="166"/>
        <v>43748.262731979165</v>
      </c>
    </row>
    <row r="10687" spans="1:10" x14ac:dyDescent="0.25">
      <c r="A10687" s="5" t="s">
        <v>21693</v>
      </c>
      <c r="B10687" s="6">
        <v>409.375</v>
      </c>
      <c r="C10687" s="6">
        <v>20.478950000000001</v>
      </c>
      <c r="D10687" s="6">
        <v>107</v>
      </c>
      <c r="E10687" s="6">
        <v>0</v>
      </c>
      <c r="F10687" s="6">
        <v>0</v>
      </c>
      <c r="G10687" s="6">
        <v>3</v>
      </c>
      <c r="H10687" s="6" t="s">
        <v>21694</v>
      </c>
      <c r="I10687" s="6">
        <v>531.5625</v>
      </c>
      <c r="J10687" s="2">
        <f t="shared" si="166"/>
        <v>43748.262815208327</v>
      </c>
    </row>
    <row r="10688" spans="1:10" x14ac:dyDescent="0.25">
      <c r="A10688" s="7" t="s">
        <v>21695</v>
      </c>
      <c r="B10688" s="8">
        <v>412.5</v>
      </c>
      <c r="C10688" s="8">
        <v>20.478950000000001</v>
      </c>
      <c r="D10688" s="8">
        <v>107</v>
      </c>
      <c r="E10688" s="8">
        <v>0</v>
      </c>
      <c r="F10688" s="8">
        <v>0</v>
      </c>
      <c r="G10688" s="8">
        <v>7</v>
      </c>
      <c r="H10688" s="8" t="s">
        <v>21696</v>
      </c>
      <c r="I10688" s="8">
        <v>532.3125</v>
      </c>
      <c r="J10688" s="3">
        <f t="shared" si="166"/>
        <v>43748.262898530091</v>
      </c>
    </row>
    <row r="10689" spans="1:10" x14ac:dyDescent="0.25">
      <c r="A10689" s="5" t="s">
        <v>21697</v>
      </c>
      <c r="B10689" s="6">
        <v>412.5</v>
      </c>
      <c r="C10689" s="6">
        <v>20.478950000000001</v>
      </c>
      <c r="D10689" s="6">
        <v>107</v>
      </c>
      <c r="E10689" s="6">
        <v>0</v>
      </c>
      <c r="F10689" s="6">
        <v>0</v>
      </c>
      <c r="G10689" s="6">
        <v>3</v>
      </c>
      <c r="H10689" s="6" t="s">
        <v>21698</v>
      </c>
      <c r="I10689" s="6">
        <v>532.3125</v>
      </c>
      <c r="J10689" s="2">
        <f t="shared" si="166"/>
        <v>43748.262981886575</v>
      </c>
    </row>
    <row r="10690" spans="1:10" x14ac:dyDescent="0.25">
      <c r="A10690" s="7" t="s">
        <v>21699</v>
      </c>
      <c r="B10690" s="8">
        <v>412.5</v>
      </c>
      <c r="C10690" s="8">
        <v>20.478950000000001</v>
      </c>
      <c r="D10690" s="8">
        <v>107</v>
      </c>
      <c r="E10690" s="8">
        <v>0</v>
      </c>
      <c r="F10690" s="8">
        <v>0</v>
      </c>
      <c r="G10690" s="8">
        <v>8</v>
      </c>
      <c r="H10690" s="8" t="s">
        <v>21700</v>
      </c>
      <c r="I10690" s="8">
        <v>532.3125</v>
      </c>
      <c r="J10690" s="3">
        <f t="shared" ref="J10690:J10753" si="167">(H10690/86400000)+25569+(7/24)</f>
        <v>43748.263053275463</v>
      </c>
    </row>
    <row r="10691" spans="1:10" x14ac:dyDescent="0.25">
      <c r="A10691" s="5" t="s">
        <v>21701</v>
      </c>
      <c r="B10691" s="6">
        <v>409.375</v>
      </c>
      <c r="C10691" s="6">
        <v>20.478950000000001</v>
      </c>
      <c r="D10691" s="6">
        <v>107</v>
      </c>
      <c r="E10691" s="6">
        <v>0</v>
      </c>
      <c r="F10691" s="6">
        <v>0</v>
      </c>
      <c r="G10691" s="6">
        <v>9</v>
      </c>
      <c r="H10691" s="6" t="s">
        <v>21702</v>
      </c>
      <c r="I10691" s="6">
        <v>531.5625</v>
      </c>
      <c r="J10691" s="2">
        <f t="shared" si="167"/>
        <v>43748.263124513884</v>
      </c>
    </row>
    <row r="10692" spans="1:10" x14ac:dyDescent="0.25">
      <c r="A10692" s="7" t="s">
        <v>21703</v>
      </c>
      <c r="B10692" s="8">
        <v>406.25</v>
      </c>
      <c r="C10692" s="8">
        <v>20.478950000000001</v>
      </c>
      <c r="D10692" s="8">
        <v>106</v>
      </c>
      <c r="E10692" s="8">
        <v>0</v>
      </c>
      <c r="F10692" s="8">
        <v>0</v>
      </c>
      <c r="G10692" s="8">
        <v>1</v>
      </c>
      <c r="H10692" s="8" t="s">
        <v>21704</v>
      </c>
      <c r="I10692" s="8">
        <v>530.625</v>
      </c>
      <c r="J10692" s="3">
        <f t="shared" si="167"/>
        <v>43748.263196666659</v>
      </c>
    </row>
    <row r="10693" spans="1:10" x14ac:dyDescent="0.25">
      <c r="A10693" s="5" t="s">
        <v>21705</v>
      </c>
      <c r="B10693" s="6">
        <v>406.25</v>
      </c>
      <c r="C10693" s="6">
        <v>20.478950000000001</v>
      </c>
      <c r="D10693" s="6">
        <v>105</v>
      </c>
      <c r="E10693" s="6">
        <v>0</v>
      </c>
      <c r="F10693" s="6">
        <v>0</v>
      </c>
      <c r="G10693" s="6">
        <v>4</v>
      </c>
      <c r="H10693" s="6" t="s">
        <v>21706</v>
      </c>
      <c r="I10693" s="6">
        <v>530.625</v>
      </c>
      <c r="J10693" s="2">
        <f t="shared" si="167"/>
        <v>43748.263267997681</v>
      </c>
    </row>
    <row r="10694" spans="1:10" x14ac:dyDescent="0.25">
      <c r="A10694" s="7" t="s">
        <v>21707</v>
      </c>
      <c r="B10694" s="8">
        <v>406.25</v>
      </c>
      <c r="C10694" s="8">
        <v>20.478950000000001</v>
      </c>
      <c r="D10694" s="8">
        <v>105</v>
      </c>
      <c r="E10694" s="8">
        <v>0</v>
      </c>
      <c r="F10694" s="8">
        <v>0</v>
      </c>
      <c r="G10694" s="8">
        <v>9</v>
      </c>
      <c r="H10694" s="8" t="s">
        <v>21708</v>
      </c>
      <c r="I10694" s="8">
        <v>530.625</v>
      </c>
      <c r="J10694" s="3">
        <f t="shared" si="167"/>
        <v>43748.263340138881</v>
      </c>
    </row>
    <row r="10695" spans="1:10" x14ac:dyDescent="0.25">
      <c r="A10695" s="5" t="s">
        <v>21709</v>
      </c>
      <c r="B10695" s="6">
        <v>406.25</v>
      </c>
      <c r="C10695" s="6">
        <v>20.478950000000001</v>
      </c>
      <c r="D10695" s="6">
        <v>105</v>
      </c>
      <c r="E10695" s="6">
        <v>0</v>
      </c>
      <c r="F10695" s="6">
        <v>0</v>
      </c>
      <c r="G10695" s="6">
        <v>4</v>
      </c>
      <c r="H10695" s="6" t="s">
        <v>21710</v>
      </c>
      <c r="I10695" s="6">
        <v>530.0625</v>
      </c>
      <c r="J10695" s="2">
        <f t="shared" si="167"/>
        <v>43748.263411481479</v>
      </c>
    </row>
    <row r="10696" spans="1:10" x14ac:dyDescent="0.25">
      <c r="A10696" s="7" t="s">
        <v>21711</v>
      </c>
      <c r="B10696" s="8">
        <v>403.125</v>
      </c>
      <c r="C10696" s="8">
        <v>20.426300000000001</v>
      </c>
      <c r="D10696" s="8">
        <v>105</v>
      </c>
      <c r="E10696" s="8">
        <v>0</v>
      </c>
      <c r="F10696" s="8">
        <v>0</v>
      </c>
      <c r="G10696" s="8">
        <v>2</v>
      </c>
      <c r="H10696" s="8" t="s">
        <v>21712</v>
      </c>
      <c r="I10696" s="8">
        <v>529.125</v>
      </c>
      <c r="J10696" s="3">
        <f t="shared" si="167"/>
        <v>43748.2634827199</v>
      </c>
    </row>
    <row r="10697" spans="1:10" x14ac:dyDescent="0.25">
      <c r="A10697" s="5" t="s">
        <v>21713</v>
      </c>
      <c r="B10697" s="6">
        <v>403.125</v>
      </c>
      <c r="C10697" s="6">
        <v>20.478950000000001</v>
      </c>
      <c r="D10697" s="6">
        <v>106</v>
      </c>
      <c r="E10697" s="6">
        <v>0</v>
      </c>
      <c r="F10697" s="6">
        <v>0</v>
      </c>
      <c r="G10697" s="6">
        <v>10</v>
      </c>
      <c r="H10697" s="6" t="s">
        <v>21714</v>
      </c>
      <c r="I10697" s="6">
        <v>529.125</v>
      </c>
      <c r="J10697" s="2">
        <f t="shared" si="167"/>
        <v>43748.26355408565</v>
      </c>
    </row>
    <row r="10698" spans="1:10" x14ac:dyDescent="0.25">
      <c r="A10698" s="7" t="s">
        <v>21715</v>
      </c>
      <c r="B10698" s="8">
        <v>421.875</v>
      </c>
      <c r="C10698" s="8">
        <v>20.478950000000001</v>
      </c>
      <c r="D10698" s="8">
        <v>105</v>
      </c>
      <c r="E10698" s="8">
        <v>0</v>
      </c>
      <c r="F10698" s="8">
        <v>0</v>
      </c>
      <c r="G10698" s="8">
        <v>10</v>
      </c>
      <c r="H10698" s="8" t="s">
        <v>21716</v>
      </c>
      <c r="I10698" s="8">
        <v>535.5</v>
      </c>
      <c r="J10698" s="3">
        <f t="shared" si="167"/>
        <v>43748.263638159719</v>
      </c>
    </row>
    <row r="10699" spans="1:10" x14ac:dyDescent="0.25">
      <c r="A10699" s="5" t="s">
        <v>21717</v>
      </c>
      <c r="B10699" s="6">
        <v>406.25</v>
      </c>
      <c r="C10699" s="6">
        <v>20.478950000000001</v>
      </c>
      <c r="D10699" s="6">
        <v>104</v>
      </c>
      <c r="E10699" s="6">
        <v>0</v>
      </c>
      <c r="F10699" s="6">
        <v>0</v>
      </c>
      <c r="G10699" s="6">
        <v>0</v>
      </c>
      <c r="H10699" s="6" t="s">
        <v>21718</v>
      </c>
      <c r="I10699" s="6">
        <v>530.625</v>
      </c>
      <c r="J10699" s="2">
        <f t="shared" si="167"/>
        <v>43748.2637096412</v>
      </c>
    </row>
    <row r="10700" spans="1:10" x14ac:dyDescent="0.25">
      <c r="A10700" s="7" t="s">
        <v>21719</v>
      </c>
      <c r="B10700" s="8">
        <v>406.25</v>
      </c>
      <c r="C10700" s="8">
        <v>20.478950000000001</v>
      </c>
      <c r="D10700" s="8">
        <v>104</v>
      </c>
      <c r="E10700" s="8">
        <v>0</v>
      </c>
      <c r="F10700" s="8">
        <v>0</v>
      </c>
      <c r="G10700" s="8">
        <v>1</v>
      </c>
      <c r="H10700" s="8" t="s">
        <v>21720</v>
      </c>
      <c r="I10700" s="8">
        <v>530.8125</v>
      </c>
      <c r="J10700" s="3">
        <f t="shared" si="167"/>
        <v>43748.263792986108</v>
      </c>
    </row>
    <row r="10701" spans="1:10" x14ac:dyDescent="0.25">
      <c r="A10701" s="5" t="s">
        <v>21721</v>
      </c>
      <c r="B10701" s="6">
        <v>406.25</v>
      </c>
      <c r="C10701" s="6">
        <v>20.478950000000001</v>
      </c>
      <c r="D10701" s="6">
        <v>106</v>
      </c>
      <c r="E10701" s="6">
        <v>0</v>
      </c>
      <c r="F10701" s="6">
        <v>0</v>
      </c>
      <c r="G10701" s="6">
        <v>5</v>
      </c>
      <c r="H10701" s="6" t="s">
        <v>21722</v>
      </c>
      <c r="I10701" s="6">
        <v>530.625</v>
      </c>
      <c r="J10701" s="2">
        <f t="shared" si="167"/>
        <v>43748.263864270826</v>
      </c>
    </row>
    <row r="10702" spans="1:10" x14ac:dyDescent="0.25">
      <c r="A10702" s="7" t="s">
        <v>21723</v>
      </c>
      <c r="B10702" s="8">
        <v>406.25</v>
      </c>
      <c r="C10702" s="8">
        <v>20.478950000000001</v>
      </c>
      <c r="D10702" s="8">
        <v>105</v>
      </c>
      <c r="E10702" s="8">
        <v>0</v>
      </c>
      <c r="F10702" s="8">
        <v>0</v>
      </c>
      <c r="G10702" s="8">
        <v>5</v>
      </c>
      <c r="H10702" s="8" t="s">
        <v>21724</v>
      </c>
      <c r="I10702" s="8">
        <v>530.625</v>
      </c>
      <c r="J10702" s="3">
        <f t="shared" si="167"/>
        <v>43748.263935613424</v>
      </c>
    </row>
    <row r="10703" spans="1:10" x14ac:dyDescent="0.25">
      <c r="A10703" s="5" t="s">
        <v>21725</v>
      </c>
      <c r="B10703" s="6">
        <v>406.25</v>
      </c>
      <c r="C10703" s="6">
        <v>20.478950000000001</v>
      </c>
      <c r="D10703" s="6">
        <v>104</v>
      </c>
      <c r="E10703" s="6">
        <v>0</v>
      </c>
      <c r="F10703" s="6">
        <v>0</v>
      </c>
      <c r="G10703" s="6">
        <v>3</v>
      </c>
      <c r="H10703" s="6" t="s">
        <v>21726</v>
      </c>
      <c r="I10703" s="6">
        <v>530.625</v>
      </c>
      <c r="J10703" s="2">
        <f t="shared" si="167"/>
        <v>43748.264019085647</v>
      </c>
    </row>
    <row r="10704" spans="1:10" x14ac:dyDescent="0.25">
      <c r="A10704" s="7" t="s">
        <v>21727</v>
      </c>
      <c r="B10704" s="8">
        <v>431.25</v>
      </c>
      <c r="C10704" s="8">
        <v>20.478950000000001</v>
      </c>
      <c r="D10704" s="8">
        <v>103</v>
      </c>
      <c r="E10704" s="8">
        <v>0</v>
      </c>
      <c r="F10704" s="8">
        <v>0</v>
      </c>
      <c r="G10704" s="8">
        <v>3</v>
      </c>
      <c r="H10704" s="8" t="s">
        <v>21728</v>
      </c>
      <c r="I10704" s="8">
        <v>538.6875</v>
      </c>
      <c r="J10704" s="3">
        <f t="shared" si="167"/>
        <v>43748.264091874997</v>
      </c>
    </row>
    <row r="10705" spans="1:10" x14ac:dyDescent="0.25">
      <c r="A10705" s="5" t="s">
        <v>21729</v>
      </c>
      <c r="B10705" s="6">
        <v>406.25</v>
      </c>
      <c r="C10705" s="6">
        <v>20.478950000000001</v>
      </c>
      <c r="D10705" s="6">
        <v>103</v>
      </c>
      <c r="E10705" s="6">
        <v>0</v>
      </c>
      <c r="F10705" s="6">
        <v>0</v>
      </c>
      <c r="G10705" s="6">
        <v>2</v>
      </c>
      <c r="H10705" s="6" t="s">
        <v>21730</v>
      </c>
      <c r="I10705" s="6">
        <v>530.625</v>
      </c>
      <c r="J10705" s="2">
        <f t="shared" si="167"/>
        <v>43748.264174479169</v>
      </c>
    </row>
    <row r="10706" spans="1:10" x14ac:dyDescent="0.25">
      <c r="A10706" s="7" t="s">
        <v>21731</v>
      </c>
      <c r="B10706" s="8">
        <v>406.25</v>
      </c>
      <c r="C10706" s="8">
        <v>20.478950000000001</v>
      </c>
      <c r="D10706" s="8">
        <v>103</v>
      </c>
      <c r="E10706" s="8">
        <v>0</v>
      </c>
      <c r="F10706" s="8">
        <v>0</v>
      </c>
      <c r="G10706" s="8">
        <v>1</v>
      </c>
      <c r="H10706" s="8" t="s">
        <v>21732</v>
      </c>
      <c r="I10706" s="8">
        <v>530.625</v>
      </c>
      <c r="J10706" s="3">
        <f t="shared" si="167"/>
        <v>43748.264245810184</v>
      </c>
    </row>
    <row r="10707" spans="1:10" x14ac:dyDescent="0.25">
      <c r="A10707" s="5" t="s">
        <v>21733</v>
      </c>
      <c r="B10707" s="6">
        <v>406.25</v>
      </c>
      <c r="C10707" s="6">
        <v>20.426300000000001</v>
      </c>
      <c r="D10707" s="6">
        <v>104</v>
      </c>
      <c r="E10707" s="6">
        <v>0</v>
      </c>
      <c r="F10707" s="6">
        <v>0</v>
      </c>
      <c r="G10707" s="6">
        <v>1</v>
      </c>
      <c r="H10707" s="6" t="s">
        <v>21734</v>
      </c>
      <c r="I10707" s="6">
        <v>530.8125</v>
      </c>
      <c r="J10707" s="2">
        <f t="shared" si="167"/>
        <v>43748.264317210647</v>
      </c>
    </row>
    <row r="10708" spans="1:10" x14ac:dyDescent="0.25">
      <c r="A10708" s="7" t="s">
        <v>21735</v>
      </c>
      <c r="B10708" s="8">
        <v>403.125</v>
      </c>
      <c r="C10708" s="8">
        <v>20.478950000000001</v>
      </c>
      <c r="D10708" s="8">
        <v>104</v>
      </c>
      <c r="E10708" s="8">
        <v>0</v>
      </c>
      <c r="F10708" s="8">
        <v>0</v>
      </c>
      <c r="G10708" s="8">
        <v>6</v>
      </c>
      <c r="H10708" s="8" t="s">
        <v>21736</v>
      </c>
      <c r="I10708" s="8">
        <v>529.875</v>
      </c>
      <c r="J10708" s="3">
        <f t="shared" si="167"/>
        <v>43748.264389317126</v>
      </c>
    </row>
    <row r="10709" spans="1:10" x14ac:dyDescent="0.25">
      <c r="A10709" s="5" t="s">
        <v>21737</v>
      </c>
      <c r="B10709" s="6">
        <v>403.125</v>
      </c>
      <c r="C10709" s="6">
        <v>20.478950000000001</v>
      </c>
      <c r="D10709" s="6">
        <v>105</v>
      </c>
      <c r="E10709" s="6">
        <v>0</v>
      </c>
      <c r="F10709" s="6">
        <v>0</v>
      </c>
      <c r="G10709" s="6">
        <v>12</v>
      </c>
      <c r="H10709" s="6" t="s">
        <v>21738</v>
      </c>
      <c r="I10709" s="6">
        <v>529.125</v>
      </c>
      <c r="J10709" s="2">
        <f t="shared" si="167"/>
        <v>43748.264460578699</v>
      </c>
    </row>
    <row r="10710" spans="1:10" x14ac:dyDescent="0.25">
      <c r="A10710" s="7" t="s">
        <v>21739</v>
      </c>
      <c r="B10710" s="8">
        <v>400</v>
      </c>
      <c r="C10710" s="8">
        <v>20.478950000000001</v>
      </c>
      <c r="D10710" s="8">
        <v>105</v>
      </c>
      <c r="E10710" s="8">
        <v>0</v>
      </c>
      <c r="F10710" s="8">
        <v>0</v>
      </c>
      <c r="G10710" s="8">
        <v>11</v>
      </c>
      <c r="H10710" s="8" t="s">
        <v>21740</v>
      </c>
      <c r="I10710" s="8">
        <v>528.375</v>
      </c>
      <c r="J10710" s="3">
        <f t="shared" si="167"/>
        <v>43748.264531898145</v>
      </c>
    </row>
    <row r="10711" spans="1:10" x14ac:dyDescent="0.25">
      <c r="A10711" s="5" t="s">
        <v>21741</v>
      </c>
      <c r="B10711" s="6">
        <v>400</v>
      </c>
      <c r="C10711" s="6">
        <v>20.478950000000001</v>
      </c>
      <c r="D10711" s="6">
        <v>105</v>
      </c>
      <c r="E10711" s="6">
        <v>0</v>
      </c>
      <c r="F10711" s="6">
        <v>0</v>
      </c>
      <c r="G10711" s="6">
        <v>11</v>
      </c>
      <c r="H10711" s="6" t="s">
        <v>21742</v>
      </c>
      <c r="I10711" s="6">
        <v>528.1875</v>
      </c>
      <c r="J10711" s="2">
        <f t="shared" si="167"/>
        <v>43748.264604131946</v>
      </c>
    </row>
    <row r="10712" spans="1:10" x14ac:dyDescent="0.25">
      <c r="A10712" s="7" t="s">
        <v>21743</v>
      </c>
      <c r="B10712" s="8">
        <v>415.625</v>
      </c>
      <c r="C10712" s="8">
        <v>20.478950000000001</v>
      </c>
      <c r="D10712" s="8">
        <v>105</v>
      </c>
      <c r="E10712" s="8">
        <v>0</v>
      </c>
      <c r="F10712" s="8">
        <v>0</v>
      </c>
      <c r="G10712" s="8">
        <v>9</v>
      </c>
      <c r="H10712" s="8" t="s">
        <v>21744</v>
      </c>
      <c r="I10712" s="8">
        <v>533.8125</v>
      </c>
      <c r="J10712" s="3">
        <f t="shared" si="167"/>
        <v>43748.264687465278</v>
      </c>
    </row>
    <row r="10713" spans="1:10" x14ac:dyDescent="0.25">
      <c r="A10713" s="5" t="s">
        <v>21745</v>
      </c>
      <c r="B10713" s="6">
        <v>403.125</v>
      </c>
      <c r="C10713" s="6">
        <v>20.478950000000001</v>
      </c>
      <c r="D10713" s="6">
        <v>105</v>
      </c>
      <c r="E10713" s="6">
        <v>0</v>
      </c>
      <c r="F10713" s="6">
        <v>0</v>
      </c>
      <c r="G10713" s="6">
        <v>6</v>
      </c>
      <c r="H10713" s="6" t="s">
        <v>21746</v>
      </c>
      <c r="I10713" s="6">
        <v>529.125</v>
      </c>
      <c r="J10713" s="2">
        <f t="shared" si="167"/>
        <v>43748.264758749996</v>
      </c>
    </row>
    <row r="10714" spans="1:10" x14ac:dyDescent="0.25">
      <c r="A10714" s="7" t="s">
        <v>21747</v>
      </c>
      <c r="B10714" s="8">
        <v>400</v>
      </c>
      <c r="C10714" s="8">
        <v>20.478950000000001</v>
      </c>
      <c r="D10714" s="8">
        <v>105</v>
      </c>
      <c r="E10714" s="8">
        <v>0</v>
      </c>
      <c r="F10714" s="8">
        <v>0</v>
      </c>
      <c r="G10714" s="8">
        <v>3</v>
      </c>
      <c r="H10714" s="8" t="s">
        <v>21748</v>
      </c>
      <c r="I10714" s="8">
        <v>528.9375</v>
      </c>
      <c r="J10714" s="3">
        <f t="shared" si="167"/>
        <v>43748.264830057866</v>
      </c>
    </row>
    <row r="10715" spans="1:10" x14ac:dyDescent="0.25">
      <c r="A10715" s="5" t="s">
        <v>21749</v>
      </c>
      <c r="B10715" s="6">
        <v>403.125</v>
      </c>
      <c r="C10715" s="6">
        <v>20.478950000000001</v>
      </c>
      <c r="D10715" s="6">
        <v>106</v>
      </c>
      <c r="E10715" s="6">
        <v>0</v>
      </c>
      <c r="F10715" s="6">
        <v>0</v>
      </c>
      <c r="G10715" s="6">
        <v>10</v>
      </c>
      <c r="H10715" s="6" t="s">
        <v>21750</v>
      </c>
      <c r="I10715" s="6">
        <v>529.125</v>
      </c>
      <c r="J10715" s="2">
        <f t="shared" si="167"/>
        <v>43748.264902106479</v>
      </c>
    </row>
    <row r="10716" spans="1:10" x14ac:dyDescent="0.25">
      <c r="A10716" s="7" t="s">
        <v>21751</v>
      </c>
      <c r="B10716" s="8">
        <v>403.125</v>
      </c>
      <c r="C10716" s="8">
        <v>20.478950000000001</v>
      </c>
      <c r="D10716" s="8">
        <v>106</v>
      </c>
      <c r="E10716" s="8">
        <v>0</v>
      </c>
      <c r="F10716" s="8">
        <v>0</v>
      </c>
      <c r="G10716" s="8">
        <v>4</v>
      </c>
      <c r="H10716" s="8" t="s">
        <v>21752</v>
      </c>
      <c r="I10716" s="8">
        <v>529.125</v>
      </c>
      <c r="J10716" s="3">
        <f t="shared" si="167"/>
        <v>43748.264973576392</v>
      </c>
    </row>
    <row r="10717" spans="1:10" x14ac:dyDescent="0.25">
      <c r="A10717" s="5" t="s">
        <v>21753</v>
      </c>
      <c r="B10717" s="6">
        <v>403.125</v>
      </c>
      <c r="C10717" s="6">
        <v>20.478950000000001</v>
      </c>
      <c r="D10717" s="6">
        <v>106</v>
      </c>
      <c r="E10717" s="6">
        <v>0</v>
      </c>
      <c r="F10717" s="6">
        <v>0</v>
      </c>
      <c r="G10717" s="6">
        <v>6</v>
      </c>
      <c r="H10717" s="6" t="s">
        <v>21754</v>
      </c>
      <c r="I10717" s="6">
        <v>529.125</v>
      </c>
      <c r="J10717" s="2">
        <f t="shared" si="167"/>
        <v>43748.265056909724</v>
      </c>
    </row>
    <row r="10718" spans="1:10" x14ac:dyDescent="0.25">
      <c r="A10718" s="7" t="s">
        <v>21755</v>
      </c>
      <c r="B10718" s="8">
        <v>403.125</v>
      </c>
      <c r="C10718" s="8">
        <v>20.478950000000001</v>
      </c>
      <c r="D10718" s="8">
        <v>106</v>
      </c>
      <c r="E10718" s="8">
        <v>0</v>
      </c>
      <c r="F10718" s="8">
        <v>0</v>
      </c>
      <c r="G10718" s="8">
        <v>9</v>
      </c>
      <c r="H10718" s="8" t="s">
        <v>21756</v>
      </c>
      <c r="I10718" s="8">
        <v>529.125</v>
      </c>
      <c r="J10718" s="3">
        <f t="shared" si="167"/>
        <v>43748.265155717592</v>
      </c>
    </row>
    <row r="10719" spans="1:10" x14ac:dyDescent="0.25">
      <c r="A10719" s="5" t="s">
        <v>21757</v>
      </c>
      <c r="B10719" s="6">
        <v>403.125</v>
      </c>
      <c r="C10719" s="6">
        <v>20.426300000000001</v>
      </c>
      <c r="D10719" s="6">
        <v>105</v>
      </c>
      <c r="E10719" s="6">
        <v>0</v>
      </c>
      <c r="F10719" s="6">
        <v>0</v>
      </c>
      <c r="G10719" s="6">
        <v>4</v>
      </c>
      <c r="H10719" s="6" t="s">
        <v>21758</v>
      </c>
      <c r="I10719" s="6">
        <v>529.125</v>
      </c>
      <c r="J10719" s="2">
        <f t="shared" si="167"/>
        <v>43748.265235601844</v>
      </c>
    </row>
    <row r="10720" spans="1:10" x14ac:dyDescent="0.25">
      <c r="A10720" s="7" t="s">
        <v>21759</v>
      </c>
      <c r="B10720" s="8">
        <v>400</v>
      </c>
      <c r="C10720" s="8">
        <v>20.478950000000001</v>
      </c>
      <c r="D10720" s="8">
        <v>105</v>
      </c>
      <c r="E10720" s="8">
        <v>0</v>
      </c>
      <c r="F10720" s="8">
        <v>0</v>
      </c>
      <c r="G10720" s="8">
        <v>9</v>
      </c>
      <c r="H10720" s="8" t="s">
        <v>21760</v>
      </c>
      <c r="I10720" s="8">
        <v>528.9375</v>
      </c>
      <c r="J10720" s="3">
        <f t="shared" si="167"/>
        <v>43748.265306886569</v>
      </c>
    </row>
    <row r="10721" spans="1:10" x14ac:dyDescent="0.25">
      <c r="A10721" s="5" t="s">
        <v>21761</v>
      </c>
      <c r="B10721" s="6">
        <v>400</v>
      </c>
      <c r="C10721" s="6">
        <v>20.426300000000001</v>
      </c>
      <c r="D10721" s="6">
        <v>105</v>
      </c>
      <c r="E10721" s="6">
        <v>0</v>
      </c>
      <c r="F10721" s="6">
        <v>0</v>
      </c>
      <c r="G10721" s="6">
        <v>14</v>
      </c>
      <c r="H10721" s="6" t="s">
        <v>21762</v>
      </c>
      <c r="I10721" s="6">
        <v>528.1875</v>
      </c>
      <c r="J10721" s="2">
        <f t="shared" si="167"/>
        <v>43748.265402337965</v>
      </c>
    </row>
    <row r="10722" spans="1:10" x14ac:dyDescent="0.25">
      <c r="A10722" s="7" t="s">
        <v>21763</v>
      </c>
      <c r="B10722" s="8">
        <v>400</v>
      </c>
      <c r="C10722" s="8">
        <v>20.478950000000001</v>
      </c>
      <c r="D10722" s="8">
        <v>105</v>
      </c>
      <c r="E10722" s="8">
        <v>0</v>
      </c>
      <c r="F10722" s="8">
        <v>0</v>
      </c>
      <c r="G10722" s="8">
        <v>6</v>
      </c>
      <c r="H10722" s="8" t="s">
        <v>21764</v>
      </c>
      <c r="I10722" s="8">
        <v>528.1875</v>
      </c>
      <c r="J10722" s="3">
        <f t="shared" si="167"/>
        <v>43748.265487719902</v>
      </c>
    </row>
    <row r="10723" spans="1:10" x14ac:dyDescent="0.25">
      <c r="A10723" s="5" t="s">
        <v>21765</v>
      </c>
      <c r="B10723" s="6">
        <v>403.125</v>
      </c>
      <c r="C10723" s="6">
        <v>20.478950000000001</v>
      </c>
      <c r="D10723" s="6">
        <v>104</v>
      </c>
      <c r="E10723" s="6">
        <v>0</v>
      </c>
      <c r="F10723" s="6">
        <v>0</v>
      </c>
      <c r="G10723" s="6">
        <v>0</v>
      </c>
      <c r="H10723" s="6" t="s">
        <v>21766</v>
      </c>
      <c r="I10723" s="6">
        <v>529.125</v>
      </c>
      <c r="J10723" s="2">
        <f t="shared" si="167"/>
        <v>43748.265582638887</v>
      </c>
    </row>
    <row r="10724" spans="1:10" x14ac:dyDescent="0.25">
      <c r="A10724" s="7" t="s">
        <v>21767</v>
      </c>
      <c r="B10724" s="8">
        <v>400</v>
      </c>
      <c r="C10724" s="8">
        <v>20.478950000000001</v>
      </c>
      <c r="D10724" s="8">
        <v>102</v>
      </c>
      <c r="E10724" s="8">
        <v>0</v>
      </c>
      <c r="F10724" s="8">
        <v>0</v>
      </c>
      <c r="G10724" s="8">
        <v>7</v>
      </c>
      <c r="H10724" s="8" t="s">
        <v>21768</v>
      </c>
      <c r="I10724" s="8">
        <v>528.9375</v>
      </c>
      <c r="J10724" s="3">
        <f t="shared" si="167"/>
        <v>43748.265653206014</v>
      </c>
    </row>
    <row r="10725" spans="1:10" x14ac:dyDescent="0.25">
      <c r="A10725" s="5" t="s">
        <v>21769</v>
      </c>
      <c r="B10725" s="6">
        <v>400</v>
      </c>
      <c r="C10725" s="6">
        <v>20.426300000000001</v>
      </c>
      <c r="D10725" s="6">
        <v>102</v>
      </c>
      <c r="E10725" s="6">
        <v>0</v>
      </c>
      <c r="F10725" s="6">
        <v>0</v>
      </c>
      <c r="G10725" s="6">
        <v>9</v>
      </c>
      <c r="H10725" s="6" t="s">
        <v>21770</v>
      </c>
      <c r="I10725" s="6">
        <v>528.375</v>
      </c>
      <c r="J10725" s="2">
        <f t="shared" si="167"/>
        <v>43748.265724386576</v>
      </c>
    </row>
    <row r="10726" spans="1:10" x14ac:dyDescent="0.25">
      <c r="A10726" s="7" t="s">
        <v>21771</v>
      </c>
      <c r="B10726" s="8">
        <v>396.875</v>
      </c>
      <c r="C10726" s="8">
        <v>20.478950000000001</v>
      </c>
      <c r="D10726" s="8">
        <v>102</v>
      </c>
      <c r="E10726" s="8">
        <v>0</v>
      </c>
      <c r="F10726" s="8">
        <v>0</v>
      </c>
      <c r="G10726" s="8">
        <v>16</v>
      </c>
      <c r="H10726" s="8" t="s">
        <v>21772</v>
      </c>
      <c r="I10726" s="8">
        <v>527.4375</v>
      </c>
      <c r="J10726" s="3">
        <f t="shared" si="167"/>
        <v>43748.265795798608</v>
      </c>
    </row>
    <row r="10727" spans="1:10" x14ac:dyDescent="0.25">
      <c r="A10727" s="5" t="s">
        <v>21773</v>
      </c>
      <c r="B10727" s="6">
        <v>396.875</v>
      </c>
      <c r="C10727" s="6">
        <v>20.478950000000001</v>
      </c>
      <c r="D10727" s="6">
        <v>102</v>
      </c>
      <c r="E10727" s="6">
        <v>0</v>
      </c>
      <c r="F10727" s="6">
        <v>0</v>
      </c>
      <c r="G10727" s="6">
        <v>3</v>
      </c>
      <c r="H10727" s="6" t="s">
        <v>21774</v>
      </c>
      <c r="I10727" s="6">
        <v>527.4375</v>
      </c>
      <c r="J10727" s="2">
        <f t="shared" si="167"/>
        <v>43748.265867893519</v>
      </c>
    </row>
    <row r="10728" spans="1:10" x14ac:dyDescent="0.25">
      <c r="A10728" s="7" t="s">
        <v>21775</v>
      </c>
      <c r="B10728" s="8">
        <v>396.875</v>
      </c>
      <c r="C10728" s="8">
        <v>20.426300000000001</v>
      </c>
      <c r="D10728" s="8">
        <v>102</v>
      </c>
      <c r="E10728" s="8">
        <v>0</v>
      </c>
      <c r="F10728" s="8">
        <v>0</v>
      </c>
      <c r="G10728" s="8">
        <v>3</v>
      </c>
      <c r="H10728" s="8" t="s">
        <v>21776</v>
      </c>
      <c r="I10728" s="8">
        <v>527.4375</v>
      </c>
      <c r="J10728" s="3">
        <f t="shared" si="167"/>
        <v>43748.265939317127</v>
      </c>
    </row>
    <row r="10729" spans="1:10" x14ac:dyDescent="0.25">
      <c r="A10729" s="5" t="s">
        <v>21777</v>
      </c>
      <c r="B10729" s="6">
        <v>421.875</v>
      </c>
      <c r="C10729" s="6">
        <v>20.426300000000001</v>
      </c>
      <c r="D10729" s="6">
        <v>98</v>
      </c>
      <c r="E10729" s="6">
        <v>0</v>
      </c>
      <c r="F10729" s="6">
        <v>0</v>
      </c>
      <c r="G10729" s="6">
        <v>6</v>
      </c>
      <c r="H10729" s="6" t="s">
        <v>21778</v>
      </c>
      <c r="I10729" s="6">
        <v>535.125</v>
      </c>
      <c r="J10729" s="2">
        <f t="shared" si="167"/>
        <v>43748.266010624997</v>
      </c>
    </row>
    <row r="10730" spans="1:10" x14ac:dyDescent="0.25">
      <c r="A10730" s="7" t="s">
        <v>21779</v>
      </c>
      <c r="B10730" s="8">
        <v>393.75</v>
      </c>
      <c r="C10730" s="8">
        <v>20.426300000000001</v>
      </c>
      <c r="D10730" s="8">
        <v>99</v>
      </c>
      <c r="E10730" s="8">
        <v>0</v>
      </c>
      <c r="F10730" s="8">
        <v>0</v>
      </c>
      <c r="G10730" s="8">
        <v>2</v>
      </c>
      <c r="H10730" s="8" t="s">
        <v>21780</v>
      </c>
      <c r="I10730" s="8">
        <v>526.6875</v>
      </c>
      <c r="J10730" s="3">
        <f t="shared" si="167"/>
        <v>43748.266081967588</v>
      </c>
    </row>
    <row r="10731" spans="1:10" x14ac:dyDescent="0.25">
      <c r="A10731" s="5" t="s">
        <v>21781</v>
      </c>
      <c r="B10731" s="6">
        <v>393.75</v>
      </c>
      <c r="C10731" s="6">
        <v>20.478950000000001</v>
      </c>
      <c r="D10731" s="6">
        <v>100</v>
      </c>
      <c r="E10731" s="6">
        <v>0</v>
      </c>
      <c r="F10731" s="6">
        <v>0</v>
      </c>
      <c r="G10731" s="6">
        <v>0</v>
      </c>
      <c r="H10731" s="6" t="s">
        <v>21782</v>
      </c>
      <c r="I10731" s="6">
        <v>526.6875</v>
      </c>
      <c r="J10731" s="2">
        <f t="shared" si="167"/>
        <v>43748.266154120363</v>
      </c>
    </row>
    <row r="10732" spans="1:10" x14ac:dyDescent="0.25">
      <c r="A10732" s="7" t="s">
        <v>21783</v>
      </c>
      <c r="B10732" s="8">
        <v>393.75</v>
      </c>
      <c r="C10732" s="8">
        <v>20.478950000000001</v>
      </c>
      <c r="D10732" s="8">
        <v>100</v>
      </c>
      <c r="E10732" s="8">
        <v>0</v>
      </c>
      <c r="F10732" s="8">
        <v>0</v>
      </c>
      <c r="G10732" s="8">
        <v>0</v>
      </c>
      <c r="H10732" s="8" t="s">
        <v>21784</v>
      </c>
      <c r="I10732" s="8">
        <v>526.6875</v>
      </c>
      <c r="J10732" s="3">
        <f t="shared" si="167"/>
        <v>43748.266225370367</v>
      </c>
    </row>
    <row r="10733" spans="1:10" x14ac:dyDescent="0.25">
      <c r="A10733" s="5" t="s">
        <v>21785</v>
      </c>
      <c r="B10733" s="6">
        <v>396.875</v>
      </c>
      <c r="C10733" s="6">
        <v>20.478950000000001</v>
      </c>
      <c r="D10733" s="6">
        <v>100</v>
      </c>
      <c r="E10733" s="6">
        <v>0</v>
      </c>
      <c r="F10733" s="6">
        <v>0</v>
      </c>
      <c r="G10733" s="6">
        <v>6</v>
      </c>
      <c r="H10733" s="6" t="s">
        <v>21786</v>
      </c>
      <c r="I10733" s="6">
        <v>527.625</v>
      </c>
      <c r="J10733" s="2">
        <f t="shared" si="167"/>
        <v>43748.266296724534</v>
      </c>
    </row>
    <row r="10734" spans="1:10" x14ac:dyDescent="0.25">
      <c r="A10734" s="7" t="s">
        <v>21787</v>
      </c>
      <c r="B10734" s="8">
        <v>396.875</v>
      </c>
      <c r="C10734" s="8">
        <v>20.478950000000001</v>
      </c>
      <c r="D10734" s="8">
        <v>101</v>
      </c>
      <c r="E10734" s="8">
        <v>0</v>
      </c>
      <c r="F10734" s="8">
        <v>0</v>
      </c>
      <c r="G10734" s="8">
        <v>9</v>
      </c>
      <c r="H10734" s="8" t="s">
        <v>21788</v>
      </c>
      <c r="I10734" s="8">
        <v>527.4375</v>
      </c>
      <c r="J10734" s="3">
        <f t="shared" si="167"/>
        <v>43748.266368240736</v>
      </c>
    </row>
    <row r="10735" spans="1:10" x14ac:dyDescent="0.25">
      <c r="A10735" s="5" t="s">
        <v>21789</v>
      </c>
      <c r="B10735" s="6">
        <v>396.875</v>
      </c>
      <c r="C10735" s="6">
        <v>20.478950000000001</v>
      </c>
      <c r="D10735" s="6">
        <v>102</v>
      </c>
      <c r="E10735" s="6">
        <v>0</v>
      </c>
      <c r="F10735" s="6">
        <v>0</v>
      </c>
      <c r="G10735" s="6">
        <v>0</v>
      </c>
      <c r="H10735" s="6" t="s">
        <v>21790</v>
      </c>
      <c r="I10735" s="6">
        <v>527.4375</v>
      </c>
      <c r="J10735" s="2">
        <f t="shared" si="167"/>
        <v>43748.266440243053</v>
      </c>
    </row>
    <row r="10736" spans="1:10" x14ac:dyDescent="0.25">
      <c r="A10736" s="7" t="s">
        <v>21791</v>
      </c>
      <c r="B10736" s="8">
        <v>396.875</v>
      </c>
      <c r="C10736" s="8">
        <v>20.426300000000001</v>
      </c>
      <c r="D10736" s="8">
        <v>103</v>
      </c>
      <c r="E10736" s="8">
        <v>0</v>
      </c>
      <c r="F10736" s="8">
        <v>0</v>
      </c>
      <c r="G10736" s="8">
        <v>7</v>
      </c>
      <c r="H10736" s="8" t="s">
        <v>21792</v>
      </c>
      <c r="I10736" s="8">
        <v>527.4375</v>
      </c>
      <c r="J10736" s="3">
        <f t="shared" si="167"/>
        <v>43748.266511585643</v>
      </c>
    </row>
    <row r="10737" spans="1:10" x14ac:dyDescent="0.25">
      <c r="A10737" s="5" t="s">
        <v>21793</v>
      </c>
      <c r="B10737" s="6">
        <v>396.875</v>
      </c>
      <c r="C10737" s="6">
        <v>20.426300000000001</v>
      </c>
      <c r="D10737" s="6">
        <v>104</v>
      </c>
      <c r="E10737" s="6">
        <v>0</v>
      </c>
      <c r="F10737" s="6">
        <v>0</v>
      </c>
      <c r="G10737" s="6">
        <v>6</v>
      </c>
      <c r="H10737" s="6" t="s">
        <v>21794</v>
      </c>
      <c r="I10737" s="6">
        <v>527.4375</v>
      </c>
      <c r="J10737" s="2">
        <f t="shared" si="167"/>
        <v>43748.266582893521</v>
      </c>
    </row>
    <row r="10738" spans="1:10" x14ac:dyDescent="0.25">
      <c r="A10738" s="7" t="s">
        <v>21795</v>
      </c>
      <c r="B10738" s="8">
        <v>400</v>
      </c>
      <c r="C10738" s="8">
        <v>20.478950000000001</v>
      </c>
      <c r="D10738" s="8">
        <v>102</v>
      </c>
      <c r="E10738" s="8">
        <v>0</v>
      </c>
      <c r="F10738" s="8">
        <v>0</v>
      </c>
      <c r="G10738" s="8">
        <v>8</v>
      </c>
      <c r="H10738" s="8" t="s">
        <v>21796</v>
      </c>
      <c r="I10738" s="8">
        <v>528.1875</v>
      </c>
      <c r="J10738" s="3">
        <f t="shared" si="167"/>
        <v>43748.266678159715</v>
      </c>
    </row>
    <row r="10739" spans="1:10" x14ac:dyDescent="0.25">
      <c r="A10739" s="5" t="s">
        <v>21797</v>
      </c>
      <c r="B10739" s="6">
        <v>400</v>
      </c>
      <c r="C10739" s="6">
        <v>20.478950000000001</v>
      </c>
      <c r="D10739" s="6">
        <v>102</v>
      </c>
      <c r="E10739" s="6">
        <v>0</v>
      </c>
      <c r="F10739" s="6">
        <v>0</v>
      </c>
      <c r="G10739" s="6">
        <v>7</v>
      </c>
      <c r="H10739" s="6" t="s">
        <v>21798</v>
      </c>
      <c r="I10739" s="6">
        <v>528.1875</v>
      </c>
      <c r="J10739" s="2">
        <f t="shared" si="167"/>
        <v>43748.266750381947</v>
      </c>
    </row>
    <row r="10740" spans="1:10" x14ac:dyDescent="0.25">
      <c r="A10740" s="7" t="s">
        <v>21799</v>
      </c>
      <c r="B10740" s="8">
        <v>400</v>
      </c>
      <c r="C10740" s="8">
        <v>20.426300000000001</v>
      </c>
      <c r="D10740" s="8">
        <v>101</v>
      </c>
      <c r="E10740" s="8">
        <v>0</v>
      </c>
      <c r="F10740" s="8">
        <v>0</v>
      </c>
      <c r="G10740" s="8">
        <v>13</v>
      </c>
      <c r="H10740" s="8" t="s">
        <v>21800</v>
      </c>
      <c r="I10740" s="8">
        <v>528.1875</v>
      </c>
      <c r="J10740" s="3">
        <f t="shared" si="167"/>
        <v>43748.266845034719</v>
      </c>
    </row>
    <row r="10741" spans="1:10" x14ac:dyDescent="0.25">
      <c r="A10741" s="5" t="s">
        <v>21801</v>
      </c>
      <c r="B10741" s="6">
        <v>400</v>
      </c>
      <c r="C10741" s="6">
        <v>20.478950000000001</v>
      </c>
      <c r="D10741" s="6">
        <v>101</v>
      </c>
      <c r="E10741" s="6">
        <v>0</v>
      </c>
      <c r="F10741" s="6">
        <v>0</v>
      </c>
      <c r="G10741" s="6">
        <v>7</v>
      </c>
      <c r="H10741" s="6" t="s">
        <v>21802</v>
      </c>
      <c r="I10741" s="6">
        <v>528.1875</v>
      </c>
      <c r="J10741" s="2">
        <f t="shared" si="167"/>
        <v>43748.266916979162</v>
      </c>
    </row>
    <row r="10742" spans="1:10" x14ac:dyDescent="0.25">
      <c r="A10742" s="7" t="s">
        <v>21803</v>
      </c>
      <c r="B10742" s="8">
        <v>396.875</v>
      </c>
      <c r="C10742" s="8">
        <v>20.426300000000001</v>
      </c>
      <c r="D10742" s="8">
        <v>101</v>
      </c>
      <c r="E10742" s="8">
        <v>0</v>
      </c>
      <c r="F10742" s="8">
        <v>0</v>
      </c>
      <c r="G10742" s="8">
        <v>11</v>
      </c>
      <c r="H10742" s="8" t="s">
        <v>21804</v>
      </c>
      <c r="I10742" s="8">
        <v>527.4375</v>
      </c>
      <c r="J10742" s="3">
        <f t="shared" si="167"/>
        <v>43748.266988333329</v>
      </c>
    </row>
    <row r="10743" spans="1:10" x14ac:dyDescent="0.25">
      <c r="A10743" s="5" t="s">
        <v>21805</v>
      </c>
      <c r="B10743" s="6">
        <v>415.625</v>
      </c>
      <c r="C10743" s="6">
        <v>20.478950000000001</v>
      </c>
      <c r="D10743" s="6">
        <v>101</v>
      </c>
      <c r="E10743" s="6">
        <v>0</v>
      </c>
      <c r="F10743" s="6">
        <v>0</v>
      </c>
      <c r="G10743" s="6">
        <v>7</v>
      </c>
      <c r="H10743" s="6" t="s">
        <v>21806</v>
      </c>
      <c r="I10743" s="6">
        <v>533.8125</v>
      </c>
      <c r="J10743" s="2">
        <f t="shared" si="167"/>
        <v>43748.267059571757</v>
      </c>
    </row>
    <row r="10744" spans="1:10" x14ac:dyDescent="0.25">
      <c r="A10744" s="7" t="s">
        <v>21807</v>
      </c>
      <c r="B10744" s="8">
        <v>396.875</v>
      </c>
      <c r="C10744" s="8">
        <v>20.478950000000001</v>
      </c>
      <c r="D10744" s="8">
        <v>101</v>
      </c>
      <c r="E10744" s="8">
        <v>0</v>
      </c>
      <c r="F10744" s="8">
        <v>0</v>
      </c>
      <c r="G10744" s="8">
        <v>6</v>
      </c>
      <c r="H10744" s="8" t="s">
        <v>21808</v>
      </c>
      <c r="I10744" s="8">
        <v>527.4375</v>
      </c>
      <c r="J10744" s="3">
        <f t="shared" si="167"/>
        <v>43748.267130925924</v>
      </c>
    </row>
    <row r="10745" spans="1:10" x14ac:dyDescent="0.25">
      <c r="A10745" s="5" t="s">
        <v>21809</v>
      </c>
      <c r="B10745" s="6">
        <v>396.875</v>
      </c>
      <c r="C10745" s="6">
        <v>20.426300000000001</v>
      </c>
      <c r="D10745" s="6">
        <v>104</v>
      </c>
      <c r="E10745" s="6">
        <v>0</v>
      </c>
      <c r="F10745" s="6">
        <v>0</v>
      </c>
      <c r="G10745" s="6">
        <v>7</v>
      </c>
      <c r="H10745" s="6" t="s">
        <v>21810</v>
      </c>
      <c r="I10745" s="6">
        <v>527.4375</v>
      </c>
      <c r="J10745" s="2">
        <f t="shared" si="167"/>
        <v>43748.267203136573</v>
      </c>
    </row>
    <row r="10746" spans="1:10" x14ac:dyDescent="0.25">
      <c r="A10746" s="7" t="s">
        <v>21811</v>
      </c>
      <c r="B10746" s="8">
        <v>396.875</v>
      </c>
      <c r="C10746" s="8">
        <v>20.478950000000001</v>
      </c>
      <c r="D10746" s="8">
        <v>107</v>
      </c>
      <c r="E10746" s="8">
        <v>0</v>
      </c>
      <c r="F10746" s="8">
        <v>0</v>
      </c>
      <c r="G10746" s="8">
        <v>3</v>
      </c>
      <c r="H10746" s="8" t="s">
        <v>21812</v>
      </c>
      <c r="I10746" s="8">
        <v>527.4375</v>
      </c>
      <c r="J10746" s="3">
        <f t="shared" si="167"/>
        <v>43748.267286481474</v>
      </c>
    </row>
    <row r="10747" spans="1:10" x14ac:dyDescent="0.25">
      <c r="A10747" s="5" t="s">
        <v>21813</v>
      </c>
      <c r="B10747" s="6">
        <v>396.875</v>
      </c>
      <c r="C10747" s="6">
        <v>20.478950000000001</v>
      </c>
      <c r="D10747" s="6">
        <v>106</v>
      </c>
      <c r="E10747" s="6">
        <v>0</v>
      </c>
      <c r="F10747" s="6">
        <v>0</v>
      </c>
      <c r="G10747" s="6">
        <v>10</v>
      </c>
      <c r="H10747" s="6" t="s">
        <v>21814</v>
      </c>
      <c r="I10747" s="6">
        <v>527.4375</v>
      </c>
      <c r="J10747" s="2">
        <f t="shared" si="167"/>
        <v>43748.267364756939</v>
      </c>
    </row>
    <row r="10748" spans="1:10" x14ac:dyDescent="0.25">
      <c r="A10748" s="7" t="s">
        <v>21815</v>
      </c>
      <c r="B10748" s="8">
        <v>396.875</v>
      </c>
      <c r="C10748" s="8">
        <v>20.478950000000001</v>
      </c>
      <c r="D10748" s="8">
        <v>106</v>
      </c>
      <c r="E10748" s="8">
        <v>0</v>
      </c>
      <c r="F10748" s="8">
        <v>0</v>
      </c>
      <c r="G10748" s="8">
        <v>1</v>
      </c>
      <c r="H10748" s="8" t="s">
        <v>21816</v>
      </c>
      <c r="I10748" s="8">
        <v>527.4375</v>
      </c>
      <c r="J10748" s="3">
        <f t="shared" si="167"/>
        <v>43748.267441793978</v>
      </c>
    </row>
    <row r="10749" spans="1:10" x14ac:dyDescent="0.25">
      <c r="A10749" s="5" t="s">
        <v>21817</v>
      </c>
      <c r="B10749" s="6">
        <v>393.75</v>
      </c>
      <c r="C10749" s="6">
        <v>20.478950000000001</v>
      </c>
      <c r="D10749" s="6">
        <v>106</v>
      </c>
      <c r="E10749" s="6">
        <v>0</v>
      </c>
      <c r="F10749" s="6">
        <v>0</v>
      </c>
      <c r="G10749" s="6">
        <v>7</v>
      </c>
      <c r="H10749" s="6" t="s">
        <v>21818</v>
      </c>
      <c r="I10749" s="6">
        <v>526.6875</v>
      </c>
      <c r="J10749" s="2">
        <f t="shared" si="167"/>
        <v>43748.267513321756</v>
      </c>
    </row>
    <row r="10750" spans="1:10" x14ac:dyDescent="0.25">
      <c r="A10750" s="7" t="s">
        <v>21819</v>
      </c>
      <c r="B10750" s="8">
        <v>412.5</v>
      </c>
      <c r="C10750" s="8">
        <v>20.426300000000001</v>
      </c>
      <c r="D10750" s="8">
        <v>105</v>
      </c>
      <c r="E10750" s="8">
        <v>0</v>
      </c>
      <c r="F10750" s="8">
        <v>0</v>
      </c>
      <c r="G10750" s="8">
        <v>11</v>
      </c>
      <c r="H10750" s="8" t="s">
        <v>21820</v>
      </c>
      <c r="I10750" s="8">
        <v>532.3125</v>
      </c>
      <c r="J10750" s="3">
        <f t="shared" si="167"/>
        <v>43748.267584664347</v>
      </c>
    </row>
    <row r="10751" spans="1:10" x14ac:dyDescent="0.25">
      <c r="A10751" s="5" t="s">
        <v>21821</v>
      </c>
      <c r="B10751" s="6">
        <v>393.75</v>
      </c>
      <c r="C10751" s="6">
        <v>20.426300000000001</v>
      </c>
      <c r="D10751" s="6">
        <v>103</v>
      </c>
      <c r="E10751" s="6">
        <v>0</v>
      </c>
      <c r="F10751" s="6">
        <v>0</v>
      </c>
      <c r="G10751" s="6">
        <v>9</v>
      </c>
      <c r="H10751" s="6" t="s">
        <v>21822</v>
      </c>
      <c r="I10751" s="6">
        <v>526.6875</v>
      </c>
      <c r="J10751" s="2">
        <f t="shared" si="167"/>
        <v>43748.267655937496</v>
      </c>
    </row>
    <row r="10752" spans="1:10" x14ac:dyDescent="0.25">
      <c r="A10752" s="7" t="s">
        <v>21823</v>
      </c>
      <c r="B10752" s="8">
        <v>393.75</v>
      </c>
      <c r="C10752" s="8">
        <v>20.426300000000001</v>
      </c>
      <c r="D10752" s="8">
        <v>104</v>
      </c>
      <c r="E10752" s="8">
        <v>0</v>
      </c>
      <c r="F10752" s="8">
        <v>0</v>
      </c>
      <c r="G10752" s="8">
        <v>2</v>
      </c>
      <c r="H10752" s="8" t="s">
        <v>21824</v>
      </c>
      <c r="I10752" s="8">
        <v>526.6875</v>
      </c>
      <c r="J10752" s="3">
        <f t="shared" si="167"/>
        <v>43748.267728136569</v>
      </c>
    </row>
    <row r="10753" spans="1:10" x14ac:dyDescent="0.25">
      <c r="A10753" s="5" t="s">
        <v>21825</v>
      </c>
      <c r="B10753" s="6">
        <v>393.75</v>
      </c>
      <c r="C10753" s="6">
        <v>20.478950000000001</v>
      </c>
      <c r="D10753" s="6">
        <v>105</v>
      </c>
      <c r="E10753" s="6">
        <v>0</v>
      </c>
      <c r="F10753" s="6">
        <v>0</v>
      </c>
      <c r="G10753" s="6">
        <v>6</v>
      </c>
      <c r="H10753" s="6" t="s">
        <v>21826</v>
      </c>
      <c r="I10753" s="6">
        <v>526.6875</v>
      </c>
      <c r="J10753" s="2">
        <f t="shared" si="167"/>
        <v>43748.267799490735</v>
      </c>
    </row>
    <row r="10754" spans="1:10" x14ac:dyDescent="0.25">
      <c r="A10754" s="7" t="s">
        <v>21827</v>
      </c>
      <c r="B10754" s="8">
        <v>421.875</v>
      </c>
      <c r="C10754" s="8">
        <v>20.426300000000001</v>
      </c>
      <c r="D10754" s="8">
        <v>105</v>
      </c>
      <c r="E10754" s="8">
        <v>0</v>
      </c>
      <c r="F10754" s="8">
        <v>0</v>
      </c>
      <c r="G10754" s="8">
        <v>6</v>
      </c>
      <c r="H10754" s="8" t="s">
        <v>21828</v>
      </c>
      <c r="I10754" s="8">
        <v>535.3125</v>
      </c>
      <c r="J10754" s="3">
        <f t="shared" ref="J10754:J10817" si="168">(H10754/86400000)+25569+(7/24)</f>
        <v>43748.267870740739</v>
      </c>
    </row>
    <row r="10755" spans="1:10" x14ac:dyDescent="0.25">
      <c r="A10755" s="5" t="s">
        <v>21829</v>
      </c>
      <c r="B10755" s="6">
        <v>393.75</v>
      </c>
      <c r="C10755" s="6">
        <v>20.478950000000001</v>
      </c>
      <c r="D10755" s="6">
        <v>106</v>
      </c>
      <c r="E10755" s="6">
        <v>0</v>
      </c>
      <c r="F10755" s="6">
        <v>0</v>
      </c>
      <c r="G10755" s="6">
        <v>7</v>
      </c>
      <c r="H10755" s="6" t="s">
        <v>21830</v>
      </c>
      <c r="I10755" s="6">
        <v>526.5</v>
      </c>
      <c r="J10755" s="2">
        <f t="shared" si="168"/>
        <v>43748.267966134255</v>
      </c>
    </row>
    <row r="10756" spans="1:10" x14ac:dyDescent="0.25">
      <c r="A10756" s="7" t="s">
        <v>21831</v>
      </c>
      <c r="B10756" s="8">
        <v>393.75</v>
      </c>
      <c r="C10756" s="8">
        <v>20.426300000000001</v>
      </c>
      <c r="D10756" s="8">
        <v>106</v>
      </c>
      <c r="E10756" s="8">
        <v>0</v>
      </c>
      <c r="F10756" s="8">
        <v>0</v>
      </c>
      <c r="G10756" s="8">
        <v>11</v>
      </c>
      <c r="H10756" s="8" t="s">
        <v>21832</v>
      </c>
      <c r="I10756" s="8">
        <v>526.6875</v>
      </c>
      <c r="J10756" s="3">
        <f t="shared" si="168"/>
        <v>43748.268038171293</v>
      </c>
    </row>
    <row r="10757" spans="1:10" x14ac:dyDescent="0.25">
      <c r="A10757" s="5" t="s">
        <v>21833</v>
      </c>
      <c r="B10757" s="6">
        <v>393.75</v>
      </c>
      <c r="C10757" s="6">
        <v>20.478950000000001</v>
      </c>
      <c r="D10757" s="6">
        <v>106</v>
      </c>
      <c r="E10757" s="6">
        <v>0</v>
      </c>
      <c r="F10757" s="6">
        <v>0</v>
      </c>
      <c r="G10757" s="6">
        <v>1</v>
      </c>
      <c r="H10757" s="6" t="s">
        <v>21834</v>
      </c>
      <c r="I10757" s="6">
        <v>526.6875</v>
      </c>
      <c r="J10757" s="2">
        <f t="shared" si="168"/>
        <v>43748.268109687495</v>
      </c>
    </row>
    <row r="10758" spans="1:10" x14ac:dyDescent="0.25">
      <c r="A10758" s="7" t="s">
        <v>21835</v>
      </c>
      <c r="B10758" s="8">
        <v>393.75</v>
      </c>
      <c r="C10758" s="8">
        <v>20.426300000000001</v>
      </c>
      <c r="D10758" s="8">
        <v>106</v>
      </c>
      <c r="E10758" s="8">
        <v>0</v>
      </c>
      <c r="F10758" s="8">
        <v>0</v>
      </c>
      <c r="G10758" s="8">
        <v>5</v>
      </c>
      <c r="H10758" s="8" t="s">
        <v>21836</v>
      </c>
      <c r="I10758" s="8">
        <v>526.6875</v>
      </c>
      <c r="J10758" s="3">
        <f t="shared" si="168"/>
        <v>43748.268180937499</v>
      </c>
    </row>
    <row r="10759" spans="1:10" x14ac:dyDescent="0.25">
      <c r="A10759" s="5" t="s">
        <v>21837</v>
      </c>
      <c r="B10759" s="6">
        <v>393.75</v>
      </c>
      <c r="C10759" s="6">
        <v>20.478950000000001</v>
      </c>
      <c r="D10759" s="6">
        <v>105</v>
      </c>
      <c r="E10759" s="6">
        <v>0</v>
      </c>
      <c r="F10759" s="6">
        <v>0</v>
      </c>
      <c r="G10759" s="6">
        <v>11</v>
      </c>
      <c r="H10759" s="6" t="s">
        <v>21838</v>
      </c>
      <c r="I10759" s="6">
        <v>526.5</v>
      </c>
      <c r="J10759" s="2">
        <f t="shared" si="168"/>
        <v>43748.268252210641</v>
      </c>
    </row>
    <row r="10760" spans="1:10" x14ac:dyDescent="0.25">
      <c r="A10760" s="7" t="s">
        <v>21839</v>
      </c>
      <c r="B10760" s="8">
        <v>393.75</v>
      </c>
      <c r="C10760" s="8">
        <v>20.478950000000001</v>
      </c>
      <c r="D10760" s="8">
        <v>106</v>
      </c>
      <c r="E10760" s="8">
        <v>0</v>
      </c>
      <c r="F10760" s="8">
        <v>0</v>
      </c>
      <c r="G10760" s="8">
        <v>4</v>
      </c>
      <c r="H10760" s="8" t="s">
        <v>21840</v>
      </c>
      <c r="I10760" s="8">
        <v>526.6875</v>
      </c>
      <c r="J10760" s="3">
        <f t="shared" si="168"/>
        <v>43748.268324444442</v>
      </c>
    </row>
    <row r="10761" spans="1:10" x14ac:dyDescent="0.25">
      <c r="A10761" s="5" t="s">
        <v>21841</v>
      </c>
      <c r="B10761" s="6">
        <v>412.5</v>
      </c>
      <c r="C10761" s="6">
        <v>20.478950000000001</v>
      </c>
      <c r="D10761" s="6">
        <v>107</v>
      </c>
      <c r="E10761" s="6">
        <v>0</v>
      </c>
      <c r="F10761" s="6">
        <v>0</v>
      </c>
      <c r="G10761" s="6">
        <v>2</v>
      </c>
      <c r="H10761" s="6" t="s">
        <v>21842</v>
      </c>
      <c r="I10761" s="6">
        <v>532.3125</v>
      </c>
      <c r="J10761" s="2">
        <f t="shared" si="168"/>
        <v>43748.268407708332</v>
      </c>
    </row>
    <row r="10762" spans="1:10" x14ac:dyDescent="0.25">
      <c r="A10762" s="7" t="s">
        <v>21843</v>
      </c>
      <c r="B10762" s="8">
        <v>393.75</v>
      </c>
      <c r="C10762" s="8">
        <v>20.478950000000001</v>
      </c>
      <c r="D10762" s="8">
        <v>105</v>
      </c>
      <c r="E10762" s="8">
        <v>0</v>
      </c>
      <c r="F10762" s="8">
        <v>0</v>
      </c>
      <c r="G10762" s="8">
        <v>10</v>
      </c>
      <c r="H10762" s="8" t="s">
        <v>21844</v>
      </c>
      <c r="I10762" s="8">
        <v>526.5</v>
      </c>
      <c r="J10762" s="3">
        <f t="shared" si="168"/>
        <v>43748.268479074068</v>
      </c>
    </row>
    <row r="10763" spans="1:10" x14ac:dyDescent="0.25">
      <c r="A10763" s="5" t="s">
        <v>21845</v>
      </c>
      <c r="B10763" s="6">
        <v>393.75</v>
      </c>
      <c r="C10763" s="6">
        <v>20.478950000000001</v>
      </c>
      <c r="D10763" s="6">
        <v>104</v>
      </c>
      <c r="E10763" s="6">
        <v>0</v>
      </c>
      <c r="F10763" s="6">
        <v>0</v>
      </c>
      <c r="G10763" s="6">
        <v>2</v>
      </c>
      <c r="H10763" s="6" t="s">
        <v>21846</v>
      </c>
      <c r="I10763" s="6">
        <v>526.6875</v>
      </c>
      <c r="J10763" s="2">
        <f t="shared" si="168"/>
        <v>43748.26855030092</v>
      </c>
    </row>
    <row r="10764" spans="1:10" x14ac:dyDescent="0.25">
      <c r="A10764" s="7" t="s">
        <v>21847</v>
      </c>
      <c r="B10764" s="8">
        <v>393.75</v>
      </c>
      <c r="C10764" s="8">
        <v>20.478950000000001</v>
      </c>
      <c r="D10764" s="8">
        <v>104</v>
      </c>
      <c r="E10764" s="8">
        <v>0</v>
      </c>
      <c r="F10764" s="8">
        <v>0</v>
      </c>
      <c r="G10764" s="8">
        <v>3</v>
      </c>
      <c r="H10764" s="8" t="s">
        <v>21848</v>
      </c>
      <c r="I10764" s="8">
        <v>526.6875</v>
      </c>
      <c r="J10764" s="3">
        <f t="shared" si="168"/>
        <v>43748.268622581018</v>
      </c>
    </row>
    <row r="10765" spans="1:10" x14ac:dyDescent="0.25">
      <c r="A10765" s="5" t="s">
        <v>21849</v>
      </c>
      <c r="B10765" s="6">
        <v>393.75</v>
      </c>
      <c r="C10765" s="6">
        <v>20.426300000000001</v>
      </c>
      <c r="D10765" s="6">
        <v>104</v>
      </c>
      <c r="E10765" s="6">
        <v>0</v>
      </c>
      <c r="F10765" s="6">
        <v>0</v>
      </c>
      <c r="G10765" s="6">
        <v>7</v>
      </c>
      <c r="H10765" s="6" t="s">
        <v>21850</v>
      </c>
      <c r="I10765" s="6">
        <v>526.6875</v>
      </c>
      <c r="J10765" s="2">
        <f t="shared" si="168"/>
        <v>43748.268693819446</v>
      </c>
    </row>
    <row r="10766" spans="1:10" x14ac:dyDescent="0.25">
      <c r="A10766" s="7" t="s">
        <v>21851</v>
      </c>
      <c r="B10766" s="8">
        <v>393.75</v>
      </c>
      <c r="C10766" s="8">
        <v>20.478950000000001</v>
      </c>
      <c r="D10766" s="8">
        <v>104</v>
      </c>
      <c r="E10766" s="8">
        <v>0</v>
      </c>
      <c r="F10766" s="8">
        <v>0</v>
      </c>
      <c r="G10766" s="8">
        <v>0</v>
      </c>
      <c r="H10766" s="8" t="s">
        <v>21852</v>
      </c>
      <c r="I10766" s="8">
        <v>526.5</v>
      </c>
      <c r="J10766" s="3">
        <f t="shared" si="168"/>
        <v>43748.268765185181</v>
      </c>
    </row>
    <row r="10767" spans="1:10" x14ac:dyDescent="0.25">
      <c r="A10767" s="5" t="s">
        <v>21853</v>
      </c>
      <c r="B10767" s="6">
        <v>396.875</v>
      </c>
      <c r="C10767" s="6">
        <v>20.478950000000001</v>
      </c>
      <c r="D10767" s="6">
        <v>104</v>
      </c>
      <c r="E10767" s="6">
        <v>0</v>
      </c>
      <c r="F10767" s="6">
        <v>0</v>
      </c>
      <c r="G10767" s="6">
        <v>0</v>
      </c>
      <c r="H10767" s="6" t="s">
        <v>21854</v>
      </c>
      <c r="I10767" s="6">
        <v>527.4375</v>
      </c>
      <c r="J10767" s="2">
        <f t="shared" si="168"/>
        <v>43748.268836481475</v>
      </c>
    </row>
    <row r="10768" spans="1:10" x14ac:dyDescent="0.25">
      <c r="A10768" s="7" t="s">
        <v>21855</v>
      </c>
      <c r="B10768" s="8">
        <v>396.875</v>
      </c>
      <c r="C10768" s="8">
        <v>20.478950000000001</v>
      </c>
      <c r="D10768" s="8">
        <v>104</v>
      </c>
      <c r="E10768" s="8">
        <v>0</v>
      </c>
      <c r="F10768" s="8">
        <v>0</v>
      </c>
      <c r="G10768" s="8">
        <v>7</v>
      </c>
      <c r="H10768" s="8" t="s">
        <v>21856</v>
      </c>
      <c r="I10768" s="8">
        <v>527.25</v>
      </c>
      <c r="J10768" s="3">
        <f t="shared" si="168"/>
        <v>43748.268908726845</v>
      </c>
    </row>
    <row r="10769" spans="1:10" x14ac:dyDescent="0.25">
      <c r="A10769" s="5" t="s">
        <v>21857</v>
      </c>
      <c r="B10769" s="6">
        <v>415.625</v>
      </c>
      <c r="C10769" s="6">
        <v>20.478950000000001</v>
      </c>
      <c r="D10769" s="6">
        <v>104</v>
      </c>
      <c r="E10769" s="6">
        <v>0</v>
      </c>
      <c r="F10769" s="6">
        <v>0</v>
      </c>
      <c r="G10769" s="6">
        <v>4</v>
      </c>
      <c r="H10769" s="6" t="s">
        <v>21858</v>
      </c>
      <c r="I10769" s="6">
        <v>533.0625</v>
      </c>
      <c r="J10769" s="2">
        <f t="shared" si="168"/>
        <v>43748.268979942128</v>
      </c>
    </row>
    <row r="10770" spans="1:10" x14ac:dyDescent="0.25">
      <c r="A10770" s="7" t="s">
        <v>21859</v>
      </c>
      <c r="B10770" s="8">
        <v>396.875</v>
      </c>
      <c r="C10770" s="8">
        <v>20.478950000000001</v>
      </c>
      <c r="D10770" s="8">
        <v>104</v>
      </c>
      <c r="E10770" s="8">
        <v>0</v>
      </c>
      <c r="F10770" s="8">
        <v>0</v>
      </c>
      <c r="G10770" s="8">
        <v>12</v>
      </c>
      <c r="H10770" s="8" t="s">
        <v>21860</v>
      </c>
      <c r="I10770" s="8">
        <v>527.4375</v>
      </c>
      <c r="J10770" s="3">
        <f t="shared" si="168"/>
        <v>43748.269063344902</v>
      </c>
    </row>
    <row r="10771" spans="1:10" x14ac:dyDescent="0.25">
      <c r="A10771" s="5" t="s">
        <v>21861</v>
      </c>
      <c r="B10771" s="6">
        <v>400</v>
      </c>
      <c r="C10771" s="6">
        <v>20.478950000000001</v>
      </c>
      <c r="D10771" s="6">
        <v>104</v>
      </c>
      <c r="E10771" s="6">
        <v>0</v>
      </c>
      <c r="F10771" s="6">
        <v>0</v>
      </c>
      <c r="G10771" s="6">
        <v>13</v>
      </c>
      <c r="H10771" s="6" t="s">
        <v>21862</v>
      </c>
      <c r="I10771" s="6">
        <v>528.1875</v>
      </c>
      <c r="J10771" s="2">
        <f t="shared" si="168"/>
        <v>43748.269147858795</v>
      </c>
    </row>
    <row r="10772" spans="1:10" x14ac:dyDescent="0.25">
      <c r="A10772" s="7" t="s">
        <v>21863</v>
      </c>
      <c r="B10772" s="8">
        <v>400</v>
      </c>
      <c r="C10772" s="8">
        <v>20.478950000000001</v>
      </c>
      <c r="D10772" s="8">
        <v>106</v>
      </c>
      <c r="E10772" s="8">
        <v>0</v>
      </c>
      <c r="F10772" s="8">
        <v>0</v>
      </c>
      <c r="G10772" s="8">
        <v>12</v>
      </c>
      <c r="H10772" s="8" t="s">
        <v>21864</v>
      </c>
      <c r="I10772" s="8">
        <v>528.375</v>
      </c>
      <c r="J10772" s="3">
        <f t="shared" si="168"/>
        <v>43748.269218692127</v>
      </c>
    </row>
    <row r="10773" spans="1:10" x14ac:dyDescent="0.25">
      <c r="A10773" s="5" t="s">
        <v>21865</v>
      </c>
      <c r="B10773" s="6">
        <v>396.875</v>
      </c>
      <c r="C10773" s="6">
        <v>20.478950000000001</v>
      </c>
      <c r="D10773" s="6">
        <v>106</v>
      </c>
      <c r="E10773" s="6">
        <v>0</v>
      </c>
      <c r="F10773" s="6">
        <v>0</v>
      </c>
      <c r="G10773" s="6">
        <v>0</v>
      </c>
      <c r="H10773" s="6" t="s">
        <v>21866</v>
      </c>
      <c r="I10773" s="6">
        <v>527.4375</v>
      </c>
      <c r="J10773" s="2">
        <f t="shared" si="168"/>
        <v>43748.269290115735</v>
      </c>
    </row>
    <row r="10774" spans="1:10" x14ac:dyDescent="0.25">
      <c r="A10774" s="7" t="s">
        <v>21867</v>
      </c>
      <c r="B10774" s="8">
        <v>396.875</v>
      </c>
      <c r="C10774" s="8">
        <v>20.478950000000001</v>
      </c>
      <c r="D10774" s="8">
        <v>106</v>
      </c>
      <c r="E10774" s="8">
        <v>0</v>
      </c>
      <c r="F10774" s="8">
        <v>0</v>
      </c>
      <c r="G10774" s="8">
        <v>0</v>
      </c>
      <c r="H10774" s="8" t="s">
        <v>21868</v>
      </c>
      <c r="I10774" s="8">
        <v>527.4375</v>
      </c>
      <c r="J10774" s="3">
        <f t="shared" si="168"/>
        <v>43748.269361469902</v>
      </c>
    </row>
    <row r="10775" spans="1:10" x14ac:dyDescent="0.25">
      <c r="A10775" s="5" t="s">
        <v>21869</v>
      </c>
      <c r="B10775" s="6">
        <v>400</v>
      </c>
      <c r="C10775" s="6">
        <v>20.478950000000001</v>
      </c>
      <c r="D10775" s="6">
        <v>103</v>
      </c>
      <c r="E10775" s="6">
        <v>0</v>
      </c>
      <c r="F10775" s="6">
        <v>0</v>
      </c>
      <c r="G10775" s="6">
        <v>6</v>
      </c>
      <c r="H10775" s="6" t="s">
        <v>21870</v>
      </c>
      <c r="I10775" s="6">
        <v>528.375</v>
      </c>
      <c r="J10775" s="2">
        <f t="shared" si="168"/>
        <v>43748.269432777779</v>
      </c>
    </row>
    <row r="10776" spans="1:10" x14ac:dyDescent="0.25">
      <c r="A10776" s="7" t="s">
        <v>21871</v>
      </c>
      <c r="B10776" s="8">
        <v>415.625</v>
      </c>
      <c r="C10776" s="8">
        <v>20.478950000000001</v>
      </c>
      <c r="D10776" s="8">
        <v>102</v>
      </c>
      <c r="E10776" s="8">
        <v>0</v>
      </c>
      <c r="F10776" s="8">
        <v>0</v>
      </c>
      <c r="G10776" s="8">
        <v>9</v>
      </c>
      <c r="H10776" s="8" t="s">
        <v>21872</v>
      </c>
      <c r="I10776" s="8">
        <v>533.8125</v>
      </c>
      <c r="J10776" s="3">
        <f t="shared" si="168"/>
        <v>43748.26950509259</v>
      </c>
    </row>
    <row r="10777" spans="1:10" x14ac:dyDescent="0.25">
      <c r="A10777" s="5" t="s">
        <v>21873</v>
      </c>
      <c r="B10777" s="6">
        <v>403.125</v>
      </c>
      <c r="C10777" s="6">
        <v>20.478950000000001</v>
      </c>
      <c r="D10777" s="6">
        <v>102</v>
      </c>
      <c r="E10777" s="6">
        <v>0</v>
      </c>
      <c r="F10777" s="6">
        <v>0</v>
      </c>
      <c r="G10777" s="6">
        <v>11</v>
      </c>
      <c r="H10777" s="6" t="s">
        <v>21874</v>
      </c>
      <c r="I10777" s="6">
        <v>529.875</v>
      </c>
      <c r="J10777" s="2">
        <f t="shared" si="168"/>
        <v>43748.269576284722</v>
      </c>
    </row>
    <row r="10778" spans="1:10" x14ac:dyDescent="0.25">
      <c r="A10778" s="7" t="s">
        <v>21875</v>
      </c>
      <c r="B10778" s="8">
        <v>403.125</v>
      </c>
      <c r="C10778" s="8">
        <v>20.478950000000001</v>
      </c>
      <c r="D10778" s="8">
        <v>103</v>
      </c>
      <c r="E10778" s="8">
        <v>0</v>
      </c>
      <c r="F10778" s="8">
        <v>0</v>
      </c>
      <c r="G10778" s="8">
        <v>3</v>
      </c>
      <c r="H10778" s="8" t="s">
        <v>21876</v>
      </c>
      <c r="I10778" s="8">
        <v>529.875</v>
      </c>
      <c r="J10778" s="3">
        <f t="shared" si="168"/>
        <v>43748.269647569447</v>
      </c>
    </row>
    <row r="10779" spans="1:10" x14ac:dyDescent="0.25">
      <c r="A10779" s="5" t="s">
        <v>21877</v>
      </c>
      <c r="B10779" s="6">
        <v>403.125</v>
      </c>
      <c r="C10779" s="6">
        <v>20.478950000000001</v>
      </c>
      <c r="D10779" s="6">
        <v>103</v>
      </c>
      <c r="E10779" s="6">
        <v>0</v>
      </c>
      <c r="F10779" s="6">
        <v>0</v>
      </c>
      <c r="G10779" s="6">
        <v>0</v>
      </c>
      <c r="H10779" s="6" t="s">
        <v>21878</v>
      </c>
      <c r="I10779" s="6">
        <v>529.6875</v>
      </c>
      <c r="J10779" s="2">
        <f t="shared" si="168"/>
        <v>43748.269718877309</v>
      </c>
    </row>
    <row r="10780" spans="1:10" x14ac:dyDescent="0.25">
      <c r="A10780" s="7" t="s">
        <v>21879</v>
      </c>
      <c r="B10780" s="8">
        <v>431.25</v>
      </c>
      <c r="C10780" s="8">
        <v>20.478950000000001</v>
      </c>
      <c r="D10780" s="8">
        <v>105</v>
      </c>
      <c r="E10780" s="8">
        <v>0</v>
      </c>
      <c r="F10780" s="8">
        <v>0</v>
      </c>
      <c r="G10780" s="8">
        <v>7</v>
      </c>
      <c r="H10780" s="8" t="s">
        <v>21880</v>
      </c>
      <c r="I10780" s="8">
        <v>538.125</v>
      </c>
      <c r="J10780" s="3">
        <f t="shared" si="168"/>
        <v>43748.269791087958</v>
      </c>
    </row>
    <row r="10781" spans="1:10" x14ac:dyDescent="0.25">
      <c r="A10781" s="5" t="s">
        <v>21881</v>
      </c>
      <c r="B10781" s="6">
        <v>403.125</v>
      </c>
      <c r="C10781" s="6">
        <v>20.478950000000001</v>
      </c>
      <c r="D10781" s="6">
        <v>108</v>
      </c>
      <c r="E10781" s="6">
        <v>0</v>
      </c>
      <c r="F10781" s="6">
        <v>0</v>
      </c>
      <c r="G10781" s="6">
        <v>4</v>
      </c>
      <c r="H10781" s="6" t="s">
        <v>21882</v>
      </c>
      <c r="I10781" s="6">
        <v>529.125</v>
      </c>
      <c r="J10781" s="2">
        <f t="shared" si="168"/>
        <v>43748.269862326386</v>
      </c>
    </row>
    <row r="10782" spans="1:10" x14ac:dyDescent="0.25">
      <c r="A10782" s="7" t="s">
        <v>21883</v>
      </c>
      <c r="B10782" s="8">
        <v>400</v>
      </c>
      <c r="C10782" s="8">
        <v>20.478950000000001</v>
      </c>
      <c r="D10782" s="8">
        <v>108</v>
      </c>
      <c r="E10782" s="8">
        <v>0</v>
      </c>
      <c r="F10782" s="8">
        <v>0</v>
      </c>
      <c r="G10782" s="8">
        <v>12</v>
      </c>
      <c r="H10782" s="8" t="s">
        <v>21884</v>
      </c>
      <c r="I10782" s="8">
        <v>528.9375</v>
      </c>
      <c r="J10782" s="3">
        <f t="shared" si="168"/>
        <v>43748.269933680553</v>
      </c>
    </row>
    <row r="10783" spans="1:10" x14ac:dyDescent="0.25">
      <c r="A10783" s="5" t="s">
        <v>21885</v>
      </c>
      <c r="B10783" s="6">
        <v>403.125</v>
      </c>
      <c r="C10783" s="6">
        <v>20.478950000000001</v>
      </c>
      <c r="D10783" s="6">
        <v>108</v>
      </c>
      <c r="E10783" s="6">
        <v>0</v>
      </c>
      <c r="F10783" s="6">
        <v>0</v>
      </c>
      <c r="G10783" s="6">
        <v>10</v>
      </c>
      <c r="H10783" s="6" t="s">
        <v>21886</v>
      </c>
      <c r="I10783" s="6">
        <v>529.125</v>
      </c>
      <c r="J10783" s="2">
        <f t="shared" si="168"/>
        <v>43748.270005104168</v>
      </c>
    </row>
    <row r="10784" spans="1:10" x14ac:dyDescent="0.25">
      <c r="A10784" s="7" t="s">
        <v>21887</v>
      </c>
      <c r="B10784" s="8">
        <v>400</v>
      </c>
      <c r="C10784" s="8">
        <v>20.478950000000001</v>
      </c>
      <c r="D10784" s="8">
        <v>104</v>
      </c>
      <c r="E10784" s="8">
        <v>0</v>
      </c>
      <c r="F10784" s="8">
        <v>0</v>
      </c>
      <c r="G10784" s="8">
        <v>8</v>
      </c>
      <c r="H10784" s="8" t="s">
        <v>21888</v>
      </c>
      <c r="I10784" s="8">
        <v>528.375</v>
      </c>
      <c r="J10784" s="3">
        <f t="shared" si="168"/>
        <v>43748.270077210647</v>
      </c>
    </row>
    <row r="10785" spans="1:10" x14ac:dyDescent="0.25">
      <c r="A10785" s="5" t="s">
        <v>21889</v>
      </c>
      <c r="B10785" s="6">
        <v>400</v>
      </c>
      <c r="C10785" s="6">
        <v>20.478950000000001</v>
      </c>
      <c r="D10785" s="6">
        <v>103</v>
      </c>
      <c r="E10785" s="6">
        <v>0</v>
      </c>
      <c r="F10785" s="6">
        <v>0</v>
      </c>
      <c r="G10785" s="6">
        <v>4</v>
      </c>
      <c r="H10785" s="6" t="s">
        <v>21890</v>
      </c>
      <c r="I10785" s="6">
        <v>528.1875</v>
      </c>
      <c r="J10785" s="2">
        <f t="shared" si="168"/>
        <v>43748.270148495365</v>
      </c>
    </row>
    <row r="10786" spans="1:10" x14ac:dyDescent="0.25">
      <c r="A10786" s="7" t="s">
        <v>21891</v>
      </c>
      <c r="B10786" s="8">
        <v>400</v>
      </c>
      <c r="C10786" s="8">
        <v>20.478950000000001</v>
      </c>
      <c r="D10786" s="8">
        <v>104</v>
      </c>
      <c r="E10786" s="8">
        <v>0</v>
      </c>
      <c r="F10786" s="8">
        <v>0</v>
      </c>
      <c r="G10786" s="8">
        <v>1</v>
      </c>
      <c r="H10786" s="8" t="s">
        <v>21892</v>
      </c>
      <c r="I10786" s="8">
        <v>528.1875</v>
      </c>
      <c r="J10786" s="3">
        <f t="shared" si="168"/>
        <v>43748.270219745369</v>
      </c>
    </row>
    <row r="10787" spans="1:10" x14ac:dyDescent="0.25">
      <c r="A10787" s="5" t="s">
        <v>21893</v>
      </c>
      <c r="B10787" s="6">
        <v>400</v>
      </c>
      <c r="C10787" s="6">
        <v>20.478950000000001</v>
      </c>
      <c r="D10787" s="6">
        <v>104</v>
      </c>
      <c r="E10787" s="6">
        <v>0</v>
      </c>
      <c r="F10787" s="6">
        <v>0</v>
      </c>
      <c r="G10787" s="6">
        <v>6</v>
      </c>
      <c r="H10787" s="6" t="s">
        <v>21894</v>
      </c>
      <c r="I10787" s="6">
        <v>528.1875</v>
      </c>
      <c r="J10787" s="2">
        <f t="shared" si="168"/>
        <v>43748.27029202546</v>
      </c>
    </row>
    <row r="10788" spans="1:10" x14ac:dyDescent="0.25">
      <c r="A10788" s="7" t="s">
        <v>21895</v>
      </c>
      <c r="B10788" s="8">
        <v>403.125</v>
      </c>
      <c r="C10788" s="8">
        <v>20.478950000000001</v>
      </c>
      <c r="D10788" s="8">
        <v>104</v>
      </c>
      <c r="E10788" s="8">
        <v>0</v>
      </c>
      <c r="F10788" s="8">
        <v>0</v>
      </c>
      <c r="G10788" s="8">
        <v>8</v>
      </c>
      <c r="H10788" s="8" t="s">
        <v>21896</v>
      </c>
      <c r="I10788" s="8">
        <v>529.125</v>
      </c>
      <c r="J10788" s="3">
        <f t="shared" si="168"/>
        <v>43748.270363321753</v>
      </c>
    </row>
    <row r="10789" spans="1:10" x14ac:dyDescent="0.25">
      <c r="A10789" s="5" t="s">
        <v>21897</v>
      </c>
      <c r="B10789" s="6">
        <v>400</v>
      </c>
      <c r="C10789" s="6">
        <v>20.478950000000001</v>
      </c>
      <c r="D10789" s="6">
        <v>103</v>
      </c>
      <c r="E10789" s="6">
        <v>0</v>
      </c>
      <c r="F10789" s="6">
        <v>0</v>
      </c>
      <c r="G10789" s="6">
        <v>8</v>
      </c>
      <c r="H10789" s="6" t="s">
        <v>21898</v>
      </c>
      <c r="I10789" s="6">
        <v>528.1875</v>
      </c>
      <c r="J10789" s="2">
        <f t="shared" si="168"/>
        <v>43748.270458738429</v>
      </c>
    </row>
    <row r="10790" spans="1:10" x14ac:dyDescent="0.25">
      <c r="A10790" s="7" t="s">
        <v>21899</v>
      </c>
      <c r="B10790" s="8">
        <v>400</v>
      </c>
      <c r="C10790" s="8">
        <v>20.426300000000001</v>
      </c>
      <c r="D10790" s="8">
        <v>103</v>
      </c>
      <c r="E10790" s="8">
        <v>0</v>
      </c>
      <c r="F10790" s="8">
        <v>0</v>
      </c>
      <c r="G10790" s="8">
        <v>2</v>
      </c>
      <c r="H10790" s="8" t="s">
        <v>21900</v>
      </c>
      <c r="I10790" s="8">
        <v>528.1875</v>
      </c>
      <c r="J10790" s="3">
        <f t="shared" si="168"/>
        <v>43748.270530000002</v>
      </c>
    </row>
    <row r="10791" spans="1:10" x14ac:dyDescent="0.25">
      <c r="A10791" s="5" t="s">
        <v>21901</v>
      </c>
      <c r="B10791" s="6">
        <v>396.875</v>
      </c>
      <c r="C10791" s="6">
        <v>20.478950000000001</v>
      </c>
      <c r="D10791" s="6">
        <v>103</v>
      </c>
      <c r="E10791" s="6">
        <v>0</v>
      </c>
      <c r="F10791" s="6">
        <v>0</v>
      </c>
      <c r="G10791" s="6">
        <v>7</v>
      </c>
      <c r="H10791" s="6" t="s">
        <v>21902</v>
      </c>
      <c r="I10791" s="6">
        <v>527.4375</v>
      </c>
      <c r="J10791" s="2">
        <f t="shared" si="168"/>
        <v>43748.270613310182</v>
      </c>
    </row>
    <row r="10792" spans="1:10" x14ac:dyDescent="0.25">
      <c r="A10792" s="7" t="s">
        <v>21903</v>
      </c>
      <c r="B10792" s="8">
        <v>393.75</v>
      </c>
      <c r="C10792" s="8">
        <v>20.478950000000001</v>
      </c>
      <c r="D10792" s="8">
        <v>104</v>
      </c>
      <c r="E10792" s="8">
        <v>0</v>
      </c>
      <c r="F10792" s="8">
        <v>0</v>
      </c>
      <c r="G10792" s="8">
        <v>0</v>
      </c>
      <c r="H10792" s="8" t="s">
        <v>21904</v>
      </c>
      <c r="I10792" s="8">
        <v>526.6875</v>
      </c>
      <c r="J10792" s="3">
        <f t="shared" si="168"/>
        <v>43748.270685370364</v>
      </c>
    </row>
    <row r="10793" spans="1:10" x14ac:dyDescent="0.25">
      <c r="A10793" s="5" t="s">
        <v>21905</v>
      </c>
      <c r="B10793" s="6">
        <v>393.75</v>
      </c>
      <c r="C10793" s="6">
        <v>20.426300000000001</v>
      </c>
      <c r="D10793" s="6">
        <v>104</v>
      </c>
      <c r="E10793" s="6">
        <v>0</v>
      </c>
      <c r="F10793" s="6">
        <v>0</v>
      </c>
      <c r="G10793" s="6">
        <v>6</v>
      </c>
      <c r="H10793" s="6" t="s">
        <v>21906</v>
      </c>
      <c r="I10793" s="6">
        <v>526.6875</v>
      </c>
      <c r="J10793" s="2">
        <f t="shared" si="168"/>
        <v>43748.270756782404</v>
      </c>
    </row>
    <row r="10794" spans="1:10" x14ac:dyDescent="0.25">
      <c r="A10794" s="7" t="s">
        <v>21907</v>
      </c>
      <c r="B10794" s="8">
        <v>393.75</v>
      </c>
      <c r="C10794" s="8">
        <v>20.478950000000001</v>
      </c>
      <c r="D10794" s="8">
        <v>104</v>
      </c>
      <c r="E10794" s="8">
        <v>0</v>
      </c>
      <c r="F10794" s="8">
        <v>0</v>
      </c>
      <c r="G10794" s="8">
        <v>9</v>
      </c>
      <c r="H10794" s="8" t="s">
        <v>21908</v>
      </c>
      <c r="I10794" s="8">
        <v>526.6875</v>
      </c>
      <c r="J10794" s="3">
        <f t="shared" si="168"/>
        <v>43748.270828159722</v>
      </c>
    </row>
    <row r="10795" spans="1:10" x14ac:dyDescent="0.25">
      <c r="A10795" s="5" t="s">
        <v>21909</v>
      </c>
      <c r="B10795" s="6">
        <v>412.5</v>
      </c>
      <c r="C10795" s="6">
        <v>20.426300000000001</v>
      </c>
      <c r="D10795" s="6">
        <v>105</v>
      </c>
      <c r="E10795" s="6">
        <v>0</v>
      </c>
      <c r="F10795" s="6">
        <v>0</v>
      </c>
      <c r="G10795" s="6">
        <v>0</v>
      </c>
      <c r="H10795" s="6" t="s">
        <v>21910</v>
      </c>
      <c r="I10795" s="6">
        <v>532.3125</v>
      </c>
      <c r="J10795" s="2">
        <f t="shared" si="168"/>
        <v>43748.270899421295</v>
      </c>
    </row>
    <row r="10796" spans="1:10" x14ac:dyDescent="0.25">
      <c r="A10796" s="7" t="s">
        <v>21911</v>
      </c>
      <c r="B10796" s="8">
        <v>393.75</v>
      </c>
      <c r="C10796" s="8">
        <v>20.478950000000001</v>
      </c>
      <c r="D10796" s="8">
        <v>105</v>
      </c>
      <c r="E10796" s="8">
        <v>0</v>
      </c>
      <c r="F10796" s="8">
        <v>0</v>
      </c>
      <c r="G10796" s="8">
        <v>13</v>
      </c>
      <c r="H10796" s="8" t="s">
        <v>21912</v>
      </c>
      <c r="I10796" s="8">
        <v>526.6875</v>
      </c>
      <c r="J10796" s="3">
        <f t="shared" si="168"/>
        <v>43748.270971643513</v>
      </c>
    </row>
    <row r="10797" spans="1:10" x14ac:dyDescent="0.25">
      <c r="A10797" s="5" t="s">
        <v>21913</v>
      </c>
      <c r="B10797" s="6">
        <v>393.75</v>
      </c>
      <c r="C10797" s="6">
        <v>20.478950000000001</v>
      </c>
      <c r="D10797" s="6">
        <v>105</v>
      </c>
      <c r="E10797" s="6">
        <v>0</v>
      </c>
      <c r="F10797" s="6">
        <v>0</v>
      </c>
      <c r="G10797" s="6">
        <v>4</v>
      </c>
      <c r="H10797" s="6" t="s">
        <v>21914</v>
      </c>
      <c r="I10797" s="6">
        <v>526.5</v>
      </c>
      <c r="J10797" s="2">
        <f t="shared" si="168"/>
        <v>43748.271042939814</v>
      </c>
    </row>
    <row r="10798" spans="1:10" x14ac:dyDescent="0.25">
      <c r="A10798" s="7" t="s">
        <v>21915</v>
      </c>
      <c r="B10798" s="8">
        <v>393.75</v>
      </c>
      <c r="C10798" s="8">
        <v>20.478950000000001</v>
      </c>
      <c r="D10798" s="8">
        <v>105</v>
      </c>
      <c r="E10798" s="8">
        <v>0</v>
      </c>
      <c r="F10798" s="8">
        <v>0</v>
      </c>
      <c r="G10798" s="8">
        <v>7</v>
      </c>
      <c r="H10798" s="8" t="s">
        <v>21916</v>
      </c>
      <c r="I10798" s="8">
        <v>526.5</v>
      </c>
      <c r="J10798" s="3">
        <f t="shared" si="168"/>
        <v>43748.271114236108</v>
      </c>
    </row>
    <row r="10799" spans="1:10" x14ac:dyDescent="0.25">
      <c r="A10799" s="5" t="s">
        <v>21917</v>
      </c>
      <c r="B10799" s="6">
        <v>393.75</v>
      </c>
      <c r="C10799" s="6">
        <v>20.478950000000001</v>
      </c>
      <c r="D10799" s="6">
        <v>105</v>
      </c>
      <c r="E10799" s="6">
        <v>0</v>
      </c>
      <c r="F10799" s="6">
        <v>0</v>
      </c>
      <c r="G10799" s="6">
        <v>6</v>
      </c>
      <c r="H10799" s="6" t="s">
        <v>21918</v>
      </c>
      <c r="I10799" s="6">
        <v>526.5</v>
      </c>
      <c r="J10799" s="2">
        <f t="shared" si="168"/>
        <v>43748.271185543977</v>
      </c>
    </row>
    <row r="10800" spans="1:10" x14ac:dyDescent="0.25">
      <c r="A10800" s="7" t="s">
        <v>21919</v>
      </c>
      <c r="B10800" s="8">
        <v>396.875</v>
      </c>
      <c r="C10800" s="8">
        <v>20.426300000000001</v>
      </c>
      <c r="D10800" s="8">
        <v>105</v>
      </c>
      <c r="E10800" s="8">
        <v>0</v>
      </c>
      <c r="F10800" s="8">
        <v>0</v>
      </c>
      <c r="G10800" s="8">
        <v>7</v>
      </c>
      <c r="H10800" s="8" t="s">
        <v>21920</v>
      </c>
      <c r="I10800" s="8">
        <v>527.4375</v>
      </c>
      <c r="J10800" s="3">
        <f t="shared" si="168"/>
        <v>43748.271257754626</v>
      </c>
    </row>
    <row r="10801" spans="1:10" x14ac:dyDescent="0.25">
      <c r="A10801" s="5" t="s">
        <v>21921</v>
      </c>
      <c r="B10801" s="6">
        <v>396.875</v>
      </c>
      <c r="C10801" s="6">
        <v>20.478950000000001</v>
      </c>
      <c r="D10801" s="6">
        <v>104</v>
      </c>
      <c r="E10801" s="6">
        <v>0</v>
      </c>
      <c r="F10801" s="6">
        <v>0</v>
      </c>
      <c r="G10801" s="6">
        <v>10</v>
      </c>
      <c r="H10801" s="6" t="s">
        <v>21922</v>
      </c>
      <c r="I10801" s="6">
        <v>527.4375</v>
      </c>
      <c r="J10801" s="2">
        <f t="shared" si="168"/>
        <v>43748.27132905092</v>
      </c>
    </row>
    <row r="10802" spans="1:10" x14ac:dyDescent="0.25">
      <c r="A10802" s="7" t="s">
        <v>21923</v>
      </c>
      <c r="B10802" s="8">
        <v>396.875</v>
      </c>
      <c r="C10802" s="8">
        <v>20.478950000000001</v>
      </c>
      <c r="D10802" s="8">
        <v>103</v>
      </c>
      <c r="E10802" s="8">
        <v>0</v>
      </c>
      <c r="F10802" s="8">
        <v>0</v>
      </c>
      <c r="G10802" s="8">
        <v>12</v>
      </c>
      <c r="H10802" s="8" t="s">
        <v>21924</v>
      </c>
      <c r="I10802" s="8">
        <v>527.4375</v>
      </c>
      <c r="J10802" s="3">
        <f t="shared" si="168"/>
        <v>43748.271400347221</v>
      </c>
    </row>
    <row r="10803" spans="1:10" x14ac:dyDescent="0.25">
      <c r="A10803" s="5" t="s">
        <v>21925</v>
      </c>
      <c r="B10803" s="6">
        <v>396.875</v>
      </c>
      <c r="C10803" s="6">
        <v>20.426300000000001</v>
      </c>
      <c r="D10803" s="6">
        <v>103</v>
      </c>
      <c r="E10803" s="6">
        <v>0</v>
      </c>
      <c r="F10803" s="6">
        <v>0</v>
      </c>
      <c r="G10803" s="6">
        <v>0</v>
      </c>
      <c r="H10803" s="6" t="s">
        <v>21926</v>
      </c>
      <c r="I10803" s="6">
        <v>527.4375</v>
      </c>
      <c r="J10803" s="2">
        <f t="shared" si="168"/>
        <v>43748.27147177083</v>
      </c>
    </row>
    <row r="10804" spans="1:10" x14ac:dyDescent="0.25">
      <c r="A10804" s="7" t="s">
        <v>21927</v>
      </c>
      <c r="B10804" s="8">
        <v>396.875</v>
      </c>
      <c r="C10804" s="8">
        <v>20.426300000000001</v>
      </c>
      <c r="D10804" s="8">
        <v>104</v>
      </c>
      <c r="E10804" s="8">
        <v>0</v>
      </c>
      <c r="F10804" s="8">
        <v>0</v>
      </c>
      <c r="G10804" s="8">
        <v>1</v>
      </c>
      <c r="H10804" s="8" t="s">
        <v>21928</v>
      </c>
      <c r="I10804" s="8">
        <v>527.4375</v>
      </c>
      <c r="J10804" s="3">
        <f t="shared" si="168"/>
        <v>43748.271543912029</v>
      </c>
    </row>
    <row r="10805" spans="1:10" x14ac:dyDescent="0.25">
      <c r="A10805" s="5" t="s">
        <v>21929</v>
      </c>
      <c r="B10805" s="6">
        <v>396.875</v>
      </c>
      <c r="C10805" s="6">
        <v>20.478950000000001</v>
      </c>
      <c r="D10805" s="6">
        <v>104</v>
      </c>
      <c r="E10805" s="6">
        <v>0</v>
      </c>
      <c r="F10805" s="6">
        <v>0</v>
      </c>
      <c r="G10805" s="6">
        <v>5</v>
      </c>
      <c r="H10805" s="6" t="s">
        <v>21930</v>
      </c>
      <c r="I10805" s="6">
        <v>527.25</v>
      </c>
      <c r="J10805" s="2">
        <f t="shared" si="168"/>
        <v>43748.271638726852</v>
      </c>
    </row>
    <row r="10806" spans="1:10" x14ac:dyDescent="0.25">
      <c r="A10806" s="7" t="s">
        <v>21931</v>
      </c>
      <c r="B10806" s="8">
        <v>428.125</v>
      </c>
      <c r="C10806" s="8">
        <v>20.426300000000001</v>
      </c>
      <c r="D10806" s="8">
        <v>104</v>
      </c>
      <c r="E10806" s="8">
        <v>0</v>
      </c>
      <c r="F10806" s="8">
        <v>0</v>
      </c>
      <c r="G10806" s="8">
        <v>10</v>
      </c>
      <c r="H10806" s="8" t="s">
        <v>21932</v>
      </c>
      <c r="I10806" s="8">
        <v>537.75</v>
      </c>
      <c r="J10806" s="3">
        <f t="shared" si="168"/>
        <v>43748.271710081019</v>
      </c>
    </row>
    <row r="10807" spans="1:10" x14ac:dyDescent="0.25">
      <c r="A10807" s="5" t="s">
        <v>21933</v>
      </c>
      <c r="B10807" s="6">
        <v>396.875</v>
      </c>
      <c r="C10807" s="6">
        <v>20.478950000000001</v>
      </c>
      <c r="D10807" s="6">
        <v>104</v>
      </c>
      <c r="E10807" s="6">
        <v>0</v>
      </c>
      <c r="F10807" s="6">
        <v>0</v>
      </c>
      <c r="G10807" s="6">
        <v>7</v>
      </c>
      <c r="H10807" s="6" t="s">
        <v>21934</v>
      </c>
      <c r="I10807" s="6">
        <v>527.4375</v>
      </c>
      <c r="J10807" s="2">
        <f t="shared" si="168"/>
        <v>43748.271781956013</v>
      </c>
    </row>
    <row r="10808" spans="1:10" x14ac:dyDescent="0.25">
      <c r="A10808" s="7" t="s">
        <v>21935</v>
      </c>
      <c r="B10808" s="8">
        <v>396.875</v>
      </c>
      <c r="C10808" s="8">
        <v>20.478950000000001</v>
      </c>
      <c r="D10808" s="8">
        <v>104</v>
      </c>
      <c r="E10808" s="8">
        <v>0</v>
      </c>
      <c r="F10808" s="8">
        <v>0</v>
      </c>
      <c r="G10808" s="8">
        <v>6</v>
      </c>
      <c r="H10808" s="8" t="s">
        <v>21936</v>
      </c>
      <c r="I10808" s="8">
        <v>527.4375</v>
      </c>
      <c r="J10808" s="3">
        <f t="shared" si="168"/>
        <v>43748.271854050923</v>
      </c>
    </row>
    <row r="10809" spans="1:10" x14ac:dyDescent="0.25">
      <c r="A10809" s="5" t="s">
        <v>21937</v>
      </c>
      <c r="B10809" s="6">
        <v>396.875</v>
      </c>
      <c r="C10809" s="6">
        <v>20.426300000000001</v>
      </c>
      <c r="D10809" s="6">
        <v>104</v>
      </c>
      <c r="E10809" s="6">
        <v>0</v>
      </c>
      <c r="F10809" s="6">
        <v>0</v>
      </c>
      <c r="G10809" s="6">
        <v>14</v>
      </c>
      <c r="H10809" s="6" t="s">
        <v>21938</v>
      </c>
      <c r="I10809" s="6">
        <v>527.4375</v>
      </c>
      <c r="J10809" s="2">
        <f t="shared" si="168"/>
        <v>43748.27193751157</v>
      </c>
    </row>
    <row r="10810" spans="1:10" x14ac:dyDescent="0.25">
      <c r="A10810" s="7" t="s">
        <v>21939</v>
      </c>
      <c r="B10810" s="8">
        <v>396.875</v>
      </c>
      <c r="C10810" s="8">
        <v>20.426300000000001</v>
      </c>
      <c r="D10810" s="8">
        <v>104</v>
      </c>
      <c r="E10810" s="8">
        <v>0</v>
      </c>
      <c r="F10810" s="8">
        <v>0</v>
      </c>
      <c r="G10810" s="8">
        <v>7</v>
      </c>
      <c r="H10810" s="8" t="s">
        <v>21940</v>
      </c>
      <c r="I10810" s="8">
        <v>527.4375</v>
      </c>
      <c r="J10810" s="3">
        <f t="shared" si="168"/>
        <v>43748.272008749998</v>
      </c>
    </row>
    <row r="10811" spans="1:10" x14ac:dyDescent="0.25">
      <c r="A10811" s="5" t="s">
        <v>21941</v>
      </c>
      <c r="B10811" s="6">
        <v>396.875</v>
      </c>
      <c r="C10811" s="6">
        <v>20.478950000000001</v>
      </c>
      <c r="D10811" s="6">
        <v>104</v>
      </c>
      <c r="E10811" s="6">
        <v>0</v>
      </c>
      <c r="F10811" s="6">
        <v>0</v>
      </c>
      <c r="G10811" s="6">
        <v>9</v>
      </c>
      <c r="H10811" s="6" t="s">
        <v>21942</v>
      </c>
      <c r="I10811" s="6">
        <v>527.4375</v>
      </c>
      <c r="J10811" s="2">
        <f t="shared" si="168"/>
        <v>43748.272079988419</v>
      </c>
    </row>
    <row r="10812" spans="1:10" x14ac:dyDescent="0.25">
      <c r="A10812" s="7" t="s">
        <v>21943</v>
      </c>
      <c r="B10812" s="8">
        <v>396.875</v>
      </c>
      <c r="C10812" s="8">
        <v>20.426300000000001</v>
      </c>
      <c r="D10812" s="8">
        <v>105</v>
      </c>
      <c r="E10812" s="8">
        <v>0</v>
      </c>
      <c r="F10812" s="8">
        <v>0</v>
      </c>
      <c r="G10812" s="8">
        <v>6</v>
      </c>
      <c r="H10812" s="8" t="s">
        <v>21944</v>
      </c>
      <c r="I10812" s="8">
        <v>527.4375</v>
      </c>
      <c r="J10812" s="3">
        <f t="shared" si="168"/>
        <v>43748.272152094905</v>
      </c>
    </row>
    <row r="10813" spans="1:10" x14ac:dyDescent="0.25">
      <c r="A10813" s="5" t="s">
        <v>21945</v>
      </c>
      <c r="B10813" s="6">
        <v>396.875</v>
      </c>
      <c r="C10813" s="6">
        <v>20.478950000000001</v>
      </c>
      <c r="D10813" s="6">
        <v>105</v>
      </c>
      <c r="E10813" s="6">
        <v>0</v>
      </c>
      <c r="F10813" s="6">
        <v>0</v>
      </c>
      <c r="G10813" s="6">
        <v>9</v>
      </c>
      <c r="H10813" s="6" t="s">
        <v>21946</v>
      </c>
      <c r="I10813" s="6">
        <v>527.4375</v>
      </c>
      <c r="J10813" s="2">
        <f t="shared" si="168"/>
        <v>43748.272222673608</v>
      </c>
    </row>
    <row r="10814" spans="1:10" x14ac:dyDescent="0.25">
      <c r="A10814" s="7" t="s">
        <v>21947</v>
      </c>
      <c r="B10814" s="8">
        <v>415.625</v>
      </c>
      <c r="C10814" s="8">
        <v>20.478950000000001</v>
      </c>
      <c r="D10814" s="8">
        <v>105</v>
      </c>
      <c r="E10814" s="8">
        <v>0</v>
      </c>
      <c r="F10814" s="8">
        <v>0</v>
      </c>
      <c r="G10814" s="8">
        <v>0</v>
      </c>
      <c r="H10814" s="8" t="s">
        <v>21948</v>
      </c>
      <c r="I10814" s="8">
        <v>533.4375</v>
      </c>
      <c r="J10814" s="3">
        <f t="shared" si="168"/>
        <v>43748.272294861112</v>
      </c>
    </row>
    <row r="10815" spans="1:10" x14ac:dyDescent="0.25">
      <c r="A10815" s="5" t="s">
        <v>21949</v>
      </c>
      <c r="B10815" s="6">
        <v>396.875</v>
      </c>
      <c r="C10815" s="6">
        <v>20.426300000000001</v>
      </c>
      <c r="D10815" s="6">
        <v>105</v>
      </c>
      <c r="E10815" s="6">
        <v>0</v>
      </c>
      <c r="F10815" s="6">
        <v>0</v>
      </c>
      <c r="G10815" s="6">
        <v>6</v>
      </c>
      <c r="H10815" s="6" t="s">
        <v>21950</v>
      </c>
      <c r="I10815" s="6">
        <v>527.4375</v>
      </c>
      <c r="J10815" s="2">
        <f t="shared" si="168"/>
        <v>43748.272378194444</v>
      </c>
    </row>
    <row r="10816" spans="1:10" x14ac:dyDescent="0.25">
      <c r="A10816" s="7" t="s">
        <v>21951</v>
      </c>
      <c r="B10816" s="8">
        <v>396.875</v>
      </c>
      <c r="C10816" s="8">
        <v>20.426300000000001</v>
      </c>
      <c r="D10816" s="8">
        <v>104</v>
      </c>
      <c r="E10816" s="8">
        <v>0</v>
      </c>
      <c r="F10816" s="8">
        <v>0</v>
      </c>
      <c r="G10816" s="8">
        <v>8</v>
      </c>
      <c r="H10816" s="8" t="s">
        <v>21952</v>
      </c>
      <c r="I10816" s="8">
        <v>527.4375</v>
      </c>
      <c r="J10816" s="3">
        <f t="shared" si="168"/>
        <v>43748.272450243057</v>
      </c>
    </row>
    <row r="10817" spans="1:10" x14ac:dyDescent="0.25">
      <c r="A10817" s="5" t="s">
        <v>21953</v>
      </c>
      <c r="B10817" s="6">
        <v>396.875</v>
      </c>
      <c r="C10817" s="6">
        <v>20.478950000000001</v>
      </c>
      <c r="D10817" s="6">
        <v>104</v>
      </c>
      <c r="E10817" s="6">
        <v>0</v>
      </c>
      <c r="F10817" s="6">
        <v>0</v>
      </c>
      <c r="G10817" s="6">
        <v>5</v>
      </c>
      <c r="H10817" s="6" t="s">
        <v>21954</v>
      </c>
      <c r="I10817" s="6">
        <v>527.4375</v>
      </c>
      <c r="J10817" s="2">
        <f t="shared" si="168"/>
        <v>43748.27252165509</v>
      </c>
    </row>
    <row r="10818" spans="1:10" x14ac:dyDescent="0.25">
      <c r="A10818" s="7" t="s">
        <v>21955</v>
      </c>
      <c r="B10818" s="8">
        <v>403.125</v>
      </c>
      <c r="C10818" s="8">
        <v>20.478950000000001</v>
      </c>
      <c r="D10818" s="8">
        <v>105</v>
      </c>
      <c r="E10818" s="8">
        <v>0</v>
      </c>
      <c r="F10818" s="8">
        <v>0</v>
      </c>
      <c r="G10818" s="8">
        <v>2</v>
      </c>
      <c r="H10818" s="8" t="s">
        <v>21956</v>
      </c>
      <c r="I10818" s="8">
        <v>529.125</v>
      </c>
      <c r="J10818" s="3">
        <f t="shared" ref="J10818:J10881" si="169">(H10818/86400000)+25569+(7/24)</f>
        <v>43748.272592881942</v>
      </c>
    </row>
    <row r="10819" spans="1:10" x14ac:dyDescent="0.25">
      <c r="A10819" s="5" t="s">
        <v>21957</v>
      </c>
      <c r="B10819" s="6">
        <v>403.125</v>
      </c>
      <c r="C10819" s="6">
        <v>20.478950000000001</v>
      </c>
      <c r="D10819" s="6">
        <v>105</v>
      </c>
      <c r="E10819" s="6">
        <v>0</v>
      </c>
      <c r="F10819" s="6">
        <v>0</v>
      </c>
      <c r="G10819" s="6">
        <v>15</v>
      </c>
      <c r="H10819" s="6" t="s">
        <v>21958</v>
      </c>
      <c r="I10819" s="6">
        <v>529.125</v>
      </c>
      <c r="J10819" s="2">
        <f t="shared" si="169"/>
        <v>43748.272664293974</v>
      </c>
    </row>
    <row r="10820" spans="1:10" x14ac:dyDescent="0.25">
      <c r="A10820" s="7" t="s">
        <v>21959</v>
      </c>
      <c r="B10820" s="8">
        <v>400</v>
      </c>
      <c r="C10820" s="8">
        <v>20.478950000000001</v>
      </c>
      <c r="D10820" s="8">
        <v>104</v>
      </c>
      <c r="E10820" s="8">
        <v>0</v>
      </c>
      <c r="F10820" s="8">
        <v>0</v>
      </c>
      <c r="G10820" s="8">
        <v>12</v>
      </c>
      <c r="H10820" s="8" t="s">
        <v>21960</v>
      </c>
      <c r="I10820" s="8">
        <v>528.9375</v>
      </c>
      <c r="J10820" s="3">
        <f t="shared" si="169"/>
        <v>43748.272736527775</v>
      </c>
    </row>
    <row r="10821" spans="1:10" x14ac:dyDescent="0.25">
      <c r="A10821" s="5" t="s">
        <v>21961</v>
      </c>
      <c r="B10821" s="6">
        <v>403.125</v>
      </c>
      <c r="C10821" s="6">
        <v>20.478950000000001</v>
      </c>
      <c r="D10821" s="6">
        <v>104</v>
      </c>
      <c r="E10821" s="6">
        <v>0</v>
      </c>
      <c r="F10821" s="6">
        <v>0</v>
      </c>
      <c r="G10821" s="6">
        <v>8</v>
      </c>
      <c r="H10821" s="6" t="s">
        <v>21962</v>
      </c>
      <c r="I10821" s="6">
        <v>529.125</v>
      </c>
      <c r="J10821" s="2">
        <f t="shared" si="169"/>
        <v>43748.272807766196</v>
      </c>
    </row>
    <row r="10822" spans="1:10" x14ac:dyDescent="0.25">
      <c r="A10822" s="7" t="s">
        <v>21963</v>
      </c>
      <c r="B10822" s="8">
        <v>403.125</v>
      </c>
      <c r="C10822" s="8">
        <v>20.426300000000001</v>
      </c>
      <c r="D10822" s="8">
        <v>104</v>
      </c>
      <c r="E10822" s="8">
        <v>0</v>
      </c>
      <c r="F10822" s="8">
        <v>0</v>
      </c>
      <c r="G10822" s="8">
        <v>4</v>
      </c>
      <c r="H10822" s="8" t="s">
        <v>21964</v>
      </c>
      <c r="I10822" s="8">
        <v>529.125</v>
      </c>
      <c r="J10822" s="3">
        <f t="shared" si="169"/>
        <v>43748.272890740736</v>
      </c>
    </row>
    <row r="10823" spans="1:10" x14ac:dyDescent="0.25">
      <c r="A10823" s="5" t="s">
        <v>21965</v>
      </c>
      <c r="B10823" s="6">
        <v>403.125</v>
      </c>
      <c r="C10823" s="6">
        <v>20.478950000000001</v>
      </c>
      <c r="D10823" s="6">
        <v>102</v>
      </c>
      <c r="E10823" s="6">
        <v>0</v>
      </c>
      <c r="F10823" s="6">
        <v>0</v>
      </c>
      <c r="G10823" s="6">
        <v>7</v>
      </c>
      <c r="H10823" s="6" t="s">
        <v>21966</v>
      </c>
      <c r="I10823" s="6">
        <v>529.125</v>
      </c>
      <c r="J10823" s="2">
        <f t="shared" si="169"/>
        <v>43748.272962442126</v>
      </c>
    </row>
    <row r="10824" spans="1:10" x14ac:dyDescent="0.25">
      <c r="A10824" s="7" t="s">
        <v>21967</v>
      </c>
      <c r="B10824" s="8">
        <v>400</v>
      </c>
      <c r="C10824" s="8">
        <v>20.478950000000001</v>
      </c>
      <c r="D10824" s="8">
        <v>102</v>
      </c>
      <c r="E10824" s="8">
        <v>0</v>
      </c>
      <c r="F10824" s="8">
        <v>0</v>
      </c>
      <c r="G10824" s="8">
        <v>6</v>
      </c>
      <c r="H10824" s="8" t="s">
        <v>21968</v>
      </c>
      <c r="I10824" s="8">
        <v>528.9375</v>
      </c>
      <c r="J10824" s="3">
        <f t="shared" si="169"/>
        <v>43748.27303373842</v>
      </c>
    </row>
    <row r="10825" spans="1:10" x14ac:dyDescent="0.25">
      <c r="A10825" s="5" t="s">
        <v>21969</v>
      </c>
      <c r="B10825" s="6">
        <v>400</v>
      </c>
      <c r="C10825" s="6">
        <v>20.478950000000001</v>
      </c>
      <c r="D10825" s="6">
        <v>103</v>
      </c>
      <c r="E10825" s="6">
        <v>0</v>
      </c>
      <c r="F10825" s="6">
        <v>0</v>
      </c>
      <c r="G10825" s="6">
        <v>6</v>
      </c>
      <c r="H10825" s="6" t="s">
        <v>21970</v>
      </c>
      <c r="I10825" s="6">
        <v>528.1875</v>
      </c>
      <c r="J10825" s="2">
        <f t="shared" si="169"/>
        <v>43748.273105960645</v>
      </c>
    </row>
    <row r="10826" spans="1:10" x14ac:dyDescent="0.25">
      <c r="A10826" s="7" t="s">
        <v>21971</v>
      </c>
      <c r="B10826" s="8">
        <v>403.125</v>
      </c>
      <c r="C10826" s="8">
        <v>20.478950000000001</v>
      </c>
      <c r="D10826" s="8">
        <v>103</v>
      </c>
      <c r="E10826" s="8">
        <v>0</v>
      </c>
      <c r="F10826" s="8">
        <v>0</v>
      </c>
      <c r="G10826" s="8">
        <v>7</v>
      </c>
      <c r="H10826" s="8" t="s">
        <v>21972</v>
      </c>
      <c r="I10826" s="8">
        <v>529.125</v>
      </c>
      <c r="J10826" s="3">
        <f t="shared" si="169"/>
        <v>43748.273177268515</v>
      </c>
    </row>
    <row r="10827" spans="1:10" x14ac:dyDescent="0.25">
      <c r="A10827" s="5" t="s">
        <v>21973</v>
      </c>
      <c r="B10827" s="6">
        <v>403.125</v>
      </c>
      <c r="C10827" s="6">
        <v>20.478950000000001</v>
      </c>
      <c r="D10827" s="6">
        <v>104</v>
      </c>
      <c r="E10827" s="6">
        <v>0</v>
      </c>
      <c r="F10827" s="6">
        <v>0</v>
      </c>
      <c r="G10827" s="6">
        <v>3</v>
      </c>
      <c r="H10827" s="6" t="s">
        <v>21974</v>
      </c>
      <c r="I10827" s="6">
        <v>529.125</v>
      </c>
      <c r="J10827" s="2">
        <f t="shared" si="169"/>
        <v>43748.273248564808</v>
      </c>
    </row>
    <row r="10828" spans="1:10" x14ac:dyDescent="0.25">
      <c r="A10828" s="7" t="s">
        <v>21975</v>
      </c>
      <c r="B10828" s="8">
        <v>403.125</v>
      </c>
      <c r="C10828" s="8">
        <v>20.478950000000001</v>
      </c>
      <c r="D10828" s="8">
        <v>103</v>
      </c>
      <c r="E10828" s="8">
        <v>0</v>
      </c>
      <c r="F10828" s="8">
        <v>0</v>
      </c>
      <c r="G10828" s="8">
        <v>19</v>
      </c>
      <c r="H10828" s="8" t="s">
        <v>21976</v>
      </c>
      <c r="I10828" s="8">
        <v>529.875</v>
      </c>
      <c r="J10828" s="3">
        <f t="shared" si="169"/>
        <v>43748.273320729168</v>
      </c>
    </row>
    <row r="10829" spans="1:10" x14ac:dyDescent="0.25">
      <c r="A10829" s="5" t="s">
        <v>21977</v>
      </c>
      <c r="B10829" s="6">
        <v>403.125</v>
      </c>
      <c r="C10829" s="6">
        <v>20.478950000000001</v>
      </c>
      <c r="D10829" s="6">
        <v>103</v>
      </c>
      <c r="E10829" s="6">
        <v>0</v>
      </c>
      <c r="F10829" s="6">
        <v>0</v>
      </c>
      <c r="G10829" s="6">
        <v>6</v>
      </c>
      <c r="H10829" s="6" t="s">
        <v>21978</v>
      </c>
      <c r="I10829" s="6">
        <v>529.875</v>
      </c>
      <c r="J10829" s="2">
        <f t="shared" si="169"/>
        <v>43748.273392118055</v>
      </c>
    </row>
    <row r="10830" spans="1:10" x14ac:dyDescent="0.25">
      <c r="A10830" s="7" t="s">
        <v>21979</v>
      </c>
      <c r="B10830" s="8">
        <v>406.25</v>
      </c>
      <c r="C10830" s="8">
        <v>20.478950000000001</v>
      </c>
      <c r="D10830" s="8">
        <v>103</v>
      </c>
      <c r="E10830" s="8">
        <v>0</v>
      </c>
      <c r="F10830" s="8">
        <v>0</v>
      </c>
      <c r="G10830" s="8">
        <v>6</v>
      </c>
      <c r="H10830" s="8" t="s">
        <v>21980</v>
      </c>
      <c r="I10830" s="8">
        <v>530.625</v>
      </c>
      <c r="J10830" s="3">
        <f t="shared" si="169"/>
        <v>43748.273475416667</v>
      </c>
    </row>
    <row r="10831" spans="1:10" x14ac:dyDescent="0.25">
      <c r="A10831" s="5" t="s">
        <v>21981</v>
      </c>
      <c r="B10831" s="6">
        <v>406.25</v>
      </c>
      <c r="C10831" s="6">
        <v>20.478950000000001</v>
      </c>
      <c r="D10831" s="6">
        <v>102</v>
      </c>
      <c r="E10831" s="6">
        <v>0</v>
      </c>
      <c r="F10831" s="6">
        <v>0</v>
      </c>
      <c r="G10831" s="6">
        <v>3</v>
      </c>
      <c r="H10831" s="6" t="s">
        <v>21982</v>
      </c>
      <c r="I10831" s="6">
        <v>530.8125</v>
      </c>
      <c r="J10831" s="2">
        <f t="shared" si="169"/>
        <v>43748.273546712961</v>
      </c>
    </row>
    <row r="10832" spans="1:10" x14ac:dyDescent="0.25">
      <c r="A10832" s="7" t="s">
        <v>21983</v>
      </c>
      <c r="B10832" s="8">
        <v>406.25</v>
      </c>
      <c r="C10832" s="8">
        <v>20.478950000000001</v>
      </c>
      <c r="D10832" s="8">
        <v>102</v>
      </c>
      <c r="E10832" s="8">
        <v>0</v>
      </c>
      <c r="F10832" s="8">
        <v>0</v>
      </c>
      <c r="G10832" s="8">
        <v>2</v>
      </c>
      <c r="H10832" s="8" t="s">
        <v>21984</v>
      </c>
      <c r="I10832" s="8">
        <v>530.625</v>
      </c>
      <c r="J10832" s="3">
        <f t="shared" si="169"/>
        <v>43748.273618935178</v>
      </c>
    </row>
    <row r="10833" spans="1:10" x14ac:dyDescent="0.25">
      <c r="A10833" s="5" t="s">
        <v>21985</v>
      </c>
      <c r="B10833" s="6">
        <v>425</v>
      </c>
      <c r="C10833" s="6">
        <v>20.478950000000001</v>
      </c>
      <c r="D10833" s="6">
        <v>103</v>
      </c>
      <c r="E10833" s="6">
        <v>0</v>
      </c>
      <c r="F10833" s="6">
        <v>0</v>
      </c>
      <c r="G10833" s="6">
        <v>0</v>
      </c>
      <c r="H10833" s="6" t="s">
        <v>21986</v>
      </c>
      <c r="I10833" s="6">
        <v>536.4375</v>
      </c>
      <c r="J10833" s="2">
        <f t="shared" si="169"/>
        <v>43748.273689710644</v>
      </c>
    </row>
    <row r="10834" spans="1:10" x14ac:dyDescent="0.25">
      <c r="A10834" s="7" t="s">
        <v>21987</v>
      </c>
      <c r="B10834" s="8">
        <v>406.25</v>
      </c>
      <c r="C10834" s="8">
        <v>20.426300000000001</v>
      </c>
      <c r="D10834" s="8">
        <v>103</v>
      </c>
      <c r="E10834" s="8">
        <v>0</v>
      </c>
      <c r="F10834" s="8">
        <v>0</v>
      </c>
      <c r="G10834" s="8">
        <v>10</v>
      </c>
      <c r="H10834" s="8" t="s">
        <v>21988</v>
      </c>
      <c r="I10834" s="8">
        <v>530.8125</v>
      </c>
      <c r="J10834" s="3">
        <f t="shared" si="169"/>
        <v>43748.273761469907</v>
      </c>
    </row>
    <row r="10835" spans="1:10" x14ac:dyDescent="0.25">
      <c r="A10835" s="5" t="s">
        <v>21989</v>
      </c>
      <c r="B10835" s="6">
        <v>403.125</v>
      </c>
      <c r="C10835" s="6">
        <v>20.426300000000001</v>
      </c>
      <c r="D10835" s="6">
        <v>104</v>
      </c>
      <c r="E10835" s="6">
        <v>0</v>
      </c>
      <c r="F10835" s="6">
        <v>0</v>
      </c>
      <c r="G10835" s="6">
        <v>3</v>
      </c>
      <c r="H10835" s="6" t="s">
        <v>21990</v>
      </c>
      <c r="I10835" s="6">
        <v>529.875</v>
      </c>
      <c r="J10835" s="2">
        <f t="shared" si="169"/>
        <v>43748.273832824074</v>
      </c>
    </row>
    <row r="10836" spans="1:10" x14ac:dyDescent="0.25">
      <c r="A10836" s="7" t="s">
        <v>21991</v>
      </c>
      <c r="B10836" s="8">
        <v>406.25</v>
      </c>
      <c r="C10836" s="8">
        <v>20.478950000000001</v>
      </c>
      <c r="D10836" s="8">
        <v>103</v>
      </c>
      <c r="E10836" s="8">
        <v>0</v>
      </c>
      <c r="F10836" s="8">
        <v>0</v>
      </c>
      <c r="G10836" s="8">
        <v>8</v>
      </c>
      <c r="H10836" s="8" t="s">
        <v>21992</v>
      </c>
      <c r="I10836" s="8">
        <v>530.625</v>
      </c>
      <c r="J10836" s="3">
        <f t="shared" si="169"/>
        <v>43748.273904988419</v>
      </c>
    </row>
    <row r="10837" spans="1:10" x14ac:dyDescent="0.25">
      <c r="A10837" s="5" t="s">
        <v>21993</v>
      </c>
      <c r="B10837" s="6">
        <v>403.125</v>
      </c>
      <c r="C10837" s="6">
        <v>20.426300000000001</v>
      </c>
      <c r="D10837" s="6">
        <v>104</v>
      </c>
      <c r="E10837" s="6">
        <v>0</v>
      </c>
      <c r="F10837" s="6">
        <v>0</v>
      </c>
      <c r="G10837" s="6">
        <v>2</v>
      </c>
      <c r="H10837" s="6" t="s">
        <v>21994</v>
      </c>
      <c r="I10837" s="6">
        <v>529.875</v>
      </c>
      <c r="J10837" s="2">
        <f t="shared" si="169"/>
        <v>43748.273987800923</v>
      </c>
    </row>
    <row r="10838" spans="1:10" x14ac:dyDescent="0.25">
      <c r="A10838" s="7" t="s">
        <v>21995</v>
      </c>
      <c r="B10838" s="8">
        <v>403.125</v>
      </c>
      <c r="C10838" s="8">
        <v>20.478950000000001</v>
      </c>
      <c r="D10838" s="8">
        <v>104</v>
      </c>
      <c r="E10838" s="8">
        <v>0</v>
      </c>
      <c r="F10838" s="8">
        <v>0</v>
      </c>
      <c r="G10838" s="8">
        <v>5</v>
      </c>
      <c r="H10838" s="8" t="s">
        <v>21996</v>
      </c>
      <c r="I10838" s="8">
        <v>529.875</v>
      </c>
      <c r="J10838" s="3">
        <f t="shared" si="169"/>
        <v>43748.27407172454</v>
      </c>
    </row>
    <row r="10839" spans="1:10" x14ac:dyDescent="0.25">
      <c r="A10839" s="5" t="s">
        <v>21997</v>
      </c>
      <c r="B10839" s="6">
        <v>403.125</v>
      </c>
      <c r="C10839" s="6">
        <v>20.426300000000001</v>
      </c>
      <c r="D10839" s="6">
        <v>104</v>
      </c>
      <c r="E10839" s="6">
        <v>0</v>
      </c>
      <c r="F10839" s="6">
        <v>0</v>
      </c>
      <c r="G10839" s="6">
        <v>6</v>
      </c>
      <c r="H10839" s="6" t="s">
        <v>21998</v>
      </c>
      <c r="I10839" s="6">
        <v>529.875</v>
      </c>
      <c r="J10839" s="2">
        <f t="shared" si="169"/>
        <v>43748.274143032402</v>
      </c>
    </row>
    <row r="10840" spans="1:10" x14ac:dyDescent="0.25">
      <c r="A10840" s="7" t="s">
        <v>21999</v>
      </c>
      <c r="B10840" s="8">
        <v>421.875</v>
      </c>
      <c r="C10840" s="8">
        <v>20.426300000000001</v>
      </c>
      <c r="D10840" s="8">
        <v>105</v>
      </c>
      <c r="E10840" s="8">
        <v>0</v>
      </c>
      <c r="F10840" s="8">
        <v>0</v>
      </c>
      <c r="G10840" s="8">
        <v>3</v>
      </c>
      <c r="H10840" s="8" t="s">
        <v>22000</v>
      </c>
      <c r="I10840" s="8">
        <v>535.6875</v>
      </c>
      <c r="J10840" s="3">
        <f t="shared" si="169"/>
        <v>43748.274214375</v>
      </c>
    </row>
    <row r="10841" spans="1:10" x14ac:dyDescent="0.25">
      <c r="A10841" s="5" t="s">
        <v>22001</v>
      </c>
      <c r="B10841" s="6">
        <v>403.125</v>
      </c>
      <c r="C10841" s="6">
        <v>20.426300000000001</v>
      </c>
      <c r="D10841" s="6">
        <v>104</v>
      </c>
      <c r="E10841" s="6">
        <v>0</v>
      </c>
      <c r="F10841" s="6">
        <v>0</v>
      </c>
      <c r="G10841" s="6">
        <v>0</v>
      </c>
      <c r="H10841" s="6" t="s">
        <v>22002</v>
      </c>
      <c r="I10841" s="6">
        <v>529.875</v>
      </c>
      <c r="J10841" s="2">
        <f t="shared" si="169"/>
        <v>43748.274286550928</v>
      </c>
    </row>
    <row r="10842" spans="1:10" x14ac:dyDescent="0.25">
      <c r="A10842" s="7" t="s">
        <v>22003</v>
      </c>
      <c r="B10842" s="8">
        <v>406.25</v>
      </c>
      <c r="C10842" s="8">
        <v>20.478950000000001</v>
      </c>
      <c r="D10842" s="8">
        <v>104</v>
      </c>
      <c r="E10842" s="8">
        <v>0</v>
      </c>
      <c r="F10842" s="8">
        <v>0</v>
      </c>
      <c r="G10842" s="8">
        <v>9</v>
      </c>
      <c r="H10842" s="8" t="s">
        <v>22004</v>
      </c>
      <c r="I10842" s="8">
        <v>530.625</v>
      </c>
      <c r="J10842" s="3">
        <f t="shared" si="169"/>
        <v>43748.274357858791</v>
      </c>
    </row>
    <row r="10843" spans="1:10" x14ac:dyDescent="0.25">
      <c r="A10843" s="5" t="s">
        <v>22005</v>
      </c>
      <c r="B10843" s="6">
        <v>406.25</v>
      </c>
      <c r="C10843" s="6">
        <v>20.478950000000001</v>
      </c>
      <c r="D10843" s="6">
        <v>104</v>
      </c>
      <c r="E10843" s="6">
        <v>0</v>
      </c>
      <c r="F10843" s="6">
        <v>0</v>
      </c>
      <c r="G10843" s="6">
        <v>8</v>
      </c>
      <c r="H10843" s="6" t="s">
        <v>22006</v>
      </c>
      <c r="I10843" s="6">
        <v>530.625</v>
      </c>
      <c r="J10843" s="2">
        <f t="shared" si="169"/>
        <v>43748.274429155092</v>
      </c>
    </row>
    <row r="10844" spans="1:10" x14ac:dyDescent="0.25">
      <c r="A10844" s="7" t="s">
        <v>22007</v>
      </c>
      <c r="B10844" s="8">
        <v>406.25</v>
      </c>
      <c r="C10844" s="8">
        <v>20.426300000000001</v>
      </c>
      <c r="D10844" s="8">
        <v>104</v>
      </c>
      <c r="E10844" s="8">
        <v>0</v>
      </c>
      <c r="F10844" s="8">
        <v>0</v>
      </c>
      <c r="G10844" s="8">
        <v>0</v>
      </c>
      <c r="H10844" s="8" t="s">
        <v>22008</v>
      </c>
      <c r="I10844" s="8">
        <v>530.625</v>
      </c>
      <c r="J10844" s="3">
        <f t="shared" si="169"/>
        <v>43748.274501145832</v>
      </c>
    </row>
    <row r="10845" spans="1:10" x14ac:dyDescent="0.25">
      <c r="A10845" s="5" t="s">
        <v>22009</v>
      </c>
      <c r="B10845" s="6">
        <v>406.25</v>
      </c>
      <c r="C10845" s="6">
        <v>20.426300000000001</v>
      </c>
      <c r="D10845" s="6">
        <v>104</v>
      </c>
      <c r="E10845" s="6">
        <v>0</v>
      </c>
      <c r="F10845" s="6">
        <v>0</v>
      </c>
      <c r="G10845" s="6">
        <v>0</v>
      </c>
      <c r="H10845" s="6" t="s">
        <v>22010</v>
      </c>
      <c r="I10845" s="6">
        <v>530.625</v>
      </c>
      <c r="J10845" s="2">
        <f t="shared" si="169"/>
        <v>43748.2745846412</v>
      </c>
    </row>
    <row r="10846" spans="1:10" x14ac:dyDescent="0.25">
      <c r="A10846" s="7" t="s">
        <v>22011</v>
      </c>
      <c r="B10846" s="8">
        <v>406.25</v>
      </c>
      <c r="C10846" s="8">
        <v>20.426300000000001</v>
      </c>
      <c r="D10846" s="8">
        <v>103</v>
      </c>
      <c r="E10846" s="8">
        <v>0</v>
      </c>
      <c r="F10846" s="8">
        <v>0</v>
      </c>
      <c r="G10846" s="8">
        <v>12</v>
      </c>
      <c r="H10846" s="8" t="s">
        <v>22012</v>
      </c>
      <c r="I10846" s="8">
        <v>530.625</v>
      </c>
      <c r="J10846" s="3">
        <f t="shared" si="169"/>
        <v>43748.274655983791</v>
      </c>
    </row>
    <row r="10847" spans="1:10" x14ac:dyDescent="0.25">
      <c r="A10847" s="5" t="s">
        <v>22013</v>
      </c>
      <c r="B10847" s="6">
        <v>406.25</v>
      </c>
      <c r="C10847" s="6">
        <v>20.478950000000001</v>
      </c>
      <c r="D10847" s="6">
        <v>104</v>
      </c>
      <c r="E10847" s="6">
        <v>0</v>
      </c>
      <c r="F10847" s="6">
        <v>0</v>
      </c>
      <c r="G10847" s="6">
        <v>7</v>
      </c>
      <c r="H10847" s="6" t="s">
        <v>22014</v>
      </c>
      <c r="I10847" s="6">
        <v>530.625</v>
      </c>
      <c r="J10847" s="2">
        <f t="shared" si="169"/>
        <v>43748.274727187498</v>
      </c>
    </row>
    <row r="10848" spans="1:10" x14ac:dyDescent="0.25">
      <c r="A10848" s="7" t="s">
        <v>22015</v>
      </c>
      <c r="B10848" s="8">
        <v>421.875</v>
      </c>
      <c r="C10848" s="8">
        <v>20.478950000000001</v>
      </c>
      <c r="D10848" s="8">
        <v>105</v>
      </c>
      <c r="E10848" s="8">
        <v>0</v>
      </c>
      <c r="F10848" s="8">
        <v>0</v>
      </c>
      <c r="G10848" s="8">
        <v>0</v>
      </c>
      <c r="H10848" s="8" t="s">
        <v>22016</v>
      </c>
      <c r="I10848" s="8">
        <v>535.5</v>
      </c>
      <c r="J10848" s="3">
        <f t="shared" si="169"/>
        <v>43748.27479935185</v>
      </c>
    </row>
    <row r="10849" spans="1:10" x14ac:dyDescent="0.25">
      <c r="A10849" s="5" t="s">
        <v>22017</v>
      </c>
      <c r="B10849" s="6">
        <v>403.125</v>
      </c>
      <c r="C10849" s="6">
        <v>20.478950000000001</v>
      </c>
      <c r="D10849" s="6">
        <v>105</v>
      </c>
      <c r="E10849" s="6">
        <v>0</v>
      </c>
      <c r="F10849" s="6">
        <v>0</v>
      </c>
      <c r="G10849" s="6">
        <v>12</v>
      </c>
      <c r="H10849" s="6" t="s">
        <v>22018</v>
      </c>
      <c r="I10849" s="6">
        <v>529.875</v>
      </c>
      <c r="J10849" s="2">
        <f t="shared" si="169"/>
        <v>43748.27487079861</v>
      </c>
    </row>
    <row r="10850" spans="1:10" x14ac:dyDescent="0.25">
      <c r="A10850" s="7" t="s">
        <v>22019</v>
      </c>
      <c r="B10850" s="8">
        <v>403.125</v>
      </c>
      <c r="C10850" s="8">
        <v>20.478950000000001</v>
      </c>
      <c r="D10850" s="8">
        <v>104</v>
      </c>
      <c r="E10850" s="8">
        <v>0</v>
      </c>
      <c r="F10850" s="8">
        <v>0</v>
      </c>
      <c r="G10850" s="8">
        <v>9</v>
      </c>
      <c r="H10850" s="8" t="s">
        <v>22020</v>
      </c>
      <c r="I10850" s="8">
        <v>529.875</v>
      </c>
      <c r="J10850" s="3">
        <f t="shared" si="169"/>
        <v>43748.274942094904</v>
      </c>
    </row>
    <row r="10851" spans="1:10" x14ac:dyDescent="0.25">
      <c r="A10851" s="5" t="s">
        <v>22021</v>
      </c>
      <c r="B10851" s="6">
        <v>403.125</v>
      </c>
      <c r="C10851" s="6">
        <v>20.478950000000001</v>
      </c>
      <c r="D10851" s="6">
        <v>104</v>
      </c>
      <c r="E10851" s="6">
        <v>0</v>
      </c>
      <c r="F10851" s="6">
        <v>0</v>
      </c>
      <c r="G10851" s="6">
        <v>7</v>
      </c>
      <c r="H10851" s="6" t="s">
        <v>22022</v>
      </c>
      <c r="I10851" s="6">
        <v>529.6875</v>
      </c>
      <c r="J10851" s="2">
        <f t="shared" si="169"/>
        <v>43748.275013402774</v>
      </c>
    </row>
    <row r="10852" spans="1:10" x14ac:dyDescent="0.25">
      <c r="A10852" s="7" t="s">
        <v>22023</v>
      </c>
      <c r="B10852" s="8">
        <v>421.875</v>
      </c>
      <c r="C10852" s="8">
        <v>20.478950000000001</v>
      </c>
      <c r="D10852" s="8">
        <v>104</v>
      </c>
      <c r="E10852" s="8">
        <v>0</v>
      </c>
      <c r="F10852" s="8">
        <v>0</v>
      </c>
      <c r="G10852" s="8">
        <v>0</v>
      </c>
      <c r="H10852" s="8" t="s">
        <v>22024</v>
      </c>
      <c r="I10852" s="8">
        <v>535.6875</v>
      </c>
      <c r="J10852" s="3">
        <f t="shared" si="169"/>
        <v>43748.275084687499</v>
      </c>
    </row>
    <row r="10853" spans="1:10" x14ac:dyDescent="0.25">
      <c r="A10853" s="5" t="s">
        <v>22025</v>
      </c>
      <c r="B10853" s="6">
        <v>406.25</v>
      </c>
      <c r="C10853" s="6">
        <v>20.426300000000001</v>
      </c>
      <c r="D10853" s="6">
        <v>104</v>
      </c>
      <c r="E10853" s="6">
        <v>0</v>
      </c>
      <c r="F10853" s="6">
        <v>0</v>
      </c>
      <c r="G10853" s="6">
        <v>11</v>
      </c>
      <c r="H10853" s="6" t="s">
        <v>22026</v>
      </c>
      <c r="I10853" s="6">
        <v>530.625</v>
      </c>
      <c r="J10853" s="2">
        <f t="shared" si="169"/>
        <v>43748.275156875003</v>
      </c>
    </row>
    <row r="10854" spans="1:10" x14ac:dyDescent="0.25">
      <c r="A10854" s="7" t="s">
        <v>22027</v>
      </c>
      <c r="B10854" s="8">
        <v>403.125</v>
      </c>
      <c r="C10854" s="8">
        <v>20.478950000000001</v>
      </c>
      <c r="D10854" s="8">
        <v>104</v>
      </c>
      <c r="E10854" s="8">
        <v>0</v>
      </c>
      <c r="F10854" s="8">
        <v>0</v>
      </c>
      <c r="G10854" s="8">
        <v>7</v>
      </c>
      <c r="H10854" s="8" t="s">
        <v>22028</v>
      </c>
      <c r="I10854" s="8">
        <v>529.875</v>
      </c>
      <c r="J10854" s="3">
        <f t="shared" si="169"/>
        <v>43748.275228206017</v>
      </c>
    </row>
    <row r="10855" spans="1:10" x14ac:dyDescent="0.25">
      <c r="A10855" s="5" t="s">
        <v>22029</v>
      </c>
      <c r="B10855" s="6">
        <v>403.125</v>
      </c>
      <c r="C10855" s="6">
        <v>20.478950000000001</v>
      </c>
      <c r="D10855" s="6">
        <v>104</v>
      </c>
      <c r="E10855" s="6">
        <v>0</v>
      </c>
      <c r="F10855" s="6">
        <v>0</v>
      </c>
      <c r="G10855" s="6">
        <v>1</v>
      </c>
      <c r="H10855" s="6" t="s">
        <v>22030</v>
      </c>
      <c r="I10855" s="6">
        <v>529.875</v>
      </c>
      <c r="J10855" s="2">
        <f t="shared" si="169"/>
        <v>43748.275299502311</v>
      </c>
    </row>
    <row r="10856" spans="1:10" x14ac:dyDescent="0.25">
      <c r="A10856" s="7" t="s">
        <v>22031</v>
      </c>
      <c r="B10856" s="8">
        <v>403.125</v>
      </c>
      <c r="C10856" s="8">
        <v>20.478950000000001</v>
      </c>
      <c r="D10856" s="8">
        <v>103</v>
      </c>
      <c r="E10856" s="8">
        <v>0</v>
      </c>
      <c r="F10856" s="8">
        <v>0</v>
      </c>
      <c r="G10856" s="8">
        <v>6</v>
      </c>
      <c r="H10856" s="8" t="s">
        <v>22032</v>
      </c>
      <c r="I10856" s="8">
        <v>529.875</v>
      </c>
      <c r="J10856" s="3">
        <f t="shared" si="169"/>
        <v>43748.275371736112</v>
      </c>
    </row>
    <row r="10857" spans="1:10" x14ac:dyDescent="0.25">
      <c r="A10857" s="5" t="s">
        <v>22033</v>
      </c>
      <c r="B10857" s="6">
        <v>403.125</v>
      </c>
      <c r="C10857" s="6">
        <v>20.478950000000001</v>
      </c>
      <c r="D10857" s="6">
        <v>104</v>
      </c>
      <c r="E10857" s="6">
        <v>0</v>
      </c>
      <c r="F10857" s="6">
        <v>0</v>
      </c>
      <c r="G10857" s="6">
        <v>5</v>
      </c>
      <c r="H10857" s="6" t="s">
        <v>22034</v>
      </c>
      <c r="I10857" s="6">
        <v>529.125</v>
      </c>
      <c r="J10857" s="2">
        <f t="shared" si="169"/>
        <v>43748.275443043975</v>
      </c>
    </row>
    <row r="10858" spans="1:10" x14ac:dyDescent="0.25">
      <c r="A10858" s="7" t="s">
        <v>22035</v>
      </c>
      <c r="B10858" s="8">
        <v>403.125</v>
      </c>
      <c r="C10858" s="8">
        <v>20.478950000000001</v>
      </c>
      <c r="D10858" s="8">
        <v>104</v>
      </c>
      <c r="E10858" s="8">
        <v>0</v>
      </c>
      <c r="F10858" s="8">
        <v>0</v>
      </c>
      <c r="G10858" s="8">
        <v>11</v>
      </c>
      <c r="H10858" s="8" t="s">
        <v>22036</v>
      </c>
      <c r="I10858" s="8">
        <v>529.125</v>
      </c>
      <c r="J10858" s="3">
        <f t="shared" si="169"/>
        <v>43748.275514224537</v>
      </c>
    </row>
    <row r="10859" spans="1:10" x14ac:dyDescent="0.25">
      <c r="A10859" s="5" t="s">
        <v>22037</v>
      </c>
      <c r="B10859" s="6">
        <v>400</v>
      </c>
      <c r="C10859" s="6">
        <v>20.478950000000001</v>
      </c>
      <c r="D10859" s="6">
        <v>104</v>
      </c>
      <c r="E10859" s="6">
        <v>0</v>
      </c>
      <c r="F10859" s="6">
        <v>0</v>
      </c>
      <c r="G10859" s="6">
        <v>6</v>
      </c>
      <c r="H10859" s="6" t="s">
        <v>22038</v>
      </c>
      <c r="I10859" s="6">
        <v>528.9375</v>
      </c>
      <c r="J10859" s="2">
        <f t="shared" si="169"/>
        <v>43748.275585671297</v>
      </c>
    </row>
    <row r="10860" spans="1:10" x14ac:dyDescent="0.25">
      <c r="A10860" s="7" t="s">
        <v>22039</v>
      </c>
      <c r="B10860" s="8">
        <v>400</v>
      </c>
      <c r="C10860" s="8">
        <v>20.426300000000001</v>
      </c>
      <c r="D10860" s="8">
        <v>104</v>
      </c>
      <c r="E10860" s="8">
        <v>0</v>
      </c>
      <c r="F10860" s="8">
        <v>0</v>
      </c>
      <c r="G10860" s="8">
        <v>9</v>
      </c>
      <c r="H10860" s="8" t="s">
        <v>22040</v>
      </c>
      <c r="I10860" s="8">
        <v>528.9375</v>
      </c>
      <c r="J10860" s="3">
        <f t="shared" si="169"/>
        <v>43748.275657800921</v>
      </c>
    </row>
    <row r="10861" spans="1:10" x14ac:dyDescent="0.25">
      <c r="A10861" s="5" t="s">
        <v>22041</v>
      </c>
      <c r="B10861" s="6">
        <v>403.125</v>
      </c>
      <c r="C10861" s="6">
        <v>20.426300000000001</v>
      </c>
      <c r="D10861" s="6">
        <v>106</v>
      </c>
      <c r="E10861" s="6">
        <v>0</v>
      </c>
      <c r="F10861" s="6">
        <v>0</v>
      </c>
      <c r="G10861" s="6">
        <v>8</v>
      </c>
      <c r="H10861" s="6" t="s">
        <v>22042</v>
      </c>
      <c r="I10861" s="6">
        <v>529.125</v>
      </c>
      <c r="J10861" s="2">
        <f t="shared" si="169"/>
        <v>43748.275729155088</v>
      </c>
    </row>
    <row r="10862" spans="1:10" x14ac:dyDescent="0.25">
      <c r="A10862" s="7" t="s">
        <v>22043</v>
      </c>
      <c r="B10862" s="8">
        <v>400</v>
      </c>
      <c r="C10862" s="8">
        <v>20.478950000000001</v>
      </c>
      <c r="D10862" s="8">
        <v>105</v>
      </c>
      <c r="E10862" s="8">
        <v>0</v>
      </c>
      <c r="F10862" s="8">
        <v>0</v>
      </c>
      <c r="G10862" s="8">
        <v>9</v>
      </c>
      <c r="H10862" s="8" t="s">
        <v>22044</v>
      </c>
      <c r="I10862" s="8">
        <v>528.9375</v>
      </c>
      <c r="J10862" s="3">
        <f t="shared" si="169"/>
        <v>43748.275836504625</v>
      </c>
    </row>
    <row r="10863" spans="1:10" x14ac:dyDescent="0.25">
      <c r="A10863" s="5" t="s">
        <v>22045</v>
      </c>
      <c r="B10863" s="6">
        <v>403.125</v>
      </c>
      <c r="C10863" s="6">
        <v>20.478950000000001</v>
      </c>
      <c r="D10863" s="6">
        <v>107</v>
      </c>
      <c r="E10863" s="6">
        <v>0</v>
      </c>
      <c r="F10863" s="6">
        <v>0</v>
      </c>
      <c r="G10863" s="6">
        <v>13</v>
      </c>
      <c r="H10863" s="6" t="s">
        <v>22046</v>
      </c>
      <c r="I10863" s="6">
        <v>529.125</v>
      </c>
      <c r="J10863" s="2">
        <f t="shared" si="169"/>
        <v>43748.275907858791</v>
      </c>
    </row>
    <row r="10864" spans="1:10" x14ac:dyDescent="0.25">
      <c r="A10864" s="7" t="s">
        <v>22047</v>
      </c>
      <c r="B10864" s="8">
        <v>403.125</v>
      </c>
      <c r="C10864" s="8">
        <v>20.478950000000001</v>
      </c>
      <c r="D10864" s="8">
        <v>107</v>
      </c>
      <c r="E10864" s="8">
        <v>0</v>
      </c>
      <c r="F10864" s="8">
        <v>0</v>
      </c>
      <c r="G10864" s="8">
        <v>11</v>
      </c>
      <c r="H10864" s="8" t="s">
        <v>22048</v>
      </c>
      <c r="I10864" s="8">
        <v>529.125</v>
      </c>
      <c r="J10864" s="3">
        <f t="shared" si="169"/>
        <v>43748.275979155085</v>
      </c>
    </row>
    <row r="10865" spans="1:10" x14ac:dyDescent="0.25">
      <c r="A10865" s="5" t="s">
        <v>22049</v>
      </c>
      <c r="B10865" s="6">
        <v>403.125</v>
      </c>
      <c r="C10865" s="6">
        <v>20.478950000000001</v>
      </c>
      <c r="D10865" s="6">
        <v>107</v>
      </c>
      <c r="E10865" s="6">
        <v>0</v>
      </c>
      <c r="F10865" s="6">
        <v>0</v>
      </c>
      <c r="G10865" s="6">
        <v>5</v>
      </c>
      <c r="H10865" s="6" t="s">
        <v>22050</v>
      </c>
      <c r="I10865" s="6">
        <v>529.125</v>
      </c>
      <c r="J10865" s="2">
        <f t="shared" si="169"/>
        <v>43748.276051388886</v>
      </c>
    </row>
    <row r="10866" spans="1:10" x14ac:dyDescent="0.25">
      <c r="A10866" s="7" t="s">
        <v>22051</v>
      </c>
      <c r="B10866" s="8">
        <v>400</v>
      </c>
      <c r="C10866" s="8">
        <v>20.478950000000001</v>
      </c>
      <c r="D10866" s="8">
        <v>107</v>
      </c>
      <c r="E10866" s="8">
        <v>0</v>
      </c>
      <c r="F10866" s="8">
        <v>0</v>
      </c>
      <c r="G10866" s="8">
        <v>9</v>
      </c>
      <c r="H10866" s="8" t="s">
        <v>22052</v>
      </c>
      <c r="I10866" s="8">
        <v>528.1875</v>
      </c>
      <c r="J10866" s="3">
        <f t="shared" si="169"/>
        <v>43748.276122662035</v>
      </c>
    </row>
    <row r="10867" spans="1:10" x14ac:dyDescent="0.25">
      <c r="A10867" s="5" t="s">
        <v>22053</v>
      </c>
      <c r="B10867" s="6">
        <v>409.375</v>
      </c>
      <c r="C10867" s="6">
        <v>20.478950000000001</v>
      </c>
      <c r="D10867" s="6">
        <v>107</v>
      </c>
      <c r="E10867" s="6">
        <v>0</v>
      </c>
      <c r="F10867" s="6">
        <v>0</v>
      </c>
      <c r="G10867" s="6">
        <v>7</v>
      </c>
      <c r="H10867" s="6" t="s">
        <v>22054</v>
      </c>
      <c r="I10867" s="6">
        <v>531</v>
      </c>
      <c r="J10867" s="2">
        <f t="shared" si="169"/>
        <v>43748.276194085651</v>
      </c>
    </row>
    <row r="10868" spans="1:10" x14ac:dyDescent="0.25">
      <c r="A10868" s="7" t="s">
        <v>22055</v>
      </c>
      <c r="B10868" s="8">
        <v>403.125</v>
      </c>
      <c r="C10868" s="8">
        <v>20.426300000000001</v>
      </c>
      <c r="D10868" s="8">
        <v>106</v>
      </c>
      <c r="E10868" s="8">
        <v>0</v>
      </c>
      <c r="F10868" s="8">
        <v>0</v>
      </c>
      <c r="G10868" s="8">
        <v>10</v>
      </c>
      <c r="H10868" s="8" t="s">
        <v>22056</v>
      </c>
      <c r="I10868" s="8">
        <v>529.125</v>
      </c>
      <c r="J10868" s="3">
        <f t="shared" si="169"/>
        <v>43748.276266018518</v>
      </c>
    </row>
    <row r="10869" spans="1:10" x14ac:dyDescent="0.25">
      <c r="A10869" s="5" t="s">
        <v>22057</v>
      </c>
      <c r="B10869" s="6">
        <v>400</v>
      </c>
      <c r="C10869" s="6">
        <v>20.478950000000001</v>
      </c>
      <c r="D10869" s="6">
        <v>106</v>
      </c>
      <c r="E10869" s="6">
        <v>0</v>
      </c>
      <c r="F10869" s="6">
        <v>0</v>
      </c>
      <c r="G10869" s="6">
        <v>7</v>
      </c>
      <c r="H10869" s="6" t="s">
        <v>22058</v>
      </c>
      <c r="I10869" s="6">
        <v>528.9375</v>
      </c>
      <c r="J10869" s="2">
        <f t="shared" si="169"/>
        <v>43748.276337418974</v>
      </c>
    </row>
    <row r="10870" spans="1:10" x14ac:dyDescent="0.25">
      <c r="A10870" s="7" t="s">
        <v>22059</v>
      </c>
      <c r="B10870" s="8">
        <v>403.125</v>
      </c>
      <c r="C10870" s="8">
        <v>20.478950000000001</v>
      </c>
      <c r="D10870" s="8">
        <v>106</v>
      </c>
      <c r="E10870" s="8">
        <v>0</v>
      </c>
      <c r="F10870" s="8">
        <v>0</v>
      </c>
      <c r="G10870" s="8">
        <v>14</v>
      </c>
      <c r="H10870" s="8" t="s">
        <v>22060</v>
      </c>
      <c r="I10870" s="8">
        <v>529.875</v>
      </c>
      <c r="J10870" s="3">
        <f t="shared" si="169"/>
        <v>43748.276408784724</v>
      </c>
    </row>
    <row r="10871" spans="1:10" x14ac:dyDescent="0.25">
      <c r="A10871" s="5" t="s">
        <v>22061</v>
      </c>
      <c r="B10871" s="6">
        <v>425</v>
      </c>
      <c r="C10871" s="6">
        <v>20.426300000000001</v>
      </c>
      <c r="D10871" s="6">
        <v>108</v>
      </c>
      <c r="E10871" s="6">
        <v>0</v>
      </c>
      <c r="F10871" s="6">
        <v>0</v>
      </c>
      <c r="G10871" s="6">
        <v>2</v>
      </c>
      <c r="H10871" s="6" t="s">
        <v>22062</v>
      </c>
      <c r="I10871" s="6">
        <v>536.25</v>
      </c>
      <c r="J10871" s="2">
        <f t="shared" si="169"/>
        <v>43748.276506122682</v>
      </c>
    </row>
    <row r="10872" spans="1:10" x14ac:dyDescent="0.25">
      <c r="A10872" s="7" t="s">
        <v>22063</v>
      </c>
      <c r="B10872" s="8">
        <v>403.125</v>
      </c>
      <c r="C10872" s="8">
        <v>20.478950000000001</v>
      </c>
      <c r="D10872" s="8">
        <v>107</v>
      </c>
      <c r="E10872" s="8">
        <v>0</v>
      </c>
      <c r="F10872" s="8">
        <v>0</v>
      </c>
      <c r="G10872" s="8">
        <v>4</v>
      </c>
      <c r="H10872" s="8" t="s">
        <v>22064</v>
      </c>
      <c r="I10872" s="8">
        <v>529.875</v>
      </c>
      <c r="J10872" s="3">
        <f t="shared" si="169"/>
        <v>43748.27658834491</v>
      </c>
    </row>
    <row r="10873" spans="1:10" x14ac:dyDescent="0.25">
      <c r="A10873" s="5" t="s">
        <v>22065</v>
      </c>
      <c r="B10873" s="6">
        <v>418.75</v>
      </c>
      <c r="C10873" s="6">
        <v>20.478950000000001</v>
      </c>
      <c r="D10873" s="6">
        <v>107</v>
      </c>
      <c r="E10873" s="6">
        <v>0</v>
      </c>
      <c r="F10873" s="6">
        <v>0</v>
      </c>
      <c r="G10873" s="6">
        <v>11</v>
      </c>
      <c r="H10873" s="6" t="s">
        <v>22066</v>
      </c>
      <c r="I10873" s="6">
        <v>534.5625</v>
      </c>
      <c r="J10873" s="2">
        <f t="shared" si="169"/>
        <v>43748.276658831011</v>
      </c>
    </row>
    <row r="10874" spans="1:10" x14ac:dyDescent="0.25">
      <c r="A10874" s="7" t="s">
        <v>22067</v>
      </c>
      <c r="B10874" s="8">
        <v>400</v>
      </c>
      <c r="C10874" s="8">
        <v>20.478950000000001</v>
      </c>
      <c r="D10874" s="8">
        <v>107</v>
      </c>
      <c r="E10874" s="8">
        <v>0</v>
      </c>
      <c r="F10874" s="8">
        <v>0</v>
      </c>
      <c r="G10874" s="8">
        <v>11</v>
      </c>
      <c r="H10874" s="8" t="s">
        <v>22068</v>
      </c>
      <c r="I10874" s="8">
        <v>528.1875</v>
      </c>
      <c r="J10874" s="3">
        <f t="shared" si="169"/>
        <v>43748.276730891201</v>
      </c>
    </row>
    <row r="10875" spans="1:10" x14ac:dyDescent="0.25">
      <c r="A10875" s="5" t="s">
        <v>22069</v>
      </c>
      <c r="B10875" s="6">
        <v>396.875</v>
      </c>
      <c r="C10875" s="6">
        <v>20.426300000000001</v>
      </c>
      <c r="D10875" s="6">
        <v>107</v>
      </c>
      <c r="E10875" s="6">
        <v>0</v>
      </c>
      <c r="F10875" s="6">
        <v>0</v>
      </c>
      <c r="G10875" s="6">
        <v>8</v>
      </c>
      <c r="H10875" s="6" t="s">
        <v>22070</v>
      </c>
      <c r="I10875" s="6">
        <v>527.4375</v>
      </c>
      <c r="J10875" s="2">
        <f t="shared" si="169"/>
        <v>43748.276802233791</v>
      </c>
    </row>
    <row r="10876" spans="1:10" x14ac:dyDescent="0.25">
      <c r="A10876" s="7" t="s">
        <v>22071</v>
      </c>
      <c r="B10876" s="8">
        <v>396.875</v>
      </c>
      <c r="C10876" s="8">
        <v>20.478950000000001</v>
      </c>
      <c r="D10876" s="8">
        <v>106</v>
      </c>
      <c r="E10876" s="8">
        <v>0</v>
      </c>
      <c r="F10876" s="8">
        <v>0</v>
      </c>
      <c r="G10876" s="8">
        <v>9</v>
      </c>
      <c r="H10876" s="8" t="s">
        <v>22072</v>
      </c>
      <c r="I10876" s="8">
        <v>527.625</v>
      </c>
      <c r="J10876" s="3">
        <f t="shared" si="169"/>
        <v>43748.276873541668</v>
      </c>
    </row>
    <row r="10877" spans="1:10" x14ac:dyDescent="0.25">
      <c r="A10877" s="5" t="s">
        <v>22073</v>
      </c>
      <c r="B10877" s="6">
        <v>396.875</v>
      </c>
      <c r="C10877" s="6">
        <v>20.478950000000001</v>
      </c>
      <c r="D10877" s="6">
        <v>107</v>
      </c>
      <c r="E10877" s="6">
        <v>0</v>
      </c>
      <c r="F10877" s="6">
        <v>0</v>
      </c>
      <c r="G10877" s="6">
        <v>18</v>
      </c>
      <c r="H10877" s="6" t="s">
        <v>22074</v>
      </c>
      <c r="I10877" s="6">
        <v>527.4375</v>
      </c>
      <c r="J10877" s="2">
        <f t="shared" si="169"/>
        <v>43748.27696891204</v>
      </c>
    </row>
    <row r="10878" spans="1:10" x14ac:dyDescent="0.25">
      <c r="A10878" s="7" t="s">
        <v>22075</v>
      </c>
      <c r="B10878" s="8">
        <v>396.875</v>
      </c>
      <c r="C10878" s="8">
        <v>20.478950000000001</v>
      </c>
      <c r="D10878" s="8">
        <v>106</v>
      </c>
      <c r="E10878" s="8">
        <v>0</v>
      </c>
      <c r="F10878" s="8">
        <v>0</v>
      </c>
      <c r="G10878" s="8">
        <v>14</v>
      </c>
      <c r="H10878" s="8" t="s">
        <v>22076</v>
      </c>
      <c r="I10878" s="8">
        <v>527.4375</v>
      </c>
      <c r="J10878" s="3">
        <f t="shared" si="169"/>
        <v>43748.277040960646</v>
      </c>
    </row>
    <row r="10879" spans="1:10" x14ac:dyDescent="0.25">
      <c r="A10879" s="5" t="s">
        <v>22077</v>
      </c>
      <c r="B10879" s="6">
        <v>396.875</v>
      </c>
      <c r="C10879" s="6">
        <v>20.478950000000001</v>
      </c>
      <c r="D10879" s="6">
        <v>107</v>
      </c>
      <c r="E10879" s="6">
        <v>0</v>
      </c>
      <c r="F10879" s="6">
        <v>0</v>
      </c>
      <c r="G10879" s="6">
        <v>2</v>
      </c>
      <c r="H10879" s="6" t="s">
        <v>22078</v>
      </c>
      <c r="I10879" s="6">
        <v>527.4375</v>
      </c>
      <c r="J10879" s="2">
        <f t="shared" si="169"/>
        <v>43748.277112314812</v>
      </c>
    </row>
    <row r="10880" spans="1:10" x14ac:dyDescent="0.25">
      <c r="A10880" s="7" t="s">
        <v>22079</v>
      </c>
      <c r="B10880" s="8">
        <v>396.875</v>
      </c>
      <c r="C10880" s="8">
        <v>20.426300000000001</v>
      </c>
      <c r="D10880" s="8">
        <v>107</v>
      </c>
      <c r="E10880" s="8">
        <v>0</v>
      </c>
      <c r="F10880" s="8">
        <v>0</v>
      </c>
      <c r="G10880" s="8">
        <v>7</v>
      </c>
      <c r="H10880" s="8" t="s">
        <v>22080</v>
      </c>
      <c r="I10880" s="8">
        <v>527.4375</v>
      </c>
      <c r="J10880" s="3">
        <f t="shared" si="169"/>
        <v>43748.277183668979</v>
      </c>
    </row>
    <row r="10881" spans="1:10" x14ac:dyDescent="0.25">
      <c r="A10881" s="5" t="s">
        <v>22081</v>
      </c>
      <c r="B10881" s="6">
        <v>393.75</v>
      </c>
      <c r="C10881" s="6">
        <v>20.478950000000001</v>
      </c>
      <c r="D10881" s="6">
        <v>108</v>
      </c>
      <c r="E10881" s="6">
        <v>0</v>
      </c>
      <c r="F10881" s="6">
        <v>0</v>
      </c>
      <c r="G10881" s="6">
        <v>5</v>
      </c>
      <c r="H10881" s="6" t="s">
        <v>22082</v>
      </c>
      <c r="I10881" s="6">
        <v>526.6875</v>
      </c>
      <c r="J10881" s="2">
        <f t="shared" si="169"/>
        <v>43748.277255000001</v>
      </c>
    </row>
    <row r="10882" spans="1:10" x14ac:dyDescent="0.25">
      <c r="A10882" s="7" t="s">
        <v>22083</v>
      </c>
      <c r="B10882" s="8">
        <v>393.75</v>
      </c>
      <c r="C10882" s="8">
        <v>20.478950000000001</v>
      </c>
      <c r="D10882" s="8">
        <v>108</v>
      </c>
      <c r="E10882" s="8">
        <v>0</v>
      </c>
      <c r="F10882" s="8">
        <v>0</v>
      </c>
      <c r="G10882" s="8">
        <v>12</v>
      </c>
      <c r="H10882" s="8" t="s">
        <v>22084</v>
      </c>
      <c r="I10882" s="8">
        <v>526.6875</v>
      </c>
      <c r="J10882" s="3">
        <f t="shared" ref="J10882:J10945" si="170">(H10882/86400000)+25569+(7/24)</f>
        <v>43748.277327303244</v>
      </c>
    </row>
    <row r="10883" spans="1:10" x14ac:dyDescent="0.25">
      <c r="A10883" s="5" t="s">
        <v>22085</v>
      </c>
      <c r="B10883" s="6">
        <v>393.75</v>
      </c>
      <c r="C10883" s="6">
        <v>20.426300000000001</v>
      </c>
      <c r="D10883" s="6">
        <v>109</v>
      </c>
      <c r="E10883" s="6">
        <v>0</v>
      </c>
      <c r="F10883" s="6">
        <v>0</v>
      </c>
      <c r="G10883" s="6">
        <v>3</v>
      </c>
      <c r="H10883" s="6" t="s">
        <v>22086</v>
      </c>
      <c r="I10883" s="6">
        <v>526.6875</v>
      </c>
      <c r="J10883" s="2">
        <f t="shared" si="170"/>
        <v>43748.277398541664</v>
      </c>
    </row>
    <row r="10884" spans="1:10" x14ac:dyDescent="0.25">
      <c r="A10884" s="7" t="s">
        <v>22087</v>
      </c>
      <c r="B10884" s="8">
        <v>412.5</v>
      </c>
      <c r="C10884" s="8">
        <v>20.478950000000001</v>
      </c>
      <c r="D10884" s="8">
        <v>109</v>
      </c>
      <c r="E10884" s="8">
        <v>0</v>
      </c>
      <c r="F10884" s="8">
        <v>0</v>
      </c>
      <c r="G10884" s="8">
        <v>11</v>
      </c>
      <c r="H10884" s="8" t="s">
        <v>22088</v>
      </c>
      <c r="I10884" s="8">
        <v>532.875</v>
      </c>
      <c r="J10884" s="3">
        <f t="shared" si="170"/>
        <v>43748.277469849534</v>
      </c>
    </row>
    <row r="10885" spans="1:10" x14ac:dyDescent="0.25">
      <c r="A10885" s="5" t="s">
        <v>22089</v>
      </c>
      <c r="B10885" s="6">
        <v>393.75</v>
      </c>
      <c r="C10885" s="6">
        <v>20.478950000000001</v>
      </c>
      <c r="D10885" s="6">
        <v>109</v>
      </c>
      <c r="E10885" s="6">
        <v>0</v>
      </c>
      <c r="F10885" s="6">
        <v>0</v>
      </c>
      <c r="G10885" s="6">
        <v>8</v>
      </c>
      <c r="H10885" s="6" t="s">
        <v>22090</v>
      </c>
      <c r="I10885" s="6">
        <v>526.6875</v>
      </c>
      <c r="J10885" s="2">
        <f t="shared" si="170"/>
        <v>43748.277541134252</v>
      </c>
    </row>
    <row r="10886" spans="1:10" x14ac:dyDescent="0.25">
      <c r="A10886" s="7" t="s">
        <v>22091</v>
      </c>
      <c r="B10886" s="8">
        <v>393.75</v>
      </c>
      <c r="C10886" s="8">
        <v>20.426300000000001</v>
      </c>
      <c r="D10886" s="8">
        <v>108</v>
      </c>
      <c r="E10886" s="8">
        <v>0</v>
      </c>
      <c r="F10886" s="8">
        <v>0</v>
      </c>
      <c r="G10886" s="8">
        <v>4</v>
      </c>
      <c r="H10886" s="8" t="s">
        <v>22092</v>
      </c>
      <c r="I10886" s="8">
        <v>526.5</v>
      </c>
      <c r="J10886" s="3">
        <f t="shared" si="170"/>
        <v>43748.277612662037</v>
      </c>
    </row>
    <row r="10887" spans="1:10" x14ac:dyDescent="0.25">
      <c r="A10887" s="5" t="s">
        <v>22093</v>
      </c>
      <c r="B10887" s="6">
        <v>393.75</v>
      </c>
      <c r="C10887" s="6">
        <v>20.426300000000001</v>
      </c>
      <c r="D10887" s="6">
        <v>108</v>
      </c>
      <c r="E10887" s="6">
        <v>0</v>
      </c>
      <c r="F10887" s="6">
        <v>0</v>
      </c>
      <c r="G10887" s="6">
        <v>3</v>
      </c>
      <c r="H10887" s="6" t="s">
        <v>22094</v>
      </c>
      <c r="I10887" s="6">
        <v>526.5</v>
      </c>
      <c r="J10887" s="2">
        <f t="shared" si="170"/>
        <v>43748.277684594905</v>
      </c>
    </row>
    <row r="10888" spans="1:10" x14ac:dyDescent="0.25">
      <c r="A10888" s="7" t="s">
        <v>22095</v>
      </c>
      <c r="B10888" s="8">
        <v>393.75</v>
      </c>
      <c r="C10888" s="8">
        <v>20.478950000000001</v>
      </c>
      <c r="D10888" s="8">
        <v>108</v>
      </c>
      <c r="E10888" s="8">
        <v>0</v>
      </c>
      <c r="F10888" s="8">
        <v>0</v>
      </c>
      <c r="G10888" s="8">
        <v>7</v>
      </c>
      <c r="H10888" s="8" t="s">
        <v>22096</v>
      </c>
      <c r="I10888" s="8">
        <v>526.6875</v>
      </c>
      <c r="J10888" s="3">
        <f t="shared" si="170"/>
        <v>43748.277755949071</v>
      </c>
    </row>
    <row r="10889" spans="1:10" x14ac:dyDescent="0.25">
      <c r="A10889" s="5" t="s">
        <v>22097</v>
      </c>
      <c r="B10889" s="6">
        <v>393.75</v>
      </c>
      <c r="C10889" s="6">
        <v>20.478950000000001</v>
      </c>
      <c r="D10889" s="6">
        <v>108</v>
      </c>
      <c r="E10889" s="6">
        <v>0</v>
      </c>
      <c r="F10889" s="6">
        <v>0</v>
      </c>
      <c r="G10889" s="6">
        <v>6</v>
      </c>
      <c r="H10889" s="6" t="s">
        <v>22098</v>
      </c>
      <c r="I10889" s="6">
        <v>526.6875</v>
      </c>
      <c r="J10889" s="2">
        <f t="shared" si="170"/>
        <v>43748.277827245365</v>
      </c>
    </row>
    <row r="10890" spans="1:10" x14ac:dyDescent="0.25">
      <c r="A10890" s="7" t="s">
        <v>22099</v>
      </c>
      <c r="B10890" s="8">
        <v>393.75</v>
      </c>
      <c r="C10890" s="8">
        <v>20.426300000000001</v>
      </c>
      <c r="D10890" s="8">
        <v>109</v>
      </c>
      <c r="E10890" s="8">
        <v>0</v>
      </c>
      <c r="F10890" s="8">
        <v>0</v>
      </c>
      <c r="G10890" s="8">
        <v>5</v>
      </c>
      <c r="H10890" s="8" t="s">
        <v>22100</v>
      </c>
      <c r="I10890" s="8">
        <v>526.5</v>
      </c>
      <c r="J10890" s="3">
        <f t="shared" si="170"/>
        <v>43748.27789946759</v>
      </c>
    </row>
    <row r="10891" spans="1:10" x14ac:dyDescent="0.25">
      <c r="A10891" s="5" t="s">
        <v>22101</v>
      </c>
      <c r="B10891" s="6">
        <v>393.75</v>
      </c>
      <c r="C10891" s="6">
        <v>20.478950000000001</v>
      </c>
      <c r="D10891" s="6">
        <v>107</v>
      </c>
      <c r="E10891" s="6">
        <v>0</v>
      </c>
      <c r="F10891" s="6">
        <v>0</v>
      </c>
      <c r="G10891" s="6">
        <v>14</v>
      </c>
      <c r="H10891" s="6" t="s">
        <v>22102</v>
      </c>
      <c r="I10891" s="6">
        <v>526.6875</v>
      </c>
      <c r="J10891" s="2">
        <f t="shared" si="170"/>
        <v>43748.277979976854</v>
      </c>
    </row>
    <row r="10892" spans="1:10" x14ac:dyDescent="0.25">
      <c r="A10892" s="7" t="s">
        <v>22103</v>
      </c>
      <c r="B10892" s="8">
        <v>412.5</v>
      </c>
      <c r="C10892" s="8">
        <v>20.478950000000001</v>
      </c>
      <c r="D10892" s="8">
        <v>107</v>
      </c>
      <c r="E10892" s="8">
        <v>0</v>
      </c>
      <c r="F10892" s="8">
        <v>0</v>
      </c>
      <c r="G10892" s="8">
        <v>4</v>
      </c>
      <c r="H10892" s="8" t="s">
        <v>22104</v>
      </c>
      <c r="I10892" s="8">
        <v>532.5</v>
      </c>
      <c r="J10892" s="3">
        <f t="shared" si="170"/>
        <v>43748.278054085647</v>
      </c>
    </row>
    <row r="10893" spans="1:10" x14ac:dyDescent="0.25">
      <c r="A10893" s="5" t="s">
        <v>22105</v>
      </c>
      <c r="B10893" s="6">
        <v>393.75</v>
      </c>
      <c r="C10893" s="6">
        <v>20.426300000000001</v>
      </c>
      <c r="D10893" s="6">
        <v>107</v>
      </c>
      <c r="E10893" s="6">
        <v>0</v>
      </c>
      <c r="F10893" s="6">
        <v>0</v>
      </c>
      <c r="G10893" s="6">
        <v>2</v>
      </c>
      <c r="H10893" s="6" t="s">
        <v>22106</v>
      </c>
      <c r="I10893" s="6">
        <v>526.6875</v>
      </c>
      <c r="J10893" s="2">
        <f t="shared" si="170"/>
        <v>43748.278149363425</v>
      </c>
    </row>
    <row r="10894" spans="1:10" x14ac:dyDescent="0.25">
      <c r="A10894" s="7" t="s">
        <v>22107</v>
      </c>
      <c r="B10894" s="8">
        <v>393.75</v>
      </c>
      <c r="C10894" s="8">
        <v>20.478950000000001</v>
      </c>
      <c r="D10894" s="8">
        <v>108</v>
      </c>
      <c r="E10894" s="8">
        <v>0</v>
      </c>
      <c r="F10894" s="8">
        <v>0</v>
      </c>
      <c r="G10894" s="8">
        <v>6</v>
      </c>
      <c r="H10894" s="8" t="s">
        <v>22108</v>
      </c>
      <c r="I10894" s="8">
        <v>526.6875</v>
      </c>
      <c r="J10894" s="3">
        <f t="shared" si="170"/>
        <v>43748.278220752312</v>
      </c>
    </row>
    <row r="10895" spans="1:10" x14ac:dyDescent="0.25">
      <c r="A10895" s="5" t="s">
        <v>22109</v>
      </c>
      <c r="B10895" s="6">
        <v>393.75</v>
      </c>
      <c r="C10895" s="6">
        <v>20.426300000000001</v>
      </c>
      <c r="D10895" s="6">
        <v>108</v>
      </c>
      <c r="E10895" s="6">
        <v>0</v>
      </c>
      <c r="F10895" s="6">
        <v>0</v>
      </c>
      <c r="G10895" s="6">
        <v>1</v>
      </c>
      <c r="H10895" s="6" t="s">
        <v>22110</v>
      </c>
      <c r="I10895" s="6">
        <v>526.6875</v>
      </c>
      <c r="J10895" s="2">
        <f t="shared" si="170"/>
        <v>43748.278292986106</v>
      </c>
    </row>
    <row r="10896" spans="1:10" x14ac:dyDescent="0.25">
      <c r="A10896" s="7" t="s">
        <v>22111</v>
      </c>
      <c r="B10896" s="8">
        <v>393.75</v>
      </c>
      <c r="C10896" s="8">
        <v>20.478950000000001</v>
      </c>
      <c r="D10896" s="8">
        <v>108</v>
      </c>
      <c r="E10896" s="8">
        <v>0</v>
      </c>
      <c r="F10896" s="8">
        <v>0</v>
      </c>
      <c r="G10896" s="8">
        <v>0</v>
      </c>
      <c r="H10896" s="8" t="s">
        <v>22112</v>
      </c>
      <c r="I10896" s="8">
        <v>526.6875</v>
      </c>
      <c r="J10896" s="3">
        <f t="shared" si="170"/>
        <v>43748.2783642824</v>
      </c>
    </row>
    <row r="10897" spans="1:10" x14ac:dyDescent="0.25">
      <c r="A10897" s="5" t="s">
        <v>22113</v>
      </c>
      <c r="B10897" s="6">
        <v>393.75</v>
      </c>
      <c r="C10897" s="6">
        <v>20.478950000000001</v>
      </c>
      <c r="D10897" s="6">
        <v>108</v>
      </c>
      <c r="E10897" s="6">
        <v>0</v>
      </c>
      <c r="F10897" s="6">
        <v>0</v>
      </c>
      <c r="G10897" s="6">
        <v>3</v>
      </c>
      <c r="H10897" s="6" t="s">
        <v>22114</v>
      </c>
      <c r="I10897" s="6">
        <v>526.6875</v>
      </c>
      <c r="J10897" s="2">
        <f t="shared" si="170"/>
        <v>43748.278435567125</v>
      </c>
    </row>
    <row r="10898" spans="1:10" x14ac:dyDescent="0.25">
      <c r="A10898" s="7" t="s">
        <v>22115</v>
      </c>
      <c r="B10898" s="8">
        <v>393.75</v>
      </c>
      <c r="C10898" s="8">
        <v>20.478950000000001</v>
      </c>
      <c r="D10898" s="8">
        <v>108</v>
      </c>
      <c r="E10898" s="8">
        <v>0</v>
      </c>
      <c r="F10898" s="8">
        <v>0</v>
      </c>
      <c r="G10898" s="8">
        <v>0</v>
      </c>
      <c r="H10898" s="8" t="s">
        <v>22116</v>
      </c>
      <c r="I10898" s="8">
        <v>526.6875</v>
      </c>
      <c r="J10898" s="3">
        <f t="shared" si="170"/>
        <v>43748.278507002316</v>
      </c>
    </row>
    <row r="10899" spans="1:10" x14ac:dyDescent="0.25">
      <c r="A10899" s="5" t="s">
        <v>22117</v>
      </c>
      <c r="B10899" s="6">
        <v>412.5</v>
      </c>
      <c r="C10899" s="6">
        <v>20.426300000000001</v>
      </c>
      <c r="D10899" s="6">
        <v>108</v>
      </c>
      <c r="E10899" s="6">
        <v>0</v>
      </c>
      <c r="F10899" s="6">
        <v>0</v>
      </c>
      <c r="G10899" s="6">
        <v>8</v>
      </c>
      <c r="H10899" s="6" t="s">
        <v>22118</v>
      </c>
      <c r="I10899" s="6">
        <v>532.125</v>
      </c>
      <c r="J10899" s="2">
        <f t="shared" si="170"/>
        <v>43748.278579004625</v>
      </c>
    </row>
    <row r="10900" spans="1:10" x14ac:dyDescent="0.25">
      <c r="A10900" s="7" t="s">
        <v>22119</v>
      </c>
      <c r="B10900" s="8">
        <v>393.75</v>
      </c>
      <c r="C10900" s="8">
        <v>20.478950000000001</v>
      </c>
      <c r="D10900" s="8">
        <v>108</v>
      </c>
      <c r="E10900" s="8">
        <v>0</v>
      </c>
      <c r="F10900" s="8">
        <v>0</v>
      </c>
      <c r="G10900" s="8">
        <v>6</v>
      </c>
      <c r="H10900" s="8" t="s">
        <v>22120</v>
      </c>
      <c r="I10900" s="8">
        <v>526.6875</v>
      </c>
      <c r="J10900" s="3">
        <f t="shared" si="170"/>
        <v>43748.278650474538</v>
      </c>
    </row>
    <row r="10901" spans="1:10" x14ac:dyDescent="0.25">
      <c r="A10901" s="5" t="s">
        <v>22121</v>
      </c>
      <c r="B10901" s="6">
        <v>393.75</v>
      </c>
      <c r="C10901" s="6">
        <v>20.478950000000001</v>
      </c>
      <c r="D10901" s="6">
        <v>108</v>
      </c>
      <c r="E10901" s="6">
        <v>0</v>
      </c>
      <c r="F10901" s="6">
        <v>0</v>
      </c>
      <c r="G10901" s="6">
        <v>1</v>
      </c>
      <c r="H10901" s="6" t="s">
        <v>22122</v>
      </c>
      <c r="I10901" s="6">
        <v>526.6875</v>
      </c>
      <c r="J10901" s="2">
        <f t="shared" si="170"/>
        <v>43748.278721678238</v>
      </c>
    </row>
    <row r="10902" spans="1:10" x14ac:dyDescent="0.25">
      <c r="A10902" s="7" t="s">
        <v>22123</v>
      </c>
      <c r="B10902" s="8">
        <v>393.75</v>
      </c>
      <c r="C10902" s="8">
        <v>20.478950000000001</v>
      </c>
      <c r="D10902" s="8">
        <v>106</v>
      </c>
      <c r="E10902" s="8">
        <v>0</v>
      </c>
      <c r="F10902" s="8">
        <v>0</v>
      </c>
      <c r="G10902" s="8">
        <v>4</v>
      </c>
      <c r="H10902" s="8" t="s">
        <v>22124</v>
      </c>
      <c r="I10902" s="8">
        <v>526.5</v>
      </c>
      <c r="J10902" s="3">
        <f t="shared" si="170"/>
        <v>43748.278793912039</v>
      </c>
    </row>
    <row r="10903" spans="1:10" x14ac:dyDescent="0.25">
      <c r="A10903" s="5" t="s">
        <v>22125</v>
      </c>
      <c r="B10903" s="6">
        <v>428.125</v>
      </c>
      <c r="C10903" s="6">
        <v>20.478950000000001</v>
      </c>
      <c r="D10903" s="6">
        <v>108</v>
      </c>
      <c r="E10903" s="6">
        <v>0</v>
      </c>
      <c r="F10903" s="6">
        <v>0</v>
      </c>
      <c r="G10903" s="6">
        <v>0</v>
      </c>
      <c r="H10903" s="6" t="s">
        <v>22126</v>
      </c>
      <c r="I10903" s="6">
        <v>537.1875</v>
      </c>
      <c r="J10903" s="2">
        <f t="shared" si="170"/>
        <v>43748.278865208333</v>
      </c>
    </row>
    <row r="10904" spans="1:10" x14ac:dyDescent="0.25">
      <c r="A10904" s="7" t="s">
        <v>22127</v>
      </c>
      <c r="B10904" s="8">
        <v>393.75</v>
      </c>
      <c r="C10904" s="8">
        <v>20.478950000000001</v>
      </c>
      <c r="D10904" s="8">
        <v>108</v>
      </c>
      <c r="E10904" s="8">
        <v>0</v>
      </c>
      <c r="F10904" s="8">
        <v>0</v>
      </c>
      <c r="G10904" s="8">
        <v>10</v>
      </c>
      <c r="H10904" s="8" t="s">
        <v>22128</v>
      </c>
      <c r="I10904" s="8">
        <v>526.5</v>
      </c>
      <c r="J10904" s="3">
        <f t="shared" si="170"/>
        <v>43748.278936493058</v>
      </c>
    </row>
    <row r="10905" spans="1:10" x14ac:dyDescent="0.25">
      <c r="A10905" s="5" t="s">
        <v>22129</v>
      </c>
      <c r="B10905" s="6">
        <v>393.75</v>
      </c>
      <c r="C10905" s="6">
        <v>20.478950000000001</v>
      </c>
      <c r="D10905" s="6">
        <v>108</v>
      </c>
      <c r="E10905" s="6">
        <v>0</v>
      </c>
      <c r="F10905" s="6">
        <v>0</v>
      </c>
      <c r="G10905" s="6">
        <v>9</v>
      </c>
      <c r="H10905" s="6" t="s">
        <v>22130</v>
      </c>
      <c r="I10905" s="6">
        <v>526.6875</v>
      </c>
      <c r="J10905" s="2">
        <f t="shared" si="170"/>
        <v>43748.279019861111</v>
      </c>
    </row>
    <row r="10906" spans="1:10" x14ac:dyDescent="0.25">
      <c r="A10906" s="7" t="s">
        <v>22131</v>
      </c>
      <c r="B10906" s="8">
        <v>393.75</v>
      </c>
      <c r="C10906" s="8">
        <v>20.426300000000001</v>
      </c>
      <c r="D10906" s="8">
        <v>107</v>
      </c>
      <c r="E10906" s="8">
        <v>0</v>
      </c>
      <c r="F10906" s="8">
        <v>0</v>
      </c>
      <c r="G10906" s="8">
        <v>10</v>
      </c>
      <c r="H10906" s="8" t="s">
        <v>22132</v>
      </c>
      <c r="I10906" s="8">
        <v>526.5</v>
      </c>
      <c r="J10906" s="3">
        <f t="shared" si="170"/>
        <v>43748.279092083329</v>
      </c>
    </row>
    <row r="10907" spans="1:10" x14ac:dyDescent="0.25">
      <c r="A10907" s="5" t="s">
        <v>22133</v>
      </c>
      <c r="B10907" s="6">
        <v>393.75</v>
      </c>
      <c r="C10907" s="6">
        <v>20.478950000000001</v>
      </c>
      <c r="D10907" s="6">
        <v>109</v>
      </c>
      <c r="E10907" s="6">
        <v>0</v>
      </c>
      <c r="F10907" s="6">
        <v>0</v>
      </c>
      <c r="G10907" s="6">
        <v>3</v>
      </c>
      <c r="H10907" s="6" t="s">
        <v>22134</v>
      </c>
      <c r="I10907" s="6">
        <v>526.6875</v>
      </c>
      <c r="J10907" s="2">
        <f t="shared" si="170"/>
        <v>43748.279163379622</v>
      </c>
    </row>
    <row r="10908" spans="1:10" x14ac:dyDescent="0.25">
      <c r="A10908" s="7" t="s">
        <v>22135</v>
      </c>
      <c r="B10908" s="8">
        <v>393.75</v>
      </c>
      <c r="C10908" s="8">
        <v>20.478950000000001</v>
      </c>
      <c r="D10908" s="8">
        <v>109</v>
      </c>
      <c r="E10908" s="8">
        <v>0</v>
      </c>
      <c r="F10908" s="8">
        <v>0</v>
      </c>
      <c r="G10908" s="8">
        <v>10</v>
      </c>
      <c r="H10908" s="8" t="s">
        <v>22136</v>
      </c>
      <c r="I10908" s="8">
        <v>526.6875</v>
      </c>
      <c r="J10908" s="3">
        <f t="shared" si="170"/>
        <v>43748.279234560185</v>
      </c>
    </row>
    <row r="10909" spans="1:10" x14ac:dyDescent="0.25">
      <c r="A10909" s="5" t="s">
        <v>22137</v>
      </c>
      <c r="B10909" s="6">
        <v>393.75</v>
      </c>
      <c r="C10909" s="6">
        <v>20.478950000000001</v>
      </c>
      <c r="D10909" s="6">
        <v>109</v>
      </c>
      <c r="E10909" s="6">
        <v>0</v>
      </c>
      <c r="F10909" s="6">
        <v>0</v>
      </c>
      <c r="G10909" s="6">
        <v>5</v>
      </c>
      <c r="H10909" s="6" t="s">
        <v>22138</v>
      </c>
      <c r="I10909" s="6">
        <v>526.6875</v>
      </c>
      <c r="J10909" s="2">
        <f t="shared" si="170"/>
        <v>43748.27930603009</v>
      </c>
    </row>
    <row r="10910" spans="1:10" x14ac:dyDescent="0.25">
      <c r="A10910" s="7" t="s">
        <v>22139</v>
      </c>
      <c r="B10910" s="8">
        <v>393.75</v>
      </c>
      <c r="C10910" s="8">
        <v>20.426300000000001</v>
      </c>
      <c r="D10910" s="8">
        <v>109</v>
      </c>
      <c r="E10910" s="8">
        <v>0</v>
      </c>
      <c r="F10910" s="8">
        <v>0</v>
      </c>
      <c r="G10910" s="8">
        <v>6</v>
      </c>
      <c r="H10910" s="8" t="s">
        <v>22140</v>
      </c>
      <c r="I10910" s="8">
        <v>526.6875</v>
      </c>
      <c r="J10910" s="3">
        <f t="shared" si="170"/>
        <v>43748.279378125</v>
      </c>
    </row>
    <row r="10911" spans="1:10" x14ac:dyDescent="0.25">
      <c r="A10911" s="5" t="s">
        <v>22141</v>
      </c>
      <c r="B10911" s="6">
        <v>412.5</v>
      </c>
      <c r="C10911" s="6">
        <v>20.478950000000001</v>
      </c>
      <c r="D10911" s="6">
        <v>110</v>
      </c>
      <c r="E10911" s="6">
        <v>0</v>
      </c>
      <c r="F10911" s="6">
        <v>0</v>
      </c>
      <c r="G10911" s="6">
        <v>11</v>
      </c>
      <c r="H10911" s="6" t="s">
        <v>22142</v>
      </c>
      <c r="I10911" s="6">
        <v>532.3125</v>
      </c>
      <c r="J10911" s="2">
        <f t="shared" si="170"/>
        <v>43748.279449490736</v>
      </c>
    </row>
    <row r="10912" spans="1:10" x14ac:dyDescent="0.25">
      <c r="A10912" s="7" t="s">
        <v>22143</v>
      </c>
      <c r="B10912" s="8">
        <v>393.75</v>
      </c>
      <c r="C10912" s="8">
        <v>20.426300000000001</v>
      </c>
      <c r="D10912" s="8">
        <v>109</v>
      </c>
      <c r="E10912" s="8">
        <v>0</v>
      </c>
      <c r="F10912" s="8">
        <v>0</v>
      </c>
      <c r="G10912" s="8">
        <v>7</v>
      </c>
      <c r="H10912" s="8" t="s">
        <v>22144</v>
      </c>
      <c r="I10912" s="8">
        <v>526.6875</v>
      </c>
      <c r="J10912" s="3">
        <f t="shared" si="170"/>
        <v>43748.279520833334</v>
      </c>
    </row>
    <row r="10913" spans="1:10" x14ac:dyDescent="0.25">
      <c r="A10913" s="5" t="s">
        <v>22145</v>
      </c>
      <c r="B10913" s="6">
        <v>393.75</v>
      </c>
      <c r="C10913" s="6">
        <v>20.426300000000001</v>
      </c>
      <c r="D10913" s="6">
        <v>109</v>
      </c>
      <c r="E10913" s="6">
        <v>0</v>
      </c>
      <c r="F10913" s="6">
        <v>0</v>
      </c>
      <c r="G10913" s="6">
        <v>4</v>
      </c>
      <c r="H10913" s="6" t="s">
        <v>22146</v>
      </c>
      <c r="I10913" s="6">
        <v>526.6875</v>
      </c>
      <c r="J10913" s="2">
        <f t="shared" si="170"/>
        <v>43748.279592199069</v>
      </c>
    </row>
    <row r="10914" spans="1:10" x14ac:dyDescent="0.25">
      <c r="A10914" s="7" t="s">
        <v>22147</v>
      </c>
      <c r="B10914" s="8">
        <v>393.75</v>
      </c>
      <c r="C10914" s="8">
        <v>20.426300000000001</v>
      </c>
      <c r="D10914" s="8">
        <v>109</v>
      </c>
      <c r="E10914" s="8">
        <v>0</v>
      </c>
      <c r="F10914" s="8">
        <v>0</v>
      </c>
      <c r="G10914" s="8">
        <v>7</v>
      </c>
      <c r="H10914" s="8" t="s">
        <v>22148</v>
      </c>
      <c r="I10914" s="8">
        <v>526.5</v>
      </c>
      <c r="J10914" s="3">
        <f t="shared" si="170"/>
        <v>43748.27966422453</v>
      </c>
    </row>
    <row r="10915" spans="1:10" x14ac:dyDescent="0.25">
      <c r="A10915" s="5" t="s">
        <v>22149</v>
      </c>
      <c r="B10915" s="6">
        <v>393.75</v>
      </c>
      <c r="C10915" s="6">
        <v>20.478950000000001</v>
      </c>
      <c r="D10915" s="6">
        <v>109</v>
      </c>
      <c r="E10915" s="6">
        <v>0</v>
      </c>
      <c r="F10915" s="6">
        <v>0</v>
      </c>
      <c r="G10915" s="6">
        <v>9</v>
      </c>
      <c r="H10915" s="6" t="s">
        <v>22150</v>
      </c>
      <c r="I10915" s="6">
        <v>526.6875</v>
      </c>
      <c r="J10915" s="2">
        <f t="shared" si="170"/>
        <v>43748.279735601849</v>
      </c>
    </row>
    <row r="10916" spans="1:10" x14ac:dyDescent="0.25">
      <c r="A10916" s="7" t="s">
        <v>22151</v>
      </c>
      <c r="B10916" s="8">
        <v>393.75</v>
      </c>
      <c r="C10916" s="8">
        <v>20.478950000000001</v>
      </c>
      <c r="D10916" s="8">
        <v>108</v>
      </c>
      <c r="E10916" s="8">
        <v>0</v>
      </c>
      <c r="F10916" s="8">
        <v>0</v>
      </c>
      <c r="G10916" s="8">
        <v>7</v>
      </c>
      <c r="H10916" s="8" t="s">
        <v>22152</v>
      </c>
      <c r="I10916" s="8">
        <v>526.6875</v>
      </c>
      <c r="J10916" s="3">
        <f t="shared" si="170"/>
        <v>43748.279806886574</v>
      </c>
    </row>
    <row r="10917" spans="1:10" x14ac:dyDescent="0.25">
      <c r="A10917" s="5" t="s">
        <v>22153</v>
      </c>
      <c r="B10917" s="6">
        <v>393.75</v>
      </c>
      <c r="C10917" s="6">
        <v>20.426300000000001</v>
      </c>
      <c r="D10917" s="6">
        <v>108</v>
      </c>
      <c r="E10917" s="6">
        <v>0</v>
      </c>
      <c r="F10917" s="6">
        <v>0</v>
      </c>
      <c r="G10917" s="6">
        <v>8</v>
      </c>
      <c r="H10917" s="6" t="s">
        <v>22154</v>
      </c>
      <c r="I10917" s="6">
        <v>526.6875</v>
      </c>
      <c r="J10917" s="2">
        <f t="shared" si="170"/>
        <v>43748.279878946756</v>
      </c>
    </row>
    <row r="10918" spans="1:10" x14ac:dyDescent="0.25">
      <c r="A10918" s="7" t="s">
        <v>22155</v>
      </c>
      <c r="B10918" s="8">
        <v>393.75</v>
      </c>
      <c r="C10918" s="8">
        <v>20.426300000000001</v>
      </c>
      <c r="D10918" s="8">
        <v>108</v>
      </c>
      <c r="E10918" s="8">
        <v>0</v>
      </c>
      <c r="F10918" s="8">
        <v>0</v>
      </c>
      <c r="G10918" s="8">
        <v>7</v>
      </c>
      <c r="H10918" s="8" t="s">
        <v>22156</v>
      </c>
      <c r="I10918" s="8">
        <v>526.6875</v>
      </c>
      <c r="J10918" s="3">
        <f t="shared" si="170"/>
        <v>43748.279950358796</v>
      </c>
    </row>
    <row r="10919" spans="1:10" x14ac:dyDescent="0.25">
      <c r="A10919" s="5" t="s">
        <v>22157</v>
      </c>
      <c r="B10919" s="6">
        <v>396.875</v>
      </c>
      <c r="C10919" s="6">
        <v>20.478950000000001</v>
      </c>
      <c r="D10919" s="6">
        <v>107</v>
      </c>
      <c r="E10919" s="6">
        <v>0</v>
      </c>
      <c r="F10919" s="6">
        <v>0</v>
      </c>
      <c r="G10919" s="6">
        <v>12</v>
      </c>
      <c r="H10919" s="6" t="s">
        <v>22158</v>
      </c>
      <c r="I10919" s="6">
        <v>527.4375</v>
      </c>
      <c r="J10919" s="2">
        <f t="shared" si="170"/>
        <v>43748.280021701386</v>
      </c>
    </row>
    <row r="10920" spans="1:10" x14ac:dyDescent="0.25">
      <c r="A10920" s="7" t="s">
        <v>22159</v>
      </c>
      <c r="B10920" s="8">
        <v>396.875</v>
      </c>
      <c r="C10920" s="8">
        <v>20.478950000000001</v>
      </c>
      <c r="D10920" s="8">
        <v>107</v>
      </c>
      <c r="E10920" s="8">
        <v>0</v>
      </c>
      <c r="F10920" s="8">
        <v>0</v>
      </c>
      <c r="G10920" s="8">
        <v>6</v>
      </c>
      <c r="H10920" s="8" t="s">
        <v>22160</v>
      </c>
      <c r="I10920" s="8">
        <v>527.4375</v>
      </c>
      <c r="J10920" s="3">
        <f t="shared" si="170"/>
        <v>43748.280104861107</v>
      </c>
    </row>
    <row r="10921" spans="1:10" x14ac:dyDescent="0.25">
      <c r="A10921" s="5" t="s">
        <v>22161</v>
      </c>
      <c r="B10921" s="6">
        <v>396.875</v>
      </c>
      <c r="C10921" s="6">
        <v>20.478950000000001</v>
      </c>
      <c r="D10921" s="6">
        <v>107</v>
      </c>
      <c r="E10921" s="6">
        <v>0</v>
      </c>
      <c r="F10921" s="6">
        <v>0</v>
      </c>
      <c r="G10921" s="6">
        <v>8</v>
      </c>
      <c r="H10921" s="6" t="s">
        <v>22162</v>
      </c>
      <c r="I10921" s="6">
        <v>527.4375</v>
      </c>
      <c r="J10921" s="2">
        <f t="shared" si="170"/>
        <v>43748.280177083332</v>
      </c>
    </row>
    <row r="10922" spans="1:10" x14ac:dyDescent="0.25">
      <c r="A10922" s="7" t="s">
        <v>22163</v>
      </c>
      <c r="B10922" s="8">
        <v>396.875</v>
      </c>
      <c r="C10922" s="8">
        <v>20.426300000000001</v>
      </c>
      <c r="D10922" s="8">
        <v>107</v>
      </c>
      <c r="E10922" s="8">
        <v>0</v>
      </c>
      <c r="F10922" s="8">
        <v>0</v>
      </c>
      <c r="G10922" s="8">
        <v>7</v>
      </c>
      <c r="H10922" s="8" t="s">
        <v>22164</v>
      </c>
      <c r="I10922" s="8">
        <v>527.4375</v>
      </c>
      <c r="J10922" s="3">
        <f t="shared" si="170"/>
        <v>43748.280247754628</v>
      </c>
    </row>
    <row r="10923" spans="1:10" x14ac:dyDescent="0.25">
      <c r="A10923" s="5" t="s">
        <v>22165</v>
      </c>
      <c r="B10923" s="6">
        <v>425</v>
      </c>
      <c r="C10923" s="6">
        <v>20.478950000000001</v>
      </c>
      <c r="D10923" s="6">
        <v>107</v>
      </c>
      <c r="E10923" s="6">
        <v>0</v>
      </c>
      <c r="F10923" s="6">
        <v>0</v>
      </c>
      <c r="G10923" s="6">
        <v>9</v>
      </c>
      <c r="H10923" s="6" t="s">
        <v>22166</v>
      </c>
      <c r="I10923" s="6">
        <v>536.25</v>
      </c>
      <c r="J10923" s="2">
        <f t="shared" si="170"/>
        <v>43748.280319849531</v>
      </c>
    </row>
    <row r="10924" spans="1:10" x14ac:dyDescent="0.25">
      <c r="A10924" s="7" t="s">
        <v>22167</v>
      </c>
      <c r="B10924" s="8">
        <v>396.875</v>
      </c>
      <c r="C10924" s="8">
        <v>20.478950000000001</v>
      </c>
      <c r="D10924" s="8">
        <v>108</v>
      </c>
      <c r="E10924" s="8">
        <v>0</v>
      </c>
      <c r="F10924" s="8">
        <v>0</v>
      </c>
      <c r="G10924" s="8">
        <v>8</v>
      </c>
      <c r="H10924" s="8" t="s">
        <v>22168</v>
      </c>
      <c r="I10924" s="8">
        <v>527.4375</v>
      </c>
      <c r="J10924" s="3">
        <f t="shared" si="170"/>
        <v>43748.280391099535</v>
      </c>
    </row>
    <row r="10925" spans="1:10" x14ac:dyDescent="0.25">
      <c r="A10925" s="5" t="s">
        <v>22169</v>
      </c>
      <c r="B10925" s="6">
        <v>396.875</v>
      </c>
      <c r="C10925" s="6">
        <v>20.478950000000001</v>
      </c>
      <c r="D10925" s="6">
        <v>107</v>
      </c>
      <c r="E10925" s="6">
        <v>0</v>
      </c>
      <c r="F10925" s="6">
        <v>0</v>
      </c>
      <c r="G10925" s="6">
        <v>13</v>
      </c>
      <c r="H10925" s="6" t="s">
        <v>22170</v>
      </c>
      <c r="I10925" s="6">
        <v>527.4375</v>
      </c>
      <c r="J10925" s="2">
        <f t="shared" si="170"/>
        <v>43748.280462627314</v>
      </c>
    </row>
    <row r="10926" spans="1:10" x14ac:dyDescent="0.25">
      <c r="A10926" s="7" t="s">
        <v>22171</v>
      </c>
      <c r="B10926" s="8">
        <v>393.75</v>
      </c>
      <c r="C10926" s="8">
        <v>20.478950000000001</v>
      </c>
      <c r="D10926" s="8">
        <v>107</v>
      </c>
      <c r="E10926" s="8">
        <v>0</v>
      </c>
      <c r="F10926" s="8">
        <v>0</v>
      </c>
      <c r="G10926" s="8">
        <v>6</v>
      </c>
      <c r="H10926" s="8" t="s">
        <v>22172</v>
      </c>
      <c r="I10926" s="8">
        <v>526.6875</v>
      </c>
      <c r="J10926" s="3">
        <f t="shared" si="170"/>
        <v>43748.280534548605</v>
      </c>
    </row>
    <row r="10927" spans="1:10" x14ac:dyDescent="0.25">
      <c r="A10927" s="5" t="s">
        <v>22173</v>
      </c>
      <c r="B10927" s="6">
        <v>393.75</v>
      </c>
      <c r="C10927" s="6">
        <v>20.478950000000001</v>
      </c>
      <c r="D10927" s="6">
        <v>107</v>
      </c>
      <c r="E10927" s="6">
        <v>0</v>
      </c>
      <c r="F10927" s="6">
        <v>0</v>
      </c>
      <c r="G10927" s="6">
        <v>10</v>
      </c>
      <c r="H10927" s="6" t="s">
        <v>22174</v>
      </c>
      <c r="I10927" s="6">
        <v>526.5</v>
      </c>
      <c r="J10927" s="2">
        <f t="shared" si="170"/>
        <v>43748.280606145832</v>
      </c>
    </row>
    <row r="10928" spans="1:10" x14ac:dyDescent="0.25">
      <c r="A10928" s="7" t="s">
        <v>22175</v>
      </c>
      <c r="B10928" s="8">
        <v>393.75</v>
      </c>
      <c r="C10928" s="8">
        <v>20.478950000000001</v>
      </c>
      <c r="D10928" s="8">
        <v>108</v>
      </c>
      <c r="E10928" s="8">
        <v>0</v>
      </c>
      <c r="F10928" s="8">
        <v>0</v>
      </c>
      <c r="G10928" s="8">
        <v>3</v>
      </c>
      <c r="H10928" s="8" t="s">
        <v>22176</v>
      </c>
      <c r="I10928" s="8">
        <v>526.6875</v>
      </c>
      <c r="J10928" s="3">
        <f t="shared" si="170"/>
        <v>43748.280677256938</v>
      </c>
    </row>
    <row r="10929" spans="1:10" x14ac:dyDescent="0.25">
      <c r="A10929" s="5" t="s">
        <v>22177</v>
      </c>
      <c r="B10929" s="6">
        <v>393.75</v>
      </c>
      <c r="C10929" s="6">
        <v>20.478950000000001</v>
      </c>
      <c r="D10929" s="6">
        <v>108</v>
      </c>
      <c r="E10929" s="6">
        <v>0</v>
      </c>
      <c r="F10929" s="6">
        <v>0</v>
      </c>
      <c r="G10929" s="6">
        <v>7</v>
      </c>
      <c r="H10929" s="6" t="s">
        <v>22178</v>
      </c>
      <c r="I10929" s="6">
        <v>526.5</v>
      </c>
      <c r="J10929" s="2">
        <f t="shared" si="170"/>
        <v>43748.280749490739</v>
      </c>
    </row>
    <row r="10930" spans="1:10" x14ac:dyDescent="0.25">
      <c r="A10930" s="7" t="s">
        <v>22179</v>
      </c>
      <c r="B10930" s="8">
        <v>393.75</v>
      </c>
      <c r="C10930" s="8">
        <v>20.478950000000001</v>
      </c>
      <c r="D10930" s="8">
        <v>109</v>
      </c>
      <c r="E10930" s="8">
        <v>0</v>
      </c>
      <c r="F10930" s="8">
        <v>0</v>
      </c>
      <c r="G10930" s="8">
        <v>8</v>
      </c>
      <c r="H10930" s="8" t="s">
        <v>22180</v>
      </c>
      <c r="I10930" s="8">
        <v>526.6875</v>
      </c>
      <c r="J10930" s="3">
        <f t="shared" si="170"/>
        <v>43748.28082072916</v>
      </c>
    </row>
    <row r="10931" spans="1:10" x14ac:dyDescent="0.25">
      <c r="A10931" s="5" t="s">
        <v>22181</v>
      </c>
      <c r="B10931" s="6">
        <v>393.75</v>
      </c>
      <c r="C10931" s="6">
        <v>20.478950000000001</v>
      </c>
      <c r="D10931" s="6">
        <v>104</v>
      </c>
      <c r="E10931" s="6">
        <v>0</v>
      </c>
      <c r="F10931" s="6">
        <v>0</v>
      </c>
      <c r="G10931" s="6">
        <v>14</v>
      </c>
      <c r="H10931" s="6" t="s">
        <v>22182</v>
      </c>
      <c r="I10931" s="6">
        <v>526.5</v>
      </c>
      <c r="J10931" s="2">
        <f t="shared" si="170"/>
        <v>43748.280892060182</v>
      </c>
    </row>
    <row r="10932" spans="1:10" x14ac:dyDescent="0.25">
      <c r="A10932" s="7" t="s">
        <v>22183</v>
      </c>
      <c r="B10932" s="8">
        <v>412.5</v>
      </c>
      <c r="C10932" s="8">
        <v>20.478950000000001</v>
      </c>
      <c r="D10932" s="8">
        <v>100</v>
      </c>
      <c r="E10932" s="8">
        <v>0</v>
      </c>
      <c r="F10932" s="8">
        <v>0</v>
      </c>
      <c r="G10932" s="8">
        <v>7</v>
      </c>
      <c r="H10932" s="8" t="s">
        <v>22184</v>
      </c>
      <c r="I10932" s="8">
        <v>532.3125</v>
      </c>
      <c r="J10932" s="3">
        <f t="shared" si="170"/>
        <v>43748.280963553239</v>
      </c>
    </row>
    <row r="10933" spans="1:10" x14ac:dyDescent="0.25">
      <c r="A10933" s="5" t="s">
        <v>22185</v>
      </c>
      <c r="B10933" s="6">
        <v>393.75</v>
      </c>
      <c r="C10933" s="6">
        <v>20.426300000000001</v>
      </c>
      <c r="D10933" s="6">
        <v>100</v>
      </c>
      <c r="E10933" s="6">
        <v>0</v>
      </c>
      <c r="F10933" s="6">
        <v>0</v>
      </c>
      <c r="G10933" s="6">
        <v>7</v>
      </c>
      <c r="H10933" s="6" t="s">
        <v>22186</v>
      </c>
      <c r="I10933" s="6">
        <v>526.6875</v>
      </c>
      <c r="J10933" s="2">
        <f t="shared" si="170"/>
        <v>43748.281035532404</v>
      </c>
    </row>
    <row r="10934" spans="1:10" x14ac:dyDescent="0.25">
      <c r="A10934" s="7" t="s">
        <v>22187</v>
      </c>
      <c r="B10934" s="8">
        <v>393.75</v>
      </c>
      <c r="C10934" s="8">
        <v>20.426300000000001</v>
      </c>
      <c r="D10934" s="8">
        <v>100</v>
      </c>
      <c r="E10934" s="8">
        <v>0</v>
      </c>
      <c r="F10934" s="8">
        <v>0</v>
      </c>
      <c r="G10934" s="8">
        <v>21</v>
      </c>
      <c r="H10934" s="8" t="s">
        <v>22188</v>
      </c>
      <c r="I10934" s="8">
        <v>526.6875</v>
      </c>
      <c r="J10934" s="3">
        <f t="shared" si="170"/>
        <v>43748.281106481481</v>
      </c>
    </row>
    <row r="10935" spans="1:10" x14ac:dyDescent="0.25">
      <c r="A10935" s="5" t="s">
        <v>22189</v>
      </c>
      <c r="B10935" s="6">
        <v>393.75</v>
      </c>
      <c r="C10935" s="6">
        <v>20.478950000000001</v>
      </c>
      <c r="D10935" s="6">
        <v>101</v>
      </c>
      <c r="E10935" s="6">
        <v>0</v>
      </c>
      <c r="F10935" s="6">
        <v>0</v>
      </c>
      <c r="G10935" s="6">
        <v>6</v>
      </c>
      <c r="H10935" s="6" t="s">
        <v>22190</v>
      </c>
      <c r="I10935" s="6">
        <v>526.6875</v>
      </c>
      <c r="J10935" s="2">
        <f t="shared" si="170"/>
        <v>43748.281178136567</v>
      </c>
    </row>
    <row r="10936" spans="1:10" x14ac:dyDescent="0.25">
      <c r="A10936" s="7" t="s">
        <v>22191</v>
      </c>
      <c r="B10936" s="8">
        <v>421.875</v>
      </c>
      <c r="C10936" s="8">
        <v>20.478950000000001</v>
      </c>
      <c r="D10936" s="8">
        <v>100</v>
      </c>
      <c r="E10936" s="8">
        <v>0</v>
      </c>
      <c r="F10936" s="8">
        <v>0</v>
      </c>
      <c r="G10936" s="8">
        <v>5</v>
      </c>
      <c r="H10936" s="8" t="s">
        <v>22192</v>
      </c>
      <c r="I10936" s="8">
        <v>535.875</v>
      </c>
      <c r="J10936" s="3">
        <f t="shared" si="170"/>
        <v>43748.281249594904</v>
      </c>
    </row>
    <row r="10937" spans="1:10" x14ac:dyDescent="0.25">
      <c r="A10937" s="5" t="s">
        <v>22193</v>
      </c>
      <c r="B10937" s="6">
        <v>393.75</v>
      </c>
      <c r="C10937" s="6">
        <v>20.426300000000001</v>
      </c>
      <c r="D10937" s="6">
        <v>101</v>
      </c>
      <c r="E10937" s="6">
        <v>0</v>
      </c>
      <c r="F10937" s="6">
        <v>0</v>
      </c>
      <c r="G10937" s="6">
        <v>10</v>
      </c>
      <c r="H10937" s="6" t="s">
        <v>22194</v>
      </c>
      <c r="I10937" s="6">
        <v>526.6875</v>
      </c>
      <c r="J10937" s="2">
        <f t="shared" si="170"/>
        <v>43748.281321712959</v>
      </c>
    </row>
    <row r="10938" spans="1:10" x14ac:dyDescent="0.25">
      <c r="A10938" s="7" t="s">
        <v>22195</v>
      </c>
      <c r="B10938" s="8">
        <v>393.75</v>
      </c>
      <c r="C10938" s="8">
        <v>20.426300000000001</v>
      </c>
      <c r="D10938" s="8">
        <v>100</v>
      </c>
      <c r="E10938" s="8">
        <v>0</v>
      </c>
      <c r="F10938" s="8">
        <v>0</v>
      </c>
      <c r="G10938" s="8">
        <v>8</v>
      </c>
      <c r="H10938" s="8" t="s">
        <v>22196</v>
      </c>
      <c r="I10938" s="8">
        <v>526.6875</v>
      </c>
      <c r="J10938" s="3">
        <f t="shared" si="170"/>
        <v>43748.281417060185</v>
      </c>
    </row>
    <row r="10939" spans="1:10" x14ac:dyDescent="0.25">
      <c r="A10939" s="5" t="s">
        <v>22197</v>
      </c>
      <c r="B10939" s="6">
        <v>393.75</v>
      </c>
      <c r="C10939" s="6">
        <v>20.478950000000001</v>
      </c>
      <c r="D10939" s="6">
        <v>102</v>
      </c>
      <c r="E10939" s="6">
        <v>0</v>
      </c>
      <c r="F10939" s="6">
        <v>0</v>
      </c>
      <c r="G10939" s="6">
        <v>16</v>
      </c>
      <c r="H10939" s="6" t="s">
        <v>22198</v>
      </c>
      <c r="I10939" s="6">
        <v>526.5</v>
      </c>
      <c r="J10939" s="2">
        <f t="shared" si="170"/>
        <v>43748.281488356479</v>
      </c>
    </row>
    <row r="10940" spans="1:10" x14ac:dyDescent="0.25">
      <c r="A10940" s="7" t="s">
        <v>22199</v>
      </c>
      <c r="B10940" s="8">
        <v>396.875</v>
      </c>
      <c r="C10940" s="8">
        <v>20.478950000000001</v>
      </c>
      <c r="D10940" s="8">
        <v>102</v>
      </c>
      <c r="E10940" s="8">
        <v>0</v>
      </c>
      <c r="F10940" s="8">
        <v>0</v>
      </c>
      <c r="G10940" s="8">
        <v>19</v>
      </c>
      <c r="H10940" s="8" t="s">
        <v>22200</v>
      </c>
      <c r="I10940" s="8">
        <v>527.4375</v>
      </c>
      <c r="J10940" s="3">
        <f t="shared" si="170"/>
        <v>43748.281571631938</v>
      </c>
    </row>
    <row r="10941" spans="1:10" x14ac:dyDescent="0.25">
      <c r="A10941" s="5" t="s">
        <v>22201</v>
      </c>
      <c r="B10941" s="6">
        <v>400</v>
      </c>
      <c r="C10941" s="6">
        <v>20.426300000000001</v>
      </c>
      <c r="D10941" s="6">
        <v>102</v>
      </c>
      <c r="E10941" s="6">
        <v>0</v>
      </c>
      <c r="F10941" s="6">
        <v>0</v>
      </c>
      <c r="G10941" s="6">
        <v>9</v>
      </c>
      <c r="H10941" s="6" t="s">
        <v>22202</v>
      </c>
      <c r="I10941" s="6">
        <v>528.1875</v>
      </c>
      <c r="J10941" s="2">
        <f t="shared" si="170"/>
        <v>43748.281643912036</v>
      </c>
    </row>
    <row r="10942" spans="1:10" x14ac:dyDescent="0.25">
      <c r="A10942" s="7" t="s">
        <v>22203</v>
      </c>
      <c r="B10942" s="8">
        <v>418.75</v>
      </c>
      <c r="C10942" s="8">
        <v>20.478950000000001</v>
      </c>
      <c r="D10942" s="8">
        <v>103</v>
      </c>
      <c r="E10942" s="8">
        <v>0</v>
      </c>
      <c r="F10942" s="8">
        <v>0</v>
      </c>
      <c r="G10942" s="8">
        <v>7</v>
      </c>
      <c r="H10942" s="8" t="s">
        <v>22204</v>
      </c>
      <c r="I10942" s="8">
        <v>534.5625</v>
      </c>
      <c r="J10942" s="3">
        <f t="shared" si="170"/>
        <v>43748.281727245369</v>
      </c>
    </row>
    <row r="10943" spans="1:10" x14ac:dyDescent="0.25">
      <c r="A10943" s="5" t="s">
        <v>22205</v>
      </c>
      <c r="B10943" s="6">
        <v>400</v>
      </c>
      <c r="C10943" s="6">
        <v>20.426300000000001</v>
      </c>
      <c r="D10943" s="6">
        <v>103</v>
      </c>
      <c r="E10943" s="6">
        <v>0</v>
      </c>
      <c r="F10943" s="6">
        <v>0</v>
      </c>
      <c r="G10943" s="6">
        <v>5</v>
      </c>
      <c r="H10943" s="6" t="s">
        <v>22206</v>
      </c>
      <c r="I10943" s="6">
        <v>528.1875</v>
      </c>
      <c r="J10943" s="2">
        <f t="shared" si="170"/>
        <v>43748.281810578701</v>
      </c>
    </row>
    <row r="10944" spans="1:10" x14ac:dyDescent="0.25">
      <c r="A10944" s="7" t="s">
        <v>22207</v>
      </c>
      <c r="B10944" s="8">
        <v>396.875</v>
      </c>
      <c r="C10944" s="8">
        <v>20.478950000000001</v>
      </c>
      <c r="D10944" s="8">
        <v>104</v>
      </c>
      <c r="E10944" s="8">
        <v>0</v>
      </c>
      <c r="F10944" s="8">
        <v>0</v>
      </c>
      <c r="G10944" s="8">
        <v>14</v>
      </c>
      <c r="H10944" s="8" t="s">
        <v>22208</v>
      </c>
      <c r="I10944" s="8">
        <v>527.4375</v>
      </c>
      <c r="J10944" s="3">
        <f t="shared" si="170"/>
        <v>43748.281893912033</v>
      </c>
    </row>
    <row r="10945" spans="1:10" x14ac:dyDescent="0.25">
      <c r="A10945" s="5" t="s">
        <v>22209</v>
      </c>
      <c r="B10945" s="6">
        <v>393.75</v>
      </c>
      <c r="C10945" s="6">
        <v>20.478950000000001</v>
      </c>
      <c r="D10945" s="6">
        <v>104</v>
      </c>
      <c r="E10945" s="6">
        <v>0</v>
      </c>
      <c r="F10945" s="6">
        <v>0</v>
      </c>
      <c r="G10945" s="6">
        <v>18</v>
      </c>
      <c r="H10945" s="6" t="s">
        <v>22210</v>
      </c>
      <c r="I10945" s="6">
        <v>526.6875</v>
      </c>
      <c r="J10945" s="2">
        <f t="shared" si="170"/>
        <v>43748.281965208334</v>
      </c>
    </row>
    <row r="10946" spans="1:10" x14ac:dyDescent="0.25">
      <c r="A10946" s="7" t="s">
        <v>22211</v>
      </c>
      <c r="B10946" s="8">
        <v>393.75</v>
      </c>
      <c r="C10946" s="8">
        <v>20.478950000000001</v>
      </c>
      <c r="D10946" s="8">
        <v>105</v>
      </c>
      <c r="E10946" s="8">
        <v>0</v>
      </c>
      <c r="F10946" s="8">
        <v>0</v>
      </c>
      <c r="G10946" s="8">
        <v>15</v>
      </c>
      <c r="H10946" s="8" t="s">
        <v>22212</v>
      </c>
      <c r="I10946" s="8">
        <v>526.5</v>
      </c>
      <c r="J10946" s="3">
        <f t="shared" ref="J10946:J11009" si="171">(H10946/86400000)+25569+(7/24)</f>
        <v>43748.282048530091</v>
      </c>
    </row>
    <row r="10947" spans="1:10" x14ac:dyDescent="0.25">
      <c r="A10947" s="5" t="s">
        <v>22213</v>
      </c>
      <c r="B10947" s="6">
        <v>393.75</v>
      </c>
      <c r="C10947" s="6">
        <v>20.426300000000001</v>
      </c>
      <c r="D10947" s="6">
        <v>102</v>
      </c>
      <c r="E10947" s="6">
        <v>0</v>
      </c>
      <c r="F10947" s="6">
        <v>0</v>
      </c>
      <c r="G10947" s="6">
        <v>10</v>
      </c>
      <c r="H10947" s="6" t="s">
        <v>22214</v>
      </c>
      <c r="I10947" s="6">
        <v>526.6875</v>
      </c>
      <c r="J10947" s="2">
        <f t="shared" si="171"/>
        <v>43748.282120682867</v>
      </c>
    </row>
    <row r="10948" spans="1:10" x14ac:dyDescent="0.25">
      <c r="A10948" s="7" t="s">
        <v>22215</v>
      </c>
      <c r="B10948" s="8">
        <v>396.875</v>
      </c>
      <c r="C10948" s="8">
        <v>20.426300000000001</v>
      </c>
      <c r="D10948" s="8">
        <v>105</v>
      </c>
      <c r="E10948" s="8">
        <v>0</v>
      </c>
      <c r="F10948" s="8">
        <v>0</v>
      </c>
      <c r="G10948" s="8">
        <v>21</v>
      </c>
      <c r="H10948" s="8" t="s">
        <v>22216</v>
      </c>
      <c r="I10948" s="8">
        <v>527.4375</v>
      </c>
      <c r="J10948" s="3">
        <f t="shared" si="171"/>
        <v>43748.282192037033</v>
      </c>
    </row>
    <row r="10949" spans="1:10" x14ac:dyDescent="0.25">
      <c r="A10949" s="5" t="s">
        <v>22217</v>
      </c>
      <c r="B10949" s="6">
        <v>400</v>
      </c>
      <c r="C10949" s="6">
        <v>20.478950000000001</v>
      </c>
      <c r="D10949" s="6">
        <v>107</v>
      </c>
      <c r="E10949" s="6">
        <v>0</v>
      </c>
      <c r="F10949" s="6">
        <v>0</v>
      </c>
      <c r="G10949" s="6">
        <v>15</v>
      </c>
      <c r="H10949" s="6" t="s">
        <v>22218</v>
      </c>
      <c r="I10949" s="6">
        <v>528.1875</v>
      </c>
      <c r="J10949" s="2">
        <f t="shared" si="171"/>
        <v>43748.282274155092</v>
      </c>
    </row>
    <row r="10950" spans="1:10" x14ac:dyDescent="0.25">
      <c r="A10950" s="7" t="s">
        <v>22219</v>
      </c>
      <c r="B10950" s="8">
        <v>400</v>
      </c>
      <c r="C10950" s="8">
        <v>20.426300000000001</v>
      </c>
      <c r="D10950" s="8">
        <v>107</v>
      </c>
      <c r="E10950" s="8">
        <v>0</v>
      </c>
      <c r="F10950" s="8">
        <v>0</v>
      </c>
      <c r="G10950" s="8">
        <v>13</v>
      </c>
      <c r="H10950" s="8" t="s">
        <v>22220</v>
      </c>
      <c r="I10950" s="8">
        <v>528.1875</v>
      </c>
      <c r="J10950" s="3">
        <f t="shared" si="171"/>
        <v>43748.282346666667</v>
      </c>
    </row>
    <row r="10951" spans="1:10" x14ac:dyDescent="0.25">
      <c r="A10951" s="5" t="s">
        <v>22221</v>
      </c>
      <c r="B10951" s="6">
        <v>418.75</v>
      </c>
      <c r="C10951" s="6">
        <v>20.426300000000001</v>
      </c>
      <c r="D10951" s="6">
        <v>107</v>
      </c>
      <c r="E10951" s="6">
        <v>0</v>
      </c>
      <c r="F10951" s="6">
        <v>0</v>
      </c>
      <c r="G10951" s="6">
        <v>13</v>
      </c>
      <c r="H10951" s="6" t="s">
        <v>22222</v>
      </c>
      <c r="I10951" s="6">
        <v>534.5625</v>
      </c>
      <c r="J10951" s="2">
        <f t="shared" si="171"/>
        <v>43748.282418668976</v>
      </c>
    </row>
    <row r="10952" spans="1:10" x14ac:dyDescent="0.25">
      <c r="A10952" s="7" t="s">
        <v>22223</v>
      </c>
      <c r="B10952" s="8">
        <v>403.125</v>
      </c>
      <c r="C10952" s="8">
        <v>20.478950000000001</v>
      </c>
      <c r="D10952" s="8">
        <v>106</v>
      </c>
      <c r="E10952" s="8">
        <v>0</v>
      </c>
      <c r="F10952" s="8">
        <v>0</v>
      </c>
      <c r="G10952" s="8">
        <v>11</v>
      </c>
      <c r="H10952" s="8" t="s">
        <v>22224</v>
      </c>
      <c r="I10952" s="8">
        <v>529.125</v>
      </c>
      <c r="J10952" s="3">
        <f t="shared" si="171"/>
        <v>43748.282490127312</v>
      </c>
    </row>
    <row r="10953" spans="1:10" x14ac:dyDescent="0.25">
      <c r="A10953" s="5" t="s">
        <v>22225</v>
      </c>
      <c r="B10953" s="6">
        <v>400</v>
      </c>
      <c r="C10953" s="6">
        <v>20.426300000000001</v>
      </c>
      <c r="D10953" s="6">
        <v>105</v>
      </c>
      <c r="E10953" s="6">
        <v>0</v>
      </c>
      <c r="F10953" s="6">
        <v>0</v>
      </c>
      <c r="G10953" s="6">
        <v>20</v>
      </c>
      <c r="H10953" s="6" t="s">
        <v>22226</v>
      </c>
      <c r="I10953" s="6">
        <v>528.9375</v>
      </c>
      <c r="J10953" s="2">
        <f t="shared" si="171"/>
        <v>43748.282561435182</v>
      </c>
    </row>
    <row r="10954" spans="1:10" x14ac:dyDescent="0.25">
      <c r="A10954" s="7" t="s">
        <v>22227</v>
      </c>
      <c r="B10954" s="8">
        <v>403.125</v>
      </c>
      <c r="C10954" s="8">
        <v>20.478950000000001</v>
      </c>
      <c r="D10954" s="8">
        <v>104</v>
      </c>
      <c r="E10954" s="8">
        <v>0</v>
      </c>
      <c r="F10954" s="8">
        <v>0</v>
      </c>
      <c r="G10954" s="8">
        <v>8</v>
      </c>
      <c r="H10954" s="8" t="s">
        <v>22228</v>
      </c>
      <c r="I10954" s="8">
        <v>529.125</v>
      </c>
      <c r="J10954" s="3">
        <f t="shared" si="171"/>
        <v>43748.282632789349</v>
      </c>
    </row>
    <row r="10955" spans="1:10" x14ac:dyDescent="0.25">
      <c r="A10955" s="5" t="s">
        <v>22229</v>
      </c>
      <c r="B10955" s="6">
        <v>403.125</v>
      </c>
      <c r="C10955" s="6">
        <v>20.478950000000001</v>
      </c>
      <c r="D10955" s="6">
        <v>104</v>
      </c>
      <c r="E10955" s="6">
        <v>0</v>
      </c>
      <c r="F10955" s="6">
        <v>0</v>
      </c>
      <c r="G10955" s="6">
        <v>10</v>
      </c>
      <c r="H10955" s="6" t="s">
        <v>22230</v>
      </c>
      <c r="I10955" s="6">
        <v>529.125</v>
      </c>
      <c r="J10955" s="2">
        <f t="shared" si="171"/>
        <v>43748.28270502315</v>
      </c>
    </row>
    <row r="10956" spans="1:10" x14ac:dyDescent="0.25">
      <c r="A10956" s="7" t="s">
        <v>22231</v>
      </c>
      <c r="B10956" s="8">
        <v>403.125</v>
      </c>
      <c r="C10956" s="8">
        <v>20.478950000000001</v>
      </c>
      <c r="D10956" s="8">
        <v>103</v>
      </c>
      <c r="E10956" s="8">
        <v>0</v>
      </c>
      <c r="F10956" s="8">
        <v>0</v>
      </c>
      <c r="G10956" s="8">
        <v>14</v>
      </c>
      <c r="H10956" s="8" t="s">
        <v>22232</v>
      </c>
      <c r="I10956" s="8">
        <v>529.125</v>
      </c>
      <c r="J10956" s="3">
        <f t="shared" si="171"/>
        <v>43748.282776331012</v>
      </c>
    </row>
    <row r="10957" spans="1:10" x14ac:dyDescent="0.25">
      <c r="A10957" s="5" t="s">
        <v>22233</v>
      </c>
      <c r="B10957" s="6">
        <v>403.125</v>
      </c>
      <c r="C10957" s="6">
        <v>20.478950000000001</v>
      </c>
      <c r="D10957" s="6">
        <v>104</v>
      </c>
      <c r="E10957" s="6">
        <v>0</v>
      </c>
      <c r="F10957" s="6">
        <v>0</v>
      </c>
      <c r="G10957" s="6">
        <v>12</v>
      </c>
      <c r="H10957" s="6" t="s">
        <v>22234</v>
      </c>
      <c r="I10957" s="6">
        <v>529.875</v>
      </c>
      <c r="J10957" s="2">
        <f t="shared" si="171"/>
        <v>43748.2828596412</v>
      </c>
    </row>
    <row r="10958" spans="1:10" x14ac:dyDescent="0.25">
      <c r="A10958" s="7" t="s">
        <v>22235</v>
      </c>
      <c r="B10958" s="8">
        <v>403.125</v>
      </c>
      <c r="C10958" s="8">
        <v>20.478950000000001</v>
      </c>
      <c r="D10958" s="8">
        <v>104</v>
      </c>
      <c r="E10958" s="8">
        <v>0</v>
      </c>
      <c r="F10958" s="8">
        <v>0</v>
      </c>
      <c r="G10958" s="8">
        <v>8</v>
      </c>
      <c r="H10958" s="8" t="s">
        <v>22236</v>
      </c>
      <c r="I10958" s="8">
        <v>529.875</v>
      </c>
      <c r="J10958" s="3">
        <f t="shared" si="171"/>
        <v>43748.282930891197</v>
      </c>
    </row>
    <row r="10959" spans="1:10" x14ac:dyDescent="0.25">
      <c r="A10959" s="5" t="s">
        <v>22237</v>
      </c>
      <c r="B10959" s="6">
        <v>406.25</v>
      </c>
      <c r="C10959" s="6">
        <v>20.478950000000001</v>
      </c>
      <c r="D10959" s="6">
        <v>104</v>
      </c>
      <c r="E10959" s="6">
        <v>0</v>
      </c>
      <c r="F10959" s="6">
        <v>0</v>
      </c>
      <c r="G10959" s="6">
        <v>8</v>
      </c>
      <c r="H10959" s="6" t="s">
        <v>22238</v>
      </c>
      <c r="I10959" s="6">
        <v>530.625</v>
      </c>
      <c r="J10959" s="2">
        <f t="shared" si="171"/>
        <v>43748.283002928241</v>
      </c>
    </row>
    <row r="10960" spans="1:10" x14ac:dyDescent="0.25">
      <c r="A10960" s="7" t="s">
        <v>22239</v>
      </c>
      <c r="B10960" s="8">
        <v>406.25</v>
      </c>
      <c r="C10960" s="8">
        <v>20.478950000000001</v>
      </c>
      <c r="D10960" s="8">
        <v>104</v>
      </c>
      <c r="E10960" s="8">
        <v>0</v>
      </c>
      <c r="F10960" s="8">
        <v>0</v>
      </c>
      <c r="G10960" s="8">
        <v>6</v>
      </c>
      <c r="H10960" s="8" t="s">
        <v>22240</v>
      </c>
      <c r="I10960" s="8">
        <v>530.8125</v>
      </c>
      <c r="J10960" s="3">
        <f t="shared" si="171"/>
        <v>43748.283074467588</v>
      </c>
    </row>
    <row r="10961" spans="1:10" x14ac:dyDescent="0.25">
      <c r="A10961" s="5" t="s">
        <v>22241</v>
      </c>
      <c r="B10961" s="6">
        <v>406.25</v>
      </c>
      <c r="C10961" s="6">
        <v>20.478950000000001</v>
      </c>
      <c r="D10961" s="6">
        <v>105</v>
      </c>
      <c r="E10961" s="6">
        <v>0</v>
      </c>
      <c r="F10961" s="6">
        <v>0</v>
      </c>
      <c r="G10961" s="6">
        <v>8</v>
      </c>
      <c r="H10961" s="6" t="s">
        <v>22242</v>
      </c>
      <c r="I10961" s="6">
        <v>530.625</v>
      </c>
      <c r="J10961" s="2">
        <f t="shared" si="171"/>
        <v>43748.283145763889</v>
      </c>
    </row>
    <row r="10962" spans="1:10" x14ac:dyDescent="0.25">
      <c r="A10962" s="7" t="s">
        <v>22243</v>
      </c>
      <c r="B10962" s="8">
        <v>406.25</v>
      </c>
      <c r="C10962" s="8">
        <v>20.478950000000001</v>
      </c>
      <c r="D10962" s="8">
        <v>106</v>
      </c>
      <c r="E10962" s="8">
        <v>0</v>
      </c>
      <c r="F10962" s="8">
        <v>0</v>
      </c>
      <c r="G10962" s="8">
        <v>17</v>
      </c>
      <c r="H10962" s="8" t="s">
        <v>22244</v>
      </c>
      <c r="I10962" s="8">
        <v>530.625</v>
      </c>
      <c r="J10962" s="3">
        <f t="shared" si="171"/>
        <v>43748.283229097222</v>
      </c>
    </row>
    <row r="10963" spans="1:10" x14ac:dyDescent="0.25">
      <c r="A10963" s="5" t="s">
        <v>22245</v>
      </c>
      <c r="B10963" s="6">
        <v>406.25</v>
      </c>
      <c r="C10963" s="6">
        <v>20.478950000000001</v>
      </c>
      <c r="D10963" s="6">
        <v>106</v>
      </c>
      <c r="E10963" s="6">
        <v>0</v>
      </c>
      <c r="F10963" s="6">
        <v>0</v>
      </c>
      <c r="G10963" s="6">
        <v>0</v>
      </c>
      <c r="H10963" s="6" t="s">
        <v>22246</v>
      </c>
      <c r="I10963" s="6">
        <v>530.625</v>
      </c>
      <c r="J10963" s="2">
        <f t="shared" si="171"/>
        <v>43748.283300497678</v>
      </c>
    </row>
    <row r="10964" spans="1:10" x14ac:dyDescent="0.25">
      <c r="A10964" s="7" t="s">
        <v>22247</v>
      </c>
      <c r="B10964" s="8">
        <v>403.125</v>
      </c>
      <c r="C10964" s="8">
        <v>20.478950000000001</v>
      </c>
      <c r="D10964" s="8">
        <v>105</v>
      </c>
      <c r="E10964" s="8">
        <v>0</v>
      </c>
      <c r="F10964" s="8">
        <v>0</v>
      </c>
      <c r="G10964" s="8">
        <v>10</v>
      </c>
      <c r="H10964" s="8" t="s">
        <v>22248</v>
      </c>
      <c r="I10964" s="8">
        <v>529.875</v>
      </c>
      <c r="J10964" s="3">
        <f t="shared" si="171"/>
        <v>43748.283372592588</v>
      </c>
    </row>
    <row r="10965" spans="1:10" x14ac:dyDescent="0.25">
      <c r="A10965" s="5" t="s">
        <v>22249</v>
      </c>
      <c r="B10965" s="6">
        <v>403.125</v>
      </c>
      <c r="C10965" s="6">
        <v>20.426300000000001</v>
      </c>
      <c r="D10965" s="6">
        <v>105</v>
      </c>
      <c r="E10965" s="6">
        <v>0</v>
      </c>
      <c r="F10965" s="6">
        <v>0</v>
      </c>
      <c r="G10965" s="6">
        <v>5</v>
      </c>
      <c r="H10965" s="6" t="s">
        <v>22250</v>
      </c>
      <c r="I10965" s="6">
        <v>529.875</v>
      </c>
      <c r="J10965" s="2">
        <f t="shared" si="171"/>
        <v>43748.283443888889</v>
      </c>
    </row>
    <row r="10966" spans="1:10" x14ac:dyDescent="0.25">
      <c r="A10966" s="7" t="s">
        <v>22251</v>
      </c>
      <c r="B10966" s="8">
        <v>403.125</v>
      </c>
      <c r="C10966" s="8">
        <v>20.478950000000001</v>
      </c>
      <c r="D10966" s="8">
        <v>104</v>
      </c>
      <c r="E10966" s="8">
        <v>0</v>
      </c>
      <c r="F10966" s="8">
        <v>0</v>
      </c>
      <c r="G10966" s="8">
        <v>3</v>
      </c>
      <c r="H10966" s="8" t="s">
        <v>22252</v>
      </c>
      <c r="I10966" s="8">
        <v>529.125</v>
      </c>
      <c r="J10966" s="3">
        <f t="shared" si="171"/>
        <v>43748.283515208335</v>
      </c>
    </row>
    <row r="10967" spans="1:10" x14ac:dyDescent="0.25">
      <c r="A10967" s="5" t="s">
        <v>22253</v>
      </c>
      <c r="B10967" s="6">
        <v>403.125</v>
      </c>
      <c r="C10967" s="6">
        <v>20.478950000000001</v>
      </c>
      <c r="D10967" s="6">
        <v>103</v>
      </c>
      <c r="E10967" s="6">
        <v>0</v>
      </c>
      <c r="F10967" s="6">
        <v>0</v>
      </c>
      <c r="G10967" s="6">
        <v>2</v>
      </c>
      <c r="H10967" s="6" t="s">
        <v>22254</v>
      </c>
      <c r="I10967" s="6">
        <v>529.125</v>
      </c>
      <c r="J10967" s="2">
        <f t="shared" si="171"/>
        <v>43748.283598599533</v>
      </c>
    </row>
    <row r="10968" spans="1:10" x14ac:dyDescent="0.25">
      <c r="A10968" s="7" t="s">
        <v>22255</v>
      </c>
      <c r="B10968" s="8">
        <v>403.125</v>
      </c>
      <c r="C10968" s="8">
        <v>20.478950000000001</v>
      </c>
      <c r="D10968" s="8">
        <v>105</v>
      </c>
      <c r="E10968" s="8">
        <v>0</v>
      </c>
      <c r="F10968" s="8">
        <v>0</v>
      </c>
      <c r="G10968" s="8">
        <v>13</v>
      </c>
      <c r="H10968" s="8" t="s">
        <v>22256</v>
      </c>
      <c r="I10968" s="8">
        <v>529.125</v>
      </c>
      <c r="J10968" s="3">
        <f t="shared" si="171"/>
        <v>43748.283670763885</v>
      </c>
    </row>
    <row r="10969" spans="1:10" x14ac:dyDescent="0.25">
      <c r="A10969" s="5" t="s">
        <v>22257</v>
      </c>
      <c r="B10969" s="6">
        <v>403.125</v>
      </c>
      <c r="C10969" s="6">
        <v>20.478950000000001</v>
      </c>
      <c r="D10969" s="6">
        <v>102</v>
      </c>
      <c r="E10969" s="6">
        <v>0</v>
      </c>
      <c r="F10969" s="6">
        <v>0</v>
      </c>
      <c r="G10969" s="6">
        <v>5</v>
      </c>
      <c r="H10969" s="6" t="s">
        <v>22258</v>
      </c>
      <c r="I10969" s="6">
        <v>529.125</v>
      </c>
      <c r="J10969" s="2">
        <f t="shared" si="171"/>
        <v>43748.283742071755</v>
      </c>
    </row>
    <row r="10970" spans="1:10" x14ac:dyDescent="0.25">
      <c r="A10970" s="7" t="s">
        <v>22259</v>
      </c>
      <c r="B10970" s="8">
        <v>418.75</v>
      </c>
      <c r="C10970" s="8">
        <v>20.426300000000001</v>
      </c>
      <c r="D10970" s="8">
        <v>103</v>
      </c>
      <c r="E10970" s="8">
        <v>0</v>
      </c>
      <c r="F10970" s="8">
        <v>0</v>
      </c>
      <c r="G10970" s="8">
        <v>10</v>
      </c>
      <c r="H10970" s="8" t="s">
        <v>22260</v>
      </c>
      <c r="I10970" s="8">
        <v>534.5625</v>
      </c>
      <c r="J10970" s="3">
        <f t="shared" si="171"/>
        <v>43748.283813333335</v>
      </c>
    </row>
    <row r="10971" spans="1:10" x14ac:dyDescent="0.25">
      <c r="A10971" s="5" t="s">
        <v>22261</v>
      </c>
      <c r="B10971" s="6">
        <v>403.125</v>
      </c>
      <c r="C10971" s="6">
        <v>20.478950000000001</v>
      </c>
      <c r="D10971" s="6">
        <v>105</v>
      </c>
      <c r="E10971" s="6">
        <v>0</v>
      </c>
      <c r="F10971" s="6">
        <v>0</v>
      </c>
      <c r="G10971" s="6">
        <v>10</v>
      </c>
      <c r="H10971" s="6" t="s">
        <v>22262</v>
      </c>
      <c r="I10971" s="6">
        <v>529.875</v>
      </c>
      <c r="J10971" s="2">
        <f t="shared" si="171"/>
        <v>43748.283897789348</v>
      </c>
    </row>
    <row r="10972" spans="1:10" x14ac:dyDescent="0.25">
      <c r="A10972" s="7" t="s">
        <v>22263</v>
      </c>
      <c r="B10972" s="8">
        <v>403.125</v>
      </c>
      <c r="C10972" s="8">
        <v>20.478950000000001</v>
      </c>
      <c r="D10972" s="8">
        <v>104</v>
      </c>
      <c r="E10972" s="8">
        <v>0</v>
      </c>
      <c r="F10972" s="8">
        <v>0</v>
      </c>
      <c r="G10972" s="8">
        <v>8</v>
      </c>
      <c r="H10972" s="8" t="s">
        <v>22264</v>
      </c>
      <c r="I10972" s="8">
        <v>529.875</v>
      </c>
      <c r="J10972" s="3">
        <f t="shared" si="171"/>
        <v>43748.28396822916</v>
      </c>
    </row>
    <row r="10973" spans="1:10" x14ac:dyDescent="0.25">
      <c r="A10973" s="5" t="s">
        <v>22265</v>
      </c>
      <c r="B10973" s="6">
        <v>428.125</v>
      </c>
      <c r="C10973" s="6">
        <v>20.478950000000001</v>
      </c>
      <c r="D10973" s="6">
        <v>104</v>
      </c>
      <c r="E10973" s="6">
        <v>0</v>
      </c>
      <c r="F10973" s="6">
        <v>0</v>
      </c>
      <c r="G10973" s="6">
        <v>12</v>
      </c>
      <c r="H10973" s="6" t="s">
        <v>22266</v>
      </c>
      <c r="I10973" s="6">
        <v>537.375</v>
      </c>
      <c r="J10973" s="2">
        <f t="shared" si="171"/>
        <v>43748.284052256939</v>
      </c>
    </row>
    <row r="10974" spans="1:10" x14ac:dyDescent="0.25">
      <c r="A10974" s="7" t="s">
        <v>22267</v>
      </c>
      <c r="B10974" s="8">
        <v>406.25</v>
      </c>
      <c r="C10974" s="8">
        <v>20.478950000000001</v>
      </c>
      <c r="D10974" s="8">
        <v>104</v>
      </c>
      <c r="E10974" s="8">
        <v>0</v>
      </c>
      <c r="F10974" s="8">
        <v>0</v>
      </c>
      <c r="G10974" s="8">
        <v>10</v>
      </c>
      <c r="H10974" s="8" t="s">
        <v>22268</v>
      </c>
      <c r="I10974" s="8">
        <v>530.8125</v>
      </c>
      <c r="J10974" s="3">
        <f t="shared" si="171"/>
        <v>43748.28412355324</v>
      </c>
    </row>
    <row r="10975" spans="1:10" x14ac:dyDescent="0.25">
      <c r="A10975" s="5" t="s">
        <v>22269</v>
      </c>
      <c r="B10975" s="6">
        <v>406.25</v>
      </c>
      <c r="C10975" s="6">
        <v>20.478950000000001</v>
      </c>
      <c r="D10975" s="6">
        <v>104</v>
      </c>
      <c r="E10975" s="6">
        <v>0</v>
      </c>
      <c r="F10975" s="6">
        <v>0</v>
      </c>
      <c r="G10975" s="6">
        <v>10</v>
      </c>
      <c r="H10975" s="6" t="s">
        <v>22270</v>
      </c>
      <c r="I10975" s="6">
        <v>530.625</v>
      </c>
      <c r="J10975" s="2">
        <f t="shared" si="171"/>
        <v>43748.284194837957</v>
      </c>
    </row>
    <row r="10976" spans="1:10" x14ac:dyDescent="0.25">
      <c r="A10976" s="7" t="s">
        <v>22271</v>
      </c>
      <c r="B10976" s="8">
        <v>406.25</v>
      </c>
      <c r="C10976" s="8">
        <v>20.478950000000001</v>
      </c>
      <c r="D10976" s="8">
        <v>104</v>
      </c>
      <c r="E10976" s="8">
        <v>0</v>
      </c>
      <c r="F10976" s="8">
        <v>0</v>
      </c>
      <c r="G10976" s="8">
        <v>7</v>
      </c>
      <c r="H10976" s="8" t="s">
        <v>22272</v>
      </c>
      <c r="I10976" s="8">
        <v>530.625</v>
      </c>
      <c r="J10976" s="3">
        <f t="shared" si="171"/>
        <v>43748.284267199073</v>
      </c>
    </row>
    <row r="10977" spans="1:10" x14ac:dyDescent="0.25">
      <c r="A10977" s="5" t="s">
        <v>22273</v>
      </c>
      <c r="B10977" s="6">
        <v>409.375</v>
      </c>
      <c r="C10977" s="6">
        <v>20.478950000000001</v>
      </c>
      <c r="D10977" s="6">
        <v>104</v>
      </c>
      <c r="E10977" s="6">
        <v>0</v>
      </c>
      <c r="F10977" s="6">
        <v>0</v>
      </c>
      <c r="G10977" s="6">
        <v>2</v>
      </c>
      <c r="H10977" s="6" t="s">
        <v>22274</v>
      </c>
      <c r="I10977" s="6">
        <v>531.5625</v>
      </c>
      <c r="J10977" s="2">
        <f t="shared" si="171"/>
        <v>43748.284338368052</v>
      </c>
    </row>
    <row r="10978" spans="1:10" x14ac:dyDescent="0.25">
      <c r="A10978" s="7" t="s">
        <v>22275</v>
      </c>
      <c r="B10978" s="8">
        <v>412.5</v>
      </c>
      <c r="C10978" s="8">
        <v>20.478950000000001</v>
      </c>
      <c r="D10978" s="8">
        <v>103</v>
      </c>
      <c r="E10978" s="8">
        <v>0</v>
      </c>
      <c r="F10978" s="8">
        <v>0</v>
      </c>
      <c r="G10978" s="8">
        <v>15</v>
      </c>
      <c r="H10978" s="8" t="s">
        <v>22276</v>
      </c>
      <c r="I10978" s="8">
        <v>532.3125</v>
      </c>
      <c r="J10978" s="3">
        <f t="shared" si="171"/>
        <v>43748.284421689816</v>
      </c>
    </row>
    <row r="10979" spans="1:10" x14ac:dyDescent="0.25">
      <c r="A10979" s="5" t="s">
        <v>22277</v>
      </c>
      <c r="B10979" s="6">
        <v>412.5</v>
      </c>
      <c r="C10979" s="6">
        <v>20.478950000000001</v>
      </c>
      <c r="D10979" s="6">
        <v>104</v>
      </c>
      <c r="E10979" s="6">
        <v>0</v>
      </c>
      <c r="F10979" s="6">
        <v>0</v>
      </c>
      <c r="G10979" s="6">
        <v>15</v>
      </c>
      <c r="H10979" s="6" t="s">
        <v>22278</v>
      </c>
      <c r="I10979" s="6">
        <v>532.3125</v>
      </c>
      <c r="J10979" s="2">
        <f t="shared" si="171"/>
        <v>43748.284492997678</v>
      </c>
    </row>
    <row r="10980" spans="1:10" x14ac:dyDescent="0.25">
      <c r="A10980" s="7" t="s">
        <v>22279</v>
      </c>
      <c r="B10980" s="8">
        <v>412.5</v>
      </c>
      <c r="C10980" s="8">
        <v>20.426300000000001</v>
      </c>
      <c r="D10980" s="8">
        <v>104</v>
      </c>
      <c r="E10980" s="8">
        <v>0</v>
      </c>
      <c r="F10980" s="8">
        <v>0</v>
      </c>
      <c r="G10980" s="8">
        <v>1</v>
      </c>
      <c r="H10980" s="8" t="s">
        <v>22280</v>
      </c>
      <c r="I10980" s="8">
        <v>532.3125</v>
      </c>
      <c r="J10980" s="3">
        <f t="shared" si="171"/>
        <v>43748.284565208327</v>
      </c>
    </row>
    <row r="10981" spans="1:10" x14ac:dyDescent="0.25">
      <c r="A10981" s="5" t="s">
        <v>22281</v>
      </c>
      <c r="B10981" s="6">
        <v>412.5</v>
      </c>
      <c r="C10981" s="6">
        <v>20.478950000000001</v>
      </c>
      <c r="D10981" s="6">
        <v>103</v>
      </c>
      <c r="E10981" s="6">
        <v>0</v>
      </c>
      <c r="F10981" s="6">
        <v>0</v>
      </c>
      <c r="G10981" s="6">
        <v>11</v>
      </c>
      <c r="H10981" s="6" t="s">
        <v>22282</v>
      </c>
      <c r="I10981" s="6">
        <v>532.3125</v>
      </c>
      <c r="J10981" s="2">
        <f t="shared" si="171"/>
        <v>43748.284636504628</v>
      </c>
    </row>
    <row r="10982" spans="1:10" x14ac:dyDescent="0.25">
      <c r="A10982" s="7" t="s">
        <v>22283</v>
      </c>
      <c r="B10982" s="8">
        <v>409.375</v>
      </c>
      <c r="C10982" s="8">
        <v>20.478950000000001</v>
      </c>
      <c r="D10982" s="8">
        <v>103</v>
      </c>
      <c r="E10982" s="8">
        <v>0</v>
      </c>
      <c r="F10982" s="8">
        <v>0</v>
      </c>
      <c r="G10982" s="8">
        <v>7</v>
      </c>
      <c r="H10982" s="8" t="s">
        <v>22284</v>
      </c>
      <c r="I10982" s="8">
        <v>531.5625</v>
      </c>
      <c r="J10982" s="3">
        <f t="shared" si="171"/>
        <v>43748.284707800922</v>
      </c>
    </row>
    <row r="10983" spans="1:10" x14ac:dyDescent="0.25">
      <c r="A10983" s="5" t="s">
        <v>22285</v>
      </c>
      <c r="B10983" s="6">
        <v>409.375</v>
      </c>
      <c r="C10983" s="6">
        <v>20.426300000000001</v>
      </c>
      <c r="D10983" s="6">
        <v>105</v>
      </c>
      <c r="E10983" s="6">
        <v>0</v>
      </c>
      <c r="F10983" s="6">
        <v>0</v>
      </c>
      <c r="G10983" s="6">
        <v>4</v>
      </c>
      <c r="H10983" s="6" t="s">
        <v>22286</v>
      </c>
      <c r="I10983" s="6">
        <v>531.5625</v>
      </c>
      <c r="J10983" s="2">
        <f t="shared" si="171"/>
        <v>43748.284779108792</v>
      </c>
    </row>
    <row r="10984" spans="1:10" x14ac:dyDescent="0.25">
      <c r="A10984" s="7" t="s">
        <v>22287</v>
      </c>
      <c r="B10984" s="8">
        <v>406.25</v>
      </c>
      <c r="C10984" s="8">
        <v>20.478950000000001</v>
      </c>
      <c r="D10984" s="8">
        <v>105</v>
      </c>
      <c r="E10984" s="8">
        <v>0</v>
      </c>
      <c r="F10984" s="8">
        <v>0</v>
      </c>
      <c r="G10984" s="8">
        <v>5</v>
      </c>
      <c r="H10984" s="8" t="s">
        <v>22288</v>
      </c>
      <c r="I10984" s="8">
        <v>530.625</v>
      </c>
      <c r="J10984" s="3">
        <f t="shared" si="171"/>
        <v>43748.284851284719</v>
      </c>
    </row>
    <row r="10985" spans="1:10" x14ac:dyDescent="0.25">
      <c r="A10985" s="5" t="s">
        <v>22289</v>
      </c>
      <c r="B10985" s="6">
        <v>403.125</v>
      </c>
      <c r="C10985" s="6">
        <v>20.426300000000001</v>
      </c>
      <c r="D10985" s="6">
        <v>104</v>
      </c>
      <c r="E10985" s="6">
        <v>0</v>
      </c>
      <c r="F10985" s="6">
        <v>0</v>
      </c>
      <c r="G10985" s="6">
        <v>7</v>
      </c>
      <c r="H10985" s="6" t="s">
        <v>22290</v>
      </c>
      <c r="I10985" s="6">
        <v>529.875</v>
      </c>
      <c r="J10985" s="2">
        <f t="shared" si="171"/>
        <v>43748.284922164348</v>
      </c>
    </row>
    <row r="10986" spans="1:10" x14ac:dyDescent="0.25">
      <c r="A10986" s="7" t="s">
        <v>22291</v>
      </c>
      <c r="B10986" s="8">
        <v>400</v>
      </c>
      <c r="C10986" s="8">
        <v>20.426300000000001</v>
      </c>
      <c r="D10986" s="8">
        <v>104</v>
      </c>
      <c r="E10986" s="8">
        <v>0</v>
      </c>
      <c r="F10986" s="8">
        <v>0</v>
      </c>
      <c r="G10986" s="8">
        <v>11</v>
      </c>
      <c r="H10986" s="8" t="s">
        <v>22292</v>
      </c>
      <c r="I10986" s="8">
        <v>528.375</v>
      </c>
      <c r="J10986" s="3">
        <f t="shared" si="171"/>
        <v>43748.284993854169</v>
      </c>
    </row>
    <row r="10987" spans="1:10" x14ac:dyDescent="0.25">
      <c r="A10987" s="5" t="s">
        <v>22293</v>
      </c>
      <c r="B10987" s="6">
        <v>400</v>
      </c>
      <c r="C10987" s="6">
        <v>20.478950000000001</v>
      </c>
      <c r="D10987" s="6">
        <v>104</v>
      </c>
      <c r="E10987" s="6">
        <v>0</v>
      </c>
      <c r="F10987" s="6">
        <v>0</v>
      </c>
      <c r="G10987" s="6">
        <v>7</v>
      </c>
      <c r="H10987" s="6" t="s">
        <v>22294</v>
      </c>
      <c r="I10987" s="6">
        <v>528.1875</v>
      </c>
      <c r="J10987" s="2">
        <f t="shared" si="171"/>
        <v>43748.285065300923</v>
      </c>
    </row>
    <row r="10988" spans="1:10" x14ac:dyDescent="0.25">
      <c r="A10988" s="7" t="s">
        <v>22295</v>
      </c>
      <c r="B10988" s="8">
        <v>403.125</v>
      </c>
      <c r="C10988" s="8">
        <v>20.478950000000001</v>
      </c>
      <c r="D10988" s="8">
        <v>107</v>
      </c>
      <c r="E10988" s="8">
        <v>0</v>
      </c>
      <c r="F10988" s="8">
        <v>0</v>
      </c>
      <c r="G10988" s="8">
        <v>5</v>
      </c>
      <c r="H10988" s="8" t="s">
        <v>22296</v>
      </c>
      <c r="I10988" s="8">
        <v>529.125</v>
      </c>
      <c r="J10988" s="3">
        <f t="shared" si="171"/>
        <v>43748.285136851853</v>
      </c>
    </row>
    <row r="10989" spans="1:10" x14ac:dyDescent="0.25">
      <c r="A10989" s="5" t="s">
        <v>22297</v>
      </c>
      <c r="B10989" s="6">
        <v>418.75</v>
      </c>
      <c r="C10989" s="6">
        <v>20.478950000000001</v>
      </c>
      <c r="D10989" s="6">
        <v>109</v>
      </c>
      <c r="E10989" s="6">
        <v>0</v>
      </c>
      <c r="F10989" s="6">
        <v>0</v>
      </c>
      <c r="G10989" s="6">
        <v>3</v>
      </c>
      <c r="H10989" s="6" t="s">
        <v>22298</v>
      </c>
      <c r="I10989" s="6">
        <v>534.9375</v>
      </c>
      <c r="J10989" s="2">
        <f t="shared" si="171"/>
        <v>43748.285208680558</v>
      </c>
    </row>
    <row r="10990" spans="1:10" x14ac:dyDescent="0.25">
      <c r="A10990" s="7" t="s">
        <v>22299</v>
      </c>
      <c r="B10990" s="8">
        <v>400</v>
      </c>
      <c r="C10990" s="8">
        <v>20.426300000000001</v>
      </c>
      <c r="D10990" s="8">
        <v>109</v>
      </c>
      <c r="E10990" s="8">
        <v>0</v>
      </c>
      <c r="F10990" s="8">
        <v>0</v>
      </c>
      <c r="G10990" s="8">
        <v>9</v>
      </c>
      <c r="H10990" s="8" t="s">
        <v>22300</v>
      </c>
      <c r="I10990" s="8">
        <v>528.9375</v>
      </c>
      <c r="J10990" s="3">
        <f t="shared" si="171"/>
        <v>43748.285280023141</v>
      </c>
    </row>
    <row r="10991" spans="1:10" x14ac:dyDescent="0.25">
      <c r="A10991" s="5" t="s">
        <v>22301</v>
      </c>
      <c r="B10991" s="6">
        <v>403.125</v>
      </c>
      <c r="C10991" s="6">
        <v>20.426300000000001</v>
      </c>
      <c r="D10991" s="6">
        <v>107</v>
      </c>
      <c r="E10991" s="6">
        <v>0</v>
      </c>
      <c r="F10991" s="6">
        <v>0</v>
      </c>
      <c r="G10991" s="6">
        <v>10</v>
      </c>
      <c r="H10991" s="6" t="s">
        <v>22302</v>
      </c>
      <c r="I10991" s="6">
        <v>529.125</v>
      </c>
      <c r="J10991" s="2">
        <f t="shared" si="171"/>
        <v>43748.285352083331</v>
      </c>
    </row>
    <row r="10992" spans="1:10" x14ac:dyDescent="0.25">
      <c r="A10992" s="7" t="s">
        <v>22303</v>
      </c>
      <c r="B10992" s="8">
        <v>403.125</v>
      </c>
      <c r="C10992" s="8">
        <v>20.478950000000001</v>
      </c>
      <c r="D10992" s="8">
        <v>106</v>
      </c>
      <c r="E10992" s="8">
        <v>0</v>
      </c>
      <c r="F10992" s="8">
        <v>0</v>
      </c>
      <c r="G10992" s="8">
        <v>4</v>
      </c>
      <c r="H10992" s="8" t="s">
        <v>22304</v>
      </c>
      <c r="I10992" s="8">
        <v>529.125</v>
      </c>
      <c r="J10992" s="3">
        <f t="shared" si="171"/>
        <v>43748.285423495363</v>
      </c>
    </row>
    <row r="10993" spans="1:10" x14ac:dyDescent="0.25">
      <c r="A10993" s="5" t="s">
        <v>22305</v>
      </c>
      <c r="B10993" s="6">
        <v>400</v>
      </c>
      <c r="C10993" s="6">
        <v>20.426300000000001</v>
      </c>
      <c r="D10993" s="6">
        <v>105</v>
      </c>
      <c r="E10993" s="6">
        <v>0</v>
      </c>
      <c r="F10993" s="6">
        <v>0</v>
      </c>
      <c r="G10993" s="6">
        <v>16</v>
      </c>
      <c r="H10993" s="6" t="s">
        <v>22306</v>
      </c>
      <c r="I10993" s="6">
        <v>528.1875</v>
      </c>
      <c r="J10993" s="2">
        <f t="shared" si="171"/>
        <v>43748.28549484953</v>
      </c>
    </row>
    <row r="10994" spans="1:10" x14ac:dyDescent="0.25">
      <c r="A10994" s="7" t="s">
        <v>22307</v>
      </c>
      <c r="B10994" s="8">
        <v>403.125</v>
      </c>
      <c r="C10994" s="8">
        <v>20.426300000000001</v>
      </c>
      <c r="D10994" s="8">
        <v>104</v>
      </c>
      <c r="E10994" s="8">
        <v>0</v>
      </c>
      <c r="F10994" s="8">
        <v>0</v>
      </c>
      <c r="G10994" s="8">
        <v>6</v>
      </c>
      <c r="H10994" s="8" t="s">
        <v>22308</v>
      </c>
      <c r="I10994" s="8">
        <v>529.125</v>
      </c>
      <c r="J10994" s="3">
        <f t="shared" si="171"/>
        <v>43748.285566145831</v>
      </c>
    </row>
    <row r="10995" spans="1:10" x14ac:dyDescent="0.25">
      <c r="A10995" s="5" t="s">
        <v>22309</v>
      </c>
      <c r="B10995" s="6">
        <v>403.125</v>
      </c>
      <c r="C10995" s="6">
        <v>20.478950000000001</v>
      </c>
      <c r="D10995" s="6">
        <v>102</v>
      </c>
      <c r="E10995" s="6">
        <v>0</v>
      </c>
      <c r="F10995" s="6">
        <v>0</v>
      </c>
      <c r="G10995" s="6">
        <v>8</v>
      </c>
      <c r="H10995" s="6" t="s">
        <v>22310</v>
      </c>
      <c r="I10995" s="6">
        <v>529.125</v>
      </c>
      <c r="J10995" s="2">
        <f t="shared" si="171"/>
        <v>43748.285638379624</v>
      </c>
    </row>
    <row r="10996" spans="1:10" x14ac:dyDescent="0.25">
      <c r="A10996" s="7" t="s">
        <v>22311</v>
      </c>
      <c r="B10996" s="8">
        <v>403.125</v>
      </c>
      <c r="C10996" s="8">
        <v>20.478950000000001</v>
      </c>
      <c r="D10996" s="8">
        <v>104</v>
      </c>
      <c r="E10996" s="8">
        <v>0</v>
      </c>
      <c r="F10996" s="8">
        <v>0</v>
      </c>
      <c r="G10996" s="8">
        <v>13</v>
      </c>
      <c r="H10996" s="8" t="s">
        <v>22312</v>
      </c>
      <c r="I10996" s="8">
        <v>529.125</v>
      </c>
      <c r="J10996" s="3">
        <f t="shared" si="171"/>
        <v>43748.28572177083</v>
      </c>
    </row>
    <row r="10997" spans="1:10" x14ac:dyDescent="0.25">
      <c r="A10997" s="5" t="s">
        <v>22313</v>
      </c>
      <c r="B10997" s="6">
        <v>403.125</v>
      </c>
      <c r="C10997" s="6">
        <v>20.478950000000001</v>
      </c>
      <c r="D10997" s="6">
        <v>103</v>
      </c>
      <c r="E10997" s="6">
        <v>0</v>
      </c>
      <c r="F10997" s="6">
        <v>0</v>
      </c>
      <c r="G10997" s="6">
        <v>13</v>
      </c>
      <c r="H10997" s="6" t="s">
        <v>22314</v>
      </c>
      <c r="I10997" s="6">
        <v>529.125</v>
      </c>
      <c r="J10997" s="2">
        <f t="shared" si="171"/>
        <v>43748.285793032403</v>
      </c>
    </row>
    <row r="10998" spans="1:10" x14ac:dyDescent="0.25">
      <c r="A10998" s="7" t="s">
        <v>22315</v>
      </c>
      <c r="B10998" s="8">
        <v>400</v>
      </c>
      <c r="C10998" s="8">
        <v>20.478950000000001</v>
      </c>
      <c r="D10998" s="8">
        <v>104</v>
      </c>
      <c r="E10998" s="8">
        <v>0</v>
      </c>
      <c r="F10998" s="8">
        <v>0</v>
      </c>
      <c r="G10998" s="8">
        <v>7</v>
      </c>
      <c r="H10998" s="8" t="s">
        <v>22316</v>
      </c>
      <c r="I10998" s="8">
        <v>528.9375</v>
      </c>
      <c r="J10998" s="3">
        <f t="shared" si="171"/>
        <v>43748.285864293975</v>
      </c>
    </row>
    <row r="10999" spans="1:10" x14ac:dyDescent="0.25">
      <c r="A10999" s="5" t="s">
        <v>22317</v>
      </c>
      <c r="B10999" s="6">
        <v>403.125</v>
      </c>
      <c r="C10999" s="6">
        <v>20.478950000000001</v>
      </c>
      <c r="D10999" s="6">
        <v>104</v>
      </c>
      <c r="E10999" s="6">
        <v>0</v>
      </c>
      <c r="F10999" s="6">
        <v>0</v>
      </c>
      <c r="G10999" s="6">
        <v>6</v>
      </c>
      <c r="H10999" s="6" t="s">
        <v>22318</v>
      </c>
      <c r="I10999" s="6">
        <v>529.875</v>
      </c>
      <c r="J10999" s="2">
        <f t="shared" si="171"/>
        <v>43748.2859365162</v>
      </c>
    </row>
    <row r="11000" spans="1:10" x14ac:dyDescent="0.25">
      <c r="A11000" s="7" t="s">
        <v>22319</v>
      </c>
      <c r="B11000" s="8">
        <v>406.25</v>
      </c>
      <c r="C11000" s="8">
        <v>20.478950000000001</v>
      </c>
      <c r="D11000" s="8">
        <v>104</v>
      </c>
      <c r="E11000" s="8">
        <v>0</v>
      </c>
      <c r="F11000" s="8">
        <v>0</v>
      </c>
      <c r="G11000" s="8">
        <v>11</v>
      </c>
      <c r="H11000" s="8" t="s">
        <v>22320</v>
      </c>
      <c r="I11000" s="8">
        <v>530.8125</v>
      </c>
      <c r="J11000" s="3">
        <f t="shared" si="171"/>
        <v>43748.286007800925</v>
      </c>
    </row>
    <row r="11001" spans="1:10" x14ac:dyDescent="0.25">
      <c r="A11001" s="5" t="s">
        <v>22321</v>
      </c>
      <c r="B11001" s="6">
        <v>425</v>
      </c>
      <c r="C11001" s="6">
        <v>20.478950000000001</v>
      </c>
      <c r="D11001" s="6">
        <v>104</v>
      </c>
      <c r="E11001" s="6">
        <v>0</v>
      </c>
      <c r="F11001" s="6">
        <v>0</v>
      </c>
      <c r="G11001" s="6">
        <v>7</v>
      </c>
      <c r="H11001" s="6" t="s">
        <v>22322</v>
      </c>
      <c r="I11001" s="6">
        <v>536.625</v>
      </c>
      <c r="J11001" s="2">
        <f t="shared" si="171"/>
        <v>43748.286079108795</v>
      </c>
    </row>
    <row r="11002" spans="1:10" x14ac:dyDescent="0.25">
      <c r="A11002" s="7" t="s">
        <v>22323</v>
      </c>
      <c r="B11002" s="8">
        <v>406.25</v>
      </c>
      <c r="C11002" s="8">
        <v>20.478950000000001</v>
      </c>
      <c r="D11002" s="8">
        <v>104</v>
      </c>
      <c r="E11002" s="8">
        <v>0</v>
      </c>
      <c r="F11002" s="8">
        <v>0</v>
      </c>
      <c r="G11002" s="8">
        <v>11</v>
      </c>
      <c r="H11002" s="8" t="s">
        <v>22324</v>
      </c>
      <c r="I11002" s="8">
        <v>530.8125</v>
      </c>
      <c r="J11002" s="3">
        <f t="shared" si="171"/>
        <v>43748.286150462962</v>
      </c>
    </row>
    <row r="11003" spans="1:10" x14ac:dyDescent="0.25">
      <c r="A11003" s="5" t="s">
        <v>22325</v>
      </c>
      <c r="B11003" s="6">
        <v>406.25</v>
      </c>
      <c r="C11003" s="6">
        <v>20.478950000000001</v>
      </c>
      <c r="D11003" s="6">
        <v>104</v>
      </c>
      <c r="E11003" s="6">
        <v>0</v>
      </c>
      <c r="F11003" s="6">
        <v>0</v>
      </c>
      <c r="G11003" s="6">
        <v>3</v>
      </c>
      <c r="H11003" s="6" t="s">
        <v>22326</v>
      </c>
      <c r="I11003" s="6">
        <v>530.625</v>
      </c>
      <c r="J11003" s="2">
        <f t="shared" si="171"/>
        <v>43748.286221990733</v>
      </c>
    </row>
    <row r="11004" spans="1:10" x14ac:dyDescent="0.25">
      <c r="A11004" s="7" t="s">
        <v>22327</v>
      </c>
      <c r="B11004" s="8">
        <v>403.125</v>
      </c>
      <c r="C11004" s="8">
        <v>20.426300000000001</v>
      </c>
      <c r="D11004" s="8">
        <v>104</v>
      </c>
      <c r="E11004" s="8">
        <v>0</v>
      </c>
      <c r="F11004" s="8">
        <v>0</v>
      </c>
      <c r="G11004" s="8">
        <v>9</v>
      </c>
      <c r="H11004" s="8" t="s">
        <v>22328</v>
      </c>
      <c r="I11004" s="8">
        <v>529.875</v>
      </c>
      <c r="J11004" s="3">
        <f t="shared" si="171"/>
        <v>43748.286293865742</v>
      </c>
    </row>
    <row r="11005" spans="1:10" x14ac:dyDescent="0.25">
      <c r="A11005" s="5" t="s">
        <v>22329</v>
      </c>
      <c r="B11005" s="6">
        <v>403.125</v>
      </c>
      <c r="C11005" s="6">
        <v>20.478950000000001</v>
      </c>
      <c r="D11005" s="6">
        <v>104</v>
      </c>
      <c r="E11005" s="6">
        <v>0</v>
      </c>
      <c r="F11005" s="6">
        <v>0</v>
      </c>
      <c r="G11005" s="6">
        <v>11</v>
      </c>
      <c r="H11005" s="6" t="s">
        <v>22330</v>
      </c>
      <c r="I11005" s="6">
        <v>529.875</v>
      </c>
      <c r="J11005" s="2">
        <f t="shared" si="171"/>
        <v>43748.286389317123</v>
      </c>
    </row>
    <row r="11006" spans="1:10" x14ac:dyDescent="0.25">
      <c r="A11006" s="7" t="s">
        <v>22331</v>
      </c>
      <c r="B11006" s="8">
        <v>403.125</v>
      </c>
      <c r="C11006" s="8">
        <v>20.478950000000001</v>
      </c>
      <c r="D11006" s="8">
        <v>107</v>
      </c>
      <c r="E11006" s="8">
        <v>0</v>
      </c>
      <c r="F11006" s="8">
        <v>0</v>
      </c>
      <c r="G11006" s="8">
        <v>10</v>
      </c>
      <c r="H11006" s="8" t="s">
        <v>22332</v>
      </c>
      <c r="I11006" s="8">
        <v>529.875</v>
      </c>
      <c r="J11006" s="3">
        <f t="shared" si="171"/>
        <v>43748.28646048611</v>
      </c>
    </row>
    <row r="11007" spans="1:10" x14ac:dyDescent="0.25">
      <c r="A11007" s="5" t="s">
        <v>22333</v>
      </c>
      <c r="B11007" s="6">
        <v>403.125</v>
      </c>
      <c r="C11007" s="6">
        <v>20.478950000000001</v>
      </c>
      <c r="D11007" s="6">
        <v>106</v>
      </c>
      <c r="E11007" s="6">
        <v>0</v>
      </c>
      <c r="F11007" s="6">
        <v>0</v>
      </c>
      <c r="G11007" s="6">
        <v>0</v>
      </c>
      <c r="H11007" s="6" t="s">
        <v>22334</v>
      </c>
      <c r="I11007" s="6">
        <v>529.875</v>
      </c>
      <c r="J11007" s="2">
        <f t="shared" si="171"/>
        <v>43748.286544016206</v>
      </c>
    </row>
    <row r="11008" spans="1:10" x14ac:dyDescent="0.25">
      <c r="A11008" s="7" t="s">
        <v>22335</v>
      </c>
      <c r="B11008" s="8">
        <v>403.125</v>
      </c>
      <c r="C11008" s="8">
        <v>20.478950000000001</v>
      </c>
      <c r="D11008" s="8">
        <v>104</v>
      </c>
      <c r="E11008" s="8">
        <v>0</v>
      </c>
      <c r="F11008" s="8">
        <v>0</v>
      </c>
      <c r="G11008" s="8">
        <v>14</v>
      </c>
      <c r="H11008" s="8" t="s">
        <v>22336</v>
      </c>
      <c r="I11008" s="8">
        <v>529.875</v>
      </c>
      <c r="J11008" s="3">
        <f t="shared" si="171"/>
        <v>43748.28661618055</v>
      </c>
    </row>
    <row r="11009" spans="1:10" x14ac:dyDescent="0.25">
      <c r="A11009" s="5" t="s">
        <v>22337</v>
      </c>
      <c r="B11009" s="6">
        <v>406.25</v>
      </c>
      <c r="C11009" s="6">
        <v>20.426300000000001</v>
      </c>
      <c r="D11009" s="6">
        <v>104</v>
      </c>
      <c r="E11009" s="6">
        <v>0</v>
      </c>
      <c r="F11009" s="6">
        <v>0</v>
      </c>
      <c r="G11009" s="6">
        <v>5</v>
      </c>
      <c r="H11009" s="6" t="s">
        <v>22338</v>
      </c>
      <c r="I11009" s="6">
        <v>530.8125</v>
      </c>
      <c r="J11009" s="2">
        <f t="shared" si="171"/>
        <v>43748.286699502314</v>
      </c>
    </row>
    <row r="11010" spans="1:10" x14ac:dyDescent="0.25">
      <c r="A11010" s="7" t="s">
        <v>22339</v>
      </c>
      <c r="B11010" s="8">
        <v>406.25</v>
      </c>
      <c r="C11010" s="8">
        <v>20.426300000000001</v>
      </c>
      <c r="D11010" s="8">
        <v>104</v>
      </c>
      <c r="E11010" s="8">
        <v>0</v>
      </c>
      <c r="F11010" s="8">
        <v>0</v>
      </c>
      <c r="G11010" s="8">
        <v>6</v>
      </c>
      <c r="H11010" s="8" t="s">
        <v>22340</v>
      </c>
      <c r="I11010" s="8">
        <v>530.625</v>
      </c>
      <c r="J11010" s="3">
        <f t="shared" ref="J11010:J11073" si="172">(H11010/86400000)+25569+(7/24)</f>
        <v>43748.286788645833</v>
      </c>
    </row>
    <row r="11011" spans="1:10" x14ac:dyDescent="0.25">
      <c r="A11011" s="5" t="s">
        <v>22341</v>
      </c>
      <c r="B11011" s="6">
        <v>406.25</v>
      </c>
      <c r="C11011" s="6">
        <v>20.426300000000001</v>
      </c>
      <c r="D11011" s="6">
        <v>103</v>
      </c>
      <c r="E11011" s="6">
        <v>0</v>
      </c>
      <c r="F11011" s="6">
        <v>0</v>
      </c>
      <c r="G11011" s="6">
        <v>4</v>
      </c>
      <c r="H11011" s="6" t="s">
        <v>22342</v>
      </c>
      <c r="I11011" s="6">
        <v>530.625</v>
      </c>
      <c r="J11011" s="2">
        <f t="shared" si="172"/>
        <v>43748.286866180548</v>
      </c>
    </row>
    <row r="11012" spans="1:10" x14ac:dyDescent="0.25">
      <c r="A11012" s="7" t="s">
        <v>22343</v>
      </c>
      <c r="B11012" s="8">
        <v>406.25</v>
      </c>
      <c r="C11012" s="8">
        <v>20.478950000000001</v>
      </c>
      <c r="D11012" s="8">
        <v>107</v>
      </c>
      <c r="E11012" s="8">
        <v>0</v>
      </c>
      <c r="F11012" s="8">
        <v>0</v>
      </c>
      <c r="G11012" s="8">
        <v>4</v>
      </c>
      <c r="H11012" s="8" t="s">
        <v>22344</v>
      </c>
      <c r="I11012" s="8">
        <v>530.625</v>
      </c>
      <c r="J11012" s="3">
        <f t="shared" si="172"/>
        <v>43748.286949444439</v>
      </c>
    </row>
    <row r="11013" spans="1:10" x14ac:dyDescent="0.25">
      <c r="A11013" s="5" t="s">
        <v>22345</v>
      </c>
      <c r="B11013" s="6">
        <v>403.125</v>
      </c>
      <c r="C11013" s="6">
        <v>20.478950000000001</v>
      </c>
      <c r="D11013" s="6">
        <v>107</v>
      </c>
      <c r="E11013" s="6">
        <v>0</v>
      </c>
      <c r="F11013" s="6">
        <v>0</v>
      </c>
      <c r="G11013" s="6">
        <v>5</v>
      </c>
      <c r="H11013" s="6" t="s">
        <v>22346</v>
      </c>
      <c r="I11013" s="6">
        <v>529.875</v>
      </c>
      <c r="J11013" s="2">
        <f t="shared" si="172"/>
        <v>43748.287020983793</v>
      </c>
    </row>
    <row r="11014" spans="1:10" x14ac:dyDescent="0.25">
      <c r="A11014" s="7" t="s">
        <v>22347</v>
      </c>
      <c r="B11014" s="8">
        <v>403.125</v>
      </c>
      <c r="C11014" s="8">
        <v>20.426300000000001</v>
      </c>
      <c r="D11014" s="8">
        <v>107</v>
      </c>
      <c r="E11014" s="8">
        <v>0</v>
      </c>
      <c r="F11014" s="8">
        <v>0</v>
      </c>
      <c r="G11014" s="8">
        <v>6</v>
      </c>
      <c r="H11014" s="8" t="s">
        <v>22348</v>
      </c>
      <c r="I11014" s="8">
        <v>529.125</v>
      </c>
      <c r="J11014" s="3">
        <f t="shared" si="172"/>
        <v>43748.287093032406</v>
      </c>
    </row>
    <row r="11015" spans="1:10" x14ac:dyDescent="0.25">
      <c r="A11015" s="5" t="s">
        <v>22349</v>
      </c>
      <c r="B11015" s="6">
        <v>403.125</v>
      </c>
      <c r="C11015" s="6">
        <v>20.478950000000001</v>
      </c>
      <c r="D11015" s="6">
        <v>107</v>
      </c>
      <c r="E11015" s="6">
        <v>0</v>
      </c>
      <c r="F11015" s="6">
        <v>0</v>
      </c>
      <c r="G11015" s="6">
        <v>4</v>
      </c>
      <c r="H11015" s="6" t="s">
        <v>22350</v>
      </c>
      <c r="I11015" s="6">
        <v>529.125</v>
      </c>
      <c r="J11015" s="2">
        <f t="shared" si="172"/>
        <v>43748.2871643287</v>
      </c>
    </row>
    <row r="11016" spans="1:10" x14ac:dyDescent="0.25">
      <c r="A11016" s="7" t="s">
        <v>22351</v>
      </c>
      <c r="B11016" s="8">
        <v>400</v>
      </c>
      <c r="C11016" s="8">
        <v>20.478950000000001</v>
      </c>
      <c r="D11016" s="8">
        <v>106</v>
      </c>
      <c r="E11016" s="8">
        <v>0</v>
      </c>
      <c r="F11016" s="8">
        <v>0</v>
      </c>
      <c r="G11016" s="8">
        <v>12</v>
      </c>
      <c r="H11016" s="8" t="s">
        <v>22352</v>
      </c>
      <c r="I11016" s="8">
        <v>528.9375</v>
      </c>
      <c r="J11016" s="3">
        <f t="shared" si="172"/>
        <v>43748.287235601849</v>
      </c>
    </row>
    <row r="11017" spans="1:10" x14ac:dyDescent="0.25">
      <c r="A11017" s="5" t="s">
        <v>22353</v>
      </c>
      <c r="B11017" s="6">
        <v>400</v>
      </c>
      <c r="C11017" s="6">
        <v>20.478950000000001</v>
      </c>
      <c r="D11017" s="6">
        <v>106</v>
      </c>
      <c r="E11017" s="6">
        <v>0</v>
      </c>
      <c r="F11017" s="6">
        <v>0</v>
      </c>
      <c r="G11017" s="6">
        <v>6</v>
      </c>
      <c r="H11017" s="6" t="s">
        <v>22354</v>
      </c>
      <c r="I11017" s="6">
        <v>528.9375</v>
      </c>
      <c r="J11017" s="2">
        <f t="shared" si="172"/>
        <v>43748.287307847218</v>
      </c>
    </row>
    <row r="11018" spans="1:10" x14ac:dyDescent="0.25">
      <c r="A11018" s="7" t="s">
        <v>22355</v>
      </c>
      <c r="B11018" s="8">
        <v>400</v>
      </c>
      <c r="C11018" s="8">
        <v>20.426300000000001</v>
      </c>
      <c r="D11018" s="8">
        <v>103</v>
      </c>
      <c r="E11018" s="8">
        <v>0</v>
      </c>
      <c r="F11018" s="8">
        <v>0</v>
      </c>
      <c r="G11018" s="8">
        <v>5</v>
      </c>
      <c r="H11018" s="8" t="s">
        <v>22356</v>
      </c>
      <c r="I11018" s="8">
        <v>528.9375</v>
      </c>
      <c r="J11018" s="3">
        <f t="shared" si="172"/>
        <v>43748.287380821756</v>
      </c>
    </row>
    <row r="11019" spans="1:10" x14ac:dyDescent="0.25">
      <c r="A11019" s="5" t="s">
        <v>22357</v>
      </c>
      <c r="B11019" s="6">
        <v>403.125</v>
      </c>
      <c r="C11019" s="6">
        <v>20.478950000000001</v>
      </c>
      <c r="D11019" s="6">
        <v>103</v>
      </c>
      <c r="E11019" s="6">
        <v>0</v>
      </c>
      <c r="F11019" s="6">
        <v>0</v>
      </c>
      <c r="G11019" s="6">
        <v>4</v>
      </c>
      <c r="H11019" s="6" t="s">
        <v>22358</v>
      </c>
      <c r="I11019" s="6">
        <v>529.875</v>
      </c>
      <c r="J11019" s="2">
        <f t="shared" si="172"/>
        <v>43748.2874624537</v>
      </c>
    </row>
    <row r="11020" spans="1:10" x14ac:dyDescent="0.25">
      <c r="A11020" s="7" t="s">
        <v>22359</v>
      </c>
      <c r="B11020" s="8">
        <v>425</v>
      </c>
      <c r="C11020" s="8">
        <v>20.426300000000001</v>
      </c>
      <c r="D11020" s="8">
        <v>103</v>
      </c>
      <c r="E11020" s="8">
        <v>0</v>
      </c>
      <c r="F11020" s="8">
        <v>0</v>
      </c>
      <c r="G11020" s="8">
        <v>1</v>
      </c>
      <c r="H11020" s="8" t="s">
        <v>22360</v>
      </c>
      <c r="I11020" s="8">
        <v>536.0625</v>
      </c>
      <c r="J11020" s="3">
        <f t="shared" si="172"/>
        <v>43748.287533749994</v>
      </c>
    </row>
    <row r="11021" spans="1:10" x14ac:dyDescent="0.25">
      <c r="A11021" s="5" t="s">
        <v>22361</v>
      </c>
      <c r="B11021" s="6">
        <v>406.25</v>
      </c>
      <c r="C11021" s="6">
        <v>20.478950000000001</v>
      </c>
      <c r="D11021" s="6">
        <v>103</v>
      </c>
      <c r="E11021" s="6">
        <v>0</v>
      </c>
      <c r="F11021" s="6">
        <v>0</v>
      </c>
      <c r="G11021" s="6">
        <v>9</v>
      </c>
      <c r="H11021" s="6" t="s">
        <v>22362</v>
      </c>
      <c r="I11021" s="6">
        <v>530.625</v>
      </c>
      <c r="J11021" s="2">
        <f t="shared" si="172"/>
        <v>43748.287605995363</v>
      </c>
    </row>
    <row r="11022" spans="1:10" x14ac:dyDescent="0.25">
      <c r="A11022" s="7" t="s">
        <v>22363</v>
      </c>
      <c r="B11022" s="8">
        <v>406.25</v>
      </c>
      <c r="C11022" s="8">
        <v>20.478950000000001</v>
      </c>
      <c r="D11022" s="8">
        <v>103</v>
      </c>
      <c r="E11022" s="8">
        <v>0</v>
      </c>
      <c r="F11022" s="8">
        <v>0</v>
      </c>
      <c r="G11022" s="8">
        <v>3</v>
      </c>
      <c r="H11022" s="8" t="s">
        <v>22364</v>
      </c>
      <c r="I11022" s="8">
        <v>530.625</v>
      </c>
      <c r="J11022" s="3">
        <f t="shared" si="172"/>
        <v>43748.287677210647</v>
      </c>
    </row>
    <row r="11023" spans="1:10" x14ac:dyDescent="0.25">
      <c r="A11023" s="5" t="s">
        <v>22365</v>
      </c>
      <c r="B11023" s="6">
        <v>406.25</v>
      </c>
      <c r="C11023" s="6">
        <v>20.426300000000001</v>
      </c>
      <c r="D11023" s="6">
        <v>103</v>
      </c>
      <c r="E11023" s="6">
        <v>0</v>
      </c>
      <c r="F11023" s="6">
        <v>0</v>
      </c>
      <c r="G11023" s="6">
        <v>4</v>
      </c>
      <c r="H11023" s="6" t="s">
        <v>22366</v>
      </c>
      <c r="I11023" s="6">
        <v>530.8125</v>
      </c>
      <c r="J11023" s="2">
        <f t="shared" si="172"/>
        <v>43748.287748576382</v>
      </c>
    </row>
    <row r="11024" spans="1:10" x14ac:dyDescent="0.25">
      <c r="A11024" s="7" t="s">
        <v>22367</v>
      </c>
      <c r="B11024" s="8">
        <v>406.25</v>
      </c>
      <c r="C11024" s="8">
        <v>20.426300000000001</v>
      </c>
      <c r="D11024" s="8">
        <v>104</v>
      </c>
      <c r="E11024" s="8">
        <v>0</v>
      </c>
      <c r="F11024" s="8">
        <v>0</v>
      </c>
      <c r="G11024" s="8">
        <v>9</v>
      </c>
      <c r="H11024" s="8" t="s">
        <v>22368</v>
      </c>
      <c r="I11024" s="8">
        <v>530.8125</v>
      </c>
      <c r="J11024" s="3">
        <f t="shared" si="172"/>
        <v>43748.287819988422</v>
      </c>
    </row>
    <row r="11025" spans="1:10" x14ac:dyDescent="0.25">
      <c r="A11025" s="5" t="s">
        <v>22369</v>
      </c>
      <c r="B11025" s="6">
        <v>406.25</v>
      </c>
      <c r="C11025" s="6">
        <v>20.426300000000001</v>
      </c>
      <c r="D11025" s="6">
        <v>106</v>
      </c>
      <c r="E11025" s="6">
        <v>0</v>
      </c>
      <c r="F11025" s="6">
        <v>0</v>
      </c>
      <c r="G11025" s="6">
        <v>9</v>
      </c>
      <c r="H11025" s="6" t="s">
        <v>22370</v>
      </c>
      <c r="I11025" s="6">
        <v>530.625</v>
      </c>
      <c r="J11025" s="2">
        <f t="shared" si="172"/>
        <v>43748.287892037035</v>
      </c>
    </row>
    <row r="11026" spans="1:10" x14ac:dyDescent="0.25">
      <c r="A11026" s="7" t="s">
        <v>22371</v>
      </c>
      <c r="B11026" s="8">
        <v>403.125</v>
      </c>
      <c r="C11026" s="8">
        <v>20.426300000000001</v>
      </c>
      <c r="D11026" s="8">
        <v>107</v>
      </c>
      <c r="E11026" s="8">
        <v>0</v>
      </c>
      <c r="F11026" s="8">
        <v>0</v>
      </c>
      <c r="G11026" s="8">
        <v>7</v>
      </c>
      <c r="H11026" s="8" t="s">
        <v>22372</v>
      </c>
      <c r="I11026" s="8">
        <v>529.875</v>
      </c>
      <c r="J11026" s="3">
        <f t="shared" si="172"/>
        <v>43748.287963425922</v>
      </c>
    </row>
    <row r="11027" spans="1:10" x14ac:dyDescent="0.25">
      <c r="A11027" s="5" t="s">
        <v>22373</v>
      </c>
      <c r="B11027" s="6">
        <v>406.25</v>
      </c>
      <c r="C11027" s="6">
        <v>20.478950000000001</v>
      </c>
      <c r="D11027" s="6">
        <v>107</v>
      </c>
      <c r="E11027" s="6">
        <v>0</v>
      </c>
      <c r="F11027" s="6">
        <v>0</v>
      </c>
      <c r="G11027" s="6">
        <v>10</v>
      </c>
      <c r="H11027" s="6" t="s">
        <v>22374</v>
      </c>
      <c r="I11027" s="6">
        <v>530.8125</v>
      </c>
      <c r="J11027" s="2">
        <f t="shared" si="172"/>
        <v>43748.28803560185</v>
      </c>
    </row>
    <row r="11028" spans="1:10" x14ac:dyDescent="0.25">
      <c r="A11028" s="7" t="s">
        <v>22375</v>
      </c>
      <c r="B11028" s="8">
        <v>406.25</v>
      </c>
      <c r="C11028" s="8">
        <v>20.478950000000001</v>
      </c>
      <c r="D11028" s="8">
        <v>108</v>
      </c>
      <c r="E11028" s="8">
        <v>0</v>
      </c>
      <c r="F11028" s="8">
        <v>0</v>
      </c>
      <c r="G11028" s="8">
        <v>6</v>
      </c>
      <c r="H11028" s="8" t="s">
        <v>22376</v>
      </c>
      <c r="I11028" s="8">
        <v>530.625</v>
      </c>
      <c r="J11028" s="3">
        <f t="shared" si="172"/>
        <v>43748.288118148143</v>
      </c>
    </row>
    <row r="11029" spans="1:10" x14ac:dyDescent="0.25">
      <c r="A11029" s="5" t="s">
        <v>22377</v>
      </c>
      <c r="B11029" s="6">
        <v>403.125</v>
      </c>
      <c r="C11029" s="6">
        <v>20.426300000000001</v>
      </c>
      <c r="D11029" s="6">
        <v>108</v>
      </c>
      <c r="E11029" s="6">
        <v>0</v>
      </c>
      <c r="F11029" s="6">
        <v>0</v>
      </c>
      <c r="G11029" s="6">
        <v>5</v>
      </c>
      <c r="H11029" s="6" t="s">
        <v>22378</v>
      </c>
      <c r="I11029" s="6">
        <v>529.875</v>
      </c>
      <c r="J11029" s="2">
        <f t="shared" si="172"/>
        <v>43748.288202280091</v>
      </c>
    </row>
    <row r="11030" spans="1:10" x14ac:dyDescent="0.25">
      <c r="A11030" s="7" t="s">
        <v>22379</v>
      </c>
      <c r="B11030" s="8">
        <v>403.125</v>
      </c>
      <c r="C11030" s="8">
        <v>20.478950000000001</v>
      </c>
      <c r="D11030" s="8">
        <v>108</v>
      </c>
      <c r="E11030" s="8">
        <v>0</v>
      </c>
      <c r="F11030" s="8">
        <v>0</v>
      </c>
      <c r="G11030" s="8">
        <v>12</v>
      </c>
      <c r="H11030" s="8" t="s">
        <v>22380</v>
      </c>
      <c r="I11030" s="8">
        <v>529.875</v>
      </c>
      <c r="J11030" s="3">
        <f t="shared" si="172"/>
        <v>43748.288285625</v>
      </c>
    </row>
    <row r="11031" spans="1:10" x14ac:dyDescent="0.25">
      <c r="A11031" s="5" t="s">
        <v>22381</v>
      </c>
      <c r="B11031" s="6">
        <v>403.125</v>
      </c>
      <c r="C11031" s="6">
        <v>20.478950000000001</v>
      </c>
      <c r="D11031" s="6">
        <v>108</v>
      </c>
      <c r="E11031" s="6">
        <v>0</v>
      </c>
      <c r="F11031" s="6">
        <v>0</v>
      </c>
      <c r="G11031" s="6">
        <v>11</v>
      </c>
      <c r="H11031" s="6" t="s">
        <v>22382</v>
      </c>
      <c r="I11031" s="6">
        <v>529.125</v>
      </c>
      <c r="J11031" s="2">
        <f t="shared" si="172"/>
        <v>43748.288357673613</v>
      </c>
    </row>
    <row r="11032" spans="1:10" x14ac:dyDescent="0.25">
      <c r="A11032" s="7" t="s">
        <v>22383</v>
      </c>
      <c r="B11032" s="8">
        <v>400</v>
      </c>
      <c r="C11032" s="8">
        <v>20.478950000000001</v>
      </c>
      <c r="D11032" s="8">
        <v>108</v>
      </c>
      <c r="E11032" s="8">
        <v>0</v>
      </c>
      <c r="F11032" s="8">
        <v>0</v>
      </c>
      <c r="G11032" s="8">
        <v>5</v>
      </c>
      <c r="H11032" s="8" t="s">
        <v>22384</v>
      </c>
      <c r="I11032" s="8">
        <v>528.9375</v>
      </c>
      <c r="J11032" s="3">
        <f t="shared" si="172"/>
        <v>43748.288440231474</v>
      </c>
    </row>
    <row r="11033" spans="1:10" x14ac:dyDescent="0.25">
      <c r="A11033" s="5" t="s">
        <v>22385</v>
      </c>
      <c r="B11033" s="6">
        <v>400</v>
      </c>
      <c r="C11033" s="6">
        <v>20.478950000000001</v>
      </c>
      <c r="D11033" s="6">
        <v>109</v>
      </c>
      <c r="E11033" s="6">
        <v>0</v>
      </c>
      <c r="F11033" s="6">
        <v>0</v>
      </c>
      <c r="G11033" s="6">
        <v>5</v>
      </c>
      <c r="H11033" s="6" t="s">
        <v>22386</v>
      </c>
      <c r="I11033" s="6">
        <v>528.375</v>
      </c>
      <c r="J11033" s="2">
        <f t="shared" si="172"/>
        <v>43748.28851233796</v>
      </c>
    </row>
    <row r="11034" spans="1:10" x14ac:dyDescent="0.25">
      <c r="A11034" s="7" t="s">
        <v>22387</v>
      </c>
      <c r="B11034" s="8">
        <v>415.625</v>
      </c>
      <c r="C11034" s="8">
        <v>20.426300000000001</v>
      </c>
      <c r="D11034" s="8">
        <v>109</v>
      </c>
      <c r="E11034" s="8">
        <v>0</v>
      </c>
      <c r="F11034" s="8">
        <v>0</v>
      </c>
      <c r="G11034" s="8">
        <v>3</v>
      </c>
      <c r="H11034" s="8" t="s">
        <v>22388</v>
      </c>
      <c r="I11034" s="8">
        <v>533.8125</v>
      </c>
      <c r="J11034" s="3">
        <f t="shared" si="172"/>
        <v>43748.288582905087</v>
      </c>
    </row>
    <row r="11035" spans="1:10" x14ac:dyDescent="0.25">
      <c r="A11035" s="5" t="s">
        <v>22389</v>
      </c>
      <c r="B11035" s="6">
        <v>400</v>
      </c>
      <c r="C11035" s="6">
        <v>20.478950000000001</v>
      </c>
      <c r="D11035" s="6">
        <v>109</v>
      </c>
      <c r="E11035" s="6">
        <v>0</v>
      </c>
      <c r="F11035" s="6">
        <v>0</v>
      </c>
      <c r="G11035" s="6">
        <v>2</v>
      </c>
      <c r="H11035" s="6" t="s">
        <v>22390</v>
      </c>
      <c r="I11035" s="6">
        <v>528.1875</v>
      </c>
      <c r="J11035" s="2">
        <f t="shared" si="172"/>
        <v>43748.28865505787</v>
      </c>
    </row>
    <row r="11036" spans="1:10" x14ac:dyDescent="0.25">
      <c r="A11036" s="7" t="s">
        <v>22391</v>
      </c>
      <c r="B11036" s="8">
        <v>400</v>
      </c>
      <c r="C11036" s="8">
        <v>20.478950000000001</v>
      </c>
      <c r="D11036" s="8">
        <v>109</v>
      </c>
      <c r="E11036" s="8">
        <v>0</v>
      </c>
      <c r="F11036" s="8">
        <v>0</v>
      </c>
      <c r="G11036" s="8">
        <v>0</v>
      </c>
      <c r="H11036" s="8" t="s">
        <v>22392</v>
      </c>
      <c r="I11036" s="8">
        <v>528.1875</v>
      </c>
      <c r="J11036" s="3">
        <f t="shared" si="172"/>
        <v>43748.288726354163</v>
      </c>
    </row>
    <row r="11037" spans="1:10" x14ac:dyDescent="0.25">
      <c r="A11037" s="5" t="s">
        <v>22393</v>
      </c>
      <c r="B11037" s="6">
        <v>396.875</v>
      </c>
      <c r="C11037" s="6">
        <v>20.478950000000001</v>
      </c>
      <c r="D11037" s="6">
        <v>108</v>
      </c>
      <c r="E11037" s="6">
        <v>0</v>
      </c>
      <c r="F11037" s="6">
        <v>0</v>
      </c>
      <c r="G11037" s="6">
        <v>7</v>
      </c>
      <c r="H11037" s="6" t="s">
        <v>22394</v>
      </c>
      <c r="I11037" s="6">
        <v>527.4375</v>
      </c>
      <c r="J11037" s="2">
        <f t="shared" si="172"/>
        <v>43748.288798576388</v>
      </c>
    </row>
    <row r="11038" spans="1:10" x14ac:dyDescent="0.25">
      <c r="A11038" s="7" t="s">
        <v>22395</v>
      </c>
      <c r="B11038" s="8">
        <v>396.875</v>
      </c>
      <c r="C11038" s="8">
        <v>20.426300000000001</v>
      </c>
      <c r="D11038" s="8">
        <v>110</v>
      </c>
      <c r="E11038" s="8">
        <v>0</v>
      </c>
      <c r="F11038" s="8">
        <v>0</v>
      </c>
      <c r="G11038" s="8">
        <v>3</v>
      </c>
      <c r="H11038" s="8" t="s">
        <v>22396</v>
      </c>
      <c r="I11038" s="8">
        <v>527.4375</v>
      </c>
      <c r="J11038" s="3">
        <f t="shared" si="172"/>
        <v>43748.288893900455</v>
      </c>
    </row>
    <row r="11039" spans="1:10" x14ac:dyDescent="0.25">
      <c r="A11039" s="5" t="s">
        <v>22397</v>
      </c>
      <c r="B11039" s="6">
        <v>396.875</v>
      </c>
      <c r="C11039" s="6">
        <v>20.478950000000001</v>
      </c>
      <c r="D11039" s="6">
        <v>110</v>
      </c>
      <c r="E11039" s="6">
        <v>0</v>
      </c>
      <c r="F11039" s="6">
        <v>0</v>
      </c>
      <c r="G11039" s="6">
        <v>11</v>
      </c>
      <c r="H11039" s="6" t="s">
        <v>22398</v>
      </c>
      <c r="I11039" s="6">
        <v>527.4375</v>
      </c>
      <c r="J11039" s="2">
        <f t="shared" si="172"/>
        <v>43748.28896513889</v>
      </c>
    </row>
    <row r="11040" spans="1:10" x14ac:dyDescent="0.25">
      <c r="A11040" s="7" t="s">
        <v>22399</v>
      </c>
      <c r="B11040" s="8">
        <v>396.875</v>
      </c>
      <c r="C11040" s="8">
        <v>20.478950000000001</v>
      </c>
      <c r="D11040" s="8">
        <v>109</v>
      </c>
      <c r="E11040" s="8">
        <v>0</v>
      </c>
      <c r="F11040" s="8">
        <v>0</v>
      </c>
      <c r="G11040" s="8">
        <v>9</v>
      </c>
      <c r="H11040" s="8" t="s">
        <v>22400</v>
      </c>
      <c r="I11040" s="8">
        <v>527.4375</v>
      </c>
      <c r="J11040" s="3">
        <f t="shared" si="172"/>
        <v>43748.28903659722</v>
      </c>
    </row>
    <row r="11041" spans="1:10" x14ac:dyDescent="0.25">
      <c r="A11041" s="5" t="s">
        <v>22401</v>
      </c>
      <c r="B11041" s="6">
        <v>396.875</v>
      </c>
      <c r="C11041" s="6">
        <v>20.478950000000001</v>
      </c>
      <c r="D11041" s="6">
        <v>109</v>
      </c>
      <c r="E11041" s="6">
        <v>0</v>
      </c>
      <c r="F11041" s="6">
        <v>0</v>
      </c>
      <c r="G11041" s="6">
        <v>1</v>
      </c>
      <c r="H11041" s="6" t="s">
        <v>22402</v>
      </c>
      <c r="I11041" s="6">
        <v>527.4375</v>
      </c>
      <c r="J11041" s="2">
        <f t="shared" si="172"/>
        <v>43748.289107731478</v>
      </c>
    </row>
    <row r="11042" spans="1:10" x14ac:dyDescent="0.25">
      <c r="A11042" s="7" t="s">
        <v>22403</v>
      </c>
      <c r="B11042" s="8">
        <v>396.875</v>
      </c>
      <c r="C11042" s="8">
        <v>20.478950000000001</v>
      </c>
      <c r="D11042" s="8">
        <v>108</v>
      </c>
      <c r="E11042" s="8">
        <v>0</v>
      </c>
      <c r="F11042" s="8">
        <v>0</v>
      </c>
      <c r="G11042" s="8">
        <v>6</v>
      </c>
      <c r="H11042" s="8" t="s">
        <v>22404</v>
      </c>
      <c r="I11042" s="8">
        <v>527.4375</v>
      </c>
      <c r="J11042" s="3">
        <f t="shared" si="172"/>
        <v>43748.289179988424</v>
      </c>
    </row>
    <row r="11043" spans="1:10" x14ac:dyDescent="0.25">
      <c r="A11043" s="5" t="s">
        <v>22405</v>
      </c>
      <c r="B11043" s="6">
        <v>396.875</v>
      </c>
      <c r="C11043" s="6">
        <v>20.478950000000001</v>
      </c>
      <c r="D11043" s="6">
        <v>108</v>
      </c>
      <c r="E11043" s="6">
        <v>0</v>
      </c>
      <c r="F11043" s="6">
        <v>0</v>
      </c>
      <c r="G11043" s="6">
        <v>6</v>
      </c>
      <c r="H11043" s="6" t="s">
        <v>22406</v>
      </c>
      <c r="I11043" s="6">
        <v>527.4375</v>
      </c>
      <c r="J11043" s="2">
        <f t="shared" si="172"/>
        <v>43748.289275300922</v>
      </c>
    </row>
    <row r="11044" spans="1:10" x14ac:dyDescent="0.25">
      <c r="A11044" s="7" t="s">
        <v>22407</v>
      </c>
      <c r="B11044" s="8">
        <v>400</v>
      </c>
      <c r="C11044" s="8">
        <v>20.478950000000001</v>
      </c>
      <c r="D11044" s="8">
        <v>107</v>
      </c>
      <c r="E11044" s="8">
        <v>0</v>
      </c>
      <c r="F11044" s="8">
        <v>0</v>
      </c>
      <c r="G11044" s="8">
        <v>1</v>
      </c>
      <c r="H11044" s="8" t="s">
        <v>22408</v>
      </c>
      <c r="I11044" s="8">
        <v>528.375</v>
      </c>
      <c r="J11044" s="3">
        <f t="shared" si="172"/>
        <v>43748.289346678233</v>
      </c>
    </row>
    <row r="11045" spans="1:10" x14ac:dyDescent="0.25">
      <c r="A11045" s="5" t="s">
        <v>22409</v>
      </c>
      <c r="B11045" s="6">
        <v>400</v>
      </c>
      <c r="C11045" s="6">
        <v>20.478950000000001</v>
      </c>
      <c r="D11045" s="6">
        <v>108</v>
      </c>
      <c r="E11045" s="6">
        <v>0</v>
      </c>
      <c r="F11045" s="6">
        <v>0</v>
      </c>
      <c r="G11045" s="6">
        <v>17</v>
      </c>
      <c r="H11045" s="6" t="s">
        <v>22410</v>
      </c>
      <c r="I11045" s="6">
        <v>528.1875</v>
      </c>
      <c r="J11045" s="2">
        <f t="shared" si="172"/>
        <v>43748.289418009255</v>
      </c>
    </row>
    <row r="11046" spans="1:10" x14ac:dyDescent="0.25">
      <c r="A11046" s="7" t="s">
        <v>22411</v>
      </c>
      <c r="B11046" s="8">
        <v>400</v>
      </c>
      <c r="C11046" s="8">
        <v>20.478950000000001</v>
      </c>
      <c r="D11046" s="8">
        <v>108</v>
      </c>
      <c r="E11046" s="8">
        <v>0</v>
      </c>
      <c r="F11046" s="8">
        <v>0</v>
      </c>
      <c r="G11046" s="8">
        <v>4</v>
      </c>
      <c r="H11046" s="8" t="s">
        <v>22412</v>
      </c>
      <c r="I11046" s="8">
        <v>528.375</v>
      </c>
      <c r="J11046" s="3">
        <f t="shared" si="172"/>
        <v>43748.289489965275</v>
      </c>
    </row>
    <row r="11047" spans="1:10" x14ac:dyDescent="0.25">
      <c r="A11047" s="5" t="s">
        <v>22413</v>
      </c>
      <c r="B11047" s="6">
        <v>403.125</v>
      </c>
      <c r="C11047" s="6">
        <v>20.478950000000001</v>
      </c>
      <c r="D11047" s="6">
        <v>109</v>
      </c>
      <c r="E11047" s="6">
        <v>0</v>
      </c>
      <c r="F11047" s="6">
        <v>0</v>
      </c>
      <c r="G11047" s="6">
        <v>9</v>
      </c>
      <c r="H11047" s="6" t="s">
        <v>22414</v>
      </c>
      <c r="I11047" s="6">
        <v>529.125</v>
      </c>
      <c r="J11047" s="2">
        <f t="shared" si="172"/>
        <v>43748.289561423611</v>
      </c>
    </row>
    <row r="11048" spans="1:10" x14ac:dyDescent="0.25">
      <c r="A11048" s="7" t="s">
        <v>22415</v>
      </c>
      <c r="B11048" s="8">
        <v>400</v>
      </c>
      <c r="C11048" s="8">
        <v>20.478950000000001</v>
      </c>
      <c r="D11048" s="8">
        <v>109</v>
      </c>
      <c r="E11048" s="8">
        <v>0</v>
      </c>
      <c r="F11048" s="8">
        <v>0</v>
      </c>
      <c r="G11048" s="8">
        <v>11</v>
      </c>
      <c r="H11048" s="8" t="s">
        <v>22416</v>
      </c>
      <c r="I11048" s="8">
        <v>528.1875</v>
      </c>
      <c r="J11048" s="3">
        <f t="shared" si="172"/>
        <v>43748.289632766202</v>
      </c>
    </row>
    <row r="11049" spans="1:10" x14ac:dyDescent="0.25">
      <c r="A11049" s="5" t="s">
        <v>22417</v>
      </c>
      <c r="B11049" s="6">
        <v>400</v>
      </c>
      <c r="C11049" s="6">
        <v>20.426300000000001</v>
      </c>
      <c r="D11049" s="6">
        <v>110</v>
      </c>
      <c r="E11049" s="6">
        <v>0</v>
      </c>
      <c r="F11049" s="6">
        <v>0</v>
      </c>
      <c r="G11049" s="6">
        <v>14</v>
      </c>
      <c r="H11049" s="6" t="s">
        <v>22418</v>
      </c>
      <c r="I11049" s="6">
        <v>528.1875</v>
      </c>
      <c r="J11049" s="2">
        <f t="shared" si="172"/>
        <v>43748.28970400463</v>
      </c>
    </row>
    <row r="11050" spans="1:10" x14ac:dyDescent="0.25">
      <c r="A11050" s="7" t="s">
        <v>22419</v>
      </c>
      <c r="B11050" s="8">
        <v>400</v>
      </c>
      <c r="C11050" s="8">
        <v>20.478950000000001</v>
      </c>
      <c r="D11050" s="8">
        <v>110</v>
      </c>
      <c r="E11050" s="8">
        <v>0</v>
      </c>
      <c r="F11050" s="8">
        <v>0</v>
      </c>
      <c r="G11050" s="8">
        <v>12</v>
      </c>
      <c r="H11050" s="8" t="s">
        <v>22420</v>
      </c>
      <c r="I11050" s="8">
        <v>528.1875</v>
      </c>
      <c r="J11050" s="3">
        <f t="shared" si="172"/>
        <v>43748.289776296289</v>
      </c>
    </row>
    <row r="11051" spans="1:10" x14ac:dyDescent="0.25">
      <c r="A11051" s="5" t="s">
        <v>22421</v>
      </c>
      <c r="B11051" s="6">
        <v>400</v>
      </c>
      <c r="C11051" s="6">
        <v>20.478950000000001</v>
      </c>
      <c r="D11051" s="6">
        <v>109</v>
      </c>
      <c r="E11051" s="6">
        <v>0</v>
      </c>
      <c r="F11051" s="6">
        <v>0</v>
      </c>
      <c r="G11051" s="6">
        <v>10</v>
      </c>
      <c r="H11051" s="6" t="s">
        <v>22422</v>
      </c>
      <c r="I11051" s="6">
        <v>528.1875</v>
      </c>
      <c r="J11051" s="2">
        <f t="shared" si="172"/>
        <v>43748.289847546293</v>
      </c>
    </row>
    <row r="11052" spans="1:10" x14ac:dyDescent="0.25">
      <c r="A11052" s="7" t="s">
        <v>22423</v>
      </c>
      <c r="B11052" s="8">
        <v>415.625</v>
      </c>
      <c r="C11052" s="8">
        <v>20.478950000000001</v>
      </c>
      <c r="D11052" s="8">
        <v>108</v>
      </c>
      <c r="E11052" s="8">
        <v>0</v>
      </c>
      <c r="F11052" s="8">
        <v>0</v>
      </c>
      <c r="G11052" s="8">
        <v>4</v>
      </c>
      <c r="H11052" s="8" t="s">
        <v>22424</v>
      </c>
      <c r="I11052" s="8">
        <v>533.625</v>
      </c>
      <c r="J11052" s="3">
        <f t="shared" si="172"/>
        <v>43748.289918888891</v>
      </c>
    </row>
    <row r="11053" spans="1:10" x14ac:dyDescent="0.25">
      <c r="A11053" s="5" t="s">
        <v>22425</v>
      </c>
      <c r="B11053" s="6">
        <v>396.875</v>
      </c>
      <c r="C11053" s="6">
        <v>20.426300000000001</v>
      </c>
      <c r="D11053" s="6">
        <v>108</v>
      </c>
      <c r="E11053" s="6">
        <v>0</v>
      </c>
      <c r="F11053" s="6">
        <v>0</v>
      </c>
      <c r="G11053" s="6">
        <v>6</v>
      </c>
      <c r="H11053" s="6" t="s">
        <v>22426</v>
      </c>
      <c r="I11053" s="6">
        <v>527.4375</v>
      </c>
      <c r="J11053" s="2">
        <f t="shared" si="172"/>
        <v>43748.290004687493</v>
      </c>
    </row>
    <row r="11054" spans="1:10" x14ac:dyDescent="0.25">
      <c r="A11054" s="7" t="s">
        <v>22427</v>
      </c>
      <c r="B11054" s="8">
        <v>396.875</v>
      </c>
      <c r="C11054" s="8">
        <v>20.426300000000001</v>
      </c>
      <c r="D11054" s="8">
        <v>110</v>
      </c>
      <c r="E11054" s="8">
        <v>0</v>
      </c>
      <c r="F11054" s="8">
        <v>0</v>
      </c>
      <c r="G11054" s="8">
        <v>7</v>
      </c>
      <c r="H11054" s="8" t="s">
        <v>22428</v>
      </c>
      <c r="I11054" s="8">
        <v>527.4375</v>
      </c>
      <c r="J11054" s="3">
        <f t="shared" si="172"/>
        <v>43748.290085613422</v>
      </c>
    </row>
    <row r="11055" spans="1:10" x14ac:dyDescent="0.25">
      <c r="A11055" s="5" t="s">
        <v>22429</v>
      </c>
      <c r="B11055" s="6">
        <v>393.75</v>
      </c>
      <c r="C11055" s="6">
        <v>20.478950000000001</v>
      </c>
      <c r="D11055" s="6">
        <v>108</v>
      </c>
      <c r="E11055" s="6">
        <v>0</v>
      </c>
      <c r="F11055" s="6">
        <v>0</v>
      </c>
      <c r="G11055" s="6">
        <v>2</v>
      </c>
      <c r="H11055" s="6" t="s">
        <v>22430</v>
      </c>
      <c r="I11055" s="6">
        <v>526.6875</v>
      </c>
      <c r="J11055" s="2">
        <f t="shared" si="172"/>
        <v>43748.290157777774</v>
      </c>
    </row>
    <row r="11056" spans="1:10" x14ac:dyDescent="0.25">
      <c r="A11056" s="7" t="s">
        <v>22431</v>
      </c>
      <c r="B11056" s="8">
        <v>393.75</v>
      </c>
      <c r="C11056" s="8">
        <v>20.426300000000001</v>
      </c>
      <c r="D11056" s="8">
        <v>109</v>
      </c>
      <c r="E11056" s="8">
        <v>0</v>
      </c>
      <c r="F11056" s="8">
        <v>0</v>
      </c>
      <c r="G11056" s="8">
        <v>10</v>
      </c>
      <c r="H11056" s="8" t="s">
        <v>22432</v>
      </c>
      <c r="I11056" s="8">
        <v>526.6875</v>
      </c>
      <c r="J11056" s="3">
        <f t="shared" si="172"/>
        <v>43748.290229062499</v>
      </c>
    </row>
    <row r="11057" spans="1:10" x14ac:dyDescent="0.25">
      <c r="A11057" s="5" t="s">
        <v>22433</v>
      </c>
      <c r="B11057" s="6">
        <v>393.75</v>
      </c>
      <c r="C11057" s="6">
        <v>20.478950000000001</v>
      </c>
      <c r="D11057" s="6">
        <v>109</v>
      </c>
      <c r="E11057" s="6">
        <v>0</v>
      </c>
      <c r="F11057" s="6">
        <v>0</v>
      </c>
      <c r="G11057" s="6">
        <v>4</v>
      </c>
      <c r="H11057" s="6" t="s">
        <v>22434</v>
      </c>
      <c r="I11057" s="6">
        <v>526.6875</v>
      </c>
      <c r="J11057" s="2">
        <f t="shared" si="172"/>
        <v>43748.290300358793</v>
      </c>
    </row>
    <row r="11058" spans="1:10" x14ac:dyDescent="0.25">
      <c r="A11058" s="7" t="s">
        <v>22435</v>
      </c>
      <c r="B11058" s="8">
        <v>396.875</v>
      </c>
      <c r="C11058" s="8">
        <v>20.426300000000001</v>
      </c>
      <c r="D11058" s="8">
        <v>109</v>
      </c>
      <c r="E11058" s="8">
        <v>0</v>
      </c>
      <c r="F11058" s="8">
        <v>0</v>
      </c>
      <c r="G11058" s="8">
        <v>14</v>
      </c>
      <c r="H11058" s="8" t="s">
        <v>22436</v>
      </c>
      <c r="I11058" s="8">
        <v>527.4375</v>
      </c>
      <c r="J11058" s="3">
        <f t="shared" si="172"/>
        <v>43748.290372418975</v>
      </c>
    </row>
    <row r="11059" spans="1:10" x14ac:dyDescent="0.25">
      <c r="A11059" s="5" t="s">
        <v>22437</v>
      </c>
      <c r="B11059" s="6">
        <v>412.5</v>
      </c>
      <c r="C11059" s="6">
        <v>20.426300000000001</v>
      </c>
      <c r="D11059" s="6">
        <v>108</v>
      </c>
      <c r="E11059" s="6">
        <v>0</v>
      </c>
      <c r="F11059" s="6">
        <v>0</v>
      </c>
      <c r="G11059" s="6">
        <v>0</v>
      </c>
      <c r="H11059" s="6" t="s">
        <v>22438</v>
      </c>
      <c r="I11059" s="6">
        <v>532.3125</v>
      </c>
      <c r="J11059" s="2">
        <f t="shared" si="172"/>
        <v>43748.29044384259</v>
      </c>
    </row>
    <row r="11060" spans="1:10" x14ac:dyDescent="0.25">
      <c r="A11060" s="7" t="s">
        <v>22439</v>
      </c>
      <c r="B11060" s="8">
        <v>393.75</v>
      </c>
      <c r="C11060" s="8">
        <v>20.478950000000001</v>
      </c>
      <c r="D11060" s="8">
        <v>108</v>
      </c>
      <c r="E11060" s="8">
        <v>0</v>
      </c>
      <c r="F11060" s="8">
        <v>0</v>
      </c>
      <c r="G11060" s="8">
        <v>1</v>
      </c>
      <c r="H11060" s="8" t="s">
        <v>22440</v>
      </c>
      <c r="I11060" s="8">
        <v>526.6875</v>
      </c>
      <c r="J11060" s="3">
        <f t="shared" si="172"/>
        <v>43748.290515115739</v>
      </c>
    </row>
    <row r="11061" spans="1:10" x14ac:dyDescent="0.25">
      <c r="A11061" s="5" t="s">
        <v>22441</v>
      </c>
      <c r="B11061" s="6">
        <v>393.75</v>
      </c>
      <c r="C11061" s="6">
        <v>20.478950000000001</v>
      </c>
      <c r="D11061" s="6">
        <v>108</v>
      </c>
      <c r="E11061" s="6">
        <v>0</v>
      </c>
      <c r="F11061" s="6">
        <v>0</v>
      </c>
      <c r="G11061" s="6">
        <v>12</v>
      </c>
      <c r="H11061" s="6" t="s">
        <v>22442</v>
      </c>
      <c r="I11061" s="6">
        <v>526.6875</v>
      </c>
      <c r="J11061" s="2">
        <f t="shared" si="172"/>
        <v>43748.290586481475</v>
      </c>
    </row>
    <row r="11062" spans="1:10" x14ac:dyDescent="0.25">
      <c r="A11062" s="7" t="s">
        <v>22443</v>
      </c>
      <c r="B11062" s="8">
        <v>393.75</v>
      </c>
      <c r="C11062" s="8">
        <v>20.478950000000001</v>
      </c>
      <c r="D11062" s="8">
        <v>108</v>
      </c>
      <c r="E11062" s="8">
        <v>0</v>
      </c>
      <c r="F11062" s="8">
        <v>0</v>
      </c>
      <c r="G11062" s="8">
        <v>7</v>
      </c>
      <c r="H11062" s="8" t="s">
        <v>22444</v>
      </c>
      <c r="I11062" s="8">
        <v>526.6875</v>
      </c>
      <c r="J11062" s="3">
        <f t="shared" si="172"/>
        <v>43748.290657893514</v>
      </c>
    </row>
    <row r="11063" spans="1:10" x14ac:dyDescent="0.25">
      <c r="A11063" s="5" t="s">
        <v>22445</v>
      </c>
      <c r="B11063" s="6">
        <v>396.875</v>
      </c>
      <c r="C11063" s="6">
        <v>20.478950000000001</v>
      </c>
      <c r="D11063" s="6">
        <v>109</v>
      </c>
      <c r="E11063" s="6">
        <v>0</v>
      </c>
      <c r="F11063" s="6">
        <v>0</v>
      </c>
      <c r="G11063" s="6">
        <v>11</v>
      </c>
      <c r="H11063" s="6" t="s">
        <v>22446</v>
      </c>
      <c r="I11063" s="6">
        <v>527.4375</v>
      </c>
      <c r="J11063" s="2">
        <f t="shared" si="172"/>
        <v>43748.290729930552</v>
      </c>
    </row>
    <row r="11064" spans="1:10" x14ac:dyDescent="0.25">
      <c r="A11064" s="7" t="s">
        <v>22447</v>
      </c>
      <c r="B11064" s="8">
        <v>396.875</v>
      </c>
      <c r="C11064" s="8">
        <v>20.426300000000001</v>
      </c>
      <c r="D11064" s="8">
        <v>109</v>
      </c>
      <c r="E11064" s="8">
        <v>0</v>
      </c>
      <c r="F11064" s="8">
        <v>0</v>
      </c>
      <c r="G11064" s="8">
        <v>8</v>
      </c>
      <c r="H11064" s="8" t="s">
        <v>22448</v>
      </c>
      <c r="I11064" s="8">
        <v>527.4375</v>
      </c>
      <c r="J11064" s="3">
        <f t="shared" si="172"/>
        <v>43748.290813287036</v>
      </c>
    </row>
    <row r="11065" spans="1:10" x14ac:dyDescent="0.25">
      <c r="A11065" s="5" t="s">
        <v>22449</v>
      </c>
      <c r="B11065" s="6">
        <v>393.75</v>
      </c>
      <c r="C11065" s="6">
        <v>20.426300000000001</v>
      </c>
      <c r="D11065" s="6">
        <v>109</v>
      </c>
      <c r="E11065" s="6">
        <v>0</v>
      </c>
      <c r="F11065" s="6">
        <v>0</v>
      </c>
      <c r="G11065" s="6">
        <v>6</v>
      </c>
      <c r="H11065" s="6" t="s">
        <v>22450</v>
      </c>
      <c r="I11065" s="6">
        <v>526.6875</v>
      </c>
      <c r="J11065" s="2">
        <f t="shared" si="172"/>
        <v>43748.290884618058</v>
      </c>
    </row>
    <row r="11066" spans="1:10" x14ac:dyDescent="0.25">
      <c r="A11066" s="7" t="s">
        <v>22451</v>
      </c>
      <c r="B11066" s="8">
        <v>393.75</v>
      </c>
      <c r="C11066" s="8">
        <v>20.478950000000001</v>
      </c>
      <c r="D11066" s="8">
        <v>109</v>
      </c>
      <c r="E11066" s="8">
        <v>0</v>
      </c>
      <c r="F11066" s="8">
        <v>0</v>
      </c>
      <c r="G11066" s="8">
        <v>14</v>
      </c>
      <c r="H11066" s="8" t="s">
        <v>22452</v>
      </c>
      <c r="I11066" s="8">
        <v>526.6875</v>
      </c>
      <c r="J11066" s="3">
        <f t="shared" si="172"/>
        <v>43748.290956689809</v>
      </c>
    </row>
    <row r="11067" spans="1:10" x14ac:dyDescent="0.25">
      <c r="A11067" s="5" t="s">
        <v>22453</v>
      </c>
      <c r="B11067" s="6">
        <v>415.625</v>
      </c>
      <c r="C11067" s="6">
        <v>20.478950000000001</v>
      </c>
      <c r="D11067" s="6">
        <v>109</v>
      </c>
      <c r="E11067" s="6">
        <v>0</v>
      </c>
      <c r="F11067" s="6">
        <v>0</v>
      </c>
      <c r="G11067" s="6">
        <v>10</v>
      </c>
      <c r="H11067" s="6" t="s">
        <v>22454</v>
      </c>
      <c r="I11067" s="6">
        <v>533.0625</v>
      </c>
      <c r="J11067" s="2">
        <f t="shared" si="172"/>
        <v>43748.291028159721</v>
      </c>
    </row>
    <row r="11068" spans="1:10" x14ac:dyDescent="0.25">
      <c r="A11068" s="7" t="s">
        <v>22455</v>
      </c>
      <c r="B11068" s="8">
        <v>396.875</v>
      </c>
      <c r="C11068" s="8">
        <v>20.426300000000001</v>
      </c>
      <c r="D11068" s="8">
        <v>109</v>
      </c>
      <c r="E11068" s="8">
        <v>0</v>
      </c>
      <c r="F11068" s="8">
        <v>0</v>
      </c>
      <c r="G11068" s="8">
        <v>1</v>
      </c>
      <c r="H11068" s="8" t="s">
        <v>22456</v>
      </c>
      <c r="I11068" s="8">
        <v>527.4375</v>
      </c>
      <c r="J11068" s="3">
        <f t="shared" si="172"/>
        <v>43748.291099444446</v>
      </c>
    </row>
    <row r="11069" spans="1:10" x14ac:dyDescent="0.25">
      <c r="A11069" s="5" t="s">
        <v>22457</v>
      </c>
      <c r="B11069" s="6">
        <v>396.875</v>
      </c>
      <c r="C11069" s="6">
        <v>20.478950000000001</v>
      </c>
      <c r="D11069" s="6">
        <v>109</v>
      </c>
      <c r="E11069" s="6">
        <v>0</v>
      </c>
      <c r="F11069" s="6">
        <v>0</v>
      </c>
      <c r="G11069" s="6">
        <v>6</v>
      </c>
      <c r="H11069" s="6" t="s">
        <v>22458</v>
      </c>
      <c r="I11069" s="6">
        <v>527.4375</v>
      </c>
      <c r="J11069" s="2">
        <f t="shared" si="172"/>
        <v>43748.291170752309</v>
      </c>
    </row>
    <row r="11070" spans="1:10" x14ac:dyDescent="0.25">
      <c r="A11070" s="7" t="s">
        <v>22459</v>
      </c>
      <c r="B11070" s="8">
        <v>415.625</v>
      </c>
      <c r="C11070" s="8">
        <v>20.426300000000001</v>
      </c>
      <c r="D11070" s="8">
        <v>108</v>
      </c>
      <c r="E11070" s="8">
        <v>0</v>
      </c>
      <c r="F11070" s="8">
        <v>0</v>
      </c>
      <c r="G11070" s="8">
        <v>12</v>
      </c>
      <c r="H11070" s="8" t="s">
        <v>22460</v>
      </c>
      <c r="I11070" s="8">
        <v>533.625</v>
      </c>
      <c r="J11070" s="3">
        <f t="shared" si="172"/>
        <v>43748.291266111111</v>
      </c>
    </row>
    <row r="11071" spans="1:10" x14ac:dyDescent="0.25">
      <c r="A11071" s="5" t="s">
        <v>22461</v>
      </c>
      <c r="B11071" s="6">
        <v>393.75</v>
      </c>
      <c r="C11071" s="6">
        <v>20.478950000000001</v>
      </c>
      <c r="D11071" s="6">
        <v>109</v>
      </c>
      <c r="E11071" s="6">
        <v>0</v>
      </c>
      <c r="F11071" s="6">
        <v>0</v>
      </c>
      <c r="G11071" s="6">
        <v>5</v>
      </c>
      <c r="H11071" s="6" t="s">
        <v>22462</v>
      </c>
      <c r="I11071" s="6">
        <v>526.6875</v>
      </c>
      <c r="J11071" s="2">
        <f t="shared" si="172"/>
        <v>43748.291351504631</v>
      </c>
    </row>
    <row r="11072" spans="1:10" x14ac:dyDescent="0.25">
      <c r="A11072" s="7" t="s">
        <v>22463</v>
      </c>
      <c r="B11072" s="8">
        <v>396.875</v>
      </c>
      <c r="C11072" s="8">
        <v>20.478950000000001</v>
      </c>
      <c r="D11072" s="8">
        <v>109</v>
      </c>
      <c r="E11072" s="8">
        <v>0</v>
      </c>
      <c r="F11072" s="8">
        <v>0</v>
      </c>
      <c r="G11072" s="8">
        <v>5</v>
      </c>
      <c r="H11072" s="8" t="s">
        <v>22464</v>
      </c>
      <c r="I11072" s="8">
        <v>527.4375</v>
      </c>
      <c r="J11072" s="3">
        <f t="shared" si="172"/>
        <v>43748.291433749997</v>
      </c>
    </row>
    <row r="11073" spans="1:10" x14ac:dyDescent="0.25">
      <c r="A11073" s="5" t="s">
        <v>22465</v>
      </c>
      <c r="B11073" s="6">
        <v>396.875</v>
      </c>
      <c r="C11073" s="6">
        <v>20.426300000000001</v>
      </c>
      <c r="D11073" s="6">
        <v>109</v>
      </c>
      <c r="E11073" s="6">
        <v>0</v>
      </c>
      <c r="F11073" s="6">
        <v>0</v>
      </c>
      <c r="G11073" s="6">
        <v>9</v>
      </c>
      <c r="H11073" s="6" t="s">
        <v>22466</v>
      </c>
      <c r="I11073" s="6">
        <v>527.4375</v>
      </c>
      <c r="J11073" s="2">
        <f t="shared" si="172"/>
        <v>43748.291505057867</v>
      </c>
    </row>
    <row r="11074" spans="1:10" x14ac:dyDescent="0.25">
      <c r="A11074" s="7" t="s">
        <v>22467</v>
      </c>
      <c r="B11074" s="8">
        <v>393.75</v>
      </c>
      <c r="C11074" s="8">
        <v>20.426300000000001</v>
      </c>
      <c r="D11074" s="8">
        <v>109</v>
      </c>
      <c r="E11074" s="8">
        <v>0</v>
      </c>
      <c r="F11074" s="8">
        <v>0</v>
      </c>
      <c r="G11074" s="8">
        <v>9</v>
      </c>
      <c r="H11074" s="8" t="s">
        <v>22468</v>
      </c>
      <c r="I11074" s="8">
        <v>526.6875</v>
      </c>
      <c r="J11074" s="3">
        <f t="shared" ref="J11074:J11137" si="173">(H11074/86400000)+25569+(7/24)</f>
        <v>43748.291576331016</v>
      </c>
    </row>
    <row r="11075" spans="1:10" x14ac:dyDescent="0.25">
      <c r="A11075" s="5" t="s">
        <v>22469</v>
      </c>
      <c r="B11075" s="6">
        <v>393.75</v>
      </c>
      <c r="C11075" s="6">
        <v>20.478950000000001</v>
      </c>
      <c r="D11075" s="6">
        <v>108</v>
      </c>
      <c r="E11075" s="6">
        <v>0</v>
      </c>
      <c r="F11075" s="6">
        <v>0</v>
      </c>
      <c r="G11075" s="6">
        <v>4</v>
      </c>
      <c r="H11075" s="6" t="s">
        <v>22470</v>
      </c>
      <c r="I11075" s="6">
        <v>526.6875</v>
      </c>
      <c r="J11075" s="2">
        <f t="shared" si="173"/>
        <v>43748.291649085644</v>
      </c>
    </row>
    <row r="11076" spans="1:10" x14ac:dyDescent="0.25">
      <c r="A11076" s="7" t="s">
        <v>22471</v>
      </c>
      <c r="B11076" s="8">
        <v>428.125</v>
      </c>
      <c r="C11076" s="8">
        <v>20.426300000000001</v>
      </c>
      <c r="D11076" s="8">
        <v>108</v>
      </c>
      <c r="E11076" s="8">
        <v>0</v>
      </c>
      <c r="F11076" s="8">
        <v>0</v>
      </c>
      <c r="G11076" s="8">
        <v>10</v>
      </c>
      <c r="H11076" s="8" t="s">
        <v>22472</v>
      </c>
      <c r="I11076" s="8">
        <v>537</v>
      </c>
      <c r="J11076" s="3">
        <f t="shared" si="173"/>
        <v>43748.291718993052</v>
      </c>
    </row>
    <row r="11077" spans="1:10" x14ac:dyDescent="0.25">
      <c r="A11077" s="5" t="s">
        <v>22473</v>
      </c>
      <c r="B11077" s="6">
        <v>393.75</v>
      </c>
      <c r="C11077" s="6">
        <v>20.478950000000001</v>
      </c>
      <c r="D11077" s="6">
        <v>108</v>
      </c>
      <c r="E11077" s="6">
        <v>0</v>
      </c>
      <c r="F11077" s="6">
        <v>0</v>
      </c>
      <c r="G11077" s="6">
        <v>3</v>
      </c>
      <c r="H11077" s="6" t="s">
        <v>22474</v>
      </c>
      <c r="I11077" s="6">
        <v>526.6875</v>
      </c>
      <c r="J11077" s="2">
        <f t="shared" si="173"/>
        <v>43748.291791157404</v>
      </c>
    </row>
    <row r="11078" spans="1:10" x14ac:dyDescent="0.25">
      <c r="A11078" s="7" t="s">
        <v>22475</v>
      </c>
      <c r="B11078" s="8">
        <v>393.75</v>
      </c>
      <c r="C11078" s="8">
        <v>20.426300000000001</v>
      </c>
      <c r="D11078" s="8">
        <v>108</v>
      </c>
      <c r="E11078" s="8">
        <v>0</v>
      </c>
      <c r="F11078" s="8">
        <v>0</v>
      </c>
      <c r="G11078" s="8">
        <v>4</v>
      </c>
      <c r="H11078" s="8" t="s">
        <v>22476</v>
      </c>
      <c r="I11078" s="8">
        <v>526.6875</v>
      </c>
      <c r="J11078" s="3">
        <f t="shared" si="173"/>
        <v>43748.29187616898</v>
      </c>
    </row>
    <row r="11079" spans="1:10" x14ac:dyDescent="0.25">
      <c r="A11079" s="5" t="s">
        <v>22477</v>
      </c>
      <c r="B11079" s="6">
        <v>393.75</v>
      </c>
      <c r="C11079" s="6">
        <v>20.478950000000001</v>
      </c>
      <c r="D11079" s="6">
        <v>108</v>
      </c>
      <c r="E11079" s="6">
        <v>0</v>
      </c>
      <c r="F11079" s="6">
        <v>0</v>
      </c>
      <c r="G11079" s="6">
        <v>12</v>
      </c>
      <c r="H11079" s="6" t="s">
        <v>22478</v>
      </c>
      <c r="I11079" s="6">
        <v>526.6875</v>
      </c>
      <c r="J11079" s="2">
        <f t="shared" si="173"/>
        <v>43748.291945844903</v>
      </c>
    </row>
    <row r="11080" spans="1:10" x14ac:dyDescent="0.25">
      <c r="A11080" s="7" t="s">
        <v>22479</v>
      </c>
      <c r="B11080" s="8">
        <v>396.875</v>
      </c>
      <c r="C11080" s="8">
        <v>20.478950000000001</v>
      </c>
      <c r="D11080" s="8">
        <v>108</v>
      </c>
      <c r="E11080" s="8">
        <v>0</v>
      </c>
      <c r="F11080" s="8">
        <v>0</v>
      </c>
      <c r="G11080" s="8">
        <v>12</v>
      </c>
      <c r="H11080" s="8" t="s">
        <v>22480</v>
      </c>
      <c r="I11080" s="8">
        <v>527.4375</v>
      </c>
      <c r="J11080" s="3">
        <f t="shared" si="173"/>
        <v>43748.292018009255</v>
      </c>
    </row>
    <row r="11081" spans="1:10" x14ac:dyDescent="0.25">
      <c r="A11081" s="5" t="s">
        <v>22481</v>
      </c>
      <c r="B11081" s="6">
        <v>396.875</v>
      </c>
      <c r="C11081" s="6">
        <v>20.478950000000001</v>
      </c>
      <c r="D11081" s="6">
        <v>108</v>
      </c>
      <c r="E11081" s="6">
        <v>0</v>
      </c>
      <c r="F11081" s="6">
        <v>0</v>
      </c>
      <c r="G11081" s="6">
        <v>8</v>
      </c>
      <c r="H11081" s="6" t="s">
        <v>22482</v>
      </c>
      <c r="I11081" s="6">
        <v>527.4375</v>
      </c>
      <c r="J11081" s="2">
        <f t="shared" si="173"/>
        <v>43748.292089305549</v>
      </c>
    </row>
    <row r="11082" spans="1:10" x14ac:dyDescent="0.25">
      <c r="A11082" s="7" t="s">
        <v>22483</v>
      </c>
      <c r="B11082" s="8">
        <v>400</v>
      </c>
      <c r="C11082" s="8">
        <v>20.478950000000001</v>
      </c>
      <c r="D11082" s="8">
        <v>109</v>
      </c>
      <c r="E11082" s="8">
        <v>0</v>
      </c>
      <c r="F11082" s="8">
        <v>0</v>
      </c>
      <c r="G11082" s="8">
        <v>0</v>
      </c>
      <c r="H11082" s="8" t="s">
        <v>22484</v>
      </c>
      <c r="I11082" s="8">
        <v>528.1875</v>
      </c>
      <c r="J11082" s="3">
        <f t="shared" si="173"/>
        <v>43748.292160671299</v>
      </c>
    </row>
    <row r="11083" spans="1:10" x14ac:dyDescent="0.25">
      <c r="A11083" s="5" t="s">
        <v>22485</v>
      </c>
      <c r="B11083" s="6">
        <v>400</v>
      </c>
      <c r="C11083" s="6">
        <v>20.478950000000001</v>
      </c>
      <c r="D11083" s="6">
        <v>108</v>
      </c>
      <c r="E11083" s="6">
        <v>0</v>
      </c>
      <c r="F11083" s="6">
        <v>0</v>
      </c>
      <c r="G11083" s="6">
        <v>7</v>
      </c>
      <c r="H11083" s="6" t="s">
        <v>22486</v>
      </c>
      <c r="I11083" s="6">
        <v>528.1875</v>
      </c>
      <c r="J11083" s="2">
        <f t="shared" si="173"/>
        <v>43748.292232650456</v>
      </c>
    </row>
    <row r="11084" spans="1:10" x14ac:dyDescent="0.25">
      <c r="A11084" s="7" t="s">
        <v>22487</v>
      </c>
      <c r="B11084" s="8">
        <v>418.75</v>
      </c>
      <c r="C11084" s="8">
        <v>20.426300000000001</v>
      </c>
      <c r="D11084" s="8">
        <v>108</v>
      </c>
      <c r="E11084" s="8">
        <v>0</v>
      </c>
      <c r="F11084" s="8">
        <v>0</v>
      </c>
      <c r="G11084" s="8">
        <v>8</v>
      </c>
      <c r="H11084" s="8" t="s">
        <v>22488</v>
      </c>
      <c r="I11084" s="8">
        <v>534.375</v>
      </c>
      <c r="J11084" s="3">
        <f t="shared" si="173"/>
        <v>43748.292304120368</v>
      </c>
    </row>
    <row r="11085" spans="1:10" x14ac:dyDescent="0.25">
      <c r="A11085" s="5" t="s">
        <v>22489</v>
      </c>
      <c r="B11085" s="6">
        <v>400</v>
      </c>
      <c r="C11085" s="6">
        <v>20.478950000000001</v>
      </c>
      <c r="D11085" s="6">
        <v>109</v>
      </c>
      <c r="E11085" s="6">
        <v>0</v>
      </c>
      <c r="F11085" s="6">
        <v>0</v>
      </c>
      <c r="G11085" s="6">
        <v>2</v>
      </c>
      <c r="H11085" s="6" t="s">
        <v>22490</v>
      </c>
      <c r="I11085" s="6">
        <v>528.1875</v>
      </c>
      <c r="J11085" s="2">
        <f t="shared" si="173"/>
        <v>43748.292375416662</v>
      </c>
    </row>
    <row r="11086" spans="1:10" x14ac:dyDescent="0.25">
      <c r="A11086" s="7" t="s">
        <v>22491</v>
      </c>
      <c r="B11086" s="8">
        <v>400</v>
      </c>
      <c r="C11086" s="8">
        <v>20.478950000000001</v>
      </c>
      <c r="D11086" s="8">
        <v>108</v>
      </c>
      <c r="E11086" s="8">
        <v>0</v>
      </c>
      <c r="F11086" s="8">
        <v>0</v>
      </c>
      <c r="G11086" s="8">
        <v>6</v>
      </c>
      <c r="H11086" s="8" t="s">
        <v>22492</v>
      </c>
      <c r="I11086" s="8">
        <v>528.1875</v>
      </c>
      <c r="J11086" s="3">
        <f t="shared" si="173"/>
        <v>43748.292470798609</v>
      </c>
    </row>
    <row r="11087" spans="1:10" x14ac:dyDescent="0.25">
      <c r="A11087" s="5" t="s">
        <v>22493</v>
      </c>
      <c r="B11087" s="6">
        <v>396.875</v>
      </c>
      <c r="C11087" s="6">
        <v>20.478950000000001</v>
      </c>
      <c r="D11087" s="6">
        <v>106</v>
      </c>
      <c r="E11087" s="6">
        <v>0</v>
      </c>
      <c r="F11087" s="6">
        <v>0</v>
      </c>
      <c r="G11087" s="6">
        <v>5</v>
      </c>
      <c r="H11087" s="6" t="s">
        <v>22494</v>
      </c>
      <c r="I11087" s="6">
        <v>527.4375</v>
      </c>
      <c r="J11087" s="2">
        <f t="shared" si="173"/>
        <v>43748.2925421412</v>
      </c>
    </row>
    <row r="11088" spans="1:10" x14ac:dyDescent="0.25">
      <c r="A11088" s="7" t="s">
        <v>22495</v>
      </c>
      <c r="B11088" s="8">
        <v>396.875</v>
      </c>
      <c r="C11088" s="8">
        <v>20.478950000000001</v>
      </c>
      <c r="D11088" s="8">
        <v>106</v>
      </c>
      <c r="E11088" s="8">
        <v>0</v>
      </c>
      <c r="F11088" s="8">
        <v>0</v>
      </c>
      <c r="G11088" s="8">
        <v>16</v>
      </c>
      <c r="H11088" s="8" t="s">
        <v>22496</v>
      </c>
      <c r="I11088" s="8">
        <v>527.4375</v>
      </c>
      <c r="J11088" s="3">
        <f t="shared" si="173"/>
        <v>43748.292613599529</v>
      </c>
    </row>
    <row r="11089" spans="1:10" x14ac:dyDescent="0.25">
      <c r="A11089" s="5" t="s">
        <v>22497</v>
      </c>
      <c r="B11089" s="6">
        <v>396.875</v>
      </c>
      <c r="C11089" s="6">
        <v>20.478950000000001</v>
      </c>
      <c r="D11089" s="6">
        <v>110</v>
      </c>
      <c r="E11089" s="6">
        <v>0</v>
      </c>
      <c r="F11089" s="6">
        <v>0</v>
      </c>
      <c r="G11089" s="6">
        <v>7</v>
      </c>
      <c r="H11089" s="6" t="s">
        <v>22498</v>
      </c>
      <c r="I11089" s="6">
        <v>527.4375</v>
      </c>
      <c r="J11089" s="2">
        <f t="shared" si="173"/>
        <v>43748.292685601853</v>
      </c>
    </row>
    <row r="11090" spans="1:10" x14ac:dyDescent="0.25">
      <c r="A11090" s="7" t="s">
        <v>22499</v>
      </c>
      <c r="B11090" s="8">
        <v>396.875</v>
      </c>
      <c r="C11090" s="8">
        <v>20.426300000000001</v>
      </c>
      <c r="D11090" s="8">
        <v>110</v>
      </c>
      <c r="E11090" s="8">
        <v>0</v>
      </c>
      <c r="F11090" s="8">
        <v>0</v>
      </c>
      <c r="G11090" s="8">
        <v>4</v>
      </c>
      <c r="H11090" s="8" t="s">
        <v>22500</v>
      </c>
      <c r="I11090" s="8">
        <v>527.4375</v>
      </c>
      <c r="J11090" s="3">
        <f t="shared" si="173"/>
        <v>43748.292768969906</v>
      </c>
    </row>
    <row r="11091" spans="1:10" x14ac:dyDescent="0.25">
      <c r="A11091" s="5" t="s">
        <v>22501</v>
      </c>
      <c r="B11091" s="6">
        <v>393.75</v>
      </c>
      <c r="C11091" s="6">
        <v>20.478950000000001</v>
      </c>
      <c r="D11091" s="6">
        <v>110</v>
      </c>
      <c r="E11091" s="6">
        <v>0</v>
      </c>
      <c r="F11091" s="6">
        <v>0</v>
      </c>
      <c r="G11091" s="6">
        <v>8</v>
      </c>
      <c r="H11091" s="6" t="s">
        <v>22502</v>
      </c>
      <c r="I11091" s="6">
        <v>526.5</v>
      </c>
      <c r="J11091" s="2">
        <f t="shared" si="173"/>
        <v>43748.292853182873</v>
      </c>
    </row>
    <row r="11092" spans="1:10" x14ac:dyDescent="0.25">
      <c r="A11092" s="7" t="s">
        <v>22503</v>
      </c>
      <c r="B11092" s="8">
        <v>393.75</v>
      </c>
      <c r="C11092" s="8">
        <v>20.426300000000001</v>
      </c>
      <c r="D11092" s="8">
        <v>109</v>
      </c>
      <c r="E11092" s="8">
        <v>0</v>
      </c>
      <c r="F11092" s="8">
        <v>0</v>
      </c>
      <c r="G11092" s="8">
        <v>12</v>
      </c>
      <c r="H11092" s="8" t="s">
        <v>22504</v>
      </c>
      <c r="I11092" s="8">
        <v>526.6875</v>
      </c>
      <c r="J11092" s="3">
        <f t="shared" si="173"/>
        <v>43748.292936342586</v>
      </c>
    </row>
    <row r="11093" spans="1:10" x14ac:dyDescent="0.25">
      <c r="A11093" s="5" t="s">
        <v>22505</v>
      </c>
      <c r="B11093" s="6">
        <v>393.75</v>
      </c>
      <c r="C11093" s="6">
        <v>20.478950000000001</v>
      </c>
      <c r="D11093" s="6">
        <v>109</v>
      </c>
      <c r="E11093" s="6">
        <v>0</v>
      </c>
      <c r="F11093" s="6">
        <v>0</v>
      </c>
      <c r="G11093" s="6">
        <v>13</v>
      </c>
      <c r="H11093" s="6" t="s">
        <v>22506</v>
      </c>
      <c r="I11093" s="6">
        <v>526.6875</v>
      </c>
      <c r="J11093" s="2">
        <f t="shared" si="173"/>
        <v>43748.293007812499</v>
      </c>
    </row>
    <row r="11094" spans="1:10" x14ac:dyDescent="0.25">
      <c r="A11094" s="7" t="s">
        <v>22507</v>
      </c>
      <c r="B11094" s="8">
        <v>393.75</v>
      </c>
      <c r="C11094" s="8">
        <v>20.478950000000001</v>
      </c>
      <c r="D11094" s="8">
        <v>109</v>
      </c>
      <c r="E11094" s="8">
        <v>0</v>
      </c>
      <c r="F11094" s="8">
        <v>0</v>
      </c>
      <c r="G11094" s="8">
        <v>8</v>
      </c>
      <c r="H11094" s="8" t="s">
        <v>22508</v>
      </c>
      <c r="I11094" s="8">
        <v>526.6875</v>
      </c>
      <c r="J11094" s="3">
        <f t="shared" si="173"/>
        <v>43748.29307905092</v>
      </c>
    </row>
    <row r="11095" spans="1:10" x14ac:dyDescent="0.25">
      <c r="A11095" s="5" t="s">
        <v>22509</v>
      </c>
      <c r="B11095" s="6">
        <v>396.875</v>
      </c>
      <c r="C11095" s="6">
        <v>20.478950000000001</v>
      </c>
      <c r="D11095" s="6">
        <v>109</v>
      </c>
      <c r="E11095" s="6">
        <v>0</v>
      </c>
      <c r="F11095" s="6">
        <v>0</v>
      </c>
      <c r="G11095" s="6">
        <v>10</v>
      </c>
      <c r="H11095" s="6" t="s">
        <v>22510</v>
      </c>
      <c r="I11095" s="6">
        <v>527.4375</v>
      </c>
      <c r="J11095" s="2">
        <f t="shared" si="173"/>
        <v>43748.293182824076</v>
      </c>
    </row>
    <row r="11096" spans="1:10" x14ac:dyDescent="0.25">
      <c r="A11096" s="7" t="s">
        <v>22511</v>
      </c>
      <c r="B11096" s="8">
        <v>396.875</v>
      </c>
      <c r="C11096" s="8">
        <v>20.478950000000001</v>
      </c>
      <c r="D11096" s="8">
        <v>107</v>
      </c>
      <c r="E11096" s="8">
        <v>0</v>
      </c>
      <c r="F11096" s="8">
        <v>0</v>
      </c>
      <c r="G11096" s="8">
        <v>6</v>
      </c>
      <c r="H11096" s="8" t="s">
        <v>22512</v>
      </c>
      <c r="I11096" s="8">
        <v>527.4375</v>
      </c>
      <c r="J11096" s="3">
        <f t="shared" si="173"/>
        <v>43748.293257824072</v>
      </c>
    </row>
    <row r="11097" spans="1:10" x14ac:dyDescent="0.25">
      <c r="A11097" s="5" t="s">
        <v>22513</v>
      </c>
      <c r="B11097" s="6">
        <v>396.875</v>
      </c>
      <c r="C11097" s="6">
        <v>20.478950000000001</v>
      </c>
      <c r="D11097" s="6">
        <v>107</v>
      </c>
      <c r="E11097" s="6">
        <v>0</v>
      </c>
      <c r="F11097" s="6">
        <v>0</v>
      </c>
      <c r="G11097" s="6">
        <v>1</v>
      </c>
      <c r="H11097" s="6" t="s">
        <v>22514</v>
      </c>
      <c r="I11097" s="6">
        <v>527.4375</v>
      </c>
      <c r="J11097" s="2">
        <f t="shared" si="173"/>
        <v>43748.293329120366</v>
      </c>
    </row>
    <row r="11098" spans="1:10" x14ac:dyDescent="0.25">
      <c r="A11098" s="7" t="s">
        <v>22515</v>
      </c>
      <c r="B11098" s="8">
        <v>396.875</v>
      </c>
      <c r="C11098" s="8">
        <v>20.426300000000001</v>
      </c>
      <c r="D11098" s="8">
        <v>108</v>
      </c>
      <c r="E11098" s="8">
        <v>0</v>
      </c>
      <c r="F11098" s="8">
        <v>0</v>
      </c>
      <c r="G11098" s="8">
        <v>0</v>
      </c>
      <c r="H11098" s="8" t="s">
        <v>22516</v>
      </c>
      <c r="I11098" s="8">
        <v>527.4375</v>
      </c>
      <c r="J11098" s="3">
        <f t="shared" si="173"/>
        <v>43748.293401331015</v>
      </c>
    </row>
    <row r="11099" spans="1:10" x14ac:dyDescent="0.25">
      <c r="A11099" s="5" t="s">
        <v>22517</v>
      </c>
      <c r="B11099" s="6">
        <v>396.875</v>
      </c>
      <c r="C11099" s="6">
        <v>20.478950000000001</v>
      </c>
      <c r="D11099" s="6">
        <v>108</v>
      </c>
      <c r="E11099" s="6">
        <v>0</v>
      </c>
      <c r="F11099" s="6">
        <v>0</v>
      </c>
      <c r="G11099" s="6">
        <v>3</v>
      </c>
      <c r="H11099" s="6" t="s">
        <v>22518</v>
      </c>
      <c r="I11099" s="6">
        <v>527.4375</v>
      </c>
      <c r="J11099" s="2">
        <f t="shared" si="173"/>
        <v>43748.293496712962</v>
      </c>
    </row>
    <row r="11100" spans="1:10" x14ac:dyDescent="0.25">
      <c r="A11100" s="7" t="s">
        <v>22519</v>
      </c>
      <c r="B11100" s="8">
        <v>396.875</v>
      </c>
      <c r="C11100" s="8">
        <v>20.478950000000001</v>
      </c>
      <c r="D11100" s="8">
        <v>107</v>
      </c>
      <c r="E11100" s="8">
        <v>0</v>
      </c>
      <c r="F11100" s="8">
        <v>0</v>
      </c>
      <c r="G11100" s="8">
        <v>14</v>
      </c>
      <c r="H11100" s="8" t="s">
        <v>22520</v>
      </c>
      <c r="I11100" s="8">
        <v>527.4375</v>
      </c>
      <c r="J11100" s="3">
        <f t="shared" si="173"/>
        <v>43748.293580046295</v>
      </c>
    </row>
    <row r="11101" spans="1:10" x14ac:dyDescent="0.25">
      <c r="A11101" s="5" t="s">
        <v>22521</v>
      </c>
      <c r="B11101" s="6">
        <v>396.875</v>
      </c>
      <c r="C11101" s="6">
        <v>20.478950000000001</v>
      </c>
      <c r="D11101" s="6">
        <v>107</v>
      </c>
      <c r="E11101" s="6">
        <v>0</v>
      </c>
      <c r="F11101" s="6">
        <v>0</v>
      </c>
      <c r="G11101" s="6">
        <v>4</v>
      </c>
      <c r="H11101" s="6" t="s">
        <v>22522</v>
      </c>
      <c r="I11101" s="6">
        <v>527.4375</v>
      </c>
      <c r="J11101" s="2">
        <f t="shared" si="173"/>
        <v>43748.293651238426</v>
      </c>
    </row>
    <row r="11102" spans="1:10" x14ac:dyDescent="0.25">
      <c r="A11102" s="7" t="s">
        <v>22523</v>
      </c>
      <c r="B11102" s="8">
        <v>396.875</v>
      </c>
      <c r="C11102" s="8">
        <v>20.478950000000001</v>
      </c>
      <c r="D11102" s="8">
        <v>108</v>
      </c>
      <c r="E11102" s="8">
        <v>0</v>
      </c>
      <c r="F11102" s="8">
        <v>0</v>
      </c>
      <c r="G11102" s="8">
        <v>2</v>
      </c>
      <c r="H11102" s="8" t="s">
        <v>22524</v>
      </c>
      <c r="I11102" s="8">
        <v>527.4375</v>
      </c>
      <c r="J11102" s="3">
        <f t="shared" si="173"/>
        <v>43748.293722638882</v>
      </c>
    </row>
    <row r="11103" spans="1:10" x14ac:dyDescent="0.25">
      <c r="A11103" s="5" t="s">
        <v>22525</v>
      </c>
      <c r="B11103" s="6">
        <v>396.875</v>
      </c>
      <c r="C11103" s="6">
        <v>20.478950000000001</v>
      </c>
      <c r="D11103" s="6">
        <v>108</v>
      </c>
      <c r="E11103" s="6">
        <v>0</v>
      </c>
      <c r="F11103" s="6">
        <v>0</v>
      </c>
      <c r="G11103" s="6">
        <v>11</v>
      </c>
      <c r="H11103" s="6" t="s">
        <v>22526</v>
      </c>
      <c r="I11103" s="6">
        <v>527.4375</v>
      </c>
      <c r="J11103" s="2">
        <f t="shared" si="173"/>
        <v>43748.293794861107</v>
      </c>
    </row>
    <row r="11104" spans="1:10" x14ac:dyDescent="0.25">
      <c r="A11104" s="7" t="s">
        <v>22527</v>
      </c>
      <c r="B11104" s="8">
        <v>396.875</v>
      </c>
      <c r="C11104" s="8">
        <v>20.478950000000001</v>
      </c>
      <c r="D11104" s="8">
        <v>108</v>
      </c>
      <c r="E11104" s="8">
        <v>0</v>
      </c>
      <c r="F11104" s="8">
        <v>0</v>
      </c>
      <c r="G11104" s="8">
        <v>2</v>
      </c>
      <c r="H11104" s="8" t="s">
        <v>22528</v>
      </c>
      <c r="I11104" s="8">
        <v>527.4375</v>
      </c>
      <c r="J11104" s="3">
        <f t="shared" si="173"/>
        <v>43748.293866145832</v>
      </c>
    </row>
    <row r="11105" spans="1:10" x14ac:dyDescent="0.25">
      <c r="A11105" s="5" t="s">
        <v>22529</v>
      </c>
      <c r="B11105" s="6">
        <v>393.75</v>
      </c>
      <c r="C11105" s="6">
        <v>20.478950000000001</v>
      </c>
      <c r="D11105" s="6">
        <v>101</v>
      </c>
      <c r="E11105" s="6">
        <v>0</v>
      </c>
      <c r="F11105" s="6">
        <v>0</v>
      </c>
      <c r="G11105" s="6">
        <v>6</v>
      </c>
      <c r="H11105" s="6" t="s">
        <v>22530</v>
      </c>
      <c r="I11105" s="6">
        <v>526.6875</v>
      </c>
      <c r="J11105" s="2">
        <f t="shared" si="173"/>
        <v>43748.293961504627</v>
      </c>
    </row>
    <row r="11106" spans="1:10" x14ac:dyDescent="0.25">
      <c r="A11106" s="7" t="s">
        <v>22531</v>
      </c>
      <c r="B11106" s="8">
        <v>393.75</v>
      </c>
      <c r="C11106" s="8">
        <v>20.426300000000001</v>
      </c>
      <c r="D11106" s="8">
        <v>100</v>
      </c>
      <c r="E11106" s="8">
        <v>0</v>
      </c>
      <c r="F11106" s="8">
        <v>0</v>
      </c>
      <c r="G11106" s="8">
        <v>6</v>
      </c>
      <c r="H11106" s="8" t="s">
        <v>22532</v>
      </c>
      <c r="I11106" s="8">
        <v>526.6875</v>
      </c>
      <c r="J11106" s="3">
        <f t="shared" si="173"/>
        <v>43748.294032789352</v>
      </c>
    </row>
    <row r="11107" spans="1:10" x14ac:dyDescent="0.25">
      <c r="A11107" s="5" t="s">
        <v>22533</v>
      </c>
      <c r="B11107" s="6">
        <v>393.75</v>
      </c>
      <c r="C11107" s="6">
        <v>20.478950000000001</v>
      </c>
      <c r="D11107" s="6">
        <v>101</v>
      </c>
      <c r="E11107" s="6">
        <v>0</v>
      </c>
      <c r="F11107" s="6">
        <v>0</v>
      </c>
      <c r="G11107" s="6">
        <v>10</v>
      </c>
      <c r="H11107" s="6" t="s">
        <v>22534</v>
      </c>
      <c r="I11107" s="6">
        <v>526.6875</v>
      </c>
      <c r="J11107" s="2">
        <f t="shared" si="173"/>
        <v>43748.294104212961</v>
      </c>
    </row>
    <row r="11108" spans="1:10" x14ac:dyDescent="0.25">
      <c r="A11108" s="7" t="s">
        <v>22535</v>
      </c>
      <c r="B11108" s="8">
        <v>393.75</v>
      </c>
      <c r="C11108" s="8">
        <v>20.426300000000001</v>
      </c>
      <c r="D11108" s="8">
        <v>101</v>
      </c>
      <c r="E11108" s="8">
        <v>0</v>
      </c>
      <c r="F11108" s="8">
        <v>0</v>
      </c>
      <c r="G11108" s="8">
        <v>9</v>
      </c>
      <c r="H11108" s="8" t="s">
        <v>22536</v>
      </c>
      <c r="I11108" s="8">
        <v>526.6875</v>
      </c>
      <c r="J11108" s="3">
        <f t="shared" si="173"/>
        <v>43748.294176307863</v>
      </c>
    </row>
    <row r="11109" spans="1:10" x14ac:dyDescent="0.25">
      <c r="A11109" s="5" t="s">
        <v>22537</v>
      </c>
      <c r="B11109" s="6">
        <v>393.75</v>
      </c>
      <c r="C11109" s="6">
        <v>20.426300000000001</v>
      </c>
      <c r="D11109" s="6">
        <v>100</v>
      </c>
      <c r="E11109" s="6">
        <v>0</v>
      </c>
      <c r="F11109" s="6">
        <v>0</v>
      </c>
      <c r="G11109" s="6">
        <v>7</v>
      </c>
      <c r="H11109" s="6" t="s">
        <v>22538</v>
      </c>
      <c r="I11109" s="6">
        <v>526.5</v>
      </c>
      <c r="J11109" s="2">
        <f t="shared" si="173"/>
        <v>43748.294247685182</v>
      </c>
    </row>
    <row r="11110" spans="1:10" x14ac:dyDescent="0.25">
      <c r="A11110" s="7" t="s">
        <v>22539</v>
      </c>
      <c r="B11110" s="8">
        <v>393.75</v>
      </c>
      <c r="C11110" s="8">
        <v>20.478950000000001</v>
      </c>
      <c r="D11110" s="8">
        <v>100</v>
      </c>
      <c r="E11110" s="8">
        <v>0</v>
      </c>
      <c r="F11110" s="8">
        <v>0</v>
      </c>
      <c r="G11110" s="8">
        <v>11</v>
      </c>
      <c r="H11110" s="8" t="s">
        <v>22540</v>
      </c>
      <c r="I11110" s="8">
        <v>526.6875</v>
      </c>
      <c r="J11110" s="3">
        <f t="shared" si="173"/>
        <v>43748.294318969907</v>
      </c>
    </row>
    <row r="11111" spans="1:10" x14ac:dyDescent="0.25">
      <c r="A11111" s="5" t="s">
        <v>22541</v>
      </c>
      <c r="B11111" s="6">
        <v>393.75</v>
      </c>
      <c r="C11111" s="6">
        <v>20.478950000000001</v>
      </c>
      <c r="D11111" s="6">
        <v>101</v>
      </c>
      <c r="E11111" s="6">
        <v>0</v>
      </c>
      <c r="F11111" s="6">
        <v>0</v>
      </c>
      <c r="G11111" s="6">
        <v>8</v>
      </c>
      <c r="H11111" s="6" t="s">
        <v>22542</v>
      </c>
      <c r="I11111" s="6">
        <v>526.5</v>
      </c>
      <c r="J11111" s="2">
        <f t="shared" si="173"/>
        <v>43748.294391215277</v>
      </c>
    </row>
    <row r="11112" spans="1:10" x14ac:dyDescent="0.25">
      <c r="A11112" s="7" t="s">
        <v>22543</v>
      </c>
      <c r="B11112" s="8">
        <v>393.75</v>
      </c>
      <c r="C11112" s="8">
        <v>20.478950000000001</v>
      </c>
      <c r="D11112" s="8">
        <v>101</v>
      </c>
      <c r="E11112" s="8">
        <v>0</v>
      </c>
      <c r="F11112" s="8">
        <v>0</v>
      </c>
      <c r="G11112" s="8">
        <v>9</v>
      </c>
      <c r="H11112" s="8" t="s">
        <v>22544</v>
      </c>
      <c r="I11112" s="8">
        <v>526.6875</v>
      </c>
      <c r="J11112" s="3">
        <f t="shared" si="173"/>
        <v>43748.294462534723</v>
      </c>
    </row>
    <row r="11113" spans="1:10" x14ac:dyDescent="0.25">
      <c r="A11113" s="5" t="s">
        <v>22545</v>
      </c>
      <c r="B11113" s="6">
        <v>393.75</v>
      </c>
      <c r="C11113" s="6">
        <v>20.478950000000001</v>
      </c>
      <c r="D11113" s="6">
        <v>101</v>
      </c>
      <c r="E11113" s="6">
        <v>0</v>
      </c>
      <c r="F11113" s="6">
        <v>0</v>
      </c>
      <c r="G11113" s="6">
        <v>12</v>
      </c>
      <c r="H11113" s="6" t="s">
        <v>22546</v>
      </c>
      <c r="I11113" s="6">
        <v>526.6875</v>
      </c>
      <c r="J11113" s="2">
        <f t="shared" si="173"/>
        <v>43748.294533773143</v>
      </c>
    </row>
    <row r="11114" spans="1:10" x14ac:dyDescent="0.25">
      <c r="A11114" s="7" t="s">
        <v>22547</v>
      </c>
      <c r="B11114" s="8">
        <v>393.75</v>
      </c>
      <c r="C11114" s="8">
        <v>20.478950000000001</v>
      </c>
      <c r="D11114" s="8">
        <v>102</v>
      </c>
      <c r="E11114" s="8">
        <v>0</v>
      </c>
      <c r="F11114" s="8">
        <v>0</v>
      </c>
      <c r="G11114" s="8">
        <v>14</v>
      </c>
      <c r="H11114" s="8" t="s">
        <v>22548</v>
      </c>
      <c r="I11114" s="8">
        <v>526.6875</v>
      </c>
      <c r="J11114" s="3">
        <f t="shared" si="173"/>
        <v>43748.294605138886</v>
      </c>
    </row>
    <row r="11115" spans="1:10" x14ac:dyDescent="0.25">
      <c r="A11115" s="5" t="s">
        <v>22549</v>
      </c>
      <c r="B11115" s="6">
        <v>393.75</v>
      </c>
      <c r="C11115" s="6">
        <v>20.478950000000001</v>
      </c>
      <c r="D11115" s="6">
        <v>102</v>
      </c>
      <c r="E11115" s="6">
        <v>0</v>
      </c>
      <c r="F11115" s="6">
        <v>0</v>
      </c>
      <c r="G11115" s="6">
        <v>11</v>
      </c>
      <c r="H11115" s="6" t="s">
        <v>22550</v>
      </c>
      <c r="I11115" s="6">
        <v>526.6875</v>
      </c>
      <c r="J11115" s="2">
        <f t="shared" si="173"/>
        <v>43748.294677256941</v>
      </c>
    </row>
    <row r="11116" spans="1:10" x14ac:dyDescent="0.25">
      <c r="A11116" s="7" t="s">
        <v>22551</v>
      </c>
      <c r="B11116" s="8">
        <v>412.5</v>
      </c>
      <c r="C11116" s="8">
        <v>20.478950000000001</v>
      </c>
      <c r="D11116" s="8">
        <v>102</v>
      </c>
      <c r="E11116" s="8">
        <v>0</v>
      </c>
      <c r="F11116" s="8">
        <v>0</v>
      </c>
      <c r="G11116" s="8">
        <v>6</v>
      </c>
      <c r="H11116" s="8" t="s">
        <v>22552</v>
      </c>
      <c r="I11116" s="8">
        <v>532.125</v>
      </c>
      <c r="J11116" s="3">
        <f t="shared" si="173"/>
        <v>43748.294748645836</v>
      </c>
    </row>
    <row r="11117" spans="1:10" x14ac:dyDescent="0.25">
      <c r="A11117" s="5" t="s">
        <v>22553</v>
      </c>
      <c r="B11117" s="6">
        <v>393.75</v>
      </c>
      <c r="C11117" s="6">
        <v>20.426300000000001</v>
      </c>
      <c r="D11117" s="6">
        <v>102</v>
      </c>
      <c r="E11117" s="6">
        <v>0</v>
      </c>
      <c r="F11117" s="6">
        <v>0</v>
      </c>
      <c r="G11117" s="6">
        <v>3</v>
      </c>
      <c r="H11117" s="6" t="s">
        <v>22554</v>
      </c>
      <c r="I11117" s="6">
        <v>526.6875</v>
      </c>
      <c r="J11117" s="2">
        <f t="shared" si="173"/>
        <v>43748.294819895826</v>
      </c>
    </row>
    <row r="11118" spans="1:10" x14ac:dyDescent="0.25">
      <c r="A11118" s="7" t="s">
        <v>22555</v>
      </c>
      <c r="B11118" s="8">
        <v>393.75</v>
      </c>
      <c r="C11118" s="8">
        <v>20.478950000000001</v>
      </c>
      <c r="D11118" s="8">
        <v>102</v>
      </c>
      <c r="E11118" s="8">
        <v>0</v>
      </c>
      <c r="F11118" s="8">
        <v>0</v>
      </c>
      <c r="G11118" s="8">
        <v>0</v>
      </c>
      <c r="H11118" s="8" t="s">
        <v>22556</v>
      </c>
      <c r="I11118" s="8">
        <v>526.6875</v>
      </c>
      <c r="J11118" s="3">
        <f t="shared" si="173"/>
        <v>43748.29489193287</v>
      </c>
    </row>
    <row r="11119" spans="1:10" x14ac:dyDescent="0.25">
      <c r="A11119" s="5" t="s">
        <v>22557</v>
      </c>
      <c r="B11119" s="6">
        <v>393.75</v>
      </c>
      <c r="C11119" s="6">
        <v>20.478950000000001</v>
      </c>
      <c r="D11119" s="6">
        <v>102</v>
      </c>
      <c r="E11119" s="6">
        <v>0</v>
      </c>
      <c r="F11119" s="6">
        <v>0</v>
      </c>
      <c r="G11119" s="6">
        <v>5</v>
      </c>
      <c r="H11119" s="6" t="s">
        <v>22558</v>
      </c>
      <c r="I11119" s="6">
        <v>526.6875</v>
      </c>
      <c r="J11119" s="2">
        <f t="shared" si="173"/>
        <v>43748.294963356479</v>
      </c>
    </row>
    <row r="11120" spans="1:10" x14ac:dyDescent="0.25">
      <c r="A11120" s="7" t="s">
        <v>22559</v>
      </c>
      <c r="B11120" s="8">
        <v>393.75</v>
      </c>
      <c r="C11120" s="8">
        <v>20.478950000000001</v>
      </c>
      <c r="D11120" s="8">
        <v>102</v>
      </c>
      <c r="E11120" s="8">
        <v>0</v>
      </c>
      <c r="F11120" s="8">
        <v>0</v>
      </c>
      <c r="G11120" s="8">
        <v>12</v>
      </c>
      <c r="H11120" s="8" t="s">
        <v>22560</v>
      </c>
      <c r="I11120" s="8">
        <v>526.6875</v>
      </c>
      <c r="J11120" s="3">
        <f t="shared" si="173"/>
        <v>43748.295034710645</v>
      </c>
    </row>
    <row r="11121" spans="1:10" x14ac:dyDescent="0.25">
      <c r="A11121" s="5" t="s">
        <v>22561</v>
      </c>
      <c r="B11121" s="6">
        <v>393.75</v>
      </c>
      <c r="C11121" s="6">
        <v>20.478950000000001</v>
      </c>
      <c r="D11121" s="6">
        <v>102</v>
      </c>
      <c r="E11121" s="6">
        <v>0</v>
      </c>
      <c r="F11121" s="6">
        <v>0</v>
      </c>
      <c r="G11121" s="6">
        <v>18</v>
      </c>
      <c r="H11121" s="6" t="s">
        <v>22562</v>
      </c>
      <c r="I11121" s="6">
        <v>526.5</v>
      </c>
      <c r="J11121" s="2">
        <f t="shared" si="173"/>
        <v>43748.295105949073</v>
      </c>
    </row>
    <row r="11122" spans="1:10" x14ac:dyDescent="0.25">
      <c r="A11122" s="7" t="s">
        <v>22563</v>
      </c>
      <c r="B11122" s="8">
        <v>393.75</v>
      </c>
      <c r="C11122" s="8">
        <v>20.478950000000001</v>
      </c>
      <c r="D11122" s="8">
        <v>103</v>
      </c>
      <c r="E11122" s="8">
        <v>0</v>
      </c>
      <c r="F11122" s="8">
        <v>0</v>
      </c>
      <c r="G11122" s="8">
        <v>16</v>
      </c>
      <c r="H11122" s="8" t="s">
        <v>22564</v>
      </c>
      <c r="I11122" s="8">
        <v>526.6875</v>
      </c>
      <c r="J11122" s="3">
        <f t="shared" si="173"/>
        <v>43748.2951799074</v>
      </c>
    </row>
    <row r="11123" spans="1:10" x14ac:dyDescent="0.25">
      <c r="A11123" s="5" t="s">
        <v>22565</v>
      </c>
      <c r="B11123" s="6">
        <v>393.75</v>
      </c>
      <c r="C11123" s="6">
        <v>20.426300000000001</v>
      </c>
      <c r="D11123" s="6">
        <v>103</v>
      </c>
      <c r="E11123" s="6">
        <v>0</v>
      </c>
      <c r="F11123" s="6">
        <v>0</v>
      </c>
      <c r="G11123" s="6">
        <v>9</v>
      </c>
      <c r="H11123" s="6" t="s">
        <v>22566</v>
      </c>
      <c r="I11123" s="6">
        <v>526.6875</v>
      </c>
      <c r="J11123" s="2">
        <f t="shared" si="173"/>
        <v>43748.295261689811</v>
      </c>
    </row>
    <row r="11124" spans="1:10" x14ac:dyDescent="0.25">
      <c r="A11124" s="7" t="s">
        <v>22567</v>
      </c>
      <c r="B11124" s="8">
        <v>393.75</v>
      </c>
      <c r="C11124" s="8">
        <v>20.478950000000001</v>
      </c>
      <c r="D11124" s="8">
        <v>103</v>
      </c>
      <c r="E11124" s="8">
        <v>0</v>
      </c>
      <c r="F11124" s="8">
        <v>0</v>
      </c>
      <c r="G11124" s="8">
        <v>11</v>
      </c>
      <c r="H11124" s="8" t="s">
        <v>22568</v>
      </c>
      <c r="I11124" s="8">
        <v>526.5</v>
      </c>
      <c r="J11124" s="3">
        <f t="shared" si="173"/>
        <v>43748.295332847221</v>
      </c>
    </row>
    <row r="11125" spans="1:10" x14ac:dyDescent="0.25">
      <c r="A11125" s="5" t="s">
        <v>22569</v>
      </c>
      <c r="B11125" s="6">
        <v>393.75</v>
      </c>
      <c r="C11125" s="6">
        <v>20.478950000000001</v>
      </c>
      <c r="D11125" s="6">
        <v>103</v>
      </c>
      <c r="E11125" s="6">
        <v>0</v>
      </c>
      <c r="F11125" s="6">
        <v>0</v>
      </c>
      <c r="G11125" s="6">
        <v>1</v>
      </c>
      <c r="H11125" s="6" t="s">
        <v>22570</v>
      </c>
      <c r="I11125" s="6">
        <v>526.6875</v>
      </c>
      <c r="J11125" s="2">
        <f t="shared" si="173"/>
        <v>43748.295404178243</v>
      </c>
    </row>
    <row r="11126" spans="1:10" x14ac:dyDescent="0.25">
      <c r="A11126" s="7" t="s">
        <v>22571</v>
      </c>
      <c r="B11126" s="8">
        <v>393.75</v>
      </c>
      <c r="C11126" s="8">
        <v>20.478950000000001</v>
      </c>
      <c r="D11126" s="8">
        <v>103</v>
      </c>
      <c r="E11126" s="8">
        <v>0</v>
      </c>
      <c r="F11126" s="8">
        <v>0</v>
      </c>
      <c r="G11126" s="8">
        <v>9</v>
      </c>
      <c r="H11126" s="8" t="s">
        <v>22572</v>
      </c>
      <c r="I11126" s="8">
        <v>526.6875</v>
      </c>
      <c r="J11126" s="3">
        <f t="shared" si="173"/>
        <v>43748.295475624996</v>
      </c>
    </row>
    <row r="11127" spans="1:10" x14ac:dyDescent="0.25">
      <c r="A11127" s="5" t="s">
        <v>22573</v>
      </c>
      <c r="B11127" s="6">
        <v>393.75</v>
      </c>
      <c r="C11127" s="6">
        <v>20.426300000000001</v>
      </c>
      <c r="D11127" s="6">
        <v>105</v>
      </c>
      <c r="E11127" s="6">
        <v>0</v>
      </c>
      <c r="F11127" s="6">
        <v>0</v>
      </c>
      <c r="G11127" s="6">
        <v>8</v>
      </c>
      <c r="H11127" s="6" t="s">
        <v>22574</v>
      </c>
      <c r="I11127" s="6">
        <v>526.5</v>
      </c>
      <c r="J11127" s="2">
        <f t="shared" si="173"/>
        <v>43748.295547743051</v>
      </c>
    </row>
    <row r="11128" spans="1:10" x14ac:dyDescent="0.25">
      <c r="A11128" s="7" t="s">
        <v>22575</v>
      </c>
      <c r="B11128" s="8">
        <v>412.5</v>
      </c>
      <c r="C11128" s="8">
        <v>20.478950000000001</v>
      </c>
      <c r="D11128" s="8">
        <v>107</v>
      </c>
      <c r="E11128" s="8">
        <v>0</v>
      </c>
      <c r="F11128" s="8">
        <v>0</v>
      </c>
      <c r="G11128" s="8">
        <v>6</v>
      </c>
      <c r="H11128" s="8" t="s">
        <v>22576</v>
      </c>
      <c r="I11128" s="8">
        <v>532.6875</v>
      </c>
      <c r="J11128" s="3">
        <f t="shared" si="173"/>
        <v>43748.295618958327</v>
      </c>
    </row>
    <row r="11129" spans="1:10" x14ac:dyDescent="0.25">
      <c r="A11129" s="5" t="s">
        <v>22577</v>
      </c>
      <c r="B11129" s="6">
        <v>393.75</v>
      </c>
      <c r="C11129" s="6">
        <v>20.478950000000001</v>
      </c>
      <c r="D11129" s="6">
        <v>108</v>
      </c>
      <c r="E11129" s="6">
        <v>0</v>
      </c>
      <c r="F11129" s="6">
        <v>0</v>
      </c>
      <c r="G11129" s="6">
        <v>15</v>
      </c>
      <c r="H11129" s="6" t="s">
        <v>22578</v>
      </c>
      <c r="I11129" s="6">
        <v>526.6875</v>
      </c>
      <c r="J11129" s="2">
        <f t="shared" si="173"/>
        <v>43748.295691203697</v>
      </c>
    </row>
    <row r="11130" spans="1:10" x14ac:dyDescent="0.25">
      <c r="A11130" s="7" t="s">
        <v>22579</v>
      </c>
      <c r="B11130" s="8">
        <v>393.75</v>
      </c>
      <c r="C11130" s="8">
        <v>20.478950000000001</v>
      </c>
      <c r="D11130" s="8">
        <v>107</v>
      </c>
      <c r="E11130" s="8">
        <v>0</v>
      </c>
      <c r="F11130" s="8">
        <v>0</v>
      </c>
      <c r="G11130" s="8">
        <v>6</v>
      </c>
      <c r="H11130" s="8" t="s">
        <v>22580</v>
      </c>
      <c r="I11130" s="8">
        <v>526.6875</v>
      </c>
      <c r="J11130" s="3">
        <f t="shared" si="173"/>
        <v>43748.295762488422</v>
      </c>
    </row>
    <row r="11131" spans="1:10" x14ac:dyDescent="0.25">
      <c r="A11131" s="5" t="s">
        <v>22581</v>
      </c>
      <c r="B11131" s="6">
        <v>393.75</v>
      </c>
      <c r="C11131" s="6">
        <v>20.426300000000001</v>
      </c>
      <c r="D11131" s="6">
        <v>110</v>
      </c>
      <c r="E11131" s="6">
        <v>0</v>
      </c>
      <c r="F11131" s="6">
        <v>0</v>
      </c>
      <c r="G11131" s="6">
        <v>8</v>
      </c>
      <c r="H11131" s="6" t="s">
        <v>22582</v>
      </c>
      <c r="I11131" s="6">
        <v>526.6875</v>
      </c>
      <c r="J11131" s="2">
        <f t="shared" si="173"/>
        <v>43748.295833715274</v>
      </c>
    </row>
    <row r="11132" spans="1:10" x14ac:dyDescent="0.25">
      <c r="A11132" s="7" t="s">
        <v>22583</v>
      </c>
      <c r="B11132" s="8">
        <v>393.75</v>
      </c>
      <c r="C11132" s="8">
        <v>20.478950000000001</v>
      </c>
      <c r="D11132" s="8">
        <v>109</v>
      </c>
      <c r="E11132" s="8">
        <v>0</v>
      </c>
      <c r="F11132" s="8">
        <v>0</v>
      </c>
      <c r="G11132" s="8">
        <v>2</v>
      </c>
      <c r="H11132" s="8" t="s">
        <v>22584</v>
      </c>
      <c r="I11132" s="8">
        <v>526.6875</v>
      </c>
      <c r="J11132" s="3">
        <f t="shared" si="173"/>
        <v>43748.295905127314</v>
      </c>
    </row>
    <row r="11133" spans="1:10" x14ac:dyDescent="0.25">
      <c r="A11133" s="5" t="s">
        <v>22585</v>
      </c>
      <c r="B11133" s="6">
        <v>393.75</v>
      </c>
      <c r="C11133" s="6">
        <v>20.426300000000001</v>
      </c>
      <c r="D11133" s="6">
        <v>109</v>
      </c>
      <c r="E11133" s="6">
        <v>0</v>
      </c>
      <c r="F11133" s="6">
        <v>0</v>
      </c>
      <c r="G11133" s="6">
        <v>15</v>
      </c>
      <c r="H11133" s="6" t="s">
        <v>22586</v>
      </c>
      <c r="I11133" s="6">
        <v>526.6875</v>
      </c>
      <c r="J11133" s="2">
        <f t="shared" si="173"/>
        <v>43748.295977233793</v>
      </c>
    </row>
    <row r="11134" spans="1:10" x14ac:dyDescent="0.25">
      <c r="A11134" s="7" t="s">
        <v>22587</v>
      </c>
      <c r="B11134" s="8">
        <v>393.75</v>
      </c>
      <c r="C11134" s="8">
        <v>20.478950000000001</v>
      </c>
      <c r="D11134" s="8">
        <v>109</v>
      </c>
      <c r="E11134" s="8">
        <v>0</v>
      </c>
      <c r="F11134" s="8">
        <v>0</v>
      </c>
      <c r="G11134" s="8">
        <v>15</v>
      </c>
      <c r="H11134" s="8" t="s">
        <v>22588</v>
      </c>
      <c r="I11134" s="8">
        <v>526.6875</v>
      </c>
      <c r="J11134" s="3">
        <f t="shared" si="173"/>
        <v>43748.296047719901</v>
      </c>
    </row>
    <row r="11135" spans="1:10" x14ac:dyDescent="0.25">
      <c r="A11135" s="5" t="s">
        <v>22589</v>
      </c>
      <c r="B11135" s="6">
        <v>393.75</v>
      </c>
      <c r="C11135" s="6">
        <v>20.426300000000001</v>
      </c>
      <c r="D11135" s="6">
        <v>108</v>
      </c>
      <c r="E11135" s="6">
        <v>0</v>
      </c>
      <c r="F11135" s="6">
        <v>0</v>
      </c>
      <c r="G11135" s="6">
        <v>7</v>
      </c>
      <c r="H11135" s="6" t="s">
        <v>22590</v>
      </c>
      <c r="I11135" s="6">
        <v>526.6875</v>
      </c>
      <c r="J11135" s="2">
        <f t="shared" si="173"/>
        <v>43748.29611984954</v>
      </c>
    </row>
    <row r="11136" spans="1:10" x14ac:dyDescent="0.25">
      <c r="A11136" s="7" t="s">
        <v>22591</v>
      </c>
      <c r="B11136" s="8">
        <v>393.75</v>
      </c>
      <c r="C11136" s="8">
        <v>20.478950000000001</v>
      </c>
      <c r="D11136" s="8">
        <v>109</v>
      </c>
      <c r="E11136" s="8">
        <v>0</v>
      </c>
      <c r="F11136" s="8">
        <v>0</v>
      </c>
      <c r="G11136" s="8">
        <v>14</v>
      </c>
      <c r="H11136" s="8" t="s">
        <v>22592</v>
      </c>
      <c r="I11136" s="8">
        <v>526.5</v>
      </c>
      <c r="J11136" s="3">
        <f t="shared" si="173"/>
        <v>43748.296191192123</v>
      </c>
    </row>
    <row r="11137" spans="1:10" x14ac:dyDescent="0.25">
      <c r="A11137" s="5" t="s">
        <v>22593</v>
      </c>
      <c r="B11137" s="6">
        <v>412.5</v>
      </c>
      <c r="C11137" s="6">
        <v>20.478950000000001</v>
      </c>
      <c r="D11137" s="6">
        <v>109</v>
      </c>
      <c r="E11137" s="6">
        <v>0</v>
      </c>
      <c r="F11137" s="6">
        <v>0</v>
      </c>
      <c r="G11137" s="6">
        <v>7</v>
      </c>
      <c r="H11137" s="6" t="s">
        <v>22594</v>
      </c>
      <c r="I11137" s="6">
        <v>532.3125</v>
      </c>
      <c r="J11137" s="2">
        <f t="shared" si="173"/>
        <v>43748.296263425924</v>
      </c>
    </row>
    <row r="11138" spans="1:10" x14ac:dyDescent="0.25">
      <c r="A11138" s="7" t="s">
        <v>22595</v>
      </c>
      <c r="B11138" s="8">
        <v>393.75</v>
      </c>
      <c r="C11138" s="8">
        <v>20.478950000000001</v>
      </c>
      <c r="D11138" s="8">
        <v>107</v>
      </c>
      <c r="E11138" s="8">
        <v>0</v>
      </c>
      <c r="F11138" s="8">
        <v>0</v>
      </c>
      <c r="G11138" s="8">
        <v>11</v>
      </c>
      <c r="H11138" s="8" t="s">
        <v>22596</v>
      </c>
      <c r="I11138" s="8">
        <v>526.5</v>
      </c>
      <c r="J11138" s="3">
        <f t="shared" ref="J11138:J11201" si="174">(H11138/86400000)+25569+(7/24)</f>
        <v>43748.296358738422</v>
      </c>
    </row>
    <row r="11139" spans="1:10" x14ac:dyDescent="0.25">
      <c r="A11139" s="5" t="s">
        <v>22597</v>
      </c>
      <c r="B11139" s="6">
        <v>393.75</v>
      </c>
      <c r="C11139" s="6">
        <v>20.426300000000001</v>
      </c>
      <c r="D11139" s="6">
        <v>107</v>
      </c>
      <c r="E11139" s="6">
        <v>0</v>
      </c>
      <c r="F11139" s="6">
        <v>0</v>
      </c>
      <c r="G11139" s="6">
        <v>19</v>
      </c>
      <c r="H11139" s="6" t="s">
        <v>22598</v>
      </c>
      <c r="I11139" s="6">
        <v>526.5</v>
      </c>
      <c r="J11139" s="2">
        <f t="shared" si="174"/>
        <v>43748.296430185183</v>
      </c>
    </row>
    <row r="11140" spans="1:10" x14ac:dyDescent="0.25">
      <c r="A11140" s="7" t="s">
        <v>22599</v>
      </c>
      <c r="B11140" s="8">
        <v>393.75</v>
      </c>
      <c r="C11140" s="8">
        <v>20.478950000000001</v>
      </c>
      <c r="D11140" s="8">
        <v>106</v>
      </c>
      <c r="E11140" s="8">
        <v>0</v>
      </c>
      <c r="F11140" s="8">
        <v>0</v>
      </c>
      <c r="G11140" s="8">
        <v>6</v>
      </c>
      <c r="H11140" s="8" t="s">
        <v>22600</v>
      </c>
      <c r="I11140" s="8">
        <v>526.6875</v>
      </c>
      <c r="J11140" s="3">
        <f t="shared" si="174"/>
        <v>43748.296501354162</v>
      </c>
    </row>
    <row r="11141" spans="1:10" x14ac:dyDescent="0.25">
      <c r="A11141" s="5" t="s">
        <v>22601</v>
      </c>
      <c r="B11141" s="6">
        <v>393.75</v>
      </c>
      <c r="C11141" s="6">
        <v>20.426300000000001</v>
      </c>
      <c r="D11141" s="6">
        <v>104</v>
      </c>
      <c r="E11141" s="6">
        <v>0</v>
      </c>
      <c r="F11141" s="6">
        <v>0</v>
      </c>
      <c r="G11141" s="6">
        <v>7</v>
      </c>
      <c r="H11141" s="6" t="s">
        <v>22602</v>
      </c>
      <c r="I11141" s="6">
        <v>526.6875</v>
      </c>
      <c r="J11141" s="2">
        <f t="shared" si="174"/>
        <v>43748.296572708328</v>
      </c>
    </row>
    <row r="11142" spans="1:10" x14ac:dyDescent="0.25">
      <c r="A11142" s="7" t="s">
        <v>22603</v>
      </c>
      <c r="B11142" s="8">
        <v>393.75</v>
      </c>
      <c r="C11142" s="8">
        <v>20.478950000000001</v>
      </c>
      <c r="D11142" s="8">
        <v>105</v>
      </c>
      <c r="E11142" s="8">
        <v>0</v>
      </c>
      <c r="F11142" s="8">
        <v>0</v>
      </c>
      <c r="G11142" s="8">
        <v>4</v>
      </c>
      <c r="H11142" s="8" t="s">
        <v>22604</v>
      </c>
      <c r="I11142" s="8">
        <v>526.6875</v>
      </c>
      <c r="J11142" s="3">
        <f t="shared" si="174"/>
        <v>43748.296644849535</v>
      </c>
    </row>
    <row r="11143" spans="1:10" x14ac:dyDescent="0.25">
      <c r="A11143" s="5" t="s">
        <v>22605</v>
      </c>
      <c r="B11143" s="6">
        <v>393.75</v>
      </c>
      <c r="C11143" s="6">
        <v>20.478950000000001</v>
      </c>
      <c r="D11143" s="6">
        <v>105</v>
      </c>
      <c r="E11143" s="6">
        <v>0</v>
      </c>
      <c r="F11143" s="6">
        <v>0</v>
      </c>
      <c r="G11143" s="6">
        <v>5</v>
      </c>
      <c r="H11143" s="6" t="s">
        <v>22606</v>
      </c>
      <c r="I11143" s="6">
        <v>526.6875</v>
      </c>
      <c r="J11143" s="2">
        <f t="shared" si="174"/>
        <v>43748.296716099539</v>
      </c>
    </row>
    <row r="11144" spans="1:10" x14ac:dyDescent="0.25">
      <c r="A11144" s="7" t="s">
        <v>22607</v>
      </c>
      <c r="B11144" s="8">
        <v>393.75</v>
      </c>
      <c r="C11144" s="8">
        <v>20.478950000000001</v>
      </c>
      <c r="D11144" s="8">
        <v>103</v>
      </c>
      <c r="E11144" s="8">
        <v>0</v>
      </c>
      <c r="F11144" s="8">
        <v>0</v>
      </c>
      <c r="G11144" s="8">
        <v>6</v>
      </c>
      <c r="H11144" s="8" t="s">
        <v>22608</v>
      </c>
      <c r="I11144" s="8">
        <v>526.6875</v>
      </c>
      <c r="J11144" s="3">
        <f t="shared" si="174"/>
        <v>43748.296787442123</v>
      </c>
    </row>
    <row r="11145" spans="1:10" x14ac:dyDescent="0.25">
      <c r="A11145" s="5" t="s">
        <v>22609</v>
      </c>
      <c r="B11145" s="6">
        <v>396.875</v>
      </c>
      <c r="C11145" s="6">
        <v>20.478950000000001</v>
      </c>
      <c r="D11145" s="6">
        <v>103</v>
      </c>
      <c r="E11145" s="6">
        <v>0</v>
      </c>
      <c r="F11145" s="6">
        <v>0</v>
      </c>
      <c r="G11145" s="6">
        <v>4</v>
      </c>
      <c r="H11145" s="6" t="s">
        <v>22610</v>
      </c>
      <c r="I11145" s="6">
        <v>527.4375</v>
      </c>
      <c r="J11145" s="2">
        <f t="shared" si="174"/>
        <v>43748.296859629627</v>
      </c>
    </row>
    <row r="11146" spans="1:10" x14ac:dyDescent="0.25">
      <c r="A11146" s="7" t="s">
        <v>22611</v>
      </c>
      <c r="B11146" s="8">
        <v>396.875</v>
      </c>
      <c r="C11146" s="8">
        <v>20.478950000000001</v>
      </c>
      <c r="D11146" s="8">
        <v>104</v>
      </c>
      <c r="E11146" s="8">
        <v>0</v>
      </c>
      <c r="F11146" s="8">
        <v>0</v>
      </c>
      <c r="G11146" s="8">
        <v>5</v>
      </c>
      <c r="H11146" s="8" t="s">
        <v>22612</v>
      </c>
      <c r="I11146" s="8">
        <v>527.4375</v>
      </c>
      <c r="J11146" s="3">
        <f t="shared" si="174"/>
        <v>43748.296930972218</v>
      </c>
    </row>
    <row r="11147" spans="1:10" x14ac:dyDescent="0.25">
      <c r="A11147" s="5" t="s">
        <v>22613</v>
      </c>
      <c r="B11147" s="6">
        <v>396.875</v>
      </c>
      <c r="C11147" s="6">
        <v>20.478950000000001</v>
      </c>
      <c r="D11147" s="6">
        <v>104</v>
      </c>
      <c r="E11147" s="6">
        <v>0</v>
      </c>
      <c r="F11147" s="6">
        <v>0</v>
      </c>
      <c r="G11147" s="6">
        <v>8</v>
      </c>
      <c r="H11147" s="6" t="s">
        <v>22614</v>
      </c>
      <c r="I11147" s="6">
        <v>527.4375</v>
      </c>
      <c r="J11147" s="2">
        <f t="shared" si="174"/>
        <v>43748.297002384257</v>
      </c>
    </row>
    <row r="11148" spans="1:10" x14ac:dyDescent="0.25">
      <c r="A11148" s="7" t="s">
        <v>22615</v>
      </c>
      <c r="B11148" s="8">
        <v>418.75</v>
      </c>
      <c r="C11148" s="8">
        <v>20.478950000000001</v>
      </c>
      <c r="D11148" s="8">
        <v>104</v>
      </c>
      <c r="E11148" s="8">
        <v>0</v>
      </c>
      <c r="F11148" s="8">
        <v>0</v>
      </c>
      <c r="G11148" s="8">
        <v>3</v>
      </c>
      <c r="H11148" s="8" t="s">
        <v>22616</v>
      </c>
      <c r="I11148" s="8">
        <v>534.5625</v>
      </c>
      <c r="J11148" s="3">
        <f t="shared" si="174"/>
        <v>43748.297073518515</v>
      </c>
    </row>
    <row r="11149" spans="1:10" x14ac:dyDescent="0.25">
      <c r="A11149" s="5" t="s">
        <v>22617</v>
      </c>
      <c r="B11149" s="6">
        <v>400</v>
      </c>
      <c r="C11149" s="6">
        <v>20.478950000000001</v>
      </c>
      <c r="D11149" s="6">
        <v>103</v>
      </c>
      <c r="E11149" s="6">
        <v>0</v>
      </c>
      <c r="F11149" s="6">
        <v>0</v>
      </c>
      <c r="G11149" s="6">
        <v>0</v>
      </c>
      <c r="H11149" s="6" t="s">
        <v>22618</v>
      </c>
      <c r="I11149" s="6">
        <v>528.1875</v>
      </c>
      <c r="J11149" s="2">
        <f t="shared" si="174"/>
        <v>43748.297145162032</v>
      </c>
    </row>
    <row r="11150" spans="1:10" x14ac:dyDescent="0.25">
      <c r="A11150" s="7" t="s">
        <v>22619</v>
      </c>
      <c r="B11150" s="8">
        <v>400</v>
      </c>
      <c r="C11150" s="8">
        <v>20.478950000000001</v>
      </c>
      <c r="D11150" s="8">
        <v>104</v>
      </c>
      <c r="E11150" s="8">
        <v>0</v>
      </c>
      <c r="F11150" s="8">
        <v>0</v>
      </c>
      <c r="G11150" s="8">
        <v>6</v>
      </c>
      <c r="H11150" s="8" t="s">
        <v>22620</v>
      </c>
      <c r="I11150" s="8">
        <v>528.1875</v>
      </c>
      <c r="J11150" s="3">
        <f t="shared" si="174"/>
        <v>43748.297217037034</v>
      </c>
    </row>
    <row r="11151" spans="1:10" x14ac:dyDescent="0.25">
      <c r="A11151" s="5" t="s">
        <v>22621</v>
      </c>
      <c r="B11151" s="6">
        <v>396.875</v>
      </c>
      <c r="C11151" s="6">
        <v>20.478950000000001</v>
      </c>
      <c r="D11151" s="6">
        <v>103</v>
      </c>
      <c r="E11151" s="6">
        <v>0</v>
      </c>
      <c r="F11151" s="6">
        <v>0</v>
      </c>
      <c r="G11151" s="6">
        <v>9</v>
      </c>
      <c r="H11151" s="6" t="s">
        <v>22622</v>
      </c>
      <c r="I11151" s="6">
        <v>527.4375</v>
      </c>
      <c r="J11151" s="2">
        <f t="shared" si="174"/>
        <v>43748.297288391201</v>
      </c>
    </row>
    <row r="11152" spans="1:10" x14ac:dyDescent="0.25">
      <c r="A11152" s="7" t="s">
        <v>22623</v>
      </c>
      <c r="B11152" s="8">
        <v>396.875</v>
      </c>
      <c r="C11152" s="8">
        <v>20.426300000000001</v>
      </c>
      <c r="D11152" s="8">
        <v>104</v>
      </c>
      <c r="E11152" s="8">
        <v>0</v>
      </c>
      <c r="F11152" s="8">
        <v>0</v>
      </c>
      <c r="G11152" s="8">
        <v>12</v>
      </c>
      <c r="H11152" s="8" t="s">
        <v>22624</v>
      </c>
      <c r="I11152" s="8">
        <v>527.4375</v>
      </c>
      <c r="J11152" s="3">
        <f t="shared" si="174"/>
        <v>43748.297359733791</v>
      </c>
    </row>
    <row r="11153" spans="1:10" x14ac:dyDescent="0.25">
      <c r="A11153" s="5" t="s">
        <v>22625</v>
      </c>
      <c r="B11153" s="6">
        <v>396.875</v>
      </c>
      <c r="C11153" s="6">
        <v>20.478950000000001</v>
      </c>
      <c r="D11153" s="6">
        <v>107</v>
      </c>
      <c r="E11153" s="6">
        <v>0</v>
      </c>
      <c r="F11153" s="6">
        <v>0</v>
      </c>
      <c r="G11153" s="6">
        <v>9</v>
      </c>
      <c r="H11153" s="6" t="s">
        <v>22626</v>
      </c>
      <c r="I11153" s="6">
        <v>527.4375</v>
      </c>
      <c r="J11153" s="2">
        <f t="shared" si="174"/>
        <v>43748.297431851846</v>
      </c>
    </row>
    <row r="11154" spans="1:10" x14ac:dyDescent="0.25">
      <c r="A11154" s="7" t="s">
        <v>22627</v>
      </c>
      <c r="B11154" s="8">
        <v>400</v>
      </c>
      <c r="C11154" s="8">
        <v>20.478950000000001</v>
      </c>
      <c r="D11154" s="8">
        <v>111</v>
      </c>
      <c r="E11154" s="8">
        <v>0</v>
      </c>
      <c r="F11154" s="8">
        <v>0</v>
      </c>
      <c r="G11154" s="8">
        <v>10</v>
      </c>
      <c r="H11154" s="8" t="s">
        <v>22628</v>
      </c>
      <c r="I11154" s="8">
        <v>528.1875</v>
      </c>
      <c r="J11154" s="3">
        <f t="shared" si="174"/>
        <v>43748.297503182868</v>
      </c>
    </row>
    <row r="11155" spans="1:10" x14ac:dyDescent="0.25">
      <c r="A11155" s="5" t="s">
        <v>22629</v>
      </c>
      <c r="B11155" s="6">
        <v>400</v>
      </c>
      <c r="C11155" s="6">
        <v>20.478950000000001</v>
      </c>
      <c r="D11155" s="6">
        <v>111</v>
      </c>
      <c r="E11155" s="6">
        <v>0</v>
      </c>
      <c r="F11155" s="6">
        <v>0</v>
      </c>
      <c r="G11155" s="6">
        <v>19</v>
      </c>
      <c r="H11155" s="6" t="s">
        <v>22630</v>
      </c>
      <c r="I11155" s="6">
        <v>528.9375</v>
      </c>
      <c r="J11155" s="2">
        <f t="shared" si="174"/>
        <v>43748.29758648148</v>
      </c>
    </row>
    <row r="11156" spans="1:10" x14ac:dyDescent="0.25">
      <c r="A11156" s="7" t="s">
        <v>22631</v>
      </c>
      <c r="B11156" s="8">
        <v>418.75</v>
      </c>
      <c r="C11156" s="8">
        <v>20.478950000000001</v>
      </c>
      <c r="D11156" s="8">
        <v>110</v>
      </c>
      <c r="E11156" s="8">
        <v>0</v>
      </c>
      <c r="F11156" s="8">
        <v>0</v>
      </c>
      <c r="G11156" s="8">
        <v>13</v>
      </c>
      <c r="H11156" s="8" t="s">
        <v>22632</v>
      </c>
      <c r="I11156" s="8">
        <v>534.5625</v>
      </c>
      <c r="J11156" s="3">
        <f t="shared" si="174"/>
        <v>43748.297657881943</v>
      </c>
    </row>
    <row r="11157" spans="1:10" x14ac:dyDescent="0.25">
      <c r="A11157" s="5" t="s">
        <v>22633</v>
      </c>
      <c r="B11157" s="6">
        <v>403.125</v>
      </c>
      <c r="C11157" s="6">
        <v>20.478950000000001</v>
      </c>
      <c r="D11157" s="6">
        <v>106</v>
      </c>
      <c r="E11157" s="6">
        <v>0</v>
      </c>
      <c r="F11157" s="6">
        <v>0</v>
      </c>
      <c r="G11157" s="6">
        <v>1</v>
      </c>
      <c r="H11157" s="6" t="s">
        <v>22634</v>
      </c>
      <c r="I11157" s="6">
        <v>529.875</v>
      </c>
      <c r="J11157" s="2">
        <f t="shared" si="174"/>
        <v>43748.297730046295</v>
      </c>
    </row>
    <row r="11158" spans="1:10" x14ac:dyDescent="0.25">
      <c r="A11158" s="7" t="s">
        <v>22635</v>
      </c>
      <c r="B11158" s="8">
        <v>403.125</v>
      </c>
      <c r="C11158" s="8">
        <v>20.478950000000001</v>
      </c>
      <c r="D11158" s="8">
        <v>106</v>
      </c>
      <c r="E11158" s="8">
        <v>0</v>
      </c>
      <c r="F11158" s="8">
        <v>0</v>
      </c>
      <c r="G11158" s="8">
        <v>7</v>
      </c>
      <c r="H11158" s="8" t="s">
        <v>22636</v>
      </c>
      <c r="I11158" s="8">
        <v>529.125</v>
      </c>
      <c r="J11158" s="3">
        <f t="shared" si="174"/>
        <v>43748.297801331013</v>
      </c>
    </row>
    <row r="11159" spans="1:10" x14ac:dyDescent="0.25">
      <c r="A11159" s="5" t="s">
        <v>22637</v>
      </c>
      <c r="B11159" s="6">
        <v>403.125</v>
      </c>
      <c r="C11159" s="6">
        <v>20.478950000000001</v>
      </c>
      <c r="D11159" s="6">
        <v>106</v>
      </c>
      <c r="E11159" s="6">
        <v>0</v>
      </c>
      <c r="F11159" s="6">
        <v>0</v>
      </c>
      <c r="G11159" s="6">
        <v>7</v>
      </c>
      <c r="H11159" s="6" t="s">
        <v>22638</v>
      </c>
      <c r="I11159" s="6">
        <v>529.125</v>
      </c>
      <c r="J11159" s="2">
        <f t="shared" si="174"/>
        <v>43748.297873391202</v>
      </c>
    </row>
    <row r="11160" spans="1:10" x14ac:dyDescent="0.25">
      <c r="A11160" s="7" t="s">
        <v>22639</v>
      </c>
      <c r="B11160" s="8">
        <v>418.75</v>
      </c>
      <c r="C11160" s="8">
        <v>20.426300000000001</v>
      </c>
      <c r="D11160" s="8">
        <v>105</v>
      </c>
      <c r="E11160" s="8">
        <v>0</v>
      </c>
      <c r="F11160" s="8">
        <v>0</v>
      </c>
      <c r="G11160" s="8">
        <v>10</v>
      </c>
      <c r="H11160" s="8" t="s">
        <v>22640</v>
      </c>
      <c r="I11160" s="8">
        <v>534.75</v>
      </c>
      <c r="J11160" s="3">
        <f t="shared" si="174"/>
        <v>43748.297956030096</v>
      </c>
    </row>
    <row r="11161" spans="1:10" x14ac:dyDescent="0.25">
      <c r="A11161" s="5" t="s">
        <v>22641</v>
      </c>
      <c r="B11161" s="6">
        <v>403.125</v>
      </c>
      <c r="C11161" s="6">
        <v>20.478950000000001</v>
      </c>
      <c r="D11161" s="6">
        <v>106</v>
      </c>
      <c r="E11161" s="6">
        <v>0</v>
      </c>
      <c r="F11161" s="6">
        <v>0</v>
      </c>
      <c r="G11161" s="6">
        <v>8</v>
      </c>
      <c r="H11161" s="6" t="s">
        <v>22642</v>
      </c>
      <c r="I11161" s="6">
        <v>529.125</v>
      </c>
      <c r="J11161" s="2">
        <f t="shared" si="174"/>
        <v>43748.29802814815</v>
      </c>
    </row>
    <row r="11162" spans="1:10" x14ac:dyDescent="0.25">
      <c r="A11162" s="7" t="s">
        <v>22643</v>
      </c>
      <c r="B11162" s="8">
        <v>400</v>
      </c>
      <c r="C11162" s="8">
        <v>20.478950000000001</v>
      </c>
      <c r="D11162" s="8">
        <v>105</v>
      </c>
      <c r="E11162" s="8">
        <v>0</v>
      </c>
      <c r="F11162" s="8">
        <v>0</v>
      </c>
      <c r="G11162" s="8">
        <v>2</v>
      </c>
      <c r="H11162" s="8" t="s">
        <v>22644</v>
      </c>
      <c r="I11162" s="8">
        <v>528.9375</v>
      </c>
      <c r="J11162" s="3">
        <f t="shared" si="174"/>
        <v>43748.298111539349</v>
      </c>
    </row>
    <row r="11163" spans="1:10" x14ac:dyDescent="0.25">
      <c r="A11163" s="5" t="s">
        <v>22645</v>
      </c>
      <c r="B11163" s="6">
        <v>400</v>
      </c>
      <c r="C11163" s="6">
        <v>20.478950000000001</v>
      </c>
      <c r="D11163" s="6">
        <v>104</v>
      </c>
      <c r="E11163" s="6">
        <v>0</v>
      </c>
      <c r="F11163" s="6">
        <v>0</v>
      </c>
      <c r="G11163" s="6">
        <v>10</v>
      </c>
      <c r="H11163" s="6" t="s">
        <v>22646</v>
      </c>
      <c r="I11163" s="6">
        <v>528.9375</v>
      </c>
      <c r="J11163" s="2">
        <f t="shared" si="174"/>
        <v>43748.298194872681</v>
      </c>
    </row>
    <row r="11164" spans="1:10" x14ac:dyDescent="0.25">
      <c r="A11164" s="7" t="s">
        <v>22647</v>
      </c>
      <c r="B11164" s="8">
        <v>403.125</v>
      </c>
      <c r="C11164" s="8">
        <v>20.478950000000001</v>
      </c>
      <c r="D11164" s="8">
        <v>104</v>
      </c>
      <c r="E11164" s="8">
        <v>0</v>
      </c>
      <c r="F11164" s="8">
        <v>0</v>
      </c>
      <c r="G11164" s="8">
        <v>1</v>
      </c>
      <c r="H11164" s="8" t="s">
        <v>22648</v>
      </c>
      <c r="I11164" s="8">
        <v>529.125</v>
      </c>
      <c r="J11164" s="3">
        <f t="shared" si="174"/>
        <v>43748.298266226848</v>
      </c>
    </row>
    <row r="11165" spans="1:10" x14ac:dyDescent="0.25">
      <c r="A11165" s="5" t="s">
        <v>22649</v>
      </c>
      <c r="B11165" s="6">
        <v>403.125</v>
      </c>
      <c r="C11165" s="6">
        <v>20.478950000000001</v>
      </c>
      <c r="D11165" s="6">
        <v>105</v>
      </c>
      <c r="E11165" s="6">
        <v>0</v>
      </c>
      <c r="F11165" s="6">
        <v>0</v>
      </c>
      <c r="G11165" s="6">
        <v>3</v>
      </c>
      <c r="H11165" s="6" t="s">
        <v>22650</v>
      </c>
      <c r="I11165" s="6">
        <v>529.125</v>
      </c>
      <c r="J11165" s="2">
        <f t="shared" si="174"/>
        <v>43748.298337581014</v>
      </c>
    </row>
    <row r="11166" spans="1:10" x14ac:dyDescent="0.25">
      <c r="A11166" s="7" t="s">
        <v>22651</v>
      </c>
      <c r="B11166" s="8">
        <v>400</v>
      </c>
      <c r="C11166" s="8">
        <v>20.478950000000001</v>
      </c>
      <c r="D11166" s="8">
        <v>105</v>
      </c>
      <c r="E11166" s="8">
        <v>0</v>
      </c>
      <c r="F11166" s="8">
        <v>0</v>
      </c>
      <c r="G11166" s="8">
        <v>9</v>
      </c>
      <c r="H11166" s="8" t="s">
        <v>22652</v>
      </c>
      <c r="I11166" s="8">
        <v>528.1875</v>
      </c>
      <c r="J11166" s="3">
        <f t="shared" si="174"/>
        <v>43748.298409745366</v>
      </c>
    </row>
    <row r="11167" spans="1:10" x14ac:dyDescent="0.25">
      <c r="A11167" s="5" t="s">
        <v>22653</v>
      </c>
      <c r="B11167" s="6">
        <v>400</v>
      </c>
      <c r="C11167" s="6">
        <v>20.478950000000001</v>
      </c>
      <c r="D11167" s="6">
        <v>107</v>
      </c>
      <c r="E11167" s="6">
        <v>0</v>
      </c>
      <c r="F11167" s="6">
        <v>0</v>
      </c>
      <c r="G11167" s="6">
        <v>5</v>
      </c>
      <c r="H11167" s="6" t="s">
        <v>22654</v>
      </c>
      <c r="I11167" s="6">
        <v>528.1875</v>
      </c>
      <c r="J11167" s="2">
        <f t="shared" si="174"/>
        <v>43748.298493009257</v>
      </c>
    </row>
    <row r="11168" spans="1:10" x14ac:dyDescent="0.25">
      <c r="A11168" s="7" t="s">
        <v>22655</v>
      </c>
      <c r="B11168" s="8">
        <v>400</v>
      </c>
      <c r="C11168" s="8">
        <v>20.426300000000001</v>
      </c>
      <c r="D11168" s="8">
        <v>107</v>
      </c>
      <c r="E11168" s="8">
        <v>0</v>
      </c>
      <c r="F11168" s="8">
        <v>0</v>
      </c>
      <c r="G11168" s="8">
        <v>13</v>
      </c>
      <c r="H11168" s="8" t="s">
        <v>22656</v>
      </c>
      <c r="I11168" s="8">
        <v>528.1875</v>
      </c>
      <c r="J11168" s="3">
        <f t="shared" si="174"/>
        <v>43748.298588368052</v>
      </c>
    </row>
    <row r="11169" spans="1:10" x14ac:dyDescent="0.25">
      <c r="A11169" s="5" t="s">
        <v>22657</v>
      </c>
      <c r="B11169" s="6">
        <v>396.875</v>
      </c>
      <c r="C11169" s="6">
        <v>20.478950000000001</v>
      </c>
      <c r="D11169" s="6">
        <v>106</v>
      </c>
      <c r="E11169" s="6">
        <v>0</v>
      </c>
      <c r="F11169" s="6">
        <v>0</v>
      </c>
      <c r="G11169" s="6">
        <v>6</v>
      </c>
      <c r="H11169" s="6" t="s">
        <v>22658</v>
      </c>
      <c r="I11169" s="6">
        <v>527.4375</v>
      </c>
      <c r="J11169" s="2">
        <f t="shared" si="174"/>
        <v>43748.298671655088</v>
      </c>
    </row>
    <row r="11170" spans="1:10" x14ac:dyDescent="0.25">
      <c r="A11170" s="7" t="s">
        <v>22659</v>
      </c>
      <c r="B11170" s="8">
        <v>396.875</v>
      </c>
      <c r="C11170" s="8">
        <v>20.426300000000001</v>
      </c>
      <c r="D11170" s="8">
        <v>106</v>
      </c>
      <c r="E11170" s="8">
        <v>0</v>
      </c>
      <c r="F11170" s="8">
        <v>0</v>
      </c>
      <c r="G11170" s="8">
        <v>8</v>
      </c>
      <c r="H11170" s="8" t="s">
        <v>22660</v>
      </c>
      <c r="I11170" s="8">
        <v>527.4375</v>
      </c>
      <c r="J11170" s="3">
        <f t="shared" si="174"/>
        <v>43748.298743090279</v>
      </c>
    </row>
    <row r="11171" spans="1:10" x14ac:dyDescent="0.25">
      <c r="A11171" s="5" t="s">
        <v>22661</v>
      </c>
      <c r="B11171" s="6">
        <v>396.875</v>
      </c>
      <c r="C11171" s="6">
        <v>20.478950000000001</v>
      </c>
      <c r="D11171" s="6">
        <v>107</v>
      </c>
      <c r="E11171" s="6">
        <v>0</v>
      </c>
      <c r="F11171" s="6">
        <v>0</v>
      </c>
      <c r="G11171" s="6">
        <v>7</v>
      </c>
      <c r="H11171" s="6" t="s">
        <v>22662</v>
      </c>
      <c r="I11171" s="6">
        <v>527.4375</v>
      </c>
      <c r="J11171" s="2">
        <f t="shared" si="174"/>
        <v>43748.298828692125</v>
      </c>
    </row>
    <row r="11172" spans="1:10" x14ac:dyDescent="0.25">
      <c r="A11172" s="7" t="s">
        <v>22663</v>
      </c>
      <c r="B11172" s="8">
        <v>396.875</v>
      </c>
      <c r="C11172" s="8">
        <v>20.426300000000001</v>
      </c>
      <c r="D11172" s="8">
        <v>110</v>
      </c>
      <c r="E11172" s="8">
        <v>0</v>
      </c>
      <c r="F11172" s="8">
        <v>0</v>
      </c>
      <c r="G11172" s="8">
        <v>5</v>
      </c>
      <c r="H11172" s="8" t="s">
        <v>22664</v>
      </c>
      <c r="I11172" s="8">
        <v>527.4375</v>
      </c>
      <c r="J11172" s="3">
        <f t="shared" si="174"/>
        <v>43748.298910520833</v>
      </c>
    </row>
    <row r="11173" spans="1:10" x14ac:dyDescent="0.25">
      <c r="A11173" s="5" t="s">
        <v>22665</v>
      </c>
      <c r="B11173" s="6">
        <v>396.875</v>
      </c>
      <c r="C11173" s="6">
        <v>20.478950000000001</v>
      </c>
      <c r="D11173" s="6">
        <v>109</v>
      </c>
      <c r="E11173" s="6">
        <v>0</v>
      </c>
      <c r="F11173" s="6">
        <v>0</v>
      </c>
      <c r="G11173" s="6">
        <v>0</v>
      </c>
      <c r="H11173" s="6" t="s">
        <v>22666</v>
      </c>
      <c r="I11173" s="6">
        <v>527.4375</v>
      </c>
      <c r="J11173" s="2">
        <f t="shared" si="174"/>
        <v>43748.298981805558</v>
      </c>
    </row>
    <row r="11174" spans="1:10" x14ac:dyDescent="0.25">
      <c r="A11174" s="7" t="s">
        <v>22667</v>
      </c>
      <c r="B11174" s="8">
        <v>415.625</v>
      </c>
      <c r="C11174" s="8">
        <v>20.478950000000001</v>
      </c>
      <c r="D11174" s="8">
        <v>109</v>
      </c>
      <c r="E11174" s="8">
        <v>0</v>
      </c>
      <c r="F11174" s="8">
        <v>0</v>
      </c>
      <c r="G11174" s="8">
        <v>11</v>
      </c>
      <c r="H11174" s="8" t="s">
        <v>22668</v>
      </c>
      <c r="I11174" s="8">
        <v>533.0625</v>
      </c>
      <c r="J11174" s="3">
        <f t="shared" si="174"/>
        <v>43748.299053101851</v>
      </c>
    </row>
    <row r="11175" spans="1:10" x14ac:dyDescent="0.25">
      <c r="A11175" s="5" t="s">
        <v>22669</v>
      </c>
      <c r="B11175" s="6">
        <v>396.875</v>
      </c>
      <c r="C11175" s="6">
        <v>20.478950000000001</v>
      </c>
      <c r="D11175" s="6">
        <v>109</v>
      </c>
      <c r="E11175" s="6">
        <v>0</v>
      </c>
      <c r="F11175" s="6">
        <v>0</v>
      </c>
      <c r="G11175" s="6">
        <v>6</v>
      </c>
      <c r="H11175" s="6" t="s">
        <v>22670</v>
      </c>
      <c r="I11175" s="6">
        <v>527.4375</v>
      </c>
      <c r="J11175" s="2">
        <f t="shared" si="174"/>
        <v>43748.299124513891</v>
      </c>
    </row>
    <row r="11176" spans="1:10" x14ac:dyDescent="0.25">
      <c r="A11176" s="7" t="s">
        <v>22671</v>
      </c>
      <c r="B11176" s="8">
        <v>396.875</v>
      </c>
      <c r="C11176" s="8">
        <v>20.426300000000001</v>
      </c>
      <c r="D11176" s="8">
        <v>108</v>
      </c>
      <c r="E11176" s="8">
        <v>0</v>
      </c>
      <c r="F11176" s="8">
        <v>0</v>
      </c>
      <c r="G11176" s="8">
        <v>12</v>
      </c>
      <c r="H11176" s="8" t="s">
        <v>22672</v>
      </c>
      <c r="I11176" s="8">
        <v>527.4375</v>
      </c>
      <c r="J11176" s="3">
        <f t="shared" si="174"/>
        <v>43748.29920872685</v>
      </c>
    </row>
    <row r="11177" spans="1:10" x14ac:dyDescent="0.25">
      <c r="A11177" s="5" t="s">
        <v>22673</v>
      </c>
      <c r="B11177" s="6">
        <v>396.875</v>
      </c>
      <c r="C11177" s="6">
        <v>20.478950000000001</v>
      </c>
      <c r="D11177" s="6">
        <v>108</v>
      </c>
      <c r="E11177" s="6">
        <v>0</v>
      </c>
      <c r="F11177" s="6">
        <v>0</v>
      </c>
      <c r="G11177" s="6">
        <v>17</v>
      </c>
      <c r="H11177" s="6" t="s">
        <v>22674</v>
      </c>
      <c r="I11177" s="6">
        <v>527.4375</v>
      </c>
      <c r="J11177" s="2">
        <f t="shared" si="174"/>
        <v>43748.299280011568</v>
      </c>
    </row>
    <row r="11178" spans="1:10" x14ac:dyDescent="0.25">
      <c r="A11178" s="7" t="s">
        <v>22675</v>
      </c>
      <c r="B11178" s="8">
        <v>396.875</v>
      </c>
      <c r="C11178" s="8">
        <v>20.478950000000001</v>
      </c>
      <c r="D11178" s="8">
        <v>107</v>
      </c>
      <c r="E11178" s="8">
        <v>0</v>
      </c>
      <c r="F11178" s="8">
        <v>0</v>
      </c>
      <c r="G11178" s="8">
        <v>7</v>
      </c>
      <c r="H11178" s="8" t="s">
        <v>22676</v>
      </c>
      <c r="I11178" s="8">
        <v>527.625</v>
      </c>
      <c r="J11178" s="3">
        <f t="shared" si="174"/>
        <v>43748.299351319445</v>
      </c>
    </row>
    <row r="11179" spans="1:10" x14ac:dyDescent="0.25">
      <c r="A11179" s="5" t="s">
        <v>22677</v>
      </c>
      <c r="B11179" s="6">
        <v>396.875</v>
      </c>
      <c r="C11179" s="6">
        <v>20.478950000000001</v>
      </c>
      <c r="D11179" s="6">
        <v>107</v>
      </c>
      <c r="E11179" s="6">
        <v>0</v>
      </c>
      <c r="F11179" s="6">
        <v>0</v>
      </c>
      <c r="G11179" s="6">
        <v>5</v>
      </c>
      <c r="H11179" s="6" t="s">
        <v>22678</v>
      </c>
      <c r="I11179" s="6">
        <v>527.4375</v>
      </c>
      <c r="J11179" s="2">
        <f t="shared" si="174"/>
        <v>43748.299422731478</v>
      </c>
    </row>
    <row r="11180" spans="1:10" x14ac:dyDescent="0.25">
      <c r="A11180" s="7" t="s">
        <v>22679</v>
      </c>
      <c r="B11180" s="8">
        <v>396.875</v>
      </c>
      <c r="C11180" s="8">
        <v>20.478950000000001</v>
      </c>
      <c r="D11180" s="8">
        <v>107</v>
      </c>
      <c r="E11180" s="8">
        <v>0</v>
      </c>
      <c r="F11180" s="8">
        <v>0</v>
      </c>
      <c r="G11180" s="8">
        <v>8</v>
      </c>
      <c r="H11180" s="8" t="s">
        <v>22680</v>
      </c>
      <c r="I11180" s="8">
        <v>527.4375</v>
      </c>
      <c r="J11180" s="3">
        <f t="shared" si="174"/>
        <v>43748.299495601845</v>
      </c>
    </row>
    <row r="11181" spans="1:10" x14ac:dyDescent="0.25">
      <c r="A11181" s="5" t="s">
        <v>22681</v>
      </c>
      <c r="B11181" s="6">
        <v>396.875</v>
      </c>
      <c r="C11181" s="6">
        <v>20.478950000000001</v>
      </c>
      <c r="D11181" s="6">
        <v>107</v>
      </c>
      <c r="E11181" s="6">
        <v>0</v>
      </c>
      <c r="F11181" s="6">
        <v>0</v>
      </c>
      <c r="G11181" s="6">
        <v>11</v>
      </c>
      <c r="H11181" s="6" t="s">
        <v>22682</v>
      </c>
      <c r="I11181" s="6">
        <v>527.4375</v>
      </c>
      <c r="J11181" s="2">
        <f t="shared" si="174"/>
        <v>43748.299578217593</v>
      </c>
    </row>
    <row r="11182" spans="1:10" x14ac:dyDescent="0.25">
      <c r="A11182" s="7" t="s">
        <v>22683</v>
      </c>
      <c r="B11182" s="8">
        <v>396.875</v>
      </c>
      <c r="C11182" s="8">
        <v>20.478950000000001</v>
      </c>
      <c r="D11182" s="8">
        <v>105</v>
      </c>
      <c r="E11182" s="8">
        <v>0</v>
      </c>
      <c r="F11182" s="8">
        <v>0</v>
      </c>
      <c r="G11182" s="8">
        <v>4</v>
      </c>
      <c r="H11182" s="8" t="s">
        <v>22684</v>
      </c>
      <c r="I11182" s="8">
        <v>527.4375</v>
      </c>
      <c r="J11182" s="3">
        <f t="shared" si="174"/>
        <v>43748.299649479166</v>
      </c>
    </row>
    <row r="11183" spans="1:10" x14ac:dyDescent="0.25">
      <c r="A11183" s="5" t="s">
        <v>22685</v>
      </c>
      <c r="B11183" s="6">
        <v>396.875</v>
      </c>
      <c r="C11183" s="6">
        <v>20.426300000000001</v>
      </c>
      <c r="D11183" s="6">
        <v>105</v>
      </c>
      <c r="E11183" s="6">
        <v>0</v>
      </c>
      <c r="F11183" s="6">
        <v>0</v>
      </c>
      <c r="G11183" s="6">
        <v>7</v>
      </c>
      <c r="H11183" s="6" t="s">
        <v>22686</v>
      </c>
      <c r="I11183" s="6">
        <v>527.4375</v>
      </c>
      <c r="J11183" s="2">
        <f t="shared" si="174"/>
        <v>43748.299720821757</v>
      </c>
    </row>
    <row r="11184" spans="1:10" x14ac:dyDescent="0.25">
      <c r="A11184" s="7" t="s">
        <v>22687</v>
      </c>
      <c r="B11184" s="8">
        <v>400</v>
      </c>
      <c r="C11184" s="8">
        <v>20.478950000000001</v>
      </c>
      <c r="D11184" s="8">
        <v>105</v>
      </c>
      <c r="E11184" s="8">
        <v>0</v>
      </c>
      <c r="F11184" s="8">
        <v>0</v>
      </c>
      <c r="G11184" s="8">
        <v>0</v>
      </c>
      <c r="H11184" s="8" t="s">
        <v>22688</v>
      </c>
      <c r="I11184" s="8">
        <v>528.1875</v>
      </c>
      <c r="J11184" s="3">
        <f t="shared" si="174"/>
        <v>43748.299804780087</v>
      </c>
    </row>
    <row r="11185" spans="1:10" x14ac:dyDescent="0.25">
      <c r="A11185" s="5" t="s">
        <v>22689</v>
      </c>
      <c r="B11185" s="6">
        <v>400</v>
      </c>
      <c r="C11185" s="6">
        <v>20.478950000000001</v>
      </c>
      <c r="D11185" s="6">
        <v>105</v>
      </c>
      <c r="E11185" s="6">
        <v>0</v>
      </c>
      <c r="F11185" s="6">
        <v>0</v>
      </c>
      <c r="G11185" s="6">
        <v>12</v>
      </c>
      <c r="H11185" s="6" t="s">
        <v>22690</v>
      </c>
      <c r="I11185" s="6">
        <v>528.375</v>
      </c>
      <c r="J11185" s="2">
        <f t="shared" si="174"/>
        <v>43748.299876342593</v>
      </c>
    </row>
    <row r="11186" spans="1:10" x14ac:dyDescent="0.25">
      <c r="A11186" s="7" t="s">
        <v>22691</v>
      </c>
      <c r="B11186" s="8">
        <v>403.125</v>
      </c>
      <c r="C11186" s="8">
        <v>20.426300000000001</v>
      </c>
      <c r="D11186" s="8">
        <v>105</v>
      </c>
      <c r="E11186" s="8">
        <v>0</v>
      </c>
      <c r="F11186" s="8">
        <v>0</v>
      </c>
      <c r="G11186" s="8">
        <v>7</v>
      </c>
      <c r="H11186" s="8" t="s">
        <v>22692</v>
      </c>
      <c r="I11186" s="8">
        <v>529.125</v>
      </c>
      <c r="J11186" s="3">
        <f t="shared" si="174"/>
        <v>43748.299947615735</v>
      </c>
    </row>
    <row r="11187" spans="1:10" x14ac:dyDescent="0.25">
      <c r="A11187" s="5" t="s">
        <v>22693</v>
      </c>
      <c r="B11187" s="6">
        <v>403.125</v>
      </c>
      <c r="C11187" s="6">
        <v>20.426300000000001</v>
      </c>
      <c r="D11187" s="6">
        <v>106</v>
      </c>
      <c r="E11187" s="6">
        <v>0</v>
      </c>
      <c r="F11187" s="6">
        <v>0</v>
      </c>
      <c r="G11187" s="6">
        <v>6</v>
      </c>
      <c r="H11187" s="6" t="s">
        <v>22694</v>
      </c>
      <c r="I11187" s="6">
        <v>529.125</v>
      </c>
      <c r="J11187" s="2">
        <f t="shared" si="174"/>
        <v>43748.300030891201</v>
      </c>
    </row>
    <row r="11188" spans="1:10" x14ac:dyDescent="0.25">
      <c r="A11188" s="7" t="s">
        <v>22695</v>
      </c>
      <c r="B11188" s="8">
        <v>403.125</v>
      </c>
      <c r="C11188" s="8">
        <v>20.426300000000001</v>
      </c>
      <c r="D11188" s="8">
        <v>106</v>
      </c>
      <c r="E11188" s="8">
        <v>0</v>
      </c>
      <c r="F11188" s="8">
        <v>0</v>
      </c>
      <c r="G11188" s="8">
        <v>5</v>
      </c>
      <c r="H11188" s="8" t="s">
        <v>22696</v>
      </c>
      <c r="I11188" s="8">
        <v>529.125</v>
      </c>
      <c r="J11188" s="3">
        <f t="shared" si="174"/>
        <v>43748.30010299768</v>
      </c>
    </row>
    <row r="11189" spans="1:10" x14ac:dyDescent="0.25">
      <c r="A11189" s="5" t="s">
        <v>22697</v>
      </c>
      <c r="B11189" s="6">
        <v>403.125</v>
      </c>
      <c r="C11189" s="6">
        <v>20.478950000000001</v>
      </c>
      <c r="D11189" s="6">
        <v>107</v>
      </c>
      <c r="E11189" s="6">
        <v>0</v>
      </c>
      <c r="F11189" s="6">
        <v>0</v>
      </c>
      <c r="G11189" s="6">
        <v>5</v>
      </c>
      <c r="H11189" s="6" t="s">
        <v>22698</v>
      </c>
      <c r="I11189" s="6">
        <v>529.875</v>
      </c>
      <c r="J11189" s="2">
        <f t="shared" si="174"/>
        <v>43748.300174456017</v>
      </c>
    </row>
    <row r="11190" spans="1:10" x14ac:dyDescent="0.25">
      <c r="A11190" s="7" t="s">
        <v>22699</v>
      </c>
      <c r="B11190" s="8">
        <v>403.125</v>
      </c>
      <c r="C11190" s="8">
        <v>20.478950000000001</v>
      </c>
      <c r="D11190" s="8">
        <v>106</v>
      </c>
      <c r="E11190" s="8">
        <v>0</v>
      </c>
      <c r="F11190" s="8">
        <v>0</v>
      </c>
      <c r="G11190" s="8">
        <v>9</v>
      </c>
      <c r="H11190" s="8" t="s">
        <v>22700</v>
      </c>
      <c r="I11190" s="8">
        <v>529.875</v>
      </c>
      <c r="J11190" s="3">
        <f t="shared" si="174"/>
        <v>43748.300257789349</v>
      </c>
    </row>
    <row r="11191" spans="1:10" x14ac:dyDescent="0.25">
      <c r="A11191" s="5" t="s">
        <v>22701</v>
      </c>
      <c r="B11191" s="6">
        <v>403.125</v>
      </c>
      <c r="C11191" s="6">
        <v>20.426300000000001</v>
      </c>
      <c r="D11191" s="6">
        <v>109</v>
      </c>
      <c r="E11191" s="6">
        <v>0</v>
      </c>
      <c r="F11191" s="6">
        <v>0</v>
      </c>
      <c r="G11191" s="6">
        <v>5</v>
      </c>
      <c r="H11191" s="6" t="s">
        <v>22702</v>
      </c>
      <c r="I11191" s="6">
        <v>529.875</v>
      </c>
      <c r="J11191" s="2">
        <f t="shared" si="174"/>
        <v>43748.30032908565</v>
      </c>
    </row>
    <row r="11192" spans="1:10" x14ac:dyDescent="0.25">
      <c r="A11192" s="7" t="s">
        <v>22703</v>
      </c>
      <c r="B11192" s="8">
        <v>403.125</v>
      </c>
      <c r="C11192" s="8">
        <v>20.478950000000001</v>
      </c>
      <c r="D11192" s="8">
        <v>109</v>
      </c>
      <c r="E11192" s="8">
        <v>0</v>
      </c>
      <c r="F11192" s="8">
        <v>0</v>
      </c>
      <c r="G11192" s="8">
        <v>16</v>
      </c>
      <c r="H11192" s="8" t="s">
        <v>22704</v>
      </c>
      <c r="I11192" s="8">
        <v>529.125</v>
      </c>
      <c r="J11192" s="3">
        <f t="shared" si="174"/>
        <v>43748.300400451386</v>
      </c>
    </row>
    <row r="11193" spans="1:10" x14ac:dyDescent="0.25">
      <c r="A11193" s="5" t="s">
        <v>22705</v>
      </c>
      <c r="B11193" s="6">
        <v>403.125</v>
      </c>
      <c r="C11193" s="6">
        <v>20.426300000000001</v>
      </c>
      <c r="D11193" s="6">
        <v>109</v>
      </c>
      <c r="E11193" s="6">
        <v>0</v>
      </c>
      <c r="F11193" s="6">
        <v>0</v>
      </c>
      <c r="G11193" s="6">
        <v>13</v>
      </c>
      <c r="H11193" s="6" t="s">
        <v>22706</v>
      </c>
      <c r="I11193" s="6">
        <v>529.125</v>
      </c>
      <c r="J11193" s="2">
        <f t="shared" si="174"/>
        <v>43748.300472615738</v>
      </c>
    </row>
    <row r="11194" spans="1:10" x14ac:dyDescent="0.25">
      <c r="A11194" s="7" t="s">
        <v>22707</v>
      </c>
      <c r="B11194" s="8">
        <v>400</v>
      </c>
      <c r="C11194" s="8">
        <v>20.478950000000001</v>
      </c>
      <c r="D11194" s="8">
        <v>109</v>
      </c>
      <c r="E11194" s="8">
        <v>0</v>
      </c>
      <c r="F11194" s="8">
        <v>0</v>
      </c>
      <c r="G11194" s="8">
        <v>2</v>
      </c>
      <c r="H11194" s="8" t="s">
        <v>22708</v>
      </c>
      <c r="I11194" s="8">
        <v>528.9375</v>
      </c>
      <c r="J11194" s="3">
        <f t="shared" si="174"/>
        <v>43748.300547430554</v>
      </c>
    </row>
    <row r="11195" spans="1:10" x14ac:dyDescent="0.25">
      <c r="A11195" s="5" t="s">
        <v>22709</v>
      </c>
      <c r="B11195" s="6">
        <v>421.875</v>
      </c>
      <c r="C11195" s="6">
        <v>20.478950000000001</v>
      </c>
      <c r="D11195" s="6">
        <v>108</v>
      </c>
      <c r="E11195" s="6">
        <v>0</v>
      </c>
      <c r="F11195" s="6">
        <v>0</v>
      </c>
      <c r="G11195" s="6">
        <v>4</v>
      </c>
      <c r="H11195" s="6" t="s">
        <v>22710</v>
      </c>
      <c r="I11195" s="6">
        <v>535.125</v>
      </c>
      <c r="J11195" s="2">
        <f t="shared" si="174"/>
        <v>43748.300627418976</v>
      </c>
    </row>
    <row r="11196" spans="1:10" x14ac:dyDescent="0.25">
      <c r="A11196" s="7" t="s">
        <v>22711</v>
      </c>
      <c r="B11196" s="8">
        <v>396.875</v>
      </c>
      <c r="C11196" s="8">
        <v>20.478950000000001</v>
      </c>
      <c r="D11196" s="8">
        <v>108</v>
      </c>
      <c r="E11196" s="8">
        <v>0</v>
      </c>
      <c r="F11196" s="8">
        <v>0</v>
      </c>
      <c r="G11196" s="8">
        <v>6</v>
      </c>
      <c r="H11196" s="8" t="s">
        <v>22712</v>
      </c>
      <c r="I11196" s="8">
        <v>527.4375</v>
      </c>
      <c r="J11196" s="3">
        <f t="shared" si="174"/>
        <v>43748.300698587962</v>
      </c>
    </row>
    <row r="11197" spans="1:10" x14ac:dyDescent="0.25">
      <c r="A11197" s="5" t="s">
        <v>22713</v>
      </c>
      <c r="B11197" s="6">
        <v>396.875</v>
      </c>
      <c r="C11197" s="6">
        <v>20.478950000000001</v>
      </c>
      <c r="D11197" s="6">
        <v>108</v>
      </c>
      <c r="E11197" s="6">
        <v>0</v>
      </c>
      <c r="F11197" s="6">
        <v>0</v>
      </c>
      <c r="G11197" s="6">
        <v>13</v>
      </c>
      <c r="H11197" s="6" t="s">
        <v>22714</v>
      </c>
      <c r="I11197" s="6">
        <v>527.4375</v>
      </c>
      <c r="J11197" s="2">
        <f t="shared" si="174"/>
        <v>43748.300778229161</v>
      </c>
    </row>
    <row r="11198" spans="1:10" x14ac:dyDescent="0.25">
      <c r="A11198" s="7" t="s">
        <v>22715</v>
      </c>
      <c r="B11198" s="8">
        <v>393.75</v>
      </c>
      <c r="C11198" s="8">
        <v>20.478950000000001</v>
      </c>
      <c r="D11198" s="8">
        <v>107</v>
      </c>
      <c r="E11198" s="8">
        <v>0</v>
      </c>
      <c r="F11198" s="8">
        <v>0</v>
      </c>
      <c r="G11198" s="8">
        <v>3</v>
      </c>
      <c r="H11198" s="8" t="s">
        <v>22716</v>
      </c>
      <c r="I11198" s="8">
        <v>526.6875</v>
      </c>
      <c r="J11198" s="3">
        <f t="shared" si="174"/>
        <v>43748.300854085646</v>
      </c>
    </row>
    <row r="11199" spans="1:10" x14ac:dyDescent="0.25">
      <c r="A11199" s="5" t="s">
        <v>22717</v>
      </c>
      <c r="B11199" s="6">
        <v>393.75</v>
      </c>
      <c r="C11199" s="6">
        <v>20.478950000000001</v>
      </c>
      <c r="D11199" s="6">
        <v>107</v>
      </c>
      <c r="E11199" s="6">
        <v>0</v>
      </c>
      <c r="F11199" s="6">
        <v>0</v>
      </c>
      <c r="G11199" s="6">
        <v>1</v>
      </c>
      <c r="H11199" s="6" t="s">
        <v>22718</v>
      </c>
      <c r="I11199" s="6">
        <v>526.6875</v>
      </c>
      <c r="J11199" s="2">
        <f t="shared" si="174"/>
        <v>43748.300927337965</v>
      </c>
    </row>
    <row r="11200" spans="1:10" x14ac:dyDescent="0.25">
      <c r="A11200" s="7" t="s">
        <v>22719</v>
      </c>
      <c r="B11200" s="8">
        <v>393.75</v>
      </c>
      <c r="C11200" s="8">
        <v>20.478950000000001</v>
      </c>
      <c r="D11200" s="8">
        <v>107</v>
      </c>
      <c r="E11200" s="8">
        <v>0</v>
      </c>
      <c r="F11200" s="8">
        <v>0</v>
      </c>
      <c r="G11200" s="8">
        <v>4</v>
      </c>
      <c r="H11200" s="8" t="s">
        <v>22720</v>
      </c>
      <c r="I11200" s="8">
        <v>526.6875</v>
      </c>
      <c r="J11200" s="3">
        <f t="shared" si="174"/>
        <v>43748.301008657407</v>
      </c>
    </row>
    <row r="11201" spans="1:10" x14ac:dyDescent="0.25">
      <c r="A11201" s="5" t="s">
        <v>22721</v>
      </c>
      <c r="B11201" s="6">
        <v>393.75</v>
      </c>
      <c r="C11201" s="6">
        <v>20.426300000000001</v>
      </c>
      <c r="D11201" s="6">
        <v>107</v>
      </c>
      <c r="E11201" s="6">
        <v>0</v>
      </c>
      <c r="F11201" s="6">
        <v>0</v>
      </c>
      <c r="G11201" s="6">
        <v>1</v>
      </c>
      <c r="H11201" s="6" t="s">
        <v>22722</v>
      </c>
      <c r="I11201" s="6">
        <v>526.6875</v>
      </c>
      <c r="J11201" s="2">
        <f t="shared" si="174"/>
        <v>43748.301080995363</v>
      </c>
    </row>
    <row r="11202" spans="1:10" x14ac:dyDescent="0.25">
      <c r="A11202" s="7" t="s">
        <v>22723</v>
      </c>
      <c r="B11202" s="8">
        <v>393.75</v>
      </c>
      <c r="C11202" s="8">
        <v>20.478950000000001</v>
      </c>
      <c r="D11202" s="8">
        <v>107</v>
      </c>
      <c r="E11202" s="8">
        <v>0</v>
      </c>
      <c r="F11202" s="8">
        <v>0</v>
      </c>
      <c r="G11202" s="8">
        <v>3</v>
      </c>
      <c r="H11202" s="8" t="s">
        <v>22724</v>
      </c>
      <c r="I11202" s="8">
        <v>526.6875</v>
      </c>
      <c r="J11202" s="3">
        <f t="shared" ref="J11202:J11265" si="175">(H11202/86400000)+25569+(7/24)</f>
        <v>43748.301152233798</v>
      </c>
    </row>
    <row r="11203" spans="1:10" x14ac:dyDescent="0.25">
      <c r="A11203" s="5" t="s">
        <v>22725</v>
      </c>
      <c r="B11203" s="6">
        <v>393.75</v>
      </c>
      <c r="C11203" s="6">
        <v>20.478950000000001</v>
      </c>
      <c r="D11203" s="6">
        <v>108</v>
      </c>
      <c r="E11203" s="6">
        <v>0</v>
      </c>
      <c r="F11203" s="6">
        <v>0</v>
      </c>
      <c r="G11203" s="6">
        <v>8</v>
      </c>
      <c r="H11203" s="6" t="s">
        <v>22726</v>
      </c>
      <c r="I11203" s="6">
        <v>526.6875</v>
      </c>
      <c r="J11203" s="2">
        <f t="shared" si="175"/>
        <v>43748.301223530092</v>
      </c>
    </row>
    <row r="11204" spans="1:10" x14ac:dyDescent="0.25">
      <c r="A11204" s="7" t="s">
        <v>22727</v>
      </c>
      <c r="B11204" s="8">
        <v>393.75</v>
      </c>
      <c r="C11204" s="8">
        <v>20.478950000000001</v>
      </c>
      <c r="D11204" s="8">
        <v>108</v>
      </c>
      <c r="E11204" s="8">
        <v>0</v>
      </c>
      <c r="F11204" s="8">
        <v>0</v>
      </c>
      <c r="G11204" s="8">
        <v>11</v>
      </c>
      <c r="H11204" s="8" t="s">
        <v>22728</v>
      </c>
      <c r="I11204" s="8">
        <v>526.6875</v>
      </c>
      <c r="J11204" s="3">
        <f t="shared" si="175"/>
        <v>43748.301294895828</v>
      </c>
    </row>
    <row r="11205" spans="1:10" x14ac:dyDescent="0.25">
      <c r="A11205" s="5" t="s">
        <v>22729</v>
      </c>
      <c r="B11205" s="6">
        <v>412.5</v>
      </c>
      <c r="C11205" s="6">
        <v>20.478950000000001</v>
      </c>
      <c r="D11205" s="6">
        <v>108</v>
      </c>
      <c r="E11205" s="6">
        <v>0</v>
      </c>
      <c r="F11205" s="6">
        <v>0</v>
      </c>
      <c r="G11205" s="6">
        <v>14</v>
      </c>
      <c r="H11205" s="6" t="s">
        <v>22730</v>
      </c>
      <c r="I11205" s="6">
        <v>532.125</v>
      </c>
      <c r="J11205" s="2">
        <f t="shared" si="175"/>
        <v>43748.301390185188</v>
      </c>
    </row>
    <row r="11206" spans="1:10" x14ac:dyDescent="0.25">
      <c r="A11206" s="7" t="s">
        <v>22731</v>
      </c>
      <c r="B11206" s="8">
        <v>393.75</v>
      </c>
      <c r="C11206" s="8">
        <v>20.478950000000001</v>
      </c>
      <c r="D11206" s="8">
        <v>109</v>
      </c>
      <c r="E11206" s="8">
        <v>0</v>
      </c>
      <c r="F11206" s="8">
        <v>0</v>
      </c>
      <c r="G11206" s="8">
        <v>11</v>
      </c>
      <c r="H11206" s="8" t="s">
        <v>22732</v>
      </c>
      <c r="I11206" s="8">
        <v>526.6875</v>
      </c>
      <c r="J11206" s="3">
        <f t="shared" si="175"/>
        <v>43748.301461724535</v>
      </c>
    </row>
    <row r="11207" spans="1:10" x14ac:dyDescent="0.25">
      <c r="A11207" s="5" t="s">
        <v>22733</v>
      </c>
      <c r="B11207" s="6">
        <v>393.75</v>
      </c>
      <c r="C11207" s="6">
        <v>20.478950000000001</v>
      </c>
      <c r="D11207" s="6">
        <v>108</v>
      </c>
      <c r="E11207" s="6">
        <v>0</v>
      </c>
      <c r="F11207" s="6">
        <v>0</v>
      </c>
      <c r="G11207" s="6">
        <v>3</v>
      </c>
      <c r="H11207" s="6" t="s">
        <v>22734</v>
      </c>
      <c r="I11207" s="6">
        <v>526.5</v>
      </c>
      <c r="J11207" s="2">
        <f t="shared" si="175"/>
        <v>43748.30153365741</v>
      </c>
    </row>
    <row r="11208" spans="1:10" x14ac:dyDescent="0.25">
      <c r="A11208" s="7" t="s">
        <v>22735</v>
      </c>
      <c r="B11208" s="8">
        <v>393.75</v>
      </c>
      <c r="C11208" s="8">
        <v>20.478950000000001</v>
      </c>
      <c r="D11208" s="8">
        <v>108</v>
      </c>
      <c r="E11208" s="8">
        <v>0</v>
      </c>
      <c r="F11208" s="8">
        <v>0</v>
      </c>
      <c r="G11208" s="8">
        <v>9</v>
      </c>
      <c r="H11208" s="8" t="s">
        <v>22736</v>
      </c>
      <c r="I11208" s="8">
        <v>526.6875</v>
      </c>
      <c r="J11208" s="3">
        <f t="shared" si="175"/>
        <v>43748.301605023145</v>
      </c>
    </row>
    <row r="11209" spans="1:10" x14ac:dyDescent="0.25">
      <c r="A11209" s="5" t="s">
        <v>22737</v>
      </c>
      <c r="B11209" s="6">
        <v>393.75</v>
      </c>
      <c r="C11209" s="6">
        <v>20.478950000000001</v>
      </c>
      <c r="D11209" s="6">
        <v>108</v>
      </c>
      <c r="E11209" s="6">
        <v>0</v>
      </c>
      <c r="F11209" s="6">
        <v>0</v>
      </c>
      <c r="G11209" s="6">
        <v>6</v>
      </c>
      <c r="H11209" s="6" t="s">
        <v>22738</v>
      </c>
      <c r="I11209" s="6">
        <v>526.6875</v>
      </c>
      <c r="J11209" s="2">
        <f t="shared" si="175"/>
        <v>43748.301688333326</v>
      </c>
    </row>
    <row r="11210" spans="1:10" x14ac:dyDescent="0.25">
      <c r="A11210" s="7" t="s">
        <v>22739</v>
      </c>
      <c r="B11210" s="8">
        <v>393.75</v>
      </c>
      <c r="C11210" s="8">
        <v>20.478950000000001</v>
      </c>
      <c r="D11210" s="8">
        <v>108</v>
      </c>
      <c r="E11210" s="8">
        <v>0</v>
      </c>
      <c r="F11210" s="8">
        <v>0</v>
      </c>
      <c r="G11210" s="8">
        <v>6</v>
      </c>
      <c r="H11210" s="8" t="s">
        <v>22740</v>
      </c>
      <c r="I11210" s="8">
        <v>526.5</v>
      </c>
      <c r="J11210" s="3">
        <f t="shared" si="175"/>
        <v>43748.301760567127</v>
      </c>
    </row>
    <row r="11211" spans="1:10" x14ac:dyDescent="0.25">
      <c r="A11211" s="5" t="s">
        <v>22741</v>
      </c>
      <c r="B11211" s="6">
        <v>393.75</v>
      </c>
      <c r="C11211" s="6">
        <v>20.478950000000001</v>
      </c>
      <c r="D11211" s="6">
        <v>107</v>
      </c>
      <c r="E11211" s="6">
        <v>0</v>
      </c>
      <c r="F11211" s="6">
        <v>0</v>
      </c>
      <c r="G11211" s="6">
        <v>8</v>
      </c>
      <c r="H11211" s="6" t="s">
        <v>22742</v>
      </c>
      <c r="I11211" s="6">
        <v>526.6875</v>
      </c>
      <c r="J11211" s="2">
        <f t="shared" si="175"/>
        <v>43748.30183186342</v>
      </c>
    </row>
    <row r="11212" spans="1:10" x14ac:dyDescent="0.25">
      <c r="A11212" s="7" t="s">
        <v>22743</v>
      </c>
      <c r="B11212" s="8">
        <v>412.5</v>
      </c>
      <c r="C11212" s="8">
        <v>20.426300000000001</v>
      </c>
      <c r="D11212" s="8">
        <v>107</v>
      </c>
      <c r="E11212" s="8">
        <v>0</v>
      </c>
      <c r="F11212" s="8">
        <v>0</v>
      </c>
      <c r="G11212" s="8">
        <v>3</v>
      </c>
      <c r="H11212" s="8" t="s">
        <v>22744</v>
      </c>
      <c r="I11212" s="8">
        <v>532.5</v>
      </c>
      <c r="J11212" s="3">
        <f t="shared" si="175"/>
        <v>43748.301903159721</v>
      </c>
    </row>
    <row r="11213" spans="1:10" x14ac:dyDescent="0.25">
      <c r="A11213" s="5" t="s">
        <v>22745</v>
      </c>
      <c r="B11213" s="6">
        <v>393.75</v>
      </c>
      <c r="C11213" s="6">
        <v>20.426300000000001</v>
      </c>
      <c r="D11213" s="6">
        <v>107</v>
      </c>
      <c r="E11213" s="6">
        <v>0</v>
      </c>
      <c r="F11213" s="6">
        <v>0</v>
      </c>
      <c r="G11213" s="6">
        <v>8</v>
      </c>
      <c r="H11213" s="6" t="s">
        <v>22746</v>
      </c>
      <c r="I11213" s="6">
        <v>526.6875</v>
      </c>
      <c r="J11213" s="2">
        <f t="shared" si="175"/>
        <v>43748.301974456015</v>
      </c>
    </row>
    <row r="11214" spans="1:10" x14ac:dyDescent="0.25">
      <c r="A11214" s="7" t="s">
        <v>22747</v>
      </c>
      <c r="B11214" s="8">
        <v>396.875</v>
      </c>
      <c r="C11214" s="8">
        <v>20.478950000000001</v>
      </c>
      <c r="D11214" s="8">
        <v>107</v>
      </c>
      <c r="E11214" s="8">
        <v>0</v>
      </c>
      <c r="F11214" s="8">
        <v>0</v>
      </c>
      <c r="G11214" s="8">
        <v>1</v>
      </c>
      <c r="H11214" s="8" t="s">
        <v>22748</v>
      </c>
      <c r="I11214" s="8">
        <v>527.25</v>
      </c>
      <c r="J11214" s="3">
        <f t="shared" si="175"/>
        <v>43748.302060324073</v>
      </c>
    </row>
    <row r="11215" spans="1:10" x14ac:dyDescent="0.25">
      <c r="A11215" s="5" t="s">
        <v>22749</v>
      </c>
      <c r="B11215" s="6">
        <v>428.125</v>
      </c>
      <c r="C11215" s="6">
        <v>20.478950000000001</v>
      </c>
      <c r="D11215" s="6">
        <v>107</v>
      </c>
      <c r="E11215" s="6">
        <v>0</v>
      </c>
      <c r="F11215" s="6">
        <v>0</v>
      </c>
      <c r="G11215" s="6">
        <v>11</v>
      </c>
      <c r="H11215" s="6" t="s">
        <v>22750</v>
      </c>
      <c r="I11215" s="6">
        <v>537.9375</v>
      </c>
      <c r="J11215" s="2">
        <f t="shared" si="175"/>
        <v>43748.302142048611</v>
      </c>
    </row>
    <row r="11216" spans="1:10" x14ac:dyDescent="0.25">
      <c r="A11216" s="7" t="s">
        <v>22751</v>
      </c>
      <c r="B11216" s="8">
        <v>400</v>
      </c>
      <c r="C11216" s="8">
        <v>20.478950000000001</v>
      </c>
      <c r="D11216" s="8">
        <v>105</v>
      </c>
      <c r="E11216" s="8">
        <v>0</v>
      </c>
      <c r="F11216" s="8">
        <v>0</v>
      </c>
      <c r="G11216" s="8">
        <v>11</v>
      </c>
      <c r="H11216" s="8" t="s">
        <v>22752</v>
      </c>
      <c r="I11216" s="8">
        <v>528.1875</v>
      </c>
      <c r="J11216" s="3">
        <f t="shared" si="175"/>
        <v>43748.302213333336</v>
      </c>
    </row>
    <row r="11217" spans="1:10" x14ac:dyDescent="0.25">
      <c r="A11217" s="5" t="s">
        <v>22753</v>
      </c>
      <c r="B11217" s="6">
        <v>400</v>
      </c>
      <c r="C11217" s="6">
        <v>20.478950000000001</v>
      </c>
      <c r="D11217" s="6">
        <v>105</v>
      </c>
      <c r="E11217" s="6">
        <v>0</v>
      </c>
      <c r="F11217" s="6">
        <v>0</v>
      </c>
      <c r="G11217" s="6">
        <v>3</v>
      </c>
      <c r="H11217" s="6" t="s">
        <v>22754</v>
      </c>
      <c r="I11217" s="6">
        <v>528.1875</v>
      </c>
      <c r="J11217" s="2">
        <f t="shared" si="175"/>
        <v>43748.302285405087</v>
      </c>
    </row>
    <row r="11218" spans="1:10" x14ac:dyDescent="0.25">
      <c r="A11218" s="7" t="s">
        <v>22755</v>
      </c>
      <c r="B11218" s="8">
        <v>400</v>
      </c>
      <c r="C11218" s="8">
        <v>20.478950000000001</v>
      </c>
      <c r="D11218" s="8">
        <v>105</v>
      </c>
      <c r="E11218" s="8">
        <v>0</v>
      </c>
      <c r="F11218" s="8">
        <v>0</v>
      </c>
      <c r="G11218" s="8">
        <v>5</v>
      </c>
      <c r="H11218" s="8" t="s">
        <v>22756</v>
      </c>
      <c r="I11218" s="8">
        <v>528.9375</v>
      </c>
      <c r="J11218" s="3">
        <f t="shared" si="175"/>
        <v>43748.302379953697</v>
      </c>
    </row>
    <row r="11219" spans="1:10" x14ac:dyDescent="0.25">
      <c r="A11219" s="5" t="s">
        <v>22757</v>
      </c>
      <c r="B11219" s="6">
        <v>400</v>
      </c>
      <c r="C11219" s="6">
        <v>20.478950000000001</v>
      </c>
      <c r="D11219" s="6">
        <v>105</v>
      </c>
      <c r="E11219" s="6">
        <v>0</v>
      </c>
      <c r="F11219" s="6">
        <v>0</v>
      </c>
      <c r="G11219" s="6">
        <v>4</v>
      </c>
      <c r="H11219" s="6" t="s">
        <v>22758</v>
      </c>
      <c r="I11219" s="6">
        <v>528.1875</v>
      </c>
      <c r="J11219" s="2">
        <f t="shared" si="175"/>
        <v>43748.302451365736</v>
      </c>
    </row>
    <row r="11220" spans="1:10" x14ac:dyDescent="0.25">
      <c r="A11220" s="7" t="s">
        <v>22759</v>
      </c>
      <c r="B11220" s="8">
        <v>400</v>
      </c>
      <c r="C11220" s="8">
        <v>20.478950000000001</v>
      </c>
      <c r="D11220" s="8">
        <v>104</v>
      </c>
      <c r="E11220" s="8">
        <v>0</v>
      </c>
      <c r="F11220" s="8">
        <v>0</v>
      </c>
      <c r="G11220" s="8">
        <v>6</v>
      </c>
      <c r="H11220" s="8" t="s">
        <v>22760</v>
      </c>
      <c r="I11220" s="8">
        <v>528.1875</v>
      </c>
      <c r="J11220" s="3">
        <f t="shared" si="175"/>
        <v>43748.302523518512</v>
      </c>
    </row>
    <row r="11221" spans="1:10" x14ac:dyDescent="0.25">
      <c r="A11221" s="5" t="s">
        <v>22761</v>
      </c>
      <c r="B11221" s="6">
        <v>396.875</v>
      </c>
      <c r="C11221" s="6">
        <v>20.478950000000001</v>
      </c>
      <c r="D11221" s="6">
        <v>107</v>
      </c>
      <c r="E11221" s="6">
        <v>0</v>
      </c>
      <c r="F11221" s="6">
        <v>0</v>
      </c>
      <c r="G11221" s="6">
        <v>2</v>
      </c>
      <c r="H11221" s="6" t="s">
        <v>22762</v>
      </c>
      <c r="I11221" s="6">
        <v>527.4375</v>
      </c>
      <c r="J11221" s="2">
        <f t="shared" si="175"/>
        <v>43748.302594826389</v>
      </c>
    </row>
    <row r="11222" spans="1:10" x14ac:dyDescent="0.25">
      <c r="A11222" s="7" t="s">
        <v>22763</v>
      </c>
      <c r="B11222" s="8">
        <v>396.875</v>
      </c>
      <c r="C11222" s="8">
        <v>20.478950000000001</v>
      </c>
      <c r="D11222" s="8">
        <v>106</v>
      </c>
      <c r="E11222" s="8">
        <v>0</v>
      </c>
      <c r="F11222" s="8">
        <v>0</v>
      </c>
      <c r="G11222" s="8">
        <v>12</v>
      </c>
      <c r="H11222" s="8" t="s">
        <v>22764</v>
      </c>
      <c r="I11222" s="8">
        <v>527.4375</v>
      </c>
      <c r="J11222" s="3">
        <f t="shared" si="175"/>
        <v>43748.30266606481</v>
      </c>
    </row>
    <row r="11223" spans="1:10" x14ac:dyDescent="0.25">
      <c r="A11223" s="5" t="s">
        <v>22765</v>
      </c>
      <c r="B11223" s="6">
        <v>396.875</v>
      </c>
      <c r="C11223" s="6">
        <v>20.478950000000001</v>
      </c>
      <c r="D11223" s="6">
        <v>107</v>
      </c>
      <c r="E11223" s="6">
        <v>0</v>
      </c>
      <c r="F11223" s="6">
        <v>0</v>
      </c>
      <c r="G11223" s="6">
        <v>7</v>
      </c>
      <c r="H11223" s="6" t="s">
        <v>22766</v>
      </c>
      <c r="I11223" s="6">
        <v>527.4375</v>
      </c>
      <c r="J11223" s="2">
        <f t="shared" si="175"/>
        <v>43748.302737581012</v>
      </c>
    </row>
    <row r="11224" spans="1:10" x14ac:dyDescent="0.25">
      <c r="A11224" s="7" t="s">
        <v>22767</v>
      </c>
      <c r="B11224" s="8">
        <v>396.875</v>
      </c>
      <c r="C11224" s="8">
        <v>20.426300000000001</v>
      </c>
      <c r="D11224" s="8">
        <v>106</v>
      </c>
      <c r="E11224" s="8">
        <v>0</v>
      </c>
      <c r="F11224" s="8">
        <v>0</v>
      </c>
      <c r="G11224" s="8">
        <v>10</v>
      </c>
      <c r="H11224" s="8" t="s">
        <v>22768</v>
      </c>
      <c r="I11224" s="8">
        <v>527.4375</v>
      </c>
      <c r="J11224" s="3">
        <f t="shared" si="175"/>
        <v>43748.302809583336</v>
      </c>
    </row>
    <row r="11225" spans="1:10" x14ac:dyDescent="0.25">
      <c r="A11225" s="5" t="s">
        <v>22769</v>
      </c>
      <c r="B11225" s="6">
        <v>393.75</v>
      </c>
      <c r="C11225" s="6">
        <v>20.478950000000001</v>
      </c>
      <c r="D11225" s="6">
        <v>106</v>
      </c>
      <c r="E11225" s="6">
        <v>0</v>
      </c>
      <c r="F11225" s="6">
        <v>0</v>
      </c>
      <c r="G11225" s="6">
        <v>6</v>
      </c>
      <c r="H11225" s="6" t="s">
        <v>22770</v>
      </c>
      <c r="I11225" s="6">
        <v>526.6875</v>
      </c>
      <c r="J11225" s="2">
        <f t="shared" si="175"/>
        <v>43748.302881122683</v>
      </c>
    </row>
    <row r="11226" spans="1:10" x14ac:dyDescent="0.25">
      <c r="A11226" s="7" t="s">
        <v>22771</v>
      </c>
      <c r="B11226" s="8">
        <v>396.875</v>
      </c>
      <c r="C11226" s="8">
        <v>20.478950000000001</v>
      </c>
      <c r="D11226" s="8">
        <v>105</v>
      </c>
      <c r="E11226" s="8">
        <v>0</v>
      </c>
      <c r="F11226" s="8">
        <v>0</v>
      </c>
      <c r="G11226" s="8">
        <v>9</v>
      </c>
      <c r="H11226" s="8" t="s">
        <v>22772</v>
      </c>
      <c r="I11226" s="8">
        <v>527.4375</v>
      </c>
      <c r="J11226" s="3">
        <f t="shared" si="175"/>
        <v>43748.302952233797</v>
      </c>
    </row>
    <row r="11227" spans="1:10" x14ac:dyDescent="0.25">
      <c r="A11227" s="5" t="s">
        <v>22773</v>
      </c>
      <c r="B11227" s="6">
        <v>396.875</v>
      </c>
      <c r="C11227" s="6">
        <v>20.478950000000001</v>
      </c>
      <c r="D11227" s="6">
        <v>107</v>
      </c>
      <c r="E11227" s="6">
        <v>0</v>
      </c>
      <c r="F11227" s="6">
        <v>0</v>
      </c>
      <c r="G11227" s="6">
        <v>1</v>
      </c>
      <c r="H11227" s="6" t="s">
        <v>22774</v>
      </c>
      <c r="I11227" s="6">
        <v>527.4375</v>
      </c>
      <c r="J11227" s="2">
        <f t="shared" si="175"/>
        <v>43748.303023807872</v>
      </c>
    </row>
    <row r="11228" spans="1:10" x14ac:dyDescent="0.25">
      <c r="A11228" s="7" t="s">
        <v>22775</v>
      </c>
      <c r="B11228" s="8">
        <v>396.875</v>
      </c>
      <c r="C11228" s="8">
        <v>20.426300000000001</v>
      </c>
      <c r="D11228" s="8">
        <v>107</v>
      </c>
      <c r="E11228" s="8">
        <v>0</v>
      </c>
      <c r="F11228" s="8">
        <v>0</v>
      </c>
      <c r="G11228" s="8">
        <v>3</v>
      </c>
      <c r="H11228" s="8" t="s">
        <v>22776</v>
      </c>
      <c r="I11228" s="8">
        <v>527.4375</v>
      </c>
      <c r="J11228" s="3">
        <f t="shared" si="175"/>
        <v>43748.303095752308</v>
      </c>
    </row>
    <row r="11229" spans="1:10" x14ac:dyDescent="0.25">
      <c r="A11229" s="5" t="s">
        <v>22777</v>
      </c>
      <c r="B11229" s="6">
        <v>396.875</v>
      </c>
      <c r="C11229" s="6">
        <v>20.426300000000001</v>
      </c>
      <c r="D11229" s="6">
        <v>101</v>
      </c>
      <c r="E11229" s="6">
        <v>0</v>
      </c>
      <c r="F11229" s="6">
        <v>0</v>
      </c>
      <c r="G11229" s="6">
        <v>6</v>
      </c>
      <c r="H11229" s="6" t="s">
        <v>22778</v>
      </c>
      <c r="I11229" s="6">
        <v>527.4375</v>
      </c>
      <c r="J11229" s="2">
        <f t="shared" si="175"/>
        <v>43748.303167164348</v>
      </c>
    </row>
    <row r="11230" spans="1:10" x14ac:dyDescent="0.25">
      <c r="A11230" s="7" t="s">
        <v>22779</v>
      </c>
      <c r="B11230" s="8">
        <v>418.75</v>
      </c>
      <c r="C11230" s="8">
        <v>20.426300000000001</v>
      </c>
      <c r="D11230" s="8">
        <v>101</v>
      </c>
      <c r="E11230" s="8">
        <v>0</v>
      </c>
      <c r="F11230" s="8">
        <v>0</v>
      </c>
      <c r="G11230" s="8">
        <v>16</v>
      </c>
      <c r="H11230" s="8" t="s">
        <v>22780</v>
      </c>
      <c r="I11230" s="8">
        <v>534.5625</v>
      </c>
      <c r="J11230" s="3">
        <f t="shared" si="175"/>
        <v>43748.303238379631</v>
      </c>
    </row>
    <row r="11231" spans="1:10" x14ac:dyDescent="0.25">
      <c r="A11231" s="5" t="s">
        <v>22781</v>
      </c>
      <c r="B11231" s="6">
        <v>396.875</v>
      </c>
      <c r="C11231" s="6">
        <v>20.478950000000001</v>
      </c>
      <c r="D11231" s="6">
        <v>102</v>
      </c>
      <c r="E11231" s="6">
        <v>0</v>
      </c>
      <c r="F11231" s="6">
        <v>0</v>
      </c>
      <c r="G11231" s="6">
        <v>0</v>
      </c>
      <c r="H11231" s="6" t="s">
        <v>22782</v>
      </c>
      <c r="I11231" s="6">
        <v>527.4375</v>
      </c>
      <c r="J11231" s="2">
        <f t="shared" si="175"/>
        <v>43748.303310555551</v>
      </c>
    </row>
    <row r="11232" spans="1:10" x14ac:dyDescent="0.25">
      <c r="A11232" s="7" t="s">
        <v>22783</v>
      </c>
      <c r="B11232" s="8">
        <v>396.875</v>
      </c>
      <c r="C11232" s="8">
        <v>20.478950000000001</v>
      </c>
      <c r="D11232" s="8">
        <v>102</v>
      </c>
      <c r="E11232" s="8">
        <v>0</v>
      </c>
      <c r="F11232" s="8">
        <v>0</v>
      </c>
      <c r="G11232" s="8">
        <v>15</v>
      </c>
      <c r="H11232" s="8" t="s">
        <v>22784</v>
      </c>
      <c r="I11232" s="8">
        <v>527.4375</v>
      </c>
      <c r="J11232" s="3">
        <f t="shared" si="175"/>
        <v>43748.303393854163</v>
      </c>
    </row>
    <row r="11233" spans="1:10" x14ac:dyDescent="0.25">
      <c r="A11233" s="5" t="s">
        <v>22785</v>
      </c>
      <c r="B11233" s="6">
        <v>396.875</v>
      </c>
      <c r="C11233" s="6">
        <v>20.478950000000001</v>
      </c>
      <c r="D11233" s="6">
        <v>102</v>
      </c>
      <c r="E11233" s="6">
        <v>0</v>
      </c>
      <c r="F11233" s="6">
        <v>0</v>
      </c>
      <c r="G11233" s="6">
        <v>0</v>
      </c>
      <c r="H11233" s="6" t="s">
        <v>22786</v>
      </c>
      <c r="I11233" s="6">
        <v>527.4375</v>
      </c>
      <c r="J11233" s="2">
        <f t="shared" si="175"/>
        <v>43748.303465486104</v>
      </c>
    </row>
    <row r="11234" spans="1:10" x14ac:dyDescent="0.25">
      <c r="A11234" s="7" t="s">
        <v>22787</v>
      </c>
      <c r="B11234" s="8">
        <v>396.875</v>
      </c>
      <c r="C11234" s="8">
        <v>20.478950000000001</v>
      </c>
      <c r="D11234" s="8">
        <v>102</v>
      </c>
      <c r="E11234" s="8">
        <v>0</v>
      </c>
      <c r="F11234" s="8">
        <v>0</v>
      </c>
      <c r="G11234" s="8">
        <v>14</v>
      </c>
      <c r="H11234" s="8" t="s">
        <v>22788</v>
      </c>
      <c r="I11234" s="8">
        <v>527.4375</v>
      </c>
      <c r="J11234" s="3">
        <f t="shared" si="175"/>
        <v>43748.303536608793</v>
      </c>
    </row>
    <row r="11235" spans="1:10" x14ac:dyDescent="0.25">
      <c r="A11235" s="5" t="s">
        <v>22789</v>
      </c>
      <c r="B11235" s="6">
        <v>400</v>
      </c>
      <c r="C11235" s="6">
        <v>20.478950000000001</v>
      </c>
      <c r="D11235" s="6">
        <v>102</v>
      </c>
      <c r="E11235" s="6">
        <v>0</v>
      </c>
      <c r="F11235" s="6">
        <v>0</v>
      </c>
      <c r="G11235" s="6">
        <v>0</v>
      </c>
      <c r="H11235" s="6" t="s">
        <v>22790</v>
      </c>
      <c r="I11235" s="6">
        <v>528.1875</v>
      </c>
      <c r="J11235" s="2">
        <f t="shared" si="175"/>
        <v>43748.303608831011</v>
      </c>
    </row>
    <row r="11236" spans="1:10" x14ac:dyDescent="0.25">
      <c r="A11236" s="7" t="s">
        <v>22791</v>
      </c>
      <c r="B11236" s="8">
        <v>400</v>
      </c>
      <c r="C11236" s="8">
        <v>20.478950000000001</v>
      </c>
      <c r="D11236" s="8">
        <v>102</v>
      </c>
      <c r="E11236" s="8">
        <v>0</v>
      </c>
      <c r="F11236" s="8">
        <v>0</v>
      </c>
      <c r="G11236" s="8">
        <v>7</v>
      </c>
      <c r="H11236" s="8" t="s">
        <v>22792</v>
      </c>
      <c r="I11236" s="8">
        <v>528.375</v>
      </c>
      <c r="J11236" s="3">
        <f t="shared" si="175"/>
        <v>43748.303680011573</v>
      </c>
    </row>
    <row r="11237" spans="1:10" x14ac:dyDescent="0.25">
      <c r="A11237" s="5" t="s">
        <v>22793</v>
      </c>
      <c r="B11237" s="6">
        <v>403.125</v>
      </c>
      <c r="C11237" s="6">
        <v>20.478950000000001</v>
      </c>
      <c r="D11237" s="6">
        <v>102</v>
      </c>
      <c r="E11237" s="6">
        <v>0</v>
      </c>
      <c r="F11237" s="6">
        <v>0</v>
      </c>
      <c r="G11237" s="6">
        <v>11</v>
      </c>
      <c r="H11237" s="6" t="s">
        <v>22794</v>
      </c>
      <c r="I11237" s="6">
        <v>529.125</v>
      </c>
      <c r="J11237" s="2">
        <f t="shared" si="175"/>
        <v>43748.3037511574</v>
      </c>
    </row>
    <row r="11238" spans="1:10" x14ac:dyDescent="0.25">
      <c r="A11238" s="7" t="s">
        <v>22795</v>
      </c>
      <c r="B11238" s="8">
        <v>400</v>
      </c>
      <c r="C11238" s="8">
        <v>20.478950000000001</v>
      </c>
      <c r="D11238" s="8">
        <v>102</v>
      </c>
      <c r="E11238" s="8">
        <v>0</v>
      </c>
      <c r="F11238" s="8">
        <v>0</v>
      </c>
      <c r="G11238" s="8">
        <v>3</v>
      </c>
      <c r="H11238" s="8" t="s">
        <v>22796</v>
      </c>
      <c r="I11238" s="8">
        <v>528.9375</v>
      </c>
      <c r="J11238" s="3">
        <f t="shared" si="175"/>
        <v>43748.303846782401</v>
      </c>
    </row>
    <row r="11239" spans="1:10" x14ac:dyDescent="0.25">
      <c r="A11239" s="5" t="s">
        <v>22797</v>
      </c>
      <c r="B11239" s="6">
        <v>400</v>
      </c>
      <c r="C11239" s="6">
        <v>20.478950000000001</v>
      </c>
      <c r="D11239" s="6">
        <v>101</v>
      </c>
      <c r="E11239" s="6">
        <v>0</v>
      </c>
      <c r="F11239" s="6">
        <v>0</v>
      </c>
      <c r="G11239" s="6">
        <v>12</v>
      </c>
      <c r="H11239" s="6" t="s">
        <v>22798</v>
      </c>
      <c r="I11239" s="6">
        <v>528.375</v>
      </c>
      <c r="J11239" s="2">
        <f t="shared" si="175"/>
        <v>43748.303930312497</v>
      </c>
    </row>
    <row r="11240" spans="1:10" x14ac:dyDescent="0.25">
      <c r="A11240" s="7" t="s">
        <v>22799</v>
      </c>
      <c r="B11240" s="8">
        <v>400</v>
      </c>
      <c r="C11240" s="8">
        <v>20.478950000000001</v>
      </c>
      <c r="D11240" s="8">
        <v>102</v>
      </c>
      <c r="E11240" s="8">
        <v>0</v>
      </c>
      <c r="F11240" s="8">
        <v>0</v>
      </c>
      <c r="G11240" s="8">
        <v>3</v>
      </c>
      <c r="H11240" s="8" t="s">
        <v>22800</v>
      </c>
      <c r="I11240" s="8">
        <v>528.1875</v>
      </c>
      <c r="J11240" s="3">
        <f t="shared" si="175"/>
        <v>43748.304013773144</v>
      </c>
    </row>
    <row r="11241" spans="1:10" x14ac:dyDescent="0.25">
      <c r="A11241" s="5" t="s">
        <v>22801</v>
      </c>
      <c r="B11241" s="6">
        <v>403.125</v>
      </c>
      <c r="C11241" s="6">
        <v>20.478950000000001</v>
      </c>
      <c r="D11241" s="6">
        <v>102</v>
      </c>
      <c r="E11241" s="6">
        <v>0</v>
      </c>
      <c r="F11241" s="6">
        <v>0</v>
      </c>
      <c r="G11241" s="6">
        <v>12</v>
      </c>
      <c r="H11241" s="6" t="s">
        <v>22802</v>
      </c>
      <c r="I11241" s="6">
        <v>529.125</v>
      </c>
      <c r="J11241" s="2">
        <f t="shared" si="175"/>
        <v>43748.304096990738</v>
      </c>
    </row>
    <row r="11242" spans="1:10" x14ac:dyDescent="0.25">
      <c r="A11242" s="7" t="s">
        <v>22803</v>
      </c>
      <c r="B11242" s="8">
        <v>400</v>
      </c>
      <c r="C11242" s="8">
        <v>20.478950000000001</v>
      </c>
      <c r="D11242" s="8">
        <v>101</v>
      </c>
      <c r="E11242" s="8">
        <v>0</v>
      </c>
      <c r="F11242" s="8">
        <v>0</v>
      </c>
      <c r="G11242" s="8">
        <v>10</v>
      </c>
      <c r="H11242" s="8" t="s">
        <v>22802</v>
      </c>
      <c r="I11242" s="8">
        <v>528.1875</v>
      </c>
      <c r="J11242" s="3">
        <f t="shared" si="175"/>
        <v>43748.304096990738</v>
      </c>
    </row>
    <row r="11243" spans="1:10" x14ac:dyDescent="0.25">
      <c r="A11243" s="5" t="s">
        <v>22804</v>
      </c>
      <c r="B11243" s="6">
        <v>403.125</v>
      </c>
      <c r="C11243" s="6">
        <v>20.426300000000001</v>
      </c>
      <c r="D11243" s="6">
        <v>100</v>
      </c>
      <c r="E11243" s="6">
        <v>0</v>
      </c>
      <c r="F11243" s="6">
        <v>0</v>
      </c>
      <c r="G11243" s="6">
        <v>1</v>
      </c>
      <c r="H11243" s="6" t="s">
        <v>22805</v>
      </c>
      <c r="I11243" s="6">
        <v>529.125</v>
      </c>
      <c r="J11243" s="2">
        <f t="shared" si="175"/>
        <v>43748.30426384259</v>
      </c>
    </row>
    <row r="11244" spans="1:10" x14ac:dyDescent="0.25">
      <c r="A11244" s="7" t="s">
        <v>22806</v>
      </c>
      <c r="B11244" s="8">
        <v>400</v>
      </c>
      <c r="C11244" s="8">
        <v>20.478950000000001</v>
      </c>
      <c r="D11244" s="8">
        <v>100</v>
      </c>
      <c r="E11244" s="8">
        <v>0</v>
      </c>
      <c r="F11244" s="8">
        <v>0</v>
      </c>
      <c r="G11244" s="8">
        <v>9</v>
      </c>
      <c r="H11244" s="8" t="s">
        <v>22807</v>
      </c>
      <c r="I11244" s="8">
        <v>528.9375</v>
      </c>
      <c r="J11244" s="3">
        <f t="shared" si="175"/>
        <v>43748.304335787034</v>
      </c>
    </row>
    <row r="11245" spans="1:10" x14ac:dyDescent="0.25">
      <c r="A11245" s="5" t="s">
        <v>22808</v>
      </c>
      <c r="B11245" s="6">
        <v>403.125</v>
      </c>
      <c r="C11245" s="6">
        <v>20.478950000000001</v>
      </c>
      <c r="D11245" s="6">
        <v>100</v>
      </c>
      <c r="E11245" s="6">
        <v>0</v>
      </c>
      <c r="F11245" s="6">
        <v>0</v>
      </c>
      <c r="G11245" s="6">
        <v>13</v>
      </c>
      <c r="H11245" s="6" t="s">
        <v>22809</v>
      </c>
      <c r="I11245" s="6">
        <v>529.125</v>
      </c>
      <c r="J11245" s="2">
        <f t="shared" si="175"/>
        <v>43748.304419189815</v>
      </c>
    </row>
    <row r="11246" spans="1:10" x14ac:dyDescent="0.25">
      <c r="A11246" s="7" t="s">
        <v>22810</v>
      </c>
      <c r="B11246" s="8">
        <v>403.125</v>
      </c>
      <c r="C11246" s="8">
        <v>20.426300000000001</v>
      </c>
      <c r="D11246" s="8">
        <v>100</v>
      </c>
      <c r="E11246" s="8">
        <v>0</v>
      </c>
      <c r="F11246" s="8">
        <v>0</v>
      </c>
      <c r="G11246" s="8">
        <v>11</v>
      </c>
      <c r="H11246" s="8" t="s">
        <v>22811</v>
      </c>
      <c r="I11246" s="8">
        <v>529.6875</v>
      </c>
      <c r="J11246" s="3">
        <f t="shared" si="175"/>
        <v>43748.30449091435</v>
      </c>
    </row>
    <row r="11247" spans="1:10" x14ac:dyDescent="0.25">
      <c r="A11247" s="5" t="s">
        <v>22812</v>
      </c>
      <c r="B11247" s="6">
        <v>403.125</v>
      </c>
      <c r="C11247" s="6">
        <v>20.478950000000001</v>
      </c>
      <c r="D11247" s="6">
        <v>100</v>
      </c>
      <c r="E11247" s="6">
        <v>0</v>
      </c>
      <c r="F11247" s="6">
        <v>0</v>
      </c>
      <c r="G11247" s="6">
        <v>14</v>
      </c>
      <c r="H11247" s="6" t="s">
        <v>22813</v>
      </c>
      <c r="I11247" s="6">
        <v>529.875</v>
      </c>
      <c r="J11247" s="2">
        <f t="shared" si="175"/>
        <v>43748.304574131944</v>
      </c>
    </row>
    <row r="11248" spans="1:10" x14ac:dyDescent="0.25">
      <c r="A11248" s="7" t="s">
        <v>22814</v>
      </c>
      <c r="B11248" s="8">
        <v>403.125</v>
      </c>
      <c r="C11248" s="8">
        <v>20.478950000000001</v>
      </c>
      <c r="D11248" s="8">
        <v>98</v>
      </c>
      <c r="E11248" s="8">
        <v>0</v>
      </c>
      <c r="F11248" s="8">
        <v>0</v>
      </c>
      <c r="G11248" s="8">
        <v>5</v>
      </c>
      <c r="H11248" s="8" t="s">
        <v>22815</v>
      </c>
      <c r="I11248" s="8">
        <v>529.875</v>
      </c>
      <c r="J11248" s="3">
        <f t="shared" si="175"/>
        <v>43748.304657696754</v>
      </c>
    </row>
    <row r="11249" spans="1:10" x14ac:dyDescent="0.25">
      <c r="A11249" s="5" t="s">
        <v>22816</v>
      </c>
      <c r="B11249" s="6">
        <v>403.125</v>
      </c>
      <c r="C11249" s="6">
        <v>20.478950000000001</v>
      </c>
      <c r="D11249" s="6">
        <v>99</v>
      </c>
      <c r="E11249" s="6">
        <v>0</v>
      </c>
      <c r="F11249" s="6">
        <v>0</v>
      </c>
      <c r="G11249" s="6">
        <v>7</v>
      </c>
      <c r="H11249" s="6" t="s">
        <v>22817</v>
      </c>
      <c r="I11249" s="6">
        <v>529.125</v>
      </c>
      <c r="J11249" s="2">
        <f t="shared" si="175"/>
        <v>43748.304741053238</v>
      </c>
    </row>
    <row r="11250" spans="1:10" x14ac:dyDescent="0.25">
      <c r="A11250" s="7" t="s">
        <v>22818</v>
      </c>
      <c r="B11250" s="8">
        <v>418.75</v>
      </c>
      <c r="C11250" s="8">
        <v>20.426300000000001</v>
      </c>
      <c r="D11250" s="8">
        <v>99</v>
      </c>
      <c r="E11250" s="8">
        <v>0</v>
      </c>
      <c r="F11250" s="8">
        <v>0</v>
      </c>
      <c r="G11250" s="8">
        <v>5</v>
      </c>
      <c r="H11250" s="8" t="s">
        <v>22819</v>
      </c>
      <c r="I11250" s="8">
        <v>534.75</v>
      </c>
      <c r="J11250" s="3">
        <f t="shared" si="175"/>
        <v>43748.304812581016</v>
      </c>
    </row>
    <row r="11251" spans="1:10" x14ac:dyDescent="0.25">
      <c r="A11251" s="5" t="s">
        <v>22820</v>
      </c>
      <c r="B11251" s="6">
        <v>400</v>
      </c>
      <c r="C11251" s="6">
        <v>20.478950000000001</v>
      </c>
      <c r="D11251" s="6">
        <v>99</v>
      </c>
      <c r="E11251" s="6">
        <v>0</v>
      </c>
      <c r="F11251" s="6">
        <v>0</v>
      </c>
      <c r="G11251" s="6">
        <v>7</v>
      </c>
      <c r="H11251" s="6" t="s">
        <v>22821</v>
      </c>
      <c r="I11251" s="6">
        <v>528.9375</v>
      </c>
      <c r="J11251" s="2">
        <f t="shared" si="175"/>
        <v>43748.30489605324</v>
      </c>
    </row>
    <row r="11252" spans="1:10" x14ac:dyDescent="0.25">
      <c r="A11252" s="7" t="s">
        <v>22822</v>
      </c>
      <c r="B11252" s="8">
        <v>400</v>
      </c>
      <c r="C11252" s="8">
        <v>20.478950000000001</v>
      </c>
      <c r="D11252" s="8">
        <v>97</v>
      </c>
      <c r="E11252" s="8">
        <v>0</v>
      </c>
      <c r="F11252" s="8">
        <v>0</v>
      </c>
      <c r="G11252" s="8">
        <v>0</v>
      </c>
      <c r="H11252" s="8" t="s">
        <v>22823</v>
      </c>
      <c r="I11252" s="8">
        <v>528.9375</v>
      </c>
      <c r="J11252" s="3">
        <f t="shared" si="175"/>
        <v>43748.304967326381</v>
      </c>
    </row>
    <row r="11253" spans="1:10" x14ac:dyDescent="0.25">
      <c r="A11253" s="5" t="s">
        <v>22824</v>
      </c>
      <c r="B11253" s="6">
        <v>403.125</v>
      </c>
      <c r="C11253" s="6">
        <v>20.478950000000001</v>
      </c>
      <c r="D11253" s="6">
        <v>101</v>
      </c>
      <c r="E11253" s="6">
        <v>0</v>
      </c>
      <c r="F11253" s="6">
        <v>0</v>
      </c>
      <c r="G11253" s="6">
        <v>2</v>
      </c>
      <c r="H11253" s="6" t="s">
        <v>22825</v>
      </c>
      <c r="I11253" s="6">
        <v>529.125</v>
      </c>
      <c r="J11253" s="2">
        <f t="shared" si="175"/>
        <v>43748.305050995368</v>
      </c>
    </row>
    <row r="11254" spans="1:10" x14ac:dyDescent="0.25">
      <c r="A11254" s="7" t="s">
        <v>22826</v>
      </c>
      <c r="B11254" s="8">
        <v>400</v>
      </c>
      <c r="C11254" s="8">
        <v>20.426300000000001</v>
      </c>
      <c r="D11254" s="8">
        <v>101</v>
      </c>
      <c r="E11254" s="8">
        <v>0</v>
      </c>
      <c r="F11254" s="8">
        <v>0</v>
      </c>
      <c r="G11254" s="8">
        <v>1</v>
      </c>
      <c r="H11254" s="8" t="s">
        <v>22827</v>
      </c>
      <c r="I11254" s="8">
        <v>528.1875</v>
      </c>
      <c r="J11254" s="3">
        <f t="shared" si="175"/>
        <v>43748.305122314814</v>
      </c>
    </row>
    <row r="11255" spans="1:10" x14ac:dyDescent="0.25">
      <c r="A11255" s="5" t="s">
        <v>22828</v>
      </c>
      <c r="B11255" s="6">
        <v>400</v>
      </c>
      <c r="C11255" s="6">
        <v>20.478950000000001</v>
      </c>
      <c r="D11255" s="6">
        <v>105</v>
      </c>
      <c r="E11255" s="6">
        <v>0</v>
      </c>
      <c r="F11255" s="6">
        <v>0</v>
      </c>
      <c r="G11255" s="6">
        <v>5</v>
      </c>
      <c r="H11255" s="6" t="s">
        <v>22829</v>
      </c>
      <c r="I11255" s="6">
        <v>528.375</v>
      </c>
      <c r="J11255" s="2">
        <f t="shared" si="175"/>
        <v>43748.305194293978</v>
      </c>
    </row>
    <row r="11256" spans="1:10" x14ac:dyDescent="0.25">
      <c r="A11256" s="7" t="s">
        <v>22830</v>
      </c>
      <c r="B11256" s="8">
        <v>396.875</v>
      </c>
      <c r="C11256" s="8">
        <v>20.478950000000001</v>
      </c>
      <c r="D11256" s="8">
        <v>105</v>
      </c>
      <c r="E11256" s="8">
        <v>0</v>
      </c>
      <c r="F11256" s="8">
        <v>0</v>
      </c>
      <c r="G11256" s="8">
        <v>2</v>
      </c>
      <c r="H11256" s="8" t="s">
        <v>22831</v>
      </c>
      <c r="I11256" s="8">
        <v>527.4375</v>
      </c>
      <c r="J11256" s="3">
        <f t="shared" si="175"/>
        <v>43748.305277719905</v>
      </c>
    </row>
    <row r="11257" spans="1:10" x14ac:dyDescent="0.25">
      <c r="A11257" s="5" t="s">
        <v>22832</v>
      </c>
      <c r="B11257" s="6">
        <v>396.875</v>
      </c>
      <c r="C11257" s="6">
        <v>20.478950000000001</v>
      </c>
      <c r="D11257" s="6">
        <v>105</v>
      </c>
      <c r="E11257" s="6">
        <v>0</v>
      </c>
      <c r="F11257" s="6">
        <v>0</v>
      </c>
      <c r="G11257" s="6">
        <v>14</v>
      </c>
      <c r="H11257" s="6" t="s">
        <v>22833</v>
      </c>
      <c r="I11257" s="6">
        <v>527.4375</v>
      </c>
      <c r="J11257" s="2">
        <f t="shared" si="175"/>
        <v>43748.30534890046</v>
      </c>
    </row>
    <row r="11258" spans="1:10" x14ac:dyDescent="0.25">
      <c r="A11258" s="7" t="s">
        <v>22834</v>
      </c>
      <c r="B11258" s="8">
        <v>396.875</v>
      </c>
      <c r="C11258" s="8">
        <v>20.478950000000001</v>
      </c>
      <c r="D11258" s="8">
        <v>105</v>
      </c>
      <c r="E11258" s="8">
        <v>0</v>
      </c>
      <c r="F11258" s="8">
        <v>0</v>
      </c>
      <c r="G11258" s="8">
        <v>7</v>
      </c>
      <c r="H11258" s="8" t="s">
        <v>22833</v>
      </c>
      <c r="I11258" s="8">
        <v>527.4375</v>
      </c>
      <c r="J11258" s="3">
        <f t="shared" si="175"/>
        <v>43748.30534890046</v>
      </c>
    </row>
    <row r="11259" spans="1:10" x14ac:dyDescent="0.25">
      <c r="A11259" s="5" t="s">
        <v>22835</v>
      </c>
      <c r="B11259" s="6">
        <v>393.75</v>
      </c>
      <c r="C11259" s="6">
        <v>20.478950000000001</v>
      </c>
      <c r="D11259" s="6">
        <v>104</v>
      </c>
      <c r="E11259" s="6">
        <v>0</v>
      </c>
      <c r="F11259" s="6">
        <v>0</v>
      </c>
      <c r="G11259" s="6">
        <v>9</v>
      </c>
      <c r="H11259" s="6" t="s">
        <v>22836</v>
      </c>
      <c r="I11259" s="6">
        <v>526.6875</v>
      </c>
      <c r="J11259" s="2">
        <f t="shared" si="175"/>
        <v>43748.305504305557</v>
      </c>
    </row>
    <row r="11260" spans="1:10" x14ac:dyDescent="0.25">
      <c r="A11260" s="7" t="s">
        <v>22837</v>
      </c>
      <c r="B11260" s="8">
        <v>393.75</v>
      </c>
      <c r="C11260" s="8">
        <v>20.426300000000001</v>
      </c>
      <c r="D11260" s="8">
        <v>103</v>
      </c>
      <c r="E11260" s="8">
        <v>0</v>
      </c>
      <c r="F11260" s="8">
        <v>0</v>
      </c>
      <c r="G11260" s="8">
        <v>7</v>
      </c>
      <c r="H11260" s="8" t="s">
        <v>22838</v>
      </c>
      <c r="I11260" s="8">
        <v>526.6875</v>
      </c>
      <c r="J11260" s="3">
        <f t="shared" si="175"/>
        <v>43748.305575601851</v>
      </c>
    </row>
    <row r="11261" spans="1:10" x14ac:dyDescent="0.25">
      <c r="A11261" s="5" t="s">
        <v>22839</v>
      </c>
      <c r="B11261" s="6">
        <v>393.75</v>
      </c>
      <c r="C11261" s="6">
        <v>20.478950000000001</v>
      </c>
      <c r="D11261" s="6">
        <v>102</v>
      </c>
      <c r="E11261" s="6">
        <v>0</v>
      </c>
      <c r="F11261" s="6">
        <v>0</v>
      </c>
      <c r="G11261" s="6">
        <v>12</v>
      </c>
      <c r="H11261" s="6" t="s">
        <v>22840</v>
      </c>
      <c r="I11261" s="6">
        <v>526.5</v>
      </c>
      <c r="J11261" s="2">
        <f t="shared" si="175"/>
        <v>43748.305647245368</v>
      </c>
    </row>
    <row r="11262" spans="1:10" x14ac:dyDescent="0.25">
      <c r="A11262" s="7" t="s">
        <v>22841</v>
      </c>
      <c r="B11262" s="8">
        <v>393.75</v>
      </c>
      <c r="C11262" s="8">
        <v>20.478950000000001</v>
      </c>
      <c r="D11262" s="8">
        <v>101</v>
      </c>
      <c r="E11262" s="8">
        <v>0</v>
      </c>
      <c r="F11262" s="8">
        <v>0</v>
      </c>
      <c r="G11262" s="8">
        <v>5</v>
      </c>
      <c r="H11262" s="8" t="s">
        <v>22842</v>
      </c>
      <c r="I11262" s="8">
        <v>526.5</v>
      </c>
      <c r="J11262" s="3">
        <f t="shared" si="175"/>
        <v>43748.305718865733</v>
      </c>
    </row>
    <row r="11263" spans="1:10" x14ac:dyDescent="0.25">
      <c r="A11263" s="5" t="s">
        <v>22843</v>
      </c>
      <c r="B11263" s="6">
        <v>393.75</v>
      </c>
      <c r="C11263" s="6">
        <v>20.478950000000001</v>
      </c>
      <c r="D11263" s="6">
        <v>103</v>
      </c>
      <c r="E11263" s="6">
        <v>0</v>
      </c>
      <c r="F11263" s="6">
        <v>0</v>
      </c>
      <c r="G11263" s="6">
        <v>4</v>
      </c>
      <c r="H11263" s="6" t="s">
        <v>22844</v>
      </c>
      <c r="I11263" s="6">
        <v>526.6875</v>
      </c>
      <c r="J11263" s="2">
        <f t="shared" si="175"/>
        <v>43748.305790312494</v>
      </c>
    </row>
    <row r="11264" spans="1:10" x14ac:dyDescent="0.25">
      <c r="A11264" s="7" t="s">
        <v>22845</v>
      </c>
      <c r="B11264" s="8">
        <v>412.5</v>
      </c>
      <c r="C11264" s="8">
        <v>20.478950000000001</v>
      </c>
      <c r="D11264" s="8">
        <v>103</v>
      </c>
      <c r="E11264" s="8">
        <v>0</v>
      </c>
      <c r="F11264" s="8">
        <v>0</v>
      </c>
      <c r="G11264" s="8">
        <v>0</v>
      </c>
      <c r="H11264" s="8" t="s">
        <v>22846</v>
      </c>
      <c r="I11264" s="8">
        <v>532.3125</v>
      </c>
      <c r="J11264" s="3">
        <f t="shared" si="175"/>
        <v>43748.305861828696</v>
      </c>
    </row>
    <row r="11265" spans="1:10" x14ac:dyDescent="0.25">
      <c r="A11265" s="5" t="s">
        <v>22847</v>
      </c>
      <c r="B11265" s="6">
        <v>393.75</v>
      </c>
      <c r="C11265" s="6">
        <v>20.478950000000001</v>
      </c>
      <c r="D11265" s="6">
        <v>103</v>
      </c>
      <c r="E11265" s="6">
        <v>0</v>
      </c>
      <c r="F11265" s="6">
        <v>0</v>
      </c>
      <c r="G11265" s="6">
        <v>1</v>
      </c>
      <c r="H11265" s="6" t="s">
        <v>22848</v>
      </c>
      <c r="I11265" s="6">
        <v>526.6875</v>
      </c>
      <c r="J11265" s="2">
        <f t="shared" si="175"/>
        <v>43748.305945046297</v>
      </c>
    </row>
    <row r="11266" spans="1:10" x14ac:dyDescent="0.25">
      <c r="A11266" s="7" t="s">
        <v>22849</v>
      </c>
      <c r="B11266" s="8">
        <v>393.75</v>
      </c>
      <c r="C11266" s="8">
        <v>20.426300000000001</v>
      </c>
      <c r="D11266" s="8">
        <v>103</v>
      </c>
      <c r="E11266" s="8">
        <v>0</v>
      </c>
      <c r="F11266" s="8">
        <v>0</v>
      </c>
      <c r="G11266" s="8">
        <v>7</v>
      </c>
      <c r="H11266" s="8" t="s">
        <v>22850</v>
      </c>
      <c r="I11266" s="8">
        <v>526.6875</v>
      </c>
      <c r="J11266" s="3">
        <f t="shared" ref="J11266:J11329" si="176">(H11266/86400000)+25569+(7/24)</f>
        <v>43748.306016828697</v>
      </c>
    </row>
    <row r="11267" spans="1:10" x14ac:dyDescent="0.25">
      <c r="A11267" s="5" t="s">
        <v>22851</v>
      </c>
      <c r="B11267" s="6">
        <v>412.5</v>
      </c>
      <c r="C11267" s="6">
        <v>20.426300000000001</v>
      </c>
      <c r="D11267" s="6">
        <v>103</v>
      </c>
      <c r="E11267" s="6">
        <v>0</v>
      </c>
      <c r="F11267" s="6">
        <v>0</v>
      </c>
      <c r="G11267" s="6">
        <v>0</v>
      </c>
      <c r="H11267" s="6" t="s">
        <v>22852</v>
      </c>
      <c r="I11267" s="6">
        <v>532.6875</v>
      </c>
      <c r="J11267" s="2">
        <f t="shared" si="176"/>
        <v>43748.306100624999</v>
      </c>
    </row>
    <row r="11268" spans="1:10" x14ac:dyDescent="0.25">
      <c r="A11268" s="7" t="s">
        <v>22853</v>
      </c>
      <c r="B11268" s="8">
        <v>393.75</v>
      </c>
      <c r="C11268" s="8">
        <v>20.478950000000001</v>
      </c>
      <c r="D11268" s="8">
        <v>103</v>
      </c>
      <c r="E11268" s="8">
        <v>0</v>
      </c>
      <c r="F11268" s="8">
        <v>0</v>
      </c>
      <c r="G11268" s="8">
        <v>11</v>
      </c>
      <c r="H11268" s="8" t="s">
        <v>22854</v>
      </c>
      <c r="I11268" s="8">
        <v>526.5</v>
      </c>
      <c r="J11268" s="3">
        <f t="shared" si="176"/>
        <v>43748.306171909724</v>
      </c>
    </row>
    <row r="11269" spans="1:10" x14ac:dyDescent="0.25">
      <c r="A11269" s="5" t="s">
        <v>22855</v>
      </c>
      <c r="B11269" s="6">
        <v>393.75</v>
      </c>
      <c r="C11269" s="6">
        <v>20.478950000000001</v>
      </c>
      <c r="D11269" s="6">
        <v>103</v>
      </c>
      <c r="E11269" s="6">
        <v>0</v>
      </c>
      <c r="F11269" s="6">
        <v>0</v>
      </c>
      <c r="G11269" s="6">
        <v>11</v>
      </c>
      <c r="H11269" s="6" t="s">
        <v>22856</v>
      </c>
      <c r="I11269" s="6">
        <v>526.5</v>
      </c>
      <c r="J11269" s="2">
        <f t="shared" si="176"/>
        <v>43748.306243437495</v>
      </c>
    </row>
    <row r="11270" spans="1:10" x14ac:dyDescent="0.25">
      <c r="A11270" s="7" t="s">
        <v>22857</v>
      </c>
      <c r="B11270" s="8">
        <v>412.5</v>
      </c>
      <c r="C11270" s="8">
        <v>20.426300000000001</v>
      </c>
      <c r="D11270" s="8">
        <v>100</v>
      </c>
      <c r="E11270" s="8">
        <v>0</v>
      </c>
      <c r="F11270" s="8">
        <v>0</v>
      </c>
      <c r="G11270" s="8">
        <v>0</v>
      </c>
      <c r="H11270" s="8" t="s">
        <v>22858</v>
      </c>
      <c r="I11270" s="8">
        <v>532.3125</v>
      </c>
      <c r="J11270" s="3">
        <f t="shared" si="176"/>
        <v>43748.306326527774</v>
      </c>
    </row>
    <row r="11271" spans="1:10" x14ac:dyDescent="0.25">
      <c r="A11271" s="5" t="s">
        <v>22859</v>
      </c>
      <c r="B11271" s="6">
        <v>393.75</v>
      </c>
      <c r="C11271" s="6">
        <v>20.478950000000001</v>
      </c>
      <c r="D11271" s="6">
        <v>98</v>
      </c>
      <c r="E11271" s="6">
        <v>0</v>
      </c>
      <c r="F11271" s="6">
        <v>0</v>
      </c>
      <c r="G11271" s="6">
        <v>13</v>
      </c>
      <c r="H11271" s="6" t="s">
        <v>22860</v>
      </c>
      <c r="I11271" s="6">
        <v>526.6875</v>
      </c>
      <c r="J11271" s="2">
        <f t="shared" si="176"/>
        <v>43748.306398414345</v>
      </c>
    </row>
    <row r="11272" spans="1:10" x14ac:dyDescent="0.25">
      <c r="A11272" s="7" t="s">
        <v>22861</v>
      </c>
      <c r="B11272" s="8">
        <v>393.75</v>
      </c>
      <c r="C11272" s="8">
        <v>20.478950000000001</v>
      </c>
      <c r="D11272" s="8">
        <v>98</v>
      </c>
      <c r="E11272" s="8">
        <v>0</v>
      </c>
      <c r="F11272" s="8">
        <v>0</v>
      </c>
      <c r="G11272" s="8">
        <v>9</v>
      </c>
      <c r="H11272" s="8" t="s">
        <v>22860</v>
      </c>
      <c r="I11272" s="8">
        <v>526.6875</v>
      </c>
      <c r="J11272" s="3">
        <f t="shared" si="176"/>
        <v>43748.306398414345</v>
      </c>
    </row>
    <row r="11273" spans="1:10" x14ac:dyDescent="0.25">
      <c r="A11273" s="5" t="s">
        <v>22862</v>
      </c>
      <c r="B11273" s="6">
        <v>393.75</v>
      </c>
      <c r="C11273" s="6">
        <v>20.478950000000001</v>
      </c>
      <c r="D11273" s="6">
        <v>99</v>
      </c>
      <c r="E11273" s="6">
        <v>0</v>
      </c>
      <c r="F11273" s="6">
        <v>0</v>
      </c>
      <c r="G11273" s="6">
        <v>16</v>
      </c>
      <c r="H11273" s="6" t="s">
        <v>22863</v>
      </c>
      <c r="I11273" s="6">
        <v>526.6875</v>
      </c>
      <c r="J11273" s="2">
        <f t="shared" si="176"/>
        <v>43748.30656542824</v>
      </c>
    </row>
    <row r="11274" spans="1:10" x14ac:dyDescent="0.25">
      <c r="A11274" s="7" t="s">
        <v>22864</v>
      </c>
      <c r="B11274" s="8">
        <v>396.875</v>
      </c>
      <c r="C11274" s="8">
        <v>20.478950000000001</v>
      </c>
      <c r="D11274" s="8">
        <v>99</v>
      </c>
      <c r="E11274" s="8">
        <v>0</v>
      </c>
      <c r="F11274" s="8">
        <v>0</v>
      </c>
      <c r="G11274" s="8">
        <v>10</v>
      </c>
      <c r="H11274" s="8" t="s">
        <v>22865</v>
      </c>
      <c r="I11274" s="8">
        <v>527.4375</v>
      </c>
      <c r="J11274" s="3">
        <f t="shared" si="176"/>
        <v>43748.306648900463</v>
      </c>
    </row>
    <row r="11275" spans="1:10" x14ac:dyDescent="0.25">
      <c r="A11275" s="5" t="s">
        <v>22866</v>
      </c>
      <c r="B11275" s="6">
        <v>396.875</v>
      </c>
      <c r="C11275" s="6">
        <v>20.478950000000001</v>
      </c>
      <c r="D11275" s="6">
        <v>99</v>
      </c>
      <c r="E11275" s="6">
        <v>0</v>
      </c>
      <c r="F11275" s="6">
        <v>0</v>
      </c>
      <c r="G11275" s="6">
        <v>13</v>
      </c>
      <c r="H11275" s="6" t="s">
        <v>22867</v>
      </c>
      <c r="I11275" s="6">
        <v>527.4375</v>
      </c>
      <c r="J11275" s="2">
        <f t="shared" si="176"/>
        <v>43748.30672054398</v>
      </c>
    </row>
    <row r="11276" spans="1:10" x14ac:dyDescent="0.25">
      <c r="A11276" s="7" t="s">
        <v>22868</v>
      </c>
      <c r="B11276" s="8">
        <v>400</v>
      </c>
      <c r="C11276" s="8">
        <v>20.478950000000001</v>
      </c>
      <c r="D11276" s="8">
        <v>99</v>
      </c>
      <c r="E11276" s="8">
        <v>0</v>
      </c>
      <c r="F11276" s="8">
        <v>0</v>
      </c>
      <c r="G11276" s="8">
        <v>12</v>
      </c>
      <c r="H11276" s="8" t="s">
        <v>22869</v>
      </c>
      <c r="I11276" s="8">
        <v>528.1875</v>
      </c>
      <c r="J11276" s="3">
        <f t="shared" si="176"/>
        <v>43748.306803981475</v>
      </c>
    </row>
    <row r="11277" spans="1:10" x14ac:dyDescent="0.25">
      <c r="A11277" s="5" t="s">
        <v>22870</v>
      </c>
      <c r="B11277" s="6">
        <v>400</v>
      </c>
      <c r="C11277" s="6">
        <v>20.478950000000001</v>
      </c>
      <c r="D11277" s="6">
        <v>98</v>
      </c>
      <c r="E11277" s="6">
        <v>0</v>
      </c>
      <c r="F11277" s="6">
        <v>0</v>
      </c>
      <c r="G11277" s="6">
        <v>8</v>
      </c>
      <c r="H11277" s="6" t="s">
        <v>22871</v>
      </c>
      <c r="I11277" s="6">
        <v>528.1875</v>
      </c>
      <c r="J11277" s="2">
        <f t="shared" si="176"/>
        <v>43748.30688733796</v>
      </c>
    </row>
    <row r="11278" spans="1:10" x14ac:dyDescent="0.25">
      <c r="A11278" s="7" t="s">
        <v>22872</v>
      </c>
      <c r="B11278" s="8">
        <v>421.875</v>
      </c>
      <c r="C11278" s="8">
        <v>20.478950000000001</v>
      </c>
      <c r="D11278" s="8">
        <v>99</v>
      </c>
      <c r="E11278" s="8">
        <v>0</v>
      </c>
      <c r="F11278" s="8">
        <v>0</v>
      </c>
      <c r="G11278" s="8">
        <v>7</v>
      </c>
      <c r="H11278" s="8" t="s">
        <v>22873</v>
      </c>
      <c r="I11278" s="8">
        <v>535.125</v>
      </c>
      <c r="J11278" s="3">
        <f t="shared" si="176"/>
        <v>43748.306971053236</v>
      </c>
    </row>
    <row r="11279" spans="1:10" x14ac:dyDescent="0.25">
      <c r="A11279" s="5" t="s">
        <v>22874</v>
      </c>
      <c r="B11279" s="6">
        <v>393.75</v>
      </c>
      <c r="C11279" s="6">
        <v>20.478950000000001</v>
      </c>
      <c r="D11279" s="6">
        <v>99</v>
      </c>
      <c r="E11279" s="6">
        <v>0</v>
      </c>
      <c r="F11279" s="6">
        <v>0</v>
      </c>
      <c r="G11279" s="6">
        <v>9</v>
      </c>
      <c r="H11279" s="6" t="s">
        <v>22875</v>
      </c>
      <c r="I11279" s="6">
        <v>526.6875</v>
      </c>
      <c r="J11279" s="2">
        <f t="shared" si="176"/>
        <v>43748.307054351848</v>
      </c>
    </row>
    <row r="11280" spans="1:10" x14ac:dyDescent="0.25">
      <c r="A11280" s="7" t="s">
        <v>22876</v>
      </c>
      <c r="B11280" s="8">
        <v>393.75</v>
      </c>
      <c r="C11280" s="8">
        <v>20.478950000000001</v>
      </c>
      <c r="D11280" s="8">
        <v>100</v>
      </c>
      <c r="E11280" s="8">
        <v>0</v>
      </c>
      <c r="F11280" s="8">
        <v>0</v>
      </c>
      <c r="G11280" s="8">
        <v>15</v>
      </c>
      <c r="H11280" s="8" t="s">
        <v>22877</v>
      </c>
      <c r="I11280" s="8">
        <v>526.6875</v>
      </c>
      <c r="J11280" s="3">
        <f t="shared" si="176"/>
        <v>43748.307143680555</v>
      </c>
    </row>
    <row r="11281" spans="1:10" x14ac:dyDescent="0.25">
      <c r="A11281" s="5" t="s">
        <v>22878</v>
      </c>
      <c r="B11281" s="6">
        <v>393.75</v>
      </c>
      <c r="C11281" s="6">
        <v>20.478950000000001</v>
      </c>
      <c r="D11281" s="6">
        <v>100</v>
      </c>
      <c r="E11281" s="6">
        <v>0</v>
      </c>
      <c r="F11281" s="6">
        <v>0</v>
      </c>
      <c r="G11281" s="6">
        <v>4</v>
      </c>
      <c r="H11281" s="6" t="s">
        <v>22879</v>
      </c>
      <c r="I11281" s="6">
        <v>526.6875</v>
      </c>
      <c r="J11281" s="2">
        <f t="shared" si="176"/>
        <v>43748.307221226853</v>
      </c>
    </row>
    <row r="11282" spans="1:10" x14ac:dyDescent="0.25">
      <c r="A11282" s="7" t="s">
        <v>22880</v>
      </c>
      <c r="B11282" s="8">
        <v>393.75</v>
      </c>
      <c r="C11282" s="8">
        <v>20.426300000000001</v>
      </c>
      <c r="D11282" s="8">
        <v>100</v>
      </c>
      <c r="E11282" s="8">
        <v>0</v>
      </c>
      <c r="F11282" s="8">
        <v>0</v>
      </c>
      <c r="G11282" s="8">
        <v>15</v>
      </c>
      <c r="H11282" s="8" t="s">
        <v>22881</v>
      </c>
      <c r="I11282" s="8">
        <v>526.6875</v>
      </c>
      <c r="J11282" s="3">
        <f t="shared" si="176"/>
        <v>43748.307292743055</v>
      </c>
    </row>
    <row r="11283" spans="1:10" x14ac:dyDescent="0.25">
      <c r="A11283" s="5" t="s">
        <v>22882</v>
      </c>
      <c r="B11283" s="6">
        <v>393.75</v>
      </c>
      <c r="C11283" s="6">
        <v>20.478950000000001</v>
      </c>
      <c r="D11283" s="6">
        <v>101</v>
      </c>
      <c r="E11283" s="6">
        <v>0</v>
      </c>
      <c r="F11283" s="6">
        <v>0</v>
      </c>
      <c r="G11283" s="6">
        <v>4</v>
      </c>
      <c r="H11283" s="6" t="s">
        <v>22883</v>
      </c>
      <c r="I11283" s="6">
        <v>526.6875</v>
      </c>
      <c r="J11283" s="2">
        <f t="shared" si="176"/>
        <v>43748.307375868055</v>
      </c>
    </row>
    <row r="11284" spans="1:10" x14ac:dyDescent="0.25">
      <c r="A11284" s="7" t="s">
        <v>22884</v>
      </c>
      <c r="B11284" s="8">
        <v>393.75</v>
      </c>
      <c r="C11284" s="8">
        <v>20.478950000000001</v>
      </c>
      <c r="D11284" s="8">
        <v>101</v>
      </c>
      <c r="E11284" s="8">
        <v>0</v>
      </c>
      <c r="F11284" s="8">
        <v>0</v>
      </c>
      <c r="G11284" s="8">
        <v>13</v>
      </c>
      <c r="H11284" s="8" t="s">
        <v>22885</v>
      </c>
      <c r="I11284" s="8">
        <v>526.6875</v>
      </c>
      <c r="J11284" s="3">
        <f t="shared" si="176"/>
        <v>43748.307459895826</v>
      </c>
    </row>
    <row r="11285" spans="1:10" x14ac:dyDescent="0.25">
      <c r="A11285" s="5" t="s">
        <v>22886</v>
      </c>
      <c r="B11285" s="6">
        <v>393.75</v>
      </c>
      <c r="C11285" s="6">
        <v>20.426300000000001</v>
      </c>
      <c r="D11285" s="6">
        <v>101</v>
      </c>
      <c r="E11285" s="6">
        <v>0</v>
      </c>
      <c r="F11285" s="6">
        <v>0</v>
      </c>
      <c r="G11285" s="6">
        <v>14</v>
      </c>
      <c r="H11285" s="6" t="s">
        <v>22887</v>
      </c>
      <c r="I11285" s="6">
        <v>526.6875</v>
      </c>
      <c r="J11285" s="2">
        <f t="shared" si="176"/>
        <v>43748.307531226848</v>
      </c>
    </row>
    <row r="11286" spans="1:10" x14ac:dyDescent="0.25">
      <c r="A11286" s="7" t="s">
        <v>22888</v>
      </c>
      <c r="B11286" s="8">
        <v>393.75</v>
      </c>
      <c r="C11286" s="8">
        <v>20.478950000000001</v>
      </c>
      <c r="D11286" s="8">
        <v>102</v>
      </c>
      <c r="E11286" s="8">
        <v>0</v>
      </c>
      <c r="F11286" s="8">
        <v>0</v>
      </c>
      <c r="G11286" s="8">
        <v>9</v>
      </c>
      <c r="H11286" s="8" t="s">
        <v>22889</v>
      </c>
      <c r="I11286" s="8">
        <v>526.6875</v>
      </c>
      <c r="J11286" s="3">
        <f t="shared" si="176"/>
        <v>43748.307614768513</v>
      </c>
    </row>
    <row r="11287" spans="1:10" x14ac:dyDescent="0.25">
      <c r="A11287" s="5" t="s">
        <v>22890</v>
      </c>
      <c r="B11287" s="6">
        <v>393.75</v>
      </c>
      <c r="C11287" s="6">
        <v>20.426300000000001</v>
      </c>
      <c r="D11287" s="6">
        <v>102</v>
      </c>
      <c r="E11287" s="6">
        <v>0</v>
      </c>
      <c r="F11287" s="6">
        <v>0</v>
      </c>
      <c r="G11287" s="6">
        <v>20</v>
      </c>
      <c r="H11287" s="6" t="s">
        <v>22891</v>
      </c>
      <c r="I11287" s="6">
        <v>526.6875</v>
      </c>
      <c r="J11287" s="2">
        <f t="shared" si="176"/>
        <v>43748.307685960644</v>
      </c>
    </row>
    <row r="11288" spans="1:10" x14ac:dyDescent="0.25">
      <c r="A11288" s="7" t="s">
        <v>22892</v>
      </c>
      <c r="B11288" s="8">
        <v>393.75</v>
      </c>
      <c r="C11288" s="8">
        <v>20.478950000000001</v>
      </c>
      <c r="D11288" s="8">
        <v>102</v>
      </c>
      <c r="E11288" s="8">
        <v>0</v>
      </c>
      <c r="F11288" s="8">
        <v>0</v>
      </c>
      <c r="G11288" s="8">
        <v>6</v>
      </c>
      <c r="H11288" s="8" t="s">
        <v>22893</v>
      </c>
      <c r="I11288" s="8">
        <v>526.6875</v>
      </c>
      <c r="J11288" s="3">
        <f t="shared" si="176"/>
        <v>43748.307757476847</v>
      </c>
    </row>
    <row r="11289" spans="1:10" x14ac:dyDescent="0.25">
      <c r="A11289" s="5" t="s">
        <v>22894</v>
      </c>
      <c r="B11289" s="6">
        <v>393.75</v>
      </c>
      <c r="C11289" s="6">
        <v>20.478950000000001</v>
      </c>
      <c r="D11289" s="6">
        <v>101</v>
      </c>
      <c r="E11289" s="6">
        <v>0</v>
      </c>
      <c r="F11289" s="6">
        <v>0</v>
      </c>
      <c r="G11289" s="6">
        <v>17</v>
      </c>
      <c r="H11289" s="6" t="s">
        <v>22895</v>
      </c>
      <c r="I11289" s="6">
        <v>526.5</v>
      </c>
      <c r="J11289" s="2">
        <f t="shared" si="176"/>
        <v>43748.307829340272</v>
      </c>
    </row>
    <row r="11290" spans="1:10" x14ac:dyDescent="0.25">
      <c r="A11290" s="7" t="s">
        <v>22896</v>
      </c>
      <c r="B11290" s="8">
        <v>393.75</v>
      </c>
      <c r="C11290" s="8">
        <v>20.478950000000001</v>
      </c>
      <c r="D11290" s="8">
        <v>101</v>
      </c>
      <c r="E11290" s="8">
        <v>0</v>
      </c>
      <c r="F11290" s="8">
        <v>0</v>
      </c>
      <c r="G11290" s="8">
        <v>5</v>
      </c>
      <c r="H11290" s="8" t="s">
        <v>22897</v>
      </c>
      <c r="I11290" s="8">
        <v>526.6875</v>
      </c>
      <c r="J11290" s="3">
        <f t="shared" si="176"/>
        <v>43748.307900648149</v>
      </c>
    </row>
    <row r="11291" spans="1:10" x14ac:dyDescent="0.25">
      <c r="A11291" s="5" t="s">
        <v>22898</v>
      </c>
      <c r="B11291" s="6">
        <v>393.75</v>
      </c>
      <c r="C11291" s="6">
        <v>20.478950000000001</v>
      </c>
      <c r="D11291" s="6">
        <v>103</v>
      </c>
      <c r="E11291" s="6">
        <v>0</v>
      </c>
      <c r="F11291" s="6">
        <v>0</v>
      </c>
      <c r="G11291" s="6">
        <v>10</v>
      </c>
      <c r="H11291" s="6" t="s">
        <v>22899</v>
      </c>
      <c r="I11291" s="6">
        <v>526.5</v>
      </c>
      <c r="J11291" s="2">
        <f t="shared" si="176"/>
        <v>43748.307972523144</v>
      </c>
    </row>
    <row r="11292" spans="1:10" x14ac:dyDescent="0.25">
      <c r="A11292" s="7" t="s">
        <v>22900</v>
      </c>
      <c r="B11292" s="8">
        <v>393.75</v>
      </c>
      <c r="C11292" s="8">
        <v>20.478950000000001</v>
      </c>
      <c r="D11292" s="8">
        <v>103</v>
      </c>
      <c r="E11292" s="8">
        <v>0</v>
      </c>
      <c r="F11292" s="8">
        <v>0</v>
      </c>
      <c r="G11292" s="8">
        <v>8</v>
      </c>
      <c r="H11292" s="8" t="s">
        <v>22901</v>
      </c>
      <c r="I11292" s="8">
        <v>526.6875</v>
      </c>
      <c r="J11292" s="3">
        <f t="shared" si="176"/>
        <v>43748.308056192131</v>
      </c>
    </row>
    <row r="11293" spans="1:10" x14ac:dyDescent="0.25">
      <c r="A11293" s="5" t="s">
        <v>22902</v>
      </c>
      <c r="B11293" s="6">
        <v>412.5</v>
      </c>
      <c r="C11293" s="6">
        <v>20.426300000000001</v>
      </c>
      <c r="D11293" s="6">
        <v>103</v>
      </c>
      <c r="E11293" s="6">
        <v>0</v>
      </c>
      <c r="F11293" s="6">
        <v>0</v>
      </c>
      <c r="G11293" s="6">
        <v>5</v>
      </c>
      <c r="H11293" s="6" t="s">
        <v>22903</v>
      </c>
      <c r="I11293" s="6">
        <v>532.3125</v>
      </c>
      <c r="J11293" s="2">
        <f t="shared" si="176"/>
        <v>43748.308127499993</v>
      </c>
    </row>
    <row r="11294" spans="1:10" x14ac:dyDescent="0.25">
      <c r="A11294" s="7" t="s">
        <v>22904</v>
      </c>
      <c r="B11294" s="8">
        <v>393.75</v>
      </c>
      <c r="C11294" s="8">
        <v>20.478950000000001</v>
      </c>
      <c r="D11294" s="8">
        <v>103</v>
      </c>
      <c r="E11294" s="8">
        <v>0</v>
      </c>
      <c r="F11294" s="8">
        <v>0</v>
      </c>
      <c r="G11294" s="8">
        <v>9</v>
      </c>
      <c r="H11294" s="8" t="s">
        <v>22905</v>
      </c>
      <c r="I11294" s="8">
        <v>526.6875</v>
      </c>
      <c r="J11294" s="3">
        <f t="shared" si="176"/>
        <v>43748.308199027779</v>
      </c>
    </row>
    <row r="11295" spans="1:10" x14ac:dyDescent="0.25">
      <c r="A11295" s="5" t="s">
        <v>22906</v>
      </c>
      <c r="B11295" s="6">
        <v>393.75</v>
      </c>
      <c r="C11295" s="6">
        <v>20.478950000000001</v>
      </c>
      <c r="D11295" s="6">
        <v>103</v>
      </c>
      <c r="E11295" s="6">
        <v>0</v>
      </c>
      <c r="F11295" s="6">
        <v>0</v>
      </c>
      <c r="G11295" s="6">
        <v>10</v>
      </c>
      <c r="H11295" s="6" t="s">
        <v>22907</v>
      </c>
      <c r="I11295" s="6">
        <v>526.6875</v>
      </c>
      <c r="J11295" s="2">
        <f t="shared" si="176"/>
        <v>43748.30827055555</v>
      </c>
    </row>
    <row r="11296" spans="1:10" x14ac:dyDescent="0.25">
      <c r="A11296" s="7" t="s">
        <v>22908</v>
      </c>
      <c r="B11296" s="8">
        <v>393.75</v>
      </c>
      <c r="C11296" s="8">
        <v>20.426300000000001</v>
      </c>
      <c r="D11296" s="8">
        <v>103</v>
      </c>
      <c r="E11296" s="8">
        <v>0</v>
      </c>
      <c r="F11296" s="8">
        <v>0</v>
      </c>
      <c r="G11296" s="8">
        <v>2</v>
      </c>
      <c r="H11296" s="8" t="s">
        <v>22909</v>
      </c>
      <c r="I11296" s="8">
        <v>526.6875</v>
      </c>
      <c r="J11296" s="3">
        <f t="shared" si="176"/>
        <v>43748.308341851851</v>
      </c>
    </row>
    <row r="11297" spans="1:10" x14ac:dyDescent="0.25">
      <c r="A11297" s="5" t="s">
        <v>22910</v>
      </c>
      <c r="B11297" s="6">
        <v>393.75</v>
      </c>
      <c r="C11297" s="6">
        <v>20.426300000000001</v>
      </c>
      <c r="D11297" s="6">
        <v>103</v>
      </c>
      <c r="E11297" s="6">
        <v>0</v>
      </c>
      <c r="F11297" s="6">
        <v>0</v>
      </c>
      <c r="G11297" s="6">
        <v>11</v>
      </c>
      <c r="H11297" s="6" t="s">
        <v>22911</v>
      </c>
      <c r="I11297" s="6">
        <v>526.6875</v>
      </c>
      <c r="J11297" s="2">
        <f t="shared" si="176"/>
        <v>43748.308413599538</v>
      </c>
    </row>
    <row r="11298" spans="1:10" x14ac:dyDescent="0.25">
      <c r="A11298" s="7" t="s">
        <v>22912</v>
      </c>
      <c r="B11298" s="8">
        <v>393.75</v>
      </c>
      <c r="C11298" s="8">
        <v>20.478950000000001</v>
      </c>
      <c r="D11298" s="8">
        <v>103</v>
      </c>
      <c r="E11298" s="8">
        <v>0</v>
      </c>
      <c r="F11298" s="8">
        <v>0</v>
      </c>
      <c r="G11298" s="8">
        <v>12</v>
      </c>
      <c r="H11298" s="8" t="s">
        <v>22913</v>
      </c>
      <c r="I11298" s="8">
        <v>526.6875</v>
      </c>
      <c r="J11298" s="3">
        <f t="shared" si="176"/>
        <v>43748.30849693287</v>
      </c>
    </row>
    <row r="11299" spans="1:10" x14ac:dyDescent="0.25">
      <c r="A11299" s="5" t="s">
        <v>22914</v>
      </c>
      <c r="B11299" s="6">
        <v>393.75</v>
      </c>
      <c r="C11299" s="6">
        <v>20.426300000000001</v>
      </c>
      <c r="D11299" s="6">
        <v>103</v>
      </c>
      <c r="E11299" s="6">
        <v>0</v>
      </c>
      <c r="F11299" s="6">
        <v>0</v>
      </c>
      <c r="G11299" s="6">
        <v>8</v>
      </c>
      <c r="H11299" s="6" t="s">
        <v>22915</v>
      </c>
      <c r="I11299" s="6">
        <v>526.5</v>
      </c>
      <c r="J11299" s="2">
        <f t="shared" si="176"/>
        <v>43748.30856878472</v>
      </c>
    </row>
    <row r="11300" spans="1:10" x14ac:dyDescent="0.25">
      <c r="A11300" s="7" t="s">
        <v>22916</v>
      </c>
      <c r="B11300" s="8">
        <v>393.75</v>
      </c>
      <c r="C11300" s="8">
        <v>20.426300000000001</v>
      </c>
      <c r="D11300" s="8">
        <v>103</v>
      </c>
      <c r="E11300" s="8">
        <v>0</v>
      </c>
      <c r="F11300" s="8">
        <v>0</v>
      </c>
      <c r="G11300" s="8">
        <v>10</v>
      </c>
      <c r="H11300" s="8" t="s">
        <v>22917</v>
      </c>
      <c r="I11300" s="8">
        <v>526.5</v>
      </c>
      <c r="J11300" s="3">
        <f t="shared" si="176"/>
        <v>43748.308652141197</v>
      </c>
    </row>
    <row r="11301" spans="1:10" x14ac:dyDescent="0.25">
      <c r="A11301" s="5" t="s">
        <v>22918</v>
      </c>
      <c r="B11301" s="6">
        <v>393.75</v>
      </c>
      <c r="C11301" s="6">
        <v>20.478950000000001</v>
      </c>
      <c r="D11301" s="6">
        <v>103</v>
      </c>
      <c r="E11301" s="6">
        <v>0</v>
      </c>
      <c r="F11301" s="6">
        <v>0</v>
      </c>
      <c r="G11301" s="6">
        <v>8</v>
      </c>
      <c r="H11301" s="6" t="s">
        <v>22919</v>
      </c>
      <c r="I11301" s="6">
        <v>526.5</v>
      </c>
      <c r="J11301" s="2">
        <f t="shared" si="176"/>
        <v>43748.308723703703</v>
      </c>
    </row>
    <row r="11302" spans="1:10" x14ac:dyDescent="0.25">
      <c r="A11302" s="7" t="s">
        <v>22920</v>
      </c>
      <c r="B11302" s="8">
        <v>393.75</v>
      </c>
      <c r="C11302" s="8">
        <v>20.478950000000001</v>
      </c>
      <c r="D11302" s="8">
        <v>103</v>
      </c>
      <c r="E11302" s="8">
        <v>0</v>
      </c>
      <c r="F11302" s="8">
        <v>0</v>
      </c>
      <c r="G11302" s="8">
        <v>10</v>
      </c>
      <c r="H11302" s="8" t="s">
        <v>22921</v>
      </c>
      <c r="I11302" s="8">
        <v>526.6875</v>
      </c>
      <c r="J11302" s="3">
        <f t="shared" si="176"/>
        <v>43748.308795092591</v>
      </c>
    </row>
    <row r="11303" spans="1:10" x14ac:dyDescent="0.25">
      <c r="A11303" s="5" t="s">
        <v>22922</v>
      </c>
      <c r="B11303" s="6">
        <v>393.75</v>
      </c>
      <c r="C11303" s="6">
        <v>20.478950000000001</v>
      </c>
      <c r="D11303" s="6">
        <v>103</v>
      </c>
      <c r="E11303" s="6">
        <v>0</v>
      </c>
      <c r="F11303" s="6">
        <v>0</v>
      </c>
      <c r="G11303" s="6">
        <v>7</v>
      </c>
      <c r="H11303" s="6" t="s">
        <v>22923</v>
      </c>
      <c r="I11303" s="6">
        <v>526.5</v>
      </c>
      <c r="J11303" s="2">
        <f t="shared" si="176"/>
        <v>43748.30886704861</v>
      </c>
    </row>
    <row r="11304" spans="1:10" x14ac:dyDescent="0.25">
      <c r="A11304" s="7" t="s">
        <v>22924</v>
      </c>
      <c r="B11304" s="8">
        <v>431.25</v>
      </c>
      <c r="C11304" s="8">
        <v>20.478950000000001</v>
      </c>
      <c r="D11304" s="8">
        <v>103</v>
      </c>
      <c r="E11304" s="8">
        <v>0</v>
      </c>
      <c r="F11304" s="8">
        <v>0</v>
      </c>
      <c r="G11304" s="8">
        <v>3</v>
      </c>
      <c r="H11304" s="8" t="s">
        <v>22925</v>
      </c>
      <c r="I11304" s="8">
        <v>538.3125</v>
      </c>
      <c r="J11304" s="3">
        <f t="shared" si="176"/>
        <v>43748.308938379625</v>
      </c>
    </row>
    <row r="11305" spans="1:10" x14ac:dyDescent="0.25">
      <c r="A11305" s="5" t="s">
        <v>22926</v>
      </c>
      <c r="B11305" s="6">
        <v>396.875</v>
      </c>
      <c r="C11305" s="6">
        <v>20.478950000000001</v>
      </c>
      <c r="D11305" s="6">
        <v>104</v>
      </c>
      <c r="E11305" s="6">
        <v>0</v>
      </c>
      <c r="F11305" s="6">
        <v>0</v>
      </c>
      <c r="G11305" s="6">
        <v>9</v>
      </c>
      <c r="H11305" s="6" t="s">
        <v>22927</v>
      </c>
      <c r="I11305" s="6">
        <v>527.4375</v>
      </c>
      <c r="J11305" s="2">
        <f t="shared" si="176"/>
        <v>43748.309009918979</v>
      </c>
    </row>
    <row r="11306" spans="1:10" x14ac:dyDescent="0.25">
      <c r="A11306" s="7" t="s">
        <v>22928</v>
      </c>
      <c r="B11306" s="8">
        <v>396.875</v>
      </c>
      <c r="C11306" s="8">
        <v>20.426300000000001</v>
      </c>
      <c r="D11306" s="8">
        <v>103</v>
      </c>
      <c r="E11306" s="8">
        <v>0</v>
      </c>
      <c r="F11306" s="8">
        <v>0</v>
      </c>
      <c r="G11306" s="8">
        <v>10</v>
      </c>
      <c r="H11306" s="8" t="s">
        <v>22929</v>
      </c>
      <c r="I11306" s="8">
        <v>527.4375</v>
      </c>
      <c r="J11306" s="3">
        <f t="shared" si="176"/>
        <v>43748.309105486107</v>
      </c>
    </row>
    <row r="11307" spans="1:10" x14ac:dyDescent="0.25">
      <c r="A11307" s="5" t="s">
        <v>22930</v>
      </c>
      <c r="B11307" s="6">
        <v>396.875</v>
      </c>
      <c r="C11307" s="6">
        <v>20.478950000000001</v>
      </c>
      <c r="D11307" s="6">
        <v>103</v>
      </c>
      <c r="E11307" s="6">
        <v>0</v>
      </c>
      <c r="F11307" s="6">
        <v>0</v>
      </c>
      <c r="G11307" s="6">
        <v>13</v>
      </c>
      <c r="H11307" s="6" t="s">
        <v>22931</v>
      </c>
      <c r="I11307" s="6">
        <v>527.4375</v>
      </c>
      <c r="J11307" s="2">
        <f t="shared" si="176"/>
        <v>43748.309188831015</v>
      </c>
    </row>
    <row r="11308" spans="1:10" x14ac:dyDescent="0.25">
      <c r="A11308" s="7" t="s">
        <v>22932</v>
      </c>
      <c r="B11308" s="8">
        <v>393.75</v>
      </c>
      <c r="C11308" s="8">
        <v>20.478950000000001</v>
      </c>
      <c r="D11308" s="8">
        <v>103</v>
      </c>
      <c r="E11308" s="8">
        <v>0</v>
      </c>
      <c r="F11308" s="8">
        <v>0</v>
      </c>
      <c r="G11308" s="8">
        <v>4</v>
      </c>
      <c r="H11308" s="8" t="s">
        <v>22933</v>
      </c>
      <c r="I11308" s="8">
        <v>526.5</v>
      </c>
      <c r="J11308" s="3">
        <f t="shared" si="176"/>
        <v>43748.309271921295</v>
      </c>
    </row>
    <row r="11309" spans="1:10" x14ac:dyDescent="0.25">
      <c r="A11309" s="5" t="s">
        <v>22934</v>
      </c>
      <c r="B11309" s="6">
        <v>393.75</v>
      </c>
      <c r="C11309" s="6">
        <v>20.478950000000001</v>
      </c>
      <c r="D11309" s="6">
        <v>103</v>
      </c>
      <c r="E11309" s="6">
        <v>0</v>
      </c>
      <c r="F11309" s="6">
        <v>0</v>
      </c>
      <c r="G11309" s="6">
        <v>12</v>
      </c>
      <c r="H11309" s="6" t="s">
        <v>22935</v>
      </c>
      <c r="I11309" s="6">
        <v>526.6875</v>
      </c>
      <c r="J11309" s="2">
        <f t="shared" si="176"/>
        <v>43748.309343935187</v>
      </c>
    </row>
    <row r="11310" spans="1:10" x14ac:dyDescent="0.25">
      <c r="A11310" s="7" t="s">
        <v>22936</v>
      </c>
      <c r="B11310" s="8">
        <v>393.75</v>
      </c>
      <c r="C11310" s="8">
        <v>20.478950000000001</v>
      </c>
      <c r="D11310" s="8">
        <v>103</v>
      </c>
      <c r="E11310" s="8">
        <v>0</v>
      </c>
      <c r="F11310" s="8">
        <v>0</v>
      </c>
      <c r="G11310" s="8">
        <v>10</v>
      </c>
      <c r="H11310" s="8" t="s">
        <v>22937</v>
      </c>
      <c r="I11310" s="8">
        <v>526.6875</v>
      </c>
      <c r="J11310" s="3">
        <f t="shared" si="176"/>
        <v>43748.309415543983</v>
      </c>
    </row>
    <row r="11311" spans="1:10" x14ac:dyDescent="0.25">
      <c r="A11311" s="5" t="s">
        <v>22938</v>
      </c>
      <c r="B11311" s="6">
        <v>393.75</v>
      </c>
      <c r="C11311" s="6">
        <v>20.478950000000001</v>
      </c>
      <c r="D11311" s="6">
        <v>102</v>
      </c>
      <c r="E11311" s="6">
        <v>0</v>
      </c>
      <c r="F11311" s="6">
        <v>0</v>
      </c>
      <c r="G11311" s="6">
        <v>5</v>
      </c>
      <c r="H11311" s="6" t="s">
        <v>22939</v>
      </c>
      <c r="I11311" s="6">
        <v>526.6875</v>
      </c>
      <c r="J11311" s="2">
        <f t="shared" si="176"/>
        <v>43748.30948697916</v>
      </c>
    </row>
    <row r="11312" spans="1:10" x14ac:dyDescent="0.25">
      <c r="A11312" s="7" t="s">
        <v>22940</v>
      </c>
      <c r="B11312" s="8">
        <v>393.75</v>
      </c>
      <c r="C11312" s="8">
        <v>20.478950000000001</v>
      </c>
      <c r="D11312" s="8">
        <v>103</v>
      </c>
      <c r="E11312" s="8">
        <v>0</v>
      </c>
      <c r="F11312" s="8">
        <v>0</v>
      </c>
      <c r="G11312" s="8">
        <v>4</v>
      </c>
      <c r="H11312" s="8" t="s">
        <v>22941</v>
      </c>
      <c r="I11312" s="8">
        <v>526.6875</v>
      </c>
      <c r="J11312" s="3">
        <f t="shared" si="176"/>
        <v>43748.309570532401</v>
      </c>
    </row>
    <row r="11313" spans="1:10" x14ac:dyDescent="0.25">
      <c r="A11313" s="5" t="s">
        <v>22942</v>
      </c>
      <c r="B11313" s="6">
        <v>393.75</v>
      </c>
      <c r="C11313" s="6">
        <v>20.478950000000001</v>
      </c>
      <c r="D11313" s="6">
        <v>103</v>
      </c>
      <c r="E11313" s="6">
        <v>0</v>
      </c>
      <c r="F11313" s="6">
        <v>0</v>
      </c>
      <c r="G11313" s="6">
        <v>1</v>
      </c>
      <c r="H11313" s="6" t="s">
        <v>22943</v>
      </c>
      <c r="I11313" s="6">
        <v>526.6875</v>
      </c>
      <c r="J11313" s="2">
        <f t="shared" si="176"/>
        <v>43748.309642175918</v>
      </c>
    </row>
    <row r="11314" spans="1:10" x14ac:dyDescent="0.25">
      <c r="A11314" s="7" t="s">
        <v>22944</v>
      </c>
      <c r="B11314" s="8">
        <v>393.75</v>
      </c>
      <c r="C11314" s="8">
        <v>20.478950000000001</v>
      </c>
      <c r="D11314" s="8">
        <v>103</v>
      </c>
      <c r="E11314" s="8">
        <v>0</v>
      </c>
      <c r="F11314" s="8">
        <v>0</v>
      </c>
      <c r="G11314" s="8">
        <v>10</v>
      </c>
      <c r="H11314" s="8" t="s">
        <v>22945</v>
      </c>
      <c r="I11314" s="8">
        <v>526.6875</v>
      </c>
      <c r="J11314" s="3">
        <f t="shared" si="176"/>
        <v>43748.309713587958</v>
      </c>
    </row>
    <row r="11315" spans="1:10" x14ac:dyDescent="0.25">
      <c r="A11315" s="5" t="s">
        <v>22946</v>
      </c>
      <c r="B11315" s="6">
        <v>393.75</v>
      </c>
      <c r="C11315" s="6">
        <v>20.478950000000001</v>
      </c>
      <c r="D11315" s="6">
        <v>104</v>
      </c>
      <c r="E11315" s="6">
        <v>0</v>
      </c>
      <c r="F11315" s="6">
        <v>0</v>
      </c>
      <c r="G11315" s="6">
        <v>23</v>
      </c>
      <c r="H11315" s="6" t="s">
        <v>22947</v>
      </c>
      <c r="I11315" s="6">
        <v>526.6875</v>
      </c>
      <c r="J11315" s="2">
        <f t="shared" si="176"/>
        <v>43748.309796944442</v>
      </c>
    </row>
    <row r="11316" spans="1:10" x14ac:dyDescent="0.25">
      <c r="A11316" s="7" t="s">
        <v>22948</v>
      </c>
      <c r="B11316" s="8">
        <v>421.875</v>
      </c>
      <c r="C11316" s="8">
        <v>20.478950000000001</v>
      </c>
      <c r="D11316" s="8">
        <v>104</v>
      </c>
      <c r="E11316" s="8">
        <v>0</v>
      </c>
      <c r="F11316" s="8">
        <v>0</v>
      </c>
      <c r="G11316" s="8">
        <v>4</v>
      </c>
      <c r="H11316" s="8" t="s">
        <v>22947</v>
      </c>
      <c r="I11316" s="8">
        <v>535.5</v>
      </c>
      <c r="J11316" s="3">
        <f t="shared" si="176"/>
        <v>43748.309796944442</v>
      </c>
    </row>
    <row r="11317" spans="1:10" x14ac:dyDescent="0.25">
      <c r="A11317" s="5" t="s">
        <v>22949</v>
      </c>
      <c r="B11317" s="6">
        <v>400</v>
      </c>
      <c r="C11317" s="6">
        <v>20.478950000000001</v>
      </c>
      <c r="D11317" s="6">
        <v>98</v>
      </c>
      <c r="E11317" s="6">
        <v>0</v>
      </c>
      <c r="F11317" s="6">
        <v>0</v>
      </c>
      <c r="G11317" s="6">
        <v>11</v>
      </c>
      <c r="H11317" s="6" t="s">
        <v>22950</v>
      </c>
      <c r="I11317" s="6">
        <v>528.1875</v>
      </c>
      <c r="J11317" s="2">
        <f t="shared" si="176"/>
        <v>43748.309963680549</v>
      </c>
    </row>
    <row r="11318" spans="1:10" x14ac:dyDescent="0.25">
      <c r="A11318" s="7" t="s">
        <v>22951</v>
      </c>
      <c r="B11318" s="8">
        <v>400</v>
      </c>
      <c r="C11318" s="8">
        <v>20.478950000000001</v>
      </c>
      <c r="D11318" s="8">
        <v>100</v>
      </c>
      <c r="E11318" s="8">
        <v>0</v>
      </c>
      <c r="F11318" s="8">
        <v>0</v>
      </c>
      <c r="G11318" s="8">
        <v>0</v>
      </c>
      <c r="H11318" s="8" t="s">
        <v>22952</v>
      </c>
      <c r="I11318" s="8">
        <v>528.1875</v>
      </c>
      <c r="J11318" s="3">
        <f t="shared" si="176"/>
        <v>43748.310035972223</v>
      </c>
    </row>
    <row r="11319" spans="1:10" x14ac:dyDescent="0.25">
      <c r="A11319" s="5" t="s">
        <v>22953</v>
      </c>
      <c r="B11319" s="6">
        <v>400</v>
      </c>
      <c r="C11319" s="6">
        <v>20.478950000000001</v>
      </c>
      <c r="D11319" s="6">
        <v>101</v>
      </c>
      <c r="E11319" s="6">
        <v>0</v>
      </c>
      <c r="F11319" s="6">
        <v>0</v>
      </c>
      <c r="G11319" s="6">
        <v>10</v>
      </c>
      <c r="H11319" s="6" t="s">
        <v>22954</v>
      </c>
      <c r="I11319" s="6">
        <v>528.375</v>
      </c>
      <c r="J11319" s="2">
        <f t="shared" si="176"/>
        <v>43748.310119155089</v>
      </c>
    </row>
    <row r="11320" spans="1:10" x14ac:dyDescent="0.25">
      <c r="A11320" s="7" t="s">
        <v>22955</v>
      </c>
      <c r="B11320" s="8">
        <v>403.125</v>
      </c>
      <c r="C11320" s="8">
        <v>20.478950000000001</v>
      </c>
      <c r="D11320" s="8">
        <v>103</v>
      </c>
      <c r="E11320" s="8">
        <v>0</v>
      </c>
      <c r="F11320" s="8">
        <v>0</v>
      </c>
      <c r="G11320" s="8">
        <v>5</v>
      </c>
      <c r="H11320" s="8" t="s">
        <v>22956</v>
      </c>
      <c r="I11320" s="8">
        <v>529.125</v>
      </c>
      <c r="J11320" s="3">
        <f t="shared" si="176"/>
        <v>43748.310190555552</v>
      </c>
    </row>
    <row r="11321" spans="1:10" x14ac:dyDescent="0.25">
      <c r="A11321" s="5" t="s">
        <v>22957</v>
      </c>
      <c r="B11321" s="6">
        <v>403.125</v>
      </c>
      <c r="C11321" s="6">
        <v>20.478950000000001</v>
      </c>
      <c r="D11321" s="6">
        <v>102</v>
      </c>
      <c r="E11321" s="6">
        <v>0</v>
      </c>
      <c r="F11321" s="6">
        <v>0</v>
      </c>
      <c r="G11321" s="6">
        <v>6</v>
      </c>
      <c r="H11321" s="6" t="s">
        <v>22958</v>
      </c>
      <c r="I11321" s="6">
        <v>529.125</v>
      </c>
      <c r="J11321" s="2">
        <f t="shared" si="176"/>
        <v>43748.310274004623</v>
      </c>
    </row>
    <row r="11322" spans="1:10" x14ac:dyDescent="0.25">
      <c r="A11322" s="7" t="s">
        <v>22959</v>
      </c>
      <c r="B11322" s="8">
        <v>403.125</v>
      </c>
      <c r="C11322" s="8">
        <v>20.478950000000001</v>
      </c>
      <c r="D11322" s="8">
        <v>104</v>
      </c>
      <c r="E11322" s="8">
        <v>0</v>
      </c>
      <c r="F11322" s="8">
        <v>0</v>
      </c>
      <c r="G11322" s="8">
        <v>12</v>
      </c>
      <c r="H11322" s="8" t="s">
        <v>22960</v>
      </c>
      <c r="I11322" s="8">
        <v>529.125</v>
      </c>
      <c r="J11322" s="3">
        <f t="shared" si="176"/>
        <v>43748.310369363426</v>
      </c>
    </row>
    <row r="11323" spans="1:10" x14ac:dyDescent="0.25">
      <c r="A11323" s="5" t="s">
        <v>22961</v>
      </c>
      <c r="B11323" s="6">
        <v>400</v>
      </c>
      <c r="C11323" s="6">
        <v>20.478950000000001</v>
      </c>
      <c r="D11323" s="6">
        <v>104</v>
      </c>
      <c r="E11323" s="6">
        <v>0</v>
      </c>
      <c r="F11323" s="6">
        <v>0</v>
      </c>
      <c r="G11323" s="6">
        <v>11</v>
      </c>
      <c r="H11323" s="6" t="s">
        <v>22962</v>
      </c>
      <c r="I11323" s="6">
        <v>528.9375</v>
      </c>
      <c r="J11323" s="2">
        <f t="shared" si="176"/>
        <v>43748.310440995367</v>
      </c>
    </row>
    <row r="11324" spans="1:10" x14ac:dyDescent="0.25">
      <c r="A11324" s="7" t="s">
        <v>22963</v>
      </c>
      <c r="B11324" s="8">
        <v>418.75</v>
      </c>
      <c r="C11324" s="8">
        <v>20.478950000000001</v>
      </c>
      <c r="D11324" s="8">
        <v>102</v>
      </c>
      <c r="E11324" s="8">
        <v>0</v>
      </c>
      <c r="F11324" s="8">
        <v>0</v>
      </c>
      <c r="G11324" s="8">
        <v>0</v>
      </c>
      <c r="H11324" s="8" t="s">
        <v>22964</v>
      </c>
      <c r="I11324" s="8">
        <v>534.75</v>
      </c>
      <c r="J11324" s="3">
        <f t="shared" si="176"/>
        <v>43748.310512569442</v>
      </c>
    </row>
    <row r="11325" spans="1:10" x14ac:dyDescent="0.25">
      <c r="A11325" s="5" t="s">
        <v>22965</v>
      </c>
      <c r="B11325" s="6">
        <v>403.125</v>
      </c>
      <c r="C11325" s="6">
        <v>20.478950000000001</v>
      </c>
      <c r="D11325" s="6">
        <v>103</v>
      </c>
      <c r="E11325" s="6">
        <v>0</v>
      </c>
      <c r="F11325" s="6">
        <v>0</v>
      </c>
      <c r="G11325" s="6">
        <v>6</v>
      </c>
      <c r="H11325" s="6" t="s">
        <v>22966</v>
      </c>
      <c r="I11325" s="6">
        <v>529.125</v>
      </c>
      <c r="J11325" s="2">
        <f t="shared" si="176"/>
        <v>43748.310584074068</v>
      </c>
    </row>
    <row r="11326" spans="1:10" x14ac:dyDescent="0.25">
      <c r="A11326" s="7" t="s">
        <v>22967</v>
      </c>
      <c r="B11326" s="8">
        <v>403.125</v>
      </c>
      <c r="C11326" s="8">
        <v>20.478950000000001</v>
      </c>
      <c r="D11326" s="8">
        <v>105</v>
      </c>
      <c r="E11326" s="8">
        <v>0</v>
      </c>
      <c r="F11326" s="8">
        <v>0</v>
      </c>
      <c r="G11326" s="8">
        <v>10</v>
      </c>
      <c r="H11326" s="8" t="s">
        <v>22968</v>
      </c>
      <c r="I11326" s="8">
        <v>529.125</v>
      </c>
      <c r="J11326" s="3">
        <f t="shared" si="176"/>
        <v>43748.310667314814</v>
      </c>
    </row>
    <row r="11327" spans="1:10" x14ac:dyDescent="0.25">
      <c r="A11327" s="5" t="s">
        <v>22969</v>
      </c>
      <c r="B11327" s="6">
        <v>403.125</v>
      </c>
      <c r="C11327" s="6">
        <v>20.478950000000001</v>
      </c>
      <c r="D11327" s="6">
        <v>104</v>
      </c>
      <c r="E11327" s="6">
        <v>0</v>
      </c>
      <c r="F11327" s="6">
        <v>0</v>
      </c>
      <c r="G11327" s="6">
        <v>12</v>
      </c>
      <c r="H11327" s="6" t="s">
        <v>22970</v>
      </c>
      <c r="I11327" s="6">
        <v>529.125</v>
      </c>
      <c r="J11327" s="2">
        <f t="shared" si="176"/>
        <v>43748.310739039349</v>
      </c>
    </row>
    <row r="11328" spans="1:10" x14ac:dyDescent="0.25">
      <c r="A11328" s="7" t="s">
        <v>22971</v>
      </c>
      <c r="B11328" s="8">
        <v>403.125</v>
      </c>
      <c r="C11328" s="8">
        <v>20.478950000000001</v>
      </c>
      <c r="D11328" s="8">
        <v>104</v>
      </c>
      <c r="E11328" s="8">
        <v>0</v>
      </c>
      <c r="F11328" s="8">
        <v>0</v>
      </c>
      <c r="G11328" s="8">
        <v>20</v>
      </c>
      <c r="H11328" s="8" t="s">
        <v>22972</v>
      </c>
      <c r="I11328" s="8">
        <v>529.125</v>
      </c>
      <c r="J11328" s="3">
        <f t="shared" si="176"/>
        <v>43748.310810335643</v>
      </c>
    </row>
    <row r="11329" spans="1:10" x14ac:dyDescent="0.25">
      <c r="A11329" s="5" t="s">
        <v>22973</v>
      </c>
      <c r="B11329" s="6">
        <v>403.125</v>
      </c>
      <c r="C11329" s="6">
        <v>20.478950000000001</v>
      </c>
      <c r="D11329" s="6">
        <v>104</v>
      </c>
      <c r="E11329" s="6">
        <v>0</v>
      </c>
      <c r="F11329" s="6">
        <v>0</v>
      </c>
      <c r="G11329" s="6">
        <v>14</v>
      </c>
      <c r="H11329" s="6" t="s">
        <v>22974</v>
      </c>
      <c r="I11329" s="6">
        <v>529.125</v>
      </c>
      <c r="J11329" s="2">
        <f t="shared" si="176"/>
        <v>43748.310882106474</v>
      </c>
    </row>
    <row r="11330" spans="1:10" x14ac:dyDescent="0.25">
      <c r="A11330" s="7" t="s">
        <v>22975</v>
      </c>
      <c r="B11330" s="8">
        <v>400</v>
      </c>
      <c r="C11330" s="8">
        <v>20.478950000000001</v>
      </c>
      <c r="D11330" s="8">
        <v>104</v>
      </c>
      <c r="E11330" s="8">
        <v>0</v>
      </c>
      <c r="F11330" s="8">
        <v>0</v>
      </c>
      <c r="G11330" s="8">
        <v>11</v>
      </c>
      <c r="H11330" s="8" t="s">
        <v>22976</v>
      </c>
      <c r="I11330" s="8">
        <v>528.9375</v>
      </c>
      <c r="J11330" s="3">
        <f t="shared" ref="J11330:J11393" si="177">(H11330/86400000)+25569+(7/24)</f>
        <v>43748.310953749999</v>
      </c>
    </row>
    <row r="11331" spans="1:10" x14ac:dyDescent="0.25">
      <c r="A11331" s="5" t="s">
        <v>22977</v>
      </c>
      <c r="B11331" s="6">
        <v>400</v>
      </c>
      <c r="C11331" s="6">
        <v>20.478950000000001</v>
      </c>
      <c r="D11331" s="6">
        <v>104</v>
      </c>
      <c r="E11331" s="6">
        <v>0</v>
      </c>
      <c r="F11331" s="6">
        <v>0</v>
      </c>
      <c r="G11331" s="6">
        <v>10</v>
      </c>
      <c r="H11331" s="6" t="s">
        <v>22978</v>
      </c>
      <c r="I11331" s="6">
        <v>528.1875</v>
      </c>
      <c r="J11331" s="2">
        <f t="shared" si="177"/>
        <v>43748.31103719907</v>
      </c>
    </row>
    <row r="11332" spans="1:10" x14ac:dyDescent="0.25">
      <c r="A11332" s="7" t="s">
        <v>22979</v>
      </c>
      <c r="B11332" s="8">
        <v>396.875</v>
      </c>
      <c r="C11332" s="8">
        <v>20.478950000000001</v>
      </c>
      <c r="D11332" s="8">
        <v>104</v>
      </c>
      <c r="E11332" s="8">
        <v>0</v>
      </c>
      <c r="F11332" s="8">
        <v>0</v>
      </c>
      <c r="G11332" s="8">
        <v>4</v>
      </c>
      <c r="H11332" s="8" t="s">
        <v>22980</v>
      </c>
      <c r="I11332" s="8">
        <v>527.4375</v>
      </c>
      <c r="J11332" s="3">
        <f t="shared" si="177"/>
        <v>43748.311118715275</v>
      </c>
    </row>
    <row r="11333" spans="1:10" x14ac:dyDescent="0.25">
      <c r="A11333" s="5" t="s">
        <v>22981</v>
      </c>
      <c r="B11333" s="6">
        <v>396.875</v>
      </c>
      <c r="C11333" s="6">
        <v>20.478950000000001</v>
      </c>
      <c r="D11333" s="6">
        <v>104</v>
      </c>
      <c r="E11333" s="6">
        <v>0</v>
      </c>
      <c r="F11333" s="6">
        <v>0</v>
      </c>
      <c r="G11333" s="6">
        <v>3</v>
      </c>
      <c r="H11333" s="6" t="s">
        <v>22982</v>
      </c>
      <c r="I11333" s="6">
        <v>527.4375</v>
      </c>
      <c r="J11333" s="2">
        <f t="shared" si="177"/>
        <v>43748.311192303234</v>
      </c>
    </row>
    <row r="11334" spans="1:10" x14ac:dyDescent="0.25">
      <c r="A11334" s="7" t="s">
        <v>22983</v>
      </c>
      <c r="B11334" s="8">
        <v>396.875</v>
      </c>
      <c r="C11334" s="8">
        <v>20.478950000000001</v>
      </c>
      <c r="D11334" s="8">
        <v>104</v>
      </c>
      <c r="E11334" s="8">
        <v>0</v>
      </c>
      <c r="F11334" s="8">
        <v>0</v>
      </c>
      <c r="G11334" s="8">
        <v>10</v>
      </c>
      <c r="H11334" s="8" t="s">
        <v>22984</v>
      </c>
      <c r="I11334" s="8">
        <v>527.4375</v>
      </c>
      <c r="J11334" s="3">
        <f t="shared" si="177"/>
        <v>43748.311263599535</v>
      </c>
    </row>
    <row r="11335" spans="1:10" x14ac:dyDescent="0.25">
      <c r="A11335" s="5" t="s">
        <v>22985</v>
      </c>
      <c r="B11335" s="6">
        <v>396.875</v>
      </c>
      <c r="C11335" s="6">
        <v>20.478950000000001</v>
      </c>
      <c r="D11335" s="6">
        <v>104</v>
      </c>
      <c r="E11335" s="6">
        <v>0</v>
      </c>
      <c r="F11335" s="6">
        <v>0</v>
      </c>
      <c r="G11335" s="6">
        <v>15</v>
      </c>
      <c r="H11335" s="6" t="s">
        <v>22986</v>
      </c>
      <c r="I11335" s="6">
        <v>527.4375</v>
      </c>
      <c r="J11335" s="2">
        <f t="shared" si="177"/>
        <v>43748.311335219907</v>
      </c>
    </row>
    <row r="11336" spans="1:10" x14ac:dyDescent="0.25">
      <c r="A11336" s="7" t="s">
        <v>22987</v>
      </c>
      <c r="B11336" s="8">
        <v>396.875</v>
      </c>
      <c r="C11336" s="8">
        <v>20.478950000000001</v>
      </c>
      <c r="D11336" s="8">
        <v>105</v>
      </c>
      <c r="E11336" s="8">
        <v>0</v>
      </c>
      <c r="F11336" s="8">
        <v>0</v>
      </c>
      <c r="G11336" s="8">
        <v>10</v>
      </c>
      <c r="H11336" s="8" t="s">
        <v>22988</v>
      </c>
      <c r="I11336" s="8">
        <v>527.4375</v>
      </c>
      <c r="J11336" s="3">
        <f t="shared" si="177"/>
        <v>43748.311418796293</v>
      </c>
    </row>
    <row r="11337" spans="1:10" x14ac:dyDescent="0.25">
      <c r="A11337" s="5" t="s">
        <v>22989</v>
      </c>
      <c r="B11337" s="6">
        <v>393.75</v>
      </c>
      <c r="C11337" s="6">
        <v>20.426300000000001</v>
      </c>
      <c r="D11337" s="6">
        <v>104</v>
      </c>
      <c r="E11337" s="6">
        <v>0</v>
      </c>
      <c r="F11337" s="6">
        <v>0</v>
      </c>
      <c r="G11337" s="6">
        <v>8</v>
      </c>
      <c r="H11337" s="6" t="s">
        <v>22990</v>
      </c>
      <c r="I11337" s="6">
        <v>526.6875</v>
      </c>
      <c r="J11337" s="2">
        <f t="shared" si="177"/>
        <v>43748.311502256947</v>
      </c>
    </row>
    <row r="11338" spans="1:10" x14ac:dyDescent="0.25">
      <c r="A11338" s="7" t="s">
        <v>22991</v>
      </c>
      <c r="B11338" s="8">
        <v>393.75</v>
      </c>
      <c r="C11338" s="8">
        <v>20.478950000000001</v>
      </c>
      <c r="D11338" s="8">
        <v>104</v>
      </c>
      <c r="E11338" s="8">
        <v>0</v>
      </c>
      <c r="F11338" s="8">
        <v>0</v>
      </c>
      <c r="G11338" s="8">
        <v>11</v>
      </c>
      <c r="H11338" s="8" t="s">
        <v>22992</v>
      </c>
      <c r="I11338" s="8">
        <v>526.6875</v>
      </c>
      <c r="J11338" s="3">
        <f t="shared" si="177"/>
        <v>43748.311585914351</v>
      </c>
    </row>
    <row r="11339" spans="1:10" x14ac:dyDescent="0.25">
      <c r="A11339" s="5" t="s">
        <v>22993</v>
      </c>
      <c r="B11339" s="6">
        <v>393.75</v>
      </c>
      <c r="C11339" s="6">
        <v>20.478950000000001</v>
      </c>
      <c r="D11339" s="6">
        <v>105</v>
      </c>
      <c r="E11339" s="6">
        <v>0</v>
      </c>
      <c r="F11339" s="6">
        <v>0</v>
      </c>
      <c r="G11339" s="6">
        <v>12</v>
      </c>
      <c r="H11339" s="6" t="s">
        <v>22994</v>
      </c>
      <c r="I11339" s="6">
        <v>526.5</v>
      </c>
      <c r="J11339" s="2">
        <f t="shared" si="177"/>
        <v>43748.311657349535</v>
      </c>
    </row>
    <row r="11340" spans="1:10" x14ac:dyDescent="0.25">
      <c r="A11340" s="7" t="s">
        <v>22995</v>
      </c>
      <c r="B11340" s="8">
        <v>418.75</v>
      </c>
      <c r="C11340" s="8">
        <v>20.478950000000001</v>
      </c>
      <c r="D11340" s="8">
        <v>106</v>
      </c>
      <c r="E11340" s="8">
        <v>0</v>
      </c>
      <c r="F11340" s="8">
        <v>0</v>
      </c>
      <c r="G11340" s="8">
        <v>6</v>
      </c>
      <c r="H11340" s="8" t="s">
        <v>22996</v>
      </c>
      <c r="I11340" s="8">
        <v>534.375</v>
      </c>
      <c r="J11340" s="3">
        <f t="shared" si="177"/>
        <v>43748.311740787038</v>
      </c>
    </row>
    <row r="11341" spans="1:10" x14ac:dyDescent="0.25">
      <c r="A11341" s="5" t="s">
        <v>22997</v>
      </c>
      <c r="B11341" s="6">
        <v>393.75</v>
      </c>
      <c r="C11341" s="6">
        <v>20.478950000000001</v>
      </c>
      <c r="D11341" s="6">
        <v>106</v>
      </c>
      <c r="E11341" s="6">
        <v>0</v>
      </c>
      <c r="F11341" s="6">
        <v>0</v>
      </c>
      <c r="G11341" s="6">
        <v>7</v>
      </c>
      <c r="H11341" s="6" t="s">
        <v>22998</v>
      </c>
      <c r="I11341" s="6">
        <v>526.5</v>
      </c>
      <c r="J11341" s="2">
        <f t="shared" si="177"/>
        <v>43748.311812534717</v>
      </c>
    </row>
    <row r="11342" spans="1:10" x14ac:dyDescent="0.25">
      <c r="A11342" s="7" t="s">
        <v>22999</v>
      </c>
      <c r="B11342" s="8">
        <v>393.75</v>
      </c>
      <c r="C11342" s="8">
        <v>20.478950000000001</v>
      </c>
      <c r="D11342" s="8">
        <v>106</v>
      </c>
      <c r="E11342" s="8">
        <v>0</v>
      </c>
      <c r="F11342" s="8">
        <v>0</v>
      </c>
      <c r="G11342" s="8">
        <v>5</v>
      </c>
      <c r="H11342" s="8" t="s">
        <v>23000</v>
      </c>
      <c r="I11342" s="8">
        <v>526.6875</v>
      </c>
      <c r="J11342" s="3">
        <f t="shared" si="177"/>
        <v>43748.311883969909</v>
      </c>
    </row>
    <row r="11343" spans="1:10" x14ac:dyDescent="0.25">
      <c r="A11343" s="5" t="s">
        <v>23001</v>
      </c>
      <c r="B11343" s="6">
        <v>393.75</v>
      </c>
      <c r="C11343" s="6">
        <v>20.478950000000001</v>
      </c>
      <c r="D11343" s="6">
        <v>106</v>
      </c>
      <c r="E11343" s="6">
        <v>0</v>
      </c>
      <c r="F11343" s="6">
        <v>0</v>
      </c>
      <c r="G11343" s="6">
        <v>15</v>
      </c>
      <c r="H11343" s="6" t="s">
        <v>23002</v>
      </c>
      <c r="I11343" s="6">
        <v>526.5</v>
      </c>
      <c r="J11343" s="2">
        <f t="shared" si="177"/>
        <v>43748.311955578705</v>
      </c>
    </row>
    <row r="11344" spans="1:10" x14ac:dyDescent="0.25">
      <c r="A11344" s="7" t="s">
        <v>23003</v>
      </c>
      <c r="B11344" s="8">
        <v>393.75</v>
      </c>
      <c r="C11344" s="8">
        <v>20.478950000000001</v>
      </c>
      <c r="D11344" s="8">
        <v>104</v>
      </c>
      <c r="E11344" s="8">
        <v>0</v>
      </c>
      <c r="F11344" s="8">
        <v>0</v>
      </c>
      <c r="G11344" s="8">
        <v>8</v>
      </c>
      <c r="H11344" s="8" t="s">
        <v>23004</v>
      </c>
      <c r="I11344" s="8">
        <v>526.6875</v>
      </c>
      <c r="J11344" s="3">
        <f t="shared" si="177"/>
        <v>43748.312026666659</v>
      </c>
    </row>
    <row r="11345" spans="1:10" x14ac:dyDescent="0.25">
      <c r="A11345" s="5" t="s">
        <v>23005</v>
      </c>
      <c r="B11345" s="6">
        <v>393.75</v>
      </c>
      <c r="C11345" s="6">
        <v>20.478950000000001</v>
      </c>
      <c r="D11345" s="6">
        <v>103</v>
      </c>
      <c r="E11345" s="6">
        <v>0</v>
      </c>
      <c r="F11345" s="6">
        <v>0</v>
      </c>
      <c r="G11345" s="6">
        <v>11</v>
      </c>
      <c r="H11345" s="6" t="s">
        <v>23006</v>
      </c>
      <c r="I11345" s="6">
        <v>526.5</v>
      </c>
      <c r="J11345" s="2">
        <f t="shared" si="177"/>
        <v>43748.312098645831</v>
      </c>
    </row>
    <row r="11346" spans="1:10" x14ac:dyDescent="0.25">
      <c r="A11346" s="7" t="s">
        <v>23007</v>
      </c>
      <c r="B11346" s="8">
        <v>393.75</v>
      </c>
      <c r="C11346" s="8">
        <v>20.426300000000001</v>
      </c>
      <c r="D11346" s="8">
        <v>102</v>
      </c>
      <c r="E11346" s="8">
        <v>0</v>
      </c>
      <c r="F11346" s="8">
        <v>0</v>
      </c>
      <c r="G11346" s="8">
        <v>11</v>
      </c>
      <c r="H11346" s="8" t="s">
        <v>23008</v>
      </c>
      <c r="I11346" s="8">
        <v>526.6875</v>
      </c>
      <c r="J11346" s="3">
        <f t="shared" si="177"/>
        <v>43748.312170081015</v>
      </c>
    </row>
    <row r="11347" spans="1:10" x14ac:dyDescent="0.25">
      <c r="A11347" s="5" t="s">
        <v>23009</v>
      </c>
      <c r="B11347" s="6">
        <v>393.75</v>
      </c>
      <c r="C11347" s="6">
        <v>20.478950000000001</v>
      </c>
      <c r="D11347" s="6">
        <v>102</v>
      </c>
      <c r="E11347" s="6">
        <v>0</v>
      </c>
      <c r="F11347" s="6">
        <v>0</v>
      </c>
      <c r="G11347" s="6">
        <v>11</v>
      </c>
      <c r="H11347" s="6" t="s">
        <v>23010</v>
      </c>
      <c r="I11347" s="6">
        <v>526.6875</v>
      </c>
      <c r="J11347" s="2">
        <f t="shared" si="177"/>
        <v>43748.312253761571</v>
      </c>
    </row>
    <row r="11348" spans="1:10" x14ac:dyDescent="0.25">
      <c r="A11348" s="7" t="s">
        <v>23011</v>
      </c>
      <c r="B11348" s="8">
        <v>393.75</v>
      </c>
      <c r="C11348" s="8">
        <v>20.478950000000001</v>
      </c>
      <c r="D11348" s="8">
        <v>102</v>
      </c>
      <c r="E11348" s="8">
        <v>0</v>
      </c>
      <c r="F11348" s="8">
        <v>0</v>
      </c>
      <c r="G11348" s="8">
        <v>5</v>
      </c>
      <c r="H11348" s="8" t="s">
        <v>23012</v>
      </c>
      <c r="I11348" s="8">
        <v>526.5</v>
      </c>
      <c r="J11348" s="3">
        <f t="shared" si="177"/>
        <v>43748.312337210642</v>
      </c>
    </row>
    <row r="11349" spans="1:10" x14ac:dyDescent="0.25">
      <c r="A11349" s="5" t="s">
        <v>23013</v>
      </c>
      <c r="B11349" s="6">
        <v>393.75</v>
      </c>
      <c r="C11349" s="6">
        <v>20.426300000000001</v>
      </c>
      <c r="D11349" s="6">
        <v>102</v>
      </c>
      <c r="E11349" s="6">
        <v>0</v>
      </c>
      <c r="F11349" s="6">
        <v>0</v>
      </c>
      <c r="G11349" s="6">
        <v>4</v>
      </c>
      <c r="H11349" s="6" t="s">
        <v>23014</v>
      </c>
      <c r="I11349" s="6">
        <v>526.6875</v>
      </c>
      <c r="J11349" s="2">
        <f t="shared" si="177"/>
        <v>43748.312408946753</v>
      </c>
    </row>
    <row r="11350" spans="1:10" x14ac:dyDescent="0.25">
      <c r="A11350" s="7" t="s">
        <v>23015</v>
      </c>
      <c r="B11350" s="8">
        <v>412.5</v>
      </c>
      <c r="C11350" s="8">
        <v>20.478950000000001</v>
      </c>
      <c r="D11350" s="8">
        <v>101</v>
      </c>
      <c r="E11350" s="8">
        <v>0</v>
      </c>
      <c r="F11350" s="8">
        <v>0</v>
      </c>
      <c r="G11350" s="8">
        <v>15</v>
      </c>
      <c r="H11350" s="8" t="s">
        <v>23016</v>
      </c>
      <c r="I11350" s="8">
        <v>532.125</v>
      </c>
      <c r="J11350" s="3">
        <f t="shared" si="177"/>
        <v>43748.312492141202</v>
      </c>
    </row>
    <row r="11351" spans="1:10" x14ac:dyDescent="0.25">
      <c r="A11351" s="5" t="s">
        <v>23017</v>
      </c>
      <c r="B11351" s="6">
        <v>393.75</v>
      </c>
      <c r="C11351" s="6">
        <v>20.426300000000001</v>
      </c>
      <c r="D11351" s="6">
        <v>102</v>
      </c>
      <c r="E11351" s="6">
        <v>0</v>
      </c>
      <c r="F11351" s="6">
        <v>0</v>
      </c>
      <c r="G11351" s="6">
        <v>11</v>
      </c>
      <c r="H11351" s="6" t="s">
        <v>23018</v>
      </c>
      <c r="I11351" s="6">
        <v>526.6875</v>
      </c>
      <c r="J11351" s="2">
        <f t="shared" si="177"/>
        <v>43748.312575497686</v>
      </c>
    </row>
    <row r="11352" spans="1:10" x14ac:dyDescent="0.25">
      <c r="A11352" s="7" t="s">
        <v>23019</v>
      </c>
      <c r="B11352" s="8">
        <v>393.75</v>
      </c>
      <c r="C11352" s="8">
        <v>20.478950000000001</v>
      </c>
      <c r="D11352" s="8">
        <v>101</v>
      </c>
      <c r="E11352" s="8">
        <v>0</v>
      </c>
      <c r="F11352" s="8">
        <v>0</v>
      </c>
      <c r="G11352" s="8">
        <v>3</v>
      </c>
      <c r="H11352" s="8" t="s">
        <v>23020</v>
      </c>
      <c r="I11352" s="8">
        <v>526.6875</v>
      </c>
      <c r="J11352" s="3">
        <f t="shared" si="177"/>
        <v>43748.312659166666</v>
      </c>
    </row>
    <row r="11353" spans="1:10" x14ac:dyDescent="0.25">
      <c r="A11353" s="5" t="s">
        <v>23021</v>
      </c>
      <c r="B11353" s="6">
        <v>393.75</v>
      </c>
      <c r="C11353" s="6">
        <v>20.478950000000001</v>
      </c>
      <c r="D11353" s="6">
        <v>101</v>
      </c>
      <c r="E11353" s="6">
        <v>0</v>
      </c>
      <c r="F11353" s="6">
        <v>0</v>
      </c>
      <c r="G11353" s="6">
        <v>19</v>
      </c>
      <c r="H11353" s="6" t="s">
        <v>23022</v>
      </c>
      <c r="I11353" s="6">
        <v>526.6875</v>
      </c>
      <c r="J11353" s="2">
        <f t="shared" si="177"/>
        <v>43748.312730231475</v>
      </c>
    </row>
    <row r="11354" spans="1:10" x14ac:dyDescent="0.25">
      <c r="A11354" s="7" t="s">
        <v>23023</v>
      </c>
      <c r="B11354" s="8">
        <v>393.75</v>
      </c>
      <c r="C11354" s="8">
        <v>20.478950000000001</v>
      </c>
      <c r="D11354" s="8">
        <v>102</v>
      </c>
      <c r="E11354" s="8">
        <v>0</v>
      </c>
      <c r="F11354" s="8">
        <v>0</v>
      </c>
      <c r="G11354" s="8">
        <v>13</v>
      </c>
      <c r="H11354" s="8" t="s">
        <v>23024</v>
      </c>
      <c r="I11354" s="8">
        <v>526.6875</v>
      </c>
      <c r="J11354" s="3">
        <f t="shared" si="177"/>
        <v>43748.312802118053</v>
      </c>
    </row>
    <row r="11355" spans="1:10" x14ac:dyDescent="0.25">
      <c r="A11355" s="5" t="s">
        <v>23025</v>
      </c>
      <c r="B11355" s="6">
        <v>393.75</v>
      </c>
      <c r="C11355" s="6">
        <v>20.478950000000001</v>
      </c>
      <c r="D11355" s="6">
        <v>101</v>
      </c>
      <c r="E11355" s="6">
        <v>0</v>
      </c>
      <c r="F11355" s="6">
        <v>0</v>
      </c>
      <c r="G11355" s="6">
        <v>11</v>
      </c>
      <c r="H11355" s="6" t="s">
        <v>23026</v>
      </c>
      <c r="I11355" s="6">
        <v>526.5</v>
      </c>
      <c r="J11355" s="2">
        <f t="shared" si="177"/>
        <v>43748.31288578704</v>
      </c>
    </row>
    <row r="11356" spans="1:10" x14ac:dyDescent="0.25">
      <c r="A11356" s="7" t="s">
        <v>23027</v>
      </c>
      <c r="B11356" s="8">
        <v>412.5</v>
      </c>
      <c r="C11356" s="8">
        <v>20.478950000000001</v>
      </c>
      <c r="D11356" s="8">
        <v>101</v>
      </c>
      <c r="E11356" s="8">
        <v>0</v>
      </c>
      <c r="F11356" s="8">
        <v>0</v>
      </c>
      <c r="G11356" s="8">
        <v>14</v>
      </c>
      <c r="H11356" s="8" t="s">
        <v>23028</v>
      </c>
      <c r="I11356" s="8">
        <v>532.125</v>
      </c>
      <c r="J11356" s="3">
        <f t="shared" si="177"/>
        <v>43748.312957106478</v>
      </c>
    </row>
    <row r="11357" spans="1:10" x14ac:dyDescent="0.25">
      <c r="A11357" s="5" t="s">
        <v>23029</v>
      </c>
      <c r="B11357" s="6">
        <v>393.75</v>
      </c>
      <c r="C11357" s="6">
        <v>20.478950000000001</v>
      </c>
      <c r="D11357" s="6">
        <v>99</v>
      </c>
      <c r="E11357" s="6">
        <v>0</v>
      </c>
      <c r="F11357" s="6">
        <v>0</v>
      </c>
      <c r="G11357" s="6">
        <v>8</v>
      </c>
      <c r="H11357" s="6" t="s">
        <v>23030</v>
      </c>
      <c r="I11357" s="6">
        <v>526.6875</v>
      </c>
      <c r="J11357" s="2">
        <f t="shared" si="177"/>
        <v>43748.31302872685</v>
      </c>
    </row>
    <row r="11358" spans="1:10" x14ac:dyDescent="0.25">
      <c r="A11358" s="7" t="s">
        <v>23031</v>
      </c>
      <c r="B11358" s="8">
        <v>393.75</v>
      </c>
      <c r="C11358" s="8">
        <v>20.478950000000001</v>
      </c>
      <c r="D11358" s="8">
        <v>96</v>
      </c>
      <c r="E11358" s="8">
        <v>0</v>
      </c>
      <c r="F11358" s="8">
        <v>0</v>
      </c>
      <c r="G11358" s="8">
        <v>6</v>
      </c>
      <c r="H11358" s="8" t="s">
        <v>23032</v>
      </c>
      <c r="I11358" s="8">
        <v>526.6875</v>
      </c>
      <c r="J11358" s="3">
        <f t="shared" si="177"/>
        <v>43748.313111840274</v>
      </c>
    </row>
    <row r="11359" spans="1:10" x14ac:dyDescent="0.25">
      <c r="A11359" s="5" t="s">
        <v>23033</v>
      </c>
      <c r="B11359" s="6">
        <v>393.75</v>
      </c>
      <c r="C11359" s="6">
        <v>20.426300000000001</v>
      </c>
      <c r="D11359" s="6">
        <v>95</v>
      </c>
      <c r="E11359" s="6">
        <v>0</v>
      </c>
      <c r="F11359" s="6">
        <v>0</v>
      </c>
      <c r="G11359" s="6">
        <v>15</v>
      </c>
      <c r="H11359" s="6" t="s">
        <v>23034</v>
      </c>
      <c r="I11359" s="6">
        <v>526.6875</v>
      </c>
      <c r="J11359" s="2">
        <f t="shared" si="177"/>
        <v>43748.313183807863</v>
      </c>
    </row>
    <row r="11360" spans="1:10" x14ac:dyDescent="0.25">
      <c r="A11360" s="7" t="s">
        <v>23035</v>
      </c>
      <c r="B11360" s="8">
        <v>393.75</v>
      </c>
      <c r="C11360" s="8">
        <v>20.478950000000001</v>
      </c>
      <c r="D11360" s="8">
        <v>95</v>
      </c>
      <c r="E11360" s="8">
        <v>0</v>
      </c>
      <c r="F11360" s="8">
        <v>0</v>
      </c>
      <c r="G11360" s="8">
        <v>8</v>
      </c>
      <c r="H11360" s="8" t="s">
        <v>23036</v>
      </c>
      <c r="I11360" s="8">
        <v>526.6875</v>
      </c>
      <c r="J11360" s="3">
        <f t="shared" si="177"/>
        <v>43748.313267372687</v>
      </c>
    </row>
    <row r="11361" spans="1:10" x14ac:dyDescent="0.25">
      <c r="A11361" s="5" t="s">
        <v>23037</v>
      </c>
      <c r="B11361" s="6">
        <v>393.75</v>
      </c>
      <c r="C11361" s="6">
        <v>20.426300000000001</v>
      </c>
      <c r="D11361" s="6">
        <v>96</v>
      </c>
      <c r="E11361" s="6">
        <v>0</v>
      </c>
      <c r="F11361" s="6">
        <v>0</v>
      </c>
      <c r="G11361" s="6">
        <v>9</v>
      </c>
      <c r="H11361" s="6" t="s">
        <v>23038</v>
      </c>
      <c r="I11361" s="6">
        <v>526.6875</v>
      </c>
      <c r="J11361" s="2">
        <f t="shared" si="177"/>
        <v>43748.313338888889</v>
      </c>
    </row>
    <row r="11362" spans="1:10" x14ac:dyDescent="0.25">
      <c r="A11362" s="7" t="s">
        <v>23039</v>
      </c>
      <c r="B11362" s="8">
        <v>393.75</v>
      </c>
      <c r="C11362" s="8">
        <v>20.478950000000001</v>
      </c>
      <c r="D11362" s="8">
        <v>97</v>
      </c>
      <c r="E11362" s="8">
        <v>0</v>
      </c>
      <c r="F11362" s="8">
        <v>0</v>
      </c>
      <c r="G11362" s="8">
        <v>8</v>
      </c>
      <c r="H11362" s="8" t="s">
        <v>23040</v>
      </c>
      <c r="I11362" s="8">
        <v>526.6875</v>
      </c>
      <c r="J11362" s="3">
        <f t="shared" si="177"/>
        <v>43748.313422256942</v>
      </c>
    </row>
    <row r="11363" spans="1:10" x14ac:dyDescent="0.25">
      <c r="A11363" s="5" t="s">
        <v>23041</v>
      </c>
      <c r="B11363" s="6">
        <v>393.75</v>
      </c>
      <c r="C11363" s="6">
        <v>20.478950000000001</v>
      </c>
      <c r="D11363" s="6">
        <v>98</v>
      </c>
      <c r="E11363" s="6">
        <v>0</v>
      </c>
      <c r="F11363" s="6">
        <v>0</v>
      </c>
      <c r="G11363" s="6">
        <v>6</v>
      </c>
      <c r="H11363" s="6" t="s">
        <v>23042</v>
      </c>
      <c r="I11363" s="6">
        <v>526.6875</v>
      </c>
      <c r="J11363" s="2">
        <f t="shared" si="177"/>
        <v>43748.313493900459</v>
      </c>
    </row>
    <row r="11364" spans="1:10" x14ac:dyDescent="0.25">
      <c r="A11364" s="7" t="s">
        <v>23043</v>
      </c>
      <c r="B11364" s="8">
        <v>393.75</v>
      </c>
      <c r="C11364" s="8">
        <v>20.478950000000001</v>
      </c>
      <c r="D11364" s="8">
        <v>99</v>
      </c>
      <c r="E11364" s="8">
        <v>0</v>
      </c>
      <c r="F11364" s="8">
        <v>0</v>
      </c>
      <c r="G11364" s="8">
        <v>4</v>
      </c>
      <c r="H11364" s="8" t="s">
        <v>23044</v>
      </c>
      <c r="I11364" s="8">
        <v>526.6875</v>
      </c>
      <c r="J11364" s="3">
        <f t="shared" si="177"/>
        <v>43748.31358282407</v>
      </c>
    </row>
    <row r="11365" spans="1:10" x14ac:dyDescent="0.25">
      <c r="A11365" s="5" t="s">
        <v>23045</v>
      </c>
      <c r="B11365" s="6">
        <v>412.5</v>
      </c>
      <c r="C11365" s="6">
        <v>20.478950000000001</v>
      </c>
      <c r="D11365" s="6">
        <v>99</v>
      </c>
      <c r="E11365" s="6">
        <v>0</v>
      </c>
      <c r="F11365" s="6">
        <v>0</v>
      </c>
      <c r="G11365" s="6">
        <v>11</v>
      </c>
      <c r="H11365" s="6" t="s">
        <v>23046</v>
      </c>
      <c r="I11365" s="6">
        <v>532.125</v>
      </c>
      <c r="J11365" s="2">
        <f t="shared" si="177"/>
        <v>43748.313666388887</v>
      </c>
    </row>
    <row r="11366" spans="1:10" x14ac:dyDescent="0.25">
      <c r="A11366" s="7" t="s">
        <v>23047</v>
      </c>
      <c r="B11366" s="8">
        <v>393.75</v>
      </c>
      <c r="C11366" s="8">
        <v>20.478950000000001</v>
      </c>
      <c r="D11366" s="8">
        <v>99</v>
      </c>
      <c r="E11366" s="8">
        <v>0</v>
      </c>
      <c r="F11366" s="8">
        <v>0</v>
      </c>
      <c r="G11366" s="8">
        <v>14</v>
      </c>
      <c r="H11366" s="8" t="s">
        <v>23048</v>
      </c>
      <c r="I11366" s="8">
        <v>526.6875</v>
      </c>
      <c r="J11366" s="3">
        <f t="shared" si="177"/>
        <v>43748.31374424768</v>
      </c>
    </row>
    <row r="11367" spans="1:10" x14ac:dyDescent="0.25">
      <c r="A11367" s="5" t="s">
        <v>23049</v>
      </c>
      <c r="B11367" s="6">
        <v>393.75</v>
      </c>
      <c r="C11367" s="6">
        <v>20.478950000000001</v>
      </c>
      <c r="D11367" s="6">
        <v>99</v>
      </c>
      <c r="E11367" s="6">
        <v>0</v>
      </c>
      <c r="F11367" s="6">
        <v>0</v>
      </c>
      <c r="G11367" s="6">
        <v>7</v>
      </c>
      <c r="H11367" s="6" t="s">
        <v>23050</v>
      </c>
      <c r="I11367" s="6">
        <v>526.6875</v>
      </c>
      <c r="J11367" s="2">
        <f t="shared" si="177"/>
        <v>43748.313815428242</v>
      </c>
    </row>
    <row r="11368" spans="1:10" x14ac:dyDescent="0.25">
      <c r="A11368" s="7" t="s">
        <v>23051</v>
      </c>
      <c r="B11368" s="8">
        <v>412.5</v>
      </c>
      <c r="C11368" s="8">
        <v>20.478950000000001</v>
      </c>
      <c r="D11368" s="8">
        <v>99</v>
      </c>
      <c r="E11368" s="8">
        <v>0</v>
      </c>
      <c r="F11368" s="8">
        <v>0</v>
      </c>
      <c r="G11368" s="8">
        <v>18</v>
      </c>
      <c r="H11368" s="8" t="s">
        <v>23052</v>
      </c>
      <c r="I11368" s="8">
        <v>532.3125</v>
      </c>
      <c r="J11368" s="3">
        <f t="shared" si="177"/>
        <v>43748.313887303237</v>
      </c>
    </row>
    <row r="11369" spans="1:10" x14ac:dyDescent="0.25">
      <c r="A11369" s="5" t="s">
        <v>23053</v>
      </c>
      <c r="B11369" s="6">
        <v>393.75</v>
      </c>
      <c r="C11369" s="6">
        <v>20.478950000000001</v>
      </c>
      <c r="D11369" s="6">
        <v>101</v>
      </c>
      <c r="E11369" s="6">
        <v>0</v>
      </c>
      <c r="F11369" s="6">
        <v>0</v>
      </c>
      <c r="G11369" s="6">
        <v>10</v>
      </c>
      <c r="H11369" s="6" t="s">
        <v>23054</v>
      </c>
      <c r="I11369" s="6">
        <v>526.6875</v>
      </c>
      <c r="J11369" s="2">
        <f t="shared" si="177"/>
        <v>43748.313970972224</v>
      </c>
    </row>
    <row r="11370" spans="1:10" x14ac:dyDescent="0.25">
      <c r="A11370" s="7" t="s">
        <v>23055</v>
      </c>
      <c r="B11370" s="8">
        <v>393.75</v>
      </c>
      <c r="C11370" s="8">
        <v>20.478950000000001</v>
      </c>
      <c r="D11370" s="8">
        <v>101</v>
      </c>
      <c r="E11370" s="8">
        <v>0</v>
      </c>
      <c r="F11370" s="8">
        <v>0</v>
      </c>
      <c r="G11370" s="8">
        <v>13</v>
      </c>
      <c r="H11370" s="8" t="s">
        <v>23056</v>
      </c>
      <c r="I11370" s="8">
        <v>526.6875</v>
      </c>
      <c r="J11370" s="3">
        <f t="shared" si="177"/>
        <v>43748.314042303238</v>
      </c>
    </row>
    <row r="11371" spans="1:10" x14ac:dyDescent="0.25">
      <c r="A11371" s="5" t="s">
        <v>23057</v>
      </c>
      <c r="B11371" s="6">
        <v>393.75</v>
      </c>
      <c r="C11371" s="6">
        <v>20.426300000000001</v>
      </c>
      <c r="D11371" s="6">
        <v>102</v>
      </c>
      <c r="E11371" s="6">
        <v>0</v>
      </c>
      <c r="F11371" s="6">
        <v>0</v>
      </c>
      <c r="G11371" s="6">
        <v>21</v>
      </c>
      <c r="H11371" s="6" t="s">
        <v>23058</v>
      </c>
      <c r="I11371" s="6">
        <v>526.5</v>
      </c>
      <c r="J11371" s="2">
        <f t="shared" si="177"/>
        <v>43748.314113796288</v>
      </c>
    </row>
    <row r="11372" spans="1:10" x14ac:dyDescent="0.25">
      <c r="A11372" s="7" t="s">
        <v>23059</v>
      </c>
      <c r="B11372" s="8">
        <v>393.75</v>
      </c>
      <c r="C11372" s="8">
        <v>20.478950000000001</v>
      </c>
      <c r="D11372" s="8">
        <v>102</v>
      </c>
      <c r="E11372" s="8">
        <v>0</v>
      </c>
      <c r="F11372" s="8">
        <v>0</v>
      </c>
      <c r="G11372" s="8">
        <v>14</v>
      </c>
      <c r="H11372" s="8" t="s">
        <v>23060</v>
      </c>
      <c r="I11372" s="8">
        <v>526.6875</v>
      </c>
      <c r="J11372" s="3">
        <f t="shared" si="177"/>
        <v>43748.314190358789</v>
      </c>
    </row>
    <row r="11373" spans="1:10" x14ac:dyDescent="0.25">
      <c r="A11373" s="5" t="s">
        <v>23061</v>
      </c>
      <c r="B11373" s="6">
        <v>393.75</v>
      </c>
      <c r="C11373" s="6">
        <v>20.478950000000001</v>
      </c>
      <c r="D11373" s="6">
        <v>101</v>
      </c>
      <c r="E11373" s="6">
        <v>0</v>
      </c>
      <c r="F11373" s="6">
        <v>0</v>
      </c>
      <c r="G11373" s="6">
        <v>4</v>
      </c>
      <c r="H11373" s="6" t="s">
        <v>23062</v>
      </c>
      <c r="I11373" s="6">
        <v>526.5</v>
      </c>
      <c r="J11373" s="2">
        <f t="shared" si="177"/>
        <v>43748.31426890046</v>
      </c>
    </row>
    <row r="11374" spans="1:10" x14ac:dyDescent="0.25">
      <c r="A11374" s="7" t="s">
        <v>23063</v>
      </c>
      <c r="B11374" s="8">
        <v>393.75</v>
      </c>
      <c r="C11374" s="8">
        <v>20.478950000000001</v>
      </c>
      <c r="D11374" s="8">
        <v>102</v>
      </c>
      <c r="E11374" s="8">
        <v>0</v>
      </c>
      <c r="F11374" s="8">
        <v>0</v>
      </c>
      <c r="G11374" s="8">
        <v>11</v>
      </c>
      <c r="H11374" s="8" t="s">
        <v>23064</v>
      </c>
      <c r="I11374" s="8">
        <v>526.6875</v>
      </c>
      <c r="J11374" s="3">
        <f t="shared" si="177"/>
        <v>43748.314352476846</v>
      </c>
    </row>
    <row r="11375" spans="1:10" x14ac:dyDescent="0.25">
      <c r="A11375" s="5" t="s">
        <v>23065</v>
      </c>
      <c r="B11375" s="6">
        <v>393.75</v>
      </c>
      <c r="C11375" s="6">
        <v>20.478950000000001</v>
      </c>
      <c r="D11375" s="6">
        <v>101</v>
      </c>
      <c r="E11375" s="6">
        <v>0</v>
      </c>
      <c r="F11375" s="6">
        <v>0</v>
      </c>
      <c r="G11375" s="6">
        <v>13</v>
      </c>
      <c r="H11375" s="6" t="s">
        <v>23066</v>
      </c>
      <c r="I11375" s="6">
        <v>526.6875</v>
      </c>
      <c r="J11375" s="2">
        <f t="shared" si="177"/>
        <v>43748.314423888885</v>
      </c>
    </row>
    <row r="11376" spans="1:10" x14ac:dyDescent="0.25">
      <c r="A11376" s="7" t="s">
        <v>23067</v>
      </c>
      <c r="B11376" s="8">
        <v>393.75</v>
      </c>
      <c r="C11376" s="8">
        <v>20.478950000000001</v>
      </c>
      <c r="D11376" s="8">
        <v>101</v>
      </c>
      <c r="E11376" s="8">
        <v>0</v>
      </c>
      <c r="F11376" s="8">
        <v>0</v>
      </c>
      <c r="G11376" s="8">
        <v>12</v>
      </c>
      <c r="H11376" s="8" t="s">
        <v>23068</v>
      </c>
      <c r="I11376" s="8">
        <v>526.6875</v>
      </c>
      <c r="J11376" s="3">
        <f t="shared" si="177"/>
        <v>43748.314507094903</v>
      </c>
    </row>
    <row r="11377" spans="1:10" x14ac:dyDescent="0.25">
      <c r="A11377" s="5" t="s">
        <v>23069</v>
      </c>
      <c r="B11377" s="6">
        <v>393.75</v>
      </c>
      <c r="C11377" s="6">
        <v>20.478950000000001</v>
      </c>
      <c r="D11377" s="6">
        <v>101</v>
      </c>
      <c r="E11377" s="6">
        <v>0</v>
      </c>
      <c r="F11377" s="6">
        <v>0</v>
      </c>
      <c r="G11377" s="6">
        <v>8</v>
      </c>
      <c r="H11377" s="6" t="s">
        <v>23070</v>
      </c>
      <c r="I11377" s="6">
        <v>526.6875</v>
      </c>
      <c r="J11377" s="2">
        <f t="shared" si="177"/>
        <v>43748.314578749996</v>
      </c>
    </row>
    <row r="11378" spans="1:10" x14ac:dyDescent="0.25">
      <c r="A11378" s="7" t="s">
        <v>23071</v>
      </c>
      <c r="B11378" s="8">
        <v>393.75</v>
      </c>
      <c r="C11378" s="8">
        <v>20.478950000000001</v>
      </c>
      <c r="D11378" s="8">
        <v>100</v>
      </c>
      <c r="E11378" s="8">
        <v>0</v>
      </c>
      <c r="F11378" s="8">
        <v>0</v>
      </c>
      <c r="G11378" s="8">
        <v>14</v>
      </c>
      <c r="H11378" s="8" t="s">
        <v>23072</v>
      </c>
      <c r="I11378" s="8">
        <v>526.6875</v>
      </c>
      <c r="J11378" s="3">
        <f t="shared" si="177"/>
        <v>43748.314650578701</v>
      </c>
    </row>
    <row r="11379" spans="1:10" x14ac:dyDescent="0.25">
      <c r="A11379" s="5" t="s">
        <v>23073</v>
      </c>
      <c r="B11379" s="6">
        <v>393.75</v>
      </c>
      <c r="C11379" s="6">
        <v>20.478950000000001</v>
      </c>
      <c r="D11379" s="6">
        <v>99</v>
      </c>
      <c r="E11379" s="6">
        <v>0</v>
      </c>
      <c r="F11379" s="6">
        <v>0</v>
      </c>
      <c r="G11379" s="6">
        <v>4</v>
      </c>
      <c r="H11379" s="6" t="s">
        <v>23074</v>
      </c>
      <c r="I11379" s="6">
        <v>526.6875</v>
      </c>
      <c r="J11379" s="2">
        <f t="shared" si="177"/>
        <v>43748.314722025461</v>
      </c>
    </row>
    <row r="11380" spans="1:10" x14ac:dyDescent="0.25">
      <c r="A11380" s="7" t="s">
        <v>23075</v>
      </c>
      <c r="B11380" s="8">
        <v>393.75</v>
      </c>
      <c r="C11380" s="8">
        <v>20.478950000000001</v>
      </c>
      <c r="D11380" s="8">
        <v>98</v>
      </c>
      <c r="E11380" s="8">
        <v>0</v>
      </c>
      <c r="F11380" s="8">
        <v>0</v>
      </c>
      <c r="G11380" s="8">
        <v>9</v>
      </c>
      <c r="H11380" s="8" t="s">
        <v>23076</v>
      </c>
      <c r="I11380" s="8">
        <v>526.6875</v>
      </c>
      <c r="J11380" s="3">
        <f t="shared" si="177"/>
        <v>43748.31479319444</v>
      </c>
    </row>
    <row r="11381" spans="1:10" x14ac:dyDescent="0.25">
      <c r="A11381" s="5" t="s">
        <v>23077</v>
      </c>
      <c r="B11381" s="6">
        <v>393.75</v>
      </c>
      <c r="C11381" s="6">
        <v>20.426300000000001</v>
      </c>
      <c r="D11381" s="6">
        <v>99</v>
      </c>
      <c r="E11381" s="6">
        <v>0</v>
      </c>
      <c r="F11381" s="6">
        <v>0</v>
      </c>
      <c r="G11381" s="6">
        <v>2</v>
      </c>
      <c r="H11381" s="6" t="s">
        <v>23078</v>
      </c>
      <c r="I11381" s="6">
        <v>526.6875</v>
      </c>
      <c r="J11381" s="2">
        <f t="shared" si="177"/>
        <v>43748.314865081011</v>
      </c>
    </row>
    <row r="11382" spans="1:10" x14ac:dyDescent="0.25">
      <c r="A11382" s="7" t="s">
        <v>23079</v>
      </c>
      <c r="B11382" s="8">
        <v>393.75</v>
      </c>
      <c r="C11382" s="8">
        <v>20.426300000000001</v>
      </c>
      <c r="D11382" s="8">
        <v>99</v>
      </c>
      <c r="E11382" s="8">
        <v>0</v>
      </c>
      <c r="F11382" s="8">
        <v>0</v>
      </c>
      <c r="G11382" s="8">
        <v>12</v>
      </c>
      <c r="H11382" s="8" t="s">
        <v>23080</v>
      </c>
      <c r="I11382" s="8">
        <v>526.6875</v>
      </c>
      <c r="J11382" s="3">
        <f t="shared" si="177"/>
        <v>43748.314948761566</v>
      </c>
    </row>
    <row r="11383" spans="1:10" x14ac:dyDescent="0.25">
      <c r="A11383" s="5" t="s">
        <v>23081</v>
      </c>
      <c r="B11383" s="6">
        <v>393.75</v>
      </c>
      <c r="C11383" s="6">
        <v>20.478950000000001</v>
      </c>
      <c r="D11383" s="6">
        <v>99</v>
      </c>
      <c r="E11383" s="6">
        <v>0</v>
      </c>
      <c r="F11383" s="6">
        <v>0</v>
      </c>
      <c r="G11383" s="6">
        <v>5</v>
      </c>
      <c r="H11383" s="6" t="s">
        <v>23082</v>
      </c>
      <c r="I11383" s="6">
        <v>526.5</v>
      </c>
      <c r="J11383" s="2">
        <f t="shared" si="177"/>
        <v>43748.315040810186</v>
      </c>
    </row>
    <row r="11384" spans="1:10" x14ac:dyDescent="0.25">
      <c r="A11384" s="7" t="s">
        <v>23083</v>
      </c>
      <c r="B11384" s="8">
        <v>393.75</v>
      </c>
      <c r="C11384" s="8">
        <v>20.478950000000001</v>
      </c>
      <c r="D11384" s="8">
        <v>99</v>
      </c>
      <c r="E11384" s="8">
        <v>0</v>
      </c>
      <c r="F11384" s="8">
        <v>0</v>
      </c>
      <c r="G11384" s="8">
        <v>12</v>
      </c>
      <c r="H11384" s="8" t="s">
        <v>23084</v>
      </c>
      <c r="I11384" s="8">
        <v>526.6875</v>
      </c>
      <c r="J11384" s="3">
        <f t="shared" si="177"/>
        <v>43748.315139398146</v>
      </c>
    </row>
    <row r="11385" spans="1:10" x14ac:dyDescent="0.25">
      <c r="A11385" s="5" t="s">
        <v>23085</v>
      </c>
      <c r="B11385" s="6">
        <v>393.75</v>
      </c>
      <c r="C11385" s="6">
        <v>20.478950000000001</v>
      </c>
      <c r="D11385" s="6">
        <v>98</v>
      </c>
      <c r="E11385" s="6">
        <v>0</v>
      </c>
      <c r="F11385" s="6">
        <v>0</v>
      </c>
      <c r="G11385" s="6">
        <v>10</v>
      </c>
      <c r="H11385" s="6" t="s">
        <v>23086</v>
      </c>
      <c r="I11385" s="6">
        <v>526.6875</v>
      </c>
      <c r="J11385" s="2">
        <f t="shared" si="177"/>
        <v>43748.315222824072</v>
      </c>
    </row>
    <row r="11386" spans="1:10" x14ac:dyDescent="0.25">
      <c r="A11386" s="7" t="s">
        <v>23087</v>
      </c>
      <c r="B11386" s="8">
        <v>393.75</v>
      </c>
      <c r="C11386" s="8">
        <v>20.478950000000001</v>
      </c>
      <c r="D11386" s="8">
        <v>100</v>
      </c>
      <c r="E11386" s="8">
        <v>0</v>
      </c>
      <c r="F11386" s="8">
        <v>0</v>
      </c>
      <c r="G11386" s="8">
        <v>10</v>
      </c>
      <c r="H11386" s="8" t="s">
        <v>23088</v>
      </c>
      <c r="I11386" s="8">
        <v>526.6875</v>
      </c>
      <c r="J11386" s="3">
        <f t="shared" si="177"/>
        <v>43748.315318194444</v>
      </c>
    </row>
    <row r="11387" spans="1:10" x14ac:dyDescent="0.25">
      <c r="A11387" s="5" t="s">
        <v>23089</v>
      </c>
      <c r="B11387" s="6">
        <v>393.75</v>
      </c>
      <c r="C11387" s="6">
        <v>20.478950000000001</v>
      </c>
      <c r="D11387" s="6">
        <v>100</v>
      </c>
      <c r="E11387" s="6">
        <v>0</v>
      </c>
      <c r="F11387" s="6">
        <v>0</v>
      </c>
      <c r="G11387" s="6">
        <v>11</v>
      </c>
      <c r="H11387" s="6" t="s">
        <v>23090</v>
      </c>
      <c r="I11387" s="6">
        <v>526.6875</v>
      </c>
      <c r="J11387" s="2">
        <f t="shared" si="177"/>
        <v>43748.315389502313</v>
      </c>
    </row>
    <row r="11388" spans="1:10" x14ac:dyDescent="0.25">
      <c r="A11388" s="7" t="s">
        <v>23091</v>
      </c>
      <c r="B11388" s="8">
        <v>412.5</v>
      </c>
      <c r="C11388" s="8">
        <v>20.478950000000001</v>
      </c>
      <c r="D11388" s="8">
        <v>99</v>
      </c>
      <c r="E11388" s="8">
        <v>0</v>
      </c>
      <c r="F11388" s="8">
        <v>0</v>
      </c>
      <c r="G11388" s="8">
        <v>7</v>
      </c>
      <c r="H11388" s="8" t="s">
        <v>23092</v>
      </c>
      <c r="I11388" s="8">
        <v>532.125</v>
      </c>
      <c r="J11388" s="3">
        <f t="shared" si="177"/>
        <v>43748.315461377315</v>
      </c>
    </row>
    <row r="11389" spans="1:10" x14ac:dyDescent="0.25">
      <c r="A11389" s="5" t="s">
        <v>23093</v>
      </c>
      <c r="B11389" s="6">
        <v>393.75</v>
      </c>
      <c r="C11389" s="6">
        <v>20.478950000000001</v>
      </c>
      <c r="D11389" s="6">
        <v>100</v>
      </c>
      <c r="E11389" s="6">
        <v>0</v>
      </c>
      <c r="F11389" s="6">
        <v>0</v>
      </c>
      <c r="G11389" s="6">
        <v>15</v>
      </c>
      <c r="H11389" s="6" t="s">
        <v>23094</v>
      </c>
      <c r="I11389" s="6">
        <v>526.6875</v>
      </c>
      <c r="J11389" s="2">
        <f t="shared" si="177"/>
        <v>43748.315544942125</v>
      </c>
    </row>
    <row r="11390" spans="1:10" x14ac:dyDescent="0.25">
      <c r="A11390" s="7" t="s">
        <v>23095</v>
      </c>
      <c r="B11390" s="8">
        <v>393.75</v>
      </c>
      <c r="C11390" s="8">
        <v>20.478950000000001</v>
      </c>
      <c r="D11390" s="8">
        <v>100</v>
      </c>
      <c r="E11390" s="8">
        <v>0</v>
      </c>
      <c r="F11390" s="8">
        <v>0</v>
      </c>
      <c r="G11390" s="8">
        <v>7</v>
      </c>
      <c r="H11390" s="8" t="s">
        <v>23096</v>
      </c>
      <c r="I11390" s="8">
        <v>526.6875</v>
      </c>
      <c r="J11390" s="3">
        <f t="shared" si="177"/>
        <v>43748.315616006941</v>
      </c>
    </row>
    <row r="11391" spans="1:10" x14ac:dyDescent="0.25">
      <c r="A11391" s="5" t="s">
        <v>23097</v>
      </c>
      <c r="B11391" s="6">
        <v>393.75</v>
      </c>
      <c r="C11391" s="6">
        <v>20.426300000000001</v>
      </c>
      <c r="D11391" s="6">
        <v>101</v>
      </c>
      <c r="E11391" s="6">
        <v>0</v>
      </c>
      <c r="F11391" s="6">
        <v>0</v>
      </c>
      <c r="G11391" s="6">
        <v>13</v>
      </c>
      <c r="H11391" s="6" t="s">
        <v>23098</v>
      </c>
      <c r="I11391" s="6">
        <v>526.6875</v>
      </c>
      <c r="J11391" s="2">
        <f t="shared" si="177"/>
        <v>43748.315687881943</v>
      </c>
    </row>
    <row r="11392" spans="1:10" x14ac:dyDescent="0.25">
      <c r="A11392" s="7" t="s">
        <v>23099</v>
      </c>
      <c r="B11392" s="8">
        <v>393.75</v>
      </c>
      <c r="C11392" s="8">
        <v>20.478950000000001</v>
      </c>
      <c r="D11392" s="8">
        <v>101</v>
      </c>
      <c r="E11392" s="8">
        <v>0</v>
      </c>
      <c r="F11392" s="8">
        <v>0</v>
      </c>
      <c r="G11392" s="8">
        <v>17</v>
      </c>
      <c r="H11392" s="8" t="s">
        <v>23100</v>
      </c>
      <c r="I11392" s="8">
        <v>526.6875</v>
      </c>
      <c r="J11392" s="3">
        <f t="shared" si="177"/>
        <v>43748.315759502315</v>
      </c>
    </row>
    <row r="11393" spans="1:10" x14ac:dyDescent="0.25">
      <c r="A11393" s="5" t="s">
        <v>23101</v>
      </c>
      <c r="B11393" s="6">
        <v>393.75</v>
      </c>
      <c r="C11393" s="6">
        <v>20.478950000000001</v>
      </c>
      <c r="D11393" s="6">
        <v>101</v>
      </c>
      <c r="E11393" s="6">
        <v>0</v>
      </c>
      <c r="F11393" s="6">
        <v>0</v>
      </c>
      <c r="G11393" s="6">
        <v>12</v>
      </c>
      <c r="H11393" s="6" t="s">
        <v>23102</v>
      </c>
      <c r="I11393" s="6">
        <v>526.6875</v>
      </c>
      <c r="J11393" s="2">
        <f t="shared" si="177"/>
        <v>43748.315831064814</v>
      </c>
    </row>
    <row r="11394" spans="1:10" x14ac:dyDescent="0.25">
      <c r="A11394" s="7" t="s">
        <v>23103</v>
      </c>
      <c r="B11394" s="8">
        <v>393.75</v>
      </c>
      <c r="C11394" s="8">
        <v>20.426300000000001</v>
      </c>
      <c r="D11394" s="8">
        <v>101</v>
      </c>
      <c r="E11394" s="8">
        <v>0</v>
      </c>
      <c r="F11394" s="8">
        <v>0</v>
      </c>
      <c r="G11394" s="8">
        <v>11</v>
      </c>
      <c r="H11394" s="8" t="s">
        <v>23104</v>
      </c>
      <c r="I11394" s="8">
        <v>526.6875</v>
      </c>
      <c r="J11394" s="3">
        <f t="shared" ref="J11394:J11457" si="178">(H11394/86400000)+25569+(7/24)</f>
        <v>43748.315902581016</v>
      </c>
    </row>
    <row r="11395" spans="1:10" x14ac:dyDescent="0.25">
      <c r="A11395" s="5" t="s">
        <v>23105</v>
      </c>
      <c r="B11395" s="6">
        <v>393.75</v>
      </c>
      <c r="C11395" s="6">
        <v>20.478950000000001</v>
      </c>
      <c r="D11395" s="6">
        <v>101</v>
      </c>
      <c r="E11395" s="6">
        <v>0</v>
      </c>
      <c r="F11395" s="6">
        <v>0</v>
      </c>
      <c r="G11395" s="6">
        <v>13</v>
      </c>
      <c r="H11395" s="6" t="s">
        <v>23106</v>
      </c>
      <c r="I11395" s="6">
        <v>526.6875</v>
      </c>
      <c r="J11395" s="2">
        <f t="shared" si="178"/>
        <v>43748.315985879628</v>
      </c>
    </row>
    <row r="11396" spans="1:10" x14ac:dyDescent="0.25">
      <c r="A11396" s="7" t="s">
        <v>23107</v>
      </c>
      <c r="B11396" s="8">
        <v>396.875</v>
      </c>
      <c r="C11396" s="8">
        <v>20.478950000000001</v>
      </c>
      <c r="D11396" s="8">
        <v>98</v>
      </c>
      <c r="E11396" s="8">
        <v>0</v>
      </c>
      <c r="F11396" s="8">
        <v>0</v>
      </c>
      <c r="G11396" s="8">
        <v>8</v>
      </c>
      <c r="H11396" s="8" t="s">
        <v>23106</v>
      </c>
      <c r="I11396" s="8">
        <v>527.4375</v>
      </c>
      <c r="J11396" s="3">
        <f t="shared" si="178"/>
        <v>43748.315985879628</v>
      </c>
    </row>
    <row r="11397" spans="1:10" x14ac:dyDescent="0.25">
      <c r="A11397" s="5" t="s">
        <v>23108</v>
      </c>
      <c r="B11397" s="6">
        <v>396.875</v>
      </c>
      <c r="C11397" s="6">
        <v>20.426300000000001</v>
      </c>
      <c r="D11397" s="6">
        <v>99</v>
      </c>
      <c r="E11397" s="6">
        <v>0</v>
      </c>
      <c r="F11397" s="6">
        <v>0</v>
      </c>
      <c r="G11397" s="6">
        <v>10</v>
      </c>
      <c r="H11397" s="6" t="s">
        <v>23109</v>
      </c>
      <c r="I11397" s="6">
        <v>527.4375</v>
      </c>
      <c r="J11397" s="2">
        <f t="shared" si="178"/>
        <v>43748.316141331015</v>
      </c>
    </row>
    <row r="11398" spans="1:10" x14ac:dyDescent="0.25">
      <c r="A11398" s="7" t="s">
        <v>23110</v>
      </c>
      <c r="B11398" s="8">
        <v>415.625</v>
      </c>
      <c r="C11398" s="8">
        <v>20.478950000000001</v>
      </c>
      <c r="D11398" s="8">
        <v>99</v>
      </c>
      <c r="E11398" s="8">
        <v>0</v>
      </c>
      <c r="F11398" s="8">
        <v>0</v>
      </c>
      <c r="G11398" s="8">
        <v>8</v>
      </c>
      <c r="H11398" s="8" t="s">
        <v>23111</v>
      </c>
      <c r="I11398" s="8">
        <v>533.8125</v>
      </c>
      <c r="J11398" s="3">
        <f t="shared" si="178"/>
        <v>43748.316212650461</v>
      </c>
    </row>
    <row r="11399" spans="1:10" x14ac:dyDescent="0.25">
      <c r="A11399" s="5" t="s">
        <v>23112</v>
      </c>
      <c r="B11399" s="6">
        <v>396.875</v>
      </c>
      <c r="C11399" s="6">
        <v>20.478950000000001</v>
      </c>
      <c r="D11399" s="6">
        <v>99</v>
      </c>
      <c r="E11399" s="6">
        <v>0</v>
      </c>
      <c r="F11399" s="6">
        <v>0</v>
      </c>
      <c r="G11399" s="6">
        <v>12</v>
      </c>
      <c r="H11399" s="6" t="s">
        <v>23113</v>
      </c>
      <c r="I11399" s="6">
        <v>527.4375</v>
      </c>
      <c r="J11399" s="2">
        <f t="shared" si="178"/>
        <v>43748.316284155087</v>
      </c>
    </row>
    <row r="11400" spans="1:10" x14ac:dyDescent="0.25">
      <c r="A11400" s="7" t="s">
        <v>23114</v>
      </c>
      <c r="B11400" s="8">
        <v>396.875</v>
      </c>
      <c r="C11400" s="8">
        <v>20.478950000000001</v>
      </c>
      <c r="D11400" s="8">
        <v>99</v>
      </c>
      <c r="E11400" s="8">
        <v>0</v>
      </c>
      <c r="F11400" s="8">
        <v>0</v>
      </c>
      <c r="G11400" s="8">
        <v>14</v>
      </c>
      <c r="H11400" s="8" t="s">
        <v>23115</v>
      </c>
      <c r="I11400" s="8">
        <v>527.4375</v>
      </c>
      <c r="J11400" s="3">
        <f t="shared" si="178"/>
        <v>43748.316355694442</v>
      </c>
    </row>
    <row r="11401" spans="1:10" x14ac:dyDescent="0.25">
      <c r="A11401" s="5" t="s">
        <v>23116</v>
      </c>
      <c r="B11401" s="6">
        <v>396.875</v>
      </c>
      <c r="C11401" s="6">
        <v>20.478950000000001</v>
      </c>
      <c r="D11401" s="6">
        <v>99</v>
      </c>
      <c r="E11401" s="6">
        <v>0</v>
      </c>
      <c r="F11401" s="6">
        <v>0</v>
      </c>
      <c r="G11401" s="6">
        <v>10</v>
      </c>
      <c r="H11401" s="6" t="s">
        <v>23117</v>
      </c>
      <c r="I11401" s="6">
        <v>527.4375</v>
      </c>
      <c r="J11401" s="2">
        <f t="shared" si="178"/>
        <v>43748.31643958333</v>
      </c>
    </row>
    <row r="11402" spans="1:10" x14ac:dyDescent="0.25">
      <c r="A11402" s="7" t="s">
        <v>23118</v>
      </c>
      <c r="B11402" s="8">
        <v>400</v>
      </c>
      <c r="C11402" s="8">
        <v>20.478950000000001</v>
      </c>
      <c r="D11402" s="8">
        <v>100</v>
      </c>
      <c r="E11402" s="8">
        <v>0</v>
      </c>
      <c r="F11402" s="8">
        <v>0</v>
      </c>
      <c r="G11402" s="8">
        <v>18</v>
      </c>
      <c r="H11402" s="8" t="s">
        <v>23119</v>
      </c>
      <c r="I11402" s="8">
        <v>528.1875</v>
      </c>
      <c r="J11402" s="3">
        <f t="shared" si="178"/>
        <v>43748.316522812493</v>
      </c>
    </row>
    <row r="11403" spans="1:10" x14ac:dyDescent="0.25">
      <c r="A11403" s="5" t="s">
        <v>23120</v>
      </c>
      <c r="B11403" s="6">
        <v>400</v>
      </c>
      <c r="C11403" s="6">
        <v>20.478950000000001</v>
      </c>
      <c r="D11403" s="6">
        <v>101</v>
      </c>
      <c r="E11403" s="6">
        <v>0</v>
      </c>
      <c r="F11403" s="6">
        <v>0</v>
      </c>
      <c r="G11403" s="6">
        <v>12</v>
      </c>
      <c r="H11403" s="6" t="s">
        <v>23121</v>
      </c>
      <c r="I11403" s="6">
        <v>528.1875</v>
      </c>
      <c r="J11403" s="2">
        <f t="shared" si="178"/>
        <v>43748.316618067132</v>
      </c>
    </row>
    <row r="11404" spans="1:10" x14ac:dyDescent="0.25">
      <c r="A11404" s="7" t="s">
        <v>23122</v>
      </c>
      <c r="B11404" s="8">
        <v>396.875</v>
      </c>
      <c r="C11404" s="8">
        <v>20.426300000000001</v>
      </c>
      <c r="D11404" s="8">
        <v>103</v>
      </c>
      <c r="E11404" s="8">
        <v>0</v>
      </c>
      <c r="F11404" s="8">
        <v>0</v>
      </c>
      <c r="G11404" s="8">
        <v>12</v>
      </c>
      <c r="H11404" s="8" t="s">
        <v>23123</v>
      </c>
      <c r="I11404" s="8">
        <v>527.4375</v>
      </c>
      <c r="J11404" s="3">
        <f t="shared" si="178"/>
        <v>43748.316689479165</v>
      </c>
    </row>
    <row r="11405" spans="1:10" x14ac:dyDescent="0.25">
      <c r="A11405" s="5" t="s">
        <v>23124</v>
      </c>
      <c r="B11405" s="6">
        <v>396.875</v>
      </c>
      <c r="C11405" s="6">
        <v>20.478950000000001</v>
      </c>
      <c r="D11405" s="6">
        <v>104</v>
      </c>
      <c r="E11405" s="6">
        <v>0</v>
      </c>
      <c r="F11405" s="6">
        <v>0</v>
      </c>
      <c r="G11405" s="6">
        <v>5</v>
      </c>
      <c r="H11405" s="6" t="s">
        <v>23125</v>
      </c>
      <c r="I11405" s="6">
        <v>527.4375</v>
      </c>
      <c r="J11405" s="2">
        <f t="shared" si="178"/>
        <v>43748.31676123842</v>
      </c>
    </row>
    <row r="11406" spans="1:10" x14ac:dyDescent="0.25">
      <c r="A11406" s="7" t="s">
        <v>23126</v>
      </c>
      <c r="B11406" s="8">
        <v>396.875</v>
      </c>
      <c r="C11406" s="8">
        <v>20.478950000000001</v>
      </c>
      <c r="D11406" s="8">
        <v>105</v>
      </c>
      <c r="E11406" s="8">
        <v>0</v>
      </c>
      <c r="F11406" s="8">
        <v>0</v>
      </c>
      <c r="G11406" s="8">
        <v>10</v>
      </c>
      <c r="H11406" s="8" t="s">
        <v>23127</v>
      </c>
      <c r="I11406" s="8">
        <v>527.4375</v>
      </c>
      <c r="J11406" s="3">
        <f t="shared" si="178"/>
        <v>43748.316844710651</v>
      </c>
    </row>
    <row r="11407" spans="1:10" x14ac:dyDescent="0.25">
      <c r="A11407" s="5" t="s">
        <v>23128</v>
      </c>
      <c r="B11407" s="6">
        <v>400</v>
      </c>
      <c r="C11407" s="6">
        <v>20.478950000000001</v>
      </c>
      <c r="D11407" s="6">
        <v>105</v>
      </c>
      <c r="E11407" s="6">
        <v>0</v>
      </c>
      <c r="F11407" s="6">
        <v>0</v>
      </c>
      <c r="G11407" s="6">
        <v>8</v>
      </c>
      <c r="H11407" s="6" t="s">
        <v>23129</v>
      </c>
      <c r="I11407" s="6">
        <v>528.375</v>
      </c>
      <c r="J11407" s="2">
        <f t="shared" si="178"/>
        <v>43748.316916215277</v>
      </c>
    </row>
    <row r="11408" spans="1:10" x14ac:dyDescent="0.25">
      <c r="A11408" s="7" t="s">
        <v>23130</v>
      </c>
      <c r="B11408" s="8">
        <v>400</v>
      </c>
      <c r="C11408" s="8">
        <v>20.478950000000001</v>
      </c>
      <c r="D11408" s="8">
        <v>104</v>
      </c>
      <c r="E11408" s="8">
        <v>0</v>
      </c>
      <c r="F11408" s="8">
        <v>0</v>
      </c>
      <c r="G11408" s="8">
        <v>7</v>
      </c>
      <c r="H11408" s="8" t="s">
        <v>23131</v>
      </c>
      <c r="I11408" s="8">
        <v>528.375</v>
      </c>
      <c r="J11408" s="3">
        <f t="shared" si="178"/>
        <v>43748.316987743056</v>
      </c>
    </row>
    <row r="11409" spans="1:10" x14ac:dyDescent="0.25">
      <c r="A11409" s="5" t="s">
        <v>23132</v>
      </c>
      <c r="B11409" s="6">
        <v>400</v>
      </c>
      <c r="C11409" s="6">
        <v>20.478950000000001</v>
      </c>
      <c r="D11409" s="6">
        <v>104</v>
      </c>
      <c r="E11409" s="6">
        <v>0</v>
      </c>
      <c r="F11409" s="6">
        <v>0</v>
      </c>
      <c r="G11409" s="6">
        <v>7</v>
      </c>
      <c r="H11409" s="6" t="s">
        <v>23133</v>
      </c>
      <c r="I11409" s="6">
        <v>528.1875</v>
      </c>
      <c r="J11409" s="2">
        <f t="shared" si="178"/>
        <v>43748.317059398141</v>
      </c>
    </row>
    <row r="11410" spans="1:10" x14ac:dyDescent="0.25">
      <c r="A11410" s="7" t="s">
        <v>23134</v>
      </c>
      <c r="B11410" s="8">
        <v>400</v>
      </c>
      <c r="C11410" s="8">
        <v>20.478950000000001</v>
      </c>
      <c r="D11410" s="8">
        <v>104</v>
      </c>
      <c r="E11410" s="8">
        <v>0</v>
      </c>
      <c r="F11410" s="8">
        <v>0</v>
      </c>
      <c r="G11410" s="8">
        <v>20</v>
      </c>
      <c r="H11410" s="8" t="s">
        <v>23135</v>
      </c>
      <c r="I11410" s="8">
        <v>528.1875</v>
      </c>
      <c r="J11410" s="3">
        <f t="shared" si="178"/>
        <v>43748.31714284722</v>
      </c>
    </row>
    <row r="11411" spans="1:10" x14ac:dyDescent="0.25">
      <c r="A11411" s="5" t="s">
        <v>23136</v>
      </c>
      <c r="B11411" s="6">
        <v>396.875</v>
      </c>
      <c r="C11411" s="6">
        <v>20.478950000000001</v>
      </c>
      <c r="D11411" s="6">
        <v>103</v>
      </c>
      <c r="E11411" s="6">
        <v>0</v>
      </c>
      <c r="F11411" s="6">
        <v>0</v>
      </c>
      <c r="G11411" s="6">
        <v>5</v>
      </c>
      <c r="H11411" s="6" t="s">
        <v>23137</v>
      </c>
      <c r="I11411" s="6">
        <v>527.4375</v>
      </c>
      <c r="J11411" s="2">
        <f t="shared" si="178"/>
        <v>43748.317214374998</v>
      </c>
    </row>
    <row r="11412" spans="1:10" x14ac:dyDescent="0.25">
      <c r="A11412" s="7" t="s">
        <v>23138</v>
      </c>
      <c r="B11412" s="8">
        <v>396.875</v>
      </c>
      <c r="C11412" s="8">
        <v>20.478950000000001</v>
      </c>
      <c r="D11412" s="8">
        <v>103</v>
      </c>
      <c r="E11412" s="8">
        <v>0</v>
      </c>
      <c r="F11412" s="8">
        <v>0</v>
      </c>
      <c r="G11412" s="8">
        <v>4</v>
      </c>
      <c r="H11412" s="8" t="s">
        <v>23139</v>
      </c>
      <c r="I11412" s="8">
        <v>527.4375</v>
      </c>
      <c r="J11412" s="3">
        <f t="shared" si="178"/>
        <v>43748.317285775462</v>
      </c>
    </row>
    <row r="11413" spans="1:10" x14ac:dyDescent="0.25">
      <c r="A11413" s="5" t="s">
        <v>23140</v>
      </c>
      <c r="B11413" s="6">
        <v>396.875</v>
      </c>
      <c r="C11413" s="6">
        <v>20.478950000000001</v>
      </c>
      <c r="D11413" s="6">
        <v>103</v>
      </c>
      <c r="E11413" s="6">
        <v>0</v>
      </c>
      <c r="F11413" s="6">
        <v>0</v>
      </c>
      <c r="G11413" s="6">
        <v>8</v>
      </c>
      <c r="H11413" s="6" t="s">
        <v>23141</v>
      </c>
      <c r="I11413" s="6">
        <v>527.4375</v>
      </c>
      <c r="J11413" s="2">
        <f t="shared" si="178"/>
        <v>43748.317357534725</v>
      </c>
    </row>
    <row r="11414" spans="1:10" x14ac:dyDescent="0.25">
      <c r="A11414" s="7" t="s">
        <v>23142</v>
      </c>
      <c r="B11414" s="8">
        <v>396.875</v>
      </c>
      <c r="C11414" s="8">
        <v>20.478950000000001</v>
      </c>
      <c r="D11414" s="8">
        <v>104</v>
      </c>
      <c r="E11414" s="8">
        <v>0</v>
      </c>
      <c r="F11414" s="8">
        <v>0</v>
      </c>
      <c r="G11414" s="8">
        <v>8</v>
      </c>
      <c r="H11414" s="8" t="s">
        <v>23143</v>
      </c>
      <c r="I11414" s="8">
        <v>527.4375</v>
      </c>
      <c r="J11414" s="3">
        <f t="shared" si="178"/>
        <v>43748.31744875</v>
      </c>
    </row>
    <row r="11415" spans="1:10" x14ac:dyDescent="0.25">
      <c r="A11415" s="5" t="s">
        <v>23144</v>
      </c>
      <c r="B11415" s="6">
        <v>396.875</v>
      </c>
      <c r="C11415" s="6">
        <v>20.478950000000001</v>
      </c>
      <c r="D11415" s="6">
        <v>103</v>
      </c>
      <c r="E11415" s="6">
        <v>0</v>
      </c>
      <c r="F11415" s="6">
        <v>0</v>
      </c>
      <c r="G11415" s="6">
        <v>1</v>
      </c>
      <c r="H11415" s="6" t="s">
        <v>23145</v>
      </c>
      <c r="I11415" s="6">
        <v>527.4375</v>
      </c>
      <c r="J11415" s="2">
        <f t="shared" si="178"/>
        <v>43748.317524675927</v>
      </c>
    </row>
    <row r="11416" spans="1:10" x14ac:dyDescent="0.25">
      <c r="A11416" s="7" t="s">
        <v>23146</v>
      </c>
      <c r="B11416" s="8">
        <v>400</v>
      </c>
      <c r="C11416" s="8">
        <v>20.478950000000001</v>
      </c>
      <c r="D11416" s="8">
        <v>104</v>
      </c>
      <c r="E11416" s="8">
        <v>0</v>
      </c>
      <c r="F11416" s="8">
        <v>0</v>
      </c>
      <c r="G11416" s="8">
        <v>0</v>
      </c>
      <c r="H11416" s="8" t="s">
        <v>23147</v>
      </c>
      <c r="I11416" s="8">
        <v>528.375</v>
      </c>
      <c r="J11416" s="3">
        <f t="shared" si="178"/>
        <v>43748.317595972221</v>
      </c>
    </row>
    <row r="11417" spans="1:10" x14ac:dyDescent="0.25">
      <c r="A11417" s="5" t="s">
        <v>23148</v>
      </c>
      <c r="B11417" s="6">
        <v>421.875</v>
      </c>
      <c r="C11417" s="6">
        <v>20.426300000000001</v>
      </c>
      <c r="D11417" s="6">
        <v>104</v>
      </c>
      <c r="E11417" s="6">
        <v>0</v>
      </c>
      <c r="F11417" s="6">
        <v>0</v>
      </c>
      <c r="G11417" s="6">
        <v>6</v>
      </c>
      <c r="H11417" s="6" t="s">
        <v>23149</v>
      </c>
      <c r="I11417" s="6">
        <v>535.5</v>
      </c>
      <c r="J11417" s="2">
        <f t="shared" si="178"/>
        <v>43748.317667268515</v>
      </c>
    </row>
    <row r="11418" spans="1:10" x14ac:dyDescent="0.25">
      <c r="A11418" s="7" t="s">
        <v>23150</v>
      </c>
      <c r="B11418" s="8">
        <v>396.875</v>
      </c>
      <c r="C11418" s="8">
        <v>20.478950000000001</v>
      </c>
      <c r="D11418" s="8">
        <v>104</v>
      </c>
      <c r="E11418" s="8">
        <v>0</v>
      </c>
      <c r="F11418" s="8">
        <v>0</v>
      </c>
      <c r="G11418" s="8">
        <v>11</v>
      </c>
      <c r="H11418" s="8" t="s">
        <v>23151</v>
      </c>
      <c r="I11418" s="8">
        <v>527.625</v>
      </c>
      <c r="J11418" s="3">
        <f t="shared" si="178"/>
        <v>43748.317739039347</v>
      </c>
    </row>
    <row r="11419" spans="1:10" x14ac:dyDescent="0.25">
      <c r="A11419" s="5" t="s">
        <v>23152</v>
      </c>
      <c r="B11419" s="6">
        <v>393.75</v>
      </c>
      <c r="C11419" s="6">
        <v>20.478950000000001</v>
      </c>
      <c r="D11419" s="6">
        <v>103</v>
      </c>
      <c r="E11419" s="6">
        <v>0</v>
      </c>
      <c r="F11419" s="6">
        <v>0</v>
      </c>
      <c r="G11419" s="6">
        <v>16</v>
      </c>
      <c r="H11419" s="6" t="s">
        <v>23153</v>
      </c>
      <c r="I11419" s="6">
        <v>526.6875</v>
      </c>
      <c r="J11419" s="2">
        <f t="shared" si="178"/>
        <v>43748.317822592588</v>
      </c>
    </row>
    <row r="11420" spans="1:10" x14ac:dyDescent="0.25">
      <c r="A11420" s="7" t="s">
        <v>23154</v>
      </c>
      <c r="B11420" s="8">
        <v>393.75</v>
      </c>
      <c r="C11420" s="8">
        <v>20.478950000000001</v>
      </c>
      <c r="D11420" s="8">
        <v>102</v>
      </c>
      <c r="E11420" s="8">
        <v>0</v>
      </c>
      <c r="F11420" s="8">
        <v>0</v>
      </c>
      <c r="G11420" s="8">
        <v>8</v>
      </c>
      <c r="H11420" s="8" t="s">
        <v>23155</v>
      </c>
      <c r="I11420" s="8">
        <v>526.6875</v>
      </c>
      <c r="J11420" s="3">
        <f t="shared" si="178"/>
        <v>43748.317894120373</v>
      </c>
    </row>
    <row r="11421" spans="1:10" x14ac:dyDescent="0.25">
      <c r="A11421" s="5" t="s">
        <v>23156</v>
      </c>
      <c r="B11421" s="6">
        <v>393.75</v>
      </c>
      <c r="C11421" s="6">
        <v>20.478950000000001</v>
      </c>
      <c r="D11421" s="6">
        <v>103</v>
      </c>
      <c r="E11421" s="6">
        <v>0</v>
      </c>
      <c r="F11421" s="6">
        <v>0</v>
      </c>
      <c r="G11421" s="6">
        <v>8</v>
      </c>
      <c r="H11421" s="6" t="s">
        <v>23157</v>
      </c>
      <c r="I11421" s="6">
        <v>526.6875</v>
      </c>
      <c r="J11421" s="2">
        <f t="shared" si="178"/>
        <v>43748.317965648144</v>
      </c>
    </row>
    <row r="11422" spans="1:10" x14ac:dyDescent="0.25">
      <c r="A11422" s="7" t="s">
        <v>23158</v>
      </c>
      <c r="B11422" s="8">
        <v>393.75</v>
      </c>
      <c r="C11422" s="8">
        <v>20.478950000000001</v>
      </c>
      <c r="D11422" s="8">
        <v>103</v>
      </c>
      <c r="E11422" s="8">
        <v>0</v>
      </c>
      <c r="F11422" s="8">
        <v>0</v>
      </c>
      <c r="G11422" s="8">
        <v>7</v>
      </c>
      <c r="H11422" s="8" t="s">
        <v>23159</v>
      </c>
      <c r="I11422" s="8">
        <v>526.6875</v>
      </c>
      <c r="J11422" s="3">
        <f t="shared" si="178"/>
        <v>43748.318037060184</v>
      </c>
    </row>
    <row r="11423" spans="1:10" x14ac:dyDescent="0.25">
      <c r="A11423" s="5" t="s">
        <v>23160</v>
      </c>
      <c r="B11423" s="6">
        <v>393.75</v>
      </c>
      <c r="C11423" s="6">
        <v>20.478950000000001</v>
      </c>
      <c r="D11423" s="6">
        <v>102</v>
      </c>
      <c r="E11423" s="6">
        <v>0</v>
      </c>
      <c r="F11423" s="6">
        <v>0</v>
      </c>
      <c r="G11423" s="6">
        <v>7</v>
      </c>
      <c r="H11423" s="6" t="s">
        <v>23161</v>
      </c>
      <c r="I11423" s="6">
        <v>526.5</v>
      </c>
      <c r="J11423" s="2">
        <f t="shared" si="178"/>
        <v>43748.318108692132</v>
      </c>
    </row>
    <row r="11424" spans="1:10" x14ac:dyDescent="0.25">
      <c r="A11424" s="7" t="s">
        <v>23162</v>
      </c>
      <c r="B11424" s="8">
        <v>393.75</v>
      </c>
      <c r="C11424" s="8">
        <v>20.426300000000001</v>
      </c>
      <c r="D11424" s="8">
        <v>102</v>
      </c>
      <c r="E11424" s="8">
        <v>0</v>
      </c>
      <c r="F11424" s="8">
        <v>0</v>
      </c>
      <c r="G11424" s="8">
        <v>12</v>
      </c>
      <c r="H11424" s="8" t="s">
        <v>23163</v>
      </c>
      <c r="I11424" s="8">
        <v>526.6875</v>
      </c>
      <c r="J11424" s="3">
        <f t="shared" si="178"/>
        <v>43748.3181802662</v>
      </c>
    </row>
    <row r="11425" spans="1:10" x14ac:dyDescent="0.25">
      <c r="A11425" s="5" t="s">
        <v>23164</v>
      </c>
      <c r="B11425" s="6">
        <v>412.5</v>
      </c>
      <c r="C11425" s="6">
        <v>20.478950000000001</v>
      </c>
      <c r="D11425" s="6">
        <v>102</v>
      </c>
      <c r="E11425" s="6">
        <v>0</v>
      </c>
      <c r="F11425" s="6">
        <v>0</v>
      </c>
      <c r="G11425" s="6">
        <v>15</v>
      </c>
      <c r="H11425" s="6" t="s">
        <v>23165</v>
      </c>
      <c r="I11425" s="6">
        <v>532.3125</v>
      </c>
      <c r="J11425" s="2">
        <f t="shared" si="178"/>
        <v>43748.318251886572</v>
      </c>
    </row>
    <row r="11426" spans="1:10" x14ac:dyDescent="0.25">
      <c r="A11426" s="7" t="s">
        <v>23166</v>
      </c>
      <c r="B11426" s="8">
        <v>393.75</v>
      </c>
      <c r="C11426" s="8">
        <v>20.478950000000001</v>
      </c>
      <c r="D11426" s="8">
        <v>103</v>
      </c>
      <c r="E11426" s="8">
        <v>0</v>
      </c>
      <c r="F11426" s="8">
        <v>0</v>
      </c>
      <c r="G11426" s="8">
        <v>6</v>
      </c>
      <c r="H11426" s="8" t="s">
        <v>23167</v>
      </c>
      <c r="I11426" s="8">
        <v>526.6875</v>
      </c>
      <c r="J11426" s="3">
        <f t="shared" si="178"/>
        <v>43748.318323634252</v>
      </c>
    </row>
    <row r="11427" spans="1:10" x14ac:dyDescent="0.25">
      <c r="A11427" s="5" t="s">
        <v>23168</v>
      </c>
      <c r="B11427" s="6">
        <v>393.75</v>
      </c>
      <c r="C11427" s="6">
        <v>20.478950000000001</v>
      </c>
      <c r="D11427" s="6">
        <v>103</v>
      </c>
      <c r="E11427" s="6">
        <v>0</v>
      </c>
      <c r="F11427" s="6">
        <v>0</v>
      </c>
      <c r="G11427" s="6">
        <v>7</v>
      </c>
      <c r="H11427" s="6" t="s">
        <v>23169</v>
      </c>
      <c r="I11427" s="6">
        <v>526.5</v>
      </c>
      <c r="J11427" s="2">
        <f t="shared" si="178"/>
        <v>43748.318394814814</v>
      </c>
    </row>
    <row r="11428" spans="1:10" x14ac:dyDescent="0.25">
      <c r="A11428" s="7" t="s">
        <v>23170</v>
      </c>
      <c r="B11428" s="8">
        <v>393.75</v>
      </c>
      <c r="C11428" s="8">
        <v>20.478950000000001</v>
      </c>
      <c r="D11428" s="8">
        <v>100</v>
      </c>
      <c r="E11428" s="8">
        <v>0</v>
      </c>
      <c r="F11428" s="8">
        <v>0</v>
      </c>
      <c r="G11428" s="8">
        <v>8</v>
      </c>
      <c r="H11428" s="8" t="s">
        <v>23171</v>
      </c>
      <c r="I11428" s="8">
        <v>526.6875</v>
      </c>
      <c r="J11428" s="3">
        <f t="shared" si="178"/>
        <v>43748.318478402776</v>
      </c>
    </row>
    <row r="11429" spans="1:10" x14ac:dyDescent="0.25">
      <c r="A11429" s="5" t="s">
        <v>23172</v>
      </c>
      <c r="B11429" s="6">
        <v>393.75</v>
      </c>
      <c r="C11429" s="6">
        <v>20.478950000000001</v>
      </c>
      <c r="D11429" s="6">
        <v>93</v>
      </c>
      <c r="E11429" s="6">
        <v>0</v>
      </c>
      <c r="F11429" s="6">
        <v>0</v>
      </c>
      <c r="G11429" s="6">
        <v>0</v>
      </c>
      <c r="H11429" s="6" t="s">
        <v>23173</v>
      </c>
      <c r="I11429" s="6">
        <v>526.5</v>
      </c>
      <c r="J11429" s="2">
        <f t="shared" si="178"/>
        <v>43748.318903819447</v>
      </c>
    </row>
    <row r="11430" spans="1:10" x14ac:dyDescent="0.25">
      <c r="A11430" s="7" t="s">
        <v>23174</v>
      </c>
      <c r="B11430" s="8">
        <v>393.75</v>
      </c>
      <c r="C11430" s="8">
        <v>20.478950000000001</v>
      </c>
      <c r="D11430" s="8">
        <v>93</v>
      </c>
      <c r="E11430" s="8">
        <v>0</v>
      </c>
      <c r="F11430" s="8">
        <v>0</v>
      </c>
      <c r="G11430" s="8">
        <v>0</v>
      </c>
      <c r="H11430" s="8" t="s">
        <v>23175</v>
      </c>
      <c r="I11430" s="8">
        <v>526.6875</v>
      </c>
      <c r="J11430" s="3">
        <f t="shared" si="178"/>
        <v>43748.318974212962</v>
      </c>
    </row>
    <row r="11431" spans="1:10" x14ac:dyDescent="0.25">
      <c r="A11431" s="5" t="s">
        <v>23176</v>
      </c>
      <c r="B11431" s="6">
        <v>393.75</v>
      </c>
      <c r="C11431" s="6">
        <v>20.426300000000001</v>
      </c>
      <c r="D11431" s="6">
        <v>106</v>
      </c>
      <c r="E11431" s="6">
        <v>0</v>
      </c>
      <c r="F11431" s="6">
        <v>0</v>
      </c>
      <c r="G11431" s="6">
        <v>1</v>
      </c>
      <c r="H11431" s="6" t="s">
        <v>23177</v>
      </c>
      <c r="I11431" s="6">
        <v>526.6875</v>
      </c>
      <c r="J11431" s="2">
        <f t="shared" si="178"/>
        <v>43748.319057789347</v>
      </c>
    </row>
    <row r="11432" spans="1:10" x14ac:dyDescent="0.25">
      <c r="A11432" s="7" t="s">
        <v>23178</v>
      </c>
      <c r="B11432" s="8">
        <v>393.75</v>
      </c>
      <c r="C11432" s="8">
        <v>20.478950000000001</v>
      </c>
      <c r="D11432" s="8">
        <v>106</v>
      </c>
      <c r="E11432" s="8">
        <v>0</v>
      </c>
      <c r="F11432" s="8">
        <v>0</v>
      </c>
      <c r="G11432" s="8">
        <v>2</v>
      </c>
      <c r="H11432" s="8" t="s">
        <v>23179</v>
      </c>
      <c r="I11432" s="8">
        <v>526.6875</v>
      </c>
      <c r="J11432" s="3">
        <f t="shared" si="178"/>
        <v>43748.319141354164</v>
      </c>
    </row>
    <row r="11433" spans="1:10" x14ac:dyDescent="0.25">
      <c r="A11433" s="5" t="s">
        <v>23180</v>
      </c>
      <c r="B11433" s="6">
        <v>393.75</v>
      </c>
      <c r="C11433" s="6">
        <v>20.426300000000001</v>
      </c>
      <c r="D11433" s="6">
        <v>98</v>
      </c>
      <c r="E11433" s="6">
        <v>0</v>
      </c>
      <c r="F11433" s="6">
        <v>0</v>
      </c>
      <c r="G11433" s="6">
        <v>6</v>
      </c>
      <c r="H11433" s="6" t="s">
        <v>23181</v>
      </c>
      <c r="I11433" s="6">
        <v>526.5</v>
      </c>
      <c r="J11433" s="2">
        <f t="shared" si="178"/>
        <v>43748.319212881943</v>
      </c>
    </row>
    <row r="11434" spans="1:10" x14ac:dyDescent="0.25">
      <c r="A11434" s="7" t="s">
        <v>23182</v>
      </c>
      <c r="B11434" s="8">
        <v>393.75</v>
      </c>
      <c r="C11434" s="8">
        <v>20.478950000000001</v>
      </c>
      <c r="D11434" s="8">
        <v>98</v>
      </c>
      <c r="E11434" s="8">
        <v>0</v>
      </c>
      <c r="F11434" s="8">
        <v>0</v>
      </c>
      <c r="G11434" s="8">
        <v>4</v>
      </c>
      <c r="H11434" s="8" t="s">
        <v>23183</v>
      </c>
      <c r="I11434" s="8">
        <v>526.6875</v>
      </c>
      <c r="J11434" s="3">
        <f t="shared" si="178"/>
        <v>43748.319296331021</v>
      </c>
    </row>
    <row r="11435" spans="1:10" x14ac:dyDescent="0.25">
      <c r="A11435" s="5" t="s">
        <v>23184</v>
      </c>
      <c r="B11435" s="6">
        <v>393.75</v>
      </c>
      <c r="C11435" s="6">
        <v>20.478950000000001</v>
      </c>
      <c r="D11435" s="6">
        <v>99</v>
      </c>
      <c r="E11435" s="6">
        <v>0</v>
      </c>
      <c r="F11435" s="6">
        <v>0</v>
      </c>
      <c r="G11435" s="6">
        <v>3</v>
      </c>
      <c r="H11435" s="6" t="s">
        <v>23185</v>
      </c>
      <c r="I11435" s="6">
        <v>526.6875</v>
      </c>
      <c r="J11435" s="2">
        <f t="shared" si="178"/>
        <v>43748.319368090277</v>
      </c>
    </row>
    <row r="11436" spans="1:10" x14ac:dyDescent="0.25">
      <c r="A11436" s="7" t="s">
        <v>23186</v>
      </c>
      <c r="B11436" s="8">
        <v>393.75</v>
      </c>
      <c r="C11436" s="8">
        <v>20.478950000000001</v>
      </c>
      <c r="D11436" s="8">
        <v>99</v>
      </c>
      <c r="E11436" s="8">
        <v>0</v>
      </c>
      <c r="F11436" s="8">
        <v>0</v>
      </c>
      <c r="G11436" s="8">
        <v>0</v>
      </c>
      <c r="H11436" s="8" t="s">
        <v>23187</v>
      </c>
      <c r="I11436" s="8">
        <v>526.6875</v>
      </c>
      <c r="J11436" s="3">
        <f t="shared" si="178"/>
        <v>43748.319439386571</v>
      </c>
    </row>
    <row r="11437" spans="1:10" x14ac:dyDescent="0.25">
      <c r="A11437" s="5" t="s">
        <v>23188</v>
      </c>
      <c r="B11437" s="6">
        <v>393.75</v>
      </c>
      <c r="C11437" s="6">
        <v>20.426300000000001</v>
      </c>
      <c r="D11437" s="6">
        <v>99</v>
      </c>
      <c r="E11437" s="6">
        <v>0</v>
      </c>
      <c r="F11437" s="6">
        <v>0</v>
      </c>
      <c r="G11437" s="6">
        <v>11</v>
      </c>
      <c r="H11437" s="6" t="s">
        <v>23189</v>
      </c>
      <c r="I11437" s="6">
        <v>526.6875</v>
      </c>
      <c r="J11437" s="2">
        <f t="shared" si="178"/>
        <v>43748.319522835642</v>
      </c>
    </row>
    <row r="11438" spans="1:10" x14ac:dyDescent="0.25">
      <c r="A11438" s="7" t="s">
        <v>23190</v>
      </c>
      <c r="B11438" s="8">
        <v>396.875</v>
      </c>
      <c r="C11438" s="8">
        <v>20.478950000000001</v>
      </c>
      <c r="D11438" s="8">
        <v>100</v>
      </c>
      <c r="E11438" s="8">
        <v>0</v>
      </c>
      <c r="F11438" s="8">
        <v>0</v>
      </c>
      <c r="G11438" s="8">
        <v>3</v>
      </c>
      <c r="H11438" s="8" t="s">
        <v>23191</v>
      </c>
      <c r="I11438" s="8">
        <v>527.4375</v>
      </c>
      <c r="J11438" s="3">
        <f t="shared" si="178"/>
        <v>43748.319606388883</v>
      </c>
    </row>
    <row r="11439" spans="1:10" x14ac:dyDescent="0.25">
      <c r="A11439" s="5" t="s">
        <v>23192</v>
      </c>
      <c r="B11439" s="6">
        <v>396.875</v>
      </c>
      <c r="C11439" s="6">
        <v>20.426300000000001</v>
      </c>
      <c r="D11439" s="6">
        <v>100</v>
      </c>
      <c r="E11439" s="6">
        <v>0</v>
      </c>
      <c r="F11439" s="6">
        <v>0</v>
      </c>
      <c r="G11439" s="6">
        <v>0</v>
      </c>
      <c r="H11439" s="6" t="s">
        <v>23193</v>
      </c>
      <c r="I11439" s="6">
        <v>527.4375</v>
      </c>
      <c r="J11439" s="2">
        <f t="shared" si="178"/>
        <v>43748.31968951389</v>
      </c>
    </row>
    <row r="11440" spans="1:10" x14ac:dyDescent="0.25">
      <c r="A11440" s="7" t="s">
        <v>23194</v>
      </c>
      <c r="B11440" s="8">
        <v>425</v>
      </c>
      <c r="C11440" s="8">
        <v>20.478950000000001</v>
      </c>
      <c r="D11440" s="8">
        <v>101</v>
      </c>
      <c r="E11440" s="8">
        <v>0</v>
      </c>
      <c r="F11440" s="8">
        <v>0</v>
      </c>
      <c r="G11440" s="8">
        <v>12</v>
      </c>
      <c r="H11440" s="8" t="s">
        <v>23195</v>
      </c>
      <c r="I11440" s="8">
        <v>536.625</v>
      </c>
      <c r="J11440" s="3">
        <f t="shared" si="178"/>
        <v>43748.31976622685</v>
      </c>
    </row>
    <row r="11441" spans="1:10" x14ac:dyDescent="0.25">
      <c r="A11441" s="5" t="s">
        <v>23196</v>
      </c>
      <c r="B11441" s="6">
        <v>400</v>
      </c>
      <c r="C11441" s="6">
        <v>20.478950000000001</v>
      </c>
      <c r="D11441" s="6">
        <v>101</v>
      </c>
      <c r="E11441" s="6">
        <v>0</v>
      </c>
      <c r="F11441" s="6">
        <v>0</v>
      </c>
      <c r="G11441" s="6">
        <v>3</v>
      </c>
      <c r="H11441" s="6" t="s">
        <v>23197</v>
      </c>
      <c r="I11441" s="6">
        <v>528.1875</v>
      </c>
      <c r="J11441" s="2">
        <f t="shared" si="178"/>
        <v>43748.319845057871</v>
      </c>
    </row>
    <row r="11442" spans="1:10" x14ac:dyDescent="0.25">
      <c r="A11442" s="7" t="s">
        <v>23198</v>
      </c>
      <c r="B11442" s="8">
        <v>440.625</v>
      </c>
      <c r="C11442" s="8">
        <v>20.478950000000001</v>
      </c>
      <c r="D11442" s="8">
        <v>102</v>
      </c>
      <c r="E11442" s="8">
        <v>0</v>
      </c>
      <c r="F11442" s="8">
        <v>0</v>
      </c>
      <c r="G11442" s="8">
        <v>5</v>
      </c>
      <c r="H11442" s="8" t="s">
        <v>23199</v>
      </c>
      <c r="I11442" s="8">
        <v>541.125</v>
      </c>
      <c r="J11442" s="3">
        <f t="shared" si="178"/>
        <v>43748.319940185182</v>
      </c>
    </row>
    <row r="11443" spans="1:10" x14ac:dyDescent="0.25">
      <c r="A11443" s="5" t="s">
        <v>23200</v>
      </c>
      <c r="B11443" s="6">
        <v>403.125</v>
      </c>
      <c r="C11443" s="6">
        <v>20.478950000000001</v>
      </c>
      <c r="D11443" s="6">
        <v>102</v>
      </c>
      <c r="E11443" s="6">
        <v>0</v>
      </c>
      <c r="F11443" s="6">
        <v>0</v>
      </c>
      <c r="G11443" s="6">
        <v>5</v>
      </c>
      <c r="H11443" s="6" t="s">
        <v>23201</v>
      </c>
      <c r="I11443" s="6">
        <v>529.125</v>
      </c>
      <c r="J11443" s="2">
        <f t="shared" si="178"/>
        <v>43748.320011724536</v>
      </c>
    </row>
    <row r="11444" spans="1:10" x14ac:dyDescent="0.25">
      <c r="A11444" s="7" t="s">
        <v>23202</v>
      </c>
      <c r="B11444" s="8">
        <v>400</v>
      </c>
      <c r="C11444" s="8">
        <v>20.478950000000001</v>
      </c>
      <c r="D11444" s="8">
        <v>107</v>
      </c>
      <c r="E11444" s="8">
        <v>0</v>
      </c>
      <c r="F11444" s="8">
        <v>0</v>
      </c>
      <c r="G11444" s="8">
        <v>2</v>
      </c>
      <c r="H11444" s="8" t="s">
        <v>23203</v>
      </c>
      <c r="I11444" s="8">
        <v>528.9375</v>
      </c>
      <c r="J11444" s="3">
        <f t="shared" si="178"/>
        <v>43748.320083032406</v>
      </c>
    </row>
    <row r="11445" spans="1:10" x14ac:dyDescent="0.25">
      <c r="A11445" s="5" t="s">
        <v>23204</v>
      </c>
      <c r="B11445" s="6">
        <v>400</v>
      </c>
      <c r="C11445" s="6">
        <v>20.478950000000001</v>
      </c>
      <c r="D11445" s="6">
        <v>112</v>
      </c>
      <c r="E11445" s="6">
        <v>0</v>
      </c>
      <c r="F11445" s="6">
        <v>0</v>
      </c>
      <c r="G11445" s="6">
        <v>0</v>
      </c>
      <c r="H11445" s="6" t="s">
        <v>23205</v>
      </c>
      <c r="I11445" s="6">
        <v>528.375</v>
      </c>
      <c r="J11445" s="2">
        <f t="shared" si="178"/>
        <v>43748.320155000001</v>
      </c>
    </row>
    <row r="11446" spans="1:10" x14ac:dyDescent="0.25">
      <c r="A11446" s="7" t="s">
        <v>23206</v>
      </c>
      <c r="B11446" s="8">
        <v>415.625</v>
      </c>
      <c r="C11446" s="8">
        <v>20.478950000000001</v>
      </c>
      <c r="D11446" s="8">
        <v>111</v>
      </c>
      <c r="E11446" s="8">
        <v>0</v>
      </c>
      <c r="F11446" s="8">
        <v>0</v>
      </c>
      <c r="G11446" s="8">
        <v>0</v>
      </c>
      <c r="H11446" s="8" t="s">
        <v>23207</v>
      </c>
      <c r="I11446" s="8">
        <v>533.0625</v>
      </c>
      <c r="J11446" s="3">
        <f t="shared" si="178"/>
        <v>43748.320226527772</v>
      </c>
    </row>
    <row r="11447" spans="1:10" x14ac:dyDescent="0.25">
      <c r="A11447" s="5" t="s">
        <v>23208</v>
      </c>
      <c r="B11447" s="6">
        <v>396.875</v>
      </c>
      <c r="C11447" s="6">
        <v>20.478950000000001</v>
      </c>
      <c r="D11447" s="6">
        <v>110</v>
      </c>
      <c r="E11447" s="6">
        <v>0</v>
      </c>
      <c r="F11447" s="6">
        <v>0</v>
      </c>
      <c r="G11447" s="6">
        <v>4</v>
      </c>
      <c r="H11447" s="6" t="s">
        <v>23209</v>
      </c>
      <c r="I11447" s="6">
        <v>527.4375</v>
      </c>
      <c r="J11447" s="2">
        <f t="shared" si="178"/>
        <v>43748.320298055558</v>
      </c>
    </row>
    <row r="11448" spans="1:10" x14ac:dyDescent="0.25">
      <c r="A11448" s="7" t="s">
        <v>23210</v>
      </c>
      <c r="B11448" s="8">
        <v>396.875</v>
      </c>
      <c r="C11448" s="8">
        <v>20.478950000000001</v>
      </c>
      <c r="D11448" s="8">
        <v>105</v>
      </c>
      <c r="E11448" s="8">
        <v>0</v>
      </c>
      <c r="F11448" s="8">
        <v>0</v>
      </c>
      <c r="G11448" s="8">
        <v>3</v>
      </c>
      <c r="H11448" s="8" t="s">
        <v>23211</v>
      </c>
      <c r="I11448" s="8">
        <v>527.4375</v>
      </c>
      <c r="J11448" s="3">
        <f t="shared" si="178"/>
        <v>43748.320381053236</v>
      </c>
    </row>
    <row r="11449" spans="1:10" x14ac:dyDescent="0.25">
      <c r="A11449" s="5" t="s">
        <v>23212</v>
      </c>
      <c r="B11449" s="6">
        <v>396.875</v>
      </c>
      <c r="C11449" s="6">
        <v>20.478950000000001</v>
      </c>
      <c r="D11449" s="6">
        <v>104</v>
      </c>
      <c r="E11449" s="6">
        <v>0</v>
      </c>
      <c r="F11449" s="6">
        <v>0</v>
      </c>
      <c r="G11449" s="6">
        <v>6</v>
      </c>
      <c r="H11449" s="6" t="s">
        <v>23213</v>
      </c>
      <c r="I11449" s="6">
        <v>527.4375</v>
      </c>
      <c r="J11449" s="2">
        <f t="shared" si="178"/>
        <v>43748.320453159722</v>
      </c>
    </row>
    <row r="11450" spans="1:10" x14ac:dyDescent="0.25">
      <c r="A11450" s="7" t="s">
        <v>23214</v>
      </c>
      <c r="B11450" s="8">
        <v>396.875</v>
      </c>
      <c r="C11450" s="8">
        <v>20.478950000000001</v>
      </c>
      <c r="D11450" s="8">
        <v>105</v>
      </c>
      <c r="E11450" s="8">
        <v>0</v>
      </c>
      <c r="F11450" s="8">
        <v>0</v>
      </c>
      <c r="G11450" s="8">
        <v>1</v>
      </c>
      <c r="H11450" s="8" t="s">
        <v>23215</v>
      </c>
      <c r="I11450" s="8">
        <v>527.4375</v>
      </c>
      <c r="J11450" s="3">
        <f t="shared" si="178"/>
        <v>43748.320524571762</v>
      </c>
    </row>
    <row r="11451" spans="1:10" x14ac:dyDescent="0.25">
      <c r="A11451" s="5" t="s">
        <v>23216</v>
      </c>
      <c r="B11451" s="6">
        <v>393.75</v>
      </c>
      <c r="C11451" s="6">
        <v>20.478950000000001</v>
      </c>
      <c r="D11451" s="6">
        <v>105</v>
      </c>
      <c r="E11451" s="6">
        <v>0</v>
      </c>
      <c r="F11451" s="6">
        <v>0</v>
      </c>
      <c r="G11451" s="6">
        <v>4</v>
      </c>
      <c r="H11451" s="6" t="s">
        <v>23217</v>
      </c>
      <c r="I11451" s="6">
        <v>526.5</v>
      </c>
      <c r="J11451" s="2">
        <f t="shared" si="178"/>
        <v>43748.320608101851</v>
      </c>
    </row>
    <row r="11452" spans="1:10" x14ac:dyDescent="0.25">
      <c r="A11452" s="7" t="s">
        <v>23218</v>
      </c>
      <c r="B11452" s="8">
        <v>393.75</v>
      </c>
      <c r="C11452" s="8">
        <v>20.478950000000001</v>
      </c>
      <c r="D11452" s="8">
        <v>102</v>
      </c>
      <c r="E11452" s="8">
        <v>0</v>
      </c>
      <c r="F11452" s="8">
        <v>0</v>
      </c>
      <c r="G11452" s="8">
        <v>3</v>
      </c>
      <c r="H11452" s="8" t="s">
        <v>23219</v>
      </c>
      <c r="I11452" s="8">
        <v>526.6875</v>
      </c>
      <c r="J11452" s="3">
        <f t="shared" si="178"/>
        <v>43748.320679780089</v>
      </c>
    </row>
    <row r="11453" spans="1:10" x14ac:dyDescent="0.25">
      <c r="A11453" s="5" t="s">
        <v>23220</v>
      </c>
      <c r="B11453" s="6">
        <v>412.5</v>
      </c>
      <c r="C11453" s="6">
        <v>20.478950000000001</v>
      </c>
      <c r="D11453" s="6">
        <v>101</v>
      </c>
      <c r="E11453" s="6">
        <v>0</v>
      </c>
      <c r="F11453" s="6">
        <v>0</v>
      </c>
      <c r="G11453" s="6">
        <v>11</v>
      </c>
      <c r="H11453" s="6" t="s">
        <v>23221</v>
      </c>
      <c r="I11453" s="6">
        <v>532.5</v>
      </c>
      <c r="J11453" s="2">
        <f t="shared" si="178"/>
        <v>43748.320751180552</v>
      </c>
    </row>
    <row r="11454" spans="1:10" x14ac:dyDescent="0.25">
      <c r="A11454" s="7" t="s">
        <v>23222</v>
      </c>
      <c r="B11454" s="8">
        <v>393.75</v>
      </c>
      <c r="C11454" s="8">
        <v>20.478950000000001</v>
      </c>
      <c r="D11454" s="8">
        <v>103</v>
      </c>
      <c r="E11454" s="8">
        <v>0</v>
      </c>
      <c r="F11454" s="8">
        <v>0</v>
      </c>
      <c r="G11454" s="8">
        <v>0</v>
      </c>
      <c r="H11454" s="8" t="s">
        <v>23223</v>
      </c>
      <c r="I11454" s="8">
        <v>526.6875</v>
      </c>
      <c r="J11454" s="3">
        <f t="shared" si="178"/>
        <v>43748.320846655093</v>
      </c>
    </row>
    <row r="11455" spans="1:10" x14ac:dyDescent="0.25">
      <c r="A11455" s="5" t="s">
        <v>23224</v>
      </c>
      <c r="B11455" s="6">
        <v>393.75</v>
      </c>
      <c r="C11455" s="6">
        <v>20.426300000000001</v>
      </c>
      <c r="D11455" s="6">
        <v>102</v>
      </c>
      <c r="E11455" s="6">
        <v>0</v>
      </c>
      <c r="F11455" s="6">
        <v>0</v>
      </c>
      <c r="G11455" s="6">
        <v>15</v>
      </c>
      <c r="H11455" s="6" t="s">
        <v>23225</v>
      </c>
      <c r="I11455" s="6">
        <v>526.5</v>
      </c>
      <c r="J11455" s="2">
        <f t="shared" si="178"/>
        <v>43748.320930231479</v>
      </c>
    </row>
    <row r="11456" spans="1:10" x14ac:dyDescent="0.25">
      <c r="A11456" s="7" t="s">
        <v>23226</v>
      </c>
      <c r="B11456" s="8">
        <v>393.75</v>
      </c>
      <c r="C11456" s="8">
        <v>20.426300000000001</v>
      </c>
      <c r="D11456" s="8">
        <v>102</v>
      </c>
      <c r="E11456" s="8">
        <v>0</v>
      </c>
      <c r="F11456" s="8">
        <v>0</v>
      </c>
      <c r="G11456" s="8">
        <v>10</v>
      </c>
      <c r="H11456" s="8" t="s">
        <v>23227</v>
      </c>
      <c r="I11456" s="8">
        <v>526.6875</v>
      </c>
      <c r="J11456" s="3">
        <f t="shared" si="178"/>
        <v>43748.32100152778</v>
      </c>
    </row>
    <row r="11457" spans="1:10" x14ac:dyDescent="0.25">
      <c r="A11457" s="5" t="s">
        <v>23228</v>
      </c>
      <c r="B11457" s="6">
        <v>393.75</v>
      </c>
      <c r="C11457" s="6">
        <v>20.478950000000001</v>
      </c>
      <c r="D11457" s="6">
        <v>103</v>
      </c>
      <c r="E11457" s="6">
        <v>0</v>
      </c>
      <c r="F11457" s="6">
        <v>0</v>
      </c>
      <c r="G11457" s="6">
        <v>10</v>
      </c>
      <c r="H11457" s="6" t="s">
        <v>23229</v>
      </c>
      <c r="I11457" s="6">
        <v>526.6875</v>
      </c>
      <c r="J11457" s="2">
        <f t="shared" si="178"/>
        <v>43748.321073055551</v>
      </c>
    </row>
    <row r="11458" spans="1:10" x14ac:dyDescent="0.25">
      <c r="A11458" s="7" t="s">
        <v>23230</v>
      </c>
      <c r="B11458" s="8">
        <v>393.75</v>
      </c>
      <c r="C11458" s="8">
        <v>20.478950000000001</v>
      </c>
      <c r="D11458" s="8">
        <v>101</v>
      </c>
      <c r="E11458" s="8">
        <v>0</v>
      </c>
      <c r="F11458" s="8">
        <v>0</v>
      </c>
      <c r="G11458" s="8">
        <v>7</v>
      </c>
      <c r="H11458" s="8" t="s">
        <v>23231</v>
      </c>
      <c r="I11458" s="8">
        <v>526.5</v>
      </c>
      <c r="J11458" s="3">
        <f t="shared" ref="J11458:J11521" si="179">(H11458/86400000)+25569+(7/24)</f>
        <v>43748.321156307873</v>
      </c>
    </row>
    <row r="11459" spans="1:10" x14ac:dyDescent="0.25">
      <c r="A11459" s="5" t="s">
        <v>23232</v>
      </c>
      <c r="B11459" s="6">
        <v>393.75</v>
      </c>
      <c r="C11459" s="6">
        <v>20.478950000000001</v>
      </c>
      <c r="D11459" s="6">
        <v>102</v>
      </c>
      <c r="E11459" s="6">
        <v>0</v>
      </c>
      <c r="F11459" s="6">
        <v>0</v>
      </c>
      <c r="G11459" s="6">
        <v>5</v>
      </c>
      <c r="H11459" s="6" t="s">
        <v>23233</v>
      </c>
      <c r="I11459" s="6">
        <v>526.6875</v>
      </c>
      <c r="J11459" s="2">
        <f t="shared" si="179"/>
        <v>43748.321228159715</v>
      </c>
    </row>
    <row r="11460" spans="1:10" x14ac:dyDescent="0.25">
      <c r="A11460" s="7" t="s">
        <v>23234</v>
      </c>
      <c r="B11460" s="8">
        <v>393.75</v>
      </c>
      <c r="C11460" s="8">
        <v>20.478950000000001</v>
      </c>
      <c r="D11460" s="8">
        <v>101</v>
      </c>
      <c r="E11460" s="8">
        <v>0</v>
      </c>
      <c r="F11460" s="8">
        <v>0</v>
      </c>
      <c r="G11460" s="8">
        <v>11</v>
      </c>
      <c r="H11460" s="8" t="s">
        <v>23235</v>
      </c>
      <c r="I11460" s="8">
        <v>526.6875</v>
      </c>
      <c r="J11460" s="3">
        <f t="shared" si="179"/>
        <v>43748.321299687501</v>
      </c>
    </row>
    <row r="11461" spans="1:10" x14ac:dyDescent="0.25">
      <c r="A11461" s="5" t="s">
        <v>23236</v>
      </c>
      <c r="B11461" s="6">
        <v>393.75</v>
      </c>
      <c r="C11461" s="6">
        <v>20.478950000000001</v>
      </c>
      <c r="D11461" s="6">
        <v>102</v>
      </c>
      <c r="E11461" s="6">
        <v>0</v>
      </c>
      <c r="F11461" s="6">
        <v>0</v>
      </c>
      <c r="G11461" s="6">
        <v>0</v>
      </c>
      <c r="H11461" s="6" t="s">
        <v>23237</v>
      </c>
      <c r="I11461" s="6">
        <v>526.5</v>
      </c>
      <c r="J11461" s="2">
        <f t="shared" si="179"/>
        <v>43748.321370983795</v>
      </c>
    </row>
    <row r="11462" spans="1:10" x14ac:dyDescent="0.25">
      <c r="A11462" s="7" t="s">
        <v>23238</v>
      </c>
      <c r="B11462" s="8">
        <v>393.75</v>
      </c>
      <c r="C11462" s="8">
        <v>20.426300000000001</v>
      </c>
      <c r="D11462" s="8">
        <v>101</v>
      </c>
      <c r="E11462" s="8">
        <v>0</v>
      </c>
      <c r="F11462" s="8">
        <v>0</v>
      </c>
      <c r="G11462" s="8">
        <v>0</v>
      </c>
      <c r="H11462" s="8" t="s">
        <v>23239</v>
      </c>
      <c r="I11462" s="8">
        <v>526.5</v>
      </c>
      <c r="J11462" s="3">
        <f t="shared" si="179"/>
        <v>43748.321455636571</v>
      </c>
    </row>
    <row r="11463" spans="1:10" x14ac:dyDescent="0.25">
      <c r="A11463" s="5" t="s">
        <v>23240</v>
      </c>
      <c r="B11463" s="6">
        <v>393.75</v>
      </c>
      <c r="C11463" s="6">
        <v>20.478950000000001</v>
      </c>
      <c r="D11463" s="6">
        <v>101</v>
      </c>
      <c r="E11463" s="6">
        <v>0</v>
      </c>
      <c r="F11463" s="6">
        <v>0</v>
      </c>
      <c r="G11463" s="6">
        <v>8</v>
      </c>
      <c r="H11463" s="6" t="s">
        <v>23241</v>
      </c>
      <c r="I11463" s="6">
        <v>526.6875</v>
      </c>
      <c r="J11463" s="2">
        <f t="shared" si="179"/>
        <v>43748.321550196757</v>
      </c>
    </row>
    <row r="11464" spans="1:10" x14ac:dyDescent="0.25">
      <c r="A11464" s="7" t="s">
        <v>23242</v>
      </c>
      <c r="B11464" s="8">
        <v>412.5</v>
      </c>
      <c r="C11464" s="8">
        <v>20.478950000000001</v>
      </c>
      <c r="D11464" s="8">
        <v>101</v>
      </c>
      <c r="E11464" s="8">
        <v>0</v>
      </c>
      <c r="F11464" s="8">
        <v>0</v>
      </c>
      <c r="G11464" s="8">
        <v>5</v>
      </c>
      <c r="H11464" s="8" t="s">
        <v>23243</v>
      </c>
      <c r="I11464" s="8">
        <v>532.125</v>
      </c>
      <c r="J11464" s="3">
        <f t="shared" si="179"/>
        <v>43748.321633645835</v>
      </c>
    </row>
    <row r="11465" spans="1:10" x14ac:dyDescent="0.25">
      <c r="A11465" s="5" t="s">
        <v>23244</v>
      </c>
      <c r="B11465" s="6">
        <v>393.75</v>
      </c>
      <c r="C11465" s="6">
        <v>20.426300000000001</v>
      </c>
      <c r="D11465" s="6">
        <v>101</v>
      </c>
      <c r="E11465" s="6">
        <v>0</v>
      </c>
      <c r="F11465" s="6">
        <v>0</v>
      </c>
      <c r="G11465" s="6">
        <v>3</v>
      </c>
      <c r="H11465" s="6" t="s">
        <v>23245</v>
      </c>
      <c r="I11465" s="6">
        <v>526.6875</v>
      </c>
      <c r="J11465" s="2">
        <f t="shared" si="179"/>
        <v>43748.321704930553</v>
      </c>
    </row>
    <row r="11466" spans="1:10" x14ac:dyDescent="0.25">
      <c r="A11466" s="7" t="s">
        <v>23246</v>
      </c>
      <c r="B11466" s="8">
        <v>393.75</v>
      </c>
      <c r="C11466" s="8">
        <v>20.478950000000001</v>
      </c>
      <c r="D11466" s="8">
        <v>101</v>
      </c>
      <c r="E11466" s="8">
        <v>0</v>
      </c>
      <c r="F11466" s="8">
        <v>0</v>
      </c>
      <c r="G11466" s="8">
        <v>5</v>
      </c>
      <c r="H11466" s="8" t="s">
        <v>23247</v>
      </c>
      <c r="I11466" s="8">
        <v>526.6875</v>
      </c>
      <c r="J11466" s="3">
        <f t="shared" si="179"/>
        <v>43748.321776689809</v>
      </c>
    </row>
    <row r="11467" spans="1:10" x14ac:dyDescent="0.25">
      <c r="A11467" s="5" t="s">
        <v>23248</v>
      </c>
      <c r="B11467" s="6">
        <v>393.75</v>
      </c>
      <c r="C11467" s="6">
        <v>20.478950000000001</v>
      </c>
      <c r="D11467" s="6">
        <v>101</v>
      </c>
      <c r="E11467" s="6">
        <v>0</v>
      </c>
      <c r="F11467" s="6">
        <v>0</v>
      </c>
      <c r="G11467" s="6">
        <v>6</v>
      </c>
      <c r="H11467" s="6" t="s">
        <v>23249</v>
      </c>
      <c r="I11467" s="6">
        <v>526.6875</v>
      </c>
      <c r="J11467" s="2">
        <f t="shared" si="179"/>
        <v>43748.321859942131</v>
      </c>
    </row>
    <row r="11468" spans="1:10" x14ac:dyDescent="0.25">
      <c r="A11468" s="7" t="s">
        <v>23250</v>
      </c>
      <c r="B11468" s="8">
        <v>393.75</v>
      </c>
      <c r="C11468" s="8">
        <v>20.478950000000001</v>
      </c>
      <c r="D11468" s="8">
        <v>101</v>
      </c>
      <c r="E11468" s="8">
        <v>0</v>
      </c>
      <c r="F11468" s="8">
        <v>0</v>
      </c>
      <c r="G11468" s="8">
        <v>3</v>
      </c>
      <c r="H11468" s="8" t="s">
        <v>23251</v>
      </c>
      <c r="I11468" s="8">
        <v>526.5</v>
      </c>
      <c r="J11468" s="3">
        <f t="shared" si="179"/>
        <v>43748.321931678242</v>
      </c>
    </row>
    <row r="11469" spans="1:10" x14ac:dyDescent="0.25">
      <c r="A11469" s="5" t="s">
        <v>23252</v>
      </c>
      <c r="B11469" s="6">
        <v>393.75</v>
      </c>
      <c r="C11469" s="6">
        <v>20.478950000000001</v>
      </c>
      <c r="D11469" s="6">
        <v>99</v>
      </c>
      <c r="E11469" s="6">
        <v>0</v>
      </c>
      <c r="F11469" s="6">
        <v>0</v>
      </c>
      <c r="G11469" s="6">
        <v>2</v>
      </c>
      <c r="H11469" s="6" t="s">
        <v>23253</v>
      </c>
      <c r="I11469" s="6">
        <v>526.6875</v>
      </c>
      <c r="J11469" s="2">
        <f t="shared" si="179"/>
        <v>43748.322027604161</v>
      </c>
    </row>
    <row r="11470" spans="1:10" x14ac:dyDescent="0.25">
      <c r="A11470" s="7" t="s">
        <v>23254</v>
      </c>
      <c r="B11470" s="8">
        <v>393.75</v>
      </c>
      <c r="C11470" s="8">
        <v>20.478950000000001</v>
      </c>
      <c r="D11470" s="8">
        <v>98</v>
      </c>
      <c r="E11470" s="8">
        <v>0</v>
      </c>
      <c r="F11470" s="8">
        <v>0</v>
      </c>
      <c r="G11470" s="8">
        <v>11</v>
      </c>
      <c r="H11470" s="8" t="s">
        <v>23255</v>
      </c>
      <c r="I11470" s="8">
        <v>526.6875</v>
      </c>
      <c r="J11470" s="3">
        <f t="shared" si="179"/>
        <v>43748.322110601854</v>
      </c>
    </row>
    <row r="11471" spans="1:10" x14ac:dyDescent="0.25">
      <c r="A11471" s="5" t="s">
        <v>23256</v>
      </c>
      <c r="B11471" s="6">
        <v>393.75</v>
      </c>
      <c r="C11471" s="6">
        <v>20.478950000000001</v>
      </c>
      <c r="D11471" s="6">
        <v>99</v>
      </c>
      <c r="E11471" s="6">
        <v>0</v>
      </c>
      <c r="F11471" s="6">
        <v>0</v>
      </c>
      <c r="G11471" s="6">
        <v>3</v>
      </c>
      <c r="H11471" s="6" t="s">
        <v>23257</v>
      </c>
      <c r="I11471" s="6">
        <v>526.6875</v>
      </c>
      <c r="J11471" s="2">
        <f t="shared" si="179"/>
        <v>43748.322182141201</v>
      </c>
    </row>
    <row r="11472" spans="1:10" x14ac:dyDescent="0.25">
      <c r="A11472" s="7" t="s">
        <v>23258</v>
      </c>
      <c r="B11472" s="8">
        <v>393.75</v>
      </c>
      <c r="C11472" s="8">
        <v>20.478950000000001</v>
      </c>
      <c r="D11472" s="8">
        <v>98</v>
      </c>
      <c r="E11472" s="8">
        <v>0</v>
      </c>
      <c r="F11472" s="8">
        <v>0</v>
      </c>
      <c r="G11472" s="8">
        <v>0</v>
      </c>
      <c r="H11472" s="8" t="s">
        <v>23259</v>
      </c>
      <c r="I11472" s="8">
        <v>526.6875</v>
      </c>
      <c r="J11472" s="3">
        <f t="shared" si="179"/>
        <v>43748.322253668979</v>
      </c>
    </row>
    <row r="11473" spans="1:10" x14ac:dyDescent="0.25">
      <c r="A11473" s="5" t="s">
        <v>23260</v>
      </c>
      <c r="B11473" s="6">
        <v>393.75</v>
      </c>
      <c r="C11473" s="6">
        <v>20.426300000000001</v>
      </c>
      <c r="D11473" s="6">
        <v>98</v>
      </c>
      <c r="E11473" s="6">
        <v>0</v>
      </c>
      <c r="F11473" s="6">
        <v>0</v>
      </c>
      <c r="G11473" s="6">
        <v>8</v>
      </c>
      <c r="H11473" s="6" t="s">
        <v>23261</v>
      </c>
      <c r="I11473" s="6">
        <v>526.5</v>
      </c>
      <c r="J11473" s="2">
        <f t="shared" si="179"/>
        <v>43748.32233722222</v>
      </c>
    </row>
    <row r="11474" spans="1:10" x14ac:dyDescent="0.25">
      <c r="A11474" s="7" t="s">
        <v>23262</v>
      </c>
      <c r="B11474" s="8">
        <v>393.75</v>
      </c>
      <c r="C11474" s="8">
        <v>20.478950000000001</v>
      </c>
      <c r="D11474" s="8">
        <v>98</v>
      </c>
      <c r="E11474" s="8">
        <v>0</v>
      </c>
      <c r="F11474" s="8">
        <v>0</v>
      </c>
      <c r="G11474" s="8">
        <v>7</v>
      </c>
      <c r="H11474" s="8" t="s">
        <v>23263</v>
      </c>
      <c r="I11474" s="8">
        <v>526.6875</v>
      </c>
      <c r="J11474" s="3">
        <f t="shared" si="179"/>
        <v>43748.322420671298</v>
      </c>
    </row>
    <row r="11475" spans="1:10" x14ac:dyDescent="0.25">
      <c r="A11475" s="5" t="s">
        <v>23264</v>
      </c>
      <c r="B11475" s="6">
        <v>412.5</v>
      </c>
      <c r="C11475" s="6">
        <v>20.426300000000001</v>
      </c>
      <c r="D11475" s="6">
        <v>98</v>
      </c>
      <c r="E11475" s="6">
        <v>0</v>
      </c>
      <c r="F11475" s="6">
        <v>0</v>
      </c>
      <c r="G11475" s="6">
        <v>10</v>
      </c>
      <c r="H11475" s="6" t="s">
        <v>23265</v>
      </c>
      <c r="I11475" s="6">
        <v>532.875</v>
      </c>
      <c r="J11475" s="2">
        <f t="shared" si="179"/>
        <v>43748.322504444441</v>
      </c>
    </row>
    <row r="11476" spans="1:10" x14ac:dyDescent="0.25">
      <c r="A11476" s="7" t="s">
        <v>23266</v>
      </c>
      <c r="B11476" s="8">
        <v>393.75</v>
      </c>
      <c r="C11476" s="8">
        <v>20.426300000000001</v>
      </c>
      <c r="D11476" s="8">
        <v>98</v>
      </c>
      <c r="E11476" s="8">
        <v>0</v>
      </c>
      <c r="F11476" s="8">
        <v>0</v>
      </c>
      <c r="G11476" s="8">
        <v>4</v>
      </c>
      <c r="H11476" s="8" t="s">
        <v>23267</v>
      </c>
      <c r="I11476" s="8">
        <v>526.5</v>
      </c>
      <c r="J11476" s="3">
        <f t="shared" si="179"/>
        <v>43748.322575659717</v>
      </c>
    </row>
    <row r="11477" spans="1:10" x14ac:dyDescent="0.25">
      <c r="A11477" s="5" t="s">
        <v>23268</v>
      </c>
      <c r="B11477" s="6">
        <v>393.75</v>
      </c>
      <c r="C11477" s="6">
        <v>20.478950000000001</v>
      </c>
      <c r="D11477" s="6">
        <v>99</v>
      </c>
      <c r="E11477" s="6">
        <v>0</v>
      </c>
      <c r="F11477" s="6">
        <v>0</v>
      </c>
      <c r="G11477" s="6">
        <v>11</v>
      </c>
      <c r="H11477" s="6" t="s">
        <v>23269</v>
      </c>
      <c r="I11477" s="6">
        <v>526.6875</v>
      </c>
      <c r="J11477" s="2">
        <f t="shared" si="179"/>
        <v>43748.322647326386</v>
      </c>
    </row>
    <row r="11478" spans="1:10" x14ac:dyDescent="0.25">
      <c r="A11478" s="7" t="s">
        <v>23270</v>
      </c>
      <c r="B11478" s="8">
        <v>393.75</v>
      </c>
      <c r="C11478" s="8">
        <v>20.478950000000001</v>
      </c>
      <c r="D11478" s="8">
        <v>100</v>
      </c>
      <c r="E11478" s="8">
        <v>0</v>
      </c>
      <c r="F11478" s="8">
        <v>0</v>
      </c>
      <c r="G11478" s="8">
        <v>18</v>
      </c>
      <c r="H11478" s="8" t="s">
        <v>23271</v>
      </c>
      <c r="I11478" s="8">
        <v>526.6875</v>
      </c>
      <c r="J11478" s="3">
        <f t="shared" si="179"/>
        <v>43748.322730405089</v>
      </c>
    </row>
    <row r="11479" spans="1:10" x14ac:dyDescent="0.25">
      <c r="A11479" s="5" t="s">
        <v>23272</v>
      </c>
      <c r="B11479" s="6">
        <v>393.75</v>
      </c>
      <c r="C11479" s="6">
        <v>20.426300000000001</v>
      </c>
      <c r="D11479" s="6">
        <v>100</v>
      </c>
      <c r="E11479" s="6">
        <v>0</v>
      </c>
      <c r="F11479" s="6">
        <v>0</v>
      </c>
      <c r="G11479" s="6">
        <v>8</v>
      </c>
      <c r="H11479" s="6" t="s">
        <v>23273</v>
      </c>
      <c r="I11479" s="6">
        <v>526.6875</v>
      </c>
      <c r="J11479" s="2">
        <f t="shared" si="179"/>
        <v>43748.322801932867</v>
      </c>
    </row>
    <row r="11480" spans="1:10" x14ac:dyDescent="0.25">
      <c r="A11480" s="7" t="s">
        <v>23274</v>
      </c>
      <c r="B11480" s="8">
        <v>393.75</v>
      </c>
      <c r="C11480" s="8">
        <v>20.478950000000001</v>
      </c>
      <c r="D11480" s="8">
        <v>100</v>
      </c>
      <c r="E11480" s="8">
        <v>0</v>
      </c>
      <c r="F11480" s="8">
        <v>0</v>
      </c>
      <c r="G11480" s="8">
        <v>0</v>
      </c>
      <c r="H11480" s="8" t="s">
        <v>23275</v>
      </c>
      <c r="I11480" s="8">
        <v>526.6875</v>
      </c>
      <c r="J11480" s="3">
        <f t="shared" si="179"/>
        <v>43748.322885844907</v>
      </c>
    </row>
    <row r="11481" spans="1:10" x14ac:dyDescent="0.25">
      <c r="A11481" s="5" t="s">
        <v>23276</v>
      </c>
      <c r="B11481" s="6">
        <v>393.75</v>
      </c>
      <c r="C11481" s="6">
        <v>20.478950000000001</v>
      </c>
      <c r="D11481" s="6">
        <v>100</v>
      </c>
      <c r="E11481" s="6">
        <v>0</v>
      </c>
      <c r="F11481" s="6">
        <v>0</v>
      </c>
      <c r="G11481" s="6">
        <v>10</v>
      </c>
      <c r="H11481" s="6" t="s">
        <v>23277</v>
      </c>
      <c r="I11481" s="6">
        <v>526.6875</v>
      </c>
      <c r="J11481" s="2">
        <f t="shared" si="179"/>
        <v>43748.32295736111</v>
      </c>
    </row>
    <row r="11482" spans="1:10" x14ac:dyDescent="0.25">
      <c r="A11482" s="7" t="s">
        <v>23278</v>
      </c>
      <c r="B11482" s="8">
        <v>393.75</v>
      </c>
      <c r="C11482" s="8">
        <v>20.478950000000001</v>
      </c>
      <c r="D11482" s="8">
        <v>101</v>
      </c>
      <c r="E11482" s="8">
        <v>0</v>
      </c>
      <c r="F11482" s="8">
        <v>0</v>
      </c>
      <c r="G11482" s="8">
        <v>7</v>
      </c>
      <c r="H11482" s="8" t="s">
        <v>23279</v>
      </c>
      <c r="I11482" s="8">
        <v>526.6875</v>
      </c>
      <c r="J11482" s="3">
        <f t="shared" si="179"/>
        <v>43748.323040810188</v>
      </c>
    </row>
    <row r="11483" spans="1:10" x14ac:dyDescent="0.25">
      <c r="A11483" s="5" t="s">
        <v>23280</v>
      </c>
      <c r="B11483" s="6">
        <v>393.75</v>
      </c>
      <c r="C11483" s="6">
        <v>20.478950000000001</v>
      </c>
      <c r="D11483" s="6">
        <v>101</v>
      </c>
      <c r="E11483" s="6">
        <v>0</v>
      </c>
      <c r="F11483" s="6">
        <v>0</v>
      </c>
      <c r="G11483" s="6">
        <v>13</v>
      </c>
      <c r="H11483" s="6" t="s">
        <v>23281</v>
      </c>
      <c r="I11483" s="6">
        <v>526.6875</v>
      </c>
      <c r="J11483" s="2">
        <f t="shared" si="179"/>
        <v>43748.323112129627</v>
      </c>
    </row>
    <row r="11484" spans="1:10" x14ac:dyDescent="0.25">
      <c r="A11484" s="7" t="s">
        <v>23282</v>
      </c>
      <c r="B11484" s="8">
        <v>393.75</v>
      </c>
      <c r="C11484" s="8">
        <v>20.426300000000001</v>
      </c>
      <c r="D11484" s="8">
        <v>101</v>
      </c>
      <c r="E11484" s="8">
        <v>0</v>
      </c>
      <c r="F11484" s="8">
        <v>0</v>
      </c>
      <c r="G11484" s="8">
        <v>11</v>
      </c>
      <c r="H11484" s="8" t="s">
        <v>23283</v>
      </c>
      <c r="I11484" s="8">
        <v>526.6875</v>
      </c>
      <c r="J11484" s="3">
        <f t="shared" si="179"/>
        <v>43748.323183946755</v>
      </c>
    </row>
    <row r="11485" spans="1:10" x14ac:dyDescent="0.25">
      <c r="A11485" s="5" t="s">
        <v>23284</v>
      </c>
      <c r="B11485" s="6">
        <v>393.75</v>
      </c>
      <c r="C11485" s="6">
        <v>20.478950000000001</v>
      </c>
      <c r="D11485" s="6">
        <v>100</v>
      </c>
      <c r="E11485" s="6">
        <v>0</v>
      </c>
      <c r="F11485" s="6">
        <v>0</v>
      </c>
      <c r="G11485" s="6">
        <v>8</v>
      </c>
      <c r="H11485" s="6" t="s">
        <v>23285</v>
      </c>
      <c r="I11485" s="6">
        <v>526.6875</v>
      </c>
      <c r="J11485" s="2">
        <f t="shared" si="179"/>
        <v>43748.323270983798</v>
      </c>
    </row>
    <row r="11486" spans="1:10" x14ac:dyDescent="0.25">
      <c r="A11486" s="7" t="s">
        <v>23286</v>
      </c>
      <c r="B11486" s="8">
        <v>393.75</v>
      </c>
      <c r="C11486" s="8">
        <v>20.478950000000001</v>
      </c>
      <c r="D11486" s="8">
        <v>102</v>
      </c>
      <c r="E11486" s="8">
        <v>0</v>
      </c>
      <c r="F11486" s="8">
        <v>0</v>
      </c>
      <c r="G11486" s="8">
        <v>9</v>
      </c>
      <c r="H11486" s="8" t="s">
        <v>23287</v>
      </c>
      <c r="I11486" s="8">
        <v>526.6875</v>
      </c>
      <c r="J11486" s="3">
        <f t="shared" si="179"/>
        <v>43748.323350891202</v>
      </c>
    </row>
    <row r="11487" spans="1:10" x14ac:dyDescent="0.25">
      <c r="A11487" s="5" t="s">
        <v>23288</v>
      </c>
      <c r="B11487" s="6">
        <v>418.75</v>
      </c>
      <c r="C11487" s="6">
        <v>20.478950000000001</v>
      </c>
      <c r="D11487" s="6">
        <v>102</v>
      </c>
      <c r="E11487" s="6">
        <v>0</v>
      </c>
      <c r="F11487" s="6">
        <v>0</v>
      </c>
      <c r="G11487" s="6">
        <v>7</v>
      </c>
      <c r="H11487" s="6" t="s">
        <v>23289</v>
      </c>
      <c r="I11487" s="6">
        <v>534.75</v>
      </c>
      <c r="J11487" s="2">
        <f t="shared" si="179"/>
        <v>43748.323422407404</v>
      </c>
    </row>
    <row r="11488" spans="1:10" x14ac:dyDescent="0.25">
      <c r="A11488" s="7" t="s">
        <v>23290</v>
      </c>
      <c r="B11488" s="8">
        <v>393.75</v>
      </c>
      <c r="C11488" s="8">
        <v>20.478950000000001</v>
      </c>
      <c r="D11488" s="8">
        <v>99</v>
      </c>
      <c r="E11488" s="8">
        <v>0</v>
      </c>
      <c r="F11488" s="8">
        <v>0</v>
      </c>
      <c r="G11488" s="8">
        <v>8</v>
      </c>
      <c r="H11488" s="8" t="s">
        <v>23291</v>
      </c>
      <c r="I11488" s="8">
        <v>526.6875</v>
      </c>
      <c r="J11488" s="3">
        <f t="shared" si="179"/>
        <v>43748.323493958327</v>
      </c>
    </row>
    <row r="11489" spans="1:10" x14ac:dyDescent="0.25">
      <c r="A11489" s="5" t="s">
        <v>23292</v>
      </c>
      <c r="B11489" s="6">
        <v>393.75</v>
      </c>
      <c r="C11489" s="6">
        <v>20.478950000000001</v>
      </c>
      <c r="D11489" s="6">
        <v>100</v>
      </c>
      <c r="E11489" s="6">
        <v>0</v>
      </c>
      <c r="F11489" s="6">
        <v>0</v>
      </c>
      <c r="G11489" s="6">
        <v>11</v>
      </c>
      <c r="H11489" s="6" t="s">
        <v>23293</v>
      </c>
      <c r="I11489" s="6">
        <v>526.5</v>
      </c>
      <c r="J11489" s="2">
        <f t="shared" si="179"/>
        <v>43748.323565578707</v>
      </c>
    </row>
    <row r="11490" spans="1:10" x14ac:dyDescent="0.25">
      <c r="A11490" s="7" t="s">
        <v>23294</v>
      </c>
      <c r="B11490" s="8">
        <v>393.75</v>
      </c>
      <c r="C11490" s="8">
        <v>20.426300000000001</v>
      </c>
      <c r="D11490" s="8">
        <v>100</v>
      </c>
      <c r="E11490" s="8">
        <v>0</v>
      </c>
      <c r="F11490" s="8">
        <v>0</v>
      </c>
      <c r="G11490" s="8">
        <v>4</v>
      </c>
      <c r="H11490" s="8" t="s">
        <v>23295</v>
      </c>
      <c r="I11490" s="8">
        <v>526.6875</v>
      </c>
      <c r="J11490" s="3">
        <f t="shared" si="179"/>
        <v>43748.323648796293</v>
      </c>
    </row>
    <row r="11491" spans="1:10" x14ac:dyDescent="0.25">
      <c r="A11491" s="5" t="s">
        <v>23296</v>
      </c>
      <c r="B11491" s="6">
        <v>393.75</v>
      </c>
      <c r="C11491" s="6">
        <v>20.478950000000001</v>
      </c>
      <c r="D11491" s="6">
        <v>100</v>
      </c>
      <c r="E11491" s="6">
        <v>0</v>
      </c>
      <c r="F11491" s="6">
        <v>0</v>
      </c>
      <c r="G11491" s="6">
        <v>8</v>
      </c>
      <c r="H11491" s="6" t="s">
        <v>23297</v>
      </c>
      <c r="I11491" s="6">
        <v>526.6875</v>
      </c>
      <c r="J11491" s="2">
        <f t="shared" si="179"/>
        <v>43748.323720451386</v>
      </c>
    </row>
    <row r="11492" spans="1:10" x14ac:dyDescent="0.25">
      <c r="A11492" s="7" t="s">
        <v>23298</v>
      </c>
      <c r="B11492" s="8">
        <v>393.75</v>
      </c>
      <c r="C11492" s="8">
        <v>20.478950000000001</v>
      </c>
      <c r="D11492" s="8">
        <v>99</v>
      </c>
      <c r="E11492" s="8">
        <v>0</v>
      </c>
      <c r="F11492" s="8">
        <v>0</v>
      </c>
      <c r="G11492" s="8">
        <v>6</v>
      </c>
      <c r="H11492" s="8" t="s">
        <v>23299</v>
      </c>
      <c r="I11492" s="8">
        <v>526.6875</v>
      </c>
      <c r="J11492" s="3">
        <f t="shared" si="179"/>
        <v>43748.323804016203</v>
      </c>
    </row>
    <row r="11493" spans="1:10" x14ac:dyDescent="0.25">
      <c r="A11493" s="5" t="s">
        <v>23300</v>
      </c>
      <c r="B11493" s="6">
        <v>393.75</v>
      </c>
      <c r="C11493" s="6">
        <v>20.478950000000001</v>
      </c>
      <c r="D11493" s="6">
        <v>100</v>
      </c>
      <c r="E11493" s="6">
        <v>0</v>
      </c>
      <c r="F11493" s="6">
        <v>0</v>
      </c>
      <c r="G11493" s="6">
        <v>6</v>
      </c>
      <c r="H11493" s="6" t="s">
        <v>23301</v>
      </c>
      <c r="I11493" s="6">
        <v>526.6875</v>
      </c>
      <c r="J11493" s="2">
        <f t="shared" si="179"/>
        <v>43748.323875624999</v>
      </c>
    </row>
    <row r="11494" spans="1:10" x14ac:dyDescent="0.25">
      <c r="A11494" s="7" t="s">
        <v>23302</v>
      </c>
      <c r="B11494" s="8">
        <v>437.5</v>
      </c>
      <c r="C11494" s="8">
        <v>20.478950000000001</v>
      </c>
      <c r="D11494" s="8">
        <v>101</v>
      </c>
      <c r="E11494" s="8">
        <v>0</v>
      </c>
      <c r="F11494" s="8">
        <v>0</v>
      </c>
      <c r="G11494" s="8">
        <v>5</v>
      </c>
      <c r="H11494" s="8" t="s">
        <v>23303</v>
      </c>
      <c r="I11494" s="8">
        <v>540</v>
      </c>
      <c r="J11494" s="3">
        <f t="shared" si="179"/>
        <v>43748.32394707176</v>
      </c>
    </row>
    <row r="11495" spans="1:10" x14ac:dyDescent="0.25">
      <c r="A11495" s="5" t="s">
        <v>23304</v>
      </c>
      <c r="B11495" s="6">
        <v>393.75</v>
      </c>
      <c r="C11495" s="6">
        <v>20.478950000000001</v>
      </c>
      <c r="D11495" s="6">
        <v>102</v>
      </c>
      <c r="E11495" s="6">
        <v>0</v>
      </c>
      <c r="F11495" s="6">
        <v>0</v>
      </c>
      <c r="G11495" s="6">
        <v>7</v>
      </c>
      <c r="H11495" s="6" t="s">
        <v>23305</v>
      </c>
      <c r="I11495" s="6">
        <v>526.6875</v>
      </c>
      <c r="J11495" s="2">
        <f t="shared" si="179"/>
        <v>43748.324030289346</v>
      </c>
    </row>
    <row r="11496" spans="1:10" x14ac:dyDescent="0.25">
      <c r="A11496" s="7" t="s">
        <v>23306</v>
      </c>
      <c r="B11496" s="8">
        <v>393.75</v>
      </c>
      <c r="C11496" s="8">
        <v>20.478950000000001</v>
      </c>
      <c r="D11496" s="8">
        <v>102</v>
      </c>
      <c r="E11496" s="8">
        <v>0</v>
      </c>
      <c r="F11496" s="8">
        <v>0</v>
      </c>
      <c r="G11496" s="8">
        <v>4</v>
      </c>
      <c r="H11496" s="8" t="s">
        <v>23307</v>
      </c>
      <c r="I11496" s="8">
        <v>526.6875</v>
      </c>
      <c r="J11496" s="3">
        <f t="shared" si="179"/>
        <v>43748.324126076383</v>
      </c>
    </row>
    <row r="11497" spans="1:10" x14ac:dyDescent="0.25">
      <c r="A11497" s="5" t="s">
        <v>23308</v>
      </c>
      <c r="B11497" s="6">
        <v>393.75</v>
      </c>
      <c r="C11497" s="6">
        <v>20.478950000000001</v>
      </c>
      <c r="D11497" s="6">
        <v>98</v>
      </c>
      <c r="E11497" s="6">
        <v>0</v>
      </c>
      <c r="F11497" s="6">
        <v>0</v>
      </c>
      <c r="G11497" s="6">
        <v>11</v>
      </c>
      <c r="H11497" s="6" t="s">
        <v>23309</v>
      </c>
      <c r="I11497" s="6">
        <v>526.6875</v>
      </c>
      <c r="J11497" s="2">
        <f t="shared" si="179"/>
        <v>43748.324209409715</v>
      </c>
    </row>
    <row r="11498" spans="1:10" x14ac:dyDescent="0.25">
      <c r="A11498" s="7" t="s">
        <v>23310</v>
      </c>
      <c r="B11498" s="8">
        <v>393.75</v>
      </c>
      <c r="C11498" s="8">
        <v>20.478950000000001</v>
      </c>
      <c r="D11498" s="8">
        <v>98</v>
      </c>
      <c r="E11498" s="8">
        <v>0</v>
      </c>
      <c r="F11498" s="8">
        <v>0</v>
      </c>
      <c r="G11498" s="8">
        <v>7</v>
      </c>
      <c r="H11498" s="8" t="s">
        <v>23311</v>
      </c>
      <c r="I11498" s="8">
        <v>526.6875</v>
      </c>
      <c r="J11498" s="3">
        <f t="shared" si="179"/>
        <v>43748.324292847225</v>
      </c>
    </row>
    <row r="11499" spans="1:10" x14ac:dyDescent="0.25">
      <c r="A11499" s="5" t="s">
        <v>23312</v>
      </c>
      <c r="B11499" s="6">
        <v>393.75</v>
      </c>
      <c r="C11499" s="6">
        <v>20.478950000000001</v>
      </c>
      <c r="D11499" s="6">
        <v>99</v>
      </c>
      <c r="E11499" s="6">
        <v>0</v>
      </c>
      <c r="F11499" s="6">
        <v>0</v>
      </c>
      <c r="G11499" s="6">
        <v>11</v>
      </c>
      <c r="H11499" s="6" t="s">
        <v>23313</v>
      </c>
      <c r="I11499" s="6">
        <v>526.6875</v>
      </c>
      <c r="J11499" s="2">
        <f t="shared" si="179"/>
        <v>43748.324364398148</v>
      </c>
    </row>
    <row r="11500" spans="1:10" x14ac:dyDescent="0.25">
      <c r="A11500" s="7" t="s">
        <v>23314</v>
      </c>
      <c r="B11500" s="8">
        <v>393.75</v>
      </c>
      <c r="C11500" s="8">
        <v>20.478950000000001</v>
      </c>
      <c r="D11500" s="8">
        <v>99</v>
      </c>
      <c r="E11500" s="8">
        <v>0</v>
      </c>
      <c r="F11500" s="8">
        <v>0</v>
      </c>
      <c r="G11500" s="8">
        <v>6</v>
      </c>
      <c r="H11500" s="8" t="s">
        <v>23315</v>
      </c>
      <c r="I11500" s="8">
        <v>526.5</v>
      </c>
      <c r="J11500" s="3">
        <f t="shared" si="179"/>
        <v>43748.324436041665</v>
      </c>
    </row>
    <row r="11501" spans="1:10" x14ac:dyDescent="0.25">
      <c r="A11501" s="5" t="s">
        <v>23316</v>
      </c>
      <c r="B11501" s="6">
        <v>393.75</v>
      </c>
      <c r="C11501" s="6">
        <v>20.478950000000001</v>
      </c>
      <c r="D11501" s="6">
        <v>99</v>
      </c>
      <c r="E11501" s="6">
        <v>0</v>
      </c>
      <c r="F11501" s="6">
        <v>0</v>
      </c>
      <c r="G11501" s="6">
        <v>17</v>
      </c>
      <c r="H11501" s="6" t="s">
        <v>23317</v>
      </c>
      <c r="I11501" s="6">
        <v>526.6875</v>
      </c>
      <c r="J11501" s="2">
        <f t="shared" si="179"/>
        <v>43748.324507557867</v>
      </c>
    </row>
    <row r="11502" spans="1:10" x14ac:dyDescent="0.25">
      <c r="A11502" s="7" t="s">
        <v>23318</v>
      </c>
      <c r="B11502" s="8">
        <v>393.75</v>
      </c>
      <c r="C11502" s="8">
        <v>20.426300000000001</v>
      </c>
      <c r="D11502" s="8">
        <v>99</v>
      </c>
      <c r="E11502" s="8">
        <v>0</v>
      </c>
      <c r="F11502" s="8">
        <v>0</v>
      </c>
      <c r="G11502" s="8">
        <v>9</v>
      </c>
      <c r="H11502" s="8" t="s">
        <v>23319</v>
      </c>
      <c r="I11502" s="8">
        <v>526.6875</v>
      </c>
      <c r="J11502" s="3">
        <f t="shared" si="179"/>
        <v>43748.324579756947</v>
      </c>
    </row>
    <row r="11503" spans="1:10" x14ac:dyDescent="0.25">
      <c r="A11503" s="5" t="s">
        <v>23320</v>
      </c>
      <c r="B11503" s="6">
        <v>393.75</v>
      </c>
      <c r="C11503" s="6">
        <v>20.478950000000001</v>
      </c>
      <c r="D11503" s="6">
        <v>99</v>
      </c>
      <c r="E11503" s="6">
        <v>0</v>
      </c>
      <c r="F11503" s="6">
        <v>0</v>
      </c>
      <c r="G11503" s="6">
        <v>8</v>
      </c>
      <c r="H11503" s="6" t="s">
        <v>23321</v>
      </c>
      <c r="I11503" s="6">
        <v>526.6875</v>
      </c>
      <c r="J11503" s="2">
        <f t="shared" si="179"/>
        <v>43748.324662696752</v>
      </c>
    </row>
    <row r="11504" spans="1:10" x14ac:dyDescent="0.25">
      <c r="A11504" s="7" t="s">
        <v>23322</v>
      </c>
      <c r="B11504" s="8">
        <v>396.875</v>
      </c>
      <c r="C11504" s="8">
        <v>20.426300000000001</v>
      </c>
      <c r="D11504" s="8">
        <v>99</v>
      </c>
      <c r="E11504" s="8">
        <v>0</v>
      </c>
      <c r="F11504" s="8">
        <v>0</v>
      </c>
      <c r="G11504" s="8">
        <v>12</v>
      </c>
      <c r="H11504" s="8" t="s">
        <v>23323</v>
      </c>
      <c r="I11504" s="8">
        <v>527.4375</v>
      </c>
      <c r="J11504" s="3">
        <f t="shared" si="179"/>
        <v>43748.324733993053</v>
      </c>
    </row>
    <row r="11505" spans="1:10" x14ac:dyDescent="0.25">
      <c r="A11505" s="5" t="s">
        <v>23324</v>
      </c>
      <c r="B11505" s="6">
        <v>396.875</v>
      </c>
      <c r="C11505" s="6">
        <v>20.478950000000001</v>
      </c>
      <c r="D11505" s="6">
        <v>98</v>
      </c>
      <c r="E11505" s="6">
        <v>0</v>
      </c>
      <c r="F11505" s="6">
        <v>0</v>
      </c>
      <c r="G11505" s="6">
        <v>3</v>
      </c>
      <c r="H11505" s="6" t="s">
        <v>23325</v>
      </c>
      <c r="I11505" s="6">
        <v>527.4375</v>
      </c>
      <c r="J11505" s="2">
        <f t="shared" si="179"/>
        <v>43748.324805717588</v>
      </c>
    </row>
    <row r="11506" spans="1:10" x14ac:dyDescent="0.25">
      <c r="A11506" s="7" t="s">
        <v>23326</v>
      </c>
      <c r="B11506" s="8">
        <v>415.625</v>
      </c>
      <c r="C11506" s="8">
        <v>20.426300000000001</v>
      </c>
      <c r="D11506" s="8">
        <v>99</v>
      </c>
      <c r="E11506" s="8">
        <v>0</v>
      </c>
      <c r="F11506" s="8">
        <v>0</v>
      </c>
      <c r="G11506" s="8">
        <v>0</v>
      </c>
      <c r="H11506" s="8" t="s">
        <v>23327</v>
      </c>
      <c r="I11506" s="8">
        <v>533.4375</v>
      </c>
      <c r="J11506" s="3">
        <f t="shared" si="179"/>
        <v>43748.32488915509</v>
      </c>
    </row>
    <row r="11507" spans="1:10" x14ac:dyDescent="0.25">
      <c r="A11507" s="5" t="s">
        <v>23328</v>
      </c>
      <c r="B11507" s="6">
        <v>396.875</v>
      </c>
      <c r="C11507" s="6">
        <v>20.478950000000001</v>
      </c>
      <c r="D11507" s="6">
        <v>99</v>
      </c>
      <c r="E11507" s="6">
        <v>0</v>
      </c>
      <c r="F11507" s="6">
        <v>0</v>
      </c>
      <c r="G11507" s="6">
        <v>14</v>
      </c>
      <c r="H11507" s="6" t="s">
        <v>23329</v>
      </c>
      <c r="I11507" s="6">
        <v>527.4375</v>
      </c>
      <c r="J11507" s="2">
        <f t="shared" si="179"/>
        <v>43748.324960682869</v>
      </c>
    </row>
    <row r="11508" spans="1:10" x14ac:dyDescent="0.25">
      <c r="A11508" s="7" t="s">
        <v>23330</v>
      </c>
      <c r="B11508" s="8">
        <v>396.875</v>
      </c>
      <c r="C11508" s="8">
        <v>20.478950000000001</v>
      </c>
      <c r="D11508" s="8">
        <v>102</v>
      </c>
      <c r="E11508" s="8">
        <v>0</v>
      </c>
      <c r="F11508" s="8">
        <v>0</v>
      </c>
      <c r="G11508" s="8">
        <v>7</v>
      </c>
      <c r="H11508" s="8" t="s">
        <v>23331</v>
      </c>
      <c r="I11508" s="8">
        <v>527.4375</v>
      </c>
      <c r="J11508" s="3">
        <f t="shared" si="179"/>
        <v>43748.325032314817</v>
      </c>
    </row>
    <row r="11509" spans="1:10" x14ac:dyDescent="0.25">
      <c r="A11509" s="5" t="s">
        <v>23332</v>
      </c>
      <c r="B11509" s="6">
        <v>400</v>
      </c>
      <c r="C11509" s="6">
        <v>20.478950000000001</v>
      </c>
      <c r="D11509" s="6">
        <v>102</v>
      </c>
      <c r="E11509" s="6">
        <v>0</v>
      </c>
      <c r="F11509" s="6">
        <v>0</v>
      </c>
      <c r="G11509" s="6">
        <v>13</v>
      </c>
      <c r="H11509" s="6" t="s">
        <v>23333</v>
      </c>
      <c r="I11509" s="6">
        <v>528.1875</v>
      </c>
      <c r="J11509" s="2">
        <f t="shared" si="179"/>
        <v>43748.32510386574</v>
      </c>
    </row>
    <row r="11510" spans="1:10" x14ac:dyDescent="0.25">
      <c r="A11510" s="7" t="s">
        <v>23334</v>
      </c>
      <c r="B11510" s="8">
        <v>400</v>
      </c>
      <c r="C11510" s="8">
        <v>20.478950000000001</v>
      </c>
      <c r="D11510" s="8">
        <v>101</v>
      </c>
      <c r="E11510" s="8">
        <v>0</v>
      </c>
      <c r="F11510" s="8">
        <v>0</v>
      </c>
      <c r="G11510" s="8">
        <v>3</v>
      </c>
      <c r="H11510" s="8" t="s">
        <v>23335</v>
      </c>
      <c r="I11510" s="8">
        <v>528.1875</v>
      </c>
      <c r="J11510" s="3">
        <f t="shared" si="179"/>
        <v>43748.325175370366</v>
      </c>
    </row>
    <row r="11511" spans="1:10" x14ac:dyDescent="0.25">
      <c r="A11511" s="5" t="s">
        <v>23336</v>
      </c>
      <c r="B11511" s="6">
        <v>400</v>
      </c>
      <c r="C11511" s="6">
        <v>20.478950000000001</v>
      </c>
      <c r="D11511" s="6">
        <v>102</v>
      </c>
      <c r="E11511" s="6">
        <v>0</v>
      </c>
      <c r="F11511" s="6">
        <v>0</v>
      </c>
      <c r="G11511" s="6">
        <v>7</v>
      </c>
      <c r="H11511" s="6" t="s">
        <v>23337</v>
      </c>
      <c r="I11511" s="6">
        <v>528.375</v>
      </c>
      <c r="J11511" s="2">
        <f t="shared" si="179"/>
        <v>43748.325246921297</v>
      </c>
    </row>
    <row r="11512" spans="1:10" x14ac:dyDescent="0.25">
      <c r="A11512" s="7" t="s">
        <v>23338</v>
      </c>
      <c r="B11512" s="8">
        <v>400</v>
      </c>
      <c r="C11512" s="8">
        <v>20.478950000000001</v>
      </c>
      <c r="D11512" s="8">
        <v>103</v>
      </c>
      <c r="E11512" s="8">
        <v>0</v>
      </c>
      <c r="F11512" s="8">
        <v>0</v>
      </c>
      <c r="G11512" s="8">
        <v>5</v>
      </c>
      <c r="H11512" s="8" t="s">
        <v>23339</v>
      </c>
      <c r="I11512" s="8">
        <v>528.1875</v>
      </c>
      <c r="J11512" s="3">
        <f t="shared" si="179"/>
        <v>43748.325330266198</v>
      </c>
    </row>
    <row r="11513" spans="1:10" x14ac:dyDescent="0.25">
      <c r="A11513" s="5" t="s">
        <v>23340</v>
      </c>
      <c r="B11513" s="6">
        <v>425</v>
      </c>
      <c r="C11513" s="6">
        <v>20.478950000000001</v>
      </c>
      <c r="D11513" s="6">
        <v>103</v>
      </c>
      <c r="E11513" s="6">
        <v>0</v>
      </c>
      <c r="F11513" s="6">
        <v>0</v>
      </c>
      <c r="G11513" s="6">
        <v>4</v>
      </c>
      <c r="H11513" s="6" t="s">
        <v>23341</v>
      </c>
      <c r="I11513" s="6">
        <v>536.4375</v>
      </c>
      <c r="J11513" s="2">
        <f t="shared" si="179"/>
        <v>43748.325402013885</v>
      </c>
    </row>
    <row r="11514" spans="1:10" x14ac:dyDescent="0.25">
      <c r="A11514" s="7" t="s">
        <v>23342</v>
      </c>
      <c r="B11514" s="8">
        <v>396.875</v>
      </c>
      <c r="C11514" s="8">
        <v>20.478950000000001</v>
      </c>
      <c r="D11514" s="8">
        <v>104</v>
      </c>
      <c r="E11514" s="8">
        <v>0</v>
      </c>
      <c r="F11514" s="8">
        <v>0</v>
      </c>
      <c r="G11514" s="8">
        <v>0</v>
      </c>
      <c r="H11514" s="8" t="s">
        <v>23343</v>
      </c>
      <c r="I11514" s="8">
        <v>527.4375</v>
      </c>
      <c r="J11514" s="3">
        <f t="shared" si="179"/>
        <v>43748.325485462956</v>
      </c>
    </row>
    <row r="11515" spans="1:10" x14ac:dyDescent="0.25">
      <c r="A11515" s="5" t="s">
        <v>23344</v>
      </c>
      <c r="B11515" s="6">
        <v>396.875</v>
      </c>
      <c r="C11515" s="6">
        <v>20.478950000000001</v>
      </c>
      <c r="D11515" s="6">
        <v>104</v>
      </c>
      <c r="E11515" s="6">
        <v>0</v>
      </c>
      <c r="F11515" s="6">
        <v>0</v>
      </c>
      <c r="G11515" s="6">
        <v>0</v>
      </c>
      <c r="H11515" s="6" t="s">
        <v>23345</v>
      </c>
      <c r="I11515" s="6">
        <v>527.4375</v>
      </c>
      <c r="J11515" s="2">
        <f t="shared" si="179"/>
        <v>43748.325568900465</v>
      </c>
    </row>
    <row r="11516" spans="1:10" x14ac:dyDescent="0.25">
      <c r="A11516" s="7" t="s">
        <v>23346</v>
      </c>
      <c r="B11516" s="8">
        <v>393.75</v>
      </c>
      <c r="C11516" s="8">
        <v>20.478950000000001</v>
      </c>
      <c r="D11516" s="8">
        <v>104</v>
      </c>
      <c r="E11516" s="8">
        <v>0</v>
      </c>
      <c r="F11516" s="8">
        <v>0</v>
      </c>
      <c r="G11516" s="8">
        <v>15</v>
      </c>
      <c r="H11516" s="8" t="s">
        <v>23347</v>
      </c>
      <c r="I11516" s="8">
        <v>526.6875</v>
      </c>
      <c r="J11516" s="3">
        <f t="shared" si="179"/>
        <v>43748.325652453706</v>
      </c>
    </row>
    <row r="11517" spans="1:10" x14ac:dyDescent="0.25">
      <c r="A11517" s="5" t="s">
        <v>23348</v>
      </c>
      <c r="B11517" s="6">
        <v>393.75</v>
      </c>
      <c r="C11517" s="6">
        <v>20.478950000000001</v>
      </c>
      <c r="D11517" s="6">
        <v>104</v>
      </c>
      <c r="E11517" s="6">
        <v>0</v>
      </c>
      <c r="F11517" s="6">
        <v>0</v>
      </c>
      <c r="G11517" s="6">
        <v>0</v>
      </c>
      <c r="H11517" s="6" t="s">
        <v>23349</v>
      </c>
      <c r="I11517" s="6">
        <v>526.6875</v>
      </c>
      <c r="J11517" s="2">
        <f t="shared" si="179"/>
        <v>43748.325723888884</v>
      </c>
    </row>
    <row r="11518" spans="1:10" x14ac:dyDescent="0.25">
      <c r="A11518" s="7" t="s">
        <v>23350</v>
      </c>
      <c r="B11518" s="8">
        <v>393.75</v>
      </c>
      <c r="C11518" s="8">
        <v>20.478950000000001</v>
      </c>
      <c r="D11518" s="8">
        <v>104</v>
      </c>
      <c r="E11518" s="8">
        <v>0</v>
      </c>
      <c r="F11518" s="8">
        <v>0</v>
      </c>
      <c r="G11518" s="8">
        <v>5</v>
      </c>
      <c r="H11518" s="8" t="s">
        <v>23351</v>
      </c>
      <c r="I11518" s="8">
        <v>526.6875</v>
      </c>
      <c r="J11518" s="3">
        <f t="shared" si="179"/>
        <v>43748.325807442125</v>
      </c>
    </row>
    <row r="11519" spans="1:10" x14ac:dyDescent="0.25">
      <c r="A11519" s="5" t="s">
        <v>23352</v>
      </c>
      <c r="B11519" s="6">
        <v>393.75</v>
      </c>
      <c r="C11519" s="6">
        <v>20.426300000000001</v>
      </c>
      <c r="D11519" s="6">
        <v>104</v>
      </c>
      <c r="E11519" s="6">
        <v>0</v>
      </c>
      <c r="F11519" s="6">
        <v>0</v>
      </c>
      <c r="G11519" s="6">
        <v>1</v>
      </c>
      <c r="H11519" s="6" t="s">
        <v>23353</v>
      </c>
      <c r="I11519" s="6">
        <v>526.6875</v>
      </c>
      <c r="J11519" s="2">
        <f t="shared" si="179"/>
        <v>43748.325890891203</v>
      </c>
    </row>
    <row r="11520" spans="1:10" x14ac:dyDescent="0.25">
      <c r="A11520" s="7" t="s">
        <v>23354</v>
      </c>
      <c r="B11520" s="8">
        <v>393.75</v>
      </c>
      <c r="C11520" s="8">
        <v>20.478950000000001</v>
      </c>
      <c r="D11520" s="8">
        <v>104</v>
      </c>
      <c r="E11520" s="8">
        <v>0</v>
      </c>
      <c r="F11520" s="8">
        <v>0</v>
      </c>
      <c r="G11520" s="8">
        <v>10</v>
      </c>
      <c r="H11520" s="8" t="s">
        <v>23355</v>
      </c>
      <c r="I11520" s="8">
        <v>526.6875</v>
      </c>
      <c r="J11520" s="3">
        <f t="shared" si="179"/>
        <v>43748.325974328698</v>
      </c>
    </row>
    <row r="11521" spans="1:10" x14ac:dyDescent="0.25">
      <c r="A11521" s="5" t="s">
        <v>23356</v>
      </c>
      <c r="B11521" s="6">
        <v>412.5</v>
      </c>
      <c r="C11521" s="6">
        <v>20.478950000000001</v>
      </c>
      <c r="D11521" s="6">
        <v>103</v>
      </c>
      <c r="E11521" s="6">
        <v>0</v>
      </c>
      <c r="F11521" s="6">
        <v>0</v>
      </c>
      <c r="G11521" s="6">
        <v>7</v>
      </c>
      <c r="H11521" s="6" t="s">
        <v>23357</v>
      </c>
      <c r="I11521" s="6">
        <v>532.3125</v>
      </c>
      <c r="J11521" s="2">
        <f t="shared" si="179"/>
        <v>43748.326045648144</v>
      </c>
    </row>
    <row r="11522" spans="1:10" x14ac:dyDescent="0.25">
      <c r="A11522" s="7" t="s">
        <v>23358</v>
      </c>
      <c r="B11522" s="8">
        <v>393.75</v>
      </c>
      <c r="C11522" s="8">
        <v>20.478950000000001</v>
      </c>
      <c r="D11522" s="8">
        <v>101</v>
      </c>
      <c r="E11522" s="8">
        <v>0</v>
      </c>
      <c r="F11522" s="8">
        <v>0</v>
      </c>
      <c r="G11522" s="8">
        <v>0</v>
      </c>
      <c r="H11522" s="8" t="s">
        <v>23359</v>
      </c>
      <c r="I11522" s="8">
        <v>526.5</v>
      </c>
      <c r="J11522" s="3">
        <f t="shared" ref="J11522:J11585" si="180">(H11522/86400000)+25569+(7/24)</f>
        <v>43748.326117395831</v>
      </c>
    </row>
    <row r="11523" spans="1:10" x14ac:dyDescent="0.25">
      <c r="A11523" s="5" t="s">
        <v>23360</v>
      </c>
      <c r="B11523" s="6">
        <v>393.75</v>
      </c>
      <c r="C11523" s="6">
        <v>20.478950000000001</v>
      </c>
      <c r="D11523" s="6">
        <v>101</v>
      </c>
      <c r="E11523" s="6">
        <v>0</v>
      </c>
      <c r="F11523" s="6">
        <v>0</v>
      </c>
      <c r="G11523" s="6">
        <v>6</v>
      </c>
      <c r="H11523" s="6" t="s">
        <v>23361</v>
      </c>
      <c r="I11523" s="6">
        <v>526.6875</v>
      </c>
      <c r="J11523" s="2">
        <f t="shared" si="180"/>
        <v>43748.326200601849</v>
      </c>
    </row>
    <row r="11524" spans="1:10" x14ac:dyDescent="0.25">
      <c r="A11524" s="7" t="s">
        <v>23362</v>
      </c>
      <c r="B11524" s="8">
        <v>393.75</v>
      </c>
      <c r="C11524" s="8">
        <v>20.478950000000001</v>
      </c>
      <c r="D11524" s="8">
        <v>100</v>
      </c>
      <c r="E11524" s="8">
        <v>0</v>
      </c>
      <c r="F11524" s="8">
        <v>0</v>
      </c>
      <c r="G11524" s="8">
        <v>7</v>
      </c>
      <c r="H11524" s="8" t="s">
        <v>23363</v>
      </c>
      <c r="I11524" s="8">
        <v>526.6875</v>
      </c>
      <c r="J11524" s="3">
        <f t="shared" si="180"/>
        <v>43748.326272615734</v>
      </c>
    </row>
    <row r="11525" spans="1:10" x14ac:dyDescent="0.25">
      <c r="A11525" s="5" t="s">
        <v>23364</v>
      </c>
      <c r="B11525" s="6">
        <v>393.75</v>
      </c>
      <c r="C11525" s="6">
        <v>20.478950000000001</v>
      </c>
      <c r="D11525" s="6">
        <v>100</v>
      </c>
      <c r="E11525" s="6">
        <v>0</v>
      </c>
      <c r="F11525" s="6">
        <v>0</v>
      </c>
      <c r="G11525" s="6">
        <v>5</v>
      </c>
      <c r="H11525" s="6" t="s">
        <v>23365</v>
      </c>
      <c r="I11525" s="6">
        <v>526.5</v>
      </c>
      <c r="J11525" s="2">
        <f t="shared" si="180"/>
        <v>43748.326356168975</v>
      </c>
    </row>
    <row r="11526" spans="1:10" x14ac:dyDescent="0.25">
      <c r="A11526" s="7" t="s">
        <v>23366</v>
      </c>
      <c r="B11526" s="8">
        <v>393.75</v>
      </c>
      <c r="C11526" s="8">
        <v>20.426300000000001</v>
      </c>
      <c r="D11526" s="8">
        <v>101</v>
      </c>
      <c r="E11526" s="8">
        <v>0</v>
      </c>
      <c r="F11526" s="8">
        <v>0</v>
      </c>
      <c r="G11526" s="8">
        <v>3</v>
      </c>
      <c r="H11526" s="8" t="s">
        <v>23367</v>
      </c>
      <c r="I11526" s="8">
        <v>526.6875</v>
      </c>
      <c r="J11526" s="3">
        <f t="shared" si="180"/>
        <v>43748.326427569446</v>
      </c>
    </row>
    <row r="11527" spans="1:10" x14ac:dyDescent="0.25">
      <c r="A11527" s="5" t="s">
        <v>23368</v>
      </c>
      <c r="B11527" s="6">
        <v>393.75</v>
      </c>
      <c r="C11527" s="6">
        <v>20.478950000000001</v>
      </c>
      <c r="D11527" s="6">
        <v>101</v>
      </c>
      <c r="E11527" s="6">
        <v>0</v>
      </c>
      <c r="F11527" s="6">
        <v>0</v>
      </c>
      <c r="G11527" s="6">
        <v>4</v>
      </c>
      <c r="H11527" s="6" t="s">
        <v>23369</v>
      </c>
      <c r="I11527" s="6">
        <v>526.6875</v>
      </c>
      <c r="J11527" s="2">
        <f t="shared" si="180"/>
        <v>43748.326498761577</v>
      </c>
    </row>
    <row r="11528" spans="1:10" x14ac:dyDescent="0.25">
      <c r="A11528" s="7" t="s">
        <v>23370</v>
      </c>
      <c r="B11528" s="8">
        <v>412.5</v>
      </c>
      <c r="C11528" s="8">
        <v>20.478950000000001</v>
      </c>
      <c r="D11528" s="8">
        <v>101</v>
      </c>
      <c r="E11528" s="8">
        <v>0</v>
      </c>
      <c r="F11528" s="8">
        <v>0</v>
      </c>
      <c r="G11528" s="8">
        <v>8</v>
      </c>
      <c r="H11528" s="8" t="s">
        <v>23371</v>
      </c>
      <c r="I11528" s="8">
        <v>532.3125</v>
      </c>
      <c r="J11528" s="3">
        <f t="shared" si="180"/>
        <v>43748.326570648147</v>
      </c>
    </row>
    <row r="11529" spans="1:10" x14ac:dyDescent="0.25">
      <c r="A11529" s="5" t="s">
        <v>23372</v>
      </c>
      <c r="B11529" s="6">
        <v>393.75</v>
      </c>
      <c r="C11529" s="6">
        <v>20.426300000000001</v>
      </c>
      <c r="D11529" s="6">
        <v>101</v>
      </c>
      <c r="E11529" s="6">
        <v>0</v>
      </c>
      <c r="F11529" s="6">
        <v>0</v>
      </c>
      <c r="G11529" s="6">
        <v>7</v>
      </c>
      <c r="H11529" s="6" t="s">
        <v>23373</v>
      </c>
      <c r="I11529" s="6">
        <v>526.6875</v>
      </c>
      <c r="J11529" s="2">
        <f t="shared" si="180"/>
        <v>43748.326656458332</v>
      </c>
    </row>
    <row r="11530" spans="1:10" x14ac:dyDescent="0.25">
      <c r="A11530" s="7" t="s">
        <v>23374</v>
      </c>
      <c r="B11530" s="8">
        <v>393.75</v>
      </c>
      <c r="C11530" s="8">
        <v>20.426300000000001</v>
      </c>
      <c r="D11530" s="8">
        <v>102</v>
      </c>
      <c r="E11530" s="8">
        <v>0</v>
      </c>
      <c r="F11530" s="8">
        <v>0</v>
      </c>
      <c r="G11530" s="8">
        <v>4</v>
      </c>
      <c r="H11530" s="8" t="s">
        <v>23375</v>
      </c>
      <c r="I11530" s="8">
        <v>526.6875</v>
      </c>
      <c r="J11530" s="3">
        <f t="shared" si="180"/>
        <v>43748.326737673611</v>
      </c>
    </row>
    <row r="11531" spans="1:10" x14ac:dyDescent="0.25">
      <c r="A11531" s="5" t="s">
        <v>23376</v>
      </c>
      <c r="B11531" s="6">
        <v>393.75</v>
      </c>
      <c r="C11531" s="6">
        <v>20.426300000000001</v>
      </c>
      <c r="D11531" s="6">
        <v>102</v>
      </c>
      <c r="E11531" s="6">
        <v>0</v>
      </c>
      <c r="F11531" s="6">
        <v>0</v>
      </c>
      <c r="G11531" s="6">
        <v>8</v>
      </c>
      <c r="H11531" s="6" t="s">
        <v>23377</v>
      </c>
      <c r="I11531" s="6">
        <v>526.6875</v>
      </c>
      <c r="J11531" s="2">
        <f t="shared" si="180"/>
        <v>43748.32680909722</v>
      </c>
    </row>
    <row r="11532" spans="1:10" x14ac:dyDescent="0.25">
      <c r="A11532" s="7" t="s">
        <v>23378</v>
      </c>
      <c r="B11532" s="8">
        <v>393.75</v>
      </c>
      <c r="C11532" s="8">
        <v>20.478950000000001</v>
      </c>
      <c r="D11532" s="8">
        <v>102</v>
      </c>
      <c r="E11532" s="8">
        <v>0</v>
      </c>
      <c r="F11532" s="8">
        <v>0</v>
      </c>
      <c r="G11532" s="8">
        <v>13</v>
      </c>
      <c r="H11532" s="8" t="s">
        <v>23379</v>
      </c>
      <c r="I11532" s="8">
        <v>526.5</v>
      </c>
      <c r="J11532" s="3">
        <f t="shared" si="180"/>
        <v>43748.326892673613</v>
      </c>
    </row>
    <row r="11533" spans="1:10" x14ac:dyDescent="0.25">
      <c r="A11533" s="5" t="s">
        <v>23380</v>
      </c>
      <c r="B11533" s="6">
        <v>393.75</v>
      </c>
      <c r="C11533" s="6">
        <v>20.478950000000001</v>
      </c>
      <c r="D11533" s="6">
        <v>102</v>
      </c>
      <c r="E11533" s="6">
        <v>0</v>
      </c>
      <c r="F11533" s="6">
        <v>0</v>
      </c>
      <c r="G11533" s="6">
        <v>5</v>
      </c>
      <c r="H11533" s="6" t="s">
        <v>23381</v>
      </c>
      <c r="I11533" s="6">
        <v>526.6875</v>
      </c>
      <c r="J11533" s="2">
        <f t="shared" si="180"/>
        <v>43748.326963946754</v>
      </c>
    </row>
    <row r="11534" spans="1:10" x14ac:dyDescent="0.25">
      <c r="A11534" s="7" t="s">
        <v>23382</v>
      </c>
      <c r="B11534" s="8">
        <v>412.5</v>
      </c>
      <c r="C11534" s="8">
        <v>20.478950000000001</v>
      </c>
      <c r="D11534" s="8">
        <v>102</v>
      </c>
      <c r="E11534" s="8">
        <v>0</v>
      </c>
      <c r="F11534" s="8">
        <v>0</v>
      </c>
      <c r="G11534" s="8">
        <v>10</v>
      </c>
      <c r="H11534" s="8" t="s">
        <v>23383</v>
      </c>
      <c r="I11534" s="8">
        <v>532.125</v>
      </c>
      <c r="J11534" s="3">
        <f t="shared" si="180"/>
        <v>43748.327035601855</v>
      </c>
    </row>
    <row r="11535" spans="1:10" x14ac:dyDescent="0.25">
      <c r="A11535" s="5" t="s">
        <v>23384</v>
      </c>
      <c r="B11535" s="6">
        <v>393.75</v>
      </c>
      <c r="C11535" s="6">
        <v>20.478950000000001</v>
      </c>
      <c r="D11535" s="6">
        <v>102</v>
      </c>
      <c r="E11535" s="6">
        <v>0</v>
      </c>
      <c r="F11535" s="6">
        <v>0</v>
      </c>
      <c r="G11535" s="6">
        <v>10</v>
      </c>
      <c r="H11535" s="6" t="s">
        <v>23385</v>
      </c>
      <c r="I11535" s="6">
        <v>526.6875</v>
      </c>
      <c r="J11535" s="2">
        <f t="shared" si="180"/>
        <v>43748.327119166664</v>
      </c>
    </row>
    <row r="11536" spans="1:10" x14ac:dyDescent="0.25">
      <c r="A11536" s="7" t="s">
        <v>23386</v>
      </c>
      <c r="B11536" s="8">
        <v>393.75</v>
      </c>
      <c r="C11536" s="8">
        <v>20.478950000000001</v>
      </c>
      <c r="D11536" s="8">
        <v>103</v>
      </c>
      <c r="E11536" s="8">
        <v>0</v>
      </c>
      <c r="F11536" s="8">
        <v>0</v>
      </c>
      <c r="G11536" s="8">
        <v>4</v>
      </c>
      <c r="H11536" s="8" t="s">
        <v>23387</v>
      </c>
      <c r="I11536" s="8">
        <v>526.6875</v>
      </c>
      <c r="J11536" s="3">
        <f t="shared" si="180"/>
        <v>43748.327190682867</v>
      </c>
    </row>
    <row r="11537" spans="1:10" x14ac:dyDescent="0.25">
      <c r="A11537" s="5" t="s">
        <v>23388</v>
      </c>
      <c r="B11537" s="6">
        <v>412.5</v>
      </c>
      <c r="C11537" s="6">
        <v>20.426300000000001</v>
      </c>
      <c r="D11537" s="6">
        <v>102</v>
      </c>
      <c r="E11537" s="6">
        <v>0</v>
      </c>
      <c r="F11537" s="6">
        <v>0</v>
      </c>
      <c r="G11537" s="6">
        <v>10</v>
      </c>
      <c r="H11537" s="6" t="s">
        <v>23389</v>
      </c>
      <c r="I11537" s="6">
        <v>532.5</v>
      </c>
      <c r="J11537" s="2">
        <f t="shared" si="180"/>
        <v>43748.32727425926</v>
      </c>
    </row>
    <row r="11538" spans="1:10" x14ac:dyDescent="0.25">
      <c r="A11538" s="7" t="s">
        <v>23390</v>
      </c>
      <c r="B11538" s="8">
        <v>393.75</v>
      </c>
      <c r="C11538" s="8">
        <v>20.478950000000001</v>
      </c>
      <c r="D11538" s="8">
        <v>102</v>
      </c>
      <c r="E11538" s="8">
        <v>0</v>
      </c>
      <c r="F11538" s="8">
        <v>0</v>
      </c>
      <c r="G11538" s="8">
        <v>4</v>
      </c>
      <c r="H11538" s="8" t="s">
        <v>23391</v>
      </c>
      <c r="I11538" s="8">
        <v>526.6875</v>
      </c>
      <c r="J11538" s="3">
        <f t="shared" si="180"/>
        <v>43748.327345914346</v>
      </c>
    </row>
    <row r="11539" spans="1:10" x14ac:dyDescent="0.25">
      <c r="A11539" s="5" t="s">
        <v>23392</v>
      </c>
      <c r="B11539" s="6">
        <v>393.75</v>
      </c>
      <c r="C11539" s="6">
        <v>20.478950000000001</v>
      </c>
      <c r="D11539" s="6">
        <v>103</v>
      </c>
      <c r="E11539" s="6">
        <v>0</v>
      </c>
      <c r="F11539" s="6">
        <v>0</v>
      </c>
      <c r="G11539" s="6">
        <v>0</v>
      </c>
      <c r="H11539" s="6" t="s">
        <v>23393</v>
      </c>
      <c r="I11539" s="6">
        <v>526.5</v>
      </c>
      <c r="J11539" s="2">
        <f t="shared" si="180"/>
        <v>43748.327417314817</v>
      </c>
    </row>
    <row r="11540" spans="1:10" x14ac:dyDescent="0.25">
      <c r="A11540" s="7" t="s">
        <v>23394</v>
      </c>
      <c r="B11540" s="8">
        <v>393.75</v>
      </c>
      <c r="C11540" s="8">
        <v>20.426300000000001</v>
      </c>
      <c r="D11540" s="8">
        <v>104</v>
      </c>
      <c r="E11540" s="8">
        <v>0</v>
      </c>
      <c r="F11540" s="8">
        <v>0</v>
      </c>
      <c r="G11540" s="8">
        <v>3</v>
      </c>
      <c r="H11540" s="8" t="s">
        <v>23395</v>
      </c>
      <c r="I11540" s="8">
        <v>526.6875</v>
      </c>
      <c r="J11540" s="3">
        <f t="shared" si="180"/>
        <v>43748.327488831019</v>
      </c>
    </row>
    <row r="11541" spans="1:10" x14ac:dyDescent="0.25">
      <c r="A11541" s="5" t="s">
        <v>23396</v>
      </c>
      <c r="B11541" s="6">
        <v>393.75</v>
      </c>
      <c r="C11541" s="6">
        <v>20.426300000000001</v>
      </c>
      <c r="D11541" s="6">
        <v>104</v>
      </c>
      <c r="E11541" s="6">
        <v>0</v>
      </c>
      <c r="F11541" s="6">
        <v>0</v>
      </c>
      <c r="G11541" s="6">
        <v>2</v>
      </c>
      <c r="H11541" s="6" t="s">
        <v>23397</v>
      </c>
      <c r="I11541" s="6">
        <v>526.6875</v>
      </c>
      <c r="J11541" s="2">
        <f t="shared" si="180"/>
        <v>43748.32756002315</v>
      </c>
    </row>
    <row r="11542" spans="1:10" x14ac:dyDescent="0.25">
      <c r="A11542" s="7" t="s">
        <v>23398</v>
      </c>
      <c r="B11542" s="8">
        <v>393.75</v>
      </c>
      <c r="C11542" s="8">
        <v>20.478950000000001</v>
      </c>
      <c r="D11542" s="8">
        <v>103</v>
      </c>
      <c r="E11542" s="8">
        <v>0</v>
      </c>
      <c r="F11542" s="8">
        <v>0</v>
      </c>
      <c r="G11542" s="8">
        <v>6</v>
      </c>
      <c r="H11542" s="8" t="s">
        <v>23399</v>
      </c>
      <c r="I11542" s="8">
        <v>526.6875</v>
      </c>
      <c r="J11542" s="3">
        <f t="shared" si="180"/>
        <v>43748.327631898144</v>
      </c>
    </row>
    <row r="11543" spans="1:10" x14ac:dyDescent="0.25">
      <c r="A11543" s="5" t="s">
        <v>23400</v>
      </c>
      <c r="B11543" s="6">
        <v>393.75</v>
      </c>
      <c r="C11543" s="6">
        <v>20.478950000000001</v>
      </c>
      <c r="D11543" s="6">
        <v>103</v>
      </c>
      <c r="E11543" s="6">
        <v>0</v>
      </c>
      <c r="F11543" s="6">
        <v>0</v>
      </c>
      <c r="G11543" s="6">
        <v>7</v>
      </c>
      <c r="H11543" s="6" t="s">
        <v>23401</v>
      </c>
      <c r="I11543" s="6">
        <v>526.6875</v>
      </c>
      <c r="J11543" s="2">
        <f t="shared" si="180"/>
        <v>43748.327715451385</v>
      </c>
    </row>
    <row r="11544" spans="1:10" x14ac:dyDescent="0.25">
      <c r="A11544" s="7" t="s">
        <v>23402</v>
      </c>
      <c r="B11544" s="8">
        <v>396.875</v>
      </c>
      <c r="C11544" s="8">
        <v>20.478950000000001</v>
      </c>
      <c r="D11544" s="8">
        <v>105</v>
      </c>
      <c r="E11544" s="8">
        <v>0</v>
      </c>
      <c r="F11544" s="8">
        <v>0</v>
      </c>
      <c r="G11544" s="8">
        <v>13</v>
      </c>
      <c r="H11544" s="8" t="s">
        <v>23403</v>
      </c>
      <c r="I11544" s="8">
        <v>527.4375</v>
      </c>
      <c r="J11544" s="3">
        <f t="shared" si="180"/>
        <v>43748.327786979164</v>
      </c>
    </row>
    <row r="11545" spans="1:10" x14ac:dyDescent="0.25">
      <c r="A11545" s="5" t="s">
        <v>23404</v>
      </c>
      <c r="B11545" s="6">
        <v>400</v>
      </c>
      <c r="C11545" s="6">
        <v>20.478950000000001</v>
      </c>
      <c r="D11545" s="6">
        <v>105</v>
      </c>
      <c r="E11545" s="6">
        <v>0</v>
      </c>
      <c r="F11545" s="6">
        <v>0</v>
      </c>
      <c r="G11545" s="6">
        <v>12</v>
      </c>
      <c r="H11545" s="6" t="s">
        <v>23405</v>
      </c>
      <c r="I11545" s="6">
        <v>528.1875</v>
      </c>
      <c r="J11545" s="2">
        <f t="shared" si="180"/>
        <v>43748.32788211805</v>
      </c>
    </row>
    <row r="11546" spans="1:10" x14ac:dyDescent="0.25">
      <c r="A11546" s="7" t="s">
        <v>23406</v>
      </c>
      <c r="B11546" s="8">
        <v>400</v>
      </c>
      <c r="C11546" s="8">
        <v>20.426300000000001</v>
      </c>
      <c r="D11546" s="8">
        <v>104</v>
      </c>
      <c r="E11546" s="8">
        <v>0</v>
      </c>
      <c r="F11546" s="8">
        <v>0</v>
      </c>
      <c r="G11546" s="8">
        <v>2</v>
      </c>
      <c r="H11546" s="8" t="s">
        <v>23407</v>
      </c>
      <c r="I11546" s="8">
        <v>528.9375</v>
      </c>
      <c r="J11546" s="3">
        <f t="shared" si="180"/>
        <v>43748.327953888882</v>
      </c>
    </row>
    <row r="11547" spans="1:10" x14ac:dyDescent="0.25">
      <c r="A11547" s="5" t="s">
        <v>23408</v>
      </c>
      <c r="B11547" s="6">
        <v>418.75</v>
      </c>
      <c r="C11547" s="6">
        <v>20.478950000000001</v>
      </c>
      <c r="D11547" s="6">
        <v>104</v>
      </c>
      <c r="E11547" s="6">
        <v>0</v>
      </c>
      <c r="F11547" s="6">
        <v>0</v>
      </c>
      <c r="G11547" s="6">
        <v>1</v>
      </c>
      <c r="H11547" s="6" t="s">
        <v>23409</v>
      </c>
      <c r="I11547" s="6">
        <v>534.75</v>
      </c>
      <c r="J11547" s="2">
        <f t="shared" si="180"/>
        <v>43748.328025428236</v>
      </c>
    </row>
    <row r="11548" spans="1:10" x14ac:dyDescent="0.25">
      <c r="A11548" s="7" t="s">
        <v>23410</v>
      </c>
      <c r="B11548" s="8">
        <v>406.25</v>
      </c>
      <c r="C11548" s="8">
        <v>20.478950000000001</v>
      </c>
      <c r="D11548" s="8">
        <v>104</v>
      </c>
      <c r="E11548" s="8">
        <v>0</v>
      </c>
      <c r="F11548" s="8">
        <v>0</v>
      </c>
      <c r="G11548" s="8">
        <v>7</v>
      </c>
      <c r="H11548" s="8" t="s">
        <v>23411</v>
      </c>
      <c r="I11548" s="8">
        <v>530.625</v>
      </c>
      <c r="J11548" s="3">
        <f t="shared" si="180"/>
        <v>43748.328096944439</v>
      </c>
    </row>
    <row r="11549" spans="1:10" x14ac:dyDescent="0.25">
      <c r="A11549" s="5" t="s">
        <v>23412</v>
      </c>
      <c r="B11549" s="6">
        <v>406.25</v>
      </c>
      <c r="C11549" s="6">
        <v>20.478950000000001</v>
      </c>
      <c r="D11549" s="6">
        <v>105</v>
      </c>
      <c r="E11549" s="6">
        <v>0</v>
      </c>
      <c r="F11549" s="6">
        <v>0</v>
      </c>
      <c r="G11549" s="6">
        <v>9</v>
      </c>
      <c r="H11549" s="6" t="s">
        <v>23413</v>
      </c>
      <c r="I11549" s="6">
        <v>530.8125</v>
      </c>
      <c r="J11549" s="2">
        <f t="shared" si="180"/>
        <v>43748.328168483793</v>
      </c>
    </row>
    <row r="11550" spans="1:10" x14ac:dyDescent="0.25">
      <c r="A11550" s="7" t="s">
        <v>23414</v>
      </c>
      <c r="B11550" s="8">
        <v>406.25</v>
      </c>
      <c r="C11550" s="8">
        <v>20.478950000000001</v>
      </c>
      <c r="D11550" s="8">
        <v>105</v>
      </c>
      <c r="E11550" s="8">
        <v>0</v>
      </c>
      <c r="F11550" s="8">
        <v>0</v>
      </c>
      <c r="G11550" s="8">
        <v>7</v>
      </c>
      <c r="H11550" s="8" t="s">
        <v>23415</v>
      </c>
      <c r="I11550" s="8">
        <v>530.625</v>
      </c>
      <c r="J11550" s="3">
        <f t="shared" si="180"/>
        <v>43748.32825194444</v>
      </c>
    </row>
    <row r="11551" spans="1:10" x14ac:dyDescent="0.25">
      <c r="A11551" s="5" t="s">
        <v>23416</v>
      </c>
      <c r="B11551" s="6">
        <v>406.25</v>
      </c>
      <c r="C11551" s="6">
        <v>20.478950000000001</v>
      </c>
      <c r="D11551" s="6">
        <v>106</v>
      </c>
      <c r="E11551" s="6">
        <v>0</v>
      </c>
      <c r="F11551" s="6">
        <v>0</v>
      </c>
      <c r="G11551" s="6">
        <v>2</v>
      </c>
      <c r="H11551" s="6" t="s">
        <v>23417</v>
      </c>
      <c r="I11551" s="6">
        <v>530.625</v>
      </c>
      <c r="J11551" s="2">
        <f t="shared" si="180"/>
        <v>43748.328323668982</v>
      </c>
    </row>
    <row r="11552" spans="1:10" x14ac:dyDescent="0.25">
      <c r="A11552" s="7" t="s">
        <v>23418</v>
      </c>
      <c r="B11552" s="8">
        <v>406.25</v>
      </c>
      <c r="C11552" s="8">
        <v>20.478950000000001</v>
      </c>
      <c r="D11552" s="8">
        <v>105</v>
      </c>
      <c r="E11552" s="8">
        <v>0</v>
      </c>
      <c r="F11552" s="8">
        <v>0</v>
      </c>
      <c r="G11552" s="8">
        <v>4</v>
      </c>
      <c r="H11552" s="8" t="s">
        <v>23419</v>
      </c>
      <c r="I11552" s="8">
        <v>530.625</v>
      </c>
      <c r="J11552" s="3">
        <f t="shared" si="180"/>
        <v>43748.328394965276</v>
      </c>
    </row>
    <row r="11553" spans="1:10" x14ac:dyDescent="0.25">
      <c r="A11553" s="5" t="s">
        <v>23420</v>
      </c>
      <c r="B11553" s="6">
        <v>409.375</v>
      </c>
      <c r="C11553" s="6">
        <v>20.478950000000001</v>
      </c>
      <c r="D11553" s="6">
        <v>105</v>
      </c>
      <c r="E11553" s="6">
        <v>0</v>
      </c>
      <c r="F11553" s="6">
        <v>0</v>
      </c>
      <c r="G11553" s="6">
        <v>8</v>
      </c>
      <c r="H11553" s="6" t="s">
        <v>23421</v>
      </c>
      <c r="I11553" s="6">
        <v>531.5625</v>
      </c>
      <c r="J11553" s="2">
        <f t="shared" si="180"/>
        <v>43748.328478425923</v>
      </c>
    </row>
    <row r="11554" spans="1:10" x14ac:dyDescent="0.25">
      <c r="A11554" s="7" t="s">
        <v>23422</v>
      </c>
      <c r="B11554" s="8">
        <v>409.375</v>
      </c>
      <c r="C11554" s="8">
        <v>20.478950000000001</v>
      </c>
      <c r="D11554" s="8">
        <v>105</v>
      </c>
      <c r="E11554" s="8">
        <v>0</v>
      </c>
      <c r="F11554" s="8">
        <v>0</v>
      </c>
      <c r="G11554" s="8">
        <v>12</v>
      </c>
      <c r="H11554" s="8" t="s">
        <v>23423</v>
      </c>
      <c r="I11554" s="8">
        <v>531.5625</v>
      </c>
      <c r="J11554" s="3">
        <f t="shared" si="180"/>
        <v>43748.328550057871</v>
      </c>
    </row>
    <row r="11555" spans="1:10" x14ac:dyDescent="0.25">
      <c r="A11555" s="5" t="s">
        <v>23424</v>
      </c>
      <c r="B11555" s="6">
        <v>406.25</v>
      </c>
      <c r="C11555" s="6">
        <v>20.478950000000001</v>
      </c>
      <c r="D11555" s="6">
        <v>105</v>
      </c>
      <c r="E11555" s="6">
        <v>0</v>
      </c>
      <c r="F11555" s="6">
        <v>0</v>
      </c>
      <c r="G11555" s="6">
        <v>13</v>
      </c>
      <c r="H11555" s="6" t="s">
        <v>23425</v>
      </c>
      <c r="I11555" s="6">
        <v>530.625</v>
      </c>
      <c r="J11555" s="2">
        <f t="shared" si="180"/>
        <v>43748.32862148148</v>
      </c>
    </row>
    <row r="11556" spans="1:10" x14ac:dyDescent="0.25">
      <c r="A11556" s="7" t="s">
        <v>23426</v>
      </c>
      <c r="B11556" s="8">
        <v>406.25</v>
      </c>
      <c r="C11556" s="8">
        <v>20.478950000000001</v>
      </c>
      <c r="D11556" s="8">
        <v>104</v>
      </c>
      <c r="E11556" s="8">
        <v>0</v>
      </c>
      <c r="F11556" s="8">
        <v>0</v>
      </c>
      <c r="G11556" s="8">
        <v>12</v>
      </c>
      <c r="H11556" s="8" t="s">
        <v>23427</v>
      </c>
      <c r="I11556" s="8">
        <v>530.8125</v>
      </c>
      <c r="J11556" s="3">
        <f t="shared" si="180"/>
        <v>43748.328694976844</v>
      </c>
    </row>
    <row r="11557" spans="1:10" x14ac:dyDescent="0.25">
      <c r="A11557" s="5" t="s">
        <v>23428</v>
      </c>
      <c r="B11557" s="6">
        <v>406.25</v>
      </c>
      <c r="C11557" s="6">
        <v>20.478950000000001</v>
      </c>
      <c r="D11557" s="6">
        <v>102</v>
      </c>
      <c r="E11557" s="6">
        <v>0</v>
      </c>
      <c r="F11557" s="6">
        <v>0</v>
      </c>
      <c r="G11557" s="6">
        <v>8</v>
      </c>
      <c r="H11557" s="6" t="s">
        <v>23429</v>
      </c>
      <c r="I11557" s="6">
        <v>530.625</v>
      </c>
      <c r="J11557" s="2">
        <f t="shared" si="180"/>
        <v>43748.328776678238</v>
      </c>
    </row>
    <row r="11558" spans="1:10" x14ac:dyDescent="0.25">
      <c r="A11558" s="7" t="s">
        <v>23430</v>
      </c>
      <c r="B11558" s="8">
        <v>406.25</v>
      </c>
      <c r="C11558" s="8">
        <v>20.478950000000001</v>
      </c>
      <c r="D11558" s="8">
        <v>101</v>
      </c>
      <c r="E11558" s="8">
        <v>0</v>
      </c>
      <c r="F11558" s="8">
        <v>0</v>
      </c>
      <c r="G11558" s="8">
        <v>7</v>
      </c>
      <c r="H11558" s="8" t="s">
        <v>23431</v>
      </c>
      <c r="I11558" s="8">
        <v>530.625</v>
      </c>
      <c r="J11558" s="3">
        <f t="shared" si="180"/>
        <v>43748.328859895832</v>
      </c>
    </row>
    <row r="11559" spans="1:10" x14ac:dyDescent="0.25">
      <c r="A11559" s="5" t="s">
        <v>23432</v>
      </c>
      <c r="B11559" s="6">
        <v>403.125</v>
      </c>
      <c r="C11559" s="6">
        <v>20.478950000000001</v>
      </c>
      <c r="D11559" s="6">
        <v>102</v>
      </c>
      <c r="E11559" s="6">
        <v>0</v>
      </c>
      <c r="F11559" s="6">
        <v>0</v>
      </c>
      <c r="G11559" s="6">
        <v>0</v>
      </c>
      <c r="H11559" s="6" t="s">
        <v>23433</v>
      </c>
      <c r="I11559" s="6">
        <v>529.875</v>
      </c>
      <c r="J11559" s="2">
        <f t="shared" si="180"/>
        <v>43748.328931689808</v>
      </c>
    </row>
    <row r="11560" spans="1:10" x14ac:dyDescent="0.25">
      <c r="A11560" s="7" t="s">
        <v>23434</v>
      </c>
      <c r="B11560" s="8">
        <v>443.75</v>
      </c>
      <c r="C11560" s="8">
        <v>20.478950000000001</v>
      </c>
      <c r="D11560" s="8">
        <v>101</v>
      </c>
      <c r="E11560" s="8">
        <v>0</v>
      </c>
      <c r="F11560" s="8">
        <v>0</v>
      </c>
      <c r="G11560" s="8">
        <v>10</v>
      </c>
      <c r="H11560" s="8" t="s">
        <v>23435</v>
      </c>
      <c r="I11560" s="8">
        <v>542.0625</v>
      </c>
      <c r="J11560" s="3">
        <f t="shared" si="180"/>
        <v>43748.329015127318</v>
      </c>
    </row>
    <row r="11561" spans="1:10" x14ac:dyDescent="0.25">
      <c r="A11561" s="5" t="s">
        <v>23436</v>
      </c>
      <c r="B11561" s="6">
        <v>403.125</v>
      </c>
      <c r="C11561" s="6">
        <v>20.478950000000001</v>
      </c>
      <c r="D11561" s="6">
        <v>101</v>
      </c>
      <c r="E11561" s="6">
        <v>0</v>
      </c>
      <c r="F11561" s="6">
        <v>0</v>
      </c>
      <c r="G11561" s="6">
        <v>7</v>
      </c>
      <c r="H11561" s="6" t="s">
        <v>23437</v>
      </c>
      <c r="I11561" s="6">
        <v>529.125</v>
      </c>
      <c r="J11561" s="2">
        <f t="shared" si="180"/>
        <v>43748.329086631937</v>
      </c>
    </row>
    <row r="11562" spans="1:10" x14ac:dyDescent="0.25">
      <c r="A11562" s="7" t="s">
        <v>23438</v>
      </c>
      <c r="B11562" s="8">
        <v>403.125</v>
      </c>
      <c r="C11562" s="8">
        <v>20.478950000000001</v>
      </c>
      <c r="D11562" s="8">
        <v>101</v>
      </c>
      <c r="E11562" s="8">
        <v>0</v>
      </c>
      <c r="F11562" s="8">
        <v>0</v>
      </c>
      <c r="G11562" s="8">
        <v>12</v>
      </c>
      <c r="H11562" s="8" t="s">
        <v>23439</v>
      </c>
      <c r="I11562" s="8">
        <v>529.125</v>
      </c>
      <c r="J11562" s="3">
        <f t="shared" si="180"/>
        <v>43748.329158171291</v>
      </c>
    </row>
    <row r="11563" spans="1:10" x14ac:dyDescent="0.25">
      <c r="A11563" s="5" t="s">
        <v>23440</v>
      </c>
      <c r="B11563" s="6">
        <v>418.75</v>
      </c>
      <c r="C11563" s="6">
        <v>20.478950000000001</v>
      </c>
      <c r="D11563" s="6">
        <v>102</v>
      </c>
      <c r="E11563" s="6">
        <v>0</v>
      </c>
      <c r="F11563" s="6">
        <v>0</v>
      </c>
      <c r="G11563" s="6">
        <v>5</v>
      </c>
      <c r="H11563" s="6" t="s">
        <v>23441</v>
      </c>
      <c r="I11563" s="6">
        <v>534.9375</v>
      </c>
      <c r="J11563" s="2">
        <f t="shared" si="180"/>
        <v>43748.32924136574</v>
      </c>
    </row>
    <row r="11564" spans="1:10" x14ac:dyDescent="0.25">
      <c r="A11564" s="7" t="s">
        <v>23442</v>
      </c>
      <c r="B11564" s="8">
        <v>396.875</v>
      </c>
      <c r="C11564" s="8">
        <v>20.478950000000001</v>
      </c>
      <c r="D11564" s="8">
        <v>102</v>
      </c>
      <c r="E11564" s="8">
        <v>0</v>
      </c>
      <c r="F11564" s="8">
        <v>0</v>
      </c>
      <c r="G11564" s="8">
        <v>3</v>
      </c>
      <c r="H11564" s="8" t="s">
        <v>23443</v>
      </c>
      <c r="I11564" s="8">
        <v>527.4375</v>
      </c>
      <c r="J11564" s="3">
        <f t="shared" si="180"/>
        <v>43748.32931311342</v>
      </c>
    </row>
    <row r="11565" spans="1:10" x14ac:dyDescent="0.25">
      <c r="A11565" s="5" t="s">
        <v>23444</v>
      </c>
      <c r="B11565" s="6">
        <v>393.75</v>
      </c>
      <c r="C11565" s="6">
        <v>20.478950000000001</v>
      </c>
      <c r="D11565" s="6">
        <v>100</v>
      </c>
      <c r="E11565" s="6">
        <v>0</v>
      </c>
      <c r="F11565" s="6">
        <v>0</v>
      </c>
      <c r="G11565" s="6">
        <v>7</v>
      </c>
      <c r="H11565" s="6" t="s">
        <v>23445</v>
      </c>
      <c r="I11565" s="6">
        <v>526.6875</v>
      </c>
      <c r="J11565" s="2">
        <f t="shared" si="180"/>
        <v>43748.329396678237</v>
      </c>
    </row>
    <row r="11566" spans="1:10" x14ac:dyDescent="0.25">
      <c r="A11566" s="7" t="s">
        <v>23446</v>
      </c>
      <c r="B11566" s="8">
        <v>412.5</v>
      </c>
      <c r="C11566" s="8">
        <v>20.478950000000001</v>
      </c>
      <c r="D11566" s="8">
        <v>100</v>
      </c>
      <c r="E11566" s="8">
        <v>0</v>
      </c>
      <c r="F11566" s="8">
        <v>0</v>
      </c>
      <c r="G11566" s="8">
        <v>6</v>
      </c>
      <c r="H11566" s="8" t="s">
        <v>23447</v>
      </c>
      <c r="I11566" s="8">
        <v>532.125</v>
      </c>
      <c r="J11566" s="3">
        <f t="shared" si="180"/>
        <v>43748.329480208333</v>
      </c>
    </row>
    <row r="11567" spans="1:10" x14ac:dyDescent="0.25">
      <c r="A11567" s="5" t="s">
        <v>23448</v>
      </c>
      <c r="B11567" s="6">
        <v>393.75</v>
      </c>
      <c r="C11567" s="6">
        <v>20.478950000000001</v>
      </c>
      <c r="D11567" s="6">
        <v>101</v>
      </c>
      <c r="E11567" s="6">
        <v>0</v>
      </c>
      <c r="F11567" s="6">
        <v>0</v>
      </c>
      <c r="G11567" s="6">
        <v>10</v>
      </c>
      <c r="H11567" s="6" t="s">
        <v>23449</v>
      </c>
      <c r="I11567" s="6">
        <v>526.6875</v>
      </c>
      <c r="J11567" s="2">
        <f t="shared" si="180"/>
        <v>43748.329551689814</v>
      </c>
    </row>
    <row r="11568" spans="1:10" x14ac:dyDescent="0.25">
      <c r="A11568" s="7" t="s">
        <v>23450</v>
      </c>
      <c r="B11568" s="8">
        <v>393.75</v>
      </c>
      <c r="C11568" s="8">
        <v>20.478950000000001</v>
      </c>
      <c r="D11568" s="8">
        <v>101</v>
      </c>
      <c r="E11568" s="8">
        <v>0</v>
      </c>
      <c r="F11568" s="8">
        <v>0</v>
      </c>
      <c r="G11568" s="8">
        <v>3</v>
      </c>
      <c r="H11568" s="8" t="s">
        <v>23451</v>
      </c>
      <c r="I11568" s="8">
        <v>526.6875</v>
      </c>
      <c r="J11568" s="3">
        <f t="shared" si="180"/>
        <v>43748.329622824072</v>
      </c>
    </row>
    <row r="11569" spans="1:10" x14ac:dyDescent="0.25">
      <c r="A11569" s="5" t="s">
        <v>23452</v>
      </c>
      <c r="B11569" s="6">
        <v>393.75</v>
      </c>
      <c r="C11569" s="6">
        <v>20.478950000000001</v>
      </c>
      <c r="D11569" s="6">
        <v>101</v>
      </c>
      <c r="E11569" s="6">
        <v>0</v>
      </c>
      <c r="F11569" s="6">
        <v>0</v>
      </c>
      <c r="G11569" s="6">
        <v>6</v>
      </c>
      <c r="H11569" s="6" t="s">
        <v>23453</v>
      </c>
      <c r="I11569" s="6">
        <v>526.6875</v>
      </c>
      <c r="J11569" s="2">
        <f t="shared" si="180"/>
        <v>43748.329694803237</v>
      </c>
    </row>
    <row r="11570" spans="1:10" x14ac:dyDescent="0.25">
      <c r="A11570" s="7" t="s">
        <v>23454</v>
      </c>
      <c r="B11570" s="8">
        <v>412.5</v>
      </c>
      <c r="C11570" s="8">
        <v>20.478950000000001</v>
      </c>
      <c r="D11570" s="8">
        <v>101</v>
      </c>
      <c r="E11570" s="8">
        <v>0</v>
      </c>
      <c r="F11570" s="8">
        <v>0</v>
      </c>
      <c r="G11570" s="8">
        <v>7</v>
      </c>
      <c r="H11570" s="8" t="s">
        <v>23455</v>
      </c>
      <c r="I11570" s="8">
        <v>532.125</v>
      </c>
      <c r="J11570" s="3">
        <f t="shared" si="180"/>
        <v>43748.329778391206</v>
      </c>
    </row>
    <row r="11571" spans="1:10" x14ac:dyDescent="0.25">
      <c r="A11571" s="5" t="s">
        <v>23456</v>
      </c>
      <c r="B11571" s="6">
        <v>393.75</v>
      </c>
      <c r="C11571" s="6">
        <v>20.478950000000001</v>
      </c>
      <c r="D11571" s="6">
        <v>101</v>
      </c>
      <c r="E11571" s="6">
        <v>0</v>
      </c>
      <c r="F11571" s="6">
        <v>0</v>
      </c>
      <c r="G11571" s="6">
        <v>8</v>
      </c>
      <c r="H11571" s="6" t="s">
        <v>23457</v>
      </c>
      <c r="I11571" s="6">
        <v>526.6875</v>
      </c>
      <c r="J11571" s="2">
        <f t="shared" si="180"/>
        <v>43748.329849803238</v>
      </c>
    </row>
    <row r="11572" spans="1:10" x14ac:dyDescent="0.25">
      <c r="A11572" s="7" t="s">
        <v>23458</v>
      </c>
      <c r="B11572" s="8">
        <v>393.75</v>
      </c>
      <c r="C11572" s="8">
        <v>20.478950000000001</v>
      </c>
      <c r="D11572" s="8">
        <v>103</v>
      </c>
      <c r="E11572" s="8">
        <v>0</v>
      </c>
      <c r="F11572" s="8">
        <v>0</v>
      </c>
      <c r="G11572" s="8">
        <v>3</v>
      </c>
      <c r="H11572" s="8" t="s">
        <v>23459</v>
      </c>
      <c r="I11572" s="8">
        <v>526.6875</v>
      </c>
      <c r="J11572" s="3">
        <f t="shared" si="180"/>
        <v>43748.32992131944</v>
      </c>
    </row>
    <row r="11573" spans="1:10" x14ac:dyDescent="0.25">
      <c r="A11573" s="5" t="s">
        <v>23460</v>
      </c>
      <c r="B11573" s="6">
        <v>393.75</v>
      </c>
      <c r="C11573" s="6">
        <v>20.426300000000001</v>
      </c>
      <c r="D11573" s="6">
        <v>103</v>
      </c>
      <c r="E11573" s="6">
        <v>0</v>
      </c>
      <c r="F11573" s="6">
        <v>0</v>
      </c>
      <c r="G11573" s="6">
        <v>5</v>
      </c>
      <c r="H11573" s="6" t="s">
        <v>23461</v>
      </c>
      <c r="I11573" s="6">
        <v>526.6875</v>
      </c>
      <c r="J11573" s="2">
        <f t="shared" si="180"/>
        <v>43748.329992974534</v>
      </c>
    </row>
    <row r="11574" spans="1:10" x14ac:dyDescent="0.25">
      <c r="A11574" s="7" t="s">
        <v>23462</v>
      </c>
      <c r="B11574" s="8">
        <v>393.75</v>
      </c>
      <c r="C11574" s="8">
        <v>20.478950000000001</v>
      </c>
      <c r="D11574" s="8">
        <v>104</v>
      </c>
      <c r="E11574" s="8">
        <v>0</v>
      </c>
      <c r="F11574" s="8">
        <v>0</v>
      </c>
      <c r="G11574" s="8">
        <v>7</v>
      </c>
      <c r="H11574" s="8" t="s">
        <v>23463</v>
      </c>
      <c r="I11574" s="8">
        <v>526.6875</v>
      </c>
      <c r="J11574" s="3">
        <f t="shared" si="180"/>
        <v>43748.330064363421</v>
      </c>
    </row>
    <row r="11575" spans="1:10" x14ac:dyDescent="0.25">
      <c r="A11575" s="5" t="s">
        <v>23464</v>
      </c>
      <c r="B11575" s="6">
        <v>393.75</v>
      </c>
      <c r="C11575" s="6">
        <v>20.478950000000001</v>
      </c>
      <c r="D11575" s="6">
        <v>104</v>
      </c>
      <c r="E11575" s="6">
        <v>0</v>
      </c>
      <c r="F11575" s="6">
        <v>0</v>
      </c>
      <c r="G11575" s="6">
        <v>3</v>
      </c>
      <c r="H11575" s="6" t="s">
        <v>23465</v>
      </c>
      <c r="I11575" s="6">
        <v>526.6875</v>
      </c>
      <c r="J11575" s="2">
        <f t="shared" si="180"/>
        <v>43748.330159861107</v>
      </c>
    </row>
    <row r="11576" spans="1:10" x14ac:dyDescent="0.25">
      <c r="A11576" s="7" t="s">
        <v>23466</v>
      </c>
      <c r="B11576" s="8">
        <v>421.875</v>
      </c>
      <c r="C11576" s="8">
        <v>20.478950000000001</v>
      </c>
      <c r="D11576" s="8">
        <v>102</v>
      </c>
      <c r="E11576" s="8">
        <v>0</v>
      </c>
      <c r="F11576" s="8">
        <v>0</v>
      </c>
      <c r="G11576" s="8">
        <v>0</v>
      </c>
      <c r="H11576" s="8" t="s">
        <v>23467</v>
      </c>
      <c r="I11576" s="8">
        <v>535.5</v>
      </c>
      <c r="J11576" s="3">
        <f t="shared" si="180"/>
        <v>43748.330231400461</v>
      </c>
    </row>
    <row r="11577" spans="1:10" x14ac:dyDescent="0.25">
      <c r="A11577" s="5" t="s">
        <v>23468</v>
      </c>
      <c r="B11577" s="6">
        <v>393.75</v>
      </c>
      <c r="C11577" s="6">
        <v>20.478950000000001</v>
      </c>
      <c r="D11577" s="6">
        <v>102</v>
      </c>
      <c r="E11577" s="6">
        <v>0</v>
      </c>
      <c r="F11577" s="6">
        <v>0</v>
      </c>
      <c r="G11577" s="6">
        <v>2</v>
      </c>
      <c r="H11577" s="6" t="s">
        <v>23469</v>
      </c>
      <c r="I11577" s="6">
        <v>526.6875</v>
      </c>
      <c r="J11577" s="2">
        <f t="shared" si="180"/>
        <v>43748.330314837956</v>
      </c>
    </row>
    <row r="11578" spans="1:10" x14ac:dyDescent="0.25">
      <c r="A11578" s="7" t="s">
        <v>23470</v>
      </c>
      <c r="B11578" s="8">
        <v>393.75</v>
      </c>
      <c r="C11578" s="8">
        <v>20.478950000000001</v>
      </c>
      <c r="D11578" s="8">
        <v>102</v>
      </c>
      <c r="E11578" s="8">
        <v>0</v>
      </c>
      <c r="F11578" s="8">
        <v>0</v>
      </c>
      <c r="G11578" s="8">
        <v>6</v>
      </c>
      <c r="H11578" s="8" t="s">
        <v>23471</v>
      </c>
      <c r="I11578" s="8">
        <v>526.6875</v>
      </c>
      <c r="J11578" s="3">
        <f t="shared" si="180"/>
        <v>43748.330386134257</v>
      </c>
    </row>
    <row r="11579" spans="1:10" x14ac:dyDescent="0.25">
      <c r="A11579" s="5" t="s">
        <v>23472</v>
      </c>
      <c r="B11579" s="6">
        <v>393.75</v>
      </c>
      <c r="C11579" s="6">
        <v>20.478950000000001</v>
      </c>
      <c r="D11579" s="6">
        <v>102</v>
      </c>
      <c r="E11579" s="6">
        <v>0</v>
      </c>
      <c r="F11579" s="6">
        <v>0</v>
      </c>
      <c r="G11579" s="6">
        <v>4</v>
      </c>
      <c r="H11579" s="6" t="s">
        <v>23473</v>
      </c>
      <c r="I11579" s="6">
        <v>526.6875</v>
      </c>
      <c r="J11579" s="2">
        <f t="shared" si="180"/>
        <v>43748.330457905089</v>
      </c>
    </row>
    <row r="11580" spans="1:10" x14ac:dyDescent="0.25">
      <c r="A11580" s="7" t="s">
        <v>23474</v>
      </c>
      <c r="B11580" s="8">
        <v>393.75</v>
      </c>
      <c r="C11580" s="8">
        <v>20.478950000000001</v>
      </c>
      <c r="D11580" s="8">
        <v>102</v>
      </c>
      <c r="E11580" s="8">
        <v>0</v>
      </c>
      <c r="F11580" s="8">
        <v>0</v>
      </c>
      <c r="G11580" s="8">
        <v>4</v>
      </c>
      <c r="H11580" s="8" t="s">
        <v>23475</v>
      </c>
      <c r="I11580" s="8">
        <v>526.6875</v>
      </c>
      <c r="J11580" s="3">
        <f t="shared" si="180"/>
        <v>43748.330529305553</v>
      </c>
    </row>
    <row r="11581" spans="1:10" x14ac:dyDescent="0.25">
      <c r="A11581" s="5" t="s">
        <v>23476</v>
      </c>
      <c r="B11581" s="6">
        <v>393.75</v>
      </c>
      <c r="C11581" s="6">
        <v>20.478950000000001</v>
      </c>
      <c r="D11581" s="6">
        <v>102</v>
      </c>
      <c r="E11581" s="6">
        <v>0</v>
      </c>
      <c r="F11581" s="6">
        <v>0</v>
      </c>
      <c r="G11581" s="6">
        <v>3</v>
      </c>
      <c r="H11581" s="6" t="s">
        <v>23477</v>
      </c>
      <c r="I11581" s="6">
        <v>526.6875</v>
      </c>
      <c r="J11581" s="2">
        <f t="shared" si="180"/>
        <v>43748.330600729161</v>
      </c>
    </row>
    <row r="11582" spans="1:10" x14ac:dyDescent="0.25">
      <c r="A11582" s="7" t="s">
        <v>23478</v>
      </c>
      <c r="B11582" s="8">
        <v>393.75</v>
      </c>
      <c r="C11582" s="8">
        <v>20.478950000000001</v>
      </c>
      <c r="D11582" s="8">
        <v>101</v>
      </c>
      <c r="E11582" s="8">
        <v>0</v>
      </c>
      <c r="F11582" s="8">
        <v>0</v>
      </c>
      <c r="G11582" s="8">
        <v>10</v>
      </c>
      <c r="H11582" s="8" t="s">
        <v>23479</v>
      </c>
      <c r="I11582" s="8">
        <v>526.6875</v>
      </c>
      <c r="J11582" s="3">
        <f t="shared" si="180"/>
        <v>43748.330672604163</v>
      </c>
    </row>
    <row r="11583" spans="1:10" x14ac:dyDescent="0.25">
      <c r="A11583" s="5" t="s">
        <v>23480</v>
      </c>
      <c r="B11583" s="6">
        <v>393.75</v>
      </c>
      <c r="C11583" s="6">
        <v>20.478950000000001</v>
      </c>
      <c r="D11583" s="6">
        <v>101</v>
      </c>
      <c r="E11583" s="6">
        <v>0</v>
      </c>
      <c r="F11583" s="6">
        <v>0</v>
      </c>
      <c r="G11583" s="6">
        <v>5</v>
      </c>
      <c r="H11583" s="6" t="s">
        <v>23481</v>
      </c>
      <c r="I11583" s="6">
        <v>526.5</v>
      </c>
      <c r="J11583" s="2">
        <f t="shared" si="180"/>
        <v>43748.330744108789</v>
      </c>
    </row>
    <row r="11584" spans="1:10" x14ac:dyDescent="0.25">
      <c r="A11584" s="7" t="s">
        <v>23482</v>
      </c>
      <c r="B11584" s="8">
        <v>393.75</v>
      </c>
      <c r="C11584" s="8">
        <v>20.478950000000001</v>
      </c>
      <c r="D11584" s="8">
        <v>99</v>
      </c>
      <c r="E11584" s="8">
        <v>0</v>
      </c>
      <c r="F11584" s="8">
        <v>0</v>
      </c>
      <c r="G11584" s="8">
        <v>4</v>
      </c>
      <c r="H11584" s="8" t="s">
        <v>23483</v>
      </c>
      <c r="I11584" s="8">
        <v>526.6875</v>
      </c>
      <c r="J11584" s="3">
        <f t="shared" si="180"/>
        <v>43748.330815416666</v>
      </c>
    </row>
    <row r="11585" spans="1:10" x14ac:dyDescent="0.25">
      <c r="A11585" s="5" t="s">
        <v>23484</v>
      </c>
      <c r="B11585" s="6">
        <v>393.75</v>
      </c>
      <c r="C11585" s="6">
        <v>20.478950000000001</v>
      </c>
      <c r="D11585" s="6">
        <v>98</v>
      </c>
      <c r="E11585" s="6">
        <v>0</v>
      </c>
      <c r="F11585" s="6">
        <v>0</v>
      </c>
      <c r="G11585" s="6">
        <v>11</v>
      </c>
      <c r="H11585" s="6" t="s">
        <v>23485</v>
      </c>
      <c r="I11585" s="6">
        <v>526.6875</v>
      </c>
      <c r="J11585" s="2">
        <f t="shared" si="180"/>
        <v>43748.330887175922</v>
      </c>
    </row>
    <row r="11586" spans="1:10" x14ac:dyDescent="0.25">
      <c r="A11586" s="7" t="s">
        <v>23486</v>
      </c>
      <c r="B11586" s="8">
        <v>393.75</v>
      </c>
      <c r="C11586" s="8">
        <v>20.478950000000001</v>
      </c>
      <c r="D11586" s="8">
        <v>98</v>
      </c>
      <c r="E11586" s="8">
        <v>0</v>
      </c>
      <c r="F11586" s="8">
        <v>0</v>
      </c>
      <c r="G11586" s="8">
        <v>2</v>
      </c>
      <c r="H11586" s="8" t="s">
        <v>23487</v>
      </c>
      <c r="I11586" s="8">
        <v>526.6875</v>
      </c>
      <c r="J11586" s="3">
        <f t="shared" ref="J11586:J11649" si="181">(H11586/86400000)+25569+(7/24)</f>
        <v>43748.330985624998</v>
      </c>
    </row>
    <row r="11587" spans="1:10" x14ac:dyDescent="0.25">
      <c r="A11587" s="5" t="s">
        <v>23488</v>
      </c>
      <c r="B11587" s="6">
        <v>393.75</v>
      </c>
      <c r="C11587" s="6">
        <v>20.478950000000001</v>
      </c>
      <c r="D11587" s="6">
        <v>100</v>
      </c>
      <c r="E11587" s="6">
        <v>0</v>
      </c>
      <c r="F11587" s="6">
        <v>0</v>
      </c>
      <c r="G11587" s="6">
        <v>10</v>
      </c>
      <c r="H11587" s="6" t="s">
        <v>23489</v>
      </c>
      <c r="I11587" s="6">
        <v>526.6875</v>
      </c>
      <c r="J11587" s="2">
        <f t="shared" si="181"/>
        <v>43748.331066122679</v>
      </c>
    </row>
    <row r="11588" spans="1:10" x14ac:dyDescent="0.25">
      <c r="A11588" s="7" t="s">
        <v>23490</v>
      </c>
      <c r="B11588" s="8">
        <v>393.75</v>
      </c>
      <c r="C11588" s="8">
        <v>20.478950000000001</v>
      </c>
      <c r="D11588" s="8">
        <v>99</v>
      </c>
      <c r="E11588" s="8">
        <v>0</v>
      </c>
      <c r="F11588" s="8">
        <v>0</v>
      </c>
      <c r="G11588" s="8">
        <v>8</v>
      </c>
      <c r="H11588" s="8" t="s">
        <v>23491</v>
      </c>
      <c r="I11588" s="8">
        <v>526.6875</v>
      </c>
      <c r="J11588" s="3">
        <f t="shared" si="181"/>
        <v>43748.331137650464</v>
      </c>
    </row>
    <row r="11589" spans="1:10" x14ac:dyDescent="0.25">
      <c r="A11589" s="5" t="s">
        <v>23492</v>
      </c>
      <c r="B11589" s="6">
        <v>393.75</v>
      </c>
      <c r="C11589" s="6">
        <v>20.478950000000001</v>
      </c>
      <c r="D11589" s="6">
        <v>99</v>
      </c>
      <c r="E11589" s="6">
        <v>0</v>
      </c>
      <c r="F11589" s="6">
        <v>0</v>
      </c>
      <c r="G11589" s="6">
        <v>7</v>
      </c>
      <c r="H11589" s="6" t="s">
        <v>23493</v>
      </c>
      <c r="I11589" s="6">
        <v>526.5</v>
      </c>
      <c r="J11589" s="2">
        <f t="shared" si="181"/>
        <v>43748.331221076391</v>
      </c>
    </row>
    <row r="11590" spans="1:10" x14ac:dyDescent="0.25">
      <c r="A11590" s="7" t="s">
        <v>23494</v>
      </c>
      <c r="B11590" s="8">
        <v>393.75</v>
      </c>
      <c r="C11590" s="8">
        <v>20.478950000000001</v>
      </c>
      <c r="D11590" s="8">
        <v>99</v>
      </c>
      <c r="E11590" s="8">
        <v>0</v>
      </c>
      <c r="F11590" s="8">
        <v>0</v>
      </c>
      <c r="G11590" s="8">
        <v>8</v>
      </c>
      <c r="H11590" s="8" t="s">
        <v>23495</v>
      </c>
      <c r="I11590" s="8">
        <v>526.6875</v>
      </c>
      <c r="J11590" s="3">
        <f t="shared" si="181"/>
        <v>43748.331292627314</v>
      </c>
    </row>
    <row r="11591" spans="1:10" x14ac:dyDescent="0.25">
      <c r="A11591" s="5" t="s">
        <v>23496</v>
      </c>
      <c r="B11591" s="6">
        <v>393.75</v>
      </c>
      <c r="C11591" s="6">
        <v>20.478950000000001</v>
      </c>
      <c r="D11591" s="6">
        <v>99</v>
      </c>
      <c r="E11591" s="6">
        <v>0</v>
      </c>
      <c r="F11591" s="6">
        <v>0</v>
      </c>
      <c r="G11591" s="6">
        <v>12</v>
      </c>
      <c r="H11591" s="6" t="s">
        <v>23497</v>
      </c>
      <c r="I11591" s="6">
        <v>526.6875</v>
      </c>
      <c r="J11591" s="2">
        <f t="shared" si="181"/>
        <v>43748.331375729169</v>
      </c>
    </row>
    <row r="11592" spans="1:10" x14ac:dyDescent="0.25">
      <c r="A11592" s="7" t="s">
        <v>23498</v>
      </c>
      <c r="B11592" s="8">
        <v>393.75</v>
      </c>
      <c r="C11592" s="8">
        <v>20.478950000000001</v>
      </c>
      <c r="D11592" s="8">
        <v>99</v>
      </c>
      <c r="E11592" s="8">
        <v>0</v>
      </c>
      <c r="F11592" s="8">
        <v>0</v>
      </c>
      <c r="G11592" s="8">
        <v>6</v>
      </c>
      <c r="H11592" s="8" t="s">
        <v>23499</v>
      </c>
      <c r="I11592" s="8">
        <v>526.6875</v>
      </c>
      <c r="J11592" s="3">
        <f t="shared" si="181"/>
        <v>43748.331447615739</v>
      </c>
    </row>
    <row r="11593" spans="1:10" x14ac:dyDescent="0.25">
      <c r="A11593" s="5" t="s">
        <v>23500</v>
      </c>
      <c r="B11593" s="6">
        <v>393.75</v>
      </c>
      <c r="C11593" s="6">
        <v>20.478950000000001</v>
      </c>
      <c r="D11593" s="6">
        <v>98</v>
      </c>
      <c r="E11593" s="6">
        <v>0</v>
      </c>
      <c r="F11593" s="6">
        <v>0</v>
      </c>
      <c r="G11593" s="6">
        <v>4</v>
      </c>
      <c r="H11593" s="6" t="s">
        <v>23501</v>
      </c>
      <c r="I11593" s="6">
        <v>526.6875</v>
      </c>
      <c r="J11593" s="2">
        <f t="shared" si="181"/>
        <v>43748.331519131942</v>
      </c>
    </row>
    <row r="11594" spans="1:10" x14ac:dyDescent="0.25">
      <c r="A11594" s="7" t="s">
        <v>23502</v>
      </c>
      <c r="B11594" s="8">
        <v>393.75</v>
      </c>
      <c r="C11594" s="8">
        <v>20.478950000000001</v>
      </c>
      <c r="D11594" s="8">
        <v>100</v>
      </c>
      <c r="E11594" s="8">
        <v>0</v>
      </c>
      <c r="F11594" s="8">
        <v>0</v>
      </c>
      <c r="G11594" s="8">
        <v>0</v>
      </c>
      <c r="H11594" s="8" t="s">
        <v>23503</v>
      </c>
      <c r="I11594" s="8">
        <v>526.6875</v>
      </c>
      <c r="J11594" s="3">
        <f t="shared" si="181"/>
        <v>43748.331590763883</v>
      </c>
    </row>
    <row r="11595" spans="1:10" x14ac:dyDescent="0.25">
      <c r="A11595" s="5" t="s">
        <v>23504</v>
      </c>
      <c r="B11595" s="6">
        <v>393.75</v>
      </c>
      <c r="C11595" s="6">
        <v>20.426300000000001</v>
      </c>
      <c r="D11595" s="6">
        <v>99</v>
      </c>
      <c r="E11595" s="6">
        <v>0</v>
      </c>
      <c r="F11595" s="6">
        <v>0</v>
      </c>
      <c r="G11595" s="6">
        <v>7</v>
      </c>
      <c r="H11595" s="6" t="s">
        <v>23505</v>
      </c>
      <c r="I11595" s="6">
        <v>526.6875</v>
      </c>
      <c r="J11595" s="2">
        <f t="shared" si="181"/>
        <v>43748.331674201385</v>
      </c>
    </row>
    <row r="11596" spans="1:10" x14ac:dyDescent="0.25">
      <c r="A11596" s="7" t="s">
        <v>23506</v>
      </c>
      <c r="B11596" s="8">
        <v>393.75</v>
      </c>
      <c r="C11596" s="8">
        <v>20.426300000000001</v>
      </c>
      <c r="D11596" s="8">
        <v>99</v>
      </c>
      <c r="E11596" s="8">
        <v>0</v>
      </c>
      <c r="F11596" s="8">
        <v>0</v>
      </c>
      <c r="G11596" s="8">
        <v>14</v>
      </c>
      <c r="H11596" s="8" t="s">
        <v>23507</v>
      </c>
      <c r="I11596" s="8">
        <v>526.6875</v>
      </c>
      <c r="J11596" s="3">
        <f t="shared" si="181"/>
        <v>43748.331757581014</v>
      </c>
    </row>
    <row r="11597" spans="1:10" x14ac:dyDescent="0.25">
      <c r="A11597" s="5" t="s">
        <v>23508</v>
      </c>
      <c r="B11597" s="6">
        <v>393.75</v>
      </c>
      <c r="C11597" s="6">
        <v>20.478950000000001</v>
      </c>
      <c r="D11597" s="6">
        <v>97</v>
      </c>
      <c r="E11597" s="6">
        <v>0</v>
      </c>
      <c r="F11597" s="6">
        <v>0</v>
      </c>
      <c r="G11597" s="6">
        <v>4</v>
      </c>
      <c r="H11597" s="6" t="s">
        <v>23509</v>
      </c>
      <c r="I11597" s="6">
        <v>526.6875</v>
      </c>
      <c r="J11597" s="2">
        <f t="shared" si="181"/>
        <v>43748.331841377316</v>
      </c>
    </row>
    <row r="11598" spans="1:10" x14ac:dyDescent="0.25">
      <c r="A11598" s="7" t="s">
        <v>23510</v>
      </c>
      <c r="B11598" s="8">
        <v>393.75</v>
      </c>
      <c r="C11598" s="8">
        <v>20.478950000000001</v>
      </c>
      <c r="D11598" s="8">
        <v>98</v>
      </c>
      <c r="E11598" s="8">
        <v>0</v>
      </c>
      <c r="F11598" s="8">
        <v>0</v>
      </c>
      <c r="G11598" s="8">
        <v>9</v>
      </c>
      <c r="H11598" s="8" t="s">
        <v>23511</v>
      </c>
      <c r="I11598" s="8">
        <v>526.6875</v>
      </c>
      <c r="J11598" s="3">
        <f t="shared" si="181"/>
        <v>43748.331912905087</v>
      </c>
    </row>
    <row r="11599" spans="1:10" x14ac:dyDescent="0.25">
      <c r="A11599" s="5" t="s">
        <v>23512</v>
      </c>
      <c r="B11599" s="6">
        <v>396.875</v>
      </c>
      <c r="C11599" s="6">
        <v>20.478950000000001</v>
      </c>
      <c r="D11599" s="6">
        <v>97</v>
      </c>
      <c r="E11599" s="6">
        <v>0</v>
      </c>
      <c r="F11599" s="6">
        <v>0</v>
      </c>
      <c r="G11599" s="6">
        <v>0</v>
      </c>
      <c r="H11599" s="6" t="s">
        <v>23513</v>
      </c>
      <c r="I11599" s="6">
        <v>527.4375</v>
      </c>
      <c r="J11599" s="2">
        <f t="shared" si="181"/>
        <v>43748.331996250003</v>
      </c>
    </row>
    <row r="11600" spans="1:10" x14ac:dyDescent="0.25">
      <c r="A11600" s="7" t="s">
        <v>23514</v>
      </c>
      <c r="B11600" s="8">
        <v>396.875</v>
      </c>
      <c r="C11600" s="8">
        <v>20.478950000000001</v>
      </c>
      <c r="D11600" s="8">
        <v>98</v>
      </c>
      <c r="E11600" s="8">
        <v>0</v>
      </c>
      <c r="F11600" s="8">
        <v>0</v>
      </c>
      <c r="G11600" s="8">
        <v>6</v>
      </c>
      <c r="H11600" s="8" t="s">
        <v>23515</v>
      </c>
      <c r="I11600" s="8">
        <v>527.4375</v>
      </c>
      <c r="J11600" s="3">
        <f t="shared" si="181"/>
        <v>43748.332067418982</v>
      </c>
    </row>
    <row r="11601" spans="1:10" x14ac:dyDescent="0.25">
      <c r="A11601" s="5" t="s">
        <v>23516</v>
      </c>
      <c r="B11601" s="6">
        <v>396.875</v>
      </c>
      <c r="C11601" s="6">
        <v>20.478950000000001</v>
      </c>
      <c r="D11601" s="6">
        <v>98</v>
      </c>
      <c r="E11601" s="6">
        <v>0</v>
      </c>
      <c r="F11601" s="6">
        <v>0</v>
      </c>
      <c r="G11601" s="6">
        <v>9</v>
      </c>
      <c r="H11601" s="6" t="s">
        <v>23517</v>
      </c>
      <c r="I11601" s="6">
        <v>527.4375</v>
      </c>
      <c r="J11601" s="2">
        <f t="shared" si="181"/>
        <v>43748.332143460641</v>
      </c>
    </row>
    <row r="11602" spans="1:10" x14ac:dyDescent="0.25">
      <c r="A11602" s="7" t="s">
        <v>23518</v>
      </c>
      <c r="B11602" s="8">
        <v>396.875</v>
      </c>
      <c r="C11602" s="8">
        <v>20.478950000000001</v>
      </c>
      <c r="D11602" s="8">
        <v>98</v>
      </c>
      <c r="E11602" s="8">
        <v>0</v>
      </c>
      <c r="F11602" s="8">
        <v>0</v>
      </c>
      <c r="G11602" s="8">
        <v>6</v>
      </c>
      <c r="H11602" s="8" t="s">
        <v>23519</v>
      </c>
      <c r="I11602" s="8">
        <v>527.4375</v>
      </c>
      <c r="J11602" s="3">
        <f t="shared" si="181"/>
        <v>43748.332222870369</v>
      </c>
    </row>
    <row r="11603" spans="1:10" x14ac:dyDescent="0.25">
      <c r="A11603" s="5" t="s">
        <v>23520</v>
      </c>
      <c r="B11603" s="6">
        <v>396.875</v>
      </c>
      <c r="C11603" s="6">
        <v>20.478950000000001</v>
      </c>
      <c r="D11603" s="6">
        <v>94</v>
      </c>
      <c r="E11603" s="6">
        <v>0</v>
      </c>
      <c r="F11603" s="6">
        <v>0</v>
      </c>
      <c r="G11603" s="6">
        <v>8</v>
      </c>
      <c r="H11603" s="6" t="s">
        <v>23521</v>
      </c>
      <c r="I11603" s="6">
        <v>527.4375</v>
      </c>
      <c r="J11603" s="2">
        <f t="shared" si="181"/>
        <v>43748.332294386571</v>
      </c>
    </row>
    <row r="11604" spans="1:10" x14ac:dyDescent="0.25">
      <c r="A11604" s="7" t="s">
        <v>23522</v>
      </c>
      <c r="B11604" s="8">
        <v>396.875</v>
      </c>
      <c r="C11604" s="8">
        <v>20.478950000000001</v>
      </c>
      <c r="D11604" s="8">
        <v>95</v>
      </c>
      <c r="E11604" s="8">
        <v>0</v>
      </c>
      <c r="F11604" s="8">
        <v>0</v>
      </c>
      <c r="G11604" s="8">
        <v>7</v>
      </c>
      <c r="H11604" s="8" t="s">
        <v>23523</v>
      </c>
      <c r="I11604" s="8">
        <v>527.4375</v>
      </c>
      <c r="J11604" s="3">
        <f t="shared" si="181"/>
        <v>43748.332377847219</v>
      </c>
    </row>
    <row r="11605" spans="1:10" x14ac:dyDescent="0.25">
      <c r="A11605" s="5" t="s">
        <v>23524</v>
      </c>
      <c r="B11605" s="6">
        <v>396.875</v>
      </c>
      <c r="C11605" s="6">
        <v>20.478950000000001</v>
      </c>
      <c r="D11605" s="6">
        <v>95</v>
      </c>
      <c r="E11605" s="6">
        <v>0</v>
      </c>
      <c r="F11605" s="6">
        <v>0</v>
      </c>
      <c r="G11605" s="6">
        <v>1</v>
      </c>
      <c r="H11605" s="6" t="s">
        <v>23525</v>
      </c>
      <c r="I11605" s="6">
        <v>527.4375</v>
      </c>
      <c r="J11605" s="2">
        <f t="shared" si="181"/>
        <v>43748.332449583329</v>
      </c>
    </row>
    <row r="11606" spans="1:10" x14ac:dyDescent="0.25">
      <c r="A11606" s="7" t="s">
        <v>23526</v>
      </c>
      <c r="B11606" s="8">
        <v>396.875</v>
      </c>
      <c r="C11606" s="8">
        <v>20.478950000000001</v>
      </c>
      <c r="D11606" s="8">
        <v>96</v>
      </c>
      <c r="E11606" s="8">
        <v>0</v>
      </c>
      <c r="F11606" s="8">
        <v>0</v>
      </c>
      <c r="G11606" s="8">
        <v>3</v>
      </c>
      <c r="H11606" s="8" t="s">
        <v>23527</v>
      </c>
      <c r="I11606" s="8">
        <v>527.4375</v>
      </c>
      <c r="J11606" s="3">
        <f t="shared" si="181"/>
        <v>43748.332520914344</v>
      </c>
    </row>
    <row r="11607" spans="1:10" x14ac:dyDescent="0.25">
      <c r="A11607" s="5" t="s">
        <v>23528</v>
      </c>
      <c r="B11607" s="6">
        <v>396.875</v>
      </c>
      <c r="C11607" s="6">
        <v>20.478950000000001</v>
      </c>
      <c r="D11607" s="6">
        <v>96</v>
      </c>
      <c r="E11607" s="6">
        <v>0</v>
      </c>
      <c r="F11607" s="6">
        <v>0</v>
      </c>
      <c r="G11607" s="6">
        <v>11</v>
      </c>
      <c r="H11607" s="6" t="s">
        <v>23529</v>
      </c>
      <c r="I11607" s="6">
        <v>527.4375</v>
      </c>
      <c r="J11607" s="2">
        <f t="shared" si="181"/>
        <v>43748.33260434027</v>
      </c>
    </row>
    <row r="11608" spans="1:10" x14ac:dyDescent="0.25">
      <c r="A11608" s="7" t="s">
        <v>23530</v>
      </c>
      <c r="B11608" s="8">
        <v>415.625</v>
      </c>
      <c r="C11608" s="8">
        <v>20.478950000000001</v>
      </c>
      <c r="D11608" s="8">
        <v>97</v>
      </c>
      <c r="E11608" s="8">
        <v>0</v>
      </c>
      <c r="F11608" s="8">
        <v>0</v>
      </c>
      <c r="G11608" s="8">
        <v>12</v>
      </c>
      <c r="H11608" s="8" t="s">
        <v>23531</v>
      </c>
      <c r="I11608" s="8">
        <v>533.0625</v>
      </c>
      <c r="J11608" s="3">
        <f t="shared" si="181"/>
        <v>43748.332675983795</v>
      </c>
    </row>
    <row r="11609" spans="1:10" x14ac:dyDescent="0.25">
      <c r="A11609" s="5" t="s">
        <v>23532</v>
      </c>
      <c r="B11609" s="6">
        <v>396.875</v>
      </c>
      <c r="C11609" s="6">
        <v>20.478950000000001</v>
      </c>
      <c r="D11609" s="6">
        <v>97</v>
      </c>
      <c r="E11609" s="6">
        <v>0</v>
      </c>
      <c r="F11609" s="6">
        <v>0</v>
      </c>
      <c r="G11609" s="6">
        <v>10</v>
      </c>
      <c r="H11609" s="6" t="s">
        <v>23533</v>
      </c>
      <c r="I11609" s="6">
        <v>527.4375</v>
      </c>
      <c r="J11609" s="2">
        <f t="shared" si="181"/>
        <v>43748.332769224529</v>
      </c>
    </row>
    <row r="11610" spans="1:10" x14ac:dyDescent="0.25">
      <c r="A11610" s="7" t="s">
        <v>23534</v>
      </c>
      <c r="B11610" s="8">
        <v>396.875</v>
      </c>
      <c r="C11610" s="8">
        <v>20.478950000000001</v>
      </c>
      <c r="D11610" s="8">
        <v>97</v>
      </c>
      <c r="E11610" s="8">
        <v>0</v>
      </c>
      <c r="F11610" s="8">
        <v>0</v>
      </c>
      <c r="G11610" s="8">
        <v>5</v>
      </c>
      <c r="H11610" s="8" t="s">
        <v>23535</v>
      </c>
      <c r="I11610" s="8">
        <v>527.4375</v>
      </c>
      <c r="J11610" s="3">
        <f t="shared" si="181"/>
        <v>43748.332842893513</v>
      </c>
    </row>
    <row r="11611" spans="1:10" x14ac:dyDescent="0.25">
      <c r="A11611" s="5" t="s">
        <v>23536</v>
      </c>
      <c r="B11611" s="6">
        <v>396.875</v>
      </c>
      <c r="C11611" s="6">
        <v>20.478950000000001</v>
      </c>
      <c r="D11611" s="6">
        <v>96</v>
      </c>
      <c r="E11611" s="6">
        <v>0</v>
      </c>
      <c r="F11611" s="6">
        <v>0</v>
      </c>
      <c r="G11611" s="6">
        <v>10</v>
      </c>
      <c r="H11611" s="6" t="s">
        <v>23537</v>
      </c>
      <c r="I11611" s="6">
        <v>527.4375</v>
      </c>
      <c r="J11611" s="2">
        <f t="shared" si="181"/>
        <v>43748.332926574069</v>
      </c>
    </row>
    <row r="11612" spans="1:10" x14ac:dyDescent="0.25">
      <c r="A11612" s="7" t="s">
        <v>23538</v>
      </c>
      <c r="B11612" s="8">
        <v>396.875</v>
      </c>
      <c r="C11612" s="8">
        <v>20.426300000000001</v>
      </c>
      <c r="D11612" s="8">
        <v>96</v>
      </c>
      <c r="E11612" s="8">
        <v>0</v>
      </c>
      <c r="F11612" s="8">
        <v>0</v>
      </c>
      <c r="G11612" s="8">
        <v>14</v>
      </c>
      <c r="H11612" s="8" t="s">
        <v>23539</v>
      </c>
      <c r="I11612" s="8">
        <v>527.4375</v>
      </c>
      <c r="J11612" s="3">
        <f t="shared" si="181"/>
        <v>43748.332997627316</v>
      </c>
    </row>
    <row r="11613" spans="1:10" x14ac:dyDescent="0.25">
      <c r="A11613" s="5" t="s">
        <v>23540</v>
      </c>
      <c r="B11613" s="6">
        <v>396.875</v>
      </c>
      <c r="C11613" s="6">
        <v>20.478950000000001</v>
      </c>
      <c r="D11613" s="6">
        <v>97</v>
      </c>
      <c r="E11613" s="6">
        <v>0</v>
      </c>
      <c r="F11613" s="6">
        <v>0</v>
      </c>
      <c r="G11613" s="6">
        <v>3</v>
      </c>
      <c r="H11613" s="6" t="s">
        <v>23541</v>
      </c>
      <c r="I11613" s="6">
        <v>527.4375</v>
      </c>
      <c r="J11613" s="2">
        <f t="shared" si="181"/>
        <v>43748.333069513887</v>
      </c>
    </row>
    <row r="11614" spans="1:10" x14ac:dyDescent="0.25">
      <c r="A11614" s="7" t="s">
        <v>23542</v>
      </c>
      <c r="B11614" s="8">
        <v>415.625</v>
      </c>
      <c r="C11614" s="8">
        <v>20.426300000000001</v>
      </c>
      <c r="D11614" s="8">
        <v>97</v>
      </c>
      <c r="E11614" s="8">
        <v>0</v>
      </c>
      <c r="F11614" s="8">
        <v>0</v>
      </c>
      <c r="G11614" s="8">
        <v>4</v>
      </c>
      <c r="H11614" s="8" t="s">
        <v>23543</v>
      </c>
      <c r="I11614" s="8">
        <v>533.0625</v>
      </c>
      <c r="J11614" s="3">
        <f t="shared" si="181"/>
        <v>43748.33314091435</v>
      </c>
    </row>
    <row r="11615" spans="1:10" x14ac:dyDescent="0.25">
      <c r="A11615" s="5" t="s">
        <v>23544</v>
      </c>
      <c r="B11615" s="6">
        <v>393.75</v>
      </c>
      <c r="C11615" s="6">
        <v>20.478950000000001</v>
      </c>
      <c r="D11615" s="6">
        <v>97</v>
      </c>
      <c r="E11615" s="6">
        <v>0</v>
      </c>
      <c r="F11615" s="6">
        <v>0</v>
      </c>
      <c r="G11615" s="6">
        <v>19</v>
      </c>
      <c r="H11615" s="6" t="s">
        <v>23545</v>
      </c>
      <c r="I11615" s="6">
        <v>526.6875</v>
      </c>
      <c r="J11615" s="2">
        <f t="shared" si="181"/>
        <v>43748.333212557867</v>
      </c>
    </row>
    <row r="11616" spans="1:10" x14ac:dyDescent="0.25">
      <c r="A11616" s="7" t="s">
        <v>23546</v>
      </c>
      <c r="B11616" s="8">
        <v>393.75</v>
      </c>
      <c r="C11616" s="8">
        <v>20.478950000000001</v>
      </c>
      <c r="D11616" s="8">
        <v>97</v>
      </c>
      <c r="E11616" s="8">
        <v>0</v>
      </c>
      <c r="F11616" s="8">
        <v>0</v>
      </c>
      <c r="G11616" s="8">
        <v>8</v>
      </c>
      <c r="H11616" s="8" t="s">
        <v>23547</v>
      </c>
      <c r="I11616" s="8">
        <v>526.6875</v>
      </c>
      <c r="J11616" s="3">
        <f t="shared" si="181"/>
        <v>43748.333284097222</v>
      </c>
    </row>
    <row r="11617" spans="1:10" x14ac:dyDescent="0.25">
      <c r="A11617" s="5" t="s">
        <v>23548</v>
      </c>
      <c r="B11617" s="6">
        <v>393.75</v>
      </c>
      <c r="C11617" s="6">
        <v>20.478950000000001</v>
      </c>
      <c r="D11617" s="6">
        <v>97</v>
      </c>
      <c r="E11617" s="6">
        <v>0</v>
      </c>
      <c r="F11617" s="6">
        <v>0</v>
      </c>
      <c r="G11617" s="6">
        <v>8</v>
      </c>
      <c r="H11617" s="6" t="s">
        <v>23549</v>
      </c>
      <c r="I11617" s="6">
        <v>526.6875</v>
      </c>
      <c r="J11617" s="2">
        <f t="shared" si="181"/>
        <v>43748.333367384257</v>
      </c>
    </row>
    <row r="11618" spans="1:10" x14ac:dyDescent="0.25">
      <c r="A11618" s="7" t="s">
        <v>23550</v>
      </c>
      <c r="B11618" s="8">
        <v>393.75</v>
      </c>
      <c r="C11618" s="8">
        <v>20.478950000000001</v>
      </c>
      <c r="D11618" s="8">
        <v>97</v>
      </c>
      <c r="E11618" s="8">
        <v>0</v>
      </c>
      <c r="F11618" s="8">
        <v>0</v>
      </c>
      <c r="G11618" s="8">
        <v>0</v>
      </c>
      <c r="H11618" s="8" t="s">
        <v>23551</v>
      </c>
      <c r="I11618" s="8">
        <v>526.5</v>
      </c>
      <c r="J11618" s="3">
        <f t="shared" si="181"/>
        <v>43748.333439050919</v>
      </c>
    </row>
    <row r="11619" spans="1:10" x14ac:dyDescent="0.25">
      <c r="A11619" s="5" t="s">
        <v>23552</v>
      </c>
      <c r="B11619" s="6">
        <v>393.75</v>
      </c>
      <c r="C11619" s="6">
        <v>20.478950000000001</v>
      </c>
      <c r="D11619" s="6">
        <v>99</v>
      </c>
      <c r="E11619" s="6">
        <v>0</v>
      </c>
      <c r="F11619" s="6">
        <v>0</v>
      </c>
      <c r="G11619" s="6">
        <v>2</v>
      </c>
      <c r="H11619" s="6" t="s">
        <v>23553</v>
      </c>
      <c r="I11619" s="6">
        <v>526.5</v>
      </c>
      <c r="J11619" s="2">
        <f t="shared" si="181"/>
        <v>43748.333522511573</v>
      </c>
    </row>
    <row r="11620" spans="1:10" x14ac:dyDescent="0.25">
      <c r="A11620" s="7" t="s">
        <v>23554</v>
      </c>
      <c r="B11620" s="8">
        <v>393.75</v>
      </c>
      <c r="C11620" s="8">
        <v>20.478950000000001</v>
      </c>
      <c r="D11620" s="8">
        <v>98</v>
      </c>
      <c r="E11620" s="8">
        <v>0</v>
      </c>
      <c r="F11620" s="8">
        <v>0</v>
      </c>
      <c r="G11620" s="8">
        <v>2</v>
      </c>
      <c r="H11620" s="8" t="s">
        <v>23555</v>
      </c>
      <c r="I11620" s="8">
        <v>526.6875</v>
      </c>
      <c r="J11620" s="3">
        <f t="shared" si="181"/>
        <v>43748.333594166666</v>
      </c>
    </row>
    <row r="11621" spans="1:10" x14ac:dyDescent="0.25">
      <c r="A11621" s="5" t="s">
        <v>23556</v>
      </c>
      <c r="B11621" s="6">
        <v>412.5</v>
      </c>
      <c r="C11621" s="6">
        <v>20.478950000000001</v>
      </c>
      <c r="D11621" s="6">
        <v>98</v>
      </c>
      <c r="E11621" s="6">
        <v>0</v>
      </c>
      <c r="F11621" s="6">
        <v>0</v>
      </c>
      <c r="G11621" s="6">
        <v>5</v>
      </c>
      <c r="H11621" s="6" t="s">
        <v>23557</v>
      </c>
      <c r="I11621" s="6">
        <v>532.3125</v>
      </c>
      <c r="J11621" s="2">
        <f t="shared" si="181"/>
        <v>43748.333671817127</v>
      </c>
    </row>
    <row r="11622" spans="1:10" x14ac:dyDescent="0.25">
      <c r="A11622" s="7" t="s">
        <v>23558</v>
      </c>
      <c r="B11622" s="8">
        <v>393.75</v>
      </c>
      <c r="C11622" s="8">
        <v>20.478950000000001</v>
      </c>
      <c r="D11622" s="8">
        <v>98</v>
      </c>
      <c r="E11622" s="8">
        <v>0</v>
      </c>
      <c r="F11622" s="8">
        <v>0</v>
      </c>
      <c r="G11622" s="8">
        <v>7</v>
      </c>
      <c r="H11622" s="8" t="s">
        <v>23559</v>
      </c>
      <c r="I11622" s="8">
        <v>526.6875</v>
      </c>
      <c r="J11622" s="3">
        <f t="shared" si="181"/>
        <v>43748.333749004632</v>
      </c>
    </row>
    <row r="11623" spans="1:10" x14ac:dyDescent="0.25">
      <c r="A11623" s="5" t="s">
        <v>23560</v>
      </c>
      <c r="B11623" s="6">
        <v>393.75</v>
      </c>
      <c r="C11623" s="6">
        <v>20.478950000000001</v>
      </c>
      <c r="D11623" s="6">
        <v>97</v>
      </c>
      <c r="E11623" s="6">
        <v>0</v>
      </c>
      <c r="F11623" s="6">
        <v>0</v>
      </c>
      <c r="G11623" s="6">
        <v>13</v>
      </c>
      <c r="H11623" s="6" t="s">
        <v>23561</v>
      </c>
      <c r="I11623" s="6">
        <v>526.6875</v>
      </c>
      <c r="J11623" s="2">
        <f t="shared" si="181"/>
        <v>43748.333820787033</v>
      </c>
    </row>
    <row r="11624" spans="1:10" x14ac:dyDescent="0.25">
      <c r="A11624" s="7" t="s">
        <v>23562</v>
      </c>
      <c r="B11624" s="8">
        <v>412.5</v>
      </c>
      <c r="C11624" s="8">
        <v>20.478950000000001</v>
      </c>
      <c r="D11624" s="8">
        <v>97</v>
      </c>
      <c r="E11624" s="8">
        <v>0</v>
      </c>
      <c r="F11624" s="8">
        <v>0</v>
      </c>
      <c r="G11624" s="8">
        <v>12</v>
      </c>
      <c r="H11624" s="8" t="s">
        <v>23563</v>
      </c>
      <c r="I11624" s="8">
        <v>532.3125</v>
      </c>
      <c r="J11624" s="3">
        <f t="shared" si="181"/>
        <v>43748.333904340274</v>
      </c>
    </row>
    <row r="11625" spans="1:10" x14ac:dyDescent="0.25">
      <c r="A11625" s="5" t="s">
        <v>23564</v>
      </c>
      <c r="B11625" s="6">
        <v>393.75</v>
      </c>
      <c r="C11625" s="6">
        <v>20.478950000000001</v>
      </c>
      <c r="D11625" s="6">
        <v>97</v>
      </c>
      <c r="E11625" s="6">
        <v>0</v>
      </c>
      <c r="F11625" s="6">
        <v>0</v>
      </c>
      <c r="G11625" s="6">
        <v>1</v>
      </c>
      <c r="H11625" s="6" t="s">
        <v>23565</v>
      </c>
      <c r="I11625" s="6">
        <v>526.5</v>
      </c>
      <c r="J11625" s="2">
        <f t="shared" si="181"/>
        <v>43748.33397579861</v>
      </c>
    </row>
    <row r="11626" spans="1:10" x14ac:dyDescent="0.25">
      <c r="A11626" s="7" t="s">
        <v>23566</v>
      </c>
      <c r="B11626" s="8">
        <v>396.875</v>
      </c>
      <c r="C11626" s="8">
        <v>20.426300000000001</v>
      </c>
      <c r="D11626" s="8">
        <v>97</v>
      </c>
      <c r="E11626" s="8">
        <v>0</v>
      </c>
      <c r="F11626" s="8">
        <v>0</v>
      </c>
      <c r="G11626" s="8">
        <v>9</v>
      </c>
      <c r="H11626" s="8" t="s">
        <v>23567</v>
      </c>
      <c r="I11626" s="8">
        <v>527.4375</v>
      </c>
      <c r="J11626" s="3">
        <f t="shared" si="181"/>
        <v>43748.334059201385</v>
      </c>
    </row>
    <row r="11627" spans="1:10" x14ac:dyDescent="0.25">
      <c r="A11627" s="5" t="s">
        <v>23568</v>
      </c>
      <c r="B11627" s="6">
        <v>396.875</v>
      </c>
      <c r="C11627" s="6">
        <v>20.426300000000001</v>
      </c>
      <c r="D11627" s="6">
        <v>97</v>
      </c>
      <c r="E11627" s="6">
        <v>0</v>
      </c>
      <c r="F11627" s="6">
        <v>0</v>
      </c>
      <c r="G11627" s="6">
        <v>0</v>
      </c>
      <c r="H11627" s="6" t="s">
        <v>23569</v>
      </c>
      <c r="I11627" s="6">
        <v>527.4375</v>
      </c>
      <c r="J11627" s="2">
        <f t="shared" si="181"/>
        <v>43748.334147326386</v>
      </c>
    </row>
    <row r="11628" spans="1:10" x14ac:dyDescent="0.25">
      <c r="A11628" s="7" t="s">
        <v>23570</v>
      </c>
      <c r="B11628" s="8">
        <v>396.875</v>
      </c>
      <c r="C11628" s="8">
        <v>20.478950000000001</v>
      </c>
      <c r="D11628" s="8">
        <v>97</v>
      </c>
      <c r="E11628" s="8">
        <v>0</v>
      </c>
      <c r="F11628" s="8">
        <v>0</v>
      </c>
      <c r="G11628" s="8">
        <v>6</v>
      </c>
      <c r="H11628" s="8" t="s">
        <v>23571</v>
      </c>
      <c r="I11628" s="8">
        <v>527.4375</v>
      </c>
      <c r="J11628" s="3">
        <f t="shared" si="181"/>
        <v>43748.33422626157</v>
      </c>
    </row>
    <row r="11629" spans="1:10" x14ac:dyDescent="0.25">
      <c r="A11629" s="5" t="s">
        <v>23572</v>
      </c>
      <c r="B11629" s="6">
        <v>396.875</v>
      </c>
      <c r="C11629" s="6">
        <v>20.478950000000001</v>
      </c>
      <c r="D11629" s="6">
        <v>97</v>
      </c>
      <c r="E11629" s="6">
        <v>0</v>
      </c>
      <c r="F11629" s="6">
        <v>0</v>
      </c>
      <c r="G11629" s="6">
        <v>5</v>
      </c>
      <c r="H11629" s="6" t="s">
        <v>23573</v>
      </c>
      <c r="I11629" s="6">
        <v>527.4375</v>
      </c>
      <c r="J11629" s="2">
        <f t="shared" si="181"/>
        <v>43748.334347905089</v>
      </c>
    </row>
    <row r="11630" spans="1:10" x14ac:dyDescent="0.25">
      <c r="A11630" s="7" t="s">
        <v>23574</v>
      </c>
      <c r="B11630" s="8">
        <v>400</v>
      </c>
      <c r="C11630" s="8">
        <v>20.478950000000001</v>
      </c>
      <c r="D11630" s="8">
        <v>97</v>
      </c>
      <c r="E11630" s="8">
        <v>0</v>
      </c>
      <c r="F11630" s="8">
        <v>0</v>
      </c>
      <c r="G11630" s="8">
        <v>13</v>
      </c>
      <c r="H11630" s="8" t="s">
        <v>23575</v>
      </c>
      <c r="I11630" s="8">
        <v>528.375</v>
      </c>
      <c r="J11630" s="3">
        <f t="shared" si="181"/>
        <v>43748.33445657407</v>
      </c>
    </row>
    <row r="11631" spans="1:10" x14ac:dyDescent="0.25">
      <c r="A11631" s="5" t="s">
        <v>23576</v>
      </c>
      <c r="B11631" s="6">
        <v>403.125</v>
      </c>
      <c r="C11631" s="6">
        <v>20.426300000000001</v>
      </c>
      <c r="D11631" s="6">
        <v>97</v>
      </c>
      <c r="E11631" s="6">
        <v>0</v>
      </c>
      <c r="F11631" s="6">
        <v>0</v>
      </c>
      <c r="G11631" s="6">
        <v>3</v>
      </c>
      <c r="H11631" s="6" t="s">
        <v>23577</v>
      </c>
      <c r="I11631" s="6">
        <v>529.125</v>
      </c>
      <c r="J11631" s="2">
        <f t="shared" si="181"/>
        <v>43748.334548194442</v>
      </c>
    </row>
    <row r="11632" spans="1:10" x14ac:dyDescent="0.25">
      <c r="A11632" s="7" t="s">
        <v>23578</v>
      </c>
      <c r="B11632" s="8">
        <v>403.125</v>
      </c>
      <c r="C11632" s="8">
        <v>20.478950000000001</v>
      </c>
      <c r="D11632" s="8">
        <v>98</v>
      </c>
      <c r="E11632" s="8">
        <v>0</v>
      </c>
      <c r="F11632" s="8">
        <v>0</v>
      </c>
      <c r="G11632" s="8">
        <v>0</v>
      </c>
      <c r="H11632" s="8" t="s">
        <v>23579</v>
      </c>
      <c r="I11632" s="8">
        <v>529.125</v>
      </c>
      <c r="J11632" s="3">
        <f t="shared" si="181"/>
        <v>43748.334620057867</v>
      </c>
    </row>
    <row r="11633" spans="1:10" x14ac:dyDescent="0.25">
      <c r="A11633" s="5" t="s">
        <v>23580</v>
      </c>
      <c r="B11633" s="6">
        <v>403.125</v>
      </c>
      <c r="C11633" s="6">
        <v>20.478950000000001</v>
      </c>
      <c r="D11633" s="6">
        <v>97</v>
      </c>
      <c r="E11633" s="6">
        <v>0</v>
      </c>
      <c r="F11633" s="6">
        <v>0</v>
      </c>
      <c r="G11633" s="6">
        <v>5</v>
      </c>
      <c r="H11633" s="6" t="s">
        <v>23581</v>
      </c>
      <c r="I11633" s="6">
        <v>529.125</v>
      </c>
      <c r="J11633" s="2">
        <f t="shared" si="181"/>
        <v>43748.334691365737</v>
      </c>
    </row>
    <row r="11634" spans="1:10" x14ac:dyDescent="0.25">
      <c r="A11634" s="7" t="s">
        <v>23582</v>
      </c>
      <c r="B11634" s="8">
        <v>400</v>
      </c>
      <c r="C11634" s="8">
        <v>20.478950000000001</v>
      </c>
      <c r="D11634" s="8">
        <v>97</v>
      </c>
      <c r="E11634" s="8">
        <v>0</v>
      </c>
      <c r="F11634" s="8">
        <v>0</v>
      </c>
      <c r="G11634" s="8">
        <v>2</v>
      </c>
      <c r="H11634" s="8" t="s">
        <v>23583</v>
      </c>
      <c r="I11634" s="8">
        <v>528.1875</v>
      </c>
      <c r="J11634" s="3">
        <f t="shared" si="181"/>
        <v>43748.334763009254</v>
      </c>
    </row>
    <row r="11635" spans="1:10" x14ac:dyDescent="0.25">
      <c r="A11635" s="5" t="s">
        <v>23584</v>
      </c>
      <c r="B11635" s="6">
        <v>400</v>
      </c>
      <c r="C11635" s="6">
        <v>20.478950000000001</v>
      </c>
      <c r="D11635" s="6">
        <v>96</v>
      </c>
      <c r="E11635" s="6">
        <v>0</v>
      </c>
      <c r="F11635" s="6">
        <v>0</v>
      </c>
      <c r="G11635" s="6">
        <v>3</v>
      </c>
      <c r="H11635" s="6" t="s">
        <v>23585</v>
      </c>
      <c r="I11635" s="6">
        <v>528.1875</v>
      </c>
      <c r="J11635" s="2">
        <f t="shared" si="181"/>
        <v>43748.334834652771</v>
      </c>
    </row>
    <row r="11636" spans="1:10" x14ac:dyDescent="0.25">
      <c r="A11636" s="7" t="s">
        <v>23586</v>
      </c>
      <c r="B11636" s="8">
        <v>396.875</v>
      </c>
      <c r="C11636" s="8">
        <v>20.478950000000001</v>
      </c>
      <c r="D11636" s="8">
        <v>96</v>
      </c>
      <c r="E11636" s="8">
        <v>0</v>
      </c>
      <c r="F11636" s="8">
        <v>0</v>
      </c>
      <c r="G11636" s="8">
        <v>2</v>
      </c>
      <c r="H11636" s="8" t="s">
        <v>23587</v>
      </c>
      <c r="I11636" s="8">
        <v>527.4375</v>
      </c>
      <c r="J11636" s="3">
        <f t="shared" si="181"/>
        <v>43748.334905590273</v>
      </c>
    </row>
    <row r="11637" spans="1:10" x14ac:dyDescent="0.25">
      <c r="A11637" s="5" t="s">
        <v>23588</v>
      </c>
      <c r="B11637" s="6">
        <v>396.875</v>
      </c>
      <c r="C11637" s="6">
        <v>20.426300000000001</v>
      </c>
      <c r="D11637" s="6">
        <v>99</v>
      </c>
      <c r="E11637" s="6">
        <v>0</v>
      </c>
      <c r="F11637" s="6">
        <v>0</v>
      </c>
      <c r="G11637" s="6">
        <v>5</v>
      </c>
      <c r="H11637" s="6" t="s">
        <v>23589</v>
      </c>
      <c r="I11637" s="6">
        <v>527.4375</v>
      </c>
      <c r="J11637" s="2">
        <f t="shared" si="181"/>
        <v>43748.33497747685</v>
      </c>
    </row>
    <row r="11638" spans="1:10" x14ac:dyDescent="0.25">
      <c r="A11638" s="7" t="s">
        <v>23590</v>
      </c>
      <c r="B11638" s="8">
        <v>393.75</v>
      </c>
      <c r="C11638" s="8">
        <v>20.426300000000001</v>
      </c>
      <c r="D11638" s="8">
        <v>99</v>
      </c>
      <c r="E11638" s="8">
        <v>0</v>
      </c>
      <c r="F11638" s="8">
        <v>0</v>
      </c>
      <c r="G11638" s="8">
        <v>10</v>
      </c>
      <c r="H11638" s="8" t="s">
        <v>23591</v>
      </c>
      <c r="I11638" s="8">
        <v>526.6875</v>
      </c>
      <c r="J11638" s="3">
        <f t="shared" si="181"/>
        <v>43748.335048761575</v>
      </c>
    </row>
    <row r="11639" spans="1:10" x14ac:dyDescent="0.25">
      <c r="A11639" s="5" t="s">
        <v>23592</v>
      </c>
      <c r="B11639" s="6">
        <v>393.75</v>
      </c>
      <c r="C11639" s="6">
        <v>20.478950000000001</v>
      </c>
      <c r="D11639" s="6">
        <v>99</v>
      </c>
      <c r="E11639" s="6">
        <v>0</v>
      </c>
      <c r="F11639" s="6">
        <v>0</v>
      </c>
      <c r="G11639" s="6">
        <v>12</v>
      </c>
      <c r="H11639" s="6" t="s">
        <v>23593</v>
      </c>
      <c r="I11639" s="6">
        <v>526.6875</v>
      </c>
      <c r="J11639" s="2">
        <f t="shared" si="181"/>
        <v>43748.335120949072</v>
      </c>
    </row>
    <row r="11640" spans="1:10" x14ac:dyDescent="0.25">
      <c r="A11640" s="7" t="s">
        <v>23594</v>
      </c>
      <c r="B11640" s="8">
        <v>393.75</v>
      </c>
      <c r="C11640" s="8">
        <v>20.478950000000001</v>
      </c>
      <c r="D11640" s="8">
        <v>101</v>
      </c>
      <c r="E11640" s="8">
        <v>0</v>
      </c>
      <c r="F11640" s="8">
        <v>0</v>
      </c>
      <c r="G11640" s="8">
        <v>5</v>
      </c>
      <c r="H11640" s="8" t="s">
        <v>23595</v>
      </c>
      <c r="I11640" s="8">
        <v>526.6875</v>
      </c>
      <c r="J11640" s="3">
        <f t="shared" si="181"/>
        <v>43748.335204097217</v>
      </c>
    </row>
    <row r="11641" spans="1:10" x14ac:dyDescent="0.25">
      <c r="A11641" s="5" t="s">
        <v>23596</v>
      </c>
      <c r="B11641" s="6">
        <v>393.75</v>
      </c>
      <c r="C11641" s="6">
        <v>20.478950000000001</v>
      </c>
      <c r="D11641" s="6">
        <v>101</v>
      </c>
      <c r="E11641" s="6">
        <v>0</v>
      </c>
      <c r="F11641" s="6">
        <v>0</v>
      </c>
      <c r="G11641" s="6">
        <v>8</v>
      </c>
      <c r="H11641" s="6" t="s">
        <v>23597</v>
      </c>
      <c r="I11641" s="6">
        <v>526.6875</v>
      </c>
      <c r="J11641" s="2">
        <f t="shared" si="181"/>
        <v>43748.335287523143</v>
      </c>
    </row>
    <row r="11642" spans="1:10" x14ac:dyDescent="0.25">
      <c r="A11642" s="7" t="s">
        <v>23598</v>
      </c>
      <c r="B11642" s="8">
        <v>393.75</v>
      </c>
      <c r="C11642" s="8">
        <v>20.478950000000001</v>
      </c>
      <c r="D11642" s="8">
        <v>101</v>
      </c>
      <c r="E11642" s="8">
        <v>0</v>
      </c>
      <c r="F11642" s="8">
        <v>0</v>
      </c>
      <c r="G11642" s="8">
        <v>10</v>
      </c>
      <c r="H11642" s="8" t="s">
        <v>23599</v>
      </c>
      <c r="I11642" s="8">
        <v>526.6875</v>
      </c>
      <c r="J11642" s="3">
        <f t="shared" si="181"/>
        <v>43748.335370995366</v>
      </c>
    </row>
    <row r="11643" spans="1:10" x14ac:dyDescent="0.25">
      <c r="A11643" s="5" t="s">
        <v>23600</v>
      </c>
      <c r="B11643" s="6">
        <v>393.75</v>
      </c>
      <c r="C11643" s="6">
        <v>20.478950000000001</v>
      </c>
      <c r="D11643" s="6">
        <v>101</v>
      </c>
      <c r="E11643" s="6">
        <v>0</v>
      </c>
      <c r="F11643" s="6">
        <v>0</v>
      </c>
      <c r="G11643" s="6">
        <v>10</v>
      </c>
      <c r="H11643" s="6" t="s">
        <v>23601</v>
      </c>
      <c r="I11643" s="6">
        <v>526.6875</v>
      </c>
      <c r="J11643" s="2">
        <f t="shared" si="181"/>
        <v>43748.335442627307</v>
      </c>
    </row>
    <row r="11644" spans="1:10" x14ac:dyDescent="0.25">
      <c r="A11644" s="7" t="s">
        <v>23602</v>
      </c>
      <c r="B11644" s="8">
        <v>393.75</v>
      </c>
      <c r="C11644" s="8">
        <v>20.478950000000001</v>
      </c>
      <c r="D11644" s="8">
        <v>102</v>
      </c>
      <c r="E11644" s="8">
        <v>0</v>
      </c>
      <c r="F11644" s="8">
        <v>0</v>
      </c>
      <c r="G11644" s="8">
        <v>16</v>
      </c>
      <c r="H11644" s="8" t="s">
        <v>23603</v>
      </c>
      <c r="I11644" s="8">
        <v>526.6875</v>
      </c>
      <c r="J11644" s="3">
        <f t="shared" si="181"/>
        <v>43748.335526076386</v>
      </c>
    </row>
    <row r="11645" spans="1:10" x14ac:dyDescent="0.25">
      <c r="A11645" s="5" t="s">
        <v>23604</v>
      </c>
      <c r="B11645" s="6">
        <v>393.75</v>
      </c>
      <c r="C11645" s="6">
        <v>20.478950000000001</v>
      </c>
      <c r="D11645" s="6">
        <v>103</v>
      </c>
      <c r="E11645" s="6">
        <v>0</v>
      </c>
      <c r="F11645" s="6">
        <v>0</v>
      </c>
      <c r="G11645" s="6">
        <v>11</v>
      </c>
      <c r="H11645" s="6" t="s">
        <v>23605</v>
      </c>
      <c r="I11645" s="6">
        <v>526.6875</v>
      </c>
      <c r="J11645" s="2">
        <f t="shared" si="181"/>
        <v>43748.335597627309</v>
      </c>
    </row>
    <row r="11646" spans="1:10" x14ac:dyDescent="0.25">
      <c r="A11646" s="7" t="s">
        <v>23606</v>
      </c>
      <c r="B11646" s="8">
        <v>393.75</v>
      </c>
      <c r="C11646" s="8">
        <v>20.426300000000001</v>
      </c>
      <c r="D11646" s="8">
        <v>103</v>
      </c>
      <c r="E11646" s="8">
        <v>0</v>
      </c>
      <c r="F11646" s="8">
        <v>0</v>
      </c>
      <c r="G11646" s="8">
        <v>10</v>
      </c>
      <c r="H11646" s="8" t="s">
        <v>23607</v>
      </c>
      <c r="I11646" s="8">
        <v>526.6875</v>
      </c>
      <c r="J11646" s="3">
        <f t="shared" si="181"/>
        <v>43748.335669143511</v>
      </c>
    </row>
    <row r="11647" spans="1:10" x14ac:dyDescent="0.25">
      <c r="A11647" s="5" t="s">
        <v>23608</v>
      </c>
      <c r="B11647" s="6">
        <v>393.75</v>
      </c>
      <c r="C11647" s="6">
        <v>20.478950000000001</v>
      </c>
      <c r="D11647" s="6">
        <v>101</v>
      </c>
      <c r="E11647" s="6">
        <v>0</v>
      </c>
      <c r="F11647" s="6">
        <v>0</v>
      </c>
      <c r="G11647" s="6">
        <v>5</v>
      </c>
      <c r="H11647" s="6" t="s">
        <v>23609</v>
      </c>
      <c r="I11647" s="6">
        <v>526.6875</v>
      </c>
      <c r="J11647" s="2">
        <f t="shared" si="181"/>
        <v>43748.335740787035</v>
      </c>
    </row>
    <row r="11648" spans="1:10" x14ac:dyDescent="0.25">
      <c r="A11648" s="7" t="s">
        <v>23610</v>
      </c>
      <c r="B11648" s="8">
        <v>393.75</v>
      </c>
      <c r="C11648" s="8">
        <v>20.478950000000001</v>
      </c>
      <c r="D11648" s="8">
        <v>101</v>
      </c>
      <c r="E11648" s="8">
        <v>0</v>
      </c>
      <c r="F11648" s="8">
        <v>0</v>
      </c>
      <c r="G11648" s="8">
        <v>15</v>
      </c>
      <c r="H11648" s="8" t="s">
        <v>23611</v>
      </c>
      <c r="I11648" s="8">
        <v>526.6875</v>
      </c>
      <c r="J11648" s="3">
        <f t="shared" si="181"/>
        <v>43748.335812418976</v>
      </c>
    </row>
    <row r="11649" spans="1:10" x14ac:dyDescent="0.25">
      <c r="A11649" s="5" t="s">
        <v>23612</v>
      </c>
      <c r="B11649" s="6">
        <v>393.75</v>
      </c>
      <c r="C11649" s="6">
        <v>20.478950000000001</v>
      </c>
      <c r="D11649" s="6">
        <v>101</v>
      </c>
      <c r="E11649" s="6">
        <v>0</v>
      </c>
      <c r="F11649" s="6">
        <v>0</v>
      </c>
      <c r="G11649" s="6">
        <v>11</v>
      </c>
      <c r="H11649" s="6" t="s">
        <v>23613</v>
      </c>
      <c r="I11649" s="6">
        <v>526.6875</v>
      </c>
      <c r="J11649" s="2">
        <f t="shared" si="181"/>
        <v>43748.335883842585</v>
      </c>
    </row>
    <row r="11650" spans="1:10" x14ac:dyDescent="0.25">
      <c r="A11650" s="7" t="s">
        <v>23614</v>
      </c>
      <c r="B11650" s="8">
        <v>393.75</v>
      </c>
      <c r="C11650" s="8">
        <v>20.478950000000001</v>
      </c>
      <c r="D11650" s="8">
        <v>102</v>
      </c>
      <c r="E11650" s="8">
        <v>0</v>
      </c>
      <c r="F11650" s="8">
        <v>0</v>
      </c>
      <c r="G11650" s="8">
        <v>4</v>
      </c>
      <c r="H11650" s="8" t="s">
        <v>23615</v>
      </c>
      <c r="I11650" s="8">
        <v>526.6875</v>
      </c>
      <c r="J11650" s="3">
        <f t="shared" ref="J11650:J11713" si="182">(H11650/86400000)+25569+(7/24)</f>
        <v>43748.335967326384</v>
      </c>
    </row>
    <row r="11651" spans="1:10" x14ac:dyDescent="0.25">
      <c r="A11651" s="5" t="s">
        <v>23616</v>
      </c>
      <c r="B11651" s="6">
        <v>393.75</v>
      </c>
      <c r="C11651" s="6">
        <v>20.478950000000001</v>
      </c>
      <c r="D11651" s="6">
        <v>101</v>
      </c>
      <c r="E11651" s="6">
        <v>0</v>
      </c>
      <c r="F11651" s="6">
        <v>0</v>
      </c>
      <c r="G11651" s="6">
        <v>11</v>
      </c>
      <c r="H11651" s="6" t="s">
        <v>23617</v>
      </c>
      <c r="I11651" s="6">
        <v>526.6875</v>
      </c>
      <c r="J11651" s="2">
        <f t="shared" si="182"/>
        <v>43748.336050740741</v>
      </c>
    </row>
    <row r="11652" spans="1:10" x14ac:dyDescent="0.25">
      <c r="A11652" s="7" t="s">
        <v>23618</v>
      </c>
      <c r="B11652" s="8">
        <v>393.75</v>
      </c>
      <c r="C11652" s="8">
        <v>20.478950000000001</v>
      </c>
      <c r="D11652" s="8">
        <v>101</v>
      </c>
      <c r="E11652" s="8">
        <v>0</v>
      </c>
      <c r="F11652" s="8">
        <v>0</v>
      </c>
      <c r="G11652" s="8">
        <v>9</v>
      </c>
      <c r="H11652" s="8" t="s">
        <v>23619</v>
      </c>
      <c r="I11652" s="8">
        <v>526.6875</v>
      </c>
      <c r="J11652" s="3">
        <f t="shared" si="182"/>
        <v>43748.336133969904</v>
      </c>
    </row>
    <row r="11653" spans="1:10" x14ac:dyDescent="0.25">
      <c r="A11653" s="5" t="s">
        <v>23620</v>
      </c>
      <c r="B11653" s="6">
        <v>393.75</v>
      </c>
      <c r="C11653" s="6">
        <v>20.478950000000001</v>
      </c>
      <c r="D11653" s="6">
        <v>101</v>
      </c>
      <c r="E11653" s="6">
        <v>0</v>
      </c>
      <c r="F11653" s="6">
        <v>0</v>
      </c>
      <c r="G11653" s="6">
        <v>0</v>
      </c>
      <c r="H11653" s="6" t="s">
        <v>23621</v>
      </c>
      <c r="I11653" s="6">
        <v>526.6875</v>
      </c>
      <c r="J11653" s="2">
        <f t="shared" si="182"/>
        <v>43748.336205613428</v>
      </c>
    </row>
    <row r="11654" spans="1:10" x14ac:dyDescent="0.25">
      <c r="A11654" s="7" t="s">
        <v>23622</v>
      </c>
      <c r="B11654" s="8">
        <v>412.5</v>
      </c>
      <c r="C11654" s="8">
        <v>20.478950000000001</v>
      </c>
      <c r="D11654" s="8">
        <v>102</v>
      </c>
      <c r="E11654" s="8">
        <v>0</v>
      </c>
      <c r="F11654" s="8">
        <v>0</v>
      </c>
      <c r="G11654" s="8">
        <v>1</v>
      </c>
      <c r="H11654" s="8" t="s">
        <v>23623</v>
      </c>
      <c r="I11654" s="8">
        <v>532.5</v>
      </c>
      <c r="J11654" s="3">
        <f t="shared" si="182"/>
        <v>43748.336289606479</v>
      </c>
    </row>
    <row r="11655" spans="1:10" x14ac:dyDescent="0.25">
      <c r="A11655" s="5" t="s">
        <v>23624</v>
      </c>
      <c r="B11655" s="6">
        <v>393.75</v>
      </c>
      <c r="C11655" s="6">
        <v>20.478950000000001</v>
      </c>
      <c r="D11655" s="6">
        <v>101</v>
      </c>
      <c r="E11655" s="6">
        <v>0</v>
      </c>
      <c r="F11655" s="6">
        <v>0</v>
      </c>
      <c r="G11655" s="6">
        <v>0</v>
      </c>
      <c r="H11655" s="6" t="s">
        <v>23625</v>
      </c>
      <c r="I11655" s="6">
        <v>526.6875</v>
      </c>
      <c r="J11655" s="2">
        <f t="shared" si="182"/>
        <v>43748.336372731479</v>
      </c>
    </row>
    <row r="11656" spans="1:10" x14ac:dyDescent="0.25">
      <c r="A11656" s="7" t="s">
        <v>23626</v>
      </c>
      <c r="B11656" s="8">
        <v>393.75</v>
      </c>
      <c r="C11656" s="8">
        <v>20.426300000000001</v>
      </c>
      <c r="D11656" s="8">
        <v>105</v>
      </c>
      <c r="E11656" s="8">
        <v>0</v>
      </c>
      <c r="F11656" s="8">
        <v>0</v>
      </c>
      <c r="G11656" s="8">
        <v>5</v>
      </c>
      <c r="H11656" s="8" t="s">
        <v>23627</v>
      </c>
      <c r="I11656" s="8">
        <v>526.6875</v>
      </c>
      <c r="J11656" s="3">
        <f t="shared" si="182"/>
        <v>43748.336456180557</v>
      </c>
    </row>
    <row r="11657" spans="1:10" x14ac:dyDescent="0.25">
      <c r="A11657" s="5" t="s">
        <v>23628</v>
      </c>
      <c r="B11657" s="6">
        <v>393.75</v>
      </c>
      <c r="C11657" s="6">
        <v>20.478950000000001</v>
      </c>
      <c r="D11657" s="6">
        <v>104</v>
      </c>
      <c r="E11657" s="6">
        <v>0</v>
      </c>
      <c r="F11657" s="6">
        <v>0</v>
      </c>
      <c r="G11657" s="6">
        <v>2</v>
      </c>
      <c r="H11657" s="6" t="s">
        <v>23629</v>
      </c>
      <c r="I11657" s="6">
        <v>526.6875</v>
      </c>
      <c r="J11657" s="2">
        <f t="shared" si="182"/>
        <v>43748.336551643515</v>
      </c>
    </row>
    <row r="11658" spans="1:10" x14ac:dyDescent="0.25">
      <c r="A11658" s="7" t="s">
        <v>23630</v>
      </c>
      <c r="B11658" s="8">
        <v>393.75</v>
      </c>
      <c r="C11658" s="8">
        <v>20.478950000000001</v>
      </c>
      <c r="D11658" s="8">
        <v>104</v>
      </c>
      <c r="E11658" s="8">
        <v>0</v>
      </c>
      <c r="F11658" s="8">
        <v>0</v>
      </c>
      <c r="G11658" s="8">
        <v>3</v>
      </c>
      <c r="H11658" s="8" t="s">
        <v>23631</v>
      </c>
      <c r="I11658" s="8">
        <v>526.6875</v>
      </c>
      <c r="J11658" s="3">
        <f t="shared" si="182"/>
        <v>43748.336622835646</v>
      </c>
    </row>
    <row r="11659" spans="1:10" x14ac:dyDescent="0.25">
      <c r="A11659" s="5" t="s">
        <v>23632</v>
      </c>
      <c r="B11659" s="6">
        <v>393.75</v>
      </c>
      <c r="C11659" s="6">
        <v>20.426300000000001</v>
      </c>
      <c r="D11659" s="6">
        <v>104</v>
      </c>
      <c r="E11659" s="6">
        <v>0</v>
      </c>
      <c r="F11659" s="6">
        <v>0</v>
      </c>
      <c r="G11659" s="6">
        <v>7</v>
      </c>
      <c r="H11659" s="6" t="s">
        <v>23633</v>
      </c>
      <c r="I11659" s="6">
        <v>526.6875</v>
      </c>
      <c r="J11659" s="2">
        <f t="shared" si="182"/>
        <v>43748.336706643517</v>
      </c>
    </row>
    <row r="11660" spans="1:10" x14ac:dyDescent="0.25">
      <c r="A11660" s="7" t="s">
        <v>23634</v>
      </c>
      <c r="B11660" s="8">
        <v>412.5</v>
      </c>
      <c r="C11660" s="8">
        <v>20.426300000000001</v>
      </c>
      <c r="D11660" s="8">
        <v>103</v>
      </c>
      <c r="E11660" s="8">
        <v>0</v>
      </c>
      <c r="F11660" s="8">
        <v>0</v>
      </c>
      <c r="G11660" s="8">
        <v>6</v>
      </c>
      <c r="H11660" s="8" t="s">
        <v>23635</v>
      </c>
      <c r="I11660" s="8">
        <v>532.3125</v>
      </c>
      <c r="J11660" s="3">
        <f t="shared" si="182"/>
        <v>43748.336813912036</v>
      </c>
    </row>
    <row r="11661" spans="1:10" x14ac:dyDescent="0.25">
      <c r="A11661" s="5" t="s">
        <v>23636</v>
      </c>
      <c r="B11661" s="6">
        <v>393.75</v>
      </c>
      <c r="C11661" s="6">
        <v>20.478950000000001</v>
      </c>
      <c r="D11661" s="6">
        <v>103</v>
      </c>
      <c r="E11661" s="6">
        <v>0</v>
      </c>
      <c r="F11661" s="6">
        <v>0</v>
      </c>
      <c r="G11661" s="6">
        <v>12</v>
      </c>
      <c r="H11661" s="6" t="s">
        <v>23637</v>
      </c>
      <c r="I11661" s="6">
        <v>526.6875</v>
      </c>
      <c r="J11661" s="2">
        <f t="shared" si="182"/>
        <v>43748.336885810182</v>
      </c>
    </row>
    <row r="11662" spans="1:10" x14ac:dyDescent="0.25">
      <c r="A11662" s="7" t="s">
        <v>23638</v>
      </c>
      <c r="B11662" s="8">
        <v>393.75</v>
      </c>
      <c r="C11662" s="8">
        <v>20.478950000000001</v>
      </c>
      <c r="D11662" s="8">
        <v>103</v>
      </c>
      <c r="E11662" s="8">
        <v>0</v>
      </c>
      <c r="F11662" s="8">
        <v>0</v>
      </c>
      <c r="G11662" s="8">
        <v>3</v>
      </c>
      <c r="H11662" s="8" t="s">
        <v>23639</v>
      </c>
      <c r="I11662" s="8">
        <v>526.6875</v>
      </c>
      <c r="J11662" s="3">
        <f t="shared" si="182"/>
        <v>43748.336969027776</v>
      </c>
    </row>
    <row r="11663" spans="1:10" x14ac:dyDescent="0.25">
      <c r="A11663" s="5" t="s">
        <v>23640</v>
      </c>
      <c r="B11663" s="6">
        <v>393.75</v>
      </c>
      <c r="C11663" s="6">
        <v>20.478950000000001</v>
      </c>
      <c r="D11663" s="6">
        <v>103</v>
      </c>
      <c r="E11663" s="6">
        <v>0</v>
      </c>
      <c r="F11663" s="6">
        <v>0</v>
      </c>
      <c r="G11663" s="6">
        <v>0</v>
      </c>
      <c r="H11663" s="6" t="s">
        <v>23641</v>
      </c>
      <c r="I11663" s="6">
        <v>526.6875</v>
      </c>
      <c r="J11663" s="2">
        <f t="shared" si="182"/>
        <v>43748.337064421292</v>
      </c>
    </row>
    <row r="11664" spans="1:10" x14ac:dyDescent="0.25">
      <c r="A11664" s="7" t="s">
        <v>23642</v>
      </c>
      <c r="B11664" s="8">
        <v>393.75</v>
      </c>
      <c r="C11664" s="8">
        <v>20.478950000000001</v>
      </c>
      <c r="D11664" s="8">
        <v>102</v>
      </c>
      <c r="E11664" s="8">
        <v>0</v>
      </c>
      <c r="F11664" s="8">
        <v>0</v>
      </c>
      <c r="G11664" s="8">
        <v>10</v>
      </c>
      <c r="H11664" s="8" t="s">
        <v>23643</v>
      </c>
      <c r="I11664" s="8">
        <v>526.6875</v>
      </c>
      <c r="J11664" s="3">
        <f t="shared" si="182"/>
        <v>43748.33713594907</v>
      </c>
    </row>
    <row r="11665" spans="1:10" x14ac:dyDescent="0.25">
      <c r="A11665" s="5" t="s">
        <v>23644</v>
      </c>
      <c r="B11665" s="6">
        <v>415.625</v>
      </c>
      <c r="C11665" s="6">
        <v>20.426300000000001</v>
      </c>
      <c r="D11665" s="6">
        <v>102</v>
      </c>
      <c r="E11665" s="6">
        <v>0</v>
      </c>
      <c r="F11665" s="6">
        <v>0</v>
      </c>
      <c r="G11665" s="6">
        <v>0</v>
      </c>
      <c r="H11665" s="6" t="s">
        <v>23645</v>
      </c>
      <c r="I11665" s="6">
        <v>533.0625</v>
      </c>
      <c r="J11665" s="2">
        <f t="shared" si="182"/>
        <v>43748.33721917824</v>
      </c>
    </row>
    <row r="11666" spans="1:10" x14ac:dyDescent="0.25">
      <c r="A11666" s="7" t="s">
        <v>23646</v>
      </c>
      <c r="B11666" s="8">
        <v>396.875</v>
      </c>
      <c r="C11666" s="8">
        <v>20.426300000000001</v>
      </c>
      <c r="D11666" s="8">
        <v>103</v>
      </c>
      <c r="E11666" s="8">
        <v>0</v>
      </c>
      <c r="F11666" s="8">
        <v>0</v>
      </c>
      <c r="G11666" s="8">
        <v>9</v>
      </c>
      <c r="H11666" s="8" t="s">
        <v>23647</v>
      </c>
      <c r="I11666" s="8">
        <v>527.4375</v>
      </c>
      <c r="J11666" s="3">
        <f t="shared" si="182"/>
        <v>43748.33729106481</v>
      </c>
    </row>
    <row r="11667" spans="1:10" x14ac:dyDescent="0.25">
      <c r="A11667" s="5" t="s">
        <v>23648</v>
      </c>
      <c r="B11667" s="6">
        <v>396.875</v>
      </c>
      <c r="C11667" s="6">
        <v>20.478950000000001</v>
      </c>
      <c r="D11667" s="6">
        <v>103</v>
      </c>
      <c r="E11667" s="6">
        <v>0</v>
      </c>
      <c r="F11667" s="6">
        <v>0</v>
      </c>
      <c r="G11667" s="6">
        <v>13</v>
      </c>
      <c r="H11667" s="6" t="s">
        <v>23649</v>
      </c>
      <c r="I11667" s="6">
        <v>527.4375</v>
      </c>
      <c r="J11667" s="2">
        <f t="shared" si="182"/>
        <v>43748.337374722221</v>
      </c>
    </row>
    <row r="11668" spans="1:10" x14ac:dyDescent="0.25">
      <c r="A11668" s="7" t="s">
        <v>23650</v>
      </c>
      <c r="B11668" s="8">
        <v>396.875</v>
      </c>
      <c r="C11668" s="8">
        <v>20.478950000000001</v>
      </c>
      <c r="D11668" s="8">
        <v>102</v>
      </c>
      <c r="E11668" s="8">
        <v>0</v>
      </c>
      <c r="F11668" s="8">
        <v>0</v>
      </c>
      <c r="G11668" s="8">
        <v>4</v>
      </c>
      <c r="H11668" s="8" t="s">
        <v>23651</v>
      </c>
      <c r="I11668" s="8">
        <v>527.4375</v>
      </c>
      <c r="J11668" s="3">
        <f t="shared" si="182"/>
        <v>43748.337458055554</v>
      </c>
    </row>
    <row r="11669" spans="1:10" x14ac:dyDescent="0.25">
      <c r="A11669" s="5" t="s">
        <v>23652</v>
      </c>
      <c r="B11669" s="6">
        <v>400</v>
      </c>
      <c r="C11669" s="6">
        <v>20.478950000000001</v>
      </c>
      <c r="D11669" s="6">
        <v>102</v>
      </c>
      <c r="E11669" s="6">
        <v>0</v>
      </c>
      <c r="F11669" s="6">
        <v>0</v>
      </c>
      <c r="G11669" s="6">
        <v>6</v>
      </c>
      <c r="H11669" s="6" t="s">
        <v>23653</v>
      </c>
      <c r="I11669" s="6">
        <v>528.1875</v>
      </c>
      <c r="J11669" s="2">
        <f t="shared" si="182"/>
        <v>43748.337541388886</v>
      </c>
    </row>
    <row r="11670" spans="1:10" x14ac:dyDescent="0.25">
      <c r="A11670" s="7" t="s">
        <v>23654</v>
      </c>
      <c r="B11670" s="8">
        <v>400</v>
      </c>
      <c r="C11670" s="8">
        <v>20.478950000000001</v>
      </c>
      <c r="D11670" s="8">
        <v>102</v>
      </c>
      <c r="E11670" s="8">
        <v>0</v>
      </c>
      <c r="F11670" s="8">
        <v>0</v>
      </c>
      <c r="G11670" s="8">
        <v>2</v>
      </c>
      <c r="H11670" s="8" t="s">
        <v>23655</v>
      </c>
      <c r="I11670" s="8">
        <v>528.1875</v>
      </c>
      <c r="J11670" s="3">
        <f t="shared" si="182"/>
        <v>43748.337624710643</v>
      </c>
    </row>
    <row r="11671" spans="1:10" x14ac:dyDescent="0.25">
      <c r="A11671" s="5" t="s">
        <v>23656</v>
      </c>
      <c r="B11671" s="6">
        <v>403.125</v>
      </c>
      <c r="C11671" s="6">
        <v>20.478950000000001</v>
      </c>
      <c r="D11671" s="6">
        <v>102</v>
      </c>
      <c r="E11671" s="6">
        <v>0</v>
      </c>
      <c r="F11671" s="6">
        <v>0</v>
      </c>
      <c r="G11671" s="6">
        <v>10</v>
      </c>
      <c r="H11671" s="6" t="s">
        <v>23657</v>
      </c>
      <c r="I11671" s="6">
        <v>529.125</v>
      </c>
      <c r="J11671" s="2">
        <f t="shared" si="182"/>
        <v>43748.337708055558</v>
      </c>
    </row>
    <row r="11672" spans="1:10" x14ac:dyDescent="0.25">
      <c r="A11672" s="7" t="s">
        <v>23658</v>
      </c>
      <c r="B11672" s="8">
        <v>400</v>
      </c>
      <c r="C11672" s="8">
        <v>20.478950000000001</v>
      </c>
      <c r="D11672" s="8">
        <v>102</v>
      </c>
      <c r="E11672" s="8">
        <v>0</v>
      </c>
      <c r="F11672" s="8">
        <v>0</v>
      </c>
      <c r="G11672" s="8">
        <v>8</v>
      </c>
      <c r="H11672" s="8" t="s">
        <v>23659</v>
      </c>
      <c r="I11672" s="8">
        <v>528.9375</v>
      </c>
      <c r="J11672" s="3">
        <f t="shared" si="182"/>
        <v>43748.337779687499</v>
      </c>
    </row>
    <row r="11673" spans="1:10" x14ac:dyDescent="0.25">
      <c r="A11673" s="5" t="s">
        <v>23660</v>
      </c>
      <c r="B11673" s="6">
        <v>403.125</v>
      </c>
      <c r="C11673" s="6">
        <v>20.478950000000001</v>
      </c>
      <c r="D11673" s="6">
        <v>101</v>
      </c>
      <c r="E11673" s="6">
        <v>0</v>
      </c>
      <c r="F11673" s="6">
        <v>0</v>
      </c>
      <c r="G11673" s="6">
        <v>11</v>
      </c>
      <c r="H11673" s="6" t="s">
        <v>23661</v>
      </c>
      <c r="I11673" s="6">
        <v>529.125</v>
      </c>
      <c r="J11673" s="2">
        <f t="shared" si="182"/>
        <v>43748.337863622684</v>
      </c>
    </row>
    <row r="11674" spans="1:10" x14ac:dyDescent="0.25">
      <c r="A11674" s="7" t="s">
        <v>23662</v>
      </c>
      <c r="B11674" s="8">
        <v>415.625</v>
      </c>
      <c r="C11674" s="8">
        <v>20.478950000000001</v>
      </c>
      <c r="D11674" s="8">
        <v>101</v>
      </c>
      <c r="E11674" s="8">
        <v>0</v>
      </c>
      <c r="F11674" s="8">
        <v>0</v>
      </c>
      <c r="G11674" s="8">
        <v>0</v>
      </c>
      <c r="H11674" s="8" t="s">
        <v>23663</v>
      </c>
      <c r="I11674" s="8">
        <v>533.8125</v>
      </c>
      <c r="J11674" s="3">
        <f t="shared" si="182"/>
        <v>43748.337971006942</v>
      </c>
    </row>
    <row r="11675" spans="1:10" x14ac:dyDescent="0.25">
      <c r="A11675" s="5" t="s">
        <v>23664</v>
      </c>
      <c r="B11675" s="6">
        <v>396.875</v>
      </c>
      <c r="C11675" s="6">
        <v>20.478950000000001</v>
      </c>
      <c r="D11675" s="6">
        <v>101</v>
      </c>
      <c r="E11675" s="6">
        <v>0</v>
      </c>
      <c r="F11675" s="6">
        <v>0</v>
      </c>
      <c r="G11675" s="6">
        <v>3</v>
      </c>
      <c r="H11675" s="6" t="s">
        <v>23665</v>
      </c>
      <c r="I11675" s="6">
        <v>527.4375</v>
      </c>
      <c r="J11675" s="2">
        <f t="shared" si="182"/>
        <v>43748.338054259257</v>
      </c>
    </row>
    <row r="11676" spans="1:10" x14ac:dyDescent="0.25">
      <c r="A11676" s="7" t="s">
        <v>23666</v>
      </c>
      <c r="B11676" s="8">
        <v>396.875</v>
      </c>
      <c r="C11676" s="8">
        <v>20.478950000000001</v>
      </c>
      <c r="D11676" s="8">
        <v>101</v>
      </c>
      <c r="E11676" s="8">
        <v>0</v>
      </c>
      <c r="F11676" s="8">
        <v>0</v>
      </c>
      <c r="G11676" s="8">
        <v>0</v>
      </c>
      <c r="H11676" s="8" t="s">
        <v>23667</v>
      </c>
      <c r="I11676" s="8">
        <v>527.4375</v>
      </c>
      <c r="J11676" s="3">
        <f t="shared" si="182"/>
        <v>43748.338125879629</v>
      </c>
    </row>
    <row r="11677" spans="1:10" x14ac:dyDescent="0.25">
      <c r="A11677" s="5" t="s">
        <v>23668</v>
      </c>
      <c r="B11677" s="6">
        <v>415.625</v>
      </c>
      <c r="C11677" s="6">
        <v>20.478950000000001</v>
      </c>
      <c r="D11677" s="6">
        <v>101</v>
      </c>
      <c r="E11677" s="6">
        <v>0</v>
      </c>
      <c r="F11677" s="6">
        <v>0</v>
      </c>
      <c r="G11677" s="6">
        <v>6</v>
      </c>
      <c r="H11677" s="6" t="s">
        <v>23669</v>
      </c>
      <c r="I11677" s="6">
        <v>533.8125</v>
      </c>
      <c r="J11677" s="2">
        <f t="shared" si="182"/>
        <v>43748.338209317131</v>
      </c>
    </row>
    <row r="11678" spans="1:10" x14ac:dyDescent="0.25">
      <c r="A11678" s="7" t="s">
        <v>23670</v>
      </c>
      <c r="B11678" s="8">
        <v>400</v>
      </c>
      <c r="C11678" s="8">
        <v>20.478950000000001</v>
      </c>
      <c r="D11678" s="8">
        <v>101</v>
      </c>
      <c r="E11678" s="8">
        <v>0</v>
      </c>
      <c r="F11678" s="8">
        <v>0</v>
      </c>
      <c r="G11678" s="8">
        <v>6</v>
      </c>
      <c r="H11678" s="8" t="s">
        <v>23671</v>
      </c>
      <c r="I11678" s="8">
        <v>528.1875</v>
      </c>
      <c r="J11678" s="3">
        <f t="shared" si="182"/>
        <v>43748.338292766202</v>
      </c>
    </row>
    <row r="11679" spans="1:10" x14ac:dyDescent="0.25">
      <c r="A11679" s="5" t="s">
        <v>23672</v>
      </c>
      <c r="B11679" s="6">
        <v>400</v>
      </c>
      <c r="C11679" s="6">
        <v>20.478950000000001</v>
      </c>
      <c r="D11679" s="6">
        <v>101</v>
      </c>
      <c r="E11679" s="6">
        <v>0</v>
      </c>
      <c r="F11679" s="6">
        <v>0</v>
      </c>
      <c r="G11679" s="6">
        <v>0</v>
      </c>
      <c r="H11679" s="6" t="s">
        <v>23673</v>
      </c>
      <c r="I11679" s="6">
        <v>528.375</v>
      </c>
      <c r="J11679" s="2">
        <f t="shared" si="182"/>
        <v>43748.338376215273</v>
      </c>
    </row>
    <row r="11680" spans="1:10" x14ac:dyDescent="0.25">
      <c r="A11680" s="7" t="s">
        <v>23674</v>
      </c>
      <c r="B11680" s="8">
        <v>400</v>
      </c>
      <c r="C11680" s="8">
        <v>20.478950000000001</v>
      </c>
      <c r="D11680" s="8">
        <v>101</v>
      </c>
      <c r="E11680" s="8">
        <v>0</v>
      </c>
      <c r="F11680" s="8">
        <v>0</v>
      </c>
      <c r="G11680" s="8">
        <v>11</v>
      </c>
      <c r="H11680" s="8" t="s">
        <v>23675</v>
      </c>
      <c r="I11680" s="8">
        <v>528.1875</v>
      </c>
      <c r="J11680" s="3">
        <f t="shared" si="182"/>
        <v>43748.338460023144</v>
      </c>
    </row>
    <row r="11681" spans="1:10" x14ac:dyDescent="0.25">
      <c r="A11681" s="5" t="s">
        <v>23676</v>
      </c>
      <c r="B11681" s="6">
        <v>400</v>
      </c>
      <c r="C11681" s="6">
        <v>20.478950000000001</v>
      </c>
      <c r="D11681" s="6">
        <v>101</v>
      </c>
      <c r="E11681" s="6">
        <v>0</v>
      </c>
      <c r="F11681" s="6">
        <v>0</v>
      </c>
      <c r="G11681" s="6">
        <v>3</v>
      </c>
      <c r="H11681" s="6" t="s">
        <v>23677</v>
      </c>
      <c r="I11681" s="6">
        <v>528.375</v>
      </c>
      <c r="J11681" s="2">
        <f t="shared" si="182"/>
        <v>43748.338543229162</v>
      </c>
    </row>
    <row r="11682" spans="1:10" x14ac:dyDescent="0.25">
      <c r="A11682" s="7" t="s">
        <v>23678</v>
      </c>
      <c r="B11682" s="8">
        <v>396.875</v>
      </c>
      <c r="C11682" s="8">
        <v>20.478950000000001</v>
      </c>
      <c r="D11682" s="8">
        <v>101</v>
      </c>
      <c r="E11682" s="8">
        <v>0</v>
      </c>
      <c r="F11682" s="8">
        <v>0</v>
      </c>
      <c r="G11682" s="8">
        <v>7</v>
      </c>
      <c r="H11682" s="8" t="s">
        <v>23679</v>
      </c>
      <c r="I11682" s="8">
        <v>527.4375</v>
      </c>
      <c r="J11682" s="3">
        <f t="shared" si="182"/>
        <v>43748.338626585646</v>
      </c>
    </row>
    <row r="11683" spans="1:10" x14ac:dyDescent="0.25">
      <c r="A11683" s="5" t="s">
        <v>23680</v>
      </c>
      <c r="B11683" s="6">
        <v>396.875</v>
      </c>
      <c r="C11683" s="6">
        <v>20.478950000000001</v>
      </c>
      <c r="D11683" s="6">
        <v>101</v>
      </c>
      <c r="E11683" s="6">
        <v>0</v>
      </c>
      <c r="F11683" s="6">
        <v>0</v>
      </c>
      <c r="G11683" s="6">
        <v>0</v>
      </c>
      <c r="H11683" s="6" t="s">
        <v>23681</v>
      </c>
      <c r="I11683" s="6">
        <v>527.4375</v>
      </c>
      <c r="J11683" s="2">
        <f t="shared" si="182"/>
        <v>43748.338710277771</v>
      </c>
    </row>
    <row r="11684" spans="1:10" x14ac:dyDescent="0.25">
      <c r="A11684" s="7" t="s">
        <v>23682</v>
      </c>
      <c r="B11684" s="8">
        <v>415.625</v>
      </c>
      <c r="C11684" s="8">
        <v>20.478950000000001</v>
      </c>
      <c r="D11684" s="8">
        <v>101</v>
      </c>
      <c r="E11684" s="8">
        <v>0</v>
      </c>
      <c r="F11684" s="8">
        <v>0</v>
      </c>
      <c r="G11684" s="8">
        <v>5</v>
      </c>
      <c r="H11684" s="8" t="s">
        <v>23683</v>
      </c>
      <c r="I11684" s="8">
        <v>533.0625</v>
      </c>
      <c r="J11684" s="3">
        <f t="shared" si="182"/>
        <v>43748.338793229159</v>
      </c>
    </row>
    <row r="11685" spans="1:10" x14ac:dyDescent="0.25">
      <c r="A11685" s="5" t="s">
        <v>23684</v>
      </c>
      <c r="B11685" s="6">
        <v>400</v>
      </c>
      <c r="C11685" s="6">
        <v>20.478950000000001</v>
      </c>
      <c r="D11685" s="6">
        <v>101</v>
      </c>
      <c r="E11685" s="6">
        <v>0</v>
      </c>
      <c r="F11685" s="6">
        <v>0</v>
      </c>
      <c r="G11685" s="6">
        <v>4</v>
      </c>
      <c r="H11685" s="6" t="s">
        <v>23685</v>
      </c>
      <c r="I11685" s="6">
        <v>528.375</v>
      </c>
      <c r="J11685" s="2">
        <f t="shared" si="182"/>
        <v>43748.338865034719</v>
      </c>
    </row>
    <row r="11686" spans="1:10" x14ac:dyDescent="0.25">
      <c r="A11686" s="7" t="s">
        <v>23686</v>
      </c>
      <c r="B11686" s="8">
        <v>400</v>
      </c>
      <c r="C11686" s="8">
        <v>20.478950000000001</v>
      </c>
      <c r="D11686" s="8">
        <v>100</v>
      </c>
      <c r="E11686" s="8">
        <v>0</v>
      </c>
      <c r="F11686" s="8">
        <v>0</v>
      </c>
      <c r="G11686" s="8">
        <v>13</v>
      </c>
      <c r="H11686" s="8" t="s">
        <v>23687</v>
      </c>
      <c r="I11686" s="8">
        <v>528.1875</v>
      </c>
      <c r="J11686" s="3">
        <f t="shared" si="182"/>
        <v>43748.338948796292</v>
      </c>
    </row>
    <row r="11687" spans="1:10" x14ac:dyDescent="0.25">
      <c r="A11687" s="5" t="s">
        <v>23688</v>
      </c>
      <c r="B11687" s="6">
        <v>400</v>
      </c>
      <c r="C11687" s="6">
        <v>20.478950000000001</v>
      </c>
      <c r="D11687" s="6">
        <v>101</v>
      </c>
      <c r="E11687" s="6">
        <v>0</v>
      </c>
      <c r="F11687" s="6">
        <v>0</v>
      </c>
      <c r="G11687" s="6">
        <v>11</v>
      </c>
      <c r="H11687" s="6" t="s">
        <v>23689</v>
      </c>
      <c r="I11687" s="6">
        <v>528.375</v>
      </c>
      <c r="J11687" s="2">
        <f t="shared" si="182"/>
        <v>43748.339020208332</v>
      </c>
    </row>
    <row r="11688" spans="1:10" x14ac:dyDescent="0.25">
      <c r="A11688" s="7" t="s">
        <v>23690</v>
      </c>
      <c r="B11688" s="8">
        <v>400</v>
      </c>
      <c r="C11688" s="8">
        <v>20.426300000000001</v>
      </c>
      <c r="D11688" s="8">
        <v>101</v>
      </c>
      <c r="E11688" s="8">
        <v>0</v>
      </c>
      <c r="F11688" s="8">
        <v>0</v>
      </c>
      <c r="G11688" s="8">
        <v>0</v>
      </c>
      <c r="H11688" s="8" t="s">
        <v>23691</v>
      </c>
      <c r="I11688" s="8">
        <v>528.1875</v>
      </c>
      <c r="J11688" s="3">
        <f t="shared" si="182"/>
        <v>43748.339103773142</v>
      </c>
    </row>
    <row r="11689" spans="1:10" x14ac:dyDescent="0.25">
      <c r="A11689" s="5" t="s">
        <v>23692</v>
      </c>
      <c r="B11689" s="6">
        <v>400</v>
      </c>
      <c r="C11689" s="6">
        <v>20.478950000000001</v>
      </c>
      <c r="D11689" s="6">
        <v>100</v>
      </c>
      <c r="E11689" s="6">
        <v>0</v>
      </c>
      <c r="F11689" s="6">
        <v>0</v>
      </c>
      <c r="G11689" s="6">
        <v>4</v>
      </c>
      <c r="H11689" s="6" t="s">
        <v>23693</v>
      </c>
      <c r="I11689" s="6">
        <v>528.1875</v>
      </c>
      <c r="J11689" s="2">
        <f t="shared" si="182"/>
        <v>43748.339187106474</v>
      </c>
    </row>
    <row r="11690" spans="1:10" x14ac:dyDescent="0.25">
      <c r="A11690" s="7" t="s">
        <v>23694</v>
      </c>
      <c r="B11690" s="8">
        <v>403.125</v>
      </c>
      <c r="C11690" s="8">
        <v>20.478950000000001</v>
      </c>
      <c r="D11690" s="8">
        <v>100</v>
      </c>
      <c r="E11690" s="8">
        <v>0</v>
      </c>
      <c r="F11690" s="8">
        <v>0</v>
      </c>
      <c r="G11690" s="8">
        <v>0</v>
      </c>
      <c r="H11690" s="8" t="s">
        <v>23695</v>
      </c>
      <c r="I11690" s="8">
        <v>529.125</v>
      </c>
      <c r="J11690" s="3">
        <f t="shared" si="182"/>
        <v>43748.339270694443</v>
      </c>
    </row>
    <row r="11691" spans="1:10" x14ac:dyDescent="0.25">
      <c r="A11691" s="5" t="s">
        <v>23696</v>
      </c>
      <c r="B11691" s="6">
        <v>403.125</v>
      </c>
      <c r="C11691" s="6">
        <v>20.478950000000001</v>
      </c>
      <c r="D11691" s="6">
        <v>100</v>
      </c>
      <c r="E11691" s="6">
        <v>0</v>
      </c>
      <c r="F11691" s="6">
        <v>0</v>
      </c>
      <c r="G11691" s="6">
        <v>0</v>
      </c>
      <c r="H11691" s="6" t="s">
        <v>23697</v>
      </c>
      <c r="I11691" s="6">
        <v>529.125</v>
      </c>
      <c r="J11691" s="2">
        <f t="shared" si="182"/>
        <v>43748.33935412037</v>
      </c>
    </row>
    <row r="11692" spans="1:10" x14ac:dyDescent="0.25">
      <c r="A11692" s="7" t="s">
        <v>23698</v>
      </c>
      <c r="B11692" s="8">
        <v>403.125</v>
      </c>
      <c r="C11692" s="8">
        <v>20.426300000000001</v>
      </c>
      <c r="D11692" s="8">
        <v>101</v>
      </c>
      <c r="E11692" s="8">
        <v>0</v>
      </c>
      <c r="F11692" s="8">
        <v>0</v>
      </c>
      <c r="G11692" s="8">
        <v>0</v>
      </c>
      <c r="H11692" s="8" t="s">
        <v>23699</v>
      </c>
      <c r="I11692" s="8">
        <v>529.875</v>
      </c>
      <c r="J11692" s="3">
        <f t="shared" si="182"/>
        <v>43748.339437673603</v>
      </c>
    </row>
    <row r="11693" spans="1:10" x14ac:dyDescent="0.25">
      <c r="A11693" s="5" t="s">
        <v>23700</v>
      </c>
      <c r="B11693" s="6">
        <v>403.125</v>
      </c>
      <c r="C11693" s="6">
        <v>20.478950000000001</v>
      </c>
      <c r="D11693" s="6">
        <v>101</v>
      </c>
      <c r="E11693" s="6">
        <v>0</v>
      </c>
      <c r="F11693" s="6">
        <v>0</v>
      </c>
      <c r="G11693" s="6">
        <v>8</v>
      </c>
      <c r="H11693" s="6" t="s">
        <v>23701</v>
      </c>
      <c r="I11693" s="6">
        <v>529.125</v>
      </c>
      <c r="J11693" s="2">
        <f t="shared" si="182"/>
        <v>43748.339521145834</v>
      </c>
    </row>
    <row r="11694" spans="1:10" x14ac:dyDescent="0.25">
      <c r="A11694" s="7" t="s">
        <v>23702</v>
      </c>
      <c r="B11694" s="8">
        <v>421.875</v>
      </c>
      <c r="C11694" s="8">
        <v>20.478950000000001</v>
      </c>
      <c r="D11694" s="8">
        <v>101</v>
      </c>
      <c r="E11694" s="8">
        <v>0</v>
      </c>
      <c r="F11694" s="8">
        <v>0</v>
      </c>
      <c r="G11694" s="8">
        <v>9</v>
      </c>
      <c r="H11694" s="8" t="s">
        <v>23703</v>
      </c>
      <c r="I11694" s="8">
        <v>535.3125</v>
      </c>
      <c r="J11694" s="3">
        <f t="shared" si="182"/>
        <v>43748.33960436342</v>
      </c>
    </row>
    <row r="11695" spans="1:10" x14ac:dyDescent="0.25">
      <c r="A11695" s="5" t="s">
        <v>23704</v>
      </c>
      <c r="B11695" s="6">
        <v>403.125</v>
      </c>
      <c r="C11695" s="6">
        <v>20.478950000000001</v>
      </c>
      <c r="D11695" s="6">
        <v>96</v>
      </c>
      <c r="E11695" s="6">
        <v>0</v>
      </c>
      <c r="F11695" s="6">
        <v>0</v>
      </c>
      <c r="G11695" s="6">
        <v>0</v>
      </c>
      <c r="H11695" s="6" t="s">
        <v>23705</v>
      </c>
      <c r="I11695" s="6">
        <v>529.875</v>
      </c>
      <c r="J11695" s="2">
        <f t="shared" si="182"/>
        <v>43748.339935520831</v>
      </c>
    </row>
    <row r="11696" spans="1:10" x14ac:dyDescent="0.25">
      <c r="A11696" s="7" t="s">
        <v>23706</v>
      </c>
      <c r="B11696" s="8">
        <v>403.125</v>
      </c>
      <c r="C11696" s="8">
        <v>20.478950000000001</v>
      </c>
      <c r="D11696" s="8">
        <v>96</v>
      </c>
      <c r="E11696" s="8">
        <v>0</v>
      </c>
      <c r="F11696" s="8">
        <v>0</v>
      </c>
      <c r="G11696" s="8">
        <v>0</v>
      </c>
      <c r="H11696" s="8" t="s">
        <v>23707</v>
      </c>
      <c r="I11696" s="8">
        <v>529.875</v>
      </c>
      <c r="J11696" s="3">
        <f t="shared" si="182"/>
        <v>43748.34001659722</v>
      </c>
    </row>
    <row r="11697" spans="1:10" x14ac:dyDescent="0.25">
      <c r="A11697" s="5" t="s">
        <v>23708</v>
      </c>
      <c r="B11697" s="6">
        <v>403.125</v>
      </c>
      <c r="C11697" s="6">
        <v>20.426300000000001</v>
      </c>
      <c r="D11697" s="6">
        <v>96</v>
      </c>
      <c r="E11697" s="6">
        <v>0</v>
      </c>
      <c r="F11697" s="6">
        <v>0</v>
      </c>
      <c r="G11697" s="6">
        <v>0</v>
      </c>
      <c r="H11697" s="6" t="s">
        <v>23709</v>
      </c>
      <c r="I11697" s="6">
        <v>529.125</v>
      </c>
      <c r="J11697" s="2">
        <f t="shared" si="182"/>
        <v>43748.34008790509</v>
      </c>
    </row>
    <row r="11698" spans="1:10" x14ac:dyDescent="0.25">
      <c r="A11698" s="7" t="s">
        <v>23710</v>
      </c>
      <c r="B11698" s="8">
        <v>400</v>
      </c>
      <c r="C11698" s="8">
        <v>20.478950000000001</v>
      </c>
      <c r="D11698" s="8">
        <v>99</v>
      </c>
      <c r="E11698" s="8">
        <v>0</v>
      </c>
      <c r="F11698" s="8">
        <v>0</v>
      </c>
      <c r="G11698" s="8">
        <v>3</v>
      </c>
      <c r="H11698" s="8" t="s">
        <v>23711</v>
      </c>
      <c r="I11698" s="8">
        <v>528.9375</v>
      </c>
      <c r="J11698" s="3">
        <f t="shared" si="182"/>
        <v>43748.340171331016</v>
      </c>
    </row>
    <row r="11699" spans="1:10" x14ac:dyDescent="0.25">
      <c r="A11699" s="5" t="s">
        <v>23712</v>
      </c>
      <c r="B11699" s="6">
        <v>403.125</v>
      </c>
      <c r="C11699" s="6">
        <v>20.478950000000001</v>
      </c>
      <c r="D11699" s="6">
        <v>99</v>
      </c>
      <c r="E11699" s="6">
        <v>0</v>
      </c>
      <c r="F11699" s="6">
        <v>0</v>
      </c>
      <c r="G11699" s="6">
        <v>5</v>
      </c>
      <c r="H11699" s="6" t="s">
        <v>23713</v>
      </c>
      <c r="I11699" s="6">
        <v>529.125</v>
      </c>
      <c r="J11699" s="2">
        <f t="shared" si="182"/>
        <v>43748.340243194441</v>
      </c>
    </row>
    <row r="11700" spans="1:10" x14ac:dyDescent="0.25">
      <c r="A11700" s="7" t="s">
        <v>23714</v>
      </c>
      <c r="B11700" s="8">
        <v>400</v>
      </c>
      <c r="C11700" s="8">
        <v>20.478950000000001</v>
      </c>
      <c r="D11700" s="8">
        <v>99</v>
      </c>
      <c r="E11700" s="8">
        <v>0</v>
      </c>
      <c r="F11700" s="8">
        <v>0</v>
      </c>
      <c r="G11700" s="8">
        <v>0</v>
      </c>
      <c r="H11700" s="8" t="s">
        <v>23715</v>
      </c>
      <c r="I11700" s="8">
        <v>528.375</v>
      </c>
      <c r="J11700" s="3">
        <f t="shared" si="182"/>
        <v>43748.340326655089</v>
      </c>
    </row>
    <row r="11701" spans="1:10" x14ac:dyDescent="0.25">
      <c r="A11701" s="5" t="s">
        <v>23716</v>
      </c>
      <c r="B11701" s="6">
        <v>418.75</v>
      </c>
      <c r="C11701" s="6">
        <v>20.478950000000001</v>
      </c>
      <c r="D11701" s="6">
        <v>98</v>
      </c>
      <c r="E11701" s="6">
        <v>0</v>
      </c>
      <c r="F11701" s="6">
        <v>0</v>
      </c>
      <c r="G11701" s="6">
        <v>4</v>
      </c>
      <c r="H11701" s="6" t="s">
        <v>23717</v>
      </c>
      <c r="I11701" s="6">
        <v>534</v>
      </c>
      <c r="J11701" s="2">
        <f t="shared" si="182"/>
        <v>43748.34041010416</v>
      </c>
    </row>
    <row r="11702" spans="1:10" x14ac:dyDescent="0.25">
      <c r="A11702" s="7" t="s">
        <v>23718</v>
      </c>
      <c r="B11702" s="8">
        <v>396.875</v>
      </c>
      <c r="C11702" s="8">
        <v>20.478950000000001</v>
      </c>
      <c r="D11702" s="8">
        <v>98</v>
      </c>
      <c r="E11702" s="8">
        <v>0</v>
      </c>
      <c r="F11702" s="8">
        <v>0</v>
      </c>
      <c r="G11702" s="8">
        <v>1</v>
      </c>
      <c r="H11702" s="8" t="s">
        <v>23719</v>
      </c>
      <c r="I11702" s="8">
        <v>527.4375</v>
      </c>
      <c r="J11702" s="3">
        <f t="shared" si="182"/>
        <v>43748.340493541669</v>
      </c>
    </row>
    <row r="11703" spans="1:10" x14ac:dyDescent="0.25">
      <c r="A11703" s="5" t="s">
        <v>23720</v>
      </c>
      <c r="B11703" s="6">
        <v>396.875</v>
      </c>
      <c r="C11703" s="6">
        <v>20.478950000000001</v>
      </c>
      <c r="D11703" s="6">
        <v>95</v>
      </c>
      <c r="E11703" s="6">
        <v>0</v>
      </c>
      <c r="F11703" s="6">
        <v>0</v>
      </c>
      <c r="G11703" s="6">
        <v>3</v>
      </c>
      <c r="H11703" s="6" t="s">
        <v>23721</v>
      </c>
      <c r="I11703" s="6">
        <v>527.4375</v>
      </c>
      <c r="J11703" s="2">
        <f t="shared" si="182"/>
        <v>43748.340577118048</v>
      </c>
    </row>
    <row r="11704" spans="1:10" x14ac:dyDescent="0.25">
      <c r="A11704" s="7" t="s">
        <v>23722</v>
      </c>
      <c r="B11704" s="8">
        <v>393.75</v>
      </c>
      <c r="C11704" s="8">
        <v>20.426300000000001</v>
      </c>
      <c r="D11704" s="8">
        <v>96</v>
      </c>
      <c r="E11704" s="8">
        <v>0</v>
      </c>
      <c r="F11704" s="8">
        <v>0</v>
      </c>
      <c r="G11704" s="8">
        <v>3</v>
      </c>
      <c r="H11704" s="8" t="s">
        <v>23723</v>
      </c>
      <c r="I11704" s="8">
        <v>526.6875</v>
      </c>
      <c r="J11704" s="3">
        <f t="shared" si="182"/>
        <v>43748.340660231479</v>
      </c>
    </row>
    <row r="11705" spans="1:10" x14ac:dyDescent="0.25">
      <c r="A11705" s="5" t="s">
        <v>23724</v>
      </c>
      <c r="B11705" s="6">
        <v>393.75</v>
      </c>
      <c r="C11705" s="6">
        <v>20.478950000000001</v>
      </c>
      <c r="D11705" s="6">
        <v>96</v>
      </c>
      <c r="E11705" s="6">
        <v>0</v>
      </c>
      <c r="F11705" s="6">
        <v>0</v>
      </c>
      <c r="G11705" s="6">
        <v>6</v>
      </c>
      <c r="H11705" s="6" t="s">
        <v>23725</v>
      </c>
      <c r="I11705" s="6">
        <v>526.6875</v>
      </c>
      <c r="J11705" s="2">
        <f t="shared" si="182"/>
        <v>43748.340731874996</v>
      </c>
    </row>
    <row r="11706" spans="1:10" x14ac:dyDescent="0.25">
      <c r="A11706" s="7" t="s">
        <v>23726</v>
      </c>
      <c r="B11706" s="8">
        <v>393.75</v>
      </c>
      <c r="C11706" s="8">
        <v>20.478950000000001</v>
      </c>
      <c r="D11706" s="8">
        <v>93</v>
      </c>
      <c r="E11706" s="8">
        <v>0</v>
      </c>
      <c r="F11706" s="8">
        <v>0</v>
      </c>
      <c r="G11706" s="8">
        <v>0</v>
      </c>
      <c r="H11706" s="8" t="s">
        <v>23727</v>
      </c>
      <c r="I11706" s="8">
        <v>526.6875</v>
      </c>
      <c r="J11706" s="3">
        <f t="shared" si="182"/>
        <v>43748.340815798605</v>
      </c>
    </row>
    <row r="11707" spans="1:10" x14ac:dyDescent="0.25">
      <c r="A11707" s="5" t="s">
        <v>23728</v>
      </c>
      <c r="B11707" s="6">
        <v>393.75</v>
      </c>
      <c r="C11707" s="6">
        <v>20.478950000000001</v>
      </c>
      <c r="D11707" s="6">
        <v>93</v>
      </c>
      <c r="E11707" s="6">
        <v>0</v>
      </c>
      <c r="F11707" s="6">
        <v>0</v>
      </c>
      <c r="G11707" s="6">
        <v>5</v>
      </c>
      <c r="H11707" s="6" t="s">
        <v>23729</v>
      </c>
      <c r="I11707" s="6">
        <v>526.6875</v>
      </c>
      <c r="J11707" s="2">
        <f t="shared" si="182"/>
        <v>43748.340887175924</v>
      </c>
    </row>
    <row r="11708" spans="1:10" x14ac:dyDescent="0.25">
      <c r="A11708" s="7" t="s">
        <v>23730</v>
      </c>
      <c r="B11708" s="8">
        <v>393.75</v>
      </c>
      <c r="C11708" s="8">
        <v>20.478950000000001</v>
      </c>
      <c r="D11708" s="8">
        <v>93</v>
      </c>
      <c r="E11708" s="8">
        <v>0</v>
      </c>
      <c r="F11708" s="8">
        <v>0</v>
      </c>
      <c r="G11708" s="8">
        <v>5</v>
      </c>
      <c r="H11708" s="8" t="s">
        <v>23731</v>
      </c>
      <c r="I11708" s="8">
        <v>526.6875</v>
      </c>
      <c r="J11708" s="3">
        <f t="shared" si="182"/>
        <v>43748.340958726847</v>
      </c>
    </row>
    <row r="11709" spans="1:10" x14ac:dyDescent="0.25">
      <c r="A11709" s="5" t="s">
        <v>23732</v>
      </c>
      <c r="B11709" s="6">
        <v>393.75</v>
      </c>
      <c r="C11709" s="6">
        <v>20.478950000000001</v>
      </c>
      <c r="D11709" s="6">
        <v>93</v>
      </c>
      <c r="E11709" s="6">
        <v>0</v>
      </c>
      <c r="F11709" s="6">
        <v>0</v>
      </c>
      <c r="G11709" s="6">
        <v>8</v>
      </c>
      <c r="H11709" s="6" t="s">
        <v>23733</v>
      </c>
      <c r="I11709" s="6">
        <v>526.6875</v>
      </c>
      <c r="J11709" s="2">
        <f t="shared" si="182"/>
        <v>43748.341042407403</v>
      </c>
    </row>
    <row r="11710" spans="1:10" x14ac:dyDescent="0.25">
      <c r="A11710" s="7" t="s">
        <v>23734</v>
      </c>
      <c r="B11710" s="8">
        <v>393.75</v>
      </c>
      <c r="C11710" s="8">
        <v>20.478950000000001</v>
      </c>
      <c r="D11710" s="8">
        <v>94</v>
      </c>
      <c r="E11710" s="8">
        <v>0</v>
      </c>
      <c r="F11710" s="8">
        <v>0</v>
      </c>
      <c r="G11710" s="8">
        <v>6</v>
      </c>
      <c r="H11710" s="8" t="s">
        <v>23735</v>
      </c>
      <c r="I11710" s="8">
        <v>526.6875</v>
      </c>
      <c r="J11710" s="3">
        <f t="shared" si="182"/>
        <v>43748.341113819442</v>
      </c>
    </row>
    <row r="11711" spans="1:10" x14ac:dyDescent="0.25">
      <c r="A11711" s="5" t="s">
        <v>23736</v>
      </c>
      <c r="B11711" s="6">
        <v>393.75</v>
      </c>
      <c r="C11711" s="6">
        <v>20.478950000000001</v>
      </c>
      <c r="D11711" s="6">
        <v>94</v>
      </c>
      <c r="E11711" s="6">
        <v>0</v>
      </c>
      <c r="F11711" s="6">
        <v>0</v>
      </c>
      <c r="G11711" s="6">
        <v>8</v>
      </c>
      <c r="H11711" s="6" t="s">
        <v>23737</v>
      </c>
      <c r="I11711" s="6">
        <v>526.5</v>
      </c>
      <c r="J11711" s="2">
        <f t="shared" si="182"/>
        <v>43748.341197245369</v>
      </c>
    </row>
    <row r="11712" spans="1:10" x14ac:dyDescent="0.25">
      <c r="A11712" s="7" t="s">
        <v>23738</v>
      </c>
      <c r="B11712" s="8">
        <v>393.75</v>
      </c>
      <c r="C11712" s="8">
        <v>20.478950000000001</v>
      </c>
      <c r="D11712" s="8">
        <v>95</v>
      </c>
      <c r="E11712" s="8">
        <v>0</v>
      </c>
      <c r="F11712" s="8">
        <v>0</v>
      </c>
      <c r="G11712" s="8">
        <v>6</v>
      </c>
      <c r="H11712" s="8" t="s">
        <v>23739</v>
      </c>
      <c r="I11712" s="8">
        <v>526.6875</v>
      </c>
      <c r="J11712" s="3">
        <f t="shared" si="182"/>
        <v>43748.341280833331</v>
      </c>
    </row>
    <row r="11713" spans="1:10" x14ac:dyDescent="0.25">
      <c r="A11713" s="5" t="s">
        <v>23740</v>
      </c>
      <c r="B11713" s="6">
        <v>393.75</v>
      </c>
      <c r="C11713" s="6">
        <v>20.478950000000001</v>
      </c>
      <c r="D11713" s="6">
        <v>95</v>
      </c>
      <c r="E11713" s="6">
        <v>0</v>
      </c>
      <c r="F11713" s="6">
        <v>0</v>
      </c>
      <c r="G11713" s="6">
        <v>6</v>
      </c>
      <c r="H11713" s="6" t="s">
        <v>23741</v>
      </c>
      <c r="I11713" s="6">
        <v>526.5</v>
      </c>
      <c r="J11713" s="2">
        <f t="shared" si="182"/>
        <v>43748.34136392361</v>
      </c>
    </row>
    <row r="11714" spans="1:10" x14ac:dyDescent="0.25">
      <c r="A11714" s="7" t="s">
        <v>23742</v>
      </c>
      <c r="B11714" s="8">
        <v>396.875</v>
      </c>
      <c r="C11714" s="8">
        <v>20.478950000000001</v>
      </c>
      <c r="D11714" s="8">
        <v>95</v>
      </c>
      <c r="E11714" s="8">
        <v>0</v>
      </c>
      <c r="F11714" s="8">
        <v>0</v>
      </c>
      <c r="G11714" s="8">
        <v>12</v>
      </c>
      <c r="H11714" s="8" t="s">
        <v>23743</v>
      </c>
      <c r="I11714" s="8">
        <v>527.625</v>
      </c>
      <c r="J11714" s="3">
        <f t="shared" ref="J11714:J11777" si="183">(H11714/86400000)+25569+(7/24)</f>
        <v>43748.341435856484</v>
      </c>
    </row>
    <row r="11715" spans="1:10" x14ac:dyDescent="0.25">
      <c r="A11715" s="5" t="s">
        <v>23744</v>
      </c>
      <c r="B11715" s="6">
        <v>396.875</v>
      </c>
      <c r="C11715" s="6">
        <v>20.478950000000001</v>
      </c>
      <c r="D11715" s="6">
        <v>96</v>
      </c>
      <c r="E11715" s="6">
        <v>0</v>
      </c>
      <c r="F11715" s="6">
        <v>0</v>
      </c>
      <c r="G11715" s="6">
        <v>6</v>
      </c>
      <c r="H11715" s="6" t="s">
        <v>23745</v>
      </c>
      <c r="I11715" s="6">
        <v>527.4375</v>
      </c>
      <c r="J11715" s="2">
        <f t="shared" si="183"/>
        <v>43748.341519259258</v>
      </c>
    </row>
    <row r="11716" spans="1:10" x14ac:dyDescent="0.25">
      <c r="A11716" s="7" t="s">
        <v>23746</v>
      </c>
      <c r="B11716" s="8">
        <v>396.875</v>
      </c>
      <c r="C11716" s="8">
        <v>20.478950000000001</v>
      </c>
      <c r="D11716" s="8">
        <v>96</v>
      </c>
      <c r="E11716" s="8">
        <v>0</v>
      </c>
      <c r="F11716" s="8">
        <v>0</v>
      </c>
      <c r="G11716" s="8">
        <v>3</v>
      </c>
      <c r="H11716" s="8" t="s">
        <v>23747</v>
      </c>
      <c r="I11716" s="8">
        <v>527.4375</v>
      </c>
      <c r="J11716" s="3">
        <f t="shared" si="183"/>
        <v>43748.341602696753</v>
      </c>
    </row>
    <row r="11717" spans="1:10" x14ac:dyDescent="0.25">
      <c r="A11717" s="5" t="s">
        <v>23748</v>
      </c>
      <c r="B11717" s="6">
        <v>396.875</v>
      </c>
      <c r="C11717" s="6">
        <v>20.426300000000001</v>
      </c>
      <c r="D11717" s="6">
        <v>94</v>
      </c>
      <c r="E11717" s="6">
        <v>0</v>
      </c>
      <c r="F11717" s="6">
        <v>0</v>
      </c>
      <c r="G11717" s="6">
        <v>8</v>
      </c>
      <c r="H11717" s="6" t="s">
        <v>23749</v>
      </c>
      <c r="I11717" s="6">
        <v>527.4375</v>
      </c>
      <c r="J11717" s="2">
        <f t="shared" si="183"/>
        <v>43748.341686168984</v>
      </c>
    </row>
    <row r="11718" spans="1:10" x14ac:dyDescent="0.25">
      <c r="A11718" s="7" t="s">
        <v>23750</v>
      </c>
      <c r="B11718" s="8">
        <v>396.875</v>
      </c>
      <c r="C11718" s="8">
        <v>20.426300000000001</v>
      </c>
      <c r="D11718" s="8">
        <v>94</v>
      </c>
      <c r="E11718" s="8">
        <v>0</v>
      </c>
      <c r="F11718" s="8">
        <v>0</v>
      </c>
      <c r="G11718" s="8">
        <v>1</v>
      </c>
      <c r="H11718" s="8" t="s">
        <v>23751</v>
      </c>
      <c r="I11718" s="8">
        <v>527.4375</v>
      </c>
      <c r="J11718" s="3">
        <f t="shared" si="183"/>
        <v>43748.341769710642</v>
      </c>
    </row>
    <row r="11719" spans="1:10" x14ac:dyDescent="0.25">
      <c r="A11719" s="5" t="s">
        <v>23752</v>
      </c>
      <c r="B11719" s="6">
        <v>396.875</v>
      </c>
      <c r="C11719" s="6">
        <v>20.478950000000001</v>
      </c>
      <c r="D11719" s="6">
        <v>94</v>
      </c>
      <c r="E11719" s="6">
        <v>0</v>
      </c>
      <c r="F11719" s="6">
        <v>0</v>
      </c>
      <c r="G11719" s="6">
        <v>7</v>
      </c>
      <c r="H11719" s="6" t="s">
        <v>23753</v>
      </c>
      <c r="I11719" s="6">
        <v>527.4375</v>
      </c>
      <c r="J11719" s="2">
        <f t="shared" si="183"/>
        <v>43748.341841238427</v>
      </c>
    </row>
    <row r="11720" spans="1:10" x14ac:dyDescent="0.25">
      <c r="A11720" s="7" t="s">
        <v>23754</v>
      </c>
      <c r="B11720" s="8">
        <v>393.75</v>
      </c>
      <c r="C11720" s="8">
        <v>20.478950000000001</v>
      </c>
      <c r="D11720" s="8">
        <v>94</v>
      </c>
      <c r="E11720" s="8">
        <v>0</v>
      </c>
      <c r="F11720" s="8">
        <v>0</v>
      </c>
      <c r="G11720" s="8">
        <v>4</v>
      </c>
      <c r="H11720" s="8" t="s">
        <v>23755</v>
      </c>
      <c r="I11720" s="8">
        <v>526.6875</v>
      </c>
      <c r="J11720" s="3">
        <f t="shared" si="183"/>
        <v>43748.341924814813</v>
      </c>
    </row>
    <row r="11721" spans="1:10" x14ac:dyDescent="0.25">
      <c r="A11721" s="5" t="s">
        <v>23756</v>
      </c>
      <c r="B11721" s="6">
        <v>393.75</v>
      </c>
      <c r="C11721" s="6">
        <v>20.478950000000001</v>
      </c>
      <c r="D11721" s="6">
        <v>94</v>
      </c>
      <c r="E11721" s="6">
        <v>0</v>
      </c>
      <c r="F11721" s="6">
        <v>0</v>
      </c>
      <c r="G11721" s="6">
        <v>11</v>
      </c>
      <c r="H11721" s="6" t="s">
        <v>23757</v>
      </c>
      <c r="I11721" s="6">
        <v>526.6875</v>
      </c>
      <c r="J11721" s="2">
        <f t="shared" si="183"/>
        <v>43748.342008391199</v>
      </c>
    </row>
    <row r="11722" spans="1:10" x14ac:dyDescent="0.25">
      <c r="A11722" s="7" t="s">
        <v>23758</v>
      </c>
      <c r="B11722" s="8">
        <v>393.75</v>
      </c>
      <c r="C11722" s="8">
        <v>20.478950000000001</v>
      </c>
      <c r="D11722" s="8">
        <v>94</v>
      </c>
      <c r="E11722" s="8">
        <v>0</v>
      </c>
      <c r="F11722" s="8">
        <v>0</v>
      </c>
      <c r="G11722" s="8">
        <v>7</v>
      </c>
      <c r="H11722" s="8" t="s">
        <v>23759</v>
      </c>
      <c r="I11722" s="8">
        <v>526.6875</v>
      </c>
      <c r="J11722" s="3">
        <f t="shared" si="183"/>
        <v>43748.342091701386</v>
      </c>
    </row>
    <row r="11723" spans="1:10" x14ac:dyDescent="0.25">
      <c r="A11723" s="5" t="s">
        <v>23760</v>
      </c>
      <c r="B11723" s="6">
        <v>393.75</v>
      </c>
      <c r="C11723" s="6">
        <v>20.478950000000001</v>
      </c>
      <c r="D11723" s="6">
        <v>95</v>
      </c>
      <c r="E11723" s="6">
        <v>0</v>
      </c>
      <c r="F11723" s="6">
        <v>0</v>
      </c>
      <c r="G11723" s="6">
        <v>3</v>
      </c>
      <c r="H11723" s="6" t="s">
        <v>23761</v>
      </c>
      <c r="I11723" s="6">
        <v>526.6875</v>
      </c>
      <c r="J11723" s="2">
        <f t="shared" si="183"/>
        <v>43748.342175046295</v>
      </c>
    </row>
    <row r="11724" spans="1:10" x14ac:dyDescent="0.25">
      <c r="A11724" s="7" t="s">
        <v>23762</v>
      </c>
      <c r="B11724" s="8">
        <v>393.75</v>
      </c>
      <c r="C11724" s="8">
        <v>20.478950000000001</v>
      </c>
      <c r="D11724" s="8">
        <v>95</v>
      </c>
      <c r="E11724" s="8">
        <v>0</v>
      </c>
      <c r="F11724" s="8">
        <v>0</v>
      </c>
      <c r="G11724" s="8">
        <v>0</v>
      </c>
      <c r="H11724" s="8" t="s">
        <v>23763</v>
      </c>
      <c r="I11724" s="8">
        <v>526.6875</v>
      </c>
      <c r="J11724" s="3">
        <f t="shared" si="183"/>
        <v>43748.34224666666</v>
      </c>
    </row>
    <row r="11725" spans="1:10" x14ac:dyDescent="0.25">
      <c r="A11725" s="5" t="s">
        <v>23764</v>
      </c>
      <c r="B11725" s="6">
        <v>393.75</v>
      </c>
      <c r="C11725" s="6">
        <v>20.478950000000001</v>
      </c>
      <c r="D11725" s="6">
        <v>95</v>
      </c>
      <c r="E11725" s="6">
        <v>0</v>
      </c>
      <c r="F11725" s="6">
        <v>0</v>
      </c>
      <c r="G11725" s="6">
        <v>14</v>
      </c>
      <c r="H11725" s="6" t="s">
        <v>23765</v>
      </c>
      <c r="I11725" s="6">
        <v>526.5</v>
      </c>
      <c r="J11725" s="2">
        <f t="shared" si="183"/>
        <v>43748.342330231484</v>
      </c>
    </row>
    <row r="11726" spans="1:10" x14ac:dyDescent="0.25">
      <c r="A11726" s="7" t="s">
        <v>23766</v>
      </c>
      <c r="B11726" s="8">
        <v>393.75</v>
      </c>
      <c r="C11726" s="8">
        <v>20.478950000000001</v>
      </c>
      <c r="D11726" s="8">
        <v>94</v>
      </c>
      <c r="E11726" s="8">
        <v>0</v>
      </c>
      <c r="F11726" s="8">
        <v>0</v>
      </c>
      <c r="G11726" s="8">
        <v>9</v>
      </c>
      <c r="H11726" s="8" t="s">
        <v>23767</v>
      </c>
      <c r="I11726" s="8">
        <v>526.6875</v>
      </c>
      <c r="J11726" s="3">
        <f t="shared" si="183"/>
        <v>43748.342413680548</v>
      </c>
    </row>
    <row r="11727" spans="1:10" x14ac:dyDescent="0.25">
      <c r="A11727" s="5" t="s">
        <v>23768</v>
      </c>
      <c r="B11727" s="6">
        <v>393.75</v>
      </c>
      <c r="C11727" s="6">
        <v>20.426300000000001</v>
      </c>
      <c r="D11727" s="6">
        <v>94</v>
      </c>
      <c r="E11727" s="6">
        <v>0</v>
      </c>
      <c r="F11727" s="6">
        <v>0</v>
      </c>
      <c r="G11727" s="6">
        <v>5</v>
      </c>
      <c r="H11727" s="6" t="s">
        <v>23769</v>
      </c>
      <c r="I11727" s="6">
        <v>526.6875</v>
      </c>
      <c r="J11727" s="2">
        <f t="shared" si="183"/>
        <v>43748.342497256941</v>
      </c>
    </row>
    <row r="11728" spans="1:10" x14ac:dyDescent="0.25">
      <c r="A11728" s="7" t="s">
        <v>23770</v>
      </c>
      <c r="B11728" s="8">
        <v>393.75</v>
      </c>
      <c r="C11728" s="8">
        <v>20.478950000000001</v>
      </c>
      <c r="D11728" s="8">
        <v>94</v>
      </c>
      <c r="E11728" s="8">
        <v>0</v>
      </c>
      <c r="F11728" s="8">
        <v>0</v>
      </c>
      <c r="G11728" s="8">
        <v>16</v>
      </c>
      <c r="H11728" s="8" t="s">
        <v>23771</v>
      </c>
      <c r="I11728" s="8">
        <v>526.5</v>
      </c>
      <c r="J11728" s="3">
        <f t="shared" si="183"/>
        <v>43748.342580706019</v>
      </c>
    </row>
    <row r="11729" spans="1:10" x14ac:dyDescent="0.25">
      <c r="A11729" s="5" t="s">
        <v>23772</v>
      </c>
      <c r="B11729" s="6">
        <v>393.75</v>
      </c>
      <c r="C11729" s="6">
        <v>20.478950000000001</v>
      </c>
      <c r="D11729" s="6">
        <v>92</v>
      </c>
      <c r="E11729" s="6">
        <v>0</v>
      </c>
      <c r="F11729" s="6">
        <v>0</v>
      </c>
      <c r="G11729" s="6">
        <v>4</v>
      </c>
      <c r="H11729" s="6" t="s">
        <v>23773</v>
      </c>
      <c r="I11729" s="6">
        <v>526.6875</v>
      </c>
      <c r="J11729" s="2">
        <f t="shared" si="183"/>
        <v>43748.34267607639</v>
      </c>
    </row>
    <row r="11730" spans="1:10" x14ac:dyDescent="0.25">
      <c r="A11730" s="7" t="s">
        <v>23774</v>
      </c>
      <c r="B11730" s="8">
        <v>393.75</v>
      </c>
      <c r="C11730" s="8">
        <v>20.478950000000001</v>
      </c>
      <c r="D11730" s="8">
        <v>92</v>
      </c>
      <c r="E11730" s="8">
        <v>0</v>
      </c>
      <c r="F11730" s="8">
        <v>0</v>
      </c>
      <c r="G11730" s="8">
        <v>14</v>
      </c>
      <c r="H11730" s="8" t="s">
        <v>23775</v>
      </c>
      <c r="I11730" s="8">
        <v>526.6875</v>
      </c>
      <c r="J11730" s="3">
        <f t="shared" si="183"/>
        <v>43748.342747592593</v>
      </c>
    </row>
    <row r="11731" spans="1:10" x14ac:dyDescent="0.25">
      <c r="A11731" s="5" t="s">
        <v>23776</v>
      </c>
      <c r="B11731" s="6">
        <v>393.75</v>
      </c>
      <c r="C11731" s="6">
        <v>20.478950000000001</v>
      </c>
      <c r="D11731" s="6">
        <v>92</v>
      </c>
      <c r="E11731" s="6">
        <v>0</v>
      </c>
      <c r="F11731" s="6">
        <v>0</v>
      </c>
      <c r="G11731" s="6">
        <v>8</v>
      </c>
      <c r="H11731" s="6" t="s">
        <v>23777</v>
      </c>
      <c r="I11731" s="6">
        <v>526.6875</v>
      </c>
      <c r="J11731" s="2">
        <f t="shared" si="183"/>
        <v>43748.342830706017</v>
      </c>
    </row>
    <row r="11732" spans="1:10" x14ac:dyDescent="0.25">
      <c r="A11732" s="7" t="s">
        <v>23778</v>
      </c>
      <c r="B11732" s="8">
        <v>393.75</v>
      </c>
      <c r="C11732" s="8">
        <v>20.478950000000001</v>
      </c>
      <c r="D11732" s="8">
        <v>92</v>
      </c>
      <c r="E11732" s="8">
        <v>0</v>
      </c>
      <c r="F11732" s="8">
        <v>0</v>
      </c>
      <c r="G11732" s="8">
        <v>15</v>
      </c>
      <c r="H11732" s="8" t="s">
        <v>23779</v>
      </c>
      <c r="I11732" s="8">
        <v>526.6875</v>
      </c>
      <c r="J11732" s="3">
        <f t="shared" si="183"/>
        <v>43748.342902696757</v>
      </c>
    </row>
    <row r="11733" spans="1:10" x14ac:dyDescent="0.25">
      <c r="A11733" s="5" t="s">
        <v>23780</v>
      </c>
      <c r="B11733" s="6">
        <v>393.75</v>
      </c>
      <c r="C11733" s="6">
        <v>20.478950000000001</v>
      </c>
      <c r="D11733" s="6">
        <v>92</v>
      </c>
      <c r="E11733" s="6">
        <v>0</v>
      </c>
      <c r="F11733" s="6">
        <v>0</v>
      </c>
      <c r="G11733" s="6">
        <v>16</v>
      </c>
      <c r="H11733" s="6" t="s">
        <v>23781</v>
      </c>
      <c r="I11733" s="6">
        <v>526.6875</v>
      </c>
      <c r="J11733" s="2">
        <f t="shared" si="183"/>
        <v>43748.342986157404</v>
      </c>
    </row>
    <row r="11734" spans="1:10" x14ac:dyDescent="0.25">
      <c r="A11734" s="7" t="s">
        <v>23782</v>
      </c>
      <c r="B11734" s="8">
        <v>393.75</v>
      </c>
      <c r="C11734" s="8">
        <v>20.426300000000001</v>
      </c>
      <c r="D11734" s="8">
        <v>94</v>
      </c>
      <c r="E11734" s="8">
        <v>0</v>
      </c>
      <c r="F11734" s="8">
        <v>0</v>
      </c>
      <c r="G11734" s="8">
        <v>9</v>
      </c>
      <c r="H11734" s="8" t="s">
        <v>23783</v>
      </c>
      <c r="I11734" s="8">
        <v>526.6875</v>
      </c>
      <c r="J11734" s="3">
        <f t="shared" si="183"/>
        <v>43748.34306958333</v>
      </c>
    </row>
    <row r="11735" spans="1:10" x14ac:dyDescent="0.25">
      <c r="A11735" s="5" t="s">
        <v>23784</v>
      </c>
      <c r="B11735" s="6">
        <v>412.5</v>
      </c>
      <c r="C11735" s="6">
        <v>20.478950000000001</v>
      </c>
      <c r="D11735" s="6">
        <v>98</v>
      </c>
      <c r="E11735" s="6">
        <v>0</v>
      </c>
      <c r="F11735" s="6">
        <v>0</v>
      </c>
      <c r="G11735" s="6">
        <v>5</v>
      </c>
      <c r="H11735" s="6" t="s">
        <v>23785</v>
      </c>
      <c r="I11735" s="6">
        <v>532.6875</v>
      </c>
      <c r="J11735" s="2">
        <f t="shared" si="183"/>
        <v>43748.3431528125</v>
      </c>
    </row>
    <row r="11736" spans="1:10" x14ac:dyDescent="0.25">
      <c r="A11736" s="7" t="s">
        <v>23786</v>
      </c>
      <c r="B11736" s="8">
        <v>393.75</v>
      </c>
      <c r="C11736" s="8">
        <v>20.478950000000001</v>
      </c>
      <c r="D11736" s="8">
        <v>98</v>
      </c>
      <c r="E11736" s="8">
        <v>0</v>
      </c>
      <c r="F11736" s="8">
        <v>0</v>
      </c>
      <c r="G11736" s="8">
        <v>6</v>
      </c>
      <c r="H11736" s="8" t="s">
        <v>23787</v>
      </c>
      <c r="I11736" s="8">
        <v>526.6875</v>
      </c>
      <c r="J11736" s="3">
        <f t="shared" si="183"/>
        <v>43748.343224571756</v>
      </c>
    </row>
    <row r="11737" spans="1:10" x14ac:dyDescent="0.25">
      <c r="A11737" s="5" t="s">
        <v>23788</v>
      </c>
      <c r="B11737" s="6">
        <v>393.75</v>
      </c>
      <c r="C11737" s="6">
        <v>20.426300000000001</v>
      </c>
      <c r="D11737" s="6">
        <v>96</v>
      </c>
      <c r="E11737" s="6">
        <v>0</v>
      </c>
      <c r="F11737" s="6">
        <v>0</v>
      </c>
      <c r="G11737" s="6">
        <v>6</v>
      </c>
      <c r="H11737" s="6" t="s">
        <v>23789</v>
      </c>
      <c r="I11737" s="6">
        <v>526.6875</v>
      </c>
      <c r="J11737" s="2">
        <f t="shared" si="183"/>
        <v>43748.343308148142</v>
      </c>
    </row>
    <row r="11738" spans="1:10" x14ac:dyDescent="0.25">
      <c r="A11738" s="7" t="s">
        <v>23790</v>
      </c>
      <c r="B11738" s="8">
        <v>393.75</v>
      </c>
      <c r="C11738" s="8">
        <v>20.478950000000001</v>
      </c>
      <c r="D11738" s="8">
        <v>93</v>
      </c>
      <c r="E11738" s="8">
        <v>0</v>
      </c>
      <c r="F11738" s="8">
        <v>0</v>
      </c>
      <c r="G11738" s="8">
        <v>10</v>
      </c>
      <c r="H11738" s="8" t="s">
        <v>23791</v>
      </c>
      <c r="I11738" s="8">
        <v>526.6875</v>
      </c>
      <c r="J11738" s="3">
        <f t="shared" si="183"/>
        <v>43748.34339159722</v>
      </c>
    </row>
    <row r="11739" spans="1:10" x14ac:dyDescent="0.25">
      <c r="A11739" s="5" t="s">
        <v>23792</v>
      </c>
      <c r="B11739" s="6">
        <v>393.75</v>
      </c>
      <c r="C11739" s="6">
        <v>20.478950000000001</v>
      </c>
      <c r="D11739" s="6">
        <v>94</v>
      </c>
      <c r="E11739" s="6">
        <v>0</v>
      </c>
      <c r="F11739" s="6">
        <v>0</v>
      </c>
      <c r="G11739" s="6">
        <v>17</v>
      </c>
      <c r="H11739" s="6" t="s">
        <v>23793</v>
      </c>
      <c r="I11739" s="6">
        <v>526.5</v>
      </c>
      <c r="J11739" s="2">
        <f t="shared" si="183"/>
        <v>43748.343475046298</v>
      </c>
    </row>
    <row r="11740" spans="1:10" x14ac:dyDescent="0.25">
      <c r="A11740" s="7" t="s">
        <v>23794</v>
      </c>
      <c r="B11740" s="8">
        <v>393.75</v>
      </c>
      <c r="C11740" s="8">
        <v>20.478950000000001</v>
      </c>
      <c r="D11740" s="8">
        <v>93</v>
      </c>
      <c r="E11740" s="8">
        <v>0</v>
      </c>
      <c r="F11740" s="8">
        <v>0</v>
      </c>
      <c r="G11740" s="8">
        <v>18</v>
      </c>
      <c r="H11740" s="8" t="s">
        <v>23795</v>
      </c>
      <c r="I11740" s="8">
        <v>526.6875</v>
      </c>
      <c r="J11740" s="3">
        <f t="shared" si="183"/>
        <v>43748.343558611108</v>
      </c>
    </row>
    <row r="11741" spans="1:10" x14ac:dyDescent="0.25">
      <c r="A11741" s="5" t="s">
        <v>23796</v>
      </c>
      <c r="B11741" s="6">
        <v>393.75</v>
      </c>
      <c r="C11741" s="6">
        <v>20.478950000000001</v>
      </c>
      <c r="D11741" s="6">
        <v>93</v>
      </c>
      <c r="E11741" s="6">
        <v>0</v>
      </c>
      <c r="F11741" s="6">
        <v>0</v>
      </c>
      <c r="G11741" s="6">
        <v>6</v>
      </c>
      <c r="H11741" s="6" t="s">
        <v>23797</v>
      </c>
      <c r="I11741" s="6">
        <v>526.5</v>
      </c>
      <c r="J11741" s="2">
        <f t="shared" si="183"/>
        <v>43748.343641689811</v>
      </c>
    </row>
    <row r="11742" spans="1:10" x14ac:dyDescent="0.25">
      <c r="A11742" s="7" t="s">
        <v>23798</v>
      </c>
      <c r="B11742" s="8">
        <v>393.75</v>
      </c>
      <c r="C11742" s="8">
        <v>20.478950000000001</v>
      </c>
      <c r="D11742" s="8">
        <v>93</v>
      </c>
      <c r="E11742" s="8">
        <v>0</v>
      </c>
      <c r="F11742" s="8">
        <v>0</v>
      </c>
      <c r="G11742" s="8">
        <v>9</v>
      </c>
      <c r="H11742" s="8" t="s">
        <v>23799</v>
      </c>
      <c r="I11742" s="8">
        <v>526.6875</v>
      </c>
      <c r="J11742" s="3">
        <f t="shared" si="183"/>
        <v>43748.343713472219</v>
      </c>
    </row>
    <row r="11743" spans="1:10" x14ac:dyDescent="0.25">
      <c r="A11743" s="5" t="s">
        <v>23800</v>
      </c>
      <c r="B11743" s="6">
        <v>393.75</v>
      </c>
      <c r="C11743" s="6">
        <v>20.478950000000001</v>
      </c>
      <c r="D11743" s="6">
        <v>92</v>
      </c>
      <c r="E11743" s="6">
        <v>0</v>
      </c>
      <c r="F11743" s="6">
        <v>0</v>
      </c>
      <c r="G11743" s="6">
        <v>15</v>
      </c>
      <c r="H11743" s="6" t="s">
        <v>23801</v>
      </c>
      <c r="I11743" s="6">
        <v>526.6875</v>
      </c>
      <c r="J11743" s="2">
        <f t="shared" si="183"/>
        <v>43748.34379702546</v>
      </c>
    </row>
    <row r="11744" spans="1:10" x14ac:dyDescent="0.25">
      <c r="A11744" s="7" t="s">
        <v>23802</v>
      </c>
      <c r="B11744" s="8">
        <v>393.75</v>
      </c>
      <c r="C11744" s="8">
        <v>20.478950000000001</v>
      </c>
      <c r="D11744" s="8">
        <v>92</v>
      </c>
      <c r="E11744" s="8">
        <v>0</v>
      </c>
      <c r="F11744" s="8">
        <v>0</v>
      </c>
      <c r="G11744" s="8">
        <v>6</v>
      </c>
      <c r="H11744" s="8" t="s">
        <v>23803</v>
      </c>
      <c r="I11744" s="8">
        <v>526.5</v>
      </c>
      <c r="J11744" s="3">
        <f t="shared" si="183"/>
        <v>43748.343880578701</v>
      </c>
    </row>
    <row r="11745" spans="1:10" x14ac:dyDescent="0.25">
      <c r="A11745" s="5" t="s">
        <v>23804</v>
      </c>
      <c r="B11745" s="6">
        <v>393.75</v>
      </c>
      <c r="C11745" s="6">
        <v>20.478950000000001</v>
      </c>
      <c r="D11745" s="6">
        <v>92</v>
      </c>
      <c r="E11745" s="6">
        <v>0</v>
      </c>
      <c r="F11745" s="6">
        <v>0</v>
      </c>
      <c r="G11745" s="6">
        <v>10</v>
      </c>
      <c r="H11745" s="6" t="s">
        <v>23805</v>
      </c>
      <c r="I11745" s="6">
        <v>526.6875</v>
      </c>
      <c r="J11745" s="2">
        <f t="shared" si="183"/>
        <v>43748.343963923609</v>
      </c>
    </row>
    <row r="11746" spans="1:10" x14ac:dyDescent="0.25">
      <c r="A11746" s="7" t="s">
        <v>23806</v>
      </c>
      <c r="B11746" s="8">
        <v>393.75</v>
      </c>
      <c r="C11746" s="8">
        <v>20.478950000000001</v>
      </c>
      <c r="D11746" s="8">
        <v>93</v>
      </c>
      <c r="E11746" s="8">
        <v>0</v>
      </c>
      <c r="F11746" s="8">
        <v>0</v>
      </c>
      <c r="G11746" s="8">
        <v>14</v>
      </c>
      <c r="H11746" s="8" t="s">
        <v>23807</v>
      </c>
      <c r="I11746" s="8">
        <v>526.6875</v>
      </c>
      <c r="J11746" s="3">
        <f t="shared" si="183"/>
        <v>43748.34404747685</v>
      </c>
    </row>
    <row r="11747" spans="1:10" x14ac:dyDescent="0.25">
      <c r="A11747" s="5" t="s">
        <v>23808</v>
      </c>
      <c r="B11747" s="6">
        <v>393.75</v>
      </c>
      <c r="C11747" s="6">
        <v>20.478950000000001</v>
      </c>
      <c r="D11747" s="6">
        <v>93</v>
      </c>
      <c r="E11747" s="6">
        <v>0</v>
      </c>
      <c r="F11747" s="6">
        <v>0</v>
      </c>
      <c r="G11747" s="6">
        <v>3</v>
      </c>
      <c r="H11747" s="6" t="s">
        <v>23809</v>
      </c>
      <c r="I11747" s="6">
        <v>526.6875</v>
      </c>
      <c r="J11747" s="2">
        <f t="shared" si="183"/>
        <v>43748.344130590274</v>
      </c>
    </row>
    <row r="11748" spans="1:10" x14ac:dyDescent="0.25">
      <c r="A11748" s="7" t="s">
        <v>23810</v>
      </c>
      <c r="B11748" s="8">
        <v>393.75</v>
      </c>
      <c r="C11748" s="8">
        <v>20.426300000000001</v>
      </c>
      <c r="D11748" s="8">
        <v>93</v>
      </c>
      <c r="E11748" s="8">
        <v>0</v>
      </c>
      <c r="F11748" s="8">
        <v>0</v>
      </c>
      <c r="G11748" s="8">
        <v>11</v>
      </c>
      <c r="H11748" s="8" t="s">
        <v>23811</v>
      </c>
      <c r="I11748" s="8">
        <v>526.6875</v>
      </c>
      <c r="J11748" s="3">
        <f t="shared" si="183"/>
        <v>43748.344214374993</v>
      </c>
    </row>
    <row r="11749" spans="1:10" x14ac:dyDescent="0.25">
      <c r="A11749" s="5" t="s">
        <v>23812</v>
      </c>
      <c r="B11749" s="6">
        <v>393.75</v>
      </c>
      <c r="C11749" s="6">
        <v>20.478950000000001</v>
      </c>
      <c r="D11749" s="6">
        <v>93</v>
      </c>
      <c r="E11749" s="6">
        <v>0</v>
      </c>
      <c r="F11749" s="6">
        <v>0</v>
      </c>
      <c r="G11749" s="6">
        <v>11</v>
      </c>
      <c r="H11749" s="6" t="s">
        <v>23813</v>
      </c>
      <c r="I11749" s="6">
        <v>526.6875</v>
      </c>
      <c r="J11749" s="2">
        <f t="shared" si="183"/>
        <v>43748.344298055548</v>
      </c>
    </row>
    <row r="11750" spans="1:10" x14ac:dyDescent="0.25">
      <c r="A11750" s="7" t="s">
        <v>23814</v>
      </c>
      <c r="B11750" s="8">
        <v>393.75</v>
      </c>
      <c r="C11750" s="8">
        <v>20.478950000000001</v>
      </c>
      <c r="D11750" s="8">
        <v>93</v>
      </c>
      <c r="E11750" s="8">
        <v>0</v>
      </c>
      <c r="F11750" s="8">
        <v>0</v>
      </c>
      <c r="G11750" s="8">
        <v>5</v>
      </c>
      <c r="H11750" s="8" t="s">
        <v>23815</v>
      </c>
      <c r="I11750" s="8">
        <v>526.6875</v>
      </c>
      <c r="J11750" s="3">
        <f t="shared" si="183"/>
        <v>43748.344369479164</v>
      </c>
    </row>
    <row r="11751" spans="1:10" x14ac:dyDescent="0.25">
      <c r="A11751" s="5" t="s">
        <v>23816</v>
      </c>
      <c r="B11751" s="6">
        <v>393.75</v>
      </c>
      <c r="C11751" s="6">
        <v>20.478950000000001</v>
      </c>
      <c r="D11751" s="6">
        <v>94</v>
      </c>
      <c r="E11751" s="6">
        <v>0</v>
      </c>
      <c r="F11751" s="6">
        <v>0</v>
      </c>
      <c r="G11751" s="6">
        <v>8</v>
      </c>
      <c r="H11751" s="6" t="s">
        <v>23817</v>
      </c>
      <c r="I11751" s="6">
        <v>526.5</v>
      </c>
      <c r="J11751" s="2">
        <f t="shared" si="183"/>
        <v>43748.344452812496</v>
      </c>
    </row>
    <row r="11752" spans="1:10" x14ac:dyDescent="0.25">
      <c r="A11752" s="7" t="s">
        <v>23818</v>
      </c>
      <c r="B11752" s="8">
        <v>393.75</v>
      </c>
      <c r="C11752" s="8">
        <v>20.478950000000001</v>
      </c>
      <c r="D11752" s="8">
        <v>90</v>
      </c>
      <c r="E11752" s="8">
        <v>0</v>
      </c>
      <c r="F11752" s="8">
        <v>0</v>
      </c>
      <c r="G11752" s="8">
        <v>3</v>
      </c>
      <c r="H11752" s="8" t="s">
        <v>23819</v>
      </c>
      <c r="I11752" s="8">
        <v>526.6875</v>
      </c>
      <c r="J11752" s="3">
        <f t="shared" si="183"/>
        <v>43748.344536365737</v>
      </c>
    </row>
    <row r="11753" spans="1:10" x14ac:dyDescent="0.25">
      <c r="A11753" s="5" t="s">
        <v>23820</v>
      </c>
      <c r="B11753" s="6">
        <v>393.75</v>
      </c>
      <c r="C11753" s="6">
        <v>20.478950000000001</v>
      </c>
      <c r="D11753" s="6">
        <v>90</v>
      </c>
      <c r="E11753" s="6">
        <v>0</v>
      </c>
      <c r="F11753" s="6">
        <v>0</v>
      </c>
      <c r="G11753" s="6">
        <v>2</v>
      </c>
      <c r="H11753" s="6" t="s">
        <v>23821</v>
      </c>
      <c r="I11753" s="6">
        <v>526.6875</v>
      </c>
      <c r="J11753" s="2">
        <f t="shared" si="183"/>
        <v>43748.344607928237</v>
      </c>
    </row>
    <row r="11754" spans="1:10" x14ac:dyDescent="0.25">
      <c r="A11754" s="7" t="s">
        <v>23822</v>
      </c>
      <c r="B11754" s="8">
        <v>393.75</v>
      </c>
      <c r="C11754" s="8">
        <v>20.478950000000001</v>
      </c>
      <c r="D11754" s="8">
        <v>93</v>
      </c>
      <c r="E11754" s="8">
        <v>0</v>
      </c>
      <c r="F11754" s="8">
        <v>0</v>
      </c>
      <c r="G11754" s="8">
        <v>4</v>
      </c>
      <c r="H11754" s="8" t="s">
        <v>23823</v>
      </c>
      <c r="I11754" s="8">
        <v>526.5</v>
      </c>
      <c r="J11754" s="3">
        <f t="shared" si="183"/>
        <v>43748.344691458326</v>
      </c>
    </row>
    <row r="11755" spans="1:10" x14ac:dyDescent="0.25">
      <c r="A11755" s="5" t="s">
        <v>23824</v>
      </c>
      <c r="B11755" s="6">
        <v>393.75</v>
      </c>
      <c r="C11755" s="6">
        <v>20.478950000000001</v>
      </c>
      <c r="D11755" s="6">
        <v>94</v>
      </c>
      <c r="E11755" s="6">
        <v>0</v>
      </c>
      <c r="F11755" s="6">
        <v>0</v>
      </c>
      <c r="G11755" s="6">
        <v>7</v>
      </c>
      <c r="H11755" s="6" t="s">
        <v>23825</v>
      </c>
      <c r="I11755" s="6">
        <v>526.6875</v>
      </c>
      <c r="J11755" s="2">
        <f t="shared" si="183"/>
        <v>43748.344775057871</v>
      </c>
    </row>
    <row r="11756" spans="1:10" x14ac:dyDescent="0.25">
      <c r="A11756" s="7" t="s">
        <v>23826</v>
      </c>
      <c r="B11756" s="8">
        <v>393.75</v>
      </c>
      <c r="C11756" s="8">
        <v>20.478950000000001</v>
      </c>
      <c r="D11756" s="8">
        <v>93</v>
      </c>
      <c r="E11756" s="8">
        <v>0</v>
      </c>
      <c r="F11756" s="8">
        <v>0</v>
      </c>
      <c r="G11756" s="8">
        <v>0</v>
      </c>
      <c r="H11756" s="8" t="s">
        <v>23827</v>
      </c>
      <c r="I11756" s="8">
        <v>526.6875</v>
      </c>
      <c r="J11756" s="3">
        <f t="shared" si="183"/>
        <v>43748.344858368051</v>
      </c>
    </row>
    <row r="11757" spans="1:10" x14ac:dyDescent="0.25">
      <c r="A11757" s="5" t="s">
        <v>23828</v>
      </c>
      <c r="B11757" s="6">
        <v>393.75</v>
      </c>
      <c r="C11757" s="6">
        <v>20.478950000000001</v>
      </c>
      <c r="D11757" s="6">
        <v>91</v>
      </c>
      <c r="E11757" s="6">
        <v>0</v>
      </c>
      <c r="F11757" s="6">
        <v>0</v>
      </c>
      <c r="G11757" s="6">
        <v>11</v>
      </c>
      <c r="H11757" s="6" t="s">
        <v>23829</v>
      </c>
      <c r="I11757" s="6">
        <v>526.5</v>
      </c>
      <c r="J11757" s="2">
        <f t="shared" si="183"/>
        <v>43748.344950300925</v>
      </c>
    </row>
    <row r="11758" spans="1:10" x14ac:dyDescent="0.25">
      <c r="A11758" s="7" t="s">
        <v>23830</v>
      </c>
      <c r="B11758" s="8">
        <v>393.75</v>
      </c>
      <c r="C11758" s="8">
        <v>20.478950000000001</v>
      </c>
      <c r="D11758" s="8">
        <v>90</v>
      </c>
      <c r="E11758" s="8">
        <v>0</v>
      </c>
      <c r="F11758" s="8">
        <v>0</v>
      </c>
      <c r="G11758" s="8">
        <v>13</v>
      </c>
      <c r="H11758" s="8" t="s">
        <v>23831</v>
      </c>
      <c r="I11758" s="8">
        <v>526.6875</v>
      </c>
      <c r="J11758" s="3">
        <f t="shared" si="183"/>
        <v>43748.345025266201</v>
      </c>
    </row>
    <row r="11759" spans="1:10" x14ac:dyDescent="0.25">
      <c r="A11759" s="5" t="s">
        <v>23832</v>
      </c>
      <c r="B11759" s="6">
        <v>393.75</v>
      </c>
      <c r="C11759" s="6">
        <v>20.478950000000001</v>
      </c>
      <c r="D11759" s="6">
        <v>91</v>
      </c>
      <c r="E11759" s="6">
        <v>0</v>
      </c>
      <c r="F11759" s="6">
        <v>0</v>
      </c>
      <c r="G11759" s="6">
        <v>5</v>
      </c>
      <c r="H11759" s="6" t="s">
        <v>23833</v>
      </c>
      <c r="I11759" s="6">
        <v>526.5</v>
      </c>
      <c r="J11759" s="2">
        <f t="shared" si="183"/>
        <v>43748.345108483794</v>
      </c>
    </row>
    <row r="11760" spans="1:10" x14ac:dyDescent="0.25">
      <c r="A11760" s="7" t="s">
        <v>23834</v>
      </c>
      <c r="B11760" s="8">
        <v>412.5</v>
      </c>
      <c r="C11760" s="8">
        <v>20.426300000000001</v>
      </c>
      <c r="D11760" s="8">
        <v>91</v>
      </c>
      <c r="E11760" s="8">
        <v>0</v>
      </c>
      <c r="F11760" s="8">
        <v>0</v>
      </c>
      <c r="G11760" s="8">
        <v>8</v>
      </c>
      <c r="H11760" s="8" t="s">
        <v>23835</v>
      </c>
      <c r="I11760" s="8">
        <v>532.3125</v>
      </c>
      <c r="J11760" s="3">
        <f t="shared" si="183"/>
        <v>43748.345180173608</v>
      </c>
    </row>
    <row r="11761" spans="1:10" x14ac:dyDescent="0.25">
      <c r="A11761" s="5" t="s">
        <v>23836</v>
      </c>
      <c r="B11761" s="6">
        <v>393.75</v>
      </c>
      <c r="C11761" s="6">
        <v>20.478950000000001</v>
      </c>
      <c r="D11761" s="6">
        <v>91</v>
      </c>
      <c r="E11761" s="6">
        <v>0</v>
      </c>
      <c r="F11761" s="6">
        <v>0</v>
      </c>
      <c r="G11761" s="6">
        <v>22</v>
      </c>
      <c r="H11761" s="6" t="s">
        <v>23837</v>
      </c>
      <c r="I11761" s="6">
        <v>526.6875</v>
      </c>
      <c r="J11761" s="2">
        <f t="shared" si="183"/>
        <v>43748.34526391203</v>
      </c>
    </row>
    <row r="11762" spans="1:10" x14ac:dyDescent="0.25">
      <c r="A11762" s="7" t="s">
        <v>23838</v>
      </c>
      <c r="B11762" s="8">
        <v>393.75</v>
      </c>
      <c r="C11762" s="8">
        <v>20.478950000000001</v>
      </c>
      <c r="D11762" s="8">
        <v>95</v>
      </c>
      <c r="E11762" s="8">
        <v>0</v>
      </c>
      <c r="F11762" s="8">
        <v>0</v>
      </c>
      <c r="G11762" s="8">
        <v>1</v>
      </c>
      <c r="H11762" s="8" t="s">
        <v>23839</v>
      </c>
      <c r="I11762" s="8">
        <v>526.6875</v>
      </c>
      <c r="J11762" s="3">
        <f t="shared" si="183"/>
        <v>43748.345359282401</v>
      </c>
    </row>
    <row r="11763" spans="1:10" x14ac:dyDescent="0.25">
      <c r="A11763" s="5" t="s">
        <v>23840</v>
      </c>
      <c r="B11763" s="6">
        <v>393.75</v>
      </c>
      <c r="C11763" s="6">
        <v>20.478950000000001</v>
      </c>
      <c r="D11763" s="6">
        <v>94</v>
      </c>
      <c r="E11763" s="6">
        <v>0</v>
      </c>
      <c r="F11763" s="6">
        <v>0</v>
      </c>
      <c r="G11763" s="6">
        <v>3</v>
      </c>
      <c r="H11763" s="6" t="s">
        <v>23841</v>
      </c>
      <c r="I11763" s="6">
        <v>526.6875</v>
      </c>
      <c r="J11763" s="2">
        <f t="shared" si="183"/>
        <v>43748.34544271991</v>
      </c>
    </row>
    <row r="11764" spans="1:10" x14ac:dyDescent="0.25">
      <c r="A11764" s="7" t="s">
        <v>23842</v>
      </c>
      <c r="B11764" s="8">
        <v>393.75</v>
      </c>
      <c r="C11764" s="8">
        <v>20.478950000000001</v>
      </c>
      <c r="D11764" s="8">
        <v>94</v>
      </c>
      <c r="E11764" s="8">
        <v>0</v>
      </c>
      <c r="F11764" s="8">
        <v>0</v>
      </c>
      <c r="G11764" s="8">
        <v>0</v>
      </c>
      <c r="H11764" s="8" t="s">
        <v>23843</v>
      </c>
      <c r="I11764" s="8">
        <v>526.6875</v>
      </c>
      <c r="J11764" s="3">
        <f t="shared" si="183"/>
        <v>43748.345514259257</v>
      </c>
    </row>
    <row r="11765" spans="1:10" x14ac:dyDescent="0.25">
      <c r="A11765" s="5" t="s">
        <v>23844</v>
      </c>
      <c r="B11765" s="6">
        <v>415.625</v>
      </c>
      <c r="C11765" s="6">
        <v>20.426300000000001</v>
      </c>
      <c r="D11765" s="6">
        <v>94</v>
      </c>
      <c r="E11765" s="6">
        <v>0</v>
      </c>
      <c r="F11765" s="6">
        <v>0</v>
      </c>
      <c r="G11765" s="6">
        <v>11</v>
      </c>
      <c r="H11765" s="6" t="s">
        <v>23845</v>
      </c>
      <c r="I11765" s="6">
        <v>533.0625</v>
      </c>
      <c r="J11765" s="2">
        <f t="shared" si="183"/>
        <v>43748.345597361105</v>
      </c>
    </row>
    <row r="11766" spans="1:10" x14ac:dyDescent="0.25">
      <c r="A11766" s="7" t="s">
        <v>23846</v>
      </c>
      <c r="B11766" s="8">
        <v>396.875</v>
      </c>
      <c r="C11766" s="8">
        <v>20.426300000000001</v>
      </c>
      <c r="D11766" s="8">
        <v>94</v>
      </c>
      <c r="E11766" s="8">
        <v>0</v>
      </c>
      <c r="F11766" s="8">
        <v>0</v>
      </c>
      <c r="G11766" s="8">
        <v>13</v>
      </c>
      <c r="H11766" s="8" t="s">
        <v>23847</v>
      </c>
      <c r="I11766" s="8">
        <v>527.4375</v>
      </c>
      <c r="J11766" s="3">
        <f t="shared" si="183"/>
        <v>43748.345669004622</v>
      </c>
    </row>
    <row r="11767" spans="1:10" x14ac:dyDescent="0.25">
      <c r="A11767" s="5" t="s">
        <v>23848</v>
      </c>
      <c r="B11767" s="6">
        <v>396.875</v>
      </c>
      <c r="C11767" s="6">
        <v>20.478950000000001</v>
      </c>
      <c r="D11767" s="6">
        <v>97</v>
      </c>
      <c r="E11767" s="6">
        <v>0</v>
      </c>
      <c r="F11767" s="6">
        <v>0</v>
      </c>
      <c r="G11767" s="6">
        <v>9</v>
      </c>
      <c r="H11767" s="6" t="s">
        <v>23849</v>
      </c>
      <c r="I11767" s="6">
        <v>527.4375</v>
      </c>
      <c r="J11767" s="2">
        <f t="shared" si="183"/>
        <v>43748.345752789348</v>
      </c>
    </row>
    <row r="11768" spans="1:10" x14ac:dyDescent="0.25">
      <c r="A11768" s="7" t="s">
        <v>23850</v>
      </c>
      <c r="B11768" s="8">
        <v>396.875</v>
      </c>
      <c r="C11768" s="8">
        <v>20.478950000000001</v>
      </c>
      <c r="D11768" s="8">
        <v>97</v>
      </c>
      <c r="E11768" s="8">
        <v>0</v>
      </c>
      <c r="F11768" s="8">
        <v>0</v>
      </c>
      <c r="G11768" s="8">
        <v>6</v>
      </c>
      <c r="H11768" s="8" t="s">
        <v>23851</v>
      </c>
      <c r="I11768" s="8">
        <v>527.4375</v>
      </c>
      <c r="J11768" s="3">
        <f t="shared" si="183"/>
        <v>43748.345836238419</v>
      </c>
    </row>
    <row r="11769" spans="1:10" x14ac:dyDescent="0.25">
      <c r="A11769" s="5" t="s">
        <v>23852</v>
      </c>
      <c r="B11769" s="6">
        <v>393.75</v>
      </c>
      <c r="C11769" s="6">
        <v>20.426300000000001</v>
      </c>
      <c r="D11769" s="6">
        <v>95</v>
      </c>
      <c r="E11769" s="6">
        <v>0</v>
      </c>
      <c r="F11769" s="6">
        <v>0</v>
      </c>
      <c r="G11769" s="6">
        <v>14</v>
      </c>
      <c r="H11769" s="6" t="s">
        <v>23853</v>
      </c>
      <c r="I11769" s="6">
        <v>526.6875</v>
      </c>
      <c r="J11769" s="2">
        <f t="shared" si="183"/>
        <v>43748.34591945602</v>
      </c>
    </row>
    <row r="11770" spans="1:10" x14ac:dyDescent="0.25">
      <c r="A11770" s="7" t="s">
        <v>23854</v>
      </c>
      <c r="B11770" s="8">
        <v>418.75</v>
      </c>
      <c r="C11770" s="8">
        <v>20.478950000000001</v>
      </c>
      <c r="D11770" s="8">
        <v>95</v>
      </c>
      <c r="E11770" s="8">
        <v>0</v>
      </c>
      <c r="F11770" s="8">
        <v>0</v>
      </c>
      <c r="G11770" s="8">
        <v>16</v>
      </c>
      <c r="H11770" s="8" t="s">
        <v>23855</v>
      </c>
      <c r="I11770" s="8">
        <v>534.9375</v>
      </c>
      <c r="J11770" s="3">
        <f t="shared" si="183"/>
        <v>43748.345991215276</v>
      </c>
    </row>
    <row r="11771" spans="1:10" x14ac:dyDescent="0.25">
      <c r="A11771" s="5" t="s">
        <v>23856</v>
      </c>
      <c r="B11771" s="6">
        <v>393.75</v>
      </c>
      <c r="C11771" s="6">
        <v>20.426300000000001</v>
      </c>
      <c r="D11771" s="6">
        <v>96</v>
      </c>
      <c r="E11771" s="6">
        <v>0</v>
      </c>
      <c r="F11771" s="6">
        <v>0</v>
      </c>
      <c r="G11771" s="6">
        <v>10</v>
      </c>
      <c r="H11771" s="6" t="s">
        <v>23857</v>
      </c>
      <c r="I11771" s="6">
        <v>526.6875</v>
      </c>
      <c r="J11771" s="2">
        <f t="shared" si="183"/>
        <v>43748.346074780093</v>
      </c>
    </row>
    <row r="11772" spans="1:10" x14ac:dyDescent="0.25">
      <c r="A11772" s="7" t="s">
        <v>23858</v>
      </c>
      <c r="B11772" s="8">
        <v>393.75</v>
      </c>
      <c r="C11772" s="8">
        <v>20.478950000000001</v>
      </c>
      <c r="D11772" s="8">
        <v>95</v>
      </c>
      <c r="E11772" s="8">
        <v>0</v>
      </c>
      <c r="F11772" s="8">
        <v>0</v>
      </c>
      <c r="G11772" s="8">
        <v>12</v>
      </c>
      <c r="H11772" s="8" t="s">
        <v>23859</v>
      </c>
      <c r="I11772" s="8">
        <v>526.6875</v>
      </c>
      <c r="J11772" s="3">
        <f t="shared" si="183"/>
        <v>43748.346158229164</v>
      </c>
    </row>
    <row r="11773" spans="1:10" x14ac:dyDescent="0.25">
      <c r="A11773" s="5" t="s">
        <v>23860</v>
      </c>
      <c r="B11773" s="6">
        <v>393.75</v>
      </c>
      <c r="C11773" s="6">
        <v>20.478950000000001</v>
      </c>
      <c r="D11773" s="6">
        <v>95</v>
      </c>
      <c r="E11773" s="6">
        <v>0</v>
      </c>
      <c r="F11773" s="6">
        <v>0</v>
      </c>
      <c r="G11773" s="6">
        <v>6</v>
      </c>
      <c r="H11773" s="6" t="s">
        <v>23861</v>
      </c>
      <c r="I11773" s="6">
        <v>526.6875</v>
      </c>
      <c r="J11773" s="2">
        <f t="shared" si="183"/>
        <v>43748.346241701387</v>
      </c>
    </row>
    <row r="11774" spans="1:10" x14ac:dyDescent="0.25">
      <c r="A11774" s="7" t="s">
        <v>23862</v>
      </c>
      <c r="B11774" s="8">
        <v>393.75</v>
      </c>
      <c r="C11774" s="8">
        <v>20.478950000000001</v>
      </c>
      <c r="D11774" s="8">
        <v>93</v>
      </c>
      <c r="E11774" s="8">
        <v>0</v>
      </c>
      <c r="F11774" s="8">
        <v>0</v>
      </c>
      <c r="G11774" s="8">
        <v>6</v>
      </c>
      <c r="H11774" s="8" t="s">
        <v>23863</v>
      </c>
      <c r="I11774" s="8">
        <v>526.6875</v>
      </c>
      <c r="J11774" s="3">
        <f t="shared" si="183"/>
        <v>43748.346313206021</v>
      </c>
    </row>
    <row r="11775" spans="1:10" x14ac:dyDescent="0.25">
      <c r="A11775" s="5" t="s">
        <v>23864</v>
      </c>
      <c r="B11775" s="6">
        <v>393.75</v>
      </c>
      <c r="C11775" s="6">
        <v>20.478950000000001</v>
      </c>
      <c r="D11775" s="6">
        <v>93</v>
      </c>
      <c r="E11775" s="6">
        <v>0</v>
      </c>
      <c r="F11775" s="6">
        <v>0</v>
      </c>
      <c r="G11775" s="6">
        <v>9</v>
      </c>
      <c r="H11775" s="6" t="s">
        <v>23865</v>
      </c>
      <c r="I11775" s="6">
        <v>526.6875</v>
      </c>
      <c r="J11775" s="2">
        <f t="shared" si="183"/>
        <v>43748.346396655092</v>
      </c>
    </row>
    <row r="11776" spans="1:10" x14ac:dyDescent="0.25">
      <c r="A11776" s="7" t="s">
        <v>23866</v>
      </c>
      <c r="B11776" s="8">
        <v>393.75</v>
      </c>
      <c r="C11776" s="8">
        <v>20.478950000000001</v>
      </c>
      <c r="D11776" s="8">
        <v>93</v>
      </c>
      <c r="E11776" s="8">
        <v>0</v>
      </c>
      <c r="F11776" s="8">
        <v>0</v>
      </c>
      <c r="G11776" s="8">
        <v>9</v>
      </c>
      <c r="H11776" s="8" t="s">
        <v>23867</v>
      </c>
      <c r="I11776" s="8">
        <v>526.6875</v>
      </c>
      <c r="J11776" s="3">
        <f t="shared" si="183"/>
        <v>43748.346480231477</v>
      </c>
    </row>
    <row r="11777" spans="1:10" x14ac:dyDescent="0.25">
      <c r="A11777" s="5" t="s">
        <v>23868</v>
      </c>
      <c r="B11777" s="6">
        <v>393.75</v>
      </c>
      <c r="C11777" s="6">
        <v>20.478950000000001</v>
      </c>
      <c r="D11777" s="6">
        <v>93</v>
      </c>
      <c r="E11777" s="6">
        <v>0</v>
      </c>
      <c r="F11777" s="6">
        <v>0</v>
      </c>
      <c r="G11777" s="6">
        <v>5</v>
      </c>
      <c r="H11777" s="6" t="s">
        <v>23869</v>
      </c>
      <c r="I11777" s="6">
        <v>526.6875</v>
      </c>
      <c r="J11777" s="2">
        <f t="shared" si="183"/>
        <v>43748.346575694442</v>
      </c>
    </row>
    <row r="11778" spans="1:10" x14ac:dyDescent="0.25">
      <c r="A11778" s="7" t="s">
        <v>23870</v>
      </c>
      <c r="B11778" s="8">
        <v>393.75</v>
      </c>
      <c r="C11778" s="8">
        <v>20.478950000000001</v>
      </c>
      <c r="D11778" s="8">
        <v>93</v>
      </c>
      <c r="E11778" s="8">
        <v>0</v>
      </c>
      <c r="F11778" s="8">
        <v>0</v>
      </c>
      <c r="G11778" s="8">
        <v>13</v>
      </c>
      <c r="H11778" s="8" t="s">
        <v>23871</v>
      </c>
      <c r="I11778" s="8">
        <v>526.5</v>
      </c>
      <c r="J11778" s="3">
        <f t="shared" ref="J11778:J11841" si="184">(H11778/86400000)+25569+(7/24)</f>
        <v>43748.346647118051</v>
      </c>
    </row>
    <row r="11779" spans="1:10" x14ac:dyDescent="0.25">
      <c r="A11779" s="5" t="s">
        <v>23872</v>
      </c>
      <c r="B11779" s="6">
        <v>393.75</v>
      </c>
      <c r="C11779" s="6">
        <v>20.478950000000001</v>
      </c>
      <c r="D11779" s="6">
        <v>94</v>
      </c>
      <c r="E11779" s="6">
        <v>0</v>
      </c>
      <c r="F11779" s="6">
        <v>0</v>
      </c>
      <c r="G11779" s="6">
        <v>5</v>
      </c>
      <c r="H11779" s="6" t="s">
        <v>23873</v>
      </c>
      <c r="I11779" s="6">
        <v>526.6875</v>
      </c>
      <c r="J11779" s="2">
        <f t="shared" si="184"/>
        <v>43748.346730567129</v>
      </c>
    </row>
    <row r="11780" spans="1:10" x14ac:dyDescent="0.25">
      <c r="A11780" s="7" t="s">
        <v>23874</v>
      </c>
      <c r="B11780" s="8">
        <v>393.75</v>
      </c>
      <c r="C11780" s="8">
        <v>20.478950000000001</v>
      </c>
      <c r="D11780" s="8">
        <v>94</v>
      </c>
      <c r="E11780" s="8">
        <v>0</v>
      </c>
      <c r="F11780" s="8">
        <v>0</v>
      </c>
      <c r="G11780" s="8">
        <v>10</v>
      </c>
      <c r="H11780" s="8" t="s">
        <v>23875</v>
      </c>
      <c r="I11780" s="8">
        <v>526.6875</v>
      </c>
      <c r="J11780" s="3">
        <f t="shared" si="184"/>
        <v>43748.34681412037</v>
      </c>
    </row>
    <row r="11781" spans="1:10" x14ac:dyDescent="0.25">
      <c r="A11781" s="5" t="s">
        <v>23876</v>
      </c>
      <c r="B11781" s="6">
        <v>393.75</v>
      </c>
      <c r="C11781" s="6">
        <v>20.426300000000001</v>
      </c>
      <c r="D11781" s="6">
        <v>94</v>
      </c>
      <c r="E11781" s="6">
        <v>0</v>
      </c>
      <c r="F11781" s="6">
        <v>0</v>
      </c>
      <c r="G11781" s="6">
        <v>7</v>
      </c>
      <c r="H11781" s="6" t="s">
        <v>23877</v>
      </c>
      <c r="I11781" s="6">
        <v>526.6875</v>
      </c>
      <c r="J11781" s="2">
        <f t="shared" si="184"/>
        <v>43748.346897268515</v>
      </c>
    </row>
    <row r="11782" spans="1:10" x14ac:dyDescent="0.25">
      <c r="A11782" s="7" t="s">
        <v>23878</v>
      </c>
      <c r="B11782" s="8">
        <v>393.75</v>
      </c>
      <c r="C11782" s="8">
        <v>20.426300000000001</v>
      </c>
      <c r="D11782" s="8">
        <v>94</v>
      </c>
      <c r="E11782" s="8">
        <v>0</v>
      </c>
      <c r="F11782" s="8">
        <v>0</v>
      </c>
      <c r="G11782" s="8">
        <v>11</v>
      </c>
      <c r="H11782" s="8" t="s">
        <v>23879</v>
      </c>
      <c r="I11782" s="8">
        <v>526.6875</v>
      </c>
      <c r="J11782" s="3">
        <f t="shared" si="184"/>
        <v>43748.346968877311</v>
      </c>
    </row>
    <row r="11783" spans="1:10" x14ac:dyDescent="0.25">
      <c r="A11783" s="5" t="s">
        <v>23880</v>
      </c>
      <c r="B11783" s="6">
        <v>412.5</v>
      </c>
      <c r="C11783" s="6">
        <v>20.478950000000001</v>
      </c>
      <c r="D11783" s="6">
        <v>94</v>
      </c>
      <c r="E11783" s="6">
        <v>0</v>
      </c>
      <c r="F11783" s="6">
        <v>0</v>
      </c>
      <c r="G11783" s="6">
        <v>2</v>
      </c>
      <c r="H11783" s="6" t="s">
        <v>23881</v>
      </c>
      <c r="I11783" s="6">
        <v>532.3125</v>
      </c>
      <c r="J11783" s="2">
        <f t="shared" si="184"/>
        <v>43748.347052777775</v>
      </c>
    </row>
    <row r="11784" spans="1:10" x14ac:dyDescent="0.25">
      <c r="A11784" s="7" t="s">
        <v>23882</v>
      </c>
      <c r="B11784" s="8">
        <v>393.75</v>
      </c>
      <c r="C11784" s="8">
        <v>20.478950000000001</v>
      </c>
      <c r="D11784" s="8">
        <v>94</v>
      </c>
      <c r="E11784" s="8">
        <v>0</v>
      </c>
      <c r="F11784" s="8">
        <v>0</v>
      </c>
      <c r="G11784" s="8">
        <v>12</v>
      </c>
      <c r="H11784" s="8" t="s">
        <v>23883</v>
      </c>
      <c r="I11784" s="8">
        <v>526.5</v>
      </c>
      <c r="J11784" s="3">
        <f t="shared" si="184"/>
        <v>43748.34713613426</v>
      </c>
    </row>
    <row r="11785" spans="1:10" x14ac:dyDescent="0.25">
      <c r="A11785" s="5" t="s">
        <v>23884</v>
      </c>
      <c r="B11785" s="6">
        <v>393.75</v>
      </c>
      <c r="C11785" s="6">
        <v>20.426300000000001</v>
      </c>
      <c r="D11785" s="6">
        <v>94</v>
      </c>
      <c r="E11785" s="6">
        <v>0</v>
      </c>
      <c r="F11785" s="6">
        <v>0</v>
      </c>
      <c r="G11785" s="6">
        <v>6</v>
      </c>
      <c r="H11785" s="6" t="s">
        <v>23885</v>
      </c>
      <c r="I11785" s="6">
        <v>526.6875</v>
      </c>
      <c r="J11785" s="2">
        <f t="shared" si="184"/>
        <v>43748.347219467592</v>
      </c>
    </row>
    <row r="11786" spans="1:10" x14ac:dyDescent="0.25">
      <c r="A11786" s="7" t="s">
        <v>23886</v>
      </c>
      <c r="B11786" s="8">
        <v>393.75</v>
      </c>
      <c r="C11786" s="8">
        <v>20.478950000000001</v>
      </c>
      <c r="D11786" s="8">
        <v>94</v>
      </c>
      <c r="E11786" s="8">
        <v>0</v>
      </c>
      <c r="F11786" s="8">
        <v>0</v>
      </c>
      <c r="G11786" s="8">
        <v>2</v>
      </c>
      <c r="H11786" s="8" t="s">
        <v>23887</v>
      </c>
      <c r="I11786" s="8">
        <v>526.6875</v>
      </c>
      <c r="J11786" s="3">
        <f t="shared" si="184"/>
        <v>43748.347291111109</v>
      </c>
    </row>
    <row r="11787" spans="1:10" x14ac:dyDescent="0.25">
      <c r="A11787" s="5" t="s">
        <v>23888</v>
      </c>
      <c r="B11787" s="6">
        <v>393.75</v>
      </c>
      <c r="C11787" s="6">
        <v>20.478950000000001</v>
      </c>
      <c r="D11787" s="6">
        <v>95</v>
      </c>
      <c r="E11787" s="6">
        <v>0</v>
      </c>
      <c r="F11787" s="6">
        <v>0</v>
      </c>
      <c r="G11787" s="6">
        <v>4</v>
      </c>
      <c r="H11787" s="6" t="s">
        <v>23889</v>
      </c>
      <c r="I11787" s="6">
        <v>526.6875</v>
      </c>
      <c r="J11787" s="2">
        <f t="shared" si="184"/>
        <v>43748.347374687502</v>
      </c>
    </row>
    <row r="11788" spans="1:10" x14ac:dyDescent="0.25">
      <c r="A11788" s="7" t="s">
        <v>23890</v>
      </c>
      <c r="B11788" s="8">
        <v>415.625</v>
      </c>
      <c r="C11788" s="8">
        <v>20.478950000000001</v>
      </c>
      <c r="D11788" s="8">
        <v>95</v>
      </c>
      <c r="E11788" s="8">
        <v>0</v>
      </c>
      <c r="F11788" s="8">
        <v>0</v>
      </c>
      <c r="G11788" s="8">
        <v>9</v>
      </c>
      <c r="H11788" s="8" t="s">
        <v>23891</v>
      </c>
      <c r="I11788" s="8">
        <v>533.625</v>
      </c>
      <c r="J11788" s="3">
        <f t="shared" si="184"/>
        <v>43748.347458159718</v>
      </c>
    </row>
    <row r="11789" spans="1:10" x14ac:dyDescent="0.25">
      <c r="A11789" s="5" t="s">
        <v>23892</v>
      </c>
      <c r="B11789" s="6">
        <v>393.75</v>
      </c>
      <c r="C11789" s="6">
        <v>20.426300000000001</v>
      </c>
      <c r="D11789" s="6">
        <v>95</v>
      </c>
      <c r="E11789" s="6">
        <v>0</v>
      </c>
      <c r="F11789" s="6">
        <v>0</v>
      </c>
      <c r="G11789" s="6">
        <v>2</v>
      </c>
      <c r="H11789" s="6" t="s">
        <v>23893</v>
      </c>
      <c r="I11789" s="6">
        <v>526.6875</v>
      </c>
      <c r="J11789" s="2">
        <f t="shared" si="184"/>
        <v>43748.347541678238</v>
      </c>
    </row>
    <row r="11790" spans="1:10" x14ac:dyDescent="0.25">
      <c r="A11790" s="7" t="s">
        <v>23894</v>
      </c>
      <c r="B11790" s="8">
        <v>393.75</v>
      </c>
      <c r="C11790" s="8">
        <v>20.478950000000001</v>
      </c>
      <c r="D11790" s="8">
        <v>95</v>
      </c>
      <c r="E11790" s="8">
        <v>0</v>
      </c>
      <c r="F11790" s="8">
        <v>0</v>
      </c>
      <c r="G11790" s="8">
        <v>11</v>
      </c>
      <c r="H11790" s="8" t="s">
        <v>23895</v>
      </c>
      <c r="I11790" s="8">
        <v>526.6875</v>
      </c>
      <c r="J11790" s="3">
        <f t="shared" si="184"/>
        <v>43748.347613101847</v>
      </c>
    </row>
    <row r="11791" spans="1:10" x14ac:dyDescent="0.25">
      <c r="A11791" s="5" t="s">
        <v>23896</v>
      </c>
      <c r="B11791" s="6">
        <v>409.375</v>
      </c>
      <c r="C11791" s="6">
        <v>20.478950000000001</v>
      </c>
      <c r="D11791" s="6">
        <v>95</v>
      </c>
      <c r="E11791" s="6">
        <v>0</v>
      </c>
      <c r="F11791" s="6">
        <v>0</v>
      </c>
      <c r="G11791" s="6">
        <v>6</v>
      </c>
      <c r="H11791" s="6" t="s">
        <v>23897</v>
      </c>
      <c r="I11791" s="6">
        <v>531</v>
      </c>
      <c r="J11791" s="2">
        <f t="shared" si="184"/>
        <v>43748.347684745364</v>
      </c>
    </row>
    <row r="11792" spans="1:10" x14ac:dyDescent="0.25">
      <c r="A11792" s="7" t="s">
        <v>23898</v>
      </c>
      <c r="B11792" s="8">
        <v>393.75</v>
      </c>
      <c r="C11792" s="8">
        <v>20.478950000000001</v>
      </c>
      <c r="D11792" s="8">
        <v>95</v>
      </c>
      <c r="E11792" s="8">
        <v>0</v>
      </c>
      <c r="F11792" s="8">
        <v>0</v>
      </c>
      <c r="G11792" s="8">
        <v>6</v>
      </c>
      <c r="H11792" s="8" t="s">
        <v>23899</v>
      </c>
      <c r="I11792" s="8">
        <v>526.6875</v>
      </c>
      <c r="J11792" s="3">
        <f t="shared" si="184"/>
        <v>43748.347768298605</v>
      </c>
    </row>
    <row r="11793" spans="1:10" x14ac:dyDescent="0.25">
      <c r="A11793" s="5" t="s">
        <v>23900</v>
      </c>
      <c r="B11793" s="6">
        <v>393.75</v>
      </c>
      <c r="C11793" s="6">
        <v>20.478950000000001</v>
      </c>
      <c r="D11793" s="6">
        <v>95</v>
      </c>
      <c r="E11793" s="6">
        <v>0</v>
      </c>
      <c r="F11793" s="6">
        <v>0</v>
      </c>
      <c r="G11793" s="6">
        <v>4</v>
      </c>
      <c r="H11793" s="6" t="s">
        <v>23901</v>
      </c>
      <c r="I11793" s="6">
        <v>526.6875</v>
      </c>
      <c r="J11793" s="2">
        <f t="shared" si="184"/>
        <v>43748.347839594906</v>
      </c>
    </row>
    <row r="11794" spans="1:10" x14ac:dyDescent="0.25">
      <c r="A11794" s="7" t="s">
        <v>23902</v>
      </c>
      <c r="B11794" s="8">
        <v>412.5</v>
      </c>
      <c r="C11794" s="8">
        <v>20.426300000000001</v>
      </c>
      <c r="D11794" s="8">
        <v>95</v>
      </c>
      <c r="E11794" s="8">
        <v>0</v>
      </c>
      <c r="F11794" s="8">
        <v>0</v>
      </c>
      <c r="G11794" s="8">
        <v>4</v>
      </c>
      <c r="H11794" s="8" t="s">
        <v>23903</v>
      </c>
      <c r="I11794" s="8">
        <v>532.5</v>
      </c>
      <c r="J11794" s="3">
        <f t="shared" si="184"/>
        <v>43748.347923171292</v>
      </c>
    </row>
    <row r="11795" spans="1:10" x14ac:dyDescent="0.25">
      <c r="A11795" s="5" t="s">
        <v>23904</v>
      </c>
      <c r="B11795" s="6">
        <v>393.75</v>
      </c>
      <c r="C11795" s="6">
        <v>20.478950000000001</v>
      </c>
      <c r="D11795" s="6">
        <v>95</v>
      </c>
      <c r="E11795" s="6">
        <v>0</v>
      </c>
      <c r="F11795" s="6">
        <v>0</v>
      </c>
      <c r="G11795" s="6">
        <v>10</v>
      </c>
      <c r="H11795" s="6" t="s">
        <v>23905</v>
      </c>
      <c r="I11795" s="6">
        <v>526.6875</v>
      </c>
      <c r="J11795" s="2">
        <f t="shared" si="184"/>
        <v>43748.348019803241</v>
      </c>
    </row>
    <row r="11796" spans="1:10" x14ac:dyDescent="0.25">
      <c r="A11796" s="7" t="s">
        <v>23906</v>
      </c>
      <c r="B11796" s="8">
        <v>393.75</v>
      </c>
      <c r="C11796" s="8">
        <v>20.478950000000001</v>
      </c>
      <c r="D11796" s="8">
        <v>94</v>
      </c>
      <c r="E11796" s="8">
        <v>0</v>
      </c>
      <c r="F11796" s="8">
        <v>0</v>
      </c>
      <c r="G11796" s="8">
        <v>7</v>
      </c>
      <c r="H11796" s="8" t="s">
        <v>23907</v>
      </c>
      <c r="I11796" s="8">
        <v>526.6875</v>
      </c>
      <c r="J11796" s="3">
        <f t="shared" si="184"/>
        <v>43748.348102129625</v>
      </c>
    </row>
    <row r="11797" spans="1:10" x14ac:dyDescent="0.25">
      <c r="A11797" s="5" t="s">
        <v>23908</v>
      </c>
      <c r="B11797" s="6">
        <v>393.75</v>
      </c>
      <c r="C11797" s="6">
        <v>20.478950000000001</v>
      </c>
      <c r="D11797" s="6">
        <v>94</v>
      </c>
      <c r="E11797" s="6">
        <v>0</v>
      </c>
      <c r="F11797" s="6">
        <v>0</v>
      </c>
      <c r="G11797" s="6">
        <v>6</v>
      </c>
      <c r="H11797" s="6" t="s">
        <v>23909</v>
      </c>
      <c r="I11797" s="6">
        <v>526.6875</v>
      </c>
      <c r="J11797" s="2">
        <f t="shared" si="184"/>
        <v>43748.348185462957</v>
      </c>
    </row>
    <row r="11798" spans="1:10" x14ac:dyDescent="0.25">
      <c r="A11798" s="7" t="s">
        <v>23910</v>
      </c>
      <c r="B11798" s="8">
        <v>393.75</v>
      </c>
      <c r="C11798" s="8">
        <v>20.478950000000001</v>
      </c>
      <c r="D11798" s="8">
        <v>94</v>
      </c>
      <c r="E11798" s="8">
        <v>0</v>
      </c>
      <c r="F11798" s="8">
        <v>0</v>
      </c>
      <c r="G11798" s="8">
        <v>2</v>
      </c>
      <c r="H11798" s="8" t="s">
        <v>23911</v>
      </c>
      <c r="I11798" s="8">
        <v>526.6875</v>
      </c>
      <c r="J11798" s="3">
        <f t="shared" si="184"/>
        <v>43748.348269004629</v>
      </c>
    </row>
    <row r="11799" spans="1:10" x14ac:dyDescent="0.25">
      <c r="A11799" s="5" t="s">
        <v>23912</v>
      </c>
      <c r="B11799" s="6">
        <v>393.75</v>
      </c>
      <c r="C11799" s="6">
        <v>20.478950000000001</v>
      </c>
      <c r="D11799" s="6">
        <v>95</v>
      </c>
      <c r="E11799" s="6">
        <v>0</v>
      </c>
      <c r="F11799" s="6">
        <v>0</v>
      </c>
      <c r="G11799" s="6">
        <v>5</v>
      </c>
      <c r="H11799" s="6" t="s">
        <v>23913</v>
      </c>
      <c r="I11799" s="6">
        <v>526.6875</v>
      </c>
      <c r="J11799" s="2">
        <f t="shared" si="184"/>
        <v>43748.348352569439</v>
      </c>
    </row>
    <row r="11800" spans="1:10" x14ac:dyDescent="0.25">
      <c r="A11800" s="7" t="s">
        <v>23914</v>
      </c>
      <c r="B11800" s="8">
        <v>393.75</v>
      </c>
      <c r="C11800" s="8">
        <v>20.478950000000001</v>
      </c>
      <c r="D11800" s="8">
        <v>95</v>
      </c>
      <c r="E11800" s="8">
        <v>0</v>
      </c>
      <c r="F11800" s="8">
        <v>0</v>
      </c>
      <c r="G11800" s="8">
        <v>3</v>
      </c>
      <c r="H11800" s="8" t="s">
        <v>23915</v>
      </c>
      <c r="I11800" s="8">
        <v>526.6875</v>
      </c>
      <c r="J11800" s="3">
        <f t="shared" si="184"/>
        <v>43748.34843604167</v>
      </c>
    </row>
    <row r="11801" spans="1:10" x14ac:dyDescent="0.25">
      <c r="A11801" s="5" t="s">
        <v>23916</v>
      </c>
      <c r="B11801" s="6">
        <v>393.75</v>
      </c>
      <c r="C11801" s="6">
        <v>20.478950000000001</v>
      </c>
      <c r="D11801" s="6">
        <v>94</v>
      </c>
      <c r="E11801" s="6">
        <v>0</v>
      </c>
      <c r="F11801" s="6">
        <v>0</v>
      </c>
      <c r="G11801" s="6">
        <v>8</v>
      </c>
      <c r="H11801" s="6" t="s">
        <v>23917</v>
      </c>
      <c r="I11801" s="6">
        <v>526.6875</v>
      </c>
      <c r="J11801" s="2">
        <f t="shared" si="184"/>
        <v>43748.348519490733</v>
      </c>
    </row>
    <row r="11802" spans="1:10" x14ac:dyDescent="0.25">
      <c r="A11802" s="7" t="s">
        <v>23918</v>
      </c>
      <c r="B11802" s="8">
        <v>393.75</v>
      </c>
      <c r="C11802" s="8">
        <v>20.478950000000001</v>
      </c>
      <c r="D11802" s="8">
        <v>95</v>
      </c>
      <c r="E11802" s="8">
        <v>0</v>
      </c>
      <c r="F11802" s="8">
        <v>0</v>
      </c>
      <c r="G11802" s="8">
        <v>7</v>
      </c>
      <c r="H11802" s="8" t="s">
        <v>23919</v>
      </c>
      <c r="I11802" s="8">
        <v>526.6875</v>
      </c>
      <c r="J11802" s="3">
        <f t="shared" si="184"/>
        <v>43748.348602928243</v>
      </c>
    </row>
    <row r="11803" spans="1:10" x14ac:dyDescent="0.25">
      <c r="A11803" s="5" t="s">
        <v>23920</v>
      </c>
      <c r="B11803" s="6">
        <v>393.75</v>
      </c>
      <c r="C11803" s="6">
        <v>20.478950000000001</v>
      </c>
      <c r="D11803" s="6">
        <v>95</v>
      </c>
      <c r="E11803" s="6">
        <v>0</v>
      </c>
      <c r="F11803" s="6">
        <v>0</v>
      </c>
      <c r="G11803" s="6">
        <v>12</v>
      </c>
      <c r="H11803" s="6" t="s">
        <v>23921</v>
      </c>
      <c r="I11803" s="6">
        <v>526.6875</v>
      </c>
      <c r="J11803" s="2">
        <f t="shared" si="184"/>
        <v>43748.348688773149</v>
      </c>
    </row>
    <row r="11804" spans="1:10" x14ac:dyDescent="0.25">
      <c r="A11804" s="7" t="s">
        <v>23922</v>
      </c>
      <c r="B11804" s="8">
        <v>393.75</v>
      </c>
      <c r="C11804" s="8">
        <v>20.478950000000001</v>
      </c>
      <c r="D11804" s="8">
        <v>95</v>
      </c>
      <c r="E11804" s="8">
        <v>0</v>
      </c>
      <c r="F11804" s="8">
        <v>0</v>
      </c>
      <c r="G11804" s="8">
        <v>13</v>
      </c>
      <c r="H11804" s="8" t="s">
        <v>23923</v>
      </c>
      <c r="I11804" s="8">
        <v>526.5</v>
      </c>
      <c r="J11804" s="3">
        <f t="shared" si="184"/>
        <v>43748.348769942131</v>
      </c>
    </row>
    <row r="11805" spans="1:10" x14ac:dyDescent="0.25">
      <c r="A11805" s="5" t="s">
        <v>23924</v>
      </c>
      <c r="B11805" s="6">
        <v>415.625</v>
      </c>
      <c r="C11805" s="6">
        <v>20.478950000000001</v>
      </c>
      <c r="D11805" s="6">
        <v>95</v>
      </c>
      <c r="E11805" s="6">
        <v>0</v>
      </c>
      <c r="F11805" s="6">
        <v>0</v>
      </c>
      <c r="G11805" s="6">
        <v>6</v>
      </c>
      <c r="H11805" s="6" t="s">
        <v>23925</v>
      </c>
      <c r="I11805" s="6">
        <v>533.25</v>
      </c>
      <c r="J11805" s="2">
        <f t="shared" si="184"/>
        <v>43748.348853634256</v>
      </c>
    </row>
    <row r="11806" spans="1:10" x14ac:dyDescent="0.25">
      <c r="A11806" s="7" t="s">
        <v>23926</v>
      </c>
      <c r="B11806" s="8">
        <v>393.75</v>
      </c>
      <c r="C11806" s="8">
        <v>20.426300000000001</v>
      </c>
      <c r="D11806" s="8">
        <v>96</v>
      </c>
      <c r="E11806" s="8">
        <v>0</v>
      </c>
      <c r="F11806" s="8">
        <v>0</v>
      </c>
      <c r="G11806" s="8">
        <v>6</v>
      </c>
      <c r="H11806" s="8" t="s">
        <v>23927</v>
      </c>
      <c r="I11806" s="8">
        <v>526.6875</v>
      </c>
      <c r="J11806" s="3">
        <f t="shared" si="184"/>
        <v>43748.348925034719</v>
      </c>
    </row>
    <row r="11807" spans="1:10" x14ac:dyDescent="0.25">
      <c r="A11807" s="5" t="s">
        <v>23928</v>
      </c>
      <c r="B11807" s="6">
        <v>393.75</v>
      </c>
      <c r="C11807" s="6">
        <v>20.478950000000001</v>
      </c>
      <c r="D11807" s="6">
        <v>96</v>
      </c>
      <c r="E11807" s="6">
        <v>0</v>
      </c>
      <c r="F11807" s="6">
        <v>0</v>
      </c>
      <c r="G11807" s="6">
        <v>4</v>
      </c>
      <c r="H11807" s="6" t="s">
        <v>23929</v>
      </c>
      <c r="I11807" s="6">
        <v>526.6875</v>
      </c>
      <c r="J11807" s="2">
        <f t="shared" si="184"/>
        <v>43748.349008368052</v>
      </c>
    </row>
    <row r="11808" spans="1:10" x14ac:dyDescent="0.25">
      <c r="A11808" s="7" t="s">
        <v>23930</v>
      </c>
      <c r="B11808" s="8">
        <v>393.75</v>
      </c>
      <c r="C11808" s="8">
        <v>20.478950000000001</v>
      </c>
      <c r="D11808" s="8">
        <v>96</v>
      </c>
      <c r="E11808" s="8">
        <v>0</v>
      </c>
      <c r="F11808" s="8">
        <v>0</v>
      </c>
      <c r="G11808" s="8">
        <v>8</v>
      </c>
      <c r="H11808" s="8" t="s">
        <v>23931</v>
      </c>
      <c r="I11808" s="8">
        <v>526.6875</v>
      </c>
      <c r="J11808" s="3">
        <f t="shared" si="184"/>
        <v>43748.34909196759</v>
      </c>
    </row>
    <row r="11809" spans="1:10" x14ac:dyDescent="0.25">
      <c r="A11809" s="5" t="s">
        <v>23932</v>
      </c>
      <c r="B11809" s="6">
        <v>393.75</v>
      </c>
      <c r="C11809" s="6">
        <v>20.478950000000001</v>
      </c>
      <c r="D11809" s="6">
        <v>95</v>
      </c>
      <c r="E11809" s="6">
        <v>0</v>
      </c>
      <c r="F11809" s="6">
        <v>0</v>
      </c>
      <c r="G11809" s="6">
        <v>11</v>
      </c>
      <c r="H11809" s="6" t="s">
        <v>23933</v>
      </c>
      <c r="I11809" s="6">
        <v>526.6875</v>
      </c>
      <c r="J11809" s="2">
        <f t="shared" si="184"/>
        <v>43748.349175046293</v>
      </c>
    </row>
    <row r="11810" spans="1:10" x14ac:dyDescent="0.25">
      <c r="A11810" s="7" t="s">
        <v>23934</v>
      </c>
      <c r="B11810" s="8">
        <v>393.75</v>
      </c>
      <c r="C11810" s="8">
        <v>20.478950000000001</v>
      </c>
      <c r="D11810" s="8">
        <v>95</v>
      </c>
      <c r="E11810" s="8">
        <v>0</v>
      </c>
      <c r="F11810" s="8">
        <v>0</v>
      </c>
      <c r="G11810" s="8">
        <v>2</v>
      </c>
      <c r="H11810" s="8" t="s">
        <v>23935</v>
      </c>
      <c r="I11810" s="8">
        <v>526.6875</v>
      </c>
      <c r="J11810" s="3">
        <f t="shared" si="184"/>
        <v>43748.349258946757</v>
      </c>
    </row>
    <row r="11811" spans="1:10" x14ac:dyDescent="0.25">
      <c r="A11811" s="5" t="s">
        <v>23936</v>
      </c>
      <c r="B11811" s="6">
        <v>393.75</v>
      </c>
      <c r="C11811" s="6">
        <v>20.478950000000001</v>
      </c>
      <c r="D11811" s="6">
        <v>90</v>
      </c>
      <c r="E11811" s="6">
        <v>0</v>
      </c>
      <c r="F11811" s="6">
        <v>0</v>
      </c>
      <c r="G11811" s="6">
        <v>13</v>
      </c>
      <c r="H11811" s="6" t="s">
        <v>23937</v>
      </c>
      <c r="I11811" s="6">
        <v>526.6875</v>
      </c>
      <c r="J11811" s="2">
        <f t="shared" si="184"/>
        <v>43748.349342731475</v>
      </c>
    </row>
    <row r="11812" spans="1:10" x14ac:dyDescent="0.25">
      <c r="A11812" s="7" t="s">
        <v>23938</v>
      </c>
      <c r="B11812" s="8">
        <v>393.75</v>
      </c>
      <c r="C11812" s="8">
        <v>20.426300000000001</v>
      </c>
      <c r="D11812" s="8">
        <v>92</v>
      </c>
      <c r="E11812" s="8">
        <v>0</v>
      </c>
      <c r="F11812" s="8">
        <v>0</v>
      </c>
      <c r="G11812" s="8">
        <v>5</v>
      </c>
      <c r="H11812" s="8" t="s">
        <v>23939</v>
      </c>
      <c r="I11812" s="8">
        <v>526.5</v>
      </c>
      <c r="J11812" s="3">
        <f t="shared" si="184"/>
        <v>43748.349413935182</v>
      </c>
    </row>
    <row r="11813" spans="1:10" x14ac:dyDescent="0.25">
      <c r="A11813" s="5" t="s">
        <v>23940</v>
      </c>
      <c r="B11813" s="6">
        <v>393.75</v>
      </c>
      <c r="C11813" s="6">
        <v>20.478950000000001</v>
      </c>
      <c r="D11813" s="6">
        <v>94</v>
      </c>
      <c r="E11813" s="6">
        <v>0</v>
      </c>
      <c r="F11813" s="6">
        <v>0</v>
      </c>
      <c r="G11813" s="6">
        <v>5</v>
      </c>
      <c r="H11813" s="6" t="s">
        <v>23941</v>
      </c>
      <c r="I11813" s="6">
        <v>526.6875</v>
      </c>
      <c r="J11813" s="2">
        <f t="shared" si="184"/>
        <v>43748.34949729166</v>
      </c>
    </row>
    <row r="11814" spans="1:10" x14ac:dyDescent="0.25">
      <c r="A11814" s="7" t="s">
        <v>23942</v>
      </c>
      <c r="B11814" s="8">
        <v>393.75</v>
      </c>
      <c r="C11814" s="8">
        <v>20.478950000000001</v>
      </c>
      <c r="D11814" s="8">
        <v>96</v>
      </c>
      <c r="E11814" s="8">
        <v>0</v>
      </c>
      <c r="F11814" s="8">
        <v>0</v>
      </c>
      <c r="G11814" s="8">
        <v>6</v>
      </c>
      <c r="H11814" s="8" t="s">
        <v>23943</v>
      </c>
      <c r="I11814" s="8">
        <v>526.6875</v>
      </c>
      <c r="J11814" s="3">
        <f t="shared" si="184"/>
        <v>43748.349588622681</v>
      </c>
    </row>
    <row r="11815" spans="1:10" x14ac:dyDescent="0.25">
      <c r="A11815" s="5" t="s">
        <v>23944</v>
      </c>
      <c r="B11815" s="6">
        <v>412.5</v>
      </c>
      <c r="C11815" s="6">
        <v>20.478950000000001</v>
      </c>
      <c r="D11815" s="6">
        <v>96</v>
      </c>
      <c r="E11815" s="6">
        <v>0</v>
      </c>
      <c r="F11815" s="6">
        <v>0</v>
      </c>
      <c r="G11815" s="6">
        <v>4</v>
      </c>
      <c r="H11815" s="6" t="s">
        <v>23945</v>
      </c>
      <c r="I11815" s="6">
        <v>532.6875</v>
      </c>
      <c r="J11815" s="2">
        <f t="shared" si="184"/>
        <v>43748.34966403935</v>
      </c>
    </row>
    <row r="11816" spans="1:10" x14ac:dyDescent="0.25">
      <c r="A11816" s="7" t="s">
        <v>23946</v>
      </c>
      <c r="B11816" s="8">
        <v>393.75</v>
      </c>
      <c r="C11816" s="8">
        <v>20.478950000000001</v>
      </c>
      <c r="D11816" s="8">
        <v>96</v>
      </c>
      <c r="E11816" s="8">
        <v>0</v>
      </c>
      <c r="F11816" s="8">
        <v>0</v>
      </c>
      <c r="G11816" s="8">
        <v>8</v>
      </c>
      <c r="H11816" s="8" t="s">
        <v>23947</v>
      </c>
      <c r="I11816" s="8">
        <v>526.6875</v>
      </c>
      <c r="J11816" s="3">
        <f t="shared" si="184"/>
        <v>43748.349735694443</v>
      </c>
    </row>
    <row r="11817" spans="1:10" x14ac:dyDescent="0.25">
      <c r="A11817" s="5" t="s">
        <v>23948</v>
      </c>
      <c r="B11817" s="6">
        <v>393.75</v>
      </c>
      <c r="C11817" s="6">
        <v>20.478950000000001</v>
      </c>
      <c r="D11817" s="6">
        <v>95</v>
      </c>
      <c r="E11817" s="6">
        <v>0</v>
      </c>
      <c r="F11817" s="6">
        <v>0</v>
      </c>
      <c r="G11817" s="6">
        <v>6</v>
      </c>
      <c r="H11817" s="6" t="s">
        <v>23949</v>
      </c>
      <c r="I11817" s="6">
        <v>526.5</v>
      </c>
      <c r="J11817" s="2">
        <f t="shared" si="184"/>
        <v>43748.349819490737</v>
      </c>
    </row>
    <row r="11818" spans="1:10" x14ac:dyDescent="0.25">
      <c r="A11818" s="7" t="s">
        <v>23950</v>
      </c>
      <c r="B11818" s="8">
        <v>412.5</v>
      </c>
      <c r="C11818" s="8">
        <v>20.478950000000001</v>
      </c>
      <c r="D11818" s="8">
        <v>95</v>
      </c>
      <c r="E11818" s="8">
        <v>0</v>
      </c>
      <c r="F11818" s="8">
        <v>0</v>
      </c>
      <c r="G11818" s="8">
        <v>8</v>
      </c>
      <c r="H11818" s="8" t="s">
        <v>23951</v>
      </c>
      <c r="I11818" s="8">
        <v>532.3125</v>
      </c>
      <c r="J11818" s="3">
        <f t="shared" si="184"/>
        <v>43748.349902824069</v>
      </c>
    </row>
    <row r="11819" spans="1:10" x14ac:dyDescent="0.25">
      <c r="A11819" s="5" t="s">
        <v>23952</v>
      </c>
      <c r="B11819" s="6">
        <v>393.75</v>
      </c>
      <c r="C11819" s="6">
        <v>20.478950000000001</v>
      </c>
      <c r="D11819" s="6">
        <v>96</v>
      </c>
      <c r="E11819" s="6">
        <v>0</v>
      </c>
      <c r="F11819" s="6">
        <v>0</v>
      </c>
      <c r="G11819" s="6">
        <v>0</v>
      </c>
      <c r="H11819" s="6" t="s">
        <v>23953</v>
      </c>
      <c r="I11819" s="6">
        <v>526.6875</v>
      </c>
      <c r="J11819" s="2">
        <f t="shared" si="184"/>
        <v>43748.349986157402</v>
      </c>
    </row>
    <row r="11820" spans="1:10" x14ac:dyDescent="0.25">
      <c r="A11820" s="7" t="s">
        <v>23954</v>
      </c>
      <c r="B11820" s="8">
        <v>393.75</v>
      </c>
      <c r="C11820" s="8">
        <v>20.478950000000001</v>
      </c>
      <c r="D11820" s="8">
        <v>96</v>
      </c>
      <c r="E11820" s="8">
        <v>0</v>
      </c>
      <c r="F11820" s="8">
        <v>0</v>
      </c>
      <c r="G11820" s="8">
        <v>10</v>
      </c>
      <c r="H11820" s="8" t="s">
        <v>23955</v>
      </c>
      <c r="I11820" s="8">
        <v>526.6875</v>
      </c>
      <c r="J11820" s="3">
        <f t="shared" si="184"/>
        <v>43748.350057777774</v>
      </c>
    </row>
    <row r="11821" spans="1:10" x14ac:dyDescent="0.25">
      <c r="A11821" s="5" t="s">
        <v>23956</v>
      </c>
      <c r="B11821" s="6">
        <v>393.75</v>
      </c>
      <c r="C11821" s="6">
        <v>20.478950000000001</v>
      </c>
      <c r="D11821" s="6">
        <v>93</v>
      </c>
      <c r="E11821" s="6">
        <v>0</v>
      </c>
      <c r="F11821" s="6">
        <v>0</v>
      </c>
      <c r="G11821" s="6">
        <v>8</v>
      </c>
      <c r="H11821" s="6" t="s">
        <v>23957</v>
      </c>
      <c r="I11821" s="6">
        <v>526.5</v>
      </c>
      <c r="J11821" s="2">
        <f t="shared" si="184"/>
        <v>43748.350152928237</v>
      </c>
    </row>
    <row r="11822" spans="1:10" x14ac:dyDescent="0.25">
      <c r="A11822" s="7" t="s">
        <v>23958</v>
      </c>
      <c r="B11822" s="8">
        <v>393.75</v>
      </c>
      <c r="C11822" s="8">
        <v>20.478950000000001</v>
      </c>
      <c r="D11822" s="8">
        <v>93</v>
      </c>
      <c r="E11822" s="8">
        <v>0</v>
      </c>
      <c r="F11822" s="8">
        <v>0</v>
      </c>
      <c r="G11822" s="8">
        <v>6</v>
      </c>
      <c r="H11822" s="8" t="s">
        <v>23959</v>
      </c>
      <c r="I11822" s="8">
        <v>526.6875</v>
      </c>
      <c r="J11822" s="3">
        <f t="shared" si="184"/>
        <v>43748.350224803238</v>
      </c>
    </row>
    <row r="11823" spans="1:10" x14ac:dyDescent="0.25">
      <c r="A11823" s="5" t="s">
        <v>23960</v>
      </c>
      <c r="B11823" s="6">
        <v>412.5</v>
      </c>
      <c r="C11823" s="6">
        <v>20.478950000000001</v>
      </c>
      <c r="D11823" s="6">
        <v>93</v>
      </c>
      <c r="E11823" s="6">
        <v>0</v>
      </c>
      <c r="F11823" s="6">
        <v>0</v>
      </c>
      <c r="G11823" s="6">
        <v>5</v>
      </c>
      <c r="H11823" s="6" t="s">
        <v>23961</v>
      </c>
      <c r="I11823" s="6">
        <v>532.3125</v>
      </c>
      <c r="J11823" s="2">
        <f t="shared" si="184"/>
        <v>43748.350308379631</v>
      </c>
    </row>
    <row r="11824" spans="1:10" x14ac:dyDescent="0.25">
      <c r="A11824" s="7" t="s">
        <v>23962</v>
      </c>
      <c r="B11824" s="8">
        <v>396.875</v>
      </c>
      <c r="C11824" s="8">
        <v>20.478950000000001</v>
      </c>
      <c r="D11824" s="8">
        <v>93</v>
      </c>
      <c r="E11824" s="8">
        <v>0</v>
      </c>
      <c r="F11824" s="8">
        <v>0</v>
      </c>
      <c r="G11824" s="8">
        <v>8</v>
      </c>
      <c r="H11824" s="8" t="s">
        <v>23963</v>
      </c>
      <c r="I11824" s="8">
        <v>527.4375</v>
      </c>
      <c r="J11824" s="3">
        <f t="shared" si="184"/>
        <v>43748.350391828702</v>
      </c>
    </row>
    <row r="11825" spans="1:10" x14ac:dyDescent="0.25">
      <c r="A11825" s="5" t="s">
        <v>23964</v>
      </c>
      <c r="B11825" s="6">
        <v>393.75</v>
      </c>
      <c r="C11825" s="6">
        <v>20.478950000000001</v>
      </c>
      <c r="D11825" s="6">
        <v>93</v>
      </c>
      <c r="E11825" s="6">
        <v>0</v>
      </c>
      <c r="F11825" s="6">
        <v>0</v>
      </c>
      <c r="G11825" s="6">
        <v>10</v>
      </c>
      <c r="H11825" s="6" t="s">
        <v>23965</v>
      </c>
      <c r="I11825" s="6">
        <v>526.6875</v>
      </c>
      <c r="J11825" s="2">
        <f t="shared" si="184"/>
        <v>43748.350475023144</v>
      </c>
    </row>
    <row r="11826" spans="1:10" x14ac:dyDescent="0.25">
      <c r="A11826" s="7" t="s">
        <v>23966</v>
      </c>
      <c r="B11826" s="8">
        <v>393.75</v>
      </c>
      <c r="C11826" s="8">
        <v>20.478950000000001</v>
      </c>
      <c r="D11826" s="8">
        <v>93</v>
      </c>
      <c r="E11826" s="8">
        <v>0</v>
      </c>
      <c r="F11826" s="8">
        <v>0</v>
      </c>
      <c r="G11826" s="8">
        <v>19</v>
      </c>
      <c r="H11826" s="8" t="s">
        <v>23967</v>
      </c>
      <c r="I11826" s="8">
        <v>526.6875</v>
      </c>
      <c r="J11826" s="3">
        <f t="shared" si="184"/>
        <v>43748.350546678237</v>
      </c>
    </row>
    <row r="11827" spans="1:10" x14ac:dyDescent="0.25">
      <c r="A11827" s="5" t="s">
        <v>23968</v>
      </c>
      <c r="B11827" s="6">
        <v>393.75</v>
      </c>
      <c r="C11827" s="6">
        <v>20.478950000000001</v>
      </c>
      <c r="D11827" s="6">
        <v>93</v>
      </c>
      <c r="E11827" s="6">
        <v>0</v>
      </c>
      <c r="F11827" s="6">
        <v>0</v>
      </c>
      <c r="G11827" s="6">
        <v>10</v>
      </c>
      <c r="H11827" s="6" t="s">
        <v>23969</v>
      </c>
      <c r="I11827" s="6">
        <v>526.6875</v>
      </c>
      <c r="J11827" s="2">
        <f t="shared" si="184"/>
        <v>43748.350630370369</v>
      </c>
    </row>
    <row r="11828" spans="1:10" x14ac:dyDescent="0.25">
      <c r="A11828" s="7" t="s">
        <v>23970</v>
      </c>
      <c r="B11828" s="8">
        <v>431.25</v>
      </c>
      <c r="C11828" s="8">
        <v>20.478950000000001</v>
      </c>
      <c r="D11828" s="8">
        <v>93</v>
      </c>
      <c r="E11828" s="8">
        <v>0</v>
      </c>
      <c r="F11828" s="8">
        <v>0</v>
      </c>
      <c r="G11828" s="8">
        <v>4</v>
      </c>
      <c r="H11828" s="8" t="s">
        <v>23971</v>
      </c>
      <c r="I11828" s="8">
        <v>538.875</v>
      </c>
      <c r="J11828" s="3">
        <f t="shared" si="184"/>
        <v>43748.350713831016</v>
      </c>
    </row>
    <row r="11829" spans="1:10" x14ac:dyDescent="0.25">
      <c r="A11829" s="5" t="s">
        <v>23972</v>
      </c>
      <c r="B11829" s="6">
        <v>393.75</v>
      </c>
      <c r="C11829" s="6">
        <v>20.478950000000001</v>
      </c>
      <c r="D11829" s="6">
        <v>94</v>
      </c>
      <c r="E11829" s="6">
        <v>0</v>
      </c>
      <c r="F11829" s="6">
        <v>0</v>
      </c>
      <c r="G11829" s="6">
        <v>22</v>
      </c>
      <c r="H11829" s="6" t="s">
        <v>23973</v>
      </c>
      <c r="I11829" s="6">
        <v>526.6875</v>
      </c>
      <c r="J11829" s="2">
        <f t="shared" si="184"/>
        <v>43748.350809178235</v>
      </c>
    </row>
    <row r="11830" spans="1:10" x14ac:dyDescent="0.25">
      <c r="A11830" s="7" t="s">
        <v>23974</v>
      </c>
      <c r="B11830" s="8">
        <v>412.5</v>
      </c>
      <c r="C11830" s="8">
        <v>20.478950000000001</v>
      </c>
      <c r="D11830" s="8">
        <v>92</v>
      </c>
      <c r="E11830" s="8">
        <v>0</v>
      </c>
      <c r="F11830" s="8">
        <v>0</v>
      </c>
      <c r="G11830" s="8">
        <v>6</v>
      </c>
      <c r="H11830" s="8" t="s">
        <v>23975</v>
      </c>
      <c r="I11830" s="8">
        <v>532.5</v>
      </c>
      <c r="J11830" s="3">
        <f t="shared" si="184"/>
        <v>43748.350894594907</v>
      </c>
    </row>
    <row r="11831" spans="1:10" x14ac:dyDescent="0.25">
      <c r="A11831" s="5" t="s">
        <v>23976</v>
      </c>
      <c r="B11831" s="6">
        <v>393.75</v>
      </c>
      <c r="C11831" s="6">
        <v>20.478950000000001</v>
      </c>
      <c r="D11831" s="6">
        <v>92</v>
      </c>
      <c r="E11831" s="6">
        <v>0</v>
      </c>
      <c r="F11831" s="6">
        <v>0</v>
      </c>
      <c r="G11831" s="6">
        <v>10</v>
      </c>
      <c r="H11831" s="6" t="s">
        <v>23977</v>
      </c>
      <c r="I11831" s="6">
        <v>526.6875</v>
      </c>
      <c r="J11831" s="2">
        <f t="shared" si="184"/>
        <v>43748.350976307869</v>
      </c>
    </row>
    <row r="11832" spans="1:10" x14ac:dyDescent="0.25">
      <c r="A11832" s="7" t="s">
        <v>23978</v>
      </c>
      <c r="B11832" s="8">
        <v>393.75</v>
      </c>
      <c r="C11832" s="8">
        <v>20.478950000000001</v>
      </c>
      <c r="D11832" s="8">
        <v>91</v>
      </c>
      <c r="E11832" s="8">
        <v>0</v>
      </c>
      <c r="F11832" s="8">
        <v>0</v>
      </c>
      <c r="G11832" s="8">
        <v>10</v>
      </c>
      <c r="H11832" s="8" t="s">
        <v>23979</v>
      </c>
      <c r="I11832" s="8">
        <v>526.5</v>
      </c>
      <c r="J11832" s="3">
        <f t="shared" si="184"/>
        <v>43748.351059918983</v>
      </c>
    </row>
    <row r="11833" spans="1:10" x14ac:dyDescent="0.25">
      <c r="A11833" s="5" t="s">
        <v>23980</v>
      </c>
      <c r="B11833" s="6">
        <v>393.75</v>
      </c>
      <c r="C11833" s="6">
        <v>20.478950000000001</v>
      </c>
      <c r="D11833" s="6">
        <v>91</v>
      </c>
      <c r="E11833" s="6">
        <v>0</v>
      </c>
      <c r="F11833" s="6">
        <v>0</v>
      </c>
      <c r="G11833" s="6">
        <v>15</v>
      </c>
      <c r="H11833" s="6" t="s">
        <v>23981</v>
      </c>
      <c r="I11833" s="6">
        <v>526.6875</v>
      </c>
      <c r="J11833" s="2">
        <f t="shared" si="184"/>
        <v>43748.35114309028</v>
      </c>
    </row>
    <row r="11834" spans="1:10" x14ac:dyDescent="0.25">
      <c r="A11834" s="7" t="s">
        <v>23982</v>
      </c>
      <c r="B11834" s="8">
        <v>393.75</v>
      </c>
      <c r="C11834" s="8">
        <v>20.478950000000001</v>
      </c>
      <c r="D11834" s="8">
        <v>90</v>
      </c>
      <c r="E11834" s="8">
        <v>0</v>
      </c>
      <c r="F11834" s="8">
        <v>0</v>
      </c>
      <c r="G11834" s="8">
        <v>11</v>
      </c>
      <c r="H11834" s="8" t="s">
        <v>23983</v>
      </c>
      <c r="I11834" s="8">
        <v>526.6875</v>
      </c>
      <c r="J11834" s="3">
        <f t="shared" si="184"/>
        <v>43748.351226539351</v>
      </c>
    </row>
    <row r="11835" spans="1:10" x14ac:dyDescent="0.25">
      <c r="A11835" s="5" t="s">
        <v>23984</v>
      </c>
      <c r="B11835" s="6">
        <v>393.75</v>
      </c>
      <c r="C11835" s="6">
        <v>20.478950000000001</v>
      </c>
      <c r="D11835" s="6">
        <v>90</v>
      </c>
      <c r="E11835" s="6">
        <v>0</v>
      </c>
      <c r="F11835" s="6">
        <v>0</v>
      </c>
      <c r="G11835" s="6">
        <v>4</v>
      </c>
      <c r="H11835" s="6" t="s">
        <v>23985</v>
      </c>
      <c r="I11835" s="6">
        <v>526.6875</v>
      </c>
      <c r="J11835" s="2">
        <f t="shared" si="184"/>
        <v>43748.351310104168</v>
      </c>
    </row>
    <row r="11836" spans="1:10" x14ac:dyDescent="0.25">
      <c r="A11836" s="7" t="s">
        <v>23986</v>
      </c>
      <c r="B11836" s="8">
        <v>393.75</v>
      </c>
      <c r="C11836" s="8">
        <v>20.478950000000001</v>
      </c>
      <c r="D11836" s="8">
        <v>89</v>
      </c>
      <c r="E11836" s="8">
        <v>0</v>
      </c>
      <c r="F11836" s="8">
        <v>0</v>
      </c>
      <c r="G11836" s="8">
        <v>4</v>
      </c>
      <c r="H11836" s="8" t="s">
        <v>23987</v>
      </c>
      <c r="I11836" s="8">
        <v>526.6875</v>
      </c>
      <c r="J11836" s="3">
        <f t="shared" si="184"/>
        <v>43748.35139358796</v>
      </c>
    </row>
    <row r="11837" spans="1:10" x14ac:dyDescent="0.25">
      <c r="A11837" s="5" t="s">
        <v>23988</v>
      </c>
      <c r="B11837" s="6">
        <v>393.75</v>
      </c>
      <c r="C11837" s="6">
        <v>20.478950000000001</v>
      </c>
      <c r="D11837" s="6">
        <v>89</v>
      </c>
      <c r="E11837" s="6">
        <v>0</v>
      </c>
      <c r="F11837" s="6">
        <v>0</v>
      </c>
      <c r="G11837" s="6">
        <v>5</v>
      </c>
      <c r="H11837" s="6" t="s">
        <v>23989</v>
      </c>
      <c r="I11837" s="6">
        <v>526.6875</v>
      </c>
      <c r="J11837" s="2">
        <f t="shared" si="184"/>
        <v>43748.351477013886</v>
      </c>
    </row>
    <row r="11838" spans="1:10" x14ac:dyDescent="0.25">
      <c r="A11838" s="7" t="s">
        <v>23990</v>
      </c>
      <c r="B11838" s="8">
        <v>393.75</v>
      </c>
      <c r="C11838" s="8">
        <v>20.478950000000001</v>
      </c>
      <c r="D11838" s="8">
        <v>89</v>
      </c>
      <c r="E11838" s="8">
        <v>0</v>
      </c>
      <c r="F11838" s="8">
        <v>0</v>
      </c>
      <c r="G11838" s="8">
        <v>10</v>
      </c>
      <c r="H11838" s="8" t="s">
        <v>23991</v>
      </c>
      <c r="I11838" s="8">
        <v>526.6875</v>
      </c>
      <c r="J11838" s="3">
        <f t="shared" si="184"/>
        <v>43748.35156023148</v>
      </c>
    </row>
    <row r="11839" spans="1:10" x14ac:dyDescent="0.25">
      <c r="A11839" s="5" t="s">
        <v>23992</v>
      </c>
      <c r="B11839" s="6">
        <v>393.75</v>
      </c>
      <c r="C11839" s="6">
        <v>20.426300000000001</v>
      </c>
      <c r="D11839" s="6">
        <v>89</v>
      </c>
      <c r="E11839" s="6">
        <v>0</v>
      </c>
      <c r="F11839" s="6">
        <v>0</v>
      </c>
      <c r="G11839" s="6">
        <v>0</v>
      </c>
      <c r="H11839" s="6" t="s">
        <v>23993</v>
      </c>
      <c r="I11839" s="6">
        <v>526.6875</v>
      </c>
      <c r="J11839" s="2">
        <f t="shared" si="184"/>
        <v>43748.351631990743</v>
      </c>
    </row>
    <row r="11840" spans="1:10" x14ac:dyDescent="0.25">
      <c r="A11840" s="7" t="s">
        <v>23994</v>
      </c>
      <c r="B11840" s="8">
        <v>393.75</v>
      </c>
      <c r="C11840" s="8">
        <v>20.478950000000001</v>
      </c>
      <c r="D11840" s="8">
        <v>89</v>
      </c>
      <c r="E11840" s="8">
        <v>0</v>
      </c>
      <c r="F11840" s="8">
        <v>0</v>
      </c>
      <c r="G11840" s="8">
        <v>5</v>
      </c>
      <c r="H11840" s="8" t="s">
        <v>23995</v>
      </c>
      <c r="I11840" s="8">
        <v>526.5</v>
      </c>
      <c r="J11840" s="3">
        <f t="shared" si="184"/>
        <v>43748.351715555553</v>
      </c>
    </row>
    <row r="11841" spans="1:10" x14ac:dyDescent="0.25">
      <c r="A11841" s="5" t="s">
        <v>23996</v>
      </c>
      <c r="B11841" s="6">
        <v>393.75</v>
      </c>
      <c r="C11841" s="6">
        <v>20.478950000000001</v>
      </c>
      <c r="D11841" s="6">
        <v>90</v>
      </c>
      <c r="E11841" s="6">
        <v>0</v>
      </c>
      <c r="F11841" s="6">
        <v>0</v>
      </c>
      <c r="G11841" s="6">
        <v>7</v>
      </c>
      <c r="H11841" s="6" t="s">
        <v>23997</v>
      </c>
      <c r="I11841" s="6">
        <v>526.6875</v>
      </c>
      <c r="J11841" s="2">
        <f t="shared" si="184"/>
        <v>43748.351799004631</v>
      </c>
    </row>
    <row r="11842" spans="1:10" x14ac:dyDescent="0.25">
      <c r="A11842" s="7" t="s">
        <v>23998</v>
      </c>
      <c r="B11842" s="8">
        <v>393.75</v>
      </c>
      <c r="C11842" s="8">
        <v>20.478950000000001</v>
      </c>
      <c r="D11842" s="8">
        <v>89</v>
      </c>
      <c r="E11842" s="8">
        <v>0</v>
      </c>
      <c r="F11842" s="8">
        <v>0</v>
      </c>
      <c r="G11842" s="8">
        <v>13</v>
      </c>
      <c r="H11842" s="8" t="s">
        <v>23999</v>
      </c>
      <c r="I11842" s="8">
        <v>526.5</v>
      </c>
      <c r="J11842" s="3">
        <f t="shared" ref="J11842:J11905" si="185">(H11842/86400000)+25569+(7/24)</f>
        <v>43748.351882442126</v>
      </c>
    </row>
    <row r="11843" spans="1:10" x14ac:dyDescent="0.25">
      <c r="A11843" s="5" t="s">
        <v>24000</v>
      </c>
      <c r="B11843" s="6">
        <v>393.75</v>
      </c>
      <c r="C11843" s="6">
        <v>20.478950000000001</v>
      </c>
      <c r="D11843" s="6">
        <v>89</v>
      </c>
      <c r="E11843" s="6">
        <v>0</v>
      </c>
      <c r="F11843" s="6">
        <v>0</v>
      </c>
      <c r="G11843" s="6">
        <v>14</v>
      </c>
      <c r="H11843" s="6" t="s">
        <v>24001</v>
      </c>
      <c r="I11843" s="6">
        <v>526.5</v>
      </c>
      <c r="J11843" s="2">
        <f t="shared" si="185"/>
        <v>43748.351966018519</v>
      </c>
    </row>
    <row r="11844" spans="1:10" x14ac:dyDescent="0.25">
      <c r="A11844" s="7" t="s">
        <v>24002</v>
      </c>
      <c r="B11844" s="8">
        <v>393.75</v>
      </c>
      <c r="C11844" s="8">
        <v>20.478950000000001</v>
      </c>
      <c r="D11844" s="8">
        <v>89</v>
      </c>
      <c r="E11844" s="8">
        <v>0</v>
      </c>
      <c r="F11844" s="8">
        <v>0</v>
      </c>
      <c r="G11844" s="8">
        <v>13</v>
      </c>
      <c r="H11844" s="8" t="s">
        <v>24003</v>
      </c>
      <c r="I11844" s="8">
        <v>526.6875</v>
      </c>
      <c r="J11844" s="3">
        <f t="shared" si="185"/>
        <v>43748.352049131943</v>
      </c>
    </row>
    <row r="11845" spans="1:10" x14ac:dyDescent="0.25">
      <c r="A11845" s="5" t="s">
        <v>24004</v>
      </c>
      <c r="B11845" s="6">
        <v>393.75</v>
      </c>
      <c r="C11845" s="6">
        <v>20.478950000000001</v>
      </c>
      <c r="D11845" s="6">
        <v>89</v>
      </c>
      <c r="E11845" s="6">
        <v>0</v>
      </c>
      <c r="F11845" s="6">
        <v>0</v>
      </c>
      <c r="G11845" s="6">
        <v>7</v>
      </c>
      <c r="H11845" s="6" t="s">
        <v>24005</v>
      </c>
      <c r="I11845" s="6">
        <v>526.5</v>
      </c>
      <c r="J11845" s="2">
        <f t="shared" si="185"/>
        <v>43748.352120763891</v>
      </c>
    </row>
    <row r="11846" spans="1:10" x14ac:dyDescent="0.25">
      <c r="A11846" s="7" t="s">
        <v>24006</v>
      </c>
      <c r="B11846" s="8">
        <v>393.75</v>
      </c>
      <c r="C11846" s="8">
        <v>20.478950000000001</v>
      </c>
      <c r="D11846" s="8">
        <v>91</v>
      </c>
      <c r="E11846" s="8">
        <v>0</v>
      </c>
      <c r="F11846" s="8">
        <v>0</v>
      </c>
      <c r="G11846" s="8">
        <v>4</v>
      </c>
      <c r="H11846" s="8" t="s">
        <v>24007</v>
      </c>
      <c r="I11846" s="8">
        <v>526.5</v>
      </c>
      <c r="J11846" s="3">
        <f t="shared" si="185"/>
        <v>43748.352204664348</v>
      </c>
    </row>
    <row r="11847" spans="1:10" x14ac:dyDescent="0.25">
      <c r="A11847" s="5" t="s">
        <v>24008</v>
      </c>
      <c r="B11847" s="6">
        <v>415.625</v>
      </c>
      <c r="C11847" s="6">
        <v>20.478950000000001</v>
      </c>
      <c r="D11847" s="6">
        <v>91</v>
      </c>
      <c r="E11847" s="6">
        <v>0</v>
      </c>
      <c r="F11847" s="6">
        <v>0</v>
      </c>
      <c r="G11847" s="6">
        <v>11</v>
      </c>
      <c r="H11847" s="6" t="s">
        <v>24009</v>
      </c>
      <c r="I11847" s="6">
        <v>533.25</v>
      </c>
      <c r="J11847" s="2">
        <f t="shared" si="185"/>
        <v>43748.352288009257</v>
      </c>
    </row>
    <row r="11848" spans="1:10" x14ac:dyDescent="0.25">
      <c r="A11848" s="7" t="s">
        <v>24010</v>
      </c>
      <c r="B11848" s="8">
        <v>393.75</v>
      </c>
      <c r="C11848" s="8">
        <v>20.478950000000001</v>
      </c>
      <c r="D11848" s="8">
        <v>91</v>
      </c>
      <c r="E11848" s="8">
        <v>0</v>
      </c>
      <c r="F11848" s="8">
        <v>0</v>
      </c>
      <c r="G11848" s="8">
        <v>5</v>
      </c>
      <c r="H11848" s="8" t="s">
        <v>24011</v>
      </c>
      <c r="I11848" s="8">
        <v>526.6875</v>
      </c>
      <c r="J11848" s="3">
        <f t="shared" si="185"/>
        <v>43748.352379560187</v>
      </c>
    </row>
    <row r="11849" spans="1:10" x14ac:dyDescent="0.25">
      <c r="A11849" s="5" t="s">
        <v>24012</v>
      </c>
      <c r="B11849" s="6">
        <v>412.5</v>
      </c>
      <c r="C11849" s="6">
        <v>20.478950000000001</v>
      </c>
      <c r="D11849" s="6">
        <v>91</v>
      </c>
      <c r="E11849" s="6">
        <v>0</v>
      </c>
      <c r="F11849" s="6">
        <v>0</v>
      </c>
      <c r="G11849" s="6">
        <v>11</v>
      </c>
      <c r="H11849" s="6" t="s">
        <v>24013</v>
      </c>
      <c r="I11849" s="6">
        <v>532.6875</v>
      </c>
      <c r="J11849" s="2">
        <f t="shared" si="185"/>
        <v>43748.352454907406</v>
      </c>
    </row>
    <row r="11850" spans="1:10" x14ac:dyDescent="0.25">
      <c r="A11850" s="7" t="s">
        <v>24014</v>
      </c>
      <c r="B11850" s="8">
        <v>393.75</v>
      </c>
      <c r="C11850" s="8">
        <v>20.478950000000001</v>
      </c>
      <c r="D11850" s="8">
        <v>90</v>
      </c>
      <c r="E11850" s="8">
        <v>0</v>
      </c>
      <c r="F11850" s="8">
        <v>0</v>
      </c>
      <c r="G11850" s="8">
        <v>7</v>
      </c>
      <c r="H11850" s="8" t="s">
        <v>24015</v>
      </c>
      <c r="I11850" s="8">
        <v>526.6875</v>
      </c>
      <c r="J11850" s="3">
        <f t="shared" si="185"/>
        <v>43748.352538009254</v>
      </c>
    </row>
    <row r="11851" spans="1:10" x14ac:dyDescent="0.25">
      <c r="A11851" s="5" t="s">
        <v>24016</v>
      </c>
      <c r="B11851" s="6">
        <v>393.75</v>
      </c>
      <c r="C11851" s="6">
        <v>20.478950000000001</v>
      </c>
      <c r="D11851" s="6">
        <v>90</v>
      </c>
      <c r="E11851" s="6">
        <v>0</v>
      </c>
      <c r="F11851" s="6">
        <v>0</v>
      </c>
      <c r="G11851" s="6">
        <v>0</v>
      </c>
      <c r="H11851" s="6" t="s">
        <v>24017</v>
      </c>
      <c r="I11851" s="6">
        <v>526.5</v>
      </c>
      <c r="J11851" s="2">
        <f t="shared" si="185"/>
        <v>43748.352609652771</v>
      </c>
    </row>
    <row r="11852" spans="1:10" x14ac:dyDescent="0.25">
      <c r="A11852" s="7" t="s">
        <v>24018</v>
      </c>
      <c r="B11852" s="8">
        <v>412.5</v>
      </c>
      <c r="C11852" s="8">
        <v>20.478950000000001</v>
      </c>
      <c r="D11852" s="8">
        <v>84</v>
      </c>
      <c r="E11852" s="8">
        <v>0</v>
      </c>
      <c r="F11852" s="8">
        <v>0</v>
      </c>
      <c r="G11852" s="8">
        <v>6</v>
      </c>
      <c r="H11852" s="8" t="s">
        <v>24019</v>
      </c>
      <c r="I11852" s="8">
        <v>532.3125</v>
      </c>
      <c r="J11852" s="3">
        <f t="shared" si="185"/>
        <v>43748.352693576388</v>
      </c>
    </row>
    <row r="11853" spans="1:10" x14ac:dyDescent="0.25">
      <c r="A11853" s="5" t="s">
        <v>24020</v>
      </c>
      <c r="B11853" s="6">
        <v>393.75</v>
      </c>
      <c r="C11853" s="6">
        <v>20.478950000000001</v>
      </c>
      <c r="D11853" s="6">
        <v>85</v>
      </c>
      <c r="E11853" s="6">
        <v>0</v>
      </c>
      <c r="F11853" s="6">
        <v>0</v>
      </c>
      <c r="G11853" s="6">
        <v>9</v>
      </c>
      <c r="H11853" s="6" t="s">
        <v>24021</v>
      </c>
      <c r="I11853" s="6">
        <v>526.6875</v>
      </c>
      <c r="J11853" s="2">
        <f t="shared" si="185"/>
        <v>43748.352764976851</v>
      </c>
    </row>
    <row r="11854" spans="1:10" x14ac:dyDescent="0.25">
      <c r="A11854" s="7" t="s">
        <v>24022</v>
      </c>
      <c r="B11854" s="8">
        <v>393.75</v>
      </c>
      <c r="C11854" s="8">
        <v>20.478950000000001</v>
      </c>
      <c r="D11854" s="8">
        <v>85</v>
      </c>
      <c r="E11854" s="8">
        <v>0</v>
      </c>
      <c r="F11854" s="8">
        <v>0</v>
      </c>
      <c r="G11854" s="8">
        <v>9</v>
      </c>
      <c r="H11854" s="8" t="s">
        <v>24023</v>
      </c>
      <c r="I11854" s="8">
        <v>526.6875</v>
      </c>
      <c r="J11854" s="3">
        <f t="shared" si="185"/>
        <v>43748.35283650463</v>
      </c>
    </row>
    <row r="11855" spans="1:10" x14ac:dyDescent="0.25">
      <c r="A11855" s="5" t="s">
        <v>24024</v>
      </c>
      <c r="B11855" s="6">
        <v>393.75</v>
      </c>
      <c r="C11855" s="6">
        <v>20.478950000000001</v>
      </c>
      <c r="D11855" s="6">
        <v>87</v>
      </c>
      <c r="E11855" s="6">
        <v>0</v>
      </c>
      <c r="F11855" s="6">
        <v>0</v>
      </c>
      <c r="G11855" s="6">
        <v>9</v>
      </c>
      <c r="H11855" s="6" t="s">
        <v>24025</v>
      </c>
      <c r="I11855" s="6">
        <v>526.5</v>
      </c>
      <c r="J11855" s="2">
        <f t="shared" si="185"/>
        <v>43748.352931979163</v>
      </c>
    </row>
    <row r="11856" spans="1:10" x14ac:dyDescent="0.25">
      <c r="A11856" s="7" t="s">
        <v>24026</v>
      </c>
      <c r="B11856" s="8">
        <v>393.75</v>
      </c>
      <c r="C11856" s="8">
        <v>20.478950000000001</v>
      </c>
      <c r="D11856" s="8">
        <v>88</v>
      </c>
      <c r="E11856" s="8">
        <v>0</v>
      </c>
      <c r="F11856" s="8">
        <v>0</v>
      </c>
      <c r="G11856" s="8">
        <v>5</v>
      </c>
      <c r="H11856" s="8" t="s">
        <v>24027</v>
      </c>
      <c r="I11856" s="8">
        <v>526.5</v>
      </c>
      <c r="J11856" s="3">
        <f t="shared" si="185"/>
        <v>43748.353015428242</v>
      </c>
    </row>
    <row r="11857" spans="1:10" x14ac:dyDescent="0.25">
      <c r="A11857" s="5" t="s">
        <v>24028</v>
      </c>
      <c r="B11857" s="6">
        <v>437.5</v>
      </c>
      <c r="C11857" s="6">
        <v>20.478950000000001</v>
      </c>
      <c r="D11857" s="6">
        <v>88</v>
      </c>
      <c r="E11857" s="6">
        <v>0</v>
      </c>
      <c r="F11857" s="6">
        <v>0</v>
      </c>
      <c r="G11857" s="6">
        <v>9</v>
      </c>
      <c r="H11857" s="6" t="s">
        <v>24029</v>
      </c>
      <c r="I11857" s="6">
        <v>540</v>
      </c>
      <c r="J11857" s="2">
        <f t="shared" si="185"/>
        <v>43748.353098888889</v>
      </c>
    </row>
    <row r="11858" spans="1:10" x14ac:dyDescent="0.25">
      <c r="A11858" s="7" t="s">
        <v>24030</v>
      </c>
      <c r="B11858" s="8">
        <v>396.875</v>
      </c>
      <c r="C11858" s="8">
        <v>20.478950000000001</v>
      </c>
      <c r="D11858" s="8">
        <v>89</v>
      </c>
      <c r="E11858" s="8">
        <v>0</v>
      </c>
      <c r="F11858" s="8">
        <v>0</v>
      </c>
      <c r="G11858" s="8">
        <v>2</v>
      </c>
      <c r="H11858" s="8" t="s">
        <v>24031</v>
      </c>
      <c r="I11858" s="8">
        <v>527.4375</v>
      </c>
      <c r="J11858" s="3">
        <f t="shared" si="185"/>
        <v>43748.353182453699</v>
      </c>
    </row>
    <row r="11859" spans="1:10" x14ac:dyDescent="0.25">
      <c r="A11859" s="5" t="s">
        <v>24032</v>
      </c>
      <c r="B11859" s="6">
        <v>396.875</v>
      </c>
      <c r="C11859" s="6">
        <v>20.478950000000001</v>
      </c>
      <c r="D11859" s="6">
        <v>89</v>
      </c>
      <c r="E11859" s="6">
        <v>0</v>
      </c>
      <c r="F11859" s="6">
        <v>0</v>
      </c>
      <c r="G11859" s="6">
        <v>9</v>
      </c>
      <c r="H11859" s="6" t="s">
        <v>24033</v>
      </c>
      <c r="I11859" s="6">
        <v>527.4375</v>
      </c>
      <c r="J11859" s="2">
        <f t="shared" si="185"/>
        <v>43748.353265775462</v>
      </c>
    </row>
    <row r="11860" spans="1:10" x14ac:dyDescent="0.25">
      <c r="A11860" s="7" t="s">
        <v>24034</v>
      </c>
      <c r="B11860" s="8">
        <v>396.875</v>
      </c>
      <c r="C11860" s="8">
        <v>20.478950000000001</v>
      </c>
      <c r="D11860" s="8">
        <v>89</v>
      </c>
      <c r="E11860" s="8">
        <v>0</v>
      </c>
      <c r="F11860" s="8">
        <v>0</v>
      </c>
      <c r="G11860" s="8">
        <v>11</v>
      </c>
      <c r="H11860" s="8" t="s">
        <v>24035</v>
      </c>
      <c r="I11860" s="8">
        <v>527.4375</v>
      </c>
      <c r="J11860" s="3">
        <f t="shared" si="185"/>
        <v>43748.353349131947</v>
      </c>
    </row>
    <row r="11861" spans="1:10" x14ac:dyDescent="0.25">
      <c r="A11861" s="5" t="s">
        <v>24036</v>
      </c>
      <c r="B11861" s="6">
        <v>396.875</v>
      </c>
      <c r="C11861" s="6">
        <v>20.478950000000001</v>
      </c>
      <c r="D11861" s="6">
        <v>90</v>
      </c>
      <c r="E11861" s="6">
        <v>0</v>
      </c>
      <c r="F11861" s="6">
        <v>0</v>
      </c>
      <c r="G11861" s="6">
        <v>3</v>
      </c>
      <c r="H11861" s="6" t="s">
        <v>24037</v>
      </c>
      <c r="I11861" s="6">
        <v>527.4375</v>
      </c>
      <c r="J11861" s="2">
        <f t="shared" si="185"/>
        <v>43748.35343278935</v>
      </c>
    </row>
    <row r="11862" spans="1:10" x14ac:dyDescent="0.25">
      <c r="A11862" s="7" t="s">
        <v>24038</v>
      </c>
      <c r="B11862" s="8">
        <v>400</v>
      </c>
      <c r="C11862" s="8">
        <v>20.478950000000001</v>
      </c>
      <c r="D11862" s="8">
        <v>92</v>
      </c>
      <c r="E11862" s="8">
        <v>0</v>
      </c>
      <c r="F11862" s="8">
        <v>0</v>
      </c>
      <c r="G11862" s="8">
        <v>0</v>
      </c>
      <c r="H11862" s="8" t="s">
        <v>24039</v>
      </c>
      <c r="I11862" s="8">
        <v>528.375</v>
      </c>
      <c r="J11862" s="3">
        <f t="shared" si="185"/>
        <v>43748.353528298605</v>
      </c>
    </row>
    <row r="11863" spans="1:10" x14ac:dyDescent="0.25">
      <c r="A11863" s="5" t="s">
        <v>24040</v>
      </c>
      <c r="B11863" s="6">
        <v>396.875</v>
      </c>
      <c r="C11863" s="6">
        <v>20.478950000000001</v>
      </c>
      <c r="D11863" s="6">
        <v>92</v>
      </c>
      <c r="E11863" s="6">
        <v>0</v>
      </c>
      <c r="F11863" s="6">
        <v>0</v>
      </c>
      <c r="G11863" s="6">
        <v>3</v>
      </c>
      <c r="H11863" s="6" t="s">
        <v>24041</v>
      </c>
      <c r="I11863" s="6">
        <v>527.4375</v>
      </c>
      <c r="J11863" s="2">
        <f t="shared" si="185"/>
        <v>43748.353611631937</v>
      </c>
    </row>
    <row r="11864" spans="1:10" x14ac:dyDescent="0.25">
      <c r="A11864" s="7" t="s">
        <v>24042</v>
      </c>
      <c r="B11864" s="8">
        <v>393.75</v>
      </c>
      <c r="C11864" s="8">
        <v>20.478950000000001</v>
      </c>
      <c r="D11864" s="8">
        <v>92</v>
      </c>
      <c r="E11864" s="8">
        <v>0</v>
      </c>
      <c r="F11864" s="8">
        <v>0</v>
      </c>
      <c r="G11864" s="8">
        <v>0</v>
      </c>
      <c r="H11864" s="8" t="s">
        <v>24043</v>
      </c>
      <c r="I11864" s="8">
        <v>526.6875</v>
      </c>
      <c r="J11864" s="3">
        <f t="shared" si="185"/>
        <v>43748.35369520833</v>
      </c>
    </row>
    <row r="11865" spans="1:10" x14ac:dyDescent="0.25">
      <c r="A11865" s="5" t="s">
        <v>24044</v>
      </c>
      <c r="B11865" s="6">
        <v>393.75</v>
      </c>
      <c r="C11865" s="6">
        <v>20.478950000000001</v>
      </c>
      <c r="D11865" s="6">
        <v>92</v>
      </c>
      <c r="E11865" s="6">
        <v>0</v>
      </c>
      <c r="F11865" s="6">
        <v>0</v>
      </c>
      <c r="G11865" s="6">
        <v>7</v>
      </c>
      <c r="H11865" s="6" t="s">
        <v>24045</v>
      </c>
      <c r="I11865" s="6">
        <v>526.6875</v>
      </c>
      <c r="J11865" s="2">
        <f t="shared" si="185"/>
        <v>43748.353778750003</v>
      </c>
    </row>
    <row r="11866" spans="1:10" x14ac:dyDescent="0.25">
      <c r="A11866" s="7" t="s">
        <v>24046</v>
      </c>
      <c r="B11866" s="8">
        <v>393.75</v>
      </c>
      <c r="C11866" s="8">
        <v>20.478950000000001</v>
      </c>
      <c r="D11866" s="8">
        <v>92</v>
      </c>
      <c r="E11866" s="8">
        <v>0</v>
      </c>
      <c r="F11866" s="8">
        <v>0</v>
      </c>
      <c r="G11866" s="8">
        <v>7</v>
      </c>
      <c r="H11866" s="8" t="s">
        <v>24047</v>
      </c>
      <c r="I11866" s="8">
        <v>526.6875</v>
      </c>
      <c r="J11866" s="3">
        <f t="shared" si="185"/>
        <v>43748.35386210648</v>
      </c>
    </row>
    <row r="11867" spans="1:10" x14ac:dyDescent="0.25">
      <c r="A11867" s="5" t="s">
        <v>24048</v>
      </c>
      <c r="B11867" s="6">
        <v>393.75</v>
      </c>
      <c r="C11867" s="6">
        <v>20.478950000000001</v>
      </c>
      <c r="D11867" s="6">
        <v>92</v>
      </c>
      <c r="E11867" s="6">
        <v>0</v>
      </c>
      <c r="F11867" s="6">
        <v>0</v>
      </c>
      <c r="G11867" s="6">
        <v>7</v>
      </c>
      <c r="H11867" s="6" t="s">
        <v>24049</v>
      </c>
      <c r="I11867" s="6">
        <v>526.6875</v>
      </c>
      <c r="J11867" s="2">
        <f t="shared" si="185"/>
        <v>43748.353945428236</v>
      </c>
    </row>
    <row r="11868" spans="1:10" x14ac:dyDescent="0.25">
      <c r="A11868" s="7" t="s">
        <v>24050</v>
      </c>
      <c r="B11868" s="8">
        <v>393.75</v>
      </c>
      <c r="C11868" s="8">
        <v>20.478950000000001</v>
      </c>
      <c r="D11868" s="8">
        <v>92</v>
      </c>
      <c r="E11868" s="8">
        <v>0</v>
      </c>
      <c r="F11868" s="8">
        <v>0</v>
      </c>
      <c r="G11868" s="8">
        <v>14</v>
      </c>
      <c r="H11868" s="8" t="s">
        <v>24051</v>
      </c>
      <c r="I11868" s="8">
        <v>526.6875</v>
      </c>
      <c r="J11868" s="3">
        <f t="shared" si="185"/>
        <v>43748.354017060185</v>
      </c>
    </row>
    <row r="11869" spans="1:10" x14ac:dyDescent="0.25">
      <c r="A11869" s="5" t="s">
        <v>24052</v>
      </c>
      <c r="B11869" s="6">
        <v>393.75</v>
      </c>
      <c r="C11869" s="6">
        <v>20.478950000000001</v>
      </c>
      <c r="D11869" s="6">
        <v>92</v>
      </c>
      <c r="E11869" s="6">
        <v>0</v>
      </c>
      <c r="F11869" s="6">
        <v>0</v>
      </c>
      <c r="G11869" s="6">
        <v>7</v>
      </c>
      <c r="H11869" s="6" t="s">
        <v>24053</v>
      </c>
      <c r="I11869" s="6">
        <v>526.6875</v>
      </c>
      <c r="J11869" s="2">
        <f t="shared" si="185"/>
        <v>43748.354100648146</v>
      </c>
    </row>
    <row r="11870" spans="1:10" x14ac:dyDescent="0.25">
      <c r="A11870" s="7" t="s">
        <v>24054</v>
      </c>
      <c r="B11870" s="8">
        <v>393.75</v>
      </c>
      <c r="C11870" s="8">
        <v>20.478950000000001</v>
      </c>
      <c r="D11870" s="8">
        <v>92</v>
      </c>
      <c r="E11870" s="8">
        <v>0</v>
      </c>
      <c r="F11870" s="8">
        <v>0</v>
      </c>
      <c r="G11870" s="8">
        <v>2</v>
      </c>
      <c r="H11870" s="8" t="s">
        <v>24055</v>
      </c>
      <c r="I11870" s="8">
        <v>526.6875</v>
      </c>
      <c r="J11870" s="3">
        <f t="shared" si="185"/>
        <v>43748.354184085641</v>
      </c>
    </row>
    <row r="11871" spans="1:10" x14ac:dyDescent="0.25">
      <c r="A11871" s="5" t="s">
        <v>24056</v>
      </c>
      <c r="B11871" s="6">
        <v>393.75</v>
      </c>
      <c r="C11871" s="6">
        <v>20.478950000000001</v>
      </c>
      <c r="D11871" s="6">
        <v>92</v>
      </c>
      <c r="E11871" s="6">
        <v>0</v>
      </c>
      <c r="F11871" s="6">
        <v>0</v>
      </c>
      <c r="G11871" s="6">
        <v>5</v>
      </c>
      <c r="H11871" s="6" t="s">
        <v>24057</v>
      </c>
      <c r="I11871" s="6">
        <v>526.6875</v>
      </c>
      <c r="J11871" s="2">
        <f t="shared" si="185"/>
        <v>43748.354279444444</v>
      </c>
    </row>
    <row r="11872" spans="1:10" x14ac:dyDescent="0.25">
      <c r="A11872" s="7" t="s">
        <v>24058</v>
      </c>
      <c r="B11872" s="8">
        <v>393.75</v>
      </c>
      <c r="C11872" s="8">
        <v>20.478950000000001</v>
      </c>
      <c r="D11872" s="8">
        <v>92</v>
      </c>
      <c r="E11872" s="8">
        <v>0</v>
      </c>
      <c r="F11872" s="8">
        <v>0</v>
      </c>
      <c r="G11872" s="8">
        <v>6</v>
      </c>
      <c r="H11872" s="8" t="s">
        <v>24059</v>
      </c>
      <c r="I11872" s="8">
        <v>526.6875</v>
      </c>
      <c r="J11872" s="3">
        <f t="shared" si="185"/>
        <v>43748.354350972215</v>
      </c>
    </row>
    <row r="11873" spans="1:10" x14ac:dyDescent="0.25">
      <c r="A11873" s="5" t="s">
        <v>24060</v>
      </c>
      <c r="B11873" s="6">
        <v>393.75</v>
      </c>
      <c r="C11873" s="6">
        <v>20.478950000000001</v>
      </c>
      <c r="D11873" s="6">
        <v>93</v>
      </c>
      <c r="E11873" s="6">
        <v>0</v>
      </c>
      <c r="F11873" s="6">
        <v>0</v>
      </c>
      <c r="G11873" s="6">
        <v>11</v>
      </c>
      <c r="H11873" s="6" t="s">
        <v>24061</v>
      </c>
      <c r="I11873" s="6">
        <v>526.6875</v>
      </c>
      <c r="J11873" s="2">
        <f t="shared" si="185"/>
        <v>43748.354434432869</v>
      </c>
    </row>
    <row r="11874" spans="1:10" x14ac:dyDescent="0.25">
      <c r="A11874" s="7" t="s">
        <v>24062</v>
      </c>
      <c r="B11874" s="8">
        <v>393.75</v>
      </c>
      <c r="C11874" s="8">
        <v>20.478950000000001</v>
      </c>
      <c r="D11874" s="8">
        <v>93</v>
      </c>
      <c r="E11874" s="8">
        <v>0</v>
      </c>
      <c r="F11874" s="8">
        <v>0</v>
      </c>
      <c r="G11874" s="8">
        <v>10</v>
      </c>
      <c r="H11874" s="8" t="s">
        <v>24063</v>
      </c>
      <c r="I11874" s="8">
        <v>526.6875</v>
      </c>
      <c r="J11874" s="3">
        <f t="shared" si="185"/>
        <v>43748.354506157404</v>
      </c>
    </row>
    <row r="11875" spans="1:10" x14ac:dyDescent="0.25">
      <c r="A11875" s="5" t="s">
        <v>24064</v>
      </c>
      <c r="B11875" s="6">
        <v>393.75</v>
      </c>
      <c r="C11875" s="6">
        <v>20.478950000000001</v>
      </c>
      <c r="D11875" s="6">
        <v>91</v>
      </c>
      <c r="E11875" s="6">
        <v>0</v>
      </c>
      <c r="F11875" s="6">
        <v>0</v>
      </c>
      <c r="G11875" s="6">
        <v>1</v>
      </c>
      <c r="H11875" s="6" t="s">
        <v>24065</v>
      </c>
      <c r="I11875" s="6">
        <v>526.6875</v>
      </c>
      <c r="J11875" s="2">
        <f t="shared" si="185"/>
        <v>43748.354589537033</v>
      </c>
    </row>
    <row r="11876" spans="1:10" x14ac:dyDescent="0.25">
      <c r="A11876" s="7" t="s">
        <v>24066</v>
      </c>
      <c r="B11876" s="8">
        <v>412.5</v>
      </c>
      <c r="C11876" s="8">
        <v>20.478950000000001</v>
      </c>
      <c r="D11876" s="8">
        <v>93</v>
      </c>
      <c r="E11876" s="8">
        <v>0</v>
      </c>
      <c r="F11876" s="8">
        <v>0</v>
      </c>
      <c r="G11876" s="8">
        <v>4</v>
      </c>
      <c r="H11876" s="8" t="s">
        <v>24067</v>
      </c>
      <c r="I11876" s="8">
        <v>532.5</v>
      </c>
      <c r="J11876" s="3">
        <f t="shared" si="185"/>
        <v>43748.354672986105</v>
      </c>
    </row>
    <row r="11877" spans="1:10" x14ac:dyDescent="0.25">
      <c r="A11877" s="5" t="s">
        <v>24068</v>
      </c>
      <c r="B11877" s="6">
        <v>393.75</v>
      </c>
      <c r="C11877" s="6">
        <v>20.478950000000001</v>
      </c>
      <c r="D11877" s="6">
        <v>93</v>
      </c>
      <c r="E11877" s="6">
        <v>0</v>
      </c>
      <c r="F11877" s="6">
        <v>0</v>
      </c>
      <c r="G11877" s="6">
        <v>1</v>
      </c>
      <c r="H11877" s="6" t="s">
        <v>24069</v>
      </c>
      <c r="I11877" s="6">
        <v>526.6875</v>
      </c>
      <c r="J11877" s="2">
        <f t="shared" si="185"/>
        <v>43748.354756562498</v>
      </c>
    </row>
    <row r="11878" spans="1:10" x14ac:dyDescent="0.25">
      <c r="A11878" s="7" t="s">
        <v>24070</v>
      </c>
      <c r="B11878" s="8">
        <v>396.875</v>
      </c>
      <c r="C11878" s="8">
        <v>20.478950000000001</v>
      </c>
      <c r="D11878" s="8">
        <v>92</v>
      </c>
      <c r="E11878" s="8">
        <v>0</v>
      </c>
      <c r="F11878" s="8">
        <v>0</v>
      </c>
      <c r="G11878" s="8">
        <v>6</v>
      </c>
      <c r="H11878" s="8" t="s">
        <v>24071</v>
      </c>
      <c r="I11878" s="8">
        <v>527.4375</v>
      </c>
      <c r="J11878" s="3">
        <f t="shared" si="185"/>
        <v>43748.354839884261</v>
      </c>
    </row>
    <row r="11879" spans="1:10" x14ac:dyDescent="0.25">
      <c r="A11879" s="5" t="s">
        <v>24072</v>
      </c>
      <c r="B11879" s="6">
        <v>396.875</v>
      </c>
      <c r="C11879" s="6">
        <v>20.478950000000001</v>
      </c>
      <c r="D11879" s="6">
        <v>94</v>
      </c>
      <c r="E11879" s="6">
        <v>0</v>
      </c>
      <c r="F11879" s="6">
        <v>0</v>
      </c>
      <c r="G11879" s="6">
        <v>4</v>
      </c>
      <c r="H11879" s="6" t="s">
        <v>24073</v>
      </c>
      <c r="I11879" s="6">
        <v>527.4375</v>
      </c>
      <c r="J11879" s="2">
        <f t="shared" si="185"/>
        <v>43748.354923240739</v>
      </c>
    </row>
    <row r="11880" spans="1:10" x14ac:dyDescent="0.25">
      <c r="A11880" s="7" t="s">
        <v>24074</v>
      </c>
      <c r="B11880" s="8">
        <v>396.875</v>
      </c>
      <c r="C11880" s="8">
        <v>20.478950000000001</v>
      </c>
      <c r="D11880" s="8">
        <v>96</v>
      </c>
      <c r="E11880" s="8">
        <v>0</v>
      </c>
      <c r="F11880" s="8">
        <v>0</v>
      </c>
      <c r="G11880" s="8">
        <v>0</v>
      </c>
      <c r="H11880" s="8" t="s">
        <v>24075</v>
      </c>
      <c r="I11880" s="8">
        <v>527.4375</v>
      </c>
      <c r="J11880" s="3">
        <f t="shared" si="185"/>
        <v>43748.355006782404</v>
      </c>
    </row>
    <row r="11881" spans="1:10" x14ac:dyDescent="0.25">
      <c r="A11881" s="5" t="s">
        <v>24076</v>
      </c>
      <c r="B11881" s="6">
        <v>400</v>
      </c>
      <c r="C11881" s="6">
        <v>20.478950000000001</v>
      </c>
      <c r="D11881" s="6">
        <v>97</v>
      </c>
      <c r="E11881" s="6">
        <v>0</v>
      </c>
      <c r="F11881" s="6">
        <v>0</v>
      </c>
      <c r="G11881" s="6">
        <v>4</v>
      </c>
      <c r="H11881" s="6" t="s">
        <v>24077</v>
      </c>
      <c r="I11881" s="6">
        <v>528.1875</v>
      </c>
      <c r="J11881" s="2">
        <f t="shared" si="185"/>
        <v>43748.355089976852</v>
      </c>
    </row>
    <row r="11882" spans="1:10" x14ac:dyDescent="0.25">
      <c r="A11882" s="7" t="s">
        <v>24078</v>
      </c>
      <c r="B11882" s="8">
        <v>396.875</v>
      </c>
      <c r="C11882" s="8">
        <v>20.478950000000001</v>
      </c>
      <c r="D11882" s="8">
        <v>97</v>
      </c>
      <c r="E11882" s="8">
        <v>0</v>
      </c>
      <c r="F11882" s="8">
        <v>0</v>
      </c>
      <c r="G11882" s="8">
        <v>11</v>
      </c>
      <c r="H11882" s="8" t="s">
        <v>24079</v>
      </c>
      <c r="I11882" s="8">
        <v>527.4375</v>
      </c>
      <c r="J11882" s="3">
        <f t="shared" si="185"/>
        <v>43748.3551615162</v>
      </c>
    </row>
    <row r="11883" spans="1:10" x14ac:dyDescent="0.25">
      <c r="A11883" s="5" t="s">
        <v>24080</v>
      </c>
      <c r="B11883" s="6">
        <v>396.875</v>
      </c>
      <c r="C11883" s="6">
        <v>20.478950000000001</v>
      </c>
      <c r="D11883" s="6">
        <v>93</v>
      </c>
      <c r="E11883" s="6">
        <v>0</v>
      </c>
      <c r="F11883" s="6">
        <v>0</v>
      </c>
      <c r="G11883" s="6">
        <v>1</v>
      </c>
      <c r="H11883" s="6" t="s">
        <v>24081</v>
      </c>
      <c r="I11883" s="6">
        <v>527.4375</v>
      </c>
      <c r="J11883" s="2">
        <f t="shared" si="185"/>
        <v>43748.355245439809</v>
      </c>
    </row>
    <row r="11884" spans="1:10" x14ac:dyDescent="0.25">
      <c r="A11884" s="7" t="s">
        <v>24082</v>
      </c>
      <c r="B11884" s="8">
        <v>396.875</v>
      </c>
      <c r="C11884" s="8">
        <v>20.426300000000001</v>
      </c>
      <c r="D11884" s="8">
        <v>92</v>
      </c>
      <c r="E11884" s="8">
        <v>0</v>
      </c>
      <c r="F11884" s="8">
        <v>0</v>
      </c>
      <c r="G11884" s="8">
        <v>3</v>
      </c>
      <c r="H11884" s="8" t="s">
        <v>24083</v>
      </c>
      <c r="I11884" s="8">
        <v>527.4375</v>
      </c>
      <c r="J11884" s="3">
        <f t="shared" si="185"/>
        <v>43748.355328761572</v>
      </c>
    </row>
    <row r="11885" spans="1:10" x14ac:dyDescent="0.25">
      <c r="A11885" s="5" t="s">
        <v>24084</v>
      </c>
      <c r="B11885" s="6">
        <v>396.875</v>
      </c>
      <c r="C11885" s="6">
        <v>20.478950000000001</v>
      </c>
      <c r="D11885" s="6">
        <v>90</v>
      </c>
      <c r="E11885" s="6">
        <v>0</v>
      </c>
      <c r="F11885" s="6">
        <v>0</v>
      </c>
      <c r="G11885" s="6">
        <v>6</v>
      </c>
      <c r="H11885" s="6" t="s">
        <v>24085</v>
      </c>
      <c r="I11885" s="6">
        <v>527.4375</v>
      </c>
      <c r="J11885" s="2">
        <f t="shared" si="185"/>
        <v>43748.355412118057</v>
      </c>
    </row>
    <row r="11886" spans="1:10" x14ac:dyDescent="0.25">
      <c r="A11886" s="7" t="s">
        <v>24086</v>
      </c>
      <c r="B11886" s="8">
        <v>393.75</v>
      </c>
      <c r="C11886" s="8">
        <v>20.478950000000001</v>
      </c>
      <c r="D11886" s="8">
        <v>90</v>
      </c>
      <c r="E11886" s="8">
        <v>0</v>
      </c>
      <c r="F11886" s="8">
        <v>0</v>
      </c>
      <c r="G11886" s="8">
        <v>6</v>
      </c>
      <c r="H11886" s="8" t="s">
        <v>24087</v>
      </c>
      <c r="I11886" s="8">
        <v>526.6875</v>
      </c>
      <c r="J11886" s="3">
        <f t="shared" si="185"/>
        <v>43748.3554912037</v>
      </c>
    </row>
    <row r="11887" spans="1:10" x14ac:dyDescent="0.25">
      <c r="A11887" s="5" t="s">
        <v>24088</v>
      </c>
      <c r="B11887" s="6">
        <v>393.75</v>
      </c>
      <c r="C11887" s="6">
        <v>20.478950000000001</v>
      </c>
      <c r="D11887" s="6">
        <v>91</v>
      </c>
      <c r="E11887" s="6">
        <v>0</v>
      </c>
      <c r="F11887" s="6">
        <v>0</v>
      </c>
      <c r="G11887" s="6">
        <v>5</v>
      </c>
      <c r="H11887" s="6" t="s">
        <v>24089</v>
      </c>
      <c r="I11887" s="6">
        <v>526.5</v>
      </c>
      <c r="J11887" s="2">
        <f t="shared" si="185"/>
        <v>43748.355567314815</v>
      </c>
    </row>
    <row r="11888" spans="1:10" x14ac:dyDescent="0.25">
      <c r="A11888" s="7" t="s">
        <v>24090</v>
      </c>
      <c r="B11888" s="8">
        <v>393.75</v>
      </c>
      <c r="C11888" s="8">
        <v>20.478950000000001</v>
      </c>
      <c r="D11888" s="8">
        <v>91</v>
      </c>
      <c r="E11888" s="8">
        <v>0</v>
      </c>
      <c r="F11888" s="8">
        <v>0</v>
      </c>
      <c r="G11888" s="8">
        <v>10</v>
      </c>
      <c r="H11888" s="8" t="s">
        <v>24091</v>
      </c>
      <c r="I11888" s="8">
        <v>526.6875</v>
      </c>
      <c r="J11888" s="3">
        <f t="shared" si="185"/>
        <v>43748.355650717589</v>
      </c>
    </row>
    <row r="11889" spans="1:10" x14ac:dyDescent="0.25">
      <c r="A11889" s="5" t="s">
        <v>24092</v>
      </c>
      <c r="B11889" s="6">
        <v>393.75</v>
      </c>
      <c r="C11889" s="6">
        <v>20.478950000000001</v>
      </c>
      <c r="D11889" s="6">
        <v>92</v>
      </c>
      <c r="E11889" s="6">
        <v>0</v>
      </c>
      <c r="F11889" s="6">
        <v>0</v>
      </c>
      <c r="G11889" s="6">
        <v>10</v>
      </c>
      <c r="H11889" s="6" t="s">
        <v>24093</v>
      </c>
      <c r="I11889" s="6">
        <v>526.6875</v>
      </c>
      <c r="J11889" s="2">
        <f t="shared" si="185"/>
        <v>43748.355734305551</v>
      </c>
    </row>
    <row r="11890" spans="1:10" x14ac:dyDescent="0.25">
      <c r="A11890" s="7" t="s">
        <v>24094</v>
      </c>
      <c r="B11890" s="8">
        <v>393.75</v>
      </c>
      <c r="C11890" s="8">
        <v>20.478950000000001</v>
      </c>
      <c r="D11890" s="8">
        <v>93</v>
      </c>
      <c r="E11890" s="8">
        <v>0</v>
      </c>
      <c r="F11890" s="8">
        <v>0</v>
      </c>
      <c r="G11890" s="8">
        <v>1</v>
      </c>
      <c r="H11890" s="8" t="s">
        <v>24095</v>
      </c>
      <c r="I11890" s="8">
        <v>526.6875</v>
      </c>
      <c r="J11890" s="3">
        <f t="shared" si="185"/>
        <v>43748.355817708332</v>
      </c>
    </row>
    <row r="11891" spans="1:10" x14ac:dyDescent="0.25">
      <c r="A11891" s="5" t="s">
        <v>24096</v>
      </c>
      <c r="B11891" s="6">
        <v>393.75</v>
      </c>
      <c r="C11891" s="6">
        <v>20.426300000000001</v>
      </c>
      <c r="D11891" s="6">
        <v>94</v>
      </c>
      <c r="E11891" s="6">
        <v>0</v>
      </c>
      <c r="F11891" s="6">
        <v>0</v>
      </c>
      <c r="G11891" s="6">
        <v>13</v>
      </c>
      <c r="H11891" s="6" t="s">
        <v>24097</v>
      </c>
      <c r="I11891" s="6">
        <v>526.6875</v>
      </c>
      <c r="J11891" s="2">
        <f t="shared" si="185"/>
        <v>43748.355907835641</v>
      </c>
    </row>
    <row r="11892" spans="1:10" x14ac:dyDescent="0.25">
      <c r="A11892" s="7" t="s">
        <v>24098</v>
      </c>
      <c r="B11892" s="8">
        <v>396.875</v>
      </c>
      <c r="C11892" s="8">
        <v>20.478950000000001</v>
      </c>
      <c r="D11892" s="8">
        <v>94</v>
      </c>
      <c r="E11892" s="8">
        <v>0</v>
      </c>
      <c r="F11892" s="8">
        <v>0</v>
      </c>
      <c r="G11892" s="8">
        <v>4</v>
      </c>
      <c r="H11892" s="8" t="s">
        <v>24099</v>
      </c>
      <c r="I11892" s="8">
        <v>527.4375</v>
      </c>
      <c r="J11892" s="3">
        <f t="shared" si="185"/>
        <v>43748.355984675924</v>
      </c>
    </row>
    <row r="11893" spans="1:10" x14ac:dyDescent="0.25">
      <c r="A11893" s="5" t="s">
        <v>24100</v>
      </c>
      <c r="B11893" s="6">
        <v>415.625</v>
      </c>
      <c r="C11893" s="6">
        <v>20.478950000000001</v>
      </c>
      <c r="D11893" s="6">
        <v>95</v>
      </c>
      <c r="E11893" s="6">
        <v>0</v>
      </c>
      <c r="F11893" s="6">
        <v>0</v>
      </c>
      <c r="G11893" s="6">
        <v>1</v>
      </c>
      <c r="H11893" s="6" t="s">
        <v>24101</v>
      </c>
      <c r="I11893" s="6">
        <v>533.0625</v>
      </c>
      <c r="J11893" s="2">
        <f t="shared" si="185"/>
        <v>43748.356084317129</v>
      </c>
    </row>
    <row r="11894" spans="1:10" x14ac:dyDescent="0.25">
      <c r="A11894" s="7" t="s">
        <v>24102</v>
      </c>
      <c r="B11894" s="8">
        <v>396.875</v>
      </c>
      <c r="C11894" s="8">
        <v>20.478950000000001</v>
      </c>
      <c r="D11894" s="8">
        <v>95</v>
      </c>
      <c r="E11894" s="8">
        <v>0</v>
      </c>
      <c r="F11894" s="8">
        <v>0</v>
      </c>
      <c r="G11894" s="8">
        <v>3</v>
      </c>
      <c r="H11894" s="8" t="s">
        <v>24103</v>
      </c>
      <c r="I11894" s="8">
        <v>527.4375</v>
      </c>
      <c r="J11894" s="3">
        <f t="shared" si="185"/>
        <v>43748.356163495373</v>
      </c>
    </row>
    <row r="11895" spans="1:10" x14ac:dyDescent="0.25">
      <c r="A11895" s="5" t="s">
        <v>24104</v>
      </c>
      <c r="B11895" s="6">
        <v>396.875</v>
      </c>
      <c r="C11895" s="6">
        <v>20.478950000000001</v>
      </c>
      <c r="D11895" s="6">
        <v>95</v>
      </c>
      <c r="E11895" s="6">
        <v>0</v>
      </c>
      <c r="F11895" s="6">
        <v>0</v>
      </c>
      <c r="G11895" s="6">
        <v>13</v>
      </c>
      <c r="H11895" s="6" t="s">
        <v>24105</v>
      </c>
      <c r="I11895" s="6">
        <v>527.4375</v>
      </c>
      <c r="J11895" s="2">
        <f t="shared" si="185"/>
        <v>43748.356259849534</v>
      </c>
    </row>
    <row r="11896" spans="1:10" x14ac:dyDescent="0.25">
      <c r="A11896" s="7" t="s">
        <v>24106</v>
      </c>
      <c r="B11896" s="8">
        <v>393.75</v>
      </c>
      <c r="C11896" s="8">
        <v>20.478950000000001</v>
      </c>
      <c r="D11896" s="8">
        <v>94</v>
      </c>
      <c r="E11896" s="8">
        <v>0</v>
      </c>
      <c r="F11896" s="8">
        <v>0</v>
      </c>
      <c r="G11896" s="8">
        <v>4</v>
      </c>
      <c r="H11896" s="8" t="s">
        <v>24107</v>
      </c>
      <c r="I11896" s="8">
        <v>526.6875</v>
      </c>
      <c r="J11896" s="3">
        <f t="shared" si="185"/>
        <v>43748.356342523148</v>
      </c>
    </row>
    <row r="11897" spans="1:10" x14ac:dyDescent="0.25">
      <c r="A11897" s="5" t="s">
        <v>24108</v>
      </c>
      <c r="B11897" s="6">
        <v>393.75</v>
      </c>
      <c r="C11897" s="6">
        <v>20.478950000000001</v>
      </c>
      <c r="D11897" s="6">
        <v>93</v>
      </c>
      <c r="E11897" s="6">
        <v>0</v>
      </c>
      <c r="F11897" s="6">
        <v>0</v>
      </c>
      <c r="G11897" s="6">
        <v>7</v>
      </c>
      <c r="H11897" s="6" t="s">
        <v>24109</v>
      </c>
      <c r="I11897" s="6">
        <v>526.6875</v>
      </c>
      <c r="J11897" s="2">
        <f t="shared" si="185"/>
        <v>43748.35642585648</v>
      </c>
    </row>
    <row r="11898" spans="1:10" x14ac:dyDescent="0.25">
      <c r="A11898" s="7" t="s">
        <v>24110</v>
      </c>
      <c r="B11898" s="8">
        <v>393.75</v>
      </c>
      <c r="C11898" s="8">
        <v>20.478950000000001</v>
      </c>
      <c r="D11898" s="8">
        <v>91</v>
      </c>
      <c r="E11898" s="8">
        <v>0</v>
      </c>
      <c r="F11898" s="8">
        <v>0</v>
      </c>
      <c r="G11898" s="8">
        <v>10</v>
      </c>
      <c r="H11898" s="8" t="s">
        <v>24111</v>
      </c>
      <c r="I11898" s="8">
        <v>526.6875</v>
      </c>
      <c r="J11898" s="3">
        <f t="shared" si="185"/>
        <v>43748.356509293975</v>
      </c>
    </row>
    <row r="11899" spans="1:10" x14ac:dyDescent="0.25">
      <c r="A11899" s="5" t="s">
        <v>24112</v>
      </c>
      <c r="B11899" s="6">
        <v>412.5</v>
      </c>
      <c r="C11899" s="6">
        <v>20.478950000000001</v>
      </c>
      <c r="D11899" s="6">
        <v>91</v>
      </c>
      <c r="E11899" s="6">
        <v>0</v>
      </c>
      <c r="F11899" s="6">
        <v>0</v>
      </c>
      <c r="G11899" s="6">
        <v>1</v>
      </c>
      <c r="H11899" s="6" t="s">
        <v>24113</v>
      </c>
      <c r="I11899" s="6">
        <v>532.875</v>
      </c>
      <c r="J11899" s="2">
        <f t="shared" si="185"/>
        <v>43748.356580856482</v>
      </c>
    </row>
    <row r="11900" spans="1:10" x14ac:dyDescent="0.25">
      <c r="A11900" s="7" t="s">
        <v>24114</v>
      </c>
      <c r="B11900" s="8">
        <v>393.75</v>
      </c>
      <c r="C11900" s="8">
        <v>20.478950000000001</v>
      </c>
      <c r="D11900" s="8">
        <v>92</v>
      </c>
      <c r="E11900" s="8">
        <v>0</v>
      </c>
      <c r="F11900" s="8">
        <v>0</v>
      </c>
      <c r="G11900" s="8">
        <v>0</v>
      </c>
      <c r="H11900" s="8" t="s">
        <v>24115</v>
      </c>
      <c r="I11900" s="8">
        <v>526.5</v>
      </c>
      <c r="J11900" s="3">
        <f t="shared" si="185"/>
        <v>43748.356663923609</v>
      </c>
    </row>
    <row r="11901" spans="1:10" x14ac:dyDescent="0.25">
      <c r="A11901" s="5" t="s">
        <v>24116</v>
      </c>
      <c r="B11901" s="6">
        <v>393.75</v>
      </c>
      <c r="C11901" s="6">
        <v>20.478950000000001</v>
      </c>
      <c r="D11901" s="6">
        <v>92</v>
      </c>
      <c r="E11901" s="6">
        <v>0</v>
      </c>
      <c r="F11901" s="6">
        <v>0</v>
      </c>
      <c r="G11901" s="6">
        <v>6</v>
      </c>
      <c r="H11901" s="6" t="s">
        <v>24117</v>
      </c>
      <c r="I11901" s="6">
        <v>526.5</v>
      </c>
      <c r="J11901" s="2">
        <f t="shared" si="185"/>
        <v>43748.356735567126</v>
      </c>
    </row>
    <row r="11902" spans="1:10" x14ac:dyDescent="0.25">
      <c r="A11902" s="7" t="s">
        <v>24118</v>
      </c>
      <c r="B11902" s="8">
        <v>393.75</v>
      </c>
      <c r="C11902" s="8">
        <v>20.478950000000001</v>
      </c>
      <c r="D11902" s="8">
        <v>92</v>
      </c>
      <c r="E11902" s="8">
        <v>0</v>
      </c>
      <c r="F11902" s="8">
        <v>0</v>
      </c>
      <c r="G11902" s="8">
        <v>1</v>
      </c>
      <c r="H11902" s="8" t="s">
        <v>24119</v>
      </c>
      <c r="I11902" s="8">
        <v>526.6875</v>
      </c>
      <c r="J11902" s="3">
        <f t="shared" si="185"/>
        <v>43748.356819490735</v>
      </c>
    </row>
    <row r="11903" spans="1:10" x14ac:dyDescent="0.25">
      <c r="A11903" s="5" t="s">
        <v>24120</v>
      </c>
      <c r="B11903" s="6">
        <v>393.75</v>
      </c>
      <c r="C11903" s="6">
        <v>20.478950000000001</v>
      </c>
      <c r="D11903" s="6">
        <v>92</v>
      </c>
      <c r="E11903" s="6">
        <v>0</v>
      </c>
      <c r="F11903" s="6">
        <v>0</v>
      </c>
      <c r="G11903" s="6">
        <v>7</v>
      </c>
      <c r="H11903" s="6" t="s">
        <v>24121</v>
      </c>
      <c r="I11903" s="6">
        <v>526.6875</v>
      </c>
      <c r="J11903" s="2">
        <f t="shared" si="185"/>
        <v>43748.356902800922</v>
      </c>
    </row>
    <row r="11904" spans="1:10" x14ac:dyDescent="0.25">
      <c r="A11904" s="7" t="s">
        <v>24122</v>
      </c>
      <c r="B11904" s="8">
        <v>393.75</v>
      </c>
      <c r="C11904" s="8">
        <v>20.478950000000001</v>
      </c>
      <c r="D11904" s="8">
        <v>92</v>
      </c>
      <c r="E11904" s="8">
        <v>0</v>
      </c>
      <c r="F11904" s="8">
        <v>0</v>
      </c>
      <c r="G11904" s="8">
        <v>3</v>
      </c>
      <c r="H11904" s="8" t="s">
        <v>24123</v>
      </c>
      <c r="I11904" s="8">
        <v>526.6875</v>
      </c>
      <c r="J11904" s="3">
        <f t="shared" si="185"/>
        <v>43748.356986145831</v>
      </c>
    </row>
    <row r="11905" spans="1:10" x14ac:dyDescent="0.25">
      <c r="A11905" s="5" t="s">
        <v>24124</v>
      </c>
      <c r="B11905" s="6">
        <v>393.75</v>
      </c>
      <c r="C11905" s="6">
        <v>20.478950000000001</v>
      </c>
      <c r="D11905" s="6">
        <v>92</v>
      </c>
      <c r="E11905" s="6">
        <v>0</v>
      </c>
      <c r="F11905" s="6">
        <v>0</v>
      </c>
      <c r="G11905" s="6">
        <v>0</v>
      </c>
      <c r="H11905" s="6" t="s">
        <v>24125</v>
      </c>
      <c r="I11905" s="6">
        <v>526.5</v>
      </c>
      <c r="J11905" s="2">
        <f t="shared" si="185"/>
        <v>43748.357069710641</v>
      </c>
    </row>
    <row r="11906" spans="1:10" x14ac:dyDescent="0.25">
      <c r="A11906" s="7" t="s">
        <v>24126</v>
      </c>
      <c r="B11906" s="8">
        <v>393.75</v>
      </c>
      <c r="C11906" s="8">
        <v>20.478950000000001</v>
      </c>
      <c r="D11906" s="8">
        <v>91</v>
      </c>
      <c r="E11906" s="8">
        <v>0</v>
      </c>
      <c r="F11906" s="8">
        <v>0</v>
      </c>
      <c r="G11906" s="8">
        <v>3</v>
      </c>
      <c r="H11906" s="8" t="s">
        <v>24127</v>
      </c>
      <c r="I11906" s="8">
        <v>526.6875</v>
      </c>
      <c r="J11906" s="3">
        <f t="shared" ref="J11906:J11969" si="186">(H11906/86400000)+25569+(7/24)</f>
        <v>43748.357153020836</v>
      </c>
    </row>
    <row r="11907" spans="1:10" x14ac:dyDescent="0.25">
      <c r="A11907" s="5" t="s">
        <v>24128</v>
      </c>
      <c r="B11907" s="6">
        <v>393.75</v>
      </c>
      <c r="C11907" s="6">
        <v>20.478950000000001</v>
      </c>
      <c r="D11907" s="6">
        <v>91</v>
      </c>
      <c r="E11907" s="6">
        <v>0</v>
      </c>
      <c r="F11907" s="6">
        <v>0</v>
      </c>
      <c r="G11907" s="6">
        <v>6</v>
      </c>
      <c r="H11907" s="6" t="s">
        <v>24129</v>
      </c>
      <c r="I11907" s="6">
        <v>526.6875</v>
      </c>
      <c r="J11907" s="2">
        <f t="shared" si="186"/>
        <v>43748.357224456013</v>
      </c>
    </row>
    <row r="11908" spans="1:10" x14ac:dyDescent="0.25">
      <c r="A11908" s="7" t="s">
        <v>24130</v>
      </c>
      <c r="B11908" s="8">
        <v>393.75</v>
      </c>
      <c r="C11908" s="8">
        <v>20.478950000000001</v>
      </c>
      <c r="D11908" s="8">
        <v>92</v>
      </c>
      <c r="E11908" s="8">
        <v>0</v>
      </c>
      <c r="F11908" s="8">
        <v>0</v>
      </c>
      <c r="G11908" s="8">
        <v>4</v>
      </c>
      <c r="H11908" s="8" t="s">
        <v>24131</v>
      </c>
      <c r="I11908" s="8">
        <v>526.6875</v>
      </c>
      <c r="J11908" s="3">
        <f t="shared" si="186"/>
        <v>43748.357308379629</v>
      </c>
    </row>
    <row r="11909" spans="1:10" x14ac:dyDescent="0.25">
      <c r="A11909" s="5" t="s">
        <v>24132</v>
      </c>
      <c r="B11909" s="6">
        <v>393.75</v>
      </c>
      <c r="C11909" s="6">
        <v>20.478950000000001</v>
      </c>
      <c r="D11909" s="6">
        <v>91</v>
      </c>
      <c r="E11909" s="6">
        <v>0</v>
      </c>
      <c r="F11909" s="6">
        <v>0</v>
      </c>
      <c r="G11909" s="6">
        <v>1</v>
      </c>
      <c r="H11909" s="6" t="s">
        <v>24133</v>
      </c>
      <c r="I11909" s="6">
        <v>526.6875</v>
      </c>
      <c r="J11909" s="2">
        <f t="shared" si="186"/>
        <v>43748.357391689809</v>
      </c>
    </row>
    <row r="11910" spans="1:10" x14ac:dyDescent="0.25">
      <c r="A11910" s="7" t="s">
        <v>24134</v>
      </c>
      <c r="B11910" s="8">
        <v>393.75</v>
      </c>
      <c r="C11910" s="8">
        <v>20.478950000000001</v>
      </c>
      <c r="D11910" s="8">
        <v>92</v>
      </c>
      <c r="E11910" s="8">
        <v>0</v>
      </c>
      <c r="F11910" s="8">
        <v>0</v>
      </c>
      <c r="G11910" s="8">
        <v>7</v>
      </c>
      <c r="H11910" s="8" t="s">
        <v>24135</v>
      </c>
      <c r="I11910" s="8">
        <v>526.6875</v>
      </c>
      <c r="J11910" s="3">
        <f t="shared" si="186"/>
        <v>43748.357475034725</v>
      </c>
    </row>
    <row r="11911" spans="1:10" x14ac:dyDescent="0.25">
      <c r="A11911" s="5" t="s">
        <v>24136</v>
      </c>
      <c r="B11911" s="6">
        <v>393.75</v>
      </c>
      <c r="C11911" s="6">
        <v>20.478950000000001</v>
      </c>
      <c r="D11911" s="6">
        <v>92</v>
      </c>
      <c r="E11911" s="6">
        <v>0</v>
      </c>
      <c r="F11911" s="6">
        <v>0</v>
      </c>
      <c r="G11911" s="6">
        <v>5</v>
      </c>
      <c r="H11911" s="6" t="s">
        <v>24137</v>
      </c>
      <c r="I11911" s="6">
        <v>526.5</v>
      </c>
      <c r="J11911" s="2">
        <f t="shared" si="186"/>
        <v>43748.357546689811</v>
      </c>
    </row>
    <row r="11912" spans="1:10" x14ac:dyDescent="0.25">
      <c r="A11912" s="7" t="s">
        <v>24138</v>
      </c>
      <c r="B11912" s="8">
        <v>393.75</v>
      </c>
      <c r="C11912" s="8">
        <v>20.478950000000001</v>
      </c>
      <c r="D11912" s="8">
        <v>89</v>
      </c>
      <c r="E11912" s="8">
        <v>0</v>
      </c>
      <c r="F11912" s="8">
        <v>0</v>
      </c>
      <c r="G11912" s="8">
        <v>3</v>
      </c>
      <c r="H11912" s="8" t="s">
        <v>24139</v>
      </c>
      <c r="I11912" s="8">
        <v>526.6875</v>
      </c>
      <c r="J11912" s="3">
        <f t="shared" si="186"/>
        <v>43748.357630254628</v>
      </c>
    </row>
    <row r="11913" spans="1:10" x14ac:dyDescent="0.25">
      <c r="A11913" s="5" t="s">
        <v>24140</v>
      </c>
      <c r="B11913" s="6">
        <v>393.75</v>
      </c>
      <c r="C11913" s="6">
        <v>20.478950000000001</v>
      </c>
      <c r="D11913" s="6">
        <v>90</v>
      </c>
      <c r="E11913" s="6">
        <v>0</v>
      </c>
      <c r="F11913" s="6">
        <v>0</v>
      </c>
      <c r="G11913" s="6">
        <v>0</v>
      </c>
      <c r="H11913" s="6" t="s">
        <v>24141</v>
      </c>
      <c r="I11913" s="6">
        <v>526.6875</v>
      </c>
      <c r="J11913" s="2">
        <f t="shared" si="186"/>
        <v>43748.357713703699</v>
      </c>
    </row>
    <row r="11914" spans="1:10" x14ac:dyDescent="0.25">
      <c r="A11914" s="7" t="s">
        <v>24142</v>
      </c>
      <c r="B11914" s="8">
        <v>393.75</v>
      </c>
      <c r="C11914" s="8">
        <v>20.478950000000001</v>
      </c>
      <c r="D11914" s="8">
        <v>90</v>
      </c>
      <c r="E11914" s="8">
        <v>0</v>
      </c>
      <c r="F11914" s="8">
        <v>0</v>
      </c>
      <c r="G11914" s="8">
        <v>0</v>
      </c>
      <c r="H11914" s="8" t="s">
        <v>24143</v>
      </c>
      <c r="I11914" s="8">
        <v>526.5</v>
      </c>
      <c r="J11914" s="3">
        <f t="shared" si="186"/>
        <v>43748.357797280092</v>
      </c>
    </row>
    <row r="11915" spans="1:10" x14ac:dyDescent="0.25">
      <c r="A11915" s="5" t="s">
        <v>24144</v>
      </c>
      <c r="B11915" s="6">
        <v>393.75</v>
      </c>
      <c r="C11915" s="6">
        <v>20.478950000000001</v>
      </c>
      <c r="D11915" s="6">
        <v>91</v>
      </c>
      <c r="E11915" s="6">
        <v>0</v>
      </c>
      <c r="F11915" s="6">
        <v>0</v>
      </c>
      <c r="G11915" s="6">
        <v>13</v>
      </c>
      <c r="H11915" s="6" t="s">
        <v>24145</v>
      </c>
      <c r="I11915" s="6">
        <v>526.6875</v>
      </c>
      <c r="J11915" s="2">
        <f t="shared" si="186"/>
        <v>43748.357880717587</v>
      </c>
    </row>
    <row r="11916" spans="1:10" x14ac:dyDescent="0.25">
      <c r="A11916" s="7" t="s">
        <v>24146</v>
      </c>
      <c r="B11916" s="8">
        <v>393.75</v>
      </c>
      <c r="C11916" s="8">
        <v>20.478950000000001</v>
      </c>
      <c r="D11916" s="8">
        <v>93</v>
      </c>
      <c r="E11916" s="8">
        <v>0</v>
      </c>
      <c r="F11916" s="8">
        <v>0</v>
      </c>
      <c r="G11916" s="8">
        <v>10</v>
      </c>
      <c r="H11916" s="8" t="s">
        <v>24147</v>
      </c>
      <c r="I11916" s="8">
        <v>526.5</v>
      </c>
      <c r="J11916" s="3">
        <f t="shared" si="186"/>
        <v>43748.357963912036</v>
      </c>
    </row>
    <row r="11917" spans="1:10" x14ac:dyDescent="0.25">
      <c r="A11917" s="5" t="s">
        <v>24148</v>
      </c>
      <c r="B11917" s="6">
        <v>412.5</v>
      </c>
      <c r="C11917" s="6">
        <v>20.478950000000001</v>
      </c>
      <c r="D11917" s="6">
        <v>93</v>
      </c>
      <c r="E11917" s="6">
        <v>0</v>
      </c>
      <c r="F11917" s="6">
        <v>0</v>
      </c>
      <c r="G11917" s="6">
        <v>3</v>
      </c>
      <c r="H11917" s="6" t="s">
        <v>24149</v>
      </c>
      <c r="I11917" s="6">
        <v>532.3125</v>
      </c>
      <c r="J11917" s="2">
        <f t="shared" si="186"/>
        <v>43748.358035567122</v>
      </c>
    </row>
    <row r="11918" spans="1:10" x14ac:dyDescent="0.25">
      <c r="A11918" s="7" t="s">
        <v>24150</v>
      </c>
      <c r="B11918" s="8">
        <v>393.75</v>
      </c>
      <c r="C11918" s="8">
        <v>20.426300000000001</v>
      </c>
      <c r="D11918" s="8">
        <v>98</v>
      </c>
      <c r="E11918" s="8">
        <v>0</v>
      </c>
      <c r="F11918" s="8">
        <v>0</v>
      </c>
      <c r="G11918" s="8">
        <v>1</v>
      </c>
      <c r="H11918" s="8" t="s">
        <v>24151</v>
      </c>
      <c r="I11918" s="8">
        <v>526.6875</v>
      </c>
      <c r="J11918" s="3">
        <f t="shared" si="186"/>
        <v>43748.358119155091</v>
      </c>
    </row>
    <row r="11919" spans="1:10" x14ac:dyDescent="0.25">
      <c r="A11919" s="5" t="s">
        <v>24152</v>
      </c>
      <c r="B11919" s="6">
        <v>393.75</v>
      </c>
      <c r="C11919" s="6">
        <v>20.478950000000001</v>
      </c>
      <c r="D11919" s="6">
        <v>96</v>
      </c>
      <c r="E11919" s="6">
        <v>0</v>
      </c>
      <c r="F11919" s="6">
        <v>0</v>
      </c>
      <c r="G11919" s="6">
        <v>0</v>
      </c>
      <c r="H11919" s="6" t="s">
        <v>24153</v>
      </c>
      <c r="I11919" s="6">
        <v>526.6875</v>
      </c>
      <c r="J11919" s="2">
        <f t="shared" si="186"/>
        <v>43748.358202581017</v>
      </c>
    </row>
    <row r="11920" spans="1:10" x14ac:dyDescent="0.25">
      <c r="A11920" s="7" t="s">
        <v>24154</v>
      </c>
      <c r="B11920" s="8">
        <v>393.75</v>
      </c>
      <c r="C11920" s="8">
        <v>20.478950000000001</v>
      </c>
      <c r="D11920" s="8">
        <v>93</v>
      </c>
      <c r="E11920" s="8">
        <v>0</v>
      </c>
      <c r="F11920" s="8">
        <v>0</v>
      </c>
      <c r="G11920" s="8">
        <v>9</v>
      </c>
      <c r="H11920" s="8" t="s">
        <v>24155</v>
      </c>
      <c r="I11920" s="8">
        <v>526.6875</v>
      </c>
      <c r="J11920" s="3">
        <f t="shared" si="186"/>
        <v>43748.358286145834</v>
      </c>
    </row>
    <row r="11921" spans="1:10" x14ac:dyDescent="0.25">
      <c r="A11921" s="5" t="s">
        <v>24156</v>
      </c>
      <c r="B11921" s="6">
        <v>393.75</v>
      </c>
      <c r="C11921" s="6">
        <v>20.478950000000001</v>
      </c>
      <c r="D11921" s="6">
        <v>93</v>
      </c>
      <c r="E11921" s="6">
        <v>0</v>
      </c>
      <c r="F11921" s="6">
        <v>0</v>
      </c>
      <c r="G11921" s="6">
        <v>0</v>
      </c>
      <c r="H11921" s="6" t="s">
        <v>24157</v>
      </c>
      <c r="I11921" s="6">
        <v>526.6875</v>
      </c>
      <c r="J11921" s="2">
        <f t="shared" si="186"/>
        <v>43748.358369606482</v>
      </c>
    </row>
    <row r="11922" spans="1:10" x14ac:dyDescent="0.25">
      <c r="A11922" s="7" t="s">
        <v>24158</v>
      </c>
      <c r="B11922" s="8">
        <v>412.5</v>
      </c>
      <c r="C11922" s="8">
        <v>20.478950000000001</v>
      </c>
      <c r="D11922" s="8">
        <v>93</v>
      </c>
      <c r="E11922" s="8">
        <v>0</v>
      </c>
      <c r="F11922" s="8">
        <v>0</v>
      </c>
      <c r="G11922" s="8">
        <v>5</v>
      </c>
      <c r="H11922" s="8" t="s">
        <v>24159</v>
      </c>
      <c r="I11922" s="8">
        <v>532.3125</v>
      </c>
      <c r="J11922" s="3">
        <f t="shared" si="186"/>
        <v>43748.358452824068</v>
      </c>
    </row>
    <row r="11923" spans="1:10" x14ac:dyDescent="0.25">
      <c r="A11923" s="5" t="s">
        <v>24160</v>
      </c>
      <c r="B11923" s="6">
        <v>396.875</v>
      </c>
      <c r="C11923" s="6">
        <v>20.478950000000001</v>
      </c>
      <c r="D11923" s="6">
        <v>94</v>
      </c>
      <c r="E11923" s="6">
        <v>0</v>
      </c>
      <c r="F11923" s="6">
        <v>0</v>
      </c>
      <c r="G11923" s="6">
        <v>7</v>
      </c>
      <c r="H11923" s="6" t="s">
        <v>24161</v>
      </c>
      <c r="I11923" s="6">
        <v>527.4375</v>
      </c>
      <c r="J11923" s="2">
        <f t="shared" si="186"/>
        <v>43748.358524791664</v>
      </c>
    </row>
    <row r="11924" spans="1:10" x14ac:dyDescent="0.25">
      <c r="A11924" s="7" t="s">
        <v>24162</v>
      </c>
      <c r="B11924" s="8">
        <v>396.875</v>
      </c>
      <c r="C11924" s="8">
        <v>20.478950000000001</v>
      </c>
      <c r="D11924" s="8">
        <v>94</v>
      </c>
      <c r="E11924" s="8">
        <v>0</v>
      </c>
      <c r="F11924" s="8">
        <v>0</v>
      </c>
      <c r="G11924" s="8">
        <v>19</v>
      </c>
      <c r="H11924" s="8" t="s">
        <v>24163</v>
      </c>
      <c r="I11924" s="8">
        <v>527.4375</v>
      </c>
      <c r="J11924" s="3">
        <f t="shared" si="186"/>
        <v>43748.358608136572</v>
      </c>
    </row>
    <row r="11925" spans="1:10" x14ac:dyDescent="0.25">
      <c r="A11925" s="5" t="s">
        <v>24164</v>
      </c>
      <c r="B11925" s="6">
        <v>396.875</v>
      </c>
      <c r="C11925" s="6">
        <v>20.478950000000001</v>
      </c>
      <c r="D11925" s="6">
        <v>94</v>
      </c>
      <c r="E11925" s="6">
        <v>0</v>
      </c>
      <c r="F11925" s="6">
        <v>0</v>
      </c>
      <c r="G11925" s="6">
        <v>6</v>
      </c>
      <c r="H11925" s="6" t="s">
        <v>24165</v>
      </c>
      <c r="I11925" s="6">
        <v>527.4375</v>
      </c>
      <c r="J11925" s="2">
        <f t="shared" si="186"/>
        <v>43748.35869158565</v>
      </c>
    </row>
    <row r="11926" spans="1:10" x14ac:dyDescent="0.25">
      <c r="A11926" s="7" t="s">
        <v>24166</v>
      </c>
      <c r="B11926" s="8">
        <v>396.875</v>
      </c>
      <c r="C11926" s="8">
        <v>20.478950000000001</v>
      </c>
      <c r="D11926" s="8">
        <v>94</v>
      </c>
      <c r="E11926" s="8">
        <v>0</v>
      </c>
      <c r="F11926" s="8">
        <v>0</v>
      </c>
      <c r="G11926" s="8">
        <v>4</v>
      </c>
      <c r="H11926" s="8" t="s">
        <v>24167</v>
      </c>
      <c r="I11926" s="8">
        <v>527.4375</v>
      </c>
      <c r="J11926" s="3">
        <f t="shared" si="186"/>
        <v>43748.358775023145</v>
      </c>
    </row>
    <row r="11927" spans="1:10" x14ac:dyDescent="0.25">
      <c r="A11927" s="5" t="s">
        <v>24168</v>
      </c>
      <c r="B11927" s="6">
        <v>396.875</v>
      </c>
      <c r="C11927" s="6">
        <v>20.478950000000001</v>
      </c>
      <c r="D11927" s="6">
        <v>94</v>
      </c>
      <c r="E11927" s="6">
        <v>0</v>
      </c>
      <c r="F11927" s="6">
        <v>0</v>
      </c>
      <c r="G11927" s="6">
        <v>4</v>
      </c>
      <c r="H11927" s="6" t="s">
        <v>24169</v>
      </c>
      <c r="I11927" s="6">
        <v>527.4375</v>
      </c>
      <c r="J11927" s="2">
        <f t="shared" si="186"/>
        <v>43748.358858483793</v>
      </c>
    </row>
    <row r="11928" spans="1:10" x14ac:dyDescent="0.25">
      <c r="A11928" s="7" t="s">
        <v>24170</v>
      </c>
      <c r="B11928" s="8">
        <v>396.875</v>
      </c>
      <c r="C11928" s="8">
        <v>20.478950000000001</v>
      </c>
      <c r="D11928" s="8">
        <v>94</v>
      </c>
      <c r="E11928" s="8">
        <v>0</v>
      </c>
      <c r="F11928" s="8">
        <v>0</v>
      </c>
      <c r="G11928" s="8">
        <v>11</v>
      </c>
      <c r="H11928" s="8" t="s">
        <v>24171</v>
      </c>
      <c r="I11928" s="8">
        <v>527.4375</v>
      </c>
      <c r="J11928" s="3">
        <f t="shared" si="186"/>
        <v>43748.358941712962</v>
      </c>
    </row>
    <row r="11929" spans="1:10" x14ac:dyDescent="0.25">
      <c r="A11929" s="5" t="s">
        <v>24172</v>
      </c>
      <c r="B11929" s="6">
        <v>396.875</v>
      </c>
      <c r="C11929" s="6">
        <v>20.478950000000001</v>
      </c>
      <c r="D11929" s="6">
        <v>95</v>
      </c>
      <c r="E11929" s="6">
        <v>0</v>
      </c>
      <c r="F11929" s="6">
        <v>0</v>
      </c>
      <c r="G11929" s="6">
        <v>5</v>
      </c>
      <c r="H11929" s="6" t="s">
        <v>24173</v>
      </c>
      <c r="I11929" s="6">
        <v>527.4375</v>
      </c>
      <c r="J11929" s="2">
        <f t="shared" si="186"/>
        <v>43748.359037430557</v>
      </c>
    </row>
    <row r="11930" spans="1:10" x14ac:dyDescent="0.25">
      <c r="A11930" s="7" t="s">
        <v>24174</v>
      </c>
      <c r="B11930" s="8">
        <v>393.75</v>
      </c>
      <c r="C11930" s="8">
        <v>20.478950000000001</v>
      </c>
      <c r="D11930" s="8">
        <v>95</v>
      </c>
      <c r="E11930" s="8">
        <v>0</v>
      </c>
      <c r="F11930" s="8">
        <v>0</v>
      </c>
      <c r="G11930" s="8">
        <v>0</v>
      </c>
      <c r="H11930" s="8" t="s">
        <v>24175</v>
      </c>
      <c r="I11930" s="8">
        <v>526.6875</v>
      </c>
      <c r="J11930" s="3">
        <f t="shared" si="186"/>
        <v>43748.359120868052</v>
      </c>
    </row>
    <row r="11931" spans="1:10" x14ac:dyDescent="0.25">
      <c r="A11931" s="5" t="s">
        <v>24176</v>
      </c>
      <c r="B11931" s="6">
        <v>393.75</v>
      </c>
      <c r="C11931" s="6">
        <v>20.478950000000001</v>
      </c>
      <c r="D11931" s="6">
        <v>95</v>
      </c>
      <c r="E11931" s="6">
        <v>0</v>
      </c>
      <c r="F11931" s="6">
        <v>0</v>
      </c>
      <c r="G11931" s="6">
        <v>3</v>
      </c>
      <c r="H11931" s="6" t="s">
        <v>24177</v>
      </c>
      <c r="I11931" s="6">
        <v>526.6875</v>
      </c>
      <c r="J11931" s="2">
        <f t="shared" si="186"/>
        <v>43748.359204421293</v>
      </c>
    </row>
    <row r="11932" spans="1:10" x14ac:dyDescent="0.25">
      <c r="A11932" s="7" t="s">
        <v>24178</v>
      </c>
      <c r="B11932" s="8">
        <v>393.75</v>
      </c>
      <c r="C11932" s="8">
        <v>20.478950000000001</v>
      </c>
      <c r="D11932" s="8">
        <v>95</v>
      </c>
      <c r="E11932" s="8">
        <v>0</v>
      </c>
      <c r="F11932" s="8">
        <v>0</v>
      </c>
      <c r="G11932" s="8">
        <v>8</v>
      </c>
      <c r="H11932" s="8" t="s">
        <v>24179</v>
      </c>
      <c r="I11932" s="8">
        <v>526.6875</v>
      </c>
      <c r="J11932" s="3">
        <f t="shared" si="186"/>
        <v>43748.359287627311</v>
      </c>
    </row>
    <row r="11933" spans="1:10" x14ac:dyDescent="0.25">
      <c r="A11933" s="5" t="s">
        <v>24180</v>
      </c>
      <c r="B11933" s="6">
        <v>393.75</v>
      </c>
      <c r="C11933" s="6">
        <v>20.478950000000001</v>
      </c>
      <c r="D11933" s="6">
        <v>91</v>
      </c>
      <c r="E11933" s="6">
        <v>0</v>
      </c>
      <c r="F11933" s="6">
        <v>0</v>
      </c>
      <c r="G11933" s="6">
        <v>3</v>
      </c>
      <c r="H11933" s="6" t="s">
        <v>24181</v>
      </c>
      <c r="I11933" s="6">
        <v>526.6875</v>
      </c>
      <c r="J11933" s="2">
        <f t="shared" si="186"/>
        <v>43748.359359513888</v>
      </c>
    </row>
    <row r="11934" spans="1:10" x14ac:dyDescent="0.25">
      <c r="A11934" s="7" t="s">
        <v>24182</v>
      </c>
      <c r="B11934" s="8">
        <v>412.5</v>
      </c>
      <c r="C11934" s="8">
        <v>20.478950000000001</v>
      </c>
      <c r="D11934" s="8">
        <v>91</v>
      </c>
      <c r="E11934" s="8">
        <v>0</v>
      </c>
      <c r="F11934" s="8">
        <v>0</v>
      </c>
      <c r="G11934" s="8">
        <v>14</v>
      </c>
      <c r="H11934" s="8" t="s">
        <v>24183</v>
      </c>
      <c r="I11934" s="8">
        <v>532.3125</v>
      </c>
      <c r="J11934" s="3">
        <f t="shared" si="186"/>
        <v>43748.359442858789</v>
      </c>
    </row>
    <row r="11935" spans="1:10" x14ac:dyDescent="0.25">
      <c r="A11935" s="5" t="s">
        <v>24184</v>
      </c>
      <c r="B11935" s="6">
        <v>393.75</v>
      </c>
      <c r="C11935" s="6">
        <v>20.478950000000001</v>
      </c>
      <c r="D11935" s="6">
        <v>91</v>
      </c>
      <c r="E11935" s="6">
        <v>0</v>
      </c>
      <c r="F11935" s="6">
        <v>0</v>
      </c>
      <c r="G11935" s="6">
        <v>1</v>
      </c>
      <c r="H11935" s="6" t="s">
        <v>24185</v>
      </c>
      <c r="I11935" s="6">
        <v>526.6875</v>
      </c>
      <c r="J11935" s="2">
        <f t="shared" si="186"/>
        <v>43748.359514618052</v>
      </c>
    </row>
    <row r="11936" spans="1:10" x14ac:dyDescent="0.25">
      <c r="A11936" s="7" t="s">
        <v>24186</v>
      </c>
      <c r="B11936" s="8">
        <v>393.75</v>
      </c>
      <c r="C11936" s="8">
        <v>20.478950000000001</v>
      </c>
      <c r="D11936" s="8">
        <v>91</v>
      </c>
      <c r="E11936" s="8">
        <v>0</v>
      </c>
      <c r="F11936" s="8">
        <v>0</v>
      </c>
      <c r="G11936" s="8">
        <v>6</v>
      </c>
      <c r="H11936" s="8" t="s">
        <v>24187</v>
      </c>
      <c r="I11936" s="8">
        <v>526.6875</v>
      </c>
      <c r="J11936" s="3">
        <f t="shared" si="186"/>
        <v>43748.359598171293</v>
      </c>
    </row>
    <row r="11937" spans="1:10" x14ac:dyDescent="0.25">
      <c r="A11937" s="5" t="s">
        <v>24188</v>
      </c>
      <c r="B11937" s="6">
        <v>393.75</v>
      </c>
      <c r="C11937" s="6">
        <v>20.478950000000001</v>
      </c>
      <c r="D11937" s="6">
        <v>90</v>
      </c>
      <c r="E11937" s="6">
        <v>0</v>
      </c>
      <c r="F11937" s="6">
        <v>0</v>
      </c>
      <c r="G11937" s="6">
        <v>3</v>
      </c>
      <c r="H11937" s="6" t="s">
        <v>24189</v>
      </c>
      <c r="I11937" s="6">
        <v>526.6875</v>
      </c>
      <c r="J11937" s="2">
        <f t="shared" si="186"/>
        <v>43748.359669467587</v>
      </c>
    </row>
    <row r="11938" spans="1:10" x14ac:dyDescent="0.25">
      <c r="A11938" s="7" t="s">
        <v>24190</v>
      </c>
      <c r="B11938" s="8">
        <v>393.75</v>
      </c>
      <c r="C11938" s="8">
        <v>20.478950000000001</v>
      </c>
      <c r="D11938" s="8">
        <v>89</v>
      </c>
      <c r="E11938" s="8">
        <v>0</v>
      </c>
      <c r="F11938" s="8">
        <v>0</v>
      </c>
      <c r="G11938" s="8">
        <v>2</v>
      </c>
      <c r="H11938" s="8" t="s">
        <v>24191</v>
      </c>
      <c r="I11938" s="8">
        <v>526.6875</v>
      </c>
      <c r="J11938" s="3">
        <f t="shared" si="186"/>
        <v>43748.359752812503</v>
      </c>
    </row>
    <row r="11939" spans="1:10" x14ac:dyDescent="0.25">
      <c r="A11939" s="5" t="s">
        <v>24192</v>
      </c>
      <c r="B11939" s="6">
        <v>393.75</v>
      </c>
      <c r="C11939" s="6">
        <v>20.478950000000001</v>
      </c>
      <c r="D11939" s="6">
        <v>89</v>
      </c>
      <c r="E11939" s="6">
        <v>0</v>
      </c>
      <c r="F11939" s="6">
        <v>0</v>
      </c>
      <c r="G11939" s="6">
        <v>7</v>
      </c>
      <c r="H11939" s="6" t="s">
        <v>24193</v>
      </c>
      <c r="I11939" s="6">
        <v>526.5</v>
      </c>
      <c r="J11939" s="2">
        <f t="shared" si="186"/>
        <v>43748.359824444444</v>
      </c>
    </row>
    <row r="11940" spans="1:10" x14ac:dyDescent="0.25">
      <c r="A11940" s="7" t="s">
        <v>24194</v>
      </c>
      <c r="B11940" s="8">
        <v>412.5</v>
      </c>
      <c r="C11940" s="8">
        <v>20.478950000000001</v>
      </c>
      <c r="D11940" s="8">
        <v>88</v>
      </c>
      <c r="E11940" s="8">
        <v>0</v>
      </c>
      <c r="F11940" s="8">
        <v>0</v>
      </c>
      <c r="G11940" s="8">
        <v>0</v>
      </c>
      <c r="H11940" s="8" t="s">
        <v>24195</v>
      </c>
      <c r="I11940" s="8">
        <v>532.3125</v>
      </c>
      <c r="J11940" s="3">
        <f t="shared" si="186"/>
        <v>43748.35990802083</v>
      </c>
    </row>
    <row r="11941" spans="1:10" x14ac:dyDescent="0.25">
      <c r="A11941" s="5" t="s">
        <v>24196</v>
      </c>
      <c r="B11941" s="6">
        <v>393.75</v>
      </c>
      <c r="C11941" s="6">
        <v>20.478950000000001</v>
      </c>
      <c r="D11941" s="6">
        <v>88</v>
      </c>
      <c r="E11941" s="6">
        <v>0</v>
      </c>
      <c r="F11941" s="6">
        <v>0</v>
      </c>
      <c r="G11941" s="6">
        <v>1</v>
      </c>
      <c r="H11941" s="6" t="s">
        <v>24197</v>
      </c>
      <c r="I11941" s="6">
        <v>526.6875</v>
      </c>
      <c r="J11941" s="2">
        <f t="shared" si="186"/>
        <v>43748.359991469908</v>
      </c>
    </row>
    <row r="11942" spans="1:10" x14ac:dyDescent="0.25">
      <c r="A11942" s="7" t="s">
        <v>24198</v>
      </c>
      <c r="B11942" s="8">
        <v>393.75</v>
      </c>
      <c r="C11942" s="8">
        <v>20.478950000000001</v>
      </c>
      <c r="D11942" s="8">
        <v>89</v>
      </c>
      <c r="E11942" s="8">
        <v>0</v>
      </c>
      <c r="F11942" s="8">
        <v>0</v>
      </c>
      <c r="G11942" s="8">
        <v>16</v>
      </c>
      <c r="H11942" s="8" t="s">
        <v>24199</v>
      </c>
      <c r="I11942" s="8">
        <v>526.6875</v>
      </c>
      <c r="J11942" s="3">
        <f t="shared" si="186"/>
        <v>43748.36007505787</v>
      </c>
    </row>
    <row r="11943" spans="1:10" x14ac:dyDescent="0.25">
      <c r="A11943" s="5" t="s">
        <v>24200</v>
      </c>
      <c r="B11943" s="6">
        <v>393.75</v>
      </c>
      <c r="C11943" s="6">
        <v>20.478950000000001</v>
      </c>
      <c r="D11943" s="6">
        <v>90</v>
      </c>
      <c r="E11943" s="6">
        <v>0</v>
      </c>
      <c r="F11943" s="6">
        <v>0</v>
      </c>
      <c r="G11943" s="6">
        <v>7</v>
      </c>
      <c r="H11943" s="6" t="s">
        <v>24201</v>
      </c>
      <c r="I11943" s="6">
        <v>526.5</v>
      </c>
      <c r="J11943" s="2">
        <f t="shared" si="186"/>
        <v>43748.360158483796</v>
      </c>
    </row>
    <row r="11944" spans="1:10" x14ac:dyDescent="0.25">
      <c r="A11944" s="7" t="s">
        <v>24202</v>
      </c>
      <c r="B11944" s="8">
        <v>393.75</v>
      </c>
      <c r="C11944" s="8">
        <v>20.478950000000001</v>
      </c>
      <c r="D11944" s="8">
        <v>90</v>
      </c>
      <c r="E11944" s="8">
        <v>0</v>
      </c>
      <c r="F11944" s="8">
        <v>0</v>
      </c>
      <c r="G11944" s="8">
        <v>3</v>
      </c>
      <c r="H11944" s="8" t="s">
        <v>24203</v>
      </c>
      <c r="I11944" s="8">
        <v>526.6875</v>
      </c>
      <c r="J11944" s="3">
        <f t="shared" si="186"/>
        <v>43748.360241701383</v>
      </c>
    </row>
    <row r="11945" spans="1:10" x14ac:dyDescent="0.25">
      <c r="A11945" s="5" t="s">
        <v>24204</v>
      </c>
      <c r="B11945" s="6">
        <v>393.75</v>
      </c>
      <c r="C11945" s="6">
        <v>20.478950000000001</v>
      </c>
      <c r="D11945" s="6">
        <v>90</v>
      </c>
      <c r="E11945" s="6">
        <v>0</v>
      </c>
      <c r="F11945" s="6">
        <v>0</v>
      </c>
      <c r="G11945" s="6">
        <v>1</v>
      </c>
      <c r="H11945" s="6" t="s">
        <v>24205</v>
      </c>
      <c r="I11945" s="6">
        <v>526.6875</v>
      </c>
      <c r="J11945" s="2">
        <f t="shared" si="186"/>
        <v>43748.360313576391</v>
      </c>
    </row>
    <row r="11946" spans="1:10" x14ac:dyDescent="0.25">
      <c r="A11946" s="7" t="s">
        <v>24206</v>
      </c>
      <c r="B11946" s="8">
        <v>393.75</v>
      </c>
      <c r="C11946" s="8">
        <v>20.478950000000001</v>
      </c>
      <c r="D11946" s="8">
        <v>87</v>
      </c>
      <c r="E11946" s="8">
        <v>0</v>
      </c>
      <c r="F11946" s="8">
        <v>0</v>
      </c>
      <c r="G11946" s="8">
        <v>2</v>
      </c>
      <c r="H11946" s="8" t="s">
        <v>24207</v>
      </c>
      <c r="I11946" s="8">
        <v>526.6875</v>
      </c>
      <c r="J11946" s="3">
        <f t="shared" si="186"/>
        <v>43748.360397025455</v>
      </c>
    </row>
    <row r="11947" spans="1:10" x14ac:dyDescent="0.25">
      <c r="A11947" s="5" t="s">
        <v>24208</v>
      </c>
      <c r="B11947" s="6">
        <v>393.75</v>
      </c>
      <c r="C11947" s="6">
        <v>20.478950000000001</v>
      </c>
      <c r="D11947" s="6">
        <v>87</v>
      </c>
      <c r="E11947" s="6">
        <v>0</v>
      </c>
      <c r="F11947" s="6">
        <v>0</v>
      </c>
      <c r="G11947" s="6">
        <v>1</v>
      </c>
      <c r="H11947" s="6" t="s">
        <v>24209</v>
      </c>
      <c r="I11947" s="6">
        <v>526.6875</v>
      </c>
      <c r="J11947" s="2">
        <f t="shared" si="186"/>
        <v>43748.360480474534</v>
      </c>
    </row>
    <row r="11948" spans="1:10" x14ac:dyDescent="0.25">
      <c r="A11948" s="7" t="s">
        <v>24210</v>
      </c>
      <c r="B11948" s="8">
        <v>393.75</v>
      </c>
      <c r="C11948" s="8">
        <v>20.478950000000001</v>
      </c>
      <c r="D11948" s="8">
        <v>88</v>
      </c>
      <c r="E11948" s="8">
        <v>0</v>
      </c>
      <c r="F11948" s="8">
        <v>0</v>
      </c>
      <c r="G11948" s="8">
        <v>1</v>
      </c>
      <c r="H11948" s="8" t="s">
        <v>24211</v>
      </c>
      <c r="I11948" s="8">
        <v>526.6875</v>
      </c>
      <c r="J11948" s="3">
        <f t="shared" si="186"/>
        <v>43748.360563923612</v>
      </c>
    </row>
    <row r="11949" spans="1:10" x14ac:dyDescent="0.25">
      <c r="A11949" s="5" t="s">
        <v>24212</v>
      </c>
      <c r="B11949" s="6">
        <v>393.75</v>
      </c>
      <c r="C11949" s="6">
        <v>20.478950000000001</v>
      </c>
      <c r="D11949" s="6">
        <v>88</v>
      </c>
      <c r="E11949" s="6">
        <v>0</v>
      </c>
      <c r="F11949" s="6">
        <v>0</v>
      </c>
      <c r="G11949" s="6">
        <v>3</v>
      </c>
      <c r="H11949" s="6" t="s">
        <v>24213</v>
      </c>
      <c r="I11949" s="6">
        <v>526.6875</v>
      </c>
      <c r="J11949" s="2">
        <f t="shared" si="186"/>
        <v>43748.360635451383</v>
      </c>
    </row>
    <row r="11950" spans="1:10" x14ac:dyDescent="0.25">
      <c r="A11950" s="7" t="s">
        <v>24214</v>
      </c>
      <c r="B11950" s="8">
        <v>418.75</v>
      </c>
      <c r="C11950" s="8">
        <v>20.478950000000001</v>
      </c>
      <c r="D11950" s="8">
        <v>88</v>
      </c>
      <c r="E11950" s="8">
        <v>0</v>
      </c>
      <c r="F11950" s="8">
        <v>0</v>
      </c>
      <c r="G11950" s="8">
        <v>3</v>
      </c>
      <c r="H11950" s="8" t="s">
        <v>24215</v>
      </c>
      <c r="I11950" s="8">
        <v>534</v>
      </c>
      <c r="J11950" s="3">
        <f t="shared" si="186"/>
        <v>43748.360719004624</v>
      </c>
    </row>
    <row r="11951" spans="1:10" x14ac:dyDescent="0.25">
      <c r="A11951" s="5" t="s">
        <v>24216</v>
      </c>
      <c r="B11951" s="6">
        <v>393.75</v>
      </c>
      <c r="C11951" s="6">
        <v>20.478950000000001</v>
      </c>
      <c r="D11951" s="6">
        <v>88</v>
      </c>
      <c r="E11951" s="6">
        <v>0</v>
      </c>
      <c r="F11951" s="6">
        <v>0</v>
      </c>
      <c r="G11951" s="6">
        <v>4</v>
      </c>
      <c r="H11951" s="6" t="s">
        <v>24217</v>
      </c>
      <c r="I11951" s="6">
        <v>526.6875</v>
      </c>
      <c r="J11951" s="2">
        <f t="shared" si="186"/>
        <v>43748.360802465271</v>
      </c>
    </row>
    <row r="11952" spans="1:10" x14ac:dyDescent="0.25">
      <c r="A11952" s="7" t="s">
        <v>24218</v>
      </c>
      <c r="B11952" s="8">
        <v>393.75</v>
      </c>
      <c r="C11952" s="8">
        <v>20.478950000000001</v>
      </c>
      <c r="D11952" s="8">
        <v>89</v>
      </c>
      <c r="E11952" s="8">
        <v>0</v>
      </c>
      <c r="F11952" s="8">
        <v>0</v>
      </c>
      <c r="G11952" s="8">
        <v>1</v>
      </c>
      <c r="H11952" s="8" t="s">
        <v>24219</v>
      </c>
      <c r="I11952" s="8">
        <v>526.6875</v>
      </c>
      <c r="J11952" s="3">
        <f t="shared" si="186"/>
        <v>43748.360886168979</v>
      </c>
    </row>
    <row r="11953" spans="1:10" x14ac:dyDescent="0.25">
      <c r="A11953" s="5" t="s">
        <v>24220</v>
      </c>
      <c r="B11953" s="6">
        <v>393.75</v>
      </c>
      <c r="C11953" s="6">
        <v>20.478950000000001</v>
      </c>
      <c r="D11953" s="6">
        <v>87</v>
      </c>
      <c r="E11953" s="6">
        <v>0</v>
      </c>
      <c r="F11953" s="6">
        <v>0</v>
      </c>
      <c r="G11953" s="6">
        <v>2</v>
      </c>
      <c r="H11953" s="6" t="s">
        <v>24221</v>
      </c>
      <c r="I11953" s="6">
        <v>526.5</v>
      </c>
      <c r="J11953" s="2">
        <f t="shared" si="186"/>
        <v>43748.360969363428</v>
      </c>
    </row>
    <row r="11954" spans="1:10" x14ac:dyDescent="0.25">
      <c r="A11954" s="7" t="s">
        <v>24222</v>
      </c>
      <c r="B11954" s="8">
        <v>393.75</v>
      </c>
      <c r="C11954" s="8">
        <v>20.478950000000001</v>
      </c>
      <c r="D11954" s="8">
        <v>87</v>
      </c>
      <c r="E11954" s="8">
        <v>0</v>
      </c>
      <c r="F11954" s="8">
        <v>0</v>
      </c>
      <c r="G11954" s="8">
        <v>4</v>
      </c>
      <c r="H11954" s="8" t="s">
        <v>24223</v>
      </c>
      <c r="I11954" s="8">
        <v>526.5</v>
      </c>
      <c r="J11954" s="3">
        <f t="shared" si="186"/>
        <v>43748.361052812499</v>
      </c>
    </row>
    <row r="11955" spans="1:10" x14ac:dyDescent="0.25">
      <c r="A11955" s="5" t="s">
        <v>24224</v>
      </c>
      <c r="B11955" s="6">
        <v>393.75</v>
      </c>
      <c r="C11955" s="6">
        <v>20.478950000000001</v>
      </c>
      <c r="D11955" s="6">
        <v>88</v>
      </c>
      <c r="E11955" s="6">
        <v>0</v>
      </c>
      <c r="F11955" s="6">
        <v>0</v>
      </c>
      <c r="G11955" s="6">
        <v>0</v>
      </c>
      <c r="H11955" s="6" t="s">
        <v>24225</v>
      </c>
      <c r="I11955" s="6">
        <v>526.5</v>
      </c>
      <c r="J11955" s="2">
        <f t="shared" si="186"/>
        <v>43748.36113636574</v>
      </c>
    </row>
    <row r="11956" spans="1:10" x14ac:dyDescent="0.25">
      <c r="A11956" s="7" t="s">
        <v>24226</v>
      </c>
      <c r="B11956" s="8">
        <v>393.75</v>
      </c>
      <c r="C11956" s="8">
        <v>20.478950000000001</v>
      </c>
      <c r="D11956" s="8">
        <v>89</v>
      </c>
      <c r="E11956" s="8">
        <v>0</v>
      </c>
      <c r="F11956" s="8">
        <v>0</v>
      </c>
      <c r="G11956" s="8">
        <v>5</v>
      </c>
      <c r="H11956" s="8" t="s">
        <v>24227</v>
      </c>
      <c r="I11956" s="8">
        <v>526.5</v>
      </c>
      <c r="J11956" s="3">
        <f t="shared" si="186"/>
        <v>43748.36121949074</v>
      </c>
    </row>
    <row r="11957" spans="1:10" x14ac:dyDescent="0.25">
      <c r="A11957" s="5" t="s">
        <v>24228</v>
      </c>
      <c r="B11957" s="6">
        <v>418.75</v>
      </c>
      <c r="C11957" s="6">
        <v>20.478950000000001</v>
      </c>
      <c r="D11957" s="6">
        <v>89</v>
      </c>
      <c r="E11957" s="6">
        <v>0</v>
      </c>
      <c r="F11957" s="6">
        <v>0</v>
      </c>
      <c r="G11957" s="6">
        <v>2</v>
      </c>
      <c r="H11957" s="6" t="s">
        <v>24229</v>
      </c>
      <c r="I11957" s="6">
        <v>534.5625</v>
      </c>
      <c r="J11957" s="2">
        <f t="shared" si="186"/>
        <v>43748.361291111105</v>
      </c>
    </row>
    <row r="11958" spans="1:10" x14ac:dyDescent="0.25">
      <c r="A11958" s="7" t="s">
        <v>24230</v>
      </c>
      <c r="B11958" s="8">
        <v>393.75</v>
      </c>
      <c r="C11958" s="8">
        <v>20.478950000000001</v>
      </c>
      <c r="D11958" s="8">
        <v>89</v>
      </c>
      <c r="E11958" s="8">
        <v>0</v>
      </c>
      <c r="F11958" s="8">
        <v>0</v>
      </c>
      <c r="G11958" s="8">
        <v>0</v>
      </c>
      <c r="H11958" s="8" t="s">
        <v>24231</v>
      </c>
      <c r="I11958" s="8">
        <v>526.6875</v>
      </c>
      <c r="J11958" s="3">
        <f t="shared" si="186"/>
        <v>43748.361375057873</v>
      </c>
    </row>
    <row r="11959" spans="1:10" x14ac:dyDescent="0.25">
      <c r="A11959" s="5" t="s">
        <v>24232</v>
      </c>
      <c r="B11959" s="6">
        <v>393.75</v>
      </c>
      <c r="C11959" s="6">
        <v>20.478950000000001</v>
      </c>
      <c r="D11959" s="6">
        <v>87</v>
      </c>
      <c r="E11959" s="6">
        <v>0</v>
      </c>
      <c r="F11959" s="6">
        <v>0</v>
      </c>
      <c r="G11959" s="6">
        <v>3</v>
      </c>
      <c r="H11959" s="6" t="s">
        <v>24233</v>
      </c>
      <c r="I11959" s="6">
        <v>526.6875</v>
      </c>
      <c r="J11959" s="2">
        <f t="shared" si="186"/>
        <v>43748.361458379622</v>
      </c>
    </row>
    <row r="11960" spans="1:10" x14ac:dyDescent="0.25">
      <c r="A11960" s="7" t="s">
        <v>24234</v>
      </c>
      <c r="B11960" s="8">
        <v>396.875</v>
      </c>
      <c r="C11960" s="8">
        <v>20.478950000000001</v>
      </c>
      <c r="D11960" s="8">
        <v>87</v>
      </c>
      <c r="E11960" s="8">
        <v>0</v>
      </c>
      <c r="F11960" s="8">
        <v>0</v>
      </c>
      <c r="G11960" s="8">
        <v>3</v>
      </c>
      <c r="H11960" s="8" t="s">
        <v>24235</v>
      </c>
      <c r="I11960" s="8">
        <v>527.4375</v>
      </c>
      <c r="J11960" s="3">
        <f t="shared" si="186"/>
        <v>43748.361541689817</v>
      </c>
    </row>
    <row r="11961" spans="1:10" x14ac:dyDescent="0.25">
      <c r="A11961" s="5" t="s">
        <v>24236</v>
      </c>
      <c r="B11961" s="6">
        <v>396.875</v>
      </c>
      <c r="C11961" s="6">
        <v>20.478950000000001</v>
      </c>
      <c r="D11961" s="6">
        <v>85</v>
      </c>
      <c r="E11961" s="6">
        <v>0</v>
      </c>
      <c r="F11961" s="6">
        <v>0</v>
      </c>
      <c r="G11961" s="6">
        <v>5</v>
      </c>
      <c r="H11961" s="6" t="s">
        <v>24237</v>
      </c>
      <c r="I11961" s="6">
        <v>527.4375</v>
      </c>
      <c r="J11961" s="2">
        <f t="shared" si="186"/>
        <v>43748.361625277779</v>
      </c>
    </row>
    <row r="11962" spans="1:10" x14ac:dyDescent="0.25">
      <c r="A11962" s="7" t="s">
        <v>24238</v>
      </c>
      <c r="B11962" s="8">
        <v>396.875</v>
      </c>
      <c r="C11962" s="8">
        <v>20.478950000000001</v>
      </c>
      <c r="D11962" s="8">
        <v>85</v>
      </c>
      <c r="E11962" s="8">
        <v>0</v>
      </c>
      <c r="F11962" s="8">
        <v>0</v>
      </c>
      <c r="G11962" s="8">
        <v>4</v>
      </c>
      <c r="H11962" s="8" t="s">
        <v>24239</v>
      </c>
      <c r="I11962" s="8">
        <v>527.4375</v>
      </c>
      <c r="J11962" s="3">
        <f t="shared" si="186"/>
        <v>43748.361720636567</v>
      </c>
    </row>
    <row r="11963" spans="1:10" x14ac:dyDescent="0.25">
      <c r="A11963" s="5" t="s">
        <v>24240</v>
      </c>
      <c r="B11963" s="6">
        <v>396.875</v>
      </c>
      <c r="C11963" s="6">
        <v>20.478950000000001</v>
      </c>
      <c r="D11963" s="6">
        <v>85</v>
      </c>
      <c r="E11963" s="6">
        <v>0</v>
      </c>
      <c r="F11963" s="6">
        <v>0</v>
      </c>
      <c r="G11963" s="6">
        <v>9</v>
      </c>
      <c r="H11963" s="6" t="s">
        <v>24241</v>
      </c>
      <c r="I11963" s="6">
        <v>527.25</v>
      </c>
      <c r="J11963" s="2">
        <f t="shared" si="186"/>
        <v>43748.361804189808</v>
      </c>
    </row>
    <row r="11964" spans="1:10" x14ac:dyDescent="0.25">
      <c r="A11964" s="5" t="s">
        <v>24242</v>
      </c>
      <c r="B11964" s="6">
        <v>418.75</v>
      </c>
      <c r="C11964" s="6">
        <v>20.478950000000001</v>
      </c>
      <c r="D11964" s="6">
        <v>91</v>
      </c>
      <c r="E11964" s="6">
        <v>0</v>
      </c>
      <c r="F11964" s="6">
        <v>0</v>
      </c>
      <c r="G11964" s="6">
        <v>3</v>
      </c>
      <c r="H11964" s="6" t="s">
        <v>24243</v>
      </c>
      <c r="I11964" s="6">
        <v>534.1875</v>
      </c>
      <c r="J11964" s="2">
        <f t="shared" si="186"/>
        <v>43748.364731805552</v>
      </c>
    </row>
    <row r="11965" spans="1:10" x14ac:dyDescent="0.25">
      <c r="A11965" s="7" t="s">
        <v>24244</v>
      </c>
      <c r="B11965" s="8">
        <v>393.75</v>
      </c>
      <c r="C11965" s="8">
        <v>20.478950000000001</v>
      </c>
      <c r="D11965" s="8">
        <v>91</v>
      </c>
      <c r="E11965" s="8">
        <v>0</v>
      </c>
      <c r="F11965" s="8">
        <v>0</v>
      </c>
      <c r="G11965" s="8">
        <v>0</v>
      </c>
      <c r="H11965" s="8" t="s">
        <v>24245</v>
      </c>
      <c r="I11965" s="8">
        <v>526.5</v>
      </c>
      <c r="J11965" s="3">
        <f t="shared" si="186"/>
        <v>43748.364809305553</v>
      </c>
    </row>
    <row r="11966" spans="1:10" x14ac:dyDescent="0.25">
      <c r="A11966" s="5" t="s">
        <v>24246</v>
      </c>
      <c r="B11966" s="6">
        <v>393.75</v>
      </c>
      <c r="C11966" s="6">
        <v>20.478950000000001</v>
      </c>
      <c r="D11966" s="6">
        <v>91</v>
      </c>
      <c r="E11966" s="6">
        <v>0</v>
      </c>
      <c r="F11966" s="6">
        <v>0</v>
      </c>
      <c r="G11966" s="6">
        <v>0</v>
      </c>
      <c r="H11966" s="6" t="s">
        <v>24247</v>
      </c>
      <c r="I11966" s="6">
        <v>526.6875</v>
      </c>
      <c r="J11966" s="2">
        <f t="shared" si="186"/>
        <v>43748.364880833331</v>
      </c>
    </row>
    <row r="11967" spans="1:10" x14ac:dyDescent="0.25">
      <c r="A11967" s="7" t="s">
        <v>24248</v>
      </c>
      <c r="B11967" s="8">
        <v>393.75</v>
      </c>
      <c r="C11967" s="8">
        <v>20.478950000000001</v>
      </c>
      <c r="D11967" s="8">
        <v>91</v>
      </c>
      <c r="E11967" s="8">
        <v>0</v>
      </c>
      <c r="F11967" s="8">
        <v>0</v>
      </c>
      <c r="G11967" s="8">
        <v>9</v>
      </c>
      <c r="H11967" s="8" t="s">
        <v>24249</v>
      </c>
      <c r="I11967" s="8">
        <v>526.6875</v>
      </c>
      <c r="J11967" s="3">
        <f t="shared" si="186"/>
        <v>43748.364963935186</v>
      </c>
    </row>
    <row r="11968" spans="1:10" x14ac:dyDescent="0.25">
      <c r="A11968" s="5" t="s">
        <v>24250</v>
      </c>
      <c r="B11968" s="6">
        <v>393.75</v>
      </c>
      <c r="C11968" s="6">
        <v>20.478950000000001</v>
      </c>
      <c r="D11968" s="6">
        <v>91</v>
      </c>
      <c r="E11968" s="6">
        <v>0</v>
      </c>
      <c r="F11968" s="6">
        <v>0</v>
      </c>
      <c r="G11968" s="6">
        <v>8</v>
      </c>
      <c r="H11968" s="6" t="s">
        <v>24251</v>
      </c>
      <c r="I11968" s="6">
        <v>526.5</v>
      </c>
      <c r="J11968" s="2">
        <f t="shared" si="186"/>
        <v>43748.365035590272</v>
      </c>
    </row>
    <row r="11969" spans="1:10" x14ac:dyDescent="0.25">
      <c r="A11969" s="7" t="s">
        <v>24252</v>
      </c>
      <c r="B11969" s="8">
        <v>393.75</v>
      </c>
      <c r="C11969" s="8">
        <v>20.478950000000001</v>
      </c>
      <c r="D11969" s="8">
        <v>90</v>
      </c>
      <c r="E11969" s="8">
        <v>0</v>
      </c>
      <c r="F11969" s="8">
        <v>0</v>
      </c>
      <c r="G11969" s="8">
        <v>10</v>
      </c>
      <c r="H11969" s="8" t="s">
        <v>24253</v>
      </c>
      <c r="I11969" s="8">
        <v>526.6875</v>
      </c>
      <c r="J11969" s="3">
        <f t="shared" si="186"/>
        <v>43748.365119490736</v>
      </c>
    </row>
    <row r="11970" spans="1:10" x14ac:dyDescent="0.25">
      <c r="A11970" s="5" t="s">
        <v>24254</v>
      </c>
      <c r="B11970" s="6">
        <v>412.5</v>
      </c>
      <c r="C11970" s="6">
        <v>20.478950000000001</v>
      </c>
      <c r="D11970" s="6">
        <v>90</v>
      </c>
      <c r="E11970" s="6">
        <v>0</v>
      </c>
      <c r="F11970" s="6">
        <v>0</v>
      </c>
      <c r="G11970" s="6">
        <v>12</v>
      </c>
      <c r="H11970" s="6" t="s">
        <v>24255</v>
      </c>
      <c r="I11970" s="6">
        <v>532.3125</v>
      </c>
      <c r="J11970" s="2">
        <f t="shared" ref="J11970:J12033" si="187">(H11970/86400000)+25569+(7/24)</f>
        <v>43748.365202835645</v>
      </c>
    </row>
    <row r="11971" spans="1:10" x14ac:dyDescent="0.25">
      <c r="A11971" s="7" t="s">
        <v>24256</v>
      </c>
      <c r="B11971" s="8">
        <v>393.75</v>
      </c>
      <c r="C11971" s="8">
        <v>20.478950000000001</v>
      </c>
      <c r="D11971" s="8">
        <v>89</v>
      </c>
      <c r="E11971" s="8">
        <v>0</v>
      </c>
      <c r="F11971" s="8">
        <v>0</v>
      </c>
      <c r="G11971" s="8">
        <v>8</v>
      </c>
      <c r="H11971" s="8" t="s">
        <v>24257</v>
      </c>
      <c r="I11971" s="8">
        <v>526.6875</v>
      </c>
      <c r="J11971" s="3">
        <f t="shared" si="187"/>
        <v>43748.365286157401</v>
      </c>
    </row>
    <row r="11972" spans="1:10" x14ac:dyDescent="0.25">
      <c r="A11972" s="5" t="s">
        <v>24258</v>
      </c>
      <c r="B11972" s="6">
        <v>393.75</v>
      </c>
      <c r="C11972" s="6">
        <v>20.426300000000001</v>
      </c>
      <c r="D11972" s="6">
        <v>88</v>
      </c>
      <c r="E11972" s="6">
        <v>0</v>
      </c>
      <c r="F11972" s="6">
        <v>0</v>
      </c>
      <c r="G11972" s="6">
        <v>0</v>
      </c>
      <c r="H11972" s="6" t="s">
        <v>24259</v>
      </c>
      <c r="I11972" s="6">
        <v>526.6875</v>
      </c>
      <c r="J11972" s="2">
        <f t="shared" si="187"/>
        <v>43748.365369733794</v>
      </c>
    </row>
    <row r="11973" spans="1:10" x14ac:dyDescent="0.25">
      <c r="A11973" s="7" t="s">
        <v>24260</v>
      </c>
      <c r="B11973" s="8">
        <v>393.75</v>
      </c>
      <c r="C11973" s="8">
        <v>20.478950000000001</v>
      </c>
      <c r="D11973" s="8">
        <v>88</v>
      </c>
      <c r="E11973" s="8">
        <v>0</v>
      </c>
      <c r="F11973" s="8">
        <v>0</v>
      </c>
      <c r="G11973" s="8">
        <v>5</v>
      </c>
      <c r="H11973" s="8" t="s">
        <v>24261</v>
      </c>
      <c r="I11973" s="8">
        <v>526.6875</v>
      </c>
      <c r="J11973" s="3">
        <f t="shared" si="187"/>
        <v>43748.365452939812</v>
      </c>
    </row>
    <row r="11974" spans="1:10" x14ac:dyDescent="0.25">
      <c r="A11974" s="5" t="s">
        <v>24262</v>
      </c>
      <c r="B11974" s="6">
        <v>393.75</v>
      </c>
      <c r="C11974" s="6">
        <v>20.478950000000001</v>
      </c>
      <c r="D11974" s="6">
        <v>88</v>
      </c>
      <c r="E11974" s="6">
        <v>0</v>
      </c>
      <c r="F11974" s="6">
        <v>0</v>
      </c>
      <c r="G11974" s="6">
        <v>10</v>
      </c>
      <c r="H11974" s="6" t="s">
        <v>24263</v>
      </c>
      <c r="I11974" s="6">
        <v>526.5</v>
      </c>
      <c r="J11974" s="2">
        <f t="shared" si="187"/>
        <v>43748.36552446759</v>
      </c>
    </row>
    <row r="11975" spans="1:10" x14ac:dyDescent="0.25">
      <c r="A11975" s="7" t="s">
        <v>24264</v>
      </c>
      <c r="B11975" s="8">
        <v>412.5</v>
      </c>
      <c r="C11975" s="8">
        <v>20.478950000000001</v>
      </c>
      <c r="D11975" s="8">
        <v>89</v>
      </c>
      <c r="E11975" s="8">
        <v>0</v>
      </c>
      <c r="F11975" s="8">
        <v>0</v>
      </c>
      <c r="G11975" s="8">
        <v>7</v>
      </c>
      <c r="H11975" s="8" t="s">
        <v>24265</v>
      </c>
      <c r="I11975" s="8">
        <v>532.3125</v>
      </c>
      <c r="J11975" s="3">
        <f t="shared" si="187"/>
        <v>43748.365608391199</v>
      </c>
    </row>
    <row r="11976" spans="1:10" x14ac:dyDescent="0.25">
      <c r="A11976" s="5" t="s">
        <v>24266</v>
      </c>
      <c r="B11976" s="6">
        <v>393.75</v>
      </c>
      <c r="C11976" s="6">
        <v>20.478950000000001</v>
      </c>
      <c r="D11976" s="6">
        <v>90</v>
      </c>
      <c r="E11976" s="6">
        <v>0</v>
      </c>
      <c r="F11976" s="6">
        <v>0</v>
      </c>
      <c r="G11976" s="6">
        <v>3</v>
      </c>
      <c r="H11976" s="6" t="s">
        <v>24267</v>
      </c>
      <c r="I11976" s="6">
        <v>526.6875</v>
      </c>
      <c r="J11976" s="2">
        <f t="shared" si="187"/>
        <v>43748.365691724532</v>
      </c>
    </row>
    <row r="11977" spans="1:10" x14ac:dyDescent="0.25">
      <c r="A11977" s="7" t="s">
        <v>24268</v>
      </c>
      <c r="B11977" s="8">
        <v>393.75</v>
      </c>
      <c r="C11977" s="8">
        <v>20.478950000000001</v>
      </c>
      <c r="D11977" s="8">
        <v>90</v>
      </c>
      <c r="E11977" s="8">
        <v>0</v>
      </c>
      <c r="F11977" s="8">
        <v>0</v>
      </c>
      <c r="G11977" s="8">
        <v>7</v>
      </c>
      <c r="H11977" s="8" t="s">
        <v>24269</v>
      </c>
      <c r="I11977" s="8">
        <v>526.6875</v>
      </c>
      <c r="J11977" s="3">
        <f t="shared" si="187"/>
        <v>43748.365775046295</v>
      </c>
    </row>
    <row r="11978" spans="1:10" x14ac:dyDescent="0.25">
      <c r="A11978" s="5" t="s">
        <v>24270</v>
      </c>
      <c r="B11978" s="6">
        <v>393.75</v>
      </c>
      <c r="C11978" s="6">
        <v>20.478950000000001</v>
      </c>
      <c r="D11978" s="6">
        <v>89</v>
      </c>
      <c r="E11978" s="6">
        <v>0</v>
      </c>
      <c r="F11978" s="6">
        <v>0</v>
      </c>
      <c r="G11978" s="6">
        <v>8</v>
      </c>
      <c r="H11978" s="6" t="s">
        <v>24271</v>
      </c>
      <c r="I11978" s="6">
        <v>526.6875</v>
      </c>
      <c r="J11978" s="2">
        <f t="shared" si="187"/>
        <v>43748.365858726851</v>
      </c>
    </row>
    <row r="11979" spans="1:10" x14ac:dyDescent="0.25">
      <c r="A11979" s="7" t="s">
        <v>24272</v>
      </c>
      <c r="B11979" s="8">
        <v>393.75</v>
      </c>
      <c r="C11979" s="8">
        <v>20.478950000000001</v>
      </c>
      <c r="D11979" s="8">
        <v>90</v>
      </c>
      <c r="E11979" s="8">
        <v>0</v>
      </c>
      <c r="F11979" s="8">
        <v>0</v>
      </c>
      <c r="G11979" s="8">
        <v>9</v>
      </c>
      <c r="H11979" s="8" t="s">
        <v>24273</v>
      </c>
      <c r="I11979" s="8">
        <v>526.6875</v>
      </c>
      <c r="J11979" s="3">
        <f t="shared" si="187"/>
        <v>43748.365941874996</v>
      </c>
    </row>
    <row r="11980" spans="1:10" x14ac:dyDescent="0.25">
      <c r="A11980" s="5" t="s">
        <v>24274</v>
      </c>
      <c r="B11980" s="6">
        <v>393.75</v>
      </c>
      <c r="C11980" s="6">
        <v>20.478950000000001</v>
      </c>
      <c r="D11980" s="6">
        <v>90</v>
      </c>
      <c r="E11980" s="6">
        <v>0</v>
      </c>
      <c r="F11980" s="6">
        <v>0</v>
      </c>
      <c r="G11980" s="6">
        <v>13</v>
      </c>
      <c r="H11980" s="6" t="s">
        <v>24275</v>
      </c>
      <c r="I11980" s="6">
        <v>526.6875</v>
      </c>
      <c r="J11980" s="2">
        <f t="shared" si="187"/>
        <v>43748.366013356477</v>
      </c>
    </row>
    <row r="11981" spans="1:10" x14ac:dyDescent="0.25">
      <c r="A11981" s="7" t="s">
        <v>24276</v>
      </c>
      <c r="B11981" s="8">
        <v>393.75</v>
      </c>
      <c r="C11981" s="8">
        <v>20.478950000000001</v>
      </c>
      <c r="D11981" s="8">
        <v>91</v>
      </c>
      <c r="E11981" s="8">
        <v>0</v>
      </c>
      <c r="F11981" s="8">
        <v>0</v>
      </c>
      <c r="G11981" s="8">
        <v>10</v>
      </c>
      <c r="H11981" s="8" t="s">
        <v>24277</v>
      </c>
      <c r="I11981" s="8">
        <v>526.6875</v>
      </c>
      <c r="J11981" s="3">
        <f t="shared" si="187"/>
        <v>43748.366097280094</v>
      </c>
    </row>
    <row r="11982" spans="1:10" x14ac:dyDescent="0.25">
      <c r="A11982" s="5" t="s">
        <v>24278</v>
      </c>
      <c r="B11982" s="6">
        <v>393.75</v>
      </c>
      <c r="C11982" s="6">
        <v>20.478950000000001</v>
      </c>
      <c r="D11982" s="6">
        <v>91</v>
      </c>
      <c r="E11982" s="6">
        <v>0</v>
      </c>
      <c r="F11982" s="6">
        <v>0</v>
      </c>
      <c r="G11982" s="6">
        <v>10</v>
      </c>
      <c r="H11982" s="6" t="s">
        <v>24279</v>
      </c>
      <c r="I11982" s="6">
        <v>526.6875</v>
      </c>
      <c r="J11982" s="2">
        <f t="shared" si="187"/>
        <v>43748.366174166666</v>
      </c>
    </row>
    <row r="11983" spans="1:10" x14ac:dyDescent="0.25">
      <c r="A11983" s="7" t="s">
        <v>24280</v>
      </c>
      <c r="B11983" s="8">
        <v>393.75</v>
      </c>
      <c r="C11983" s="8">
        <v>20.478950000000001</v>
      </c>
      <c r="D11983" s="8">
        <v>91</v>
      </c>
      <c r="E11983" s="8">
        <v>0</v>
      </c>
      <c r="F11983" s="8">
        <v>0</v>
      </c>
      <c r="G11983" s="8">
        <v>7</v>
      </c>
      <c r="H11983" s="8" t="s">
        <v>24281</v>
      </c>
      <c r="I11983" s="8">
        <v>526.6875</v>
      </c>
      <c r="J11983" s="3">
        <f t="shared" si="187"/>
        <v>43748.366252141197</v>
      </c>
    </row>
    <row r="11984" spans="1:10" x14ac:dyDescent="0.25">
      <c r="A11984" s="5" t="s">
        <v>24282</v>
      </c>
      <c r="B11984" s="6">
        <v>393.75</v>
      </c>
      <c r="C11984" s="6">
        <v>20.478950000000001</v>
      </c>
      <c r="D11984" s="6">
        <v>91</v>
      </c>
      <c r="E11984" s="6">
        <v>0</v>
      </c>
      <c r="F11984" s="6">
        <v>0</v>
      </c>
      <c r="G11984" s="6">
        <v>4</v>
      </c>
      <c r="H11984" s="6" t="s">
        <v>24283</v>
      </c>
      <c r="I11984" s="6">
        <v>526.6875</v>
      </c>
      <c r="J11984" s="2">
        <f t="shared" si="187"/>
        <v>43748.366335694438</v>
      </c>
    </row>
    <row r="11985" spans="1:10" x14ac:dyDescent="0.25">
      <c r="A11985" s="7" t="s">
        <v>24284</v>
      </c>
      <c r="B11985" s="8">
        <v>393.75</v>
      </c>
      <c r="C11985" s="8">
        <v>20.478950000000001</v>
      </c>
      <c r="D11985" s="8">
        <v>89</v>
      </c>
      <c r="E11985" s="8">
        <v>0</v>
      </c>
      <c r="F11985" s="8">
        <v>0</v>
      </c>
      <c r="G11985" s="8">
        <v>3</v>
      </c>
      <c r="H11985" s="8" t="s">
        <v>24285</v>
      </c>
      <c r="I11985" s="8">
        <v>526.6875</v>
      </c>
      <c r="J11985" s="3">
        <f t="shared" si="187"/>
        <v>43748.366419143516</v>
      </c>
    </row>
    <row r="11986" spans="1:10" x14ac:dyDescent="0.25">
      <c r="A11986" s="5" t="s">
        <v>24286</v>
      </c>
      <c r="B11986" s="6">
        <v>393.75</v>
      </c>
      <c r="C11986" s="6">
        <v>20.478950000000001</v>
      </c>
      <c r="D11986" s="6">
        <v>89</v>
      </c>
      <c r="E11986" s="6">
        <v>0</v>
      </c>
      <c r="F11986" s="6">
        <v>0</v>
      </c>
      <c r="G11986" s="6">
        <v>6</v>
      </c>
      <c r="H11986" s="6" t="s">
        <v>24287</v>
      </c>
      <c r="I11986" s="6">
        <v>526.6875</v>
      </c>
      <c r="J11986" s="2">
        <f t="shared" si="187"/>
        <v>43748.366502604164</v>
      </c>
    </row>
    <row r="11987" spans="1:10" x14ac:dyDescent="0.25">
      <c r="A11987" s="7" t="s">
        <v>24288</v>
      </c>
      <c r="B11987" s="8">
        <v>393.75</v>
      </c>
      <c r="C11987" s="8">
        <v>20.478950000000001</v>
      </c>
      <c r="D11987" s="8">
        <v>89</v>
      </c>
      <c r="E11987" s="8">
        <v>0</v>
      </c>
      <c r="F11987" s="8">
        <v>0</v>
      </c>
      <c r="G11987" s="8">
        <v>11</v>
      </c>
      <c r="H11987" s="8" t="s">
        <v>24289</v>
      </c>
      <c r="I11987" s="8">
        <v>526.6875</v>
      </c>
      <c r="J11987" s="3">
        <f t="shared" si="187"/>
        <v>43748.366586168981</v>
      </c>
    </row>
    <row r="11988" spans="1:10" x14ac:dyDescent="0.25">
      <c r="A11988" s="5" t="s">
        <v>24290</v>
      </c>
      <c r="B11988" s="6">
        <v>393.75</v>
      </c>
      <c r="C11988" s="6">
        <v>20.478950000000001</v>
      </c>
      <c r="D11988" s="6">
        <v>89</v>
      </c>
      <c r="E11988" s="6">
        <v>0</v>
      </c>
      <c r="F11988" s="6">
        <v>0</v>
      </c>
      <c r="G11988" s="6">
        <v>11</v>
      </c>
      <c r="H11988" s="6" t="s">
        <v>24291</v>
      </c>
      <c r="I11988" s="6">
        <v>526.6875</v>
      </c>
      <c r="J11988" s="2">
        <f t="shared" si="187"/>
        <v>43748.36667841435</v>
      </c>
    </row>
    <row r="11989" spans="1:10" x14ac:dyDescent="0.25">
      <c r="A11989" s="7" t="s">
        <v>24292</v>
      </c>
      <c r="B11989" s="8">
        <v>393.75</v>
      </c>
      <c r="C11989" s="8">
        <v>20.478950000000001</v>
      </c>
      <c r="D11989" s="8">
        <v>90</v>
      </c>
      <c r="E11989" s="8">
        <v>0</v>
      </c>
      <c r="F11989" s="8">
        <v>0</v>
      </c>
      <c r="G11989" s="8">
        <v>12</v>
      </c>
      <c r="H11989" s="8" t="s">
        <v>24293</v>
      </c>
      <c r="I11989" s="8">
        <v>526.6875</v>
      </c>
      <c r="J11989" s="3">
        <f t="shared" si="187"/>
        <v>43748.366752824069</v>
      </c>
    </row>
    <row r="11990" spans="1:10" x14ac:dyDescent="0.25">
      <c r="A11990" s="5" t="s">
        <v>24294</v>
      </c>
      <c r="B11990" s="6">
        <v>393.75</v>
      </c>
      <c r="C11990" s="6">
        <v>20.478950000000001</v>
      </c>
      <c r="D11990" s="6">
        <v>90</v>
      </c>
      <c r="E11990" s="6">
        <v>0</v>
      </c>
      <c r="F11990" s="6">
        <v>0</v>
      </c>
      <c r="G11990" s="6">
        <v>9</v>
      </c>
      <c r="H11990" s="6" t="s">
        <v>24295</v>
      </c>
      <c r="I11990" s="6">
        <v>526.6875</v>
      </c>
      <c r="J11990" s="2">
        <f t="shared" si="187"/>
        <v>43748.366824594901</v>
      </c>
    </row>
    <row r="11991" spans="1:10" x14ac:dyDescent="0.25">
      <c r="A11991" s="7" t="s">
        <v>24296</v>
      </c>
      <c r="B11991" s="8">
        <v>393.75</v>
      </c>
      <c r="C11991" s="8">
        <v>20.478950000000001</v>
      </c>
      <c r="D11991" s="8">
        <v>90</v>
      </c>
      <c r="E11991" s="8">
        <v>0</v>
      </c>
      <c r="F11991" s="8">
        <v>0</v>
      </c>
      <c r="G11991" s="8">
        <v>13</v>
      </c>
      <c r="H11991" s="8" t="s">
        <v>24297</v>
      </c>
      <c r="I11991" s="8">
        <v>526.5</v>
      </c>
      <c r="J11991" s="3">
        <f t="shared" si="187"/>
        <v>43748.366908043979</v>
      </c>
    </row>
    <row r="11992" spans="1:10" x14ac:dyDescent="0.25">
      <c r="A11992" s="5" t="s">
        <v>24298</v>
      </c>
      <c r="B11992" s="6">
        <v>393.75</v>
      </c>
      <c r="C11992" s="6">
        <v>20.478950000000001</v>
      </c>
      <c r="D11992" s="6">
        <v>90</v>
      </c>
      <c r="E11992" s="6">
        <v>0</v>
      </c>
      <c r="F11992" s="6">
        <v>0</v>
      </c>
      <c r="G11992" s="6">
        <v>4</v>
      </c>
      <c r="H11992" s="6" t="s">
        <v>24299</v>
      </c>
      <c r="I11992" s="6">
        <v>526.6875</v>
      </c>
      <c r="J11992" s="2">
        <f t="shared" si="187"/>
        <v>43748.366991481475</v>
      </c>
    </row>
    <row r="11993" spans="1:10" x14ac:dyDescent="0.25">
      <c r="A11993" s="7" t="s">
        <v>24300</v>
      </c>
      <c r="B11993" s="8">
        <v>393.75</v>
      </c>
      <c r="C11993" s="8">
        <v>20.478950000000001</v>
      </c>
      <c r="D11993" s="8">
        <v>90</v>
      </c>
      <c r="E11993" s="8">
        <v>0</v>
      </c>
      <c r="F11993" s="8">
        <v>0</v>
      </c>
      <c r="G11993" s="8">
        <v>11</v>
      </c>
      <c r="H11993" s="8" t="s">
        <v>24301</v>
      </c>
      <c r="I11993" s="8">
        <v>526.6875</v>
      </c>
      <c r="J11993" s="3">
        <f t="shared" si="187"/>
        <v>43748.367075046299</v>
      </c>
    </row>
    <row r="11994" spans="1:10" x14ac:dyDescent="0.25">
      <c r="A11994" s="5" t="s">
        <v>24302</v>
      </c>
      <c r="B11994" s="6">
        <v>393.75</v>
      </c>
      <c r="C11994" s="6">
        <v>20.478950000000001</v>
      </c>
      <c r="D11994" s="6">
        <v>90</v>
      </c>
      <c r="E11994" s="6">
        <v>0</v>
      </c>
      <c r="F11994" s="6">
        <v>0</v>
      </c>
      <c r="G11994" s="6">
        <v>8</v>
      </c>
      <c r="H11994" s="6" t="s">
        <v>24303</v>
      </c>
      <c r="I11994" s="6">
        <v>526.6875</v>
      </c>
      <c r="J11994" s="2">
        <f t="shared" si="187"/>
        <v>43748.367158425921</v>
      </c>
    </row>
    <row r="11995" spans="1:10" x14ac:dyDescent="0.25">
      <c r="A11995" s="7" t="s">
        <v>24304</v>
      </c>
      <c r="B11995" s="8">
        <v>393.75</v>
      </c>
      <c r="C11995" s="8">
        <v>20.478950000000001</v>
      </c>
      <c r="D11995" s="8">
        <v>90</v>
      </c>
      <c r="E11995" s="8">
        <v>0</v>
      </c>
      <c r="F11995" s="8">
        <v>0</v>
      </c>
      <c r="G11995" s="8">
        <v>10</v>
      </c>
      <c r="H11995" s="8" t="s">
        <v>24305</v>
      </c>
      <c r="I11995" s="8">
        <v>526.6875</v>
      </c>
      <c r="J11995" s="3">
        <f t="shared" si="187"/>
        <v>43748.367241712964</v>
      </c>
    </row>
    <row r="11996" spans="1:10" x14ac:dyDescent="0.25">
      <c r="A11996" s="5" t="s">
        <v>24306</v>
      </c>
      <c r="B11996" s="6">
        <v>393.75</v>
      </c>
      <c r="C11996" s="6">
        <v>20.478950000000001</v>
      </c>
      <c r="D11996" s="6">
        <v>90</v>
      </c>
      <c r="E11996" s="6">
        <v>0</v>
      </c>
      <c r="F11996" s="6">
        <v>0</v>
      </c>
      <c r="G11996" s="6">
        <v>6</v>
      </c>
      <c r="H11996" s="6" t="s">
        <v>24307</v>
      </c>
      <c r="I11996" s="6">
        <v>526.6875</v>
      </c>
      <c r="J11996" s="2">
        <f t="shared" si="187"/>
        <v>43748.367313356481</v>
      </c>
    </row>
    <row r="11997" spans="1:10" x14ac:dyDescent="0.25">
      <c r="A11997" s="7" t="s">
        <v>24308</v>
      </c>
      <c r="B11997" s="8">
        <v>393.75</v>
      </c>
      <c r="C11997" s="8">
        <v>20.478950000000001</v>
      </c>
      <c r="D11997" s="8">
        <v>90</v>
      </c>
      <c r="E11997" s="8">
        <v>0</v>
      </c>
      <c r="F11997" s="8">
        <v>0</v>
      </c>
      <c r="G11997" s="8">
        <v>7</v>
      </c>
      <c r="H11997" s="8" t="s">
        <v>24309</v>
      </c>
      <c r="I11997" s="8">
        <v>526.6875</v>
      </c>
      <c r="J11997" s="3">
        <f t="shared" si="187"/>
        <v>43748.36739692129</v>
      </c>
    </row>
    <row r="11998" spans="1:10" x14ac:dyDescent="0.25">
      <c r="A11998" s="5" t="s">
        <v>24310</v>
      </c>
      <c r="B11998" s="6">
        <v>393.75</v>
      </c>
      <c r="C11998" s="6">
        <v>20.478950000000001</v>
      </c>
      <c r="D11998" s="6">
        <v>89</v>
      </c>
      <c r="E11998" s="6">
        <v>0</v>
      </c>
      <c r="F11998" s="6">
        <v>0</v>
      </c>
      <c r="G11998" s="6">
        <v>13</v>
      </c>
      <c r="H11998" s="6" t="s">
        <v>24311</v>
      </c>
      <c r="I11998" s="6">
        <v>526.6875</v>
      </c>
      <c r="J11998" s="2">
        <f t="shared" si="187"/>
        <v>43748.367492291662</v>
      </c>
    </row>
    <row r="11999" spans="1:10" x14ac:dyDescent="0.25">
      <c r="A11999" s="7" t="s">
        <v>24312</v>
      </c>
      <c r="B11999" s="8">
        <v>393.75</v>
      </c>
      <c r="C11999" s="8">
        <v>20.478950000000001</v>
      </c>
      <c r="D11999" s="8">
        <v>88</v>
      </c>
      <c r="E11999" s="8">
        <v>0</v>
      </c>
      <c r="F11999" s="8">
        <v>0</v>
      </c>
      <c r="G11999" s="8">
        <v>8</v>
      </c>
      <c r="H11999" s="8" t="s">
        <v>24313</v>
      </c>
      <c r="I11999" s="8">
        <v>526.6875</v>
      </c>
      <c r="J11999" s="3">
        <f t="shared" si="187"/>
        <v>43748.367584988424</v>
      </c>
    </row>
    <row r="12000" spans="1:10" x14ac:dyDescent="0.25">
      <c r="A12000" s="5" t="s">
        <v>24314</v>
      </c>
      <c r="B12000" s="6">
        <v>393.75</v>
      </c>
      <c r="C12000" s="6">
        <v>20.478950000000001</v>
      </c>
      <c r="D12000" s="6">
        <v>88</v>
      </c>
      <c r="E12000" s="6">
        <v>0</v>
      </c>
      <c r="F12000" s="6">
        <v>0</v>
      </c>
      <c r="G12000" s="6">
        <v>16</v>
      </c>
      <c r="H12000" s="6" t="s">
        <v>24315</v>
      </c>
      <c r="I12000" s="6">
        <v>526.5</v>
      </c>
      <c r="J12000" s="2">
        <f t="shared" si="187"/>
        <v>43748.367659317126</v>
      </c>
    </row>
    <row r="12001" spans="1:10" x14ac:dyDescent="0.25">
      <c r="A12001" s="7" t="s">
        <v>24316</v>
      </c>
      <c r="B12001" s="8">
        <v>393.75</v>
      </c>
      <c r="C12001" s="8">
        <v>20.478950000000001</v>
      </c>
      <c r="D12001" s="8">
        <v>88</v>
      </c>
      <c r="E12001" s="8">
        <v>0</v>
      </c>
      <c r="F12001" s="8">
        <v>0</v>
      </c>
      <c r="G12001" s="8">
        <v>16</v>
      </c>
      <c r="H12001" s="8" t="s">
        <v>24317</v>
      </c>
      <c r="I12001" s="8">
        <v>526.6875</v>
      </c>
      <c r="J12001" s="3">
        <f t="shared" si="187"/>
        <v>43748.367742743052</v>
      </c>
    </row>
    <row r="12002" spans="1:10" x14ac:dyDescent="0.25">
      <c r="A12002" s="5" t="s">
        <v>24318</v>
      </c>
      <c r="B12002" s="6">
        <v>393.75</v>
      </c>
      <c r="C12002" s="6">
        <v>20.478950000000001</v>
      </c>
      <c r="D12002" s="6">
        <v>89</v>
      </c>
      <c r="E12002" s="6">
        <v>0</v>
      </c>
      <c r="F12002" s="6">
        <v>0</v>
      </c>
      <c r="G12002" s="6">
        <v>14</v>
      </c>
      <c r="H12002" s="6" t="s">
        <v>24319</v>
      </c>
      <c r="I12002" s="6">
        <v>526.6875</v>
      </c>
      <c r="J12002" s="2">
        <f t="shared" si="187"/>
        <v>43748.367814548612</v>
      </c>
    </row>
    <row r="12003" spans="1:10" x14ac:dyDescent="0.25">
      <c r="A12003" s="7" t="s">
        <v>24320</v>
      </c>
      <c r="B12003" s="8">
        <v>393.75</v>
      </c>
      <c r="C12003" s="8">
        <v>20.478950000000001</v>
      </c>
      <c r="D12003" s="8">
        <v>89</v>
      </c>
      <c r="E12003" s="8">
        <v>0</v>
      </c>
      <c r="F12003" s="8">
        <v>0</v>
      </c>
      <c r="G12003" s="8">
        <v>9</v>
      </c>
      <c r="H12003" s="8" t="s">
        <v>24321</v>
      </c>
      <c r="I12003" s="8">
        <v>526.6875</v>
      </c>
      <c r="J12003" s="3">
        <f t="shared" si="187"/>
        <v>43748.3678975</v>
      </c>
    </row>
    <row r="12004" spans="1:10" x14ac:dyDescent="0.25">
      <c r="A12004" s="5" t="s">
        <v>24322</v>
      </c>
      <c r="B12004" s="6">
        <v>393.75</v>
      </c>
      <c r="C12004" s="6">
        <v>20.478950000000001</v>
      </c>
      <c r="D12004" s="6">
        <v>89</v>
      </c>
      <c r="E12004" s="6">
        <v>0</v>
      </c>
      <c r="F12004" s="6">
        <v>0</v>
      </c>
      <c r="G12004" s="6">
        <v>21</v>
      </c>
      <c r="H12004" s="6" t="s">
        <v>24323</v>
      </c>
      <c r="I12004" s="6">
        <v>526.6875</v>
      </c>
      <c r="J12004" s="2">
        <f t="shared" si="187"/>
        <v>43748.367969259256</v>
      </c>
    </row>
    <row r="12005" spans="1:10" x14ac:dyDescent="0.25">
      <c r="A12005" s="7" t="s">
        <v>24324</v>
      </c>
      <c r="B12005" s="8">
        <v>412.5</v>
      </c>
      <c r="C12005" s="8">
        <v>20.478950000000001</v>
      </c>
      <c r="D12005" s="8">
        <v>89</v>
      </c>
      <c r="E12005" s="8">
        <v>0</v>
      </c>
      <c r="F12005" s="8">
        <v>0</v>
      </c>
      <c r="G12005" s="8">
        <v>17</v>
      </c>
      <c r="H12005" s="8" t="s">
        <v>24325</v>
      </c>
      <c r="I12005" s="8">
        <v>532.3125</v>
      </c>
      <c r="J12005" s="3">
        <f t="shared" si="187"/>
        <v>43748.368052812497</v>
      </c>
    </row>
    <row r="12006" spans="1:10" x14ac:dyDescent="0.25">
      <c r="A12006" s="5" t="s">
        <v>24326</v>
      </c>
      <c r="B12006" s="6">
        <v>393.75</v>
      </c>
      <c r="C12006" s="6">
        <v>20.478950000000001</v>
      </c>
      <c r="D12006" s="6">
        <v>89</v>
      </c>
      <c r="E12006" s="6">
        <v>0</v>
      </c>
      <c r="F12006" s="6">
        <v>0</v>
      </c>
      <c r="G12006" s="6">
        <v>3</v>
      </c>
      <c r="H12006" s="6" t="s">
        <v>24327</v>
      </c>
      <c r="I12006" s="6">
        <v>526.6875</v>
      </c>
      <c r="J12006" s="2">
        <f t="shared" si="187"/>
        <v>43748.368136273144</v>
      </c>
    </row>
    <row r="12007" spans="1:10" x14ac:dyDescent="0.25">
      <c r="A12007" s="7" t="s">
        <v>24328</v>
      </c>
      <c r="B12007" s="8">
        <v>393.75</v>
      </c>
      <c r="C12007" s="8">
        <v>20.478950000000001</v>
      </c>
      <c r="D12007" s="8">
        <v>88</v>
      </c>
      <c r="E12007" s="8">
        <v>0</v>
      </c>
      <c r="F12007" s="8">
        <v>0</v>
      </c>
      <c r="G12007" s="8">
        <v>17</v>
      </c>
      <c r="H12007" s="8" t="s">
        <v>24329</v>
      </c>
      <c r="I12007" s="8">
        <v>526.5</v>
      </c>
      <c r="J12007" s="3">
        <f t="shared" si="187"/>
        <v>43748.368219583332</v>
      </c>
    </row>
    <row r="12008" spans="1:10" x14ac:dyDescent="0.25">
      <c r="A12008" s="5" t="s">
        <v>24330</v>
      </c>
      <c r="B12008" s="6">
        <v>393.75</v>
      </c>
      <c r="C12008" s="6">
        <v>20.478950000000001</v>
      </c>
      <c r="D12008" s="6">
        <v>88</v>
      </c>
      <c r="E12008" s="6">
        <v>0</v>
      </c>
      <c r="F12008" s="6">
        <v>0</v>
      </c>
      <c r="G12008" s="6">
        <v>9</v>
      </c>
      <c r="H12008" s="6" t="s">
        <v>24331</v>
      </c>
      <c r="I12008" s="6">
        <v>526.6875</v>
      </c>
      <c r="J12008" s="2">
        <f t="shared" si="187"/>
        <v>43748.368291122686</v>
      </c>
    </row>
    <row r="12009" spans="1:10" x14ac:dyDescent="0.25">
      <c r="A12009" s="7" t="s">
        <v>24332</v>
      </c>
      <c r="B12009" s="8">
        <v>393.75</v>
      </c>
      <c r="C12009" s="8">
        <v>20.478950000000001</v>
      </c>
      <c r="D12009" s="8">
        <v>87</v>
      </c>
      <c r="E12009" s="8">
        <v>0</v>
      </c>
      <c r="F12009" s="8">
        <v>0</v>
      </c>
      <c r="G12009" s="8">
        <v>15</v>
      </c>
      <c r="H12009" s="8" t="s">
        <v>24333</v>
      </c>
      <c r="I12009" s="8">
        <v>526.6875</v>
      </c>
      <c r="J12009" s="3">
        <f t="shared" si="187"/>
        <v>43748.368374803242</v>
      </c>
    </row>
    <row r="12010" spans="1:10" x14ac:dyDescent="0.25">
      <c r="A12010" s="5" t="s">
        <v>24334</v>
      </c>
      <c r="B12010" s="6">
        <v>415.625</v>
      </c>
      <c r="C12010" s="6">
        <v>20.478950000000001</v>
      </c>
      <c r="D12010" s="6">
        <v>89</v>
      </c>
      <c r="E12010" s="6">
        <v>0</v>
      </c>
      <c r="F12010" s="6">
        <v>0</v>
      </c>
      <c r="G12010" s="6">
        <v>11</v>
      </c>
      <c r="H12010" s="6" t="s">
        <v>24335</v>
      </c>
      <c r="I12010" s="6">
        <v>533.25</v>
      </c>
      <c r="J12010" s="2">
        <f t="shared" si="187"/>
        <v>43748.368458263889</v>
      </c>
    </row>
    <row r="12011" spans="1:10" x14ac:dyDescent="0.25">
      <c r="A12011" s="7" t="s">
        <v>24336</v>
      </c>
      <c r="B12011" s="8">
        <v>393.75</v>
      </c>
      <c r="C12011" s="8">
        <v>20.478950000000001</v>
      </c>
      <c r="D12011" s="8">
        <v>89</v>
      </c>
      <c r="E12011" s="8">
        <v>0</v>
      </c>
      <c r="F12011" s="8">
        <v>0</v>
      </c>
      <c r="G12011" s="8">
        <v>17</v>
      </c>
      <c r="H12011" s="8" t="s">
        <v>24337</v>
      </c>
      <c r="I12011" s="8">
        <v>526.6875</v>
      </c>
      <c r="J12011" s="3">
        <f t="shared" si="187"/>
        <v>43748.368541736105</v>
      </c>
    </row>
    <row r="12012" spans="1:10" x14ac:dyDescent="0.25">
      <c r="A12012" s="5" t="s">
        <v>24338</v>
      </c>
      <c r="B12012" s="6">
        <v>418.75</v>
      </c>
      <c r="C12012" s="6">
        <v>20.478950000000001</v>
      </c>
      <c r="D12012" s="6">
        <v>89</v>
      </c>
      <c r="E12012" s="6">
        <v>0</v>
      </c>
      <c r="F12012" s="6">
        <v>0</v>
      </c>
      <c r="G12012" s="6">
        <v>7</v>
      </c>
      <c r="H12012" s="6" t="s">
        <v>24339</v>
      </c>
      <c r="I12012" s="6">
        <v>534.1875</v>
      </c>
      <c r="J12012" s="2">
        <f t="shared" si="187"/>
        <v>43748.368625162031</v>
      </c>
    </row>
    <row r="12013" spans="1:10" x14ac:dyDescent="0.25">
      <c r="A12013" s="7" t="s">
        <v>24340</v>
      </c>
      <c r="B12013" s="8">
        <v>393.75</v>
      </c>
      <c r="C12013" s="8">
        <v>20.478950000000001</v>
      </c>
      <c r="D12013" s="8">
        <v>90</v>
      </c>
      <c r="E12013" s="8">
        <v>0</v>
      </c>
      <c r="F12013" s="8">
        <v>0</v>
      </c>
      <c r="G12013" s="8">
        <v>7</v>
      </c>
      <c r="H12013" s="8" t="s">
        <v>24341</v>
      </c>
      <c r="I12013" s="8">
        <v>526.6875</v>
      </c>
      <c r="J12013" s="3">
        <f t="shared" si="187"/>
        <v>43748.368708379632</v>
      </c>
    </row>
    <row r="12014" spans="1:10" x14ac:dyDescent="0.25">
      <c r="A12014" s="5" t="s">
        <v>24342</v>
      </c>
      <c r="B12014" s="6">
        <v>393.75</v>
      </c>
      <c r="C12014" s="6">
        <v>20.478950000000001</v>
      </c>
      <c r="D12014" s="6">
        <v>90</v>
      </c>
      <c r="E12014" s="6">
        <v>0</v>
      </c>
      <c r="F12014" s="6">
        <v>0</v>
      </c>
      <c r="G12014" s="6">
        <v>13</v>
      </c>
      <c r="H12014" s="6" t="s">
        <v>24343</v>
      </c>
      <c r="I12014" s="6">
        <v>526.6875</v>
      </c>
      <c r="J12014" s="2">
        <f t="shared" si="187"/>
        <v>43748.368780150464</v>
      </c>
    </row>
    <row r="12015" spans="1:10" x14ac:dyDescent="0.25">
      <c r="A12015" s="7" t="s">
        <v>24344</v>
      </c>
      <c r="B12015" s="8">
        <v>415.625</v>
      </c>
      <c r="C12015" s="8">
        <v>20.478950000000001</v>
      </c>
      <c r="D12015" s="8">
        <v>90</v>
      </c>
      <c r="E12015" s="8">
        <v>0</v>
      </c>
      <c r="F12015" s="8">
        <v>0</v>
      </c>
      <c r="G12015" s="8">
        <v>16</v>
      </c>
      <c r="H12015" s="8" t="s">
        <v>24345</v>
      </c>
      <c r="I12015" s="8">
        <v>533.0625</v>
      </c>
      <c r="J12015" s="3">
        <f t="shared" si="187"/>
        <v>43748.368863703705</v>
      </c>
    </row>
    <row r="12016" spans="1:10" x14ac:dyDescent="0.25">
      <c r="A12016" s="5" t="s">
        <v>24346</v>
      </c>
      <c r="B12016" s="6">
        <v>393.75</v>
      </c>
      <c r="C12016" s="6">
        <v>20.478950000000001</v>
      </c>
      <c r="D12016" s="6">
        <v>85</v>
      </c>
      <c r="E12016" s="6">
        <v>0</v>
      </c>
      <c r="F12016" s="6">
        <v>0</v>
      </c>
      <c r="G12016" s="6">
        <v>10</v>
      </c>
      <c r="H12016" s="6" t="s">
        <v>24347</v>
      </c>
      <c r="I12016" s="6">
        <v>526.6875</v>
      </c>
      <c r="J12016" s="2">
        <f t="shared" si="187"/>
        <v>43748.368947152776</v>
      </c>
    </row>
    <row r="12017" spans="1:10" x14ac:dyDescent="0.25">
      <c r="A12017" s="7" t="s">
        <v>24348</v>
      </c>
      <c r="B12017" s="8">
        <v>393.75</v>
      </c>
      <c r="C12017" s="8">
        <v>20.478950000000001</v>
      </c>
      <c r="D12017" s="8">
        <v>85</v>
      </c>
      <c r="E12017" s="8">
        <v>0</v>
      </c>
      <c r="F12017" s="8">
        <v>0</v>
      </c>
      <c r="G12017" s="8">
        <v>14</v>
      </c>
      <c r="H12017" s="8" t="s">
        <v>24349</v>
      </c>
      <c r="I12017" s="8">
        <v>526.6875</v>
      </c>
      <c r="J12017" s="3">
        <f t="shared" si="187"/>
        <v>43748.369030590278</v>
      </c>
    </row>
    <row r="12018" spans="1:10" x14ac:dyDescent="0.25">
      <c r="A12018" s="5" t="s">
        <v>24350</v>
      </c>
      <c r="B12018" s="6">
        <v>393.75</v>
      </c>
      <c r="C12018" s="6">
        <v>20.478950000000001</v>
      </c>
      <c r="D12018" s="6">
        <v>87</v>
      </c>
      <c r="E12018" s="6">
        <v>0</v>
      </c>
      <c r="F12018" s="6">
        <v>0</v>
      </c>
      <c r="G12018" s="6">
        <v>11</v>
      </c>
      <c r="H12018" s="6" t="s">
        <v>24351</v>
      </c>
      <c r="I12018" s="6">
        <v>526.6875</v>
      </c>
      <c r="J12018" s="2">
        <f t="shared" si="187"/>
        <v>43748.369114050925</v>
      </c>
    </row>
    <row r="12019" spans="1:10" x14ac:dyDescent="0.25">
      <c r="A12019" s="7" t="s">
        <v>24352</v>
      </c>
      <c r="B12019" s="8">
        <v>393.75</v>
      </c>
      <c r="C12019" s="8">
        <v>20.478950000000001</v>
      </c>
      <c r="D12019" s="8">
        <v>87</v>
      </c>
      <c r="E12019" s="8">
        <v>0</v>
      </c>
      <c r="F12019" s="8">
        <v>0</v>
      </c>
      <c r="G12019" s="8">
        <v>2</v>
      </c>
      <c r="H12019" s="8" t="s">
        <v>24353</v>
      </c>
      <c r="I12019" s="8">
        <v>526.6875</v>
      </c>
      <c r="J12019" s="3">
        <f t="shared" si="187"/>
        <v>43748.369197268512</v>
      </c>
    </row>
    <row r="12020" spans="1:10" x14ac:dyDescent="0.25">
      <c r="A12020" s="5" t="s">
        <v>24354</v>
      </c>
      <c r="B12020" s="6">
        <v>393.75</v>
      </c>
      <c r="C12020" s="6">
        <v>20.478950000000001</v>
      </c>
      <c r="D12020" s="6">
        <v>87</v>
      </c>
      <c r="E12020" s="6">
        <v>0</v>
      </c>
      <c r="F12020" s="6">
        <v>0</v>
      </c>
      <c r="G12020" s="6">
        <v>20</v>
      </c>
      <c r="H12020" s="6" t="s">
        <v>24355</v>
      </c>
      <c r="I12020" s="6">
        <v>526.6875</v>
      </c>
      <c r="J12020" s="2">
        <f t="shared" si="187"/>
        <v>43748.369275162033</v>
      </c>
    </row>
    <row r="12021" spans="1:10" x14ac:dyDescent="0.25">
      <c r="A12021" s="7" t="s">
        <v>24356</v>
      </c>
      <c r="B12021" s="8">
        <v>393.75</v>
      </c>
      <c r="C12021" s="8">
        <v>20.478950000000001</v>
      </c>
      <c r="D12021" s="8">
        <v>87</v>
      </c>
      <c r="E12021" s="8">
        <v>0</v>
      </c>
      <c r="F12021" s="8">
        <v>0</v>
      </c>
      <c r="G12021" s="8">
        <v>10</v>
      </c>
      <c r="H12021" s="8" t="s">
        <v>24357</v>
      </c>
      <c r="I12021" s="8">
        <v>526.6875</v>
      </c>
      <c r="J12021" s="3">
        <f t="shared" si="187"/>
        <v>43748.369352824076</v>
      </c>
    </row>
    <row r="12022" spans="1:10" x14ac:dyDescent="0.25">
      <c r="A12022" s="5" t="s">
        <v>24358</v>
      </c>
      <c r="B12022" s="6">
        <v>393.75</v>
      </c>
      <c r="C12022" s="6">
        <v>20.478950000000001</v>
      </c>
      <c r="D12022" s="6">
        <v>87</v>
      </c>
      <c r="E12022" s="6">
        <v>0</v>
      </c>
      <c r="F12022" s="6">
        <v>0</v>
      </c>
      <c r="G12022" s="6">
        <v>13</v>
      </c>
      <c r="H12022" s="6" t="s">
        <v>24359</v>
      </c>
      <c r="I12022" s="6">
        <v>526.6875</v>
      </c>
      <c r="J12022" s="2">
        <f t="shared" si="187"/>
        <v>43748.369436030094</v>
      </c>
    </row>
    <row r="12023" spans="1:10" x14ac:dyDescent="0.25">
      <c r="A12023" s="7" t="s">
        <v>24360</v>
      </c>
      <c r="B12023" s="8">
        <v>393.75</v>
      </c>
      <c r="C12023" s="8">
        <v>20.478950000000001</v>
      </c>
      <c r="D12023" s="8">
        <v>86</v>
      </c>
      <c r="E12023" s="8">
        <v>0</v>
      </c>
      <c r="F12023" s="8">
        <v>0</v>
      </c>
      <c r="G12023" s="8">
        <v>15</v>
      </c>
      <c r="H12023" s="8" t="s">
        <v>24361</v>
      </c>
      <c r="I12023" s="8">
        <v>526.6875</v>
      </c>
      <c r="J12023" s="3">
        <f t="shared" si="187"/>
        <v>43748.369519594904</v>
      </c>
    </row>
    <row r="12024" spans="1:10" x14ac:dyDescent="0.25">
      <c r="A12024" s="5" t="s">
        <v>24362</v>
      </c>
      <c r="B12024" s="6">
        <v>393.75</v>
      </c>
      <c r="C12024" s="6">
        <v>20.478950000000001</v>
      </c>
      <c r="D12024" s="6">
        <v>86</v>
      </c>
      <c r="E12024" s="6">
        <v>0</v>
      </c>
      <c r="F12024" s="6">
        <v>0</v>
      </c>
      <c r="G12024" s="6">
        <v>4</v>
      </c>
      <c r="H12024" s="6" t="s">
        <v>24363</v>
      </c>
      <c r="I12024" s="6">
        <v>526.5</v>
      </c>
      <c r="J12024" s="2">
        <f t="shared" si="187"/>
        <v>43748.369591145827</v>
      </c>
    </row>
    <row r="12025" spans="1:10" x14ac:dyDescent="0.25">
      <c r="A12025" s="7" t="s">
        <v>24364</v>
      </c>
      <c r="B12025" s="8">
        <v>393.75</v>
      </c>
      <c r="C12025" s="8">
        <v>20.478950000000001</v>
      </c>
      <c r="D12025" s="8">
        <v>85</v>
      </c>
      <c r="E12025" s="8">
        <v>0</v>
      </c>
      <c r="F12025" s="8">
        <v>0</v>
      </c>
      <c r="G12025" s="8">
        <v>16</v>
      </c>
      <c r="H12025" s="8" t="s">
        <v>24365</v>
      </c>
      <c r="I12025" s="8">
        <v>526.6875</v>
      </c>
      <c r="J12025" s="3">
        <f t="shared" si="187"/>
        <v>43748.369686134254</v>
      </c>
    </row>
    <row r="12026" spans="1:10" x14ac:dyDescent="0.25">
      <c r="A12026" s="5" t="s">
        <v>24366</v>
      </c>
      <c r="B12026" s="6">
        <v>393.75</v>
      </c>
      <c r="C12026" s="6">
        <v>20.478950000000001</v>
      </c>
      <c r="D12026" s="6">
        <v>85</v>
      </c>
      <c r="E12026" s="6">
        <v>0</v>
      </c>
      <c r="F12026" s="6">
        <v>0</v>
      </c>
      <c r="G12026" s="6">
        <v>9</v>
      </c>
      <c r="H12026" s="6" t="s">
        <v>24367</v>
      </c>
      <c r="I12026" s="6">
        <v>526.6875</v>
      </c>
      <c r="J12026" s="2">
        <f t="shared" si="187"/>
        <v>43748.369758090274</v>
      </c>
    </row>
    <row r="12027" spans="1:10" x14ac:dyDescent="0.25">
      <c r="A12027" s="7" t="s">
        <v>24368</v>
      </c>
      <c r="B12027" s="8">
        <v>393.75</v>
      </c>
      <c r="C12027" s="8">
        <v>20.478950000000001</v>
      </c>
      <c r="D12027" s="8">
        <v>84</v>
      </c>
      <c r="E12027" s="8">
        <v>0</v>
      </c>
      <c r="F12027" s="8">
        <v>0</v>
      </c>
      <c r="G12027" s="8">
        <v>14</v>
      </c>
      <c r="H12027" s="8" t="s">
        <v>24369</v>
      </c>
      <c r="I12027" s="8">
        <v>526.6875</v>
      </c>
      <c r="J12027" s="3">
        <f t="shared" si="187"/>
        <v>43748.369841712956</v>
      </c>
    </row>
    <row r="12028" spans="1:10" x14ac:dyDescent="0.25">
      <c r="A12028" s="5" t="s">
        <v>24370</v>
      </c>
      <c r="B12028" s="6">
        <v>393.75</v>
      </c>
      <c r="C12028" s="6">
        <v>20.478950000000001</v>
      </c>
      <c r="D12028" s="6">
        <v>85</v>
      </c>
      <c r="E12028" s="6">
        <v>0</v>
      </c>
      <c r="F12028" s="6">
        <v>0</v>
      </c>
      <c r="G12028" s="6">
        <v>7</v>
      </c>
      <c r="H12028" s="6" t="s">
        <v>24371</v>
      </c>
      <c r="I12028" s="6">
        <v>526.6875</v>
      </c>
      <c r="J12028" s="2">
        <f t="shared" si="187"/>
        <v>43748.369912997681</v>
      </c>
    </row>
    <row r="12029" spans="1:10" x14ac:dyDescent="0.25">
      <c r="A12029" s="7" t="s">
        <v>24372</v>
      </c>
      <c r="B12029" s="8">
        <v>393.75</v>
      </c>
      <c r="C12029" s="8">
        <v>20.478950000000001</v>
      </c>
      <c r="D12029" s="8">
        <v>82</v>
      </c>
      <c r="E12029" s="8">
        <v>0</v>
      </c>
      <c r="F12029" s="8">
        <v>0</v>
      </c>
      <c r="G12029" s="8">
        <v>8</v>
      </c>
      <c r="H12029" s="8" t="s">
        <v>24373</v>
      </c>
      <c r="I12029" s="8">
        <v>526.5</v>
      </c>
      <c r="J12029" s="3">
        <f t="shared" si="187"/>
        <v>43748.369984641198</v>
      </c>
    </row>
    <row r="12030" spans="1:10" x14ac:dyDescent="0.25">
      <c r="A12030" s="5" t="s">
        <v>24374</v>
      </c>
      <c r="B12030" s="6">
        <v>393.75</v>
      </c>
      <c r="C12030" s="6">
        <v>20.478950000000001</v>
      </c>
      <c r="D12030" s="6">
        <v>83</v>
      </c>
      <c r="E12030" s="6">
        <v>0</v>
      </c>
      <c r="F12030" s="6">
        <v>0</v>
      </c>
      <c r="G12030" s="6">
        <v>4</v>
      </c>
      <c r="H12030" s="6" t="s">
        <v>24375</v>
      </c>
      <c r="I12030" s="6">
        <v>526.6875</v>
      </c>
      <c r="J12030" s="2">
        <f t="shared" si="187"/>
        <v>43748.370068344906</v>
      </c>
    </row>
    <row r="12031" spans="1:10" x14ac:dyDescent="0.25">
      <c r="A12031" s="7" t="s">
        <v>24376</v>
      </c>
      <c r="B12031" s="8">
        <v>393.75</v>
      </c>
      <c r="C12031" s="8">
        <v>20.478950000000001</v>
      </c>
      <c r="D12031" s="8">
        <v>83</v>
      </c>
      <c r="E12031" s="8">
        <v>0</v>
      </c>
      <c r="F12031" s="8">
        <v>0</v>
      </c>
      <c r="G12031" s="8">
        <v>5</v>
      </c>
      <c r="H12031" s="8" t="s">
        <v>24377</v>
      </c>
      <c r="I12031" s="8">
        <v>526.6875</v>
      </c>
      <c r="J12031" s="3">
        <f t="shared" si="187"/>
        <v>43748.370166828703</v>
      </c>
    </row>
    <row r="12032" spans="1:10" x14ac:dyDescent="0.25">
      <c r="A12032" s="5" t="s">
        <v>24378</v>
      </c>
      <c r="B12032" s="6">
        <v>393.75</v>
      </c>
      <c r="C12032" s="6">
        <v>20.478950000000001</v>
      </c>
      <c r="D12032" s="6">
        <v>89</v>
      </c>
      <c r="E12032" s="6">
        <v>0</v>
      </c>
      <c r="F12032" s="6">
        <v>0</v>
      </c>
      <c r="G12032" s="6">
        <v>5</v>
      </c>
      <c r="H12032" s="6" t="s">
        <v>24379</v>
      </c>
      <c r="I12032" s="6">
        <v>526.6875</v>
      </c>
      <c r="J12032" s="2">
        <f t="shared" si="187"/>
        <v>43748.37024704861</v>
      </c>
    </row>
    <row r="12033" spans="1:10" x14ac:dyDescent="0.25">
      <c r="A12033" s="7" t="s">
        <v>24380</v>
      </c>
      <c r="B12033" s="8">
        <v>393.75</v>
      </c>
      <c r="C12033" s="8">
        <v>20.478950000000001</v>
      </c>
      <c r="D12033" s="8">
        <v>88</v>
      </c>
      <c r="E12033" s="8">
        <v>0</v>
      </c>
      <c r="F12033" s="8">
        <v>0</v>
      </c>
      <c r="G12033" s="8">
        <v>6</v>
      </c>
      <c r="H12033" s="8" t="s">
        <v>24381</v>
      </c>
      <c r="I12033" s="8">
        <v>526.6875</v>
      </c>
      <c r="J12033" s="3">
        <f t="shared" si="187"/>
        <v>43748.370318576388</v>
      </c>
    </row>
    <row r="12034" spans="1:10" x14ac:dyDescent="0.25">
      <c r="A12034" s="5" t="s">
        <v>24382</v>
      </c>
      <c r="B12034" s="6">
        <v>393.75</v>
      </c>
      <c r="C12034" s="6">
        <v>20.478950000000001</v>
      </c>
      <c r="D12034" s="6">
        <v>87</v>
      </c>
      <c r="E12034" s="6">
        <v>0</v>
      </c>
      <c r="F12034" s="6">
        <v>0</v>
      </c>
      <c r="G12034" s="6">
        <v>10</v>
      </c>
      <c r="H12034" s="6" t="s">
        <v>24383</v>
      </c>
      <c r="I12034" s="6">
        <v>526.6875</v>
      </c>
      <c r="J12034" s="2">
        <f t="shared" ref="J12034:J12097" si="188">(H12034/86400000)+25569+(7/24)</f>
        <v>43748.370401712957</v>
      </c>
    </row>
    <row r="12035" spans="1:10" x14ac:dyDescent="0.25">
      <c r="A12035" s="7" t="s">
        <v>24384</v>
      </c>
      <c r="B12035" s="8">
        <v>393.75</v>
      </c>
      <c r="C12035" s="8">
        <v>20.478950000000001</v>
      </c>
      <c r="D12035" s="8">
        <v>87</v>
      </c>
      <c r="E12035" s="8">
        <v>0</v>
      </c>
      <c r="F12035" s="8">
        <v>0</v>
      </c>
      <c r="G12035" s="8">
        <v>9</v>
      </c>
      <c r="H12035" s="8" t="s">
        <v>24385</v>
      </c>
      <c r="I12035" s="8">
        <v>526.6875</v>
      </c>
      <c r="J12035" s="3">
        <f t="shared" si="188"/>
        <v>43748.37047347222</v>
      </c>
    </row>
    <row r="12036" spans="1:10" x14ac:dyDescent="0.25">
      <c r="A12036" s="5" t="s">
        <v>24386</v>
      </c>
      <c r="B12036" s="6">
        <v>393.75</v>
      </c>
      <c r="C12036" s="6">
        <v>20.478950000000001</v>
      </c>
      <c r="D12036" s="6">
        <v>86</v>
      </c>
      <c r="E12036" s="6">
        <v>0</v>
      </c>
      <c r="F12036" s="6">
        <v>0</v>
      </c>
      <c r="G12036" s="6">
        <v>19</v>
      </c>
      <c r="H12036" s="6" t="s">
        <v>24387</v>
      </c>
      <c r="I12036" s="6">
        <v>526.6875</v>
      </c>
      <c r="J12036" s="2">
        <f t="shared" si="188"/>
        <v>43748.370557233793</v>
      </c>
    </row>
    <row r="12037" spans="1:10" x14ac:dyDescent="0.25">
      <c r="A12037" s="7" t="s">
        <v>24388</v>
      </c>
      <c r="B12037" s="8">
        <v>393.75</v>
      </c>
      <c r="C12037" s="8">
        <v>20.478950000000001</v>
      </c>
      <c r="D12037" s="8">
        <v>85</v>
      </c>
      <c r="E12037" s="8">
        <v>0</v>
      </c>
      <c r="F12037" s="8">
        <v>0</v>
      </c>
      <c r="G12037" s="8">
        <v>11</v>
      </c>
      <c r="H12037" s="8" t="s">
        <v>24389</v>
      </c>
      <c r="I12037" s="8">
        <v>526.5</v>
      </c>
      <c r="J12037" s="3">
        <f t="shared" si="188"/>
        <v>43748.370628645825</v>
      </c>
    </row>
    <row r="12038" spans="1:10" x14ac:dyDescent="0.25">
      <c r="A12038" s="5" t="s">
        <v>24390</v>
      </c>
      <c r="B12038" s="6">
        <v>393.75</v>
      </c>
      <c r="C12038" s="6">
        <v>20.478950000000001</v>
      </c>
      <c r="D12038" s="6">
        <v>86</v>
      </c>
      <c r="E12038" s="6">
        <v>0</v>
      </c>
      <c r="F12038" s="6">
        <v>0</v>
      </c>
      <c r="G12038" s="6">
        <v>2</v>
      </c>
      <c r="H12038" s="6" t="s">
        <v>24391</v>
      </c>
      <c r="I12038" s="6">
        <v>526.5</v>
      </c>
      <c r="J12038" s="2">
        <f t="shared" si="188"/>
        <v>43748.370712118056</v>
      </c>
    </row>
    <row r="12039" spans="1:10" x14ac:dyDescent="0.25">
      <c r="A12039" s="7" t="s">
        <v>24392</v>
      </c>
      <c r="B12039" s="8">
        <v>393.75</v>
      </c>
      <c r="C12039" s="8">
        <v>20.478950000000001</v>
      </c>
      <c r="D12039" s="8">
        <v>86</v>
      </c>
      <c r="E12039" s="8">
        <v>0</v>
      </c>
      <c r="F12039" s="8">
        <v>0</v>
      </c>
      <c r="G12039" s="8">
        <v>10</v>
      </c>
      <c r="H12039" s="8" t="s">
        <v>24393</v>
      </c>
      <c r="I12039" s="8">
        <v>526.6875</v>
      </c>
      <c r="J12039" s="3">
        <f t="shared" si="188"/>
        <v>43748.370795567127</v>
      </c>
    </row>
    <row r="12040" spans="1:10" x14ac:dyDescent="0.25">
      <c r="A12040" s="5" t="s">
        <v>24394</v>
      </c>
      <c r="B12040" s="6">
        <v>393.75</v>
      </c>
      <c r="C12040" s="6">
        <v>20.478950000000001</v>
      </c>
      <c r="D12040" s="6">
        <v>87</v>
      </c>
      <c r="E12040" s="6">
        <v>0</v>
      </c>
      <c r="F12040" s="6">
        <v>0</v>
      </c>
      <c r="G12040" s="6">
        <v>12</v>
      </c>
      <c r="H12040" s="6" t="s">
        <v>24395</v>
      </c>
      <c r="I12040" s="6">
        <v>526.6875</v>
      </c>
      <c r="J12040" s="2">
        <f t="shared" si="188"/>
        <v>43748.370878784721</v>
      </c>
    </row>
    <row r="12041" spans="1:10" x14ac:dyDescent="0.25">
      <c r="A12041" s="7" t="s">
        <v>24396</v>
      </c>
      <c r="B12041" s="8">
        <v>412.5</v>
      </c>
      <c r="C12041" s="8">
        <v>20.478950000000001</v>
      </c>
      <c r="D12041" s="8">
        <v>88</v>
      </c>
      <c r="E12041" s="8">
        <v>0</v>
      </c>
      <c r="F12041" s="8">
        <v>0</v>
      </c>
      <c r="G12041" s="8">
        <v>4</v>
      </c>
      <c r="H12041" s="8" t="s">
        <v>24397</v>
      </c>
      <c r="I12041" s="8">
        <v>532.6875</v>
      </c>
      <c r="J12041" s="3">
        <f t="shared" si="188"/>
        <v>43748.3709505324</v>
      </c>
    </row>
    <row r="12042" spans="1:10" x14ac:dyDescent="0.25">
      <c r="A12042" s="5" t="s">
        <v>24398</v>
      </c>
      <c r="B12042" s="6">
        <v>393.75</v>
      </c>
      <c r="C12042" s="6">
        <v>20.478950000000001</v>
      </c>
      <c r="D12042" s="6">
        <v>85</v>
      </c>
      <c r="E12042" s="6">
        <v>0</v>
      </c>
      <c r="F12042" s="6">
        <v>0</v>
      </c>
      <c r="G12042" s="6">
        <v>8</v>
      </c>
      <c r="H12042" s="6" t="s">
        <v>24399</v>
      </c>
      <c r="I12042" s="6">
        <v>526.6875</v>
      </c>
      <c r="J12042" s="2">
        <f t="shared" si="188"/>
        <v>43748.371033981479</v>
      </c>
    </row>
    <row r="12043" spans="1:10" x14ac:dyDescent="0.25">
      <c r="A12043" s="7" t="s">
        <v>24400</v>
      </c>
      <c r="B12043" s="8">
        <v>393.75</v>
      </c>
      <c r="C12043" s="8">
        <v>20.478950000000001</v>
      </c>
      <c r="D12043" s="8">
        <v>86</v>
      </c>
      <c r="E12043" s="8">
        <v>0</v>
      </c>
      <c r="F12043" s="8">
        <v>0</v>
      </c>
      <c r="G12043" s="8">
        <v>3</v>
      </c>
      <c r="H12043" s="8" t="s">
        <v>24401</v>
      </c>
      <c r="I12043" s="8">
        <v>526.6875</v>
      </c>
      <c r="J12043" s="3">
        <f t="shared" si="188"/>
        <v>43748.37111753472</v>
      </c>
    </row>
    <row r="12044" spans="1:10" x14ac:dyDescent="0.25">
      <c r="A12044" s="5" t="s">
        <v>24402</v>
      </c>
      <c r="B12044" s="6">
        <v>393.75</v>
      </c>
      <c r="C12044" s="6">
        <v>20.478950000000001</v>
      </c>
      <c r="D12044" s="6">
        <v>85</v>
      </c>
      <c r="E12044" s="6">
        <v>0</v>
      </c>
      <c r="F12044" s="6">
        <v>0</v>
      </c>
      <c r="G12044" s="6">
        <v>4</v>
      </c>
      <c r="H12044" s="6" t="s">
        <v>24403</v>
      </c>
      <c r="I12044" s="6">
        <v>526.6875</v>
      </c>
      <c r="J12044" s="2">
        <f t="shared" si="188"/>
        <v>43748.371201192123</v>
      </c>
    </row>
    <row r="12045" spans="1:10" x14ac:dyDescent="0.25">
      <c r="A12045" s="7" t="s">
        <v>24404</v>
      </c>
      <c r="B12045" s="8">
        <v>393.75</v>
      </c>
      <c r="C12045" s="8">
        <v>20.478950000000001</v>
      </c>
      <c r="D12045" s="8">
        <v>85</v>
      </c>
      <c r="E12045" s="8">
        <v>0</v>
      </c>
      <c r="F12045" s="8">
        <v>0</v>
      </c>
      <c r="G12045" s="8">
        <v>17</v>
      </c>
      <c r="H12045" s="8" t="s">
        <v>24405</v>
      </c>
      <c r="I12045" s="8">
        <v>526.6875</v>
      </c>
      <c r="J12045" s="3">
        <f t="shared" si="188"/>
        <v>43748.371284456014</v>
      </c>
    </row>
    <row r="12046" spans="1:10" x14ac:dyDescent="0.25">
      <c r="A12046" s="5" t="s">
        <v>24406</v>
      </c>
      <c r="B12046" s="6">
        <v>412.5</v>
      </c>
      <c r="C12046" s="6">
        <v>20.478950000000001</v>
      </c>
      <c r="D12046" s="6">
        <v>84</v>
      </c>
      <c r="E12046" s="6">
        <v>0</v>
      </c>
      <c r="F12046" s="6">
        <v>0</v>
      </c>
      <c r="G12046" s="6">
        <v>11</v>
      </c>
      <c r="H12046" s="6" t="s">
        <v>24407</v>
      </c>
      <c r="I12046" s="6">
        <v>532.125</v>
      </c>
      <c r="J12046" s="2">
        <f t="shared" si="188"/>
        <v>43748.371367662032</v>
      </c>
    </row>
    <row r="12047" spans="1:10" x14ac:dyDescent="0.25">
      <c r="A12047" s="7" t="s">
        <v>24408</v>
      </c>
      <c r="B12047" s="8">
        <v>393.75</v>
      </c>
      <c r="C12047" s="8">
        <v>20.478950000000001</v>
      </c>
      <c r="D12047" s="8">
        <v>84</v>
      </c>
      <c r="E12047" s="8">
        <v>0</v>
      </c>
      <c r="F12047" s="8">
        <v>0</v>
      </c>
      <c r="G12047" s="8">
        <v>0</v>
      </c>
      <c r="H12047" s="8" t="s">
        <v>24409</v>
      </c>
      <c r="I12047" s="8">
        <v>526.6875</v>
      </c>
      <c r="J12047" s="3">
        <f t="shared" si="188"/>
        <v>43748.371439421295</v>
      </c>
    </row>
    <row r="12048" spans="1:10" x14ac:dyDescent="0.25">
      <c r="A12048" s="5" t="s">
        <v>24410</v>
      </c>
      <c r="B12048" s="6">
        <v>393.75</v>
      </c>
      <c r="C12048" s="6">
        <v>20.478950000000001</v>
      </c>
      <c r="D12048" s="6">
        <v>84</v>
      </c>
      <c r="E12048" s="6">
        <v>0</v>
      </c>
      <c r="F12048" s="6">
        <v>0</v>
      </c>
      <c r="G12048" s="6">
        <v>9</v>
      </c>
      <c r="H12048" s="6" t="s">
        <v>24411</v>
      </c>
      <c r="I12048" s="6">
        <v>526.6875</v>
      </c>
      <c r="J12048" s="2">
        <f t="shared" si="188"/>
        <v>43748.371522997688</v>
      </c>
    </row>
    <row r="12049" spans="1:10" x14ac:dyDescent="0.25">
      <c r="A12049" s="7" t="s">
        <v>24412</v>
      </c>
      <c r="B12049" s="8">
        <v>393.75</v>
      </c>
      <c r="C12049" s="8">
        <v>20.478950000000001</v>
      </c>
      <c r="D12049" s="8">
        <v>84</v>
      </c>
      <c r="E12049" s="8">
        <v>0</v>
      </c>
      <c r="F12049" s="8">
        <v>0</v>
      </c>
      <c r="G12049" s="8">
        <v>5</v>
      </c>
      <c r="H12049" s="8" t="s">
        <v>24413</v>
      </c>
      <c r="I12049" s="8">
        <v>526.6875</v>
      </c>
      <c r="J12049" s="3">
        <f t="shared" si="188"/>
        <v>43748.371606307868</v>
      </c>
    </row>
    <row r="12050" spans="1:10" x14ac:dyDescent="0.25">
      <c r="A12050" s="5" t="s">
        <v>24414</v>
      </c>
      <c r="B12050" s="6">
        <v>393.75</v>
      </c>
      <c r="C12050" s="6">
        <v>20.478950000000001</v>
      </c>
      <c r="D12050" s="6">
        <v>85</v>
      </c>
      <c r="E12050" s="6">
        <v>0</v>
      </c>
      <c r="F12050" s="6">
        <v>0</v>
      </c>
      <c r="G12050" s="6">
        <v>10</v>
      </c>
      <c r="H12050" s="6" t="s">
        <v>24415</v>
      </c>
      <c r="I12050" s="6">
        <v>526.5</v>
      </c>
      <c r="J12050" s="2">
        <f t="shared" si="188"/>
        <v>43748.371689884261</v>
      </c>
    </row>
    <row r="12051" spans="1:10" x14ac:dyDescent="0.25">
      <c r="A12051" s="7" t="s">
        <v>24416</v>
      </c>
      <c r="B12051" s="8">
        <v>425</v>
      </c>
      <c r="C12051" s="8">
        <v>20.478950000000001</v>
      </c>
      <c r="D12051" s="8">
        <v>88</v>
      </c>
      <c r="E12051" s="8">
        <v>0</v>
      </c>
      <c r="F12051" s="8">
        <v>0</v>
      </c>
      <c r="G12051" s="8">
        <v>8</v>
      </c>
      <c r="H12051" s="8" t="s">
        <v>24417</v>
      </c>
      <c r="I12051" s="8">
        <v>536.4375</v>
      </c>
      <c r="J12051" s="3">
        <f t="shared" si="188"/>
        <v>43748.371773344908</v>
      </c>
    </row>
    <row r="12052" spans="1:10" x14ac:dyDescent="0.25">
      <c r="A12052" s="5" t="s">
        <v>24418</v>
      </c>
      <c r="B12052" s="6">
        <v>393.75</v>
      </c>
      <c r="C12052" s="6">
        <v>20.478950000000001</v>
      </c>
      <c r="D12052" s="6">
        <v>88</v>
      </c>
      <c r="E12052" s="6">
        <v>0</v>
      </c>
      <c r="F12052" s="6">
        <v>0</v>
      </c>
      <c r="G12052" s="6">
        <v>13</v>
      </c>
      <c r="H12052" s="6" t="s">
        <v>24419</v>
      </c>
      <c r="I12052" s="6">
        <v>526.5</v>
      </c>
      <c r="J12052" s="2">
        <f t="shared" si="188"/>
        <v>43748.371856562495</v>
      </c>
    </row>
    <row r="12053" spans="1:10" x14ac:dyDescent="0.25">
      <c r="A12053" s="7" t="s">
        <v>24420</v>
      </c>
      <c r="B12053" s="8">
        <v>393.75</v>
      </c>
      <c r="C12053" s="8">
        <v>20.478950000000001</v>
      </c>
      <c r="D12053" s="8">
        <v>88</v>
      </c>
      <c r="E12053" s="8">
        <v>0</v>
      </c>
      <c r="F12053" s="8">
        <v>0</v>
      </c>
      <c r="G12053" s="8">
        <v>6</v>
      </c>
      <c r="H12053" s="8" t="s">
        <v>24421</v>
      </c>
      <c r="I12053" s="8">
        <v>526.6875</v>
      </c>
      <c r="J12053" s="3">
        <f t="shared" si="188"/>
        <v>43748.371927962966</v>
      </c>
    </row>
    <row r="12054" spans="1:10" x14ac:dyDescent="0.25">
      <c r="A12054" s="5" t="s">
        <v>24422</v>
      </c>
      <c r="B12054" s="6">
        <v>393.75</v>
      </c>
      <c r="C12054" s="6">
        <v>20.478950000000001</v>
      </c>
      <c r="D12054" s="6">
        <v>88</v>
      </c>
      <c r="E12054" s="6">
        <v>0</v>
      </c>
      <c r="F12054" s="6">
        <v>0</v>
      </c>
      <c r="G12054" s="6">
        <v>4</v>
      </c>
      <c r="H12054" s="6" t="s">
        <v>24423</v>
      </c>
      <c r="I12054" s="6">
        <v>526.6875</v>
      </c>
      <c r="J12054" s="2">
        <f t="shared" si="188"/>
        <v>43748.372011874999</v>
      </c>
    </row>
    <row r="12055" spans="1:10" x14ac:dyDescent="0.25">
      <c r="A12055" s="7" t="s">
        <v>24424</v>
      </c>
      <c r="B12055" s="8">
        <v>393.75</v>
      </c>
      <c r="C12055" s="8">
        <v>20.478950000000001</v>
      </c>
      <c r="D12055" s="8">
        <v>88</v>
      </c>
      <c r="E12055" s="8">
        <v>0</v>
      </c>
      <c r="F12055" s="8">
        <v>0</v>
      </c>
      <c r="G12055" s="8">
        <v>4</v>
      </c>
      <c r="H12055" s="8" t="s">
        <v>24425</v>
      </c>
      <c r="I12055" s="8">
        <v>526.6875</v>
      </c>
      <c r="J12055" s="3">
        <f t="shared" si="188"/>
        <v>43748.37209532407</v>
      </c>
    </row>
    <row r="12056" spans="1:10" x14ac:dyDescent="0.25">
      <c r="A12056" s="5" t="s">
        <v>24426</v>
      </c>
      <c r="B12056" s="6">
        <v>421.875</v>
      </c>
      <c r="C12056" s="6">
        <v>20.478950000000001</v>
      </c>
      <c r="D12056" s="6">
        <v>88</v>
      </c>
      <c r="E12056" s="6">
        <v>0</v>
      </c>
      <c r="F12056" s="6">
        <v>0</v>
      </c>
      <c r="G12056" s="6">
        <v>8</v>
      </c>
      <c r="H12056" s="6" t="s">
        <v>24427</v>
      </c>
      <c r="I12056" s="6">
        <v>535.3125</v>
      </c>
      <c r="J12056" s="2">
        <f t="shared" si="188"/>
        <v>43748.372178761572</v>
      </c>
    </row>
    <row r="12057" spans="1:10" x14ac:dyDescent="0.25">
      <c r="A12057" s="7" t="s">
        <v>24428</v>
      </c>
      <c r="B12057" s="8">
        <v>393.75</v>
      </c>
      <c r="C12057" s="8">
        <v>20.478950000000001</v>
      </c>
      <c r="D12057" s="8">
        <v>89</v>
      </c>
      <c r="E12057" s="8">
        <v>0</v>
      </c>
      <c r="F12057" s="8">
        <v>0</v>
      </c>
      <c r="G12057" s="8">
        <v>11</v>
      </c>
      <c r="H12057" s="8" t="s">
        <v>24429</v>
      </c>
      <c r="I12057" s="8">
        <v>526.5</v>
      </c>
      <c r="J12057" s="3">
        <f t="shared" si="188"/>
        <v>43748.372262210651</v>
      </c>
    </row>
    <row r="12058" spans="1:10" x14ac:dyDescent="0.25">
      <c r="A12058" s="5" t="s">
        <v>24430</v>
      </c>
      <c r="B12058" s="6">
        <v>393.75</v>
      </c>
      <c r="C12058" s="6">
        <v>20.478950000000001</v>
      </c>
      <c r="D12058" s="6">
        <v>90</v>
      </c>
      <c r="E12058" s="6">
        <v>0</v>
      </c>
      <c r="F12058" s="6">
        <v>0</v>
      </c>
      <c r="G12058" s="6">
        <v>13</v>
      </c>
      <c r="H12058" s="6" t="s">
        <v>24431</v>
      </c>
      <c r="I12058" s="6">
        <v>526.6875</v>
      </c>
      <c r="J12058" s="2">
        <f t="shared" si="188"/>
        <v>43748.372345439813</v>
      </c>
    </row>
    <row r="12059" spans="1:10" x14ac:dyDescent="0.25">
      <c r="A12059" s="7" t="s">
        <v>24432</v>
      </c>
      <c r="B12059" s="8">
        <v>393.75</v>
      </c>
      <c r="C12059" s="8">
        <v>20.478950000000001</v>
      </c>
      <c r="D12059" s="8">
        <v>90</v>
      </c>
      <c r="E12059" s="8">
        <v>0</v>
      </c>
      <c r="F12059" s="8">
        <v>0</v>
      </c>
      <c r="G12059" s="8">
        <v>6</v>
      </c>
      <c r="H12059" s="8" t="s">
        <v>24433</v>
      </c>
      <c r="I12059" s="8">
        <v>526.6875</v>
      </c>
      <c r="J12059" s="3">
        <f t="shared" si="188"/>
        <v>43748.372417210645</v>
      </c>
    </row>
    <row r="12060" spans="1:10" x14ac:dyDescent="0.25">
      <c r="A12060" s="5" t="s">
        <v>24434</v>
      </c>
      <c r="B12060" s="6">
        <v>393.75</v>
      </c>
      <c r="C12060" s="6">
        <v>20.478950000000001</v>
      </c>
      <c r="D12060" s="6">
        <v>90</v>
      </c>
      <c r="E12060" s="6">
        <v>0</v>
      </c>
      <c r="F12060" s="6">
        <v>0</v>
      </c>
      <c r="G12060" s="6">
        <v>7</v>
      </c>
      <c r="H12060" s="6" t="s">
        <v>24435</v>
      </c>
      <c r="I12060" s="6">
        <v>526.6875</v>
      </c>
      <c r="J12060" s="2">
        <f t="shared" si="188"/>
        <v>43748.372500775462</v>
      </c>
    </row>
    <row r="12061" spans="1:10" x14ac:dyDescent="0.25">
      <c r="A12061" s="7" t="s">
        <v>24436</v>
      </c>
      <c r="B12061" s="8">
        <v>393.75</v>
      </c>
      <c r="C12061" s="8">
        <v>20.478950000000001</v>
      </c>
      <c r="D12061" s="8">
        <v>90</v>
      </c>
      <c r="E12061" s="8">
        <v>0</v>
      </c>
      <c r="F12061" s="8">
        <v>0</v>
      </c>
      <c r="G12061" s="8">
        <v>0</v>
      </c>
      <c r="H12061" s="8" t="s">
        <v>24437</v>
      </c>
      <c r="I12061" s="8">
        <v>526.6875</v>
      </c>
      <c r="J12061" s="3">
        <f t="shared" si="188"/>
        <v>43748.372584328703</v>
      </c>
    </row>
    <row r="12062" spans="1:10" x14ac:dyDescent="0.25">
      <c r="A12062" s="5" t="s">
        <v>24438</v>
      </c>
      <c r="B12062" s="6">
        <v>393.75</v>
      </c>
      <c r="C12062" s="6">
        <v>20.478950000000001</v>
      </c>
      <c r="D12062" s="6">
        <v>90</v>
      </c>
      <c r="E12062" s="6">
        <v>0</v>
      </c>
      <c r="F12062" s="6">
        <v>0</v>
      </c>
      <c r="G12062" s="6">
        <v>0</v>
      </c>
      <c r="H12062" s="6" t="s">
        <v>24439</v>
      </c>
      <c r="I12062" s="6">
        <v>526.6875</v>
      </c>
      <c r="J12062" s="2">
        <f t="shared" si="188"/>
        <v>43748.372667662035</v>
      </c>
    </row>
    <row r="12063" spans="1:10" x14ac:dyDescent="0.25">
      <c r="A12063" s="7" t="s">
        <v>24440</v>
      </c>
      <c r="B12063" s="8">
        <v>393.75</v>
      </c>
      <c r="C12063" s="8">
        <v>20.478950000000001</v>
      </c>
      <c r="D12063" s="8">
        <v>89</v>
      </c>
      <c r="E12063" s="8">
        <v>0</v>
      </c>
      <c r="F12063" s="8">
        <v>0</v>
      </c>
      <c r="G12063" s="8">
        <v>11</v>
      </c>
      <c r="H12063" s="8" t="s">
        <v>24441</v>
      </c>
      <c r="I12063" s="8">
        <v>526.6875</v>
      </c>
      <c r="J12063" s="3">
        <f t="shared" si="188"/>
        <v>43748.372751226845</v>
      </c>
    </row>
    <row r="12064" spans="1:10" x14ac:dyDescent="0.25">
      <c r="A12064" s="5" t="s">
        <v>24442</v>
      </c>
      <c r="B12064" s="6">
        <v>393.75</v>
      </c>
      <c r="C12064" s="6">
        <v>20.478950000000001</v>
      </c>
      <c r="D12064" s="6">
        <v>90</v>
      </c>
      <c r="E12064" s="6">
        <v>0</v>
      </c>
      <c r="F12064" s="6">
        <v>0</v>
      </c>
      <c r="G12064" s="6">
        <v>7</v>
      </c>
      <c r="H12064" s="6" t="s">
        <v>24443</v>
      </c>
      <c r="I12064" s="6">
        <v>526.5</v>
      </c>
      <c r="J12064" s="2">
        <f t="shared" si="188"/>
        <v>43748.372834340276</v>
      </c>
    </row>
    <row r="12065" spans="1:10" x14ac:dyDescent="0.25">
      <c r="A12065" s="7" t="s">
        <v>24444</v>
      </c>
      <c r="B12065" s="8">
        <v>393.75</v>
      </c>
      <c r="C12065" s="8">
        <v>20.478950000000001</v>
      </c>
      <c r="D12065" s="8">
        <v>90</v>
      </c>
      <c r="E12065" s="8">
        <v>0</v>
      </c>
      <c r="F12065" s="8">
        <v>0</v>
      </c>
      <c r="G12065" s="8">
        <v>1</v>
      </c>
      <c r="H12065" s="8" t="s">
        <v>24445</v>
      </c>
      <c r="I12065" s="8">
        <v>526.6875</v>
      </c>
      <c r="J12065" s="3">
        <f t="shared" si="188"/>
        <v>43748.372930162033</v>
      </c>
    </row>
    <row r="12066" spans="1:10" x14ac:dyDescent="0.25">
      <c r="A12066" s="5" t="s">
        <v>24446</v>
      </c>
      <c r="B12066" s="6">
        <v>393.75</v>
      </c>
      <c r="C12066" s="6">
        <v>20.478950000000001</v>
      </c>
      <c r="D12066" s="6">
        <v>90</v>
      </c>
      <c r="E12066" s="6">
        <v>0</v>
      </c>
      <c r="F12066" s="6">
        <v>0</v>
      </c>
      <c r="G12066" s="6">
        <v>1</v>
      </c>
      <c r="H12066" s="6" t="s">
        <v>24447</v>
      </c>
      <c r="I12066" s="6">
        <v>526.6875</v>
      </c>
      <c r="J12066" s="2">
        <f t="shared" si="188"/>
        <v>43748.37301348379</v>
      </c>
    </row>
    <row r="12067" spans="1:10" x14ac:dyDescent="0.25">
      <c r="A12067" s="7" t="s">
        <v>24448</v>
      </c>
      <c r="B12067" s="8">
        <v>393.75</v>
      </c>
      <c r="C12067" s="8">
        <v>20.478950000000001</v>
      </c>
      <c r="D12067" s="8">
        <v>90</v>
      </c>
      <c r="E12067" s="8">
        <v>0</v>
      </c>
      <c r="F12067" s="8">
        <v>0</v>
      </c>
      <c r="G12067" s="8">
        <v>3</v>
      </c>
      <c r="H12067" s="8" t="s">
        <v>24449</v>
      </c>
      <c r="I12067" s="8">
        <v>526.6875</v>
      </c>
      <c r="J12067" s="3">
        <f t="shared" si="188"/>
        <v>43748.373096944437</v>
      </c>
    </row>
    <row r="12068" spans="1:10" x14ac:dyDescent="0.25">
      <c r="A12068" s="5" t="s">
        <v>24450</v>
      </c>
      <c r="B12068" s="6">
        <v>393.75</v>
      </c>
      <c r="C12068" s="6">
        <v>20.478950000000001</v>
      </c>
      <c r="D12068" s="6">
        <v>87</v>
      </c>
      <c r="E12068" s="6">
        <v>0</v>
      </c>
      <c r="F12068" s="6">
        <v>0</v>
      </c>
      <c r="G12068" s="6">
        <v>7</v>
      </c>
      <c r="H12068" s="6" t="s">
        <v>24451</v>
      </c>
      <c r="I12068" s="6">
        <v>526.6875</v>
      </c>
      <c r="J12068" s="2">
        <f t="shared" si="188"/>
        <v>43748.373180162038</v>
      </c>
    </row>
    <row r="12069" spans="1:10" x14ac:dyDescent="0.25">
      <c r="A12069" s="7" t="s">
        <v>24452</v>
      </c>
      <c r="B12069" s="8">
        <v>393.75</v>
      </c>
      <c r="C12069" s="8">
        <v>20.478950000000001</v>
      </c>
      <c r="D12069" s="8">
        <v>86</v>
      </c>
      <c r="E12069" s="8">
        <v>0</v>
      </c>
      <c r="F12069" s="8">
        <v>0</v>
      </c>
      <c r="G12069" s="8">
        <v>7</v>
      </c>
      <c r="H12069" s="8" t="s">
        <v>24453</v>
      </c>
      <c r="I12069" s="8">
        <v>526.6875</v>
      </c>
      <c r="J12069" s="3">
        <f t="shared" si="188"/>
        <v>43748.373252025463</v>
      </c>
    </row>
    <row r="12070" spans="1:10" x14ac:dyDescent="0.25">
      <c r="A12070" s="5" t="s">
        <v>24454</v>
      </c>
      <c r="B12070" s="6">
        <v>393.75</v>
      </c>
      <c r="C12070" s="6">
        <v>20.478950000000001</v>
      </c>
      <c r="D12070" s="6">
        <v>84</v>
      </c>
      <c r="E12070" s="6">
        <v>0</v>
      </c>
      <c r="F12070" s="6">
        <v>0</v>
      </c>
      <c r="G12070" s="6">
        <v>9</v>
      </c>
      <c r="H12070" s="6" t="s">
        <v>24455</v>
      </c>
      <c r="I12070" s="6">
        <v>526.6875</v>
      </c>
      <c r="J12070" s="2">
        <f t="shared" si="188"/>
        <v>43748.373335474535</v>
      </c>
    </row>
    <row r="12071" spans="1:10" x14ac:dyDescent="0.25">
      <c r="A12071" s="7" t="s">
        <v>24456</v>
      </c>
      <c r="B12071" s="8">
        <v>393.75</v>
      </c>
      <c r="C12071" s="8">
        <v>20.478950000000001</v>
      </c>
      <c r="D12071" s="8">
        <v>86</v>
      </c>
      <c r="E12071" s="8">
        <v>0</v>
      </c>
      <c r="F12071" s="8">
        <v>0</v>
      </c>
      <c r="G12071" s="8">
        <v>10</v>
      </c>
      <c r="H12071" s="8" t="s">
        <v>24457</v>
      </c>
      <c r="I12071" s="8">
        <v>526.6875</v>
      </c>
      <c r="J12071" s="3">
        <f t="shared" si="188"/>
        <v>43748.373418935182</v>
      </c>
    </row>
    <row r="12072" spans="1:10" x14ac:dyDescent="0.25">
      <c r="A12072" s="5" t="s">
        <v>24458</v>
      </c>
      <c r="B12072" s="6">
        <v>393.75</v>
      </c>
      <c r="C12072" s="6">
        <v>20.478950000000001</v>
      </c>
      <c r="D12072" s="6">
        <v>86</v>
      </c>
      <c r="E12072" s="6">
        <v>0</v>
      </c>
      <c r="F12072" s="6">
        <v>0</v>
      </c>
      <c r="G12072" s="6">
        <v>13</v>
      </c>
      <c r="H12072" s="6" t="s">
        <v>24459</v>
      </c>
      <c r="I12072" s="6">
        <v>526.6875</v>
      </c>
      <c r="J12072" s="2">
        <f t="shared" si="188"/>
        <v>43748.373502395836</v>
      </c>
    </row>
    <row r="12073" spans="1:10" x14ac:dyDescent="0.25">
      <c r="A12073" s="7" t="s">
        <v>24460</v>
      </c>
      <c r="B12073" s="8">
        <v>393.75</v>
      </c>
      <c r="C12073" s="8">
        <v>20.478950000000001</v>
      </c>
      <c r="D12073" s="8">
        <v>87</v>
      </c>
      <c r="E12073" s="8">
        <v>0</v>
      </c>
      <c r="F12073" s="8">
        <v>0</v>
      </c>
      <c r="G12073" s="8">
        <v>12</v>
      </c>
      <c r="H12073" s="8" t="s">
        <v>24461</v>
      </c>
      <c r="I12073" s="8">
        <v>526.6875</v>
      </c>
      <c r="J12073" s="3">
        <f t="shared" si="188"/>
        <v>43748.3735858449</v>
      </c>
    </row>
    <row r="12074" spans="1:10" x14ac:dyDescent="0.25">
      <c r="A12074" s="5" t="s">
        <v>24462</v>
      </c>
      <c r="B12074" s="6">
        <v>393.75</v>
      </c>
      <c r="C12074" s="6">
        <v>20.478950000000001</v>
      </c>
      <c r="D12074" s="6">
        <v>87</v>
      </c>
      <c r="E12074" s="6">
        <v>0</v>
      </c>
      <c r="F12074" s="6">
        <v>0</v>
      </c>
      <c r="G12074" s="6">
        <v>19</v>
      </c>
      <c r="H12074" s="6" t="s">
        <v>24463</v>
      </c>
      <c r="I12074" s="6">
        <v>526.6875</v>
      </c>
      <c r="J12074" s="2">
        <f t="shared" si="188"/>
        <v>43748.373669270826</v>
      </c>
    </row>
    <row r="12075" spans="1:10" x14ac:dyDescent="0.25">
      <c r="A12075" s="7" t="s">
        <v>24464</v>
      </c>
      <c r="B12075" s="8">
        <v>412.5</v>
      </c>
      <c r="C12075" s="8">
        <v>20.478950000000001</v>
      </c>
      <c r="D12075" s="8">
        <v>88</v>
      </c>
      <c r="E12075" s="8">
        <v>0</v>
      </c>
      <c r="F12075" s="8">
        <v>0</v>
      </c>
      <c r="G12075" s="8">
        <v>17</v>
      </c>
      <c r="H12075" s="8" t="s">
        <v>24465</v>
      </c>
      <c r="I12075" s="8">
        <v>532.125</v>
      </c>
      <c r="J12075" s="3">
        <f t="shared" si="188"/>
        <v>43748.373752835651</v>
      </c>
    </row>
    <row r="12076" spans="1:10" x14ac:dyDescent="0.25">
      <c r="A12076" s="5" t="s">
        <v>24466</v>
      </c>
      <c r="B12076" s="6">
        <v>393.75</v>
      </c>
      <c r="C12076" s="6">
        <v>20.478950000000001</v>
      </c>
      <c r="D12076" s="6">
        <v>88</v>
      </c>
      <c r="E12076" s="6">
        <v>0</v>
      </c>
      <c r="F12076" s="6">
        <v>0</v>
      </c>
      <c r="G12076" s="6">
        <v>10</v>
      </c>
      <c r="H12076" s="6" t="s">
        <v>24467</v>
      </c>
      <c r="I12076" s="6">
        <v>526.6875</v>
      </c>
      <c r="J12076" s="2">
        <f t="shared" si="188"/>
        <v>43748.373836168983</v>
      </c>
    </row>
    <row r="12077" spans="1:10" x14ac:dyDescent="0.25">
      <c r="A12077" s="7" t="s">
        <v>24468</v>
      </c>
      <c r="B12077" s="8">
        <v>393.75</v>
      </c>
      <c r="C12077" s="8">
        <v>20.478950000000001</v>
      </c>
      <c r="D12077" s="8">
        <v>89</v>
      </c>
      <c r="E12077" s="8">
        <v>0</v>
      </c>
      <c r="F12077" s="8">
        <v>0</v>
      </c>
      <c r="G12077" s="8">
        <v>7</v>
      </c>
      <c r="H12077" s="8" t="s">
        <v>24469</v>
      </c>
      <c r="I12077" s="8">
        <v>526.6875</v>
      </c>
      <c r="J12077" s="3">
        <f t="shared" si="188"/>
        <v>43748.373919513884</v>
      </c>
    </row>
    <row r="12078" spans="1:10" x14ac:dyDescent="0.25">
      <c r="A12078" s="5" t="s">
        <v>24470</v>
      </c>
      <c r="B12078" s="6">
        <v>393.75</v>
      </c>
      <c r="C12078" s="6">
        <v>20.478950000000001</v>
      </c>
      <c r="D12078" s="6">
        <v>92</v>
      </c>
      <c r="E12078" s="6">
        <v>0</v>
      </c>
      <c r="F12078" s="6">
        <v>0</v>
      </c>
      <c r="G12078" s="6">
        <v>13</v>
      </c>
      <c r="H12078" s="6" t="s">
        <v>24471</v>
      </c>
      <c r="I12078" s="6">
        <v>526.6875</v>
      </c>
      <c r="J12078" s="2">
        <f t="shared" si="188"/>
        <v>43748.37400319444</v>
      </c>
    </row>
    <row r="12079" spans="1:10" x14ac:dyDescent="0.25">
      <c r="A12079" s="7" t="s">
        <v>24472</v>
      </c>
      <c r="B12079" s="8">
        <v>393.75</v>
      </c>
      <c r="C12079" s="8">
        <v>20.478950000000001</v>
      </c>
      <c r="D12079" s="8">
        <v>93</v>
      </c>
      <c r="E12079" s="8">
        <v>0</v>
      </c>
      <c r="F12079" s="8">
        <v>0</v>
      </c>
      <c r="G12079" s="8">
        <v>11</v>
      </c>
      <c r="H12079" s="8" t="s">
        <v>24473</v>
      </c>
      <c r="I12079" s="8">
        <v>526.6875</v>
      </c>
      <c r="J12079" s="3">
        <f t="shared" si="188"/>
        <v>43748.374086284719</v>
      </c>
    </row>
    <row r="12080" spans="1:10" x14ac:dyDescent="0.25">
      <c r="A12080" s="5" t="s">
        <v>24474</v>
      </c>
      <c r="B12080" s="6">
        <v>393.75</v>
      </c>
      <c r="C12080" s="6">
        <v>20.478950000000001</v>
      </c>
      <c r="D12080" s="6">
        <v>91</v>
      </c>
      <c r="E12080" s="6">
        <v>0</v>
      </c>
      <c r="F12080" s="6">
        <v>0</v>
      </c>
      <c r="G12080" s="6">
        <v>5</v>
      </c>
      <c r="H12080" s="6" t="s">
        <v>24475</v>
      </c>
      <c r="I12080" s="6">
        <v>526.6875</v>
      </c>
      <c r="J12080" s="2">
        <f t="shared" si="188"/>
        <v>43748.374170081013</v>
      </c>
    </row>
    <row r="12081" spans="1:10" x14ac:dyDescent="0.25">
      <c r="A12081" s="7" t="s">
        <v>24476</v>
      </c>
      <c r="B12081" s="8">
        <v>393.75</v>
      </c>
      <c r="C12081" s="8">
        <v>20.478950000000001</v>
      </c>
      <c r="D12081" s="8">
        <v>91</v>
      </c>
      <c r="E12081" s="8">
        <v>0</v>
      </c>
      <c r="F12081" s="8">
        <v>0</v>
      </c>
      <c r="G12081" s="8">
        <v>7</v>
      </c>
      <c r="H12081" s="8" t="s">
        <v>24477</v>
      </c>
      <c r="I12081" s="8">
        <v>526.5</v>
      </c>
      <c r="J12081" s="3">
        <f t="shared" si="188"/>
        <v>43748.374253761569</v>
      </c>
    </row>
    <row r="12082" spans="1:10" x14ac:dyDescent="0.25">
      <c r="A12082" s="5" t="s">
        <v>24478</v>
      </c>
      <c r="B12082" s="6">
        <v>412.5</v>
      </c>
      <c r="C12082" s="6">
        <v>20.478950000000001</v>
      </c>
      <c r="D12082" s="6">
        <v>90</v>
      </c>
      <c r="E12082" s="6">
        <v>0</v>
      </c>
      <c r="F12082" s="6">
        <v>0</v>
      </c>
      <c r="G12082" s="6">
        <v>12</v>
      </c>
      <c r="H12082" s="6" t="s">
        <v>24479</v>
      </c>
      <c r="I12082" s="6">
        <v>532.3125</v>
      </c>
      <c r="J12082" s="2">
        <f t="shared" si="188"/>
        <v>43748.374325069446</v>
      </c>
    </row>
    <row r="12083" spans="1:10" x14ac:dyDescent="0.25">
      <c r="A12083" s="7" t="s">
        <v>24480</v>
      </c>
      <c r="B12083" s="8">
        <v>393.75</v>
      </c>
      <c r="C12083" s="8">
        <v>20.478950000000001</v>
      </c>
      <c r="D12083" s="8">
        <v>88</v>
      </c>
      <c r="E12083" s="8">
        <v>0</v>
      </c>
      <c r="F12083" s="8">
        <v>0</v>
      </c>
      <c r="G12083" s="8">
        <v>9</v>
      </c>
      <c r="H12083" s="8" t="s">
        <v>24481</v>
      </c>
      <c r="I12083" s="8">
        <v>526.6875</v>
      </c>
      <c r="J12083" s="3">
        <f t="shared" si="188"/>
        <v>43748.374408402778</v>
      </c>
    </row>
    <row r="12084" spans="1:10" x14ac:dyDescent="0.25">
      <c r="A12084" s="5" t="s">
        <v>24482</v>
      </c>
      <c r="B12084" s="6">
        <v>393.75</v>
      </c>
      <c r="C12084" s="6">
        <v>20.478950000000001</v>
      </c>
      <c r="D12084" s="6">
        <v>88</v>
      </c>
      <c r="E12084" s="6">
        <v>0</v>
      </c>
      <c r="F12084" s="6">
        <v>0</v>
      </c>
      <c r="G12084" s="6">
        <v>19</v>
      </c>
      <c r="H12084" s="6" t="s">
        <v>24483</v>
      </c>
      <c r="I12084" s="6">
        <v>526.6875</v>
      </c>
      <c r="J12084" s="2">
        <f t="shared" si="188"/>
        <v>43748.374480023143</v>
      </c>
    </row>
    <row r="12085" spans="1:10" x14ac:dyDescent="0.25">
      <c r="A12085" s="7" t="s">
        <v>24484</v>
      </c>
      <c r="B12085" s="8">
        <v>393.75</v>
      </c>
      <c r="C12085" s="8">
        <v>20.478950000000001</v>
      </c>
      <c r="D12085" s="8">
        <v>90</v>
      </c>
      <c r="E12085" s="8">
        <v>0</v>
      </c>
      <c r="F12085" s="8">
        <v>0</v>
      </c>
      <c r="G12085" s="8">
        <v>12</v>
      </c>
      <c r="H12085" s="8" t="s">
        <v>24485</v>
      </c>
      <c r="I12085" s="8">
        <v>526.6875</v>
      </c>
      <c r="J12085" s="3">
        <f t="shared" si="188"/>
        <v>43748.374551655092</v>
      </c>
    </row>
    <row r="12086" spans="1:10" x14ac:dyDescent="0.25">
      <c r="A12086" s="5" t="s">
        <v>24486</v>
      </c>
      <c r="B12086" s="6">
        <v>393.75</v>
      </c>
      <c r="C12086" s="6">
        <v>20.478950000000001</v>
      </c>
      <c r="D12086" s="6">
        <v>91</v>
      </c>
      <c r="E12086" s="6">
        <v>0</v>
      </c>
      <c r="F12086" s="6">
        <v>0</v>
      </c>
      <c r="G12086" s="6">
        <v>16</v>
      </c>
      <c r="H12086" s="6" t="s">
        <v>24487</v>
      </c>
      <c r="I12086" s="6">
        <v>526.6875</v>
      </c>
      <c r="J12086" s="2">
        <f t="shared" si="188"/>
        <v>43748.374623217591</v>
      </c>
    </row>
    <row r="12087" spans="1:10" x14ac:dyDescent="0.25">
      <c r="A12087" s="7" t="s">
        <v>24488</v>
      </c>
      <c r="B12087" s="8">
        <v>393.75</v>
      </c>
      <c r="C12087" s="8">
        <v>20.478950000000001</v>
      </c>
      <c r="D12087" s="8">
        <v>91</v>
      </c>
      <c r="E12087" s="8">
        <v>0</v>
      </c>
      <c r="F12087" s="8">
        <v>0</v>
      </c>
      <c r="G12087" s="8">
        <v>15</v>
      </c>
      <c r="H12087" s="8" t="s">
        <v>24489</v>
      </c>
      <c r="I12087" s="8">
        <v>526.6875</v>
      </c>
      <c r="J12087" s="3">
        <f t="shared" si="188"/>
        <v>43748.374694849532</v>
      </c>
    </row>
    <row r="12088" spans="1:10" x14ac:dyDescent="0.25">
      <c r="A12088" s="5" t="s">
        <v>24490</v>
      </c>
      <c r="B12088" s="6">
        <v>396.875</v>
      </c>
      <c r="C12088" s="6">
        <v>20.478950000000001</v>
      </c>
      <c r="D12088" s="6">
        <v>91</v>
      </c>
      <c r="E12088" s="6">
        <v>0</v>
      </c>
      <c r="F12088" s="6">
        <v>0</v>
      </c>
      <c r="G12088" s="6">
        <v>22</v>
      </c>
      <c r="H12088" s="6" t="s">
        <v>24491</v>
      </c>
      <c r="I12088" s="6">
        <v>527.625</v>
      </c>
      <c r="J12088" s="2">
        <f t="shared" si="188"/>
        <v>43748.37477819444</v>
      </c>
    </row>
    <row r="12089" spans="1:10" x14ac:dyDescent="0.25">
      <c r="A12089" s="7" t="s">
        <v>24492</v>
      </c>
      <c r="B12089" s="8">
        <v>396.875</v>
      </c>
      <c r="C12089" s="8">
        <v>20.478950000000001</v>
      </c>
      <c r="D12089" s="8">
        <v>92</v>
      </c>
      <c r="E12089" s="8">
        <v>0</v>
      </c>
      <c r="F12089" s="8">
        <v>0</v>
      </c>
      <c r="G12089" s="8">
        <v>9</v>
      </c>
      <c r="H12089" s="8" t="s">
        <v>24493</v>
      </c>
      <c r="I12089" s="8">
        <v>527.4375</v>
      </c>
      <c r="J12089" s="3">
        <f t="shared" si="188"/>
        <v>43748.374861412034</v>
      </c>
    </row>
    <row r="12090" spans="1:10" x14ac:dyDescent="0.25">
      <c r="A12090" s="5" t="s">
        <v>24494</v>
      </c>
      <c r="B12090" s="6">
        <v>396.875</v>
      </c>
      <c r="C12090" s="6">
        <v>20.478950000000001</v>
      </c>
      <c r="D12090" s="6">
        <v>92</v>
      </c>
      <c r="E12090" s="6">
        <v>0</v>
      </c>
      <c r="F12090" s="6">
        <v>0</v>
      </c>
      <c r="G12090" s="6">
        <v>1</v>
      </c>
      <c r="H12090" s="6" t="s">
        <v>24495</v>
      </c>
      <c r="I12090" s="6">
        <v>527.4375</v>
      </c>
      <c r="J12090" s="2">
        <f t="shared" si="188"/>
        <v>43748.374945196752</v>
      </c>
    </row>
    <row r="12091" spans="1:10" x14ac:dyDescent="0.25">
      <c r="A12091" s="7" t="s">
        <v>24496</v>
      </c>
      <c r="B12091" s="8">
        <v>396.875</v>
      </c>
      <c r="C12091" s="8">
        <v>20.478950000000001</v>
      </c>
      <c r="D12091" s="8">
        <v>93</v>
      </c>
      <c r="E12091" s="8">
        <v>0</v>
      </c>
      <c r="F12091" s="8">
        <v>0</v>
      </c>
      <c r="G12091" s="8">
        <v>9</v>
      </c>
      <c r="H12091" s="8" t="s">
        <v>24497</v>
      </c>
      <c r="I12091" s="8">
        <v>527.4375</v>
      </c>
      <c r="J12091" s="3">
        <f t="shared" si="188"/>
        <v>43748.375028622679</v>
      </c>
    </row>
    <row r="12092" spans="1:10" x14ac:dyDescent="0.25">
      <c r="A12092" s="5" t="s">
        <v>24498</v>
      </c>
      <c r="B12092" s="6">
        <v>396.875</v>
      </c>
      <c r="C12092" s="6">
        <v>20.478950000000001</v>
      </c>
      <c r="D12092" s="6">
        <v>93</v>
      </c>
      <c r="E12092" s="6">
        <v>0</v>
      </c>
      <c r="F12092" s="6">
        <v>0</v>
      </c>
      <c r="G12092" s="6">
        <v>4</v>
      </c>
      <c r="H12092" s="6" t="s">
        <v>24499</v>
      </c>
      <c r="I12092" s="6">
        <v>527.25</v>
      </c>
      <c r="J12092" s="2">
        <f t="shared" si="188"/>
        <v>43748.375112094909</v>
      </c>
    </row>
    <row r="12093" spans="1:10" x14ac:dyDescent="0.25">
      <c r="A12093" s="7" t="s">
        <v>24500</v>
      </c>
      <c r="B12093" s="8">
        <v>396.875</v>
      </c>
      <c r="C12093" s="8">
        <v>20.478950000000001</v>
      </c>
      <c r="D12093" s="8">
        <v>91</v>
      </c>
      <c r="E12093" s="8">
        <v>0</v>
      </c>
      <c r="F12093" s="8">
        <v>0</v>
      </c>
      <c r="G12093" s="8">
        <v>12</v>
      </c>
      <c r="H12093" s="8" t="s">
        <v>24501</v>
      </c>
      <c r="I12093" s="8">
        <v>527.4375</v>
      </c>
      <c r="J12093" s="3">
        <f t="shared" si="188"/>
        <v>43748.37518362268</v>
      </c>
    </row>
    <row r="12094" spans="1:10" x14ac:dyDescent="0.25">
      <c r="A12094" s="5" t="s">
        <v>24502</v>
      </c>
      <c r="B12094" s="6">
        <v>400</v>
      </c>
      <c r="C12094" s="6">
        <v>20.478950000000001</v>
      </c>
      <c r="D12094" s="6">
        <v>90</v>
      </c>
      <c r="E12094" s="6">
        <v>0</v>
      </c>
      <c r="F12094" s="6">
        <v>0</v>
      </c>
      <c r="G12094" s="6">
        <v>3</v>
      </c>
      <c r="H12094" s="6" t="s">
        <v>24503</v>
      </c>
      <c r="I12094" s="6">
        <v>528.375</v>
      </c>
      <c r="J12094" s="2">
        <f t="shared" si="188"/>
        <v>43748.375267175921</v>
      </c>
    </row>
    <row r="12095" spans="1:10" x14ac:dyDescent="0.25">
      <c r="A12095" s="7" t="s">
        <v>24504</v>
      </c>
      <c r="B12095" s="8">
        <v>400</v>
      </c>
      <c r="C12095" s="8">
        <v>20.478950000000001</v>
      </c>
      <c r="D12095" s="8">
        <v>90</v>
      </c>
      <c r="E12095" s="8">
        <v>0</v>
      </c>
      <c r="F12095" s="8">
        <v>0</v>
      </c>
      <c r="G12095" s="8">
        <v>11</v>
      </c>
      <c r="H12095" s="8" t="s">
        <v>24505</v>
      </c>
      <c r="I12095" s="8">
        <v>528.1875</v>
      </c>
      <c r="J12095" s="3">
        <f t="shared" si="188"/>
        <v>43748.375350636568</v>
      </c>
    </row>
    <row r="12096" spans="1:10" x14ac:dyDescent="0.25">
      <c r="A12096" s="5" t="s">
        <v>24506</v>
      </c>
      <c r="B12096" s="6">
        <v>400</v>
      </c>
      <c r="C12096" s="6">
        <v>20.478950000000001</v>
      </c>
      <c r="D12096" s="6">
        <v>90</v>
      </c>
      <c r="E12096" s="6">
        <v>0</v>
      </c>
      <c r="F12096" s="6">
        <v>0</v>
      </c>
      <c r="G12096" s="6">
        <v>9</v>
      </c>
      <c r="H12096" s="6" t="s">
        <v>24507</v>
      </c>
      <c r="I12096" s="6">
        <v>528.9375</v>
      </c>
      <c r="J12096" s="2">
        <f t="shared" si="188"/>
        <v>43748.375434305555</v>
      </c>
    </row>
    <row r="12097" spans="1:10" x14ac:dyDescent="0.25">
      <c r="A12097" s="7" t="s">
        <v>24508</v>
      </c>
      <c r="B12097" s="8">
        <v>400</v>
      </c>
      <c r="C12097" s="8">
        <v>20.478950000000001</v>
      </c>
      <c r="D12097" s="8">
        <v>88</v>
      </c>
      <c r="E12097" s="8">
        <v>0</v>
      </c>
      <c r="F12097" s="8">
        <v>0</v>
      </c>
      <c r="G12097" s="8">
        <v>21</v>
      </c>
      <c r="H12097" s="8" t="s">
        <v>24509</v>
      </c>
      <c r="I12097" s="8">
        <v>528.1875</v>
      </c>
      <c r="J12097" s="3">
        <f t="shared" si="188"/>
        <v>43748.375517638888</v>
      </c>
    </row>
    <row r="12098" spans="1:10" x14ac:dyDescent="0.25">
      <c r="A12098" s="5" t="s">
        <v>24510</v>
      </c>
      <c r="B12098" s="6">
        <v>412.5</v>
      </c>
      <c r="C12098" s="6">
        <v>20.478950000000001</v>
      </c>
      <c r="D12098" s="6">
        <v>86</v>
      </c>
      <c r="E12098" s="6">
        <v>0</v>
      </c>
      <c r="F12098" s="6">
        <v>0</v>
      </c>
      <c r="G12098" s="6">
        <v>17</v>
      </c>
      <c r="H12098" s="6" t="s">
        <v>24511</v>
      </c>
      <c r="I12098" s="6">
        <v>532.125</v>
      </c>
      <c r="J12098" s="2">
        <f t="shared" ref="J12098:J12161" si="189">(H12098/86400000)+25569+(7/24)</f>
        <v>43748.375613032404</v>
      </c>
    </row>
    <row r="12099" spans="1:10" x14ac:dyDescent="0.25">
      <c r="A12099" s="7" t="s">
        <v>24512</v>
      </c>
      <c r="B12099" s="8">
        <v>396.875</v>
      </c>
      <c r="C12099" s="8">
        <v>20.478950000000001</v>
      </c>
      <c r="D12099" s="8">
        <v>86</v>
      </c>
      <c r="E12099" s="8">
        <v>0</v>
      </c>
      <c r="F12099" s="8">
        <v>0</v>
      </c>
      <c r="G12099" s="8">
        <v>11</v>
      </c>
      <c r="H12099" s="8" t="s">
        <v>24513</v>
      </c>
      <c r="I12099" s="8">
        <v>527.4375</v>
      </c>
      <c r="J12099" s="3">
        <f t="shared" si="189"/>
        <v>43748.375684560182</v>
      </c>
    </row>
    <row r="12100" spans="1:10" x14ac:dyDescent="0.25">
      <c r="A12100" s="5" t="s">
        <v>24514</v>
      </c>
      <c r="B12100" s="6">
        <v>396.875</v>
      </c>
      <c r="C12100" s="6">
        <v>20.478950000000001</v>
      </c>
      <c r="D12100" s="6">
        <v>86</v>
      </c>
      <c r="E12100" s="6">
        <v>0</v>
      </c>
      <c r="F12100" s="6">
        <v>0</v>
      </c>
      <c r="G12100" s="6">
        <v>11</v>
      </c>
      <c r="H12100" s="6" t="s">
        <v>24515</v>
      </c>
      <c r="I12100" s="6">
        <v>527.4375</v>
      </c>
      <c r="J12100" s="2">
        <f t="shared" si="189"/>
        <v>43748.37575608796</v>
      </c>
    </row>
    <row r="12101" spans="1:10" x14ac:dyDescent="0.25">
      <c r="A12101" s="7" t="s">
        <v>24516</v>
      </c>
      <c r="B12101" s="8">
        <v>393.75</v>
      </c>
      <c r="C12101" s="8">
        <v>20.478950000000001</v>
      </c>
      <c r="D12101" s="8">
        <v>87</v>
      </c>
      <c r="E12101" s="8">
        <v>0</v>
      </c>
      <c r="F12101" s="8">
        <v>0</v>
      </c>
      <c r="G12101" s="8">
        <v>25</v>
      </c>
      <c r="H12101" s="8" t="s">
        <v>24517</v>
      </c>
      <c r="I12101" s="8">
        <v>526.6875</v>
      </c>
      <c r="J12101" s="3">
        <f t="shared" si="189"/>
        <v>43748.375839664346</v>
      </c>
    </row>
    <row r="12102" spans="1:10" x14ac:dyDescent="0.25">
      <c r="A12102" s="5" t="s">
        <v>24518</v>
      </c>
      <c r="B12102" s="6">
        <v>396.875</v>
      </c>
      <c r="C12102" s="6">
        <v>20.478950000000001</v>
      </c>
      <c r="D12102" s="6">
        <v>89</v>
      </c>
      <c r="E12102" s="6">
        <v>0</v>
      </c>
      <c r="F12102" s="6">
        <v>0</v>
      </c>
      <c r="G12102" s="6">
        <v>19</v>
      </c>
      <c r="H12102" s="6" t="s">
        <v>24519</v>
      </c>
      <c r="I12102" s="6">
        <v>527.4375</v>
      </c>
      <c r="J12102" s="2">
        <f t="shared" si="189"/>
        <v>43748.375923217587</v>
      </c>
    </row>
    <row r="12103" spans="1:10" x14ac:dyDescent="0.25">
      <c r="A12103" s="7" t="s">
        <v>24520</v>
      </c>
      <c r="B12103" s="8">
        <v>396.875</v>
      </c>
      <c r="C12103" s="8">
        <v>20.478950000000001</v>
      </c>
      <c r="D12103" s="8">
        <v>89</v>
      </c>
      <c r="E12103" s="8">
        <v>0</v>
      </c>
      <c r="F12103" s="8">
        <v>0</v>
      </c>
      <c r="G12103" s="8">
        <v>6</v>
      </c>
      <c r="H12103" s="8" t="s">
        <v>24521</v>
      </c>
      <c r="I12103" s="8">
        <v>527.4375</v>
      </c>
      <c r="J12103" s="3">
        <f t="shared" si="189"/>
        <v>43748.376006562503</v>
      </c>
    </row>
    <row r="12104" spans="1:10" x14ac:dyDescent="0.25">
      <c r="A12104" s="5" t="s">
        <v>24522</v>
      </c>
      <c r="B12104" s="6">
        <v>393.75</v>
      </c>
      <c r="C12104" s="6">
        <v>20.478950000000001</v>
      </c>
      <c r="D12104" s="6">
        <v>88</v>
      </c>
      <c r="E12104" s="6">
        <v>0</v>
      </c>
      <c r="F12104" s="6">
        <v>0</v>
      </c>
      <c r="G12104" s="6">
        <v>19</v>
      </c>
      <c r="H12104" s="6" t="s">
        <v>24523</v>
      </c>
      <c r="I12104" s="6">
        <v>526.6875</v>
      </c>
      <c r="J12104" s="2">
        <f t="shared" si="189"/>
        <v>43748.376089895835</v>
      </c>
    </row>
    <row r="12105" spans="1:10" x14ac:dyDescent="0.25">
      <c r="A12105" s="7" t="s">
        <v>24524</v>
      </c>
      <c r="B12105" s="8">
        <v>393.75</v>
      </c>
      <c r="C12105" s="8">
        <v>20.478950000000001</v>
      </c>
      <c r="D12105" s="8">
        <v>89</v>
      </c>
      <c r="E12105" s="8">
        <v>0</v>
      </c>
      <c r="F12105" s="8">
        <v>0</v>
      </c>
      <c r="G12105" s="8">
        <v>21</v>
      </c>
      <c r="H12105" s="8" t="s">
        <v>24525</v>
      </c>
      <c r="I12105" s="8">
        <v>526.6875</v>
      </c>
      <c r="J12105" s="3">
        <f t="shared" si="189"/>
        <v>43748.376173472221</v>
      </c>
    </row>
    <row r="12106" spans="1:10" x14ac:dyDescent="0.25">
      <c r="A12106" s="5" t="s">
        <v>24526</v>
      </c>
      <c r="B12106" s="6">
        <v>393.75</v>
      </c>
      <c r="C12106" s="6">
        <v>20.478950000000001</v>
      </c>
      <c r="D12106" s="6">
        <v>87</v>
      </c>
      <c r="E12106" s="6">
        <v>0</v>
      </c>
      <c r="F12106" s="6">
        <v>0</v>
      </c>
      <c r="G12106" s="6">
        <v>14</v>
      </c>
      <c r="H12106" s="6" t="s">
        <v>24527</v>
      </c>
      <c r="I12106" s="6">
        <v>526.6875</v>
      </c>
      <c r="J12106" s="2">
        <f t="shared" si="189"/>
        <v>43748.376256666663</v>
      </c>
    </row>
    <row r="12107" spans="1:10" x14ac:dyDescent="0.25">
      <c r="A12107" s="7" t="s">
        <v>24528</v>
      </c>
      <c r="B12107" s="8">
        <v>393.75</v>
      </c>
      <c r="C12107" s="8">
        <v>20.478950000000001</v>
      </c>
      <c r="D12107" s="8">
        <v>87</v>
      </c>
      <c r="E12107" s="8">
        <v>0</v>
      </c>
      <c r="F12107" s="8">
        <v>0</v>
      </c>
      <c r="G12107" s="8">
        <v>14</v>
      </c>
      <c r="H12107" s="8" t="s">
        <v>24529</v>
      </c>
      <c r="I12107" s="8">
        <v>526.5</v>
      </c>
      <c r="J12107" s="3">
        <f t="shared" si="189"/>
        <v>43748.376328206017</v>
      </c>
    </row>
    <row r="12108" spans="1:10" x14ac:dyDescent="0.25">
      <c r="A12108" s="5" t="s">
        <v>24530</v>
      </c>
      <c r="B12108" s="6">
        <v>393.75</v>
      </c>
      <c r="C12108" s="6">
        <v>20.478950000000001</v>
      </c>
      <c r="D12108" s="6">
        <v>88</v>
      </c>
      <c r="E12108" s="6">
        <v>0</v>
      </c>
      <c r="F12108" s="6">
        <v>0</v>
      </c>
      <c r="G12108" s="6">
        <v>11</v>
      </c>
      <c r="H12108" s="6" t="s">
        <v>24531</v>
      </c>
      <c r="I12108" s="6">
        <v>526.5</v>
      </c>
      <c r="J12108" s="2">
        <f t="shared" si="189"/>
        <v>43748.376412106481</v>
      </c>
    </row>
    <row r="12109" spans="1:10" x14ac:dyDescent="0.25">
      <c r="A12109" s="7" t="s">
        <v>24532</v>
      </c>
      <c r="B12109" s="8">
        <v>393.75</v>
      </c>
      <c r="C12109" s="8">
        <v>20.426300000000001</v>
      </c>
      <c r="D12109" s="8">
        <v>87</v>
      </c>
      <c r="E12109" s="8">
        <v>0</v>
      </c>
      <c r="F12109" s="8">
        <v>0</v>
      </c>
      <c r="G12109" s="8">
        <v>7</v>
      </c>
      <c r="H12109" s="8" t="s">
        <v>24533</v>
      </c>
      <c r="I12109" s="8">
        <v>526.6875</v>
      </c>
      <c r="J12109" s="3">
        <f t="shared" si="189"/>
        <v>43748.376495451383</v>
      </c>
    </row>
    <row r="12110" spans="1:10" x14ac:dyDescent="0.25">
      <c r="A12110" s="5" t="s">
        <v>24534</v>
      </c>
      <c r="B12110" s="6">
        <v>393.75</v>
      </c>
      <c r="C12110" s="6">
        <v>20.478950000000001</v>
      </c>
      <c r="D12110" s="6">
        <v>86</v>
      </c>
      <c r="E12110" s="6">
        <v>0</v>
      </c>
      <c r="F12110" s="6">
        <v>0</v>
      </c>
      <c r="G12110" s="6">
        <v>15</v>
      </c>
      <c r="H12110" s="6" t="s">
        <v>24535</v>
      </c>
      <c r="I12110" s="6">
        <v>526.6875</v>
      </c>
      <c r="J12110" s="2">
        <f t="shared" si="189"/>
        <v>43748.376578773146</v>
      </c>
    </row>
    <row r="12111" spans="1:10" x14ac:dyDescent="0.25">
      <c r="A12111" s="7" t="s">
        <v>24536</v>
      </c>
      <c r="B12111" s="8">
        <v>412.5</v>
      </c>
      <c r="C12111" s="8">
        <v>20.478950000000001</v>
      </c>
      <c r="D12111" s="8">
        <v>86</v>
      </c>
      <c r="E12111" s="8">
        <v>0</v>
      </c>
      <c r="F12111" s="8">
        <v>0</v>
      </c>
      <c r="G12111" s="8">
        <v>8</v>
      </c>
      <c r="H12111" s="8" t="s">
        <v>24537</v>
      </c>
      <c r="I12111" s="8">
        <v>532.3125</v>
      </c>
      <c r="J12111" s="3">
        <f t="shared" si="189"/>
        <v>43748.376650428239</v>
      </c>
    </row>
    <row r="12112" spans="1:10" x14ac:dyDescent="0.25">
      <c r="A12112" s="5" t="s">
        <v>24538</v>
      </c>
      <c r="B12112" s="6">
        <v>393.75</v>
      </c>
      <c r="C12112" s="6">
        <v>20.478950000000001</v>
      </c>
      <c r="D12112" s="6">
        <v>87</v>
      </c>
      <c r="E12112" s="6">
        <v>0</v>
      </c>
      <c r="F12112" s="6">
        <v>0</v>
      </c>
      <c r="G12112" s="6">
        <v>7</v>
      </c>
      <c r="H12112" s="6" t="s">
        <v>24539</v>
      </c>
      <c r="I12112" s="6">
        <v>526.6875</v>
      </c>
      <c r="J12112" s="2">
        <f t="shared" si="189"/>
        <v>43748.376733993056</v>
      </c>
    </row>
    <row r="12113" spans="1:10" x14ac:dyDescent="0.25">
      <c r="A12113" s="7" t="s">
        <v>24540</v>
      </c>
      <c r="B12113" s="8">
        <v>393.75</v>
      </c>
      <c r="C12113" s="8">
        <v>20.426300000000001</v>
      </c>
      <c r="D12113" s="8">
        <v>88</v>
      </c>
      <c r="E12113" s="8">
        <v>0</v>
      </c>
      <c r="F12113" s="8">
        <v>0</v>
      </c>
      <c r="G12113" s="8">
        <v>6</v>
      </c>
      <c r="H12113" s="8" t="s">
        <v>24541</v>
      </c>
      <c r="I12113" s="8">
        <v>526.6875</v>
      </c>
      <c r="J12113" s="3">
        <f t="shared" si="189"/>
        <v>43748.376817465272</v>
      </c>
    </row>
    <row r="12114" spans="1:10" x14ac:dyDescent="0.25">
      <c r="A12114" s="5" t="s">
        <v>24542</v>
      </c>
      <c r="B12114" s="6">
        <v>393.75</v>
      </c>
      <c r="C12114" s="6">
        <v>20.478950000000001</v>
      </c>
      <c r="D12114" s="6">
        <v>87</v>
      </c>
      <c r="E12114" s="6">
        <v>0</v>
      </c>
      <c r="F12114" s="6">
        <v>0</v>
      </c>
      <c r="G12114" s="6">
        <v>6</v>
      </c>
      <c r="H12114" s="6" t="s">
        <v>24543</v>
      </c>
      <c r="I12114" s="6">
        <v>526.6875</v>
      </c>
      <c r="J12114" s="2">
        <f t="shared" si="189"/>
        <v>43748.376889074068</v>
      </c>
    </row>
    <row r="12115" spans="1:10" x14ac:dyDescent="0.25">
      <c r="A12115" s="7" t="s">
        <v>24544</v>
      </c>
      <c r="B12115" s="8">
        <v>393.75</v>
      </c>
      <c r="C12115" s="8">
        <v>20.478950000000001</v>
      </c>
      <c r="D12115" s="8">
        <v>87</v>
      </c>
      <c r="E12115" s="8">
        <v>0</v>
      </c>
      <c r="F12115" s="8">
        <v>0</v>
      </c>
      <c r="G12115" s="8">
        <v>2</v>
      </c>
      <c r="H12115" s="8" t="s">
        <v>24545</v>
      </c>
      <c r="I12115" s="8">
        <v>526.6875</v>
      </c>
      <c r="J12115" s="3">
        <f t="shared" si="189"/>
        <v>43748.376972546299</v>
      </c>
    </row>
    <row r="12116" spans="1:10" x14ac:dyDescent="0.25">
      <c r="A12116" s="5" t="s">
        <v>24546</v>
      </c>
      <c r="B12116" s="6">
        <v>393.75</v>
      </c>
      <c r="C12116" s="6">
        <v>20.426300000000001</v>
      </c>
      <c r="D12116" s="6">
        <v>88</v>
      </c>
      <c r="E12116" s="6">
        <v>0</v>
      </c>
      <c r="F12116" s="6">
        <v>0</v>
      </c>
      <c r="G12116" s="6">
        <v>0</v>
      </c>
      <c r="H12116" s="6" t="s">
        <v>24547</v>
      </c>
      <c r="I12116" s="6">
        <v>526.6875</v>
      </c>
      <c r="J12116" s="2">
        <f t="shared" si="189"/>
        <v>43748.37704407407</v>
      </c>
    </row>
    <row r="12117" spans="1:10" x14ac:dyDescent="0.25">
      <c r="A12117" s="7" t="s">
        <v>24548</v>
      </c>
      <c r="B12117" s="8">
        <v>412.5</v>
      </c>
      <c r="C12117" s="8">
        <v>20.478950000000001</v>
      </c>
      <c r="D12117" s="8">
        <v>88</v>
      </c>
      <c r="E12117" s="8">
        <v>0</v>
      </c>
      <c r="F12117" s="8">
        <v>0</v>
      </c>
      <c r="G12117" s="8">
        <v>3</v>
      </c>
      <c r="H12117" s="8" t="s">
        <v>24549</v>
      </c>
      <c r="I12117" s="8">
        <v>532.3125</v>
      </c>
      <c r="J12117" s="3">
        <f t="shared" si="189"/>
        <v>43748.377127731481</v>
      </c>
    </row>
    <row r="12118" spans="1:10" x14ac:dyDescent="0.25">
      <c r="A12118" s="5" t="s">
        <v>24550</v>
      </c>
      <c r="B12118" s="6">
        <v>393.75</v>
      </c>
      <c r="C12118" s="6">
        <v>20.478950000000001</v>
      </c>
      <c r="D12118" s="6">
        <v>88</v>
      </c>
      <c r="E12118" s="6">
        <v>0</v>
      </c>
      <c r="F12118" s="6">
        <v>0</v>
      </c>
      <c r="G12118" s="6">
        <v>8</v>
      </c>
      <c r="H12118" s="6" t="s">
        <v>24551</v>
      </c>
      <c r="I12118" s="6">
        <v>526.6875</v>
      </c>
      <c r="J12118" s="2">
        <f t="shared" si="189"/>
        <v>43748.377199155089</v>
      </c>
    </row>
    <row r="12119" spans="1:10" x14ac:dyDescent="0.25">
      <c r="A12119" s="7" t="s">
        <v>24552</v>
      </c>
      <c r="B12119" s="8">
        <v>393.75</v>
      </c>
      <c r="C12119" s="8">
        <v>20.478950000000001</v>
      </c>
      <c r="D12119" s="8">
        <v>89</v>
      </c>
      <c r="E12119" s="8">
        <v>0</v>
      </c>
      <c r="F12119" s="8">
        <v>0</v>
      </c>
      <c r="G12119" s="8">
        <v>6</v>
      </c>
      <c r="H12119" s="8" t="s">
        <v>24553</v>
      </c>
      <c r="I12119" s="8">
        <v>526.6875</v>
      </c>
      <c r="J12119" s="3">
        <f t="shared" si="189"/>
        <v>43748.377282476846</v>
      </c>
    </row>
    <row r="12120" spans="1:10" x14ac:dyDescent="0.25">
      <c r="A12120" s="5" t="s">
        <v>24554</v>
      </c>
      <c r="B12120" s="6">
        <v>393.75</v>
      </c>
      <c r="C12120" s="6">
        <v>20.478950000000001</v>
      </c>
      <c r="D12120" s="6">
        <v>89</v>
      </c>
      <c r="E12120" s="6">
        <v>0</v>
      </c>
      <c r="F12120" s="6">
        <v>0</v>
      </c>
      <c r="G12120" s="6">
        <v>1</v>
      </c>
      <c r="H12120" s="6" t="s">
        <v>24555</v>
      </c>
      <c r="I12120" s="6">
        <v>526.6875</v>
      </c>
      <c r="J12120" s="2">
        <f t="shared" si="189"/>
        <v>43748.377366064808</v>
      </c>
    </row>
    <row r="12121" spans="1:10" x14ac:dyDescent="0.25">
      <c r="A12121" s="7" t="s">
        <v>24556</v>
      </c>
      <c r="B12121" s="8">
        <v>393.75</v>
      </c>
      <c r="C12121" s="8">
        <v>20.478950000000001</v>
      </c>
      <c r="D12121" s="8">
        <v>89</v>
      </c>
      <c r="E12121" s="8">
        <v>0</v>
      </c>
      <c r="F12121" s="8">
        <v>0</v>
      </c>
      <c r="G12121" s="8">
        <v>6</v>
      </c>
      <c r="H12121" s="8" t="s">
        <v>24557</v>
      </c>
      <c r="I12121" s="8">
        <v>526.6875</v>
      </c>
      <c r="J12121" s="3">
        <f t="shared" si="189"/>
        <v>43748.377449259257</v>
      </c>
    </row>
    <row r="12122" spans="1:10" x14ac:dyDescent="0.25">
      <c r="A12122" s="5" t="s">
        <v>24558</v>
      </c>
      <c r="B12122" s="6">
        <v>418.75</v>
      </c>
      <c r="C12122" s="6">
        <v>20.478950000000001</v>
      </c>
      <c r="D12122" s="6">
        <v>89</v>
      </c>
      <c r="E12122" s="6">
        <v>0</v>
      </c>
      <c r="F12122" s="6">
        <v>0</v>
      </c>
      <c r="G12122" s="6">
        <v>6</v>
      </c>
      <c r="H12122" s="6" t="s">
        <v>24559</v>
      </c>
      <c r="I12122" s="6">
        <v>534.75</v>
      </c>
      <c r="J12122" s="2">
        <f t="shared" si="189"/>
        <v>43748.377520798611</v>
      </c>
    </row>
    <row r="12123" spans="1:10" x14ac:dyDescent="0.25">
      <c r="A12123" s="7" t="s">
        <v>24560</v>
      </c>
      <c r="B12123" s="8">
        <v>393.75</v>
      </c>
      <c r="C12123" s="8">
        <v>20.478950000000001</v>
      </c>
      <c r="D12123" s="8">
        <v>90</v>
      </c>
      <c r="E12123" s="8">
        <v>0</v>
      </c>
      <c r="F12123" s="8">
        <v>0</v>
      </c>
      <c r="G12123" s="8">
        <v>12</v>
      </c>
      <c r="H12123" s="8" t="s">
        <v>24561</v>
      </c>
      <c r="I12123" s="8">
        <v>526.6875</v>
      </c>
      <c r="J12123" s="3">
        <f t="shared" si="189"/>
        <v>43748.377604710644</v>
      </c>
    </row>
    <row r="12124" spans="1:10" x14ac:dyDescent="0.25">
      <c r="A12124" s="5" t="s">
        <v>24562</v>
      </c>
      <c r="B12124" s="6">
        <v>393.75</v>
      </c>
      <c r="C12124" s="6">
        <v>20.478950000000001</v>
      </c>
      <c r="D12124" s="6">
        <v>89</v>
      </c>
      <c r="E12124" s="6">
        <v>0</v>
      </c>
      <c r="F12124" s="6">
        <v>0</v>
      </c>
      <c r="G12124" s="6">
        <v>8</v>
      </c>
      <c r="H12124" s="6" t="s">
        <v>24563</v>
      </c>
      <c r="I12124" s="6">
        <v>526.6875</v>
      </c>
      <c r="J12124" s="2">
        <f t="shared" si="189"/>
        <v>43748.377688148146</v>
      </c>
    </row>
    <row r="12125" spans="1:10" x14ac:dyDescent="0.25">
      <c r="A12125" s="7" t="s">
        <v>24564</v>
      </c>
      <c r="B12125" s="8">
        <v>393.75</v>
      </c>
      <c r="C12125" s="8">
        <v>20.478950000000001</v>
      </c>
      <c r="D12125" s="8">
        <v>89</v>
      </c>
      <c r="E12125" s="8">
        <v>0</v>
      </c>
      <c r="F12125" s="8">
        <v>0</v>
      </c>
      <c r="G12125" s="8">
        <v>4</v>
      </c>
      <c r="H12125" s="8" t="s">
        <v>24565</v>
      </c>
      <c r="I12125" s="8">
        <v>526.6875</v>
      </c>
      <c r="J12125" s="3">
        <f t="shared" si="189"/>
        <v>43748.377771377309</v>
      </c>
    </row>
    <row r="12126" spans="1:10" x14ac:dyDescent="0.25">
      <c r="A12126" s="5" t="s">
        <v>24566</v>
      </c>
      <c r="B12126" s="6">
        <v>393.75</v>
      </c>
      <c r="C12126" s="6">
        <v>20.478950000000001</v>
      </c>
      <c r="D12126" s="6">
        <v>89</v>
      </c>
      <c r="E12126" s="6">
        <v>0</v>
      </c>
      <c r="F12126" s="6">
        <v>0</v>
      </c>
      <c r="G12126" s="6">
        <v>12</v>
      </c>
      <c r="H12126" s="6" t="s">
        <v>24567</v>
      </c>
      <c r="I12126" s="6">
        <v>526.5</v>
      </c>
      <c r="J12126" s="2">
        <f t="shared" si="189"/>
        <v>43748.377858761574</v>
      </c>
    </row>
    <row r="12127" spans="1:10" x14ac:dyDescent="0.25">
      <c r="A12127" s="7" t="s">
        <v>24568</v>
      </c>
      <c r="B12127" s="8">
        <v>412.5</v>
      </c>
      <c r="C12127" s="8">
        <v>20.478950000000001</v>
      </c>
      <c r="D12127" s="8">
        <v>91</v>
      </c>
      <c r="E12127" s="8">
        <v>0</v>
      </c>
      <c r="F12127" s="8">
        <v>0</v>
      </c>
      <c r="G12127" s="8">
        <v>10</v>
      </c>
      <c r="H12127" s="8" t="s">
        <v>24569</v>
      </c>
      <c r="I12127" s="8">
        <v>532.125</v>
      </c>
      <c r="J12127" s="3">
        <f t="shared" si="189"/>
        <v>43748.377938726851</v>
      </c>
    </row>
    <row r="12128" spans="1:10" x14ac:dyDescent="0.25">
      <c r="A12128" s="5" t="s">
        <v>24570</v>
      </c>
      <c r="B12128" s="6">
        <v>393.75</v>
      </c>
      <c r="C12128" s="6">
        <v>20.478950000000001</v>
      </c>
      <c r="D12128" s="6">
        <v>93</v>
      </c>
      <c r="E12128" s="6">
        <v>0</v>
      </c>
      <c r="F12128" s="6">
        <v>0</v>
      </c>
      <c r="G12128" s="6">
        <v>13</v>
      </c>
      <c r="H12128" s="6" t="s">
        <v>24571</v>
      </c>
      <c r="I12128" s="6">
        <v>526.6875</v>
      </c>
      <c r="J12128" s="2">
        <f t="shared" si="189"/>
        <v>43748.37801015046</v>
      </c>
    </row>
    <row r="12129" spans="1:10" x14ac:dyDescent="0.25">
      <c r="A12129" s="7" t="s">
        <v>24572</v>
      </c>
      <c r="B12129" s="8">
        <v>393.75</v>
      </c>
      <c r="C12129" s="8">
        <v>20.478950000000001</v>
      </c>
      <c r="D12129" s="8">
        <v>91</v>
      </c>
      <c r="E12129" s="8">
        <v>0</v>
      </c>
      <c r="F12129" s="8">
        <v>0</v>
      </c>
      <c r="G12129" s="8">
        <v>5</v>
      </c>
      <c r="H12129" s="8" t="s">
        <v>24573</v>
      </c>
      <c r="I12129" s="8">
        <v>526.6875</v>
      </c>
      <c r="J12129" s="3">
        <f t="shared" si="189"/>
        <v>43748.378093599538</v>
      </c>
    </row>
    <row r="12130" spans="1:10" x14ac:dyDescent="0.25">
      <c r="A12130" s="5" t="s">
        <v>24574</v>
      </c>
      <c r="B12130" s="6">
        <v>412.5</v>
      </c>
      <c r="C12130" s="6">
        <v>20.478950000000001</v>
      </c>
      <c r="D12130" s="6">
        <v>92</v>
      </c>
      <c r="E12130" s="6">
        <v>0</v>
      </c>
      <c r="F12130" s="6">
        <v>0</v>
      </c>
      <c r="G12130" s="6">
        <v>13</v>
      </c>
      <c r="H12130" s="6" t="s">
        <v>24575</v>
      </c>
      <c r="I12130" s="6">
        <v>532.3125</v>
      </c>
      <c r="J12130" s="2">
        <f t="shared" si="189"/>
        <v>43748.378177164348</v>
      </c>
    </row>
    <row r="12131" spans="1:10" x14ac:dyDescent="0.25">
      <c r="A12131" s="7" t="s">
        <v>24576</v>
      </c>
      <c r="B12131" s="8">
        <v>393.75</v>
      </c>
      <c r="C12131" s="8">
        <v>20.478950000000001</v>
      </c>
      <c r="D12131" s="8">
        <v>99</v>
      </c>
      <c r="E12131" s="8">
        <v>0</v>
      </c>
      <c r="F12131" s="8">
        <v>0</v>
      </c>
      <c r="G12131" s="8">
        <v>0</v>
      </c>
      <c r="H12131" s="8" t="s">
        <v>24577</v>
      </c>
      <c r="I12131" s="8">
        <v>526.6875</v>
      </c>
      <c r="J12131" s="3">
        <f t="shared" si="189"/>
        <v>43748.378512557865</v>
      </c>
    </row>
    <row r="12132" spans="1:10" x14ac:dyDescent="0.25">
      <c r="A12132" s="5" t="s">
        <v>24578</v>
      </c>
      <c r="B12132" s="6">
        <v>393.75</v>
      </c>
      <c r="C12132" s="6">
        <v>20.478950000000001</v>
      </c>
      <c r="D12132" s="6">
        <v>94</v>
      </c>
      <c r="E12132" s="6">
        <v>0</v>
      </c>
      <c r="F12132" s="6">
        <v>0</v>
      </c>
      <c r="G12132" s="6">
        <v>0</v>
      </c>
      <c r="H12132" s="6" t="s">
        <v>24579</v>
      </c>
      <c r="I12132" s="6">
        <v>526.6875</v>
      </c>
      <c r="J12132" s="2">
        <f t="shared" si="189"/>
        <v>43748.378592453701</v>
      </c>
    </row>
    <row r="12133" spans="1:10" x14ac:dyDescent="0.25">
      <c r="A12133" s="7" t="s">
        <v>24580</v>
      </c>
      <c r="B12133" s="8">
        <v>393.75</v>
      </c>
      <c r="C12133" s="8">
        <v>20.478950000000001</v>
      </c>
      <c r="D12133" s="8">
        <v>93</v>
      </c>
      <c r="E12133" s="8">
        <v>0</v>
      </c>
      <c r="F12133" s="8">
        <v>0</v>
      </c>
      <c r="G12133" s="8">
        <v>0</v>
      </c>
      <c r="H12133" s="8" t="s">
        <v>24581</v>
      </c>
      <c r="I12133" s="8">
        <v>526.5</v>
      </c>
      <c r="J12133" s="3">
        <f t="shared" si="189"/>
        <v>43748.378675879627</v>
      </c>
    </row>
    <row r="12134" spans="1:10" x14ac:dyDescent="0.25">
      <c r="A12134" s="5" t="s">
        <v>24582</v>
      </c>
      <c r="B12134" s="6">
        <v>412.5</v>
      </c>
      <c r="C12134" s="6">
        <v>20.478950000000001</v>
      </c>
      <c r="D12134" s="6">
        <v>92</v>
      </c>
      <c r="E12134" s="6">
        <v>0</v>
      </c>
      <c r="F12134" s="6">
        <v>0</v>
      </c>
      <c r="G12134" s="6">
        <v>0</v>
      </c>
      <c r="H12134" s="6" t="s">
        <v>24583</v>
      </c>
      <c r="I12134" s="6">
        <v>532.3125</v>
      </c>
      <c r="J12134" s="2">
        <f t="shared" si="189"/>
        <v>43748.378747499999</v>
      </c>
    </row>
    <row r="12135" spans="1:10" x14ac:dyDescent="0.25">
      <c r="A12135" s="7" t="s">
        <v>24584</v>
      </c>
      <c r="B12135" s="8">
        <v>393.75</v>
      </c>
      <c r="C12135" s="8">
        <v>20.478950000000001</v>
      </c>
      <c r="D12135" s="8">
        <v>93</v>
      </c>
      <c r="E12135" s="8">
        <v>0</v>
      </c>
      <c r="F12135" s="8">
        <v>0</v>
      </c>
      <c r="G12135" s="8">
        <v>2</v>
      </c>
      <c r="H12135" s="8" t="s">
        <v>24585</v>
      </c>
      <c r="I12135" s="8">
        <v>526.6875</v>
      </c>
      <c r="J12135" s="3">
        <f t="shared" si="189"/>
        <v>43748.378830636568</v>
      </c>
    </row>
    <row r="12136" spans="1:10" x14ac:dyDescent="0.25">
      <c r="A12136" s="5" t="s">
        <v>24586</v>
      </c>
      <c r="B12136" s="6">
        <v>393.75</v>
      </c>
      <c r="C12136" s="6">
        <v>20.478950000000001</v>
      </c>
      <c r="D12136" s="6">
        <v>93</v>
      </c>
      <c r="E12136" s="6">
        <v>0</v>
      </c>
      <c r="F12136" s="6">
        <v>0</v>
      </c>
      <c r="G12136" s="6">
        <v>0</v>
      </c>
      <c r="H12136" s="6" t="s">
        <v>24587</v>
      </c>
      <c r="I12136" s="6">
        <v>526.6875</v>
      </c>
      <c r="J12136" s="2">
        <f t="shared" si="189"/>
        <v>43748.378902291668</v>
      </c>
    </row>
    <row r="12137" spans="1:10" x14ac:dyDescent="0.25">
      <c r="A12137" s="7" t="s">
        <v>24588</v>
      </c>
      <c r="B12137" s="8">
        <v>412.5</v>
      </c>
      <c r="C12137" s="8">
        <v>20.478950000000001</v>
      </c>
      <c r="D12137" s="8">
        <v>90</v>
      </c>
      <c r="E12137" s="8">
        <v>0</v>
      </c>
      <c r="F12137" s="8">
        <v>0</v>
      </c>
      <c r="G12137" s="8">
        <v>8</v>
      </c>
      <c r="H12137" s="8" t="s">
        <v>24589</v>
      </c>
      <c r="I12137" s="8">
        <v>532.6875</v>
      </c>
      <c r="J12137" s="3">
        <f t="shared" si="189"/>
        <v>43748.378986192132</v>
      </c>
    </row>
    <row r="12138" spans="1:10" x14ac:dyDescent="0.25">
      <c r="A12138" s="5" t="s">
        <v>24590</v>
      </c>
      <c r="B12138" s="6">
        <v>393.75</v>
      </c>
      <c r="C12138" s="6">
        <v>20.478950000000001</v>
      </c>
      <c r="D12138" s="6">
        <v>90</v>
      </c>
      <c r="E12138" s="6">
        <v>0</v>
      </c>
      <c r="F12138" s="6">
        <v>0</v>
      </c>
      <c r="G12138" s="6">
        <v>6</v>
      </c>
      <c r="H12138" s="6" t="s">
        <v>24591</v>
      </c>
      <c r="I12138" s="6">
        <v>526.6875</v>
      </c>
      <c r="J12138" s="2">
        <f t="shared" si="189"/>
        <v>43748.379069513881</v>
      </c>
    </row>
    <row r="12139" spans="1:10" x14ac:dyDescent="0.25">
      <c r="A12139" s="7" t="s">
        <v>24592</v>
      </c>
      <c r="B12139" s="8">
        <v>393.75</v>
      </c>
      <c r="C12139" s="8">
        <v>20.478950000000001</v>
      </c>
      <c r="D12139" s="8">
        <v>91</v>
      </c>
      <c r="E12139" s="8">
        <v>0</v>
      </c>
      <c r="F12139" s="8">
        <v>0</v>
      </c>
      <c r="G12139" s="8">
        <v>0</v>
      </c>
      <c r="H12139" s="8" t="s">
        <v>24593</v>
      </c>
      <c r="I12139" s="8">
        <v>526.6875</v>
      </c>
      <c r="J12139" s="3">
        <f t="shared" si="189"/>
        <v>43748.379152870366</v>
      </c>
    </row>
    <row r="12140" spans="1:10" x14ac:dyDescent="0.25">
      <c r="A12140" s="5" t="s">
        <v>24594</v>
      </c>
      <c r="B12140" s="6">
        <v>393.75</v>
      </c>
      <c r="C12140" s="6">
        <v>20.478950000000001</v>
      </c>
      <c r="D12140" s="6">
        <v>90</v>
      </c>
      <c r="E12140" s="6">
        <v>0</v>
      </c>
      <c r="F12140" s="6">
        <v>0</v>
      </c>
      <c r="G12140" s="6">
        <v>7</v>
      </c>
      <c r="H12140" s="6" t="s">
        <v>24595</v>
      </c>
      <c r="I12140" s="6">
        <v>526.6875</v>
      </c>
      <c r="J12140" s="2">
        <f t="shared" si="189"/>
        <v>43748.379236423607</v>
      </c>
    </row>
    <row r="12141" spans="1:10" x14ac:dyDescent="0.25">
      <c r="A12141" s="7" t="s">
        <v>24596</v>
      </c>
      <c r="B12141" s="8">
        <v>393.75</v>
      </c>
      <c r="C12141" s="8">
        <v>20.478950000000001</v>
      </c>
      <c r="D12141" s="8">
        <v>87</v>
      </c>
      <c r="E12141" s="8">
        <v>0</v>
      </c>
      <c r="F12141" s="8">
        <v>0</v>
      </c>
      <c r="G12141" s="8">
        <v>11</v>
      </c>
      <c r="H12141" s="8" t="s">
        <v>24597</v>
      </c>
      <c r="I12141" s="8">
        <v>526.5</v>
      </c>
      <c r="J12141" s="3">
        <f t="shared" si="189"/>
        <v>43748.379319641201</v>
      </c>
    </row>
    <row r="12142" spans="1:10" x14ac:dyDescent="0.25">
      <c r="A12142" s="5" t="s">
        <v>24598</v>
      </c>
      <c r="B12142" s="6">
        <v>393.75</v>
      </c>
      <c r="C12142" s="6">
        <v>20.478950000000001</v>
      </c>
      <c r="D12142" s="6">
        <v>87</v>
      </c>
      <c r="E12142" s="6">
        <v>0</v>
      </c>
      <c r="F12142" s="6">
        <v>0</v>
      </c>
      <c r="G12142" s="6">
        <v>10</v>
      </c>
      <c r="H12142" s="6" t="s">
        <v>24599</v>
      </c>
      <c r="I12142" s="6">
        <v>526.6875</v>
      </c>
      <c r="J12142" s="2">
        <f t="shared" si="189"/>
        <v>43748.379391307863</v>
      </c>
    </row>
    <row r="12143" spans="1:10" x14ac:dyDescent="0.25">
      <c r="A12143" s="7" t="s">
        <v>24600</v>
      </c>
      <c r="B12143" s="8">
        <v>393.75</v>
      </c>
      <c r="C12143" s="8">
        <v>20.478950000000001</v>
      </c>
      <c r="D12143" s="8">
        <v>87</v>
      </c>
      <c r="E12143" s="8">
        <v>0</v>
      </c>
      <c r="F12143" s="8">
        <v>0</v>
      </c>
      <c r="G12143" s="8">
        <v>14</v>
      </c>
      <c r="H12143" s="8" t="s">
        <v>24601</v>
      </c>
      <c r="I12143" s="8">
        <v>526.6875</v>
      </c>
      <c r="J12143" s="3">
        <f t="shared" si="189"/>
        <v>43748.379475092595</v>
      </c>
    </row>
    <row r="12144" spans="1:10" x14ac:dyDescent="0.25">
      <c r="A12144" s="5" t="s">
        <v>24602</v>
      </c>
      <c r="B12144" s="6">
        <v>393.75</v>
      </c>
      <c r="C12144" s="6">
        <v>20.478950000000001</v>
      </c>
      <c r="D12144" s="6">
        <v>87</v>
      </c>
      <c r="E12144" s="6">
        <v>0</v>
      </c>
      <c r="F12144" s="6">
        <v>0</v>
      </c>
      <c r="G12144" s="6">
        <v>11</v>
      </c>
      <c r="H12144" s="6" t="s">
        <v>24603</v>
      </c>
      <c r="I12144" s="6">
        <v>526.6875</v>
      </c>
      <c r="J12144" s="2">
        <f t="shared" si="189"/>
        <v>43748.37955853009</v>
      </c>
    </row>
    <row r="12145" spans="1:10" x14ac:dyDescent="0.25">
      <c r="A12145" s="7" t="s">
        <v>24604</v>
      </c>
      <c r="B12145" s="8">
        <v>393.75</v>
      </c>
      <c r="C12145" s="8">
        <v>20.478950000000001</v>
      </c>
      <c r="D12145" s="8">
        <v>87</v>
      </c>
      <c r="E12145" s="8">
        <v>0</v>
      </c>
      <c r="F12145" s="8">
        <v>0</v>
      </c>
      <c r="G12145" s="8">
        <v>6</v>
      </c>
      <c r="H12145" s="8" t="s">
        <v>24605</v>
      </c>
      <c r="I12145" s="8">
        <v>526.6875</v>
      </c>
      <c r="J12145" s="3">
        <f t="shared" si="189"/>
        <v>43748.379641736108</v>
      </c>
    </row>
    <row r="12146" spans="1:10" x14ac:dyDescent="0.25">
      <c r="A12146" s="5" t="s">
        <v>24606</v>
      </c>
      <c r="B12146" s="6">
        <v>393.75</v>
      </c>
      <c r="C12146" s="6">
        <v>20.478950000000001</v>
      </c>
      <c r="D12146" s="6">
        <v>87</v>
      </c>
      <c r="E12146" s="6">
        <v>0</v>
      </c>
      <c r="F12146" s="6">
        <v>0</v>
      </c>
      <c r="G12146" s="6">
        <v>10</v>
      </c>
      <c r="H12146" s="6" t="s">
        <v>24607</v>
      </c>
      <c r="I12146" s="6">
        <v>526.6875</v>
      </c>
      <c r="J12146" s="2">
        <f t="shared" si="189"/>
        <v>43748.379713171293</v>
      </c>
    </row>
    <row r="12147" spans="1:10" x14ac:dyDescent="0.25">
      <c r="A12147" s="7" t="s">
        <v>24608</v>
      </c>
      <c r="B12147" s="8">
        <v>393.75</v>
      </c>
      <c r="C12147" s="8">
        <v>20.478950000000001</v>
      </c>
      <c r="D12147" s="8">
        <v>87</v>
      </c>
      <c r="E12147" s="8">
        <v>0</v>
      </c>
      <c r="F12147" s="8">
        <v>0</v>
      </c>
      <c r="G12147" s="8">
        <v>13</v>
      </c>
      <c r="H12147" s="8" t="s">
        <v>24609</v>
      </c>
      <c r="I12147" s="8">
        <v>526.6875</v>
      </c>
      <c r="J12147" s="3">
        <f t="shared" si="189"/>
        <v>43748.379797083333</v>
      </c>
    </row>
    <row r="12148" spans="1:10" x14ac:dyDescent="0.25">
      <c r="A12148" s="5" t="s">
        <v>24610</v>
      </c>
      <c r="B12148" s="6">
        <v>393.75</v>
      </c>
      <c r="C12148" s="6">
        <v>20.478950000000001</v>
      </c>
      <c r="D12148" s="6">
        <v>88</v>
      </c>
      <c r="E12148" s="6">
        <v>0</v>
      </c>
      <c r="F12148" s="6">
        <v>0</v>
      </c>
      <c r="G12148" s="6">
        <v>8</v>
      </c>
      <c r="H12148" s="6" t="s">
        <v>24611</v>
      </c>
      <c r="I12148" s="6">
        <v>526.6875</v>
      </c>
      <c r="J12148" s="2">
        <f t="shared" si="189"/>
        <v>43748.379880636574</v>
      </c>
    </row>
    <row r="12149" spans="1:10" x14ac:dyDescent="0.25">
      <c r="A12149" s="7" t="s">
        <v>24612</v>
      </c>
      <c r="B12149" s="8">
        <v>393.75</v>
      </c>
      <c r="C12149" s="8">
        <v>20.478950000000001</v>
      </c>
      <c r="D12149" s="8">
        <v>88</v>
      </c>
      <c r="E12149" s="8">
        <v>0</v>
      </c>
      <c r="F12149" s="8">
        <v>0</v>
      </c>
      <c r="G12149" s="8">
        <v>6</v>
      </c>
      <c r="H12149" s="8" t="s">
        <v>24613</v>
      </c>
      <c r="I12149" s="8">
        <v>526.5</v>
      </c>
      <c r="J12149" s="3">
        <f t="shared" si="189"/>
        <v>43748.379963969906</v>
      </c>
    </row>
    <row r="12150" spans="1:10" x14ac:dyDescent="0.25">
      <c r="A12150" s="5" t="s">
        <v>24614</v>
      </c>
      <c r="B12150" s="6">
        <v>393.75</v>
      </c>
      <c r="C12150" s="6">
        <v>20.478950000000001</v>
      </c>
      <c r="D12150" s="6">
        <v>88</v>
      </c>
      <c r="E12150" s="6">
        <v>0</v>
      </c>
      <c r="F12150" s="6">
        <v>0</v>
      </c>
      <c r="G12150" s="6">
        <v>14</v>
      </c>
      <c r="H12150" s="6" t="s">
        <v>24615</v>
      </c>
      <c r="I12150" s="6">
        <v>526.6875</v>
      </c>
      <c r="J12150" s="2">
        <f t="shared" si="189"/>
        <v>43748.380047407401</v>
      </c>
    </row>
    <row r="12151" spans="1:10" x14ac:dyDescent="0.25">
      <c r="A12151" s="7" t="s">
        <v>24616</v>
      </c>
      <c r="B12151" s="8">
        <v>393.75</v>
      </c>
      <c r="C12151" s="8">
        <v>20.478950000000001</v>
      </c>
      <c r="D12151" s="8">
        <v>87</v>
      </c>
      <c r="E12151" s="8">
        <v>0</v>
      </c>
      <c r="F12151" s="8">
        <v>0</v>
      </c>
      <c r="G12151" s="8">
        <v>7</v>
      </c>
      <c r="H12151" s="8" t="s">
        <v>24617</v>
      </c>
      <c r="I12151" s="8">
        <v>526.5</v>
      </c>
      <c r="J12151" s="3">
        <f t="shared" si="189"/>
        <v>43748.380130636571</v>
      </c>
    </row>
    <row r="12152" spans="1:10" x14ac:dyDescent="0.25">
      <c r="A12152" s="5" t="s">
        <v>24618</v>
      </c>
      <c r="B12152" s="6">
        <v>393.75</v>
      </c>
      <c r="C12152" s="6">
        <v>20.478950000000001</v>
      </c>
      <c r="D12152" s="6">
        <v>87</v>
      </c>
      <c r="E12152" s="6">
        <v>0</v>
      </c>
      <c r="F12152" s="6">
        <v>0</v>
      </c>
      <c r="G12152" s="6">
        <v>6</v>
      </c>
      <c r="H12152" s="6" t="s">
        <v>24619</v>
      </c>
      <c r="I12152" s="6">
        <v>526.6875</v>
      </c>
      <c r="J12152" s="2">
        <f t="shared" si="189"/>
        <v>43748.380202384258</v>
      </c>
    </row>
    <row r="12153" spans="1:10" x14ac:dyDescent="0.25">
      <c r="A12153" s="7" t="s">
        <v>24620</v>
      </c>
      <c r="B12153" s="8">
        <v>393.75</v>
      </c>
      <c r="C12153" s="8">
        <v>20.478950000000001</v>
      </c>
      <c r="D12153" s="8">
        <v>88</v>
      </c>
      <c r="E12153" s="8">
        <v>0</v>
      </c>
      <c r="F12153" s="8">
        <v>0</v>
      </c>
      <c r="G12153" s="8">
        <v>8</v>
      </c>
      <c r="H12153" s="8" t="s">
        <v>24621</v>
      </c>
      <c r="I12153" s="8">
        <v>526.6875</v>
      </c>
      <c r="J12153" s="3">
        <f t="shared" si="189"/>
        <v>43748.380286192129</v>
      </c>
    </row>
    <row r="12154" spans="1:10" x14ac:dyDescent="0.25">
      <c r="A12154" s="5" t="s">
        <v>24622</v>
      </c>
      <c r="B12154" s="6">
        <v>393.75</v>
      </c>
      <c r="C12154" s="6">
        <v>20.478950000000001</v>
      </c>
      <c r="D12154" s="6">
        <v>89</v>
      </c>
      <c r="E12154" s="6">
        <v>0</v>
      </c>
      <c r="F12154" s="6">
        <v>0</v>
      </c>
      <c r="G12154" s="6">
        <v>10</v>
      </c>
      <c r="H12154" s="6" t="s">
        <v>24623</v>
      </c>
      <c r="I12154" s="6">
        <v>526.5</v>
      </c>
      <c r="J12154" s="2">
        <f t="shared" si="189"/>
        <v>43748.380369409722</v>
      </c>
    </row>
    <row r="12155" spans="1:10" x14ac:dyDescent="0.25">
      <c r="A12155" s="7" t="s">
        <v>24624</v>
      </c>
      <c r="B12155" s="8">
        <v>393.75</v>
      </c>
      <c r="C12155" s="8">
        <v>20.478950000000001</v>
      </c>
      <c r="D12155" s="8">
        <v>89</v>
      </c>
      <c r="E12155" s="8">
        <v>0</v>
      </c>
      <c r="F12155" s="8">
        <v>0</v>
      </c>
      <c r="G12155" s="8">
        <v>11</v>
      </c>
      <c r="H12155" s="8" t="s">
        <v>24625</v>
      </c>
      <c r="I12155" s="8">
        <v>526.5</v>
      </c>
      <c r="J12155" s="3">
        <f t="shared" si="189"/>
        <v>43748.380452858793</v>
      </c>
    </row>
    <row r="12156" spans="1:10" x14ac:dyDescent="0.25">
      <c r="A12156" s="5" t="s">
        <v>24626</v>
      </c>
      <c r="B12156" s="6">
        <v>393.75</v>
      </c>
      <c r="C12156" s="6">
        <v>20.478950000000001</v>
      </c>
      <c r="D12156" s="6">
        <v>89</v>
      </c>
      <c r="E12156" s="6">
        <v>0</v>
      </c>
      <c r="F12156" s="6">
        <v>0</v>
      </c>
      <c r="G12156" s="6">
        <v>2</v>
      </c>
      <c r="H12156" s="6" t="s">
        <v>24627</v>
      </c>
      <c r="I12156" s="6">
        <v>526.6875</v>
      </c>
      <c r="J12156" s="2">
        <f t="shared" si="189"/>
        <v>43748.380536435179</v>
      </c>
    </row>
    <row r="12157" spans="1:10" x14ac:dyDescent="0.25">
      <c r="A12157" s="7" t="s">
        <v>24628</v>
      </c>
      <c r="B12157" s="8">
        <v>393.75</v>
      </c>
      <c r="C12157" s="8">
        <v>20.478950000000001</v>
      </c>
      <c r="D12157" s="8">
        <v>87</v>
      </c>
      <c r="E12157" s="8">
        <v>0</v>
      </c>
      <c r="F12157" s="8">
        <v>0</v>
      </c>
      <c r="G12157" s="8">
        <v>10</v>
      </c>
      <c r="H12157" s="8" t="s">
        <v>24629</v>
      </c>
      <c r="I12157" s="8">
        <v>526.6875</v>
      </c>
      <c r="J12157" s="3">
        <f t="shared" si="189"/>
        <v>43748.380619629628</v>
      </c>
    </row>
    <row r="12158" spans="1:10" x14ac:dyDescent="0.25">
      <c r="A12158" s="5" t="s">
        <v>24630</v>
      </c>
      <c r="B12158" s="6">
        <v>393.75</v>
      </c>
      <c r="C12158" s="6">
        <v>20.478950000000001</v>
      </c>
      <c r="D12158" s="6">
        <v>87</v>
      </c>
      <c r="E12158" s="6">
        <v>0</v>
      </c>
      <c r="F12158" s="6">
        <v>0</v>
      </c>
      <c r="G12158" s="6">
        <v>10</v>
      </c>
      <c r="H12158" s="6" t="s">
        <v>24631</v>
      </c>
      <c r="I12158" s="6">
        <v>526.6875</v>
      </c>
      <c r="J12158" s="2">
        <f t="shared" si="189"/>
        <v>43748.380691157407</v>
      </c>
    </row>
    <row r="12159" spans="1:10" x14ac:dyDescent="0.25">
      <c r="A12159" s="7" t="s">
        <v>24632</v>
      </c>
      <c r="B12159" s="8">
        <v>393.75</v>
      </c>
      <c r="C12159" s="8">
        <v>20.478950000000001</v>
      </c>
      <c r="D12159" s="8">
        <v>88</v>
      </c>
      <c r="E12159" s="8">
        <v>0</v>
      </c>
      <c r="F12159" s="8">
        <v>0</v>
      </c>
      <c r="G12159" s="8">
        <v>9</v>
      </c>
      <c r="H12159" s="8" t="s">
        <v>24633</v>
      </c>
      <c r="I12159" s="8">
        <v>526.6875</v>
      </c>
      <c r="J12159" s="3">
        <f t="shared" si="189"/>
        <v>43748.380775069447</v>
      </c>
    </row>
    <row r="12160" spans="1:10" x14ac:dyDescent="0.25">
      <c r="A12160" s="5" t="s">
        <v>24634</v>
      </c>
      <c r="B12160" s="6">
        <v>393.75</v>
      </c>
      <c r="C12160" s="6">
        <v>20.426300000000001</v>
      </c>
      <c r="D12160" s="6">
        <v>87</v>
      </c>
      <c r="E12160" s="6">
        <v>0</v>
      </c>
      <c r="F12160" s="6">
        <v>0</v>
      </c>
      <c r="G12160" s="6">
        <v>12</v>
      </c>
      <c r="H12160" s="6" t="s">
        <v>24635</v>
      </c>
      <c r="I12160" s="6">
        <v>526.5</v>
      </c>
      <c r="J12160" s="2">
        <f t="shared" si="189"/>
        <v>43748.380858425924</v>
      </c>
    </row>
    <row r="12161" spans="1:10" x14ac:dyDescent="0.25">
      <c r="A12161" s="7" t="s">
        <v>24636</v>
      </c>
      <c r="B12161" s="8">
        <v>393.75</v>
      </c>
      <c r="C12161" s="8">
        <v>20.478950000000001</v>
      </c>
      <c r="D12161" s="8">
        <v>88</v>
      </c>
      <c r="E12161" s="8">
        <v>0</v>
      </c>
      <c r="F12161" s="8">
        <v>0</v>
      </c>
      <c r="G12161" s="8">
        <v>12</v>
      </c>
      <c r="H12161" s="8" t="s">
        <v>24637</v>
      </c>
      <c r="I12161" s="8">
        <v>526.5</v>
      </c>
      <c r="J12161" s="3">
        <f t="shared" si="189"/>
        <v>43748.38094174768</v>
      </c>
    </row>
    <row r="12162" spans="1:10" x14ac:dyDescent="0.25">
      <c r="A12162" s="5" t="s">
        <v>24638</v>
      </c>
      <c r="B12162" s="6">
        <v>412.5</v>
      </c>
      <c r="C12162" s="6">
        <v>20.478950000000001</v>
      </c>
      <c r="D12162" s="6">
        <v>88</v>
      </c>
      <c r="E12162" s="6">
        <v>0</v>
      </c>
      <c r="F12162" s="6">
        <v>0</v>
      </c>
      <c r="G12162" s="6">
        <v>3</v>
      </c>
      <c r="H12162" s="6" t="s">
        <v>24639</v>
      </c>
      <c r="I12162" s="6">
        <v>532.3125</v>
      </c>
      <c r="J12162" s="2">
        <f t="shared" ref="J12162:J12225" si="190">(H12162/86400000)+25569+(7/24)</f>
        <v>43748.381013379629</v>
      </c>
    </row>
    <row r="12163" spans="1:10" x14ac:dyDescent="0.25">
      <c r="A12163" s="7" t="s">
        <v>24640</v>
      </c>
      <c r="B12163" s="8">
        <v>393.75</v>
      </c>
      <c r="C12163" s="8">
        <v>20.478950000000001</v>
      </c>
      <c r="D12163" s="8">
        <v>88</v>
      </c>
      <c r="E12163" s="8">
        <v>0</v>
      </c>
      <c r="F12163" s="8">
        <v>0</v>
      </c>
      <c r="G12163" s="8">
        <v>13</v>
      </c>
      <c r="H12163" s="8" t="s">
        <v>24641</v>
      </c>
      <c r="I12163" s="8">
        <v>526.6875</v>
      </c>
      <c r="J12163" s="3">
        <f t="shared" si="190"/>
        <v>43748.381101527775</v>
      </c>
    </row>
    <row r="12164" spans="1:10" x14ac:dyDescent="0.25">
      <c r="A12164" s="5" t="s">
        <v>24642</v>
      </c>
      <c r="B12164" s="6">
        <v>393.75</v>
      </c>
      <c r="C12164" s="6">
        <v>20.478950000000001</v>
      </c>
      <c r="D12164" s="6">
        <v>91</v>
      </c>
      <c r="E12164" s="6">
        <v>0</v>
      </c>
      <c r="F12164" s="6">
        <v>0</v>
      </c>
      <c r="G12164" s="6">
        <v>7</v>
      </c>
      <c r="H12164" s="6" t="s">
        <v>24643</v>
      </c>
      <c r="I12164" s="6">
        <v>526.5</v>
      </c>
      <c r="J12164" s="2">
        <f t="shared" si="190"/>
        <v>43748.381180416669</v>
      </c>
    </row>
    <row r="12165" spans="1:10" x14ac:dyDescent="0.25">
      <c r="A12165" s="7" t="s">
        <v>24644</v>
      </c>
      <c r="B12165" s="8">
        <v>393.75</v>
      </c>
      <c r="C12165" s="8">
        <v>20.478950000000001</v>
      </c>
      <c r="D12165" s="8">
        <v>88</v>
      </c>
      <c r="E12165" s="8">
        <v>0</v>
      </c>
      <c r="F12165" s="8">
        <v>0</v>
      </c>
      <c r="G12165" s="8">
        <v>6</v>
      </c>
      <c r="H12165" s="8" t="s">
        <v>24645</v>
      </c>
      <c r="I12165" s="8">
        <v>526.6875</v>
      </c>
      <c r="J12165" s="3">
        <f t="shared" si="190"/>
        <v>43748.381275960644</v>
      </c>
    </row>
    <row r="12166" spans="1:10" x14ac:dyDescent="0.25">
      <c r="A12166" s="5" t="s">
        <v>24646</v>
      </c>
      <c r="B12166" s="6">
        <v>393.75</v>
      </c>
      <c r="C12166" s="6">
        <v>20.478950000000001</v>
      </c>
      <c r="D12166" s="6">
        <v>88</v>
      </c>
      <c r="E12166" s="6">
        <v>0</v>
      </c>
      <c r="F12166" s="6">
        <v>0</v>
      </c>
      <c r="G12166" s="6">
        <v>4</v>
      </c>
      <c r="H12166" s="6" t="s">
        <v>24647</v>
      </c>
      <c r="I12166" s="6">
        <v>526.6875</v>
      </c>
      <c r="J12166" s="2">
        <f t="shared" si="190"/>
        <v>43748.381347268521</v>
      </c>
    </row>
    <row r="12167" spans="1:10" x14ac:dyDescent="0.25">
      <c r="A12167" s="7" t="s">
        <v>24648</v>
      </c>
      <c r="B12167" s="8">
        <v>412.5</v>
      </c>
      <c r="C12167" s="8">
        <v>20.478950000000001</v>
      </c>
      <c r="D12167" s="8">
        <v>88</v>
      </c>
      <c r="E12167" s="8">
        <v>0</v>
      </c>
      <c r="F12167" s="8">
        <v>0</v>
      </c>
      <c r="G12167" s="8">
        <v>4</v>
      </c>
      <c r="H12167" s="8" t="s">
        <v>24649</v>
      </c>
      <c r="I12167" s="8">
        <v>532.3125</v>
      </c>
      <c r="J12167" s="3">
        <f t="shared" si="190"/>
        <v>43748.381430578702</v>
      </c>
    </row>
    <row r="12168" spans="1:10" x14ac:dyDescent="0.25">
      <c r="A12168" s="5" t="s">
        <v>24650</v>
      </c>
      <c r="B12168" s="6">
        <v>393.75</v>
      </c>
      <c r="C12168" s="6">
        <v>20.478950000000001</v>
      </c>
      <c r="D12168" s="6">
        <v>88</v>
      </c>
      <c r="E12168" s="6">
        <v>0</v>
      </c>
      <c r="F12168" s="6">
        <v>0</v>
      </c>
      <c r="G12168" s="6">
        <v>7</v>
      </c>
      <c r="H12168" s="6" t="s">
        <v>24651</v>
      </c>
      <c r="I12168" s="6">
        <v>526.6875</v>
      </c>
      <c r="J12168" s="2">
        <f t="shared" si="190"/>
        <v>43748.38150236111</v>
      </c>
    </row>
    <row r="12169" spans="1:10" x14ac:dyDescent="0.25">
      <c r="A12169" s="7" t="s">
        <v>24652</v>
      </c>
      <c r="B12169" s="8">
        <v>393.75</v>
      </c>
      <c r="C12169" s="8">
        <v>20.478950000000001</v>
      </c>
      <c r="D12169" s="8">
        <v>85</v>
      </c>
      <c r="E12169" s="8">
        <v>0</v>
      </c>
      <c r="F12169" s="8">
        <v>0</v>
      </c>
      <c r="G12169" s="8">
        <v>14</v>
      </c>
      <c r="H12169" s="8" t="s">
        <v>24653</v>
      </c>
      <c r="I12169" s="8">
        <v>526.6875</v>
      </c>
      <c r="J12169" s="3">
        <f t="shared" si="190"/>
        <v>43748.381585914351</v>
      </c>
    </row>
    <row r="12170" spans="1:10" x14ac:dyDescent="0.25">
      <c r="A12170" s="5" t="s">
        <v>24654</v>
      </c>
      <c r="B12170" s="6">
        <v>393.75</v>
      </c>
      <c r="C12170" s="6">
        <v>20.478950000000001</v>
      </c>
      <c r="D12170" s="6">
        <v>85</v>
      </c>
      <c r="E12170" s="6">
        <v>0</v>
      </c>
      <c r="F12170" s="6">
        <v>0</v>
      </c>
      <c r="G12170" s="6">
        <v>3</v>
      </c>
      <c r="H12170" s="6" t="s">
        <v>24655</v>
      </c>
      <c r="I12170" s="6">
        <v>526.6875</v>
      </c>
      <c r="J12170" s="2">
        <f t="shared" si="190"/>
        <v>43748.381669351853</v>
      </c>
    </row>
    <row r="12171" spans="1:10" x14ac:dyDescent="0.25">
      <c r="A12171" s="7" t="s">
        <v>24656</v>
      </c>
      <c r="B12171" s="8">
        <v>393.75</v>
      </c>
      <c r="C12171" s="8">
        <v>20.478950000000001</v>
      </c>
      <c r="D12171" s="8">
        <v>85</v>
      </c>
      <c r="E12171" s="8">
        <v>0</v>
      </c>
      <c r="F12171" s="8">
        <v>0</v>
      </c>
      <c r="G12171" s="8">
        <v>3</v>
      </c>
      <c r="H12171" s="8" t="s">
        <v>24657</v>
      </c>
      <c r="I12171" s="8">
        <v>526.6875</v>
      </c>
      <c r="J12171" s="3">
        <f t="shared" si="190"/>
        <v>43748.3817528125</v>
      </c>
    </row>
    <row r="12172" spans="1:10" x14ac:dyDescent="0.25">
      <c r="A12172" s="5" t="s">
        <v>24658</v>
      </c>
      <c r="B12172" s="6">
        <v>428.125</v>
      </c>
      <c r="C12172" s="6">
        <v>20.478950000000001</v>
      </c>
      <c r="D12172" s="6">
        <v>87</v>
      </c>
      <c r="E12172" s="6">
        <v>0</v>
      </c>
      <c r="F12172" s="6">
        <v>0</v>
      </c>
      <c r="G12172" s="6">
        <v>7</v>
      </c>
      <c r="H12172" s="6" t="s">
        <v>24659</v>
      </c>
      <c r="I12172" s="6">
        <v>537.75</v>
      </c>
      <c r="J12172" s="2">
        <f t="shared" si="190"/>
        <v>43748.381836261571</v>
      </c>
    </row>
    <row r="12173" spans="1:10" x14ac:dyDescent="0.25">
      <c r="A12173" s="7" t="s">
        <v>24660</v>
      </c>
      <c r="B12173" s="8">
        <v>393.75</v>
      </c>
      <c r="C12173" s="8">
        <v>20.478950000000001</v>
      </c>
      <c r="D12173" s="8">
        <v>87</v>
      </c>
      <c r="E12173" s="8">
        <v>0</v>
      </c>
      <c r="F12173" s="8">
        <v>0</v>
      </c>
      <c r="G12173" s="8">
        <v>5</v>
      </c>
      <c r="H12173" s="8" t="s">
        <v>24661</v>
      </c>
      <c r="I12173" s="8">
        <v>526.6875</v>
      </c>
      <c r="J12173" s="3">
        <f t="shared" si="190"/>
        <v>43748.381919479165</v>
      </c>
    </row>
    <row r="12174" spans="1:10" x14ac:dyDescent="0.25">
      <c r="A12174" s="5" t="s">
        <v>24662</v>
      </c>
      <c r="B12174" s="6">
        <v>393.75</v>
      </c>
      <c r="C12174" s="6">
        <v>20.478950000000001</v>
      </c>
      <c r="D12174" s="6">
        <v>87</v>
      </c>
      <c r="E12174" s="6">
        <v>0</v>
      </c>
      <c r="F12174" s="6">
        <v>0</v>
      </c>
      <c r="G12174" s="6">
        <v>14</v>
      </c>
      <c r="H12174" s="6" t="s">
        <v>24663</v>
      </c>
      <c r="I12174" s="6">
        <v>526.6875</v>
      </c>
      <c r="J12174" s="2">
        <f t="shared" si="190"/>
        <v>43748.381991249997</v>
      </c>
    </row>
    <row r="12175" spans="1:10" x14ac:dyDescent="0.25">
      <c r="A12175" s="7" t="s">
        <v>24664</v>
      </c>
      <c r="B12175" s="8">
        <v>393.75</v>
      </c>
      <c r="C12175" s="8">
        <v>20.478950000000001</v>
      </c>
      <c r="D12175" s="8">
        <v>86</v>
      </c>
      <c r="E12175" s="8">
        <v>0</v>
      </c>
      <c r="F12175" s="8">
        <v>0</v>
      </c>
      <c r="G12175" s="8">
        <v>11</v>
      </c>
      <c r="H12175" s="8" t="s">
        <v>24665</v>
      </c>
      <c r="I12175" s="8">
        <v>526.6875</v>
      </c>
      <c r="J12175" s="3">
        <f t="shared" si="190"/>
        <v>43748.382075023146</v>
      </c>
    </row>
    <row r="12176" spans="1:10" x14ac:dyDescent="0.25">
      <c r="A12176" s="5" t="s">
        <v>24666</v>
      </c>
      <c r="B12176" s="6">
        <v>393.75</v>
      </c>
      <c r="C12176" s="6">
        <v>20.478950000000001</v>
      </c>
      <c r="D12176" s="6">
        <v>86</v>
      </c>
      <c r="E12176" s="6">
        <v>0</v>
      </c>
      <c r="F12176" s="6">
        <v>0</v>
      </c>
      <c r="G12176" s="6">
        <v>4</v>
      </c>
      <c r="H12176" s="6" t="s">
        <v>24667</v>
      </c>
      <c r="I12176" s="6">
        <v>526.6875</v>
      </c>
      <c r="J12176" s="2">
        <f t="shared" si="190"/>
        <v>43748.382158252316</v>
      </c>
    </row>
    <row r="12177" spans="1:10" x14ac:dyDescent="0.25">
      <c r="A12177" s="7" t="s">
        <v>24668</v>
      </c>
      <c r="B12177" s="8">
        <v>434.375</v>
      </c>
      <c r="C12177" s="8">
        <v>20.478950000000001</v>
      </c>
      <c r="D12177" s="8">
        <v>86</v>
      </c>
      <c r="E12177" s="8">
        <v>0</v>
      </c>
      <c r="F12177" s="8">
        <v>0</v>
      </c>
      <c r="G12177" s="8">
        <v>13</v>
      </c>
      <c r="H12177" s="8" t="s">
        <v>24669</v>
      </c>
      <c r="I12177" s="8">
        <v>539.625</v>
      </c>
      <c r="J12177" s="3">
        <f t="shared" si="190"/>
        <v>43748.382241689811</v>
      </c>
    </row>
    <row r="12178" spans="1:10" x14ac:dyDescent="0.25">
      <c r="A12178" s="5" t="s">
        <v>24670</v>
      </c>
      <c r="B12178" s="6">
        <v>393.75</v>
      </c>
      <c r="C12178" s="6">
        <v>20.478950000000001</v>
      </c>
      <c r="D12178" s="6">
        <v>86</v>
      </c>
      <c r="E12178" s="6">
        <v>0</v>
      </c>
      <c r="F12178" s="6">
        <v>0</v>
      </c>
      <c r="G12178" s="6">
        <v>3</v>
      </c>
      <c r="H12178" s="6" t="s">
        <v>24671</v>
      </c>
      <c r="I12178" s="6">
        <v>526.6875</v>
      </c>
      <c r="J12178" s="2">
        <f t="shared" si="190"/>
        <v>43748.382325254628</v>
      </c>
    </row>
    <row r="12179" spans="1:10" x14ac:dyDescent="0.25">
      <c r="A12179" s="7" t="s">
        <v>24672</v>
      </c>
      <c r="B12179" s="8">
        <v>393.75</v>
      </c>
      <c r="C12179" s="8">
        <v>20.478950000000001</v>
      </c>
      <c r="D12179" s="8">
        <v>87</v>
      </c>
      <c r="E12179" s="8">
        <v>0</v>
      </c>
      <c r="F12179" s="8">
        <v>0</v>
      </c>
      <c r="G12179" s="8">
        <v>0</v>
      </c>
      <c r="H12179" s="8" t="s">
        <v>24673</v>
      </c>
      <c r="I12179" s="8">
        <v>526.6875</v>
      </c>
      <c r="J12179" s="3">
        <f t="shared" si="190"/>
        <v>43748.382408368052</v>
      </c>
    </row>
    <row r="12180" spans="1:10" x14ac:dyDescent="0.25">
      <c r="A12180" s="5" t="s">
        <v>24674</v>
      </c>
      <c r="B12180" s="6">
        <v>393.75</v>
      </c>
      <c r="C12180" s="6">
        <v>20.478950000000001</v>
      </c>
      <c r="D12180" s="6">
        <v>87</v>
      </c>
      <c r="E12180" s="6">
        <v>0</v>
      </c>
      <c r="F12180" s="6">
        <v>0</v>
      </c>
      <c r="G12180" s="6">
        <v>7</v>
      </c>
      <c r="H12180" s="6" t="s">
        <v>24675</v>
      </c>
      <c r="I12180" s="6">
        <v>526.5</v>
      </c>
      <c r="J12180" s="2">
        <f t="shared" si="190"/>
        <v>43748.382480624998</v>
      </c>
    </row>
    <row r="12181" spans="1:10" x14ac:dyDescent="0.25">
      <c r="A12181" s="7" t="s">
        <v>24676</v>
      </c>
      <c r="B12181" s="8">
        <v>393.75</v>
      </c>
      <c r="C12181" s="8">
        <v>20.478950000000001</v>
      </c>
      <c r="D12181" s="8">
        <v>88</v>
      </c>
      <c r="E12181" s="8">
        <v>0</v>
      </c>
      <c r="F12181" s="8">
        <v>0</v>
      </c>
      <c r="G12181" s="8">
        <v>4</v>
      </c>
      <c r="H12181" s="8" t="s">
        <v>24677</v>
      </c>
      <c r="I12181" s="8">
        <v>526.6875</v>
      </c>
      <c r="J12181" s="3">
        <f t="shared" si="190"/>
        <v>43748.382563923609</v>
      </c>
    </row>
    <row r="12182" spans="1:10" x14ac:dyDescent="0.25">
      <c r="A12182" s="5" t="s">
        <v>24678</v>
      </c>
      <c r="B12182" s="6">
        <v>393.75</v>
      </c>
      <c r="C12182" s="6">
        <v>20.478950000000001</v>
      </c>
      <c r="D12182" s="6">
        <v>89</v>
      </c>
      <c r="E12182" s="6">
        <v>0</v>
      </c>
      <c r="F12182" s="6">
        <v>0</v>
      </c>
      <c r="G12182" s="6">
        <v>9</v>
      </c>
      <c r="H12182" s="6" t="s">
        <v>24679</v>
      </c>
      <c r="I12182" s="6">
        <v>526.6875</v>
      </c>
      <c r="J12182" s="2">
        <f t="shared" si="190"/>
        <v>43748.382635347218</v>
      </c>
    </row>
    <row r="12183" spans="1:10" x14ac:dyDescent="0.25">
      <c r="A12183" s="7" t="s">
        <v>24680</v>
      </c>
      <c r="B12183" s="8">
        <v>393.75</v>
      </c>
      <c r="C12183" s="8">
        <v>20.478950000000001</v>
      </c>
      <c r="D12183" s="8">
        <v>89</v>
      </c>
      <c r="E12183" s="8">
        <v>0</v>
      </c>
      <c r="F12183" s="8">
        <v>0</v>
      </c>
      <c r="G12183" s="8">
        <v>10</v>
      </c>
      <c r="H12183" s="8" t="s">
        <v>24681</v>
      </c>
      <c r="I12183" s="8">
        <v>526.6875</v>
      </c>
      <c r="J12183" s="3">
        <f t="shared" si="190"/>
        <v>43748.38270686342</v>
      </c>
    </row>
    <row r="12184" spans="1:10" x14ac:dyDescent="0.25">
      <c r="A12184" s="5" t="s">
        <v>24682</v>
      </c>
      <c r="B12184" s="6">
        <v>393.75</v>
      </c>
      <c r="C12184" s="6">
        <v>20.478950000000001</v>
      </c>
      <c r="D12184" s="6">
        <v>88</v>
      </c>
      <c r="E12184" s="6">
        <v>0</v>
      </c>
      <c r="F12184" s="6">
        <v>0</v>
      </c>
      <c r="G12184" s="6">
        <v>13</v>
      </c>
      <c r="H12184" s="6" t="s">
        <v>24683</v>
      </c>
      <c r="I12184" s="6">
        <v>526.6875</v>
      </c>
      <c r="J12184" s="2">
        <f t="shared" si="190"/>
        <v>43748.382806956019</v>
      </c>
    </row>
    <row r="12185" spans="1:10" x14ac:dyDescent="0.25">
      <c r="A12185" s="7" t="s">
        <v>24684</v>
      </c>
      <c r="B12185" s="8">
        <v>393.75</v>
      </c>
      <c r="C12185" s="8">
        <v>20.478950000000001</v>
      </c>
      <c r="D12185" s="8">
        <v>89</v>
      </c>
      <c r="E12185" s="8">
        <v>0</v>
      </c>
      <c r="F12185" s="8">
        <v>0</v>
      </c>
      <c r="G12185" s="8">
        <v>0</v>
      </c>
      <c r="H12185" s="8" t="s">
        <v>24685</v>
      </c>
      <c r="I12185" s="8">
        <v>526.6875</v>
      </c>
      <c r="J12185" s="3">
        <f t="shared" si="190"/>
        <v>43748.382885787032</v>
      </c>
    </row>
    <row r="12186" spans="1:10" x14ac:dyDescent="0.25">
      <c r="A12186" s="5" t="s">
        <v>24686</v>
      </c>
      <c r="B12186" s="6">
        <v>393.75</v>
      </c>
      <c r="C12186" s="6">
        <v>20.478950000000001</v>
      </c>
      <c r="D12186" s="6">
        <v>89</v>
      </c>
      <c r="E12186" s="6">
        <v>0</v>
      </c>
      <c r="F12186" s="6">
        <v>0</v>
      </c>
      <c r="G12186" s="6">
        <v>10</v>
      </c>
      <c r="H12186" s="6" t="s">
        <v>24687</v>
      </c>
      <c r="I12186" s="6">
        <v>526.6875</v>
      </c>
      <c r="J12186" s="2">
        <f t="shared" si="190"/>
        <v>43748.382968912039</v>
      </c>
    </row>
    <row r="12187" spans="1:10" x14ac:dyDescent="0.25">
      <c r="A12187" s="7" t="s">
        <v>24688</v>
      </c>
      <c r="B12187" s="8">
        <v>393.75</v>
      </c>
      <c r="C12187" s="8">
        <v>20.478950000000001</v>
      </c>
      <c r="D12187" s="8">
        <v>89</v>
      </c>
      <c r="E12187" s="8">
        <v>0</v>
      </c>
      <c r="F12187" s="8">
        <v>0</v>
      </c>
      <c r="G12187" s="8">
        <v>9</v>
      </c>
      <c r="H12187" s="8" t="s">
        <v>24689</v>
      </c>
      <c r="I12187" s="8">
        <v>526.6875</v>
      </c>
      <c r="J12187" s="3">
        <f t="shared" si="190"/>
        <v>43748.383053101854</v>
      </c>
    </row>
    <row r="12188" spans="1:10" x14ac:dyDescent="0.25">
      <c r="A12188" s="5" t="s">
        <v>24690</v>
      </c>
      <c r="B12188" s="6">
        <v>393.75</v>
      </c>
      <c r="C12188" s="6">
        <v>20.478950000000001</v>
      </c>
      <c r="D12188" s="6">
        <v>89</v>
      </c>
      <c r="E12188" s="6">
        <v>0</v>
      </c>
      <c r="F12188" s="6">
        <v>0</v>
      </c>
      <c r="G12188" s="6">
        <v>12</v>
      </c>
      <c r="H12188" s="6" t="s">
        <v>24691</v>
      </c>
      <c r="I12188" s="6">
        <v>526.6875</v>
      </c>
      <c r="J12188" s="2">
        <f t="shared" si="190"/>
        <v>43748.383124722219</v>
      </c>
    </row>
    <row r="12189" spans="1:10" x14ac:dyDescent="0.25">
      <c r="A12189" s="7" t="s">
        <v>24692</v>
      </c>
      <c r="B12189" s="8">
        <v>393.75</v>
      </c>
      <c r="C12189" s="8">
        <v>20.478950000000001</v>
      </c>
      <c r="D12189" s="8">
        <v>88</v>
      </c>
      <c r="E12189" s="8">
        <v>0</v>
      </c>
      <c r="F12189" s="8">
        <v>0</v>
      </c>
      <c r="G12189" s="8">
        <v>10</v>
      </c>
      <c r="H12189" s="8" t="s">
        <v>24693</v>
      </c>
      <c r="I12189" s="8">
        <v>526.5</v>
      </c>
      <c r="J12189" s="3">
        <f t="shared" si="190"/>
        <v>43748.383211759261</v>
      </c>
    </row>
    <row r="12190" spans="1:10" x14ac:dyDescent="0.25">
      <c r="A12190" s="5" t="s">
        <v>24694</v>
      </c>
      <c r="B12190" s="6">
        <v>412.5</v>
      </c>
      <c r="C12190" s="6">
        <v>20.478950000000001</v>
      </c>
      <c r="D12190" s="6">
        <v>89</v>
      </c>
      <c r="E12190" s="6">
        <v>0</v>
      </c>
      <c r="F12190" s="6">
        <v>0</v>
      </c>
      <c r="G12190" s="6">
        <v>9</v>
      </c>
      <c r="H12190" s="6" t="s">
        <v>24695</v>
      </c>
      <c r="I12190" s="6">
        <v>532.6875</v>
      </c>
      <c r="J12190" s="2">
        <f t="shared" si="190"/>
        <v>43748.383291122685</v>
      </c>
    </row>
    <row r="12191" spans="1:10" x14ac:dyDescent="0.25">
      <c r="A12191" s="7" t="s">
        <v>24696</v>
      </c>
      <c r="B12191" s="8">
        <v>393.75</v>
      </c>
      <c r="C12191" s="8">
        <v>20.478950000000001</v>
      </c>
      <c r="D12191" s="8">
        <v>88</v>
      </c>
      <c r="E12191" s="8">
        <v>0</v>
      </c>
      <c r="F12191" s="8">
        <v>0</v>
      </c>
      <c r="G12191" s="8">
        <v>11</v>
      </c>
      <c r="H12191" s="8" t="s">
        <v>24697</v>
      </c>
      <c r="I12191" s="8">
        <v>526.6875</v>
      </c>
      <c r="J12191" s="3">
        <f t="shared" si="190"/>
        <v>43748.383362696761</v>
      </c>
    </row>
    <row r="12192" spans="1:10" x14ac:dyDescent="0.25">
      <c r="A12192" s="5" t="s">
        <v>24698</v>
      </c>
      <c r="B12192" s="6">
        <v>393.75</v>
      </c>
      <c r="C12192" s="6">
        <v>20.478950000000001</v>
      </c>
      <c r="D12192" s="6">
        <v>90</v>
      </c>
      <c r="E12192" s="6">
        <v>0</v>
      </c>
      <c r="F12192" s="6">
        <v>0</v>
      </c>
      <c r="G12192" s="6">
        <v>17</v>
      </c>
      <c r="H12192" s="6" t="s">
        <v>24699</v>
      </c>
      <c r="I12192" s="6">
        <v>526.5</v>
      </c>
      <c r="J12192" s="2">
        <f t="shared" si="190"/>
        <v>43748.383434675925</v>
      </c>
    </row>
    <row r="12193" spans="1:10" x14ac:dyDescent="0.25">
      <c r="A12193" s="7" t="s">
        <v>24700</v>
      </c>
      <c r="B12193" s="8">
        <v>393.75</v>
      </c>
      <c r="C12193" s="8">
        <v>20.478950000000001</v>
      </c>
      <c r="D12193" s="8">
        <v>90</v>
      </c>
      <c r="E12193" s="8">
        <v>0</v>
      </c>
      <c r="F12193" s="8">
        <v>0</v>
      </c>
      <c r="G12193" s="8">
        <v>21</v>
      </c>
      <c r="H12193" s="8" t="s">
        <v>24701</v>
      </c>
      <c r="I12193" s="8">
        <v>526.6875</v>
      </c>
      <c r="J12193" s="3">
        <f t="shared" si="190"/>
        <v>43748.38350585648</v>
      </c>
    </row>
    <row r="12194" spans="1:10" x14ac:dyDescent="0.25">
      <c r="A12194" s="5" t="s">
        <v>24702</v>
      </c>
      <c r="B12194" s="6">
        <v>412.5</v>
      </c>
      <c r="C12194" s="6">
        <v>20.478950000000001</v>
      </c>
      <c r="D12194" s="6">
        <v>91</v>
      </c>
      <c r="E12194" s="6">
        <v>0</v>
      </c>
      <c r="F12194" s="6">
        <v>0</v>
      </c>
      <c r="G12194" s="6">
        <v>14</v>
      </c>
      <c r="H12194" s="6" t="s">
        <v>24703</v>
      </c>
      <c r="I12194" s="6">
        <v>532.3125</v>
      </c>
      <c r="J12194" s="2">
        <f t="shared" si="190"/>
        <v>43748.383577581015</v>
      </c>
    </row>
    <row r="12195" spans="1:10" x14ac:dyDescent="0.25">
      <c r="A12195" s="7" t="s">
        <v>24704</v>
      </c>
      <c r="B12195" s="8">
        <v>393.75</v>
      </c>
      <c r="C12195" s="8">
        <v>20.478950000000001</v>
      </c>
      <c r="D12195" s="8">
        <v>91</v>
      </c>
      <c r="E12195" s="8">
        <v>0</v>
      </c>
      <c r="F12195" s="8">
        <v>0</v>
      </c>
      <c r="G12195" s="8">
        <v>14</v>
      </c>
      <c r="H12195" s="8" t="s">
        <v>24705</v>
      </c>
      <c r="I12195" s="8">
        <v>526.6875</v>
      </c>
      <c r="J12195" s="3">
        <f t="shared" si="190"/>
        <v>43748.383648923606</v>
      </c>
    </row>
    <row r="12196" spans="1:10" x14ac:dyDescent="0.25">
      <c r="A12196" s="5" t="s">
        <v>24706</v>
      </c>
      <c r="B12196" s="6">
        <v>393.75</v>
      </c>
      <c r="C12196" s="6">
        <v>20.478950000000001</v>
      </c>
      <c r="D12196" s="6">
        <v>92</v>
      </c>
      <c r="E12196" s="6">
        <v>0</v>
      </c>
      <c r="F12196" s="6">
        <v>0</v>
      </c>
      <c r="G12196" s="6">
        <v>15</v>
      </c>
      <c r="H12196" s="6" t="s">
        <v>24707</v>
      </c>
      <c r="I12196" s="6">
        <v>526.6875</v>
      </c>
      <c r="J12196" s="2">
        <f t="shared" si="190"/>
        <v>43748.383721377315</v>
      </c>
    </row>
    <row r="12197" spans="1:10" x14ac:dyDescent="0.25">
      <c r="A12197" s="7" t="s">
        <v>24708</v>
      </c>
      <c r="B12197" s="8">
        <v>393.75</v>
      </c>
      <c r="C12197" s="8">
        <v>20.478950000000001</v>
      </c>
      <c r="D12197" s="8">
        <v>91</v>
      </c>
      <c r="E12197" s="8">
        <v>0</v>
      </c>
      <c r="F12197" s="8">
        <v>0</v>
      </c>
      <c r="G12197" s="8">
        <v>11</v>
      </c>
      <c r="H12197" s="8" t="s">
        <v>24709</v>
      </c>
      <c r="I12197" s="8">
        <v>526.6875</v>
      </c>
      <c r="J12197" s="3">
        <f t="shared" si="190"/>
        <v>43748.383792442131</v>
      </c>
    </row>
    <row r="12198" spans="1:10" x14ac:dyDescent="0.25">
      <c r="A12198" s="5" t="s">
        <v>24710</v>
      </c>
      <c r="B12198" s="6">
        <v>393.75</v>
      </c>
      <c r="C12198" s="6">
        <v>20.478950000000001</v>
      </c>
      <c r="D12198" s="6">
        <v>91</v>
      </c>
      <c r="E12198" s="6">
        <v>0</v>
      </c>
      <c r="F12198" s="6">
        <v>0</v>
      </c>
      <c r="G12198" s="6">
        <v>13</v>
      </c>
      <c r="H12198" s="6" t="s">
        <v>24711</v>
      </c>
      <c r="I12198" s="6">
        <v>526.6875</v>
      </c>
      <c r="J12198" s="2">
        <f t="shared" si="190"/>
        <v>43748.383875775464</v>
      </c>
    </row>
    <row r="12199" spans="1:10" x14ac:dyDescent="0.25">
      <c r="A12199" s="7" t="s">
        <v>24712</v>
      </c>
      <c r="B12199" s="8">
        <v>396.875</v>
      </c>
      <c r="C12199" s="8">
        <v>20.478950000000001</v>
      </c>
      <c r="D12199" s="8">
        <v>93</v>
      </c>
      <c r="E12199" s="8">
        <v>0</v>
      </c>
      <c r="F12199" s="8">
        <v>0</v>
      </c>
      <c r="G12199" s="8">
        <v>16</v>
      </c>
      <c r="H12199" s="8" t="s">
        <v>24713</v>
      </c>
      <c r="I12199" s="8">
        <v>527.4375</v>
      </c>
      <c r="J12199" s="3">
        <f t="shared" si="190"/>
        <v>43748.383959108796</v>
      </c>
    </row>
    <row r="12200" spans="1:10" x14ac:dyDescent="0.25">
      <c r="A12200" s="5" t="s">
        <v>24714</v>
      </c>
      <c r="B12200" s="6">
        <v>396.875</v>
      </c>
      <c r="C12200" s="6">
        <v>20.478950000000001</v>
      </c>
      <c r="D12200" s="6">
        <v>91</v>
      </c>
      <c r="E12200" s="6">
        <v>0</v>
      </c>
      <c r="F12200" s="6">
        <v>0</v>
      </c>
      <c r="G12200" s="6">
        <v>11</v>
      </c>
      <c r="H12200" s="6" t="s">
        <v>24715</v>
      </c>
      <c r="I12200" s="6">
        <v>527.4375</v>
      </c>
      <c r="J12200" s="2">
        <f t="shared" si="190"/>
        <v>43748.38404251157</v>
      </c>
    </row>
    <row r="12201" spans="1:10" x14ac:dyDescent="0.25">
      <c r="A12201" s="7" t="s">
        <v>24716</v>
      </c>
      <c r="B12201" s="8">
        <v>396.875</v>
      </c>
      <c r="C12201" s="8">
        <v>20.478950000000001</v>
      </c>
      <c r="D12201" s="8">
        <v>91</v>
      </c>
      <c r="E12201" s="8">
        <v>0</v>
      </c>
      <c r="F12201" s="8">
        <v>0</v>
      </c>
      <c r="G12201" s="8">
        <v>14</v>
      </c>
      <c r="H12201" s="8" t="s">
        <v>24717</v>
      </c>
      <c r="I12201" s="8">
        <v>527.4375</v>
      </c>
      <c r="J12201" s="3">
        <f t="shared" si="190"/>
        <v>43748.384114085646</v>
      </c>
    </row>
    <row r="12202" spans="1:10" x14ac:dyDescent="0.25">
      <c r="A12202" s="5" t="s">
        <v>24718</v>
      </c>
      <c r="B12202" s="6">
        <v>396.875</v>
      </c>
      <c r="C12202" s="6">
        <v>20.478950000000001</v>
      </c>
      <c r="D12202" s="6">
        <v>91</v>
      </c>
      <c r="E12202" s="6">
        <v>0</v>
      </c>
      <c r="F12202" s="6">
        <v>0</v>
      </c>
      <c r="G12202" s="6">
        <v>18</v>
      </c>
      <c r="H12202" s="6" t="s">
        <v>24719</v>
      </c>
      <c r="I12202" s="6">
        <v>527.4375</v>
      </c>
      <c r="J12202" s="2">
        <f t="shared" si="190"/>
        <v>43748.38418591435</v>
      </c>
    </row>
    <row r="12203" spans="1:10" x14ac:dyDescent="0.25">
      <c r="A12203" s="7" t="s">
        <v>24720</v>
      </c>
      <c r="B12203" s="8">
        <v>396.875</v>
      </c>
      <c r="C12203" s="8">
        <v>20.478950000000001</v>
      </c>
      <c r="D12203" s="8">
        <v>91</v>
      </c>
      <c r="E12203" s="8">
        <v>0</v>
      </c>
      <c r="F12203" s="8">
        <v>0</v>
      </c>
      <c r="G12203" s="8">
        <v>13</v>
      </c>
      <c r="H12203" s="8" t="s">
        <v>24721</v>
      </c>
      <c r="I12203" s="8">
        <v>527.4375</v>
      </c>
      <c r="J12203" s="3">
        <f t="shared" si="190"/>
        <v>43748.384257199075</v>
      </c>
    </row>
    <row r="12204" spans="1:10" x14ac:dyDescent="0.25">
      <c r="A12204" s="5" t="s">
        <v>24722</v>
      </c>
      <c r="B12204" s="6">
        <v>415.625</v>
      </c>
      <c r="C12204" s="6">
        <v>20.478950000000001</v>
      </c>
      <c r="D12204" s="6">
        <v>91</v>
      </c>
      <c r="E12204" s="6">
        <v>0</v>
      </c>
      <c r="F12204" s="6">
        <v>0</v>
      </c>
      <c r="G12204" s="6">
        <v>12</v>
      </c>
      <c r="H12204" s="6" t="s">
        <v>24723</v>
      </c>
      <c r="I12204" s="6">
        <v>533.25</v>
      </c>
      <c r="J12204" s="2">
        <f t="shared" si="190"/>
        <v>43748.38434060185</v>
      </c>
    </row>
    <row r="12205" spans="1:10" x14ac:dyDescent="0.25">
      <c r="A12205" s="7" t="s">
        <v>24724</v>
      </c>
      <c r="B12205" s="8">
        <v>396.875</v>
      </c>
      <c r="C12205" s="8">
        <v>20.478950000000001</v>
      </c>
      <c r="D12205" s="8">
        <v>88</v>
      </c>
      <c r="E12205" s="8">
        <v>0</v>
      </c>
      <c r="F12205" s="8">
        <v>0</v>
      </c>
      <c r="G12205" s="8">
        <v>14</v>
      </c>
      <c r="H12205" s="8" t="s">
        <v>24725</v>
      </c>
      <c r="I12205" s="8">
        <v>527.4375</v>
      </c>
      <c r="J12205" s="3">
        <f t="shared" si="190"/>
        <v>43748.384424050928</v>
      </c>
    </row>
    <row r="12206" spans="1:10" x14ac:dyDescent="0.25">
      <c r="A12206" s="5" t="s">
        <v>24726</v>
      </c>
      <c r="B12206" s="6">
        <v>396.875</v>
      </c>
      <c r="C12206" s="6">
        <v>20.478950000000001</v>
      </c>
      <c r="D12206" s="6">
        <v>83</v>
      </c>
      <c r="E12206" s="6">
        <v>0</v>
      </c>
      <c r="F12206" s="6">
        <v>0</v>
      </c>
      <c r="G12206" s="6">
        <v>19</v>
      </c>
      <c r="H12206" s="6" t="s">
        <v>24727</v>
      </c>
      <c r="I12206" s="6">
        <v>527.4375</v>
      </c>
      <c r="J12206" s="2">
        <f t="shared" si="190"/>
        <v>43748.384495740735</v>
      </c>
    </row>
    <row r="12207" spans="1:10" x14ac:dyDescent="0.25">
      <c r="A12207" s="7" t="s">
        <v>24728</v>
      </c>
      <c r="B12207" s="8">
        <v>393.75</v>
      </c>
      <c r="C12207" s="8">
        <v>20.478950000000001</v>
      </c>
      <c r="D12207" s="8">
        <v>88</v>
      </c>
      <c r="E12207" s="8">
        <v>0</v>
      </c>
      <c r="F12207" s="8">
        <v>0</v>
      </c>
      <c r="G12207" s="8">
        <v>14</v>
      </c>
      <c r="H12207" s="8" t="s">
        <v>24729</v>
      </c>
      <c r="I12207" s="8">
        <v>526.6875</v>
      </c>
      <c r="J12207" s="3">
        <f t="shared" si="190"/>
        <v>43748.384567175926</v>
      </c>
    </row>
    <row r="12208" spans="1:10" x14ac:dyDescent="0.25">
      <c r="A12208" s="5" t="s">
        <v>24730</v>
      </c>
      <c r="B12208" s="6">
        <v>393.75</v>
      </c>
      <c r="C12208" s="6">
        <v>20.478950000000001</v>
      </c>
      <c r="D12208" s="6">
        <v>88</v>
      </c>
      <c r="E12208" s="6">
        <v>0</v>
      </c>
      <c r="F12208" s="6">
        <v>0</v>
      </c>
      <c r="G12208" s="6">
        <v>13</v>
      </c>
      <c r="H12208" s="6" t="s">
        <v>24731</v>
      </c>
      <c r="I12208" s="6">
        <v>526.6875</v>
      </c>
      <c r="J12208" s="2">
        <f t="shared" si="190"/>
        <v>43748.384638865733</v>
      </c>
    </row>
    <row r="12209" spans="1:10" x14ac:dyDescent="0.25">
      <c r="A12209" s="7" t="s">
        <v>24732</v>
      </c>
      <c r="B12209" s="8">
        <v>393.75</v>
      </c>
      <c r="C12209" s="8">
        <v>20.478950000000001</v>
      </c>
      <c r="D12209" s="8">
        <v>88</v>
      </c>
      <c r="E12209" s="8">
        <v>0</v>
      </c>
      <c r="F12209" s="8">
        <v>0</v>
      </c>
      <c r="G12209" s="8">
        <v>10</v>
      </c>
      <c r="H12209" s="8" t="s">
        <v>24733</v>
      </c>
      <c r="I12209" s="8">
        <v>526.6875</v>
      </c>
      <c r="J12209" s="3">
        <f t="shared" si="190"/>
        <v>43748.384710277773</v>
      </c>
    </row>
    <row r="12210" spans="1:10" x14ac:dyDescent="0.25">
      <c r="A12210" s="5" t="s">
        <v>24734</v>
      </c>
      <c r="B12210" s="6">
        <v>393.75</v>
      </c>
      <c r="C12210" s="6">
        <v>20.478950000000001</v>
      </c>
      <c r="D12210" s="6">
        <v>87</v>
      </c>
      <c r="E12210" s="6">
        <v>0</v>
      </c>
      <c r="F12210" s="6">
        <v>0</v>
      </c>
      <c r="G12210" s="6">
        <v>14</v>
      </c>
      <c r="H12210" s="6" t="s">
        <v>24735</v>
      </c>
      <c r="I12210" s="6">
        <v>526.6875</v>
      </c>
      <c r="J12210" s="2">
        <f t="shared" si="190"/>
        <v>43748.384794259262</v>
      </c>
    </row>
    <row r="12211" spans="1:10" x14ac:dyDescent="0.25">
      <c r="A12211" s="7" t="s">
        <v>24736</v>
      </c>
      <c r="B12211" s="8">
        <v>393.75</v>
      </c>
      <c r="C12211" s="8">
        <v>20.478950000000001</v>
      </c>
      <c r="D12211" s="8">
        <v>87</v>
      </c>
      <c r="E12211" s="8">
        <v>0</v>
      </c>
      <c r="F12211" s="8">
        <v>0</v>
      </c>
      <c r="G12211" s="8">
        <v>8</v>
      </c>
      <c r="H12211" s="8" t="s">
        <v>24737</v>
      </c>
      <c r="I12211" s="8">
        <v>526.6875</v>
      </c>
      <c r="J12211" s="3">
        <f t="shared" si="190"/>
        <v>43748.384877569442</v>
      </c>
    </row>
    <row r="12212" spans="1:10" x14ac:dyDescent="0.25">
      <c r="A12212" s="5" t="s">
        <v>24738</v>
      </c>
      <c r="B12212" s="6">
        <v>393.75</v>
      </c>
      <c r="C12212" s="6">
        <v>20.478950000000001</v>
      </c>
      <c r="D12212" s="6">
        <v>86</v>
      </c>
      <c r="E12212" s="6">
        <v>0</v>
      </c>
      <c r="F12212" s="6">
        <v>0</v>
      </c>
      <c r="G12212" s="6">
        <v>12</v>
      </c>
      <c r="H12212" s="6" t="s">
        <v>24739</v>
      </c>
      <c r="I12212" s="6">
        <v>526.6875</v>
      </c>
      <c r="J12212" s="2">
        <f t="shared" si="190"/>
        <v>43748.384949583335</v>
      </c>
    </row>
    <row r="12213" spans="1:10" x14ac:dyDescent="0.25">
      <c r="A12213" s="7" t="s">
        <v>24740</v>
      </c>
      <c r="B12213" s="8">
        <v>396.875</v>
      </c>
      <c r="C12213" s="8">
        <v>20.478950000000001</v>
      </c>
      <c r="D12213" s="8">
        <v>86</v>
      </c>
      <c r="E12213" s="8">
        <v>0</v>
      </c>
      <c r="F12213" s="8">
        <v>0</v>
      </c>
      <c r="G12213" s="8">
        <v>19</v>
      </c>
      <c r="H12213" s="8" t="s">
        <v>24741</v>
      </c>
      <c r="I12213" s="8">
        <v>527.4375</v>
      </c>
      <c r="J12213" s="3">
        <f t="shared" si="190"/>
        <v>43748.385020173613</v>
      </c>
    </row>
    <row r="12214" spans="1:10" x14ac:dyDescent="0.25">
      <c r="A12214" s="5" t="s">
        <v>24742</v>
      </c>
      <c r="B12214" s="6">
        <v>396.875</v>
      </c>
      <c r="C12214" s="6">
        <v>20.478950000000001</v>
      </c>
      <c r="D12214" s="6">
        <v>87</v>
      </c>
      <c r="E12214" s="6">
        <v>0</v>
      </c>
      <c r="F12214" s="6">
        <v>0</v>
      </c>
      <c r="G12214" s="6">
        <v>7</v>
      </c>
      <c r="H12214" s="6" t="s">
        <v>24743</v>
      </c>
      <c r="I12214" s="6">
        <v>527.4375</v>
      </c>
      <c r="J12214" s="2">
        <f t="shared" si="190"/>
        <v>43748.385092453704</v>
      </c>
    </row>
    <row r="12215" spans="1:10" x14ac:dyDescent="0.25">
      <c r="A12215" s="7" t="s">
        <v>24744</v>
      </c>
      <c r="B12215" s="8">
        <v>396.875</v>
      </c>
      <c r="C12215" s="8">
        <v>20.478950000000001</v>
      </c>
      <c r="D12215" s="8">
        <v>85</v>
      </c>
      <c r="E12215" s="8">
        <v>0</v>
      </c>
      <c r="F12215" s="8">
        <v>0</v>
      </c>
      <c r="G12215" s="8">
        <v>8</v>
      </c>
      <c r="H12215" s="8" t="s">
        <v>24745</v>
      </c>
      <c r="I12215" s="8">
        <v>527.4375</v>
      </c>
      <c r="J12215" s="3">
        <f t="shared" si="190"/>
        <v>43748.385163692124</v>
      </c>
    </row>
    <row r="12216" spans="1:10" x14ac:dyDescent="0.25">
      <c r="A12216" s="5" t="s">
        <v>24746</v>
      </c>
      <c r="B12216" s="6">
        <v>400</v>
      </c>
      <c r="C12216" s="6">
        <v>20.478950000000001</v>
      </c>
      <c r="D12216" s="6">
        <v>87</v>
      </c>
      <c r="E12216" s="6">
        <v>0</v>
      </c>
      <c r="F12216" s="6">
        <v>0</v>
      </c>
      <c r="G12216" s="6">
        <v>14</v>
      </c>
      <c r="H12216" s="6" t="s">
        <v>24747</v>
      </c>
      <c r="I12216" s="6">
        <v>528.1875</v>
      </c>
      <c r="J12216" s="2">
        <f t="shared" si="190"/>
        <v>43748.385235162037</v>
      </c>
    </row>
    <row r="12217" spans="1:10" x14ac:dyDescent="0.25">
      <c r="A12217" s="7" t="s">
        <v>24748</v>
      </c>
      <c r="B12217" s="8">
        <v>400</v>
      </c>
      <c r="C12217" s="8">
        <v>20.478950000000001</v>
      </c>
      <c r="D12217" s="8">
        <v>87</v>
      </c>
      <c r="E12217" s="8">
        <v>0</v>
      </c>
      <c r="F12217" s="8">
        <v>0</v>
      </c>
      <c r="G12217" s="8">
        <v>9</v>
      </c>
      <c r="H12217" s="8" t="s">
        <v>24749</v>
      </c>
      <c r="I12217" s="8">
        <v>528.1875</v>
      </c>
      <c r="J12217" s="3">
        <f t="shared" si="190"/>
        <v>43748.385307094904</v>
      </c>
    </row>
    <row r="12218" spans="1:10" x14ac:dyDescent="0.25">
      <c r="A12218" s="5" t="s">
        <v>24750</v>
      </c>
      <c r="B12218" s="6">
        <v>415.625</v>
      </c>
      <c r="C12218" s="6">
        <v>20.478950000000001</v>
      </c>
      <c r="D12218" s="6">
        <v>88</v>
      </c>
      <c r="E12218" s="6">
        <v>0</v>
      </c>
      <c r="F12218" s="6">
        <v>0</v>
      </c>
      <c r="G12218" s="6">
        <v>11</v>
      </c>
      <c r="H12218" s="6" t="s">
        <v>24751</v>
      </c>
      <c r="I12218" s="6">
        <v>533.8125</v>
      </c>
      <c r="J12218" s="2">
        <f t="shared" si="190"/>
        <v>43748.385378379629</v>
      </c>
    </row>
    <row r="12219" spans="1:10" x14ac:dyDescent="0.25">
      <c r="A12219" s="7" t="s">
        <v>24752</v>
      </c>
      <c r="B12219" s="8">
        <v>403.125</v>
      </c>
      <c r="C12219" s="8">
        <v>20.478950000000001</v>
      </c>
      <c r="D12219" s="8">
        <v>88</v>
      </c>
      <c r="E12219" s="8">
        <v>0</v>
      </c>
      <c r="F12219" s="8">
        <v>0</v>
      </c>
      <c r="G12219" s="8">
        <v>0</v>
      </c>
      <c r="H12219" s="8" t="s">
        <v>24753</v>
      </c>
      <c r="I12219" s="8">
        <v>529.125</v>
      </c>
      <c r="J12219" s="3">
        <f t="shared" si="190"/>
        <v>43748.385449791669</v>
      </c>
    </row>
    <row r="12220" spans="1:10" x14ac:dyDescent="0.25">
      <c r="A12220" s="5" t="s">
        <v>24754</v>
      </c>
      <c r="B12220" s="6">
        <v>403.125</v>
      </c>
      <c r="C12220" s="6">
        <v>20.478950000000001</v>
      </c>
      <c r="D12220" s="6">
        <v>88</v>
      </c>
      <c r="E12220" s="6">
        <v>0</v>
      </c>
      <c r="F12220" s="6">
        <v>0</v>
      </c>
      <c r="G12220" s="6">
        <v>13</v>
      </c>
      <c r="H12220" s="6" t="s">
        <v>24755</v>
      </c>
      <c r="I12220" s="6">
        <v>529.125</v>
      </c>
      <c r="J12220" s="2">
        <f t="shared" si="190"/>
        <v>43748.385521307871</v>
      </c>
    </row>
    <row r="12221" spans="1:10" x14ac:dyDescent="0.25">
      <c r="A12221" s="7" t="s">
        <v>24756</v>
      </c>
      <c r="B12221" s="8">
        <v>400</v>
      </c>
      <c r="C12221" s="8">
        <v>20.478950000000001</v>
      </c>
      <c r="D12221" s="8">
        <v>88</v>
      </c>
      <c r="E12221" s="8">
        <v>0</v>
      </c>
      <c r="F12221" s="8">
        <v>0</v>
      </c>
      <c r="G12221" s="8">
        <v>3</v>
      </c>
      <c r="H12221" s="8" t="s">
        <v>24757</v>
      </c>
      <c r="I12221" s="8">
        <v>528.375</v>
      </c>
      <c r="J12221" s="3">
        <f t="shared" si="190"/>
        <v>43748.385605393516</v>
      </c>
    </row>
    <row r="12222" spans="1:10" x14ac:dyDescent="0.25">
      <c r="A12222" s="5" t="s">
        <v>24758</v>
      </c>
      <c r="B12222" s="6">
        <v>400</v>
      </c>
      <c r="C12222" s="6">
        <v>20.478950000000001</v>
      </c>
      <c r="D12222" s="6">
        <v>88</v>
      </c>
      <c r="E12222" s="6">
        <v>0</v>
      </c>
      <c r="F12222" s="6">
        <v>0</v>
      </c>
      <c r="G12222" s="6">
        <v>2</v>
      </c>
      <c r="H12222" s="6" t="s">
        <v>24759</v>
      </c>
      <c r="I12222" s="6">
        <v>528.375</v>
      </c>
      <c r="J12222" s="2">
        <f t="shared" si="190"/>
        <v>43748.385676979167</v>
      </c>
    </row>
    <row r="12223" spans="1:10" x14ac:dyDescent="0.25">
      <c r="A12223" s="7" t="s">
        <v>24760</v>
      </c>
      <c r="B12223" s="8">
        <v>400</v>
      </c>
      <c r="C12223" s="8">
        <v>20.478950000000001</v>
      </c>
      <c r="D12223" s="8">
        <v>89</v>
      </c>
      <c r="E12223" s="8">
        <v>0</v>
      </c>
      <c r="F12223" s="8">
        <v>0</v>
      </c>
      <c r="G12223" s="8">
        <v>5</v>
      </c>
      <c r="H12223" s="8" t="s">
        <v>24761</v>
      </c>
      <c r="I12223" s="8">
        <v>528.375</v>
      </c>
      <c r="J12223" s="3">
        <f t="shared" si="190"/>
        <v>43748.385747974535</v>
      </c>
    </row>
    <row r="12224" spans="1:10" x14ac:dyDescent="0.25">
      <c r="A12224" s="5" t="s">
        <v>24762</v>
      </c>
      <c r="B12224" s="6">
        <v>396.875</v>
      </c>
      <c r="C12224" s="6">
        <v>20.478950000000001</v>
      </c>
      <c r="D12224" s="6">
        <v>89</v>
      </c>
      <c r="E12224" s="6">
        <v>0</v>
      </c>
      <c r="F12224" s="6">
        <v>0</v>
      </c>
      <c r="G12224" s="6">
        <v>9</v>
      </c>
      <c r="H12224" s="6" t="s">
        <v>24763</v>
      </c>
      <c r="I12224" s="6">
        <v>527.4375</v>
      </c>
      <c r="J12224" s="2">
        <f t="shared" si="190"/>
        <v>43748.385820439813</v>
      </c>
    </row>
    <row r="12225" spans="1:10" x14ac:dyDescent="0.25">
      <c r="A12225" s="7" t="s">
        <v>24764</v>
      </c>
      <c r="B12225" s="8">
        <v>396.875</v>
      </c>
      <c r="C12225" s="8">
        <v>20.478950000000001</v>
      </c>
      <c r="D12225" s="8">
        <v>89</v>
      </c>
      <c r="E12225" s="8">
        <v>0</v>
      </c>
      <c r="F12225" s="8">
        <v>0</v>
      </c>
      <c r="G12225" s="8">
        <v>8</v>
      </c>
      <c r="H12225" s="8" t="s">
        <v>24765</v>
      </c>
      <c r="I12225" s="8">
        <v>527.4375</v>
      </c>
      <c r="J12225" s="3">
        <f t="shared" si="190"/>
        <v>43748.385890821759</v>
      </c>
    </row>
    <row r="12226" spans="1:10" x14ac:dyDescent="0.25">
      <c r="A12226" s="5" t="s">
        <v>24766</v>
      </c>
      <c r="B12226" s="6">
        <v>393.75</v>
      </c>
      <c r="C12226" s="6">
        <v>20.478950000000001</v>
      </c>
      <c r="D12226" s="6">
        <v>89</v>
      </c>
      <c r="E12226" s="6">
        <v>0</v>
      </c>
      <c r="F12226" s="6">
        <v>0</v>
      </c>
      <c r="G12226" s="6">
        <v>4</v>
      </c>
      <c r="H12226" s="6" t="s">
        <v>24767</v>
      </c>
      <c r="I12226" s="6">
        <v>526.6875</v>
      </c>
      <c r="J12226" s="2">
        <f t="shared" ref="J12226:J12289" si="191">(H12226/86400000)+25569+(7/24)</f>
        <v>43748.385974733792</v>
      </c>
    </row>
    <row r="12227" spans="1:10" x14ac:dyDescent="0.25">
      <c r="A12227" s="7" t="s">
        <v>24768</v>
      </c>
      <c r="B12227" s="8">
        <v>393.75</v>
      </c>
      <c r="C12227" s="8">
        <v>20.478950000000001</v>
      </c>
      <c r="D12227" s="8">
        <v>89</v>
      </c>
      <c r="E12227" s="8">
        <v>0</v>
      </c>
      <c r="F12227" s="8">
        <v>0</v>
      </c>
      <c r="G12227" s="8">
        <v>6</v>
      </c>
      <c r="H12227" s="8" t="s">
        <v>24769</v>
      </c>
      <c r="I12227" s="8">
        <v>526.6875</v>
      </c>
      <c r="J12227" s="3">
        <f t="shared" si="191"/>
        <v>43748.386046134256</v>
      </c>
    </row>
    <row r="12228" spans="1:10" x14ac:dyDescent="0.25">
      <c r="A12228" s="5" t="s">
        <v>24770</v>
      </c>
      <c r="B12228" s="6">
        <v>393.75</v>
      </c>
      <c r="C12228" s="6">
        <v>20.478950000000001</v>
      </c>
      <c r="D12228" s="6">
        <v>89</v>
      </c>
      <c r="E12228" s="6">
        <v>0</v>
      </c>
      <c r="F12228" s="6">
        <v>0</v>
      </c>
      <c r="G12228" s="6">
        <v>0</v>
      </c>
      <c r="H12228" s="6" t="s">
        <v>24771</v>
      </c>
      <c r="I12228" s="6">
        <v>526.6875</v>
      </c>
      <c r="J12228" s="2">
        <f t="shared" si="191"/>
        <v>43748.386117442125</v>
      </c>
    </row>
    <row r="12229" spans="1:10" x14ac:dyDescent="0.25">
      <c r="A12229" s="7" t="s">
        <v>24772</v>
      </c>
      <c r="B12229" s="8">
        <v>425</v>
      </c>
      <c r="C12229" s="8">
        <v>20.478950000000001</v>
      </c>
      <c r="D12229" s="8">
        <v>89</v>
      </c>
      <c r="E12229" s="8">
        <v>0</v>
      </c>
      <c r="F12229" s="8">
        <v>0</v>
      </c>
      <c r="G12229" s="8">
        <v>6</v>
      </c>
      <c r="H12229" s="8" t="s">
        <v>24773</v>
      </c>
      <c r="I12229" s="8">
        <v>536.25</v>
      </c>
      <c r="J12229" s="3">
        <f t="shared" si="191"/>
        <v>43748.386189652774</v>
      </c>
    </row>
    <row r="12230" spans="1:10" x14ac:dyDescent="0.25">
      <c r="A12230" s="5" t="s">
        <v>24774</v>
      </c>
      <c r="B12230" s="6">
        <v>393.75</v>
      </c>
      <c r="C12230" s="6">
        <v>20.478950000000001</v>
      </c>
      <c r="D12230" s="6">
        <v>89</v>
      </c>
      <c r="E12230" s="6">
        <v>0</v>
      </c>
      <c r="F12230" s="6">
        <v>0</v>
      </c>
      <c r="G12230" s="6">
        <v>7</v>
      </c>
      <c r="H12230" s="6" t="s">
        <v>24775</v>
      </c>
      <c r="I12230" s="6">
        <v>526.6875</v>
      </c>
      <c r="J12230" s="2">
        <f t="shared" si="191"/>
        <v>43748.386260949068</v>
      </c>
    </row>
    <row r="12231" spans="1:10" x14ac:dyDescent="0.25">
      <c r="A12231" s="7" t="s">
        <v>24776</v>
      </c>
      <c r="B12231" s="8">
        <v>393.75</v>
      </c>
      <c r="C12231" s="8">
        <v>20.478950000000001</v>
      </c>
      <c r="D12231" s="8">
        <v>89</v>
      </c>
      <c r="E12231" s="8">
        <v>0</v>
      </c>
      <c r="F12231" s="8">
        <v>0</v>
      </c>
      <c r="G12231" s="8">
        <v>6</v>
      </c>
      <c r="H12231" s="8" t="s">
        <v>24777</v>
      </c>
      <c r="I12231" s="8">
        <v>526.6875</v>
      </c>
      <c r="J12231" s="3">
        <f t="shared" si="191"/>
        <v>43748.38634532407</v>
      </c>
    </row>
    <row r="12232" spans="1:10" x14ac:dyDescent="0.25">
      <c r="A12232" s="5" t="s">
        <v>24778</v>
      </c>
      <c r="B12232" s="6">
        <v>393.75</v>
      </c>
      <c r="C12232" s="6">
        <v>20.478950000000001</v>
      </c>
      <c r="D12232" s="6">
        <v>89</v>
      </c>
      <c r="E12232" s="6">
        <v>0</v>
      </c>
      <c r="F12232" s="6">
        <v>0</v>
      </c>
      <c r="G12232" s="6">
        <v>11</v>
      </c>
      <c r="H12232" s="6" t="s">
        <v>24779</v>
      </c>
      <c r="I12232" s="6">
        <v>526.6875</v>
      </c>
      <c r="J12232" s="2">
        <f t="shared" si="191"/>
        <v>43748.386427569443</v>
      </c>
    </row>
    <row r="12233" spans="1:10" x14ac:dyDescent="0.25">
      <c r="A12233" s="7" t="s">
        <v>24780</v>
      </c>
      <c r="B12233" s="8">
        <v>393.75</v>
      </c>
      <c r="C12233" s="8">
        <v>20.478950000000001</v>
      </c>
      <c r="D12233" s="8">
        <v>89</v>
      </c>
      <c r="E12233" s="8">
        <v>0</v>
      </c>
      <c r="F12233" s="8">
        <v>0</v>
      </c>
      <c r="G12233" s="8">
        <v>14</v>
      </c>
      <c r="H12233" s="8" t="s">
        <v>24781</v>
      </c>
      <c r="I12233" s="8">
        <v>526.6875</v>
      </c>
      <c r="J12233" s="3">
        <f t="shared" si="191"/>
        <v>43748.386499270833</v>
      </c>
    </row>
    <row r="12234" spans="1:10" x14ac:dyDescent="0.25">
      <c r="A12234" s="5" t="s">
        <v>24782</v>
      </c>
      <c r="B12234" s="6">
        <v>393.75</v>
      </c>
      <c r="C12234" s="6">
        <v>20.478950000000001</v>
      </c>
      <c r="D12234" s="6">
        <v>89</v>
      </c>
      <c r="E12234" s="6">
        <v>0</v>
      </c>
      <c r="F12234" s="6">
        <v>0</v>
      </c>
      <c r="G12234" s="6">
        <v>0</v>
      </c>
      <c r="H12234" s="6" t="s">
        <v>24783</v>
      </c>
      <c r="I12234" s="6">
        <v>526.6875</v>
      </c>
      <c r="J12234" s="2">
        <f t="shared" si="191"/>
        <v>43748.386570636569</v>
      </c>
    </row>
    <row r="12235" spans="1:10" x14ac:dyDescent="0.25">
      <c r="A12235" s="7" t="s">
        <v>24784</v>
      </c>
      <c r="B12235" s="8">
        <v>393.75</v>
      </c>
      <c r="C12235" s="8">
        <v>20.478950000000001</v>
      </c>
      <c r="D12235" s="8">
        <v>90</v>
      </c>
      <c r="E12235" s="8">
        <v>0</v>
      </c>
      <c r="F12235" s="8">
        <v>0</v>
      </c>
      <c r="G12235" s="8">
        <v>13</v>
      </c>
      <c r="H12235" s="8" t="s">
        <v>24785</v>
      </c>
      <c r="I12235" s="8">
        <v>526.6875</v>
      </c>
      <c r="J12235" s="3">
        <f t="shared" si="191"/>
        <v>43748.386642083329</v>
      </c>
    </row>
    <row r="12236" spans="1:10" x14ac:dyDescent="0.25">
      <c r="A12236" s="5" t="s">
        <v>24786</v>
      </c>
      <c r="B12236" s="6">
        <v>412.5</v>
      </c>
      <c r="C12236" s="6">
        <v>20.478950000000001</v>
      </c>
      <c r="D12236" s="6">
        <v>90</v>
      </c>
      <c r="E12236" s="6">
        <v>0</v>
      </c>
      <c r="F12236" s="6">
        <v>0</v>
      </c>
      <c r="G12236" s="6">
        <v>22</v>
      </c>
      <c r="H12236" s="6" t="s">
        <v>24787</v>
      </c>
      <c r="I12236" s="6">
        <v>532.5</v>
      </c>
      <c r="J12236" s="2">
        <f t="shared" si="191"/>
        <v>43748.386713368054</v>
      </c>
    </row>
    <row r="12237" spans="1:10" x14ac:dyDescent="0.25">
      <c r="A12237" s="7" t="s">
        <v>24788</v>
      </c>
      <c r="B12237" s="8">
        <v>393.75</v>
      </c>
      <c r="C12237" s="8">
        <v>20.478950000000001</v>
      </c>
      <c r="D12237" s="8">
        <v>90</v>
      </c>
      <c r="E12237" s="8">
        <v>0</v>
      </c>
      <c r="F12237" s="8">
        <v>0</v>
      </c>
      <c r="G12237" s="8">
        <v>17</v>
      </c>
      <c r="H12237" s="8" t="s">
        <v>24789</v>
      </c>
      <c r="I12237" s="8">
        <v>526.5</v>
      </c>
      <c r="J12237" s="3">
        <f t="shared" si="191"/>
        <v>43748.386785358794</v>
      </c>
    </row>
    <row r="12238" spans="1:10" x14ac:dyDescent="0.25">
      <c r="A12238" s="5" t="s">
        <v>24790</v>
      </c>
      <c r="B12238" s="6">
        <v>393.75</v>
      </c>
      <c r="C12238" s="6">
        <v>20.478950000000001</v>
      </c>
      <c r="D12238" s="6">
        <v>92</v>
      </c>
      <c r="E12238" s="6">
        <v>0</v>
      </c>
      <c r="F12238" s="6">
        <v>0</v>
      </c>
      <c r="G12238" s="6">
        <v>12</v>
      </c>
      <c r="H12238" s="6" t="s">
        <v>24791</v>
      </c>
      <c r="I12238" s="6">
        <v>526.6875</v>
      </c>
      <c r="J12238" s="2">
        <f t="shared" si="191"/>
        <v>43748.386857013887</v>
      </c>
    </row>
    <row r="12239" spans="1:10" x14ac:dyDescent="0.25">
      <c r="A12239" s="7" t="s">
        <v>24792</v>
      </c>
      <c r="B12239" s="8">
        <v>396.875</v>
      </c>
      <c r="C12239" s="8">
        <v>20.478950000000001</v>
      </c>
      <c r="D12239" s="8">
        <v>92</v>
      </c>
      <c r="E12239" s="8">
        <v>0</v>
      </c>
      <c r="F12239" s="8">
        <v>0</v>
      </c>
      <c r="G12239" s="8">
        <v>11</v>
      </c>
      <c r="H12239" s="8" t="s">
        <v>24793</v>
      </c>
      <c r="I12239" s="8">
        <v>527.4375</v>
      </c>
      <c r="J12239" s="3">
        <f t="shared" si="191"/>
        <v>43748.386928761574</v>
      </c>
    </row>
    <row r="12240" spans="1:10" x14ac:dyDescent="0.25">
      <c r="A12240" s="5" t="s">
        <v>24794</v>
      </c>
      <c r="B12240" s="6">
        <v>396.875</v>
      </c>
      <c r="C12240" s="6">
        <v>20.478950000000001</v>
      </c>
      <c r="D12240" s="6">
        <v>93</v>
      </c>
      <c r="E12240" s="6">
        <v>0</v>
      </c>
      <c r="F12240" s="6">
        <v>0</v>
      </c>
      <c r="G12240" s="6">
        <v>11</v>
      </c>
      <c r="H12240" s="6" t="s">
        <v>24795</v>
      </c>
      <c r="I12240" s="6">
        <v>527.4375</v>
      </c>
      <c r="J12240" s="2">
        <f t="shared" si="191"/>
        <v>43748.386999907401</v>
      </c>
    </row>
    <row r="12241" spans="1:10" x14ac:dyDescent="0.25">
      <c r="A12241" s="7" t="s">
        <v>24796</v>
      </c>
      <c r="B12241" s="8">
        <v>393.75</v>
      </c>
      <c r="C12241" s="8">
        <v>20.478950000000001</v>
      </c>
      <c r="D12241" s="8">
        <v>92</v>
      </c>
      <c r="E12241" s="8">
        <v>0</v>
      </c>
      <c r="F12241" s="8">
        <v>0</v>
      </c>
      <c r="G12241" s="8">
        <v>12</v>
      </c>
      <c r="H12241" s="8" t="s">
        <v>24797</v>
      </c>
      <c r="I12241" s="8">
        <v>526.6875</v>
      </c>
      <c r="J12241" s="3">
        <f t="shared" si="191"/>
        <v>43748.387083240734</v>
      </c>
    </row>
    <row r="12242" spans="1:10" x14ac:dyDescent="0.25">
      <c r="A12242" s="5" t="s">
        <v>24798</v>
      </c>
      <c r="B12242" s="6">
        <v>393.75</v>
      </c>
      <c r="C12242" s="6">
        <v>20.478950000000001</v>
      </c>
      <c r="D12242" s="6">
        <v>92</v>
      </c>
      <c r="E12242" s="6">
        <v>0</v>
      </c>
      <c r="F12242" s="6">
        <v>0</v>
      </c>
      <c r="G12242" s="6">
        <v>10</v>
      </c>
      <c r="H12242" s="6" t="s">
        <v>24799</v>
      </c>
      <c r="I12242" s="6">
        <v>526.6875</v>
      </c>
      <c r="J12242" s="2">
        <f t="shared" si="191"/>
        <v>43748.387164699066</v>
      </c>
    </row>
    <row r="12243" spans="1:10" x14ac:dyDescent="0.25">
      <c r="A12243" s="7" t="s">
        <v>24800</v>
      </c>
      <c r="B12243" s="8">
        <v>428.125</v>
      </c>
      <c r="C12243" s="8">
        <v>20.478950000000001</v>
      </c>
      <c r="D12243" s="8">
        <v>93</v>
      </c>
      <c r="E12243" s="8">
        <v>0</v>
      </c>
      <c r="F12243" s="8">
        <v>0</v>
      </c>
      <c r="G12243" s="8">
        <v>5</v>
      </c>
      <c r="H12243" s="8" t="s">
        <v>24801</v>
      </c>
      <c r="I12243" s="8">
        <v>537.9375</v>
      </c>
      <c r="J12243" s="3">
        <f t="shared" si="191"/>
        <v>43748.38723836805</v>
      </c>
    </row>
    <row r="12244" spans="1:10" x14ac:dyDescent="0.25">
      <c r="A12244" s="5" t="s">
        <v>24802</v>
      </c>
      <c r="B12244" s="6">
        <v>396.875</v>
      </c>
      <c r="C12244" s="6">
        <v>20.478950000000001</v>
      </c>
      <c r="D12244" s="6">
        <v>93</v>
      </c>
      <c r="E12244" s="6">
        <v>0</v>
      </c>
      <c r="F12244" s="6">
        <v>0</v>
      </c>
      <c r="G12244" s="6">
        <v>19</v>
      </c>
      <c r="H12244" s="6" t="s">
        <v>24803</v>
      </c>
      <c r="I12244" s="6">
        <v>527.4375</v>
      </c>
      <c r="J12244" s="2">
        <f t="shared" si="191"/>
        <v>43748.387310497681</v>
      </c>
    </row>
    <row r="12245" spans="1:10" x14ac:dyDescent="0.25">
      <c r="A12245" s="7" t="s">
        <v>24804</v>
      </c>
      <c r="B12245" s="8">
        <v>396.875</v>
      </c>
      <c r="C12245" s="8">
        <v>20.478950000000001</v>
      </c>
      <c r="D12245" s="8">
        <v>92</v>
      </c>
      <c r="E12245" s="8">
        <v>0</v>
      </c>
      <c r="F12245" s="8">
        <v>0</v>
      </c>
      <c r="G12245" s="8">
        <v>18</v>
      </c>
      <c r="H12245" s="8" t="s">
        <v>24805</v>
      </c>
      <c r="I12245" s="8">
        <v>527.4375</v>
      </c>
      <c r="J12245" s="3">
        <f t="shared" si="191"/>
        <v>43748.387381782406</v>
      </c>
    </row>
    <row r="12246" spans="1:10" x14ac:dyDescent="0.25">
      <c r="A12246" s="5" t="s">
        <v>24806</v>
      </c>
      <c r="B12246" s="6">
        <v>393.75</v>
      </c>
      <c r="C12246" s="6">
        <v>20.478950000000001</v>
      </c>
      <c r="D12246" s="6">
        <v>90</v>
      </c>
      <c r="E12246" s="6">
        <v>0</v>
      </c>
      <c r="F12246" s="6">
        <v>0</v>
      </c>
      <c r="G12246" s="6">
        <v>21</v>
      </c>
      <c r="H12246" s="6" t="s">
        <v>24807</v>
      </c>
      <c r="I12246" s="6">
        <v>526.6875</v>
      </c>
      <c r="J12246" s="2">
        <f t="shared" si="191"/>
        <v>43748.387453136573</v>
      </c>
    </row>
    <row r="12247" spans="1:10" x14ac:dyDescent="0.25">
      <c r="A12247" s="7" t="s">
        <v>24808</v>
      </c>
      <c r="B12247" s="8">
        <v>393.75</v>
      </c>
      <c r="C12247" s="8">
        <v>20.478950000000001</v>
      </c>
      <c r="D12247" s="8">
        <v>90</v>
      </c>
      <c r="E12247" s="8">
        <v>0</v>
      </c>
      <c r="F12247" s="8">
        <v>0</v>
      </c>
      <c r="G12247" s="8">
        <v>11</v>
      </c>
      <c r="H12247" s="8" t="s">
        <v>24809</v>
      </c>
      <c r="I12247" s="8">
        <v>526.6875</v>
      </c>
      <c r="J12247" s="3">
        <f t="shared" si="191"/>
        <v>43748.387524652775</v>
      </c>
    </row>
    <row r="12248" spans="1:10" x14ac:dyDescent="0.25">
      <c r="A12248" s="5" t="s">
        <v>24810</v>
      </c>
      <c r="B12248" s="6">
        <v>393.75</v>
      </c>
      <c r="C12248" s="6">
        <v>20.478950000000001</v>
      </c>
      <c r="D12248" s="6">
        <v>89</v>
      </c>
      <c r="E12248" s="6">
        <v>0</v>
      </c>
      <c r="F12248" s="6">
        <v>0</v>
      </c>
      <c r="G12248" s="6">
        <v>20</v>
      </c>
      <c r="H12248" s="6" t="s">
        <v>24811</v>
      </c>
      <c r="I12248" s="6">
        <v>526.5</v>
      </c>
      <c r="J12248" s="2">
        <f t="shared" si="191"/>
        <v>43748.387607986107</v>
      </c>
    </row>
    <row r="12249" spans="1:10" x14ac:dyDescent="0.25">
      <c r="A12249" s="7" t="s">
        <v>24812</v>
      </c>
      <c r="B12249" s="8">
        <v>393.75</v>
      </c>
      <c r="C12249" s="8">
        <v>20.478950000000001</v>
      </c>
      <c r="D12249" s="8">
        <v>90</v>
      </c>
      <c r="E12249" s="8">
        <v>0</v>
      </c>
      <c r="F12249" s="8">
        <v>0</v>
      </c>
      <c r="G12249" s="8">
        <v>14</v>
      </c>
      <c r="H12249" s="8" t="s">
        <v>24813</v>
      </c>
      <c r="I12249" s="8">
        <v>526.6875</v>
      </c>
      <c r="J12249" s="3">
        <f t="shared" si="191"/>
        <v>43748.387679988424</v>
      </c>
    </row>
    <row r="12250" spans="1:10" x14ac:dyDescent="0.25">
      <c r="A12250" s="5" t="s">
        <v>24814</v>
      </c>
      <c r="B12250" s="6">
        <v>393.75</v>
      </c>
      <c r="C12250" s="6">
        <v>20.478950000000001</v>
      </c>
      <c r="D12250" s="6">
        <v>90</v>
      </c>
      <c r="E12250" s="6">
        <v>0</v>
      </c>
      <c r="F12250" s="6">
        <v>0</v>
      </c>
      <c r="G12250" s="6">
        <v>21</v>
      </c>
      <c r="H12250" s="6" t="s">
        <v>24815</v>
      </c>
      <c r="I12250" s="6">
        <v>526.6875</v>
      </c>
      <c r="J12250" s="2">
        <f t="shared" si="191"/>
        <v>43748.387751296294</v>
      </c>
    </row>
    <row r="12251" spans="1:10" x14ac:dyDescent="0.25">
      <c r="A12251" s="7" t="s">
        <v>24816</v>
      </c>
      <c r="B12251" s="8">
        <v>409.375</v>
      </c>
      <c r="C12251" s="8">
        <v>20.478950000000001</v>
      </c>
      <c r="D12251" s="8">
        <v>90</v>
      </c>
      <c r="E12251" s="8">
        <v>0</v>
      </c>
      <c r="F12251" s="8">
        <v>0</v>
      </c>
      <c r="G12251" s="8">
        <v>15</v>
      </c>
      <c r="H12251" s="8" t="s">
        <v>24817</v>
      </c>
      <c r="I12251" s="8">
        <v>531.375</v>
      </c>
      <c r="J12251" s="3">
        <f t="shared" si="191"/>
        <v>43748.38782265046</v>
      </c>
    </row>
    <row r="12252" spans="1:10" x14ac:dyDescent="0.25">
      <c r="A12252" s="5" t="s">
        <v>24818</v>
      </c>
      <c r="B12252" s="6">
        <v>396.875</v>
      </c>
      <c r="C12252" s="6">
        <v>20.478950000000001</v>
      </c>
      <c r="D12252" s="6">
        <v>92</v>
      </c>
      <c r="E12252" s="6">
        <v>0</v>
      </c>
      <c r="F12252" s="6">
        <v>0</v>
      </c>
      <c r="G12252" s="6">
        <v>19</v>
      </c>
      <c r="H12252" s="6" t="s">
        <v>24819</v>
      </c>
      <c r="I12252" s="6">
        <v>527.25</v>
      </c>
      <c r="J12252" s="2">
        <f t="shared" si="191"/>
        <v>43748.38789445602</v>
      </c>
    </row>
    <row r="12253" spans="1:10" x14ac:dyDescent="0.25">
      <c r="A12253" s="7" t="s">
        <v>24820</v>
      </c>
      <c r="B12253" s="8">
        <v>396.875</v>
      </c>
      <c r="C12253" s="8">
        <v>20.478950000000001</v>
      </c>
      <c r="D12253" s="8">
        <v>94</v>
      </c>
      <c r="E12253" s="8">
        <v>0</v>
      </c>
      <c r="F12253" s="8">
        <v>0</v>
      </c>
      <c r="G12253" s="8">
        <v>19</v>
      </c>
      <c r="H12253" s="8" t="s">
        <v>24821</v>
      </c>
      <c r="I12253" s="8">
        <v>527.4375</v>
      </c>
      <c r="J12253" s="3">
        <f t="shared" si="191"/>
        <v>43748.387966111106</v>
      </c>
    </row>
    <row r="12254" spans="1:10" x14ac:dyDescent="0.25">
      <c r="A12254" s="5" t="s">
        <v>24822</v>
      </c>
      <c r="B12254" s="6">
        <v>393.75</v>
      </c>
      <c r="C12254" s="6">
        <v>20.478950000000001</v>
      </c>
      <c r="D12254" s="6">
        <v>94</v>
      </c>
      <c r="E12254" s="6">
        <v>0</v>
      </c>
      <c r="F12254" s="6">
        <v>0</v>
      </c>
      <c r="G12254" s="6">
        <v>21</v>
      </c>
      <c r="H12254" s="6" t="s">
        <v>24823</v>
      </c>
      <c r="I12254" s="6">
        <v>526.6875</v>
      </c>
      <c r="J12254" s="2">
        <f t="shared" si="191"/>
        <v>43748.388037557866</v>
      </c>
    </row>
    <row r="12255" spans="1:10" x14ac:dyDescent="0.25">
      <c r="A12255" s="7" t="s">
        <v>24824</v>
      </c>
      <c r="B12255" s="8">
        <v>396.875</v>
      </c>
      <c r="C12255" s="8">
        <v>20.478950000000001</v>
      </c>
      <c r="D12255" s="8">
        <v>94</v>
      </c>
      <c r="E12255" s="8">
        <v>0</v>
      </c>
      <c r="F12255" s="8">
        <v>0</v>
      </c>
      <c r="G12255" s="8">
        <v>12</v>
      </c>
      <c r="H12255" s="8" t="s">
        <v>24825</v>
      </c>
      <c r="I12255" s="8">
        <v>527.4375</v>
      </c>
      <c r="J12255" s="3">
        <f t="shared" si="191"/>
        <v>43748.388109386571</v>
      </c>
    </row>
    <row r="12256" spans="1:10" x14ac:dyDescent="0.25">
      <c r="A12256" s="5" t="s">
        <v>24826</v>
      </c>
      <c r="B12256" s="6">
        <v>393.75</v>
      </c>
      <c r="C12256" s="6">
        <v>20.478950000000001</v>
      </c>
      <c r="D12256" s="6">
        <v>94</v>
      </c>
      <c r="E12256" s="6">
        <v>0</v>
      </c>
      <c r="F12256" s="6">
        <v>0</v>
      </c>
      <c r="G12256" s="6">
        <v>16</v>
      </c>
      <c r="H12256" s="6" t="s">
        <v>24827</v>
      </c>
      <c r="I12256" s="6">
        <v>526.6875</v>
      </c>
      <c r="J12256" s="2">
        <f t="shared" si="191"/>
        <v>43748.388180497685</v>
      </c>
    </row>
    <row r="12257" spans="1:10" x14ac:dyDescent="0.25">
      <c r="A12257" s="7" t="s">
        <v>24828</v>
      </c>
      <c r="B12257" s="8">
        <v>396.875</v>
      </c>
      <c r="C12257" s="8">
        <v>20.478950000000001</v>
      </c>
      <c r="D12257" s="8">
        <v>94</v>
      </c>
      <c r="E12257" s="8">
        <v>0</v>
      </c>
      <c r="F12257" s="8">
        <v>0</v>
      </c>
      <c r="G12257" s="8">
        <v>14</v>
      </c>
      <c r="H12257" s="8" t="s">
        <v>24829</v>
      </c>
      <c r="I12257" s="8">
        <v>527.4375</v>
      </c>
      <c r="J12257" s="3">
        <f t="shared" si="191"/>
        <v>43748.388251828706</v>
      </c>
    </row>
    <row r="12258" spans="1:10" x14ac:dyDescent="0.25">
      <c r="A12258" s="5" t="s">
        <v>24830</v>
      </c>
      <c r="B12258" s="6">
        <v>396.875</v>
      </c>
      <c r="C12258" s="6">
        <v>20.478950000000001</v>
      </c>
      <c r="D12258" s="6">
        <v>93</v>
      </c>
      <c r="E12258" s="6">
        <v>0</v>
      </c>
      <c r="F12258" s="6">
        <v>0</v>
      </c>
      <c r="G12258" s="6">
        <v>13</v>
      </c>
      <c r="H12258" s="6" t="s">
        <v>24831</v>
      </c>
      <c r="I12258" s="6">
        <v>527.4375</v>
      </c>
      <c r="J12258" s="2">
        <f t="shared" si="191"/>
        <v>43748.388323576386</v>
      </c>
    </row>
    <row r="12259" spans="1:10" x14ac:dyDescent="0.25">
      <c r="A12259" s="7" t="s">
        <v>24832</v>
      </c>
      <c r="B12259" s="8">
        <v>396.875</v>
      </c>
      <c r="C12259" s="8">
        <v>20.478950000000001</v>
      </c>
      <c r="D12259" s="8">
        <v>92</v>
      </c>
      <c r="E12259" s="8">
        <v>0</v>
      </c>
      <c r="F12259" s="8">
        <v>0</v>
      </c>
      <c r="G12259" s="8">
        <v>20</v>
      </c>
      <c r="H12259" s="8" t="s">
        <v>24833</v>
      </c>
      <c r="I12259" s="8">
        <v>527.4375</v>
      </c>
      <c r="J12259" s="3">
        <f t="shared" si="191"/>
        <v>43748.388395671289</v>
      </c>
    </row>
    <row r="12260" spans="1:10" x14ac:dyDescent="0.25">
      <c r="A12260" s="5" t="s">
        <v>24834</v>
      </c>
      <c r="B12260" s="6">
        <v>396.875</v>
      </c>
      <c r="C12260" s="6">
        <v>20.478950000000001</v>
      </c>
      <c r="D12260" s="6">
        <v>93</v>
      </c>
      <c r="E12260" s="6">
        <v>0</v>
      </c>
      <c r="F12260" s="6">
        <v>0</v>
      </c>
      <c r="G12260" s="6">
        <v>11</v>
      </c>
      <c r="H12260" s="6" t="s">
        <v>24835</v>
      </c>
      <c r="I12260" s="6">
        <v>527.4375</v>
      </c>
      <c r="J12260" s="2">
        <f t="shared" si="191"/>
        <v>43748.388466990735</v>
      </c>
    </row>
    <row r="12261" spans="1:10" x14ac:dyDescent="0.25">
      <c r="A12261" s="7" t="s">
        <v>24836</v>
      </c>
      <c r="B12261" s="8">
        <v>396.875</v>
      </c>
      <c r="C12261" s="8">
        <v>20.478950000000001</v>
      </c>
      <c r="D12261" s="8">
        <v>89</v>
      </c>
      <c r="E12261" s="8">
        <v>0</v>
      </c>
      <c r="F12261" s="8">
        <v>0</v>
      </c>
      <c r="G12261" s="8">
        <v>12</v>
      </c>
      <c r="H12261" s="8" t="s">
        <v>24837</v>
      </c>
      <c r="I12261" s="8">
        <v>527.4375</v>
      </c>
      <c r="J12261" s="3">
        <f t="shared" si="191"/>
        <v>43748.388538842592</v>
      </c>
    </row>
    <row r="12262" spans="1:10" x14ac:dyDescent="0.25">
      <c r="A12262" s="5" t="s">
        <v>24838</v>
      </c>
      <c r="B12262" s="6">
        <v>396.875</v>
      </c>
      <c r="C12262" s="6">
        <v>20.426300000000001</v>
      </c>
      <c r="D12262" s="6">
        <v>88</v>
      </c>
      <c r="E12262" s="6">
        <v>0</v>
      </c>
      <c r="F12262" s="6">
        <v>0</v>
      </c>
      <c r="G12262" s="6">
        <v>7</v>
      </c>
      <c r="H12262" s="6" t="s">
        <v>24839</v>
      </c>
      <c r="I12262" s="6">
        <v>527.4375</v>
      </c>
      <c r="J12262" s="2">
        <f t="shared" si="191"/>
        <v>43748.388610127316</v>
      </c>
    </row>
    <row r="12263" spans="1:10" x14ac:dyDescent="0.25">
      <c r="A12263" s="7" t="s">
        <v>24840</v>
      </c>
      <c r="B12263" s="8">
        <v>396.875</v>
      </c>
      <c r="C12263" s="8">
        <v>20.478950000000001</v>
      </c>
      <c r="D12263" s="8">
        <v>89</v>
      </c>
      <c r="E12263" s="8">
        <v>0</v>
      </c>
      <c r="F12263" s="8">
        <v>0</v>
      </c>
      <c r="G12263" s="8">
        <v>10</v>
      </c>
      <c r="H12263" s="8" t="s">
        <v>24841</v>
      </c>
      <c r="I12263" s="8">
        <v>527.4375</v>
      </c>
      <c r="J12263" s="3">
        <f t="shared" si="191"/>
        <v>43748.388693506939</v>
      </c>
    </row>
    <row r="12264" spans="1:10" x14ac:dyDescent="0.25">
      <c r="A12264" s="5" t="s">
        <v>24842</v>
      </c>
      <c r="B12264" s="6">
        <v>393.75</v>
      </c>
      <c r="C12264" s="6">
        <v>20.478950000000001</v>
      </c>
      <c r="D12264" s="6">
        <v>87</v>
      </c>
      <c r="E12264" s="6">
        <v>0</v>
      </c>
      <c r="F12264" s="6">
        <v>0</v>
      </c>
      <c r="G12264" s="6">
        <v>8</v>
      </c>
      <c r="H12264" s="6" t="s">
        <v>24843</v>
      </c>
      <c r="I12264" s="6">
        <v>526.6875</v>
      </c>
      <c r="J12264" s="2">
        <f t="shared" si="191"/>
        <v>43748.388776851854</v>
      </c>
    </row>
    <row r="12265" spans="1:10" x14ac:dyDescent="0.25">
      <c r="A12265" s="7" t="s">
        <v>24844</v>
      </c>
      <c r="B12265" s="8">
        <v>412.5</v>
      </c>
      <c r="C12265" s="8">
        <v>20.478950000000001</v>
      </c>
      <c r="D12265" s="8">
        <v>84</v>
      </c>
      <c r="E12265" s="8">
        <v>0</v>
      </c>
      <c r="F12265" s="8">
        <v>0</v>
      </c>
      <c r="G12265" s="8">
        <v>8</v>
      </c>
      <c r="H12265" s="8" t="s">
        <v>24845</v>
      </c>
      <c r="I12265" s="8">
        <v>532.6875</v>
      </c>
      <c r="J12265" s="3">
        <f t="shared" si="191"/>
        <v>43748.388872326388</v>
      </c>
    </row>
    <row r="12266" spans="1:10" x14ac:dyDescent="0.25">
      <c r="A12266" s="5" t="s">
        <v>24846</v>
      </c>
      <c r="B12266" s="6">
        <v>393.75</v>
      </c>
      <c r="C12266" s="6">
        <v>20.478950000000001</v>
      </c>
      <c r="D12266" s="6">
        <v>85</v>
      </c>
      <c r="E12266" s="6">
        <v>0</v>
      </c>
      <c r="F12266" s="6">
        <v>0</v>
      </c>
      <c r="G12266" s="6">
        <v>12</v>
      </c>
      <c r="H12266" s="6" t="s">
        <v>24847</v>
      </c>
      <c r="I12266" s="6">
        <v>526.6875</v>
      </c>
      <c r="J12266" s="2">
        <f t="shared" si="191"/>
        <v>43748.388943865742</v>
      </c>
    </row>
    <row r="12267" spans="1:10" x14ac:dyDescent="0.25">
      <c r="A12267" s="7" t="s">
        <v>24848</v>
      </c>
      <c r="B12267" s="8">
        <v>393.75</v>
      </c>
      <c r="C12267" s="8">
        <v>20.478950000000001</v>
      </c>
      <c r="D12267" s="8">
        <v>85</v>
      </c>
      <c r="E12267" s="8">
        <v>0</v>
      </c>
      <c r="F12267" s="8">
        <v>0</v>
      </c>
      <c r="G12267" s="8">
        <v>18</v>
      </c>
      <c r="H12267" s="8" t="s">
        <v>24849</v>
      </c>
      <c r="I12267" s="8">
        <v>526.6875</v>
      </c>
      <c r="J12267" s="3">
        <f t="shared" si="191"/>
        <v>43748.389026956014</v>
      </c>
    </row>
    <row r="12268" spans="1:10" x14ac:dyDescent="0.25">
      <c r="A12268" s="5" t="s">
        <v>24850</v>
      </c>
      <c r="B12268" s="6">
        <v>412.5</v>
      </c>
      <c r="C12268" s="6">
        <v>20.478950000000001</v>
      </c>
      <c r="D12268" s="6">
        <v>85</v>
      </c>
      <c r="E12268" s="6">
        <v>0</v>
      </c>
      <c r="F12268" s="6">
        <v>0</v>
      </c>
      <c r="G12268" s="6">
        <v>20</v>
      </c>
      <c r="H12268" s="6" t="s">
        <v>24851</v>
      </c>
      <c r="I12268" s="6">
        <v>532.3125</v>
      </c>
      <c r="J12268" s="2">
        <f t="shared" si="191"/>
        <v>43748.389098703701</v>
      </c>
    </row>
    <row r="12269" spans="1:10" x14ac:dyDescent="0.25">
      <c r="A12269" s="7" t="s">
        <v>24852</v>
      </c>
      <c r="B12269" s="8">
        <v>393.75</v>
      </c>
      <c r="C12269" s="8">
        <v>20.478950000000001</v>
      </c>
      <c r="D12269" s="8">
        <v>85</v>
      </c>
      <c r="E12269" s="8">
        <v>0</v>
      </c>
      <c r="F12269" s="8">
        <v>0</v>
      </c>
      <c r="G12269" s="8">
        <v>9</v>
      </c>
      <c r="H12269" s="8" t="s">
        <v>24853</v>
      </c>
      <c r="I12269" s="8">
        <v>526.6875</v>
      </c>
      <c r="J12269" s="3">
        <f t="shared" si="191"/>
        <v>43748.389182407402</v>
      </c>
    </row>
    <row r="12270" spans="1:10" x14ac:dyDescent="0.25">
      <c r="A12270" s="5" t="s">
        <v>24854</v>
      </c>
      <c r="B12270" s="6">
        <v>393.75</v>
      </c>
      <c r="C12270" s="6">
        <v>20.478950000000001</v>
      </c>
      <c r="D12270" s="6">
        <v>85</v>
      </c>
      <c r="E12270" s="6">
        <v>0</v>
      </c>
      <c r="F12270" s="6">
        <v>0</v>
      </c>
      <c r="G12270" s="6">
        <v>10</v>
      </c>
      <c r="H12270" s="6" t="s">
        <v>24855</v>
      </c>
      <c r="I12270" s="6">
        <v>526.6875</v>
      </c>
      <c r="J12270" s="2">
        <f t="shared" si="191"/>
        <v>43748.389265844904</v>
      </c>
    </row>
    <row r="12271" spans="1:10" x14ac:dyDescent="0.25">
      <c r="A12271" s="7" t="s">
        <v>24856</v>
      </c>
      <c r="B12271" s="8">
        <v>393.75</v>
      </c>
      <c r="C12271" s="8">
        <v>20.478950000000001</v>
      </c>
      <c r="D12271" s="8">
        <v>86</v>
      </c>
      <c r="E12271" s="8">
        <v>0</v>
      </c>
      <c r="F12271" s="8">
        <v>0</v>
      </c>
      <c r="G12271" s="8">
        <v>10</v>
      </c>
      <c r="H12271" s="8" t="s">
        <v>24857</v>
      </c>
      <c r="I12271" s="8">
        <v>526.6875</v>
      </c>
      <c r="J12271" s="3">
        <f t="shared" si="191"/>
        <v>43748.389349074067</v>
      </c>
    </row>
    <row r="12272" spans="1:10" x14ac:dyDescent="0.25">
      <c r="A12272" s="5" t="s">
        <v>24858</v>
      </c>
      <c r="B12272" s="6">
        <v>393.75</v>
      </c>
      <c r="C12272" s="6">
        <v>20.478950000000001</v>
      </c>
      <c r="D12272" s="6">
        <v>86</v>
      </c>
      <c r="E12272" s="6">
        <v>0</v>
      </c>
      <c r="F12272" s="6">
        <v>0</v>
      </c>
      <c r="G12272" s="6">
        <v>7</v>
      </c>
      <c r="H12272" s="6" t="s">
        <v>24859</v>
      </c>
      <c r="I12272" s="6">
        <v>526.6875</v>
      </c>
      <c r="J12272" s="2">
        <f t="shared" si="191"/>
        <v>43748.389432743053</v>
      </c>
    </row>
    <row r="12273" spans="1:10" x14ac:dyDescent="0.25">
      <c r="A12273" s="7" t="s">
        <v>24860</v>
      </c>
      <c r="B12273" s="8">
        <v>412.5</v>
      </c>
      <c r="C12273" s="8">
        <v>20.478950000000001</v>
      </c>
      <c r="D12273" s="8">
        <v>86</v>
      </c>
      <c r="E12273" s="8">
        <v>0</v>
      </c>
      <c r="F12273" s="8">
        <v>0</v>
      </c>
      <c r="G12273" s="8">
        <v>11</v>
      </c>
      <c r="H12273" s="8" t="s">
        <v>24861</v>
      </c>
      <c r="I12273" s="8">
        <v>532.3125</v>
      </c>
      <c r="J12273" s="3">
        <f t="shared" si="191"/>
        <v>43748.389516412033</v>
      </c>
    </row>
    <row r="12274" spans="1:10" x14ac:dyDescent="0.25">
      <c r="A12274" s="5" t="s">
        <v>24862</v>
      </c>
      <c r="B12274" s="6">
        <v>393.75</v>
      </c>
      <c r="C12274" s="6">
        <v>20.478950000000001</v>
      </c>
      <c r="D12274" s="6">
        <v>86</v>
      </c>
      <c r="E12274" s="6">
        <v>0</v>
      </c>
      <c r="F12274" s="6">
        <v>0</v>
      </c>
      <c r="G12274" s="6">
        <v>18</v>
      </c>
      <c r="H12274" s="6" t="s">
        <v>24863</v>
      </c>
      <c r="I12274" s="6">
        <v>526.6875</v>
      </c>
      <c r="J12274" s="2">
        <f t="shared" si="191"/>
        <v>43748.389587488426</v>
      </c>
    </row>
    <row r="12275" spans="1:10" x14ac:dyDescent="0.25">
      <c r="A12275" s="7" t="s">
        <v>24864</v>
      </c>
      <c r="B12275" s="8">
        <v>393.75</v>
      </c>
      <c r="C12275" s="8">
        <v>20.478950000000001</v>
      </c>
      <c r="D12275" s="8">
        <v>86</v>
      </c>
      <c r="E12275" s="8">
        <v>0</v>
      </c>
      <c r="F12275" s="8">
        <v>0</v>
      </c>
      <c r="G12275" s="8">
        <v>21</v>
      </c>
      <c r="H12275" s="8" t="s">
        <v>24865</v>
      </c>
      <c r="I12275" s="8">
        <v>526.6875</v>
      </c>
      <c r="J12275" s="3">
        <f t="shared" si="191"/>
        <v>43748.389671412035</v>
      </c>
    </row>
    <row r="12276" spans="1:10" x14ac:dyDescent="0.25">
      <c r="A12276" s="5" t="s">
        <v>24866</v>
      </c>
      <c r="B12276" s="6">
        <v>393.75</v>
      </c>
      <c r="C12276" s="6">
        <v>20.478950000000001</v>
      </c>
      <c r="D12276" s="6">
        <v>89</v>
      </c>
      <c r="E12276" s="6">
        <v>0</v>
      </c>
      <c r="F12276" s="6">
        <v>0</v>
      </c>
      <c r="G12276" s="6">
        <v>13</v>
      </c>
      <c r="H12276" s="6" t="s">
        <v>24867</v>
      </c>
      <c r="I12276" s="6">
        <v>526.6875</v>
      </c>
      <c r="J12276" s="2">
        <f t="shared" si="191"/>
        <v>43748.389754745367</v>
      </c>
    </row>
    <row r="12277" spans="1:10" x14ac:dyDescent="0.25">
      <c r="A12277" s="7" t="s">
        <v>24868</v>
      </c>
      <c r="B12277" s="8">
        <v>393.75</v>
      </c>
      <c r="C12277" s="8">
        <v>20.478950000000001</v>
      </c>
      <c r="D12277" s="8">
        <v>88</v>
      </c>
      <c r="E12277" s="8">
        <v>0</v>
      </c>
      <c r="F12277" s="8">
        <v>0</v>
      </c>
      <c r="G12277" s="8">
        <v>19</v>
      </c>
      <c r="H12277" s="8" t="s">
        <v>24869</v>
      </c>
      <c r="I12277" s="8">
        <v>526.6875</v>
      </c>
      <c r="J12277" s="3">
        <f t="shared" si="191"/>
        <v>43748.389837951385</v>
      </c>
    </row>
    <row r="12278" spans="1:10" x14ac:dyDescent="0.25">
      <c r="A12278" s="5" t="s">
        <v>24870</v>
      </c>
      <c r="B12278" s="6">
        <v>393.75</v>
      </c>
      <c r="C12278" s="6">
        <v>20.478950000000001</v>
      </c>
      <c r="D12278" s="6">
        <v>88</v>
      </c>
      <c r="E12278" s="6">
        <v>0</v>
      </c>
      <c r="F12278" s="6">
        <v>0</v>
      </c>
      <c r="G12278" s="6">
        <v>17</v>
      </c>
      <c r="H12278" s="6" t="s">
        <v>24871</v>
      </c>
      <c r="I12278" s="6">
        <v>526.6875</v>
      </c>
      <c r="J12278" s="2">
        <f t="shared" si="191"/>
        <v>43748.389909490739</v>
      </c>
    </row>
    <row r="12279" spans="1:10" x14ac:dyDescent="0.25">
      <c r="A12279" s="7" t="s">
        <v>24872</v>
      </c>
      <c r="B12279" s="8">
        <v>393.75</v>
      </c>
      <c r="C12279" s="8">
        <v>20.478950000000001</v>
      </c>
      <c r="D12279" s="8">
        <v>88</v>
      </c>
      <c r="E12279" s="8">
        <v>0</v>
      </c>
      <c r="F12279" s="8">
        <v>0</v>
      </c>
      <c r="G12279" s="8">
        <v>9</v>
      </c>
      <c r="H12279" s="8" t="s">
        <v>24873</v>
      </c>
      <c r="I12279" s="8">
        <v>526.6875</v>
      </c>
      <c r="J12279" s="3">
        <f t="shared" si="191"/>
        <v>43748.389981365741</v>
      </c>
    </row>
    <row r="12280" spans="1:10" x14ac:dyDescent="0.25">
      <c r="A12280" s="5" t="s">
        <v>24874</v>
      </c>
      <c r="B12280" s="6">
        <v>393.75</v>
      </c>
      <c r="C12280" s="6">
        <v>20.478950000000001</v>
      </c>
      <c r="D12280" s="6">
        <v>90</v>
      </c>
      <c r="E12280" s="6">
        <v>0</v>
      </c>
      <c r="F12280" s="6">
        <v>0</v>
      </c>
      <c r="G12280" s="6">
        <v>11</v>
      </c>
      <c r="H12280" s="6" t="s">
        <v>24875</v>
      </c>
      <c r="I12280" s="6">
        <v>526.5</v>
      </c>
      <c r="J12280" s="2">
        <f t="shared" si="191"/>
        <v>43748.390064930551</v>
      </c>
    </row>
    <row r="12281" spans="1:10" x14ac:dyDescent="0.25">
      <c r="A12281" s="7" t="s">
        <v>24876</v>
      </c>
      <c r="B12281" s="8">
        <v>393.75</v>
      </c>
      <c r="C12281" s="8">
        <v>20.478950000000001</v>
      </c>
      <c r="D12281" s="8">
        <v>90</v>
      </c>
      <c r="E12281" s="8">
        <v>0</v>
      </c>
      <c r="F12281" s="8">
        <v>0</v>
      </c>
      <c r="G12281" s="8">
        <v>9</v>
      </c>
      <c r="H12281" s="8" t="s">
        <v>24877</v>
      </c>
      <c r="I12281" s="8">
        <v>526.6875</v>
      </c>
      <c r="J12281" s="3">
        <f t="shared" si="191"/>
        <v>43748.390136435184</v>
      </c>
    </row>
    <row r="12282" spans="1:10" x14ac:dyDescent="0.25">
      <c r="A12282" s="5" t="s">
        <v>24878</v>
      </c>
      <c r="B12282" s="6">
        <v>393.75</v>
      </c>
      <c r="C12282" s="6">
        <v>20.478950000000001</v>
      </c>
      <c r="D12282" s="6">
        <v>90</v>
      </c>
      <c r="E12282" s="6">
        <v>0</v>
      </c>
      <c r="F12282" s="6">
        <v>0</v>
      </c>
      <c r="G12282" s="6">
        <v>11</v>
      </c>
      <c r="H12282" s="6" t="s">
        <v>24879</v>
      </c>
      <c r="I12282" s="6">
        <v>526.6875</v>
      </c>
      <c r="J12282" s="2">
        <f t="shared" si="191"/>
        <v>43748.390219548608</v>
      </c>
    </row>
    <row r="12283" spans="1:10" x14ac:dyDescent="0.25">
      <c r="A12283" s="7" t="s">
        <v>24880</v>
      </c>
      <c r="B12283" s="8">
        <v>393.75</v>
      </c>
      <c r="C12283" s="8">
        <v>20.478950000000001</v>
      </c>
      <c r="D12283" s="8">
        <v>90</v>
      </c>
      <c r="E12283" s="8">
        <v>0</v>
      </c>
      <c r="F12283" s="8">
        <v>0</v>
      </c>
      <c r="G12283" s="8">
        <v>10</v>
      </c>
      <c r="H12283" s="8" t="s">
        <v>24881</v>
      </c>
      <c r="I12283" s="8">
        <v>526.6875</v>
      </c>
      <c r="J12283" s="3">
        <f t="shared" si="191"/>
        <v>43748.390291215277</v>
      </c>
    </row>
    <row r="12284" spans="1:10" x14ac:dyDescent="0.25">
      <c r="A12284" s="5" t="s">
        <v>24882</v>
      </c>
      <c r="B12284" s="6">
        <v>393.75</v>
      </c>
      <c r="C12284" s="6">
        <v>20.478950000000001</v>
      </c>
      <c r="D12284" s="6">
        <v>88</v>
      </c>
      <c r="E12284" s="6">
        <v>0</v>
      </c>
      <c r="F12284" s="6">
        <v>0</v>
      </c>
      <c r="G12284" s="6">
        <v>9</v>
      </c>
      <c r="H12284" s="6" t="s">
        <v>24883</v>
      </c>
      <c r="I12284" s="6">
        <v>526.6875</v>
      </c>
      <c r="J12284" s="2">
        <f t="shared" si="191"/>
        <v>43748.390374976851</v>
      </c>
    </row>
    <row r="12285" spans="1:10" x14ac:dyDescent="0.25">
      <c r="A12285" s="7" t="s">
        <v>24884</v>
      </c>
      <c r="B12285" s="8">
        <v>393.75</v>
      </c>
      <c r="C12285" s="8">
        <v>20.478950000000001</v>
      </c>
      <c r="D12285" s="8">
        <v>87</v>
      </c>
      <c r="E12285" s="8">
        <v>0</v>
      </c>
      <c r="F12285" s="8">
        <v>0</v>
      </c>
      <c r="G12285" s="8">
        <v>11</v>
      </c>
      <c r="H12285" s="8" t="s">
        <v>24885</v>
      </c>
      <c r="I12285" s="8">
        <v>526.6875</v>
      </c>
      <c r="J12285" s="3">
        <f t="shared" si="191"/>
        <v>43748.390446527774</v>
      </c>
    </row>
    <row r="12286" spans="1:10" x14ac:dyDescent="0.25">
      <c r="A12286" s="5" t="s">
        <v>24886</v>
      </c>
      <c r="B12286" s="6">
        <v>393.75</v>
      </c>
      <c r="C12286" s="6">
        <v>20.478950000000001</v>
      </c>
      <c r="D12286" s="6">
        <v>87</v>
      </c>
      <c r="E12286" s="6">
        <v>0</v>
      </c>
      <c r="F12286" s="6">
        <v>0</v>
      </c>
      <c r="G12286" s="6">
        <v>13</v>
      </c>
      <c r="H12286" s="6" t="s">
        <v>24887</v>
      </c>
      <c r="I12286" s="6">
        <v>526.6875</v>
      </c>
      <c r="J12286" s="2">
        <f t="shared" si="191"/>
        <v>43748.390529976845</v>
      </c>
    </row>
    <row r="12287" spans="1:10" x14ac:dyDescent="0.25">
      <c r="A12287" s="7" t="s">
        <v>24888</v>
      </c>
      <c r="B12287" s="8">
        <v>393.75</v>
      </c>
      <c r="C12287" s="8">
        <v>20.478950000000001</v>
      </c>
      <c r="D12287" s="8">
        <v>86</v>
      </c>
      <c r="E12287" s="8">
        <v>0</v>
      </c>
      <c r="F12287" s="8">
        <v>0</v>
      </c>
      <c r="G12287" s="8">
        <v>16</v>
      </c>
      <c r="H12287" s="8" t="s">
        <v>24889</v>
      </c>
      <c r="I12287" s="8">
        <v>526.6875</v>
      </c>
      <c r="J12287" s="3">
        <f t="shared" si="191"/>
        <v>43748.390613425923</v>
      </c>
    </row>
    <row r="12288" spans="1:10" x14ac:dyDescent="0.25">
      <c r="A12288" s="5" t="s">
        <v>24890</v>
      </c>
      <c r="B12288" s="6">
        <v>393.75</v>
      </c>
      <c r="C12288" s="6">
        <v>20.478950000000001</v>
      </c>
      <c r="D12288" s="6">
        <v>87</v>
      </c>
      <c r="E12288" s="6">
        <v>0</v>
      </c>
      <c r="F12288" s="6">
        <v>0</v>
      </c>
      <c r="G12288" s="6">
        <v>14</v>
      </c>
      <c r="H12288" s="6" t="s">
        <v>24891</v>
      </c>
      <c r="I12288" s="6">
        <v>526.6875</v>
      </c>
      <c r="J12288" s="2">
        <f t="shared" si="191"/>
        <v>43748.390696979164</v>
      </c>
    </row>
    <row r="12289" spans="1:10" x14ac:dyDescent="0.25">
      <c r="A12289" s="7" t="s">
        <v>24892</v>
      </c>
      <c r="B12289" s="8">
        <v>393.75</v>
      </c>
      <c r="C12289" s="8">
        <v>20.478950000000001</v>
      </c>
      <c r="D12289" s="8">
        <v>88</v>
      </c>
      <c r="E12289" s="8">
        <v>0</v>
      </c>
      <c r="F12289" s="8">
        <v>0</v>
      </c>
      <c r="G12289" s="8">
        <v>14</v>
      </c>
      <c r="H12289" s="8" t="s">
        <v>24893</v>
      </c>
      <c r="I12289" s="8">
        <v>526.6875</v>
      </c>
      <c r="J12289" s="3">
        <f t="shared" si="191"/>
        <v>43748.390780439811</v>
      </c>
    </row>
    <row r="12290" spans="1:10" x14ac:dyDescent="0.25">
      <c r="A12290" s="5" t="s">
        <v>24894</v>
      </c>
      <c r="B12290" s="6">
        <v>393.75</v>
      </c>
      <c r="C12290" s="6">
        <v>20.478950000000001</v>
      </c>
      <c r="D12290" s="6">
        <v>87</v>
      </c>
      <c r="E12290" s="6">
        <v>0</v>
      </c>
      <c r="F12290" s="6">
        <v>0</v>
      </c>
      <c r="G12290" s="6">
        <v>3</v>
      </c>
      <c r="H12290" s="6" t="s">
        <v>24895</v>
      </c>
      <c r="I12290" s="6">
        <v>526.6875</v>
      </c>
      <c r="J12290" s="2">
        <f t="shared" ref="J12290:J12353" si="192">(H12290/86400000)+25569+(7/24)</f>
        <v>43748.390863900458</v>
      </c>
    </row>
    <row r="12291" spans="1:10" x14ac:dyDescent="0.25">
      <c r="A12291" s="7" t="s">
        <v>24896</v>
      </c>
      <c r="B12291" s="8">
        <v>393.75</v>
      </c>
      <c r="C12291" s="8">
        <v>20.478950000000001</v>
      </c>
      <c r="D12291" s="8">
        <v>87</v>
      </c>
      <c r="E12291" s="8">
        <v>0</v>
      </c>
      <c r="F12291" s="8">
        <v>0</v>
      </c>
      <c r="G12291" s="8">
        <v>3</v>
      </c>
      <c r="H12291" s="8" t="s">
        <v>24897</v>
      </c>
      <c r="I12291" s="8">
        <v>526.6875</v>
      </c>
      <c r="J12291" s="3">
        <f t="shared" si="192"/>
        <v>43748.390947314816</v>
      </c>
    </row>
    <row r="12292" spans="1:10" x14ac:dyDescent="0.25">
      <c r="A12292" s="5" t="s">
        <v>24898</v>
      </c>
      <c r="B12292" s="6">
        <v>412.5</v>
      </c>
      <c r="C12292" s="6">
        <v>20.478950000000001</v>
      </c>
      <c r="D12292" s="6">
        <v>87</v>
      </c>
      <c r="E12292" s="6">
        <v>0</v>
      </c>
      <c r="F12292" s="6">
        <v>0</v>
      </c>
      <c r="G12292" s="6">
        <v>9</v>
      </c>
      <c r="H12292" s="6" t="s">
        <v>24899</v>
      </c>
      <c r="I12292" s="6">
        <v>532.3125</v>
      </c>
      <c r="J12292" s="2">
        <f t="shared" si="192"/>
        <v>43748.391030671293</v>
      </c>
    </row>
    <row r="12293" spans="1:10" x14ac:dyDescent="0.25">
      <c r="A12293" s="7" t="s">
        <v>24900</v>
      </c>
      <c r="B12293" s="8">
        <v>393.75</v>
      </c>
      <c r="C12293" s="8">
        <v>20.478950000000001</v>
      </c>
      <c r="D12293" s="8">
        <v>87</v>
      </c>
      <c r="E12293" s="8">
        <v>0</v>
      </c>
      <c r="F12293" s="8">
        <v>0</v>
      </c>
      <c r="G12293" s="8">
        <v>9</v>
      </c>
      <c r="H12293" s="8" t="s">
        <v>24901</v>
      </c>
      <c r="I12293" s="8">
        <v>526.6875</v>
      </c>
      <c r="J12293" s="3">
        <f t="shared" si="192"/>
        <v>43748.391102314818</v>
      </c>
    </row>
    <row r="12294" spans="1:10" x14ac:dyDescent="0.25">
      <c r="A12294" s="5" t="s">
        <v>24902</v>
      </c>
      <c r="B12294" s="6">
        <v>393.75</v>
      </c>
      <c r="C12294" s="6">
        <v>20.478950000000001</v>
      </c>
      <c r="D12294" s="6">
        <v>87</v>
      </c>
      <c r="E12294" s="6">
        <v>0</v>
      </c>
      <c r="F12294" s="6">
        <v>0</v>
      </c>
      <c r="G12294" s="6">
        <v>11</v>
      </c>
      <c r="H12294" s="6" t="s">
        <v>24903</v>
      </c>
      <c r="I12294" s="6">
        <v>526.6875</v>
      </c>
      <c r="J12294" s="2">
        <f t="shared" si="192"/>
        <v>43748.391185856475</v>
      </c>
    </row>
    <row r="12295" spans="1:10" x14ac:dyDescent="0.25">
      <c r="A12295" s="7" t="s">
        <v>24904</v>
      </c>
      <c r="B12295" s="8">
        <v>393.75</v>
      </c>
      <c r="C12295" s="8">
        <v>20.478950000000001</v>
      </c>
      <c r="D12295" s="8">
        <v>87</v>
      </c>
      <c r="E12295" s="8">
        <v>0</v>
      </c>
      <c r="F12295" s="8">
        <v>0</v>
      </c>
      <c r="G12295" s="8">
        <v>3</v>
      </c>
      <c r="H12295" s="8" t="s">
        <v>24905</v>
      </c>
      <c r="I12295" s="8">
        <v>526.6875</v>
      </c>
      <c r="J12295" s="3">
        <f t="shared" si="192"/>
        <v>43748.391269317122</v>
      </c>
    </row>
    <row r="12296" spans="1:10" x14ac:dyDescent="0.25">
      <c r="A12296" s="5" t="s">
        <v>24906</v>
      </c>
      <c r="B12296" s="6">
        <v>393.75</v>
      </c>
      <c r="C12296" s="6">
        <v>20.478950000000001</v>
      </c>
      <c r="D12296" s="6">
        <v>88</v>
      </c>
      <c r="E12296" s="6">
        <v>0</v>
      </c>
      <c r="F12296" s="6">
        <v>0</v>
      </c>
      <c r="G12296" s="6">
        <v>9</v>
      </c>
      <c r="H12296" s="6" t="s">
        <v>24907</v>
      </c>
      <c r="I12296" s="6">
        <v>526.6875</v>
      </c>
      <c r="J12296" s="2">
        <f t="shared" si="192"/>
        <v>43748.391352881947</v>
      </c>
    </row>
    <row r="12297" spans="1:10" x14ac:dyDescent="0.25">
      <c r="A12297" s="7" t="s">
        <v>24908</v>
      </c>
      <c r="B12297" s="8">
        <v>393.75</v>
      </c>
      <c r="C12297" s="8">
        <v>20.478950000000001</v>
      </c>
      <c r="D12297" s="8">
        <v>88</v>
      </c>
      <c r="E12297" s="8">
        <v>0</v>
      </c>
      <c r="F12297" s="8">
        <v>0</v>
      </c>
      <c r="G12297" s="8">
        <v>11</v>
      </c>
      <c r="H12297" s="8" t="s">
        <v>24909</v>
      </c>
      <c r="I12297" s="8">
        <v>526.6875</v>
      </c>
      <c r="J12297" s="3">
        <f t="shared" si="192"/>
        <v>43748.391424398149</v>
      </c>
    </row>
    <row r="12298" spans="1:10" x14ac:dyDescent="0.25">
      <c r="A12298" s="5" t="s">
        <v>24910</v>
      </c>
      <c r="B12298" s="6">
        <v>393.75</v>
      </c>
      <c r="C12298" s="6">
        <v>20.478950000000001</v>
      </c>
      <c r="D12298" s="6">
        <v>89</v>
      </c>
      <c r="E12298" s="6">
        <v>0</v>
      </c>
      <c r="F12298" s="6">
        <v>0</v>
      </c>
      <c r="G12298" s="6">
        <v>14</v>
      </c>
      <c r="H12298" s="6" t="s">
        <v>24911</v>
      </c>
      <c r="I12298" s="6">
        <v>526.6875</v>
      </c>
      <c r="J12298" s="2">
        <f t="shared" si="192"/>
        <v>43748.391520231475</v>
      </c>
    </row>
    <row r="12299" spans="1:10" x14ac:dyDescent="0.25">
      <c r="A12299" s="7" t="s">
        <v>24912</v>
      </c>
      <c r="B12299" s="8">
        <v>393.75</v>
      </c>
      <c r="C12299" s="8">
        <v>20.478950000000001</v>
      </c>
      <c r="D12299" s="8">
        <v>89</v>
      </c>
      <c r="E12299" s="8">
        <v>0</v>
      </c>
      <c r="F12299" s="8">
        <v>0</v>
      </c>
      <c r="G12299" s="8">
        <v>5</v>
      </c>
      <c r="H12299" s="8" t="s">
        <v>24913</v>
      </c>
      <c r="I12299" s="8">
        <v>526.6875</v>
      </c>
      <c r="J12299" s="3">
        <f t="shared" si="192"/>
        <v>43748.391591307867</v>
      </c>
    </row>
    <row r="12300" spans="1:10" x14ac:dyDescent="0.25">
      <c r="A12300" s="5" t="s">
        <v>24914</v>
      </c>
      <c r="B12300" s="6">
        <v>393.75</v>
      </c>
      <c r="C12300" s="6">
        <v>20.478950000000001</v>
      </c>
      <c r="D12300" s="6">
        <v>88</v>
      </c>
      <c r="E12300" s="6">
        <v>0</v>
      </c>
      <c r="F12300" s="6">
        <v>0</v>
      </c>
      <c r="G12300" s="6">
        <v>8</v>
      </c>
      <c r="H12300" s="6" t="s">
        <v>24915</v>
      </c>
      <c r="I12300" s="6">
        <v>526.6875</v>
      </c>
      <c r="J12300" s="2">
        <f t="shared" si="192"/>
        <v>43748.391674999999</v>
      </c>
    </row>
    <row r="12301" spans="1:10" x14ac:dyDescent="0.25">
      <c r="A12301" s="7" t="s">
        <v>24916</v>
      </c>
      <c r="B12301" s="8">
        <v>393.75</v>
      </c>
      <c r="C12301" s="8">
        <v>20.478950000000001</v>
      </c>
      <c r="D12301" s="8">
        <v>88</v>
      </c>
      <c r="E12301" s="8">
        <v>0</v>
      </c>
      <c r="F12301" s="8">
        <v>0</v>
      </c>
      <c r="G12301" s="8">
        <v>7</v>
      </c>
      <c r="H12301" s="8" t="s">
        <v>24917</v>
      </c>
      <c r="I12301" s="8">
        <v>526.6875</v>
      </c>
      <c r="J12301" s="3">
        <f t="shared" si="192"/>
        <v>43748.391746400455</v>
      </c>
    </row>
    <row r="12302" spans="1:10" x14ac:dyDescent="0.25">
      <c r="A12302" s="5" t="s">
        <v>24918</v>
      </c>
      <c r="B12302" s="6">
        <v>393.75</v>
      </c>
      <c r="C12302" s="6">
        <v>20.478950000000001</v>
      </c>
      <c r="D12302" s="6">
        <v>89</v>
      </c>
      <c r="E12302" s="6">
        <v>0</v>
      </c>
      <c r="F12302" s="6">
        <v>0</v>
      </c>
      <c r="G12302" s="6">
        <v>8</v>
      </c>
      <c r="H12302" s="6" t="s">
        <v>24919</v>
      </c>
      <c r="I12302" s="6">
        <v>526.5</v>
      </c>
      <c r="J12302" s="2">
        <f t="shared" si="192"/>
        <v>43748.391817916665</v>
      </c>
    </row>
    <row r="12303" spans="1:10" x14ac:dyDescent="0.25">
      <c r="A12303" s="7" t="s">
        <v>24920</v>
      </c>
      <c r="B12303" s="8">
        <v>412.5</v>
      </c>
      <c r="C12303" s="8">
        <v>20.478950000000001</v>
      </c>
      <c r="D12303" s="8">
        <v>89</v>
      </c>
      <c r="E12303" s="8">
        <v>0</v>
      </c>
      <c r="F12303" s="8">
        <v>0</v>
      </c>
      <c r="G12303" s="8">
        <v>5</v>
      </c>
      <c r="H12303" s="8" t="s">
        <v>24921</v>
      </c>
      <c r="I12303" s="8">
        <v>532.5</v>
      </c>
      <c r="J12303" s="3">
        <f t="shared" si="192"/>
        <v>43748.391901157403</v>
      </c>
    </row>
    <row r="12304" spans="1:10" x14ac:dyDescent="0.25">
      <c r="A12304" s="5" t="s">
        <v>24922</v>
      </c>
      <c r="B12304" s="6">
        <v>393.75</v>
      </c>
      <c r="C12304" s="6">
        <v>20.478950000000001</v>
      </c>
      <c r="D12304" s="6">
        <v>89</v>
      </c>
      <c r="E12304" s="6">
        <v>0</v>
      </c>
      <c r="F12304" s="6">
        <v>0</v>
      </c>
      <c r="G12304" s="6">
        <v>14</v>
      </c>
      <c r="H12304" s="6" t="s">
        <v>24923</v>
      </c>
      <c r="I12304" s="6">
        <v>526.6875</v>
      </c>
      <c r="J12304" s="2">
        <f t="shared" si="192"/>
        <v>43748.391972696758</v>
      </c>
    </row>
    <row r="12305" spans="1:10" x14ac:dyDescent="0.25">
      <c r="A12305" s="7" t="s">
        <v>24924</v>
      </c>
      <c r="B12305" s="8">
        <v>393.75</v>
      </c>
      <c r="C12305" s="8">
        <v>20.478950000000001</v>
      </c>
      <c r="D12305" s="8">
        <v>87</v>
      </c>
      <c r="E12305" s="8">
        <v>0</v>
      </c>
      <c r="F12305" s="8">
        <v>0</v>
      </c>
      <c r="G12305" s="8">
        <v>7</v>
      </c>
      <c r="H12305" s="8" t="s">
        <v>24925</v>
      </c>
      <c r="I12305" s="8">
        <v>526.6875</v>
      </c>
      <c r="J12305" s="3">
        <f t="shared" si="192"/>
        <v>43748.3920564699</v>
      </c>
    </row>
    <row r="12306" spans="1:10" x14ac:dyDescent="0.25">
      <c r="A12306" s="5" t="s">
        <v>24926</v>
      </c>
      <c r="B12306" s="6">
        <v>393.75</v>
      </c>
      <c r="C12306" s="6">
        <v>20.478950000000001</v>
      </c>
      <c r="D12306" s="6">
        <v>87</v>
      </c>
      <c r="E12306" s="6">
        <v>0</v>
      </c>
      <c r="F12306" s="6">
        <v>0</v>
      </c>
      <c r="G12306" s="6">
        <v>5</v>
      </c>
      <c r="H12306" s="6" t="s">
        <v>24927</v>
      </c>
      <c r="I12306" s="6">
        <v>526.6875</v>
      </c>
      <c r="J12306" s="2">
        <f t="shared" si="192"/>
        <v>43748.392139953699</v>
      </c>
    </row>
    <row r="12307" spans="1:10" x14ac:dyDescent="0.25">
      <c r="A12307" s="7" t="s">
        <v>24928</v>
      </c>
      <c r="B12307" s="8">
        <v>393.75</v>
      </c>
      <c r="C12307" s="8">
        <v>20.478950000000001</v>
      </c>
      <c r="D12307" s="8">
        <v>87</v>
      </c>
      <c r="E12307" s="8">
        <v>0</v>
      </c>
      <c r="F12307" s="8">
        <v>0</v>
      </c>
      <c r="G12307" s="8">
        <v>3</v>
      </c>
      <c r="H12307" s="8" t="s">
        <v>24929</v>
      </c>
      <c r="I12307" s="8">
        <v>526.6875</v>
      </c>
      <c r="J12307" s="3">
        <f t="shared" si="192"/>
        <v>43748.392223148148</v>
      </c>
    </row>
    <row r="12308" spans="1:10" x14ac:dyDescent="0.25">
      <c r="A12308" s="5" t="s">
        <v>24930</v>
      </c>
      <c r="B12308" s="6">
        <v>393.75</v>
      </c>
      <c r="C12308" s="6">
        <v>20.478950000000001</v>
      </c>
      <c r="D12308" s="6">
        <v>87</v>
      </c>
      <c r="E12308" s="6">
        <v>0</v>
      </c>
      <c r="F12308" s="6">
        <v>0</v>
      </c>
      <c r="G12308" s="6">
        <v>1</v>
      </c>
      <c r="H12308" s="6" t="s">
        <v>24931</v>
      </c>
      <c r="I12308" s="6">
        <v>526.6875</v>
      </c>
      <c r="J12308" s="2">
        <f t="shared" si="192"/>
        <v>43748.392294895828</v>
      </c>
    </row>
    <row r="12309" spans="1:10" x14ac:dyDescent="0.25">
      <c r="A12309" s="7" t="s">
        <v>24932</v>
      </c>
      <c r="B12309" s="8">
        <v>393.75</v>
      </c>
      <c r="C12309" s="8">
        <v>20.478950000000001</v>
      </c>
      <c r="D12309" s="8">
        <v>87</v>
      </c>
      <c r="E12309" s="8">
        <v>0</v>
      </c>
      <c r="F12309" s="8">
        <v>0</v>
      </c>
      <c r="G12309" s="8">
        <v>12</v>
      </c>
      <c r="H12309" s="8" t="s">
        <v>24933</v>
      </c>
      <c r="I12309" s="8">
        <v>526.6875</v>
      </c>
      <c r="J12309" s="3">
        <f t="shared" si="192"/>
        <v>43748.392379872683</v>
      </c>
    </row>
    <row r="12310" spans="1:10" x14ac:dyDescent="0.25">
      <c r="A12310" s="5" t="s">
        <v>24934</v>
      </c>
      <c r="B12310" s="6">
        <v>393.75</v>
      </c>
      <c r="C12310" s="6">
        <v>20.478950000000001</v>
      </c>
      <c r="D12310" s="6">
        <v>88</v>
      </c>
      <c r="E12310" s="6">
        <v>0</v>
      </c>
      <c r="F12310" s="6">
        <v>0</v>
      </c>
      <c r="G12310" s="6">
        <v>0</v>
      </c>
      <c r="H12310" s="6" t="s">
        <v>24935</v>
      </c>
      <c r="I12310" s="6">
        <v>526.6875</v>
      </c>
      <c r="J12310" s="2">
        <f t="shared" si="192"/>
        <v>43748.392461909716</v>
      </c>
    </row>
    <row r="12311" spans="1:10" x14ac:dyDescent="0.25">
      <c r="A12311" s="7" t="s">
        <v>24936</v>
      </c>
      <c r="B12311" s="8">
        <v>393.75</v>
      </c>
      <c r="C12311" s="8">
        <v>20.478950000000001</v>
      </c>
      <c r="D12311" s="8">
        <v>88</v>
      </c>
      <c r="E12311" s="8">
        <v>0</v>
      </c>
      <c r="F12311" s="8">
        <v>0</v>
      </c>
      <c r="G12311" s="8">
        <v>5</v>
      </c>
      <c r="H12311" s="8" t="s">
        <v>24937</v>
      </c>
      <c r="I12311" s="8">
        <v>526.6875</v>
      </c>
      <c r="J12311" s="3">
        <f t="shared" si="192"/>
        <v>43748.392546006937</v>
      </c>
    </row>
    <row r="12312" spans="1:10" x14ac:dyDescent="0.25">
      <c r="A12312" s="5" t="s">
        <v>24938</v>
      </c>
      <c r="B12312" s="6">
        <v>393.75</v>
      </c>
      <c r="C12312" s="6">
        <v>20.478950000000001</v>
      </c>
      <c r="D12312" s="6">
        <v>88</v>
      </c>
      <c r="E12312" s="6">
        <v>0</v>
      </c>
      <c r="F12312" s="6">
        <v>0</v>
      </c>
      <c r="G12312" s="6">
        <v>7</v>
      </c>
      <c r="H12312" s="6" t="s">
        <v>24939</v>
      </c>
      <c r="I12312" s="6">
        <v>526.6875</v>
      </c>
      <c r="J12312" s="2">
        <f t="shared" si="192"/>
        <v>43748.392628935188</v>
      </c>
    </row>
    <row r="12313" spans="1:10" x14ac:dyDescent="0.25">
      <c r="A12313" s="7" t="s">
        <v>24940</v>
      </c>
      <c r="B12313" s="8">
        <v>393.75</v>
      </c>
      <c r="C12313" s="8">
        <v>20.478950000000001</v>
      </c>
      <c r="D12313" s="8">
        <v>88</v>
      </c>
      <c r="E12313" s="8">
        <v>0</v>
      </c>
      <c r="F12313" s="8">
        <v>0</v>
      </c>
      <c r="G12313" s="8">
        <v>4</v>
      </c>
      <c r="H12313" s="8" t="s">
        <v>24941</v>
      </c>
      <c r="I12313" s="8">
        <v>526.6875</v>
      </c>
      <c r="J12313" s="3">
        <f t="shared" si="192"/>
        <v>43748.39270045139</v>
      </c>
    </row>
    <row r="12314" spans="1:10" x14ac:dyDescent="0.25">
      <c r="A12314" s="5" t="s">
        <v>24942</v>
      </c>
      <c r="B12314" s="6">
        <v>393.75</v>
      </c>
      <c r="C12314" s="6">
        <v>20.478950000000001</v>
      </c>
      <c r="D12314" s="6">
        <v>87</v>
      </c>
      <c r="E12314" s="6">
        <v>0</v>
      </c>
      <c r="F12314" s="6">
        <v>0</v>
      </c>
      <c r="G12314" s="6">
        <v>15</v>
      </c>
      <c r="H12314" s="6" t="s">
        <v>24943</v>
      </c>
      <c r="I12314" s="6">
        <v>526.6875</v>
      </c>
      <c r="J12314" s="2">
        <f t="shared" si="192"/>
        <v>43748.392783900461</v>
      </c>
    </row>
    <row r="12315" spans="1:10" x14ac:dyDescent="0.25">
      <c r="A12315" s="7" t="s">
        <v>24944</v>
      </c>
      <c r="B12315" s="8">
        <v>393.75</v>
      </c>
      <c r="C12315" s="8">
        <v>20.478950000000001</v>
      </c>
      <c r="D12315" s="8">
        <v>87</v>
      </c>
      <c r="E12315" s="8">
        <v>0</v>
      </c>
      <c r="F12315" s="8">
        <v>0</v>
      </c>
      <c r="G12315" s="8">
        <v>3</v>
      </c>
      <c r="H12315" s="8" t="s">
        <v>24945</v>
      </c>
      <c r="I12315" s="8">
        <v>526.5</v>
      </c>
      <c r="J12315" s="3">
        <f t="shared" si="192"/>
        <v>43748.392879513885</v>
      </c>
    </row>
    <row r="12316" spans="1:10" x14ac:dyDescent="0.25">
      <c r="A12316" s="5" t="s">
        <v>24946</v>
      </c>
      <c r="B12316" s="6">
        <v>393.75</v>
      </c>
      <c r="C12316" s="6">
        <v>20.478950000000001</v>
      </c>
      <c r="D12316" s="6">
        <v>89</v>
      </c>
      <c r="E12316" s="6">
        <v>0</v>
      </c>
      <c r="F12316" s="6">
        <v>0</v>
      </c>
      <c r="G12316" s="6">
        <v>16</v>
      </c>
      <c r="H12316" s="6" t="s">
        <v>24947</v>
      </c>
      <c r="I12316" s="6">
        <v>526.5</v>
      </c>
      <c r="J12316" s="2">
        <f t="shared" si="192"/>
        <v>43748.392950925925</v>
      </c>
    </row>
    <row r="12317" spans="1:10" x14ac:dyDescent="0.25">
      <c r="A12317" s="7" t="s">
        <v>24948</v>
      </c>
      <c r="B12317" s="8">
        <v>393.75</v>
      </c>
      <c r="C12317" s="8">
        <v>20.478950000000001</v>
      </c>
      <c r="D12317" s="8">
        <v>89</v>
      </c>
      <c r="E12317" s="8">
        <v>0</v>
      </c>
      <c r="F12317" s="8">
        <v>0</v>
      </c>
      <c r="G12317" s="8">
        <v>15</v>
      </c>
      <c r="H12317" s="8" t="s">
        <v>24949</v>
      </c>
      <c r="I12317" s="8">
        <v>526.6875</v>
      </c>
      <c r="J12317" s="3">
        <f t="shared" si="192"/>
        <v>43748.393034236105</v>
      </c>
    </row>
    <row r="12318" spans="1:10" x14ac:dyDescent="0.25">
      <c r="A12318" s="5" t="s">
        <v>24950</v>
      </c>
      <c r="B12318" s="6">
        <v>393.75</v>
      </c>
      <c r="C12318" s="6">
        <v>20.478950000000001</v>
      </c>
      <c r="D12318" s="6">
        <v>90</v>
      </c>
      <c r="E12318" s="6">
        <v>0</v>
      </c>
      <c r="F12318" s="6">
        <v>0</v>
      </c>
      <c r="G12318" s="6">
        <v>11</v>
      </c>
      <c r="H12318" s="6" t="s">
        <v>24951</v>
      </c>
      <c r="I12318" s="6">
        <v>526.6875</v>
      </c>
      <c r="J12318" s="2">
        <f t="shared" si="192"/>
        <v>43748.393117928237</v>
      </c>
    </row>
    <row r="12319" spans="1:10" x14ac:dyDescent="0.25">
      <c r="A12319" s="7" t="s">
        <v>24952</v>
      </c>
      <c r="B12319" s="8">
        <v>393.75</v>
      </c>
      <c r="C12319" s="8">
        <v>20.478950000000001</v>
      </c>
      <c r="D12319" s="8">
        <v>91</v>
      </c>
      <c r="E12319" s="8">
        <v>0</v>
      </c>
      <c r="F12319" s="8">
        <v>0</v>
      </c>
      <c r="G12319" s="8">
        <v>3</v>
      </c>
      <c r="H12319" s="8" t="s">
        <v>24953</v>
      </c>
      <c r="I12319" s="8">
        <v>526.6875</v>
      </c>
      <c r="J12319" s="3">
        <f t="shared" si="192"/>
        <v>43748.393201041668</v>
      </c>
    </row>
    <row r="12320" spans="1:10" x14ac:dyDescent="0.25">
      <c r="A12320" s="5" t="s">
        <v>24954</v>
      </c>
      <c r="B12320" s="6">
        <v>393.75</v>
      </c>
      <c r="C12320" s="6">
        <v>20.478950000000001</v>
      </c>
      <c r="D12320" s="6">
        <v>91</v>
      </c>
      <c r="E12320" s="6">
        <v>0</v>
      </c>
      <c r="F12320" s="6">
        <v>0</v>
      </c>
      <c r="G12320" s="6">
        <v>11</v>
      </c>
      <c r="H12320" s="6" t="s">
        <v>24955</v>
      </c>
      <c r="I12320" s="6">
        <v>526.6875</v>
      </c>
      <c r="J12320" s="2">
        <f t="shared" si="192"/>
        <v>43748.393272673609</v>
      </c>
    </row>
    <row r="12321" spans="1:10" x14ac:dyDescent="0.25">
      <c r="A12321" s="7" t="s">
        <v>24956</v>
      </c>
      <c r="B12321" s="8">
        <v>412.5</v>
      </c>
      <c r="C12321" s="8">
        <v>20.478950000000001</v>
      </c>
      <c r="D12321" s="8">
        <v>90</v>
      </c>
      <c r="E12321" s="8">
        <v>0</v>
      </c>
      <c r="F12321" s="8">
        <v>0</v>
      </c>
      <c r="G12321" s="8">
        <v>7</v>
      </c>
      <c r="H12321" s="8" t="s">
        <v>24957</v>
      </c>
      <c r="I12321" s="8">
        <v>532.3125</v>
      </c>
      <c r="J12321" s="3">
        <f t="shared" si="192"/>
        <v>43748.39335658565</v>
      </c>
    </row>
    <row r="12322" spans="1:10" x14ac:dyDescent="0.25">
      <c r="A12322" s="5" t="s">
        <v>24958</v>
      </c>
      <c r="B12322" s="6">
        <v>393.75</v>
      </c>
      <c r="C12322" s="6">
        <v>20.478950000000001</v>
      </c>
      <c r="D12322" s="6">
        <v>90</v>
      </c>
      <c r="E12322" s="6">
        <v>0</v>
      </c>
      <c r="F12322" s="6">
        <v>0</v>
      </c>
      <c r="G12322" s="6">
        <v>9</v>
      </c>
      <c r="H12322" s="6" t="s">
        <v>24959</v>
      </c>
      <c r="I12322" s="6">
        <v>526.6875</v>
      </c>
      <c r="J12322" s="2">
        <f t="shared" si="192"/>
        <v>43748.393439930551</v>
      </c>
    </row>
    <row r="12323" spans="1:10" x14ac:dyDescent="0.25">
      <c r="A12323" s="7" t="s">
        <v>24960</v>
      </c>
      <c r="B12323" s="8">
        <v>393.75</v>
      </c>
      <c r="C12323" s="8">
        <v>20.478950000000001</v>
      </c>
      <c r="D12323" s="8">
        <v>90</v>
      </c>
      <c r="E12323" s="8">
        <v>0</v>
      </c>
      <c r="F12323" s="8">
        <v>0</v>
      </c>
      <c r="G12323" s="8">
        <v>15</v>
      </c>
      <c r="H12323" s="8" t="s">
        <v>24961</v>
      </c>
      <c r="I12323" s="8">
        <v>526.6875</v>
      </c>
      <c r="J12323" s="3">
        <f t="shared" si="192"/>
        <v>43748.393523136569</v>
      </c>
    </row>
    <row r="12324" spans="1:10" x14ac:dyDescent="0.25">
      <c r="A12324" s="5" t="s">
        <v>24962</v>
      </c>
      <c r="B12324" s="6">
        <v>393.75</v>
      </c>
      <c r="C12324" s="6">
        <v>20.478950000000001</v>
      </c>
      <c r="D12324" s="6">
        <v>89</v>
      </c>
      <c r="E12324" s="6">
        <v>0</v>
      </c>
      <c r="F12324" s="6">
        <v>0</v>
      </c>
      <c r="G12324" s="6">
        <v>8</v>
      </c>
      <c r="H12324" s="6" t="s">
        <v>24963</v>
      </c>
      <c r="I12324" s="6">
        <v>526.6875</v>
      </c>
      <c r="J12324" s="2">
        <f t="shared" si="192"/>
        <v>43748.393606817124</v>
      </c>
    </row>
    <row r="12325" spans="1:10" x14ac:dyDescent="0.25">
      <c r="A12325" s="7" t="s">
        <v>24964</v>
      </c>
      <c r="B12325" s="8">
        <v>393.75</v>
      </c>
      <c r="C12325" s="8">
        <v>20.478950000000001</v>
      </c>
      <c r="D12325" s="8">
        <v>89</v>
      </c>
      <c r="E12325" s="8">
        <v>0</v>
      </c>
      <c r="F12325" s="8">
        <v>0</v>
      </c>
      <c r="G12325" s="8">
        <v>11</v>
      </c>
      <c r="H12325" s="8" t="s">
        <v>24965</v>
      </c>
      <c r="I12325" s="8">
        <v>526.6875</v>
      </c>
      <c r="J12325" s="3">
        <f t="shared" si="192"/>
        <v>43748.393689942131</v>
      </c>
    </row>
    <row r="12326" spans="1:10" x14ac:dyDescent="0.25">
      <c r="A12326" s="5" t="s">
        <v>24966</v>
      </c>
      <c r="B12326" s="6">
        <v>393.75</v>
      </c>
      <c r="C12326" s="6">
        <v>20.478950000000001</v>
      </c>
      <c r="D12326" s="6">
        <v>89</v>
      </c>
      <c r="E12326" s="6">
        <v>0</v>
      </c>
      <c r="F12326" s="6">
        <v>0</v>
      </c>
      <c r="G12326" s="6">
        <v>16</v>
      </c>
      <c r="H12326" s="6" t="s">
        <v>24967</v>
      </c>
      <c r="I12326" s="6">
        <v>526.6875</v>
      </c>
      <c r="J12326" s="2">
        <f t="shared" si="192"/>
        <v>43748.393761793974</v>
      </c>
    </row>
    <row r="12327" spans="1:10" x14ac:dyDescent="0.25">
      <c r="A12327" s="7" t="s">
        <v>24968</v>
      </c>
      <c r="B12327" s="8">
        <v>393.75</v>
      </c>
      <c r="C12327" s="8">
        <v>20.478950000000001</v>
      </c>
      <c r="D12327" s="8">
        <v>89</v>
      </c>
      <c r="E12327" s="8">
        <v>0</v>
      </c>
      <c r="F12327" s="8">
        <v>0</v>
      </c>
      <c r="G12327" s="8">
        <v>7</v>
      </c>
      <c r="H12327" s="8" t="s">
        <v>24969</v>
      </c>
      <c r="I12327" s="8">
        <v>526.6875</v>
      </c>
      <c r="J12327" s="3">
        <f t="shared" si="192"/>
        <v>43748.393845474529</v>
      </c>
    </row>
    <row r="12328" spans="1:10" x14ac:dyDescent="0.25">
      <c r="A12328" s="5" t="s">
        <v>24970</v>
      </c>
      <c r="B12328" s="6">
        <v>393.75</v>
      </c>
      <c r="C12328" s="6">
        <v>20.478950000000001</v>
      </c>
      <c r="D12328" s="6">
        <v>88</v>
      </c>
      <c r="E12328" s="6">
        <v>0</v>
      </c>
      <c r="F12328" s="6">
        <v>0</v>
      </c>
      <c r="G12328" s="6">
        <v>12</v>
      </c>
      <c r="H12328" s="6" t="s">
        <v>24971</v>
      </c>
      <c r="I12328" s="6">
        <v>526.6875</v>
      </c>
      <c r="J12328" s="2">
        <f t="shared" si="192"/>
        <v>43748.393928796293</v>
      </c>
    </row>
    <row r="12329" spans="1:10" x14ac:dyDescent="0.25">
      <c r="A12329" s="7" t="s">
        <v>24972</v>
      </c>
      <c r="B12329" s="8">
        <v>393.75</v>
      </c>
      <c r="C12329" s="8">
        <v>20.478950000000001</v>
      </c>
      <c r="D12329" s="8">
        <v>87</v>
      </c>
      <c r="E12329" s="8">
        <v>0</v>
      </c>
      <c r="F12329" s="8">
        <v>0</v>
      </c>
      <c r="G12329" s="8">
        <v>7</v>
      </c>
      <c r="H12329" s="8" t="s">
        <v>24973</v>
      </c>
      <c r="I12329" s="8">
        <v>526.6875</v>
      </c>
      <c r="J12329" s="3">
        <f t="shared" si="192"/>
        <v>43748.394012013887</v>
      </c>
    </row>
    <row r="12330" spans="1:10" x14ac:dyDescent="0.25">
      <c r="A12330" s="5" t="s">
        <v>24974</v>
      </c>
      <c r="B12330" s="6">
        <v>393.75</v>
      </c>
      <c r="C12330" s="6">
        <v>20.478950000000001</v>
      </c>
      <c r="D12330" s="6">
        <v>87</v>
      </c>
      <c r="E12330" s="6">
        <v>0</v>
      </c>
      <c r="F12330" s="6">
        <v>0</v>
      </c>
      <c r="G12330" s="6">
        <v>4</v>
      </c>
      <c r="H12330" s="6" t="s">
        <v>24975</v>
      </c>
      <c r="I12330" s="6">
        <v>526.5</v>
      </c>
      <c r="J12330" s="2">
        <f t="shared" si="192"/>
        <v>43748.394083784719</v>
      </c>
    </row>
    <row r="12331" spans="1:10" x14ac:dyDescent="0.25">
      <c r="A12331" s="7" t="s">
        <v>24976</v>
      </c>
      <c r="B12331" s="8">
        <v>418.75</v>
      </c>
      <c r="C12331" s="8">
        <v>20.478950000000001</v>
      </c>
      <c r="D12331" s="8">
        <v>87</v>
      </c>
      <c r="E12331" s="8">
        <v>0</v>
      </c>
      <c r="F12331" s="8">
        <v>0</v>
      </c>
      <c r="G12331" s="8">
        <v>3</v>
      </c>
      <c r="H12331" s="8" t="s">
        <v>24977</v>
      </c>
      <c r="I12331" s="8">
        <v>534.1875</v>
      </c>
      <c r="J12331" s="3">
        <f t="shared" si="192"/>
        <v>43748.394182974538</v>
      </c>
    </row>
    <row r="12332" spans="1:10" x14ac:dyDescent="0.25">
      <c r="A12332" s="5" t="s">
        <v>24978</v>
      </c>
      <c r="B12332" s="6">
        <v>393.75</v>
      </c>
      <c r="C12332" s="6">
        <v>20.478950000000001</v>
      </c>
      <c r="D12332" s="6">
        <v>87</v>
      </c>
      <c r="E12332" s="6">
        <v>0</v>
      </c>
      <c r="F12332" s="6">
        <v>0</v>
      </c>
      <c r="G12332" s="6">
        <v>4</v>
      </c>
      <c r="H12332" s="6" t="s">
        <v>24979</v>
      </c>
      <c r="I12332" s="6">
        <v>526.5</v>
      </c>
      <c r="J12332" s="2">
        <f t="shared" si="192"/>
        <v>43748.394262615737</v>
      </c>
    </row>
    <row r="12333" spans="1:10" x14ac:dyDescent="0.25">
      <c r="A12333" s="7" t="s">
        <v>24980</v>
      </c>
      <c r="B12333" s="8">
        <v>412.5</v>
      </c>
      <c r="C12333" s="8">
        <v>20.478950000000001</v>
      </c>
      <c r="D12333" s="8">
        <v>87</v>
      </c>
      <c r="E12333" s="8">
        <v>0</v>
      </c>
      <c r="F12333" s="8">
        <v>0</v>
      </c>
      <c r="G12333" s="8">
        <v>15</v>
      </c>
      <c r="H12333" s="8" t="s">
        <v>24981</v>
      </c>
      <c r="I12333" s="8">
        <v>532.3125</v>
      </c>
      <c r="J12333" s="3">
        <f t="shared" si="192"/>
        <v>43748.394346516201</v>
      </c>
    </row>
    <row r="12334" spans="1:10" x14ac:dyDescent="0.25">
      <c r="A12334" s="5" t="s">
        <v>24982</v>
      </c>
      <c r="B12334" s="6">
        <v>393.75</v>
      </c>
      <c r="C12334" s="6">
        <v>20.478950000000001</v>
      </c>
      <c r="D12334" s="6">
        <v>81</v>
      </c>
      <c r="E12334" s="6">
        <v>0</v>
      </c>
      <c r="F12334" s="6">
        <v>0</v>
      </c>
      <c r="G12334" s="6">
        <v>6</v>
      </c>
      <c r="H12334" s="6" t="s">
        <v>24983</v>
      </c>
      <c r="I12334" s="6">
        <v>526.6875</v>
      </c>
      <c r="J12334" s="2">
        <f t="shared" si="192"/>
        <v>43748.394417696756</v>
      </c>
    </row>
    <row r="12335" spans="1:10" x14ac:dyDescent="0.25">
      <c r="A12335" s="7" t="s">
        <v>24984</v>
      </c>
      <c r="B12335" s="8">
        <v>393.75</v>
      </c>
      <c r="C12335" s="8">
        <v>20.478950000000001</v>
      </c>
      <c r="D12335" s="8">
        <v>80</v>
      </c>
      <c r="E12335" s="8">
        <v>0</v>
      </c>
      <c r="F12335" s="8">
        <v>0</v>
      </c>
      <c r="G12335" s="8">
        <v>7</v>
      </c>
      <c r="H12335" s="8" t="s">
        <v>24985</v>
      </c>
      <c r="I12335" s="8">
        <v>526.6875</v>
      </c>
      <c r="J12335" s="3">
        <f t="shared" si="192"/>
        <v>43748.394500925926</v>
      </c>
    </row>
    <row r="12336" spans="1:10" x14ac:dyDescent="0.25">
      <c r="A12336" s="5" t="s">
        <v>24986</v>
      </c>
      <c r="B12336" s="6">
        <v>393.75</v>
      </c>
      <c r="C12336" s="6">
        <v>20.478950000000001</v>
      </c>
      <c r="D12336" s="6">
        <v>80</v>
      </c>
      <c r="E12336" s="6">
        <v>0</v>
      </c>
      <c r="F12336" s="6">
        <v>0</v>
      </c>
      <c r="G12336" s="6">
        <v>8</v>
      </c>
      <c r="H12336" s="6" t="s">
        <v>24987</v>
      </c>
      <c r="I12336" s="6">
        <v>526.6875</v>
      </c>
      <c r="J12336" s="2">
        <f t="shared" si="192"/>
        <v>43748.394572685182</v>
      </c>
    </row>
    <row r="12337" spans="1:10" x14ac:dyDescent="0.25">
      <c r="A12337" s="7" t="s">
        <v>24988</v>
      </c>
      <c r="B12337" s="8">
        <v>393.75</v>
      </c>
      <c r="C12337" s="8">
        <v>20.478950000000001</v>
      </c>
      <c r="D12337" s="8">
        <v>89</v>
      </c>
      <c r="E12337" s="8">
        <v>0</v>
      </c>
      <c r="F12337" s="8">
        <v>0</v>
      </c>
      <c r="G12337" s="8">
        <v>6</v>
      </c>
      <c r="H12337" s="8" t="s">
        <v>24989</v>
      </c>
      <c r="I12337" s="8">
        <v>526.6875</v>
      </c>
      <c r="J12337" s="3">
        <f t="shared" si="192"/>
        <v>43748.394656134253</v>
      </c>
    </row>
    <row r="12338" spans="1:10" x14ac:dyDescent="0.25">
      <c r="A12338" s="5" t="s">
        <v>24990</v>
      </c>
      <c r="B12338" s="6">
        <v>393.75</v>
      </c>
      <c r="C12338" s="6">
        <v>20.478950000000001</v>
      </c>
      <c r="D12338" s="6">
        <v>89</v>
      </c>
      <c r="E12338" s="6">
        <v>0</v>
      </c>
      <c r="F12338" s="6">
        <v>0</v>
      </c>
      <c r="G12338" s="6">
        <v>6</v>
      </c>
      <c r="H12338" s="6" t="s">
        <v>24991</v>
      </c>
      <c r="I12338" s="6">
        <v>526.6875</v>
      </c>
      <c r="J12338" s="2">
        <f t="shared" si="192"/>
        <v>43748.394751597218</v>
      </c>
    </row>
    <row r="12339" spans="1:10" x14ac:dyDescent="0.25">
      <c r="A12339" s="7" t="s">
        <v>24992</v>
      </c>
      <c r="B12339" s="8">
        <v>393.75</v>
      </c>
      <c r="C12339" s="8">
        <v>20.478950000000001</v>
      </c>
      <c r="D12339" s="8">
        <v>89</v>
      </c>
      <c r="E12339" s="8">
        <v>0</v>
      </c>
      <c r="F12339" s="8">
        <v>0</v>
      </c>
      <c r="G12339" s="8">
        <v>6</v>
      </c>
      <c r="H12339" s="8" t="s">
        <v>24993</v>
      </c>
      <c r="I12339" s="8">
        <v>526.6875</v>
      </c>
      <c r="J12339" s="3">
        <f t="shared" si="192"/>
        <v>43748.394835069441</v>
      </c>
    </row>
    <row r="12340" spans="1:10" x14ac:dyDescent="0.25">
      <c r="A12340" s="5" t="s">
        <v>24994</v>
      </c>
      <c r="B12340" s="6">
        <v>393.75</v>
      </c>
      <c r="C12340" s="6">
        <v>20.478950000000001</v>
      </c>
      <c r="D12340" s="6">
        <v>89</v>
      </c>
      <c r="E12340" s="6">
        <v>0</v>
      </c>
      <c r="F12340" s="6">
        <v>0</v>
      </c>
      <c r="G12340" s="6">
        <v>0</v>
      </c>
      <c r="H12340" s="6" t="s">
        <v>24995</v>
      </c>
      <c r="I12340" s="6">
        <v>526.6875</v>
      </c>
      <c r="J12340" s="2">
        <f t="shared" si="192"/>
        <v>43748.39490658565</v>
      </c>
    </row>
    <row r="12341" spans="1:10" x14ac:dyDescent="0.25">
      <c r="A12341" s="7" t="s">
        <v>24996</v>
      </c>
      <c r="B12341" s="8">
        <v>393.75</v>
      </c>
      <c r="C12341" s="8">
        <v>20.478950000000001</v>
      </c>
      <c r="D12341" s="8">
        <v>89</v>
      </c>
      <c r="E12341" s="8">
        <v>0</v>
      </c>
      <c r="F12341" s="8">
        <v>0</v>
      </c>
      <c r="G12341" s="8">
        <v>3</v>
      </c>
      <c r="H12341" s="8" t="s">
        <v>24997</v>
      </c>
      <c r="I12341" s="8">
        <v>526.6875</v>
      </c>
      <c r="J12341" s="3">
        <f t="shared" si="192"/>
        <v>43748.394989803237</v>
      </c>
    </row>
    <row r="12342" spans="1:10" x14ac:dyDescent="0.25">
      <c r="A12342" s="5" t="s">
        <v>24998</v>
      </c>
      <c r="B12342" s="6">
        <v>393.75</v>
      </c>
      <c r="C12342" s="6">
        <v>20.478950000000001</v>
      </c>
      <c r="D12342" s="6">
        <v>89</v>
      </c>
      <c r="E12342" s="6">
        <v>0</v>
      </c>
      <c r="F12342" s="6">
        <v>0</v>
      </c>
      <c r="G12342" s="6">
        <v>0</v>
      </c>
      <c r="H12342" s="6" t="s">
        <v>24999</v>
      </c>
      <c r="I12342" s="6">
        <v>526.6875</v>
      </c>
      <c r="J12342" s="2">
        <f t="shared" si="192"/>
        <v>43748.3950615625</v>
      </c>
    </row>
    <row r="12343" spans="1:10" x14ac:dyDescent="0.25">
      <c r="A12343" s="7" t="s">
        <v>25000</v>
      </c>
      <c r="B12343" s="8">
        <v>393.75</v>
      </c>
      <c r="C12343" s="8">
        <v>20.478950000000001</v>
      </c>
      <c r="D12343" s="8">
        <v>89</v>
      </c>
      <c r="E12343" s="8">
        <v>0</v>
      </c>
      <c r="F12343" s="8">
        <v>0</v>
      </c>
      <c r="G12343" s="8">
        <v>2</v>
      </c>
      <c r="H12343" s="8" t="s">
        <v>25001</v>
      </c>
      <c r="I12343" s="8">
        <v>526.6875</v>
      </c>
      <c r="J12343" s="3">
        <f t="shared" si="192"/>
        <v>43748.3951590625</v>
      </c>
    </row>
    <row r="12344" spans="1:10" x14ac:dyDescent="0.25">
      <c r="A12344" s="5" t="s">
        <v>25002</v>
      </c>
      <c r="B12344" s="6">
        <v>393.75</v>
      </c>
      <c r="C12344" s="6">
        <v>20.478950000000001</v>
      </c>
      <c r="D12344" s="6">
        <v>89</v>
      </c>
      <c r="E12344" s="6">
        <v>0</v>
      </c>
      <c r="F12344" s="6">
        <v>0</v>
      </c>
      <c r="G12344" s="6">
        <v>0</v>
      </c>
      <c r="H12344" s="6" t="s">
        <v>25003</v>
      </c>
      <c r="I12344" s="6">
        <v>526.6875</v>
      </c>
      <c r="J12344" s="2">
        <f t="shared" si="192"/>
        <v>43748.395240613427</v>
      </c>
    </row>
    <row r="12345" spans="1:10" x14ac:dyDescent="0.25">
      <c r="A12345" s="7" t="s">
        <v>25004</v>
      </c>
      <c r="B12345" s="8">
        <v>393.75</v>
      </c>
      <c r="C12345" s="8">
        <v>20.478950000000001</v>
      </c>
      <c r="D12345" s="8">
        <v>89</v>
      </c>
      <c r="E12345" s="8">
        <v>0</v>
      </c>
      <c r="F12345" s="8">
        <v>0</v>
      </c>
      <c r="G12345" s="8">
        <v>1</v>
      </c>
      <c r="H12345" s="8" t="s">
        <v>25005</v>
      </c>
      <c r="I12345" s="8">
        <v>526.5</v>
      </c>
      <c r="J12345" s="3">
        <f t="shared" si="192"/>
        <v>43748.395323969904</v>
      </c>
    </row>
    <row r="12346" spans="1:10" x14ac:dyDescent="0.25">
      <c r="A12346" s="5" t="s">
        <v>25006</v>
      </c>
      <c r="B12346" s="6">
        <v>393.75</v>
      </c>
      <c r="C12346" s="6">
        <v>20.478950000000001</v>
      </c>
      <c r="D12346" s="6">
        <v>89</v>
      </c>
      <c r="E12346" s="6">
        <v>0</v>
      </c>
      <c r="F12346" s="6">
        <v>0</v>
      </c>
      <c r="G12346" s="6">
        <v>9</v>
      </c>
      <c r="H12346" s="6" t="s">
        <v>25007</v>
      </c>
      <c r="I12346" s="6">
        <v>526.6875</v>
      </c>
      <c r="J12346" s="2">
        <f t="shared" si="192"/>
        <v>43748.395395601845</v>
      </c>
    </row>
    <row r="12347" spans="1:10" x14ac:dyDescent="0.25">
      <c r="A12347" s="7" t="s">
        <v>25008</v>
      </c>
      <c r="B12347" s="8">
        <v>393.75</v>
      </c>
      <c r="C12347" s="8">
        <v>20.478950000000001</v>
      </c>
      <c r="D12347" s="8">
        <v>91</v>
      </c>
      <c r="E12347" s="8">
        <v>0</v>
      </c>
      <c r="F12347" s="8">
        <v>0</v>
      </c>
      <c r="G12347" s="8">
        <v>0</v>
      </c>
      <c r="H12347" s="8" t="s">
        <v>25009</v>
      </c>
      <c r="I12347" s="8">
        <v>526.6875</v>
      </c>
      <c r="J12347" s="3">
        <f t="shared" si="192"/>
        <v>43748.395467152775</v>
      </c>
    </row>
    <row r="12348" spans="1:10" x14ac:dyDescent="0.25">
      <c r="A12348" s="5" t="s">
        <v>25010</v>
      </c>
      <c r="B12348" s="6">
        <v>393.75</v>
      </c>
      <c r="C12348" s="6">
        <v>20.478950000000001</v>
      </c>
      <c r="D12348" s="6">
        <v>89</v>
      </c>
      <c r="E12348" s="6">
        <v>0</v>
      </c>
      <c r="F12348" s="6">
        <v>0</v>
      </c>
      <c r="G12348" s="6">
        <v>0</v>
      </c>
      <c r="H12348" s="6" t="s">
        <v>25011</v>
      </c>
      <c r="I12348" s="6">
        <v>526.6875</v>
      </c>
      <c r="J12348" s="2">
        <f t="shared" si="192"/>
        <v>43748.395550578702</v>
      </c>
    </row>
    <row r="12349" spans="1:10" x14ac:dyDescent="0.25">
      <c r="A12349" s="7" t="s">
        <v>25012</v>
      </c>
      <c r="B12349" s="8">
        <v>393.75</v>
      </c>
      <c r="C12349" s="8">
        <v>20.478950000000001</v>
      </c>
      <c r="D12349" s="8">
        <v>88</v>
      </c>
      <c r="E12349" s="8">
        <v>0</v>
      </c>
      <c r="F12349" s="8">
        <v>0</v>
      </c>
      <c r="G12349" s="8">
        <v>13</v>
      </c>
      <c r="H12349" s="8" t="s">
        <v>25013</v>
      </c>
      <c r="I12349" s="8">
        <v>526.6875</v>
      </c>
      <c r="J12349" s="3">
        <f t="shared" si="192"/>
        <v>43748.395634374996</v>
      </c>
    </row>
    <row r="12350" spans="1:10" x14ac:dyDescent="0.25">
      <c r="A12350" s="5" t="s">
        <v>25014</v>
      </c>
      <c r="B12350" s="6">
        <v>393.75</v>
      </c>
      <c r="C12350" s="6">
        <v>20.478950000000001</v>
      </c>
      <c r="D12350" s="6">
        <v>88</v>
      </c>
      <c r="E12350" s="6">
        <v>0</v>
      </c>
      <c r="F12350" s="6">
        <v>0</v>
      </c>
      <c r="G12350" s="6">
        <v>2</v>
      </c>
      <c r="H12350" s="6" t="s">
        <v>25015</v>
      </c>
      <c r="I12350" s="6">
        <v>526.5</v>
      </c>
      <c r="J12350" s="2">
        <f t="shared" si="192"/>
        <v>43748.39571759259</v>
      </c>
    </row>
    <row r="12351" spans="1:10" x14ac:dyDescent="0.25">
      <c r="A12351" s="7" t="s">
        <v>25016</v>
      </c>
      <c r="B12351" s="8">
        <v>409.375</v>
      </c>
      <c r="C12351" s="8">
        <v>20.478950000000001</v>
      </c>
      <c r="D12351" s="8">
        <v>87</v>
      </c>
      <c r="E12351" s="8">
        <v>0</v>
      </c>
      <c r="F12351" s="8">
        <v>0</v>
      </c>
      <c r="G12351" s="8">
        <v>4</v>
      </c>
      <c r="H12351" s="8" t="s">
        <v>25017</v>
      </c>
      <c r="I12351" s="8">
        <v>531.75</v>
      </c>
      <c r="J12351" s="3">
        <f t="shared" si="192"/>
        <v>43748.395801053237</v>
      </c>
    </row>
    <row r="12352" spans="1:10" x14ac:dyDescent="0.25">
      <c r="A12352" s="5" t="s">
        <v>25018</v>
      </c>
      <c r="B12352" s="6">
        <v>393.75</v>
      </c>
      <c r="C12352" s="6">
        <v>20.478950000000001</v>
      </c>
      <c r="D12352" s="6">
        <v>87</v>
      </c>
      <c r="E12352" s="6">
        <v>0</v>
      </c>
      <c r="F12352" s="6">
        <v>0</v>
      </c>
      <c r="G12352" s="6">
        <v>10</v>
      </c>
      <c r="H12352" s="6" t="s">
        <v>25019</v>
      </c>
      <c r="I12352" s="6">
        <v>526.6875</v>
      </c>
      <c r="J12352" s="2">
        <f t="shared" si="192"/>
        <v>43748.395872569447</v>
      </c>
    </row>
    <row r="12353" spans="1:10" x14ac:dyDescent="0.25">
      <c r="A12353" s="7" t="s">
        <v>25020</v>
      </c>
      <c r="B12353" s="8">
        <v>393.75</v>
      </c>
      <c r="C12353" s="8">
        <v>20.478950000000001</v>
      </c>
      <c r="D12353" s="8">
        <v>87</v>
      </c>
      <c r="E12353" s="8">
        <v>0</v>
      </c>
      <c r="F12353" s="8">
        <v>0</v>
      </c>
      <c r="G12353" s="8">
        <v>5</v>
      </c>
      <c r="H12353" s="8" t="s">
        <v>25021</v>
      </c>
      <c r="I12353" s="8">
        <v>526.6875</v>
      </c>
      <c r="J12353" s="3">
        <f t="shared" si="192"/>
        <v>43748.395957048611</v>
      </c>
    </row>
    <row r="12354" spans="1:10" x14ac:dyDescent="0.25">
      <c r="A12354" s="5" t="s">
        <v>25022</v>
      </c>
      <c r="B12354" s="6">
        <v>393.75</v>
      </c>
      <c r="C12354" s="6">
        <v>20.478950000000001</v>
      </c>
      <c r="D12354" s="6">
        <v>87</v>
      </c>
      <c r="E12354" s="6">
        <v>0</v>
      </c>
      <c r="F12354" s="6">
        <v>0</v>
      </c>
      <c r="G12354" s="6">
        <v>3</v>
      </c>
      <c r="H12354" s="6" t="s">
        <v>25023</v>
      </c>
      <c r="I12354" s="6">
        <v>526.6875</v>
      </c>
      <c r="J12354" s="2">
        <f t="shared" ref="J12354:J12417" si="193">(H12354/86400000)+25569+(7/24)</f>
        <v>43748.396039571759</v>
      </c>
    </row>
    <row r="12355" spans="1:10" x14ac:dyDescent="0.25">
      <c r="A12355" s="7" t="s">
        <v>25024</v>
      </c>
      <c r="B12355" s="8">
        <v>393.75</v>
      </c>
      <c r="C12355" s="8">
        <v>20.478950000000001</v>
      </c>
      <c r="D12355" s="8">
        <v>86</v>
      </c>
      <c r="E12355" s="8">
        <v>0</v>
      </c>
      <c r="F12355" s="8">
        <v>0</v>
      </c>
      <c r="G12355" s="8">
        <v>5</v>
      </c>
      <c r="H12355" s="8" t="s">
        <v>25025</v>
      </c>
      <c r="I12355" s="8">
        <v>526.6875</v>
      </c>
      <c r="J12355" s="3">
        <f t="shared" si="193"/>
        <v>43748.396123043982</v>
      </c>
    </row>
    <row r="12356" spans="1:10" x14ac:dyDescent="0.25">
      <c r="A12356" s="5" t="s">
        <v>25026</v>
      </c>
      <c r="B12356" s="6">
        <v>412.5</v>
      </c>
      <c r="C12356" s="6">
        <v>20.478950000000001</v>
      </c>
      <c r="D12356" s="6">
        <v>86</v>
      </c>
      <c r="E12356" s="6">
        <v>0</v>
      </c>
      <c r="F12356" s="6">
        <v>0</v>
      </c>
      <c r="G12356" s="6">
        <v>10</v>
      </c>
      <c r="H12356" s="6" t="s">
        <v>25027</v>
      </c>
      <c r="I12356" s="6">
        <v>532.6875</v>
      </c>
      <c r="J12356" s="2">
        <f t="shared" si="193"/>
        <v>43748.396206493053</v>
      </c>
    </row>
    <row r="12357" spans="1:10" x14ac:dyDescent="0.25">
      <c r="A12357" s="7" t="s">
        <v>25028</v>
      </c>
      <c r="B12357" s="8">
        <v>393.75</v>
      </c>
      <c r="C12357" s="8">
        <v>20.478950000000001</v>
      </c>
      <c r="D12357" s="8">
        <v>86</v>
      </c>
      <c r="E12357" s="8">
        <v>0</v>
      </c>
      <c r="F12357" s="8">
        <v>0</v>
      </c>
      <c r="G12357" s="8">
        <v>9</v>
      </c>
      <c r="H12357" s="8" t="s">
        <v>25029</v>
      </c>
      <c r="I12357" s="8">
        <v>526.6875</v>
      </c>
      <c r="J12357" s="3">
        <f t="shared" si="193"/>
        <v>43748.396289814809</v>
      </c>
    </row>
    <row r="12358" spans="1:10" x14ac:dyDescent="0.25">
      <c r="A12358" s="5" t="s">
        <v>25030</v>
      </c>
      <c r="B12358" s="6">
        <v>393.75</v>
      </c>
      <c r="C12358" s="6">
        <v>20.478950000000001</v>
      </c>
      <c r="D12358" s="6">
        <v>86</v>
      </c>
      <c r="E12358" s="6">
        <v>0</v>
      </c>
      <c r="F12358" s="6">
        <v>0</v>
      </c>
      <c r="G12358" s="6">
        <v>3</v>
      </c>
      <c r="H12358" s="6" t="s">
        <v>25031</v>
      </c>
      <c r="I12358" s="6">
        <v>526.6875</v>
      </c>
      <c r="J12358" s="2">
        <f t="shared" si="193"/>
        <v>43748.396361458326</v>
      </c>
    </row>
    <row r="12359" spans="1:10" x14ac:dyDescent="0.25">
      <c r="A12359" s="7" t="s">
        <v>25032</v>
      </c>
      <c r="B12359" s="8">
        <v>393.75</v>
      </c>
      <c r="C12359" s="8">
        <v>20.478950000000001</v>
      </c>
      <c r="D12359" s="8">
        <v>86</v>
      </c>
      <c r="E12359" s="8">
        <v>0</v>
      </c>
      <c r="F12359" s="8">
        <v>0</v>
      </c>
      <c r="G12359" s="8">
        <v>3</v>
      </c>
      <c r="H12359" s="8" t="s">
        <v>25033</v>
      </c>
      <c r="I12359" s="8">
        <v>526.6875</v>
      </c>
      <c r="J12359" s="3">
        <f t="shared" si="193"/>
        <v>43748.396445023151</v>
      </c>
    </row>
    <row r="12360" spans="1:10" x14ac:dyDescent="0.25">
      <c r="A12360" s="5" t="s">
        <v>25034</v>
      </c>
      <c r="B12360" s="6">
        <v>393.75</v>
      </c>
      <c r="C12360" s="6">
        <v>20.478950000000001</v>
      </c>
      <c r="D12360" s="6">
        <v>81</v>
      </c>
      <c r="E12360" s="6">
        <v>0</v>
      </c>
      <c r="F12360" s="6">
        <v>0</v>
      </c>
      <c r="G12360" s="6">
        <v>11</v>
      </c>
      <c r="H12360" s="6" t="s">
        <v>25035</v>
      </c>
      <c r="I12360" s="6">
        <v>526.6875</v>
      </c>
      <c r="J12360" s="2">
        <f t="shared" si="193"/>
        <v>43748.396528472214</v>
      </c>
    </row>
    <row r="12361" spans="1:10" x14ac:dyDescent="0.25">
      <c r="A12361" s="7" t="s">
        <v>25036</v>
      </c>
      <c r="B12361" s="8">
        <v>412.5</v>
      </c>
      <c r="C12361" s="8">
        <v>20.478950000000001</v>
      </c>
      <c r="D12361" s="8">
        <v>81</v>
      </c>
      <c r="E12361" s="8">
        <v>0</v>
      </c>
      <c r="F12361" s="8">
        <v>0</v>
      </c>
      <c r="G12361" s="8">
        <v>6</v>
      </c>
      <c r="H12361" s="8" t="s">
        <v>25037</v>
      </c>
      <c r="I12361" s="8">
        <v>532.5</v>
      </c>
      <c r="J12361" s="3">
        <f t="shared" si="193"/>
        <v>43748.39661215277</v>
      </c>
    </row>
    <row r="12362" spans="1:10" x14ac:dyDescent="0.25">
      <c r="A12362" s="5" t="s">
        <v>25038</v>
      </c>
      <c r="B12362" s="6">
        <v>393.75</v>
      </c>
      <c r="C12362" s="6">
        <v>20.478950000000001</v>
      </c>
      <c r="D12362" s="6">
        <v>82</v>
      </c>
      <c r="E12362" s="6">
        <v>0</v>
      </c>
      <c r="F12362" s="6">
        <v>0</v>
      </c>
      <c r="G12362" s="6">
        <v>2</v>
      </c>
      <c r="H12362" s="6" t="s">
        <v>25039</v>
      </c>
      <c r="I12362" s="6">
        <v>526.6875</v>
      </c>
      <c r="J12362" s="2">
        <f t="shared" si="193"/>
        <v>43748.396695474534</v>
      </c>
    </row>
    <row r="12363" spans="1:10" x14ac:dyDescent="0.25">
      <c r="A12363" s="7" t="s">
        <v>25040</v>
      </c>
      <c r="B12363" s="8">
        <v>393.75</v>
      </c>
      <c r="C12363" s="8">
        <v>20.478950000000001</v>
      </c>
      <c r="D12363" s="8">
        <v>82</v>
      </c>
      <c r="E12363" s="8">
        <v>0</v>
      </c>
      <c r="F12363" s="8">
        <v>0</v>
      </c>
      <c r="G12363" s="8">
        <v>15</v>
      </c>
      <c r="H12363" s="8" t="s">
        <v>25041</v>
      </c>
      <c r="I12363" s="8">
        <v>526.6875</v>
      </c>
      <c r="J12363" s="3">
        <f t="shared" si="193"/>
        <v>43748.396778703704</v>
      </c>
    </row>
    <row r="12364" spans="1:10" x14ac:dyDescent="0.25">
      <c r="A12364" s="5" t="s">
        <v>25042</v>
      </c>
      <c r="B12364" s="6">
        <v>393.75</v>
      </c>
      <c r="C12364" s="6">
        <v>20.478950000000001</v>
      </c>
      <c r="D12364" s="6">
        <v>83</v>
      </c>
      <c r="E12364" s="6">
        <v>0</v>
      </c>
      <c r="F12364" s="6">
        <v>0</v>
      </c>
      <c r="G12364" s="6">
        <v>2</v>
      </c>
      <c r="H12364" s="6" t="s">
        <v>25043</v>
      </c>
      <c r="I12364" s="6">
        <v>526.6875</v>
      </c>
      <c r="J12364" s="2">
        <f t="shared" si="193"/>
        <v>43748.396862372683</v>
      </c>
    </row>
    <row r="12365" spans="1:10" x14ac:dyDescent="0.25">
      <c r="A12365" s="7" t="s">
        <v>25044</v>
      </c>
      <c r="B12365" s="8">
        <v>415.625</v>
      </c>
      <c r="C12365" s="8">
        <v>20.478950000000001</v>
      </c>
      <c r="D12365" s="8">
        <v>84</v>
      </c>
      <c r="E12365" s="8">
        <v>0</v>
      </c>
      <c r="F12365" s="8">
        <v>0</v>
      </c>
      <c r="G12365" s="8">
        <v>8</v>
      </c>
      <c r="H12365" s="8" t="s">
        <v>25045</v>
      </c>
      <c r="I12365" s="8">
        <v>533.4375</v>
      </c>
      <c r="J12365" s="3">
        <f t="shared" si="193"/>
        <v>43748.396957766199</v>
      </c>
    </row>
    <row r="12366" spans="1:10" x14ac:dyDescent="0.25">
      <c r="A12366" s="5" t="s">
        <v>25046</v>
      </c>
      <c r="B12366" s="6">
        <v>393.75</v>
      </c>
      <c r="C12366" s="6">
        <v>20.478950000000001</v>
      </c>
      <c r="D12366" s="6">
        <v>83</v>
      </c>
      <c r="E12366" s="6">
        <v>0</v>
      </c>
      <c r="F12366" s="6">
        <v>0</v>
      </c>
      <c r="G12366" s="6">
        <v>3</v>
      </c>
      <c r="H12366" s="6" t="s">
        <v>25047</v>
      </c>
      <c r="I12366" s="6">
        <v>526.6875</v>
      </c>
      <c r="J12366" s="2">
        <f t="shared" si="193"/>
        <v>43748.397029282401</v>
      </c>
    </row>
    <row r="12367" spans="1:10" x14ac:dyDescent="0.25">
      <c r="A12367" s="7" t="s">
        <v>25048</v>
      </c>
      <c r="B12367" s="8">
        <v>393.75</v>
      </c>
      <c r="C12367" s="8">
        <v>20.478950000000001</v>
      </c>
      <c r="D12367" s="8">
        <v>83</v>
      </c>
      <c r="E12367" s="8">
        <v>0</v>
      </c>
      <c r="F12367" s="8">
        <v>0</v>
      </c>
      <c r="G12367" s="8">
        <v>12</v>
      </c>
      <c r="H12367" s="8" t="s">
        <v>25049</v>
      </c>
      <c r="I12367" s="8">
        <v>526.6875</v>
      </c>
      <c r="J12367" s="3">
        <f t="shared" si="193"/>
        <v>43748.397112870363</v>
      </c>
    </row>
    <row r="12368" spans="1:10" x14ac:dyDescent="0.25">
      <c r="A12368" s="5" t="s">
        <v>25050</v>
      </c>
      <c r="B12368" s="6">
        <v>412.5</v>
      </c>
      <c r="C12368" s="6">
        <v>20.478950000000001</v>
      </c>
      <c r="D12368" s="6">
        <v>84</v>
      </c>
      <c r="E12368" s="6">
        <v>0</v>
      </c>
      <c r="F12368" s="6">
        <v>0</v>
      </c>
      <c r="G12368" s="6">
        <v>1</v>
      </c>
      <c r="H12368" s="6" t="s">
        <v>25051</v>
      </c>
      <c r="I12368" s="6">
        <v>532.6875</v>
      </c>
      <c r="J12368" s="2">
        <f t="shared" si="193"/>
        <v>43748.397184374997</v>
      </c>
    </row>
    <row r="12369" spans="1:10" x14ac:dyDescent="0.25">
      <c r="A12369" s="7" t="s">
        <v>25052</v>
      </c>
      <c r="B12369" s="8">
        <v>393.75</v>
      </c>
      <c r="C12369" s="8">
        <v>20.478950000000001</v>
      </c>
      <c r="D12369" s="8">
        <v>83</v>
      </c>
      <c r="E12369" s="8">
        <v>0</v>
      </c>
      <c r="F12369" s="8">
        <v>0</v>
      </c>
      <c r="G12369" s="8">
        <v>6</v>
      </c>
      <c r="H12369" s="8" t="s">
        <v>25053</v>
      </c>
      <c r="I12369" s="8">
        <v>526.6875</v>
      </c>
      <c r="J12369" s="3">
        <f t="shared" si="193"/>
        <v>43748.397267592591</v>
      </c>
    </row>
    <row r="12370" spans="1:10" x14ac:dyDescent="0.25">
      <c r="A12370" s="5" t="s">
        <v>25054</v>
      </c>
      <c r="B12370" s="6">
        <v>393.75</v>
      </c>
      <c r="C12370" s="6">
        <v>20.478950000000001</v>
      </c>
      <c r="D12370" s="6">
        <v>84</v>
      </c>
      <c r="E12370" s="6">
        <v>0</v>
      </c>
      <c r="F12370" s="6">
        <v>0</v>
      </c>
      <c r="G12370" s="6">
        <v>11</v>
      </c>
      <c r="H12370" s="6" t="s">
        <v>25055</v>
      </c>
      <c r="I12370" s="6">
        <v>526.6875</v>
      </c>
      <c r="J12370" s="2">
        <f t="shared" si="193"/>
        <v>43748.397351273146</v>
      </c>
    </row>
    <row r="12371" spans="1:10" x14ac:dyDescent="0.25">
      <c r="A12371" s="7" t="s">
        <v>25056</v>
      </c>
      <c r="B12371" s="8">
        <v>393.75</v>
      </c>
      <c r="C12371" s="8">
        <v>20.478950000000001</v>
      </c>
      <c r="D12371" s="8">
        <v>84</v>
      </c>
      <c r="E12371" s="8">
        <v>0</v>
      </c>
      <c r="F12371" s="8">
        <v>0</v>
      </c>
      <c r="G12371" s="8">
        <v>7</v>
      </c>
      <c r="H12371" s="8" t="s">
        <v>25057</v>
      </c>
      <c r="I12371" s="8">
        <v>526.5</v>
      </c>
      <c r="J12371" s="3">
        <f t="shared" si="193"/>
        <v>43748.397434467588</v>
      </c>
    </row>
    <row r="12372" spans="1:10" x14ac:dyDescent="0.25">
      <c r="A12372" s="5" t="s">
        <v>25058</v>
      </c>
      <c r="B12372" s="6">
        <v>393.75</v>
      </c>
      <c r="C12372" s="6">
        <v>20.478950000000001</v>
      </c>
      <c r="D12372" s="6">
        <v>85</v>
      </c>
      <c r="E12372" s="6">
        <v>0</v>
      </c>
      <c r="F12372" s="6">
        <v>0</v>
      </c>
      <c r="G12372" s="6">
        <v>6</v>
      </c>
      <c r="H12372" s="6" t="s">
        <v>25059</v>
      </c>
      <c r="I12372" s="6">
        <v>526.6875</v>
      </c>
      <c r="J12372" s="2">
        <f t="shared" si="193"/>
        <v>43748.397506249996</v>
      </c>
    </row>
    <row r="12373" spans="1:10" x14ac:dyDescent="0.25">
      <c r="A12373" s="7" t="s">
        <v>25060</v>
      </c>
      <c r="B12373" s="8">
        <v>393.75</v>
      </c>
      <c r="C12373" s="8">
        <v>20.478950000000001</v>
      </c>
      <c r="D12373" s="8">
        <v>85</v>
      </c>
      <c r="E12373" s="8">
        <v>0</v>
      </c>
      <c r="F12373" s="8">
        <v>0</v>
      </c>
      <c r="G12373" s="8">
        <v>0</v>
      </c>
      <c r="H12373" s="8" t="s">
        <v>25061</v>
      </c>
      <c r="I12373" s="8">
        <v>526.6875</v>
      </c>
      <c r="J12373" s="3">
        <f t="shared" si="193"/>
        <v>43748.397589942128</v>
      </c>
    </row>
    <row r="12374" spans="1:10" x14ac:dyDescent="0.25">
      <c r="A12374" s="5" t="s">
        <v>25062</v>
      </c>
      <c r="B12374" s="6">
        <v>393.75</v>
      </c>
      <c r="C12374" s="6">
        <v>20.478950000000001</v>
      </c>
      <c r="D12374" s="6">
        <v>86</v>
      </c>
      <c r="E12374" s="6">
        <v>0</v>
      </c>
      <c r="F12374" s="6">
        <v>0</v>
      </c>
      <c r="G12374" s="6">
        <v>2</v>
      </c>
      <c r="H12374" s="6" t="s">
        <v>25063</v>
      </c>
      <c r="I12374" s="6">
        <v>526.6875</v>
      </c>
      <c r="J12374" s="2">
        <f t="shared" si="193"/>
        <v>43748.39767327546</v>
      </c>
    </row>
    <row r="12375" spans="1:10" x14ac:dyDescent="0.25">
      <c r="A12375" s="7" t="s">
        <v>25064</v>
      </c>
      <c r="B12375" s="8">
        <v>393.75</v>
      </c>
      <c r="C12375" s="8">
        <v>20.478950000000001</v>
      </c>
      <c r="D12375" s="8">
        <v>84</v>
      </c>
      <c r="E12375" s="8">
        <v>0</v>
      </c>
      <c r="F12375" s="8">
        <v>0</v>
      </c>
      <c r="G12375" s="8">
        <v>4</v>
      </c>
      <c r="H12375" s="8" t="s">
        <v>25065</v>
      </c>
      <c r="I12375" s="8">
        <v>526.6875</v>
      </c>
      <c r="J12375" s="3">
        <f t="shared" si="193"/>
        <v>43748.397756481478</v>
      </c>
    </row>
    <row r="12376" spans="1:10" x14ac:dyDescent="0.25">
      <c r="A12376" s="5" t="s">
        <v>25066</v>
      </c>
      <c r="B12376" s="6">
        <v>393.75</v>
      </c>
      <c r="C12376" s="6">
        <v>20.478950000000001</v>
      </c>
      <c r="D12376" s="6">
        <v>84</v>
      </c>
      <c r="E12376" s="6">
        <v>0</v>
      </c>
      <c r="F12376" s="6">
        <v>0</v>
      </c>
      <c r="G12376" s="6">
        <v>0</v>
      </c>
      <c r="H12376" s="6" t="s">
        <v>25067</v>
      </c>
      <c r="I12376" s="6">
        <v>526.6875</v>
      </c>
      <c r="J12376" s="2">
        <f t="shared" si="193"/>
        <v>43748.397827881941</v>
      </c>
    </row>
    <row r="12377" spans="1:10" x14ac:dyDescent="0.25">
      <c r="A12377" s="7" t="s">
        <v>25068</v>
      </c>
      <c r="B12377" s="8">
        <v>393.75</v>
      </c>
      <c r="C12377" s="8">
        <v>20.478950000000001</v>
      </c>
      <c r="D12377" s="8">
        <v>85</v>
      </c>
      <c r="E12377" s="8">
        <v>0</v>
      </c>
      <c r="F12377" s="8">
        <v>0</v>
      </c>
      <c r="G12377" s="8">
        <v>0</v>
      </c>
      <c r="H12377" s="8" t="s">
        <v>25069</v>
      </c>
      <c r="I12377" s="8">
        <v>526.6875</v>
      </c>
      <c r="J12377" s="3">
        <f t="shared" si="193"/>
        <v>43748.397899872682</v>
      </c>
    </row>
    <row r="12378" spans="1:10" x14ac:dyDescent="0.25">
      <c r="A12378" s="5" t="s">
        <v>25070</v>
      </c>
      <c r="B12378" s="6">
        <v>393.75</v>
      </c>
      <c r="C12378" s="6">
        <v>20.478950000000001</v>
      </c>
      <c r="D12378" s="6">
        <v>85</v>
      </c>
      <c r="E12378" s="6">
        <v>0</v>
      </c>
      <c r="F12378" s="6">
        <v>0</v>
      </c>
      <c r="G12378" s="6">
        <v>0</v>
      </c>
      <c r="H12378" s="6" t="s">
        <v>25071</v>
      </c>
      <c r="I12378" s="6">
        <v>526.6875</v>
      </c>
      <c r="J12378" s="2">
        <f t="shared" si="193"/>
        <v>43748.397983333336</v>
      </c>
    </row>
    <row r="12379" spans="1:10" x14ac:dyDescent="0.25">
      <c r="A12379" s="7" t="s">
        <v>25072</v>
      </c>
      <c r="B12379" s="8">
        <v>428.125</v>
      </c>
      <c r="C12379" s="8">
        <v>20.478950000000001</v>
      </c>
      <c r="D12379" s="8">
        <v>84</v>
      </c>
      <c r="E12379" s="8">
        <v>0</v>
      </c>
      <c r="F12379" s="8">
        <v>0</v>
      </c>
      <c r="G12379" s="8">
        <v>2</v>
      </c>
      <c r="H12379" s="8" t="s">
        <v>25073</v>
      </c>
      <c r="I12379" s="8">
        <v>537</v>
      </c>
      <c r="J12379" s="3">
        <f t="shared" si="193"/>
        <v>43748.398054872683</v>
      </c>
    </row>
    <row r="12380" spans="1:10" x14ac:dyDescent="0.25">
      <c r="A12380" s="5" t="s">
        <v>25074</v>
      </c>
      <c r="B12380" s="6">
        <v>393.75</v>
      </c>
      <c r="C12380" s="6">
        <v>20.478950000000001</v>
      </c>
      <c r="D12380" s="6">
        <v>84</v>
      </c>
      <c r="E12380" s="6">
        <v>0</v>
      </c>
      <c r="F12380" s="6">
        <v>0</v>
      </c>
      <c r="G12380" s="6">
        <v>2</v>
      </c>
      <c r="H12380" s="6" t="s">
        <v>25075</v>
      </c>
      <c r="I12380" s="6">
        <v>526.5</v>
      </c>
      <c r="J12380" s="2">
        <f t="shared" si="193"/>
        <v>43748.398138124998</v>
      </c>
    </row>
    <row r="12381" spans="1:10" x14ac:dyDescent="0.25">
      <c r="A12381" s="7" t="s">
        <v>25076</v>
      </c>
      <c r="B12381" s="8">
        <v>393.75</v>
      </c>
      <c r="C12381" s="8">
        <v>20.478950000000001</v>
      </c>
      <c r="D12381" s="8">
        <v>83</v>
      </c>
      <c r="E12381" s="8">
        <v>0</v>
      </c>
      <c r="F12381" s="8">
        <v>0</v>
      </c>
      <c r="G12381" s="8">
        <v>0</v>
      </c>
      <c r="H12381" s="8" t="s">
        <v>25077</v>
      </c>
      <c r="I12381" s="8">
        <v>526.5</v>
      </c>
      <c r="J12381" s="3">
        <f t="shared" si="193"/>
        <v>43748.398221886571</v>
      </c>
    </row>
    <row r="12382" spans="1:10" x14ac:dyDescent="0.25">
      <c r="A12382" s="5" t="s">
        <v>25078</v>
      </c>
      <c r="B12382" s="6">
        <v>393.75</v>
      </c>
      <c r="C12382" s="6">
        <v>20.478950000000001</v>
      </c>
      <c r="D12382" s="6">
        <v>83</v>
      </c>
      <c r="E12382" s="6">
        <v>0</v>
      </c>
      <c r="F12382" s="6">
        <v>0</v>
      </c>
      <c r="G12382" s="6">
        <v>2</v>
      </c>
      <c r="H12382" s="6" t="s">
        <v>25079</v>
      </c>
      <c r="I12382" s="6">
        <v>526.6875</v>
      </c>
      <c r="J12382" s="2">
        <f t="shared" si="193"/>
        <v>43748.398305451388</v>
      </c>
    </row>
    <row r="12383" spans="1:10" x14ac:dyDescent="0.25">
      <c r="A12383" s="7" t="s">
        <v>25080</v>
      </c>
      <c r="B12383" s="8">
        <v>393.75</v>
      </c>
      <c r="C12383" s="8">
        <v>20.478950000000001</v>
      </c>
      <c r="D12383" s="8">
        <v>84</v>
      </c>
      <c r="E12383" s="8">
        <v>0</v>
      </c>
      <c r="F12383" s="8">
        <v>0</v>
      </c>
      <c r="G12383" s="8">
        <v>0</v>
      </c>
      <c r="H12383" s="8" t="s">
        <v>25081</v>
      </c>
      <c r="I12383" s="8">
        <v>526.6875</v>
      </c>
      <c r="J12383" s="3">
        <f t="shared" si="193"/>
        <v>43748.398376851845</v>
      </c>
    </row>
    <row r="12384" spans="1:10" x14ac:dyDescent="0.25">
      <c r="A12384" s="5" t="s">
        <v>25082</v>
      </c>
      <c r="B12384" s="6">
        <v>393.75</v>
      </c>
      <c r="C12384" s="6">
        <v>20.478950000000001</v>
      </c>
      <c r="D12384" s="6">
        <v>83</v>
      </c>
      <c r="E12384" s="6">
        <v>0</v>
      </c>
      <c r="F12384" s="6">
        <v>0</v>
      </c>
      <c r="G12384" s="6">
        <v>0</v>
      </c>
      <c r="H12384" s="6" t="s">
        <v>25083</v>
      </c>
      <c r="I12384" s="6">
        <v>526.6875</v>
      </c>
      <c r="J12384" s="2">
        <f t="shared" si="193"/>
        <v>43748.39846019676</v>
      </c>
    </row>
    <row r="12385" spans="1:10" x14ac:dyDescent="0.25">
      <c r="A12385" s="7" t="s">
        <v>25084</v>
      </c>
      <c r="B12385" s="8">
        <v>393.75</v>
      </c>
      <c r="C12385" s="8">
        <v>20.478950000000001</v>
      </c>
      <c r="D12385" s="8">
        <v>84</v>
      </c>
      <c r="E12385" s="8">
        <v>0</v>
      </c>
      <c r="F12385" s="8">
        <v>0</v>
      </c>
      <c r="G12385" s="8">
        <v>0</v>
      </c>
      <c r="H12385" s="8" t="s">
        <v>25085</v>
      </c>
      <c r="I12385" s="8">
        <v>526.6875</v>
      </c>
      <c r="J12385" s="3">
        <f t="shared" si="193"/>
        <v>43748.39854386574</v>
      </c>
    </row>
    <row r="12386" spans="1:10" x14ac:dyDescent="0.25">
      <c r="A12386" s="5" t="s">
        <v>25086</v>
      </c>
      <c r="B12386" s="6">
        <v>393.75</v>
      </c>
      <c r="C12386" s="6">
        <v>20.478950000000001</v>
      </c>
      <c r="D12386" s="6">
        <v>84</v>
      </c>
      <c r="E12386" s="6">
        <v>0</v>
      </c>
      <c r="F12386" s="6">
        <v>0</v>
      </c>
      <c r="G12386" s="6">
        <v>0</v>
      </c>
      <c r="H12386" s="6" t="s">
        <v>25087</v>
      </c>
      <c r="I12386" s="6">
        <v>526.6875</v>
      </c>
      <c r="J12386" s="2">
        <f t="shared" si="193"/>
        <v>43748.39862699074</v>
      </c>
    </row>
    <row r="12387" spans="1:10" x14ac:dyDescent="0.25">
      <c r="A12387" s="7" t="s">
        <v>25088</v>
      </c>
      <c r="B12387" s="8">
        <v>412.5</v>
      </c>
      <c r="C12387" s="8">
        <v>20.478950000000001</v>
      </c>
      <c r="D12387" s="8">
        <v>84</v>
      </c>
      <c r="E12387" s="8">
        <v>0</v>
      </c>
      <c r="F12387" s="8">
        <v>0</v>
      </c>
      <c r="G12387" s="8">
        <v>0</v>
      </c>
      <c r="H12387" s="8" t="s">
        <v>25089</v>
      </c>
      <c r="I12387" s="8">
        <v>532.5</v>
      </c>
      <c r="J12387" s="3">
        <f t="shared" si="193"/>
        <v>43748.398698854166</v>
      </c>
    </row>
    <row r="12388" spans="1:10" x14ac:dyDescent="0.25">
      <c r="A12388" s="5" t="s">
        <v>25090</v>
      </c>
      <c r="B12388" s="6">
        <v>393.75</v>
      </c>
      <c r="C12388" s="6">
        <v>20.478950000000001</v>
      </c>
      <c r="D12388" s="6">
        <v>86</v>
      </c>
      <c r="E12388" s="6">
        <v>0</v>
      </c>
      <c r="F12388" s="6">
        <v>0</v>
      </c>
      <c r="G12388" s="6">
        <v>0</v>
      </c>
      <c r="H12388" s="6" t="s">
        <v>25091</v>
      </c>
      <c r="I12388" s="6">
        <v>526.6875</v>
      </c>
      <c r="J12388" s="2">
        <f t="shared" si="193"/>
        <v>43748.398782418975</v>
      </c>
    </row>
    <row r="12389" spans="1:10" x14ac:dyDescent="0.25">
      <c r="A12389" s="7" t="s">
        <v>25092</v>
      </c>
      <c r="B12389" s="8">
        <v>393.75</v>
      </c>
      <c r="C12389" s="8">
        <v>20.478950000000001</v>
      </c>
      <c r="D12389" s="8">
        <v>86</v>
      </c>
      <c r="E12389" s="8">
        <v>0</v>
      </c>
      <c r="F12389" s="8">
        <v>0</v>
      </c>
      <c r="G12389" s="8">
        <v>0</v>
      </c>
      <c r="H12389" s="8" t="s">
        <v>25093</v>
      </c>
      <c r="I12389" s="8">
        <v>526.5</v>
      </c>
      <c r="J12389" s="3">
        <f t="shared" si="193"/>
        <v>43748.398865868054</v>
      </c>
    </row>
    <row r="12390" spans="1:10" x14ac:dyDescent="0.25">
      <c r="A12390" s="5" t="s">
        <v>25094</v>
      </c>
      <c r="B12390" s="6">
        <v>393.75</v>
      </c>
      <c r="C12390" s="6">
        <v>20.478950000000001</v>
      </c>
      <c r="D12390" s="6">
        <v>81</v>
      </c>
      <c r="E12390" s="6">
        <v>0</v>
      </c>
      <c r="F12390" s="6">
        <v>0</v>
      </c>
      <c r="G12390" s="6">
        <v>0</v>
      </c>
      <c r="H12390" s="6" t="s">
        <v>25095</v>
      </c>
      <c r="I12390" s="6">
        <v>526.6875</v>
      </c>
      <c r="J12390" s="2">
        <f t="shared" si="193"/>
        <v>43748.398949062503</v>
      </c>
    </row>
    <row r="12391" spans="1:10" x14ac:dyDescent="0.25">
      <c r="A12391" s="7" t="s">
        <v>25096</v>
      </c>
      <c r="B12391" s="8">
        <v>393.75</v>
      </c>
      <c r="C12391" s="8">
        <v>20.478950000000001</v>
      </c>
      <c r="D12391" s="8">
        <v>82</v>
      </c>
      <c r="E12391" s="8">
        <v>0</v>
      </c>
      <c r="F12391" s="8">
        <v>0</v>
      </c>
      <c r="G12391" s="8">
        <v>1</v>
      </c>
      <c r="H12391" s="8" t="s">
        <v>25097</v>
      </c>
      <c r="I12391" s="8">
        <v>526.6875</v>
      </c>
      <c r="J12391" s="3">
        <f t="shared" si="193"/>
        <v>43748.399032754627</v>
      </c>
    </row>
    <row r="12392" spans="1:10" x14ac:dyDescent="0.25">
      <c r="A12392" s="5" t="s">
        <v>25098</v>
      </c>
      <c r="B12392" s="6">
        <v>412.5</v>
      </c>
      <c r="C12392" s="6">
        <v>20.426300000000001</v>
      </c>
      <c r="D12392" s="6">
        <v>84</v>
      </c>
      <c r="E12392" s="6">
        <v>0</v>
      </c>
      <c r="F12392" s="6">
        <v>0</v>
      </c>
      <c r="G12392" s="6">
        <v>1</v>
      </c>
      <c r="H12392" s="6" t="s">
        <v>25099</v>
      </c>
      <c r="I12392" s="6">
        <v>532.3125</v>
      </c>
      <c r="J12392" s="2">
        <f t="shared" si="193"/>
        <v>43748.399115995366</v>
      </c>
    </row>
    <row r="12393" spans="1:10" x14ac:dyDescent="0.25">
      <c r="A12393" s="7" t="s">
        <v>25100</v>
      </c>
      <c r="B12393" s="8">
        <v>393.75</v>
      </c>
      <c r="C12393" s="8">
        <v>20.478950000000001</v>
      </c>
      <c r="D12393" s="8">
        <v>84</v>
      </c>
      <c r="E12393" s="8">
        <v>0</v>
      </c>
      <c r="F12393" s="8">
        <v>0</v>
      </c>
      <c r="G12393" s="8">
        <v>8</v>
      </c>
      <c r="H12393" s="8" t="s">
        <v>25101</v>
      </c>
      <c r="I12393" s="8">
        <v>526.6875</v>
      </c>
      <c r="J12393" s="3">
        <f t="shared" si="193"/>
        <v>43748.399187743053</v>
      </c>
    </row>
    <row r="12394" spans="1:10" x14ac:dyDescent="0.25">
      <c r="A12394" s="5" t="s">
        <v>25102</v>
      </c>
      <c r="B12394" s="6">
        <v>393.75</v>
      </c>
      <c r="C12394" s="6">
        <v>20.478950000000001</v>
      </c>
      <c r="D12394" s="6">
        <v>84</v>
      </c>
      <c r="E12394" s="6">
        <v>0</v>
      </c>
      <c r="F12394" s="6">
        <v>0</v>
      </c>
      <c r="G12394" s="6">
        <v>9</v>
      </c>
      <c r="H12394" s="6" t="s">
        <v>25103</v>
      </c>
      <c r="I12394" s="6">
        <v>526.5</v>
      </c>
      <c r="J12394" s="2">
        <f t="shared" si="193"/>
        <v>43748.399271423608</v>
      </c>
    </row>
    <row r="12395" spans="1:10" x14ac:dyDescent="0.25">
      <c r="A12395" s="7" t="s">
        <v>25104</v>
      </c>
      <c r="B12395" s="8">
        <v>393.75</v>
      </c>
      <c r="C12395" s="8">
        <v>20.478950000000001</v>
      </c>
      <c r="D12395" s="8">
        <v>83</v>
      </c>
      <c r="E12395" s="8">
        <v>0</v>
      </c>
      <c r="F12395" s="8">
        <v>0</v>
      </c>
      <c r="G12395" s="8">
        <v>8</v>
      </c>
      <c r="H12395" s="8" t="s">
        <v>25105</v>
      </c>
      <c r="I12395" s="8">
        <v>526.6875</v>
      </c>
      <c r="J12395" s="3">
        <f t="shared" si="193"/>
        <v>43748.399354756941</v>
      </c>
    </row>
    <row r="12396" spans="1:10" x14ac:dyDescent="0.25">
      <c r="A12396" s="5" t="s">
        <v>25106</v>
      </c>
      <c r="B12396" s="6">
        <v>393.75</v>
      </c>
      <c r="C12396" s="6">
        <v>20.478950000000001</v>
      </c>
      <c r="D12396" s="6">
        <v>81</v>
      </c>
      <c r="E12396" s="6">
        <v>0</v>
      </c>
      <c r="F12396" s="6">
        <v>0</v>
      </c>
      <c r="G12396" s="6">
        <v>14</v>
      </c>
      <c r="H12396" s="6" t="s">
        <v>25107</v>
      </c>
      <c r="I12396" s="6">
        <v>526.6875</v>
      </c>
      <c r="J12396" s="2">
        <f t="shared" si="193"/>
        <v>43748.399426296295</v>
      </c>
    </row>
    <row r="12397" spans="1:10" x14ac:dyDescent="0.25">
      <c r="A12397" s="7" t="s">
        <v>25108</v>
      </c>
      <c r="B12397" s="8">
        <v>393.75</v>
      </c>
      <c r="C12397" s="8">
        <v>20.478950000000001</v>
      </c>
      <c r="D12397" s="8">
        <v>82</v>
      </c>
      <c r="E12397" s="8">
        <v>0</v>
      </c>
      <c r="F12397" s="8">
        <v>0</v>
      </c>
      <c r="G12397" s="8">
        <v>4</v>
      </c>
      <c r="H12397" s="8" t="s">
        <v>25109</v>
      </c>
      <c r="I12397" s="8">
        <v>526.6875</v>
      </c>
      <c r="J12397" s="3">
        <f t="shared" si="193"/>
        <v>43748.39953628472</v>
      </c>
    </row>
    <row r="12398" spans="1:10" x14ac:dyDescent="0.25">
      <c r="A12398" s="5" t="s">
        <v>25110</v>
      </c>
      <c r="B12398" s="6">
        <v>393.75</v>
      </c>
      <c r="C12398" s="6">
        <v>20.478950000000001</v>
      </c>
      <c r="D12398" s="6">
        <v>84</v>
      </c>
      <c r="E12398" s="6">
        <v>0</v>
      </c>
      <c r="F12398" s="6">
        <v>0</v>
      </c>
      <c r="G12398" s="6">
        <v>2</v>
      </c>
      <c r="H12398" s="6" t="s">
        <v>25111</v>
      </c>
      <c r="I12398" s="6">
        <v>526.6875</v>
      </c>
      <c r="J12398" s="2">
        <f t="shared" si="193"/>
        <v>43748.399629085645</v>
      </c>
    </row>
    <row r="12399" spans="1:10" x14ac:dyDescent="0.25">
      <c r="A12399" s="7" t="s">
        <v>25112</v>
      </c>
      <c r="B12399" s="8">
        <v>393.75</v>
      </c>
      <c r="C12399" s="8">
        <v>20.478950000000001</v>
      </c>
      <c r="D12399" s="8">
        <v>84</v>
      </c>
      <c r="E12399" s="8">
        <v>0</v>
      </c>
      <c r="F12399" s="8">
        <v>0</v>
      </c>
      <c r="G12399" s="8">
        <v>5</v>
      </c>
      <c r="H12399" s="8" t="s">
        <v>25113</v>
      </c>
      <c r="I12399" s="8">
        <v>526.6875</v>
      </c>
      <c r="J12399" s="3">
        <f t="shared" si="193"/>
        <v>43748.399714108797</v>
      </c>
    </row>
    <row r="12400" spans="1:10" x14ac:dyDescent="0.25">
      <c r="A12400" s="5" t="s">
        <v>25114</v>
      </c>
      <c r="B12400" s="6">
        <v>393.75</v>
      </c>
      <c r="C12400" s="6">
        <v>20.478950000000001</v>
      </c>
      <c r="D12400" s="6">
        <v>84</v>
      </c>
      <c r="E12400" s="6">
        <v>0</v>
      </c>
      <c r="F12400" s="6">
        <v>0</v>
      </c>
      <c r="G12400" s="6">
        <v>7</v>
      </c>
      <c r="H12400" s="6" t="s">
        <v>25115</v>
      </c>
      <c r="I12400" s="6">
        <v>526.6875</v>
      </c>
      <c r="J12400" s="2">
        <f t="shared" si="193"/>
        <v>43748.399795995363</v>
      </c>
    </row>
    <row r="12401" spans="1:10" x14ac:dyDescent="0.25">
      <c r="A12401" s="7" t="s">
        <v>25116</v>
      </c>
      <c r="B12401" s="8">
        <v>393.75</v>
      </c>
      <c r="C12401" s="8">
        <v>20.478950000000001</v>
      </c>
      <c r="D12401" s="8">
        <v>84</v>
      </c>
      <c r="E12401" s="8">
        <v>0</v>
      </c>
      <c r="F12401" s="8">
        <v>0</v>
      </c>
      <c r="G12401" s="8">
        <v>0</v>
      </c>
      <c r="H12401" s="8" t="s">
        <v>25117</v>
      </c>
      <c r="I12401" s="8">
        <v>526.5</v>
      </c>
      <c r="J12401" s="3">
        <f t="shared" si="193"/>
        <v>43748.399879560187</v>
      </c>
    </row>
    <row r="12402" spans="1:10" x14ac:dyDescent="0.25">
      <c r="A12402" s="5" t="s">
        <v>25118</v>
      </c>
      <c r="B12402" s="6">
        <v>393.75</v>
      </c>
      <c r="C12402" s="6">
        <v>20.478950000000001</v>
      </c>
      <c r="D12402" s="6">
        <v>84</v>
      </c>
      <c r="E12402" s="6">
        <v>0</v>
      </c>
      <c r="F12402" s="6">
        <v>0</v>
      </c>
      <c r="G12402" s="6">
        <v>0</v>
      </c>
      <c r="H12402" s="6" t="s">
        <v>25119</v>
      </c>
      <c r="I12402" s="6">
        <v>526.6875</v>
      </c>
      <c r="J12402" s="2">
        <f t="shared" si="193"/>
        <v>43748.399951087958</v>
      </c>
    </row>
    <row r="12403" spans="1:10" x14ac:dyDescent="0.25">
      <c r="A12403" s="7" t="s">
        <v>25120</v>
      </c>
      <c r="B12403" s="8">
        <v>393.75</v>
      </c>
      <c r="C12403" s="8">
        <v>20.478950000000001</v>
      </c>
      <c r="D12403" s="8">
        <v>83</v>
      </c>
      <c r="E12403" s="8">
        <v>0</v>
      </c>
      <c r="F12403" s="8">
        <v>0</v>
      </c>
      <c r="G12403" s="8">
        <v>0</v>
      </c>
      <c r="H12403" s="8" t="s">
        <v>25121</v>
      </c>
      <c r="I12403" s="8">
        <v>526.6875</v>
      </c>
      <c r="J12403" s="3">
        <f t="shared" si="193"/>
        <v>43748.400034293976</v>
      </c>
    </row>
    <row r="12404" spans="1:10" x14ac:dyDescent="0.25">
      <c r="A12404" s="5" t="s">
        <v>25122</v>
      </c>
      <c r="B12404" s="6">
        <v>393.75</v>
      </c>
      <c r="C12404" s="6">
        <v>20.478950000000001</v>
      </c>
      <c r="D12404" s="6">
        <v>83</v>
      </c>
      <c r="E12404" s="6">
        <v>0</v>
      </c>
      <c r="F12404" s="6">
        <v>0</v>
      </c>
      <c r="G12404" s="6">
        <v>8</v>
      </c>
      <c r="H12404" s="6" t="s">
        <v>25123</v>
      </c>
      <c r="I12404" s="6">
        <v>526.6875</v>
      </c>
      <c r="J12404" s="2">
        <f t="shared" si="193"/>
        <v>43748.400106053239</v>
      </c>
    </row>
    <row r="12405" spans="1:10" x14ac:dyDescent="0.25">
      <c r="A12405" s="7" t="s">
        <v>25124</v>
      </c>
      <c r="B12405" s="8">
        <v>393.75</v>
      </c>
      <c r="C12405" s="8">
        <v>20.478950000000001</v>
      </c>
      <c r="D12405" s="8">
        <v>83</v>
      </c>
      <c r="E12405" s="8">
        <v>0</v>
      </c>
      <c r="F12405" s="8">
        <v>0</v>
      </c>
      <c r="G12405" s="8">
        <v>0</v>
      </c>
      <c r="H12405" s="8" t="s">
        <v>25125</v>
      </c>
      <c r="I12405" s="8">
        <v>526.5</v>
      </c>
      <c r="J12405" s="3">
        <f t="shared" si="193"/>
        <v>43748.400189629632</v>
      </c>
    </row>
    <row r="12406" spans="1:10" x14ac:dyDescent="0.25">
      <c r="A12406" s="5" t="s">
        <v>25126</v>
      </c>
      <c r="B12406" s="6">
        <v>393.75</v>
      </c>
      <c r="C12406" s="6">
        <v>20.478950000000001</v>
      </c>
      <c r="D12406" s="6">
        <v>82</v>
      </c>
      <c r="E12406" s="6">
        <v>0</v>
      </c>
      <c r="F12406" s="6">
        <v>0</v>
      </c>
      <c r="G12406" s="6">
        <v>0</v>
      </c>
      <c r="H12406" s="6" t="s">
        <v>25127</v>
      </c>
      <c r="I12406" s="6">
        <v>526.6875</v>
      </c>
      <c r="J12406" s="2">
        <f t="shared" si="193"/>
        <v>43748.400273078696</v>
      </c>
    </row>
    <row r="12407" spans="1:10" x14ac:dyDescent="0.25">
      <c r="A12407" s="7" t="s">
        <v>25128</v>
      </c>
      <c r="B12407" s="8">
        <v>393.75</v>
      </c>
      <c r="C12407" s="8">
        <v>20.478950000000001</v>
      </c>
      <c r="D12407" s="8">
        <v>82</v>
      </c>
      <c r="E12407" s="8">
        <v>0</v>
      </c>
      <c r="F12407" s="8">
        <v>0</v>
      </c>
      <c r="G12407" s="8">
        <v>15</v>
      </c>
      <c r="H12407" s="8" t="s">
        <v>25129</v>
      </c>
      <c r="I12407" s="8">
        <v>526.6875</v>
      </c>
      <c r="J12407" s="3">
        <f t="shared" si="193"/>
        <v>43748.40035664352</v>
      </c>
    </row>
    <row r="12408" spans="1:10" x14ac:dyDescent="0.25">
      <c r="A12408" s="5" t="s">
        <v>25130</v>
      </c>
      <c r="B12408" s="6">
        <v>393.75</v>
      </c>
      <c r="C12408" s="6">
        <v>20.478950000000001</v>
      </c>
      <c r="D12408" s="6">
        <v>86</v>
      </c>
      <c r="E12408" s="6">
        <v>0</v>
      </c>
      <c r="F12408" s="6">
        <v>0</v>
      </c>
      <c r="G12408" s="6">
        <v>11</v>
      </c>
      <c r="H12408" s="6" t="s">
        <v>25131</v>
      </c>
      <c r="I12408" s="6">
        <v>526.6875</v>
      </c>
      <c r="J12408" s="2">
        <f t="shared" si="193"/>
        <v>43748.400440069447</v>
      </c>
    </row>
    <row r="12409" spans="1:10" x14ac:dyDescent="0.25">
      <c r="A12409" s="7" t="s">
        <v>25132</v>
      </c>
      <c r="B12409" s="8">
        <v>393.75</v>
      </c>
      <c r="C12409" s="8">
        <v>20.478950000000001</v>
      </c>
      <c r="D12409" s="8">
        <v>86</v>
      </c>
      <c r="E12409" s="8">
        <v>0</v>
      </c>
      <c r="F12409" s="8">
        <v>0</v>
      </c>
      <c r="G12409" s="8">
        <v>10</v>
      </c>
      <c r="H12409" s="8" t="s">
        <v>25133</v>
      </c>
      <c r="I12409" s="8">
        <v>526.6875</v>
      </c>
      <c r="J12409" s="3">
        <f t="shared" si="193"/>
        <v>43748.400523310185</v>
      </c>
    </row>
    <row r="12410" spans="1:10" x14ac:dyDescent="0.25">
      <c r="A12410" s="5" t="s">
        <v>25134</v>
      </c>
      <c r="B12410" s="6">
        <v>393.75</v>
      </c>
      <c r="C12410" s="6">
        <v>20.478950000000001</v>
      </c>
      <c r="D12410" s="6">
        <v>86</v>
      </c>
      <c r="E12410" s="6">
        <v>0</v>
      </c>
      <c r="F12410" s="6">
        <v>0</v>
      </c>
      <c r="G12410" s="6">
        <v>1</v>
      </c>
      <c r="H12410" s="6" t="s">
        <v>25135</v>
      </c>
      <c r="I12410" s="6">
        <v>526.6875</v>
      </c>
      <c r="J12410" s="2">
        <f t="shared" si="193"/>
        <v>43748.40059493055</v>
      </c>
    </row>
    <row r="12411" spans="1:10" x14ac:dyDescent="0.25">
      <c r="A12411" s="7" t="s">
        <v>25136</v>
      </c>
      <c r="B12411" s="8">
        <v>393.75</v>
      </c>
      <c r="C12411" s="8">
        <v>20.478950000000001</v>
      </c>
      <c r="D12411" s="8">
        <v>85</v>
      </c>
      <c r="E12411" s="8">
        <v>0</v>
      </c>
      <c r="F12411" s="8">
        <v>0</v>
      </c>
      <c r="G12411" s="8">
        <v>11</v>
      </c>
      <c r="H12411" s="8" t="s">
        <v>25137</v>
      </c>
      <c r="I12411" s="8">
        <v>526.6875</v>
      </c>
      <c r="J12411" s="3">
        <f t="shared" si="193"/>
        <v>43748.40067884259</v>
      </c>
    </row>
    <row r="12412" spans="1:10" x14ac:dyDescent="0.25">
      <c r="A12412" s="5" t="s">
        <v>25138</v>
      </c>
      <c r="B12412" s="6">
        <v>393.75</v>
      </c>
      <c r="C12412" s="6">
        <v>20.478950000000001</v>
      </c>
      <c r="D12412" s="6">
        <v>85</v>
      </c>
      <c r="E12412" s="6">
        <v>0</v>
      </c>
      <c r="F12412" s="6">
        <v>0</v>
      </c>
      <c r="G12412" s="6">
        <v>9</v>
      </c>
      <c r="H12412" s="6" t="s">
        <v>25139</v>
      </c>
      <c r="I12412" s="6">
        <v>526.6875</v>
      </c>
      <c r="J12412" s="2">
        <f t="shared" si="193"/>
        <v>43748.400762060184</v>
      </c>
    </row>
    <row r="12413" spans="1:10" x14ac:dyDescent="0.25">
      <c r="A12413" s="7" t="s">
        <v>25140</v>
      </c>
      <c r="B12413" s="8">
        <v>393.75</v>
      </c>
      <c r="C12413" s="8">
        <v>20.478950000000001</v>
      </c>
      <c r="D12413" s="8">
        <v>85</v>
      </c>
      <c r="E12413" s="8">
        <v>0</v>
      </c>
      <c r="F12413" s="8">
        <v>0</v>
      </c>
      <c r="G12413" s="8">
        <v>5</v>
      </c>
      <c r="H12413" s="8" t="s">
        <v>25141</v>
      </c>
      <c r="I12413" s="8">
        <v>526.6875</v>
      </c>
      <c r="J12413" s="3">
        <f t="shared" si="193"/>
        <v>43748.400845416669</v>
      </c>
    </row>
    <row r="12414" spans="1:10" x14ac:dyDescent="0.25">
      <c r="A12414" s="5" t="s">
        <v>25142</v>
      </c>
      <c r="B12414" s="6">
        <v>393.75</v>
      </c>
      <c r="C12414" s="6">
        <v>20.478950000000001</v>
      </c>
      <c r="D12414" s="6">
        <v>84</v>
      </c>
      <c r="E12414" s="6">
        <v>0</v>
      </c>
      <c r="F12414" s="6">
        <v>0</v>
      </c>
      <c r="G12414" s="6">
        <v>10</v>
      </c>
      <c r="H12414" s="6" t="s">
        <v>25143</v>
      </c>
      <c r="I12414" s="6">
        <v>526.6875</v>
      </c>
      <c r="J12414" s="2">
        <f t="shared" si="193"/>
        <v>43748.400929085641</v>
      </c>
    </row>
    <row r="12415" spans="1:10" x14ac:dyDescent="0.25">
      <c r="A12415" s="7" t="s">
        <v>25144</v>
      </c>
      <c r="B12415" s="8">
        <v>393.75</v>
      </c>
      <c r="C12415" s="8">
        <v>20.478950000000001</v>
      </c>
      <c r="D12415" s="8">
        <v>84</v>
      </c>
      <c r="E12415" s="8">
        <v>0</v>
      </c>
      <c r="F12415" s="8">
        <v>0</v>
      </c>
      <c r="G12415" s="8">
        <v>2</v>
      </c>
      <c r="H12415" s="8" t="s">
        <v>25145</v>
      </c>
      <c r="I12415" s="8">
        <v>526.6875</v>
      </c>
      <c r="J12415" s="3">
        <f t="shared" si="193"/>
        <v>43748.401012268521</v>
      </c>
    </row>
    <row r="12416" spans="1:10" x14ac:dyDescent="0.25">
      <c r="A12416" s="5" t="s">
        <v>25146</v>
      </c>
      <c r="B12416" s="6">
        <v>412.5</v>
      </c>
      <c r="C12416" s="6">
        <v>20.478950000000001</v>
      </c>
      <c r="D12416" s="6">
        <v>85</v>
      </c>
      <c r="E12416" s="6">
        <v>0</v>
      </c>
      <c r="F12416" s="6">
        <v>0</v>
      </c>
      <c r="G12416" s="6">
        <v>0</v>
      </c>
      <c r="H12416" s="6" t="s">
        <v>25147</v>
      </c>
      <c r="I12416" s="6">
        <v>532.3125</v>
      </c>
      <c r="J12416" s="2">
        <f t="shared" si="193"/>
        <v>43748.401084062498</v>
      </c>
    </row>
    <row r="12417" spans="1:10" x14ac:dyDescent="0.25">
      <c r="A12417" s="7" t="s">
        <v>25148</v>
      </c>
      <c r="B12417" s="8">
        <v>393.75</v>
      </c>
      <c r="C12417" s="8">
        <v>20.478950000000001</v>
      </c>
      <c r="D12417" s="8">
        <v>83</v>
      </c>
      <c r="E12417" s="8">
        <v>0</v>
      </c>
      <c r="F12417" s="8">
        <v>0</v>
      </c>
      <c r="G12417" s="8">
        <v>0</v>
      </c>
      <c r="H12417" s="8" t="s">
        <v>25149</v>
      </c>
      <c r="I12417" s="8">
        <v>526.6875</v>
      </c>
      <c r="J12417" s="3">
        <f t="shared" si="193"/>
        <v>43748.401167627315</v>
      </c>
    </row>
    <row r="12418" spans="1:10" x14ac:dyDescent="0.25">
      <c r="A12418" s="5" t="s">
        <v>25150</v>
      </c>
      <c r="B12418" s="6">
        <v>393.75</v>
      </c>
      <c r="C12418" s="6">
        <v>20.478950000000001</v>
      </c>
      <c r="D12418" s="6">
        <v>82</v>
      </c>
      <c r="E12418" s="6">
        <v>0</v>
      </c>
      <c r="F12418" s="6">
        <v>0</v>
      </c>
      <c r="G12418" s="6">
        <v>5</v>
      </c>
      <c r="H12418" s="6" t="s">
        <v>25151</v>
      </c>
      <c r="I12418" s="6">
        <v>526.6875</v>
      </c>
      <c r="J12418" s="2">
        <f t="shared" ref="J12418:J12481" si="194">(H12418/86400000)+25569+(7/24)</f>
        <v>43748.401250960647</v>
      </c>
    </row>
    <row r="12419" spans="1:10" x14ac:dyDescent="0.25">
      <c r="A12419" s="7" t="s">
        <v>25152</v>
      </c>
      <c r="B12419" s="8">
        <v>393.75</v>
      </c>
      <c r="C12419" s="8">
        <v>20.478950000000001</v>
      </c>
      <c r="D12419" s="8">
        <v>82</v>
      </c>
      <c r="E12419" s="8">
        <v>0</v>
      </c>
      <c r="F12419" s="8">
        <v>0</v>
      </c>
      <c r="G12419" s="8">
        <v>0</v>
      </c>
      <c r="H12419" s="8" t="s">
        <v>25153</v>
      </c>
      <c r="I12419" s="8">
        <v>526.6875</v>
      </c>
      <c r="J12419" s="3">
        <f t="shared" si="194"/>
        <v>43748.40133429398</v>
      </c>
    </row>
    <row r="12420" spans="1:10" x14ac:dyDescent="0.25">
      <c r="A12420" s="5" t="s">
        <v>25154</v>
      </c>
      <c r="B12420" s="6">
        <v>393.75</v>
      </c>
      <c r="C12420" s="6">
        <v>20.478950000000001</v>
      </c>
      <c r="D12420" s="6">
        <v>82</v>
      </c>
      <c r="E12420" s="6">
        <v>0</v>
      </c>
      <c r="F12420" s="6">
        <v>0</v>
      </c>
      <c r="G12420" s="6">
        <v>0</v>
      </c>
      <c r="H12420" s="6" t="s">
        <v>25155</v>
      </c>
      <c r="I12420" s="6">
        <v>526.6875</v>
      </c>
      <c r="J12420" s="2">
        <f t="shared" si="194"/>
        <v>43748.401406041659</v>
      </c>
    </row>
    <row r="12421" spans="1:10" x14ac:dyDescent="0.25">
      <c r="A12421" s="7" t="s">
        <v>25156</v>
      </c>
      <c r="B12421" s="8">
        <v>393.75</v>
      </c>
      <c r="C12421" s="8">
        <v>20.478950000000001</v>
      </c>
      <c r="D12421" s="8">
        <v>82</v>
      </c>
      <c r="E12421" s="8">
        <v>0</v>
      </c>
      <c r="F12421" s="8">
        <v>0</v>
      </c>
      <c r="G12421" s="8">
        <v>0</v>
      </c>
      <c r="H12421" s="8" t="s">
        <v>25157</v>
      </c>
      <c r="I12421" s="8">
        <v>526.6875</v>
      </c>
      <c r="J12421" s="3">
        <f t="shared" si="194"/>
        <v>43748.401489629628</v>
      </c>
    </row>
    <row r="12422" spans="1:10" x14ac:dyDescent="0.25">
      <c r="A12422" s="5" t="s">
        <v>25158</v>
      </c>
      <c r="B12422" s="6">
        <v>393.75</v>
      </c>
      <c r="C12422" s="6">
        <v>20.478950000000001</v>
      </c>
      <c r="D12422" s="6">
        <v>86</v>
      </c>
      <c r="E12422" s="6">
        <v>0</v>
      </c>
      <c r="F12422" s="6">
        <v>0</v>
      </c>
      <c r="G12422" s="6">
        <v>10</v>
      </c>
      <c r="H12422" s="6" t="s">
        <v>25159</v>
      </c>
      <c r="I12422" s="6">
        <v>526.6875</v>
      </c>
      <c r="J12422" s="2">
        <f t="shared" si="194"/>
        <v>43748.401573055555</v>
      </c>
    </row>
    <row r="12423" spans="1:10" x14ac:dyDescent="0.25">
      <c r="A12423" s="7" t="s">
        <v>25160</v>
      </c>
      <c r="B12423" s="8">
        <v>393.75</v>
      </c>
      <c r="C12423" s="8">
        <v>20.478950000000001</v>
      </c>
      <c r="D12423" s="8">
        <v>87</v>
      </c>
      <c r="E12423" s="8">
        <v>0</v>
      </c>
      <c r="F12423" s="8">
        <v>0</v>
      </c>
      <c r="G12423" s="8">
        <v>4</v>
      </c>
      <c r="H12423" s="8" t="s">
        <v>25161</v>
      </c>
      <c r="I12423" s="8">
        <v>526.6875</v>
      </c>
      <c r="J12423" s="3">
        <f t="shared" si="194"/>
        <v>43748.401656631941</v>
      </c>
    </row>
    <row r="12424" spans="1:10" x14ac:dyDescent="0.25">
      <c r="A12424" s="5" t="s">
        <v>25162</v>
      </c>
      <c r="B12424" s="6">
        <v>393.75</v>
      </c>
      <c r="C12424" s="6">
        <v>20.478950000000001</v>
      </c>
      <c r="D12424" s="6">
        <v>88</v>
      </c>
      <c r="E12424" s="6">
        <v>0</v>
      </c>
      <c r="F12424" s="6">
        <v>0</v>
      </c>
      <c r="G12424" s="6">
        <v>9</v>
      </c>
      <c r="H12424" s="6" t="s">
        <v>25163</v>
      </c>
      <c r="I12424" s="6">
        <v>526.6875</v>
      </c>
      <c r="J12424" s="2">
        <f t="shared" si="194"/>
        <v>43748.401739965273</v>
      </c>
    </row>
    <row r="12425" spans="1:10" x14ac:dyDescent="0.25">
      <c r="A12425" s="7" t="s">
        <v>25164</v>
      </c>
      <c r="B12425" s="8">
        <v>393.75</v>
      </c>
      <c r="C12425" s="8">
        <v>20.478950000000001</v>
      </c>
      <c r="D12425" s="8">
        <v>89</v>
      </c>
      <c r="E12425" s="8">
        <v>0</v>
      </c>
      <c r="F12425" s="8">
        <v>0</v>
      </c>
      <c r="G12425" s="8">
        <v>17</v>
      </c>
      <c r="H12425" s="8" t="s">
        <v>25165</v>
      </c>
      <c r="I12425" s="8">
        <v>526.5</v>
      </c>
      <c r="J12425" s="3">
        <f t="shared" si="194"/>
        <v>43748.401823182867</v>
      </c>
    </row>
    <row r="12426" spans="1:10" x14ac:dyDescent="0.25">
      <c r="A12426" s="5" t="s">
        <v>25166</v>
      </c>
      <c r="B12426" s="6">
        <v>415.625</v>
      </c>
      <c r="C12426" s="6">
        <v>20.478950000000001</v>
      </c>
      <c r="D12426" s="6">
        <v>89</v>
      </c>
      <c r="E12426" s="6">
        <v>0</v>
      </c>
      <c r="F12426" s="6">
        <v>0</v>
      </c>
      <c r="G12426" s="6">
        <v>22</v>
      </c>
      <c r="H12426" s="6" t="s">
        <v>25167</v>
      </c>
      <c r="I12426" s="6">
        <v>533.25</v>
      </c>
      <c r="J12426" s="2">
        <f t="shared" si="194"/>
        <v>43748.401894942122</v>
      </c>
    </row>
    <row r="12427" spans="1:10" x14ac:dyDescent="0.25">
      <c r="A12427" s="7" t="s">
        <v>25168</v>
      </c>
      <c r="B12427" s="8">
        <v>393.75</v>
      </c>
      <c r="C12427" s="8">
        <v>20.478950000000001</v>
      </c>
      <c r="D12427" s="8">
        <v>88</v>
      </c>
      <c r="E12427" s="8">
        <v>0</v>
      </c>
      <c r="F12427" s="8">
        <v>0</v>
      </c>
      <c r="G12427" s="8">
        <v>18</v>
      </c>
      <c r="H12427" s="8" t="s">
        <v>25169</v>
      </c>
      <c r="I12427" s="8">
        <v>526.6875</v>
      </c>
      <c r="J12427" s="3">
        <f t="shared" si="194"/>
        <v>43748.401978495363</v>
      </c>
    </row>
    <row r="12428" spans="1:10" x14ac:dyDescent="0.25">
      <c r="A12428" s="5" t="s">
        <v>25170</v>
      </c>
      <c r="B12428" s="6">
        <v>393.75</v>
      </c>
      <c r="C12428" s="6">
        <v>20.478950000000001</v>
      </c>
      <c r="D12428" s="6">
        <v>87</v>
      </c>
      <c r="E12428" s="6">
        <v>0</v>
      </c>
      <c r="F12428" s="6">
        <v>0</v>
      </c>
      <c r="G12428" s="6">
        <v>20</v>
      </c>
      <c r="H12428" s="6" t="s">
        <v>25171</v>
      </c>
      <c r="I12428" s="6">
        <v>526.6875</v>
      </c>
      <c r="J12428" s="2">
        <f t="shared" si="194"/>
        <v>43748.402062060188</v>
      </c>
    </row>
    <row r="12429" spans="1:10" x14ac:dyDescent="0.25">
      <c r="A12429" s="7" t="s">
        <v>25172</v>
      </c>
      <c r="B12429" s="8">
        <v>393.75</v>
      </c>
      <c r="C12429" s="8">
        <v>20.478950000000001</v>
      </c>
      <c r="D12429" s="8">
        <v>86</v>
      </c>
      <c r="E12429" s="8">
        <v>0</v>
      </c>
      <c r="F12429" s="8">
        <v>0</v>
      </c>
      <c r="G12429" s="8">
        <v>18</v>
      </c>
      <c r="H12429" s="8" t="s">
        <v>25173</v>
      </c>
      <c r="I12429" s="8">
        <v>526.6875</v>
      </c>
      <c r="J12429" s="3">
        <f t="shared" si="194"/>
        <v>43748.402145451386</v>
      </c>
    </row>
    <row r="12430" spans="1:10" x14ac:dyDescent="0.25">
      <c r="A12430" s="5" t="s">
        <v>25174</v>
      </c>
      <c r="B12430" s="6">
        <v>393.75</v>
      </c>
      <c r="C12430" s="6">
        <v>20.478950000000001</v>
      </c>
      <c r="D12430" s="6">
        <v>87</v>
      </c>
      <c r="E12430" s="6">
        <v>0</v>
      </c>
      <c r="F12430" s="6">
        <v>0</v>
      </c>
      <c r="G12430" s="6">
        <v>5</v>
      </c>
      <c r="H12430" s="6" t="s">
        <v>25175</v>
      </c>
      <c r="I12430" s="6">
        <v>526.6875</v>
      </c>
      <c r="J12430" s="2">
        <f t="shared" si="194"/>
        <v>43748.402228969906</v>
      </c>
    </row>
    <row r="12431" spans="1:10" x14ac:dyDescent="0.25">
      <c r="A12431" s="7" t="s">
        <v>25176</v>
      </c>
      <c r="B12431" s="8">
        <v>412.5</v>
      </c>
      <c r="C12431" s="8">
        <v>20.478950000000001</v>
      </c>
      <c r="D12431" s="8">
        <v>88</v>
      </c>
      <c r="E12431" s="8">
        <v>0</v>
      </c>
      <c r="F12431" s="8">
        <v>0</v>
      </c>
      <c r="G12431" s="8">
        <v>7</v>
      </c>
      <c r="H12431" s="8" t="s">
        <v>25177</v>
      </c>
      <c r="I12431" s="8">
        <v>532.875</v>
      </c>
      <c r="J12431" s="3">
        <f t="shared" si="194"/>
        <v>43748.40232700231</v>
      </c>
    </row>
    <row r="12432" spans="1:10" x14ac:dyDescent="0.25">
      <c r="A12432" s="5" t="s">
        <v>25178</v>
      </c>
      <c r="B12432" s="6">
        <v>393.75</v>
      </c>
      <c r="C12432" s="6">
        <v>20.478950000000001</v>
      </c>
      <c r="D12432" s="6">
        <v>87</v>
      </c>
      <c r="E12432" s="6">
        <v>0</v>
      </c>
      <c r="F12432" s="6">
        <v>0</v>
      </c>
      <c r="G12432" s="6">
        <v>1</v>
      </c>
      <c r="H12432" s="6" t="s">
        <v>25179</v>
      </c>
      <c r="I12432" s="6">
        <v>526.5</v>
      </c>
      <c r="J12432" s="2">
        <f t="shared" si="194"/>
        <v>43748.402407800924</v>
      </c>
    </row>
    <row r="12433" spans="1:10" x14ac:dyDescent="0.25">
      <c r="A12433" s="7" t="s">
        <v>25180</v>
      </c>
      <c r="B12433" s="8">
        <v>412.5</v>
      </c>
      <c r="C12433" s="8">
        <v>20.478950000000001</v>
      </c>
      <c r="D12433" s="8">
        <v>87</v>
      </c>
      <c r="E12433" s="8">
        <v>0</v>
      </c>
      <c r="F12433" s="8">
        <v>0</v>
      </c>
      <c r="G12433" s="8">
        <v>11</v>
      </c>
      <c r="H12433" s="8" t="s">
        <v>25181</v>
      </c>
      <c r="I12433" s="8">
        <v>532.3125</v>
      </c>
      <c r="J12433" s="3">
        <f t="shared" si="194"/>
        <v>43748.402491365741</v>
      </c>
    </row>
    <row r="12434" spans="1:10" x14ac:dyDescent="0.25">
      <c r="A12434" s="5" t="s">
        <v>25182</v>
      </c>
      <c r="B12434" s="6">
        <v>393.75</v>
      </c>
      <c r="C12434" s="6">
        <v>20.478950000000001</v>
      </c>
      <c r="D12434" s="6">
        <v>86</v>
      </c>
      <c r="E12434" s="6">
        <v>0</v>
      </c>
      <c r="F12434" s="6">
        <v>0</v>
      </c>
      <c r="G12434" s="6">
        <v>12</v>
      </c>
      <c r="H12434" s="6" t="s">
        <v>25183</v>
      </c>
      <c r="I12434" s="6">
        <v>526.6875</v>
      </c>
      <c r="J12434" s="2">
        <f t="shared" si="194"/>
        <v>43748.402574837957</v>
      </c>
    </row>
    <row r="12435" spans="1:10" x14ac:dyDescent="0.25">
      <c r="A12435" s="7" t="s">
        <v>25184</v>
      </c>
      <c r="B12435" s="8">
        <v>393.75</v>
      </c>
      <c r="C12435" s="8">
        <v>20.478950000000001</v>
      </c>
      <c r="D12435" s="8">
        <v>85</v>
      </c>
      <c r="E12435" s="8">
        <v>0</v>
      </c>
      <c r="F12435" s="8">
        <v>0</v>
      </c>
      <c r="G12435" s="8">
        <v>9</v>
      </c>
      <c r="H12435" s="8" t="s">
        <v>25185</v>
      </c>
      <c r="I12435" s="8">
        <v>526.6875</v>
      </c>
      <c r="J12435" s="3">
        <f t="shared" si="194"/>
        <v>43748.402658298604</v>
      </c>
    </row>
    <row r="12436" spans="1:10" x14ac:dyDescent="0.25">
      <c r="A12436" s="5" t="s">
        <v>25186</v>
      </c>
      <c r="B12436" s="6">
        <v>393.75</v>
      </c>
      <c r="C12436" s="6">
        <v>20.478950000000001</v>
      </c>
      <c r="D12436" s="6">
        <v>85</v>
      </c>
      <c r="E12436" s="6">
        <v>0</v>
      </c>
      <c r="F12436" s="6">
        <v>0</v>
      </c>
      <c r="G12436" s="6">
        <v>7</v>
      </c>
      <c r="H12436" s="6" t="s">
        <v>25187</v>
      </c>
      <c r="I12436" s="6">
        <v>526.6875</v>
      </c>
      <c r="J12436" s="2">
        <f t="shared" si="194"/>
        <v>43748.402741701386</v>
      </c>
    </row>
    <row r="12437" spans="1:10" x14ac:dyDescent="0.25">
      <c r="A12437" s="7" t="s">
        <v>25188</v>
      </c>
      <c r="B12437" s="8">
        <v>393.75</v>
      </c>
      <c r="C12437" s="8">
        <v>20.478950000000001</v>
      </c>
      <c r="D12437" s="8">
        <v>85</v>
      </c>
      <c r="E12437" s="8">
        <v>0</v>
      </c>
      <c r="F12437" s="8">
        <v>0</v>
      </c>
      <c r="G12437" s="8">
        <v>11</v>
      </c>
      <c r="H12437" s="8" t="s">
        <v>25189</v>
      </c>
      <c r="I12437" s="8">
        <v>526.6875</v>
      </c>
      <c r="J12437" s="3">
        <f t="shared" si="194"/>
        <v>43748.402825162033</v>
      </c>
    </row>
    <row r="12438" spans="1:10" x14ac:dyDescent="0.25">
      <c r="A12438" s="5" t="s">
        <v>25190</v>
      </c>
      <c r="B12438" s="6">
        <v>393.75</v>
      </c>
      <c r="C12438" s="6">
        <v>20.478950000000001</v>
      </c>
      <c r="D12438" s="6">
        <v>85</v>
      </c>
      <c r="E12438" s="6">
        <v>0</v>
      </c>
      <c r="F12438" s="6">
        <v>0</v>
      </c>
      <c r="G12438" s="6">
        <v>7</v>
      </c>
      <c r="H12438" s="6" t="s">
        <v>25191</v>
      </c>
      <c r="I12438" s="6">
        <v>526.6875</v>
      </c>
      <c r="J12438" s="2">
        <f t="shared" si="194"/>
        <v>43748.402908379627</v>
      </c>
    </row>
    <row r="12439" spans="1:10" x14ac:dyDescent="0.25">
      <c r="A12439" s="7" t="s">
        <v>25192</v>
      </c>
      <c r="B12439" s="8">
        <v>393.75</v>
      </c>
      <c r="C12439" s="8">
        <v>20.478950000000001</v>
      </c>
      <c r="D12439" s="8">
        <v>85</v>
      </c>
      <c r="E12439" s="8">
        <v>0</v>
      </c>
      <c r="F12439" s="8">
        <v>0</v>
      </c>
      <c r="G12439" s="8">
        <v>7</v>
      </c>
      <c r="H12439" s="8" t="s">
        <v>25193</v>
      </c>
      <c r="I12439" s="8">
        <v>526.5</v>
      </c>
      <c r="J12439" s="3">
        <f t="shared" si="194"/>
        <v>43748.40298013889</v>
      </c>
    </row>
    <row r="12440" spans="1:10" x14ac:dyDescent="0.25">
      <c r="A12440" s="5" t="s">
        <v>25194</v>
      </c>
      <c r="B12440" s="6">
        <v>393.75</v>
      </c>
      <c r="C12440" s="6">
        <v>20.478950000000001</v>
      </c>
      <c r="D12440" s="6">
        <v>88</v>
      </c>
      <c r="E12440" s="6">
        <v>0</v>
      </c>
      <c r="F12440" s="6">
        <v>0</v>
      </c>
      <c r="G12440" s="6">
        <v>15</v>
      </c>
      <c r="H12440" s="6" t="s">
        <v>25195</v>
      </c>
      <c r="I12440" s="6">
        <v>526.6875</v>
      </c>
      <c r="J12440" s="2">
        <f t="shared" si="194"/>
        <v>43748.403063703699</v>
      </c>
    </row>
    <row r="12441" spans="1:10" x14ac:dyDescent="0.25">
      <c r="A12441" s="7" t="s">
        <v>25196</v>
      </c>
      <c r="B12441" s="8">
        <v>393.75</v>
      </c>
      <c r="C12441" s="8">
        <v>20.478950000000001</v>
      </c>
      <c r="D12441" s="8">
        <v>88</v>
      </c>
      <c r="E12441" s="8">
        <v>0</v>
      </c>
      <c r="F12441" s="8">
        <v>0</v>
      </c>
      <c r="G12441" s="8">
        <v>15</v>
      </c>
      <c r="H12441" s="8" t="s">
        <v>25197</v>
      </c>
      <c r="I12441" s="8">
        <v>526.6875</v>
      </c>
      <c r="J12441" s="3">
        <f t="shared" si="194"/>
        <v>43748.403147141202</v>
      </c>
    </row>
    <row r="12442" spans="1:10" x14ac:dyDescent="0.25">
      <c r="A12442" s="5" t="s">
        <v>25198</v>
      </c>
      <c r="B12442" s="6">
        <v>393.75</v>
      </c>
      <c r="C12442" s="6">
        <v>20.478950000000001</v>
      </c>
      <c r="D12442" s="6">
        <v>87</v>
      </c>
      <c r="E12442" s="6">
        <v>0</v>
      </c>
      <c r="F12442" s="6">
        <v>0</v>
      </c>
      <c r="G12442" s="6">
        <v>4</v>
      </c>
      <c r="H12442" s="6" t="s">
        <v>25199</v>
      </c>
      <c r="I12442" s="6">
        <v>526.6875</v>
      </c>
      <c r="J12442" s="2">
        <f t="shared" si="194"/>
        <v>43748.403230624994</v>
      </c>
    </row>
    <row r="12443" spans="1:10" x14ac:dyDescent="0.25">
      <c r="A12443" s="7" t="s">
        <v>25200</v>
      </c>
      <c r="B12443" s="8">
        <v>393.75</v>
      </c>
      <c r="C12443" s="8">
        <v>20.478950000000001</v>
      </c>
      <c r="D12443" s="8">
        <v>87</v>
      </c>
      <c r="E12443" s="8">
        <v>0</v>
      </c>
      <c r="F12443" s="8">
        <v>0</v>
      </c>
      <c r="G12443" s="8">
        <v>9</v>
      </c>
      <c r="H12443" s="8" t="s">
        <v>25201</v>
      </c>
      <c r="I12443" s="8">
        <v>526.6875</v>
      </c>
      <c r="J12443" s="3">
        <f t="shared" si="194"/>
        <v>43748.40331415509</v>
      </c>
    </row>
    <row r="12444" spans="1:10" x14ac:dyDescent="0.25">
      <c r="A12444" s="5" t="s">
        <v>25202</v>
      </c>
      <c r="B12444" s="6">
        <v>393.75</v>
      </c>
      <c r="C12444" s="6">
        <v>20.478950000000001</v>
      </c>
      <c r="D12444" s="6">
        <v>87</v>
      </c>
      <c r="E12444" s="6">
        <v>0</v>
      </c>
      <c r="F12444" s="6">
        <v>0</v>
      </c>
      <c r="G12444" s="6">
        <v>12</v>
      </c>
      <c r="H12444" s="6" t="s">
        <v>25203</v>
      </c>
      <c r="I12444" s="6">
        <v>526.5</v>
      </c>
      <c r="J12444" s="2">
        <f t="shared" si="194"/>
        <v>43748.403397476846</v>
      </c>
    </row>
    <row r="12445" spans="1:10" x14ac:dyDescent="0.25">
      <c r="A12445" s="7" t="s">
        <v>25204</v>
      </c>
      <c r="B12445" s="8">
        <v>412.5</v>
      </c>
      <c r="C12445" s="8">
        <v>20.478950000000001</v>
      </c>
      <c r="D12445" s="8">
        <v>87</v>
      </c>
      <c r="E12445" s="8">
        <v>0</v>
      </c>
      <c r="F12445" s="8">
        <v>0</v>
      </c>
      <c r="G12445" s="8">
        <v>4</v>
      </c>
      <c r="H12445" s="8" t="s">
        <v>25205</v>
      </c>
      <c r="I12445" s="8">
        <v>532.3125</v>
      </c>
      <c r="J12445" s="3">
        <f t="shared" si="194"/>
        <v>43748.403468912038</v>
      </c>
    </row>
    <row r="12446" spans="1:10" x14ac:dyDescent="0.25">
      <c r="A12446" s="5" t="s">
        <v>25206</v>
      </c>
      <c r="B12446" s="6">
        <v>393.75</v>
      </c>
      <c r="C12446" s="6">
        <v>20.478950000000001</v>
      </c>
      <c r="D12446" s="6">
        <v>86</v>
      </c>
      <c r="E12446" s="6">
        <v>0</v>
      </c>
      <c r="F12446" s="6">
        <v>0</v>
      </c>
      <c r="G12446" s="6">
        <v>8</v>
      </c>
      <c r="H12446" s="6" t="s">
        <v>25207</v>
      </c>
      <c r="I12446" s="6">
        <v>526.6875</v>
      </c>
      <c r="J12446" s="2">
        <f t="shared" si="194"/>
        <v>43748.403552939817</v>
      </c>
    </row>
    <row r="12447" spans="1:10" x14ac:dyDescent="0.25">
      <c r="A12447" s="7" t="s">
        <v>25208</v>
      </c>
      <c r="B12447" s="8">
        <v>393.75</v>
      </c>
      <c r="C12447" s="8">
        <v>20.478950000000001</v>
      </c>
      <c r="D12447" s="8">
        <v>86</v>
      </c>
      <c r="E12447" s="8">
        <v>0</v>
      </c>
      <c r="F12447" s="8">
        <v>0</v>
      </c>
      <c r="G12447" s="8">
        <v>0</v>
      </c>
      <c r="H12447" s="8" t="s">
        <v>25209</v>
      </c>
      <c r="I12447" s="8">
        <v>526.6875</v>
      </c>
      <c r="J12447" s="3">
        <f t="shared" si="194"/>
        <v>43748.403636134251</v>
      </c>
    </row>
    <row r="12448" spans="1:10" x14ac:dyDescent="0.25">
      <c r="A12448" s="5" t="s">
        <v>25210</v>
      </c>
      <c r="B12448" s="6">
        <v>393.75</v>
      </c>
      <c r="C12448" s="6">
        <v>20.478950000000001</v>
      </c>
      <c r="D12448" s="6">
        <v>86</v>
      </c>
      <c r="E12448" s="6">
        <v>0</v>
      </c>
      <c r="F12448" s="6">
        <v>0</v>
      </c>
      <c r="G12448" s="6">
        <v>0</v>
      </c>
      <c r="H12448" s="6" t="s">
        <v>25211</v>
      </c>
      <c r="I12448" s="6">
        <v>526.6875</v>
      </c>
      <c r="J12448" s="2">
        <f t="shared" si="194"/>
        <v>43748.403719479167</v>
      </c>
    </row>
    <row r="12449" spans="1:10" x14ac:dyDescent="0.25">
      <c r="A12449" s="7" t="s">
        <v>25212</v>
      </c>
      <c r="B12449" s="8">
        <v>393.75</v>
      </c>
      <c r="C12449" s="8">
        <v>20.478950000000001</v>
      </c>
      <c r="D12449" s="8">
        <v>85</v>
      </c>
      <c r="E12449" s="8">
        <v>0</v>
      </c>
      <c r="F12449" s="8">
        <v>0</v>
      </c>
      <c r="G12449" s="8">
        <v>0</v>
      </c>
      <c r="H12449" s="8" t="s">
        <v>25213</v>
      </c>
      <c r="I12449" s="8">
        <v>526.6875</v>
      </c>
      <c r="J12449" s="3">
        <f t="shared" si="194"/>
        <v>43748.403803171292</v>
      </c>
    </row>
    <row r="12450" spans="1:10" x14ac:dyDescent="0.25">
      <c r="A12450" s="5" t="s">
        <v>25214</v>
      </c>
      <c r="B12450" s="6">
        <v>412.5</v>
      </c>
      <c r="C12450" s="6">
        <v>20.478950000000001</v>
      </c>
      <c r="D12450" s="6">
        <v>85</v>
      </c>
      <c r="E12450" s="6">
        <v>0</v>
      </c>
      <c r="F12450" s="6">
        <v>0</v>
      </c>
      <c r="G12450" s="6">
        <v>0</v>
      </c>
      <c r="H12450" s="6" t="s">
        <v>25215</v>
      </c>
      <c r="I12450" s="6">
        <v>532.3125</v>
      </c>
      <c r="J12450" s="2">
        <f t="shared" si="194"/>
        <v>43748.403886261571</v>
      </c>
    </row>
    <row r="12451" spans="1:10" x14ac:dyDescent="0.25">
      <c r="A12451" s="7" t="s">
        <v>25216</v>
      </c>
      <c r="B12451" s="8">
        <v>393.75</v>
      </c>
      <c r="C12451" s="8">
        <v>20.478950000000001</v>
      </c>
      <c r="D12451" s="8">
        <v>85</v>
      </c>
      <c r="E12451" s="8">
        <v>0</v>
      </c>
      <c r="F12451" s="8">
        <v>0</v>
      </c>
      <c r="G12451" s="8">
        <v>0</v>
      </c>
      <c r="H12451" s="8" t="s">
        <v>25217</v>
      </c>
      <c r="I12451" s="8">
        <v>526.5</v>
      </c>
      <c r="J12451" s="3">
        <f t="shared" si="194"/>
        <v>43748.403957916664</v>
      </c>
    </row>
    <row r="12452" spans="1:10" x14ac:dyDescent="0.25">
      <c r="A12452" s="5" t="s">
        <v>25218</v>
      </c>
      <c r="B12452" s="6">
        <v>393.75</v>
      </c>
      <c r="C12452" s="6">
        <v>20.478950000000001</v>
      </c>
      <c r="D12452" s="6">
        <v>82</v>
      </c>
      <c r="E12452" s="6">
        <v>0</v>
      </c>
      <c r="F12452" s="6">
        <v>0</v>
      </c>
      <c r="G12452" s="6">
        <v>0</v>
      </c>
      <c r="H12452" s="6" t="s">
        <v>25219</v>
      </c>
      <c r="I12452" s="6">
        <v>526.6875</v>
      </c>
      <c r="J12452" s="2">
        <f t="shared" si="194"/>
        <v>43748.404041701382</v>
      </c>
    </row>
    <row r="12453" spans="1:10" x14ac:dyDescent="0.25">
      <c r="A12453" s="7" t="s">
        <v>25220</v>
      </c>
      <c r="B12453" s="8">
        <v>393.75</v>
      </c>
      <c r="C12453" s="8">
        <v>20.478950000000001</v>
      </c>
      <c r="D12453" s="8">
        <v>82</v>
      </c>
      <c r="E12453" s="8">
        <v>0</v>
      </c>
      <c r="F12453" s="8">
        <v>0</v>
      </c>
      <c r="G12453" s="8">
        <v>0</v>
      </c>
      <c r="H12453" s="8" t="s">
        <v>25221</v>
      </c>
      <c r="I12453" s="8">
        <v>526.6875</v>
      </c>
      <c r="J12453" s="3">
        <f t="shared" si="194"/>
        <v>43748.404125231478</v>
      </c>
    </row>
    <row r="12454" spans="1:10" x14ac:dyDescent="0.25">
      <c r="A12454" s="5" t="s">
        <v>25222</v>
      </c>
      <c r="B12454" s="6">
        <v>393.75</v>
      </c>
      <c r="C12454" s="6">
        <v>20.478950000000001</v>
      </c>
      <c r="D12454" s="6">
        <v>82</v>
      </c>
      <c r="E12454" s="6">
        <v>0</v>
      </c>
      <c r="F12454" s="6">
        <v>0</v>
      </c>
      <c r="G12454" s="6">
        <v>14</v>
      </c>
      <c r="H12454" s="6" t="s">
        <v>25223</v>
      </c>
      <c r="I12454" s="6">
        <v>526.6875</v>
      </c>
      <c r="J12454" s="2">
        <f t="shared" si="194"/>
        <v>43748.404208368054</v>
      </c>
    </row>
    <row r="12455" spans="1:10" x14ac:dyDescent="0.25">
      <c r="A12455" s="7" t="s">
        <v>25224</v>
      </c>
      <c r="B12455" s="8">
        <v>412.5</v>
      </c>
      <c r="C12455" s="8">
        <v>20.478950000000001</v>
      </c>
      <c r="D12455" s="8">
        <v>82</v>
      </c>
      <c r="E12455" s="8">
        <v>0</v>
      </c>
      <c r="F12455" s="8">
        <v>0</v>
      </c>
      <c r="G12455" s="8">
        <v>9</v>
      </c>
      <c r="H12455" s="8" t="s">
        <v>25225</v>
      </c>
      <c r="I12455" s="8">
        <v>532.875</v>
      </c>
      <c r="J12455" s="3">
        <f t="shared" si="194"/>
        <v>43748.404285775461</v>
      </c>
    </row>
    <row r="12456" spans="1:10" x14ac:dyDescent="0.25">
      <c r="A12456" s="5" t="s">
        <v>25226</v>
      </c>
      <c r="B12456" s="6">
        <v>393.75</v>
      </c>
      <c r="C12456" s="6">
        <v>20.478950000000001</v>
      </c>
      <c r="D12456" s="6">
        <v>81</v>
      </c>
      <c r="E12456" s="6">
        <v>0</v>
      </c>
      <c r="F12456" s="6">
        <v>0</v>
      </c>
      <c r="G12456" s="6">
        <v>10</v>
      </c>
      <c r="H12456" s="6" t="s">
        <v>25227</v>
      </c>
      <c r="I12456" s="6">
        <v>526.6875</v>
      </c>
      <c r="J12456" s="2">
        <f t="shared" si="194"/>
        <v>43748.404363587957</v>
      </c>
    </row>
    <row r="12457" spans="1:10" x14ac:dyDescent="0.25">
      <c r="A12457" s="7" t="s">
        <v>25228</v>
      </c>
      <c r="B12457" s="8">
        <v>393.75</v>
      </c>
      <c r="C12457" s="8">
        <v>20.478950000000001</v>
      </c>
      <c r="D12457" s="8">
        <v>81</v>
      </c>
      <c r="E12457" s="8">
        <v>0</v>
      </c>
      <c r="F12457" s="8">
        <v>0</v>
      </c>
      <c r="G12457" s="8">
        <v>13</v>
      </c>
      <c r="H12457" s="8" t="s">
        <v>25229</v>
      </c>
      <c r="I12457" s="8">
        <v>526.6875</v>
      </c>
      <c r="J12457" s="3">
        <f t="shared" si="194"/>
        <v>43748.404435115743</v>
      </c>
    </row>
    <row r="12458" spans="1:10" x14ac:dyDescent="0.25">
      <c r="A12458" s="5" t="s">
        <v>25230</v>
      </c>
      <c r="B12458" s="6">
        <v>393.75</v>
      </c>
      <c r="C12458" s="6">
        <v>20.478950000000001</v>
      </c>
      <c r="D12458" s="6">
        <v>82</v>
      </c>
      <c r="E12458" s="6">
        <v>0</v>
      </c>
      <c r="F12458" s="6">
        <v>0</v>
      </c>
      <c r="G12458" s="6">
        <v>13</v>
      </c>
      <c r="H12458" s="6" t="s">
        <v>25231</v>
      </c>
      <c r="I12458" s="6">
        <v>526.5</v>
      </c>
      <c r="J12458" s="2">
        <f t="shared" si="194"/>
        <v>43748.404506770828</v>
      </c>
    </row>
    <row r="12459" spans="1:10" x14ac:dyDescent="0.25">
      <c r="A12459" s="7" t="s">
        <v>25232</v>
      </c>
      <c r="B12459" s="8">
        <v>393.75</v>
      </c>
      <c r="C12459" s="8">
        <v>20.478950000000001</v>
      </c>
      <c r="D12459" s="8">
        <v>83</v>
      </c>
      <c r="E12459" s="8">
        <v>0</v>
      </c>
      <c r="F12459" s="8">
        <v>0</v>
      </c>
      <c r="G12459" s="8">
        <v>9</v>
      </c>
      <c r="H12459" s="8" t="s">
        <v>25233</v>
      </c>
      <c r="I12459" s="8">
        <v>526.6875</v>
      </c>
      <c r="J12459" s="3">
        <f t="shared" si="194"/>
        <v>43748.404589988422</v>
      </c>
    </row>
    <row r="12460" spans="1:10" x14ac:dyDescent="0.25">
      <c r="A12460" s="5" t="s">
        <v>25234</v>
      </c>
      <c r="B12460" s="6">
        <v>393.75</v>
      </c>
      <c r="C12460" s="6">
        <v>20.478950000000001</v>
      </c>
      <c r="D12460" s="6">
        <v>83</v>
      </c>
      <c r="E12460" s="6">
        <v>0</v>
      </c>
      <c r="F12460" s="6">
        <v>0</v>
      </c>
      <c r="G12460" s="6">
        <v>13</v>
      </c>
      <c r="H12460" s="6" t="s">
        <v>25235</v>
      </c>
      <c r="I12460" s="6">
        <v>526.6875</v>
      </c>
      <c r="J12460" s="2">
        <f t="shared" si="194"/>
        <v>43748.404661736109</v>
      </c>
    </row>
    <row r="12461" spans="1:10" x14ac:dyDescent="0.25">
      <c r="A12461" s="7" t="s">
        <v>25236</v>
      </c>
      <c r="B12461" s="8">
        <v>393.75</v>
      </c>
      <c r="C12461" s="8">
        <v>20.478950000000001</v>
      </c>
      <c r="D12461" s="8">
        <v>85</v>
      </c>
      <c r="E12461" s="8">
        <v>0</v>
      </c>
      <c r="F12461" s="8">
        <v>0</v>
      </c>
      <c r="G12461" s="8">
        <v>11</v>
      </c>
      <c r="H12461" s="8" t="s">
        <v>25237</v>
      </c>
      <c r="I12461" s="8">
        <v>526.6875</v>
      </c>
      <c r="J12461" s="3">
        <f t="shared" si="194"/>
        <v>43748.404745393513</v>
      </c>
    </row>
    <row r="12462" spans="1:10" x14ac:dyDescent="0.25">
      <c r="A12462" s="5" t="s">
        <v>25238</v>
      </c>
      <c r="B12462" s="6">
        <v>393.75</v>
      </c>
      <c r="C12462" s="6">
        <v>20.478950000000001</v>
      </c>
      <c r="D12462" s="6">
        <v>86</v>
      </c>
      <c r="E12462" s="6">
        <v>0</v>
      </c>
      <c r="F12462" s="6">
        <v>0</v>
      </c>
      <c r="G12462" s="6">
        <v>10</v>
      </c>
      <c r="H12462" s="6" t="s">
        <v>25239</v>
      </c>
      <c r="I12462" s="6">
        <v>526.5</v>
      </c>
      <c r="J12462" s="2">
        <f t="shared" si="194"/>
        <v>43748.404828761573</v>
      </c>
    </row>
    <row r="12463" spans="1:10" x14ac:dyDescent="0.25">
      <c r="A12463" s="7" t="s">
        <v>25240</v>
      </c>
      <c r="B12463" s="8">
        <v>393.75</v>
      </c>
      <c r="C12463" s="8">
        <v>20.478950000000001</v>
      </c>
      <c r="D12463" s="8">
        <v>86</v>
      </c>
      <c r="E12463" s="8">
        <v>0</v>
      </c>
      <c r="F12463" s="8">
        <v>0</v>
      </c>
      <c r="G12463" s="8">
        <v>18</v>
      </c>
      <c r="H12463" s="8" t="s">
        <v>25241</v>
      </c>
      <c r="I12463" s="8">
        <v>526.6875</v>
      </c>
      <c r="J12463" s="3">
        <f t="shared" si="194"/>
        <v>43748.404912071761</v>
      </c>
    </row>
    <row r="12464" spans="1:10" x14ac:dyDescent="0.25">
      <c r="A12464" s="5" t="s">
        <v>25242</v>
      </c>
      <c r="B12464" s="6">
        <v>393.75</v>
      </c>
      <c r="C12464" s="6">
        <v>20.478950000000001</v>
      </c>
      <c r="D12464" s="6">
        <v>85</v>
      </c>
      <c r="E12464" s="6">
        <v>0</v>
      </c>
      <c r="F12464" s="6">
        <v>0</v>
      </c>
      <c r="G12464" s="6">
        <v>9</v>
      </c>
      <c r="H12464" s="6" t="s">
        <v>25243</v>
      </c>
      <c r="I12464" s="6">
        <v>526.6875</v>
      </c>
      <c r="J12464" s="2">
        <f t="shared" si="194"/>
        <v>43748.404995648147</v>
      </c>
    </row>
    <row r="12465" spans="1:10" x14ac:dyDescent="0.25">
      <c r="A12465" s="7" t="s">
        <v>25244</v>
      </c>
      <c r="B12465" s="8">
        <v>393.75</v>
      </c>
      <c r="C12465" s="8">
        <v>20.478950000000001</v>
      </c>
      <c r="D12465" s="8">
        <v>85</v>
      </c>
      <c r="E12465" s="8">
        <v>0</v>
      </c>
      <c r="F12465" s="8">
        <v>0</v>
      </c>
      <c r="G12465" s="8">
        <v>4</v>
      </c>
      <c r="H12465" s="8" t="s">
        <v>25245</v>
      </c>
      <c r="I12465" s="8">
        <v>526.5</v>
      </c>
      <c r="J12465" s="3">
        <f t="shared" si="194"/>
        <v>43748.405091006942</v>
      </c>
    </row>
    <row r="12466" spans="1:10" x14ac:dyDescent="0.25">
      <c r="A12466" s="5" t="s">
        <v>25246</v>
      </c>
      <c r="B12466" s="6">
        <v>393.75</v>
      </c>
      <c r="C12466" s="6">
        <v>20.478950000000001</v>
      </c>
      <c r="D12466" s="6">
        <v>82</v>
      </c>
      <c r="E12466" s="6">
        <v>0</v>
      </c>
      <c r="F12466" s="6">
        <v>0</v>
      </c>
      <c r="G12466" s="6">
        <v>8</v>
      </c>
      <c r="H12466" s="6" t="s">
        <v>25247</v>
      </c>
      <c r="I12466" s="6">
        <v>526.6875</v>
      </c>
      <c r="J12466" s="2">
        <f t="shared" si="194"/>
        <v>43748.405174560183</v>
      </c>
    </row>
    <row r="12467" spans="1:10" x14ac:dyDescent="0.25">
      <c r="A12467" s="7" t="s">
        <v>25248</v>
      </c>
      <c r="B12467" s="8">
        <v>393.75</v>
      </c>
      <c r="C12467" s="8">
        <v>20.478950000000001</v>
      </c>
      <c r="D12467" s="8">
        <v>83</v>
      </c>
      <c r="E12467" s="8">
        <v>0</v>
      </c>
      <c r="F12467" s="8">
        <v>0</v>
      </c>
      <c r="G12467" s="8">
        <v>10</v>
      </c>
      <c r="H12467" s="8" t="s">
        <v>25249</v>
      </c>
      <c r="I12467" s="8">
        <v>526.6875</v>
      </c>
      <c r="J12467" s="3">
        <f t="shared" si="194"/>
        <v>43748.405257997678</v>
      </c>
    </row>
    <row r="12468" spans="1:10" x14ac:dyDescent="0.25">
      <c r="A12468" s="5" t="s">
        <v>25250</v>
      </c>
      <c r="B12468" s="6">
        <v>393.75</v>
      </c>
      <c r="C12468" s="6">
        <v>20.478950000000001</v>
      </c>
      <c r="D12468" s="6">
        <v>85</v>
      </c>
      <c r="E12468" s="6">
        <v>0</v>
      </c>
      <c r="F12468" s="6">
        <v>0</v>
      </c>
      <c r="G12468" s="6">
        <v>25</v>
      </c>
      <c r="H12468" s="6" t="s">
        <v>25251</v>
      </c>
      <c r="I12468" s="6">
        <v>526.6875</v>
      </c>
      <c r="J12468" s="2">
        <f t="shared" si="194"/>
        <v>43748.405341469908</v>
      </c>
    </row>
    <row r="12469" spans="1:10" x14ac:dyDescent="0.25">
      <c r="A12469" s="7" t="s">
        <v>25252</v>
      </c>
      <c r="B12469" s="8">
        <v>393.75</v>
      </c>
      <c r="C12469" s="8">
        <v>20.478950000000001</v>
      </c>
      <c r="D12469" s="8">
        <v>84</v>
      </c>
      <c r="E12469" s="8">
        <v>0</v>
      </c>
      <c r="F12469" s="8">
        <v>0</v>
      </c>
      <c r="G12469" s="8">
        <v>14</v>
      </c>
      <c r="H12469" s="8" t="s">
        <v>25253</v>
      </c>
      <c r="I12469" s="8">
        <v>526.6875</v>
      </c>
      <c r="J12469" s="3">
        <f t="shared" si="194"/>
        <v>43748.405424918979</v>
      </c>
    </row>
    <row r="12470" spans="1:10" x14ac:dyDescent="0.25">
      <c r="A12470" s="5" t="s">
        <v>25254</v>
      </c>
      <c r="B12470" s="6">
        <v>393.75</v>
      </c>
      <c r="C12470" s="6">
        <v>20.478950000000001</v>
      </c>
      <c r="D12470" s="6">
        <v>84</v>
      </c>
      <c r="E12470" s="6">
        <v>0</v>
      </c>
      <c r="F12470" s="6">
        <v>0</v>
      </c>
      <c r="G12470" s="6">
        <v>11</v>
      </c>
      <c r="H12470" s="6" t="s">
        <v>25255</v>
      </c>
      <c r="I12470" s="6">
        <v>526.6875</v>
      </c>
      <c r="J12470" s="2">
        <f t="shared" si="194"/>
        <v>43748.405508483796</v>
      </c>
    </row>
    <row r="12471" spans="1:10" x14ac:dyDescent="0.25">
      <c r="A12471" s="7" t="s">
        <v>25256</v>
      </c>
      <c r="B12471" s="8">
        <v>393.75</v>
      </c>
      <c r="C12471" s="8">
        <v>20.478950000000001</v>
      </c>
      <c r="D12471" s="8">
        <v>85</v>
      </c>
      <c r="E12471" s="8">
        <v>0</v>
      </c>
      <c r="F12471" s="8">
        <v>0</v>
      </c>
      <c r="G12471" s="8">
        <v>8</v>
      </c>
      <c r="H12471" s="8" t="s">
        <v>25257</v>
      </c>
      <c r="I12471" s="8">
        <v>526.6875</v>
      </c>
      <c r="J12471" s="3">
        <f t="shared" si="194"/>
        <v>43748.405591932868</v>
      </c>
    </row>
    <row r="12472" spans="1:10" x14ac:dyDescent="0.25">
      <c r="A12472" s="5" t="s">
        <v>25258</v>
      </c>
      <c r="B12472" s="6">
        <v>393.75</v>
      </c>
      <c r="C12472" s="6">
        <v>20.478950000000001</v>
      </c>
      <c r="D12472" s="6">
        <v>88</v>
      </c>
      <c r="E12472" s="6">
        <v>0</v>
      </c>
      <c r="F12472" s="6">
        <v>0</v>
      </c>
      <c r="G12472" s="6">
        <v>11</v>
      </c>
      <c r="H12472" s="6" t="s">
        <v>25259</v>
      </c>
      <c r="I12472" s="6">
        <v>526.5</v>
      </c>
      <c r="J12472" s="2">
        <f t="shared" si="194"/>
        <v>43748.405675150461</v>
      </c>
    </row>
    <row r="12473" spans="1:10" x14ac:dyDescent="0.25">
      <c r="A12473" s="7" t="s">
        <v>25260</v>
      </c>
      <c r="B12473" s="8">
        <v>393.75</v>
      </c>
      <c r="C12473" s="8">
        <v>20.478950000000001</v>
      </c>
      <c r="D12473" s="8">
        <v>85</v>
      </c>
      <c r="E12473" s="8">
        <v>0</v>
      </c>
      <c r="F12473" s="8">
        <v>0</v>
      </c>
      <c r="G12473" s="8">
        <v>8</v>
      </c>
      <c r="H12473" s="8" t="s">
        <v>25261</v>
      </c>
      <c r="I12473" s="8">
        <v>526.6875</v>
      </c>
      <c r="J12473" s="3">
        <f t="shared" si="194"/>
        <v>43748.405758946756</v>
      </c>
    </row>
    <row r="12474" spans="1:10" x14ac:dyDescent="0.25">
      <c r="A12474" s="5" t="s">
        <v>25262</v>
      </c>
      <c r="B12474" s="6">
        <v>393.75</v>
      </c>
      <c r="C12474" s="6">
        <v>20.478950000000001</v>
      </c>
      <c r="D12474" s="6">
        <v>85</v>
      </c>
      <c r="E12474" s="6">
        <v>0</v>
      </c>
      <c r="F12474" s="6">
        <v>0</v>
      </c>
      <c r="G12474" s="6">
        <v>7</v>
      </c>
      <c r="H12474" s="6" t="s">
        <v>25263</v>
      </c>
      <c r="I12474" s="6">
        <v>526.6875</v>
      </c>
      <c r="J12474" s="2">
        <f t="shared" si="194"/>
        <v>43748.405842511573</v>
      </c>
    </row>
    <row r="12475" spans="1:10" x14ac:dyDescent="0.25">
      <c r="A12475" s="7" t="s">
        <v>25264</v>
      </c>
      <c r="B12475" s="8">
        <v>393.75</v>
      </c>
      <c r="C12475" s="8">
        <v>20.478950000000001</v>
      </c>
      <c r="D12475" s="8">
        <v>85</v>
      </c>
      <c r="E12475" s="8">
        <v>0</v>
      </c>
      <c r="F12475" s="8">
        <v>0</v>
      </c>
      <c r="G12475" s="8">
        <v>3</v>
      </c>
      <c r="H12475" s="8" t="s">
        <v>25265</v>
      </c>
      <c r="I12475" s="8">
        <v>526.6875</v>
      </c>
      <c r="J12475" s="3">
        <f t="shared" si="194"/>
        <v>43748.405913923612</v>
      </c>
    </row>
    <row r="12476" spans="1:10" x14ac:dyDescent="0.25">
      <c r="A12476" s="5" t="s">
        <v>25266</v>
      </c>
      <c r="B12476" s="6">
        <v>393.75</v>
      </c>
      <c r="C12476" s="6">
        <v>20.478950000000001</v>
      </c>
      <c r="D12476" s="6">
        <v>85</v>
      </c>
      <c r="E12476" s="6">
        <v>0</v>
      </c>
      <c r="F12476" s="6">
        <v>0</v>
      </c>
      <c r="G12476" s="6">
        <v>12</v>
      </c>
      <c r="H12476" s="6" t="s">
        <v>25267</v>
      </c>
      <c r="I12476" s="6">
        <v>526.6875</v>
      </c>
      <c r="J12476" s="2">
        <f t="shared" si="194"/>
        <v>43748.405997291666</v>
      </c>
    </row>
    <row r="12477" spans="1:10" x14ac:dyDescent="0.25">
      <c r="A12477" s="7" t="s">
        <v>25268</v>
      </c>
      <c r="B12477" s="8">
        <v>393.75</v>
      </c>
      <c r="C12477" s="8">
        <v>20.478950000000001</v>
      </c>
      <c r="D12477" s="8">
        <v>85</v>
      </c>
      <c r="E12477" s="8">
        <v>0</v>
      </c>
      <c r="F12477" s="8">
        <v>0</v>
      </c>
      <c r="G12477" s="8">
        <v>6</v>
      </c>
      <c r="H12477" s="8" t="s">
        <v>25269</v>
      </c>
      <c r="I12477" s="8">
        <v>526.6875</v>
      </c>
      <c r="J12477" s="3">
        <f t="shared" si="194"/>
        <v>43748.406080937501</v>
      </c>
    </row>
    <row r="12478" spans="1:10" x14ac:dyDescent="0.25">
      <c r="A12478" s="5" t="s">
        <v>25270</v>
      </c>
      <c r="B12478" s="6">
        <v>393.75</v>
      </c>
      <c r="C12478" s="6">
        <v>20.478950000000001</v>
      </c>
      <c r="D12478" s="6">
        <v>85</v>
      </c>
      <c r="E12478" s="6">
        <v>0</v>
      </c>
      <c r="F12478" s="6">
        <v>0</v>
      </c>
      <c r="G12478" s="6">
        <v>10</v>
      </c>
      <c r="H12478" s="6" t="s">
        <v>25271</v>
      </c>
      <c r="I12478" s="6">
        <v>526.6875</v>
      </c>
      <c r="J12478" s="2">
        <f t="shared" si="194"/>
        <v>43748.406164907406</v>
      </c>
    </row>
    <row r="12479" spans="1:10" x14ac:dyDescent="0.25">
      <c r="A12479" s="7" t="s">
        <v>25272</v>
      </c>
      <c r="B12479" s="8">
        <v>393.75</v>
      </c>
      <c r="C12479" s="8">
        <v>20.478950000000001</v>
      </c>
      <c r="D12479" s="8">
        <v>86</v>
      </c>
      <c r="E12479" s="8">
        <v>0</v>
      </c>
      <c r="F12479" s="8">
        <v>0</v>
      </c>
      <c r="G12479" s="8">
        <v>12</v>
      </c>
      <c r="H12479" s="8" t="s">
        <v>25273</v>
      </c>
      <c r="I12479" s="8">
        <v>526.6875</v>
      </c>
      <c r="J12479" s="3">
        <f t="shared" si="194"/>
        <v>43748.406247824074</v>
      </c>
    </row>
    <row r="12480" spans="1:10" x14ac:dyDescent="0.25">
      <c r="A12480" s="5" t="s">
        <v>25274</v>
      </c>
      <c r="B12480" s="6">
        <v>393.75</v>
      </c>
      <c r="C12480" s="6">
        <v>20.478950000000001</v>
      </c>
      <c r="D12480" s="6">
        <v>85</v>
      </c>
      <c r="E12480" s="6">
        <v>0</v>
      </c>
      <c r="F12480" s="6">
        <v>0</v>
      </c>
      <c r="G12480" s="6">
        <v>11</v>
      </c>
      <c r="H12480" s="6" t="s">
        <v>25275</v>
      </c>
      <c r="I12480" s="6">
        <v>526.6875</v>
      </c>
      <c r="J12480" s="2">
        <f t="shared" si="194"/>
        <v>43748.406331516198</v>
      </c>
    </row>
    <row r="12481" spans="1:10" x14ac:dyDescent="0.25">
      <c r="A12481" s="7" t="s">
        <v>25276</v>
      </c>
      <c r="B12481" s="8">
        <v>393.75</v>
      </c>
      <c r="C12481" s="8">
        <v>20.478950000000001</v>
      </c>
      <c r="D12481" s="8">
        <v>85</v>
      </c>
      <c r="E12481" s="8">
        <v>0</v>
      </c>
      <c r="F12481" s="8">
        <v>0</v>
      </c>
      <c r="G12481" s="8">
        <v>11</v>
      </c>
      <c r="H12481" s="8" t="s">
        <v>25277</v>
      </c>
      <c r="I12481" s="8">
        <v>526.6875</v>
      </c>
      <c r="J12481" s="3">
        <f t="shared" si="194"/>
        <v>43748.406402916669</v>
      </c>
    </row>
    <row r="12482" spans="1:10" x14ac:dyDescent="0.25">
      <c r="A12482" s="5" t="s">
        <v>25278</v>
      </c>
      <c r="B12482" s="6">
        <v>393.75</v>
      </c>
      <c r="C12482" s="6">
        <v>20.478950000000001</v>
      </c>
      <c r="D12482" s="6">
        <v>86</v>
      </c>
      <c r="E12482" s="6">
        <v>0</v>
      </c>
      <c r="F12482" s="6">
        <v>0</v>
      </c>
      <c r="G12482" s="6">
        <v>6</v>
      </c>
      <c r="H12482" s="6" t="s">
        <v>25279</v>
      </c>
      <c r="I12482" s="6">
        <v>526.5</v>
      </c>
      <c r="J12482" s="2">
        <f t="shared" ref="J12482:J12545" si="195">(H12482/86400000)+25569+(7/24)</f>
        <v>43748.406486145832</v>
      </c>
    </row>
    <row r="12483" spans="1:10" x14ac:dyDescent="0.25">
      <c r="A12483" s="7" t="s">
        <v>25280</v>
      </c>
      <c r="B12483" s="8">
        <v>393.75</v>
      </c>
      <c r="C12483" s="8">
        <v>20.478950000000001</v>
      </c>
      <c r="D12483" s="8">
        <v>86</v>
      </c>
      <c r="E12483" s="8">
        <v>0</v>
      </c>
      <c r="F12483" s="8">
        <v>0</v>
      </c>
      <c r="G12483" s="8">
        <v>7</v>
      </c>
      <c r="H12483" s="8" t="s">
        <v>25281</v>
      </c>
      <c r="I12483" s="8">
        <v>526.6875</v>
      </c>
      <c r="J12483" s="3">
        <f t="shared" si="195"/>
        <v>43748.406557905088</v>
      </c>
    </row>
    <row r="12484" spans="1:10" x14ac:dyDescent="0.25">
      <c r="A12484" s="5" t="s">
        <v>25282</v>
      </c>
      <c r="B12484" s="6">
        <v>393.75</v>
      </c>
      <c r="C12484" s="6">
        <v>20.478950000000001</v>
      </c>
      <c r="D12484" s="6">
        <v>85</v>
      </c>
      <c r="E12484" s="6">
        <v>0</v>
      </c>
      <c r="F12484" s="6">
        <v>0</v>
      </c>
      <c r="G12484" s="6">
        <v>8</v>
      </c>
      <c r="H12484" s="6" t="s">
        <v>25283</v>
      </c>
      <c r="I12484" s="6">
        <v>526.5</v>
      </c>
      <c r="J12484" s="2">
        <f t="shared" si="195"/>
        <v>43748.406641331014</v>
      </c>
    </row>
    <row r="12485" spans="1:10" x14ac:dyDescent="0.25">
      <c r="A12485" s="7" t="s">
        <v>25284</v>
      </c>
      <c r="B12485" s="8">
        <v>393.75</v>
      </c>
      <c r="C12485" s="8">
        <v>20.478950000000001</v>
      </c>
      <c r="D12485" s="8">
        <v>85</v>
      </c>
      <c r="E12485" s="8">
        <v>0</v>
      </c>
      <c r="F12485" s="8">
        <v>0</v>
      </c>
      <c r="G12485" s="8">
        <v>1</v>
      </c>
      <c r="H12485" s="8" t="s">
        <v>25285</v>
      </c>
      <c r="I12485" s="8">
        <v>526.6875</v>
      </c>
      <c r="J12485" s="3">
        <f t="shared" si="195"/>
        <v>43748.406724918976</v>
      </c>
    </row>
    <row r="12486" spans="1:10" x14ac:dyDescent="0.25">
      <c r="A12486" s="5" t="s">
        <v>25286</v>
      </c>
      <c r="B12486" s="6">
        <v>393.75</v>
      </c>
      <c r="C12486" s="6">
        <v>20.478950000000001</v>
      </c>
      <c r="D12486" s="6">
        <v>84</v>
      </c>
      <c r="E12486" s="6">
        <v>0</v>
      </c>
      <c r="F12486" s="6">
        <v>0</v>
      </c>
      <c r="G12486" s="6">
        <v>0</v>
      </c>
      <c r="H12486" s="6" t="s">
        <v>25287</v>
      </c>
      <c r="I12486" s="6">
        <v>526.5</v>
      </c>
      <c r="J12486" s="2">
        <f t="shared" si="195"/>
        <v>43748.406808483793</v>
      </c>
    </row>
    <row r="12487" spans="1:10" x14ac:dyDescent="0.25">
      <c r="A12487" s="7" t="s">
        <v>25288</v>
      </c>
      <c r="B12487" s="8">
        <v>393.75</v>
      </c>
      <c r="C12487" s="8">
        <v>20.478950000000001</v>
      </c>
      <c r="D12487" s="8">
        <v>83</v>
      </c>
      <c r="E12487" s="8">
        <v>0</v>
      </c>
      <c r="F12487" s="8">
        <v>0</v>
      </c>
      <c r="G12487" s="8">
        <v>0</v>
      </c>
      <c r="H12487" s="8" t="s">
        <v>25289</v>
      </c>
      <c r="I12487" s="8">
        <v>526.6875</v>
      </c>
      <c r="J12487" s="3">
        <f t="shared" si="195"/>
        <v>43748.406891898143</v>
      </c>
    </row>
    <row r="12488" spans="1:10" x14ac:dyDescent="0.25">
      <c r="A12488" s="5" t="s">
        <v>25290</v>
      </c>
      <c r="B12488" s="6">
        <v>393.75</v>
      </c>
      <c r="C12488" s="6">
        <v>20.478950000000001</v>
      </c>
      <c r="D12488" s="6">
        <v>82</v>
      </c>
      <c r="E12488" s="6">
        <v>0</v>
      </c>
      <c r="F12488" s="6">
        <v>0</v>
      </c>
      <c r="G12488" s="6">
        <v>3</v>
      </c>
      <c r="H12488" s="6" t="s">
        <v>25291</v>
      </c>
      <c r="I12488" s="6">
        <v>526.6875</v>
      </c>
      <c r="J12488" s="2">
        <f t="shared" si="195"/>
        <v>43748.406975034719</v>
      </c>
    </row>
    <row r="12489" spans="1:10" x14ac:dyDescent="0.25">
      <c r="A12489" s="7" t="s">
        <v>25292</v>
      </c>
      <c r="B12489" s="8">
        <v>393.75</v>
      </c>
      <c r="C12489" s="8">
        <v>20.478950000000001</v>
      </c>
      <c r="D12489" s="8">
        <v>82</v>
      </c>
      <c r="E12489" s="8">
        <v>0</v>
      </c>
      <c r="F12489" s="8">
        <v>0</v>
      </c>
      <c r="G12489" s="8">
        <v>0</v>
      </c>
      <c r="H12489" s="8" t="s">
        <v>25293</v>
      </c>
      <c r="I12489" s="8">
        <v>526.6875</v>
      </c>
      <c r="J12489" s="3">
        <f t="shared" si="195"/>
        <v>43748.407046863424</v>
      </c>
    </row>
    <row r="12490" spans="1:10" x14ac:dyDescent="0.25">
      <c r="A12490" s="5" t="s">
        <v>25294</v>
      </c>
      <c r="B12490" s="6">
        <v>393.75</v>
      </c>
      <c r="C12490" s="6">
        <v>20.478950000000001</v>
      </c>
      <c r="D12490" s="6">
        <v>81</v>
      </c>
      <c r="E12490" s="6">
        <v>0</v>
      </c>
      <c r="F12490" s="6">
        <v>0</v>
      </c>
      <c r="G12490" s="6">
        <v>0</v>
      </c>
      <c r="H12490" s="6" t="s">
        <v>25295</v>
      </c>
      <c r="I12490" s="6">
        <v>526.6875</v>
      </c>
      <c r="J12490" s="2">
        <f t="shared" si="195"/>
        <v>43748.407130358792</v>
      </c>
    </row>
    <row r="12491" spans="1:10" x14ac:dyDescent="0.25">
      <c r="A12491" s="7" t="s">
        <v>25296</v>
      </c>
      <c r="B12491" s="8">
        <v>393.75</v>
      </c>
      <c r="C12491" s="8">
        <v>20.478950000000001</v>
      </c>
      <c r="D12491" s="8">
        <v>80</v>
      </c>
      <c r="E12491" s="8">
        <v>0</v>
      </c>
      <c r="F12491" s="8">
        <v>0</v>
      </c>
      <c r="G12491" s="8">
        <v>0</v>
      </c>
      <c r="H12491" s="8" t="s">
        <v>25297</v>
      </c>
      <c r="I12491" s="8">
        <v>526.6875</v>
      </c>
      <c r="J12491" s="3">
        <f t="shared" si="195"/>
        <v>43748.407213784718</v>
      </c>
    </row>
    <row r="12492" spans="1:10" x14ac:dyDescent="0.25">
      <c r="A12492" s="5" t="s">
        <v>25298</v>
      </c>
      <c r="B12492" s="6">
        <v>393.75</v>
      </c>
      <c r="C12492" s="6">
        <v>20.478950000000001</v>
      </c>
      <c r="D12492" s="6">
        <v>80</v>
      </c>
      <c r="E12492" s="6">
        <v>0</v>
      </c>
      <c r="F12492" s="6">
        <v>0</v>
      </c>
      <c r="G12492" s="6">
        <v>0</v>
      </c>
      <c r="H12492" s="6" t="s">
        <v>25299</v>
      </c>
      <c r="I12492" s="6">
        <v>526.6875</v>
      </c>
      <c r="J12492" s="2">
        <f t="shared" si="195"/>
        <v>43748.407297337959</v>
      </c>
    </row>
    <row r="12493" spans="1:10" x14ac:dyDescent="0.25">
      <c r="A12493" s="7" t="s">
        <v>25300</v>
      </c>
      <c r="B12493" s="8">
        <v>393.75</v>
      </c>
      <c r="C12493" s="8">
        <v>20.478950000000001</v>
      </c>
      <c r="D12493" s="8">
        <v>80</v>
      </c>
      <c r="E12493" s="8">
        <v>0</v>
      </c>
      <c r="F12493" s="8">
        <v>0</v>
      </c>
      <c r="G12493" s="8">
        <v>0</v>
      </c>
      <c r="H12493" s="8" t="s">
        <v>25301</v>
      </c>
      <c r="I12493" s="8">
        <v>526.6875</v>
      </c>
      <c r="J12493" s="3">
        <f t="shared" si="195"/>
        <v>43748.407380694443</v>
      </c>
    </row>
    <row r="12494" spans="1:10" x14ac:dyDescent="0.25">
      <c r="A12494" s="5" t="s">
        <v>25302</v>
      </c>
      <c r="B12494" s="6">
        <v>393.75</v>
      </c>
      <c r="C12494" s="6">
        <v>20.478950000000001</v>
      </c>
      <c r="D12494" s="6">
        <v>78</v>
      </c>
      <c r="E12494" s="6">
        <v>0</v>
      </c>
      <c r="F12494" s="6">
        <v>0</v>
      </c>
      <c r="G12494" s="6">
        <v>0</v>
      </c>
      <c r="H12494" s="6" t="s">
        <v>25303</v>
      </c>
      <c r="I12494" s="6">
        <v>526.6875</v>
      </c>
      <c r="J12494" s="2">
        <f t="shared" si="195"/>
        <v>43748.407464155091</v>
      </c>
    </row>
    <row r="12495" spans="1:10" x14ac:dyDescent="0.25">
      <c r="A12495" s="7" t="s">
        <v>25304</v>
      </c>
      <c r="B12495" s="8">
        <v>393.75</v>
      </c>
      <c r="C12495" s="8">
        <v>20.478950000000001</v>
      </c>
      <c r="D12495" s="8">
        <v>78</v>
      </c>
      <c r="E12495" s="8">
        <v>0</v>
      </c>
      <c r="F12495" s="8">
        <v>0</v>
      </c>
      <c r="G12495" s="8">
        <v>0</v>
      </c>
      <c r="H12495" s="8" t="s">
        <v>25305</v>
      </c>
      <c r="I12495" s="8">
        <v>526.6875</v>
      </c>
      <c r="J12495" s="3">
        <f t="shared" si="195"/>
        <v>43748.407535671293</v>
      </c>
    </row>
    <row r="12496" spans="1:10" x14ac:dyDescent="0.25">
      <c r="A12496" s="5" t="s">
        <v>25306</v>
      </c>
      <c r="B12496" s="6">
        <v>393.75</v>
      </c>
      <c r="C12496" s="6">
        <v>20.478950000000001</v>
      </c>
      <c r="D12496" s="6">
        <v>76</v>
      </c>
      <c r="E12496" s="6">
        <v>0</v>
      </c>
      <c r="F12496" s="6">
        <v>0</v>
      </c>
      <c r="G12496" s="6">
        <v>1</v>
      </c>
      <c r="H12496" s="6" t="s">
        <v>25307</v>
      </c>
      <c r="I12496" s="6">
        <v>526.5</v>
      </c>
      <c r="J12496" s="2">
        <f t="shared" si="195"/>
        <v>43748.407619571757</v>
      </c>
    </row>
    <row r="12497" spans="1:10" x14ac:dyDescent="0.25">
      <c r="A12497" s="7" t="s">
        <v>25308</v>
      </c>
      <c r="B12497" s="8">
        <v>393.75</v>
      </c>
      <c r="C12497" s="8">
        <v>20.478950000000001</v>
      </c>
      <c r="D12497" s="8">
        <v>77</v>
      </c>
      <c r="E12497" s="8">
        <v>0</v>
      </c>
      <c r="F12497" s="8">
        <v>0</v>
      </c>
      <c r="G12497" s="8">
        <v>2</v>
      </c>
      <c r="H12497" s="8" t="s">
        <v>25309</v>
      </c>
      <c r="I12497" s="8">
        <v>526.6875</v>
      </c>
      <c r="J12497" s="3">
        <f t="shared" si="195"/>
        <v>43748.407702812496</v>
      </c>
    </row>
    <row r="12498" spans="1:10" x14ac:dyDescent="0.25">
      <c r="A12498" s="5" t="s">
        <v>25310</v>
      </c>
      <c r="B12498" s="6">
        <v>393.75</v>
      </c>
      <c r="C12498" s="6">
        <v>20.478950000000001</v>
      </c>
      <c r="D12498" s="6">
        <v>77</v>
      </c>
      <c r="E12498" s="6">
        <v>0</v>
      </c>
      <c r="F12498" s="6">
        <v>0</v>
      </c>
      <c r="G12498" s="6">
        <v>6</v>
      </c>
      <c r="H12498" s="6" t="s">
        <v>25311</v>
      </c>
      <c r="I12498" s="6">
        <v>526.6875</v>
      </c>
      <c r="J12498" s="2">
        <f t="shared" si="195"/>
        <v>43748.407798159715</v>
      </c>
    </row>
    <row r="12499" spans="1:10" x14ac:dyDescent="0.25">
      <c r="A12499" s="7" t="s">
        <v>25312</v>
      </c>
      <c r="B12499" s="8">
        <v>393.75</v>
      </c>
      <c r="C12499" s="8">
        <v>20.478950000000001</v>
      </c>
      <c r="D12499" s="8">
        <v>79</v>
      </c>
      <c r="E12499" s="8">
        <v>0</v>
      </c>
      <c r="F12499" s="8">
        <v>0</v>
      </c>
      <c r="G12499" s="8">
        <v>9</v>
      </c>
      <c r="H12499" s="8" t="s">
        <v>25313</v>
      </c>
      <c r="I12499" s="8">
        <v>526.6875</v>
      </c>
      <c r="J12499" s="3">
        <f t="shared" si="195"/>
        <v>43748.407869664348</v>
      </c>
    </row>
    <row r="12500" spans="1:10" x14ac:dyDescent="0.25">
      <c r="A12500" s="5" t="s">
        <v>25314</v>
      </c>
      <c r="B12500" s="6">
        <v>437.5</v>
      </c>
      <c r="C12500" s="6">
        <v>20.478950000000001</v>
      </c>
      <c r="D12500" s="6">
        <v>77</v>
      </c>
      <c r="E12500" s="6">
        <v>0</v>
      </c>
      <c r="F12500" s="6">
        <v>0</v>
      </c>
      <c r="G12500" s="6">
        <v>9</v>
      </c>
      <c r="H12500" s="6" t="s">
        <v>25315</v>
      </c>
      <c r="I12500" s="6">
        <v>540.9375</v>
      </c>
      <c r="J12500" s="2">
        <f t="shared" si="195"/>
        <v>43748.407952893518</v>
      </c>
    </row>
    <row r="12501" spans="1:10" x14ac:dyDescent="0.25">
      <c r="A12501" s="7" t="s">
        <v>25316</v>
      </c>
      <c r="B12501" s="8">
        <v>393.75</v>
      </c>
      <c r="C12501" s="8">
        <v>20.426300000000001</v>
      </c>
      <c r="D12501" s="8">
        <v>77</v>
      </c>
      <c r="E12501" s="8">
        <v>0</v>
      </c>
      <c r="F12501" s="8">
        <v>0</v>
      </c>
      <c r="G12501" s="8">
        <v>5</v>
      </c>
      <c r="H12501" s="8" t="s">
        <v>25317</v>
      </c>
      <c r="I12501" s="8">
        <v>526.6875</v>
      </c>
      <c r="J12501" s="3">
        <f t="shared" si="195"/>
        <v>43748.408024537035</v>
      </c>
    </row>
    <row r="12502" spans="1:10" x14ac:dyDescent="0.25">
      <c r="A12502" s="5" t="s">
        <v>25318</v>
      </c>
      <c r="B12502" s="6">
        <v>393.75</v>
      </c>
      <c r="C12502" s="6">
        <v>20.478950000000001</v>
      </c>
      <c r="D12502" s="6">
        <v>79</v>
      </c>
      <c r="E12502" s="6">
        <v>0</v>
      </c>
      <c r="F12502" s="6">
        <v>0</v>
      </c>
      <c r="G12502" s="6">
        <v>16</v>
      </c>
      <c r="H12502" s="6" t="s">
        <v>25319</v>
      </c>
      <c r="I12502" s="6">
        <v>526.6875</v>
      </c>
      <c r="J12502" s="2">
        <f t="shared" si="195"/>
        <v>43748.408108368058</v>
      </c>
    </row>
    <row r="12503" spans="1:10" x14ac:dyDescent="0.25">
      <c r="A12503" s="7" t="s">
        <v>25320</v>
      </c>
      <c r="B12503" s="8">
        <v>412.5</v>
      </c>
      <c r="C12503" s="8">
        <v>20.478950000000001</v>
      </c>
      <c r="D12503" s="8">
        <v>79</v>
      </c>
      <c r="E12503" s="8">
        <v>0</v>
      </c>
      <c r="F12503" s="8">
        <v>0</v>
      </c>
      <c r="G12503" s="8">
        <v>8</v>
      </c>
      <c r="H12503" s="8" t="s">
        <v>25321</v>
      </c>
      <c r="I12503" s="8">
        <v>532.3125</v>
      </c>
      <c r="J12503" s="3">
        <f t="shared" si="195"/>
        <v>43748.408191666669</v>
      </c>
    </row>
    <row r="12504" spans="1:10" x14ac:dyDescent="0.25">
      <c r="A12504" s="5" t="s">
        <v>25322</v>
      </c>
      <c r="B12504" s="6">
        <v>393.75</v>
      </c>
      <c r="C12504" s="6">
        <v>20.478950000000001</v>
      </c>
      <c r="D12504" s="6">
        <v>80</v>
      </c>
      <c r="E12504" s="6">
        <v>0</v>
      </c>
      <c r="F12504" s="6">
        <v>0</v>
      </c>
      <c r="G12504" s="6">
        <v>10</v>
      </c>
      <c r="H12504" s="6" t="s">
        <v>25323</v>
      </c>
      <c r="I12504" s="6">
        <v>526.6875</v>
      </c>
      <c r="J12504" s="2">
        <f t="shared" si="195"/>
        <v>43748.408275115733</v>
      </c>
    </row>
    <row r="12505" spans="1:10" x14ac:dyDescent="0.25">
      <c r="A12505" s="7" t="s">
        <v>25324</v>
      </c>
      <c r="B12505" s="8">
        <v>393.75</v>
      </c>
      <c r="C12505" s="8">
        <v>20.478950000000001</v>
      </c>
      <c r="D12505" s="8">
        <v>80</v>
      </c>
      <c r="E12505" s="8">
        <v>0</v>
      </c>
      <c r="F12505" s="8">
        <v>0</v>
      </c>
      <c r="G12505" s="8">
        <v>9</v>
      </c>
      <c r="H12505" s="8" t="s">
        <v>25325</v>
      </c>
      <c r="I12505" s="8">
        <v>526.6875</v>
      </c>
      <c r="J12505" s="3">
        <f t="shared" si="195"/>
        <v>43748.408346770833</v>
      </c>
    </row>
    <row r="12506" spans="1:10" x14ac:dyDescent="0.25">
      <c r="A12506" s="5" t="s">
        <v>25326</v>
      </c>
      <c r="B12506" s="6">
        <v>393.75</v>
      </c>
      <c r="C12506" s="6">
        <v>20.478950000000001</v>
      </c>
      <c r="D12506" s="6">
        <v>80</v>
      </c>
      <c r="E12506" s="6">
        <v>0</v>
      </c>
      <c r="F12506" s="6">
        <v>0</v>
      </c>
      <c r="G12506" s="6">
        <v>10</v>
      </c>
      <c r="H12506" s="6" t="s">
        <v>25327</v>
      </c>
      <c r="I12506" s="6">
        <v>526.6875</v>
      </c>
      <c r="J12506" s="2">
        <f t="shared" si="195"/>
        <v>43748.40843023148</v>
      </c>
    </row>
    <row r="12507" spans="1:10" x14ac:dyDescent="0.25">
      <c r="A12507" s="7" t="s">
        <v>25328</v>
      </c>
      <c r="B12507" s="8">
        <v>393.75</v>
      </c>
      <c r="C12507" s="8">
        <v>20.478950000000001</v>
      </c>
      <c r="D12507" s="8">
        <v>80</v>
      </c>
      <c r="E12507" s="8">
        <v>0</v>
      </c>
      <c r="F12507" s="8">
        <v>0</v>
      </c>
      <c r="G12507" s="8">
        <v>4</v>
      </c>
      <c r="H12507" s="8" t="s">
        <v>25329</v>
      </c>
      <c r="I12507" s="8">
        <v>526.6875</v>
      </c>
      <c r="J12507" s="3">
        <f t="shared" si="195"/>
        <v>43748.408513784721</v>
      </c>
    </row>
    <row r="12508" spans="1:10" x14ac:dyDescent="0.25">
      <c r="A12508" s="5" t="s">
        <v>25330</v>
      </c>
      <c r="B12508" s="6">
        <v>393.75</v>
      </c>
      <c r="C12508" s="6">
        <v>20.478950000000001</v>
      </c>
      <c r="D12508" s="6">
        <v>80</v>
      </c>
      <c r="E12508" s="6">
        <v>0</v>
      </c>
      <c r="F12508" s="6">
        <v>0</v>
      </c>
      <c r="G12508" s="6">
        <v>0</v>
      </c>
      <c r="H12508" s="6" t="s">
        <v>25331</v>
      </c>
      <c r="I12508" s="6">
        <v>526.6875</v>
      </c>
      <c r="J12508" s="2">
        <f t="shared" si="195"/>
        <v>43748.408597268521</v>
      </c>
    </row>
    <row r="12509" spans="1:10" x14ac:dyDescent="0.25">
      <c r="A12509" s="7" t="s">
        <v>25332</v>
      </c>
      <c r="B12509" s="8">
        <v>393.75</v>
      </c>
      <c r="C12509" s="8">
        <v>20.478950000000001</v>
      </c>
      <c r="D12509" s="8">
        <v>78</v>
      </c>
      <c r="E12509" s="8">
        <v>0</v>
      </c>
      <c r="F12509" s="8">
        <v>0</v>
      </c>
      <c r="G12509" s="8">
        <v>2</v>
      </c>
      <c r="H12509" s="8" t="s">
        <v>25333</v>
      </c>
      <c r="I12509" s="8">
        <v>526.5</v>
      </c>
      <c r="J12509" s="3">
        <f t="shared" si="195"/>
        <v>43748.408680706016</v>
      </c>
    </row>
    <row r="12510" spans="1:10" x14ac:dyDescent="0.25">
      <c r="A12510" s="5" t="s">
        <v>25334</v>
      </c>
      <c r="B12510" s="6">
        <v>393.75</v>
      </c>
      <c r="C12510" s="6">
        <v>20.478950000000001</v>
      </c>
      <c r="D12510" s="6">
        <v>78</v>
      </c>
      <c r="E12510" s="6">
        <v>0</v>
      </c>
      <c r="F12510" s="6">
        <v>0</v>
      </c>
      <c r="G12510" s="6">
        <v>0</v>
      </c>
      <c r="H12510" s="6" t="s">
        <v>25335</v>
      </c>
      <c r="I12510" s="6">
        <v>526.6875</v>
      </c>
      <c r="J12510" s="2">
        <f t="shared" si="195"/>
        <v>43748.408763946754</v>
      </c>
    </row>
    <row r="12511" spans="1:10" x14ac:dyDescent="0.25">
      <c r="A12511" s="7" t="s">
        <v>25336</v>
      </c>
      <c r="B12511" s="8">
        <v>393.75</v>
      </c>
      <c r="C12511" s="8">
        <v>20.478950000000001</v>
      </c>
      <c r="D12511" s="8">
        <v>78</v>
      </c>
      <c r="E12511" s="8">
        <v>0</v>
      </c>
      <c r="F12511" s="8">
        <v>0</v>
      </c>
      <c r="G12511" s="8">
        <v>0</v>
      </c>
      <c r="H12511" s="8" t="s">
        <v>25337</v>
      </c>
      <c r="I12511" s="8">
        <v>526.6875</v>
      </c>
      <c r="J12511" s="3">
        <f t="shared" si="195"/>
        <v>43748.408835694441</v>
      </c>
    </row>
    <row r="12512" spans="1:10" x14ac:dyDescent="0.25">
      <c r="A12512" s="5" t="s">
        <v>25338</v>
      </c>
      <c r="B12512" s="6">
        <v>393.75</v>
      </c>
      <c r="C12512" s="6">
        <v>20.478950000000001</v>
      </c>
      <c r="D12512" s="6">
        <v>77</v>
      </c>
      <c r="E12512" s="6">
        <v>0</v>
      </c>
      <c r="F12512" s="6">
        <v>0</v>
      </c>
      <c r="G12512" s="6">
        <v>8</v>
      </c>
      <c r="H12512" s="6" t="s">
        <v>25339</v>
      </c>
      <c r="I12512" s="6">
        <v>526.6875</v>
      </c>
      <c r="J12512" s="2">
        <f t="shared" si="195"/>
        <v>43748.408919259258</v>
      </c>
    </row>
    <row r="12513" spans="1:10" x14ac:dyDescent="0.25">
      <c r="A12513" s="7" t="s">
        <v>25340</v>
      </c>
      <c r="B12513" s="8">
        <v>418.75</v>
      </c>
      <c r="C12513" s="8">
        <v>20.478950000000001</v>
      </c>
      <c r="D12513" s="8">
        <v>76</v>
      </c>
      <c r="E12513" s="8">
        <v>0</v>
      </c>
      <c r="F12513" s="8">
        <v>0</v>
      </c>
      <c r="G12513" s="8">
        <v>3</v>
      </c>
      <c r="H12513" s="8" t="s">
        <v>25341</v>
      </c>
      <c r="I12513" s="8">
        <v>534.375</v>
      </c>
      <c r="J12513" s="3">
        <f t="shared" si="195"/>
        <v>43748.409002708329</v>
      </c>
    </row>
    <row r="12514" spans="1:10" x14ac:dyDescent="0.25">
      <c r="A12514" s="5" t="s">
        <v>25342</v>
      </c>
      <c r="B12514" s="6">
        <v>393.75</v>
      </c>
      <c r="C12514" s="6">
        <v>20.478950000000001</v>
      </c>
      <c r="D12514" s="6">
        <v>76</v>
      </c>
      <c r="E12514" s="6">
        <v>0</v>
      </c>
      <c r="F12514" s="6">
        <v>0</v>
      </c>
      <c r="G12514" s="6">
        <v>3</v>
      </c>
      <c r="H12514" s="6" t="s">
        <v>25343</v>
      </c>
      <c r="I12514" s="6">
        <v>526.6875</v>
      </c>
      <c r="J12514" s="2">
        <f t="shared" si="195"/>
        <v>43748.4090861574</v>
      </c>
    </row>
    <row r="12515" spans="1:10" x14ac:dyDescent="0.25">
      <c r="A12515" s="7" t="s">
        <v>25344</v>
      </c>
      <c r="B12515" s="8">
        <v>393.75</v>
      </c>
      <c r="C12515" s="8">
        <v>20.478950000000001</v>
      </c>
      <c r="D12515" s="8">
        <v>76</v>
      </c>
      <c r="E12515" s="8">
        <v>0</v>
      </c>
      <c r="F12515" s="8">
        <v>0</v>
      </c>
      <c r="G12515" s="8">
        <v>2</v>
      </c>
      <c r="H12515" s="8" t="s">
        <v>25345</v>
      </c>
      <c r="I12515" s="8">
        <v>526.5</v>
      </c>
      <c r="J12515" s="3">
        <f t="shared" si="195"/>
        <v>43748.409169733794</v>
      </c>
    </row>
    <row r="12516" spans="1:10" x14ac:dyDescent="0.25">
      <c r="A12516" s="5" t="s">
        <v>25346</v>
      </c>
      <c r="B12516" s="6">
        <v>393.75</v>
      </c>
      <c r="C12516" s="6">
        <v>20.478950000000001</v>
      </c>
      <c r="D12516" s="6">
        <v>76</v>
      </c>
      <c r="E12516" s="6">
        <v>0</v>
      </c>
      <c r="F12516" s="6">
        <v>0</v>
      </c>
      <c r="G12516" s="6">
        <v>16</v>
      </c>
      <c r="H12516" s="6" t="s">
        <v>25347</v>
      </c>
      <c r="I12516" s="6">
        <v>526.6875</v>
      </c>
      <c r="J12516" s="2">
        <f t="shared" si="195"/>
        <v>43748.409252928242</v>
      </c>
    </row>
    <row r="12517" spans="1:10" x14ac:dyDescent="0.25">
      <c r="A12517" s="7" t="s">
        <v>25348</v>
      </c>
      <c r="B12517" s="8">
        <v>393.75</v>
      </c>
      <c r="C12517" s="8">
        <v>20.478950000000001</v>
      </c>
      <c r="D12517" s="8">
        <v>76</v>
      </c>
      <c r="E12517" s="8">
        <v>0</v>
      </c>
      <c r="F12517" s="8">
        <v>0</v>
      </c>
      <c r="G12517" s="8">
        <v>9</v>
      </c>
      <c r="H12517" s="8" t="s">
        <v>25349</v>
      </c>
      <c r="I12517" s="8">
        <v>526.6875</v>
      </c>
      <c r="J12517" s="3">
        <f t="shared" si="195"/>
        <v>43748.40932431713</v>
      </c>
    </row>
    <row r="12518" spans="1:10" x14ac:dyDescent="0.25">
      <c r="A12518" s="5" t="s">
        <v>25350</v>
      </c>
      <c r="B12518" s="6">
        <v>428.125</v>
      </c>
      <c r="C12518" s="6">
        <v>20.478950000000001</v>
      </c>
      <c r="D12518" s="6">
        <v>75</v>
      </c>
      <c r="E12518" s="6">
        <v>0</v>
      </c>
      <c r="F12518" s="6">
        <v>0</v>
      </c>
      <c r="G12518" s="6">
        <v>0</v>
      </c>
      <c r="H12518" s="6" t="s">
        <v>25351</v>
      </c>
      <c r="I12518" s="6">
        <v>537.1875</v>
      </c>
      <c r="J12518" s="2">
        <f t="shared" si="195"/>
        <v>43748.409408159721</v>
      </c>
    </row>
    <row r="12519" spans="1:10" x14ac:dyDescent="0.25">
      <c r="A12519" s="7" t="s">
        <v>25352</v>
      </c>
      <c r="B12519" s="8">
        <v>393.75</v>
      </c>
      <c r="C12519" s="8">
        <v>20.478950000000001</v>
      </c>
      <c r="D12519" s="8">
        <v>76</v>
      </c>
      <c r="E12519" s="8">
        <v>0</v>
      </c>
      <c r="F12519" s="8">
        <v>0</v>
      </c>
      <c r="G12519" s="8">
        <v>0</v>
      </c>
      <c r="H12519" s="8" t="s">
        <v>25353</v>
      </c>
      <c r="I12519" s="8">
        <v>526.6875</v>
      </c>
      <c r="J12519" s="3">
        <f t="shared" si="195"/>
        <v>43748.409491701386</v>
      </c>
    </row>
    <row r="12520" spans="1:10" x14ac:dyDescent="0.25">
      <c r="A12520" s="5" t="s">
        <v>25354</v>
      </c>
      <c r="B12520" s="6">
        <v>393.75</v>
      </c>
      <c r="C12520" s="6">
        <v>20.478950000000001</v>
      </c>
      <c r="D12520" s="6">
        <v>76</v>
      </c>
      <c r="E12520" s="6">
        <v>0</v>
      </c>
      <c r="F12520" s="6">
        <v>0</v>
      </c>
      <c r="G12520" s="6">
        <v>0</v>
      </c>
      <c r="H12520" s="6" t="s">
        <v>25355</v>
      </c>
      <c r="I12520" s="6">
        <v>526.6875</v>
      </c>
      <c r="J12520" s="2">
        <f t="shared" si="195"/>
        <v>43748.409575057864</v>
      </c>
    </row>
    <row r="12521" spans="1:10" x14ac:dyDescent="0.25">
      <c r="A12521" s="7" t="s">
        <v>25356</v>
      </c>
      <c r="B12521" s="8">
        <v>393.75</v>
      </c>
      <c r="C12521" s="8">
        <v>20.478950000000001</v>
      </c>
      <c r="D12521" s="8">
        <v>76</v>
      </c>
      <c r="E12521" s="8">
        <v>0</v>
      </c>
      <c r="F12521" s="8">
        <v>0</v>
      </c>
      <c r="G12521" s="8">
        <v>0</v>
      </c>
      <c r="H12521" s="8" t="s">
        <v>25357</v>
      </c>
      <c r="I12521" s="8">
        <v>526.6875</v>
      </c>
      <c r="J12521" s="3">
        <f t="shared" si="195"/>
        <v>43748.40965872685</v>
      </c>
    </row>
    <row r="12522" spans="1:10" x14ac:dyDescent="0.25">
      <c r="A12522" s="5" t="s">
        <v>25358</v>
      </c>
      <c r="B12522" s="6">
        <v>393.75</v>
      </c>
      <c r="C12522" s="6">
        <v>20.478950000000001</v>
      </c>
      <c r="D12522" s="6">
        <v>77</v>
      </c>
      <c r="E12522" s="6">
        <v>0</v>
      </c>
      <c r="F12522" s="6">
        <v>0</v>
      </c>
      <c r="G12522" s="6">
        <v>0</v>
      </c>
      <c r="H12522" s="6" t="s">
        <v>25359</v>
      </c>
      <c r="I12522" s="6">
        <v>526.6875</v>
      </c>
      <c r="J12522" s="2">
        <f t="shared" si="195"/>
        <v>43748.409741817122</v>
      </c>
    </row>
    <row r="12523" spans="1:10" x14ac:dyDescent="0.25">
      <c r="A12523" s="7" t="s">
        <v>25360</v>
      </c>
      <c r="B12523" s="8">
        <v>393.75</v>
      </c>
      <c r="C12523" s="8">
        <v>20.478950000000001</v>
      </c>
      <c r="D12523" s="8">
        <v>77</v>
      </c>
      <c r="E12523" s="8">
        <v>0</v>
      </c>
      <c r="F12523" s="8">
        <v>0</v>
      </c>
      <c r="G12523" s="8">
        <v>0</v>
      </c>
      <c r="H12523" s="8" t="s">
        <v>25361</v>
      </c>
      <c r="I12523" s="8">
        <v>526.6875</v>
      </c>
      <c r="J12523" s="3">
        <f t="shared" si="195"/>
        <v>43748.409813472223</v>
      </c>
    </row>
    <row r="12524" spans="1:10" x14ac:dyDescent="0.25">
      <c r="A12524" s="5" t="s">
        <v>25362</v>
      </c>
      <c r="B12524" s="6">
        <v>393.75</v>
      </c>
      <c r="C12524" s="6">
        <v>20.478950000000001</v>
      </c>
      <c r="D12524" s="6">
        <v>76</v>
      </c>
      <c r="E12524" s="6">
        <v>0</v>
      </c>
      <c r="F12524" s="6">
        <v>0</v>
      </c>
      <c r="G12524" s="6">
        <v>0</v>
      </c>
      <c r="H12524" s="6" t="s">
        <v>25363</v>
      </c>
      <c r="I12524" s="6">
        <v>526.6875</v>
      </c>
      <c r="J12524" s="2">
        <f t="shared" si="195"/>
        <v>43748.409897488418</v>
      </c>
    </row>
    <row r="12525" spans="1:10" x14ac:dyDescent="0.25">
      <c r="A12525" s="7" t="s">
        <v>25364</v>
      </c>
      <c r="B12525" s="8">
        <v>393.75</v>
      </c>
      <c r="C12525" s="8">
        <v>20.478950000000001</v>
      </c>
      <c r="D12525" s="8">
        <v>76</v>
      </c>
      <c r="E12525" s="8">
        <v>0</v>
      </c>
      <c r="F12525" s="8">
        <v>0</v>
      </c>
      <c r="G12525" s="8">
        <v>0</v>
      </c>
      <c r="H12525" s="8" t="s">
        <v>25365</v>
      </c>
      <c r="I12525" s="8">
        <v>526.6875</v>
      </c>
      <c r="J12525" s="3">
        <f t="shared" si="195"/>
        <v>43748.409981122684</v>
      </c>
    </row>
    <row r="12526" spans="1:10" x14ac:dyDescent="0.25">
      <c r="A12526" s="5" t="s">
        <v>25366</v>
      </c>
      <c r="B12526" s="6">
        <v>393.75</v>
      </c>
      <c r="C12526" s="6">
        <v>20.478950000000001</v>
      </c>
      <c r="D12526" s="6">
        <v>76</v>
      </c>
      <c r="E12526" s="6">
        <v>0</v>
      </c>
      <c r="F12526" s="6">
        <v>0</v>
      </c>
      <c r="G12526" s="6">
        <v>7</v>
      </c>
      <c r="H12526" s="6" t="s">
        <v>25367</v>
      </c>
      <c r="I12526" s="6">
        <v>526.6875</v>
      </c>
      <c r="J12526" s="2">
        <f t="shared" si="195"/>
        <v>43748.410063935182</v>
      </c>
    </row>
    <row r="12527" spans="1:10" x14ac:dyDescent="0.25">
      <c r="A12527" s="7" t="s">
        <v>25368</v>
      </c>
      <c r="B12527" s="8">
        <v>393.75</v>
      </c>
      <c r="C12527" s="8">
        <v>20.478950000000001</v>
      </c>
      <c r="D12527" s="8">
        <v>76</v>
      </c>
      <c r="E12527" s="8">
        <v>0</v>
      </c>
      <c r="F12527" s="8">
        <v>0</v>
      </c>
      <c r="G12527" s="8">
        <v>10</v>
      </c>
      <c r="H12527" s="8" t="s">
        <v>25369</v>
      </c>
      <c r="I12527" s="8">
        <v>526.6875</v>
      </c>
      <c r="J12527" s="3">
        <f t="shared" si="195"/>
        <v>43748.410135694437</v>
      </c>
    </row>
    <row r="12528" spans="1:10" x14ac:dyDescent="0.25">
      <c r="A12528" s="5" t="s">
        <v>25370</v>
      </c>
      <c r="B12528" s="6">
        <v>393.75</v>
      </c>
      <c r="C12528" s="6">
        <v>20.478950000000001</v>
      </c>
      <c r="D12528" s="6">
        <v>79</v>
      </c>
      <c r="E12528" s="6">
        <v>0</v>
      </c>
      <c r="F12528" s="6">
        <v>0</v>
      </c>
      <c r="G12528" s="6">
        <v>7</v>
      </c>
      <c r="H12528" s="6" t="s">
        <v>25371</v>
      </c>
      <c r="I12528" s="6">
        <v>526.6875</v>
      </c>
      <c r="J12528" s="2">
        <f t="shared" si="195"/>
        <v>43748.410219131947</v>
      </c>
    </row>
    <row r="12529" spans="1:10" x14ac:dyDescent="0.25">
      <c r="A12529" s="7" t="s">
        <v>25372</v>
      </c>
      <c r="B12529" s="8">
        <v>393.75</v>
      </c>
      <c r="C12529" s="8">
        <v>20.478950000000001</v>
      </c>
      <c r="D12529" s="8">
        <v>79</v>
      </c>
      <c r="E12529" s="8">
        <v>0</v>
      </c>
      <c r="F12529" s="8">
        <v>0</v>
      </c>
      <c r="G12529" s="8">
        <v>2</v>
      </c>
      <c r="H12529" s="8" t="s">
        <v>25373</v>
      </c>
      <c r="I12529" s="8">
        <v>526.6875</v>
      </c>
      <c r="J12529" s="3">
        <f t="shared" si="195"/>
        <v>43748.410302604163</v>
      </c>
    </row>
    <row r="12530" spans="1:10" x14ac:dyDescent="0.25">
      <c r="A12530" s="5" t="s">
        <v>25374</v>
      </c>
      <c r="B12530" s="6">
        <v>393.75</v>
      </c>
      <c r="C12530" s="6">
        <v>20.478950000000001</v>
      </c>
      <c r="D12530" s="6">
        <v>81</v>
      </c>
      <c r="E12530" s="6">
        <v>0</v>
      </c>
      <c r="F12530" s="6">
        <v>0</v>
      </c>
      <c r="G12530" s="6">
        <v>8</v>
      </c>
      <c r="H12530" s="6" t="s">
        <v>25375</v>
      </c>
      <c r="I12530" s="6">
        <v>526.5</v>
      </c>
      <c r="J12530" s="2">
        <f t="shared" si="195"/>
        <v>43748.410386377313</v>
      </c>
    </row>
    <row r="12531" spans="1:10" x14ac:dyDescent="0.25">
      <c r="A12531" s="7" t="s">
        <v>25376</v>
      </c>
      <c r="B12531" s="8">
        <v>393.75</v>
      </c>
      <c r="C12531" s="8">
        <v>20.478950000000001</v>
      </c>
      <c r="D12531" s="8">
        <v>81</v>
      </c>
      <c r="E12531" s="8">
        <v>0</v>
      </c>
      <c r="F12531" s="8">
        <v>0</v>
      </c>
      <c r="G12531" s="8">
        <v>11</v>
      </c>
      <c r="H12531" s="8" t="s">
        <v>25377</v>
      </c>
      <c r="I12531" s="8">
        <v>526.6875</v>
      </c>
      <c r="J12531" s="3">
        <f t="shared" si="195"/>
        <v>43748.410486828703</v>
      </c>
    </row>
    <row r="12532" spans="1:10" x14ac:dyDescent="0.25">
      <c r="A12532" s="5" t="s">
        <v>25378</v>
      </c>
      <c r="B12532" s="6">
        <v>393.75</v>
      </c>
      <c r="C12532" s="6">
        <v>20.478950000000001</v>
      </c>
      <c r="D12532" s="6">
        <v>82</v>
      </c>
      <c r="E12532" s="6">
        <v>0</v>
      </c>
      <c r="F12532" s="6">
        <v>0</v>
      </c>
      <c r="G12532" s="6">
        <v>7</v>
      </c>
      <c r="H12532" s="6" t="s">
        <v>25379</v>
      </c>
      <c r="I12532" s="6">
        <v>526.6875</v>
      </c>
      <c r="J12532" s="2">
        <f t="shared" si="195"/>
        <v>43748.410564988422</v>
      </c>
    </row>
    <row r="12533" spans="1:10" x14ac:dyDescent="0.25">
      <c r="A12533" s="7" t="s">
        <v>25380</v>
      </c>
      <c r="B12533" s="8">
        <v>393.75</v>
      </c>
      <c r="C12533" s="8">
        <v>20.478950000000001</v>
      </c>
      <c r="D12533" s="8">
        <v>82</v>
      </c>
      <c r="E12533" s="8">
        <v>0</v>
      </c>
      <c r="F12533" s="8">
        <v>0</v>
      </c>
      <c r="G12533" s="8">
        <v>18</v>
      </c>
      <c r="H12533" s="8" t="s">
        <v>25381</v>
      </c>
      <c r="I12533" s="8">
        <v>526.6875</v>
      </c>
      <c r="J12533" s="3">
        <f t="shared" si="195"/>
        <v>43748.410636516201</v>
      </c>
    </row>
    <row r="12534" spans="1:10" x14ac:dyDescent="0.25">
      <c r="A12534" s="5" t="s">
        <v>25382</v>
      </c>
      <c r="B12534" s="6">
        <v>393.75</v>
      </c>
      <c r="C12534" s="6">
        <v>20.478950000000001</v>
      </c>
      <c r="D12534" s="6">
        <v>82</v>
      </c>
      <c r="E12534" s="6">
        <v>0</v>
      </c>
      <c r="F12534" s="6">
        <v>0</v>
      </c>
      <c r="G12534" s="6">
        <v>15</v>
      </c>
      <c r="H12534" s="6" t="s">
        <v>25383</v>
      </c>
      <c r="I12534" s="6">
        <v>526.6875</v>
      </c>
      <c r="J12534" s="2">
        <f t="shared" si="195"/>
        <v>43748.410719722218</v>
      </c>
    </row>
    <row r="12535" spans="1:10" x14ac:dyDescent="0.25">
      <c r="A12535" s="7" t="s">
        <v>25384</v>
      </c>
      <c r="B12535" s="8">
        <v>393.75</v>
      </c>
      <c r="C12535" s="8">
        <v>20.478950000000001</v>
      </c>
      <c r="D12535" s="8">
        <v>82</v>
      </c>
      <c r="E12535" s="8">
        <v>0</v>
      </c>
      <c r="F12535" s="8">
        <v>0</v>
      </c>
      <c r="G12535" s="8">
        <v>16</v>
      </c>
      <c r="H12535" s="8" t="s">
        <v>25385</v>
      </c>
      <c r="I12535" s="8">
        <v>526.6875</v>
      </c>
      <c r="J12535" s="3">
        <f t="shared" si="195"/>
        <v>43748.410791249997</v>
      </c>
    </row>
    <row r="12536" spans="1:10" x14ac:dyDescent="0.25">
      <c r="A12536" s="5" t="s">
        <v>25386</v>
      </c>
      <c r="B12536" s="6">
        <v>393.75</v>
      </c>
      <c r="C12536" s="6">
        <v>20.478950000000001</v>
      </c>
      <c r="D12536" s="6">
        <v>82</v>
      </c>
      <c r="E12536" s="6">
        <v>0</v>
      </c>
      <c r="F12536" s="6">
        <v>0</v>
      </c>
      <c r="G12536" s="6">
        <v>14</v>
      </c>
      <c r="H12536" s="6" t="s">
        <v>25387</v>
      </c>
      <c r="I12536" s="6">
        <v>526.5</v>
      </c>
      <c r="J12536" s="2">
        <f t="shared" si="195"/>
        <v>43748.410863136574</v>
      </c>
    </row>
    <row r="12537" spans="1:10" x14ac:dyDescent="0.25">
      <c r="A12537" s="7" t="s">
        <v>25388</v>
      </c>
      <c r="B12537" s="8">
        <v>393.75</v>
      </c>
      <c r="C12537" s="8">
        <v>20.478950000000001</v>
      </c>
      <c r="D12537" s="8">
        <v>82</v>
      </c>
      <c r="E12537" s="8">
        <v>0</v>
      </c>
      <c r="F12537" s="8">
        <v>0</v>
      </c>
      <c r="G12537" s="8">
        <v>12</v>
      </c>
      <c r="H12537" s="8" t="s">
        <v>25389</v>
      </c>
      <c r="I12537" s="8">
        <v>526.6875</v>
      </c>
      <c r="J12537" s="3">
        <f t="shared" si="195"/>
        <v>43748.41095853009</v>
      </c>
    </row>
    <row r="12538" spans="1:10" x14ac:dyDescent="0.25">
      <c r="A12538" s="5" t="s">
        <v>25390</v>
      </c>
      <c r="B12538" s="6">
        <v>393.75</v>
      </c>
      <c r="C12538" s="6">
        <v>20.478950000000001</v>
      </c>
      <c r="D12538" s="6">
        <v>82</v>
      </c>
      <c r="E12538" s="6">
        <v>0</v>
      </c>
      <c r="F12538" s="6">
        <v>0</v>
      </c>
      <c r="G12538" s="6">
        <v>17</v>
      </c>
      <c r="H12538" s="6" t="s">
        <v>25391</v>
      </c>
      <c r="I12538" s="6">
        <v>526.6875</v>
      </c>
      <c r="J12538" s="2">
        <f t="shared" si="195"/>
        <v>43748.411041712963</v>
      </c>
    </row>
    <row r="12539" spans="1:10" x14ac:dyDescent="0.25">
      <c r="A12539" s="7" t="s">
        <v>25392</v>
      </c>
      <c r="B12539" s="8">
        <v>393.75</v>
      </c>
      <c r="C12539" s="8">
        <v>20.478950000000001</v>
      </c>
      <c r="D12539" s="8">
        <v>82</v>
      </c>
      <c r="E12539" s="8">
        <v>0</v>
      </c>
      <c r="F12539" s="8">
        <v>0</v>
      </c>
      <c r="G12539" s="8">
        <v>8</v>
      </c>
      <c r="H12539" s="8" t="s">
        <v>25393</v>
      </c>
      <c r="I12539" s="8">
        <v>526.6875</v>
      </c>
      <c r="J12539" s="3">
        <f t="shared" si="195"/>
        <v>43748.411113472219</v>
      </c>
    </row>
    <row r="12540" spans="1:10" x14ac:dyDescent="0.25">
      <c r="A12540" s="5" t="s">
        <v>25394</v>
      </c>
      <c r="B12540" s="6">
        <v>393.75</v>
      </c>
      <c r="C12540" s="6">
        <v>20.478950000000001</v>
      </c>
      <c r="D12540" s="6">
        <v>82</v>
      </c>
      <c r="E12540" s="6">
        <v>0</v>
      </c>
      <c r="F12540" s="6">
        <v>0</v>
      </c>
      <c r="G12540" s="6">
        <v>0</v>
      </c>
      <c r="H12540" s="6" t="s">
        <v>25395</v>
      </c>
      <c r="I12540" s="6">
        <v>526.5</v>
      </c>
      <c r="J12540" s="2">
        <f t="shared" si="195"/>
        <v>43748.411197048605</v>
      </c>
    </row>
    <row r="12541" spans="1:10" x14ac:dyDescent="0.25">
      <c r="A12541" s="7" t="s">
        <v>25396</v>
      </c>
      <c r="B12541" s="8">
        <v>393.75</v>
      </c>
      <c r="C12541" s="8">
        <v>20.478950000000001</v>
      </c>
      <c r="D12541" s="8">
        <v>82</v>
      </c>
      <c r="E12541" s="8">
        <v>0</v>
      </c>
      <c r="F12541" s="8">
        <v>0</v>
      </c>
      <c r="G12541" s="8">
        <v>8</v>
      </c>
      <c r="H12541" s="8" t="s">
        <v>25397</v>
      </c>
      <c r="I12541" s="8">
        <v>526.6875</v>
      </c>
      <c r="J12541" s="3">
        <f t="shared" si="195"/>
        <v>43748.411280486107</v>
      </c>
    </row>
    <row r="12542" spans="1:10" x14ac:dyDescent="0.25">
      <c r="A12542" s="5" t="s">
        <v>25398</v>
      </c>
      <c r="B12542" s="6">
        <v>393.75</v>
      </c>
      <c r="C12542" s="6">
        <v>20.478950000000001</v>
      </c>
      <c r="D12542" s="6">
        <v>84</v>
      </c>
      <c r="E12542" s="6">
        <v>0</v>
      </c>
      <c r="F12542" s="6">
        <v>0</v>
      </c>
      <c r="G12542" s="6">
        <v>18</v>
      </c>
      <c r="H12542" s="6" t="s">
        <v>25399</v>
      </c>
      <c r="I12542" s="6">
        <v>526.6875</v>
      </c>
      <c r="J12542" s="2">
        <f t="shared" si="195"/>
        <v>43748.41136395833</v>
      </c>
    </row>
    <row r="12543" spans="1:10" x14ac:dyDescent="0.25">
      <c r="A12543" s="7" t="s">
        <v>25400</v>
      </c>
      <c r="B12543" s="8">
        <v>412.5</v>
      </c>
      <c r="C12543" s="8">
        <v>20.478950000000001</v>
      </c>
      <c r="D12543" s="8">
        <v>85</v>
      </c>
      <c r="E12543" s="8">
        <v>0</v>
      </c>
      <c r="F12543" s="8">
        <v>0</v>
      </c>
      <c r="G12543" s="8">
        <v>16</v>
      </c>
      <c r="H12543" s="8" t="s">
        <v>25401</v>
      </c>
      <c r="I12543" s="8">
        <v>532.5</v>
      </c>
      <c r="J12543" s="3">
        <f t="shared" si="195"/>
        <v>43748.411447592589</v>
      </c>
    </row>
    <row r="12544" spans="1:10" x14ac:dyDescent="0.25">
      <c r="A12544" s="5" t="s">
        <v>25402</v>
      </c>
      <c r="B12544" s="6">
        <v>393.75</v>
      </c>
      <c r="C12544" s="6">
        <v>20.478950000000001</v>
      </c>
      <c r="D12544" s="6">
        <v>84</v>
      </c>
      <c r="E12544" s="6">
        <v>0</v>
      </c>
      <c r="F12544" s="6">
        <v>0</v>
      </c>
      <c r="G12544" s="6">
        <v>22</v>
      </c>
      <c r="H12544" s="6" t="s">
        <v>25403</v>
      </c>
      <c r="I12544" s="6">
        <v>526.6875</v>
      </c>
      <c r="J12544" s="2">
        <f t="shared" si="195"/>
        <v>43748.411530613426</v>
      </c>
    </row>
    <row r="12545" spans="1:10" x14ac:dyDescent="0.25">
      <c r="A12545" s="7" t="s">
        <v>25404</v>
      </c>
      <c r="B12545" s="8">
        <v>393.75</v>
      </c>
      <c r="C12545" s="8">
        <v>20.478950000000001</v>
      </c>
      <c r="D12545" s="8">
        <v>84</v>
      </c>
      <c r="E12545" s="8">
        <v>0</v>
      </c>
      <c r="F12545" s="8">
        <v>0</v>
      </c>
      <c r="G12545" s="8">
        <v>32</v>
      </c>
      <c r="H12545" s="8" t="s">
        <v>25405</v>
      </c>
      <c r="I12545" s="8">
        <v>526.5</v>
      </c>
      <c r="J12545" s="3">
        <f t="shared" si="195"/>
        <v>43748.411602384258</v>
      </c>
    </row>
    <row r="12546" spans="1:10" x14ac:dyDescent="0.25">
      <c r="A12546" s="5" t="s">
        <v>25406</v>
      </c>
      <c r="B12546" s="6">
        <v>393.75</v>
      </c>
      <c r="C12546" s="6">
        <v>20.478950000000001</v>
      </c>
      <c r="D12546" s="6">
        <v>84</v>
      </c>
      <c r="E12546" s="6">
        <v>0</v>
      </c>
      <c r="F12546" s="6">
        <v>0</v>
      </c>
      <c r="G12546" s="6">
        <v>26</v>
      </c>
      <c r="H12546" s="6" t="s">
        <v>25407</v>
      </c>
      <c r="I12546" s="6">
        <v>526.6875</v>
      </c>
      <c r="J12546" s="2">
        <f t="shared" ref="J12546:J12609" si="196">(H12546/86400000)+25569+(7/24)</f>
        <v>43748.411685937499</v>
      </c>
    </row>
    <row r="12547" spans="1:10" x14ac:dyDescent="0.25">
      <c r="A12547" s="7" t="s">
        <v>25408</v>
      </c>
      <c r="B12547" s="8">
        <v>393.75</v>
      </c>
      <c r="C12547" s="8">
        <v>20.478950000000001</v>
      </c>
      <c r="D12547" s="8">
        <v>83</v>
      </c>
      <c r="E12547" s="8">
        <v>0</v>
      </c>
      <c r="F12547" s="8">
        <v>0</v>
      </c>
      <c r="G12547" s="8">
        <v>19</v>
      </c>
      <c r="H12547" s="8" t="s">
        <v>25409</v>
      </c>
      <c r="I12547" s="8">
        <v>526.6875</v>
      </c>
      <c r="J12547" s="3">
        <f t="shared" si="196"/>
        <v>43748.411769374994</v>
      </c>
    </row>
    <row r="12548" spans="1:10" x14ac:dyDescent="0.25">
      <c r="A12548" s="5" t="s">
        <v>25410</v>
      </c>
      <c r="B12548" s="6">
        <v>412.5</v>
      </c>
      <c r="C12548" s="6">
        <v>20.478950000000001</v>
      </c>
      <c r="D12548" s="6">
        <v>83</v>
      </c>
      <c r="E12548" s="6">
        <v>0</v>
      </c>
      <c r="F12548" s="6">
        <v>0</v>
      </c>
      <c r="G12548" s="6">
        <v>26</v>
      </c>
      <c r="H12548" s="6" t="s">
        <v>25411</v>
      </c>
      <c r="I12548" s="6">
        <v>532.5</v>
      </c>
      <c r="J12548" s="2">
        <f t="shared" si="196"/>
        <v>43748.411852939811</v>
      </c>
    </row>
    <row r="12549" spans="1:10" x14ac:dyDescent="0.25">
      <c r="A12549" s="7" t="s">
        <v>25412</v>
      </c>
      <c r="B12549" s="8">
        <v>393.75</v>
      </c>
      <c r="C12549" s="8">
        <v>20.478950000000001</v>
      </c>
      <c r="D12549" s="8">
        <v>82</v>
      </c>
      <c r="E12549" s="8">
        <v>0</v>
      </c>
      <c r="F12549" s="8">
        <v>0</v>
      </c>
      <c r="G12549" s="8">
        <v>13</v>
      </c>
      <c r="H12549" s="8" t="s">
        <v>25413</v>
      </c>
      <c r="I12549" s="8">
        <v>526.6875</v>
      </c>
      <c r="J12549" s="3">
        <f t="shared" si="196"/>
        <v>43748.411936400465</v>
      </c>
    </row>
    <row r="12550" spans="1:10" x14ac:dyDescent="0.25">
      <c r="A12550" s="5" t="s">
        <v>25414</v>
      </c>
      <c r="B12550" s="6">
        <v>393.75</v>
      </c>
      <c r="C12550" s="6">
        <v>20.478950000000001</v>
      </c>
      <c r="D12550" s="6">
        <v>83</v>
      </c>
      <c r="E12550" s="6">
        <v>0</v>
      </c>
      <c r="F12550" s="6">
        <v>0</v>
      </c>
      <c r="G12550" s="6">
        <v>21</v>
      </c>
      <c r="H12550" s="6" t="s">
        <v>25415</v>
      </c>
      <c r="I12550" s="6">
        <v>526.6875</v>
      </c>
      <c r="J12550" s="2">
        <f t="shared" si="196"/>
        <v>43748.412019618052</v>
      </c>
    </row>
    <row r="12551" spans="1:10" x14ac:dyDescent="0.25">
      <c r="A12551" s="7" t="s">
        <v>25416</v>
      </c>
      <c r="B12551" s="8">
        <v>393.75</v>
      </c>
      <c r="C12551" s="8">
        <v>20.478950000000001</v>
      </c>
      <c r="D12551" s="8">
        <v>83</v>
      </c>
      <c r="E12551" s="8">
        <v>0</v>
      </c>
      <c r="F12551" s="8">
        <v>0</v>
      </c>
      <c r="G12551" s="8">
        <v>17</v>
      </c>
      <c r="H12551" s="8" t="s">
        <v>25417</v>
      </c>
      <c r="I12551" s="8">
        <v>526.6875</v>
      </c>
      <c r="J12551" s="3">
        <f t="shared" si="196"/>
        <v>43748.412091157406</v>
      </c>
    </row>
    <row r="12552" spans="1:10" x14ac:dyDescent="0.25">
      <c r="A12552" s="5" t="s">
        <v>25418</v>
      </c>
      <c r="B12552" s="6">
        <v>393.75</v>
      </c>
      <c r="C12552" s="6">
        <v>20.478950000000001</v>
      </c>
      <c r="D12552" s="6">
        <v>83</v>
      </c>
      <c r="E12552" s="6">
        <v>0</v>
      </c>
      <c r="F12552" s="6">
        <v>0</v>
      </c>
      <c r="G12552" s="6">
        <v>15</v>
      </c>
      <c r="H12552" s="6" t="s">
        <v>25419</v>
      </c>
      <c r="I12552" s="6">
        <v>526.6875</v>
      </c>
      <c r="J12552" s="2">
        <f t="shared" si="196"/>
        <v>43748.412175057871</v>
      </c>
    </row>
    <row r="12553" spans="1:10" x14ac:dyDescent="0.25">
      <c r="A12553" s="7" t="s">
        <v>25420</v>
      </c>
      <c r="B12553" s="8">
        <v>393.75</v>
      </c>
      <c r="C12553" s="8">
        <v>20.478950000000001</v>
      </c>
      <c r="D12553" s="8">
        <v>84</v>
      </c>
      <c r="E12553" s="8">
        <v>0</v>
      </c>
      <c r="F12553" s="8">
        <v>0</v>
      </c>
      <c r="G12553" s="8">
        <v>19</v>
      </c>
      <c r="H12553" s="8" t="s">
        <v>25421</v>
      </c>
      <c r="I12553" s="8">
        <v>526.6875</v>
      </c>
      <c r="J12553" s="3">
        <f t="shared" si="196"/>
        <v>43748.412258391203</v>
      </c>
    </row>
    <row r="12554" spans="1:10" x14ac:dyDescent="0.25">
      <c r="A12554" s="5" t="s">
        <v>25422</v>
      </c>
      <c r="B12554" s="6">
        <v>393.75</v>
      </c>
      <c r="C12554" s="6">
        <v>20.478950000000001</v>
      </c>
      <c r="D12554" s="6">
        <v>84</v>
      </c>
      <c r="E12554" s="6">
        <v>0</v>
      </c>
      <c r="F12554" s="6">
        <v>0</v>
      </c>
      <c r="G12554" s="6">
        <v>23</v>
      </c>
      <c r="H12554" s="6" t="s">
        <v>25423</v>
      </c>
      <c r="I12554" s="6">
        <v>526.6875</v>
      </c>
      <c r="J12554" s="2">
        <f t="shared" si="196"/>
        <v>43748.412341712959</v>
      </c>
    </row>
    <row r="12555" spans="1:10" x14ac:dyDescent="0.25">
      <c r="A12555" s="7" t="s">
        <v>25424</v>
      </c>
      <c r="B12555" s="8">
        <v>393.75</v>
      </c>
      <c r="C12555" s="8">
        <v>20.478950000000001</v>
      </c>
      <c r="D12555" s="8">
        <v>84</v>
      </c>
      <c r="E12555" s="8">
        <v>0</v>
      </c>
      <c r="F12555" s="8">
        <v>0</v>
      </c>
      <c r="G12555" s="8">
        <v>12</v>
      </c>
      <c r="H12555" s="8" t="s">
        <v>25425</v>
      </c>
      <c r="I12555" s="8">
        <v>526.6875</v>
      </c>
      <c r="J12555" s="3">
        <f t="shared" si="196"/>
        <v>43748.412425405091</v>
      </c>
    </row>
    <row r="12556" spans="1:10" x14ac:dyDescent="0.25">
      <c r="A12556" s="5" t="s">
        <v>25426</v>
      </c>
      <c r="B12556" s="6">
        <v>393.75</v>
      </c>
      <c r="C12556" s="6">
        <v>20.478950000000001</v>
      </c>
      <c r="D12556" s="6">
        <v>82</v>
      </c>
      <c r="E12556" s="6">
        <v>0</v>
      </c>
      <c r="F12556" s="6">
        <v>0</v>
      </c>
      <c r="G12556" s="6">
        <v>8</v>
      </c>
      <c r="H12556" s="6" t="s">
        <v>25427</v>
      </c>
      <c r="I12556" s="6">
        <v>526.5</v>
      </c>
      <c r="J12556" s="2">
        <f t="shared" si="196"/>
        <v>43748.412508518515</v>
      </c>
    </row>
    <row r="12557" spans="1:10" x14ac:dyDescent="0.25">
      <c r="A12557" s="7" t="s">
        <v>25428</v>
      </c>
      <c r="B12557" s="8">
        <v>393.75</v>
      </c>
      <c r="C12557" s="8">
        <v>20.478950000000001</v>
      </c>
      <c r="D12557" s="8">
        <v>82</v>
      </c>
      <c r="E12557" s="8">
        <v>0</v>
      </c>
      <c r="F12557" s="8">
        <v>0</v>
      </c>
      <c r="G12557" s="8">
        <v>17</v>
      </c>
      <c r="H12557" s="8" t="s">
        <v>25429</v>
      </c>
      <c r="I12557" s="8">
        <v>526.6875</v>
      </c>
      <c r="J12557" s="3">
        <f t="shared" si="196"/>
        <v>43748.412580127311</v>
      </c>
    </row>
    <row r="12558" spans="1:10" x14ac:dyDescent="0.25">
      <c r="A12558" s="5" t="s">
        <v>25430</v>
      </c>
      <c r="B12558" s="6">
        <v>393.75</v>
      </c>
      <c r="C12558" s="6">
        <v>20.478950000000001</v>
      </c>
      <c r="D12558" s="6">
        <v>82</v>
      </c>
      <c r="E12558" s="6">
        <v>0</v>
      </c>
      <c r="F12558" s="6">
        <v>0</v>
      </c>
      <c r="G12558" s="6">
        <v>18</v>
      </c>
      <c r="H12558" s="6" t="s">
        <v>25431</v>
      </c>
      <c r="I12558" s="6">
        <v>526.6875</v>
      </c>
      <c r="J12558" s="2">
        <f t="shared" si="196"/>
        <v>43748.412663935182</v>
      </c>
    </row>
    <row r="12559" spans="1:10" x14ac:dyDescent="0.25">
      <c r="A12559" s="7" t="s">
        <v>25432</v>
      </c>
      <c r="B12559" s="8">
        <v>393.75</v>
      </c>
      <c r="C12559" s="8">
        <v>20.478950000000001</v>
      </c>
      <c r="D12559" s="8">
        <v>82</v>
      </c>
      <c r="E12559" s="8">
        <v>0</v>
      </c>
      <c r="F12559" s="8">
        <v>0</v>
      </c>
      <c r="G12559" s="8">
        <v>12</v>
      </c>
      <c r="H12559" s="8" t="s">
        <v>25433</v>
      </c>
      <c r="I12559" s="8">
        <v>526.6875</v>
      </c>
      <c r="J12559" s="3">
        <f t="shared" si="196"/>
        <v>43748.412747395829</v>
      </c>
    </row>
    <row r="12560" spans="1:10" x14ac:dyDescent="0.25">
      <c r="A12560" s="5" t="s">
        <v>25434</v>
      </c>
      <c r="B12560" s="6">
        <v>393.75</v>
      </c>
      <c r="C12560" s="6">
        <v>20.478950000000001</v>
      </c>
      <c r="D12560" s="6">
        <v>82</v>
      </c>
      <c r="E12560" s="6">
        <v>0</v>
      </c>
      <c r="F12560" s="6">
        <v>0</v>
      </c>
      <c r="G12560" s="6">
        <v>9</v>
      </c>
      <c r="H12560" s="6" t="s">
        <v>25435</v>
      </c>
      <c r="I12560" s="6">
        <v>526.6875</v>
      </c>
      <c r="J12560" s="2">
        <f t="shared" si="196"/>
        <v>43748.412830601847</v>
      </c>
    </row>
    <row r="12561" spans="1:10" x14ac:dyDescent="0.25">
      <c r="A12561" s="7" t="s">
        <v>25436</v>
      </c>
      <c r="B12561" s="8">
        <v>393.75</v>
      </c>
      <c r="C12561" s="8">
        <v>20.478950000000001</v>
      </c>
      <c r="D12561" s="8">
        <v>82</v>
      </c>
      <c r="E12561" s="8">
        <v>0</v>
      </c>
      <c r="F12561" s="8">
        <v>0</v>
      </c>
      <c r="G12561" s="8">
        <v>9</v>
      </c>
      <c r="H12561" s="8" t="s">
        <v>25437</v>
      </c>
      <c r="I12561" s="8">
        <v>526.5</v>
      </c>
      <c r="J12561" s="3">
        <f t="shared" si="196"/>
        <v>43748.412902025462</v>
      </c>
    </row>
    <row r="12562" spans="1:10" x14ac:dyDescent="0.25">
      <c r="A12562" s="5" t="s">
        <v>25438</v>
      </c>
      <c r="B12562" s="6">
        <v>393.75</v>
      </c>
      <c r="C12562" s="6">
        <v>20.478950000000001</v>
      </c>
      <c r="D12562" s="6">
        <v>82</v>
      </c>
      <c r="E12562" s="6">
        <v>0</v>
      </c>
      <c r="F12562" s="6">
        <v>0</v>
      </c>
      <c r="G12562" s="6">
        <v>9</v>
      </c>
      <c r="H12562" s="6" t="s">
        <v>25439</v>
      </c>
      <c r="I12562" s="6">
        <v>526.6875</v>
      </c>
      <c r="J12562" s="2">
        <f t="shared" si="196"/>
        <v>43748.412973888888</v>
      </c>
    </row>
    <row r="12563" spans="1:10" x14ac:dyDescent="0.25">
      <c r="A12563" s="7" t="s">
        <v>25440</v>
      </c>
      <c r="B12563" s="8">
        <v>393.75</v>
      </c>
      <c r="C12563" s="8">
        <v>20.478950000000001</v>
      </c>
      <c r="D12563" s="8">
        <v>81</v>
      </c>
      <c r="E12563" s="8">
        <v>0</v>
      </c>
      <c r="F12563" s="8">
        <v>0</v>
      </c>
      <c r="G12563" s="8">
        <v>18</v>
      </c>
      <c r="H12563" s="8" t="s">
        <v>25441</v>
      </c>
      <c r="I12563" s="8">
        <v>526.6875</v>
      </c>
      <c r="J12563" s="3">
        <f t="shared" si="196"/>
        <v>43748.413057453705</v>
      </c>
    </row>
    <row r="12564" spans="1:10" x14ac:dyDescent="0.25">
      <c r="A12564" s="5" t="s">
        <v>25442</v>
      </c>
      <c r="B12564" s="6">
        <v>393.75</v>
      </c>
      <c r="C12564" s="6">
        <v>20.478950000000001</v>
      </c>
      <c r="D12564" s="6">
        <v>82</v>
      </c>
      <c r="E12564" s="6">
        <v>0</v>
      </c>
      <c r="F12564" s="6">
        <v>0</v>
      </c>
      <c r="G12564" s="6">
        <v>15</v>
      </c>
      <c r="H12564" s="6" t="s">
        <v>25443</v>
      </c>
      <c r="I12564" s="6">
        <v>526.6875</v>
      </c>
      <c r="J12564" s="2">
        <f t="shared" si="196"/>
        <v>43748.413128981476</v>
      </c>
    </row>
    <row r="12565" spans="1:10" x14ac:dyDescent="0.25">
      <c r="A12565" s="7" t="s">
        <v>25444</v>
      </c>
      <c r="B12565" s="8">
        <v>393.75</v>
      </c>
      <c r="C12565" s="8">
        <v>20.478950000000001</v>
      </c>
      <c r="D12565" s="8">
        <v>77</v>
      </c>
      <c r="E12565" s="8">
        <v>0</v>
      </c>
      <c r="F12565" s="8">
        <v>0</v>
      </c>
      <c r="G12565" s="8">
        <v>8</v>
      </c>
      <c r="H12565" s="8" t="s">
        <v>25445</v>
      </c>
      <c r="I12565" s="8">
        <v>526.6875</v>
      </c>
      <c r="J12565" s="3">
        <f t="shared" si="196"/>
        <v>43748.413224479162</v>
      </c>
    </row>
    <row r="12566" spans="1:10" x14ac:dyDescent="0.25">
      <c r="A12566" s="5" t="s">
        <v>25446</v>
      </c>
      <c r="B12566" s="6">
        <v>412.5</v>
      </c>
      <c r="C12566" s="6">
        <v>20.478950000000001</v>
      </c>
      <c r="D12566" s="6">
        <v>78</v>
      </c>
      <c r="E12566" s="6">
        <v>0</v>
      </c>
      <c r="F12566" s="6">
        <v>0</v>
      </c>
      <c r="G12566" s="6">
        <v>14</v>
      </c>
      <c r="H12566" s="6" t="s">
        <v>25447</v>
      </c>
      <c r="I12566" s="6">
        <v>532.3125</v>
      </c>
      <c r="J12566" s="2">
        <f t="shared" si="196"/>
        <v>43748.413307800925</v>
      </c>
    </row>
    <row r="12567" spans="1:10" x14ac:dyDescent="0.25">
      <c r="A12567" s="7" t="s">
        <v>25448</v>
      </c>
      <c r="B12567" s="8">
        <v>393.75</v>
      </c>
      <c r="C12567" s="8">
        <v>20.478950000000001</v>
      </c>
      <c r="D12567" s="8">
        <v>78</v>
      </c>
      <c r="E12567" s="8">
        <v>0</v>
      </c>
      <c r="F12567" s="8">
        <v>0</v>
      </c>
      <c r="G12567" s="8">
        <v>13</v>
      </c>
      <c r="H12567" s="8" t="s">
        <v>25449</v>
      </c>
      <c r="I12567" s="8">
        <v>526.6875</v>
      </c>
      <c r="J12567" s="3">
        <f t="shared" si="196"/>
        <v>43748.413391354166</v>
      </c>
    </row>
    <row r="12568" spans="1:10" x14ac:dyDescent="0.25">
      <c r="A12568" s="5" t="s">
        <v>25450</v>
      </c>
      <c r="B12568" s="6">
        <v>393.75</v>
      </c>
      <c r="C12568" s="6">
        <v>20.478950000000001</v>
      </c>
      <c r="D12568" s="6">
        <v>78</v>
      </c>
      <c r="E12568" s="6">
        <v>0</v>
      </c>
      <c r="F12568" s="6">
        <v>0</v>
      </c>
      <c r="G12568" s="6">
        <v>15</v>
      </c>
      <c r="H12568" s="6" t="s">
        <v>25451</v>
      </c>
      <c r="I12568" s="6">
        <v>526.6875</v>
      </c>
      <c r="J12568" s="2">
        <f t="shared" si="196"/>
        <v>43748.413474826382</v>
      </c>
    </row>
    <row r="12569" spans="1:10" x14ac:dyDescent="0.25">
      <c r="A12569" s="7" t="s">
        <v>25452</v>
      </c>
      <c r="B12569" s="8">
        <v>393.75</v>
      </c>
      <c r="C12569" s="8">
        <v>20.478950000000001</v>
      </c>
      <c r="D12569" s="8">
        <v>79</v>
      </c>
      <c r="E12569" s="8">
        <v>0</v>
      </c>
      <c r="F12569" s="8">
        <v>0</v>
      </c>
      <c r="G12569" s="8">
        <v>17</v>
      </c>
      <c r="H12569" s="8" t="s">
        <v>25453</v>
      </c>
      <c r="I12569" s="8">
        <v>526.5</v>
      </c>
      <c r="J12569" s="3">
        <f t="shared" si="196"/>
        <v>43748.413558275461</v>
      </c>
    </row>
    <row r="12570" spans="1:10" x14ac:dyDescent="0.25">
      <c r="A12570" s="5" t="s">
        <v>25454</v>
      </c>
      <c r="B12570" s="6">
        <v>393.75</v>
      </c>
      <c r="C12570" s="6">
        <v>20.478950000000001</v>
      </c>
      <c r="D12570" s="6">
        <v>79</v>
      </c>
      <c r="E12570" s="6">
        <v>0</v>
      </c>
      <c r="F12570" s="6">
        <v>0</v>
      </c>
      <c r="G12570" s="6">
        <v>24</v>
      </c>
      <c r="H12570" s="6" t="s">
        <v>25455</v>
      </c>
      <c r="I12570" s="6">
        <v>526.6875</v>
      </c>
      <c r="J12570" s="2">
        <f t="shared" si="196"/>
        <v>43748.413641724539</v>
      </c>
    </row>
    <row r="12571" spans="1:10" x14ac:dyDescent="0.25">
      <c r="A12571" s="7" t="s">
        <v>25456</v>
      </c>
      <c r="B12571" s="8">
        <v>393.75</v>
      </c>
      <c r="C12571" s="8">
        <v>20.478950000000001</v>
      </c>
      <c r="D12571" s="8">
        <v>80</v>
      </c>
      <c r="E12571" s="8">
        <v>0</v>
      </c>
      <c r="F12571" s="8">
        <v>0</v>
      </c>
      <c r="G12571" s="8">
        <v>20</v>
      </c>
      <c r="H12571" s="8" t="s">
        <v>25457</v>
      </c>
      <c r="I12571" s="8">
        <v>526.6875</v>
      </c>
      <c r="J12571" s="3">
        <f t="shared" si="196"/>
        <v>43748.413725289349</v>
      </c>
    </row>
    <row r="12572" spans="1:10" x14ac:dyDescent="0.25">
      <c r="A12572" s="5" t="s">
        <v>25458</v>
      </c>
      <c r="B12572" s="6">
        <v>393.75</v>
      </c>
      <c r="C12572" s="6">
        <v>20.478950000000001</v>
      </c>
      <c r="D12572" s="6">
        <v>80</v>
      </c>
      <c r="E12572" s="6">
        <v>0</v>
      </c>
      <c r="F12572" s="6">
        <v>0</v>
      </c>
      <c r="G12572" s="6">
        <v>20</v>
      </c>
      <c r="H12572" s="6" t="s">
        <v>25459</v>
      </c>
      <c r="I12572" s="6">
        <v>526.6875</v>
      </c>
      <c r="J12572" s="2">
        <f t="shared" si="196"/>
        <v>43748.413808518519</v>
      </c>
    </row>
    <row r="12573" spans="1:10" x14ac:dyDescent="0.25">
      <c r="A12573" s="7" t="s">
        <v>25460</v>
      </c>
      <c r="B12573" s="8">
        <v>412.5</v>
      </c>
      <c r="C12573" s="8">
        <v>20.478950000000001</v>
      </c>
      <c r="D12573" s="8">
        <v>80</v>
      </c>
      <c r="E12573" s="8">
        <v>0</v>
      </c>
      <c r="F12573" s="8">
        <v>0</v>
      </c>
      <c r="G12573" s="8">
        <v>19</v>
      </c>
      <c r="H12573" s="8" t="s">
        <v>25461</v>
      </c>
      <c r="I12573" s="8">
        <v>532.3125</v>
      </c>
      <c r="J12573" s="3">
        <f t="shared" si="196"/>
        <v>43748.413880127315</v>
      </c>
    </row>
    <row r="12574" spans="1:10" x14ac:dyDescent="0.25">
      <c r="A12574" s="5" t="s">
        <v>25462</v>
      </c>
      <c r="B12574" s="6">
        <v>393.75</v>
      </c>
      <c r="C12574" s="6">
        <v>20.478950000000001</v>
      </c>
      <c r="D12574" s="6">
        <v>82</v>
      </c>
      <c r="E12574" s="6">
        <v>0</v>
      </c>
      <c r="F12574" s="6">
        <v>0</v>
      </c>
      <c r="G12574" s="6">
        <v>14</v>
      </c>
      <c r="H12574" s="6" t="s">
        <v>25463</v>
      </c>
      <c r="I12574" s="6">
        <v>526.6875</v>
      </c>
      <c r="J12574" s="2">
        <f t="shared" si="196"/>
        <v>43748.413964074069</v>
      </c>
    </row>
    <row r="12575" spans="1:10" x14ac:dyDescent="0.25">
      <c r="A12575" s="7" t="s">
        <v>25464</v>
      </c>
      <c r="B12575" s="8">
        <v>393.75</v>
      </c>
      <c r="C12575" s="8">
        <v>20.478950000000001</v>
      </c>
      <c r="D12575" s="8">
        <v>81</v>
      </c>
      <c r="E12575" s="8">
        <v>0</v>
      </c>
      <c r="F12575" s="8">
        <v>0</v>
      </c>
      <c r="G12575" s="8">
        <v>9</v>
      </c>
      <c r="H12575" s="8" t="s">
        <v>25465</v>
      </c>
      <c r="I12575" s="8">
        <v>526.6875</v>
      </c>
      <c r="J12575" s="3">
        <f t="shared" si="196"/>
        <v>43748.414047280086</v>
      </c>
    </row>
    <row r="12576" spans="1:10" x14ac:dyDescent="0.25">
      <c r="A12576" s="5" t="s">
        <v>25466</v>
      </c>
      <c r="B12576" s="6">
        <v>393.75</v>
      </c>
      <c r="C12576" s="6">
        <v>20.478950000000001</v>
      </c>
      <c r="D12576" s="6">
        <v>82</v>
      </c>
      <c r="E12576" s="6">
        <v>0</v>
      </c>
      <c r="F12576" s="6">
        <v>0</v>
      </c>
      <c r="G12576" s="6">
        <v>12</v>
      </c>
      <c r="H12576" s="6" t="s">
        <v>25467</v>
      </c>
      <c r="I12576" s="6">
        <v>526.6875</v>
      </c>
      <c r="J12576" s="2">
        <f t="shared" si="196"/>
        <v>43748.414130729165</v>
      </c>
    </row>
    <row r="12577" spans="1:10" x14ac:dyDescent="0.25">
      <c r="A12577" s="7" t="s">
        <v>25468</v>
      </c>
      <c r="B12577" s="8">
        <v>393.75</v>
      </c>
      <c r="C12577" s="8">
        <v>20.478950000000001</v>
      </c>
      <c r="D12577" s="8">
        <v>82</v>
      </c>
      <c r="E12577" s="8">
        <v>0</v>
      </c>
      <c r="F12577" s="8">
        <v>0</v>
      </c>
      <c r="G12577" s="8">
        <v>7</v>
      </c>
      <c r="H12577" s="8" t="s">
        <v>25469</v>
      </c>
      <c r="I12577" s="8">
        <v>526.6875</v>
      </c>
      <c r="J12577" s="3">
        <f t="shared" si="196"/>
        <v>43748.41421416666</v>
      </c>
    </row>
    <row r="12578" spans="1:10" x14ac:dyDescent="0.25">
      <c r="A12578" s="5" t="s">
        <v>25470</v>
      </c>
      <c r="B12578" s="6">
        <v>412.5</v>
      </c>
      <c r="C12578" s="6">
        <v>20.478950000000001</v>
      </c>
      <c r="D12578" s="6">
        <v>81</v>
      </c>
      <c r="E12578" s="6">
        <v>0</v>
      </c>
      <c r="F12578" s="6">
        <v>0</v>
      </c>
      <c r="G12578" s="6">
        <v>5</v>
      </c>
      <c r="H12578" s="6" t="s">
        <v>25471</v>
      </c>
      <c r="I12578" s="6">
        <v>532.3125</v>
      </c>
      <c r="J12578" s="2">
        <f t="shared" si="196"/>
        <v>43748.414297488423</v>
      </c>
    </row>
    <row r="12579" spans="1:10" x14ac:dyDescent="0.25">
      <c r="A12579" s="7" t="s">
        <v>25472</v>
      </c>
      <c r="B12579" s="8">
        <v>393.75</v>
      </c>
      <c r="C12579" s="8">
        <v>20.478950000000001</v>
      </c>
      <c r="D12579" s="8">
        <v>81</v>
      </c>
      <c r="E12579" s="8">
        <v>0</v>
      </c>
      <c r="F12579" s="8">
        <v>0</v>
      </c>
      <c r="G12579" s="8">
        <v>8</v>
      </c>
      <c r="H12579" s="8" t="s">
        <v>25473</v>
      </c>
      <c r="I12579" s="8">
        <v>526.6875</v>
      </c>
      <c r="J12579" s="3">
        <f t="shared" si="196"/>
        <v>43748.414368912032</v>
      </c>
    </row>
    <row r="12580" spans="1:10" x14ac:dyDescent="0.25">
      <c r="A12580" s="5" t="s">
        <v>25474</v>
      </c>
      <c r="B12580" s="6">
        <v>393.75</v>
      </c>
      <c r="C12580" s="6">
        <v>20.478950000000001</v>
      </c>
      <c r="D12580" s="6">
        <v>79</v>
      </c>
      <c r="E12580" s="6">
        <v>0</v>
      </c>
      <c r="F12580" s="6">
        <v>0</v>
      </c>
      <c r="G12580" s="6">
        <v>16</v>
      </c>
      <c r="H12580" s="6" t="s">
        <v>25475</v>
      </c>
      <c r="I12580" s="6">
        <v>526.6875</v>
      </c>
      <c r="J12580" s="2">
        <f t="shared" si="196"/>
        <v>43748.414452928242</v>
      </c>
    </row>
    <row r="12581" spans="1:10" x14ac:dyDescent="0.25">
      <c r="A12581" s="7" t="s">
        <v>25476</v>
      </c>
      <c r="B12581" s="8">
        <v>393.75</v>
      </c>
      <c r="C12581" s="8">
        <v>20.478950000000001</v>
      </c>
      <c r="D12581" s="8">
        <v>80</v>
      </c>
      <c r="E12581" s="8">
        <v>0</v>
      </c>
      <c r="F12581" s="8">
        <v>0</v>
      </c>
      <c r="G12581" s="8">
        <v>6</v>
      </c>
      <c r="H12581" s="8" t="s">
        <v>25477</v>
      </c>
      <c r="I12581" s="8">
        <v>526.6875</v>
      </c>
      <c r="J12581" s="3">
        <f t="shared" si="196"/>
        <v>43748.414536157405</v>
      </c>
    </row>
    <row r="12582" spans="1:10" x14ac:dyDescent="0.25">
      <c r="A12582" s="5" t="s">
        <v>25478</v>
      </c>
      <c r="B12582" s="6">
        <v>393.75</v>
      </c>
      <c r="C12582" s="6">
        <v>20.478950000000001</v>
      </c>
      <c r="D12582" s="6">
        <v>80</v>
      </c>
      <c r="E12582" s="6">
        <v>0</v>
      </c>
      <c r="F12582" s="6">
        <v>0</v>
      </c>
      <c r="G12582" s="6">
        <v>9</v>
      </c>
      <c r="H12582" s="6" t="s">
        <v>25479</v>
      </c>
      <c r="I12582" s="6">
        <v>526.6875</v>
      </c>
      <c r="J12582" s="2">
        <f t="shared" si="196"/>
        <v>43748.414619502313</v>
      </c>
    </row>
    <row r="12583" spans="1:10" x14ac:dyDescent="0.25">
      <c r="A12583" s="7" t="s">
        <v>25480</v>
      </c>
      <c r="B12583" s="8">
        <v>428.125</v>
      </c>
      <c r="C12583" s="8">
        <v>20.478950000000001</v>
      </c>
      <c r="D12583" s="8">
        <v>80</v>
      </c>
      <c r="E12583" s="8">
        <v>0</v>
      </c>
      <c r="F12583" s="8">
        <v>0</v>
      </c>
      <c r="G12583" s="8">
        <v>7</v>
      </c>
      <c r="H12583" s="8" t="s">
        <v>25481</v>
      </c>
      <c r="I12583" s="8">
        <v>537.5625</v>
      </c>
      <c r="J12583" s="3">
        <f t="shared" si="196"/>
        <v>43748.414703159717</v>
      </c>
    </row>
    <row r="12584" spans="1:10" x14ac:dyDescent="0.25">
      <c r="A12584" s="5" t="s">
        <v>25482</v>
      </c>
      <c r="B12584" s="6">
        <v>393.75</v>
      </c>
      <c r="C12584" s="6">
        <v>20.478950000000001</v>
      </c>
      <c r="D12584" s="6">
        <v>80</v>
      </c>
      <c r="E12584" s="6">
        <v>0</v>
      </c>
      <c r="F12584" s="6">
        <v>0</v>
      </c>
      <c r="G12584" s="6">
        <v>9</v>
      </c>
      <c r="H12584" s="6" t="s">
        <v>25483</v>
      </c>
      <c r="I12584" s="6">
        <v>526.5</v>
      </c>
      <c r="J12584" s="2">
        <f t="shared" si="196"/>
        <v>43748.414786273141</v>
      </c>
    </row>
    <row r="12585" spans="1:10" x14ac:dyDescent="0.25">
      <c r="A12585" s="7" t="s">
        <v>25484</v>
      </c>
      <c r="B12585" s="8">
        <v>393.75</v>
      </c>
      <c r="C12585" s="8">
        <v>20.478950000000001</v>
      </c>
      <c r="D12585" s="8">
        <v>80</v>
      </c>
      <c r="E12585" s="8">
        <v>0</v>
      </c>
      <c r="F12585" s="8">
        <v>0</v>
      </c>
      <c r="G12585" s="8">
        <v>18</v>
      </c>
      <c r="H12585" s="8" t="s">
        <v>25485</v>
      </c>
      <c r="I12585" s="8">
        <v>526.6875</v>
      </c>
      <c r="J12585" s="3">
        <f t="shared" si="196"/>
        <v>43748.414857916665</v>
      </c>
    </row>
    <row r="12586" spans="1:10" x14ac:dyDescent="0.25">
      <c r="A12586" s="5" t="s">
        <v>25486</v>
      </c>
      <c r="B12586" s="6">
        <v>393.75</v>
      </c>
      <c r="C12586" s="6">
        <v>20.478950000000001</v>
      </c>
      <c r="D12586" s="6">
        <v>78</v>
      </c>
      <c r="E12586" s="6">
        <v>0</v>
      </c>
      <c r="F12586" s="6">
        <v>0</v>
      </c>
      <c r="G12586" s="6">
        <v>14</v>
      </c>
      <c r="H12586" s="6" t="s">
        <v>25487</v>
      </c>
      <c r="I12586" s="6">
        <v>526.6875</v>
      </c>
      <c r="J12586" s="2">
        <f t="shared" si="196"/>
        <v>43748.414941724535</v>
      </c>
    </row>
    <row r="12587" spans="1:10" x14ac:dyDescent="0.25">
      <c r="A12587" s="7" t="s">
        <v>25488</v>
      </c>
      <c r="B12587" s="8">
        <v>393.75</v>
      </c>
      <c r="C12587" s="8">
        <v>20.478950000000001</v>
      </c>
      <c r="D12587" s="8">
        <v>77</v>
      </c>
      <c r="E12587" s="8">
        <v>0</v>
      </c>
      <c r="F12587" s="8">
        <v>0</v>
      </c>
      <c r="G12587" s="8">
        <v>10</v>
      </c>
      <c r="H12587" s="8" t="s">
        <v>25489</v>
      </c>
      <c r="I12587" s="8">
        <v>526.6875</v>
      </c>
      <c r="J12587" s="3">
        <f t="shared" si="196"/>
        <v>43748.415025173606</v>
      </c>
    </row>
    <row r="12588" spans="1:10" x14ac:dyDescent="0.25">
      <c r="A12588" s="5" t="s">
        <v>25490</v>
      </c>
      <c r="B12588" s="6">
        <v>425</v>
      </c>
      <c r="C12588" s="6">
        <v>20.478950000000001</v>
      </c>
      <c r="D12588" s="6">
        <v>76</v>
      </c>
      <c r="E12588" s="6">
        <v>0</v>
      </c>
      <c r="F12588" s="6">
        <v>0</v>
      </c>
      <c r="G12588" s="6">
        <v>10</v>
      </c>
      <c r="H12588" s="6" t="s">
        <v>25491</v>
      </c>
      <c r="I12588" s="6">
        <v>536.4375</v>
      </c>
      <c r="J12588" s="2">
        <f t="shared" si="196"/>
        <v>43748.415108368055</v>
      </c>
    </row>
    <row r="12589" spans="1:10" x14ac:dyDescent="0.25">
      <c r="A12589" s="7" t="s">
        <v>25492</v>
      </c>
      <c r="B12589" s="8">
        <v>393.75</v>
      </c>
      <c r="C12589" s="8">
        <v>20.478950000000001</v>
      </c>
      <c r="D12589" s="8">
        <v>76</v>
      </c>
      <c r="E12589" s="8">
        <v>0</v>
      </c>
      <c r="F12589" s="8">
        <v>0</v>
      </c>
      <c r="G12589" s="8">
        <v>20</v>
      </c>
      <c r="H12589" s="8" t="s">
        <v>25493</v>
      </c>
      <c r="I12589" s="8">
        <v>526.6875</v>
      </c>
      <c r="J12589" s="3">
        <f t="shared" si="196"/>
        <v>43748.415180138887</v>
      </c>
    </row>
    <row r="12590" spans="1:10" x14ac:dyDescent="0.25">
      <c r="A12590" s="5" t="s">
        <v>25494</v>
      </c>
      <c r="B12590" s="6">
        <v>393.75</v>
      </c>
      <c r="C12590" s="6">
        <v>20.478950000000001</v>
      </c>
      <c r="D12590" s="6">
        <v>76</v>
      </c>
      <c r="E12590" s="6">
        <v>0</v>
      </c>
      <c r="F12590" s="6">
        <v>0</v>
      </c>
      <c r="G12590" s="6">
        <v>16</v>
      </c>
      <c r="H12590" s="6" t="s">
        <v>25495</v>
      </c>
      <c r="I12590" s="6">
        <v>526.6875</v>
      </c>
      <c r="J12590" s="2">
        <f t="shared" si="196"/>
        <v>43748.415263599534</v>
      </c>
    </row>
    <row r="12591" spans="1:10" x14ac:dyDescent="0.25">
      <c r="A12591" s="7" t="s">
        <v>25496</v>
      </c>
      <c r="B12591" s="8">
        <v>409.375</v>
      </c>
      <c r="C12591" s="8">
        <v>20.478950000000001</v>
      </c>
      <c r="D12591" s="8">
        <v>76</v>
      </c>
      <c r="E12591" s="8">
        <v>0</v>
      </c>
      <c r="F12591" s="8">
        <v>0</v>
      </c>
      <c r="G12591" s="8">
        <v>13</v>
      </c>
      <c r="H12591" s="8" t="s">
        <v>25497</v>
      </c>
      <c r="I12591" s="8">
        <v>531.5625</v>
      </c>
      <c r="J12591" s="3">
        <f t="shared" si="196"/>
        <v>43748.415347164344</v>
      </c>
    </row>
    <row r="12592" spans="1:10" x14ac:dyDescent="0.25">
      <c r="A12592" s="5" t="s">
        <v>25498</v>
      </c>
      <c r="B12592" s="6">
        <v>393.75</v>
      </c>
      <c r="C12592" s="6">
        <v>20.478950000000001</v>
      </c>
      <c r="D12592" s="6">
        <v>75</v>
      </c>
      <c r="E12592" s="6">
        <v>0</v>
      </c>
      <c r="F12592" s="6">
        <v>0</v>
      </c>
      <c r="G12592" s="6">
        <v>10</v>
      </c>
      <c r="H12592" s="6" t="s">
        <v>25499</v>
      </c>
      <c r="I12592" s="6">
        <v>526.6875</v>
      </c>
      <c r="J12592" s="2">
        <f t="shared" si="196"/>
        <v>43748.415418668978</v>
      </c>
    </row>
    <row r="12593" spans="1:10" x14ac:dyDescent="0.25">
      <c r="A12593" s="7" t="s">
        <v>25500</v>
      </c>
      <c r="B12593" s="8">
        <v>393.75</v>
      </c>
      <c r="C12593" s="8">
        <v>20.478950000000001</v>
      </c>
      <c r="D12593" s="8">
        <v>78</v>
      </c>
      <c r="E12593" s="8">
        <v>0</v>
      </c>
      <c r="F12593" s="8">
        <v>0</v>
      </c>
      <c r="G12593" s="8">
        <v>20</v>
      </c>
      <c r="H12593" s="8" t="s">
        <v>25501</v>
      </c>
      <c r="I12593" s="8">
        <v>526.6875</v>
      </c>
      <c r="J12593" s="3">
        <f t="shared" si="196"/>
        <v>43748.415502141201</v>
      </c>
    </row>
    <row r="12594" spans="1:10" x14ac:dyDescent="0.25">
      <c r="A12594" s="5" t="s">
        <v>25502</v>
      </c>
      <c r="B12594" s="6">
        <v>393.75</v>
      </c>
      <c r="C12594" s="6">
        <v>20.478950000000001</v>
      </c>
      <c r="D12594" s="6">
        <v>79</v>
      </c>
      <c r="E12594" s="6">
        <v>0</v>
      </c>
      <c r="F12594" s="6">
        <v>0</v>
      </c>
      <c r="G12594" s="6">
        <v>17</v>
      </c>
      <c r="H12594" s="6" t="s">
        <v>25503</v>
      </c>
      <c r="I12594" s="6">
        <v>526.6875</v>
      </c>
      <c r="J12594" s="2">
        <f t="shared" si="196"/>
        <v>43748.415585567127</v>
      </c>
    </row>
    <row r="12595" spans="1:10" x14ac:dyDescent="0.25">
      <c r="A12595" s="7" t="s">
        <v>25504</v>
      </c>
      <c r="B12595" s="8">
        <v>393.75</v>
      </c>
      <c r="C12595" s="8">
        <v>20.478950000000001</v>
      </c>
      <c r="D12595" s="8">
        <v>79</v>
      </c>
      <c r="E12595" s="8">
        <v>0</v>
      </c>
      <c r="F12595" s="8">
        <v>0</v>
      </c>
      <c r="G12595" s="8">
        <v>13</v>
      </c>
      <c r="H12595" s="8" t="s">
        <v>25505</v>
      </c>
      <c r="I12595" s="8">
        <v>526.6875</v>
      </c>
      <c r="J12595" s="3">
        <f t="shared" si="196"/>
        <v>43748.415669131944</v>
      </c>
    </row>
    <row r="12596" spans="1:10" x14ac:dyDescent="0.25">
      <c r="A12596" s="5" t="s">
        <v>25506</v>
      </c>
      <c r="B12596" s="6">
        <v>412.5</v>
      </c>
      <c r="C12596" s="6">
        <v>20.478950000000001</v>
      </c>
      <c r="D12596" s="6">
        <v>79</v>
      </c>
      <c r="E12596" s="6">
        <v>0</v>
      </c>
      <c r="F12596" s="6">
        <v>0</v>
      </c>
      <c r="G12596" s="6">
        <v>7</v>
      </c>
      <c r="H12596" s="6" t="s">
        <v>25507</v>
      </c>
      <c r="I12596" s="6">
        <v>532.3125</v>
      </c>
      <c r="J12596" s="2">
        <f t="shared" si="196"/>
        <v>43748.41575260416</v>
      </c>
    </row>
    <row r="12597" spans="1:10" x14ac:dyDescent="0.25">
      <c r="A12597" s="7" t="s">
        <v>25508</v>
      </c>
      <c r="B12597" s="8">
        <v>393.75</v>
      </c>
      <c r="C12597" s="8">
        <v>20.478950000000001</v>
      </c>
      <c r="D12597" s="8">
        <v>78</v>
      </c>
      <c r="E12597" s="8">
        <v>0</v>
      </c>
      <c r="F12597" s="8">
        <v>0</v>
      </c>
      <c r="G12597" s="8">
        <v>13</v>
      </c>
      <c r="H12597" s="8" t="s">
        <v>25509</v>
      </c>
      <c r="I12597" s="8">
        <v>526.5</v>
      </c>
      <c r="J12597" s="3">
        <f t="shared" si="196"/>
        <v>43748.415836064807</v>
      </c>
    </row>
    <row r="12598" spans="1:10" x14ac:dyDescent="0.25">
      <c r="A12598" s="5" t="s">
        <v>25510</v>
      </c>
      <c r="B12598" s="6">
        <v>393.75</v>
      </c>
      <c r="C12598" s="6">
        <v>20.478950000000001</v>
      </c>
      <c r="D12598" s="6">
        <v>79</v>
      </c>
      <c r="E12598" s="6">
        <v>0</v>
      </c>
      <c r="F12598" s="6">
        <v>0</v>
      </c>
      <c r="G12598" s="6">
        <v>22</v>
      </c>
      <c r="H12598" s="6" t="s">
        <v>25511</v>
      </c>
      <c r="I12598" s="6">
        <v>526.6875</v>
      </c>
      <c r="J12598" s="2">
        <f t="shared" si="196"/>
        <v>43748.415931400457</v>
      </c>
    </row>
    <row r="12599" spans="1:10" x14ac:dyDescent="0.25">
      <c r="A12599" s="7" t="s">
        <v>25512</v>
      </c>
      <c r="B12599" s="8">
        <v>393.75</v>
      </c>
      <c r="C12599" s="8">
        <v>20.478950000000001</v>
      </c>
      <c r="D12599" s="8">
        <v>79</v>
      </c>
      <c r="E12599" s="8">
        <v>0</v>
      </c>
      <c r="F12599" s="8">
        <v>0</v>
      </c>
      <c r="G12599" s="8">
        <v>10</v>
      </c>
      <c r="H12599" s="8" t="s">
        <v>25513</v>
      </c>
      <c r="I12599" s="8">
        <v>526.6875</v>
      </c>
      <c r="J12599" s="3">
        <f t="shared" si="196"/>
        <v>43748.416002928243</v>
      </c>
    </row>
    <row r="12600" spans="1:10" x14ac:dyDescent="0.25">
      <c r="A12600" s="5" t="s">
        <v>25514</v>
      </c>
      <c r="B12600" s="6">
        <v>393.75</v>
      </c>
      <c r="C12600" s="6">
        <v>20.478950000000001</v>
      </c>
      <c r="D12600" s="6">
        <v>82</v>
      </c>
      <c r="E12600" s="6">
        <v>0</v>
      </c>
      <c r="F12600" s="6">
        <v>0</v>
      </c>
      <c r="G12600" s="6">
        <v>21</v>
      </c>
      <c r="H12600" s="6" t="s">
        <v>25515</v>
      </c>
      <c r="I12600" s="6">
        <v>526.6875</v>
      </c>
      <c r="J12600" s="2">
        <f t="shared" si="196"/>
        <v>43748.416086145829</v>
      </c>
    </row>
    <row r="12601" spans="1:10" x14ac:dyDescent="0.25">
      <c r="A12601" s="7" t="s">
        <v>25516</v>
      </c>
      <c r="B12601" s="8">
        <v>393.75</v>
      </c>
      <c r="C12601" s="8">
        <v>20.478950000000001</v>
      </c>
      <c r="D12601" s="8">
        <v>82</v>
      </c>
      <c r="E12601" s="8">
        <v>0</v>
      </c>
      <c r="F12601" s="8">
        <v>0</v>
      </c>
      <c r="G12601" s="8">
        <v>16</v>
      </c>
      <c r="H12601" s="8" t="s">
        <v>25517</v>
      </c>
      <c r="I12601" s="8">
        <v>526.6875</v>
      </c>
      <c r="J12601" s="3">
        <f t="shared" si="196"/>
        <v>43748.416169259253</v>
      </c>
    </row>
    <row r="12602" spans="1:10" x14ac:dyDescent="0.25">
      <c r="A12602" s="5" t="s">
        <v>25518</v>
      </c>
      <c r="B12602" s="6">
        <v>393.75</v>
      </c>
      <c r="C12602" s="6">
        <v>20.478950000000001</v>
      </c>
      <c r="D12602" s="6">
        <v>79</v>
      </c>
      <c r="E12602" s="6">
        <v>0</v>
      </c>
      <c r="F12602" s="6">
        <v>0</v>
      </c>
      <c r="G12602" s="6">
        <v>16</v>
      </c>
      <c r="H12602" s="6" t="s">
        <v>25519</v>
      </c>
      <c r="I12602" s="6">
        <v>526.6875</v>
      </c>
      <c r="J12602" s="2">
        <f t="shared" si="196"/>
        <v>43748.416253055555</v>
      </c>
    </row>
    <row r="12603" spans="1:10" x14ac:dyDescent="0.25">
      <c r="A12603" s="7" t="s">
        <v>25520</v>
      </c>
      <c r="B12603" s="8">
        <v>412.5</v>
      </c>
      <c r="C12603" s="8">
        <v>20.478950000000001</v>
      </c>
      <c r="D12603" s="8">
        <v>79</v>
      </c>
      <c r="E12603" s="8">
        <v>0</v>
      </c>
      <c r="F12603" s="8">
        <v>0</v>
      </c>
      <c r="G12603" s="8">
        <v>9</v>
      </c>
      <c r="H12603" s="8" t="s">
        <v>25521</v>
      </c>
      <c r="I12603" s="8">
        <v>532.125</v>
      </c>
      <c r="J12603" s="3">
        <f t="shared" si="196"/>
        <v>43748.416324895828</v>
      </c>
    </row>
    <row r="12604" spans="1:10" x14ac:dyDescent="0.25">
      <c r="A12604" s="5" t="s">
        <v>25522</v>
      </c>
      <c r="B12604" s="6">
        <v>393.75</v>
      </c>
      <c r="C12604" s="6">
        <v>20.478950000000001</v>
      </c>
      <c r="D12604" s="6">
        <v>80</v>
      </c>
      <c r="E12604" s="6">
        <v>0</v>
      </c>
      <c r="F12604" s="6">
        <v>0</v>
      </c>
      <c r="G12604" s="6">
        <v>8</v>
      </c>
      <c r="H12604" s="6" t="s">
        <v>25523</v>
      </c>
      <c r="I12604" s="6">
        <v>526.6875</v>
      </c>
      <c r="J12604" s="2">
        <f t="shared" si="196"/>
        <v>43748.416408472222</v>
      </c>
    </row>
    <row r="12605" spans="1:10" x14ac:dyDescent="0.25">
      <c r="A12605" s="7" t="s">
        <v>25524</v>
      </c>
      <c r="B12605" s="8">
        <v>393.75</v>
      </c>
      <c r="C12605" s="8">
        <v>20.478950000000001</v>
      </c>
      <c r="D12605" s="8">
        <v>79</v>
      </c>
      <c r="E12605" s="8">
        <v>0</v>
      </c>
      <c r="F12605" s="8">
        <v>0</v>
      </c>
      <c r="G12605" s="8">
        <v>8</v>
      </c>
      <c r="H12605" s="8" t="s">
        <v>25525</v>
      </c>
      <c r="I12605" s="8">
        <v>526.5</v>
      </c>
      <c r="J12605" s="3">
        <f t="shared" si="196"/>
        <v>43748.416491932869</v>
      </c>
    </row>
    <row r="12606" spans="1:10" x14ac:dyDescent="0.25">
      <c r="A12606" s="5" t="s">
        <v>25526</v>
      </c>
      <c r="B12606" s="6">
        <v>393.75</v>
      </c>
      <c r="C12606" s="6">
        <v>20.478950000000001</v>
      </c>
      <c r="D12606" s="6">
        <v>79</v>
      </c>
      <c r="E12606" s="6">
        <v>0</v>
      </c>
      <c r="F12606" s="6">
        <v>0</v>
      </c>
      <c r="G12606" s="6">
        <v>11</v>
      </c>
      <c r="H12606" s="6" t="s">
        <v>25527</v>
      </c>
      <c r="I12606" s="6">
        <v>526.6875</v>
      </c>
      <c r="J12606" s="2">
        <f t="shared" si="196"/>
        <v>43748.416575138886</v>
      </c>
    </row>
    <row r="12607" spans="1:10" x14ac:dyDescent="0.25">
      <c r="A12607" s="7" t="s">
        <v>25528</v>
      </c>
      <c r="B12607" s="8">
        <v>393.75</v>
      </c>
      <c r="C12607" s="8">
        <v>20.478950000000001</v>
      </c>
      <c r="D12607" s="8">
        <v>79</v>
      </c>
      <c r="E12607" s="8">
        <v>0</v>
      </c>
      <c r="F12607" s="8">
        <v>0</v>
      </c>
      <c r="G12607" s="8">
        <v>11</v>
      </c>
      <c r="H12607" s="8" t="s">
        <v>25529</v>
      </c>
      <c r="I12607" s="8">
        <v>526.6875</v>
      </c>
      <c r="J12607" s="3">
        <f t="shared" si="196"/>
        <v>43748.416646666665</v>
      </c>
    </row>
    <row r="12608" spans="1:10" x14ac:dyDescent="0.25">
      <c r="A12608" s="5" t="s">
        <v>25530</v>
      </c>
      <c r="B12608" s="6">
        <v>393.75</v>
      </c>
      <c r="C12608" s="6">
        <v>20.478950000000001</v>
      </c>
      <c r="D12608" s="6">
        <v>79</v>
      </c>
      <c r="E12608" s="6">
        <v>0</v>
      </c>
      <c r="F12608" s="6">
        <v>0</v>
      </c>
      <c r="G12608" s="6">
        <v>14</v>
      </c>
      <c r="H12608" s="6" t="s">
        <v>25531</v>
      </c>
      <c r="I12608" s="6">
        <v>526.6875</v>
      </c>
      <c r="J12608" s="2">
        <f t="shared" si="196"/>
        <v>43748.41673070602</v>
      </c>
    </row>
    <row r="12609" spans="1:10" x14ac:dyDescent="0.25">
      <c r="A12609" s="7" t="s">
        <v>25532</v>
      </c>
      <c r="B12609" s="8">
        <v>393.75</v>
      </c>
      <c r="C12609" s="8">
        <v>20.478950000000001</v>
      </c>
      <c r="D12609" s="8">
        <v>79</v>
      </c>
      <c r="E12609" s="8">
        <v>0</v>
      </c>
      <c r="F12609" s="8">
        <v>0</v>
      </c>
      <c r="G12609" s="8">
        <v>15</v>
      </c>
      <c r="H12609" s="8" t="s">
        <v>25533</v>
      </c>
      <c r="I12609" s="8">
        <v>526.6875</v>
      </c>
      <c r="J12609" s="3">
        <f t="shared" si="196"/>
        <v>43748.416813935182</v>
      </c>
    </row>
    <row r="12610" spans="1:10" x14ac:dyDescent="0.25">
      <c r="A12610" s="5" t="s">
        <v>25534</v>
      </c>
      <c r="B12610" s="6">
        <v>393.75</v>
      </c>
      <c r="C12610" s="6">
        <v>20.478950000000001</v>
      </c>
      <c r="D12610" s="6">
        <v>80</v>
      </c>
      <c r="E12610" s="6">
        <v>0</v>
      </c>
      <c r="F12610" s="6">
        <v>0</v>
      </c>
      <c r="G12610" s="6">
        <v>15</v>
      </c>
      <c r="H12610" s="6" t="s">
        <v>25535</v>
      </c>
      <c r="I12610" s="6">
        <v>526.6875</v>
      </c>
      <c r="J12610" s="2">
        <f t="shared" ref="J12610:J12663" si="197">(H12610/86400000)+25569+(7/24)</f>
        <v>43748.416897233794</v>
      </c>
    </row>
    <row r="12611" spans="1:10" x14ac:dyDescent="0.25">
      <c r="A12611" s="7" t="s">
        <v>25536</v>
      </c>
      <c r="B12611" s="8">
        <v>393.75</v>
      </c>
      <c r="C12611" s="8">
        <v>20.478950000000001</v>
      </c>
      <c r="D12611" s="8">
        <v>80</v>
      </c>
      <c r="E12611" s="8">
        <v>0</v>
      </c>
      <c r="F12611" s="8">
        <v>0</v>
      </c>
      <c r="G12611" s="8">
        <v>18</v>
      </c>
      <c r="H12611" s="8" t="s">
        <v>25537</v>
      </c>
      <c r="I12611" s="8">
        <v>526.6875</v>
      </c>
      <c r="J12611" s="3">
        <f t="shared" si="197"/>
        <v>43748.41698081018</v>
      </c>
    </row>
    <row r="12612" spans="1:10" x14ac:dyDescent="0.25">
      <c r="A12612" s="5" t="s">
        <v>25538</v>
      </c>
      <c r="B12612" s="6">
        <v>393.75</v>
      </c>
      <c r="C12612" s="6">
        <v>20.478950000000001</v>
      </c>
      <c r="D12612" s="6">
        <v>79</v>
      </c>
      <c r="E12612" s="6">
        <v>0</v>
      </c>
      <c r="F12612" s="6">
        <v>0</v>
      </c>
      <c r="G12612" s="6">
        <v>12</v>
      </c>
      <c r="H12612" s="6" t="s">
        <v>25539</v>
      </c>
      <c r="I12612" s="6">
        <v>526.6875</v>
      </c>
      <c r="J12612" s="2">
        <f t="shared" si="197"/>
        <v>43748.417064016197</v>
      </c>
    </row>
    <row r="12613" spans="1:10" x14ac:dyDescent="0.25">
      <c r="A12613" s="7" t="s">
        <v>25540</v>
      </c>
      <c r="B12613" s="8">
        <v>415.625</v>
      </c>
      <c r="C12613" s="8">
        <v>20.478950000000001</v>
      </c>
      <c r="D12613" s="8">
        <v>79</v>
      </c>
      <c r="E12613" s="8">
        <v>0</v>
      </c>
      <c r="F12613" s="8">
        <v>0</v>
      </c>
      <c r="G12613" s="8">
        <v>19</v>
      </c>
      <c r="H12613" s="8" t="s">
        <v>25541</v>
      </c>
      <c r="I12613" s="8">
        <v>533.4375</v>
      </c>
      <c r="J12613" s="3">
        <f t="shared" si="197"/>
        <v>43748.417135555552</v>
      </c>
    </row>
    <row r="12614" spans="1:10" x14ac:dyDescent="0.25">
      <c r="A12614" s="5" t="s">
        <v>25542</v>
      </c>
      <c r="B12614" s="6">
        <v>393.75</v>
      </c>
      <c r="C12614" s="6">
        <v>20.478950000000001</v>
      </c>
      <c r="D12614" s="6">
        <v>78</v>
      </c>
      <c r="E12614" s="6">
        <v>0</v>
      </c>
      <c r="F12614" s="6">
        <v>0</v>
      </c>
      <c r="G12614" s="6">
        <v>13</v>
      </c>
      <c r="H12614" s="6" t="s">
        <v>25543</v>
      </c>
      <c r="I12614" s="6">
        <v>526.6875</v>
      </c>
      <c r="J12614" s="2">
        <f t="shared" si="197"/>
        <v>43748.417219479168</v>
      </c>
    </row>
    <row r="12615" spans="1:10" x14ac:dyDescent="0.25">
      <c r="A12615" s="7" t="s">
        <v>25544</v>
      </c>
      <c r="B12615" s="8">
        <v>393.75</v>
      </c>
      <c r="C12615" s="8">
        <v>20.478950000000001</v>
      </c>
      <c r="D12615" s="8">
        <v>79</v>
      </c>
      <c r="E12615" s="8">
        <v>0</v>
      </c>
      <c r="F12615" s="8">
        <v>0</v>
      </c>
      <c r="G12615" s="8">
        <v>16</v>
      </c>
      <c r="H12615" s="8" t="s">
        <v>25545</v>
      </c>
      <c r="I12615" s="8">
        <v>526.5</v>
      </c>
      <c r="J12615" s="3">
        <f t="shared" si="197"/>
        <v>43748.417302800925</v>
      </c>
    </row>
    <row r="12616" spans="1:10" x14ac:dyDescent="0.25">
      <c r="A12616" s="5" t="s">
        <v>25546</v>
      </c>
      <c r="B12616" s="6">
        <v>393.75</v>
      </c>
      <c r="C12616" s="6">
        <v>20.478950000000001</v>
      </c>
      <c r="D12616" s="6">
        <v>79</v>
      </c>
      <c r="E12616" s="6">
        <v>0</v>
      </c>
      <c r="F12616" s="6">
        <v>0</v>
      </c>
      <c r="G12616" s="6">
        <v>14</v>
      </c>
      <c r="H12616" s="6" t="s">
        <v>25547</v>
      </c>
      <c r="I12616" s="6">
        <v>526.6875</v>
      </c>
      <c r="J12616" s="2">
        <f t="shared" si="197"/>
        <v>43748.417386122681</v>
      </c>
    </row>
    <row r="12617" spans="1:10" x14ac:dyDescent="0.25">
      <c r="A12617" s="7" t="s">
        <v>25548</v>
      </c>
      <c r="B12617" s="8">
        <v>393.75</v>
      </c>
      <c r="C12617" s="8">
        <v>20.478950000000001</v>
      </c>
      <c r="D12617" s="8">
        <v>79</v>
      </c>
      <c r="E12617" s="8">
        <v>0</v>
      </c>
      <c r="F12617" s="8">
        <v>0</v>
      </c>
      <c r="G12617" s="8">
        <v>17</v>
      </c>
      <c r="H12617" s="8" t="s">
        <v>25549</v>
      </c>
      <c r="I12617" s="8">
        <v>526.6875</v>
      </c>
      <c r="J12617" s="3">
        <f t="shared" si="197"/>
        <v>43748.417457766198</v>
      </c>
    </row>
    <row r="12618" spans="1:10" x14ac:dyDescent="0.25">
      <c r="A12618" s="5" t="s">
        <v>25550</v>
      </c>
      <c r="B12618" s="6">
        <v>393.75</v>
      </c>
      <c r="C12618" s="6">
        <v>20.478950000000001</v>
      </c>
      <c r="D12618" s="6">
        <v>79</v>
      </c>
      <c r="E12618" s="6">
        <v>0</v>
      </c>
      <c r="F12618" s="6">
        <v>0</v>
      </c>
      <c r="G12618" s="6">
        <v>14</v>
      </c>
      <c r="H12618" s="6" t="s">
        <v>25551</v>
      </c>
      <c r="I12618" s="6">
        <v>526.5</v>
      </c>
      <c r="J12618" s="2">
        <f t="shared" si="197"/>
        <v>43748.417541446754</v>
      </c>
    </row>
    <row r="12619" spans="1:10" x14ac:dyDescent="0.25">
      <c r="A12619" s="7" t="s">
        <v>25552</v>
      </c>
      <c r="B12619" s="8">
        <v>393.75</v>
      </c>
      <c r="C12619" s="8">
        <v>20.478950000000001</v>
      </c>
      <c r="D12619" s="8">
        <v>79</v>
      </c>
      <c r="E12619" s="8">
        <v>0</v>
      </c>
      <c r="F12619" s="8">
        <v>0</v>
      </c>
      <c r="G12619" s="8">
        <v>15</v>
      </c>
      <c r="H12619" s="8" t="s">
        <v>25553</v>
      </c>
      <c r="I12619" s="8">
        <v>526.6875</v>
      </c>
      <c r="J12619" s="3">
        <f t="shared" si="197"/>
        <v>43748.417624803238</v>
      </c>
    </row>
    <row r="12620" spans="1:10" x14ac:dyDescent="0.25">
      <c r="A12620" s="5" t="s">
        <v>25554</v>
      </c>
      <c r="B12620" s="6">
        <v>393.75</v>
      </c>
      <c r="C12620" s="6">
        <v>20.478950000000001</v>
      </c>
      <c r="D12620" s="6">
        <v>80</v>
      </c>
      <c r="E12620" s="6">
        <v>0</v>
      </c>
      <c r="F12620" s="6">
        <v>0</v>
      </c>
      <c r="G12620" s="6">
        <v>19</v>
      </c>
      <c r="H12620" s="6" t="s">
        <v>25555</v>
      </c>
      <c r="I12620" s="6">
        <v>526.5</v>
      </c>
      <c r="J12620" s="2">
        <f t="shared" si="197"/>
        <v>43748.417708483794</v>
      </c>
    </row>
    <row r="12621" spans="1:10" x14ac:dyDescent="0.25">
      <c r="A12621" s="7" t="s">
        <v>25556</v>
      </c>
      <c r="B12621" s="8">
        <v>393.75</v>
      </c>
      <c r="C12621" s="8">
        <v>20.478950000000001</v>
      </c>
      <c r="D12621" s="8">
        <v>79</v>
      </c>
      <c r="E12621" s="8">
        <v>0</v>
      </c>
      <c r="F12621" s="8">
        <v>0</v>
      </c>
      <c r="G12621" s="8">
        <v>16</v>
      </c>
      <c r="H12621" s="8" t="s">
        <v>25557</v>
      </c>
      <c r="I12621" s="8">
        <v>526.5</v>
      </c>
      <c r="J12621" s="3">
        <f t="shared" si="197"/>
        <v>43748.417791793974</v>
      </c>
    </row>
    <row r="12622" spans="1:10" x14ac:dyDescent="0.25">
      <c r="A12622" s="5" t="s">
        <v>25558</v>
      </c>
      <c r="B12622" s="6">
        <v>393.75</v>
      </c>
      <c r="C12622" s="6">
        <v>20.478950000000001</v>
      </c>
      <c r="D12622" s="6">
        <v>79</v>
      </c>
      <c r="E12622" s="6">
        <v>0</v>
      </c>
      <c r="F12622" s="6">
        <v>0</v>
      </c>
      <c r="G12622" s="6">
        <v>8</v>
      </c>
      <c r="H12622" s="6" t="s">
        <v>25559</v>
      </c>
      <c r="I12622" s="6">
        <v>526.6875</v>
      </c>
      <c r="J12622" s="2">
        <f t="shared" si="197"/>
        <v>43748.417875127314</v>
      </c>
    </row>
    <row r="12623" spans="1:10" x14ac:dyDescent="0.25">
      <c r="A12623" s="7" t="s">
        <v>25560</v>
      </c>
      <c r="B12623" s="8">
        <v>393.75</v>
      </c>
      <c r="C12623" s="8">
        <v>20.478950000000001</v>
      </c>
      <c r="D12623" s="8">
        <v>79</v>
      </c>
      <c r="E12623" s="8">
        <v>0</v>
      </c>
      <c r="F12623" s="8">
        <v>0</v>
      </c>
      <c r="G12623" s="8">
        <v>12</v>
      </c>
      <c r="H12623" s="8" t="s">
        <v>25561</v>
      </c>
      <c r="I12623" s="8">
        <v>526.6875</v>
      </c>
      <c r="J12623" s="3">
        <f t="shared" si="197"/>
        <v>43748.417946678237</v>
      </c>
    </row>
    <row r="12624" spans="1:10" x14ac:dyDescent="0.25">
      <c r="A12624" s="5" t="s">
        <v>25562</v>
      </c>
      <c r="B12624" s="6">
        <v>393.75</v>
      </c>
      <c r="C12624" s="6">
        <v>20.478950000000001</v>
      </c>
      <c r="D12624" s="6">
        <v>75</v>
      </c>
      <c r="E12624" s="6">
        <v>0</v>
      </c>
      <c r="F12624" s="6">
        <v>0</v>
      </c>
      <c r="G12624" s="6">
        <v>14</v>
      </c>
      <c r="H12624" s="6" t="s">
        <v>25563</v>
      </c>
      <c r="I12624" s="6">
        <v>526.6875</v>
      </c>
      <c r="J12624" s="2">
        <f t="shared" si="197"/>
        <v>43748.418030347217</v>
      </c>
    </row>
    <row r="12625" spans="1:10" x14ac:dyDescent="0.25">
      <c r="A12625" s="7" t="s">
        <v>25564</v>
      </c>
      <c r="B12625" s="8">
        <v>393.75</v>
      </c>
      <c r="C12625" s="8">
        <v>20.478950000000001</v>
      </c>
      <c r="D12625" s="8">
        <v>79</v>
      </c>
      <c r="E12625" s="8">
        <v>0</v>
      </c>
      <c r="F12625" s="8">
        <v>0</v>
      </c>
      <c r="G12625" s="8">
        <v>17</v>
      </c>
      <c r="H12625" s="8" t="s">
        <v>25565</v>
      </c>
      <c r="I12625" s="8">
        <v>526.5</v>
      </c>
      <c r="J12625" s="3">
        <f t="shared" si="197"/>
        <v>43748.418113796295</v>
      </c>
    </row>
    <row r="12626" spans="1:10" x14ac:dyDescent="0.25">
      <c r="A12626" s="5" t="s">
        <v>25566</v>
      </c>
      <c r="B12626" s="6">
        <v>393.75</v>
      </c>
      <c r="C12626" s="6">
        <v>20.478950000000001</v>
      </c>
      <c r="D12626" s="6">
        <v>79</v>
      </c>
      <c r="E12626" s="6">
        <v>0</v>
      </c>
      <c r="F12626" s="6">
        <v>0</v>
      </c>
      <c r="G12626" s="6">
        <v>7</v>
      </c>
      <c r="H12626" s="6" t="s">
        <v>25567</v>
      </c>
      <c r="I12626" s="6">
        <v>526.6875</v>
      </c>
      <c r="J12626" s="2">
        <f t="shared" si="197"/>
        <v>43748.418197245366</v>
      </c>
    </row>
    <row r="12627" spans="1:10" x14ac:dyDescent="0.25">
      <c r="A12627" s="7" t="s">
        <v>25568</v>
      </c>
      <c r="B12627" s="8">
        <v>393.75</v>
      </c>
      <c r="C12627" s="8">
        <v>20.478950000000001</v>
      </c>
      <c r="D12627" s="8">
        <v>79</v>
      </c>
      <c r="E12627" s="8">
        <v>0</v>
      </c>
      <c r="F12627" s="8">
        <v>0</v>
      </c>
      <c r="G12627" s="8">
        <v>12</v>
      </c>
      <c r="H12627" s="8" t="s">
        <v>25569</v>
      </c>
      <c r="I12627" s="8">
        <v>526.5</v>
      </c>
      <c r="J12627" s="3">
        <f t="shared" si="197"/>
        <v>43748.418280706021</v>
      </c>
    </row>
    <row r="12628" spans="1:10" x14ac:dyDescent="0.25">
      <c r="A12628" s="5" t="s">
        <v>25570</v>
      </c>
      <c r="B12628" s="6">
        <v>393.75</v>
      </c>
      <c r="C12628" s="6">
        <v>20.478950000000001</v>
      </c>
      <c r="D12628" s="6">
        <v>79</v>
      </c>
      <c r="E12628" s="6">
        <v>0</v>
      </c>
      <c r="F12628" s="6">
        <v>0</v>
      </c>
      <c r="G12628" s="6">
        <v>9</v>
      </c>
      <c r="H12628" s="6" t="s">
        <v>25571</v>
      </c>
      <c r="I12628" s="6">
        <v>526.6875</v>
      </c>
      <c r="J12628" s="2">
        <f t="shared" si="197"/>
        <v>43748.418363935183</v>
      </c>
    </row>
    <row r="12629" spans="1:10" x14ac:dyDescent="0.25">
      <c r="A12629" s="7" t="s">
        <v>25572</v>
      </c>
      <c r="B12629" s="8">
        <v>393.75</v>
      </c>
      <c r="C12629" s="8">
        <v>20.478950000000001</v>
      </c>
      <c r="D12629" s="8">
        <v>79</v>
      </c>
      <c r="E12629" s="8">
        <v>0</v>
      </c>
      <c r="F12629" s="8">
        <v>0</v>
      </c>
      <c r="G12629" s="8">
        <v>21</v>
      </c>
      <c r="H12629" s="8" t="s">
        <v>25573</v>
      </c>
      <c r="I12629" s="8">
        <v>526.6875</v>
      </c>
      <c r="J12629" s="3">
        <f t="shared" si="197"/>
        <v>43748.418435659718</v>
      </c>
    </row>
    <row r="12630" spans="1:10" x14ac:dyDescent="0.25">
      <c r="A12630" s="5" t="s">
        <v>25574</v>
      </c>
      <c r="B12630" s="6">
        <v>393.75</v>
      </c>
      <c r="C12630" s="6">
        <v>20.478950000000001</v>
      </c>
      <c r="D12630" s="6">
        <v>81</v>
      </c>
      <c r="E12630" s="6">
        <v>0</v>
      </c>
      <c r="F12630" s="6">
        <v>0</v>
      </c>
      <c r="G12630" s="6">
        <v>23</v>
      </c>
      <c r="H12630" s="6" t="s">
        <v>25575</v>
      </c>
      <c r="I12630" s="6">
        <v>526.6875</v>
      </c>
      <c r="J12630" s="2">
        <f t="shared" si="197"/>
        <v>43748.418519224535</v>
      </c>
    </row>
    <row r="12631" spans="1:10" x14ac:dyDescent="0.25">
      <c r="A12631" s="7" t="s">
        <v>25576</v>
      </c>
      <c r="B12631" s="8">
        <v>412.5</v>
      </c>
      <c r="C12631" s="8">
        <v>20.478950000000001</v>
      </c>
      <c r="D12631" s="8">
        <v>81</v>
      </c>
      <c r="E12631" s="8">
        <v>0</v>
      </c>
      <c r="F12631" s="8">
        <v>0</v>
      </c>
      <c r="G12631" s="8">
        <v>15</v>
      </c>
      <c r="H12631" s="8" t="s">
        <v>25577</v>
      </c>
      <c r="I12631" s="8">
        <v>532.5</v>
      </c>
      <c r="J12631" s="3">
        <f t="shared" si="197"/>
        <v>43748.418616192132</v>
      </c>
    </row>
    <row r="12632" spans="1:10" x14ac:dyDescent="0.25">
      <c r="A12632" s="5" t="s">
        <v>25578</v>
      </c>
      <c r="B12632" s="6">
        <v>393.75</v>
      </c>
      <c r="C12632" s="6">
        <v>20.478950000000001</v>
      </c>
      <c r="D12632" s="6">
        <v>82</v>
      </c>
      <c r="E12632" s="6">
        <v>0</v>
      </c>
      <c r="F12632" s="6">
        <v>0</v>
      </c>
      <c r="G12632" s="6">
        <v>18</v>
      </c>
      <c r="H12632" s="6" t="s">
        <v>25579</v>
      </c>
      <c r="I12632" s="6">
        <v>526.6875</v>
      </c>
      <c r="J12632" s="2">
        <f t="shared" si="197"/>
        <v>43748.418698032408</v>
      </c>
    </row>
    <row r="12633" spans="1:10" x14ac:dyDescent="0.25">
      <c r="A12633" s="7" t="s">
        <v>25580</v>
      </c>
      <c r="B12633" s="8">
        <v>393.75</v>
      </c>
      <c r="C12633" s="8">
        <v>20.478950000000001</v>
      </c>
      <c r="D12633" s="8">
        <v>80</v>
      </c>
      <c r="E12633" s="8">
        <v>0</v>
      </c>
      <c r="F12633" s="8">
        <v>0</v>
      </c>
      <c r="G12633" s="8">
        <v>25</v>
      </c>
      <c r="H12633" s="8" t="s">
        <v>25581</v>
      </c>
      <c r="I12633" s="8">
        <v>526.6875</v>
      </c>
      <c r="J12633" s="3">
        <f t="shared" si="197"/>
        <v>43748.418769456017</v>
      </c>
    </row>
    <row r="12634" spans="1:10" x14ac:dyDescent="0.25">
      <c r="A12634" s="5" t="s">
        <v>25582</v>
      </c>
      <c r="B12634" s="6">
        <v>393.75</v>
      </c>
      <c r="C12634" s="6">
        <v>20.478950000000001</v>
      </c>
      <c r="D12634" s="6">
        <v>81</v>
      </c>
      <c r="E12634" s="6">
        <v>0</v>
      </c>
      <c r="F12634" s="6">
        <v>0</v>
      </c>
      <c r="G12634" s="6">
        <v>19</v>
      </c>
      <c r="H12634" s="6" t="s">
        <v>25583</v>
      </c>
      <c r="I12634" s="6">
        <v>526.6875</v>
      </c>
      <c r="J12634" s="2">
        <f t="shared" si="197"/>
        <v>43748.418852893512</v>
      </c>
    </row>
    <row r="12635" spans="1:10" x14ac:dyDescent="0.25">
      <c r="A12635" s="7" t="s">
        <v>25584</v>
      </c>
      <c r="B12635" s="8">
        <v>393.75</v>
      </c>
      <c r="C12635" s="8">
        <v>20.478950000000001</v>
      </c>
      <c r="D12635" s="8">
        <v>81</v>
      </c>
      <c r="E12635" s="8">
        <v>0</v>
      </c>
      <c r="F12635" s="8">
        <v>0</v>
      </c>
      <c r="G12635" s="8">
        <v>17</v>
      </c>
      <c r="H12635" s="8" t="s">
        <v>25585</v>
      </c>
      <c r="I12635" s="8">
        <v>526.6875</v>
      </c>
      <c r="J12635" s="3">
        <f t="shared" si="197"/>
        <v>43748.418924432866</v>
      </c>
    </row>
    <row r="12636" spans="1:10" x14ac:dyDescent="0.25">
      <c r="A12636" s="5" t="s">
        <v>25586</v>
      </c>
      <c r="B12636" s="6">
        <v>412.5</v>
      </c>
      <c r="C12636" s="6">
        <v>20.478950000000001</v>
      </c>
      <c r="D12636" s="6">
        <v>80</v>
      </c>
      <c r="E12636" s="6">
        <v>0</v>
      </c>
      <c r="F12636" s="6">
        <v>0</v>
      </c>
      <c r="G12636" s="6">
        <v>28</v>
      </c>
      <c r="H12636" s="6" t="s">
        <v>25587</v>
      </c>
      <c r="I12636" s="6">
        <v>532.3125</v>
      </c>
      <c r="J12636" s="2">
        <f t="shared" si="197"/>
        <v>43748.419008530087</v>
      </c>
    </row>
    <row r="12637" spans="1:10" x14ac:dyDescent="0.25">
      <c r="A12637" s="7" t="s">
        <v>25588</v>
      </c>
      <c r="B12637" s="8">
        <v>393.75</v>
      </c>
      <c r="C12637" s="8">
        <v>20.426300000000001</v>
      </c>
      <c r="D12637" s="8">
        <v>80</v>
      </c>
      <c r="E12637" s="8">
        <v>0</v>
      </c>
      <c r="F12637" s="8">
        <v>0</v>
      </c>
      <c r="G12637" s="8">
        <v>22</v>
      </c>
      <c r="H12637" s="8" t="s">
        <v>25589</v>
      </c>
      <c r="I12637" s="8">
        <v>526.6875</v>
      </c>
      <c r="J12637" s="3">
        <f t="shared" si="197"/>
        <v>43748.419091539348</v>
      </c>
    </row>
    <row r="12638" spans="1:10" x14ac:dyDescent="0.25">
      <c r="A12638" s="5" t="s">
        <v>25590</v>
      </c>
      <c r="B12638" s="6">
        <v>393.75</v>
      </c>
      <c r="C12638" s="6">
        <v>20.478950000000001</v>
      </c>
      <c r="D12638" s="6">
        <v>80</v>
      </c>
      <c r="E12638" s="6">
        <v>0</v>
      </c>
      <c r="F12638" s="6">
        <v>0</v>
      </c>
      <c r="G12638" s="6">
        <v>22</v>
      </c>
      <c r="H12638" s="6" t="s">
        <v>25591</v>
      </c>
      <c r="I12638" s="6">
        <v>526.6875</v>
      </c>
      <c r="J12638" s="2">
        <f t="shared" si="197"/>
        <v>43748.419174988427</v>
      </c>
    </row>
    <row r="12639" spans="1:10" x14ac:dyDescent="0.25">
      <c r="A12639" s="7" t="s">
        <v>25592</v>
      </c>
      <c r="B12639" s="8">
        <v>393.75</v>
      </c>
      <c r="C12639" s="8">
        <v>20.478950000000001</v>
      </c>
      <c r="D12639" s="8">
        <v>80</v>
      </c>
      <c r="E12639" s="8">
        <v>0</v>
      </c>
      <c r="F12639" s="8">
        <v>0</v>
      </c>
      <c r="G12639" s="8">
        <v>23</v>
      </c>
      <c r="H12639" s="8" t="s">
        <v>25593</v>
      </c>
      <c r="I12639" s="8">
        <v>526.6875</v>
      </c>
      <c r="J12639" s="3">
        <f t="shared" si="197"/>
        <v>43748.419258564812</v>
      </c>
    </row>
    <row r="12640" spans="1:10" x14ac:dyDescent="0.25">
      <c r="A12640" s="5" t="s">
        <v>25594</v>
      </c>
      <c r="B12640" s="6">
        <v>393.75</v>
      </c>
      <c r="C12640" s="6">
        <v>20.478950000000001</v>
      </c>
      <c r="D12640" s="6">
        <v>80</v>
      </c>
      <c r="E12640" s="6">
        <v>0</v>
      </c>
      <c r="F12640" s="6">
        <v>0</v>
      </c>
      <c r="G12640" s="6">
        <v>23</v>
      </c>
      <c r="H12640" s="6" t="s">
        <v>25595</v>
      </c>
      <c r="I12640" s="6">
        <v>526.6875</v>
      </c>
      <c r="J12640" s="2">
        <f t="shared" si="197"/>
        <v>43748.419341863424</v>
      </c>
    </row>
    <row r="12641" spans="1:10" x14ac:dyDescent="0.25">
      <c r="A12641" s="7" t="s">
        <v>25596</v>
      </c>
      <c r="B12641" s="8">
        <v>393.75</v>
      </c>
      <c r="C12641" s="8">
        <v>20.478950000000001</v>
      </c>
      <c r="D12641" s="8">
        <v>80</v>
      </c>
      <c r="E12641" s="8">
        <v>0</v>
      </c>
      <c r="F12641" s="8">
        <v>0</v>
      </c>
      <c r="G12641" s="8">
        <v>21</v>
      </c>
      <c r="H12641" s="8" t="s">
        <v>25597</v>
      </c>
      <c r="I12641" s="8">
        <v>526.6875</v>
      </c>
      <c r="J12641" s="3">
        <f t="shared" si="197"/>
        <v>43748.419413414354</v>
      </c>
    </row>
    <row r="12642" spans="1:10" x14ac:dyDescent="0.25">
      <c r="A12642" s="5" t="s">
        <v>25598</v>
      </c>
      <c r="B12642" s="6">
        <v>393.75</v>
      </c>
      <c r="C12642" s="6">
        <v>20.478950000000001</v>
      </c>
      <c r="D12642" s="6">
        <v>80</v>
      </c>
      <c r="E12642" s="6">
        <v>0</v>
      </c>
      <c r="F12642" s="6">
        <v>0</v>
      </c>
      <c r="G12642" s="6">
        <v>25</v>
      </c>
      <c r="H12642" s="6" t="s">
        <v>25599</v>
      </c>
      <c r="I12642" s="6">
        <v>526.6875</v>
      </c>
      <c r="J12642" s="2">
        <f t="shared" si="197"/>
        <v>43748.419497222225</v>
      </c>
    </row>
    <row r="12643" spans="1:10" x14ac:dyDescent="0.25">
      <c r="A12643" s="7" t="s">
        <v>25600</v>
      </c>
      <c r="B12643" s="8">
        <v>393.75</v>
      </c>
      <c r="C12643" s="8">
        <v>20.478950000000001</v>
      </c>
      <c r="D12643" s="8">
        <v>80</v>
      </c>
      <c r="E12643" s="8">
        <v>0</v>
      </c>
      <c r="F12643" s="8">
        <v>0</v>
      </c>
      <c r="G12643" s="8">
        <v>25</v>
      </c>
      <c r="H12643" s="8" t="s">
        <v>25601</v>
      </c>
      <c r="I12643" s="8">
        <v>526.6875</v>
      </c>
      <c r="J12643" s="3">
        <f t="shared" si="197"/>
        <v>43748.419580567126</v>
      </c>
    </row>
    <row r="12644" spans="1:10" x14ac:dyDescent="0.25">
      <c r="A12644" s="5" t="s">
        <v>25602</v>
      </c>
      <c r="B12644" s="6">
        <v>393.75</v>
      </c>
      <c r="C12644" s="6">
        <v>20.478950000000001</v>
      </c>
      <c r="D12644" s="6">
        <v>80</v>
      </c>
      <c r="E12644" s="6">
        <v>0</v>
      </c>
      <c r="F12644" s="6">
        <v>0</v>
      </c>
      <c r="G12644" s="6">
        <v>30</v>
      </c>
      <c r="H12644" s="6" t="s">
        <v>25603</v>
      </c>
      <c r="I12644" s="6">
        <v>526.5</v>
      </c>
      <c r="J12644" s="2">
        <f t="shared" si="197"/>
        <v>43748.419663900459</v>
      </c>
    </row>
    <row r="12645" spans="1:10" x14ac:dyDescent="0.25">
      <c r="A12645" s="7" t="s">
        <v>25604</v>
      </c>
      <c r="B12645" s="8">
        <v>393.75</v>
      </c>
      <c r="C12645" s="8">
        <v>20.478950000000001</v>
      </c>
      <c r="D12645" s="8">
        <v>80</v>
      </c>
      <c r="E12645" s="8">
        <v>0</v>
      </c>
      <c r="F12645" s="8">
        <v>0</v>
      </c>
      <c r="G12645" s="8">
        <v>22</v>
      </c>
      <c r="H12645" s="8" t="s">
        <v>25605</v>
      </c>
      <c r="I12645" s="8">
        <v>526.6875</v>
      </c>
      <c r="J12645" s="3">
        <f t="shared" si="197"/>
        <v>43748.419747650456</v>
      </c>
    </row>
    <row r="12646" spans="1:10" x14ac:dyDescent="0.25">
      <c r="A12646" s="5" t="s">
        <v>25606</v>
      </c>
      <c r="B12646" s="6">
        <v>393.75</v>
      </c>
      <c r="C12646" s="6">
        <v>20.478950000000001</v>
      </c>
      <c r="D12646" s="6">
        <v>80</v>
      </c>
      <c r="E12646" s="6">
        <v>0</v>
      </c>
      <c r="F12646" s="6">
        <v>0</v>
      </c>
      <c r="G12646" s="6">
        <v>27</v>
      </c>
      <c r="H12646" s="6" t="s">
        <v>25607</v>
      </c>
      <c r="I12646" s="6">
        <v>526.6875</v>
      </c>
      <c r="J12646" s="2">
        <f t="shared" si="197"/>
        <v>43748.419830659717</v>
      </c>
    </row>
    <row r="12647" spans="1:10" x14ac:dyDescent="0.25">
      <c r="A12647" s="7" t="s">
        <v>25608</v>
      </c>
      <c r="B12647" s="8">
        <v>393.75</v>
      </c>
      <c r="C12647" s="8">
        <v>20.478950000000001</v>
      </c>
      <c r="D12647" s="8">
        <v>80</v>
      </c>
      <c r="E12647" s="8">
        <v>0</v>
      </c>
      <c r="F12647" s="8">
        <v>0</v>
      </c>
      <c r="G12647" s="8">
        <v>30</v>
      </c>
      <c r="H12647" s="8" t="s">
        <v>25609</v>
      </c>
      <c r="I12647" s="8">
        <v>526.6875</v>
      </c>
      <c r="J12647" s="3">
        <f t="shared" si="197"/>
        <v>43748.419902326386</v>
      </c>
    </row>
    <row r="12648" spans="1:10" x14ac:dyDescent="0.25">
      <c r="A12648" s="5" t="s">
        <v>25610</v>
      </c>
      <c r="B12648" s="6">
        <v>393.75</v>
      </c>
      <c r="C12648" s="6">
        <v>20.478950000000001</v>
      </c>
      <c r="D12648" s="6">
        <v>80</v>
      </c>
      <c r="E12648" s="6">
        <v>0</v>
      </c>
      <c r="F12648" s="6">
        <v>0</v>
      </c>
      <c r="G12648" s="6">
        <v>17</v>
      </c>
      <c r="H12648" s="6" t="s">
        <v>25611</v>
      </c>
      <c r="I12648" s="6">
        <v>526.5</v>
      </c>
      <c r="J12648" s="2">
        <f t="shared" si="197"/>
        <v>43748.419986122688</v>
      </c>
    </row>
    <row r="12649" spans="1:10" x14ac:dyDescent="0.25">
      <c r="A12649" s="7" t="s">
        <v>25612</v>
      </c>
      <c r="B12649" s="8">
        <v>393.75</v>
      </c>
      <c r="C12649" s="8">
        <v>20.478950000000001</v>
      </c>
      <c r="D12649" s="8">
        <v>80</v>
      </c>
      <c r="E12649" s="8">
        <v>0</v>
      </c>
      <c r="F12649" s="8">
        <v>0</v>
      </c>
      <c r="G12649" s="8">
        <v>26</v>
      </c>
      <c r="H12649" s="8" t="s">
        <v>25613</v>
      </c>
      <c r="I12649" s="8">
        <v>526.6875</v>
      </c>
      <c r="J12649" s="3">
        <f t="shared" si="197"/>
        <v>43748.420069444437</v>
      </c>
    </row>
    <row r="12650" spans="1:10" x14ac:dyDescent="0.25">
      <c r="A12650" s="5" t="s">
        <v>25614</v>
      </c>
      <c r="B12650" s="6">
        <v>393.75</v>
      </c>
      <c r="C12650" s="6">
        <v>20.478950000000001</v>
      </c>
      <c r="D12650" s="6">
        <v>81</v>
      </c>
      <c r="E12650" s="6">
        <v>0</v>
      </c>
      <c r="F12650" s="6">
        <v>0</v>
      </c>
      <c r="G12650" s="6">
        <v>20</v>
      </c>
      <c r="H12650" s="6" t="s">
        <v>25615</v>
      </c>
      <c r="I12650" s="6">
        <v>526.6875</v>
      </c>
      <c r="J12650" s="2">
        <f t="shared" si="197"/>
        <v>43748.420152777777</v>
      </c>
    </row>
    <row r="12651" spans="1:10" x14ac:dyDescent="0.25">
      <c r="A12651" s="7" t="s">
        <v>25616</v>
      </c>
      <c r="B12651" s="8">
        <v>393.75</v>
      </c>
      <c r="C12651" s="8">
        <v>20.478950000000001</v>
      </c>
      <c r="D12651" s="8">
        <v>80</v>
      </c>
      <c r="E12651" s="8">
        <v>0</v>
      </c>
      <c r="F12651" s="8">
        <v>0</v>
      </c>
      <c r="G12651" s="8">
        <v>23</v>
      </c>
      <c r="H12651" s="8" t="s">
        <v>25617</v>
      </c>
      <c r="I12651" s="8">
        <v>526.6875</v>
      </c>
      <c r="J12651" s="3">
        <f t="shared" si="197"/>
        <v>43748.420236469909</v>
      </c>
    </row>
    <row r="12652" spans="1:10" x14ac:dyDescent="0.25">
      <c r="A12652" s="5" t="s">
        <v>25618</v>
      </c>
      <c r="B12652" s="6">
        <v>393.75</v>
      </c>
      <c r="C12652" s="6">
        <v>20.478950000000001</v>
      </c>
      <c r="D12652" s="6">
        <v>82</v>
      </c>
      <c r="E12652" s="6">
        <v>0</v>
      </c>
      <c r="F12652" s="6">
        <v>0</v>
      </c>
      <c r="G12652" s="6">
        <v>27</v>
      </c>
      <c r="H12652" s="6" t="s">
        <v>25619</v>
      </c>
      <c r="I12652" s="6">
        <v>526.5</v>
      </c>
      <c r="J12652" s="2">
        <f t="shared" si="197"/>
        <v>43748.420326608793</v>
      </c>
    </row>
    <row r="12653" spans="1:10" x14ac:dyDescent="0.25">
      <c r="A12653" s="7" t="s">
        <v>25620</v>
      </c>
      <c r="B12653" s="8">
        <v>393.75</v>
      </c>
      <c r="C12653" s="8">
        <v>20.478950000000001</v>
      </c>
      <c r="D12653" s="8">
        <v>83</v>
      </c>
      <c r="E12653" s="8">
        <v>0</v>
      </c>
      <c r="F12653" s="8">
        <v>0</v>
      </c>
      <c r="G12653" s="8">
        <v>36</v>
      </c>
      <c r="H12653" s="8" t="s">
        <v>25621</v>
      </c>
      <c r="I12653" s="8">
        <v>526.6875</v>
      </c>
      <c r="J12653" s="3">
        <f t="shared" si="197"/>
        <v>43748.420403344906</v>
      </c>
    </row>
    <row r="12654" spans="1:10" x14ac:dyDescent="0.25">
      <c r="A12654" s="5" t="s">
        <v>25622</v>
      </c>
      <c r="B12654" s="6">
        <v>393.75</v>
      </c>
      <c r="C12654" s="6">
        <v>20.426300000000001</v>
      </c>
      <c r="D12654" s="6">
        <v>82</v>
      </c>
      <c r="E12654" s="6">
        <v>0</v>
      </c>
      <c r="F12654" s="6">
        <v>0</v>
      </c>
      <c r="G12654" s="6">
        <v>33</v>
      </c>
      <c r="H12654" s="6" t="s">
        <v>25623</v>
      </c>
      <c r="I12654" s="6">
        <v>526.6875</v>
      </c>
      <c r="J12654" s="2">
        <f t="shared" si="197"/>
        <v>43748.420486921292</v>
      </c>
    </row>
    <row r="12655" spans="1:10" x14ac:dyDescent="0.25">
      <c r="A12655" s="7" t="s">
        <v>25624</v>
      </c>
      <c r="B12655" s="8">
        <v>393.75</v>
      </c>
      <c r="C12655" s="8">
        <v>20.478950000000001</v>
      </c>
      <c r="D12655" s="8">
        <v>82</v>
      </c>
      <c r="E12655" s="8">
        <v>0</v>
      </c>
      <c r="F12655" s="8">
        <v>0</v>
      </c>
      <c r="G12655" s="8">
        <v>25</v>
      </c>
      <c r="H12655" s="8" t="s">
        <v>25625</v>
      </c>
      <c r="I12655" s="8">
        <v>526.6875</v>
      </c>
      <c r="J12655" s="3">
        <f t="shared" si="197"/>
        <v>43748.420558333331</v>
      </c>
    </row>
    <row r="12656" spans="1:10" x14ac:dyDescent="0.25">
      <c r="A12656" s="5" t="s">
        <v>25626</v>
      </c>
      <c r="B12656" s="6">
        <v>393.75</v>
      </c>
      <c r="C12656" s="6">
        <v>20.478950000000001</v>
      </c>
      <c r="D12656" s="6">
        <v>81</v>
      </c>
      <c r="E12656" s="6">
        <v>0</v>
      </c>
      <c r="F12656" s="6">
        <v>0</v>
      </c>
      <c r="G12656" s="6">
        <v>31</v>
      </c>
      <c r="H12656" s="6" t="s">
        <v>25627</v>
      </c>
      <c r="I12656" s="6">
        <v>526.6875</v>
      </c>
      <c r="J12656" s="2">
        <f t="shared" si="197"/>
        <v>43748.420641655095</v>
      </c>
    </row>
    <row r="12657" spans="1:10" x14ac:dyDescent="0.25">
      <c r="A12657" s="7" t="s">
        <v>25628</v>
      </c>
      <c r="B12657" s="8">
        <v>393.75</v>
      </c>
      <c r="C12657" s="8">
        <v>20.478950000000001</v>
      </c>
      <c r="D12657" s="8">
        <v>82</v>
      </c>
      <c r="E12657" s="8">
        <v>0</v>
      </c>
      <c r="F12657" s="8">
        <v>0</v>
      </c>
      <c r="G12657" s="8">
        <v>22</v>
      </c>
      <c r="H12657" s="8" t="s">
        <v>25629</v>
      </c>
      <c r="I12657" s="8">
        <v>526.6875</v>
      </c>
      <c r="J12657" s="3">
        <f t="shared" si="197"/>
        <v>43748.420725335651</v>
      </c>
    </row>
    <row r="12658" spans="1:10" x14ac:dyDescent="0.25">
      <c r="A12658" s="5" t="s">
        <v>25630</v>
      </c>
      <c r="B12658" s="6">
        <v>393.75</v>
      </c>
      <c r="C12658" s="6">
        <v>20.478950000000001</v>
      </c>
      <c r="D12658" s="6">
        <v>82</v>
      </c>
      <c r="E12658" s="6">
        <v>0</v>
      </c>
      <c r="F12658" s="6">
        <v>0</v>
      </c>
      <c r="G12658" s="6">
        <v>32</v>
      </c>
      <c r="H12658" s="6" t="s">
        <v>25631</v>
      </c>
      <c r="I12658" s="6">
        <v>526.6875</v>
      </c>
      <c r="J12658" s="2">
        <f t="shared" si="197"/>
        <v>43748.420808437499</v>
      </c>
    </row>
    <row r="12659" spans="1:10" x14ac:dyDescent="0.25">
      <c r="A12659" s="7" t="s">
        <v>25632</v>
      </c>
      <c r="B12659" s="8">
        <v>393.75</v>
      </c>
      <c r="C12659" s="8">
        <v>20.478950000000001</v>
      </c>
      <c r="D12659" s="8">
        <v>82</v>
      </c>
      <c r="E12659" s="8">
        <v>0</v>
      </c>
      <c r="F12659" s="8">
        <v>0</v>
      </c>
      <c r="G12659" s="8">
        <v>15</v>
      </c>
      <c r="H12659" s="8" t="s">
        <v>25633</v>
      </c>
      <c r="I12659" s="8">
        <v>526.6875</v>
      </c>
      <c r="J12659" s="3">
        <f t="shared" si="197"/>
        <v>43748.420880092592</v>
      </c>
    </row>
    <row r="12660" spans="1:10" x14ac:dyDescent="0.25">
      <c r="A12660" s="5" t="s">
        <v>25634</v>
      </c>
      <c r="B12660" s="6">
        <v>393.75</v>
      </c>
      <c r="C12660" s="6">
        <v>20.478950000000001</v>
      </c>
      <c r="D12660" s="6">
        <v>82</v>
      </c>
      <c r="E12660" s="6">
        <v>0</v>
      </c>
      <c r="F12660" s="6">
        <v>0</v>
      </c>
      <c r="G12660" s="6">
        <v>9</v>
      </c>
      <c r="H12660" s="6" t="s">
        <v>25635</v>
      </c>
      <c r="I12660" s="6">
        <v>526.6875</v>
      </c>
      <c r="J12660" s="2">
        <f t="shared" si="197"/>
        <v>43748.420975937501</v>
      </c>
    </row>
    <row r="12661" spans="1:10" x14ac:dyDescent="0.25">
      <c r="A12661" s="7" t="s">
        <v>25636</v>
      </c>
      <c r="B12661" s="8">
        <v>396.875</v>
      </c>
      <c r="C12661" s="8">
        <v>20.478950000000001</v>
      </c>
      <c r="D12661" s="8">
        <v>81</v>
      </c>
      <c r="E12661" s="8">
        <v>0</v>
      </c>
      <c r="F12661" s="8">
        <v>0</v>
      </c>
      <c r="G12661" s="8">
        <v>13</v>
      </c>
      <c r="H12661" s="8" t="s">
        <v>25637</v>
      </c>
      <c r="I12661" s="8">
        <v>527.4375</v>
      </c>
      <c r="J12661" s="3">
        <f t="shared" si="197"/>
        <v>43748.421047326388</v>
      </c>
    </row>
    <row r="12662" spans="1:10" x14ac:dyDescent="0.25">
      <c r="A12662" s="5" t="s">
        <v>25638</v>
      </c>
      <c r="B12662" s="6">
        <v>396.875</v>
      </c>
      <c r="C12662" s="6">
        <v>20.478950000000001</v>
      </c>
      <c r="D12662" s="6">
        <v>81</v>
      </c>
      <c r="E12662" s="6">
        <v>0</v>
      </c>
      <c r="F12662" s="6">
        <v>0</v>
      </c>
      <c r="G12662" s="6">
        <v>13</v>
      </c>
      <c r="H12662" s="6" t="s">
        <v>25639</v>
      </c>
      <c r="I12662" s="6">
        <v>527.4375</v>
      </c>
      <c r="J12662" s="2">
        <f t="shared" si="197"/>
        <v>43748.421130567127</v>
      </c>
    </row>
    <row r="12663" spans="1:10" x14ac:dyDescent="0.25">
      <c r="A12663" s="7" t="s">
        <v>25640</v>
      </c>
      <c r="B12663" s="8">
        <v>396.875</v>
      </c>
      <c r="C12663" s="8">
        <v>20.478950000000001</v>
      </c>
      <c r="D12663" s="8">
        <v>81</v>
      </c>
      <c r="E12663" s="8">
        <v>0</v>
      </c>
      <c r="F12663" s="8">
        <v>0</v>
      </c>
      <c r="G12663" s="8">
        <v>17</v>
      </c>
      <c r="H12663" s="8" t="s">
        <v>25641</v>
      </c>
      <c r="I12663" s="8">
        <v>527.4375</v>
      </c>
      <c r="J12663" s="3">
        <f t="shared" si="197"/>
        <v>43748.421202314814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716"/>
  <sheetViews>
    <sheetView workbookViewId="0">
      <selection activeCell="J2" sqref="J2"/>
    </sheetView>
  </sheetViews>
  <sheetFormatPr defaultRowHeight="15" x14ac:dyDescent="0.25"/>
  <cols>
    <col min="10" max="10" width="18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55071</v>
      </c>
    </row>
    <row r="2" spans="1:10" x14ac:dyDescent="0.25">
      <c r="A2" s="5" t="s">
        <v>25642</v>
      </c>
      <c r="B2" s="6">
        <v>400</v>
      </c>
      <c r="C2" s="6">
        <v>20.478950000000001</v>
      </c>
      <c r="D2" s="6">
        <v>80</v>
      </c>
      <c r="E2" s="6">
        <v>0</v>
      </c>
      <c r="F2" s="6">
        <v>0</v>
      </c>
      <c r="G2" s="6">
        <v>17</v>
      </c>
      <c r="H2" s="6" t="s">
        <v>25643</v>
      </c>
      <c r="I2" s="6">
        <v>528.1875</v>
      </c>
      <c r="J2" s="2">
        <f t="shared" ref="J2:J65" si="0">(H2/86400000)+25569+(7/24)</f>
        <v>43748.421273831016</v>
      </c>
    </row>
    <row r="3" spans="1:10" x14ac:dyDescent="0.25">
      <c r="A3" s="7" t="s">
        <v>25644</v>
      </c>
      <c r="B3" s="8">
        <v>400</v>
      </c>
      <c r="C3" s="8">
        <v>20.478950000000001</v>
      </c>
      <c r="D3" s="8">
        <v>79</v>
      </c>
      <c r="E3" s="8">
        <v>0</v>
      </c>
      <c r="F3" s="8">
        <v>0</v>
      </c>
      <c r="G3" s="8">
        <v>11</v>
      </c>
      <c r="H3" s="8" t="s">
        <v>25645</v>
      </c>
      <c r="I3" s="8">
        <v>528.9375</v>
      </c>
      <c r="J3" s="3">
        <f t="shared" si="0"/>
        <v>43748.421369386568</v>
      </c>
    </row>
    <row r="4" spans="1:10" x14ac:dyDescent="0.25">
      <c r="A4" s="5" t="s">
        <v>25646</v>
      </c>
      <c r="B4" s="6">
        <v>415.625</v>
      </c>
      <c r="C4" s="6">
        <v>20.478950000000001</v>
      </c>
      <c r="D4" s="6">
        <v>80</v>
      </c>
      <c r="E4" s="6">
        <v>0</v>
      </c>
      <c r="F4" s="6">
        <v>0</v>
      </c>
      <c r="G4" s="6">
        <v>5</v>
      </c>
      <c r="H4" s="6" t="s">
        <v>25647</v>
      </c>
      <c r="I4" s="6">
        <v>533.8125</v>
      </c>
      <c r="J4" s="2">
        <f t="shared" si="0"/>
        <v>43748.421452951385</v>
      </c>
    </row>
    <row r="5" spans="1:10" x14ac:dyDescent="0.25">
      <c r="A5" s="7" t="s">
        <v>25648</v>
      </c>
      <c r="B5" s="8">
        <v>403.125</v>
      </c>
      <c r="C5" s="8">
        <v>20.478950000000001</v>
      </c>
      <c r="D5" s="8">
        <v>77</v>
      </c>
      <c r="E5" s="8">
        <v>0</v>
      </c>
      <c r="F5" s="8">
        <v>0</v>
      </c>
      <c r="G5" s="8">
        <v>16</v>
      </c>
      <c r="H5" s="8" t="s">
        <v>25649</v>
      </c>
      <c r="I5" s="8">
        <v>529.125</v>
      </c>
      <c r="J5" s="3">
        <f t="shared" si="0"/>
        <v>43748.421524363424</v>
      </c>
    </row>
    <row r="6" spans="1:10" x14ac:dyDescent="0.25">
      <c r="A6" s="5" t="s">
        <v>25650</v>
      </c>
      <c r="B6" s="6">
        <v>403.125</v>
      </c>
      <c r="C6" s="6">
        <v>20.478950000000001</v>
      </c>
      <c r="D6" s="6">
        <v>77</v>
      </c>
      <c r="E6" s="6">
        <v>0</v>
      </c>
      <c r="F6" s="6">
        <v>0</v>
      </c>
      <c r="G6" s="6">
        <v>12</v>
      </c>
      <c r="H6" s="6" t="s">
        <v>25651</v>
      </c>
      <c r="I6" s="6">
        <v>529.125</v>
      </c>
      <c r="J6" s="2">
        <f t="shared" si="0"/>
        <v>43748.421607905089</v>
      </c>
    </row>
    <row r="7" spans="1:10" x14ac:dyDescent="0.25">
      <c r="A7" s="7" t="s">
        <v>25652</v>
      </c>
      <c r="B7" s="8">
        <v>403.125</v>
      </c>
      <c r="C7" s="8">
        <v>20.478950000000001</v>
      </c>
      <c r="D7" s="8">
        <v>79</v>
      </c>
      <c r="E7" s="8">
        <v>0</v>
      </c>
      <c r="F7" s="8">
        <v>0</v>
      </c>
      <c r="G7" s="8">
        <v>16</v>
      </c>
      <c r="H7" s="8" t="s">
        <v>25653</v>
      </c>
      <c r="I7" s="8">
        <v>529.875</v>
      </c>
      <c r="J7" s="3">
        <f t="shared" si="0"/>
        <v>43748.421691018513</v>
      </c>
    </row>
    <row r="8" spans="1:10" x14ac:dyDescent="0.25">
      <c r="A8" s="5" t="s">
        <v>25654</v>
      </c>
      <c r="B8" s="6">
        <v>406.25</v>
      </c>
      <c r="C8" s="6">
        <v>20.478950000000001</v>
      </c>
      <c r="D8" s="6">
        <v>79</v>
      </c>
      <c r="E8" s="6">
        <v>0</v>
      </c>
      <c r="F8" s="6">
        <v>0</v>
      </c>
      <c r="G8" s="6">
        <v>11</v>
      </c>
      <c r="H8" s="6" t="s">
        <v>25655</v>
      </c>
      <c r="I8" s="6">
        <v>530.625</v>
      </c>
      <c r="J8" s="2">
        <f t="shared" si="0"/>
        <v>43748.421762893515</v>
      </c>
    </row>
    <row r="9" spans="1:10" x14ac:dyDescent="0.25">
      <c r="A9" s="7" t="s">
        <v>25656</v>
      </c>
      <c r="B9" s="8">
        <v>406.25</v>
      </c>
      <c r="C9" s="8">
        <v>20.478950000000001</v>
      </c>
      <c r="D9" s="8">
        <v>78</v>
      </c>
      <c r="E9" s="8">
        <v>0</v>
      </c>
      <c r="F9" s="8">
        <v>0</v>
      </c>
      <c r="G9" s="8">
        <v>13</v>
      </c>
      <c r="H9" s="8" t="s">
        <v>25657</v>
      </c>
      <c r="I9" s="8">
        <v>530.625</v>
      </c>
      <c r="J9" s="3">
        <f t="shared" si="0"/>
        <v>43748.421846481484</v>
      </c>
    </row>
    <row r="10" spans="1:10" x14ac:dyDescent="0.25">
      <c r="A10" s="5" t="s">
        <v>25658</v>
      </c>
      <c r="B10" s="6">
        <v>406.25</v>
      </c>
      <c r="C10" s="6">
        <v>20.478950000000001</v>
      </c>
      <c r="D10" s="6">
        <v>78</v>
      </c>
      <c r="E10" s="6">
        <v>0</v>
      </c>
      <c r="F10" s="6">
        <v>0</v>
      </c>
      <c r="G10" s="6">
        <v>19</v>
      </c>
      <c r="H10" s="6" t="s">
        <v>25659</v>
      </c>
      <c r="I10" s="6">
        <v>530.8125</v>
      </c>
      <c r="J10" s="2">
        <f t="shared" si="0"/>
        <v>43748.421918078697</v>
      </c>
    </row>
    <row r="11" spans="1:10" x14ac:dyDescent="0.25">
      <c r="A11" s="7" t="s">
        <v>25660</v>
      </c>
      <c r="B11" s="8">
        <v>409.375</v>
      </c>
      <c r="C11" s="8">
        <v>20.478950000000001</v>
      </c>
      <c r="D11" s="8">
        <v>77</v>
      </c>
      <c r="E11" s="8">
        <v>0</v>
      </c>
      <c r="F11" s="8">
        <v>0</v>
      </c>
      <c r="G11" s="8">
        <v>22</v>
      </c>
      <c r="H11" s="8" t="s">
        <v>25661</v>
      </c>
      <c r="I11" s="8">
        <v>531.5625</v>
      </c>
      <c r="J11" s="3">
        <f t="shared" si="0"/>
        <v>43748.422001203704</v>
      </c>
    </row>
    <row r="12" spans="1:10" x14ac:dyDescent="0.25">
      <c r="A12" s="5" t="s">
        <v>25662</v>
      </c>
      <c r="B12" s="6">
        <v>409.375</v>
      </c>
      <c r="C12" s="6">
        <v>20.426300000000001</v>
      </c>
      <c r="D12" s="6">
        <v>78</v>
      </c>
      <c r="E12" s="6">
        <v>0</v>
      </c>
      <c r="F12" s="6">
        <v>0</v>
      </c>
      <c r="G12" s="6">
        <v>17</v>
      </c>
      <c r="H12" s="6" t="s">
        <v>25663</v>
      </c>
      <c r="I12" s="6">
        <v>531.5625</v>
      </c>
      <c r="J12" s="2">
        <f t="shared" si="0"/>
        <v>43748.422084895828</v>
      </c>
    </row>
    <row r="13" spans="1:10" x14ac:dyDescent="0.25">
      <c r="A13" s="7" t="s">
        <v>25664</v>
      </c>
      <c r="B13" s="8">
        <v>412.5</v>
      </c>
      <c r="C13" s="8">
        <v>20.478950000000001</v>
      </c>
      <c r="D13" s="8">
        <v>79</v>
      </c>
      <c r="E13" s="8">
        <v>0</v>
      </c>
      <c r="F13" s="8">
        <v>0</v>
      </c>
      <c r="G13" s="8">
        <v>11</v>
      </c>
      <c r="H13" s="8" t="s">
        <v>25665</v>
      </c>
      <c r="I13" s="8">
        <v>532.3125</v>
      </c>
      <c r="J13" s="3">
        <f t="shared" si="0"/>
        <v>43748.422168090277</v>
      </c>
    </row>
    <row r="14" spans="1:10" x14ac:dyDescent="0.25">
      <c r="A14" s="5" t="s">
        <v>25666</v>
      </c>
      <c r="B14" s="6">
        <v>415.625</v>
      </c>
      <c r="C14" s="6">
        <v>20.478950000000001</v>
      </c>
      <c r="D14" s="6">
        <v>79</v>
      </c>
      <c r="E14" s="6">
        <v>0</v>
      </c>
      <c r="F14" s="6">
        <v>0</v>
      </c>
      <c r="G14" s="6">
        <v>8</v>
      </c>
      <c r="H14" s="6" t="s">
        <v>25667</v>
      </c>
      <c r="I14" s="6">
        <v>533.0625</v>
      </c>
      <c r="J14" s="2">
        <f t="shared" si="0"/>
        <v>43748.422239861109</v>
      </c>
    </row>
    <row r="15" spans="1:10" x14ac:dyDescent="0.25">
      <c r="A15" s="7" t="s">
        <v>25668</v>
      </c>
      <c r="B15" s="8">
        <v>418.75</v>
      </c>
      <c r="C15" s="8">
        <v>20.478950000000001</v>
      </c>
      <c r="D15" s="8">
        <v>79</v>
      </c>
      <c r="E15" s="8">
        <v>0</v>
      </c>
      <c r="F15" s="8">
        <v>0</v>
      </c>
      <c r="G15" s="8">
        <v>13</v>
      </c>
      <c r="H15" s="8" t="s">
        <v>25669</v>
      </c>
      <c r="I15" s="8">
        <v>534</v>
      </c>
      <c r="J15" s="3">
        <f t="shared" si="0"/>
        <v>43748.422323402774</v>
      </c>
    </row>
    <row r="16" spans="1:10" x14ac:dyDescent="0.25">
      <c r="A16" s="5" t="s">
        <v>25670</v>
      </c>
      <c r="B16" s="6">
        <v>418.75</v>
      </c>
      <c r="C16" s="6">
        <v>20.478950000000001</v>
      </c>
      <c r="D16" s="6">
        <v>79</v>
      </c>
      <c r="E16" s="6">
        <v>0</v>
      </c>
      <c r="F16" s="6">
        <v>0</v>
      </c>
      <c r="G16" s="6">
        <v>18</v>
      </c>
      <c r="H16" s="6" t="s">
        <v>25671</v>
      </c>
      <c r="I16" s="6">
        <v>534.75</v>
      </c>
      <c r="J16" s="2">
        <f t="shared" si="0"/>
        <v>43748.422394942128</v>
      </c>
    </row>
    <row r="17" spans="1:10" x14ac:dyDescent="0.25">
      <c r="A17" s="7" t="s">
        <v>25672</v>
      </c>
      <c r="B17" s="8">
        <v>421.875</v>
      </c>
      <c r="C17" s="8">
        <v>20.478950000000001</v>
      </c>
      <c r="D17" s="8">
        <v>78</v>
      </c>
      <c r="E17" s="8">
        <v>0</v>
      </c>
      <c r="F17" s="8">
        <v>0</v>
      </c>
      <c r="G17" s="8">
        <v>18</v>
      </c>
      <c r="H17" s="8" t="s">
        <v>25673</v>
      </c>
      <c r="I17" s="8">
        <v>535.5</v>
      </c>
      <c r="J17" s="3">
        <f t="shared" si="0"/>
        <v>43748.422478414352</v>
      </c>
    </row>
    <row r="18" spans="1:10" x14ac:dyDescent="0.25">
      <c r="A18" s="5" t="s">
        <v>25674</v>
      </c>
      <c r="B18" s="6">
        <v>421.875</v>
      </c>
      <c r="C18" s="6">
        <v>20.478950000000001</v>
      </c>
      <c r="D18" s="6">
        <v>78</v>
      </c>
      <c r="E18" s="6">
        <v>0</v>
      </c>
      <c r="F18" s="6">
        <v>0</v>
      </c>
      <c r="G18" s="6">
        <v>23</v>
      </c>
      <c r="H18" s="6" t="s">
        <v>25675</v>
      </c>
      <c r="I18" s="6">
        <v>535.5</v>
      </c>
      <c r="J18" s="2">
        <f t="shared" si="0"/>
        <v>43748.422561967593</v>
      </c>
    </row>
    <row r="19" spans="1:10" x14ac:dyDescent="0.25">
      <c r="A19" s="7" t="s">
        <v>25676</v>
      </c>
      <c r="B19" s="8">
        <v>421.875</v>
      </c>
      <c r="C19" s="8">
        <v>20.478950000000001</v>
      </c>
      <c r="D19" s="8">
        <v>77</v>
      </c>
      <c r="E19" s="8">
        <v>0</v>
      </c>
      <c r="F19" s="8">
        <v>0</v>
      </c>
      <c r="G19" s="8">
        <v>16</v>
      </c>
      <c r="H19" s="8" t="s">
        <v>25677</v>
      </c>
      <c r="I19" s="8">
        <v>535.5</v>
      </c>
      <c r="J19" s="3">
        <f t="shared" si="0"/>
        <v>43748.422645543978</v>
      </c>
    </row>
    <row r="20" spans="1:10" x14ac:dyDescent="0.25">
      <c r="A20" s="5" t="s">
        <v>25678</v>
      </c>
      <c r="B20" s="6">
        <v>421.875</v>
      </c>
      <c r="C20" s="6">
        <v>20.478950000000001</v>
      </c>
      <c r="D20" s="6">
        <v>77</v>
      </c>
      <c r="E20" s="6">
        <v>0</v>
      </c>
      <c r="F20" s="6">
        <v>0</v>
      </c>
      <c r="G20" s="6">
        <v>6</v>
      </c>
      <c r="H20" s="6" t="s">
        <v>25679</v>
      </c>
      <c r="I20" s="6">
        <v>535.5</v>
      </c>
      <c r="J20" s="2">
        <f t="shared" si="0"/>
        <v>43748.422728969905</v>
      </c>
    </row>
    <row r="21" spans="1:10" x14ac:dyDescent="0.25">
      <c r="A21" s="7" t="s">
        <v>25680</v>
      </c>
      <c r="B21" s="8">
        <v>421.875</v>
      </c>
      <c r="C21" s="8">
        <v>20.478950000000001</v>
      </c>
      <c r="D21" s="8">
        <v>76</v>
      </c>
      <c r="E21" s="8">
        <v>0</v>
      </c>
      <c r="F21" s="8">
        <v>0</v>
      </c>
      <c r="G21" s="8">
        <v>2</v>
      </c>
      <c r="H21" s="8" t="s">
        <v>25681</v>
      </c>
      <c r="I21" s="8">
        <v>535.5</v>
      </c>
      <c r="J21" s="3">
        <f t="shared" si="0"/>
        <v>43748.422812083336</v>
      </c>
    </row>
    <row r="22" spans="1:10" x14ac:dyDescent="0.25">
      <c r="A22" s="5" t="s">
        <v>25682</v>
      </c>
      <c r="B22" s="6">
        <v>421.875</v>
      </c>
      <c r="C22" s="6">
        <v>20.478950000000001</v>
      </c>
      <c r="D22" s="6">
        <v>76</v>
      </c>
      <c r="E22" s="6">
        <v>0</v>
      </c>
      <c r="F22" s="6">
        <v>0</v>
      </c>
      <c r="G22" s="6">
        <v>10</v>
      </c>
      <c r="H22" s="6" t="s">
        <v>25683</v>
      </c>
      <c r="I22" s="6">
        <v>535.5</v>
      </c>
      <c r="J22" s="2">
        <f t="shared" si="0"/>
        <v>43748.422883854168</v>
      </c>
    </row>
    <row r="23" spans="1:10" x14ac:dyDescent="0.25">
      <c r="A23" s="7" t="s">
        <v>25684</v>
      </c>
      <c r="B23" s="8">
        <v>421.875</v>
      </c>
      <c r="C23" s="8">
        <v>20.478950000000001</v>
      </c>
      <c r="D23" s="8">
        <v>78</v>
      </c>
      <c r="E23" s="8">
        <v>0</v>
      </c>
      <c r="F23" s="8">
        <v>0</v>
      </c>
      <c r="G23" s="8">
        <v>19</v>
      </c>
      <c r="H23" s="8" t="s">
        <v>25685</v>
      </c>
      <c r="I23" s="8">
        <v>535.5</v>
      </c>
      <c r="J23" s="3">
        <f t="shared" si="0"/>
        <v>43748.422967303239</v>
      </c>
    </row>
    <row r="24" spans="1:10" x14ac:dyDescent="0.25">
      <c r="A24" s="5" t="s">
        <v>25686</v>
      </c>
      <c r="B24" s="6">
        <v>421.875</v>
      </c>
      <c r="C24" s="6">
        <v>20.478950000000001</v>
      </c>
      <c r="D24" s="6">
        <v>78</v>
      </c>
      <c r="E24" s="6">
        <v>0</v>
      </c>
      <c r="F24" s="6">
        <v>0</v>
      </c>
      <c r="G24" s="6">
        <v>18</v>
      </c>
      <c r="H24" s="6" t="s">
        <v>25687</v>
      </c>
      <c r="I24" s="6">
        <v>535.5</v>
      </c>
      <c r="J24" s="2">
        <f t="shared" si="0"/>
        <v>43748.423050868056</v>
      </c>
    </row>
    <row r="25" spans="1:10" x14ac:dyDescent="0.25">
      <c r="A25" s="7" t="s">
        <v>25688</v>
      </c>
      <c r="B25" s="8">
        <v>421.875</v>
      </c>
      <c r="C25" s="8">
        <v>20.478950000000001</v>
      </c>
      <c r="D25" s="8">
        <v>78</v>
      </c>
      <c r="E25" s="8">
        <v>0</v>
      </c>
      <c r="F25" s="8">
        <v>0</v>
      </c>
      <c r="G25" s="8">
        <v>16</v>
      </c>
      <c r="H25" s="8" t="s">
        <v>25689</v>
      </c>
      <c r="I25" s="8">
        <v>535.5</v>
      </c>
      <c r="J25" s="3">
        <f t="shared" si="0"/>
        <v>43748.423134791665</v>
      </c>
    </row>
    <row r="26" spans="1:10" x14ac:dyDescent="0.25">
      <c r="A26" s="5" t="s">
        <v>25690</v>
      </c>
      <c r="B26" s="6">
        <v>418.75</v>
      </c>
      <c r="C26" s="6">
        <v>20.478950000000001</v>
      </c>
      <c r="D26" s="6">
        <v>78</v>
      </c>
      <c r="E26" s="6">
        <v>0</v>
      </c>
      <c r="F26" s="6">
        <v>0</v>
      </c>
      <c r="G26" s="6">
        <v>21</v>
      </c>
      <c r="H26" s="6" t="s">
        <v>25691</v>
      </c>
      <c r="I26" s="6">
        <v>534.75</v>
      </c>
      <c r="J26" s="2">
        <f t="shared" si="0"/>
        <v>43748.423217754629</v>
      </c>
    </row>
    <row r="27" spans="1:10" x14ac:dyDescent="0.25">
      <c r="A27" s="7" t="s">
        <v>25692</v>
      </c>
      <c r="B27" s="8">
        <v>418.75</v>
      </c>
      <c r="C27" s="8">
        <v>20.478950000000001</v>
      </c>
      <c r="D27" s="8">
        <v>79</v>
      </c>
      <c r="E27" s="8">
        <v>0</v>
      </c>
      <c r="F27" s="8">
        <v>0</v>
      </c>
      <c r="G27" s="8">
        <v>14</v>
      </c>
      <c r="H27" s="8" t="s">
        <v>25693</v>
      </c>
      <c r="I27" s="8">
        <v>534.5625</v>
      </c>
      <c r="J27" s="3">
        <f t="shared" si="0"/>
        <v>43748.423300983799</v>
      </c>
    </row>
    <row r="28" spans="1:10" x14ac:dyDescent="0.25">
      <c r="A28" s="5" t="s">
        <v>25694</v>
      </c>
      <c r="B28" s="6">
        <v>421.875</v>
      </c>
      <c r="C28" s="6">
        <v>20.426300000000001</v>
      </c>
      <c r="D28" s="6">
        <v>79</v>
      </c>
      <c r="E28" s="6">
        <v>0</v>
      </c>
      <c r="F28" s="6">
        <v>0</v>
      </c>
      <c r="G28" s="6">
        <v>24</v>
      </c>
      <c r="H28" s="6" t="s">
        <v>25695</v>
      </c>
      <c r="I28" s="6">
        <v>535.5</v>
      </c>
      <c r="J28" s="2">
        <f t="shared" si="0"/>
        <v>43748.423372743055</v>
      </c>
    </row>
    <row r="29" spans="1:10" x14ac:dyDescent="0.25">
      <c r="A29" s="7" t="s">
        <v>25696</v>
      </c>
      <c r="B29" s="8">
        <v>421.875</v>
      </c>
      <c r="C29" s="8">
        <v>20.478950000000001</v>
      </c>
      <c r="D29" s="8">
        <v>79</v>
      </c>
      <c r="E29" s="8">
        <v>0</v>
      </c>
      <c r="F29" s="8">
        <v>0</v>
      </c>
      <c r="G29" s="8">
        <v>14</v>
      </c>
      <c r="H29" s="8" t="s">
        <v>25697</v>
      </c>
      <c r="I29" s="8">
        <v>535.5</v>
      </c>
      <c r="J29" s="3">
        <f t="shared" si="0"/>
        <v>43748.423455949072</v>
      </c>
    </row>
    <row r="30" spans="1:10" x14ac:dyDescent="0.25">
      <c r="A30" s="5" t="s">
        <v>25698</v>
      </c>
      <c r="B30" s="6">
        <v>421.875</v>
      </c>
      <c r="C30" s="6">
        <v>20.478950000000001</v>
      </c>
      <c r="D30" s="6">
        <v>80</v>
      </c>
      <c r="E30" s="6">
        <v>0</v>
      </c>
      <c r="F30" s="6">
        <v>0</v>
      </c>
      <c r="G30" s="6">
        <v>14</v>
      </c>
      <c r="H30" s="6" t="s">
        <v>25699</v>
      </c>
      <c r="I30" s="6">
        <v>535.5</v>
      </c>
      <c r="J30" s="2">
        <f t="shared" si="0"/>
        <v>43748.423539756943</v>
      </c>
    </row>
    <row r="31" spans="1:10" x14ac:dyDescent="0.25">
      <c r="A31" s="7" t="s">
        <v>25700</v>
      </c>
      <c r="B31" s="8">
        <v>425</v>
      </c>
      <c r="C31" s="8">
        <v>20.478950000000001</v>
      </c>
      <c r="D31" s="8">
        <v>79</v>
      </c>
      <c r="E31" s="8">
        <v>0</v>
      </c>
      <c r="F31" s="8">
        <v>0</v>
      </c>
      <c r="G31" s="8">
        <v>10</v>
      </c>
      <c r="H31" s="8" t="s">
        <v>25701</v>
      </c>
      <c r="I31" s="8">
        <v>536.25</v>
      </c>
      <c r="J31" s="3">
        <f t="shared" si="0"/>
        <v>43748.42362332176</v>
      </c>
    </row>
    <row r="32" spans="1:10" x14ac:dyDescent="0.25">
      <c r="A32" s="5" t="s">
        <v>25702</v>
      </c>
      <c r="B32" s="6">
        <v>421.875</v>
      </c>
      <c r="C32" s="6">
        <v>20.478950000000001</v>
      </c>
      <c r="D32" s="6">
        <v>79</v>
      </c>
      <c r="E32" s="6">
        <v>0</v>
      </c>
      <c r="F32" s="6">
        <v>0</v>
      </c>
      <c r="G32" s="6">
        <v>16</v>
      </c>
      <c r="H32" s="6" t="s">
        <v>25703</v>
      </c>
      <c r="I32" s="6">
        <v>535.5</v>
      </c>
      <c r="J32" s="2">
        <f t="shared" si="0"/>
        <v>43748.423706747686</v>
      </c>
    </row>
    <row r="33" spans="1:10" x14ac:dyDescent="0.25">
      <c r="A33" s="7" t="s">
        <v>25704</v>
      </c>
      <c r="B33" s="8">
        <v>421.875</v>
      </c>
      <c r="C33" s="8">
        <v>20.478950000000001</v>
      </c>
      <c r="D33" s="8">
        <v>78</v>
      </c>
      <c r="E33" s="8">
        <v>0</v>
      </c>
      <c r="F33" s="8">
        <v>0</v>
      </c>
      <c r="G33" s="8">
        <v>18</v>
      </c>
      <c r="H33" s="8" t="s">
        <v>25705</v>
      </c>
      <c r="I33" s="8">
        <v>535.5</v>
      </c>
      <c r="J33" s="3">
        <f t="shared" si="0"/>
        <v>43748.423789988425</v>
      </c>
    </row>
    <row r="34" spans="1:10" x14ac:dyDescent="0.25">
      <c r="A34" s="5" t="s">
        <v>25706</v>
      </c>
      <c r="B34" s="6">
        <v>421.875</v>
      </c>
      <c r="C34" s="6">
        <v>20.478950000000001</v>
      </c>
      <c r="D34" s="6">
        <v>78</v>
      </c>
      <c r="E34" s="6">
        <v>0</v>
      </c>
      <c r="F34" s="6">
        <v>0</v>
      </c>
      <c r="G34" s="6">
        <v>15</v>
      </c>
      <c r="H34" s="6" t="s">
        <v>25707</v>
      </c>
      <c r="I34" s="6">
        <v>535.5</v>
      </c>
      <c r="J34" s="2">
        <f t="shared" si="0"/>
        <v>43748.423861620373</v>
      </c>
    </row>
    <row r="35" spans="1:10" x14ac:dyDescent="0.25">
      <c r="A35" s="7" t="s">
        <v>25708</v>
      </c>
      <c r="B35" s="8">
        <v>425</v>
      </c>
      <c r="C35" s="8">
        <v>20.478950000000001</v>
      </c>
      <c r="D35" s="8">
        <v>78</v>
      </c>
      <c r="E35" s="8">
        <v>0</v>
      </c>
      <c r="F35" s="8">
        <v>0</v>
      </c>
      <c r="G35" s="8">
        <v>12</v>
      </c>
      <c r="H35" s="8" t="s">
        <v>25709</v>
      </c>
      <c r="I35" s="8">
        <v>536.25</v>
      </c>
      <c r="J35" s="3">
        <f t="shared" si="0"/>
        <v>43748.423945300929</v>
      </c>
    </row>
    <row r="36" spans="1:10" x14ac:dyDescent="0.25">
      <c r="A36" s="5" t="s">
        <v>25710</v>
      </c>
      <c r="B36" s="6">
        <v>425</v>
      </c>
      <c r="C36" s="6">
        <v>20.478950000000001</v>
      </c>
      <c r="D36" s="6">
        <v>79</v>
      </c>
      <c r="E36" s="6">
        <v>0</v>
      </c>
      <c r="F36" s="6">
        <v>0</v>
      </c>
      <c r="G36" s="6">
        <v>21</v>
      </c>
      <c r="H36" s="6" t="s">
        <v>25711</v>
      </c>
      <c r="I36" s="6">
        <v>536.25</v>
      </c>
      <c r="J36" s="2">
        <f t="shared" si="0"/>
        <v>43748.424040833335</v>
      </c>
    </row>
    <row r="37" spans="1:10" x14ac:dyDescent="0.25">
      <c r="A37" s="7" t="s">
        <v>25712</v>
      </c>
      <c r="B37" s="8">
        <v>425</v>
      </c>
      <c r="C37" s="8">
        <v>20.478950000000001</v>
      </c>
      <c r="D37" s="8">
        <v>78</v>
      </c>
      <c r="E37" s="8">
        <v>0</v>
      </c>
      <c r="F37" s="8">
        <v>0</v>
      </c>
      <c r="G37" s="8">
        <v>15</v>
      </c>
      <c r="H37" s="8" t="s">
        <v>25713</v>
      </c>
      <c r="I37" s="8">
        <v>536.4375</v>
      </c>
      <c r="J37" s="3">
        <f t="shared" si="0"/>
        <v>43748.424124062498</v>
      </c>
    </row>
    <row r="38" spans="1:10" x14ac:dyDescent="0.25">
      <c r="A38" s="5" t="s">
        <v>25714</v>
      </c>
      <c r="B38" s="6">
        <v>421.875</v>
      </c>
      <c r="C38" s="6">
        <v>20.478950000000001</v>
      </c>
      <c r="D38" s="6">
        <v>78</v>
      </c>
      <c r="E38" s="6">
        <v>0</v>
      </c>
      <c r="F38" s="6">
        <v>0</v>
      </c>
      <c r="G38" s="6">
        <v>4</v>
      </c>
      <c r="H38" s="6" t="s">
        <v>25715</v>
      </c>
      <c r="I38" s="6">
        <v>535.5</v>
      </c>
      <c r="J38" s="2">
        <f t="shared" si="0"/>
        <v>43748.424195613428</v>
      </c>
    </row>
    <row r="39" spans="1:10" x14ac:dyDescent="0.25">
      <c r="A39" s="7" t="s">
        <v>25716</v>
      </c>
      <c r="B39" s="8">
        <v>418.75</v>
      </c>
      <c r="C39" s="8">
        <v>20.478950000000001</v>
      </c>
      <c r="D39" s="8">
        <v>77</v>
      </c>
      <c r="E39" s="8">
        <v>0</v>
      </c>
      <c r="F39" s="8">
        <v>0</v>
      </c>
      <c r="G39" s="8">
        <v>16</v>
      </c>
      <c r="H39" s="8" t="s">
        <v>25717</v>
      </c>
      <c r="I39" s="8">
        <v>534.75</v>
      </c>
      <c r="J39" s="3">
        <f t="shared" si="0"/>
        <v>43748.424278807863</v>
      </c>
    </row>
    <row r="40" spans="1:10" x14ac:dyDescent="0.25">
      <c r="A40" s="5" t="s">
        <v>25718</v>
      </c>
      <c r="B40" s="6">
        <v>434.375</v>
      </c>
      <c r="C40" s="6">
        <v>20.478950000000001</v>
      </c>
      <c r="D40" s="6">
        <v>77</v>
      </c>
      <c r="E40" s="6">
        <v>0</v>
      </c>
      <c r="F40" s="6">
        <v>0</v>
      </c>
      <c r="G40" s="6">
        <v>11</v>
      </c>
      <c r="H40" s="6" t="s">
        <v>25719</v>
      </c>
      <c r="I40" s="6">
        <v>539.625</v>
      </c>
      <c r="J40" s="2">
        <f t="shared" si="0"/>
        <v>43748.424350347217</v>
      </c>
    </row>
    <row r="41" spans="1:10" x14ac:dyDescent="0.25">
      <c r="A41" s="7" t="s">
        <v>25720</v>
      </c>
      <c r="B41" s="8">
        <v>418.75</v>
      </c>
      <c r="C41" s="8">
        <v>20.478950000000001</v>
      </c>
      <c r="D41" s="8">
        <v>76</v>
      </c>
      <c r="E41" s="8">
        <v>0</v>
      </c>
      <c r="F41" s="8">
        <v>0</v>
      </c>
      <c r="G41" s="8">
        <v>14</v>
      </c>
      <c r="H41" s="8" t="s">
        <v>25721</v>
      </c>
      <c r="I41" s="8">
        <v>534</v>
      </c>
      <c r="J41" s="3">
        <f t="shared" si="0"/>
        <v>43748.42443446759</v>
      </c>
    </row>
    <row r="42" spans="1:10" x14ac:dyDescent="0.25">
      <c r="A42" s="5" t="s">
        <v>25722</v>
      </c>
      <c r="B42" s="6">
        <v>415.625</v>
      </c>
      <c r="C42" s="6">
        <v>20.478950000000001</v>
      </c>
      <c r="D42" s="6">
        <v>77</v>
      </c>
      <c r="E42" s="6">
        <v>0</v>
      </c>
      <c r="F42" s="6">
        <v>0</v>
      </c>
      <c r="G42" s="6">
        <v>14</v>
      </c>
      <c r="H42" s="6" t="s">
        <v>25723</v>
      </c>
      <c r="I42" s="6">
        <v>533.8125</v>
      </c>
      <c r="J42" s="2">
        <f t="shared" si="0"/>
        <v>43748.424505659721</v>
      </c>
    </row>
    <row r="43" spans="1:10" x14ac:dyDescent="0.25">
      <c r="A43" s="7" t="s">
        <v>25724</v>
      </c>
      <c r="B43" s="8">
        <v>415.625</v>
      </c>
      <c r="C43" s="8">
        <v>20.478950000000001</v>
      </c>
      <c r="D43" s="8">
        <v>76</v>
      </c>
      <c r="E43" s="8">
        <v>0</v>
      </c>
      <c r="F43" s="8">
        <v>0</v>
      </c>
      <c r="G43" s="8">
        <v>13</v>
      </c>
      <c r="H43" s="8" t="s">
        <v>25725</v>
      </c>
      <c r="I43" s="8">
        <v>533.8125</v>
      </c>
      <c r="J43" s="3">
        <f t="shared" si="0"/>
        <v>43748.424576979167</v>
      </c>
    </row>
    <row r="44" spans="1:10" x14ac:dyDescent="0.25">
      <c r="A44" s="5" t="s">
        <v>25726</v>
      </c>
      <c r="B44" s="6">
        <v>418.75</v>
      </c>
      <c r="C44" s="6">
        <v>20.478950000000001</v>
      </c>
      <c r="D44" s="6">
        <v>76</v>
      </c>
      <c r="E44" s="6">
        <v>0</v>
      </c>
      <c r="F44" s="6">
        <v>0</v>
      </c>
      <c r="G44" s="6">
        <v>9</v>
      </c>
      <c r="H44" s="6" t="s">
        <v>25727</v>
      </c>
      <c r="I44" s="6">
        <v>534.75</v>
      </c>
      <c r="J44" s="2">
        <f t="shared" si="0"/>
        <v>43748.424660416662</v>
      </c>
    </row>
    <row r="45" spans="1:10" x14ac:dyDescent="0.25">
      <c r="A45" s="7" t="s">
        <v>25728</v>
      </c>
      <c r="B45" s="8">
        <v>418.75</v>
      </c>
      <c r="C45" s="8">
        <v>20.478950000000001</v>
      </c>
      <c r="D45" s="8">
        <v>75</v>
      </c>
      <c r="E45" s="8">
        <v>0</v>
      </c>
      <c r="F45" s="8">
        <v>0</v>
      </c>
      <c r="G45" s="8">
        <v>14</v>
      </c>
      <c r="H45" s="8" t="s">
        <v>25729</v>
      </c>
      <c r="I45" s="8">
        <v>534.5625</v>
      </c>
      <c r="J45" s="3">
        <f t="shared" si="0"/>
        <v>43748.424744201388</v>
      </c>
    </row>
    <row r="46" spans="1:10" x14ac:dyDescent="0.25">
      <c r="A46" s="5" t="s">
        <v>25730</v>
      </c>
      <c r="B46" s="6">
        <v>440.625</v>
      </c>
      <c r="C46" s="6">
        <v>20.478950000000001</v>
      </c>
      <c r="D46" s="6">
        <v>76</v>
      </c>
      <c r="E46" s="6">
        <v>0</v>
      </c>
      <c r="F46" s="6">
        <v>0</v>
      </c>
      <c r="G46" s="6">
        <v>5</v>
      </c>
      <c r="H46" s="6" t="s">
        <v>25731</v>
      </c>
      <c r="I46" s="6">
        <v>541.125</v>
      </c>
      <c r="J46" s="2">
        <f t="shared" si="0"/>
        <v>43748.424827777773</v>
      </c>
    </row>
    <row r="47" spans="1:10" x14ac:dyDescent="0.25">
      <c r="A47" s="7" t="s">
        <v>25732</v>
      </c>
      <c r="B47" s="8">
        <v>425</v>
      </c>
      <c r="C47" s="8">
        <v>20.478950000000001</v>
      </c>
      <c r="D47" s="8">
        <v>76</v>
      </c>
      <c r="E47" s="8">
        <v>0</v>
      </c>
      <c r="F47" s="8">
        <v>0</v>
      </c>
      <c r="G47" s="8">
        <v>11</v>
      </c>
      <c r="H47" s="8" t="s">
        <v>25733</v>
      </c>
      <c r="I47" s="8">
        <v>536.25</v>
      </c>
      <c r="J47" s="3">
        <f t="shared" si="0"/>
        <v>43748.424899189813</v>
      </c>
    </row>
    <row r="48" spans="1:10" x14ac:dyDescent="0.25">
      <c r="A48" s="5" t="s">
        <v>25734</v>
      </c>
      <c r="B48" s="6">
        <v>425</v>
      </c>
      <c r="C48" s="6">
        <v>20.478950000000001</v>
      </c>
      <c r="D48" s="6">
        <v>75</v>
      </c>
      <c r="E48" s="6">
        <v>0</v>
      </c>
      <c r="F48" s="6">
        <v>0</v>
      </c>
      <c r="G48" s="6">
        <v>11</v>
      </c>
      <c r="H48" s="6" t="s">
        <v>25735</v>
      </c>
      <c r="I48" s="6">
        <v>536.25</v>
      </c>
      <c r="J48" s="2">
        <f t="shared" si="0"/>
        <v>43748.424982395831</v>
      </c>
    </row>
    <row r="49" spans="1:10" x14ac:dyDescent="0.25">
      <c r="A49" s="7" t="s">
        <v>25736</v>
      </c>
      <c r="B49" s="8">
        <v>428.125</v>
      </c>
      <c r="C49" s="8">
        <v>20.478950000000001</v>
      </c>
      <c r="D49" s="8">
        <v>75</v>
      </c>
      <c r="E49" s="8">
        <v>0</v>
      </c>
      <c r="F49" s="8">
        <v>0</v>
      </c>
      <c r="G49" s="8">
        <v>14</v>
      </c>
      <c r="H49" s="8" t="s">
        <v>25737</v>
      </c>
      <c r="I49" s="8">
        <v>537.1875</v>
      </c>
      <c r="J49" s="3">
        <f t="shared" si="0"/>
        <v>43748.425054166662</v>
      </c>
    </row>
    <row r="50" spans="1:10" x14ac:dyDescent="0.25">
      <c r="A50" s="5" t="s">
        <v>25738</v>
      </c>
      <c r="B50" s="6">
        <v>428.125</v>
      </c>
      <c r="C50" s="6">
        <v>20.478950000000001</v>
      </c>
      <c r="D50" s="6">
        <v>75</v>
      </c>
      <c r="E50" s="6">
        <v>0</v>
      </c>
      <c r="F50" s="6">
        <v>0</v>
      </c>
      <c r="G50" s="6">
        <v>16</v>
      </c>
      <c r="H50" s="6" t="s">
        <v>25739</v>
      </c>
      <c r="I50" s="6">
        <v>537.1875</v>
      </c>
      <c r="J50" s="2">
        <f t="shared" si="0"/>
        <v>43748.42512565972</v>
      </c>
    </row>
    <row r="51" spans="1:10" x14ac:dyDescent="0.25">
      <c r="A51" s="7" t="s">
        <v>25740</v>
      </c>
      <c r="B51" s="8">
        <v>428.125</v>
      </c>
      <c r="C51" s="8">
        <v>20.478950000000001</v>
      </c>
      <c r="D51" s="8">
        <v>75</v>
      </c>
      <c r="E51" s="8">
        <v>0</v>
      </c>
      <c r="F51" s="8">
        <v>0</v>
      </c>
      <c r="G51" s="8">
        <v>13</v>
      </c>
      <c r="H51" s="8" t="s">
        <v>25741</v>
      </c>
      <c r="I51" s="8">
        <v>537</v>
      </c>
      <c r="J51" s="3">
        <f t="shared" si="0"/>
        <v>43748.425209351852</v>
      </c>
    </row>
    <row r="52" spans="1:10" x14ac:dyDescent="0.25">
      <c r="A52" s="5" t="s">
        <v>25742</v>
      </c>
      <c r="B52" s="6">
        <v>446.875</v>
      </c>
      <c r="C52" s="6">
        <v>20.478950000000001</v>
      </c>
      <c r="D52" s="6">
        <v>75</v>
      </c>
      <c r="E52" s="6">
        <v>0</v>
      </c>
      <c r="F52" s="6">
        <v>0</v>
      </c>
      <c r="G52" s="6">
        <v>10</v>
      </c>
      <c r="H52" s="6" t="s">
        <v>25743</v>
      </c>
      <c r="I52" s="6">
        <v>543.9375</v>
      </c>
      <c r="J52" s="2">
        <f t="shared" si="0"/>
        <v>43748.425280937496</v>
      </c>
    </row>
    <row r="53" spans="1:10" x14ac:dyDescent="0.25">
      <c r="A53" s="7" t="s">
        <v>25744</v>
      </c>
      <c r="B53" s="8">
        <v>428.125</v>
      </c>
      <c r="C53" s="8">
        <v>20.478950000000001</v>
      </c>
      <c r="D53" s="8">
        <v>75</v>
      </c>
      <c r="E53" s="8">
        <v>0</v>
      </c>
      <c r="F53" s="8">
        <v>0</v>
      </c>
      <c r="G53" s="8">
        <v>8</v>
      </c>
      <c r="H53" s="8" t="s">
        <v>25745</v>
      </c>
      <c r="I53" s="8">
        <v>537.1875</v>
      </c>
      <c r="J53" s="3">
        <f t="shared" si="0"/>
        <v>43748.42536400463</v>
      </c>
    </row>
    <row r="54" spans="1:10" x14ac:dyDescent="0.25">
      <c r="A54" s="5" t="s">
        <v>25746</v>
      </c>
      <c r="B54" s="6">
        <v>425</v>
      </c>
      <c r="C54" s="6">
        <v>20.478950000000001</v>
      </c>
      <c r="D54" s="6">
        <v>75</v>
      </c>
      <c r="E54" s="6">
        <v>0</v>
      </c>
      <c r="F54" s="6">
        <v>0</v>
      </c>
      <c r="G54" s="6">
        <v>10</v>
      </c>
      <c r="H54" s="6" t="s">
        <v>25747</v>
      </c>
      <c r="I54" s="6">
        <v>536.25</v>
      </c>
      <c r="J54" s="2">
        <f t="shared" si="0"/>
        <v>43748.425435648147</v>
      </c>
    </row>
    <row r="55" spans="1:10" x14ac:dyDescent="0.25">
      <c r="A55" s="7" t="s">
        <v>25748</v>
      </c>
      <c r="B55" s="8">
        <v>425</v>
      </c>
      <c r="C55" s="8">
        <v>20.478950000000001</v>
      </c>
      <c r="D55" s="8">
        <v>76</v>
      </c>
      <c r="E55" s="8">
        <v>0</v>
      </c>
      <c r="F55" s="8">
        <v>0</v>
      </c>
      <c r="G55" s="8">
        <v>13</v>
      </c>
      <c r="H55" s="8" t="s">
        <v>25749</v>
      </c>
      <c r="I55" s="8">
        <v>536.25</v>
      </c>
      <c r="J55" s="3">
        <f t="shared" si="0"/>
        <v>43748.425519432865</v>
      </c>
    </row>
    <row r="56" spans="1:10" x14ac:dyDescent="0.25">
      <c r="A56" s="5" t="s">
        <v>25750</v>
      </c>
      <c r="B56" s="6">
        <v>425</v>
      </c>
      <c r="C56" s="6">
        <v>20.478950000000001</v>
      </c>
      <c r="D56" s="6">
        <v>75</v>
      </c>
      <c r="E56" s="6">
        <v>0</v>
      </c>
      <c r="F56" s="6">
        <v>0</v>
      </c>
      <c r="G56" s="6">
        <v>12</v>
      </c>
      <c r="H56" s="6" t="s">
        <v>25751</v>
      </c>
      <c r="I56" s="6">
        <v>536.25</v>
      </c>
      <c r="J56" s="2">
        <f t="shared" si="0"/>
        <v>43748.425602870368</v>
      </c>
    </row>
    <row r="57" spans="1:10" x14ac:dyDescent="0.25">
      <c r="A57" s="7" t="s">
        <v>25752</v>
      </c>
      <c r="B57" s="8">
        <v>425</v>
      </c>
      <c r="C57" s="8">
        <v>20.478950000000001</v>
      </c>
      <c r="D57" s="8">
        <v>75</v>
      </c>
      <c r="E57" s="8">
        <v>0</v>
      </c>
      <c r="F57" s="8">
        <v>0</v>
      </c>
      <c r="G57" s="8">
        <v>2</v>
      </c>
      <c r="H57" s="8" t="s">
        <v>25753</v>
      </c>
      <c r="I57" s="8">
        <v>536.4375</v>
      </c>
      <c r="J57" s="3">
        <f t="shared" si="0"/>
        <v>43748.425686122682</v>
      </c>
    </row>
    <row r="58" spans="1:10" x14ac:dyDescent="0.25">
      <c r="A58" s="5" t="s">
        <v>25754</v>
      </c>
      <c r="B58" s="6">
        <v>425</v>
      </c>
      <c r="C58" s="6">
        <v>20.478950000000001</v>
      </c>
      <c r="D58" s="6">
        <v>75</v>
      </c>
      <c r="E58" s="6">
        <v>0</v>
      </c>
      <c r="F58" s="6">
        <v>0</v>
      </c>
      <c r="G58" s="6">
        <v>12</v>
      </c>
      <c r="H58" s="6" t="s">
        <v>25755</v>
      </c>
      <c r="I58" s="6">
        <v>536.4375</v>
      </c>
      <c r="J58" s="2">
        <f t="shared" si="0"/>
        <v>43748.425758449077</v>
      </c>
    </row>
    <row r="59" spans="1:10" x14ac:dyDescent="0.25">
      <c r="A59" s="7" t="s">
        <v>25756</v>
      </c>
      <c r="B59" s="8">
        <v>425</v>
      </c>
      <c r="C59" s="8">
        <v>20.426300000000001</v>
      </c>
      <c r="D59" s="8">
        <v>74</v>
      </c>
      <c r="E59" s="8">
        <v>0</v>
      </c>
      <c r="F59" s="8">
        <v>0</v>
      </c>
      <c r="G59" s="8">
        <v>24</v>
      </c>
      <c r="H59" s="8" t="s">
        <v>25757</v>
      </c>
      <c r="I59" s="8">
        <v>536.4375</v>
      </c>
      <c r="J59" s="3">
        <f t="shared" si="0"/>
        <v>43748.425841446755</v>
      </c>
    </row>
    <row r="60" spans="1:10" x14ac:dyDescent="0.25">
      <c r="A60" s="5" t="s">
        <v>25758</v>
      </c>
      <c r="B60" s="6">
        <v>425</v>
      </c>
      <c r="C60" s="6">
        <v>20.478950000000001</v>
      </c>
      <c r="D60" s="6">
        <v>73</v>
      </c>
      <c r="E60" s="6">
        <v>0</v>
      </c>
      <c r="F60" s="6">
        <v>0</v>
      </c>
      <c r="G60" s="6">
        <v>12</v>
      </c>
      <c r="H60" s="6" t="s">
        <v>25759</v>
      </c>
      <c r="I60" s="6">
        <v>536.25</v>
      </c>
      <c r="J60" s="2">
        <f t="shared" si="0"/>
        <v>43748.425924895833</v>
      </c>
    </row>
    <row r="61" spans="1:10" x14ac:dyDescent="0.25">
      <c r="A61" s="7" t="s">
        <v>25760</v>
      </c>
      <c r="B61" s="8">
        <v>421.875</v>
      </c>
      <c r="C61" s="8">
        <v>20.478950000000001</v>
      </c>
      <c r="D61" s="8">
        <v>73</v>
      </c>
      <c r="E61" s="8">
        <v>0</v>
      </c>
      <c r="F61" s="8">
        <v>0</v>
      </c>
      <c r="G61" s="8">
        <v>9</v>
      </c>
      <c r="H61" s="8" t="s">
        <v>25761</v>
      </c>
      <c r="I61" s="8">
        <v>535.5</v>
      </c>
      <c r="J61" s="3">
        <f t="shared" si="0"/>
        <v>43748.42600832176</v>
      </c>
    </row>
    <row r="62" spans="1:10" x14ac:dyDescent="0.25">
      <c r="A62" s="5" t="s">
        <v>25762</v>
      </c>
      <c r="B62" s="6">
        <v>421.875</v>
      </c>
      <c r="C62" s="6">
        <v>20.478950000000001</v>
      </c>
      <c r="D62" s="6">
        <v>73</v>
      </c>
      <c r="E62" s="6">
        <v>0</v>
      </c>
      <c r="F62" s="6">
        <v>0</v>
      </c>
      <c r="G62" s="6">
        <v>21</v>
      </c>
      <c r="H62" s="6" t="s">
        <v>25763</v>
      </c>
      <c r="I62" s="6">
        <v>535.5</v>
      </c>
      <c r="J62" s="2">
        <f t="shared" si="0"/>
        <v>43748.426091898145</v>
      </c>
    </row>
    <row r="63" spans="1:10" x14ac:dyDescent="0.25">
      <c r="A63" s="7" t="s">
        <v>25764</v>
      </c>
      <c r="B63" s="8">
        <v>421.875</v>
      </c>
      <c r="C63" s="8">
        <v>20.478950000000001</v>
      </c>
      <c r="D63" s="8">
        <v>73</v>
      </c>
      <c r="E63" s="8">
        <v>0</v>
      </c>
      <c r="F63" s="8">
        <v>0</v>
      </c>
      <c r="G63" s="8">
        <v>15</v>
      </c>
      <c r="H63" s="8" t="s">
        <v>25765</v>
      </c>
      <c r="I63" s="8">
        <v>535.5</v>
      </c>
      <c r="J63" s="3">
        <f t="shared" si="0"/>
        <v>43748.426175023145</v>
      </c>
    </row>
    <row r="64" spans="1:10" x14ac:dyDescent="0.25">
      <c r="A64" s="5" t="s">
        <v>25766</v>
      </c>
      <c r="B64" s="6">
        <v>421.875</v>
      </c>
      <c r="C64" s="6">
        <v>20.478950000000001</v>
      </c>
      <c r="D64" s="6">
        <v>73</v>
      </c>
      <c r="E64" s="6">
        <v>0</v>
      </c>
      <c r="F64" s="6">
        <v>0</v>
      </c>
      <c r="G64" s="6">
        <v>10</v>
      </c>
      <c r="H64" s="6" t="s">
        <v>25767</v>
      </c>
      <c r="I64" s="6">
        <v>535.5</v>
      </c>
      <c r="J64" s="2">
        <f t="shared" si="0"/>
        <v>43748.426246747687</v>
      </c>
    </row>
    <row r="65" spans="1:10" x14ac:dyDescent="0.25">
      <c r="A65" s="7" t="s">
        <v>25768</v>
      </c>
      <c r="B65" s="8">
        <v>421.875</v>
      </c>
      <c r="C65" s="8">
        <v>20.478950000000001</v>
      </c>
      <c r="D65" s="8">
        <v>75</v>
      </c>
      <c r="E65" s="8">
        <v>0</v>
      </c>
      <c r="F65" s="8">
        <v>0</v>
      </c>
      <c r="G65" s="8">
        <v>14</v>
      </c>
      <c r="H65" s="8" t="s">
        <v>25769</v>
      </c>
      <c r="I65" s="8">
        <v>535.5</v>
      </c>
      <c r="J65" s="3">
        <f t="shared" si="0"/>
        <v>43748.426330532406</v>
      </c>
    </row>
    <row r="66" spans="1:10" x14ac:dyDescent="0.25">
      <c r="A66" s="5" t="s">
        <v>25770</v>
      </c>
      <c r="B66" s="6">
        <v>418.75</v>
      </c>
      <c r="C66" s="6">
        <v>20.478950000000001</v>
      </c>
      <c r="D66" s="6">
        <v>75</v>
      </c>
      <c r="E66" s="6">
        <v>0</v>
      </c>
      <c r="F66" s="6">
        <v>0</v>
      </c>
      <c r="G66" s="6">
        <v>10</v>
      </c>
      <c r="H66" s="6" t="s">
        <v>25771</v>
      </c>
      <c r="I66" s="6">
        <v>534</v>
      </c>
      <c r="J66" s="2">
        <f t="shared" ref="J66:J129" si="1">(H66/86400000)+25569+(7/24)</f>
        <v>43748.426425891201</v>
      </c>
    </row>
    <row r="67" spans="1:10" x14ac:dyDescent="0.25">
      <c r="A67" s="7" t="s">
        <v>25772</v>
      </c>
      <c r="B67" s="8">
        <v>415.625</v>
      </c>
      <c r="C67" s="8">
        <v>20.478950000000001</v>
      </c>
      <c r="D67" s="8">
        <v>81</v>
      </c>
      <c r="E67" s="8">
        <v>0</v>
      </c>
      <c r="F67" s="8">
        <v>0</v>
      </c>
      <c r="G67" s="8">
        <v>13</v>
      </c>
      <c r="H67" s="8" t="s">
        <v>25773</v>
      </c>
      <c r="I67" s="8">
        <v>533.8125</v>
      </c>
      <c r="J67" s="3">
        <f t="shared" si="1"/>
        <v>43748.426509247678</v>
      </c>
    </row>
    <row r="68" spans="1:10" x14ac:dyDescent="0.25">
      <c r="A68" s="5" t="s">
        <v>25774</v>
      </c>
      <c r="B68" s="6">
        <v>418.75</v>
      </c>
      <c r="C68" s="6">
        <v>20.478950000000001</v>
      </c>
      <c r="D68" s="6">
        <v>80</v>
      </c>
      <c r="E68" s="6">
        <v>0</v>
      </c>
      <c r="F68" s="6">
        <v>0</v>
      </c>
      <c r="G68" s="6">
        <v>10</v>
      </c>
      <c r="H68" s="6" t="s">
        <v>25775</v>
      </c>
      <c r="I68" s="6">
        <v>534</v>
      </c>
      <c r="J68" s="2">
        <f t="shared" si="1"/>
        <v>43748.426580891202</v>
      </c>
    </row>
    <row r="69" spans="1:10" x14ac:dyDescent="0.25">
      <c r="A69" s="7" t="s">
        <v>25776</v>
      </c>
      <c r="B69" s="8">
        <v>415.625</v>
      </c>
      <c r="C69" s="8">
        <v>20.478950000000001</v>
      </c>
      <c r="D69" s="8">
        <v>78</v>
      </c>
      <c r="E69" s="8">
        <v>0</v>
      </c>
      <c r="F69" s="8">
        <v>0</v>
      </c>
      <c r="G69" s="8">
        <v>17</v>
      </c>
      <c r="H69" s="8" t="s">
        <v>25777</v>
      </c>
      <c r="I69" s="8">
        <v>533.8125</v>
      </c>
      <c r="J69" s="3">
        <f t="shared" si="1"/>
        <v>43748.426679178236</v>
      </c>
    </row>
    <row r="70" spans="1:10" x14ac:dyDescent="0.25">
      <c r="A70" s="5" t="s">
        <v>25778</v>
      </c>
      <c r="B70" s="6">
        <v>418.75</v>
      </c>
      <c r="C70" s="6">
        <v>20.478950000000001</v>
      </c>
      <c r="D70" s="6">
        <v>77</v>
      </c>
      <c r="E70" s="6">
        <v>0</v>
      </c>
      <c r="F70" s="6">
        <v>0</v>
      </c>
      <c r="G70" s="6">
        <v>8</v>
      </c>
      <c r="H70" s="6" t="s">
        <v>25779</v>
      </c>
      <c r="I70" s="6">
        <v>534</v>
      </c>
      <c r="J70" s="2">
        <f t="shared" si="1"/>
        <v>43748.426759652772</v>
      </c>
    </row>
    <row r="71" spans="1:10" x14ac:dyDescent="0.25">
      <c r="A71" s="7" t="s">
        <v>25780</v>
      </c>
      <c r="B71" s="8">
        <v>418.75</v>
      </c>
      <c r="C71" s="8">
        <v>20.478950000000001</v>
      </c>
      <c r="D71" s="8">
        <v>77</v>
      </c>
      <c r="E71" s="8">
        <v>0</v>
      </c>
      <c r="F71" s="8">
        <v>0</v>
      </c>
      <c r="G71" s="8">
        <v>8</v>
      </c>
      <c r="H71" s="8" t="s">
        <v>25781</v>
      </c>
      <c r="I71" s="8">
        <v>534.5625</v>
      </c>
      <c r="J71" s="3">
        <f t="shared" si="1"/>
        <v>43748.42684310185</v>
      </c>
    </row>
    <row r="72" spans="1:10" x14ac:dyDescent="0.25">
      <c r="A72" s="5" t="s">
        <v>25782</v>
      </c>
      <c r="B72" s="6">
        <v>418.75</v>
      </c>
      <c r="C72" s="6">
        <v>20.478950000000001</v>
      </c>
      <c r="D72" s="6">
        <v>76</v>
      </c>
      <c r="E72" s="6">
        <v>0</v>
      </c>
      <c r="F72" s="6">
        <v>0</v>
      </c>
      <c r="G72" s="6">
        <v>5</v>
      </c>
      <c r="H72" s="6" t="s">
        <v>25783</v>
      </c>
      <c r="I72" s="6">
        <v>534.75</v>
      </c>
      <c r="J72" s="2">
        <f t="shared" si="1"/>
        <v>43748.426927083332</v>
      </c>
    </row>
    <row r="73" spans="1:10" x14ac:dyDescent="0.25">
      <c r="A73" s="7" t="s">
        <v>25784</v>
      </c>
      <c r="B73" s="8">
        <v>418.75</v>
      </c>
      <c r="C73" s="8">
        <v>20.478950000000001</v>
      </c>
      <c r="D73" s="8">
        <v>76</v>
      </c>
      <c r="E73" s="8">
        <v>0</v>
      </c>
      <c r="F73" s="8">
        <v>0</v>
      </c>
      <c r="G73" s="8">
        <v>15</v>
      </c>
      <c r="H73" s="8" t="s">
        <v>25785</v>
      </c>
      <c r="I73" s="8">
        <v>534.75</v>
      </c>
      <c r="J73" s="3">
        <f t="shared" si="1"/>
        <v>43748.427010219901</v>
      </c>
    </row>
    <row r="74" spans="1:10" x14ac:dyDescent="0.25">
      <c r="A74" s="5" t="s">
        <v>25786</v>
      </c>
      <c r="B74" s="6">
        <v>440.625</v>
      </c>
      <c r="C74" s="6">
        <v>20.478950000000001</v>
      </c>
      <c r="D74" s="6">
        <v>76</v>
      </c>
      <c r="E74" s="6">
        <v>0</v>
      </c>
      <c r="F74" s="6">
        <v>0</v>
      </c>
      <c r="G74" s="6">
        <v>9</v>
      </c>
      <c r="H74" s="6" t="s">
        <v>25787</v>
      </c>
      <c r="I74" s="6">
        <v>541.125</v>
      </c>
      <c r="J74" s="2">
        <f t="shared" si="1"/>
        <v>43748.427093553233</v>
      </c>
    </row>
    <row r="75" spans="1:10" x14ac:dyDescent="0.25">
      <c r="A75" s="7" t="s">
        <v>25788</v>
      </c>
      <c r="B75" s="8">
        <v>421.875</v>
      </c>
      <c r="C75" s="8">
        <v>20.478950000000001</v>
      </c>
      <c r="D75" s="8">
        <v>73</v>
      </c>
      <c r="E75" s="8">
        <v>0</v>
      </c>
      <c r="F75" s="8">
        <v>0</v>
      </c>
      <c r="G75" s="8">
        <v>10</v>
      </c>
      <c r="H75" s="8" t="s">
        <v>25789</v>
      </c>
      <c r="I75" s="8">
        <v>535.5</v>
      </c>
      <c r="J75" s="3">
        <f t="shared" si="1"/>
        <v>43748.427177129626</v>
      </c>
    </row>
    <row r="76" spans="1:10" x14ac:dyDescent="0.25">
      <c r="A76" s="5" t="s">
        <v>25790</v>
      </c>
      <c r="B76" s="6">
        <v>421.875</v>
      </c>
      <c r="C76" s="6">
        <v>20.478950000000001</v>
      </c>
      <c r="D76" s="6">
        <v>74</v>
      </c>
      <c r="E76" s="6">
        <v>0</v>
      </c>
      <c r="F76" s="6">
        <v>0</v>
      </c>
      <c r="G76" s="6">
        <v>6</v>
      </c>
      <c r="H76" s="6" t="s">
        <v>25791</v>
      </c>
      <c r="I76" s="6">
        <v>535.5</v>
      </c>
      <c r="J76" s="2">
        <f t="shared" si="1"/>
        <v>43748.427260324075</v>
      </c>
    </row>
    <row r="77" spans="1:10" x14ac:dyDescent="0.25">
      <c r="A77" s="7" t="s">
        <v>25792</v>
      </c>
      <c r="B77" s="8">
        <v>428.125</v>
      </c>
      <c r="C77" s="8">
        <v>20.478950000000001</v>
      </c>
      <c r="D77" s="8">
        <v>74</v>
      </c>
      <c r="E77" s="8">
        <v>0</v>
      </c>
      <c r="F77" s="8">
        <v>0</v>
      </c>
      <c r="G77" s="8">
        <v>13</v>
      </c>
      <c r="H77" s="8" t="s">
        <v>25793</v>
      </c>
      <c r="I77" s="8">
        <v>537.1875</v>
      </c>
      <c r="J77" s="3">
        <f t="shared" si="1"/>
        <v>43748.427332210646</v>
      </c>
    </row>
    <row r="78" spans="1:10" x14ac:dyDescent="0.25">
      <c r="A78" s="5" t="s">
        <v>25794</v>
      </c>
      <c r="B78" s="6">
        <v>428.125</v>
      </c>
      <c r="C78" s="6">
        <v>20.478950000000001</v>
      </c>
      <c r="D78" s="6">
        <v>74</v>
      </c>
      <c r="E78" s="6">
        <v>0</v>
      </c>
      <c r="F78" s="6">
        <v>0</v>
      </c>
      <c r="G78" s="6">
        <v>2</v>
      </c>
      <c r="H78" s="6" t="s">
        <v>25795</v>
      </c>
      <c r="I78" s="6">
        <v>537.1875</v>
      </c>
      <c r="J78" s="2">
        <f t="shared" si="1"/>
        <v>43748.427415763887</v>
      </c>
    </row>
    <row r="79" spans="1:10" x14ac:dyDescent="0.25">
      <c r="A79" s="7" t="s">
        <v>25796</v>
      </c>
      <c r="B79" s="8">
        <v>428.125</v>
      </c>
      <c r="C79" s="8">
        <v>20.478950000000001</v>
      </c>
      <c r="D79" s="8">
        <v>74</v>
      </c>
      <c r="E79" s="8">
        <v>0</v>
      </c>
      <c r="F79" s="8">
        <v>0</v>
      </c>
      <c r="G79" s="8">
        <v>13</v>
      </c>
      <c r="H79" s="8" t="s">
        <v>25797</v>
      </c>
      <c r="I79" s="8">
        <v>537.1875</v>
      </c>
      <c r="J79" s="3">
        <f t="shared" si="1"/>
        <v>43748.427487291665</v>
      </c>
    </row>
    <row r="80" spans="1:10" x14ac:dyDescent="0.25">
      <c r="A80" s="5" t="s">
        <v>25798</v>
      </c>
      <c r="B80" s="6">
        <v>428.125</v>
      </c>
      <c r="C80" s="6">
        <v>20.478950000000001</v>
      </c>
      <c r="D80" s="6">
        <v>73</v>
      </c>
      <c r="E80" s="6">
        <v>0</v>
      </c>
      <c r="F80" s="6">
        <v>0</v>
      </c>
      <c r="G80" s="6">
        <v>5</v>
      </c>
      <c r="H80" s="6" t="s">
        <v>25799</v>
      </c>
      <c r="I80" s="6">
        <v>537.9375</v>
      </c>
      <c r="J80" s="2">
        <f t="shared" si="1"/>
        <v>43748.427570787033</v>
      </c>
    </row>
    <row r="81" spans="1:10" x14ac:dyDescent="0.25">
      <c r="A81" s="7" t="s">
        <v>25800</v>
      </c>
      <c r="B81" s="8">
        <v>428.125</v>
      </c>
      <c r="C81" s="8">
        <v>20.478950000000001</v>
      </c>
      <c r="D81" s="8">
        <v>72</v>
      </c>
      <c r="E81" s="8">
        <v>0</v>
      </c>
      <c r="F81" s="8">
        <v>0</v>
      </c>
      <c r="G81" s="8">
        <v>6</v>
      </c>
      <c r="H81" s="8" t="s">
        <v>25801</v>
      </c>
      <c r="I81" s="8">
        <v>537.9375</v>
      </c>
      <c r="J81" s="3">
        <f t="shared" si="1"/>
        <v>43748.427654212959</v>
      </c>
    </row>
    <row r="82" spans="1:10" x14ac:dyDescent="0.25">
      <c r="A82" s="5" t="s">
        <v>25802</v>
      </c>
      <c r="B82" s="6">
        <v>428.125</v>
      </c>
      <c r="C82" s="6">
        <v>20.478950000000001</v>
      </c>
      <c r="D82" s="6">
        <v>72</v>
      </c>
      <c r="E82" s="6">
        <v>0</v>
      </c>
      <c r="F82" s="6">
        <v>0</v>
      </c>
      <c r="G82" s="6">
        <v>13</v>
      </c>
      <c r="H82" s="6" t="s">
        <v>25803</v>
      </c>
      <c r="I82" s="6">
        <v>537.1875</v>
      </c>
      <c r="J82" s="2">
        <f t="shared" si="1"/>
        <v>43748.427737662038</v>
      </c>
    </row>
    <row r="83" spans="1:10" x14ac:dyDescent="0.25">
      <c r="A83" s="7" t="s">
        <v>25804</v>
      </c>
      <c r="B83" s="8">
        <v>425</v>
      </c>
      <c r="C83" s="8">
        <v>20.478950000000001</v>
      </c>
      <c r="D83" s="8">
        <v>73</v>
      </c>
      <c r="E83" s="8">
        <v>0</v>
      </c>
      <c r="F83" s="8">
        <v>0</v>
      </c>
      <c r="G83" s="8">
        <v>10</v>
      </c>
      <c r="H83" s="8" t="s">
        <v>25805</v>
      </c>
      <c r="I83" s="8">
        <v>536.25</v>
      </c>
      <c r="J83" s="3">
        <f t="shared" si="1"/>
        <v>43748.427835960647</v>
      </c>
    </row>
    <row r="84" spans="1:10" x14ac:dyDescent="0.25">
      <c r="A84" s="5" t="s">
        <v>25806</v>
      </c>
      <c r="B84" s="6">
        <v>421.875</v>
      </c>
      <c r="C84" s="6">
        <v>20.478950000000001</v>
      </c>
      <c r="D84" s="6">
        <v>75</v>
      </c>
      <c r="E84" s="6">
        <v>0</v>
      </c>
      <c r="F84" s="6">
        <v>0</v>
      </c>
      <c r="G84" s="6">
        <v>18</v>
      </c>
      <c r="H84" s="6" t="s">
        <v>25807</v>
      </c>
      <c r="I84" s="6">
        <v>535.5</v>
      </c>
      <c r="J84" s="2">
        <f t="shared" si="1"/>
        <v>43748.427916574066</v>
      </c>
    </row>
    <row r="85" spans="1:10" x14ac:dyDescent="0.25">
      <c r="A85" s="7" t="s">
        <v>25808</v>
      </c>
      <c r="B85" s="8">
        <v>421.875</v>
      </c>
      <c r="C85" s="8">
        <v>20.478950000000001</v>
      </c>
      <c r="D85" s="8">
        <v>74</v>
      </c>
      <c r="E85" s="8">
        <v>0</v>
      </c>
      <c r="F85" s="8">
        <v>0</v>
      </c>
      <c r="G85" s="8">
        <v>9</v>
      </c>
      <c r="H85" s="8" t="s">
        <v>25809</v>
      </c>
      <c r="I85" s="8">
        <v>535.5</v>
      </c>
      <c r="J85" s="3">
        <f t="shared" si="1"/>
        <v>43748.427988113421</v>
      </c>
    </row>
    <row r="86" spans="1:10" x14ac:dyDescent="0.25">
      <c r="A86" s="5" t="s">
        <v>25810</v>
      </c>
      <c r="B86" s="6">
        <v>421.875</v>
      </c>
      <c r="C86" s="6">
        <v>20.478950000000001</v>
      </c>
      <c r="D86" s="6">
        <v>74</v>
      </c>
      <c r="E86" s="6">
        <v>0</v>
      </c>
      <c r="F86" s="6">
        <v>0</v>
      </c>
      <c r="G86" s="6">
        <v>11</v>
      </c>
      <c r="H86" s="6" t="s">
        <v>25811</v>
      </c>
      <c r="I86" s="6">
        <v>535.5</v>
      </c>
      <c r="J86" s="2">
        <f t="shared" si="1"/>
        <v>43748.42808424768</v>
      </c>
    </row>
    <row r="87" spans="1:10" x14ac:dyDescent="0.25">
      <c r="A87" s="7" t="s">
        <v>25812</v>
      </c>
      <c r="B87" s="8">
        <v>421.875</v>
      </c>
      <c r="C87" s="8">
        <v>20.478950000000001</v>
      </c>
      <c r="D87" s="8">
        <v>74</v>
      </c>
      <c r="E87" s="8">
        <v>0</v>
      </c>
      <c r="F87" s="8">
        <v>0</v>
      </c>
      <c r="G87" s="8">
        <v>12</v>
      </c>
      <c r="H87" s="8" t="s">
        <v>25813</v>
      </c>
      <c r="I87" s="8">
        <v>535.5</v>
      </c>
      <c r="J87" s="3">
        <f t="shared" si="1"/>
        <v>43748.428167037033</v>
      </c>
    </row>
    <row r="88" spans="1:10" x14ac:dyDescent="0.25">
      <c r="A88" s="5" t="s">
        <v>25814</v>
      </c>
      <c r="B88" s="6">
        <v>421.875</v>
      </c>
      <c r="C88" s="6">
        <v>20.478950000000001</v>
      </c>
      <c r="D88" s="6">
        <v>74</v>
      </c>
      <c r="E88" s="6">
        <v>0</v>
      </c>
      <c r="F88" s="6">
        <v>0</v>
      </c>
      <c r="G88" s="6">
        <v>9</v>
      </c>
      <c r="H88" s="6" t="s">
        <v>25815</v>
      </c>
      <c r="I88" s="6">
        <v>535.5</v>
      </c>
      <c r="J88" s="2">
        <f t="shared" si="1"/>
        <v>43748.42825049768</v>
      </c>
    </row>
    <row r="89" spans="1:10" x14ac:dyDescent="0.25">
      <c r="A89" s="7" t="s">
        <v>25816</v>
      </c>
      <c r="B89" s="8">
        <v>421.875</v>
      </c>
      <c r="C89" s="8">
        <v>20.478950000000001</v>
      </c>
      <c r="D89" s="8">
        <v>74</v>
      </c>
      <c r="E89" s="8">
        <v>0</v>
      </c>
      <c r="F89" s="8">
        <v>0</v>
      </c>
      <c r="G89" s="8">
        <v>4</v>
      </c>
      <c r="H89" s="8" t="s">
        <v>25817</v>
      </c>
      <c r="I89" s="8">
        <v>535.5</v>
      </c>
      <c r="J89" s="3">
        <f t="shared" si="1"/>
        <v>43748.428334050921</v>
      </c>
    </row>
    <row r="90" spans="1:10" x14ac:dyDescent="0.25">
      <c r="A90" s="5" t="s">
        <v>25818</v>
      </c>
      <c r="B90" s="6">
        <v>421.875</v>
      </c>
      <c r="C90" s="6">
        <v>20.478950000000001</v>
      </c>
      <c r="D90" s="6">
        <v>73</v>
      </c>
      <c r="E90" s="6">
        <v>0</v>
      </c>
      <c r="F90" s="6">
        <v>0</v>
      </c>
      <c r="G90" s="6">
        <v>4</v>
      </c>
      <c r="H90" s="6" t="s">
        <v>25819</v>
      </c>
      <c r="I90" s="6">
        <v>535.5</v>
      </c>
      <c r="J90" s="2">
        <f t="shared" si="1"/>
        <v>43748.428417557872</v>
      </c>
    </row>
    <row r="91" spans="1:10" x14ac:dyDescent="0.25">
      <c r="A91" s="7" t="s">
        <v>25820</v>
      </c>
      <c r="B91" s="8">
        <v>421.875</v>
      </c>
      <c r="C91" s="8">
        <v>20.478950000000001</v>
      </c>
      <c r="D91" s="8">
        <v>73</v>
      </c>
      <c r="E91" s="8">
        <v>0</v>
      </c>
      <c r="F91" s="8">
        <v>0</v>
      </c>
      <c r="G91" s="8">
        <v>6</v>
      </c>
      <c r="H91" s="8" t="s">
        <v>25821</v>
      </c>
      <c r="I91" s="8">
        <v>535.5</v>
      </c>
      <c r="J91" s="3">
        <f t="shared" si="1"/>
        <v>43748.42850094907</v>
      </c>
    </row>
    <row r="92" spans="1:10" x14ac:dyDescent="0.25">
      <c r="A92" s="5" t="s">
        <v>25822</v>
      </c>
      <c r="B92" s="6">
        <v>421.875</v>
      </c>
      <c r="C92" s="6">
        <v>20.478950000000001</v>
      </c>
      <c r="D92" s="6">
        <v>73</v>
      </c>
      <c r="E92" s="6">
        <v>0</v>
      </c>
      <c r="F92" s="6">
        <v>0</v>
      </c>
      <c r="G92" s="6">
        <v>11</v>
      </c>
      <c r="H92" s="6" t="s">
        <v>25823</v>
      </c>
      <c r="I92" s="6">
        <v>535.5</v>
      </c>
      <c r="J92" s="2">
        <f t="shared" si="1"/>
        <v>43748.428584421294</v>
      </c>
    </row>
    <row r="93" spans="1:10" x14ac:dyDescent="0.25">
      <c r="A93" s="7" t="s">
        <v>25824</v>
      </c>
      <c r="B93" s="8">
        <v>440.625</v>
      </c>
      <c r="C93" s="8">
        <v>20.478950000000001</v>
      </c>
      <c r="D93" s="8">
        <v>73</v>
      </c>
      <c r="E93" s="8">
        <v>0</v>
      </c>
      <c r="F93" s="8">
        <v>0</v>
      </c>
      <c r="G93" s="8">
        <v>16</v>
      </c>
      <c r="H93" s="8" t="s">
        <v>25825</v>
      </c>
      <c r="I93" s="8">
        <v>541.3125</v>
      </c>
      <c r="J93" s="3">
        <f t="shared" si="1"/>
        <v>43748.428671168978</v>
      </c>
    </row>
    <row r="94" spans="1:10" x14ac:dyDescent="0.25">
      <c r="A94" s="5" t="s">
        <v>25826</v>
      </c>
      <c r="B94" s="6">
        <v>421.875</v>
      </c>
      <c r="C94" s="6">
        <v>20.478950000000001</v>
      </c>
      <c r="D94" s="6">
        <v>73</v>
      </c>
      <c r="E94" s="6">
        <v>0</v>
      </c>
      <c r="F94" s="6">
        <v>0</v>
      </c>
      <c r="G94" s="6">
        <v>12</v>
      </c>
      <c r="H94" s="6" t="s">
        <v>25827</v>
      </c>
      <c r="I94" s="6">
        <v>535.5</v>
      </c>
      <c r="J94" s="2">
        <f t="shared" si="1"/>
        <v>43748.428751307867</v>
      </c>
    </row>
    <row r="95" spans="1:10" x14ac:dyDescent="0.25">
      <c r="A95" s="7" t="s">
        <v>25828</v>
      </c>
      <c r="B95" s="8">
        <v>421.875</v>
      </c>
      <c r="C95" s="8">
        <v>20.478950000000001</v>
      </c>
      <c r="D95" s="8">
        <v>73</v>
      </c>
      <c r="E95" s="8">
        <v>0</v>
      </c>
      <c r="F95" s="8">
        <v>0</v>
      </c>
      <c r="G95" s="8">
        <v>14</v>
      </c>
      <c r="H95" s="8" t="s">
        <v>25829</v>
      </c>
      <c r="I95" s="8">
        <v>535.5</v>
      </c>
      <c r="J95" s="3">
        <f t="shared" si="1"/>
        <v>43748.428834652776</v>
      </c>
    </row>
    <row r="96" spans="1:10" x14ac:dyDescent="0.25">
      <c r="A96" s="5" t="s">
        <v>25830</v>
      </c>
      <c r="B96" s="6">
        <v>425</v>
      </c>
      <c r="C96" s="6">
        <v>20.478950000000001</v>
      </c>
      <c r="D96" s="6">
        <v>75</v>
      </c>
      <c r="E96" s="6">
        <v>0</v>
      </c>
      <c r="F96" s="6">
        <v>0</v>
      </c>
      <c r="G96" s="6">
        <v>8</v>
      </c>
      <c r="H96" s="6" t="s">
        <v>25831</v>
      </c>
      <c r="I96" s="6">
        <v>536.25</v>
      </c>
      <c r="J96" s="2">
        <f t="shared" si="1"/>
        <v>43748.428918356476</v>
      </c>
    </row>
    <row r="97" spans="1:10" x14ac:dyDescent="0.25">
      <c r="A97" s="7" t="s">
        <v>25832</v>
      </c>
      <c r="B97" s="8">
        <v>425</v>
      </c>
      <c r="C97" s="8">
        <v>20.478950000000001</v>
      </c>
      <c r="D97" s="8">
        <v>73</v>
      </c>
      <c r="E97" s="8">
        <v>0</v>
      </c>
      <c r="F97" s="8">
        <v>0</v>
      </c>
      <c r="G97" s="8">
        <v>1</v>
      </c>
      <c r="H97" s="8" t="s">
        <v>25833</v>
      </c>
      <c r="I97" s="8">
        <v>536.25</v>
      </c>
      <c r="J97" s="3">
        <f t="shared" si="1"/>
        <v>43748.429001782402</v>
      </c>
    </row>
    <row r="98" spans="1:10" x14ac:dyDescent="0.25">
      <c r="A98" s="5" t="s">
        <v>25834</v>
      </c>
      <c r="B98" s="6">
        <v>428.125</v>
      </c>
      <c r="C98" s="6">
        <v>20.478950000000001</v>
      </c>
      <c r="D98" s="6">
        <v>73</v>
      </c>
      <c r="E98" s="6">
        <v>0</v>
      </c>
      <c r="F98" s="6">
        <v>0</v>
      </c>
      <c r="G98" s="6">
        <v>12</v>
      </c>
      <c r="H98" s="6" t="s">
        <v>25835</v>
      </c>
      <c r="I98" s="6">
        <v>537.1875</v>
      </c>
      <c r="J98" s="2">
        <f t="shared" si="1"/>
        <v>43748.429073287036</v>
      </c>
    </row>
    <row r="99" spans="1:10" x14ac:dyDescent="0.25">
      <c r="A99" s="7" t="s">
        <v>25836</v>
      </c>
      <c r="B99" s="8">
        <v>425</v>
      </c>
      <c r="C99" s="8">
        <v>20.478950000000001</v>
      </c>
      <c r="D99" s="8">
        <v>73</v>
      </c>
      <c r="E99" s="8">
        <v>0</v>
      </c>
      <c r="F99" s="8">
        <v>0</v>
      </c>
      <c r="G99" s="8">
        <v>9</v>
      </c>
      <c r="H99" s="8" t="s">
        <v>25837</v>
      </c>
      <c r="I99" s="8">
        <v>536.25</v>
      </c>
      <c r="J99" s="3">
        <f t="shared" si="1"/>
        <v>43748.429156516206</v>
      </c>
    </row>
    <row r="100" spans="1:10" x14ac:dyDescent="0.25">
      <c r="A100" s="5" t="s">
        <v>25838</v>
      </c>
      <c r="B100" s="6">
        <v>425</v>
      </c>
      <c r="C100" s="6">
        <v>20.478950000000001</v>
      </c>
      <c r="D100" s="6">
        <v>73</v>
      </c>
      <c r="E100" s="6">
        <v>0</v>
      </c>
      <c r="F100" s="6">
        <v>0</v>
      </c>
      <c r="G100" s="6">
        <v>19</v>
      </c>
      <c r="H100" s="6" t="s">
        <v>25839</v>
      </c>
      <c r="I100" s="6">
        <v>536.25</v>
      </c>
      <c r="J100" s="2">
        <f t="shared" si="1"/>
        <v>43748.429228275461</v>
      </c>
    </row>
    <row r="101" spans="1:10" x14ac:dyDescent="0.25">
      <c r="A101" s="7" t="s">
        <v>25840</v>
      </c>
      <c r="B101" s="8">
        <v>425</v>
      </c>
      <c r="C101" s="8">
        <v>20.478950000000001</v>
      </c>
      <c r="D101" s="8">
        <v>72</v>
      </c>
      <c r="E101" s="8">
        <v>0</v>
      </c>
      <c r="F101" s="8">
        <v>0</v>
      </c>
      <c r="G101" s="8">
        <v>6</v>
      </c>
      <c r="H101" s="8" t="s">
        <v>25841</v>
      </c>
      <c r="I101" s="8">
        <v>536.4375</v>
      </c>
      <c r="J101" s="3">
        <f t="shared" si="1"/>
        <v>43748.429311840278</v>
      </c>
    </row>
    <row r="102" spans="1:10" x14ac:dyDescent="0.25">
      <c r="A102" s="5" t="s">
        <v>25842</v>
      </c>
      <c r="B102" s="6">
        <v>425</v>
      </c>
      <c r="C102" s="6">
        <v>20.478950000000001</v>
      </c>
      <c r="D102" s="6">
        <v>73</v>
      </c>
      <c r="E102" s="6">
        <v>0</v>
      </c>
      <c r="F102" s="6">
        <v>0</v>
      </c>
      <c r="G102" s="6">
        <v>9</v>
      </c>
      <c r="H102" s="6" t="s">
        <v>25843</v>
      </c>
      <c r="I102" s="6">
        <v>536.25</v>
      </c>
      <c r="J102" s="2">
        <f t="shared" si="1"/>
        <v>43748.429395289349</v>
      </c>
    </row>
    <row r="103" spans="1:10" x14ac:dyDescent="0.25">
      <c r="A103" s="7" t="s">
        <v>25844</v>
      </c>
      <c r="B103" s="8">
        <v>428.125</v>
      </c>
      <c r="C103" s="8">
        <v>20.478950000000001</v>
      </c>
      <c r="D103" s="8">
        <v>72</v>
      </c>
      <c r="E103" s="8">
        <v>0</v>
      </c>
      <c r="F103" s="8">
        <v>0</v>
      </c>
      <c r="G103" s="8">
        <v>11</v>
      </c>
      <c r="H103" s="8" t="s">
        <v>25845</v>
      </c>
      <c r="I103" s="8">
        <v>537.1875</v>
      </c>
      <c r="J103" s="3">
        <f t="shared" si="1"/>
        <v>43748.429490636576</v>
      </c>
    </row>
    <row r="104" spans="1:10" x14ac:dyDescent="0.25">
      <c r="A104" s="5" t="s">
        <v>25846</v>
      </c>
      <c r="B104" s="6">
        <v>428.125</v>
      </c>
      <c r="C104" s="6">
        <v>20.478950000000001</v>
      </c>
      <c r="D104" s="6">
        <v>76</v>
      </c>
      <c r="E104" s="6">
        <v>0</v>
      </c>
      <c r="F104" s="6">
        <v>0</v>
      </c>
      <c r="G104" s="6">
        <v>10</v>
      </c>
      <c r="H104" s="6" t="s">
        <v>25847</v>
      </c>
      <c r="I104" s="6">
        <v>537.1875</v>
      </c>
      <c r="J104" s="2">
        <f t="shared" si="1"/>
        <v>43748.429562291662</v>
      </c>
    </row>
    <row r="105" spans="1:10" x14ac:dyDescent="0.25">
      <c r="A105" s="7" t="s">
        <v>25848</v>
      </c>
      <c r="B105" s="8">
        <v>428.125</v>
      </c>
      <c r="C105" s="8">
        <v>20.478950000000001</v>
      </c>
      <c r="D105" s="8">
        <v>76</v>
      </c>
      <c r="E105" s="8">
        <v>0</v>
      </c>
      <c r="F105" s="8">
        <v>0</v>
      </c>
      <c r="G105" s="8">
        <v>9</v>
      </c>
      <c r="H105" s="8" t="s">
        <v>25849</v>
      </c>
      <c r="I105" s="8">
        <v>537.1875</v>
      </c>
      <c r="J105" s="3">
        <f t="shared" si="1"/>
        <v>43748.429645486111</v>
      </c>
    </row>
    <row r="106" spans="1:10" x14ac:dyDescent="0.25">
      <c r="A106" s="5" t="s">
        <v>25850</v>
      </c>
      <c r="B106" s="6">
        <v>428.125</v>
      </c>
      <c r="C106" s="6">
        <v>20.478950000000001</v>
      </c>
      <c r="D106" s="6">
        <v>75</v>
      </c>
      <c r="E106" s="6">
        <v>0</v>
      </c>
      <c r="F106" s="6">
        <v>0</v>
      </c>
      <c r="G106" s="6">
        <v>12</v>
      </c>
      <c r="H106" s="6" t="s">
        <v>25851</v>
      </c>
      <c r="I106" s="6">
        <v>537.1875</v>
      </c>
      <c r="J106" s="2">
        <f t="shared" si="1"/>
        <v>43748.429717268511</v>
      </c>
    </row>
    <row r="107" spans="1:10" x14ac:dyDescent="0.25">
      <c r="A107" s="7" t="s">
        <v>25852</v>
      </c>
      <c r="B107" s="8">
        <v>428.125</v>
      </c>
      <c r="C107" s="8">
        <v>20.478950000000001</v>
      </c>
      <c r="D107" s="8">
        <v>74</v>
      </c>
      <c r="E107" s="8">
        <v>0</v>
      </c>
      <c r="F107" s="8">
        <v>0</v>
      </c>
      <c r="G107" s="8">
        <v>14</v>
      </c>
      <c r="H107" s="8" t="s">
        <v>25853</v>
      </c>
      <c r="I107" s="8">
        <v>537.1875</v>
      </c>
      <c r="J107" s="3">
        <f t="shared" si="1"/>
        <v>43748.429801041661</v>
      </c>
    </row>
    <row r="108" spans="1:10" x14ac:dyDescent="0.25">
      <c r="A108" s="5" t="s">
        <v>25854</v>
      </c>
      <c r="B108" s="6">
        <v>428.125</v>
      </c>
      <c r="C108" s="6">
        <v>20.478950000000001</v>
      </c>
      <c r="D108" s="6">
        <v>73</v>
      </c>
      <c r="E108" s="6">
        <v>0</v>
      </c>
      <c r="F108" s="6">
        <v>0</v>
      </c>
      <c r="G108" s="6">
        <v>10</v>
      </c>
      <c r="H108" s="6" t="s">
        <v>25855</v>
      </c>
      <c r="I108" s="6">
        <v>537</v>
      </c>
      <c r="J108" s="2">
        <f t="shared" si="1"/>
        <v>43748.42988427083</v>
      </c>
    </row>
    <row r="109" spans="1:10" x14ac:dyDescent="0.25">
      <c r="A109" s="7" t="s">
        <v>25856</v>
      </c>
      <c r="B109" s="8">
        <v>428.125</v>
      </c>
      <c r="C109" s="8">
        <v>20.478950000000001</v>
      </c>
      <c r="D109" s="8">
        <v>73</v>
      </c>
      <c r="E109" s="8">
        <v>0</v>
      </c>
      <c r="F109" s="8">
        <v>0</v>
      </c>
      <c r="G109" s="8">
        <v>18</v>
      </c>
      <c r="H109" s="8" t="s">
        <v>25857</v>
      </c>
      <c r="I109" s="8">
        <v>537.1875</v>
      </c>
      <c r="J109" s="3">
        <f t="shared" si="1"/>
        <v>43748.429967604163</v>
      </c>
    </row>
    <row r="110" spans="1:10" x14ac:dyDescent="0.25">
      <c r="A110" s="5" t="s">
        <v>25858</v>
      </c>
      <c r="B110" s="6">
        <v>428.125</v>
      </c>
      <c r="C110" s="6">
        <v>20.478950000000001</v>
      </c>
      <c r="D110" s="6">
        <v>72</v>
      </c>
      <c r="E110" s="6">
        <v>0</v>
      </c>
      <c r="F110" s="6">
        <v>0</v>
      </c>
      <c r="G110" s="6">
        <v>11</v>
      </c>
      <c r="H110" s="6" t="s">
        <v>25859</v>
      </c>
      <c r="I110" s="6">
        <v>537.1875</v>
      </c>
      <c r="J110" s="2">
        <f t="shared" si="1"/>
        <v>43748.430050937495</v>
      </c>
    </row>
    <row r="111" spans="1:10" x14ac:dyDescent="0.25">
      <c r="A111" s="7" t="s">
        <v>25860</v>
      </c>
      <c r="B111" s="8">
        <v>428.125</v>
      </c>
      <c r="C111" s="8">
        <v>20.478950000000001</v>
      </c>
      <c r="D111" s="8">
        <v>72</v>
      </c>
      <c r="E111" s="8">
        <v>0</v>
      </c>
      <c r="F111" s="8">
        <v>0</v>
      </c>
      <c r="G111" s="8">
        <v>13</v>
      </c>
      <c r="H111" s="8" t="s">
        <v>25861</v>
      </c>
      <c r="I111" s="8">
        <v>537.9375</v>
      </c>
      <c r="J111" s="3">
        <f t="shared" si="1"/>
        <v>43748.430134386574</v>
      </c>
    </row>
    <row r="112" spans="1:10" x14ac:dyDescent="0.25">
      <c r="A112" s="5" t="s">
        <v>25862</v>
      </c>
      <c r="B112" s="6">
        <v>428.125</v>
      </c>
      <c r="C112" s="6">
        <v>20.478950000000001</v>
      </c>
      <c r="D112" s="6">
        <v>72</v>
      </c>
      <c r="E112" s="6">
        <v>0</v>
      </c>
      <c r="F112" s="6">
        <v>0</v>
      </c>
      <c r="G112" s="6">
        <v>20</v>
      </c>
      <c r="H112" s="6" t="s">
        <v>25863</v>
      </c>
      <c r="I112" s="6">
        <v>537.9375</v>
      </c>
      <c r="J112" s="2">
        <f t="shared" si="1"/>
        <v>43748.430206018515</v>
      </c>
    </row>
    <row r="113" spans="1:10" x14ac:dyDescent="0.25">
      <c r="A113" s="7" t="s">
        <v>25864</v>
      </c>
      <c r="B113" s="8">
        <v>428.125</v>
      </c>
      <c r="C113" s="8">
        <v>20.478950000000001</v>
      </c>
      <c r="D113" s="8">
        <v>72</v>
      </c>
      <c r="E113" s="8">
        <v>0</v>
      </c>
      <c r="F113" s="8">
        <v>0</v>
      </c>
      <c r="G113" s="8">
        <v>12</v>
      </c>
      <c r="H113" s="8" t="s">
        <v>25865</v>
      </c>
      <c r="I113" s="8">
        <v>537.9375</v>
      </c>
      <c r="J113" s="3">
        <f t="shared" si="1"/>
        <v>43748.430289907403</v>
      </c>
    </row>
    <row r="114" spans="1:10" x14ac:dyDescent="0.25">
      <c r="A114" s="5" t="s">
        <v>25866</v>
      </c>
      <c r="B114" s="6">
        <v>428.125</v>
      </c>
      <c r="C114" s="6">
        <v>20.478950000000001</v>
      </c>
      <c r="D114" s="6">
        <v>72</v>
      </c>
      <c r="E114" s="6">
        <v>0</v>
      </c>
      <c r="F114" s="6">
        <v>0</v>
      </c>
      <c r="G114" s="6">
        <v>19</v>
      </c>
      <c r="H114" s="6" t="s">
        <v>25867</v>
      </c>
      <c r="I114" s="6">
        <v>537.9375</v>
      </c>
      <c r="J114" s="2">
        <f t="shared" si="1"/>
        <v>43748.430373263887</v>
      </c>
    </row>
    <row r="115" spans="1:10" x14ac:dyDescent="0.25">
      <c r="A115" s="7" t="s">
        <v>25868</v>
      </c>
      <c r="B115" s="8">
        <v>428.125</v>
      </c>
      <c r="C115" s="8">
        <v>20.478950000000001</v>
      </c>
      <c r="D115" s="8">
        <v>72</v>
      </c>
      <c r="E115" s="8">
        <v>0</v>
      </c>
      <c r="F115" s="8">
        <v>0</v>
      </c>
      <c r="G115" s="8">
        <v>17</v>
      </c>
      <c r="H115" s="8" t="s">
        <v>25869</v>
      </c>
      <c r="I115" s="8">
        <v>537.9375</v>
      </c>
      <c r="J115" s="3">
        <f t="shared" si="1"/>
        <v>43748.430456469905</v>
      </c>
    </row>
    <row r="116" spans="1:10" x14ac:dyDescent="0.25">
      <c r="A116" s="5" t="s">
        <v>25870</v>
      </c>
      <c r="B116" s="6">
        <v>428.125</v>
      </c>
      <c r="C116" s="6">
        <v>20.478950000000001</v>
      </c>
      <c r="D116" s="6">
        <v>72</v>
      </c>
      <c r="E116" s="6">
        <v>0</v>
      </c>
      <c r="F116" s="6">
        <v>0</v>
      </c>
      <c r="G116" s="6">
        <v>18</v>
      </c>
      <c r="H116" s="6" t="s">
        <v>25871</v>
      </c>
      <c r="I116" s="6">
        <v>537.1875</v>
      </c>
      <c r="J116" s="2">
        <f t="shared" si="1"/>
        <v>43748.430528252313</v>
      </c>
    </row>
    <row r="117" spans="1:10" x14ac:dyDescent="0.25">
      <c r="A117" s="7" t="s">
        <v>25872</v>
      </c>
      <c r="B117" s="8">
        <v>428.125</v>
      </c>
      <c r="C117" s="8">
        <v>20.478950000000001</v>
      </c>
      <c r="D117" s="8">
        <v>75</v>
      </c>
      <c r="E117" s="8">
        <v>0</v>
      </c>
      <c r="F117" s="8">
        <v>0</v>
      </c>
      <c r="G117" s="8">
        <v>11</v>
      </c>
      <c r="H117" s="8" t="s">
        <v>25873</v>
      </c>
      <c r="I117" s="8">
        <v>537.1875</v>
      </c>
      <c r="J117" s="3">
        <f t="shared" si="1"/>
        <v>43748.430611701384</v>
      </c>
    </row>
    <row r="118" spans="1:10" x14ac:dyDescent="0.25">
      <c r="A118" s="5" t="s">
        <v>25874</v>
      </c>
      <c r="B118" s="6">
        <v>428.125</v>
      </c>
      <c r="C118" s="6">
        <v>20.478950000000001</v>
      </c>
      <c r="D118" s="6">
        <v>78</v>
      </c>
      <c r="E118" s="6">
        <v>0</v>
      </c>
      <c r="F118" s="6">
        <v>0</v>
      </c>
      <c r="G118" s="6">
        <v>12</v>
      </c>
      <c r="H118" s="6" t="s">
        <v>25875</v>
      </c>
      <c r="I118" s="6">
        <v>537.1875</v>
      </c>
      <c r="J118" s="2">
        <f t="shared" si="1"/>
        <v>43748.430695266201</v>
      </c>
    </row>
    <row r="119" spans="1:10" x14ac:dyDescent="0.25">
      <c r="A119" s="7" t="s">
        <v>25876</v>
      </c>
      <c r="B119" s="8">
        <v>425</v>
      </c>
      <c r="C119" s="8">
        <v>20.478950000000001</v>
      </c>
      <c r="D119" s="8">
        <v>76</v>
      </c>
      <c r="E119" s="8">
        <v>0</v>
      </c>
      <c r="F119" s="8">
        <v>0</v>
      </c>
      <c r="G119" s="8">
        <v>14</v>
      </c>
      <c r="H119" s="8" t="s">
        <v>25877</v>
      </c>
      <c r="I119" s="8">
        <v>536.4375</v>
      </c>
      <c r="J119" s="3">
        <f t="shared" si="1"/>
        <v>43748.430778703703</v>
      </c>
    </row>
    <row r="120" spans="1:10" x14ac:dyDescent="0.25">
      <c r="A120" s="5" t="s">
        <v>25878</v>
      </c>
      <c r="B120" s="6">
        <v>425</v>
      </c>
      <c r="C120" s="6">
        <v>20.478950000000001</v>
      </c>
      <c r="D120" s="6">
        <v>77</v>
      </c>
      <c r="E120" s="6">
        <v>0</v>
      </c>
      <c r="F120" s="6">
        <v>0</v>
      </c>
      <c r="G120" s="6">
        <v>25</v>
      </c>
      <c r="H120" s="6" t="s">
        <v>25879</v>
      </c>
      <c r="I120" s="6">
        <v>536.25</v>
      </c>
      <c r="J120" s="2">
        <f t="shared" si="1"/>
        <v>43748.430862268513</v>
      </c>
    </row>
    <row r="121" spans="1:10" x14ac:dyDescent="0.25">
      <c r="A121" s="7" t="s">
        <v>25880</v>
      </c>
      <c r="B121" s="8">
        <v>421.875</v>
      </c>
      <c r="C121" s="8">
        <v>20.478950000000001</v>
      </c>
      <c r="D121" s="8">
        <v>76</v>
      </c>
      <c r="E121" s="8">
        <v>0</v>
      </c>
      <c r="F121" s="8">
        <v>0</v>
      </c>
      <c r="G121" s="8">
        <v>12</v>
      </c>
      <c r="H121" s="8" t="s">
        <v>25881</v>
      </c>
      <c r="I121" s="8">
        <v>535.5</v>
      </c>
      <c r="J121" s="3">
        <f t="shared" si="1"/>
        <v>43748.430945497683</v>
      </c>
    </row>
    <row r="122" spans="1:10" x14ac:dyDescent="0.25">
      <c r="A122" s="5" t="s">
        <v>25882</v>
      </c>
      <c r="B122" s="6">
        <v>421.875</v>
      </c>
      <c r="C122" s="6">
        <v>20.478950000000001</v>
      </c>
      <c r="D122" s="6">
        <v>76</v>
      </c>
      <c r="E122" s="6">
        <v>0</v>
      </c>
      <c r="F122" s="6">
        <v>0</v>
      </c>
      <c r="G122" s="6">
        <v>14</v>
      </c>
      <c r="H122" s="6" t="s">
        <v>25883</v>
      </c>
      <c r="I122" s="6">
        <v>535.5</v>
      </c>
      <c r="J122" s="2">
        <f t="shared" si="1"/>
        <v>43748.431017233794</v>
      </c>
    </row>
    <row r="123" spans="1:10" x14ac:dyDescent="0.25">
      <c r="A123" s="7" t="s">
        <v>25884</v>
      </c>
      <c r="B123" s="8">
        <v>421.875</v>
      </c>
      <c r="C123" s="8">
        <v>20.478950000000001</v>
      </c>
      <c r="D123" s="8">
        <v>74</v>
      </c>
      <c r="E123" s="8">
        <v>0</v>
      </c>
      <c r="F123" s="8">
        <v>0</v>
      </c>
      <c r="G123" s="8">
        <v>18</v>
      </c>
      <c r="H123" s="8" t="s">
        <v>25885</v>
      </c>
      <c r="I123" s="8">
        <v>535.5</v>
      </c>
      <c r="J123" s="3">
        <f t="shared" si="1"/>
        <v>43748.43110105324</v>
      </c>
    </row>
    <row r="124" spans="1:10" x14ac:dyDescent="0.25">
      <c r="A124" s="5" t="s">
        <v>25886</v>
      </c>
      <c r="B124" s="6">
        <v>421.875</v>
      </c>
      <c r="C124" s="6">
        <v>20.478950000000001</v>
      </c>
      <c r="D124" s="6">
        <v>74</v>
      </c>
      <c r="E124" s="6">
        <v>0</v>
      </c>
      <c r="F124" s="6">
        <v>0</v>
      </c>
      <c r="G124" s="6">
        <v>20</v>
      </c>
      <c r="H124" s="6" t="s">
        <v>25887</v>
      </c>
      <c r="I124" s="6">
        <v>535.5</v>
      </c>
      <c r="J124" s="2">
        <f t="shared" si="1"/>
        <v>43748.431184247682</v>
      </c>
    </row>
    <row r="125" spans="1:10" x14ac:dyDescent="0.25">
      <c r="A125" s="7" t="s">
        <v>25888</v>
      </c>
      <c r="B125" s="8">
        <v>421.875</v>
      </c>
      <c r="C125" s="8">
        <v>20.478950000000001</v>
      </c>
      <c r="D125" s="8">
        <v>73</v>
      </c>
      <c r="E125" s="8">
        <v>0</v>
      </c>
      <c r="F125" s="8">
        <v>0</v>
      </c>
      <c r="G125" s="8">
        <v>24</v>
      </c>
      <c r="H125" s="8" t="s">
        <v>25889</v>
      </c>
      <c r="I125" s="8">
        <v>535.5</v>
      </c>
      <c r="J125" s="3">
        <f t="shared" si="1"/>
        <v>43748.431267581014</v>
      </c>
    </row>
    <row r="126" spans="1:10" x14ac:dyDescent="0.25">
      <c r="A126" s="5" t="s">
        <v>25890</v>
      </c>
      <c r="B126" s="6">
        <v>425</v>
      </c>
      <c r="C126" s="6">
        <v>20.478950000000001</v>
      </c>
      <c r="D126" s="6">
        <v>73</v>
      </c>
      <c r="E126" s="6">
        <v>0</v>
      </c>
      <c r="F126" s="6">
        <v>0</v>
      </c>
      <c r="G126" s="6">
        <v>10</v>
      </c>
      <c r="H126" s="6" t="s">
        <v>25891</v>
      </c>
      <c r="I126" s="6">
        <v>536.4375</v>
      </c>
      <c r="J126" s="2">
        <f t="shared" si="1"/>
        <v>43748.431350925923</v>
      </c>
    </row>
    <row r="127" spans="1:10" x14ac:dyDescent="0.25">
      <c r="A127" s="7" t="s">
        <v>25892</v>
      </c>
      <c r="B127" s="8">
        <v>425</v>
      </c>
      <c r="C127" s="8">
        <v>20.478950000000001</v>
      </c>
      <c r="D127" s="8">
        <v>75</v>
      </c>
      <c r="E127" s="8">
        <v>0</v>
      </c>
      <c r="F127" s="8">
        <v>0</v>
      </c>
      <c r="G127" s="8">
        <v>8</v>
      </c>
      <c r="H127" s="8" t="s">
        <v>25893</v>
      </c>
      <c r="I127" s="8">
        <v>536.25</v>
      </c>
      <c r="J127" s="3">
        <f t="shared" si="1"/>
        <v>43748.431434374994</v>
      </c>
    </row>
    <row r="128" spans="1:10" x14ac:dyDescent="0.25">
      <c r="A128" s="5" t="s">
        <v>25894</v>
      </c>
      <c r="B128" s="6">
        <v>450</v>
      </c>
      <c r="C128" s="6">
        <v>20.478950000000001</v>
      </c>
      <c r="D128" s="6">
        <v>74</v>
      </c>
      <c r="E128" s="6">
        <v>0</v>
      </c>
      <c r="F128" s="6">
        <v>0</v>
      </c>
      <c r="G128" s="6">
        <v>17</v>
      </c>
      <c r="H128" s="6" t="s">
        <v>25895</v>
      </c>
      <c r="I128" s="6">
        <v>544.6875</v>
      </c>
      <c r="J128" s="2">
        <f t="shared" si="1"/>
        <v>43748.431506261571</v>
      </c>
    </row>
    <row r="129" spans="1:10" x14ac:dyDescent="0.25">
      <c r="A129" s="7" t="s">
        <v>25896</v>
      </c>
      <c r="B129" s="8">
        <v>425</v>
      </c>
      <c r="C129" s="8">
        <v>20.478950000000001</v>
      </c>
      <c r="D129" s="8">
        <v>75</v>
      </c>
      <c r="E129" s="8">
        <v>0</v>
      </c>
      <c r="F129" s="8">
        <v>0</v>
      </c>
      <c r="G129" s="8">
        <v>17</v>
      </c>
      <c r="H129" s="8" t="s">
        <v>25897</v>
      </c>
      <c r="I129" s="8">
        <v>536.25</v>
      </c>
      <c r="J129" s="3">
        <f t="shared" si="1"/>
        <v>43748.431577766205</v>
      </c>
    </row>
    <row r="130" spans="1:10" x14ac:dyDescent="0.25">
      <c r="A130" s="5" t="s">
        <v>25898</v>
      </c>
      <c r="B130" s="6">
        <v>425</v>
      </c>
      <c r="C130" s="6">
        <v>20.478950000000001</v>
      </c>
      <c r="D130" s="6">
        <v>69</v>
      </c>
      <c r="E130" s="6">
        <v>0</v>
      </c>
      <c r="F130" s="6">
        <v>0</v>
      </c>
      <c r="G130" s="6">
        <v>10</v>
      </c>
      <c r="H130" s="6" t="s">
        <v>25899</v>
      </c>
      <c r="I130" s="6">
        <v>536.25</v>
      </c>
      <c r="J130" s="2">
        <f t="shared" ref="J130:J193" si="2">(H130/86400000)+25569+(7/24)</f>
        <v>43748.431661331015</v>
      </c>
    </row>
    <row r="131" spans="1:10" x14ac:dyDescent="0.25">
      <c r="A131" s="7" t="s">
        <v>25900</v>
      </c>
      <c r="B131" s="8">
        <v>421.875</v>
      </c>
      <c r="C131" s="8">
        <v>20.478950000000001</v>
      </c>
      <c r="D131" s="8">
        <v>70</v>
      </c>
      <c r="E131" s="8">
        <v>0</v>
      </c>
      <c r="F131" s="8">
        <v>0</v>
      </c>
      <c r="G131" s="8">
        <v>14</v>
      </c>
      <c r="H131" s="8" t="s">
        <v>25901</v>
      </c>
      <c r="I131" s="8">
        <v>535.5</v>
      </c>
      <c r="J131" s="3">
        <f t="shared" si="2"/>
        <v>43748.431744780093</v>
      </c>
    </row>
    <row r="132" spans="1:10" x14ac:dyDescent="0.25">
      <c r="A132" s="5" t="s">
        <v>25902</v>
      </c>
      <c r="B132" s="6">
        <v>421.875</v>
      </c>
      <c r="C132" s="6">
        <v>20.478950000000001</v>
      </c>
      <c r="D132" s="6">
        <v>70</v>
      </c>
      <c r="E132" s="6">
        <v>0</v>
      </c>
      <c r="F132" s="6">
        <v>0</v>
      </c>
      <c r="G132" s="6">
        <v>9</v>
      </c>
      <c r="H132" s="6" t="s">
        <v>25903</v>
      </c>
      <c r="I132" s="6">
        <v>535.5</v>
      </c>
      <c r="J132" s="2">
        <f t="shared" si="2"/>
        <v>43748.431828252309</v>
      </c>
    </row>
    <row r="133" spans="1:10" x14ac:dyDescent="0.25">
      <c r="A133" s="7" t="s">
        <v>25904</v>
      </c>
      <c r="B133" s="8">
        <v>421.875</v>
      </c>
      <c r="C133" s="8">
        <v>20.478950000000001</v>
      </c>
      <c r="D133" s="8">
        <v>70</v>
      </c>
      <c r="E133" s="8">
        <v>0</v>
      </c>
      <c r="F133" s="8">
        <v>0</v>
      </c>
      <c r="G133" s="8">
        <v>9</v>
      </c>
      <c r="H133" s="8" t="s">
        <v>25905</v>
      </c>
      <c r="I133" s="8">
        <v>535.5</v>
      </c>
      <c r="J133" s="3">
        <f t="shared" si="2"/>
        <v>43748.431911793981</v>
      </c>
    </row>
    <row r="134" spans="1:10" x14ac:dyDescent="0.25">
      <c r="A134" s="5" t="s">
        <v>25906</v>
      </c>
      <c r="B134" s="6">
        <v>425</v>
      </c>
      <c r="C134" s="6">
        <v>20.478950000000001</v>
      </c>
      <c r="D134" s="6">
        <v>70</v>
      </c>
      <c r="E134" s="6">
        <v>0</v>
      </c>
      <c r="F134" s="6">
        <v>0</v>
      </c>
      <c r="G134" s="6">
        <v>15</v>
      </c>
      <c r="H134" s="6" t="s">
        <v>25907</v>
      </c>
      <c r="I134" s="6">
        <v>536.4375</v>
      </c>
      <c r="J134" s="2">
        <f t="shared" si="2"/>
        <v>43748.431995254628</v>
      </c>
    </row>
    <row r="135" spans="1:10" x14ac:dyDescent="0.25">
      <c r="A135" s="7" t="s">
        <v>25908</v>
      </c>
      <c r="B135" s="8">
        <v>425</v>
      </c>
      <c r="C135" s="8">
        <v>20.478950000000001</v>
      </c>
      <c r="D135" s="8">
        <v>71</v>
      </c>
      <c r="E135" s="8">
        <v>0</v>
      </c>
      <c r="F135" s="8">
        <v>0</v>
      </c>
      <c r="G135" s="8">
        <v>14</v>
      </c>
      <c r="H135" s="8" t="s">
        <v>25909</v>
      </c>
      <c r="I135" s="8">
        <v>536.4375</v>
      </c>
      <c r="J135" s="3">
        <f t="shared" si="2"/>
        <v>43748.4320787037</v>
      </c>
    </row>
    <row r="136" spans="1:10" x14ac:dyDescent="0.25">
      <c r="A136" s="5" t="s">
        <v>25910</v>
      </c>
      <c r="B136" s="6">
        <v>425</v>
      </c>
      <c r="C136" s="6">
        <v>20.478950000000001</v>
      </c>
      <c r="D136" s="6">
        <v>70</v>
      </c>
      <c r="E136" s="6">
        <v>0</v>
      </c>
      <c r="F136" s="6">
        <v>0</v>
      </c>
      <c r="G136" s="6">
        <v>24</v>
      </c>
      <c r="H136" s="6" t="s">
        <v>25911</v>
      </c>
      <c r="I136" s="6">
        <v>536.25</v>
      </c>
      <c r="J136" s="2">
        <f t="shared" si="2"/>
        <v>43748.432174085647</v>
      </c>
    </row>
    <row r="137" spans="1:10" x14ac:dyDescent="0.25">
      <c r="A137" s="7" t="s">
        <v>25912</v>
      </c>
      <c r="B137" s="8">
        <v>425</v>
      </c>
      <c r="C137" s="8">
        <v>20.478950000000001</v>
      </c>
      <c r="D137" s="8">
        <v>71</v>
      </c>
      <c r="E137" s="8">
        <v>0</v>
      </c>
      <c r="F137" s="8">
        <v>0</v>
      </c>
      <c r="G137" s="8">
        <v>7</v>
      </c>
      <c r="H137" s="8" t="s">
        <v>25913</v>
      </c>
      <c r="I137" s="8">
        <v>536.25</v>
      </c>
      <c r="J137" s="3">
        <f t="shared" si="2"/>
        <v>43748.43226956018</v>
      </c>
    </row>
    <row r="138" spans="1:10" x14ac:dyDescent="0.25">
      <c r="A138" s="5" t="s">
        <v>25914</v>
      </c>
      <c r="B138" s="6">
        <v>421.875</v>
      </c>
      <c r="C138" s="6">
        <v>20.478950000000001</v>
      </c>
      <c r="D138" s="6">
        <v>72</v>
      </c>
      <c r="E138" s="6">
        <v>0</v>
      </c>
      <c r="F138" s="6">
        <v>0</v>
      </c>
      <c r="G138" s="6">
        <v>11</v>
      </c>
      <c r="H138" s="6" t="s">
        <v>25915</v>
      </c>
      <c r="I138" s="6">
        <v>535.5</v>
      </c>
      <c r="J138" s="2">
        <f t="shared" si="2"/>
        <v>43748.432352777774</v>
      </c>
    </row>
    <row r="139" spans="1:10" x14ac:dyDescent="0.25">
      <c r="A139" s="7" t="s">
        <v>25916</v>
      </c>
      <c r="B139" s="8">
        <v>425</v>
      </c>
      <c r="C139" s="8">
        <v>20.478950000000001</v>
      </c>
      <c r="D139" s="8">
        <v>72</v>
      </c>
      <c r="E139" s="8">
        <v>0</v>
      </c>
      <c r="F139" s="8">
        <v>0</v>
      </c>
      <c r="G139" s="8">
        <v>16</v>
      </c>
      <c r="H139" s="8" t="s">
        <v>25917</v>
      </c>
      <c r="I139" s="8">
        <v>536.25</v>
      </c>
      <c r="J139" s="3">
        <f t="shared" si="2"/>
        <v>43748.432424548613</v>
      </c>
    </row>
    <row r="140" spans="1:10" x14ac:dyDescent="0.25">
      <c r="A140" s="5" t="s">
        <v>25918</v>
      </c>
      <c r="B140" s="6">
        <v>428.125</v>
      </c>
      <c r="C140" s="6">
        <v>20.478950000000001</v>
      </c>
      <c r="D140" s="6">
        <v>72</v>
      </c>
      <c r="E140" s="6">
        <v>0</v>
      </c>
      <c r="F140" s="6">
        <v>0</v>
      </c>
      <c r="G140" s="6">
        <v>13</v>
      </c>
      <c r="H140" s="6" t="s">
        <v>25919</v>
      </c>
      <c r="I140" s="6">
        <v>537.1875</v>
      </c>
      <c r="J140" s="2">
        <f t="shared" si="2"/>
        <v>43748.432508101854</v>
      </c>
    </row>
    <row r="141" spans="1:10" x14ac:dyDescent="0.25">
      <c r="A141" s="7" t="s">
        <v>25920</v>
      </c>
      <c r="B141" s="8">
        <v>428.125</v>
      </c>
      <c r="C141" s="8">
        <v>20.478950000000001</v>
      </c>
      <c r="D141" s="8">
        <v>69</v>
      </c>
      <c r="E141" s="8">
        <v>0</v>
      </c>
      <c r="F141" s="8">
        <v>0</v>
      </c>
      <c r="G141" s="8">
        <v>5</v>
      </c>
      <c r="H141" s="8" t="s">
        <v>25921</v>
      </c>
      <c r="I141" s="8">
        <v>537.1875</v>
      </c>
      <c r="J141" s="3">
        <f t="shared" si="2"/>
        <v>43748.432591597222</v>
      </c>
    </row>
    <row r="142" spans="1:10" x14ac:dyDescent="0.25">
      <c r="A142" s="5" t="s">
        <v>25922</v>
      </c>
      <c r="B142" s="6">
        <v>425</v>
      </c>
      <c r="C142" s="6">
        <v>20.478950000000001</v>
      </c>
      <c r="D142" s="6">
        <v>69</v>
      </c>
      <c r="E142" s="6">
        <v>0</v>
      </c>
      <c r="F142" s="6">
        <v>0</v>
      </c>
      <c r="G142" s="6">
        <v>12</v>
      </c>
      <c r="H142" s="6" t="s">
        <v>25923</v>
      </c>
      <c r="I142" s="6">
        <v>536.4375</v>
      </c>
      <c r="J142" s="2">
        <f t="shared" si="2"/>
        <v>43748.43268140046</v>
      </c>
    </row>
    <row r="143" spans="1:10" x14ac:dyDescent="0.25">
      <c r="A143" s="7" t="s">
        <v>25924</v>
      </c>
      <c r="B143" s="8">
        <v>421.875</v>
      </c>
      <c r="C143" s="8">
        <v>20.478950000000001</v>
      </c>
      <c r="D143" s="8">
        <v>72</v>
      </c>
      <c r="E143" s="8">
        <v>0</v>
      </c>
      <c r="F143" s="8">
        <v>0</v>
      </c>
      <c r="G143" s="8">
        <v>15</v>
      </c>
      <c r="H143" s="8" t="s">
        <v>25925</v>
      </c>
      <c r="I143" s="8">
        <v>535.5</v>
      </c>
      <c r="J143" s="3">
        <f t="shared" si="2"/>
        <v>43748.432758599534</v>
      </c>
    </row>
    <row r="144" spans="1:10" x14ac:dyDescent="0.25">
      <c r="A144" s="5" t="s">
        <v>25926</v>
      </c>
      <c r="B144" s="6">
        <v>421.875</v>
      </c>
      <c r="C144" s="6">
        <v>20.478950000000001</v>
      </c>
      <c r="D144" s="6">
        <v>72</v>
      </c>
      <c r="E144" s="6">
        <v>0</v>
      </c>
      <c r="F144" s="6">
        <v>0</v>
      </c>
      <c r="G144" s="6">
        <v>11</v>
      </c>
      <c r="H144" s="6" t="s">
        <v>25927</v>
      </c>
      <c r="I144" s="6">
        <v>535.5</v>
      </c>
      <c r="J144" s="2">
        <f t="shared" si="2"/>
        <v>43748.432841805552</v>
      </c>
    </row>
    <row r="145" spans="1:10" x14ac:dyDescent="0.25">
      <c r="A145" s="7" t="s">
        <v>25928</v>
      </c>
      <c r="B145" s="8">
        <v>418.75</v>
      </c>
      <c r="C145" s="8">
        <v>20.478950000000001</v>
      </c>
      <c r="D145" s="8">
        <v>72</v>
      </c>
      <c r="E145" s="8">
        <v>0</v>
      </c>
      <c r="F145" s="8">
        <v>0</v>
      </c>
      <c r="G145" s="8">
        <v>12</v>
      </c>
      <c r="H145" s="8" t="s">
        <v>25929</v>
      </c>
      <c r="I145" s="8">
        <v>534</v>
      </c>
      <c r="J145" s="3">
        <f t="shared" si="2"/>
        <v>43748.432913472221</v>
      </c>
    </row>
    <row r="146" spans="1:10" x14ac:dyDescent="0.25">
      <c r="A146" s="5" t="s">
        <v>25930</v>
      </c>
      <c r="B146" s="6">
        <v>418.75</v>
      </c>
      <c r="C146" s="6">
        <v>20.478950000000001</v>
      </c>
      <c r="D146" s="6">
        <v>72</v>
      </c>
      <c r="E146" s="6">
        <v>0</v>
      </c>
      <c r="F146" s="6">
        <v>0</v>
      </c>
      <c r="G146" s="6">
        <v>11</v>
      </c>
      <c r="H146" s="6" t="s">
        <v>25931</v>
      </c>
      <c r="I146" s="6">
        <v>534</v>
      </c>
      <c r="J146" s="2">
        <f t="shared" si="2"/>
        <v>43748.432997384261</v>
      </c>
    </row>
    <row r="147" spans="1:10" x14ac:dyDescent="0.25">
      <c r="A147" s="7" t="s">
        <v>25932</v>
      </c>
      <c r="B147" s="8">
        <v>418.75</v>
      </c>
      <c r="C147" s="8">
        <v>20.478950000000001</v>
      </c>
      <c r="D147" s="8">
        <v>73</v>
      </c>
      <c r="E147" s="8">
        <v>0</v>
      </c>
      <c r="F147" s="8">
        <v>0</v>
      </c>
      <c r="G147" s="8">
        <v>8</v>
      </c>
      <c r="H147" s="8" t="s">
        <v>25933</v>
      </c>
      <c r="I147" s="8">
        <v>534</v>
      </c>
      <c r="J147" s="3">
        <f t="shared" si="2"/>
        <v>43748.433080590279</v>
      </c>
    </row>
    <row r="148" spans="1:10" x14ac:dyDescent="0.25">
      <c r="A148" s="5" t="s">
        <v>25934</v>
      </c>
      <c r="B148" s="6">
        <v>418.75</v>
      </c>
      <c r="C148" s="6">
        <v>20.531590000000001</v>
      </c>
      <c r="D148" s="6">
        <v>72</v>
      </c>
      <c r="E148" s="6">
        <v>0</v>
      </c>
      <c r="F148" s="6">
        <v>0</v>
      </c>
      <c r="G148" s="6">
        <v>9</v>
      </c>
      <c r="H148" s="6" t="s">
        <v>25935</v>
      </c>
      <c r="I148" s="6">
        <v>534</v>
      </c>
      <c r="J148" s="2">
        <f t="shared" si="2"/>
        <v>43748.433163923612</v>
      </c>
    </row>
    <row r="149" spans="1:10" x14ac:dyDescent="0.25">
      <c r="A149" s="7" t="s">
        <v>25936</v>
      </c>
      <c r="B149" s="8">
        <v>415.625</v>
      </c>
      <c r="C149" s="8">
        <v>20.478950000000001</v>
      </c>
      <c r="D149" s="8">
        <v>72</v>
      </c>
      <c r="E149" s="8">
        <v>0</v>
      </c>
      <c r="F149" s="8">
        <v>0</v>
      </c>
      <c r="G149" s="8">
        <v>8</v>
      </c>
      <c r="H149" s="8" t="s">
        <v>25937</v>
      </c>
      <c r="I149" s="8">
        <v>533.8125</v>
      </c>
      <c r="J149" s="3">
        <f t="shared" si="2"/>
        <v>43748.433248310183</v>
      </c>
    </row>
    <row r="150" spans="1:10" x14ac:dyDescent="0.25">
      <c r="A150" s="5" t="s">
        <v>25938</v>
      </c>
      <c r="B150" s="6">
        <v>418.75</v>
      </c>
      <c r="C150" s="6">
        <v>20.478950000000001</v>
      </c>
      <c r="D150" s="6">
        <v>71</v>
      </c>
      <c r="E150" s="6">
        <v>0</v>
      </c>
      <c r="F150" s="6">
        <v>0</v>
      </c>
      <c r="G150" s="6">
        <v>9</v>
      </c>
      <c r="H150" s="6" t="s">
        <v>25939</v>
      </c>
      <c r="I150" s="6">
        <v>534</v>
      </c>
      <c r="J150" s="2">
        <f t="shared" si="2"/>
        <v>43748.43333072916</v>
      </c>
    </row>
    <row r="151" spans="1:10" x14ac:dyDescent="0.25">
      <c r="A151" s="7" t="s">
        <v>25940</v>
      </c>
      <c r="B151" s="8">
        <v>415.625</v>
      </c>
      <c r="C151" s="8">
        <v>20.478950000000001</v>
      </c>
      <c r="D151" s="8">
        <v>71</v>
      </c>
      <c r="E151" s="8">
        <v>0</v>
      </c>
      <c r="F151" s="8">
        <v>0</v>
      </c>
      <c r="G151" s="8">
        <v>13</v>
      </c>
      <c r="H151" s="8" t="s">
        <v>25941</v>
      </c>
      <c r="I151" s="8">
        <v>533.8125</v>
      </c>
      <c r="J151" s="3">
        <f t="shared" si="2"/>
        <v>43748.433402372684</v>
      </c>
    </row>
    <row r="152" spans="1:10" x14ac:dyDescent="0.25">
      <c r="A152" s="5" t="s">
        <v>25942</v>
      </c>
      <c r="B152" s="6">
        <v>418.75</v>
      </c>
      <c r="C152" s="6">
        <v>20.478950000000001</v>
      </c>
      <c r="D152" s="6">
        <v>73</v>
      </c>
      <c r="E152" s="6">
        <v>0</v>
      </c>
      <c r="F152" s="6">
        <v>0</v>
      </c>
      <c r="G152" s="6">
        <v>21</v>
      </c>
      <c r="H152" s="6" t="s">
        <v>25943</v>
      </c>
      <c r="I152" s="6">
        <v>534.75</v>
      </c>
      <c r="J152" s="2">
        <f t="shared" si="2"/>
        <v>43748.43348615741</v>
      </c>
    </row>
    <row r="153" spans="1:10" x14ac:dyDescent="0.25">
      <c r="A153" s="7" t="s">
        <v>25944</v>
      </c>
      <c r="B153" s="8">
        <v>418.75</v>
      </c>
      <c r="C153" s="8">
        <v>20.478950000000001</v>
      </c>
      <c r="D153" s="8">
        <v>74</v>
      </c>
      <c r="E153" s="8">
        <v>0</v>
      </c>
      <c r="F153" s="8">
        <v>0</v>
      </c>
      <c r="G153" s="8">
        <v>10</v>
      </c>
      <c r="H153" s="8" t="s">
        <v>25945</v>
      </c>
      <c r="I153" s="8">
        <v>534.75</v>
      </c>
      <c r="J153" s="3">
        <f t="shared" si="2"/>
        <v>43748.433569606474</v>
      </c>
    </row>
    <row r="154" spans="1:10" x14ac:dyDescent="0.25">
      <c r="A154" s="5" t="s">
        <v>25946</v>
      </c>
      <c r="B154" s="6">
        <v>418.75</v>
      </c>
      <c r="C154" s="6">
        <v>20.478950000000001</v>
      </c>
      <c r="D154" s="6">
        <v>74</v>
      </c>
      <c r="E154" s="6">
        <v>0</v>
      </c>
      <c r="F154" s="6">
        <v>0</v>
      </c>
      <c r="G154" s="6">
        <v>15</v>
      </c>
      <c r="H154" s="6" t="s">
        <v>25947</v>
      </c>
      <c r="I154" s="6">
        <v>534.75</v>
      </c>
      <c r="J154" s="2">
        <f t="shared" si="2"/>
        <v>43748.433658749993</v>
      </c>
    </row>
    <row r="155" spans="1:10" x14ac:dyDescent="0.25">
      <c r="A155" s="7" t="s">
        <v>25948</v>
      </c>
      <c r="B155" s="8">
        <v>421.875</v>
      </c>
      <c r="C155" s="8">
        <v>20.478950000000001</v>
      </c>
      <c r="D155" s="8">
        <v>74</v>
      </c>
      <c r="E155" s="8">
        <v>0</v>
      </c>
      <c r="F155" s="8">
        <v>0</v>
      </c>
      <c r="G155" s="8">
        <v>11</v>
      </c>
      <c r="H155" s="8" t="s">
        <v>25949</v>
      </c>
      <c r="I155" s="8">
        <v>535.5</v>
      </c>
      <c r="J155" s="3">
        <f t="shared" si="2"/>
        <v>43748.433736493054</v>
      </c>
    </row>
    <row r="156" spans="1:10" x14ac:dyDescent="0.25">
      <c r="A156" s="5" t="s">
        <v>25950</v>
      </c>
      <c r="B156" s="6">
        <v>421.875</v>
      </c>
      <c r="C156" s="6">
        <v>20.478950000000001</v>
      </c>
      <c r="D156" s="6">
        <v>74</v>
      </c>
      <c r="E156" s="6">
        <v>0</v>
      </c>
      <c r="F156" s="6">
        <v>0</v>
      </c>
      <c r="G156" s="6">
        <v>9</v>
      </c>
      <c r="H156" s="6" t="s">
        <v>25951</v>
      </c>
      <c r="I156" s="6">
        <v>535.5</v>
      </c>
      <c r="J156" s="2">
        <f t="shared" si="2"/>
        <v>43748.433819594902</v>
      </c>
    </row>
    <row r="157" spans="1:10" x14ac:dyDescent="0.25">
      <c r="A157" s="7" t="s">
        <v>25952</v>
      </c>
      <c r="B157" s="8">
        <v>440.625</v>
      </c>
      <c r="C157" s="8">
        <v>20.478950000000001</v>
      </c>
      <c r="D157" s="8">
        <v>74</v>
      </c>
      <c r="E157" s="8">
        <v>0</v>
      </c>
      <c r="F157" s="8">
        <v>0</v>
      </c>
      <c r="G157" s="8">
        <v>20</v>
      </c>
      <c r="H157" s="8" t="s">
        <v>25953</v>
      </c>
      <c r="I157" s="8">
        <v>541.3125</v>
      </c>
      <c r="J157" s="3">
        <f t="shared" si="2"/>
        <v>43748.433903599536</v>
      </c>
    </row>
    <row r="158" spans="1:10" x14ac:dyDescent="0.25">
      <c r="A158" s="5" t="s">
        <v>25954</v>
      </c>
      <c r="B158" s="6">
        <v>421.875</v>
      </c>
      <c r="C158" s="6">
        <v>20.478950000000001</v>
      </c>
      <c r="D158" s="6">
        <v>74</v>
      </c>
      <c r="E158" s="6">
        <v>0</v>
      </c>
      <c r="F158" s="6">
        <v>0</v>
      </c>
      <c r="G158" s="6">
        <v>20</v>
      </c>
      <c r="H158" s="6" t="s">
        <v>25955</v>
      </c>
      <c r="I158" s="6">
        <v>535.5</v>
      </c>
      <c r="J158" s="2">
        <f t="shared" si="2"/>
        <v>43748.433987083328</v>
      </c>
    </row>
    <row r="159" spans="1:10" x14ac:dyDescent="0.25">
      <c r="A159" s="7" t="s">
        <v>25956</v>
      </c>
      <c r="B159" s="8">
        <v>421.875</v>
      </c>
      <c r="C159" s="8">
        <v>20.478950000000001</v>
      </c>
      <c r="D159" s="8">
        <v>74</v>
      </c>
      <c r="E159" s="8">
        <v>0</v>
      </c>
      <c r="F159" s="8">
        <v>0</v>
      </c>
      <c r="G159" s="8">
        <v>12</v>
      </c>
      <c r="H159" s="8" t="s">
        <v>25957</v>
      </c>
      <c r="I159" s="8">
        <v>535.5</v>
      </c>
      <c r="J159" s="3">
        <f t="shared" si="2"/>
        <v>43748.434058495368</v>
      </c>
    </row>
    <row r="160" spans="1:10" x14ac:dyDescent="0.25">
      <c r="A160" s="5" t="s">
        <v>25958</v>
      </c>
      <c r="B160" s="6">
        <v>421.875</v>
      </c>
      <c r="C160" s="6">
        <v>20.478950000000001</v>
      </c>
      <c r="D160" s="6">
        <v>74</v>
      </c>
      <c r="E160" s="6">
        <v>0</v>
      </c>
      <c r="F160" s="6">
        <v>0</v>
      </c>
      <c r="G160" s="6">
        <v>15</v>
      </c>
      <c r="H160" s="6" t="s">
        <v>25959</v>
      </c>
      <c r="I160" s="6">
        <v>535.5</v>
      </c>
      <c r="J160" s="2">
        <f t="shared" si="2"/>
        <v>43748.434141712962</v>
      </c>
    </row>
    <row r="161" spans="1:10" x14ac:dyDescent="0.25">
      <c r="A161" s="7" t="s">
        <v>25960</v>
      </c>
      <c r="B161" s="8">
        <v>421.875</v>
      </c>
      <c r="C161" s="8">
        <v>20.478950000000001</v>
      </c>
      <c r="D161" s="8">
        <v>74</v>
      </c>
      <c r="E161" s="8">
        <v>0</v>
      </c>
      <c r="F161" s="8">
        <v>0</v>
      </c>
      <c r="G161" s="8">
        <v>12</v>
      </c>
      <c r="H161" s="8" t="s">
        <v>25961</v>
      </c>
      <c r="I161" s="8">
        <v>535.5</v>
      </c>
      <c r="J161" s="3">
        <f t="shared" si="2"/>
        <v>43748.434213460649</v>
      </c>
    </row>
    <row r="162" spans="1:10" x14ac:dyDescent="0.25">
      <c r="A162" s="5" t="s">
        <v>25962</v>
      </c>
      <c r="B162" s="6">
        <v>421.875</v>
      </c>
      <c r="C162" s="6">
        <v>20.478950000000001</v>
      </c>
      <c r="D162" s="6">
        <v>74</v>
      </c>
      <c r="E162" s="6">
        <v>0</v>
      </c>
      <c r="F162" s="6">
        <v>0</v>
      </c>
      <c r="G162" s="6">
        <v>19</v>
      </c>
      <c r="H162" s="6" t="s">
        <v>25963</v>
      </c>
      <c r="I162" s="6">
        <v>535.5</v>
      </c>
      <c r="J162" s="2">
        <f t="shared" si="2"/>
        <v>43748.434297037034</v>
      </c>
    </row>
    <row r="163" spans="1:10" x14ac:dyDescent="0.25">
      <c r="A163" s="7" t="s">
        <v>25964</v>
      </c>
      <c r="B163" s="8">
        <v>421.875</v>
      </c>
      <c r="C163" s="8">
        <v>20.478950000000001</v>
      </c>
      <c r="D163" s="8">
        <v>71</v>
      </c>
      <c r="E163" s="8">
        <v>0</v>
      </c>
      <c r="F163" s="8">
        <v>0</v>
      </c>
      <c r="G163" s="8">
        <v>13</v>
      </c>
      <c r="H163" s="8" t="s">
        <v>25965</v>
      </c>
      <c r="I163" s="8">
        <v>535.5</v>
      </c>
      <c r="J163" s="3">
        <f t="shared" si="2"/>
        <v>43748.434380474537</v>
      </c>
    </row>
    <row r="164" spans="1:10" x14ac:dyDescent="0.25">
      <c r="A164" s="5" t="s">
        <v>25966</v>
      </c>
      <c r="B164" s="6">
        <v>418.75</v>
      </c>
      <c r="C164" s="6">
        <v>20.478950000000001</v>
      </c>
      <c r="D164" s="6">
        <v>70</v>
      </c>
      <c r="E164" s="6">
        <v>0</v>
      </c>
      <c r="F164" s="6">
        <v>0</v>
      </c>
      <c r="G164" s="6">
        <v>18</v>
      </c>
      <c r="H164" s="6" t="s">
        <v>25967</v>
      </c>
      <c r="I164" s="6">
        <v>534.75</v>
      </c>
      <c r="J164" s="2">
        <f t="shared" si="2"/>
        <v>43748.434464039346</v>
      </c>
    </row>
    <row r="165" spans="1:10" x14ac:dyDescent="0.25">
      <c r="A165" s="7" t="s">
        <v>25968</v>
      </c>
      <c r="B165" s="8">
        <v>421.875</v>
      </c>
      <c r="C165" s="8">
        <v>20.478950000000001</v>
      </c>
      <c r="D165" s="8">
        <v>73</v>
      </c>
      <c r="E165" s="8">
        <v>0</v>
      </c>
      <c r="F165" s="8">
        <v>0</v>
      </c>
      <c r="G165" s="8">
        <v>6</v>
      </c>
      <c r="H165" s="8" t="s">
        <v>25969</v>
      </c>
      <c r="I165" s="8">
        <v>535.5</v>
      </c>
      <c r="J165" s="3">
        <f t="shared" si="2"/>
        <v>43748.434547488425</v>
      </c>
    </row>
    <row r="166" spans="1:10" x14ac:dyDescent="0.25">
      <c r="A166" s="5" t="s">
        <v>25970</v>
      </c>
      <c r="B166" s="6">
        <v>418.75</v>
      </c>
      <c r="C166" s="6">
        <v>20.478950000000001</v>
      </c>
      <c r="D166" s="6">
        <v>73</v>
      </c>
      <c r="E166" s="6">
        <v>0</v>
      </c>
      <c r="F166" s="6">
        <v>0</v>
      </c>
      <c r="G166" s="6">
        <v>7</v>
      </c>
      <c r="H166" s="6" t="s">
        <v>25971</v>
      </c>
      <c r="I166" s="6">
        <v>534.75</v>
      </c>
      <c r="J166" s="2">
        <f t="shared" si="2"/>
        <v>43748.434630706011</v>
      </c>
    </row>
    <row r="167" spans="1:10" x14ac:dyDescent="0.25">
      <c r="A167" s="7" t="s">
        <v>25972</v>
      </c>
      <c r="B167" s="8">
        <v>418.75</v>
      </c>
      <c r="C167" s="8">
        <v>20.478950000000001</v>
      </c>
      <c r="D167" s="8">
        <v>73</v>
      </c>
      <c r="E167" s="8">
        <v>0</v>
      </c>
      <c r="F167" s="8">
        <v>0</v>
      </c>
      <c r="G167" s="8">
        <v>7</v>
      </c>
      <c r="H167" s="8" t="s">
        <v>25973</v>
      </c>
      <c r="I167" s="8">
        <v>534.75</v>
      </c>
      <c r="J167" s="3">
        <f t="shared" si="2"/>
        <v>43748.434702361112</v>
      </c>
    </row>
    <row r="168" spans="1:10" x14ac:dyDescent="0.25">
      <c r="A168" s="5" t="s">
        <v>25974</v>
      </c>
      <c r="B168" s="6">
        <v>418.75</v>
      </c>
      <c r="C168" s="6">
        <v>20.478950000000001</v>
      </c>
      <c r="D168" s="6">
        <v>73</v>
      </c>
      <c r="E168" s="6">
        <v>0</v>
      </c>
      <c r="F168" s="6">
        <v>0</v>
      </c>
      <c r="G168" s="6">
        <v>11</v>
      </c>
      <c r="H168" s="6" t="s">
        <v>25975</v>
      </c>
      <c r="I168" s="6">
        <v>534</v>
      </c>
      <c r="J168" s="2">
        <f t="shared" si="2"/>
        <v>43748.434786342586</v>
      </c>
    </row>
    <row r="169" spans="1:10" x14ac:dyDescent="0.25">
      <c r="A169" s="7" t="s">
        <v>25976</v>
      </c>
      <c r="B169" s="8">
        <v>418.75</v>
      </c>
      <c r="C169" s="8">
        <v>20.478950000000001</v>
      </c>
      <c r="D169" s="8">
        <v>74</v>
      </c>
      <c r="E169" s="8">
        <v>0</v>
      </c>
      <c r="F169" s="8">
        <v>0</v>
      </c>
      <c r="G169" s="8">
        <v>10</v>
      </c>
      <c r="H169" s="8" t="s">
        <v>25977</v>
      </c>
      <c r="I169" s="8">
        <v>534.75</v>
      </c>
      <c r="J169" s="3">
        <f t="shared" si="2"/>
        <v>43748.434881944442</v>
      </c>
    </row>
    <row r="170" spans="1:10" x14ac:dyDescent="0.25">
      <c r="A170" s="5" t="s">
        <v>25978</v>
      </c>
      <c r="B170" s="6">
        <v>421.875</v>
      </c>
      <c r="C170" s="6">
        <v>20.478950000000001</v>
      </c>
      <c r="D170" s="6">
        <v>72</v>
      </c>
      <c r="E170" s="6">
        <v>0</v>
      </c>
      <c r="F170" s="6">
        <v>0</v>
      </c>
      <c r="G170" s="6">
        <v>14</v>
      </c>
      <c r="H170" s="6" t="s">
        <v>25979</v>
      </c>
      <c r="I170" s="6">
        <v>535.5</v>
      </c>
      <c r="J170" s="2">
        <f t="shared" si="2"/>
        <v>43748.434964953696</v>
      </c>
    </row>
    <row r="171" spans="1:10" x14ac:dyDescent="0.25">
      <c r="A171" s="7" t="s">
        <v>25980</v>
      </c>
      <c r="B171" s="8">
        <v>421.875</v>
      </c>
      <c r="C171" s="8">
        <v>20.478950000000001</v>
      </c>
      <c r="D171" s="8">
        <v>71</v>
      </c>
      <c r="E171" s="8">
        <v>0</v>
      </c>
      <c r="F171" s="8">
        <v>0</v>
      </c>
      <c r="G171" s="8">
        <v>12</v>
      </c>
      <c r="H171" s="8" t="s">
        <v>25981</v>
      </c>
      <c r="I171" s="8">
        <v>535.5</v>
      </c>
      <c r="J171" s="3">
        <f t="shared" si="2"/>
        <v>43748.435036493051</v>
      </c>
    </row>
    <row r="172" spans="1:10" x14ac:dyDescent="0.25">
      <c r="A172" s="5" t="s">
        <v>25982</v>
      </c>
      <c r="B172" s="6">
        <v>421.875</v>
      </c>
      <c r="C172" s="6">
        <v>20.478950000000001</v>
      </c>
      <c r="D172" s="6">
        <v>73</v>
      </c>
      <c r="E172" s="6">
        <v>0</v>
      </c>
      <c r="F172" s="6">
        <v>0</v>
      </c>
      <c r="G172" s="6">
        <v>14</v>
      </c>
      <c r="H172" s="6" t="s">
        <v>25983</v>
      </c>
      <c r="I172" s="6">
        <v>535.5</v>
      </c>
      <c r="J172" s="2">
        <f t="shared" si="2"/>
        <v>43748.435119710644</v>
      </c>
    </row>
    <row r="173" spans="1:10" x14ac:dyDescent="0.25">
      <c r="A173" s="7" t="s">
        <v>25984</v>
      </c>
      <c r="B173" s="8">
        <v>421.875</v>
      </c>
      <c r="C173" s="8">
        <v>20.478950000000001</v>
      </c>
      <c r="D173" s="8">
        <v>72</v>
      </c>
      <c r="E173" s="8">
        <v>0</v>
      </c>
      <c r="F173" s="8">
        <v>0</v>
      </c>
      <c r="G173" s="8">
        <v>14</v>
      </c>
      <c r="H173" s="8" t="s">
        <v>25985</v>
      </c>
      <c r="I173" s="8">
        <v>535.5</v>
      </c>
      <c r="J173" s="3">
        <f t="shared" si="2"/>
        <v>43748.435191562494</v>
      </c>
    </row>
    <row r="174" spans="1:10" x14ac:dyDescent="0.25">
      <c r="A174" s="5" t="s">
        <v>25986</v>
      </c>
      <c r="B174" s="6">
        <v>421.875</v>
      </c>
      <c r="C174" s="6">
        <v>20.478950000000001</v>
      </c>
      <c r="D174" s="6">
        <v>73</v>
      </c>
      <c r="E174" s="6">
        <v>0</v>
      </c>
      <c r="F174" s="6">
        <v>0</v>
      </c>
      <c r="G174" s="6">
        <v>14</v>
      </c>
      <c r="H174" s="6" t="s">
        <v>25987</v>
      </c>
      <c r="I174" s="6">
        <v>535.5</v>
      </c>
      <c r="J174" s="2">
        <f t="shared" si="2"/>
        <v>43748.435275023141</v>
      </c>
    </row>
    <row r="175" spans="1:10" x14ac:dyDescent="0.25">
      <c r="A175" s="7" t="s">
        <v>25988</v>
      </c>
      <c r="B175" s="8">
        <v>440.625</v>
      </c>
      <c r="C175" s="8">
        <v>20.478950000000001</v>
      </c>
      <c r="D175" s="8">
        <v>73</v>
      </c>
      <c r="E175" s="8">
        <v>0</v>
      </c>
      <c r="F175" s="8">
        <v>0</v>
      </c>
      <c r="G175" s="8">
        <v>18</v>
      </c>
      <c r="H175" s="8" t="s">
        <v>25989</v>
      </c>
      <c r="I175" s="8">
        <v>541.125</v>
      </c>
      <c r="J175" s="3">
        <f t="shared" si="2"/>
        <v>43748.435358599534</v>
      </c>
    </row>
    <row r="176" spans="1:10" x14ac:dyDescent="0.25">
      <c r="A176" s="5" t="s">
        <v>25990</v>
      </c>
      <c r="B176" s="6">
        <v>421.875</v>
      </c>
      <c r="C176" s="6">
        <v>20.478950000000001</v>
      </c>
      <c r="D176" s="6">
        <v>72</v>
      </c>
      <c r="E176" s="6">
        <v>0</v>
      </c>
      <c r="F176" s="6">
        <v>0</v>
      </c>
      <c r="G176" s="6">
        <v>12</v>
      </c>
      <c r="H176" s="6" t="s">
        <v>25991</v>
      </c>
      <c r="I176" s="6">
        <v>535.5</v>
      </c>
      <c r="J176" s="2">
        <f t="shared" si="2"/>
        <v>43748.435441689813</v>
      </c>
    </row>
    <row r="177" spans="1:10" x14ac:dyDescent="0.25">
      <c r="A177" s="7" t="s">
        <v>25992</v>
      </c>
      <c r="B177" s="8">
        <v>421.875</v>
      </c>
      <c r="C177" s="8">
        <v>20.478950000000001</v>
      </c>
      <c r="D177" s="8">
        <v>72</v>
      </c>
      <c r="E177" s="8">
        <v>0</v>
      </c>
      <c r="F177" s="8">
        <v>0</v>
      </c>
      <c r="G177" s="8">
        <v>5</v>
      </c>
      <c r="H177" s="8" t="s">
        <v>25993</v>
      </c>
      <c r="I177" s="8">
        <v>535.5</v>
      </c>
      <c r="J177" s="3">
        <f t="shared" si="2"/>
        <v>43748.4355134375</v>
      </c>
    </row>
    <row r="178" spans="1:10" x14ac:dyDescent="0.25">
      <c r="A178" s="5" t="s">
        <v>25994</v>
      </c>
      <c r="B178" s="6">
        <v>421.875</v>
      </c>
      <c r="C178" s="6">
        <v>20.478950000000001</v>
      </c>
      <c r="D178" s="6">
        <v>72</v>
      </c>
      <c r="E178" s="6">
        <v>0</v>
      </c>
      <c r="F178" s="6">
        <v>0</v>
      </c>
      <c r="G178" s="6">
        <v>14</v>
      </c>
      <c r="H178" s="6" t="s">
        <v>25995</v>
      </c>
      <c r="I178" s="6">
        <v>535.5</v>
      </c>
      <c r="J178" s="2">
        <f t="shared" si="2"/>
        <v>43748.435597372685</v>
      </c>
    </row>
    <row r="179" spans="1:10" x14ac:dyDescent="0.25">
      <c r="A179" s="7" t="s">
        <v>25996</v>
      </c>
      <c r="B179" s="8">
        <v>421.875</v>
      </c>
      <c r="C179" s="8">
        <v>20.478950000000001</v>
      </c>
      <c r="D179" s="8">
        <v>72</v>
      </c>
      <c r="E179" s="8">
        <v>0</v>
      </c>
      <c r="F179" s="8">
        <v>0</v>
      </c>
      <c r="G179" s="8">
        <v>10</v>
      </c>
      <c r="H179" s="8" t="s">
        <v>25997</v>
      </c>
      <c r="I179" s="8">
        <v>535.5</v>
      </c>
      <c r="J179" s="3">
        <f t="shared" si="2"/>
        <v>43748.435680567127</v>
      </c>
    </row>
    <row r="180" spans="1:10" x14ac:dyDescent="0.25">
      <c r="A180" s="5" t="s">
        <v>25998</v>
      </c>
      <c r="B180" s="6">
        <v>440.625</v>
      </c>
      <c r="C180" s="6">
        <v>20.478950000000001</v>
      </c>
      <c r="D180" s="6">
        <v>72</v>
      </c>
      <c r="E180" s="6">
        <v>0</v>
      </c>
      <c r="F180" s="6">
        <v>0</v>
      </c>
      <c r="G180" s="6">
        <v>11</v>
      </c>
      <c r="H180" s="6" t="s">
        <v>25999</v>
      </c>
      <c r="I180" s="6">
        <v>541.125</v>
      </c>
      <c r="J180" s="2">
        <f t="shared" si="2"/>
        <v>43748.435763900459</v>
      </c>
    </row>
    <row r="181" spans="1:10" x14ac:dyDescent="0.25">
      <c r="A181" s="7" t="s">
        <v>26000</v>
      </c>
      <c r="B181" s="8">
        <v>418.75</v>
      </c>
      <c r="C181" s="8">
        <v>20.478950000000001</v>
      </c>
      <c r="D181" s="8">
        <v>72</v>
      </c>
      <c r="E181" s="8">
        <v>0</v>
      </c>
      <c r="F181" s="8">
        <v>0</v>
      </c>
      <c r="G181" s="8">
        <v>8</v>
      </c>
      <c r="H181" s="8" t="s">
        <v>26001</v>
      </c>
      <c r="I181" s="8">
        <v>534.75</v>
      </c>
      <c r="J181" s="3">
        <f t="shared" si="2"/>
        <v>43748.435847824068</v>
      </c>
    </row>
    <row r="182" spans="1:10" x14ac:dyDescent="0.25">
      <c r="A182" s="5" t="s">
        <v>26002</v>
      </c>
      <c r="B182" s="6">
        <v>418.75</v>
      </c>
      <c r="C182" s="6">
        <v>20.478950000000001</v>
      </c>
      <c r="D182" s="6">
        <v>73</v>
      </c>
      <c r="E182" s="6">
        <v>0</v>
      </c>
      <c r="F182" s="6">
        <v>0</v>
      </c>
      <c r="G182" s="6">
        <v>14</v>
      </c>
      <c r="H182" s="6" t="s">
        <v>26003</v>
      </c>
      <c r="I182" s="6">
        <v>534.75</v>
      </c>
      <c r="J182" s="2">
        <f t="shared" si="2"/>
        <v>43748.435930706015</v>
      </c>
    </row>
    <row r="183" spans="1:10" x14ac:dyDescent="0.25">
      <c r="A183" s="7" t="s">
        <v>26004</v>
      </c>
      <c r="B183" s="8">
        <v>418.75</v>
      </c>
      <c r="C183" s="8">
        <v>20.478950000000001</v>
      </c>
      <c r="D183" s="8">
        <v>73</v>
      </c>
      <c r="E183" s="8">
        <v>0</v>
      </c>
      <c r="F183" s="8">
        <v>0</v>
      </c>
      <c r="G183" s="8">
        <v>20</v>
      </c>
      <c r="H183" s="8" t="s">
        <v>26005</v>
      </c>
      <c r="I183" s="8">
        <v>534.75</v>
      </c>
      <c r="J183" s="3">
        <f t="shared" si="2"/>
        <v>43748.436002349532</v>
      </c>
    </row>
    <row r="184" spans="1:10" x14ac:dyDescent="0.25">
      <c r="A184" s="5" t="s">
        <v>26006</v>
      </c>
      <c r="B184" s="6">
        <v>418.75</v>
      </c>
      <c r="C184" s="6">
        <v>20.478950000000001</v>
      </c>
      <c r="D184" s="6">
        <v>72</v>
      </c>
      <c r="E184" s="6">
        <v>0</v>
      </c>
      <c r="F184" s="6">
        <v>0</v>
      </c>
      <c r="G184" s="6">
        <v>13</v>
      </c>
      <c r="H184" s="6" t="s">
        <v>26007</v>
      </c>
      <c r="I184" s="6">
        <v>534</v>
      </c>
      <c r="J184" s="2">
        <f t="shared" si="2"/>
        <v>43748.436086238427</v>
      </c>
    </row>
    <row r="185" spans="1:10" x14ac:dyDescent="0.25">
      <c r="A185" s="7" t="s">
        <v>26008</v>
      </c>
      <c r="B185" s="8">
        <v>450</v>
      </c>
      <c r="C185" s="8">
        <v>20.478950000000001</v>
      </c>
      <c r="D185" s="8">
        <v>73</v>
      </c>
      <c r="E185" s="8">
        <v>0</v>
      </c>
      <c r="F185" s="8">
        <v>0</v>
      </c>
      <c r="G185" s="8">
        <v>8</v>
      </c>
      <c r="H185" s="8" t="s">
        <v>26009</v>
      </c>
      <c r="I185" s="8">
        <v>544.6875</v>
      </c>
      <c r="J185" s="3">
        <f t="shared" si="2"/>
        <v>43748.436169583329</v>
      </c>
    </row>
    <row r="186" spans="1:10" x14ac:dyDescent="0.25">
      <c r="A186" s="5" t="s">
        <v>26010</v>
      </c>
      <c r="B186" s="6">
        <v>415.625</v>
      </c>
      <c r="C186" s="6">
        <v>20.478950000000001</v>
      </c>
      <c r="D186" s="6">
        <v>72</v>
      </c>
      <c r="E186" s="6">
        <v>0</v>
      </c>
      <c r="F186" s="6">
        <v>0</v>
      </c>
      <c r="G186" s="6">
        <v>12</v>
      </c>
      <c r="H186" s="6" t="s">
        <v>26011</v>
      </c>
      <c r="I186" s="6">
        <v>533.0625</v>
      </c>
      <c r="J186" s="2">
        <f t="shared" si="2"/>
        <v>43748.436241122683</v>
      </c>
    </row>
    <row r="187" spans="1:10" x14ac:dyDescent="0.25">
      <c r="A187" s="7" t="s">
        <v>26012</v>
      </c>
      <c r="B187" s="8">
        <v>415.625</v>
      </c>
      <c r="C187" s="8">
        <v>20.478950000000001</v>
      </c>
      <c r="D187" s="8">
        <v>72</v>
      </c>
      <c r="E187" s="8">
        <v>0</v>
      </c>
      <c r="F187" s="8">
        <v>0</v>
      </c>
      <c r="G187" s="8">
        <v>12</v>
      </c>
      <c r="H187" s="8" t="s">
        <v>26013</v>
      </c>
      <c r="I187" s="8">
        <v>533.8125</v>
      </c>
      <c r="J187" s="3">
        <f t="shared" si="2"/>
        <v>43748.436324548609</v>
      </c>
    </row>
    <row r="188" spans="1:10" x14ac:dyDescent="0.25">
      <c r="A188" s="5" t="s">
        <v>26014</v>
      </c>
      <c r="B188" s="6">
        <v>418.75</v>
      </c>
      <c r="C188" s="6">
        <v>20.478950000000001</v>
      </c>
      <c r="D188" s="6">
        <v>72</v>
      </c>
      <c r="E188" s="6">
        <v>0</v>
      </c>
      <c r="F188" s="6">
        <v>0</v>
      </c>
      <c r="G188" s="6">
        <v>8</v>
      </c>
      <c r="H188" s="6" t="s">
        <v>26015</v>
      </c>
      <c r="I188" s="6">
        <v>534</v>
      </c>
      <c r="J188" s="2">
        <f t="shared" si="2"/>
        <v>43748.436408136571</v>
      </c>
    </row>
    <row r="189" spans="1:10" x14ac:dyDescent="0.25">
      <c r="A189" s="7" t="s">
        <v>26016</v>
      </c>
      <c r="B189" s="8">
        <v>418.75</v>
      </c>
      <c r="C189" s="8">
        <v>20.478950000000001</v>
      </c>
      <c r="D189" s="8">
        <v>72</v>
      </c>
      <c r="E189" s="8">
        <v>0</v>
      </c>
      <c r="F189" s="8">
        <v>0</v>
      </c>
      <c r="G189" s="8">
        <v>5</v>
      </c>
      <c r="H189" s="8" t="s">
        <v>26017</v>
      </c>
      <c r="I189" s="8">
        <v>534</v>
      </c>
      <c r="J189" s="3">
        <f t="shared" si="2"/>
        <v>43748.436491585649</v>
      </c>
    </row>
    <row r="190" spans="1:10" x14ac:dyDescent="0.25">
      <c r="A190" s="5" t="s">
        <v>26018</v>
      </c>
      <c r="B190" s="6">
        <v>434.375</v>
      </c>
      <c r="C190" s="6">
        <v>20.478950000000001</v>
      </c>
      <c r="D190" s="6">
        <v>69</v>
      </c>
      <c r="E190" s="6">
        <v>0</v>
      </c>
      <c r="F190" s="6">
        <v>0</v>
      </c>
      <c r="G190" s="6">
        <v>10</v>
      </c>
      <c r="H190" s="6" t="s">
        <v>26019</v>
      </c>
      <c r="I190" s="6">
        <v>539.625</v>
      </c>
      <c r="J190" s="2">
        <f t="shared" si="2"/>
        <v>43748.436575219901</v>
      </c>
    </row>
    <row r="191" spans="1:10" x14ac:dyDescent="0.25">
      <c r="A191" s="7" t="s">
        <v>26020</v>
      </c>
      <c r="B191" s="8">
        <v>418.75</v>
      </c>
      <c r="C191" s="8">
        <v>20.478950000000001</v>
      </c>
      <c r="D191" s="8">
        <v>75</v>
      </c>
      <c r="E191" s="8">
        <v>0</v>
      </c>
      <c r="F191" s="8">
        <v>0</v>
      </c>
      <c r="G191" s="8">
        <v>17</v>
      </c>
      <c r="H191" s="8" t="s">
        <v>26021</v>
      </c>
      <c r="I191" s="8">
        <v>534</v>
      </c>
      <c r="J191" s="3">
        <f t="shared" si="2"/>
        <v>43748.436658599538</v>
      </c>
    </row>
    <row r="192" spans="1:10" x14ac:dyDescent="0.25">
      <c r="A192" s="5" t="s">
        <v>26022</v>
      </c>
      <c r="B192" s="6">
        <v>415.625</v>
      </c>
      <c r="C192" s="6">
        <v>20.478950000000001</v>
      </c>
      <c r="D192" s="6">
        <v>74</v>
      </c>
      <c r="E192" s="6">
        <v>0</v>
      </c>
      <c r="F192" s="6">
        <v>0</v>
      </c>
      <c r="G192" s="6">
        <v>11</v>
      </c>
      <c r="H192" s="6" t="s">
        <v>26023</v>
      </c>
      <c r="I192" s="6">
        <v>533.25</v>
      </c>
      <c r="J192" s="2">
        <f t="shared" si="2"/>
        <v>43748.436741793979</v>
      </c>
    </row>
    <row r="193" spans="1:10" x14ac:dyDescent="0.25">
      <c r="A193" s="7" t="s">
        <v>26024</v>
      </c>
      <c r="B193" s="8">
        <v>418.75</v>
      </c>
      <c r="C193" s="8">
        <v>20.478950000000001</v>
      </c>
      <c r="D193" s="8">
        <v>74</v>
      </c>
      <c r="E193" s="8">
        <v>0</v>
      </c>
      <c r="F193" s="8">
        <v>0</v>
      </c>
      <c r="G193" s="8">
        <v>5</v>
      </c>
      <c r="H193" s="8" t="s">
        <v>26025</v>
      </c>
      <c r="I193" s="8">
        <v>534</v>
      </c>
      <c r="J193" s="3">
        <f t="shared" si="2"/>
        <v>43748.436813460641</v>
      </c>
    </row>
    <row r="194" spans="1:10" x14ac:dyDescent="0.25">
      <c r="A194" s="5" t="s">
        <v>26026</v>
      </c>
      <c r="B194" s="6">
        <v>415.625</v>
      </c>
      <c r="C194" s="6">
        <v>20.478950000000001</v>
      </c>
      <c r="D194" s="6">
        <v>72</v>
      </c>
      <c r="E194" s="6">
        <v>0</v>
      </c>
      <c r="F194" s="6">
        <v>0</v>
      </c>
      <c r="G194" s="6">
        <v>11</v>
      </c>
      <c r="H194" s="6" t="s">
        <v>26027</v>
      </c>
      <c r="I194" s="6">
        <v>533.0625</v>
      </c>
      <c r="J194" s="2">
        <f t="shared" ref="J194:J257" si="3">(H194/86400000)+25569+(7/24)</f>
        <v>43748.436897384257</v>
      </c>
    </row>
    <row r="195" spans="1:10" x14ac:dyDescent="0.25">
      <c r="A195" s="7" t="s">
        <v>26028</v>
      </c>
      <c r="B195" s="8">
        <v>415.625</v>
      </c>
      <c r="C195" s="8">
        <v>20.478950000000001</v>
      </c>
      <c r="D195" s="8">
        <v>73</v>
      </c>
      <c r="E195" s="8">
        <v>0</v>
      </c>
      <c r="F195" s="8">
        <v>0</v>
      </c>
      <c r="G195" s="8">
        <v>12</v>
      </c>
      <c r="H195" s="8" t="s">
        <v>26029</v>
      </c>
      <c r="I195" s="8">
        <v>533.0625</v>
      </c>
      <c r="J195" s="3">
        <f t="shared" si="3"/>
        <v>43748.436980706021</v>
      </c>
    </row>
    <row r="196" spans="1:10" x14ac:dyDescent="0.25">
      <c r="A196" s="5" t="s">
        <v>26030</v>
      </c>
      <c r="B196" s="6">
        <v>415.625</v>
      </c>
      <c r="C196" s="6">
        <v>20.478950000000001</v>
      </c>
      <c r="D196" s="6">
        <v>74</v>
      </c>
      <c r="E196" s="6">
        <v>0</v>
      </c>
      <c r="F196" s="6">
        <v>0</v>
      </c>
      <c r="G196" s="6">
        <v>17</v>
      </c>
      <c r="H196" s="6" t="s">
        <v>26031</v>
      </c>
      <c r="I196" s="6">
        <v>533.25</v>
      </c>
      <c r="J196" s="2">
        <f t="shared" si="3"/>
        <v>43748.437063935184</v>
      </c>
    </row>
    <row r="197" spans="1:10" x14ac:dyDescent="0.25">
      <c r="A197" s="7" t="s">
        <v>26032</v>
      </c>
      <c r="B197" s="8">
        <v>415.625</v>
      </c>
      <c r="C197" s="8">
        <v>20.531590000000001</v>
      </c>
      <c r="D197" s="8">
        <v>75</v>
      </c>
      <c r="E197" s="8">
        <v>0</v>
      </c>
      <c r="F197" s="8">
        <v>0</v>
      </c>
      <c r="G197" s="8">
        <v>7</v>
      </c>
      <c r="H197" s="8" t="s">
        <v>26033</v>
      </c>
      <c r="I197" s="8">
        <v>533.25</v>
      </c>
      <c r="J197" s="3">
        <f t="shared" si="3"/>
        <v>43748.437147476849</v>
      </c>
    </row>
    <row r="198" spans="1:10" x14ac:dyDescent="0.25">
      <c r="A198" s="5" t="s">
        <v>26034</v>
      </c>
      <c r="B198" s="6">
        <v>415.625</v>
      </c>
      <c r="C198" s="6">
        <v>20.478950000000001</v>
      </c>
      <c r="D198" s="6">
        <v>73</v>
      </c>
      <c r="E198" s="6">
        <v>0</v>
      </c>
      <c r="F198" s="6">
        <v>0</v>
      </c>
      <c r="G198" s="6">
        <v>15</v>
      </c>
      <c r="H198" s="6" t="s">
        <v>26035</v>
      </c>
      <c r="I198" s="6">
        <v>533.25</v>
      </c>
      <c r="J198" s="2">
        <f t="shared" si="3"/>
        <v>43748.437230694442</v>
      </c>
    </row>
    <row r="199" spans="1:10" x14ac:dyDescent="0.25">
      <c r="A199" s="7" t="s">
        <v>26036</v>
      </c>
      <c r="B199" s="8">
        <v>415.625</v>
      </c>
      <c r="C199" s="8">
        <v>20.478950000000001</v>
      </c>
      <c r="D199" s="8">
        <v>73</v>
      </c>
      <c r="E199" s="8">
        <v>0</v>
      </c>
      <c r="F199" s="8">
        <v>0</v>
      </c>
      <c r="G199" s="8">
        <v>13</v>
      </c>
      <c r="H199" s="8" t="s">
        <v>26037</v>
      </c>
      <c r="I199" s="8">
        <v>533.0625</v>
      </c>
      <c r="J199" s="3">
        <f t="shared" si="3"/>
        <v>43748.437302337959</v>
      </c>
    </row>
    <row r="200" spans="1:10" x14ac:dyDescent="0.25">
      <c r="A200" s="5" t="s">
        <v>26038</v>
      </c>
      <c r="B200" s="6">
        <v>415.625</v>
      </c>
      <c r="C200" s="6">
        <v>20.478950000000001</v>
      </c>
      <c r="D200" s="6">
        <v>73</v>
      </c>
      <c r="E200" s="6">
        <v>0</v>
      </c>
      <c r="F200" s="6">
        <v>0</v>
      </c>
      <c r="G200" s="6">
        <v>6</v>
      </c>
      <c r="H200" s="6" t="s">
        <v>26039</v>
      </c>
      <c r="I200" s="6">
        <v>533.0625</v>
      </c>
      <c r="J200" s="2">
        <f t="shared" si="3"/>
        <v>43748.437386134254</v>
      </c>
    </row>
    <row r="201" spans="1:10" x14ac:dyDescent="0.25">
      <c r="A201" s="7" t="s">
        <v>26040</v>
      </c>
      <c r="B201" s="8">
        <v>412.5</v>
      </c>
      <c r="C201" s="8">
        <v>20.478950000000001</v>
      </c>
      <c r="D201" s="8">
        <v>73</v>
      </c>
      <c r="E201" s="8">
        <v>0</v>
      </c>
      <c r="F201" s="8">
        <v>0</v>
      </c>
      <c r="G201" s="8">
        <v>11</v>
      </c>
      <c r="H201" s="8" t="s">
        <v>26041</v>
      </c>
      <c r="I201" s="8">
        <v>532.3125</v>
      </c>
      <c r="J201" s="3">
        <f t="shared" si="3"/>
        <v>43748.437469456017</v>
      </c>
    </row>
    <row r="202" spans="1:10" x14ac:dyDescent="0.25">
      <c r="A202" s="5" t="s">
        <v>26042</v>
      </c>
      <c r="B202" s="6">
        <v>412.5</v>
      </c>
      <c r="C202" s="6">
        <v>20.478950000000001</v>
      </c>
      <c r="D202" s="6">
        <v>79</v>
      </c>
      <c r="E202" s="6">
        <v>0</v>
      </c>
      <c r="F202" s="6">
        <v>0</v>
      </c>
      <c r="G202" s="6">
        <v>0</v>
      </c>
      <c r="H202" s="6" t="s">
        <v>26043</v>
      </c>
      <c r="I202" s="6">
        <v>532.3125</v>
      </c>
      <c r="J202" s="2">
        <f t="shared" si="3"/>
        <v>43748.437759826389</v>
      </c>
    </row>
    <row r="203" spans="1:10" x14ac:dyDescent="0.25">
      <c r="A203" s="7" t="s">
        <v>26044</v>
      </c>
      <c r="B203" s="8">
        <v>415.625</v>
      </c>
      <c r="C203" s="8">
        <v>20.531590000000001</v>
      </c>
      <c r="D203" s="8">
        <v>70</v>
      </c>
      <c r="E203" s="8">
        <v>0</v>
      </c>
      <c r="F203" s="8">
        <v>0</v>
      </c>
      <c r="G203" s="8">
        <v>0</v>
      </c>
      <c r="H203" s="8" t="s">
        <v>26045</v>
      </c>
      <c r="I203" s="8">
        <v>533.0625</v>
      </c>
      <c r="J203" s="3">
        <f t="shared" si="3"/>
        <v>43748.437831435185</v>
      </c>
    </row>
    <row r="204" spans="1:10" x14ac:dyDescent="0.25">
      <c r="A204" s="5" t="s">
        <v>26046</v>
      </c>
      <c r="B204" s="6">
        <v>443.75</v>
      </c>
      <c r="C204" s="6">
        <v>20.478950000000001</v>
      </c>
      <c r="D204" s="6">
        <v>70</v>
      </c>
      <c r="E204" s="6">
        <v>0</v>
      </c>
      <c r="F204" s="6">
        <v>0</v>
      </c>
      <c r="G204" s="6">
        <v>0</v>
      </c>
      <c r="H204" s="6" t="s">
        <v>26047</v>
      </c>
      <c r="I204" s="6">
        <v>542.4375</v>
      </c>
      <c r="J204" s="2">
        <f t="shared" si="3"/>
        <v>43748.437914699076</v>
      </c>
    </row>
    <row r="205" spans="1:10" x14ac:dyDescent="0.25">
      <c r="A205" s="7" t="s">
        <v>26048</v>
      </c>
      <c r="B205" s="8">
        <v>412.5</v>
      </c>
      <c r="C205" s="8">
        <v>20.478950000000001</v>
      </c>
      <c r="D205" s="8">
        <v>70</v>
      </c>
      <c r="E205" s="8">
        <v>0</v>
      </c>
      <c r="F205" s="8">
        <v>0</v>
      </c>
      <c r="G205" s="8">
        <v>0</v>
      </c>
      <c r="H205" s="8" t="s">
        <v>26049</v>
      </c>
      <c r="I205" s="8">
        <v>532.3125</v>
      </c>
      <c r="J205" s="3">
        <f t="shared" si="3"/>
        <v>43748.437998125002</v>
      </c>
    </row>
    <row r="206" spans="1:10" x14ac:dyDescent="0.25">
      <c r="A206" s="5" t="s">
        <v>26050</v>
      </c>
      <c r="B206" s="6">
        <v>412.5</v>
      </c>
      <c r="C206" s="6">
        <v>20.478950000000001</v>
      </c>
      <c r="D206" s="6">
        <v>69</v>
      </c>
      <c r="E206" s="6">
        <v>0</v>
      </c>
      <c r="F206" s="6">
        <v>0</v>
      </c>
      <c r="G206" s="6">
        <v>3</v>
      </c>
      <c r="H206" s="6" t="s">
        <v>26051</v>
      </c>
      <c r="I206" s="6">
        <v>532.3125</v>
      </c>
      <c r="J206" s="2">
        <f t="shared" si="3"/>
        <v>43748.438069652773</v>
      </c>
    </row>
    <row r="207" spans="1:10" x14ac:dyDescent="0.25">
      <c r="A207" s="7" t="s">
        <v>26052</v>
      </c>
      <c r="B207" s="8">
        <v>412.5</v>
      </c>
      <c r="C207" s="8">
        <v>20.478950000000001</v>
      </c>
      <c r="D207" s="8">
        <v>69</v>
      </c>
      <c r="E207" s="8">
        <v>0</v>
      </c>
      <c r="F207" s="8">
        <v>0</v>
      </c>
      <c r="G207" s="8">
        <v>3</v>
      </c>
      <c r="H207" s="8" t="s">
        <v>26053</v>
      </c>
      <c r="I207" s="8">
        <v>532.3125</v>
      </c>
      <c r="J207" s="3">
        <f t="shared" si="3"/>
        <v>43748.438152881943</v>
      </c>
    </row>
    <row r="208" spans="1:10" x14ac:dyDescent="0.25">
      <c r="A208" s="5" t="s">
        <v>26054</v>
      </c>
      <c r="B208" s="6">
        <v>415.625</v>
      </c>
      <c r="C208" s="6">
        <v>20.478950000000001</v>
      </c>
      <c r="D208" s="6">
        <v>69</v>
      </c>
      <c r="E208" s="6">
        <v>0</v>
      </c>
      <c r="F208" s="6">
        <v>0</v>
      </c>
      <c r="G208" s="6">
        <v>3</v>
      </c>
      <c r="H208" s="6" t="s">
        <v>26055</v>
      </c>
      <c r="I208" s="6">
        <v>533.0625</v>
      </c>
      <c r="J208" s="2">
        <f t="shared" si="3"/>
        <v>43748.438224629623</v>
      </c>
    </row>
    <row r="209" spans="1:10" x14ac:dyDescent="0.25">
      <c r="A209" s="7" t="s">
        <v>26056</v>
      </c>
      <c r="B209" s="8">
        <v>412.5</v>
      </c>
      <c r="C209" s="8">
        <v>20.478950000000001</v>
      </c>
      <c r="D209" s="8">
        <v>71</v>
      </c>
      <c r="E209" s="8">
        <v>0</v>
      </c>
      <c r="F209" s="8">
        <v>0</v>
      </c>
      <c r="G209" s="8">
        <v>3</v>
      </c>
      <c r="H209" s="8" t="s">
        <v>26057</v>
      </c>
      <c r="I209" s="8">
        <v>532.3125</v>
      </c>
      <c r="J209" s="3">
        <f t="shared" si="3"/>
        <v>43748.43830833333</v>
      </c>
    </row>
    <row r="210" spans="1:10" x14ac:dyDescent="0.25">
      <c r="A210" s="5" t="s">
        <v>26058</v>
      </c>
      <c r="B210" s="6">
        <v>409.375</v>
      </c>
      <c r="C210" s="6">
        <v>20.478950000000001</v>
      </c>
      <c r="D210" s="6">
        <v>71</v>
      </c>
      <c r="E210" s="6">
        <v>0</v>
      </c>
      <c r="F210" s="6">
        <v>0</v>
      </c>
      <c r="G210" s="6">
        <v>0</v>
      </c>
      <c r="H210" s="6" t="s">
        <v>26059</v>
      </c>
      <c r="I210" s="6">
        <v>531.5625</v>
      </c>
      <c r="J210" s="2">
        <f t="shared" si="3"/>
        <v>43748.438391655094</v>
      </c>
    </row>
    <row r="211" spans="1:10" x14ac:dyDescent="0.25">
      <c r="A211" s="7" t="s">
        <v>26060</v>
      </c>
      <c r="B211" s="8">
        <v>409.375</v>
      </c>
      <c r="C211" s="8">
        <v>20.478950000000001</v>
      </c>
      <c r="D211" s="8">
        <v>70</v>
      </c>
      <c r="E211" s="8">
        <v>0</v>
      </c>
      <c r="F211" s="8">
        <v>0</v>
      </c>
      <c r="G211" s="8">
        <v>16</v>
      </c>
      <c r="H211" s="8" t="s">
        <v>26061</v>
      </c>
      <c r="I211" s="8">
        <v>531.5625</v>
      </c>
      <c r="J211" s="3">
        <f t="shared" si="3"/>
        <v>43748.438474976851</v>
      </c>
    </row>
    <row r="212" spans="1:10" x14ac:dyDescent="0.25">
      <c r="A212" s="5" t="s">
        <v>26062</v>
      </c>
      <c r="B212" s="6">
        <v>406.25</v>
      </c>
      <c r="C212" s="6">
        <v>20.531590000000001</v>
      </c>
      <c r="D212" s="6">
        <v>70</v>
      </c>
      <c r="E212" s="6">
        <v>0</v>
      </c>
      <c r="F212" s="6">
        <v>0</v>
      </c>
      <c r="G212" s="6">
        <v>11</v>
      </c>
      <c r="H212" s="6" t="s">
        <v>26063</v>
      </c>
      <c r="I212" s="6">
        <v>530.8125</v>
      </c>
      <c r="J212" s="2">
        <f t="shared" si="3"/>
        <v>43748.438558668982</v>
      </c>
    </row>
    <row r="213" spans="1:10" x14ac:dyDescent="0.25">
      <c r="A213" s="7" t="s">
        <v>26064</v>
      </c>
      <c r="B213" s="8">
        <v>406.25</v>
      </c>
      <c r="C213" s="8">
        <v>20.478950000000001</v>
      </c>
      <c r="D213" s="8">
        <v>71</v>
      </c>
      <c r="E213" s="8">
        <v>0</v>
      </c>
      <c r="F213" s="8">
        <v>0</v>
      </c>
      <c r="G213" s="8">
        <v>10</v>
      </c>
      <c r="H213" s="8" t="s">
        <v>26065</v>
      </c>
      <c r="I213" s="8">
        <v>530.8125</v>
      </c>
      <c r="J213" s="3">
        <f t="shared" si="3"/>
        <v>43748.438641759254</v>
      </c>
    </row>
    <row r="214" spans="1:10" x14ac:dyDescent="0.25">
      <c r="A214" s="5" t="s">
        <v>26066</v>
      </c>
      <c r="B214" s="6">
        <v>406.25</v>
      </c>
      <c r="C214" s="6">
        <v>20.478950000000001</v>
      </c>
      <c r="D214" s="6">
        <v>71</v>
      </c>
      <c r="E214" s="6">
        <v>0</v>
      </c>
      <c r="F214" s="6">
        <v>0</v>
      </c>
      <c r="G214" s="6">
        <v>12</v>
      </c>
      <c r="H214" s="6" t="s">
        <v>26067</v>
      </c>
      <c r="I214" s="6">
        <v>530.8125</v>
      </c>
      <c r="J214" s="2">
        <f t="shared" si="3"/>
        <v>43748.438713402771</v>
      </c>
    </row>
    <row r="215" spans="1:10" x14ac:dyDescent="0.25">
      <c r="A215" s="7" t="s">
        <v>26068</v>
      </c>
      <c r="B215" s="8">
        <v>406.25</v>
      </c>
      <c r="C215" s="8">
        <v>20.478950000000001</v>
      </c>
      <c r="D215" s="8">
        <v>68</v>
      </c>
      <c r="E215" s="8">
        <v>0</v>
      </c>
      <c r="F215" s="8">
        <v>0</v>
      </c>
      <c r="G215" s="8">
        <v>10</v>
      </c>
      <c r="H215" s="8" t="s">
        <v>26069</v>
      </c>
      <c r="I215" s="8">
        <v>530.8125</v>
      </c>
      <c r="J215" s="3">
        <f t="shared" si="3"/>
        <v>43748.438797337956</v>
      </c>
    </row>
    <row r="216" spans="1:10" x14ac:dyDescent="0.25">
      <c r="A216" s="5" t="s">
        <v>26070</v>
      </c>
      <c r="B216" s="6">
        <v>409.375</v>
      </c>
      <c r="C216" s="6">
        <v>20.478950000000001</v>
      </c>
      <c r="D216" s="6">
        <v>68</v>
      </c>
      <c r="E216" s="6">
        <v>0</v>
      </c>
      <c r="F216" s="6">
        <v>0</v>
      </c>
      <c r="G216" s="6">
        <v>5</v>
      </c>
      <c r="H216" s="6" t="s">
        <v>26071</v>
      </c>
      <c r="I216" s="6">
        <v>531.5625</v>
      </c>
      <c r="J216" s="2">
        <f t="shared" si="3"/>
        <v>43748.438868738427</v>
      </c>
    </row>
    <row r="217" spans="1:10" x14ac:dyDescent="0.25">
      <c r="A217" s="7" t="s">
        <v>26072</v>
      </c>
      <c r="B217" s="8">
        <v>406.25</v>
      </c>
      <c r="C217" s="8">
        <v>20.478950000000001</v>
      </c>
      <c r="D217" s="8">
        <v>66</v>
      </c>
      <c r="E217" s="8">
        <v>0</v>
      </c>
      <c r="F217" s="8">
        <v>0</v>
      </c>
      <c r="G217" s="8">
        <v>10</v>
      </c>
      <c r="H217" s="8" t="s">
        <v>26073</v>
      </c>
      <c r="I217" s="8">
        <v>530.625</v>
      </c>
      <c r="J217" s="3">
        <f t="shared" si="3"/>
        <v>43748.438952187498</v>
      </c>
    </row>
    <row r="218" spans="1:10" x14ac:dyDescent="0.25">
      <c r="A218" s="5" t="s">
        <v>26074</v>
      </c>
      <c r="B218" s="6">
        <v>406.25</v>
      </c>
      <c r="C218" s="6">
        <v>20.478950000000001</v>
      </c>
      <c r="D218" s="6">
        <v>65</v>
      </c>
      <c r="E218" s="6">
        <v>0</v>
      </c>
      <c r="F218" s="6">
        <v>0</v>
      </c>
      <c r="G218" s="6">
        <v>11</v>
      </c>
      <c r="H218" s="6" t="s">
        <v>26075</v>
      </c>
      <c r="I218" s="6">
        <v>530.625</v>
      </c>
      <c r="J218" s="2">
        <f t="shared" si="3"/>
        <v>43748.439035636569</v>
      </c>
    </row>
    <row r="219" spans="1:10" x14ac:dyDescent="0.25">
      <c r="A219" s="7" t="s">
        <v>26076</v>
      </c>
      <c r="B219" s="8">
        <v>406.25</v>
      </c>
      <c r="C219" s="8">
        <v>20.478950000000001</v>
      </c>
      <c r="D219" s="8">
        <v>66</v>
      </c>
      <c r="E219" s="8">
        <v>0</v>
      </c>
      <c r="F219" s="8">
        <v>0</v>
      </c>
      <c r="G219" s="8">
        <v>5</v>
      </c>
      <c r="H219" s="8" t="s">
        <v>26077</v>
      </c>
      <c r="I219" s="8">
        <v>530.625</v>
      </c>
      <c r="J219" s="3">
        <f t="shared" si="3"/>
        <v>43748.43911918981</v>
      </c>
    </row>
    <row r="220" spans="1:10" x14ac:dyDescent="0.25">
      <c r="A220" s="5" t="s">
        <v>26078</v>
      </c>
      <c r="B220" s="6">
        <v>406.25</v>
      </c>
      <c r="C220" s="6">
        <v>20.478950000000001</v>
      </c>
      <c r="D220" s="6">
        <v>67</v>
      </c>
      <c r="E220" s="6">
        <v>0</v>
      </c>
      <c r="F220" s="6">
        <v>0</v>
      </c>
      <c r="G220" s="6">
        <v>0</v>
      </c>
      <c r="H220" s="6" t="s">
        <v>26079</v>
      </c>
      <c r="I220" s="6">
        <v>530.625</v>
      </c>
      <c r="J220" s="2">
        <f t="shared" si="3"/>
        <v>43748.439202638889</v>
      </c>
    </row>
    <row r="221" spans="1:10" x14ac:dyDescent="0.25">
      <c r="A221" s="7" t="s">
        <v>26080</v>
      </c>
      <c r="B221" s="8">
        <v>409.375</v>
      </c>
      <c r="C221" s="8">
        <v>20.478950000000001</v>
      </c>
      <c r="D221" s="8">
        <v>67</v>
      </c>
      <c r="E221" s="8">
        <v>0</v>
      </c>
      <c r="F221" s="8">
        <v>0</v>
      </c>
      <c r="G221" s="8">
        <v>4</v>
      </c>
      <c r="H221" s="8" t="s">
        <v>26081</v>
      </c>
      <c r="I221" s="8">
        <v>531.5625</v>
      </c>
      <c r="J221" s="3">
        <f t="shared" si="3"/>
        <v>43748.439286226851</v>
      </c>
    </row>
    <row r="222" spans="1:10" x14ac:dyDescent="0.25">
      <c r="A222" s="5" t="s">
        <v>26082</v>
      </c>
      <c r="B222" s="6">
        <v>437.5</v>
      </c>
      <c r="C222" s="6">
        <v>20.478950000000001</v>
      </c>
      <c r="D222" s="6">
        <v>66</v>
      </c>
      <c r="E222" s="6">
        <v>0</v>
      </c>
      <c r="F222" s="6">
        <v>0</v>
      </c>
      <c r="G222" s="6">
        <v>9</v>
      </c>
      <c r="H222" s="6" t="s">
        <v>26083</v>
      </c>
      <c r="I222" s="6">
        <v>540.1875</v>
      </c>
      <c r="J222" s="2">
        <f t="shared" si="3"/>
        <v>43748.439369560183</v>
      </c>
    </row>
    <row r="223" spans="1:10" x14ac:dyDescent="0.25">
      <c r="A223" s="7" t="s">
        <v>26084</v>
      </c>
      <c r="B223" s="8">
        <v>412.5</v>
      </c>
      <c r="C223" s="8">
        <v>20.478950000000001</v>
      </c>
      <c r="D223" s="8">
        <v>69</v>
      </c>
      <c r="E223" s="8">
        <v>0</v>
      </c>
      <c r="F223" s="8">
        <v>0</v>
      </c>
      <c r="G223" s="8">
        <v>8</v>
      </c>
      <c r="H223" s="8" t="s">
        <v>26085</v>
      </c>
      <c r="I223" s="8">
        <v>532.3125</v>
      </c>
      <c r="J223" s="3">
        <f t="shared" si="3"/>
        <v>43748.439452766201</v>
      </c>
    </row>
    <row r="224" spans="1:10" x14ac:dyDescent="0.25">
      <c r="A224" s="5" t="s">
        <v>26086</v>
      </c>
      <c r="B224" s="6">
        <v>412.5</v>
      </c>
      <c r="C224" s="6">
        <v>20.478950000000001</v>
      </c>
      <c r="D224" s="6">
        <v>69</v>
      </c>
      <c r="E224" s="6">
        <v>0</v>
      </c>
      <c r="F224" s="6">
        <v>0</v>
      </c>
      <c r="G224" s="6">
        <v>4</v>
      </c>
      <c r="H224" s="6" t="s">
        <v>26087</v>
      </c>
      <c r="I224" s="6">
        <v>532.3125</v>
      </c>
      <c r="J224" s="2">
        <f t="shared" si="3"/>
        <v>43748.439524629626</v>
      </c>
    </row>
    <row r="225" spans="1:10" x14ac:dyDescent="0.25">
      <c r="A225" s="7" t="s">
        <v>26088</v>
      </c>
      <c r="B225" s="8">
        <v>412.5</v>
      </c>
      <c r="C225" s="8">
        <v>20.478950000000001</v>
      </c>
      <c r="D225" s="8">
        <v>69</v>
      </c>
      <c r="E225" s="8">
        <v>0</v>
      </c>
      <c r="F225" s="8">
        <v>0</v>
      </c>
      <c r="G225" s="8">
        <v>6</v>
      </c>
      <c r="H225" s="8" t="s">
        <v>26089</v>
      </c>
      <c r="I225" s="8">
        <v>532.3125</v>
      </c>
      <c r="J225" s="3">
        <f t="shared" si="3"/>
        <v>43748.439596168981</v>
      </c>
    </row>
    <row r="226" spans="1:10" x14ac:dyDescent="0.25">
      <c r="A226" s="5" t="s">
        <v>26090</v>
      </c>
      <c r="B226" s="6">
        <v>412.5</v>
      </c>
      <c r="C226" s="6">
        <v>20.478950000000001</v>
      </c>
      <c r="D226" s="6">
        <v>69</v>
      </c>
      <c r="E226" s="6">
        <v>0</v>
      </c>
      <c r="F226" s="6">
        <v>0</v>
      </c>
      <c r="G226" s="6">
        <v>10</v>
      </c>
      <c r="H226" s="6" t="s">
        <v>26091</v>
      </c>
      <c r="I226" s="6">
        <v>532.3125</v>
      </c>
      <c r="J226" s="2">
        <f t="shared" si="3"/>
        <v>43748.439679618052</v>
      </c>
    </row>
    <row r="227" spans="1:10" x14ac:dyDescent="0.25">
      <c r="A227" s="7" t="s">
        <v>26092</v>
      </c>
      <c r="B227" s="8">
        <v>415.625</v>
      </c>
      <c r="C227" s="8">
        <v>20.478950000000001</v>
      </c>
      <c r="D227" s="8">
        <v>72</v>
      </c>
      <c r="E227" s="8">
        <v>0</v>
      </c>
      <c r="F227" s="8">
        <v>0</v>
      </c>
      <c r="G227" s="8">
        <v>7</v>
      </c>
      <c r="H227" s="8" t="s">
        <v>26093</v>
      </c>
      <c r="I227" s="8">
        <v>533.25</v>
      </c>
      <c r="J227" s="3">
        <f t="shared" si="3"/>
        <v>43748.439750914353</v>
      </c>
    </row>
    <row r="228" spans="1:10" x14ac:dyDescent="0.25">
      <c r="A228" s="5" t="s">
        <v>26094</v>
      </c>
      <c r="B228" s="6">
        <v>434.375</v>
      </c>
      <c r="C228" s="6">
        <v>20.478950000000001</v>
      </c>
      <c r="D228" s="6">
        <v>72</v>
      </c>
      <c r="E228" s="6">
        <v>0</v>
      </c>
      <c r="F228" s="6">
        <v>0</v>
      </c>
      <c r="G228" s="6">
        <v>7</v>
      </c>
      <c r="H228" s="6" t="s">
        <v>26095</v>
      </c>
      <c r="I228" s="6">
        <v>539.25</v>
      </c>
      <c r="J228" s="2">
        <f t="shared" si="3"/>
        <v>43748.439834351848</v>
      </c>
    </row>
    <row r="229" spans="1:10" x14ac:dyDescent="0.25">
      <c r="A229" s="7" t="s">
        <v>26096</v>
      </c>
      <c r="B229" s="8">
        <v>415.625</v>
      </c>
      <c r="C229" s="8">
        <v>20.478950000000001</v>
      </c>
      <c r="D229" s="8">
        <v>72</v>
      </c>
      <c r="E229" s="8">
        <v>0</v>
      </c>
      <c r="F229" s="8">
        <v>0</v>
      </c>
      <c r="G229" s="8">
        <v>8</v>
      </c>
      <c r="H229" s="8" t="s">
        <v>26097</v>
      </c>
      <c r="I229" s="8">
        <v>533.25</v>
      </c>
      <c r="J229" s="3">
        <f t="shared" si="3"/>
        <v>43748.439905995365</v>
      </c>
    </row>
    <row r="230" spans="1:10" x14ac:dyDescent="0.25">
      <c r="A230" s="5" t="s">
        <v>26098</v>
      </c>
      <c r="B230" s="6">
        <v>415.625</v>
      </c>
      <c r="C230" s="6">
        <v>20.478950000000001</v>
      </c>
      <c r="D230" s="6">
        <v>68</v>
      </c>
      <c r="E230" s="6">
        <v>0</v>
      </c>
      <c r="F230" s="6">
        <v>0</v>
      </c>
      <c r="G230" s="6">
        <v>3</v>
      </c>
      <c r="H230" s="6" t="s">
        <v>26099</v>
      </c>
      <c r="I230" s="6">
        <v>533.0625</v>
      </c>
      <c r="J230" s="2">
        <f t="shared" si="3"/>
        <v>43748.439989814811</v>
      </c>
    </row>
    <row r="231" spans="1:10" x14ac:dyDescent="0.25">
      <c r="A231" s="7" t="s">
        <v>26100</v>
      </c>
      <c r="B231" s="8">
        <v>412.5</v>
      </c>
      <c r="C231" s="8">
        <v>20.478950000000001</v>
      </c>
      <c r="D231" s="8">
        <v>67</v>
      </c>
      <c r="E231" s="8">
        <v>0</v>
      </c>
      <c r="F231" s="8">
        <v>0</v>
      </c>
      <c r="G231" s="8">
        <v>5</v>
      </c>
      <c r="H231" s="8" t="s">
        <v>26101</v>
      </c>
      <c r="I231" s="8">
        <v>532.3125</v>
      </c>
      <c r="J231" s="3">
        <f t="shared" si="3"/>
        <v>43748.440073333331</v>
      </c>
    </row>
    <row r="232" spans="1:10" x14ac:dyDescent="0.25">
      <c r="A232" s="5" t="s">
        <v>26102</v>
      </c>
      <c r="B232" s="6">
        <v>412.5</v>
      </c>
      <c r="C232" s="6">
        <v>20.478950000000001</v>
      </c>
      <c r="D232" s="6">
        <v>67</v>
      </c>
      <c r="E232" s="6">
        <v>0</v>
      </c>
      <c r="F232" s="6">
        <v>0</v>
      </c>
      <c r="G232" s="6">
        <v>4</v>
      </c>
      <c r="H232" s="6" t="s">
        <v>26103</v>
      </c>
      <c r="I232" s="6">
        <v>532.3125</v>
      </c>
      <c r="J232" s="2">
        <f t="shared" si="3"/>
        <v>43748.440156458331</v>
      </c>
    </row>
    <row r="233" spans="1:10" x14ac:dyDescent="0.25">
      <c r="A233" s="7" t="s">
        <v>26104</v>
      </c>
      <c r="B233" s="8">
        <v>412.5</v>
      </c>
      <c r="C233" s="8">
        <v>20.478950000000001</v>
      </c>
      <c r="D233" s="8">
        <v>67</v>
      </c>
      <c r="E233" s="8">
        <v>0</v>
      </c>
      <c r="F233" s="8">
        <v>0</v>
      </c>
      <c r="G233" s="8">
        <v>2</v>
      </c>
      <c r="H233" s="8" t="s">
        <v>26105</v>
      </c>
      <c r="I233" s="8">
        <v>532.3125</v>
      </c>
      <c r="J233" s="3">
        <f t="shared" si="3"/>
        <v>43748.440228217594</v>
      </c>
    </row>
    <row r="234" spans="1:10" x14ac:dyDescent="0.25">
      <c r="A234" s="5" t="s">
        <v>26106</v>
      </c>
      <c r="B234" s="6">
        <v>409.375</v>
      </c>
      <c r="C234" s="6">
        <v>20.478950000000001</v>
      </c>
      <c r="D234" s="6">
        <v>66</v>
      </c>
      <c r="E234" s="6">
        <v>0</v>
      </c>
      <c r="F234" s="6">
        <v>0</v>
      </c>
      <c r="G234" s="6">
        <v>2</v>
      </c>
      <c r="H234" s="6" t="s">
        <v>26107</v>
      </c>
      <c r="I234" s="6">
        <v>531.5625</v>
      </c>
      <c r="J234" s="2">
        <f t="shared" si="3"/>
        <v>43748.440311666665</v>
      </c>
    </row>
    <row r="235" spans="1:10" x14ac:dyDescent="0.25">
      <c r="A235" s="7" t="s">
        <v>26108</v>
      </c>
      <c r="B235" s="8">
        <v>406.25</v>
      </c>
      <c r="C235" s="8">
        <v>20.478950000000001</v>
      </c>
      <c r="D235" s="8">
        <v>66</v>
      </c>
      <c r="E235" s="8">
        <v>0</v>
      </c>
      <c r="F235" s="8">
        <v>0</v>
      </c>
      <c r="G235" s="8">
        <v>10</v>
      </c>
      <c r="H235" s="8" t="s">
        <v>26109</v>
      </c>
      <c r="I235" s="8">
        <v>530.8125</v>
      </c>
      <c r="J235" s="3">
        <f t="shared" si="3"/>
        <v>43748.440395231482</v>
      </c>
    </row>
    <row r="236" spans="1:10" x14ac:dyDescent="0.25">
      <c r="A236" s="5" t="s">
        <v>26110</v>
      </c>
      <c r="B236" s="6">
        <v>406.25</v>
      </c>
      <c r="C236" s="6">
        <v>20.478950000000001</v>
      </c>
      <c r="D236" s="6">
        <v>67</v>
      </c>
      <c r="E236" s="6">
        <v>0</v>
      </c>
      <c r="F236" s="6">
        <v>0</v>
      </c>
      <c r="G236" s="6">
        <v>6</v>
      </c>
      <c r="H236" s="6" t="s">
        <v>26111</v>
      </c>
      <c r="I236" s="6">
        <v>530.0625</v>
      </c>
      <c r="J236" s="2">
        <f t="shared" si="3"/>
        <v>43748.440490729168</v>
      </c>
    </row>
    <row r="237" spans="1:10" x14ac:dyDescent="0.25">
      <c r="A237" s="7" t="s">
        <v>26112</v>
      </c>
      <c r="B237" s="8">
        <v>403.125</v>
      </c>
      <c r="C237" s="8">
        <v>20.531590000000001</v>
      </c>
      <c r="D237" s="8">
        <v>67</v>
      </c>
      <c r="E237" s="8">
        <v>0</v>
      </c>
      <c r="F237" s="8">
        <v>0</v>
      </c>
      <c r="G237" s="8">
        <v>0</v>
      </c>
      <c r="H237" s="8" t="s">
        <v>26113</v>
      </c>
      <c r="I237" s="8">
        <v>529.875</v>
      </c>
      <c r="J237" s="3">
        <f t="shared" si="3"/>
        <v>43748.440562245371</v>
      </c>
    </row>
    <row r="238" spans="1:10" x14ac:dyDescent="0.25">
      <c r="A238" s="5" t="s">
        <v>26114</v>
      </c>
      <c r="B238" s="6">
        <v>403.125</v>
      </c>
      <c r="C238" s="6">
        <v>20.478950000000001</v>
      </c>
      <c r="D238" s="6">
        <v>67</v>
      </c>
      <c r="E238" s="6">
        <v>0</v>
      </c>
      <c r="F238" s="6">
        <v>0</v>
      </c>
      <c r="G238" s="6">
        <v>2</v>
      </c>
      <c r="H238" s="6" t="s">
        <v>26115</v>
      </c>
      <c r="I238" s="6">
        <v>529.875</v>
      </c>
      <c r="J238" s="2">
        <f t="shared" si="3"/>
        <v>43748.440645358794</v>
      </c>
    </row>
    <row r="239" spans="1:10" x14ac:dyDescent="0.25">
      <c r="A239" s="7" t="s">
        <v>26116</v>
      </c>
      <c r="B239" s="8">
        <v>409.375</v>
      </c>
      <c r="C239" s="8">
        <v>20.478950000000001</v>
      </c>
      <c r="D239" s="8">
        <v>68</v>
      </c>
      <c r="E239" s="8">
        <v>0</v>
      </c>
      <c r="F239" s="8">
        <v>0</v>
      </c>
      <c r="G239" s="8">
        <v>0</v>
      </c>
      <c r="H239" s="8" t="s">
        <v>26117</v>
      </c>
      <c r="I239" s="8">
        <v>531.5625</v>
      </c>
      <c r="J239" s="3">
        <f t="shared" si="3"/>
        <v>43748.440729155089</v>
      </c>
    </row>
    <row r="240" spans="1:10" x14ac:dyDescent="0.25">
      <c r="A240" s="5" t="s">
        <v>26118</v>
      </c>
      <c r="B240" s="6">
        <v>409.375</v>
      </c>
      <c r="C240" s="6">
        <v>20.478950000000001</v>
      </c>
      <c r="D240" s="6">
        <v>68</v>
      </c>
      <c r="E240" s="6">
        <v>0</v>
      </c>
      <c r="F240" s="6">
        <v>0</v>
      </c>
      <c r="G240" s="6">
        <v>9</v>
      </c>
      <c r="H240" s="6" t="s">
        <v>26119</v>
      </c>
      <c r="I240" s="6">
        <v>531.5625</v>
      </c>
      <c r="J240" s="2">
        <f t="shared" si="3"/>
        <v>43748.440812824068</v>
      </c>
    </row>
    <row r="241" spans="1:10" x14ac:dyDescent="0.25">
      <c r="A241" s="7" t="s">
        <v>26120</v>
      </c>
      <c r="B241" s="8">
        <v>406.25</v>
      </c>
      <c r="C241" s="8">
        <v>20.478950000000001</v>
      </c>
      <c r="D241" s="8">
        <v>68</v>
      </c>
      <c r="E241" s="8">
        <v>0</v>
      </c>
      <c r="F241" s="8">
        <v>0</v>
      </c>
      <c r="G241" s="8">
        <v>5</v>
      </c>
      <c r="H241" s="8" t="s">
        <v>26121</v>
      </c>
      <c r="I241" s="8">
        <v>530.8125</v>
      </c>
      <c r="J241" s="3">
        <f t="shared" si="3"/>
        <v>43748.440884131945</v>
      </c>
    </row>
    <row r="242" spans="1:10" x14ac:dyDescent="0.25">
      <c r="A242" s="5" t="s">
        <v>26122</v>
      </c>
      <c r="B242" s="6">
        <v>406.25</v>
      </c>
      <c r="C242" s="6">
        <v>20.531590000000001</v>
      </c>
      <c r="D242" s="6">
        <v>68</v>
      </c>
      <c r="E242" s="6">
        <v>0</v>
      </c>
      <c r="F242" s="6">
        <v>0</v>
      </c>
      <c r="G242" s="6">
        <v>3</v>
      </c>
      <c r="H242" s="6" t="s">
        <v>26123</v>
      </c>
      <c r="I242" s="6">
        <v>530.625</v>
      </c>
      <c r="J242" s="2">
        <f t="shared" si="3"/>
        <v>43748.440955775462</v>
      </c>
    </row>
    <row r="243" spans="1:10" x14ac:dyDescent="0.25">
      <c r="A243" s="7" t="s">
        <v>26124</v>
      </c>
      <c r="B243" s="8">
        <v>406.25</v>
      </c>
      <c r="C243" s="8">
        <v>20.478950000000001</v>
      </c>
      <c r="D243" s="8">
        <v>69</v>
      </c>
      <c r="E243" s="8">
        <v>0</v>
      </c>
      <c r="F243" s="8">
        <v>0</v>
      </c>
      <c r="G243" s="8">
        <v>13</v>
      </c>
      <c r="H243" s="8" t="s">
        <v>26125</v>
      </c>
      <c r="I243" s="8">
        <v>530.625</v>
      </c>
      <c r="J243" s="3">
        <f t="shared" si="3"/>
        <v>43748.441039224534</v>
      </c>
    </row>
    <row r="244" spans="1:10" x14ac:dyDescent="0.25">
      <c r="A244" s="5" t="s">
        <v>26126</v>
      </c>
      <c r="B244" s="6">
        <v>406.25</v>
      </c>
      <c r="C244" s="6">
        <v>20.478950000000001</v>
      </c>
      <c r="D244" s="6">
        <v>69</v>
      </c>
      <c r="E244" s="6">
        <v>0</v>
      </c>
      <c r="F244" s="6">
        <v>0</v>
      </c>
      <c r="G244" s="6">
        <v>1</v>
      </c>
      <c r="H244" s="6" t="s">
        <v>26127</v>
      </c>
      <c r="I244" s="6">
        <v>530.8125</v>
      </c>
      <c r="J244" s="2">
        <f t="shared" si="3"/>
        <v>43748.441122662036</v>
      </c>
    </row>
    <row r="245" spans="1:10" x14ac:dyDescent="0.25">
      <c r="A245" s="7" t="s">
        <v>26128</v>
      </c>
      <c r="B245" s="8">
        <v>409.375</v>
      </c>
      <c r="C245" s="8">
        <v>20.478950000000001</v>
      </c>
      <c r="D245" s="8">
        <v>69</v>
      </c>
      <c r="E245" s="8">
        <v>0</v>
      </c>
      <c r="F245" s="8">
        <v>0</v>
      </c>
      <c r="G245" s="8">
        <v>3</v>
      </c>
      <c r="H245" s="8" t="s">
        <v>26129</v>
      </c>
      <c r="I245" s="8">
        <v>531.375</v>
      </c>
      <c r="J245" s="3">
        <f t="shared" si="3"/>
        <v>43748.441206226846</v>
      </c>
    </row>
    <row r="246" spans="1:10" x14ac:dyDescent="0.25">
      <c r="A246" s="5" t="s">
        <v>26130</v>
      </c>
      <c r="B246" s="6">
        <v>428.125</v>
      </c>
      <c r="C246" s="6">
        <v>20.478950000000001</v>
      </c>
      <c r="D246" s="6">
        <v>71</v>
      </c>
      <c r="E246" s="6">
        <v>0</v>
      </c>
      <c r="F246" s="6">
        <v>0</v>
      </c>
      <c r="G246" s="6">
        <v>2</v>
      </c>
      <c r="H246" s="6" t="s">
        <v>26131</v>
      </c>
      <c r="I246" s="6">
        <v>537.9375</v>
      </c>
      <c r="J246" s="2">
        <f t="shared" si="3"/>
        <v>43748.441289930553</v>
      </c>
    </row>
    <row r="247" spans="1:10" x14ac:dyDescent="0.25">
      <c r="A247" s="7" t="s">
        <v>26132</v>
      </c>
      <c r="B247" s="8">
        <v>415.625</v>
      </c>
      <c r="C247" s="8">
        <v>20.478950000000001</v>
      </c>
      <c r="D247" s="8">
        <v>71</v>
      </c>
      <c r="E247" s="8">
        <v>0</v>
      </c>
      <c r="F247" s="8">
        <v>0</v>
      </c>
      <c r="G247" s="8">
        <v>7</v>
      </c>
      <c r="H247" s="8" t="s">
        <v>26133</v>
      </c>
      <c r="I247" s="8">
        <v>533.25</v>
      </c>
      <c r="J247" s="3">
        <f t="shared" si="3"/>
        <v>43748.441373136571</v>
      </c>
    </row>
    <row r="248" spans="1:10" x14ac:dyDescent="0.25">
      <c r="A248" s="5" t="s">
        <v>26134</v>
      </c>
      <c r="B248" s="6">
        <v>418.75</v>
      </c>
      <c r="C248" s="6">
        <v>20.478950000000001</v>
      </c>
      <c r="D248" s="6">
        <v>70</v>
      </c>
      <c r="E248" s="6">
        <v>0</v>
      </c>
      <c r="F248" s="6">
        <v>0</v>
      </c>
      <c r="G248" s="6">
        <v>0</v>
      </c>
      <c r="H248" s="6" t="s">
        <v>26135</v>
      </c>
      <c r="I248" s="6">
        <v>534</v>
      </c>
      <c r="J248" s="2">
        <f t="shared" si="3"/>
        <v>43748.44145648148</v>
      </c>
    </row>
    <row r="249" spans="1:10" x14ac:dyDescent="0.25">
      <c r="A249" s="7" t="s">
        <v>26136</v>
      </c>
      <c r="B249" s="8">
        <v>421.875</v>
      </c>
      <c r="C249" s="8">
        <v>20.478950000000001</v>
      </c>
      <c r="D249" s="8">
        <v>71</v>
      </c>
      <c r="E249" s="8">
        <v>0</v>
      </c>
      <c r="F249" s="8">
        <v>0</v>
      </c>
      <c r="G249" s="8">
        <v>0</v>
      </c>
      <c r="H249" s="8" t="s">
        <v>26137</v>
      </c>
      <c r="I249" s="8">
        <v>535.6875</v>
      </c>
      <c r="J249" s="3">
        <f t="shared" si="3"/>
        <v>43748.441543819441</v>
      </c>
    </row>
    <row r="250" spans="1:10" x14ac:dyDescent="0.25">
      <c r="A250" s="5" t="s">
        <v>26138</v>
      </c>
      <c r="B250" s="6">
        <v>421.875</v>
      </c>
      <c r="C250" s="6">
        <v>20.478950000000001</v>
      </c>
      <c r="D250" s="6">
        <v>69</v>
      </c>
      <c r="E250" s="6">
        <v>0</v>
      </c>
      <c r="F250" s="6">
        <v>0</v>
      </c>
      <c r="G250" s="6">
        <v>10</v>
      </c>
      <c r="H250" s="6" t="s">
        <v>26139</v>
      </c>
      <c r="I250" s="6">
        <v>535.5</v>
      </c>
      <c r="J250" s="2">
        <f t="shared" si="3"/>
        <v>43748.441623391198</v>
      </c>
    </row>
    <row r="251" spans="1:10" x14ac:dyDescent="0.25">
      <c r="A251" s="7" t="s">
        <v>26140</v>
      </c>
      <c r="B251" s="8">
        <v>421.875</v>
      </c>
      <c r="C251" s="8">
        <v>20.478950000000001</v>
      </c>
      <c r="D251" s="8">
        <v>69</v>
      </c>
      <c r="E251" s="8">
        <v>0</v>
      </c>
      <c r="F251" s="8">
        <v>0</v>
      </c>
      <c r="G251" s="8">
        <v>8</v>
      </c>
      <c r="H251" s="8" t="s">
        <v>26141</v>
      </c>
      <c r="I251" s="8">
        <v>535.5</v>
      </c>
      <c r="J251" s="3">
        <f t="shared" si="3"/>
        <v>43748.441694884255</v>
      </c>
    </row>
    <row r="252" spans="1:10" x14ac:dyDescent="0.25">
      <c r="A252" s="5" t="s">
        <v>26142</v>
      </c>
      <c r="B252" s="6">
        <v>421.875</v>
      </c>
      <c r="C252" s="6">
        <v>20.478950000000001</v>
      </c>
      <c r="D252" s="6">
        <v>71</v>
      </c>
      <c r="E252" s="6">
        <v>0</v>
      </c>
      <c r="F252" s="6">
        <v>0</v>
      </c>
      <c r="G252" s="6">
        <v>3</v>
      </c>
      <c r="H252" s="6" t="s">
        <v>26143</v>
      </c>
      <c r="I252" s="6">
        <v>535.5</v>
      </c>
      <c r="J252" s="2">
        <f t="shared" si="3"/>
        <v>43748.441778819441</v>
      </c>
    </row>
    <row r="253" spans="1:10" x14ac:dyDescent="0.25">
      <c r="A253" s="7" t="s">
        <v>26144</v>
      </c>
      <c r="B253" s="8">
        <v>418.75</v>
      </c>
      <c r="C253" s="8">
        <v>20.478950000000001</v>
      </c>
      <c r="D253" s="8">
        <v>71</v>
      </c>
      <c r="E253" s="8">
        <v>0</v>
      </c>
      <c r="F253" s="8">
        <v>0</v>
      </c>
      <c r="G253" s="8">
        <v>15</v>
      </c>
      <c r="H253" s="8" t="s">
        <v>26145</v>
      </c>
      <c r="I253" s="8">
        <v>534.75</v>
      </c>
      <c r="J253" s="3">
        <f t="shared" si="3"/>
        <v>43748.441862418978</v>
      </c>
    </row>
    <row r="254" spans="1:10" x14ac:dyDescent="0.25">
      <c r="A254" s="5" t="s">
        <v>26146</v>
      </c>
      <c r="B254" s="6">
        <v>418.75</v>
      </c>
      <c r="C254" s="6">
        <v>20.478950000000001</v>
      </c>
      <c r="D254" s="6">
        <v>70</v>
      </c>
      <c r="E254" s="6">
        <v>0</v>
      </c>
      <c r="F254" s="6">
        <v>0</v>
      </c>
      <c r="G254" s="6">
        <v>16</v>
      </c>
      <c r="H254" s="6" t="s">
        <v>26147</v>
      </c>
      <c r="I254" s="6">
        <v>534</v>
      </c>
      <c r="J254" s="2">
        <f t="shared" si="3"/>
        <v>43748.441945347215</v>
      </c>
    </row>
    <row r="255" spans="1:10" x14ac:dyDescent="0.25">
      <c r="A255" s="7" t="s">
        <v>26148</v>
      </c>
      <c r="B255" s="8">
        <v>418.75</v>
      </c>
      <c r="C255" s="8">
        <v>20.478950000000001</v>
      </c>
      <c r="D255" s="8">
        <v>70</v>
      </c>
      <c r="E255" s="8">
        <v>0</v>
      </c>
      <c r="F255" s="8">
        <v>0</v>
      </c>
      <c r="G255" s="8">
        <v>12</v>
      </c>
      <c r="H255" s="8" t="s">
        <v>26149</v>
      </c>
      <c r="I255" s="8">
        <v>534</v>
      </c>
      <c r="J255" s="3">
        <f t="shared" si="3"/>
        <v>43748.442017118054</v>
      </c>
    </row>
    <row r="256" spans="1:10" x14ac:dyDescent="0.25">
      <c r="A256" s="5" t="s">
        <v>26150</v>
      </c>
      <c r="B256" s="6">
        <v>415.625</v>
      </c>
      <c r="C256" s="6">
        <v>20.478950000000001</v>
      </c>
      <c r="D256" s="6">
        <v>69</v>
      </c>
      <c r="E256" s="6">
        <v>0</v>
      </c>
      <c r="F256" s="6">
        <v>0</v>
      </c>
      <c r="G256" s="6">
        <v>7</v>
      </c>
      <c r="H256" s="6" t="s">
        <v>26151</v>
      </c>
      <c r="I256" s="6">
        <v>533.25</v>
      </c>
      <c r="J256" s="2">
        <f t="shared" si="3"/>
        <v>43748.442100694439</v>
      </c>
    </row>
    <row r="257" spans="1:10" x14ac:dyDescent="0.25">
      <c r="A257" s="7" t="s">
        <v>26152</v>
      </c>
      <c r="B257" s="8">
        <v>412.5</v>
      </c>
      <c r="C257" s="8">
        <v>20.478950000000001</v>
      </c>
      <c r="D257" s="8">
        <v>70</v>
      </c>
      <c r="E257" s="8">
        <v>0</v>
      </c>
      <c r="F257" s="8">
        <v>0</v>
      </c>
      <c r="G257" s="8">
        <v>0</v>
      </c>
      <c r="H257" s="8" t="s">
        <v>26153</v>
      </c>
      <c r="I257" s="8">
        <v>532.3125</v>
      </c>
      <c r="J257" s="3">
        <f t="shared" si="3"/>
        <v>43748.442184120366</v>
      </c>
    </row>
    <row r="258" spans="1:10" x14ac:dyDescent="0.25">
      <c r="A258" s="5" t="s">
        <v>26154</v>
      </c>
      <c r="B258" s="6">
        <v>412.5</v>
      </c>
      <c r="C258" s="6">
        <v>20.478950000000001</v>
      </c>
      <c r="D258" s="6">
        <v>70</v>
      </c>
      <c r="E258" s="6">
        <v>0</v>
      </c>
      <c r="F258" s="6">
        <v>0</v>
      </c>
      <c r="G258" s="6">
        <v>10</v>
      </c>
      <c r="H258" s="6" t="s">
        <v>26155</v>
      </c>
      <c r="I258" s="6">
        <v>532.3125</v>
      </c>
      <c r="J258" s="2">
        <f t="shared" ref="J258:J321" si="4">(H258/86400000)+25569+(7/24)</f>
        <v>43748.442267569444</v>
      </c>
    </row>
    <row r="259" spans="1:10" x14ac:dyDescent="0.25">
      <c r="A259" s="7" t="s">
        <v>26156</v>
      </c>
      <c r="B259" s="8">
        <v>412.5</v>
      </c>
      <c r="C259" s="8">
        <v>20.478950000000001</v>
      </c>
      <c r="D259" s="8">
        <v>70</v>
      </c>
      <c r="E259" s="8">
        <v>0</v>
      </c>
      <c r="F259" s="8">
        <v>0</v>
      </c>
      <c r="G259" s="8">
        <v>11</v>
      </c>
      <c r="H259" s="8" t="s">
        <v>26157</v>
      </c>
      <c r="I259" s="8">
        <v>532.3125</v>
      </c>
      <c r="J259" s="3">
        <f t="shared" si="4"/>
        <v>43748.44235114583</v>
      </c>
    </row>
    <row r="260" spans="1:10" x14ac:dyDescent="0.25">
      <c r="A260" s="5" t="s">
        <v>26158</v>
      </c>
      <c r="B260" s="6">
        <v>412.5</v>
      </c>
      <c r="C260" s="6">
        <v>20.478950000000001</v>
      </c>
      <c r="D260" s="6">
        <v>69</v>
      </c>
      <c r="E260" s="6">
        <v>0</v>
      </c>
      <c r="F260" s="6">
        <v>0</v>
      </c>
      <c r="G260" s="6">
        <v>8</v>
      </c>
      <c r="H260" s="6" t="s">
        <v>26159</v>
      </c>
      <c r="I260" s="6">
        <v>532.3125</v>
      </c>
      <c r="J260" s="2">
        <f t="shared" si="4"/>
        <v>43748.442434293982</v>
      </c>
    </row>
    <row r="261" spans="1:10" x14ac:dyDescent="0.25">
      <c r="A261" s="7" t="s">
        <v>26160</v>
      </c>
      <c r="B261" s="8">
        <v>409.375</v>
      </c>
      <c r="C261" s="8">
        <v>20.478950000000001</v>
      </c>
      <c r="D261" s="8">
        <v>69</v>
      </c>
      <c r="E261" s="8">
        <v>0</v>
      </c>
      <c r="F261" s="8">
        <v>0</v>
      </c>
      <c r="G261" s="8">
        <v>4</v>
      </c>
      <c r="H261" s="8" t="s">
        <v>26161</v>
      </c>
      <c r="I261" s="8">
        <v>531.375</v>
      </c>
      <c r="J261" s="3">
        <f t="shared" si="4"/>
        <v>43748.442518032403</v>
      </c>
    </row>
    <row r="262" spans="1:10" x14ac:dyDescent="0.25">
      <c r="A262" s="5" t="s">
        <v>26162</v>
      </c>
      <c r="B262" s="6">
        <v>409.375</v>
      </c>
      <c r="C262" s="6">
        <v>20.478950000000001</v>
      </c>
      <c r="D262" s="6">
        <v>68</v>
      </c>
      <c r="E262" s="6">
        <v>0</v>
      </c>
      <c r="F262" s="6">
        <v>0</v>
      </c>
      <c r="G262" s="6">
        <v>8</v>
      </c>
      <c r="H262" s="6" t="s">
        <v>26163</v>
      </c>
      <c r="I262" s="6">
        <v>531.375</v>
      </c>
      <c r="J262" s="2">
        <f t="shared" si="4"/>
        <v>43748.442604004631</v>
      </c>
    </row>
    <row r="263" spans="1:10" x14ac:dyDescent="0.25">
      <c r="A263" s="7" t="s">
        <v>26164</v>
      </c>
      <c r="B263" s="8">
        <v>431.25</v>
      </c>
      <c r="C263" s="8">
        <v>20.478950000000001</v>
      </c>
      <c r="D263" s="8">
        <v>69</v>
      </c>
      <c r="E263" s="8">
        <v>0</v>
      </c>
      <c r="F263" s="8">
        <v>0</v>
      </c>
      <c r="G263" s="8">
        <v>1</v>
      </c>
      <c r="H263" s="8" t="s">
        <v>26165</v>
      </c>
      <c r="I263" s="8">
        <v>538.125</v>
      </c>
      <c r="J263" s="3">
        <f t="shared" si="4"/>
        <v>43748.442685289345</v>
      </c>
    </row>
    <row r="264" spans="1:10" x14ac:dyDescent="0.25">
      <c r="A264" s="5" t="s">
        <v>26166</v>
      </c>
      <c r="B264" s="6">
        <v>412.5</v>
      </c>
      <c r="C264" s="6">
        <v>20.478950000000001</v>
      </c>
      <c r="D264" s="6">
        <v>68</v>
      </c>
      <c r="E264" s="6">
        <v>0</v>
      </c>
      <c r="F264" s="6">
        <v>0</v>
      </c>
      <c r="G264" s="6">
        <v>5</v>
      </c>
      <c r="H264" s="6" t="s">
        <v>26167</v>
      </c>
      <c r="I264" s="6">
        <v>532.3125</v>
      </c>
      <c r="J264" s="2">
        <f t="shared" si="4"/>
        <v>43748.442768506946</v>
      </c>
    </row>
    <row r="265" spans="1:10" x14ac:dyDescent="0.25">
      <c r="A265" s="7" t="s">
        <v>26168</v>
      </c>
      <c r="B265" s="8">
        <v>412.5</v>
      </c>
      <c r="C265" s="8">
        <v>20.478950000000001</v>
      </c>
      <c r="D265" s="8">
        <v>69</v>
      </c>
      <c r="E265" s="8">
        <v>0</v>
      </c>
      <c r="F265" s="8">
        <v>0</v>
      </c>
      <c r="G265" s="8">
        <v>1</v>
      </c>
      <c r="H265" s="8" t="s">
        <v>26169</v>
      </c>
      <c r="I265" s="8">
        <v>532.3125</v>
      </c>
      <c r="J265" s="3">
        <f t="shared" si="4"/>
        <v>43748.442852083332</v>
      </c>
    </row>
    <row r="266" spans="1:10" x14ac:dyDescent="0.25">
      <c r="A266" s="5" t="s">
        <v>26170</v>
      </c>
      <c r="B266" s="6">
        <v>412.5</v>
      </c>
      <c r="C266" s="6">
        <v>20.584240000000001</v>
      </c>
      <c r="D266" s="6">
        <v>69</v>
      </c>
      <c r="E266" s="6">
        <v>0</v>
      </c>
      <c r="F266" s="6">
        <v>0</v>
      </c>
      <c r="G266" s="6">
        <v>5</v>
      </c>
      <c r="H266" s="6" t="s">
        <v>26171</v>
      </c>
      <c r="I266" s="6">
        <v>532.3125</v>
      </c>
      <c r="J266" s="2">
        <f t="shared" si="4"/>
        <v>43748.442935532403</v>
      </c>
    </row>
    <row r="267" spans="1:10" x14ac:dyDescent="0.25">
      <c r="A267" s="7" t="s">
        <v>26172</v>
      </c>
      <c r="B267" s="8">
        <v>412.5</v>
      </c>
      <c r="C267" s="8">
        <v>20.478950000000001</v>
      </c>
      <c r="D267" s="8">
        <v>69</v>
      </c>
      <c r="E267" s="8">
        <v>0</v>
      </c>
      <c r="F267" s="8">
        <v>0</v>
      </c>
      <c r="G267" s="8">
        <v>8</v>
      </c>
      <c r="H267" s="8" t="s">
        <v>26173</v>
      </c>
      <c r="I267" s="8">
        <v>532.3125</v>
      </c>
      <c r="J267" s="3">
        <f t="shared" si="4"/>
        <v>43748.443018969905</v>
      </c>
    </row>
    <row r="268" spans="1:10" x14ac:dyDescent="0.25">
      <c r="A268" s="5" t="s">
        <v>26174</v>
      </c>
      <c r="B268" s="6">
        <v>409.375</v>
      </c>
      <c r="C268" s="6">
        <v>20.478950000000001</v>
      </c>
      <c r="D268" s="6">
        <v>70</v>
      </c>
      <c r="E268" s="6">
        <v>0</v>
      </c>
      <c r="F268" s="6">
        <v>0</v>
      </c>
      <c r="G268" s="6">
        <v>3</v>
      </c>
      <c r="H268" s="6" t="s">
        <v>26175</v>
      </c>
      <c r="I268" s="6">
        <v>531.5625</v>
      </c>
      <c r="J268" s="2">
        <f t="shared" si="4"/>
        <v>43748.443102430552</v>
      </c>
    </row>
    <row r="269" spans="1:10" x14ac:dyDescent="0.25">
      <c r="A269" s="7" t="s">
        <v>26176</v>
      </c>
      <c r="B269" s="8">
        <v>412.5</v>
      </c>
      <c r="C269" s="8">
        <v>20.478950000000001</v>
      </c>
      <c r="D269" s="8">
        <v>71</v>
      </c>
      <c r="E269" s="8">
        <v>0</v>
      </c>
      <c r="F269" s="8">
        <v>0</v>
      </c>
      <c r="G269" s="8">
        <v>9</v>
      </c>
      <c r="H269" s="8" t="s">
        <v>26177</v>
      </c>
      <c r="I269" s="8">
        <v>532.3125</v>
      </c>
      <c r="J269" s="3">
        <f t="shared" si="4"/>
        <v>43748.443198032408</v>
      </c>
    </row>
    <row r="270" spans="1:10" x14ac:dyDescent="0.25">
      <c r="A270" s="5" t="s">
        <v>26178</v>
      </c>
      <c r="B270" s="6">
        <v>412.5</v>
      </c>
      <c r="C270" s="6">
        <v>20.478950000000001</v>
      </c>
      <c r="D270" s="6">
        <v>71</v>
      </c>
      <c r="E270" s="6">
        <v>0</v>
      </c>
      <c r="F270" s="6">
        <v>0</v>
      </c>
      <c r="G270" s="6">
        <v>5</v>
      </c>
      <c r="H270" s="6" t="s">
        <v>26179</v>
      </c>
      <c r="I270" s="6">
        <v>532.3125</v>
      </c>
      <c r="J270" s="2">
        <f t="shared" si="4"/>
        <v>43748.44326944444</v>
      </c>
    </row>
    <row r="271" spans="1:10" x14ac:dyDescent="0.25">
      <c r="A271" s="7" t="s">
        <v>26180</v>
      </c>
      <c r="B271" s="8">
        <v>412.5</v>
      </c>
      <c r="C271" s="8">
        <v>20.531590000000001</v>
      </c>
      <c r="D271" s="8">
        <v>71</v>
      </c>
      <c r="E271" s="8">
        <v>0</v>
      </c>
      <c r="F271" s="8">
        <v>0</v>
      </c>
      <c r="G271" s="8">
        <v>3</v>
      </c>
      <c r="H271" s="8" t="s">
        <v>26181</v>
      </c>
      <c r="I271" s="8">
        <v>532.3125</v>
      </c>
      <c r="J271" s="3">
        <f t="shared" si="4"/>
        <v>43748.443352754628</v>
      </c>
    </row>
    <row r="272" spans="1:10" x14ac:dyDescent="0.25">
      <c r="A272" s="5" t="s">
        <v>26182</v>
      </c>
      <c r="B272" s="6">
        <v>412.5</v>
      </c>
      <c r="C272" s="6">
        <v>20.478950000000001</v>
      </c>
      <c r="D272" s="6">
        <v>70</v>
      </c>
      <c r="E272" s="6">
        <v>0</v>
      </c>
      <c r="F272" s="6">
        <v>0</v>
      </c>
      <c r="G272" s="6">
        <v>1</v>
      </c>
      <c r="H272" s="6" t="s">
        <v>26183</v>
      </c>
      <c r="I272" s="6">
        <v>532.3125</v>
      </c>
      <c r="J272" s="2">
        <f t="shared" si="4"/>
        <v>43748.443436319438</v>
      </c>
    </row>
    <row r="273" spans="1:10" x14ac:dyDescent="0.25">
      <c r="A273" s="7" t="s">
        <v>26184</v>
      </c>
      <c r="B273" s="8">
        <v>412.5</v>
      </c>
      <c r="C273" s="8">
        <v>20.478950000000001</v>
      </c>
      <c r="D273" s="8">
        <v>71</v>
      </c>
      <c r="E273" s="8">
        <v>0</v>
      </c>
      <c r="F273" s="8">
        <v>0</v>
      </c>
      <c r="G273" s="8">
        <v>2</v>
      </c>
      <c r="H273" s="8" t="s">
        <v>26185</v>
      </c>
      <c r="I273" s="8">
        <v>532.3125</v>
      </c>
      <c r="J273" s="3">
        <f t="shared" si="4"/>
        <v>43748.443519537039</v>
      </c>
    </row>
    <row r="274" spans="1:10" x14ac:dyDescent="0.25">
      <c r="A274" s="5" t="s">
        <v>26186</v>
      </c>
      <c r="B274" s="6">
        <v>412.5</v>
      </c>
      <c r="C274" s="6">
        <v>20.478950000000001</v>
      </c>
      <c r="D274" s="6">
        <v>71</v>
      </c>
      <c r="E274" s="6">
        <v>0</v>
      </c>
      <c r="F274" s="6">
        <v>0</v>
      </c>
      <c r="G274" s="6">
        <v>3</v>
      </c>
      <c r="H274" s="6" t="s">
        <v>26187</v>
      </c>
      <c r="I274" s="6">
        <v>532.3125</v>
      </c>
      <c r="J274" s="2">
        <f t="shared" si="4"/>
        <v>43748.443591412033</v>
      </c>
    </row>
    <row r="275" spans="1:10" x14ac:dyDescent="0.25">
      <c r="A275" s="7" t="s">
        <v>26188</v>
      </c>
      <c r="B275" s="8">
        <v>428.125</v>
      </c>
      <c r="C275" s="8">
        <v>20.478950000000001</v>
      </c>
      <c r="D275" s="8">
        <v>69</v>
      </c>
      <c r="E275" s="8">
        <v>0</v>
      </c>
      <c r="F275" s="8">
        <v>0</v>
      </c>
      <c r="G275" s="8">
        <v>7</v>
      </c>
      <c r="H275" s="8" t="s">
        <v>26189</v>
      </c>
      <c r="I275" s="8">
        <v>537.9375</v>
      </c>
      <c r="J275" s="3">
        <f t="shared" si="4"/>
        <v>43748.44367497685</v>
      </c>
    </row>
    <row r="276" spans="1:10" x14ac:dyDescent="0.25">
      <c r="A276" s="5" t="s">
        <v>26190</v>
      </c>
      <c r="B276" s="6">
        <v>409.375</v>
      </c>
      <c r="C276" s="6">
        <v>20.478950000000001</v>
      </c>
      <c r="D276" s="6">
        <v>67</v>
      </c>
      <c r="E276" s="6">
        <v>0</v>
      </c>
      <c r="F276" s="6">
        <v>0</v>
      </c>
      <c r="G276" s="6">
        <v>1</v>
      </c>
      <c r="H276" s="6" t="s">
        <v>26191</v>
      </c>
      <c r="I276" s="6">
        <v>531.5625</v>
      </c>
      <c r="J276" s="2">
        <f t="shared" si="4"/>
        <v>43748.443758437497</v>
      </c>
    </row>
    <row r="277" spans="1:10" x14ac:dyDescent="0.25">
      <c r="A277" s="7" t="s">
        <v>26192</v>
      </c>
      <c r="B277" s="8">
        <v>409.375</v>
      </c>
      <c r="C277" s="8">
        <v>20.478950000000001</v>
      </c>
      <c r="D277" s="8">
        <v>67</v>
      </c>
      <c r="E277" s="8">
        <v>0</v>
      </c>
      <c r="F277" s="8">
        <v>0</v>
      </c>
      <c r="G277" s="8">
        <v>7</v>
      </c>
      <c r="H277" s="8" t="s">
        <v>26193</v>
      </c>
      <c r="I277" s="8">
        <v>531.5625</v>
      </c>
      <c r="J277" s="3">
        <f t="shared" si="4"/>
        <v>43748.443841643515</v>
      </c>
    </row>
    <row r="278" spans="1:10" x14ac:dyDescent="0.25">
      <c r="A278" s="5" t="s">
        <v>26194</v>
      </c>
      <c r="B278" s="6">
        <v>409.375</v>
      </c>
      <c r="C278" s="6">
        <v>20.478950000000001</v>
      </c>
      <c r="D278" s="6">
        <v>67</v>
      </c>
      <c r="E278" s="6">
        <v>0</v>
      </c>
      <c r="F278" s="6">
        <v>0</v>
      </c>
      <c r="G278" s="6">
        <v>0</v>
      </c>
      <c r="H278" s="6" t="s">
        <v>26195</v>
      </c>
      <c r="I278" s="6">
        <v>531.5625</v>
      </c>
      <c r="J278" s="2">
        <f t="shared" si="4"/>
        <v>43748.443913402771</v>
      </c>
    </row>
    <row r="279" spans="1:10" x14ac:dyDescent="0.25">
      <c r="A279" s="7" t="s">
        <v>26196</v>
      </c>
      <c r="B279" s="8">
        <v>412.5</v>
      </c>
      <c r="C279" s="8">
        <v>20.478950000000001</v>
      </c>
      <c r="D279" s="8">
        <v>68</v>
      </c>
      <c r="E279" s="8">
        <v>0</v>
      </c>
      <c r="F279" s="8">
        <v>0</v>
      </c>
      <c r="G279" s="8">
        <v>6</v>
      </c>
      <c r="H279" s="8" t="s">
        <v>26197</v>
      </c>
      <c r="I279" s="8">
        <v>532.3125</v>
      </c>
      <c r="J279" s="3">
        <f t="shared" si="4"/>
        <v>43748.443996851849</v>
      </c>
    </row>
    <row r="280" spans="1:10" x14ac:dyDescent="0.25">
      <c r="A280" s="5" t="s">
        <v>26198</v>
      </c>
      <c r="B280" s="6">
        <v>412.5</v>
      </c>
      <c r="C280" s="6">
        <v>20.478950000000001</v>
      </c>
      <c r="D280" s="6">
        <v>68</v>
      </c>
      <c r="E280" s="6">
        <v>0</v>
      </c>
      <c r="F280" s="6">
        <v>0</v>
      </c>
      <c r="G280" s="6">
        <v>0</v>
      </c>
      <c r="H280" s="6" t="s">
        <v>26199</v>
      </c>
      <c r="I280" s="6">
        <v>532.5</v>
      </c>
      <c r="J280" s="2">
        <f t="shared" si="4"/>
        <v>43748.444080428242</v>
      </c>
    </row>
    <row r="281" spans="1:10" x14ac:dyDescent="0.25">
      <c r="A281" s="7" t="s">
        <v>26200</v>
      </c>
      <c r="B281" s="8">
        <v>412.5</v>
      </c>
      <c r="C281" s="8">
        <v>20.478950000000001</v>
      </c>
      <c r="D281" s="8">
        <v>68</v>
      </c>
      <c r="E281" s="8">
        <v>0</v>
      </c>
      <c r="F281" s="8">
        <v>0</v>
      </c>
      <c r="G281" s="8">
        <v>3</v>
      </c>
      <c r="H281" s="8" t="s">
        <v>26201</v>
      </c>
      <c r="I281" s="8">
        <v>532.3125</v>
      </c>
      <c r="J281" s="3">
        <f t="shared" si="4"/>
        <v>43748.444164016204</v>
      </c>
    </row>
    <row r="282" spans="1:10" x14ac:dyDescent="0.25">
      <c r="A282" s="5" t="s">
        <v>26202</v>
      </c>
      <c r="B282" s="6">
        <v>412.5</v>
      </c>
      <c r="C282" s="6">
        <v>20.478950000000001</v>
      </c>
      <c r="D282" s="6">
        <v>68</v>
      </c>
      <c r="E282" s="6">
        <v>0</v>
      </c>
      <c r="F282" s="6">
        <v>0</v>
      </c>
      <c r="G282" s="6">
        <v>2</v>
      </c>
      <c r="H282" s="6" t="s">
        <v>26203</v>
      </c>
      <c r="I282" s="6">
        <v>532.3125</v>
      </c>
      <c r="J282" s="2">
        <f t="shared" si="4"/>
        <v>43748.44424733796</v>
      </c>
    </row>
    <row r="283" spans="1:10" x14ac:dyDescent="0.25">
      <c r="A283" s="7" t="s">
        <v>26204</v>
      </c>
      <c r="B283" s="8">
        <v>412.5</v>
      </c>
      <c r="C283" s="8">
        <v>20.478950000000001</v>
      </c>
      <c r="D283" s="8">
        <v>68</v>
      </c>
      <c r="E283" s="8">
        <v>0</v>
      </c>
      <c r="F283" s="8">
        <v>0</v>
      </c>
      <c r="G283" s="8">
        <v>7</v>
      </c>
      <c r="H283" s="8" t="s">
        <v>26205</v>
      </c>
      <c r="I283" s="8">
        <v>532.5</v>
      </c>
      <c r="J283" s="3">
        <f t="shared" si="4"/>
        <v>43748.444330532402</v>
      </c>
    </row>
    <row r="284" spans="1:10" x14ac:dyDescent="0.25">
      <c r="A284" s="5" t="s">
        <v>26206</v>
      </c>
      <c r="B284" s="6">
        <v>412.5</v>
      </c>
      <c r="C284" s="6">
        <v>20.478950000000001</v>
      </c>
      <c r="D284" s="6">
        <v>68</v>
      </c>
      <c r="E284" s="6">
        <v>0</v>
      </c>
      <c r="F284" s="6">
        <v>0</v>
      </c>
      <c r="G284" s="6">
        <v>7</v>
      </c>
      <c r="H284" s="6" t="s">
        <v>26207</v>
      </c>
      <c r="I284" s="6">
        <v>532.3125</v>
      </c>
      <c r="J284" s="2">
        <f t="shared" si="4"/>
        <v>43748.444402291665</v>
      </c>
    </row>
    <row r="285" spans="1:10" x14ac:dyDescent="0.25">
      <c r="A285" s="7" t="s">
        <v>26208</v>
      </c>
      <c r="B285" s="8">
        <v>412.5</v>
      </c>
      <c r="C285" s="8">
        <v>20.478950000000001</v>
      </c>
      <c r="D285" s="8">
        <v>68</v>
      </c>
      <c r="E285" s="8">
        <v>0</v>
      </c>
      <c r="F285" s="8">
        <v>0</v>
      </c>
      <c r="G285" s="8">
        <v>4</v>
      </c>
      <c r="H285" s="8" t="s">
        <v>26209</v>
      </c>
      <c r="I285" s="8">
        <v>532.3125</v>
      </c>
      <c r="J285" s="3">
        <f t="shared" si="4"/>
        <v>43748.444494571755</v>
      </c>
    </row>
    <row r="286" spans="1:10" x14ac:dyDescent="0.25">
      <c r="A286" s="5" t="s">
        <v>26210</v>
      </c>
      <c r="B286" s="6">
        <v>406.25</v>
      </c>
      <c r="C286" s="6">
        <v>20.478950000000001</v>
      </c>
      <c r="D286" s="6">
        <v>68</v>
      </c>
      <c r="E286" s="6">
        <v>0</v>
      </c>
      <c r="F286" s="6">
        <v>0</v>
      </c>
      <c r="G286" s="6">
        <v>3</v>
      </c>
      <c r="H286" s="6" t="s">
        <v>26211</v>
      </c>
      <c r="I286" s="6">
        <v>530.8125</v>
      </c>
      <c r="J286" s="2">
        <f t="shared" si="4"/>
        <v>43748.444569317122</v>
      </c>
    </row>
    <row r="287" spans="1:10" x14ac:dyDescent="0.25">
      <c r="A287" s="7" t="s">
        <v>26212</v>
      </c>
      <c r="B287" s="8">
        <v>406.25</v>
      </c>
      <c r="C287" s="8">
        <v>20.478950000000001</v>
      </c>
      <c r="D287" s="8">
        <v>67</v>
      </c>
      <c r="E287" s="8">
        <v>0</v>
      </c>
      <c r="F287" s="8">
        <v>0</v>
      </c>
      <c r="G287" s="8">
        <v>9</v>
      </c>
      <c r="H287" s="8" t="s">
        <v>26213</v>
      </c>
      <c r="I287" s="8">
        <v>530.625</v>
      </c>
      <c r="J287" s="3">
        <f t="shared" si="4"/>
        <v>43748.444652777776</v>
      </c>
    </row>
    <row r="288" spans="1:10" x14ac:dyDescent="0.25">
      <c r="A288" s="5" t="s">
        <v>26214</v>
      </c>
      <c r="B288" s="6">
        <v>406.25</v>
      </c>
      <c r="C288" s="6">
        <v>20.531590000000001</v>
      </c>
      <c r="D288" s="6">
        <v>67</v>
      </c>
      <c r="E288" s="6">
        <v>0</v>
      </c>
      <c r="F288" s="6">
        <v>0</v>
      </c>
      <c r="G288" s="6">
        <v>5</v>
      </c>
      <c r="H288" s="6" t="s">
        <v>26215</v>
      </c>
      <c r="I288" s="6">
        <v>530.8125</v>
      </c>
      <c r="J288" s="2">
        <f t="shared" si="4"/>
        <v>43748.444736319441</v>
      </c>
    </row>
    <row r="289" spans="1:10" x14ac:dyDescent="0.25">
      <c r="A289" s="7" t="s">
        <v>26216</v>
      </c>
      <c r="B289" s="8">
        <v>406.25</v>
      </c>
      <c r="C289" s="8">
        <v>20.531590000000001</v>
      </c>
      <c r="D289" s="8">
        <v>67</v>
      </c>
      <c r="E289" s="8">
        <v>0</v>
      </c>
      <c r="F289" s="8">
        <v>0</v>
      </c>
      <c r="G289" s="8">
        <v>0</v>
      </c>
      <c r="H289" s="8" t="s">
        <v>26217</v>
      </c>
      <c r="I289" s="8">
        <v>530.625</v>
      </c>
      <c r="J289" s="3">
        <f t="shared" si="4"/>
        <v>43748.444819432865</v>
      </c>
    </row>
    <row r="290" spans="1:10" x14ac:dyDescent="0.25">
      <c r="A290" s="5" t="s">
        <v>26218</v>
      </c>
      <c r="B290" s="6">
        <v>406.25</v>
      </c>
      <c r="C290" s="6">
        <v>20.478950000000001</v>
      </c>
      <c r="D290" s="6">
        <v>67</v>
      </c>
      <c r="E290" s="6">
        <v>0</v>
      </c>
      <c r="F290" s="6">
        <v>0</v>
      </c>
      <c r="G290" s="6">
        <v>8</v>
      </c>
      <c r="H290" s="6" t="s">
        <v>26219</v>
      </c>
      <c r="I290" s="6">
        <v>530.625</v>
      </c>
      <c r="J290" s="2">
        <f t="shared" si="4"/>
        <v>43748.444891192128</v>
      </c>
    </row>
    <row r="291" spans="1:10" x14ac:dyDescent="0.25">
      <c r="A291" s="7" t="s">
        <v>26220</v>
      </c>
      <c r="B291" s="8">
        <v>406.25</v>
      </c>
      <c r="C291" s="8">
        <v>20.478950000000001</v>
      </c>
      <c r="D291" s="8">
        <v>66</v>
      </c>
      <c r="E291" s="8">
        <v>0</v>
      </c>
      <c r="F291" s="8">
        <v>0</v>
      </c>
      <c r="G291" s="8">
        <v>4</v>
      </c>
      <c r="H291" s="8" t="s">
        <v>26221</v>
      </c>
      <c r="I291" s="8">
        <v>530.8125</v>
      </c>
      <c r="J291" s="3">
        <f t="shared" si="4"/>
        <v>43748.444975092592</v>
      </c>
    </row>
    <row r="292" spans="1:10" x14ac:dyDescent="0.25">
      <c r="A292" s="5" t="s">
        <v>26222</v>
      </c>
      <c r="B292" s="6">
        <v>406.25</v>
      </c>
      <c r="C292" s="6">
        <v>20.478950000000001</v>
      </c>
      <c r="D292" s="6">
        <v>65</v>
      </c>
      <c r="E292" s="6">
        <v>0</v>
      </c>
      <c r="F292" s="6">
        <v>0</v>
      </c>
      <c r="G292" s="6">
        <v>12</v>
      </c>
      <c r="H292" s="6" t="s">
        <v>26223</v>
      </c>
      <c r="I292" s="6">
        <v>530.625</v>
      </c>
      <c r="J292" s="2">
        <f t="shared" si="4"/>
        <v>43748.445058321762</v>
      </c>
    </row>
    <row r="293" spans="1:10" x14ac:dyDescent="0.25">
      <c r="A293" s="7" t="s">
        <v>26224</v>
      </c>
      <c r="B293" s="8">
        <v>406.25</v>
      </c>
      <c r="C293" s="8">
        <v>20.478950000000001</v>
      </c>
      <c r="D293" s="8">
        <v>66</v>
      </c>
      <c r="E293" s="8">
        <v>0</v>
      </c>
      <c r="F293" s="8">
        <v>0</v>
      </c>
      <c r="G293" s="8">
        <v>9</v>
      </c>
      <c r="H293" s="8" t="s">
        <v>26225</v>
      </c>
      <c r="I293" s="8">
        <v>530.625</v>
      </c>
      <c r="J293" s="3">
        <f t="shared" si="4"/>
        <v>43748.445141643511</v>
      </c>
    </row>
    <row r="294" spans="1:10" x14ac:dyDescent="0.25">
      <c r="A294" s="5" t="s">
        <v>26226</v>
      </c>
      <c r="B294" s="6">
        <v>409.375</v>
      </c>
      <c r="C294" s="6">
        <v>20.478950000000001</v>
      </c>
      <c r="D294" s="6">
        <v>67</v>
      </c>
      <c r="E294" s="6">
        <v>0</v>
      </c>
      <c r="F294" s="6">
        <v>0</v>
      </c>
      <c r="G294" s="6">
        <v>3</v>
      </c>
      <c r="H294" s="6" t="s">
        <v>26227</v>
      </c>
      <c r="I294" s="6">
        <v>531.5625</v>
      </c>
      <c r="J294" s="2">
        <f t="shared" si="4"/>
        <v>43748.44522523148</v>
      </c>
    </row>
    <row r="295" spans="1:10" x14ac:dyDescent="0.25">
      <c r="A295" s="7" t="s">
        <v>26228</v>
      </c>
      <c r="B295" s="8">
        <v>409.375</v>
      </c>
      <c r="C295" s="8">
        <v>20.478950000000001</v>
      </c>
      <c r="D295" s="8">
        <v>67</v>
      </c>
      <c r="E295" s="8">
        <v>0</v>
      </c>
      <c r="F295" s="8">
        <v>0</v>
      </c>
      <c r="G295" s="8">
        <v>2</v>
      </c>
      <c r="H295" s="8" t="s">
        <v>26229</v>
      </c>
      <c r="I295" s="8">
        <v>531.5625</v>
      </c>
      <c r="J295" s="3">
        <f t="shared" si="4"/>
        <v>43748.445308437498</v>
      </c>
    </row>
    <row r="296" spans="1:10" x14ac:dyDescent="0.25">
      <c r="A296" s="5" t="s">
        <v>26230</v>
      </c>
      <c r="B296" s="6">
        <v>412.5</v>
      </c>
      <c r="C296" s="6">
        <v>20.478950000000001</v>
      </c>
      <c r="D296" s="6">
        <v>67</v>
      </c>
      <c r="E296" s="6">
        <v>0</v>
      </c>
      <c r="F296" s="6">
        <v>0</v>
      </c>
      <c r="G296" s="6">
        <v>7</v>
      </c>
      <c r="H296" s="6" t="s">
        <v>26231</v>
      </c>
      <c r="I296" s="6">
        <v>532.125</v>
      </c>
      <c r="J296" s="2">
        <f t="shared" si="4"/>
        <v>43748.44538020833</v>
      </c>
    </row>
    <row r="297" spans="1:10" x14ac:dyDescent="0.25">
      <c r="A297" s="7" t="s">
        <v>26232</v>
      </c>
      <c r="B297" s="8">
        <v>412.5</v>
      </c>
      <c r="C297" s="8">
        <v>20.478950000000001</v>
      </c>
      <c r="D297" s="8">
        <v>67</v>
      </c>
      <c r="E297" s="8">
        <v>0</v>
      </c>
      <c r="F297" s="8">
        <v>0</v>
      </c>
      <c r="G297" s="8">
        <v>4</v>
      </c>
      <c r="H297" s="8" t="s">
        <v>26233</v>
      </c>
      <c r="I297" s="8">
        <v>532.3125</v>
      </c>
      <c r="J297" s="3">
        <f t="shared" si="4"/>
        <v>43748.445463900462</v>
      </c>
    </row>
    <row r="298" spans="1:10" x14ac:dyDescent="0.25">
      <c r="A298" s="5" t="s">
        <v>26234</v>
      </c>
      <c r="B298" s="6">
        <v>412.5</v>
      </c>
      <c r="C298" s="6">
        <v>20.531590000000001</v>
      </c>
      <c r="D298" s="6">
        <v>65</v>
      </c>
      <c r="E298" s="6">
        <v>0</v>
      </c>
      <c r="F298" s="6">
        <v>0</v>
      </c>
      <c r="G298" s="6">
        <v>4</v>
      </c>
      <c r="H298" s="6" t="s">
        <v>26235</v>
      </c>
      <c r="I298" s="6">
        <v>532.3125</v>
      </c>
      <c r="J298" s="2">
        <f t="shared" si="4"/>
        <v>43748.445547222218</v>
      </c>
    </row>
    <row r="299" spans="1:10" x14ac:dyDescent="0.25">
      <c r="A299" s="7" t="s">
        <v>26236</v>
      </c>
      <c r="B299" s="8">
        <v>412.5</v>
      </c>
      <c r="C299" s="8">
        <v>20.478950000000001</v>
      </c>
      <c r="D299" s="8">
        <v>64</v>
      </c>
      <c r="E299" s="8">
        <v>0</v>
      </c>
      <c r="F299" s="8">
        <v>0</v>
      </c>
      <c r="G299" s="8">
        <v>1</v>
      </c>
      <c r="H299" s="8" t="s">
        <v>26237</v>
      </c>
      <c r="I299" s="8">
        <v>532.3125</v>
      </c>
      <c r="J299" s="3">
        <f t="shared" si="4"/>
        <v>43748.445630543974</v>
      </c>
    </row>
    <row r="300" spans="1:10" x14ac:dyDescent="0.25">
      <c r="A300" s="5" t="s">
        <v>26238</v>
      </c>
      <c r="B300" s="6">
        <v>428.125</v>
      </c>
      <c r="C300" s="6">
        <v>20.478950000000001</v>
      </c>
      <c r="D300" s="6">
        <v>64</v>
      </c>
      <c r="E300" s="6">
        <v>0</v>
      </c>
      <c r="F300" s="6">
        <v>0</v>
      </c>
      <c r="G300" s="6">
        <v>7</v>
      </c>
      <c r="H300" s="6" t="s">
        <v>26239</v>
      </c>
      <c r="I300" s="6">
        <v>537.9375</v>
      </c>
      <c r="J300" s="2">
        <f t="shared" si="4"/>
        <v>43748.445702303237</v>
      </c>
    </row>
    <row r="301" spans="1:10" x14ac:dyDescent="0.25">
      <c r="A301" s="7" t="s">
        <v>26240</v>
      </c>
      <c r="B301" s="8">
        <v>412.5</v>
      </c>
      <c r="C301" s="8">
        <v>20.478950000000001</v>
      </c>
      <c r="D301" s="8">
        <v>65</v>
      </c>
      <c r="E301" s="8">
        <v>0</v>
      </c>
      <c r="F301" s="8">
        <v>0</v>
      </c>
      <c r="G301" s="8">
        <v>0</v>
      </c>
      <c r="H301" s="8" t="s">
        <v>26241</v>
      </c>
      <c r="I301" s="8">
        <v>532.3125</v>
      </c>
      <c r="J301" s="3">
        <f t="shared" si="4"/>
        <v>43748.445785752316</v>
      </c>
    </row>
    <row r="302" spans="1:10" x14ac:dyDescent="0.25">
      <c r="A302" s="5" t="s">
        <v>26242</v>
      </c>
      <c r="B302" s="6">
        <v>412.5</v>
      </c>
      <c r="C302" s="6">
        <v>20.531590000000001</v>
      </c>
      <c r="D302" s="6">
        <v>66</v>
      </c>
      <c r="E302" s="6">
        <v>0</v>
      </c>
      <c r="F302" s="6">
        <v>0</v>
      </c>
      <c r="G302" s="6">
        <v>6</v>
      </c>
      <c r="H302" s="6" t="s">
        <v>26243</v>
      </c>
      <c r="I302" s="6">
        <v>532.5</v>
      </c>
      <c r="J302" s="2">
        <f t="shared" si="4"/>
        <v>43748.445881608794</v>
      </c>
    </row>
    <row r="303" spans="1:10" x14ac:dyDescent="0.25">
      <c r="A303" s="7" t="s">
        <v>26244</v>
      </c>
      <c r="B303" s="8">
        <v>415.625</v>
      </c>
      <c r="C303" s="8">
        <v>20.478950000000001</v>
      </c>
      <c r="D303" s="8">
        <v>67</v>
      </c>
      <c r="E303" s="8">
        <v>0</v>
      </c>
      <c r="F303" s="8">
        <v>0</v>
      </c>
      <c r="G303" s="8">
        <v>0</v>
      </c>
      <c r="H303" s="8" t="s">
        <v>26245</v>
      </c>
      <c r="I303" s="8">
        <v>533.0625</v>
      </c>
      <c r="J303" s="3">
        <f t="shared" si="4"/>
        <v>43748.445964849532</v>
      </c>
    </row>
    <row r="304" spans="1:10" x14ac:dyDescent="0.25">
      <c r="A304" s="5" t="s">
        <v>26246</v>
      </c>
      <c r="B304" s="6">
        <v>415.625</v>
      </c>
      <c r="C304" s="6">
        <v>20.478950000000001</v>
      </c>
      <c r="D304" s="6">
        <v>68</v>
      </c>
      <c r="E304" s="6">
        <v>0</v>
      </c>
      <c r="F304" s="6">
        <v>0</v>
      </c>
      <c r="G304" s="6">
        <v>8</v>
      </c>
      <c r="H304" s="6" t="s">
        <v>26247</v>
      </c>
      <c r="I304" s="6">
        <v>533.0625</v>
      </c>
      <c r="J304" s="2">
        <f t="shared" si="4"/>
        <v>43748.446036261572</v>
      </c>
    </row>
    <row r="305" spans="1:10" x14ac:dyDescent="0.25">
      <c r="A305" s="7" t="s">
        <v>26248</v>
      </c>
      <c r="B305" s="8">
        <v>431.25</v>
      </c>
      <c r="C305" s="8">
        <v>20.478950000000001</v>
      </c>
      <c r="D305" s="8">
        <v>69</v>
      </c>
      <c r="E305" s="8">
        <v>0</v>
      </c>
      <c r="F305" s="8">
        <v>0</v>
      </c>
      <c r="G305" s="8">
        <v>9</v>
      </c>
      <c r="H305" s="8" t="s">
        <v>26249</v>
      </c>
      <c r="I305" s="8">
        <v>538.875</v>
      </c>
      <c r="J305" s="3">
        <f t="shared" si="4"/>
        <v>43748.446119479166</v>
      </c>
    </row>
    <row r="306" spans="1:10" x14ac:dyDescent="0.25">
      <c r="A306" s="5" t="s">
        <v>26250</v>
      </c>
      <c r="B306" s="6">
        <v>415.625</v>
      </c>
      <c r="C306" s="6">
        <v>20.531590000000001</v>
      </c>
      <c r="D306" s="6">
        <v>69</v>
      </c>
      <c r="E306" s="6">
        <v>0</v>
      </c>
      <c r="F306" s="6">
        <v>0</v>
      </c>
      <c r="G306" s="6">
        <v>7</v>
      </c>
      <c r="H306" s="6" t="s">
        <v>26251</v>
      </c>
      <c r="I306" s="6">
        <v>533.0625</v>
      </c>
      <c r="J306" s="2">
        <f t="shared" si="4"/>
        <v>43748.446191238421</v>
      </c>
    </row>
    <row r="307" spans="1:10" x14ac:dyDescent="0.25">
      <c r="A307" s="7" t="s">
        <v>26252</v>
      </c>
      <c r="B307" s="8">
        <v>415.625</v>
      </c>
      <c r="C307" s="8">
        <v>20.478950000000001</v>
      </c>
      <c r="D307" s="8">
        <v>66</v>
      </c>
      <c r="E307" s="8">
        <v>0</v>
      </c>
      <c r="F307" s="8">
        <v>0</v>
      </c>
      <c r="G307" s="8">
        <v>13</v>
      </c>
      <c r="H307" s="8" t="s">
        <v>26253</v>
      </c>
      <c r="I307" s="8">
        <v>533.0625</v>
      </c>
      <c r="J307" s="3">
        <f t="shared" si="4"/>
        <v>43748.446274675924</v>
      </c>
    </row>
    <row r="308" spans="1:10" x14ac:dyDescent="0.25">
      <c r="A308" s="5" t="s">
        <v>26254</v>
      </c>
      <c r="B308" s="6">
        <v>415.625</v>
      </c>
      <c r="C308" s="6">
        <v>20.478950000000001</v>
      </c>
      <c r="D308" s="6">
        <v>65</v>
      </c>
      <c r="E308" s="6">
        <v>0</v>
      </c>
      <c r="F308" s="6">
        <v>0</v>
      </c>
      <c r="G308" s="6">
        <v>0</v>
      </c>
      <c r="H308" s="6" t="s">
        <v>26255</v>
      </c>
      <c r="I308" s="6">
        <v>533.0625</v>
      </c>
      <c r="J308" s="2">
        <f t="shared" si="4"/>
        <v>43748.446358240741</v>
      </c>
    </row>
    <row r="309" spans="1:10" x14ac:dyDescent="0.25">
      <c r="A309" s="7" t="s">
        <v>26256</v>
      </c>
      <c r="B309" s="8">
        <v>412.5</v>
      </c>
      <c r="C309" s="8">
        <v>20.478950000000001</v>
      </c>
      <c r="D309" s="8">
        <v>65</v>
      </c>
      <c r="E309" s="8">
        <v>0</v>
      </c>
      <c r="F309" s="8">
        <v>0</v>
      </c>
      <c r="G309" s="8">
        <v>10</v>
      </c>
      <c r="H309" s="8" t="s">
        <v>26257</v>
      </c>
      <c r="I309" s="8">
        <v>532.3125</v>
      </c>
      <c r="J309" s="3">
        <f t="shared" si="4"/>
        <v>43748.446441817126</v>
      </c>
    </row>
    <row r="310" spans="1:10" x14ac:dyDescent="0.25">
      <c r="A310" s="5" t="s">
        <v>26258</v>
      </c>
      <c r="B310" s="6">
        <v>446.875</v>
      </c>
      <c r="C310" s="6">
        <v>20.478950000000001</v>
      </c>
      <c r="D310" s="6">
        <v>65</v>
      </c>
      <c r="E310" s="6">
        <v>0</v>
      </c>
      <c r="F310" s="6">
        <v>0</v>
      </c>
      <c r="G310" s="6">
        <v>8</v>
      </c>
      <c r="H310" s="6" t="s">
        <v>26259</v>
      </c>
      <c r="I310" s="6">
        <v>543.9375</v>
      </c>
      <c r="J310" s="2">
        <f t="shared" si="4"/>
        <v>43748.446525219908</v>
      </c>
    </row>
    <row r="311" spans="1:10" x14ac:dyDescent="0.25">
      <c r="A311" s="7" t="s">
        <v>26260</v>
      </c>
      <c r="B311" s="8">
        <v>406.25</v>
      </c>
      <c r="C311" s="8">
        <v>20.478950000000001</v>
      </c>
      <c r="D311" s="8">
        <v>65</v>
      </c>
      <c r="E311" s="8">
        <v>0</v>
      </c>
      <c r="F311" s="8">
        <v>0</v>
      </c>
      <c r="G311" s="8">
        <v>8</v>
      </c>
      <c r="H311" s="8" t="s">
        <v>26261</v>
      </c>
      <c r="I311" s="8">
        <v>530.625</v>
      </c>
      <c r="J311" s="3">
        <f t="shared" si="4"/>
        <v>43748.446608483799</v>
      </c>
    </row>
    <row r="312" spans="1:10" x14ac:dyDescent="0.25">
      <c r="A312" s="5" t="s">
        <v>26262</v>
      </c>
      <c r="B312" s="6">
        <v>406.25</v>
      </c>
      <c r="C312" s="6">
        <v>20.478950000000001</v>
      </c>
      <c r="D312" s="6">
        <v>65</v>
      </c>
      <c r="E312" s="6">
        <v>0</v>
      </c>
      <c r="F312" s="6">
        <v>0</v>
      </c>
      <c r="G312" s="6">
        <v>12</v>
      </c>
      <c r="H312" s="6" t="s">
        <v>26263</v>
      </c>
      <c r="I312" s="6">
        <v>530.625</v>
      </c>
      <c r="J312" s="2">
        <f t="shared" si="4"/>
        <v>43748.44668011574</v>
      </c>
    </row>
    <row r="313" spans="1:10" x14ac:dyDescent="0.25">
      <c r="A313" s="7" t="s">
        <v>26264</v>
      </c>
      <c r="B313" s="8">
        <v>406.25</v>
      </c>
      <c r="C313" s="8">
        <v>20.478950000000001</v>
      </c>
      <c r="D313" s="8">
        <v>66</v>
      </c>
      <c r="E313" s="8">
        <v>0</v>
      </c>
      <c r="F313" s="8">
        <v>0</v>
      </c>
      <c r="G313" s="8">
        <v>5</v>
      </c>
      <c r="H313" s="8" t="s">
        <v>26265</v>
      </c>
      <c r="I313" s="8">
        <v>530.8125</v>
      </c>
      <c r="J313" s="3">
        <f t="shared" si="4"/>
        <v>43748.446763692125</v>
      </c>
    </row>
    <row r="314" spans="1:10" x14ac:dyDescent="0.25">
      <c r="A314" s="5" t="s">
        <v>26266</v>
      </c>
      <c r="B314" s="6">
        <v>406.25</v>
      </c>
      <c r="C314" s="6">
        <v>20.478950000000001</v>
      </c>
      <c r="D314" s="6">
        <v>65</v>
      </c>
      <c r="E314" s="6">
        <v>0</v>
      </c>
      <c r="F314" s="6">
        <v>0</v>
      </c>
      <c r="G314" s="6">
        <v>10</v>
      </c>
      <c r="H314" s="6" t="s">
        <v>26267</v>
      </c>
      <c r="I314" s="6">
        <v>530.8125</v>
      </c>
      <c r="J314" s="2">
        <f t="shared" si="4"/>
        <v>43748.446847118052</v>
      </c>
    </row>
    <row r="315" spans="1:10" x14ac:dyDescent="0.25">
      <c r="A315" s="7" t="s">
        <v>26268</v>
      </c>
      <c r="B315" s="8">
        <v>440.625</v>
      </c>
      <c r="C315" s="8">
        <v>20.531590000000001</v>
      </c>
      <c r="D315" s="8">
        <v>68</v>
      </c>
      <c r="E315" s="8">
        <v>0</v>
      </c>
      <c r="F315" s="8">
        <v>0</v>
      </c>
      <c r="G315" s="8">
        <v>15</v>
      </c>
      <c r="H315" s="8" t="s">
        <v>26269</v>
      </c>
      <c r="I315" s="8">
        <v>541.5</v>
      </c>
      <c r="J315" s="3">
        <f t="shared" si="4"/>
        <v>43748.446930694445</v>
      </c>
    </row>
    <row r="316" spans="1:10" x14ac:dyDescent="0.25">
      <c r="A316" s="5" t="s">
        <v>26270</v>
      </c>
      <c r="B316" s="6">
        <v>409.375</v>
      </c>
      <c r="C316" s="6">
        <v>20.478950000000001</v>
      </c>
      <c r="D316" s="6">
        <v>67</v>
      </c>
      <c r="E316" s="6">
        <v>0</v>
      </c>
      <c r="F316" s="6">
        <v>0</v>
      </c>
      <c r="G316" s="6">
        <v>14</v>
      </c>
      <c r="H316" s="6" t="s">
        <v>26271</v>
      </c>
      <c r="I316" s="6">
        <v>531.5625</v>
      </c>
      <c r="J316" s="2">
        <f t="shared" si="4"/>
        <v>43748.447014039346</v>
      </c>
    </row>
    <row r="317" spans="1:10" x14ac:dyDescent="0.25">
      <c r="A317" s="7" t="s">
        <v>26272</v>
      </c>
      <c r="B317" s="8">
        <v>409.375</v>
      </c>
      <c r="C317" s="8">
        <v>20.531590000000001</v>
      </c>
      <c r="D317" s="8">
        <v>66</v>
      </c>
      <c r="E317" s="8">
        <v>0</v>
      </c>
      <c r="F317" s="8">
        <v>0</v>
      </c>
      <c r="G317" s="8">
        <v>14</v>
      </c>
      <c r="H317" s="8" t="s">
        <v>26273</v>
      </c>
      <c r="I317" s="8">
        <v>531.5625</v>
      </c>
      <c r="J317" s="3">
        <f t="shared" si="4"/>
        <v>43748.447097245364</v>
      </c>
    </row>
    <row r="318" spans="1:10" x14ac:dyDescent="0.25">
      <c r="A318" s="5" t="s">
        <v>26274</v>
      </c>
      <c r="B318" s="6">
        <v>406.25</v>
      </c>
      <c r="C318" s="6">
        <v>20.531590000000001</v>
      </c>
      <c r="D318" s="6">
        <v>66</v>
      </c>
      <c r="E318" s="6">
        <v>0</v>
      </c>
      <c r="F318" s="6">
        <v>0</v>
      </c>
      <c r="G318" s="6">
        <v>8</v>
      </c>
      <c r="H318" s="6" t="s">
        <v>26275</v>
      </c>
      <c r="I318" s="6">
        <v>530.625</v>
      </c>
      <c r="J318" s="2">
        <f t="shared" si="4"/>
        <v>43748.447181030089</v>
      </c>
    </row>
    <row r="319" spans="1:10" x14ac:dyDescent="0.25">
      <c r="A319" s="7" t="s">
        <v>26276</v>
      </c>
      <c r="B319" s="8">
        <v>409.375</v>
      </c>
      <c r="C319" s="8">
        <v>20.478950000000001</v>
      </c>
      <c r="D319" s="8">
        <v>66</v>
      </c>
      <c r="E319" s="8">
        <v>0</v>
      </c>
      <c r="F319" s="8">
        <v>0</v>
      </c>
      <c r="G319" s="8">
        <v>5</v>
      </c>
      <c r="H319" s="8" t="s">
        <v>26277</v>
      </c>
      <c r="I319" s="8">
        <v>531.5625</v>
      </c>
      <c r="J319" s="3">
        <f t="shared" si="4"/>
        <v>43748.447264722221</v>
      </c>
    </row>
    <row r="320" spans="1:10" x14ac:dyDescent="0.25">
      <c r="A320" s="5" t="s">
        <v>26278</v>
      </c>
      <c r="B320" s="6">
        <v>428.125</v>
      </c>
      <c r="C320" s="6">
        <v>20.478950000000001</v>
      </c>
      <c r="D320" s="6">
        <v>63</v>
      </c>
      <c r="E320" s="6">
        <v>0</v>
      </c>
      <c r="F320" s="6">
        <v>0</v>
      </c>
      <c r="G320" s="6">
        <v>5</v>
      </c>
      <c r="H320" s="6" t="s">
        <v>26279</v>
      </c>
      <c r="I320" s="6">
        <v>537.1875</v>
      </c>
      <c r="J320" s="2">
        <f t="shared" si="4"/>
        <v>43748.447336134261</v>
      </c>
    </row>
    <row r="321" spans="1:10" x14ac:dyDescent="0.25">
      <c r="A321" s="7" t="s">
        <v>26280</v>
      </c>
      <c r="B321" s="8">
        <v>412.5</v>
      </c>
      <c r="C321" s="8">
        <v>20.531590000000001</v>
      </c>
      <c r="D321" s="8">
        <v>63</v>
      </c>
      <c r="E321" s="8">
        <v>0</v>
      </c>
      <c r="F321" s="8">
        <v>0</v>
      </c>
      <c r="G321" s="8">
        <v>8</v>
      </c>
      <c r="H321" s="8" t="s">
        <v>26281</v>
      </c>
      <c r="I321" s="8">
        <v>532.3125</v>
      </c>
      <c r="J321" s="3">
        <f t="shared" si="4"/>
        <v>43748.447419594908</v>
      </c>
    </row>
    <row r="322" spans="1:10" x14ac:dyDescent="0.25">
      <c r="A322" s="5" t="s">
        <v>26282</v>
      </c>
      <c r="B322" s="6">
        <v>412.5</v>
      </c>
      <c r="C322" s="6">
        <v>20.478950000000001</v>
      </c>
      <c r="D322" s="6">
        <v>62</v>
      </c>
      <c r="E322" s="6">
        <v>0</v>
      </c>
      <c r="F322" s="6">
        <v>0</v>
      </c>
      <c r="G322" s="6">
        <v>5</v>
      </c>
      <c r="H322" s="6" t="s">
        <v>26283</v>
      </c>
      <c r="I322" s="6">
        <v>532.3125</v>
      </c>
      <c r="J322" s="2">
        <f t="shared" ref="J322:J385" si="5">(H322/86400000)+25569+(7/24)</f>
        <v>43748.447503043979</v>
      </c>
    </row>
    <row r="323" spans="1:10" x14ac:dyDescent="0.25">
      <c r="A323" s="7" t="s">
        <v>26284</v>
      </c>
      <c r="B323" s="8">
        <v>412.5</v>
      </c>
      <c r="C323" s="8">
        <v>20.478950000000001</v>
      </c>
      <c r="D323" s="8">
        <v>63</v>
      </c>
      <c r="E323" s="8">
        <v>0</v>
      </c>
      <c r="F323" s="8">
        <v>0</v>
      </c>
      <c r="G323" s="8">
        <v>6</v>
      </c>
      <c r="H323" s="8" t="s">
        <v>26285</v>
      </c>
      <c r="I323" s="8">
        <v>532.3125</v>
      </c>
      <c r="J323" s="3">
        <f t="shared" si="5"/>
        <v>43748.447586249997</v>
      </c>
    </row>
    <row r="324" spans="1:10" x14ac:dyDescent="0.25">
      <c r="A324" s="5" t="s">
        <v>26286</v>
      </c>
      <c r="B324" s="6">
        <v>412.5</v>
      </c>
      <c r="C324" s="6">
        <v>20.478950000000001</v>
      </c>
      <c r="D324" s="6">
        <v>63</v>
      </c>
      <c r="E324" s="6">
        <v>0</v>
      </c>
      <c r="F324" s="6">
        <v>0</v>
      </c>
      <c r="G324" s="6">
        <v>13</v>
      </c>
      <c r="H324" s="6" t="s">
        <v>26287</v>
      </c>
      <c r="I324" s="6">
        <v>532.3125</v>
      </c>
      <c r="J324" s="2">
        <f t="shared" si="5"/>
        <v>43748.447658009252</v>
      </c>
    </row>
    <row r="325" spans="1:10" x14ac:dyDescent="0.25">
      <c r="A325" s="7" t="s">
        <v>26288</v>
      </c>
      <c r="B325" s="8">
        <v>412.5</v>
      </c>
      <c r="C325" s="8">
        <v>20.478950000000001</v>
      </c>
      <c r="D325" s="8">
        <v>67</v>
      </c>
      <c r="E325" s="8">
        <v>0</v>
      </c>
      <c r="F325" s="8">
        <v>0</v>
      </c>
      <c r="G325" s="8">
        <v>8</v>
      </c>
      <c r="H325" s="8" t="s">
        <v>26289</v>
      </c>
      <c r="I325" s="8">
        <v>532.3125</v>
      </c>
      <c r="J325" s="3">
        <f t="shared" si="5"/>
        <v>43748.447741678239</v>
      </c>
    </row>
    <row r="326" spans="1:10" x14ac:dyDescent="0.25">
      <c r="A326" s="5" t="s">
        <v>26290</v>
      </c>
      <c r="B326" s="6">
        <v>412.5</v>
      </c>
      <c r="C326" s="6">
        <v>20.478950000000001</v>
      </c>
      <c r="D326" s="6">
        <v>66</v>
      </c>
      <c r="E326" s="6">
        <v>0</v>
      </c>
      <c r="F326" s="6">
        <v>0</v>
      </c>
      <c r="G326" s="6">
        <v>4</v>
      </c>
      <c r="H326" s="6" t="s">
        <v>26291</v>
      </c>
      <c r="I326" s="6">
        <v>532.3125</v>
      </c>
      <c r="J326" s="2">
        <f t="shared" si="5"/>
        <v>43748.44782502314</v>
      </c>
    </row>
    <row r="327" spans="1:10" x14ac:dyDescent="0.25">
      <c r="A327" s="7" t="s">
        <v>26292</v>
      </c>
      <c r="B327" s="8">
        <v>412.5</v>
      </c>
      <c r="C327" s="8">
        <v>20.478950000000001</v>
      </c>
      <c r="D327" s="8">
        <v>67</v>
      </c>
      <c r="E327" s="8">
        <v>0</v>
      </c>
      <c r="F327" s="8">
        <v>0</v>
      </c>
      <c r="G327" s="8">
        <v>5</v>
      </c>
      <c r="H327" s="8" t="s">
        <v>26293</v>
      </c>
      <c r="I327" s="8">
        <v>532.3125</v>
      </c>
      <c r="J327" s="3">
        <f t="shared" si="5"/>
        <v>43748.447908344904</v>
      </c>
    </row>
    <row r="328" spans="1:10" x14ac:dyDescent="0.25">
      <c r="A328" s="5" t="s">
        <v>26294</v>
      </c>
      <c r="B328" s="6">
        <v>409.375</v>
      </c>
      <c r="C328" s="6">
        <v>20.478950000000001</v>
      </c>
      <c r="D328" s="6">
        <v>67</v>
      </c>
      <c r="E328" s="6">
        <v>0</v>
      </c>
      <c r="F328" s="6">
        <v>0</v>
      </c>
      <c r="G328" s="6">
        <v>0</v>
      </c>
      <c r="H328" s="6" t="s">
        <v>26295</v>
      </c>
      <c r="I328" s="6">
        <v>531.5625</v>
      </c>
      <c r="J328" s="2">
        <f t="shared" si="5"/>
        <v>43748.447992037036</v>
      </c>
    </row>
    <row r="329" spans="1:10" x14ac:dyDescent="0.25">
      <c r="A329" s="7" t="s">
        <v>26296</v>
      </c>
      <c r="B329" s="8">
        <v>409.375</v>
      </c>
      <c r="C329" s="8">
        <v>20.478950000000001</v>
      </c>
      <c r="D329" s="8">
        <v>66</v>
      </c>
      <c r="E329" s="8">
        <v>0</v>
      </c>
      <c r="F329" s="8">
        <v>0</v>
      </c>
      <c r="G329" s="8">
        <v>2</v>
      </c>
      <c r="H329" s="8" t="s">
        <v>26297</v>
      </c>
      <c r="I329" s="8">
        <v>531.5625</v>
      </c>
      <c r="J329" s="3">
        <f t="shared" si="5"/>
        <v>43748.448075127315</v>
      </c>
    </row>
    <row r="330" spans="1:10" x14ac:dyDescent="0.25">
      <c r="A330" s="5" t="s">
        <v>26298</v>
      </c>
      <c r="B330" s="6">
        <v>428.125</v>
      </c>
      <c r="C330" s="6">
        <v>20.478950000000001</v>
      </c>
      <c r="D330" s="6">
        <v>66</v>
      </c>
      <c r="E330" s="6">
        <v>0</v>
      </c>
      <c r="F330" s="6">
        <v>0</v>
      </c>
      <c r="G330" s="6">
        <v>2</v>
      </c>
      <c r="H330" s="6" t="s">
        <v>26299</v>
      </c>
      <c r="I330" s="6">
        <v>537.1875</v>
      </c>
      <c r="J330" s="2">
        <f t="shared" si="5"/>
        <v>43748.448146793984</v>
      </c>
    </row>
    <row r="331" spans="1:10" x14ac:dyDescent="0.25">
      <c r="A331" s="7" t="s">
        <v>26300</v>
      </c>
      <c r="B331" s="8">
        <v>412.5</v>
      </c>
      <c r="C331" s="8">
        <v>20.478950000000001</v>
      </c>
      <c r="D331" s="8">
        <v>66</v>
      </c>
      <c r="E331" s="8">
        <v>0</v>
      </c>
      <c r="F331" s="8">
        <v>0</v>
      </c>
      <c r="G331" s="8">
        <v>17</v>
      </c>
      <c r="H331" s="8" t="s">
        <v>26301</v>
      </c>
      <c r="I331" s="8">
        <v>532.3125</v>
      </c>
      <c r="J331" s="3">
        <f t="shared" si="5"/>
        <v>43748.448218530095</v>
      </c>
    </row>
    <row r="332" spans="1:10" x14ac:dyDescent="0.25">
      <c r="A332" s="5" t="s">
        <v>26302</v>
      </c>
      <c r="B332" s="6">
        <v>412.5</v>
      </c>
      <c r="C332" s="6">
        <v>20.478950000000001</v>
      </c>
      <c r="D332" s="6">
        <v>63</v>
      </c>
      <c r="E332" s="6">
        <v>0</v>
      </c>
      <c r="F332" s="6">
        <v>0</v>
      </c>
      <c r="G332" s="6">
        <v>9</v>
      </c>
      <c r="H332" s="6" t="s">
        <v>26303</v>
      </c>
      <c r="I332" s="6">
        <v>532.3125</v>
      </c>
      <c r="J332" s="2">
        <f t="shared" si="5"/>
        <v>43748.448302106481</v>
      </c>
    </row>
    <row r="333" spans="1:10" x14ac:dyDescent="0.25">
      <c r="A333" s="7" t="s">
        <v>26304</v>
      </c>
      <c r="B333" s="8">
        <v>437.5</v>
      </c>
      <c r="C333" s="8">
        <v>20.478950000000001</v>
      </c>
      <c r="D333" s="8">
        <v>63</v>
      </c>
      <c r="E333" s="8">
        <v>0</v>
      </c>
      <c r="F333" s="8">
        <v>0</v>
      </c>
      <c r="G333" s="8">
        <v>19</v>
      </c>
      <c r="H333" s="8" t="s">
        <v>26305</v>
      </c>
      <c r="I333" s="8">
        <v>540</v>
      </c>
      <c r="J333" s="3">
        <f t="shared" si="5"/>
        <v>43748.448385543983</v>
      </c>
    </row>
    <row r="334" spans="1:10" x14ac:dyDescent="0.25">
      <c r="A334" s="5" t="s">
        <v>26306</v>
      </c>
      <c r="B334" s="6">
        <v>412.5</v>
      </c>
      <c r="C334" s="6">
        <v>20.478950000000001</v>
      </c>
      <c r="D334" s="6">
        <v>64</v>
      </c>
      <c r="E334" s="6">
        <v>0</v>
      </c>
      <c r="F334" s="6">
        <v>0</v>
      </c>
      <c r="G334" s="6">
        <v>6</v>
      </c>
      <c r="H334" s="6" t="s">
        <v>26307</v>
      </c>
      <c r="I334" s="6">
        <v>532.3125</v>
      </c>
      <c r="J334" s="2">
        <f t="shared" si="5"/>
        <v>43748.448468993054</v>
      </c>
    </row>
    <row r="335" spans="1:10" x14ac:dyDescent="0.25">
      <c r="A335" s="7" t="s">
        <v>26308</v>
      </c>
      <c r="B335" s="8">
        <v>412.5</v>
      </c>
      <c r="C335" s="8">
        <v>20.478950000000001</v>
      </c>
      <c r="D335" s="8">
        <v>64</v>
      </c>
      <c r="E335" s="8">
        <v>0</v>
      </c>
      <c r="F335" s="8">
        <v>0</v>
      </c>
      <c r="G335" s="8">
        <v>7</v>
      </c>
      <c r="H335" s="8" t="s">
        <v>26309</v>
      </c>
      <c r="I335" s="8">
        <v>532.3125</v>
      </c>
      <c r="J335" s="3">
        <f t="shared" si="5"/>
        <v>43748.448564131941</v>
      </c>
    </row>
    <row r="336" spans="1:10" x14ac:dyDescent="0.25">
      <c r="A336" s="5" t="s">
        <v>26310</v>
      </c>
      <c r="B336" s="6">
        <v>409.375</v>
      </c>
      <c r="C336" s="6">
        <v>20.531590000000001</v>
      </c>
      <c r="D336" s="6">
        <v>64</v>
      </c>
      <c r="E336" s="6">
        <v>0</v>
      </c>
      <c r="F336" s="6">
        <v>0</v>
      </c>
      <c r="G336" s="6">
        <v>4</v>
      </c>
      <c r="H336" s="6" t="s">
        <v>26311</v>
      </c>
      <c r="I336" s="6">
        <v>531.5625</v>
      </c>
      <c r="J336" s="2">
        <f t="shared" si="5"/>
        <v>43748.448659861104</v>
      </c>
    </row>
    <row r="337" spans="1:10" x14ac:dyDescent="0.25">
      <c r="A337" s="7" t="s">
        <v>26312</v>
      </c>
      <c r="B337" s="8">
        <v>406.25</v>
      </c>
      <c r="C337" s="8">
        <v>20.478950000000001</v>
      </c>
      <c r="D337" s="8">
        <v>63</v>
      </c>
      <c r="E337" s="8">
        <v>0</v>
      </c>
      <c r="F337" s="8">
        <v>0</v>
      </c>
      <c r="G337" s="8">
        <v>5</v>
      </c>
      <c r="H337" s="8" t="s">
        <v>26313</v>
      </c>
      <c r="I337" s="8">
        <v>530.8125</v>
      </c>
      <c r="J337" s="3">
        <f t="shared" si="5"/>
        <v>43748.448743321758</v>
      </c>
    </row>
    <row r="338" spans="1:10" x14ac:dyDescent="0.25">
      <c r="A338" s="5" t="s">
        <v>26314</v>
      </c>
      <c r="B338" s="6">
        <v>406.25</v>
      </c>
      <c r="C338" s="6">
        <v>20.478950000000001</v>
      </c>
      <c r="D338" s="6">
        <v>62</v>
      </c>
      <c r="E338" s="6">
        <v>0</v>
      </c>
      <c r="F338" s="6">
        <v>0</v>
      </c>
      <c r="G338" s="6">
        <v>7</v>
      </c>
      <c r="H338" s="6" t="s">
        <v>26315</v>
      </c>
      <c r="I338" s="6">
        <v>530.8125</v>
      </c>
      <c r="J338" s="2">
        <f t="shared" si="5"/>
        <v>43748.448827002314</v>
      </c>
    </row>
    <row r="339" spans="1:10" x14ac:dyDescent="0.25">
      <c r="A339" s="7" t="s">
        <v>26316</v>
      </c>
      <c r="B339" s="8">
        <v>450</v>
      </c>
      <c r="C339" s="8">
        <v>20.478950000000001</v>
      </c>
      <c r="D339" s="8">
        <v>62</v>
      </c>
      <c r="E339" s="8">
        <v>0</v>
      </c>
      <c r="F339" s="8">
        <v>0</v>
      </c>
      <c r="G339" s="8">
        <v>11</v>
      </c>
      <c r="H339" s="8" t="s">
        <v>26317</v>
      </c>
      <c r="I339" s="8">
        <v>544.875</v>
      </c>
      <c r="J339" s="3">
        <f t="shared" si="5"/>
        <v>43748.448910555555</v>
      </c>
    </row>
    <row r="340" spans="1:10" x14ac:dyDescent="0.25">
      <c r="A340" s="5" t="s">
        <v>26318</v>
      </c>
      <c r="B340" s="6">
        <v>406.25</v>
      </c>
      <c r="C340" s="6">
        <v>20.531590000000001</v>
      </c>
      <c r="D340" s="6">
        <v>62</v>
      </c>
      <c r="E340" s="6">
        <v>0</v>
      </c>
      <c r="F340" s="6">
        <v>0</v>
      </c>
      <c r="G340" s="6">
        <v>8</v>
      </c>
      <c r="H340" s="6" t="s">
        <v>26319</v>
      </c>
      <c r="I340" s="6">
        <v>530.625</v>
      </c>
      <c r="J340" s="2">
        <f t="shared" si="5"/>
        <v>43748.448993541664</v>
      </c>
    </row>
    <row r="341" spans="1:10" x14ac:dyDescent="0.25">
      <c r="A341" s="7" t="s">
        <v>26320</v>
      </c>
      <c r="B341" s="8">
        <v>406.25</v>
      </c>
      <c r="C341" s="8">
        <v>20.478950000000001</v>
      </c>
      <c r="D341" s="8">
        <v>62</v>
      </c>
      <c r="E341" s="8">
        <v>0</v>
      </c>
      <c r="F341" s="8">
        <v>0</v>
      </c>
      <c r="G341" s="8">
        <v>9</v>
      </c>
      <c r="H341" s="8" t="s">
        <v>26321</v>
      </c>
      <c r="I341" s="8">
        <v>530.8125</v>
      </c>
      <c r="J341" s="3">
        <f t="shared" si="5"/>
        <v>43748.449065324072</v>
      </c>
    </row>
    <row r="342" spans="1:10" x14ac:dyDescent="0.25">
      <c r="A342" s="5" t="s">
        <v>26322</v>
      </c>
      <c r="B342" s="6">
        <v>406.25</v>
      </c>
      <c r="C342" s="6">
        <v>20.478950000000001</v>
      </c>
      <c r="D342" s="6">
        <v>66</v>
      </c>
      <c r="E342" s="6">
        <v>0</v>
      </c>
      <c r="F342" s="6">
        <v>0</v>
      </c>
      <c r="G342" s="6">
        <v>16</v>
      </c>
      <c r="H342" s="6" t="s">
        <v>26323</v>
      </c>
      <c r="I342" s="6">
        <v>530.625</v>
      </c>
      <c r="J342" s="2">
        <f t="shared" si="5"/>
        <v>43748.449148761567</v>
      </c>
    </row>
    <row r="343" spans="1:10" x14ac:dyDescent="0.25">
      <c r="A343" s="7" t="s">
        <v>26324</v>
      </c>
      <c r="B343" s="8">
        <v>406.25</v>
      </c>
      <c r="C343" s="8">
        <v>20.531590000000001</v>
      </c>
      <c r="D343" s="8">
        <v>67</v>
      </c>
      <c r="E343" s="8">
        <v>0</v>
      </c>
      <c r="F343" s="8">
        <v>0</v>
      </c>
      <c r="G343" s="8">
        <v>11</v>
      </c>
      <c r="H343" s="8" t="s">
        <v>26325</v>
      </c>
      <c r="I343" s="8">
        <v>530.625</v>
      </c>
      <c r="J343" s="3">
        <f t="shared" si="5"/>
        <v>43748.449238460649</v>
      </c>
    </row>
    <row r="344" spans="1:10" x14ac:dyDescent="0.25">
      <c r="A344" s="5" t="s">
        <v>26326</v>
      </c>
      <c r="B344" s="6">
        <v>425</v>
      </c>
      <c r="C344" s="6">
        <v>20.531590000000001</v>
      </c>
      <c r="D344" s="6">
        <v>66</v>
      </c>
      <c r="E344" s="6">
        <v>0</v>
      </c>
      <c r="F344" s="6">
        <v>0</v>
      </c>
      <c r="G344" s="6">
        <v>6</v>
      </c>
      <c r="H344" s="6" t="s">
        <v>26327</v>
      </c>
      <c r="I344" s="6">
        <v>536.25</v>
      </c>
      <c r="J344" s="2">
        <f t="shared" si="5"/>
        <v>43748.449315879632</v>
      </c>
    </row>
    <row r="345" spans="1:10" x14ac:dyDescent="0.25">
      <c r="A345" s="7" t="s">
        <v>26328</v>
      </c>
      <c r="B345" s="8">
        <v>409.375</v>
      </c>
      <c r="C345" s="8">
        <v>20.478950000000001</v>
      </c>
      <c r="D345" s="8">
        <v>68</v>
      </c>
      <c r="E345" s="8">
        <v>0</v>
      </c>
      <c r="F345" s="8">
        <v>0</v>
      </c>
      <c r="G345" s="8">
        <v>7</v>
      </c>
      <c r="H345" s="8" t="s">
        <v>26329</v>
      </c>
      <c r="I345" s="8">
        <v>531.5625</v>
      </c>
      <c r="J345" s="3">
        <f t="shared" si="5"/>
        <v>43748.449387395834</v>
      </c>
    </row>
    <row r="346" spans="1:10" x14ac:dyDescent="0.25">
      <c r="A346" s="5" t="s">
        <v>26330</v>
      </c>
      <c r="B346" s="6">
        <v>409.375</v>
      </c>
      <c r="C346" s="6">
        <v>20.478950000000001</v>
      </c>
      <c r="D346" s="6">
        <v>66</v>
      </c>
      <c r="E346" s="6">
        <v>0</v>
      </c>
      <c r="F346" s="6">
        <v>0</v>
      </c>
      <c r="G346" s="6">
        <v>3</v>
      </c>
      <c r="H346" s="6" t="s">
        <v>26331</v>
      </c>
      <c r="I346" s="6">
        <v>531.5625</v>
      </c>
      <c r="J346" s="2">
        <f t="shared" si="5"/>
        <v>43748.449470856482</v>
      </c>
    </row>
    <row r="347" spans="1:10" x14ac:dyDescent="0.25">
      <c r="A347" s="7" t="s">
        <v>26332</v>
      </c>
      <c r="B347" s="8">
        <v>428.125</v>
      </c>
      <c r="C347" s="8">
        <v>20.478950000000001</v>
      </c>
      <c r="D347" s="8">
        <v>66</v>
      </c>
      <c r="E347" s="8">
        <v>0</v>
      </c>
      <c r="F347" s="8">
        <v>0</v>
      </c>
      <c r="G347" s="8">
        <v>8</v>
      </c>
      <c r="H347" s="8" t="s">
        <v>26333</v>
      </c>
      <c r="I347" s="8">
        <v>537.375</v>
      </c>
      <c r="J347" s="3">
        <f t="shared" si="5"/>
        <v>43748.449542523151</v>
      </c>
    </row>
    <row r="348" spans="1:10" x14ac:dyDescent="0.25">
      <c r="A348" s="5" t="s">
        <v>26334</v>
      </c>
      <c r="B348" s="6">
        <v>409.375</v>
      </c>
      <c r="C348" s="6">
        <v>20.478950000000001</v>
      </c>
      <c r="D348" s="6">
        <v>65</v>
      </c>
      <c r="E348" s="6">
        <v>0</v>
      </c>
      <c r="F348" s="6">
        <v>0</v>
      </c>
      <c r="G348" s="6">
        <v>13</v>
      </c>
      <c r="H348" s="6" t="s">
        <v>26335</v>
      </c>
      <c r="I348" s="6">
        <v>531.5625</v>
      </c>
      <c r="J348" s="2">
        <f t="shared" si="5"/>
        <v>43748.449625833331</v>
      </c>
    </row>
    <row r="349" spans="1:10" x14ac:dyDescent="0.25">
      <c r="A349" s="7" t="s">
        <v>26336</v>
      </c>
      <c r="B349" s="8">
        <v>409.375</v>
      </c>
      <c r="C349" s="8">
        <v>20.478950000000001</v>
      </c>
      <c r="D349" s="8">
        <v>66</v>
      </c>
      <c r="E349" s="8">
        <v>0</v>
      </c>
      <c r="F349" s="8">
        <v>0</v>
      </c>
      <c r="G349" s="8">
        <v>5</v>
      </c>
      <c r="H349" s="8" t="s">
        <v>26337</v>
      </c>
      <c r="I349" s="8">
        <v>531.375</v>
      </c>
      <c r="J349" s="3">
        <f t="shared" si="5"/>
        <v>43748.449709293978</v>
      </c>
    </row>
    <row r="350" spans="1:10" x14ac:dyDescent="0.25">
      <c r="A350" s="5" t="s">
        <v>26338</v>
      </c>
      <c r="B350" s="6">
        <v>409.375</v>
      </c>
      <c r="C350" s="6">
        <v>20.478950000000001</v>
      </c>
      <c r="D350" s="6">
        <v>66</v>
      </c>
      <c r="E350" s="6">
        <v>0</v>
      </c>
      <c r="F350" s="6">
        <v>0</v>
      </c>
      <c r="G350" s="6">
        <v>3</v>
      </c>
      <c r="H350" s="6" t="s">
        <v>26339</v>
      </c>
      <c r="I350" s="6">
        <v>531.5625</v>
      </c>
      <c r="J350" s="2">
        <f t="shared" si="5"/>
        <v>43748.449780937495</v>
      </c>
    </row>
    <row r="351" spans="1:10" x14ac:dyDescent="0.25">
      <c r="A351" s="7" t="s">
        <v>26340</v>
      </c>
      <c r="B351" s="8">
        <v>409.375</v>
      </c>
      <c r="C351" s="8">
        <v>20.478950000000001</v>
      </c>
      <c r="D351" s="8">
        <v>66</v>
      </c>
      <c r="E351" s="8">
        <v>0</v>
      </c>
      <c r="F351" s="8">
        <v>0</v>
      </c>
      <c r="G351" s="8">
        <v>9</v>
      </c>
      <c r="H351" s="8" t="s">
        <v>26341</v>
      </c>
      <c r="I351" s="8">
        <v>531.5625</v>
      </c>
      <c r="J351" s="3">
        <f t="shared" si="5"/>
        <v>43748.44986403935</v>
      </c>
    </row>
    <row r="352" spans="1:10" x14ac:dyDescent="0.25">
      <c r="A352" s="5" t="s">
        <v>26342</v>
      </c>
      <c r="B352" s="6">
        <v>406.25</v>
      </c>
      <c r="C352" s="6">
        <v>20.478950000000001</v>
      </c>
      <c r="D352" s="6">
        <v>66</v>
      </c>
      <c r="E352" s="6">
        <v>0</v>
      </c>
      <c r="F352" s="6">
        <v>0</v>
      </c>
      <c r="G352" s="6">
        <v>0</v>
      </c>
      <c r="H352" s="6" t="s">
        <v>26343</v>
      </c>
      <c r="I352" s="6">
        <v>530.625</v>
      </c>
      <c r="J352" s="2">
        <f t="shared" si="5"/>
        <v>43748.449935671299</v>
      </c>
    </row>
    <row r="353" spans="1:10" x14ac:dyDescent="0.25">
      <c r="A353" s="7" t="s">
        <v>26344</v>
      </c>
      <c r="B353" s="8">
        <v>406.25</v>
      </c>
      <c r="C353" s="8">
        <v>20.478950000000001</v>
      </c>
      <c r="D353" s="8">
        <v>66</v>
      </c>
      <c r="E353" s="8">
        <v>0</v>
      </c>
      <c r="F353" s="8">
        <v>0</v>
      </c>
      <c r="G353" s="8">
        <v>13</v>
      </c>
      <c r="H353" s="8" t="s">
        <v>26345</v>
      </c>
      <c r="I353" s="8">
        <v>530.625</v>
      </c>
      <c r="J353" s="3">
        <f t="shared" si="5"/>
        <v>43748.450019479169</v>
      </c>
    </row>
    <row r="354" spans="1:10" x14ac:dyDescent="0.25">
      <c r="A354" s="5" t="s">
        <v>26346</v>
      </c>
      <c r="B354" s="6">
        <v>406.25</v>
      </c>
      <c r="C354" s="6">
        <v>20.478950000000001</v>
      </c>
      <c r="D354" s="6">
        <v>65</v>
      </c>
      <c r="E354" s="6">
        <v>0</v>
      </c>
      <c r="F354" s="6">
        <v>0</v>
      </c>
      <c r="G354" s="6">
        <v>13</v>
      </c>
      <c r="H354" s="6" t="s">
        <v>26347</v>
      </c>
      <c r="I354" s="6">
        <v>530.625</v>
      </c>
      <c r="J354" s="2">
        <f t="shared" si="5"/>
        <v>43748.450102800918</v>
      </c>
    </row>
    <row r="355" spans="1:10" x14ac:dyDescent="0.25">
      <c r="A355" s="7" t="s">
        <v>26348</v>
      </c>
      <c r="B355" s="8">
        <v>406.25</v>
      </c>
      <c r="C355" s="8">
        <v>20.478950000000001</v>
      </c>
      <c r="D355" s="8">
        <v>67</v>
      </c>
      <c r="E355" s="8">
        <v>0</v>
      </c>
      <c r="F355" s="8">
        <v>0</v>
      </c>
      <c r="G355" s="8">
        <v>11</v>
      </c>
      <c r="H355" s="8" t="s">
        <v>26349</v>
      </c>
      <c r="I355" s="8">
        <v>530.625</v>
      </c>
      <c r="J355" s="3">
        <f t="shared" si="5"/>
        <v>43748.450186145834</v>
      </c>
    </row>
    <row r="356" spans="1:10" x14ac:dyDescent="0.25">
      <c r="A356" s="5" t="s">
        <v>26350</v>
      </c>
      <c r="B356" s="6">
        <v>403.125</v>
      </c>
      <c r="C356" s="6">
        <v>20.478950000000001</v>
      </c>
      <c r="D356" s="6">
        <v>67</v>
      </c>
      <c r="E356" s="6">
        <v>0</v>
      </c>
      <c r="F356" s="6">
        <v>0</v>
      </c>
      <c r="G356" s="6">
        <v>12</v>
      </c>
      <c r="H356" s="6" t="s">
        <v>26351</v>
      </c>
      <c r="I356" s="6">
        <v>529.875</v>
      </c>
      <c r="J356" s="2">
        <f t="shared" si="5"/>
        <v>43748.45026982639</v>
      </c>
    </row>
    <row r="357" spans="1:10" x14ac:dyDescent="0.25">
      <c r="A357" s="7" t="s">
        <v>26352</v>
      </c>
      <c r="B357" s="8">
        <v>406.25</v>
      </c>
      <c r="C357" s="8">
        <v>20.478950000000001</v>
      </c>
      <c r="D357" s="8">
        <v>68</v>
      </c>
      <c r="E357" s="8">
        <v>0</v>
      </c>
      <c r="F357" s="8">
        <v>0</v>
      </c>
      <c r="G357" s="8">
        <v>8</v>
      </c>
      <c r="H357" s="8" t="s">
        <v>26353</v>
      </c>
      <c r="I357" s="8">
        <v>530.625</v>
      </c>
      <c r="J357" s="3">
        <f t="shared" si="5"/>
        <v>43748.450352928237</v>
      </c>
    </row>
    <row r="358" spans="1:10" x14ac:dyDescent="0.25">
      <c r="A358" s="5" t="s">
        <v>26354</v>
      </c>
      <c r="B358" s="6">
        <v>409.375</v>
      </c>
      <c r="C358" s="6">
        <v>20.478950000000001</v>
      </c>
      <c r="D358" s="6">
        <v>68</v>
      </c>
      <c r="E358" s="6">
        <v>0</v>
      </c>
      <c r="F358" s="6">
        <v>0</v>
      </c>
      <c r="G358" s="6">
        <v>1</v>
      </c>
      <c r="H358" s="6" t="s">
        <v>26355</v>
      </c>
      <c r="I358" s="6">
        <v>531.5625</v>
      </c>
      <c r="J358" s="2">
        <f t="shared" si="5"/>
        <v>43748.450424560178</v>
      </c>
    </row>
    <row r="359" spans="1:10" x14ac:dyDescent="0.25">
      <c r="A359" s="7" t="s">
        <v>26356</v>
      </c>
      <c r="B359" s="8">
        <v>409.375</v>
      </c>
      <c r="C359" s="8">
        <v>20.531590000000001</v>
      </c>
      <c r="D359" s="8">
        <v>67</v>
      </c>
      <c r="E359" s="8">
        <v>0</v>
      </c>
      <c r="F359" s="8">
        <v>0</v>
      </c>
      <c r="G359" s="8">
        <v>4</v>
      </c>
      <c r="H359" s="8" t="s">
        <v>26357</v>
      </c>
      <c r="I359" s="8">
        <v>531.5625</v>
      </c>
      <c r="J359" s="3">
        <f t="shared" si="5"/>
        <v>43748.450508483795</v>
      </c>
    </row>
    <row r="360" spans="1:10" x14ac:dyDescent="0.25">
      <c r="A360" s="5" t="s">
        <v>26358</v>
      </c>
      <c r="B360" s="6">
        <v>412.5</v>
      </c>
      <c r="C360" s="6">
        <v>20.478950000000001</v>
      </c>
      <c r="D360" s="6">
        <v>66</v>
      </c>
      <c r="E360" s="6">
        <v>0</v>
      </c>
      <c r="F360" s="6">
        <v>0</v>
      </c>
      <c r="G360" s="6">
        <v>7</v>
      </c>
      <c r="H360" s="6" t="s">
        <v>26359</v>
      </c>
      <c r="I360" s="6">
        <v>532.3125</v>
      </c>
      <c r="J360" s="2">
        <f t="shared" si="5"/>
        <v>43748.450595763883</v>
      </c>
    </row>
    <row r="361" spans="1:10" x14ac:dyDescent="0.25">
      <c r="A361" s="7" t="s">
        <v>26360</v>
      </c>
      <c r="B361" s="8">
        <v>412.5</v>
      </c>
      <c r="C361" s="8">
        <v>20.478950000000001</v>
      </c>
      <c r="D361" s="8">
        <v>66</v>
      </c>
      <c r="E361" s="8">
        <v>0</v>
      </c>
      <c r="F361" s="8">
        <v>0</v>
      </c>
      <c r="G361" s="8">
        <v>8</v>
      </c>
      <c r="H361" s="8" t="s">
        <v>26361</v>
      </c>
      <c r="I361" s="8">
        <v>532.5</v>
      </c>
      <c r="J361" s="3">
        <f t="shared" si="5"/>
        <v>43748.450675046297</v>
      </c>
    </row>
    <row r="362" spans="1:10" x14ac:dyDescent="0.25">
      <c r="A362" s="5" t="s">
        <v>26362</v>
      </c>
      <c r="B362" s="6">
        <v>412.5</v>
      </c>
      <c r="C362" s="6">
        <v>20.478950000000001</v>
      </c>
      <c r="D362" s="6">
        <v>66</v>
      </c>
      <c r="E362" s="6">
        <v>0</v>
      </c>
      <c r="F362" s="6">
        <v>0</v>
      </c>
      <c r="G362" s="6">
        <v>0</v>
      </c>
      <c r="H362" s="6" t="s">
        <v>26363</v>
      </c>
      <c r="I362" s="6">
        <v>532.5</v>
      </c>
      <c r="J362" s="2">
        <f t="shared" si="5"/>
        <v>43748.450746782408</v>
      </c>
    </row>
    <row r="363" spans="1:10" x14ac:dyDescent="0.25">
      <c r="A363" s="7" t="s">
        <v>26364</v>
      </c>
      <c r="B363" s="8">
        <v>431.25</v>
      </c>
      <c r="C363" s="8">
        <v>20.478950000000001</v>
      </c>
      <c r="D363" s="8">
        <v>70</v>
      </c>
      <c r="E363" s="8">
        <v>0</v>
      </c>
      <c r="F363" s="8">
        <v>0</v>
      </c>
      <c r="G363" s="8">
        <v>4</v>
      </c>
      <c r="H363" s="8" t="s">
        <v>26365</v>
      </c>
      <c r="I363" s="8">
        <v>538.3125</v>
      </c>
      <c r="J363" s="3">
        <f t="shared" si="5"/>
        <v>43748.450830358794</v>
      </c>
    </row>
    <row r="364" spans="1:10" x14ac:dyDescent="0.25">
      <c r="A364" s="5" t="s">
        <v>26366</v>
      </c>
      <c r="B364" s="6">
        <v>412.5</v>
      </c>
      <c r="C364" s="6">
        <v>20.531590000000001</v>
      </c>
      <c r="D364" s="6">
        <v>71</v>
      </c>
      <c r="E364" s="6">
        <v>0</v>
      </c>
      <c r="F364" s="6">
        <v>0</v>
      </c>
      <c r="G364" s="6">
        <v>4</v>
      </c>
      <c r="H364" s="6" t="s">
        <v>26367</v>
      </c>
      <c r="I364" s="6">
        <v>532.3125</v>
      </c>
      <c r="J364" s="2">
        <f t="shared" si="5"/>
        <v>43748.450913807865</v>
      </c>
    </row>
    <row r="365" spans="1:10" x14ac:dyDescent="0.25">
      <c r="A365" s="7" t="s">
        <v>26368</v>
      </c>
      <c r="B365" s="8">
        <v>415.625</v>
      </c>
      <c r="C365" s="8">
        <v>20.478950000000001</v>
      </c>
      <c r="D365" s="8">
        <v>71</v>
      </c>
      <c r="E365" s="8">
        <v>0</v>
      </c>
      <c r="F365" s="8">
        <v>0</v>
      </c>
      <c r="G365" s="8">
        <v>13</v>
      </c>
      <c r="H365" s="8" t="s">
        <v>26369</v>
      </c>
      <c r="I365" s="8">
        <v>533.0625</v>
      </c>
      <c r="J365" s="3">
        <f t="shared" si="5"/>
        <v>43748.450997384258</v>
      </c>
    </row>
    <row r="366" spans="1:10" x14ac:dyDescent="0.25">
      <c r="A366" s="5" t="s">
        <v>26370</v>
      </c>
      <c r="B366" s="6">
        <v>415.625</v>
      </c>
      <c r="C366" s="6">
        <v>20.478950000000001</v>
      </c>
      <c r="D366" s="6">
        <v>70</v>
      </c>
      <c r="E366" s="6">
        <v>0</v>
      </c>
      <c r="F366" s="6">
        <v>0</v>
      </c>
      <c r="G366" s="6">
        <v>8</v>
      </c>
      <c r="H366" s="6" t="s">
        <v>26371</v>
      </c>
      <c r="I366" s="6">
        <v>533.0625</v>
      </c>
      <c r="J366" s="2">
        <f t="shared" si="5"/>
        <v>43748.451080833336</v>
      </c>
    </row>
    <row r="367" spans="1:10" x14ac:dyDescent="0.25">
      <c r="A367" s="7" t="s">
        <v>26372</v>
      </c>
      <c r="B367" s="8">
        <v>415.625</v>
      </c>
      <c r="C367" s="8">
        <v>20.478950000000001</v>
      </c>
      <c r="D367" s="8">
        <v>70</v>
      </c>
      <c r="E367" s="8">
        <v>0</v>
      </c>
      <c r="F367" s="8">
        <v>0</v>
      </c>
      <c r="G367" s="8">
        <v>5</v>
      </c>
      <c r="H367" s="8" t="s">
        <v>26373</v>
      </c>
      <c r="I367" s="8">
        <v>533.25</v>
      </c>
      <c r="J367" s="3">
        <f t="shared" si="5"/>
        <v>43748.451163912039</v>
      </c>
    </row>
    <row r="368" spans="1:10" x14ac:dyDescent="0.25">
      <c r="A368" s="5" t="s">
        <v>26374</v>
      </c>
      <c r="B368" s="6">
        <v>415.625</v>
      </c>
      <c r="C368" s="6">
        <v>20.478950000000001</v>
      </c>
      <c r="D368" s="6">
        <v>70</v>
      </c>
      <c r="E368" s="6">
        <v>0</v>
      </c>
      <c r="F368" s="6">
        <v>0</v>
      </c>
      <c r="G368" s="6">
        <v>2</v>
      </c>
      <c r="H368" s="6" t="s">
        <v>26375</v>
      </c>
      <c r="I368" s="6">
        <v>533.0625</v>
      </c>
      <c r="J368" s="2">
        <f t="shared" si="5"/>
        <v>43748.451235671295</v>
      </c>
    </row>
    <row r="369" spans="1:10" x14ac:dyDescent="0.25">
      <c r="A369" s="7" t="s">
        <v>26376</v>
      </c>
      <c r="B369" s="8">
        <v>415.625</v>
      </c>
      <c r="C369" s="8">
        <v>20.478950000000001</v>
      </c>
      <c r="D369" s="8">
        <v>69</v>
      </c>
      <c r="E369" s="8">
        <v>0</v>
      </c>
      <c r="F369" s="8">
        <v>0</v>
      </c>
      <c r="G369" s="8">
        <v>6</v>
      </c>
      <c r="H369" s="8" t="s">
        <v>26377</v>
      </c>
      <c r="I369" s="8">
        <v>533.0625</v>
      </c>
      <c r="J369" s="3">
        <f t="shared" si="5"/>
        <v>43748.451331365737</v>
      </c>
    </row>
    <row r="370" spans="1:10" x14ac:dyDescent="0.25">
      <c r="A370" s="5" t="s">
        <v>26378</v>
      </c>
      <c r="B370" s="6">
        <v>415.625</v>
      </c>
      <c r="C370" s="6">
        <v>20.478950000000001</v>
      </c>
      <c r="D370" s="6">
        <v>68</v>
      </c>
      <c r="E370" s="6">
        <v>0</v>
      </c>
      <c r="F370" s="6">
        <v>0</v>
      </c>
      <c r="G370" s="6">
        <v>6</v>
      </c>
      <c r="H370" s="6" t="s">
        <v>26379</v>
      </c>
      <c r="I370" s="6">
        <v>533.0625</v>
      </c>
      <c r="J370" s="2">
        <f t="shared" si="5"/>
        <v>43748.451414675925</v>
      </c>
    </row>
    <row r="371" spans="1:10" x14ac:dyDescent="0.25">
      <c r="A371" s="7" t="s">
        <v>26380</v>
      </c>
      <c r="B371" s="8">
        <v>415.625</v>
      </c>
      <c r="C371" s="8">
        <v>20.478950000000001</v>
      </c>
      <c r="D371" s="8">
        <v>68</v>
      </c>
      <c r="E371" s="8">
        <v>0</v>
      </c>
      <c r="F371" s="8">
        <v>0</v>
      </c>
      <c r="G371" s="8">
        <v>1</v>
      </c>
      <c r="H371" s="8" t="s">
        <v>26381</v>
      </c>
      <c r="I371" s="8">
        <v>533.0625</v>
      </c>
      <c r="J371" s="3">
        <f t="shared" si="5"/>
        <v>43748.45149811342</v>
      </c>
    </row>
    <row r="372" spans="1:10" x14ac:dyDescent="0.25">
      <c r="A372" s="5" t="s">
        <v>26382</v>
      </c>
      <c r="B372" s="6">
        <v>415.625</v>
      </c>
      <c r="C372" s="6">
        <v>20.478950000000001</v>
      </c>
      <c r="D372" s="6">
        <v>68</v>
      </c>
      <c r="E372" s="6">
        <v>0</v>
      </c>
      <c r="F372" s="6">
        <v>0</v>
      </c>
      <c r="G372" s="6">
        <v>9</v>
      </c>
      <c r="H372" s="6" t="s">
        <v>26383</v>
      </c>
      <c r="I372" s="6">
        <v>533.0625</v>
      </c>
      <c r="J372" s="2">
        <f t="shared" si="5"/>
        <v>43748.45156966435</v>
      </c>
    </row>
    <row r="373" spans="1:10" x14ac:dyDescent="0.25">
      <c r="A373" s="7" t="s">
        <v>26384</v>
      </c>
      <c r="B373" s="8">
        <v>415.625</v>
      </c>
      <c r="C373" s="8">
        <v>20.478950000000001</v>
      </c>
      <c r="D373" s="8">
        <v>68</v>
      </c>
      <c r="E373" s="8">
        <v>0</v>
      </c>
      <c r="F373" s="8">
        <v>0</v>
      </c>
      <c r="G373" s="8">
        <v>7</v>
      </c>
      <c r="H373" s="8" t="s">
        <v>26385</v>
      </c>
      <c r="I373" s="8">
        <v>533.25</v>
      </c>
      <c r="J373" s="3">
        <f t="shared" si="5"/>
        <v>43748.451652881944</v>
      </c>
    </row>
    <row r="374" spans="1:10" x14ac:dyDescent="0.25">
      <c r="A374" s="5" t="s">
        <v>26386</v>
      </c>
      <c r="B374" s="6">
        <v>412.5</v>
      </c>
      <c r="C374" s="6">
        <v>20.478950000000001</v>
      </c>
      <c r="D374" s="6">
        <v>68</v>
      </c>
      <c r="E374" s="6">
        <v>0</v>
      </c>
      <c r="F374" s="6">
        <v>0</v>
      </c>
      <c r="G374" s="6">
        <v>7</v>
      </c>
      <c r="H374" s="6" t="s">
        <v>26387</v>
      </c>
      <c r="I374" s="6">
        <v>532.3125</v>
      </c>
      <c r="J374" s="2">
        <f t="shared" si="5"/>
        <v>43748.451724513885</v>
      </c>
    </row>
    <row r="375" spans="1:10" x14ac:dyDescent="0.25">
      <c r="A375" s="7" t="s">
        <v>26388</v>
      </c>
      <c r="B375" s="8">
        <v>412.5</v>
      </c>
      <c r="C375" s="8">
        <v>20.478950000000001</v>
      </c>
      <c r="D375" s="8">
        <v>67</v>
      </c>
      <c r="E375" s="8">
        <v>0</v>
      </c>
      <c r="F375" s="8">
        <v>0</v>
      </c>
      <c r="G375" s="8">
        <v>4</v>
      </c>
      <c r="H375" s="8" t="s">
        <v>26389</v>
      </c>
      <c r="I375" s="8">
        <v>532.3125</v>
      </c>
      <c r="J375" s="3">
        <f t="shared" si="5"/>
        <v>43748.451808425925</v>
      </c>
    </row>
    <row r="376" spans="1:10" x14ac:dyDescent="0.25">
      <c r="A376" s="5" t="s">
        <v>26390</v>
      </c>
      <c r="B376" s="6">
        <v>412.5</v>
      </c>
      <c r="C376" s="6">
        <v>20.478950000000001</v>
      </c>
      <c r="D376" s="6">
        <v>67</v>
      </c>
      <c r="E376" s="6">
        <v>0</v>
      </c>
      <c r="F376" s="6">
        <v>0</v>
      </c>
      <c r="G376" s="6">
        <v>16</v>
      </c>
      <c r="H376" s="6" t="s">
        <v>26391</v>
      </c>
      <c r="I376" s="6">
        <v>532.3125</v>
      </c>
      <c r="J376" s="2">
        <f t="shared" si="5"/>
        <v>43748.451891759258</v>
      </c>
    </row>
    <row r="377" spans="1:10" x14ac:dyDescent="0.25">
      <c r="A377" s="7" t="s">
        <v>26392</v>
      </c>
      <c r="B377" s="8">
        <v>409.375</v>
      </c>
      <c r="C377" s="8">
        <v>20.478950000000001</v>
      </c>
      <c r="D377" s="8">
        <v>66</v>
      </c>
      <c r="E377" s="8">
        <v>0</v>
      </c>
      <c r="F377" s="8">
        <v>0</v>
      </c>
      <c r="G377" s="8">
        <v>11</v>
      </c>
      <c r="H377" s="8" t="s">
        <v>26393</v>
      </c>
      <c r="I377" s="8">
        <v>531.5625</v>
      </c>
      <c r="J377" s="3">
        <f t="shared" si="5"/>
        <v>43748.451974988428</v>
      </c>
    </row>
    <row r="378" spans="1:10" x14ac:dyDescent="0.25">
      <c r="A378" s="5" t="s">
        <v>26394</v>
      </c>
      <c r="B378" s="6">
        <v>409.375</v>
      </c>
      <c r="C378" s="6">
        <v>20.478950000000001</v>
      </c>
      <c r="D378" s="6">
        <v>66</v>
      </c>
      <c r="E378" s="6">
        <v>0</v>
      </c>
      <c r="F378" s="6">
        <v>0</v>
      </c>
      <c r="G378" s="6">
        <v>15</v>
      </c>
      <c r="H378" s="6" t="s">
        <v>26395</v>
      </c>
      <c r="I378" s="6">
        <v>531.5625</v>
      </c>
      <c r="J378" s="2">
        <f t="shared" si="5"/>
        <v>43748.452058680552</v>
      </c>
    </row>
    <row r="379" spans="1:10" x14ac:dyDescent="0.25">
      <c r="A379" s="7" t="s">
        <v>26396</v>
      </c>
      <c r="B379" s="8">
        <v>406.25</v>
      </c>
      <c r="C379" s="8">
        <v>20.478950000000001</v>
      </c>
      <c r="D379" s="8">
        <v>67</v>
      </c>
      <c r="E379" s="8">
        <v>0</v>
      </c>
      <c r="F379" s="8">
        <v>0</v>
      </c>
      <c r="G379" s="8">
        <v>10</v>
      </c>
      <c r="H379" s="8" t="s">
        <v>26397</v>
      </c>
      <c r="I379" s="8">
        <v>530.625</v>
      </c>
      <c r="J379" s="3">
        <f t="shared" si="5"/>
        <v>43748.452141770831</v>
      </c>
    </row>
    <row r="380" spans="1:10" x14ac:dyDescent="0.25">
      <c r="A380" s="5" t="s">
        <v>26398</v>
      </c>
      <c r="B380" s="6">
        <v>406.25</v>
      </c>
      <c r="C380" s="6">
        <v>20.531590000000001</v>
      </c>
      <c r="D380" s="6">
        <v>67</v>
      </c>
      <c r="E380" s="6">
        <v>0</v>
      </c>
      <c r="F380" s="6">
        <v>0</v>
      </c>
      <c r="G380" s="6">
        <v>4</v>
      </c>
      <c r="H380" s="6" t="s">
        <v>26399</v>
      </c>
      <c r="I380" s="6">
        <v>530.8125</v>
      </c>
      <c r="J380" s="2">
        <f t="shared" si="5"/>
        <v>43748.452213414348</v>
      </c>
    </row>
    <row r="381" spans="1:10" x14ac:dyDescent="0.25">
      <c r="A381" s="7" t="s">
        <v>26400</v>
      </c>
      <c r="B381" s="8">
        <v>400</v>
      </c>
      <c r="C381" s="8">
        <v>20.478950000000001</v>
      </c>
      <c r="D381" s="8">
        <v>68</v>
      </c>
      <c r="E381" s="8">
        <v>0</v>
      </c>
      <c r="F381" s="8">
        <v>0</v>
      </c>
      <c r="G381" s="8">
        <v>2</v>
      </c>
      <c r="H381" s="8" t="s">
        <v>26401</v>
      </c>
      <c r="I381" s="8">
        <v>528.9375</v>
      </c>
      <c r="J381" s="3">
        <f t="shared" si="5"/>
        <v>43748.452297210642</v>
      </c>
    </row>
    <row r="382" spans="1:10" x14ac:dyDescent="0.25">
      <c r="A382" s="5" t="s">
        <v>26402</v>
      </c>
      <c r="B382" s="6">
        <v>403.125</v>
      </c>
      <c r="C382" s="6">
        <v>20.531590000000001</v>
      </c>
      <c r="D382" s="6">
        <v>68</v>
      </c>
      <c r="E382" s="6">
        <v>0</v>
      </c>
      <c r="F382" s="6">
        <v>0</v>
      </c>
      <c r="G382" s="6">
        <v>9</v>
      </c>
      <c r="H382" s="6" t="s">
        <v>26403</v>
      </c>
      <c r="I382" s="6">
        <v>529.125</v>
      </c>
      <c r="J382" s="2">
        <f t="shared" si="5"/>
        <v>43748.452380659721</v>
      </c>
    </row>
    <row r="383" spans="1:10" x14ac:dyDescent="0.25">
      <c r="A383" s="7" t="s">
        <v>26404</v>
      </c>
      <c r="B383" s="8">
        <v>400</v>
      </c>
      <c r="C383" s="8">
        <v>20.531590000000001</v>
      </c>
      <c r="D383" s="8">
        <v>67</v>
      </c>
      <c r="E383" s="8">
        <v>0</v>
      </c>
      <c r="F383" s="8">
        <v>0</v>
      </c>
      <c r="G383" s="8">
        <v>4</v>
      </c>
      <c r="H383" s="8" t="s">
        <v>26405</v>
      </c>
      <c r="I383" s="8">
        <v>528.375</v>
      </c>
      <c r="J383" s="3">
        <f t="shared" si="5"/>
        <v>43748.452463877307</v>
      </c>
    </row>
    <row r="384" spans="1:10" x14ac:dyDescent="0.25">
      <c r="A384" s="5" t="s">
        <v>26406</v>
      </c>
      <c r="B384" s="6">
        <v>403.125</v>
      </c>
      <c r="C384" s="6">
        <v>20.478950000000001</v>
      </c>
      <c r="D384" s="6">
        <v>67</v>
      </c>
      <c r="E384" s="6">
        <v>0</v>
      </c>
      <c r="F384" s="6">
        <v>0</v>
      </c>
      <c r="G384" s="6">
        <v>0</v>
      </c>
      <c r="H384" s="6" t="s">
        <v>26407</v>
      </c>
      <c r="I384" s="6">
        <v>529.125</v>
      </c>
      <c r="J384" s="2">
        <f t="shared" si="5"/>
        <v>43748.452535648146</v>
      </c>
    </row>
    <row r="385" spans="1:10" x14ac:dyDescent="0.25">
      <c r="A385" s="7" t="s">
        <v>26408</v>
      </c>
      <c r="B385" s="8">
        <v>400</v>
      </c>
      <c r="C385" s="8">
        <v>20.531590000000001</v>
      </c>
      <c r="D385" s="8">
        <v>67</v>
      </c>
      <c r="E385" s="8">
        <v>0</v>
      </c>
      <c r="F385" s="8">
        <v>0</v>
      </c>
      <c r="G385" s="8">
        <v>9</v>
      </c>
      <c r="H385" s="8" t="s">
        <v>26409</v>
      </c>
      <c r="I385" s="8">
        <v>528.375</v>
      </c>
      <c r="J385" s="3">
        <f t="shared" si="5"/>
        <v>43748.452619189811</v>
      </c>
    </row>
    <row r="386" spans="1:10" x14ac:dyDescent="0.25">
      <c r="A386" s="5" t="s">
        <v>26410</v>
      </c>
      <c r="B386" s="6">
        <v>400</v>
      </c>
      <c r="C386" s="6">
        <v>20.478950000000001</v>
      </c>
      <c r="D386" s="6">
        <v>68</v>
      </c>
      <c r="E386" s="6">
        <v>0</v>
      </c>
      <c r="F386" s="6">
        <v>0</v>
      </c>
      <c r="G386" s="6">
        <v>4</v>
      </c>
      <c r="H386" s="6" t="s">
        <v>26411</v>
      </c>
      <c r="I386" s="6">
        <v>528.375</v>
      </c>
      <c r="J386" s="2">
        <f t="shared" ref="J386:J449" si="6">(H386/86400000)+25569+(7/24)</f>
        <v>43748.452702650458</v>
      </c>
    </row>
    <row r="387" spans="1:10" x14ac:dyDescent="0.25">
      <c r="A387" s="7" t="s">
        <v>26412</v>
      </c>
      <c r="B387" s="8">
        <v>400</v>
      </c>
      <c r="C387" s="8">
        <v>20.478950000000001</v>
      </c>
      <c r="D387" s="8">
        <v>67</v>
      </c>
      <c r="E387" s="8">
        <v>0</v>
      </c>
      <c r="F387" s="8">
        <v>0</v>
      </c>
      <c r="G387" s="8">
        <v>5</v>
      </c>
      <c r="H387" s="8" t="s">
        <v>26413</v>
      </c>
      <c r="I387" s="8">
        <v>528.1875</v>
      </c>
      <c r="J387" s="3">
        <f t="shared" si="6"/>
        <v>43748.452786215275</v>
      </c>
    </row>
    <row r="388" spans="1:10" x14ac:dyDescent="0.25">
      <c r="A388" s="5" t="s">
        <v>26414</v>
      </c>
      <c r="B388" s="6">
        <v>415.625</v>
      </c>
      <c r="C388" s="6">
        <v>20.478950000000001</v>
      </c>
      <c r="D388" s="6">
        <v>68</v>
      </c>
      <c r="E388" s="6">
        <v>0</v>
      </c>
      <c r="F388" s="6">
        <v>0</v>
      </c>
      <c r="G388" s="6">
        <v>6</v>
      </c>
      <c r="H388" s="6" t="s">
        <v>26415</v>
      </c>
      <c r="I388" s="6">
        <v>533.25</v>
      </c>
      <c r="J388" s="2">
        <f t="shared" si="6"/>
        <v>43748.452869664347</v>
      </c>
    </row>
    <row r="389" spans="1:10" x14ac:dyDescent="0.25">
      <c r="A389" s="7" t="s">
        <v>26416</v>
      </c>
      <c r="B389" s="8">
        <v>396.875</v>
      </c>
      <c r="C389" s="8">
        <v>20.478950000000001</v>
      </c>
      <c r="D389" s="8">
        <v>69</v>
      </c>
      <c r="E389" s="8">
        <v>0</v>
      </c>
      <c r="F389" s="8">
        <v>0</v>
      </c>
      <c r="G389" s="8">
        <v>4</v>
      </c>
      <c r="H389" s="8" t="s">
        <v>26417</v>
      </c>
      <c r="I389" s="8">
        <v>527.4375</v>
      </c>
      <c r="J389" s="3">
        <f t="shared" si="6"/>
        <v>43748.452952870364</v>
      </c>
    </row>
    <row r="390" spans="1:10" x14ac:dyDescent="0.25">
      <c r="A390" s="5" t="s">
        <v>26418</v>
      </c>
      <c r="B390" s="6">
        <v>396.875</v>
      </c>
      <c r="C390" s="6">
        <v>20.478950000000001</v>
      </c>
      <c r="D390" s="6">
        <v>69</v>
      </c>
      <c r="E390" s="6">
        <v>0</v>
      </c>
      <c r="F390" s="6">
        <v>0</v>
      </c>
      <c r="G390" s="6">
        <v>0</v>
      </c>
      <c r="H390" s="6" t="s">
        <v>26419</v>
      </c>
      <c r="I390" s="6">
        <v>527.4375</v>
      </c>
      <c r="J390" s="2">
        <f t="shared" si="6"/>
        <v>43748.453024513881</v>
      </c>
    </row>
    <row r="391" spans="1:10" x14ac:dyDescent="0.25">
      <c r="A391" s="7" t="s">
        <v>26420</v>
      </c>
      <c r="B391" s="8">
        <v>396.875</v>
      </c>
      <c r="C391" s="8">
        <v>20.478950000000001</v>
      </c>
      <c r="D391" s="8">
        <v>68</v>
      </c>
      <c r="E391" s="8">
        <v>0</v>
      </c>
      <c r="F391" s="8">
        <v>0</v>
      </c>
      <c r="G391" s="8">
        <v>6</v>
      </c>
      <c r="H391" s="8" t="s">
        <v>26421</v>
      </c>
      <c r="I391" s="8">
        <v>527.4375</v>
      </c>
      <c r="J391" s="3">
        <f t="shared" si="6"/>
        <v>43748.453108090274</v>
      </c>
    </row>
    <row r="392" spans="1:10" x14ac:dyDescent="0.25">
      <c r="A392" s="5" t="s">
        <v>26422</v>
      </c>
      <c r="B392" s="6">
        <v>396.875</v>
      </c>
      <c r="C392" s="6">
        <v>20.478950000000001</v>
      </c>
      <c r="D392" s="6">
        <v>67</v>
      </c>
      <c r="E392" s="6">
        <v>0</v>
      </c>
      <c r="F392" s="6">
        <v>0</v>
      </c>
      <c r="G392" s="6">
        <v>12</v>
      </c>
      <c r="H392" s="6" t="s">
        <v>26423</v>
      </c>
      <c r="I392" s="6">
        <v>527.4375</v>
      </c>
      <c r="J392" s="2">
        <f t="shared" si="6"/>
        <v>43748.453191655091</v>
      </c>
    </row>
    <row r="393" spans="1:10" x14ac:dyDescent="0.25">
      <c r="A393" s="7" t="s">
        <v>26424</v>
      </c>
      <c r="B393" s="8">
        <v>415.625</v>
      </c>
      <c r="C393" s="8">
        <v>20.478950000000001</v>
      </c>
      <c r="D393" s="8">
        <v>67</v>
      </c>
      <c r="E393" s="8">
        <v>0</v>
      </c>
      <c r="F393" s="8">
        <v>0</v>
      </c>
      <c r="G393" s="8">
        <v>7</v>
      </c>
      <c r="H393" s="8" t="s">
        <v>26425</v>
      </c>
      <c r="I393" s="8">
        <v>533.0625</v>
      </c>
      <c r="J393" s="3">
        <f t="shared" si="6"/>
        <v>43748.453275104162</v>
      </c>
    </row>
    <row r="394" spans="1:10" x14ac:dyDescent="0.25">
      <c r="A394" s="5" t="s">
        <v>26426</v>
      </c>
      <c r="B394" s="6">
        <v>396.875</v>
      </c>
      <c r="C394" s="6">
        <v>20.478950000000001</v>
      </c>
      <c r="D394" s="6">
        <v>67</v>
      </c>
      <c r="E394" s="6">
        <v>0</v>
      </c>
      <c r="F394" s="6">
        <v>0</v>
      </c>
      <c r="G394" s="6">
        <v>11</v>
      </c>
      <c r="H394" s="6" t="s">
        <v>26427</v>
      </c>
      <c r="I394" s="6">
        <v>527.4375</v>
      </c>
      <c r="J394" s="2">
        <f t="shared" si="6"/>
        <v>43748.453358553241</v>
      </c>
    </row>
    <row r="395" spans="1:10" x14ac:dyDescent="0.25">
      <c r="A395" s="7" t="s">
        <v>26428</v>
      </c>
      <c r="B395" s="8">
        <v>396.875</v>
      </c>
      <c r="C395" s="8">
        <v>20.478950000000001</v>
      </c>
      <c r="D395" s="8">
        <v>67</v>
      </c>
      <c r="E395" s="8">
        <v>0</v>
      </c>
      <c r="F395" s="8">
        <v>0</v>
      </c>
      <c r="G395" s="8">
        <v>5</v>
      </c>
      <c r="H395" s="8" t="s">
        <v>26429</v>
      </c>
      <c r="I395" s="8">
        <v>527.4375</v>
      </c>
      <c r="J395" s="3">
        <f t="shared" si="6"/>
        <v>43748.453430069443</v>
      </c>
    </row>
    <row r="396" spans="1:10" x14ac:dyDescent="0.25">
      <c r="A396" s="5" t="s">
        <v>26430</v>
      </c>
      <c r="B396" s="6">
        <v>396.875</v>
      </c>
      <c r="C396" s="6">
        <v>20.478950000000001</v>
      </c>
      <c r="D396" s="6">
        <v>64</v>
      </c>
      <c r="E396" s="6">
        <v>0</v>
      </c>
      <c r="F396" s="6">
        <v>0</v>
      </c>
      <c r="G396" s="6">
        <v>11</v>
      </c>
      <c r="H396" s="6" t="s">
        <v>26431</v>
      </c>
      <c r="I396" s="6">
        <v>527.4375</v>
      </c>
      <c r="J396" s="2">
        <f t="shared" si="6"/>
        <v>43748.453513645836</v>
      </c>
    </row>
    <row r="397" spans="1:10" x14ac:dyDescent="0.25">
      <c r="A397" s="7" t="s">
        <v>26432</v>
      </c>
      <c r="B397" s="8">
        <v>400</v>
      </c>
      <c r="C397" s="8">
        <v>20.478950000000001</v>
      </c>
      <c r="D397" s="8">
        <v>64</v>
      </c>
      <c r="E397" s="8">
        <v>0</v>
      </c>
      <c r="F397" s="8">
        <v>0</v>
      </c>
      <c r="G397" s="8">
        <v>7</v>
      </c>
      <c r="H397" s="8" t="s">
        <v>26433</v>
      </c>
      <c r="I397" s="8">
        <v>528.1875</v>
      </c>
      <c r="J397" s="3">
        <f t="shared" si="6"/>
        <v>43748.453585289353</v>
      </c>
    </row>
    <row r="398" spans="1:10" x14ac:dyDescent="0.25">
      <c r="A398" s="5" t="s">
        <v>26434</v>
      </c>
      <c r="B398" s="6">
        <v>400</v>
      </c>
      <c r="C398" s="6">
        <v>20.478950000000001</v>
      </c>
      <c r="D398" s="6">
        <v>64</v>
      </c>
      <c r="E398" s="6">
        <v>0</v>
      </c>
      <c r="F398" s="6">
        <v>0</v>
      </c>
      <c r="G398" s="6">
        <v>2</v>
      </c>
      <c r="H398" s="6" t="s">
        <v>26435</v>
      </c>
      <c r="I398" s="6">
        <v>528.1875</v>
      </c>
      <c r="J398" s="2">
        <f t="shared" si="6"/>
        <v>43748.453668622686</v>
      </c>
    </row>
    <row r="399" spans="1:10" x14ac:dyDescent="0.25">
      <c r="A399" s="7" t="s">
        <v>26436</v>
      </c>
      <c r="B399" s="8">
        <v>403.125</v>
      </c>
      <c r="C399" s="8">
        <v>20.478950000000001</v>
      </c>
      <c r="D399" s="8">
        <v>63</v>
      </c>
      <c r="E399" s="8">
        <v>0</v>
      </c>
      <c r="F399" s="8">
        <v>0</v>
      </c>
      <c r="G399" s="8">
        <v>5</v>
      </c>
      <c r="H399" s="8" t="s">
        <v>26437</v>
      </c>
      <c r="I399" s="8">
        <v>529.125</v>
      </c>
      <c r="J399" s="3">
        <f t="shared" si="6"/>
        <v>43748.453740266203</v>
      </c>
    </row>
    <row r="400" spans="1:10" x14ac:dyDescent="0.25">
      <c r="A400" s="5" t="s">
        <v>26438</v>
      </c>
      <c r="B400" s="6">
        <v>403.125</v>
      </c>
      <c r="C400" s="6">
        <v>20.478950000000001</v>
      </c>
      <c r="D400" s="6">
        <v>63</v>
      </c>
      <c r="E400" s="6">
        <v>0</v>
      </c>
      <c r="F400" s="6">
        <v>0</v>
      </c>
      <c r="G400" s="6">
        <v>6</v>
      </c>
      <c r="H400" s="6" t="s">
        <v>26439</v>
      </c>
      <c r="I400" s="6">
        <v>529.125</v>
      </c>
      <c r="J400" s="2">
        <f t="shared" si="6"/>
        <v>43748.453823356474</v>
      </c>
    </row>
    <row r="401" spans="1:10" x14ac:dyDescent="0.25">
      <c r="A401" s="7" t="s">
        <v>26440</v>
      </c>
      <c r="B401" s="8">
        <v>403.125</v>
      </c>
      <c r="C401" s="8">
        <v>20.478950000000001</v>
      </c>
      <c r="D401" s="8">
        <v>63</v>
      </c>
      <c r="E401" s="8">
        <v>0</v>
      </c>
      <c r="F401" s="8">
        <v>0</v>
      </c>
      <c r="G401" s="8">
        <v>7</v>
      </c>
      <c r="H401" s="8" t="s">
        <v>26441</v>
      </c>
      <c r="I401" s="8">
        <v>529.125</v>
      </c>
      <c r="J401" s="3">
        <f t="shared" si="6"/>
        <v>43748.453894895829</v>
      </c>
    </row>
    <row r="402" spans="1:10" x14ac:dyDescent="0.25">
      <c r="A402" s="5" t="s">
        <v>26442</v>
      </c>
      <c r="B402" s="6">
        <v>403.125</v>
      </c>
      <c r="C402" s="6">
        <v>20.478950000000001</v>
      </c>
      <c r="D402" s="6">
        <v>68</v>
      </c>
      <c r="E402" s="6">
        <v>0</v>
      </c>
      <c r="F402" s="6">
        <v>0</v>
      </c>
      <c r="G402" s="6">
        <v>11</v>
      </c>
      <c r="H402" s="6" t="s">
        <v>26443</v>
      </c>
      <c r="I402" s="6">
        <v>529.875</v>
      </c>
      <c r="J402" s="2">
        <f t="shared" si="6"/>
        <v>43748.453992604169</v>
      </c>
    </row>
    <row r="403" spans="1:10" x14ac:dyDescent="0.25">
      <c r="A403" s="7" t="s">
        <v>26444</v>
      </c>
      <c r="B403" s="8">
        <v>403.125</v>
      </c>
      <c r="C403" s="8">
        <v>20.531590000000001</v>
      </c>
      <c r="D403" s="8">
        <v>69</v>
      </c>
      <c r="E403" s="8">
        <v>0</v>
      </c>
      <c r="F403" s="8">
        <v>0</v>
      </c>
      <c r="G403" s="8">
        <v>1</v>
      </c>
      <c r="H403" s="8" t="s">
        <v>26445</v>
      </c>
      <c r="I403" s="8">
        <v>529.875</v>
      </c>
      <c r="J403" s="3">
        <f t="shared" si="6"/>
        <v>43748.45407443287</v>
      </c>
    </row>
    <row r="404" spans="1:10" x14ac:dyDescent="0.25">
      <c r="A404" s="5" t="s">
        <v>26446</v>
      </c>
      <c r="B404" s="6">
        <v>403.125</v>
      </c>
      <c r="C404" s="6">
        <v>20.531590000000001</v>
      </c>
      <c r="D404" s="6">
        <v>67</v>
      </c>
      <c r="E404" s="6">
        <v>0</v>
      </c>
      <c r="F404" s="6">
        <v>0</v>
      </c>
      <c r="G404" s="6">
        <v>3</v>
      </c>
      <c r="H404" s="6" t="s">
        <v>26447</v>
      </c>
      <c r="I404" s="6">
        <v>529.125</v>
      </c>
      <c r="J404" s="2">
        <f t="shared" si="6"/>
        <v>43748.454169571756</v>
      </c>
    </row>
    <row r="405" spans="1:10" x14ac:dyDescent="0.25">
      <c r="A405" s="7" t="s">
        <v>26448</v>
      </c>
      <c r="B405" s="8">
        <v>403.125</v>
      </c>
      <c r="C405" s="8">
        <v>20.478950000000001</v>
      </c>
      <c r="D405" s="8">
        <v>67</v>
      </c>
      <c r="E405" s="8">
        <v>0</v>
      </c>
      <c r="F405" s="8">
        <v>0</v>
      </c>
      <c r="G405" s="8">
        <v>10</v>
      </c>
      <c r="H405" s="8" t="s">
        <v>26449</v>
      </c>
      <c r="I405" s="8">
        <v>529.125</v>
      </c>
      <c r="J405" s="3">
        <f t="shared" si="6"/>
        <v>43748.454252777774</v>
      </c>
    </row>
    <row r="406" spans="1:10" x14ac:dyDescent="0.25">
      <c r="A406" s="5" t="s">
        <v>26450</v>
      </c>
      <c r="B406" s="6">
        <v>403.125</v>
      </c>
      <c r="C406" s="6">
        <v>20.478950000000001</v>
      </c>
      <c r="D406" s="6">
        <v>67</v>
      </c>
      <c r="E406" s="6">
        <v>0</v>
      </c>
      <c r="F406" s="6">
        <v>0</v>
      </c>
      <c r="G406" s="6">
        <v>0</v>
      </c>
      <c r="H406" s="6" t="s">
        <v>26451</v>
      </c>
      <c r="I406" s="6">
        <v>529.125</v>
      </c>
      <c r="J406" s="2">
        <f t="shared" si="6"/>
        <v>43748.454324548606</v>
      </c>
    </row>
    <row r="407" spans="1:10" x14ac:dyDescent="0.25">
      <c r="A407" s="7" t="s">
        <v>26452</v>
      </c>
      <c r="B407" s="8">
        <v>403.125</v>
      </c>
      <c r="C407" s="8">
        <v>20.531590000000001</v>
      </c>
      <c r="D407" s="8">
        <v>60</v>
      </c>
      <c r="E407" s="8">
        <v>0</v>
      </c>
      <c r="F407" s="8">
        <v>0</v>
      </c>
      <c r="G407" s="8">
        <v>1</v>
      </c>
      <c r="H407" s="8" t="s">
        <v>26453</v>
      </c>
      <c r="I407" s="8">
        <v>529.125</v>
      </c>
      <c r="J407" s="3">
        <f t="shared" si="6"/>
        <v>43748.454407986108</v>
      </c>
    </row>
    <row r="408" spans="1:10" x14ac:dyDescent="0.25">
      <c r="A408" s="5" t="s">
        <v>26454</v>
      </c>
      <c r="B408" s="6">
        <v>400</v>
      </c>
      <c r="C408" s="6">
        <v>20.531590000000001</v>
      </c>
      <c r="D408" s="6">
        <v>60</v>
      </c>
      <c r="E408" s="6">
        <v>0</v>
      </c>
      <c r="F408" s="6">
        <v>0</v>
      </c>
      <c r="G408" s="6">
        <v>6</v>
      </c>
      <c r="H408" s="6" t="s">
        <v>26455</v>
      </c>
      <c r="I408" s="6">
        <v>528.1875</v>
      </c>
      <c r="J408" s="2">
        <f t="shared" si="6"/>
        <v>43748.45449157407</v>
      </c>
    </row>
    <row r="409" spans="1:10" x14ac:dyDescent="0.25">
      <c r="A409" s="7" t="s">
        <v>26456</v>
      </c>
      <c r="B409" s="8">
        <v>403.125</v>
      </c>
      <c r="C409" s="8">
        <v>20.478950000000001</v>
      </c>
      <c r="D409" s="8">
        <v>62</v>
      </c>
      <c r="E409" s="8">
        <v>0</v>
      </c>
      <c r="F409" s="8">
        <v>0</v>
      </c>
      <c r="G409" s="8">
        <v>14</v>
      </c>
      <c r="H409" s="8" t="s">
        <v>26457</v>
      </c>
      <c r="I409" s="8">
        <v>529.125</v>
      </c>
      <c r="J409" s="3">
        <f t="shared" si="6"/>
        <v>43748.454575023141</v>
      </c>
    </row>
    <row r="410" spans="1:10" x14ac:dyDescent="0.25">
      <c r="A410" s="5" t="s">
        <v>26458</v>
      </c>
      <c r="B410" s="6">
        <v>400</v>
      </c>
      <c r="C410" s="6">
        <v>20.478950000000001</v>
      </c>
      <c r="D410" s="6">
        <v>62</v>
      </c>
      <c r="E410" s="6">
        <v>0</v>
      </c>
      <c r="F410" s="6">
        <v>0</v>
      </c>
      <c r="G410" s="6">
        <v>7</v>
      </c>
      <c r="H410" s="6" t="s">
        <v>26459</v>
      </c>
      <c r="I410" s="6">
        <v>528.375</v>
      </c>
      <c r="J410" s="2">
        <f t="shared" si="6"/>
        <v>43748.454658541661</v>
      </c>
    </row>
    <row r="411" spans="1:10" x14ac:dyDescent="0.25">
      <c r="A411" s="7" t="s">
        <v>26460</v>
      </c>
      <c r="B411" s="8">
        <v>396.875</v>
      </c>
      <c r="C411" s="8">
        <v>20.478950000000001</v>
      </c>
      <c r="D411" s="8">
        <v>61</v>
      </c>
      <c r="E411" s="8">
        <v>0</v>
      </c>
      <c r="F411" s="8">
        <v>0</v>
      </c>
      <c r="G411" s="8">
        <v>14</v>
      </c>
      <c r="H411" s="8" t="s">
        <v>26461</v>
      </c>
      <c r="I411" s="8">
        <v>527.4375</v>
      </c>
      <c r="J411" s="3">
        <f t="shared" si="6"/>
        <v>43748.454741678237</v>
      </c>
    </row>
    <row r="412" spans="1:10" x14ac:dyDescent="0.25">
      <c r="A412" s="5" t="s">
        <v>26462</v>
      </c>
      <c r="B412" s="6">
        <v>396.875</v>
      </c>
      <c r="C412" s="6">
        <v>20.478950000000001</v>
      </c>
      <c r="D412" s="6">
        <v>61</v>
      </c>
      <c r="E412" s="6">
        <v>0</v>
      </c>
      <c r="F412" s="6">
        <v>0</v>
      </c>
      <c r="G412" s="6">
        <v>6</v>
      </c>
      <c r="H412" s="6" t="s">
        <v>26463</v>
      </c>
      <c r="I412" s="6">
        <v>527.4375</v>
      </c>
      <c r="J412" s="2">
        <f t="shared" si="6"/>
        <v>43748.454825474539</v>
      </c>
    </row>
    <row r="413" spans="1:10" x14ac:dyDescent="0.25">
      <c r="A413" s="7" t="s">
        <v>26464</v>
      </c>
      <c r="B413" s="8">
        <v>396.875</v>
      </c>
      <c r="C413" s="8">
        <v>20.478950000000001</v>
      </c>
      <c r="D413" s="8">
        <v>62</v>
      </c>
      <c r="E413" s="8">
        <v>0</v>
      </c>
      <c r="F413" s="8">
        <v>0</v>
      </c>
      <c r="G413" s="8">
        <v>5</v>
      </c>
      <c r="H413" s="8" t="s">
        <v>26465</v>
      </c>
      <c r="I413" s="8">
        <v>527.4375</v>
      </c>
      <c r="J413" s="3">
        <f t="shared" si="6"/>
        <v>43748.454909166663</v>
      </c>
    </row>
    <row r="414" spans="1:10" x14ac:dyDescent="0.25">
      <c r="A414" s="5" t="s">
        <v>26466</v>
      </c>
      <c r="B414" s="6">
        <v>396.875</v>
      </c>
      <c r="C414" s="6">
        <v>20.478950000000001</v>
      </c>
      <c r="D414" s="6">
        <v>62</v>
      </c>
      <c r="E414" s="6">
        <v>0</v>
      </c>
      <c r="F414" s="6">
        <v>0</v>
      </c>
      <c r="G414" s="6">
        <v>2</v>
      </c>
      <c r="H414" s="6" t="s">
        <v>26467</v>
      </c>
      <c r="I414" s="6">
        <v>527.4375</v>
      </c>
      <c r="J414" s="2">
        <f t="shared" si="6"/>
        <v>43748.454980462957</v>
      </c>
    </row>
    <row r="415" spans="1:10" x14ac:dyDescent="0.25">
      <c r="A415" s="7" t="s">
        <v>26468</v>
      </c>
      <c r="B415" s="8">
        <v>396.875</v>
      </c>
      <c r="C415" s="8">
        <v>20.478950000000001</v>
      </c>
      <c r="D415" s="8">
        <v>63</v>
      </c>
      <c r="E415" s="8">
        <v>0</v>
      </c>
      <c r="F415" s="8">
        <v>0</v>
      </c>
      <c r="G415" s="8">
        <v>7</v>
      </c>
      <c r="H415" s="8" t="s">
        <v>26469</v>
      </c>
      <c r="I415" s="8">
        <v>527.625</v>
      </c>
      <c r="J415" s="3">
        <f t="shared" si="6"/>
        <v>43748.455063900459</v>
      </c>
    </row>
    <row r="416" spans="1:10" x14ac:dyDescent="0.25">
      <c r="A416" s="5" t="s">
        <v>26470</v>
      </c>
      <c r="B416" s="6">
        <v>396.875</v>
      </c>
      <c r="C416" s="6">
        <v>20.478950000000001</v>
      </c>
      <c r="D416" s="6">
        <v>63</v>
      </c>
      <c r="E416" s="6">
        <v>0</v>
      </c>
      <c r="F416" s="6">
        <v>0</v>
      </c>
      <c r="G416" s="6">
        <v>0</v>
      </c>
      <c r="H416" s="6" t="s">
        <v>26471</v>
      </c>
      <c r="I416" s="6">
        <v>527.4375</v>
      </c>
      <c r="J416" s="2">
        <f t="shared" si="6"/>
        <v>43748.4551474537</v>
      </c>
    </row>
    <row r="417" spans="1:10" x14ac:dyDescent="0.25">
      <c r="A417" s="7" t="s">
        <v>26472</v>
      </c>
      <c r="B417" s="8">
        <v>396.875</v>
      </c>
      <c r="C417" s="8">
        <v>20.478950000000001</v>
      </c>
      <c r="D417" s="8">
        <v>62</v>
      </c>
      <c r="E417" s="8">
        <v>0</v>
      </c>
      <c r="F417" s="8">
        <v>0</v>
      </c>
      <c r="G417" s="8">
        <v>2</v>
      </c>
      <c r="H417" s="8" t="s">
        <v>26473</v>
      </c>
      <c r="I417" s="8">
        <v>527.4375</v>
      </c>
      <c r="J417" s="3">
        <f t="shared" si="6"/>
        <v>43748.455230555548</v>
      </c>
    </row>
    <row r="418" spans="1:10" x14ac:dyDescent="0.25">
      <c r="A418" s="5" t="s">
        <v>26474</v>
      </c>
      <c r="B418" s="6">
        <v>415.625</v>
      </c>
      <c r="C418" s="6">
        <v>20.478950000000001</v>
      </c>
      <c r="D418" s="6">
        <v>62</v>
      </c>
      <c r="E418" s="6">
        <v>0</v>
      </c>
      <c r="F418" s="6">
        <v>0</v>
      </c>
      <c r="G418" s="6">
        <v>7</v>
      </c>
      <c r="H418" s="6" t="s">
        <v>26475</v>
      </c>
      <c r="I418" s="6">
        <v>533.0625</v>
      </c>
      <c r="J418" s="2">
        <f t="shared" si="6"/>
        <v>43748.455302326387</v>
      </c>
    </row>
    <row r="419" spans="1:10" x14ac:dyDescent="0.25">
      <c r="A419" s="7" t="s">
        <v>26476</v>
      </c>
      <c r="B419" s="8">
        <v>396.875</v>
      </c>
      <c r="C419" s="8">
        <v>20.531590000000001</v>
      </c>
      <c r="D419" s="8">
        <v>62</v>
      </c>
      <c r="E419" s="8">
        <v>0</v>
      </c>
      <c r="F419" s="8">
        <v>0</v>
      </c>
      <c r="G419" s="8">
        <v>6</v>
      </c>
      <c r="H419" s="8" t="s">
        <v>26477</v>
      </c>
      <c r="I419" s="8">
        <v>527.4375</v>
      </c>
      <c r="J419" s="3">
        <f t="shared" si="6"/>
        <v>43748.455385891204</v>
      </c>
    </row>
    <row r="420" spans="1:10" x14ac:dyDescent="0.25">
      <c r="A420" s="5" t="s">
        <v>26478</v>
      </c>
      <c r="B420" s="6">
        <v>393.75</v>
      </c>
      <c r="C420" s="6">
        <v>20.478950000000001</v>
      </c>
      <c r="D420" s="6">
        <v>63</v>
      </c>
      <c r="E420" s="6">
        <v>0</v>
      </c>
      <c r="F420" s="6">
        <v>0</v>
      </c>
      <c r="G420" s="6">
        <v>0</v>
      </c>
      <c r="H420" s="6" t="s">
        <v>26479</v>
      </c>
      <c r="I420" s="6">
        <v>526.6875</v>
      </c>
      <c r="J420" s="2">
        <f t="shared" si="6"/>
        <v>43748.455469432869</v>
      </c>
    </row>
    <row r="421" spans="1:10" x14ac:dyDescent="0.25">
      <c r="A421" s="7" t="s">
        <v>26480</v>
      </c>
      <c r="B421" s="8">
        <v>393.75</v>
      </c>
      <c r="C421" s="8">
        <v>20.478950000000001</v>
      </c>
      <c r="D421" s="8">
        <v>63</v>
      </c>
      <c r="E421" s="8">
        <v>0</v>
      </c>
      <c r="F421" s="8">
        <v>0</v>
      </c>
      <c r="G421" s="8">
        <v>2</v>
      </c>
      <c r="H421" s="8" t="s">
        <v>26481</v>
      </c>
      <c r="I421" s="8">
        <v>526.6875</v>
      </c>
      <c r="J421" s="3">
        <f t="shared" si="6"/>
        <v>43748.455552928237</v>
      </c>
    </row>
    <row r="422" spans="1:10" x14ac:dyDescent="0.25">
      <c r="A422" s="5" t="s">
        <v>26482</v>
      </c>
      <c r="B422" s="6">
        <v>393.75</v>
      </c>
      <c r="C422" s="6">
        <v>20.478950000000001</v>
      </c>
      <c r="D422" s="6">
        <v>64</v>
      </c>
      <c r="E422" s="6">
        <v>0</v>
      </c>
      <c r="F422" s="6">
        <v>0</v>
      </c>
      <c r="G422" s="6">
        <v>0</v>
      </c>
      <c r="H422" s="6" t="s">
        <v>26483</v>
      </c>
      <c r="I422" s="6">
        <v>526.6875</v>
      </c>
      <c r="J422" s="2">
        <f t="shared" si="6"/>
        <v>43748.455636354163</v>
      </c>
    </row>
    <row r="423" spans="1:10" x14ac:dyDescent="0.25">
      <c r="A423" s="7" t="s">
        <v>26484</v>
      </c>
      <c r="B423" s="8">
        <v>412.5</v>
      </c>
      <c r="C423" s="8">
        <v>20.478950000000001</v>
      </c>
      <c r="D423" s="8">
        <v>63</v>
      </c>
      <c r="E423" s="8">
        <v>0</v>
      </c>
      <c r="F423" s="8">
        <v>0</v>
      </c>
      <c r="G423" s="8">
        <v>6</v>
      </c>
      <c r="H423" s="8" t="s">
        <v>26485</v>
      </c>
      <c r="I423" s="8">
        <v>532.125</v>
      </c>
      <c r="J423" s="3">
        <f t="shared" si="6"/>
        <v>43748.455719594909</v>
      </c>
    </row>
    <row r="424" spans="1:10" x14ac:dyDescent="0.25">
      <c r="A424" s="5" t="s">
        <v>26486</v>
      </c>
      <c r="B424" s="6">
        <v>393.75</v>
      </c>
      <c r="C424" s="6">
        <v>20.478950000000001</v>
      </c>
      <c r="D424" s="6">
        <v>63</v>
      </c>
      <c r="E424" s="6">
        <v>0</v>
      </c>
      <c r="F424" s="6">
        <v>0</v>
      </c>
      <c r="G424" s="6">
        <v>0</v>
      </c>
      <c r="H424" s="6" t="s">
        <v>26487</v>
      </c>
      <c r="I424" s="6">
        <v>526.6875</v>
      </c>
      <c r="J424" s="2">
        <f t="shared" si="6"/>
        <v>43748.455791215274</v>
      </c>
    </row>
    <row r="425" spans="1:10" x14ac:dyDescent="0.25">
      <c r="A425" s="7" t="s">
        <v>26488</v>
      </c>
      <c r="B425" s="8">
        <v>393.75</v>
      </c>
      <c r="C425" s="8">
        <v>20.478950000000001</v>
      </c>
      <c r="D425" s="8">
        <v>64</v>
      </c>
      <c r="E425" s="8">
        <v>0</v>
      </c>
      <c r="F425" s="8">
        <v>0</v>
      </c>
      <c r="G425" s="8">
        <v>0</v>
      </c>
      <c r="H425" s="8" t="s">
        <v>26489</v>
      </c>
      <c r="I425" s="8">
        <v>526.6875</v>
      </c>
      <c r="J425" s="3">
        <f t="shared" si="6"/>
        <v>43748.455874999992</v>
      </c>
    </row>
    <row r="426" spans="1:10" x14ac:dyDescent="0.25">
      <c r="A426" s="5" t="s">
        <v>26490</v>
      </c>
      <c r="B426" s="6">
        <v>393.75</v>
      </c>
      <c r="C426" s="6">
        <v>20.478950000000001</v>
      </c>
      <c r="D426" s="6">
        <v>63</v>
      </c>
      <c r="E426" s="6">
        <v>0</v>
      </c>
      <c r="F426" s="6">
        <v>0</v>
      </c>
      <c r="G426" s="6">
        <v>4</v>
      </c>
      <c r="H426" s="6" t="s">
        <v>26491</v>
      </c>
      <c r="I426" s="6">
        <v>526.6875</v>
      </c>
      <c r="J426" s="2">
        <f t="shared" si="6"/>
        <v>43748.455958321756</v>
      </c>
    </row>
    <row r="427" spans="1:10" x14ac:dyDescent="0.25">
      <c r="A427" s="7" t="s">
        <v>26492</v>
      </c>
      <c r="B427" s="8">
        <v>393.75</v>
      </c>
      <c r="C427" s="8">
        <v>20.478950000000001</v>
      </c>
      <c r="D427" s="8">
        <v>64</v>
      </c>
      <c r="E427" s="8">
        <v>0</v>
      </c>
      <c r="F427" s="8">
        <v>0</v>
      </c>
      <c r="G427" s="8">
        <v>0</v>
      </c>
      <c r="H427" s="8" t="s">
        <v>26493</v>
      </c>
      <c r="I427" s="8">
        <v>526.6875</v>
      </c>
      <c r="J427" s="3">
        <f t="shared" si="6"/>
        <v>43748.456041666665</v>
      </c>
    </row>
    <row r="428" spans="1:10" x14ac:dyDescent="0.25">
      <c r="A428" s="5" t="s">
        <v>26494</v>
      </c>
      <c r="B428" s="6">
        <v>421.875</v>
      </c>
      <c r="C428" s="6">
        <v>20.478950000000001</v>
      </c>
      <c r="D428" s="6">
        <v>64</v>
      </c>
      <c r="E428" s="6">
        <v>0</v>
      </c>
      <c r="F428" s="6">
        <v>0</v>
      </c>
      <c r="G428" s="6">
        <v>0</v>
      </c>
      <c r="H428" s="6" t="s">
        <v>26495</v>
      </c>
      <c r="I428" s="6">
        <v>535.875</v>
      </c>
      <c r="J428" s="2">
        <f t="shared" si="6"/>
        <v>43748.45612534722</v>
      </c>
    </row>
    <row r="429" spans="1:10" x14ac:dyDescent="0.25">
      <c r="A429" s="7" t="s">
        <v>26496</v>
      </c>
      <c r="B429" s="8">
        <v>393.75</v>
      </c>
      <c r="C429" s="8">
        <v>20.531590000000001</v>
      </c>
      <c r="D429" s="8">
        <v>64</v>
      </c>
      <c r="E429" s="8">
        <v>0</v>
      </c>
      <c r="F429" s="8">
        <v>0</v>
      </c>
      <c r="G429" s="8">
        <v>6</v>
      </c>
      <c r="H429" s="8" t="s">
        <v>26497</v>
      </c>
      <c r="I429" s="8">
        <v>526.5</v>
      </c>
      <c r="J429" s="3">
        <f t="shared" si="6"/>
        <v>43748.456208460644</v>
      </c>
    </row>
    <row r="430" spans="1:10" x14ac:dyDescent="0.25">
      <c r="A430" s="5" t="s">
        <v>26498</v>
      </c>
      <c r="B430" s="6">
        <v>393.75</v>
      </c>
      <c r="C430" s="6">
        <v>20.478950000000001</v>
      </c>
      <c r="D430" s="6">
        <v>64</v>
      </c>
      <c r="E430" s="6">
        <v>0</v>
      </c>
      <c r="F430" s="6">
        <v>0</v>
      </c>
      <c r="G430" s="6">
        <v>4</v>
      </c>
      <c r="H430" s="6" t="s">
        <v>26499</v>
      </c>
      <c r="I430" s="6">
        <v>526.6875</v>
      </c>
      <c r="J430" s="2">
        <f t="shared" si="6"/>
        <v>43748.456280104168</v>
      </c>
    </row>
    <row r="431" spans="1:10" x14ac:dyDescent="0.25">
      <c r="A431" s="7" t="s">
        <v>26500</v>
      </c>
      <c r="B431" s="8">
        <v>396.875</v>
      </c>
      <c r="C431" s="8">
        <v>20.478950000000001</v>
      </c>
      <c r="D431" s="8">
        <v>64</v>
      </c>
      <c r="E431" s="8">
        <v>0</v>
      </c>
      <c r="F431" s="8">
        <v>0</v>
      </c>
      <c r="G431" s="8">
        <v>14</v>
      </c>
      <c r="H431" s="8" t="s">
        <v>26501</v>
      </c>
      <c r="I431" s="8">
        <v>527.4375</v>
      </c>
      <c r="J431" s="3">
        <f t="shared" si="6"/>
        <v>43748.456363888887</v>
      </c>
    </row>
    <row r="432" spans="1:10" x14ac:dyDescent="0.25">
      <c r="A432" s="5" t="s">
        <v>26502</v>
      </c>
      <c r="B432" s="6">
        <v>396.875</v>
      </c>
      <c r="C432" s="6">
        <v>20.478950000000001</v>
      </c>
      <c r="D432" s="6">
        <v>64</v>
      </c>
      <c r="E432" s="6">
        <v>0</v>
      </c>
      <c r="F432" s="6">
        <v>0</v>
      </c>
      <c r="G432" s="6">
        <v>4</v>
      </c>
      <c r="H432" s="6" t="s">
        <v>26503</v>
      </c>
      <c r="I432" s="6">
        <v>527.4375</v>
      </c>
      <c r="J432" s="2">
        <f t="shared" si="6"/>
        <v>43748.456447349534</v>
      </c>
    </row>
    <row r="433" spans="1:10" x14ac:dyDescent="0.25">
      <c r="A433" s="7" t="s">
        <v>26504</v>
      </c>
      <c r="B433" s="8">
        <v>425</v>
      </c>
      <c r="C433" s="8">
        <v>20.478950000000001</v>
      </c>
      <c r="D433" s="8">
        <v>64</v>
      </c>
      <c r="E433" s="8">
        <v>0</v>
      </c>
      <c r="F433" s="8">
        <v>0</v>
      </c>
      <c r="G433" s="8">
        <v>8</v>
      </c>
      <c r="H433" s="8" t="s">
        <v>26505</v>
      </c>
      <c r="I433" s="8">
        <v>536.4375</v>
      </c>
      <c r="J433" s="3">
        <f t="shared" si="6"/>
        <v>43748.456530624993</v>
      </c>
    </row>
    <row r="434" spans="1:10" x14ac:dyDescent="0.25">
      <c r="A434" s="5" t="s">
        <v>26506</v>
      </c>
      <c r="B434" s="6">
        <v>396.875</v>
      </c>
      <c r="C434" s="6">
        <v>20.478950000000001</v>
      </c>
      <c r="D434" s="6">
        <v>64</v>
      </c>
      <c r="E434" s="6">
        <v>0</v>
      </c>
      <c r="F434" s="6">
        <v>0</v>
      </c>
      <c r="G434" s="6">
        <v>9</v>
      </c>
      <c r="H434" s="6" t="s">
        <v>26507</v>
      </c>
      <c r="I434" s="6">
        <v>527.4375</v>
      </c>
      <c r="J434" s="2">
        <f t="shared" si="6"/>
        <v>43748.456602407408</v>
      </c>
    </row>
    <row r="435" spans="1:10" x14ac:dyDescent="0.25">
      <c r="A435" s="7" t="s">
        <v>26508</v>
      </c>
      <c r="B435" s="8">
        <v>396.875</v>
      </c>
      <c r="C435" s="8">
        <v>20.478950000000001</v>
      </c>
      <c r="D435" s="8">
        <v>63</v>
      </c>
      <c r="E435" s="8">
        <v>0</v>
      </c>
      <c r="F435" s="8">
        <v>0</v>
      </c>
      <c r="G435" s="8">
        <v>0</v>
      </c>
      <c r="H435" s="8" t="s">
        <v>26509</v>
      </c>
      <c r="I435" s="8">
        <v>527.4375</v>
      </c>
      <c r="J435" s="3">
        <f t="shared" si="6"/>
        <v>43748.456685983794</v>
      </c>
    </row>
    <row r="436" spans="1:10" x14ac:dyDescent="0.25">
      <c r="A436" s="5" t="s">
        <v>26510</v>
      </c>
      <c r="B436" s="6">
        <v>396.875</v>
      </c>
      <c r="C436" s="6">
        <v>20.531590000000001</v>
      </c>
      <c r="D436" s="6">
        <v>61</v>
      </c>
      <c r="E436" s="6">
        <v>0</v>
      </c>
      <c r="F436" s="6">
        <v>0</v>
      </c>
      <c r="G436" s="6">
        <v>8</v>
      </c>
      <c r="H436" s="6" t="s">
        <v>26511</v>
      </c>
      <c r="I436" s="6">
        <v>527.4375</v>
      </c>
      <c r="J436" s="2">
        <f t="shared" si="6"/>
        <v>43748.456781307868</v>
      </c>
    </row>
    <row r="437" spans="1:10" x14ac:dyDescent="0.25">
      <c r="A437" s="7" t="s">
        <v>26512</v>
      </c>
      <c r="B437" s="8">
        <v>396.875</v>
      </c>
      <c r="C437" s="8">
        <v>20.478950000000001</v>
      </c>
      <c r="D437" s="8">
        <v>61</v>
      </c>
      <c r="E437" s="8">
        <v>0</v>
      </c>
      <c r="F437" s="8">
        <v>0</v>
      </c>
      <c r="G437" s="8">
        <v>0</v>
      </c>
      <c r="H437" s="8" t="s">
        <v>26513</v>
      </c>
      <c r="I437" s="8">
        <v>527.4375</v>
      </c>
      <c r="J437" s="3">
        <f t="shared" si="6"/>
        <v>43748.456864861109</v>
      </c>
    </row>
    <row r="438" spans="1:10" x14ac:dyDescent="0.25">
      <c r="A438" s="5" t="s">
        <v>26514</v>
      </c>
      <c r="B438" s="6">
        <v>396.875</v>
      </c>
      <c r="C438" s="6">
        <v>20.531590000000001</v>
      </c>
      <c r="D438" s="6">
        <v>61</v>
      </c>
      <c r="E438" s="6">
        <v>0</v>
      </c>
      <c r="F438" s="6">
        <v>0</v>
      </c>
      <c r="G438" s="6">
        <v>0</v>
      </c>
      <c r="H438" s="6" t="s">
        <v>26515</v>
      </c>
      <c r="I438" s="6">
        <v>527.4375</v>
      </c>
      <c r="J438" s="2">
        <f t="shared" si="6"/>
        <v>43748.456936273149</v>
      </c>
    </row>
    <row r="439" spans="1:10" x14ac:dyDescent="0.25">
      <c r="A439" s="7" t="s">
        <v>26516</v>
      </c>
      <c r="B439" s="8">
        <v>400</v>
      </c>
      <c r="C439" s="8">
        <v>20.531590000000001</v>
      </c>
      <c r="D439" s="8">
        <v>63</v>
      </c>
      <c r="E439" s="8">
        <v>0</v>
      </c>
      <c r="F439" s="8">
        <v>0</v>
      </c>
      <c r="G439" s="8">
        <v>10</v>
      </c>
      <c r="H439" s="8" t="s">
        <v>26517</v>
      </c>
      <c r="I439" s="8">
        <v>528.375</v>
      </c>
      <c r="J439" s="3">
        <f t="shared" si="6"/>
        <v>43748.457019490736</v>
      </c>
    </row>
    <row r="440" spans="1:10" x14ac:dyDescent="0.25">
      <c r="A440" s="5" t="s">
        <v>26518</v>
      </c>
      <c r="B440" s="6">
        <v>400</v>
      </c>
      <c r="C440" s="6">
        <v>20.531590000000001</v>
      </c>
      <c r="D440" s="6">
        <v>63</v>
      </c>
      <c r="E440" s="6">
        <v>0</v>
      </c>
      <c r="F440" s="6">
        <v>0</v>
      </c>
      <c r="G440" s="6">
        <v>11</v>
      </c>
      <c r="H440" s="6" t="s">
        <v>26519</v>
      </c>
      <c r="I440" s="6">
        <v>528.375</v>
      </c>
      <c r="J440" s="2">
        <f t="shared" si="6"/>
        <v>43748.457091365737</v>
      </c>
    </row>
    <row r="441" spans="1:10" x14ac:dyDescent="0.25">
      <c r="A441" s="7" t="s">
        <v>26520</v>
      </c>
      <c r="B441" s="8">
        <v>415.625</v>
      </c>
      <c r="C441" s="8">
        <v>20.478950000000001</v>
      </c>
      <c r="D441" s="8">
        <v>64</v>
      </c>
      <c r="E441" s="8">
        <v>0</v>
      </c>
      <c r="F441" s="8">
        <v>0</v>
      </c>
      <c r="G441" s="8">
        <v>9</v>
      </c>
      <c r="H441" s="8" t="s">
        <v>26521</v>
      </c>
      <c r="I441" s="8">
        <v>533.0625</v>
      </c>
      <c r="J441" s="3">
        <f t="shared" si="6"/>
        <v>43748.457174826392</v>
      </c>
    </row>
    <row r="442" spans="1:10" x14ac:dyDescent="0.25">
      <c r="A442" s="5" t="s">
        <v>26522</v>
      </c>
      <c r="B442" s="6">
        <v>396.875</v>
      </c>
      <c r="C442" s="6">
        <v>20.478950000000001</v>
      </c>
      <c r="D442" s="6">
        <v>65</v>
      </c>
      <c r="E442" s="6">
        <v>0</v>
      </c>
      <c r="F442" s="6">
        <v>0</v>
      </c>
      <c r="G442" s="6">
        <v>0</v>
      </c>
      <c r="H442" s="6" t="s">
        <v>26523</v>
      </c>
      <c r="I442" s="6">
        <v>527.4375</v>
      </c>
      <c r="J442" s="2">
        <f t="shared" si="6"/>
        <v>43748.45725840277</v>
      </c>
    </row>
    <row r="443" spans="1:10" x14ac:dyDescent="0.25">
      <c r="A443" s="7" t="s">
        <v>26524</v>
      </c>
      <c r="B443" s="8">
        <v>396.875</v>
      </c>
      <c r="C443" s="8">
        <v>20.478950000000001</v>
      </c>
      <c r="D443" s="8">
        <v>65</v>
      </c>
      <c r="E443" s="8">
        <v>0</v>
      </c>
      <c r="F443" s="8">
        <v>0</v>
      </c>
      <c r="G443" s="8">
        <v>9</v>
      </c>
      <c r="H443" s="8" t="s">
        <v>26525</v>
      </c>
      <c r="I443" s="8">
        <v>527.4375</v>
      </c>
      <c r="J443" s="3">
        <f t="shared" si="6"/>
        <v>43748.457341828696</v>
      </c>
    </row>
    <row r="444" spans="1:10" x14ac:dyDescent="0.25">
      <c r="A444" s="5" t="s">
        <v>26526</v>
      </c>
      <c r="B444" s="6">
        <v>396.875</v>
      </c>
      <c r="C444" s="6">
        <v>20.478950000000001</v>
      </c>
      <c r="D444" s="6">
        <v>65</v>
      </c>
      <c r="E444" s="6">
        <v>0</v>
      </c>
      <c r="F444" s="6">
        <v>0</v>
      </c>
      <c r="G444" s="6">
        <v>5</v>
      </c>
      <c r="H444" s="6" t="s">
        <v>26527</v>
      </c>
      <c r="I444" s="6">
        <v>527.4375</v>
      </c>
      <c r="J444" s="2">
        <f t="shared" si="6"/>
        <v>43748.457425277775</v>
      </c>
    </row>
    <row r="445" spans="1:10" x14ac:dyDescent="0.25">
      <c r="A445" s="7" t="s">
        <v>26528</v>
      </c>
      <c r="B445" s="8">
        <v>396.875</v>
      </c>
      <c r="C445" s="8">
        <v>20.531590000000001</v>
      </c>
      <c r="D445" s="8">
        <v>65</v>
      </c>
      <c r="E445" s="8">
        <v>0</v>
      </c>
      <c r="F445" s="8">
        <v>0</v>
      </c>
      <c r="G445" s="8">
        <v>0</v>
      </c>
      <c r="H445" s="8" t="s">
        <v>26529</v>
      </c>
      <c r="I445" s="8">
        <v>527.4375</v>
      </c>
      <c r="J445" s="3">
        <f t="shared" si="6"/>
        <v>43748.457508483792</v>
      </c>
    </row>
    <row r="446" spans="1:10" x14ac:dyDescent="0.25">
      <c r="A446" s="5" t="s">
        <v>26530</v>
      </c>
      <c r="B446" s="6">
        <v>393.75</v>
      </c>
      <c r="C446" s="6">
        <v>20.531590000000001</v>
      </c>
      <c r="D446" s="6">
        <v>65</v>
      </c>
      <c r="E446" s="6">
        <v>0</v>
      </c>
      <c r="F446" s="6">
        <v>0</v>
      </c>
      <c r="G446" s="6">
        <v>6</v>
      </c>
      <c r="H446" s="6" t="s">
        <v>26531</v>
      </c>
      <c r="I446" s="6">
        <v>526.6875</v>
      </c>
      <c r="J446" s="2">
        <f t="shared" si="6"/>
        <v>43748.45758016203</v>
      </c>
    </row>
    <row r="447" spans="1:10" x14ac:dyDescent="0.25">
      <c r="A447" s="7" t="s">
        <v>26532</v>
      </c>
      <c r="B447" s="8">
        <v>393.75</v>
      </c>
      <c r="C447" s="8">
        <v>20.478950000000001</v>
      </c>
      <c r="D447" s="8">
        <v>63</v>
      </c>
      <c r="E447" s="8">
        <v>0</v>
      </c>
      <c r="F447" s="8">
        <v>0</v>
      </c>
      <c r="G447" s="8">
        <v>7</v>
      </c>
      <c r="H447" s="8" t="s">
        <v>26533</v>
      </c>
      <c r="I447" s="8">
        <v>526.6875</v>
      </c>
      <c r="J447" s="3">
        <f t="shared" si="6"/>
        <v>43748.45766393518</v>
      </c>
    </row>
    <row r="448" spans="1:10" x14ac:dyDescent="0.25">
      <c r="A448" s="5" t="s">
        <v>26534</v>
      </c>
      <c r="B448" s="6">
        <v>393.75</v>
      </c>
      <c r="C448" s="6">
        <v>20.478950000000001</v>
      </c>
      <c r="D448" s="6">
        <v>63</v>
      </c>
      <c r="E448" s="6">
        <v>0</v>
      </c>
      <c r="F448" s="6">
        <v>0</v>
      </c>
      <c r="G448" s="6">
        <v>9</v>
      </c>
      <c r="H448" s="6" t="s">
        <v>26535</v>
      </c>
      <c r="I448" s="6">
        <v>526.5</v>
      </c>
      <c r="J448" s="2">
        <f t="shared" si="6"/>
        <v>43748.457747268512</v>
      </c>
    </row>
    <row r="449" spans="1:10" x14ac:dyDescent="0.25">
      <c r="A449" s="7" t="s">
        <v>26536</v>
      </c>
      <c r="B449" s="8">
        <v>393.75</v>
      </c>
      <c r="C449" s="8">
        <v>20.478950000000001</v>
      </c>
      <c r="D449" s="8">
        <v>64</v>
      </c>
      <c r="E449" s="8">
        <v>0</v>
      </c>
      <c r="F449" s="8">
        <v>0</v>
      </c>
      <c r="G449" s="8">
        <v>6</v>
      </c>
      <c r="H449" s="8" t="s">
        <v>26537</v>
      </c>
      <c r="I449" s="8">
        <v>526.6875</v>
      </c>
      <c r="J449" s="3">
        <f t="shared" si="6"/>
        <v>43748.457830601845</v>
      </c>
    </row>
    <row r="450" spans="1:10" x14ac:dyDescent="0.25">
      <c r="A450" s="5" t="s">
        <v>26538</v>
      </c>
      <c r="B450" s="6">
        <v>393.75</v>
      </c>
      <c r="C450" s="6">
        <v>20.478950000000001</v>
      </c>
      <c r="D450" s="6">
        <v>64</v>
      </c>
      <c r="E450" s="6">
        <v>0</v>
      </c>
      <c r="F450" s="6">
        <v>0</v>
      </c>
      <c r="G450" s="6">
        <v>3</v>
      </c>
      <c r="H450" s="6" t="s">
        <v>26539</v>
      </c>
      <c r="I450" s="6">
        <v>526.6875</v>
      </c>
      <c r="J450" s="2">
        <f t="shared" ref="J450:J513" si="7">(H450/86400000)+25569+(7/24)</f>
        <v>43748.457902361108</v>
      </c>
    </row>
    <row r="451" spans="1:10" x14ac:dyDescent="0.25">
      <c r="A451" s="7" t="s">
        <v>26540</v>
      </c>
      <c r="B451" s="8">
        <v>412.5</v>
      </c>
      <c r="C451" s="8">
        <v>20.478950000000001</v>
      </c>
      <c r="D451" s="8">
        <v>66</v>
      </c>
      <c r="E451" s="8">
        <v>0</v>
      </c>
      <c r="F451" s="8">
        <v>0</v>
      </c>
      <c r="G451" s="8">
        <v>3</v>
      </c>
      <c r="H451" s="8" t="s">
        <v>26541</v>
      </c>
      <c r="I451" s="8">
        <v>532.6875</v>
      </c>
      <c r="J451" s="3">
        <f t="shared" si="7"/>
        <v>43748.45798594907</v>
      </c>
    </row>
    <row r="452" spans="1:10" x14ac:dyDescent="0.25">
      <c r="A452" s="5" t="s">
        <v>26542</v>
      </c>
      <c r="B452" s="6">
        <v>396.875</v>
      </c>
      <c r="C452" s="6">
        <v>20.478950000000001</v>
      </c>
      <c r="D452" s="6">
        <v>66</v>
      </c>
      <c r="E452" s="6">
        <v>0</v>
      </c>
      <c r="F452" s="6">
        <v>0</v>
      </c>
      <c r="G452" s="6">
        <v>12</v>
      </c>
      <c r="H452" s="6" t="s">
        <v>26543</v>
      </c>
      <c r="I452" s="6">
        <v>527.4375</v>
      </c>
      <c r="J452" s="2">
        <f t="shared" si="7"/>
        <v>43748.458069386572</v>
      </c>
    </row>
    <row r="453" spans="1:10" x14ac:dyDescent="0.25">
      <c r="A453" s="7" t="s">
        <v>26544</v>
      </c>
      <c r="B453" s="8">
        <v>393.75</v>
      </c>
      <c r="C453" s="8">
        <v>20.531590000000001</v>
      </c>
      <c r="D453" s="8">
        <v>63</v>
      </c>
      <c r="E453" s="8">
        <v>0</v>
      </c>
      <c r="F453" s="8">
        <v>0</v>
      </c>
      <c r="G453" s="8">
        <v>6</v>
      </c>
      <c r="H453" s="8" t="s">
        <v>26545</v>
      </c>
      <c r="I453" s="8">
        <v>526.6875</v>
      </c>
      <c r="J453" s="3">
        <f t="shared" si="7"/>
        <v>43748.458152939813</v>
      </c>
    </row>
    <row r="454" spans="1:10" x14ac:dyDescent="0.25">
      <c r="A454" s="5" t="s">
        <v>26546</v>
      </c>
      <c r="B454" s="6">
        <v>393.75</v>
      </c>
      <c r="C454" s="6">
        <v>20.478950000000001</v>
      </c>
      <c r="D454" s="6">
        <v>65</v>
      </c>
      <c r="E454" s="6">
        <v>0</v>
      </c>
      <c r="F454" s="6">
        <v>0</v>
      </c>
      <c r="G454" s="6">
        <v>2</v>
      </c>
      <c r="H454" s="6" t="s">
        <v>26547</v>
      </c>
      <c r="I454" s="6">
        <v>526.6875</v>
      </c>
      <c r="J454" s="2">
        <f t="shared" si="7"/>
        <v>43748.458236354163</v>
      </c>
    </row>
    <row r="455" spans="1:10" x14ac:dyDescent="0.25">
      <c r="A455" s="7" t="s">
        <v>26548</v>
      </c>
      <c r="B455" s="8">
        <v>393.75</v>
      </c>
      <c r="C455" s="8">
        <v>20.531590000000001</v>
      </c>
      <c r="D455" s="8">
        <v>65</v>
      </c>
      <c r="E455" s="8">
        <v>0</v>
      </c>
      <c r="F455" s="8">
        <v>0</v>
      </c>
      <c r="G455" s="8">
        <v>4</v>
      </c>
      <c r="H455" s="8" t="s">
        <v>26549</v>
      </c>
      <c r="I455" s="8">
        <v>526.6875</v>
      </c>
      <c r="J455" s="3">
        <f t="shared" si="7"/>
        <v>43748.458319490739</v>
      </c>
    </row>
    <row r="456" spans="1:10" x14ac:dyDescent="0.25">
      <c r="A456" s="5" t="s">
        <v>26550</v>
      </c>
      <c r="B456" s="6">
        <v>393.75</v>
      </c>
      <c r="C456" s="6">
        <v>20.478950000000001</v>
      </c>
      <c r="D456" s="6">
        <v>65</v>
      </c>
      <c r="E456" s="6">
        <v>0</v>
      </c>
      <c r="F456" s="6">
        <v>0</v>
      </c>
      <c r="G456" s="6">
        <v>3</v>
      </c>
      <c r="H456" s="6" t="s">
        <v>26551</v>
      </c>
      <c r="I456" s="6">
        <v>526.6875</v>
      </c>
      <c r="J456" s="2">
        <f t="shared" si="7"/>
        <v>43748.458391261571</v>
      </c>
    </row>
    <row r="457" spans="1:10" x14ac:dyDescent="0.25">
      <c r="A457" s="7" t="s">
        <v>26552</v>
      </c>
      <c r="B457" s="8">
        <v>393.75</v>
      </c>
      <c r="C457" s="8">
        <v>20.478950000000001</v>
      </c>
      <c r="D457" s="8">
        <v>65</v>
      </c>
      <c r="E457" s="8">
        <v>0</v>
      </c>
      <c r="F457" s="8">
        <v>0</v>
      </c>
      <c r="G457" s="8">
        <v>9</v>
      </c>
      <c r="H457" s="8" t="s">
        <v>26553</v>
      </c>
      <c r="I457" s="8">
        <v>526.6875</v>
      </c>
      <c r="J457" s="3">
        <f t="shared" si="7"/>
        <v>43748.458475219908</v>
      </c>
    </row>
    <row r="458" spans="1:10" x14ac:dyDescent="0.25">
      <c r="A458" s="5" t="s">
        <v>26554</v>
      </c>
      <c r="B458" s="6">
        <v>393.75</v>
      </c>
      <c r="C458" s="6">
        <v>20.478950000000001</v>
      </c>
      <c r="D458" s="6">
        <v>65</v>
      </c>
      <c r="E458" s="6">
        <v>0</v>
      </c>
      <c r="F458" s="6">
        <v>0</v>
      </c>
      <c r="G458" s="6">
        <v>9</v>
      </c>
      <c r="H458" s="6" t="s">
        <v>26555</v>
      </c>
      <c r="I458" s="6">
        <v>526.6875</v>
      </c>
      <c r="J458" s="2">
        <f t="shared" si="7"/>
        <v>43748.45855826389</v>
      </c>
    </row>
    <row r="459" spans="1:10" x14ac:dyDescent="0.25">
      <c r="A459" s="7" t="s">
        <v>26556</v>
      </c>
      <c r="B459" s="8">
        <v>393.75</v>
      </c>
      <c r="C459" s="8">
        <v>20.478950000000001</v>
      </c>
      <c r="D459" s="8">
        <v>64</v>
      </c>
      <c r="E459" s="8">
        <v>0</v>
      </c>
      <c r="F459" s="8">
        <v>0</v>
      </c>
      <c r="G459" s="8">
        <v>10</v>
      </c>
      <c r="H459" s="8" t="s">
        <v>26557</v>
      </c>
      <c r="I459" s="8">
        <v>526.6875</v>
      </c>
      <c r="J459" s="3">
        <f t="shared" si="7"/>
        <v>43748.458641724537</v>
      </c>
    </row>
    <row r="460" spans="1:10" x14ac:dyDescent="0.25">
      <c r="A460" s="5" t="s">
        <v>26558</v>
      </c>
      <c r="B460" s="6">
        <v>393.75</v>
      </c>
      <c r="C460" s="6">
        <v>20.478950000000001</v>
      </c>
      <c r="D460" s="6">
        <v>66</v>
      </c>
      <c r="E460" s="6">
        <v>0</v>
      </c>
      <c r="F460" s="6">
        <v>0</v>
      </c>
      <c r="G460" s="6">
        <v>14</v>
      </c>
      <c r="H460" s="6" t="s">
        <v>26559</v>
      </c>
      <c r="I460" s="6">
        <v>526.6875</v>
      </c>
      <c r="J460" s="2">
        <f t="shared" si="7"/>
        <v>43748.458725289347</v>
      </c>
    </row>
    <row r="461" spans="1:10" x14ac:dyDescent="0.25">
      <c r="A461" s="7" t="s">
        <v>26560</v>
      </c>
      <c r="B461" s="8">
        <v>393.75</v>
      </c>
      <c r="C461" s="8">
        <v>20.478950000000001</v>
      </c>
      <c r="D461" s="8">
        <v>65</v>
      </c>
      <c r="E461" s="8">
        <v>0</v>
      </c>
      <c r="F461" s="8">
        <v>0</v>
      </c>
      <c r="G461" s="8">
        <v>5</v>
      </c>
      <c r="H461" s="8" t="s">
        <v>26561</v>
      </c>
      <c r="I461" s="8">
        <v>526.6875</v>
      </c>
      <c r="J461" s="3">
        <f t="shared" si="7"/>
        <v>43748.458808506941</v>
      </c>
    </row>
    <row r="462" spans="1:10" x14ac:dyDescent="0.25">
      <c r="A462" s="5" t="s">
        <v>26562</v>
      </c>
      <c r="B462" s="6">
        <v>393.75</v>
      </c>
      <c r="C462" s="6">
        <v>20.531590000000001</v>
      </c>
      <c r="D462" s="6">
        <v>65</v>
      </c>
      <c r="E462" s="6">
        <v>0</v>
      </c>
      <c r="F462" s="6">
        <v>0</v>
      </c>
      <c r="G462" s="6">
        <v>10</v>
      </c>
      <c r="H462" s="6" t="s">
        <v>26563</v>
      </c>
      <c r="I462" s="6">
        <v>526.6875</v>
      </c>
      <c r="J462" s="2">
        <f t="shared" si="7"/>
        <v>43748.458880266197</v>
      </c>
    </row>
    <row r="463" spans="1:10" x14ac:dyDescent="0.25">
      <c r="A463" s="7" t="s">
        <v>26564</v>
      </c>
      <c r="B463" s="8">
        <v>393.75</v>
      </c>
      <c r="C463" s="8">
        <v>20.478950000000001</v>
      </c>
      <c r="D463" s="8">
        <v>67</v>
      </c>
      <c r="E463" s="8">
        <v>0</v>
      </c>
      <c r="F463" s="8">
        <v>0</v>
      </c>
      <c r="G463" s="8">
        <v>8</v>
      </c>
      <c r="H463" s="8" t="s">
        <v>26565</v>
      </c>
      <c r="I463" s="8">
        <v>526.6875</v>
      </c>
      <c r="J463" s="3">
        <f t="shared" si="7"/>
        <v>43748.458963831021</v>
      </c>
    </row>
    <row r="464" spans="1:10" x14ac:dyDescent="0.25">
      <c r="A464" s="5" t="s">
        <v>26566</v>
      </c>
      <c r="B464" s="6">
        <v>393.75</v>
      </c>
      <c r="C464" s="6">
        <v>20.478950000000001</v>
      </c>
      <c r="D464" s="6">
        <v>66</v>
      </c>
      <c r="E464" s="6">
        <v>0</v>
      </c>
      <c r="F464" s="6">
        <v>0</v>
      </c>
      <c r="G464" s="6">
        <v>6</v>
      </c>
      <c r="H464" s="6" t="s">
        <v>26567</v>
      </c>
      <c r="I464" s="6">
        <v>526.6875</v>
      </c>
      <c r="J464" s="2">
        <f t="shared" si="7"/>
        <v>43748.459047268516</v>
      </c>
    </row>
    <row r="465" spans="1:10" x14ac:dyDescent="0.25">
      <c r="A465" s="7" t="s">
        <v>26568</v>
      </c>
      <c r="B465" s="8">
        <v>393.75</v>
      </c>
      <c r="C465" s="8">
        <v>20.531590000000001</v>
      </c>
      <c r="D465" s="8">
        <v>65</v>
      </c>
      <c r="E465" s="8">
        <v>0</v>
      </c>
      <c r="F465" s="8">
        <v>0</v>
      </c>
      <c r="G465" s="8">
        <v>12</v>
      </c>
      <c r="H465" s="8" t="s">
        <v>26569</v>
      </c>
      <c r="I465" s="8">
        <v>526.6875</v>
      </c>
      <c r="J465" s="3">
        <f t="shared" si="7"/>
        <v>43748.459130613424</v>
      </c>
    </row>
    <row r="466" spans="1:10" x14ac:dyDescent="0.25">
      <c r="A466" s="5" t="s">
        <v>26570</v>
      </c>
      <c r="B466" s="6">
        <v>393.75</v>
      </c>
      <c r="C466" s="6">
        <v>20.531590000000001</v>
      </c>
      <c r="D466" s="6">
        <v>65</v>
      </c>
      <c r="E466" s="6">
        <v>0</v>
      </c>
      <c r="F466" s="6">
        <v>0</v>
      </c>
      <c r="G466" s="6">
        <v>6</v>
      </c>
      <c r="H466" s="6" t="s">
        <v>26571</v>
      </c>
      <c r="I466" s="6">
        <v>526.6875</v>
      </c>
      <c r="J466" s="2">
        <f t="shared" si="7"/>
        <v>43748.459214178241</v>
      </c>
    </row>
    <row r="467" spans="1:10" x14ac:dyDescent="0.25">
      <c r="A467" s="7" t="s">
        <v>26572</v>
      </c>
      <c r="B467" s="8">
        <v>393.75</v>
      </c>
      <c r="C467" s="8">
        <v>20.531590000000001</v>
      </c>
      <c r="D467" s="8">
        <v>63</v>
      </c>
      <c r="E467" s="8">
        <v>0</v>
      </c>
      <c r="F467" s="8">
        <v>0</v>
      </c>
      <c r="G467" s="8">
        <v>7</v>
      </c>
      <c r="H467" s="8" t="s">
        <v>26573</v>
      </c>
      <c r="I467" s="8">
        <v>526.6875</v>
      </c>
      <c r="J467" s="3">
        <f t="shared" si="7"/>
        <v>43748.459297384259</v>
      </c>
    </row>
    <row r="468" spans="1:10" x14ac:dyDescent="0.25">
      <c r="A468" s="5" t="s">
        <v>26574</v>
      </c>
      <c r="B468" s="6">
        <v>393.75</v>
      </c>
      <c r="C468" s="6">
        <v>20.531590000000001</v>
      </c>
      <c r="D468" s="6">
        <v>63</v>
      </c>
      <c r="E468" s="6">
        <v>0</v>
      </c>
      <c r="F468" s="6">
        <v>0</v>
      </c>
      <c r="G468" s="6">
        <v>4</v>
      </c>
      <c r="H468" s="6" t="s">
        <v>26575</v>
      </c>
      <c r="I468" s="6">
        <v>526.6875</v>
      </c>
      <c r="J468" s="2">
        <f t="shared" si="7"/>
        <v>43748.459369050928</v>
      </c>
    </row>
    <row r="469" spans="1:10" x14ac:dyDescent="0.25">
      <c r="A469" s="7" t="s">
        <v>26576</v>
      </c>
      <c r="B469" s="8">
        <v>393.75</v>
      </c>
      <c r="C469" s="8">
        <v>20.478950000000001</v>
      </c>
      <c r="D469" s="8">
        <v>63</v>
      </c>
      <c r="E469" s="8">
        <v>0</v>
      </c>
      <c r="F469" s="8">
        <v>0</v>
      </c>
      <c r="G469" s="8">
        <v>9</v>
      </c>
      <c r="H469" s="8" t="s">
        <v>26577</v>
      </c>
      <c r="I469" s="8">
        <v>526.6875</v>
      </c>
      <c r="J469" s="3">
        <f t="shared" si="7"/>
        <v>43748.459464687498</v>
      </c>
    </row>
    <row r="470" spans="1:10" x14ac:dyDescent="0.25">
      <c r="A470" s="5" t="s">
        <v>26578</v>
      </c>
      <c r="B470" s="6">
        <v>393.75</v>
      </c>
      <c r="C470" s="6">
        <v>20.531590000000001</v>
      </c>
      <c r="D470" s="6">
        <v>63</v>
      </c>
      <c r="E470" s="6">
        <v>0</v>
      </c>
      <c r="F470" s="6">
        <v>0</v>
      </c>
      <c r="G470" s="6">
        <v>8</v>
      </c>
      <c r="H470" s="6" t="s">
        <v>26579</v>
      </c>
      <c r="I470" s="6">
        <v>526.6875</v>
      </c>
      <c r="J470" s="2">
        <f t="shared" si="7"/>
        <v>43748.459536087961</v>
      </c>
    </row>
    <row r="471" spans="1:10" x14ac:dyDescent="0.25">
      <c r="A471" s="7" t="s">
        <v>26580</v>
      </c>
      <c r="B471" s="8">
        <v>393.75</v>
      </c>
      <c r="C471" s="8">
        <v>20.478950000000001</v>
      </c>
      <c r="D471" s="8">
        <v>63</v>
      </c>
      <c r="E471" s="8">
        <v>0</v>
      </c>
      <c r="F471" s="8">
        <v>0</v>
      </c>
      <c r="G471" s="8">
        <v>4</v>
      </c>
      <c r="H471" s="8" t="s">
        <v>26581</v>
      </c>
      <c r="I471" s="8">
        <v>526.6875</v>
      </c>
      <c r="J471" s="3">
        <f t="shared" si="7"/>
        <v>43748.45961943287</v>
      </c>
    </row>
    <row r="472" spans="1:10" x14ac:dyDescent="0.25">
      <c r="A472" s="5" t="s">
        <v>26582</v>
      </c>
      <c r="B472" s="6">
        <v>393.75</v>
      </c>
      <c r="C472" s="6">
        <v>20.531590000000001</v>
      </c>
      <c r="D472" s="6">
        <v>63</v>
      </c>
      <c r="E472" s="6">
        <v>0</v>
      </c>
      <c r="F472" s="6">
        <v>0</v>
      </c>
      <c r="G472" s="6">
        <v>10</v>
      </c>
      <c r="H472" s="6" t="s">
        <v>26583</v>
      </c>
      <c r="I472" s="6">
        <v>526.5</v>
      </c>
      <c r="J472" s="2">
        <f t="shared" si="7"/>
        <v>43748.459703101849</v>
      </c>
    </row>
    <row r="473" spans="1:10" x14ac:dyDescent="0.25">
      <c r="A473" s="7" t="s">
        <v>26584</v>
      </c>
      <c r="B473" s="8">
        <v>393.75</v>
      </c>
      <c r="C473" s="8">
        <v>20.478950000000001</v>
      </c>
      <c r="D473" s="8">
        <v>63</v>
      </c>
      <c r="E473" s="8">
        <v>0</v>
      </c>
      <c r="F473" s="8">
        <v>0</v>
      </c>
      <c r="G473" s="8">
        <v>15</v>
      </c>
      <c r="H473" s="8" t="s">
        <v>26585</v>
      </c>
      <c r="I473" s="8">
        <v>526.6875</v>
      </c>
      <c r="J473" s="3">
        <f t="shared" si="7"/>
        <v>43748.459786203697</v>
      </c>
    </row>
    <row r="474" spans="1:10" x14ac:dyDescent="0.25">
      <c r="A474" s="5" t="s">
        <v>26586</v>
      </c>
      <c r="B474" s="6">
        <v>393.75</v>
      </c>
      <c r="C474" s="6">
        <v>20.531590000000001</v>
      </c>
      <c r="D474" s="6">
        <v>63</v>
      </c>
      <c r="E474" s="6">
        <v>0</v>
      </c>
      <c r="F474" s="6">
        <v>0</v>
      </c>
      <c r="G474" s="6">
        <v>8</v>
      </c>
      <c r="H474" s="6" t="s">
        <v>26587</v>
      </c>
      <c r="I474" s="6">
        <v>526.6875</v>
      </c>
      <c r="J474" s="2">
        <f t="shared" si="7"/>
        <v>43748.459869988423</v>
      </c>
    </row>
    <row r="475" spans="1:10" x14ac:dyDescent="0.25">
      <c r="A475" s="7" t="s">
        <v>26588</v>
      </c>
      <c r="B475" s="8">
        <v>393.75</v>
      </c>
      <c r="C475" s="8">
        <v>20.531590000000001</v>
      </c>
      <c r="D475" s="8">
        <v>63</v>
      </c>
      <c r="E475" s="8">
        <v>0</v>
      </c>
      <c r="F475" s="8">
        <v>0</v>
      </c>
      <c r="G475" s="8">
        <v>12</v>
      </c>
      <c r="H475" s="8" t="s">
        <v>26589</v>
      </c>
      <c r="I475" s="8">
        <v>526.6875</v>
      </c>
      <c r="J475" s="3">
        <f t="shared" si="7"/>
        <v>43748.459953692123</v>
      </c>
    </row>
    <row r="476" spans="1:10" x14ac:dyDescent="0.25">
      <c r="A476" s="5" t="s">
        <v>26590</v>
      </c>
      <c r="B476" s="6">
        <v>396.875</v>
      </c>
      <c r="C476" s="6">
        <v>20.478950000000001</v>
      </c>
      <c r="D476" s="6">
        <v>63</v>
      </c>
      <c r="E476" s="6">
        <v>0</v>
      </c>
      <c r="F476" s="6">
        <v>0</v>
      </c>
      <c r="G476" s="6">
        <v>8</v>
      </c>
      <c r="H476" s="6" t="s">
        <v>26591</v>
      </c>
      <c r="I476" s="6">
        <v>527.4375</v>
      </c>
      <c r="J476" s="2">
        <f t="shared" si="7"/>
        <v>43748.460024988424</v>
      </c>
    </row>
    <row r="477" spans="1:10" x14ac:dyDescent="0.25">
      <c r="A477" s="7" t="s">
        <v>26592</v>
      </c>
      <c r="B477" s="8">
        <v>396.875</v>
      </c>
      <c r="C477" s="8">
        <v>20.531590000000001</v>
      </c>
      <c r="D477" s="8">
        <v>64</v>
      </c>
      <c r="E477" s="8">
        <v>0</v>
      </c>
      <c r="F477" s="8">
        <v>0</v>
      </c>
      <c r="G477" s="8">
        <v>10</v>
      </c>
      <c r="H477" s="8" t="s">
        <v>26593</v>
      </c>
      <c r="I477" s="8">
        <v>527.4375</v>
      </c>
      <c r="J477" s="3">
        <f t="shared" si="7"/>
        <v>43748.460108321757</v>
      </c>
    </row>
    <row r="478" spans="1:10" x14ac:dyDescent="0.25">
      <c r="A478" s="5" t="s">
        <v>26594</v>
      </c>
      <c r="B478" s="6">
        <v>396.875</v>
      </c>
      <c r="C478" s="6">
        <v>20.531590000000001</v>
      </c>
      <c r="D478" s="6">
        <v>64</v>
      </c>
      <c r="E478" s="6">
        <v>0</v>
      </c>
      <c r="F478" s="6">
        <v>0</v>
      </c>
      <c r="G478" s="6">
        <v>12</v>
      </c>
      <c r="H478" s="6" t="s">
        <v>26595</v>
      </c>
      <c r="I478" s="6">
        <v>527.4375</v>
      </c>
      <c r="J478" s="2">
        <f t="shared" si="7"/>
        <v>43748.460180069444</v>
      </c>
    </row>
    <row r="479" spans="1:10" x14ac:dyDescent="0.25">
      <c r="A479" s="7" t="s">
        <v>26596</v>
      </c>
      <c r="B479" s="8">
        <v>396.875</v>
      </c>
      <c r="C479" s="8">
        <v>20.531590000000001</v>
      </c>
      <c r="D479" s="8">
        <v>63</v>
      </c>
      <c r="E479" s="8">
        <v>0</v>
      </c>
      <c r="F479" s="8">
        <v>0</v>
      </c>
      <c r="G479" s="8">
        <v>0</v>
      </c>
      <c r="H479" s="8" t="s">
        <v>26597</v>
      </c>
      <c r="I479" s="8">
        <v>527.4375</v>
      </c>
      <c r="J479" s="3">
        <f t="shared" si="7"/>
        <v>43748.460263634253</v>
      </c>
    </row>
    <row r="480" spans="1:10" x14ac:dyDescent="0.25">
      <c r="A480" s="5" t="s">
        <v>26598</v>
      </c>
      <c r="B480" s="6">
        <v>396.875</v>
      </c>
      <c r="C480" s="6">
        <v>20.531590000000001</v>
      </c>
      <c r="D480" s="6">
        <v>64</v>
      </c>
      <c r="E480" s="6">
        <v>0</v>
      </c>
      <c r="F480" s="6">
        <v>0</v>
      </c>
      <c r="G480" s="6">
        <v>14</v>
      </c>
      <c r="H480" s="6" t="s">
        <v>26599</v>
      </c>
      <c r="I480" s="6">
        <v>527.4375</v>
      </c>
      <c r="J480" s="2">
        <f t="shared" si="7"/>
        <v>43748.460346967586</v>
      </c>
    </row>
    <row r="481" spans="1:10" x14ac:dyDescent="0.25">
      <c r="A481" s="7" t="s">
        <v>26600</v>
      </c>
      <c r="B481" s="8">
        <v>415.625</v>
      </c>
      <c r="C481" s="8">
        <v>20.478950000000001</v>
      </c>
      <c r="D481" s="8">
        <v>62</v>
      </c>
      <c r="E481" s="8">
        <v>0</v>
      </c>
      <c r="F481" s="8">
        <v>0</v>
      </c>
      <c r="G481" s="8">
        <v>14</v>
      </c>
      <c r="H481" s="8" t="s">
        <v>26601</v>
      </c>
      <c r="I481" s="8">
        <v>533.4375</v>
      </c>
      <c r="J481" s="3">
        <f t="shared" si="7"/>
        <v>43748.460430648141</v>
      </c>
    </row>
    <row r="482" spans="1:10" x14ac:dyDescent="0.25">
      <c r="A482" s="5" t="s">
        <v>26602</v>
      </c>
      <c r="B482" s="6">
        <v>400</v>
      </c>
      <c r="C482" s="6">
        <v>20.531590000000001</v>
      </c>
      <c r="D482" s="6">
        <v>63</v>
      </c>
      <c r="E482" s="6">
        <v>0</v>
      </c>
      <c r="F482" s="6">
        <v>0</v>
      </c>
      <c r="G482" s="6">
        <v>12</v>
      </c>
      <c r="H482" s="6" t="s">
        <v>26603</v>
      </c>
      <c r="I482" s="6">
        <v>528.375</v>
      </c>
      <c r="J482" s="2">
        <f t="shared" si="7"/>
        <v>43748.460513969905</v>
      </c>
    </row>
    <row r="483" spans="1:10" x14ac:dyDescent="0.25">
      <c r="A483" s="7" t="s">
        <v>26604</v>
      </c>
      <c r="B483" s="8">
        <v>400</v>
      </c>
      <c r="C483" s="8">
        <v>20.478950000000001</v>
      </c>
      <c r="D483" s="8">
        <v>63</v>
      </c>
      <c r="E483" s="8">
        <v>0</v>
      </c>
      <c r="F483" s="8">
        <v>0</v>
      </c>
      <c r="G483" s="8">
        <v>10</v>
      </c>
      <c r="H483" s="8" t="s">
        <v>26605</v>
      </c>
      <c r="I483" s="8">
        <v>528.375</v>
      </c>
      <c r="J483" s="3">
        <f t="shared" si="7"/>
        <v>43748.460597199075</v>
      </c>
    </row>
    <row r="484" spans="1:10" x14ac:dyDescent="0.25">
      <c r="A484" s="5" t="s">
        <v>26606</v>
      </c>
      <c r="B484" s="6">
        <v>400</v>
      </c>
      <c r="C484" s="6">
        <v>20.478950000000001</v>
      </c>
      <c r="D484" s="6">
        <v>64</v>
      </c>
      <c r="E484" s="6">
        <v>0</v>
      </c>
      <c r="F484" s="6">
        <v>0</v>
      </c>
      <c r="G484" s="6">
        <v>8</v>
      </c>
      <c r="H484" s="6" t="s">
        <v>26607</v>
      </c>
      <c r="I484" s="6">
        <v>528.375</v>
      </c>
      <c r="J484" s="2">
        <f t="shared" si="7"/>
        <v>43748.460680995369</v>
      </c>
    </row>
    <row r="485" spans="1:10" x14ac:dyDescent="0.25">
      <c r="A485" s="7" t="s">
        <v>26608</v>
      </c>
      <c r="B485" s="8">
        <v>403.125</v>
      </c>
      <c r="C485" s="8">
        <v>20.478950000000001</v>
      </c>
      <c r="D485" s="8">
        <v>65</v>
      </c>
      <c r="E485" s="8">
        <v>0</v>
      </c>
      <c r="F485" s="8">
        <v>0</v>
      </c>
      <c r="G485" s="8">
        <v>7</v>
      </c>
      <c r="H485" s="8" t="s">
        <v>26609</v>
      </c>
      <c r="I485" s="8">
        <v>529.125</v>
      </c>
      <c r="J485" s="3">
        <f t="shared" si="7"/>
        <v>43748.460764108793</v>
      </c>
    </row>
    <row r="486" spans="1:10" x14ac:dyDescent="0.25">
      <c r="A486" s="5" t="s">
        <v>26610</v>
      </c>
      <c r="B486" s="6">
        <v>403.125</v>
      </c>
      <c r="C486" s="6">
        <v>20.531590000000001</v>
      </c>
      <c r="D486" s="6">
        <v>66</v>
      </c>
      <c r="E486" s="6">
        <v>0</v>
      </c>
      <c r="F486" s="6">
        <v>0</v>
      </c>
      <c r="G486" s="6">
        <v>8</v>
      </c>
      <c r="H486" s="6" t="s">
        <v>26611</v>
      </c>
      <c r="I486" s="6">
        <v>529.125</v>
      </c>
      <c r="J486" s="2">
        <f t="shared" si="7"/>
        <v>43748.460847893519</v>
      </c>
    </row>
    <row r="487" spans="1:10" x14ac:dyDescent="0.25">
      <c r="A487" s="7" t="s">
        <v>26612</v>
      </c>
      <c r="B487" s="8">
        <v>403.125</v>
      </c>
      <c r="C487" s="8">
        <v>20.531590000000001</v>
      </c>
      <c r="D487" s="8">
        <v>67</v>
      </c>
      <c r="E487" s="8">
        <v>0</v>
      </c>
      <c r="F487" s="8">
        <v>0</v>
      </c>
      <c r="G487" s="8">
        <v>8</v>
      </c>
      <c r="H487" s="8" t="s">
        <v>26613</v>
      </c>
      <c r="I487" s="8">
        <v>529.125</v>
      </c>
      <c r="J487" s="3">
        <f t="shared" si="7"/>
        <v>43748.460931354166</v>
      </c>
    </row>
    <row r="488" spans="1:10" x14ac:dyDescent="0.25">
      <c r="A488" s="5" t="s">
        <v>26614</v>
      </c>
      <c r="B488" s="6">
        <v>421.875</v>
      </c>
      <c r="C488" s="6">
        <v>20.478950000000001</v>
      </c>
      <c r="D488" s="6">
        <v>67</v>
      </c>
      <c r="E488" s="6">
        <v>0</v>
      </c>
      <c r="F488" s="6">
        <v>0</v>
      </c>
      <c r="G488" s="6">
        <v>8</v>
      </c>
      <c r="H488" s="6" t="s">
        <v>26615</v>
      </c>
      <c r="I488" s="6">
        <v>535.875</v>
      </c>
      <c r="J488" s="2">
        <f t="shared" si="7"/>
        <v>43748.461002858792</v>
      </c>
    </row>
    <row r="489" spans="1:10" x14ac:dyDescent="0.25">
      <c r="A489" s="7" t="s">
        <v>26616</v>
      </c>
      <c r="B489" s="8">
        <v>403.125</v>
      </c>
      <c r="C489" s="8">
        <v>20.478950000000001</v>
      </c>
      <c r="D489" s="8">
        <v>67</v>
      </c>
      <c r="E489" s="8">
        <v>0</v>
      </c>
      <c r="F489" s="8">
        <v>0</v>
      </c>
      <c r="G489" s="8">
        <v>9</v>
      </c>
      <c r="H489" s="8" t="s">
        <v>26617</v>
      </c>
      <c r="I489" s="8">
        <v>529.875</v>
      </c>
      <c r="J489" s="3">
        <f t="shared" si="7"/>
        <v>43748.461086087962</v>
      </c>
    </row>
    <row r="490" spans="1:10" x14ac:dyDescent="0.25">
      <c r="A490" s="5" t="s">
        <v>26618</v>
      </c>
      <c r="B490" s="6">
        <v>403.125</v>
      </c>
      <c r="C490" s="6">
        <v>20.531590000000001</v>
      </c>
      <c r="D490" s="6">
        <v>67</v>
      </c>
      <c r="E490" s="6">
        <v>0</v>
      </c>
      <c r="F490" s="6">
        <v>0</v>
      </c>
      <c r="G490" s="6">
        <v>18</v>
      </c>
      <c r="H490" s="6" t="s">
        <v>26619</v>
      </c>
      <c r="I490" s="6">
        <v>529.875</v>
      </c>
      <c r="J490" s="2">
        <f t="shared" si="7"/>
        <v>43748.461157858794</v>
      </c>
    </row>
    <row r="491" spans="1:10" x14ac:dyDescent="0.25">
      <c r="A491" s="7" t="s">
        <v>26620</v>
      </c>
      <c r="B491" s="8">
        <v>403.125</v>
      </c>
      <c r="C491" s="8">
        <v>20.478950000000001</v>
      </c>
      <c r="D491" s="8">
        <v>65</v>
      </c>
      <c r="E491" s="8">
        <v>0</v>
      </c>
      <c r="F491" s="8">
        <v>0</v>
      </c>
      <c r="G491" s="8">
        <v>10</v>
      </c>
      <c r="H491" s="8" t="s">
        <v>26621</v>
      </c>
      <c r="I491" s="8">
        <v>529.125</v>
      </c>
      <c r="J491" s="3">
        <f t="shared" si="7"/>
        <v>43748.461229502311</v>
      </c>
    </row>
    <row r="492" spans="1:10" x14ac:dyDescent="0.25">
      <c r="A492" s="5" t="s">
        <v>26622</v>
      </c>
      <c r="B492" s="6">
        <v>403.125</v>
      </c>
      <c r="C492" s="6">
        <v>20.478950000000001</v>
      </c>
      <c r="D492" s="6">
        <v>65</v>
      </c>
      <c r="E492" s="6">
        <v>0</v>
      </c>
      <c r="F492" s="6">
        <v>0</v>
      </c>
      <c r="G492" s="6">
        <v>3</v>
      </c>
      <c r="H492" s="6" t="s">
        <v>26623</v>
      </c>
      <c r="I492" s="6">
        <v>529.125</v>
      </c>
      <c r="J492" s="2">
        <f t="shared" si="7"/>
        <v>43748.461312951382</v>
      </c>
    </row>
    <row r="493" spans="1:10" x14ac:dyDescent="0.25">
      <c r="A493" s="7" t="s">
        <v>26624</v>
      </c>
      <c r="B493" s="8">
        <v>400</v>
      </c>
      <c r="C493" s="8">
        <v>20.531590000000001</v>
      </c>
      <c r="D493" s="8">
        <v>64</v>
      </c>
      <c r="E493" s="8">
        <v>0</v>
      </c>
      <c r="F493" s="8">
        <v>0</v>
      </c>
      <c r="G493" s="8">
        <v>3</v>
      </c>
      <c r="H493" s="8" t="s">
        <v>26625</v>
      </c>
      <c r="I493" s="8">
        <v>528.9375</v>
      </c>
      <c r="J493" s="3">
        <f t="shared" si="7"/>
        <v>43748.461384467591</v>
      </c>
    </row>
    <row r="494" spans="1:10" x14ac:dyDescent="0.25">
      <c r="A494" s="5" t="s">
        <v>26626</v>
      </c>
      <c r="B494" s="6">
        <v>403.125</v>
      </c>
      <c r="C494" s="6">
        <v>20.478950000000001</v>
      </c>
      <c r="D494" s="6">
        <v>64</v>
      </c>
      <c r="E494" s="6">
        <v>0</v>
      </c>
      <c r="F494" s="6">
        <v>0</v>
      </c>
      <c r="G494" s="6">
        <v>5</v>
      </c>
      <c r="H494" s="6" t="s">
        <v>26627</v>
      </c>
      <c r="I494" s="6">
        <v>529.125</v>
      </c>
      <c r="J494" s="2">
        <f t="shared" si="7"/>
        <v>43748.461467696754</v>
      </c>
    </row>
    <row r="495" spans="1:10" x14ac:dyDescent="0.25">
      <c r="A495" s="7" t="s">
        <v>26628</v>
      </c>
      <c r="B495" s="8">
        <v>400</v>
      </c>
      <c r="C495" s="8">
        <v>20.531590000000001</v>
      </c>
      <c r="D495" s="8">
        <v>64</v>
      </c>
      <c r="E495" s="8">
        <v>0</v>
      </c>
      <c r="F495" s="8">
        <v>0</v>
      </c>
      <c r="G495" s="8">
        <v>8</v>
      </c>
      <c r="H495" s="8" t="s">
        <v>26629</v>
      </c>
      <c r="I495" s="8">
        <v>528.9375</v>
      </c>
      <c r="J495" s="3">
        <f t="shared" si="7"/>
        <v>43748.461551585649</v>
      </c>
    </row>
    <row r="496" spans="1:10" x14ac:dyDescent="0.25">
      <c r="A496" s="5" t="s">
        <v>26630</v>
      </c>
      <c r="B496" s="6">
        <v>403.125</v>
      </c>
      <c r="C496" s="6">
        <v>20.531590000000001</v>
      </c>
      <c r="D496" s="6">
        <v>63</v>
      </c>
      <c r="E496" s="6">
        <v>0</v>
      </c>
      <c r="F496" s="6">
        <v>0</v>
      </c>
      <c r="G496" s="6">
        <v>7</v>
      </c>
      <c r="H496" s="6" t="s">
        <v>26631</v>
      </c>
      <c r="I496" s="6">
        <v>529.125</v>
      </c>
      <c r="J496" s="2">
        <f t="shared" si="7"/>
        <v>43748.461623136573</v>
      </c>
    </row>
    <row r="497" spans="1:10" x14ac:dyDescent="0.25">
      <c r="A497" s="7" t="s">
        <v>26632</v>
      </c>
      <c r="B497" s="8">
        <v>403.125</v>
      </c>
      <c r="C497" s="8">
        <v>20.531590000000001</v>
      </c>
      <c r="D497" s="8">
        <v>62</v>
      </c>
      <c r="E497" s="8">
        <v>0</v>
      </c>
      <c r="F497" s="8">
        <v>0</v>
      </c>
      <c r="G497" s="8">
        <v>13</v>
      </c>
      <c r="H497" s="8" t="s">
        <v>26633</v>
      </c>
      <c r="I497" s="8">
        <v>529.125</v>
      </c>
      <c r="J497" s="3">
        <f t="shared" si="7"/>
        <v>43748.461706446753</v>
      </c>
    </row>
    <row r="498" spans="1:10" x14ac:dyDescent="0.25">
      <c r="A498" s="5" t="s">
        <v>26634</v>
      </c>
      <c r="B498" s="6">
        <v>403.125</v>
      </c>
      <c r="C498" s="6">
        <v>20.531590000000001</v>
      </c>
      <c r="D498" s="6">
        <v>61</v>
      </c>
      <c r="E498" s="6">
        <v>0</v>
      </c>
      <c r="F498" s="6">
        <v>0</v>
      </c>
      <c r="G498" s="6">
        <v>8</v>
      </c>
      <c r="H498" s="6" t="s">
        <v>26635</v>
      </c>
      <c r="I498" s="6">
        <v>529.125</v>
      </c>
      <c r="J498" s="2">
        <f t="shared" si="7"/>
        <v>43748.461777986107</v>
      </c>
    </row>
    <row r="499" spans="1:10" x14ac:dyDescent="0.25">
      <c r="A499" s="7" t="s">
        <v>26636</v>
      </c>
      <c r="B499" s="8">
        <v>403.125</v>
      </c>
      <c r="C499" s="8">
        <v>20.531590000000001</v>
      </c>
      <c r="D499" s="8">
        <v>62</v>
      </c>
      <c r="E499" s="8">
        <v>0</v>
      </c>
      <c r="F499" s="8">
        <v>0</v>
      </c>
      <c r="G499" s="8">
        <v>3</v>
      </c>
      <c r="H499" s="8" t="s">
        <v>26637</v>
      </c>
      <c r="I499" s="8">
        <v>529.125</v>
      </c>
      <c r="J499" s="3">
        <f t="shared" si="7"/>
        <v>43748.46184974537</v>
      </c>
    </row>
    <row r="500" spans="1:10" x14ac:dyDescent="0.25">
      <c r="A500" s="5" t="s">
        <v>26638</v>
      </c>
      <c r="B500" s="6">
        <v>403.125</v>
      </c>
      <c r="C500" s="6">
        <v>20.531590000000001</v>
      </c>
      <c r="D500" s="6">
        <v>62</v>
      </c>
      <c r="E500" s="6">
        <v>0</v>
      </c>
      <c r="F500" s="6">
        <v>0</v>
      </c>
      <c r="G500" s="6">
        <v>1</v>
      </c>
      <c r="H500" s="6" t="s">
        <v>26639</v>
      </c>
      <c r="I500" s="6">
        <v>529.125</v>
      </c>
      <c r="J500" s="2">
        <f t="shared" si="7"/>
        <v>43748.46192149305</v>
      </c>
    </row>
    <row r="501" spans="1:10" x14ac:dyDescent="0.25">
      <c r="A501" s="7" t="s">
        <v>26640</v>
      </c>
      <c r="B501" s="8">
        <v>403.125</v>
      </c>
      <c r="C501" s="8">
        <v>20.531590000000001</v>
      </c>
      <c r="D501" s="8">
        <v>63</v>
      </c>
      <c r="E501" s="8">
        <v>0</v>
      </c>
      <c r="F501" s="8">
        <v>0</v>
      </c>
      <c r="G501" s="8">
        <v>8</v>
      </c>
      <c r="H501" s="8" t="s">
        <v>26641</v>
      </c>
      <c r="I501" s="8">
        <v>529.125</v>
      </c>
      <c r="J501" s="3">
        <f t="shared" si="7"/>
        <v>43748.462004618057</v>
      </c>
    </row>
    <row r="502" spans="1:10" x14ac:dyDescent="0.25">
      <c r="A502" s="5" t="s">
        <v>26642</v>
      </c>
      <c r="B502" s="6">
        <v>403.125</v>
      </c>
      <c r="C502" s="6">
        <v>20.531590000000001</v>
      </c>
      <c r="D502" s="6">
        <v>64</v>
      </c>
      <c r="E502" s="6">
        <v>0</v>
      </c>
      <c r="F502" s="6">
        <v>0</v>
      </c>
      <c r="G502" s="6">
        <v>2</v>
      </c>
      <c r="H502" s="6" t="s">
        <v>26643</v>
      </c>
      <c r="I502" s="6">
        <v>529.125</v>
      </c>
      <c r="J502" s="2">
        <f t="shared" si="7"/>
        <v>43748.462088993052</v>
      </c>
    </row>
    <row r="503" spans="1:10" x14ac:dyDescent="0.25">
      <c r="A503" s="7" t="s">
        <v>26644</v>
      </c>
      <c r="B503" s="8">
        <v>403.125</v>
      </c>
      <c r="C503" s="8">
        <v>20.531590000000001</v>
      </c>
      <c r="D503" s="8">
        <v>64</v>
      </c>
      <c r="E503" s="8">
        <v>0</v>
      </c>
      <c r="F503" s="8">
        <v>0</v>
      </c>
      <c r="G503" s="8">
        <v>4</v>
      </c>
      <c r="H503" s="8" t="s">
        <v>26645</v>
      </c>
      <c r="I503" s="8">
        <v>529.125</v>
      </c>
      <c r="J503" s="3">
        <f t="shared" si="7"/>
        <v>43748.462171284722</v>
      </c>
    </row>
    <row r="504" spans="1:10" x14ac:dyDescent="0.25">
      <c r="A504" s="5" t="s">
        <v>26646</v>
      </c>
      <c r="B504" s="6">
        <v>403.125</v>
      </c>
      <c r="C504" s="6">
        <v>20.531590000000001</v>
      </c>
      <c r="D504" s="6">
        <v>64</v>
      </c>
      <c r="E504" s="6">
        <v>0</v>
      </c>
      <c r="F504" s="6">
        <v>0</v>
      </c>
      <c r="G504" s="6">
        <v>0</v>
      </c>
      <c r="H504" s="6" t="s">
        <v>26647</v>
      </c>
      <c r="I504" s="6">
        <v>529.125</v>
      </c>
      <c r="J504" s="2">
        <f t="shared" si="7"/>
        <v>43748.462243055554</v>
      </c>
    </row>
    <row r="505" spans="1:10" x14ac:dyDescent="0.25">
      <c r="A505" s="7" t="s">
        <v>26648</v>
      </c>
      <c r="B505" s="8">
        <v>403.125</v>
      </c>
      <c r="C505" s="8">
        <v>20.531590000000001</v>
      </c>
      <c r="D505" s="8">
        <v>64</v>
      </c>
      <c r="E505" s="8">
        <v>0</v>
      </c>
      <c r="F505" s="8">
        <v>0</v>
      </c>
      <c r="G505" s="8">
        <v>6</v>
      </c>
      <c r="H505" s="8" t="s">
        <v>26649</v>
      </c>
      <c r="I505" s="8">
        <v>529.125</v>
      </c>
      <c r="J505" s="3">
        <f t="shared" si="7"/>
        <v>43748.462326631947</v>
      </c>
    </row>
    <row r="506" spans="1:10" x14ac:dyDescent="0.25">
      <c r="A506" s="5" t="s">
        <v>26650</v>
      </c>
      <c r="B506" s="6">
        <v>421.875</v>
      </c>
      <c r="C506" s="6">
        <v>20.478950000000001</v>
      </c>
      <c r="D506" s="6">
        <v>60</v>
      </c>
      <c r="E506" s="6">
        <v>0</v>
      </c>
      <c r="F506" s="6">
        <v>0</v>
      </c>
      <c r="G506" s="6">
        <v>1</v>
      </c>
      <c r="H506" s="6" t="s">
        <v>26651</v>
      </c>
      <c r="I506" s="6">
        <v>535.125</v>
      </c>
      <c r="J506" s="2">
        <f t="shared" si="7"/>
        <v>43748.462410185188</v>
      </c>
    </row>
    <row r="507" spans="1:10" x14ac:dyDescent="0.25">
      <c r="A507" s="7" t="s">
        <v>26652</v>
      </c>
      <c r="B507" s="8">
        <v>400</v>
      </c>
      <c r="C507" s="8">
        <v>20.531590000000001</v>
      </c>
      <c r="D507" s="8">
        <v>62</v>
      </c>
      <c r="E507" s="8">
        <v>0</v>
      </c>
      <c r="F507" s="8">
        <v>0</v>
      </c>
      <c r="G507" s="8">
        <v>2</v>
      </c>
      <c r="H507" s="8" t="s">
        <v>26653</v>
      </c>
      <c r="I507" s="8">
        <v>528.1875</v>
      </c>
      <c r="J507" s="3">
        <f t="shared" si="7"/>
        <v>43748.462493622683</v>
      </c>
    </row>
    <row r="508" spans="1:10" x14ac:dyDescent="0.25">
      <c r="A508" s="5" t="s">
        <v>26654</v>
      </c>
      <c r="B508" s="6">
        <v>418.75</v>
      </c>
      <c r="C508" s="6">
        <v>20.531590000000001</v>
      </c>
      <c r="D508" s="6">
        <v>62</v>
      </c>
      <c r="E508" s="6">
        <v>0</v>
      </c>
      <c r="F508" s="6">
        <v>0</v>
      </c>
      <c r="G508" s="6">
        <v>0</v>
      </c>
      <c r="H508" s="6" t="s">
        <v>26655</v>
      </c>
      <c r="I508" s="6">
        <v>534</v>
      </c>
      <c r="J508" s="2">
        <f t="shared" si="7"/>
        <v>43748.46257708333</v>
      </c>
    </row>
    <row r="509" spans="1:10" x14ac:dyDescent="0.25">
      <c r="A509" s="7" t="s">
        <v>26656</v>
      </c>
      <c r="B509" s="8">
        <v>396.875</v>
      </c>
      <c r="C509" s="8">
        <v>20.531590000000001</v>
      </c>
      <c r="D509" s="8">
        <v>65</v>
      </c>
      <c r="E509" s="8">
        <v>0</v>
      </c>
      <c r="F509" s="8">
        <v>0</v>
      </c>
      <c r="G509" s="8">
        <v>5</v>
      </c>
      <c r="H509" s="8" t="s">
        <v>26657</v>
      </c>
      <c r="I509" s="8">
        <v>527.4375</v>
      </c>
      <c r="J509" s="3">
        <f t="shared" si="7"/>
        <v>43748.462660300924</v>
      </c>
    </row>
    <row r="510" spans="1:10" x14ac:dyDescent="0.25">
      <c r="A510" s="5" t="s">
        <v>26658</v>
      </c>
      <c r="B510" s="6">
        <v>396.875</v>
      </c>
      <c r="C510" s="6">
        <v>20.531590000000001</v>
      </c>
      <c r="D510" s="6">
        <v>65</v>
      </c>
      <c r="E510" s="6">
        <v>0</v>
      </c>
      <c r="F510" s="6">
        <v>0</v>
      </c>
      <c r="G510" s="6">
        <v>6</v>
      </c>
      <c r="H510" s="6" t="s">
        <v>26659</v>
      </c>
      <c r="I510" s="6">
        <v>527.625</v>
      </c>
      <c r="J510" s="2">
        <f t="shared" si="7"/>
        <v>43748.462731944441</v>
      </c>
    </row>
    <row r="511" spans="1:10" x14ac:dyDescent="0.25">
      <c r="A511" s="7" t="s">
        <v>26660</v>
      </c>
      <c r="B511" s="8">
        <v>415.625</v>
      </c>
      <c r="C511" s="8">
        <v>20.478950000000001</v>
      </c>
      <c r="D511" s="8">
        <v>64</v>
      </c>
      <c r="E511" s="8">
        <v>0</v>
      </c>
      <c r="F511" s="8">
        <v>0</v>
      </c>
      <c r="G511" s="8">
        <v>7</v>
      </c>
      <c r="H511" s="8" t="s">
        <v>26661</v>
      </c>
      <c r="I511" s="8">
        <v>533.4375</v>
      </c>
      <c r="J511" s="3">
        <f t="shared" si="7"/>
        <v>43748.462815729166</v>
      </c>
    </row>
    <row r="512" spans="1:10" x14ac:dyDescent="0.25">
      <c r="A512" s="5" t="s">
        <v>26662</v>
      </c>
      <c r="B512" s="6">
        <v>400</v>
      </c>
      <c r="C512" s="6">
        <v>20.531590000000001</v>
      </c>
      <c r="D512" s="6">
        <v>64</v>
      </c>
      <c r="E512" s="6">
        <v>0</v>
      </c>
      <c r="F512" s="6">
        <v>0</v>
      </c>
      <c r="G512" s="6">
        <v>11</v>
      </c>
      <c r="H512" s="6" t="s">
        <v>26663</v>
      </c>
      <c r="I512" s="6">
        <v>528.375</v>
      </c>
      <c r="J512" s="2">
        <f t="shared" si="7"/>
        <v>43748.462899062499</v>
      </c>
    </row>
    <row r="513" spans="1:10" x14ac:dyDescent="0.25">
      <c r="A513" s="7" t="s">
        <v>26664</v>
      </c>
      <c r="B513" s="8">
        <v>400</v>
      </c>
      <c r="C513" s="8">
        <v>20.531590000000001</v>
      </c>
      <c r="D513" s="8">
        <v>63</v>
      </c>
      <c r="E513" s="8">
        <v>0</v>
      </c>
      <c r="F513" s="8">
        <v>0</v>
      </c>
      <c r="G513" s="8">
        <v>9</v>
      </c>
      <c r="H513" s="8" t="s">
        <v>26665</v>
      </c>
      <c r="I513" s="8">
        <v>528.1875</v>
      </c>
      <c r="J513" s="3">
        <f t="shared" si="7"/>
        <v>43748.462982418983</v>
      </c>
    </row>
    <row r="514" spans="1:10" x14ac:dyDescent="0.25">
      <c r="A514" s="5" t="s">
        <v>26666</v>
      </c>
      <c r="B514" s="6">
        <v>400</v>
      </c>
      <c r="C514" s="6">
        <v>20.584240000000001</v>
      </c>
      <c r="D514" s="6">
        <v>62</v>
      </c>
      <c r="E514" s="6">
        <v>0</v>
      </c>
      <c r="F514" s="6">
        <v>0</v>
      </c>
      <c r="G514" s="6">
        <v>10</v>
      </c>
      <c r="H514" s="6" t="s">
        <v>26667</v>
      </c>
      <c r="I514" s="6">
        <v>528.1875</v>
      </c>
      <c r="J514" s="2">
        <f t="shared" ref="J514:J577" si="8">(H514/86400000)+25569+(7/24)</f>
        <v>43748.463065960641</v>
      </c>
    </row>
    <row r="515" spans="1:10" x14ac:dyDescent="0.25">
      <c r="A515" s="7" t="s">
        <v>26668</v>
      </c>
      <c r="B515" s="8">
        <v>396.875</v>
      </c>
      <c r="C515" s="8">
        <v>20.531590000000001</v>
      </c>
      <c r="D515" s="8">
        <v>62</v>
      </c>
      <c r="E515" s="8">
        <v>0</v>
      </c>
      <c r="F515" s="8">
        <v>0</v>
      </c>
      <c r="G515" s="8">
        <v>3</v>
      </c>
      <c r="H515" s="8" t="s">
        <v>26669</v>
      </c>
      <c r="I515" s="8">
        <v>527.625</v>
      </c>
      <c r="J515" s="3">
        <f t="shared" si="8"/>
        <v>43748.463149178242</v>
      </c>
    </row>
    <row r="516" spans="1:10" x14ac:dyDescent="0.25">
      <c r="A516" s="5" t="s">
        <v>26670</v>
      </c>
      <c r="B516" s="6">
        <v>396.875</v>
      </c>
      <c r="C516" s="6">
        <v>20.478950000000001</v>
      </c>
      <c r="D516" s="6">
        <v>63</v>
      </c>
      <c r="E516" s="6">
        <v>0</v>
      </c>
      <c r="F516" s="6">
        <v>0</v>
      </c>
      <c r="G516" s="6">
        <v>0</v>
      </c>
      <c r="H516" s="6" t="s">
        <v>26671</v>
      </c>
      <c r="I516" s="6">
        <v>527.4375</v>
      </c>
      <c r="J516" s="2">
        <f t="shared" si="8"/>
        <v>43748.463220810183</v>
      </c>
    </row>
    <row r="517" spans="1:10" x14ac:dyDescent="0.25">
      <c r="A517" s="7" t="s">
        <v>26672</v>
      </c>
      <c r="B517" s="8">
        <v>396.875</v>
      </c>
      <c r="C517" s="8">
        <v>20.478950000000001</v>
      </c>
      <c r="D517" s="8">
        <v>63</v>
      </c>
      <c r="E517" s="8">
        <v>0</v>
      </c>
      <c r="F517" s="8">
        <v>0</v>
      </c>
      <c r="G517" s="8">
        <v>1</v>
      </c>
      <c r="H517" s="8" t="s">
        <v>26673</v>
      </c>
      <c r="I517" s="8">
        <v>527.4375</v>
      </c>
      <c r="J517" s="3">
        <f t="shared" si="8"/>
        <v>43748.463292488428</v>
      </c>
    </row>
    <row r="518" spans="1:10" x14ac:dyDescent="0.25">
      <c r="A518" s="5" t="s">
        <v>26674</v>
      </c>
      <c r="B518" s="6">
        <v>396.875</v>
      </c>
      <c r="C518" s="6">
        <v>20.478950000000001</v>
      </c>
      <c r="D518" s="6">
        <v>63</v>
      </c>
      <c r="E518" s="6">
        <v>0</v>
      </c>
      <c r="F518" s="6">
        <v>0</v>
      </c>
      <c r="G518" s="6">
        <v>5</v>
      </c>
      <c r="H518" s="6" t="s">
        <v>26675</v>
      </c>
      <c r="I518" s="6">
        <v>527.4375</v>
      </c>
      <c r="J518" s="2">
        <f t="shared" si="8"/>
        <v>43748.463363888884</v>
      </c>
    </row>
    <row r="519" spans="1:10" x14ac:dyDescent="0.25">
      <c r="A519" s="7" t="s">
        <v>26676</v>
      </c>
      <c r="B519" s="8">
        <v>396.875</v>
      </c>
      <c r="C519" s="8">
        <v>20.478950000000001</v>
      </c>
      <c r="D519" s="8">
        <v>63</v>
      </c>
      <c r="E519" s="8">
        <v>0</v>
      </c>
      <c r="F519" s="8">
        <v>0</v>
      </c>
      <c r="G519" s="8">
        <v>0</v>
      </c>
      <c r="H519" s="8" t="s">
        <v>26677</v>
      </c>
      <c r="I519" s="8">
        <v>527.4375</v>
      </c>
      <c r="J519" s="3">
        <f t="shared" si="8"/>
        <v>43748.463435868056</v>
      </c>
    </row>
    <row r="520" spans="1:10" x14ac:dyDescent="0.25">
      <c r="A520" s="5" t="s">
        <v>26678</v>
      </c>
      <c r="B520" s="6">
        <v>400</v>
      </c>
      <c r="C520" s="6">
        <v>20.478950000000001</v>
      </c>
      <c r="D520" s="6">
        <v>63</v>
      </c>
      <c r="E520" s="6">
        <v>0</v>
      </c>
      <c r="F520" s="6">
        <v>0</v>
      </c>
      <c r="G520" s="6">
        <v>1</v>
      </c>
      <c r="H520" s="6" t="s">
        <v>26679</v>
      </c>
      <c r="I520" s="6">
        <v>528.1875</v>
      </c>
      <c r="J520" s="2">
        <f t="shared" si="8"/>
        <v>43748.463519201388</v>
      </c>
    </row>
    <row r="521" spans="1:10" x14ac:dyDescent="0.25">
      <c r="A521" s="7" t="s">
        <v>26680</v>
      </c>
      <c r="B521" s="8">
        <v>400</v>
      </c>
      <c r="C521" s="8">
        <v>20.478950000000001</v>
      </c>
      <c r="D521" s="8">
        <v>63</v>
      </c>
      <c r="E521" s="8">
        <v>0</v>
      </c>
      <c r="F521" s="8">
        <v>0</v>
      </c>
      <c r="G521" s="8">
        <v>9</v>
      </c>
      <c r="H521" s="8" t="s">
        <v>26681</v>
      </c>
      <c r="I521" s="8">
        <v>528.1875</v>
      </c>
      <c r="J521" s="3">
        <f t="shared" si="8"/>
        <v>43748.463602673604</v>
      </c>
    </row>
    <row r="522" spans="1:10" x14ac:dyDescent="0.25">
      <c r="A522" s="5" t="s">
        <v>26682</v>
      </c>
      <c r="B522" s="6">
        <v>443.75</v>
      </c>
      <c r="C522" s="6">
        <v>20.478950000000001</v>
      </c>
      <c r="D522" s="6">
        <v>63</v>
      </c>
      <c r="E522" s="6">
        <v>0</v>
      </c>
      <c r="F522" s="6">
        <v>0</v>
      </c>
      <c r="G522" s="6">
        <v>8</v>
      </c>
      <c r="H522" s="6" t="s">
        <v>26683</v>
      </c>
      <c r="I522" s="6">
        <v>542.0625</v>
      </c>
      <c r="J522" s="2">
        <f t="shared" si="8"/>
        <v>43748.463686238429</v>
      </c>
    </row>
    <row r="523" spans="1:10" x14ac:dyDescent="0.25">
      <c r="A523" s="7" t="s">
        <v>26684</v>
      </c>
      <c r="B523" s="8">
        <v>400</v>
      </c>
      <c r="C523" s="8">
        <v>20.531590000000001</v>
      </c>
      <c r="D523" s="8">
        <v>61</v>
      </c>
      <c r="E523" s="8">
        <v>0</v>
      </c>
      <c r="F523" s="8">
        <v>0</v>
      </c>
      <c r="G523" s="8">
        <v>15</v>
      </c>
      <c r="H523" s="8" t="s">
        <v>26685</v>
      </c>
      <c r="I523" s="8">
        <v>528.1875</v>
      </c>
      <c r="J523" s="3">
        <f t="shared" si="8"/>
        <v>43748.463757754631</v>
      </c>
    </row>
    <row r="524" spans="1:10" x14ac:dyDescent="0.25">
      <c r="A524" s="5" t="s">
        <v>26686</v>
      </c>
      <c r="B524" s="6">
        <v>400</v>
      </c>
      <c r="C524" s="6">
        <v>20.531590000000001</v>
      </c>
      <c r="D524" s="6">
        <v>61</v>
      </c>
      <c r="E524" s="6">
        <v>0</v>
      </c>
      <c r="F524" s="6">
        <v>0</v>
      </c>
      <c r="G524" s="6">
        <v>3</v>
      </c>
      <c r="H524" s="6" t="s">
        <v>26687</v>
      </c>
      <c r="I524" s="6">
        <v>528.375</v>
      </c>
      <c r="J524" s="2">
        <f t="shared" si="8"/>
        <v>43748.463841203702</v>
      </c>
    </row>
    <row r="525" spans="1:10" x14ac:dyDescent="0.25">
      <c r="A525" s="7" t="s">
        <v>26688</v>
      </c>
      <c r="B525" s="8">
        <v>412.5</v>
      </c>
      <c r="C525" s="8">
        <v>20.531590000000001</v>
      </c>
      <c r="D525" s="8">
        <v>61</v>
      </c>
      <c r="E525" s="8">
        <v>0</v>
      </c>
      <c r="F525" s="8">
        <v>0</v>
      </c>
      <c r="G525" s="8">
        <v>7</v>
      </c>
      <c r="H525" s="8" t="s">
        <v>26689</v>
      </c>
      <c r="I525" s="8">
        <v>532.875</v>
      </c>
      <c r="J525" s="3">
        <f t="shared" si="8"/>
        <v>43748.463924791664</v>
      </c>
    </row>
    <row r="526" spans="1:10" x14ac:dyDescent="0.25">
      <c r="A526" s="5" t="s">
        <v>26690</v>
      </c>
      <c r="B526" s="6">
        <v>396.875</v>
      </c>
      <c r="C526" s="6">
        <v>20.531590000000001</v>
      </c>
      <c r="D526" s="6">
        <v>62</v>
      </c>
      <c r="E526" s="6">
        <v>0</v>
      </c>
      <c r="F526" s="6">
        <v>0</v>
      </c>
      <c r="G526" s="6">
        <v>8</v>
      </c>
      <c r="H526" s="6" t="s">
        <v>26691</v>
      </c>
      <c r="I526" s="6">
        <v>527.4375</v>
      </c>
      <c r="J526" s="2">
        <f t="shared" si="8"/>
        <v>43748.464008229166</v>
      </c>
    </row>
    <row r="527" spans="1:10" x14ac:dyDescent="0.25">
      <c r="A527" s="7" t="s">
        <v>26692</v>
      </c>
      <c r="B527" s="8">
        <v>393.75</v>
      </c>
      <c r="C527" s="8">
        <v>20.531590000000001</v>
      </c>
      <c r="D527" s="8">
        <v>61</v>
      </c>
      <c r="E527" s="8">
        <v>0</v>
      </c>
      <c r="F527" s="8">
        <v>0</v>
      </c>
      <c r="G527" s="8">
        <v>10</v>
      </c>
      <c r="H527" s="8" t="s">
        <v>26693</v>
      </c>
      <c r="I527" s="8">
        <v>526.6875</v>
      </c>
      <c r="J527" s="3">
        <f t="shared" si="8"/>
        <v>43748.464091655092</v>
      </c>
    </row>
    <row r="528" spans="1:10" x14ac:dyDescent="0.25">
      <c r="A528" s="5" t="s">
        <v>26694</v>
      </c>
      <c r="B528" s="6">
        <v>393.75</v>
      </c>
      <c r="C528" s="6">
        <v>20.478950000000001</v>
      </c>
      <c r="D528" s="6">
        <v>61</v>
      </c>
      <c r="E528" s="6">
        <v>0</v>
      </c>
      <c r="F528" s="6">
        <v>0</v>
      </c>
      <c r="G528" s="6">
        <v>14</v>
      </c>
      <c r="H528" s="6" t="s">
        <v>26695</v>
      </c>
      <c r="I528" s="6">
        <v>526.6875</v>
      </c>
      <c r="J528" s="2">
        <f t="shared" si="8"/>
        <v>43748.464163287033</v>
      </c>
    </row>
    <row r="529" spans="1:10" x14ac:dyDescent="0.25">
      <c r="A529" s="7" t="s">
        <v>26696</v>
      </c>
      <c r="B529" s="8">
        <v>393.75</v>
      </c>
      <c r="C529" s="8">
        <v>20.531590000000001</v>
      </c>
      <c r="D529" s="8">
        <v>60</v>
      </c>
      <c r="E529" s="8">
        <v>0</v>
      </c>
      <c r="F529" s="8">
        <v>0</v>
      </c>
      <c r="G529" s="8">
        <v>10</v>
      </c>
      <c r="H529" s="8" t="s">
        <v>26697</v>
      </c>
      <c r="I529" s="8">
        <v>526.6875</v>
      </c>
      <c r="J529" s="3">
        <f t="shared" si="8"/>
        <v>43748.464246759257</v>
      </c>
    </row>
    <row r="530" spans="1:10" x14ac:dyDescent="0.25">
      <c r="A530" s="5" t="s">
        <v>26698</v>
      </c>
      <c r="B530" s="6">
        <v>412.5</v>
      </c>
      <c r="C530" s="6">
        <v>20.531590000000001</v>
      </c>
      <c r="D530" s="6">
        <v>62</v>
      </c>
      <c r="E530" s="6">
        <v>0</v>
      </c>
      <c r="F530" s="6">
        <v>0</v>
      </c>
      <c r="G530" s="6">
        <v>0</v>
      </c>
      <c r="H530" s="6" t="s">
        <v>26699</v>
      </c>
      <c r="I530" s="6">
        <v>532.125</v>
      </c>
      <c r="J530" s="2">
        <f t="shared" si="8"/>
        <v>43748.464330196752</v>
      </c>
    </row>
    <row r="531" spans="1:10" x14ac:dyDescent="0.25">
      <c r="A531" s="7" t="s">
        <v>26700</v>
      </c>
      <c r="B531" s="8">
        <v>396.875</v>
      </c>
      <c r="C531" s="8">
        <v>20.531590000000001</v>
      </c>
      <c r="D531" s="8">
        <v>62</v>
      </c>
      <c r="E531" s="8">
        <v>0</v>
      </c>
      <c r="F531" s="8">
        <v>0</v>
      </c>
      <c r="G531" s="8">
        <v>10</v>
      </c>
      <c r="H531" s="8" t="s">
        <v>26701</v>
      </c>
      <c r="I531" s="8">
        <v>527.4375</v>
      </c>
      <c r="J531" s="3">
        <f t="shared" si="8"/>
        <v>43748.464413530091</v>
      </c>
    </row>
    <row r="532" spans="1:10" x14ac:dyDescent="0.25">
      <c r="A532" s="5" t="s">
        <v>26702</v>
      </c>
      <c r="B532" s="6">
        <v>396.875</v>
      </c>
      <c r="C532" s="6">
        <v>20.478950000000001</v>
      </c>
      <c r="D532" s="6">
        <v>62</v>
      </c>
      <c r="E532" s="6">
        <v>0</v>
      </c>
      <c r="F532" s="6">
        <v>0</v>
      </c>
      <c r="G532" s="6">
        <v>2</v>
      </c>
      <c r="H532" s="6" t="s">
        <v>26703</v>
      </c>
      <c r="I532" s="6">
        <v>527.4375</v>
      </c>
      <c r="J532" s="2">
        <f t="shared" si="8"/>
        <v>43748.464497326386</v>
      </c>
    </row>
    <row r="533" spans="1:10" x14ac:dyDescent="0.25">
      <c r="A533" s="7" t="s">
        <v>26704</v>
      </c>
      <c r="B533" s="8">
        <v>396.875</v>
      </c>
      <c r="C533" s="8">
        <v>20.531590000000001</v>
      </c>
      <c r="D533" s="8">
        <v>63</v>
      </c>
      <c r="E533" s="8">
        <v>0</v>
      </c>
      <c r="F533" s="8">
        <v>0</v>
      </c>
      <c r="G533" s="8">
        <v>2</v>
      </c>
      <c r="H533" s="8" t="s">
        <v>26705</v>
      </c>
      <c r="I533" s="8">
        <v>527.4375</v>
      </c>
      <c r="J533" s="3">
        <f t="shared" si="8"/>
        <v>43748.464580671294</v>
      </c>
    </row>
    <row r="534" spans="1:10" x14ac:dyDescent="0.25">
      <c r="A534" s="5" t="s">
        <v>26706</v>
      </c>
      <c r="B534" s="6">
        <v>396.875</v>
      </c>
      <c r="C534" s="6">
        <v>20.478950000000001</v>
      </c>
      <c r="D534" s="6">
        <v>62</v>
      </c>
      <c r="E534" s="6">
        <v>0</v>
      </c>
      <c r="F534" s="6">
        <v>0</v>
      </c>
      <c r="G534" s="6">
        <v>8</v>
      </c>
      <c r="H534" s="6" t="s">
        <v>26707</v>
      </c>
      <c r="I534" s="6">
        <v>527.4375</v>
      </c>
      <c r="J534" s="2">
        <f t="shared" si="8"/>
        <v>43748.464651967595</v>
      </c>
    </row>
    <row r="535" spans="1:10" x14ac:dyDescent="0.25">
      <c r="A535" s="7" t="s">
        <v>26708</v>
      </c>
      <c r="B535" s="8">
        <v>396.875</v>
      </c>
      <c r="C535" s="8">
        <v>20.478950000000001</v>
      </c>
      <c r="D535" s="8">
        <v>62</v>
      </c>
      <c r="E535" s="8">
        <v>0</v>
      </c>
      <c r="F535" s="8">
        <v>0</v>
      </c>
      <c r="G535" s="8">
        <v>8</v>
      </c>
      <c r="H535" s="8" t="s">
        <v>26709</v>
      </c>
      <c r="I535" s="8">
        <v>527.4375</v>
      </c>
      <c r="J535" s="3">
        <f t="shared" si="8"/>
        <v>43748.464735648151</v>
      </c>
    </row>
    <row r="536" spans="1:10" x14ac:dyDescent="0.25">
      <c r="A536" s="5" t="s">
        <v>26710</v>
      </c>
      <c r="B536" s="6">
        <v>396.875</v>
      </c>
      <c r="C536" s="6">
        <v>20.531590000000001</v>
      </c>
      <c r="D536" s="6">
        <v>61</v>
      </c>
      <c r="E536" s="6">
        <v>0</v>
      </c>
      <c r="F536" s="6">
        <v>0</v>
      </c>
      <c r="G536" s="6">
        <v>6</v>
      </c>
      <c r="H536" s="6" t="s">
        <v>26711</v>
      </c>
      <c r="I536" s="6">
        <v>527.4375</v>
      </c>
      <c r="J536" s="2">
        <f t="shared" si="8"/>
        <v>43748.464830694444</v>
      </c>
    </row>
    <row r="537" spans="1:10" x14ac:dyDescent="0.25">
      <c r="A537" s="7" t="s">
        <v>26712</v>
      </c>
      <c r="B537" s="8">
        <v>415.625</v>
      </c>
      <c r="C537" s="8">
        <v>20.478950000000001</v>
      </c>
      <c r="D537" s="8">
        <v>60</v>
      </c>
      <c r="E537" s="8">
        <v>0</v>
      </c>
      <c r="F537" s="8">
        <v>0</v>
      </c>
      <c r="G537" s="8">
        <v>0</v>
      </c>
      <c r="H537" s="8" t="s">
        <v>26713</v>
      </c>
      <c r="I537" s="8">
        <v>533.8125</v>
      </c>
      <c r="J537" s="3">
        <f t="shared" si="8"/>
        <v>43748.464902546293</v>
      </c>
    </row>
    <row r="538" spans="1:10" x14ac:dyDescent="0.25">
      <c r="A538" s="5" t="s">
        <v>26714</v>
      </c>
      <c r="B538" s="6">
        <v>396.875</v>
      </c>
      <c r="C538" s="6">
        <v>20.531590000000001</v>
      </c>
      <c r="D538" s="6">
        <v>59</v>
      </c>
      <c r="E538" s="6">
        <v>0</v>
      </c>
      <c r="F538" s="6">
        <v>0</v>
      </c>
      <c r="G538" s="6">
        <v>0</v>
      </c>
      <c r="H538" s="6" t="s">
        <v>26715</v>
      </c>
      <c r="I538" s="6">
        <v>527.4375</v>
      </c>
      <c r="J538" s="2">
        <f t="shared" si="8"/>
        <v>43748.46498611111</v>
      </c>
    </row>
    <row r="539" spans="1:10" x14ac:dyDescent="0.25">
      <c r="A539" s="7" t="s">
        <v>26716</v>
      </c>
      <c r="B539" s="8">
        <v>396.875</v>
      </c>
      <c r="C539" s="8">
        <v>20.478950000000001</v>
      </c>
      <c r="D539" s="8">
        <v>56</v>
      </c>
      <c r="E539" s="8">
        <v>0</v>
      </c>
      <c r="F539" s="8">
        <v>0</v>
      </c>
      <c r="G539" s="8">
        <v>4</v>
      </c>
      <c r="H539" s="8" t="s">
        <v>26717</v>
      </c>
      <c r="I539" s="8">
        <v>527.4375</v>
      </c>
      <c r="J539" s="3">
        <f t="shared" si="8"/>
        <v>43748.465069687496</v>
      </c>
    </row>
    <row r="540" spans="1:10" x14ac:dyDescent="0.25">
      <c r="A540" s="5" t="s">
        <v>26718</v>
      </c>
      <c r="B540" s="6">
        <v>396.875</v>
      </c>
      <c r="C540" s="6">
        <v>20.531590000000001</v>
      </c>
      <c r="D540" s="6">
        <v>57</v>
      </c>
      <c r="E540" s="6">
        <v>0</v>
      </c>
      <c r="F540" s="6">
        <v>0</v>
      </c>
      <c r="G540" s="6">
        <v>3</v>
      </c>
      <c r="H540" s="6" t="s">
        <v>26719</v>
      </c>
      <c r="I540" s="6">
        <v>527.4375</v>
      </c>
      <c r="J540" s="2">
        <f t="shared" si="8"/>
        <v>43748.465152789351</v>
      </c>
    </row>
    <row r="541" spans="1:10" x14ac:dyDescent="0.25">
      <c r="A541" s="7" t="s">
        <v>26720</v>
      </c>
      <c r="B541" s="8">
        <v>396.875</v>
      </c>
      <c r="C541" s="8">
        <v>20.531590000000001</v>
      </c>
      <c r="D541" s="8">
        <v>57</v>
      </c>
      <c r="E541" s="8">
        <v>0</v>
      </c>
      <c r="F541" s="8">
        <v>0</v>
      </c>
      <c r="G541" s="8">
        <v>1</v>
      </c>
      <c r="H541" s="8" t="s">
        <v>26721</v>
      </c>
      <c r="I541" s="8">
        <v>527.4375</v>
      </c>
      <c r="J541" s="3">
        <f t="shared" si="8"/>
        <v>43748.465224664345</v>
      </c>
    </row>
    <row r="542" spans="1:10" x14ac:dyDescent="0.25">
      <c r="A542" s="5" t="s">
        <v>26722</v>
      </c>
      <c r="B542" s="6">
        <v>396.875</v>
      </c>
      <c r="C542" s="6">
        <v>20.531590000000001</v>
      </c>
      <c r="D542" s="6">
        <v>57</v>
      </c>
      <c r="E542" s="6">
        <v>0</v>
      </c>
      <c r="F542" s="6">
        <v>0</v>
      </c>
      <c r="G542" s="6">
        <v>1</v>
      </c>
      <c r="H542" s="6" t="s">
        <v>26723</v>
      </c>
      <c r="I542" s="6">
        <v>527.4375</v>
      </c>
      <c r="J542" s="2">
        <f t="shared" si="8"/>
        <v>43748.465308113424</v>
      </c>
    </row>
    <row r="543" spans="1:10" x14ac:dyDescent="0.25">
      <c r="A543" s="7" t="s">
        <v>26724</v>
      </c>
      <c r="B543" s="8">
        <v>396.875</v>
      </c>
      <c r="C543" s="8">
        <v>20.531590000000001</v>
      </c>
      <c r="D543" s="8">
        <v>58</v>
      </c>
      <c r="E543" s="8">
        <v>0</v>
      </c>
      <c r="F543" s="8">
        <v>0</v>
      </c>
      <c r="G543" s="8">
        <v>0</v>
      </c>
      <c r="H543" s="8" t="s">
        <v>26725</v>
      </c>
      <c r="I543" s="8">
        <v>527.4375</v>
      </c>
      <c r="J543" s="3">
        <f t="shared" si="8"/>
        <v>43748.465391678234</v>
      </c>
    </row>
    <row r="544" spans="1:10" x14ac:dyDescent="0.25">
      <c r="A544" s="5" t="s">
        <v>26726</v>
      </c>
      <c r="B544" s="6">
        <v>396.875</v>
      </c>
      <c r="C544" s="6">
        <v>20.478950000000001</v>
      </c>
      <c r="D544" s="6">
        <v>58</v>
      </c>
      <c r="E544" s="6">
        <v>0</v>
      </c>
      <c r="F544" s="6">
        <v>0</v>
      </c>
      <c r="G544" s="6">
        <v>0</v>
      </c>
      <c r="H544" s="6" t="s">
        <v>26727</v>
      </c>
      <c r="I544" s="6">
        <v>527.4375</v>
      </c>
      <c r="J544" s="2">
        <f t="shared" si="8"/>
        <v>43748.465475127312</v>
      </c>
    </row>
    <row r="545" spans="1:10" x14ac:dyDescent="0.25">
      <c r="A545" s="7" t="s">
        <v>26728</v>
      </c>
      <c r="B545" s="8">
        <v>396.875</v>
      </c>
      <c r="C545" s="8">
        <v>20.478950000000001</v>
      </c>
      <c r="D545" s="8">
        <v>58</v>
      </c>
      <c r="E545" s="8">
        <v>0</v>
      </c>
      <c r="F545" s="8">
        <v>0</v>
      </c>
      <c r="G545" s="8">
        <v>0</v>
      </c>
      <c r="H545" s="8" t="s">
        <v>26729</v>
      </c>
      <c r="I545" s="8">
        <v>527.4375</v>
      </c>
      <c r="J545" s="3">
        <f t="shared" si="8"/>
        <v>43748.46555857639</v>
      </c>
    </row>
    <row r="546" spans="1:10" x14ac:dyDescent="0.25">
      <c r="A546" s="5" t="s">
        <v>26730</v>
      </c>
      <c r="B546" s="6">
        <v>396.875</v>
      </c>
      <c r="C546" s="6">
        <v>20.531590000000001</v>
      </c>
      <c r="D546" s="6">
        <v>58</v>
      </c>
      <c r="E546" s="6">
        <v>0</v>
      </c>
      <c r="F546" s="6">
        <v>0</v>
      </c>
      <c r="G546" s="6">
        <v>2</v>
      </c>
      <c r="H546" s="6" t="s">
        <v>26731</v>
      </c>
      <c r="I546" s="6">
        <v>527.4375</v>
      </c>
      <c r="J546" s="2">
        <f t="shared" si="8"/>
        <v>43748.465641793977</v>
      </c>
    </row>
    <row r="547" spans="1:10" x14ac:dyDescent="0.25">
      <c r="A547" s="7" t="s">
        <v>26732</v>
      </c>
      <c r="B547" s="8">
        <v>418.75</v>
      </c>
      <c r="C547" s="8">
        <v>20.531590000000001</v>
      </c>
      <c r="D547" s="8">
        <v>58</v>
      </c>
      <c r="E547" s="8">
        <v>0</v>
      </c>
      <c r="F547" s="8">
        <v>0</v>
      </c>
      <c r="G547" s="8">
        <v>0</v>
      </c>
      <c r="H547" s="8" t="s">
        <v>26733</v>
      </c>
      <c r="I547" s="8">
        <v>534.1875</v>
      </c>
      <c r="J547" s="3">
        <f t="shared" si="8"/>
        <v>43748.465725717593</v>
      </c>
    </row>
    <row r="548" spans="1:10" x14ac:dyDescent="0.25">
      <c r="A548" s="5" t="s">
        <v>26734</v>
      </c>
      <c r="B548" s="6">
        <v>396.875</v>
      </c>
      <c r="C548" s="6">
        <v>20.531590000000001</v>
      </c>
      <c r="D548" s="6">
        <v>58</v>
      </c>
      <c r="E548" s="6">
        <v>0</v>
      </c>
      <c r="F548" s="6">
        <v>0</v>
      </c>
      <c r="G548" s="6">
        <v>0</v>
      </c>
      <c r="H548" s="6" t="s">
        <v>26735</v>
      </c>
      <c r="I548" s="6">
        <v>527.4375</v>
      </c>
      <c r="J548" s="2">
        <f t="shared" si="8"/>
        <v>43748.465796909724</v>
      </c>
    </row>
    <row r="549" spans="1:10" x14ac:dyDescent="0.25">
      <c r="A549" s="7" t="s">
        <v>26736</v>
      </c>
      <c r="B549" s="8">
        <v>396.875</v>
      </c>
      <c r="C549" s="8">
        <v>20.531590000000001</v>
      </c>
      <c r="D549" s="8">
        <v>59</v>
      </c>
      <c r="E549" s="8">
        <v>0</v>
      </c>
      <c r="F549" s="8">
        <v>0</v>
      </c>
      <c r="G549" s="8">
        <v>1</v>
      </c>
      <c r="H549" s="8" t="s">
        <v>26737</v>
      </c>
      <c r="I549" s="8">
        <v>527.4375</v>
      </c>
      <c r="J549" s="3">
        <f t="shared" si="8"/>
        <v>43748.465880567128</v>
      </c>
    </row>
    <row r="550" spans="1:10" x14ac:dyDescent="0.25">
      <c r="A550" s="5" t="s">
        <v>26738</v>
      </c>
      <c r="B550" s="6">
        <v>396.875</v>
      </c>
      <c r="C550" s="6">
        <v>20.478950000000001</v>
      </c>
      <c r="D550" s="6">
        <v>59</v>
      </c>
      <c r="E550" s="6">
        <v>0</v>
      </c>
      <c r="F550" s="6">
        <v>0</v>
      </c>
      <c r="G550" s="6">
        <v>3</v>
      </c>
      <c r="H550" s="6" t="s">
        <v>26739</v>
      </c>
      <c r="I550" s="6">
        <v>527.4375</v>
      </c>
      <c r="J550" s="2">
        <f t="shared" si="8"/>
        <v>43748.465963888892</v>
      </c>
    </row>
    <row r="551" spans="1:10" x14ac:dyDescent="0.25">
      <c r="A551" s="7" t="s">
        <v>26740</v>
      </c>
      <c r="B551" s="8">
        <v>396.875</v>
      </c>
      <c r="C551" s="8">
        <v>20.478950000000001</v>
      </c>
      <c r="D551" s="8">
        <v>59</v>
      </c>
      <c r="E551" s="8">
        <v>0</v>
      </c>
      <c r="F551" s="8">
        <v>0</v>
      </c>
      <c r="G551" s="8">
        <v>6</v>
      </c>
      <c r="H551" s="8" t="s">
        <v>26741</v>
      </c>
      <c r="I551" s="8">
        <v>527.4375</v>
      </c>
      <c r="J551" s="3">
        <f t="shared" si="8"/>
        <v>43748.46603520833</v>
      </c>
    </row>
    <row r="552" spans="1:10" x14ac:dyDescent="0.25">
      <c r="A552" s="5" t="s">
        <v>26742</v>
      </c>
      <c r="B552" s="6">
        <v>400</v>
      </c>
      <c r="C552" s="6">
        <v>20.531590000000001</v>
      </c>
      <c r="D552" s="6">
        <v>60</v>
      </c>
      <c r="E552" s="6">
        <v>0</v>
      </c>
      <c r="F552" s="6">
        <v>0</v>
      </c>
      <c r="G552" s="6">
        <v>4</v>
      </c>
      <c r="H552" s="6" t="s">
        <v>26743</v>
      </c>
      <c r="I552" s="6">
        <v>528.1875</v>
      </c>
      <c r="J552" s="2">
        <f t="shared" si="8"/>
        <v>43748.46611908565</v>
      </c>
    </row>
    <row r="553" spans="1:10" x14ac:dyDescent="0.25">
      <c r="A553" s="7" t="s">
        <v>26744</v>
      </c>
      <c r="B553" s="8">
        <v>400</v>
      </c>
      <c r="C553" s="8">
        <v>20.531590000000001</v>
      </c>
      <c r="D553" s="8">
        <v>60</v>
      </c>
      <c r="E553" s="8">
        <v>0</v>
      </c>
      <c r="F553" s="8">
        <v>0</v>
      </c>
      <c r="G553" s="8">
        <v>0</v>
      </c>
      <c r="H553" s="8" t="s">
        <v>26745</v>
      </c>
      <c r="I553" s="8">
        <v>528.1875</v>
      </c>
      <c r="J553" s="3">
        <f t="shared" si="8"/>
        <v>43748.466202673611</v>
      </c>
    </row>
    <row r="554" spans="1:10" x14ac:dyDescent="0.25">
      <c r="A554" s="5" t="s">
        <v>26746</v>
      </c>
      <c r="B554" s="6">
        <v>400</v>
      </c>
      <c r="C554" s="6">
        <v>20.478950000000001</v>
      </c>
      <c r="D554" s="6">
        <v>60</v>
      </c>
      <c r="E554" s="6">
        <v>0</v>
      </c>
      <c r="F554" s="6">
        <v>0</v>
      </c>
      <c r="G554" s="6">
        <v>6</v>
      </c>
      <c r="H554" s="6" t="s">
        <v>26747</v>
      </c>
      <c r="I554" s="6">
        <v>528.375</v>
      </c>
      <c r="J554" s="2">
        <f t="shared" si="8"/>
        <v>43748.466286238421</v>
      </c>
    </row>
    <row r="555" spans="1:10" x14ac:dyDescent="0.25">
      <c r="A555" s="7" t="s">
        <v>26748</v>
      </c>
      <c r="B555" s="8">
        <v>403.125</v>
      </c>
      <c r="C555" s="8">
        <v>20.478950000000001</v>
      </c>
      <c r="D555" s="8">
        <v>59</v>
      </c>
      <c r="E555" s="8">
        <v>0</v>
      </c>
      <c r="F555" s="8">
        <v>0</v>
      </c>
      <c r="G555" s="8">
        <v>0</v>
      </c>
      <c r="H555" s="8" t="s">
        <v>26749</v>
      </c>
      <c r="I555" s="8">
        <v>529.125</v>
      </c>
      <c r="J555" s="3">
        <f t="shared" si="8"/>
        <v>43748.466369571754</v>
      </c>
    </row>
    <row r="556" spans="1:10" x14ac:dyDescent="0.25">
      <c r="A556" s="5" t="s">
        <v>26750</v>
      </c>
      <c r="B556" s="6">
        <v>403.125</v>
      </c>
      <c r="C556" s="6">
        <v>20.531590000000001</v>
      </c>
      <c r="D556" s="6">
        <v>59</v>
      </c>
      <c r="E556" s="6">
        <v>0</v>
      </c>
      <c r="F556" s="6">
        <v>0</v>
      </c>
      <c r="G556" s="6">
        <v>0</v>
      </c>
      <c r="H556" s="6" t="s">
        <v>26751</v>
      </c>
      <c r="I556" s="6">
        <v>529.125</v>
      </c>
      <c r="J556" s="2">
        <f t="shared" si="8"/>
        <v>43748.466452789355</v>
      </c>
    </row>
    <row r="557" spans="1:10" x14ac:dyDescent="0.25">
      <c r="A557" s="7" t="s">
        <v>26752</v>
      </c>
      <c r="B557" s="8">
        <v>403.125</v>
      </c>
      <c r="C557" s="8">
        <v>20.478950000000001</v>
      </c>
      <c r="D557" s="8">
        <v>59</v>
      </c>
      <c r="E557" s="8">
        <v>0</v>
      </c>
      <c r="F557" s="8">
        <v>0</v>
      </c>
      <c r="G557" s="8">
        <v>0</v>
      </c>
      <c r="H557" s="8" t="s">
        <v>26753</v>
      </c>
      <c r="I557" s="8">
        <v>529.125</v>
      </c>
      <c r="J557" s="3">
        <f t="shared" si="8"/>
        <v>43748.46652454861</v>
      </c>
    </row>
    <row r="558" spans="1:10" x14ac:dyDescent="0.25">
      <c r="A558" s="5" t="s">
        <v>26754</v>
      </c>
      <c r="B558" s="6">
        <v>403.125</v>
      </c>
      <c r="C558" s="6">
        <v>20.531590000000001</v>
      </c>
      <c r="D558" s="6">
        <v>59</v>
      </c>
      <c r="E558" s="6">
        <v>0</v>
      </c>
      <c r="F558" s="6">
        <v>0</v>
      </c>
      <c r="G558" s="6">
        <v>4</v>
      </c>
      <c r="H558" s="6" t="s">
        <v>26755</v>
      </c>
      <c r="I558" s="6">
        <v>529.125</v>
      </c>
      <c r="J558" s="2">
        <f t="shared" si="8"/>
        <v>43748.466608298608</v>
      </c>
    </row>
    <row r="559" spans="1:10" x14ac:dyDescent="0.25">
      <c r="A559" s="7" t="s">
        <v>26756</v>
      </c>
      <c r="B559" s="8">
        <v>403.125</v>
      </c>
      <c r="C559" s="8">
        <v>20.478950000000001</v>
      </c>
      <c r="D559" s="8">
        <v>59</v>
      </c>
      <c r="E559" s="8">
        <v>0</v>
      </c>
      <c r="F559" s="8">
        <v>0</v>
      </c>
      <c r="G559" s="8">
        <v>0</v>
      </c>
      <c r="H559" s="8" t="s">
        <v>26757</v>
      </c>
      <c r="I559" s="8">
        <v>529.125</v>
      </c>
      <c r="J559" s="3">
        <f t="shared" si="8"/>
        <v>43748.466691689813</v>
      </c>
    </row>
    <row r="560" spans="1:10" x14ac:dyDescent="0.25">
      <c r="A560" s="5" t="s">
        <v>26758</v>
      </c>
      <c r="B560" s="6">
        <v>403.125</v>
      </c>
      <c r="C560" s="6">
        <v>20.531590000000001</v>
      </c>
      <c r="D560" s="6">
        <v>59</v>
      </c>
      <c r="E560" s="6">
        <v>0</v>
      </c>
      <c r="F560" s="6">
        <v>0</v>
      </c>
      <c r="G560" s="6">
        <v>7</v>
      </c>
      <c r="H560" s="6" t="s">
        <v>26759</v>
      </c>
      <c r="I560" s="6">
        <v>529.125</v>
      </c>
      <c r="J560" s="2">
        <f t="shared" si="8"/>
        <v>43748.466786701385</v>
      </c>
    </row>
    <row r="561" spans="1:10" x14ac:dyDescent="0.25">
      <c r="A561" s="7" t="s">
        <v>26760</v>
      </c>
      <c r="B561" s="8">
        <v>403.125</v>
      </c>
      <c r="C561" s="8">
        <v>20.531590000000001</v>
      </c>
      <c r="D561" s="8">
        <v>59</v>
      </c>
      <c r="E561" s="8">
        <v>0</v>
      </c>
      <c r="F561" s="8">
        <v>0</v>
      </c>
      <c r="G561" s="8">
        <v>6</v>
      </c>
      <c r="H561" s="8" t="s">
        <v>26761</v>
      </c>
      <c r="I561" s="8">
        <v>529.125</v>
      </c>
      <c r="J561" s="3">
        <f t="shared" si="8"/>
        <v>43748.466858333333</v>
      </c>
    </row>
    <row r="562" spans="1:10" x14ac:dyDescent="0.25">
      <c r="A562" s="5" t="s">
        <v>26762</v>
      </c>
      <c r="B562" s="6">
        <v>403.125</v>
      </c>
      <c r="C562" s="6">
        <v>20.478950000000001</v>
      </c>
      <c r="D562" s="6">
        <v>59</v>
      </c>
      <c r="E562" s="6">
        <v>0</v>
      </c>
      <c r="F562" s="6">
        <v>0</v>
      </c>
      <c r="G562" s="6">
        <v>4</v>
      </c>
      <c r="H562" s="6" t="s">
        <v>26763</v>
      </c>
      <c r="I562" s="6">
        <v>529.875</v>
      </c>
      <c r="J562" s="2">
        <f t="shared" si="8"/>
        <v>43748.466941805549</v>
      </c>
    </row>
    <row r="563" spans="1:10" x14ac:dyDescent="0.25">
      <c r="A563" s="7" t="s">
        <v>26764</v>
      </c>
      <c r="B563" s="8">
        <v>403.125</v>
      </c>
      <c r="C563" s="8">
        <v>20.478950000000001</v>
      </c>
      <c r="D563" s="8">
        <v>59</v>
      </c>
      <c r="E563" s="8">
        <v>0</v>
      </c>
      <c r="F563" s="8">
        <v>0</v>
      </c>
      <c r="G563" s="8">
        <v>1</v>
      </c>
      <c r="H563" s="8" t="s">
        <v>26765</v>
      </c>
      <c r="I563" s="8">
        <v>529.875</v>
      </c>
      <c r="J563" s="3">
        <f t="shared" si="8"/>
        <v>43748.467013437497</v>
      </c>
    </row>
    <row r="564" spans="1:10" x14ac:dyDescent="0.25">
      <c r="A564" s="5" t="s">
        <v>26766</v>
      </c>
      <c r="B564" s="6">
        <v>403.125</v>
      </c>
      <c r="C564" s="6">
        <v>20.531590000000001</v>
      </c>
      <c r="D564" s="6">
        <v>59</v>
      </c>
      <c r="E564" s="6">
        <v>0</v>
      </c>
      <c r="F564" s="6">
        <v>0</v>
      </c>
      <c r="G564" s="6">
        <v>1</v>
      </c>
      <c r="H564" s="6" t="s">
        <v>26767</v>
      </c>
      <c r="I564" s="6">
        <v>529.875</v>
      </c>
      <c r="J564" s="2">
        <f t="shared" si="8"/>
        <v>43748.467097222216</v>
      </c>
    </row>
    <row r="565" spans="1:10" x14ac:dyDescent="0.25">
      <c r="A565" s="7" t="s">
        <v>26768</v>
      </c>
      <c r="B565" s="8">
        <v>421.875</v>
      </c>
      <c r="C565" s="8">
        <v>20.531590000000001</v>
      </c>
      <c r="D565" s="8">
        <v>57</v>
      </c>
      <c r="E565" s="8">
        <v>0</v>
      </c>
      <c r="F565" s="8">
        <v>0</v>
      </c>
      <c r="G565" s="8">
        <v>0</v>
      </c>
      <c r="H565" s="8" t="s">
        <v>26769</v>
      </c>
      <c r="I565" s="8">
        <v>535.5</v>
      </c>
      <c r="J565" s="3">
        <f t="shared" si="8"/>
        <v>43748.467180682863</v>
      </c>
    </row>
    <row r="566" spans="1:10" x14ac:dyDescent="0.25">
      <c r="A566" s="5" t="s">
        <v>26770</v>
      </c>
      <c r="B566" s="6">
        <v>400</v>
      </c>
      <c r="C566" s="6">
        <v>20.531590000000001</v>
      </c>
      <c r="D566" s="6">
        <v>58</v>
      </c>
      <c r="E566" s="6">
        <v>0</v>
      </c>
      <c r="F566" s="6">
        <v>0</v>
      </c>
      <c r="G566" s="6">
        <v>3</v>
      </c>
      <c r="H566" s="6" t="s">
        <v>26771</v>
      </c>
      <c r="I566" s="6">
        <v>528.9375</v>
      </c>
      <c r="J566" s="2">
        <f t="shared" si="8"/>
        <v>43748.467263900464</v>
      </c>
    </row>
    <row r="567" spans="1:10" x14ac:dyDescent="0.25">
      <c r="A567" s="7" t="s">
        <v>26772</v>
      </c>
      <c r="B567" s="8">
        <v>403.125</v>
      </c>
      <c r="C567" s="8">
        <v>20.478950000000001</v>
      </c>
      <c r="D567" s="8">
        <v>58</v>
      </c>
      <c r="E567" s="8">
        <v>0</v>
      </c>
      <c r="F567" s="8">
        <v>0</v>
      </c>
      <c r="G567" s="8">
        <v>2</v>
      </c>
      <c r="H567" s="8" t="s">
        <v>26773</v>
      </c>
      <c r="I567" s="8">
        <v>529.125</v>
      </c>
      <c r="J567" s="3">
        <f t="shared" si="8"/>
        <v>43748.467347569444</v>
      </c>
    </row>
    <row r="568" spans="1:10" x14ac:dyDescent="0.25">
      <c r="A568" s="5" t="s">
        <v>26774</v>
      </c>
      <c r="B568" s="6">
        <v>403.125</v>
      </c>
      <c r="C568" s="6">
        <v>20.584240000000001</v>
      </c>
      <c r="D568" s="6">
        <v>57</v>
      </c>
      <c r="E568" s="6">
        <v>0</v>
      </c>
      <c r="F568" s="6">
        <v>0</v>
      </c>
      <c r="G568" s="6">
        <v>0</v>
      </c>
      <c r="H568" s="6" t="s">
        <v>26775</v>
      </c>
      <c r="I568" s="6">
        <v>529.125</v>
      </c>
      <c r="J568" s="2">
        <f t="shared" si="8"/>
        <v>43748.467444803238</v>
      </c>
    </row>
    <row r="569" spans="1:10" x14ac:dyDescent="0.25">
      <c r="A569" s="7" t="s">
        <v>26776</v>
      </c>
      <c r="B569" s="8">
        <v>400</v>
      </c>
      <c r="C569" s="8">
        <v>20.584240000000001</v>
      </c>
      <c r="D569" s="8">
        <v>57</v>
      </c>
      <c r="E569" s="8">
        <v>0</v>
      </c>
      <c r="F569" s="8">
        <v>0</v>
      </c>
      <c r="G569" s="8">
        <v>0</v>
      </c>
      <c r="H569" s="8" t="s">
        <v>26777</v>
      </c>
      <c r="I569" s="8">
        <v>528.9375</v>
      </c>
      <c r="J569" s="3">
        <f t="shared" si="8"/>
        <v>43748.467538182864</v>
      </c>
    </row>
    <row r="570" spans="1:10" x14ac:dyDescent="0.25">
      <c r="A570" s="5" t="s">
        <v>26778</v>
      </c>
      <c r="B570" s="6">
        <v>403.125</v>
      </c>
      <c r="C570" s="6">
        <v>20.478950000000001</v>
      </c>
      <c r="D570" s="6">
        <v>57</v>
      </c>
      <c r="E570" s="6">
        <v>0</v>
      </c>
      <c r="F570" s="6">
        <v>0</v>
      </c>
      <c r="G570" s="6">
        <v>6</v>
      </c>
      <c r="H570" s="6" t="s">
        <v>26779</v>
      </c>
      <c r="I570" s="6">
        <v>529.125</v>
      </c>
      <c r="J570" s="2">
        <f t="shared" si="8"/>
        <v>43748.467609861109</v>
      </c>
    </row>
    <row r="571" spans="1:10" x14ac:dyDescent="0.25">
      <c r="A571" s="7" t="s">
        <v>26780</v>
      </c>
      <c r="B571" s="8">
        <v>403.125</v>
      </c>
      <c r="C571" s="8">
        <v>20.531590000000001</v>
      </c>
      <c r="D571" s="8">
        <v>57</v>
      </c>
      <c r="E571" s="8">
        <v>0</v>
      </c>
      <c r="F571" s="8">
        <v>0</v>
      </c>
      <c r="G571" s="8">
        <v>6</v>
      </c>
      <c r="H571" s="8" t="s">
        <v>26781</v>
      </c>
      <c r="I571" s="8">
        <v>529.125</v>
      </c>
      <c r="J571" s="3">
        <f t="shared" si="8"/>
        <v>43748.467693576385</v>
      </c>
    </row>
    <row r="572" spans="1:10" x14ac:dyDescent="0.25">
      <c r="A572" s="5" t="s">
        <v>26782</v>
      </c>
      <c r="B572" s="6">
        <v>403.125</v>
      </c>
      <c r="C572" s="6">
        <v>20.478950000000001</v>
      </c>
      <c r="D572" s="6">
        <v>57</v>
      </c>
      <c r="E572" s="6">
        <v>0</v>
      </c>
      <c r="F572" s="6">
        <v>0</v>
      </c>
      <c r="G572" s="6">
        <v>5</v>
      </c>
      <c r="H572" s="6" t="s">
        <v>26783</v>
      </c>
      <c r="I572" s="6">
        <v>529.125</v>
      </c>
      <c r="J572" s="2">
        <f t="shared" si="8"/>
        <v>43748.467764942128</v>
      </c>
    </row>
    <row r="573" spans="1:10" x14ac:dyDescent="0.25">
      <c r="A573" s="7" t="s">
        <v>26784</v>
      </c>
      <c r="B573" s="8">
        <v>403.125</v>
      </c>
      <c r="C573" s="8">
        <v>20.478950000000001</v>
      </c>
      <c r="D573" s="8">
        <v>58</v>
      </c>
      <c r="E573" s="8">
        <v>0</v>
      </c>
      <c r="F573" s="8">
        <v>0</v>
      </c>
      <c r="G573" s="8">
        <v>11</v>
      </c>
      <c r="H573" s="8" t="s">
        <v>26785</v>
      </c>
      <c r="I573" s="8">
        <v>529.3125</v>
      </c>
      <c r="J573" s="3">
        <f t="shared" si="8"/>
        <v>43748.467836585645</v>
      </c>
    </row>
    <row r="574" spans="1:10" x14ac:dyDescent="0.25">
      <c r="A574" s="5" t="s">
        <v>26786</v>
      </c>
      <c r="B574" s="6">
        <v>403.125</v>
      </c>
      <c r="C574" s="6">
        <v>20.478950000000001</v>
      </c>
      <c r="D574" s="6">
        <v>61</v>
      </c>
      <c r="E574" s="6">
        <v>0</v>
      </c>
      <c r="F574" s="6">
        <v>0</v>
      </c>
      <c r="G574" s="6">
        <v>6</v>
      </c>
      <c r="H574" s="6" t="s">
        <v>26787</v>
      </c>
      <c r="I574" s="6">
        <v>529.125</v>
      </c>
      <c r="J574" s="2">
        <f t="shared" si="8"/>
        <v>43748.467920266201</v>
      </c>
    </row>
    <row r="575" spans="1:10" x14ac:dyDescent="0.25">
      <c r="A575" s="7" t="s">
        <v>26788</v>
      </c>
      <c r="B575" s="8">
        <v>403.125</v>
      </c>
      <c r="C575" s="8">
        <v>20.531590000000001</v>
      </c>
      <c r="D575" s="8">
        <v>60</v>
      </c>
      <c r="E575" s="8">
        <v>0</v>
      </c>
      <c r="F575" s="8">
        <v>0</v>
      </c>
      <c r="G575" s="8">
        <v>2</v>
      </c>
      <c r="H575" s="8" t="s">
        <v>26789</v>
      </c>
      <c r="I575" s="8">
        <v>529.125</v>
      </c>
      <c r="J575" s="3">
        <f t="shared" si="8"/>
        <v>43748.467991550926</v>
      </c>
    </row>
    <row r="576" spans="1:10" x14ac:dyDescent="0.25">
      <c r="A576" s="5" t="s">
        <v>26790</v>
      </c>
      <c r="B576" s="6">
        <v>400</v>
      </c>
      <c r="C576" s="6">
        <v>20.478950000000001</v>
      </c>
      <c r="D576" s="6">
        <v>60</v>
      </c>
      <c r="E576" s="6">
        <v>0</v>
      </c>
      <c r="F576" s="6">
        <v>0</v>
      </c>
      <c r="G576" s="6">
        <v>6</v>
      </c>
      <c r="H576" s="6" t="s">
        <v>26791</v>
      </c>
      <c r="I576" s="6">
        <v>528.9375</v>
      </c>
      <c r="J576" s="2">
        <f t="shared" si="8"/>
        <v>43748.468074768512</v>
      </c>
    </row>
    <row r="577" spans="1:10" x14ac:dyDescent="0.25">
      <c r="A577" s="7" t="s">
        <v>26792</v>
      </c>
      <c r="B577" s="8">
        <v>403.125</v>
      </c>
      <c r="C577" s="8">
        <v>20.478950000000001</v>
      </c>
      <c r="D577" s="8">
        <v>61</v>
      </c>
      <c r="E577" s="8">
        <v>0</v>
      </c>
      <c r="F577" s="8">
        <v>0</v>
      </c>
      <c r="G577" s="8">
        <v>1</v>
      </c>
      <c r="H577" s="8" t="s">
        <v>26793</v>
      </c>
      <c r="I577" s="8">
        <v>529.125</v>
      </c>
      <c r="J577" s="3">
        <f t="shared" si="8"/>
        <v>43748.468158611104</v>
      </c>
    </row>
    <row r="578" spans="1:10" x14ac:dyDescent="0.25">
      <c r="A578" s="5" t="s">
        <v>26794</v>
      </c>
      <c r="B578" s="6">
        <v>403.125</v>
      </c>
      <c r="C578" s="6">
        <v>20.478950000000001</v>
      </c>
      <c r="D578" s="6">
        <v>60</v>
      </c>
      <c r="E578" s="6">
        <v>0</v>
      </c>
      <c r="F578" s="6">
        <v>0</v>
      </c>
      <c r="G578" s="6">
        <v>10</v>
      </c>
      <c r="H578" s="6" t="s">
        <v>26795</v>
      </c>
      <c r="I578" s="6">
        <v>529.125</v>
      </c>
      <c r="J578" s="2">
        <f t="shared" ref="J578:J641" si="9">(H578/86400000)+25569+(7/24)</f>
        <v>43748.468241666669</v>
      </c>
    </row>
    <row r="579" spans="1:10" x14ac:dyDescent="0.25">
      <c r="A579" s="7" t="s">
        <v>26796</v>
      </c>
      <c r="B579" s="8">
        <v>400</v>
      </c>
      <c r="C579" s="8">
        <v>20.531590000000001</v>
      </c>
      <c r="D579" s="8">
        <v>60</v>
      </c>
      <c r="E579" s="8">
        <v>0</v>
      </c>
      <c r="F579" s="8">
        <v>0</v>
      </c>
      <c r="G579" s="8">
        <v>0</v>
      </c>
      <c r="H579" s="8" t="s">
        <v>26797</v>
      </c>
      <c r="I579" s="8">
        <v>528.9375</v>
      </c>
      <c r="J579" s="3">
        <f t="shared" si="9"/>
        <v>43748.468313530095</v>
      </c>
    </row>
    <row r="580" spans="1:10" x14ac:dyDescent="0.25">
      <c r="A580" s="5" t="s">
        <v>26798</v>
      </c>
      <c r="B580" s="6">
        <v>403.125</v>
      </c>
      <c r="C580" s="6">
        <v>20.531590000000001</v>
      </c>
      <c r="D580" s="6">
        <v>58</v>
      </c>
      <c r="E580" s="6">
        <v>0</v>
      </c>
      <c r="F580" s="6">
        <v>0</v>
      </c>
      <c r="G580" s="6">
        <v>2</v>
      </c>
      <c r="H580" s="6" t="s">
        <v>26799</v>
      </c>
      <c r="I580" s="6">
        <v>529.125</v>
      </c>
      <c r="J580" s="2">
        <f t="shared" si="9"/>
        <v>43748.468397013887</v>
      </c>
    </row>
    <row r="581" spans="1:10" x14ac:dyDescent="0.25">
      <c r="A581" s="7" t="s">
        <v>26800</v>
      </c>
      <c r="B581" s="8">
        <v>403.125</v>
      </c>
      <c r="C581" s="8">
        <v>20.478950000000001</v>
      </c>
      <c r="D581" s="8">
        <v>60</v>
      </c>
      <c r="E581" s="8">
        <v>0</v>
      </c>
      <c r="F581" s="8">
        <v>0</v>
      </c>
      <c r="G581" s="8">
        <v>6</v>
      </c>
      <c r="H581" s="8" t="s">
        <v>26801</v>
      </c>
      <c r="I581" s="8">
        <v>529.125</v>
      </c>
      <c r="J581" s="3">
        <f t="shared" si="9"/>
        <v>43748.468480694442</v>
      </c>
    </row>
    <row r="582" spans="1:10" x14ac:dyDescent="0.25">
      <c r="A582" s="5" t="s">
        <v>26802</v>
      </c>
      <c r="B582" s="6">
        <v>403.125</v>
      </c>
      <c r="C582" s="6">
        <v>20.478950000000001</v>
      </c>
      <c r="D582" s="6">
        <v>59</v>
      </c>
      <c r="E582" s="6">
        <v>0</v>
      </c>
      <c r="F582" s="6">
        <v>0</v>
      </c>
      <c r="G582" s="6">
        <v>0</v>
      </c>
      <c r="H582" s="6" t="s">
        <v>26803</v>
      </c>
      <c r="I582" s="6">
        <v>529.125</v>
      </c>
      <c r="J582" s="2">
        <f t="shared" si="9"/>
        <v>43748.468552094906</v>
      </c>
    </row>
    <row r="583" spans="1:10" x14ac:dyDescent="0.25">
      <c r="A583" s="7" t="s">
        <v>26804</v>
      </c>
      <c r="B583" s="8">
        <v>418.75</v>
      </c>
      <c r="C583" s="8">
        <v>20.531590000000001</v>
      </c>
      <c r="D583" s="8">
        <v>59</v>
      </c>
      <c r="E583" s="8">
        <v>0</v>
      </c>
      <c r="F583" s="8">
        <v>0</v>
      </c>
      <c r="G583" s="8">
        <v>4</v>
      </c>
      <c r="H583" s="8" t="s">
        <v>26805</v>
      </c>
      <c r="I583" s="8">
        <v>534.9375</v>
      </c>
      <c r="J583" s="3">
        <f t="shared" si="9"/>
        <v>43748.468635555553</v>
      </c>
    </row>
    <row r="584" spans="1:10" x14ac:dyDescent="0.25">
      <c r="A584" s="5" t="s">
        <v>26806</v>
      </c>
      <c r="B584" s="6">
        <v>400</v>
      </c>
      <c r="C584" s="6">
        <v>20.531590000000001</v>
      </c>
      <c r="D584" s="6">
        <v>59</v>
      </c>
      <c r="E584" s="6">
        <v>0</v>
      </c>
      <c r="F584" s="6">
        <v>0</v>
      </c>
      <c r="G584" s="6">
        <v>7</v>
      </c>
      <c r="H584" s="6" t="s">
        <v>26807</v>
      </c>
      <c r="I584" s="6">
        <v>528.1875</v>
      </c>
      <c r="J584" s="2">
        <f t="shared" si="9"/>
        <v>43748.468718981479</v>
      </c>
    </row>
    <row r="585" spans="1:10" x14ac:dyDescent="0.25">
      <c r="A585" s="7" t="s">
        <v>26808</v>
      </c>
      <c r="B585" s="8">
        <v>400</v>
      </c>
      <c r="C585" s="8">
        <v>20.478950000000001</v>
      </c>
      <c r="D585" s="8">
        <v>60</v>
      </c>
      <c r="E585" s="8">
        <v>0</v>
      </c>
      <c r="F585" s="8">
        <v>0</v>
      </c>
      <c r="G585" s="8">
        <v>12</v>
      </c>
      <c r="H585" s="8" t="s">
        <v>26809</v>
      </c>
      <c r="I585" s="8">
        <v>528.1875</v>
      </c>
      <c r="J585" s="3">
        <f t="shared" si="9"/>
        <v>43748.468802557873</v>
      </c>
    </row>
    <row r="586" spans="1:10" x14ac:dyDescent="0.25">
      <c r="A586" s="5" t="s">
        <v>26810</v>
      </c>
      <c r="B586" s="6">
        <v>396.875</v>
      </c>
      <c r="C586" s="6">
        <v>20.478950000000001</v>
      </c>
      <c r="D586" s="6">
        <v>60</v>
      </c>
      <c r="E586" s="6">
        <v>0</v>
      </c>
      <c r="F586" s="6">
        <v>0</v>
      </c>
      <c r="G586" s="6">
        <v>5</v>
      </c>
      <c r="H586" s="6" t="s">
        <v>26811</v>
      </c>
      <c r="I586" s="6">
        <v>527.4375</v>
      </c>
      <c r="J586" s="2">
        <f t="shared" si="9"/>
        <v>43748.468886134258</v>
      </c>
    </row>
    <row r="587" spans="1:10" x14ac:dyDescent="0.25">
      <c r="A587" s="7" t="s">
        <v>26812</v>
      </c>
      <c r="B587" s="8">
        <v>396.875</v>
      </c>
      <c r="C587" s="8">
        <v>20.478950000000001</v>
      </c>
      <c r="D587" s="8">
        <v>60</v>
      </c>
      <c r="E587" s="8">
        <v>0</v>
      </c>
      <c r="F587" s="8">
        <v>0</v>
      </c>
      <c r="G587" s="8">
        <v>3</v>
      </c>
      <c r="H587" s="8" t="s">
        <v>26813</v>
      </c>
      <c r="I587" s="8">
        <v>527.4375</v>
      </c>
      <c r="J587" s="3">
        <f t="shared" si="9"/>
        <v>43748.468969467591</v>
      </c>
    </row>
    <row r="588" spans="1:10" x14ac:dyDescent="0.25">
      <c r="A588" s="5" t="s">
        <v>26814</v>
      </c>
      <c r="B588" s="6">
        <v>396.875</v>
      </c>
      <c r="C588" s="6">
        <v>20.478950000000001</v>
      </c>
      <c r="D588" s="6">
        <v>57</v>
      </c>
      <c r="E588" s="6">
        <v>0</v>
      </c>
      <c r="F588" s="6">
        <v>0</v>
      </c>
      <c r="G588" s="6">
        <v>6</v>
      </c>
      <c r="H588" s="6" t="s">
        <v>26815</v>
      </c>
      <c r="I588" s="6">
        <v>527.625</v>
      </c>
      <c r="J588" s="2">
        <f t="shared" si="9"/>
        <v>43748.469052789347</v>
      </c>
    </row>
    <row r="589" spans="1:10" x14ac:dyDescent="0.25">
      <c r="A589" s="7" t="s">
        <v>26816</v>
      </c>
      <c r="B589" s="8">
        <v>400</v>
      </c>
      <c r="C589" s="8">
        <v>20.478950000000001</v>
      </c>
      <c r="D589" s="8">
        <v>57</v>
      </c>
      <c r="E589" s="8">
        <v>0</v>
      </c>
      <c r="F589" s="8">
        <v>0</v>
      </c>
      <c r="G589" s="8">
        <v>9</v>
      </c>
      <c r="H589" s="8" t="s">
        <v>26817</v>
      </c>
      <c r="I589" s="8">
        <v>528.375</v>
      </c>
      <c r="J589" s="3">
        <f t="shared" si="9"/>
        <v>43748.46912454861</v>
      </c>
    </row>
    <row r="590" spans="1:10" x14ac:dyDescent="0.25">
      <c r="A590" s="5" t="s">
        <v>26818</v>
      </c>
      <c r="B590" s="6">
        <v>400</v>
      </c>
      <c r="C590" s="6">
        <v>20.478950000000001</v>
      </c>
      <c r="D590" s="6">
        <v>58</v>
      </c>
      <c r="E590" s="6">
        <v>0</v>
      </c>
      <c r="F590" s="6">
        <v>0</v>
      </c>
      <c r="G590" s="6">
        <v>0</v>
      </c>
      <c r="H590" s="6" t="s">
        <v>26819</v>
      </c>
      <c r="I590" s="6">
        <v>528.375</v>
      </c>
      <c r="J590" s="2">
        <f t="shared" si="9"/>
        <v>43748.469207997681</v>
      </c>
    </row>
    <row r="591" spans="1:10" x14ac:dyDescent="0.25">
      <c r="A591" s="7" t="s">
        <v>26820</v>
      </c>
      <c r="B591" s="8">
        <v>400</v>
      </c>
      <c r="C591" s="8">
        <v>20.478950000000001</v>
      </c>
      <c r="D591" s="8">
        <v>58</v>
      </c>
      <c r="E591" s="8">
        <v>0</v>
      </c>
      <c r="F591" s="8">
        <v>0</v>
      </c>
      <c r="G591" s="8">
        <v>6</v>
      </c>
      <c r="H591" s="8" t="s">
        <v>26821</v>
      </c>
      <c r="I591" s="8">
        <v>528.1875</v>
      </c>
      <c r="J591" s="3">
        <f t="shared" si="9"/>
        <v>43748.469291574067</v>
      </c>
    </row>
    <row r="592" spans="1:10" x14ac:dyDescent="0.25">
      <c r="A592" s="5" t="s">
        <v>26822</v>
      </c>
      <c r="B592" s="6">
        <v>400</v>
      </c>
      <c r="C592" s="6">
        <v>20.531590000000001</v>
      </c>
      <c r="D592" s="6">
        <v>58</v>
      </c>
      <c r="E592" s="6">
        <v>0</v>
      </c>
      <c r="F592" s="6">
        <v>0</v>
      </c>
      <c r="G592" s="6">
        <v>12</v>
      </c>
      <c r="H592" s="6" t="s">
        <v>26823</v>
      </c>
      <c r="I592" s="6">
        <v>528.1875</v>
      </c>
      <c r="J592" s="2">
        <f t="shared" si="9"/>
        <v>43748.46937515046</v>
      </c>
    </row>
    <row r="593" spans="1:10" x14ac:dyDescent="0.25">
      <c r="A593" s="7" t="s">
        <v>26824</v>
      </c>
      <c r="B593" s="8">
        <v>400</v>
      </c>
      <c r="C593" s="8">
        <v>20.478950000000001</v>
      </c>
      <c r="D593" s="8">
        <v>60</v>
      </c>
      <c r="E593" s="8">
        <v>0</v>
      </c>
      <c r="F593" s="8">
        <v>0</v>
      </c>
      <c r="G593" s="8">
        <v>6</v>
      </c>
      <c r="H593" s="8" t="s">
        <v>26825</v>
      </c>
      <c r="I593" s="8">
        <v>528.375</v>
      </c>
      <c r="J593" s="3">
        <f t="shared" si="9"/>
        <v>43748.46945846064</v>
      </c>
    </row>
    <row r="594" spans="1:10" x14ac:dyDescent="0.25">
      <c r="A594" s="5" t="s">
        <v>26826</v>
      </c>
      <c r="B594" s="6">
        <v>396.875</v>
      </c>
      <c r="C594" s="6">
        <v>20.478950000000001</v>
      </c>
      <c r="D594" s="6">
        <v>59</v>
      </c>
      <c r="E594" s="6">
        <v>0</v>
      </c>
      <c r="F594" s="6">
        <v>0</v>
      </c>
      <c r="G594" s="6">
        <v>0</v>
      </c>
      <c r="H594" s="6" t="s">
        <v>26827</v>
      </c>
      <c r="I594" s="6">
        <v>527.4375</v>
      </c>
      <c r="J594" s="2">
        <f t="shared" si="9"/>
        <v>43748.46954168981</v>
      </c>
    </row>
    <row r="595" spans="1:10" x14ac:dyDescent="0.25">
      <c r="A595" s="7" t="s">
        <v>26828</v>
      </c>
      <c r="B595" s="8">
        <v>415.625</v>
      </c>
      <c r="C595" s="8">
        <v>20.531590000000001</v>
      </c>
      <c r="D595" s="8">
        <v>58</v>
      </c>
      <c r="E595" s="8">
        <v>0</v>
      </c>
      <c r="F595" s="8">
        <v>0</v>
      </c>
      <c r="G595" s="8">
        <v>5</v>
      </c>
      <c r="H595" s="8" t="s">
        <v>26829</v>
      </c>
      <c r="I595" s="8">
        <v>533.0625</v>
      </c>
      <c r="J595" s="3">
        <f t="shared" si="9"/>
        <v>43748.469625474536</v>
      </c>
    </row>
    <row r="596" spans="1:10" x14ac:dyDescent="0.25">
      <c r="A596" s="5" t="s">
        <v>26830</v>
      </c>
      <c r="B596" s="6">
        <v>393.75</v>
      </c>
      <c r="C596" s="6">
        <v>20.478950000000001</v>
      </c>
      <c r="D596" s="6">
        <v>58</v>
      </c>
      <c r="E596" s="6">
        <v>0</v>
      </c>
      <c r="F596" s="6">
        <v>0</v>
      </c>
      <c r="G596" s="6">
        <v>4</v>
      </c>
      <c r="H596" s="6" t="s">
        <v>26831</v>
      </c>
      <c r="I596" s="6">
        <v>526.6875</v>
      </c>
      <c r="J596" s="2">
        <f t="shared" si="9"/>
        <v>43748.469709178236</v>
      </c>
    </row>
    <row r="597" spans="1:10" x14ac:dyDescent="0.25">
      <c r="A597" s="7" t="s">
        <v>26832</v>
      </c>
      <c r="B597" s="8">
        <v>393.75</v>
      </c>
      <c r="C597" s="8">
        <v>20.531590000000001</v>
      </c>
      <c r="D597" s="8">
        <v>58</v>
      </c>
      <c r="E597" s="8">
        <v>0</v>
      </c>
      <c r="F597" s="8">
        <v>0</v>
      </c>
      <c r="G597" s="8">
        <v>3</v>
      </c>
      <c r="H597" s="8" t="s">
        <v>26833</v>
      </c>
      <c r="I597" s="8">
        <v>526.6875</v>
      </c>
      <c r="J597" s="3">
        <f t="shared" si="9"/>
        <v>43748.469780567124</v>
      </c>
    </row>
    <row r="598" spans="1:10" x14ac:dyDescent="0.25">
      <c r="A598" s="5" t="s">
        <v>26834</v>
      </c>
      <c r="B598" s="6">
        <v>393.75</v>
      </c>
      <c r="C598" s="6">
        <v>20.531590000000001</v>
      </c>
      <c r="D598" s="6">
        <v>58</v>
      </c>
      <c r="E598" s="6">
        <v>0</v>
      </c>
      <c r="F598" s="6">
        <v>0</v>
      </c>
      <c r="G598" s="6">
        <v>9</v>
      </c>
      <c r="H598" s="6" t="s">
        <v>26835</v>
      </c>
      <c r="I598" s="6">
        <v>526.6875</v>
      </c>
      <c r="J598" s="2">
        <f t="shared" si="9"/>
        <v>43748.469864016202</v>
      </c>
    </row>
    <row r="599" spans="1:10" x14ac:dyDescent="0.25">
      <c r="A599" s="7" t="s">
        <v>26836</v>
      </c>
      <c r="B599" s="8">
        <v>393.75</v>
      </c>
      <c r="C599" s="8">
        <v>20.531590000000001</v>
      </c>
      <c r="D599" s="8">
        <v>57</v>
      </c>
      <c r="E599" s="8">
        <v>0</v>
      </c>
      <c r="F599" s="8">
        <v>0</v>
      </c>
      <c r="G599" s="8">
        <v>11</v>
      </c>
      <c r="H599" s="8" t="s">
        <v>26837</v>
      </c>
      <c r="I599" s="8">
        <v>526.6875</v>
      </c>
      <c r="J599" s="3">
        <f t="shared" si="9"/>
        <v>43748.469947453697</v>
      </c>
    </row>
    <row r="600" spans="1:10" x14ac:dyDescent="0.25">
      <c r="A600" s="5" t="s">
        <v>26838</v>
      </c>
      <c r="B600" s="6">
        <v>412.5</v>
      </c>
      <c r="C600" s="6">
        <v>20.478950000000001</v>
      </c>
      <c r="D600" s="6">
        <v>57</v>
      </c>
      <c r="E600" s="6">
        <v>0</v>
      </c>
      <c r="F600" s="6">
        <v>0</v>
      </c>
      <c r="G600" s="6">
        <v>7</v>
      </c>
      <c r="H600" s="6" t="s">
        <v>26839</v>
      </c>
      <c r="I600" s="6">
        <v>532.5</v>
      </c>
      <c r="J600" s="2">
        <f t="shared" si="9"/>
        <v>43748.470030671298</v>
      </c>
    </row>
    <row r="601" spans="1:10" x14ac:dyDescent="0.25">
      <c r="A601" s="7" t="s">
        <v>26840</v>
      </c>
      <c r="B601" s="8">
        <v>393.75</v>
      </c>
      <c r="C601" s="8">
        <v>20.531590000000001</v>
      </c>
      <c r="D601" s="8">
        <v>57</v>
      </c>
      <c r="E601" s="8">
        <v>0</v>
      </c>
      <c r="F601" s="8">
        <v>0</v>
      </c>
      <c r="G601" s="8">
        <v>12</v>
      </c>
      <c r="H601" s="8" t="s">
        <v>26841</v>
      </c>
      <c r="I601" s="8">
        <v>526.6875</v>
      </c>
      <c r="J601" s="3">
        <f t="shared" si="9"/>
        <v>43748.470102546293</v>
      </c>
    </row>
    <row r="602" spans="1:10" x14ac:dyDescent="0.25">
      <c r="A602" s="5" t="s">
        <v>26842</v>
      </c>
      <c r="B602" s="6">
        <v>393.75</v>
      </c>
      <c r="C602" s="6">
        <v>20.478950000000001</v>
      </c>
      <c r="D602" s="6">
        <v>59</v>
      </c>
      <c r="E602" s="6">
        <v>0</v>
      </c>
      <c r="F602" s="6">
        <v>0</v>
      </c>
      <c r="G602" s="6">
        <v>6</v>
      </c>
      <c r="H602" s="6" t="s">
        <v>26843</v>
      </c>
      <c r="I602" s="6">
        <v>526.6875</v>
      </c>
      <c r="J602" s="2">
        <f t="shared" si="9"/>
        <v>43748.470199999996</v>
      </c>
    </row>
    <row r="603" spans="1:10" x14ac:dyDescent="0.25">
      <c r="A603" s="7" t="s">
        <v>26844</v>
      </c>
      <c r="B603" s="8">
        <v>393.75</v>
      </c>
      <c r="C603" s="8">
        <v>20.584240000000001</v>
      </c>
      <c r="D603" s="8">
        <v>59</v>
      </c>
      <c r="E603" s="8">
        <v>0</v>
      </c>
      <c r="F603" s="8">
        <v>0</v>
      </c>
      <c r="G603" s="8">
        <v>0</v>
      </c>
      <c r="H603" s="8" t="s">
        <v>26845</v>
      </c>
      <c r="I603" s="8">
        <v>526.6875</v>
      </c>
      <c r="J603" s="3">
        <f t="shared" si="9"/>
        <v>43748.470281365742</v>
      </c>
    </row>
    <row r="604" spans="1:10" x14ac:dyDescent="0.25">
      <c r="A604" s="5" t="s">
        <v>26846</v>
      </c>
      <c r="B604" s="6">
        <v>393.75</v>
      </c>
      <c r="C604" s="6">
        <v>20.478950000000001</v>
      </c>
      <c r="D604" s="6">
        <v>57</v>
      </c>
      <c r="E604" s="6">
        <v>0</v>
      </c>
      <c r="F604" s="6">
        <v>0</v>
      </c>
      <c r="G604" s="6">
        <v>5</v>
      </c>
      <c r="H604" s="6" t="s">
        <v>26847</v>
      </c>
      <c r="I604" s="6">
        <v>526.6875</v>
      </c>
      <c r="J604" s="2">
        <f t="shared" si="9"/>
        <v>43748.470364953704</v>
      </c>
    </row>
    <row r="605" spans="1:10" x14ac:dyDescent="0.25">
      <c r="A605" s="7" t="s">
        <v>26848</v>
      </c>
      <c r="B605" s="8">
        <v>393.75</v>
      </c>
      <c r="C605" s="8">
        <v>20.531590000000001</v>
      </c>
      <c r="D605" s="8">
        <v>57</v>
      </c>
      <c r="E605" s="8">
        <v>0</v>
      </c>
      <c r="F605" s="8">
        <v>0</v>
      </c>
      <c r="G605" s="8">
        <v>5</v>
      </c>
      <c r="H605" s="8" t="s">
        <v>26849</v>
      </c>
      <c r="I605" s="8">
        <v>526.6875</v>
      </c>
      <c r="J605" s="3">
        <f t="shared" si="9"/>
        <v>43748.470436469906</v>
      </c>
    </row>
    <row r="606" spans="1:10" x14ac:dyDescent="0.25">
      <c r="A606" s="5" t="s">
        <v>26850</v>
      </c>
      <c r="B606" s="6">
        <v>393.75</v>
      </c>
      <c r="C606" s="6">
        <v>20.478950000000001</v>
      </c>
      <c r="D606" s="6">
        <v>57</v>
      </c>
      <c r="E606" s="6">
        <v>0</v>
      </c>
      <c r="F606" s="6">
        <v>0</v>
      </c>
      <c r="G606" s="6">
        <v>6</v>
      </c>
      <c r="H606" s="6" t="s">
        <v>26851</v>
      </c>
      <c r="I606" s="6">
        <v>526.6875</v>
      </c>
      <c r="J606" s="2">
        <f t="shared" si="9"/>
        <v>43748.470508009261</v>
      </c>
    </row>
    <row r="607" spans="1:10" x14ac:dyDescent="0.25">
      <c r="A607" s="7" t="s">
        <v>26852</v>
      </c>
      <c r="B607" s="8">
        <v>393.75</v>
      </c>
      <c r="C607" s="8">
        <v>20.531590000000001</v>
      </c>
      <c r="D607" s="8">
        <v>58</v>
      </c>
      <c r="E607" s="8">
        <v>0</v>
      </c>
      <c r="F607" s="8">
        <v>0</v>
      </c>
      <c r="G607" s="8">
        <v>0</v>
      </c>
      <c r="H607" s="8" t="s">
        <v>26853</v>
      </c>
      <c r="I607" s="8">
        <v>526.6875</v>
      </c>
      <c r="J607" s="3">
        <f t="shared" si="9"/>
        <v>43748.470591435187</v>
      </c>
    </row>
    <row r="608" spans="1:10" x14ac:dyDescent="0.25">
      <c r="A608" s="5" t="s">
        <v>26854</v>
      </c>
      <c r="B608" s="6">
        <v>393.75</v>
      </c>
      <c r="C608" s="6">
        <v>20.531590000000001</v>
      </c>
      <c r="D608" s="6">
        <v>59</v>
      </c>
      <c r="E608" s="6">
        <v>0</v>
      </c>
      <c r="F608" s="6">
        <v>0</v>
      </c>
      <c r="G608" s="6">
        <v>2</v>
      </c>
      <c r="H608" s="6" t="s">
        <v>26855</v>
      </c>
      <c r="I608" s="6">
        <v>526.6875</v>
      </c>
      <c r="J608" s="2">
        <f t="shared" si="9"/>
        <v>43748.470674999997</v>
      </c>
    </row>
    <row r="609" spans="1:10" x14ac:dyDescent="0.25">
      <c r="A609" s="7" t="s">
        <v>26856</v>
      </c>
      <c r="B609" s="8">
        <v>393.75</v>
      </c>
      <c r="C609" s="8">
        <v>20.478950000000001</v>
      </c>
      <c r="D609" s="8">
        <v>58</v>
      </c>
      <c r="E609" s="8">
        <v>0</v>
      </c>
      <c r="F609" s="8">
        <v>0</v>
      </c>
      <c r="G609" s="8">
        <v>4</v>
      </c>
      <c r="H609" s="8" t="s">
        <v>26857</v>
      </c>
      <c r="I609" s="8">
        <v>526.6875</v>
      </c>
      <c r="J609" s="3">
        <f t="shared" si="9"/>
        <v>43748.470758449075</v>
      </c>
    </row>
    <row r="610" spans="1:10" x14ac:dyDescent="0.25">
      <c r="A610" s="5" t="s">
        <v>26858</v>
      </c>
      <c r="B610" s="6">
        <v>393.75</v>
      </c>
      <c r="C610" s="6">
        <v>20.531590000000001</v>
      </c>
      <c r="D610" s="6">
        <v>58</v>
      </c>
      <c r="E610" s="6">
        <v>0</v>
      </c>
      <c r="F610" s="6">
        <v>0</v>
      </c>
      <c r="G610" s="6">
        <v>7</v>
      </c>
      <c r="H610" s="6" t="s">
        <v>26859</v>
      </c>
      <c r="I610" s="6">
        <v>526.6875</v>
      </c>
      <c r="J610" s="2">
        <f t="shared" si="9"/>
        <v>43748.470841666662</v>
      </c>
    </row>
    <row r="611" spans="1:10" x14ac:dyDescent="0.25">
      <c r="A611" s="7" t="s">
        <v>26860</v>
      </c>
      <c r="B611" s="8">
        <v>393.75</v>
      </c>
      <c r="C611" s="8">
        <v>20.531590000000001</v>
      </c>
      <c r="D611" s="8">
        <v>58</v>
      </c>
      <c r="E611" s="8">
        <v>0</v>
      </c>
      <c r="F611" s="8">
        <v>0</v>
      </c>
      <c r="G611" s="8">
        <v>4</v>
      </c>
      <c r="H611" s="8" t="s">
        <v>26861</v>
      </c>
      <c r="I611" s="8">
        <v>526.6875</v>
      </c>
      <c r="J611" s="3">
        <f t="shared" si="9"/>
        <v>43748.470913460646</v>
      </c>
    </row>
    <row r="612" spans="1:10" x14ac:dyDescent="0.25">
      <c r="A612" s="5" t="s">
        <v>26862</v>
      </c>
      <c r="B612" s="6">
        <v>393.75</v>
      </c>
      <c r="C612" s="6">
        <v>20.478950000000001</v>
      </c>
      <c r="D612" s="6">
        <v>59</v>
      </c>
      <c r="E612" s="6">
        <v>0</v>
      </c>
      <c r="F612" s="6">
        <v>0</v>
      </c>
      <c r="G612" s="6">
        <v>3</v>
      </c>
      <c r="H612" s="6" t="s">
        <v>26863</v>
      </c>
      <c r="I612" s="6">
        <v>526.6875</v>
      </c>
      <c r="J612" s="2">
        <f t="shared" si="9"/>
        <v>43748.470997129632</v>
      </c>
    </row>
    <row r="613" spans="1:10" x14ac:dyDescent="0.25">
      <c r="A613" s="7" t="s">
        <v>26864</v>
      </c>
      <c r="B613" s="8">
        <v>393.75</v>
      </c>
      <c r="C613" s="8">
        <v>20.531590000000001</v>
      </c>
      <c r="D613" s="8">
        <v>60</v>
      </c>
      <c r="E613" s="8">
        <v>0</v>
      </c>
      <c r="F613" s="8">
        <v>0</v>
      </c>
      <c r="G613" s="8">
        <v>4</v>
      </c>
      <c r="H613" s="8" t="s">
        <v>26865</v>
      </c>
      <c r="I613" s="8">
        <v>526.6875</v>
      </c>
      <c r="J613" s="3">
        <f t="shared" si="9"/>
        <v>43748.471080451382</v>
      </c>
    </row>
    <row r="614" spans="1:10" x14ac:dyDescent="0.25">
      <c r="A614" s="5" t="s">
        <v>26866</v>
      </c>
      <c r="B614" s="6">
        <v>393.75</v>
      </c>
      <c r="C614" s="6">
        <v>20.478950000000001</v>
      </c>
      <c r="D614" s="6">
        <v>57</v>
      </c>
      <c r="E614" s="6">
        <v>0</v>
      </c>
      <c r="F614" s="6">
        <v>0</v>
      </c>
      <c r="G614" s="6">
        <v>2</v>
      </c>
      <c r="H614" s="6" t="s">
        <v>26867</v>
      </c>
      <c r="I614" s="6">
        <v>526.6875</v>
      </c>
      <c r="J614" s="2">
        <f t="shared" si="9"/>
        <v>43748.471164016206</v>
      </c>
    </row>
    <row r="615" spans="1:10" x14ac:dyDescent="0.25">
      <c r="A615" s="7" t="s">
        <v>26868</v>
      </c>
      <c r="B615" s="8">
        <v>393.75</v>
      </c>
      <c r="C615" s="8">
        <v>20.478950000000001</v>
      </c>
      <c r="D615" s="8">
        <v>57</v>
      </c>
      <c r="E615" s="8">
        <v>0</v>
      </c>
      <c r="F615" s="8">
        <v>0</v>
      </c>
      <c r="G615" s="8">
        <v>2</v>
      </c>
      <c r="H615" s="8" t="s">
        <v>26869</v>
      </c>
      <c r="I615" s="8">
        <v>526.6875</v>
      </c>
      <c r="J615" s="3">
        <f t="shared" si="9"/>
        <v>43748.471247361107</v>
      </c>
    </row>
    <row r="616" spans="1:10" x14ac:dyDescent="0.25">
      <c r="A616" s="5" t="s">
        <v>26870</v>
      </c>
      <c r="B616" s="6">
        <v>393.75</v>
      </c>
      <c r="C616" s="6">
        <v>20.478950000000001</v>
      </c>
      <c r="D616" s="6">
        <v>57</v>
      </c>
      <c r="E616" s="6">
        <v>0</v>
      </c>
      <c r="F616" s="6">
        <v>0</v>
      </c>
      <c r="G616" s="6">
        <v>0</v>
      </c>
      <c r="H616" s="6" t="s">
        <v>26871</v>
      </c>
      <c r="I616" s="6">
        <v>526.6875</v>
      </c>
      <c r="J616" s="2">
        <f t="shared" si="9"/>
        <v>43748.471330567125</v>
      </c>
    </row>
    <row r="617" spans="1:10" x14ac:dyDescent="0.25">
      <c r="A617" s="7" t="s">
        <v>26872</v>
      </c>
      <c r="B617" s="8">
        <v>393.75</v>
      </c>
      <c r="C617" s="8">
        <v>20.531590000000001</v>
      </c>
      <c r="D617" s="8">
        <v>57</v>
      </c>
      <c r="E617" s="8">
        <v>0</v>
      </c>
      <c r="F617" s="8">
        <v>0</v>
      </c>
      <c r="G617" s="8">
        <v>5</v>
      </c>
      <c r="H617" s="8" t="s">
        <v>26873</v>
      </c>
      <c r="I617" s="8">
        <v>526.6875</v>
      </c>
      <c r="J617" s="3">
        <f t="shared" si="9"/>
        <v>43748.471402314812</v>
      </c>
    </row>
    <row r="618" spans="1:10" x14ac:dyDescent="0.25">
      <c r="A618" s="5" t="s">
        <v>26874</v>
      </c>
      <c r="B618" s="6">
        <v>412.5</v>
      </c>
      <c r="C618" s="6">
        <v>20.478950000000001</v>
      </c>
      <c r="D618" s="6">
        <v>57</v>
      </c>
      <c r="E618" s="6">
        <v>0</v>
      </c>
      <c r="F618" s="6">
        <v>0</v>
      </c>
      <c r="G618" s="6">
        <v>0</v>
      </c>
      <c r="H618" s="6" t="s">
        <v>26875</v>
      </c>
      <c r="I618" s="6">
        <v>532.3125</v>
      </c>
      <c r="J618" s="2">
        <f t="shared" si="9"/>
        <v>43748.471485891198</v>
      </c>
    </row>
    <row r="619" spans="1:10" x14ac:dyDescent="0.25">
      <c r="A619" s="7" t="s">
        <v>26876</v>
      </c>
      <c r="B619" s="8">
        <v>393.75</v>
      </c>
      <c r="C619" s="8">
        <v>20.531590000000001</v>
      </c>
      <c r="D619" s="8">
        <v>57</v>
      </c>
      <c r="E619" s="8">
        <v>0</v>
      </c>
      <c r="F619" s="8">
        <v>0</v>
      </c>
      <c r="G619" s="8">
        <v>0</v>
      </c>
      <c r="H619" s="8" t="s">
        <v>26877</v>
      </c>
      <c r="I619" s="8">
        <v>526.6875</v>
      </c>
      <c r="J619" s="3">
        <f t="shared" si="9"/>
        <v>43748.471569421294</v>
      </c>
    </row>
    <row r="620" spans="1:10" x14ac:dyDescent="0.25">
      <c r="A620" s="5" t="s">
        <v>26878</v>
      </c>
      <c r="B620" s="6">
        <v>393.75</v>
      </c>
      <c r="C620" s="6">
        <v>20.531590000000001</v>
      </c>
      <c r="D620" s="6">
        <v>58</v>
      </c>
      <c r="E620" s="6">
        <v>0</v>
      </c>
      <c r="F620" s="6">
        <v>0</v>
      </c>
      <c r="G620" s="6">
        <v>4</v>
      </c>
      <c r="H620" s="6" t="s">
        <v>26879</v>
      </c>
      <c r="I620" s="6">
        <v>526.6875</v>
      </c>
      <c r="J620" s="2">
        <f t="shared" si="9"/>
        <v>43748.471652800923</v>
      </c>
    </row>
    <row r="621" spans="1:10" x14ac:dyDescent="0.25">
      <c r="A621" s="7" t="s">
        <v>26880</v>
      </c>
      <c r="B621" s="8">
        <v>393.75</v>
      </c>
      <c r="C621" s="8">
        <v>20.531590000000001</v>
      </c>
      <c r="D621" s="8">
        <v>57</v>
      </c>
      <c r="E621" s="8">
        <v>0</v>
      </c>
      <c r="F621" s="8">
        <v>0</v>
      </c>
      <c r="G621" s="8">
        <v>3</v>
      </c>
      <c r="H621" s="8" t="s">
        <v>26881</v>
      </c>
      <c r="I621" s="8">
        <v>526.6875</v>
      </c>
      <c r="J621" s="3">
        <f t="shared" si="9"/>
        <v>43748.471736342595</v>
      </c>
    </row>
    <row r="622" spans="1:10" x14ac:dyDescent="0.25">
      <c r="A622" s="5" t="s">
        <v>26882</v>
      </c>
      <c r="B622" s="6">
        <v>393.75</v>
      </c>
      <c r="C622" s="6">
        <v>20.531590000000001</v>
      </c>
      <c r="D622" s="6">
        <v>57</v>
      </c>
      <c r="E622" s="6">
        <v>0</v>
      </c>
      <c r="F622" s="6">
        <v>0</v>
      </c>
      <c r="G622" s="6">
        <v>10</v>
      </c>
      <c r="H622" s="6" t="s">
        <v>26883</v>
      </c>
      <c r="I622" s="6">
        <v>526.6875</v>
      </c>
      <c r="J622" s="2">
        <f t="shared" si="9"/>
        <v>43748.471819583334</v>
      </c>
    </row>
    <row r="623" spans="1:10" x14ac:dyDescent="0.25">
      <c r="A623" s="7" t="s">
        <v>26884</v>
      </c>
      <c r="B623" s="8">
        <v>393.75</v>
      </c>
      <c r="C623" s="8">
        <v>20.531590000000001</v>
      </c>
      <c r="D623" s="8">
        <v>58</v>
      </c>
      <c r="E623" s="8">
        <v>0</v>
      </c>
      <c r="F623" s="8">
        <v>0</v>
      </c>
      <c r="G623" s="8">
        <v>3</v>
      </c>
      <c r="H623" s="8" t="s">
        <v>26885</v>
      </c>
      <c r="I623" s="8">
        <v>526.6875</v>
      </c>
      <c r="J623" s="3">
        <f t="shared" si="9"/>
        <v>43748.471903252313</v>
      </c>
    </row>
    <row r="624" spans="1:10" x14ac:dyDescent="0.25">
      <c r="A624" s="5" t="s">
        <v>26886</v>
      </c>
      <c r="B624" s="6">
        <v>393.75</v>
      </c>
      <c r="C624" s="6">
        <v>20.478950000000001</v>
      </c>
      <c r="D624" s="6">
        <v>57</v>
      </c>
      <c r="E624" s="6">
        <v>0</v>
      </c>
      <c r="F624" s="6">
        <v>0</v>
      </c>
      <c r="G624" s="6">
        <v>0</v>
      </c>
      <c r="H624" s="6" t="s">
        <v>26887</v>
      </c>
      <c r="I624" s="6">
        <v>526.6875</v>
      </c>
      <c r="J624" s="2">
        <f t="shared" si="9"/>
        <v>43748.471986342593</v>
      </c>
    </row>
    <row r="625" spans="1:10" x14ac:dyDescent="0.25">
      <c r="A625" s="7" t="s">
        <v>26888</v>
      </c>
      <c r="B625" s="8">
        <v>412.5</v>
      </c>
      <c r="C625" s="8">
        <v>20.478950000000001</v>
      </c>
      <c r="D625" s="8">
        <v>57</v>
      </c>
      <c r="E625" s="8">
        <v>0</v>
      </c>
      <c r="F625" s="8">
        <v>0</v>
      </c>
      <c r="G625" s="8">
        <v>13</v>
      </c>
      <c r="H625" s="8" t="s">
        <v>26889</v>
      </c>
      <c r="I625" s="8">
        <v>532.3125</v>
      </c>
      <c r="J625" s="3">
        <f t="shared" si="9"/>
        <v>43748.472058344902</v>
      </c>
    </row>
    <row r="626" spans="1:10" x14ac:dyDescent="0.25">
      <c r="A626" s="5" t="s">
        <v>26890</v>
      </c>
      <c r="B626" s="6">
        <v>396.875</v>
      </c>
      <c r="C626" s="6">
        <v>20.478950000000001</v>
      </c>
      <c r="D626" s="6">
        <v>57</v>
      </c>
      <c r="E626" s="6">
        <v>0</v>
      </c>
      <c r="F626" s="6">
        <v>0</v>
      </c>
      <c r="G626" s="6">
        <v>5</v>
      </c>
      <c r="H626" s="6" t="s">
        <v>26891</v>
      </c>
      <c r="I626" s="6">
        <v>527.4375</v>
      </c>
      <c r="J626" s="2">
        <f t="shared" si="9"/>
        <v>43748.472141689817</v>
      </c>
    </row>
    <row r="627" spans="1:10" x14ac:dyDescent="0.25">
      <c r="A627" s="7" t="s">
        <v>26892</v>
      </c>
      <c r="B627" s="8">
        <v>396.875</v>
      </c>
      <c r="C627" s="8">
        <v>20.531590000000001</v>
      </c>
      <c r="D627" s="8">
        <v>57</v>
      </c>
      <c r="E627" s="8">
        <v>0</v>
      </c>
      <c r="F627" s="8">
        <v>0</v>
      </c>
      <c r="G627" s="8">
        <v>0</v>
      </c>
      <c r="H627" s="8" t="s">
        <v>26893</v>
      </c>
      <c r="I627" s="8">
        <v>527.4375</v>
      </c>
      <c r="J627" s="3">
        <f t="shared" si="9"/>
        <v>43748.472213310182</v>
      </c>
    </row>
    <row r="628" spans="1:10" x14ac:dyDescent="0.25">
      <c r="A628" s="5" t="s">
        <v>26894</v>
      </c>
      <c r="B628" s="6">
        <v>431.25</v>
      </c>
      <c r="C628" s="6">
        <v>20.478950000000001</v>
      </c>
      <c r="D628" s="6">
        <v>57</v>
      </c>
      <c r="E628" s="6">
        <v>0</v>
      </c>
      <c r="F628" s="6">
        <v>0</v>
      </c>
      <c r="G628" s="6">
        <v>11</v>
      </c>
      <c r="H628" s="6" t="s">
        <v>26895</v>
      </c>
      <c r="I628" s="6">
        <v>538.125</v>
      </c>
      <c r="J628" s="2">
        <f t="shared" si="9"/>
        <v>43748.472296851854</v>
      </c>
    </row>
    <row r="629" spans="1:10" x14ac:dyDescent="0.25">
      <c r="A629" s="7" t="s">
        <v>26896</v>
      </c>
      <c r="B629" s="8">
        <v>396.875</v>
      </c>
      <c r="C629" s="8">
        <v>20.478950000000001</v>
      </c>
      <c r="D629" s="8">
        <v>54</v>
      </c>
      <c r="E629" s="8">
        <v>0</v>
      </c>
      <c r="F629" s="8">
        <v>0</v>
      </c>
      <c r="G629" s="8">
        <v>9</v>
      </c>
      <c r="H629" s="8" t="s">
        <v>26897</v>
      </c>
      <c r="I629" s="8">
        <v>527.4375</v>
      </c>
      <c r="J629" s="3">
        <f t="shared" si="9"/>
        <v>43748.472380335646</v>
      </c>
    </row>
    <row r="630" spans="1:10" x14ac:dyDescent="0.25">
      <c r="A630" s="5" t="s">
        <v>26898</v>
      </c>
      <c r="B630" s="6">
        <v>396.875</v>
      </c>
      <c r="C630" s="6">
        <v>20.531590000000001</v>
      </c>
      <c r="D630" s="6">
        <v>55</v>
      </c>
      <c r="E630" s="6">
        <v>0</v>
      </c>
      <c r="F630" s="6">
        <v>0</v>
      </c>
      <c r="G630" s="6">
        <v>9</v>
      </c>
      <c r="H630" s="6" t="s">
        <v>26899</v>
      </c>
      <c r="I630" s="6">
        <v>527.4375</v>
      </c>
      <c r="J630" s="2">
        <f t="shared" si="9"/>
        <v>43748.472464027778</v>
      </c>
    </row>
    <row r="631" spans="1:10" x14ac:dyDescent="0.25">
      <c r="A631" s="7" t="s">
        <v>26900</v>
      </c>
      <c r="B631" s="8">
        <v>400</v>
      </c>
      <c r="C631" s="8">
        <v>20.478950000000001</v>
      </c>
      <c r="D631" s="8">
        <v>55</v>
      </c>
      <c r="E631" s="8">
        <v>0</v>
      </c>
      <c r="F631" s="8">
        <v>0</v>
      </c>
      <c r="G631" s="8">
        <v>4</v>
      </c>
      <c r="H631" s="8" t="s">
        <v>26901</v>
      </c>
      <c r="I631" s="8">
        <v>528.375</v>
      </c>
      <c r="J631" s="3">
        <f t="shared" si="9"/>
        <v>43748.472547233796</v>
      </c>
    </row>
    <row r="632" spans="1:10" x14ac:dyDescent="0.25">
      <c r="A632" s="5" t="s">
        <v>26902</v>
      </c>
      <c r="B632" s="6">
        <v>400</v>
      </c>
      <c r="C632" s="6">
        <v>20.531590000000001</v>
      </c>
      <c r="D632" s="6">
        <v>55</v>
      </c>
      <c r="E632" s="6">
        <v>0</v>
      </c>
      <c r="F632" s="6">
        <v>0</v>
      </c>
      <c r="G632" s="6">
        <v>2</v>
      </c>
      <c r="H632" s="6" t="s">
        <v>26903</v>
      </c>
      <c r="I632" s="6">
        <v>528.1875</v>
      </c>
      <c r="J632" s="2">
        <f t="shared" si="9"/>
        <v>43748.472630578697</v>
      </c>
    </row>
    <row r="633" spans="1:10" x14ac:dyDescent="0.25">
      <c r="A633" s="7" t="s">
        <v>26904</v>
      </c>
      <c r="B633" s="8">
        <v>396.875</v>
      </c>
      <c r="C633" s="8">
        <v>20.478950000000001</v>
      </c>
      <c r="D633" s="8">
        <v>55</v>
      </c>
      <c r="E633" s="8">
        <v>0</v>
      </c>
      <c r="F633" s="8">
        <v>0</v>
      </c>
      <c r="G633" s="8">
        <v>2</v>
      </c>
      <c r="H633" s="8" t="s">
        <v>26905</v>
      </c>
      <c r="I633" s="8">
        <v>527.4375</v>
      </c>
      <c r="J633" s="3">
        <f t="shared" si="9"/>
        <v>43748.472713888885</v>
      </c>
    </row>
    <row r="634" spans="1:10" x14ac:dyDescent="0.25">
      <c r="A634" s="5" t="s">
        <v>26906</v>
      </c>
      <c r="B634" s="6">
        <v>396.875</v>
      </c>
      <c r="C634" s="6">
        <v>20.478950000000001</v>
      </c>
      <c r="D634" s="6">
        <v>57</v>
      </c>
      <c r="E634" s="6">
        <v>0</v>
      </c>
      <c r="F634" s="6">
        <v>0</v>
      </c>
      <c r="G634" s="6">
        <v>5</v>
      </c>
      <c r="H634" s="6" t="s">
        <v>26907</v>
      </c>
      <c r="I634" s="6">
        <v>527.4375</v>
      </c>
      <c r="J634" s="2">
        <f t="shared" si="9"/>
        <v>43748.472797349539</v>
      </c>
    </row>
    <row r="635" spans="1:10" x14ac:dyDescent="0.25">
      <c r="A635" s="7" t="s">
        <v>26908</v>
      </c>
      <c r="B635" s="8">
        <v>396.875</v>
      </c>
      <c r="C635" s="8">
        <v>20.478950000000001</v>
      </c>
      <c r="D635" s="8">
        <v>48</v>
      </c>
      <c r="E635" s="8">
        <v>0</v>
      </c>
      <c r="F635" s="8">
        <v>0</v>
      </c>
      <c r="G635" s="8">
        <v>0</v>
      </c>
      <c r="H635" s="8" t="s">
        <v>26909</v>
      </c>
      <c r="I635" s="8">
        <v>527.4375</v>
      </c>
      <c r="J635" s="3">
        <f t="shared" si="9"/>
        <v>43748.473085937498</v>
      </c>
    </row>
    <row r="636" spans="1:10" x14ac:dyDescent="0.25">
      <c r="A636" s="5" t="s">
        <v>26910</v>
      </c>
      <c r="B636" s="6">
        <v>393.75</v>
      </c>
      <c r="C636" s="6">
        <v>20.478950000000001</v>
      </c>
      <c r="D636" s="6">
        <v>49</v>
      </c>
      <c r="E636" s="6">
        <v>0</v>
      </c>
      <c r="F636" s="6">
        <v>0</v>
      </c>
      <c r="G636" s="6">
        <v>0</v>
      </c>
      <c r="H636" s="6" t="s">
        <v>26911</v>
      </c>
      <c r="I636" s="6">
        <v>526.6875</v>
      </c>
      <c r="J636" s="2">
        <f t="shared" si="9"/>
        <v>43748.473166307864</v>
      </c>
    </row>
    <row r="637" spans="1:10" x14ac:dyDescent="0.25">
      <c r="A637" s="7" t="s">
        <v>26912</v>
      </c>
      <c r="B637" s="8">
        <v>393.75</v>
      </c>
      <c r="C637" s="8">
        <v>20.478950000000001</v>
      </c>
      <c r="D637" s="8">
        <v>51</v>
      </c>
      <c r="E637" s="8">
        <v>0</v>
      </c>
      <c r="F637" s="8">
        <v>0</v>
      </c>
      <c r="G637" s="8">
        <v>0</v>
      </c>
      <c r="H637" s="8" t="s">
        <v>26913</v>
      </c>
      <c r="I637" s="8">
        <v>526.6875</v>
      </c>
      <c r="J637" s="3">
        <f t="shared" si="9"/>
        <v>43748.473249849536</v>
      </c>
    </row>
    <row r="638" spans="1:10" x14ac:dyDescent="0.25">
      <c r="A638" s="5" t="s">
        <v>26914</v>
      </c>
      <c r="B638" s="6">
        <v>393.75</v>
      </c>
      <c r="C638" s="6">
        <v>20.531590000000001</v>
      </c>
      <c r="D638" s="6">
        <v>52</v>
      </c>
      <c r="E638" s="6">
        <v>0</v>
      </c>
      <c r="F638" s="6">
        <v>0</v>
      </c>
      <c r="G638" s="6">
        <v>0</v>
      </c>
      <c r="H638" s="6" t="s">
        <v>26915</v>
      </c>
      <c r="I638" s="6">
        <v>526.6875</v>
      </c>
      <c r="J638" s="2">
        <f t="shared" si="9"/>
        <v>43748.473321365738</v>
      </c>
    </row>
    <row r="639" spans="1:10" x14ac:dyDescent="0.25">
      <c r="A639" s="7" t="s">
        <v>26916</v>
      </c>
      <c r="B639" s="8">
        <v>412.5</v>
      </c>
      <c r="C639" s="8">
        <v>20.478950000000001</v>
      </c>
      <c r="D639" s="8">
        <v>55</v>
      </c>
      <c r="E639" s="8">
        <v>0</v>
      </c>
      <c r="F639" s="8">
        <v>0</v>
      </c>
      <c r="G639" s="8">
        <v>7</v>
      </c>
      <c r="H639" s="8" t="s">
        <v>26917</v>
      </c>
      <c r="I639" s="8">
        <v>532.6875</v>
      </c>
      <c r="J639" s="3">
        <f t="shared" si="9"/>
        <v>43748.473404710647</v>
      </c>
    </row>
    <row r="640" spans="1:10" x14ac:dyDescent="0.25">
      <c r="A640" s="5" t="s">
        <v>26918</v>
      </c>
      <c r="B640" s="6">
        <v>393.75</v>
      </c>
      <c r="C640" s="6">
        <v>20.478950000000001</v>
      </c>
      <c r="D640" s="6">
        <v>55</v>
      </c>
      <c r="E640" s="6">
        <v>0</v>
      </c>
      <c r="F640" s="6">
        <v>0</v>
      </c>
      <c r="G640" s="6">
        <v>0</v>
      </c>
      <c r="H640" s="6" t="s">
        <v>26919</v>
      </c>
      <c r="I640" s="6">
        <v>526.6875</v>
      </c>
      <c r="J640" s="2">
        <f t="shared" si="9"/>
        <v>43748.473488298609</v>
      </c>
    </row>
    <row r="641" spans="1:10" x14ac:dyDescent="0.25">
      <c r="A641" s="7" t="s">
        <v>26920</v>
      </c>
      <c r="B641" s="8">
        <v>393.75</v>
      </c>
      <c r="C641" s="8">
        <v>20.531590000000001</v>
      </c>
      <c r="D641" s="8">
        <v>55</v>
      </c>
      <c r="E641" s="8">
        <v>0</v>
      </c>
      <c r="F641" s="8">
        <v>0</v>
      </c>
      <c r="G641" s="8">
        <v>0</v>
      </c>
      <c r="H641" s="8" t="s">
        <v>26921</v>
      </c>
      <c r="I641" s="8">
        <v>526.6875</v>
      </c>
      <c r="J641" s="3">
        <f t="shared" si="9"/>
        <v>43748.473571400456</v>
      </c>
    </row>
    <row r="642" spans="1:10" x14ac:dyDescent="0.25">
      <c r="A642" s="5" t="s">
        <v>26922</v>
      </c>
      <c r="B642" s="6">
        <v>393.75</v>
      </c>
      <c r="C642" s="6">
        <v>20.478950000000001</v>
      </c>
      <c r="D642" s="6">
        <v>55</v>
      </c>
      <c r="E642" s="6">
        <v>0</v>
      </c>
      <c r="F642" s="6">
        <v>0</v>
      </c>
      <c r="G642" s="6">
        <v>6</v>
      </c>
      <c r="H642" s="6" t="s">
        <v>26923</v>
      </c>
      <c r="I642" s="6">
        <v>526.6875</v>
      </c>
      <c r="J642" s="2">
        <f t="shared" ref="J642:J705" si="10">(H642/86400000)+25569+(7/24)</f>
        <v>43748.473642800927</v>
      </c>
    </row>
    <row r="643" spans="1:10" x14ac:dyDescent="0.25">
      <c r="A643" s="7" t="s">
        <v>26924</v>
      </c>
      <c r="B643" s="8">
        <v>393.75</v>
      </c>
      <c r="C643" s="8">
        <v>20.531590000000001</v>
      </c>
      <c r="D643" s="8">
        <v>56</v>
      </c>
      <c r="E643" s="8">
        <v>0</v>
      </c>
      <c r="F643" s="8">
        <v>0</v>
      </c>
      <c r="G643" s="8">
        <v>2</v>
      </c>
      <c r="H643" s="8" t="s">
        <v>26925</v>
      </c>
      <c r="I643" s="8">
        <v>526.5</v>
      </c>
      <c r="J643" s="3">
        <f t="shared" si="10"/>
        <v>43748.473726932869</v>
      </c>
    </row>
    <row r="644" spans="1:10" x14ac:dyDescent="0.25">
      <c r="A644" s="5" t="s">
        <v>26926</v>
      </c>
      <c r="B644" s="6">
        <v>393.75</v>
      </c>
      <c r="C644" s="6">
        <v>20.478950000000001</v>
      </c>
      <c r="D644" s="6">
        <v>56</v>
      </c>
      <c r="E644" s="6">
        <v>0</v>
      </c>
      <c r="F644" s="6">
        <v>0</v>
      </c>
      <c r="G644" s="6">
        <v>0</v>
      </c>
      <c r="H644" s="6" t="s">
        <v>26927</v>
      </c>
      <c r="I644" s="6">
        <v>526.6875</v>
      </c>
      <c r="J644" s="2">
        <f t="shared" si="10"/>
        <v>43748.473798356477</v>
      </c>
    </row>
    <row r="645" spans="1:10" x14ac:dyDescent="0.25">
      <c r="A645" s="7" t="s">
        <v>26928</v>
      </c>
      <c r="B645" s="8">
        <v>393.75</v>
      </c>
      <c r="C645" s="8">
        <v>20.478950000000001</v>
      </c>
      <c r="D645" s="8">
        <v>56</v>
      </c>
      <c r="E645" s="8">
        <v>0</v>
      </c>
      <c r="F645" s="8">
        <v>0</v>
      </c>
      <c r="G645" s="8">
        <v>6</v>
      </c>
      <c r="H645" s="8" t="s">
        <v>26929</v>
      </c>
      <c r="I645" s="8">
        <v>526.6875</v>
      </c>
      <c r="J645" s="3">
        <f t="shared" si="10"/>
        <v>43748.473869884256</v>
      </c>
    </row>
    <row r="646" spans="1:10" x14ac:dyDescent="0.25">
      <c r="A646" s="5" t="s">
        <v>26930</v>
      </c>
      <c r="B646" s="6">
        <v>393.75</v>
      </c>
      <c r="C646" s="6">
        <v>20.478950000000001</v>
      </c>
      <c r="D646" s="6">
        <v>56</v>
      </c>
      <c r="E646" s="6">
        <v>0</v>
      </c>
      <c r="F646" s="6">
        <v>0</v>
      </c>
      <c r="G646" s="6">
        <v>13</v>
      </c>
      <c r="H646" s="6" t="s">
        <v>26931</v>
      </c>
      <c r="I646" s="6">
        <v>526.6875</v>
      </c>
      <c r="J646" s="2">
        <f t="shared" si="10"/>
        <v>43748.473953078697</v>
      </c>
    </row>
    <row r="647" spans="1:10" x14ac:dyDescent="0.25">
      <c r="A647" s="7" t="s">
        <v>26932</v>
      </c>
      <c r="B647" s="8">
        <v>393.75</v>
      </c>
      <c r="C647" s="8">
        <v>20.478950000000001</v>
      </c>
      <c r="D647" s="8">
        <v>63</v>
      </c>
      <c r="E647" s="8">
        <v>0</v>
      </c>
      <c r="F647" s="8">
        <v>0</v>
      </c>
      <c r="G647" s="8">
        <v>0</v>
      </c>
      <c r="H647" s="8" t="s">
        <v>26933</v>
      </c>
      <c r="I647" s="8">
        <v>526.6875</v>
      </c>
      <c r="J647" s="3">
        <f t="shared" si="10"/>
        <v>43748.474024953706</v>
      </c>
    </row>
    <row r="648" spans="1:10" x14ac:dyDescent="0.25">
      <c r="A648" s="5" t="s">
        <v>26934</v>
      </c>
      <c r="B648" s="6">
        <v>393.75</v>
      </c>
      <c r="C648" s="6">
        <v>20.531590000000001</v>
      </c>
      <c r="D648" s="6">
        <v>61</v>
      </c>
      <c r="E648" s="6">
        <v>0</v>
      </c>
      <c r="F648" s="6">
        <v>0</v>
      </c>
      <c r="G648" s="6">
        <v>3</v>
      </c>
      <c r="H648" s="6" t="s">
        <v>26935</v>
      </c>
      <c r="I648" s="6">
        <v>526.6875</v>
      </c>
      <c r="J648" s="2">
        <f t="shared" si="10"/>
        <v>43748.474108437498</v>
      </c>
    </row>
    <row r="649" spans="1:10" x14ac:dyDescent="0.25">
      <c r="A649" s="7" t="s">
        <v>26936</v>
      </c>
      <c r="B649" s="8">
        <v>393.75</v>
      </c>
      <c r="C649" s="8">
        <v>20.478950000000001</v>
      </c>
      <c r="D649" s="8">
        <v>62</v>
      </c>
      <c r="E649" s="8">
        <v>0</v>
      </c>
      <c r="F649" s="8">
        <v>0</v>
      </c>
      <c r="G649" s="8">
        <v>6</v>
      </c>
      <c r="H649" s="8" t="s">
        <v>26937</v>
      </c>
      <c r="I649" s="8">
        <v>526.6875</v>
      </c>
      <c r="J649" s="3">
        <f t="shared" si="10"/>
        <v>43748.474191863424</v>
      </c>
    </row>
    <row r="650" spans="1:10" x14ac:dyDescent="0.25">
      <c r="A650" s="5" t="s">
        <v>26938</v>
      </c>
      <c r="B650" s="6">
        <v>393.75</v>
      </c>
      <c r="C650" s="6">
        <v>20.478950000000001</v>
      </c>
      <c r="D650" s="6">
        <v>62</v>
      </c>
      <c r="E650" s="6">
        <v>0</v>
      </c>
      <c r="F650" s="6">
        <v>0</v>
      </c>
      <c r="G650" s="6">
        <v>13</v>
      </c>
      <c r="H650" s="6" t="s">
        <v>26939</v>
      </c>
      <c r="I650" s="6">
        <v>526.5</v>
      </c>
      <c r="J650" s="2">
        <f t="shared" si="10"/>
        <v>43748.474275069442</v>
      </c>
    </row>
    <row r="651" spans="1:10" x14ac:dyDescent="0.25">
      <c r="A651" s="7" t="s">
        <v>26940</v>
      </c>
      <c r="B651" s="8">
        <v>393.75</v>
      </c>
      <c r="C651" s="8">
        <v>20.584240000000001</v>
      </c>
      <c r="D651" s="8">
        <v>62</v>
      </c>
      <c r="E651" s="8">
        <v>0</v>
      </c>
      <c r="F651" s="8">
        <v>0</v>
      </c>
      <c r="G651" s="8">
        <v>8</v>
      </c>
      <c r="H651" s="8" t="s">
        <v>26941</v>
      </c>
      <c r="I651" s="8">
        <v>526.6875</v>
      </c>
      <c r="J651" s="3">
        <f t="shared" si="10"/>
        <v>43748.474346840274</v>
      </c>
    </row>
    <row r="652" spans="1:10" x14ac:dyDescent="0.25">
      <c r="A652" s="5" t="s">
        <v>26942</v>
      </c>
      <c r="B652" s="6">
        <v>393.75</v>
      </c>
      <c r="C652" s="6">
        <v>20.584240000000001</v>
      </c>
      <c r="D652" s="6">
        <v>60</v>
      </c>
      <c r="E652" s="6">
        <v>0</v>
      </c>
      <c r="F652" s="6">
        <v>0</v>
      </c>
      <c r="G652" s="6">
        <v>0</v>
      </c>
      <c r="H652" s="6" t="s">
        <v>26943</v>
      </c>
      <c r="I652" s="6">
        <v>526.6875</v>
      </c>
      <c r="J652" s="2">
        <f t="shared" si="10"/>
        <v>43748.474421527775</v>
      </c>
    </row>
    <row r="653" spans="1:10" x14ac:dyDescent="0.25">
      <c r="A653" s="7" t="s">
        <v>26944</v>
      </c>
      <c r="B653" s="8">
        <v>393.75</v>
      </c>
      <c r="C653" s="8">
        <v>20.531590000000001</v>
      </c>
      <c r="D653" s="8">
        <v>59</v>
      </c>
      <c r="E653" s="8">
        <v>0</v>
      </c>
      <c r="F653" s="8">
        <v>0</v>
      </c>
      <c r="G653" s="8">
        <v>4</v>
      </c>
      <c r="H653" s="8" t="s">
        <v>26945</v>
      </c>
      <c r="I653" s="8">
        <v>526.6875</v>
      </c>
      <c r="J653" s="3">
        <f t="shared" si="10"/>
        <v>43748.474501921293</v>
      </c>
    </row>
    <row r="654" spans="1:10" x14ac:dyDescent="0.25">
      <c r="A654" s="5" t="s">
        <v>26946</v>
      </c>
      <c r="B654" s="6">
        <v>393.75</v>
      </c>
      <c r="C654" s="6">
        <v>20.478950000000001</v>
      </c>
      <c r="D654" s="6">
        <v>59</v>
      </c>
      <c r="E654" s="6">
        <v>0</v>
      </c>
      <c r="F654" s="6">
        <v>0</v>
      </c>
      <c r="G654" s="6">
        <v>14</v>
      </c>
      <c r="H654" s="6" t="s">
        <v>26947</v>
      </c>
      <c r="I654" s="6">
        <v>526.6875</v>
      </c>
      <c r="J654" s="2">
        <f t="shared" si="10"/>
        <v>43748.474573576386</v>
      </c>
    </row>
    <row r="655" spans="1:10" x14ac:dyDescent="0.25">
      <c r="A655" s="7" t="s">
        <v>26948</v>
      </c>
      <c r="B655" s="8">
        <v>393.75</v>
      </c>
      <c r="C655" s="8">
        <v>20.478950000000001</v>
      </c>
      <c r="D655" s="8">
        <v>58</v>
      </c>
      <c r="E655" s="8">
        <v>0</v>
      </c>
      <c r="F655" s="8">
        <v>0</v>
      </c>
      <c r="G655" s="8">
        <v>2</v>
      </c>
      <c r="H655" s="8" t="s">
        <v>26949</v>
      </c>
      <c r="I655" s="8">
        <v>526.6875</v>
      </c>
      <c r="J655" s="3">
        <f t="shared" si="10"/>
        <v>43748.474656678234</v>
      </c>
    </row>
    <row r="656" spans="1:10" x14ac:dyDescent="0.25">
      <c r="A656" s="5" t="s">
        <v>26950</v>
      </c>
      <c r="B656" s="6">
        <v>393.75</v>
      </c>
      <c r="C656" s="6">
        <v>20.478950000000001</v>
      </c>
      <c r="D656" s="6">
        <v>58</v>
      </c>
      <c r="E656" s="6">
        <v>0</v>
      </c>
      <c r="F656" s="6">
        <v>0</v>
      </c>
      <c r="G656" s="6">
        <v>11</v>
      </c>
      <c r="H656" s="6" t="s">
        <v>26951</v>
      </c>
      <c r="I656" s="6">
        <v>526.6875</v>
      </c>
      <c r="J656" s="2">
        <f t="shared" si="10"/>
        <v>43748.47472820602</v>
      </c>
    </row>
    <row r="657" spans="1:10" x14ac:dyDescent="0.25">
      <c r="A657" s="7" t="s">
        <v>26952</v>
      </c>
      <c r="B657" s="8">
        <v>393.75</v>
      </c>
      <c r="C657" s="8">
        <v>20.584240000000001</v>
      </c>
      <c r="D657" s="8">
        <v>56</v>
      </c>
      <c r="E657" s="8">
        <v>0</v>
      </c>
      <c r="F657" s="8">
        <v>0</v>
      </c>
      <c r="G657" s="8">
        <v>2</v>
      </c>
      <c r="H657" s="8" t="s">
        <v>26953</v>
      </c>
      <c r="I657" s="8">
        <v>526.6875</v>
      </c>
      <c r="J657" s="3">
        <f t="shared" si="10"/>
        <v>43748.474812361113</v>
      </c>
    </row>
    <row r="658" spans="1:10" x14ac:dyDescent="0.25">
      <c r="A658" s="5" t="s">
        <v>26954</v>
      </c>
      <c r="B658" s="6">
        <v>393.75</v>
      </c>
      <c r="C658" s="6">
        <v>20.478950000000001</v>
      </c>
      <c r="D658" s="6">
        <v>56</v>
      </c>
      <c r="E658" s="6">
        <v>0</v>
      </c>
      <c r="F658" s="6">
        <v>0</v>
      </c>
      <c r="G658" s="6">
        <v>8</v>
      </c>
      <c r="H658" s="6" t="s">
        <v>26955</v>
      </c>
      <c r="I658" s="6">
        <v>526.6875</v>
      </c>
      <c r="J658" s="2">
        <f t="shared" si="10"/>
        <v>43748.474895451385</v>
      </c>
    </row>
    <row r="659" spans="1:10" x14ac:dyDescent="0.25">
      <c r="A659" s="7" t="s">
        <v>26956</v>
      </c>
      <c r="B659" s="8">
        <v>412.5</v>
      </c>
      <c r="C659" s="8">
        <v>20.531590000000001</v>
      </c>
      <c r="D659" s="8">
        <v>56</v>
      </c>
      <c r="E659" s="8">
        <v>0</v>
      </c>
      <c r="F659" s="8">
        <v>0</v>
      </c>
      <c r="G659" s="8">
        <v>7</v>
      </c>
      <c r="H659" s="8" t="s">
        <v>26957</v>
      </c>
      <c r="I659" s="8">
        <v>532.3125</v>
      </c>
      <c r="J659" s="3">
        <f t="shared" si="10"/>
        <v>43748.474978796294</v>
      </c>
    </row>
    <row r="660" spans="1:10" x14ac:dyDescent="0.25">
      <c r="A660" s="5" t="s">
        <v>26958</v>
      </c>
      <c r="B660" s="6">
        <v>393.75</v>
      </c>
      <c r="C660" s="6">
        <v>20.584240000000001</v>
      </c>
      <c r="D660" s="6">
        <v>56</v>
      </c>
      <c r="E660" s="6">
        <v>0</v>
      </c>
      <c r="F660" s="6">
        <v>0</v>
      </c>
      <c r="G660" s="6">
        <v>4</v>
      </c>
      <c r="H660" s="6" t="s">
        <v>26959</v>
      </c>
      <c r="I660" s="6">
        <v>526.6875</v>
      </c>
      <c r="J660" s="2">
        <f t="shared" si="10"/>
        <v>43748.475050439811</v>
      </c>
    </row>
    <row r="661" spans="1:10" x14ac:dyDescent="0.25">
      <c r="A661" s="7" t="s">
        <v>26960</v>
      </c>
      <c r="B661" s="8">
        <v>393.75</v>
      </c>
      <c r="C661" s="8">
        <v>20.478950000000001</v>
      </c>
      <c r="D661" s="8">
        <v>56</v>
      </c>
      <c r="E661" s="8">
        <v>0</v>
      </c>
      <c r="F661" s="8">
        <v>0</v>
      </c>
      <c r="G661" s="8">
        <v>3</v>
      </c>
      <c r="H661" s="8" t="s">
        <v>26961</v>
      </c>
      <c r="I661" s="8">
        <v>526.6875</v>
      </c>
      <c r="J661" s="3">
        <f t="shared" si="10"/>
        <v>43748.475145578697</v>
      </c>
    </row>
    <row r="662" spans="1:10" x14ac:dyDescent="0.25">
      <c r="A662" s="5" t="s">
        <v>26962</v>
      </c>
      <c r="B662" s="6">
        <v>393.75</v>
      </c>
      <c r="C662" s="6">
        <v>20.531590000000001</v>
      </c>
      <c r="D662" s="6">
        <v>56</v>
      </c>
      <c r="E662" s="6">
        <v>0</v>
      </c>
      <c r="F662" s="6">
        <v>0</v>
      </c>
      <c r="G662" s="6">
        <v>7</v>
      </c>
      <c r="H662" s="6" t="s">
        <v>26963</v>
      </c>
      <c r="I662" s="6">
        <v>526.5</v>
      </c>
      <c r="J662" s="2">
        <f t="shared" si="10"/>
        <v>43748.475217210645</v>
      </c>
    </row>
    <row r="663" spans="1:10" x14ac:dyDescent="0.25">
      <c r="A663" s="7" t="s">
        <v>26964</v>
      </c>
      <c r="B663" s="8">
        <v>393.75</v>
      </c>
      <c r="C663" s="8">
        <v>20.531590000000001</v>
      </c>
      <c r="D663" s="8">
        <v>55</v>
      </c>
      <c r="E663" s="8">
        <v>0</v>
      </c>
      <c r="F663" s="8">
        <v>0</v>
      </c>
      <c r="G663" s="8">
        <v>14</v>
      </c>
      <c r="H663" s="8" t="s">
        <v>26965</v>
      </c>
      <c r="I663" s="8">
        <v>526.6875</v>
      </c>
      <c r="J663" s="3">
        <f t="shared" si="10"/>
        <v>43748.475301215272</v>
      </c>
    </row>
    <row r="664" spans="1:10" x14ac:dyDescent="0.25">
      <c r="A664" s="5" t="s">
        <v>26966</v>
      </c>
      <c r="B664" s="6">
        <v>415.625</v>
      </c>
      <c r="C664" s="6">
        <v>20.478950000000001</v>
      </c>
      <c r="D664" s="6">
        <v>55</v>
      </c>
      <c r="E664" s="6">
        <v>0</v>
      </c>
      <c r="F664" s="6">
        <v>0</v>
      </c>
      <c r="G664" s="6">
        <v>16</v>
      </c>
      <c r="H664" s="6" t="s">
        <v>26967</v>
      </c>
      <c r="I664" s="6">
        <v>533.0625</v>
      </c>
      <c r="J664" s="2">
        <f t="shared" si="10"/>
        <v>43748.475384328696</v>
      </c>
    </row>
    <row r="665" spans="1:10" x14ac:dyDescent="0.25">
      <c r="A665" s="7" t="s">
        <v>26968</v>
      </c>
      <c r="B665" s="8">
        <v>393.75</v>
      </c>
      <c r="C665" s="8">
        <v>20.531590000000001</v>
      </c>
      <c r="D665" s="8">
        <v>55</v>
      </c>
      <c r="E665" s="8">
        <v>0</v>
      </c>
      <c r="F665" s="8">
        <v>0</v>
      </c>
      <c r="G665" s="8">
        <v>5</v>
      </c>
      <c r="H665" s="8" t="s">
        <v>26969</v>
      </c>
      <c r="I665" s="8">
        <v>526.6875</v>
      </c>
      <c r="J665" s="3">
        <f t="shared" si="10"/>
        <v>43748.475467685181</v>
      </c>
    </row>
    <row r="666" spans="1:10" x14ac:dyDescent="0.25">
      <c r="A666" s="5" t="s">
        <v>26970</v>
      </c>
      <c r="B666" s="6">
        <v>393.75</v>
      </c>
      <c r="C666" s="6">
        <v>20.478950000000001</v>
      </c>
      <c r="D666" s="6">
        <v>55</v>
      </c>
      <c r="E666" s="6">
        <v>0</v>
      </c>
      <c r="F666" s="6">
        <v>0</v>
      </c>
      <c r="G666" s="6">
        <v>9</v>
      </c>
      <c r="H666" s="6" t="s">
        <v>26971</v>
      </c>
      <c r="I666" s="6">
        <v>526.6875</v>
      </c>
      <c r="J666" s="2">
        <f t="shared" si="10"/>
        <v>43748.475539328698</v>
      </c>
    </row>
    <row r="667" spans="1:10" x14ac:dyDescent="0.25">
      <c r="A667" s="7" t="s">
        <v>26972</v>
      </c>
      <c r="B667" s="8">
        <v>393.75</v>
      </c>
      <c r="C667" s="8">
        <v>20.531590000000001</v>
      </c>
      <c r="D667" s="8">
        <v>55</v>
      </c>
      <c r="E667" s="8">
        <v>0</v>
      </c>
      <c r="F667" s="8">
        <v>0</v>
      </c>
      <c r="G667" s="8">
        <v>4</v>
      </c>
      <c r="H667" s="8" t="s">
        <v>26973</v>
      </c>
      <c r="I667" s="8">
        <v>526.6875</v>
      </c>
      <c r="J667" s="3">
        <f t="shared" si="10"/>
        <v>43748.475622893515</v>
      </c>
    </row>
    <row r="668" spans="1:10" x14ac:dyDescent="0.25">
      <c r="A668" s="5" t="s">
        <v>26974</v>
      </c>
      <c r="B668" s="6">
        <v>393.75</v>
      </c>
      <c r="C668" s="6">
        <v>20.531590000000001</v>
      </c>
      <c r="D668" s="6">
        <v>56</v>
      </c>
      <c r="E668" s="6">
        <v>0</v>
      </c>
      <c r="F668" s="6">
        <v>0</v>
      </c>
      <c r="G668" s="6">
        <v>10</v>
      </c>
      <c r="H668" s="6" t="s">
        <v>26975</v>
      </c>
      <c r="I668" s="6">
        <v>526.5</v>
      </c>
      <c r="J668" s="2">
        <f t="shared" si="10"/>
        <v>43748.475706446756</v>
      </c>
    </row>
    <row r="669" spans="1:10" x14ac:dyDescent="0.25">
      <c r="A669" s="7" t="s">
        <v>26976</v>
      </c>
      <c r="B669" s="8">
        <v>393.75</v>
      </c>
      <c r="C669" s="8">
        <v>20.478950000000001</v>
      </c>
      <c r="D669" s="8">
        <v>56</v>
      </c>
      <c r="E669" s="8">
        <v>0</v>
      </c>
      <c r="F669" s="8">
        <v>0</v>
      </c>
      <c r="G669" s="8">
        <v>9</v>
      </c>
      <c r="H669" s="8" t="s">
        <v>26977</v>
      </c>
      <c r="I669" s="8">
        <v>526.6875</v>
      </c>
      <c r="J669" s="3">
        <f t="shared" si="10"/>
        <v>43748.475801793982</v>
      </c>
    </row>
    <row r="670" spans="1:10" x14ac:dyDescent="0.25">
      <c r="A670" s="5" t="s">
        <v>26978</v>
      </c>
      <c r="B670" s="6">
        <v>393.75</v>
      </c>
      <c r="C670" s="6">
        <v>20.478950000000001</v>
      </c>
      <c r="D670" s="6">
        <v>56</v>
      </c>
      <c r="E670" s="6">
        <v>0</v>
      </c>
      <c r="F670" s="6">
        <v>0</v>
      </c>
      <c r="G670" s="6">
        <v>1</v>
      </c>
      <c r="H670" s="6" t="s">
        <v>26979</v>
      </c>
      <c r="I670" s="6">
        <v>526.6875</v>
      </c>
      <c r="J670" s="2">
        <f t="shared" si="10"/>
        <v>43748.475885717591</v>
      </c>
    </row>
    <row r="671" spans="1:10" x14ac:dyDescent="0.25">
      <c r="A671" s="7" t="s">
        <v>26980</v>
      </c>
      <c r="B671" s="8">
        <v>412.5</v>
      </c>
      <c r="C671" s="8">
        <v>20.478950000000001</v>
      </c>
      <c r="D671" s="8">
        <v>55</v>
      </c>
      <c r="E671" s="8">
        <v>0</v>
      </c>
      <c r="F671" s="8">
        <v>0</v>
      </c>
      <c r="G671" s="8">
        <v>9</v>
      </c>
      <c r="H671" s="8" t="s">
        <v>26981</v>
      </c>
      <c r="I671" s="8">
        <v>532.3125</v>
      </c>
      <c r="J671" s="3">
        <f t="shared" si="10"/>
        <v>43748.4759687037</v>
      </c>
    </row>
    <row r="672" spans="1:10" x14ac:dyDescent="0.25">
      <c r="A672" s="5" t="s">
        <v>26982</v>
      </c>
      <c r="B672" s="6">
        <v>393.75</v>
      </c>
      <c r="C672" s="6">
        <v>20.478950000000001</v>
      </c>
      <c r="D672" s="6">
        <v>55</v>
      </c>
      <c r="E672" s="6">
        <v>0</v>
      </c>
      <c r="F672" s="6">
        <v>0</v>
      </c>
      <c r="G672" s="6">
        <v>4</v>
      </c>
      <c r="H672" s="6" t="s">
        <v>26983</v>
      </c>
      <c r="I672" s="6">
        <v>526.6875</v>
      </c>
      <c r="J672" s="2">
        <f t="shared" si="10"/>
        <v>43748.476040231479</v>
      </c>
    </row>
    <row r="673" spans="1:10" x14ac:dyDescent="0.25">
      <c r="A673" s="7" t="s">
        <v>26984</v>
      </c>
      <c r="B673" s="8">
        <v>393.75</v>
      </c>
      <c r="C673" s="8">
        <v>20.478950000000001</v>
      </c>
      <c r="D673" s="8">
        <v>56</v>
      </c>
      <c r="E673" s="8">
        <v>0</v>
      </c>
      <c r="F673" s="8">
        <v>0</v>
      </c>
      <c r="G673" s="8">
        <v>0</v>
      </c>
      <c r="H673" s="8" t="s">
        <v>26985</v>
      </c>
      <c r="I673" s="8">
        <v>526.6875</v>
      </c>
      <c r="J673" s="3">
        <f t="shared" si="10"/>
        <v>43748.47612392361</v>
      </c>
    </row>
    <row r="674" spans="1:10" x14ac:dyDescent="0.25">
      <c r="A674" s="5" t="s">
        <v>26986</v>
      </c>
      <c r="B674" s="6">
        <v>393.75</v>
      </c>
      <c r="C674" s="6">
        <v>20.478950000000001</v>
      </c>
      <c r="D674" s="6">
        <v>55</v>
      </c>
      <c r="E674" s="6">
        <v>0</v>
      </c>
      <c r="F674" s="6">
        <v>0</v>
      </c>
      <c r="G674" s="6">
        <v>10</v>
      </c>
      <c r="H674" s="6" t="s">
        <v>26987</v>
      </c>
      <c r="I674" s="6">
        <v>526.6875</v>
      </c>
      <c r="J674" s="2">
        <f t="shared" si="10"/>
        <v>43748.476195324074</v>
      </c>
    </row>
    <row r="675" spans="1:10" x14ac:dyDescent="0.25">
      <c r="A675" s="7" t="s">
        <v>26988</v>
      </c>
      <c r="B675" s="8">
        <v>393.75</v>
      </c>
      <c r="C675" s="8">
        <v>20.531590000000001</v>
      </c>
      <c r="D675" s="8">
        <v>57</v>
      </c>
      <c r="E675" s="8">
        <v>0</v>
      </c>
      <c r="F675" s="8">
        <v>0</v>
      </c>
      <c r="G675" s="8">
        <v>4</v>
      </c>
      <c r="H675" s="8" t="s">
        <v>26989</v>
      </c>
      <c r="I675" s="8">
        <v>526.6875</v>
      </c>
      <c r="J675" s="3">
        <f t="shared" si="10"/>
        <v>43748.476278761569</v>
      </c>
    </row>
    <row r="676" spans="1:10" x14ac:dyDescent="0.25">
      <c r="A676" s="5" t="s">
        <v>26990</v>
      </c>
      <c r="B676" s="6">
        <v>393.75</v>
      </c>
      <c r="C676" s="6">
        <v>20.478950000000001</v>
      </c>
      <c r="D676" s="6">
        <v>57</v>
      </c>
      <c r="E676" s="6">
        <v>0</v>
      </c>
      <c r="F676" s="6">
        <v>0</v>
      </c>
      <c r="G676" s="6">
        <v>0</v>
      </c>
      <c r="H676" s="6" t="s">
        <v>26991</v>
      </c>
      <c r="I676" s="6">
        <v>526.6875</v>
      </c>
      <c r="J676" s="2">
        <f t="shared" si="10"/>
        <v>43748.476362222216</v>
      </c>
    </row>
    <row r="677" spans="1:10" x14ac:dyDescent="0.25">
      <c r="A677" s="7" t="s">
        <v>26992</v>
      </c>
      <c r="B677" s="8">
        <v>393.75</v>
      </c>
      <c r="C677" s="8">
        <v>20.478950000000001</v>
      </c>
      <c r="D677" s="8">
        <v>53</v>
      </c>
      <c r="E677" s="8">
        <v>0</v>
      </c>
      <c r="F677" s="8">
        <v>0</v>
      </c>
      <c r="G677" s="8">
        <v>6</v>
      </c>
      <c r="H677" s="8" t="s">
        <v>26993</v>
      </c>
      <c r="I677" s="8">
        <v>526.6875</v>
      </c>
      <c r="J677" s="3">
        <f t="shared" si="10"/>
        <v>43748.476445428234</v>
      </c>
    </row>
    <row r="678" spans="1:10" x14ac:dyDescent="0.25">
      <c r="A678" s="5" t="s">
        <v>26994</v>
      </c>
      <c r="B678" s="6">
        <v>393.75</v>
      </c>
      <c r="C678" s="6">
        <v>20.531590000000001</v>
      </c>
      <c r="D678" s="6">
        <v>53</v>
      </c>
      <c r="E678" s="6">
        <v>0</v>
      </c>
      <c r="F678" s="6">
        <v>0</v>
      </c>
      <c r="G678" s="6">
        <v>3</v>
      </c>
      <c r="H678" s="6" t="s">
        <v>26995</v>
      </c>
      <c r="I678" s="6">
        <v>526.6875</v>
      </c>
      <c r="J678" s="2">
        <f t="shared" si="10"/>
        <v>43748.476517175928</v>
      </c>
    </row>
    <row r="679" spans="1:10" x14ac:dyDescent="0.25">
      <c r="A679" s="7" t="s">
        <v>26996</v>
      </c>
      <c r="B679" s="8">
        <v>393.75</v>
      </c>
      <c r="C679" s="8">
        <v>20.478950000000001</v>
      </c>
      <c r="D679" s="8">
        <v>54</v>
      </c>
      <c r="E679" s="8">
        <v>0</v>
      </c>
      <c r="F679" s="8">
        <v>0</v>
      </c>
      <c r="G679" s="8">
        <v>8</v>
      </c>
      <c r="H679" s="8" t="s">
        <v>26997</v>
      </c>
      <c r="I679" s="8">
        <v>526.6875</v>
      </c>
      <c r="J679" s="3">
        <f t="shared" si="10"/>
        <v>43748.476600636575</v>
      </c>
    </row>
    <row r="680" spans="1:10" x14ac:dyDescent="0.25">
      <c r="A680" s="5" t="s">
        <v>26998</v>
      </c>
      <c r="B680" s="6">
        <v>393.75</v>
      </c>
      <c r="C680" s="6">
        <v>20.584240000000001</v>
      </c>
      <c r="D680" s="6">
        <v>54</v>
      </c>
      <c r="E680" s="6">
        <v>0</v>
      </c>
      <c r="F680" s="6">
        <v>0</v>
      </c>
      <c r="G680" s="6">
        <v>9</v>
      </c>
      <c r="H680" s="6" t="s">
        <v>26999</v>
      </c>
      <c r="I680" s="6">
        <v>526.6875</v>
      </c>
      <c r="J680" s="2">
        <f t="shared" si="10"/>
        <v>43748.476684201385</v>
      </c>
    </row>
    <row r="681" spans="1:10" x14ac:dyDescent="0.25">
      <c r="A681" s="7" t="s">
        <v>27000</v>
      </c>
      <c r="B681" s="8">
        <v>393.75</v>
      </c>
      <c r="C681" s="8">
        <v>20.531590000000001</v>
      </c>
      <c r="D681" s="8">
        <v>54</v>
      </c>
      <c r="E681" s="8">
        <v>0</v>
      </c>
      <c r="F681" s="8">
        <v>0</v>
      </c>
      <c r="G681" s="8">
        <v>4</v>
      </c>
      <c r="H681" s="8" t="s">
        <v>27001</v>
      </c>
      <c r="I681" s="8">
        <v>526.6875</v>
      </c>
      <c r="J681" s="3">
        <f t="shared" si="10"/>
        <v>43748.476767719905</v>
      </c>
    </row>
    <row r="682" spans="1:10" x14ac:dyDescent="0.25">
      <c r="A682" s="5" t="s">
        <v>27002</v>
      </c>
      <c r="B682" s="6">
        <v>393.75</v>
      </c>
      <c r="C682" s="6">
        <v>20.531590000000001</v>
      </c>
      <c r="D682" s="6">
        <v>55</v>
      </c>
      <c r="E682" s="6">
        <v>0</v>
      </c>
      <c r="F682" s="6">
        <v>0</v>
      </c>
      <c r="G682" s="6">
        <v>13</v>
      </c>
      <c r="H682" s="6" t="s">
        <v>27003</v>
      </c>
      <c r="I682" s="6">
        <v>526.6875</v>
      </c>
      <c r="J682" s="2">
        <f t="shared" si="10"/>
        <v>43748.476851226849</v>
      </c>
    </row>
    <row r="683" spans="1:10" x14ac:dyDescent="0.25">
      <c r="A683" s="7" t="s">
        <v>27004</v>
      </c>
      <c r="B683" s="8">
        <v>393.75</v>
      </c>
      <c r="C683" s="8">
        <v>20.531590000000001</v>
      </c>
      <c r="D683" s="8">
        <v>56</v>
      </c>
      <c r="E683" s="8">
        <v>0</v>
      </c>
      <c r="F683" s="8">
        <v>0</v>
      </c>
      <c r="G683" s="8">
        <v>21</v>
      </c>
      <c r="H683" s="8" t="s">
        <v>27005</v>
      </c>
      <c r="I683" s="8">
        <v>526.6875</v>
      </c>
      <c r="J683" s="3">
        <f t="shared" si="10"/>
        <v>43748.476934328697</v>
      </c>
    </row>
    <row r="684" spans="1:10" x14ac:dyDescent="0.25">
      <c r="A684" s="5" t="s">
        <v>27006</v>
      </c>
      <c r="B684" s="6">
        <v>393.75</v>
      </c>
      <c r="C684" s="6">
        <v>20.478950000000001</v>
      </c>
      <c r="D684" s="6">
        <v>56</v>
      </c>
      <c r="E684" s="6">
        <v>0</v>
      </c>
      <c r="F684" s="6">
        <v>0</v>
      </c>
      <c r="G684" s="6">
        <v>5</v>
      </c>
      <c r="H684" s="6" t="s">
        <v>27007</v>
      </c>
      <c r="I684" s="6">
        <v>526.6875</v>
      </c>
      <c r="J684" s="2">
        <f t="shared" si="10"/>
        <v>43748.477005972221</v>
      </c>
    </row>
    <row r="685" spans="1:10" x14ac:dyDescent="0.25">
      <c r="A685" s="7" t="s">
        <v>27008</v>
      </c>
      <c r="B685" s="8">
        <v>393.75</v>
      </c>
      <c r="C685" s="8">
        <v>20.531590000000001</v>
      </c>
      <c r="D685" s="8">
        <v>57</v>
      </c>
      <c r="E685" s="8">
        <v>0</v>
      </c>
      <c r="F685" s="8">
        <v>0</v>
      </c>
      <c r="G685" s="8">
        <v>12</v>
      </c>
      <c r="H685" s="8" t="s">
        <v>27009</v>
      </c>
      <c r="I685" s="8">
        <v>526.6875</v>
      </c>
      <c r="J685" s="3">
        <f t="shared" si="10"/>
        <v>43748.477089884262</v>
      </c>
    </row>
    <row r="686" spans="1:10" x14ac:dyDescent="0.25">
      <c r="A686" s="5" t="s">
        <v>27010</v>
      </c>
      <c r="B686" s="6">
        <v>393.75</v>
      </c>
      <c r="C686" s="6">
        <v>20.531590000000001</v>
      </c>
      <c r="D686" s="6">
        <v>56</v>
      </c>
      <c r="E686" s="6">
        <v>0</v>
      </c>
      <c r="F686" s="6">
        <v>0</v>
      </c>
      <c r="G686" s="6">
        <v>15</v>
      </c>
      <c r="H686" s="6" t="s">
        <v>27011</v>
      </c>
      <c r="I686" s="6">
        <v>526.5</v>
      </c>
      <c r="J686" s="2">
        <f t="shared" si="10"/>
        <v>43748.477173252315</v>
      </c>
    </row>
    <row r="687" spans="1:10" x14ac:dyDescent="0.25">
      <c r="A687" s="7" t="s">
        <v>27012</v>
      </c>
      <c r="B687" s="8">
        <v>393.75</v>
      </c>
      <c r="C687" s="8">
        <v>20.478950000000001</v>
      </c>
      <c r="D687" s="8">
        <v>56</v>
      </c>
      <c r="E687" s="8">
        <v>0</v>
      </c>
      <c r="F687" s="8">
        <v>0</v>
      </c>
      <c r="G687" s="8">
        <v>11</v>
      </c>
      <c r="H687" s="8" t="s">
        <v>27013</v>
      </c>
      <c r="I687" s="8">
        <v>526.6875</v>
      </c>
      <c r="J687" s="3">
        <f t="shared" si="10"/>
        <v>43748.477256527774</v>
      </c>
    </row>
    <row r="688" spans="1:10" x14ac:dyDescent="0.25">
      <c r="A688" s="5" t="s">
        <v>27014</v>
      </c>
      <c r="B688" s="6">
        <v>393.75</v>
      </c>
      <c r="C688" s="6">
        <v>20.531590000000001</v>
      </c>
      <c r="D688" s="6">
        <v>55</v>
      </c>
      <c r="E688" s="6">
        <v>0</v>
      </c>
      <c r="F688" s="6">
        <v>0</v>
      </c>
      <c r="G688" s="6">
        <v>14</v>
      </c>
      <c r="H688" s="6" t="s">
        <v>27015</v>
      </c>
      <c r="I688" s="6">
        <v>526.6875</v>
      </c>
      <c r="J688" s="2">
        <f t="shared" si="10"/>
        <v>43748.477328182867</v>
      </c>
    </row>
    <row r="689" spans="1:10" x14ac:dyDescent="0.25">
      <c r="A689" s="7" t="s">
        <v>27016</v>
      </c>
      <c r="B689" s="8">
        <v>393.75</v>
      </c>
      <c r="C689" s="8">
        <v>20.531590000000001</v>
      </c>
      <c r="D689" s="8">
        <v>56</v>
      </c>
      <c r="E689" s="8">
        <v>0</v>
      </c>
      <c r="F689" s="8">
        <v>0</v>
      </c>
      <c r="G689" s="8">
        <v>14</v>
      </c>
      <c r="H689" s="8" t="s">
        <v>27017</v>
      </c>
      <c r="I689" s="8">
        <v>526.6875</v>
      </c>
      <c r="J689" s="3">
        <f t="shared" si="10"/>
        <v>43748.477411643515</v>
      </c>
    </row>
    <row r="690" spans="1:10" x14ac:dyDescent="0.25">
      <c r="A690" s="5" t="s">
        <v>27018</v>
      </c>
      <c r="B690" s="6">
        <v>393.75</v>
      </c>
      <c r="C690" s="6">
        <v>20.531590000000001</v>
      </c>
      <c r="D690" s="6">
        <v>55</v>
      </c>
      <c r="E690" s="6">
        <v>0</v>
      </c>
      <c r="F690" s="6">
        <v>0</v>
      </c>
      <c r="G690" s="6">
        <v>16</v>
      </c>
      <c r="H690" s="6" t="s">
        <v>27019</v>
      </c>
      <c r="I690" s="6">
        <v>526.6875</v>
      </c>
      <c r="J690" s="2">
        <f t="shared" si="10"/>
        <v>43748.477495081017</v>
      </c>
    </row>
    <row r="691" spans="1:10" x14ac:dyDescent="0.25">
      <c r="A691" s="7" t="s">
        <v>27020</v>
      </c>
      <c r="B691" s="8">
        <v>393.75</v>
      </c>
      <c r="C691" s="8">
        <v>20.531590000000001</v>
      </c>
      <c r="D691" s="8">
        <v>55</v>
      </c>
      <c r="E691" s="8">
        <v>0</v>
      </c>
      <c r="F691" s="8">
        <v>0</v>
      </c>
      <c r="G691" s="8">
        <v>17</v>
      </c>
      <c r="H691" s="8" t="s">
        <v>27021</v>
      </c>
      <c r="I691" s="8">
        <v>526.6875</v>
      </c>
      <c r="J691" s="3">
        <f t="shared" si="10"/>
        <v>43748.477578773141</v>
      </c>
    </row>
    <row r="692" spans="1:10" x14ac:dyDescent="0.25">
      <c r="A692" s="5" t="s">
        <v>27022</v>
      </c>
      <c r="B692" s="6">
        <v>393.75</v>
      </c>
      <c r="C692" s="6">
        <v>20.531590000000001</v>
      </c>
      <c r="D692" s="6">
        <v>55</v>
      </c>
      <c r="E692" s="6">
        <v>0</v>
      </c>
      <c r="F692" s="6">
        <v>0</v>
      </c>
      <c r="G692" s="6">
        <v>16</v>
      </c>
      <c r="H692" s="6" t="s">
        <v>27023</v>
      </c>
      <c r="I692" s="6">
        <v>526.6875</v>
      </c>
      <c r="J692" s="2">
        <f t="shared" si="10"/>
        <v>43748.477662083336</v>
      </c>
    </row>
    <row r="693" spans="1:10" x14ac:dyDescent="0.25">
      <c r="A693" s="7" t="s">
        <v>27024</v>
      </c>
      <c r="B693" s="8">
        <v>393.75</v>
      </c>
      <c r="C693" s="8">
        <v>20.531590000000001</v>
      </c>
      <c r="D693" s="8">
        <v>55</v>
      </c>
      <c r="E693" s="8">
        <v>0</v>
      </c>
      <c r="F693" s="8">
        <v>0</v>
      </c>
      <c r="G693" s="8">
        <v>14</v>
      </c>
      <c r="H693" s="8" t="s">
        <v>27025</v>
      </c>
      <c r="I693" s="8">
        <v>526.6875</v>
      </c>
      <c r="J693" s="3">
        <f t="shared" si="10"/>
        <v>43748.477745416669</v>
      </c>
    </row>
    <row r="694" spans="1:10" x14ac:dyDescent="0.25">
      <c r="A694" s="5" t="s">
        <v>27026</v>
      </c>
      <c r="B694" s="6">
        <v>412.5</v>
      </c>
      <c r="C694" s="6">
        <v>20.531590000000001</v>
      </c>
      <c r="D694" s="6">
        <v>55</v>
      </c>
      <c r="E694" s="6">
        <v>0</v>
      </c>
      <c r="F694" s="6">
        <v>0</v>
      </c>
      <c r="G694" s="6">
        <v>6</v>
      </c>
      <c r="H694" s="6" t="s">
        <v>27027</v>
      </c>
      <c r="I694" s="6">
        <v>532.5</v>
      </c>
      <c r="J694" s="2">
        <f t="shared" si="10"/>
        <v>43748.477829004631</v>
      </c>
    </row>
    <row r="695" spans="1:10" x14ac:dyDescent="0.25">
      <c r="A695" s="7" t="s">
        <v>27028</v>
      </c>
      <c r="B695" s="8">
        <v>393.75</v>
      </c>
      <c r="C695" s="8">
        <v>20.478950000000001</v>
      </c>
      <c r="D695" s="8">
        <v>55</v>
      </c>
      <c r="E695" s="8">
        <v>0</v>
      </c>
      <c r="F695" s="8">
        <v>0</v>
      </c>
      <c r="G695" s="8">
        <v>3</v>
      </c>
      <c r="H695" s="8" t="s">
        <v>27029</v>
      </c>
      <c r="I695" s="8">
        <v>526.6875</v>
      </c>
      <c r="J695" s="3">
        <f t="shared" si="10"/>
        <v>43748.477912106478</v>
      </c>
    </row>
    <row r="696" spans="1:10" x14ac:dyDescent="0.25">
      <c r="A696" s="5" t="s">
        <v>27030</v>
      </c>
      <c r="B696" s="6">
        <v>393.75</v>
      </c>
      <c r="C696" s="6">
        <v>20.531590000000001</v>
      </c>
      <c r="D696" s="6">
        <v>55</v>
      </c>
      <c r="E696" s="6">
        <v>0</v>
      </c>
      <c r="F696" s="6">
        <v>0</v>
      </c>
      <c r="G696" s="6">
        <v>3</v>
      </c>
      <c r="H696" s="6" t="s">
        <v>27031</v>
      </c>
      <c r="I696" s="6">
        <v>526.6875</v>
      </c>
      <c r="J696" s="2">
        <f t="shared" si="10"/>
        <v>43748.477983726851</v>
      </c>
    </row>
    <row r="697" spans="1:10" x14ac:dyDescent="0.25">
      <c r="A697" s="7" t="s">
        <v>27032</v>
      </c>
      <c r="B697" s="8">
        <v>393.75</v>
      </c>
      <c r="C697" s="8">
        <v>20.531590000000001</v>
      </c>
      <c r="D697" s="8">
        <v>55</v>
      </c>
      <c r="E697" s="8">
        <v>0</v>
      </c>
      <c r="F697" s="8">
        <v>0</v>
      </c>
      <c r="G697" s="8">
        <v>13</v>
      </c>
      <c r="H697" s="8" t="s">
        <v>27033</v>
      </c>
      <c r="I697" s="8">
        <v>526.6875</v>
      </c>
      <c r="J697" s="3">
        <f t="shared" si="10"/>
        <v>43748.478067685188</v>
      </c>
    </row>
    <row r="698" spans="1:10" x14ac:dyDescent="0.25">
      <c r="A698" s="5" t="s">
        <v>27034</v>
      </c>
      <c r="B698" s="6">
        <v>393.75</v>
      </c>
      <c r="C698" s="6">
        <v>20.478950000000001</v>
      </c>
      <c r="D698" s="6">
        <v>56</v>
      </c>
      <c r="E698" s="6">
        <v>0</v>
      </c>
      <c r="F698" s="6">
        <v>0</v>
      </c>
      <c r="G698" s="6">
        <v>4</v>
      </c>
      <c r="H698" s="6" t="s">
        <v>27035</v>
      </c>
      <c r="I698" s="6">
        <v>526.6875</v>
      </c>
      <c r="J698" s="2">
        <f t="shared" si="10"/>
        <v>43748.478150868053</v>
      </c>
    </row>
    <row r="699" spans="1:10" x14ac:dyDescent="0.25">
      <c r="A699" s="7" t="s">
        <v>27036</v>
      </c>
      <c r="B699" s="8">
        <v>412.5</v>
      </c>
      <c r="C699" s="8">
        <v>20.478950000000001</v>
      </c>
      <c r="D699" s="8">
        <v>56</v>
      </c>
      <c r="E699" s="8">
        <v>0</v>
      </c>
      <c r="F699" s="8">
        <v>0</v>
      </c>
      <c r="G699" s="8">
        <v>8</v>
      </c>
      <c r="H699" s="8" t="s">
        <v>27037</v>
      </c>
      <c r="I699" s="8">
        <v>532.5</v>
      </c>
      <c r="J699" s="3">
        <f t="shared" si="10"/>
        <v>43748.478234305549</v>
      </c>
    </row>
    <row r="700" spans="1:10" x14ac:dyDescent="0.25">
      <c r="A700" s="5" t="s">
        <v>27038</v>
      </c>
      <c r="B700" s="6">
        <v>393.75</v>
      </c>
      <c r="C700" s="6">
        <v>20.478950000000001</v>
      </c>
      <c r="D700" s="6">
        <v>56</v>
      </c>
      <c r="E700" s="6">
        <v>0</v>
      </c>
      <c r="F700" s="6">
        <v>0</v>
      </c>
      <c r="G700" s="6">
        <v>8</v>
      </c>
      <c r="H700" s="6" t="s">
        <v>27039</v>
      </c>
      <c r="I700" s="6">
        <v>526.6875</v>
      </c>
      <c r="J700" s="2">
        <f t="shared" si="10"/>
        <v>43748.478317881942</v>
      </c>
    </row>
    <row r="701" spans="1:10" x14ac:dyDescent="0.25">
      <c r="A701" s="7" t="s">
        <v>27040</v>
      </c>
      <c r="B701" s="8">
        <v>393.75</v>
      </c>
      <c r="C701" s="8">
        <v>20.531590000000001</v>
      </c>
      <c r="D701" s="8">
        <v>56</v>
      </c>
      <c r="E701" s="8">
        <v>0</v>
      </c>
      <c r="F701" s="8">
        <v>0</v>
      </c>
      <c r="G701" s="8">
        <v>9</v>
      </c>
      <c r="H701" s="8" t="s">
        <v>27041</v>
      </c>
      <c r="I701" s="8">
        <v>526.6875</v>
      </c>
      <c r="J701" s="3">
        <f t="shared" si="10"/>
        <v>43748.478400983797</v>
      </c>
    </row>
    <row r="702" spans="1:10" x14ac:dyDescent="0.25">
      <c r="A702" s="5" t="s">
        <v>27042</v>
      </c>
      <c r="B702" s="6">
        <v>393.75</v>
      </c>
      <c r="C702" s="6">
        <v>20.531590000000001</v>
      </c>
      <c r="D702" s="6">
        <v>57</v>
      </c>
      <c r="E702" s="6">
        <v>0</v>
      </c>
      <c r="F702" s="6">
        <v>0</v>
      </c>
      <c r="G702" s="6">
        <v>9</v>
      </c>
      <c r="H702" s="6" t="s">
        <v>27043</v>
      </c>
      <c r="I702" s="6">
        <v>526.6875</v>
      </c>
      <c r="J702" s="2">
        <f t="shared" si="10"/>
        <v>43748.478496307864</v>
      </c>
    </row>
    <row r="703" spans="1:10" x14ac:dyDescent="0.25">
      <c r="A703" s="7" t="s">
        <v>27044</v>
      </c>
      <c r="B703" s="8">
        <v>393.75</v>
      </c>
      <c r="C703" s="8">
        <v>20.531590000000001</v>
      </c>
      <c r="D703" s="8">
        <v>57</v>
      </c>
      <c r="E703" s="8">
        <v>0</v>
      </c>
      <c r="F703" s="8">
        <v>0</v>
      </c>
      <c r="G703" s="8">
        <v>6</v>
      </c>
      <c r="H703" s="8" t="s">
        <v>27045</v>
      </c>
      <c r="I703" s="8">
        <v>526.6875</v>
      </c>
      <c r="J703" s="3">
        <f t="shared" si="10"/>
        <v>43748.478568437502</v>
      </c>
    </row>
    <row r="704" spans="1:10" x14ac:dyDescent="0.25">
      <c r="A704" s="5" t="s">
        <v>27046</v>
      </c>
      <c r="B704" s="6">
        <v>393.75</v>
      </c>
      <c r="C704" s="6">
        <v>20.531590000000001</v>
      </c>
      <c r="D704" s="6">
        <v>57</v>
      </c>
      <c r="E704" s="6">
        <v>0</v>
      </c>
      <c r="F704" s="6">
        <v>0</v>
      </c>
      <c r="G704" s="6">
        <v>5</v>
      </c>
      <c r="H704" s="6" t="s">
        <v>27047</v>
      </c>
      <c r="I704" s="6">
        <v>526.6875</v>
      </c>
      <c r="J704" s="2">
        <f t="shared" si="10"/>
        <v>43748.47863986111</v>
      </c>
    </row>
    <row r="705" spans="1:10" x14ac:dyDescent="0.25">
      <c r="A705" s="7" t="s">
        <v>27048</v>
      </c>
      <c r="B705" s="8">
        <v>393.75</v>
      </c>
      <c r="C705" s="8">
        <v>20.478950000000001</v>
      </c>
      <c r="D705" s="8">
        <v>57</v>
      </c>
      <c r="E705" s="8">
        <v>0</v>
      </c>
      <c r="F705" s="8">
        <v>0</v>
      </c>
      <c r="G705" s="8">
        <v>2</v>
      </c>
      <c r="H705" s="8" t="s">
        <v>27049</v>
      </c>
      <c r="I705" s="8">
        <v>526.6875</v>
      </c>
      <c r="J705" s="3">
        <f t="shared" si="10"/>
        <v>43748.478723206012</v>
      </c>
    </row>
    <row r="706" spans="1:10" x14ac:dyDescent="0.25">
      <c r="A706" s="5" t="s">
        <v>27050</v>
      </c>
      <c r="B706" s="6">
        <v>393.75</v>
      </c>
      <c r="C706" s="6">
        <v>20.478950000000001</v>
      </c>
      <c r="D706" s="6">
        <v>57</v>
      </c>
      <c r="E706" s="6">
        <v>0</v>
      </c>
      <c r="F706" s="6">
        <v>0</v>
      </c>
      <c r="G706" s="6">
        <v>0</v>
      </c>
      <c r="H706" s="6" t="s">
        <v>27051</v>
      </c>
      <c r="I706" s="6">
        <v>526.5</v>
      </c>
      <c r="J706" s="2">
        <f t="shared" ref="J706:J769" si="11">(H706/86400000)+25569+(7/24)</f>
        <v>43748.47880665509</v>
      </c>
    </row>
    <row r="707" spans="1:10" x14ac:dyDescent="0.25">
      <c r="A707" s="7" t="s">
        <v>27052</v>
      </c>
      <c r="B707" s="8">
        <v>393.75</v>
      </c>
      <c r="C707" s="8">
        <v>20.531590000000001</v>
      </c>
      <c r="D707" s="8">
        <v>56</v>
      </c>
      <c r="E707" s="8">
        <v>0</v>
      </c>
      <c r="F707" s="8">
        <v>0</v>
      </c>
      <c r="G707" s="8">
        <v>8</v>
      </c>
      <c r="H707" s="8" t="s">
        <v>27053</v>
      </c>
      <c r="I707" s="8">
        <v>526.6875</v>
      </c>
      <c r="J707" s="3">
        <f t="shared" si="11"/>
        <v>43748.478889849539</v>
      </c>
    </row>
    <row r="708" spans="1:10" x14ac:dyDescent="0.25">
      <c r="A708" s="5" t="s">
        <v>27054</v>
      </c>
      <c r="B708" s="6">
        <v>393.75</v>
      </c>
      <c r="C708" s="6">
        <v>20.478950000000001</v>
      </c>
      <c r="D708" s="6">
        <v>56</v>
      </c>
      <c r="E708" s="6">
        <v>0</v>
      </c>
      <c r="F708" s="6">
        <v>0</v>
      </c>
      <c r="G708" s="6">
        <v>10</v>
      </c>
      <c r="H708" s="6" t="s">
        <v>27055</v>
      </c>
      <c r="I708" s="6">
        <v>526.6875</v>
      </c>
      <c r="J708" s="2">
        <f t="shared" si="11"/>
        <v>43748.478961736109</v>
      </c>
    </row>
    <row r="709" spans="1:10" x14ac:dyDescent="0.25">
      <c r="A709" s="7" t="s">
        <v>27056</v>
      </c>
      <c r="B709" s="8">
        <v>393.75</v>
      </c>
      <c r="C709" s="8">
        <v>20.531590000000001</v>
      </c>
      <c r="D709" s="8">
        <v>56</v>
      </c>
      <c r="E709" s="8">
        <v>0</v>
      </c>
      <c r="F709" s="8">
        <v>0</v>
      </c>
      <c r="G709" s="8">
        <v>11</v>
      </c>
      <c r="H709" s="8" t="s">
        <v>27057</v>
      </c>
      <c r="I709" s="8">
        <v>526.6875</v>
      </c>
      <c r="J709" s="3">
        <f t="shared" si="11"/>
        <v>43748.479033391202</v>
      </c>
    </row>
    <row r="710" spans="1:10" x14ac:dyDescent="0.25">
      <c r="A710" s="5" t="s">
        <v>27058</v>
      </c>
      <c r="B710" s="6">
        <v>393.75</v>
      </c>
      <c r="C710" s="6">
        <v>20.478950000000001</v>
      </c>
      <c r="D710" s="6">
        <v>52</v>
      </c>
      <c r="E710" s="6">
        <v>0</v>
      </c>
      <c r="F710" s="6">
        <v>0</v>
      </c>
      <c r="G710" s="6">
        <v>12</v>
      </c>
      <c r="H710" s="6" t="s">
        <v>27059</v>
      </c>
      <c r="I710" s="6">
        <v>526.6875</v>
      </c>
      <c r="J710" s="2">
        <f t="shared" si="11"/>
        <v>43748.479116828697</v>
      </c>
    </row>
    <row r="711" spans="1:10" x14ac:dyDescent="0.25">
      <c r="A711" s="7" t="s">
        <v>27060</v>
      </c>
      <c r="B711" s="8">
        <v>393.75</v>
      </c>
      <c r="C711" s="8">
        <v>20.478950000000001</v>
      </c>
      <c r="D711" s="8">
        <v>53</v>
      </c>
      <c r="E711" s="8">
        <v>0</v>
      </c>
      <c r="F711" s="8">
        <v>0</v>
      </c>
      <c r="G711" s="8">
        <v>2</v>
      </c>
      <c r="H711" s="8" t="s">
        <v>27061</v>
      </c>
      <c r="I711" s="8">
        <v>526.6875</v>
      </c>
      <c r="J711" s="3">
        <f t="shared" si="11"/>
        <v>43748.4792002662</v>
      </c>
    </row>
    <row r="712" spans="1:10" x14ac:dyDescent="0.25">
      <c r="A712" s="5" t="s">
        <v>27062</v>
      </c>
      <c r="B712" s="6">
        <v>412.5</v>
      </c>
      <c r="C712" s="6">
        <v>20.531590000000001</v>
      </c>
      <c r="D712" s="6">
        <v>56</v>
      </c>
      <c r="E712" s="6">
        <v>0</v>
      </c>
      <c r="F712" s="6">
        <v>0</v>
      </c>
      <c r="G712" s="6">
        <v>3</v>
      </c>
      <c r="H712" s="6" t="s">
        <v>27063</v>
      </c>
      <c r="I712" s="6">
        <v>532.3125</v>
      </c>
      <c r="J712" s="2">
        <f t="shared" si="11"/>
        <v>43748.479283726854</v>
      </c>
    </row>
    <row r="713" spans="1:10" x14ac:dyDescent="0.25">
      <c r="A713" s="7" t="s">
        <v>27064</v>
      </c>
      <c r="B713" s="8">
        <v>396.875</v>
      </c>
      <c r="C713" s="8">
        <v>20.478950000000001</v>
      </c>
      <c r="D713" s="8">
        <v>56</v>
      </c>
      <c r="E713" s="8">
        <v>0</v>
      </c>
      <c r="F713" s="8">
        <v>0</v>
      </c>
      <c r="G713" s="8">
        <v>4</v>
      </c>
      <c r="H713" s="8" t="s">
        <v>27065</v>
      </c>
      <c r="I713" s="8">
        <v>527.4375</v>
      </c>
      <c r="J713" s="3">
        <f t="shared" si="11"/>
        <v>43748.47936730324</v>
      </c>
    </row>
    <row r="714" spans="1:10" x14ac:dyDescent="0.25">
      <c r="A714" s="5" t="s">
        <v>27066</v>
      </c>
      <c r="B714" s="6">
        <v>396.875</v>
      </c>
      <c r="C714" s="6">
        <v>20.531590000000001</v>
      </c>
      <c r="D714" s="6">
        <v>56</v>
      </c>
      <c r="E714" s="6">
        <v>0</v>
      </c>
      <c r="F714" s="6">
        <v>0</v>
      </c>
      <c r="G714" s="6">
        <v>4</v>
      </c>
      <c r="H714" s="6" t="s">
        <v>27067</v>
      </c>
      <c r="I714" s="6">
        <v>527.4375</v>
      </c>
      <c r="J714" s="2">
        <f t="shared" si="11"/>
        <v>43748.479450740742</v>
      </c>
    </row>
    <row r="715" spans="1:10" x14ac:dyDescent="0.25">
      <c r="A715" s="7" t="s">
        <v>27068</v>
      </c>
      <c r="B715" s="8">
        <v>393.75</v>
      </c>
      <c r="C715" s="8">
        <v>20.531590000000001</v>
      </c>
      <c r="D715" s="8">
        <v>56</v>
      </c>
      <c r="E715" s="8">
        <v>0</v>
      </c>
      <c r="F715" s="8">
        <v>0</v>
      </c>
      <c r="G715" s="8">
        <v>4</v>
      </c>
      <c r="H715" s="8" t="s">
        <v>27069</v>
      </c>
      <c r="I715" s="8">
        <v>526.6875</v>
      </c>
      <c r="J715" s="3">
        <f t="shared" si="11"/>
        <v>43748.479534444443</v>
      </c>
    </row>
    <row r="716" spans="1:10" x14ac:dyDescent="0.25">
      <c r="A716" s="5" t="s">
        <v>27070</v>
      </c>
      <c r="B716" s="6">
        <v>393.75</v>
      </c>
      <c r="C716" s="6">
        <v>20.531590000000001</v>
      </c>
      <c r="D716" s="6">
        <v>56</v>
      </c>
      <c r="E716" s="6">
        <v>0</v>
      </c>
      <c r="F716" s="6">
        <v>0</v>
      </c>
      <c r="G716" s="6">
        <v>0</v>
      </c>
      <c r="H716" s="6" t="s">
        <v>27071</v>
      </c>
      <c r="I716" s="6">
        <v>526.6875</v>
      </c>
      <c r="J716" s="2">
        <f t="shared" si="11"/>
        <v>43748.479618831021</v>
      </c>
    </row>
    <row r="717" spans="1:10" x14ac:dyDescent="0.25">
      <c r="A717" s="7" t="s">
        <v>27072</v>
      </c>
      <c r="B717" s="8">
        <v>393.75</v>
      </c>
      <c r="C717" s="8">
        <v>20.478950000000001</v>
      </c>
      <c r="D717" s="8">
        <v>56</v>
      </c>
      <c r="E717" s="8">
        <v>0</v>
      </c>
      <c r="F717" s="8">
        <v>0</v>
      </c>
      <c r="G717" s="8">
        <v>9</v>
      </c>
      <c r="H717" s="8" t="s">
        <v>27073</v>
      </c>
      <c r="I717" s="8">
        <v>526.6875</v>
      </c>
      <c r="J717" s="3">
        <f t="shared" si="11"/>
        <v>43748.479700972217</v>
      </c>
    </row>
    <row r="718" spans="1:10" x14ac:dyDescent="0.25">
      <c r="A718" s="5" t="s">
        <v>27074</v>
      </c>
      <c r="B718" s="6">
        <v>393.75</v>
      </c>
      <c r="C718" s="6">
        <v>20.531590000000001</v>
      </c>
      <c r="D718" s="6">
        <v>56</v>
      </c>
      <c r="E718" s="6">
        <v>0</v>
      </c>
      <c r="F718" s="6">
        <v>0</v>
      </c>
      <c r="G718" s="6">
        <v>10</v>
      </c>
      <c r="H718" s="6" t="s">
        <v>27075</v>
      </c>
      <c r="I718" s="6">
        <v>526.6875</v>
      </c>
      <c r="J718" s="2">
        <f t="shared" si="11"/>
        <v>43748.479772627317</v>
      </c>
    </row>
    <row r="719" spans="1:10" x14ac:dyDescent="0.25">
      <c r="A719" s="7" t="s">
        <v>27076</v>
      </c>
      <c r="B719" s="8">
        <v>393.75</v>
      </c>
      <c r="C719" s="8">
        <v>20.531590000000001</v>
      </c>
      <c r="D719" s="8">
        <v>55</v>
      </c>
      <c r="E719" s="8">
        <v>0</v>
      </c>
      <c r="F719" s="8">
        <v>0</v>
      </c>
      <c r="G719" s="8">
        <v>9</v>
      </c>
      <c r="H719" s="8" t="s">
        <v>27077</v>
      </c>
      <c r="I719" s="8">
        <v>526.6875</v>
      </c>
      <c r="J719" s="3">
        <f t="shared" si="11"/>
        <v>43748.479856203703</v>
      </c>
    </row>
    <row r="720" spans="1:10" x14ac:dyDescent="0.25">
      <c r="A720" s="5" t="s">
        <v>27078</v>
      </c>
      <c r="B720" s="6">
        <v>393.75</v>
      </c>
      <c r="C720" s="6">
        <v>20.531590000000001</v>
      </c>
      <c r="D720" s="6">
        <v>55</v>
      </c>
      <c r="E720" s="6">
        <v>0</v>
      </c>
      <c r="F720" s="6">
        <v>0</v>
      </c>
      <c r="G720" s="6">
        <v>7</v>
      </c>
      <c r="H720" s="6" t="s">
        <v>27079</v>
      </c>
      <c r="I720" s="6">
        <v>526.6875</v>
      </c>
      <c r="J720" s="2">
        <f t="shared" si="11"/>
        <v>43748.479939618053</v>
      </c>
    </row>
    <row r="721" spans="1:10" x14ac:dyDescent="0.25">
      <c r="A721" s="7" t="s">
        <v>27080</v>
      </c>
      <c r="B721" s="8">
        <v>393.75</v>
      </c>
      <c r="C721" s="8">
        <v>20.531590000000001</v>
      </c>
      <c r="D721" s="8">
        <v>53</v>
      </c>
      <c r="E721" s="8">
        <v>0</v>
      </c>
      <c r="F721" s="8">
        <v>0</v>
      </c>
      <c r="G721" s="8">
        <v>6</v>
      </c>
      <c r="H721" s="8" t="s">
        <v>27081</v>
      </c>
      <c r="I721" s="8">
        <v>526.6875</v>
      </c>
      <c r="J721" s="3">
        <f t="shared" si="11"/>
        <v>43748.480023182863</v>
      </c>
    </row>
    <row r="722" spans="1:10" x14ac:dyDescent="0.25">
      <c r="A722" s="5" t="s">
        <v>27082</v>
      </c>
      <c r="B722" s="6">
        <v>393.75</v>
      </c>
      <c r="C722" s="6">
        <v>20.531590000000001</v>
      </c>
      <c r="D722" s="6">
        <v>53</v>
      </c>
      <c r="E722" s="6">
        <v>0</v>
      </c>
      <c r="F722" s="6">
        <v>0</v>
      </c>
      <c r="G722" s="6">
        <v>4</v>
      </c>
      <c r="H722" s="6" t="s">
        <v>27083</v>
      </c>
      <c r="I722" s="6">
        <v>526.6875</v>
      </c>
      <c r="J722" s="2">
        <f t="shared" si="11"/>
        <v>43748.480116585641</v>
      </c>
    </row>
    <row r="723" spans="1:10" x14ac:dyDescent="0.25">
      <c r="A723" s="7" t="s">
        <v>27084</v>
      </c>
      <c r="B723" s="8">
        <v>393.75</v>
      </c>
      <c r="C723" s="8">
        <v>20.531590000000001</v>
      </c>
      <c r="D723" s="8">
        <v>52</v>
      </c>
      <c r="E723" s="8">
        <v>0</v>
      </c>
      <c r="F723" s="8">
        <v>0</v>
      </c>
      <c r="G723" s="8">
        <v>15</v>
      </c>
      <c r="H723" s="8" t="s">
        <v>27085</v>
      </c>
      <c r="I723" s="8">
        <v>526.5</v>
      </c>
      <c r="J723" s="3">
        <f t="shared" si="11"/>
        <v>43748.48018987268</v>
      </c>
    </row>
    <row r="724" spans="1:10" x14ac:dyDescent="0.25">
      <c r="A724" s="5" t="s">
        <v>27086</v>
      </c>
      <c r="B724" s="6">
        <v>412.5</v>
      </c>
      <c r="C724" s="6">
        <v>20.531590000000001</v>
      </c>
      <c r="D724" s="6">
        <v>52</v>
      </c>
      <c r="E724" s="6">
        <v>0</v>
      </c>
      <c r="F724" s="6">
        <v>0</v>
      </c>
      <c r="G724" s="6">
        <v>16</v>
      </c>
      <c r="H724" s="6" t="s">
        <v>27087</v>
      </c>
      <c r="I724" s="6">
        <v>532.3125</v>
      </c>
      <c r="J724" s="2">
        <f t="shared" si="11"/>
        <v>43748.480261493052</v>
      </c>
    </row>
    <row r="725" spans="1:10" x14ac:dyDescent="0.25">
      <c r="A725" s="7" t="s">
        <v>27088</v>
      </c>
      <c r="B725" s="8">
        <v>393.75</v>
      </c>
      <c r="C725" s="8">
        <v>20.531590000000001</v>
      </c>
      <c r="D725" s="8">
        <v>51</v>
      </c>
      <c r="E725" s="8">
        <v>0</v>
      </c>
      <c r="F725" s="8">
        <v>0</v>
      </c>
      <c r="G725" s="8">
        <v>12</v>
      </c>
      <c r="H725" s="8" t="s">
        <v>27089</v>
      </c>
      <c r="I725" s="8">
        <v>526.6875</v>
      </c>
      <c r="J725" s="3">
        <f t="shared" si="11"/>
        <v>43748.480345208336</v>
      </c>
    </row>
    <row r="726" spans="1:10" x14ac:dyDescent="0.25">
      <c r="A726" s="5" t="s">
        <v>27090</v>
      </c>
      <c r="B726" s="6">
        <v>393.75</v>
      </c>
      <c r="C726" s="6">
        <v>20.531590000000001</v>
      </c>
      <c r="D726" s="6">
        <v>52</v>
      </c>
      <c r="E726" s="6">
        <v>0</v>
      </c>
      <c r="F726" s="6">
        <v>0</v>
      </c>
      <c r="G726" s="6">
        <v>11</v>
      </c>
      <c r="H726" s="6" t="s">
        <v>27091</v>
      </c>
      <c r="I726" s="6">
        <v>526.5</v>
      </c>
      <c r="J726" s="2">
        <f t="shared" si="11"/>
        <v>43748.480428749994</v>
      </c>
    </row>
    <row r="727" spans="1:10" x14ac:dyDescent="0.25">
      <c r="A727" s="7" t="s">
        <v>27092</v>
      </c>
      <c r="B727" s="8">
        <v>393.75</v>
      </c>
      <c r="C727" s="8">
        <v>20.531590000000001</v>
      </c>
      <c r="D727" s="8">
        <v>53</v>
      </c>
      <c r="E727" s="8">
        <v>0</v>
      </c>
      <c r="F727" s="8">
        <v>0</v>
      </c>
      <c r="G727" s="8">
        <v>16</v>
      </c>
      <c r="H727" s="8" t="s">
        <v>27093</v>
      </c>
      <c r="I727" s="8">
        <v>526.6875</v>
      </c>
      <c r="J727" s="3">
        <f t="shared" si="11"/>
        <v>43748.480512071757</v>
      </c>
    </row>
    <row r="728" spans="1:10" x14ac:dyDescent="0.25">
      <c r="A728" s="5" t="s">
        <v>27094</v>
      </c>
      <c r="B728" s="6">
        <v>393.75</v>
      </c>
      <c r="C728" s="6">
        <v>20.531590000000001</v>
      </c>
      <c r="D728" s="6">
        <v>51</v>
      </c>
      <c r="E728" s="6">
        <v>0</v>
      </c>
      <c r="F728" s="6">
        <v>0</v>
      </c>
      <c r="G728" s="6">
        <v>14</v>
      </c>
      <c r="H728" s="6" t="s">
        <v>27095</v>
      </c>
      <c r="I728" s="6">
        <v>526.6875</v>
      </c>
      <c r="J728" s="2">
        <f t="shared" si="11"/>
        <v>43748.480595578701</v>
      </c>
    </row>
    <row r="729" spans="1:10" x14ac:dyDescent="0.25">
      <c r="A729" s="7" t="s">
        <v>27096</v>
      </c>
      <c r="B729" s="8">
        <v>412.5</v>
      </c>
      <c r="C729" s="8">
        <v>20.478950000000001</v>
      </c>
      <c r="D729" s="8">
        <v>51</v>
      </c>
      <c r="E729" s="8">
        <v>0</v>
      </c>
      <c r="F729" s="8">
        <v>0</v>
      </c>
      <c r="G729" s="8">
        <v>8</v>
      </c>
      <c r="H729" s="8" t="s">
        <v>27097</v>
      </c>
      <c r="I729" s="8">
        <v>532.3125</v>
      </c>
      <c r="J729" s="3">
        <f t="shared" si="11"/>
        <v>43748.480678761574</v>
      </c>
    </row>
    <row r="730" spans="1:10" x14ac:dyDescent="0.25">
      <c r="A730" s="5" t="s">
        <v>27098</v>
      </c>
      <c r="B730" s="6">
        <v>393.75</v>
      </c>
      <c r="C730" s="6">
        <v>20.531590000000001</v>
      </c>
      <c r="D730" s="6">
        <v>51</v>
      </c>
      <c r="E730" s="6">
        <v>0</v>
      </c>
      <c r="F730" s="6">
        <v>0</v>
      </c>
      <c r="G730" s="6">
        <v>0</v>
      </c>
      <c r="H730" s="6" t="s">
        <v>27099</v>
      </c>
      <c r="I730" s="6">
        <v>526.6875</v>
      </c>
      <c r="J730" s="2">
        <f t="shared" si="11"/>
        <v>43748.48075052083</v>
      </c>
    </row>
    <row r="731" spans="1:10" x14ac:dyDescent="0.25">
      <c r="A731" s="7" t="s">
        <v>27100</v>
      </c>
      <c r="B731" s="8">
        <v>393.75</v>
      </c>
      <c r="C731" s="8">
        <v>20.531590000000001</v>
      </c>
      <c r="D731" s="8">
        <v>51</v>
      </c>
      <c r="E731" s="8">
        <v>0</v>
      </c>
      <c r="F731" s="8">
        <v>0</v>
      </c>
      <c r="G731" s="8">
        <v>10</v>
      </c>
      <c r="H731" s="8" t="s">
        <v>27101</v>
      </c>
      <c r="I731" s="8">
        <v>526.6875</v>
      </c>
      <c r="J731" s="3">
        <f t="shared" si="11"/>
        <v>43748.480834062495</v>
      </c>
    </row>
    <row r="732" spans="1:10" x14ac:dyDescent="0.25">
      <c r="A732" s="5" t="s">
        <v>27102</v>
      </c>
      <c r="B732" s="6">
        <v>393.75</v>
      </c>
      <c r="C732" s="6">
        <v>20.531590000000001</v>
      </c>
      <c r="D732" s="6">
        <v>53</v>
      </c>
      <c r="E732" s="6">
        <v>0</v>
      </c>
      <c r="F732" s="6">
        <v>0</v>
      </c>
      <c r="G732" s="6">
        <v>11</v>
      </c>
      <c r="H732" s="6" t="s">
        <v>27103</v>
      </c>
      <c r="I732" s="6">
        <v>526.6875</v>
      </c>
      <c r="J732" s="2">
        <f t="shared" si="11"/>
        <v>43748.480917511573</v>
      </c>
    </row>
    <row r="733" spans="1:10" x14ac:dyDescent="0.25">
      <c r="A733" s="7" t="s">
        <v>27104</v>
      </c>
      <c r="B733" s="8">
        <v>393.75</v>
      </c>
      <c r="C733" s="8">
        <v>20.531590000000001</v>
      </c>
      <c r="D733" s="8">
        <v>53</v>
      </c>
      <c r="E733" s="8">
        <v>0</v>
      </c>
      <c r="F733" s="8">
        <v>0</v>
      </c>
      <c r="G733" s="8">
        <v>11</v>
      </c>
      <c r="H733" s="8" t="s">
        <v>27105</v>
      </c>
      <c r="I733" s="8">
        <v>526.5</v>
      </c>
      <c r="J733" s="3">
        <f t="shared" si="11"/>
        <v>43748.481000960644</v>
      </c>
    </row>
    <row r="734" spans="1:10" x14ac:dyDescent="0.25">
      <c r="A734" s="5" t="s">
        <v>27106</v>
      </c>
      <c r="B734" s="6">
        <v>428.125</v>
      </c>
      <c r="C734" s="6">
        <v>20.584240000000001</v>
      </c>
      <c r="D734" s="6">
        <v>55</v>
      </c>
      <c r="E734" s="6">
        <v>0</v>
      </c>
      <c r="F734" s="6">
        <v>0</v>
      </c>
      <c r="G734" s="6">
        <v>18</v>
      </c>
      <c r="H734" s="6" t="s">
        <v>27107</v>
      </c>
      <c r="I734" s="6">
        <v>537.75</v>
      </c>
      <c r="J734" s="2">
        <f t="shared" si="11"/>
        <v>43748.481084525461</v>
      </c>
    </row>
    <row r="735" spans="1:10" x14ac:dyDescent="0.25">
      <c r="A735" s="7" t="s">
        <v>27108</v>
      </c>
      <c r="B735" s="8">
        <v>393.75</v>
      </c>
      <c r="C735" s="8">
        <v>20.531590000000001</v>
      </c>
      <c r="D735" s="8">
        <v>54</v>
      </c>
      <c r="E735" s="8">
        <v>0</v>
      </c>
      <c r="F735" s="8">
        <v>0</v>
      </c>
      <c r="G735" s="8">
        <v>15</v>
      </c>
      <c r="H735" s="8" t="s">
        <v>27109</v>
      </c>
      <c r="I735" s="8">
        <v>526.6875</v>
      </c>
      <c r="J735" s="3">
        <f t="shared" si="11"/>
        <v>43748.481182974538</v>
      </c>
    </row>
    <row r="736" spans="1:10" x14ac:dyDescent="0.25">
      <c r="A736" s="5" t="s">
        <v>27110</v>
      </c>
      <c r="B736" s="6">
        <v>412.5</v>
      </c>
      <c r="C736" s="6">
        <v>20.531590000000001</v>
      </c>
      <c r="D736" s="6">
        <v>54</v>
      </c>
      <c r="E736" s="6">
        <v>0</v>
      </c>
      <c r="F736" s="6">
        <v>0</v>
      </c>
      <c r="G736" s="6">
        <v>17</v>
      </c>
      <c r="H736" s="6" t="s">
        <v>27111</v>
      </c>
      <c r="I736" s="6">
        <v>532.125</v>
      </c>
      <c r="J736" s="2">
        <f t="shared" si="11"/>
        <v>43748.481263449074</v>
      </c>
    </row>
    <row r="737" spans="1:10" x14ac:dyDescent="0.25">
      <c r="A737" s="7" t="s">
        <v>27112</v>
      </c>
      <c r="B737" s="8">
        <v>393.75</v>
      </c>
      <c r="C737" s="8">
        <v>20.531590000000001</v>
      </c>
      <c r="D737" s="8">
        <v>55</v>
      </c>
      <c r="E737" s="8">
        <v>0</v>
      </c>
      <c r="F737" s="8">
        <v>0</v>
      </c>
      <c r="G737" s="8">
        <v>12</v>
      </c>
      <c r="H737" s="8" t="s">
        <v>27113</v>
      </c>
      <c r="I737" s="8">
        <v>526.6875</v>
      </c>
      <c r="J737" s="3">
        <f t="shared" si="11"/>
        <v>43748.481346898145</v>
      </c>
    </row>
    <row r="738" spans="1:10" x14ac:dyDescent="0.25">
      <c r="A738" s="5" t="s">
        <v>27114</v>
      </c>
      <c r="B738" s="6">
        <v>393.75</v>
      </c>
      <c r="C738" s="6">
        <v>20.478950000000001</v>
      </c>
      <c r="D738" s="6">
        <v>55</v>
      </c>
      <c r="E738" s="6">
        <v>0</v>
      </c>
      <c r="F738" s="6">
        <v>0</v>
      </c>
      <c r="G738" s="6">
        <v>9</v>
      </c>
      <c r="H738" s="6" t="s">
        <v>27115</v>
      </c>
      <c r="I738" s="6">
        <v>526.6875</v>
      </c>
      <c r="J738" s="2">
        <f t="shared" si="11"/>
        <v>43748.481430451386</v>
      </c>
    </row>
    <row r="739" spans="1:10" x14ac:dyDescent="0.25">
      <c r="A739" s="7" t="s">
        <v>27116</v>
      </c>
      <c r="B739" s="8">
        <v>393.75</v>
      </c>
      <c r="C739" s="8">
        <v>20.531590000000001</v>
      </c>
      <c r="D739" s="8">
        <v>54</v>
      </c>
      <c r="E739" s="8">
        <v>0</v>
      </c>
      <c r="F739" s="8">
        <v>0</v>
      </c>
      <c r="G739" s="8">
        <v>8</v>
      </c>
      <c r="H739" s="8" t="s">
        <v>27117</v>
      </c>
      <c r="I739" s="8">
        <v>526.6875</v>
      </c>
      <c r="J739" s="3">
        <f t="shared" si="11"/>
        <v>43748.481513900457</v>
      </c>
    </row>
    <row r="740" spans="1:10" x14ac:dyDescent="0.25">
      <c r="A740" s="5" t="s">
        <v>27118</v>
      </c>
      <c r="B740" s="6">
        <v>393.75</v>
      </c>
      <c r="C740" s="6">
        <v>20.478950000000001</v>
      </c>
      <c r="D740" s="6">
        <v>52</v>
      </c>
      <c r="E740" s="6">
        <v>0</v>
      </c>
      <c r="F740" s="6">
        <v>0</v>
      </c>
      <c r="G740" s="6">
        <v>4</v>
      </c>
      <c r="H740" s="6" t="s">
        <v>27119</v>
      </c>
      <c r="I740" s="6">
        <v>526.6875</v>
      </c>
      <c r="J740" s="2">
        <f t="shared" si="11"/>
        <v>43748.481585335649</v>
      </c>
    </row>
    <row r="741" spans="1:10" x14ac:dyDescent="0.25">
      <c r="A741" s="7" t="s">
        <v>27120</v>
      </c>
      <c r="B741" s="8">
        <v>393.75</v>
      </c>
      <c r="C741" s="8">
        <v>20.531590000000001</v>
      </c>
      <c r="D741" s="8">
        <v>52</v>
      </c>
      <c r="E741" s="8">
        <v>0</v>
      </c>
      <c r="F741" s="8">
        <v>0</v>
      </c>
      <c r="G741" s="8">
        <v>14</v>
      </c>
      <c r="H741" s="8" t="s">
        <v>27121</v>
      </c>
      <c r="I741" s="8">
        <v>526.6875</v>
      </c>
      <c r="J741" s="3">
        <f t="shared" si="11"/>
        <v>43748.48165660879</v>
      </c>
    </row>
    <row r="742" spans="1:10" x14ac:dyDescent="0.25">
      <c r="A742" s="5" t="s">
        <v>27122</v>
      </c>
      <c r="B742" s="6">
        <v>393.75</v>
      </c>
      <c r="C742" s="6">
        <v>20.584240000000001</v>
      </c>
      <c r="D742" s="6">
        <v>53</v>
      </c>
      <c r="E742" s="6">
        <v>0</v>
      </c>
      <c r="F742" s="6">
        <v>0</v>
      </c>
      <c r="G742" s="6">
        <v>6</v>
      </c>
      <c r="H742" s="6" t="s">
        <v>27123</v>
      </c>
      <c r="I742" s="6">
        <v>526.6875</v>
      </c>
      <c r="J742" s="2">
        <f t="shared" si="11"/>
        <v>43748.481740509254</v>
      </c>
    </row>
    <row r="743" spans="1:10" x14ac:dyDescent="0.25">
      <c r="A743" s="7" t="s">
        <v>27124</v>
      </c>
      <c r="B743" s="8">
        <v>393.75</v>
      </c>
      <c r="C743" s="8">
        <v>20.478950000000001</v>
      </c>
      <c r="D743" s="8">
        <v>52</v>
      </c>
      <c r="E743" s="8">
        <v>0</v>
      </c>
      <c r="F743" s="8">
        <v>0</v>
      </c>
      <c r="G743" s="8">
        <v>10</v>
      </c>
      <c r="H743" s="8" t="s">
        <v>27125</v>
      </c>
      <c r="I743" s="8">
        <v>526.6875</v>
      </c>
      <c r="J743" s="3">
        <f t="shared" si="11"/>
        <v>43748.481824074071</v>
      </c>
    </row>
    <row r="744" spans="1:10" x14ac:dyDescent="0.25">
      <c r="A744" s="5" t="s">
        <v>27126</v>
      </c>
      <c r="B744" s="6">
        <v>393.75</v>
      </c>
      <c r="C744" s="6">
        <v>20.531590000000001</v>
      </c>
      <c r="D744" s="6">
        <v>52</v>
      </c>
      <c r="E744" s="6">
        <v>0</v>
      </c>
      <c r="F744" s="6">
        <v>0</v>
      </c>
      <c r="G744" s="6">
        <v>8</v>
      </c>
      <c r="H744" s="6" t="s">
        <v>27127</v>
      </c>
      <c r="I744" s="6">
        <v>526.6875</v>
      </c>
      <c r="J744" s="2">
        <f t="shared" si="11"/>
        <v>43748.481895497687</v>
      </c>
    </row>
    <row r="745" spans="1:10" x14ac:dyDescent="0.25">
      <c r="A745" s="7" t="s">
        <v>27128</v>
      </c>
      <c r="B745" s="8">
        <v>393.75</v>
      </c>
      <c r="C745" s="8">
        <v>20.478950000000001</v>
      </c>
      <c r="D745" s="8">
        <v>52</v>
      </c>
      <c r="E745" s="8">
        <v>0</v>
      </c>
      <c r="F745" s="8">
        <v>0</v>
      </c>
      <c r="G745" s="8">
        <v>28</v>
      </c>
      <c r="H745" s="8" t="s">
        <v>27129</v>
      </c>
      <c r="I745" s="8">
        <v>526.6875</v>
      </c>
      <c r="J745" s="3">
        <f t="shared" si="11"/>
        <v>43748.481978842588</v>
      </c>
    </row>
    <row r="746" spans="1:10" x14ac:dyDescent="0.25">
      <c r="A746" s="5" t="s">
        <v>27130</v>
      </c>
      <c r="B746" s="6">
        <v>393.75</v>
      </c>
      <c r="C746" s="6">
        <v>20.531590000000001</v>
      </c>
      <c r="D746" s="6">
        <v>52</v>
      </c>
      <c r="E746" s="6">
        <v>0</v>
      </c>
      <c r="F746" s="6">
        <v>0</v>
      </c>
      <c r="G746" s="6">
        <v>17</v>
      </c>
      <c r="H746" s="6" t="s">
        <v>27131</v>
      </c>
      <c r="I746" s="6">
        <v>526.6875</v>
      </c>
      <c r="J746" s="2">
        <f t="shared" si="11"/>
        <v>43748.482050462961</v>
      </c>
    </row>
    <row r="747" spans="1:10" x14ac:dyDescent="0.25">
      <c r="A747" s="7" t="s">
        <v>27132</v>
      </c>
      <c r="B747" s="8">
        <v>412.5</v>
      </c>
      <c r="C747" s="8">
        <v>20.478950000000001</v>
      </c>
      <c r="D747" s="8">
        <v>51</v>
      </c>
      <c r="E747" s="8">
        <v>0</v>
      </c>
      <c r="F747" s="8">
        <v>0</v>
      </c>
      <c r="G747" s="8">
        <v>8</v>
      </c>
      <c r="H747" s="8" t="s">
        <v>27133</v>
      </c>
      <c r="I747" s="8">
        <v>532.3125</v>
      </c>
      <c r="J747" s="3">
        <f t="shared" si="11"/>
        <v>43748.482134050922</v>
      </c>
    </row>
    <row r="748" spans="1:10" x14ac:dyDescent="0.25">
      <c r="A748" s="5" t="s">
        <v>27134</v>
      </c>
      <c r="B748" s="6">
        <v>393.75</v>
      </c>
      <c r="C748" s="6">
        <v>20.478950000000001</v>
      </c>
      <c r="D748" s="6">
        <v>51</v>
      </c>
      <c r="E748" s="6">
        <v>0</v>
      </c>
      <c r="F748" s="6">
        <v>0</v>
      </c>
      <c r="G748" s="6">
        <v>12</v>
      </c>
      <c r="H748" s="6" t="s">
        <v>27135</v>
      </c>
      <c r="I748" s="6">
        <v>526.5</v>
      </c>
      <c r="J748" s="2">
        <f t="shared" si="11"/>
        <v>43748.482217476849</v>
      </c>
    </row>
    <row r="749" spans="1:10" x14ac:dyDescent="0.25">
      <c r="A749" s="7" t="s">
        <v>27136</v>
      </c>
      <c r="B749" s="8">
        <v>393.75</v>
      </c>
      <c r="C749" s="8">
        <v>20.584240000000001</v>
      </c>
      <c r="D749" s="8">
        <v>51</v>
      </c>
      <c r="E749" s="8">
        <v>0</v>
      </c>
      <c r="F749" s="8">
        <v>0</v>
      </c>
      <c r="G749" s="8">
        <v>8</v>
      </c>
      <c r="H749" s="8" t="s">
        <v>27137</v>
      </c>
      <c r="I749" s="8">
        <v>526.6875</v>
      </c>
      <c r="J749" s="3">
        <f t="shared" si="11"/>
        <v>43748.482301041666</v>
      </c>
    </row>
    <row r="750" spans="1:10" x14ac:dyDescent="0.25">
      <c r="A750" s="5" t="s">
        <v>27138</v>
      </c>
      <c r="B750" s="6">
        <v>393.75</v>
      </c>
      <c r="C750" s="6">
        <v>20.531590000000001</v>
      </c>
      <c r="D750" s="6">
        <v>50</v>
      </c>
      <c r="E750" s="6">
        <v>0</v>
      </c>
      <c r="F750" s="6">
        <v>0</v>
      </c>
      <c r="G750" s="6">
        <v>10</v>
      </c>
      <c r="H750" s="6" t="s">
        <v>27139</v>
      </c>
      <c r="I750" s="6">
        <v>526.6875</v>
      </c>
      <c r="J750" s="2">
        <f t="shared" si="11"/>
        <v>43748.482384386567</v>
      </c>
    </row>
    <row r="751" spans="1:10" x14ac:dyDescent="0.25">
      <c r="A751" s="7" t="s">
        <v>27140</v>
      </c>
      <c r="B751" s="8">
        <v>393.75</v>
      </c>
      <c r="C751" s="8">
        <v>20.584240000000001</v>
      </c>
      <c r="D751" s="8">
        <v>51</v>
      </c>
      <c r="E751" s="8">
        <v>0</v>
      </c>
      <c r="F751" s="8">
        <v>0</v>
      </c>
      <c r="G751" s="8">
        <v>16</v>
      </c>
      <c r="H751" s="8" t="s">
        <v>27141</v>
      </c>
      <c r="I751" s="8">
        <v>526.6875</v>
      </c>
      <c r="J751" s="3">
        <f t="shared" si="11"/>
        <v>43748.482467731483</v>
      </c>
    </row>
    <row r="752" spans="1:10" x14ac:dyDescent="0.25">
      <c r="A752" s="5" t="s">
        <v>27142</v>
      </c>
      <c r="B752" s="6">
        <v>393.75</v>
      </c>
      <c r="C752" s="6">
        <v>20.478950000000001</v>
      </c>
      <c r="D752" s="6">
        <v>51</v>
      </c>
      <c r="E752" s="6">
        <v>0</v>
      </c>
      <c r="F752" s="6">
        <v>0</v>
      </c>
      <c r="G752" s="6">
        <v>16</v>
      </c>
      <c r="H752" s="6" t="s">
        <v>27143</v>
      </c>
      <c r="I752" s="6">
        <v>526.6875</v>
      </c>
      <c r="J752" s="2">
        <f t="shared" si="11"/>
        <v>43748.482539479162</v>
      </c>
    </row>
    <row r="753" spans="1:10" x14ac:dyDescent="0.25">
      <c r="A753" s="7" t="s">
        <v>27144</v>
      </c>
      <c r="B753" s="8">
        <v>393.75</v>
      </c>
      <c r="C753" s="8">
        <v>20.584240000000001</v>
      </c>
      <c r="D753" s="8">
        <v>51</v>
      </c>
      <c r="E753" s="8">
        <v>0</v>
      </c>
      <c r="F753" s="8">
        <v>0</v>
      </c>
      <c r="G753" s="8">
        <v>20</v>
      </c>
      <c r="H753" s="8" t="s">
        <v>27145</v>
      </c>
      <c r="I753" s="8">
        <v>526.6875</v>
      </c>
      <c r="J753" s="3">
        <f t="shared" si="11"/>
        <v>43748.482622928241</v>
      </c>
    </row>
    <row r="754" spans="1:10" x14ac:dyDescent="0.25">
      <c r="A754" s="5" t="s">
        <v>27146</v>
      </c>
      <c r="B754" s="6">
        <v>393.75</v>
      </c>
      <c r="C754" s="6">
        <v>20.531590000000001</v>
      </c>
      <c r="D754" s="6">
        <v>51</v>
      </c>
      <c r="E754" s="6">
        <v>0</v>
      </c>
      <c r="F754" s="6">
        <v>0</v>
      </c>
      <c r="G754" s="6">
        <v>11</v>
      </c>
      <c r="H754" s="6" t="s">
        <v>27147</v>
      </c>
      <c r="I754" s="6">
        <v>526.6875</v>
      </c>
      <c r="J754" s="2">
        <f t="shared" si="11"/>
        <v>43748.482706493051</v>
      </c>
    </row>
    <row r="755" spans="1:10" x14ac:dyDescent="0.25">
      <c r="A755" s="7" t="s">
        <v>27148</v>
      </c>
      <c r="B755" s="8">
        <v>393.75</v>
      </c>
      <c r="C755" s="8">
        <v>20.531590000000001</v>
      </c>
      <c r="D755" s="8">
        <v>52</v>
      </c>
      <c r="E755" s="8">
        <v>0</v>
      </c>
      <c r="F755" s="8">
        <v>0</v>
      </c>
      <c r="G755" s="8">
        <v>4</v>
      </c>
      <c r="H755" s="8" t="s">
        <v>27149</v>
      </c>
      <c r="I755" s="8">
        <v>526.6875</v>
      </c>
      <c r="J755" s="3">
        <f t="shared" si="11"/>
        <v>43748.482789942129</v>
      </c>
    </row>
    <row r="756" spans="1:10" x14ac:dyDescent="0.25">
      <c r="A756" s="5" t="s">
        <v>27150</v>
      </c>
      <c r="B756" s="6">
        <v>393.75</v>
      </c>
      <c r="C756" s="6">
        <v>20.478950000000001</v>
      </c>
      <c r="D756" s="6">
        <v>53</v>
      </c>
      <c r="E756" s="6">
        <v>0</v>
      </c>
      <c r="F756" s="6">
        <v>0</v>
      </c>
      <c r="G756" s="6">
        <v>8</v>
      </c>
      <c r="H756" s="6" t="s">
        <v>27151</v>
      </c>
      <c r="I756" s="6">
        <v>526.6875</v>
      </c>
      <c r="J756" s="2">
        <f t="shared" si="11"/>
        <v>43748.4828733912</v>
      </c>
    </row>
    <row r="757" spans="1:10" x14ac:dyDescent="0.25">
      <c r="A757" s="7" t="s">
        <v>27152</v>
      </c>
      <c r="B757" s="8">
        <v>393.75</v>
      </c>
      <c r="C757" s="8">
        <v>20.531590000000001</v>
      </c>
      <c r="D757" s="8">
        <v>51</v>
      </c>
      <c r="E757" s="8">
        <v>0</v>
      </c>
      <c r="F757" s="8">
        <v>0</v>
      </c>
      <c r="G757" s="8">
        <v>10</v>
      </c>
      <c r="H757" s="8" t="s">
        <v>27153</v>
      </c>
      <c r="I757" s="8">
        <v>526.6875</v>
      </c>
      <c r="J757" s="3">
        <f t="shared" si="11"/>
        <v>43748.482956608794</v>
      </c>
    </row>
    <row r="758" spans="1:10" x14ac:dyDescent="0.25">
      <c r="A758" s="5" t="s">
        <v>27154</v>
      </c>
      <c r="B758" s="6">
        <v>393.75</v>
      </c>
      <c r="C758" s="6">
        <v>20.584240000000001</v>
      </c>
      <c r="D758" s="6">
        <v>51</v>
      </c>
      <c r="E758" s="6">
        <v>0</v>
      </c>
      <c r="F758" s="6">
        <v>0</v>
      </c>
      <c r="G758" s="6">
        <v>4</v>
      </c>
      <c r="H758" s="6" t="s">
        <v>27155</v>
      </c>
      <c r="I758" s="6">
        <v>526.6875</v>
      </c>
      <c r="J758" s="2">
        <f t="shared" si="11"/>
        <v>43748.483028252311</v>
      </c>
    </row>
    <row r="759" spans="1:10" x14ac:dyDescent="0.25">
      <c r="A759" s="7" t="s">
        <v>27156</v>
      </c>
      <c r="B759" s="8">
        <v>393.75</v>
      </c>
      <c r="C759" s="8">
        <v>20.478950000000001</v>
      </c>
      <c r="D759" s="8">
        <v>51</v>
      </c>
      <c r="E759" s="8">
        <v>0</v>
      </c>
      <c r="F759" s="8">
        <v>0</v>
      </c>
      <c r="G759" s="8">
        <v>5</v>
      </c>
      <c r="H759" s="8" t="s">
        <v>27157</v>
      </c>
      <c r="I759" s="8">
        <v>526.6875</v>
      </c>
      <c r="J759" s="3">
        <f t="shared" si="11"/>
        <v>43748.483124062499</v>
      </c>
    </row>
    <row r="760" spans="1:10" x14ac:dyDescent="0.25">
      <c r="A760" s="5" t="s">
        <v>27158</v>
      </c>
      <c r="B760" s="6">
        <v>393.75</v>
      </c>
      <c r="C760" s="6">
        <v>20.531590000000001</v>
      </c>
      <c r="D760" s="6">
        <v>52</v>
      </c>
      <c r="E760" s="6">
        <v>0</v>
      </c>
      <c r="F760" s="6">
        <v>0</v>
      </c>
      <c r="G760" s="6">
        <v>4</v>
      </c>
      <c r="H760" s="6" t="s">
        <v>27159</v>
      </c>
      <c r="I760" s="6">
        <v>526.6875</v>
      </c>
      <c r="J760" s="2">
        <f t="shared" si="11"/>
        <v>43748.483195381945</v>
      </c>
    </row>
    <row r="761" spans="1:10" x14ac:dyDescent="0.25">
      <c r="A761" s="7" t="s">
        <v>27160</v>
      </c>
      <c r="B761" s="8">
        <v>393.75</v>
      </c>
      <c r="C761" s="8">
        <v>20.584240000000001</v>
      </c>
      <c r="D761" s="8">
        <v>52</v>
      </c>
      <c r="E761" s="8">
        <v>0</v>
      </c>
      <c r="F761" s="8">
        <v>0</v>
      </c>
      <c r="G761" s="8">
        <v>6</v>
      </c>
      <c r="H761" s="8" t="s">
        <v>27161</v>
      </c>
      <c r="I761" s="8">
        <v>526.6875</v>
      </c>
      <c r="J761" s="3">
        <f t="shared" si="11"/>
        <v>43748.483278842592</v>
      </c>
    </row>
    <row r="762" spans="1:10" x14ac:dyDescent="0.25">
      <c r="A762" s="5" t="s">
        <v>27162</v>
      </c>
      <c r="B762" s="6">
        <v>393.75</v>
      </c>
      <c r="C762" s="6">
        <v>20.531590000000001</v>
      </c>
      <c r="D762" s="6">
        <v>53</v>
      </c>
      <c r="E762" s="6">
        <v>0</v>
      </c>
      <c r="F762" s="6">
        <v>0</v>
      </c>
      <c r="G762" s="6">
        <v>10</v>
      </c>
      <c r="H762" s="6" t="s">
        <v>27163</v>
      </c>
      <c r="I762" s="6">
        <v>526.6875</v>
      </c>
      <c r="J762" s="2">
        <f t="shared" si="11"/>
        <v>43748.483362395833</v>
      </c>
    </row>
    <row r="763" spans="1:10" x14ac:dyDescent="0.25">
      <c r="A763" s="7" t="s">
        <v>27164</v>
      </c>
      <c r="B763" s="8">
        <v>393.75</v>
      </c>
      <c r="C763" s="8">
        <v>20.531590000000001</v>
      </c>
      <c r="D763" s="8">
        <v>52</v>
      </c>
      <c r="E763" s="8">
        <v>0</v>
      </c>
      <c r="F763" s="8">
        <v>0</v>
      </c>
      <c r="G763" s="8">
        <v>6</v>
      </c>
      <c r="H763" s="8" t="s">
        <v>27165</v>
      </c>
      <c r="I763" s="8">
        <v>526.6875</v>
      </c>
      <c r="J763" s="3">
        <f t="shared" si="11"/>
        <v>43748.483445497688</v>
      </c>
    </row>
    <row r="764" spans="1:10" x14ac:dyDescent="0.25">
      <c r="A764" s="5" t="s">
        <v>27166</v>
      </c>
      <c r="B764" s="6">
        <v>421.875</v>
      </c>
      <c r="C764" s="6">
        <v>20.531590000000001</v>
      </c>
      <c r="D764" s="6">
        <v>52</v>
      </c>
      <c r="E764" s="6">
        <v>0</v>
      </c>
      <c r="F764" s="6">
        <v>0</v>
      </c>
      <c r="G764" s="6">
        <v>0</v>
      </c>
      <c r="H764" s="6" t="s">
        <v>27167</v>
      </c>
      <c r="I764" s="6">
        <v>535.125</v>
      </c>
      <c r="J764" s="2">
        <f t="shared" si="11"/>
        <v>43748.483517222216</v>
      </c>
    </row>
    <row r="765" spans="1:10" x14ac:dyDescent="0.25">
      <c r="A765" s="7" t="s">
        <v>27168</v>
      </c>
      <c r="B765" s="8">
        <v>393.75</v>
      </c>
      <c r="C765" s="8">
        <v>20.531590000000001</v>
      </c>
      <c r="D765" s="8">
        <v>52</v>
      </c>
      <c r="E765" s="8">
        <v>0</v>
      </c>
      <c r="F765" s="8">
        <v>0</v>
      </c>
      <c r="G765" s="8">
        <v>4</v>
      </c>
      <c r="H765" s="8" t="s">
        <v>27169</v>
      </c>
      <c r="I765" s="8">
        <v>526.6875</v>
      </c>
      <c r="J765" s="3">
        <f t="shared" si="11"/>
        <v>43748.483600810177</v>
      </c>
    </row>
    <row r="766" spans="1:10" x14ac:dyDescent="0.25">
      <c r="A766" s="5" t="s">
        <v>27170</v>
      </c>
      <c r="B766" s="6">
        <v>393.75</v>
      </c>
      <c r="C766" s="6">
        <v>20.531590000000001</v>
      </c>
      <c r="D766" s="6">
        <v>51</v>
      </c>
      <c r="E766" s="6">
        <v>0</v>
      </c>
      <c r="F766" s="6">
        <v>0</v>
      </c>
      <c r="G766" s="6">
        <v>7</v>
      </c>
      <c r="H766" s="6" t="s">
        <v>27171</v>
      </c>
      <c r="I766" s="6">
        <v>526.6875</v>
      </c>
      <c r="J766" s="2">
        <f t="shared" si="11"/>
        <v>43748.483684375002</v>
      </c>
    </row>
    <row r="767" spans="1:10" x14ac:dyDescent="0.25">
      <c r="A767" s="7" t="s">
        <v>27172</v>
      </c>
      <c r="B767" s="8">
        <v>393.75</v>
      </c>
      <c r="C767" s="8">
        <v>20.531590000000001</v>
      </c>
      <c r="D767" s="8">
        <v>55</v>
      </c>
      <c r="E767" s="8">
        <v>0</v>
      </c>
      <c r="F767" s="8">
        <v>0</v>
      </c>
      <c r="G767" s="8">
        <v>8</v>
      </c>
      <c r="H767" s="8" t="s">
        <v>27173</v>
      </c>
      <c r="I767" s="8">
        <v>526.6875</v>
      </c>
      <c r="J767" s="3">
        <f t="shared" si="11"/>
        <v>43748.483767731479</v>
      </c>
    </row>
    <row r="768" spans="1:10" x14ac:dyDescent="0.25">
      <c r="A768" s="5" t="s">
        <v>27174</v>
      </c>
      <c r="B768" s="6">
        <v>393.75</v>
      </c>
      <c r="C768" s="6">
        <v>20.478950000000001</v>
      </c>
      <c r="D768" s="6">
        <v>53</v>
      </c>
      <c r="E768" s="6">
        <v>0</v>
      </c>
      <c r="F768" s="6">
        <v>0</v>
      </c>
      <c r="G768" s="6">
        <v>10</v>
      </c>
      <c r="H768" s="6" t="s">
        <v>27175</v>
      </c>
      <c r="I768" s="6">
        <v>526.6875</v>
      </c>
      <c r="J768" s="2">
        <f t="shared" si="11"/>
        <v>43748.483851400459</v>
      </c>
    </row>
    <row r="769" spans="1:10" x14ac:dyDescent="0.25">
      <c r="A769" s="7" t="s">
        <v>27176</v>
      </c>
      <c r="B769" s="8">
        <v>393.75</v>
      </c>
      <c r="C769" s="8">
        <v>20.584240000000001</v>
      </c>
      <c r="D769" s="8">
        <v>53</v>
      </c>
      <c r="E769" s="8">
        <v>0</v>
      </c>
      <c r="F769" s="8">
        <v>0</v>
      </c>
      <c r="G769" s="8">
        <v>6</v>
      </c>
      <c r="H769" s="8" t="s">
        <v>27177</v>
      </c>
      <c r="I769" s="8">
        <v>526.6875</v>
      </c>
      <c r="J769" s="3">
        <f t="shared" si="11"/>
        <v>43748.483946250002</v>
      </c>
    </row>
    <row r="770" spans="1:10" x14ac:dyDescent="0.25">
      <c r="A770" s="5" t="s">
        <v>27178</v>
      </c>
      <c r="B770" s="6">
        <v>393.75</v>
      </c>
      <c r="C770" s="6">
        <v>20.531590000000001</v>
      </c>
      <c r="D770" s="6">
        <v>55</v>
      </c>
      <c r="E770" s="6">
        <v>0</v>
      </c>
      <c r="F770" s="6">
        <v>0</v>
      </c>
      <c r="G770" s="6">
        <v>1</v>
      </c>
      <c r="H770" s="6" t="s">
        <v>27179</v>
      </c>
      <c r="I770" s="6">
        <v>526.6875</v>
      </c>
      <c r="J770" s="2">
        <f t="shared" ref="J770:J833" si="12">(H770/86400000)+25569+(7/24)</f>
        <v>43748.484018252311</v>
      </c>
    </row>
    <row r="771" spans="1:10" x14ac:dyDescent="0.25">
      <c r="A771" s="7" t="s">
        <v>27180</v>
      </c>
      <c r="B771" s="8">
        <v>393.75</v>
      </c>
      <c r="C771" s="8">
        <v>20.478950000000001</v>
      </c>
      <c r="D771" s="8">
        <v>54</v>
      </c>
      <c r="E771" s="8">
        <v>0</v>
      </c>
      <c r="F771" s="8">
        <v>0</v>
      </c>
      <c r="G771" s="8">
        <v>10</v>
      </c>
      <c r="H771" s="8" t="s">
        <v>27181</v>
      </c>
      <c r="I771" s="8">
        <v>526.6875</v>
      </c>
      <c r="J771" s="3">
        <f t="shared" si="12"/>
        <v>43748.484113969906</v>
      </c>
    </row>
    <row r="772" spans="1:10" x14ac:dyDescent="0.25">
      <c r="A772" s="5" t="s">
        <v>27182</v>
      </c>
      <c r="B772" s="6">
        <v>393.75</v>
      </c>
      <c r="C772" s="6">
        <v>20.478950000000001</v>
      </c>
      <c r="D772" s="6">
        <v>53</v>
      </c>
      <c r="E772" s="6">
        <v>0</v>
      </c>
      <c r="F772" s="6">
        <v>0</v>
      </c>
      <c r="G772" s="6">
        <v>1</v>
      </c>
      <c r="H772" s="6" t="s">
        <v>27183</v>
      </c>
      <c r="I772" s="6">
        <v>526.6875</v>
      </c>
      <c r="J772" s="2">
        <f t="shared" si="12"/>
        <v>43748.484197280086</v>
      </c>
    </row>
    <row r="773" spans="1:10" x14ac:dyDescent="0.25">
      <c r="A773" s="7" t="s">
        <v>27184</v>
      </c>
      <c r="B773" s="8">
        <v>393.75</v>
      </c>
      <c r="C773" s="8">
        <v>20.531590000000001</v>
      </c>
      <c r="D773" s="8">
        <v>53</v>
      </c>
      <c r="E773" s="8">
        <v>0</v>
      </c>
      <c r="F773" s="8">
        <v>0</v>
      </c>
      <c r="G773" s="8">
        <v>4</v>
      </c>
      <c r="H773" s="8" t="s">
        <v>27185</v>
      </c>
      <c r="I773" s="8">
        <v>526.6875</v>
      </c>
      <c r="J773" s="3">
        <f t="shared" si="12"/>
        <v>43748.484280497687</v>
      </c>
    </row>
    <row r="774" spans="1:10" x14ac:dyDescent="0.25">
      <c r="A774" s="5" t="s">
        <v>27186</v>
      </c>
      <c r="B774" s="6">
        <v>393.75</v>
      </c>
      <c r="C774" s="6">
        <v>20.478950000000001</v>
      </c>
      <c r="D774" s="6">
        <v>50</v>
      </c>
      <c r="E774" s="6">
        <v>0</v>
      </c>
      <c r="F774" s="6">
        <v>0</v>
      </c>
      <c r="G774" s="6">
        <v>0</v>
      </c>
      <c r="H774" s="6" t="s">
        <v>27187</v>
      </c>
      <c r="I774" s="6">
        <v>526.5</v>
      </c>
      <c r="J774" s="2">
        <f t="shared" si="12"/>
        <v>43748.484364108794</v>
      </c>
    </row>
    <row r="775" spans="1:10" x14ac:dyDescent="0.25">
      <c r="A775" s="7" t="s">
        <v>27188</v>
      </c>
      <c r="B775" s="8">
        <v>393.75</v>
      </c>
      <c r="C775" s="8">
        <v>20.531590000000001</v>
      </c>
      <c r="D775" s="8">
        <v>49</v>
      </c>
      <c r="E775" s="8">
        <v>0</v>
      </c>
      <c r="F775" s="8">
        <v>0</v>
      </c>
      <c r="G775" s="8">
        <v>7</v>
      </c>
      <c r="H775" s="8" t="s">
        <v>27189</v>
      </c>
      <c r="I775" s="8">
        <v>526.6875</v>
      </c>
      <c r="J775" s="3">
        <f t="shared" si="12"/>
        <v>43748.48444753472</v>
      </c>
    </row>
    <row r="776" spans="1:10" x14ac:dyDescent="0.25">
      <c r="A776" s="5" t="s">
        <v>27190</v>
      </c>
      <c r="B776" s="6">
        <v>393.75</v>
      </c>
      <c r="C776" s="6">
        <v>20.531590000000001</v>
      </c>
      <c r="D776" s="6">
        <v>50</v>
      </c>
      <c r="E776" s="6">
        <v>0</v>
      </c>
      <c r="F776" s="6">
        <v>0</v>
      </c>
      <c r="G776" s="6">
        <v>0</v>
      </c>
      <c r="H776" s="6" t="s">
        <v>27191</v>
      </c>
      <c r="I776" s="6">
        <v>526.6875</v>
      </c>
      <c r="J776" s="2">
        <f t="shared" si="12"/>
        <v>43748.484530636568</v>
      </c>
    </row>
    <row r="777" spans="1:10" x14ac:dyDescent="0.25">
      <c r="A777" s="7" t="s">
        <v>27192</v>
      </c>
      <c r="B777" s="8">
        <v>393.75</v>
      </c>
      <c r="C777" s="8">
        <v>20.478950000000001</v>
      </c>
      <c r="D777" s="8">
        <v>50</v>
      </c>
      <c r="E777" s="8">
        <v>0</v>
      </c>
      <c r="F777" s="8">
        <v>0</v>
      </c>
      <c r="G777" s="8">
        <v>2</v>
      </c>
      <c r="H777" s="8" t="s">
        <v>27193</v>
      </c>
      <c r="I777" s="8">
        <v>526.6875</v>
      </c>
      <c r="J777" s="3">
        <f t="shared" si="12"/>
        <v>43748.484602280085</v>
      </c>
    </row>
    <row r="778" spans="1:10" x14ac:dyDescent="0.25">
      <c r="A778" s="5" t="s">
        <v>27194</v>
      </c>
      <c r="B778" s="6">
        <v>393.75</v>
      </c>
      <c r="C778" s="6">
        <v>20.531590000000001</v>
      </c>
      <c r="D778" s="6">
        <v>49</v>
      </c>
      <c r="E778" s="6">
        <v>0</v>
      </c>
      <c r="F778" s="6">
        <v>0</v>
      </c>
      <c r="G778" s="6">
        <v>9</v>
      </c>
      <c r="H778" s="6" t="s">
        <v>27195</v>
      </c>
      <c r="I778" s="6">
        <v>526.6875</v>
      </c>
      <c r="J778" s="2">
        <f t="shared" si="12"/>
        <v>43748.48468616898</v>
      </c>
    </row>
    <row r="779" spans="1:10" x14ac:dyDescent="0.25">
      <c r="A779" s="7" t="s">
        <v>27196</v>
      </c>
      <c r="B779" s="8">
        <v>393.75</v>
      </c>
      <c r="C779" s="8">
        <v>20.531590000000001</v>
      </c>
      <c r="D779" s="8">
        <v>49</v>
      </c>
      <c r="E779" s="8">
        <v>0</v>
      </c>
      <c r="F779" s="8">
        <v>0</v>
      </c>
      <c r="G779" s="8">
        <v>11</v>
      </c>
      <c r="H779" s="8" t="s">
        <v>27197</v>
      </c>
      <c r="I779" s="8">
        <v>526.6875</v>
      </c>
      <c r="J779" s="3">
        <f t="shared" si="12"/>
        <v>43748.484769525465</v>
      </c>
    </row>
    <row r="780" spans="1:10" x14ac:dyDescent="0.25">
      <c r="A780" s="5" t="s">
        <v>27198</v>
      </c>
      <c r="B780" s="6">
        <v>393.75</v>
      </c>
      <c r="C780" s="6">
        <v>20.531590000000001</v>
      </c>
      <c r="D780" s="6">
        <v>52</v>
      </c>
      <c r="E780" s="6">
        <v>0</v>
      </c>
      <c r="F780" s="6">
        <v>0</v>
      </c>
      <c r="G780" s="6">
        <v>13</v>
      </c>
      <c r="H780" s="6" t="s">
        <v>27199</v>
      </c>
      <c r="I780" s="6">
        <v>526.6875</v>
      </c>
      <c r="J780" s="2">
        <f t="shared" si="12"/>
        <v>43748.484852881942</v>
      </c>
    </row>
    <row r="781" spans="1:10" x14ac:dyDescent="0.25">
      <c r="A781" s="7" t="s">
        <v>27200</v>
      </c>
      <c r="B781" s="8">
        <v>393.75</v>
      </c>
      <c r="C781" s="8">
        <v>20.584240000000001</v>
      </c>
      <c r="D781" s="8">
        <v>52</v>
      </c>
      <c r="E781" s="8">
        <v>0</v>
      </c>
      <c r="F781" s="8">
        <v>0</v>
      </c>
      <c r="G781" s="8">
        <v>11</v>
      </c>
      <c r="H781" s="8" t="s">
        <v>27201</v>
      </c>
      <c r="I781" s="8">
        <v>526.6875</v>
      </c>
      <c r="J781" s="3">
        <f t="shared" si="12"/>
        <v>43748.484936493049</v>
      </c>
    </row>
    <row r="782" spans="1:10" x14ac:dyDescent="0.25">
      <c r="A782" s="5" t="s">
        <v>27202</v>
      </c>
      <c r="B782" s="6">
        <v>393.75</v>
      </c>
      <c r="C782" s="6">
        <v>20.531590000000001</v>
      </c>
      <c r="D782" s="6">
        <v>52</v>
      </c>
      <c r="E782" s="6">
        <v>0</v>
      </c>
      <c r="F782" s="6">
        <v>0</v>
      </c>
      <c r="G782" s="6">
        <v>3</v>
      </c>
      <c r="H782" s="6" t="s">
        <v>27203</v>
      </c>
      <c r="I782" s="6">
        <v>526.5</v>
      </c>
      <c r="J782" s="2">
        <f t="shared" si="12"/>
        <v>43748.485007951385</v>
      </c>
    </row>
    <row r="783" spans="1:10" x14ac:dyDescent="0.25">
      <c r="A783" s="7" t="s">
        <v>27204</v>
      </c>
      <c r="B783" s="8">
        <v>393.75</v>
      </c>
      <c r="C783" s="8">
        <v>20.478950000000001</v>
      </c>
      <c r="D783" s="8">
        <v>52</v>
      </c>
      <c r="E783" s="8">
        <v>0</v>
      </c>
      <c r="F783" s="8">
        <v>0</v>
      </c>
      <c r="G783" s="8">
        <v>8</v>
      </c>
      <c r="H783" s="8" t="s">
        <v>27205</v>
      </c>
      <c r="I783" s="8">
        <v>526.5</v>
      </c>
      <c r="J783" s="3">
        <f t="shared" si="12"/>
        <v>43748.485091504626</v>
      </c>
    </row>
    <row r="784" spans="1:10" x14ac:dyDescent="0.25">
      <c r="A784" s="5" t="s">
        <v>27206</v>
      </c>
      <c r="B784" s="6">
        <v>393.75</v>
      </c>
      <c r="C784" s="6">
        <v>20.478950000000001</v>
      </c>
      <c r="D784" s="6">
        <v>53</v>
      </c>
      <c r="E784" s="6">
        <v>0</v>
      </c>
      <c r="F784" s="6">
        <v>0</v>
      </c>
      <c r="G784" s="6">
        <v>6</v>
      </c>
      <c r="H784" s="6" t="s">
        <v>27207</v>
      </c>
      <c r="I784" s="6">
        <v>526.6875</v>
      </c>
      <c r="J784" s="2">
        <f t="shared" si="12"/>
        <v>43748.485175057867</v>
      </c>
    </row>
    <row r="785" spans="1:10" x14ac:dyDescent="0.25">
      <c r="A785" s="7" t="s">
        <v>27208</v>
      </c>
      <c r="B785" s="8">
        <v>393.75</v>
      </c>
      <c r="C785" s="8">
        <v>20.478950000000001</v>
      </c>
      <c r="D785" s="8">
        <v>53</v>
      </c>
      <c r="E785" s="8">
        <v>0</v>
      </c>
      <c r="F785" s="8">
        <v>0</v>
      </c>
      <c r="G785" s="8">
        <v>19</v>
      </c>
      <c r="H785" s="8" t="s">
        <v>27209</v>
      </c>
      <c r="I785" s="8">
        <v>526.6875</v>
      </c>
      <c r="J785" s="3">
        <f t="shared" si="12"/>
        <v>43748.485258402776</v>
      </c>
    </row>
    <row r="786" spans="1:10" x14ac:dyDescent="0.25">
      <c r="A786" s="5" t="s">
        <v>27210</v>
      </c>
      <c r="B786" s="6">
        <v>393.75</v>
      </c>
      <c r="C786" s="6">
        <v>20.531590000000001</v>
      </c>
      <c r="D786" s="6">
        <v>53</v>
      </c>
      <c r="E786" s="6">
        <v>0</v>
      </c>
      <c r="F786" s="6">
        <v>0</v>
      </c>
      <c r="G786" s="6">
        <v>12</v>
      </c>
      <c r="H786" s="6" t="s">
        <v>27211</v>
      </c>
      <c r="I786" s="6">
        <v>526.6875</v>
      </c>
      <c r="J786" s="2">
        <f t="shared" si="12"/>
        <v>43748.485341747684</v>
      </c>
    </row>
    <row r="787" spans="1:10" x14ac:dyDescent="0.25">
      <c r="A787" s="7" t="s">
        <v>27212</v>
      </c>
      <c r="B787" s="8">
        <v>412.5</v>
      </c>
      <c r="C787" s="8">
        <v>20.584240000000001</v>
      </c>
      <c r="D787" s="8">
        <v>53</v>
      </c>
      <c r="E787" s="8">
        <v>0</v>
      </c>
      <c r="F787" s="8">
        <v>0</v>
      </c>
      <c r="G787" s="8">
        <v>6</v>
      </c>
      <c r="H787" s="8" t="s">
        <v>27213</v>
      </c>
      <c r="I787" s="8">
        <v>532.3125</v>
      </c>
      <c r="J787" s="3">
        <f t="shared" si="12"/>
        <v>43748.485449143518</v>
      </c>
    </row>
    <row r="788" spans="1:10" x14ac:dyDescent="0.25">
      <c r="A788" s="5" t="s">
        <v>27214</v>
      </c>
      <c r="B788" s="6">
        <v>393.75</v>
      </c>
      <c r="C788" s="6">
        <v>20.478950000000001</v>
      </c>
      <c r="D788" s="6">
        <v>51</v>
      </c>
      <c r="E788" s="6">
        <v>0</v>
      </c>
      <c r="F788" s="6">
        <v>0</v>
      </c>
      <c r="G788" s="6">
        <v>6</v>
      </c>
      <c r="H788" s="6" t="s">
        <v>27215</v>
      </c>
      <c r="I788" s="6">
        <v>526.5</v>
      </c>
      <c r="J788" s="2">
        <f t="shared" si="12"/>
        <v>43748.485532719904</v>
      </c>
    </row>
    <row r="789" spans="1:10" x14ac:dyDescent="0.25">
      <c r="A789" s="7" t="s">
        <v>27216</v>
      </c>
      <c r="B789" s="8">
        <v>393.75</v>
      </c>
      <c r="C789" s="8">
        <v>20.531590000000001</v>
      </c>
      <c r="D789" s="8">
        <v>51</v>
      </c>
      <c r="E789" s="8">
        <v>0</v>
      </c>
      <c r="F789" s="8">
        <v>0</v>
      </c>
      <c r="G789" s="8">
        <v>2</v>
      </c>
      <c r="H789" s="8" t="s">
        <v>27217</v>
      </c>
      <c r="I789" s="8">
        <v>526.6875</v>
      </c>
      <c r="J789" s="3">
        <f t="shared" si="12"/>
        <v>43748.485615821752</v>
      </c>
    </row>
    <row r="790" spans="1:10" x14ac:dyDescent="0.25">
      <c r="A790" s="5" t="s">
        <v>27218</v>
      </c>
      <c r="B790" s="6">
        <v>393.75</v>
      </c>
      <c r="C790" s="6">
        <v>20.531590000000001</v>
      </c>
      <c r="D790" s="6">
        <v>51</v>
      </c>
      <c r="E790" s="6">
        <v>0</v>
      </c>
      <c r="F790" s="6">
        <v>0</v>
      </c>
      <c r="G790" s="6">
        <v>5</v>
      </c>
      <c r="H790" s="6" t="s">
        <v>27219</v>
      </c>
      <c r="I790" s="6">
        <v>526.6875</v>
      </c>
      <c r="J790" s="2">
        <f t="shared" si="12"/>
        <v>43748.485687557863</v>
      </c>
    </row>
    <row r="791" spans="1:10" x14ac:dyDescent="0.25">
      <c r="A791" s="7" t="s">
        <v>27220</v>
      </c>
      <c r="B791" s="8">
        <v>393.75</v>
      </c>
      <c r="C791" s="8">
        <v>20.531590000000001</v>
      </c>
      <c r="D791" s="8">
        <v>51</v>
      </c>
      <c r="E791" s="8">
        <v>0</v>
      </c>
      <c r="F791" s="8">
        <v>0</v>
      </c>
      <c r="G791" s="8">
        <v>6</v>
      </c>
      <c r="H791" s="8" t="s">
        <v>27221</v>
      </c>
      <c r="I791" s="8">
        <v>526.6875</v>
      </c>
      <c r="J791" s="3">
        <f t="shared" si="12"/>
        <v>43748.485771365733</v>
      </c>
    </row>
    <row r="792" spans="1:10" x14ac:dyDescent="0.25">
      <c r="A792" s="5" t="s">
        <v>27222</v>
      </c>
      <c r="B792" s="6">
        <v>393.75</v>
      </c>
      <c r="C792" s="6">
        <v>20.531590000000001</v>
      </c>
      <c r="D792" s="6">
        <v>51</v>
      </c>
      <c r="E792" s="6">
        <v>0</v>
      </c>
      <c r="F792" s="6">
        <v>0</v>
      </c>
      <c r="G792" s="6">
        <v>0</v>
      </c>
      <c r="H792" s="6" t="s">
        <v>27223</v>
      </c>
      <c r="I792" s="6">
        <v>526.6875</v>
      </c>
      <c r="J792" s="2">
        <f t="shared" si="12"/>
        <v>43748.485854710649</v>
      </c>
    </row>
    <row r="793" spans="1:10" x14ac:dyDescent="0.25">
      <c r="A793" s="7" t="s">
        <v>27224</v>
      </c>
      <c r="B793" s="8">
        <v>393.75</v>
      </c>
      <c r="C793" s="8">
        <v>20.531590000000001</v>
      </c>
      <c r="D793" s="8">
        <v>51</v>
      </c>
      <c r="E793" s="8">
        <v>0</v>
      </c>
      <c r="F793" s="8">
        <v>0</v>
      </c>
      <c r="G793" s="8">
        <v>4</v>
      </c>
      <c r="H793" s="8" t="s">
        <v>27225</v>
      </c>
      <c r="I793" s="8">
        <v>526.6875</v>
      </c>
      <c r="J793" s="3">
        <f t="shared" si="12"/>
        <v>43748.485938032405</v>
      </c>
    </row>
    <row r="794" spans="1:10" x14ac:dyDescent="0.25">
      <c r="A794" s="5" t="s">
        <v>27226</v>
      </c>
      <c r="B794" s="6">
        <v>393.75</v>
      </c>
      <c r="C794" s="6">
        <v>20.584240000000001</v>
      </c>
      <c r="D794" s="6">
        <v>51</v>
      </c>
      <c r="E794" s="6">
        <v>0</v>
      </c>
      <c r="F794" s="6">
        <v>0</v>
      </c>
      <c r="G794" s="6">
        <v>4</v>
      </c>
      <c r="H794" s="6" t="s">
        <v>27227</v>
      </c>
      <c r="I794" s="6">
        <v>526.6875</v>
      </c>
      <c r="J794" s="2">
        <f t="shared" si="12"/>
        <v>43748.486009664346</v>
      </c>
    </row>
    <row r="795" spans="1:10" x14ac:dyDescent="0.25">
      <c r="A795" s="7" t="s">
        <v>27228</v>
      </c>
      <c r="B795" s="8">
        <v>393.75</v>
      </c>
      <c r="C795" s="8">
        <v>20.531590000000001</v>
      </c>
      <c r="D795" s="8">
        <v>53</v>
      </c>
      <c r="E795" s="8">
        <v>0</v>
      </c>
      <c r="F795" s="8">
        <v>0</v>
      </c>
      <c r="G795" s="8">
        <v>9</v>
      </c>
      <c r="H795" s="8" t="s">
        <v>27229</v>
      </c>
      <c r="I795" s="8">
        <v>526.6875</v>
      </c>
      <c r="J795" s="3">
        <f t="shared" si="12"/>
        <v>43748.486093229163</v>
      </c>
    </row>
    <row r="796" spans="1:10" x14ac:dyDescent="0.25">
      <c r="A796" s="5" t="s">
        <v>27230</v>
      </c>
      <c r="B796" s="6">
        <v>393.75</v>
      </c>
      <c r="C796" s="6">
        <v>20.584240000000001</v>
      </c>
      <c r="D796" s="6">
        <v>53</v>
      </c>
      <c r="E796" s="6">
        <v>0</v>
      </c>
      <c r="F796" s="6">
        <v>0</v>
      </c>
      <c r="G796" s="6">
        <v>8</v>
      </c>
      <c r="H796" s="6" t="s">
        <v>27231</v>
      </c>
      <c r="I796" s="6">
        <v>526.6875</v>
      </c>
      <c r="J796" s="2">
        <f t="shared" si="12"/>
        <v>43748.486188877308</v>
      </c>
    </row>
    <row r="797" spans="1:10" x14ac:dyDescent="0.25">
      <c r="A797" s="7" t="s">
        <v>27232</v>
      </c>
      <c r="B797" s="8">
        <v>393.75</v>
      </c>
      <c r="C797" s="8">
        <v>20.478950000000001</v>
      </c>
      <c r="D797" s="8">
        <v>53</v>
      </c>
      <c r="E797" s="8">
        <v>0</v>
      </c>
      <c r="F797" s="8">
        <v>0</v>
      </c>
      <c r="G797" s="8">
        <v>11</v>
      </c>
      <c r="H797" s="8" t="s">
        <v>27233</v>
      </c>
      <c r="I797" s="8">
        <v>526.6875</v>
      </c>
      <c r="J797" s="3">
        <f t="shared" si="12"/>
        <v>43748.486272048605</v>
      </c>
    </row>
    <row r="798" spans="1:10" x14ac:dyDescent="0.25">
      <c r="A798" s="5" t="s">
        <v>27234</v>
      </c>
      <c r="B798" s="6">
        <v>393.75</v>
      </c>
      <c r="C798" s="6">
        <v>20.531590000000001</v>
      </c>
      <c r="D798" s="6">
        <v>53</v>
      </c>
      <c r="E798" s="6">
        <v>0</v>
      </c>
      <c r="F798" s="6">
        <v>0</v>
      </c>
      <c r="G798" s="6">
        <v>9</v>
      </c>
      <c r="H798" s="6" t="s">
        <v>27235</v>
      </c>
      <c r="I798" s="6">
        <v>526.6875</v>
      </c>
      <c r="J798" s="2">
        <f t="shared" si="12"/>
        <v>43748.486343796292</v>
      </c>
    </row>
    <row r="799" spans="1:10" x14ac:dyDescent="0.25">
      <c r="A799" s="7" t="s">
        <v>27236</v>
      </c>
      <c r="B799" s="8">
        <v>393.75</v>
      </c>
      <c r="C799" s="8">
        <v>20.531590000000001</v>
      </c>
      <c r="D799" s="8">
        <v>53</v>
      </c>
      <c r="E799" s="8">
        <v>0</v>
      </c>
      <c r="F799" s="8">
        <v>0</v>
      </c>
      <c r="G799" s="8">
        <v>7</v>
      </c>
      <c r="H799" s="8" t="s">
        <v>27237</v>
      </c>
      <c r="I799" s="8">
        <v>526.5</v>
      </c>
      <c r="J799" s="3">
        <f t="shared" si="12"/>
        <v>43748.486426932868</v>
      </c>
    </row>
    <row r="800" spans="1:10" x14ac:dyDescent="0.25">
      <c r="A800" s="5" t="s">
        <v>27238</v>
      </c>
      <c r="B800" s="6">
        <v>393.75</v>
      </c>
      <c r="C800" s="6">
        <v>20.531590000000001</v>
      </c>
      <c r="D800" s="6">
        <v>53</v>
      </c>
      <c r="E800" s="6">
        <v>0</v>
      </c>
      <c r="F800" s="6">
        <v>0</v>
      </c>
      <c r="G800" s="6">
        <v>6</v>
      </c>
      <c r="H800" s="6" t="s">
        <v>27239</v>
      </c>
      <c r="I800" s="6">
        <v>526.6875</v>
      </c>
      <c r="J800" s="2">
        <f t="shared" si="12"/>
        <v>43748.486498680555</v>
      </c>
    </row>
    <row r="801" spans="1:10" x14ac:dyDescent="0.25">
      <c r="A801" s="7" t="s">
        <v>27240</v>
      </c>
      <c r="B801" s="8">
        <v>393.75</v>
      </c>
      <c r="C801" s="8">
        <v>20.478950000000001</v>
      </c>
      <c r="D801" s="8">
        <v>54</v>
      </c>
      <c r="E801" s="8">
        <v>0</v>
      </c>
      <c r="F801" s="8">
        <v>0</v>
      </c>
      <c r="G801" s="8">
        <v>5</v>
      </c>
      <c r="H801" s="8" t="s">
        <v>27241</v>
      </c>
      <c r="I801" s="8">
        <v>526.6875</v>
      </c>
      <c r="J801" s="3">
        <f t="shared" si="12"/>
        <v>43748.486582141202</v>
      </c>
    </row>
    <row r="802" spans="1:10" x14ac:dyDescent="0.25">
      <c r="A802" s="5" t="s">
        <v>27242</v>
      </c>
      <c r="B802" s="6">
        <v>393.75</v>
      </c>
      <c r="C802" s="6">
        <v>20.478950000000001</v>
      </c>
      <c r="D802" s="6">
        <v>53</v>
      </c>
      <c r="E802" s="6">
        <v>0</v>
      </c>
      <c r="F802" s="6">
        <v>0</v>
      </c>
      <c r="G802" s="6">
        <v>10</v>
      </c>
      <c r="H802" s="6" t="s">
        <v>27243</v>
      </c>
      <c r="I802" s="6">
        <v>526.6875</v>
      </c>
      <c r="J802" s="2">
        <f t="shared" si="12"/>
        <v>43748.486677604167</v>
      </c>
    </row>
    <row r="803" spans="1:10" x14ac:dyDescent="0.25">
      <c r="A803" s="7" t="s">
        <v>27244</v>
      </c>
      <c r="B803" s="8">
        <v>393.75</v>
      </c>
      <c r="C803" s="8">
        <v>20.584240000000001</v>
      </c>
      <c r="D803" s="8">
        <v>55</v>
      </c>
      <c r="E803" s="8">
        <v>0</v>
      </c>
      <c r="F803" s="8">
        <v>0</v>
      </c>
      <c r="G803" s="8">
        <v>7</v>
      </c>
      <c r="H803" s="8" t="s">
        <v>27245</v>
      </c>
      <c r="I803" s="8">
        <v>526.6875</v>
      </c>
      <c r="J803" s="3">
        <f t="shared" si="12"/>
        <v>43748.486761053238</v>
      </c>
    </row>
    <row r="804" spans="1:10" x14ac:dyDescent="0.25">
      <c r="A804" s="5" t="s">
        <v>27246</v>
      </c>
      <c r="B804" s="6">
        <v>412.5</v>
      </c>
      <c r="C804" s="6">
        <v>20.584240000000001</v>
      </c>
      <c r="D804" s="6">
        <v>52</v>
      </c>
      <c r="E804" s="6">
        <v>0</v>
      </c>
      <c r="F804" s="6">
        <v>0</v>
      </c>
      <c r="G804" s="6">
        <v>9</v>
      </c>
      <c r="H804" s="6" t="s">
        <v>27247</v>
      </c>
      <c r="I804" s="6">
        <v>532.3125</v>
      </c>
      <c r="J804" s="2">
        <f t="shared" si="12"/>
        <v>43748.486844490741</v>
      </c>
    </row>
    <row r="805" spans="1:10" x14ac:dyDescent="0.25">
      <c r="A805" s="7" t="s">
        <v>27248</v>
      </c>
      <c r="B805" s="8">
        <v>393.75</v>
      </c>
      <c r="C805" s="8">
        <v>20.531590000000001</v>
      </c>
      <c r="D805" s="8">
        <v>52</v>
      </c>
      <c r="E805" s="8">
        <v>0</v>
      </c>
      <c r="F805" s="8">
        <v>0</v>
      </c>
      <c r="G805" s="8">
        <v>11</v>
      </c>
      <c r="H805" s="8" t="s">
        <v>27249</v>
      </c>
      <c r="I805" s="8">
        <v>526.6875</v>
      </c>
      <c r="J805" s="3">
        <f t="shared" si="12"/>
        <v>43748.486928148144</v>
      </c>
    </row>
    <row r="806" spans="1:10" x14ac:dyDescent="0.25">
      <c r="A806" s="5" t="s">
        <v>27250</v>
      </c>
      <c r="B806" s="6">
        <v>393.75</v>
      </c>
      <c r="C806" s="6">
        <v>20.584240000000001</v>
      </c>
      <c r="D806" s="6">
        <v>52</v>
      </c>
      <c r="E806" s="6">
        <v>0</v>
      </c>
      <c r="F806" s="6">
        <v>0</v>
      </c>
      <c r="G806" s="6">
        <v>9</v>
      </c>
      <c r="H806" s="6" t="s">
        <v>27251</v>
      </c>
      <c r="I806" s="6">
        <v>526.6875</v>
      </c>
      <c r="J806" s="2">
        <f t="shared" si="12"/>
        <v>43748.487035358798</v>
      </c>
    </row>
    <row r="807" spans="1:10" x14ac:dyDescent="0.25">
      <c r="A807" s="7" t="s">
        <v>27252</v>
      </c>
      <c r="B807" s="8">
        <v>393.75</v>
      </c>
      <c r="C807" s="8">
        <v>20.584240000000001</v>
      </c>
      <c r="D807" s="8">
        <v>52</v>
      </c>
      <c r="E807" s="8">
        <v>0</v>
      </c>
      <c r="F807" s="8">
        <v>0</v>
      </c>
      <c r="G807" s="8">
        <v>13</v>
      </c>
      <c r="H807" s="8" t="s">
        <v>27253</v>
      </c>
      <c r="I807" s="8">
        <v>526.6875</v>
      </c>
      <c r="J807" s="3">
        <f t="shared" si="12"/>
        <v>43748.487106990739</v>
      </c>
    </row>
    <row r="808" spans="1:10" x14ac:dyDescent="0.25">
      <c r="A808" s="5" t="s">
        <v>27254</v>
      </c>
      <c r="B808" s="6">
        <v>393.75</v>
      </c>
      <c r="C808" s="6">
        <v>20.584240000000001</v>
      </c>
      <c r="D808" s="6">
        <v>53</v>
      </c>
      <c r="E808" s="6">
        <v>0</v>
      </c>
      <c r="F808" s="6">
        <v>0</v>
      </c>
      <c r="G808" s="6">
        <v>9</v>
      </c>
      <c r="H808" s="6" t="s">
        <v>27255</v>
      </c>
      <c r="I808" s="6">
        <v>526.6875</v>
      </c>
      <c r="J808" s="2">
        <f t="shared" si="12"/>
        <v>43748.487190694439</v>
      </c>
    </row>
    <row r="809" spans="1:10" x14ac:dyDescent="0.25">
      <c r="A809" s="7" t="s">
        <v>27256</v>
      </c>
      <c r="B809" s="8">
        <v>393.75</v>
      </c>
      <c r="C809" s="8">
        <v>20.531590000000001</v>
      </c>
      <c r="D809" s="8">
        <v>53</v>
      </c>
      <c r="E809" s="8">
        <v>0</v>
      </c>
      <c r="F809" s="8">
        <v>0</v>
      </c>
      <c r="G809" s="8">
        <v>10</v>
      </c>
      <c r="H809" s="8" t="s">
        <v>27257</v>
      </c>
      <c r="I809" s="8">
        <v>526.5</v>
      </c>
      <c r="J809" s="3">
        <f t="shared" si="12"/>
        <v>43748.487261979164</v>
      </c>
    </row>
    <row r="810" spans="1:10" x14ac:dyDescent="0.25">
      <c r="A810" s="5" t="s">
        <v>27258</v>
      </c>
      <c r="B810" s="6">
        <v>393.75</v>
      </c>
      <c r="C810" s="6">
        <v>20.531590000000001</v>
      </c>
      <c r="D810" s="6">
        <v>52</v>
      </c>
      <c r="E810" s="6">
        <v>0</v>
      </c>
      <c r="F810" s="6">
        <v>0</v>
      </c>
      <c r="G810" s="6">
        <v>7</v>
      </c>
      <c r="H810" s="6" t="s">
        <v>27259</v>
      </c>
      <c r="I810" s="6">
        <v>526.6875</v>
      </c>
      <c r="J810" s="2">
        <f t="shared" si="12"/>
        <v>43748.487345335649</v>
      </c>
    </row>
    <row r="811" spans="1:10" x14ac:dyDescent="0.25">
      <c r="A811" s="7" t="s">
        <v>27260</v>
      </c>
      <c r="B811" s="8">
        <v>412.5</v>
      </c>
      <c r="C811" s="8">
        <v>20.584240000000001</v>
      </c>
      <c r="D811" s="8">
        <v>53</v>
      </c>
      <c r="E811" s="8">
        <v>0</v>
      </c>
      <c r="F811" s="8">
        <v>0</v>
      </c>
      <c r="G811" s="8">
        <v>10</v>
      </c>
      <c r="H811" s="8" t="s">
        <v>27261</v>
      </c>
      <c r="I811" s="8">
        <v>532.5</v>
      </c>
      <c r="J811" s="3">
        <f t="shared" si="12"/>
        <v>43748.487429004628</v>
      </c>
    </row>
    <row r="812" spans="1:10" x14ac:dyDescent="0.25">
      <c r="A812" s="5" t="s">
        <v>27262</v>
      </c>
      <c r="B812" s="6">
        <v>393.75</v>
      </c>
      <c r="C812" s="6">
        <v>20.584240000000001</v>
      </c>
      <c r="D812" s="6">
        <v>53</v>
      </c>
      <c r="E812" s="6">
        <v>0</v>
      </c>
      <c r="F812" s="6">
        <v>0</v>
      </c>
      <c r="G812" s="6">
        <v>9</v>
      </c>
      <c r="H812" s="6" t="s">
        <v>27263</v>
      </c>
      <c r="I812" s="6">
        <v>526.6875</v>
      </c>
      <c r="J812" s="2">
        <f t="shared" si="12"/>
        <v>43748.48751219907</v>
      </c>
    </row>
    <row r="813" spans="1:10" x14ac:dyDescent="0.25">
      <c r="A813" s="7" t="s">
        <v>27264</v>
      </c>
      <c r="B813" s="8">
        <v>393.75</v>
      </c>
      <c r="C813" s="8">
        <v>20.531590000000001</v>
      </c>
      <c r="D813" s="8">
        <v>53</v>
      </c>
      <c r="E813" s="8">
        <v>0</v>
      </c>
      <c r="F813" s="8">
        <v>0</v>
      </c>
      <c r="G813" s="8">
        <v>14</v>
      </c>
      <c r="H813" s="8" t="s">
        <v>27265</v>
      </c>
      <c r="I813" s="8">
        <v>526.6875</v>
      </c>
      <c r="J813" s="3">
        <f t="shared" si="12"/>
        <v>43748.487583854163</v>
      </c>
    </row>
    <row r="814" spans="1:10" x14ac:dyDescent="0.25">
      <c r="A814" s="5" t="s">
        <v>27266</v>
      </c>
      <c r="B814" s="6">
        <v>393.75</v>
      </c>
      <c r="C814" s="6">
        <v>20.584240000000001</v>
      </c>
      <c r="D814" s="6">
        <v>54</v>
      </c>
      <c r="E814" s="6">
        <v>0</v>
      </c>
      <c r="F814" s="6">
        <v>0</v>
      </c>
      <c r="G814" s="6">
        <v>15</v>
      </c>
      <c r="H814" s="6" t="s">
        <v>27267</v>
      </c>
      <c r="I814" s="6">
        <v>526.6875</v>
      </c>
      <c r="J814" s="2">
        <f t="shared" si="12"/>
        <v>43748.487667638889</v>
      </c>
    </row>
    <row r="815" spans="1:10" x14ac:dyDescent="0.25">
      <c r="A815" s="7" t="s">
        <v>27268</v>
      </c>
      <c r="B815" s="8">
        <v>393.75</v>
      </c>
      <c r="C815" s="8">
        <v>20.584240000000001</v>
      </c>
      <c r="D815" s="8">
        <v>54</v>
      </c>
      <c r="E815" s="8">
        <v>0</v>
      </c>
      <c r="F815" s="8">
        <v>0</v>
      </c>
      <c r="G815" s="8">
        <v>13</v>
      </c>
      <c r="H815" s="8" t="s">
        <v>27269</v>
      </c>
      <c r="I815" s="8">
        <v>526.6875</v>
      </c>
      <c r="J815" s="3">
        <f t="shared" si="12"/>
        <v>43748.487751099536</v>
      </c>
    </row>
    <row r="816" spans="1:10" x14ac:dyDescent="0.25">
      <c r="A816" s="5" t="s">
        <v>27270</v>
      </c>
      <c r="B816" s="6">
        <v>412.5</v>
      </c>
      <c r="C816" s="6">
        <v>20.531590000000001</v>
      </c>
      <c r="D816" s="6">
        <v>52</v>
      </c>
      <c r="E816" s="6">
        <v>0</v>
      </c>
      <c r="F816" s="6">
        <v>0</v>
      </c>
      <c r="G816" s="6">
        <v>22</v>
      </c>
      <c r="H816" s="6" t="s">
        <v>27271</v>
      </c>
      <c r="I816" s="6">
        <v>532.5</v>
      </c>
      <c r="J816" s="2">
        <f t="shared" si="12"/>
        <v>43748.487834305553</v>
      </c>
    </row>
    <row r="817" spans="1:10" x14ac:dyDescent="0.25">
      <c r="A817" s="7" t="s">
        <v>27272</v>
      </c>
      <c r="B817" s="8">
        <v>393.75</v>
      </c>
      <c r="C817" s="8">
        <v>20.531590000000001</v>
      </c>
      <c r="D817" s="8">
        <v>52</v>
      </c>
      <c r="E817" s="8">
        <v>0</v>
      </c>
      <c r="F817" s="8">
        <v>0</v>
      </c>
      <c r="G817" s="8">
        <v>10</v>
      </c>
      <c r="H817" s="8" t="s">
        <v>27273</v>
      </c>
      <c r="I817" s="8">
        <v>526.5</v>
      </c>
      <c r="J817" s="3">
        <f t="shared" si="12"/>
        <v>43748.487911064811</v>
      </c>
    </row>
    <row r="818" spans="1:10" x14ac:dyDescent="0.25">
      <c r="A818" s="5" t="s">
        <v>27274</v>
      </c>
      <c r="B818" s="6">
        <v>393.75</v>
      </c>
      <c r="C818" s="6">
        <v>20.531590000000001</v>
      </c>
      <c r="D818" s="6">
        <v>53</v>
      </c>
      <c r="E818" s="6">
        <v>0</v>
      </c>
      <c r="F818" s="6">
        <v>0</v>
      </c>
      <c r="G818" s="6">
        <v>12</v>
      </c>
      <c r="H818" s="6" t="s">
        <v>27275</v>
      </c>
      <c r="I818" s="6">
        <v>526.6875</v>
      </c>
      <c r="J818" s="2">
        <f t="shared" si="12"/>
        <v>43748.487989675923</v>
      </c>
    </row>
    <row r="819" spans="1:10" x14ac:dyDescent="0.25">
      <c r="A819" s="7" t="s">
        <v>27276</v>
      </c>
      <c r="B819" s="8">
        <v>393.75</v>
      </c>
      <c r="C819" s="8">
        <v>20.531590000000001</v>
      </c>
      <c r="D819" s="8">
        <v>53</v>
      </c>
      <c r="E819" s="8">
        <v>0</v>
      </c>
      <c r="F819" s="8">
        <v>0</v>
      </c>
      <c r="G819" s="8">
        <v>8</v>
      </c>
      <c r="H819" s="8" t="s">
        <v>27277</v>
      </c>
      <c r="I819" s="8">
        <v>526.6875</v>
      </c>
      <c r="J819" s="3">
        <f t="shared" si="12"/>
        <v>43748.488073078704</v>
      </c>
    </row>
    <row r="820" spans="1:10" x14ac:dyDescent="0.25">
      <c r="A820" s="5" t="s">
        <v>27278</v>
      </c>
      <c r="B820" s="6">
        <v>393.75</v>
      </c>
      <c r="C820" s="6">
        <v>20.531590000000001</v>
      </c>
      <c r="D820" s="6">
        <v>53</v>
      </c>
      <c r="E820" s="6">
        <v>0</v>
      </c>
      <c r="F820" s="6">
        <v>0</v>
      </c>
      <c r="G820" s="6">
        <v>13</v>
      </c>
      <c r="H820" s="6" t="s">
        <v>27279</v>
      </c>
      <c r="I820" s="6">
        <v>526.6875</v>
      </c>
      <c r="J820" s="2">
        <f t="shared" si="12"/>
        <v>43748.488156527776</v>
      </c>
    </row>
    <row r="821" spans="1:10" x14ac:dyDescent="0.25">
      <c r="A821" s="7" t="s">
        <v>27280</v>
      </c>
      <c r="B821" s="8">
        <v>393.75</v>
      </c>
      <c r="C821" s="8">
        <v>20.531590000000001</v>
      </c>
      <c r="D821" s="8">
        <v>53</v>
      </c>
      <c r="E821" s="8">
        <v>0</v>
      </c>
      <c r="F821" s="8">
        <v>0</v>
      </c>
      <c r="G821" s="8">
        <v>9</v>
      </c>
      <c r="H821" s="8" t="s">
        <v>27281</v>
      </c>
      <c r="I821" s="8">
        <v>526.6875</v>
      </c>
      <c r="J821" s="3">
        <f t="shared" si="12"/>
        <v>43748.488240104161</v>
      </c>
    </row>
    <row r="822" spans="1:10" x14ac:dyDescent="0.25">
      <c r="A822" s="5" t="s">
        <v>27282</v>
      </c>
      <c r="B822" s="6">
        <v>393.75</v>
      </c>
      <c r="C822" s="6">
        <v>20.531590000000001</v>
      </c>
      <c r="D822" s="6">
        <v>53</v>
      </c>
      <c r="E822" s="6">
        <v>0</v>
      </c>
      <c r="F822" s="6">
        <v>0</v>
      </c>
      <c r="G822" s="6">
        <v>12</v>
      </c>
      <c r="H822" s="6" t="s">
        <v>27283</v>
      </c>
      <c r="I822" s="6">
        <v>526.6875</v>
      </c>
      <c r="J822" s="2">
        <f t="shared" si="12"/>
        <v>43748.488323229169</v>
      </c>
    </row>
    <row r="823" spans="1:10" x14ac:dyDescent="0.25">
      <c r="A823" s="7" t="s">
        <v>27284</v>
      </c>
      <c r="B823" s="8">
        <v>393.75</v>
      </c>
      <c r="C823" s="8">
        <v>20.531590000000001</v>
      </c>
      <c r="D823" s="8">
        <v>53</v>
      </c>
      <c r="E823" s="8">
        <v>0</v>
      </c>
      <c r="F823" s="8">
        <v>0</v>
      </c>
      <c r="G823" s="8">
        <v>15</v>
      </c>
      <c r="H823" s="8" t="s">
        <v>27285</v>
      </c>
      <c r="I823" s="8">
        <v>526.6875</v>
      </c>
      <c r="J823" s="3">
        <f t="shared" si="12"/>
        <v>43748.488394849534</v>
      </c>
    </row>
    <row r="824" spans="1:10" x14ac:dyDescent="0.25">
      <c r="A824" s="5" t="s">
        <v>27286</v>
      </c>
      <c r="B824" s="6">
        <v>393.75</v>
      </c>
      <c r="C824" s="6">
        <v>20.531590000000001</v>
      </c>
      <c r="D824" s="6">
        <v>53</v>
      </c>
      <c r="E824" s="6">
        <v>0</v>
      </c>
      <c r="F824" s="6">
        <v>0</v>
      </c>
      <c r="G824" s="6">
        <v>6</v>
      </c>
      <c r="H824" s="6" t="s">
        <v>27287</v>
      </c>
      <c r="I824" s="6">
        <v>526.6875</v>
      </c>
      <c r="J824" s="2">
        <f t="shared" si="12"/>
        <v>43748.488478761567</v>
      </c>
    </row>
    <row r="825" spans="1:10" x14ac:dyDescent="0.25">
      <c r="A825" s="7" t="s">
        <v>27288</v>
      </c>
      <c r="B825" s="8">
        <v>393.75</v>
      </c>
      <c r="C825" s="8">
        <v>20.531590000000001</v>
      </c>
      <c r="D825" s="8">
        <v>53</v>
      </c>
      <c r="E825" s="8">
        <v>0</v>
      </c>
      <c r="F825" s="8">
        <v>0</v>
      </c>
      <c r="G825" s="8">
        <v>0</v>
      </c>
      <c r="H825" s="8" t="s">
        <v>27289</v>
      </c>
      <c r="I825" s="8">
        <v>526.6875</v>
      </c>
      <c r="J825" s="3">
        <f t="shared" si="12"/>
        <v>43748.488562187493</v>
      </c>
    </row>
    <row r="826" spans="1:10" x14ac:dyDescent="0.25">
      <c r="A826" s="5" t="s">
        <v>27290</v>
      </c>
      <c r="B826" s="6">
        <v>393.75</v>
      </c>
      <c r="C826" s="6">
        <v>20.531590000000001</v>
      </c>
      <c r="D826" s="6">
        <v>52</v>
      </c>
      <c r="E826" s="6">
        <v>0</v>
      </c>
      <c r="F826" s="6">
        <v>0</v>
      </c>
      <c r="G826" s="6">
        <v>6</v>
      </c>
      <c r="H826" s="6" t="s">
        <v>27291</v>
      </c>
      <c r="I826" s="6">
        <v>526.6875</v>
      </c>
      <c r="J826" s="2">
        <f t="shared" si="12"/>
        <v>43748.488645416663</v>
      </c>
    </row>
    <row r="827" spans="1:10" x14ac:dyDescent="0.25">
      <c r="A827" s="7" t="s">
        <v>27292</v>
      </c>
      <c r="B827" s="8">
        <v>393.75</v>
      </c>
      <c r="C827" s="8">
        <v>20.584240000000001</v>
      </c>
      <c r="D827" s="8">
        <v>52</v>
      </c>
      <c r="E827" s="8">
        <v>0</v>
      </c>
      <c r="F827" s="8">
        <v>0</v>
      </c>
      <c r="G827" s="8">
        <v>14</v>
      </c>
      <c r="H827" s="8" t="s">
        <v>27293</v>
      </c>
      <c r="I827" s="8">
        <v>526.6875</v>
      </c>
      <c r="J827" s="3">
        <f t="shared" si="12"/>
        <v>43748.48871706018</v>
      </c>
    </row>
    <row r="828" spans="1:10" x14ac:dyDescent="0.25">
      <c r="A828" s="5" t="s">
        <v>27294</v>
      </c>
      <c r="B828" s="6">
        <v>393.75</v>
      </c>
      <c r="C828" s="6">
        <v>20.584240000000001</v>
      </c>
      <c r="D828" s="6">
        <v>51</v>
      </c>
      <c r="E828" s="6">
        <v>0</v>
      </c>
      <c r="F828" s="6">
        <v>0</v>
      </c>
      <c r="G828" s="6">
        <v>14</v>
      </c>
      <c r="H828" s="6" t="s">
        <v>27295</v>
      </c>
      <c r="I828" s="6">
        <v>526.6875</v>
      </c>
      <c r="J828" s="2">
        <f t="shared" si="12"/>
        <v>43748.488800659725</v>
      </c>
    </row>
    <row r="829" spans="1:10" x14ac:dyDescent="0.25">
      <c r="A829" s="7" t="s">
        <v>27296</v>
      </c>
      <c r="B829" s="8">
        <v>412.5</v>
      </c>
      <c r="C829" s="8">
        <v>20.584240000000001</v>
      </c>
      <c r="D829" s="8">
        <v>50</v>
      </c>
      <c r="E829" s="8">
        <v>0</v>
      </c>
      <c r="F829" s="8">
        <v>0</v>
      </c>
      <c r="G829" s="8">
        <v>10</v>
      </c>
      <c r="H829" s="8" t="s">
        <v>27297</v>
      </c>
      <c r="I829" s="8">
        <v>532.3125</v>
      </c>
      <c r="J829" s="3">
        <f t="shared" si="12"/>
        <v>43748.488884212966</v>
      </c>
    </row>
    <row r="830" spans="1:10" x14ac:dyDescent="0.25">
      <c r="A830" s="5" t="s">
        <v>27298</v>
      </c>
      <c r="B830" s="6">
        <v>393.75</v>
      </c>
      <c r="C830" s="6">
        <v>20.531590000000001</v>
      </c>
      <c r="D830" s="6">
        <v>48</v>
      </c>
      <c r="E830" s="6">
        <v>0</v>
      </c>
      <c r="F830" s="6">
        <v>0</v>
      </c>
      <c r="G830" s="6">
        <v>11</v>
      </c>
      <c r="H830" s="6" t="s">
        <v>27299</v>
      </c>
      <c r="I830" s="6">
        <v>526.6875</v>
      </c>
      <c r="J830" s="2">
        <f t="shared" si="12"/>
        <v>43748.488967731479</v>
      </c>
    </row>
    <row r="831" spans="1:10" x14ac:dyDescent="0.25">
      <c r="A831" s="7" t="s">
        <v>27300</v>
      </c>
      <c r="B831" s="8">
        <v>393.75</v>
      </c>
      <c r="C831" s="8">
        <v>20.584240000000001</v>
      </c>
      <c r="D831" s="8">
        <v>50</v>
      </c>
      <c r="E831" s="8">
        <v>0</v>
      </c>
      <c r="F831" s="8">
        <v>0</v>
      </c>
      <c r="G831" s="8">
        <v>10</v>
      </c>
      <c r="H831" s="8" t="s">
        <v>27301</v>
      </c>
      <c r="I831" s="8">
        <v>526.6875</v>
      </c>
      <c r="J831" s="3">
        <f t="shared" si="12"/>
        <v>43748.489051226854</v>
      </c>
    </row>
    <row r="832" spans="1:10" x14ac:dyDescent="0.25">
      <c r="A832" s="5" t="s">
        <v>27302</v>
      </c>
      <c r="B832" s="6">
        <v>393.75</v>
      </c>
      <c r="C832" s="6">
        <v>20.531590000000001</v>
      </c>
      <c r="D832" s="6">
        <v>49</v>
      </c>
      <c r="E832" s="6">
        <v>0</v>
      </c>
      <c r="F832" s="6">
        <v>0</v>
      </c>
      <c r="G832" s="6">
        <v>5</v>
      </c>
      <c r="H832" s="6" t="s">
        <v>27303</v>
      </c>
      <c r="I832" s="6">
        <v>526.5</v>
      </c>
      <c r="J832" s="2">
        <f t="shared" si="12"/>
        <v>43748.489134305557</v>
      </c>
    </row>
    <row r="833" spans="1:10" x14ac:dyDescent="0.25">
      <c r="A833" s="7" t="s">
        <v>27304</v>
      </c>
      <c r="B833" s="8">
        <v>393.75</v>
      </c>
      <c r="C833" s="8">
        <v>20.531590000000001</v>
      </c>
      <c r="D833" s="8">
        <v>50</v>
      </c>
      <c r="E833" s="8">
        <v>0</v>
      </c>
      <c r="F833" s="8">
        <v>0</v>
      </c>
      <c r="G833" s="8">
        <v>10</v>
      </c>
      <c r="H833" s="8" t="s">
        <v>27305</v>
      </c>
      <c r="I833" s="8">
        <v>526.6875</v>
      </c>
      <c r="J833" s="3">
        <f t="shared" si="12"/>
        <v>43748.489206203703</v>
      </c>
    </row>
    <row r="834" spans="1:10" x14ac:dyDescent="0.25">
      <c r="A834" s="5" t="s">
        <v>27306</v>
      </c>
      <c r="B834" s="6">
        <v>412.5</v>
      </c>
      <c r="C834" s="6">
        <v>20.531590000000001</v>
      </c>
      <c r="D834" s="6">
        <v>51</v>
      </c>
      <c r="E834" s="6">
        <v>0</v>
      </c>
      <c r="F834" s="6">
        <v>0</v>
      </c>
      <c r="G834" s="6">
        <v>6</v>
      </c>
      <c r="H834" s="6" t="s">
        <v>27307</v>
      </c>
      <c r="I834" s="6">
        <v>532.3125</v>
      </c>
      <c r="J834" s="2">
        <f t="shared" ref="J834:J897" si="13">(H834/86400000)+25569+(7/24)</f>
        <v>43748.489289861107</v>
      </c>
    </row>
    <row r="835" spans="1:10" x14ac:dyDescent="0.25">
      <c r="A835" s="7" t="s">
        <v>27308</v>
      </c>
      <c r="B835" s="8">
        <v>393.75</v>
      </c>
      <c r="C835" s="8">
        <v>20.531590000000001</v>
      </c>
      <c r="D835" s="8">
        <v>51</v>
      </c>
      <c r="E835" s="8">
        <v>0</v>
      </c>
      <c r="F835" s="8">
        <v>0</v>
      </c>
      <c r="G835" s="8">
        <v>8</v>
      </c>
      <c r="H835" s="8" t="s">
        <v>27309</v>
      </c>
      <c r="I835" s="8">
        <v>526.5</v>
      </c>
      <c r="J835" s="3">
        <f t="shared" si="13"/>
        <v>43748.489385127315</v>
      </c>
    </row>
    <row r="836" spans="1:10" x14ac:dyDescent="0.25">
      <c r="A836" s="5" t="s">
        <v>27310</v>
      </c>
      <c r="B836" s="6">
        <v>393.75</v>
      </c>
      <c r="C836" s="6">
        <v>20.531590000000001</v>
      </c>
      <c r="D836" s="6">
        <v>50</v>
      </c>
      <c r="E836" s="6">
        <v>0</v>
      </c>
      <c r="F836" s="6">
        <v>0</v>
      </c>
      <c r="G836" s="6">
        <v>3</v>
      </c>
      <c r="H836" s="6" t="s">
        <v>27311</v>
      </c>
      <c r="I836" s="6">
        <v>526.6875</v>
      </c>
      <c r="J836" s="2">
        <f t="shared" si="13"/>
        <v>43748.489480613425</v>
      </c>
    </row>
    <row r="837" spans="1:10" x14ac:dyDescent="0.25">
      <c r="A837" s="7" t="s">
        <v>27312</v>
      </c>
      <c r="B837" s="8">
        <v>393.75</v>
      </c>
      <c r="C837" s="8">
        <v>20.531590000000001</v>
      </c>
      <c r="D837" s="8">
        <v>51</v>
      </c>
      <c r="E837" s="8">
        <v>0</v>
      </c>
      <c r="F837" s="8">
        <v>0</v>
      </c>
      <c r="G837" s="8">
        <v>0</v>
      </c>
      <c r="H837" s="8" t="s">
        <v>27313</v>
      </c>
      <c r="I837" s="8">
        <v>526.6875</v>
      </c>
      <c r="J837" s="3">
        <f t="shared" si="13"/>
        <v>43748.489563958334</v>
      </c>
    </row>
    <row r="838" spans="1:10" x14ac:dyDescent="0.25">
      <c r="A838" s="5" t="s">
        <v>27314</v>
      </c>
      <c r="B838" s="6">
        <v>393.75</v>
      </c>
      <c r="C838" s="6">
        <v>20.531590000000001</v>
      </c>
      <c r="D838" s="6">
        <v>52</v>
      </c>
      <c r="E838" s="6">
        <v>0</v>
      </c>
      <c r="F838" s="6">
        <v>0</v>
      </c>
      <c r="G838" s="6">
        <v>6</v>
      </c>
      <c r="H838" s="6" t="s">
        <v>27315</v>
      </c>
      <c r="I838" s="6">
        <v>526.6875</v>
      </c>
      <c r="J838" s="2">
        <f t="shared" si="13"/>
        <v>43748.489647523144</v>
      </c>
    </row>
    <row r="839" spans="1:10" x14ac:dyDescent="0.25">
      <c r="A839" s="7" t="s">
        <v>27316</v>
      </c>
      <c r="B839" s="8">
        <v>393.75</v>
      </c>
      <c r="C839" s="8">
        <v>20.531590000000001</v>
      </c>
      <c r="D839" s="8">
        <v>51</v>
      </c>
      <c r="E839" s="8">
        <v>0</v>
      </c>
      <c r="F839" s="8">
        <v>0</v>
      </c>
      <c r="G839" s="8">
        <v>8</v>
      </c>
      <c r="H839" s="8" t="s">
        <v>27317</v>
      </c>
      <c r="I839" s="8">
        <v>526.6875</v>
      </c>
      <c r="J839" s="3">
        <f t="shared" si="13"/>
        <v>43748.489730729161</v>
      </c>
    </row>
    <row r="840" spans="1:10" x14ac:dyDescent="0.25">
      <c r="A840" s="5" t="s">
        <v>27318</v>
      </c>
      <c r="B840" s="6">
        <v>421.875</v>
      </c>
      <c r="C840" s="6">
        <v>20.531590000000001</v>
      </c>
      <c r="D840" s="6">
        <v>52</v>
      </c>
      <c r="E840" s="6">
        <v>0</v>
      </c>
      <c r="F840" s="6">
        <v>0</v>
      </c>
      <c r="G840" s="6">
        <v>12</v>
      </c>
      <c r="H840" s="6" t="s">
        <v>27319</v>
      </c>
      <c r="I840" s="6">
        <v>535.5</v>
      </c>
      <c r="J840" s="2">
        <f t="shared" si="13"/>
        <v>43748.489802615739</v>
      </c>
    </row>
    <row r="841" spans="1:10" x14ac:dyDescent="0.25">
      <c r="A841" s="7" t="s">
        <v>27320</v>
      </c>
      <c r="B841" s="8">
        <v>393.75</v>
      </c>
      <c r="C841" s="8">
        <v>20.584240000000001</v>
      </c>
      <c r="D841" s="8">
        <v>52</v>
      </c>
      <c r="E841" s="8">
        <v>0</v>
      </c>
      <c r="F841" s="8">
        <v>0</v>
      </c>
      <c r="G841" s="8">
        <v>9</v>
      </c>
      <c r="H841" s="8" t="s">
        <v>27321</v>
      </c>
      <c r="I841" s="8">
        <v>526.6875</v>
      </c>
      <c r="J841" s="3">
        <f t="shared" si="13"/>
        <v>43748.489886180549</v>
      </c>
    </row>
    <row r="842" spans="1:10" x14ac:dyDescent="0.25">
      <c r="A842" s="5" t="s">
        <v>27322</v>
      </c>
      <c r="B842" s="6">
        <v>393.75</v>
      </c>
      <c r="C842" s="6">
        <v>20.584240000000001</v>
      </c>
      <c r="D842" s="6">
        <v>51</v>
      </c>
      <c r="E842" s="6">
        <v>0</v>
      </c>
      <c r="F842" s="6">
        <v>0</v>
      </c>
      <c r="G842" s="6">
        <v>7</v>
      </c>
      <c r="H842" s="6" t="s">
        <v>27323</v>
      </c>
      <c r="I842" s="6">
        <v>526.6875</v>
      </c>
      <c r="J842" s="2">
        <f t="shared" si="13"/>
        <v>43748.489969606475</v>
      </c>
    </row>
    <row r="843" spans="1:10" x14ac:dyDescent="0.25">
      <c r="A843" s="7" t="s">
        <v>27324</v>
      </c>
      <c r="B843" s="8">
        <v>393.75</v>
      </c>
      <c r="C843" s="8">
        <v>20.531590000000001</v>
      </c>
      <c r="D843" s="8">
        <v>51</v>
      </c>
      <c r="E843" s="8">
        <v>0</v>
      </c>
      <c r="F843" s="8">
        <v>0</v>
      </c>
      <c r="G843" s="8">
        <v>13</v>
      </c>
      <c r="H843" s="8" t="s">
        <v>27325</v>
      </c>
      <c r="I843" s="8">
        <v>526.6875</v>
      </c>
      <c r="J843" s="3">
        <f t="shared" si="13"/>
        <v>43748.490052824076</v>
      </c>
    </row>
    <row r="844" spans="1:10" x14ac:dyDescent="0.25">
      <c r="A844" s="5" t="s">
        <v>27326</v>
      </c>
      <c r="B844" s="6">
        <v>393.75</v>
      </c>
      <c r="C844" s="6">
        <v>20.584240000000001</v>
      </c>
      <c r="D844" s="6">
        <v>52</v>
      </c>
      <c r="E844" s="6">
        <v>0</v>
      </c>
      <c r="F844" s="6">
        <v>0</v>
      </c>
      <c r="G844" s="6">
        <v>12</v>
      </c>
      <c r="H844" s="6" t="s">
        <v>27327</v>
      </c>
      <c r="I844" s="6">
        <v>526.6875</v>
      </c>
      <c r="J844" s="2">
        <f t="shared" si="13"/>
        <v>43748.4901365162</v>
      </c>
    </row>
    <row r="845" spans="1:10" x14ac:dyDescent="0.25">
      <c r="A845" s="7" t="s">
        <v>27328</v>
      </c>
      <c r="B845" s="8">
        <v>412.5</v>
      </c>
      <c r="C845" s="8">
        <v>20.531590000000001</v>
      </c>
      <c r="D845" s="8">
        <v>50</v>
      </c>
      <c r="E845" s="8">
        <v>0</v>
      </c>
      <c r="F845" s="8">
        <v>0</v>
      </c>
      <c r="G845" s="8">
        <v>11</v>
      </c>
      <c r="H845" s="8" t="s">
        <v>27329</v>
      </c>
      <c r="I845" s="8">
        <v>532.3125</v>
      </c>
      <c r="J845" s="3">
        <f t="shared" si="13"/>
        <v>43748.490220231477</v>
      </c>
    </row>
    <row r="846" spans="1:10" x14ac:dyDescent="0.25">
      <c r="A846" s="5" t="s">
        <v>27330</v>
      </c>
      <c r="B846" s="6">
        <v>393.75</v>
      </c>
      <c r="C846" s="6">
        <v>20.584240000000001</v>
      </c>
      <c r="D846" s="6">
        <v>49</v>
      </c>
      <c r="E846" s="6">
        <v>0</v>
      </c>
      <c r="F846" s="6">
        <v>0</v>
      </c>
      <c r="G846" s="6">
        <v>18</v>
      </c>
      <c r="H846" s="6" t="s">
        <v>27331</v>
      </c>
      <c r="I846" s="6">
        <v>526.6875</v>
      </c>
      <c r="J846" s="2">
        <f t="shared" si="13"/>
        <v>43748.490291736111</v>
      </c>
    </row>
    <row r="847" spans="1:10" x14ac:dyDescent="0.25">
      <c r="A847" s="7" t="s">
        <v>27332</v>
      </c>
      <c r="B847" s="8">
        <v>393.75</v>
      </c>
      <c r="C847" s="8">
        <v>20.531590000000001</v>
      </c>
      <c r="D847" s="8">
        <v>47</v>
      </c>
      <c r="E847" s="8">
        <v>0</v>
      </c>
      <c r="F847" s="8">
        <v>0</v>
      </c>
      <c r="G847" s="8">
        <v>17</v>
      </c>
      <c r="H847" s="8" t="s">
        <v>27333</v>
      </c>
      <c r="I847" s="8">
        <v>526.6875</v>
      </c>
      <c r="J847" s="3">
        <f t="shared" si="13"/>
        <v>43748.490375069443</v>
      </c>
    </row>
    <row r="848" spans="1:10" x14ac:dyDescent="0.25">
      <c r="A848" s="5" t="s">
        <v>27334</v>
      </c>
      <c r="B848" s="6">
        <v>393.75</v>
      </c>
      <c r="C848" s="6">
        <v>20.531590000000001</v>
      </c>
      <c r="D848" s="6">
        <v>47</v>
      </c>
      <c r="E848" s="6">
        <v>0</v>
      </c>
      <c r="F848" s="6">
        <v>0</v>
      </c>
      <c r="G848" s="6">
        <v>8</v>
      </c>
      <c r="H848" s="6" t="s">
        <v>27335</v>
      </c>
      <c r="I848" s="6">
        <v>526.6875</v>
      </c>
      <c r="J848" s="2">
        <f t="shared" si="13"/>
        <v>43748.490458634253</v>
      </c>
    </row>
    <row r="849" spans="1:10" x14ac:dyDescent="0.25">
      <c r="A849" s="7" t="s">
        <v>27336</v>
      </c>
      <c r="B849" s="8">
        <v>393.75</v>
      </c>
      <c r="C849" s="8">
        <v>20.531590000000001</v>
      </c>
      <c r="D849" s="8">
        <v>50</v>
      </c>
      <c r="E849" s="8">
        <v>0</v>
      </c>
      <c r="F849" s="8">
        <v>0</v>
      </c>
      <c r="G849" s="8">
        <v>14</v>
      </c>
      <c r="H849" s="8" t="s">
        <v>27337</v>
      </c>
      <c r="I849" s="8">
        <v>526.6875</v>
      </c>
      <c r="J849" s="3">
        <f t="shared" si="13"/>
        <v>43748.490541828702</v>
      </c>
    </row>
    <row r="850" spans="1:10" x14ac:dyDescent="0.25">
      <c r="A850" s="5" t="s">
        <v>27338</v>
      </c>
      <c r="B850" s="6">
        <v>393.75</v>
      </c>
      <c r="C850" s="6">
        <v>20.531590000000001</v>
      </c>
      <c r="D850" s="6">
        <v>50</v>
      </c>
      <c r="E850" s="6">
        <v>0</v>
      </c>
      <c r="F850" s="6">
        <v>0</v>
      </c>
      <c r="G850" s="6">
        <v>12</v>
      </c>
      <c r="H850" s="6" t="s">
        <v>27339</v>
      </c>
      <c r="I850" s="6">
        <v>526.6875</v>
      </c>
      <c r="J850" s="2">
        <f t="shared" si="13"/>
        <v>43748.490625624996</v>
      </c>
    </row>
    <row r="851" spans="1:10" x14ac:dyDescent="0.25">
      <c r="A851" s="7" t="s">
        <v>27340</v>
      </c>
      <c r="B851" s="8">
        <v>393.75</v>
      </c>
      <c r="C851" s="8">
        <v>20.531590000000001</v>
      </c>
      <c r="D851" s="8">
        <v>50</v>
      </c>
      <c r="E851" s="8">
        <v>0</v>
      </c>
      <c r="F851" s="8">
        <v>0</v>
      </c>
      <c r="G851" s="8">
        <v>8</v>
      </c>
      <c r="H851" s="8" t="s">
        <v>27341</v>
      </c>
      <c r="I851" s="8">
        <v>526.6875</v>
      </c>
      <c r="J851" s="3">
        <f t="shared" si="13"/>
        <v>43748.490709097219</v>
      </c>
    </row>
    <row r="852" spans="1:10" x14ac:dyDescent="0.25">
      <c r="A852" s="5" t="s">
        <v>27342</v>
      </c>
      <c r="B852" s="6">
        <v>393.75</v>
      </c>
      <c r="C852" s="6">
        <v>20.531590000000001</v>
      </c>
      <c r="D852" s="6">
        <v>51</v>
      </c>
      <c r="E852" s="6">
        <v>0</v>
      </c>
      <c r="F852" s="6">
        <v>0</v>
      </c>
      <c r="G852" s="6">
        <v>14</v>
      </c>
      <c r="H852" s="6" t="s">
        <v>27343</v>
      </c>
      <c r="I852" s="6">
        <v>526.6875</v>
      </c>
      <c r="J852" s="2">
        <f t="shared" si="13"/>
        <v>43748.490792743054</v>
      </c>
    </row>
    <row r="853" spans="1:10" x14ac:dyDescent="0.25">
      <c r="A853" s="7" t="s">
        <v>27344</v>
      </c>
      <c r="B853" s="8">
        <v>393.75</v>
      </c>
      <c r="C853" s="8">
        <v>20.584240000000001</v>
      </c>
      <c r="D853" s="8">
        <v>50</v>
      </c>
      <c r="E853" s="8">
        <v>0</v>
      </c>
      <c r="F853" s="8">
        <v>0</v>
      </c>
      <c r="G853" s="8">
        <v>13</v>
      </c>
      <c r="H853" s="8" t="s">
        <v>27345</v>
      </c>
      <c r="I853" s="8">
        <v>526.6875</v>
      </c>
      <c r="J853" s="3">
        <f t="shared" si="13"/>
        <v>43748.490876180549</v>
      </c>
    </row>
    <row r="854" spans="1:10" x14ac:dyDescent="0.25">
      <c r="A854" s="5" t="s">
        <v>27346</v>
      </c>
      <c r="B854" s="6">
        <v>393.75</v>
      </c>
      <c r="C854" s="6">
        <v>20.531590000000001</v>
      </c>
      <c r="D854" s="6">
        <v>51</v>
      </c>
      <c r="E854" s="6">
        <v>0</v>
      </c>
      <c r="F854" s="6">
        <v>0</v>
      </c>
      <c r="G854" s="6">
        <v>15</v>
      </c>
      <c r="H854" s="6" t="s">
        <v>27347</v>
      </c>
      <c r="I854" s="6">
        <v>526.6875</v>
      </c>
      <c r="J854" s="2">
        <f t="shared" si="13"/>
        <v>43748.490959560186</v>
      </c>
    </row>
    <row r="855" spans="1:10" x14ac:dyDescent="0.25">
      <c r="A855" s="7" t="s">
        <v>27348</v>
      </c>
      <c r="B855" s="8">
        <v>393.75</v>
      </c>
      <c r="C855" s="8">
        <v>20.584240000000001</v>
      </c>
      <c r="D855" s="8">
        <v>52</v>
      </c>
      <c r="E855" s="8">
        <v>0</v>
      </c>
      <c r="F855" s="8">
        <v>0</v>
      </c>
      <c r="G855" s="8">
        <v>9</v>
      </c>
      <c r="H855" s="8" t="s">
        <v>27349</v>
      </c>
      <c r="I855" s="8">
        <v>526.6875</v>
      </c>
      <c r="J855" s="3">
        <f t="shared" si="13"/>
        <v>43748.491043101851</v>
      </c>
    </row>
    <row r="856" spans="1:10" x14ac:dyDescent="0.25">
      <c r="A856" s="5" t="s">
        <v>27350</v>
      </c>
      <c r="B856" s="6">
        <v>393.75</v>
      </c>
      <c r="C856" s="6">
        <v>20.584240000000001</v>
      </c>
      <c r="D856" s="6">
        <v>52</v>
      </c>
      <c r="E856" s="6">
        <v>0</v>
      </c>
      <c r="F856" s="6">
        <v>0</v>
      </c>
      <c r="G856" s="6">
        <v>18</v>
      </c>
      <c r="H856" s="6" t="s">
        <v>27351</v>
      </c>
      <c r="I856" s="6">
        <v>526.5</v>
      </c>
      <c r="J856" s="2">
        <f t="shared" si="13"/>
        <v>43748.491126608795</v>
      </c>
    </row>
    <row r="857" spans="1:10" x14ac:dyDescent="0.25">
      <c r="A857" s="7" t="s">
        <v>27352</v>
      </c>
      <c r="B857" s="8">
        <v>412.5</v>
      </c>
      <c r="C857" s="8">
        <v>20.531590000000001</v>
      </c>
      <c r="D857" s="8">
        <v>51</v>
      </c>
      <c r="E857" s="8">
        <v>0</v>
      </c>
      <c r="F857" s="8">
        <v>0</v>
      </c>
      <c r="G857" s="8">
        <v>15</v>
      </c>
      <c r="H857" s="8" t="s">
        <v>27353</v>
      </c>
      <c r="I857" s="8">
        <v>532.5</v>
      </c>
      <c r="J857" s="3">
        <f t="shared" si="13"/>
        <v>43748.491210127315</v>
      </c>
    </row>
    <row r="858" spans="1:10" x14ac:dyDescent="0.25">
      <c r="A858" s="5" t="s">
        <v>27354</v>
      </c>
      <c r="B858" s="6">
        <v>393.75</v>
      </c>
      <c r="C858" s="6">
        <v>20.584240000000001</v>
      </c>
      <c r="D858" s="6">
        <v>51</v>
      </c>
      <c r="E858" s="6">
        <v>0</v>
      </c>
      <c r="F858" s="6">
        <v>0</v>
      </c>
      <c r="G858" s="6">
        <v>16</v>
      </c>
      <c r="H858" s="6" t="s">
        <v>27355</v>
      </c>
      <c r="I858" s="6">
        <v>526.6875</v>
      </c>
      <c r="J858" s="2">
        <f t="shared" si="13"/>
        <v>43748.491293576386</v>
      </c>
    </row>
    <row r="859" spans="1:10" x14ac:dyDescent="0.25">
      <c r="A859" s="7" t="s">
        <v>27356</v>
      </c>
      <c r="B859" s="8">
        <v>393.75</v>
      </c>
      <c r="C859" s="8">
        <v>20.531590000000001</v>
      </c>
      <c r="D859" s="8">
        <v>51</v>
      </c>
      <c r="E859" s="8">
        <v>0</v>
      </c>
      <c r="F859" s="8">
        <v>0</v>
      </c>
      <c r="G859" s="8">
        <v>9</v>
      </c>
      <c r="H859" s="8" t="s">
        <v>27357</v>
      </c>
      <c r="I859" s="8">
        <v>526.6875</v>
      </c>
      <c r="J859" s="3">
        <f t="shared" si="13"/>
        <v>43748.491365127316</v>
      </c>
    </row>
    <row r="860" spans="1:10" x14ac:dyDescent="0.25">
      <c r="A860" s="5" t="s">
        <v>27358</v>
      </c>
      <c r="B860" s="6">
        <v>393.75</v>
      </c>
      <c r="C860" s="6">
        <v>20.531590000000001</v>
      </c>
      <c r="D860" s="6">
        <v>50</v>
      </c>
      <c r="E860" s="6">
        <v>0</v>
      </c>
      <c r="F860" s="6">
        <v>0</v>
      </c>
      <c r="G860" s="6">
        <v>13</v>
      </c>
      <c r="H860" s="6" t="s">
        <v>27359</v>
      </c>
      <c r="I860" s="6">
        <v>526.5</v>
      </c>
      <c r="J860" s="2">
        <f t="shared" si="13"/>
        <v>43748.491448680557</v>
      </c>
    </row>
    <row r="861" spans="1:10" x14ac:dyDescent="0.25">
      <c r="A861" s="7" t="s">
        <v>27360</v>
      </c>
      <c r="B861" s="8">
        <v>393.75</v>
      </c>
      <c r="C861" s="8">
        <v>20.531590000000001</v>
      </c>
      <c r="D861" s="8">
        <v>51</v>
      </c>
      <c r="E861" s="8">
        <v>0</v>
      </c>
      <c r="F861" s="8">
        <v>0</v>
      </c>
      <c r="G861" s="8">
        <v>13</v>
      </c>
      <c r="H861" s="8" t="s">
        <v>27361</v>
      </c>
      <c r="I861" s="8">
        <v>526.6875</v>
      </c>
      <c r="J861" s="3">
        <f t="shared" si="13"/>
        <v>43748.491532118052</v>
      </c>
    </row>
    <row r="862" spans="1:10" x14ac:dyDescent="0.25">
      <c r="A862" s="5" t="s">
        <v>27362</v>
      </c>
      <c r="B862" s="6">
        <v>412.5</v>
      </c>
      <c r="C862" s="6">
        <v>20.531590000000001</v>
      </c>
      <c r="D862" s="6">
        <v>51</v>
      </c>
      <c r="E862" s="6">
        <v>0</v>
      </c>
      <c r="F862" s="6">
        <v>0</v>
      </c>
      <c r="G862" s="6">
        <v>8</v>
      </c>
      <c r="H862" s="6" t="s">
        <v>27363</v>
      </c>
      <c r="I862" s="6">
        <v>532.5</v>
      </c>
      <c r="J862" s="2">
        <f t="shared" si="13"/>
        <v>43748.491615798608</v>
      </c>
    </row>
    <row r="863" spans="1:10" x14ac:dyDescent="0.25">
      <c r="A863" s="7" t="s">
        <v>27364</v>
      </c>
      <c r="B863" s="8">
        <v>393.75</v>
      </c>
      <c r="C863" s="8">
        <v>20.531590000000001</v>
      </c>
      <c r="D863" s="8">
        <v>51</v>
      </c>
      <c r="E863" s="8">
        <v>0</v>
      </c>
      <c r="F863" s="8">
        <v>0</v>
      </c>
      <c r="G863" s="8">
        <v>14</v>
      </c>
      <c r="H863" s="8" t="s">
        <v>27365</v>
      </c>
      <c r="I863" s="8">
        <v>526.6875</v>
      </c>
      <c r="J863" s="3">
        <f t="shared" si="13"/>
        <v>43748.491699120372</v>
      </c>
    </row>
    <row r="864" spans="1:10" x14ac:dyDescent="0.25">
      <c r="A864" s="5" t="s">
        <v>27366</v>
      </c>
      <c r="B864" s="6">
        <v>393.75</v>
      </c>
      <c r="C864" s="6">
        <v>20.531590000000001</v>
      </c>
      <c r="D864" s="6">
        <v>51</v>
      </c>
      <c r="E864" s="6">
        <v>0</v>
      </c>
      <c r="F864" s="6">
        <v>0</v>
      </c>
      <c r="G864" s="6">
        <v>9</v>
      </c>
      <c r="H864" s="6" t="s">
        <v>27367</v>
      </c>
      <c r="I864" s="6">
        <v>526.6875</v>
      </c>
      <c r="J864" s="2">
        <f t="shared" si="13"/>
        <v>43748.491782453704</v>
      </c>
    </row>
    <row r="865" spans="1:10" x14ac:dyDescent="0.25">
      <c r="A865" s="7" t="s">
        <v>27368</v>
      </c>
      <c r="B865" s="8">
        <v>393.75</v>
      </c>
      <c r="C865" s="8">
        <v>20.531590000000001</v>
      </c>
      <c r="D865" s="8">
        <v>51</v>
      </c>
      <c r="E865" s="8">
        <v>0</v>
      </c>
      <c r="F865" s="8">
        <v>0</v>
      </c>
      <c r="G865" s="8">
        <v>11</v>
      </c>
      <c r="H865" s="8" t="s">
        <v>27369</v>
      </c>
      <c r="I865" s="8">
        <v>526.6875</v>
      </c>
      <c r="J865" s="3">
        <f t="shared" si="13"/>
        <v>43748.49186613426</v>
      </c>
    </row>
    <row r="866" spans="1:10" x14ac:dyDescent="0.25">
      <c r="A866" s="5" t="s">
        <v>27370</v>
      </c>
      <c r="B866" s="6">
        <v>393.75</v>
      </c>
      <c r="C866" s="6">
        <v>20.584240000000001</v>
      </c>
      <c r="D866" s="6">
        <v>51</v>
      </c>
      <c r="E866" s="6">
        <v>0</v>
      </c>
      <c r="F866" s="6">
        <v>0</v>
      </c>
      <c r="G866" s="6">
        <v>5</v>
      </c>
      <c r="H866" s="6" t="s">
        <v>27371</v>
      </c>
      <c r="I866" s="6">
        <v>526.5</v>
      </c>
      <c r="J866" s="2">
        <f t="shared" si="13"/>
        <v>43748.491949907409</v>
      </c>
    </row>
    <row r="867" spans="1:10" x14ac:dyDescent="0.25">
      <c r="A867" s="7" t="s">
        <v>27372</v>
      </c>
      <c r="B867" s="8">
        <v>393.75</v>
      </c>
      <c r="C867" s="8">
        <v>20.531590000000001</v>
      </c>
      <c r="D867" s="8">
        <v>50</v>
      </c>
      <c r="E867" s="8">
        <v>0</v>
      </c>
      <c r="F867" s="8">
        <v>0</v>
      </c>
      <c r="G867" s="8">
        <v>7</v>
      </c>
      <c r="H867" s="8" t="s">
        <v>27373</v>
      </c>
      <c r="I867" s="8">
        <v>526.6875</v>
      </c>
      <c r="J867" s="3">
        <f t="shared" si="13"/>
        <v>43748.492021238424</v>
      </c>
    </row>
    <row r="868" spans="1:10" x14ac:dyDescent="0.25">
      <c r="A868" s="5" t="s">
        <v>27374</v>
      </c>
      <c r="B868" s="6">
        <v>393.75</v>
      </c>
      <c r="C868" s="6">
        <v>20.531590000000001</v>
      </c>
      <c r="D868" s="6">
        <v>49</v>
      </c>
      <c r="E868" s="6">
        <v>0</v>
      </c>
      <c r="F868" s="6">
        <v>0</v>
      </c>
      <c r="G868" s="6">
        <v>6</v>
      </c>
      <c r="H868" s="6" t="s">
        <v>27375</v>
      </c>
      <c r="I868" s="6">
        <v>526.6875</v>
      </c>
      <c r="J868" s="2">
        <f t="shared" si="13"/>
        <v>43748.492104722223</v>
      </c>
    </row>
    <row r="869" spans="1:10" x14ac:dyDescent="0.25">
      <c r="A869" s="7" t="s">
        <v>27376</v>
      </c>
      <c r="B869" s="8">
        <v>412.5</v>
      </c>
      <c r="C869" s="8">
        <v>20.584240000000001</v>
      </c>
      <c r="D869" s="8">
        <v>54</v>
      </c>
      <c r="E869" s="8">
        <v>0</v>
      </c>
      <c r="F869" s="8">
        <v>0</v>
      </c>
      <c r="G869" s="8">
        <v>14</v>
      </c>
      <c r="H869" s="8" t="s">
        <v>27377</v>
      </c>
      <c r="I869" s="8">
        <v>532.6875</v>
      </c>
      <c r="J869" s="3">
        <f t="shared" si="13"/>
        <v>43748.492188263888</v>
      </c>
    </row>
    <row r="870" spans="1:10" x14ac:dyDescent="0.25">
      <c r="A870" s="5" t="s">
        <v>27378</v>
      </c>
      <c r="B870" s="6">
        <v>393.75</v>
      </c>
      <c r="C870" s="6">
        <v>20.531590000000001</v>
      </c>
      <c r="D870" s="6">
        <v>52</v>
      </c>
      <c r="E870" s="6">
        <v>0</v>
      </c>
      <c r="F870" s="6">
        <v>0</v>
      </c>
      <c r="G870" s="6">
        <v>9</v>
      </c>
      <c r="H870" s="6" t="s">
        <v>27379</v>
      </c>
      <c r="I870" s="6">
        <v>526.6875</v>
      </c>
      <c r="J870" s="2">
        <f t="shared" si="13"/>
        <v>43748.492271365736</v>
      </c>
    </row>
    <row r="871" spans="1:10" x14ac:dyDescent="0.25">
      <c r="A871" s="7" t="s">
        <v>27380</v>
      </c>
      <c r="B871" s="8">
        <v>393.75</v>
      </c>
      <c r="C871" s="8">
        <v>20.584240000000001</v>
      </c>
      <c r="D871" s="8">
        <v>52</v>
      </c>
      <c r="E871" s="8">
        <v>0</v>
      </c>
      <c r="F871" s="8">
        <v>0</v>
      </c>
      <c r="G871" s="8">
        <v>3</v>
      </c>
      <c r="H871" s="8" t="s">
        <v>27381</v>
      </c>
      <c r="I871" s="8">
        <v>526.6875</v>
      </c>
      <c r="J871" s="3">
        <f t="shared" si="13"/>
        <v>43748.492342997684</v>
      </c>
    </row>
    <row r="872" spans="1:10" x14ac:dyDescent="0.25">
      <c r="A872" s="5" t="s">
        <v>27382</v>
      </c>
      <c r="B872" s="6">
        <v>393.75</v>
      </c>
      <c r="C872" s="6">
        <v>20.531590000000001</v>
      </c>
      <c r="D872" s="6">
        <v>53</v>
      </c>
      <c r="E872" s="6">
        <v>0</v>
      </c>
      <c r="F872" s="6">
        <v>0</v>
      </c>
      <c r="G872" s="6">
        <v>6</v>
      </c>
      <c r="H872" s="6" t="s">
        <v>27383</v>
      </c>
      <c r="I872" s="6">
        <v>526.6875</v>
      </c>
      <c r="J872" s="2">
        <f t="shared" si="13"/>
        <v>43748.492426909717</v>
      </c>
    </row>
    <row r="873" spans="1:10" x14ac:dyDescent="0.25">
      <c r="A873" s="7" t="s">
        <v>27384</v>
      </c>
      <c r="B873" s="8">
        <v>393.75</v>
      </c>
      <c r="C873" s="8">
        <v>20.584240000000001</v>
      </c>
      <c r="D873" s="8">
        <v>53</v>
      </c>
      <c r="E873" s="8">
        <v>0</v>
      </c>
      <c r="F873" s="8">
        <v>0</v>
      </c>
      <c r="G873" s="8">
        <v>2</v>
      </c>
      <c r="H873" s="8" t="s">
        <v>27385</v>
      </c>
      <c r="I873" s="8">
        <v>526.6875</v>
      </c>
      <c r="J873" s="3">
        <f t="shared" si="13"/>
        <v>43748.492510370364</v>
      </c>
    </row>
    <row r="874" spans="1:10" x14ac:dyDescent="0.25">
      <c r="A874" s="5" t="s">
        <v>27386</v>
      </c>
      <c r="B874" s="6">
        <v>393.75</v>
      </c>
      <c r="C874" s="6">
        <v>20.531590000000001</v>
      </c>
      <c r="D874" s="6">
        <v>52</v>
      </c>
      <c r="E874" s="6">
        <v>0</v>
      </c>
      <c r="F874" s="6">
        <v>0</v>
      </c>
      <c r="G874" s="6">
        <v>8</v>
      </c>
      <c r="H874" s="6" t="s">
        <v>27387</v>
      </c>
      <c r="I874" s="6">
        <v>526.5</v>
      </c>
      <c r="J874" s="2">
        <f t="shared" si="13"/>
        <v>43748.492593587966</v>
      </c>
    </row>
    <row r="875" spans="1:10" x14ac:dyDescent="0.25">
      <c r="A875" s="7" t="s">
        <v>27388</v>
      </c>
      <c r="B875" s="8">
        <v>393.75</v>
      </c>
      <c r="C875" s="8">
        <v>20.531590000000001</v>
      </c>
      <c r="D875" s="8">
        <v>52</v>
      </c>
      <c r="E875" s="8">
        <v>0</v>
      </c>
      <c r="F875" s="8">
        <v>0</v>
      </c>
      <c r="G875" s="8">
        <v>14</v>
      </c>
      <c r="H875" s="8" t="s">
        <v>27389</v>
      </c>
      <c r="I875" s="8">
        <v>526.6875</v>
      </c>
      <c r="J875" s="3">
        <f t="shared" si="13"/>
        <v>43748.492665347221</v>
      </c>
    </row>
    <row r="876" spans="1:10" x14ac:dyDescent="0.25">
      <c r="A876" s="5" t="s">
        <v>27390</v>
      </c>
      <c r="B876" s="6">
        <v>393.75</v>
      </c>
      <c r="C876" s="6">
        <v>20.531590000000001</v>
      </c>
      <c r="D876" s="6">
        <v>52</v>
      </c>
      <c r="E876" s="6">
        <v>0</v>
      </c>
      <c r="F876" s="6">
        <v>0</v>
      </c>
      <c r="G876" s="6">
        <v>15</v>
      </c>
      <c r="H876" s="6" t="s">
        <v>27391</v>
      </c>
      <c r="I876" s="6">
        <v>526.6875</v>
      </c>
      <c r="J876" s="2">
        <f t="shared" si="13"/>
        <v>43748.49276163194</v>
      </c>
    </row>
    <row r="877" spans="1:10" x14ac:dyDescent="0.25">
      <c r="A877" s="7" t="s">
        <v>27392</v>
      </c>
      <c r="B877" s="8">
        <v>393.75</v>
      </c>
      <c r="C877" s="8">
        <v>20.584240000000001</v>
      </c>
      <c r="D877" s="8">
        <v>54</v>
      </c>
      <c r="E877" s="8">
        <v>0</v>
      </c>
      <c r="F877" s="8">
        <v>0</v>
      </c>
      <c r="G877" s="8">
        <v>1</v>
      </c>
      <c r="H877" s="8" t="s">
        <v>27393</v>
      </c>
      <c r="I877" s="8">
        <v>526.6875</v>
      </c>
      <c r="J877" s="3">
        <f t="shared" si="13"/>
        <v>43748.492844305554</v>
      </c>
    </row>
    <row r="878" spans="1:10" x14ac:dyDescent="0.25">
      <c r="A878" s="5" t="s">
        <v>27394</v>
      </c>
      <c r="B878" s="6">
        <v>393.75</v>
      </c>
      <c r="C878" s="6">
        <v>20.584240000000001</v>
      </c>
      <c r="D878" s="6">
        <v>53</v>
      </c>
      <c r="E878" s="6">
        <v>0</v>
      </c>
      <c r="F878" s="6">
        <v>0</v>
      </c>
      <c r="G878" s="6">
        <v>15</v>
      </c>
      <c r="H878" s="6" t="s">
        <v>27395</v>
      </c>
      <c r="I878" s="6">
        <v>526.6875</v>
      </c>
      <c r="J878" s="2">
        <f t="shared" si="13"/>
        <v>43748.49293940972</v>
      </c>
    </row>
    <row r="879" spans="1:10" x14ac:dyDescent="0.25">
      <c r="A879" s="7" t="s">
        <v>27396</v>
      </c>
      <c r="B879" s="8">
        <v>393.75</v>
      </c>
      <c r="C879" s="8">
        <v>20.584240000000001</v>
      </c>
      <c r="D879" s="8">
        <v>53</v>
      </c>
      <c r="E879" s="8">
        <v>0</v>
      </c>
      <c r="F879" s="8">
        <v>0</v>
      </c>
      <c r="G879" s="8">
        <v>16</v>
      </c>
      <c r="H879" s="8" t="s">
        <v>27397</v>
      </c>
      <c r="I879" s="8">
        <v>526.5</v>
      </c>
      <c r="J879" s="3">
        <f t="shared" si="13"/>
        <v>43748.49302321759</v>
      </c>
    </row>
    <row r="880" spans="1:10" x14ac:dyDescent="0.25">
      <c r="A880" s="5" t="s">
        <v>27398</v>
      </c>
      <c r="B880" s="6">
        <v>393.75</v>
      </c>
      <c r="C880" s="6">
        <v>20.531590000000001</v>
      </c>
      <c r="D880" s="6">
        <v>53</v>
      </c>
      <c r="E880" s="6">
        <v>0</v>
      </c>
      <c r="F880" s="6">
        <v>0</v>
      </c>
      <c r="G880" s="6">
        <v>10</v>
      </c>
      <c r="H880" s="6" t="s">
        <v>27399</v>
      </c>
      <c r="I880" s="6">
        <v>526.6875</v>
      </c>
      <c r="J880" s="2">
        <f t="shared" si="13"/>
        <v>43748.493106655085</v>
      </c>
    </row>
    <row r="881" spans="1:10" x14ac:dyDescent="0.25">
      <c r="A881" s="7" t="s">
        <v>27400</v>
      </c>
      <c r="B881" s="8">
        <v>412.5</v>
      </c>
      <c r="C881" s="8">
        <v>20.531590000000001</v>
      </c>
      <c r="D881" s="8">
        <v>53</v>
      </c>
      <c r="E881" s="8">
        <v>0</v>
      </c>
      <c r="F881" s="8">
        <v>0</v>
      </c>
      <c r="G881" s="8">
        <v>7</v>
      </c>
      <c r="H881" s="8" t="s">
        <v>27401</v>
      </c>
      <c r="I881" s="8">
        <v>532.3125</v>
      </c>
      <c r="J881" s="3">
        <f t="shared" si="13"/>
        <v>43748.493189895831</v>
      </c>
    </row>
    <row r="882" spans="1:10" x14ac:dyDescent="0.25">
      <c r="A882" s="5" t="s">
        <v>27402</v>
      </c>
      <c r="B882" s="6">
        <v>393.75</v>
      </c>
      <c r="C882" s="6">
        <v>20.584240000000001</v>
      </c>
      <c r="D882" s="6">
        <v>53</v>
      </c>
      <c r="E882" s="6">
        <v>0</v>
      </c>
      <c r="F882" s="6">
        <v>0</v>
      </c>
      <c r="G882" s="6">
        <v>12</v>
      </c>
      <c r="H882" s="6" t="s">
        <v>27403</v>
      </c>
      <c r="I882" s="6">
        <v>526.6875</v>
      </c>
      <c r="J882" s="2">
        <f t="shared" si="13"/>
        <v>43748.493261539348</v>
      </c>
    </row>
    <row r="883" spans="1:10" x14ac:dyDescent="0.25">
      <c r="A883" s="7" t="s">
        <v>27404</v>
      </c>
      <c r="B883" s="8">
        <v>393.75</v>
      </c>
      <c r="C883" s="8">
        <v>20.531590000000001</v>
      </c>
      <c r="D883" s="8">
        <v>54</v>
      </c>
      <c r="E883" s="8">
        <v>0</v>
      </c>
      <c r="F883" s="8">
        <v>0</v>
      </c>
      <c r="G883" s="8">
        <v>19</v>
      </c>
      <c r="H883" s="8" t="s">
        <v>27405</v>
      </c>
      <c r="I883" s="8">
        <v>526.6875</v>
      </c>
      <c r="J883" s="3">
        <f t="shared" si="13"/>
        <v>43748.493345428236</v>
      </c>
    </row>
    <row r="884" spans="1:10" x14ac:dyDescent="0.25">
      <c r="A884" s="5" t="s">
        <v>27406</v>
      </c>
      <c r="B884" s="6">
        <v>393.75</v>
      </c>
      <c r="C884" s="6">
        <v>20.531590000000001</v>
      </c>
      <c r="D884" s="6">
        <v>54</v>
      </c>
      <c r="E884" s="6">
        <v>0</v>
      </c>
      <c r="F884" s="6">
        <v>0</v>
      </c>
      <c r="G884" s="6">
        <v>9</v>
      </c>
      <c r="H884" s="6" t="s">
        <v>27407</v>
      </c>
      <c r="I884" s="6">
        <v>526.6875</v>
      </c>
      <c r="J884" s="2">
        <f t="shared" si="13"/>
        <v>43748.493428888883</v>
      </c>
    </row>
    <row r="885" spans="1:10" x14ac:dyDescent="0.25">
      <c r="A885" s="7" t="s">
        <v>27408</v>
      </c>
      <c r="B885" s="8">
        <v>393.75</v>
      </c>
      <c r="C885" s="8">
        <v>20.584240000000001</v>
      </c>
      <c r="D885" s="8">
        <v>53</v>
      </c>
      <c r="E885" s="8">
        <v>0</v>
      </c>
      <c r="F885" s="8">
        <v>0</v>
      </c>
      <c r="G885" s="8">
        <v>2</v>
      </c>
      <c r="H885" s="8" t="s">
        <v>27409</v>
      </c>
      <c r="I885" s="8">
        <v>526.6875</v>
      </c>
      <c r="J885" s="3">
        <f t="shared" si="13"/>
        <v>43748.493512129622</v>
      </c>
    </row>
    <row r="886" spans="1:10" x14ac:dyDescent="0.25">
      <c r="A886" s="5" t="s">
        <v>27410</v>
      </c>
      <c r="B886" s="6">
        <v>412.5</v>
      </c>
      <c r="C886" s="6">
        <v>20.584240000000001</v>
      </c>
      <c r="D886" s="6">
        <v>53</v>
      </c>
      <c r="E886" s="6">
        <v>0</v>
      </c>
      <c r="F886" s="6">
        <v>0</v>
      </c>
      <c r="G886" s="6">
        <v>3</v>
      </c>
      <c r="H886" s="6" t="s">
        <v>27411</v>
      </c>
      <c r="I886" s="6">
        <v>532.6875</v>
      </c>
      <c r="J886" s="2">
        <f t="shared" si="13"/>
        <v>43748.493595798609</v>
      </c>
    </row>
    <row r="887" spans="1:10" x14ac:dyDescent="0.25">
      <c r="A887" s="7" t="s">
        <v>27412</v>
      </c>
      <c r="B887" s="8">
        <v>393.75</v>
      </c>
      <c r="C887" s="8">
        <v>20.531590000000001</v>
      </c>
      <c r="D887" s="8">
        <v>53</v>
      </c>
      <c r="E887" s="8">
        <v>0</v>
      </c>
      <c r="F887" s="8">
        <v>0</v>
      </c>
      <c r="G887" s="8">
        <v>0</v>
      </c>
      <c r="H887" s="8" t="s">
        <v>27413</v>
      </c>
      <c r="I887" s="8">
        <v>526.6875</v>
      </c>
      <c r="J887" s="3">
        <f t="shared" si="13"/>
        <v>43748.493679467589</v>
      </c>
    </row>
    <row r="888" spans="1:10" x14ac:dyDescent="0.25">
      <c r="A888" s="5" t="s">
        <v>27414</v>
      </c>
      <c r="B888" s="6">
        <v>393.75</v>
      </c>
      <c r="C888" s="6">
        <v>20.531590000000001</v>
      </c>
      <c r="D888" s="6">
        <v>53</v>
      </c>
      <c r="E888" s="6">
        <v>0</v>
      </c>
      <c r="F888" s="6">
        <v>0</v>
      </c>
      <c r="G888" s="6">
        <v>0</v>
      </c>
      <c r="H888" s="6" t="s">
        <v>27415</v>
      </c>
      <c r="I888" s="6">
        <v>526.6875</v>
      </c>
      <c r="J888" s="2">
        <f t="shared" si="13"/>
        <v>43748.493750891204</v>
      </c>
    </row>
    <row r="889" spans="1:10" x14ac:dyDescent="0.25">
      <c r="A889" s="7" t="s">
        <v>27416</v>
      </c>
      <c r="B889" s="8">
        <v>393.75</v>
      </c>
      <c r="C889" s="8">
        <v>20.531590000000001</v>
      </c>
      <c r="D889" s="8">
        <v>53</v>
      </c>
      <c r="E889" s="8">
        <v>0</v>
      </c>
      <c r="F889" s="8">
        <v>0</v>
      </c>
      <c r="G889" s="8">
        <v>0</v>
      </c>
      <c r="H889" s="8" t="s">
        <v>27417</v>
      </c>
      <c r="I889" s="8">
        <v>526.5</v>
      </c>
      <c r="J889" s="3">
        <f t="shared" si="13"/>
        <v>43748.493834328699</v>
      </c>
    </row>
    <row r="890" spans="1:10" x14ac:dyDescent="0.25">
      <c r="A890" s="5" t="s">
        <v>27418</v>
      </c>
      <c r="B890" s="6">
        <v>393.75</v>
      </c>
      <c r="C890" s="6">
        <v>20.584240000000001</v>
      </c>
      <c r="D890" s="6">
        <v>52</v>
      </c>
      <c r="E890" s="6">
        <v>0</v>
      </c>
      <c r="F890" s="6">
        <v>0</v>
      </c>
      <c r="G890" s="6">
        <v>5</v>
      </c>
      <c r="H890" s="6" t="s">
        <v>27419</v>
      </c>
      <c r="I890" s="6">
        <v>526.6875</v>
      </c>
      <c r="J890" s="2">
        <f t="shared" si="13"/>
        <v>43748.49391788194</v>
      </c>
    </row>
    <row r="891" spans="1:10" x14ac:dyDescent="0.25">
      <c r="A891" s="7" t="s">
        <v>27420</v>
      </c>
      <c r="B891" s="8">
        <v>412.5</v>
      </c>
      <c r="C891" s="8">
        <v>20.531590000000001</v>
      </c>
      <c r="D891" s="8">
        <v>55</v>
      </c>
      <c r="E891" s="8">
        <v>0</v>
      </c>
      <c r="F891" s="8">
        <v>0</v>
      </c>
      <c r="G891" s="8">
        <v>10</v>
      </c>
      <c r="H891" s="8" t="s">
        <v>27421</v>
      </c>
      <c r="I891" s="8">
        <v>532.6875</v>
      </c>
      <c r="J891" s="3">
        <f t="shared" si="13"/>
        <v>43748.494000995364</v>
      </c>
    </row>
    <row r="892" spans="1:10" x14ac:dyDescent="0.25">
      <c r="A892" s="5" t="s">
        <v>27422</v>
      </c>
      <c r="B892" s="6">
        <v>393.75</v>
      </c>
      <c r="C892" s="6">
        <v>20.584240000000001</v>
      </c>
      <c r="D892" s="6">
        <v>55</v>
      </c>
      <c r="E892" s="6">
        <v>0</v>
      </c>
      <c r="F892" s="6">
        <v>0</v>
      </c>
      <c r="G892" s="6">
        <v>2</v>
      </c>
      <c r="H892" s="6" t="s">
        <v>27423</v>
      </c>
      <c r="I892" s="6">
        <v>526.6875</v>
      </c>
      <c r="J892" s="2">
        <f t="shared" si="13"/>
        <v>43748.494072754627</v>
      </c>
    </row>
    <row r="893" spans="1:10" x14ac:dyDescent="0.25">
      <c r="A893" s="7" t="s">
        <v>27424</v>
      </c>
      <c r="B893" s="8">
        <v>393.75</v>
      </c>
      <c r="C893" s="8">
        <v>20.531590000000001</v>
      </c>
      <c r="D893" s="8">
        <v>55</v>
      </c>
      <c r="E893" s="8">
        <v>0</v>
      </c>
      <c r="F893" s="8">
        <v>0</v>
      </c>
      <c r="G893" s="8">
        <v>8</v>
      </c>
      <c r="H893" s="8" t="s">
        <v>27425</v>
      </c>
      <c r="I893" s="8">
        <v>526.6875</v>
      </c>
      <c r="J893" s="3">
        <f t="shared" si="13"/>
        <v>43748.494156550929</v>
      </c>
    </row>
    <row r="894" spans="1:10" x14ac:dyDescent="0.25">
      <c r="A894" s="5" t="s">
        <v>27426</v>
      </c>
      <c r="B894" s="6">
        <v>393.75</v>
      </c>
      <c r="C894" s="6">
        <v>20.531590000000001</v>
      </c>
      <c r="D894" s="6">
        <v>54</v>
      </c>
      <c r="E894" s="6">
        <v>0</v>
      </c>
      <c r="F894" s="6">
        <v>0</v>
      </c>
      <c r="G894" s="6">
        <v>9</v>
      </c>
      <c r="H894" s="6" t="s">
        <v>27427</v>
      </c>
      <c r="I894" s="6">
        <v>526.6875</v>
      </c>
      <c r="J894" s="2">
        <f t="shared" si="13"/>
        <v>43748.494239918982</v>
      </c>
    </row>
    <row r="895" spans="1:10" x14ac:dyDescent="0.25">
      <c r="A895" s="7" t="s">
        <v>27428</v>
      </c>
      <c r="B895" s="8">
        <v>393.75</v>
      </c>
      <c r="C895" s="8">
        <v>20.531590000000001</v>
      </c>
      <c r="D895" s="8">
        <v>55</v>
      </c>
      <c r="E895" s="8">
        <v>0</v>
      </c>
      <c r="F895" s="8">
        <v>0</v>
      </c>
      <c r="G895" s="8">
        <v>6</v>
      </c>
      <c r="H895" s="8" t="s">
        <v>27429</v>
      </c>
      <c r="I895" s="8">
        <v>526.6875</v>
      </c>
      <c r="J895" s="3">
        <f t="shared" si="13"/>
        <v>43748.494323229163</v>
      </c>
    </row>
    <row r="896" spans="1:10" x14ac:dyDescent="0.25">
      <c r="A896" s="5" t="s">
        <v>27430</v>
      </c>
      <c r="B896" s="6">
        <v>393.75</v>
      </c>
      <c r="C896" s="6">
        <v>20.531590000000001</v>
      </c>
      <c r="D896" s="6">
        <v>54</v>
      </c>
      <c r="E896" s="6">
        <v>0</v>
      </c>
      <c r="F896" s="6">
        <v>0</v>
      </c>
      <c r="G896" s="6">
        <v>7</v>
      </c>
      <c r="H896" s="6" t="s">
        <v>27431</v>
      </c>
      <c r="I896" s="6">
        <v>526.6875</v>
      </c>
      <c r="J896" s="2">
        <f t="shared" si="13"/>
        <v>43748.494406886573</v>
      </c>
    </row>
    <row r="897" spans="1:10" x14ac:dyDescent="0.25">
      <c r="A897" s="7" t="s">
        <v>27432</v>
      </c>
      <c r="B897" s="8">
        <v>393.75</v>
      </c>
      <c r="C897" s="8">
        <v>20.531590000000001</v>
      </c>
      <c r="D897" s="8">
        <v>54</v>
      </c>
      <c r="E897" s="8">
        <v>0</v>
      </c>
      <c r="F897" s="8">
        <v>0</v>
      </c>
      <c r="G897" s="8">
        <v>7</v>
      </c>
      <c r="H897" s="8" t="s">
        <v>27433</v>
      </c>
      <c r="I897" s="8">
        <v>526.6875</v>
      </c>
      <c r="J897" s="3">
        <f t="shared" si="13"/>
        <v>43748.494490104167</v>
      </c>
    </row>
    <row r="898" spans="1:10" x14ac:dyDescent="0.25">
      <c r="A898" s="5" t="s">
        <v>27434</v>
      </c>
      <c r="B898" s="6">
        <v>393.75</v>
      </c>
      <c r="C898" s="6">
        <v>20.531590000000001</v>
      </c>
      <c r="D898" s="6">
        <v>54</v>
      </c>
      <c r="E898" s="6">
        <v>0</v>
      </c>
      <c r="F898" s="6">
        <v>0</v>
      </c>
      <c r="G898" s="6">
        <v>12</v>
      </c>
      <c r="H898" s="6" t="s">
        <v>27435</v>
      </c>
      <c r="I898" s="6">
        <v>526.6875</v>
      </c>
      <c r="J898" s="2">
        <f t="shared" ref="J898:J961" si="14">(H898/86400000)+25569+(7/24)</f>
        <v>43748.494562129628</v>
      </c>
    </row>
    <row r="899" spans="1:10" x14ac:dyDescent="0.25">
      <c r="A899" s="7" t="s">
        <v>27436</v>
      </c>
      <c r="B899" s="8">
        <v>393.75</v>
      </c>
      <c r="C899" s="8">
        <v>20.531590000000001</v>
      </c>
      <c r="D899" s="8">
        <v>54</v>
      </c>
      <c r="E899" s="8">
        <v>0</v>
      </c>
      <c r="F899" s="8">
        <v>0</v>
      </c>
      <c r="G899" s="8">
        <v>8</v>
      </c>
      <c r="H899" s="8" t="s">
        <v>27437</v>
      </c>
      <c r="I899" s="8">
        <v>526.6875</v>
      </c>
      <c r="J899" s="3">
        <f t="shared" si="14"/>
        <v>43748.49464547453</v>
      </c>
    </row>
    <row r="900" spans="1:10" x14ac:dyDescent="0.25">
      <c r="A900" s="5" t="s">
        <v>27438</v>
      </c>
      <c r="B900" s="6">
        <v>393.75</v>
      </c>
      <c r="C900" s="6">
        <v>20.531590000000001</v>
      </c>
      <c r="D900" s="6">
        <v>54</v>
      </c>
      <c r="E900" s="6">
        <v>0</v>
      </c>
      <c r="F900" s="6">
        <v>0</v>
      </c>
      <c r="G900" s="6">
        <v>16</v>
      </c>
      <c r="H900" s="6" t="s">
        <v>27439</v>
      </c>
      <c r="I900" s="6">
        <v>526.6875</v>
      </c>
      <c r="J900" s="2">
        <f t="shared" si="14"/>
        <v>43748.494729027771</v>
      </c>
    </row>
    <row r="901" spans="1:10" x14ac:dyDescent="0.25">
      <c r="A901" s="7" t="s">
        <v>27440</v>
      </c>
      <c r="B901" s="8">
        <v>412.5</v>
      </c>
      <c r="C901" s="8">
        <v>20.478950000000001</v>
      </c>
      <c r="D901" s="8">
        <v>54</v>
      </c>
      <c r="E901" s="8">
        <v>0</v>
      </c>
      <c r="F901" s="8">
        <v>0</v>
      </c>
      <c r="G901" s="8">
        <v>0</v>
      </c>
      <c r="H901" s="8" t="s">
        <v>27441</v>
      </c>
      <c r="I901" s="8">
        <v>532.5</v>
      </c>
      <c r="J901" s="3">
        <f t="shared" si="14"/>
        <v>43748.49505622685</v>
      </c>
    </row>
    <row r="902" spans="1:10" x14ac:dyDescent="0.25">
      <c r="A902" s="5" t="s">
        <v>27442</v>
      </c>
      <c r="B902" s="6">
        <v>393.75</v>
      </c>
      <c r="C902" s="6">
        <v>20.531590000000001</v>
      </c>
      <c r="D902" s="6">
        <v>53</v>
      </c>
      <c r="E902" s="6">
        <v>0</v>
      </c>
      <c r="F902" s="6">
        <v>0</v>
      </c>
      <c r="G902" s="6">
        <v>0</v>
      </c>
      <c r="H902" s="6" t="s">
        <v>27443</v>
      </c>
      <c r="I902" s="6">
        <v>526.6875</v>
      </c>
      <c r="J902" s="2">
        <f t="shared" si="14"/>
        <v>43748.495137268517</v>
      </c>
    </row>
    <row r="903" spans="1:10" x14ac:dyDescent="0.25">
      <c r="A903" s="7" t="s">
        <v>27444</v>
      </c>
      <c r="B903" s="8">
        <v>393.75</v>
      </c>
      <c r="C903" s="8">
        <v>20.531590000000001</v>
      </c>
      <c r="D903" s="8">
        <v>54</v>
      </c>
      <c r="E903" s="8">
        <v>0</v>
      </c>
      <c r="F903" s="8">
        <v>0</v>
      </c>
      <c r="G903" s="8">
        <v>0</v>
      </c>
      <c r="H903" s="8" t="s">
        <v>27445</v>
      </c>
      <c r="I903" s="8">
        <v>526.6875</v>
      </c>
      <c r="J903" s="3">
        <f t="shared" si="14"/>
        <v>43748.495220717588</v>
      </c>
    </row>
    <row r="904" spans="1:10" x14ac:dyDescent="0.25">
      <c r="A904" s="5" t="s">
        <v>27446</v>
      </c>
      <c r="B904" s="6">
        <v>393.75</v>
      </c>
      <c r="C904" s="6">
        <v>20.584240000000001</v>
      </c>
      <c r="D904" s="6">
        <v>49</v>
      </c>
      <c r="E904" s="6">
        <v>0</v>
      </c>
      <c r="F904" s="6">
        <v>0</v>
      </c>
      <c r="G904" s="6">
        <v>0</v>
      </c>
      <c r="H904" s="6" t="s">
        <v>27447</v>
      </c>
      <c r="I904" s="6">
        <v>526.6875</v>
      </c>
      <c r="J904" s="2">
        <f t="shared" si="14"/>
        <v>43748.495304282405</v>
      </c>
    </row>
    <row r="905" spans="1:10" x14ac:dyDescent="0.25">
      <c r="A905" s="7" t="s">
        <v>27448</v>
      </c>
      <c r="B905" s="8">
        <v>393.75</v>
      </c>
      <c r="C905" s="8">
        <v>20.531590000000001</v>
      </c>
      <c r="D905" s="8">
        <v>51</v>
      </c>
      <c r="E905" s="8">
        <v>0</v>
      </c>
      <c r="F905" s="8">
        <v>0</v>
      </c>
      <c r="G905" s="8">
        <v>5</v>
      </c>
      <c r="H905" s="8" t="s">
        <v>27449</v>
      </c>
      <c r="I905" s="8">
        <v>526.5</v>
      </c>
      <c r="J905" s="3">
        <f t="shared" si="14"/>
        <v>43748.495387731477</v>
      </c>
    </row>
    <row r="906" spans="1:10" x14ac:dyDescent="0.25">
      <c r="A906" s="5" t="s">
        <v>27450</v>
      </c>
      <c r="B906" s="6">
        <v>393.75</v>
      </c>
      <c r="C906" s="6">
        <v>20.531590000000001</v>
      </c>
      <c r="D906" s="6">
        <v>51</v>
      </c>
      <c r="E906" s="6">
        <v>0</v>
      </c>
      <c r="F906" s="6">
        <v>0</v>
      </c>
      <c r="G906" s="6">
        <v>7</v>
      </c>
      <c r="H906" s="6" t="s">
        <v>27451</v>
      </c>
      <c r="I906" s="6">
        <v>526.6875</v>
      </c>
      <c r="J906" s="2">
        <f t="shared" si="14"/>
        <v>43748.495471180555</v>
      </c>
    </row>
    <row r="907" spans="1:10" x14ac:dyDescent="0.25">
      <c r="A907" s="7" t="s">
        <v>27452</v>
      </c>
      <c r="B907" s="8">
        <v>393.75</v>
      </c>
      <c r="C907" s="8">
        <v>20.584240000000001</v>
      </c>
      <c r="D907" s="8">
        <v>51</v>
      </c>
      <c r="E907" s="8">
        <v>0</v>
      </c>
      <c r="F907" s="8">
        <v>0</v>
      </c>
      <c r="G907" s="8">
        <v>5</v>
      </c>
      <c r="H907" s="8" t="s">
        <v>27453</v>
      </c>
      <c r="I907" s="8">
        <v>526.5</v>
      </c>
      <c r="J907" s="3">
        <f t="shared" si="14"/>
        <v>43748.495554861111</v>
      </c>
    </row>
    <row r="908" spans="1:10" x14ac:dyDescent="0.25">
      <c r="A908" s="5" t="s">
        <v>27454</v>
      </c>
      <c r="B908" s="6">
        <v>393.75</v>
      </c>
      <c r="C908" s="6">
        <v>20.584240000000001</v>
      </c>
      <c r="D908" s="6">
        <v>51</v>
      </c>
      <c r="E908" s="6">
        <v>0</v>
      </c>
      <c r="F908" s="6">
        <v>0</v>
      </c>
      <c r="G908" s="6">
        <v>6</v>
      </c>
      <c r="H908" s="6" t="s">
        <v>27455</v>
      </c>
      <c r="I908" s="6">
        <v>526.6875</v>
      </c>
      <c r="J908" s="2">
        <f t="shared" si="14"/>
        <v>43748.495638067128</v>
      </c>
    </row>
    <row r="909" spans="1:10" x14ac:dyDescent="0.25">
      <c r="A909" s="7" t="s">
        <v>27456</v>
      </c>
      <c r="B909" s="8">
        <v>393.75</v>
      </c>
      <c r="C909" s="8">
        <v>20.531590000000001</v>
      </c>
      <c r="D909" s="8">
        <v>51</v>
      </c>
      <c r="E909" s="8">
        <v>0</v>
      </c>
      <c r="F909" s="8">
        <v>0</v>
      </c>
      <c r="G909" s="8">
        <v>7</v>
      </c>
      <c r="H909" s="8" t="s">
        <v>27457</v>
      </c>
      <c r="I909" s="8">
        <v>526.6875</v>
      </c>
      <c r="J909" s="3">
        <f t="shared" si="14"/>
        <v>43748.495709722221</v>
      </c>
    </row>
    <row r="910" spans="1:10" x14ac:dyDescent="0.25">
      <c r="A910" s="5" t="s">
        <v>27458</v>
      </c>
      <c r="B910" s="6">
        <v>393.75</v>
      </c>
      <c r="C910" s="6">
        <v>20.584240000000001</v>
      </c>
      <c r="D910" s="6">
        <v>49</v>
      </c>
      <c r="E910" s="6">
        <v>0</v>
      </c>
      <c r="F910" s="6">
        <v>0</v>
      </c>
      <c r="G910" s="6">
        <v>8</v>
      </c>
      <c r="H910" s="6" t="s">
        <v>27459</v>
      </c>
      <c r="I910" s="6">
        <v>526.6875</v>
      </c>
      <c r="J910" s="2">
        <f t="shared" si="14"/>
        <v>43748.495793379632</v>
      </c>
    </row>
    <row r="911" spans="1:10" x14ac:dyDescent="0.25">
      <c r="A911" s="7" t="s">
        <v>27460</v>
      </c>
      <c r="B911" s="8">
        <v>393.75</v>
      </c>
      <c r="C911" s="8">
        <v>20.584240000000001</v>
      </c>
      <c r="D911" s="8">
        <v>50</v>
      </c>
      <c r="E911" s="8">
        <v>0</v>
      </c>
      <c r="F911" s="8">
        <v>0</v>
      </c>
      <c r="G911" s="8">
        <v>12</v>
      </c>
      <c r="H911" s="8" t="s">
        <v>27461</v>
      </c>
      <c r="I911" s="8">
        <v>526.6875</v>
      </c>
      <c r="J911" s="3">
        <f t="shared" si="14"/>
        <v>43748.495876643516</v>
      </c>
    </row>
    <row r="912" spans="1:10" x14ac:dyDescent="0.25">
      <c r="A912" s="5" t="s">
        <v>27462</v>
      </c>
      <c r="B912" s="6">
        <v>393.75</v>
      </c>
      <c r="C912" s="6">
        <v>20.584240000000001</v>
      </c>
      <c r="D912" s="6">
        <v>51</v>
      </c>
      <c r="E912" s="6">
        <v>0</v>
      </c>
      <c r="F912" s="6">
        <v>0</v>
      </c>
      <c r="G912" s="6">
        <v>5</v>
      </c>
      <c r="H912" s="6" t="s">
        <v>27463</v>
      </c>
      <c r="I912" s="6">
        <v>526.6875</v>
      </c>
      <c r="J912" s="2">
        <f t="shared" si="14"/>
        <v>43748.495948402771</v>
      </c>
    </row>
    <row r="913" spans="1:10" x14ac:dyDescent="0.25">
      <c r="A913" s="7" t="s">
        <v>27464</v>
      </c>
      <c r="B913" s="8">
        <v>393.75</v>
      </c>
      <c r="C913" s="8">
        <v>20.531590000000001</v>
      </c>
      <c r="D913" s="8">
        <v>51</v>
      </c>
      <c r="E913" s="8">
        <v>0</v>
      </c>
      <c r="F913" s="8">
        <v>0</v>
      </c>
      <c r="G913" s="8">
        <v>13</v>
      </c>
      <c r="H913" s="8" t="s">
        <v>27465</v>
      </c>
      <c r="I913" s="8">
        <v>526.6875</v>
      </c>
      <c r="J913" s="3">
        <f t="shared" si="14"/>
        <v>43748.496031678238</v>
      </c>
    </row>
    <row r="914" spans="1:10" x14ac:dyDescent="0.25">
      <c r="A914" s="5" t="s">
        <v>27466</v>
      </c>
      <c r="B914" s="6">
        <v>393.75</v>
      </c>
      <c r="C914" s="6">
        <v>20.531590000000001</v>
      </c>
      <c r="D914" s="6">
        <v>53</v>
      </c>
      <c r="E914" s="6">
        <v>0</v>
      </c>
      <c r="F914" s="6">
        <v>0</v>
      </c>
      <c r="G914" s="6">
        <v>9</v>
      </c>
      <c r="H914" s="6" t="s">
        <v>27467</v>
      </c>
      <c r="I914" s="6">
        <v>526.6875</v>
      </c>
      <c r="J914" s="2">
        <f t="shared" si="14"/>
        <v>43748.496103784717</v>
      </c>
    </row>
    <row r="915" spans="1:10" x14ac:dyDescent="0.25">
      <c r="A915" s="7" t="s">
        <v>27468</v>
      </c>
      <c r="B915" s="8">
        <v>393.75</v>
      </c>
      <c r="C915" s="8">
        <v>20.531590000000001</v>
      </c>
      <c r="D915" s="8">
        <v>53</v>
      </c>
      <c r="E915" s="8">
        <v>0</v>
      </c>
      <c r="F915" s="8">
        <v>0</v>
      </c>
      <c r="G915" s="8">
        <v>10</v>
      </c>
      <c r="H915" s="8" t="s">
        <v>27469</v>
      </c>
      <c r="I915" s="8">
        <v>526.6875</v>
      </c>
      <c r="J915" s="3">
        <f t="shared" si="14"/>
        <v>43748.49617825231</v>
      </c>
    </row>
    <row r="916" spans="1:10" x14ac:dyDescent="0.25">
      <c r="A916" s="5" t="s">
        <v>27470</v>
      </c>
      <c r="B916" s="6">
        <v>415.625</v>
      </c>
      <c r="C916" s="6">
        <v>20.584240000000001</v>
      </c>
      <c r="D916" s="6">
        <v>55</v>
      </c>
      <c r="E916" s="6">
        <v>0</v>
      </c>
      <c r="F916" s="6">
        <v>0</v>
      </c>
      <c r="G916" s="6">
        <v>11</v>
      </c>
      <c r="H916" s="6" t="s">
        <v>27471</v>
      </c>
      <c r="I916" s="6">
        <v>533.8125</v>
      </c>
      <c r="J916" s="2">
        <f t="shared" si="14"/>
        <v>43748.496270451382</v>
      </c>
    </row>
    <row r="917" spans="1:10" x14ac:dyDescent="0.25">
      <c r="A917" s="7" t="s">
        <v>27472</v>
      </c>
      <c r="B917" s="8">
        <v>393.75</v>
      </c>
      <c r="C917" s="8">
        <v>20.584240000000001</v>
      </c>
      <c r="D917" s="8">
        <v>54</v>
      </c>
      <c r="E917" s="8">
        <v>0</v>
      </c>
      <c r="F917" s="8">
        <v>0</v>
      </c>
      <c r="G917" s="8">
        <v>9</v>
      </c>
      <c r="H917" s="8" t="s">
        <v>27473</v>
      </c>
      <c r="I917" s="8">
        <v>526.6875</v>
      </c>
      <c r="J917" s="3">
        <f t="shared" si="14"/>
        <v>43748.496342025457</v>
      </c>
    </row>
    <row r="918" spans="1:10" x14ac:dyDescent="0.25">
      <c r="A918" s="5" t="s">
        <v>27474</v>
      </c>
      <c r="B918" s="6">
        <v>393.75</v>
      </c>
      <c r="C918" s="6">
        <v>20.531590000000001</v>
      </c>
      <c r="D918" s="6">
        <v>54</v>
      </c>
      <c r="E918" s="6">
        <v>0</v>
      </c>
      <c r="F918" s="6">
        <v>0</v>
      </c>
      <c r="G918" s="6">
        <v>2</v>
      </c>
      <c r="H918" s="6" t="s">
        <v>27475</v>
      </c>
      <c r="I918" s="6">
        <v>526.6875</v>
      </c>
      <c r="J918" s="2">
        <f t="shared" si="14"/>
        <v>43748.496413553243</v>
      </c>
    </row>
    <row r="919" spans="1:10" x14ac:dyDescent="0.25">
      <c r="A919" s="7" t="s">
        <v>27476</v>
      </c>
      <c r="B919" s="8">
        <v>393.75</v>
      </c>
      <c r="C919" s="8">
        <v>20.584240000000001</v>
      </c>
      <c r="D919" s="8">
        <v>52</v>
      </c>
      <c r="E919" s="8">
        <v>0</v>
      </c>
      <c r="F919" s="8">
        <v>0</v>
      </c>
      <c r="G919" s="8">
        <v>17</v>
      </c>
      <c r="H919" s="8" t="s">
        <v>27477</v>
      </c>
      <c r="I919" s="8">
        <v>526.6875</v>
      </c>
      <c r="J919" s="3">
        <f t="shared" si="14"/>
        <v>43748.496496898144</v>
      </c>
    </row>
    <row r="920" spans="1:10" x14ac:dyDescent="0.25">
      <c r="A920" s="5" t="s">
        <v>27478</v>
      </c>
      <c r="B920" s="6">
        <v>393.75</v>
      </c>
      <c r="C920" s="6">
        <v>20.584240000000001</v>
      </c>
      <c r="D920" s="6">
        <v>52</v>
      </c>
      <c r="E920" s="6">
        <v>0</v>
      </c>
      <c r="F920" s="6">
        <v>0</v>
      </c>
      <c r="G920" s="6">
        <v>0</v>
      </c>
      <c r="H920" s="6" t="s">
        <v>27479</v>
      </c>
      <c r="I920" s="6">
        <v>526.6875</v>
      </c>
      <c r="J920" s="2">
        <f t="shared" si="14"/>
        <v>43748.496580567131</v>
      </c>
    </row>
    <row r="921" spans="1:10" x14ac:dyDescent="0.25">
      <c r="A921" s="7" t="s">
        <v>27480</v>
      </c>
      <c r="B921" s="8">
        <v>393.75</v>
      </c>
      <c r="C921" s="8">
        <v>20.531590000000001</v>
      </c>
      <c r="D921" s="8">
        <v>52</v>
      </c>
      <c r="E921" s="8">
        <v>0</v>
      </c>
      <c r="F921" s="8">
        <v>0</v>
      </c>
      <c r="G921" s="8">
        <v>14</v>
      </c>
      <c r="H921" s="8" t="s">
        <v>27481</v>
      </c>
      <c r="I921" s="8">
        <v>526.6875</v>
      </c>
      <c r="J921" s="3">
        <f t="shared" si="14"/>
        <v>43748.496652326387</v>
      </c>
    </row>
    <row r="922" spans="1:10" x14ac:dyDescent="0.25">
      <c r="A922" s="5" t="s">
        <v>27482</v>
      </c>
      <c r="B922" s="6">
        <v>393.75</v>
      </c>
      <c r="C922" s="6">
        <v>20.584240000000001</v>
      </c>
      <c r="D922" s="6">
        <v>52</v>
      </c>
      <c r="E922" s="6">
        <v>0</v>
      </c>
      <c r="F922" s="6">
        <v>0</v>
      </c>
      <c r="G922" s="6">
        <v>7</v>
      </c>
      <c r="H922" s="6" t="s">
        <v>27483</v>
      </c>
      <c r="I922" s="6">
        <v>526.6875</v>
      </c>
      <c r="J922" s="2">
        <f t="shared" si="14"/>
        <v>43748.496723819444</v>
      </c>
    </row>
    <row r="923" spans="1:10" x14ac:dyDescent="0.25">
      <c r="A923" s="7" t="s">
        <v>27484</v>
      </c>
      <c r="B923" s="8">
        <v>393.75</v>
      </c>
      <c r="C923" s="8">
        <v>20.478950000000001</v>
      </c>
      <c r="D923" s="8">
        <v>52</v>
      </c>
      <c r="E923" s="8">
        <v>0</v>
      </c>
      <c r="F923" s="8">
        <v>0</v>
      </c>
      <c r="G923" s="8">
        <v>5</v>
      </c>
      <c r="H923" s="8" t="s">
        <v>27485</v>
      </c>
      <c r="I923" s="8">
        <v>526.6875</v>
      </c>
      <c r="J923" s="3">
        <f t="shared" si="14"/>
        <v>43748.496795104169</v>
      </c>
    </row>
    <row r="924" spans="1:10" x14ac:dyDescent="0.25">
      <c r="A924" s="5" t="s">
        <v>27486</v>
      </c>
      <c r="B924" s="6">
        <v>393.75</v>
      </c>
      <c r="C924" s="6">
        <v>20.531590000000001</v>
      </c>
      <c r="D924" s="6">
        <v>52</v>
      </c>
      <c r="E924" s="6">
        <v>0</v>
      </c>
      <c r="F924" s="6">
        <v>0</v>
      </c>
      <c r="G924" s="6">
        <v>6</v>
      </c>
      <c r="H924" s="6" t="s">
        <v>27487</v>
      </c>
      <c r="I924" s="6">
        <v>526.6875</v>
      </c>
      <c r="J924" s="2">
        <f t="shared" si="14"/>
        <v>43748.496866967595</v>
      </c>
    </row>
    <row r="925" spans="1:10" x14ac:dyDescent="0.25">
      <c r="A925" s="7" t="s">
        <v>27488</v>
      </c>
      <c r="B925" s="8">
        <v>393.75</v>
      </c>
      <c r="C925" s="8">
        <v>20.531590000000001</v>
      </c>
      <c r="D925" s="8">
        <v>51</v>
      </c>
      <c r="E925" s="8">
        <v>0</v>
      </c>
      <c r="F925" s="8">
        <v>0</v>
      </c>
      <c r="G925" s="8">
        <v>6</v>
      </c>
      <c r="H925" s="8" t="s">
        <v>27489</v>
      </c>
      <c r="I925" s="8">
        <v>526.6875</v>
      </c>
      <c r="J925" s="3">
        <f t="shared" si="14"/>
        <v>43748.496938379627</v>
      </c>
    </row>
    <row r="926" spans="1:10" x14ac:dyDescent="0.25">
      <c r="A926" s="5" t="s">
        <v>27490</v>
      </c>
      <c r="B926" s="6">
        <v>393.75</v>
      </c>
      <c r="C926" s="6">
        <v>20.584240000000001</v>
      </c>
      <c r="D926" s="6">
        <v>51</v>
      </c>
      <c r="E926" s="6">
        <v>0</v>
      </c>
      <c r="F926" s="6">
        <v>0</v>
      </c>
      <c r="G926" s="6">
        <v>11</v>
      </c>
      <c r="H926" s="6" t="s">
        <v>27491</v>
      </c>
      <c r="I926" s="6">
        <v>526.6875</v>
      </c>
      <c r="J926" s="2">
        <f t="shared" si="14"/>
        <v>43748.497010752311</v>
      </c>
    </row>
    <row r="927" spans="1:10" x14ac:dyDescent="0.25">
      <c r="A927" s="7" t="s">
        <v>27492</v>
      </c>
      <c r="B927" s="8">
        <v>393.75</v>
      </c>
      <c r="C927" s="8">
        <v>20.584240000000001</v>
      </c>
      <c r="D927" s="8">
        <v>51</v>
      </c>
      <c r="E927" s="8">
        <v>0</v>
      </c>
      <c r="F927" s="8">
        <v>0</v>
      </c>
      <c r="G927" s="8">
        <v>0</v>
      </c>
      <c r="H927" s="8" t="s">
        <v>27493</v>
      </c>
      <c r="I927" s="8">
        <v>526.6875</v>
      </c>
      <c r="J927" s="3">
        <f t="shared" si="14"/>
        <v>43748.497093495367</v>
      </c>
    </row>
    <row r="928" spans="1:10" x14ac:dyDescent="0.25">
      <c r="A928" s="5" t="s">
        <v>27494</v>
      </c>
      <c r="B928" s="6">
        <v>393.75</v>
      </c>
      <c r="C928" s="6">
        <v>20.584240000000001</v>
      </c>
      <c r="D928" s="6">
        <v>53</v>
      </c>
      <c r="E928" s="6">
        <v>0</v>
      </c>
      <c r="F928" s="6">
        <v>0</v>
      </c>
      <c r="G928" s="6">
        <v>10</v>
      </c>
      <c r="H928" s="6" t="s">
        <v>27495</v>
      </c>
      <c r="I928" s="6">
        <v>526.6875</v>
      </c>
      <c r="J928" s="2">
        <f t="shared" si="14"/>
        <v>43748.497177060184</v>
      </c>
    </row>
    <row r="929" spans="1:10" x14ac:dyDescent="0.25">
      <c r="A929" s="7" t="s">
        <v>27496</v>
      </c>
      <c r="B929" s="8">
        <v>412.5</v>
      </c>
      <c r="C929" s="8">
        <v>20.584240000000001</v>
      </c>
      <c r="D929" s="8">
        <v>54</v>
      </c>
      <c r="E929" s="8">
        <v>0</v>
      </c>
      <c r="F929" s="8">
        <v>0</v>
      </c>
      <c r="G929" s="8">
        <v>16</v>
      </c>
      <c r="H929" s="8" t="s">
        <v>27497</v>
      </c>
      <c r="I929" s="8">
        <v>532.5</v>
      </c>
      <c r="J929" s="3">
        <f t="shared" si="14"/>
        <v>43748.497260405093</v>
      </c>
    </row>
    <row r="930" spans="1:10" x14ac:dyDescent="0.25">
      <c r="A930" s="5" t="s">
        <v>27498</v>
      </c>
      <c r="B930" s="6">
        <v>393.75</v>
      </c>
      <c r="C930" s="6">
        <v>20.584240000000001</v>
      </c>
      <c r="D930" s="6">
        <v>54</v>
      </c>
      <c r="E930" s="6">
        <v>0</v>
      </c>
      <c r="F930" s="6">
        <v>0</v>
      </c>
      <c r="G930" s="6">
        <v>20</v>
      </c>
      <c r="H930" s="6" t="s">
        <v>27499</v>
      </c>
      <c r="I930" s="6">
        <v>526.6875</v>
      </c>
      <c r="J930" s="2">
        <f t="shared" si="14"/>
        <v>43748.49733179398</v>
      </c>
    </row>
    <row r="931" spans="1:10" x14ac:dyDescent="0.25">
      <c r="A931" s="7" t="s">
        <v>27500</v>
      </c>
      <c r="B931" s="8">
        <v>393.75</v>
      </c>
      <c r="C931" s="8">
        <v>20.531590000000001</v>
      </c>
      <c r="D931" s="8">
        <v>53</v>
      </c>
      <c r="E931" s="8">
        <v>0</v>
      </c>
      <c r="F931" s="8">
        <v>0</v>
      </c>
      <c r="G931" s="8">
        <v>17</v>
      </c>
      <c r="H931" s="8" t="s">
        <v>27501</v>
      </c>
      <c r="I931" s="8">
        <v>526.6875</v>
      </c>
      <c r="J931" s="3">
        <f t="shared" si="14"/>
        <v>43748.497415729165</v>
      </c>
    </row>
    <row r="932" spans="1:10" x14ac:dyDescent="0.25">
      <c r="A932" s="5" t="s">
        <v>27502</v>
      </c>
      <c r="B932" s="6">
        <v>412.5</v>
      </c>
      <c r="C932" s="6">
        <v>20.584240000000001</v>
      </c>
      <c r="D932" s="6">
        <v>52</v>
      </c>
      <c r="E932" s="6">
        <v>0</v>
      </c>
      <c r="F932" s="6">
        <v>0</v>
      </c>
      <c r="G932" s="6">
        <v>9</v>
      </c>
      <c r="H932" s="6" t="s">
        <v>27503</v>
      </c>
      <c r="I932" s="6">
        <v>532.3125</v>
      </c>
      <c r="J932" s="2">
        <f t="shared" si="14"/>
        <v>43748.497487141205</v>
      </c>
    </row>
    <row r="933" spans="1:10" x14ac:dyDescent="0.25">
      <c r="A933" s="7" t="s">
        <v>27504</v>
      </c>
      <c r="B933" s="8">
        <v>393.75</v>
      </c>
      <c r="C933" s="8">
        <v>20.584240000000001</v>
      </c>
      <c r="D933" s="8">
        <v>51</v>
      </c>
      <c r="E933" s="8">
        <v>0</v>
      </c>
      <c r="F933" s="8">
        <v>0</v>
      </c>
      <c r="G933" s="8">
        <v>9</v>
      </c>
      <c r="H933" s="8" t="s">
        <v>27505</v>
      </c>
      <c r="I933" s="8">
        <v>526.5</v>
      </c>
      <c r="J933" s="3">
        <f t="shared" si="14"/>
        <v>43748.497570706015</v>
      </c>
    </row>
    <row r="934" spans="1:10" x14ac:dyDescent="0.25">
      <c r="A934" s="5" t="s">
        <v>27506</v>
      </c>
      <c r="B934" s="6">
        <v>393.75</v>
      </c>
      <c r="C934" s="6">
        <v>20.531590000000001</v>
      </c>
      <c r="D934" s="6">
        <v>52</v>
      </c>
      <c r="E934" s="6">
        <v>0</v>
      </c>
      <c r="F934" s="6">
        <v>0</v>
      </c>
      <c r="G934" s="6">
        <v>1</v>
      </c>
      <c r="H934" s="6" t="s">
        <v>27507</v>
      </c>
      <c r="I934" s="6">
        <v>526.6875</v>
      </c>
      <c r="J934" s="2">
        <f t="shared" si="14"/>
        <v>43748.497654155093</v>
      </c>
    </row>
    <row r="935" spans="1:10" x14ac:dyDescent="0.25">
      <c r="A935" s="7" t="s">
        <v>27508</v>
      </c>
      <c r="B935" s="8">
        <v>393.75</v>
      </c>
      <c r="C935" s="8">
        <v>20.584240000000001</v>
      </c>
      <c r="D935" s="8">
        <v>50</v>
      </c>
      <c r="E935" s="8">
        <v>0</v>
      </c>
      <c r="F935" s="8">
        <v>0</v>
      </c>
      <c r="G935" s="8">
        <v>0</v>
      </c>
      <c r="H935" s="8" t="s">
        <v>27509</v>
      </c>
      <c r="I935" s="8">
        <v>526.6875</v>
      </c>
      <c r="J935" s="3">
        <f t="shared" si="14"/>
        <v>43748.497749351845</v>
      </c>
    </row>
    <row r="936" spans="1:10" x14ac:dyDescent="0.25">
      <c r="A936" s="5" t="s">
        <v>27510</v>
      </c>
      <c r="B936" s="6">
        <v>393.75</v>
      </c>
      <c r="C936" s="6">
        <v>20.584240000000001</v>
      </c>
      <c r="D936" s="6">
        <v>50</v>
      </c>
      <c r="E936" s="6">
        <v>0</v>
      </c>
      <c r="F936" s="6">
        <v>0</v>
      </c>
      <c r="G936" s="6">
        <v>9</v>
      </c>
      <c r="H936" s="6" t="s">
        <v>27511</v>
      </c>
      <c r="I936" s="6">
        <v>526.6875</v>
      </c>
      <c r="J936" s="2">
        <f t="shared" si="14"/>
        <v>43748.497833159716</v>
      </c>
    </row>
    <row r="937" spans="1:10" x14ac:dyDescent="0.25">
      <c r="A937" s="7" t="s">
        <v>27512</v>
      </c>
      <c r="B937" s="8">
        <v>393.75</v>
      </c>
      <c r="C937" s="8">
        <v>20.584240000000001</v>
      </c>
      <c r="D937" s="8">
        <v>48</v>
      </c>
      <c r="E937" s="8">
        <v>0</v>
      </c>
      <c r="F937" s="8">
        <v>0</v>
      </c>
      <c r="G937" s="8">
        <v>3</v>
      </c>
      <c r="H937" s="8" t="s">
        <v>27513</v>
      </c>
      <c r="I937" s="8">
        <v>526.6875</v>
      </c>
      <c r="J937" s="3">
        <f t="shared" si="14"/>
        <v>43748.497916493048</v>
      </c>
    </row>
    <row r="938" spans="1:10" x14ac:dyDescent="0.25">
      <c r="A938" s="5" t="s">
        <v>27514</v>
      </c>
      <c r="B938" s="6">
        <v>393.75</v>
      </c>
      <c r="C938" s="6">
        <v>20.584240000000001</v>
      </c>
      <c r="D938" s="6">
        <v>49</v>
      </c>
      <c r="E938" s="6">
        <v>0</v>
      </c>
      <c r="F938" s="6">
        <v>0</v>
      </c>
      <c r="G938" s="6">
        <v>4</v>
      </c>
      <c r="H938" s="6" t="s">
        <v>27515</v>
      </c>
      <c r="I938" s="6">
        <v>526.6875</v>
      </c>
      <c r="J938" s="2">
        <f t="shared" si="14"/>
        <v>43748.497988148149</v>
      </c>
    </row>
    <row r="939" spans="1:10" x14ac:dyDescent="0.25">
      <c r="A939" s="7" t="s">
        <v>27516</v>
      </c>
      <c r="B939" s="8">
        <v>393.75</v>
      </c>
      <c r="C939" s="8">
        <v>20.584240000000001</v>
      </c>
      <c r="D939" s="8">
        <v>49</v>
      </c>
      <c r="E939" s="8">
        <v>0</v>
      </c>
      <c r="F939" s="8">
        <v>0</v>
      </c>
      <c r="G939" s="8">
        <v>9</v>
      </c>
      <c r="H939" s="8" t="s">
        <v>27517</v>
      </c>
      <c r="I939" s="8">
        <v>526.6875</v>
      </c>
      <c r="J939" s="3">
        <f t="shared" si="14"/>
        <v>43748.498071249996</v>
      </c>
    </row>
    <row r="940" spans="1:10" x14ac:dyDescent="0.25">
      <c r="A940" s="5" t="s">
        <v>27518</v>
      </c>
      <c r="B940" s="6">
        <v>393.75</v>
      </c>
      <c r="C940" s="6">
        <v>20.531590000000001</v>
      </c>
      <c r="D940" s="6">
        <v>49</v>
      </c>
      <c r="E940" s="6">
        <v>0</v>
      </c>
      <c r="F940" s="6">
        <v>0</v>
      </c>
      <c r="G940" s="6">
        <v>10</v>
      </c>
      <c r="H940" s="6" t="s">
        <v>27519</v>
      </c>
      <c r="I940" s="6">
        <v>526.6875</v>
      </c>
      <c r="J940" s="2">
        <f t="shared" si="14"/>
        <v>43748.498142905089</v>
      </c>
    </row>
    <row r="941" spans="1:10" x14ac:dyDescent="0.25">
      <c r="A941" s="7" t="s">
        <v>27520</v>
      </c>
      <c r="B941" s="8">
        <v>393.75</v>
      </c>
      <c r="C941" s="8">
        <v>20.531590000000001</v>
      </c>
      <c r="D941" s="8">
        <v>50</v>
      </c>
      <c r="E941" s="8">
        <v>0</v>
      </c>
      <c r="F941" s="8">
        <v>0</v>
      </c>
      <c r="G941" s="8">
        <v>9</v>
      </c>
      <c r="H941" s="8" t="s">
        <v>27521</v>
      </c>
      <c r="I941" s="8">
        <v>526.6875</v>
      </c>
      <c r="J941" s="3">
        <f t="shared" si="14"/>
        <v>43748.498226782402</v>
      </c>
    </row>
    <row r="942" spans="1:10" x14ac:dyDescent="0.25">
      <c r="A942" s="5" t="s">
        <v>27522</v>
      </c>
      <c r="B942" s="6">
        <v>412.5</v>
      </c>
      <c r="C942" s="6">
        <v>20.531590000000001</v>
      </c>
      <c r="D942" s="6">
        <v>49</v>
      </c>
      <c r="E942" s="6">
        <v>0</v>
      </c>
      <c r="F942" s="6">
        <v>0</v>
      </c>
      <c r="G942" s="6">
        <v>5</v>
      </c>
      <c r="H942" s="6" t="s">
        <v>27523</v>
      </c>
      <c r="I942" s="6">
        <v>532.5</v>
      </c>
      <c r="J942" s="2">
        <f t="shared" si="14"/>
        <v>43748.498298194441</v>
      </c>
    </row>
    <row r="943" spans="1:10" x14ac:dyDescent="0.25">
      <c r="A943" s="7" t="s">
        <v>27524</v>
      </c>
      <c r="B943" s="8">
        <v>393.75</v>
      </c>
      <c r="C943" s="8">
        <v>20.584240000000001</v>
      </c>
      <c r="D943" s="8">
        <v>48</v>
      </c>
      <c r="E943" s="8">
        <v>0</v>
      </c>
      <c r="F943" s="8">
        <v>0</v>
      </c>
      <c r="G943" s="8">
        <v>8</v>
      </c>
      <c r="H943" s="8" t="s">
        <v>27525</v>
      </c>
      <c r="I943" s="8">
        <v>526.6875</v>
      </c>
      <c r="J943" s="3">
        <f t="shared" si="14"/>
        <v>43748.498369849534</v>
      </c>
    </row>
    <row r="944" spans="1:10" x14ac:dyDescent="0.25">
      <c r="A944" s="5" t="s">
        <v>27526</v>
      </c>
      <c r="B944" s="6">
        <v>393.75</v>
      </c>
      <c r="C944" s="6">
        <v>20.584240000000001</v>
      </c>
      <c r="D944" s="6">
        <v>49</v>
      </c>
      <c r="E944" s="6">
        <v>0</v>
      </c>
      <c r="F944" s="6">
        <v>0</v>
      </c>
      <c r="G944" s="6">
        <v>6</v>
      </c>
      <c r="H944" s="6" t="s">
        <v>27527</v>
      </c>
      <c r="I944" s="6">
        <v>526.6875</v>
      </c>
      <c r="J944" s="2">
        <f t="shared" si="14"/>
        <v>43748.49845353009</v>
      </c>
    </row>
    <row r="945" spans="1:10" x14ac:dyDescent="0.25">
      <c r="A945" s="7" t="s">
        <v>27528</v>
      </c>
      <c r="B945" s="8">
        <v>393.75</v>
      </c>
      <c r="C945" s="8">
        <v>20.531590000000001</v>
      </c>
      <c r="D945" s="8">
        <v>50</v>
      </c>
      <c r="E945" s="8">
        <v>0</v>
      </c>
      <c r="F945" s="8">
        <v>0</v>
      </c>
      <c r="G945" s="8">
        <v>0</v>
      </c>
      <c r="H945" s="8" t="s">
        <v>27529</v>
      </c>
      <c r="I945" s="8">
        <v>526.6875</v>
      </c>
      <c r="J945" s="3">
        <f t="shared" si="14"/>
        <v>43748.498524942122</v>
      </c>
    </row>
    <row r="946" spans="1:10" x14ac:dyDescent="0.25">
      <c r="A946" s="5" t="s">
        <v>27530</v>
      </c>
      <c r="B946" s="6">
        <v>393.75</v>
      </c>
      <c r="C946" s="6">
        <v>20.584240000000001</v>
      </c>
      <c r="D946" s="6">
        <v>50</v>
      </c>
      <c r="E946" s="6">
        <v>0</v>
      </c>
      <c r="F946" s="6">
        <v>0</v>
      </c>
      <c r="G946" s="6">
        <v>8</v>
      </c>
      <c r="H946" s="6" t="s">
        <v>27531</v>
      </c>
      <c r="I946" s="6">
        <v>526.6875</v>
      </c>
      <c r="J946" s="2">
        <f t="shared" si="14"/>
        <v>43748.4986115625</v>
      </c>
    </row>
    <row r="947" spans="1:10" x14ac:dyDescent="0.25">
      <c r="A947" s="7" t="s">
        <v>27532</v>
      </c>
      <c r="B947" s="8">
        <v>393.75</v>
      </c>
      <c r="C947" s="8">
        <v>20.584240000000001</v>
      </c>
      <c r="D947" s="8">
        <v>50</v>
      </c>
      <c r="E947" s="8">
        <v>0</v>
      </c>
      <c r="F947" s="8">
        <v>0</v>
      </c>
      <c r="G947" s="8">
        <v>13</v>
      </c>
      <c r="H947" s="8" t="s">
        <v>27533</v>
      </c>
      <c r="I947" s="8">
        <v>526.6875</v>
      </c>
      <c r="J947" s="3">
        <f t="shared" si="14"/>
        <v>43748.498691956018</v>
      </c>
    </row>
    <row r="948" spans="1:10" x14ac:dyDescent="0.25">
      <c r="A948" s="5" t="s">
        <v>27534</v>
      </c>
      <c r="B948" s="6">
        <v>412.5</v>
      </c>
      <c r="C948" s="6">
        <v>20.531590000000001</v>
      </c>
      <c r="D948" s="6">
        <v>50</v>
      </c>
      <c r="E948" s="6">
        <v>0</v>
      </c>
      <c r="F948" s="6">
        <v>0</v>
      </c>
      <c r="G948" s="6">
        <v>8</v>
      </c>
      <c r="H948" s="6" t="s">
        <v>27535</v>
      </c>
      <c r="I948" s="6">
        <v>532.3125</v>
      </c>
      <c r="J948" s="2">
        <f t="shared" si="14"/>
        <v>43748.498775624998</v>
      </c>
    </row>
    <row r="949" spans="1:10" x14ac:dyDescent="0.25">
      <c r="A949" s="7" t="s">
        <v>27536</v>
      </c>
      <c r="B949" s="8">
        <v>393.75</v>
      </c>
      <c r="C949" s="8">
        <v>20.531590000000001</v>
      </c>
      <c r="D949" s="8">
        <v>50</v>
      </c>
      <c r="E949" s="8">
        <v>0</v>
      </c>
      <c r="F949" s="8">
        <v>0</v>
      </c>
      <c r="G949" s="8">
        <v>5</v>
      </c>
      <c r="H949" s="8" t="s">
        <v>27537</v>
      </c>
      <c r="I949" s="8">
        <v>526.6875</v>
      </c>
      <c r="J949" s="3">
        <f t="shared" si="14"/>
        <v>43748.498882453699</v>
      </c>
    </row>
    <row r="950" spans="1:10" x14ac:dyDescent="0.25">
      <c r="A950" s="5" t="s">
        <v>27538</v>
      </c>
      <c r="B950" s="6">
        <v>393.75</v>
      </c>
      <c r="C950" s="6">
        <v>20.531590000000001</v>
      </c>
      <c r="D950" s="6">
        <v>50</v>
      </c>
      <c r="E950" s="6">
        <v>0</v>
      </c>
      <c r="F950" s="6">
        <v>0</v>
      </c>
      <c r="G950" s="6">
        <v>3</v>
      </c>
      <c r="H950" s="6" t="s">
        <v>27539</v>
      </c>
      <c r="I950" s="6">
        <v>526.6875</v>
      </c>
      <c r="J950" s="2">
        <f t="shared" si="14"/>
        <v>43748.49895400463</v>
      </c>
    </row>
    <row r="951" spans="1:10" x14ac:dyDescent="0.25">
      <c r="A951" s="7" t="s">
        <v>27540</v>
      </c>
      <c r="B951" s="8">
        <v>393.75</v>
      </c>
      <c r="C951" s="8">
        <v>20.584240000000001</v>
      </c>
      <c r="D951" s="8">
        <v>50</v>
      </c>
      <c r="E951" s="8">
        <v>0</v>
      </c>
      <c r="F951" s="8">
        <v>0</v>
      </c>
      <c r="G951" s="8">
        <v>13</v>
      </c>
      <c r="H951" s="8" t="s">
        <v>27541</v>
      </c>
      <c r="I951" s="8">
        <v>526.6875</v>
      </c>
      <c r="J951" s="3">
        <f t="shared" si="14"/>
        <v>43748.499037905094</v>
      </c>
    </row>
    <row r="952" spans="1:10" x14ac:dyDescent="0.25">
      <c r="A952" s="5" t="s">
        <v>27542</v>
      </c>
      <c r="B952" s="6">
        <v>431.25</v>
      </c>
      <c r="C952" s="6">
        <v>20.531590000000001</v>
      </c>
      <c r="D952" s="6">
        <v>50</v>
      </c>
      <c r="E952" s="6">
        <v>0</v>
      </c>
      <c r="F952" s="6">
        <v>0</v>
      </c>
      <c r="G952" s="6">
        <v>12</v>
      </c>
      <c r="H952" s="6" t="s">
        <v>27543</v>
      </c>
      <c r="I952" s="6">
        <v>538.5</v>
      </c>
      <c r="J952" s="2">
        <f t="shared" si="14"/>
        <v>43748.499121493056</v>
      </c>
    </row>
    <row r="953" spans="1:10" x14ac:dyDescent="0.25">
      <c r="A953" s="7" t="s">
        <v>27544</v>
      </c>
      <c r="B953" s="8">
        <v>393.75</v>
      </c>
      <c r="C953" s="8">
        <v>20.584240000000001</v>
      </c>
      <c r="D953" s="8">
        <v>50</v>
      </c>
      <c r="E953" s="8">
        <v>0</v>
      </c>
      <c r="F953" s="8">
        <v>0</v>
      </c>
      <c r="G953" s="8">
        <v>8</v>
      </c>
      <c r="H953" s="8" t="s">
        <v>27545</v>
      </c>
      <c r="I953" s="8">
        <v>526.6875</v>
      </c>
      <c r="J953" s="3">
        <f t="shared" si="14"/>
        <v>43748.499192928233</v>
      </c>
    </row>
    <row r="954" spans="1:10" x14ac:dyDescent="0.25">
      <c r="A954" s="5" t="s">
        <v>27546</v>
      </c>
      <c r="B954" s="6">
        <v>393.75</v>
      </c>
      <c r="C954" s="6">
        <v>20.531590000000001</v>
      </c>
      <c r="D954" s="6">
        <v>50</v>
      </c>
      <c r="E954" s="6">
        <v>0</v>
      </c>
      <c r="F954" s="6">
        <v>0</v>
      </c>
      <c r="G954" s="6">
        <v>15</v>
      </c>
      <c r="H954" s="6" t="s">
        <v>27547</v>
      </c>
      <c r="I954" s="6">
        <v>526.6875</v>
      </c>
      <c r="J954" s="2">
        <f t="shared" si="14"/>
        <v>43748.499265011567</v>
      </c>
    </row>
    <row r="955" spans="1:10" x14ac:dyDescent="0.25">
      <c r="A955" s="7" t="s">
        <v>27548</v>
      </c>
      <c r="B955" s="8">
        <v>393.75</v>
      </c>
      <c r="C955" s="8">
        <v>20.584240000000001</v>
      </c>
      <c r="D955" s="8">
        <v>52</v>
      </c>
      <c r="E955" s="8">
        <v>0</v>
      </c>
      <c r="F955" s="8">
        <v>0</v>
      </c>
      <c r="G955" s="8">
        <v>10</v>
      </c>
      <c r="H955" s="8" t="s">
        <v>27549</v>
      </c>
      <c r="I955" s="8">
        <v>526.6875</v>
      </c>
      <c r="J955" s="3">
        <f t="shared" si="14"/>
        <v>43748.499348252313</v>
      </c>
    </row>
    <row r="956" spans="1:10" x14ac:dyDescent="0.25">
      <c r="A956" s="5" t="s">
        <v>27550</v>
      </c>
      <c r="B956" s="6">
        <v>393.75</v>
      </c>
      <c r="C956" s="6">
        <v>20.531590000000001</v>
      </c>
      <c r="D956" s="6">
        <v>52</v>
      </c>
      <c r="E956" s="6">
        <v>0</v>
      </c>
      <c r="F956" s="6">
        <v>0</v>
      </c>
      <c r="G956" s="6">
        <v>13</v>
      </c>
      <c r="H956" s="6" t="s">
        <v>27551</v>
      </c>
      <c r="I956" s="6">
        <v>526.6875</v>
      </c>
      <c r="J956" s="2">
        <f t="shared" si="14"/>
        <v>43748.499419641201</v>
      </c>
    </row>
    <row r="957" spans="1:10" x14ac:dyDescent="0.25">
      <c r="A957" s="7" t="s">
        <v>27552</v>
      </c>
      <c r="B957" s="8">
        <v>393.75</v>
      </c>
      <c r="C957" s="8">
        <v>20.584240000000001</v>
      </c>
      <c r="D957" s="8">
        <v>52</v>
      </c>
      <c r="E957" s="8">
        <v>0</v>
      </c>
      <c r="F957" s="8">
        <v>0</v>
      </c>
      <c r="G957" s="8">
        <v>18</v>
      </c>
      <c r="H957" s="8" t="s">
        <v>27553</v>
      </c>
      <c r="I957" s="8">
        <v>526.6875</v>
      </c>
      <c r="J957" s="3">
        <f t="shared" si="14"/>
        <v>43748.499491006944</v>
      </c>
    </row>
    <row r="958" spans="1:10" x14ac:dyDescent="0.25">
      <c r="A958" s="5" t="s">
        <v>27554</v>
      </c>
      <c r="B958" s="6">
        <v>393.75</v>
      </c>
      <c r="C958" s="6">
        <v>20.584240000000001</v>
      </c>
      <c r="D958" s="6">
        <v>50</v>
      </c>
      <c r="E958" s="6">
        <v>0</v>
      </c>
      <c r="F958" s="6">
        <v>0</v>
      </c>
      <c r="G958" s="6">
        <v>13</v>
      </c>
      <c r="H958" s="6" t="s">
        <v>27555</v>
      </c>
      <c r="I958" s="6">
        <v>526.6875</v>
      </c>
      <c r="J958" s="2">
        <f t="shared" si="14"/>
        <v>43748.499574467591</v>
      </c>
    </row>
    <row r="959" spans="1:10" x14ac:dyDescent="0.25">
      <c r="A959" s="7" t="s">
        <v>27556</v>
      </c>
      <c r="B959" s="8">
        <v>393.75</v>
      </c>
      <c r="C959" s="8">
        <v>20.531590000000001</v>
      </c>
      <c r="D959" s="8">
        <v>49</v>
      </c>
      <c r="E959" s="8">
        <v>0</v>
      </c>
      <c r="F959" s="8">
        <v>0</v>
      </c>
      <c r="G959" s="8">
        <v>25</v>
      </c>
      <c r="H959" s="8" t="s">
        <v>27557</v>
      </c>
      <c r="I959" s="8">
        <v>526.6875</v>
      </c>
      <c r="J959" s="3">
        <f t="shared" si="14"/>
        <v>43748.499647129625</v>
      </c>
    </row>
    <row r="960" spans="1:10" x14ac:dyDescent="0.25">
      <c r="A960" s="5" t="s">
        <v>27558</v>
      </c>
      <c r="B960" s="6">
        <v>393.75</v>
      </c>
      <c r="C960" s="6">
        <v>20.531590000000001</v>
      </c>
      <c r="D960" s="6">
        <v>50</v>
      </c>
      <c r="E960" s="6">
        <v>0</v>
      </c>
      <c r="F960" s="6">
        <v>0</v>
      </c>
      <c r="G960" s="6">
        <v>13</v>
      </c>
      <c r="H960" s="6" t="s">
        <v>27559</v>
      </c>
      <c r="I960" s="6">
        <v>526.6875</v>
      </c>
      <c r="J960" s="2">
        <f t="shared" si="14"/>
        <v>43748.499729722222</v>
      </c>
    </row>
    <row r="961" spans="1:10" x14ac:dyDescent="0.25">
      <c r="A961" s="7" t="s">
        <v>27560</v>
      </c>
      <c r="B961" s="8">
        <v>393.75</v>
      </c>
      <c r="C961" s="8">
        <v>20.584240000000001</v>
      </c>
      <c r="D961" s="8">
        <v>50</v>
      </c>
      <c r="E961" s="8">
        <v>0</v>
      </c>
      <c r="F961" s="8">
        <v>0</v>
      </c>
      <c r="G961" s="8">
        <v>14</v>
      </c>
      <c r="H961" s="8" t="s">
        <v>27561</v>
      </c>
      <c r="I961" s="8">
        <v>526.6875</v>
      </c>
      <c r="J961" s="3">
        <f t="shared" si="14"/>
        <v>43748.499801018515</v>
      </c>
    </row>
    <row r="962" spans="1:10" x14ac:dyDescent="0.25">
      <c r="A962" s="5" t="s">
        <v>27562</v>
      </c>
      <c r="B962" s="6">
        <v>412.5</v>
      </c>
      <c r="C962" s="6">
        <v>20.584240000000001</v>
      </c>
      <c r="D962" s="6">
        <v>49</v>
      </c>
      <c r="E962" s="6">
        <v>0</v>
      </c>
      <c r="F962" s="6">
        <v>0</v>
      </c>
      <c r="G962" s="6">
        <v>17</v>
      </c>
      <c r="H962" s="6" t="s">
        <v>27563</v>
      </c>
      <c r="I962" s="6">
        <v>532.3125</v>
      </c>
      <c r="J962" s="2">
        <f t="shared" ref="J962:J1025" si="15">(H962/86400000)+25569+(7/24)</f>
        <v>43748.499873229164</v>
      </c>
    </row>
    <row r="963" spans="1:10" x14ac:dyDescent="0.25">
      <c r="A963" s="7" t="s">
        <v>27564</v>
      </c>
      <c r="B963" s="8">
        <v>393.75</v>
      </c>
      <c r="C963" s="8">
        <v>20.531590000000001</v>
      </c>
      <c r="D963" s="8">
        <v>50</v>
      </c>
      <c r="E963" s="8">
        <v>0</v>
      </c>
      <c r="F963" s="8">
        <v>0</v>
      </c>
      <c r="G963" s="8">
        <v>10</v>
      </c>
      <c r="H963" s="8" t="s">
        <v>27565</v>
      </c>
      <c r="I963" s="8">
        <v>526.6875</v>
      </c>
      <c r="J963" s="3">
        <f t="shared" si="15"/>
        <v>43748.499956504624</v>
      </c>
    </row>
    <row r="964" spans="1:10" x14ac:dyDescent="0.25">
      <c r="A964" s="5" t="s">
        <v>27566</v>
      </c>
      <c r="B964" s="6">
        <v>393.75</v>
      </c>
      <c r="C964" s="6">
        <v>20.478950000000001</v>
      </c>
      <c r="D964" s="6">
        <v>51</v>
      </c>
      <c r="E964" s="6">
        <v>0</v>
      </c>
      <c r="F964" s="6">
        <v>0</v>
      </c>
      <c r="G964" s="6">
        <v>13</v>
      </c>
      <c r="H964" s="6" t="s">
        <v>27567</v>
      </c>
      <c r="I964" s="6">
        <v>526.6875</v>
      </c>
      <c r="J964" s="2">
        <f t="shared" si="15"/>
        <v>43748.500027812501</v>
      </c>
    </row>
    <row r="965" spans="1:10" x14ac:dyDescent="0.25">
      <c r="A965" s="7" t="s">
        <v>27568</v>
      </c>
      <c r="B965" s="8">
        <v>400</v>
      </c>
      <c r="C965" s="8">
        <v>20.584240000000001</v>
      </c>
      <c r="D965" s="8">
        <v>50</v>
      </c>
      <c r="E965" s="8">
        <v>0</v>
      </c>
      <c r="F965" s="8">
        <v>0</v>
      </c>
      <c r="G965" s="8">
        <v>16</v>
      </c>
      <c r="H965" s="8" t="s">
        <v>27569</v>
      </c>
      <c r="I965" s="8">
        <v>528.5625</v>
      </c>
      <c r="J965" s="3">
        <f t="shared" si="15"/>
        <v>43748.500103622682</v>
      </c>
    </row>
    <row r="966" spans="1:10" x14ac:dyDescent="0.25">
      <c r="A966" s="5" t="s">
        <v>27570</v>
      </c>
      <c r="B966" s="6">
        <v>393.75</v>
      </c>
      <c r="C966" s="6">
        <v>20.584240000000001</v>
      </c>
      <c r="D966" s="6">
        <v>53</v>
      </c>
      <c r="E966" s="6">
        <v>0</v>
      </c>
      <c r="F966" s="6">
        <v>0</v>
      </c>
      <c r="G966" s="6">
        <v>15</v>
      </c>
      <c r="H966" s="6" t="s">
        <v>27571</v>
      </c>
      <c r="I966" s="6">
        <v>526.6875</v>
      </c>
      <c r="J966" s="2">
        <f t="shared" si="15"/>
        <v>43748.500183368051</v>
      </c>
    </row>
    <row r="967" spans="1:10" x14ac:dyDescent="0.25">
      <c r="A967" s="7" t="s">
        <v>27572</v>
      </c>
      <c r="B967" s="8">
        <v>412.5</v>
      </c>
      <c r="C967" s="8">
        <v>20.531590000000001</v>
      </c>
      <c r="D967" s="8">
        <v>51</v>
      </c>
      <c r="E967" s="8">
        <v>0</v>
      </c>
      <c r="F967" s="8">
        <v>0</v>
      </c>
      <c r="G967" s="8">
        <v>15</v>
      </c>
      <c r="H967" s="8" t="s">
        <v>27573</v>
      </c>
      <c r="I967" s="8">
        <v>532.3125</v>
      </c>
      <c r="J967" s="3">
        <f t="shared" si="15"/>
        <v>43748.500278506945</v>
      </c>
    </row>
    <row r="968" spans="1:10" x14ac:dyDescent="0.25">
      <c r="A968" s="5" t="s">
        <v>27574</v>
      </c>
      <c r="B968" s="6">
        <v>393.75</v>
      </c>
      <c r="C968" s="6">
        <v>20.531590000000001</v>
      </c>
      <c r="D968" s="6">
        <v>51</v>
      </c>
      <c r="E968" s="6">
        <v>0</v>
      </c>
      <c r="F968" s="6">
        <v>0</v>
      </c>
      <c r="G968" s="6">
        <v>14</v>
      </c>
      <c r="H968" s="6" t="s">
        <v>27575</v>
      </c>
      <c r="I968" s="6">
        <v>526.5</v>
      </c>
      <c r="J968" s="2">
        <f t="shared" si="15"/>
        <v>43748.500361759252</v>
      </c>
    </row>
    <row r="969" spans="1:10" x14ac:dyDescent="0.25">
      <c r="A969" s="7" t="s">
        <v>27576</v>
      </c>
      <c r="B969" s="8">
        <v>393.75</v>
      </c>
      <c r="C969" s="8">
        <v>20.531590000000001</v>
      </c>
      <c r="D969" s="8">
        <v>52</v>
      </c>
      <c r="E969" s="8">
        <v>0</v>
      </c>
      <c r="F969" s="8">
        <v>0</v>
      </c>
      <c r="G969" s="8">
        <v>10</v>
      </c>
      <c r="H969" s="8" t="s">
        <v>27577</v>
      </c>
      <c r="I969" s="8">
        <v>526.6875</v>
      </c>
      <c r="J969" s="3">
        <f t="shared" si="15"/>
        <v>43748.500433506946</v>
      </c>
    </row>
    <row r="970" spans="1:10" x14ac:dyDescent="0.25">
      <c r="A970" s="5" t="s">
        <v>27578</v>
      </c>
      <c r="B970" s="6">
        <v>428.125</v>
      </c>
      <c r="C970" s="6">
        <v>20.584240000000001</v>
      </c>
      <c r="D970" s="6">
        <v>51</v>
      </c>
      <c r="E970" s="6">
        <v>0</v>
      </c>
      <c r="F970" s="6">
        <v>0</v>
      </c>
      <c r="G970" s="6">
        <v>18</v>
      </c>
      <c r="H970" s="6" t="s">
        <v>27579</v>
      </c>
      <c r="I970" s="6">
        <v>537.75</v>
      </c>
      <c r="J970" s="2">
        <f t="shared" si="15"/>
        <v>43748.500520138885</v>
      </c>
    </row>
    <row r="971" spans="1:10" x14ac:dyDescent="0.25">
      <c r="A971" s="7" t="s">
        <v>27580</v>
      </c>
      <c r="B971" s="8">
        <v>393.75</v>
      </c>
      <c r="C971" s="8">
        <v>20.584240000000001</v>
      </c>
      <c r="D971" s="8">
        <v>51</v>
      </c>
      <c r="E971" s="8">
        <v>0</v>
      </c>
      <c r="F971" s="8">
        <v>0</v>
      </c>
      <c r="G971" s="8">
        <v>23</v>
      </c>
      <c r="H971" s="8" t="s">
        <v>27581</v>
      </c>
      <c r="I971" s="8">
        <v>526.6875</v>
      </c>
      <c r="J971" s="3">
        <f t="shared" si="15"/>
        <v>43748.50060068287</v>
      </c>
    </row>
    <row r="972" spans="1:10" x14ac:dyDescent="0.25">
      <c r="A972" s="5" t="s">
        <v>27582</v>
      </c>
      <c r="B972" s="6">
        <v>393.75</v>
      </c>
      <c r="C972" s="6">
        <v>20.584240000000001</v>
      </c>
      <c r="D972" s="6">
        <v>51</v>
      </c>
      <c r="E972" s="6">
        <v>0</v>
      </c>
      <c r="F972" s="6">
        <v>0</v>
      </c>
      <c r="G972" s="6">
        <v>10</v>
      </c>
      <c r="H972" s="6" t="s">
        <v>27583</v>
      </c>
      <c r="I972" s="6">
        <v>526.6875</v>
      </c>
      <c r="J972" s="2">
        <f t="shared" si="15"/>
        <v>43748.500672037037</v>
      </c>
    </row>
    <row r="973" spans="1:10" x14ac:dyDescent="0.25">
      <c r="A973" s="7" t="s">
        <v>27584</v>
      </c>
      <c r="B973" s="8">
        <v>412.5</v>
      </c>
      <c r="C973" s="8">
        <v>20.584240000000001</v>
      </c>
      <c r="D973" s="8">
        <v>51</v>
      </c>
      <c r="E973" s="8">
        <v>0</v>
      </c>
      <c r="F973" s="8">
        <v>0</v>
      </c>
      <c r="G973" s="8">
        <v>5</v>
      </c>
      <c r="H973" s="8" t="s">
        <v>27585</v>
      </c>
      <c r="I973" s="8">
        <v>532.3125</v>
      </c>
      <c r="J973" s="3">
        <f t="shared" si="15"/>
        <v>43748.500744027777</v>
      </c>
    </row>
    <row r="974" spans="1:10" x14ac:dyDescent="0.25">
      <c r="A974" s="5" t="s">
        <v>27586</v>
      </c>
      <c r="B974" s="6">
        <v>393.75</v>
      </c>
      <c r="C974" s="6">
        <v>20.584240000000001</v>
      </c>
      <c r="D974" s="6">
        <v>51</v>
      </c>
      <c r="E974" s="6">
        <v>0</v>
      </c>
      <c r="F974" s="6">
        <v>0</v>
      </c>
      <c r="G974" s="6">
        <v>9</v>
      </c>
      <c r="H974" s="6" t="s">
        <v>27587</v>
      </c>
      <c r="I974" s="6">
        <v>526.6875</v>
      </c>
      <c r="J974" s="2">
        <f t="shared" si="15"/>
        <v>43748.50081503472</v>
      </c>
    </row>
    <row r="975" spans="1:10" x14ac:dyDescent="0.25">
      <c r="A975" s="7" t="s">
        <v>27588</v>
      </c>
      <c r="B975" s="8">
        <v>393.75</v>
      </c>
      <c r="C975" s="8">
        <v>20.584240000000001</v>
      </c>
      <c r="D975" s="8">
        <v>49</v>
      </c>
      <c r="E975" s="8">
        <v>0</v>
      </c>
      <c r="F975" s="8">
        <v>0</v>
      </c>
      <c r="G975" s="8">
        <v>11</v>
      </c>
      <c r="H975" s="8" t="s">
        <v>27589</v>
      </c>
      <c r="I975" s="8">
        <v>526.6875</v>
      </c>
      <c r="J975" s="3">
        <f t="shared" si="15"/>
        <v>43748.500888587958</v>
      </c>
    </row>
    <row r="976" spans="1:10" x14ac:dyDescent="0.25">
      <c r="A976" s="5" t="s">
        <v>27590</v>
      </c>
      <c r="B976" s="6">
        <v>393.75</v>
      </c>
      <c r="C976" s="6">
        <v>20.531590000000001</v>
      </c>
      <c r="D976" s="6">
        <v>50</v>
      </c>
      <c r="E976" s="6">
        <v>0</v>
      </c>
      <c r="F976" s="6">
        <v>0</v>
      </c>
      <c r="G976" s="6">
        <v>9</v>
      </c>
      <c r="H976" s="6" t="s">
        <v>27591</v>
      </c>
      <c r="I976" s="6">
        <v>526.6875</v>
      </c>
      <c r="J976" s="2">
        <f t="shared" si="15"/>
        <v>43748.500970347224</v>
      </c>
    </row>
    <row r="977" spans="1:10" x14ac:dyDescent="0.25">
      <c r="A977" s="7" t="s">
        <v>27592</v>
      </c>
      <c r="B977" s="8">
        <v>393.75</v>
      </c>
      <c r="C977" s="8">
        <v>20.531590000000001</v>
      </c>
      <c r="D977" s="8">
        <v>50</v>
      </c>
      <c r="E977" s="8">
        <v>0</v>
      </c>
      <c r="F977" s="8">
        <v>0</v>
      </c>
      <c r="G977" s="8">
        <v>11</v>
      </c>
      <c r="H977" s="8" t="s">
        <v>27593</v>
      </c>
      <c r="I977" s="8">
        <v>526.6875</v>
      </c>
      <c r="J977" s="3">
        <f t="shared" si="15"/>
        <v>43748.501053622684</v>
      </c>
    </row>
    <row r="978" spans="1:10" x14ac:dyDescent="0.25">
      <c r="A978" s="5" t="s">
        <v>27594</v>
      </c>
      <c r="B978" s="6">
        <v>393.75</v>
      </c>
      <c r="C978" s="6">
        <v>20.584240000000001</v>
      </c>
      <c r="D978" s="6">
        <v>50</v>
      </c>
      <c r="E978" s="6">
        <v>0</v>
      </c>
      <c r="F978" s="6">
        <v>0</v>
      </c>
      <c r="G978" s="6">
        <v>5</v>
      </c>
      <c r="H978" s="6" t="s">
        <v>27595</v>
      </c>
      <c r="I978" s="6">
        <v>526.6875</v>
      </c>
      <c r="J978" s="2">
        <f t="shared" si="15"/>
        <v>43748.501137245366</v>
      </c>
    </row>
    <row r="979" spans="1:10" x14ac:dyDescent="0.25">
      <c r="A979" s="7" t="s">
        <v>27596</v>
      </c>
      <c r="B979" s="8">
        <v>412.5</v>
      </c>
      <c r="C979" s="8">
        <v>20.584240000000001</v>
      </c>
      <c r="D979" s="8">
        <v>50</v>
      </c>
      <c r="E979" s="8">
        <v>0</v>
      </c>
      <c r="F979" s="8">
        <v>0</v>
      </c>
      <c r="G979" s="8">
        <v>19</v>
      </c>
      <c r="H979" s="8" t="s">
        <v>27597</v>
      </c>
      <c r="I979" s="8">
        <v>532.125</v>
      </c>
      <c r="J979" s="3">
        <f t="shared" si="15"/>
        <v>43748.501208761569</v>
      </c>
    </row>
    <row r="980" spans="1:10" x14ac:dyDescent="0.25">
      <c r="A980" s="5" t="s">
        <v>27598</v>
      </c>
      <c r="B980" s="6">
        <v>393.75</v>
      </c>
      <c r="C980" s="6">
        <v>20.584240000000001</v>
      </c>
      <c r="D980" s="6">
        <v>51</v>
      </c>
      <c r="E980" s="6">
        <v>0</v>
      </c>
      <c r="F980" s="6">
        <v>0</v>
      </c>
      <c r="G980" s="6">
        <v>14</v>
      </c>
      <c r="H980" s="6" t="s">
        <v>27599</v>
      </c>
      <c r="I980" s="6">
        <v>526.6875</v>
      </c>
      <c r="J980" s="2">
        <f t="shared" si="15"/>
        <v>43748.50128099537</v>
      </c>
    </row>
    <row r="981" spans="1:10" x14ac:dyDescent="0.25">
      <c r="A981" s="7" t="s">
        <v>27600</v>
      </c>
      <c r="B981" s="8">
        <v>393.75</v>
      </c>
      <c r="C981" s="8">
        <v>20.531590000000001</v>
      </c>
      <c r="D981" s="8">
        <v>51</v>
      </c>
      <c r="E981" s="8">
        <v>0</v>
      </c>
      <c r="F981" s="8">
        <v>0</v>
      </c>
      <c r="G981" s="8">
        <v>10</v>
      </c>
      <c r="H981" s="8" t="s">
        <v>27601</v>
      </c>
      <c r="I981" s="8">
        <v>526.6875</v>
      </c>
      <c r="J981" s="3">
        <f t="shared" si="15"/>
        <v>43748.501352164349</v>
      </c>
    </row>
    <row r="982" spans="1:10" x14ac:dyDescent="0.25">
      <c r="A982" s="5" t="s">
        <v>27602</v>
      </c>
      <c r="B982" s="6">
        <v>393.75</v>
      </c>
      <c r="C982" s="6">
        <v>20.531590000000001</v>
      </c>
      <c r="D982" s="6">
        <v>51</v>
      </c>
      <c r="E982" s="6">
        <v>0</v>
      </c>
      <c r="F982" s="6">
        <v>0</v>
      </c>
      <c r="G982" s="6">
        <v>8</v>
      </c>
      <c r="H982" s="6" t="s">
        <v>27603</v>
      </c>
      <c r="I982" s="6">
        <v>526.6875</v>
      </c>
      <c r="J982" s="2">
        <f t="shared" si="15"/>
        <v>43748.501423460642</v>
      </c>
    </row>
    <row r="983" spans="1:10" x14ac:dyDescent="0.25">
      <c r="A983" s="7" t="s">
        <v>27604</v>
      </c>
      <c r="B983" s="8">
        <v>393.75</v>
      </c>
      <c r="C983" s="8">
        <v>20.584240000000001</v>
      </c>
      <c r="D983" s="8">
        <v>51</v>
      </c>
      <c r="E983" s="8">
        <v>0</v>
      </c>
      <c r="F983" s="8">
        <v>0</v>
      </c>
      <c r="G983" s="8">
        <v>2</v>
      </c>
      <c r="H983" s="8" t="s">
        <v>27605</v>
      </c>
      <c r="I983" s="8">
        <v>526.6875</v>
      </c>
      <c r="J983" s="3">
        <f t="shared" si="15"/>
        <v>43748.501494988428</v>
      </c>
    </row>
    <row r="984" spans="1:10" x14ac:dyDescent="0.25">
      <c r="A984" s="5" t="s">
        <v>27606</v>
      </c>
      <c r="B984" s="6">
        <v>393.75</v>
      </c>
      <c r="C984" s="6">
        <v>20.584240000000001</v>
      </c>
      <c r="D984" s="6">
        <v>51</v>
      </c>
      <c r="E984" s="6">
        <v>0</v>
      </c>
      <c r="F984" s="6">
        <v>0</v>
      </c>
      <c r="G984" s="6">
        <v>4</v>
      </c>
      <c r="H984" s="6" t="s">
        <v>27607</v>
      </c>
      <c r="I984" s="6">
        <v>526.6875</v>
      </c>
      <c r="J984" s="2">
        <f t="shared" si="15"/>
        <v>43748.501567928237</v>
      </c>
    </row>
    <row r="985" spans="1:10" x14ac:dyDescent="0.25">
      <c r="A985" s="7" t="s">
        <v>27608</v>
      </c>
      <c r="B985" s="8">
        <v>393.75</v>
      </c>
      <c r="C985" s="8">
        <v>20.584240000000001</v>
      </c>
      <c r="D985" s="8">
        <v>51</v>
      </c>
      <c r="E985" s="8">
        <v>0</v>
      </c>
      <c r="F985" s="8">
        <v>0</v>
      </c>
      <c r="G985" s="8">
        <v>11</v>
      </c>
      <c r="H985" s="8" t="s">
        <v>27609</v>
      </c>
      <c r="I985" s="8">
        <v>526.6875</v>
      </c>
      <c r="J985" s="3">
        <f t="shared" si="15"/>
        <v>43748.50165085648</v>
      </c>
    </row>
    <row r="986" spans="1:10" x14ac:dyDescent="0.25">
      <c r="A986" s="5" t="s">
        <v>27610</v>
      </c>
      <c r="B986" s="6">
        <v>393.75</v>
      </c>
      <c r="C986" s="6">
        <v>20.531590000000001</v>
      </c>
      <c r="D986" s="6">
        <v>51</v>
      </c>
      <c r="E986" s="6">
        <v>0</v>
      </c>
      <c r="F986" s="6">
        <v>0</v>
      </c>
      <c r="G986" s="6">
        <v>13</v>
      </c>
      <c r="H986" s="6" t="s">
        <v>27611</v>
      </c>
      <c r="I986" s="6">
        <v>526.6875</v>
      </c>
      <c r="J986" s="2">
        <f t="shared" si="15"/>
        <v>43748.50173434028</v>
      </c>
    </row>
    <row r="987" spans="1:10" x14ac:dyDescent="0.25">
      <c r="A987" s="7" t="s">
        <v>27612</v>
      </c>
      <c r="B987" s="8">
        <v>393.75</v>
      </c>
      <c r="C987" s="8">
        <v>20.584240000000001</v>
      </c>
      <c r="D987" s="8">
        <v>52</v>
      </c>
      <c r="E987" s="8">
        <v>0</v>
      </c>
      <c r="F987" s="8">
        <v>0</v>
      </c>
      <c r="G987" s="8">
        <v>7</v>
      </c>
      <c r="H987" s="8" t="s">
        <v>27613</v>
      </c>
      <c r="I987" s="8">
        <v>526.6875</v>
      </c>
      <c r="J987" s="3">
        <f t="shared" si="15"/>
        <v>43748.501817222219</v>
      </c>
    </row>
    <row r="988" spans="1:10" x14ac:dyDescent="0.25">
      <c r="A988" s="5" t="s">
        <v>27614</v>
      </c>
      <c r="B988" s="6">
        <v>393.75</v>
      </c>
      <c r="C988" s="6">
        <v>20.584240000000001</v>
      </c>
      <c r="D988" s="6">
        <v>51</v>
      </c>
      <c r="E988" s="6">
        <v>0</v>
      </c>
      <c r="F988" s="6">
        <v>0</v>
      </c>
      <c r="G988" s="6">
        <v>11</v>
      </c>
      <c r="H988" s="6" t="s">
        <v>27615</v>
      </c>
      <c r="I988" s="6">
        <v>526.6875</v>
      </c>
      <c r="J988" s="2">
        <f t="shared" si="15"/>
        <v>43748.501889166662</v>
      </c>
    </row>
    <row r="989" spans="1:10" x14ac:dyDescent="0.25">
      <c r="A989" s="7" t="s">
        <v>27616</v>
      </c>
      <c r="B989" s="8">
        <v>418.75</v>
      </c>
      <c r="C989" s="8">
        <v>20.584240000000001</v>
      </c>
      <c r="D989" s="8">
        <v>51</v>
      </c>
      <c r="E989" s="8">
        <v>0</v>
      </c>
      <c r="F989" s="8">
        <v>0</v>
      </c>
      <c r="G989" s="8">
        <v>14</v>
      </c>
      <c r="H989" s="8" t="s">
        <v>27617</v>
      </c>
      <c r="I989" s="8">
        <v>534.375</v>
      </c>
      <c r="J989" s="3">
        <f t="shared" si="15"/>
        <v>43748.501972499995</v>
      </c>
    </row>
    <row r="990" spans="1:10" x14ac:dyDescent="0.25">
      <c r="A990" s="5" t="s">
        <v>27618</v>
      </c>
      <c r="B990" s="6">
        <v>393.75</v>
      </c>
      <c r="C990" s="6">
        <v>20.531590000000001</v>
      </c>
      <c r="D990" s="6">
        <v>51</v>
      </c>
      <c r="E990" s="6">
        <v>0</v>
      </c>
      <c r="F990" s="6">
        <v>0</v>
      </c>
      <c r="G990" s="6">
        <v>11</v>
      </c>
      <c r="H990" s="6" t="s">
        <v>27619</v>
      </c>
      <c r="I990" s="6">
        <v>526.6875</v>
      </c>
      <c r="J990" s="2">
        <f t="shared" si="15"/>
        <v>43748.502055590274</v>
      </c>
    </row>
    <row r="991" spans="1:10" x14ac:dyDescent="0.25">
      <c r="A991" s="7" t="s">
        <v>27620</v>
      </c>
      <c r="B991" s="8">
        <v>393.75</v>
      </c>
      <c r="C991" s="8">
        <v>20.531590000000001</v>
      </c>
      <c r="D991" s="8">
        <v>51</v>
      </c>
      <c r="E991" s="8">
        <v>0</v>
      </c>
      <c r="F991" s="8">
        <v>0</v>
      </c>
      <c r="G991" s="8">
        <v>3</v>
      </c>
      <c r="H991" s="8" t="s">
        <v>27621</v>
      </c>
      <c r="I991" s="8">
        <v>526.5</v>
      </c>
      <c r="J991" s="3">
        <f t="shared" si="15"/>
        <v>43748.502127280088</v>
      </c>
    </row>
    <row r="992" spans="1:10" x14ac:dyDescent="0.25">
      <c r="A992" s="5" t="s">
        <v>27622</v>
      </c>
      <c r="B992" s="6">
        <v>412.5</v>
      </c>
      <c r="C992" s="6">
        <v>20.584240000000001</v>
      </c>
      <c r="D992" s="6">
        <v>50</v>
      </c>
      <c r="E992" s="6">
        <v>0</v>
      </c>
      <c r="F992" s="6">
        <v>0</v>
      </c>
      <c r="G992" s="6">
        <v>18</v>
      </c>
      <c r="H992" s="6" t="s">
        <v>27623</v>
      </c>
      <c r="I992" s="6">
        <v>532.3125</v>
      </c>
      <c r="J992" s="2">
        <f t="shared" si="15"/>
        <v>43748.502199803239</v>
      </c>
    </row>
    <row r="993" spans="1:10" x14ac:dyDescent="0.25">
      <c r="A993" s="7" t="s">
        <v>27624</v>
      </c>
      <c r="B993" s="8">
        <v>393.75</v>
      </c>
      <c r="C993" s="8">
        <v>20.531590000000001</v>
      </c>
      <c r="D993" s="8">
        <v>50</v>
      </c>
      <c r="E993" s="8">
        <v>0</v>
      </c>
      <c r="F993" s="8">
        <v>0</v>
      </c>
      <c r="G993" s="8">
        <v>4</v>
      </c>
      <c r="H993" s="8" t="s">
        <v>27625</v>
      </c>
      <c r="I993" s="8">
        <v>526.6875</v>
      </c>
      <c r="J993" s="3">
        <f t="shared" si="15"/>
        <v>43748.502283078698</v>
      </c>
    </row>
    <row r="994" spans="1:10" x14ac:dyDescent="0.25">
      <c r="A994" s="5" t="s">
        <v>27626</v>
      </c>
      <c r="B994" s="6">
        <v>393.75</v>
      </c>
      <c r="C994" s="6">
        <v>20.584240000000001</v>
      </c>
      <c r="D994" s="6">
        <v>47</v>
      </c>
      <c r="E994" s="6">
        <v>0</v>
      </c>
      <c r="F994" s="6">
        <v>0</v>
      </c>
      <c r="G994" s="6">
        <v>14</v>
      </c>
      <c r="H994" s="6" t="s">
        <v>27627</v>
      </c>
      <c r="I994" s="6">
        <v>526.6875</v>
      </c>
      <c r="J994" s="2">
        <f t="shared" si="15"/>
        <v>43748.502353981479</v>
      </c>
    </row>
    <row r="995" spans="1:10" x14ac:dyDescent="0.25">
      <c r="A995" s="7" t="s">
        <v>27628</v>
      </c>
      <c r="B995" s="8">
        <v>412.5</v>
      </c>
      <c r="C995" s="8">
        <v>20.584240000000001</v>
      </c>
      <c r="D995" s="8">
        <v>47</v>
      </c>
      <c r="E995" s="8">
        <v>0</v>
      </c>
      <c r="F995" s="8">
        <v>0</v>
      </c>
      <c r="G995" s="8">
        <v>7</v>
      </c>
      <c r="H995" s="8" t="s">
        <v>27629</v>
      </c>
      <c r="I995" s="8">
        <v>532.5</v>
      </c>
      <c r="J995" s="3">
        <f t="shared" si="15"/>
        <v>43748.502437569441</v>
      </c>
    </row>
    <row r="996" spans="1:10" x14ac:dyDescent="0.25">
      <c r="A996" s="5" t="s">
        <v>27630</v>
      </c>
      <c r="B996" s="6">
        <v>393.75</v>
      </c>
      <c r="C996" s="6">
        <v>20.531590000000001</v>
      </c>
      <c r="D996" s="6">
        <v>50</v>
      </c>
      <c r="E996" s="6">
        <v>0</v>
      </c>
      <c r="F996" s="6">
        <v>0</v>
      </c>
      <c r="G996" s="6">
        <v>8</v>
      </c>
      <c r="H996" s="6" t="s">
        <v>27631</v>
      </c>
      <c r="I996" s="6">
        <v>526.6875</v>
      </c>
      <c r="J996" s="2">
        <f t="shared" si="15"/>
        <v>43748.502521122682</v>
      </c>
    </row>
    <row r="997" spans="1:10" x14ac:dyDescent="0.25">
      <c r="A997" s="7" t="s">
        <v>27632</v>
      </c>
      <c r="B997" s="8">
        <v>393.75</v>
      </c>
      <c r="C997" s="8">
        <v>20.584240000000001</v>
      </c>
      <c r="D997" s="8">
        <v>50</v>
      </c>
      <c r="E997" s="8">
        <v>0</v>
      </c>
      <c r="F997" s="8">
        <v>0</v>
      </c>
      <c r="G997" s="8">
        <v>9</v>
      </c>
      <c r="H997" s="8" t="s">
        <v>27633</v>
      </c>
      <c r="I997" s="8">
        <v>526.6875</v>
      </c>
      <c r="J997" s="3">
        <f t="shared" si="15"/>
        <v>43748.502604583329</v>
      </c>
    </row>
    <row r="998" spans="1:10" x14ac:dyDescent="0.25">
      <c r="A998" s="5" t="s">
        <v>27634</v>
      </c>
      <c r="B998" s="6">
        <v>393.75</v>
      </c>
      <c r="C998" s="6">
        <v>20.584240000000001</v>
      </c>
      <c r="D998" s="6">
        <v>48</v>
      </c>
      <c r="E998" s="6">
        <v>0</v>
      </c>
      <c r="F998" s="6">
        <v>0</v>
      </c>
      <c r="G998" s="6">
        <v>8</v>
      </c>
      <c r="H998" s="6" t="s">
        <v>27635</v>
      </c>
      <c r="I998" s="6">
        <v>526.6875</v>
      </c>
      <c r="J998" s="2">
        <f t="shared" si="15"/>
        <v>43748.502688020832</v>
      </c>
    </row>
    <row r="999" spans="1:10" x14ac:dyDescent="0.25">
      <c r="A999" s="7" t="s">
        <v>27636</v>
      </c>
      <c r="B999" s="8">
        <v>393.75</v>
      </c>
      <c r="C999" s="8">
        <v>20.584240000000001</v>
      </c>
      <c r="D999" s="8">
        <v>49</v>
      </c>
      <c r="E999" s="8">
        <v>0</v>
      </c>
      <c r="F999" s="8">
        <v>0</v>
      </c>
      <c r="G999" s="8">
        <v>18</v>
      </c>
      <c r="H999" s="8" t="s">
        <v>27637</v>
      </c>
      <c r="I999" s="8">
        <v>526.6875</v>
      </c>
      <c r="J999" s="3">
        <f t="shared" si="15"/>
        <v>43748.50277126157</v>
      </c>
    </row>
    <row r="1000" spans="1:10" x14ac:dyDescent="0.25">
      <c r="A1000" s="5" t="s">
        <v>27638</v>
      </c>
      <c r="B1000" s="6">
        <v>393.75</v>
      </c>
      <c r="C1000" s="6">
        <v>20.584240000000001</v>
      </c>
      <c r="D1000" s="6">
        <v>49</v>
      </c>
      <c r="E1000" s="6">
        <v>0</v>
      </c>
      <c r="F1000" s="6">
        <v>0</v>
      </c>
      <c r="G1000" s="6">
        <v>12</v>
      </c>
      <c r="H1000" s="6" t="s">
        <v>27639</v>
      </c>
      <c r="I1000" s="6">
        <v>526.6875</v>
      </c>
      <c r="J1000" s="2">
        <f t="shared" si="15"/>
        <v>43748.502842905094</v>
      </c>
    </row>
    <row r="1001" spans="1:10" x14ac:dyDescent="0.25">
      <c r="A1001" s="7" t="s">
        <v>27640</v>
      </c>
      <c r="B1001" s="8">
        <v>393.75</v>
      </c>
      <c r="C1001" s="8">
        <v>20.584240000000001</v>
      </c>
      <c r="D1001" s="8">
        <v>50</v>
      </c>
      <c r="E1001" s="8">
        <v>0</v>
      </c>
      <c r="F1001" s="8">
        <v>0</v>
      </c>
      <c r="G1001" s="8">
        <v>10</v>
      </c>
      <c r="H1001" s="8" t="s">
        <v>27641</v>
      </c>
      <c r="I1001" s="8">
        <v>526.6875</v>
      </c>
      <c r="J1001" s="3">
        <f t="shared" si="15"/>
        <v>43748.50294090277</v>
      </c>
    </row>
    <row r="1002" spans="1:10" x14ac:dyDescent="0.25">
      <c r="A1002" s="5" t="s">
        <v>27642</v>
      </c>
      <c r="B1002" s="6">
        <v>412.5</v>
      </c>
      <c r="C1002" s="6">
        <v>20.531590000000001</v>
      </c>
      <c r="D1002" s="6">
        <v>47</v>
      </c>
      <c r="E1002" s="6">
        <v>0</v>
      </c>
      <c r="F1002" s="6">
        <v>0</v>
      </c>
      <c r="G1002" s="6">
        <v>0</v>
      </c>
      <c r="H1002" s="6" t="s">
        <v>27643</v>
      </c>
      <c r="I1002" s="6">
        <v>532.3125</v>
      </c>
      <c r="J1002" s="2">
        <f t="shared" si="15"/>
        <v>43748.503022037032</v>
      </c>
    </row>
    <row r="1003" spans="1:10" x14ac:dyDescent="0.25">
      <c r="A1003" s="7" t="s">
        <v>27644</v>
      </c>
      <c r="B1003" s="8">
        <v>393.75</v>
      </c>
      <c r="C1003" s="8">
        <v>20.584240000000001</v>
      </c>
      <c r="D1003" s="8">
        <v>47</v>
      </c>
      <c r="E1003" s="8">
        <v>0</v>
      </c>
      <c r="F1003" s="8">
        <v>0</v>
      </c>
      <c r="G1003" s="8">
        <v>5</v>
      </c>
      <c r="H1003" s="8" t="s">
        <v>27645</v>
      </c>
      <c r="I1003" s="8">
        <v>526.6875</v>
      </c>
      <c r="J1003" s="3">
        <f t="shared" si="15"/>
        <v>43748.503105462958</v>
      </c>
    </row>
    <row r="1004" spans="1:10" x14ac:dyDescent="0.25">
      <c r="A1004" s="5" t="s">
        <v>27646</v>
      </c>
      <c r="B1004" s="6">
        <v>393.75</v>
      </c>
      <c r="C1004" s="6">
        <v>20.584240000000001</v>
      </c>
      <c r="D1004" s="6">
        <v>47</v>
      </c>
      <c r="E1004" s="6">
        <v>0</v>
      </c>
      <c r="F1004" s="6">
        <v>0</v>
      </c>
      <c r="G1004" s="6">
        <v>5</v>
      </c>
      <c r="H1004" s="6" t="s">
        <v>27647</v>
      </c>
      <c r="I1004" s="6">
        <v>526.6875</v>
      </c>
      <c r="J1004" s="2">
        <f t="shared" si="15"/>
        <v>43748.50317664352</v>
      </c>
    </row>
    <row r="1005" spans="1:10" x14ac:dyDescent="0.25">
      <c r="A1005" s="7" t="s">
        <v>27648</v>
      </c>
      <c r="B1005" s="8">
        <v>412.5</v>
      </c>
      <c r="C1005" s="8">
        <v>20.531590000000001</v>
      </c>
      <c r="D1005" s="8">
        <v>47</v>
      </c>
      <c r="E1005" s="8">
        <v>0</v>
      </c>
      <c r="F1005" s="8">
        <v>0</v>
      </c>
      <c r="G1005" s="8">
        <v>10</v>
      </c>
      <c r="H1005" s="8" t="s">
        <v>27649</v>
      </c>
      <c r="I1005" s="8">
        <v>532.3125</v>
      </c>
      <c r="J1005" s="3">
        <f t="shared" si="15"/>
        <v>43748.503248518515</v>
      </c>
    </row>
    <row r="1006" spans="1:10" x14ac:dyDescent="0.25">
      <c r="A1006" s="5" t="s">
        <v>27650</v>
      </c>
      <c r="B1006" s="6">
        <v>393.75</v>
      </c>
      <c r="C1006" s="6">
        <v>20.584240000000001</v>
      </c>
      <c r="D1006" s="6">
        <v>47</v>
      </c>
      <c r="E1006" s="6">
        <v>0</v>
      </c>
      <c r="F1006" s="6">
        <v>0</v>
      </c>
      <c r="G1006" s="6">
        <v>10</v>
      </c>
      <c r="H1006" s="6" t="s">
        <v>27651</v>
      </c>
      <c r="I1006" s="6">
        <v>526.5</v>
      </c>
      <c r="J1006" s="2">
        <f t="shared" si="15"/>
        <v>43748.503332708329</v>
      </c>
    </row>
    <row r="1007" spans="1:10" x14ac:dyDescent="0.25">
      <c r="A1007" s="7" t="s">
        <v>27652</v>
      </c>
      <c r="B1007" s="8">
        <v>393.75</v>
      </c>
      <c r="C1007" s="8">
        <v>20.584240000000001</v>
      </c>
      <c r="D1007" s="8">
        <v>49</v>
      </c>
      <c r="E1007" s="8">
        <v>0</v>
      </c>
      <c r="F1007" s="8">
        <v>0</v>
      </c>
      <c r="G1007" s="8">
        <v>10</v>
      </c>
      <c r="H1007" s="8" t="s">
        <v>27653</v>
      </c>
      <c r="I1007" s="8">
        <v>526.6875</v>
      </c>
      <c r="J1007" s="3">
        <f t="shared" si="15"/>
        <v>43748.503415520834</v>
      </c>
    </row>
    <row r="1008" spans="1:10" x14ac:dyDescent="0.25">
      <c r="A1008" s="5" t="s">
        <v>27654</v>
      </c>
      <c r="B1008" s="6">
        <v>393.75</v>
      </c>
      <c r="C1008" s="6">
        <v>20.531590000000001</v>
      </c>
      <c r="D1008" s="6">
        <v>49</v>
      </c>
      <c r="E1008" s="6">
        <v>0</v>
      </c>
      <c r="F1008" s="6">
        <v>0</v>
      </c>
      <c r="G1008" s="6">
        <v>11</v>
      </c>
      <c r="H1008" s="6" t="s">
        <v>27655</v>
      </c>
      <c r="I1008" s="6">
        <v>526.6875</v>
      </c>
      <c r="J1008" s="2">
        <f t="shared" si="15"/>
        <v>43748.50348738426</v>
      </c>
    </row>
    <row r="1009" spans="1:10" x14ac:dyDescent="0.25">
      <c r="A1009" s="7" t="s">
        <v>27656</v>
      </c>
      <c r="B1009" s="8">
        <v>393.75</v>
      </c>
      <c r="C1009" s="8">
        <v>20.531590000000001</v>
      </c>
      <c r="D1009" s="8">
        <v>50</v>
      </c>
      <c r="E1009" s="8">
        <v>0</v>
      </c>
      <c r="F1009" s="8">
        <v>0</v>
      </c>
      <c r="G1009" s="8">
        <v>9</v>
      </c>
      <c r="H1009" s="8" t="s">
        <v>27657</v>
      </c>
      <c r="I1009" s="8">
        <v>526.6875</v>
      </c>
      <c r="J1009" s="3">
        <f t="shared" si="15"/>
        <v>43748.50355916666</v>
      </c>
    </row>
    <row r="1010" spans="1:10" x14ac:dyDescent="0.25">
      <c r="A1010" s="5" t="s">
        <v>27658</v>
      </c>
      <c r="B1010" s="6">
        <v>393.75</v>
      </c>
      <c r="C1010" s="6">
        <v>20.584240000000001</v>
      </c>
      <c r="D1010" s="6">
        <v>50</v>
      </c>
      <c r="E1010" s="6">
        <v>0</v>
      </c>
      <c r="F1010" s="6">
        <v>0</v>
      </c>
      <c r="G1010" s="6">
        <v>9</v>
      </c>
      <c r="H1010" s="6" t="s">
        <v>27659</v>
      </c>
      <c r="I1010" s="6">
        <v>526.6875</v>
      </c>
      <c r="J1010" s="2">
        <f t="shared" si="15"/>
        <v>43748.503630405095</v>
      </c>
    </row>
    <row r="1011" spans="1:10" x14ac:dyDescent="0.25">
      <c r="A1011" s="7" t="s">
        <v>27660</v>
      </c>
      <c r="B1011" s="8">
        <v>393.75</v>
      </c>
      <c r="C1011" s="8">
        <v>20.584240000000001</v>
      </c>
      <c r="D1011" s="8">
        <v>50</v>
      </c>
      <c r="E1011" s="8">
        <v>0</v>
      </c>
      <c r="F1011" s="8">
        <v>0</v>
      </c>
      <c r="G1011" s="8">
        <v>2</v>
      </c>
      <c r="H1011" s="8" t="s">
        <v>27661</v>
      </c>
      <c r="I1011" s="8">
        <v>526.6875</v>
      </c>
      <c r="J1011" s="3">
        <f t="shared" si="15"/>
        <v>43748.503701793983</v>
      </c>
    </row>
    <row r="1012" spans="1:10" x14ac:dyDescent="0.25">
      <c r="A1012" s="5" t="s">
        <v>27662</v>
      </c>
      <c r="B1012" s="6">
        <v>393.75</v>
      </c>
      <c r="C1012" s="6">
        <v>20.584240000000001</v>
      </c>
      <c r="D1012" s="6">
        <v>50</v>
      </c>
      <c r="E1012" s="6">
        <v>0</v>
      </c>
      <c r="F1012" s="6">
        <v>0</v>
      </c>
      <c r="G1012" s="6">
        <v>18</v>
      </c>
      <c r="H1012" s="6" t="s">
        <v>27663</v>
      </c>
      <c r="I1012" s="6">
        <v>526.6875</v>
      </c>
      <c r="J1012" s="2">
        <f t="shared" si="15"/>
        <v>43748.503773634257</v>
      </c>
    </row>
    <row r="1013" spans="1:10" x14ac:dyDescent="0.25">
      <c r="A1013" s="7" t="s">
        <v>27664</v>
      </c>
      <c r="B1013" s="8">
        <v>393.75</v>
      </c>
      <c r="C1013" s="8">
        <v>20.531590000000001</v>
      </c>
      <c r="D1013" s="8">
        <v>50</v>
      </c>
      <c r="E1013" s="8">
        <v>0</v>
      </c>
      <c r="F1013" s="8">
        <v>0</v>
      </c>
      <c r="G1013" s="8">
        <v>4</v>
      </c>
      <c r="H1013" s="8" t="s">
        <v>27665</v>
      </c>
      <c r="I1013" s="8">
        <v>526.6875</v>
      </c>
      <c r="J1013" s="3">
        <f t="shared" si="15"/>
        <v>43748.503845509258</v>
      </c>
    </row>
    <row r="1014" spans="1:10" x14ac:dyDescent="0.25">
      <c r="A1014" s="5" t="s">
        <v>27666</v>
      </c>
      <c r="B1014" s="6">
        <v>393.75</v>
      </c>
      <c r="C1014" s="6">
        <v>20.584240000000001</v>
      </c>
      <c r="D1014" s="6">
        <v>50</v>
      </c>
      <c r="E1014" s="6">
        <v>0</v>
      </c>
      <c r="F1014" s="6">
        <v>0</v>
      </c>
      <c r="G1014" s="6">
        <v>6</v>
      </c>
      <c r="H1014" s="6" t="s">
        <v>27667</v>
      </c>
      <c r="I1014" s="6">
        <v>526.6875</v>
      </c>
      <c r="J1014" s="2">
        <f t="shared" si="15"/>
        <v>43748.503917094909</v>
      </c>
    </row>
    <row r="1015" spans="1:10" x14ac:dyDescent="0.25">
      <c r="A1015" s="7" t="s">
        <v>27668</v>
      </c>
      <c r="B1015" s="8">
        <v>393.75</v>
      </c>
      <c r="C1015" s="8">
        <v>20.584240000000001</v>
      </c>
      <c r="D1015" s="8">
        <v>50</v>
      </c>
      <c r="E1015" s="8">
        <v>0</v>
      </c>
      <c r="F1015" s="8">
        <v>0</v>
      </c>
      <c r="G1015" s="8">
        <v>5</v>
      </c>
      <c r="H1015" s="8" t="s">
        <v>27669</v>
      </c>
      <c r="I1015" s="8">
        <v>526.6875</v>
      </c>
      <c r="J1015" s="3">
        <f t="shared" si="15"/>
        <v>43748.503988275457</v>
      </c>
    </row>
    <row r="1016" spans="1:10" x14ac:dyDescent="0.25">
      <c r="A1016" s="5" t="s">
        <v>27670</v>
      </c>
      <c r="B1016" s="6">
        <v>412.5</v>
      </c>
      <c r="C1016" s="6">
        <v>20.584240000000001</v>
      </c>
      <c r="D1016" s="6">
        <v>49</v>
      </c>
      <c r="E1016" s="6">
        <v>0</v>
      </c>
      <c r="F1016" s="6">
        <v>0</v>
      </c>
      <c r="G1016" s="6">
        <v>0</v>
      </c>
      <c r="H1016" s="6" t="s">
        <v>27671</v>
      </c>
      <c r="I1016" s="6">
        <v>532.5</v>
      </c>
      <c r="J1016" s="2">
        <f t="shared" si="15"/>
        <v>43748.504059907405</v>
      </c>
    </row>
    <row r="1017" spans="1:10" x14ac:dyDescent="0.25">
      <c r="A1017" s="7" t="s">
        <v>27672</v>
      </c>
      <c r="B1017" s="8">
        <v>393.75</v>
      </c>
      <c r="C1017" s="8">
        <v>20.531590000000001</v>
      </c>
      <c r="D1017" s="8">
        <v>48</v>
      </c>
      <c r="E1017" s="8">
        <v>0</v>
      </c>
      <c r="F1017" s="8">
        <v>0</v>
      </c>
      <c r="G1017" s="8">
        <v>3</v>
      </c>
      <c r="H1017" s="8" t="s">
        <v>27673</v>
      </c>
      <c r="I1017" s="8">
        <v>526.6875</v>
      </c>
      <c r="J1017" s="3">
        <f t="shared" si="15"/>
        <v>43748.504131458329</v>
      </c>
    </row>
    <row r="1018" spans="1:10" x14ac:dyDescent="0.25">
      <c r="A1018" s="5" t="s">
        <v>27674</v>
      </c>
      <c r="B1018" s="6">
        <v>393.75</v>
      </c>
      <c r="C1018" s="6">
        <v>20.531590000000001</v>
      </c>
      <c r="D1018" s="6">
        <v>48</v>
      </c>
      <c r="E1018" s="6">
        <v>0</v>
      </c>
      <c r="F1018" s="6">
        <v>0</v>
      </c>
      <c r="G1018" s="6">
        <v>8</v>
      </c>
      <c r="H1018" s="6" t="s">
        <v>27675</v>
      </c>
      <c r="I1018" s="6">
        <v>526.6875</v>
      </c>
      <c r="J1018" s="2">
        <f t="shared" si="15"/>
        <v>43748.504214953697</v>
      </c>
    </row>
    <row r="1019" spans="1:10" x14ac:dyDescent="0.25">
      <c r="A1019" s="7" t="s">
        <v>27676</v>
      </c>
      <c r="B1019" s="8">
        <v>393.75</v>
      </c>
      <c r="C1019" s="8">
        <v>20.584240000000001</v>
      </c>
      <c r="D1019" s="8">
        <v>49</v>
      </c>
      <c r="E1019" s="8">
        <v>0</v>
      </c>
      <c r="F1019" s="8">
        <v>0</v>
      </c>
      <c r="G1019" s="8">
        <v>8</v>
      </c>
      <c r="H1019" s="8" t="s">
        <v>27677</v>
      </c>
      <c r="I1019" s="8">
        <v>526.5</v>
      </c>
      <c r="J1019" s="3">
        <f t="shared" si="15"/>
        <v>43748.504286423609</v>
      </c>
    </row>
    <row r="1020" spans="1:10" x14ac:dyDescent="0.25">
      <c r="A1020" s="5" t="s">
        <v>27678</v>
      </c>
      <c r="B1020" s="6">
        <v>393.75</v>
      </c>
      <c r="C1020" s="6">
        <v>20.584240000000001</v>
      </c>
      <c r="D1020" s="6">
        <v>50</v>
      </c>
      <c r="E1020" s="6">
        <v>0</v>
      </c>
      <c r="F1020" s="6">
        <v>0</v>
      </c>
      <c r="G1020" s="6">
        <v>9</v>
      </c>
      <c r="H1020" s="6" t="s">
        <v>27679</v>
      </c>
      <c r="I1020" s="6">
        <v>526.6875</v>
      </c>
      <c r="J1020" s="2">
        <f t="shared" si="15"/>
        <v>43748.504358067126</v>
      </c>
    </row>
    <row r="1021" spans="1:10" x14ac:dyDescent="0.25">
      <c r="A1021" s="7" t="s">
        <v>27680</v>
      </c>
      <c r="B1021" s="8">
        <v>393.75</v>
      </c>
      <c r="C1021" s="8">
        <v>20.584240000000001</v>
      </c>
      <c r="D1021" s="8">
        <v>49</v>
      </c>
      <c r="E1021" s="8">
        <v>0</v>
      </c>
      <c r="F1021" s="8">
        <v>0</v>
      </c>
      <c r="G1021" s="8">
        <v>9</v>
      </c>
      <c r="H1021" s="8" t="s">
        <v>27681</v>
      </c>
      <c r="I1021" s="8">
        <v>526.6875</v>
      </c>
      <c r="J1021" s="3">
        <f t="shared" si="15"/>
        <v>43748.504430173612</v>
      </c>
    </row>
    <row r="1022" spans="1:10" x14ac:dyDescent="0.25">
      <c r="A1022" s="5" t="s">
        <v>27682</v>
      </c>
      <c r="B1022" s="6">
        <v>393.75</v>
      </c>
      <c r="C1022" s="6">
        <v>20.584240000000001</v>
      </c>
      <c r="D1022" s="6">
        <v>52</v>
      </c>
      <c r="E1022" s="6">
        <v>0</v>
      </c>
      <c r="F1022" s="6">
        <v>0</v>
      </c>
      <c r="G1022" s="6">
        <v>9</v>
      </c>
      <c r="H1022" s="6" t="s">
        <v>27683</v>
      </c>
      <c r="I1022" s="6">
        <v>526.6875</v>
      </c>
      <c r="J1022" s="2">
        <f t="shared" si="15"/>
        <v>43748.504503263888</v>
      </c>
    </row>
    <row r="1023" spans="1:10" x14ac:dyDescent="0.25">
      <c r="A1023" s="7" t="s">
        <v>27684</v>
      </c>
      <c r="B1023" s="8">
        <v>393.75</v>
      </c>
      <c r="C1023" s="8">
        <v>20.584240000000001</v>
      </c>
      <c r="D1023" s="8">
        <v>52</v>
      </c>
      <c r="E1023" s="8">
        <v>0</v>
      </c>
      <c r="F1023" s="8">
        <v>0</v>
      </c>
      <c r="G1023" s="8">
        <v>11</v>
      </c>
      <c r="H1023" s="8" t="s">
        <v>27685</v>
      </c>
      <c r="I1023" s="8">
        <v>526.6875</v>
      </c>
      <c r="J1023" s="3">
        <f t="shared" si="15"/>
        <v>43748.504584745366</v>
      </c>
    </row>
    <row r="1024" spans="1:10" x14ac:dyDescent="0.25">
      <c r="A1024" s="5" t="s">
        <v>27686</v>
      </c>
      <c r="B1024" s="6">
        <v>393.75</v>
      </c>
      <c r="C1024" s="6">
        <v>20.531590000000001</v>
      </c>
      <c r="D1024" s="6">
        <v>51</v>
      </c>
      <c r="E1024" s="6">
        <v>0</v>
      </c>
      <c r="F1024" s="6">
        <v>0</v>
      </c>
      <c r="G1024" s="6">
        <v>12</v>
      </c>
      <c r="H1024" s="6" t="s">
        <v>27687</v>
      </c>
      <c r="I1024" s="6">
        <v>526.6875</v>
      </c>
      <c r="J1024" s="2">
        <f t="shared" si="15"/>
        <v>43748.504668020832</v>
      </c>
    </row>
    <row r="1025" spans="1:10" x14ac:dyDescent="0.25">
      <c r="A1025" s="7" t="s">
        <v>27688</v>
      </c>
      <c r="B1025" s="8">
        <v>393.75</v>
      </c>
      <c r="C1025" s="8">
        <v>20.584240000000001</v>
      </c>
      <c r="D1025" s="8">
        <v>51</v>
      </c>
      <c r="E1025" s="8">
        <v>0</v>
      </c>
      <c r="F1025" s="8">
        <v>0</v>
      </c>
      <c r="G1025" s="8">
        <v>10</v>
      </c>
      <c r="H1025" s="8" t="s">
        <v>27689</v>
      </c>
      <c r="I1025" s="8">
        <v>526.6875</v>
      </c>
      <c r="J1025" s="3">
        <f t="shared" si="15"/>
        <v>43748.50475216435</v>
      </c>
    </row>
    <row r="1026" spans="1:10" x14ac:dyDescent="0.25">
      <c r="A1026" s="5" t="s">
        <v>27690</v>
      </c>
      <c r="B1026" s="6">
        <v>393.75</v>
      </c>
      <c r="C1026" s="6">
        <v>20.584240000000001</v>
      </c>
      <c r="D1026" s="6">
        <v>51</v>
      </c>
      <c r="E1026" s="6">
        <v>0</v>
      </c>
      <c r="F1026" s="6">
        <v>0</v>
      </c>
      <c r="G1026" s="6">
        <v>8</v>
      </c>
      <c r="H1026" s="6" t="s">
        <v>27691</v>
      </c>
      <c r="I1026" s="6">
        <v>526.6875</v>
      </c>
      <c r="J1026" s="2">
        <f t="shared" ref="J1026:J1089" si="16">(H1026/86400000)+25569+(7/24)</f>
        <v>43748.504823460644</v>
      </c>
    </row>
    <row r="1027" spans="1:10" x14ac:dyDescent="0.25">
      <c r="A1027" s="7" t="s">
        <v>27692</v>
      </c>
      <c r="B1027" s="8">
        <v>393.75</v>
      </c>
      <c r="C1027" s="8">
        <v>20.584240000000001</v>
      </c>
      <c r="D1027" s="8">
        <v>51</v>
      </c>
      <c r="E1027" s="8">
        <v>0</v>
      </c>
      <c r="F1027" s="8">
        <v>0</v>
      </c>
      <c r="G1027" s="8">
        <v>5</v>
      </c>
      <c r="H1027" s="8" t="s">
        <v>27693</v>
      </c>
      <c r="I1027" s="8">
        <v>526.6875</v>
      </c>
      <c r="J1027" s="3">
        <f t="shared" si="16"/>
        <v>43748.50489491898</v>
      </c>
    </row>
    <row r="1028" spans="1:10" x14ac:dyDescent="0.25">
      <c r="A1028" s="5" t="s">
        <v>27694</v>
      </c>
      <c r="B1028" s="6">
        <v>393.75</v>
      </c>
      <c r="C1028" s="6">
        <v>20.584240000000001</v>
      </c>
      <c r="D1028" s="6">
        <v>51</v>
      </c>
      <c r="E1028" s="6">
        <v>0</v>
      </c>
      <c r="F1028" s="6">
        <v>0</v>
      </c>
      <c r="G1028" s="6">
        <v>5</v>
      </c>
      <c r="H1028" s="6" t="s">
        <v>27695</v>
      </c>
      <c r="I1028" s="6">
        <v>526.6875</v>
      </c>
      <c r="J1028" s="2">
        <f t="shared" si="16"/>
        <v>43748.504966863424</v>
      </c>
    </row>
    <row r="1029" spans="1:10" x14ac:dyDescent="0.25">
      <c r="A1029" s="7" t="s">
        <v>27696</v>
      </c>
      <c r="B1029" s="8">
        <v>393.75</v>
      </c>
      <c r="C1029" s="8">
        <v>20.584240000000001</v>
      </c>
      <c r="D1029" s="8">
        <v>51</v>
      </c>
      <c r="E1029" s="8">
        <v>0</v>
      </c>
      <c r="F1029" s="8">
        <v>0</v>
      </c>
      <c r="G1029" s="8">
        <v>9</v>
      </c>
      <c r="H1029" s="8" t="s">
        <v>27697</v>
      </c>
      <c r="I1029" s="8">
        <v>526.6875</v>
      </c>
      <c r="J1029" s="3">
        <f t="shared" si="16"/>
        <v>43748.505038159718</v>
      </c>
    </row>
    <row r="1030" spans="1:10" x14ac:dyDescent="0.25">
      <c r="A1030" s="5" t="s">
        <v>27698</v>
      </c>
      <c r="B1030" s="6">
        <v>412.5</v>
      </c>
      <c r="C1030" s="6">
        <v>20.584240000000001</v>
      </c>
      <c r="D1030" s="6">
        <v>51</v>
      </c>
      <c r="E1030" s="6">
        <v>0</v>
      </c>
      <c r="F1030" s="6">
        <v>0</v>
      </c>
      <c r="G1030" s="6">
        <v>7</v>
      </c>
      <c r="H1030" s="6" t="s">
        <v>27699</v>
      </c>
      <c r="I1030" s="6">
        <v>532.3125</v>
      </c>
      <c r="J1030" s="2">
        <f t="shared" si="16"/>
        <v>43748.505109456011</v>
      </c>
    </row>
    <row r="1031" spans="1:10" x14ac:dyDescent="0.25">
      <c r="A1031" s="7" t="s">
        <v>27700</v>
      </c>
      <c r="B1031" s="8">
        <v>393.75</v>
      </c>
      <c r="C1031" s="8">
        <v>20.584240000000001</v>
      </c>
      <c r="D1031" s="8">
        <v>50</v>
      </c>
      <c r="E1031" s="8">
        <v>0</v>
      </c>
      <c r="F1031" s="8">
        <v>0</v>
      </c>
      <c r="G1031" s="8">
        <v>6</v>
      </c>
      <c r="H1031" s="8" t="s">
        <v>27701</v>
      </c>
      <c r="I1031" s="8">
        <v>526.6875</v>
      </c>
      <c r="J1031" s="3">
        <f t="shared" si="16"/>
        <v>43748.50518166666</v>
      </c>
    </row>
    <row r="1032" spans="1:10" x14ac:dyDescent="0.25">
      <c r="A1032" s="5" t="s">
        <v>27702</v>
      </c>
      <c r="B1032" s="6">
        <v>393.75</v>
      </c>
      <c r="C1032" s="6">
        <v>20.584240000000001</v>
      </c>
      <c r="D1032" s="6">
        <v>50</v>
      </c>
      <c r="E1032" s="6">
        <v>0</v>
      </c>
      <c r="F1032" s="6">
        <v>0</v>
      </c>
      <c r="G1032" s="6">
        <v>4</v>
      </c>
      <c r="H1032" s="6" t="s">
        <v>27703</v>
      </c>
      <c r="I1032" s="6">
        <v>526.6875</v>
      </c>
      <c r="J1032" s="2">
        <f t="shared" si="16"/>
        <v>43748.505252951385</v>
      </c>
    </row>
    <row r="1033" spans="1:10" x14ac:dyDescent="0.25">
      <c r="A1033" s="7" t="s">
        <v>27704</v>
      </c>
      <c r="B1033" s="8">
        <v>393.75</v>
      </c>
      <c r="C1033" s="8">
        <v>20.584240000000001</v>
      </c>
      <c r="D1033" s="8">
        <v>50</v>
      </c>
      <c r="E1033" s="8">
        <v>0</v>
      </c>
      <c r="F1033" s="8">
        <v>0</v>
      </c>
      <c r="G1033" s="8">
        <v>1</v>
      </c>
      <c r="H1033" s="8" t="s">
        <v>27705</v>
      </c>
      <c r="I1033" s="8">
        <v>526.6875</v>
      </c>
      <c r="J1033" s="3">
        <f t="shared" si="16"/>
        <v>43748.505324664351</v>
      </c>
    </row>
    <row r="1034" spans="1:10" x14ac:dyDescent="0.25">
      <c r="A1034" s="5" t="s">
        <v>27706</v>
      </c>
      <c r="B1034" s="6">
        <v>415.625</v>
      </c>
      <c r="C1034" s="6">
        <v>20.584240000000001</v>
      </c>
      <c r="D1034" s="6">
        <v>49</v>
      </c>
      <c r="E1034" s="6">
        <v>0</v>
      </c>
      <c r="F1034" s="6">
        <v>0</v>
      </c>
      <c r="G1034" s="6">
        <v>9</v>
      </c>
      <c r="H1034" s="6" t="s">
        <v>27707</v>
      </c>
      <c r="I1034" s="6">
        <v>533.8125</v>
      </c>
      <c r="J1034" s="2">
        <f t="shared" si="16"/>
        <v>43748.505396516201</v>
      </c>
    </row>
    <row r="1035" spans="1:10" x14ac:dyDescent="0.25">
      <c r="A1035" s="7" t="s">
        <v>27708</v>
      </c>
      <c r="B1035" s="8">
        <v>393.75</v>
      </c>
      <c r="C1035" s="8">
        <v>20.584240000000001</v>
      </c>
      <c r="D1035" s="8">
        <v>50</v>
      </c>
      <c r="E1035" s="8">
        <v>0</v>
      </c>
      <c r="F1035" s="8">
        <v>0</v>
      </c>
      <c r="G1035" s="8">
        <v>3</v>
      </c>
      <c r="H1035" s="8" t="s">
        <v>27709</v>
      </c>
      <c r="I1035" s="8">
        <v>526.6875</v>
      </c>
      <c r="J1035" s="3">
        <f t="shared" si="16"/>
        <v>43748.505491956013</v>
      </c>
    </row>
    <row r="1036" spans="1:10" x14ac:dyDescent="0.25">
      <c r="A1036" s="5" t="s">
        <v>27710</v>
      </c>
      <c r="B1036" s="6">
        <v>393.75</v>
      </c>
      <c r="C1036" s="6">
        <v>20.584240000000001</v>
      </c>
      <c r="D1036" s="6">
        <v>50</v>
      </c>
      <c r="E1036" s="6">
        <v>0</v>
      </c>
      <c r="F1036" s="6">
        <v>0</v>
      </c>
      <c r="G1036" s="6">
        <v>7</v>
      </c>
      <c r="H1036" s="6" t="s">
        <v>27711</v>
      </c>
      <c r="I1036" s="6">
        <v>526.6875</v>
      </c>
      <c r="J1036" s="2">
        <f t="shared" si="16"/>
        <v>43748.505586689811</v>
      </c>
    </row>
    <row r="1037" spans="1:10" x14ac:dyDescent="0.25">
      <c r="A1037" s="7" t="s">
        <v>27712</v>
      </c>
      <c r="B1037" s="8">
        <v>393.75</v>
      </c>
      <c r="C1037" s="8">
        <v>20.531590000000001</v>
      </c>
      <c r="D1037" s="8">
        <v>50</v>
      </c>
      <c r="E1037" s="8">
        <v>0</v>
      </c>
      <c r="F1037" s="8">
        <v>0</v>
      </c>
      <c r="G1037" s="8">
        <v>0</v>
      </c>
      <c r="H1037" s="8" t="s">
        <v>27713</v>
      </c>
      <c r="I1037" s="8">
        <v>526.6875</v>
      </c>
      <c r="J1037" s="3">
        <f t="shared" si="16"/>
        <v>43748.505658321759</v>
      </c>
    </row>
    <row r="1038" spans="1:10" x14ac:dyDescent="0.25">
      <c r="A1038" s="5" t="s">
        <v>27714</v>
      </c>
      <c r="B1038" s="6">
        <v>393.75</v>
      </c>
      <c r="C1038" s="6">
        <v>20.584240000000001</v>
      </c>
      <c r="D1038" s="6">
        <v>50</v>
      </c>
      <c r="E1038" s="6">
        <v>0</v>
      </c>
      <c r="F1038" s="6">
        <v>0</v>
      </c>
      <c r="G1038" s="6">
        <v>15</v>
      </c>
      <c r="H1038" s="6" t="s">
        <v>27715</v>
      </c>
      <c r="I1038" s="6">
        <v>526.6875</v>
      </c>
      <c r="J1038" s="2">
        <f t="shared" si="16"/>
        <v>43748.505729965276</v>
      </c>
    </row>
    <row r="1039" spans="1:10" x14ac:dyDescent="0.25">
      <c r="A1039" s="7" t="s">
        <v>27716</v>
      </c>
      <c r="B1039" s="8">
        <v>412.5</v>
      </c>
      <c r="C1039" s="8">
        <v>20.584240000000001</v>
      </c>
      <c r="D1039" s="8">
        <v>51</v>
      </c>
      <c r="E1039" s="8">
        <v>0</v>
      </c>
      <c r="F1039" s="8">
        <v>0</v>
      </c>
      <c r="G1039" s="8">
        <v>9</v>
      </c>
      <c r="H1039" s="8" t="s">
        <v>27717</v>
      </c>
      <c r="I1039" s="8">
        <v>532.6875</v>
      </c>
      <c r="J1039" s="3">
        <f t="shared" si="16"/>
        <v>43748.505801331012</v>
      </c>
    </row>
    <row r="1040" spans="1:10" x14ac:dyDescent="0.25">
      <c r="A1040" s="5" t="s">
        <v>27718</v>
      </c>
      <c r="B1040" s="6">
        <v>393.75</v>
      </c>
      <c r="C1040" s="6">
        <v>20.531590000000001</v>
      </c>
      <c r="D1040" s="6">
        <v>51</v>
      </c>
      <c r="E1040" s="6">
        <v>0</v>
      </c>
      <c r="F1040" s="6">
        <v>0</v>
      </c>
      <c r="G1040" s="6">
        <v>5</v>
      </c>
      <c r="H1040" s="6" t="s">
        <v>27719</v>
      </c>
      <c r="I1040" s="6">
        <v>526.6875</v>
      </c>
      <c r="J1040" s="2">
        <f t="shared" si="16"/>
        <v>43748.505873310183</v>
      </c>
    </row>
    <row r="1041" spans="1:10" x14ac:dyDescent="0.25">
      <c r="A1041" s="7" t="s">
        <v>27720</v>
      </c>
      <c r="B1041" s="8">
        <v>393.75</v>
      </c>
      <c r="C1041" s="8">
        <v>20.531590000000001</v>
      </c>
      <c r="D1041" s="8">
        <v>49</v>
      </c>
      <c r="E1041" s="8">
        <v>0</v>
      </c>
      <c r="F1041" s="8">
        <v>0</v>
      </c>
      <c r="G1041" s="8">
        <v>4</v>
      </c>
      <c r="H1041" s="8" t="s">
        <v>27721</v>
      </c>
      <c r="I1041" s="8">
        <v>526.6875</v>
      </c>
      <c r="J1041" s="3">
        <f t="shared" si="16"/>
        <v>43748.505944432873</v>
      </c>
    </row>
    <row r="1042" spans="1:10" x14ac:dyDescent="0.25">
      <c r="A1042" s="5" t="s">
        <v>27722</v>
      </c>
      <c r="B1042" s="6">
        <v>393.75</v>
      </c>
      <c r="C1042" s="6">
        <v>20.531590000000001</v>
      </c>
      <c r="D1042" s="6">
        <v>50</v>
      </c>
      <c r="E1042" s="6">
        <v>0</v>
      </c>
      <c r="F1042" s="6">
        <v>0</v>
      </c>
      <c r="G1042" s="6">
        <v>17</v>
      </c>
      <c r="H1042" s="6" t="s">
        <v>27723</v>
      </c>
      <c r="I1042" s="6">
        <v>526.6875</v>
      </c>
      <c r="J1042" s="2">
        <f t="shared" si="16"/>
        <v>43748.506016064814</v>
      </c>
    </row>
    <row r="1043" spans="1:10" x14ac:dyDescent="0.25">
      <c r="A1043" s="7" t="s">
        <v>27724</v>
      </c>
      <c r="B1043" s="8">
        <v>393.75</v>
      </c>
      <c r="C1043" s="8">
        <v>20.584240000000001</v>
      </c>
      <c r="D1043" s="8">
        <v>50</v>
      </c>
      <c r="E1043" s="8">
        <v>0</v>
      </c>
      <c r="F1043" s="8">
        <v>0</v>
      </c>
      <c r="G1043" s="8">
        <v>6</v>
      </c>
      <c r="H1043" s="8" t="s">
        <v>27725</v>
      </c>
      <c r="I1043" s="8">
        <v>526.6875</v>
      </c>
      <c r="J1043" s="3">
        <f t="shared" si="16"/>
        <v>43748.506087824069</v>
      </c>
    </row>
    <row r="1044" spans="1:10" x14ac:dyDescent="0.25">
      <c r="A1044" s="5" t="s">
        <v>27726</v>
      </c>
      <c r="B1044" s="6">
        <v>393.75</v>
      </c>
      <c r="C1044" s="6">
        <v>20.584240000000001</v>
      </c>
      <c r="D1044" s="6">
        <v>50</v>
      </c>
      <c r="E1044" s="6">
        <v>0</v>
      </c>
      <c r="F1044" s="6">
        <v>0</v>
      </c>
      <c r="G1044" s="6">
        <v>7</v>
      </c>
      <c r="H1044" s="6" t="s">
        <v>27727</v>
      </c>
      <c r="I1044" s="6">
        <v>526.6875</v>
      </c>
      <c r="J1044" s="2">
        <f t="shared" si="16"/>
        <v>43748.506159537035</v>
      </c>
    </row>
    <row r="1045" spans="1:10" x14ac:dyDescent="0.25">
      <c r="A1045" s="7" t="s">
        <v>27728</v>
      </c>
      <c r="B1045" s="8">
        <v>393.75</v>
      </c>
      <c r="C1045" s="8">
        <v>20.584240000000001</v>
      </c>
      <c r="D1045" s="8">
        <v>49</v>
      </c>
      <c r="E1045" s="8">
        <v>0</v>
      </c>
      <c r="F1045" s="8">
        <v>0</v>
      </c>
      <c r="G1045" s="8">
        <v>19</v>
      </c>
      <c r="H1045" s="8" t="s">
        <v>27729</v>
      </c>
      <c r="I1045" s="8">
        <v>526.6875</v>
      </c>
      <c r="J1045" s="3">
        <f t="shared" si="16"/>
        <v>43748.506230729159</v>
      </c>
    </row>
    <row r="1046" spans="1:10" x14ac:dyDescent="0.25">
      <c r="A1046" s="5" t="s">
        <v>27730</v>
      </c>
      <c r="B1046" s="6">
        <v>393.75</v>
      </c>
      <c r="C1046" s="6">
        <v>20.531590000000001</v>
      </c>
      <c r="D1046" s="6">
        <v>50</v>
      </c>
      <c r="E1046" s="6">
        <v>0</v>
      </c>
      <c r="F1046" s="6">
        <v>0</v>
      </c>
      <c r="G1046" s="6">
        <v>10</v>
      </c>
      <c r="H1046" s="6" t="s">
        <v>27731</v>
      </c>
      <c r="I1046" s="6">
        <v>526.6875</v>
      </c>
      <c r="J1046" s="2">
        <f t="shared" si="16"/>
        <v>43748.506302754628</v>
      </c>
    </row>
    <row r="1047" spans="1:10" x14ac:dyDescent="0.25">
      <c r="A1047" s="7" t="s">
        <v>27732</v>
      </c>
      <c r="B1047" s="8">
        <v>393.75</v>
      </c>
      <c r="C1047" s="8">
        <v>20.584240000000001</v>
      </c>
      <c r="D1047" s="8">
        <v>50</v>
      </c>
      <c r="E1047" s="8">
        <v>0</v>
      </c>
      <c r="F1047" s="8">
        <v>0</v>
      </c>
      <c r="G1047" s="8">
        <v>0</v>
      </c>
      <c r="H1047" s="8" t="s">
        <v>27733</v>
      </c>
      <c r="I1047" s="8">
        <v>526.6875</v>
      </c>
      <c r="J1047" s="3">
        <f t="shared" si="16"/>
        <v>43748.50637416666</v>
      </c>
    </row>
    <row r="1048" spans="1:10" x14ac:dyDescent="0.25">
      <c r="A1048" s="5" t="s">
        <v>27734</v>
      </c>
      <c r="B1048" s="6">
        <v>412.5</v>
      </c>
      <c r="C1048" s="6">
        <v>20.584240000000001</v>
      </c>
      <c r="D1048" s="6">
        <v>50</v>
      </c>
      <c r="E1048" s="6">
        <v>0</v>
      </c>
      <c r="F1048" s="6">
        <v>0</v>
      </c>
      <c r="G1048" s="6">
        <v>6</v>
      </c>
      <c r="H1048" s="6" t="s">
        <v>27735</v>
      </c>
      <c r="I1048" s="6">
        <v>532.3125</v>
      </c>
      <c r="J1048" s="2">
        <f t="shared" si="16"/>
        <v>43748.5064455787</v>
      </c>
    </row>
    <row r="1049" spans="1:10" x14ac:dyDescent="0.25">
      <c r="A1049" s="7" t="s">
        <v>27736</v>
      </c>
      <c r="B1049" s="8">
        <v>393.75</v>
      </c>
      <c r="C1049" s="8">
        <v>20.584240000000001</v>
      </c>
      <c r="D1049" s="8">
        <v>50</v>
      </c>
      <c r="E1049" s="8">
        <v>0</v>
      </c>
      <c r="F1049" s="8">
        <v>0</v>
      </c>
      <c r="G1049" s="8">
        <v>6</v>
      </c>
      <c r="H1049" s="8" t="s">
        <v>27737</v>
      </c>
      <c r="I1049" s="8">
        <v>526.6875</v>
      </c>
      <c r="J1049" s="3">
        <f t="shared" si="16"/>
        <v>43748.506529513885</v>
      </c>
    </row>
    <row r="1050" spans="1:10" x14ac:dyDescent="0.25">
      <c r="A1050" s="5" t="s">
        <v>27738</v>
      </c>
      <c r="B1050" s="6">
        <v>393.75</v>
      </c>
      <c r="C1050" s="6">
        <v>20.584240000000001</v>
      </c>
      <c r="D1050" s="6">
        <v>51</v>
      </c>
      <c r="E1050" s="6">
        <v>0</v>
      </c>
      <c r="F1050" s="6">
        <v>0</v>
      </c>
      <c r="G1050" s="6">
        <v>17</v>
      </c>
      <c r="H1050" s="6" t="s">
        <v>27739</v>
      </c>
      <c r="I1050" s="6">
        <v>526.6875</v>
      </c>
      <c r="J1050" s="2">
        <f t="shared" si="16"/>
        <v>43748.506612847217</v>
      </c>
    </row>
    <row r="1051" spans="1:10" x14ac:dyDescent="0.25">
      <c r="A1051" s="7" t="s">
        <v>27740</v>
      </c>
      <c r="B1051" s="8">
        <v>393.75</v>
      </c>
      <c r="C1051" s="8">
        <v>20.531590000000001</v>
      </c>
      <c r="D1051" s="8">
        <v>49</v>
      </c>
      <c r="E1051" s="8">
        <v>0</v>
      </c>
      <c r="F1051" s="8">
        <v>0</v>
      </c>
      <c r="G1051" s="8">
        <v>12</v>
      </c>
      <c r="H1051" s="8" t="s">
        <v>27741</v>
      </c>
      <c r="I1051" s="8">
        <v>526.6875</v>
      </c>
      <c r="J1051" s="3">
        <f t="shared" si="16"/>
        <v>43748.506696226854</v>
      </c>
    </row>
    <row r="1052" spans="1:10" x14ac:dyDescent="0.25">
      <c r="A1052" s="5" t="s">
        <v>27742</v>
      </c>
      <c r="B1052" s="6">
        <v>393.75</v>
      </c>
      <c r="C1052" s="6">
        <v>20.531590000000001</v>
      </c>
      <c r="D1052" s="6">
        <v>50</v>
      </c>
      <c r="E1052" s="6">
        <v>0</v>
      </c>
      <c r="F1052" s="6">
        <v>0</v>
      </c>
      <c r="G1052" s="6">
        <v>15</v>
      </c>
      <c r="H1052" s="6" t="s">
        <v>27743</v>
      </c>
      <c r="I1052" s="6">
        <v>526.6875</v>
      </c>
      <c r="J1052" s="2">
        <f t="shared" si="16"/>
        <v>43748.506767511572</v>
      </c>
    </row>
    <row r="1053" spans="1:10" x14ac:dyDescent="0.25">
      <c r="A1053" s="7" t="s">
        <v>27744</v>
      </c>
      <c r="B1053" s="8">
        <v>393.75</v>
      </c>
      <c r="C1053" s="8">
        <v>20.584240000000001</v>
      </c>
      <c r="D1053" s="8">
        <v>49</v>
      </c>
      <c r="E1053" s="8">
        <v>0</v>
      </c>
      <c r="F1053" s="8">
        <v>0</v>
      </c>
      <c r="G1053" s="8">
        <v>2</v>
      </c>
      <c r="H1053" s="8" t="s">
        <v>27745</v>
      </c>
      <c r="I1053" s="8">
        <v>526.875</v>
      </c>
      <c r="J1053" s="3">
        <f t="shared" si="16"/>
        <v>43748.506851099533</v>
      </c>
    </row>
    <row r="1054" spans="1:10" x14ac:dyDescent="0.25">
      <c r="A1054" s="5" t="s">
        <v>27746</v>
      </c>
      <c r="B1054" s="6">
        <v>393.75</v>
      </c>
      <c r="C1054" s="6">
        <v>20.584240000000001</v>
      </c>
      <c r="D1054" s="6">
        <v>49</v>
      </c>
      <c r="E1054" s="6">
        <v>0</v>
      </c>
      <c r="F1054" s="6">
        <v>0</v>
      </c>
      <c r="G1054" s="6">
        <v>0</v>
      </c>
      <c r="H1054" s="6" t="s">
        <v>27747</v>
      </c>
      <c r="I1054" s="6">
        <v>526.6875</v>
      </c>
      <c r="J1054" s="2">
        <f t="shared" si="16"/>
        <v>43748.506923032408</v>
      </c>
    </row>
    <row r="1055" spans="1:10" x14ac:dyDescent="0.25">
      <c r="A1055" s="7" t="s">
        <v>27748</v>
      </c>
      <c r="B1055" s="8">
        <v>393.75</v>
      </c>
      <c r="C1055" s="8">
        <v>20.531590000000001</v>
      </c>
      <c r="D1055" s="8">
        <v>49</v>
      </c>
      <c r="E1055" s="8">
        <v>0</v>
      </c>
      <c r="F1055" s="8">
        <v>0</v>
      </c>
      <c r="G1055" s="8">
        <v>1</v>
      </c>
      <c r="H1055" s="8" t="s">
        <v>27749</v>
      </c>
      <c r="I1055" s="8">
        <v>526.6875</v>
      </c>
      <c r="J1055" s="3">
        <f t="shared" si="16"/>
        <v>43748.506994270829</v>
      </c>
    </row>
    <row r="1056" spans="1:10" x14ac:dyDescent="0.25">
      <c r="A1056" s="5" t="s">
        <v>27750</v>
      </c>
      <c r="B1056" s="6">
        <v>393.75</v>
      </c>
      <c r="C1056" s="6">
        <v>20.584240000000001</v>
      </c>
      <c r="D1056" s="6">
        <v>49</v>
      </c>
      <c r="E1056" s="6">
        <v>0</v>
      </c>
      <c r="F1056" s="6">
        <v>0</v>
      </c>
      <c r="G1056" s="6">
        <v>14</v>
      </c>
      <c r="H1056" s="6" t="s">
        <v>27751</v>
      </c>
      <c r="I1056" s="6">
        <v>526.6875</v>
      </c>
      <c r="J1056" s="2">
        <f t="shared" si="16"/>
        <v>43748.507066724538</v>
      </c>
    </row>
    <row r="1057" spans="1:10" x14ac:dyDescent="0.25">
      <c r="A1057" s="7" t="s">
        <v>27752</v>
      </c>
      <c r="B1057" s="8">
        <v>393.75</v>
      </c>
      <c r="C1057" s="8">
        <v>20.531590000000001</v>
      </c>
      <c r="D1057" s="8">
        <v>49</v>
      </c>
      <c r="E1057" s="8">
        <v>0</v>
      </c>
      <c r="F1057" s="8">
        <v>0</v>
      </c>
      <c r="G1057" s="8">
        <v>1</v>
      </c>
      <c r="H1057" s="8" t="s">
        <v>27753</v>
      </c>
      <c r="I1057" s="8">
        <v>526.6875</v>
      </c>
      <c r="J1057" s="3">
        <f t="shared" si="16"/>
        <v>43748.507137777771</v>
      </c>
    </row>
    <row r="1058" spans="1:10" x14ac:dyDescent="0.25">
      <c r="A1058" s="5" t="s">
        <v>27754</v>
      </c>
      <c r="B1058" s="6">
        <v>393.75</v>
      </c>
      <c r="C1058" s="6">
        <v>20.584240000000001</v>
      </c>
      <c r="D1058" s="6">
        <v>47</v>
      </c>
      <c r="E1058" s="6">
        <v>0</v>
      </c>
      <c r="F1058" s="6">
        <v>0</v>
      </c>
      <c r="G1058" s="6">
        <v>1</v>
      </c>
      <c r="H1058" s="6" t="s">
        <v>27755</v>
      </c>
      <c r="I1058" s="6">
        <v>526.6875</v>
      </c>
      <c r="J1058" s="2">
        <f t="shared" si="16"/>
        <v>43748.507209085648</v>
      </c>
    </row>
    <row r="1059" spans="1:10" x14ac:dyDescent="0.25">
      <c r="A1059" s="7" t="s">
        <v>27756</v>
      </c>
      <c r="B1059" s="8">
        <v>393.75</v>
      </c>
      <c r="C1059" s="8">
        <v>20.584240000000001</v>
      </c>
      <c r="D1059" s="8">
        <v>47</v>
      </c>
      <c r="E1059" s="8">
        <v>0</v>
      </c>
      <c r="F1059" s="8">
        <v>0</v>
      </c>
      <c r="G1059" s="8">
        <v>3</v>
      </c>
      <c r="H1059" s="8" t="s">
        <v>27757</v>
      </c>
      <c r="I1059" s="8">
        <v>526.6875</v>
      </c>
      <c r="J1059" s="3">
        <f t="shared" si="16"/>
        <v>43748.507280416663</v>
      </c>
    </row>
    <row r="1060" spans="1:10" x14ac:dyDescent="0.25">
      <c r="A1060" s="5" t="s">
        <v>27758</v>
      </c>
      <c r="B1060" s="6">
        <v>393.75</v>
      </c>
      <c r="C1060" s="6">
        <v>20.531590000000001</v>
      </c>
      <c r="D1060" s="6">
        <v>47</v>
      </c>
      <c r="E1060" s="6">
        <v>0</v>
      </c>
      <c r="F1060" s="6">
        <v>0</v>
      </c>
      <c r="G1060" s="6">
        <v>3</v>
      </c>
      <c r="H1060" s="6" t="s">
        <v>27759</v>
      </c>
      <c r="I1060" s="6">
        <v>526.6875</v>
      </c>
      <c r="J1060" s="2">
        <f t="shared" si="16"/>
        <v>43748.507353437497</v>
      </c>
    </row>
    <row r="1061" spans="1:10" x14ac:dyDescent="0.25">
      <c r="A1061" s="7" t="s">
        <v>27760</v>
      </c>
      <c r="B1061" s="8">
        <v>393.75</v>
      </c>
      <c r="C1061" s="8">
        <v>20.531590000000001</v>
      </c>
      <c r="D1061" s="8">
        <v>47</v>
      </c>
      <c r="E1061" s="8">
        <v>0</v>
      </c>
      <c r="F1061" s="8">
        <v>0</v>
      </c>
      <c r="G1061" s="8">
        <v>7</v>
      </c>
      <c r="H1061" s="8" t="s">
        <v>27761</v>
      </c>
      <c r="I1061" s="8">
        <v>526.6875</v>
      </c>
      <c r="J1061" s="3">
        <f t="shared" si="16"/>
        <v>43748.507423831012</v>
      </c>
    </row>
    <row r="1062" spans="1:10" x14ac:dyDescent="0.25">
      <c r="A1062" s="5" t="s">
        <v>27762</v>
      </c>
      <c r="B1062" s="6">
        <v>393.75</v>
      </c>
      <c r="C1062" s="6">
        <v>20.584240000000001</v>
      </c>
      <c r="D1062" s="6">
        <v>48</v>
      </c>
      <c r="E1062" s="6">
        <v>0</v>
      </c>
      <c r="F1062" s="6">
        <v>0</v>
      </c>
      <c r="G1062" s="6">
        <v>0</v>
      </c>
      <c r="H1062" s="6" t="s">
        <v>27763</v>
      </c>
      <c r="I1062" s="6">
        <v>526.5</v>
      </c>
      <c r="J1062" s="2">
        <f t="shared" si="16"/>
        <v>43748.507507268521</v>
      </c>
    </row>
    <row r="1063" spans="1:10" x14ac:dyDescent="0.25">
      <c r="A1063" s="7" t="s">
        <v>27764</v>
      </c>
      <c r="B1063" s="8">
        <v>393.75</v>
      </c>
      <c r="C1063" s="8">
        <v>20.531590000000001</v>
      </c>
      <c r="D1063" s="8">
        <v>46</v>
      </c>
      <c r="E1063" s="8">
        <v>0</v>
      </c>
      <c r="F1063" s="8">
        <v>0</v>
      </c>
      <c r="G1063" s="8">
        <v>0</v>
      </c>
      <c r="H1063" s="8" t="s">
        <v>27765</v>
      </c>
      <c r="I1063" s="8">
        <v>526.6875</v>
      </c>
      <c r="J1063" s="3">
        <f t="shared" si="16"/>
        <v>43748.50757927083</v>
      </c>
    </row>
    <row r="1064" spans="1:10" x14ac:dyDescent="0.25">
      <c r="A1064" s="5" t="s">
        <v>27766</v>
      </c>
      <c r="B1064" s="6">
        <v>393.75</v>
      </c>
      <c r="C1064" s="6">
        <v>20.584240000000001</v>
      </c>
      <c r="D1064" s="6">
        <v>48</v>
      </c>
      <c r="E1064" s="6">
        <v>0</v>
      </c>
      <c r="F1064" s="6">
        <v>0</v>
      </c>
      <c r="G1064" s="6">
        <v>8</v>
      </c>
      <c r="H1064" s="6" t="s">
        <v>27767</v>
      </c>
      <c r="I1064" s="6">
        <v>526.6875</v>
      </c>
      <c r="J1064" s="2">
        <f t="shared" si="16"/>
        <v>43748.507650798609</v>
      </c>
    </row>
    <row r="1065" spans="1:10" x14ac:dyDescent="0.25">
      <c r="A1065" s="7" t="s">
        <v>27768</v>
      </c>
      <c r="B1065" s="8">
        <v>431.25</v>
      </c>
      <c r="C1065" s="8">
        <v>20.584240000000001</v>
      </c>
      <c r="D1065" s="8">
        <v>48</v>
      </c>
      <c r="E1065" s="8">
        <v>0</v>
      </c>
      <c r="F1065" s="8">
        <v>0</v>
      </c>
      <c r="G1065" s="8">
        <v>7</v>
      </c>
      <c r="H1065" s="8" t="s">
        <v>27769</v>
      </c>
      <c r="I1065" s="8">
        <v>538.3125</v>
      </c>
      <c r="J1065" s="3">
        <f t="shared" si="16"/>
        <v>43748.507722083326</v>
      </c>
    </row>
    <row r="1066" spans="1:10" x14ac:dyDescent="0.25">
      <c r="A1066" s="5" t="s">
        <v>27770</v>
      </c>
      <c r="B1066" s="6">
        <v>393.75</v>
      </c>
      <c r="C1066" s="6">
        <v>20.584240000000001</v>
      </c>
      <c r="D1066" s="6">
        <v>48</v>
      </c>
      <c r="E1066" s="6">
        <v>0</v>
      </c>
      <c r="F1066" s="6">
        <v>0</v>
      </c>
      <c r="G1066" s="6">
        <v>17</v>
      </c>
      <c r="H1066" s="6" t="s">
        <v>27771</v>
      </c>
      <c r="I1066" s="6">
        <v>526.6875</v>
      </c>
      <c r="J1066" s="2">
        <f t="shared" si="16"/>
        <v>43748.507793460645</v>
      </c>
    </row>
    <row r="1067" spans="1:10" x14ac:dyDescent="0.25">
      <c r="A1067" s="7" t="s">
        <v>27772</v>
      </c>
      <c r="B1067" s="8">
        <v>393.75</v>
      </c>
      <c r="C1067" s="8">
        <v>20.584240000000001</v>
      </c>
      <c r="D1067" s="8">
        <v>48</v>
      </c>
      <c r="E1067" s="8">
        <v>0</v>
      </c>
      <c r="F1067" s="8">
        <v>0</v>
      </c>
      <c r="G1067" s="8">
        <v>13</v>
      </c>
      <c r="H1067" s="8" t="s">
        <v>27773</v>
      </c>
      <c r="I1067" s="8">
        <v>526.6875</v>
      </c>
      <c r="J1067" s="3">
        <f t="shared" si="16"/>
        <v>43748.507905856481</v>
      </c>
    </row>
    <row r="1068" spans="1:10" x14ac:dyDescent="0.25">
      <c r="A1068" s="5" t="s">
        <v>27774</v>
      </c>
      <c r="B1068" s="6">
        <v>393.75</v>
      </c>
      <c r="C1068" s="6">
        <v>20.584240000000001</v>
      </c>
      <c r="D1068" s="6">
        <v>49</v>
      </c>
      <c r="E1068" s="6">
        <v>0</v>
      </c>
      <c r="F1068" s="6">
        <v>0</v>
      </c>
      <c r="G1068" s="6">
        <v>4</v>
      </c>
      <c r="H1068" s="6" t="s">
        <v>27775</v>
      </c>
      <c r="I1068" s="6">
        <v>526.5</v>
      </c>
      <c r="J1068" s="2">
        <f t="shared" si="16"/>
        <v>43748.507996365741</v>
      </c>
    </row>
    <row r="1069" spans="1:10" x14ac:dyDescent="0.25">
      <c r="A1069" s="7" t="s">
        <v>27776</v>
      </c>
      <c r="B1069" s="8">
        <v>393.75</v>
      </c>
      <c r="C1069" s="8">
        <v>20.478950000000001</v>
      </c>
      <c r="D1069" s="8">
        <v>49</v>
      </c>
      <c r="E1069" s="8">
        <v>0</v>
      </c>
      <c r="F1069" s="8">
        <v>0</v>
      </c>
      <c r="G1069" s="8">
        <v>9</v>
      </c>
      <c r="H1069" s="8" t="s">
        <v>27777</v>
      </c>
      <c r="I1069" s="8">
        <v>526.6875</v>
      </c>
      <c r="J1069" s="3">
        <f t="shared" si="16"/>
        <v>43748.508079803236</v>
      </c>
    </row>
    <row r="1070" spans="1:10" x14ac:dyDescent="0.25">
      <c r="A1070" s="5" t="s">
        <v>27778</v>
      </c>
      <c r="B1070" s="6">
        <v>393.75</v>
      </c>
      <c r="C1070" s="6">
        <v>20.584240000000001</v>
      </c>
      <c r="D1070" s="6">
        <v>49</v>
      </c>
      <c r="E1070" s="6">
        <v>0</v>
      </c>
      <c r="F1070" s="6">
        <v>0</v>
      </c>
      <c r="G1070" s="6">
        <v>6</v>
      </c>
      <c r="H1070" s="6" t="s">
        <v>27779</v>
      </c>
      <c r="I1070" s="6">
        <v>526.6875</v>
      </c>
      <c r="J1070" s="2">
        <f t="shared" si="16"/>
        <v>43748.508151469905</v>
      </c>
    </row>
    <row r="1071" spans="1:10" x14ac:dyDescent="0.25">
      <c r="A1071" s="7" t="s">
        <v>27780</v>
      </c>
      <c r="B1071" s="8">
        <v>393.75</v>
      </c>
      <c r="C1071" s="8">
        <v>20.584240000000001</v>
      </c>
      <c r="D1071" s="8">
        <v>49</v>
      </c>
      <c r="E1071" s="8">
        <v>0</v>
      </c>
      <c r="F1071" s="8">
        <v>0</v>
      </c>
      <c r="G1071" s="8">
        <v>11</v>
      </c>
      <c r="H1071" s="8" t="s">
        <v>27781</v>
      </c>
      <c r="I1071" s="8">
        <v>526.6875</v>
      </c>
      <c r="J1071" s="3">
        <f t="shared" si="16"/>
        <v>43748.508235150461</v>
      </c>
    </row>
    <row r="1072" spans="1:10" x14ac:dyDescent="0.25">
      <c r="A1072" s="5" t="s">
        <v>27782</v>
      </c>
      <c r="B1072" s="6">
        <v>412.5</v>
      </c>
      <c r="C1072" s="6">
        <v>20.584240000000001</v>
      </c>
      <c r="D1072" s="6">
        <v>49</v>
      </c>
      <c r="E1072" s="6">
        <v>0</v>
      </c>
      <c r="F1072" s="6">
        <v>0</v>
      </c>
      <c r="G1072" s="6">
        <v>6</v>
      </c>
      <c r="H1072" s="6" t="s">
        <v>27783</v>
      </c>
      <c r="I1072" s="6">
        <v>532.3125</v>
      </c>
      <c r="J1072" s="2">
        <f t="shared" si="16"/>
        <v>43748.508306550924</v>
      </c>
    </row>
    <row r="1073" spans="1:10" x14ac:dyDescent="0.25">
      <c r="A1073" s="7" t="s">
        <v>27784</v>
      </c>
      <c r="B1073" s="8">
        <v>393.75</v>
      </c>
      <c r="C1073" s="8">
        <v>20.531590000000001</v>
      </c>
      <c r="D1073" s="8">
        <v>50</v>
      </c>
      <c r="E1073" s="8">
        <v>0</v>
      </c>
      <c r="F1073" s="8">
        <v>0</v>
      </c>
      <c r="G1073" s="8">
        <v>11</v>
      </c>
      <c r="H1073" s="8" t="s">
        <v>27785</v>
      </c>
      <c r="I1073" s="8">
        <v>526.6875</v>
      </c>
      <c r="J1073" s="3">
        <f t="shared" si="16"/>
        <v>43748.508401909719</v>
      </c>
    </row>
    <row r="1074" spans="1:10" x14ac:dyDescent="0.25">
      <c r="A1074" s="5" t="s">
        <v>27786</v>
      </c>
      <c r="B1074" s="6">
        <v>393.75</v>
      </c>
      <c r="C1074" s="6">
        <v>20.584240000000001</v>
      </c>
      <c r="D1074" s="6">
        <v>52</v>
      </c>
      <c r="E1074" s="6">
        <v>0</v>
      </c>
      <c r="F1074" s="6">
        <v>0</v>
      </c>
      <c r="G1074" s="6">
        <v>0</v>
      </c>
      <c r="H1074" s="6" t="s">
        <v>27787</v>
      </c>
      <c r="I1074" s="6">
        <v>526.6875</v>
      </c>
      <c r="J1074" s="2">
        <f t="shared" si="16"/>
        <v>43748.508473564812</v>
      </c>
    </row>
    <row r="1075" spans="1:10" x14ac:dyDescent="0.25">
      <c r="A1075" s="7" t="s">
        <v>27788</v>
      </c>
      <c r="B1075" s="8">
        <v>393.75</v>
      </c>
      <c r="C1075" s="8">
        <v>20.531590000000001</v>
      </c>
      <c r="D1075" s="8">
        <v>53</v>
      </c>
      <c r="E1075" s="8">
        <v>0</v>
      </c>
      <c r="F1075" s="8">
        <v>0</v>
      </c>
      <c r="G1075" s="8">
        <v>5</v>
      </c>
      <c r="H1075" s="8" t="s">
        <v>27789</v>
      </c>
      <c r="I1075" s="8">
        <v>526.6875</v>
      </c>
      <c r="J1075" s="3">
        <f t="shared" si="16"/>
        <v>43748.508556678244</v>
      </c>
    </row>
    <row r="1076" spans="1:10" x14ac:dyDescent="0.25">
      <c r="A1076" s="5" t="s">
        <v>27790</v>
      </c>
      <c r="B1076" s="6">
        <v>393.75</v>
      </c>
      <c r="C1076" s="6">
        <v>20.584240000000001</v>
      </c>
      <c r="D1076" s="6">
        <v>53</v>
      </c>
      <c r="E1076" s="6">
        <v>0</v>
      </c>
      <c r="F1076" s="6">
        <v>0</v>
      </c>
      <c r="G1076" s="6">
        <v>0</v>
      </c>
      <c r="H1076" s="6" t="s">
        <v>27791</v>
      </c>
      <c r="I1076" s="6">
        <v>526.6875</v>
      </c>
      <c r="J1076" s="2">
        <f t="shared" si="16"/>
        <v>43748.508628541669</v>
      </c>
    </row>
    <row r="1077" spans="1:10" x14ac:dyDescent="0.25">
      <c r="A1077" s="7" t="s">
        <v>27792</v>
      </c>
      <c r="B1077" s="8">
        <v>393.75</v>
      </c>
      <c r="C1077" s="8">
        <v>20.584240000000001</v>
      </c>
      <c r="D1077" s="8">
        <v>51</v>
      </c>
      <c r="E1077" s="8">
        <v>0</v>
      </c>
      <c r="F1077" s="8">
        <v>0</v>
      </c>
      <c r="G1077" s="8">
        <v>4</v>
      </c>
      <c r="H1077" s="8" t="s">
        <v>27793</v>
      </c>
      <c r="I1077" s="8">
        <v>526.6875</v>
      </c>
      <c r="J1077" s="3">
        <f t="shared" si="16"/>
        <v>43748.508712118048</v>
      </c>
    </row>
    <row r="1078" spans="1:10" x14ac:dyDescent="0.25">
      <c r="A1078" s="5" t="s">
        <v>27794</v>
      </c>
      <c r="B1078" s="6">
        <v>393.75</v>
      </c>
      <c r="C1078" s="6">
        <v>20.584240000000001</v>
      </c>
      <c r="D1078" s="6">
        <v>51</v>
      </c>
      <c r="E1078" s="6">
        <v>0</v>
      </c>
      <c r="F1078" s="6">
        <v>0</v>
      </c>
      <c r="G1078" s="6">
        <v>6</v>
      </c>
      <c r="H1078" s="6" t="s">
        <v>27795</v>
      </c>
      <c r="I1078" s="6">
        <v>526.6875</v>
      </c>
      <c r="J1078" s="2">
        <f t="shared" si="16"/>
        <v>43748.508795324073</v>
      </c>
    </row>
    <row r="1079" spans="1:10" x14ac:dyDescent="0.25">
      <c r="A1079" s="7" t="s">
        <v>27796</v>
      </c>
      <c r="B1079" s="8">
        <v>393.75</v>
      </c>
      <c r="C1079" s="8">
        <v>20.584240000000001</v>
      </c>
      <c r="D1079" s="8">
        <v>50</v>
      </c>
      <c r="E1079" s="8">
        <v>0</v>
      </c>
      <c r="F1079" s="8">
        <v>0</v>
      </c>
      <c r="G1079" s="8">
        <v>4</v>
      </c>
      <c r="H1079" s="8" t="s">
        <v>27797</v>
      </c>
      <c r="I1079" s="8">
        <v>526.6875</v>
      </c>
      <c r="J1079" s="3">
        <f t="shared" si="16"/>
        <v>43748.50887888889</v>
      </c>
    </row>
    <row r="1080" spans="1:10" x14ac:dyDescent="0.25">
      <c r="A1080" s="5" t="s">
        <v>27798</v>
      </c>
      <c r="B1080" s="6">
        <v>393.75</v>
      </c>
      <c r="C1080" s="6">
        <v>20.584240000000001</v>
      </c>
      <c r="D1080" s="6">
        <v>50</v>
      </c>
      <c r="E1080" s="6">
        <v>0</v>
      </c>
      <c r="F1080" s="6">
        <v>0</v>
      </c>
      <c r="G1080" s="6">
        <v>1</v>
      </c>
      <c r="H1080" s="6" t="s">
        <v>27799</v>
      </c>
      <c r="I1080" s="6">
        <v>526.6875</v>
      </c>
      <c r="J1080" s="2">
        <f t="shared" si="16"/>
        <v>43748.508950532407</v>
      </c>
    </row>
    <row r="1081" spans="1:10" x14ac:dyDescent="0.25">
      <c r="A1081" s="7" t="s">
        <v>27800</v>
      </c>
      <c r="B1081" s="8">
        <v>393.75</v>
      </c>
      <c r="C1081" s="8">
        <v>20.584240000000001</v>
      </c>
      <c r="D1081" s="8">
        <v>49</v>
      </c>
      <c r="E1081" s="8">
        <v>0</v>
      </c>
      <c r="F1081" s="8">
        <v>0</v>
      </c>
      <c r="G1081" s="8">
        <v>4</v>
      </c>
      <c r="H1081" s="8" t="s">
        <v>27801</v>
      </c>
      <c r="I1081" s="8">
        <v>526.6875</v>
      </c>
      <c r="J1081" s="3">
        <f t="shared" si="16"/>
        <v>43748.509034340277</v>
      </c>
    </row>
    <row r="1082" spans="1:10" x14ac:dyDescent="0.25">
      <c r="A1082" s="5" t="s">
        <v>27802</v>
      </c>
      <c r="B1082" s="6">
        <v>393.75</v>
      </c>
      <c r="C1082" s="6">
        <v>20.531590000000001</v>
      </c>
      <c r="D1082" s="6">
        <v>49</v>
      </c>
      <c r="E1082" s="6">
        <v>0</v>
      </c>
      <c r="F1082" s="6">
        <v>0</v>
      </c>
      <c r="G1082" s="6">
        <v>0</v>
      </c>
      <c r="H1082" s="6" t="s">
        <v>27803</v>
      </c>
      <c r="I1082" s="6">
        <v>526.6875</v>
      </c>
      <c r="J1082" s="2">
        <f t="shared" si="16"/>
        <v>43748.509117650457</v>
      </c>
    </row>
    <row r="1083" spans="1:10" x14ac:dyDescent="0.25">
      <c r="A1083" s="7" t="s">
        <v>27804</v>
      </c>
      <c r="B1083" s="8">
        <v>393.75</v>
      </c>
      <c r="C1083" s="8">
        <v>20.584240000000001</v>
      </c>
      <c r="D1083" s="8">
        <v>49</v>
      </c>
      <c r="E1083" s="8">
        <v>0</v>
      </c>
      <c r="F1083" s="8">
        <v>0</v>
      </c>
      <c r="G1083" s="8">
        <v>3</v>
      </c>
      <c r="H1083" s="8" t="s">
        <v>27805</v>
      </c>
      <c r="I1083" s="8">
        <v>526.6875</v>
      </c>
      <c r="J1083" s="3">
        <f t="shared" si="16"/>
        <v>43748.509201018511</v>
      </c>
    </row>
    <row r="1084" spans="1:10" x14ac:dyDescent="0.25">
      <c r="A1084" s="5" t="s">
        <v>27806</v>
      </c>
      <c r="B1084" s="6">
        <v>393.75</v>
      </c>
      <c r="C1084" s="6">
        <v>20.584240000000001</v>
      </c>
      <c r="D1084" s="6">
        <v>49</v>
      </c>
      <c r="E1084" s="6">
        <v>0</v>
      </c>
      <c r="F1084" s="6">
        <v>0</v>
      </c>
      <c r="G1084" s="6">
        <v>11</v>
      </c>
      <c r="H1084" s="6" t="s">
        <v>27807</v>
      </c>
      <c r="I1084" s="6">
        <v>526.6875</v>
      </c>
      <c r="J1084" s="2">
        <f t="shared" si="16"/>
        <v>43748.509272743053</v>
      </c>
    </row>
    <row r="1085" spans="1:10" x14ac:dyDescent="0.25">
      <c r="A1085" s="7" t="s">
        <v>27808</v>
      </c>
      <c r="B1085" s="8">
        <v>393.75</v>
      </c>
      <c r="C1085" s="8">
        <v>20.531590000000001</v>
      </c>
      <c r="D1085" s="8">
        <v>47</v>
      </c>
      <c r="E1085" s="8">
        <v>0</v>
      </c>
      <c r="F1085" s="8">
        <v>0</v>
      </c>
      <c r="G1085" s="8">
        <v>4</v>
      </c>
      <c r="H1085" s="8" t="s">
        <v>27809</v>
      </c>
      <c r="I1085" s="8">
        <v>526.6875</v>
      </c>
      <c r="J1085" s="3">
        <f t="shared" si="16"/>
        <v>43748.509356331015</v>
      </c>
    </row>
    <row r="1086" spans="1:10" x14ac:dyDescent="0.25">
      <c r="A1086" s="5" t="s">
        <v>27810</v>
      </c>
      <c r="B1086" s="6">
        <v>393.75</v>
      </c>
      <c r="C1086" s="6">
        <v>20.584240000000001</v>
      </c>
      <c r="D1086" s="6">
        <v>46</v>
      </c>
      <c r="E1086" s="6">
        <v>0</v>
      </c>
      <c r="F1086" s="6">
        <v>0</v>
      </c>
      <c r="G1086" s="6">
        <v>11</v>
      </c>
      <c r="H1086" s="6" t="s">
        <v>27811</v>
      </c>
      <c r="I1086" s="6">
        <v>526.6875</v>
      </c>
      <c r="J1086" s="2">
        <f t="shared" si="16"/>
        <v>43748.509439768517</v>
      </c>
    </row>
    <row r="1087" spans="1:10" x14ac:dyDescent="0.25">
      <c r="A1087" s="7" t="s">
        <v>27812</v>
      </c>
      <c r="B1087" s="8">
        <v>393.75</v>
      </c>
      <c r="C1087" s="8">
        <v>20.584240000000001</v>
      </c>
      <c r="D1087" s="8">
        <v>46</v>
      </c>
      <c r="E1087" s="8">
        <v>0</v>
      </c>
      <c r="F1087" s="8">
        <v>0</v>
      </c>
      <c r="G1087" s="8">
        <v>9</v>
      </c>
      <c r="H1087" s="8" t="s">
        <v>27813</v>
      </c>
      <c r="I1087" s="8">
        <v>526.6875</v>
      </c>
      <c r="J1087" s="3">
        <f t="shared" si="16"/>
        <v>43748.509523217588</v>
      </c>
    </row>
    <row r="1088" spans="1:10" x14ac:dyDescent="0.25">
      <c r="A1088" s="5" t="s">
        <v>27814</v>
      </c>
      <c r="B1088" s="6">
        <v>393.75</v>
      </c>
      <c r="C1088" s="6">
        <v>20.584240000000001</v>
      </c>
      <c r="D1088" s="6">
        <v>49</v>
      </c>
      <c r="E1088" s="6">
        <v>0</v>
      </c>
      <c r="F1088" s="6">
        <v>0</v>
      </c>
      <c r="G1088" s="6">
        <v>0</v>
      </c>
      <c r="H1088" s="6" t="s">
        <v>27815</v>
      </c>
      <c r="I1088" s="6">
        <v>526.6875</v>
      </c>
      <c r="J1088" s="2">
        <f t="shared" si="16"/>
        <v>43748.509606782405</v>
      </c>
    </row>
    <row r="1089" spans="1:10" x14ac:dyDescent="0.25">
      <c r="A1089" s="7" t="s">
        <v>27816</v>
      </c>
      <c r="B1089" s="8">
        <v>393.75</v>
      </c>
      <c r="C1089" s="8">
        <v>20.584240000000001</v>
      </c>
      <c r="D1089" s="8">
        <v>48</v>
      </c>
      <c r="E1089" s="8">
        <v>0</v>
      </c>
      <c r="F1089" s="8">
        <v>0</v>
      </c>
      <c r="G1089" s="8">
        <v>5</v>
      </c>
      <c r="H1089" s="8" t="s">
        <v>27817</v>
      </c>
      <c r="I1089" s="8">
        <v>526.6875</v>
      </c>
      <c r="J1089" s="3">
        <f t="shared" si="16"/>
        <v>43748.509714317122</v>
      </c>
    </row>
    <row r="1090" spans="1:10" x14ac:dyDescent="0.25">
      <c r="A1090" s="5" t="s">
        <v>27818</v>
      </c>
      <c r="B1090" s="6">
        <v>393.75</v>
      </c>
      <c r="C1090" s="6">
        <v>20.531590000000001</v>
      </c>
      <c r="D1090" s="6">
        <v>46</v>
      </c>
      <c r="E1090" s="6">
        <v>0</v>
      </c>
      <c r="F1090" s="6">
        <v>0</v>
      </c>
      <c r="G1090" s="6">
        <v>11</v>
      </c>
      <c r="H1090" s="6" t="s">
        <v>27819</v>
      </c>
      <c r="I1090" s="6">
        <v>526.6875</v>
      </c>
      <c r="J1090" s="2">
        <f t="shared" ref="J1090:J1153" si="17">(H1090/86400000)+25569+(7/24)</f>
        <v>43748.509797303239</v>
      </c>
    </row>
    <row r="1091" spans="1:10" x14ac:dyDescent="0.25">
      <c r="A1091" s="7" t="s">
        <v>27820</v>
      </c>
      <c r="B1091" s="8">
        <v>393.75</v>
      </c>
      <c r="C1091" s="8">
        <v>20.584240000000001</v>
      </c>
      <c r="D1091" s="8">
        <v>46</v>
      </c>
      <c r="E1091" s="8">
        <v>0</v>
      </c>
      <c r="F1091" s="8">
        <v>0</v>
      </c>
      <c r="G1091" s="8">
        <v>6</v>
      </c>
      <c r="H1091" s="8" t="s">
        <v>27821</v>
      </c>
      <c r="I1091" s="8">
        <v>526.6875</v>
      </c>
      <c r="J1091" s="3">
        <f t="shared" si="17"/>
        <v>43748.509869050926</v>
      </c>
    </row>
    <row r="1092" spans="1:10" x14ac:dyDescent="0.25">
      <c r="A1092" s="5" t="s">
        <v>27822</v>
      </c>
      <c r="B1092" s="6">
        <v>393.75</v>
      </c>
      <c r="C1092" s="6">
        <v>20.584240000000001</v>
      </c>
      <c r="D1092" s="6">
        <v>47</v>
      </c>
      <c r="E1092" s="6">
        <v>0</v>
      </c>
      <c r="F1092" s="6">
        <v>0</v>
      </c>
      <c r="G1092" s="6">
        <v>6</v>
      </c>
      <c r="H1092" s="6" t="s">
        <v>27823</v>
      </c>
      <c r="I1092" s="6">
        <v>526.6875</v>
      </c>
      <c r="J1092" s="2">
        <f t="shared" si="17"/>
        <v>43748.509952835644</v>
      </c>
    </row>
    <row r="1093" spans="1:10" x14ac:dyDescent="0.25">
      <c r="A1093" s="7" t="s">
        <v>27824</v>
      </c>
      <c r="B1093" s="8">
        <v>393.75</v>
      </c>
      <c r="C1093" s="8">
        <v>20.531590000000001</v>
      </c>
      <c r="D1093" s="8">
        <v>46</v>
      </c>
      <c r="E1093" s="8">
        <v>0</v>
      </c>
      <c r="F1093" s="8">
        <v>0</v>
      </c>
      <c r="G1093" s="8">
        <v>0</v>
      </c>
      <c r="H1093" s="8" t="s">
        <v>27825</v>
      </c>
      <c r="I1093" s="8">
        <v>526.6875</v>
      </c>
      <c r="J1093" s="3">
        <f t="shared" si="17"/>
        <v>43748.510036307867</v>
      </c>
    </row>
    <row r="1094" spans="1:10" x14ac:dyDescent="0.25">
      <c r="A1094" s="5" t="s">
        <v>27826</v>
      </c>
      <c r="B1094" s="6">
        <v>412.5</v>
      </c>
      <c r="C1094" s="6">
        <v>20.584240000000001</v>
      </c>
      <c r="D1094" s="6">
        <v>46</v>
      </c>
      <c r="E1094" s="6">
        <v>0</v>
      </c>
      <c r="F1094" s="6">
        <v>0</v>
      </c>
      <c r="G1094" s="6">
        <v>3</v>
      </c>
      <c r="H1094" s="6" t="s">
        <v>27827</v>
      </c>
      <c r="I1094" s="6">
        <v>532.3125</v>
      </c>
      <c r="J1094" s="2">
        <f t="shared" si="17"/>
        <v>43748.510119525461</v>
      </c>
    </row>
    <row r="1095" spans="1:10" x14ac:dyDescent="0.25">
      <c r="A1095" s="7" t="s">
        <v>27828</v>
      </c>
      <c r="B1095" s="8">
        <v>393.75</v>
      </c>
      <c r="C1095" s="8">
        <v>20.584240000000001</v>
      </c>
      <c r="D1095" s="8">
        <v>46</v>
      </c>
      <c r="E1095" s="8">
        <v>0</v>
      </c>
      <c r="F1095" s="8">
        <v>0</v>
      </c>
      <c r="G1095" s="8">
        <v>0</v>
      </c>
      <c r="H1095" s="8" t="s">
        <v>27829</v>
      </c>
      <c r="I1095" s="8">
        <v>526.6875</v>
      </c>
      <c r="J1095" s="3">
        <f t="shared" si="17"/>
        <v>43748.510191296293</v>
      </c>
    </row>
    <row r="1096" spans="1:10" x14ac:dyDescent="0.25">
      <c r="A1096" s="5" t="s">
        <v>27830</v>
      </c>
      <c r="B1096" s="6">
        <v>393.75</v>
      </c>
      <c r="C1096" s="6">
        <v>20.584240000000001</v>
      </c>
      <c r="D1096" s="6">
        <v>46</v>
      </c>
      <c r="E1096" s="6">
        <v>0</v>
      </c>
      <c r="F1096" s="6">
        <v>0</v>
      </c>
      <c r="G1096" s="6">
        <v>7</v>
      </c>
      <c r="H1096" s="6" t="s">
        <v>27831</v>
      </c>
      <c r="I1096" s="6">
        <v>526.6875</v>
      </c>
      <c r="J1096" s="2">
        <f t="shared" si="17"/>
        <v>43748.510274849534</v>
      </c>
    </row>
    <row r="1097" spans="1:10" x14ac:dyDescent="0.25">
      <c r="A1097" s="7" t="s">
        <v>27832</v>
      </c>
      <c r="B1097" s="8">
        <v>393.75</v>
      </c>
      <c r="C1097" s="8">
        <v>20.584240000000001</v>
      </c>
      <c r="D1097" s="8">
        <v>46</v>
      </c>
      <c r="E1097" s="8">
        <v>0</v>
      </c>
      <c r="F1097" s="8">
        <v>0</v>
      </c>
      <c r="G1097" s="8">
        <v>9</v>
      </c>
      <c r="H1097" s="8" t="s">
        <v>27833</v>
      </c>
      <c r="I1097" s="8">
        <v>526.6875</v>
      </c>
      <c r="J1097" s="3">
        <f t="shared" si="17"/>
        <v>43748.510358298612</v>
      </c>
    </row>
    <row r="1098" spans="1:10" x14ac:dyDescent="0.25">
      <c r="A1098" s="5" t="s">
        <v>27834</v>
      </c>
      <c r="B1098" s="6">
        <v>393.75</v>
      </c>
      <c r="C1098" s="6">
        <v>20.584240000000001</v>
      </c>
      <c r="D1098" s="6">
        <v>43</v>
      </c>
      <c r="E1098" s="6">
        <v>0</v>
      </c>
      <c r="F1098" s="6">
        <v>0</v>
      </c>
      <c r="G1098" s="6">
        <v>6</v>
      </c>
      <c r="H1098" s="6" t="s">
        <v>27835</v>
      </c>
      <c r="I1098" s="6">
        <v>526.6875</v>
      </c>
      <c r="J1098" s="2">
        <f t="shared" si="17"/>
        <v>43748.510441747683</v>
      </c>
    </row>
    <row r="1099" spans="1:10" x14ac:dyDescent="0.25">
      <c r="A1099" s="7" t="s">
        <v>27836</v>
      </c>
      <c r="B1099" s="8">
        <v>393.75</v>
      </c>
      <c r="C1099" s="8">
        <v>20.584240000000001</v>
      </c>
      <c r="D1099" s="8">
        <v>43</v>
      </c>
      <c r="E1099" s="8">
        <v>0</v>
      </c>
      <c r="F1099" s="8">
        <v>0</v>
      </c>
      <c r="G1099" s="8">
        <v>8</v>
      </c>
      <c r="H1099" s="8" t="s">
        <v>27837</v>
      </c>
      <c r="I1099" s="8">
        <v>526.6875</v>
      </c>
      <c r="J1099" s="3">
        <f t="shared" si="17"/>
        <v>43748.5105253125</v>
      </c>
    </row>
    <row r="1100" spans="1:10" x14ac:dyDescent="0.25">
      <c r="A1100" s="5" t="s">
        <v>27838</v>
      </c>
      <c r="B1100" s="6">
        <v>393.75</v>
      </c>
      <c r="C1100" s="6">
        <v>20.584240000000001</v>
      </c>
      <c r="D1100" s="6">
        <v>44</v>
      </c>
      <c r="E1100" s="6">
        <v>0</v>
      </c>
      <c r="F1100" s="6">
        <v>0</v>
      </c>
      <c r="G1100" s="6">
        <v>5</v>
      </c>
      <c r="H1100" s="6" t="s">
        <v>27839</v>
      </c>
      <c r="I1100" s="6">
        <v>526.6875</v>
      </c>
      <c r="J1100" s="2">
        <f t="shared" si="17"/>
        <v>43748.510608518518</v>
      </c>
    </row>
    <row r="1101" spans="1:10" x14ac:dyDescent="0.25">
      <c r="A1101" s="7" t="s">
        <v>27840</v>
      </c>
      <c r="B1101" s="8">
        <v>393.75</v>
      </c>
      <c r="C1101" s="8">
        <v>20.531590000000001</v>
      </c>
      <c r="D1101" s="8">
        <v>44</v>
      </c>
      <c r="E1101" s="8">
        <v>0</v>
      </c>
      <c r="F1101" s="8">
        <v>0</v>
      </c>
      <c r="G1101" s="8">
        <v>3</v>
      </c>
      <c r="H1101" s="8" t="s">
        <v>27841</v>
      </c>
      <c r="I1101" s="8">
        <v>526.6875</v>
      </c>
      <c r="J1101" s="3">
        <f t="shared" si="17"/>
        <v>43748.510692638891</v>
      </c>
    </row>
    <row r="1102" spans="1:10" x14ac:dyDescent="0.25">
      <c r="A1102" s="5" t="s">
        <v>27842</v>
      </c>
      <c r="B1102" s="6">
        <v>393.75</v>
      </c>
      <c r="C1102" s="6">
        <v>20.584240000000001</v>
      </c>
      <c r="D1102" s="6">
        <v>44</v>
      </c>
      <c r="E1102" s="6">
        <v>0</v>
      </c>
      <c r="F1102" s="6">
        <v>0</v>
      </c>
      <c r="G1102" s="6">
        <v>5</v>
      </c>
      <c r="H1102" s="6" t="s">
        <v>27843</v>
      </c>
      <c r="I1102" s="6">
        <v>526.6875</v>
      </c>
      <c r="J1102" s="2">
        <f t="shared" si="17"/>
        <v>43748.510775879629</v>
      </c>
    </row>
    <row r="1103" spans="1:10" x14ac:dyDescent="0.25">
      <c r="A1103" s="7" t="s">
        <v>27844</v>
      </c>
      <c r="B1103" s="8">
        <v>393.75</v>
      </c>
      <c r="C1103" s="8">
        <v>20.584240000000001</v>
      </c>
      <c r="D1103" s="8">
        <v>45</v>
      </c>
      <c r="E1103" s="8">
        <v>0</v>
      </c>
      <c r="F1103" s="8">
        <v>0</v>
      </c>
      <c r="G1103" s="8">
        <v>7</v>
      </c>
      <c r="H1103" s="8" t="s">
        <v>27845</v>
      </c>
      <c r="I1103" s="8">
        <v>526.6875</v>
      </c>
      <c r="J1103" s="3">
        <f t="shared" si="17"/>
        <v>43748.510847488425</v>
      </c>
    </row>
    <row r="1104" spans="1:10" x14ac:dyDescent="0.25">
      <c r="A1104" s="5" t="s">
        <v>27846</v>
      </c>
      <c r="B1104" s="6">
        <v>393.75</v>
      </c>
      <c r="C1104" s="6">
        <v>20.584240000000001</v>
      </c>
      <c r="D1104" s="6">
        <v>46</v>
      </c>
      <c r="E1104" s="6">
        <v>0</v>
      </c>
      <c r="F1104" s="6">
        <v>0</v>
      </c>
      <c r="G1104" s="6">
        <v>3</v>
      </c>
      <c r="H1104" s="6" t="s">
        <v>27847</v>
      </c>
      <c r="I1104" s="6">
        <v>526.6875</v>
      </c>
      <c r="J1104" s="2">
        <f t="shared" si="17"/>
        <v>43748.510930601849</v>
      </c>
    </row>
    <row r="1105" spans="1:10" x14ac:dyDescent="0.25">
      <c r="A1105" s="7" t="s">
        <v>27848</v>
      </c>
      <c r="B1105" s="8">
        <v>393.75</v>
      </c>
      <c r="C1105" s="8">
        <v>20.584240000000001</v>
      </c>
      <c r="D1105" s="8">
        <v>46</v>
      </c>
      <c r="E1105" s="8">
        <v>0</v>
      </c>
      <c r="F1105" s="8">
        <v>0</v>
      </c>
      <c r="G1105" s="8">
        <v>7</v>
      </c>
      <c r="H1105" s="8" t="s">
        <v>27849</v>
      </c>
      <c r="I1105" s="8">
        <v>526.6875</v>
      </c>
      <c r="J1105" s="3">
        <f t="shared" si="17"/>
        <v>43748.511002245366</v>
      </c>
    </row>
    <row r="1106" spans="1:10" x14ac:dyDescent="0.25">
      <c r="A1106" s="5" t="s">
        <v>27850</v>
      </c>
      <c r="B1106" s="6">
        <v>393.75</v>
      </c>
      <c r="C1106" s="6">
        <v>20.584240000000001</v>
      </c>
      <c r="D1106" s="6">
        <v>44</v>
      </c>
      <c r="E1106" s="6">
        <v>0</v>
      </c>
      <c r="F1106" s="6">
        <v>0</v>
      </c>
      <c r="G1106" s="6">
        <v>0</v>
      </c>
      <c r="H1106" s="6" t="s">
        <v>27851</v>
      </c>
      <c r="I1106" s="6">
        <v>526.6875</v>
      </c>
      <c r="J1106" s="2">
        <f t="shared" si="17"/>
        <v>43748.511086157407</v>
      </c>
    </row>
    <row r="1107" spans="1:10" x14ac:dyDescent="0.25">
      <c r="A1107" s="7" t="s">
        <v>27852</v>
      </c>
      <c r="B1107" s="8">
        <v>412.5</v>
      </c>
      <c r="C1107" s="8">
        <v>20.584240000000001</v>
      </c>
      <c r="D1107" s="8">
        <v>44</v>
      </c>
      <c r="E1107" s="8">
        <v>0</v>
      </c>
      <c r="F1107" s="8">
        <v>0</v>
      </c>
      <c r="G1107" s="8">
        <v>5</v>
      </c>
      <c r="H1107" s="8" t="s">
        <v>27853</v>
      </c>
      <c r="I1107" s="8">
        <v>532.3125</v>
      </c>
      <c r="J1107" s="3">
        <f t="shared" si="17"/>
        <v>43748.511169490739</v>
      </c>
    </row>
    <row r="1108" spans="1:10" x14ac:dyDescent="0.25">
      <c r="A1108" s="5" t="s">
        <v>27854</v>
      </c>
      <c r="B1108" s="6">
        <v>393.75</v>
      </c>
      <c r="C1108" s="6">
        <v>20.584240000000001</v>
      </c>
      <c r="D1108" s="6">
        <v>44</v>
      </c>
      <c r="E1108" s="6">
        <v>0</v>
      </c>
      <c r="F1108" s="6">
        <v>0</v>
      </c>
      <c r="G1108" s="6">
        <v>0</v>
      </c>
      <c r="H1108" s="6" t="s">
        <v>27855</v>
      </c>
      <c r="I1108" s="6">
        <v>526.6875</v>
      </c>
      <c r="J1108" s="2">
        <f t="shared" si="17"/>
        <v>43748.511252824072</v>
      </c>
    </row>
    <row r="1109" spans="1:10" x14ac:dyDescent="0.25">
      <c r="A1109" s="7" t="s">
        <v>27856</v>
      </c>
      <c r="B1109" s="8">
        <v>393.75</v>
      </c>
      <c r="C1109" s="8">
        <v>20.584240000000001</v>
      </c>
      <c r="D1109" s="8">
        <v>44</v>
      </c>
      <c r="E1109" s="8">
        <v>0</v>
      </c>
      <c r="F1109" s="8">
        <v>0</v>
      </c>
      <c r="G1109" s="8">
        <v>2</v>
      </c>
      <c r="H1109" s="8" t="s">
        <v>27857</v>
      </c>
      <c r="I1109" s="8">
        <v>526.6875</v>
      </c>
      <c r="J1109" s="3">
        <f t="shared" si="17"/>
        <v>43748.511336550924</v>
      </c>
    </row>
    <row r="1110" spans="1:10" x14ac:dyDescent="0.25">
      <c r="A1110" s="5" t="s">
        <v>27858</v>
      </c>
      <c r="B1110" s="6">
        <v>393.75</v>
      </c>
      <c r="C1110" s="6">
        <v>20.584240000000001</v>
      </c>
      <c r="D1110" s="6">
        <v>44</v>
      </c>
      <c r="E1110" s="6">
        <v>0</v>
      </c>
      <c r="F1110" s="6">
        <v>0</v>
      </c>
      <c r="G1110" s="6">
        <v>0</v>
      </c>
      <c r="H1110" s="6" t="s">
        <v>27859</v>
      </c>
      <c r="I1110" s="6">
        <v>526.6875</v>
      </c>
      <c r="J1110" s="2">
        <f t="shared" si="17"/>
        <v>43748.511419594906</v>
      </c>
    </row>
    <row r="1111" spans="1:10" x14ac:dyDescent="0.25">
      <c r="A1111" s="7" t="s">
        <v>27860</v>
      </c>
      <c r="B1111" s="8">
        <v>393.75</v>
      </c>
      <c r="C1111" s="8">
        <v>20.584240000000001</v>
      </c>
      <c r="D1111" s="8">
        <v>44</v>
      </c>
      <c r="E1111" s="8">
        <v>0</v>
      </c>
      <c r="F1111" s="8">
        <v>0</v>
      </c>
      <c r="G1111" s="8">
        <v>0</v>
      </c>
      <c r="H1111" s="8" t="s">
        <v>27861</v>
      </c>
      <c r="I1111" s="8">
        <v>526.6875</v>
      </c>
      <c r="J1111" s="3">
        <f t="shared" si="17"/>
        <v>43748.511491608799</v>
      </c>
    </row>
    <row r="1112" spans="1:10" x14ac:dyDescent="0.25">
      <c r="A1112" s="5" t="s">
        <v>27862</v>
      </c>
      <c r="B1112" s="6">
        <v>412.5</v>
      </c>
      <c r="C1112" s="6">
        <v>20.584240000000001</v>
      </c>
      <c r="D1112" s="6">
        <v>45</v>
      </c>
      <c r="E1112" s="6">
        <v>0</v>
      </c>
      <c r="F1112" s="6">
        <v>0</v>
      </c>
      <c r="G1112" s="6">
        <v>4</v>
      </c>
      <c r="H1112" s="6" t="s">
        <v>27863</v>
      </c>
      <c r="I1112" s="6">
        <v>532.3125</v>
      </c>
      <c r="J1112" s="2">
        <f t="shared" si="17"/>
        <v>43748.511575034725</v>
      </c>
    </row>
    <row r="1113" spans="1:10" x14ac:dyDescent="0.25">
      <c r="A1113" s="7" t="s">
        <v>27864</v>
      </c>
      <c r="B1113" s="8">
        <v>393.75</v>
      </c>
      <c r="C1113" s="8">
        <v>20.584240000000001</v>
      </c>
      <c r="D1113" s="8">
        <v>44</v>
      </c>
      <c r="E1113" s="8">
        <v>0</v>
      </c>
      <c r="F1113" s="8">
        <v>0</v>
      </c>
      <c r="G1113" s="8">
        <v>7</v>
      </c>
      <c r="H1113" s="8" t="s">
        <v>27865</v>
      </c>
      <c r="I1113" s="8">
        <v>526.6875</v>
      </c>
      <c r="J1113" s="3">
        <f t="shared" si="17"/>
        <v>43748.511658599535</v>
      </c>
    </row>
    <row r="1114" spans="1:10" x14ac:dyDescent="0.25">
      <c r="A1114" s="5" t="s">
        <v>27866</v>
      </c>
      <c r="B1114" s="6">
        <v>393.75</v>
      </c>
      <c r="C1114" s="6">
        <v>20.584240000000001</v>
      </c>
      <c r="D1114" s="6">
        <v>44</v>
      </c>
      <c r="E1114" s="6">
        <v>0</v>
      </c>
      <c r="F1114" s="6">
        <v>0</v>
      </c>
      <c r="G1114" s="6">
        <v>0</v>
      </c>
      <c r="H1114" s="6" t="s">
        <v>27867</v>
      </c>
      <c r="I1114" s="6">
        <v>526.6875</v>
      </c>
      <c r="J1114" s="2">
        <f t="shared" si="17"/>
        <v>43748.511741724535</v>
      </c>
    </row>
    <row r="1115" spans="1:10" x14ac:dyDescent="0.25">
      <c r="A1115" s="7" t="s">
        <v>27868</v>
      </c>
      <c r="B1115" s="8">
        <v>393.75</v>
      </c>
      <c r="C1115" s="8">
        <v>20.584240000000001</v>
      </c>
      <c r="D1115" s="8">
        <v>44</v>
      </c>
      <c r="E1115" s="8">
        <v>0</v>
      </c>
      <c r="F1115" s="8">
        <v>0</v>
      </c>
      <c r="G1115" s="8">
        <v>0</v>
      </c>
      <c r="H1115" s="8" t="s">
        <v>27869</v>
      </c>
      <c r="I1115" s="8">
        <v>526.6875</v>
      </c>
      <c r="J1115" s="3">
        <f t="shared" si="17"/>
        <v>43748.511813472222</v>
      </c>
    </row>
    <row r="1116" spans="1:10" x14ac:dyDescent="0.25">
      <c r="A1116" s="5" t="s">
        <v>27870</v>
      </c>
      <c r="B1116" s="6">
        <v>393.75</v>
      </c>
      <c r="C1116" s="6">
        <v>20.584240000000001</v>
      </c>
      <c r="D1116" s="6">
        <v>47</v>
      </c>
      <c r="E1116" s="6">
        <v>0</v>
      </c>
      <c r="F1116" s="6">
        <v>0</v>
      </c>
      <c r="G1116" s="6">
        <v>4</v>
      </c>
      <c r="H1116" s="6" t="s">
        <v>27871</v>
      </c>
      <c r="I1116" s="6">
        <v>526.6875</v>
      </c>
      <c r="J1116" s="2">
        <f t="shared" si="17"/>
        <v>43748.511897280092</v>
      </c>
    </row>
    <row r="1117" spans="1:10" x14ac:dyDescent="0.25">
      <c r="A1117" s="7" t="s">
        <v>27872</v>
      </c>
      <c r="B1117" s="8">
        <v>431.25</v>
      </c>
      <c r="C1117" s="8">
        <v>20.584240000000001</v>
      </c>
      <c r="D1117" s="8">
        <v>47</v>
      </c>
      <c r="E1117" s="8">
        <v>0</v>
      </c>
      <c r="F1117" s="8">
        <v>0</v>
      </c>
      <c r="G1117" s="8">
        <v>4</v>
      </c>
      <c r="H1117" s="8" t="s">
        <v>27873</v>
      </c>
      <c r="I1117" s="8">
        <v>538.5</v>
      </c>
      <c r="J1117" s="3">
        <f t="shared" si="17"/>
        <v>43748.511980601848</v>
      </c>
    </row>
    <row r="1118" spans="1:10" x14ac:dyDescent="0.25">
      <c r="A1118" s="5" t="s">
        <v>27874</v>
      </c>
      <c r="B1118" s="6">
        <v>393.75</v>
      </c>
      <c r="C1118" s="6">
        <v>20.584240000000001</v>
      </c>
      <c r="D1118" s="6">
        <v>46</v>
      </c>
      <c r="E1118" s="6">
        <v>0</v>
      </c>
      <c r="F1118" s="6">
        <v>0</v>
      </c>
      <c r="G1118" s="6">
        <v>4</v>
      </c>
      <c r="H1118" s="6" t="s">
        <v>27875</v>
      </c>
      <c r="I1118" s="6">
        <v>526.6875</v>
      </c>
      <c r="J1118" s="2">
        <f t="shared" si="17"/>
        <v>43748.512076076389</v>
      </c>
    </row>
    <row r="1119" spans="1:10" x14ac:dyDescent="0.25">
      <c r="A1119" s="7" t="s">
        <v>27876</v>
      </c>
      <c r="B1119" s="8">
        <v>412.5</v>
      </c>
      <c r="C1119" s="8">
        <v>20.584240000000001</v>
      </c>
      <c r="D1119" s="8">
        <v>47</v>
      </c>
      <c r="E1119" s="8">
        <v>0</v>
      </c>
      <c r="F1119" s="8">
        <v>0</v>
      </c>
      <c r="G1119" s="8">
        <v>3</v>
      </c>
      <c r="H1119" s="8" t="s">
        <v>27877</v>
      </c>
      <c r="I1119" s="8">
        <v>532.3125</v>
      </c>
      <c r="J1119" s="3">
        <f t="shared" si="17"/>
        <v>43748.512148020833</v>
      </c>
    </row>
    <row r="1120" spans="1:10" x14ac:dyDescent="0.25">
      <c r="A1120" s="5" t="s">
        <v>27878</v>
      </c>
      <c r="B1120" s="6">
        <v>393.75</v>
      </c>
      <c r="C1120" s="6">
        <v>20.531590000000001</v>
      </c>
      <c r="D1120" s="6">
        <v>48</v>
      </c>
      <c r="E1120" s="6">
        <v>0</v>
      </c>
      <c r="F1120" s="6">
        <v>0</v>
      </c>
      <c r="G1120" s="6">
        <v>0</v>
      </c>
      <c r="H1120" s="6" t="s">
        <v>27879</v>
      </c>
      <c r="I1120" s="6">
        <v>526.6875</v>
      </c>
      <c r="J1120" s="2">
        <f t="shared" si="17"/>
        <v>43748.512231284716</v>
      </c>
    </row>
    <row r="1121" spans="1:10" x14ac:dyDescent="0.25">
      <c r="A1121" s="7" t="s">
        <v>27880</v>
      </c>
      <c r="B1121" s="8">
        <v>393.75</v>
      </c>
      <c r="C1121" s="8">
        <v>20.584240000000001</v>
      </c>
      <c r="D1121" s="8">
        <v>47</v>
      </c>
      <c r="E1121" s="8">
        <v>0</v>
      </c>
      <c r="F1121" s="8">
        <v>0</v>
      </c>
      <c r="G1121" s="8">
        <v>4</v>
      </c>
      <c r="H1121" s="8" t="s">
        <v>27881</v>
      </c>
      <c r="I1121" s="8">
        <v>526.6875</v>
      </c>
      <c r="J1121" s="3">
        <f t="shared" si="17"/>
        <v>43748.512302824071</v>
      </c>
    </row>
    <row r="1122" spans="1:10" x14ac:dyDescent="0.25">
      <c r="A1122" s="5" t="s">
        <v>27882</v>
      </c>
      <c r="B1122" s="6">
        <v>428.125</v>
      </c>
      <c r="C1122" s="6">
        <v>20.584240000000001</v>
      </c>
      <c r="D1122" s="6">
        <v>47</v>
      </c>
      <c r="E1122" s="6">
        <v>0</v>
      </c>
      <c r="F1122" s="6">
        <v>0</v>
      </c>
      <c r="G1122" s="6">
        <v>6</v>
      </c>
      <c r="H1122" s="6" t="s">
        <v>27883</v>
      </c>
      <c r="I1122" s="6">
        <v>537.75</v>
      </c>
      <c r="J1122" s="2">
        <f t="shared" si="17"/>
        <v>43748.512386145834</v>
      </c>
    </row>
    <row r="1123" spans="1:10" x14ac:dyDescent="0.25">
      <c r="A1123" s="7" t="s">
        <v>27884</v>
      </c>
      <c r="B1123" s="8">
        <v>393.75</v>
      </c>
      <c r="C1123" s="8">
        <v>20.584240000000001</v>
      </c>
      <c r="D1123" s="8">
        <v>47</v>
      </c>
      <c r="E1123" s="8">
        <v>0</v>
      </c>
      <c r="F1123" s="8">
        <v>0</v>
      </c>
      <c r="G1123" s="8">
        <v>6</v>
      </c>
      <c r="H1123" s="8" t="s">
        <v>27885</v>
      </c>
      <c r="I1123" s="8">
        <v>526.6875</v>
      </c>
      <c r="J1123" s="3">
        <f t="shared" si="17"/>
        <v>43748.512469756941</v>
      </c>
    </row>
    <row r="1124" spans="1:10" x14ac:dyDescent="0.25">
      <c r="A1124" s="5" t="s">
        <v>27886</v>
      </c>
      <c r="B1124" s="6">
        <v>393.75</v>
      </c>
      <c r="C1124" s="6">
        <v>20.531590000000001</v>
      </c>
      <c r="D1124" s="6">
        <v>47</v>
      </c>
      <c r="E1124" s="6">
        <v>0</v>
      </c>
      <c r="F1124" s="6">
        <v>0</v>
      </c>
      <c r="G1124" s="6">
        <v>2</v>
      </c>
      <c r="H1124" s="6" t="s">
        <v>27887</v>
      </c>
      <c r="I1124" s="6">
        <v>526.6875</v>
      </c>
      <c r="J1124" s="2">
        <f t="shared" si="17"/>
        <v>43748.512552962966</v>
      </c>
    </row>
    <row r="1125" spans="1:10" x14ac:dyDescent="0.25">
      <c r="A1125" s="7" t="s">
        <v>27888</v>
      </c>
      <c r="B1125" s="8">
        <v>393.75</v>
      </c>
      <c r="C1125" s="8">
        <v>20.531590000000001</v>
      </c>
      <c r="D1125" s="8">
        <v>47</v>
      </c>
      <c r="E1125" s="8">
        <v>0</v>
      </c>
      <c r="F1125" s="8">
        <v>0</v>
      </c>
      <c r="G1125" s="8">
        <v>3</v>
      </c>
      <c r="H1125" s="8" t="s">
        <v>27889</v>
      </c>
      <c r="I1125" s="8">
        <v>526.6875</v>
      </c>
      <c r="J1125" s="3">
        <f t="shared" si="17"/>
        <v>43748.512624479168</v>
      </c>
    </row>
    <row r="1126" spans="1:10" x14ac:dyDescent="0.25">
      <c r="A1126" s="5" t="s">
        <v>27890</v>
      </c>
      <c r="B1126" s="6">
        <v>393.75</v>
      </c>
      <c r="C1126" s="6">
        <v>20.584240000000001</v>
      </c>
      <c r="D1126" s="6">
        <v>47</v>
      </c>
      <c r="E1126" s="6">
        <v>0</v>
      </c>
      <c r="F1126" s="6">
        <v>0</v>
      </c>
      <c r="G1126" s="6">
        <v>7</v>
      </c>
      <c r="H1126" s="6" t="s">
        <v>27891</v>
      </c>
      <c r="I1126" s="6">
        <v>526.6875</v>
      </c>
      <c r="J1126" s="2">
        <f t="shared" si="17"/>
        <v>43748.512708391201</v>
      </c>
    </row>
    <row r="1127" spans="1:10" x14ac:dyDescent="0.25">
      <c r="A1127" s="7" t="s">
        <v>27892</v>
      </c>
      <c r="B1127" s="8">
        <v>393.75</v>
      </c>
      <c r="C1127" s="8">
        <v>20.584240000000001</v>
      </c>
      <c r="D1127" s="8">
        <v>46</v>
      </c>
      <c r="E1127" s="8">
        <v>0</v>
      </c>
      <c r="F1127" s="8">
        <v>0</v>
      </c>
      <c r="G1127" s="8">
        <v>1</v>
      </c>
      <c r="H1127" s="8" t="s">
        <v>27893</v>
      </c>
      <c r="I1127" s="8">
        <v>526.6875</v>
      </c>
      <c r="J1127" s="3">
        <f t="shared" si="17"/>
        <v>43748.512791828696</v>
      </c>
    </row>
    <row r="1128" spans="1:10" x14ac:dyDescent="0.25">
      <c r="A1128" s="5" t="s">
        <v>27894</v>
      </c>
      <c r="B1128" s="6">
        <v>393.75</v>
      </c>
      <c r="C1128" s="6">
        <v>20.584240000000001</v>
      </c>
      <c r="D1128" s="6">
        <v>45</v>
      </c>
      <c r="E1128" s="6">
        <v>0</v>
      </c>
      <c r="F1128" s="6">
        <v>0</v>
      </c>
      <c r="G1128" s="6">
        <v>4</v>
      </c>
      <c r="H1128" s="6" t="s">
        <v>27895</v>
      </c>
      <c r="I1128" s="6">
        <v>526.6875</v>
      </c>
      <c r="J1128" s="2">
        <f t="shared" si="17"/>
        <v>43748.512875393521</v>
      </c>
    </row>
    <row r="1129" spans="1:10" x14ac:dyDescent="0.25">
      <c r="A1129" s="7" t="s">
        <v>27896</v>
      </c>
      <c r="B1129" s="8">
        <v>393.75</v>
      </c>
      <c r="C1129" s="8">
        <v>20.531590000000001</v>
      </c>
      <c r="D1129" s="8">
        <v>45</v>
      </c>
      <c r="E1129" s="8">
        <v>0</v>
      </c>
      <c r="F1129" s="8">
        <v>0</v>
      </c>
      <c r="G1129" s="8">
        <v>5</v>
      </c>
      <c r="H1129" s="8" t="s">
        <v>27897</v>
      </c>
      <c r="I1129" s="8">
        <v>526.6875</v>
      </c>
      <c r="J1129" s="3">
        <f t="shared" si="17"/>
        <v>43748.512946932868</v>
      </c>
    </row>
    <row r="1130" spans="1:10" x14ac:dyDescent="0.25">
      <c r="A1130" s="5" t="s">
        <v>27898</v>
      </c>
      <c r="B1130" s="6">
        <v>412.5</v>
      </c>
      <c r="C1130" s="6">
        <v>20.584240000000001</v>
      </c>
      <c r="D1130" s="6">
        <v>46</v>
      </c>
      <c r="E1130" s="6">
        <v>0</v>
      </c>
      <c r="F1130" s="6">
        <v>0</v>
      </c>
      <c r="G1130" s="6">
        <v>16</v>
      </c>
      <c r="H1130" s="6" t="s">
        <v>27899</v>
      </c>
      <c r="I1130" s="6">
        <v>532.3125</v>
      </c>
      <c r="J1130" s="2">
        <f t="shared" si="17"/>
        <v>43748.513030613423</v>
      </c>
    </row>
    <row r="1131" spans="1:10" x14ac:dyDescent="0.25">
      <c r="A1131" s="7" t="s">
        <v>27900</v>
      </c>
      <c r="B1131" s="8">
        <v>393.75</v>
      </c>
      <c r="C1131" s="8">
        <v>20.584240000000001</v>
      </c>
      <c r="D1131" s="8">
        <v>44</v>
      </c>
      <c r="E1131" s="8">
        <v>0</v>
      </c>
      <c r="F1131" s="8">
        <v>0</v>
      </c>
      <c r="G1131" s="8">
        <v>6</v>
      </c>
      <c r="H1131" s="8" t="s">
        <v>27901</v>
      </c>
      <c r="I1131" s="8">
        <v>526.6875</v>
      </c>
      <c r="J1131" s="3">
        <f t="shared" si="17"/>
        <v>43748.513113946756</v>
      </c>
    </row>
    <row r="1132" spans="1:10" x14ac:dyDescent="0.25">
      <c r="A1132" s="5" t="s">
        <v>27902</v>
      </c>
      <c r="B1132" s="6">
        <v>393.75</v>
      </c>
      <c r="C1132" s="6">
        <v>20.584240000000001</v>
      </c>
      <c r="D1132" s="6">
        <v>45</v>
      </c>
      <c r="E1132" s="6">
        <v>0</v>
      </c>
      <c r="F1132" s="6">
        <v>0</v>
      </c>
      <c r="G1132" s="6">
        <v>9</v>
      </c>
      <c r="H1132" s="6" t="s">
        <v>27903</v>
      </c>
      <c r="I1132" s="6">
        <v>526.6875</v>
      </c>
      <c r="J1132" s="2">
        <f t="shared" si="17"/>
        <v>43748.513197280095</v>
      </c>
    </row>
    <row r="1133" spans="1:10" x14ac:dyDescent="0.25">
      <c r="A1133" s="7" t="s">
        <v>27904</v>
      </c>
      <c r="B1133" s="8">
        <v>393.75</v>
      </c>
      <c r="C1133" s="8">
        <v>20.584240000000001</v>
      </c>
      <c r="D1133" s="8">
        <v>45</v>
      </c>
      <c r="E1133" s="8">
        <v>0</v>
      </c>
      <c r="F1133" s="8">
        <v>0</v>
      </c>
      <c r="G1133" s="8">
        <v>6</v>
      </c>
      <c r="H1133" s="8" t="s">
        <v>27905</v>
      </c>
      <c r="I1133" s="8">
        <v>526.5</v>
      </c>
      <c r="J1133" s="3">
        <f t="shared" si="17"/>
        <v>43748.513280949068</v>
      </c>
    </row>
    <row r="1134" spans="1:10" x14ac:dyDescent="0.25">
      <c r="A1134" s="5" t="s">
        <v>27906</v>
      </c>
      <c r="B1134" s="6">
        <v>393.75</v>
      </c>
      <c r="C1134" s="6">
        <v>20.584240000000001</v>
      </c>
      <c r="D1134" s="6">
        <v>45</v>
      </c>
      <c r="E1134" s="6">
        <v>0</v>
      </c>
      <c r="F1134" s="6">
        <v>0</v>
      </c>
      <c r="G1134" s="6">
        <v>4</v>
      </c>
      <c r="H1134" s="6" t="s">
        <v>27907</v>
      </c>
      <c r="I1134" s="6">
        <v>526.6875</v>
      </c>
      <c r="J1134" s="2">
        <f t="shared" si="17"/>
        <v>43748.513364050923</v>
      </c>
    </row>
    <row r="1135" spans="1:10" x14ac:dyDescent="0.25">
      <c r="A1135" s="7" t="s">
        <v>27908</v>
      </c>
      <c r="B1135" s="8">
        <v>393.75</v>
      </c>
      <c r="C1135" s="8">
        <v>20.584240000000001</v>
      </c>
      <c r="D1135" s="8">
        <v>45</v>
      </c>
      <c r="E1135" s="8">
        <v>0</v>
      </c>
      <c r="F1135" s="8">
        <v>0</v>
      </c>
      <c r="G1135" s="8">
        <v>10</v>
      </c>
      <c r="H1135" s="8" t="s">
        <v>27909</v>
      </c>
      <c r="I1135" s="8">
        <v>526.6875</v>
      </c>
      <c r="J1135" s="3">
        <f t="shared" si="17"/>
        <v>43748.513459918984</v>
      </c>
    </row>
    <row r="1136" spans="1:10" x14ac:dyDescent="0.25">
      <c r="A1136" s="5" t="s">
        <v>27910</v>
      </c>
      <c r="B1136" s="6">
        <v>393.75</v>
      </c>
      <c r="C1136" s="6">
        <v>20.584240000000001</v>
      </c>
      <c r="D1136" s="6">
        <v>46</v>
      </c>
      <c r="E1136" s="6">
        <v>0</v>
      </c>
      <c r="F1136" s="6">
        <v>0</v>
      </c>
      <c r="G1136" s="6">
        <v>5</v>
      </c>
      <c r="H1136" s="6" t="s">
        <v>27911</v>
      </c>
      <c r="I1136" s="6">
        <v>526.6875</v>
      </c>
      <c r="J1136" s="2">
        <f t="shared" si="17"/>
        <v>43748.513543368048</v>
      </c>
    </row>
    <row r="1137" spans="1:10" x14ac:dyDescent="0.25">
      <c r="A1137" s="7" t="s">
        <v>27912</v>
      </c>
      <c r="B1137" s="8">
        <v>393.75</v>
      </c>
      <c r="C1137" s="8">
        <v>20.584240000000001</v>
      </c>
      <c r="D1137" s="8">
        <v>45</v>
      </c>
      <c r="E1137" s="8">
        <v>0</v>
      </c>
      <c r="F1137" s="8">
        <v>0</v>
      </c>
      <c r="G1137" s="8">
        <v>5</v>
      </c>
      <c r="H1137" s="8" t="s">
        <v>27913</v>
      </c>
      <c r="I1137" s="8">
        <v>526.6875</v>
      </c>
      <c r="J1137" s="3">
        <f t="shared" si="17"/>
        <v>43748.513626932872</v>
      </c>
    </row>
    <row r="1138" spans="1:10" x14ac:dyDescent="0.25">
      <c r="A1138" s="5" t="s">
        <v>27914</v>
      </c>
      <c r="B1138" s="6">
        <v>393.75</v>
      </c>
      <c r="C1138" s="6">
        <v>20.531590000000001</v>
      </c>
      <c r="D1138" s="6">
        <v>44</v>
      </c>
      <c r="E1138" s="6">
        <v>0</v>
      </c>
      <c r="F1138" s="6">
        <v>0</v>
      </c>
      <c r="G1138" s="6">
        <v>7</v>
      </c>
      <c r="H1138" s="6" t="s">
        <v>27915</v>
      </c>
      <c r="I1138" s="6">
        <v>526.6875</v>
      </c>
      <c r="J1138" s="2">
        <f t="shared" si="17"/>
        <v>43748.513710381943</v>
      </c>
    </row>
    <row r="1139" spans="1:10" x14ac:dyDescent="0.25">
      <c r="A1139" s="7" t="s">
        <v>27916</v>
      </c>
      <c r="B1139" s="8">
        <v>393.75</v>
      </c>
      <c r="C1139" s="8">
        <v>20.584240000000001</v>
      </c>
      <c r="D1139" s="8">
        <v>45</v>
      </c>
      <c r="E1139" s="8">
        <v>0</v>
      </c>
      <c r="F1139" s="8">
        <v>0</v>
      </c>
      <c r="G1139" s="8">
        <v>2</v>
      </c>
      <c r="H1139" s="8" t="s">
        <v>27917</v>
      </c>
      <c r="I1139" s="8">
        <v>526.6875</v>
      </c>
      <c r="J1139" s="3">
        <f t="shared" si="17"/>
        <v>43748.513793599537</v>
      </c>
    </row>
    <row r="1140" spans="1:10" x14ac:dyDescent="0.25">
      <c r="A1140" s="5" t="s">
        <v>27918</v>
      </c>
      <c r="B1140" s="6">
        <v>393.75</v>
      </c>
      <c r="C1140" s="6">
        <v>20.584240000000001</v>
      </c>
      <c r="D1140" s="6">
        <v>45</v>
      </c>
      <c r="E1140" s="6">
        <v>0</v>
      </c>
      <c r="F1140" s="6">
        <v>0</v>
      </c>
      <c r="G1140" s="6">
        <v>11</v>
      </c>
      <c r="H1140" s="6" t="s">
        <v>27919</v>
      </c>
      <c r="I1140" s="6">
        <v>526.6875</v>
      </c>
      <c r="J1140" s="2">
        <f t="shared" si="17"/>
        <v>43748.513865370369</v>
      </c>
    </row>
    <row r="1141" spans="1:10" x14ac:dyDescent="0.25">
      <c r="A1141" s="7" t="s">
        <v>27920</v>
      </c>
      <c r="B1141" s="8">
        <v>393.75</v>
      </c>
      <c r="C1141" s="8">
        <v>20.584240000000001</v>
      </c>
      <c r="D1141" s="8">
        <v>49</v>
      </c>
      <c r="E1141" s="8">
        <v>0</v>
      </c>
      <c r="F1141" s="8">
        <v>0</v>
      </c>
      <c r="G1141" s="8">
        <v>2</v>
      </c>
      <c r="H1141" s="8" t="s">
        <v>27921</v>
      </c>
      <c r="I1141" s="8">
        <v>526.6875</v>
      </c>
      <c r="J1141" s="3">
        <f t="shared" si="17"/>
        <v>43748.51394892361</v>
      </c>
    </row>
    <row r="1142" spans="1:10" x14ac:dyDescent="0.25">
      <c r="A1142" s="5" t="s">
        <v>27922</v>
      </c>
      <c r="B1142" s="6">
        <v>393.75</v>
      </c>
      <c r="C1142" s="6">
        <v>20.584240000000001</v>
      </c>
      <c r="D1142" s="6">
        <v>49</v>
      </c>
      <c r="E1142" s="6">
        <v>0</v>
      </c>
      <c r="F1142" s="6">
        <v>0</v>
      </c>
      <c r="G1142" s="6">
        <v>5</v>
      </c>
      <c r="H1142" s="6" t="s">
        <v>27923</v>
      </c>
      <c r="I1142" s="6">
        <v>526.6875</v>
      </c>
      <c r="J1142" s="2">
        <f t="shared" si="17"/>
        <v>43748.514032361105</v>
      </c>
    </row>
    <row r="1143" spans="1:10" x14ac:dyDescent="0.25">
      <c r="A1143" s="7" t="s">
        <v>27924</v>
      </c>
      <c r="B1143" s="8">
        <v>393.75</v>
      </c>
      <c r="C1143" s="8">
        <v>20.584240000000001</v>
      </c>
      <c r="D1143" s="8">
        <v>49</v>
      </c>
      <c r="E1143" s="8">
        <v>0</v>
      </c>
      <c r="F1143" s="8">
        <v>0</v>
      </c>
      <c r="G1143" s="8">
        <v>9</v>
      </c>
      <c r="H1143" s="8" t="s">
        <v>27925</v>
      </c>
      <c r="I1143" s="8">
        <v>526.5</v>
      </c>
      <c r="J1143" s="3">
        <f t="shared" si="17"/>
        <v>43748.514115833335</v>
      </c>
    </row>
    <row r="1144" spans="1:10" x14ac:dyDescent="0.25">
      <c r="A1144" s="5" t="s">
        <v>27926</v>
      </c>
      <c r="B1144" s="6">
        <v>393.75</v>
      </c>
      <c r="C1144" s="6">
        <v>20.584240000000001</v>
      </c>
      <c r="D1144" s="6">
        <v>48</v>
      </c>
      <c r="E1144" s="6">
        <v>0</v>
      </c>
      <c r="F1144" s="6">
        <v>0</v>
      </c>
      <c r="G1144" s="6">
        <v>4</v>
      </c>
      <c r="H1144" s="6" t="s">
        <v>27927</v>
      </c>
      <c r="I1144" s="6">
        <v>526.6875</v>
      </c>
      <c r="J1144" s="2">
        <f t="shared" si="17"/>
        <v>43748.514199490739</v>
      </c>
    </row>
    <row r="1145" spans="1:10" x14ac:dyDescent="0.25">
      <c r="A1145" s="7" t="s">
        <v>27928</v>
      </c>
      <c r="B1145" s="8">
        <v>393.75</v>
      </c>
      <c r="C1145" s="8">
        <v>20.584240000000001</v>
      </c>
      <c r="D1145" s="8">
        <v>48</v>
      </c>
      <c r="E1145" s="8">
        <v>0</v>
      </c>
      <c r="F1145" s="8">
        <v>0</v>
      </c>
      <c r="G1145" s="8">
        <v>11</v>
      </c>
      <c r="H1145" s="8" t="s">
        <v>27929</v>
      </c>
      <c r="I1145" s="8">
        <v>526.6875</v>
      </c>
      <c r="J1145" s="3">
        <f t="shared" si="17"/>
        <v>43748.514282615739</v>
      </c>
    </row>
    <row r="1146" spans="1:10" x14ac:dyDescent="0.25">
      <c r="A1146" s="5" t="s">
        <v>27930</v>
      </c>
      <c r="B1146" s="6">
        <v>393.75</v>
      </c>
      <c r="C1146" s="6">
        <v>20.584240000000001</v>
      </c>
      <c r="D1146" s="6">
        <v>48</v>
      </c>
      <c r="E1146" s="6">
        <v>0</v>
      </c>
      <c r="F1146" s="6">
        <v>0</v>
      </c>
      <c r="G1146" s="6">
        <v>8</v>
      </c>
      <c r="H1146" s="6" t="s">
        <v>27931</v>
      </c>
      <c r="I1146" s="6">
        <v>526.6875</v>
      </c>
      <c r="J1146" s="2">
        <f t="shared" si="17"/>
        <v>43748.514354259256</v>
      </c>
    </row>
    <row r="1147" spans="1:10" x14ac:dyDescent="0.25">
      <c r="A1147" s="7" t="s">
        <v>27932</v>
      </c>
      <c r="B1147" s="8">
        <v>393.75</v>
      </c>
      <c r="C1147" s="8">
        <v>20.531590000000001</v>
      </c>
      <c r="D1147" s="8">
        <v>47</v>
      </c>
      <c r="E1147" s="8">
        <v>0</v>
      </c>
      <c r="F1147" s="8">
        <v>0</v>
      </c>
      <c r="G1147" s="8">
        <v>3</v>
      </c>
      <c r="H1147" s="8" t="s">
        <v>27933</v>
      </c>
      <c r="I1147" s="8">
        <v>526.6875</v>
      </c>
      <c r="J1147" s="3">
        <f t="shared" si="17"/>
        <v>43748.514438043981</v>
      </c>
    </row>
    <row r="1148" spans="1:10" x14ac:dyDescent="0.25">
      <c r="A1148" s="5" t="s">
        <v>27934</v>
      </c>
      <c r="B1148" s="6">
        <v>393.75</v>
      </c>
      <c r="C1148" s="6">
        <v>20.584240000000001</v>
      </c>
      <c r="D1148" s="6">
        <v>47</v>
      </c>
      <c r="E1148" s="6">
        <v>0</v>
      </c>
      <c r="F1148" s="6">
        <v>0</v>
      </c>
      <c r="G1148" s="6">
        <v>4</v>
      </c>
      <c r="H1148" s="6" t="s">
        <v>27935</v>
      </c>
      <c r="I1148" s="6">
        <v>526.6875</v>
      </c>
      <c r="J1148" s="2">
        <f t="shared" si="17"/>
        <v>43748.514521504629</v>
      </c>
    </row>
    <row r="1149" spans="1:10" x14ac:dyDescent="0.25">
      <c r="A1149" s="7" t="s">
        <v>27936</v>
      </c>
      <c r="B1149" s="8">
        <v>393.75</v>
      </c>
      <c r="C1149" s="8">
        <v>20.584240000000001</v>
      </c>
      <c r="D1149" s="8">
        <v>49</v>
      </c>
      <c r="E1149" s="8">
        <v>0</v>
      </c>
      <c r="F1149" s="8">
        <v>0</v>
      </c>
      <c r="G1149" s="8">
        <v>5</v>
      </c>
      <c r="H1149" s="8" t="s">
        <v>27937</v>
      </c>
      <c r="I1149" s="8">
        <v>526.6875</v>
      </c>
      <c r="J1149" s="3">
        <f t="shared" si="17"/>
        <v>43748.514604722215</v>
      </c>
    </row>
    <row r="1150" spans="1:10" x14ac:dyDescent="0.25">
      <c r="A1150" s="5" t="s">
        <v>27938</v>
      </c>
      <c r="B1150" s="6">
        <v>393.75</v>
      </c>
      <c r="C1150" s="6">
        <v>20.531590000000001</v>
      </c>
      <c r="D1150" s="6">
        <v>49</v>
      </c>
      <c r="E1150" s="6">
        <v>0</v>
      </c>
      <c r="F1150" s="6">
        <v>0</v>
      </c>
      <c r="G1150" s="6">
        <v>0</v>
      </c>
      <c r="H1150" s="6" t="s">
        <v>27939</v>
      </c>
      <c r="I1150" s="6">
        <v>526.6875</v>
      </c>
      <c r="J1150" s="2">
        <f t="shared" si="17"/>
        <v>43748.514688148141</v>
      </c>
    </row>
    <row r="1151" spans="1:10" x14ac:dyDescent="0.25">
      <c r="A1151" s="7" t="s">
        <v>27940</v>
      </c>
      <c r="B1151" s="8">
        <v>393.75</v>
      </c>
      <c r="C1151" s="8">
        <v>20.584240000000001</v>
      </c>
      <c r="D1151" s="8">
        <v>49</v>
      </c>
      <c r="E1151" s="8">
        <v>0</v>
      </c>
      <c r="F1151" s="8">
        <v>0</v>
      </c>
      <c r="G1151" s="8">
        <v>0</v>
      </c>
      <c r="H1151" s="8" t="s">
        <v>27941</v>
      </c>
      <c r="I1151" s="8">
        <v>526.6875</v>
      </c>
      <c r="J1151" s="3">
        <f t="shared" si="17"/>
        <v>43748.514772222225</v>
      </c>
    </row>
    <row r="1152" spans="1:10" x14ac:dyDescent="0.25">
      <c r="A1152" s="5" t="s">
        <v>27942</v>
      </c>
      <c r="B1152" s="6">
        <v>393.75</v>
      </c>
      <c r="C1152" s="6">
        <v>20.584240000000001</v>
      </c>
      <c r="D1152" s="6">
        <v>46</v>
      </c>
      <c r="E1152" s="6">
        <v>0</v>
      </c>
      <c r="F1152" s="6">
        <v>0</v>
      </c>
      <c r="G1152" s="6">
        <v>5</v>
      </c>
      <c r="H1152" s="6" t="s">
        <v>27943</v>
      </c>
      <c r="I1152" s="6">
        <v>526.6875</v>
      </c>
      <c r="J1152" s="2">
        <f t="shared" si="17"/>
        <v>43748.514843611112</v>
      </c>
    </row>
    <row r="1153" spans="1:10" x14ac:dyDescent="0.25">
      <c r="A1153" s="7" t="s">
        <v>27944</v>
      </c>
      <c r="B1153" s="8">
        <v>393.75</v>
      </c>
      <c r="C1153" s="8">
        <v>20.584240000000001</v>
      </c>
      <c r="D1153" s="8">
        <v>47</v>
      </c>
      <c r="E1153" s="8">
        <v>0</v>
      </c>
      <c r="F1153" s="8">
        <v>0</v>
      </c>
      <c r="G1153" s="8">
        <v>11</v>
      </c>
      <c r="H1153" s="8" t="s">
        <v>27945</v>
      </c>
      <c r="I1153" s="8">
        <v>526.6875</v>
      </c>
      <c r="J1153" s="3">
        <f t="shared" si="17"/>
        <v>43748.514926990734</v>
      </c>
    </row>
    <row r="1154" spans="1:10" x14ac:dyDescent="0.25">
      <c r="A1154" s="5" t="s">
        <v>27946</v>
      </c>
      <c r="B1154" s="6">
        <v>412.5</v>
      </c>
      <c r="C1154" s="6">
        <v>20.584240000000001</v>
      </c>
      <c r="D1154" s="6">
        <v>47</v>
      </c>
      <c r="E1154" s="6">
        <v>0</v>
      </c>
      <c r="F1154" s="6">
        <v>0</v>
      </c>
      <c r="G1154" s="6">
        <v>9</v>
      </c>
      <c r="H1154" s="6" t="s">
        <v>27947</v>
      </c>
      <c r="I1154" s="6">
        <v>532.3125</v>
      </c>
      <c r="J1154" s="2">
        <f t="shared" ref="J1154:J1217" si="18">(H1154/86400000)+25569+(7/24)</f>
        <v>43748.5149987037</v>
      </c>
    </row>
    <row r="1155" spans="1:10" x14ac:dyDescent="0.25">
      <c r="A1155" s="7" t="s">
        <v>27948</v>
      </c>
      <c r="B1155" s="8">
        <v>393.75</v>
      </c>
      <c r="C1155" s="8">
        <v>20.584240000000001</v>
      </c>
      <c r="D1155" s="8">
        <v>46</v>
      </c>
      <c r="E1155" s="8">
        <v>0</v>
      </c>
      <c r="F1155" s="8">
        <v>0</v>
      </c>
      <c r="G1155" s="8">
        <v>11</v>
      </c>
      <c r="H1155" s="8" t="s">
        <v>27949</v>
      </c>
      <c r="I1155" s="8">
        <v>526.6875</v>
      </c>
      <c r="J1155" s="3">
        <f t="shared" si="18"/>
        <v>43748.515082256941</v>
      </c>
    </row>
    <row r="1156" spans="1:10" x14ac:dyDescent="0.25">
      <c r="A1156" s="5" t="s">
        <v>27950</v>
      </c>
      <c r="B1156" s="6">
        <v>393.75</v>
      </c>
      <c r="C1156" s="6">
        <v>20.584240000000001</v>
      </c>
      <c r="D1156" s="6">
        <v>47</v>
      </c>
      <c r="E1156" s="6">
        <v>0</v>
      </c>
      <c r="F1156" s="6">
        <v>0</v>
      </c>
      <c r="G1156" s="6">
        <v>19</v>
      </c>
      <c r="H1156" s="6" t="s">
        <v>27951</v>
      </c>
      <c r="I1156" s="6">
        <v>526.6875</v>
      </c>
      <c r="J1156" s="2">
        <f t="shared" si="18"/>
        <v>43748.515153773151</v>
      </c>
    </row>
    <row r="1157" spans="1:10" x14ac:dyDescent="0.25">
      <c r="A1157" s="7" t="s">
        <v>27952</v>
      </c>
      <c r="B1157" s="8">
        <v>393.75</v>
      </c>
      <c r="C1157" s="8">
        <v>20.584240000000001</v>
      </c>
      <c r="D1157" s="8">
        <v>47</v>
      </c>
      <c r="E1157" s="8">
        <v>0</v>
      </c>
      <c r="F1157" s="8">
        <v>0</v>
      </c>
      <c r="G1157" s="8">
        <v>0</v>
      </c>
      <c r="H1157" s="8" t="s">
        <v>27953</v>
      </c>
      <c r="I1157" s="8">
        <v>526.6875</v>
      </c>
      <c r="J1157" s="3">
        <f t="shared" si="18"/>
        <v>43748.515225312498</v>
      </c>
    </row>
    <row r="1158" spans="1:10" x14ac:dyDescent="0.25">
      <c r="A1158" s="5" t="s">
        <v>27954</v>
      </c>
      <c r="B1158" s="6">
        <v>393.75</v>
      </c>
      <c r="C1158" s="6">
        <v>20.584240000000001</v>
      </c>
      <c r="D1158" s="6">
        <v>46</v>
      </c>
      <c r="E1158" s="6">
        <v>0</v>
      </c>
      <c r="F1158" s="6">
        <v>0</v>
      </c>
      <c r="G1158" s="6">
        <v>1</v>
      </c>
      <c r="H1158" s="6" t="s">
        <v>27955</v>
      </c>
      <c r="I1158" s="6">
        <v>526.6875</v>
      </c>
      <c r="J1158" s="2">
        <f t="shared" si="18"/>
        <v>43748.515309097224</v>
      </c>
    </row>
    <row r="1159" spans="1:10" x14ac:dyDescent="0.25">
      <c r="A1159" s="7" t="s">
        <v>27956</v>
      </c>
      <c r="B1159" s="8">
        <v>393.75</v>
      </c>
      <c r="C1159" s="8">
        <v>20.584240000000001</v>
      </c>
      <c r="D1159" s="8">
        <v>47</v>
      </c>
      <c r="E1159" s="8">
        <v>0</v>
      </c>
      <c r="F1159" s="8">
        <v>0</v>
      </c>
      <c r="G1159" s="8">
        <v>9</v>
      </c>
      <c r="H1159" s="8" t="s">
        <v>27957</v>
      </c>
      <c r="I1159" s="8">
        <v>526.6875</v>
      </c>
      <c r="J1159" s="3">
        <f t="shared" si="18"/>
        <v>43748.51539231481</v>
      </c>
    </row>
    <row r="1160" spans="1:10" x14ac:dyDescent="0.25">
      <c r="A1160" s="5" t="s">
        <v>27958</v>
      </c>
      <c r="B1160" s="6">
        <v>412.5</v>
      </c>
      <c r="C1160" s="6">
        <v>20.584240000000001</v>
      </c>
      <c r="D1160" s="6">
        <v>48</v>
      </c>
      <c r="E1160" s="6">
        <v>0</v>
      </c>
      <c r="F1160" s="6">
        <v>0</v>
      </c>
      <c r="G1160" s="6">
        <v>6</v>
      </c>
      <c r="H1160" s="6" t="s">
        <v>27959</v>
      </c>
      <c r="I1160" s="6">
        <v>532.3125</v>
      </c>
      <c r="J1160" s="2">
        <f t="shared" si="18"/>
        <v>43748.515476018518</v>
      </c>
    </row>
    <row r="1161" spans="1:10" x14ac:dyDescent="0.25">
      <c r="A1161" s="7" t="s">
        <v>27960</v>
      </c>
      <c r="B1161" s="8">
        <v>393.75</v>
      </c>
      <c r="C1161" s="8">
        <v>20.531590000000001</v>
      </c>
      <c r="D1161" s="8">
        <v>49</v>
      </c>
      <c r="E1161" s="8">
        <v>0</v>
      </c>
      <c r="F1161" s="8">
        <v>0</v>
      </c>
      <c r="G1161" s="8">
        <v>0</v>
      </c>
      <c r="H1161" s="8" t="s">
        <v>27961</v>
      </c>
      <c r="I1161" s="8">
        <v>526.6875</v>
      </c>
      <c r="J1161" s="3">
        <f t="shared" si="18"/>
        <v>43748.515547430557</v>
      </c>
    </row>
    <row r="1162" spans="1:10" x14ac:dyDescent="0.25">
      <c r="A1162" s="5" t="s">
        <v>27962</v>
      </c>
      <c r="B1162" s="6">
        <v>393.75</v>
      </c>
      <c r="C1162" s="6">
        <v>20.584240000000001</v>
      </c>
      <c r="D1162" s="6">
        <v>49</v>
      </c>
      <c r="E1162" s="6">
        <v>0</v>
      </c>
      <c r="F1162" s="6">
        <v>0</v>
      </c>
      <c r="G1162" s="6">
        <v>12</v>
      </c>
      <c r="H1162" s="6" t="s">
        <v>27963</v>
      </c>
      <c r="I1162" s="6">
        <v>526.6875</v>
      </c>
      <c r="J1162" s="2">
        <f t="shared" si="18"/>
        <v>43748.515630648144</v>
      </c>
    </row>
    <row r="1163" spans="1:10" x14ac:dyDescent="0.25">
      <c r="A1163" s="7" t="s">
        <v>27964</v>
      </c>
      <c r="B1163" s="8">
        <v>393.75</v>
      </c>
      <c r="C1163" s="8">
        <v>20.531590000000001</v>
      </c>
      <c r="D1163" s="8">
        <v>49</v>
      </c>
      <c r="E1163" s="8">
        <v>0</v>
      </c>
      <c r="F1163" s="8">
        <v>0</v>
      </c>
      <c r="G1163" s="8">
        <v>4</v>
      </c>
      <c r="H1163" s="8" t="s">
        <v>27965</v>
      </c>
      <c r="I1163" s="8">
        <v>526.6875</v>
      </c>
      <c r="J1163" s="3">
        <f t="shared" si="18"/>
        <v>43748.515702407407</v>
      </c>
    </row>
    <row r="1164" spans="1:10" x14ac:dyDescent="0.25">
      <c r="A1164" s="5" t="s">
        <v>27966</v>
      </c>
      <c r="B1164" s="6">
        <v>393.75</v>
      </c>
      <c r="C1164" s="6">
        <v>20.584240000000001</v>
      </c>
      <c r="D1164" s="6">
        <v>47</v>
      </c>
      <c r="E1164" s="6">
        <v>0</v>
      </c>
      <c r="F1164" s="6">
        <v>0</v>
      </c>
      <c r="G1164" s="6">
        <v>7</v>
      </c>
      <c r="H1164" s="6" t="s">
        <v>27967</v>
      </c>
      <c r="I1164" s="6">
        <v>526.6875</v>
      </c>
      <c r="J1164" s="2">
        <f t="shared" si="18"/>
        <v>43748.515785960648</v>
      </c>
    </row>
    <row r="1165" spans="1:10" x14ac:dyDescent="0.25">
      <c r="A1165" s="7" t="s">
        <v>27968</v>
      </c>
      <c r="B1165" s="8">
        <v>393.75</v>
      </c>
      <c r="C1165" s="8">
        <v>20.584240000000001</v>
      </c>
      <c r="D1165" s="8">
        <v>47</v>
      </c>
      <c r="E1165" s="8">
        <v>0</v>
      </c>
      <c r="F1165" s="8">
        <v>0</v>
      </c>
      <c r="G1165" s="8">
        <v>12</v>
      </c>
      <c r="H1165" s="8" t="s">
        <v>27969</v>
      </c>
      <c r="I1165" s="8">
        <v>526.6875</v>
      </c>
      <c r="J1165" s="3">
        <f t="shared" si="18"/>
        <v>43748.515869537034</v>
      </c>
    </row>
    <row r="1166" spans="1:10" x14ac:dyDescent="0.25">
      <c r="A1166" s="5" t="s">
        <v>27970</v>
      </c>
      <c r="B1166" s="6">
        <v>393.75</v>
      </c>
      <c r="C1166" s="6">
        <v>20.531590000000001</v>
      </c>
      <c r="D1166" s="6">
        <v>46</v>
      </c>
      <c r="E1166" s="6">
        <v>0</v>
      </c>
      <c r="F1166" s="6">
        <v>0</v>
      </c>
      <c r="G1166" s="6">
        <v>12</v>
      </c>
      <c r="H1166" s="6" t="s">
        <v>27971</v>
      </c>
      <c r="I1166" s="6">
        <v>526.6875</v>
      </c>
      <c r="J1166" s="2">
        <f t="shared" si="18"/>
        <v>43748.51595285879</v>
      </c>
    </row>
    <row r="1167" spans="1:10" x14ac:dyDescent="0.25">
      <c r="A1167" s="7" t="s">
        <v>27972</v>
      </c>
      <c r="B1167" s="8">
        <v>393.75</v>
      </c>
      <c r="C1167" s="8">
        <v>20.584240000000001</v>
      </c>
      <c r="D1167" s="8">
        <v>46</v>
      </c>
      <c r="E1167" s="8">
        <v>0</v>
      </c>
      <c r="F1167" s="8">
        <v>0</v>
      </c>
      <c r="G1167" s="8">
        <v>9</v>
      </c>
      <c r="H1167" s="8" t="s">
        <v>27973</v>
      </c>
      <c r="I1167" s="8">
        <v>526.6875</v>
      </c>
      <c r="J1167" s="3">
        <f t="shared" si="18"/>
        <v>43748.516036574067</v>
      </c>
    </row>
    <row r="1168" spans="1:10" x14ac:dyDescent="0.25">
      <c r="A1168" s="5" t="s">
        <v>27974</v>
      </c>
      <c r="B1168" s="6">
        <v>393.75</v>
      </c>
      <c r="C1168" s="6">
        <v>20.584240000000001</v>
      </c>
      <c r="D1168" s="6">
        <v>46</v>
      </c>
      <c r="E1168" s="6">
        <v>0</v>
      </c>
      <c r="F1168" s="6">
        <v>0</v>
      </c>
      <c r="G1168" s="6">
        <v>3</v>
      </c>
      <c r="H1168" s="6" t="s">
        <v>27975</v>
      </c>
      <c r="I1168" s="6">
        <v>526.6875</v>
      </c>
      <c r="J1168" s="2">
        <f t="shared" si="18"/>
        <v>43748.516131898148</v>
      </c>
    </row>
    <row r="1169" spans="1:10" x14ac:dyDescent="0.25">
      <c r="A1169" s="7" t="s">
        <v>27976</v>
      </c>
      <c r="B1169" s="8">
        <v>393.75</v>
      </c>
      <c r="C1169" s="8">
        <v>20.531590000000001</v>
      </c>
      <c r="D1169" s="8">
        <v>46</v>
      </c>
      <c r="E1169" s="8">
        <v>0</v>
      </c>
      <c r="F1169" s="8">
        <v>0</v>
      </c>
      <c r="G1169" s="8">
        <v>3</v>
      </c>
      <c r="H1169" s="8" t="s">
        <v>27977</v>
      </c>
      <c r="I1169" s="8">
        <v>526.6875</v>
      </c>
      <c r="J1169" s="3">
        <f t="shared" si="18"/>
        <v>43748.516215451389</v>
      </c>
    </row>
    <row r="1170" spans="1:10" x14ac:dyDescent="0.25">
      <c r="A1170" s="5" t="s">
        <v>27978</v>
      </c>
      <c r="B1170" s="6">
        <v>393.75</v>
      </c>
      <c r="C1170" s="6">
        <v>20.584240000000001</v>
      </c>
      <c r="D1170" s="6">
        <v>46</v>
      </c>
      <c r="E1170" s="6">
        <v>0</v>
      </c>
      <c r="F1170" s="6">
        <v>0</v>
      </c>
      <c r="G1170" s="6">
        <v>2</v>
      </c>
      <c r="H1170" s="6" t="s">
        <v>27979</v>
      </c>
      <c r="I1170" s="6">
        <v>526.6875</v>
      </c>
      <c r="J1170" s="2">
        <f t="shared" si="18"/>
        <v>43748.51629890046</v>
      </c>
    </row>
    <row r="1171" spans="1:10" x14ac:dyDescent="0.25">
      <c r="A1171" s="7" t="s">
        <v>27980</v>
      </c>
      <c r="B1171" s="8">
        <v>393.75</v>
      </c>
      <c r="C1171" s="8">
        <v>20.584240000000001</v>
      </c>
      <c r="D1171" s="8">
        <v>45</v>
      </c>
      <c r="E1171" s="8">
        <v>0</v>
      </c>
      <c r="F1171" s="8">
        <v>0</v>
      </c>
      <c r="G1171" s="8">
        <v>0</v>
      </c>
      <c r="H1171" s="8" t="s">
        <v>27981</v>
      </c>
      <c r="I1171" s="8">
        <v>526.6875</v>
      </c>
      <c r="J1171" s="3">
        <f t="shared" si="18"/>
        <v>43748.516382476846</v>
      </c>
    </row>
    <row r="1172" spans="1:10" x14ac:dyDescent="0.25">
      <c r="A1172" s="5" t="s">
        <v>27982</v>
      </c>
      <c r="B1172" s="6">
        <v>412.5</v>
      </c>
      <c r="C1172" s="6">
        <v>20.584240000000001</v>
      </c>
      <c r="D1172" s="6">
        <v>47</v>
      </c>
      <c r="E1172" s="6">
        <v>0</v>
      </c>
      <c r="F1172" s="6">
        <v>0</v>
      </c>
      <c r="G1172" s="6">
        <v>5</v>
      </c>
      <c r="H1172" s="6" t="s">
        <v>27983</v>
      </c>
      <c r="I1172" s="6">
        <v>532.3125</v>
      </c>
      <c r="J1172" s="2">
        <f t="shared" si="18"/>
        <v>43748.516465914348</v>
      </c>
    </row>
    <row r="1173" spans="1:10" x14ac:dyDescent="0.25">
      <c r="A1173" s="7" t="s">
        <v>27984</v>
      </c>
      <c r="B1173" s="8">
        <v>393.75</v>
      </c>
      <c r="C1173" s="8">
        <v>20.584240000000001</v>
      </c>
      <c r="D1173" s="8">
        <v>47</v>
      </c>
      <c r="E1173" s="8">
        <v>0</v>
      </c>
      <c r="F1173" s="8">
        <v>0</v>
      </c>
      <c r="G1173" s="8">
        <v>4</v>
      </c>
      <c r="H1173" s="8" t="s">
        <v>27985</v>
      </c>
      <c r="I1173" s="8">
        <v>526.6875</v>
      </c>
      <c r="J1173" s="3">
        <f t="shared" si="18"/>
        <v>43748.516549120373</v>
      </c>
    </row>
    <row r="1174" spans="1:10" x14ac:dyDescent="0.25">
      <c r="A1174" s="5" t="s">
        <v>27986</v>
      </c>
      <c r="B1174" s="6">
        <v>393.75</v>
      </c>
      <c r="C1174" s="6">
        <v>20.584240000000001</v>
      </c>
      <c r="D1174" s="6">
        <v>47</v>
      </c>
      <c r="E1174" s="6">
        <v>0</v>
      </c>
      <c r="F1174" s="6">
        <v>0</v>
      </c>
      <c r="G1174" s="6">
        <v>9</v>
      </c>
      <c r="H1174" s="6" t="s">
        <v>27987</v>
      </c>
      <c r="I1174" s="6">
        <v>526.6875</v>
      </c>
      <c r="J1174" s="2">
        <f t="shared" si="18"/>
        <v>43748.516620532406</v>
      </c>
    </row>
    <row r="1175" spans="1:10" x14ac:dyDescent="0.25">
      <c r="A1175" s="7" t="s">
        <v>27988</v>
      </c>
      <c r="B1175" s="8">
        <v>393.75</v>
      </c>
      <c r="C1175" s="8">
        <v>20.584240000000001</v>
      </c>
      <c r="D1175" s="8">
        <v>47</v>
      </c>
      <c r="E1175" s="8">
        <v>0</v>
      </c>
      <c r="F1175" s="8">
        <v>0</v>
      </c>
      <c r="G1175" s="8">
        <v>10</v>
      </c>
      <c r="H1175" s="8" t="s">
        <v>27989</v>
      </c>
      <c r="I1175" s="8">
        <v>526.6875</v>
      </c>
      <c r="J1175" s="3">
        <f t="shared" si="18"/>
        <v>43748.516692534722</v>
      </c>
    </row>
    <row r="1176" spans="1:10" x14ac:dyDescent="0.25">
      <c r="A1176" s="5" t="s">
        <v>27990</v>
      </c>
      <c r="B1176" s="6">
        <v>393.75</v>
      </c>
      <c r="C1176" s="6">
        <v>20.584240000000001</v>
      </c>
      <c r="D1176" s="6">
        <v>47</v>
      </c>
      <c r="E1176" s="6">
        <v>0</v>
      </c>
      <c r="F1176" s="6">
        <v>0</v>
      </c>
      <c r="G1176" s="6">
        <v>13</v>
      </c>
      <c r="H1176" s="6" t="s">
        <v>27991</v>
      </c>
      <c r="I1176" s="6">
        <v>526.6875</v>
      </c>
      <c r="J1176" s="2">
        <f t="shared" si="18"/>
        <v>43748.516776099532</v>
      </c>
    </row>
    <row r="1177" spans="1:10" x14ac:dyDescent="0.25">
      <c r="A1177" s="7" t="s">
        <v>27992</v>
      </c>
      <c r="B1177" s="8">
        <v>393.75</v>
      </c>
      <c r="C1177" s="8">
        <v>20.584240000000001</v>
      </c>
      <c r="D1177" s="8">
        <v>45</v>
      </c>
      <c r="E1177" s="8">
        <v>0</v>
      </c>
      <c r="F1177" s="8">
        <v>0</v>
      </c>
      <c r="G1177" s="8">
        <v>8</v>
      </c>
      <c r="H1177" s="8" t="s">
        <v>27993</v>
      </c>
      <c r="I1177" s="8">
        <v>526.6875</v>
      </c>
      <c r="J1177" s="3">
        <f t="shared" si="18"/>
        <v>43748.516847627317</v>
      </c>
    </row>
    <row r="1178" spans="1:10" x14ac:dyDescent="0.25">
      <c r="A1178" s="5" t="s">
        <v>27994</v>
      </c>
      <c r="B1178" s="6">
        <v>393.75</v>
      </c>
      <c r="C1178" s="6">
        <v>20.584240000000001</v>
      </c>
      <c r="D1178" s="6">
        <v>45</v>
      </c>
      <c r="E1178" s="6">
        <v>0</v>
      </c>
      <c r="F1178" s="6">
        <v>0</v>
      </c>
      <c r="G1178" s="6">
        <v>0</v>
      </c>
      <c r="H1178" s="6" t="s">
        <v>27995</v>
      </c>
      <c r="I1178" s="6">
        <v>526.6875</v>
      </c>
      <c r="J1178" s="2">
        <f t="shared" si="18"/>
        <v>43748.516931319442</v>
      </c>
    </row>
    <row r="1179" spans="1:10" x14ac:dyDescent="0.25">
      <c r="A1179" s="7" t="s">
        <v>27996</v>
      </c>
      <c r="B1179" s="8">
        <v>393.75</v>
      </c>
      <c r="C1179" s="8">
        <v>20.584240000000001</v>
      </c>
      <c r="D1179" s="8">
        <v>45</v>
      </c>
      <c r="E1179" s="8">
        <v>0</v>
      </c>
      <c r="F1179" s="8">
        <v>0</v>
      </c>
      <c r="G1179" s="8">
        <v>2</v>
      </c>
      <c r="H1179" s="8" t="s">
        <v>27997</v>
      </c>
      <c r="I1179" s="8">
        <v>526.5</v>
      </c>
      <c r="J1179" s="3">
        <f t="shared" si="18"/>
        <v>43748.517002835644</v>
      </c>
    </row>
    <row r="1180" spans="1:10" x14ac:dyDescent="0.25">
      <c r="A1180" s="5" t="s">
        <v>27998</v>
      </c>
      <c r="B1180" s="6">
        <v>393.75</v>
      </c>
      <c r="C1180" s="6">
        <v>20.531590000000001</v>
      </c>
      <c r="D1180" s="6">
        <v>45</v>
      </c>
      <c r="E1180" s="6">
        <v>0</v>
      </c>
      <c r="F1180" s="6">
        <v>0</v>
      </c>
      <c r="G1180" s="6">
        <v>6</v>
      </c>
      <c r="H1180" s="6" t="s">
        <v>27999</v>
      </c>
      <c r="I1180" s="6">
        <v>526.6875</v>
      </c>
      <c r="J1180" s="2">
        <f t="shared" si="18"/>
        <v>43748.517086157408</v>
      </c>
    </row>
    <row r="1181" spans="1:10" x14ac:dyDescent="0.25">
      <c r="A1181" s="7" t="s">
        <v>28000</v>
      </c>
      <c r="B1181" s="8">
        <v>393.75</v>
      </c>
      <c r="C1181" s="8">
        <v>20.584240000000001</v>
      </c>
      <c r="D1181" s="8">
        <v>45</v>
      </c>
      <c r="E1181" s="8">
        <v>0</v>
      </c>
      <c r="F1181" s="8">
        <v>0</v>
      </c>
      <c r="G1181" s="8">
        <v>0</v>
      </c>
      <c r="H1181" s="8" t="s">
        <v>28001</v>
      </c>
      <c r="I1181" s="8">
        <v>526.5</v>
      </c>
      <c r="J1181" s="3">
        <f t="shared" si="18"/>
        <v>43748.517169965278</v>
      </c>
    </row>
    <row r="1182" spans="1:10" x14ac:dyDescent="0.25">
      <c r="A1182" s="5" t="s">
        <v>28002</v>
      </c>
      <c r="B1182" s="6">
        <v>393.75</v>
      </c>
      <c r="C1182" s="6">
        <v>20.584240000000001</v>
      </c>
      <c r="D1182" s="6">
        <v>45</v>
      </c>
      <c r="E1182" s="6">
        <v>0</v>
      </c>
      <c r="F1182" s="6">
        <v>0</v>
      </c>
      <c r="G1182" s="6">
        <v>8</v>
      </c>
      <c r="H1182" s="6" t="s">
        <v>28003</v>
      </c>
      <c r="I1182" s="6">
        <v>526.6875</v>
      </c>
      <c r="J1182" s="2">
        <f t="shared" si="18"/>
        <v>43748.517252951387</v>
      </c>
    </row>
    <row r="1183" spans="1:10" x14ac:dyDescent="0.25">
      <c r="A1183" s="7" t="s">
        <v>28004</v>
      </c>
      <c r="B1183" s="8">
        <v>412.5</v>
      </c>
      <c r="C1183" s="8">
        <v>20.584240000000001</v>
      </c>
      <c r="D1183" s="8">
        <v>45</v>
      </c>
      <c r="E1183" s="8">
        <v>0</v>
      </c>
      <c r="F1183" s="8">
        <v>0</v>
      </c>
      <c r="G1183" s="8">
        <v>9</v>
      </c>
      <c r="H1183" s="8" t="s">
        <v>28005</v>
      </c>
      <c r="I1183" s="8">
        <v>532.6875</v>
      </c>
      <c r="J1183" s="3">
        <f t="shared" si="18"/>
        <v>43748.517324583336</v>
      </c>
    </row>
    <row r="1184" spans="1:10" x14ac:dyDescent="0.25">
      <c r="A1184" s="5" t="s">
        <v>28006</v>
      </c>
      <c r="B1184" s="6">
        <v>393.75</v>
      </c>
      <c r="C1184" s="6">
        <v>20.584240000000001</v>
      </c>
      <c r="D1184" s="6">
        <v>45</v>
      </c>
      <c r="E1184" s="6">
        <v>0</v>
      </c>
      <c r="F1184" s="6">
        <v>0</v>
      </c>
      <c r="G1184" s="6">
        <v>0</v>
      </c>
      <c r="H1184" s="6" t="s">
        <v>28007</v>
      </c>
      <c r="I1184" s="6">
        <v>526.6875</v>
      </c>
      <c r="J1184" s="2">
        <f t="shared" si="18"/>
        <v>43748.517408391206</v>
      </c>
    </row>
    <row r="1185" spans="1:10" x14ac:dyDescent="0.25">
      <c r="A1185" s="7" t="s">
        <v>28008</v>
      </c>
      <c r="B1185" s="8">
        <v>431.25</v>
      </c>
      <c r="C1185" s="8">
        <v>20.584240000000001</v>
      </c>
      <c r="D1185" s="8">
        <v>46</v>
      </c>
      <c r="E1185" s="8">
        <v>0</v>
      </c>
      <c r="F1185" s="8">
        <v>0</v>
      </c>
      <c r="G1185" s="8">
        <v>7</v>
      </c>
      <c r="H1185" s="8" t="s">
        <v>28009</v>
      </c>
      <c r="I1185" s="8">
        <v>538.875</v>
      </c>
      <c r="J1185" s="3">
        <f t="shared" si="18"/>
        <v>43748.517503773146</v>
      </c>
    </row>
    <row r="1186" spans="1:10" x14ac:dyDescent="0.25">
      <c r="A1186" s="5" t="s">
        <v>28010</v>
      </c>
      <c r="B1186" s="6">
        <v>393.75</v>
      </c>
      <c r="C1186" s="6">
        <v>20.584240000000001</v>
      </c>
      <c r="D1186" s="6">
        <v>46</v>
      </c>
      <c r="E1186" s="6">
        <v>0</v>
      </c>
      <c r="F1186" s="6">
        <v>0</v>
      </c>
      <c r="G1186" s="6">
        <v>2</v>
      </c>
      <c r="H1186" s="6" t="s">
        <v>28011</v>
      </c>
      <c r="I1186" s="6">
        <v>526.6875</v>
      </c>
      <c r="J1186" s="2">
        <f t="shared" si="18"/>
        <v>43748.517587210641</v>
      </c>
    </row>
    <row r="1187" spans="1:10" x14ac:dyDescent="0.25">
      <c r="A1187" s="7" t="s">
        <v>28012</v>
      </c>
      <c r="B1187" s="8">
        <v>393.75</v>
      </c>
      <c r="C1187" s="8">
        <v>20.584240000000001</v>
      </c>
      <c r="D1187" s="8">
        <v>48</v>
      </c>
      <c r="E1187" s="8">
        <v>0</v>
      </c>
      <c r="F1187" s="8">
        <v>0</v>
      </c>
      <c r="G1187" s="8">
        <v>7</v>
      </c>
      <c r="H1187" s="8" t="s">
        <v>28013</v>
      </c>
      <c r="I1187" s="8">
        <v>526.6875</v>
      </c>
      <c r="J1187" s="3">
        <f t="shared" si="18"/>
        <v>43748.517658854165</v>
      </c>
    </row>
    <row r="1188" spans="1:10" x14ac:dyDescent="0.25">
      <c r="A1188" s="5" t="s">
        <v>28014</v>
      </c>
      <c r="B1188" s="6">
        <v>412.5</v>
      </c>
      <c r="C1188" s="6">
        <v>20.584240000000001</v>
      </c>
      <c r="D1188" s="6">
        <v>47</v>
      </c>
      <c r="E1188" s="6">
        <v>0</v>
      </c>
      <c r="F1188" s="6">
        <v>0</v>
      </c>
      <c r="G1188" s="6">
        <v>19</v>
      </c>
      <c r="H1188" s="6" t="s">
        <v>28015</v>
      </c>
      <c r="I1188" s="6">
        <v>532.5</v>
      </c>
      <c r="J1188" s="2">
        <f t="shared" si="18"/>
        <v>43748.517742430551</v>
      </c>
    </row>
    <row r="1189" spans="1:10" x14ac:dyDescent="0.25">
      <c r="A1189" s="7" t="s">
        <v>28016</v>
      </c>
      <c r="B1189" s="8">
        <v>393.75</v>
      </c>
      <c r="C1189" s="8">
        <v>20.584240000000001</v>
      </c>
      <c r="D1189" s="8">
        <v>48</v>
      </c>
      <c r="E1189" s="8">
        <v>0</v>
      </c>
      <c r="F1189" s="8">
        <v>0</v>
      </c>
      <c r="G1189" s="8">
        <v>8</v>
      </c>
      <c r="H1189" s="8" t="s">
        <v>28017</v>
      </c>
      <c r="I1189" s="8">
        <v>526.6875</v>
      </c>
      <c r="J1189" s="3">
        <f t="shared" si="18"/>
        <v>43748.517813842591</v>
      </c>
    </row>
    <row r="1190" spans="1:10" x14ac:dyDescent="0.25">
      <c r="A1190" s="5" t="s">
        <v>28018</v>
      </c>
      <c r="B1190" s="6">
        <v>393.75</v>
      </c>
      <c r="C1190" s="6">
        <v>20.584240000000001</v>
      </c>
      <c r="D1190" s="6">
        <v>47</v>
      </c>
      <c r="E1190" s="6">
        <v>0</v>
      </c>
      <c r="F1190" s="6">
        <v>0</v>
      </c>
      <c r="G1190" s="6">
        <v>0</v>
      </c>
      <c r="H1190" s="6" t="s">
        <v>28019</v>
      </c>
      <c r="I1190" s="6">
        <v>526.5</v>
      </c>
      <c r="J1190" s="2">
        <f t="shared" si="18"/>
        <v>43748.517897280086</v>
      </c>
    </row>
    <row r="1191" spans="1:10" x14ac:dyDescent="0.25">
      <c r="A1191" s="7" t="s">
        <v>28020</v>
      </c>
      <c r="B1191" s="8">
        <v>393.75</v>
      </c>
      <c r="C1191" s="8">
        <v>20.584240000000001</v>
      </c>
      <c r="D1191" s="8">
        <v>48</v>
      </c>
      <c r="E1191" s="8">
        <v>0</v>
      </c>
      <c r="F1191" s="8">
        <v>0</v>
      </c>
      <c r="G1191" s="8">
        <v>9</v>
      </c>
      <c r="H1191" s="8" t="s">
        <v>28021</v>
      </c>
      <c r="I1191" s="8">
        <v>526.6875</v>
      </c>
      <c r="J1191" s="3">
        <f t="shared" si="18"/>
        <v>43748.517980925921</v>
      </c>
    </row>
    <row r="1192" spans="1:10" x14ac:dyDescent="0.25">
      <c r="A1192" s="5" t="s">
        <v>28022</v>
      </c>
      <c r="B1192" s="6">
        <v>393.75</v>
      </c>
      <c r="C1192" s="6">
        <v>20.584240000000001</v>
      </c>
      <c r="D1192" s="6">
        <v>49</v>
      </c>
      <c r="E1192" s="6">
        <v>0</v>
      </c>
      <c r="F1192" s="6">
        <v>0</v>
      </c>
      <c r="G1192" s="6">
        <v>10</v>
      </c>
      <c r="H1192" s="6" t="s">
        <v>28023</v>
      </c>
      <c r="I1192" s="6">
        <v>526.6875</v>
      </c>
      <c r="J1192" s="2">
        <f t="shared" si="18"/>
        <v>43748.518064050928</v>
      </c>
    </row>
    <row r="1193" spans="1:10" x14ac:dyDescent="0.25">
      <c r="A1193" s="7" t="s">
        <v>28024</v>
      </c>
      <c r="B1193" s="8">
        <v>393.75</v>
      </c>
      <c r="C1193" s="8">
        <v>20.584240000000001</v>
      </c>
      <c r="D1193" s="8">
        <v>49</v>
      </c>
      <c r="E1193" s="8">
        <v>0</v>
      </c>
      <c r="F1193" s="8">
        <v>0</v>
      </c>
      <c r="G1193" s="8">
        <v>3</v>
      </c>
      <c r="H1193" s="8" t="s">
        <v>28025</v>
      </c>
      <c r="I1193" s="8">
        <v>526.6875</v>
      </c>
      <c r="J1193" s="3">
        <f t="shared" si="18"/>
        <v>43748.518135706014</v>
      </c>
    </row>
    <row r="1194" spans="1:10" x14ac:dyDescent="0.25">
      <c r="A1194" s="5" t="s">
        <v>28026</v>
      </c>
      <c r="B1194" s="6">
        <v>393.75</v>
      </c>
      <c r="C1194" s="6">
        <v>20.584240000000001</v>
      </c>
      <c r="D1194" s="6">
        <v>49</v>
      </c>
      <c r="E1194" s="6">
        <v>0</v>
      </c>
      <c r="F1194" s="6">
        <v>0</v>
      </c>
      <c r="G1194" s="6">
        <v>4</v>
      </c>
      <c r="H1194" s="6" t="s">
        <v>28027</v>
      </c>
      <c r="I1194" s="6">
        <v>526.6875</v>
      </c>
      <c r="J1194" s="2">
        <f t="shared" si="18"/>
        <v>43748.518219490739</v>
      </c>
    </row>
    <row r="1195" spans="1:10" x14ac:dyDescent="0.25">
      <c r="A1195" s="7" t="s">
        <v>28028</v>
      </c>
      <c r="B1195" s="8">
        <v>393.75</v>
      </c>
      <c r="C1195" s="8">
        <v>20.584240000000001</v>
      </c>
      <c r="D1195" s="8">
        <v>48</v>
      </c>
      <c r="E1195" s="8">
        <v>0</v>
      </c>
      <c r="F1195" s="8">
        <v>0</v>
      </c>
      <c r="G1195" s="8">
        <v>4</v>
      </c>
      <c r="H1195" s="8" t="s">
        <v>28029</v>
      </c>
      <c r="I1195" s="8">
        <v>526.6875</v>
      </c>
      <c r="J1195" s="3">
        <f t="shared" si="18"/>
        <v>43748.518302986107</v>
      </c>
    </row>
    <row r="1196" spans="1:10" x14ac:dyDescent="0.25">
      <c r="A1196" s="5" t="s">
        <v>28030</v>
      </c>
      <c r="B1196" s="6">
        <v>412.5</v>
      </c>
      <c r="C1196" s="6">
        <v>20.584240000000001</v>
      </c>
      <c r="D1196" s="6">
        <v>47</v>
      </c>
      <c r="E1196" s="6">
        <v>0</v>
      </c>
      <c r="F1196" s="6">
        <v>0</v>
      </c>
      <c r="G1196" s="6">
        <v>6</v>
      </c>
      <c r="H1196" s="6" t="s">
        <v>28031</v>
      </c>
      <c r="I1196" s="6">
        <v>532.3125</v>
      </c>
      <c r="J1196" s="2">
        <f t="shared" si="18"/>
        <v>43748.518374687497</v>
      </c>
    </row>
    <row r="1197" spans="1:10" x14ac:dyDescent="0.25">
      <c r="A1197" s="7" t="s">
        <v>28032</v>
      </c>
      <c r="B1197" s="8">
        <v>393.75</v>
      </c>
      <c r="C1197" s="8">
        <v>20.584240000000001</v>
      </c>
      <c r="D1197" s="8">
        <v>45</v>
      </c>
      <c r="E1197" s="8">
        <v>0</v>
      </c>
      <c r="F1197" s="8">
        <v>0</v>
      </c>
      <c r="G1197" s="8">
        <v>0</v>
      </c>
      <c r="H1197" s="8" t="s">
        <v>28033</v>
      </c>
      <c r="I1197" s="8">
        <v>526.6875</v>
      </c>
      <c r="J1197" s="3">
        <f t="shared" si="18"/>
        <v>43748.518445995367</v>
      </c>
    </row>
    <row r="1198" spans="1:10" x14ac:dyDescent="0.25">
      <c r="A1198" s="5" t="s">
        <v>28034</v>
      </c>
      <c r="B1198" s="6">
        <v>393.75</v>
      </c>
      <c r="C1198" s="6">
        <v>20.584240000000001</v>
      </c>
      <c r="D1198" s="6">
        <v>45</v>
      </c>
      <c r="E1198" s="6">
        <v>0</v>
      </c>
      <c r="F1198" s="6">
        <v>0</v>
      </c>
      <c r="G1198" s="6">
        <v>2</v>
      </c>
      <c r="H1198" s="6" t="s">
        <v>28035</v>
      </c>
      <c r="I1198" s="6">
        <v>526.6875</v>
      </c>
      <c r="J1198" s="2">
        <f t="shared" si="18"/>
        <v>43748.518517511569</v>
      </c>
    </row>
    <row r="1199" spans="1:10" x14ac:dyDescent="0.25">
      <c r="A1199" s="7" t="s">
        <v>28036</v>
      </c>
      <c r="B1199" s="8">
        <v>393.75</v>
      </c>
      <c r="C1199" s="8">
        <v>20.584240000000001</v>
      </c>
      <c r="D1199" s="8">
        <v>45</v>
      </c>
      <c r="E1199" s="8">
        <v>0</v>
      </c>
      <c r="F1199" s="8">
        <v>0</v>
      </c>
      <c r="G1199" s="8">
        <v>8</v>
      </c>
      <c r="H1199" s="8" t="s">
        <v>28037</v>
      </c>
      <c r="I1199" s="8">
        <v>526.6875</v>
      </c>
      <c r="J1199" s="3">
        <f t="shared" si="18"/>
        <v>43748.51858960648</v>
      </c>
    </row>
    <row r="1200" spans="1:10" x14ac:dyDescent="0.25">
      <c r="A1200" s="5" t="s">
        <v>28038</v>
      </c>
      <c r="B1200" s="6">
        <v>393.75</v>
      </c>
      <c r="C1200" s="6">
        <v>20.584240000000001</v>
      </c>
      <c r="D1200" s="6">
        <v>45</v>
      </c>
      <c r="E1200" s="6">
        <v>0</v>
      </c>
      <c r="F1200" s="6">
        <v>0</v>
      </c>
      <c r="G1200" s="6">
        <v>1</v>
      </c>
      <c r="H1200" s="6" t="s">
        <v>28039</v>
      </c>
      <c r="I1200" s="6">
        <v>526.6875</v>
      </c>
      <c r="J1200" s="2">
        <f t="shared" si="18"/>
        <v>43748.518660787035</v>
      </c>
    </row>
    <row r="1201" spans="1:10" x14ac:dyDescent="0.25">
      <c r="A1201" s="7" t="s">
        <v>28040</v>
      </c>
      <c r="B1201" s="8">
        <v>393.75</v>
      </c>
      <c r="C1201" s="8">
        <v>20.584240000000001</v>
      </c>
      <c r="D1201" s="8">
        <v>45</v>
      </c>
      <c r="E1201" s="8">
        <v>0</v>
      </c>
      <c r="F1201" s="8">
        <v>0</v>
      </c>
      <c r="G1201" s="8">
        <v>11</v>
      </c>
      <c r="H1201" s="8" t="s">
        <v>28041</v>
      </c>
      <c r="I1201" s="8">
        <v>526.6875</v>
      </c>
      <c r="J1201" s="3">
        <f t="shared" si="18"/>
        <v>43748.518745127316</v>
      </c>
    </row>
    <row r="1202" spans="1:10" x14ac:dyDescent="0.25">
      <c r="A1202" s="5" t="s">
        <v>28042</v>
      </c>
      <c r="B1202" s="6">
        <v>393.75</v>
      </c>
      <c r="C1202" s="6">
        <v>20.584240000000001</v>
      </c>
      <c r="D1202" s="6">
        <v>46</v>
      </c>
      <c r="E1202" s="6">
        <v>0</v>
      </c>
      <c r="F1202" s="6">
        <v>0</v>
      </c>
      <c r="G1202" s="6">
        <v>3</v>
      </c>
      <c r="H1202" s="6" t="s">
        <v>28043</v>
      </c>
      <c r="I1202" s="6">
        <v>526.6875</v>
      </c>
      <c r="J1202" s="2">
        <f t="shared" si="18"/>
        <v>43748.518815810181</v>
      </c>
    </row>
    <row r="1203" spans="1:10" x14ac:dyDescent="0.25">
      <c r="A1203" s="7" t="s">
        <v>28044</v>
      </c>
      <c r="B1203" s="8">
        <v>393.75</v>
      </c>
      <c r="C1203" s="8">
        <v>20.584240000000001</v>
      </c>
      <c r="D1203" s="8">
        <v>46</v>
      </c>
      <c r="E1203" s="8">
        <v>0</v>
      </c>
      <c r="F1203" s="8">
        <v>0</v>
      </c>
      <c r="G1203" s="8">
        <v>0</v>
      </c>
      <c r="H1203" s="8" t="s">
        <v>28045</v>
      </c>
      <c r="I1203" s="8">
        <v>526.6875</v>
      </c>
      <c r="J1203" s="3">
        <f t="shared" si="18"/>
        <v>43748.51888762731</v>
      </c>
    </row>
    <row r="1204" spans="1:10" x14ac:dyDescent="0.25">
      <c r="A1204" s="5" t="s">
        <v>28046</v>
      </c>
      <c r="B1204" s="6">
        <v>393.75</v>
      </c>
      <c r="C1204" s="6">
        <v>20.584240000000001</v>
      </c>
      <c r="D1204" s="6">
        <v>45</v>
      </c>
      <c r="E1204" s="6">
        <v>0</v>
      </c>
      <c r="F1204" s="6">
        <v>0</v>
      </c>
      <c r="G1204" s="6">
        <v>2</v>
      </c>
      <c r="H1204" s="6" t="s">
        <v>28047</v>
      </c>
      <c r="I1204" s="6">
        <v>526.6875</v>
      </c>
      <c r="J1204" s="2">
        <f t="shared" si="18"/>
        <v>43748.518959201385</v>
      </c>
    </row>
    <row r="1205" spans="1:10" x14ac:dyDescent="0.25">
      <c r="A1205" s="7" t="s">
        <v>28048</v>
      </c>
      <c r="B1205" s="8">
        <v>393.75</v>
      </c>
      <c r="C1205" s="8">
        <v>20.584240000000001</v>
      </c>
      <c r="D1205" s="8">
        <v>45</v>
      </c>
      <c r="E1205" s="8">
        <v>0</v>
      </c>
      <c r="F1205" s="8">
        <v>0</v>
      </c>
      <c r="G1205" s="8">
        <v>2</v>
      </c>
      <c r="H1205" s="8" t="s">
        <v>28049</v>
      </c>
      <c r="I1205" s="8">
        <v>526.6875</v>
      </c>
      <c r="J1205" s="3">
        <f t="shared" si="18"/>
        <v>43748.519030312498</v>
      </c>
    </row>
    <row r="1206" spans="1:10" x14ac:dyDescent="0.25">
      <c r="A1206" s="5" t="s">
        <v>28050</v>
      </c>
      <c r="B1206" s="6">
        <v>393.75</v>
      </c>
      <c r="C1206" s="6">
        <v>20.531590000000001</v>
      </c>
      <c r="D1206" s="6">
        <v>45</v>
      </c>
      <c r="E1206" s="6">
        <v>0</v>
      </c>
      <c r="F1206" s="6">
        <v>0</v>
      </c>
      <c r="G1206" s="6">
        <v>11</v>
      </c>
      <c r="H1206" s="6" t="s">
        <v>28051</v>
      </c>
      <c r="I1206" s="6">
        <v>526.6875</v>
      </c>
      <c r="J1206" s="2">
        <f t="shared" si="18"/>
        <v>43748.519101956015</v>
      </c>
    </row>
    <row r="1207" spans="1:10" x14ac:dyDescent="0.25">
      <c r="A1207" s="7" t="s">
        <v>28052</v>
      </c>
      <c r="B1207" s="8">
        <v>393.75</v>
      </c>
      <c r="C1207" s="8">
        <v>20.584240000000001</v>
      </c>
      <c r="D1207" s="8">
        <v>45</v>
      </c>
      <c r="E1207" s="8">
        <v>0</v>
      </c>
      <c r="F1207" s="8">
        <v>0</v>
      </c>
      <c r="G1207" s="8">
        <v>0</v>
      </c>
      <c r="H1207" s="8" t="s">
        <v>28053</v>
      </c>
      <c r="I1207" s="8">
        <v>526.6875</v>
      </c>
      <c r="J1207" s="3">
        <f t="shared" si="18"/>
        <v>43748.519173622684</v>
      </c>
    </row>
    <row r="1208" spans="1:10" x14ac:dyDescent="0.25">
      <c r="A1208" s="5" t="s">
        <v>28054</v>
      </c>
      <c r="B1208" s="6">
        <v>415.625</v>
      </c>
      <c r="C1208" s="6">
        <v>20.584240000000001</v>
      </c>
      <c r="D1208" s="6">
        <v>45</v>
      </c>
      <c r="E1208" s="6">
        <v>0</v>
      </c>
      <c r="F1208" s="6">
        <v>0</v>
      </c>
      <c r="G1208" s="6">
        <v>3</v>
      </c>
      <c r="H1208" s="6" t="s">
        <v>28055</v>
      </c>
      <c r="I1208" s="6">
        <v>533.0625</v>
      </c>
      <c r="J1208" s="2">
        <f t="shared" si="18"/>
        <v>43748.519245613425</v>
      </c>
    </row>
    <row r="1209" spans="1:10" x14ac:dyDescent="0.25">
      <c r="A1209" s="7" t="s">
        <v>28056</v>
      </c>
      <c r="B1209" s="8">
        <v>393.75</v>
      </c>
      <c r="C1209" s="8">
        <v>20.584240000000001</v>
      </c>
      <c r="D1209" s="8">
        <v>45</v>
      </c>
      <c r="E1209" s="8">
        <v>0</v>
      </c>
      <c r="F1209" s="8">
        <v>0</v>
      </c>
      <c r="G1209" s="8">
        <v>4</v>
      </c>
      <c r="H1209" s="8" t="s">
        <v>28057</v>
      </c>
      <c r="I1209" s="8">
        <v>526.6875</v>
      </c>
      <c r="J1209" s="3">
        <f t="shared" si="18"/>
        <v>43748.519316956015</v>
      </c>
    </row>
    <row r="1210" spans="1:10" x14ac:dyDescent="0.25">
      <c r="A1210" s="5" t="s">
        <v>28058</v>
      </c>
      <c r="B1210" s="6">
        <v>393.75</v>
      </c>
      <c r="C1210" s="6">
        <v>20.584240000000001</v>
      </c>
      <c r="D1210" s="6">
        <v>45</v>
      </c>
      <c r="E1210" s="6">
        <v>0</v>
      </c>
      <c r="F1210" s="6">
        <v>0</v>
      </c>
      <c r="G1210" s="6">
        <v>11</v>
      </c>
      <c r="H1210" s="6" t="s">
        <v>28059</v>
      </c>
      <c r="I1210" s="6">
        <v>526.6875</v>
      </c>
      <c r="J1210" s="2">
        <f t="shared" si="18"/>
        <v>43748.519388842593</v>
      </c>
    </row>
    <row r="1211" spans="1:10" x14ac:dyDescent="0.25">
      <c r="A1211" s="7" t="s">
        <v>28060</v>
      </c>
      <c r="B1211" s="8">
        <v>393.75</v>
      </c>
      <c r="C1211" s="8">
        <v>20.584240000000001</v>
      </c>
      <c r="D1211" s="8">
        <v>43</v>
      </c>
      <c r="E1211" s="8">
        <v>0</v>
      </c>
      <c r="F1211" s="8">
        <v>0</v>
      </c>
      <c r="G1211" s="8">
        <v>16</v>
      </c>
      <c r="H1211" s="8" t="s">
        <v>28061</v>
      </c>
      <c r="I1211" s="8">
        <v>526.6875</v>
      </c>
      <c r="J1211" s="3">
        <f t="shared" si="18"/>
        <v>43748.519472418979</v>
      </c>
    </row>
    <row r="1212" spans="1:10" x14ac:dyDescent="0.25">
      <c r="A1212" s="5" t="s">
        <v>28062</v>
      </c>
      <c r="B1212" s="6">
        <v>393.75</v>
      </c>
      <c r="C1212" s="6">
        <v>20.584240000000001</v>
      </c>
      <c r="D1212" s="6">
        <v>43</v>
      </c>
      <c r="E1212" s="6">
        <v>0</v>
      </c>
      <c r="F1212" s="6">
        <v>0</v>
      </c>
      <c r="G1212" s="6">
        <v>11</v>
      </c>
      <c r="H1212" s="6" t="s">
        <v>28063</v>
      </c>
      <c r="I1212" s="6">
        <v>526.6875</v>
      </c>
      <c r="J1212" s="2">
        <f t="shared" si="18"/>
        <v>43748.519561921297</v>
      </c>
    </row>
    <row r="1213" spans="1:10" x14ac:dyDescent="0.25">
      <c r="A1213" s="7" t="s">
        <v>28064</v>
      </c>
      <c r="B1213" s="8">
        <v>393.75</v>
      </c>
      <c r="C1213" s="8">
        <v>20.584240000000001</v>
      </c>
      <c r="D1213" s="8">
        <v>43</v>
      </c>
      <c r="E1213" s="8">
        <v>0</v>
      </c>
      <c r="F1213" s="8">
        <v>0</v>
      </c>
      <c r="G1213" s="8">
        <v>10</v>
      </c>
      <c r="H1213" s="8" t="s">
        <v>28065</v>
      </c>
      <c r="I1213" s="8">
        <v>526.6875</v>
      </c>
      <c r="J1213" s="3">
        <f t="shared" si="18"/>
        <v>43748.519639918981</v>
      </c>
    </row>
    <row r="1214" spans="1:10" x14ac:dyDescent="0.25">
      <c r="A1214" s="5" t="s">
        <v>28066</v>
      </c>
      <c r="B1214" s="6">
        <v>418.75</v>
      </c>
      <c r="C1214" s="6">
        <v>20.584240000000001</v>
      </c>
      <c r="D1214" s="6">
        <v>44</v>
      </c>
      <c r="E1214" s="6">
        <v>0</v>
      </c>
      <c r="F1214" s="6">
        <v>0</v>
      </c>
      <c r="G1214" s="6">
        <v>16</v>
      </c>
      <c r="H1214" s="6" t="s">
        <v>28067</v>
      </c>
      <c r="I1214" s="6">
        <v>534.75</v>
      </c>
      <c r="J1214" s="2">
        <f t="shared" si="18"/>
        <v>43748.519711249995</v>
      </c>
    </row>
    <row r="1215" spans="1:10" x14ac:dyDescent="0.25">
      <c r="A1215" s="7" t="s">
        <v>28068</v>
      </c>
      <c r="B1215" s="8">
        <v>393.75</v>
      </c>
      <c r="C1215" s="8">
        <v>20.584240000000001</v>
      </c>
      <c r="D1215" s="8">
        <v>44</v>
      </c>
      <c r="E1215" s="8">
        <v>0</v>
      </c>
      <c r="F1215" s="8">
        <v>0</v>
      </c>
      <c r="G1215" s="8">
        <v>19</v>
      </c>
      <c r="H1215" s="8" t="s">
        <v>28069</v>
      </c>
      <c r="I1215" s="8">
        <v>526.875</v>
      </c>
      <c r="J1215" s="3">
        <f t="shared" si="18"/>
        <v>43748.519781944444</v>
      </c>
    </row>
    <row r="1216" spans="1:10" x14ac:dyDescent="0.25">
      <c r="A1216" s="5" t="s">
        <v>28070</v>
      </c>
      <c r="B1216" s="6">
        <v>393.75</v>
      </c>
      <c r="C1216" s="6">
        <v>20.584240000000001</v>
      </c>
      <c r="D1216" s="6">
        <v>44</v>
      </c>
      <c r="E1216" s="6">
        <v>0</v>
      </c>
      <c r="F1216" s="6">
        <v>0</v>
      </c>
      <c r="G1216" s="6">
        <v>22</v>
      </c>
      <c r="H1216" s="6" t="s">
        <v>28071</v>
      </c>
      <c r="I1216" s="6">
        <v>526.6875</v>
      </c>
      <c r="J1216" s="2">
        <f t="shared" si="18"/>
        <v>43748.519865196758</v>
      </c>
    </row>
    <row r="1217" spans="1:10" x14ac:dyDescent="0.25">
      <c r="A1217" s="7" t="s">
        <v>28072</v>
      </c>
      <c r="B1217" s="8">
        <v>393.75</v>
      </c>
      <c r="C1217" s="8">
        <v>20.584240000000001</v>
      </c>
      <c r="D1217" s="8">
        <v>45</v>
      </c>
      <c r="E1217" s="8">
        <v>0</v>
      </c>
      <c r="F1217" s="8">
        <v>0</v>
      </c>
      <c r="G1217" s="8">
        <v>20</v>
      </c>
      <c r="H1217" s="8" t="s">
        <v>28073</v>
      </c>
      <c r="I1217" s="8">
        <v>526.6875</v>
      </c>
      <c r="J1217" s="3">
        <f t="shared" si="18"/>
        <v>43748.519949120368</v>
      </c>
    </row>
    <row r="1218" spans="1:10" x14ac:dyDescent="0.25">
      <c r="A1218" s="5" t="s">
        <v>28074</v>
      </c>
      <c r="B1218" s="6">
        <v>393.75</v>
      </c>
      <c r="C1218" s="6">
        <v>20.584240000000001</v>
      </c>
      <c r="D1218" s="6">
        <v>45</v>
      </c>
      <c r="E1218" s="6">
        <v>0</v>
      </c>
      <c r="F1218" s="6">
        <v>0</v>
      </c>
      <c r="G1218" s="6">
        <v>15</v>
      </c>
      <c r="H1218" s="6" t="s">
        <v>28075</v>
      </c>
      <c r="I1218" s="6">
        <v>526.6875</v>
      </c>
      <c r="J1218" s="2">
        <f t="shared" ref="J1218:J1281" si="19">(H1218/86400000)+25569+(7/24)</f>
        <v>43748.520032465276</v>
      </c>
    </row>
    <row r="1219" spans="1:10" x14ac:dyDescent="0.25">
      <c r="A1219" s="7" t="s">
        <v>28076</v>
      </c>
      <c r="B1219" s="8">
        <v>393.75</v>
      </c>
      <c r="C1219" s="8">
        <v>20.584240000000001</v>
      </c>
      <c r="D1219" s="8">
        <v>45</v>
      </c>
      <c r="E1219" s="8">
        <v>0</v>
      </c>
      <c r="F1219" s="8">
        <v>0</v>
      </c>
      <c r="G1219" s="8">
        <v>6</v>
      </c>
      <c r="H1219" s="8" t="s">
        <v>28077</v>
      </c>
      <c r="I1219" s="8">
        <v>526.6875</v>
      </c>
      <c r="J1219" s="3">
        <f t="shared" si="19"/>
        <v>43748.520115810185</v>
      </c>
    </row>
    <row r="1220" spans="1:10" x14ac:dyDescent="0.25">
      <c r="A1220" s="5" t="s">
        <v>28078</v>
      </c>
      <c r="B1220" s="6">
        <v>393.75</v>
      </c>
      <c r="C1220" s="6">
        <v>20.531590000000001</v>
      </c>
      <c r="D1220" s="6">
        <v>45</v>
      </c>
      <c r="E1220" s="6">
        <v>0</v>
      </c>
      <c r="F1220" s="6">
        <v>0</v>
      </c>
      <c r="G1220" s="6">
        <v>10</v>
      </c>
      <c r="H1220" s="6" t="s">
        <v>28079</v>
      </c>
      <c r="I1220" s="6">
        <v>526.6875</v>
      </c>
      <c r="J1220" s="2">
        <f t="shared" si="19"/>
        <v>43748.520187546295</v>
      </c>
    </row>
    <row r="1221" spans="1:10" x14ac:dyDescent="0.25">
      <c r="A1221" s="7" t="s">
        <v>28080</v>
      </c>
      <c r="B1221" s="8">
        <v>393.75</v>
      </c>
      <c r="C1221" s="8">
        <v>20.584240000000001</v>
      </c>
      <c r="D1221" s="8">
        <v>45</v>
      </c>
      <c r="E1221" s="8">
        <v>0</v>
      </c>
      <c r="F1221" s="8">
        <v>0</v>
      </c>
      <c r="G1221" s="8">
        <v>8</v>
      </c>
      <c r="H1221" s="8" t="s">
        <v>28081</v>
      </c>
      <c r="I1221" s="8">
        <v>526.6875</v>
      </c>
      <c r="J1221" s="3">
        <f t="shared" si="19"/>
        <v>43748.520271122681</v>
      </c>
    </row>
    <row r="1222" spans="1:10" x14ac:dyDescent="0.25">
      <c r="A1222" s="5" t="s">
        <v>28082</v>
      </c>
      <c r="B1222" s="6">
        <v>393.75</v>
      </c>
      <c r="C1222" s="6">
        <v>20.584240000000001</v>
      </c>
      <c r="D1222" s="6">
        <v>44</v>
      </c>
      <c r="E1222" s="6">
        <v>0</v>
      </c>
      <c r="F1222" s="6">
        <v>0</v>
      </c>
      <c r="G1222" s="6">
        <v>8</v>
      </c>
      <c r="H1222" s="6" t="s">
        <v>28083</v>
      </c>
      <c r="I1222" s="6">
        <v>526.6875</v>
      </c>
      <c r="J1222" s="2">
        <f t="shared" si="19"/>
        <v>43748.520354548607</v>
      </c>
    </row>
    <row r="1223" spans="1:10" x14ac:dyDescent="0.25">
      <c r="A1223" s="7" t="s">
        <v>28084</v>
      </c>
      <c r="B1223" s="8">
        <v>393.75</v>
      </c>
      <c r="C1223" s="8">
        <v>20.584240000000001</v>
      </c>
      <c r="D1223" s="8">
        <v>45</v>
      </c>
      <c r="E1223" s="8">
        <v>0</v>
      </c>
      <c r="F1223" s="8">
        <v>0</v>
      </c>
      <c r="G1223" s="8">
        <v>7</v>
      </c>
      <c r="H1223" s="8" t="s">
        <v>28085</v>
      </c>
      <c r="I1223" s="8">
        <v>526.6875</v>
      </c>
      <c r="J1223" s="3">
        <f t="shared" si="19"/>
        <v>43748.520426099531</v>
      </c>
    </row>
    <row r="1224" spans="1:10" x14ac:dyDescent="0.25">
      <c r="A1224" s="5" t="s">
        <v>28086</v>
      </c>
      <c r="B1224" s="6">
        <v>393.75</v>
      </c>
      <c r="C1224" s="6">
        <v>20.584240000000001</v>
      </c>
      <c r="D1224" s="6">
        <v>45</v>
      </c>
      <c r="E1224" s="6">
        <v>0</v>
      </c>
      <c r="F1224" s="6">
        <v>0</v>
      </c>
      <c r="G1224" s="6">
        <v>3</v>
      </c>
      <c r="H1224" s="6" t="s">
        <v>28087</v>
      </c>
      <c r="I1224" s="6">
        <v>526.6875</v>
      </c>
      <c r="J1224" s="2">
        <f t="shared" si="19"/>
        <v>43748.520497372687</v>
      </c>
    </row>
    <row r="1225" spans="1:10" x14ac:dyDescent="0.25">
      <c r="A1225" s="7" t="s">
        <v>28088</v>
      </c>
      <c r="B1225" s="8">
        <v>393.75</v>
      </c>
      <c r="C1225" s="8">
        <v>20.584240000000001</v>
      </c>
      <c r="D1225" s="8">
        <v>45</v>
      </c>
      <c r="E1225" s="8">
        <v>0</v>
      </c>
      <c r="F1225" s="8">
        <v>0</v>
      </c>
      <c r="G1225" s="8">
        <v>3</v>
      </c>
      <c r="H1225" s="8" t="s">
        <v>28089</v>
      </c>
      <c r="I1225" s="8">
        <v>526.6875</v>
      </c>
      <c r="J1225" s="3">
        <f t="shared" si="19"/>
        <v>43748.520569120366</v>
      </c>
    </row>
    <row r="1226" spans="1:10" x14ac:dyDescent="0.25">
      <c r="A1226" s="5" t="s">
        <v>28090</v>
      </c>
      <c r="B1226" s="6">
        <v>412.5</v>
      </c>
      <c r="C1226" s="6">
        <v>20.584240000000001</v>
      </c>
      <c r="D1226" s="6">
        <v>45</v>
      </c>
      <c r="E1226" s="6">
        <v>0</v>
      </c>
      <c r="F1226" s="6">
        <v>0</v>
      </c>
      <c r="G1226" s="6">
        <v>6</v>
      </c>
      <c r="H1226" s="6" t="s">
        <v>28091</v>
      </c>
      <c r="I1226" s="6">
        <v>532.3125</v>
      </c>
      <c r="J1226" s="2">
        <f t="shared" si="19"/>
        <v>43748.520652835643</v>
      </c>
    </row>
    <row r="1227" spans="1:10" x14ac:dyDescent="0.25">
      <c r="A1227" s="7" t="s">
        <v>28092</v>
      </c>
      <c r="B1227" s="8">
        <v>393.75</v>
      </c>
      <c r="C1227" s="8">
        <v>20.584240000000001</v>
      </c>
      <c r="D1227" s="8">
        <v>43</v>
      </c>
      <c r="E1227" s="8">
        <v>0</v>
      </c>
      <c r="F1227" s="8">
        <v>0</v>
      </c>
      <c r="G1227" s="8">
        <v>6</v>
      </c>
      <c r="H1227" s="8" t="s">
        <v>28093</v>
      </c>
      <c r="I1227" s="8">
        <v>526.6875</v>
      </c>
      <c r="J1227" s="3">
        <f t="shared" si="19"/>
        <v>43748.520724351845</v>
      </c>
    </row>
    <row r="1228" spans="1:10" x14ac:dyDescent="0.25">
      <c r="A1228" s="5" t="s">
        <v>28094</v>
      </c>
      <c r="B1228" s="6">
        <v>393.75</v>
      </c>
      <c r="C1228" s="6">
        <v>20.531590000000001</v>
      </c>
      <c r="D1228" s="6">
        <v>43</v>
      </c>
      <c r="E1228" s="6">
        <v>0</v>
      </c>
      <c r="F1228" s="6">
        <v>0</v>
      </c>
      <c r="G1228" s="6">
        <v>0</v>
      </c>
      <c r="H1228" s="6" t="s">
        <v>28095</v>
      </c>
      <c r="I1228" s="6">
        <v>526.6875</v>
      </c>
      <c r="J1228" s="2">
        <f t="shared" si="19"/>
        <v>43748.5207958912</v>
      </c>
    </row>
    <row r="1229" spans="1:10" x14ac:dyDescent="0.25">
      <c r="A1229" s="7" t="s">
        <v>28096</v>
      </c>
      <c r="B1229" s="8">
        <v>393.75</v>
      </c>
      <c r="C1229" s="8">
        <v>20.584240000000001</v>
      </c>
      <c r="D1229" s="8">
        <v>43</v>
      </c>
      <c r="E1229" s="8">
        <v>0</v>
      </c>
      <c r="F1229" s="8">
        <v>0</v>
      </c>
      <c r="G1229" s="8">
        <v>0</v>
      </c>
      <c r="H1229" s="8" t="s">
        <v>28097</v>
      </c>
      <c r="I1229" s="8">
        <v>526.6875</v>
      </c>
      <c r="J1229" s="3">
        <f t="shared" si="19"/>
        <v>43748.520892314809</v>
      </c>
    </row>
    <row r="1230" spans="1:10" x14ac:dyDescent="0.25">
      <c r="A1230" s="5" t="s">
        <v>28098</v>
      </c>
      <c r="B1230" s="6">
        <v>393.75</v>
      </c>
      <c r="C1230" s="6">
        <v>20.584240000000001</v>
      </c>
      <c r="D1230" s="6">
        <v>43</v>
      </c>
      <c r="E1230" s="6">
        <v>0</v>
      </c>
      <c r="F1230" s="6">
        <v>0</v>
      </c>
      <c r="G1230" s="6">
        <v>7</v>
      </c>
      <c r="H1230" s="6" t="s">
        <v>28099</v>
      </c>
      <c r="I1230" s="6">
        <v>526.6875</v>
      </c>
      <c r="J1230" s="2">
        <f t="shared" si="19"/>
        <v>43748.52097503472</v>
      </c>
    </row>
    <row r="1231" spans="1:10" x14ac:dyDescent="0.25">
      <c r="A1231" s="7" t="s">
        <v>28100</v>
      </c>
      <c r="B1231" s="8">
        <v>428.125</v>
      </c>
      <c r="C1231" s="8">
        <v>20.584240000000001</v>
      </c>
      <c r="D1231" s="8">
        <v>43</v>
      </c>
      <c r="E1231" s="8">
        <v>0</v>
      </c>
      <c r="F1231" s="8">
        <v>0</v>
      </c>
      <c r="G1231" s="8">
        <v>12</v>
      </c>
      <c r="H1231" s="8" t="s">
        <v>28101</v>
      </c>
      <c r="I1231" s="8">
        <v>537.1875</v>
      </c>
      <c r="J1231" s="3">
        <f t="shared" si="19"/>
        <v>43748.521058391205</v>
      </c>
    </row>
    <row r="1232" spans="1:10" x14ac:dyDescent="0.25">
      <c r="A1232" s="5" t="s">
        <v>28102</v>
      </c>
      <c r="B1232" s="6">
        <v>393.75</v>
      </c>
      <c r="C1232" s="6">
        <v>20.584240000000001</v>
      </c>
      <c r="D1232" s="6">
        <v>44</v>
      </c>
      <c r="E1232" s="6">
        <v>0</v>
      </c>
      <c r="F1232" s="6">
        <v>0</v>
      </c>
      <c r="G1232" s="6">
        <v>8</v>
      </c>
      <c r="H1232" s="6" t="s">
        <v>28103</v>
      </c>
      <c r="I1232" s="6">
        <v>526.6875</v>
      </c>
      <c r="J1232" s="2">
        <f t="shared" si="19"/>
        <v>43748.521141724537</v>
      </c>
    </row>
    <row r="1233" spans="1:10" x14ac:dyDescent="0.25">
      <c r="A1233" s="7" t="s">
        <v>28104</v>
      </c>
      <c r="B1233" s="8">
        <v>393.75</v>
      </c>
      <c r="C1233" s="8">
        <v>20.584240000000001</v>
      </c>
      <c r="D1233" s="8">
        <v>44</v>
      </c>
      <c r="E1233" s="8">
        <v>0</v>
      </c>
      <c r="F1233" s="8">
        <v>0</v>
      </c>
      <c r="G1233" s="8">
        <v>6</v>
      </c>
      <c r="H1233" s="8" t="s">
        <v>28105</v>
      </c>
      <c r="I1233" s="8">
        <v>526.6875</v>
      </c>
      <c r="J1233" s="3">
        <f t="shared" si="19"/>
        <v>43748.521213472217</v>
      </c>
    </row>
    <row r="1234" spans="1:10" x14ac:dyDescent="0.25">
      <c r="A1234" s="5" t="s">
        <v>28106</v>
      </c>
      <c r="B1234" s="6">
        <v>393.75</v>
      </c>
      <c r="C1234" s="6">
        <v>20.584240000000001</v>
      </c>
      <c r="D1234" s="6">
        <v>43</v>
      </c>
      <c r="E1234" s="6">
        <v>0</v>
      </c>
      <c r="F1234" s="6">
        <v>0</v>
      </c>
      <c r="G1234" s="6">
        <v>7</v>
      </c>
      <c r="H1234" s="6" t="s">
        <v>28107</v>
      </c>
      <c r="I1234" s="6">
        <v>526.6875</v>
      </c>
      <c r="J1234" s="2">
        <f t="shared" si="19"/>
        <v>43748.521296932864</v>
      </c>
    </row>
    <row r="1235" spans="1:10" x14ac:dyDescent="0.25">
      <c r="A1235" s="7" t="s">
        <v>28108</v>
      </c>
      <c r="B1235" s="8">
        <v>393.75</v>
      </c>
      <c r="C1235" s="8">
        <v>20.531590000000001</v>
      </c>
      <c r="D1235" s="8">
        <v>42</v>
      </c>
      <c r="E1235" s="8">
        <v>0</v>
      </c>
      <c r="F1235" s="8">
        <v>0</v>
      </c>
      <c r="G1235" s="8">
        <v>7</v>
      </c>
      <c r="H1235" s="8" t="s">
        <v>28109</v>
      </c>
      <c r="I1235" s="8">
        <v>526.6875</v>
      </c>
      <c r="J1235" s="3">
        <f t="shared" si="19"/>
        <v>43748.52139243055</v>
      </c>
    </row>
    <row r="1236" spans="1:10" x14ac:dyDescent="0.25">
      <c r="A1236" s="5" t="s">
        <v>28110</v>
      </c>
      <c r="B1236" s="6">
        <v>393.75</v>
      </c>
      <c r="C1236" s="6">
        <v>20.584240000000001</v>
      </c>
      <c r="D1236" s="6">
        <v>42</v>
      </c>
      <c r="E1236" s="6">
        <v>0</v>
      </c>
      <c r="F1236" s="6">
        <v>0</v>
      </c>
      <c r="G1236" s="6">
        <v>6</v>
      </c>
      <c r="H1236" s="6" t="s">
        <v>28111</v>
      </c>
      <c r="I1236" s="6">
        <v>526.6875</v>
      </c>
      <c r="J1236" s="2">
        <f t="shared" si="19"/>
        <v>43748.521463715275</v>
      </c>
    </row>
    <row r="1237" spans="1:10" x14ac:dyDescent="0.25">
      <c r="A1237" s="7" t="s">
        <v>28112</v>
      </c>
      <c r="B1237" s="8">
        <v>393.75</v>
      </c>
      <c r="C1237" s="8">
        <v>20.584240000000001</v>
      </c>
      <c r="D1237" s="8">
        <v>41</v>
      </c>
      <c r="E1237" s="8">
        <v>0</v>
      </c>
      <c r="F1237" s="8">
        <v>0</v>
      </c>
      <c r="G1237" s="8">
        <v>5</v>
      </c>
      <c r="H1237" s="8" t="s">
        <v>28113</v>
      </c>
      <c r="I1237" s="8">
        <v>526.6875</v>
      </c>
      <c r="J1237" s="3">
        <f t="shared" si="19"/>
        <v>43748.521535486107</v>
      </c>
    </row>
    <row r="1238" spans="1:10" x14ac:dyDescent="0.25">
      <c r="A1238" s="5" t="s">
        <v>28114</v>
      </c>
      <c r="B1238" s="6">
        <v>393.75</v>
      </c>
      <c r="C1238" s="6">
        <v>20.584240000000001</v>
      </c>
      <c r="D1238" s="6">
        <v>41</v>
      </c>
      <c r="E1238" s="6">
        <v>0</v>
      </c>
      <c r="F1238" s="6">
        <v>0</v>
      </c>
      <c r="G1238" s="6">
        <v>6</v>
      </c>
      <c r="H1238" s="6" t="s">
        <v>28115</v>
      </c>
      <c r="I1238" s="6">
        <v>526.6875</v>
      </c>
      <c r="J1238" s="2">
        <f t="shared" si="19"/>
        <v>43748.521619155094</v>
      </c>
    </row>
    <row r="1239" spans="1:10" x14ac:dyDescent="0.25">
      <c r="A1239" s="7" t="s">
        <v>28116</v>
      </c>
      <c r="B1239" s="8">
        <v>412.5</v>
      </c>
      <c r="C1239" s="8">
        <v>20.584240000000001</v>
      </c>
      <c r="D1239" s="8">
        <v>42</v>
      </c>
      <c r="E1239" s="8">
        <v>0</v>
      </c>
      <c r="F1239" s="8">
        <v>0</v>
      </c>
      <c r="G1239" s="8">
        <v>3</v>
      </c>
      <c r="H1239" s="8" t="s">
        <v>28117</v>
      </c>
      <c r="I1239" s="8">
        <v>532.3125</v>
      </c>
      <c r="J1239" s="3">
        <f t="shared" si="19"/>
        <v>43748.521702499995</v>
      </c>
    </row>
    <row r="1240" spans="1:10" x14ac:dyDescent="0.25">
      <c r="A1240" s="5" t="s">
        <v>28118</v>
      </c>
      <c r="B1240" s="6">
        <v>393.75</v>
      </c>
      <c r="C1240" s="6">
        <v>20.584240000000001</v>
      </c>
      <c r="D1240" s="6">
        <v>42</v>
      </c>
      <c r="E1240" s="6">
        <v>0</v>
      </c>
      <c r="F1240" s="6">
        <v>0</v>
      </c>
      <c r="G1240" s="6">
        <v>0</v>
      </c>
      <c r="H1240" s="6" t="s">
        <v>28119</v>
      </c>
      <c r="I1240" s="6">
        <v>526.6875</v>
      </c>
      <c r="J1240" s="2">
        <f t="shared" si="19"/>
        <v>43748.521786168982</v>
      </c>
    </row>
    <row r="1241" spans="1:10" x14ac:dyDescent="0.25">
      <c r="A1241" s="7" t="s">
        <v>28120</v>
      </c>
      <c r="B1241" s="8">
        <v>393.75</v>
      </c>
      <c r="C1241" s="8">
        <v>20.584240000000001</v>
      </c>
      <c r="D1241" s="8">
        <v>42</v>
      </c>
      <c r="E1241" s="8">
        <v>0</v>
      </c>
      <c r="F1241" s="8">
        <v>0</v>
      </c>
      <c r="G1241" s="8">
        <v>6</v>
      </c>
      <c r="H1241" s="8" t="s">
        <v>28121</v>
      </c>
      <c r="I1241" s="8">
        <v>526.6875</v>
      </c>
      <c r="J1241" s="3">
        <f t="shared" si="19"/>
        <v>43748.521869502314</v>
      </c>
    </row>
    <row r="1242" spans="1:10" x14ac:dyDescent="0.25">
      <c r="A1242" s="5" t="s">
        <v>28122</v>
      </c>
      <c r="B1242" s="6">
        <v>393.75</v>
      </c>
      <c r="C1242" s="6">
        <v>20.584240000000001</v>
      </c>
      <c r="D1242" s="6">
        <v>45</v>
      </c>
      <c r="E1242" s="6">
        <v>0</v>
      </c>
      <c r="F1242" s="6">
        <v>0</v>
      </c>
      <c r="G1242" s="6">
        <v>4</v>
      </c>
      <c r="H1242" s="6" t="s">
        <v>28123</v>
      </c>
      <c r="I1242" s="6">
        <v>526.6875</v>
      </c>
      <c r="J1242" s="2">
        <f t="shared" si="19"/>
        <v>43748.521941030085</v>
      </c>
    </row>
    <row r="1243" spans="1:10" x14ac:dyDescent="0.25">
      <c r="A1243" s="7" t="s">
        <v>28124</v>
      </c>
      <c r="B1243" s="8">
        <v>393.75</v>
      </c>
      <c r="C1243" s="8">
        <v>20.584240000000001</v>
      </c>
      <c r="D1243" s="8">
        <v>45</v>
      </c>
      <c r="E1243" s="8">
        <v>0</v>
      </c>
      <c r="F1243" s="8">
        <v>0</v>
      </c>
      <c r="G1243" s="8">
        <v>6</v>
      </c>
      <c r="H1243" s="8" t="s">
        <v>28125</v>
      </c>
      <c r="I1243" s="8">
        <v>526.6875</v>
      </c>
      <c r="J1243" s="3">
        <f t="shared" si="19"/>
        <v>43748.522024363425</v>
      </c>
    </row>
    <row r="1244" spans="1:10" x14ac:dyDescent="0.25">
      <c r="A1244" s="5" t="s">
        <v>28126</v>
      </c>
      <c r="B1244" s="6">
        <v>412.5</v>
      </c>
      <c r="C1244" s="6">
        <v>20.584240000000001</v>
      </c>
      <c r="D1244" s="6">
        <v>47</v>
      </c>
      <c r="E1244" s="6">
        <v>0</v>
      </c>
      <c r="F1244" s="6">
        <v>0</v>
      </c>
      <c r="G1244" s="6">
        <v>3</v>
      </c>
      <c r="H1244" s="6" t="s">
        <v>28127</v>
      </c>
      <c r="I1244" s="6">
        <v>532.3125</v>
      </c>
      <c r="J1244" s="2">
        <f t="shared" si="19"/>
        <v>43748.522108171295</v>
      </c>
    </row>
    <row r="1245" spans="1:10" x14ac:dyDescent="0.25">
      <c r="A1245" s="7" t="s">
        <v>28128</v>
      </c>
      <c r="B1245" s="8">
        <v>393.75</v>
      </c>
      <c r="C1245" s="8">
        <v>20.531590000000001</v>
      </c>
      <c r="D1245" s="8">
        <v>46</v>
      </c>
      <c r="E1245" s="8">
        <v>0</v>
      </c>
      <c r="F1245" s="8">
        <v>0</v>
      </c>
      <c r="G1245" s="8">
        <v>1</v>
      </c>
      <c r="H1245" s="8" t="s">
        <v>28129</v>
      </c>
      <c r="I1245" s="8">
        <v>526.6875</v>
      </c>
      <c r="J1245" s="3">
        <f t="shared" si="19"/>
        <v>43748.522191620366</v>
      </c>
    </row>
    <row r="1246" spans="1:10" x14ac:dyDescent="0.25">
      <c r="A1246" s="5" t="s">
        <v>28130</v>
      </c>
      <c r="B1246" s="6">
        <v>393.75</v>
      </c>
      <c r="C1246" s="6">
        <v>20.584240000000001</v>
      </c>
      <c r="D1246" s="6">
        <v>46</v>
      </c>
      <c r="E1246" s="6">
        <v>0</v>
      </c>
      <c r="F1246" s="6">
        <v>0</v>
      </c>
      <c r="G1246" s="6">
        <v>5</v>
      </c>
      <c r="H1246" s="6" t="s">
        <v>28131</v>
      </c>
      <c r="I1246" s="6">
        <v>526.6875</v>
      </c>
      <c r="J1246" s="2">
        <f t="shared" si="19"/>
        <v>43748.522263263883</v>
      </c>
    </row>
    <row r="1247" spans="1:10" x14ac:dyDescent="0.25">
      <c r="A1247" s="7" t="s">
        <v>28132</v>
      </c>
      <c r="B1247" s="8">
        <v>393.75</v>
      </c>
      <c r="C1247" s="8">
        <v>20.584240000000001</v>
      </c>
      <c r="D1247" s="8">
        <v>46</v>
      </c>
      <c r="E1247" s="8">
        <v>0</v>
      </c>
      <c r="F1247" s="8">
        <v>0</v>
      </c>
      <c r="G1247" s="8">
        <v>0</v>
      </c>
      <c r="H1247" s="8" t="s">
        <v>28133</v>
      </c>
      <c r="I1247" s="8">
        <v>526.6875</v>
      </c>
      <c r="J1247" s="3">
        <f t="shared" si="19"/>
        <v>43748.522346712962</v>
      </c>
    </row>
    <row r="1248" spans="1:10" x14ac:dyDescent="0.25">
      <c r="A1248" s="5" t="s">
        <v>28134</v>
      </c>
      <c r="B1248" s="6">
        <v>393.75</v>
      </c>
      <c r="C1248" s="6">
        <v>20.584240000000001</v>
      </c>
      <c r="D1248" s="6">
        <v>47</v>
      </c>
      <c r="E1248" s="6">
        <v>0</v>
      </c>
      <c r="F1248" s="6">
        <v>0</v>
      </c>
      <c r="G1248" s="6">
        <v>7</v>
      </c>
      <c r="H1248" s="6" t="s">
        <v>28135</v>
      </c>
      <c r="I1248" s="6">
        <v>526.6875</v>
      </c>
      <c r="J1248" s="2">
        <f t="shared" si="19"/>
        <v>43748.522430277771</v>
      </c>
    </row>
    <row r="1249" spans="1:10" x14ac:dyDescent="0.25">
      <c r="A1249" s="7" t="s">
        <v>28136</v>
      </c>
      <c r="B1249" s="8">
        <v>415.625</v>
      </c>
      <c r="C1249" s="8">
        <v>20.584240000000001</v>
      </c>
      <c r="D1249" s="8">
        <v>47</v>
      </c>
      <c r="E1249" s="8">
        <v>0</v>
      </c>
      <c r="F1249" s="8">
        <v>0</v>
      </c>
      <c r="G1249" s="8">
        <v>5</v>
      </c>
      <c r="H1249" s="8" t="s">
        <v>28137</v>
      </c>
      <c r="I1249" s="8">
        <v>533.8125</v>
      </c>
      <c r="J1249" s="3">
        <f t="shared" si="19"/>
        <v>43748.522513715274</v>
      </c>
    </row>
    <row r="1250" spans="1:10" x14ac:dyDescent="0.25">
      <c r="A1250" s="5" t="s">
        <v>28138</v>
      </c>
      <c r="B1250" s="6">
        <v>393.75</v>
      </c>
      <c r="C1250" s="6">
        <v>20.584240000000001</v>
      </c>
      <c r="D1250" s="6">
        <v>46</v>
      </c>
      <c r="E1250" s="6">
        <v>0</v>
      </c>
      <c r="F1250" s="6">
        <v>0</v>
      </c>
      <c r="G1250" s="6">
        <v>1</v>
      </c>
      <c r="H1250" s="6" t="s">
        <v>28139</v>
      </c>
      <c r="I1250" s="6">
        <v>526.6875</v>
      </c>
      <c r="J1250" s="2">
        <f t="shared" si="19"/>
        <v>43748.522597280091</v>
      </c>
    </row>
    <row r="1251" spans="1:10" x14ac:dyDescent="0.25">
      <c r="A1251" s="7" t="s">
        <v>28140</v>
      </c>
      <c r="B1251" s="8">
        <v>412.5</v>
      </c>
      <c r="C1251" s="8">
        <v>20.584240000000001</v>
      </c>
      <c r="D1251" s="8">
        <v>46</v>
      </c>
      <c r="E1251" s="8">
        <v>0</v>
      </c>
      <c r="F1251" s="8">
        <v>0</v>
      </c>
      <c r="G1251" s="8">
        <v>3</v>
      </c>
      <c r="H1251" s="8" t="s">
        <v>28141</v>
      </c>
      <c r="I1251" s="8">
        <v>532.3125</v>
      </c>
      <c r="J1251" s="3">
        <f t="shared" si="19"/>
        <v>43748.522680729169</v>
      </c>
    </row>
    <row r="1252" spans="1:10" x14ac:dyDescent="0.25">
      <c r="A1252" s="5" t="s">
        <v>28142</v>
      </c>
      <c r="B1252" s="6">
        <v>393.75</v>
      </c>
      <c r="C1252" s="6">
        <v>20.584240000000001</v>
      </c>
      <c r="D1252" s="6">
        <v>46</v>
      </c>
      <c r="E1252" s="6">
        <v>0</v>
      </c>
      <c r="F1252" s="6">
        <v>0</v>
      </c>
      <c r="G1252" s="6">
        <v>8</v>
      </c>
      <c r="H1252" s="6" t="s">
        <v>28143</v>
      </c>
      <c r="I1252" s="6">
        <v>526.6875</v>
      </c>
      <c r="J1252" s="2">
        <f t="shared" si="19"/>
        <v>43748.522752384255</v>
      </c>
    </row>
    <row r="1253" spans="1:10" x14ac:dyDescent="0.25">
      <c r="A1253" s="7" t="s">
        <v>28144</v>
      </c>
      <c r="B1253" s="8">
        <v>393.75</v>
      </c>
      <c r="C1253" s="8">
        <v>20.584240000000001</v>
      </c>
      <c r="D1253" s="8">
        <v>47</v>
      </c>
      <c r="E1253" s="8">
        <v>0</v>
      </c>
      <c r="F1253" s="8">
        <v>0</v>
      </c>
      <c r="G1253" s="8">
        <v>0</v>
      </c>
      <c r="H1253" s="8" t="s">
        <v>28145</v>
      </c>
      <c r="I1253" s="8">
        <v>526.6875</v>
      </c>
      <c r="J1253" s="3">
        <f t="shared" si="19"/>
        <v>43748.522847754626</v>
      </c>
    </row>
    <row r="1254" spans="1:10" x14ac:dyDescent="0.25">
      <c r="A1254" s="5" t="s">
        <v>28146</v>
      </c>
      <c r="B1254" s="6">
        <v>393.75</v>
      </c>
      <c r="C1254" s="6">
        <v>20.584240000000001</v>
      </c>
      <c r="D1254" s="6">
        <v>47</v>
      </c>
      <c r="E1254" s="6">
        <v>0</v>
      </c>
      <c r="F1254" s="6">
        <v>0</v>
      </c>
      <c r="G1254" s="6">
        <v>2</v>
      </c>
      <c r="H1254" s="6" t="s">
        <v>28147</v>
      </c>
      <c r="I1254" s="6">
        <v>526.5</v>
      </c>
      <c r="J1254" s="2">
        <f t="shared" si="19"/>
        <v>43748.522931527776</v>
      </c>
    </row>
    <row r="1255" spans="1:10" x14ac:dyDescent="0.25">
      <c r="A1255" s="7" t="s">
        <v>28148</v>
      </c>
      <c r="B1255" s="8">
        <v>393.75</v>
      </c>
      <c r="C1255" s="8">
        <v>20.584240000000001</v>
      </c>
      <c r="D1255" s="8">
        <v>47</v>
      </c>
      <c r="E1255" s="8">
        <v>0</v>
      </c>
      <c r="F1255" s="8">
        <v>0</v>
      </c>
      <c r="G1255" s="8">
        <v>9</v>
      </c>
      <c r="H1255" s="8" t="s">
        <v>28149</v>
      </c>
      <c r="I1255" s="8">
        <v>526.6875</v>
      </c>
      <c r="J1255" s="3">
        <f t="shared" si="19"/>
        <v>43748.523014861108</v>
      </c>
    </row>
    <row r="1256" spans="1:10" x14ac:dyDescent="0.25">
      <c r="A1256" s="5" t="s">
        <v>28150</v>
      </c>
      <c r="B1256" s="6">
        <v>412.5</v>
      </c>
      <c r="C1256" s="6">
        <v>20.584240000000001</v>
      </c>
      <c r="D1256" s="6">
        <v>47</v>
      </c>
      <c r="E1256" s="6">
        <v>0</v>
      </c>
      <c r="F1256" s="6">
        <v>0</v>
      </c>
      <c r="G1256" s="6">
        <v>6</v>
      </c>
      <c r="H1256" s="6" t="s">
        <v>28151</v>
      </c>
      <c r="I1256" s="6">
        <v>532.3125</v>
      </c>
      <c r="J1256" s="2">
        <f t="shared" si="19"/>
        <v>43748.523098206017</v>
      </c>
    </row>
    <row r="1257" spans="1:10" x14ac:dyDescent="0.25">
      <c r="A1257" s="7" t="s">
        <v>28152</v>
      </c>
      <c r="B1257" s="8">
        <v>393.75</v>
      </c>
      <c r="C1257" s="8">
        <v>20.584240000000001</v>
      </c>
      <c r="D1257" s="8">
        <v>47</v>
      </c>
      <c r="E1257" s="8">
        <v>0</v>
      </c>
      <c r="F1257" s="8">
        <v>0</v>
      </c>
      <c r="G1257" s="8">
        <v>8</v>
      </c>
      <c r="H1257" s="8" t="s">
        <v>28153</v>
      </c>
      <c r="I1257" s="8">
        <v>526.6875</v>
      </c>
      <c r="J1257" s="3">
        <f t="shared" si="19"/>
        <v>43748.523169837958</v>
      </c>
    </row>
    <row r="1258" spans="1:10" x14ac:dyDescent="0.25">
      <c r="A1258" s="5" t="s">
        <v>28154</v>
      </c>
      <c r="B1258" s="6">
        <v>393.75</v>
      </c>
      <c r="C1258" s="6">
        <v>20.584240000000001</v>
      </c>
      <c r="D1258" s="6">
        <v>47</v>
      </c>
      <c r="E1258" s="6">
        <v>0</v>
      </c>
      <c r="F1258" s="6">
        <v>0</v>
      </c>
      <c r="G1258" s="6">
        <v>9</v>
      </c>
      <c r="H1258" s="6" t="s">
        <v>28155</v>
      </c>
      <c r="I1258" s="6">
        <v>526.6875</v>
      </c>
      <c r="J1258" s="2">
        <f t="shared" si="19"/>
        <v>43748.523253541665</v>
      </c>
    </row>
    <row r="1259" spans="1:10" x14ac:dyDescent="0.25">
      <c r="A1259" s="7" t="s">
        <v>28156</v>
      </c>
      <c r="B1259" s="8">
        <v>393.75</v>
      </c>
      <c r="C1259" s="8">
        <v>20.584240000000001</v>
      </c>
      <c r="D1259" s="8">
        <v>47</v>
      </c>
      <c r="E1259" s="8">
        <v>0</v>
      </c>
      <c r="F1259" s="8">
        <v>0</v>
      </c>
      <c r="G1259" s="8">
        <v>13</v>
      </c>
      <c r="H1259" s="8" t="s">
        <v>28157</v>
      </c>
      <c r="I1259" s="8">
        <v>526.6875</v>
      </c>
      <c r="J1259" s="3">
        <f t="shared" si="19"/>
        <v>43748.523324942129</v>
      </c>
    </row>
    <row r="1260" spans="1:10" x14ac:dyDescent="0.25">
      <c r="A1260" s="5" t="s">
        <v>28158</v>
      </c>
      <c r="B1260" s="6">
        <v>393.75</v>
      </c>
      <c r="C1260" s="6">
        <v>20.584240000000001</v>
      </c>
      <c r="D1260" s="6">
        <v>47</v>
      </c>
      <c r="E1260" s="6">
        <v>0</v>
      </c>
      <c r="F1260" s="6">
        <v>0</v>
      </c>
      <c r="G1260" s="6">
        <v>6</v>
      </c>
      <c r="H1260" s="6" t="s">
        <v>28159</v>
      </c>
      <c r="I1260" s="6">
        <v>526.6875</v>
      </c>
      <c r="J1260" s="2">
        <f t="shared" si="19"/>
        <v>43748.523411817128</v>
      </c>
    </row>
    <row r="1261" spans="1:10" x14ac:dyDescent="0.25">
      <c r="A1261" s="7" t="s">
        <v>28160</v>
      </c>
      <c r="B1261" s="8">
        <v>393.75</v>
      </c>
      <c r="C1261" s="8">
        <v>20.584240000000001</v>
      </c>
      <c r="D1261" s="8">
        <v>47</v>
      </c>
      <c r="E1261" s="8">
        <v>0</v>
      </c>
      <c r="F1261" s="8">
        <v>0</v>
      </c>
      <c r="G1261" s="8">
        <v>0</v>
      </c>
      <c r="H1261" s="8" t="s">
        <v>28161</v>
      </c>
      <c r="I1261" s="8">
        <v>526.6875</v>
      </c>
      <c r="J1261" s="3">
        <f t="shared" si="19"/>
        <v>43748.523491956017</v>
      </c>
    </row>
    <row r="1262" spans="1:10" x14ac:dyDescent="0.25">
      <c r="A1262" s="5" t="s">
        <v>28162</v>
      </c>
      <c r="B1262" s="6">
        <v>393.75</v>
      </c>
      <c r="C1262" s="6">
        <v>20.584240000000001</v>
      </c>
      <c r="D1262" s="6">
        <v>46</v>
      </c>
      <c r="E1262" s="6">
        <v>0</v>
      </c>
      <c r="F1262" s="6">
        <v>0</v>
      </c>
      <c r="G1262" s="6">
        <v>6</v>
      </c>
      <c r="H1262" s="6" t="s">
        <v>28163</v>
      </c>
      <c r="I1262" s="6">
        <v>526.6875</v>
      </c>
      <c r="J1262" s="2">
        <f t="shared" si="19"/>
        <v>43748.523575057865</v>
      </c>
    </row>
    <row r="1263" spans="1:10" x14ac:dyDescent="0.25">
      <c r="A1263" s="7" t="s">
        <v>28164</v>
      </c>
      <c r="B1263" s="8">
        <v>393.75</v>
      </c>
      <c r="C1263" s="8">
        <v>20.584240000000001</v>
      </c>
      <c r="D1263" s="8">
        <v>46</v>
      </c>
      <c r="E1263" s="8">
        <v>0</v>
      </c>
      <c r="F1263" s="8">
        <v>0</v>
      </c>
      <c r="G1263" s="8">
        <v>0</v>
      </c>
      <c r="H1263" s="8" t="s">
        <v>28165</v>
      </c>
      <c r="I1263" s="8">
        <v>526.5</v>
      </c>
      <c r="J1263" s="3">
        <f t="shared" si="19"/>
        <v>43748.523646712965</v>
      </c>
    </row>
    <row r="1264" spans="1:10" x14ac:dyDescent="0.25">
      <c r="A1264" s="5" t="s">
        <v>28166</v>
      </c>
      <c r="B1264" s="6">
        <v>393.75</v>
      </c>
      <c r="C1264" s="6">
        <v>20.584240000000001</v>
      </c>
      <c r="D1264" s="6">
        <v>45</v>
      </c>
      <c r="E1264" s="6">
        <v>0</v>
      </c>
      <c r="F1264" s="6">
        <v>0</v>
      </c>
      <c r="G1264" s="6">
        <v>2</v>
      </c>
      <c r="H1264" s="6" t="s">
        <v>28167</v>
      </c>
      <c r="I1264" s="6">
        <v>526.6875</v>
      </c>
      <c r="J1264" s="2">
        <f t="shared" si="19"/>
        <v>43748.523730613422</v>
      </c>
    </row>
    <row r="1265" spans="1:10" x14ac:dyDescent="0.25">
      <c r="A1265" s="7" t="s">
        <v>28168</v>
      </c>
      <c r="B1265" s="8">
        <v>393.75</v>
      </c>
      <c r="C1265" s="8">
        <v>20.584240000000001</v>
      </c>
      <c r="D1265" s="8">
        <v>45</v>
      </c>
      <c r="E1265" s="8">
        <v>0</v>
      </c>
      <c r="F1265" s="8">
        <v>0</v>
      </c>
      <c r="G1265" s="8">
        <v>5</v>
      </c>
      <c r="H1265" s="8" t="s">
        <v>28169</v>
      </c>
      <c r="I1265" s="8">
        <v>526.6875</v>
      </c>
      <c r="J1265" s="3">
        <f t="shared" si="19"/>
        <v>43748.523814074077</v>
      </c>
    </row>
    <row r="1266" spans="1:10" x14ac:dyDescent="0.25">
      <c r="A1266" s="5" t="s">
        <v>28170</v>
      </c>
      <c r="B1266" s="6">
        <v>393.75</v>
      </c>
      <c r="C1266" s="6">
        <v>20.584240000000001</v>
      </c>
      <c r="D1266" s="6">
        <v>45</v>
      </c>
      <c r="E1266" s="6">
        <v>0</v>
      </c>
      <c r="F1266" s="6">
        <v>0</v>
      </c>
      <c r="G1266" s="6">
        <v>9</v>
      </c>
      <c r="H1266" s="6" t="s">
        <v>28171</v>
      </c>
      <c r="I1266" s="6">
        <v>526.6875</v>
      </c>
      <c r="J1266" s="2">
        <f t="shared" si="19"/>
        <v>43748.523897280094</v>
      </c>
    </row>
    <row r="1267" spans="1:10" x14ac:dyDescent="0.25">
      <c r="A1267" s="7" t="s">
        <v>28172</v>
      </c>
      <c r="B1267" s="8">
        <v>393.75</v>
      </c>
      <c r="C1267" s="8">
        <v>20.584240000000001</v>
      </c>
      <c r="D1267" s="8">
        <v>45</v>
      </c>
      <c r="E1267" s="8">
        <v>0</v>
      </c>
      <c r="F1267" s="8">
        <v>0</v>
      </c>
      <c r="G1267" s="8">
        <v>4</v>
      </c>
      <c r="H1267" s="8" t="s">
        <v>28173</v>
      </c>
      <c r="I1267" s="8">
        <v>526.6875</v>
      </c>
      <c r="J1267" s="3">
        <f t="shared" si="19"/>
        <v>43748.523968923611</v>
      </c>
    </row>
    <row r="1268" spans="1:10" x14ac:dyDescent="0.25">
      <c r="A1268" s="5" t="s">
        <v>28174</v>
      </c>
      <c r="B1268" s="6">
        <v>393.75</v>
      </c>
      <c r="C1268" s="6">
        <v>20.584240000000001</v>
      </c>
      <c r="D1268" s="6">
        <v>45</v>
      </c>
      <c r="E1268" s="6">
        <v>0</v>
      </c>
      <c r="F1268" s="6">
        <v>0</v>
      </c>
      <c r="G1268" s="6">
        <v>4</v>
      </c>
      <c r="H1268" s="6" t="s">
        <v>28175</v>
      </c>
      <c r="I1268" s="6">
        <v>526.6875</v>
      </c>
      <c r="J1268" s="2">
        <f t="shared" si="19"/>
        <v>43748.524064699071</v>
      </c>
    </row>
    <row r="1269" spans="1:10" x14ac:dyDescent="0.25">
      <c r="A1269" s="7" t="s">
        <v>28176</v>
      </c>
      <c r="B1269" s="8">
        <v>412.5</v>
      </c>
      <c r="C1269" s="8">
        <v>20.584240000000001</v>
      </c>
      <c r="D1269" s="8">
        <v>44</v>
      </c>
      <c r="E1269" s="8">
        <v>0</v>
      </c>
      <c r="F1269" s="8">
        <v>0</v>
      </c>
      <c r="G1269" s="8">
        <v>2</v>
      </c>
      <c r="H1269" s="8" t="s">
        <v>28177</v>
      </c>
      <c r="I1269" s="8">
        <v>532.3125</v>
      </c>
      <c r="J1269" s="3">
        <f t="shared" si="19"/>
        <v>43748.524136215274</v>
      </c>
    </row>
    <row r="1270" spans="1:10" x14ac:dyDescent="0.25">
      <c r="A1270" s="5" t="s">
        <v>28178</v>
      </c>
      <c r="B1270" s="6">
        <v>393.75</v>
      </c>
      <c r="C1270" s="6">
        <v>20.584240000000001</v>
      </c>
      <c r="D1270" s="6">
        <v>46</v>
      </c>
      <c r="E1270" s="6">
        <v>0</v>
      </c>
      <c r="F1270" s="6">
        <v>0</v>
      </c>
      <c r="G1270" s="6">
        <v>4</v>
      </c>
      <c r="H1270" s="6" t="s">
        <v>28179</v>
      </c>
      <c r="I1270" s="6">
        <v>526.6875</v>
      </c>
      <c r="J1270" s="2">
        <f t="shared" si="19"/>
        <v>43748.524219560182</v>
      </c>
    </row>
    <row r="1271" spans="1:10" x14ac:dyDescent="0.25">
      <c r="A1271" s="7" t="s">
        <v>28180</v>
      </c>
      <c r="B1271" s="8">
        <v>393.75</v>
      </c>
      <c r="C1271" s="8">
        <v>20.531590000000001</v>
      </c>
      <c r="D1271" s="8">
        <v>46</v>
      </c>
      <c r="E1271" s="8">
        <v>0</v>
      </c>
      <c r="F1271" s="8">
        <v>0</v>
      </c>
      <c r="G1271" s="8">
        <v>7</v>
      </c>
      <c r="H1271" s="8" t="s">
        <v>28181</v>
      </c>
      <c r="I1271" s="8">
        <v>526.6875</v>
      </c>
      <c r="J1271" s="3">
        <f t="shared" si="19"/>
        <v>43748.524291203699</v>
      </c>
    </row>
    <row r="1272" spans="1:10" x14ac:dyDescent="0.25">
      <c r="A1272" s="5" t="s">
        <v>28182</v>
      </c>
      <c r="B1272" s="6">
        <v>412.5</v>
      </c>
      <c r="C1272" s="6">
        <v>20.584240000000001</v>
      </c>
      <c r="D1272" s="6">
        <v>48</v>
      </c>
      <c r="E1272" s="6">
        <v>0</v>
      </c>
      <c r="F1272" s="6">
        <v>0</v>
      </c>
      <c r="G1272" s="6">
        <v>6</v>
      </c>
      <c r="H1272" s="6" t="s">
        <v>28183</v>
      </c>
      <c r="I1272" s="6">
        <v>532.6875</v>
      </c>
      <c r="J1272" s="2">
        <f t="shared" si="19"/>
        <v>43748.524374780092</v>
      </c>
    </row>
    <row r="1273" spans="1:10" x14ac:dyDescent="0.25">
      <c r="A1273" s="7" t="s">
        <v>28184</v>
      </c>
      <c r="B1273" s="8">
        <v>393.75</v>
      </c>
      <c r="C1273" s="8">
        <v>20.584240000000001</v>
      </c>
      <c r="D1273" s="8">
        <v>46</v>
      </c>
      <c r="E1273" s="8">
        <v>0</v>
      </c>
      <c r="F1273" s="8">
        <v>0</v>
      </c>
      <c r="G1273" s="8">
        <v>15</v>
      </c>
      <c r="H1273" s="8" t="s">
        <v>28185</v>
      </c>
      <c r="I1273" s="8">
        <v>526.6875</v>
      </c>
      <c r="J1273" s="3">
        <f t="shared" si="19"/>
        <v>43748.524458217587</v>
      </c>
    </row>
    <row r="1274" spans="1:10" x14ac:dyDescent="0.25">
      <c r="A1274" s="5" t="s">
        <v>28186</v>
      </c>
      <c r="B1274" s="6">
        <v>393.75</v>
      </c>
      <c r="C1274" s="6">
        <v>20.584240000000001</v>
      </c>
      <c r="D1274" s="6">
        <v>46</v>
      </c>
      <c r="E1274" s="6">
        <v>0</v>
      </c>
      <c r="F1274" s="6">
        <v>0</v>
      </c>
      <c r="G1274" s="6">
        <v>8</v>
      </c>
      <c r="H1274" s="6" t="s">
        <v>28187</v>
      </c>
      <c r="I1274" s="6">
        <v>526.6875</v>
      </c>
      <c r="J1274" s="2">
        <f t="shared" si="19"/>
        <v>43748.524541770828</v>
      </c>
    </row>
    <row r="1275" spans="1:10" x14ac:dyDescent="0.25">
      <c r="A1275" s="7" t="s">
        <v>28188</v>
      </c>
      <c r="B1275" s="8">
        <v>393.75</v>
      </c>
      <c r="C1275" s="8">
        <v>20.584240000000001</v>
      </c>
      <c r="D1275" s="8">
        <v>45</v>
      </c>
      <c r="E1275" s="8">
        <v>0</v>
      </c>
      <c r="F1275" s="8">
        <v>0</v>
      </c>
      <c r="G1275" s="8">
        <v>10</v>
      </c>
      <c r="H1275" s="8" t="s">
        <v>28189</v>
      </c>
      <c r="I1275" s="8">
        <v>526.6875</v>
      </c>
      <c r="J1275" s="3">
        <f t="shared" si="19"/>
        <v>43748.52462527778</v>
      </c>
    </row>
    <row r="1276" spans="1:10" x14ac:dyDescent="0.25">
      <c r="A1276" s="5" t="s">
        <v>28190</v>
      </c>
      <c r="B1276" s="6">
        <v>393.75</v>
      </c>
      <c r="C1276" s="6">
        <v>20.584240000000001</v>
      </c>
      <c r="D1276" s="6">
        <v>44</v>
      </c>
      <c r="E1276" s="6">
        <v>0</v>
      </c>
      <c r="F1276" s="6">
        <v>0</v>
      </c>
      <c r="G1276" s="6">
        <v>6</v>
      </c>
      <c r="H1276" s="6" t="s">
        <v>28191</v>
      </c>
      <c r="I1276" s="6">
        <v>526.6875</v>
      </c>
      <c r="J1276" s="2">
        <f t="shared" si="19"/>
        <v>43748.524708437493</v>
      </c>
    </row>
    <row r="1277" spans="1:10" x14ac:dyDescent="0.25">
      <c r="A1277" s="7" t="s">
        <v>28192</v>
      </c>
      <c r="B1277" s="8">
        <v>393.75</v>
      </c>
      <c r="C1277" s="8">
        <v>20.584240000000001</v>
      </c>
      <c r="D1277" s="8">
        <v>44</v>
      </c>
      <c r="E1277" s="8">
        <v>0</v>
      </c>
      <c r="F1277" s="8">
        <v>0</v>
      </c>
      <c r="G1277" s="8">
        <v>8</v>
      </c>
      <c r="H1277" s="8" t="s">
        <v>28193</v>
      </c>
      <c r="I1277" s="8">
        <v>526.6875</v>
      </c>
      <c r="J1277" s="3">
        <f t="shared" si="19"/>
        <v>43748.524780092594</v>
      </c>
    </row>
    <row r="1278" spans="1:10" x14ac:dyDescent="0.25">
      <c r="A1278" s="5" t="s">
        <v>28194</v>
      </c>
      <c r="B1278" s="6">
        <v>393.75</v>
      </c>
      <c r="C1278" s="6">
        <v>20.584240000000001</v>
      </c>
      <c r="D1278" s="6">
        <v>46</v>
      </c>
      <c r="E1278" s="6">
        <v>0</v>
      </c>
      <c r="F1278" s="6">
        <v>0</v>
      </c>
      <c r="G1278" s="6">
        <v>5</v>
      </c>
      <c r="H1278" s="6" t="s">
        <v>28195</v>
      </c>
      <c r="I1278" s="6">
        <v>526.6875</v>
      </c>
      <c r="J1278" s="2">
        <f t="shared" si="19"/>
        <v>43748.524864004627</v>
      </c>
    </row>
    <row r="1279" spans="1:10" x14ac:dyDescent="0.25">
      <c r="A1279" s="7" t="s">
        <v>28196</v>
      </c>
      <c r="B1279" s="8">
        <v>393.75</v>
      </c>
      <c r="C1279" s="8">
        <v>20.584240000000001</v>
      </c>
      <c r="D1279" s="8">
        <v>46</v>
      </c>
      <c r="E1279" s="8">
        <v>0</v>
      </c>
      <c r="F1279" s="8">
        <v>0</v>
      </c>
      <c r="G1279" s="8">
        <v>8</v>
      </c>
      <c r="H1279" s="8" t="s">
        <v>28197</v>
      </c>
      <c r="I1279" s="8">
        <v>526.875</v>
      </c>
      <c r="J1279" s="3">
        <f t="shared" si="19"/>
        <v>43748.524947337959</v>
      </c>
    </row>
    <row r="1280" spans="1:10" x14ac:dyDescent="0.25">
      <c r="A1280" s="5" t="s">
        <v>28198</v>
      </c>
      <c r="B1280" s="6">
        <v>393.75</v>
      </c>
      <c r="C1280" s="6">
        <v>20.584240000000001</v>
      </c>
      <c r="D1280" s="6">
        <v>46</v>
      </c>
      <c r="E1280" s="6">
        <v>0</v>
      </c>
      <c r="F1280" s="6">
        <v>0</v>
      </c>
      <c r="G1280" s="6">
        <v>13</v>
      </c>
      <c r="H1280" s="6" t="s">
        <v>28199</v>
      </c>
      <c r="I1280" s="6">
        <v>526.6875</v>
      </c>
      <c r="J1280" s="2">
        <f t="shared" si="19"/>
        <v>43748.525030659723</v>
      </c>
    </row>
    <row r="1281" spans="1:10" x14ac:dyDescent="0.25">
      <c r="A1281" s="7" t="s">
        <v>28200</v>
      </c>
      <c r="B1281" s="8">
        <v>393.75</v>
      </c>
      <c r="C1281" s="8">
        <v>20.584240000000001</v>
      </c>
      <c r="D1281" s="8">
        <v>46</v>
      </c>
      <c r="E1281" s="8">
        <v>0</v>
      </c>
      <c r="F1281" s="8">
        <v>0</v>
      </c>
      <c r="G1281" s="8">
        <v>1</v>
      </c>
      <c r="H1281" s="8" t="s">
        <v>28201</v>
      </c>
      <c r="I1281" s="8">
        <v>526.6875</v>
      </c>
      <c r="J1281" s="3">
        <f t="shared" si="19"/>
        <v>43748.525114224532</v>
      </c>
    </row>
    <row r="1282" spans="1:10" x14ac:dyDescent="0.25">
      <c r="A1282" s="5" t="s">
        <v>28202</v>
      </c>
      <c r="B1282" s="6">
        <v>393.75</v>
      </c>
      <c r="C1282" s="6">
        <v>20.584240000000001</v>
      </c>
      <c r="D1282" s="6">
        <v>46</v>
      </c>
      <c r="E1282" s="6">
        <v>0</v>
      </c>
      <c r="F1282" s="6">
        <v>0</v>
      </c>
      <c r="G1282" s="6">
        <v>4</v>
      </c>
      <c r="H1282" s="6" t="s">
        <v>28203</v>
      </c>
      <c r="I1282" s="6">
        <v>526.6875</v>
      </c>
      <c r="J1282" s="2">
        <f t="shared" ref="J1282:J1345" si="20">(H1282/86400000)+25569+(7/24)</f>
        <v>43748.525197569441</v>
      </c>
    </row>
    <row r="1283" spans="1:10" x14ac:dyDescent="0.25">
      <c r="A1283" s="7" t="s">
        <v>28204</v>
      </c>
      <c r="B1283" s="8">
        <v>393.75</v>
      </c>
      <c r="C1283" s="8">
        <v>20.584240000000001</v>
      </c>
      <c r="D1283" s="8">
        <v>49</v>
      </c>
      <c r="E1283" s="8">
        <v>0</v>
      </c>
      <c r="F1283" s="8">
        <v>0</v>
      </c>
      <c r="G1283" s="8">
        <v>0</v>
      </c>
      <c r="H1283" s="8" t="s">
        <v>28205</v>
      </c>
      <c r="I1283" s="8">
        <v>526.6875</v>
      </c>
      <c r="J1283" s="3">
        <f t="shared" si="20"/>
        <v>43748.525281365735</v>
      </c>
    </row>
    <row r="1284" spans="1:10" x14ac:dyDescent="0.25">
      <c r="A1284" s="5" t="s">
        <v>28206</v>
      </c>
      <c r="B1284" s="6">
        <v>393.75</v>
      </c>
      <c r="C1284" s="6">
        <v>20.584240000000001</v>
      </c>
      <c r="D1284" s="6">
        <v>49</v>
      </c>
      <c r="E1284" s="6">
        <v>0</v>
      </c>
      <c r="F1284" s="6">
        <v>0</v>
      </c>
      <c r="G1284" s="6">
        <v>9</v>
      </c>
      <c r="H1284" s="6" t="s">
        <v>28207</v>
      </c>
      <c r="I1284" s="6">
        <v>526.6875</v>
      </c>
      <c r="J1284" s="2">
        <f t="shared" si="20"/>
        <v>43748.525376724538</v>
      </c>
    </row>
    <row r="1285" spans="1:10" x14ac:dyDescent="0.25">
      <c r="A1285" s="7" t="s">
        <v>28208</v>
      </c>
      <c r="B1285" s="8">
        <v>393.75</v>
      </c>
      <c r="C1285" s="8">
        <v>20.584240000000001</v>
      </c>
      <c r="D1285" s="8">
        <v>49</v>
      </c>
      <c r="E1285" s="8">
        <v>0</v>
      </c>
      <c r="F1285" s="8">
        <v>0</v>
      </c>
      <c r="G1285" s="8">
        <v>15</v>
      </c>
      <c r="H1285" s="8" t="s">
        <v>28209</v>
      </c>
      <c r="I1285" s="8">
        <v>526.6875</v>
      </c>
      <c r="J1285" s="3">
        <f t="shared" si="20"/>
        <v>43748.525460312499</v>
      </c>
    </row>
    <row r="1286" spans="1:10" x14ac:dyDescent="0.25">
      <c r="A1286" s="5" t="s">
        <v>28210</v>
      </c>
      <c r="B1286" s="6">
        <v>412.5</v>
      </c>
      <c r="C1286" s="6">
        <v>20.584240000000001</v>
      </c>
      <c r="D1286" s="6">
        <v>49</v>
      </c>
      <c r="E1286" s="6">
        <v>0</v>
      </c>
      <c r="F1286" s="6">
        <v>0</v>
      </c>
      <c r="G1286" s="6">
        <v>10</v>
      </c>
      <c r="H1286" s="6" t="s">
        <v>28211</v>
      </c>
      <c r="I1286" s="6">
        <v>532.3125</v>
      </c>
      <c r="J1286" s="2">
        <f t="shared" si="20"/>
        <v>43748.525531817126</v>
      </c>
    </row>
    <row r="1287" spans="1:10" x14ac:dyDescent="0.25">
      <c r="A1287" s="7" t="s">
        <v>28212</v>
      </c>
      <c r="B1287" s="8">
        <v>393.75</v>
      </c>
      <c r="C1287" s="8">
        <v>20.584240000000001</v>
      </c>
      <c r="D1287" s="8">
        <v>48</v>
      </c>
      <c r="E1287" s="8">
        <v>0</v>
      </c>
      <c r="F1287" s="8">
        <v>0</v>
      </c>
      <c r="G1287" s="8">
        <v>11</v>
      </c>
      <c r="H1287" s="8" t="s">
        <v>28213</v>
      </c>
      <c r="I1287" s="8">
        <v>526.6875</v>
      </c>
      <c r="J1287" s="3">
        <f t="shared" si="20"/>
        <v>43748.525615416664</v>
      </c>
    </row>
    <row r="1288" spans="1:10" x14ac:dyDescent="0.25">
      <c r="A1288" s="5" t="s">
        <v>28214</v>
      </c>
      <c r="B1288" s="6">
        <v>393.75</v>
      </c>
      <c r="C1288" s="6">
        <v>20.584240000000001</v>
      </c>
      <c r="D1288" s="6">
        <v>48</v>
      </c>
      <c r="E1288" s="6">
        <v>0</v>
      </c>
      <c r="F1288" s="6">
        <v>0</v>
      </c>
      <c r="G1288" s="6">
        <v>6</v>
      </c>
      <c r="H1288" s="6" t="s">
        <v>28215</v>
      </c>
      <c r="I1288" s="6">
        <v>526.6875</v>
      </c>
      <c r="J1288" s="2">
        <f t="shared" si="20"/>
        <v>43748.525687037036</v>
      </c>
    </row>
    <row r="1289" spans="1:10" x14ac:dyDescent="0.25">
      <c r="A1289" s="7" t="s">
        <v>28216</v>
      </c>
      <c r="B1289" s="8">
        <v>393.75</v>
      </c>
      <c r="C1289" s="8">
        <v>20.584240000000001</v>
      </c>
      <c r="D1289" s="8">
        <v>48</v>
      </c>
      <c r="E1289" s="8">
        <v>0</v>
      </c>
      <c r="F1289" s="8">
        <v>0</v>
      </c>
      <c r="G1289" s="8">
        <v>10</v>
      </c>
      <c r="H1289" s="8" t="s">
        <v>28217</v>
      </c>
      <c r="I1289" s="8">
        <v>526.6875</v>
      </c>
      <c r="J1289" s="3">
        <f t="shared" si="20"/>
        <v>43748.525758564814</v>
      </c>
    </row>
    <row r="1290" spans="1:10" x14ac:dyDescent="0.25">
      <c r="A1290" s="5" t="s">
        <v>28218</v>
      </c>
      <c r="B1290" s="6">
        <v>393.75</v>
      </c>
      <c r="C1290" s="6">
        <v>20.584240000000001</v>
      </c>
      <c r="D1290" s="6">
        <v>48</v>
      </c>
      <c r="E1290" s="6">
        <v>0</v>
      </c>
      <c r="F1290" s="6">
        <v>0</v>
      </c>
      <c r="G1290" s="6">
        <v>7</v>
      </c>
      <c r="H1290" s="6" t="s">
        <v>28219</v>
      </c>
      <c r="I1290" s="6">
        <v>526.6875</v>
      </c>
      <c r="J1290" s="2">
        <f t="shared" si="20"/>
        <v>43748.525841782401</v>
      </c>
    </row>
    <row r="1291" spans="1:10" x14ac:dyDescent="0.25">
      <c r="A1291" s="7" t="s">
        <v>28220</v>
      </c>
      <c r="B1291" s="8">
        <v>393.75</v>
      </c>
      <c r="C1291" s="8">
        <v>20.584240000000001</v>
      </c>
      <c r="D1291" s="8">
        <v>48</v>
      </c>
      <c r="E1291" s="8">
        <v>0</v>
      </c>
      <c r="F1291" s="8">
        <v>0</v>
      </c>
      <c r="G1291" s="8">
        <v>9</v>
      </c>
      <c r="H1291" s="8" t="s">
        <v>28221</v>
      </c>
      <c r="I1291" s="8">
        <v>526.5</v>
      </c>
      <c r="J1291" s="3">
        <f t="shared" si="20"/>
        <v>43748.525913078702</v>
      </c>
    </row>
    <row r="1292" spans="1:10" x14ac:dyDescent="0.25">
      <c r="A1292" s="5" t="s">
        <v>28222</v>
      </c>
      <c r="B1292" s="6">
        <v>393.75</v>
      </c>
      <c r="C1292" s="6">
        <v>20.584240000000001</v>
      </c>
      <c r="D1292" s="6">
        <v>49</v>
      </c>
      <c r="E1292" s="6">
        <v>0</v>
      </c>
      <c r="F1292" s="6">
        <v>0</v>
      </c>
      <c r="G1292" s="6">
        <v>13</v>
      </c>
      <c r="H1292" s="6" t="s">
        <v>28223</v>
      </c>
      <c r="I1292" s="6">
        <v>526.6875</v>
      </c>
      <c r="J1292" s="2">
        <f t="shared" si="20"/>
        <v>43748.525985173612</v>
      </c>
    </row>
    <row r="1293" spans="1:10" x14ac:dyDescent="0.25">
      <c r="A1293" s="7" t="s">
        <v>28224</v>
      </c>
      <c r="B1293" s="8">
        <v>393.75</v>
      </c>
      <c r="C1293" s="8">
        <v>20.584240000000001</v>
      </c>
      <c r="D1293" s="8">
        <v>48</v>
      </c>
      <c r="E1293" s="8">
        <v>0</v>
      </c>
      <c r="F1293" s="8">
        <v>0</v>
      </c>
      <c r="G1293" s="8">
        <v>4</v>
      </c>
      <c r="H1293" s="8" t="s">
        <v>28225</v>
      </c>
      <c r="I1293" s="8">
        <v>526.6875</v>
      </c>
      <c r="J1293" s="3">
        <f t="shared" si="20"/>
        <v>43748.526068645828</v>
      </c>
    </row>
    <row r="1294" spans="1:10" x14ac:dyDescent="0.25">
      <c r="A1294" s="5" t="s">
        <v>28226</v>
      </c>
      <c r="B1294" s="6">
        <v>393.75</v>
      </c>
      <c r="C1294" s="6">
        <v>20.584240000000001</v>
      </c>
      <c r="D1294" s="6">
        <v>48</v>
      </c>
      <c r="E1294" s="6">
        <v>0</v>
      </c>
      <c r="F1294" s="6">
        <v>0</v>
      </c>
      <c r="G1294" s="6">
        <v>0</v>
      </c>
      <c r="H1294" s="6" t="s">
        <v>28227</v>
      </c>
      <c r="I1294" s="6">
        <v>526.6875</v>
      </c>
      <c r="J1294" s="2">
        <f t="shared" si="20"/>
        <v>43748.5261402662</v>
      </c>
    </row>
    <row r="1295" spans="1:10" x14ac:dyDescent="0.25">
      <c r="A1295" s="7" t="s">
        <v>28228</v>
      </c>
      <c r="B1295" s="8">
        <v>393.75</v>
      </c>
      <c r="C1295" s="8">
        <v>20.584240000000001</v>
      </c>
      <c r="D1295" s="8">
        <v>50</v>
      </c>
      <c r="E1295" s="8">
        <v>0</v>
      </c>
      <c r="F1295" s="8">
        <v>0</v>
      </c>
      <c r="G1295" s="8">
        <v>3</v>
      </c>
      <c r="H1295" s="8" t="s">
        <v>28229</v>
      </c>
      <c r="I1295" s="8">
        <v>526.6875</v>
      </c>
      <c r="J1295" s="3">
        <f t="shared" si="20"/>
        <v>43748.526223379631</v>
      </c>
    </row>
    <row r="1296" spans="1:10" x14ac:dyDescent="0.25">
      <c r="A1296" s="5" t="s">
        <v>28230</v>
      </c>
      <c r="B1296" s="6">
        <v>393.75</v>
      </c>
      <c r="C1296" s="6">
        <v>20.531590000000001</v>
      </c>
      <c r="D1296" s="6">
        <v>49</v>
      </c>
      <c r="E1296" s="6">
        <v>0</v>
      </c>
      <c r="F1296" s="6">
        <v>0</v>
      </c>
      <c r="G1296" s="6">
        <v>7</v>
      </c>
      <c r="H1296" s="6" t="s">
        <v>28231</v>
      </c>
      <c r="I1296" s="6">
        <v>526.6875</v>
      </c>
      <c r="J1296" s="2">
        <f t="shared" si="20"/>
        <v>43748.526295243057</v>
      </c>
    </row>
    <row r="1297" spans="1:10" x14ac:dyDescent="0.25">
      <c r="A1297" s="7" t="s">
        <v>28232</v>
      </c>
      <c r="B1297" s="8">
        <v>393.75</v>
      </c>
      <c r="C1297" s="8">
        <v>20.584240000000001</v>
      </c>
      <c r="D1297" s="8">
        <v>49</v>
      </c>
      <c r="E1297" s="8">
        <v>0</v>
      </c>
      <c r="F1297" s="8">
        <v>0</v>
      </c>
      <c r="G1297" s="8">
        <v>3</v>
      </c>
      <c r="H1297" s="8" t="s">
        <v>28233</v>
      </c>
      <c r="I1297" s="8">
        <v>526.6875</v>
      </c>
      <c r="J1297" s="3">
        <f t="shared" si="20"/>
        <v>43748.526378842587</v>
      </c>
    </row>
    <row r="1298" spans="1:10" x14ac:dyDescent="0.25">
      <c r="A1298" s="5" t="s">
        <v>28234</v>
      </c>
      <c r="B1298" s="6">
        <v>393.75</v>
      </c>
      <c r="C1298" s="6">
        <v>20.584240000000001</v>
      </c>
      <c r="D1298" s="6">
        <v>49</v>
      </c>
      <c r="E1298" s="6">
        <v>0</v>
      </c>
      <c r="F1298" s="6">
        <v>0</v>
      </c>
      <c r="G1298" s="6">
        <v>4</v>
      </c>
      <c r="H1298" s="6" t="s">
        <v>28235</v>
      </c>
      <c r="I1298" s="6">
        <v>526.6875</v>
      </c>
      <c r="J1298" s="2">
        <f t="shared" si="20"/>
        <v>43748.526462395828</v>
      </c>
    </row>
    <row r="1299" spans="1:10" x14ac:dyDescent="0.25">
      <c r="A1299" s="7" t="s">
        <v>28236</v>
      </c>
      <c r="B1299" s="8">
        <v>393.75</v>
      </c>
      <c r="C1299" s="8">
        <v>20.584240000000001</v>
      </c>
      <c r="D1299" s="8">
        <v>47</v>
      </c>
      <c r="E1299" s="8">
        <v>0</v>
      </c>
      <c r="F1299" s="8">
        <v>0</v>
      </c>
      <c r="G1299" s="8">
        <v>7</v>
      </c>
      <c r="H1299" s="8" t="s">
        <v>28237</v>
      </c>
      <c r="I1299" s="8">
        <v>526.6875</v>
      </c>
      <c r="J1299" s="3">
        <f t="shared" si="20"/>
        <v>43748.526545497683</v>
      </c>
    </row>
    <row r="1300" spans="1:10" x14ac:dyDescent="0.25">
      <c r="A1300" s="5" t="s">
        <v>28238</v>
      </c>
      <c r="B1300" s="6">
        <v>393.75</v>
      </c>
      <c r="C1300" s="6">
        <v>20.584240000000001</v>
      </c>
      <c r="D1300" s="6">
        <v>47</v>
      </c>
      <c r="E1300" s="6">
        <v>0</v>
      </c>
      <c r="F1300" s="6">
        <v>0</v>
      </c>
      <c r="G1300" s="6">
        <v>4</v>
      </c>
      <c r="H1300" s="6" t="s">
        <v>28239</v>
      </c>
      <c r="I1300" s="6">
        <v>526.6875</v>
      </c>
      <c r="J1300" s="2">
        <f t="shared" si="20"/>
        <v>43748.526617361109</v>
      </c>
    </row>
    <row r="1301" spans="1:10" x14ac:dyDescent="0.25">
      <c r="A1301" s="7" t="s">
        <v>28240</v>
      </c>
      <c r="B1301" s="8">
        <v>421.875</v>
      </c>
      <c r="C1301" s="8">
        <v>20.531590000000001</v>
      </c>
      <c r="D1301" s="8">
        <v>46</v>
      </c>
      <c r="E1301" s="8">
        <v>0</v>
      </c>
      <c r="F1301" s="8">
        <v>0</v>
      </c>
      <c r="G1301" s="8">
        <v>14</v>
      </c>
      <c r="H1301" s="8" t="s">
        <v>28241</v>
      </c>
      <c r="I1301" s="8">
        <v>535.125</v>
      </c>
      <c r="J1301" s="3">
        <f t="shared" si="20"/>
        <v>43748.526715462962</v>
      </c>
    </row>
    <row r="1302" spans="1:10" x14ac:dyDescent="0.25">
      <c r="A1302" s="5" t="s">
        <v>28242</v>
      </c>
      <c r="B1302" s="6">
        <v>393.75</v>
      </c>
      <c r="C1302" s="6">
        <v>20.584240000000001</v>
      </c>
      <c r="D1302" s="6">
        <v>45</v>
      </c>
      <c r="E1302" s="6">
        <v>0</v>
      </c>
      <c r="F1302" s="6">
        <v>0</v>
      </c>
      <c r="G1302" s="6">
        <v>7</v>
      </c>
      <c r="H1302" s="6" t="s">
        <v>28243</v>
      </c>
      <c r="I1302" s="6">
        <v>526.6875</v>
      </c>
      <c r="J1302" s="2">
        <f t="shared" si="20"/>
        <v>43748.526796273145</v>
      </c>
    </row>
    <row r="1303" spans="1:10" x14ac:dyDescent="0.25">
      <c r="A1303" s="7" t="s">
        <v>28244</v>
      </c>
      <c r="B1303" s="8">
        <v>393.75</v>
      </c>
      <c r="C1303" s="8">
        <v>20.584240000000001</v>
      </c>
      <c r="D1303" s="8">
        <v>47</v>
      </c>
      <c r="E1303" s="8">
        <v>0</v>
      </c>
      <c r="F1303" s="8">
        <v>0</v>
      </c>
      <c r="G1303" s="8">
        <v>10</v>
      </c>
      <c r="H1303" s="8" t="s">
        <v>28245</v>
      </c>
      <c r="I1303" s="8">
        <v>526.6875</v>
      </c>
      <c r="J1303" s="3">
        <f t="shared" si="20"/>
        <v>43748.52689173611</v>
      </c>
    </row>
    <row r="1304" spans="1:10" x14ac:dyDescent="0.25">
      <c r="A1304" s="5" t="s">
        <v>28246</v>
      </c>
      <c r="B1304" s="6">
        <v>393.75</v>
      </c>
      <c r="C1304" s="6">
        <v>20.584240000000001</v>
      </c>
      <c r="D1304" s="6">
        <v>47</v>
      </c>
      <c r="E1304" s="6">
        <v>0</v>
      </c>
      <c r="F1304" s="6">
        <v>0</v>
      </c>
      <c r="G1304" s="6">
        <v>8</v>
      </c>
      <c r="H1304" s="6" t="s">
        <v>28247</v>
      </c>
      <c r="I1304" s="6">
        <v>526.6875</v>
      </c>
      <c r="J1304" s="2">
        <f t="shared" si="20"/>
        <v>43748.526975115739</v>
      </c>
    </row>
    <row r="1305" spans="1:10" x14ac:dyDescent="0.25">
      <c r="A1305" s="7" t="s">
        <v>28248</v>
      </c>
      <c r="B1305" s="8">
        <v>393.75</v>
      </c>
      <c r="C1305" s="8">
        <v>20.584240000000001</v>
      </c>
      <c r="D1305" s="8">
        <v>46</v>
      </c>
      <c r="E1305" s="8">
        <v>0</v>
      </c>
      <c r="F1305" s="8">
        <v>0</v>
      </c>
      <c r="G1305" s="8">
        <v>9</v>
      </c>
      <c r="H1305" s="8" t="s">
        <v>28249</v>
      </c>
      <c r="I1305" s="8">
        <v>526.6875</v>
      </c>
      <c r="J1305" s="3">
        <f t="shared" si="20"/>
        <v>43748.527058773143</v>
      </c>
    </row>
    <row r="1306" spans="1:10" x14ac:dyDescent="0.25">
      <c r="A1306" s="5" t="s">
        <v>28250</v>
      </c>
      <c r="B1306" s="6">
        <v>393.75</v>
      </c>
      <c r="C1306" s="6">
        <v>20.584240000000001</v>
      </c>
      <c r="D1306" s="6">
        <v>49</v>
      </c>
      <c r="E1306" s="6">
        <v>0</v>
      </c>
      <c r="F1306" s="6">
        <v>0</v>
      </c>
      <c r="G1306" s="6">
        <v>4</v>
      </c>
      <c r="H1306" s="6" t="s">
        <v>28251</v>
      </c>
      <c r="I1306" s="6">
        <v>526.6875</v>
      </c>
      <c r="J1306" s="2">
        <f t="shared" si="20"/>
        <v>43748.527141979161</v>
      </c>
    </row>
    <row r="1307" spans="1:10" x14ac:dyDescent="0.25">
      <c r="A1307" s="7" t="s">
        <v>28252</v>
      </c>
      <c r="B1307" s="8">
        <v>393.75</v>
      </c>
      <c r="C1307" s="8">
        <v>20.531590000000001</v>
      </c>
      <c r="D1307" s="8">
        <v>47</v>
      </c>
      <c r="E1307" s="8">
        <v>0</v>
      </c>
      <c r="F1307" s="8">
        <v>0</v>
      </c>
      <c r="G1307" s="8">
        <v>13</v>
      </c>
      <c r="H1307" s="8" t="s">
        <v>28253</v>
      </c>
      <c r="I1307" s="8">
        <v>526.6875</v>
      </c>
      <c r="J1307" s="3">
        <f t="shared" si="20"/>
        <v>43748.527213842586</v>
      </c>
    </row>
    <row r="1308" spans="1:10" x14ac:dyDescent="0.25">
      <c r="A1308" s="5" t="s">
        <v>28254</v>
      </c>
      <c r="B1308" s="6">
        <v>393.75</v>
      </c>
      <c r="C1308" s="6">
        <v>20.531590000000001</v>
      </c>
      <c r="D1308" s="6">
        <v>47</v>
      </c>
      <c r="E1308" s="6">
        <v>0</v>
      </c>
      <c r="F1308" s="6">
        <v>0</v>
      </c>
      <c r="G1308" s="6">
        <v>8</v>
      </c>
      <c r="H1308" s="6" t="s">
        <v>28255</v>
      </c>
      <c r="I1308" s="6">
        <v>526.6875</v>
      </c>
      <c r="J1308" s="2">
        <f t="shared" si="20"/>
        <v>43748.527297303233</v>
      </c>
    </row>
    <row r="1309" spans="1:10" x14ac:dyDescent="0.25">
      <c r="A1309" s="7" t="s">
        <v>28256</v>
      </c>
      <c r="B1309" s="8">
        <v>393.75</v>
      </c>
      <c r="C1309" s="8">
        <v>20.584240000000001</v>
      </c>
      <c r="D1309" s="8">
        <v>47</v>
      </c>
      <c r="E1309" s="8">
        <v>0</v>
      </c>
      <c r="F1309" s="8">
        <v>0</v>
      </c>
      <c r="G1309" s="8">
        <v>3</v>
      </c>
      <c r="H1309" s="8" t="s">
        <v>28257</v>
      </c>
      <c r="I1309" s="8">
        <v>526.6875</v>
      </c>
      <c r="J1309" s="3">
        <f t="shared" si="20"/>
        <v>43748.527380868058</v>
      </c>
    </row>
    <row r="1310" spans="1:10" x14ac:dyDescent="0.25">
      <c r="A1310" s="5" t="s">
        <v>28258</v>
      </c>
      <c r="B1310" s="6">
        <v>393.75</v>
      </c>
      <c r="C1310" s="6">
        <v>20.584240000000001</v>
      </c>
      <c r="D1310" s="6">
        <v>45</v>
      </c>
      <c r="E1310" s="6">
        <v>0</v>
      </c>
      <c r="F1310" s="6">
        <v>0</v>
      </c>
      <c r="G1310" s="6">
        <v>10</v>
      </c>
      <c r="H1310" s="6" t="s">
        <v>28259</v>
      </c>
      <c r="I1310" s="6">
        <v>526.6875</v>
      </c>
      <c r="J1310" s="2">
        <f t="shared" si="20"/>
        <v>43748.527463969906</v>
      </c>
    </row>
    <row r="1311" spans="1:10" x14ac:dyDescent="0.25">
      <c r="A1311" s="7" t="s">
        <v>28260</v>
      </c>
      <c r="B1311" s="8">
        <v>393.75</v>
      </c>
      <c r="C1311" s="8">
        <v>20.584240000000001</v>
      </c>
      <c r="D1311" s="8">
        <v>45</v>
      </c>
      <c r="E1311" s="8">
        <v>0</v>
      </c>
      <c r="F1311" s="8">
        <v>0</v>
      </c>
      <c r="G1311" s="8">
        <v>3</v>
      </c>
      <c r="H1311" s="8" t="s">
        <v>28261</v>
      </c>
      <c r="I1311" s="8">
        <v>526.6875</v>
      </c>
      <c r="J1311" s="3">
        <f t="shared" si="20"/>
        <v>43748.527535624999</v>
      </c>
    </row>
    <row r="1312" spans="1:10" x14ac:dyDescent="0.25">
      <c r="A1312" s="5" t="s">
        <v>28262</v>
      </c>
      <c r="B1312" s="6">
        <v>393.75</v>
      </c>
      <c r="C1312" s="6">
        <v>20.584240000000001</v>
      </c>
      <c r="D1312" s="6">
        <v>47</v>
      </c>
      <c r="E1312" s="6">
        <v>0</v>
      </c>
      <c r="F1312" s="6">
        <v>0</v>
      </c>
      <c r="G1312" s="6">
        <v>8</v>
      </c>
      <c r="H1312" s="6" t="s">
        <v>28263</v>
      </c>
      <c r="I1312" s="6">
        <v>526.6875</v>
      </c>
      <c r="J1312" s="2">
        <f t="shared" si="20"/>
        <v>43748.527619525463</v>
      </c>
    </row>
    <row r="1313" spans="1:10" x14ac:dyDescent="0.25">
      <c r="A1313" s="7" t="s">
        <v>28264</v>
      </c>
      <c r="B1313" s="8">
        <v>393.75</v>
      </c>
      <c r="C1313" s="8">
        <v>20.584240000000001</v>
      </c>
      <c r="D1313" s="8">
        <v>47</v>
      </c>
      <c r="E1313" s="8">
        <v>0</v>
      </c>
      <c r="F1313" s="8">
        <v>0</v>
      </c>
      <c r="G1313" s="8">
        <v>2</v>
      </c>
      <c r="H1313" s="8" t="s">
        <v>28265</v>
      </c>
      <c r="I1313" s="8">
        <v>526.6875</v>
      </c>
      <c r="J1313" s="3">
        <f t="shared" si="20"/>
        <v>43748.527702858795</v>
      </c>
    </row>
    <row r="1314" spans="1:10" x14ac:dyDescent="0.25">
      <c r="A1314" s="5" t="s">
        <v>28266</v>
      </c>
      <c r="B1314" s="6">
        <v>393.75</v>
      </c>
      <c r="C1314" s="6">
        <v>20.584240000000001</v>
      </c>
      <c r="D1314" s="6">
        <v>46</v>
      </c>
      <c r="E1314" s="6">
        <v>0</v>
      </c>
      <c r="F1314" s="6">
        <v>0</v>
      </c>
      <c r="G1314" s="6">
        <v>5</v>
      </c>
      <c r="H1314" s="6" t="s">
        <v>28267</v>
      </c>
      <c r="I1314" s="6">
        <v>526.6875</v>
      </c>
      <c r="J1314" s="2">
        <f t="shared" si="20"/>
        <v>43748.527786192128</v>
      </c>
    </row>
    <row r="1315" spans="1:10" x14ac:dyDescent="0.25">
      <c r="A1315" s="7" t="s">
        <v>28268</v>
      </c>
      <c r="B1315" s="8">
        <v>412.5</v>
      </c>
      <c r="C1315" s="8">
        <v>20.584240000000001</v>
      </c>
      <c r="D1315" s="8">
        <v>46</v>
      </c>
      <c r="E1315" s="8">
        <v>0</v>
      </c>
      <c r="F1315" s="8">
        <v>0</v>
      </c>
      <c r="G1315" s="8">
        <v>6</v>
      </c>
      <c r="H1315" s="8" t="s">
        <v>28269</v>
      </c>
      <c r="I1315" s="8">
        <v>532.3125</v>
      </c>
      <c r="J1315" s="3">
        <f t="shared" si="20"/>
        <v>43748.527857847221</v>
      </c>
    </row>
    <row r="1316" spans="1:10" x14ac:dyDescent="0.25">
      <c r="A1316" s="5" t="s">
        <v>28270</v>
      </c>
      <c r="B1316" s="6">
        <v>393.75</v>
      </c>
      <c r="C1316" s="6">
        <v>20.584240000000001</v>
      </c>
      <c r="D1316" s="6">
        <v>47</v>
      </c>
      <c r="E1316" s="6">
        <v>0</v>
      </c>
      <c r="F1316" s="6">
        <v>0</v>
      </c>
      <c r="G1316" s="6">
        <v>6</v>
      </c>
      <c r="H1316" s="6" t="s">
        <v>28271</v>
      </c>
      <c r="I1316" s="6">
        <v>526.6875</v>
      </c>
      <c r="J1316" s="2">
        <f t="shared" si="20"/>
        <v>43748.527941504632</v>
      </c>
    </row>
    <row r="1317" spans="1:10" x14ac:dyDescent="0.25">
      <c r="A1317" s="7" t="s">
        <v>28272</v>
      </c>
      <c r="B1317" s="8">
        <v>393.75</v>
      </c>
      <c r="C1317" s="8">
        <v>20.584240000000001</v>
      </c>
      <c r="D1317" s="8">
        <v>48</v>
      </c>
      <c r="E1317" s="8">
        <v>0</v>
      </c>
      <c r="F1317" s="8">
        <v>0</v>
      </c>
      <c r="G1317" s="8">
        <v>19</v>
      </c>
      <c r="H1317" s="8" t="s">
        <v>28273</v>
      </c>
      <c r="I1317" s="8">
        <v>526.6875</v>
      </c>
      <c r="J1317" s="3">
        <f t="shared" si="20"/>
        <v>43748.528024953703</v>
      </c>
    </row>
    <row r="1318" spans="1:10" x14ac:dyDescent="0.25">
      <c r="A1318" s="5" t="s">
        <v>28274</v>
      </c>
      <c r="B1318" s="6">
        <v>393.75</v>
      </c>
      <c r="C1318" s="6">
        <v>20.584240000000001</v>
      </c>
      <c r="D1318" s="6">
        <v>49</v>
      </c>
      <c r="E1318" s="6">
        <v>0</v>
      </c>
      <c r="F1318" s="6">
        <v>0</v>
      </c>
      <c r="G1318" s="6">
        <v>11</v>
      </c>
      <c r="H1318" s="6" t="s">
        <v>28275</v>
      </c>
      <c r="I1318" s="6">
        <v>526.6875</v>
      </c>
      <c r="J1318" s="2">
        <f t="shared" si="20"/>
        <v>43748.52810841435</v>
      </c>
    </row>
    <row r="1319" spans="1:10" x14ac:dyDescent="0.25">
      <c r="A1319" s="7" t="s">
        <v>28276</v>
      </c>
      <c r="B1319" s="8">
        <v>393.75</v>
      </c>
      <c r="C1319" s="8">
        <v>20.531590000000001</v>
      </c>
      <c r="D1319" s="8">
        <v>48</v>
      </c>
      <c r="E1319" s="8">
        <v>0</v>
      </c>
      <c r="F1319" s="8">
        <v>0</v>
      </c>
      <c r="G1319" s="8">
        <v>6</v>
      </c>
      <c r="H1319" s="8" t="s">
        <v>28277</v>
      </c>
      <c r="I1319" s="8">
        <v>526.6875</v>
      </c>
      <c r="J1319" s="3">
        <f t="shared" si="20"/>
        <v>43748.528191979167</v>
      </c>
    </row>
    <row r="1320" spans="1:10" x14ac:dyDescent="0.25">
      <c r="A1320" s="5" t="s">
        <v>28278</v>
      </c>
      <c r="B1320" s="6">
        <v>412.5</v>
      </c>
      <c r="C1320" s="6">
        <v>20.584240000000001</v>
      </c>
      <c r="D1320" s="6">
        <v>48</v>
      </c>
      <c r="E1320" s="6">
        <v>0</v>
      </c>
      <c r="F1320" s="6">
        <v>0</v>
      </c>
      <c r="G1320" s="6">
        <v>12</v>
      </c>
      <c r="H1320" s="6" t="s">
        <v>28279</v>
      </c>
      <c r="I1320" s="6">
        <v>532.3125</v>
      </c>
      <c r="J1320" s="2">
        <f t="shared" si="20"/>
        <v>43748.528275185185</v>
      </c>
    </row>
    <row r="1321" spans="1:10" x14ac:dyDescent="0.25">
      <c r="A1321" s="7" t="s">
        <v>28280</v>
      </c>
      <c r="B1321" s="8">
        <v>393.75</v>
      </c>
      <c r="C1321" s="8">
        <v>20.584240000000001</v>
      </c>
      <c r="D1321" s="8">
        <v>48</v>
      </c>
      <c r="E1321" s="8">
        <v>0</v>
      </c>
      <c r="F1321" s="8">
        <v>0</v>
      </c>
      <c r="G1321" s="8">
        <v>2</v>
      </c>
      <c r="H1321" s="8" t="s">
        <v>28281</v>
      </c>
      <c r="I1321" s="8">
        <v>526.6875</v>
      </c>
      <c r="J1321" s="3">
        <f t="shared" si="20"/>
        <v>43748.528358981479</v>
      </c>
    </row>
    <row r="1322" spans="1:10" x14ac:dyDescent="0.25">
      <c r="A1322" s="5" t="s">
        <v>28282</v>
      </c>
      <c r="B1322" s="6">
        <v>393.75</v>
      </c>
      <c r="C1322" s="6">
        <v>20.584240000000001</v>
      </c>
      <c r="D1322" s="6">
        <v>48</v>
      </c>
      <c r="E1322" s="6">
        <v>0</v>
      </c>
      <c r="F1322" s="6">
        <v>0</v>
      </c>
      <c r="G1322" s="6">
        <v>4</v>
      </c>
      <c r="H1322" s="6" t="s">
        <v>28283</v>
      </c>
      <c r="I1322" s="6">
        <v>526.6875</v>
      </c>
      <c r="J1322" s="2">
        <f t="shared" si="20"/>
        <v>43748.528430474536</v>
      </c>
    </row>
    <row r="1323" spans="1:10" x14ac:dyDescent="0.25">
      <c r="A1323" s="7" t="s">
        <v>28284</v>
      </c>
      <c r="B1323" s="8">
        <v>393.75</v>
      </c>
      <c r="C1323" s="8">
        <v>20.584240000000001</v>
      </c>
      <c r="D1323" s="8">
        <v>47</v>
      </c>
      <c r="E1323" s="8">
        <v>0</v>
      </c>
      <c r="F1323" s="8">
        <v>0</v>
      </c>
      <c r="G1323" s="8">
        <v>7</v>
      </c>
      <c r="H1323" s="8" t="s">
        <v>28285</v>
      </c>
      <c r="I1323" s="8">
        <v>526.6875</v>
      </c>
      <c r="J1323" s="3">
        <f t="shared" si="20"/>
        <v>43748.528514050922</v>
      </c>
    </row>
    <row r="1324" spans="1:10" x14ac:dyDescent="0.25">
      <c r="A1324" s="5" t="s">
        <v>28286</v>
      </c>
      <c r="B1324" s="6">
        <v>393.75</v>
      </c>
      <c r="C1324" s="6">
        <v>20.584240000000001</v>
      </c>
      <c r="D1324" s="6">
        <v>48</v>
      </c>
      <c r="E1324" s="6">
        <v>0</v>
      </c>
      <c r="F1324" s="6">
        <v>0</v>
      </c>
      <c r="G1324" s="6">
        <v>3</v>
      </c>
      <c r="H1324" s="6" t="s">
        <v>28287</v>
      </c>
      <c r="I1324" s="6">
        <v>526.6875</v>
      </c>
      <c r="J1324" s="2">
        <f t="shared" si="20"/>
        <v>43748.528585613421</v>
      </c>
    </row>
    <row r="1325" spans="1:10" x14ac:dyDescent="0.25">
      <c r="A1325" s="7" t="s">
        <v>28288</v>
      </c>
      <c r="B1325" s="8">
        <v>393.75</v>
      </c>
      <c r="C1325" s="8">
        <v>20.584240000000001</v>
      </c>
      <c r="D1325" s="8">
        <v>47</v>
      </c>
      <c r="E1325" s="8">
        <v>0</v>
      </c>
      <c r="F1325" s="8">
        <v>0</v>
      </c>
      <c r="G1325" s="8">
        <v>3</v>
      </c>
      <c r="H1325" s="8" t="s">
        <v>28289</v>
      </c>
      <c r="I1325" s="8">
        <v>526.6875</v>
      </c>
      <c r="J1325" s="3">
        <f t="shared" si="20"/>
        <v>43748.528657569441</v>
      </c>
    </row>
    <row r="1326" spans="1:10" x14ac:dyDescent="0.25">
      <c r="A1326" s="5" t="s">
        <v>28290</v>
      </c>
      <c r="B1326" s="6">
        <v>415.625</v>
      </c>
      <c r="C1326" s="6">
        <v>20.584240000000001</v>
      </c>
      <c r="D1326" s="6">
        <v>43</v>
      </c>
      <c r="E1326" s="6">
        <v>0</v>
      </c>
      <c r="F1326" s="6">
        <v>0</v>
      </c>
      <c r="G1326" s="6">
        <v>5</v>
      </c>
      <c r="H1326" s="6" t="s">
        <v>28291</v>
      </c>
      <c r="I1326" s="6">
        <v>533.625</v>
      </c>
      <c r="J1326" s="2">
        <f t="shared" si="20"/>
        <v>43748.52872884259</v>
      </c>
    </row>
    <row r="1327" spans="1:10" x14ac:dyDescent="0.25">
      <c r="A1327" s="7" t="s">
        <v>28292</v>
      </c>
      <c r="B1327" s="8">
        <v>393.75</v>
      </c>
      <c r="C1327" s="8">
        <v>20.584240000000001</v>
      </c>
      <c r="D1327" s="8">
        <v>44</v>
      </c>
      <c r="E1327" s="8">
        <v>0</v>
      </c>
      <c r="F1327" s="8">
        <v>0</v>
      </c>
      <c r="G1327" s="8">
        <v>13</v>
      </c>
      <c r="H1327" s="8" t="s">
        <v>28293</v>
      </c>
      <c r="I1327" s="8">
        <v>526.6875</v>
      </c>
      <c r="J1327" s="3">
        <f t="shared" si="20"/>
        <v>43748.528800138891</v>
      </c>
    </row>
    <row r="1328" spans="1:10" x14ac:dyDescent="0.25">
      <c r="A1328" s="5" t="s">
        <v>28294</v>
      </c>
      <c r="B1328" s="6">
        <v>393.75</v>
      </c>
      <c r="C1328" s="6">
        <v>20.584240000000001</v>
      </c>
      <c r="D1328" s="6">
        <v>47</v>
      </c>
      <c r="E1328" s="6">
        <v>0</v>
      </c>
      <c r="F1328" s="6">
        <v>0</v>
      </c>
      <c r="G1328" s="6">
        <v>14</v>
      </c>
      <c r="H1328" s="6" t="s">
        <v>28295</v>
      </c>
      <c r="I1328" s="6">
        <v>526.6875</v>
      </c>
      <c r="J1328" s="2">
        <f t="shared" si="20"/>
        <v>43748.528871909723</v>
      </c>
    </row>
    <row r="1329" spans="1:10" x14ac:dyDescent="0.25">
      <c r="A1329" s="7" t="s">
        <v>28296</v>
      </c>
      <c r="B1329" s="8">
        <v>393.75</v>
      </c>
      <c r="C1329" s="8">
        <v>20.584240000000001</v>
      </c>
      <c r="D1329" s="8">
        <v>46</v>
      </c>
      <c r="E1329" s="8">
        <v>0</v>
      </c>
      <c r="F1329" s="8">
        <v>0</v>
      </c>
      <c r="G1329" s="8">
        <v>10</v>
      </c>
      <c r="H1329" s="8" t="s">
        <v>28297</v>
      </c>
      <c r="I1329" s="8">
        <v>526.5</v>
      </c>
      <c r="J1329" s="3">
        <f t="shared" si="20"/>
        <v>43748.528943668978</v>
      </c>
    </row>
    <row r="1330" spans="1:10" x14ac:dyDescent="0.25">
      <c r="A1330" s="5" t="s">
        <v>28298</v>
      </c>
      <c r="B1330" s="6">
        <v>393.75</v>
      </c>
      <c r="C1330" s="6">
        <v>20.584240000000001</v>
      </c>
      <c r="D1330" s="6">
        <v>46</v>
      </c>
      <c r="E1330" s="6">
        <v>0</v>
      </c>
      <c r="F1330" s="6">
        <v>0</v>
      </c>
      <c r="G1330" s="6">
        <v>16</v>
      </c>
      <c r="H1330" s="6" t="s">
        <v>28299</v>
      </c>
      <c r="I1330" s="6">
        <v>526.6875</v>
      </c>
      <c r="J1330" s="2">
        <f t="shared" si="20"/>
        <v>43748.529026990735</v>
      </c>
    </row>
    <row r="1331" spans="1:10" x14ac:dyDescent="0.25">
      <c r="A1331" s="7" t="s">
        <v>28300</v>
      </c>
      <c r="B1331" s="8">
        <v>393.75</v>
      </c>
      <c r="C1331" s="8">
        <v>20.584240000000001</v>
      </c>
      <c r="D1331" s="8">
        <v>46</v>
      </c>
      <c r="E1331" s="8">
        <v>0</v>
      </c>
      <c r="F1331" s="8">
        <v>0</v>
      </c>
      <c r="G1331" s="8">
        <v>6</v>
      </c>
      <c r="H1331" s="8" t="s">
        <v>28301</v>
      </c>
      <c r="I1331" s="8">
        <v>526.6875</v>
      </c>
      <c r="J1331" s="3">
        <f t="shared" si="20"/>
        <v>43748.529098541665</v>
      </c>
    </row>
    <row r="1332" spans="1:10" x14ac:dyDescent="0.25">
      <c r="A1332" s="5" t="s">
        <v>28302</v>
      </c>
      <c r="B1332" s="6">
        <v>393.75</v>
      </c>
      <c r="C1332" s="6">
        <v>20.584240000000001</v>
      </c>
      <c r="D1332" s="6">
        <v>46</v>
      </c>
      <c r="E1332" s="6">
        <v>0</v>
      </c>
      <c r="F1332" s="6">
        <v>0</v>
      </c>
      <c r="G1332" s="6">
        <v>9</v>
      </c>
      <c r="H1332" s="6" t="s">
        <v>28303</v>
      </c>
      <c r="I1332" s="6">
        <v>526.6875</v>
      </c>
      <c r="J1332" s="2">
        <f t="shared" si="20"/>
        <v>43748.529170046291</v>
      </c>
    </row>
    <row r="1333" spans="1:10" x14ac:dyDescent="0.25">
      <c r="A1333" s="7" t="s">
        <v>28304</v>
      </c>
      <c r="B1333" s="8">
        <v>393.75</v>
      </c>
      <c r="C1333" s="8">
        <v>20.584240000000001</v>
      </c>
      <c r="D1333" s="8">
        <v>46</v>
      </c>
      <c r="E1333" s="8">
        <v>0</v>
      </c>
      <c r="F1333" s="8">
        <v>0</v>
      </c>
      <c r="G1333" s="8">
        <v>7</v>
      </c>
      <c r="H1333" s="8" t="s">
        <v>28305</v>
      </c>
      <c r="I1333" s="8">
        <v>526.6875</v>
      </c>
      <c r="J1333" s="3">
        <f t="shared" si="20"/>
        <v>43748.529241817123</v>
      </c>
    </row>
    <row r="1334" spans="1:10" x14ac:dyDescent="0.25">
      <c r="A1334" s="5" t="s">
        <v>28306</v>
      </c>
      <c r="B1334" s="6">
        <v>412.5</v>
      </c>
      <c r="C1334" s="6">
        <v>20.584240000000001</v>
      </c>
      <c r="D1334" s="6">
        <v>42</v>
      </c>
      <c r="E1334" s="6">
        <v>0</v>
      </c>
      <c r="F1334" s="6">
        <v>0</v>
      </c>
      <c r="G1334" s="6">
        <v>12</v>
      </c>
      <c r="H1334" s="6" t="s">
        <v>28307</v>
      </c>
      <c r="I1334" s="6">
        <v>532.3125</v>
      </c>
      <c r="J1334" s="2">
        <f t="shared" si="20"/>
        <v>43748.529313113424</v>
      </c>
    </row>
    <row r="1335" spans="1:10" x14ac:dyDescent="0.25">
      <c r="A1335" s="7" t="s">
        <v>28308</v>
      </c>
      <c r="B1335" s="8">
        <v>393.75</v>
      </c>
      <c r="C1335" s="8">
        <v>20.584240000000001</v>
      </c>
      <c r="D1335" s="8">
        <v>42</v>
      </c>
      <c r="E1335" s="8">
        <v>0</v>
      </c>
      <c r="F1335" s="8">
        <v>0</v>
      </c>
      <c r="G1335" s="8">
        <v>12</v>
      </c>
      <c r="H1335" s="8" t="s">
        <v>28309</v>
      </c>
      <c r="I1335" s="8">
        <v>526.6875</v>
      </c>
      <c r="J1335" s="3">
        <f t="shared" si="20"/>
        <v>43748.529396666665</v>
      </c>
    </row>
    <row r="1336" spans="1:10" x14ac:dyDescent="0.25">
      <c r="A1336" s="5" t="s">
        <v>28310</v>
      </c>
      <c r="B1336" s="6">
        <v>393.75</v>
      </c>
      <c r="C1336" s="6">
        <v>20.584240000000001</v>
      </c>
      <c r="D1336" s="6">
        <v>44</v>
      </c>
      <c r="E1336" s="6">
        <v>0</v>
      </c>
      <c r="F1336" s="6">
        <v>0</v>
      </c>
      <c r="G1336" s="6">
        <v>10</v>
      </c>
      <c r="H1336" s="6" t="s">
        <v>28311</v>
      </c>
      <c r="I1336" s="6">
        <v>526.6875</v>
      </c>
      <c r="J1336" s="2">
        <f t="shared" si="20"/>
        <v>43748.52946868055</v>
      </c>
    </row>
    <row r="1337" spans="1:10" x14ac:dyDescent="0.25">
      <c r="A1337" s="7" t="s">
        <v>28312</v>
      </c>
      <c r="B1337" s="8">
        <v>393.75</v>
      </c>
      <c r="C1337" s="8">
        <v>20.584240000000001</v>
      </c>
      <c r="D1337" s="8">
        <v>45</v>
      </c>
      <c r="E1337" s="8">
        <v>0</v>
      </c>
      <c r="F1337" s="8">
        <v>0</v>
      </c>
      <c r="G1337" s="8">
        <v>1</v>
      </c>
      <c r="H1337" s="8" t="s">
        <v>28313</v>
      </c>
      <c r="I1337" s="8">
        <v>526.6875</v>
      </c>
      <c r="J1337" s="3">
        <f t="shared" si="20"/>
        <v>43748.529555231478</v>
      </c>
    </row>
    <row r="1338" spans="1:10" x14ac:dyDescent="0.25">
      <c r="A1338" s="5" t="s">
        <v>28314</v>
      </c>
      <c r="B1338" s="6">
        <v>393.75</v>
      </c>
      <c r="C1338" s="6">
        <v>20.584240000000001</v>
      </c>
      <c r="D1338" s="6">
        <v>45</v>
      </c>
      <c r="E1338" s="6">
        <v>0</v>
      </c>
      <c r="F1338" s="6">
        <v>0</v>
      </c>
      <c r="G1338" s="6">
        <v>2</v>
      </c>
      <c r="H1338" s="6" t="s">
        <v>28315</v>
      </c>
      <c r="I1338" s="6">
        <v>526.5</v>
      </c>
      <c r="J1338" s="2">
        <f t="shared" si="20"/>
        <v>43748.52964703703</v>
      </c>
    </row>
    <row r="1339" spans="1:10" x14ac:dyDescent="0.25">
      <c r="A1339" s="7" t="s">
        <v>28316</v>
      </c>
      <c r="B1339" s="8">
        <v>421.875</v>
      </c>
      <c r="C1339" s="8">
        <v>20.584240000000001</v>
      </c>
      <c r="D1339" s="8">
        <v>46</v>
      </c>
      <c r="E1339" s="8">
        <v>0</v>
      </c>
      <c r="F1339" s="8">
        <v>0</v>
      </c>
      <c r="G1339" s="8">
        <v>9</v>
      </c>
      <c r="H1339" s="8" t="s">
        <v>28317</v>
      </c>
      <c r="I1339" s="8">
        <v>535.125</v>
      </c>
      <c r="J1339" s="3">
        <f t="shared" si="20"/>
        <v>43748.52971920139</v>
      </c>
    </row>
    <row r="1340" spans="1:10" x14ac:dyDescent="0.25">
      <c r="A1340" s="5" t="s">
        <v>28318</v>
      </c>
      <c r="B1340" s="6">
        <v>393.75</v>
      </c>
      <c r="C1340" s="6">
        <v>20.584240000000001</v>
      </c>
      <c r="D1340" s="6">
        <v>46</v>
      </c>
      <c r="E1340" s="6">
        <v>0</v>
      </c>
      <c r="F1340" s="6">
        <v>0</v>
      </c>
      <c r="G1340" s="6">
        <v>7</v>
      </c>
      <c r="H1340" s="6" t="s">
        <v>28319</v>
      </c>
      <c r="I1340" s="6">
        <v>526.6875</v>
      </c>
      <c r="J1340" s="2">
        <f t="shared" si="20"/>
        <v>43748.529802523146</v>
      </c>
    </row>
    <row r="1341" spans="1:10" x14ac:dyDescent="0.25">
      <c r="A1341" s="7" t="s">
        <v>28320</v>
      </c>
      <c r="B1341" s="8">
        <v>393.75</v>
      </c>
      <c r="C1341" s="8">
        <v>20.584240000000001</v>
      </c>
      <c r="D1341" s="8">
        <v>47</v>
      </c>
      <c r="E1341" s="8">
        <v>0</v>
      </c>
      <c r="F1341" s="8">
        <v>0</v>
      </c>
      <c r="G1341" s="8">
        <v>12</v>
      </c>
      <c r="H1341" s="8" t="s">
        <v>28321</v>
      </c>
      <c r="I1341" s="8">
        <v>526.6875</v>
      </c>
      <c r="J1341" s="3">
        <f t="shared" si="20"/>
        <v>43748.529873831016</v>
      </c>
    </row>
    <row r="1342" spans="1:10" x14ac:dyDescent="0.25">
      <c r="A1342" s="5" t="s">
        <v>28322</v>
      </c>
      <c r="B1342" s="6">
        <v>393.75</v>
      </c>
      <c r="C1342" s="6">
        <v>20.531590000000001</v>
      </c>
      <c r="D1342" s="6">
        <v>44</v>
      </c>
      <c r="E1342" s="6">
        <v>0</v>
      </c>
      <c r="F1342" s="6">
        <v>0</v>
      </c>
      <c r="G1342" s="6">
        <v>6</v>
      </c>
      <c r="H1342" s="6" t="s">
        <v>28323</v>
      </c>
      <c r="I1342" s="6">
        <v>526.6875</v>
      </c>
      <c r="J1342" s="2">
        <f t="shared" si="20"/>
        <v>43748.529957395825</v>
      </c>
    </row>
    <row r="1343" spans="1:10" x14ac:dyDescent="0.25">
      <c r="A1343" s="7" t="s">
        <v>28324</v>
      </c>
      <c r="B1343" s="8">
        <v>393.75</v>
      </c>
      <c r="C1343" s="8">
        <v>20.584240000000001</v>
      </c>
      <c r="D1343" s="8">
        <v>43</v>
      </c>
      <c r="E1343" s="8">
        <v>0</v>
      </c>
      <c r="F1343" s="8">
        <v>0</v>
      </c>
      <c r="G1343" s="8">
        <v>7</v>
      </c>
      <c r="H1343" s="8" t="s">
        <v>28325</v>
      </c>
      <c r="I1343" s="8">
        <v>526.6875</v>
      </c>
      <c r="J1343" s="3">
        <f t="shared" si="20"/>
        <v>43748.530030115733</v>
      </c>
    </row>
    <row r="1344" spans="1:10" x14ac:dyDescent="0.25">
      <c r="A1344" s="5" t="s">
        <v>28326</v>
      </c>
      <c r="B1344" s="6">
        <v>393.75</v>
      </c>
      <c r="C1344" s="6">
        <v>20.584240000000001</v>
      </c>
      <c r="D1344" s="6">
        <v>43</v>
      </c>
      <c r="E1344" s="6">
        <v>0</v>
      </c>
      <c r="F1344" s="6">
        <v>0</v>
      </c>
      <c r="G1344" s="6">
        <v>7</v>
      </c>
      <c r="H1344" s="6" t="s">
        <v>28327</v>
      </c>
      <c r="I1344" s="6">
        <v>526.5</v>
      </c>
      <c r="J1344" s="2">
        <f t="shared" si="20"/>
        <v>43748.530112858796</v>
      </c>
    </row>
    <row r="1345" spans="1:10" x14ac:dyDescent="0.25">
      <c r="A1345" s="7" t="s">
        <v>28328</v>
      </c>
      <c r="B1345" s="8">
        <v>412.5</v>
      </c>
      <c r="C1345" s="8">
        <v>20.584240000000001</v>
      </c>
      <c r="D1345" s="8">
        <v>44</v>
      </c>
      <c r="E1345" s="8">
        <v>0</v>
      </c>
      <c r="F1345" s="8">
        <v>0</v>
      </c>
      <c r="G1345" s="8">
        <v>7</v>
      </c>
      <c r="H1345" s="8" t="s">
        <v>28329</v>
      </c>
      <c r="I1345" s="8">
        <v>532.6875</v>
      </c>
      <c r="J1345" s="3">
        <f t="shared" si="20"/>
        <v>43748.530184074072</v>
      </c>
    </row>
    <row r="1346" spans="1:10" x14ac:dyDescent="0.25">
      <c r="A1346" s="5" t="s">
        <v>28330</v>
      </c>
      <c r="B1346" s="6">
        <v>393.75</v>
      </c>
      <c r="C1346" s="6">
        <v>20.584240000000001</v>
      </c>
      <c r="D1346" s="6">
        <v>44</v>
      </c>
      <c r="E1346" s="6">
        <v>0</v>
      </c>
      <c r="F1346" s="6">
        <v>0</v>
      </c>
      <c r="G1346" s="6">
        <v>11</v>
      </c>
      <c r="H1346" s="6" t="s">
        <v>28331</v>
      </c>
      <c r="I1346" s="6">
        <v>526.6875</v>
      </c>
      <c r="J1346" s="2">
        <f t="shared" ref="J1346:J1409" si="21">(H1346/86400000)+25569+(7/24)</f>
        <v>43748.530278043974</v>
      </c>
    </row>
    <row r="1347" spans="1:10" x14ac:dyDescent="0.25">
      <c r="A1347" s="7" t="s">
        <v>28332</v>
      </c>
      <c r="B1347" s="8">
        <v>393.75</v>
      </c>
      <c r="C1347" s="8">
        <v>20.584240000000001</v>
      </c>
      <c r="D1347" s="8">
        <v>44</v>
      </c>
      <c r="E1347" s="8">
        <v>0</v>
      </c>
      <c r="F1347" s="8">
        <v>0</v>
      </c>
      <c r="G1347" s="8">
        <v>13</v>
      </c>
      <c r="H1347" s="8" t="s">
        <v>28333</v>
      </c>
      <c r="I1347" s="8">
        <v>526.6875</v>
      </c>
      <c r="J1347" s="3">
        <f t="shared" si="21"/>
        <v>43748.53035108796</v>
      </c>
    </row>
    <row r="1348" spans="1:10" x14ac:dyDescent="0.25">
      <c r="A1348" s="5" t="s">
        <v>28334</v>
      </c>
      <c r="B1348" s="6">
        <v>393.75</v>
      </c>
      <c r="C1348" s="6">
        <v>20.584240000000001</v>
      </c>
      <c r="D1348" s="6">
        <v>46</v>
      </c>
      <c r="E1348" s="6">
        <v>0</v>
      </c>
      <c r="F1348" s="6">
        <v>0</v>
      </c>
      <c r="G1348" s="6">
        <v>9</v>
      </c>
      <c r="H1348" s="6" t="s">
        <v>28335</v>
      </c>
      <c r="I1348" s="6">
        <v>526.6875</v>
      </c>
      <c r="J1348" s="2">
        <f t="shared" si="21"/>
        <v>43748.530434317123</v>
      </c>
    </row>
    <row r="1349" spans="1:10" x14ac:dyDescent="0.25">
      <c r="A1349" s="7" t="s">
        <v>28336</v>
      </c>
      <c r="B1349" s="8">
        <v>393.75</v>
      </c>
      <c r="C1349" s="8">
        <v>20.584240000000001</v>
      </c>
      <c r="D1349" s="8">
        <v>46</v>
      </c>
      <c r="E1349" s="8">
        <v>0</v>
      </c>
      <c r="F1349" s="8">
        <v>0</v>
      </c>
      <c r="G1349" s="8">
        <v>16</v>
      </c>
      <c r="H1349" s="8" t="s">
        <v>28337</v>
      </c>
      <c r="I1349" s="8">
        <v>526.6875</v>
      </c>
      <c r="J1349" s="3">
        <f t="shared" si="21"/>
        <v>43748.53050616898</v>
      </c>
    </row>
    <row r="1350" spans="1:10" x14ac:dyDescent="0.25">
      <c r="A1350" s="5" t="s">
        <v>28338</v>
      </c>
      <c r="B1350" s="6">
        <v>393.75</v>
      </c>
      <c r="C1350" s="6">
        <v>20.584240000000001</v>
      </c>
      <c r="D1350" s="6">
        <v>46</v>
      </c>
      <c r="E1350" s="6">
        <v>0</v>
      </c>
      <c r="F1350" s="6">
        <v>0</v>
      </c>
      <c r="G1350" s="6">
        <v>14</v>
      </c>
      <c r="H1350" s="6" t="s">
        <v>28339</v>
      </c>
      <c r="I1350" s="6">
        <v>526.6875</v>
      </c>
      <c r="J1350" s="2">
        <f t="shared" si="21"/>
        <v>43748.530589745373</v>
      </c>
    </row>
    <row r="1351" spans="1:10" x14ac:dyDescent="0.25">
      <c r="A1351" s="7" t="s">
        <v>28340</v>
      </c>
      <c r="B1351" s="8">
        <v>393.75</v>
      </c>
      <c r="C1351" s="8">
        <v>20.584240000000001</v>
      </c>
      <c r="D1351" s="8">
        <v>46</v>
      </c>
      <c r="E1351" s="8">
        <v>0</v>
      </c>
      <c r="F1351" s="8">
        <v>0</v>
      </c>
      <c r="G1351" s="8">
        <v>12</v>
      </c>
      <c r="H1351" s="8" t="s">
        <v>28341</v>
      </c>
      <c r="I1351" s="8">
        <v>526.6875</v>
      </c>
      <c r="J1351" s="3">
        <f t="shared" si="21"/>
        <v>43748.530673182868</v>
      </c>
    </row>
    <row r="1352" spans="1:10" x14ac:dyDescent="0.25">
      <c r="A1352" s="5" t="s">
        <v>28342</v>
      </c>
      <c r="B1352" s="6">
        <v>393.75</v>
      </c>
      <c r="C1352" s="6">
        <v>20.584240000000001</v>
      </c>
      <c r="D1352" s="6">
        <v>46</v>
      </c>
      <c r="E1352" s="6">
        <v>0</v>
      </c>
      <c r="F1352" s="6">
        <v>0</v>
      </c>
      <c r="G1352" s="6">
        <v>13</v>
      </c>
      <c r="H1352" s="6" t="s">
        <v>28343</v>
      </c>
      <c r="I1352" s="6">
        <v>526.6875</v>
      </c>
      <c r="J1352" s="2">
        <f t="shared" si="21"/>
        <v>43748.530756747678</v>
      </c>
    </row>
    <row r="1353" spans="1:10" x14ac:dyDescent="0.25">
      <c r="A1353" s="7" t="s">
        <v>28344</v>
      </c>
      <c r="B1353" s="8">
        <v>393.75</v>
      </c>
      <c r="C1353" s="8">
        <v>20.531590000000001</v>
      </c>
      <c r="D1353" s="8">
        <v>46</v>
      </c>
      <c r="E1353" s="8">
        <v>0</v>
      </c>
      <c r="F1353" s="8">
        <v>0</v>
      </c>
      <c r="G1353" s="8">
        <v>5</v>
      </c>
      <c r="H1353" s="8" t="s">
        <v>28345</v>
      </c>
      <c r="I1353" s="8">
        <v>526.6875</v>
      </c>
      <c r="J1353" s="3">
        <f t="shared" si="21"/>
        <v>43748.530828067123</v>
      </c>
    </row>
    <row r="1354" spans="1:10" x14ac:dyDescent="0.25">
      <c r="A1354" s="5" t="s">
        <v>28346</v>
      </c>
      <c r="B1354" s="6">
        <v>393.75</v>
      </c>
      <c r="C1354" s="6">
        <v>20.584240000000001</v>
      </c>
      <c r="D1354" s="6">
        <v>46</v>
      </c>
      <c r="E1354" s="6">
        <v>0</v>
      </c>
      <c r="F1354" s="6">
        <v>0</v>
      </c>
      <c r="G1354" s="6">
        <v>0</v>
      </c>
      <c r="H1354" s="6" t="s">
        <v>28347</v>
      </c>
      <c r="I1354" s="6">
        <v>526.6875</v>
      </c>
      <c r="J1354" s="2">
        <f t="shared" si="21"/>
        <v>43748.530911967588</v>
      </c>
    </row>
    <row r="1355" spans="1:10" x14ac:dyDescent="0.25">
      <c r="A1355" s="7" t="s">
        <v>28348</v>
      </c>
      <c r="B1355" s="8">
        <v>393.75</v>
      </c>
      <c r="C1355" s="8">
        <v>20.584240000000001</v>
      </c>
      <c r="D1355" s="8">
        <v>46</v>
      </c>
      <c r="E1355" s="8">
        <v>0</v>
      </c>
      <c r="F1355" s="8">
        <v>0</v>
      </c>
      <c r="G1355" s="8">
        <v>9</v>
      </c>
      <c r="H1355" s="8" t="s">
        <v>28349</v>
      </c>
      <c r="I1355" s="8">
        <v>526.5</v>
      </c>
      <c r="J1355" s="3">
        <f t="shared" si="21"/>
        <v>43748.530995312496</v>
      </c>
    </row>
    <row r="1356" spans="1:10" x14ac:dyDescent="0.25">
      <c r="A1356" s="5" t="s">
        <v>28350</v>
      </c>
      <c r="B1356" s="6">
        <v>393.75</v>
      </c>
      <c r="C1356" s="6">
        <v>20.584240000000001</v>
      </c>
      <c r="D1356" s="6">
        <v>47</v>
      </c>
      <c r="E1356" s="6">
        <v>0</v>
      </c>
      <c r="F1356" s="6">
        <v>0</v>
      </c>
      <c r="G1356" s="6">
        <v>5</v>
      </c>
      <c r="H1356" s="6" t="s">
        <v>28351</v>
      </c>
      <c r="I1356" s="6">
        <v>526.6875</v>
      </c>
      <c r="J1356" s="2">
        <f t="shared" si="21"/>
        <v>43748.531078634252</v>
      </c>
    </row>
    <row r="1357" spans="1:10" x14ac:dyDescent="0.25">
      <c r="A1357" s="7" t="s">
        <v>28352</v>
      </c>
      <c r="B1357" s="8">
        <v>393.75</v>
      </c>
      <c r="C1357" s="8">
        <v>20.584240000000001</v>
      </c>
      <c r="D1357" s="8">
        <v>47</v>
      </c>
      <c r="E1357" s="8">
        <v>0</v>
      </c>
      <c r="F1357" s="8">
        <v>0</v>
      </c>
      <c r="G1357" s="8">
        <v>1</v>
      </c>
      <c r="H1357" s="8" t="s">
        <v>28353</v>
      </c>
      <c r="I1357" s="8">
        <v>526.6875</v>
      </c>
      <c r="J1357" s="3">
        <f t="shared" si="21"/>
        <v>43748.531150370363</v>
      </c>
    </row>
    <row r="1358" spans="1:10" x14ac:dyDescent="0.25">
      <c r="A1358" s="5" t="s">
        <v>28354</v>
      </c>
      <c r="B1358" s="6">
        <v>393.75</v>
      </c>
      <c r="C1358" s="6">
        <v>20.584240000000001</v>
      </c>
      <c r="D1358" s="6">
        <v>47</v>
      </c>
      <c r="E1358" s="6">
        <v>0</v>
      </c>
      <c r="F1358" s="6">
        <v>0</v>
      </c>
      <c r="G1358" s="6">
        <v>2</v>
      </c>
      <c r="H1358" s="6" t="s">
        <v>28355</v>
      </c>
      <c r="I1358" s="6">
        <v>526.6875</v>
      </c>
      <c r="J1358" s="2">
        <f t="shared" si="21"/>
        <v>43748.531233969908</v>
      </c>
    </row>
    <row r="1359" spans="1:10" x14ac:dyDescent="0.25">
      <c r="A1359" s="7" t="s">
        <v>28356</v>
      </c>
      <c r="B1359" s="8">
        <v>393.75</v>
      </c>
      <c r="C1359" s="8">
        <v>20.584240000000001</v>
      </c>
      <c r="D1359" s="8">
        <v>47</v>
      </c>
      <c r="E1359" s="8">
        <v>0</v>
      </c>
      <c r="F1359" s="8">
        <v>0</v>
      </c>
      <c r="G1359" s="8">
        <v>9</v>
      </c>
      <c r="H1359" s="8" t="s">
        <v>28357</v>
      </c>
      <c r="I1359" s="8">
        <v>526.6875</v>
      </c>
      <c r="J1359" s="3">
        <f t="shared" si="21"/>
        <v>43748.531317430556</v>
      </c>
    </row>
    <row r="1360" spans="1:10" x14ac:dyDescent="0.25">
      <c r="A1360" s="5" t="s">
        <v>28358</v>
      </c>
      <c r="B1360" s="6">
        <v>393.75</v>
      </c>
      <c r="C1360" s="6">
        <v>20.584240000000001</v>
      </c>
      <c r="D1360" s="6">
        <v>46</v>
      </c>
      <c r="E1360" s="6">
        <v>0</v>
      </c>
      <c r="F1360" s="6">
        <v>0</v>
      </c>
      <c r="G1360" s="6">
        <v>11</v>
      </c>
      <c r="H1360" s="6" t="s">
        <v>28359</v>
      </c>
      <c r="I1360" s="6">
        <v>526.6875</v>
      </c>
      <c r="J1360" s="2">
        <f t="shared" si="21"/>
        <v>43748.531400856482</v>
      </c>
    </row>
    <row r="1361" spans="1:10" x14ac:dyDescent="0.25">
      <c r="A1361" s="7" t="s">
        <v>28360</v>
      </c>
      <c r="B1361" s="8">
        <v>393.75</v>
      </c>
      <c r="C1361" s="8">
        <v>20.584240000000001</v>
      </c>
      <c r="D1361" s="8">
        <v>46</v>
      </c>
      <c r="E1361" s="8">
        <v>0</v>
      </c>
      <c r="F1361" s="8">
        <v>0</v>
      </c>
      <c r="G1361" s="8">
        <v>9</v>
      </c>
      <c r="H1361" s="8" t="s">
        <v>28361</v>
      </c>
      <c r="I1361" s="8">
        <v>526.6875</v>
      </c>
      <c r="J1361" s="3">
        <f t="shared" si="21"/>
        <v>43748.531484421292</v>
      </c>
    </row>
    <row r="1362" spans="1:10" x14ac:dyDescent="0.25">
      <c r="A1362" s="5" t="s">
        <v>28362</v>
      </c>
      <c r="B1362" s="6">
        <v>393.75</v>
      </c>
      <c r="C1362" s="6">
        <v>20.584240000000001</v>
      </c>
      <c r="D1362" s="6">
        <v>46</v>
      </c>
      <c r="E1362" s="6">
        <v>0</v>
      </c>
      <c r="F1362" s="6">
        <v>0</v>
      </c>
      <c r="G1362" s="6">
        <v>8</v>
      </c>
      <c r="H1362" s="6" t="s">
        <v>28363</v>
      </c>
      <c r="I1362" s="6">
        <v>526.6875</v>
      </c>
      <c r="J1362" s="2">
        <f t="shared" si="21"/>
        <v>43748.531567627309</v>
      </c>
    </row>
    <row r="1363" spans="1:10" x14ac:dyDescent="0.25">
      <c r="A1363" s="7" t="s">
        <v>28364</v>
      </c>
      <c r="B1363" s="8">
        <v>425</v>
      </c>
      <c r="C1363" s="8">
        <v>20.584240000000001</v>
      </c>
      <c r="D1363" s="8">
        <v>46</v>
      </c>
      <c r="E1363" s="8">
        <v>0</v>
      </c>
      <c r="F1363" s="8">
        <v>0</v>
      </c>
      <c r="G1363" s="8">
        <v>14</v>
      </c>
      <c r="H1363" s="8" t="s">
        <v>28365</v>
      </c>
      <c r="I1363" s="8">
        <v>536.25</v>
      </c>
      <c r="J1363" s="3">
        <f t="shared" si="21"/>
        <v>43748.531639155095</v>
      </c>
    </row>
    <row r="1364" spans="1:10" x14ac:dyDescent="0.25">
      <c r="A1364" s="5" t="s">
        <v>28366</v>
      </c>
      <c r="B1364" s="6">
        <v>393.75</v>
      </c>
      <c r="C1364" s="6">
        <v>20.584240000000001</v>
      </c>
      <c r="D1364" s="6">
        <v>47</v>
      </c>
      <c r="E1364" s="6">
        <v>0</v>
      </c>
      <c r="F1364" s="6">
        <v>0</v>
      </c>
      <c r="G1364" s="6">
        <v>6</v>
      </c>
      <c r="H1364" s="6" t="s">
        <v>28367</v>
      </c>
      <c r="I1364" s="6">
        <v>526.6875</v>
      </c>
      <c r="J1364" s="2">
        <f t="shared" si="21"/>
        <v>43748.53172309028</v>
      </c>
    </row>
    <row r="1365" spans="1:10" x14ac:dyDescent="0.25">
      <c r="A1365" s="7" t="s">
        <v>28368</v>
      </c>
      <c r="B1365" s="8">
        <v>393.75</v>
      </c>
      <c r="C1365" s="8">
        <v>20.584240000000001</v>
      </c>
      <c r="D1365" s="8">
        <v>47</v>
      </c>
      <c r="E1365" s="8">
        <v>0</v>
      </c>
      <c r="F1365" s="8">
        <v>0</v>
      </c>
      <c r="G1365" s="8">
        <v>11</v>
      </c>
      <c r="H1365" s="8" t="s">
        <v>28369</v>
      </c>
      <c r="I1365" s="8">
        <v>526.6875</v>
      </c>
      <c r="J1365" s="3">
        <f t="shared" si="21"/>
        <v>43748.531806539351</v>
      </c>
    </row>
    <row r="1366" spans="1:10" x14ac:dyDescent="0.25">
      <c r="A1366" s="5" t="s">
        <v>28370</v>
      </c>
      <c r="B1366" s="6">
        <v>393.75</v>
      </c>
      <c r="C1366" s="6">
        <v>20.584240000000001</v>
      </c>
      <c r="D1366" s="6">
        <v>47</v>
      </c>
      <c r="E1366" s="6">
        <v>0</v>
      </c>
      <c r="F1366" s="6">
        <v>0</v>
      </c>
      <c r="G1366" s="6">
        <v>9</v>
      </c>
      <c r="H1366" s="6" t="s">
        <v>28371</v>
      </c>
      <c r="I1366" s="6">
        <v>526.6875</v>
      </c>
      <c r="J1366" s="2">
        <f t="shared" si="21"/>
        <v>43748.531878148147</v>
      </c>
    </row>
    <row r="1367" spans="1:10" x14ac:dyDescent="0.25">
      <c r="A1367" s="7" t="s">
        <v>28372</v>
      </c>
      <c r="B1367" s="8">
        <v>393.75</v>
      </c>
      <c r="C1367" s="8">
        <v>20.584240000000001</v>
      </c>
      <c r="D1367" s="8">
        <v>47</v>
      </c>
      <c r="E1367" s="8">
        <v>0</v>
      </c>
      <c r="F1367" s="8">
        <v>0</v>
      </c>
      <c r="G1367" s="8">
        <v>20</v>
      </c>
      <c r="H1367" s="8" t="s">
        <v>28373</v>
      </c>
      <c r="I1367" s="8">
        <v>526.6875</v>
      </c>
      <c r="J1367" s="3">
        <f t="shared" si="21"/>
        <v>43748.531961643515</v>
      </c>
    </row>
    <row r="1368" spans="1:10" x14ac:dyDescent="0.25">
      <c r="A1368" s="5" t="s">
        <v>28374</v>
      </c>
      <c r="B1368" s="6">
        <v>393.75</v>
      </c>
      <c r="C1368" s="6">
        <v>20.584240000000001</v>
      </c>
      <c r="D1368" s="6">
        <v>47</v>
      </c>
      <c r="E1368" s="6">
        <v>0</v>
      </c>
      <c r="F1368" s="6">
        <v>0</v>
      </c>
      <c r="G1368" s="6">
        <v>12</v>
      </c>
      <c r="H1368" s="6" t="s">
        <v>28375</v>
      </c>
      <c r="I1368" s="6">
        <v>526.6875</v>
      </c>
      <c r="J1368" s="2">
        <f t="shared" si="21"/>
        <v>43748.532057245371</v>
      </c>
    </row>
    <row r="1369" spans="1:10" x14ac:dyDescent="0.25">
      <c r="A1369" s="7" t="s">
        <v>28376</v>
      </c>
      <c r="B1369" s="8">
        <v>393.75</v>
      </c>
      <c r="C1369" s="8">
        <v>20.584240000000001</v>
      </c>
      <c r="D1369" s="8">
        <v>47</v>
      </c>
      <c r="E1369" s="8">
        <v>0</v>
      </c>
      <c r="F1369" s="8">
        <v>0</v>
      </c>
      <c r="G1369" s="8">
        <v>3</v>
      </c>
      <c r="H1369" s="8" t="s">
        <v>28377</v>
      </c>
      <c r="I1369" s="8">
        <v>526.6875</v>
      </c>
      <c r="J1369" s="3">
        <f t="shared" si="21"/>
        <v>43748.532128761573</v>
      </c>
    </row>
    <row r="1370" spans="1:10" x14ac:dyDescent="0.25">
      <c r="A1370" s="5" t="s">
        <v>28378</v>
      </c>
      <c r="B1370" s="6">
        <v>393.75</v>
      </c>
      <c r="C1370" s="6">
        <v>20.584240000000001</v>
      </c>
      <c r="D1370" s="6">
        <v>47</v>
      </c>
      <c r="E1370" s="6">
        <v>0</v>
      </c>
      <c r="F1370" s="6">
        <v>0</v>
      </c>
      <c r="G1370" s="6">
        <v>0</v>
      </c>
      <c r="H1370" s="6" t="s">
        <v>28379</v>
      </c>
      <c r="I1370" s="6">
        <v>526.6875</v>
      </c>
      <c r="J1370" s="2">
        <f t="shared" si="21"/>
        <v>43748.53221197916</v>
      </c>
    </row>
    <row r="1371" spans="1:10" x14ac:dyDescent="0.25">
      <c r="A1371" s="7" t="s">
        <v>28380</v>
      </c>
      <c r="B1371" s="8">
        <v>393.75</v>
      </c>
      <c r="C1371" s="8">
        <v>20.531590000000001</v>
      </c>
      <c r="D1371" s="8">
        <v>47</v>
      </c>
      <c r="E1371" s="8">
        <v>0</v>
      </c>
      <c r="F1371" s="8">
        <v>0</v>
      </c>
      <c r="G1371" s="8">
        <v>2</v>
      </c>
      <c r="H1371" s="8" t="s">
        <v>28381</v>
      </c>
      <c r="I1371" s="8">
        <v>526.6875</v>
      </c>
      <c r="J1371" s="3">
        <f t="shared" si="21"/>
        <v>43748.532295555553</v>
      </c>
    </row>
    <row r="1372" spans="1:10" x14ac:dyDescent="0.25">
      <c r="A1372" s="5" t="s">
        <v>28382</v>
      </c>
      <c r="B1372" s="6">
        <v>393.75</v>
      </c>
      <c r="C1372" s="6">
        <v>20.531590000000001</v>
      </c>
      <c r="D1372" s="6">
        <v>47</v>
      </c>
      <c r="E1372" s="6">
        <v>0</v>
      </c>
      <c r="F1372" s="6">
        <v>0</v>
      </c>
      <c r="G1372" s="6">
        <v>7</v>
      </c>
      <c r="H1372" s="6" t="s">
        <v>28383</v>
      </c>
      <c r="I1372" s="6">
        <v>526.6875</v>
      </c>
      <c r="J1372" s="2">
        <f t="shared" si="21"/>
        <v>43748.532378784723</v>
      </c>
    </row>
    <row r="1373" spans="1:10" x14ac:dyDescent="0.25">
      <c r="A1373" s="7" t="s">
        <v>28384</v>
      </c>
      <c r="B1373" s="8">
        <v>393.75</v>
      </c>
      <c r="C1373" s="8">
        <v>20.531590000000001</v>
      </c>
      <c r="D1373" s="8">
        <v>47</v>
      </c>
      <c r="E1373" s="8">
        <v>0</v>
      </c>
      <c r="F1373" s="8">
        <v>0</v>
      </c>
      <c r="G1373" s="8">
        <v>7</v>
      </c>
      <c r="H1373" s="8" t="s">
        <v>28385</v>
      </c>
      <c r="I1373" s="8">
        <v>526.6875</v>
      </c>
      <c r="J1373" s="3">
        <f t="shared" si="21"/>
        <v>43748.532450532402</v>
      </c>
    </row>
    <row r="1374" spans="1:10" x14ac:dyDescent="0.25">
      <c r="A1374" s="5" t="s">
        <v>28386</v>
      </c>
      <c r="B1374" s="6">
        <v>393.75</v>
      </c>
      <c r="C1374" s="6">
        <v>20.584240000000001</v>
      </c>
      <c r="D1374" s="6">
        <v>46</v>
      </c>
      <c r="E1374" s="6">
        <v>0</v>
      </c>
      <c r="F1374" s="6">
        <v>0</v>
      </c>
      <c r="G1374" s="6">
        <v>5</v>
      </c>
      <c r="H1374" s="6" t="s">
        <v>28387</v>
      </c>
      <c r="I1374" s="6">
        <v>526.6875</v>
      </c>
      <c r="J1374" s="2">
        <f t="shared" si="21"/>
        <v>43748.532522384259</v>
      </c>
    </row>
    <row r="1375" spans="1:10" x14ac:dyDescent="0.25">
      <c r="A1375" s="7" t="s">
        <v>28388</v>
      </c>
      <c r="B1375" s="8">
        <v>393.75</v>
      </c>
      <c r="C1375" s="8">
        <v>20.584240000000001</v>
      </c>
      <c r="D1375" s="8">
        <v>46</v>
      </c>
      <c r="E1375" s="8">
        <v>0</v>
      </c>
      <c r="F1375" s="8">
        <v>0</v>
      </c>
      <c r="G1375" s="8">
        <v>8</v>
      </c>
      <c r="H1375" s="8" t="s">
        <v>28389</v>
      </c>
      <c r="I1375" s="8">
        <v>526.6875</v>
      </c>
      <c r="J1375" s="3">
        <f t="shared" si="21"/>
        <v>43748.532605844906</v>
      </c>
    </row>
    <row r="1376" spans="1:10" x14ac:dyDescent="0.25">
      <c r="A1376" s="5" t="s">
        <v>28390</v>
      </c>
      <c r="B1376" s="6">
        <v>412.5</v>
      </c>
      <c r="C1376" s="6">
        <v>20.584240000000001</v>
      </c>
      <c r="D1376" s="6">
        <v>46</v>
      </c>
      <c r="E1376" s="6">
        <v>0</v>
      </c>
      <c r="F1376" s="6">
        <v>0</v>
      </c>
      <c r="G1376" s="6">
        <v>7</v>
      </c>
      <c r="H1376" s="6" t="s">
        <v>28391</v>
      </c>
      <c r="I1376" s="6">
        <v>532.3125</v>
      </c>
      <c r="J1376" s="2">
        <f t="shared" si="21"/>
        <v>43748.532689317122</v>
      </c>
    </row>
    <row r="1377" spans="1:10" x14ac:dyDescent="0.25">
      <c r="A1377" s="7" t="s">
        <v>28392</v>
      </c>
      <c r="B1377" s="8">
        <v>393.75</v>
      </c>
      <c r="C1377" s="8">
        <v>20.584240000000001</v>
      </c>
      <c r="D1377" s="8">
        <v>47</v>
      </c>
      <c r="E1377" s="8">
        <v>0</v>
      </c>
      <c r="F1377" s="8">
        <v>0</v>
      </c>
      <c r="G1377" s="8">
        <v>14</v>
      </c>
      <c r="H1377" s="8" t="s">
        <v>28393</v>
      </c>
      <c r="I1377" s="8">
        <v>526.6875</v>
      </c>
      <c r="J1377" s="3">
        <f t="shared" si="21"/>
        <v>43748.532772754632</v>
      </c>
    </row>
    <row r="1378" spans="1:10" x14ac:dyDescent="0.25">
      <c r="A1378" s="5" t="s">
        <v>28394</v>
      </c>
      <c r="B1378" s="6">
        <v>393.75</v>
      </c>
      <c r="C1378" s="6">
        <v>20.584240000000001</v>
      </c>
      <c r="D1378" s="6">
        <v>47</v>
      </c>
      <c r="E1378" s="6">
        <v>0</v>
      </c>
      <c r="F1378" s="6">
        <v>0</v>
      </c>
      <c r="G1378" s="6">
        <v>8</v>
      </c>
      <c r="H1378" s="6" t="s">
        <v>28395</v>
      </c>
      <c r="I1378" s="6">
        <v>526.6875</v>
      </c>
      <c r="J1378" s="2">
        <f t="shared" si="21"/>
        <v>43748.532856446756</v>
      </c>
    </row>
    <row r="1379" spans="1:10" x14ac:dyDescent="0.25">
      <c r="A1379" s="7" t="s">
        <v>28396</v>
      </c>
      <c r="B1379" s="8">
        <v>393.75</v>
      </c>
      <c r="C1379" s="8">
        <v>20.584240000000001</v>
      </c>
      <c r="D1379" s="8">
        <v>47</v>
      </c>
      <c r="E1379" s="8">
        <v>0</v>
      </c>
      <c r="F1379" s="8">
        <v>0</v>
      </c>
      <c r="G1379" s="8">
        <v>9</v>
      </c>
      <c r="H1379" s="8" t="s">
        <v>28397</v>
      </c>
      <c r="I1379" s="8">
        <v>526.6875</v>
      </c>
      <c r="J1379" s="3">
        <f t="shared" si="21"/>
        <v>43748.532939780089</v>
      </c>
    </row>
    <row r="1380" spans="1:10" x14ac:dyDescent="0.25">
      <c r="A1380" s="5" t="s">
        <v>28398</v>
      </c>
      <c r="B1380" s="6">
        <v>393.75</v>
      </c>
      <c r="C1380" s="6">
        <v>20.584240000000001</v>
      </c>
      <c r="D1380" s="6">
        <v>46</v>
      </c>
      <c r="E1380" s="6">
        <v>0</v>
      </c>
      <c r="F1380" s="6">
        <v>0</v>
      </c>
      <c r="G1380" s="6">
        <v>11</v>
      </c>
      <c r="H1380" s="6" t="s">
        <v>28399</v>
      </c>
      <c r="I1380" s="6">
        <v>526.6875</v>
      </c>
      <c r="J1380" s="2">
        <f t="shared" si="21"/>
        <v>43748.533027141202</v>
      </c>
    </row>
    <row r="1381" spans="1:10" x14ac:dyDescent="0.25">
      <c r="A1381" s="7" t="s">
        <v>28400</v>
      </c>
      <c r="B1381" s="8">
        <v>393.75</v>
      </c>
      <c r="C1381" s="8">
        <v>20.584240000000001</v>
      </c>
      <c r="D1381" s="8">
        <v>46</v>
      </c>
      <c r="E1381" s="8">
        <v>0</v>
      </c>
      <c r="F1381" s="8">
        <v>0</v>
      </c>
      <c r="G1381" s="8">
        <v>7</v>
      </c>
      <c r="H1381" s="8" t="s">
        <v>28401</v>
      </c>
      <c r="I1381" s="8">
        <v>526.6875</v>
      </c>
      <c r="J1381" s="3">
        <f t="shared" si="21"/>
        <v>43748.53310645833</v>
      </c>
    </row>
    <row r="1382" spans="1:10" x14ac:dyDescent="0.25">
      <c r="A1382" s="5" t="s">
        <v>28402</v>
      </c>
      <c r="B1382" s="6">
        <v>393.75</v>
      </c>
      <c r="C1382" s="6">
        <v>20.584240000000001</v>
      </c>
      <c r="D1382" s="6">
        <v>47</v>
      </c>
      <c r="E1382" s="6">
        <v>0</v>
      </c>
      <c r="F1382" s="6">
        <v>0</v>
      </c>
      <c r="G1382" s="6">
        <v>21</v>
      </c>
      <c r="H1382" s="6" t="s">
        <v>28403</v>
      </c>
      <c r="I1382" s="6">
        <v>526.6875</v>
      </c>
      <c r="J1382" s="2">
        <f t="shared" si="21"/>
        <v>43748.533190474533</v>
      </c>
    </row>
    <row r="1383" spans="1:10" x14ac:dyDescent="0.25">
      <c r="A1383" s="7" t="s">
        <v>28404</v>
      </c>
      <c r="B1383" s="8">
        <v>393.75</v>
      </c>
      <c r="C1383" s="8">
        <v>20.584240000000001</v>
      </c>
      <c r="D1383" s="8">
        <v>48</v>
      </c>
      <c r="E1383" s="8">
        <v>0</v>
      </c>
      <c r="F1383" s="8">
        <v>0</v>
      </c>
      <c r="G1383" s="8">
        <v>23</v>
      </c>
      <c r="H1383" s="8" t="s">
        <v>28405</v>
      </c>
      <c r="I1383" s="8">
        <v>526.6875</v>
      </c>
      <c r="J1383" s="3">
        <f t="shared" si="21"/>
        <v>43748.533261874996</v>
      </c>
    </row>
    <row r="1384" spans="1:10" x14ac:dyDescent="0.25">
      <c r="A1384" s="5" t="s">
        <v>28406</v>
      </c>
      <c r="B1384" s="6">
        <v>393.75</v>
      </c>
      <c r="C1384" s="6">
        <v>20.584240000000001</v>
      </c>
      <c r="D1384" s="6">
        <v>47</v>
      </c>
      <c r="E1384" s="6">
        <v>0</v>
      </c>
      <c r="F1384" s="6">
        <v>0</v>
      </c>
      <c r="G1384" s="6">
        <v>11</v>
      </c>
      <c r="H1384" s="6" t="s">
        <v>28407</v>
      </c>
      <c r="I1384" s="6">
        <v>526.6875</v>
      </c>
      <c r="J1384" s="2">
        <f t="shared" si="21"/>
        <v>43748.533345312499</v>
      </c>
    </row>
    <row r="1385" spans="1:10" x14ac:dyDescent="0.25">
      <c r="A1385" s="7" t="s">
        <v>28408</v>
      </c>
      <c r="B1385" s="8">
        <v>393.75</v>
      </c>
      <c r="C1385" s="8">
        <v>20.584240000000001</v>
      </c>
      <c r="D1385" s="8">
        <v>47</v>
      </c>
      <c r="E1385" s="8">
        <v>0</v>
      </c>
      <c r="F1385" s="8">
        <v>0</v>
      </c>
      <c r="G1385" s="8">
        <v>13</v>
      </c>
      <c r="H1385" s="8" t="s">
        <v>28409</v>
      </c>
      <c r="I1385" s="8">
        <v>526.6875</v>
      </c>
      <c r="J1385" s="3">
        <f t="shared" si="21"/>
        <v>43748.533428958333</v>
      </c>
    </row>
    <row r="1386" spans="1:10" x14ac:dyDescent="0.25">
      <c r="A1386" s="5" t="s">
        <v>28410</v>
      </c>
      <c r="B1386" s="6">
        <v>412.5</v>
      </c>
      <c r="C1386" s="6">
        <v>20.584240000000001</v>
      </c>
      <c r="D1386" s="6">
        <v>47</v>
      </c>
      <c r="E1386" s="6">
        <v>0</v>
      </c>
      <c r="F1386" s="6">
        <v>0</v>
      </c>
      <c r="G1386" s="6">
        <v>18</v>
      </c>
      <c r="H1386" s="6" t="s">
        <v>28411</v>
      </c>
      <c r="I1386" s="6">
        <v>532.3125</v>
      </c>
      <c r="J1386" s="2">
        <f t="shared" si="21"/>
        <v>43748.533511979163</v>
      </c>
    </row>
    <row r="1387" spans="1:10" x14ac:dyDescent="0.25">
      <c r="A1387" s="7" t="s">
        <v>28412</v>
      </c>
      <c r="B1387" s="8">
        <v>393.75</v>
      </c>
      <c r="C1387" s="8">
        <v>20.584240000000001</v>
      </c>
      <c r="D1387" s="8">
        <v>47</v>
      </c>
      <c r="E1387" s="8">
        <v>0</v>
      </c>
      <c r="F1387" s="8">
        <v>0</v>
      </c>
      <c r="G1387" s="8">
        <v>17</v>
      </c>
      <c r="H1387" s="8" t="s">
        <v>28413</v>
      </c>
      <c r="I1387" s="8">
        <v>526.6875</v>
      </c>
      <c r="J1387" s="3">
        <f t="shared" si="21"/>
        <v>43748.533583645833</v>
      </c>
    </row>
    <row r="1388" spans="1:10" x14ac:dyDescent="0.25">
      <c r="A1388" s="5" t="s">
        <v>28414</v>
      </c>
      <c r="B1388" s="6">
        <v>393.75</v>
      </c>
      <c r="C1388" s="6">
        <v>20.584240000000001</v>
      </c>
      <c r="D1388" s="6">
        <v>47</v>
      </c>
      <c r="E1388" s="6">
        <v>0</v>
      </c>
      <c r="F1388" s="6">
        <v>0</v>
      </c>
      <c r="G1388" s="6">
        <v>22</v>
      </c>
      <c r="H1388" s="6" t="s">
        <v>28415</v>
      </c>
      <c r="I1388" s="6">
        <v>526.6875</v>
      </c>
      <c r="J1388" s="2">
        <f t="shared" si="21"/>
        <v>43748.533667546297</v>
      </c>
    </row>
    <row r="1389" spans="1:10" x14ac:dyDescent="0.25">
      <c r="A1389" s="7" t="s">
        <v>28416</v>
      </c>
      <c r="B1389" s="8">
        <v>393.75</v>
      </c>
      <c r="C1389" s="8">
        <v>20.584240000000001</v>
      </c>
      <c r="D1389" s="8">
        <v>47</v>
      </c>
      <c r="E1389" s="8">
        <v>0</v>
      </c>
      <c r="F1389" s="8">
        <v>0</v>
      </c>
      <c r="G1389" s="8">
        <v>18</v>
      </c>
      <c r="H1389" s="8" t="s">
        <v>28417</v>
      </c>
      <c r="I1389" s="8">
        <v>526.6875</v>
      </c>
      <c r="J1389" s="3">
        <f t="shared" si="21"/>
        <v>43748.533750983792</v>
      </c>
    </row>
    <row r="1390" spans="1:10" x14ac:dyDescent="0.25">
      <c r="A1390" s="5" t="s">
        <v>28418</v>
      </c>
      <c r="B1390" s="6">
        <v>393.75</v>
      </c>
      <c r="C1390" s="6">
        <v>20.584240000000001</v>
      </c>
      <c r="D1390" s="6">
        <v>45</v>
      </c>
      <c r="E1390" s="6">
        <v>0</v>
      </c>
      <c r="F1390" s="6">
        <v>0</v>
      </c>
      <c r="G1390" s="6">
        <v>18</v>
      </c>
      <c r="H1390" s="6" t="s">
        <v>28419</v>
      </c>
      <c r="I1390" s="6">
        <v>526.6875</v>
      </c>
      <c r="J1390" s="2">
        <f t="shared" si="21"/>
        <v>43748.533834212962</v>
      </c>
    </row>
    <row r="1391" spans="1:10" x14ac:dyDescent="0.25">
      <c r="A1391" s="7" t="s">
        <v>28420</v>
      </c>
      <c r="B1391" s="8">
        <v>425</v>
      </c>
      <c r="C1391" s="8">
        <v>20.584240000000001</v>
      </c>
      <c r="D1391" s="8">
        <v>45</v>
      </c>
      <c r="E1391" s="8">
        <v>0</v>
      </c>
      <c r="F1391" s="8">
        <v>0</v>
      </c>
      <c r="G1391" s="8">
        <v>14</v>
      </c>
      <c r="H1391" s="8" t="s">
        <v>28421</v>
      </c>
      <c r="I1391" s="8">
        <v>536.0625</v>
      </c>
      <c r="J1391" s="3">
        <f t="shared" si="21"/>
        <v>43748.533905960641</v>
      </c>
    </row>
    <row r="1392" spans="1:10" x14ac:dyDescent="0.25">
      <c r="A1392" s="5" t="s">
        <v>28422</v>
      </c>
      <c r="B1392" s="6">
        <v>393.75</v>
      </c>
      <c r="C1392" s="6">
        <v>20.584240000000001</v>
      </c>
      <c r="D1392" s="6">
        <v>44</v>
      </c>
      <c r="E1392" s="6">
        <v>0</v>
      </c>
      <c r="F1392" s="6">
        <v>0</v>
      </c>
      <c r="G1392" s="6">
        <v>22</v>
      </c>
      <c r="H1392" s="6" t="s">
        <v>28423</v>
      </c>
      <c r="I1392" s="6">
        <v>526.6875</v>
      </c>
      <c r="J1392" s="2">
        <f t="shared" si="21"/>
        <v>43748.533989537034</v>
      </c>
    </row>
    <row r="1393" spans="1:10" x14ac:dyDescent="0.25">
      <c r="A1393" s="7" t="s">
        <v>28424</v>
      </c>
      <c r="B1393" s="8">
        <v>393.75</v>
      </c>
      <c r="C1393" s="8">
        <v>20.584240000000001</v>
      </c>
      <c r="D1393" s="8">
        <v>44</v>
      </c>
      <c r="E1393" s="8">
        <v>0</v>
      </c>
      <c r="F1393" s="8">
        <v>0</v>
      </c>
      <c r="G1393" s="8">
        <v>13</v>
      </c>
      <c r="H1393" s="8" t="s">
        <v>28425</v>
      </c>
      <c r="I1393" s="8">
        <v>526.6875</v>
      </c>
      <c r="J1393" s="3">
        <f t="shared" si="21"/>
        <v>43748.534073009258</v>
      </c>
    </row>
    <row r="1394" spans="1:10" x14ac:dyDescent="0.25">
      <c r="A1394" s="5" t="s">
        <v>28426</v>
      </c>
      <c r="B1394" s="6">
        <v>393.75</v>
      </c>
      <c r="C1394" s="6">
        <v>20.584240000000001</v>
      </c>
      <c r="D1394" s="6">
        <v>46</v>
      </c>
      <c r="E1394" s="6">
        <v>0</v>
      </c>
      <c r="F1394" s="6">
        <v>0</v>
      </c>
      <c r="G1394" s="6">
        <v>16</v>
      </c>
      <c r="H1394" s="6" t="s">
        <v>28427</v>
      </c>
      <c r="I1394" s="6">
        <v>526.6875</v>
      </c>
      <c r="J1394" s="2">
        <f t="shared" si="21"/>
        <v>43748.534156423608</v>
      </c>
    </row>
    <row r="1395" spans="1:10" x14ac:dyDescent="0.25">
      <c r="A1395" s="7" t="s">
        <v>28428</v>
      </c>
      <c r="B1395" s="8">
        <v>393.75</v>
      </c>
      <c r="C1395" s="8">
        <v>20.531590000000001</v>
      </c>
      <c r="D1395" s="8">
        <v>46</v>
      </c>
      <c r="E1395" s="8">
        <v>0</v>
      </c>
      <c r="F1395" s="8">
        <v>0</v>
      </c>
      <c r="G1395" s="8">
        <v>15</v>
      </c>
      <c r="H1395" s="8" t="s">
        <v>28429</v>
      </c>
      <c r="I1395" s="8">
        <v>526.6875</v>
      </c>
      <c r="J1395" s="3">
        <f t="shared" si="21"/>
        <v>43748.534228090277</v>
      </c>
    </row>
    <row r="1396" spans="1:10" x14ac:dyDescent="0.25">
      <c r="A1396" s="5" t="s">
        <v>28430</v>
      </c>
      <c r="B1396" s="6">
        <v>393.75</v>
      </c>
      <c r="C1396" s="6">
        <v>20.584240000000001</v>
      </c>
      <c r="D1396" s="6">
        <v>44</v>
      </c>
      <c r="E1396" s="6">
        <v>0</v>
      </c>
      <c r="F1396" s="6">
        <v>0</v>
      </c>
      <c r="G1396" s="6">
        <v>15</v>
      </c>
      <c r="H1396" s="6" t="s">
        <v>28431</v>
      </c>
      <c r="I1396" s="6">
        <v>526.6875</v>
      </c>
      <c r="J1396" s="2">
        <f t="shared" si="21"/>
        <v>43748.534311643518</v>
      </c>
    </row>
    <row r="1397" spans="1:10" x14ac:dyDescent="0.25">
      <c r="A1397" s="7" t="s">
        <v>28432</v>
      </c>
      <c r="B1397" s="8">
        <v>393.75</v>
      </c>
      <c r="C1397" s="8">
        <v>20.584240000000001</v>
      </c>
      <c r="D1397" s="8">
        <v>45</v>
      </c>
      <c r="E1397" s="8">
        <v>0</v>
      </c>
      <c r="F1397" s="8">
        <v>0</v>
      </c>
      <c r="G1397" s="8">
        <v>10</v>
      </c>
      <c r="H1397" s="8" t="s">
        <v>28433</v>
      </c>
      <c r="I1397" s="8">
        <v>526.6875</v>
      </c>
      <c r="J1397" s="3">
        <f t="shared" si="21"/>
        <v>43748.534395104165</v>
      </c>
    </row>
    <row r="1398" spans="1:10" x14ac:dyDescent="0.25">
      <c r="A1398" s="5" t="s">
        <v>28434</v>
      </c>
      <c r="B1398" s="6">
        <v>393.75</v>
      </c>
      <c r="C1398" s="6">
        <v>20.584240000000001</v>
      </c>
      <c r="D1398" s="6">
        <v>44</v>
      </c>
      <c r="E1398" s="6">
        <v>0</v>
      </c>
      <c r="F1398" s="6">
        <v>0</v>
      </c>
      <c r="G1398" s="6">
        <v>17</v>
      </c>
      <c r="H1398" s="6" t="s">
        <v>28435</v>
      </c>
      <c r="I1398" s="6">
        <v>526.6875</v>
      </c>
      <c r="J1398" s="2">
        <f t="shared" si="21"/>
        <v>43748.534478657406</v>
      </c>
    </row>
    <row r="1399" spans="1:10" x14ac:dyDescent="0.25">
      <c r="A1399" s="7" t="s">
        <v>28436</v>
      </c>
      <c r="B1399" s="8">
        <v>412.5</v>
      </c>
      <c r="C1399" s="8">
        <v>20.531590000000001</v>
      </c>
      <c r="D1399" s="8">
        <v>43</v>
      </c>
      <c r="E1399" s="8">
        <v>0</v>
      </c>
      <c r="F1399" s="8">
        <v>0</v>
      </c>
      <c r="G1399" s="8">
        <v>13</v>
      </c>
      <c r="H1399" s="8" t="s">
        <v>28437</v>
      </c>
      <c r="I1399" s="8">
        <v>532.3125</v>
      </c>
      <c r="J1399" s="3">
        <f t="shared" si="21"/>
        <v>43748.534562222216</v>
      </c>
    </row>
    <row r="1400" spans="1:10" x14ac:dyDescent="0.25">
      <c r="A1400" s="5" t="s">
        <v>28438</v>
      </c>
      <c r="B1400" s="6">
        <v>393.75</v>
      </c>
      <c r="C1400" s="6">
        <v>20.584240000000001</v>
      </c>
      <c r="D1400" s="6">
        <v>44</v>
      </c>
      <c r="E1400" s="6">
        <v>0</v>
      </c>
      <c r="F1400" s="6">
        <v>0</v>
      </c>
      <c r="G1400" s="6">
        <v>4</v>
      </c>
      <c r="H1400" s="6" t="s">
        <v>28439</v>
      </c>
      <c r="I1400" s="6">
        <v>526.6875</v>
      </c>
      <c r="J1400" s="2">
        <f t="shared" si="21"/>
        <v>43748.534645312502</v>
      </c>
    </row>
    <row r="1401" spans="1:10" x14ac:dyDescent="0.25">
      <c r="A1401" s="7" t="s">
        <v>28440</v>
      </c>
      <c r="B1401" s="8">
        <v>393.75</v>
      </c>
      <c r="C1401" s="8">
        <v>20.584240000000001</v>
      </c>
      <c r="D1401" s="8">
        <v>44</v>
      </c>
      <c r="E1401" s="8">
        <v>0</v>
      </c>
      <c r="F1401" s="8">
        <v>0</v>
      </c>
      <c r="G1401" s="8">
        <v>12</v>
      </c>
      <c r="H1401" s="8" t="s">
        <v>28441</v>
      </c>
      <c r="I1401" s="8">
        <v>526.6875</v>
      </c>
      <c r="J1401" s="3">
        <f t="shared" si="21"/>
        <v>43748.534729456012</v>
      </c>
    </row>
    <row r="1402" spans="1:10" x14ac:dyDescent="0.25">
      <c r="A1402" s="5" t="s">
        <v>28442</v>
      </c>
      <c r="B1402" s="6">
        <v>393.75</v>
      </c>
      <c r="C1402" s="6">
        <v>20.531590000000001</v>
      </c>
      <c r="D1402" s="6">
        <v>43</v>
      </c>
      <c r="E1402" s="6">
        <v>0</v>
      </c>
      <c r="F1402" s="6">
        <v>0</v>
      </c>
      <c r="G1402" s="6">
        <v>10</v>
      </c>
      <c r="H1402" s="6" t="s">
        <v>28443</v>
      </c>
      <c r="I1402" s="6">
        <v>526.6875</v>
      </c>
      <c r="J1402" s="2">
        <f t="shared" si="21"/>
        <v>43748.534812800928</v>
      </c>
    </row>
    <row r="1403" spans="1:10" x14ac:dyDescent="0.25">
      <c r="A1403" s="7" t="s">
        <v>28444</v>
      </c>
      <c r="B1403" s="8">
        <v>393.75</v>
      </c>
      <c r="C1403" s="8">
        <v>20.584240000000001</v>
      </c>
      <c r="D1403" s="8">
        <v>44</v>
      </c>
      <c r="E1403" s="8">
        <v>0</v>
      </c>
      <c r="F1403" s="8">
        <v>0</v>
      </c>
      <c r="G1403" s="8">
        <v>6</v>
      </c>
      <c r="H1403" s="8" t="s">
        <v>28445</v>
      </c>
      <c r="I1403" s="8">
        <v>526.6875</v>
      </c>
      <c r="J1403" s="3">
        <f t="shared" si="21"/>
        <v>43748.534884212961</v>
      </c>
    </row>
    <row r="1404" spans="1:10" x14ac:dyDescent="0.25">
      <c r="A1404" s="5" t="s">
        <v>28446</v>
      </c>
      <c r="B1404" s="6">
        <v>412.5</v>
      </c>
      <c r="C1404" s="6">
        <v>20.584240000000001</v>
      </c>
      <c r="D1404" s="6">
        <v>44</v>
      </c>
      <c r="E1404" s="6">
        <v>0</v>
      </c>
      <c r="F1404" s="6">
        <v>0</v>
      </c>
      <c r="G1404" s="6">
        <v>16</v>
      </c>
      <c r="H1404" s="6" t="s">
        <v>28447</v>
      </c>
      <c r="I1404" s="6">
        <v>532.3125</v>
      </c>
      <c r="J1404" s="2">
        <f t="shared" si="21"/>
        <v>43748.534967534717</v>
      </c>
    </row>
    <row r="1405" spans="1:10" x14ac:dyDescent="0.25">
      <c r="A1405" s="7" t="s">
        <v>28448</v>
      </c>
      <c r="B1405" s="8">
        <v>393.75</v>
      </c>
      <c r="C1405" s="8">
        <v>20.531590000000001</v>
      </c>
      <c r="D1405" s="8">
        <v>44</v>
      </c>
      <c r="E1405" s="8">
        <v>0</v>
      </c>
      <c r="F1405" s="8">
        <v>0</v>
      </c>
      <c r="G1405" s="8">
        <v>15</v>
      </c>
      <c r="H1405" s="8" t="s">
        <v>28449</v>
      </c>
      <c r="I1405" s="8">
        <v>526.6875</v>
      </c>
      <c r="J1405" s="3">
        <f t="shared" si="21"/>
        <v>43748.535039201386</v>
      </c>
    </row>
    <row r="1406" spans="1:10" x14ac:dyDescent="0.25">
      <c r="A1406" s="5" t="s">
        <v>28450</v>
      </c>
      <c r="B1406" s="6">
        <v>393.75</v>
      </c>
      <c r="C1406" s="6">
        <v>20.584240000000001</v>
      </c>
      <c r="D1406" s="6">
        <v>43</v>
      </c>
      <c r="E1406" s="6">
        <v>0</v>
      </c>
      <c r="F1406" s="6">
        <v>0</v>
      </c>
      <c r="G1406" s="6">
        <v>11</v>
      </c>
      <c r="H1406" s="6" t="s">
        <v>28451</v>
      </c>
      <c r="I1406" s="6">
        <v>526.6875</v>
      </c>
      <c r="J1406" s="2">
        <f t="shared" si="21"/>
        <v>43748.535122870373</v>
      </c>
    </row>
    <row r="1407" spans="1:10" x14ac:dyDescent="0.25">
      <c r="A1407" s="7" t="s">
        <v>28452</v>
      </c>
      <c r="B1407" s="8">
        <v>393.75</v>
      </c>
      <c r="C1407" s="8">
        <v>20.584240000000001</v>
      </c>
      <c r="D1407" s="8">
        <v>42</v>
      </c>
      <c r="E1407" s="8">
        <v>0</v>
      </c>
      <c r="F1407" s="8">
        <v>0</v>
      </c>
      <c r="G1407" s="8">
        <v>11</v>
      </c>
      <c r="H1407" s="8" t="s">
        <v>28453</v>
      </c>
      <c r="I1407" s="8">
        <v>526.6875</v>
      </c>
      <c r="J1407" s="3">
        <f t="shared" si="21"/>
        <v>43748.535207210647</v>
      </c>
    </row>
    <row r="1408" spans="1:10" x14ac:dyDescent="0.25">
      <c r="A1408" s="5" t="s">
        <v>28454</v>
      </c>
      <c r="B1408" s="6">
        <v>393.75</v>
      </c>
      <c r="C1408" s="6">
        <v>20.584240000000001</v>
      </c>
      <c r="D1408" s="6">
        <v>44</v>
      </c>
      <c r="E1408" s="6">
        <v>0</v>
      </c>
      <c r="F1408" s="6">
        <v>0</v>
      </c>
      <c r="G1408" s="6">
        <v>13</v>
      </c>
      <c r="H1408" s="6" t="s">
        <v>28455</v>
      </c>
      <c r="I1408" s="6">
        <v>526.6875</v>
      </c>
      <c r="J1408" s="2">
        <f t="shared" si="21"/>
        <v>43748.535289756946</v>
      </c>
    </row>
    <row r="1409" spans="1:10" x14ac:dyDescent="0.25">
      <c r="A1409" s="7" t="s">
        <v>28456</v>
      </c>
      <c r="B1409" s="8">
        <v>415.625</v>
      </c>
      <c r="C1409" s="8">
        <v>20.584240000000001</v>
      </c>
      <c r="D1409" s="8">
        <v>46</v>
      </c>
      <c r="E1409" s="8">
        <v>0</v>
      </c>
      <c r="F1409" s="8">
        <v>0</v>
      </c>
      <c r="G1409" s="8">
        <v>9</v>
      </c>
      <c r="H1409" s="8" t="s">
        <v>28457</v>
      </c>
      <c r="I1409" s="8">
        <v>533.4375</v>
      </c>
      <c r="J1409" s="3">
        <f t="shared" si="21"/>
        <v>43748.535373333332</v>
      </c>
    </row>
    <row r="1410" spans="1:10" x14ac:dyDescent="0.25">
      <c r="A1410" s="5" t="s">
        <v>28458</v>
      </c>
      <c r="B1410" s="6">
        <v>393.75</v>
      </c>
      <c r="C1410" s="6">
        <v>20.531590000000001</v>
      </c>
      <c r="D1410" s="6">
        <v>46</v>
      </c>
      <c r="E1410" s="6">
        <v>0</v>
      </c>
      <c r="F1410" s="6">
        <v>0</v>
      </c>
      <c r="G1410" s="6">
        <v>7</v>
      </c>
      <c r="H1410" s="6" t="s">
        <v>28459</v>
      </c>
      <c r="I1410" s="6">
        <v>526.6875</v>
      </c>
      <c r="J1410" s="2">
        <f t="shared" ref="J1410:J1473" si="22">(H1410/86400000)+25569+(7/24)</f>
        <v>43748.53545664352</v>
      </c>
    </row>
    <row r="1411" spans="1:10" x14ac:dyDescent="0.25">
      <c r="A1411" s="7" t="s">
        <v>28460</v>
      </c>
      <c r="B1411" s="8">
        <v>393.75</v>
      </c>
      <c r="C1411" s="8">
        <v>20.584240000000001</v>
      </c>
      <c r="D1411" s="8">
        <v>46</v>
      </c>
      <c r="E1411" s="8">
        <v>0</v>
      </c>
      <c r="F1411" s="8">
        <v>0</v>
      </c>
      <c r="G1411" s="8">
        <v>19</v>
      </c>
      <c r="H1411" s="8" t="s">
        <v>28461</v>
      </c>
      <c r="I1411" s="8">
        <v>526.6875</v>
      </c>
      <c r="J1411" s="3">
        <f t="shared" si="22"/>
        <v>43748.535540370365</v>
      </c>
    </row>
    <row r="1412" spans="1:10" x14ac:dyDescent="0.25">
      <c r="A1412" s="5" t="s">
        <v>28462</v>
      </c>
      <c r="B1412" s="6">
        <v>393.75</v>
      </c>
      <c r="C1412" s="6">
        <v>20.584240000000001</v>
      </c>
      <c r="D1412" s="6">
        <v>47</v>
      </c>
      <c r="E1412" s="6">
        <v>0</v>
      </c>
      <c r="F1412" s="6">
        <v>0</v>
      </c>
      <c r="G1412" s="6">
        <v>6</v>
      </c>
      <c r="H1412" s="6" t="s">
        <v>28463</v>
      </c>
      <c r="I1412" s="6">
        <v>526.6875</v>
      </c>
      <c r="J1412" s="2">
        <f t="shared" si="22"/>
        <v>43748.535623912037</v>
      </c>
    </row>
    <row r="1413" spans="1:10" x14ac:dyDescent="0.25">
      <c r="A1413" s="7" t="s">
        <v>28464</v>
      </c>
      <c r="B1413" s="8">
        <v>393.75</v>
      </c>
      <c r="C1413" s="8">
        <v>20.584240000000001</v>
      </c>
      <c r="D1413" s="8">
        <v>47</v>
      </c>
      <c r="E1413" s="8">
        <v>0</v>
      </c>
      <c r="F1413" s="8">
        <v>0</v>
      </c>
      <c r="G1413" s="8">
        <v>4</v>
      </c>
      <c r="H1413" s="8" t="s">
        <v>28465</v>
      </c>
      <c r="I1413" s="8">
        <v>526.6875</v>
      </c>
      <c r="J1413" s="3">
        <f t="shared" si="22"/>
        <v>43748.535695439808</v>
      </c>
    </row>
    <row r="1414" spans="1:10" x14ac:dyDescent="0.25">
      <c r="A1414" s="5" t="s">
        <v>28466</v>
      </c>
      <c r="B1414" s="6">
        <v>415.625</v>
      </c>
      <c r="C1414" s="6">
        <v>20.584240000000001</v>
      </c>
      <c r="D1414" s="6">
        <v>47</v>
      </c>
      <c r="E1414" s="6">
        <v>0</v>
      </c>
      <c r="F1414" s="6">
        <v>0</v>
      </c>
      <c r="G1414" s="6">
        <v>11</v>
      </c>
      <c r="H1414" s="6" t="s">
        <v>28467</v>
      </c>
      <c r="I1414" s="6">
        <v>533.25</v>
      </c>
      <c r="J1414" s="2">
        <f t="shared" si="22"/>
        <v>43748.535778645826</v>
      </c>
    </row>
    <row r="1415" spans="1:10" x14ac:dyDescent="0.25">
      <c r="A1415" s="7" t="s">
        <v>28468</v>
      </c>
      <c r="B1415" s="8">
        <v>393.75</v>
      </c>
      <c r="C1415" s="8">
        <v>20.584240000000001</v>
      </c>
      <c r="D1415" s="8">
        <v>47</v>
      </c>
      <c r="E1415" s="8">
        <v>0</v>
      </c>
      <c r="F1415" s="8">
        <v>0</v>
      </c>
      <c r="G1415" s="8">
        <v>0</v>
      </c>
      <c r="H1415" s="8" t="s">
        <v>28469</v>
      </c>
      <c r="I1415" s="8">
        <v>526.6875</v>
      </c>
      <c r="J1415" s="3">
        <f t="shared" si="22"/>
        <v>43748.535850416665</v>
      </c>
    </row>
    <row r="1416" spans="1:10" x14ac:dyDescent="0.25">
      <c r="A1416" s="5" t="s">
        <v>28470</v>
      </c>
      <c r="B1416" s="6">
        <v>393.75</v>
      </c>
      <c r="C1416" s="6">
        <v>20.584240000000001</v>
      </c>
      <c r="D1416" s="6">
        <v>47</v>
      </c>
      <c r="E1416" s="6">
        <v>0</v>
      </c>
      <c r="F1416" s="6">
        <v>0</v>
      </c>
      <c r="G1416" s="6">
        <v>5</v>
      </c>
      <c r="H1416" s="6" t="s">
        <v>28471</v>
      </c>
      <c r="I1416" s="6">
        <v>526.5</v>
      </c>
      <c r="J1416" s="2">
        <f t="shared" si="22"/>
        <v>43748.535936886568</v>
      </c>
    </row>
    <row r="1417" spans="1:10" x14ac:dyDescent="0.25">
      <c r="A1417" s="7" t="s">
        <v>28472</v>
      </c>
      <c r="B1417" s="8">
        <v>393.75</v>
      </c>
      <c r="C1417" s="8">
        <v>20.584240000000001</v>
      </c>
      <c r="D1417" s="8">
        <v>44</v>
      </c>
      <c r="E1417" s="8">
        <v>0</v>
      </c>
      <c r="F1417" s="8">
        <v>0</v>
      </c>
      <c r="G1417" s="8">
        <v>16</v>
      </c>
      <c r="H1417" s="8" t="s">
        <v>28473</v>
      </c>
      <c r="I1417" s="8">
        <v>526.6875</v>
      </c>
      <c r="J1417" s="3">
        <f t="shared" si="22"/>
        <v>43748.536017546292</v>
      </c>
    </row>
    <row r="1418" spans="1:10" x14ac:dyDescent="0.25">
      <c r="A1418" s="5" t="s">
        <v>28474</v>
      </c>
      <c r="B1418" s="6">
        <v>393.75</v>
      </c>
      <c r="C1418" s="6">
        <v>20.531590000000001</v>
      </c>
      <c r="D1418" s="6">
        <v>43</v>
      </c>
      <c r="E1418" s="6">
        <v>0</v>
      </c>
      <c r="F1418" s="6">
        <v>0</v>
      </c>
      <c r="G1418" s="6">
        <v>4</v>
      </c>
      <c r="H1418" s="6" t="s">
        <v>28475</v>
      </c>
      <c r="I1418" s="6">
        <v>526.6875</v>
      </c>
      <c r="J1418" s="2">
        <f t="shared" si="22"/>
        <v>43748.536100879624</v>
      </c>
    </row>
    <row r="1419" spans="1:10" x14ac:dyDescent="0.25">
      <c r="A1419" s="7" t="s">
        <v>28476</v>
      </c>
      <c r="B1419" s="8">
        <v>393.75</v>
      </c>
      <c r="C1419" s="8">
        <v>20.584240000000001</v>
      </c>
      <c r="D1419" s="8">
        <v>43</v>
      </c>
      <c r="E1419" s="8">
        <v>0</v>
      </c>
      <c r="F1419" s="8">
        <v>0</v>
      </c>
      <c r="G1419" s="8">
        <v>3</v>
      </c>
      <c r="H1419" s="8" t="s">
        <v>28477</v>
      </c>
      <c r="I1419" s="8">
        <v>526.6875</v>
      </c>
      <c r="J1419" s="3">
        <f t="shared" si="22"/>
        <v>43748.536172523141</v>
      </c>
    </row>
    <row r="1420" spans="1:10" x14ac:dyDescent="0.25">
      <c r="A1420" s="5" t="s">
        <v>28478</v>
      </c>
      <c r="B1420" s="6">
        <v>393.75</v>
      </c>
      <c r="C1420" s="6">
        <v>20.584240000000001</v>
      </c>
      <c r="D1420" s="6">
        <v>43</v>
      </c>
      <c r="E1420" s="6">
        <v>0</v>
      </c>
      <c r="F1420" s="6">
        <v>0</v>
      </c>
      <c r="G1420" s="6">
        <v>6</v>
      </c>
      <c r="H1420" s="6" t="s">
        <v>28479</v>
      </c>
      <c r="I1420" s="6">
        <v>526.6875</v>
      </c>
      <c r="J1420" s="2">
        <f t="shared" si="22"/>
        <v>43748.536256087966</v>
      </c>
    </row>
    <row r="1421" spans="1:10" x14ac:dyDescent="0.25">
      <c r="A1421" s="7" t="s">
        <v>28480</v>
      </c>
      <c r="B1421" s="8">
        <v>393.75</v>
      </c>
      <c r="C1421" s="8">
        <v>20.584240000000001</v>
      </c>
      <c r="D1421" s="8">
        <v>44</v>
      </c>
      <c r="E1421" s="8">
        <v>0</v>
      </c>
      <c r="F1421" s="8">
        <v>0</v>
      </c>
      <c r="G1421" s="8">
        <v>13</v>
      </c>
      <c r="H1421" s="8" t="s">
        <v>28481</v>
      </c>
      <c r="I1421" s="8">
        <v>526.6875</v>
      </c>
      <c r="J1421" s="3">
        <f t="shared" si="22"/>
        <v>43748.536339641207</v>
      </c>
    </row>
    <row r="1422" spans="1:10" x14ac:dyDescent="0.25">
      <c r="A1422" s="5" t="s">
        <v>28482</v>
      </c>
      <c r="B1422" s="6">
        <v>412.5</v>
      </c>
      <c r="C1422" s="6">
        <v>20.584240000000001</v>
      </c>
      <c r="D1422" s="6">
        <v>44</v>
      </c>
      <c r="E1422" s="6">
        <v>0</v>
      </c>
      <c r="F1422" s="6">
        <v>0</v>
      </c>
      <c r="G1422" s="6">
        <v>7</v>
      </c>
      <c r="H1422" s="6" t="s">
        <v>28483</v>
      </c>
      <c r="I1422" s="6">
        <v>532.3125</v>
      </c>
      <c r="J1422" s="2">
        <f t="shared" si="22"/>
        <v>43748.536423090271</v>
      </c>
    </row>
    <row r="1423" spans="1:10" x14ac:dyDescent="0.25">
      <c r="A1423" s="7" t="s">
        <v>28484</v>
      </c>
      <c r="B1423" s="8">
        <v>393.75</v>
      </c>
      <c r="C1423" s="8">
        <v>20.584240000000001</v>
      </c>
      <c r="D1423" s="8">
        <v>45</v>
      </c>
      <c r="E1423" s="8">
        <v>0</v>
      </c>
      <c r="F1423" s="8">
        <v>0</v>
      </c>
      <c r="G1423" s="8">
        <v>11</v>
      </c>
      <c r="H1423" s="8" t="s">
        <v>28485</v>
      </c>
      <c r="I1423" s="8">
        <v>526.6875</v>
      </c>
      <c r="J1423" s="3">
        <f t="shared" si="22"/>
        <v>43748.536506666664</v>
      </c>
    </row>
    <row r="1424" spans="1:10" x14ac:dyDescent="0.25">
      <c r="A1424" s="5" t="s">
        <v>28486</v>
      </c>
      <c r="B1424" s="6">
        <v>393.75</v>
      </c>
      <c r="C1424" s="6">
        <v>20.584240000000001</v>
      </c>
      <c r="D1424" s="6">
        <v>44</v>
      </c>
      <c r="E1424" s="6">
        <v>0</v>
      </c>
      <c r="F1424" s="6">
        <v>0</v>
      </c>
      <c r="G1424" s="6">
        <v>7</v>
      </c>
      <c r="H1424" s="6" t="s">
        <v>28487</v>
      </c>
      <c r="I1424" s="6">
        <v>526.6875</v>
      </c>
      <c r="J1424" s="2">
        <f t="shared" si="22"/>
        <v>43748.536589884257</v>
      </c>
    </row>
    <row r="1425" spans="1:10" x14ac:dyDescent="0.25">
      <c r="A1425" s="7" t="s">
        <v>28488</v>
      </c>
      <c r="B1425" s="8">
        <v>393.75</v>
      </c>
      <c r="C1425" s="8">
        <v>20.531590000000001</v>
      </c>
      <c r="D1425" s="8">
        <v>44</v>
      </c>
      <c r="E1425" s="8">
        <v>0</v>
      </c>
      <c r="F1425" s="8">
        <v>0</v>
      </c>
      <c r="G1425" s="8">
        <v>6</v>
      </c>
      <c r="H1425" s="8" t="s">
        <v>28489</v>
      </c>
      <c r="I1425" s="8">
        <v>526.5</v>
      </c>
      <c r="J1425" s="3">
        <f t="shared" si="22"/>
        <v>43748.536661516198</v>
      </c>
    </row>
    <row r="1426" spans="1:10" x14ac:dyDescent="0.25">
      <c r="A1426" s="5" t="s">
        <v>28490</v>
      </c>
      <c r="B1426" s="6">
        <v>393.75</v>
      </c>
      <c r="C1426" s="6">
        <v>20.584240000000001</v>
      </c>
      <c r="D1426" s="6">
        <v>45</v>
      </c>
      <c r="E1426" s="6">
        <v>0</v>
      </c>
      <c r="F1426" s="6">
        <v>0</v>
      </c>
      <c r="G1426" s="6">
        <v>0</v>
      </c>
      <c r="H1426" s="6" t="s">
        <v>28491</v>
      </c>
      <c r="I1426" s="6">
        <v>526.6875</v>
      </c>
      <c r="J1426" s="2">
        <f t="shared" si="22"/>
        <v>43748.5367453125</v>
      </c>
    </row>
    <row r="1427" spans="1:10" x14ac:dyDescent="0.25">
      <c r="A1427" s="7" t="s">
        <v>28492</v>
      </c>
      <c r="B1427" s="8">
        <v>412.5</v>
      </c>
      <c r="C1427" s="8">
        <v>20.584240000000001</v>
      </c>
      <c r="D1427" s="8">
        <v>45</v>
      </c>
      <c r="E1427" s="8">
        <v>0</v>
      </c>
      <c r="F1427" s="8">
        <v>0</v>
      </c>
      <c r="G1427" s="8">
        <v>7</v>
      </c>
      <c r="H1427" s="8" t="s">
        <v>28493</v>
      </c>
      <c r="I1427" s="8">
        <v>532.5</v>
      </c>
      <c r="J1427" s="3">
        <f t="shared" si="22"/>
        <v>43748.536828773147</v>
      </c>
    </row>
    <row r="1428" spans="1:10" x14ac:dyDescent="0.25">
      <c r="A1428" s="5" t="s">
        <v>28494</v>
      </c>
      <c r="B1428" s="6">
        <v>393.75</v>
      </c>
      <c r="C1428" s="6">
        <v>20.584240000000001</v>
      </c>
      <c r="D1428" s="6">
        <v>43</v>
      </c>
      <c r="E1428" s="6">
        <v>0</v>
      </c>
      <c r="F1428" s="6">
        <v>0</v>
      </c>
      <c r="G1428" s="6">
        <v>6</v>
      </c>
      <c r="H1428" s="6" t="s">
        <v>28495</v>
      </c>
      <c r="I1428" s="6">
        <v>526.6875</v>
      </c>
      <c r="J1428" s="2">
        <f t="shared" si="22"/>
        <v>43748.536911990734</v>
      </c>
    </row>
    <row r="1429" spans="1:10" x14ac:dyDescent="0.25">
      <c r="A1429" s="7" t="s">
        <v>28496</v>
      </c>
      <c r="B1429" s="8">
        <v>393.75</v>
      </c>
      <c r="C1429" s="8">
        <v>20.584240000000001</v>
      </c>
      <c r="D1429" s="8">
        <v>43</v>
      </c>
      <c r="E1429" s="8">
        <v>0</v>
      </c>
      <c r="F1429" s="8">
        <v>0</v>
      </c>
      <c r="G1429" s="8">
        <v>2</v>
      </c>
      <c r="H1429" s="8" t="s">
        <v>28497</v>
      </c>
      <c r="I1429" s="8">
        <v>526.6875</v>
      </c>
      <c r="J1429" s="3">
        <f t="shared" si="22"/>
        <v>43748.536995567127</v>
      </c>
    </row>
    <row r="1430" spans="1:10" x14ac:dyDescent="0.25">
      <c r="A1430" s="5" t="s">
        <v>28498</v>
      </c>
      <c r="B1430" s="6">
        <v>393.75</v>
      </c>
      <c r="C1430" s="6">
        <v>20.531590000000001</v>
      </c>
      <c r="D1430" s="6">
        <v>42</v>
      </c>
      <c r="E1430" s="6">
        <v>0</v>
      </c>
      <c r="F1430" s="6">
        <v>0</v>
      </c>
      <c r="G1430" s="6">
        <v>12</v>
      </c>
      <c r="H1430" s="6" t="s">
        <v>28499</v>
      </c>
      <c r="I1430" s="6">
        <v>526.6875</v>
      </c>
      <c r="J1430" s="2">
        <f t="shared" si="22"/>
        <v>43748.537079363428</v>
      </c>
    </row>
    <row r="1431" spans="1:10" x14ac:dyDescent="0.25">
      <c r="A1431" s="7" t="s">
        <v>28500</v>
      </c>
      <c r="B1431" s="8">
        <v>393.75</v>
      </c>
      <c r="C1431" s="8">
        <v>20.584240000000001</v>
      </c>
      <c r="D1431" s="8">
        <v>42</v>
      </c>
      <c r="E1431" s="8">
        <v>0</v>
      </c>
      <c r="F1431" s="8">
        <v>0</v>
      </c>
      <c r="G1431" s="8">
        <v>8</v>
      </c>
      <c r="H1431" s="8" t="s">
        <v>28501</v>
      </c>
      <c r="I1431" s="8">
        <v>526.6875</v>
      </c>
      <c r="J1431" s="3">
        <f t="shared" si="22"/>
        <v>43748.537150868055</v>
      </c>
    </row>
    <row r="1432" spans="1:10" x14ac:dyDescent="0.25">
      <c r="A1432" s="5" t="s">
        <v>28502</v>
      </c>
      <c r="B1432" s="6">
        <v>412.5</v>
      </c>
      <c r="C1432" s="6">
        <v>20.584240000000001</v>
      </c>
      <c r="D1432" s="6">
        <v>43</v>
      </c>
      <c r="E1432" s="6">
        <v>0</v>
      </c>
      <c r="F1432" s="6">
        <v>0</v>
      </c>
      <c r="G1432" s="6">
        <v>22</v>
      </c>
      <c r="H1432" s="6" t="s">
        <v>28503</v>
      </c>
      <c r="I1432" s="6">
        <v>532.5</v>
      </c>
      <c r="J1432" s="2">
        <f t="shared" si="22"/>
        <v>43748.537234201387</v>
      </c>
    </row>
    <row r="1433" spans="1:10" x14ac:dyDescent="0.25">
      <c r="A1433" s="7" t="s">
        <v>28504</v>
      </c>
      <c r="B1433" s="8">
        <v>393.75</v>
      </c>
      <c r="C1433" s="8">
        <v>20.584240000000001</v>
      </c>
      <c r="D1433" s="8">
        <v>44</v>
      </c>
      <c r="E1433" s="8">
        <v>0</v>
      </c>
      <c r="F1433" s="8">
        <v>0</v>
      </c>
      <c r="G1433" s="8">
        <v>18</v>
      </c>
      <c r="H1433" s="8" t="s">
        <v>28505</v>
      </c>
      <c r="I1433" s="8">
        <v>526.6875</v>
      </c>
      <c r="J1433" s="3">
        <f t="shared" si="22"/>
        <v>43748.537317881943</v>
      </c>
    </row>
    <row r="1434" spans="1:10" x14ac:dyDescent="0.25">
      <c r="A1434" s="5" t="s">
        <v>28506</v>
      </c>
      <c r="B1434" s="6">
        <v>393.75</v>
      </c>
      <c r="C1434" s="6">
        <v>20.584240000000001</v>
      </c>
      <c r="D1434" s="6">
        <v>44</v>
      </c>
      <c r="E1434" s="6">
        <v>0</v>
      </c>
      <c r="F1434" s="6">
        <v>0</v>
      </c>
      <c r="G1434" s="6">
        <v>14</v>
      </c>
      <c r="H1434" s="6" t="s">
        <v>28507</v>
      </c>
      <c r="I1434" s="6">
        <v>526.6875</v>
      </c>
      <c r="J1434" s="2">
        <f t="shared" si="22"/>
        <v>43748.537400983791</v>
      </c>
    </row>
    <row r="1435" spans="1:10" x14ac:dyDescent="0.25">
      <c r="A1435" s="7" t="s">
        <v>28508</v>
      </c>
      <c r="B1435" s="8">
        <v>393.75</v>
      </c>
      <c r="C1435" s="8">
        <v>20.531590000000001</v>
      </c>
      <c r="D1435" s="8">
        <v>44</v>
      </c>
      <c r="E1435" s="8">
        <v>0</v>
      </c>
      <c r="F1435" s="8">
        <v>0</v>
      </c>
      <c r="G1435" s="8">
        <v>2</v>
      </c>
      <c r="H1435" s="8" t="s">
        <v>28509</v>
      </c>
      <c r="I1435" s="8">
        <v>526.5</v>
      </c>
      <c r="J1435" s="3">
        <f t="shared" si="22"/>
        <v>43748.537496851852</v>
      </c>
    </row>
    <row r="1436" spans="1:10" x14ac:dyDescent="0.25">
      <c r="A1436" s="5" t="s">
        <v>28510</v>
      </c>
      <c r="B1436" s="6">
        <v>393.75</v>
      </c>
      <c r="C1436" s="6">
        <v>20.584240000000001</v>
      </c>
      <c r="D1436" s="6">
        <v>44</v>
      </c>
      <c r="E1436" s="6">
        <v>0</v>
      </c>
      <c r="F1436" s="6">
        <v>0</v>
      </c>
      <c r="G1436" s="6">
        <v>4</v>
      </c>
      <c r="H1436" s="6" t="s">
        <v>28511</v>
      </c>
      <c r="I1436" s="6">
        <v>526.6875</v>
      </c>
      <c r="J1436" s="2">
        <f t="shared" si="22"/>
        <v>43748.537580277778</v>
      </c>
    </row>
    <row r="1437" spans="1:10" x14ac:dyDescent="0.25">
      <c r="A1437" s="7" t="s">
        <v>28512</v>
      </c>
      <c r="B1437" s="8">
        <v>393.75</v>
      </c>
      <c r="C1437" s="8">
        <v>20.584240000000001</v>
      </c>
      <c r="D1437" s="8">
        <v>44</v>
      </c>
      <c r="E1437" s="8">
        <v>0</v>
      </c>
      <c r="F1437" s="8">
        <v>0</v>
      </c>
      <c r="G1437" s="8">
        <v>13</v>
      </c>
      <c r="H1437" s="8" t="s">
        <v>28513</v>
      </c>
      <c r="I1437" s="8">
        <v>526.6875</v>
      </c>
      <c r="J1437" s="3">
        <f t="shared" si="22"/>
        <v>43748.537663877309</v>
      </c>
    </row>
    <row r="1438" spans="1:10" x14ac:dyDescent="0.25">
      <c r="A1438" s="5" t="s">
        <v>28514</v>
      </c>
      <c r="B1438" s="6">
        <v>393.75</v>
      </c>
      <c r="C1438" s="6">
        <v>20.584240000000001</v>
      </c>
      <c r="D1438" s="6">
        <v>43</v>
      </c>
      <c r="E1438" s="6">
        <v>0</v>
      </c>
      <c r="F1438" s="6">
        <v>0</v>
      </c>
      <c r="G1438" s="6">
        <v>5</v>
      </c>
      <c r="H1438" s="6" t="s">
        <v>28515</v>
      </c>
      <c r="I1438" s="6">
        <v>526.6875</v>
      </c>
      <c r="J1438" s="2">
        <f t="shared" si="22"/>
        <v>43748.537746944443</v>
      </c>
    </row>
    <row r="1439" spans="1:10" x14ac:dyDescent="0.25">
      <c r="A1439" s="7" t="s">
        <v>28516</v>
      </c>
      <c r="B1439" s="8">
        <v>393.75</v>
      </c>
      <c r="C1439" s="8">
        <v>20.584240000000001</v>
      </c>
      <c r="D1439" s="8">
        <v>43</v>
      </c>
      <c r="E1439" s="8">
        <v>0</v>
      </c>
      <c r="F1439" s="8">
        <v>0</v>
      </c>
      <c r="G1439" s="8">
        <v>10</v>
      </c>
      <c r="H1439" s="8" t="s">
        <v>28517</v>
      </c>
      <c r="I1439" s="8">
        <v>526.6875</v>
      </c>
      <c r="J1439" s="3">
        <f t="shared" si="22"/>
        <v>43748.537842789352</v>
      </c>
    </row>
    <row r="1440" spans="1:10" x14ac:dyDescent="0.25">
      <c r="A1440" s="5" t="s">
        <v>28518</v>
      </c>
      <c r="B1440" s="6">
        <v>393.75</v>
      </c>
      <c r="C1440" s="6">
        <v>20.531590000000001</v>
      </c>
      <c r="D1440" s="6">
        <v>39</v>
      </c>
      <c r="E1440" s="6">
        <v>0</v>
      </c>
      <c r="F1440" s="6">
        <v>0</v>
      </c>
      <c r="G1440" s="6">
        <v>6</v>
      </c>
      <c r="H1440" s="6" t="s">
        <v>28519</v>
      </c>
      <c r="I1440" s="6">
        <v>526.6875</v>
      </c>
      <c r="J1440" s="2">
        <f t="shared" si="22"/>
        <v>43748.537926238423</v>
      </c>
    </row>
    <row r="1441" spans="1:10" x14ac:dyDescent="0.25">
      <c r="A1441" s="7" t="s">
        <v>28520</v>
      </c>
      <c r="B1441" s="8">
        <v>393.75</v>
      </c>
      <c r="C1441" s="8">
        <v>20.584240000000001</v>
      </c>
      <c r="D1441" s="8">
        <v>40</v>
      </c>
      <c r="E1441" s="8">
        <v>0</v>
      </c>
      <c r="F1441" s="8">
        <v>0</v>
      </c>
      <c r="G1441" s="8">
        <v>11</v>
      </c>
      <c r="H1441" s="8" t="s">
        <v>28521</v>
      </c>
      <c r="I1441" s="8">
        <v>526.5</v>
      </c>
      <c r="J1441" s="3">
        <f t="shared" si="22"/>
        <v>43748.538009687494</v>
      </c>
    </row>
    <row r="1442" spans="1:10" x14ac:dyDescent="0.25">
      <c r="A1442" s="5" t="s">
        <v>28522</v>
      </c>
      <c r="B1442" s="6">
        <v>393.75</v>
      </c>
      <c r="C1442" s="6">
        <v>20.584240000000001</v>
      </c>
      <c r="D1442" s="6">
        <v>41</v>
      </c>
      <c r="E1442" s="6">
        <v>0</v>
      </c>
      <c r="F1442" s="6">
        <v>0</v>
      </c>
      <c r="G1442" s="6">
        <v>14</v>
      </c>
      <c r="H1442" s="6" t="s">
        <v>28523</v>
      </c>
      <c r="I1442" s="6">
        <v>526.6875</v>
      </c>
      <c r="J1442" s="2">
        <f t="shared" si="22"/>
        <v>43748.538093344905</v>
      </c>
    </row>
    <row r="1443" spans="1:10" x14ac:dyDescent="0.25">
      <c r="A1443" s="7" t="s">
        <v>28524</v>
      </c>
      <c r="B1443" s="8">
        <v>393.75</v>
      </c>
      <c r="C1443" s="8">
        <v>20.584240000000001</v>
      </c>
      <c r="D1443" s="8">
        <v>42</v>
      </c>
      <c r="E1443" s="8">
        <v>0</v>
      </c>
      <c r="F1443" s="8">
        <v>0</v>
      </c>
      <c r="G1443" s="8">
        <v>7</v>
      </c>
      <c r="H1443" s="8" t="s">
        <v>28525</v>
      </c>
      <c r="I1443" s="8">
        <v>526.6875</v>
      </c>
      <c r="J1443" s="3">
        <f t="shared" si="22"/>
        <v>43748.538194664354</v>
      </c>
    </row>
    <row r="1444" spans="1:10" x14ac:dyDescent="0.25">
      <c r="A1444" s="5" t="s">
        <v>28526</v>
      </c>
      <c r="B1444" s="6">
        <v>393.75</v>
      </c>
      <c r="C1444" s="6">
        <v>20.584240000000001</v>
      </c>
      <c r="D1444" s="6">
        <v>42</v>
      </c>
      <c r="E1444" s="6">
        <v>0</v>
      </c>
      <c r="F1444" s="6">
        <v>0</v>
      </c>
      <c r="G1444" s="6">
        <v>7</v>
      </c>
      <c r="H1444" s="6" t="s">
        <v>28527</v>
      </c>
      <c r="I1444" s="6">
        <v>526.6875</v>
      </c>
      <c r="J1444" s="2">
        <f t="shared" si="22"/>
        <v>43748.538272187499</v>
      </c>
    </row>
    <row r="1445" spans="1:10" x14ac:dyDescent="0.25">
      <c r="A1445" s="7" t="s">
        <v>28528</v>
      </c>
      <c r="B1445" s="8">
        <v>393.75</v>
      </c>
      <c r="C1445" s="8">
        <v>20.584240000000001</v>
      </c>
      <c r="D1445" s="8">
        <v>42</v>
      </c>
      <c r="E1445" s="8">
        <v>0</v>
      </c>
      <c r="F1445" s="8">
        <v>0</v>
      </c>
      <c r="G1445" s="8">
        <v>10</v>
      </c>
      <c r="H1445" s="8" t="s">
        <v>28529</v>
      </c>
      <c r="I1445" s="8">
        <v>526.6875</v>
      </c>
      <c r="J1445" s="3">
        <f t="shared" si="22"/>
        <v>43748.53834371527</v>
      </c>
    </row>
    <row r="1446" spans="1:10" x14ac:dyDescent="0.25">
      <c r="A1446" s="5" t="s">
        <v>28530</v>
      </c>
      <c r="B1446" s="6">
        <v>393.75</v>
      </c>
      <c r="C1446" s="6">
        <v>20.584240000000001</v>
      </c>
      <c r="D1446" s="6">
        <v>43</v>
      </c>
      <c r="E1446" s="6">
        <v>0</v>
      </c>
      <c r="F1446" s="6">
        <v>0</v>
      </c>
      <c r="G1446" s="6">
        <v>9</v>
      </c>
      <c r="H1446" s="6" t="s">
        <v>28531</v>
      </c>
      <c r="I1446" s="6">
        <v>526.6875</v>
      </c>
      <c r="J1446" s="2">
        <f t="shared" si="22"/>
        <v>43748.53842694444</v>
      </c>
    </row>
    <row r="1447" spans="1:10" x14ac:dyDescent="0.25">
      <c r="A1447" s="7" t="s">
        <v>28532</v>
      </c>
      <c r="B1447" s="8">
        <v>393.75</v>
      </c>
      <c r="C1447" s="8">
        <v>20.584240000000001</v>
      </c>
      <c r="D1447" s="8">
        <v>43</v>
      </c>
      <c r="E1447" s="8">
        <v>0</v>
      </c>
      <c r="F1447" s="8">
        <v>0</v>
      </c>
      <c r="G1447" s="8">
        <v>17</v>
      </c>
      <c r="H1447" s="8" t="s">
        <v>28533</v>
      </c>
      <c r="I1447" s="8">
        <v>526.6875</v>
      </c>
      <c r="J1447" s="3">
        <f t="shared" si="22"/>
        <v>43748.538498564812</v>
      </c>
    </row>
    <row r="1448" spans="1:10" x14ac:dyDescent="0.25">
      <c r="A1448" s="5" t="s">
        <v>28534</v>
      </c>
      <c r="B1448" s="6">
        <v>393.75</v>
      </c>
      <c r="C1448" s="6">
        <v>20.584240000000001</v>
      </c>
      <c r="D1448" s="6">
        <v>43</v>
      </c>
      <c r="E1448" s="6">
        <v>0</v>
      </c>
      <c r="F1448" s="6">
        <v>0</v>
      </c>
      <c r="G1448" s="6">
        <v>10</v>
      </c>
      <c r="H1448" s="6" t="s">
        <v>28535</v>
      </c>
      <c r="I1448" s="6">
        <v>526.6875</v>
      </c>
      <c r="J1448" s="2">
        <f t="shared" si="22"/>
        <v>43748.538582349538</v>
      </c>
    </row>
    <row r="1449" spans="1:10" x14ac:dyDescent="0.25">
      <c r="A1449" s="7" t="s">
        <v>28536</v>
      </c>
      <c r="B1449" s="8">
        <v>393.75</v>
      </c>
      <c r="C1449" s="8">
        <v>20.584240000000001</v>
      </c>
      <c r="D1449" s="8">
        <v>43</v>
      </c>
      <c r="E1449" s="8">
        <v>0</v>
      </c>
      <c r="F1449" s="8">
        <v>0</v>
      </c>
      <c r="G1449" s="8">
        <v>11</v>
      </c>
      <c r="H1449" s="8" t="s">
        <v>28537</v>
      </c>
      <c r="I1449" s="8">
        <v>526.6875</v>
      </c>
      <c r="J1449" s="3">
        <f t="shared" si="22"/>
        <v>43748.538665798609</v>
      </c>
    </row>
    <row r="1450" spans="1:10" x14ac:dyDescent="0.25">
      <c r="A1450" s="5" t="s">
        <v>28538</v>
      </c>
      <c r="B1450" s="6">
        <v>412.5</v>
      </c>
      <c r="C1450" s="6">
        <v>20.584240000000001</v>
      </c>
      <c r="D1450" s="6">
        <v>42</v>
      </c>
      <c r="E1450" s="6">
        <v>0</v>
      </c>
      <c r="F1450" s="6">
        <v>0</v>
      </c>
      <c r="G1450" s="6">
        <v>10</v>
      </c>
      <c r="H1450" s="6" t="s">
        <v>28539</v>
      </c>
      <c r="I1450" s="6">
        <v>532.3125</v>
      </c>
      <c r="J1450" s="2">
        <f t="shared" si="22"/>
        <v>43748.538749039348</v>
      </c>
    </row>
    <row r="1451" spans="1:10" x14ac:dyDescent="0.25">
      <c r="A1451" s="7" t="s">
        <v>28540</v>
      </c>
      <c r="B1451" s="8">
        <v>393.75</v>
      </c>
      <c r="C1451" s="8">
        <v>20.584240000000001</v>
      </c>
      <c r="D1451" s="8">
        <v>42</v>
      </c>
      <c r="E1451" s="8">
        <v>0</v>
      </c>
      <c r="F1451" s="8">
        <v>0</v>
      </c>
      <c r="G1451" s="8">
        <v>1</v>
      </c>
      <c r="H1451" s="8" t="s">
        <v>28541</v>
      </c>
      <c r="I1451" s="8">
        <v>526.6875</v>
      </c>
      <c r="J1451" s="3">
        <f t="shared" si="22"/>
        <v>43748.538820798603</v>
      </c>
    </row>
    <row r="1452" spans="1:10" x14ac:dyDescent="0.25">
      <c r="A1452" s="5" t="s">
        <v>28542</v>
      </c>
      <c r="B1452" s="6">
        <v>393.75</v>
      </c>
      <c r="C1452" s="6">
        <v>20.531590000000001</v>
      </c>
      <c r="D1452" s="6">
        <v>42</v>
      </c>
      <c r="E1452" s="6">
        <v>0</v>
      </c>
      <c r="F1452" s="6">
        <v>0</v>
      </c>
      <c r="G1452" s="6">
        <v>5</v>
      </c>
      <c r="H1452" s="6" t="s">
        <v>28543</v>
      </c>
      <c r="I1452" s="6">
        <v>526.6875</v>
      </c>
      <c r="J1452" s="2">
        <f t="shared" si="22"/>
        <v>43748.538904594905</v>
      </c>
    </row>
    <row r="1453" spans="1:10" x14ac:dyDescent="0.25">
      <c r="A1453" s="7" t="s">
        <v>28544</v>
      </c>
      <c r="B1453" s="8">
        <v>393.75</v>
      </c>
      <c r="C1453" s="8">
        <v>20.584240000000001</v>
      </c>
      <c r="D1453" s="8">
        <v>42</v>
      </c>
      <c r="E1453" s="8">
        <v>0</v>
      </c>
      <c r="F1453" s="8">
        <v>0</v>
      </c>
      <c r="G1453" s="8">
        <v>15</v>
      </c>
      <c r="H1453" s="8" t="s">
        <v>28545</v>
      </c>
      <c r="I1453" s="8">
        <v>526.6875</v>
      </c>
      <c r="J1453" s="3">
        <f t="shared" si="22"/>
        <v>43748.538987916669</v>
      </c>
    </row>
    <row r="1454" spans="1:10" x14ac:dyDescent="0.25">
      <c r="A1454" s="5" t="s">
        <v>28546</v>
      </c>
      <c r="B1454" s="6">
        <v>393.75</v>
      </c>
      <c r="C1454" s="6">
        <v>20.531590000000001</v>
      </c>
      <c r="D1454" s="6">
        <v>44</v>
      </c>
      <c r="E1454" s="6">
        <v>0</v>
      </c>
      <c r="F1454" s="6">
        <v>0</v>
      </c>
      <c r="G1454" s="6">
        <v>18</v>
      </c>
      <c r="H1454" s="6" t="s">
        <v>28547</v>
      </c>
      <c r="I1454" s="6">
        <v>526.6875</v>
      </c>
      <c r="J1454" s="2">
        <f t="shared" si="22"/>
        <v>43748.539078738424</v>
      </c>
    </row>
    <row r="1455" spans="1:10" x14ac:dyDescent="0.25">
      <c r="A1455" s="7" t="s">
        <v>28548</v>
      </c>
      <c r="B1455" s="8">
        <v>393.75</v>
      </c>
      <c r="C1455" s="8">
        <v>20.584240000000001</v>
      </c>
      <c r="D1455" s="8">
        <v>44</v>
      </c>
      <c r="E1455" s="8">
        <v>0</v>
      </c>
      <c r="F1455" s="8">
        <v>0</v>
      </c>
      <c r="G1455" s="8">
        <v>13</v>
      </c>
      <c r="H1455" s="8" t="s">
        <v>28549</v>
      </c>
      <c r="I1455" s="8">
        <v>526.6875</v>
      </c>
      <c r="J1455" s="3">
        <f t="shared" si="22"/>
        <v>43748.539154930557</v>
      </c>
    </row>
    <row r="1456" spans="1:10" x14ac:dyDescent="0.25">
      <c r="A1456" s="5" t="s">
        <v>28550</v>
      </c>
      <c r="B1456" s="6">
        <v>393.75</v>
      </c>
      <c r="C1456" s="6">
        <v>20.584240000000001</v>
      </c>
      <c r="D1456" s="6">
        <v>43</v>
      </c>
      <c r="E1456" s="6">
        <v>0</v>
      </c>
      <c r="F1456" s="6">
        <v>0</v>
      </c>
      <c r="G1456" s="6">
        <v>14</v>
      </c>
      <c r="H1456" s="6" t="s">
        <v>28551</v>
      </c>
      <c r="I1456" s="6">
        <v>526.6875</v>
      </c>
      <c r="J1456" s="2">
        <f t="shared" si="22"/>
        <v>43748.539238043981</v>
      </c>
    </row>
    <row r="1457" spans="1:10" x14ac:dyDescent="0.25">
      <c r="A1457" s="7" t="s">
        <v>28552</v>
      </c>
      <c r="B1457" s="8">
        <v>393.75</v>
      </c>
      <c r="C1457" s="8">
        <v>20.531590000000001</v>
      </c>
      <c r="D1457" s="8">
        <v>43</v>
      </c>
      <c r="E1457" s="8">
        <v>0</v>
      </c>
      <c r="F1457" s="8">
        <v>0</v>
      </c>
      <c r="G1457" s="8">
        <v>20</v>
      </c>
      <c r="H1457" s="8" t="s">
        <v>28553</v>
      </c>
      <c r="I1457" s="8">
        <v>526.6875</v>
      </c>
      <c r="J1457" s="3">
        <f t="shared" si="22"/>
        <v>43748.539310023145</v>
      </c>
    </row>
    <row r="1458" spans="1:10" x14ac:dyDescent="0.25">
      <c r="A1458" s="5" t="s">
        <v>28554</v>
      </c>
      <c r="B1458" s="6">
        <v>393.75</v>
      </c>
      <c r="C1458" s="6">
        <v>20.531590000000001</v>
      </c>
      <c r="D1458" s="6">
        <v>42</v>
      </c>
      <c r="E1458" s="6">
        <v>0</v>
      </c>
      <c r="F1458" s="6">
        <v>0</v>
      </c>
      <c r="G1458" s="6">
        <v>28</v>
      </c>
      <c r="H1458" s="6" t="s">
        <v>28555</v>
      </c>
      <c r="I1458" s="6">
        <v>526.6875</v>
      </c>
      <c r="J1458" s="2">
        <f t="shared" si="22"/>
        <v>43748.539393495368</v>
      </c>
    </row>
    <row r="1459" spans="1:10" x14ac:dyDescent="0.25">
      <c r="A1459" s="7" t="s">
        <v>28556</v>
      </c>
      <c r="B1459" s="8">
        <v>393.75</v>
      </c>
      <c r="C1459" s="8">
        <v>20.584240000000001</v>
      </c>
      <c r="D1459" s="8">
        <v>44</v>
      </c>
      <c r="E1459" s="8">
        <v>0</v>
      </c>
      <c r="F1459" s="8">
        <v>0</v>
      </c>
      <c r="G1459" s="8">
        <v>21</v>
      </c>
      <c r="H1459" s="8" t="s">
        <v>28557</v>
      </c>
      <c r="I1459" s="8">
        <v>526.6875</v>
      </c>
      <c r="J1459" s="3">
        <f t="shared" si="22"/>
        <v>43748.539491805554</v>
      </c>
    </row>
    <row r="1460" spans="1:10" x14ac:dyDescent="0.25">
      <c r="A1460" s="5" t="s">
        <v>28558</v>
      </c>
      <c r="B1460" s="6">
        <v>393.75</v>
      </c>
      <c r="C1460" s="6">
        <v>20.584240000000001</v>
      </c>
      <c r="D1460" s="6">
        <v>48</v>
      </c>
      <c r="E1460" s="6">
        <v>0</v>
      </c>
      <c r="F1460" s="6">
        <v>0</v>
      </c>
      <c r="G1460" s="6">
        <v>13</v>
      </c>
      <c r="H1460" s="6" t="s">
        <v>28559</v>
      </c>
      <c r="I1460" s="6">
        <v>526.6875</v>
      </c>
      <c r="J1460" s="2">
        <f t="shared" si="22"/>
        <v>43748.539572407404</v>
      </c>
    </row>
    <row r="1461" spans="1:10" x14ac:dyDescent="0.25">
      <c r="A1461" s="7" t="s">
        <v>28560</v>
      </c>
      <c r="B1461" s="8">
        <v>393.75</v>
      </c>
      <c r="C1461" s="8">
        <v>20.584240000000001</v>
      </c>
      <c r="D1461" s="8">
        <v>45</v>
      </c>
      <c r="E1461" s="8">
        <v>0</v>
      </c>
      <c r="F1461" s="8">
        <v>0</v>
      </c>
      <c r="G1461" s="8">
        <v>8</v>
      </c>
      <c r="H1461" s="8" t="s">
        <v>28561</v>
      </c>
      <c r="I1461" s="8">
        <v>526.6875</v>
      </c>
      <c r="J1461" s="3">
        <f t="shared" si="22"/>
        <v>43748.53965598379</v>
      </c>
    </row>
    <row r="1462" spans="1:10" x14ac:dyDescent="0.25">
      <c r="A1462" s="5" t="s">
        <v>28562</v>
      </c>
      <c r="B1462" s="6">
        <v>412.5</v>
      </c>
      <c r="C1462" s="6">
        <v>20.584240000000001</v>
      </c>
      <c r="D1462" s="6">
        <v>45</v>
      </c>
      <c r="E1462" s="6">
        <v>0</v>
      </c>
      <c r="F1462" s="6">
        <v>0</v>
      </c>
      <c r="G1462" s="6">
        <v>14</v>
      </c>
      <c r="H1462" s="6" t="s">
        <v>28563</v>
      </c>
      <c r="I1462" s="6">
        <v>532.3125</v>
      </c>
      <c r="J1462" s="2">
        <f t="shared" si="22"/>
        <v>43748.539739432868</v>
      </c>
    </row>
    <row r="1463" spans="1:10" x14ac:dyDescent="0.25">
      <c r="A1463" s="7" t="s">
        <v>28564</v>
      </c>
      <c r="B1463" s="8">
        <v>393.75</v>
      </c>
      <c r="C1463" s="8">
        <v>20.584240000000001</v>
      </c>
      <c r="D1463" s="8">
        <v>45</v>
      </c>
      <c r="E1463" s="8">
        <v>0</v>
      </c>
      <c r="F1463" s="8">
        <v>0</v>
      </c>
      <c r="G1463" s="8">
        <v>11</v>
      </c>
      <c r="H1463" s="8" t="s">
        <v>28565</v>
      </c>
      <c r="I1463" s="8">
        <v>526.6875</v>
      </c>
      <c r="J1463" s="3">
        <f t="shared" si="22"/>
        <v>43748.539823113424</v>
      </c>
    </row>
    <row r="1464" spans="1:10" x14ac:dyDescent="0.25">
      <c r="A1464" s="5" t="s">
        <v>28566</v>
      </c>
      <c r="B1464" s="6">
        <v>393.75</v>
      </c>
      <c r="C1464" s="6">
        <v>20.531590000000001</v>
      </c>
      <c r="D1464" s="6">
        <v>44</v>
      </c>
      <c r="E1464" s="6">
        <v>0</v>
      </c>
      <c r="F1464" s="6">
        <v>0</v>
      </c>
      <c r="G1464" s="6">
        <v>9</v>
      </c>
      <c r="H1464" s="6" t="s">
        <v>28567</v>
      </c>
      <c r="I1464" s="6">
        <v>526.5</v>
      </c>
      <c r="J1464" s="2">
        <f t="shared" si="22"/>
        <v>43748.539906446757</v>
      </c>
    </row>
    <row r="1465" spans="1:10" x14ac:dyDescent="0.25">
      <c r="A1465" s="7" t="s">
        <v>28568</v>
      </c>
      <c r="B1465" s="8">
        <v>393.75</v>
      </c>
      <c r="C1465" s="8">
        <v>20.531590000000001</v>
      </c>
      <c r="D1465" s="8">
        <v>44</v>
      </c>
      <c r="E1465" s="8">
        <v>0</v>
      </c>
      <c r="F1465" s="8">
        <v>0</v>
      </c>
      <c r="G1465" s="8">
        <v>13</v>
      </c>
      <c r="H1465" s="8" t="s">
        <v>28569</v>
      </c>
      <c r="I1465" s="8">
        <v>526.6875</v>
      </c>
      <c r="J1465" s="3">
        <f t="shared" si="22"/>
        <v>43748.53998976852</v>
      </c>
    </row>
    <row r="1466" spans="1:10" x14ac:dyDescent="0.25">
      <c r="A1466" s="5" t="s">
        <v>28570</v>
      </c>
      <c r="B1466" s="6">
        <v>393.75</v>
      </c>
      <c r="C1466" s="6">
        <v>20.478950000000001</v>
      </c>
      <c r="D1466" s="6">
        <v>44</v>
      </c>
      <c r="E1466" s="6">
        <v>0</v>
      </c>
      <c r="F1466" s="6">
        <v>0</v>
      </c>
      <c r="G1466" s="6">
        <v>13</v>
      </c>
      <c r="H1466" s="6" t="s">
        <v>28571</v>
      </c>
      <c r="I1466" s="6">
        <v>526.6875</v>
      </c>
      <c r="J1466" s="2">
        <f t="shared" si="22"/>
        <v>43748.540073437493</v>
      </c>
    </row>
    <row r="1467" spans="1:10" x14ac:dyDescent="0.25">
      <c r="A1467" s="7" t="s">
        <v>28572</v>
      </c>
      <c r="B1467" s="8">
        <v>393.75</v>
      </c>
      <c r="C1467" s="8">
        <v>20.584240000000001</v>
      </c>
      <c r="D1467" s="8">
        <v>55</v>
      </c>
      <c r="E1467" s="8">
        <v>0</v>
      </c>
      <c r="F1467" s="8">
        <v>0</v>
      </c>
      <c r="G1467" s="8">
        <v>0</v>
      </c>
      <c r="H1467" s="8" t="s">
        <v>28573</v>
      </c>
      <c r="I1467" s="8">
        <v>526.6875</v>
      </c>
      <c r="J1467" s="3">
        <f t="shared" si="22"/>
        <v>43748.540377453704</v>
      </c>
    </row>
    <row r="1468" spans="1:10" x14ac:dyDescent="0.25">
      <c r="A1468" s="5" t="s">
        <v>28574</v>
      </c>
      <c r="B1468" s="6">
        <v>393.75</v>
      </c>
      <c r="C1468" s="6">
        <v>20.531590000000001</v>
      </c>
      <c r="D1468" s="6">
        <v>46</v>
      </c>
      <c r="E1468" s="6">
        <v>0</v>
      </c>
      <c r="F1468" s="6">
        <v>0</v>
      </c>
      <c r="G1468" s="6">
        <v>0</v>
      </c>
      <c r="H1468" s="6" t="s">
        <v>28575</v>
      </c>
      <c r="I1468" s="6">
        <v>526.6875</v>
      </c>
      <c r="J1468" s="2">
        <f t="shared" si="22"/>
        <v>43748.54046009259</v>
      </c>
    </row>
    <row r="1469" spans="1:10" x14ac:dyDescent="0.25">
      <c r="A1469" s="7" t="s">
        <v>28576</v>
      </c>
      <c r="B1469" s="8">
        <v>393.75</v>
      </c>
      <c r="C1469" s="8">
        <v>20.478950000000001</v>
      </c>
      <c r="D1469" s="8">
        <v>46</v>
      </c>
      <c r="E1469" s="8">
        <v>0</v>
      </c>
      <c r="F1469" s="8">
        <v>0</v>
      </c>
      <c r="G1469" s="8">
        <v>0</v>
      </c>
      <c r="H1469" s="8" t="s">
        <v>28577</v>
      </c>
      <c r="I1469" s="8">
        <v>526.5</v>
      </c>
      <c r="J1469" s="3">
        <f t="shared" si="22"/>
        <v>43748.540531863422</v>
      </c>
    </row>
    <row r="1470" spans="1:10" x14ac:dyDescent="0.25">
      <c r="A1470" s="5" t="s">
        <v>28578</v>
      </c>
      <c r="B1470" s="6">
        <v>393.75</v>
      </c>
      <c r="C1470" s="6">
        <v>20.584240000000001</v>
      </c>
      <c r="D1470" s="6">
        <v>45</v>
      </c>
      <c r="E1470" s="6">
        <v>0</v>
      </c>
      <c r="F1470" s="6">
        <v>0</v>
      </c>
      <c r="G1470" s="6">
        <v>9</v>
      </c>
      <c r="H1470" s="6" t="s">
        <v>28579</v>
      </c>
      <c r="I1470" s="6">
        <v>526.6875</v>
      </c>
      <c r="J1470" s="2">
        <f t="shared" si="22"/>
        <v>43748.54061564814</v>
      </c>
    </row>
    <row r="1471" spans="1:10" x14ac:dyDescent="0.25">
      <c r="A1471" s="7" t="s">
        <v>28580</v>
      </c>
      <c r="B1471" s="8">
        <v>393.75</v>
      </c>
      <c r="C1471" s="8">
        <v>20.584240000000001</v>
      </c>
      <c r="D1471" s="8">
        <v>45</v>
      </c>
      <c r="E1471" s="8">
        <v>0</v>
      </c>
      <c r="F1471" s="8">
        <v>0</v>
      </c>
      <c r="G1471" s="8">
        <v>6</v>
      </c>
      <c r="H1471" s="8" t="s">
        <v>28581</v>
      </c>
      <c r="I1471" s="8">
        <v>526.6875</v>
      </c>
      <c r="J1471" s="3">
        <f t="shared" si="22"/>
        <v>43748.54069908565</v>
      </c>
    </row>
    <row r="1472" spans="1:10" x14ac:dyDescent="0.25">
      <c r="A1472" s="5" t="s">
        <v>28582</v>
      </c>
      <c r="B1472" s="6">
        <v>415.625</v>
      </c>
      <c r="C1472" s="6">
        <v>20.584240000000001</v>
      </c>
      <c r="D1472" s="6">
        <v>47</v>
      </c>
      <c r="E1472" s="6">
        <v>0</v>
      </c>
      <c r="F1472" s="6">
        <v>0</v>
      </c>
      <c r="G1472" s="6">
        <v>1</v>
      </c>
      <c r="H1472" s="6" t="s">
        <v>28583</v>
      </c>
      <c r="I1472" s="6">
        <v>533.25</v>
      </c>
      <c r="J1472" s="2">
        <f t="shared" si="22"/>
        <v>43748.540782314813</v>
      </c>
    </row>
    <row r="1473" spans="1:10" x14ac:dyDescent="0.25">
      <c r="A1473" s="7" t="s">
        <v>28584</v>
      </c>
      <c r="B1473" s="8">
        <v>393.75</v>
      </c>
      <c r="C1473" s="8">
        <v>20.584240000000001</v>
      </c>
      <c r="D1473" s="8">
        <v>47</v>
      </c>
      <c r="E1473" s="8">
        <v>0</v>
      </c>
      <c r="F1473" s="8">
        <v>0</v>
      </c>
      <c r="G1473" s="8">
        <v>1</v>
      </c>
      <c r="H1473" s="8" t="s">
        <v>28585</v>
      </c>
      <c r="I1473" s="8">
        <v>526.5</v>
      </c>
      <c r="J1473" s="3">
        <f t="shared" si="22"/>
        <v>43748.540853761573</v>
      </c>
    </row>
    <row r="1474" spans="1:10" x14ac:dyDescent="0.25">
      <c r="A1474" s="5" t="s">
        <v>28586</v>
      </c>
      <c r="B1474" s="6">
        <v>393.75</v>
      </c>
      <c r="C1474" s="6">
        <v>20.531590000000001</v>
      </c>
      <c r="D1474" s="6">
        <v>49</v>
      </c>
      <c r="E1474" s="6">
        <v>0</v>
      </c>
      <c r="F1474" s="6">
        <v>0</v>
      </c>
      <c r="G1474" s="6">
        <v>0</v>
      </c>
      <c r="H1474" s="6" t="s">
        <v>28587</v>
      </c>
      <c r="I1474" s="6">
        <v>526.6875</v>
      </c>
      <c r="J1474" s="2">
        <f t="shared" ref="J1474:J1537" si="23">(H1474/86400000)+25569+(7/24)</f>
        <v>43748.540925729169</v>
      </c>
    </row>
    <row r="1475" spans="1:10" x14ac:dyDescent="0.25">
      <c r="A1475" s="7" t="s">
        <v>28588</v>
      </c>
      <c r="B1475" s="8">
        <v>393.75</v>
      </c>
      <c r="C1475" s="8">
        <v>20.584240000000001</v>
      </c>
      <c r="D1475" s="8">
        <v>49</v>
      </c>
      <c r="E1475" s="8">
        <v>0</v>
      </c>
      <c r="F1475" s="8">
        <v>0</v>
      </c>
      <c r="G1475" s="8">
        <v>10</v>
      </c>
      <c r="H1475" s="8" t="s">
        <v>28589</v>
      </c>
      <c r="I1475" s="8">
        <v>526.6875</v>
      </c>
      <c r="J1475" s="3">
        <f t="shared" si="23"/>
        <v>43748.540997141201</v>
      </c>
    </row>
    <row r="1476" spans="1:10" x14ac:dyDescent="0.25">
      <c r="A1476" s="5" t="s">
        <v>28590</v>
      </c>
      <c r="B1476" s="6">
        <v>393.75</v>
      </c>
      <c r="C1476" s="6">
        <v>20.584240000000001</v>
      </c>
      <c r="D1476" s="6">
        <v>49</v>
      </c>
      <c r="E1476" s="6">
        <v>0</v>
      </c>
      <c r="F1476" s="6">
        <v>0</v>
      </c>
      <c r="G1476" s="6">
        <v>8</v>
      </c>
      <c r="H1476" s="6" t="s">
        <v>28591</v>
      </c>
      <c r="I1476" s="6">
        <v>526.6875</v>
      </c>
      <c r="J1476" s="2">
        <f t="shared" si="23"/>
        <v>43748.541068888888</v>
      </c>
    </row>
    <row r="1477" spans="1:10" x14ac:dyDescent="0.25">
      <c r="A1477" s="7" t="s">
        <v>28592</v>
      </c>
      <c r="B1477" s="8">
        <v>393.75</v>
      </c>
      <c r="C1477" s="8">
        <v>20.584240000000001</v>
      </c>
      <c r="D1477" s="8">
        <v>48</v>
      </c>
      <c r="E1477" s="8">
        <v>0</v>
      </c>
      <c r="F1477" s="8">
        <v>0</v>
      </c>
      <c r="G1477" s="8">
        <v>3</v>
      </c>
      <c r="H1477" s="8" t="s">
        <v>28593</v>
      </c>
      <c r="I1477" s="8">
        <v>526.6875</v>
      </c>
      <c r="J1477" s="3">
        <f t="shared" si="23"/>
        <v>43748.541152453698</v>
      </c>
    </row>
    <row r="1478" spans="1:10" x14ac:dyDescent="0.25">
      <c r="A1478" s="5" t="s">
        <v>28594</v>
      </c>
      <c r="B1478" s="6">
        <v>393.75</v>
      </c>
      <c r="C1478" s="6">
        <v>20.531590000000001</v>
      </c>
      <c r="D1478" s="6">
        <v>46</v>
      </c>
      <c r="E1478" s="6">
        <v>0</v>
      </c>
      <c r="F1478" s="6">
        <v>0</v>
      </c>
      <c r="G1478" s="6">
        <v>12</v>
      </c>
      <c r="H1478" s="6" t="s">
        <v>28595</v>
      </c>
      <c r="I1478" s="6">
        <v>526.6875</v>
      </c>
      <c r="J1478" s="2">
        <f t="shared" si="23"/>
        <v>43748.541223993052</v>
      </c>
    </row>
    <row r="1479" spans="1:10" x14ac:dyDescent="0.25">
      <c r="A1479" s="7" t="s">
        <v>28596</v>
      </c>
      <c r="B1479" s="8">
        <v>437.5</v>
      </c>
      <c r="C1479" s="8">
        <v>20.531590000000001</v>
      </c>
      <c r="D1479" s="8">
        <v>46</v>
      </c>
      <c r="E1479" s="8">
        <v>0</v>
      </c>
      <c r="F1479" s="8">
        <v>0</v>
      </c>
      <c r="G1479" s="8">
        <v>4</v>
      </c>
      <c r="H1479" s="8" t="s">
        <v>28597</v>
      </c>
      <c r="I1479" s="8">
        <v>540.1875</v>
      </c>
      <c r="J1479" s="3">
        <f t="shared" si="23"/>
        <v>43748.541295509254</v>
      </c>
    </row>
    <row r="1480" spans="1:10" x14ac:dyDescent="0.25">
      <c r="A1480" s="5" t="s">
        <v>28598</v>
      </c>
      <c r="B1480" s="6">
        <v>393.75</v>
      </c>
      <c r="C1480" s="6">
        <v>20.584240000000001</v>
      </c>
      <c r="D1480" s="6">
        <v>46</v>
      </c>
      <c r="E1480" s="6">
        <v>0</v>
      </c>
      <c r="F1480" s="6">
        <v>0</v>
      </c>
      <c r="G1480" s="6">
        <v>11</v>
      </c>
      <c r="H1480" s="6" t="s">
        <v>28599</v>
      </c>
      <c r="I1480" s="6">
        <v>526.6875</v>
      </c>
      <c r="J1480" s="2">
        <f t="shared" si="23"/>
        <v>43748.541378784721</v>
      </c>
    </row>
    <row r="1481" spans="1:10" x14ac:dyDescent="0.25">
      <c r="A1481" s="7" t="s">
        <v>28600</v>
      </c>
      <c r="B1481" s="8">
        <v>393.75</v>
      </c>
      <c r="C1481" s="8">
        <v>20.584240000000001</v>
      </c>
      <c r="D1481" s="8">
        <v>46</v>
      </c>
      <c r="E1481" s="8">
        <v>0</v>
      </c>
      <c r="F1481" s="8">
        <v>0</v>
      </c>
      <c r="G1481" s="8">
        <v>16</v>
      </c>
      <c r="H1481" s="8" t="s">
        <v>28601</v>
      </c>
      <c r="I1481" s="8">
        <v>526.6875</v>
      </c>
      <c r="J1481" s="3">
        <f t="shared" si="23"/>
        <v>43748.541450370372</v>
      </c>
    </row>
    <row r="1482" spans="1:10" x14ac:dyDescent="0.25">
      <c r="A1482" s="5" t="s">
        <v>28602</v>
      </c>
      <c r="B1482" s="6">
        <v>393.75</v>
      </c>
      <c r="C1482" s="6">
        <v>20.584240000000001</v>
      </c>
      <c r="D1482" s="6">
        <v>44</v>
      </c>
      <c r="E1482" s="6">
        <v>0</v>
      </c>
      <c r="F1482" s="6">
        <v>0</v>
      </c>
      <c r="G1482" s="6">
        <v>4</v>
      </c>
      <c r="H1482" s="6" t="s">
        <v>28603</v>
      </c>
      <c r="I1482" s="6">
        <v>526.6875</v>
      </c>
      <c r="J1482" s="2">
        <f t="shared" si="23"/>
        <v>43748.541534189812</v>
      </c>
    </row>
    <row r="1483" spans="1:10" x14ac:dyDescent="0.25">
      <c r="A1483" s="7" t="s">
        <v>28604</v>
      </c>
      <c r="B1483" s="8">
        <v>393.75</v>
      </c>
      <c r="C1483" s="8">
        <v>20.584240000000001</v>
      </c>
      <c r="D1483" s="8">
        <v>46</v>
      </c>
      <c r="E1483" s="8">
        <v>0</v>
      </c>
      <c r="F1483" s="8">
        <v>0</v>
      </c>
      <c r="G1483" s="8">
        <v>10</v>
      </c>
      <c r="H1483" s="8" t="s">
        <v>28605</v>
      </c>
      <c r="I1483" s="8">
        <v>526.6875</v>
      </c>
      <c r="J1483" s="3">
        <f t="shared" si="23"/>
        <v>43748.541617662035</v>
      </c>
    </row>
    <row r="1484" spans="1:10" x14ac:dyDescent="0.25">
      <c r="A1484" s="5" t="s">
        <v>28606</v>
      </c>
      <c r="B1484" s="6">
        <v>393.75</v>
      </c>
      <c r="C1484" s="6">
        <v>20.531590000000001</v>
      </c>
      <c r="D1484" s="6">
        <v>48</v>
      </c>
      <c r="E1484" s="6">
        <v>0</v>
      </c>
      <c r="F1484" s="6">
        <v>0</v>
      </c>
      <c r="G1484" s="6">
        <v>13</v>
      </c>
      <c r="H1484" s="6" t="s">
        <v>28607</v>
      </c>
      <c r="I1484" s="6">
        <v>526.6875</v>
      </c>
      <c r="J1484" s="2">
        <f t="shared" si="23"/>
        <v>43748.541700844908</v>
      </c>
    </row>
    <row r="1485" spans="1:10" x14ac:dyDescent="0.25">
      <c r="A1485" s="7" t="s">
        <v>28608</v>
      </c>
      <c r="B1485" s="8">
        <v>393.75</v>
      </c>
      <c r="C1485" s="8">
        <v>20.584240000000001</v>
      </c>
      <c r="D1485" s="8">
        <v>48</v>
      </c>
      <c r="E1485" s="8">
        <v>0</v>
      </c>
      <c r="F1485" s="8">
        <v>0</v>
      </c>
      <c r="G1485" s="8">
        <v>22</v>
      </c>
      <c r="H1485" s="8" t="s">
        <v>28609</v>
      </c>
      <c r="I1485" s="8">
        <v>526.6875</v>
      </c>
      <c r="J1485" s="3">
        <f t="shared" si="23"/>
        <v>43748.541772465273</v>
      </c>
    </row>
    <row r="1486" spans="1:10" x14ac:dyDescent="0.25">
      <c r="A1486" s="5" t="s">
        <v>28610</v>
      </c>
      <c r="B1486" s="6">
        <v>393.75</v>
      </c>
      <c r="C1486" s="6">
        <v>20.584240000000001</v>
      </c>
      <c r="D1486" s="6">
        <v>45</v>
      </c>
      <c r="E1486" s="6">
        <v>0</v>
      </c>
      <c r="F1486" s="6">
        <v>0</v>
      </c>
      <c r="G1486" s="6">
        <v>12</v>
      </c>
      <c r="H1486" s="6" t="s">
        <v>28611</v>
      </c>
      <c r="I1486" s="6">
        <v>526.6875</v>
      </c>
      <c r="J1486" s="2">
        <f t="shared" si="23"/>
        <v>43748.541856400458</v>
      </c>
    </row>
    <row r="1487" spans="1:10" x14ac:dyDescent="0.25">
      <c r="A1487" s="7" t="s">
        <v>28612</v>
      </c>
      <c r="B1487" s="8">
        <v>393.75</v>
      </c>
      <c r="C1487" s="8">
        <v>20.584240000000001</v>
      </c>
      <c r="D1487" s="8">
        <v>46</v>
      </c>
      <c r="E1487" s="8">
        <v>0</v>
      </c>
      <c r="F1487" s="8">
        <v>0</v>
      </c>
      <c r="G1487" s="8">
        <v>16</v>
      </c>
      <c r="H1487" s="8" t="s">
        <v>28613</v>
      </c>
      <c r="I1487" s="8">
        <v>526.6875</v>
      </c>
      <c r="J1487" s="3">
        <f t="shared" si="23"/>
        <v>43748.54195165509</v>
      </c>
    </row>
    <row r="1488" spans="1:10" x14ac:dyDescent="0.25">
      <c r="A1488" s="5" t="s">
        <v>28614</v>
      </c>
      <c r="B1488" s="6">
        <v>393.75</v>
      </c>
      <c r="C1488" s="6">
        <v>20.531590000000001</v>
      </c>
      <c r="D1488" s="6">
        <v>47</v>
      </c>
      <c r="E1488" s="6">
        <v>0</v>
      </c>
      <c r="F1488" s="6">
        <v>0</v>
      </c>
      <c r="G1488" s="6">
        <v>16</v>
      </c>
      <c r="H1488" s="6" t="s">
        <v>28615</v>
      </c>
      <c r="I1488" s="6">
        <v>526.6875</v>
      </c>
      <c r="J1488" s="2">
        <f t="shared" si="23"/>
        <v>43748.542035092592</v>
      </c>
    </row>
    <row r="1489" spans="1:10" x14ac:dyDescent="0.25">
      <c r="A1489" s="7" t="s">
        <v>28616</v>
      </c>
      <c r="B1489" s="8">
        <v>393.75</v>
      </c>
      <c r="C1489" s="8">
        <v>20.584240000000001</v>
      </c>
      <c r="D1489" s="8">
        <v>47</v>
      </c>
      <c r="E1489" s="8">
        <v>0</v>
      </c>
      <c r="F1489" s="8">
        <v>0</v>
      </c>
      <c r="G1489" s="8">
        <v>23</v>
      </c>
      <c r="H1489" s="8" t="s">
        <v>28617</v>
      </c>
      <c r="I1489" s="8">
        <v>526.6875</v>
      </c>
      <c r="J1489" s="3">
        <f t="shared" si="23"/>
        <v>43748.542106759262</v>
      </c>
    </row>
    <row r="1490" spans="1:10" x14ac:dyDescent="0.25">
      <c r="A1490" s="5" t="s">
        <v>28618</v>
      </c>
      <c r="B1490" s="6">
        <v>393.75</v>
      </c>
      <c r="C1490" s="6">
        <v>20.584240000000001</v>
      </c>
      <c r="D1490" s="6">
        <v>47</v>
      </c>
      <c r="E1490" s="6">
        <v>0</v>
      </c>
      <c r="F1490" s="6">
        <v>0</v>
      </c>
      <c r="G1490" s="6">
        <v>20</v>
      </c>
      <c r="H1490" s="6" t="s">
        <v>28619</v>
      </c>
      <c r="I1490" s="6">
        <v>526.6875</v>
      </c>
      <c r="J1490" s="2">
        <f t="shared" si="23"/>
        <v>43748.542190428234</v>
      </c>
    </row>
    <row r="1491" spans="1:10" x14ac:dyDescent="0.25">
      <c r="A1491" s="7" t="s">
        <v>28620</v>
      </c>
      <c r="B1491" s="8">
        <v>393.75</v>
      </c>
      <c r="C1491" s="8">
        <v>20.584240000000001</v>
      </c>
      <c r="D1491" s="8">
        <v>47</v>
      </c>
      <c r="E1491" s="8">
        <v>0</v>
      </c>
      <c r="F1491" s="8">
        <v>0</v>
      </c>
      <c r="G1491" s="8">
        <v>11</v>
      </c>
      <c r="H1491" s="8" t="s">
        <v>28621</v>
      </c>
      <c r="I1491" s="8">
        <v>526.6875</v>
      </c>
      <c r="J1491" s="3">
        <f t="shared" si="23"/>
        <v>43748.542261979164</v>
      </c>
    </row>
    <row r="1492" spans="1:10" x14ac:dyDescent="0.25">
      <c r="A1492" s="5" t="s">
        <v>28622</v>
      </c>
      <c r="B1492" s="6">
        <v>393.75</v>
      </c>
      <c r="C1492" s="6">
        <v>20.584240000000001</v>
      </c>
      <c r="D1492" s="6">
        <v>48</v>
      </c>
      <c r="E1492" s="6">
        <v>0</v>
      </c>
      <c r="F1492" s="6">
        <v>0</v>
      </c>
      <c r="G1492" s="6">
        <v>11</v>
      </c>
      <c r="H1492" s="6" t="s">
        <v>28623</v>
      </c>
      <c r="I1492" s="6">
        <v>526.6875</v>
      </c>
      <c r="J1492" s="2">
        <f t="shared" si="23"/>
        <v>43748.542345277776</v>
      </c>
    </row>
    <row r="1493" spans="1:10" x14ac:dyDescent="0.25">
      <c r="A1493" s="7" t="s">
        <v>28624</v>
      </c>
      <c r="B1493" s="8">
        <v>393.75</v>
      </c>
      <c r="C1493" s="8">
        <v>20.584240000000001</v>
      </c>
      <c r="D1493" s="8">
        <v>46</v>
      </c>
      <c r="E1493" s="8">
        <v>0</v>
      </c>
      <c r="F1493" s="8">
        <v>0</v>
      </c>
      <c r="G1493" s="8">
        <v>19</v>
      </c>
      <c r="H1493" s="8" t="s">
        <v>28625</v>
      </c>
      <c r="I1493" s="8">
        <v>526.6875</v>
      </c>
      <c r="J1493" s="3">
        <f t="shared" si="23"/>
        <v>43748.542440787038</v>
      </c>
    </row>
    <row r="1494" spans="1:10" x14ac:dyDescent="0.25">
      <c r="A1494" s="5" t="s">
        <v>28626</v>
      </c>
      <c r="B1494" s="6">
        <v>393.75</v>
      </c>
      <c r="C1494" s="6">
        <v>20.584240000000001</v>
      </c>
      <c r="D1494" s="6">
        <v>46</v>
      </c>
      <c r="E1494" s="6">
        <v>0</v>
      </c>
      <c r="F1494" s="6">
        <v>0</v>
      </c>
      <c r="G1494" s="6">
        <v>14</v>
      </c>
      <c r="H1494" s="6" t="s">
        <v>28627</v>
      </c>
      <c r="I1494" s="6">
        <v>526.6875</v>
      </c>
      <c r="J1494" s="2">
        <f t="shared" si="23"/>
        <v>43748.542524351848</v>
      </c>
    </row>
    <row r="1495" spans="1:10" x14ac:dyDescent="0.25">
      <c r="A1495" s="7" t="s">
        <v>28628</v>
      </c>
      <c r="B1495" s="8">
        <v>393.75</v>
      </c>
      <c r="C1495" s="8">
        <v>20.531590000000001</v>
      </c>
      <c r="D1495" s="8">
        <v>45</v>
      </c>
      <c r="E1495" s="8">
        <v>0</v>
      </c>
      <c r="F1495" s="8">
        <v>0</v>
      </c>
      <c r="G1495" s="8">
        <v>13</v>
      </c>
      <c r="H1495" s="8" t="s">
        <v>28629</v>
      </c>
      <c r="I1495" s="8">
        <v>526.6875</v>
      </c>
      <c r="J1495" s="3">
        <f t="shared" si="23"/>
        <v>43748.54260778935</v>
      </c>
    </row>
    <row r="1496" spans="1:10" x14ac:dyDescent="0.25">
      <c r="A1496" s="5" t="s">
        <v>28630</v>
      </c>
      <c r="B1496" s="6">
        <v>393.75</v>
      </c>
      <c r="C1496" s="6">
        <v>20.584240000000001</v>
      </c>
      <c r="D1496" s="6">
        <v>47</v>
      </c>
      <c r="E1496" s="6">
        <v>0</v>
      </c>
      <c r="F1496" s="6">
        <v>0</v>
      </c>
      <c r="G1496" s="6">
        <v>6</v>
      </c>
      <c r="H1496" s="6" t="s">
        <v>28631</v>
      </c>
      <c r="I1496" s="6">
        <v>526.6875</v>
      </c>
      <c r="J1496" s="2">
        <f t="shared" si="23"/>
        <v>43748.542691388888</v>
      </c>
    </row>
    <row r="1497" spans="1:10" x14ac:dyDescent="0.25">
      <c r="A1497" s="7" t="s">
        <v>28632</v>
      </c>
      <c r="B1497" s="8">
        <v>393.75</v>
      </c>
      <c r="C1497" s="8">
        <v>20.584240000000001</v>
      </c>
      <c r="D1497" s="8">
        <v>47</v>
      </c>
      <c r="E1497" s="8">
        <v>0</v>
      </c>
      <c r="F1497" s="8">
        <v>0</v>
      </c>
      <c r="G1497" s="8">
        <v>9</v>
      </c>
      <c r="H1497" s="8" t="s">
        <v>28633</v>
      </c>
      <c r="I1497" s="8">
        <v>526.6875</v>
      </c>
      <c r="J1497" s="3">
        <f t="shared" si="23"/>
        <v>43748.5427795949</v>
      </c>
    </row>
    <row r="1498" spans="1:10" x14ac:dyDescent="0.25">
      <c r="A1498" s="5" t="s">
        <v>28634</v>
      </c>
      <c r="B1498" s="6">
        <v>393.75</v>
      </c>
      <c r="C1498" s="6">
        <v>20.478950000000001</v>
      </c>
      <c r="D1498" s="6">
        <v>48</v>
      </c>
      <c r="E1498" s="6">
        <v>0</v>
      </c>
      <c r="F1498" s="6">
        <v>0</v>
      </c>
      <c r="G1498" s="6">
        <v>9</v>
      </c>
      <c r="H1498" s="6" t="s">
        <v>28635</v>
      </c>
      <c r="I1498" s="6">
        <v>526.6875</v>
      </c>
      <c r="J1498" s="2">
        <f t="shared" si="23"/>
        <v>43748.542858379624</v>
      </c>
    </row>
    <row r="1499" spans="1:10" x14ac:dyDescent="0.25">
      <c r="A1499" s="7" t="s">
        <v>28636</v>
      </c>
      <c r="B1499" s="8">
        <v>393.75</v>
      </c>
      <c r="C1499" s="8">
        <v>20.584240000000001</v>
      </c>
      <c r="D1499" s="8">
        <v>48</v>
      </c>
      <c r="E1499" s="8">
        <v>0</v>
      </c>
      <c r="F1499" s="8">
        <v>0</v>
      </c>
      <c r="G1499" s="8">
        <v>12</v>
      </c>
      <c r="H1499" s="8" t="s">
        <v>28637</v>
      </c>
      <c r="I1499" s="8">
        <v>526.6875</v>
      </c>
      <c r="J1499" s="3">
        <f t="shared" si="23"/>
        <v>43748.542941574073</v>
      </c>
    </row>
    <row r="1500" spans="1:10" x14ac:dyDescent="0.25">
      <c r="A1500" s="5" t="s">
        <v>28638</v>
      </c>
      <c r="B1500" s="6">
        <v>393.75</v>
      </c>
      <c r="C1500" s="6">
        <v>20.584240000000001</v>
      </c>
      <c r="D1500" s="6">
        <v>48</v>
      </c>
      <c r="E1500" s="6">
        <v>0</v>
      </c>
      <c r="F1500" s="6">
        <v>0</v>
      </c>
      <c r="G1500" s="6">
        <v>4</v>
      </c>
      <c r="H1500" s="6" t="s">
        <v>28639</v>
      </c>
      <c r="I1500" s="6">
        <v>526.6875</v>
      </c>
      <c r="J1500" s="2">
        <f t="shared" si="23"/>
        <v>43748.543013344904</v>
      </c>
    </row>
    <row r="1501" spans="1:10" x14ac:dyDescent="0.25">
      <c r="A1501" s="7" t="s">
        <v>28640</v>
      </c>
      <c r="B1501" s="8">
        <v>412.5</v>
      </c>
      <c r="C1501" s="8">
        <v>20.584240000000001</v>
      </c>
      <c r="D1501" s="8">
        <v>47</v>
      </c>
      <c r="E1501" s="8">
        <v>0</v>
      </c>
      <c r="F1501" s="8">
        <v>0</v>
      </c>
      <c r="G1501" s="8">
        <v>11</v>
      </c>
      <c r="H1501" s="8" t="s">
        <v>28641</v>
      </c>
      <c r="I1501" s="8">
        <v>532.3125</v>
      </c>
      <c r="J1501" s="3">
        <f t="shared" si="23"/>
        <v>43748.543109004626</v>
      </c>
    </row>
    <row r="1502" spans="1:10" x14ac:dyDescent="0.25">
      <c r="A1502" s="5" t="s">
        <v>28642</v>
      </c>
      <c r="B1502" s="6">
        <v>393.75</v>
      </c>
      <c r="C1502" s="6">
        <v>20.584240000000001</v>
      </c>
      <c r="D1502" s="6">
        <v>48</v>
      </c>
      <c r="E1502" s="6">
        <v>0</v>
      </c>
      <c r="F1502" s="6">
        <v>0</v>
      </c>
      <c r="G1502" s="6">
        <v>13</v>
      </c>
      <c r="H1502" s="6" t="s">
        <v>28643</v>
      </c>
      <c r="I1502" s="6">
        <v>526.6875</v>
      </c>
      <c r="J1502" s="2">
        <f t="shared" si="23"/>
        <v>43748.543180416666</v>
      </c>
    </row>
    <row r="1503" spans="1:10" x14ac:dyDescent="0.25">
      <c r="A1503" s="7" t="s">
        <v>28644</v>
      </c>
      <c r="B1503" s="8">
        <v>393.75</v>
      </c>
      <c r="C1503" s="8">
        <v>20.531590000000001</v>
      </c>
      <c r="D1503" s="8">
        <v>48</v>
      </c>
      <c r="E1503" s="8">
        <v>0</v>
      </c>
      <c r="F1503" s="8">
        <v>0</v>
      </c>
      <c r="G1503" s="8">
        <v>14</v>
      </c>
      <c r="H1503" s="8" t="s">
        <v>28645</v>
      </c>
      <c r="I1503" s="8">
        <v>526.6875</v>
      </c>
      <c r="J1503" s="3">
        <f t="shared" si="23"/>
        <v>43748.543263854161</v>
      </c>
    </row>
    <row r="1504" spans="1:10" x14ac:dyDescent="0.25">
      <c r="A1504" s="5" t="s">
        <v>28646</v>
      </c>
      <c r="B1504" s="6">
        <v>412.5</v>
      </c>
      <c r="C1504" s="6">
        <v>20.584240000000001</v>
      </c>
      <c r="D1504" s="6">
        <v>48</v>
      </c>
      <c r="E1504" s="6">
        <v>0</v>
      </c>
      <c r="F1504" s="6">
        <v>0</v>
      </c>
      <c r="G1504" s="6">
        <v>10</v>
      </c>
      <c r="H1504" s="6" t="s">
        <v>28647</v>
      </c>
      <c r="I1504" s="6">
        <v>532.3125</v>
      </c>
      <c r="J1504" s="2">
        <f t="shared" si="23"/>
        <v>43748.543347453706</v>
      </c>
    </row>
    <row r="1505" spans="1:10" x14ac:dyDescent="0.25">
      <c r="A1505" s="7" t="s">
        <v>28648</v>
      </c>
      <c r="B1505" s="8">
        <v>393.75</v>
      </c>
      <c r="C1505" s="8">
        <v>20.531590000000001</v>
      </c>
      <c r="D1505" s="8">
        <v>48</v>
      </c>
      <c r="E1505" s="8">
        <v>0</v>
      </c>
      <c r="F1505" s="8">
        <v>0</v>
      </c>
      <c r="G1505" s="8">
        <v>18</v>
      </c>
      <c r="H1505" s="8" t="s">
        <v>28649</v>
      </c>
      <c r="I1505" s="8">
        <v>526.6875</v>
      </c>
      <c r="J1505" s="3">
        <f t="shared" si="23"/>
        <v>43748.543430636571</v>
      </c>
    </row>
    <row r="1506" spans="1:10" x14ac:dyDescent="0.25">
      <c r="A1506" s="5" t="s">
        <v>28650</v>
      </c>
      <c r="B1506" s="6">
        <v>393.75</v>
      </c>
      <c r="C1506" s="6">
        <v>20.531590000000001</v>
      </c>
      <c r="D1506" s="6">
        <v>47</v>
      </c>
      <c r="E1506" s="6">
        <v>0</v>
      </c>
      <c r="F1506" s="6">
        <v>0</v>
      </c>
      <c r="G1506" s="6">
        <v>5</v>
      </c>
      <c r="H1506" s="6" t="s">
        <v>28651</v>
      </c>
      <c r="I1506" s="6">
        <v>526.6875</v>
      </c>
      <c r="J1506" s="2">
        <f t="shared" si="23"/>
        <v>43748.543502280088</v>
      </c>
    </row>
    <row r="1507" spans="1:10" x14ac:dyDescent="0.25">
      <c r="A1507" s="7" t="s">
        <v>28652</v>
      </c>
      <c r="B1507" s="8">
        <v>393.75</v>
      </c>
      <c r="C1507" s="8">
        <v>20.531590000000001</v>
      </c>
      <c r="D1507" s="8">
        <v>49</v>
      </c>
      <c r="E1507" s="8">
        <v>0</v>
      </c>
      <c r="F1507" s="8">
        <v>0</v>
      </c>
      <c r="G1507" s="8">
        <v>14</v>
      </c>
      <c r="H1507" s="8" t="s">
        <v>28653</v>
      </c>
      <c r="I1507" s="8">
        <v>526.6875</v>
      </c>
      <c r="J1507" s="3">
        <f t="shared" si="23"/>
        <v>43748.543586087959</v>
      </c>
    </row>
    <row r="1508" spans="1:10" x14ac:dyDescent="0.25">
      <c r="A1508" s="5" t="s">
        <v>28654</v>
      </c>
      <c r="B1508" s="6">
        <v>393.75</v>
      </c>
      <c r="C1508" s="6">
        <v>20.531590000000001</v>
      </c>
      <c r="D1508" s="6">
        <v>49</v>
      </c>
      <c r="E1508" s="6">
        <v>0</v>
      </c>
      <c r="F1508" s="6">
        <v>0</v>
      </c>
      <c r="G1508" s="6">
        <v>11</v>
      </c>
      <c r="H1508" s="6" t="s">
        <v>28655</v>
      </c>
      <c r="I1508" s="6">
        <v>526.6875</v>
      </c>
      <c r="J1508" s="2">
        <f t="shared" si="23"/>
        <v>43748.543669652776</v>
      </c>
    </row>
    <row r="1509" spans="1:10" x14ac:dyDescent="0.25">
      <c r="A1509" s="7" t="s">
        <v>28656</v>
      </c>
      <c r="B1509" s="8">
        <v>393.75</v>
      </c>
      <c r="C1509" s="8">
        <v>20.584240000000001</v>
      </c>
      <c r="D1509" s="8">
        <v>49</v>
      </c>
      <c r="E1509" s="8">
        <v>0</v>
      </c>
      <c r="F1509" s="8">
        <v>0</v>
      </c>
      <c r="G1509" s="8">
        <v>11</v>
      </c>
      <c r="H1509" s="8" t="s">
        <v>28657</v>
      </c>
      <c r="I1509" s="8">
        <v>526.6875</v>
      </c>
      <c r="J1509" s="3">
        <f t="shared" si="23"/>
        <v>43748.543752743055</v>
      </c>
    </row>
    <row r="1510" spans="1:10" x14ac:dyDescent="0.25">
      <c r="A1510" s="5" t="s">
        <v>28658</v>
      </c>
      <c r="B1510" s="6">
        <v>393.75</v>
      </c>
      <c r="C1510" s="6">
        <v>20.584240000000001</v>
      </c>
      <c r="D1510" s="6">
        <v>49</v>
      </c>
      <c r="E1510" s="6">
        <v>0</v>
      </c>
      <c r="F1510" s="6">
        <v>0</v>
      </c>
      <c r="G1510" s="6">
        <v>9</v>
      </c>
      <c r="H1510" s="6" t="s">
        <v>28659</v>
      </c>
      <c r="I1510" s="6">
        <v>526.6875</v>
      </c>
      <c r="J1510" s="2">
        <f t="shared" si="23"/>
        <v>43748.543824513887</v>
      </c>
    </row>
    <row r="1511" spans="1:10" x14ac:dyDescent="0.25">
      <c r="A1511" s="7" t="s">
        <v>28660</v>
      </c>
      <c r="B1511" s="8">
        <v>393.75</v>
      </c>
      <c r="C1511" s="8">
        <v>20.584240000000001</v>
      </c>
      <c r="D1511" s="8">
        <v>47</v>
      </c>
      <c r="E1511" s="8">
        <v>0</v>
      </c>
      <c r="F1511" s="8">
        <v>0</v>
      </c>
      <c r="G1511" s="8">
        <v>13</v>
      </c>
      <c r="H1511" s="8" t="s">
        <v>28661</v>
      </c>
      <c r="I1511" s="8">
        <v>526.6875</v>
      </c>
      <c r="J1511" s="3">
        <f t="shared" si="23"/>
        <v>43748.543908310181</v>
      </c>
    </row>
    <row r="1512" spans="1:10" x14ac:dyDescent="0.25">
      <c r="A1512" s="5" t="s">
        <v>28662</v>
      </c>
      <c r="B1512" s="6">
        <v>393.75</v>
      </c>
      <c r="C1512" s="6">
        <v>20.531590000000001</v>
      </c>
      <c r="D1512" s="6">
        <v>48</v>
      </c>
      <c r="E1512" s="6">
        <v>0</v>
      </c>
      <c r="F1512" s="6">
        <v>0</v>
      </c>
      <c r="G1512" s="6">
        <v>5</v>
      </c>
      <c r="H1512" s="6" t="s">
        <v>28663</v>
      </c>
      <c r="I1512" s="6">
        <v>526.6875</v>
      </c>
      <c r="J1512" s="2">
        <f t="shared" si="23"/>
        <v>43748.543991759252</v>
      </c>
    </row>
    <row r="1513" spans="1:10" x14ac:dyDescent="0.25">
      <c r="A1513" s="7" t="s">
        <v>28664</v>
      </c>
      <c r="B1513" s="8">
        <v>393.75</v>
      </c>
      <c r="C1513" s="8">
        <v>20.584240000000001</v>
      </c>
      <c r="D1513" s="8">
        <v>48</v>
      </c>
      <c r="E1513" s="8">
        <v>0</v>
      </c>
      <c r="F1513" s="8">
        <v>0</v>
      </c>
      <c r="G1513" s="8">
        <v>11</v>
      </c>
      <c r="H1513" s="8" t="s">
        <v>28665</v>
      </c>
      <c r="I1513" s="8">
        <v>526.6875</v>
      </c>
      <c r="J1513" s="3">
        <f t="shared" si="23"/>
        <v>43748.544074976853</v>
      </c>
    </row>
    <row r="1514" spans="1:10" x14ac:dyDescent="0.25">
      <c r="A1514" s="5" t="s">
        <v>28666</v>
      </c>
      <c r="B1514" s="6">
        <v>421.875</v>
      </c>
      <c r="C1514" s="6">
        <v>20.584240000000001</v>
      </c>
      <c r="D1514" s="6">
        <v>48</v>
      </c>
      <c r="E1514" s="6">
        <v>0</v>
      </c>
      <c r="F1514" s="6">
        <v>0</v>
      </c>
      <c r="G1514" s="6">
        <v>7</v>
      </c>
      <c r="H1514" s="6" t="s">
        <v>28667</v>
      </c>
      <c r="I1514" s="6">
        <v>535.125</v>
      </c>
      <c r="J1514" s="2">
        <f t="shared" si="23"/>
        <v>43748.544146736109</v>
      </c>
    </row>
    <row r="1515" spans="1:10" x14ac:dyDescent="0.25">
      <c r="A1515" s="7" t="s">
        <v>28668</v>
      </c>
      <c r="B1515" s="8">
        <v>393.75</v>
      </c>
      <c r="C1515" s="8">
        <v>20.531590000000001</v>
      </c>
      <c r="D1515" s="8">
        <v>47</v>
      </c>
      <c r="E1515" s="8">
        <v>0</v>
      </c>
      <c r="F1515" s="8">
        <v>0</v>
      </c>
      <c r="G1515" s="8">
        <v>14</v>
      </c>
      <c r="H1515" s="8" t="s">
        <v>28669</v>
      </c>
      <c r="I1515" s="8">
        <v>526.6875</v>
      </c>
      <c r="J1515" s="3">
        <f t="shared" si="23"/>
        <v>43748.544218379626</v>
      </c>
    </row>
    <row r="1516" spans="1:10" x14ac:dyDescent="0.25">
      <c r="A1516" s="5" t="s">
        <v>28670</v>
      </c>
      <c r="B1516" s="6">
        <v>393.75</v>
      </c>
      <c r="C1516" s="6">
        <v>20.584240000000001</v>
      </c>
      <c r="D1516" s="6">
        <v>46</v>
      </c>
      <c r="E1516" s="6">
        <v>0</v>
      </c>
      <c r="F1516" s="6">
        <v>0</v>
      </c>
      <c r="G1516" s="6">
        <v>5</v>
      </c>
      <c r="H1516" s="6" t="s">
        <v>28671</v>
      </c>
      <c r="I1516" s="6">
        <v>526.6875</v>
      </c>
      <c r="J1516" s="2">
        <f t="shared" si="23"/>
        <v>43748.544301828697</v>
      </c>
    </row>
    <row r="1517" spans="1:10" x14ac:dyDescent="0.25">
      <c r="A1517" s="7" t="s">
        <v>28672</v>
      </c>
      <c r="B1517" s="8">
        <v>393.75</v>
      </c>
      <c r="C1517" s="8">
        <v>20.531590000000001</v>
      </c>
      <c r="D1517" s="8">
        <v>44</v>
      </c>
      <c r="E1517" s="8">
        <v>0</v>
      </c>
      <c r="F1517" s="8">
        <v>0</v>
      </c>
      <c r="G1517" s="8">
        <v>8</v>
      </c>
      <c r="H1517" s="8" t="s">
        <v>28673</v>
      </c>
      <c r="I1517" s="8">
        <v>526.6875</v>
      </c>
      <c r="J1517" s="3">
        <f t="shared" si="23"/>
        <v>43748.544373148143</v>
      </c>
    </row>
    <row r="1518" spans="1:10" x14ac:dyDescent="0.25">
      <c r="A1518" s="5" t="s">
        <v>28674</v>
      </c>
      <c r="B1518" s="6">
        <v>393.75</v>
      </c>
      <c r="C1518" s="6">
        <v>20.584240000000001</v>
      </c>
      <c r="D1518" s="6">
        <v>45</v>
      </c>
      <c r="E1518" s="6">
        <v>0</v>
      </c>
      <c r="F1518" s="6">
        <v>0</v>
      </c>
      <c r="G1518" s="6">
        <v>15</v>
      </c>
      <c r="H1518" s="6" t="s">
        <v>28675</v>
      </c>
      <c r="I1518" s="6">
        <v>526.6875</v>
      </c>
      <c r="J1518" s="2">
        <f t="shared" si="23"/>
        <v>43748.544456701384</v>
      </c>
    </row>
    <row r="1519" spans="1:10" x14ac:dyDescent="0.25">
      <c r="A1519" s="7" t="s">
        <v>28676</v>
      </c>
      <c r="B1519" s="8">
        <v>393.75</v>
      </c>
      <c r="C1519" s="8">
        <v>20.584240000000001</v>
      </c>
      <c r="D1519" s="8">
        <v>45</v>
      </c>
      <c r="E1519" s="8">
        <v>0</v>
      </c>
      <c r="F1519" s="8">
        <v>0</v>
      </c>
      <c r="G1519" s="8">
        <v>13</v>
      </c>
      <c r="H1519" s="8" t="s">
        <v>28677</v>
      </c>
      <c r="I1519" s="8">
        <v>526.875</v>
      </c>
      <c r="J1519" s="3">
        <f t="shared" si="23"/>
        <v>43748.544528194441</v>
      </c>
    </row>
    <row r="1520" spans="1:10" x14ac:dyDescent="0.25">
      <c r="A1520" s="5" t="s">
        <v>28678</v>
      </c>
      <c r="B1520" s="6">
        <v>393.75</v>
      </c>
      <c r="C1520" s="6">
        <v>20.531590000000001</v>
      </c>
      <c r="D1520" s="6">
        <v>45</v>
      </c>
      <c r="E1520" s="6">
        <v>0</v>
      </c>
      <c r="F1520" s="6">
        <v>0</v>
      </c>
      <c r="G1520" s="6">
        <v>12</v>
      </c>
      <c r="H1520" s="6" t="s">
        <v>28679</v>
      </c>
      <c r="I1520" s="6">
        <v>526.6875</v>
      </c>
      <c r="J1520" s="2">
        <f t="shared" si="23"/>
        <v>43748.544612025456</v>
      </c>
    </row>
    <row r="1521" spans="1:10" x14ac:dyDescent="0.25">
      <c r="A1521" s="7" t="s">
        <v>28680</v>
      </c>
      <c r="B1521" s="8">
        <v>393.75</v>
      </c>
      <c r="C1521" s="8">
        <v>20.531590000000001</v>
      </c>
      <c r="D1521" s="8">
        <v>45</v>
      </c>
      <c r="E1521" s="8">
        <v>0</v>
      </c>
      <c r="F1521" s="8">
        <v>0</v>
      </c>
      <c r="G1521" s="8">
        <v>15</v>
      </c>
      <c r="H1521" s="8" t="s">
        <v>28681</v>
      </c>
      <c r="I1521" s="8">
        <v>526.6875</v>
      </c>
      <c r="J1521" s="3">
        <f t="shared" si="23"/>
        <v>43748.544695451383</v>
      </c>
    </row>
    <row r="1522" spans="1:10" x14ac:dyDescent="0.25">
      <c r="A1522" s="5" t="s">
        <v>28682</v>
      </c>
      <c r="B1522" s="6">
        <v>393.75</v>
      </c>
      <c r="C1522" s="6">
        <v>20.584240000000001</v>
      </c>
      <c r="D1522" s="6">
        <v>46</v>
      </c>
      <c r="E1522" s="6">
        <v>0</v>
      </c>
      <c r="F1522" s="6">
        <v>0</v>
      </c>
      <c r="G1522" s="6">
        <v>22</v>
      </c>
      <c r="H1522" s="6" t="s">
        <v>28683</v>
      </c>
      <c r="I1522" s="6">
        <v>526.6875</v>
      </c>
      <c r="J1522" s="2">
        <f t="shared" si="23"/>
        <v>43748.544778668984</v>
      </c>
    </row>
    <row r="1523" spans="1:10" x14ac:dyDescent="0.25">
      <c r="A1523" s="7" t="s">
        <v>28684</v>
      </c>
      <c r="B1523" s="8">
        <v>393.75</v>
      </c>
      <c r="C1523" s="8">
        <v>20.584240000000001</v>
      </c>
      <c r="D1523" s="8">
        <v>46</v>
      </c>
      <c r="E1523" s="8">
        <v>0</v>
      </c>
      <c r="F1523" s="8">
        <v>0</v>
      </c>
      <c r="G1523" s="8">
        <v>12</v>
      </c>
      <c r="H1523" s="8" t="s">
        <v>28685</v>
      </c>
      <c r="I1523" s="8">
        <v>526.6875</v>
      </c>
      <c r="J1523" s="3">
        <f t="shared" si="23"/>
        <v>43748.54485032407</v>
      </c>
    </row>
    <row r="1524" spans="1:10" x14ac:dyDescent="0.25">
      <c r="A1524" s="5" t="s">
        <v>28686</v>
      </c>
      <c r="B1524" s="6">
        <v>393.75</v>
      </c>
      <c r="C1524" s="6">
        <v>20.584240000000001</v>
      </c>
      <c r="D1524" s="6">
        <v>47</v>
      </c>
      <c r="E1524" s="6">
        <v>0</v>
      </c>
      <c r="F1524" s="6">
        <v>0</v>
      </c>
      <c r="G1524" s="6">
        <v>18</v>
      </c>
      <c r="H1524" s="6" t="s">
        <v>28687</v>
      </c>
      <c r="I1524" s="6">
        <v>526.6875</v>
      </c>
      <c r="J1524" s="2">
        <f t="shared" si="23"/>
        <v>43748.544934259255</v>
      </c>
    </row>
    <row r="1525" spans="1:10" x14ac:dyDescent="0.25">
      <c r="A1525" s="7" t="s">
        <v>28688</v>
      </c>
      <c r="B1525" s="8">
        <v>393.75</v>
      </c>
      <c r="C1525" s="8">
        <v>20.584240000000001</v>
      </c>
      <c r="D1525" s="8">
        <v>47</v>
      </c>
      <c r="E1525" s="8">
        <v>0</v>
      </c>
      <c r="F1525" s="8">
        <v>0</v>
      </c>
      <c r="G1525" s="8">
        <v>14</v>
      </c>
      <c r="H1525" s="8" t="s">
        <v>28689</v>
      </c>
      <c r="I1525" s="8">
        <v>526.6875</v>
      </c>
      <c r="J1525" s="3">
        <f t="shared" si="23"/>
        <v>43748.545017569442</v>
      </c>
    </row>
    <row r="1526" spans="1:10" x14ac:dyDescent="0.25">
      <c r="A1526" s="5" t="s">
        <v>28690</v>
      </c>
      <c r="B1526" s="6">
        <v>393.75</v>
      </c>
      <c r="C1526" s="6">
        <v>20.584240000000001</v>
      </c>
      <c r="D1526" s="6">
        <v>47</v>
      </c>
      <c r="E1526" s="6">
        <v>0</v>
      </c>
      <c r="F1526" s="6">
        <v>0</v>
      </c>
      <c r="G1526" s="6">
        <v>12</v>
      </c>
      <c r="H1526" s="6" t="s">
        <v>28691</v>
      </c>
      <c r="I1526" s="6">
        <v>526.6875</v>
      </c>
      <c r="J1526" s="2">
        <f t="shared" si="23"/>
        <v>43748.545100902775</v>
      </c>
    </row>
    <row r="1527" spans="1:10" x14ac:dyDescent="0.25">
      <c r="A1527" s="7" t="s">
        <v>28692</v>
      </c>
      <c r="B1527" s="8">
        <v>393.75</v>
      </c>
      <c r="C1527" s="8">
        <v>20.531590000000001</v>
      </c>
      <c r="D1527" s="8">
        <v>48</v>
      </c>
      <c r="E1527" s="8">
        <v>0</v>
      </c>
      <c r="F1527" s="8">
        <v>0</v>
      </c>
      <c r="G1527" s="8">
        <v>19</v>
      </c>
      <c r="H1527" s="8" t="s">
        <v>28693</v>
      </c>
      <c r="I1527" s="8">
        <v>526.6875</v>
      </c>
      <c r="J1527" s="3">
        <f t="shared" si="23"/>
        <v>43748.545184571754</v>
      </c>
    </row>
    <row r="1528" spans="1:10" x14ac:dyDescent="0.25">
      <c r="A1528" s="5" t="s">
        <v>28694</v>
      </c>
      <c r="B1528" s="6">
        <v>393.75</v>
      </c>
      <c r="C1528" s="6">
        <v>20.584240000000001</v>
      </c>
      <c r="D1528" s="6">
        <v>48</v>
      </c>
      <c r="E1528" s="6">
        <v>0</v>
      </c>
      <c r="F1528" s="6">
        <v>0</v>
      </c>
      <c r="G1528" s="6">
        <v>14</v>
      </c>
      <c r="H1528" s="6" t="s">
        <v>28695</v>
      </c>
      <c r="I1528" s="6">
        <v>526.6875</v>
      </c>
      <c r="J1528" s="2">
        <f t="shared" si="23"/>
        <v>43748.545267696762</v>
      </c>
    </row>
    <row r="1529" spans="1:10" x14ac:dyDescent="0.25">
      <c r="A1529" s="7" t="s">
        <v>28696</v>
      </c>
      <c r="B1529" s="8">
        <v>393.75</v>
      </c>
      <c r="C1529" s="8">
        <v>20.531590000000001</v>
      </c>
      <c r="D1529" s="8">
        <v>48</v>
      </c>
      <c r="E1529" s="8">
        <v>0</v>
      </c>
      <c r="F1529" s="8">
        <v>0</v>
      </c>
      <c r="G1529" s="8">
        <v>15</v>
      </c>
      <c r="H1529" s="8" t="s">
        <v>28697</v>
      </c>
      <c r="I1529" s="8">
        <v>526.6875</v>
      </c>
      <c r="J1529" s="3">
        <f t="shared" si="23"/>
        <v>43748.545339699071</v>
      </c>
    </row>
    <row r="1530" spans="1:10" x14ac:dyDescent="0.25">
      <c r="A1530" s="5" t="s">
        <v>28698</v>
      </c>
      <c r="B1530" s="6">
        <v>393.75</v>
      </c>
      <c r="C1530" s="6">
        <v>20.584240000000001</v>
      </c>
      <c r="D1530" s="6">
        <v>48</v>
      </c>
      <c r="E1530" s="6">
        <v>0</v>
      </c>
      <c r="F1530" s="6">
        <v>0</v>
      </c>
      <c r="G1530" s="6">
        <v>19</v>
      </c>
      <c r="H1530" s="6" t="s">
        <v>28699</v>
      </c>
      <c r="I1530" s="6">
        <v>526.6875</v>
      </c>
      <c r="J1530" s="2">
        <f t="shared" si="23"/>
        <v>43748.545423124997</v>
      </c>
    </row>
    <row r="1531" spans="1:10" x14ac:dyDescent="0.25">
      <c r="A1531" s="7" t="s">
        <v>28700</v>
      </c>
      <c r="B1531" s="8">
        <v>393.75</v>
      </c>
      <c r="C1531" s="8">
        <v>20.531590000000001</v>
      </c>
      <c r="D1531" s="8">
        <v>48</v>
      </c>
      <c r="E1531" s="8">
        <v>0</v>
      </c>
      <c r="F1531" s="8">
        <v>0</v>
      </c>
      <c r="G1531" s="8">
        <v>17</v>
      </c>
      <c r="H1531" s="8" t="s">
        <v>28701</v>
      </c>
      <c r="I1531" s="8">
        <v>526.6875</v>
      </c>
      <c r="J1531" s="3">
        <f t="shared" si="23"/>
        <v>43748.545506562499</v>
      </c>
    </row>
    <row r="1532" spans="1:10" x14ac:dyDescent="0.25">
      <c r="A1532" s="5" t="s">
        <v>28702</v>
      </c>
      <c r="B1532" s="6">
        <v>393.75</v>
      </c>
      <c r="C1532" s="6">
        <v>20.584240000000001</v>
      </c>
      <c r="D1532" s="6">
        <v>47</v>
      </c>
      <c r="E1532" s="6">
        <v>0</v>
      </c>
      <c r="F1532" s="6">
        <v>0</v>
      </c>
      <c r="G1532" s="6">
        <v>16</v>
      </c>
      <c r="H1532" s="6" t="s">
        <v>28703</v>
      </c>
      <c r="I1532" s="6">
        <v>526.6875</v>
      </c>
      <c r="J1532" s="2">
        <f t="shared" si="23"/>
        <v>43748.545589803238</v>
      </c>
    </row>
    <row r="1533" spans="1:10" x14ac:dyDescent="0.25">
      <c r="A1533" s="7" t="s">
        <v>28704</v>
      </c>
      <c r="B1533" s="8">
        <v>412.5</v>
      </c>
      <c r="C1533" s="8">
        <v>20.531590000000001</v>
      </c>
      <c r="D1533" s="8">
        <v>47</v>
      </c>
      <c r="E1533" s="8">
        <v>0</v>
      </c>
      <c r="F1533" s="8">
        <v>0</v>
      </c>
      <c r="G1533" s="8">
        <v>14</v>
      </c>
      <c r="H1533" s="8" t="s">
        <v>28705</v>
      </c>
      <c r="I1533" s="8">
        <v>532.5</v>
      </c>
      <c r="J1533" s="3">
        <f t="shared" si="23"/>
        <v>43748.545661435179</v>
      </c>
    </row>
    <row r="1534" spans="1:10" x14ac:dyDescent="0.25">
      <c r="A1534" s="5" t="s">
        <v>28706</v>
      </c>
      <c r="B1534" s="6">
        <v>393.75</v>
      </c>
      <c r="C1534" s="6">
        <v>20.531590000000001</v>
      </c>
      <c r="D1534" s="6">
        <v>49</v>
      </c>
      <c r="E1534" s="6">
        <v>0</v>
      </c>
      <c r="F1534" s="6">
        <v>0</v>
      </c>
      <c r="G1534" s="6">
        <v>9</v>
      </c>
      <c r="H1534" s="6" t="s">
        <v>28707</v>
      </c>
      <c r="I1534" s="6">
        <v>526.6875</v>
      </c>
      <c r="J1534" s="2">
        <f t="shared" si="23"/>
        <v>43748.545757372682</v>
      </c>
    </row>
    <row r="1535" spans="1:10" x14ac:dyDescent="0.25">
      <c r="A1535" s="7" t="s">
        <v>28708</v>
      </c>
      <c r="B1535" s="8">
        <v>393.75</v>
      </c>
      <c r="C1535" s="8">
        <v>20.584240000000001</v>
      </c>
      <c r="D1535" s="8">
        <v>49</v>
      </c>
      <c r="E1535" s="8">
        <v>0</v>
      </c>
      <c r="F1535" s="8">
        <v>0</v>
      </c>
      <c r="G1535" s="8">
        <v>17</v>
      </c>
      <c r="H1535" s="8" t="s">
        <v>28709</v>
      </c>
      <c r="I1535" s="8">
        <v>526.6875</v>
      </c>
      <c r="J1535" s="3">
        <f t="shared" si="23"/>
        <v>43748.545828645831</v>
      </c>
    </row>
    <row r="1536" spans="1:10" x14ac:dyDescent="0.25">
      <c r="A1536" s="5" t="s">
        <v>28710</v>
      </c>
      <c r="B1536" s="6">
        <v>393.75</v>
      </c>
      <c r="C1536" s="6">
        <v>20.531590000000001</v>
      </c>
      <c r="D1536" s="6">
        <v>48</v>
      </c>
      <c r="E1536" s="6">
        <v>0</v>
      </c>
      <c r="F1536" s="6">
        <v>0</v>
      </c>
      <c r="G1536" s="6">
        <v>11</v>
      </c>
      <c r="H1536" s="6" t="s">
        <v>28711</v>
      </c>
      <c r="I1536" s="6">
        <v>526.6875</v>
      </c>
      <c r="J1536" s="2">
        <f t="shared" si="23"/>
        <v>43748.545911990739</v>
      </c>
    </row>
    <row r="1537" spans="1:10" x14ac:dyDescent="0.25">
      <c r="A1537" s="7" t="s">
        <v>28712</v>
      </c>
      <c r="B1537" s="8">
        <v>393.75</v>
      </c>
      <c r="C1537" s="8">
        <v>20.531590000000001</v>
      </c>
      <c r="D1537" s="8">
        <v>48</v>
      </c>
      <c r="E1537" s="8">
        <v>0</v>
      </c>
      <c r="F1537" s="8">
        <v>0</v>
      </c>
      <c r="G1537" s="8">
        <v>17</v>
      </c>
      <c r="H1537" s="8" t="s">
        <v>28713</v>
      </c>
      <c r="I1537" s="8">
        <v>526.6875</v>
      </c>
      <c r="J1537" s="3">
        <f t="shared" si="23"/>
        <v>43748.545983634256</v>
      </c>
    </row>
    <row r="1538" spans="1:10" x14ac:dyDescent="0.25">
      <c r="A1538" s="5" t="s">
        <v>28714</v>
      </c>
      <c r="B1538" s="6">
        <v>393.75</v>
      </c>
      <c r="C1538" s="6">
        <v>20.584240000000001</v>
      </c>
      <c r="D1538" s="6">
        <v>47</v>
      </c>
      <c r="E1538" s="6">
        <v>0</v>
      </c>
      <c r="F1538" s="6">
        <v>0</v>
      </c>
      <c r="G1538" s="6">
        <v>20</v>
      </c>
      <c r="H1538" s="6" t="s">
        <v>28715</v>
      </c>
      <c r="I1538" s="6">
        <v>526.6875</v>
      </c>
      <c r="J1538" s="2">
        <f t="shared" ref="J1538:J1601" si="24">(H1538/86400000)+25569+(7/24)</f>
        <v>43748.546067199073</v>
      </c>
    </row>
    <row r="1539" spans="1:10" x14ac:dyDescent="0.25">
      <c r="A1539" s="7" t="s">
        <v>28716</v>
      </c>
      <c r="B1539" s="8">
        <v>393.75</v>
      </c>
      <c r="C1539" s="8">
        <v>20.584240000000001</v>
      </c>
      <c r="D1539" s="8">
        <v>47</v>
      </c>
      <c r="E1539" s="8">
        <v>0</v>
      </c>
      <c r="F1539" s="8">
        <v>0</v>
      </c>
      <c r="G1539" s="8">
        <v>17</v>
      </c>
      <c r="H1539" s="8" t="s">
        <v>28717</v>
      </c>
      <c r="I1539" s="8">
        <v>526.6875</v>
      </c>
      <c r="J1539" s="3">
        <f t="shared" si="24"/>
        <v>43748.546150752314</v>
      </c>
    </row>
    <row r="1540" spans="1:10" x14ac:dyDescent="0.25">
      <c r="A1540" s="5" t="s">
        <v>28718</v>
      </c>
      <c r="B1540" s="6">
        <v>393.75</v>
      </c>
      <c r="C1540" s="6">
        <v>20.584240000000001</v>
      </c>
      <c r="D1540" s="6">
        <v>47</v>
      </c>
      <c r="E1540" s="6">
        <v>0</v>
      </c>
      <c r="F1540" s="6">
        <v>0</v>
      </c>
      <c r="G1540" s="6">
        <v>16</v>
      </c>
      <c r="H1540" s="6" t="s">
        <v>28719</v>
      </c>
      <c r="I1540" s="6">
        <v>526.6875</v>
      </c>
      <c r="J1540" s="2">
        <f t="shared" si="24"/>
        <v>43748.546234212961</v>
      </c>
    </row>
    <row r="1541" spans="1:10" x14ac:dyDescent="0.25">
      <c r="A1541" s="7" t="s">
        <v>28720</v>
      </c>
      <c r="B1541" s="8">
        <v>393.75</v>
      </c>
      <c r="C1541" s="8">
        <v>20.531590000000001</v>
      </c>
      <c r="D1541" s="8">
        <v>48</v>
      </c>
      <c r="E1541" s="8">
        <v>0</v>
      </c>
      <c r="F1541" s="8">
        <v>0</v>
      </c>
      <c r="G1541" s="8">
        <v>14</v>
      </c>
      <c r="H1541" s="8" t="s">
        <v>28721</v>
      </c>
      <c r="I1541" s="8">
        <v>526.6875</v>
      </c>
      <c r="J1541" s="3">
        <f t="shared" si="24"/>
        <v>43748.546317777778</v>
      </c>
    </row>
    <row r="1542" spans="1:10" x14ac:dyDescent="0.25">
      <c r="A1542" s="5" t="s">
        <v>28722</v>
      </c>
      <c r="B1542" s="6">
        <v>393.75</v>
      </c>
      <c r="C1542" s="6">
        <v>20.584240000000001</v>
      </c>
      <c r="D1542" s="6">
        <v>48</v>
      </c>
      <c r="E1542" s="6">
        <v>0</v>
      </c>
      <c r="F1542" s="6">
        <v>0</v>
      </c>
      <c r="G1542" s="6">
        <v>22</v>
      </c>
      <c r="H1542" s="6" t="s">
        <v>28723</v>
      </c>
      <c r="I1542" s="6">
        <v>526.6875</v>
      </c>
      <c r="J1542" s="2">
        <f t="shared" si="24"/>
        <v>43748.546400879626</v>
      </c>
    </row>
    <row r="1543" spans="1:10" x14ac:dyDescent="0.25">
      <c r="A1543" s="7" t="s">
        <v>28724</v>
      </c>
      <c r="B1543" s="8">
        <v>393.75</v>
      </c>
      <c r="C1543" s="8">
        <v>20.584240000000001</v>
      </c>
      <c r="D1543" s="8">
        <v>48</v>
      </c>
      <c r="E1543" s="8">
        <v>0</v>
      </c>
      <c r="F1543" s="8">
        <v>0</v>
      </c>
      <c r="G1543" s="8">
        <v>15</v>
      </c>
      <c r="H1543" s="8" t="s">
        <v>28725</v>
      </c>
      <c r="I1543" s="8">
        <v>526.6875</v>
      </c>
      <c r="J1543" s="3">
        <f t="shared" si="24"/>
        <v>43748.546472256938</v>
      </c>
    </row>
    <row r="1544" spans="1:10" x14ac:dyDescent="0.25">
      <c r="A1544" s="5" t="s">
        <v>28726</v>
      </c>
      <c r="B1544" s="6">
        <v>393.75</v>
      </c>
      <c r="C1544" s="6">
        <v>20.584240000000001</v>
      </c>
      <c r="D1544" s="6">
        <v>47</v>
      </c>
      <c r="E1544" s="6">
        <v>0</v>
      </c>
      <c r="F1544" s="6">
        <v>0</v>
      </c>
      <c r="G1544" s="6">
        <v>22</v>
      </c>
      <c r="H1544" s="6" t="s">
        <v>28727</v>
      </c>
      <c r="I1544" s="6">
        <v>526.6875</v>
      </c>
      <c r="J1544" s="2">
        <f t="shared" si="24"/>
        <v>43748.546544398145</v>
      </c>
    </row>
    <row r="1545" spans="1:10" x14ac:dyDescent="0.25">
      <c r="A1545" s="7" t="s">
        <v>28728</v>
      </c>
      <c r="B1545" s="8">
        <v>393.75</v>
      </c>
      <c r="C1545" s="8">
        <v>20.584240000000001</v>
      </c>
      <c r="D1545" s="8">
        <v>47</v>
      </c>
      <c r="E1545" s="8">
        <v>0</v>
      </c>
      <c r="F1545" s="8">
        <v>0</v>
      </c>
      <c r="G1545" s="8">
        <v>14</v>
      </c>
      <c r="H1545" s="8" t="s">
        <v>28729</v>
      </c>
      <c r="I1545" s="8">
        <v>526.6875</v>
      </c>
      <c r="J1545" s="3">
        <f t="shared" si="24"/>
        <v>43748.546627847223</v>
      </c>
    </row>
    <row r="1546" spans="1:10" x14ac:dyDescent="0.25">
      <c r="A1546" s="5" t="s">
        <v>28730</v>
      </c>
      <c r="B1546" s="6">
        <v>393.75</v>
      </c>
      <c r="C1546" s="6">
        <v>20.584240000000001</v>
      </c>
      <c r="D1546" s="6">
        <v>47</v>
      </c>
      <c r="E1546" s="6">
        <v>0</v>
      </c>
      <c r="F1546" s="6">
        <v>0</v>
      </c>
      <c r="G1546" s="6">
        <v>5</v>
      </c>
      <c r="H1546" s="6" t="s">
        <v>28731</v>
      </c>
      <c r="I1546" s="6">
        <v>526.6875</v>
      </c>
      <c r="J1546" s="2">
        <f t="shared" si="24"/>
        <v>43748.546699606479</v>
      </c>
    </row>
    <row r="1547" spans="1:10" x14ac:dyDescent="0.25">
      <c r="A1547" s="7" t="s">
        <v>28732</v>
      </c>
      <c r="B1547" s="8">
        <v>393.75</v>
      </c>
      <c r="C1547" s="8">
        <v>20.584240000000001</v>
      </c>
      <c r="D1547" s="8">
        <v>46</v>
      </c>
      <c r="E1547" s="8">
        <v>0</v>
      </c>
      <c r="F1547" s="8">
        <v>0</v>
      </c>
      <c r="G1547" s="8">
        <v>12</v>
      </c>
      <c r="H1547" s="8" t="s">
        <v>28733</v>
      </c>
      <c r="I1547" s="8">
        <v>526.6875</v>
      </c>
      <c r="J1547" s="3">
        <f t="shared" si="24"/>
        <v>43748.546783067126</v>
      </c>
    </row>
    <row r="1548" spans="1:10" x14ac:dyDescent="0.25">
      <c r="A1548" s="5" t="s">
        <v>28734</v>
      </c>
      <c r="B1548" s="6">
        <v>393.75</v>
      </c>
      <c r="C1548" s="6">
        <v>20.584240000000001</v>
      </c>
      <c r="D1548" s="6">
        <v>45</v>
      </c>
      <c r="E1548" s="6">
        <v>0</v>
      </c>
      <c r="F1548" s="6">
        <v>0</v>
      </c>
      <c r="G1548" s="6">
        <v>7</v>
      </c>
      <c r="H1548" s="6" t="s">
        <v>28735</v>
      </c>
      <c r="I1548" s="6">
        <v>526.6875</v>
      </c>
      <c r="J1548" s="2">
        <f t="shared" si="24"/>
        <v>43748.546854583336</v>
      </c>
    </row>
    <row r="1549" spans="1:10" x14ac:dyDescent="0.25">
      <c r="A1549" s="7" t="s">
        <v>28736</v>
      </c>
      <c r="B1549" s="8">
        <v>393.75</v>
      </c>
      <c r="C1549" s="8">
        <v>20.584240000000001</v>
      </c>
      <c r="D1549" s="8">
        <v>45</v>
      </c>
      <c r="E1549" s="8">
        <v>0</v>
      </c>
      <c r="F1549" s="8">
        <v>0</v>
      </c>
      <c r="G1549" s="8">
        <v>14</v>
      </c>
      <c r="H1549" s="8" t="s">
        <v>28737</v>
      </c>
      <c r="I1549" s="8">
        <v>526.6875</v>
      </c>
      <c r="J1549" s="3">
        <f t="shared" si="24"/>
        <v>43748.546937905092</v>
      </c>
    </row>
    <row r="1550" spans="1:10" x14ac:dyDescent="0.25">
      <c r="A1550" s="5" t="s">
        <v>28738</v>
      </c>
      <c r="B1550" s="6">
        <v>393.75</v>
      </c>
      <c r="C1550" s="6">
        <v>20.584240000000001</v>
      </c>
      <c r="D1550" s="6">
        <v>45</v>
      </c>
      <c r="E1550" s="6">
        <v>0</v>
      </c>
      <c r="F1550" s="6">
        <v>0</v>
      </c>
      <c r="G1550" s="6">
        <v>11</v>
      </c>
      <c r="H1550" s="6" t="s">
        <v>28739</v>
      </c>
      <c r="I1550" s="6">
        <v>526.6875</v>
      </c>
      <c r="J1550" s="2">
        <f t="shared" si="24"/>
        <v>43748.547021481478</v>
      </c>
    </row>
    <row r="1551" spans="1:10" x14ac:dyDescent="0.25">
      <c r="A1551" s="7" t="s">
        <v>28740</v>
      </c>
      <c r="B1551" s="8">
        <v>393.75</v>
      </c>
      <c r="C1551" s="8">
        <v>20.584240000000001</v>
      </c>
      <c r="D1551" s="8">
        <v>46</v>
      </c>
      <c r="E1551" s="8">
        <v>0</v>
      </c>
      <c r="F1551" s="8">
        <v>0</v>
      </c>
      <c r="G1551" s="8">
        <v>14</v>
      </c>
      <c r="H1551" s="8" t="s">
        <v>28741</v>
      </c>
      <c r="I1551" s="8">
        <v>526.6875</v>
      </c>
      <c r="J1551" s="3">
        <f t="shared" si="24"/>
        <v>43748.547104687495</v>
      </c>
    </row>
    <row r="1552" spans="1:10" x14ac:dyDescent="0.25">
      <c r="A1552" s="5" t="s">
        <v>28742</v>
      </c>
      <c r="B1552" s="6">
        <v>412.5</v>
      </c>
      <c r="C1552" s="6">
        <v>20.584240000000001</v>
      </c>
      <c r="D1552" s="6">
        <v>46</v>
      </c>
      <c r="E1552" s="6">
        <v>0</v>
      </c>
      <c r="F1552" s="6">
        <v>0</v>
      </c>
      <c r="G1552" s="6">
        <v>12</v>
      </c>
      <c r="H1552" s="6" t="s">
        <v>28743</v>
      </c>
      <c r="I1552" s="6">
        <v>532.3125</v>
      </c>
      <c r="J1552" s="2">
        <f t="shared" si="24"/>
        <v>43748.547176319444</v>
      </c>
    </row>
    <row r="1553" spans="1:10" x14ac:dyDescent="0.25">
      <c r="A1553" s="7" t="s">
        <v>28744</v>
      </c>
      <c r="B1553" s="8">
        <v>393.75</v>
      </c>
      <c r="C1553" s="8">
        <v>20.584240000000001</v>
      </c>
      <c r="D1553" s="8">
        <v>47</v>
      </c>
      <c r="E1553" s="8">
        <v>0</v>
      </c>
      <c r="F1553" s="8">
        <v>0</v>
      </c>
      <c r="G1553" s="8">
        <v>5</v>
      </c>
      <c r="H1553" s="8" t="s">
        <v>28745</v>
      </c>
      <c r="I1553" s="8">
        <v>526.6875</v>
      </c>
      <c r="J1553" s="3">
        <f t="shared" si="24"/>
        <v>43748.547260138883</v>
      </c>
    </row>
    <row r="1554" spans="1:10" x14ac:dyDescent="0.25">
      <c r="A1554" s="5" t="s">
        <v>28746</v>
      </c>
      <c r="B1554" s="6">
        <v>393.75</v>
      </c>
      <c r="C1554" s="6">
        <v>20.531590000000001</v>
      </c>
      <c r="D1554" s="6">
        <v>48</v>
      </c>
      <c r="E1554" s="6">
        <v>0</v>
      </c>
      <c r="F1554" s="6">
        <v>0</v>
      </c>
      <c r="G1554" s="6">
        <v>20</v>
      </c>
      <c r="H1554" s="6" t="s">
        <v>28747</v>
      </c>
      <c r="I1554" s="6">
        <v>526.6875</v>
      </c>
      <c r="J1554" s="2">
        <f t="shared" si="24"/>
        <v>43748.547343587961</v>
      </c>
    </row>
    <row r="1555" spans="1:10" x14ac:dyDescent="0.25">
      <c r="A1555" s="7" t="s">
        <v>28748</v>
      </c>
      <c r="B1555" s="8">
        <v>393.75</v>
      </c>
      <c r="C1555" s="8">
        <v>20.531590000000001</v>
      </c>
      <c r="D1555" s="8">
        <v>47</v>
      </c>
      <c r="E1555" s="8">
        <v>0</v>
      </c>
      <c r="F1555" s="8">
        <v>0</v>
      </c>
      <c r="G1555" s="8">
        <v>8</v>
      </c>
      <c r="H1555" s="8" t="s">
        <v>28749</v>
      </c>
      <c r="I1555" s="8">
        <v>526.6875</v>
      </c>
      <c r="J1555" s="3">
        <f t="shared" si="24"/>
        <v>43748.547426817131</v>
      </c>
    </row>
    <row r="1556" spans="1:10" x14ac:dyDescent="0.25">
      <c r="A1556" s="5" t="s">
        <v>28750</v>
      </c>
      <c r="B1556" s="6">
        <v>393.75</v>
      </c>
      <c r="C1556" s="6">
        <v>20.584240000000001</v>
      </c>
      <c r="D1556" s="6">
        <v>47</v>
      </c>
      <c r="E1556" s="6">
        <v>0</v>
      </c>
      <c r="F1556" s="6">
        <v>0</v>
      </c>
      <c r="G1556" s="6">
        <v>7</v>
      </c>
      <c r="H1556" s="6" t="s">
        <v>28751</v>
      </c>
      <c r="I1556" s="6">
        <v>526.6875</v>
      </c>
      <c r="J1556" s="2">
        <f t="shared" si="24"/>
        <v>43748.547498449072</v>
      </c>
    </row>
    <row r="1557" spans="1:10" x14ac:dyDescent="0.25">
      <c r="A1557" s="7" t="s">
        <v>28752</v>
      </c>
      <c r="B1557" s="8">
        <v>393.75</v>
      </c>
      <c r="C1557" s="8">
        <v>20.584240000000001</v>
      </c>
      <c r="D1557" s="8">
        <v>46</v>
      </c>
      <c r="E1557" s="8">
        <v>0</v>
      </c>
      <c r="F1557" s="8">
        <v>0</v>
      </c>
      <c r="G1557" s="8">
        <v>13</v>
      </c>
      <c r="H1557" s="8" t="s">
        <v>28753</v>
      </c>
      <c r="I1557" s="8">
        <v>526.6875</v>
      </c>
      <c r="J1557" s="3">
        <f t="shared" si="24"/>
        <v>43748.547582349536</v>
      </c>
    </row>
    <row r="1558" spans="1:10" x14ac:dyDescent="0.25">
      <c r="A1558" s="5" t="s">
        <v>28754</v>
      </c>
      <c r="B1558" s="6">
        <v>393.75</v>
      </c>
      <c r="C1558" s="6">
        <v>20.531590000000001</v>
      </c>
      <c r="D1558" s="6">
        <v>46</v>
      </c>
      <c r="E1558" s="6">
        <v>0</v>
      </c>
      <c r="F1558" s="6">
        <v>0</v>
      </c>
      <c r="G1558" s="6">
        <v>14</v>
      </c>
      <c r="H1558" s="6" t="s">
        <v>28755</v>
      </c>
      <c r="I1558" s="6">
        <v>526.6875</v>
      </c>
      <c r="J1558" s="2">
        <f t="shared" si="24"/>
        <v>43748.547665694445</v>
      </c>
    </row>
    <row r="1559" spans="1:10" x14ac:dyDescent="0.25">
      <c r="A1559" s="7" t="s">
        <v>28756</v>
      </c>
      <c r="B1559" s="8">
        <v>393.75</v>
      </c>
      <c r="C1559" s="8">
        <v>20.584240000000001</v>
      </c>
      <c r="D1559" s="8">
        <v>47</v>
      </c>
      <c r="E1559" s="8">
        <v>0</v>
      </c>
      <c r="F1559" s="8">
        <v>0</v>
      </c>
      <c r="G1559" s="8">
        <v>21</v>
      </c>
      <c r="H1559" s="8" t="s">
        <v>28757</v>
      </c>
      <c r="I1559" s="8">
        <v>526.6875</v>
      </c>
      <c r="J1559" s="3">
        <f t="shared" si="24"/>
        <v>43748.547749016201</v>
      </c>
    </row>
    <row r="1560" spans="1:10" x14ac:dyDescent="0.25">
      <c r="A1560" s="5" t="s">
        <v>28758</v>
      </c>
      <c r="B1560" s="6">
        <v>393.75</v>
      </c>
      <c r="C1560" s="6">
        <v>20.584240000000001</v>
      </c>
      <c r="D1560" s="6">
        <v>47</v>
      </c>
      <c r="E1560" s="6">
        <v>0</v>
      </c>
      <c r="F1560" s="6">
        <v>0</v>
      </c>
      <c r="G1560" s="6">
        <v>15</v>
      </c>
      <c r="H1560" s="6" t="s">
        <v>28759</v>
      </c>
      <c r="I1560" s="6">
        <v>526.6875</v>
      </c>
      <c r="J1560" s="2">
        <f t="shared" si="24"/>
        <v>43748.547820775457</v>
      </c>
    </row>
    <row r="1561" spans="1:10" x14ac:dyDescent="0.25">
      <c r="A1561" s="7" t="s">
        <v>28760</v>
      </c>
      <c r="B1561" s="8">
        <v>393.75</v>
      </c>
      <c r="C1561" s="8">
        <v>20.584240000000001</v>
      </c>
      <c r="D1561" s="8">
        <v>49</v>
      </c>
      <c r="E1561" s="8">
        <v>0</v>
      </c>
      <c r="F1561" s="8">
        <v>0</v>
      </c>
      <c r="G1561" s="8">
        <v>19</v>
      </c>
      <c r="H1561" s="8" t="s">
        <v>28761</v>
      </c>
      <c r="I1561" s="8">
        <v>526.5</v>
      </c>
      <c r="J1561" s="3">
        <f t="shared" si="24"/>
        <v>43748.547904340274</v>
      </c>
    </row>
    <row r="1562" spans="1:10" x14ac:dyDescent="0.25">
      <c r="A1562" s="5" t="s">
        <v>28762</v>
      </c>
      <c r="B1562" s="6">
        <v>393.75</v>
      </c>
      <c r="C1562" s="6">
        <v>20.584240000000001</v>
      </c>
      <c r="D1562" s="6">
        <v>49</v>
      </c>
      <c r="E1562" s="6">
        <v>0</v>
      </c>
      <c r="F1562" s="6">
        <v>0</v>
      </c>
      <c r="G1562" s="6">
        <v>5</v>
      </c>
      <c r="H1562" s="6" t="s">
        <v>28763</v>
      </c>
      <c r="I1562" s="6">
        <v>526.6875</v>
      </c>
      <c r="J1562" s="2">
        <f t="shared" si="24"/>
        <v>43748.547987789345</v>
      </c>
    </row>
    <row r="1563" spans="1:10" x14ac:dyDescent="0.25">
      <c r="A1563" s="7" t="s">
        <v>28764</v>
      </c>
      <c r="B1563" s="8">
        <v>393.75</v>
      </c>
      <c r="C1563" s="8">
        <v>20.584240000000001</v>
      </c>
      <c r="D1563" s="8">
        <v>48</v>
      </c>
      <c r="E1563" s="8">
        <v>0</v>
      </c>
      <c r="F1563" s="8">
        <v>0</v>
      </c>
      <c r="G1563" s="8">
        <v>11</v>
      </c>
      <c r="H1563" s="8" t="s">
        <v>28765</v>
      </c>
      <c r="I1563" s="8">
        <v>526.6875</v>
      </c>
      <c r="J1563" s="3">
        <f t="shared" si="24"/>
        <v>43748.548087627314</v>
      </c>
    </row>
    <row r="1564" spans="1:10" x14ac:dyDescent="0.25">
      <c r="A1564" s="5" t="s">
        <v>28766</v>
      </c>
      <c r="B1564" s="6">
        <v>418.75</v>
      </c>
      <c r="C1564" s="6">
        <v>20.531590000000001</v>
      </c>
      <c r="D1564" s="6">
        <v>46</v>
      </c>
      <c r="E1564" s="6">
        <v>0</v>
      </c>
      <c r="F1564" s="6">
        <v>0</v>
      </c>
      <c r="G1564" s="6">
        <v>13</v>
      </c>
      <c r="H1564" s="6" t="s">
        <v>28767</v>
      </c>
      <c r="I1564" s="6">
        <v>534.5625</v>
      </c>
      <c r="J1564" s="2">
        <f t="shared" si="24"/>
        <v>43748.548166736109</v>
      </c>
    </row>
    <row r="1565" spans="1:10" x14ac:dyDescent="0.25">
      <c r="A1565" s="7" t="s">
        <v>28768</v>
      </c>
      <c r="B1565" s="8">
        <v>393.75</v>
      </c>
      <c r="C1565" s="8">
        <v>20.531590000000001</v>
      </c>
      <c r="D1565" s="8">
        <v>46</v>
      </c>
      <c r="E1565" s="8">
        <v>0</v>
      </c>
      <c r="F1565" s="8">
        <v>0</v>
      </c>
      <c r="G1565" s="8">
        <v>13</v>
      </c>
      <c r="H1565" s="8" t="s">
        <v>28769</v>
      </c>
      <c r="I1565" s="8">
        <v>526.6875</v>
      </c>
      <c r="J1565" s="3">
        <f t="shared" si="24"/>
        <v>43748.548250185187</v>
      </c>
    </row>
    <row r="1566" spans="1:10" x14ac:dyDescent="0.25">
      <c r="A1566" s="5" t="s">
        <v>28770</v>
      </c>
      <c r="B1566" s="6">
        <v>393.75</v>
      </c>
      <c r="C1566" s="6">
        <v>20.584240000000001</v>
      </c>
      <c r="D1566" s="6">
        <v>46</v>
      </c>
      <c r="E1566" s="6">
        <v>0</v>
      </c>
      <c r="F1566" s="6">
        <v>0</v>
      </c>
      <c r="G1566" s="6">
        <v>12</v>
      </c>
      <c r="H1566" s="6" t="s">
        <v>28771</v>
      </c>
      <c r="I1566" s="6">
        <v>526.6875</v>
      </c>
      <c r="J1566" s="2">
        <f t="shared" si="24"/>
        <v>43748.548333749997</v>
      </c>
    </row>
    <row r="1567" spans="1:10" x14ac:dyDescent="0.25">
      <c r="A1567" s="7" t="s">
        <v>28772</v>
      </c>
      <c r="B1567" s="8">
        <v>393.75</v>
      </c>
      <c r="C1567" s="8">
        <v>20.584240000000001</v>
      </c>
      <c r="D1567" s="8">
        <v>45</v>
      </c>
      <c r="E1567" s="8">
        <v>0</v>
      </c>
      <c r="F1567" s="8">
        <v>0</v>
      </c>
      <c r="G1567" s="8">
        <v>12</v>
      </c>
      <c r="H1567" s="8" t="s">
        <v>28773</v>
      </c>
      <c r="I1567" s="8">
        <v>526.6875</v>
      </c>
      <c r="J1567" s="3">
        <f t="shared" si="24"/>
        <v>43748.548418495368</v>
      </c>
    </row>
    <row r="1568" spans="1:10" x14ac:dyDescent="0.25">
      <c r="A1568" s="5" t="s">
        <v>28774</v>
      </c>
      <c r="B1568" s="6">
        <v>393.75</v>
      </c>
      <c r="C1568" s="6">
        <v>20.584240000000001</v>
      </c>
      <c r="D1568" s="6">
        <v>46</v>
      </c>
      <c r="E1568" s="6">
        <v>0</v>
      </c>
      <c r="F1568" s="6">
        <v>0</v>
      </c>
      <c r="G1568" s="6">
        <v>21</v>
      </c>
      <c r="H1568" s="6" t="s">
        <v>28775</v>
      </c>
      <c r="I1568" s="6">
        <v>526.5</v>
      </c>
      <c r="J1568" s="2">
        <f t="shared" si="24"/>
        <v>43748.548500902776</v>
      </c>
    </row>
    <row r="1569" spans="1:10" x14ac:dyDescent="0.25">
      <c r="A1569" s="7" t="s">
        <v>28776</v>
      </c>
      <c r="B1569" s="8">
        <v>412.5</v>
      </c>
      <c r="C1569" s="8">
        <v>20.584240000000001</v>
      </c>
      <c r="D1569" s="8">
        <v>45</v>
      </c>
      <c r="E1569" s="8">
        <v>0</v>
      </c>
      <c r="F1569" s="8">
        <v>0</v>
      </c>
      <c r="G1569" s="8">
        <v>11</v>
      </c>
      <c r="H1569" s="8" t="s">
        <v>28777</v>
      </c>
      <c r="I1569" s="8">
        <v>532.3125</v>
      </c>
      <c r="J1569" s="3">
        <f t="shared" si="24"/>
        <v>43748.548584236109</v>
      </c>
    </row>
    <row r="1570" spans="1:10" x14ac:dyDescent="0.25">
      <c r="A1570" s="5" t="s">
        <v>28778</v>
      </c>
      <c r="B1570" s="6">
        <v>393.75</v>
      </c>
      <c r="C1570" s="6">
        <v>20.584240000000001</v>
      </c>
      <c r="D1570" s="6">
        <v>47</v>
      </c>
      <c r="E1570" s="6">
        <v>0</v>
      </c>
      <c r="F1570" s="6">
        <v>0</v>
      </c>
      <c r="G1570" s="6">
        <v>10</v>
      </c>
      <c r="H1570" s="6" t="s">
        <v>28779</v>
      </c>
      <c r="I1570" s="6">
        <v>526.5</v>
      </c>
      <c r="J1570" s="2">
        <f t="shared" si="24"/>
        <v>43748.54866763889</v>
      </c>
    </row>
    <row r="1571" spans="1:10" x14ac:dyDescent="0.25">
      <c r="A1571" s="7" t="s">
        <v>28780</v>
      </c>
      <c r="B1571" s="8">
        <v>393.75</v>
      </c>
      <c r="C1571" s="8">
        <v>20.584240000000001</v>
      </c>
      <c r="D1571" s="8">
        <v>47</v>
      </c>
      <c r="E1571" s="8">
        <v>0</v>
      </c>
      <c r="F1571" s="8">
        <v>0</v>
      </c>
      <c r="G1571" s="8">
        <v>20</v>
      </c>
      <c r="H1571" s="8" t="s">
        <v>28781</v>
      </c>
      <c r="I1571" s="8">
        <v>526.6875</v>
      </c>
      <c r="J1571" s="3">
        <f t="shared" si="24"/>
        <v>43748.548739212965</v>
      </c>
    </row>
    <row r="1572" spans="1:10" x14ac:dyDescent="0.25">
      <c r="A1572" s="5" t="s">
        <v>28782</v>
      </c>
      <c r="B1572" s="6">
        <v>393.75</v>
      </c>
      <c r="C1572" s="6">
        <v>20.584240000000001</v>
      </c>
      <c r="D1572" s="6">
        <v>48</v>
      </c>
      <c r="E1572" s="6">
        <v>0</v>
      </c>
      <c r="F1572" s="6">
        <v>0</v>
      </c>
      <c r="G1572" s="6">
        <v>9</v>
      </c>
      <c r="H1572" s="6" t="s">
        <v>28783</v>
      </c>
      <c r="I1572" s="6">
        <v>526.6875</v>
      </c>
      <c r="J1572" s="2">
        <f t="shared" si="24"/>
        <v>43748.548822870369</v>
      </c>
    </row>
    <row r="1573" spans="1:10" x14ac:dyDescent="0.25">
      <c r="A1573" s="7" t="s">
        <v>28784</v>
      </c>
      <c r="B1573" s="8">
        <v>393.75</v>
      </c>
      <c r="C1573" s="8">
        <v>20.531590000000001</v>
      </c>
      <c r="D1573" s="8">
        <v>47</v>
      </c>
      <c r="E1573" s="8">
        <v>0</v>
      </c>
      <c r="F1573" s="8">
        <v>0</v>
      </c>
      <c r="G1573" s="8">
        <v>6</v>
      </c>
      <c r="H1573" s="8" t="s">
        <v>28785</v>
      </c>
      <c r="I1573" s="8">
        <v>526.6875</v>
      </c>
      <c r="J1573" s="3">
        <f t="shared" si="24"/>
        <v>43748.548920891197</v>
      </c>
    </row>
    <row r="1574" spans="1:10" x14ac:dyDescent="0.25">
      <c r="A1574" s="5" t="s">
        <v>28786</v>
      </c>
      <c r="B1574" s="6">
        <v>393.75</v>
      </c>
      <c r="C1574" s="6">
        <v>20.531590000000001</v>
      </c>
      <c r="D1574" s="6">
        <v>49</v>
      </c>
      <c r="E1574" s="6">
        <v>0</v>
      </c>
      <c r="F1574" s="6">
        <v>0</v>
      </c>
      <c r="G1574" s="6">
        <v>6</v>
      </c>
      <c r="H1574" s="6" t="s">
        <v>28787</v>
      </c>
      <c r="I1574" s="6">
        <v>526.6875</v>
      </c>
      <c r="J1574" s="2">
        <f t="shared" si="24"/>
        <v>43748.549001701387</v>
      </c>
    </row>
    <row r="1575" spans="1:10" x14ac:dyDescent="0.25">
      <c r="A1575" s="7" t="s">
        <v>28788</v>
      </c>
      <c r="B1575" s="8">
        <v>393.75</v>
      </c>
      <c r="C1575" s="8">
        <v>20.584240000000001</v>
      </c>
      <c r="D1575" s="8">
        <v>49</v>
      </c>
      <c r="E1575" s="8">
        <v>0</v>
      </c>
      <c r="F1575" s="8">
        <v>0</v>
      </c>
      <c r="G1575" s="8">
        <v>14</v>
      </c>
      <c r="H1575" s="8" t="s">
        <v>28789</v>
      </c>
      <c r="I1575" s="8">
        <v>526.6875</v>
      </c>
      <c r="J1575" s="3">
        <f t="shared" si="24"/>
        <v>43748.549073368056</v>
      </c>
    </row>
    <row r="1576" spans="1:10" x14ac:dyDescent="0.25">
      <c r="A1576" s="5" t="s">
        <v>28790</v>
      </c>
      <c r="B1576" s="6">
        <v>393.75</v>
      </c>
      <c r="C1576" s="6">
        <v>20.531590000000001</v>
      </c>
      <c r="D1576" s="6">
        <v>50</v>
      </c>
      <c r="E1576" s="6">
        <v>0</v>
      </c>
      <c r="F1576" s="6">
        <v>0</v>
      </c>
      <c r="G1576" s="6">
        <v>11</v>
      </c>
      <c r="H1576" s="6" t="s">
        <v>28791</v>
      </c>
      <c r="I1576" s="6">
        <v>526.6875</v>
      </c>
      <c r="J1576" s="2">
        <f t="shared" si="24"/>
        <v>43748.549156446759</v>
      </c>
    </row>
    <row r="1577" spans="1:10" x14ac:dyDescent="0.25">
      <c r="A1577" s="7" t="s">
        <v>28792</v>
      </c>
      <c r="B1577" s="8">
        <v>393.75</v>
      </c>
      <c r="C1577" s="8">
        <v>20.584240000000001</v>
      </c>
      <c r="D1577" s="8">
        <v>50</v>
      </c>
      <c r="E1577" s="8">
        <v>0</v>
      </c>
      <c r="F1577" s="8">
        <v>0</v>
      </c>
      <c r="G1577" s="8">
        <v>9</v>
      </c>
      <c r="H1577" s="8" t="s">
        <v>28793</v>
      </c>
      <c r="I1577" s="8">
        <v>526.5</v>
      </c>
      <c r="J1577" s="3">
        <f t="shared" si="24"/>
        <v>43748.549228310185</v>
      </c>
    </row>
    <row r="1578" spans="1:10" x14ac:dyDescent="0.25">
      <c r="A1578" s="5" t="s">
        <v>28794</v>
      </c>
      <c r="B1578" s="6">
        <v>393.75</v>
      </c>
      <c r="C1578" s="6">
        <v>20.584240000000001</v>
      </c>
      <c r="D1578" s="6">
        <v>50</v>
      </c>
      <c r="E1578" s="6">
        <v>0</v>
      </c>
      <c r="F1578" s="6">
        <v>0</v>
      </c>
      <c r="G1578" s="6">
        <v>16</v>
      </c>
      <c r="H1578" s="6" t="s">
        <v>28795</v>
      </c>
      <c r="I1578" s="6">
        <v>526.6875</v>
      </c>
      <c r="J1578" s="2">
        <f t="shared" si="24"/>
        <v>43748.549312152776</v>
      </c>
    </row>
    <row r="1579" spans="1:10" x14ac:dyDescent="0.25">
      <c r="A1579" s="7" t="s">
        <v>28796</v>
      </c>
      <c r="B1579" s="8">
        <v>412.5</v>
      </c>
      <c r="C1579" s="8">
        <v>20.584240000000001</v>
      </c>
      <c r="D1579" s="8">
        <v>55</v>
      </c>
      <c r="E1579" s="8">
        <v>0</v>
      </c>
      <c r="F1579" s="8">
        <v>0</v>
      </c>
      <c r="G1579" s="8">
        <v>16</v>
      </c>
      <c r="H1579" s="8" t="s">
        <v>28797</v>
      </c>
      <c r="I1579" s="8">
        <v>532.6875</v>
      </c>
      <c r="J1579" s="3">
        <f t="shared" si="24"/>
        <v>43748.549395347225</v>
      </c>
    </row>
    <row r="1580" spans="1:10" x14ac:dyDescent="0.25">
      <c r="A1580" s="5" t="s">
        <v>28798</v>
      </c>
      <c r="B1580" s="6">
        <v>393.75</v>
      </c>
      <c r="C1580" s="6">
        <v>20.584240000000001</v>
      </c>
      <c r="D1580" s="6">
        <v>52</v>
      </c>
      <c r="E1580" s="6">
        <v>0</v>
      </c>
      <c r="F1580" s="6">
        <v>0</v>
      </c>
      <c r="G1580" s="6">
        <v>18</v>
      </c>
      <c r="H1580" s="6" t="s">
        <v>28799</v>
      </c>
      <c r="I1580" s="6">
        <v>526.5</v>
      </c>
      <c r="J1580" s="2">
        <f t="shared" si="24"/>
        <v>43748.549478668974</v>
      </c>
    </row>
    <row r="1581" spans="1:10" x14ac:dyDescent="0.25">
      <c r="A1581" s="7" t="s">
        <v>28800</v>
      </c>
      <c r="B1581" s="8">
        <v>393.75</v>
      </c>
      <c r="C1581" s="8">
        <v>20.584240000000001</v>
      </c>
      <c r="D1581" s="8">
        <v>52</v>
      </c>
      <c r="E1581" s="8">
        <v>0</v>
      </c>
      <c r="F1581" s="8">
        <v>0</v>
      </c>
      <c r="G1581" s="8">
        <v>10</v>
      </c>
      <c r="H1581" s="8" t="s">
        <v>28801</v>
      </c>
      <c r="I1581" s="8">
        <v>526.6875</v>
      </c>
      <c r="J1581" s="3">
        <f t="shared" si="24"/>
        <v>43748.549550439813</v>
      </c>
    </row>
    <row r="1582" spans="1:10" x14ac:dyDescent="0.25">
      <c r="A1582" s="5" t="s">
        <v>28802</v>
      </c>
      <c r="B1582" s="6">
        <v>393.75</v>
      </c>
      <c r="C1582" s="6">
        <v>20.584240000000001</v>
      </c>
      <c r="D1582" s="6">
        <v>49</v>
      </c>
      <c r="E1582" s="6">
        <v>0</v>
      </c>
      <c r="F1582" s="6">
        <v>0</v>
      </c>
      <c r="G1582" s="6">
        <v>15</v>
      </c>
      <c r="H1582" s="6" t="s">
        <v>28803</v>
      </c>
      <c r="I1582" s="6">
        <v>526.6875</v>
      </c>
      <c r="J1582" s="2">
        <f t="shared" si="24"/>
        <v>43748.549622060185</v>
      </c>
    </row>
    <row r="1583" spans="1:10" x14ac:dyDescent="0.25">
      <c r="A1583" s="7" t="s">
        <v>28804</v>
      </c>
      <c r="B1583" s="8">
        <v>393.75</v>
      </c>
      <c r="C1583" s="8">
        <v>20.531590000000001</v>
      </c>
      <c r="D1583" s="8">
        <v>48</v>
      </c>
      <c r="E1583" s="8">
        <v>0</v>
      </c>
      <c r="F1583" s="8">
        <v>0</v>
      </c>
      <c r="G1583" s="8">
        <v>15</v>
      </c>
      <c r="H1583" s="8" t="s">
        <v>28805</v>
      </c>
      <c r="I1583" s="8">
        <v>526.6875</v>
      </c>
      <c r="J1583" s="3">
        <f t="shared" si="24"/>
        <v>43748.549705613426</v>
      </c>
    </row>
    <row r="1584" spans="1:10" x14ac:dyDescent="0.25">
      <c r="A1584" s="5" t="s">
        <v>28806</v>
      </c>
      <c r="B1584" s="6">
        <v>393.75</v>
      </c>
      <c r="C1584" s="6">
        <v>20.584240000000001</v>
      </c>
      <c r="D1584" s="6">
        <v>48</v>
      </c>
      <c r="E1584" s="6">
        <v>0</v>
      </c>
      <c r="F1584" s="6">
        <v>0</v>
      </c>
      <c r="G1584" s="6">
        <v>12</v>
      </c>
      <c r="H1584" s="6" t="s">
        <v>28807</v>
      </c>
      <c r="I1584" s="6">
        <v>526.6875</v>
      </c>
      <c r="J1584" s="2">
        <f t="shared" si="24"/>
        <v>43748.549777175918</v>
      </c>
    </row>
    <row r="1585" spans="1:10" x14ac:dyDescent="0.25">
      <c r="A1585" s="7" t="s">
        <v>28808</v>
      </c>
      <c r="B1585" s="8">
        <v>412.5</v>
      </c>
      <c r="C1585" s="8">
        <v>20.531590000000001</v>
      </c>
      <c r="D1585" s="8">
        <v>48</v>
      </c>
      <c r="E1585" s="8">
        <v>0</v>
      </c>
      <c r="F1585" s="8">
        <v>0</v>
      </c>
      <c r="G1585" s="8">
        <v>18</v>
      </c>
      <c r="H1585" s="8" t="s">
        <v>28809</v>
      </c>
      <c r="I1585" s="8">
        <v>532.5</v>
      </c>
      <c r="J1585" s="3">
        <f t="shared" si="24"/>
        <v>43748.549860254629</v>
      </c>
    </row>
    <row r="1586" spans="1:10" x14ac:dyDescent="0.25">
      <c r="A1586" s="5" t="s">
        <v>28810</v>
      </c>
      <c r="B1586" s="6">
        <v>393.75</v>
      </c>
      <c r="C1586" s="6">
        <v>20.584240000000001</v>
      </c>
      <c r="D1586" s="6">
        <v>48</v>
      </c>
      <c r="E1586" s="6">
        <v>0</v>
      </c>
      <c r="F1586" s="6">
        <v>0</v>
      </c>
      <c r="G1586" s="6">
        <v>15</v>
      </c>
      <c r="H1586" s="6" t="s">
        <v>28811</v>
      </c>
      <c r="I1586" s="6">
        <v>526.6875</v>
      </c>
      <c r="J1586" s="2">
        <f t="shared" si="24"/>
        <v>43748.549931909722</v>
      </c>
    </row>
    <row r="1587" spans="1:10" x14ac:dyDescent="0.25">
      <c r="A1587" s="7" t="s">
        <v>28812</v>
      </c>
      <c r="B1587" s="8">
        <v>393.75</v>
      </c>
      <c r="C1587" s="8">
        <v>20.531590000000001</v>
      </c>
      <c r="D1587" s="8">
        <v>48</v>
      </c>
      <c r="E1587" s="8">
        <v>0</v>
      </c>
      <c r="F1587" s="8">
        <v>0</v>
      </c>
      <c r="G1587" s="8">
        <v>8</v>
      </c>
      <c r="H1587" s="8" t="s">
        <v>28813</v>
      </c>
      <c r="I1587" s="8">
        <v>526.6875</v>
      </c>
      <c r="J1587" s="3">
        <f t="shared" si="24"/>
        <v>43748.55001579861</v>
      </c>
    </row>
    <row r="1588" spans="1:10" x14ac:dyDescent="0.25">
      <c r="A1588" s="5" t="s">
        <v>28814</v>
      </c>
      <c r="B1588" s="6">
        <v>393.75</v>
      </c>
      <c r="C1588" s="6">
        <v>20.531590000000001</v>
      </c>
      <c r="D1588" s="6">
        <v>48</v>
      </c>
      <c r="E1588" s="6">
        <v>0</v>
      </c>
      <c r="F1588" s="6">
        <v>0</v>
      </c>
      <c r="G1588" s="6">
        <v>10</v>
      </c>
      <c r="H1588" s="6" t="s">
        <v>28815</v>
      </c>
      <c r="I1588" s="6">
        <v>526.6875</v>
      </c>
      <c r="J1588" s="2">
        <f t="shared" si="24"/>
        <v>43748.550099155087</v>
      </c>
    </row>
    <row r="1589" spans="1:10" x14ac:dyDescent="0.25">
      <c r="A1589" s="7" t="s">
        <v>28816</v>
      </c>
      <c r="B1589" s="8">
        <v>393.75</v>
      </c>
      <c r="C1589" s="8">
        <v>20.531590000000001</v>
      </c>
      <c r="D1589" s="8">
        <v>48</v>
      </c>
      <c r="E1589" s="8">
        <v>0</v>
      </c>
      <c r="F1589" s="8">
        <v>0</v>
      </c>
      <c r="G1589" s="8">
        <v>18</v>
      </c>
      <c r="H1589" s="8" t="s">
        <v>28817</v>
      </c>
      <c r="I1589" s="8">
        <v>526.6875</v>
      </c>
      <c r="J1589" s="3">
        <f t="shared" si="24"/>
        <v>43748.550182372688</v>
      </c>
    </row>
    <row r="1590" spans="1:10" x14ac:dyDescent="0.25">
      <c r="A1590" s="5" t="s">
        <v>28818</v>
      </c>
      <c r="B1590" s="6">
        <v>393.75</v>
      </c>
      <c r="C1590" s="6">
        <v>20.584240000000001</v>
      </c>
      <c r="D1590" s="6">
        <v>48</v>
      </c>
      <c r="E1590" s="6">
        <v>0</v>
      </c>
      <c r="F1590" s="6">
        <v>0</v>
      </c>
      <c r="G1590" s="6">
        <v>17</v>
      </c>
      <c r="H1590" s="6" t="s">
        <v>28819</v>
      </c>
      <c r="I1590" s="6">
        <v>526.6875</v>
      </c>
      <c r="J1590" s="2">
        <f t="shared" si="24"/>
        <v>43748.550254178241</v>
      </c>
    </row>
    <row r="1591" spans="1:10" x14ac:dyDescent="0.25">
      <c r="A1591" s="7" t="s">
        <v>28820</v>
      </c>
      <c r="B1591" s="8">
        <v>393.75</v>
      </c>
      <c r="C1591" s="8">
        <v>20.531590000000001</v>
      </c>
      <c r="D1591" s="8">
        <v>50</v>
      </c>
      <c r="E1591" s="8">
        <v>0</v>
      </c>
      <c r="F1591" s="8">
        <v>0</v>
      </c>
      <c r="G1591" s="8">
        <v>9</v>
      </c>
      <c r="H1591" s="8" t="s">
        <v>28821</v>
      </c>
      <c r="I1591" s="8">
        <v>526.6875</v>
      </c>
      <c r="J1591" s="3">
        <f t="shared" si="24"/>
        <v>43748.550349849531</v>
      </c>
    </row>
    <row r="1592" spans="1:10" x14ac:dyDescent="0.25">
      <c r="A1592" s="5" t="s">
        <v>28822</v>
      </c>
      <c r="B1592" s="6">
        <v>393.75</v>
      </c>
      <c r="C1592" s="6">
        <v>20.584240000000001</v>
      </c>
      <c r="D1592" s="6">
        <v>50</v>
      </c>
      <c r="E1592" s="6">
        <v>0</v>
      </c>
      <c r="F1592" s="6">
        <v>0</v>
      </c>
      <c r="G1592" s="6">
        <v>8</v>
      </c>
      <c r="H1592" s="6" t="s">
        <v>28823</v>
      </c>
      <c r="I1592" s="6">
        <v>526.6875</v>
      </c>
      <c r="J1592" s="2">
        <f t="shared" si="24"/>
        <v>43748.550421261571</v>
      </c>
    </row>
    <row r="1593" spans="1:10" x14ac:dyDescent="0.25">
      <c r="A1593" s="7" t="s">
        <v>28824</v>
      </c>
      <c r="B1593" s="8">
        <v>393.75</v>
      </c>
      <c r="C1593" s="8">
        <v>20.531590000000001</v>
      </c>
      <c r="D1593" s="8">
        <v>50</v>
      </c>
      <c r="E1593" s="8">
        <v>0</v>
      </c>
      <c r="F1593" s="8">
        <v>0</v>
      </c>
      <c r="G1593" s="8">
        <v>12</v>
      </c>
      <c r="H1593" s="8" t="s">
        <v>28825</v>
      </c>
      <c r="I1593" s="8">
        <v>526.6875</v>
      </c>
      <c r="J1593" s="3">
        <f t="shared" si="24"/>
        <v>43748.550504606479</v>
      </c>
    </row>
    <row r="1594" spans="1:10" x14ac:dyDescent="0.25">
      <c r="A1594" s="5" t="s">
        <v>28826</v>
      </c>
      <c r="B1594" s="6">
        <v>393.75</v>
      </c>
      <c r="C1594" s="6">
        <v>20.584240000000001</v>
      </c>
      <c r="D1594" s="6">
        <v>49</v>
      </c>
      <c r="E1594" s="6">
        <v>0</v>
      </c>
      <c r="F1594" s="6">
        <v>0</v>
      </c>
      <c r="G1594" s="6">
        <v>20</v>
      </c>
      <c r="H1594" s="6" t="s">
        <v>28827</v>
      </c>
      <c r="I1594" s="6">
        <v>526.6875</v>
      </c>
      <c r="J1594" s="2">
        <f t="shared" si="24"/>
        <v>43748.550588252314</v>
      </c>
    </row>
    <row r="1595" spans="1:10" x14ac:dyDescent="0.25">
      <c r="A1595" s="7" t="s">
        <v>28828</v>
      </c>
      <c r="B1595" s="8">
        <v>393.75</v>
      </c>
      <c r="C1595" s="8">
        <v>20.584240000000001</v>
      </c>
      <c r="D1595" s="8">
        <v>50</v>
      </c>
      <c r="E1595" s="8">
        <v>0</v>
      </c>
      <c r="F1595" s="8">
        <v>0</v>
      </c>
      <c r="G1595" s="8">
        <v>14</v>
      </c>
      <c r="H1595" s="8" t="s">
        <v>28829</v>
      </c>
      <c r="I1595" s="8">
        <v>526.6875</v>
      </c>
      <c r="J1595" s="3">
        <f t="shared" si="24"/>
        <v>43748.55067196759</v>
      </c>
    </row>
    <row r="1596" spans="1:10" x14ac:dyDescent="0.25">
      <c r="A1596" s="5" t="s">
        <v>28830</v>
      </c>
      <c r="B1596" s="6">
        <v>393.75</v>
      </c>
      <c r="C1596" s="6">
        <v>20.584240000000001</v>
      </c>
      <c r="D1596" s="6">
        <v>50</v>
      </c>
      <c r="E1596" s="6">
        <v>0</v>
      </c>
      <c r="F1596" s="6">
        <v>0</v>
      </c>
      <c r="G1596" s="6">
        <v>15</v>
      </c>
      <c r="H1596" s="6" t="s">
        <v>28831</v>
      </c>
      <c r="I1596" s="6">
        <v>526.6875</v>
      </c>
      <c r="J1596" s="2">
        <f t="shared" si="24"/>
        <v>43748.550743009262</v>
      </c>
    </row>
    <row r="1597" spans="1:10" x14ac:dyDescent="0.25">
      <c r="A1597" s="7" t="s">
        <v>28832</v>
      </c>
      <c r="B1597" s="8">
        <v>393.75</v>
      </c>
      <c r="C1597" s="8">
        <v>20.584240000000001</v>
      </c>
      <c r="D1597" s="8">
        <v>50</v>
      </c>
      <c r="E1597" s="8">
        <v>0</v>
      </c>
      <c r="F1597" s="8">
        <v>0</v>
      </c>
      <c r="G1597" s="8">
        <v>20</v>
      </c>
      <c r="H1597" s="8" t="s">
        <v>28833</v>
      </c>
      <c r="I1597" s="8">
        <v>526.6875</v>
      </c>
      <c r="J1597" s="3">
        <f t="shared" si="24"/>
        <v>43748.550826817132</v>
      </c>
    </row>
    <row r="1598" spans="1:10" x14ac:dyDescent="0.25">
      <c r="A1598" s="5" t="s">
        <v>28834</v>
      </c>
      <c r="B1598" s="6">
        <v>412.5</v>
      </c>
      <c r="C1598" s="6">
        <v>20.584240000000001</v>
      </c>
      <c r="D1598" s="6">
        <v>48</v>
      </c>
      <c r="E1598" s="6">
        <v>0</v>
      </c>
      <c r="F1598" s="6">
        <v>0</v>
      </c>
      <c r="G1598" s="6">
        <v>17</v>
      </c>
      <c r="H1598" s="6" t="s">
        <v>28835</v>
      </c>
      <c r="I1598" s="6">
        <v>532.3125</v>
      </c>
      <c r="J1598" s="2">
        <f t="shared" si="24"/>
        <v>43748.550910266196</v>
      </c>
    </row>
    <row r="1599" spans="1:10" x14ac:dyDescent="0.25">
      <c r="A1599" s="7" t="s">
        <v>28836</v>
      </c>
      <c r="B1599" s="8">
        <v>393.75</v>
      </c>
      <c r="C1599" s="8">
        <v>20.584240000000001</v>
      </c>
      <c r="D1599" s="8">
        <v>45</v>
      </c>
      <c r="E1599" s="8">
        <v>0</v>
      </c>
      <c r="F1599" s="8">
        <v>0</v>
      </c>
      <c r="G1599" s="8">
        <v>4</v>
      </c>
      <c r="H1599" s="8" t="s">
        <v>28837</v>
      </c>
      <c r="I1599" s="8">
        <v>526.6875</v>
      </c>
      <c r="J1599" s="3">
        <f t="shared" si="24"/>
        <v>43748.550993483797</v>
      </c>
    </row>
    <row r="1600" spans="1:10" x14ac:dyDescent="0.25">
      <c r="A1600" s="5" t="s">
        <v>28838</v>
      </c>
      <c r="B1600" s="6">
        <v>393.75</v>
      </c>
      <c r="C1600" s="6">
        <v>20.584240000000001</v>
      </c>
      <c r="D1600" s="6">
        <v>45</v>
      </c>
      <c r="E1600" s="6">
        <v>0</v>
      </c>
      <c r="F1600" s="6">
        <v>0</v>
      </c>
      <c r="G1600" s="6">
        <v>13</v>
      </c>
      <c r="H1600" s="6" t="s">
        <v>28839</v>
      </c>
      <c r="I1600" s="6">
        <v>526.6875</v>
      </c>
      <c r="J1600" s="2">
        <f t="shared" si="24"/>
        <v>43748.551065370368</v>
      </c>
    </row>
    <row r="1601" spans="1:10" x14ac:dyDescent="0.25">
      <c r="A1601" s="7" t="s">
        <v>28840</v>
      </c>
      <c r="B1601" s="8">
        <v>393.75</v>
      </c>
      <c r="C1601" s="8">
        <v>20.584240000000001</v>
      </c>
      <c r="D1601" s="8">
        <v>46</v>
      </c>
      <c r="E1601" s="8">
        <v>0</v>
      </c>
      <c r="F1601" s="8">
        <v>0</v>
      </c>
      <c r="G1601" s="8">
        <v>11</v>
      </c>
      <c r="H1601" s="8" t="s">
        <v>28841</v>
      </c>
      <c r="I1601" s="8">
        <v>526.6875</v>
      </c>
      <c r="J1601" s="3">
        <f t="shared" si="24"/>
        <v>43748.551160983792</v>
      </c>
    </row>
    <row r="1602" spans="1:10" x14ac:dyDescent="0.25">
      <c r="A1602" s="5" t="s">
        <v>28842</v>
      </c>
      <c r="B1602" s="6">
        <v>393.75</v>
      </c>
      <c r="C1602" s="6">
        <v>20.584240000000001</v>
      </c>
      <c r="D1602" s="6">
        <v>46</v>
      </c>
      <c r="E1602" s="6">
        <v>0</v>
      </c>
      <c r="F1602" s="6">
        <v>0</v>
      </c>
      <c r="G1602" s="6">
        <v>13</v>
      </c>
      <c r="H1602" s="6" t="s">
        <v>28843</v>
      </c>
      <c r="I1602" s="6">
        <v>526.6875</v>
      </c>
      <c r="J1602" s="2">
        <f t="shared" ref="J1602:J1665" si="25">(H1602/86400000)+25569+(7/24)</f>
        <v>43748.551232280086</v>
      </c>
    </row>
    <row r="1603" spans="1:10" x14ac:dyDescent="0.25">
      <c r="A1603" s="7" t="s">
        <v>28844</v>
      </c>
      <c r="B1603" s="8">
        <v>412.5</v>
      </c>
      <c r="C1603" s="8">
        <v>20.531590000000001</v>
      </c>
      <c r="D1603" s="8">
        <v>48</v>
      </c>
      <c r="E1603" s="8">
        <v>0</v>
      </c>
      <c r="F1603" s="8">
        <v>0</v>
      </c>
      <c r="G1603" s="8">
        <v>24</v>
      </c>
      <c r="H1603" s="8" t="s">
        <v>28845</v>
      </c>
      <c r="I1603" s="8">
        <v>532.3125</v>
      </c>
      <c r="J1603" s="3">
        <f t="shared" si="25"/>
        <v>43748.551315740733</v>
      </c>
    </row>
    <row r="1604" spans="1:10" x14ac:dyDescent="0.25">
      <c r="A1604" s="5" t="s">
        <v>28846</v>
      </c>
      <c r="B1604" s="6">
        <v>393.75</v>
      </c>
      <c r="C1604" s="6">
        <v>20.584240000000001</v>
      </c>
      <c r="D1604" s="6">
        <v>50</v>
      </c>
      <c r="E1604" s="6">
        <v>0</v>
      </c>
      <c r="F1604" s="6">
        <v>0</v>
      </c>
      <c r="G1604" s="6">
        <v>16</v>
      </c>
      <c r="H1604" s="6" t="s">
        <v>28847</v>
      </c>
      <c r="I1604" s="6">
        <v>526.6875</v>
      </c>
      <c r="J1604" s="2">
        <f t="shared" si="25"/>
        <v>43748.551399282405</v>
      </c>
    </row>
    <row r="1605" spans="1:10" x14ac:dyDescent="0.25">
      <c r="A1605" s="7" t="s">
        <v>28848</v>
      </c>
      <c r="B1605" s="8">
        <v>393.75</v>
      </c>
      <c r="C1605" s="8">
        <v>20.584240000000001</v>
      </c>
      <c r="D1605" s="8">
        <v>50</v>
      </c>
      <c r="E1605" s="8">
        <v>0</v>
      </c>
      <c r="F1605" s="8">
        <v>0</v>
      </c>
      <c r="G1605" s="8">
        <v>10</v>
      </c>
      <c r="H1605" s="8" t="s">
        <v>28849</v>
      </c>
      <c r="I1605" s="8">
        <v>526.6875</v>
      </c>
      <c r="J1605" s="3">
        <f t="shared" si="25"/>
        <v>43748.55148238426</v>
      </c>
    </row>
    <row r="1606" spans="1:10" x14ac:dyDescent="0.25">
      <c r="A1606" s="5" t="s">
        <v>28850</v>
      </c>
      <c r="B1606" s="6">
        <v>393.75</v>
      </c>
      <c r="C1606" s="6">
        <v>20.584240000000001</v>
      </c>
      <c r="D1606" s="6">
        <v>50</v>
      </c>
      <c r="E1606" s="6">
        <v>0</v>
      </c>
      <c r="F1606" s="6">
        <v>0</v>
      </c>
      <c r="G1606" s="6">
        <v>14</v>
      </c>
      <c r="H1606" s="6" t="s">
        <v>28851</v>
      </c>
      <c r="I1606" s="6">
        <v>526.6875</v>
      </c>
      <c r="J1606" s="2">
        <f t="shared" si="25"/>
        <v>43748.551566284725</v>
      </c>
    </row>
    <row r="1607" spans="1:10" x14ac:dyDescent="0.25">
      <c r="A1607" s="7" t="s">
        <v>28852</v>
      </c>
      <c r="B1607" s="8">
        <v>393.75</v>
      </c>
      <c r="C1607" s="8">
        <v>20.531590000000001</v>
      </c>
      <c r="D1607" s="8">
        <v>50</v>
      </c>
      <c r="E1607" s="8">
        <v>0</v>
      </c>
      <c r="F1607" s="8">
        <v>0</v>
      </c>
      <c r="G1607" s="8">
        <v>24</v>
      </c>
      <c r="H1607" s="8" t="s">
        <v>28853</v>
      </c>
      <c r="I1607" s="8">
        <v>526.6875</v>
      </c>
      <c r="J1607" s="3">
        <f t="shared" si="25"/>
        <v>43748.551637951387</v>
      </c>
    </row>
    <row r="1608" spans="1:10" x14ac:dyDescent="0.25">
      <c r="A1608" s="5" t="s">
        <v>28854</v>
      </c>
      <c r="B1608" s="6">
        <v>428.125</v>
      </c>
      <c r="C1608" s="6">
        <v>20.584240000000001</v>
      </c>
      <c r="D1608" s="6">
        <v>49</v>
      </c>
      <c r="E1608" s="6">
        <v>0</v>
      </c>
      <c r="F1608" s="6">
        <v>0</v>
      </c>
      <c r="G1608" s="6">
        <v>23</v>
      </c>
      <c r="H1608" s="6" t="s">
        <v>28855</v>
      </c>
      <c r="I1608" s="6">
        <v>537</v>
      </c>
      <c r="J1608" s="2">
        <f t="shared" si="25"/>
        <v>43748.551721296295</v>
      </c>
    </row>
    <row r="1609" spans="1:10" x14ac:dyDescent="0.25">
      <c r="A1609" s="7" t="s">
        <v>28856</v>
      </c>
      <c r="B1609" s="8">
        <v>393.75</v>
      </c>
      <c r="C1609" s="8">
        <v>20.584240000000001</v>
      </c>
      <c r="D1609" s="8">
        <v>52</v>
      </c>
      <c r="E1609" s="8">
        <v>0</v>
      </c>
      <c r="F1609" s="8">
        <v>0</v>
      </c>
      <c r="G1609" s="8">
        <v>17</v>
      </c>
      <c r="H1609" s="8" t="s">
        <v>28857</v>
      </c>
      <c r="I1609" s="8">
        <v>526.5</v>
      </c>
      <c r="J1609" s="3">
        <f t="shared" si="25"/>
        <v>43748.551804606475</v>
      </c>
    </row>
    <row r="1610" spans="1:10" x14ac:dyDescent="0.25">
      <c r="A1610" s="5" t="s">
        <v>28858</v>
      </c>
      <c r="B1610" s="6">
        <v>393.75</v>
      </c>
      <c r="C1610" s="6">
        <v>20.584240000000001</v>
      </c>
      <c r="D1610" s="6">
        <v>52</v>
      </c>
      <c r="E1610" s="6">
        <v>0</v>
      </c>
      <c r="F1610" s="6">
        <v>0</v>
      </c>
      <c r="G1610" s="6">
        <v>21</v>
      </c>
      <c r="H1610" s="6" t="s">
        <v>28859</v>
      </c>
      <c r="I1610" s="6">
        <v>526.6875</v>
      </c>
      <c r="J1610" s="2">
        <f t="shared" si="25"/>
        <v>43748.551876238424</v>
      </c>
    </row>
    <row r="1611" spans="1:10" x14ac:dyDescent="0.25">
      <c r="A1611" s="7" t="s">
        <v>28860</v>
      </c>
      <c r="B1611" s="8">
        <v>412.5</v>
      </c>
      <c r="C1611" s="8">
        <v>20.531590000000001</v>
      </c>
      <c r="D1611" s="8">
        <v>50</v>
      </c>
      <c r="E1611" s="8">
        <v>0</v>
      </c>
      <c r="F1611" s="8">
        <v>0</v>
      </c>
      <c r="G1611" s="8">
        <v>23</v>
      </c>
      <c r="H1611" s="8" t="s">
        <v>28861</v>
      </c>
      <c r="I1611" s="8">
        <v>532.3125</v>
      </c>
      <c r="J1611" s="3">
        <f t="shared" si="25"/>
        <v>43748.551947905093</v>
      </c>
    </row>
    <row r="1612" spans="1:10" x14ac:dyDescent="0.25">
      <c r="A1612" s="5" t="s">
        <v>28862</v>
      </c>
      <c r="B1612" s="6">
        <v>393.75</v>
      </c>
      <c r="C1612" s="6">
        <v>20.531590000000001</v>
      </c>
      <c r="D1612" s="6">
        <v>52</v>
      </c>
      <c r="E1612" s="6">
        <v>0</v>
      </c>
      <c r="F1612" s="6">
        <v>0</v>
      </c>
      <c r="G1612" s="6">
        <v>18</v>
      </c>
      <c r="H1612" s="6" t="s">
        <v>28863</v>
      </c>
      <c r="I1612" s="6">
        <v>526.6875</v>
      </c>
      <c r="J1612" s="2">
        <f t="shared" si="25"/>
        <v>43748.552031585648</v>
      </c>
    </row>
    <row r="1613" spans="1:10" x14ac:dyDescent="0.25">
      <c r="A1613" s="7" t="s">
        <v>28864</v>
      </c>
      <c r="B1613" s="8">
        <v>393.75</v>
      </c>
      <c r="C1613" s="8">
        <v>20.584240000000001</v>
      </c>
      <c r="D1613" s="8">
        <v>52</v>
      </c>
      <c r="E1613" s="8">
        <v>0</v>
      </c>
      <c r="F1613" s="8">
        <v>0</v>
      </c>
      <c r="G1613" s="8">
        <v>13</v>
      </c>
      <c r="H1613" s="8" t="s">
        <v>28865</v>
      </c>
      <c r="I1613" s="8">
        <v>526.6875</v>
      </c>
      <c r="J1613" s="3">
        <f t="shared" si="25"/>
        <v>43748.55211493055</v>
      </c>
    </row>
    <row r="1614" spans="1:10" x14ac:dyDescent="0.25">
      <c r="A1614" s="5" t="s">
        <v>28866</v>
      </c>
      <c r="B1614" s="6">
        <v>393.75</v>
      </c>
      <c r="C1614" s="6">
        <v>20.584240000000001</v>
      </c>
      <c r="D1614" s="6">
        <v>51</v>
      </c>
      <c r="E1614" s="6">
        <v>0</v>
      </c>
      <c r="F1614" s="6">
        <v>0</v>
      </c>
      <c r="G1614" s="6">
        <v>22</v>
      </c>
      <c r="H1614" s="6" t="s">
        <v>28867</v>
      </c>
      <c r="I1614" s="6">
        <v>526.6875</v>
      </c>
      <c r="J1614" s="2">
        <f t="shared" si="25"/>
        <v>43748.552198344907</v>
      </c>
    </row>
    <row r="1615" spans="1:10" x14ac:dyDescent="0.25">
      <c r="A1615" s="7" t="s">
        <v>28868</v>
      </c>
      <c r="B1615" s="8">
        <v>393.75</v>
      </c>
      <c r="C1615" s="8">
        <v>20.531590000000001</v>
      </c>
      <c r="D1615" s="8">
        <v>50</v>
      </c>
      <c r="E1615" s="8">
        <v>0</v>
      </c>
      <c r="F1615" s="8">
        <v>0</v>
      </c>
      <c r="G1615" s="8">
        <v>15</v>
      </c>
      <c r="H1615" s="8" t="s">
        <v>28869</v>
      </c>
      <c r="I1615" s="8">
        <v>526.6875</v>
      </c>
      <c r="J1615" s="3">
        <f t="shared" si="25"/>
        <v>43748.552281909717</v>
      </c>
    </row>
    <row r="1616" spans="1:10" x14ac:dyDescent="0.25">
      <c r="A1616" s="5" t="s">
        <v>28870</v>
      </c>
      <c r="B1616" s="6">
        <v>393.75</v>
      </c>
      <c r="C1616" s="6">
        <v>20.584240000000001</v>
      </c>
      <c r="D1616" s="6">
        <v>50</v>
      </c>
      <c r="E1616" s="6">
        <v>0</v>
      </c>
      <c r="F1616" s="6">
        <v>0</v>
      </c>
      <c r="G1616" s="6">
        <v>20</v>
      </c>
      <c r="H1616" s="6" t="s">
        <v>28871</v>
      </c>
      <c r="I1616" s="6">
        <v>526.6875</v>
      </c>
      <c r="J1616" s="2">
        <f t="shared" si="25"/>
        <v>43748.55237730324</v>
      </c>
    </row>
    <row r="1617" spans="1:10" x14ac:dyDescent="0.25">
      <c r="A1617" s="7" t="s">
        <v>28872</v>
      </c>
      <c r="B1617" s="8">
        <v>393.75</v>
      </c>
      <c r="C1617" s="8">
        <v>20.584240000000001</v>
      </c>
      <c r="D1617" s="8">
        <v>48</v>
      </c>
      <c r="E1617" s="8">
        <v>0</v>
      </c>
      <c r="F1617" s="8">
        <v>0</v>
      </c>
      <c r="G1617" s="8">
        <v>18</v>
      </c>
      <c r="H1617" s="8" t="s">
        <v>28873</v>
      </c>
      <c r="I1617" s="8">
        <v>526.6875</v>
      </c>
      <c r="J1617" s="3">
        <f t="shared" si="25"/>
        <v>43748.552460856481</v>
      </c>
    </row>
    <row r="1618" spans="1:10" x14ac:dyDescent="0.25">
      <c r="A1618" s="5" t="s">
        <v>28874</v>
      </c>
      <c r="B1618" s="6">
        <v>393.75</v>
      </c>
      <c r="C1618" s="6">
        <v>20.531590000000001</v>
      </c>
      <c r="D1618" s="6">
        <v>49</v>
      </c>
      <c r="E1618" s="6">
        <v>0</v>
      </c>
      <c r="F1618" s="6">
        <v>0</v>
      </c>
      <c r="G1618" s="6">
        <v>13</v>
      </c>
      <c r="H1618" s="6" t="s">
        <v>28875</v>
      </c>
      <c r="I1618" s="6">
        <v>526.6875</v>
      </c>
      <c r="J1618" s="2">
        <f t="shared" si="25"/>
        <v>43748.552532384252</v>
      </c>
    </row>
    <row r="1619" spans="1:10" x14ac:dyDescent="0.25">
      <c r="A1619" s="7" t="s">
        <v>28876</v>
      </c>
      <c r="B1619" s="8">
        <v>393.75</v>
      </c>
      <c r="C1619" s="8">
        <v>20.531590000000001</v>
      </c>
      <c r="D1619" s="8">
        <v>49</v>
      </c>
      <c r="E1619" s="8">
        <v>0</v>
      </c>
      <c r="F1619" s="8">
        <v>0</v>
      </c>
      <c r="G1619" s="8">
        <v>8</v>
      </c>
      <c r="H1619" s="8" t="s">
        <v>28877</v>
      </c>
      <c r="I1619" s="8">
        <v>526.6875</v>
      </c>
      <c r="J1619" s="3">
        <f t="shared" si="25"/>
        <v>43748.552615729168</v>
      </c>
    </row>
    <row r="1620" spans="1:10" x14ac:dyDescent="0.25">
      <c r="A1620" s="5" t="s">
        <v>28878</v>
      </c>
      <c r="B1620" s="6">
        <v>393.75</v>
      </c>
      <c r="C1620" s="6">
        <v>20.584240000000001</v>
      </c>
      <c r="D1620" s="6">
        <v>49</v>
      </c>
      <c r="E1620" s="6">
        <v>0</v>
      </c>
      <c r="F1620" s="6">
        <v>0</v>
      </c>
      <c r="G1620" s="6">
        <v>14</v>
      </c>
      <c r="H1620" s="6" t="s">
        <v>28879</v>
      </c>
      <c r="I1620" s="6">
        <v>526.6875</v>
      </c>
      <c r="J1620" s="2">
        <f t="shared" si="25"/>
        <v>43748.552687488424</v>
      </c>
    </row>
    <row r="1621" spans="1:10" x14ac:dyDescent="0.25">
      <c r="A1621" s="7" t="s">
        <v>28880</v>
      </c>
      <c r="B1621" s="8">
        <v>412.5</v>
      </c>
      <c r="C1621" s="8">
        <v>20.584240000000001</v>
      </c>
      <c r="D1621" s="8">
        <v>49</v>
      </c>
      <c r="E1621" s="8">
        <v>0</v>
      </c>
      <c r="F1621" s="8">
        <v>0</v>
      </c>
      <c r="G1621" s="8">
        <v>22</v>
      </c>
      <c r="H1621" s="8" t="s">
        <v>28881</v>
      </c>
      <c r="I1621" s="8">
        <v>532.3125</v>
      </c>
      <c r="J1621" s="3">
        <f t="shared" si="25"/>
        <v>43748.552770937495</v>
      </c>
    </row>
    <row r="1622" spans="1:10" x14ac:dyDescent="0.25">
      <c r="A1622" s="5" t="s">
        <v>28882</v>
      </c>
      <c r="B1622" s="6">
        <v>393.75</v>
      </c>
      <c r="C1622" s="6">
        <v>20.584240000000001</v>
      </c>
      <c r="D1622" s="6">
        <v>49</v>
      </c>
      <c r="E1622" s="6">
        <v>0</v>
      </c>
      <c r="F1622" s="6">
        <v>0</v>
      </c>
      <c r="G1622" s="6">
        <v>19</v>
      </c>
      <c r="H1622" s="6" t="s">
        <v>28883</v>
      </c>
      <c r="I1622" s="6">
        <v>526.6875</v>
      </c>
      <c r="J1622" s="2">
        <f t="shared" si="25"/>
        <v>43748.552854502312</v>
      </c>
    </row>
    <row r="1623" spans="1:10" x14ac:dyDescent="0.25">
      <c r="A1623" s="7" t="s">
        <v>28884</v>
      </c>
      <c r="B1623" s="8">
        <v>393.75</v>
      </c>
      <c r="C1623" s="8">
        <v>20.584240000000001</v>
      </c>
      <c r="D1623" s="8">
        <v>49</v>
      </c>
      <c r="E1623" s="8">
        <v>0</v>
      </c>
      <c r="F1623" s="8">
        <v>0</v>
      </c>
      <c r="G1623" s="8">
        <v>26</v>
      </c>
      <c r="H1623" s="8" t="s">
        <v>28885</v>
      </c>
      <c r="I1623" s="8">
        <v>526.6875</v>
      </c>
      <c r="J1623" s="3">
        <f t="shared" si="25"/>
        <v>43748.552950104167</v>
      </c>
    </row>
    <row r="1624" spans="1:10" x14ac:dyDescent="0.25">
      <c r="A1624" s="5" t="s">
        <v>28886</v>
      </c>
      <c r="B1624" s="6">
        <v>393.75</v>
      </c>
      <c r="C1624" s="6">
        <v>20.584240000000001</v>
      </c>
      <c r="D1624" s="6">
        <v>51</v>
      </c>
      <c r="E1624" s="6">
        <v>0</v>
      </c>
      <c r="F1624" s="6">
        <v>0</v>
      </c>
      <c r="G1624" s="6">
        <v>11</v>
      </c>
      <c r="H1624" s="6" t="s">
        <v>28887</v>
      </c>
      <c r="I1624" s="6">
        <v>526.6875</v>
      </c>
      <c r="J1624" s="2">
        <f t="shared" si="25"/>
        <v>43748.553033541662</v>
      </c>
    </row>
    <row r="1625" spans="1:10" x14ac:dyDescent="0.25">
      <c r="A1625" s="7" t="s">
        <v>28888</v>
      </c>
      <c r="B1625" s="8">
        <v>393.75</v>
      </c>
      <c r="C1625" s="8">
        <v>20.584240000000001</v>
      </c>
      <c r="D1625" s="8">
        <v>51</v>
      </c>
      <c r="E1625" s="8">
        <v>0</v>
      </c>
      <c r="F1625" s="8">
        <v>0</v>
      </c>
      <c r="G1625" s="8">
        <v>16</v>
      </c>
      <c r="H1625" s="8" t="s">
        <v>28889</v>
      </c>
      <c r="I1625" s="8">
        <v>526.6875</v>
      </c>
      <c r="J1625" s="3">
        <f t="shared" si="25"/>
        <v>43748.553116874995</v>
      </c>
    </row>
    <row r="1626" spans="1:10" x14ac:dyDescent="0.25">
      <c r="A1626" s="5" t="s">
        <v>28890</v>
      </c>
      <c r="B1626" s="6">
        <v>393.75</v>
      </c>
      <c r="C1626" s="6">
        <v>20.478950000000001</v>
      </c>
      <c r="D1626" s="6">
        <v>49</v>
      </c>
      <c r="E1626" s="6">
        <v>0</v>
      </c>
      <c r="F1626" s="6">
        <v>0</v>
      </c>
      <c r="G1626" s="6">
        <v>11</v>
      </c>
      <c r="H1626" s="6" t="s">
        <v>28891</v>
      </c>
      <c r="I1626" s="6">
        <v>526.5</v>
      </c>
      <c r="J1626" s="2">
        <f t="shared" si="25"/>
        <v>43748.553200451388</v>
      </c>
    </row>
    <row r="1627" spans="1:10" x14ac:dyDescent="0.25">
      <c r="A1627" s="7" t="s">
        <v>28892</v>
      </c>
      <c r="B1627" s="8">
        <v>393.75</v>
      </c>
      <c r="C1627" s="8">
        <v>20.531590000000001</v>
      </c>
      <c r="D1627" s="8">
        <v>50</v>
      </c>
      <c r="E1627" s="8">
        <v>0</v>
      </c>
      <c r="F1627" s="8">
        <v>0</v>
      </c>
      <c r="G1627" s="8">
        <v>14</v>
      </c>
      <c r="H1627" s="8" t="s">
        <v>28893</v>
      </c>
      <c r="I1627" s="8">
        <v>526.6875</v>
      </c>
      <c r="J1627" s="3">
        <f t="shared" si="25"/>
        <v>43748.553283877314</v>
      </c>
    </row>
    <row r="1628" spans="1:10" x14ac:dyDescent="0.25">
      <c r="A1628" s="5" t="s">
        <v>28894</v>
      </c>
      <c r="B1628" s="6">
        <v>393.75</v>
      </c>
      <c r="C1628" s="6">
        <v>20.531590000000001</v>
      </c>
      <c r="D1628" s="6">
        <v>49</v>
      </c>
      <c r="E1628" s="6">
        <v>0</v>
      </c>
      <c r="F1628" s="6">
        <v>0</v>
      </c>
      <c r="G1628" s="6">
        <v>22</v>
      </c>
      <c r="H1628" s="6" t="s">
        <v>28895</v>
      </c>
      <c r="I1628" s="6">
        <v>526.6875</v>
      </c>
      <c r="J1628" s="2">
        <f t="shared" si="25"/>
        <v>43748.553367569439</v>
      </c>
    </row>
    <row r="1629" spans="1:10" x14ac:dyDescent="0.25">
      <c r="A1629" s="7" t="s">
        <v>28896</v>
      </c>
      <c r="B1629" s="8">
        <v>393.75</v>
      </c>
      <c r="C1629" s="8">
        <v>20.584240000000001</v>
      </c>
      <c r="D1629" s="8">
        <v>50</v>
      </c>
      <c r="E1629" s="8">
        <v>0</v>
      </c>
      <c r="F1629" s="8">
        <v>0</v>
      </c>
      <c r="G1629" s="8">
        <v>16</v>
      </c>
      <c r="H1629" s="8" t="s">
        <v>28897</v>
      </c>
      <c r="I1629" s="8">
        <v>526.6875</v>
      </c>
      <c r="J1629" s="3">
        <f t="shared" si="25"/>
        <v>43748.553450891202</v>
      </c>
    </row>
    <row r="1630" spans="1:10" x14ac:dyDescent="0.25">
      <c r="A1630" s="5" t="s">
        <v>28898</v>
      </c>
      <c r="B1630" s="6">
        <v>393.75</v>
      </c>
      <c r="C1630" s="6">
        <v>20.584240000000001</v>
      </c>
      <c r="D1630" s="6">
        <v>49</v>
      </c>
      <c r="E1630" s="6">
        <v>0</v>
      </c>
      <c r="F1630" s="6">
        <v>0</v>
      </c>
      <c r="G1630" s="6">
        <v>16</v>
      </c>
      <c r="H1630" s="6" t="s">
        <v>28899</v>
      </c>
      <c r="I1630" s="6">
        <v>526.6875</v>
      </c>
      <c r="J1630" s="2">
        <f t="shared" si="25"/>
        <v>43748.553546273142</v>
      </c>
    </row>
    <row r="1631" spans="1:10" x14ac:dyDescent="0.25">
      <c r="A1631" s="7" t="s">
        <v>28900</v>
      </c>
      <c r="B1631" s="8">
        <v>412.5</v>
      </c>
      <c r="C1631" s="8">
        <v>20.531590000000001</v>
      </c>
      <c r="D1631" s="8">
        <v>53</v>
      </c>
      <c r="E1631" s="8">
        <v>0</v>
      </c>
      <c r="F1631" s="8">
        <v>0</v>
      </c>
      <c r="G1631" s="8">
        <v>16</v>
      </c>
      <c r="H1631" s="8" t="s">
        <v>28901</v>
      </c>
      <c r="I1631" s="8">
        <v>532.6875</v>
      </c>
      <c r="J1631" s="3">
        <f t="shared" si="25"/>
        <v>43748.553641655089</v>
      </c>
    </row>
    <row r="1632" spans="1:10" x14ac:dyDescent="0.25">
      <c r="A1632" s="5" t="s">
        <v>28902</v>
      </c>
      <c r="B1632" s="6">
        <v>393.75</v>
      </c>
      <c r="C1632" s="6">
        <v>20.584240000000001</v>
      </c>
      <c r="D1632" s="6">
        <v>53</v>
      </c>
      <c r="E1632" s="6">
        <v>0</v>
      </c>
      <c r="F1632" s="6">
        <v>0</v>
      </c>
      <c r="G1632" s="6">
        <v>11</v>
      </c>
      <c r="H1632" s="6" t="s">
        <v>28903</v>
      </c>
      <c r="I1632" s="6">
        <v>526.6875</v>
      </c>
      <c r="J1632" s="2">
        <f t="shared" si="25"/>
        <v>43748.5537253125</v>
      </c>
    </row>
    <row r="1633" spans="1:10" x14ac:dyDescent="0.25">
      <c r="A1633" s="7" t="s">
        <v>28904</v>
      </c>
      <c r="B1633" s="8">
        <v>393.75</v>
      </c>
      <c r="C1633" s="8">
        <v>20.531590000000001</v>
      </c>
      <c r="D1633" s="8">
        <v>53</v>
      </c>
      <c r="E1633" s="8">
        <v>0</v>
      </c>
      <c r="F1633" s="8">
        <v>0</v>
      </c>
      <c r="G1633" s="8">
        <v>11</v>
      </c>
      <c r="H1633" s="8" t="s">
        <v>28905</v>
      </c>
      <c r="I1633" s="8">
        <v>526.6875</v>
      </c>
      <c r="J1633" s="3">
        <f t="shared" si="25"/>
        <v>43748.553808425924</v>
      </c>
    </row>
    <row r="1634" spans="1:10" x14ac:dyDescent="0.25">
      <c r="A1634" s="5" t="s">
        <v>28906</v>
      </c>
      <c r="B1634" s="6">
        <v>393.75</v>
      </c>
      <c r="C1634" s="6">
        <v>20.584240000000001</v>
      </c>
      <c r="D1634" s="6">
        <v>53</v>
      </c>
      <c r="E1634" s="6">
        <v>0</v>
      </c>
      <c r="F1634" s="6">
        <v>0</v>
      </c>
      <c r="G1634" s="6">
        <v>13</v>
      </c>
      <c r="H1634" s="6" t="s">
        <v>28907</v>
      </c>
      <c r="I1634" s="6">
        <v>526.6875</v>
      </c>
      <c r="J1634" s="2">
        <f t="shared" si="25"/>
        <v>43748.553892037038</v>
      </c>
    </row>
    <row r="1635" spans="1:10" x14ac:dyDescent="0.25">
      <c r="A1635" s="7" t="s">
        <v>28908</v>
      </c>
      <c r="B1635" s="8">
        <v>393.75</v>
      </c>
      <c r="C1635" s="8">
        <v>20.531590000000001</v>
      </c>
      <c r="D1635" s="8">
        <v>53</v>
      </c>
      <c r="E1635" s="8">
        <v>0</v>
      </c>
      <c r="F1635" s="8">
        <v>0</v>
      </c>
      <c r="G1635" s="8">
        <v>11</v>
      </c>
      <c r="H1635" s="8" t="s">
        <v>28909</v>
      </c>
      <c r="I1635" s="8">
        <v>526.5</v>
      </c>
      <c r="J1635" s="3">
        <f t="shared" si="25"/>
        <v>43748.553963333332</v>
      </c>
    </row>
    <row r="1636" spans="1:10" x14ac:dyDescent="0.25">
      <c r="A1636" s="5" t="s">
        <v>28910</v>
      </c>
      <c r="B1636" s="6">
        <v>393.75</v>
      </c>
      <c r="C1636" s="6">
        <v>20.584240000000001</v>
      </c>
      <c r="D1636" s="6">
        <v>52</v>
      </c>
      <c r="E1636" s="6">
        <v>0</v>
      </c>
      <c r="F1636" s="6">
        <v>0</v>
      </c>
      <c r="G1636" s="6">
        <v>9</v>
      </c>
      <c r="H1636" s="6" t="s">
        <v>28911</v>
      </c>
      <c r="I1636" s="6">
        <v>526.6875</v>
      </c>
      <c r="J1636" s="2">
        <f t="shared" si="25"/>
        <v>43748.554047268517</v>
      </c>
    </row>
    <row r="1637" spans="1:10" x14ac:dyDescent="0.25">
      <c r="A1637" s="7" t="s">
        <v>28912</v>
      </c>
      <c r="B1637" s="8">
        <v>393.75</v>
      </c>
      <c r="C1637" s="8">
        <v>20.584240000000001</v>
      </c>
      <c r="D1637" s="8">
        <v>52</v>
      </c>
      <c r="E1637" s="8">
        <v>0</v>
      </c>
      <c r="F1637" s="8">
        <v>0</v>
      </c>
      <c r="G1637" s="8">
        <v>14</v>
      </c>
      <c r="H1637" s="8" t="s">
        <v>28913</v>
      </c>
      <c r="I1637" s="8">
        <v>526.6875</v>
      </c>
      <c r="J1637" s="3">
        <f t="shared" si="25"/>
        <v>43748.554130462966</v>
      </c>
    </row>
    <row r="1638" spans="1:10" x14ac:dyDescent="0.25">
      <c r="A1638" s="5" t="s">
        <v>28914</v>
      </c>
      <c r="B1638" s="6">
        <v>393.75</v>
      </c>
      <c r="C1638" s="6">
        <v>20.584240000000001</v>
      </c>
      <c r="D1638" s="6">
        <v>52</v>
      </c>
      <c r="E1638" s="6">
        <v>0</v>
      </c>
      <c r="F1638" s="6">
        <v>0</v>
      </c>
      <c r="G1638" s="6">
        <v>16</v>
      </c>
      <c r="H1638" s="6" t="s">
        <v>28915</v>
      </c>
      <c r="I1638" s="6">
        <v>526.6875</v>
      </c>
      <c r="J1638" s="2">
        <f t="shared" si="25"/>
        <v>43748.554202233798</v>
      </c>
    </row>
    <row r="1639" spans="1:10" x14ac:dyDescent="0.25">
      <c r="A1639" s="7" t="s">
        <v>28916</v>
      </c>
      <c r="B1639" s="8">
        <v>393.75</v>
      </c>
      <c r="C1639" s="8">
        <v>20.584240000000001</v>
      </c>
      <c r="D1639" s="8">
        <v>54</v>
      </c>
      <c r="E1639" s="8">
        <v>0</v>
      </c>
      <c r="F1639" s="8">
        <v>0</v>
      </c>
      <c r="G1639" s="8">
        <v>15</v>
      </c>
      <c r="H1639" s="8" t="s">
        <v>28917</v>
      </c>
      <c r="I1639" s="8">
        <v>526.6875</v>
      </c>
      <c r="J1639" s="3">
        <f t="shared" si="25"/>
        <v>43748.554285810184</v>
      </c>
    </row>
    <row r="1640" spans="1:10" x14ac:dyDescent="0.25">
      <c r="A1640" s="5" t="s">
        <v>28918</v>
      </c>
      <c r="B1640" s="6">
        <v>393.75</v>
      </c>
      <c r="C1640" s="6">
        <v>20.584240000000001</v>
      </c>
      <c r="D1640" s="6">
        <v>54</v>
      </c>
      <c r="E1640" s="6">
        <v>0</v>
      </c>
      <c r="F1640" s="6">
        <v>0</v>
      </c>
      <c r="G1640" s="6">
        <v>15</v>
      </c>
      <c r="H1640" s="6" t="s">
        <v>28919</v>
      </c>
      <c r="I1640" s="6">
        <v>526.6875</v>
      </c>
      <c r="J1640" s="2">
        <f t="shared" si="25"/>
        <v>43748.55436923611</v>
      </c>
    </row>
    <row r="1641" spans="1:10" x14ac:dyDescent="0.25">
      <c r="A1641" s="7" t="s">
        <v>28920</v>
      </c>
      <c r="B1641" s="8">
        <v>393.75</v>
      </c>
      <c r="C1641" s="8">
        <v>20.584240000000001</v>
      </c>
      <c r="D1641" s="8">
        <v>54</v>
      </c>
      <c r="E1641" s="8">
        <v>0</v>
      </c>
      <c r="F1641" s="8">
        <v>0</v>
      </c>
      <c r="G1641" s="8">
        <v>24</v>
      </c>
      <c r="H1641" s="8" t="s">
        <v>28921</v>
      </c>
      <c r="I1641" s="8">
        <v>526.5</v>
      </c>
      <c r="J1641" s="3">
        <f t="shared" si="25"/>
        <v>43748.554440555548</v>
      </c>
    </row>
    <row r="1642" spans="1:10" x14ac:dyDescent="0.25">
      <c r="A1642" s="5" t="s">
        <v>28922</v>
      </c>
      <c r="B1642" s="6">
        <v>393.75</v>
      </c>
      <c r="C1642" s="6">
        <v>20.531590000000001</v>
      </c>
      <c r="D1642" s="6">
        <v>53</v>
      </c>
      <c r="E1642" s="6">
        <v>0</v>
      </c>
      <c r="F1642" s="6">
        <v>0</v>
      </c>
      <c r="G1642" s="6">
        <v>20</v>
      </c>
      <c r="H1642" s="6" t="s">
        <v>28923</v>
      </c>
      <c r="I1642" s="6">
        <v>526.6875</v>
      </c>
      <c r="J1642" s="2">
        <f t="shared" si="25"/>
        <v>43748.55452435185</v>
      </c>
    </row>
    <row r="1643" spans="1:10" x14ac:dyDescent="0.25">
      <c r="A1643" s="7" t="s">
        <v>28924</v>
      </c>
      <c r="B1643" s="8">
        <v>393.75</v>
      </c>
      <c r="C1643" s="8">
        <v>20.531590000000001</v>
      </c>
      <c r="D1643" s="8">
        <v>53</v>
      </c>
      <c r="E1643" s="8">
        <v>0</v>
      </c>
      <c r="F1643" s="8">
        <v>0</v>
      </c>
      <c r="G1643" s="8">
        <v>22</v>
      </c>
      <c r="H1643" s="8" t="s">
        <v>28925</v>
      </c>
      <c r="I1643" s="8">
        <v>526.6875</v>
      </c>
      <c r="J1643" s="3">
        <f t="shared" si="25"/>
        <v>43748.554595717585</v>
      </c>
    </row>
    <row r="1644" spans="1:10" x14ac:dyDescent="0.25">
      <c r="A1644" s="5" t="s">
        <v>28926</v>
      </c>
      <c r="B1644" s="6">
        <v>393.75</v>
      </c>
      <c r="C1644" s="6">
        <v>20.584240000000001</v>
      </c>
      <c r="D1644" s="6">
        <v>53</v>
      </c>
      <c r="E1644" s="6">
        <v>0</v>
      </c>
      <c r="F1644" s="6">
        <v>0</v>
      </c>
      <c r="G1644" s="6">
        <v>16</v>
      </c>
      <c r="H1644" s="6" t="s">
        <v>28927</v>
      </c>
      <c r="I1644" s="6">
        <v>526.6875</v>
      </c>
      <c r="J1644" s="2">
        <f t="shared" si="25"/>
        <v>43748.554679328699</v>
      </c>
    </row>
    <row r="1645" spans="1:10" x14ac:dyDescent="0.25">
      <c r="A1645" s="7" t="s">
        <v>28928</v>
      </c>
      <c r="B1645" s="8">
        <v>393.75</v>
      </c>
      <c r="C1645" s="8">
        <v>20.531590000000001</v>
      </c>
      <c r="D1645" s="8">
        <v>53</v>
      </c>
      <c r="E1645" s="8">
        <v>0</v>
      </c>
      <c r="F1645" s="8">
        <v>0</v>
      </c>
      <c r="G1645" s="8">
        <v>13</v>
      </c>
      <c r="H1645" s="8" t="s">
        <v>28929</v>
      </c>
      <c r="I1645" s="8">
        <v>526.6875</v>
      </c>
      <c r="J1645" s="3">
        <f t="shared" si="25"/>
        <v>43748.554750972216</v>
      </c>
    </row>
    <row r="1646" spans="1:10" x14ac:dyDescent="0.25">
      <c r="A1646" s="5" t="s">
        <v>28930</v>
      </c>
      <c r="B1646" s="6">
        <v>393.75</v>
      </c>
      <c r="C1646" s="6">
        <v>20.531590000000001</v>
      </c>
      <c r="D1646" s="6">
        <v>55</v>
      </c>
      <c r="E1646" s="6">
        <v>0</v>
      </c>
      <c r="F1646" s="6">
        <v>0</v>
      </c>
      <c r="G1646" s="6">
        <v>24</v>
      </c>
      <c r="H1646" s="6" t="s">
        <v>28931</v>
      </c>
      <c r="I1646" s="6">
        <v>526.6875</v>
      </c>
      <c r="J1646" s="2">
        <f t="shared" si="25"/>
        <v>43748.554834189817</v>
      </c>
    </row>
    <row r="1647" spans="1:10" x14ac:dyDescent="0.25">
      <c r="A1647" s="7" t="s">
        <v>28932</v>
      </c>
      <c r="B1647" s="8">
        <v>393.75</v>
      </c>
      <c r="C1647" s="8">
        <v>20.584240000000001</v>
      </c>
      <c r="D1647" s="8">
        <v>55</v>
      </c>
      <c r="E1647" s="8">
        <v>0</v>
      </c>
      <c r="F1647" s="8">
        <v>0</v>
      </c>
      <c r="G1647" s="8">
        <v>21</v>
      </c>
      <c r="H1647" s="8" t="s">
        <v>28933</v>
      </c>
      <c r="I1647" s="8">
        <v>526.6875</v>
      </c>
      <c r="J1647" s="3">
        <f t="shared" si="25"/>
        <v>43748.554917986105</v>
      </c>
    </row>
    <row r="1648" spans="1:10" x14ac:dyDescent="0.25">
      <c r="A1648" s="5" t="s">
        <v>28934</v>
      </c>
      <c r="B1648" s="6">
        <v>393.75</v>
      </c>
      <c r="C1648" s="6">
        <v>20.478950000000001</v>
      </c>
      <c r="D1648" s="6">
        <v>53</v>
      </c>
      <c r="E1648" s="6">
        <v>0</v>
      </c>
      <c r="F1648" s="6">
        <v>0</v>
      </c>
      <c r="G1648" s="6">
        <v>21</v>
      </c>
      <c r="H1648" s="6" t="s">
        <v>28935</v>
      </c>
      <c r="I1648" s="6">
        <v>526.6875</v>
      </c>
      <c r="J1648" s="2">
        <f t="shared" si="25"/>
        <v>43748.555001574066</v>
      </c>
    </row>
    <row r="1649" spans="1:10" x14ac:dyDescent="0.25">
      <c r="A1649" s="7" t="s">
        <v>28936</v>
      </c>
      <c r="B1649" s="8">
        <v>393.75</v>
      </c>
      <c r="C1649" s="8">
        <v>20.531590000000001</v>
      </c>
      <c r="D1649" s="8">
        <v>52</v>
      </c>
      <c r="E1649" s="8">
        <v>0</v>
      </c>
      <c r="F1649" s="8">
        <v>0</v>
      </c>
      <c r="G1649" s="8">
        <v>26</v>
      </c>
      <c r="H1649" s="8" t="s">
        <v>28937</v>
      </c>
      <c r="I1649" s="8">
        <v>526.6875</v>
      </c>
      <c r="J1649" s="3">
        <f t="shared" si="25"/>
        <v>43748.555072962961</v>
      </c>
    </row>
    <row r="1650" spans="1:10" x14ac:dyDescent="0.25">
      <c r="A1650" s="5" t="s">
        <v>28938</v>
      </c>
      <c r="B1650" s="6">
        <v>412.5</v>
      </c>
      <c r="C1650" s="6">
        <v>20.584240000000001</v>
      </c>
      <c r="D1650" s="6">
        <v>51</v>
      </c>
      <c r="E1650" s="6">
        <v>0</v>
      </c>
      <c r="F1650" s="6">
        <v>0</v>
      </c>
      <c r="G1650" s="6">
        <v>15</v>
      </c>
      <c r="H1650" s="6" t="s">
        <v>28939</v>
      </c>
      <c r="I1650" s="6">
        <v>532.3125</v>
      </c>
      <c r="J1650" s="2">
        <f t="shared" si="25"/>
        <v>43748.555156388888</v>
      </c>
    </row>
    <row r="1651" spans="1:10" x14ac:dyDescent="0.25">
      <c r="A1651" s="7" t="s">
        <v>28940</v>
      </c>
      <c r="B1651" s="8">
        <v>393.75</v>
      </c>
      <c r="C1651" s="8">
        <v>20.584240000000001</v>
      </c>
      <c r="D1651" s="8">
        <v>52</v>
      </c>
      <c r="E1651" s="8">
        <v>0</v>
      </c>
      <c r="F1651" s="8">
        <v>0</v>
      </c>
      <c r="G1651" s="8">
        <v>18</v>
      </c>
      <c r="H1651" s="8" t="s">
        <v>28941</v>
      </c>
      <c r="I1651" s="8">
        <v>526.6875</v>
      </c>
      <c r="J1651" s="3">
        <f t="shared" si="25"/>
        <v>43748.555239953705</v>
      </c>
    </row>
    <row r="1652" spans="1:10" x14ac:dyDescent="0.25">
      <c r="A1652" s="5" t="s">
        <v>28942</v>
      </c>
      <c r="B1652" s="6">
        <v>393.75</v>
      </c>
      <c r="C1652" s="6">
        <v>20.584240000000001</v>
      </c>
      <c r="D1652" s="6">
        <v>51</v>
      </c>
      <c r="E1652" s="6">
        <v>0</v>
      </c>
      <c r="F1652" s="6">
        <v>0</v>
      </c>
      <c r="G1652" s="6">
        <v>21</v>
      </c>
      <c r="H1652" s="6" t="s">
        <v>28943</v>
      </c>
      <c r="I1652" s="6">
        <v>526.6875</v>
      </c>
      <c r="J1652" s="2">
        <f t="shared" si="25"/>
        <v>43748.555323287037</v>
      </c>
    </row>
    <row r="1653" spans="1:10" x14ac:dyDescent="0.25">
      <c r="A1653" s="7" t="s">
        <v>28944</v>
      </c>
      <c r="B1653" s="8">
        <v>393.75</v>
      </c>
      <c r="C1653" s="8">
        <v>20.531590000000001</v>
      </c>
      <c r="D1653" s="8">
        <v>51</v>
      </c>
      <c r="E1653" s="8">
        <v>0</v>
      </c>
      <c r="F1653" s="8">
        <v>0</v>
      </c>
      <c r="G1653" s="8">
        <v>14</v>
      </c>
      <c r="H1653" s="8" t="s">
        <v>28945</v>
      </c>
      <c r="I1653" s="8">
        <v>526.5</v>
      </c>
      <c r="J1653" s="3">
        <f t="shared" si="25"/>
        <v>43748.55539483796</v>
      </c>
    </row>
    <row r="1654" spans="1:10" x14ac:dyDescent="0.25">
      <c r="A1654" s="5" t="s">
        <v>28946</v>
      </c>
      <c r="B1654" s="6">
        <v>393.75</v>
      </c>
      <c r="C1654" s="6">
        <v>20.531590000000001</v>
      </c>
      <c r="D1654" s="6">
        <v>51</v>
      </c>
      <c r="E1654" s="6">
        <v>0</v>
      </c>
      <c r="F1654" s="6">
        <v>0</v>
      </c>
      <c r="G1654" s="6">
        <v>19</v>
      </c>
      <c r="H1654" s="6" t="s">
        <v>28947</v>
      </c>
      <c r="I1654" s="6">
        <v>526.6875</v>
      </c>
      <c r="J1654" s="2">
        <f t="shared" si="25"/>
        <v>43748.555478634262</v>
      </c>
    </row>
    <row r="1655" spans="1:10" x14ac:dyDescent="0.25">
      <c r="A1655" s="7" t="s">
        <v>28948</v>
      </c>
      <c r="B1655" s="8">
        <v>425</v>
      </c>
      <c r="C1655" s="8">
        <v>20.531590000000001</v>
      </c>
      <c r="D1655" s="8">
        <v>50</v>
      </c>
      <c r="E1655" s="8">
        <v>0</v>
      </c>
      <c r="F1655" s="8">
        <v>0</v>
      </c>
      <c r="G1655" s="8">
        <v>26</v>
      </c>
      <c r="H1655" s="8" t="s">
        <v>28949</v>
      </c>
      <c r="I1655" s="8">
        <v>536.25</v>
      </c>
      <c r="J1655" s="3">
        <f t="shared" si="25"/>
        <v>43748.555562060188</v>
      </c>
    </row>
    <row r="1656" spans="1:10" x14ac:dyDescent="0.25">
      <c r="A1656" s="5" t="s">
        <v>28950</v>
      </c>
      <c r="B1656" s="6">
        <v>393.75</v>
      </c>
      <c r="C1656" s="6">
        <v>20.584240000000001</v>
      </c>
      <c r="D1656" s="6">
        <v>50</v>
      </c>
      <c r="E1656" s="6">
        <v>0</v>
      </c>
      <c r="F1656" s="6">
        <v>0</v>
      </c>
      <c r="G1656" s="6">
        <v>27</v>
      </c>
      <c r="H1656" s="6" t="s">
        <v>28951</v>
      </c>
      <c r="I1656" s="6">
        <v>526.5</v>
      </c>
      <c r="J1656" s="2">
        <f t="shared" si="25"/>
        <v>43748.555645289351</v>
      </c>
    </row>
    <row r="1657" spans="1:10" x14ac:dyDescent="0.25">
      <c r="A1657" s="7" t="s">
        <v>28952</v>
      </c>
      <c r="B1657" s="8">
        <v>393.75</v>
      </c>
      <c r="C1657" s="8">
        <v>20.531590000000001</v>
      </c>
      <c r="D1657" s="8">
        <v>50</v>
      </c>
      <c r="E1657" s="8">
        <v>0</v>
      </c>
      <c r="F1657" s="8">
        <v>0</v>
      </c>
      <c r="G1657" s="8">
        <v>20</v>
      </c>
      <c r="H1657" s="8" t="s">
        <v>28953</v>
      </c>
      <c r="I1657" s="8">
        <v>526.6875</v>
      </c>
      <c r="J1657" s="3">
        <f t="shared" si="25"/>
        <v>43748.555716944444</v>
      </c>
    </row>
    <row r="1658" spans="1:10" x14ac:dyDescent="0.25">
      <c r="A1658" s="5" t="s">
        <v>28954</v>
      </c>
      <c r="B1658" s="6">
        <v>393.75</v>
      </c>
      <c r="C1658" s="6">
        <v>20.531590000000001</v>
      </c>
      <c r="D1658" s="6">
        <v>50</v>
      </c>
      <c r="E1658" s="6">
        <v>0</v>
      </c>
      <c r="F1658" s="6">
        <v>0</v>
      </c>
      <c r="G1658" s="6">
        <v>24</v>
      </c>
      <c r="H1658" s="6" t="s">
        <v>28955</v>
      </c>
      <c r="I1658" s="6">
        <v>526.5</v>
      </c>
      <c r="J1658" s="2">
        <f t="shared" si="25"/>
        <v>43748.555800833332</v>
      </c>
    </row>
    <row r="1659" spans="1:10" x14ac:dyDescent="0.25">
      <c r="A1659" s="7" t="s">
        <v>28956</v>
      </c>
      <c r="B1659" s="8">
        <v>393.75</v>
      </c>
      <c r="C1659" s="8">
        <v>20.584240000000001</v>
      </c>
      <c r="D1659" s="8">
        <v>49</v>
      </c>
      <c r="E1659" s="8">
        <v>0</v>
      </c>
      <c r="F1659" s="8">
        <v>0</v>
      </c>
      <c r="G1659" s="8">
        <v>24</v>
      </c>
      <c r="H1659" s="8" t="s">
        <v>28957</v>
      </c>
      <c r="I1659" s="8">
        <v>526.6875</v>
      </c>
      <c r="J1659" s="3">
        <f t="shared" si="25"/>
        <v>43748.555884201385</v>
      </c>
    </row>
    <row r="1660" spans="1:10" x14ac:dyDescent="0.25">
      <c r="A1660" s="5" t="s">
        <v>28958</v>
      </c>
      <c r="B1660" s="6">
        <v>393.75</v>
      </c>
      <c r="C1660" s="6">
        <v>20.584240000000001</v>
      </c>
      <c r="D1660" s="6">
        <v>46</v>
      </c>
      <c r="E1660" s="6">
        <v>0</v>
      </c>
      <c r="F1660" s="6">
        <v>0</v>
      </c>
      <c r="G1660" s="6">
        <v>25</v>
      </c>
      <c r="H1660" s="6" t="s">
        <v>28959</v>
      </c>
      <c r="I1660" s="6">
        <v>526.6875</v>
      </c>
      <c r="J1660" s="2">
        <f t="shared" si="25"/>
        <v>43748.555994479168</v>
      </c>
    </row>
    <row r="1661" spans="1:10" x14ac:dyDescent="0.25">
      <c r="A1661" s="7" t="s">
        <v>28960</v>
      </c>
      <c r="B1661" s="8">
        <v>393.75</v>
      </c>
      <c r="C1661" s="8">
        <v>20.584240000000001</v>
      </c>
      <c r="D1661" s="8">
        <v>47</v>
      </c>
      <c r="E1661" s="8">
        <v>0</v>
      </c>
      <c r="F1661" s="8">
        <v>0</v>
      </c>
      <c r="G1661" s="8">
        <v>18</v>
      </c>
      <c r="H1661" s="8" t="s">
        <v>28961</v>
      </c>
      <c r="I1661" s="8">
        <v>526.6875</v>
      </c>
      <c r="J1661" s="3">
        <f t="shared" si="25"/>
        <v>43748.556074930551</v>
      </c>
    </row>
    <row r="1662" spans="1:10" x14ac:dyDescent="0.25">
      <c r="A1662" s="5" t="s">
        <v>28962</v>
      </c>
      <c r="B1662" s="6">
        <v>393.75</v>
      </c>
      <c r="C1662" s="6">
        <v>20.584240000000001</v>
      </c>
      <c r="D1662" s="6">
        <v>49</v>
      </c>
      <c r="E1662" s="6">
        <v>0</v>
      </c>
      <c r="F1662" s="6">
        <v>0</v>
      </c>
      <c r="G1662" s="6">
        <v>11</v>
      </c>
      <c r="H1662" s="6" t="s">
        <v>28963</v>
      </c>
      <c r="I1662" s="6">
        <v>526.5</v>
      </c>
      <c r="J1662" s="2">
        <f t="shared" si="25"/>
        <v>43748.556158472224</v>
      </c>
    </row>
    <row r="1663" spans="1:10" x14ac:dyDescent="0.25">
      <c r="A1663" s="7" t="s">
        <v>28964</v>
      </c>
      <c r="B1663" s="8">
        <v>393.75</v>
      </c>
      <c r="C1663" s="8">
        <v>20.584240000000001</v>
      </c>
      <c r="D1663" s="8">
        <v>49</v>
      </c>
      <c r="E1663" s="8">
        <v>0</v>
      </c>
      <c r="F1663" s="8">
        <v>0</v>
      </c>
      <c r="G1663" s="8">
        <v>16</v>
      </c>
      <c r="H1663" s="8" t="s">
        <v>28965</v>
      </c>
      <c r="I1663" s="8">
        <v>526.6875</v>
      </c>
      <c r="J1663" s="3">
        <f t="shared" si="25"/>
        <v>43748.556241701386</v>
      </c>
    </row>
    <row r="1664" spans="1:10" x14ac:dyDescent="0.25">
      <c r="A1664" s="5" t="s">
        <v>28966</v>
      </c>
      <c r="B1664" s="6">
        <v>393.75</v>
      </c>
      <c r="C1664" s="6">
        <v>20.584240000000001</v>
      </c>
      <c r="D1664" s="6">
        <v>49</v>
      </c>
      <c r="E1664" s="6">
        <v>0</v>
      </c>
      <c r="F1664" s="6">
        <v>0</v>
      </c>
      <c r="G1664" s="6">
        <v>23</v>
      </c>
      <c r="H1664" s="6" t="s">
        <v>28967</v>
      </c>
      <c r="I1664" s="6">
        <v>526.6875</v>
      </c>
      <c r="J1664" s="2">
        <f t="shared" si="25"/>
        <v>43748.556313217588</v>
      </c>
    </row>
    <row r="1665" spans="1:10" x14ac:dyDescent="0.25">
      <c r="A1665" s="7" t="s">
        <v>28968</v>
      </c>
      <c r="B1665" s="8">
        <v>393.75</v>
      </c>
      <c r="C1665" s="8">
        <v>20.584240000000001</v>
      </c>
      <c r="D1665" s="8">
        <v>52</v>
      </c>
      <c r="E1665" s="8">
        <v>0</v>
      </c>
      <c r="F1665" s="8">
        <v>0</v>
      </c>
      <c r="G1665" s="8">
        <v>15</v>
      </c>
      <c r="H1665" s="8" t="s">
        <v>28969</v>
      </c>
      <c r="I1665" s="8">
        <v>526.6875</v>
      </c>
      <c r="J1665" s="3">
        <f t="shared" si="25"/>
        <v>43748.556397152774</v>
      </c>
    </row>
    <row r="1666" spans="1:10" x14ac:dyDescent="0.25">
      <c r="A1666" s="5" t="s">
        <v>28970</v>
      </c>
      <c r="B1666" s="6">
        <v>393.75</v>
      </c>
      <c r="C1666" s="6">
        <v>20.584240000000001</v>
      </c>
      <c r="D1666" s="6">
        <v>52</v>
      </c>
      <c r="E1666" s="6">
        <v>0</v>
      </c>
      <c r="F1666" s="6">
        <v>0</v>
      </c>
      <c r="G1666" s="6">
        <v>24</v>
      </c>
      <c r="H1666" s="6" t="s">
        <v>28971</v>
      </c>
      <c r="I1666" s="6">
        <v>526.6875</v>
      </c>
      <c r="J1666" s="2">
        <f t="shared" ref="J1666:J1729" si="26">(H1666/86400000)+25569+(7/24)</f>
        <v>43748.556480601845</v>
      </c>
    </row>
    <row r="1667" spans="1:10" x14ac:dyDescent="0.25">
      <c r="A1667" s="7" t="s">
        <v>28972</v>
      </c>
      <c r="B1667" s="8">
        <v>393.75</v>
      </c>
      <c r="C1667" s="8">
        <v>20.584240000000001</v>
      </c>
      <c r="D1667" s="8">
        <v>51</v>
      </c>
      <c r="E1667" s="8">
        <v>0</v>
      </c>
      <c r="F1667" s="8">
        <v>0</v>
      </c>
      <c r="G1667" s="8">
        <v>18</v>
      </c>
      <c r="H1667" s="8" t="s">
        <v>28973</v>
      </c>
      <c r="I1667" s="8">
        <v>526.6875</v>
      </c>
      <c r="J1667" s="3">
        <f t="shared" si="26"/>
        <v>43748.556578090276</v>
      </c>
    </row>
    <row r="1668" spans="1:10" x14ac:dyDescent="0.25">
      <c r="A1668" s="5" t="s">
        <v>28974</v>
      </c>
      <c r="B1668" s="6">
        <v>393.75</v>
      </c>
      <c r="C1668" s="6">
        <v>20.584240000000001</v>
      </c>
      <c r="D1668" s="6">
        <v>51</v>
      </c>
      <c r="E1668" s="6">
        <v>0</v>
      </c>
      <c r="F1668" s="6">
        <v>0</v>
      </c>
      <c r="G1668" s="6">
        <v>17</v>
      </c>
      <c r="H1668" s="6" t="s">
        <v>28975</v>
      </c>
      <c r="I1668" s="6">
        <v>526.6875</v>
      </c>
      <c r="J1668" s="2">
        <f t="shared" si="26"/>
        <v>43748.556659571761</v>
      </c>
    </row>
    <row r="1669" spans="1:10" x14ac:dyDescent="0.25">
      <c r="A1669" s="7" t="s">
        <v>28976</v>
      </c>
      <c r="B1669" s="8">
        <v>393.75</v>
      </c>
      <c r="C1669" s="8">
        <v>20.531590000000001</v>
      </c>
      <c r="D1669" s="8">
        <v>51</v>
      </c>
      <c r="E1669" s="8">
        <v>0</v>
      </c>
      <c r="F1669" s="8">
        <v>0</v>
      </c>
      <c r="G1669" s="8">
        <v>25</v>
      </c>
      <c r="H1669" s="8" t="s">
        <v>28977</v>
      </c>
      <c r="I1669" s="8">
        <v>526.6875</v>
      </c>
      <c r="J1669" s="3">
        <f t="shared" si="26"/>
        <v>43748.556743032408</v>
      </c>
    </row>
    <row r="1670" spans="1:10" x14ac:dyDescent="0.25">
      <c r="A1670" s="5" t="s">
        <v>28978</v>
      </c>
      <c r="B1670" s="6">
        <v>393.75</v>
      </c>
      <c r="C1670" s="6">
        <v>20.584240000000001</v>
      </c>
      <c r="D1670" s="6">
        <v>49</v>
      </c>
      <c r="E1670" s="6">
        <v>0</v>
      </c>
      <c r="F1670" s="6">
        <v>0</v>
      </c>
      <c r="G1670" s="6">
        <v>13</v>
      </c>
      <c r="H1670" s="6" t="s">
        <v>28979</v>
      </c>
      <c r="I1670" s="6">
        <v>526.6875</v>
      </c>
      <c r="J1670" s="2">
        <f t="shared" si="26"/>
        <v>43748.556826458334</v>
      </c>
    </row>
    <row r="1671" spans="1:10" x14ac:dyDescent="0.25">
      <c r="A1671" s="7" t="s">
        <v>28980</v>
      </c>
      <c r="B1671" s="8">
        <v>393.75</v>
      </c>
      <c r="C1671" s="8">
        <v>20.584240000000001</v>
      </c>
      <c r="D1671" s="8">
        <v>52</v>
      </c>
      <c r="E1671" s="8">
        <v>0</v>
      </c>
      <c r="F1671" s="8">
        <v>0</v>
      </c>
      <c r="G1671" s="8">
        <v>14</v>
      </c>
      <c r="H1671" s="8" t="s">
        <v>28981</v>
      </c>
      <c r="I1671" s="8">
        <v>526.6875</v>
      </c>
      <c r="J1671" s="3">
        <f t="shared" si="26"/>
        <v>43748.556910023144</v>
      </c>
    </row>
    <row r="1672" spans="1:10" x14ac:dyDescent="0.25">
      <c r="A1672" s="5" t="s">
        <v>28982</v>
      </c>
      <c r="B1672" s="6">
        <v>393.75</v>
      </c>
      <c r="C1672" s="6">
        <v>20.531590000000001</v>
      </c>
      <c r="D1672" s="6">
        <v>55</v>
      </c>
      <c r="E1672" s="6">
        <v>0</v>
      </c>
      <c r="F1672" s="6">
        <v>0</v>
      </c>
      <c r="G1672" s="6">
        <v>19</v>
      </c>
      <c r="H1672" s="6" t="s">
        <v>28983</v>
      </c>
      <c r="I1672" s="6">
        <v>526.5</v>
      </c>
      <c r="J1672" s="2">
        <f t="shared" si="26"/>
        <v>43748.556993483791</v>
      </c>
    </row>
    <row r="1673" spans="1:10" x14ac:dyDescent="0.25">
      <c r="A1673" s="7" t="s">
        <v>28984</v>
      </c>
      <c r="B1673" s="8">
        <v>412.5</v>
      </c>
      <c r="C1673" s="8">
        <v>20.584240000000001</v>
      </c>
      <c r="D1673" s="8">
        <v>54</v>
      </c>
      <c r="E1673" s="8">
        <v>0</v>
      </c>
      <c r="F1673" s="8">
        <v>0</v>
      </c>
      <c r="G1673" s="8">
        <v>12</v>
      </c>
      <c r="H1673" s="8" t="s">
        <v>28985</v>
      </c>
      <c r="I1673" s="8">
        <v>532.5</v>
      </c>
      <c r="J1673" s="3">
        <f t="shared" si="26"/>
        <v>43748.557077060184</v>
      </c>
    </row>
    <row r="1674" spans="1:10" x14ac:dyDescent="0.25">
      <c r="A1674" s="5" t="s">
        <v>28986</v>
      </c>
      <c r="B1674" s="6">
        <v>393.75</v>
      </c>
      <c r="C1674" s="6">
        <v>20.584240000000001</v>
      </c>
      <c r="D1674" s="6">
        <v>51</v>
      </c>
      <c r="E1674" s="6">
        <v>0</v>
      </c>
      <c r="F1674" s="6">
        <v>0</v>
      </c>
      <c r="G1674" s="6">
        <v>24</v>
      </c>
      <c r="H1674" s="6" t="s">
        <v>28987</v>
      </c>
      <c r="I1674" s="6">
        <v>526.6875</v>
      </c>
      <c r="J1674" s="2">
        <f t="shared" si="26"/>
        <v>43748.557160231481</v>
      </c>
    </row>
    <row r="1675" spans="1:10" x14ac:dyDescent="0.25">
      <c r="A1675" s="7" t="s">
        <v>28988</v>
      </c>
      <c r="B1675" s="8">
        <v>393.75</v>
      </c>
      <c r="C1675" s="8">
        <v>20.584240000000001</v>
      </c>
      <c r="D1675" s="8">
        <v>51</v>
      </c>
      <c r="E1675" s="8">
        <v>0</v>
      </c>
      <c r="F1675" s="8">
        <v>0</v>
      </c>
      <c r="G1675" s="8">
        <v>25</v>
      </c>
      <c r="H1675" s="8" t="s">
        <v>28989</v>
      </c>
      <c r="I1675" s="8">
        <v>526.6875</v>
      </c>
      <c r="J1675" s="3">
        <f t="shared" si="26"/>
        <v>43748.557231817125</v>
      </c>
    </row>
    <row r="1676" spans="1:10" x14ac:dyDescent="0.25">
      <c r="A1676" s="5" t="s">
        <v>28990</v>
      </c>
      <c r="B1676" s="6">
        <v>393.75</v>
      </c>
      <c r="C1676" s="6">
        <v>20.584240000000001</v>
      </c>
      <c r="D1676" s="6">
        <v>48</v>
      </c>
      <c r="E1676" s="6">
        <v>0</v>
      </c>
      <c r="F1676" s="6">
        <v>0</v>
      </c>
      <c r="G1676" s="6">
        <v>18</v>
      </c>
      <c r="H1676" s="6" t="s">
        <v>28991</v>
      </c>
      <c r="I1676" s="6">
        <v>526.6875</v>
      </c>
      <c r="J1676" s="2">
        <f t="shared" si="26"/>
        <v>43748.55731571759</v>
      </c>
    </row>
    <row r="1677" spans="1:10" x14ac:dyDescent="0.25">
      <c r="A1677" s="7" t="s">
        <v>28992</v>
      </c>
      <c r="B1677" s="8">
        <v>393.75</v>
      </c>
      <c r="C1677" s="8">
        <v>20.584240000000001</v>
      </c>
      <c r="D1677" s="8">
        <v>51</v>
      </c>
      <c r="E1677" s="8">
        <v>0</v>
      </c>
      <c r="F1677" s="8">
        <v>0</v>
      </c>
      <c r="G1677" s="8">
        <v>12</v>
      </c>
      <c r="H1677" s="8" t="s">
        <v>28993</v>
      </c>
      <c r="I1677" s="8">
        <v>526.6875</v>
      </c>
      <c r="J1677" s="3">
        <f t="shared" si="26"/>
        <v>43748.557411076392</v>
      </c>
    </row>
    <row r="1678" spans="1:10" x14ac:dyDescent="0.25">
      <c r="A1678" s="5" t="s">
        <v>28994</v>
      </c>
      <c r="B1678" s="6">
        <v>393.75</v>
      </c>
      <c r="C1678" s="6">
        <v>20.584240000000001</v>
      </c>
      <c r="D1678" s="6">
        <v>51</v>
      </c>
      <c r="E1678" s="6">
        <v>0</v>
      </c>
      <c r="F1678" s="6">
        <v>0</v>
      </c>
      <c r="G1678" s="6">
        <v>17</v>
      </c>
      <c r="H1678" s="6" t="s">
        <v>28995</v>
      </c>
      <c r="I1678" s="6">
        <v>526.6875</v>
      </c>
      <c r="J1678" s="2">
        <f t="shared" si="26"/>
        <v>43748.557494513887</v>
      </c>
    </row>
    <row r="1679" spans="1:10" x14ac:dyDescent="0.25">
      <c r="A1679" s="7" t="s">
        <v>28996</v>
      </c>
      <c r="B1679" s="8">
        <v>393.75</v>
      </c>
      <c r="C1679" s="8">
        <v>20.531590000000001</v>
      </c>
      <c r="D1679" s="8">
        <v>51</v>
      </c>
      <c r="E1679" s="8">
        <v>0</v>
      </c>
      <c r="F1679" s="8">
        <v>0</v>
      </c>
      <c r="G1679" s="8">
        <v>26</v>
      </c>
      <c r="H1679" s="8" t="s">
        <v>28997</v>
      </c>
      <c r="I1679" s="8">
        <v>526.6875</v>
      </c>
      <c r="J1679" s="3">
        <f t="shared" si="26"/>
        <v>43748.557577974534</v>
      </c>
    </row>
    <row r="1680" spans="1:10" x14ac:dyDescent="0.25">
      <c r="A1680" s="5" t="s">
        <v>28998</v>
      </c>
      <c r="B1680" s="6">
        <v>393.75</v>
      </c>
      <c r="C1680" s="6">
        <v>20.584240000000001</v>
      </c>
      <c r="D1680" s="6">
        <v>51</v>
      </c>
      <c r="E1680" s="6">
        <v>0</v>
      </c>
      <c r="F1680" s="6">
        <v>0</v>
      </c>
      <c r="G1680" s="6">
        <v>16</v>
      </c>
      <c r="H1680" s="6" t="s">
        <v>28999</v>
      </c>
      <c r="I1680" s="6">
        <v>526.6875</v>
      </c>
      <c r="J1680" s="2">
        <f t="shared" si="26"/>
        <v>43748.557661608793</v>
      </c>
    </row>
    <row r="1681" spans="1:10" x14ac:dyDescent="0.25">
      <c r="A1681" s="7" t="s">
        <v>29000</v>
      </c>
      <c r="B1681" s="8">
        <v>393.75</v>
      </c>
      <c r="C1681" s="8">
        <v>20.531590000000001</v>
      </c>
      <c r="D1681" s="8">
        <v>50</v>
      </c>
      <c r="E1681" s="8">
        <v>0</v>
      </c>
      <c r="F1681" s="8">
        <v>0</v>
      </c>
      <c r="G1681" s="8">
        <v>17</v>
      </c>
      <c r="H1681" s="8" t="s">
        <v>29001</v>
      </c>
      <c r="I1681" s="8">
        <v>526.6875</v>
      </c>
      <c r="J1681" s="3">
        <f t="shared" si="26"/>
        <v>43748.557744988422</v>
      </c>
    </row>
    <row r="1682" spans="1:10" x14ac:dyDescent="0.25">
      <c r="A1682" s="5" t="s">
        <v>29002</v>
      </c>
      <c r="B1682" s="6">
        <v>393.75</v>
      </c>
      <c r="C1682" s="6">
        <v>20.584240000000001</v>
      </c>
      <c r="D1682" s="6">
        <v>50</v>
      </c>
      <c r="E1682" s="6">
        <v>0</v>
      </c>
      <c r="F1682" s="6">
        <v>0</v>
      </c>
      <c r="G1682" s="6">
        <v>15</v>
      </c>
      <c r="H1682" s="6" t="s">
        <v>29003</v>
      </c>
      <c r="I1682" s="6">
        <v>526.6875</v>
      </c>
      <c r="J1682" s="2">
        <f t="shared" si="26"/>
        <v>43748.557828437501</v>
      </c>
    </row>
    <row r="1683" spans="1:10" x14ac:dyDescent="0.25">
      <c r="A1683" s="7" t="s">
        <v>29004</v>
      </c>
      <c r="B1683" s="8">
        <v>393.75</v>
      </c>
      <c r="C1683" s="8">
        <v>20.584240000000001</v>
      </c>
      <c r="D1683" s="8">
        <v>50</v>
      </c>
      <c r="E1683" s="8">
        <v>0</v>
      </c>
      <c r="F1683" s="8">
        <v>0</v>
      </c>
      <c r="G1683" s="8">
        <v>18</v>
      </c>
      <c r="H1683" s="8" t="s">
        <v>29005</v>
      </c>
      <c r="I1683" s="8">
        <v>526.6875</v>
      </c>
      <c r="J1683" s="3">
        <f t="shared" si="26"/>
        <v>43748.557912013886</v>
      </c>
    </row>
    <row r="1684" spans="1:10" x14ac:dyDescent="0.25">
      <c r="A1684" s="5" t="s">
        <v>29006</v>
      </c>
      <c r="B1684" s="6">
        <v>393.75</v>
      </c>
      <c r="C1684" s="6">
        <v>20.531590000000001</v>
      </c>
      <c r="D1684" s="6">
        <v>50</v>
      </c>
      <c r="E1684" s="6">
        <v>0</v>
      </c>
      <c r="F1684" s="6">
        <v>0</v>
      </c>
      <c r="G1684" s="6">
        <v>12</v>
      </c>
      <c r="H1684" s="6" t="s">
        <v>29007</v>
      </c>
      <c r="I1684" s="6">
        <v>526.6875</v>
      </c>
      <c r="J1684" s="2">
        <f t="shared" si="26"/>
        <v>43748.557995555551</v>
      </c>
    </row>
    <row r="1685" spans="1:10" x14ac:dyDescent="0.25">
      <c r="A1685" s="7" t="s">
        <v>29008</v>
      </c>
      <c r="B1685" s="8">
        <v>393.75</v>
      </c>
      <c r="C1685" s="8">
        <v>20.584240000000001</v>
      </c>
      <c r="D1685" s="8">
        <v>50</v>
      </c>
      <c r="E1685" s="8">
        <v>0</v>
      </c>
      <c r="F1685" s="8">
        <v>0</v>
      </c>
      <c r="G1685" s="8">
        <v>20</v>
      </c>
      <c r="H1685" s="8" t="s">
        <v>29009</v>
      </c>
      <c r="I1685" s="8">
        <v>526.6875</v>
      </c>
      <c r="J1685" s="3">
        <f t="shared" si="26"/>
        <v>43748.558089004626</v>
      </c>
    </row>
    <row r="1686" spans="1:10" x14ac:dyDescent="0.25">
      <c r="A1686" s="5" t="s">
        <v>29010</v>
      </c>
      <c r="B1686" s="6">
        <v>393.75</v>
      </c>
      <c r="C1686" s="6">
        <v>20.531590000000001</v>
      </c>
      <c r="D1686" s="6">
        <v>51</v>
      </c>
      <c r="E1686" s="6">
        <v>0</v>
      </c>
      <c r="F1686" s="6">
        <v>0</v>
      </c>
      <c r="G1686" s="6">
        <v>20</v>
      </c>
      <c r="H1686" s="6" t="s">
        <v>29011</v>
      </c>
      <c r="I1686" s="6">
        <v>526.6875</v>
      </c>
      <c r="J1686" s="2">
        <f t="shared" si="26"/>
        <v>43748.558162465277</v>
      </c>
    </row>
    <row r="1687" spans="1:10" x14ac:dyDescent="0.25">
      <c r="A1687" s="7" t="s">
        <v>29012</v>
      </c>
      <c r="B1687" s="8">
        <v>393.75</v>
      </c>
      <c r="C1687" s="8">
        <v>20.584240000000001</v>
      </c>
      <c r="D1687" s="8">
        <v>52</v>
      </c>
      <c r="E1687" s="8">
        <v>0</v>
      </c>
      <c r="F1687" s="8">
        <v>0</v>
      </c>
      <c r="G1687" s="8">
        <v>22</v>
      </c>
      <c r="H1687" s="8" t="s">
        <v>29013</v>
      </c>
      <c r="I1687" s="8">
        <v>526.6875</v>
      </c>
      <c r="J1687" s="3">
        <f t="shared" si="26"/>
        <v>43748.558246145833</v>
      </c>
    </row>
    <row r="1688" spans="1:10" x14ac:dyDescent="0.25">
      <c r="A1688" s="5" t="s">
        <v>29014</v>
      </c>
      <c r="B1688" s="6">
        <v>393.75</v>
      </c>
      <c r="C1688" s="6">
        <v>20.531590000000001</v>
      </c>
      <c r="D1688" s="6">
        <v>52</v>
      </c>
      <c r="E1688" s="6">
        <v>0</v>
      </c>
      <c r="F1688" s="6">
        <v>0</v>
      </c>
      <c r="G1688" s="6">
        <v>19</v>
      </c>
      <c r="H1688" s="6" t="s">
        <v>29015</v>
      </c>
      <c r="I1688" s="6">
        <v>526.6875</v>
      </c>
      <c r="J1688" s="2">
        <f t="shared" si="26"/>
        <v>43748.558329479165</v>
      </c>
    </row>
    <row r="1689" spans="1:10" x14ac:dyDescent="0.25">
      <c r="A1689" s="7" t="s">
        <v>29016</v>
      </c>
      <c r="B1689" s="8">
        <v>415.625</v>
      </c>
      <c r="C1689" s="8">
        <v>20.584240000000001</v>
      </c>
      <c r="D1689" s="8">
        <v>51</v>
      </c>
      <c r="E1689" s="8">
        <v>0</v>
      </c>
      <c r="F1689" s="8">
        <v>0</v>
      </c>
      <c r="G1689" s="8">
        <v>25</v>
      </c>
      <c r="H1689" s="8" t="s">
        <v>29017</v>
      </c>
      <c r="I1689" s="8">
        <v>533.625</v>
      </c>
      <c r="J1689" s="3">
        <f t="shared" si="26"/>
        <v>43748.558412951388</v>
      </c>
    </row>
    <row r="1690" spans="1:10" x14ac:dyDescent="0.25">
      <c r="A1690" s="5" t="s">
        <v>29018</v>
      </c>
      <c r="B1690" s="6">
        <v>393.75</v>
      </c>
      <c r="C1690" s="6">
        <v>20.531590000000001</v>
      </c>
      <c r="D1690" s="6">
        <v>51</v>
      </c>
      <c r="E1690" s="6">
        <v>0</v>
      </c>
      <c r="F1690" s="6">
        <v>0</v>
      </c>
      <c r="G1690" s="6">
        <v>8</v>
      </c>
      <c r="H1690" s="6" t="s">
        <v>29019</v>
      </c>
      <c r="I1690" s="6">
        <v>526.6875</v>
      </c>
      <c r="J1690" s="2">
        <f t="shared" si="26"/>
        <v>43748.55848446759</v>
      </c>
    </row>
    <row r="1691" spans="1:10" x14ac:dyDescent="0.25">
      <c r="A1691" s="7" t="s">
        <v>29020</v>
      </c>
      <c r="B1691" s="8">
        <v>393.75</v>
      </c>
      <c r="C1691" s="8">
        <v>20.584240000000001</v>
      </c>
      <c r="D1691" s="8">
        <v>51</v>
      </c>
      <c r="E1691" s="8">
        <v>0</v>
      </c>
      <c r="F1691" s="8">
        <v>0</v>
      </c>
      <c r="G1691" s="8">
        <v>5</v>
      </c>
      <c r="H1691" s="8" t="s">
        <v>29021</v>
      </c>
      <c r="I1691" s="8">
        <v>526.6875</v>
      </c>
      <c r="J1691" s="3">
        <f t="shared" si="26"/>
        <v>43748.558567777778</v>
      </c>
    </row>
    <row r="1692" spans="1:10" x14ac:dyDescent="0.25">
      <c r="A1692" s="5" t="s">
        <v>29022</v>
      </c>
      <c r="B1692" s="6">
        <v>409.375</v>
      </c>
      <c r="C1692" s="6">
        <v>20.531590000000001</v>
      </c>
      <c r="D1692" s="6">
        <v>52</v>
      </c>
      <c r="E1692" s="6">
        <v>0</v>
      </c>
      <c r="F1692" s="6">
        <v>0</v>
      </c>
      <c r="G1692" s="6">
        <v>17</v>
      </c>
      <c r="H1692" s="6" t="s">
        <v>29023</v>
      </c>
      <c r="I1692" s="6">
        <v>531.75</v>
      </c>
      <c r="J1692" s="2">
        <f t="shared" si="26"/>
        <v>43748.558639652772</v>
      </c>
    </row>
    <row r="1693" spans="1:10" x14ac:dyDescent="0.25">
      <c r="A1693" s="7" t="s">
        <v>29024</v>
      </c>
      <c r="B1693" s="8">
        <v>393.75</v>
      </c>
      <c r="C1693" s="8">
        <v>20.584240000000001</v>
      </c>
      <c r="D1693" s="8">
        <v>51</v>
      </c>
      <c r="E1693" s="8">
        <v>0</v>
      </c>
      <c r="F1693" s="8">
        <v>0</v>
      </c>
      <c r="G1693" s="8">
        <v>15</v>
      </c>
      <c r="H1693" s="8" t="s">
        <v>29025</v>
      </c>
      <c r="I1693" s="8">
        <v>526.6875</v>
      </c>
      <c r="J1693" s="3">
        <f t="shared" si="26"/>
        <v>43748.558723159724</v>
      </c>
    </row>
    <row r="1694" spans="1:10" x14ac:dyDescent="0.25">
      <c r="A1694" s="5" t="s">
        <v>29026</v>
      </c>
      <c r="B1694" s="6">
        <v>393.75</v>
      </c>
      <c r="C1694" s="6">
        <v>20.584240000000001</v>
      </c>
      <c r="D1694" s="6">
        <v>53</v>
      </c>
      <c r="E1694" s="6">
        <v>0</v>
      </c>
      <c r="F1694" s="6">
        <v>0</v>
      </c>
      <c r="G1694" s="6">
        <v>9</v>
      </c>
      <c r="H1694" s="6" t="s">
        <v>29027</v>
      </c>
      <c r="I1694" s="6">
        <v>526.6875</v>
      </c>
      <c r="J1694" s="2">
        <f t="shared" si="26"/>
        <v>43748.558806550922</v>
      </c>
    </row>
    <row r="1695" spans="1:10" x14ac:dyDescent="0.25">
      <c r="A1695" s="7" t="s">
        <v>29028</v>
      </c>
      <c r="B1695" s="8">
        <v>393.75</v>
      </c>
      <c r="C1695" s="8">
        <v>20.584240000000001</v>
      </c>
      <c r="D1695" s="8">
        <v>51</v>
      </c>
      <c r="E1695" s="8">
        <v>0</v>
      </c>
      <c r="F1695" s="8">
        <v>0</v>
      </c>
      <c r="G1695" s="8">
        <v>14</v>
      </c>
      <c r="H1695" s="8" t="s">
        <v>29029</v>
      </c>
      <c r="I1695" s="8">
        <v>526.6875</v>
      </c>
      <c r="J1695" s="3">
        <f t="shared" si="26"/>
        <v>43748.558889768516</v>
      </c>
    </row>
    <row r="1696" spans="1:10" x14ac:dyDescent="0.25">
      <c r="A1696" s="5" t="s">
        <v>29030</v>
      </c>
      <c r="B1696" s="6">
        <v>393.75</v>
      </c>
      <c r="C1696" s="6">
        <v>20.584240000000001</v>
      </c>
      <c r="D1696" s="6">
        <v>51</v>
      </c>
      <c r="E1696" s="6">
        <v>0</v>
      </c>
      <c r="F1696" s="6">
        <v>0</v>
      </c>
      <c r="G1696" s="6">
        <v>15</v>
      </c>
      <c r="H1696" s="6" t="s">
        <v>29031</v>
      </c>
      <c r="I1696" s="6">
        <v>526.6875</v>
      </c>
      <c r="J1696" s="2">
        <f t="shared" si="26"/>
        <v>43748.558961435185</v>
      </c>
    </row>
    <row r="1697" spans="1:10" x14ac:dyDescent="0.25">
      <c r="A1697" s="7" t="s">
        <v>29032</v>
      </c>
      <c r="B1697" s="8">
        <v>393.75</v>
      </c>
      <c r="C1697" s="8">
        <v>20.531590000000001</v>
      </c>
      <c r="D1697" s="8">
        <v>50</v>
      </c>
      <c r="E1697" s="8">
        <v>0</v>
      </c>
      <c r="F1697" s="8">
        <v>0</v>
      </c>
      <c r="G1697" s="8">
        <v>19</v>
      </c>
      <c r="H1697" s="8" t="s">
        <v>29033</v>
      </c>
      <c r="I1697" s="8">
        <v>526.6875</v>
      </c>
      <c r="J1697" s="3">
        <f t="shared" si="26"/>
        <v>43748.559045335649</v>
      </c>
    </row>
    <row r="1698" spans="1:10" x14ac:dyDescent="0.25">
      <c r="A1698" s="5" t="s">
        <v>29034</v>
      </c>
      <c r="B1698" s="6">
        <v>393.75</v>
      </c>
      <c r="C1698" s="6">
        <v>20.584240000000001</v>
      </c>
      <c r="D1698" s="6">
        <v>51</v>
      </c>
      <c r="E1698" s="6">
        <v>0</v>
      </c>
      <c r="F1698" s="6">
        <v>0</v>
      </c>
      <c r="G1698" s="6">
        <v>11</v>
      </c>
      <c r="H1698" s="6" t="s">
        <v>29035</v>
      </c>
      <c r="I1698" s="6">
        <v>526.5</v>
      </c>
      <c r="J1698" s="2">
        <f t="shared" si="26"/>
        <v>43748.55912868055</v>
      </c>
    </row>
    <row r="1699" spans="1:10" x14ac:dyDescent="0.25">
      <c r="A1699" s="7" t="s">
        <v>29036</v>
      </c>
      <c r="B1699" s="8">
        <v>393.75</v>
      </c>
      <c r="C1699" s="8">
        <v>20.584240000000001</v>
      </c>
      <c r="D1699" s="8">
        <v>52</v>
      </c>
      <c r="E1699" s="8">
        <v>0</v>
      </c>
      <c r="F1699" s="8">
        <v>0</v>
      </c>
      <c r="G1699" s="8">
        <v>22</v>
      </c>
      <c r="H1699" s="8" t="s">
        <v>29037</v>
      </c>
      <c r="I1699" s="8">
        <v>526.6875</v>
      </c>
      <c r="J1699" s="3">
        <f t="shared" si="26"/>
        <v>43748.559212002314</v>
      </c>
    </row>
    <row r="1700" spans="1:10" x14ac:dyDescent="0.25">
      <c r="A1700" s="5" t="s">
        <v>29038</v>
      </c>
      <c r="B1700" s="6">
        <v>393.75</v>
      </c>
      <c r="C1700" s="6">
        <v>20.531590000000001</v>
      </c>
      <c r="D1700" s="6">
        <v>51</v>
      </c>
      <c r="E1700" s="6">
        <v>0</v>
      </c>
      <c r="F1700" s="6">
        <v>0</v>
      </c>
      <c r="G1700" s="6">
        <v>20</v>
      </c>
      <c r="H1700" s="6" t="s">
        <v>29039</v>
      </c>
      <c r="I1700" s="6">
        <v>526.6875</v>
      </c>
      <c r="J1700" s="2">
        <f t="shared" si="26"/>
        <v>43748.559283749993</v>
      </c>
    </row>
    <row r="1701" spans="1:10" x14ac:dyDescent="0.25">
      <c r="A1701" s="7" t="s">
        <v>29040</v>
      </c>
      <c r="B1701" s="8">
        <v>393.75</v>
      </c>
      <c r="C1701" s="8">
        <v>20.531590000000001</v>
      </c>
      <c r="D1701" s="8">
        <v>52</v>
      </c>
      <c r="E1701" s="8">
        <v>0</v>
      </c>
      <c r="F1701" s="8">
        <v>0</v>
      </c>
      <c r="G1701" s="8">
        <v>19</v>
      </c>
      <c r="H1701" s="8" t="s">
        <v>29041</v>
      </c>
      <c r="I1701" s="8">
        <v>526.6875</v>
      </c>
      <c r="J1701" s="3">
        <f t="shared" si="26"/>
        <v>43748.559378969905</v>
      </c>
    </row>
    <row r="1702" spans="1:10" x14ac:dyDescent="0.25">
      <c r="A1702" s="5" t="s">
        <v>29042</v>
      </c>
      <c r="B1702" s="6">
        <v>412.5</v>
      </c>
      <c r="C1702" s="6">
        <v>20.531590000000001</v>
      </c>
      <c r="D1702" s="6">
        <v>53</v>
      </c>
      <c r="E1702" s="6">
        <v>0</v>
      </c>
      <c r="F1702" s="6">
        <v>0</v>
      </c>
      <c r="G1702" s="6">
        <v>12</v>
      </c>
      <c r="H1702" s="6" t="s">
        <v>29043</v>
      </c>
      <c r="I1702" s="6">
        <v>532.6875</v>
      </c>
      <c r="J1702" s="2">
        <f t="shared" si="26"/>
        <v>43748.559450740737</v>
      </c>
    </row>
    <row r="1703" spans="1:10" x14ac:dyDescent="0.25">
      <c r="A1703" s="7" t="s">
        <v>29044</v>
      </c>
      <c r="B1703" s="8">
        <v>393.75</v>
      </c>
      <c r="C1703" s="8">
        <v>20.584240000000001</v>
      </c>
      <c r="D1703" s="8">
        <v>53</v>
      </c>
      <c r="E1703" s="8">
        <v>0</v>
      </c>
      <c r="F1703" s="8">
        <v>0</v>
      </c>
      <c r="G1703" s="8">
        <v>9</v>
      </c>
      <c r="H1703" s="8" t="s">
        <v>29045</v>
      </c>
      <c r="I1703" s="8">
        <v>526.6875</v>
      </c>
      <c r="J1703" s="3">
        <f t="shared" si="26"/>
        <v>43748.559534189808</v>
      </c>
    </row>
    <row r="1704" spans="1:10" x14ac:dyDescent="0.25">
      <c r="A1704" s="5" t="s">
        <v>29046</v>
      </c>
      <c r="B1704" s="6">
        <v>393.75</v>
      </c>
      <c r="C1704" s="6">
        <v>20.531590000000001</v>
      </c>
      <c r="D1704" s="6">
        <v>53</v>
      </c>
      <c r="E1704" s="6">
        <v>0</v>
      </c>
      <c r="F1704" s="6">
        <v>0</v>
      </c>
      <c r="G1704" s="6">
        <v>12</v>
      </c>
      <c r="H1704" s="6" t="s">
        <v>29047</v>
      </c>
      <c r="I1704" s="6">
        <v>526.6875</v>
      </c>
      <c r="J1704" s="2">
        <f t="shared" si="26"/>
        <v>43748.559629560179</v>
      </c>
    </row>
    <row r="1705" spans="1:10" x14ac:dyDescent="0.25">
      <c r="A1705" s="7" t="s">
        <v>29048</v>
      </c>
      <c r="B1705" s="8">
        <v>393.75</v>
      </c>
      <c r="C1705" s="8">
        <v>20.584240000000001</v>
      </c>
      <c r="D1705" s="8">
        <v>52</v>
      </c>
      <c r="E1705" s="8">
        <v>0</v>
      </c>
      <c r="F1705" s="8">
        <v>0</v>
      </c>
      <c r="G1705" s="8">
        <v>18</v>
      </c>
      <c r="H1705" s="8" t="s">
        <v>29049</v>
      </c>
      <c r="I1705" s="8">
        <v>526.6875</v>
      </c>
      <c r="J1705" s="3">
        <f t="shared" si="26"/>
        <v>43748.559713101851</v>
      </c>
    </row>
    <row r="1706" spans="1:10" x14ac:dyDescent="0.25">
      <c r="A1706" s="5" t="s">
        <v>29050</v>
      </c>
      <c r="B1706" s="6">
        <v>393.75</v>
      </c>
      <c r="C1706" s="6">
        <v>20.531590000000001</v>
      </c>
      <c r="D1706" s="6">
        <v>50</v>
      </c>
      <c r="E1706" s="6">
        <v>0</v>
      </c>
      <c r="F1706" s="6">
        <v>0</v>
      </c>
      <c r="G1706" s="6">
        <v>14</v>
      </c>
      <c r="H1706" s="6" t="s">
        <v>29051</v>
      </c>
      <c r="I1706" s="6">
        <v>526.5</v>
      </c>
      <c r="J1706" s="2">
        <f t="shared" si="26"/>
        <v>43748.559796666661</v>
      </c>
    </row>
    <row r="1707" spans="1:10" x14ac:dyDescent="0.25">
      <c r="A1707" s="7" t="s">
        <v>29052</v>
      </c>
      <c r="B1707" s="8">
        <v>393.75</v>
      </c>
      <c r="C1707" s="8">
        <v>20.478950000000001</v>
      </c>
      <c r="D1707" s="8">
        <v>52</v>
      </c>
      <c r="E1707" s="8">
        <v>0</v>
      </c>
      <c r="F1707" s="8">
        <v>0</v>
      </c>
      <c r="G1707" s="8">
        <v>16</v>
      </c>
      <c r="H1707" s="8" t="s">
        <v>29053</v>
      </c>
      <c r="I1707" s="8">
        <v>526.6875</v>
      </c>
      <c r="J1707" s="3">
        <f t="shared" si="26"/>
        <v>43748.559880127308</v>
      </c>
    </row>
    <row r="1708" spans="1:10" x14ac:dyDescent="0.25">
      <c r="A1708" s="5" t="s">
        <v>29054</v>
      </c>
      <c r="B1708" s="6">
        <v>393.75</v>
      </c>
      <c r="C1708" s="6">
        <v>20.584240000000001</v>
      </c>
      <c r="D1708" s="6">
        <v>50</v>
      </c>
      <c r="E1708" s="6">
        <v>0</v>
      </c>
      <c r="F1708" s="6">
        <v>0</v>
      </c>
      <c r="G1708" s="6">
        <v>17</v>
      </c>
      <c r="H1708" s="6" t="s">
        <v>29055</v>
      </c>
      <c r="I1708" s="6">
        <v>526.6875</v>
      </c>
      <c r="J1708" s="2">
        <f t="shared" si="26"/>
        <v>43748.559963807864</v>
      </c>
    </row>
    <row r="1709" spans="1:10" x14ac:dyDescent="0.25">
      <c r="A1709" s="7" t="s">
        <v>29056</v>
      </c>
      <c r="B1709" s="8">
        <v>412.5</v>
      </c>
      <c r="C1709" s="8">
        <v>20.584240000000001</v>
      </c>
      <c r="D1709" s="8">
        <v>50</v>
      </c>
      <c r="E1709" s="8">
        <v>0</v>
      </c>
      <c r="F1709" s="8">
        <v>0</v>
      </c>
      <c r="G1709" s="8">
        <v>23</v>
      </c>
      <c r="H1709" s="8" t="s">
        <v>29057</v>
      </c>
      <c r="I1709" s="8">
        <v>532.3125</v>
      </c>
      <c r="J1709" s="3">
        <f t="shared" si="26"/>
        <v>43748.560047141196</v>
      </c>
    </row>
    <row r="1710" spans="1:10" x14ac:dyDescent="0.25">
      <c r="A1710" s="5" t="s">
        <v>29058</v>
      </c>
      <c r="B1710" s="6">
        <v>393.75</v>
      </c>
      <c r="C1710" s="6">
        <v>20.531590000000001</v>
      </c>
      <c r="D1710" s="6">
        <v>52</v>
      </c>
      <c r="E1710" s="6">
        <v>0</v>
      </c>
      <c r="F1710" s="6">
        <v>0</v>
      </c>
      <c r="G1710" s="6">
        <v>22</v>
      </c>
      <c r="H1710" s="6" t="s">
        <v>29059</v>
      </c>
      <c r="I1710" s="6">
        <v>526.6875</v>
      </c>
      <c r="J1710" s="2">
        <f t="shared" si="26"/>
        <v>43748.560130474536</v>
      </c>
    </row>
    <row r="1711" spans="1:10" x14ac:dyDescent="0.25">
      <c r="A1711" s="7" t="s">
        <v>29060</v>
      </c>
      <c r="B1711" s="8">
        <v>393.75</v>
      </c>
      <c r="C1711" s="8">
        <v>20.584240000000001</v>
      </c>
      <c r="D1711" s="8">
        <v>52</v>
      </c>
      <c r="E1711" s="8">
        <v>0</v>
      </c>
      <c r="F1711" s="8">
        <v>0</v>
      </c>
      <c r="G1711" s="8">
        <v>28</v>
      </c>
      <c r="H1711" s="8" t="s">
        <v>29061</v>
      </c>
      <c r="I1711" s="8">
        <v>526.6875</v>
      </c>
      <c r="J1711" s="3">
        <f t="shared" si="26"/>
        <v>43748.56020266204</v>
      </c>
    </row>
    <row r="1712" spans="1:10" x14ac:dyDescent="0.25">
      <c r="A1712" s="5" t="s">
        <v>29062</v>
      </c>
      <c r="B1712" s="6">
        <v>393.75</v>
      </c>
      <c r="C1712" s="6">
        <v>20.584240000000001</v>
      </c>
      <c r="D1712" s="6">
        <v>53</v>
      </c>
      <c r="E1712" s="6">
        <v>0</v>
      </c>
      <c r="F1712" s="6">
        <v>0</v>
      </c>
      <c r="G1712" s="6">
        <v>19</v>
      </c>
      <c r="H1712" s="6" t="s">
        <v>29063</v>
      </c>
      <c r="I1712" s="6">
        <v>526.6875</v>
      </c>
      <c r="J1712" s="2">
        <f t="shared" si="26"/>
        <v>43748.560285798609</v>
      </c>
    </row>
    <row r="1713" spans="1:10" x14ac:dyDescent="0.25">
      <c r="A1713" s="7" t="s">
        <v>29064</v>
      </c>
      <c r="B1713" s="8">
        <v>393.75</v>
      </c>
      <c r="C1713" s="8">
        <v>20.531590000000001</v>
      </c>
      <c r="D1713" s="8">
        <v>53</v>
      </c>
      <c r="E1713" s="8">
        <v>0</v>
      </c>
      <c r="F1713" s="8">
        <v>0</v>
      </c>
      <c r="G1713" s="8">
        <v>31</v>
      </c>
      <c r="H1713" s="8" t="s">
        <v>29065</v>
      </c>
      <c r="I1713" s="8">
        <v>526.6875</v>
      </c>
      <c r="J1713" s="3">
        <f t="shared" si="26"/>
        <v>43748.560368888888</v>
      </c>
    </row>
    <row r="1714" spans="1:10" x14ac:dyDescent="0.25">
      <c r="A1714" s="5" t="s">
        <v>29066</v>
      </c>
      <c r="B1714" s="6">
        <v>412.5</v>
      </c>
      <c r="C1714" s="6">
        <v>20.531590000000001</v>
      </c>
      <c r="D1714" s="6">
        <v>52</v>
      </c>
      <c r="E1714" s="6">
        <v>0</v>
      </c>
      <c r="F1714" s="6">
        <v>0</v>
      </c>
      <c r="G1714" s="6">
        <v>24</v>
      </c>
      <c r="H1714" s="6" t="s">
        <v>29067</v>
      </c>
      <c r="I1714" s="6">
        <v>532.3125</v>
      </c>
      <c r="J1714" s="2">
        <f t="shared" si="26"/>
        <v>43748.560452696758</v>
      </c>
    </row>
    <row r="1715" spans="1:10" x14ac:dyDescent="0.25">
      <c r="A1715" s="7" t="s">
        <v>29068</v>
      </c>
      <c r="B1715" s="8">
        <v>393.75</v>
      </c>
      <c r="C1715" s="8">
        <v>20.478950000000001</v>
      </c>
      <c r="D1715" s="8">
        <v>52</v>
      </c>
      <c r="E1715" s="8">
        <v>0</v>
      </c>
      <c r="F1715" s="8">
        <v>0</v>
      </c>
      <c r="G1715" s="8">
        <v>22</v>
      </c>
      <c r="H1715" s="8" t="s">
        <v>29069</v>
      </c>
      <c r="I1715" s="8">
        <v>526.6875</v>
      </c>
      <c r="J1715" s="3">
        <f t="shared" si="26"/>
        <v>43748.560524224529</v>
      </c>
    </row>
    <row r="1716" spans="1:10" x14ac:dyDescent="0.25">
      <c r="A1716" s="5" t="s">
        <v>29070</v>
      </c>
      <c r="B1716" s="6">
        <v>393.75</v>
      </c>
      <c r="C1716" s="6">
        <v>20.584240000000001</v>
      </c>
      <c r="D1716" s="6">
        <v>58</v>
      </c>
      <c r="E1716" s="6">
        <v>0</v>
      </c>
      <c r="F1716" s="6">
        <v>0</v>
      </c>
      <c r="G1716" s="6">
        <v>18</v>
      </c>
      <c r="H1716" s="6" t="s">
        <v>29071</v>
      </c>
      <c r="I1716" s="6">
        <v>526.6875</v>
      </c>
      <c r="J1716" s="2">
        <f t="shared" si="26"/>
        <v>43748.560607789354</v>
      </c>
    </row>
    <row r="1717" spans="1:10" x14ac:dyDescent="0.25">
      <c r="A1717" s="7" t="s">
        <v>29072</v>
      </c>
      <c r="B1717" s="8">
        <v>393.75</v>
      </c>
      <c r="C1717" s="8">
        <v>20.531590000000001</v>
      </c>
      <c r="D1717" s="8">
        <v>56</v>
      </c>
      <c r="E1717" s="8">
        <v>0</v>
      </c>
      <c r="F1717" s="8">
        <v>0</v>
      </c>
      <c r="G1717" s="8">
        <v>19</v>
      </c>
      <c r="H1717" s="8" t="s">
        <v>29073</v>
      </c>
      <c r="I1717" s="8">
        <v>526.6875</v>
      </c>
      <c r="J1717" s="3">
        <f t="shared" si="26"/>
        <v>43748.560691354163</v>
      </c>
    </row>
    <row r="1718" spans="1:10" x14ac:dyDescent="0.25">
      <c r="A1718" s="5" t="s">
        <v>29074</v>
      </c>
      <c r="B1718" s="6">
        <v>393.75</v>
      </c>
      <c r="C1718" s="6">
        <v>20.531590000000001</v>
      </c>
      <c r="D1718" s="6">
        <v>55</v>
      </c>
      <c r="E1718" s="6">
        <v>0</v>
      </c>
      <c r="F1718" s="6">
        <v>0</v>
      </c>
      <c r="G1718" s="6">
        <v>16</v>
      </c>
      <c r="H1718" s="6" t="s">
        <v>29075</v>
      </c>
      <c r="I1718" s="6">
        <v>526.6875</v>
      </c>
      <c r="J1718" s="2">
        <f t="shared" si="26"/>
        <v>43748.560774930556</v>
      </c>
    </row>
    <row r="1719" spans="1:10" x14ac:dyDescent="0.25">
      <c r="A1719" s="7" t="s">
        <v>29076</v>
      </c>
      <c r="B1719" s="8">
        <v>412.5</v>
      </c>
      <c r="C1719" s="8">
        <v>20.584240000000001</v>
      </c>
      <c r="D1719" s="8">
        <v>53</v>
      </c>
      <c r="E1719" s="8">
        <v>0</v>
      </c>
      <c r="F1719" s="8">
        <v>0</v>
      </c>
      <c r="G1719" s="8">
        <v>21</v>
      </c>
      <c r="H1719" s="8" t="s">
        <v>29077</v>
      </c>
      <c r="I1719" s="8">
        <v>532.875</v>
      </c>
      <c r="J1719" s="3">
        <f t="shared" si="26"/>
        <v>43748.560858240737</v>
      </c>
    </row>
    <row r="1720" spans="1:10" x14ac:dyDescent="0.25">
      <c r="A1720" s="5" t="s">
        <v>29078</v>
      </c>
      <c r="B1720" s="6">
        <v>393.75</v>
      </c>
      <c r="C1720" s="6">
        <v>20.531590000000001</v>
      </c>
      <c r="D1720" s="6">
        <v>55</v>
      </c>
      <c r="E1720" s="6">
        <v>0</v>
      </c>
      <c r="F1720" s="6">
        <v>0</v>
      </c>
      <c r="G1720" s="6">
        <v>24</v>
      </c>
      <c r="H1720" s="6" t="s">
        <v>29079</v>
      </c>
      <c r="I1720" s="6">
        <v>526.875</v>
      </c>
      <c r="J1720" s="2">
        <f t="shared" si="26"/>
        <v>43748.560941620373</v>
      </c>
    </row>
    <row r="1721" spans="1:10" x14ac:dyDescent="0.25">
      <c r="A1721" s="7" t="s">
        <v>29080</v>
      </c>
      <c r="B1721" s="8">
        <v>393.75</v>
      </c>
      <c r="C1721" s="8">
        <v>20.584240000000001</v>
      </c>
      <c r="D1721" s="8">
        <v>55</v>
      </c>
      <c r="E1721" s="8">
        <v>0</v>
      </c>
      <c r="F1721" s="8">
        <v>0</v>
      </c>
      <c r="G1721" s="8">
        <v>19</v>
      </c>
      <c r="H1721" s="8" t="s">
        <v>29081</v>
      </c>
      <c r="I1721" s="8">
        <v>526.6875</v>
      </c>
      <c r="J1721" s="3">
        <f t="shared" si="26"/>
        <v>43748.561014074068</v>
      </c>
    </row>
    <row r="1722" spans="1:10" x14ac:dyDescent="0.25">
      <c r="A1722" s="5" t="s">
        <v>29082</v>
      </c>
      <c r="B1722" s="6">
        <v>393.75</v>
      </c>
      <c r="C1722" s="6">
        <v>20.584240000000001</v>
      </c>
      <c r="D1722" s="6">
        <v>58</v>
      </c>
      <c r="E1722" s="6">
        <v>0</v>
      </c>
      <c r="F1722" s="6">
        <v>0</v>
      </c>
      <c r="G1722" s="6">
        <v>8</v>
      </c>
      <c r="H1722" s="6" t="s">
        <v>29083</v>
      </c>
      <c r="I1722" s="6">
        <v>526.6875</v>
      </c>
      <c r="J1722" s="2">
        <f t="shared" si="26"/>
        <v>43748.561096909725</v>
      </c>
    </row>
    <row r="1723" spans="1:10" x14ac:dyDescent="0.25">
      <c r="A1723" s="7" t="s">
        <v>29084</v>
      </c>
      <c r="B1723" s="8">
        <v>393.75</v>
      </c>
      <c r="C1723" s="8">
        <v>20.584240000000001</v>
      </c>
      <c r="D1723" s="8">
        <v>58</v>
      </c>
      <c r="E1723" s="8">
        <v>0</v>
      </c>
      <c r="F1723" s="8">
        <v>0</v>
      </c>
      <c r="G1723" s="8">
        <v>10</v>
      </c>
      <c r="H1723" s="8" t="s">
        <v>29085</v>
      </c>
      <c r="I1723" s="8">
        <v>526.6875</v>
      </c>
      <c r="J1723" s="3">
        <f t="shared" si="26"/>
        <v>43748.561180370372</v>
      </c>
    </row>
    <row r="1724" spans="1:10" x14ac:dyDescent="0.25">
      <c r="A1724" s="5" t="s">
        <v>29086</v>
      </c>
      <c r="B1724" s="6">
        <v>412.5</v>
      </c>
      <c r="C1724" s="6">
        <v>20.584240000000001</v>
      </c>
      <c r="D1724" s="6">
        <v>57</v>
      </c>
      <c r="E1724" s="6">
        <v>0</v>
      </c>
      <c r="F1724" s="6">
        <v>0</v>
      </c>
      <c r="G1724" s="6">
        <v>8</v>
      </c>
      <c r="H1724" s="6" t="s">
        <v>29087</v>
      </c>
      <c r="I1724" s="6">
        <v>532.6875</v>
      </c>
      <c r="J1724" s="2">
        <f t="shared" si="26"/>
        <v>43748.561263807867</v>
      </c>
    </row>
    <row r="1725" spans="1:10" x14ac:dyDescent="0.25">
      <c r="A1725" s="7" t="s">
        <v>29088</v>
      </c>
      <c r="B1725" s="8">
        <v>393.75</v>
      </c>
      <c r="C1725" s="8">
        <v>20.584240000000001</v>
      </c>
      <c r="D1725" s="8">
        <v>56</v>
      </c>
      <c r="E1725" s="8">
        <v>0</v>
      </c>
      <c r="F1725" s="8">
        <v>0</v>
      </c>
      <c r="G1725" s="8">
        <v>11</v>
      </c>
      <c r="H1725" s="8" t="s">
        <v>29089</v>
      </c>
      <c r="I1725" s="8">
        <v>526.6875</v>
      </c>
      <c r="J1725" s="3">
        <f t="shared" si="26"/>
        <v>43748.561335509257</v>
      </c>
    </row>
    <row r="1726" spans="1:10" x14ac:dyDescent="0.25">
      <c r="A1726" s="5" t="s">
        <v>29090</v>
      </c>
      <c r="B1726" s="6">
        <v>393.75</v>
      </c>
      <c r="C1726" s="6">
        <v>20.531590000000001</v>
      </c>
      <c r="D1726" s="6">
        <v>56</v>
      </c>
      <c r="E1726" s="6">
        <v>0</v>
      </c>
      <c r="F1726" s="6">
        <v>0</v>
      </c>
      <c r="G1726" s="6">
        <v>18</v>
      </c>
      <c r="H1726" s="6" t="s">
        <v>29091</v>
      </c>
      <c r="I1726" s="6">
        <v>526.6875</v>
      </c>
      <c r="J1726" s="2">
        <f t="shared" si="26"/>
        <v>43748.561418888887</v>
      </c>
    </row>
    <row r="1727" spans="1:10" x14ac:dyDescent="0.25">
      <c r="A1727" s="7" t="s">
        <v>29092</v>
      </c>
      <c r="B1727" s="8">
        <v>393.75</v>
      </c>
      <c r="C1727" s="8">
        <v>20.584240000000001</v>
      </c>
      <c r="D1727" s="8">
        <v>56</v>
      </c>
      <c r="E1727" s="8">
        <v>0</v>
      </c>
      <c r="F1727" s="8">
        <v>0</v>
      </c>
      <c r="G1727" s="8">
        <v>10</v>
      </c>
      <c r="H1727" s="8" t="s">
        <v>29093</v>
      </c>
      <c r="I1727" s="8">
        <v>526.6875</v>
      </c>
      <c r="J1727" s="3">
        <f t="shared" si="26"/>
        <v>43748.561502465272</v>
      </c>
    </row>
    <row r="1728" spans="1:10" x14ac:dyDescent="0.25">
      <c r="A1728" s="5" t="s">
        <v>29094</v>
      </c>
      <c r="B1728" s="6">
        <v>393.75</v>
      </c>
      <c r="C1728" s="6">
        <v>20.531590000000001</v>
      </c>
      <c r="D1728" s="6">
        <v>56</v>
      </c>
      <c r="E1728" s="6">
        <v>0</v>
      </c>
      <c r="F1728" s="6">
        <v>0</v>
      </c>
      <c r="G1728" s="6">
        <v>9</v>
      </c>
      <c r="H1728" s="6" t="s">
        <v>29095</v>
      </c>
      <c r="I1728" s="6">
        <v>526.6875</v>
      </c>
      <c r="J1728" s="2">
        <f t="shared" si="26"/>
        <v>43748.561586018513</v>
      </c>
    </row>
    <row r="1729" spans="1:10" x14ac:dyDescent="0.25">
      <c r="A1729" s="7" t="s">
        <v>29096</v>
      </c>
      <c r="B1729" s="8">
        <v>393.75</v>
      </c>
      <c r="C1729" s="8">
        <v>20.584240000000001</v>
      </c>
      <c r="D1729" s="8">
        <v>57</v>
      </c>
      <c r="E1729" s="8">
        <v>0</v>
      </c>
      <c r="F1729" s="8">
        <v>0</v>
      </c>
      <c r="G1729" s="8">
        <v>13</v>
      </c>
      <c r="H1729" s="8" t="s">
        <v>29097</v>
      </c>
      <c r="I1729" s="8">
        <v>526.6875</v>
      </c>
      <c r="J1729" s="3">
        <f t="shared" si="26"/>
        <v>43748.561669479161</v>
      </c>
    </row>
    <row r="1730" spans="1:10" x14ac:dyDescent="0.25">
      <c r="A1730" s="5" t="s">
        <v>29098</v>
      </c>
      <c r="B1730" s="6">
        <v>393.75</v>
      </c>
      <c r="C1730" s="6">
        <v>20.478950000000001</v>
      </c>
      <c r="D1730" s="6">
        <v>57</v>
      </c>
      <c r="E1730" s="6">
        <v>0</v>
      </c>
      <c r="F1730" s="6">
        <v>0</v>
      </c>
      <c r="G1730" s="6">
        <v>16</v>
      </c>
      <c r="H1730" s="6" t="s">
        <v>29099</v>
      </c>
      <c r="I1730" s="6">
        <v>526.6875</v>
      </c>
      <c r="J1730" s="2">
        <f t="shared" ref="J1730:J1793" si="27">(H1730/86400000)+25569+(7/24)</f>
        <v>43748.561752696762</v>
      </c>
    </row>
    <row r="1731" spans="1:10" x14ac:dyDescent="0.25">
      <c r="A1731" s="7" t="s">
        <v>29100</v>
      </c>
      <c r="B1731" s="8">
        <v>393.75</v>
      </c>
      <c r="C1731" s="8">
        <v>20.584240000000001</v>
      </c>
      <c r="D1731" s="8">
        <v>57</v>
      </c>
      <c r="E1731" s="8">
        <v>0</v>
      </c>
      <c r="F1731" s="8">
        <v>0</v>
      </c>
      <c r="G1731" s="8">
        <v>15</v>
      </c>
      <c r="H1731" s="8" t="s">
        <v>29101</v>
      </c>
      <c r="I1731" s="8">
        <v>526.5</v>
      </c>
      <c r="J1731" s="3">
        <f t="shared" si="27"/>
        <v>43748.561824490738</v>
      </c>
    </row>
    <row r="1732" spans="1:10" x14ac:dyDescent="0.25">
      <c r="A1732" s="5" t="s">
        <v>29102</v>
      </c>
      <c r="B1732" s="6">
        <v>393.75</v>
      </c>
      <c r="C1732" s="6">
        <v>20.584240000000001</v>
      </c>
      <c r="D1732" s="6">
        <v>58</v>
      </c>
      <c r="E1732" s="6">
        <v>0</v>
      </c>
      <c r="F1732" s="6">
        <v>0</v>
      </c>
      <c r="G1732" s="6">
        <v>13</v>
      </c>
      <c r="H1732" s="6" t="s">
        <v>29103</v>
      </c>
      <c r="I1732" s="6">
        <v>526.6875</v>
      </c>
      <c r="J1732" s="2">
        <f t="shared" si="27"/>
        <v>43748.561908263888</v>
      </c>
    </row>
    <row r="1733" spans="1:10" x14ac:dyDescent="0.25">
      <c r="A1733" s="7" t="s">
        <v>29104</v>
      </c>
      <c r="B1733" s="8">
        <v>393.75</v>
      </c>
      <c r="C1733" s="8">
        <v>20.531590000000001</v>
      </c>
      <c r="D1733" s="8">
        <v>58</v>
      </c>
      <c r="E1733" s="8">
        <v>0</v>
      </c>
      <c r="F1733" s="8">
        <v>0</v>
      </c>
      <c r="G1733" s="8">
        <v>12</v>
      </c>
      <c r="H1733" s="8" t="s">
        <v>29105</v>
      </c>
      <c r="I1733" s="8">
        <v>526.6875</v>
      </c>
      <c r="J1733" s="3">
        <f t="shared" si="27"/>
        <v>43748.561991458329</v>
      </c>
    </row>
    <row r="1734" spans="1:10" x14ac:dyDescent="0.25">
      <c r="A1734" s="5" t="s">
        <v>29106</v>
      </c>
      <c r="B1734" s="6">
        <v>393.75</v>
      </c>
      <c r="C1734" s="6">
        <v>20.584240000000001</v>
      </c>
      <c r="D1734" s="6">
        <v>58</v>
      </c>
      <c r="E1734" s="6">
        <v>0</v>
      </c>
      <c r="F1734" s="6">
        <v>0</v>
      </c>
      <c r="G1734" s="6">
        <v>9</v>
      </c>
      <c r="H1734" s="6" t="s">
        <v>29107</v>
      </c>
      <c r="I1734" s="6">
        <v>526.6875</v>
      </c>
      <c r="J1734" s="2">
        <f t="shared" si="27"/>
        <v>43748.562086678234</v>
      </c>
    </row>
    <row r="1735" spans="1:10" x14ac:dyDescent="0.25">
      <c r="A1735" s="7" t="s">
        <v>29108</v>
      </c>
      <c r="B1735" s="8">
        <v>393.75</v>
      </c>
      <c r="C1735" s="8">
        <v>20.531590000000001</v>
      </c>
      <c r="D1735" s="8">
        <v>57</v>
      </c>
      <c r="E1735" s="8">
        <v>0</v>
      </c>
      <c r="F1735" s="8">
        <v>0</v>
      </c>
      <c r="G1735" s="8">
        <v>11</v>
      </c>
      <c r="H1735" s="8" t="s">
        <v>29109</v>
      </c>
      <c r="I1735" s="8">
        <v>526.6875</v>
      </c>
      <c r="J1735" s="3">
        <f t="shared" si="27"/>
        <v>43748.562158530091</v>
      </c>
    </row>
    <row r="1736" spans="1:10" x14ac:dyDescent="0.25">
      <c r="A1736" s="5" t="s">
        <v>29110</v>
      </c>
      <c r="B1736" s="6">
        <v>393.75</v>
      </c>
      <c r="C1736" s="6">
        <v>20.531590000000001</v>
      </c>
      <c r="D1736" s="6">
        <v>57</v>
      </c>
      <c r="E1736" s="6">
        <v>0</v>
      </c>
      <c r="F1736" s="6">
        <v>0</v>
      </c>
      <c r="G1736" s="6">
        <v>15</v>
      </c>
      <c r="H1736" s="6" t="s">
        <v>29111</v>
      </c>
      <c r="I1736" s="6">
        <v>526.6875</v>
      </c>
      <c r="J1736" s="2">
        <f t="shared" si="27"/>
        <v>43748.562241747684</v>
      </c>
    </row>
    <row r="1737" spans="1:10" x14ac:dyDescent="0.25">
      <c r="A1737" s="7" t="s">
        <v>29112</v>
      </c>
      <c r="B1737" s="8">
        <v>393.75</v>
      </c>
      <c r="C1737" s="8">
        <v>20.584240000000001</v>
      </c>
      <c r="D1737" s="8">
        <v>56</v>
      </c>
      <c r="E1737" s="8">
        <v>0</v>
      </c>
      <c r="F1737" s="8">
        <v>0</v>
      </c>
      <c r="G1737" s="8">
        <v>16</v>
      </c>
      <c r="H1737" s="8" t="s">
        <v>29113</v>
      </c>
      <c r="I1737" s="8">
        <v>526.5</v>
      </c>
      <c r="J1737" s="3">
        <f t="shared" si="27"/>
        <v>43748.562325648141</v>
      </c>
    </row>
    <row r="1738" spans="1:10" x14ac:dyDescent="0.25">
      <c r="A1738" s="5" t="s">
        <v>29114</v>
      </c>
      <c r="B1738" s="6">
        <v>393.75</v>
      </c>
      <c r="C1738" s="6">
        <v>20.584240000000001</v>
      </c>
      <c r="D1738" s="6">
        <v>55</v>
      </c>
      <c r="E1738" s="6">
        <v>0</v>
      </c>
      <c r="F1738" s="6">
        <v>0</v>
      </c>
      <c r="G1738" s="6">
        <v>18</v>
      </c>
      <c r="H1738" s="6" t="s">
        <v>29115</v>
      </c>
      <c r="I1738" s="6">
        <v>526.6875</v>
      </c>
      <c r="J1738" s="2">
        <f t="shared" si="27"/>
        <v>43748.562408993057</v>
      </c>
    </row>
    <row r="1739" spans="1:10" x14ac:dyDescent="0.25">
      <c r="A1739" s="7" t="s">
        <v>29116</v>
      </c>
      <c r="B1739" s="8">
        <v>393.75</v>
      </c>
      <c r="C1739" s="8">
        <v>20.584240000000001</v>
      </c>
      <c r="D1739" s="8">
        <v>55</v>
      </c>
      <c r="E1739" s="8">
        <v>0</v>
      </c>
      <c r="F1739" s="8">
        <v>0</v>
      </c>
      <c r="G1739" s="8">
        <v>14</v>
      </c>
      <c r="H1739" s="8" t="s">
        <v>29117</v>
      </c>
      <c r="I1739" s="8">
        <v>526.6875</v>
      </c>
      <c r="J1739" s="3">
        <f t="shared" si="27"/>
        <v>43748.562480289351</v>
      </c>
    </row>
    <row r="1740" spans="1:10" x14ac:dyDescent="0.25">
      <c r="A1740" s="5" t="s">
        <v>29118</v>
      </c>
      <c r="B1740" s="6">
        <v>393.75</v>
      </c>
      <c r="C1740" s="6">
        <v>20.584240000000001</v>
      </c>
      <c r="D1740" s="6">
        <v>56</v>
      </c>
      <c r="E1740" s="6">
        <v>0</v>
      </c>
      <c r="F1740" s="6">
        <v>0</v>
      </c>
      <c r="G1740" s="6">
        <v>21</v>
      </c>
      <c r="H1740" s="6" t="s">
        <v>29119</v>
      </c>
      <c r="I1740" s="6">
        <v>526.6875</v>
      </c>
      <c r="J1740" s="2">
        <f t="shared" si="27"/>
        <v>43748.562563854161</v>
      </c>
    </row>
    <row r="1741" spans="1:10" x14ac:dyDescent="0.25">
      <c r="A1741" s="7" t="s">
        <v>29120</v>
      </c>
      <c r="B1741" s="8">
        <v>393.75</v>
      </c>
      <c r="C1741" s="8">
        <v>20.584240000000001</v>
      </c>
      <c r="D1741" s="8">
        <v>56</v>
      </c>
      <c r="E1741" s="8">
        <v>0</v>
      </c>
      <c r="F1741" s="8">
        <v>0</v>
      </c>
      <c r="G1741" s="8">
        <v>13</v>
      </c>
      <c r="H1741" s="8" t="s">
        <v>29121</v>
      </c>
      <c r="I1741" s="8">
        <v>526.6875</v>
      </c>
      <c r="J1741" s="3">
        <f t="shared" si="27"/>
        <v>43748.562635624992</v>
      </c>
    </row>
    <row r="1742" spans="1:10" x14ac:dyDescent="0.25">
      <c r="A1742" s="5" t="s">
        <v>29122</v>
      </c>
      <c r="B1742" s="6">
        <v>412.5</v>
      </c>
      <c r="C1742" s="6">
        <v>20.531590000000001</v>
      </c>
      <c r="D1742" s="6">
        <v>55</v>
      </c>
      <c r="E1742" s="6">
        <v>0</v>
      </c>
      <c r="F1742" s="6">
        <v>0</v>
      </c>
      <c r="G1742" s="6">
        <v>7</v>
      </c>
      <c r="H1742" s="6" t="s">
        <v>29123</v>
      </c>
      <c r="I1742" s="6">
        <v>532.5</v>
      </c>
      <c r="J1742" s="2">
        <f t="shared" si="27"/>
        <v>43748.562719398142</v>
      </c>
    </row>
    <row r="1743" spans="1:10" x14ac:dyDescent="0.25">
      <c r="A1743" s="7" t="s">
        <v>29124</v>
      </c>
      <c r="B1743" s="8">
        <v>393.75</v>
      </c>
      <c r="C1743" s="8">
        <v>20.531590000000001</v>
      </c>
      <c r="D1743" s="8">
        <v>55</v>
      </c>
      <c r="E1743" s="8">
        <v>0</v>
      </c>
      <c r="F1743" s="8">
        <v>0</v>
      </c>
      <c r="G1743" s="8">
        <v>16</v>
      </c>
      <c r="H1743" s="8" t="s">
        <v>29125</v>
      </c>
      <c r="I1743" s="8">
        <v>526.6875</v>
      </c>
      <c r="J1743" s="3">
        <f t="shared" si="27"/>
        <v>43748.562802731474</v>
      </c>
    </row>
    <row r="1744" spans="1:10" x14ac:dyDescent="0.25">
      <c r="A1744" s="5" t="s">
        <v>29126</v>
      </c>
      <c r="B1744" s="6">
        <v>393.75</v>
      </c>
      <c r="C1744" s="6">
        <v>20.584240000000001</v>
      </c>
      <c r="D1744" s="6">
        <v>57</v>
      </c>
      <c r="E1744" s="6">
        <v>0</v>
      </c>
      <c r="F1744" s="6">
        <v>0</v>
      </c>
      <c r="G1744" s="6">
        <v>11</v>
      </c>
      <c r="H1744" s="6" t="s">
        <v>29127</v>
      </c>
      <c r="I1744" s="6">
        <v>526.6875</v>
      </c>
      <c r="J1744" s="2">
        <f t="shared" si="27"/>
        <v>43748.562886087959</v>
      </c>
    </row>
    <row r="1745" spans="1:10" x14ac:dyDescent="0.25">
      <c r="A1745" s="7" t="s">
        <v>29128</v>
      </c>
      <c r="B1745" s="8">
        <v>393.75</v>
      </c>
      <c r="C1745" s="8">
        <v>20.584240000000001</v>
      </c>
      <c r="D1745" s="8">
        <v>57</v>
      </c>
      <c r="E1745" s="8">
        <v>0</v>
      </c>
      <c r="F1745" s="8">
        <v>0</v>
      </c>
      <c r="G1745" s="8">
        <v>19</v>
      </c>
      <c r="H1745" s="8" t="s">
        <v>29129</v>
      </c>
      <c r="I1745" s="8">
        <v>526.6875</v>
      </c>
      <c r="J1745" s="3">
        <f t="shared" si="27"/>
        <v>43748.562957743052</v>
      </c>
    </row>
    <row r="1746" spans="1:10" x14ac:dyDescent="0.25">
      <c r="A1746" s="5" t="s">
        <v>29130</v>
      </c>
      <c r="B1746" s="6">
        <v>393.75</v>
      </c>
      <c r="C1746" s="6">
        <v>20.584240000000001</v>
      </c>
      <c r="D1746" s="6">
        <v>58</v>
      </c>
      <c r="E1746" s="6">
        <v>0</v>
      </c>
      <c r="F1746" s="6">
        <v>0</v>
      </c>
      <c r="G1746" s="6">
        <v>10</v>
      </c>
      <c r="H1746" s="6" t="s">
        <v>29131</v>
      </c>
      <c r="I1746" s="6">
        <v>526.6875</v>
      </c>
      <c r="J1746" s="2">
        <f t="shared" si="27"/>
        <v>43748.563041273148</v>
      </c>
    </row>
    <row r="1747" spans="1:10" x14ac:dyDescent="0.25">
      <c r="A1747" s="7" t="s">
        <v>29132</v>
      </c>
      <c r="B1747" s="8">
        <v>393.75</v>
      </c>
      <c r="C1747" s="8">
        <v>20.531590000000001</v>
      </c>
      <c r="D1747" s="8">
        <v>56</v>
      </c>
      <c r="E1747" s="8">
        <v>0</v>
      </c>
      <c r="F1747" s="8">
        <v>0</v>
      </c>
      <c r="G1747" s="8">
        <v>14</v>
      </c>
      <c r="H1747" s="8" t="s">
        <v>29133</v>
      </c>
      <c r="I1747" s="8">
        <v>526.6875</v>
      </c>
      <c r="J1747" s="3">
        <f t="shared" si="27"/>
        <v>43748.563124814813</v>
      </c>
    </row>
    <row r="1748" spans="1:10" x14ac:dyDescent="0.25">
      <c r="A1748" s="5" t="s">
        <v>29134</v>
      </c>
      <c r="B1748" s="6">
        <v>393.75</v>
      </c>
      <c r="C1748" s="6">
        <v>20.584240000000001</v>
      </c>
      <c r="D1748" s="6">
        <v>57</v>
      </c>
      <c r="E1748" s="6">
        <v>0</v>
      </c>
      <c r="F1748" s="6">
        <v>0</v>
      </c>
      <c r="G1748" s="6">
        <v>15</v>
      </c>
      <c r="H1748" s="6" t="s">
        <v>29135</v>
      </c>
      <c r="I1748" s="6">
        <v>526.6875</v>
      </c>
      <c r="J1748" s="2">
        <f t="shared" si="27"/>
        <v>43748.563208298605</v>
      </c>
    </row>
    <row r="1749" spans="1:10" x14ac:dyDescent="0.25">
      <c r="A1749" s="7" t="s">
        <v>29136</v>
      </c>
      <c r="B1749" s="8">
        <v>393.75</v>
      </c>
      <c r="C1749" s="8">
        <v>20.584240000000001</v>
      </c>
      <c r="D1749" s="8">
        <v>56</v>
      </c>
      <c r="E1749" s="8">
        <v>0</v>
      </c>
      <c r="F1749" s="8">
        <v>0</v>
      </c>
      <c r="G1749" s="8">
        <v>17</v>
      </c>
      <c r="H1749" s="8" t="s">
        <v>29137</v>
      </c>
      <c r="I1749" s="8">
        <v>526.6875</v>
      </c>
      <c r="J1749" s="3">
        <f t="shared" si="27"/>
        <v>43748.563291863422</v>
      </c>
    </row>
    <row r="1750" spans="1:10" x14ac:dyDescent="0.25">
      <c r="A1750" s="5" t="s">
        <v>29138</v>
      </c>
      <c r="B1750" s="6">
        <v>393.75</v>
      </c>
      <c r="C1750" s="6">
        <v>20.531590000000001</v>
      </c>
      <c r="D1750" s="6">
        <v>56</v>
      </c>
      <c r="E1750" s="6">
        <v>0</v>
      </c>
      <c r="F1750" s="6">
        <v>0</v>
      </c>
      <c r="G1750" s="6">
        <v>6</v>
      </c>
      <c r="H1750" s="6" t="s">
        <v>29139</v>
      </c>
      <c r="I1750" s="6">
        <v>526.6875</v>
      </c>
      <c r="J1750" s="2">
        <f t="shared" si="27"/>
        <v>43748.563375138889</v>
      </c>
    </row>
    <row r="1751" spans="1:10" x14ac:dyDescent="0.25">
      <c r="A1751" s="7" t="s">
        <v>29140</v>
      </c>
      <c r="B1751" s="8">
        <v>393.75</v>
      </c>
      <c r="C1751" s="8">
        <v>20.584240000000001</v>
      </c>
      <c r="D1751" s="8">
        <v>56</v>
      </c>
      <c r="E1751" s="8">
        <v>0</v>
      </c>
      <c r="F1751" s="8">
        <v>0</v>
      </c>
      <c r="G1751" s="8">
        <v>15</v>
      </c>
      <c r="H1751" s="8" t="s">
        <v>29141</v>
      </c>
      <c r="I1751" s="8">
        <v>526.6875</v>
      </c>
      <c r="J1751" s="3">
        <f t="shared" si="27"/>
        <v>43748.563446608794</v>
      </c>
    </row>
    <row r="1752" spans="1:10" x14ac:dyDescent="0.25">
      <c r="A1752" s="5" t="s">
        <v>29142</v>
      </c>
      <c r="B1752" s="6">
        <v>393.75</v>
      </c>
      <c r="C1752" s="6">
        <v>20.584240000000001</v>
      </c>
      <c r="D1752" s="6">
        <v>56</v>
      </c>
      <c r="E1752" s="6">
        <v>0</v>
      </c>
      <c r="F1752" s="6">
        <v>0</v>
      </c>
      <c r="G1752" s="6">
        <v>17</v>
      </c>
      <c r="H1752" s="6" t="s">
        <v>29143</v>
      </c>
      <c r="I1752" s="6">
        <v>526.6875</v>
      </c>
      <c r="J1752" s="2">
        <f t="shared" si="27"/>
        <v>43748.563530509258</v>
      </c>
    </row>
    <row r="1753" spans="1:10" x14ac:dyDescent="0.25">
      <c r="A1753" s="7" t="s">
        <v>29144</v>
      </c>
      <c r="B1753" s="8">
        <v>393.75</v>
      </c>
      <c r="C1753" s="8">
        <v>20.584240000000001</v>
      </c>
      <c r="D1753" s="8">
        <v>55</v>
      </c>
      <c r="E1753" s="8">
        <v>0</v>
      </c>
      <c r="F1753" s="8">
        <v>0</v>
      </c>
      <c r="G1753" s="8">
        <v>21</v>
      </c>
      <c r="H1753" s="8" t="s">
        <v>29145</v>
      </c>
      <c r="I1753" s="8">
        <v>526.6875</v>
      </c>
      <c r="J1753" s="3">
        <f t="shared" si="27"/>
        <v>43748.563613865736</v>
      </c>
    </row>
    <row r="1754" spans="1:10" x14ac:dyDescent="0.25">
      <c r="A1754" s="5" t="s">
        <v>29146</v>
      </c>
      <c r="B1754" s="6">
        <v>393.75</v>
      </c>
      <c r="C1754" s="6">
        <v>20.531590000000001</v>
      </c>
      <c r="D1754" s="6">
        <v>55</v>
      </c>
      <c r="E1754" s="6">
        <v>0</v>
      </c>
      <c r="F1754" s="6">
        <v>0</v>
      </c>
      <c r="G1754" s="6">
        <v>18</v>
      </c>
      <c r="H1754" s="6" t="s">
        <v>29147</v>
      </c>
      <c r="I1754" s="6">
        <v>526.5</v>
      </c>
      <c r="J1754" s="2">
        <f t="shared" si="27"/>
        <v>43748.563697314814</v>
      </c>
    </row>
    <row r="1755" spans="1:10" x14ac:dyDescent="0.25">
      <c r="A1755" s="7" t="s">
        <v>29148</v>
      </c>
      <c r="B1755" s="8">
        <v>393.75</v>
      </c>
      <c r="C1755" s="8">
        <v>20.584240000000001</v>
      </c>
      <c r="D1755" s="8">
        <v>56</v>
      </c>
      <c r="E1755" s="8">
        <v>0</v>
      </c>
      <c r="F1755" s="8">
        <v>0</v>
      </c>
      <c r="G1755" s="8">
        <v>18</v>
      </c>
      <c r="H1755" s="8" t="s">
        <v>29149</v>
      </c>
      <c r="I1755" s="8">
        <v>526.6875</v>
      </c>
      <c r="J1755" s="3">
        <f t="shared" si="27"/>
        <v>43748.563780856479</v>
      </c>
    </row>
    <row r="1756" spans="1:10" x14ac:dyDescent="0.25">
      <c r="A1756" s="5" t="s">
        <v>29150</v>
      </c>
      <c r="B1756" s="6">
        <v>393.75</v>
      </c>
      <c r="C1756" s="6">
        <v>20.531590000000001</v>
      </c>
      <c r="D1756" s="6">
        <v>56</v>
      </c>
      <c r="E1756" s="6">
        <v>0</v>
      </c>
      <c r="F1756" s="6">
        <v>0</v>
      </c>
      <c r="G1756" s="6">
        <v>13</v>
      </c>
      <c r="H1756" s="6" t="s">
        <v>29151</v>
      </c>
      <c r="I1756" s="6">
        <v>526.6875</v>
      </c>
      <c r="J1756" s="2">
        <f t="shared" si="27"/>
        <v>43748.563864085641</v>
      </c>
    </row>
    <row r="1757" spans="1:10" x14ac:dyDescent="0.25">
      <c r="A1757" s="7" t="s">
        <v>29152</v>
      </c>
      <c r="B1757" s="8">
        <v>393.75</v>
      </c>
      <c r="C1757" s="8">
        <v>20.531590000000001</v>
      </c>
      <c r="D1757" s="8">
        <v>56</v>
      </c>
      <c r="E1757" s="8">
        <v>0</v>
      </c>
      <c r="F1757" s="8">
        <v>0</v>
      </c>
      <c r="G1757" s="8">
        <v>17</v>
      </c>
      <c r="H1757" s="8" t="s">
        <v>29153</v>
      </c>
      <c r="I1757" s="8">
        <v>526.6875</v>
      </c>
      <c r="J1757" s="3">
        <f t="shared" si="27"/>
        <v>43748.563936087965</v>
      </c>
    </row>
    <row r="1758" spans="1:10" x14ac:dyDescent="0.25">
      <c r="A1758" s="5" t="s">
        <v>29154</v>
      </c>
      <c r="B1758" s="6">
        <v>393.75</v>
      </c>
      <c r="C1758" s="6">
        <v>20.584240000000001</v>
      </c>
      <c r="D1758" s="6">
        <v>56</v>
      </c>
      <c r="E1758" s="6">
        <v>0</v>
      </c>
      <c r="F1758" s="6">
        <v>0</v>
      </c>
      <c r="G1758" s="6">
        <v>14</v>
      </c>
      <c r="H1758" s="6" t="s">
        <v>29155</v>
      </c>
      <c r="I1758" s="6">
        <v>526.6875</v>
      </c>
      <c r="J1758" s="2">
        <f t="shared" si="27"/>
        <v>43748.564019409721</v>
      </c>
    </row>
    <row r="1759" spans="1:10" x14ac:dyDescent="0.25">
      <c r="A1759" s="7" t="s">
        <v>29156</v>
      </c>
      <c r="B1759" s="8">
        <v>393.75</v>
      </c>
      <c r="C1759" s="8">
        <v>20.584240000000001</v>
      </c>
      <c r="D1759" s="8">
        <v>55</v>
      </c>
      <c r="E1759" s="8">
        <v>0</v>
      </c>
      <c r="F1759" s="8">
        <v>0</v>
      </c>
      <c r="G1759" s="8">
        <v>19</v>
      </c>
      <c r="H1759" s="8" t="s">
        <v>29157</v>
      </c>
      <c r="I1759" s="8">
        <v>526.6875</v>
      </c>
      <c r="J1759" s="3">
        <f t="shared" si="27"/>
        <v>43748.564102962962</v>
      </c>
    </row>
    <row r="1760" spans="1:10" x14ac:dyDescent="0.25">
      <c r="A1760" s="5" t="s">
        <v>29158</v>
      </c>
      <c r="B1760" s="6">
        <v>393.75</v>
      </c>
      <c r="C1760" s="6">
        <v>20.584240000000001</v>
      </c>
      <c r="D1760" s="6">
        <v>54</v>
      </c>
      <c r="E1760" s="6">
        <v>0</v>
      </c>
      <c r="F1760" s="6">
        <v>0</v>
      </c>
      <c r="G1760" s="6">
        <v>14</v>
      </c>
      <c r="H1760" s="6" t="s">
        <v>29159</v>
      </c>
      <c r="I1760" s="6">
        <v>526.6875</v>
      </c>
      <c r="J1760" s="2">
        <f t="shared" si="27"/>
        <v>43748.56418631944</v>
      </c>
    </row>
    <row r="1761" spans="1:10" x14ac:dyDescent="0.25">
      <c r="A1761" s="7" t="s">
        <v>29160</v>
      </c>
      <c r="B1761" s="8">
        <v>393.75</v>
      </c>
      <c r="C1761" s="8">
        <v>20.531590000000001</v>
      </c>
      <c r="D1761" s="8">
        <v>54</v>
      </c>
      <c r="E1761" s="8">
        <v>0</v>
      </c>
      <c r="F1761" s="8">
        <v>0</v>
      </c>
      <c r="G1761" s="8">
        <v>21</v>
      </c>
      <c r="H1761" s="8" t="s">
        <v>29161</v>
      </c>
      <c r="I1761" s="8">
        <v>526.6875</v>
      </c>
      <c r="J1761" s="3">
        <f t="shared" si="27"/>
        <v>43748.56426997685</v>
      </c>
    </row>
    <row r="1762" spans="1:10" x14ac:dyDescent="0.25">
      <c r="A1762" s="5" t="s">
        <v>29162</v>
      </c>
      <c r="B1762" s="6">
        <v>393.75</v>
      </c>
      <c r="C1762" s="6">
        <v>20.531590000000001</v>
      </c>
      <c r="D1762" s="6">
        <v>56</v>
      </c>
      <c r="E1762" s="6">
        <v>0</v>
      </c>
      <c r="F1762" s="6">
        <v>0</v>
      </c>
      <c r="G1762" s="6">
        <v>13</v>
      </c>
      <c r="H1762" s="6" t="s">
        <v>29163</v>
      </c>
      <c r="I1762" s="6">
        <v>526.6875</v>
      </c>
      <c r="J1762" s="2">
        <f t="shared" si="27"/>
        <v>43748.564353437498</v>
      </c>
    </row>
    <row r="1763" spans="1:10" x14ac:dyDescent="0.25">
      <c r="A1763" s="7" t="s">
        <v>29164</v>
      </c>
      <c r="B1763" s="8">
        <v>393.75</v>
      </c>
      <c r="C1763" s="8">
        <v>20.584240000000001</v>
      </c>
      <c r="D1763" s="8">
        <v>55</v>
      </c>
      <c r="E1763" s="8">
        <v>0</v>
      </c>
      <c r="F1763" s="8">
        <v>0</v>
      </c>
      <c r="G1763" s="8">
        <v>13</v>
      </c>
      <c r="H1763" s="8" t="s">
        <v>29165</v>
      </c>
      <c r="I1763" s="8">
        <v>526.6875</v>
      </c>
      <c r="J1763" s="3">
        <f t="shared" si="27"/>
        <v>43748.564425081015</v>
      </c>
    </row>
    <row r="1764" spans="1:10" x14ac:dyDescent="0.25">
      <c r="A1764" s="5" t="s">
        <v>29166</v>
      </c>
      <c r="B1764" s="6">
        <v>393.75</v>
      </c>
      <c r="C1764" s="6">
        <v>20.531590000000001</v>
      </c>
      <c r="D1764" s="6">
        <v>54</v>
      </c>
      <c r="E1764" s="6">
        <v>0</v>
      </c>
      <c r="F1764" s="6">
        <v>0</v>
      </c>
      <c r="G1764" s="6">
        <v>20</v>
      </c>
      <c r="H1764" s="6" t="s">
        <v>29167</v>
      </c>
      <c r="I1764" s="6">
        <v>526.6875</v>
      </c>
      <c r="J1764" s="2">
        <f t="shared" si="27"/>
        <v>43748.564508402771</v>
      </c>
    </row>
    <row r="1765" spans="1:10" x14ac:dyDescent="0.25">
      <c r="A1765" s="7" t="s">
        <v>29168</v>
      </c>
      <c r="B1765" s="8">
        <v>393.75</v>
      </c>
      <c r="C1765" s="8">
        <v>20.478950000000001</v>
      </c>
      <c r="D1765" s="8">
        <v>54</v>
      </c>
      <c r="E1765" s="8">
        <v>0</v>
      </c>
      <c r="F1765" s="8">
        <v>0</v>
      </c>
      <c r="G1765" s="8">
        <v>17</v>
      </c>
      <c r="H1765" s="8" t="s">
        <v>29169</v>
      </c>
      <c r="I1765" s="8">
        <v>526.6875</v>
      </c>
      <c r="J1765" s="3">
        <f t="shared" si="27"/>
        <v>43748.564592777773</v>
      </c>
    </row>
    <row r="1766" spans="1:10" x14ac:dyDescent="0.25">
      <c r="A1766" s="5" t="s">
        <v>29170</v>
      </c>
      <c r="B1766" s="6">
        <v>393.75</v>
      </c>
      <c r="C1766" s="6">
        <v>20.584240000000001</v>
      </c>
      <c r="D1766" s="6">
        <v>54</v>
      </c>
      <c r="E1766" s="6">
        <v>0</v>
      </c>
      <c r="F1766" s="6">
        <v>0</v>
      </c>
      <c r="G1766" s="6">
        <v>13</v>
      </c>
      <c r="H1766" s="6" t="s">
        <v>29171</v>
      </c>
      <c r="I1766" s="6">
        <v>526.6875</v>
      </c>
      <c r="J1766" s="2">
        <f t="shared" si="27"/>
        <v>43748.564676296293</v>
      </c>
    </row>
    <row r="1767" spans="1:10" x14ac:dyDescent="0.25">
      <c r="A1767" s="7" t="s">
        <v>29172</v>
      </c>
      <c r="B1767" s="8">
        <v>393.75</v>
      </c>
      <c r="C1767" s="8">
        <v>20.584240000000001</v>
      </c>
      <c r="D1767" s="8">
        <v>54</v>
      </c>
      <c r="E1767" s="8">
        <v>0</v>
      </c>
      <c r="F1767" s="8">
        <v>0</v>
      </c>
      <c r="G1767" s="8">
        <v>11</v>
      </c>
      <c r="H1767" s="8" t="s">
        <v>29173</v>
      </c>
      <c r="I1767" s="8">
        <v>526.6875</v>
      </c>
      <c r="J1767" s="3">
        <f t="shared" si="27"/>
        <v>43748.56478473379</v>
      </c>
    </row>
    <row r="1768" spans="1:10" x14ac:dyDescent="0.25">
      <c r="A1768" s="5" t="s">
        <v>29174</v>
      </c>
      <c r="B1768" s="6">
        <v>393.75</v>
      </c>
      <c r="C1768" s="6">
        <v>20.478950000000001</v>
      </c>
      <c r="D1768" s="6">
        <v>54</v>
      </c>
      <c r="E1768" s="6">
        <v>0</v>
      </c>
      <c r="F1768" s="6">
        <v>0</v>
      </c>
      <c r="G1768" s="6">
        <v>18</v>
      </c>
      <c r="H1768" s="6" t="s">
        <v>29175</v>
      </c>
      <c r="I1768" s="6">
        <v>526.6875</v>
      </c>
      <c r="J1768" s="2">
        <f t="shared" si="27"/>
        <v>43748.564866018518</v>
      </c>
    </row>
    <row r="1769" spans="1:10" x14ac:dyDescent="0.25">
      <c r="A1769" s="7" t="s">
        <v>29176</v>
      </c>
      <c r="B1769" s="8">
        <v>393.75</v>
      </c>
      <c r="C1769" s="8">
        <v>20.531590000000001</v>
      </c>
      <c r="D1769" s="8">
        <v>54</v>
      </c>
      <c r="E1769" s="8">
        <v>0</v>
      </c>
      <c r="F1769" s="8">
        <v>0</v>
      </c>
      <c r="G1769" s="8">
        <v>13</v>
      </c>
      <c r="H1769" s="8" t="s">
        <v>29177</v>
      </c>
      <c r="I1769" s="8">
        <v>526.6875</v>
      </c>
      <c r="J1769" s="3">
        <f t="shared" si="27"/>
        <v>43748.564950069442</v>
      </c>
    </row>
    <row r="1770" spans="1:10" x14ac:dyDescent="0.25">
      <c r="A1770" s="5" t="s">
        <v>29178</v>
      </c>
      <c r="B1770" s="6">
        <v>393.75</v>
      </c>
      <c r="C1770" s="6">
        <v>20.531590000000001</v>
      </c>
      <c r="D1770" s="6">
        <v>53</v>
      </c>
      <c r="E1770" s="6">
        <v>0</v>
      </c>
      <c r="F1770" s="6">
        <v>0</v>
      </c>
      <c r="G1770" s="6">
        <v>19</v>
      </c>
      <c r="H1770" s="6" t="s">
        <v>29179</v>
      </c>
      <c r="I1770" s="6">
        <v>526.6875</v>
      </c>
      <c r="J1770" s="2">
        <f t="shared" si="27"/>
        <v>43748.565033402774</v>
      </c>
    </row>
    <row r="1771" spans="1:10" x14ac:dyDescent="0.25">
      <c r="A1771" s="7" t="s">
        <v>29180</v>
      </c>
      <c r="B1771" s="8">
        <v>393.75</v>
      </c>
      <c r="C1771" s="8">
        <v>20.584240000000001</v>
      </c>
      <c r="D1771" s="8">
        <v>52</v>
      </c>
      <c r="E1771" s="8">
        <v>0</v>
      </c>
      <c r="F1771" s="8">
        <v>0</v>
      </c>
      <c r="G1771" s="8">
        <v>17</v>
      </c>
      <c r="H1771" s="8" t="s">
        <v>29181</v>
      </c>
      <c r="I1771" s="8">
        <v>526.5</v>
      </c>
      <c r="J1771" s="3">
        <f t="shared" si="27"/>
        <v>43748.56511697916</v>
      </c>
    </row>
    <row r="1772" spans="1:10" x14ac:dyDescent="0.25">
      <c r="A1772" s="5" t="s">
        <v>29182</v>
      </c>
      <c r="B1772" s="6">
        <v>393.75</v>
      </c>
      <c r="C1772" s="6">
        <v>20.531590000000001</v>
      </c>
      <c r="D1772" s="6">
        <v>53</v>
      </c>
      <c r="E1772" s="6">
        <v>0</v>
      </c>
      <c r="F1772" s="6">
        <v>0</v>
      </c>
      <c r="G1772" s="6">
        <v>21</v>
      </c>
      <c r="H1772" s="6" t="s">
        <v>29183</v>
      </c>
      <c r="I1772" s="6">
        <v>526.6875</v>
      </c>
      <c r="J1772" s="2">
        <f t="shared" si="27"/>
        <v>43748.56520041667</v>
      </c>
    </row>
    <row r="1773" spans="1:10" x14ac:dyDescent="0.25">
      <c r="A1773" s="7" t="s">
        <v>29184</v>
      </c>
      <c r="B1773" s="8">
        <v>393.75</v>
      </c>
      <c r="C1773" s="8">
        <v>20.531590000000001</v>
      </c>
      <c r="D1773" s="8">
        <v>53</v>
      </c>
      <c r="E1773" s="8">
        <v>0</v>
      </c>
      <c r="F1773" s="8">
        <v>0</v>
      </c>
      <c r="G1773" s="8">
        <v>24</v>
      </c>
      <c r="H1773" s="8" t="s">
        <v>29185</v>
      </c>
      <c r="I1773" s="8">
        <v>526.6875</v>
      </c>
      <c r="J1773" s="3">
        <f t="shared" si="27"/>
        <v>43748.565283993048</v>
      </c>
    </row>
    <row r="1774" spans="1:10" x14ac:dyDescent="0.25">
      <c r="A1774" s="5" t="s">
        <v>29186</v>
      </c>
      <c r="B1774" s="6">
        <v>393.75</v>
      </c>
      <c r="C1774" s="6">
        <v>20.584240000000001</v>
      </c>
      <c r="D1774" s="6">
        <v>53</v>
      </c>
      <c r="E1774" s="6">
        <v>0</v>
      </c>
      <c r="F1774" s="6">
        <v>0</v>
      </c>
      <c r="G1774" s="6">
        <v>21</v>
      </c>
      <c r="H1774" s="6" t="s">
        <v>29187</v>
      </c>
      <c r="I1774" s="6">
        <v>526.6875</v>
      </c>
      <c r="J1774" s="2">
        <f t="shared" si="27"/>
        <v>43748.565367650459</v>
      </c>
    </row>
    <row r="1775" spans="1:10" x14ac:dyDescent="0.25">
      <c r="A1775" s="7" t="s">
        <v>29188</v>
      </c>
      <c r="B1775" s="8">
        <v>393.75</v>
      </c>
      <c r="C1775" s="8">
        <v>20.584240000000001</v>
      </c>
      <c r="D1775" s="8">
        <v>56</v>
      </c>
      <c r="E1775" s="8">
        <v>0</v>
      </c>
      <c r="F1775" s="8">
        <v>0</v>
      </c>
      <c r="G1775" s="8">
        <v>23</v>
      </c>
      <c r="H1775" s="8" t="s">
        <v>29189</v>
      </c>
      <c r="I1775" s="8">
        <v>526.6875</v>
      </c>
      <c r="J1775" s="3">
        <f t="shared" si="27"/>
        <v>43748.565450648144</v>
      </c>
    </row>
    <row r="1776" spans="1:10" x14ac:dyDescent="0.25">
      <c r="A1776" s="5" t="s">
        <v>29190</v>
      </c>
      <c r="B1776" s="6">
        <v>393.75</v>
      </c>
      <c r="C1776" s="6">
        <v>20.531590000000001</v>
      </c>
      <c r="D1776" s="6">
        <v>55</v>
      </c>
      <c r="E1776" s="6">
        <v>0</v>
      </c>
      <c r="F1776" s="6">
        <v>0</v>
      </c>
      <c r="G1776" s="6">
        <v>23</v>
      </c>
      <c r="H1776" s="6" t="s">
        <v>29191</v>
      </c>
      <c r="I1776" s="6">
        <v>526.6875</v>
      </c>
      <c r="J1776" s="2">
        <f t="shared" si="27"/>
        <v>43748.565535324073</v>
      </c>
    </row>
    <row r="1777" spans="1:10" x14ac:dyDescent="0.25">
      <c r="A1777" s="7" t="s">
        <v>29192</v>
      </c>
      <c r="B1777" s="8">
        <v>393.75</v>
      </c>
      <c r="C1777" s="8">
        <v>20.531590000000001</v>
      </c>
      <c r="D1777" s="8">
        <v>53</v>
      </c>
      <c r="E1777" s="8">
        <v>0</v>
      </c>
      <c r="F1777" s="8">
        <v>0</v>
      </c>
      <c r="G1777" s="8">
        <v>16</v>
      </c>
      <c r="H1777" s="8" t="s">
        <v>29193</v>
      </c>
      <c r="I1777" s="8">
        <v>526.6875</v>
      </c>
      <c r="J1777" s="3">
        <f t="shared" si="27"/>
        <v>43748.565618009256</v>
      </c>
    </row>
    <row r="1778" spans="1:10" x14ac:dyDescent="0.25">
      <c r="A1778" s="5" t="s">
        <v>29194</v>
      </c>
      <c r="B1778" s="6">
        <v>393.75</v>
      </c>
      <c r="C1778" s="6">
        <v>20.478950000000001</v>
      </c>
      <c r="D1778" s="6">
        <v>54</v>
      </c>
      <c r="E1778" s="6">
        <v>0</v>
      </c>
      <c r="F1778" s="6">
        <v>0</v>
      </c>
      <c r="G1778" s="6">
        <v>22</v>
      </c>
      <c r="H1778" s="6" t="s">
        <v>29195</v>
      </c>
      <c r="I1778" s="6">
        <v>526.6875</v>
      </c>
      <c r="J1778" s="2">
        <f t="shared" si="27"/>
        <v>43748.565701678242</v>
      </c>
    </row>
    <row r="1779" spans="1:10" x14ac:dyDescent="0.25">
      <c r="A1779" s="7" t="s">
        <v>29196</v>
      </c>
      <c r="B1779" s="8">
        <v>393.75</v>
      </c>
      <c r="C1779" s="8">
        <v>20.531590000000001</v>
      </c>
      <c r="D1779" s="8">
        <v>53</v>
      </c>
      <c r="E1779" s="8">
        <v>0</v>
      </c>
      <c r="F1779" s="8">
        <v>0</v>
      </c>
      <c r="G1779" s="8">
        <v>15</v>
      </c>
      <c r="H1779" s="8" t="s">
        <v>29197</v>
      </c>
      <c r="I1779" s="8">
        <v>526.6875</v>
      </c>
      <c r="J1779" s="3">
        <f t="shared" si="27"/>
        <v>43748.565772754628</v>
      </c>
    </row>
    <row r="1780" spans="1:10" x14ac:dyDescent="0.25">
      <c r="A1780" s="5" t="s">
        <v>29198</v>
      </c>
      <c r="B1780" s="6">
        <v>393.75</v>
      </c>
      <c r="C1780" s="6">
        <v>20.584240000000001</v>
      </c>
      <c r="D1780" s="6">
        <v>53</v>
      </c>
      <c r="E1780" s="6">
        <v>0</v>
      </c>
      <c r="F1780" s="6">
        <v>0</v>
      </c>
      <c r="G1780" s="6">
        <v>24</v>
      </c>
      <c r="H1780" s="6" t="s">
        <v>29199</v>
      </c>
      <c r="I1780" s="6">
        <v>526.6875</v>
      </c>
      <c r="J1780" s="2">
        <f t="shared" si="27"/>
        <v>43748.565856446752</v>
      </c>
    </row>
    <row r="1781" spans="1:10" x14ac:dyDescent="0.25">
      <c r="A1781" s="7" t="s">
        <v>29200</v>
      </c>
      <c r="B1781" s="8">
        <v>393.75</v>
      </c>
      <c r="C1781" s="8">
        <v>20.584240000000001</v>
      </c>
      <c r="D1781" s="8">
        <v>53</v>
      </c>
      <c r="E1781" s="8">
        <v>0</v>
      </c>
      <c r="F1781" s="8">
        <v>0</v>
      </c>
      <c r="G1781" s="8">
        <v>16</v>
      </c>
      <c r="H1781" s="8" t="s">
        <v>29201</v>
      </c>
      <c r="I1781" s="8">
        <v>526.6875</v>
      </c>
      <c r="J1781" s="3">
        <f t="shared" si="27"/>
        <v>43748.565940092587</v>
      </c>
    </row>
    <row r="1782" spans="1:10" x14ac:dyDescent="0.25">
      <c r="A1782" s="5" t="s">
        <v>29202</v>
      </c>
      <c r="B1782" s="6">
        <v>393.75</v>
      </c>
      <c r="C1782" s="6">
        <v>20.584240000000001</v>
      </c>
      <c r="D1782" s="6">
        <v>55</v>
      </c>
      <c r="E1782" s="6">
        <v>0</v>
      </c>
      <c r="F1782" s="6">
        <v>0</v>
      </c>
      <c r="G1782" s="6">
        <v>16</v>
      </c>
      <c r="H1782" s="6" t="s">
        <v>29203</v>
      </c>
      <c r="I1782" s="6">
        <v>526.6875</v>
      </c>
      <c r="J1782" s="2">
        <f t="shared" si="27"/>
        <v>43748.566023229163</v>
      </c>
    </row>
    <row r="1783" spans="1:10" x14ac:dyDescent="0.25">
      <c r="A1783" s="7" t="s">
        <v>29204</v>
      </c>
      <c r="B1783" s="8">
        <v>393.75</v>
      </c>
      <c r="C1783" s="8">
        <v>20.584240000000001</v>
      </c>
      <c r="D1783" s="8">
        <v>56</v>
      </c>
      <c r="E1783" s="8">
        <v>0</v>
      </c>
      <c r="F1783" s="8">
        <v>0</v>
      </c>
      <c r="G1783" s="8">
        <v>18</v>
      </c>
      <c r="H1783" s="8" t="s">
        <v>29205</v>
      </c>
      <c r="I1783" s="8">
        <v>526.6875</v>
      </c>
      <c r="J1783" s="3">
        <f t="shared" si="27"/>
        <v>43748.566107002312</v>
      </c>
    </row>
    <row r="1784" spans="1:10" x14ac:dyDescent="0.25">
      <c r="A1784" s="5" t="s">
        <v>29206</v>
      </c>
      <c r="B1784" s="6">
        <v>393.75</v>
      </c>
      <c r="C1784" s="6">
        <v>20.531590000000001</v>
      </c>
      <c r="D1784" s="6">
        <v>54</v>
      </c>
      <c r="E1784" s="6">
        <v>0</v>
      </c>
      <c r="F1784" s="6">
        <v>0</v>
      </c>
      <c r="G1784" s="6">
        <v>16</v>
      </c>
      <c r="H1784" s="6" t="s">
        <v>29207</v>
      </c>
      <c r="I1784" s="6">
        <v>526.6875</v>
      </c>
      <c r="J1784" s="2">
        <f t="shared" si="27"/>
        <v>43748.56619060185</v>
      </c>
    </row>
    <row r="1785" spans="1:10" x14ac:dyDescent="0.25">
      <c r="A1785" s="7" t="s">
        <v>29208</v>
      </c>
      <c r="B1785" s="8">
        <v>393.75</v>
      </c>
      <c r="C1785" s="8">
        <v>20.584240000000001</v>
      </c>
      <c r="D1785" s="8">
        <v>54</v>
      </c>
      <c r="E1785" s="8">
        <v>0</v>
      </c>
      <c r="F1785" s="8">
        <v>0</v>
      </c>
      <c r="G1785" s="8">
        <v>21</v>
      </c>
      <c r="H1785" s="8" t="s">
        <v>29209</v>
      </c>
      <c r="I1785" s="8">
        <v>526.6875</v>
      </c>
      <c r="J1785" s="3">
        <f t="shared" si="27"/>
        <v>43748.566261782405</v>
      </c>
    </row>
    <row r="1786" spans="1:10" x14ac:dyDescent="0.25">
      <c r="A1786" s="5" t="s">
        <v>29210</v>
      </c>
      <c r="B1786" s="6">
        <v>393.75</v>
      </c>
      <c r="C1786" s="6">
        <v>20.584240000000001</v>
      </c>
      <c r="D1786" s="6">
        <v>54</v>
      </c>
      <c r="E1786" s="6">
        <v>0</v>
      </c>
      <c r="F1786" s="6">
        <v>0</v>
      </c>
      <c r="G1786" s="6">
        <v>21</v>
      </c>
      <c r="H1786" s="6" t="s">
        <v>29211</v>
      </c>
      <c r="I1786" s="6">
        <v>526.6875</v>
      </c>
      <c r="J1786" s="2">
        <f t="shared" si="27"/>
        <v>43748.56634532407</v>
      </c>
    </row>
    <row r="1787" spans="1:10" x14ac:dyDescent="0.25">
      <c r="A1787" s="7" t="s">
        <v>29212</v>
      </c>
      <c r="B1787" s="8">
        <v>393.75</v>
      </c>
      <c r="C1787" s="8">
        <v>20.531590000000001</v>
      </c>
      <c r="D1787" s="8">
        <v>54</v>
      </c>
      <c r="E1787" s="8">
        <v>0</v>
      </c>
      <c r="F1787" s="8">
        <v>0</v>
      </c>
      <c r="G1787" s="8">
        <v>17</v>
      </c>
      <c r="H1787" s="8" t="s">
        <v>29213</v>
      </c>
      <c r="I1787" s="8">
        <v>526.6875</v>
      </c>
      <c r="J1787" s="3">
        <f t="shared" si="27"/>
        <v>43748.566417083326</v>
      </c>
    </row>
    <row r="1788" spans="1:10" x14ac:dyDescent="0.25">
      <c r="A1788" s="5" t="s">
        <v>29214</v>
      </c>
      <c r="B1788" s="6">
        <v>412.5</v>
      </c>
      <c r="C1788" s="6">
        <v>20.584240000000001</v>
      </c>
      <c r="D1788" s="6">
        <v>54</v>
      </c>
      <c r="E1788" s="6">
        <v>0</v>
      </c>
      <c r="F1788" s="6">
        <v>0</v>
      </c>
      <c r="G1788" s="6">
        <v>17</v>
      </c>
      <c r="H1788" s="6" t="s">
        <v>29215</v>
      </c>
      <c r="I1788" s="6">
        <v>532.5</v>
      </c>
      <c r="J1788" s="2">
        <f t="shared" si="27"/>
        <v>43748.566500787034</v>
      </c>
    </row>
    <row r="1789" spans="1:10" x14ac:dyDescent="0.25">
      <c r="A1789" s="7" t="s">
        <v>29216</v>
      </c>
      <c r="B1789" s="8">
        <v>393.75</v>
      </c>
      <c r="C1789" s="8">
        <v>20.531590000000001</v>
      </c>
      <c r="D1789" s="8">
        <v>54</v>
      </c>
      <c r="E1789" s="8">
        <v>0</v>
      </c>
      <c r="F1789" s="8">
        <v>0</v>
      </c>
      <c r="G1789" s="8">
        <v>25</v>
      </c>
      <c r="H1789" s="8" t="s">
        <v>29217</v>
      </c>
      <c r="I1789" s="8">
        <v>526.5</v>
      </c>
      <c r="J1789" s="3">
        <f t="shared" si="27"/>
        <v>43748.566571863419</v>
      </c>
    </row>
    <row r="1790" spans="1:10" x14ac:dyDescent="0.25">
      <c r="A1790" s="5" t="s">
        <v>29218</v>
      </c>
      <c r="B1790" s="6">
        <v>393.75</v>
      </c>
      <c r="C1790" s="6">
        <v>20.584240000000001</v>
      </c>
      <c r="D1790" s="6">
        <v>53</v>
      </c>
      <c r="E1790" s="6">
        <v>0</v>
      </c>
      <c r="F1790" s="6">
        <v>0</v>
      </c>
      <c r="G1790" s="6">
        <v>16</v>
      </c>
      <c r="H1790" s="6" t="s">
        <v>29219</v>
      </c>
      <c r="I1790" s="6">
        <v>526.6875</v>
      </c>
      <c r="J1790" s="2">
        <f t="shared" si="27"/>
        <v>43748.566643831015</v>
      </c>
    </row>
    <row r="1791" spans="1:10" x14ac:dyDescent="0.25">
      <c r="A1791" s="7" t="s">
        <v>29220</v>
      </c>
      <c r="B1791" s="8">
        <v>393.75</v>
      </c>
      <c r="C1791" s="8">
        <v>20.478950000000001</v>
      </c>
      <c r="D1791" s="8">
        <v>54</v>
      </c>
      <c r="E1791" s="8">
        <v>0</v>
      </c>
      <c r="F1791" s="8">
        <v>0</v>
      </c>
      <c r="G1791" s="8">
        <v>18</v>
      </c>
      <c r="H1791" s="8" t="s">
        <v>29221</v>
      </c>
      <c r="I1791" s="8">
        <v>526.6875</v>
      </c>
      <c r="J1791" s="3">
        <f t="shared" si="27"/>
        <v>43748.566727256941</v>
      </c>
    </row>
    <row r="1792" spans="1:10" x14ac:dyDescent="0.25">
      <c r="A1792" s="5" t="s">
        <v>29222</v>
      </c>
      <c r="B1792" s="6">
        <v>393.75</v>
      </c>
      <c r="C1792" s="6">
        <v>20.584240000000001</v>
      </c>
      <c r="D1792" s="6">
        <v>54</v>
      </c>
      <c r="E1792" s="6">
        <v>0</v>
      </c>
      <c r="F1792" s="6">
        <v>0</v>
      </c>
      <c r="G1792" s="6">
        <v>20</v>
      </c>
      <c r="H1792" s="6" t="s">
        <v>29223</v>
      </c>
      <c r="I1792" s="6">
        <v>526.6875</v>
      </c>
      <c r="J1792" s="2">
        <f t="shared" si="27"/>
        <v>43748.566822777771</v>
      </c>
    </row>
    <row r="1793" spans="1:10" x14ac:dyDescent="0.25">
      <c r="A1793" s="7" t="s">
        <v>29224</v>
      </c>
      <c r="B1793" s="8">
        <v>393.75</v>
      </c>
      <c r="C1793" s="8">
        <v>20.531590000000001</v>
      </c>
      <c r="D1793" s="8">
        <v>56</v>
      </c>
      <c r="E1793" s="8">
        <v>0</v>
      </c>
      <c r="F1793" s="8">
        <v>0</v>
      </c>
      <c r="G1793" s="8">
        <v>14</v>
      </c>
      <c r="H1793" s="8" t="s">
        <v>29225</v>
      </c>
      <c r="I1793" s="8">
        <v>526.6875</v>
      </c>
      <c r="J1793" s="3">
        <f t="shared" si="27"/>
        <v>43748.566906203698</v>
      </c>
    </row>
    <row r="1794" spans="1:10" x14ac:dyDescent="0.25">
      <c r="A1794" s="5" t="s">
        <v>29226</v>
      </c>
      <c r="B1794" s="6">
        <v>393.75</v>
      </c>
      <c r="C1794" s="6">
        <v>20.584240000000001</v>
      </c>
      <c r="D1794" s="6">
        <v>56</v>
      </c>
      <c r="E1794" s="6">
        <v>0</v>
      </c>
      <c r="F1794" s="6">
        <v>0</v>
      </c>
      <c r="G1794" s="6">
        <v>15</v>
      </c>
      <c r="H1794" s="6" t="s">
        <v>29227</v>
      </c>
      <c r="I1794" s="6">
        <v>526.6875</v>
      </c>
      <c r="J1794" s="2">
        <f t="shared" ref="J1794:J1857" si="28">(H1794/86400000)+25569+(7/24)</f>
        <v>43748.566989780091</v>
      </c>
    </row>
    <row r="1795" spans="1:10" x14ac:dyDescent="0.25">
      <c r="A1795" s="7" t="s">
        <v>29228</v>
      </c>
      <c r="B1795" s="8">
        <v>393.75</v>
      </c>
      <c r="C1795" s="8">
        <v>20.531590000000001</v>
      </c>
      <c r="D1795" s="8">
        <v>55</v>
      </c>
      <c r="E1795" s="8">
        <v>0</v>
      </c>
      <c r="F1795" s="8">
        <v>0</v>
      </c>
      <c r="G1795" s="8">
        <v>18</v>
      </c>
      <c r="H1795" s="8" t="s">
        <v>29229</v>
      </c>
      <c r="I1795" s="8">
        <v>526.6875</v>
      </c>
      <c r="J1795" s="3">
        <f t="shared" si="28"/>
        <v>43748.567072986109</v>
      </c>
    </row>
    <row r="1796" spans="1:10" x14ac:dyDescent="0.25">
      <c r="A1796" s="5" t="s">
        <v>29230</v>
      </c>
      <c r="B1796" s="6">
        <v>393.75</v>
      </c>
      <c r="C1796" s="6">
        <v>20.584240000000001</v>
      </c>
      <c r="D1796" s="6">
        <v>56</v>
      </c>
      <c r="E1796" s="6">
        <v>0</v>
      </c>
      <c r="F1796" s="6">
        <v>0</v>
      </c>
      <c r="G1796" s="6">
        <v>14</v>
      </c>
      <c r="H1796" s="6" t="s">
        <v>29231</v>
      </c>
      <c r="I1796" s="6">
        <v>526.6875</v>
      </c>
      <c r="J1796" s="2">
        <f t="shared" si="28"/>
        <v>43748.567156458332</v>
      </c>
    </row>
    <row r="1797" spans="1:10" x14ac:dyDescent="0.25">
      <c r="A1797" s="7" t="s">
        <v>29232</v>
      </c>
      <c r="B1797" s="8">
        <v>393.75</v>
      </c>
      <c r="C1797" s="8">
        <v>20.584240000000001</v>
      </c>
      <c r="D1797" s="8">
        <v>56</v>
      </c>
      <c r="E1797" s="8">
        <v>0</v>
      </c>
      <c r="F1797" s="8">
        <v>0</v>
      </c>
      <c r="G1797" s="8">
        <v>14</v>
      </c>
      <c r="H1797" s="8" t="s">
        <v>29233</v>
      </c>
      <c r="I1797" s="8">
        <v>526.6875</v>
      </c>
      <c r="J1797" s="3">
        <f t="shared" si="28"/>
        <v>43748.567228321757</v>
      </c>
    </row>
    <row r="1798" spans="1:10" x14ac:dyDescent="0.25">
      <c r="A1798" s="5" t="s">
        <v>29234</v>
      </c>
      <c r="B1798" s="6">
        <v>393.75</v>
      </c>
      <c r="C1798" s="6">
        <v>20.584240000000001</v>
      </c>
      <c r="D1798" s="6">
        <v>56</v>
      </c>
      <c r="E1798" s="6">
        <v>0</v>
      </c>
      <c r="F1798" s="6">
        <v>0</v>
      </c>
      <c r="G1798" s="6">
        <v>11</v>
      </c>
      <c r="H1798" s="6" t="s">
        <v>29235</v>
      </c>
      <c r="I1798" s="6">
        <v>526.6875</v>
      </c>
      <c r="J1798" s="2">
        <f t="shared" si="28"/>
        <v>43748.567312002313</v>
      </c>
    </row>
    <row r="1799" spans="1:10" x14ac:dyDescent="0.25">
      <c r="A1799" s="7" t="s">
        <v>29236</v>
      </c>
      <c r="B1799" s="8">
        <v>393.75</v>
      </c>
      <c r="C1799" s="8">
        <v>20.584240000000001</v>
      </c>
      <c r="D1799" s="8">
        <v>57</v>
      </c>
      <c r="E1799" s="8">
        <v>0</v>
      </c>
      <c r="F1799" s="8">
        <v>0</v>
      </c>
      <c r="G1799" s="8">
        <v>8</v>
      </c>
      <c r="H1799" s="8" t="s">
        <v>29237</v>
      </c>
      <c r="I1799" s="8">
        <v>526.6875</v>
      </c>
      <c r="J1799" s="3">
        <f t="shared" si="28"/>
        <v>43748.567395347221</v>
      </c>
    </row>
    <row r="1800" spans="1:10" x14ac:dyDescent="0.25">
      <c r="A1800" s="5" t="s">
        <v>29238</v>
      </c>
      <c r="B1800" s="6">
        <v>393.75</v>
      </c>
      <c r="C1800" s="6">
        <v>20.584240000000001</v>
      </c>
      <c r="D1800" s="6">
        <v>59</v>
      </c>
      <c r="E1800" s="6">
        <v>0</v>
      </c>
      <c r="F1800" s="6">
        <v>0</v>
      </c>
      <c r="G1800" s="6">
        <v>18</v>
      </c>
      <c r="H1800" s="6" t="s">
        <v>29239</v>
      </c>
      <c r="I1800" s="6">
        <v>526.6875</v>
      </c>
      <c r="J1800" s="2">
        <f t="shared" si="28"/>
        <v>43748.567478761572</v>
      </c>
    </row>
    <row r="1801" spans="1:10" x14ac:dyDescent="0.25">
      <c r="A1801" s="7" t="s">
        <v>29240</v>
      </c>
      <c r="B1801" s="8">
        <v>393.75</v>
      </c>
      <c r="C1801" s="8">
        <v>20.584240000000001</v>
      </c>
      <c r="D1801" s="8">
        <v>58</v>
      </c>
      <c r="E1801" s="8">
        <v>0</v>
      </c>
      <c r="F1801" s="8">
        <v>0</v>
      </c>
      <c r="G1801" s="8">
        <v>9</v>
      </c>
      <c r="H1801" s="8" t="s">
        <v>29241</v>
      </c>
      <c r="I1801" s="8">
        <v>526.6875</v>
      </c>
      <c r="J1801" s="3">
        <f t="shared" si="28"/>
        <v>43748.567574108798</v>
      </c>
    </row>
    <row r="1802" spans="1:10" x14ac:dyDescent="0.25">
      <c r="A1802" s="5" t="s">
        <v>29242</v>
      </c>
      <c r="B1802" s="6">
        <v>393.75</v>
      </c>
      <c r="C1802" s="6">
        <v>20.531590000000001</v>
      </c>
      <c r="D1802" s="6">
        <v>58</v>
      </c>
      <c r="E1802" s="6">
        <v>0</v>
      </c>
      <c r="F1802" s="6">
        <v>0</v>
      </c>
      <c r="G1802" s="6">
        <v>13</v>
      </c>
      <c r="H1802" s="6" t="s">
        <v>29243</v>
      </c>
      <c r="I1802" s="6">
        <v>526.6875</v>
      </c>
      <c r="J1802" s="2">
        <f t="shared" si="28"/>
        <v>43748.567657685184</v>
      </c>
    </row>
    <row r="1803" spans="1:10" x14ac:dyDescent="0.25">
      <c r="A1803" s="7" t="s">
        <v>29244</v>
      </c>
      <c r="B1803" s="8">
        <v>393.75</v>
      </c>
      <c r="C1803" s="8">
        <v>20.531590000000001</v>
      </c>
      <c r="D1803" s="8">
        <v>56</v>
      </c>
      <c r="E1803" s="8">
        <v>0</v>
      </c>
      <c r="F1803" s="8">
        <v>0</v>
      </c>
      <c r="G1803" s="8">
        <v>15</v>
      </c>
      <c r="H1803" s="8" t="s">
        <v>29245</v>
      </c>
      <c r="I1803" s="8">
        <v>526.6875</v>
      </c>
      <c r="J1803" s="3">
        <f t="shared" si="28"/>
        <v>43748.567741134255</v>
      </c>
    </row>
    <row r="1804" spans="1:10" x14ac:dyDescent="0.25">
      <c r="A1804" s="5" t="s">
        <v>29246</v>
      </c>
      <c r="B1804" s="6">
        <v>393.75</v>
      </c>
      <c r="C1804" s="6">
        <v>20.531590000000001</v>
      </c>
      <c r="D1804" s="6">
        <v>56</v>
      </c>
      <c r="E1804" s="6">
        <v>0</v>
      </c>
      <c r="F1804" s="6">
        <v>0</v>
      </c>
      <c r="G1804" s="6">
        <v>17</v>
      </c>
      <c r="H1804" s="6" t="s">
        <v>29247</v>
      </c>
      <c r="I1804" s="6">
        <v>526.6875</v>
      </c>
      <c r="J1804" s="2">
        <f t="shared" si="28"/>
        <v>43748.567824687496</v>
      </c>
    </row>
    <row r="1805" spans="1:10" x14ac:dyDescent="0.25">
      <c r="A1805" s="7" t="s">
        <v>29248</v>
      </c>
      <c r="B1805" s="8">
        <v>393.75</v>
      </c>
      <c r="C1805" s="8">
        <v>20.531590000000001</v>
      </c>
      <c r="D1805" s="8">
        <v>56</v>
      </c>
      <c r="E1805" s="8">
        <v>0</v>
      </c>
      <c r="F1805" s="8">
        <v>0</v>
      </c>
      <c r="G1805" s="8">
        <v>16</v>
      </c>
      <c r="H1805" s="8" t="s">
        <v>29249</v>
      </c>
      <c r="I1805" s="8">
        <v>526.6875</v>
      </c>
      <c r="J1805" s="3">
        <f t="shared" si="28"/>
        <v>43748.567908240737</v>
      </c>
    </row>
    <row r="1806" spans="1:10" x14ac:dyDescent="0.25">
      <c r="A1806" s="5" t="s">
        <v>29250</v>
      </c>
      <c r="B1806" s="6">
        <v>393.75</v>
      </c>
      <c r="C1806" s="6">
        <v>20.531590000000001</v>
      </c>
      <c r="D1806" s="6">
        <v>57</v>
      </c>
      <c r="E1806" s="6">
        <v>0</v>
      </c>
      <c r="F1806" s="6">
        <v>0</v>
      </c>
      <c r="G1806" s="6">
        <v>18</v>
      </c>
      <c r="H1806" s="6" t="s">
        <v>29251</v>
      </c>
      <c r="I1806" s="6">
        <v>526.6875</v>
      </c>
      <c r="J1806" s="2">
        <f t="shared" si="28"/>
        <v>43748.567991828699</v>
      </c>
    </row>
    <row r="1807" spans="1:10" x14ac:dyDescent="0.25">
      <c r="A1807" s="7" t="s">
        <v>29252</v>
      </c>
      <c r="B1807" s="8">
        <v>396.875</v>
      </c>
      <c r="C1807" s="8">
        <v>20.531590000000001</v>
      </c>
      <c r="D1807" s="8">
        <v>57</v>
      </c>
      <c r="E1807" s="8">
        <v>0</v>
      </c>
      <c r="F1807" s="8">
        <v>0</v>
      </c>
      <c r="G1807" s="8">
        <v>12</v>
      </c>
      <c r="H1807" s="8" t="s">
        <v>29253</v>
      </c>
      <c r="I1807" s="8">
        <v>527.0625</v>
      </c>
      <c r="J1807" s="3">
        <f t="shared" si="28"/>
        <v>43748.568074953706</v>
      </c>
    </row>
    <row r="1808" spans="1:10" x14ac:dyDescent="0.25">
      <c r="A1808" s="5" t="s">
        <v>29254</v>
      </c>
      <c r="B1808" s="6">
        <v>393.75</v>
      </c>
      <c r="C1808" s="6">
        <v>20.531590000000001</v>
      </c>
      <c r="D1808" s="6">
        <v>57</v>
      </c>
      <c r="E1808" s="6">
        <v>0</v>
      </c>
      <c r="F1808" s="6">
        <v>0</v>
      </c>
      <c r="G1808" s="6">
        <v>11</v>
      </c>
      <c r="H1808" s="6" t="s">
        <v>29255</v>
      </c>
      <c r="I1808" s="6">
        <v>526.6875</v>
      </c>
      <c r="J1808" s="2">
        <f t="shared" si="28"/>
        <v>43748.568146550919</v>
      </c>
    </row>
    <row r="1809" spans="1:10" x14ac:dyDescent="0.25">
      <c r="A1809" s="7" t="s">
        <v>29256</v>
      </c>
      <c r="B1809" s="8">
        <v>393.75</v>
      </c>
      <c r="C1809" s="8">
        <v>20.531590000000001</v>
      </c>
      <c r="D1809" s="8">
        <v>57</v>
      </c>
      <c r="E1809" s="8">
        <v>0</v>
      </c>
      <c r="F1809" s="8">
        <v>0</v>
      </c>
      <c r="G1809" s="8">
        <v>12</v>
      </c>
      <c r="H1809" s="8" t="s">
        <v>29257</v>
      </c>
      <c r="I1809" s="8">
        <v>526.6875</v>
      </c>
      <c r="J1809" s="3">
        <f t="shared" si="28"/>
        <v>43748.568230254627</v>
      </c>
    </row>
    <row r="1810" spans="1:10" x14ac:dyDescent="0.25">
      <c r="A1810" s="5" t="s">
        <v>29258</v>
      </c>
      <c r="B1810" s="6">
        <v>393.75</v>
      </c>
      <c r="C1810" s="6">
        <v>20.531590000000001</v>
      </c>
      <c r="D1810" s="6">
        <v>61</v>
      </c>
      <c r="E1810" s="6">
        <v>0</v>
      </c>
      <c r="F1810" s="6">
        <v>0</v>
      </c>
      <c r="G1810" s="6">
        <v>7</v>
      </c>
      <c r="H1810" s="6" t="s">
        <v>29259</v>
      </c>
      <c r="I1810" s="6">
        <v>526.6875</v>
      </c>
      <c r="J1810" s="2">
        <f t="shared" si="28"/>
        <v>43748.568301770829</v>
      </c>
    </row>
    <row r="1811" spans="1:10" x14ac:dyDescent="0.25">
      <c r="A1811" s="7" t="s">
        <v>29260</v>
      </c>
      <c r="B1811" s="8">
        <v>393.75</v>
      </c>
      <c r="C1811" s="8">
        <v>20.531590000000001</v>
      </c>
      <c r="D1811" s="8">
        <v>61</v>
      </c>
      <c r="E1811" s="8">
        <v>0</v>
      </c>
      <c r="F1811" s="8">
        <v>0</v>
      </c>
      <c r="G1811" s="8">
        <v>12</v>
      </c>
      <c r="H1811" s="8" t="s">
        <v>29261</v>
      </c>
      <c r="I1811" s="8">
        <v>526.6875</v>
      </c>
      <c r="J1811" s="3">
        <f t="shared" si="28"/>
        <v>43748.568373287031</v>
      </c>
    </row>
    <row r="1812" spans="1:10" x14ac:dyDescent="0.25">
      <c r="A1812" s="5" t="s">
        <v>29262</v>
      </c>
      <c r="B1812" s="6">
        <v>393.75</v>
      </c>
      <c r="C1812" s="6">
        <v>20.478950000000001</v>
      </c>
      <c r="D1812" s="6">
        <v>60</v>
      </c>
      <c r="E1812" s="6">
        <v>0</v>
      </c>
      <c r="F1812" s="6">
        <v>0</v>
      </c>
      <c r="G1812" s="6">
        <v>17</v>
      </c>
      <c r="H1812" s="6" t="s">
        <v>29263</v>
      </c>
      <c r="I1812" s="6">
        <v>526.6875</v>
      </c>
      <c r="J1812" s="2">
        <f t="shared" si="28"/>
        <v>43748.568456620364</v>
      </c>
    </row>
    <row r="1813" spans="1:10" x14ac:dyDescent="0.25">
      <c r="A1813" s="7" t="s">
        <v>29264</v>
      </c>
      <c r="B1813" s="8">
        <v>412.5</v>
      </c>
      <c r="C1813" s="8">
        <v>20.478950000000001</v>
      </c>
      <c r="D1813" s="8">
        <v>60</v>
      </c>
      <c r="E1813" s="8">
        <v>0</v>
      </c>
      <c r="F1813" s="8">
        <v>0</v>
      </c>
      <c r="G1813" s="8">
        <v>20</v>
      </c>
      <c r="H1813" s="8" t="s">
        <v>29265</v>
      </c>
      <c r="I1813" s="8">
        <v>532.3125</v>
      </c>
      <c r="J1813" s="3">
        <f t="shared" si="28"/>
        <v>43748.568528171294</v>
      </c>
    </row>
    <row r="1814" spans="1:10" x14ac:dyDescent="0.25">
      <c r="A1814" s="5" t="s">
        <v>29266</v>
      </c>
      <c r="B1814" s="6">
        <v>393.75</v>
      </c>
      <c r="C1814" s="6">
        <v>20.531590000000001</v>
      </c>
      <c r="D1814" s="6">
        <v>59</v>
      </c>
      <c r="E1814" s="6">
        <v>0</v>
      </c>
      <c r="F1814" s="6">
        <v>0</v>
      </c>
      <c r="G1814" s="6">
        <v>18</v>
      </c>
      <c r="H1814" s="6" t="s">
        <v>29267</v>
      </c>
      <c r="I1814" s="6">
        <v>526.6875</v>
      </c>
      <c r="J1814" s="2">
        <f t="shared" si="28"/>
        <v>43748.568611944444</v>
      </c>
    </row>
    <row r="1815" spans="1:10" x14ac:dyDescent="0.25">
      <c r="A1815" s="7" t="s">
        <v>29268</v>
      </c>
      <c r="B1815" s="8">
        <v>393.75</v>
      </c>
      <c r="C1815" s="8">
        <v>20.531590000000001</v>
      </c>
      <c r="D1815" s="8">
        <v>59</v>
      </c>
      <c r="E1815" s="8">
        <v>0</v>
      </c>
      <c r="F1815" s="8">
        <v>0</v>
      </c>
      <c r="G1815" s="8">
        <v>8</v>
      </c>
      <c r="H1815" s="8" t="s">
        <v>29269</v>
      </c>
      <c r="I1815" s="8">
        <v>526.6875</v>
      </c>
      <c r="J1815" s="3">
        <f t="shared" si="28"/>
        <v>43748.568695497685</v>
      </c>
    </row>
    <row r="1816" spans="1:10" x14ac:dyDescent="0.25">
      <c r="A1816" s="5" t="s">
        <v>29270</v>
      </c>
      <c r="B1816" s="6">
        <v>393.75</v>
      </c>
      <c r="C1816" s="6">
        <v>20.478950000000001</v>
      </c>
      <c r="D1816" s="6">
        <v>59</v>
      </c>
      <c r="E1816" s="6">
        <v>0</v>
      </c>
      <c r="F1816" s="6">
        <v>0</v>
      </c>
      <c r="G1816" s="6">
        <v>14</v>
      </c>
      <c r="H1816" s="6" t="s">
        <v>29271</v>
      </c>
      <c r="I1816" s="6">
        <v>526.6875</v>
      </c>
      <c r="J1816" s="2">
        <f t="shared" si="28"/>
        <v>43748.568778634253</v>
      </c>
    </row>
    <row r="1817" spans="1:10" x14ac:dyDescent="0.25">
      <c r="A1817" s="7" t="s">
        <v>29272</v>
      </c>
      <c r="B1817" s="8">
        <v>393.75</v>
      </c>
      <c r="C1817" s="8">
        <v>20.531590000000001</v>
      </c>
      <c r="D1817" s="8">
        <v>59</v>
      </c>
      <c r="E1817" s="8">
        <v>0</v>
      </c>
      <c r="F1817" s="8">
        <v>0</v>
      </c>
      <c r="G1817" s="8">
        <v>15</v>
      </c>
      <c r="H1817" s="8" t="s">
        <v>29273</v>
      </c>
      <c r="I1817" s="8">
        <v>526.5</v>
      </c>
      <c r="J1817" s="3">
        <f t="shared" si="28"/>
        <v>43748.568857638886</v>
      </c>
    </row>
    <row r="1818" spans="1:10" x14ac:dyDescent="0.25">
      <c r="A1818" s="5" t="s">
        <v>29274</v>
      </c>
      <c r="B1818" s="6">
        <v>393.75</v>
      </c>
      <c r="C1818" s="6">
        <v>20.478950000000001</v>
      </c>
      <c r="D1818" s="6">
        <v>61</v>
      </c>
      <c r="E1818" s="6">
        <v>0</v>
      </c>
      <c r="F1818" s="6">
        <v>0</v>
      </c>
      <c r="G1818" s="6">
        <v>19</v>
      </c>
      <c r="H1818" s="6" t="s">
        <v>29275</v>
      </c>
      <c r="I1818" s="6">
        <v>526.6875</v>
      </c>
      <c r="J1818" s="2">
        <f t="shared" si="28"/>
        <v>43748.568933935181</v>
      </c>
    </row>
    <row r="1819" spans="1:10" x14ac:dyDescent="0.25">
      <c r="A1819" s="7" t="s">
        <v>29276</v>
      </c>
      <c r="B1819" s="8">
        <v>393.75</v>
      </c>
      <c r="C1819" s="8">
        <v>20.478950000000001</v>
      </c>
      <c r="D1819" s="8">
        <v>63</v>
      </c>
      <c r="E1819" s="8">
        <v>0</v>
      </c>
      <c r="F1819" s="8">
        <v>0</v>
      </c>
      <c r="G1819" s="8">
        <v>10</v>
      </c>
      <c r="H1819" s="8" t="s">
        <v>29277</v>
      </c>
      <c r="I1819" s="8">
        <v>526.6875</v>
      </c>
      <c r="J1819" s="3">
        <f t="shared" si="28"/>
        <v>43748.569017743052</v>
      </c>
    </row>
    <row r="1820" spans="1:10" x14ac:dyDescent="0.25">
      <c r="A1820" s="5" t="s">
        <v>29278</v>
      </c>
      <c r="B1820" s="6">
        <v>393.75</v>
      </c>
      <c r="C1820" s="6">
        <v>20.531590000000001</v>
      </c>
      <c r="D1820" s="6">
        <v>61</v>
      </c>
      <c r="E1820" s="6">
        <v>0</v>
      </c>
      <c r="F1820" s="6">
        <v>0</v>
      </c>
      <c r="G1820" s="6">
        <v>22</v>
      </c>
      <c r="H1820" s="6" t="s">
        <v>29279</v>
      </c>
      <c r="I1820" s="6">
        <v>526.6875</v>
      </c>
      <c r="J1820" s="2">
        <f t="shared" si="28"/>
        <v>43748.569089027776</v>
      </c>
    </row>
    <row r="1821" spans="1:10" x14ac:dyDescent="0.25">
      <c r="A1821" s="7" t="s">
        <v>29280</v>
      </c>
      <c r="B1821" s="8">
        <v>393.75</v>
      </c>
      <c r="C1821" s="8">
        <v>20.531590000000001</v>
      </c>
      <c r="D1821" s="8">
        <v>58</v>
      </c>
      <c r="E1821" s="8">
        <v>0</v>
      </c>
      <c r="F1821" s="8">
        <v>0</v>
      </c>
      <c r="G1821" s="8">
        <v>18</v>
      </c>
      <c r="H1821" s="8" t="s">
        <v>29281</v>
      </c>
      <c r="I1821" s="8">
        <v>526.6875</v>
      </c>
      <c r="J1821" s="3">
        <f t="shared" si="28"/>
        <v>43748.569172511568</v>
      </c>
    </row>
    <row r="1822" spans="1:10" x14ac:dyDescent="0.25">
      <c r="A1822" s="5" t="s">
        <v>29282</v>
      </c>
      <c r="B1822" s="6">
        <v>393.75</v>
      </c>
      <c r="C1822" s="6">
        <v>20.478950000000001</v>
      </c>
      <c r="D1822" s="6">
        <v>58</v>
      </c>
      <c r="E1822" s="6">
        <v>0</v>
      </c>
      <c r="F1822" s="6">
        <v>0</v>
      </c>
      <c r="G1822" s="6">
        <v>18</v>
      </c>
      <c r="H1822" s="6" t="s">
        <v>29283</v>
      </c>
      <c r="I1822" s="6">
        <v>526.6875</v>
      </c>
      <c r="J1822" s="2">
        <f t="shared" si="28"/>
        <v>43748.569255937495</v>
      </c>
    </row>
    <row r="1823" spans="1:10" x14ac:dyDescent="0.25">
      <c r="A1823" s="7" t="s">
        <v>29284</v>
      </c>
      <c r="B1823" s="8">
        <v>393.75</v>
      </c>
      <c r="C1823" s="8">
        <v>20.531590000000001</v>
      </c>
      <c r="D1823" s="8">
        <v>57</v>
      </c>
      <c r="E1823" s="8">
        <v>0</v>
      </c>
      <c r="F1823" s="8">
        <v>0</v>
      </c>
      <c r="G1823" s="8">
        <v>11</v>
      </c>
      <c r="H1823" s="8" t="s">
        <v>29285</v>
      </c>
      <c r="I1823" s="8">
        <v>526.6875</v>
      </c>
      <c r="J1823" s="3">
        <f t="shared" si="28"/>
        <v>43748.569339513888</v>
      </c>
    </row>
    <row r="1824" spans="1:10" x14ac:dyDescent="0.25">
      <c r="A1824" s="5" t="s">
        <v>29286</v>
      </c>
      <c r="B1824" s="6">
        <v>393.75</v>
      </c>
      <c r="C1824" s="6">
        <v>20.531590000000001</v>
      </c>
      <c r="D1824" s="6">
        <v>56</v>
      </c>
      <c r="E1824" s="6">
        <v>0</v>
      </c>
      <c r="F1824" s="6">
        <v>0</v>
      </c>
      <c r="G1824" s="6">
        <v>16</v>
      </c>
      <c r="H1824" s="6" t="s">
        <v>29287</v>
      </c>
      <c r="I1824" s="6">
        <v>526.6875</v>
      </c>
      <c r="J1824" s="2">
        <f t="shared" si="28"/>
        <v>43748.569423090274</v>
      </c>
    </row>
    <row r="1825" spans="1:10" x14ac:dyDescent="0.25">
      <c r="A1825" s="7" t="s">
        <v>29288</v>
      </c>
      <c r="B1825" s="8">
        <v>393.75</v>
      </c>
      <c r="C1825" s="8">
        <v>20.478950000000001</v>
      </c>
      <c r="D1825" s="8">
        <v>57</v>
      </c>
      <c r="E1825" s="8">
        <v>0</v>
      </c>
      <c r="F1825" s="8">
        <v>0</v>
      </c>
      <c r="G1825" s="8">
        <v>19</v>
      </c>
      <c r="H1825" s="8" t="s">
        <v>29289</v>
      </c>
      <c r="I1825" s="8">
        <v>526.6875</v>
      </c>
      <c r="J1825" s="3">
        <f t="shared" si="28"/>
        <v>43748.569506655091</v>
      </c>
    </row>
    <row r="1826" spans="1:10" x14ac:dyDescent="0.25">
      <c r="A1826" s="5" t="s">
        <v>29290</v>
      </c>
      <c r="B1826" s="6">
        <v>393.75</v>
      </c>
      <c r="C1826" s="6">
        <v>20.531590000000001</v>
      </c>
      <c r="D1826" s="6">
        <v>56</v>
      </c>
      <c r="E1826" s="6">
        <v>0</v>
      </c>
      <c r="F1826" s="6">
        <v>0</v>
      </c>
      <c r="G1826" s="6">
        <v>15</v>
      </c>
      <c r="H1826" s="6" t="s">
        <v>29291</v>
      </c>
      <c r="I1826" s="6">
        <v>526.6875</v>
      </c>
      <c r="J1826" s="2">
        <f t="shared" si="28"/>
        <v>43748.56958974537</v>
      </c>
    </row>
    <row r="1827" spans="1:10" x14ac:dyDescent="0.25">
      <c r="A1827" s="7" t="s">
        <v>29292</v>
      </c>
      <c r="B1827" s="8">
        <v>393.75</v>
      </c>
      <c r="C1827" s="8">
        <v>20.584240000000001</v>
      </c>
      <c r="D1827" s="8">
        <v>56</v>
      </c>
      <c r="E1827" s="8">
        <v>0</v>
      </c>
      <c r="F1827" s="8">
        <v>0</v>
      </c>
      <c r="G1827" s="8">
        <v>15</v>
      </c>
      <c r="H1827" s="8" t="s">
        <v>29293</v>
      </c>
      <c r="I1827" s="8">
        <v>526.6875</v>
      </c>
      <c r="J1827" s="3">
        <f t="shared" si="28"/>
        <v>43748.569661504625</v>
      </c>
    </row>
    <row r="1828" spans="1:10" x14ac:dyDescent="0.25">
      <c r="A1828" s="5" t="s">
        <v>29294</v>
      </c>
      <c r="B1828" s="6">
        <v>393.75</v>
      </c>
      <c r="C1828" s="6">
        <v>20.531590000000001</v>
      </c>
      <c r="D1828" s="6">
        <v>58</v>
      </c>
      <c r="E1828" s="6">
        <v>0</v>
      </c>
      <c r="F1828" s="6">
        <v>0</v>
      </c>
      <c r="G1828" s="6">
        <v>12</v>
      </c>
      <c r="H1828" s="6" t="s">
        <v>29295</v>
      </c>
      <c r="I1828" s="6">
        <v>526.5</v>
      </c>
      <c r="J1828" s="2">
        <f t="shared" si="28"/>
        <v>43748.569745057866</v>
      </c>
    </row>
    <row r="1829" spans="1:10" x14ac:dyDescent="0.25">
      <c r="A1829" s="7" t="s">
        <v>29296</v>
      </c>
      <c r="B1829" s="8">
        <v>393.75</v>
      </c>
      <c r="C1829" s="8">
        <v>20.531590000000001</v>
      </c>
      <c r="D1829" s="8">
        <v>58</v>
      </c>
      <c r="E1829" s="8">
        <v>0</v>
      </c>
      <c r="F1829" s="8">
        <v>0</v>
      </c>
      <c r="G1829" s="8">
        <v>18</v>
      </c>
      <c r="H1829" s="8" t="s">
        <v>29297</v>
      </c>
      <c r="I1829" s="8">
        <v>526.6875</v>
      </c>
      <c r="J1829" s="3">
        <f t="shared" si="28"/>
        <v>43748.569828495369</v>
      </c>
    </row>
    <row r="1830" spans="1:10" x14ac:dyDescent="0.25">
      <c r="A1830" s="5" t="s">
        <v>29298</v>
      </c>
      <c r="B1830" s="6">
        <v>393.75</v>
      </c>
      <c r="C1830" s="6">
        <v>20.531590000000001</v>
      </c>
      <c r="D1830" s="6">
        <v>58</v>
      </c>
      <c r="E1830" s="6">
        <v>0</v>
      </c>
      <c r="F1830" s="6">
        <v>0</v>
      </c>
      <c r="G1830" s="6">
        <v>19</v>
      </c>
      <c r="H1830" s="6" t="s">
        <v>29299</v>
      </c>
      <c r="I1830" s="6">
        <v>526.6875</v>
      </c>
      <c r="J1830" s="2">
        <f t="shared" si="28"/>
        <v>43748.56991194444</v>
      </c>
    </row>
    <row r="1831" spans="1:10" x14ac:dyDescent="0.25">
      <c r="A1831" s="7" t="s">
        <v>29300</v>
      </c>
      <c r="B1831" s="8">
        <v>412.5</v>
      </c>
      <c r="C1831" s="8">
        <v>20.531590000000001</v>
      </c>
      <c r="D1831" s="8">
        <v>58</v>
      </c>
      <c r="E1831" s="8">
        <v>0</v>
      </c>
      <c r="F1831" s="8">
        <v>0</v>
      </c>
      <c r="G1831" s="8">
        <v>14</v>
      </c>
      <c r="H1831" s="8" t="s">
        <v>29301</v>
      </c>
      <c r="I1831" s="8">
        <v>532.3125</v>
      </c>
      <c r="J1831" s="3">
        <f t="shared" si="28"/>
        <v>43748.569995520833</v>
      </c>
    </row>
    <row r="1832" spans="1:10" x14ac:dyDescent="0.25">
      <c r="A1832" s="5" t="s">
        <v>29302</v>
      </c>
      <c r="B1832" s="6">
        <v>393.75</v>
      </c>
      <c r="C1832" s="6">
        <v>20.584240000000001</v>
      </c>
      <c r="D1832" s="6">
        <v>58</v>
      </c>
      <c r="E1832" s="6">
        <v>0</v>
      </c>
      <c r="F1832" s="6">
        <v>0</v>
      </c>
      <c r="G1832" s="6">
        <v>13</v>
      </c>
      <c r="H1832" s="6" t="s">
        <v>29303</v>
      </c>
      <c r="I1832" s="6">
        <v>526.6875</v>
      </c>
      <c r="J1832" s="2">
        <f t="shared" si="28"/>
        <v>43748.570078738419</v>
      </c>
    </row>
    <row r="1833" spans="1:10" x14ac:dyDescent="0.25">
      <c r="A1833" s="7" t="s">
        <v>29304</v>
      </c>
      <c r="B1833" s="8">
        <v>393.75</v>
      </c>
      <c r="C1833" s="8">
        <v>20.584240000000001</v>
      </c>
      <c r="D1833" s="8">
        <v>58</v>
      </c>
      <c r="E1833" s="8">
        <v>0</v>
      </c>
      <c r="F1833" s="8">
        <v>0</v>
      </c>
      <c r="G1833" s="8">
        <v>13</v>
      </c>
      <c r="H1833" s="8" t="s">
        <v>29305</v>
      </c>
      <c r="I1833" s="8">
        <v>526.6875</v>
      </c>
      <c r="J1833" s="3">
        <f t="shared" si="28"/>
        <v>43748.570150405088</v>
      </c>
    </row>
    <row r="1834" spans="1:10" x14ac:dyDescent="0.25">
      <c r="A1834" s="5" t="s">
        <v>29306</v>
      </c>
      <c r="B1834" s="6">
        <v>393.75</v>
      </c>
      <c r="C1834" s="6">
        <v>20.531590000000001</v>
      </c>
      <c r="D1834" s="6">
        <v>58</v>
      </c>
      <c r="E1834" s="6">
        <v>0</v>
      </c>
      <c r="F1834" s="6">
        <v>0</v>
      </c>
      <c r="G1834" s="6">
        <v>17</v>
      </c>
      <c r="H1834" s="6" t="s">
        <v>29307</v>
      </c>
      <c r="I1834" s="6">
        <v>526.6875</v>
      </c>
      <c r="J1834" s="2">
        <f t="shared" si="28"/>
        <v>43748.570246099531</v>
      </c>
    </row>
    <row r="1835" spans="1:10" x14ac:dyDescent="0.25">
      <c r="A1835" s="7" t="s">
        <v>29308</v>
      </c>
      <c r="B1835" s="8">
        <v>393.75</v>
      </c>
      <c r="C1835" s="8">
        <v>20.584240000000001</v>
      </c>
      <c r="D1835" s="8">
        <v>58</v>
      </c>
      <c r="E1835" s="8">
        <v>0</v>
      </c>
      <c r="F1835" s="8">
        <v>0</v>
      </c>
      <c r="G1835" s="8">
        <v>13</v>
      </c>
      <c r="H1835" s="8" t="s">
        <v>29309</v>
      </c>
      <c r="I1835" s="8">
        <v>526.5</v>
      </c>
      <c r="J1835" s="3">
        <f t="shared" si="28"/>
        <v>43748.570317627316</v>
      </c>
    </row>
    <row r="1836" spans="1:10" x14ac:dyDescent="0.25">
      <c r="A1836" s="5" t="s">
        <v>29310</v>
      </c>
      <c r="B1836" s="6">
        <v>412.5</v>
      </c>
      <c r="C1836" s="6">
        <v>20.531590000000001</v>
      </c>
      <c r="D1836" s="6">
        <v>59</v>
      </c>
      <c r="E1836" s="6">
        <v>0</v>
      </c>
      <c r="F1836" s="6">
        <v>0</v>
      </c>
      <c r="G1836" s="6">
        <v>24</v>
      </c>
      <c r="H1836" s="6" t="s">
        <v>29311</v>
      </c>
      <c r="I1836" s="6">
        <v>532.125</v>
      </c>
      <c r="J1836" s="2">
        <f t="shared" si="28"/>
        <v>43748.570400833334</v>
      </c>
    </row>
    <row r="1837" spans="1:10" x14ac:dyDescent="0.25">
      <c r="A1837" s="7" t="s">
        <v>29312</v>
      </c>
      <c r="B1837" s="8">
        <v>393.75</v>
      </c>
      <c r="C1837" s="8">
        <v>20.531590000000001</v>
      </c>
      <c r="D1837" s="8">
        <v>59</v>
      </c>
      <c r="E1837" s="8">
        <v>0</v>
      </c>
      <c r="F1837" s="8">
        <v>0</v>
      </c>
      <c r="G1837" s="8">
        <v>17</v>
      </c>
      <c r="H1837" s="8" t="s">
        <v>29313</v>
      </c>
      <c r="I1837" s="8">
        <v>526.6875</v>
      </c>
      <c r="J1837" s="3">
        <f t="shared" si="28"/>
        <v>43748.570472604166</v>
      </c>
    </row>
    <row r="1838" spans="1:10" x14ac:dyDescent="0.25">
      <c r="A1838" s="5" t="s">
        <v>29314</v>
      </c>
      <c r="B1838" s="6">
        <v>393.75</v>
      </c>
      <c r="C1838" s="6">
        <v>20.531590000000001</v>
      </c>
      <c r="D1838" s="6">
        <v>61</v>
      </c>
      <c r="E1838" s="6">
        <v>0</v>
      </c>
      <c r="F1838" s="6">
        <v>0</v>
      </c>
      <c r="G1838" s="6">
        <v>15</v>
      </c>
      <c r="H1838" s="6" t="s">
        <v>29315</v>
      </c>
      <c r="I1838" s="6">
        <v>526.6875</v>
      </c>
      <c r="J1838" s="2">
        <f t="shared" si="28"/>
        <v>43748.570556157407</v>
      </c>
    </row>
    <row r="1839" spans="1:10" x14ac:dyDescent="0.25">
      <c r="A1839" s="7" t="s">
        <v>29316</v>
      </c>
      <c r="B1839" s="8">
        <v>393.75</v>
      </c>
      <c r="C1839" s="8">
        <v>20.531590000000001</v>
      </c>
      <c r="D1839" s="8">
        <v>57</v>
      </c>
      <c r="E1839" s="8">
        <v>0</v>
      </c>
      <c r="F1839" s="8">
        <v>0</v>
      </c>
      <c r="G1839" s="8">
        <v>18</v>
      </c>
      <c r="H1839" s="8" t="s">
        <v>29317</v>
      </c>
      <c r="I1839" s="8">
        <v>526.6875</v>
      </c>
      <c r="J1839" s="3">
        <f t="shared" si="28"/>
        <v>43748.570640081016</v>
      </c>
    </row>
    <row r="1840" spans="1:10" x14ac:dyDescent="0.25">
      <c r="A1840" s="5" t="s">
        <v>29318</v>
      </c>
      <c r="B1840" s="6">
        <v>393.75</v>
      </c>
      <c r="C1840" s="6">
        <v>20.531590000000001</v>
      </c>
      <c r="D1840" s="6">
        <v>56</v>
      </c>
      <c r="E1840" s="6">
        <v>0</v>
      </c>
      <c r="F1840" s="6">
        <v>0</v>
      </c>
      <c r="G1840" s="6">
        <v>10</v>
      </c>
      <c r="H1840" s="6" t="s">
        <v>29319</v>
      </c>
      <c r="I1840" s="6">
        <v>526.5</v>
      </c>
      <c r="J1840" s="2">
        <f t="shared" si="28"/>
        <v>43748.570711261571</v>
      </c>
    </row>
    <row r="1841" spans="1:10" x14ac:dyDescent="0.25">
      <c r="A1841" s="7" t="s">
        <v>29320</v>
      </c>
      <c r="B1841" s="8">
        <v>393.75</v>
      </c>
      <c r="C1841" s="8">
        <v>20.531590000000001</v>
      </c>
      <c r="D1841" s="8">
        <v>59</v>
      </c>
      <c r="E1841" s="8">
        <v>0</v>
      </c>
      <c r="F1841" s="8">
        <v>0</v>
      </c>
      <c r="G1841" s="8">
        <v>19</v>
      </c>
      <c r="H1841" s="8" t="s">
        <v>29321</v>
      </c>
      <c r="I1841" s="8">
        <v>526.6875</v>
      </c>
      <c r="J1841" s="3">
        <f t="shared" si="28"/>
        <v>43748.570794710649</v>
      </c>
    </row>
    <row r="1842" spans="1:10" x14ac:dyDescent="0.25">
      <c r="A1842" s="5" t="s">
        <v>29322</v>
      </c>
      <c r="B1842" s="6">
        <v>393.75</v>
      </c>
      <c r="C1842" s="6">
        <v>20.531590000000001</v>
      </c>
      <c r="D1842" s="6">
        <v>60</v>
      </c>
      <c r="E1842" s="6">
        <v>0</v>
      </c>
      <c r="F1842" s="6">
        <v>0</v>
      </c>
      <c r="G1842" s="6">
        <v>11</v>
      </c>
      <c r="H1842" s="6" t="s">
        <v>29323</v>
      </c>
      <c r="I1842" s="6">
        <v>526.6875</v>
      </c>
      <c r="J1842" s="2">
        <f t="shared" si="28"/>
        <v>43748.57087826389</v>
      </c>
    </row>
    <row r="1843" spans="1:10" x14ac:dyDescent="0.25">
      <c r="A1843" s="7" t="s">
        <v>29324</v>
      </c>
      <c r="B1843" s="8">
        <v>393.75</v>
      </c>
      <c r="C1843" s="8">
        <v>20.531590000000001</v>
      </c>
      <c r="D1843" s="8">
        <v>59</v>
      </c>
      <c r="E1843" s="8">
        <v>0</v>
      </c>
      <c r="F1843" s="8">
        <v>0</v>
      </c>
      <c r="G1843" s="8">
        <v>15</v>
      </c>
      <c r="H1843" s="8" t="s">
        <v>29325</v>
      </c>
      <c r="I1843" s="8">
        <v>526.6875</v>
      </c>
      <c r="J1843" s="3">
        <f t="shared" si="28"/>
        <v>43748.570961712961</v>
      </c>
    </row>
    <row r="1844" spans="1:10" x14ac:dyDescent="0.25">
      <c r="A1844" s="5" t="s">
        <v>29326</v>
      </c>
      <c r="B1844" s="6">
        <v>393.75</v>
      </c>
      <c r="C1844" s="6">
        <v>20.531590000000001</v>
      </c>
      <c r="D1844" s="6">
        <v>60</v>
      </c>
      <c r="E1844" s="6">
        <v>0</v>
      </c>
      <c r="F1844" s="6">
        <v>0</v>
      </c>
      <c r="G1844" s="6">
        <v>18</v>
      </c>
      <c r="H1844" s="6" t="s">
        <v>29327</v>
      </c>
      <c r="I1844" s="6">
        <v>526.6875</v>
      </c>
      <c r="J1844" s="2">
        <f t="shared" si="28"/>
        <v>43748.571045300923</v>
      </c>
    </row>
    <row r="1845" spans="1:10" x14ac:dyDescent="0.25">
      <c r="A1845" s="7" t="s">
        <v>29328</v>
      </c>
      <c r="B1845" s="8">
        <v>393.75</v>
      </c>
      <c r="C1845" s="8">
        <v>20.531590000000001</v>
      </c>
      <c r="D1845" s="8">
        <v>64</v>
      </c>
      <c r="E1845" s="8">
        <v>0</v>
      </c>
      <c r="F1845" s="8">
        <v>0</v>
      </c>
      <c r="G1845" s="8">
        <v>22</v>
      </c>
      <c r="H1845" s="8" t="s">
        <v>29329</v>
      </c>
      <c r="I1845" s="8">
        <v>526.6875</v>
      </c>
      <c r="J1845" s="3">
        <f t="shared" si="28"/>
        <v>43748.57112872685</v>
      </c>
    </row>
    <row r="1846" spans="1:10" x14ac:dyDescent="0.25">
      <c r="A1846" s="5" t="s">
        <v>29330</v>
      </c>
      <c r="B1846" s="6">
        <v>421.875</v>
      </c>
      <c r="C1846" s="6">
        <v>20.531590000000001</v>
      </c>
      <c r="D1846" s="6">
        <v>64</v>
      </c>
      <c r="E1846" s="6">
        <v>0</v>
      </c>
      <c r="F1846" s="6">
        <v>0</v>
      </c>
      <c r="G1846" s="6">
        <v>18</v>
      </c>
      <c r="H1846" s="6" t="s">
        <v>29331</v>
      </c>
      <c r="I1846" s="6">
        <v>535.3125</v>
      </c>
      <c r="J1846" s="2">
        <f t="shared" si="28"/>
        <v>43748.571211956012</v>
      </c>
    </row>
    <row r="1847" spans="1:10" x14ac:dyDescent="0.25">
      <c r="A1847" s="7" t="s">
        <v>29332</v>
      </c>
      <c r="B1847" s="8">
        <v>393.75</v>
      </c>
      <c r="C1847" s="8">
        <v>20.584240000000001</v>
      </c>
      <c r="D1847" s="8">
        <v>64</v>
      </c>
      <c r="E1847" s="8">
        <v>0</v>
      </c>
      <c r="F1847" s="8">
        <v>0</v>
      </c>
      <c r="G1847" s="8">
        <v>22</v>
      </c>
      <c r="H1847" s="8" t="s">
        <v>29333</v>
      </c>
      <c r="I1847" s="8">
        <v>526.6875</v>
      </c>
      <c r="J1847" s="3">
        <f t="shared" si="28"/>
        <v>43748.571283703706</v>
      </c>
    </row>
    <row r="1848" spans="1:10" x14ac:dyDescent="0.25">
      <c r="A1848" s="5" t="s">
        <v>29334</v>
      </c>
      <c r="B1848" s="6">
        <v>393.75</v>
      </c>
      <c r="C1848" s="6">
        <v>20.531590000000001</v>
      </c>
      <c r="D1848" s="6">
        <v>63</v>
      </c>
      <c r="E1848" s="6">
        <v>0</v>
      </c>
      <c r="F1848" s="6">
        <v>0</v>
      </c>
      <c r="G1848" s="6">
        <v>17</v>
      </c>
      <c r="H1848" s="6" t="s">
        <v>29335</v>
      </c>
      <c r="I1848" s="6">
        <v>526.6875</v>
      </c>
      <c r="J1848" s="2">
        <f t="shared" si="28"/>
        <v>43748.57137907407</v>
      </c>
    </row>
    <row r="1849" spans="1:10" x14ac:dyDescent="0.25">
      <c r="A1849" s="7" t="s">
        <v>29336</v>
      </c>
      <c r="B1849" s="8">
        <v>393.75</v>
      </c>
      <c r="C1849" s="8">
        <v>20.584240000000001</v>
      </c>
      <c r="D1849" s="8">
        <v>63</v>
      </c>
      <c r="E1849" s="8">
        <v>0</v>
      </c>
      <c r="F1849" s="8">
        <v>0</v>
      </c>
      <c r="G1849" s="8">
        <v>21</v>
      </c>
      <c r="H1849" s="8" t="s">
        <v>29337</v>
      </c>
      <c r="I1849" s="8">
        <v>526.6875</v>
      </c>
      <c r="J1849" s="3">
        <f t="shared" si="28"/>
        <v>43748.571450358795</v>
      </c>
    </row>
    <row r="1850" spans="1:10" x14ac:dyDescent="0.25">
      <c r="A1850" s="5" t="s">
        <v>29338</v>
      </c>
      <c r="B1850" s="6">
        <v>393.75</v>
      </c>
      <c r="C1850" s="6">
        <v>20.531590000000001</v>
      </c>
      <c r="D1850" s="6">
        <v>62</v>
      </c>
      <c r="E1850" s="6">
        <v>0</v>
      </c>
      <c r="F1850" s="6">
        <v>0</v>
      </c>
      <c r="G1850" s="6">
        <v>21</v>
      </c>
      <c r="H1850" s="6" t="s">
        <v>29339</v>
      </c>
      <c r="I1850" s="6">
        <v>526.6875</v>
      </c>
      <c r="J1850" s="2">
        <f t="shared" si="28"/>
        <v>43748.571534178242</v>
      </c>
    </row>
    <row r="1851" spans="1:10" x14ac:dyDescent="0.25">
      <c r="A1851" s="7" t="s">
        <v>29340</v>
      </c>
      <c r="B1851" s="8">
        <v>393.75</v>
      </c>
      <c r="C1851" s="8">
        <v>20.584240000000001</v>
      </c>
      <c r="D1851" s="8">
        <v>62</v>
      </c>
      <c r="E1851" s="8">
        <v>0</v>
      </c>
      <c r="F1851" s="8">
        <v>0</v>
      </c>
      <c r="G1851" s="8">
        <v>7</v>
      </c>
      <c r="H1851" s="8" t="s">
        <v>29341</v>
      </c>
      <c r="I1851" s="8">
        <v>526.6875</v>
      </c>
      <c r="J1851" s="3">
        <f t="shared" si="28"/>
        <v>43748.571605833327</v>
      </c>
    </row>
    <row r="1852" spans="1:10" x14ac:dyDescent="0.25">
      <c r="A1852" s="5" t="s">
        <v>29342</v>
      </c>
      <c r="B1852" s="6">
        <v>393.75</v>
      </c>
      <c r="C1852" s="6">
        <v>20.531590000000001</v>
      </c>
      <c r="D1852" s="6">
        <v>62</v>
      </c>
      <c r="E1852" s="6">
        <v>0</v>
      </c>
      <c r="F1852" s="6">
        <v>0</v>
      </c>
      <c r="G1852" s="6">
        <v>10</v>
      </c>
      <c r="H1852" s="6" t="s">
        <v>29343</v>
      </c>
      <c r="I1852" s="6">
        <v>526.6875</v>
      </c>
      <c r="J1852" s="2">
        <f t="shared" si="28"/>
        <v>43748.571689247685</v>
      </c>
    </row>
    <row r="1853" spans="1:10" x14ac:dyDescent="0.25">
      <c r="A1853" s="7" t="s">
        <v>29344</v>
      </c>
      <c r="B1853" s="8">
        <v>393.75</v>
      </c>
      <c r="C1853" s="8">
        <v>20.584240000000001</v>
      </c>
      <c r="D1853" s="8">
        <v>63</v>
      </c>
      <c r="E1853" s="8">
        <v>0</v>
      </c>
      <c r="F1853" s="8">
        <v>0</v>
      </c>
      <c r="G1853" s="8">
        <v>22</v>
      </c>
      <c r="H1853" s="8" t="s">
        <v>29345</v>
      </c>
      <c r="I1853" s="8">
        <v>526.6875</v>
      </c>
      <c r="J1853" s="3">
        <f t="shared" si="28"/>
        <v>43748.571772835647</v>
      </c>
    </row>
    <row r="1854" spans="1:10" x14ac:dyDescent="0.25">
      <c r="A1854" s="5" t="s">
        <v>29346</v>
      </c>
      <c r="B1854" s="6">
        <v>412.5</v>
      </c>
      <c r="C1854" s="6">
        <v>20.478950000000001</v>
      </c>
      <c r="D1854" s="6">
        <v>63</v>
      </c>
      <c r="E1854" s="6">
        <v>0</v>
      </c>
      <c r="F1854" s="6">
        <v>0</v>
      </c>
      <c r="G1854" s="6">
        <v>12</v>
      </c>
      <c r="H1854" s="6" t="s">
        <v>29347</v>
      </c>
      <c r="I1854" s="6">
        <v>532.3125</v>
      </c>
      <c r="J1854" s="2">
        <f t="shared" si="28"/>
        <v>43748.571844363425</v>
      </c>
    </row>
    <row r="1855" spans="1:10" x14ac:dyDescent="0.25">
      <c r="A1855" s="7" t="s">
        <v>29348</v>
      </c>
      <c r="B1855" s="8">
        <v>393.75</v>
      </c>
      <c r="C1855" s="8">
        <v>20.584240000000001</v>
      </c>
      <c r="D1855" s="8">
        <v>62</v>
      </c>
      <c r="E1855" s="8">
        <v>0</v>
      </c>
      <c r="F1855" s="8">
        <v>0</v>
      </c>
      <c r="G1855" s="8">
        <v>24</v>
      </c>
      <c r="H1855" s="8" t="s">
        <v>29349</v>
      </c>
      <c r="I1855" s="8">
        <v>526.6875</v>
      </c>
      <c r="J1855" s="3">
        <f t="shared" si="28"/>
        <v>43748.571927812496</v>
      </c>
    </row>
    <row r="1856" spans="1:10" x14ac:dyDescent="0.25">
      <c r="A1856" s="5" t="s">
        <v>29350</v>
      </c>
      <c r="B1856" s="6">
        <v>393.75</v>
      </c>
      <c r="C1856" s="6">
        <v>20.478950000000001</v>
      </c>
      <c r="D1856" s="6">
        <v>62</v>
      </c>
      <c r="E1856" s="6">
        <v>0</v>
      </c>
      <c r="F1856" s="6">
        <v>0</v>
      </c>
      <c r="G1856" s="6">
        <v>22</v>
      </c>
      <c r="H1856" s="6" t="s">
        <v>29351</v>
      </c>
      <c r="I1856" s="6">
        <v>526.6875</v>
      </c>
      <c r="J1856" s="2">
        <f t="shared" si="28"/>
        <v>43748.571999444444</v>
      </c>
    </row>
    <row r="1857" spans="1:10" x14ac:dyDescent="0.25">
      <c r="A1857" s="7" t="s">
        <v>29352</v>
      </c>
      <c r="B1857" s="8">
        <v>393.75</v>
      </c>
      <c r="C1857" s="8">
        <v>20.531590000000001</v>
      </c>
      <c r="D1857" s="8">
        <v>61</v>
      </c>
      <c r="E1857" s="8">
        <v>0</v>
      </c>
      <c r="F1857" s="8">
        <v>0</v>
      </c>
      <c r="G1857" s="8">
        <v>30</v>
      </c>
      <c r="H1857" s="8" t="s">
        <v>29353</v>
      </c>
      <c r="I1857" s="8">
        <v>526.6875</v>
      </c>
      <c r="J1857" s="3">
        <f t="shared" si="28"/>
        <v>43748.572083032406</v>
      </c>
    </row>
    <row r="1858" spans="1:10" x14ac:dyDescent="0.25">
      <c r="A1858" s="5" t="s">
        <v>29354</v>
      </c>
      <c r="B1858" s="6">
        <v>393.75</v>
      </c>
      <c r="C1858" s="6">
        <v>20.584240000000001</v>
      </c>
      <c r="D1858" s="6">
        <v>63</v>
      </c>
      <c r="E1858" s="6">
        <v>0</v>
      </c>
      <c r="F1858" s="6">
        <v>0</v>
      </c>
      <c r="G1858" s="6">
        <v>19</v>
      </c>
      <c r="H1858" s="6" t="s">
        <v>29355</v>
      </c>
      <c r="I1858" s="6">
        <v>526.6875</v>
      </c>
      <c r="J1858" s="2">
        <f t="shared" ref="J1858:J1921" si="29">(H1858/86400000)+25569+(7/24)</f>
        <v>43748.57215453704</v>
      </c>
    </row>
    <row r="1859" spans="1:10" x14ac:dyDescent="0.25">
      <c r="A1859" s="7" t="s">
        <v>29356</v>
      </c>
      <c r="B1859" s="8">
        <v>393.75</v>
      </c>
      <c r="C1859" s="8">
        <v>20.531590000000001</v>
      </c>
      <c r="D1859" s="8">
        <v>64</v>
      </c>
      <c r="E1859" s="8">
        <v>0</v>
      </c>
      <c r="F1859" s="8">
        <v>0</v>
      </c>
      <c r="G1859" s="8">
        <v>19</v>
      </c>
      <c r="H1859" s="8" t="s">
        <v>29357</v>
      </c>
      <c r="I1859" s="8">
        <v>526.6875</v>
      </c>
      <c r="J1859" s="3">
        <f t="shared" si="29"/>
        <v>43748.572237916662</v>
      </c>
    </row>
    <row r="1860" spans="1:10" x14ac:dyDescent="0.25">
      <c r="A1860" s="5" t="s">
        <v>29358</v>
      </c>
      <c r="B1860" s="6">
        <v>412.5</v>
      </c>
      <c r="C1860" s="6">
        <v>20.584240000000001</v>
      </c>
      <c r="D1860" s="6">
        <v>64</v>
      </c>
      <c r="E1860" s="6">
        <v>0</v>
      </c>
      <c r="F1860" s="6">
        <v>0</v>
      </c>
      <c r="G1860" s="6">
        <v>19</v>
      </c>
      <c r="H1860" s="6" t="s">
        <v>29359</v>
      </c>
      <c r="I1860" s="6">
        <v>532.5</v>
      </c>
      <c r="J1860" s="2">
        <f t="shared" si="29"/>
        <v>43748.572321747684</v>
      </c>
    </row>
    <row r="1861" spans="1:10" x14ac:dyDescent="0.25">
      <c r="A1861" s="7" t="s">
        <v>29360</v>
      </c>
      <c r="B1861" s="8">
        <v>393.75</v>
      </c>
      <c r="C1861" s="8">
        <v>20.584240000000001</v>
      </c>
      <c r="D1861" s="8">
        <v>64</v>
      </c>
      <c r="E1861" s="8">
        <v>0</v>
      </c>
      <c r="F1861" s="8">
        <v>0</v>
      </c>
      <c r="G1861" s="8">
        <v>26</v>
      </c>
      <c r="H1861" s="8" t="s">
        <v>29361</v>
      </c>
      <c r="I1861" s="8">
        <v>526.6875</v>
      </c>
      <c r="J1861" s="3">
        <f t="shared" si="29"/>
        <v>43748.572404664352</v>
      </c>
    </row>
    <row r="1862" spans="1:10" x14ac:dyDescent="0.25">
      <c r="A1862" s="5" t="s">
        <v>29362</v>
      </c>
      <c r="B1862" s="6">
        <v>393.75</v>
      </c>
      <c r="C1862" s="6">
        <v>20.531590000000001</v>
      </c>
      <c r="D1862" s="6">
        <v>63</v>
      </c>
      <c r="E1862" s="6">
        <v>0</v>
      </c>
      <c r="F1862" s="6">
        <v>0</v>
      </c>
      <c r="G1862" s="6">
        <v>28</v>
      </c>
      <c r="H1862" s="6" t="s">
        <v>29363</v>
      </c>
      <c r="I1862" s="6">
        <v>526.6875</v>
      </c>
      <c r="J1862" s="2">
        <f t="shared" si="29"/>
        <v>43748.572476527777</v>
      </c>
    </row>
    <row r="1863" spans="1:10" x14ac:dyDescent="0.25">
      <c r="A1863" s="7" t="s">
        <v>29364</v>
      </c>
      <c r="B1863" s="8">
        <v>393.75</v>
      </c>
      <c r="C1863" s="8">
        <v>20.531590000000001</v>
      </c>
      <c r="D1863" s="8">
        <v>64</v>
      </c>
      <c r="E1863" s="8">
        <v>0</v>
      </c>
      <c r="F1863" s="8">
        <v>0</v>
      </c>
      <c r="G1863" s="8">
        <v>19</v>
      </c>
      <c r="H1863" s="8" t="s">
        <v>29365</v>
      </c>
      <c r="I1863" s="8">
        <v>526.6875</v>
      </c>
      <c r="J1863" s="3">
        <f t="shared" si="29"/>
        <v>43748.572560138891</v>
      </c>
    </row>
    <row r="1864" spans="1:10" x14ac:dyDescent="0.25">
      <c r="A1864" s="5" t="s">
        <v>29366</v>
      </c>
      <c r="B1864" s="6">
        <v>393.75</v>
      </c>
      <c r="C1864" s="6">
        <v>20.531590000000001</v>
      </c>
      <c r="D1864" s="6">
        <v>64</v>
      </c>
      <c r="E1864" s="6">
        <v>0</v>
      </c>
      <c r="F1864" s="6">
        <v>0</v>
      </c>
      <c r="G1864" s="6">
        <v>20</v>
      </c>
      <c r="H1864" s="6" t="s">
        <v>29367</v>
      </c>
      <c r="I1864" s="6">
        <v>526.6875</v>
      </c>
      <c r="J1864" s="2">
        <f t="shared" si="29"/>
        <v>43748.572643449072</v>
      </c>
    </row>
    <row r="1865" spans="1:10" x14ac:dyDescent="0.25">
      <c r="A1865" s="7" t="s">
        <v>29368</v>
      </c>
      <c r="B1865" s="8">
        <v>412.5</v>
      </c>
      <c r="C1865" s="8">
        <v>20.531590000000001</v>
      </c>
      <c r="D1865" s="8">
        <v>65</v>
      </c>
      <c r="E1865" s="8">
        <v>0</v>
      </c>
      <c r="F1865" s="8">
        <v>0</v>
      </c>
      <c r="G1865" s="8">
        <v>21</v>
      </c>
      <c r="H1865" s="8" t="s">
        <v>29369</v>
      </c>
      <c r="I1865" s="8">
        <v>532.5</v>
      </c>
      <c r="J1865" s="3">
        <f t="shared" si="29"/>
        <v>43748.572726759252</v>
      </c>
    </row>
    <row r="1866" spans="1:10" x14ac:dyDescent="0.25">
      <c r="A1866" s="5" t="s">
        <v>29370</v>
      </c>
      <c r="B1866" s="6">
        <v>393.75</v>
      </c>
      <c r="C1866" s="6">
        <v>20.531590000000001</v>
      </c>
      <c r="D1866" s="6">
        <v>64</v>
      </c>
      <c r="E1866" s="6">
        <v>0</v>
      </c>
      <c r="F1866" s="6">
        <v>0</v>
      </c>
      <c r="G1866" s="6">
        <v>18</v>
      </c>
      <c r="H1866" s="6" t="s">
        <v>29371</v>
      </c>
      <c r="I1866" s="6">
        <v>526.6875</v>
      </c>
      <c r="J1866" s="2">
        <f t="shared" si="29"/>
        <v>43748.572810578706</v>
      </c>
    </row>
    <row r="1867" spans="1:10" x14ac:dyDescent="0.25">
      <c r="A1867" s="7" t="s">
        <v>29372</v>
      </c>
      <c r="B1867" s="8">
        <v>393.75</v>
      </c>
      <c r="C1867" s="8">
        <v>20.531590000000001</v>
      </c>
      <c r="D1867" s="8">
        <v>66</v>
      </c>
      <c r="E1867" s="8">
        <v>0</v>
      </c>
      <c r="F1867" s="8">
        <v>0</v>
      </c>
      <c r="G1867" s="8">
        <v>19</v>
      </c>
      <c r="H1867" s="8" t="s">
        <v>29373</v>
      </c>
      <c r="I1867" s="8">
        <v>526.6875</v>
      </c>
      <c r="J1867" s="3">
        <f t="shared" si="29"/>
        <v>43748.572907534719</v>
      </c>
    </row>
    <row r="1868" spans="1:10" x14ac:dyDescent="0.25">
      <c r="A1868" s="5" t="s">
        <v>29374</v>
      </c>
      <c r="B1868" s="6">
        <v>393.75</v>
      </c>
      <c r="C1868" s="6">
        <v>20.478950000000001</v>
      </c>
      <c r="D1868" s="6">
        <v>65</v>
      </c>
      <c r="E1868" s="6">
        <v>0</v>
      </c>
      <c r="F1868" s="6">
        <v>0</v>
      </c>
      <c r="G1868" s="6">
        <v>17</v>
      </c>
      <c r="H1868" s="6" t="s">
        <v>29375</v>
      </c>
      <c r="I1868" s="6">
        <v>526.6875</v>
      </c>
      <c r="J1868" s="2">
        <f t="shared" si="29"/>
        <v>43748.572989791668</v>
      </c>
    </row>
    <row r="1869" spans="1:10" x14ac:dyDescent="0.25">
      <c r="A1869" s="7" t="s">
        <v>29376</v>
      </c>
      <c r="B1869" s="8">
        <v>393.75</v>
      </c>
      <c r="C1869" s="8">
        <v>20.478950000000001</v>
      </c>
      <c r="D1869" s="8">
        <v>65</v>
      </c>
      <c r="E1869" s="8">
        <v>0</v>
      </c>
      <c r="F1869" s="8">
        <v>0</v>
      </c>
      <c r="G1869" s="8">
        <v>23</v>
      </c>
      <c r="H1869" s="8" t="s">
        <v>29377</v>
      </c>
      <c r="I1869" s="8">
        <v>526.6875</v>
      </c>
      <c r="J1869" s="3">
        <f t="shared" si="29"/>
        <v>43748.573073182866</v>
      </c>
    </row>
    <row r="1870" spans="1:10" x14ac:dyDescent="0.25">
      <c r="A1870" s="5" t="s">
        <v>29378</v>
      </c>
      <c r="B1870" s="6">
        <v>393.75</v>
      </c>
      <c r="C1870" s="6">
        <v>20.478950000000001</v>
      </c>
      <c r="D1870" s="6">
        <v>65</v>
      </c>
      <c r="E1870" s="6">
        <v>0</v>
      </c>
      <c r="F1870" s="6">
        <v>0</v>
      </c>
      <c r="G1870" s="6">
        <v>21</v>
      </c>
      <c r="H1870" s="6" t="s">
        <v>29379</v>
      </c>
      <c r="I1870" s="6">
        <v>526.5</v>
      </c>
      <c r="J1870" s="2">
        <f t="shared" si="29"/>
        <v>43748.573156493054</v>
      </c>
    </row>
    <row r="1871" spans="1:10" x14ac:dyDescent="0.25">
      <c r="A1871" s="7" t="s">
        <v>29380</v>
      </c>
      <c r="B1871" s="8">
        <v>393.75</v>
      </c>
      <c r="C1871" s="8">
        <v>20.584240000000001</v>
      </c>
      <c r="D1871" s="8">
        <v>65</v>
      </c>
      <c r="E1871" s="8">
        <v>0</v>
      </c>
      <c r="F1871" s="8">
        <v>0</v>
      </c>
      <c r="G1871" s="8">
        <v>25</v>
      </c>
      <c r="H1871" s="8" t="s">
        <v>29381</v>
      </c>
      <c r="I1871" s="8">
        <v>526.6875</v>
      </c>
      <c r="J1871" s="3">
        <f t="shared" si="29"/>
        <v>43748.573240023143</v>
      </c>
    </row>
    <row r="1872" spans="1:10" x14ac:dyDescent="0.25">
      <c r="A1872" s="5" t="s">
        <v>29382</v>
      </c>
      <c r="B1872" s="6">
        <v>393.75</v>
      </c>
      <c r="C1872" s="6">
        <v>20.584240000000001</v>
      </c>
      <c r="D1872" s="6">
        <v>65</v>
      </c>
      <c r="E1872" s="6">
        <v>0</v>
      </c>
      <c r="F1872" s="6">
        <v>0</v>
      </c>
      <c r="G1872" s="6">
        <v>18</v>
      </c>
      <c r="H1872" s="6" t="s">
        <v>29383</v>
      </c>
      <c r="I1872" s="6">
        <v>526.6875</v>
      </c>
      <c r="J1872" s="2">
        <f t="shared" si="29"/>
        <v>43748.573323252313</v>
      </c>
    </row>
    <row r="1873" spans="1:10" x14ac:dyDescent="0.25">
      <c r="A1873" s="7" t="s">
        <v>29384</v>
      </c>
      <c r="B1873" s="8">
        <v>393.75</v>
      </c>
      <c r="C1873" s="8">
        <v>20.531590000000001</v>
      </c>
      <c r="D1873" s="8">
        <v>65</v>
      </c>
      <c r="E1873" s="8">
        <v>0</v>
      </c>
      <c r="F1873" s="8">
        <v>0</v>
      </c>
      <c r="G1873" s="8">
        <v>18</v>
      </c>
      <c r="H1873" s="8" t="s">
        <v>29385</v>
      </c>
      <c r="I1873" s="8">
        <v>526.6875</v>
      </c>
      <c r="J1873" s="3">
        <f t="shared" si="29"/>
        <v>43748.573394768515</v>
      </c>
    </row>
    <row r="1874" spans="1:10" x14ac:dyDescent="0.25">
      <c r="A1874" s="5" t="s">
        <v>29386</v>
      </c>
      <c r="B1874" s="6">
        <v>393.75</v>
      </c>
      <c r="C1874" s="6">
        <v>20.584240000000001</v>
      </c>
      <c r="D1874" s="6">
        <v>63</v>
      </c>
      <c r="E1874" s="6">
        <v>0</v>
      </c>
      <c r="F1874" s="6">
        <v>0</v>
      </c>
      <c r="G1874" s="6">
        <v>10</v>
      </c>
      <c r="H1874" s="6" t="s">
        <v>29387</v>
      </c>
      <c r="I1874" s="6">
        <v>526.6875</v>
      </c>
      <c r="J1874" s="2">
        <f t="shared" si="29"/>
        <v>43748.573478715276</v>
      </c>
    </row>
    <row r="1875" spans="1:10" x14ac:dyDescent="0.25">
      <c r="A1875" s="7" t="s">
        <v>29388</v>
      </c>
      <c r="B1875" s="8">
        <v>393.75</v>
      </c>
      <c r="C1875" s="8">
        <v>20.531590000000001</v>
      </c>
      <c r="D1875" s="8">
        <v>62</v>
      </c>
      <c r="E1875" s="8">
        <v>0</v>
      </c>
      <c r="F1875" s="8">
        <v>0</v>
      </c>
      <c r="G1875" s="8">
        <v>22</v>
      </c>
      <c r="H1875" s="8" t="s">
        <v>29389</v>
      </c>
      <c r="I1875" s="8">
        <v>526.6875</v>
      </c>
      <c r="J1875" s="3">
        <f t="shared" si="29"/>
        <v>43748.573562025464</v>
      </c>
    </row>
    <row r="1876" spans="1:10" x14ac:dyDescent="0.25">
      <c r="A1876" s="5" t="s">
        <v>29390</v>
      </c>
      <c r="B1876" s="6">
        <v>393.75</v>
      </c>
      <c r="C1876" s="6">
        <v>20.531590000000001</v>
      </c>
      <c r="D1876" s="6">
        <v>62</v>
      </c>
      <c r="E1876" s="6">
        <v>0</v>
      </c>
      <c r="F1876" s="6">
        <v>0</v>
      </c>
      <c r="G1876" s="6">
        <v>22</v>
      </c>
      <c r="H1876" s="6" t="s">
        <v>29391</v>
      </c>
      <c r="I1876" s="6">
        <v>526.6875</v>
      </c>
      <c r="J1876" s="2">
        <f t="shared" si="29"/>
        <v>43748.573645370365</v>
      </c>
    </row>
    <row r="1877" spans="1:10" x14ac:dyDescent="0.25">
      <c r="A1877" s="7" t="s">
        <v>29392</v>
      </c>
      <c r="B1877" s="8">
        <v>393.75</v>
      </c>
      <c r="C1877" s="8">
        <v>20.584240000000001</v>
      </c>
      <c r="D1877" s="8">
        <v>62</v>
      </c>
      <c r="E1877" s="8">
        <v>0</v>
      </c>
      <c r="F1877" s="8">
        <v>0</v>
      </c>
      <c r="G1877" s="8">
        <v>17</v>
      </c>
      <c r="H1877" s="8" t="s">
        <v>29393</v>
      </c>
      <c r="I1877" s="8">
        <v>526.6875</v>
      </c>
      <c r="J1877" s="3">
        <f t="shared" si="29"/>
        <v>43748.573717129628</v>
      </c>
    </row>
    <row r="1878" spans="1:10" x14ac:dyDescent="0.25">
      <c r="A1878" s="5" t="s">
        <v>29394</v>
      </c>
      <c r="B1878" s="6">
        <v>393.75</v>
      </c>
      <c r="C1878" s="6">
        <v>20.478950000000001</v>
      </c>
      <c r="D1878" s="6">
        <v>61</v>
      </c>
      <c r="E1878" s="6">
        <v>0</v>
      </c>
      <c r="F1878" s="6">
        <v>0</v>
      </c>
      <c r="G1878" s="6">
        <v>28</v>
      </c>
      <c r="H1878" s="6" t="s">
        <v>29395</v>
      </c>
      <c r="I1878" s="6">
        <v>526.6875</v>
      </c>
      <c r="J1878" s="2">
        <f t="shared" si="29"/>
        <v>43748.573800914346</v>
      </c>
    </row>
    <row r="1879" spans="1:10" x14ac:dyDescent="0.25">
      <c r="A1879" s="7" t="s">
        <v>29396</v>
      </c>
      <c r="B1879" s="8">
        <v>393.75</v>
      </c>
      <c r="C1879" s="8">
        <v>20.531590000000001</v>
      </c>
      <c r="D1879" s="8">
        <v>60</v>
      </c>
      <c r="E1879" s="8">
        <v>0</v>
      </c>
      <c r="F1879" s="8">
        <v>0</v>
      </c>
      <c r="G1879" s="8">
        <v>13</v>
      </c>
      <c r="H1879" s="8" t="s">
        <v>29397</v>
      </c>
      <c r="I1879" s="8">
        <v>526.6875</v>
      </c>
      <c r="J1879" s="3">
        <f t="shared" si="29"/>
        <v>43748.573872337962</v>
      </c>
    </row>
    <row r="1880" spans="1:10" x14ac:dyDescent="0.25">
      <c r="A1880" s="5" t="s">
        <v>29398</v>
      </c>
      <c r="B1880" s="6">
        <v>393.75</v>
      </c>
      <c r="C1880" s="6">
        <v>20.531590000000001</v>
      </c>
      <c r="D1880" s="6">
        <v>60</v>
      </c>
      <c r="E1880" s="6">
        <v>0</v>
      </c>
      <c r="F1880" s="6">
        <v>0</v>
      </c>
      <c r="G1880" s="6">
        <v>22</v>
      </c>
      <c r="H1880" s="6" t="s">
        <v>29399</v>
      </c>
      <c r="I1880" s="6">
        <v>526.6875</v>
      </c>
      <c r="J1880" s="2">
        <f t="shared" si="29"/>
        <v>43748.573955810185</v>
      </c>
    </row>
    <row r="1881" spans="1:10" x14ac:dyDescent="0.25">
      <c r="A1881" s="7" t="s">
        <v>29400</v>
      </c>
      <c r="B1881" s="8">
        <v>393.75</v>
      </c>
      <c r="C1881" s="8">
        <v>20.584240000000001</v>
      </c>
      <c r="D1881" s="8">
        <v>60</v>
      </c>
      <c r="E1881" s="8">
        <v>0</v>
      </c>
      <c r="F1881" s="8">
        <v>0</v>
      </c>
      <c r="G1881" s="8">
        <v>25</v>
      </c>
      <c r="H1881" s="8" t="s">
        <v>29401</v>
      </c>
      <c r="I1881" s="8">
        <v>526.6875</v>
      </c>
      <c r="J1881" s="3">
        <f t="shared" si="29"/>
        <v>43748.574038877312</v>
      </c>
    </row>
    <row r="1882" spans="1:10" x14ac:dyDescent="0.25">
      <c r="A1882" s="5" t="s">
        <v>29402</v>
      </c>
      <c r="B1882" s="6">
        <v>393.75</v>
      </c>
      <c r="C1882" s="6">
        <v>20.584240000000001</v>
      </c>
      <c r="D1882" s="6">
        <v>59</v>
      </c>
      <c r="E1882" s="6">
        <v>0</v>
      </c>
      <c r="F1882" s="6">
        <v>0</v>
      </c>
      <c r="G1882" s="6">
        <v>20</v>
      </c>
      <c r="H1882" s="6" t="s">
        <v>29403</v>
      </c>
      <c r="I1882" s="6">
        <v>526.6875</v>
      </c>
      <c r="J1882" s="2">
        <f t="shared" si="29"/>
        <v>43748.574110486108</v>
      </c>
    </row>
    <row r="1883" spans="1:10" x14ac:dyDescent="0.25">
      <c r="A1883" s="7" t="s">
        <v>29404</v>
      </c>
      <c r="B1883" s="8">
        <v>393.75</v>
      </c>
      <c r="C1883" s="8">
        <v>20.584240000000001</v>
      </c>
      <c r="D1883" s="8">
        <v>59</v>
      </c>
      <c r="E1883" s="8">
        <v>0</v>
      </c>
      <c r="F1883" s="8">
        <v>0</v>
      </c>
      <c r="G1883" s="8">
        <v>20</v>
      </c>
      <c r="H1883" s="8" t="s">
        <v>29405</v>
      </c>
      <c r="I1883" s="8">
        <v>526.6875</v>
      </c>
      <c r="J1883" s="3">
        <f t="shared" si="29"/>
        <v>43748.574182476848</v>
      </c>
    </row>
    <row r="1884" spans="1:10" x14ac:dyDescent="0.25">
      <c r="A1884" s="5" t="s">
        <v>29406</v>
      </c>
      <c r="B1884" s="6">
        <v>393.75</v>
      </c>
      <c r="C1884" s="6">
        <v>20.531590000000001</v>
      </c>
      <c r="D1884" s="6">
        <v>59</v>
      </c>
      <c r="E1884" s="6">
        <v>0</v>
      </c>
      <c r="F1884" s="6">
        <v>0</v>
      </c>
      <c r="G1884" s="6">
        <v>23</v>
      </c>
      <c r="H1884" s="6" t="s">
        <v>29407</v>
      </c>
      <c r="I1884" s="6">
        <v>526.6875</v>
      </c>
      <c r="J1884" s="2">
        <f t="shared" si="29"/>
        <v>43748.574253738429</v>
      </c>
    </row>
    <row r="1885" spans="1:10" x14ac:dyDescent="0.25">
      <c r="A1885" s="7" t="s">
        <v>29408</v>
      </c>
      <c r="B1885" s="8">
        <v>412.5</v>
      </c>
      <c r="C1885" s="8">
        <v>20.531590000000001</v>
      </c>
      <c r="D1885" s="8">
        <v>64</v>
      </c>
      <c r="E1885" s="8">
        <v>0</v>
      </c>
      <c r="F1885" s="8">
        <v>0</v>
      </c>
      <c r="G1885" s="8">
        <v>25</v>
      </c>
      <c r="H1885" s="8" t="s">
        <v>29409</v>
      </c>
      <c r="I1885" s="8">
        <v>532.3125</v>
      </c>
      <c r="J1885" s="3">
        <f t="shared" si="29"/>
        <v>43748.574349155089</v>
      </c>
    </row>
    <row r="1886" spans="1:10" x14ac:dyDescent="0.25">
      <c r="A1886" s="5" t="s">
        <v>29410</v>
      </c>
      <c r="B1886" s="6">
        <v>393.75</v>
      </c>
      <c r="C1886" s="6">
        <v>20.531590000000001</v>
      </c>
      <c r="D1886" s="6">
        <v>64</v>
      </c>
      <c r="E1886" s="6">
        <v>0</v>
      </c>
      <c r="F1886" s="6">
        <v>0</v>
      </c>
      <c r="G1886" s="6">
        <v>20</v>
      </c>
      <c r="H1886" s="6" t="s">
        <v>29411</v>
      </c>
      <c r="I1886" s="6">
        <v>526.6875</v>
      </c>
      <c r="J1886" s="2">
        <f t="shared" si="29"/>
        <v>43748.574420844903</v>
      </c>
    </row>
    <row r="1887" spans="1:10" x14ac:dyDescent="0.25">
      <c r="A1887" s="7" t="s">
        <v>29412</v>
      </c>
      <c r="B1887" s="8">
        <v>393.75</v>
      </c>
      <c r="C1887" s="8">
        <v>20.531590000000001</v>
      </c>
      <c r="D1887" s="8">
        <v>60</v>
      </c>
      <c r="E1887" s="8">
        <v>0</v>
      </c>
      <c r="F1887" s="8">
        <v>0</v>
      </c>
      <c r="G1887" s="8">
        <v>23</v>
      </c>
      <c r="H1887" s="8" t="s">
        <v>29413</v>
      </c>
      <c r="I1887" s="8">
        <v>526.6875</v>
      </c>
      <c r="J1887" s="3">
        <f t="shared" si="29"/>
        <v>43748.574504618053</v>
      </c>
    </row>
    <row r="1888" spans="1:10" x14ac:dyDescent="0.25">
      <c r="A1888" s="5" t="s">
        <v>29414</v>
      </c>
      <c r="B1888" s="6">
        <v>434.375</v>
      </c>
      <c r="C1888" s="6">
        <v>20.478950000000001</v>
      </c>
      <c r="D1888" s="6">
        <v>60</v>
      </c>
      <c r="E1888" s="6">
        <v>0</v>
      </c>
      <c r="F1888" s="6">
        <v>0</v>
      </c>
      <c r="G1888" s="6">
        <v>22</v>
      </c>
      <c r="H1888" s="6" t="s">
        <v>29415</v>
      </c>
      <c r="I1888" s="6">
        <v>539.4375</v>
      </c>
      <c r="J1888" s="2">
        <f t="shared" si="29"/>
        <v>43748.574587962961</v>
      </c>
    </row>
    <row r="1889" spans="1:10" x14ac:dyDescent="0.25">
      <c r="A1889" s="7" t="s">
        <v>29416</v>
      </c>
      <c r="B1889" s="8">
        <v>393.75</v>
      </c>
      <c r="C1889" s="8">
        <v>20.531590000000001</v>
      </c>
      <c r="D1889" s="8">
        <v>60</v>
      </c>
      <c r="E1889" s="8">
        <v>0</v>
      </c>
      <c r="F1889" s="8">
        <v>0</v>
      </c>
      <c r="G1889" s="8">
        <v>27</v>
      </c>
      <c r="H1889" s="8" t="s">
        <v>29417</v>
      </c>
      <c r="I1889" s="8">
        <v>526.6875</v>
      </c>
      <c r="J1889" s="3">
        <f t="shared" si="29"/>
        <v>43748.574671284725</v>
      </c>
    </row>
    <row r="1890" spans="1:10" x14ac:dyDescent="0.25">
      <c r="A1890" s="5" t="s">
        <v>29418</v>
      </c>
      <c r="B1890" s="6">
        <v>393.75</v>
      </c>
      <c r="C1890" s="6">
        <v>20.531590000000001</v>
      </c>
      <c r="D1890" s="6">
        <v>60</v>
      </c>
      <c r="E1890" s="6">
        <v>0</v>
      </c>
      <c r="F1890" s="6">
        <v>0</v>
      </c>
      <c r="G1890" s="6">
        <v>21</v>
      </c>
      <c r="H1890" s="6" t="s">
        <v>29419</v>
      </c>
      <c r="I1890" s="6">
        <v>526.6875</v>
      </c>
      <c r="J1890" s="2">
        <f t="shared" si="29"/>
        <v>43748.574766886573</v>
      </c>
    </row>
    <row r="1891" spans="1:10" x14ac:dyDescent="0.25">
      <c r="A1891" s="7" t="s">
        <v>29420</v>
      </c>
      <c r="B1891" s="8">
        <v>393.75</v>
      </c>
      <c r="C1891" s="8">
        <v>20.531590000000001</v>
      </c>
      <c r="D1891" s="8">
        <v>60</v>
      </c>
      <c r="E1891" s="8">
        <v>0</v>
      </c>
      <c r="F1891" s="8">
        <v>0</v>
      </c>
      <c r="G1891" s="8">
        <v>28</v>
      </c>
      <c r="H1891" s="8" t="s">
        <v>29421</v>
      </c>
      <c r="I1891" s="8">
        <v>526.6875</v>
      </c>
      <c r="J1891" s="3">
        <f t="shared" si="29"/>
        <v>43748.574850451383</v>
      </c>
    </row>
    <row r="1892" spans="1:10" x14ac:dyDescent="0.25">
      <c r="A1892" s="5" t="s">
        <v>29422</v>
      </c>
      <c r="B1892" s="6">
        <v>393.75</v>
      </c>
      <c r="C1892" s="6">
        <v>20.531590000000001</v>
      </c>
      <c r="D1892" s="6">
        <v>60</v>
      </c>
      <c r="E1892" s="6">
        <v>0</v>
      </c>
      <c r="F1892" s="6">
        <v>0</v>
      </c>
      <c r="G1892" s="6">
        <v>23</v>
      </c>
      <c r="H1892" s="6" t="s">
        <v>29423</v>
      </c>
      <c r="I1892" s="6">
        <v>526.6875</v>
      </c>
      <c r="J1892" s="2">
        <f t="shared" si="29"/>
        <v>43748.57493391203</v>
      </c>
    </row>
    <row r="1893" spans="1:10" x14ac:dyDescent="0.25">
      <c r="A1893" s="7" t="s">
        <v>29424</v>
      </c>
      <c r="B1893" s="8">
        <v>393.75</v>
      </c>
      <c r="C1893" s="8">
        <v>20.478950000000001</v>
      </c>
      <c r="D1893" s="8">
        <v>59</v>
      </c>
      <c r="E1893" s="8">
        <v>0</v>
      </c>
      <c r="F1893" s="8">
        <v>0</v>
      </c>
      <c r="G1893" s="8">
        <v>10</v>
      </c>
      <c r="H1893" s="8" t="s">
        <v>29425</v>
      </c>
      <c r="I1893" s="8">
        <v>526.5</v>
      </c>
      <c r="J1893" s="3">
        <f t="shared" si="29"/>
        <v>43748.575017453702</v>
      </c>
    </row>
    <row r="1894" spans="1:10" x14ac:dyDescent="0.25">
      <c r="A1894" s="5" t="s">
        <v>29426</v>
      </c>
      <c r="B1894" s="6">
        <v>393.75</v>
      </c>
      <c r="C1894" s="6">
        <v>20.531590000000001</v>
      </c>
      <c r="D1894" s="6">
        <v>59</v>
      </c>
      <c r="E1894" s="6">
        <v>0</v>
      </c>
      <c r="F1894" s="6">
        <v>0</v>
      </c>
      <c r="G1894" s="6">
        <v>27</v>
      </c>
      <c r="H1894" s="6" t="s">
        <v>29427</v>
      </c>
      <c r="I1894" s="6">
        <v>526.6875</v>
      </c>
      <c r="J1894" s="2">
        <f t="shared" si="29"/>
        <v>43748.575100925918</v>
      </c>
    </row>
    <row r="1895" spans="1:10" x14ac:dyDescent="0.25">
      <c r="A1895" s="7" t="s">
        <v>29428</v>
      </c>
      <c r="B1895" s="8">
        <v>393.75</v>
      </c>
      <c r="C1895" s="8">
        <v>20.531590000000001</v>
      </c>
      <c r="D1895" s="8">
        <v>59</v>
      </c>
      <c r="E1895" s="8">
        <v>0</v>
      </c>
      <c r="F1895" s="8">
        <v>0</v>
      </c>
      <c r="G1895" s="8">
        <v>13</v>
      </c>
      <c r="H1895" s="8" t="s">
        <v>29429</v>
      </c>
      <c r="I1895" s="8">
        <v>526.6875</v>
      </c>
      <c r="J1895" s="3">
        <f t="shared" si="29"/>
        <v>43748.575184618057</v>
      </c>
    </row>
    <row r="1896" spans="1:10" x14ac:dyDescent="0.25">
      <c r="A1896" s="5" t="s">
        <v>29430</v>
      </c>
      <c r="B1896" s="6">
        <v>393.75</v>
      </c>
      <c r="C1896" s="6">
        <v>20.584240000000001</v>
      </c>
      <c r="D1896" s="6">
        <v>61</v>
      </c>
      <c r="E1896" s="6">
        <v>0</v>
      </c>
      <c r="F1896" s="6">
        <v>0</v>
      </c>
      <c r="G1896" s="6">
        <v>28</v>
      </c>
      <c r="H1896" s="6" t="s">
        <v>29431</v>
      </c>
      <c r="I1896" s="6">
        <v>526.6875</v>
      </c>
      <c r="J1896" s="2">
        <f t="shared" si="29"/>
        <v>43748.575267708329</v>
      </c>
    </row>
    <row r="1897" spans="1:10" x14ac:dyDescent="0.25">
      <c r="A1897" s="7" t="s">
        <v>29432</v>
      </c>
      <c r="B1897" s="8">
        <v>393.75</v>
      </c>
      <c r="C1897" s="8">
        <v>20.478950000000001</v>
      </c>
      <c r="D1897" s="8">
        <v>61</v>
      </c>
      <c r="E1897" s="8">
        <v>0</v>
      </c>
      <c r="F1897" s="8">
        <v>0</v>
      </c>
      <c r="G1897" s="8">
        <v>24</v>
      </c>
      <c r="H1897" s="8" t="s">
        <v>29433</v>
      </c>
      <c r="I1897" s="8">
        <v>526.6875</v>
      </c>
      <c r="J1897" s="3">
        <f t="shared" si="29"/>
        <v>43748.575339236108</v>
      </c>
    </row>
    <row r="1898" spans="1:10" x14ac:dyDescent="0.25">
      <c r="A1898" s="5" t="s">
        <v>29434</v>
      </c>
      <c r="B1898" s="6">
        <v>393.75</v>
      </c>
      <c r="C1898" s="6">
        <v>20.531590000000001</v>
      </c>
      <c r="D1898" s="6">
        <v>59</v>
      </c>
      <c r="E1898" s="6">
        <v>0</v>
      </c>
      <c r="F1898" s="6">
        <v>0</v>
      </c>
      <c r="G1898" s="6">
        <v>26</v>
      </c>
      <c r="H1898" s="6" t="s">
        <v>29435</v>
      </c>
      <c r="I1898" s="6">
        <v>526.6875</v>
      </c>
      <c r="J1898" s="2">
        <f t="shared" si="29"/>
        <v>43748.575423240742</v>
      </c>
    </row>
    <row r="1899" spans="1:10" x14ac:dyDescent="0.25">
      <c r="A1899" s="7" t="s">
        <v>29436</v>
      </c>
      <c r="B1899" s="8">
        <v>393.75</v>
      </c>
      <c r="C1899" s="8">
        <v>20.531590000000001</v>
      </c>
      <c r="D1899" s="8">
        <v>58</v>
      </c>
      <c r="E1899" s="8">
        <v>0</v>
      </c>
      <c r="F1899" s="8">
        <v>0</v>
      </c>
      <c r="G1899" s="8">
        <v>21</v>
      </c>
      <c r="H1899" s="8" t="s">
        <v>29437</v>
      </c>
      <c r="I1899" s="8">
        <v>526.6875</v>
      </c>
      <c r="J1899" s="3">
        <f t="shared" si="29"/>
        <v>43748.57550623842</v>
      </c>
    </row>
    <row r="1900" spans="1:10" x14ac:dyDescent="0.25">
      <c r="A1900" s="5" t="s">
        <v>29438</v>
      </c>
      <c r="B1900" s="6">
        <v>393.75</v>
      </c>
      <c r="C1900" s="6">
        <v>20.531590000000001</v>
      </c>
      <c r="D1900" s="6">
        <v>59</v>
      </c>
      <c r="E1900" s="6">
        <v>0</v>
      </c>
      <c r="F1900" s="6">
        <v>0</v>
      </c>
      <c r="G1900" s="6">
        <v>23</v>
      </c>
      <c r="H1900" s="6" t="s">
        <v>29439</v>
      </c>
      <c r="I1900" s="6">
        <v>526.6875</v>
      </c>
      <c r="J1900" s="2">
        <f t="shared" si="29"/>
        <v>43748.575589814813</v>
      </c>
    </row>
    <row r="1901" spans="1:10" x14ac:dyDescent="0.25">
      <c r="A1901" s="7" t="s">
        <v>29440</v>
      </c>
      <c r="B1901" s="8">
        <v>393.75</v>
      </c>
      <c r="C1901" s="8">
        <v>20.531590000000001</v>
      </c>
      <c r="D1901" s="8">
        <v>59</v>
      </c>
      <c r="E1901" s="8">
        <v>0</v>
      </c>
      <c r="F1901" s="8">
        <v>0</v>
      </c>
      <c r="G1901" s="8">
        <v>33</v>
      </c>
      <c r="H1901" s="8" t="s">
        <v>29441</v>
      </c>
      <c r="I1901" s="8">
        <v>526.6875</v>
      </c>
      <c r="J1901" s="3">
        <f t="shared" si="29"/>
        <v>43748.57568548611</v>
      </c>
    </row>
    <row r="1902" spans="1:10" x14ac:dyDescent="0.25">
      <c r="A1902" s="5" t="s">
        <v>29442</v>
      </c>
      <c r="B1902" s="6">
        <v>393.75</v>
      </c>
      <c r="C1902" s="6">
        <v>20.531590000000001</v>
      </c>
      <c r="D1902" s="6">
        <v>58</v>
      </c>
      <c r="E1902" s="6">
        <v>0</v>
      </c>
      <c r="F1902" s="6">
        <v>0</v>
      </c>
      <c r="G1902" s="6">
        <v>23</v>
      </c>
      <c r="H1902" s="6" t="s">
        <v>29443</v>
      </c>
      <c r="I1902" s="6">
        <v>526.6875</v>
      </c>
      <c r="J1902" s="2">
        <f t="shared" si="29"/>
        <v>43748.575768923612</v>
      </c>
    </row>
    <row r="1903" spans="1:10" x14ac:dyDescent="0.25">
      <c r="A1903" s="7" t="s">
        <v>29444</v>
      </c>
      <c r="B1903" s="8">
        <v>393.75</v>
      </c>
      <c r="C1903" s="8">
        <v>20.531590000000001</v>
      </c>
      <c r="D1903" s="8">
        <v>59</v>
      </c>
      <c r="E1903" s="8">
        <v>0</v>
      </c>
      <c r="F1903" s="8">
        <v>0</v>
      </c>
      <c r="G1903" s="8">
        <v>18</v>
      </c>
      <c r="H1903" s="8" t="s">
        <v>29445</v>
      </c>
      <c r="I1903" s="8">
        <v>526.6875</v>
      </c>
      <c r="J1903" s="3">
        <f t="shared" si="29"/>
        <v>43748.57585238426</v>
      </c>
    </row>
    <row r="1904" spans="1:10" x14ac:dyDescent="0.25">
      <c r="A1904" s="5" t="s">
        <v>29446</v>
      </c>
      <c r="B1904" s="6">
        <v>393.75</v>
      </c>
      <c r="C1904" s="6">
        <v>20.531590000000001</v>
      </c>
      <c r="D1904" s="6">
        <v>59</v>
      </c>
      <c r="E1904" s="6">
        <v>0</v>
      </c>
      <c r="F1904" s="6">
        <v>0</v>
      </c>
      <c r="G1904" s="6">
        <v>20</v>
      </c>
      <c r="H1904" s="6" t="s">
        <v>29447</v>
      </c>
      <c r="I1904" s="6">
        <v>526.6875</v>
      </c>
      <c r="J1904" s="2">
        <f t="shared" si="29"/>
        <v>43748.575935937501</v>
      </c>
    </row>
    <row r="1905" spans="1:10" x14ac:dyDescent="0.25">
      <c r="A1905" s="7" t="s">
        <v>29448</v>
      </c>
      <c r="B1905" s="8">
        <v>393.75</v>
      </c>
      <c r="C1905" s="8">
        <v>20.531590000000001</v>
      </c>
      <c r="D1905" s="8">
        <v>58</v>
      </c>
      <c r="E1905" s="8">
        <v>0</v>
      </c>
      <c r="F1905" s="8">
        <v>0</v>
      </c>
      <c r="G1905" s="8">
        <v>12</v>
      </c>
      <c r="H1905" s="8" t="s">
        <v>29449</v>
      </c>
      <c r="I1905" s="8">
        <v>526.5</v>
      </c>
      <c r="J1905" s="3">
        <f t="shared" si="29"/>
        <v>43748.576019409717</v>
      </c>
    </row>
    <row r="1906" spans="1:10" x14ac:dyDescent="0.25">
      <c r="A1906" s="5" t="s">
        <v>29450</v>
      </c>
      <c r="B1906" s="6">
        <v>412.5</v>
      </c>
      <c r="C1906" s="6">
        <v>20.531590000000001</v>
      </c>
      <c r="D1906" s="6">
        <v>58</v>
      </c>
      <c r="E1906" s="6">
        <v>0</v>
      </c>
      <c r="F1906" s="6">
        <v>0</v>
      </c>
      <c r="G1906" s="6">
        <v>17</v>
      </c>
      <c r="H1906" s="6" t="s">
        <v>29451</v>
      </c>
      <c r="I1906" s="6">
        <v>532.6875</v>
      </c>
      <c r="J1906" s="2">
        <f t="shared" si="29"/>
        <v>43748.576102951389</v>
      </c>
    </row>
    <row r="1907" spans="1:10" x14ac:dyDescent="0.25">
      <c r="A1907" s="7" t="s">
        <v>29452</v>
      </c>
      <c r="B1907" s="8">
        <v>393.75</v>
      </c>
      <c r="C1907" s="8">
        <v>20.531590000000001</v>
      </c>
      <c r="D1907" s="8">
        <v>58</v>
      </c>
      <c r="E1907" s="8">
        <v>0</v>
      </c>
      <c r="F1907" s="8">
        <v>0</v>
      </c>
      <c r="G1907" s="8">
        <v>15</v>
      </c>
      <c r="H1907" s="8" t="s">
        <v>29453</v>
      </c>
      <c r="I1907" s="8">
        <v>526.6875</v>
      </c>
      <c r="J1907" s="3">
        <f t="shared" si="29"/>
        <v>43748.576186273145</v>
      </c>
    </row>
    <row r="1908" spans="1:10" x14ac:dyDescent="0.25">
      <c r="A1908" s="5" t="s">
        <v>29454</v>
      </c>
      <c r="B1908" s="6">
        <v>393.75</v>
      </c>
      <c r="C1908" s="6">
        <v>20.531590000000001</v>
      </c>
      <c r="D1908" s="6">
        <v>58</v>
      </c>
      <c r="E1908" s="6">
        <v>0</v>
      </c>
      <c r="F1908" s="6">
        <v>0</v>
      </c>
      <c r="G1908" s="6">
        <v>19</v>
      </c>
      <c r="H1908" s="6" t="s">
        <v>29455</v>
      </c>
      <c r="I1908" s="6">
        <v>526.5</v>
      </c>
      <c r="J1908" s="2">
        <f t="shared" si="29"/>
        <v>43748.576257812492</v>
      </c>
    </row>
    <row r="1909" spans="1:10" x14ac:dyDescent="0.25">
      <c r="A1909" s="7" t="s">
        <v>29456</v>
      </c>
      <c r="B1909" s="8">
        <v>393.75</v>
      </c>
      <c r="C1909" s="8">
        <v>20.531590000000001</v>
      </c>
      <c r="D1909" s="8">
        <v>60</v>
      </c>
      <c r="E1909" s="8">
        <v>0</v>
      </c>
      <c r="F1909" s="8">
        <v>0</v>
      </c>
      <c r="G1909" s="8">
        <v>20</v>
      </c>
      <c r="H1909" s="8" t="s">
        <v>29457</v>
      </c>
      <c r="I1909" s="8">
        <v>526.6875</v>
      </c>
      <c r="J1909" s="3">
        <f t="shared" si="29"/>
        <v>43748.576353425924</v>
      </c>
    </row>
    <row r="1910" spans="1:10" x14ac:dyDescent="0.25">
      <c r="A1910" s="5" t="s">
        <v>29458</v>
      </c>
      <c r="B1910" s="6">
        <v>393.75</v>
      </c>
      <c r="C1910" s="6">
        <v>20.584240000000001</v>
      </c>
      <c r="D1910" s="6">
        <v>60</v>
      </c>
      <c r="E1910" s="6">
        <v>0</v>
      </c>
      <c r="F1910" s="6">
        <v>0</v>
      </c>
      <c r="G1910" s="6">
        <v>15</v>
      </c>
      <c r="H1910" s="6" t="s">
        <v>29459</v>
      </c>
      <c r="I1910" s="6">
        <v>526.6875</v>
      </c>
      <c r="J1910" s="2">
        <f t="shared" si="29"/>
        <v>43748.576425069441</v>
      </c>
    </row>
    <row r="1911" spans="1:10" x14ac:dyDescent="0.25">
      <c r="A1911" s="7" t="s">
        <v>29460</v>
      </c>
      <c r="B1911" s="8">
        <v>412.5</v>
      </c>
      <c r="C1911" s="8">
        <v>20.478950000000001</v>
      </c>
      <c r="D1911" s="8">
        <v>60</v>
      </c>
      <c r="E1911" s="8">
        <v>0</v>
      </c>
      <c r="F1911" s="8">
        <v>0</v>
      </c>
      <c r="G1911" s="8">
        <v>20</v>
      </c>
      <c r="H1911" s="8" t="s">
        <v>29461</v>
      </c>
      <c r="I1911" s="8">
        <v>532.5</v>
      </c>
      <c r="J1911" s="3">
        <f t="shared" si="29"/>
        <v>43748.57650826389</v>
      </c>
    </row>
    <row r="1912" spans="1:10" x14ac:dyDescent="0.25">
      <c r="A1912" s="5" t="s">
        <v>29462</v>
      </c>
      <c r="B1912" s="6">
        <v>393.75</v>
      </c>
      <c r="C1912" s="6">
        <v>20.531590000000001</v>
      </c>
      <c r="D1912" s="6">
        <v>61</v>
      </c>
      <c r="E1912" s="6">
        <v>0</v>
      </c>
      <c r="F1912" s="6">
        <v>0</v>
      </c>
      <c r="G1912" s="6">
        <v>20</v>
      </c>
      <c r="H1912" s="6" t="s">
        <v>29463</v>
      </c>
      <c r="I1912" s="6">
        <v>526.6875</v>
      </c>
      <c r="J1912" s="2">
        <f t="shared" si="29"/>
        <v>43748.576592083329</v>
      </c>
    </row>
    <row r="1913" spans="1:10" x14ac:dyDescent="0.25">
      <c r="A1913" s="7" t="s">
        <v>29464</v>
      </c>
      <c r="B1913" s="8">
        <v>393.75</v>
      </c>
      <c r="C1913" s="8">
        <v>20.531590000000001</v>
      </c>
      <c r="D1913" s="8">
        <v>60</v>
      </c>
      <c r="E1913" s="8">
        <v>0</v>
      </c>
      <c r="F1913" s="8">
        <v>0</v>
      </c>
      <c r="G1913" s="8">
        <v>23</v>
      </c>
      <c r="H1913" s="8" t="s">
        <v>29465</v>
      </c>
      <c r="I1913" s="8">
        <v>526.6875</v>
      </c>
      <c r="J1913" s="3">
        <f t="shared" si="29"/>
        <v>43748.576675648146</v>
      </c>
    </row>
    <row r="1914" spans="1:10" x14ac:dyDescent="0.25">
      <c r="A1914" s="5" t="s">
        <v>29466</v>
      </c>
      <c r="B1914" s="6">
        <v>393.75</v>
      </c>
      <c r="C1914" s="6">
        <v>20.531590000000001</v>
      </c>
      <c r="D1914" s="6">
        <v>59</v>
      </c>
      <c r="E1914" s="6">
        <v>0</v>
      </c>
      <c r="F1914" s="6">
        <v>0</v>
      </c>
      <c r="G1914" s="6">
        <v>27</v>
      </c>
      <c r="H1914" s="6" t="s">
        <v>29467</v>
      </c>
      <c r="I1914" s="6">
        <v>526.6875</v>
      </c>
      <c r="J1914" s="2">
        <f t="shared" si="29"/>
        <v>43748.576747175925</v>
      </c>
    </row>
    <row r="1915" spans="1:10" x14ac:dyDescent="0.25">
      <c r="A1915" s="7" t="s">
        <v>29468</v>
      </c>
      <c r="B1915" s="8">
        <v>393.75</v>
      </c>
      <c r="C1915" s="8">
        <v>20.531590000000001</v>
      </c>
      <c r="D1915" s="8">
        <v>59</v>
      </c>
      <c r="E1915" s="8">
        <v>0</v>
      </c>
      <c r="F1915" s="8">
        <v>0</v>
      </c>
      <c r="G1915" s="8">
        <v>19</v>
      </c>
      <c r="H1915" s="8" t="s">
        <v>29469</v>
      </c>
      <c r="I1915" s="8">
        <v>526.6875</v>
      </c>
      <c r="J1915" s="3">
        <f t="shared" si="29"/>
        <v>43748.576830625003</v>
      </c>
    </row>
    <row r="1916" spans="1:10" x14ac:dyDescent="0.25">
      <c r="A1916" s="5" t="s">
        <v>29470</v>
      </c>
      <c r="B1916" s="6">
        <v>393.75</v>
      </c>
      <c r="C1916" s="6">
        <v>20.478950000000001</v>
      </c>
      <c r="D1916" s="6">
        <v>59</v>
      </c>
      <c r="E1916" s="6">
        <v>0</v>
      </c>
      <c r="F1916" s="6">
        <v>0</v>
      </c>
      <c r="G1916" s="6">
        <v>21</v>
      </c>
      <c r="H1916" s="6" t="s">
        <v>29471</v>
      </c>
      <c r="I1916" s="6">
        <v>526.6875</v>
      </c>
      <c r="J1916" s="2">
        <f t="shared" si="29"/>
        <v>43748.576902245368</v>
      </c>
    </row>
    <row r="1917" spans="1:10" x14ac:dyDescent="0.25">
      <c r="A1917" s="7" t="s">
        <v>29472</v>
      </c>
      <c r="B1917" s="8">
        <v>393.75</v>
      </c>
      <c r="C1917" s="8">
        <v>20.584240000000001</v>
      </c>
      <c r="D1917" s="8">
        <v>59</v>
      </c>
      <c r="E1917" s="8">
        <v>0</v>
      </c>
      <c r="F1917" s="8">
        <v>0</v>
      </c>
      <c r="G1917" s="8">
        <v>28</v>
      </c>
      <c r="H1917" s="8" t="s">
        <v>29473</v>
      </c>
      <c r="I1917" s="8">
        <v>526.6875</v>
      </c>
      <c r="J1917" s="3">
        <f t="shared" si="29"/>
        <v>43748.576973900461</v>
      </c>
    </row>
    <row r="1918" spans="1:10" x14ac:dyDescent="0.25">
      <c r="A1918" s="5" t="s">
        <v>29474</v>
      </c>
      <c r="B1918" s="6">
        <v>393.75</v>
      </c>
      <c r="C1918" s="6">
        <v>20.584240000000001</v>
      </c>
      <c r="D1918" s="6">
        <v>59</v>
      </c>
      <c r="E1918" s="6">
        <v>0</v>
      </c>
      <c r="F1918" s="6">
        <v>0</v>
      </c>
      <c r="G1918" s="6">
        <v>27</v>
      </c>
      <c r="H1918" s="6" t="s">
        <v>29475</v>
      </c>
      <c r="I1918" s="6">
        <v>526.6875</v>
      </c>
      <c r="J1918" s="2">
        <f t="shared" si="29"/>
        <v>43748.577045428239</v>
      </c>
    </row>
    <row r="1919" spans="1:10" x14ac:dyDescent="0.25">
      <c r="A1919" s="7" t="s">
        <v>29476</v>
      </c>
      <c r="B1919" s="8">
        <v>393.75</v>
      </c>
      <c r="C1919" s="8">
        <v>20.584240000000001</v>
      </c>
      <c r="D1919" s="8">
        <v>59</v>
      </c>
      <c r="E1919" s="8">
        <v>0</v>
      </c>
      <c r="F1919" s="8">
        <v>0</v>
      </c>
      <c r="G1919" s="8">
        <v>18</v>
      </c>
      <c r="H1919" s="8" t="s">
        <v>29477</v>
      </c>
      <c r="I1919" s="8">
        <v>526.6875</v>
      </c>
      <c r="J1919" s="3">
        <f t="shared" si="29"/>
        <v>43748.577128530094</v>
      </c>
    </row>
    <row r="1920" spans="1:10" x14ac:dyDescent="0.25">
      <c r="A1920" s="5" t="s">
        <v>29478</v>
      </c>
      <c r="B1920" s="6">
        <v>412.5</v>
      </c>
      <c r="C1920" s="6">
        <v>20.531590000000001</v>
      </c>
      <c r="D1920" s="6">
        <v>59</v>
      </c>
      <c r="E1920" s="6">
        <v>0</v>
      </c>
      <c r="F1920" s="6">
        <v>0</v>
      </c>
      <c r="G1920" s="6">
        <v>12</v>
      </c>
      <c r="H1920" s="6" t="s">
        <v>29479</v>
      </c>
      <c r="I1920" s="6">
        <v>532.3125</v>
      </c>
      <c r="J1920" s="2">
        <f t="shared" si="29"/>
        <v>43748.57720039352</v>
      </c>
    </row>
    <row r="1921" spans="1:10" x14ac:dyDescent="0.25">
      <c r="A1921" s="7" t="s">
        <v>29480</v>
      </c>
      <c r="B1921" s="8">
        <v>393.75</v>
      </c>
      <c r="C1921" s="8">
        <v>20.531590000000001</v>
      </c>
      <c r="D1921" s="8">
        <v>59</v>
      </c>
      <c r="E1921" s="8">
        <v>0</v>
      </c>
      <c r="F1921" s="8">
        <v>0</v>
      </c>
      <c r="G1921" s="8">
        <v>20</v>
      </c>
      <c r="H1921" s="8" t="s">
        <v>29481</v>
      </c>
      <c r="I1921" s="8">
        <v>526.6875</v>
      </c>
      <c r="J1921" s="3">
        <f t="shared" si="29"/>
        <v>43748.577271608789</v>
      </c>
    </row>
    <row r="1922" spans="1:10" x14ac:dyDescent="0.25">
      <c r="A1922" s="5" t="s">
        <v>29482</v>
      </c>
      <c r="B1922" s="6">
        <v>393.75</v>
      </c>
      <c r="C1922" s="6">
        <v>20.531590000000001</v>
      </c>
      <c r="D1922" s="6">
        <v>59</v>
      </c>
      <c r="E1922" s="6">
        <v>0</v>
      </c>
      <c r="F1922" s="6">
        <v>0</v>
      </c>
      <c r="G1922" s="6">
        <v>25</v>
      </c>
      <c r="H1922" s="6" t="s">
        <v>29483</v>
      </c>
      <c r="I1922" s="6">
        <v>526.6875</v>
      </c>
      <c r="J1922" s="2">
        <f t="shared" ref="J1922:J1985" si="30">(H1922/86400000)+25569+(7/24)</f>
        <v>43748.577355486108</v>
      </c>
    </row>
    <row r="1923" spans="1:10" x14ac:dyDescent="0.25">
      <c r="A1923" s="7" t="s">
        <v>29484</v>
      </c>
      <c r="B1923" s="8">
        <v>393.75</v>
      </c>
      <c r="C1923" s="8">
        <v>20.531590000000001</v>
      </c>
      <c r="D1923" s="8">
        <v>59</v>
      </c>
      <c r="E1923" s="8">
        <v>0</v>
      </c>
      <c r="F1923" s="8">
        <v>0</v>
      </c>
      <c r="G1923" s="8">
        <v>22</v>
      </c>
      <c r="H1923" s="8" t="s">
        <v>29485</v>
      </c>
      <c r="I1923" s="8">
        <v>526.6875</v>
      </c>
      <c r="J1923" s="3">
        <f t="shared" si="30"/>
        <v>43748.577426793978</v>
      </c>
    </row>
    <row r="1924" spans="1:10" x14ac:dyDescent="0.25">
      <c r="A1924" s="5" t="s">
        <v>29486</v>
      </c>
      <c r="B1924" s="6">
        <v>393.75</v>
      </c>
      <c r="C1924" s="6">
        <v>20.584240000000001</v>
      </c>
      <c r="D1924" s="6">
        <v>59</v>
      </c>
      <c r="E1924" s="6">
        <v>0</v>
      </c>
      <c r="F1924" s="6">
        <v>0</v>
      </c>
      <c r="G1924" s="6">
        <v>20</v>
      </c>
      <c r="H1924" s="6" t="s">
        <v>29487</v>
      </c>
      <c r="I1924" s="6">
        <v>526.6875</v>
      </c>
      <c r="J1924" s="2">
        <f t="shared" si="30"/>
        <v>43748.577498553241</v>
      </c>
    </row>
    <row r="1925" spans="1:10" x14ac:dyDescent="0.25">
      <c r="A1925" s="7" t="s">
        <v>29488</v>
      </c>
      <c r="B1925" s="8">
        <v>393.75</v>
      </c>
      <c r="C1925" s="8">
        <v>20.531590000000001</v>
      </c>
      <c r="D1925" s="8">
        <v>59</v>
      </c>
      <c r="E1925" s="8">
        <v>0</v>
      </c>
      <c r="F1925" s="8">
        <v>0</v>
      </c>
      <c r="G1925" s="8">
        <v>10</v>
      </c>
      <c r="H1925" s="8" t="s">
        <v>29489</v>
      </c>
      <c r="I1925" s="8">
        <v>526.6875</v>
      </c>
      <c r="J1925" s="3">
        <f t="shared" si="30"/>
        <v>43748.577570185182</v>
      </c>
    </row>
    <row r="1926" spans="1:10" x14ac:dyDescent="0.25">
      <c r="A1926" s="5" t="s">
        <v>29490</v>
      </c>
      <c r="B1926" s="6">
        <v>393.75</v>
      </c>
      <c r="C1926" s="6">
        <v>20.584240000000001</v>
      </c>
      <c r="D1926" s="6">
        <v>60</v>
      </c>
      <c r="E1926" s="6">
        <v>0</v>
      </c>
      <c r="F1926" s="6">
        <v>0</v>
      </c>
      <c r="G1926" s="6">
        <v>22</v>
      </c>
      <c r="H1926" s="6" t="s">
        <v>29491</v>
      </c>
      <c r="I1926" s="6">
        <v>526.6875</v>
      </c>
      <c r="J1926" s="2">
        <f t="shared" si="30"/>
        <v>43748.577653402775</v>
      </c>
    </row>
    <row r="1927" spans="1:10" x14ac:dyDescent="0.25">
      <c r="A1927" s="7" t="s">
        <v>29492</v>
      </c>
      <c r="B1927" s="8">
        <v>393.75</v>
      </c>
      <c r="C1927" s="8">
        <v>20.584240000000001</v>
      </c>
      <c r="D1927" s="8">
        <v>60</v>
      </c>
      <c r="E1927" s="8">
        <v>0</v>
      </c>
      <c r="F1927" s="8">
        <v>0</v>
      </c>
      <c r="G1927" s="8">
        <v>17</v>
      </c>
      <c r="H1927" s="8" t="s">
        <v>29493</v>
      </c>
      <c r="I1927" s="8">
        <v>526.6875</v>
      </c>
      <c r="J1927" s="3">
        <f t="shared" si="30"/>
        <v>43748.577747268515</v>
      </c>
    </row>
    <row r="1928" spans="1:10" x14ac:dyDescent="0.25">
      <c r="A1928" s="5" t="s">
        <v>29494</v>
      </c>
      <c r="B1928" s="6">
        <v>393.75</v>
      </c>
      <c r="C1928" s="6">
        <v>20.531590000000001</v>
      </c>
      <c r="D1928" s="6">
        <v>60</v>
      </c>
      <c r="E1928" s="6">
        <v>0</v>
      </c>
      <c r="F1928" s="6">
        <v>0</v>
      </c>
      <c r="G1928" s="6">
        <v>24</v>
      </c>
      <c r="H1928" s="6" t="s">
        <v>29495</v>
      </c>
      <c r="I1928" s="6">
        <v>526.6875</v>
      </c>
      <c r="J1928" s="2">
        <f t="shared" si="30"/>
        <v>43748.577820671293</v>
      </c>
    </row>
    <row r="1929" spans="1:10" x14ac:dyDescent="0.25">
      <c r="A1929" s="7" t="s">
        <v>29496</v>
      </c>
      <c r="B1929" s="8">
        <v>434.375</v>
      </c>
      <c r="C1929" s="8">
        <v>20.531590000000001</v>
      </c>
      <c r="D1929" s="8">
        <v>61</v>
      </c>
      <c r="E1929" s="8">
        <v>0</v>
      </c>
      <c r="F1929" s="8">
        <v>0</v>
      </c>
      <c r="G1929" s="8">
        <v>23</v>
      </c>
      <c r="H1929" s="8" t="s">
        <v>29497</v>
      </c>
      <c r="I1929" s="8">
        <v>539.0625</v>
      </c>
      <c r="J1929" s="3">
        <f t="shared" si="30"/>
        <v>43748.577904212965</v>
      </c>
    </row>
    <row r="1930" spans="1:10" x14ac:dyDescent="0.25">
      <c r="A1930" s="5" t="s">
        <v>29498</v>
      </c>
      <c r="B1930" s="6">
        <v>393.75</v>
      </c>
      <c r="C1930" s="6">
        <v>20.531590000000001</v>
      </c>
      <c r="D1930" s="6">
        <v>61</v>
      </c>
      <c r="E1930" s="6">
        <v>0</v>
      </c>
      <c r="F1930" s="6">
        <v>0</v>
      </c>
      <c r="G1930" s="6">
        <v>19</v>
      </c>
      <c r="H1930" s="6" t="s">
        <v>29499</v>
      </c>
      <c r="I1930" s="6">
        <v>526.6875</v>
      </c>
      <c r="J1930" s="2">
        <f t="shared" si="30"/>
        <v>43748.577987881938</v>
      </c>
    </row>
    <row r="1931" spans="1:10" x14ac:dyDescent="0.25">
      <c r="A1931" s="7" t="s">
        <v>29500</v>
      </c>
      <c r="B1931" s="8">
        <v>393.75</v>
      </c>
      <c r="C1931" s="8">
        <v>20.584240000000001</v>
      </c>
      <c r="D1931" s="8">
        <v>61</v>
      </c>
      <c r="E1931" s="8">
        <v>0</v>
      </c>
      <c r="F1931" s="8">
        <v>0</v>
      </c>
      <c r="G1931" s="8">
        <v>22</v>
      </c>
      <c r="H1931" s="8" t="s">
        <v>29501</v>
      </c>
      <c r="I1931" s="8">
        <v>526.6875</v>
      </c>
      <c r="J1931" s="3">
        <f t="shared" si="30"/>
        <v>43748.578071249998</v>
      </c>
    </row>
    <row r="1932" spans="1:10" x14ac:dyDescent="0.25">
      <c r="A1932" s="5" t="s">
        <v>29502</v>
      </c>
      <c r="B1932" s="6">
        <v>393.75</v>
      </c>
      <c r="C1932" s="6">
        <v>20.478950000000001</v>
      </c>
      <c r="D1932" s="6">
        <v>61</v>
      </c>
      <c r="E1932" s="6">
        <v>0</v>
      </c>
      <c r="F1932" s="6">
        <v>0</v>
      </c>
      <c r="G1932" s="6">
        <v>25</v>
      </c>
      <c r="H1932" s="6" t="s">
        <v>29503</v>
      </c>
      <c r="I1932" s="6">
        <v>526.6875</v>
      </c>
      <c r="J1932" s="2">
        <f t="shared" si="30"/>
        <v>43748.578154814815</v>
      </c>
    </row>
    <row r="1933" spans="1:10" x14ac:dyDescent="0.25">
      <c r="A1933" s="7" t="s">
        <v>29504</v>
      </c>
      <c r="B1933" s="8">
        <v>393.75</v>
      </c>
      <c r="C1933" s="8">
        <v>20.531590000000001</v>
      </c>
      <c r="D1933" s="8">
        <v>61</v>
      </c>
      <c r="E1933" s="8">
        <v>0</v>
      </c>
      <c r="F1933" s="8">
        <v>0</v>
      </c>
      <c r="G1933" s="8">
        <v>22</v>
      </c>
      <c r="H1933" s="8" t="s">
        <v>29505</v>
      </c>
      <c r="I1933" s="8">
        <v>526.6875</v>
      </c>
      <c r="J1933" s="3">
        <f t="shared" si="30"/>
        <v>43748.578238101851</v>
      </c>
    </row>
    <row r="1934" spans="1:10" x14ac:dyDescent="0.25">
      <c r="A1934" s="5" t="s">
        <v>29506</v>
      </c>
      <c r="B1934" s="6">
        <v>393.75</v>
      </c>
      <c r="C1934" s="6">
        <v>20.531590000000001</v>
      </c>
      <c r="D1934" s="6">
        <v>61</v>
      </c>
      <c r="E1934" s="6">
        <v>0</v>
      </c>
      <c r="F1934" s="6">
        <v>0</v>
      </c>
      <c r="G1934" s="6">
        <v>28</v>
      </c>
      <c r="H1934" s="6" t="s">
        <v>29507</v>
      </c>
      <c r="I1934" s="6">
        <v>526.6875</v>
      </c>
      <c r="J1934" s="2">
        <f t="shared" si="30"/>
        <v>43748.578333761572</v>
      </c>
    </row>
    <row r="1935" spans="1:10" x14ac:dyDescent="0.25">
      <c r="A1935" s="7" t="s">
        <v>29508</v>
      </c>
      <c r="B1935" s="8">
        <v>393.75</v>
      </c>
      <c r="C1935" s="8">
        <v>20.531590000000001</v>
      </c>
      <c r="D1935" s="8">
        <v>63</v>
      </c>
      <c r="E1935" s="8">
        <v>0</v>
      </c>
      <c r="F1935" s="8">
        <v>0</v>
      </c>
      <c r="G1935" s="8">
        <v>15</v>
      </c>
      <c r="H1935" s="8" t="s">
        <v>29509</v>
      </c>
      <c r="I1935" s="8">
        <v>526.6875</v>
      </c>
      <c r="J1935" s="3">
        <f t="shared" si="30"/>
        <v>43748.578417222219</v>
      </c>
    </row>
    <row r="1936" spans="1:10" x14ac:dyDescent="0.25">
      <c r="A1936" s="5" t="s">
        <v>29510</v>
      </c>
      <c r="B1936" s="6">
        <v>393.75</v>
      </c>
      <c r="C1936" s="6">
        <v>20.531590000000001</v>
      </c>
      <c r="D1936" s="6">
        <v>63</v>
      </c>
      <c r="E1936" s="6">
        <v>0</v>
      </c>
      <c r="F1936" s="6">
        <v>0</v>
      </c>
      <c r="G1936" s="6">
        <v>14</v>
      </c>
      <c r="H1936" s="6" t="s">
        <v>29511</v>
      </c>
      <c r="I1936" s="6">
        <v>526.6875</v>
      </c>
      <c r="J1936" s="2">
        <f t="shared" si="30"/>
        <v>43748.578500902775</v>
      </c>
    </row>
    <row r="1937" spans="1:10" x14ac:dyDescent="0.25">
      <c r="A1937" s="7" t="s">
        <v>29512</v>
      </c>
      <c r="B1937" s="8">
        <v>393.75</v>
      </c>
      <c r="C1937" s="8">
        <v>20.478950000000001</v>
      </c>
      <c r="D1937" s="8">
        <v>63</v>
      </c>
      <c r="E1937" s="8">
        <v>0</v>
      </c>
      <c r="F1937" s="8">
        <v>0</v>
      </c>
      <c r="G1937" s="8">
        <v>17</v>
      </c>
      <c r="H1937" s="8" t="s">
        <v>29513</v>
      </c>
      <c r="I1937" s="8">
        <v>526.6875</v>
      </c>
      <c r="J1937" s="3">
        <f t="shared" si="30"/>
        <v>43748.578584340277</v>
      </c>
    </row>
    <row r="1938" spans="1:10" x14ac:dyDescent="0.25">
      <c r="A1938" s="5" t="s">
        <v>29514</v>
      </c>
      <c r="B1938" s="6">
        <v>393.75</v>
      </c>
      <c r="C1938" s="6">
        <v>20.531590000000001</v>
      </c>
      <c r="D1938" s="6">
        <v>63</v>
      </c>
      <c r="E1938" s="6">
        <v>0</v>
      </c>
      <c r="F1938" s="6">
        <v>0</v>
      </c>
      <c r="G1938" s="6">
        <v>27</v>
      </c>
      <c r="H1938" s="6" t="s">
        <v>29515</v>
      </c>
      <c r="I1938" s="6">
        <v>526.6875</v>
      </c>
      <c r="J1938" s="2">
        <f t="shared" si="30"/>
        <v>43748.578667557864</v>
      </c>
    </row>
    <row r="1939" spans="1:10" x14ac:dyDescent="0.25">
      <c r="A1939" s="7" t="s">
        <v>29516</v>
      </c>
      <c r="B1939" s="8">
        <v>393.75</v>
      </c>
      <c r="C1939" s="8">
        <v>20.531590000000001</v>
      </c>
      <c r="D1939" s="8">
        <v>63</v>
      </c>
      <c r="E1939" s="8">
        <v>0</v>
      </c>
      <c r="F1939" s="8">
        <v>0</v>
      </c>
      <c r="G1939" s="8">
        <v>21</v>
      </c>
      <c r="H1939" s="8" t="s">
        <v>29517</v>
      </c>
      <c r="I1939" s="8">
        <v>526.6875</v>
      </c>
      <c r="J1939" s="3">
        <f t="shared" si="30"/>
        <v>43748.578739201388</v>
      </c>
    </row>
    <row r="1940" spans="1:10" x14ac:dyDescent="0.25">
      <c r="A1940" s="5" t="s">
        <v>29518</v>
      </c>
      <c r="B1940" s="6">
        <v>393.75</v>
      </c>
      <c r="C1940" s="6">
        <v>20.584240000000001</v>
      </c>
      <c r="D1940" s="6">
        <v>64</v>
      </c>
      <c r="E1940" s="6">
        <v>0</v>
      </c>
      <c r="F1940" s="6">
        <v>0</v>
      </c>
      <c r="G1940" s="6">
        <v>21</v>
      </c>
      <c r="H1940" s="6" t="s">
        <v>29519</v>
      </c>
      <c r="I1940" s="6">
        <v>526.6875</v>
      </c>
      <c r="J1940" s="2">
        <f t="shared" si="30"/>
        <v>43748.578825509256</v>
      </c>
    </row>
    <row r="1941" spans="1:10" x14ac:dyDescent="0.25">
      <c r="A1941" s="7" t="s">
        <v>29520</v>
      </c>
      <c r="B1941" s="8">
        <v>393.75</v>
      </c>
      <c r="C1941" s="8">
        <v>20.531590000000001</v>
      </c>
      <c r="D1941" s="8">
        <v>64</v>
      </c>
      <c r="E1941" s="8">
        <v>0</v>
      </c>
      <c r="F1941" s="8">
        <v>0</v>
      </c>
      <c r="G1941" s="8">
        <v>25</v>
      </c>
      <c r="H1941" s="8" t="s">
        <v>29521</v>
      </c>
      <c r="I1941" s="8">
        <v>526.6875</v>
      </c>
      <c r="J1941" s="3">
        <f t="shared" si="30"/>
        <v>43748.578906215276</v>
      </c>
    </row>
    <row r="1942" spans="1:10" x14ac:dyDescent="0.25">
      <c r="A1942" s="5" t="s">
        <v>29522</v>
      </c>
      <c r="B1942" s="6">
        <v>393.75</v>
      </c>
      <c r="C1942" s="6">
        <v>20.531590000000001</v>
      </c>
      <c r="D1942" s="6">
        <v>63</v>
      </c>
      <c r="E1942" s="6">
        <v>0</v>
      </c>
      <c r="F1942" s="6">
        <v>0</v>
      </c>
      <c r="G1942" s="6">
        <v>22</v>
      </c>
      <c r="H1942" s="6" t="s">
        <v>29523</v>
      </c>
      <c r="I1942" s="6">
        <v>526.6875</v>
      </c>
      <c r="J1942" s="2">
        <f t="shared" si="30"/>
        <v>43748.578989768517</v>
      </c>
    </row>
    <row r="1943" spans="1:10" x14ac:dyDescent="0.25">
      <c r="A1943" s="7" t="s">
        <v>29524</v>
      </c>
      <c r="B1943" s="8">
        <v>412.5</v>
      </c>
      <c r="C1943" s="8">
        <v>20.531590000000001</v>
      </c>
      <c r="D1943" s="8">
        <v>64</v>
      </c>
      <c r="E1943" s="8">
        <v>0</v>
      </c>
      <c r="F1943" s="8">
        <v>0</v>
      </c>
      <c r="G1943" s="8">
        <v>22</v>
      </c>
      <c r="H1943" s="8" t="s">
        <v>29525</v>
      </c>
      <c r="I1943" s="8">
        <v>532.3125</v>
      </c>
      <c r="J1943" s="3">
        <f t="shared" si="30"/>
        <v>43748.579073356479</v>
      </c>
    </row>
    <row r="1944" spans="1:10" x14ac:dyDescent="0.25">
      <c r="A1944" s="5" t="s">
        <v>29526</v>
      </c>
      <c r="B1944" s="6">
        <v>393.75</v>
      </c>
      <c r="C1944" s="6">
        <v>20.531590000000001</v>
      </c>
      <c r="D1944" s="6">
        <v>65</v>
      </c>
      <c r="E1944" s="6">
        <v>0</v>
      </c>
      <c r="F1944" s="6">
        <v>0</v>
      </c>
      <c r="G1944" s="6">
        <v>22</v>
      </c>
      <c r="H1944" s="6" t="s">
        <v>29527</v>
      </c>
      <c r="I1944" s="6">
        <v>526.6875</v>
      </c>
      <c r="J1944" s="2">
        <f t="shared" si="30"/>
        <v>43748.579156458327</v>
      </c>
    </row>
    <row r="1945" spans="1:10" x14ac:dyDescent="0.25">
      <c r="A1945" s="7" t="s">
        <v>29528</v>
      </c>
      <c r="B1945" s="8">
        <v>393.75</v>
      </c>
      <c r="C1945" s="8">
        <v>20.531590000000001</v>
      </c>
      <c r="D1945" s="8">
        <v>66</v>
      </c>
      <c r="E1945" s="8">
        <v>0</v>
      </c>
      <c r="F1945" s="8">
        <v>0</v>
      </c>
      <c r="G1945" s="8">
        <v>32</v>
      </c>
      <c r="H1945" s="8" t="s">
        <v>29529</v>
      </c>
      <c r="I1945" s="8">
        <v>526.6875</v>
      </c>
      <c r="J1945" s="3">
        <f t="shared" si="30"/>
        <v>43748.579240219908</v>
      </c>
    </row>
    <row r="1946" spans="1:10" x14ac:dyDescent="0.25">
      <c r="A1946" s="5" t="s">
        <v>29530</v>
      </c>
      <c r="B1946" s="6">
        <v>393.75</v>
      </c>
      <c r="C1946" s="6">
        <v>20.531590000000001</v>
      </c>
      <c r="D1946" s="6">
        <v>65</v>
      </c>
      <c r="E1946" s="6">
        <v>0</v>
      </c>
      <c r="F1946" s="6">
        <v>0</v>
      </c>
      <c r="G1946" s="6">
        <v>31</v>
      </c>
      <c r="H1946" s="6" t="s">
        <v>29531</v>
      </c>
      <c r="I1946" s="6">
        <v>526.6875</v>
      </c>
      <c r="J1946" s="2">
        <f t="shared" si="30"/>
        <v>43748.579323935184</v>
      </c>
    </row>
    <row r="1947" spans="1:10" x14ac:dyDescent="0.25">
      <c r="A1947" s="7" t="s">
        <v>29532</v>
      </c>
      <c r="B1947" s="8">
        <v>393.75</v>
      </c>
      <c r="C1947" s="8">
        <v>20.531590000000001</v>
      </c>
      <c r="D1947" s="8">
        <v>65</v>
      </c>
      <c r="E1947" s="8">
        <v>0</v>
      </c>
      <c r="F1947" s="8">
        <v>0</v>
      </c>
      <c r="G1947" s="8">
        <v>18</v>
      </c>
      <c r="H1947" s="8" t="s">
        <v>29533</v>
      </c>
      <c r="I1947" s="8">
        <v>526.6875</v>
      </c>
      <c r="J1947" s="3">
        <f t="shared" si="30"/>
        <v>43748.579395335641</v>
      </c>
    </row>
    <row r="1948" spans="1:10" x14ac:dyDescent="0.25">
      <c r="A1948" s="5" t="s">
        <v>29534</v>
      </c>
      <c r="B1948" s="6">
        <v>412.5</v>
      </c>
      <c r="C1948" s="6">
        <v>20.478950000000001</v>
      </c>
      <c r="D1948" s="6">
        <v>65</v>
      </c>
      <c r="E1948" s="6">
        <v>0</v>
      </c>
      <c r="F1948" s="6">
        <v>0</v>
      </c>
      <c r="G1948" s="6">
        <v>20</v>
      </c>
      <c r="H1948" s="6" t="s">
        <v>29535</v>
      </c>
      <c r="I1948" s="6">
        <v>532.3125</v>
      </c>
      <c r="J1948" s="2">
        <f t="shared" si="30"/>
        <v>43748.57947866898</v>
      </c>
    </row>
    <row r="1949" spans="1:10" x14ac:dyDescent="0.25">
      <c r="A1949" s="7" t="s">
        <v>29536</v>
      </c>
      <c r="B1949" s="8">
        <v>393.75</v>
      </c>
      <c r="C1949" s="8">
        <v>20.531590000000001</v>
      </c>
      <c r="D1949" s="8">
        <v>65</v>
      </c>
      <c r="E1949" s="8">
        <v>0</v>
      </c>
      <c r="F1949" s="8">
        <v>0</v>
      </c>
      <c r="G1949" s="8">
        <v>16</v>
      </c>
      <c r="H1949" s="8" t="s">
        <v>29537</v>
      </c>
      <c r="I1949" s="8">
        <v>526.6875</v>
      </c>
      <c r="J1949" s="3">
        <f t="shared" si="30"/>
        <v>43748.579562349536</v>
      </c>
    </row>
    <row r="1950" spans="1:10" x14ac:dyDescent="0.25">
      <c r="A1950" s="5" t="s">
        <v>29538</v>
      </c>
      <c r="B1950" s="6">
        <v>393.75</v>
      </c>
      <c r="C1950" s="6">
        <v>20.478950000000001</v>
      </c>
      <c r="D1950" s="6">
        <v>65</v>
      </c>
      <c r="E1950" s="6">
        <v>0</v>
      </c>
      <c r="F1950" s="6">
        <v>0</v>
      </c>
      <c r="G1950" s="6">
        <v>11</v>
      </c>
      <c r="H1950" s="6" t="s">
        <v>29539</v>
      </c>
      <c r="I1950" s="6">
        <v>526.6875</v>
      </c>
      <c r="J1950" s="2">
        <f t="shared" si="30"/>
        <v>43748.579648171297</v>
      </c>
    </row>
    <row r="1951" spans="1:10" x14ac:dyDescent="0.25">
      <c r="A1951" s="7" t="s">
        <v>29540</v>
      </c>
      <c r="B1951" s="8">
        <v>393.75</v>
      </c>
      <c r="C1951" s="8">
        <v>20.478950000000001</v>
      </c>
      <c r="D1951" s="8">
        <v>64</v>
      </c>
      <c r="E1951" s="8">
        <v>0</v>
      </c>
      <c r="F1951" s="8">
        <v>0</v>
      </c>
      <c r="G1951" s="8">
        <v>17</v>
      </c>
      <c r="H1951" s="8" t="s">
        <v>29541</v>
      </c>
      <c r="I1951" s="8">
        <v>526.6875</v>
      </c>
      <c r="J1951" s="3">
        <f t="shared" si="30"/>
        <v>43748.579729456011</v>
      </c>
    </row>
    <row r="1952" spans="1:10" x14ac:dyDescent="0.25">
      <c r="A1952" s="5" t="s">
        <v>29542</v>
      </c>
      <c r="B1952" s="6">
        <v>393.75</v>
      </c>
      <c r="C1952" s="6">
        <v>20.531590000000001</v>
      </c>
      <c r="D1952" s="6">
        <v>64</v>
      </c>
      <c r="E1952" s="6">
        <v>0</v>
      </c>
      <c r="F1952" s="6">
        <v>0</v>
      </c>
      <c r="G1952" s="6">
        <v>15</v>
      </c>
      <c r="H1952" s="6" t="s">
        <v>29543</v>
      </c>
      <c r="I1952" s="6">
        <v>526.6875</v>
      </c>
      <c r="J1952" s="2">
        <f t="shared" si="30"/>
        <v>43748.579813009252</v>
      </c>
    </row>
    <row r="1953" spans="1:10" x14ac:dyDescent="0.25">
      <c r="A1953" s="7" t="s">
        <v>29544</v>
      </c>
      <c r="B1953" s="8">
        <v>393.75</v>
      </c>
      <c r="C1953" s="8">
        <v>20.531590000000001</v>
      </c>
      <c r="D1953" s="8">
        <v>66</v>
      </c>
      <c r="E1953" s="8">
        <v>0</v>
      </c>
      <c r="F1953" s="8">
        <v>0</v>
      </c>
      <c r="G1953" s="8">
        <v>20</v>
      </c>
      <c r="H1953" s="8" t="s">
        <v>29545</v>
      </c>
      <c r="I1953" s="8">
        <v>526.6875</v>
      </c>
      <c r="J1953" s="3">
        <f t="shared" si="30"/>
        <v>43748.579884444443</v>
      </c>
    </row>
    <row r="1954" spans="1:10" x14ac:dyDescent="0.25">
      <c r="A1954" s="5" t="s">
        <v>29546</v>
      </c>
      <c r="B1954" s="6">
        <v>393.75</v>
      </c>
      <c r="C1954" s="6">
        <v>20.478950000000001</v>
      </c>
      <c r="D1954" s="6">
        <v>65</v>
      </c>
      <c r="E1954" s="6">
        <v>0</v>
      </c>
      <c r="F1954" s="6">
        <v>0</v>
      </c>
      <c r="G1954" s="6">
        <v>22</v>
      </c>
      <c r="H1954" s="6" t="s">
        <v>29547</v>
      </c>
      <c r="I1954" s="6">
        <v>526.5</v>
      </c>
      <c r="J1954" s="2">
        <f t="shared" si="30"/>
        <v>43748.579967557867</v>
      </c>
    </row>
    <row r="1955" spans="1:10" x14ac:dyDescent="0.25">
      <c r="A1955" s="7" t="s">
        <v>29548</v>
      </c>
      <c r="B1955" s="8">
        <v>393.75</v>
      </c>
      <c r="C1955" s="8">
        <v>20.531590000000001</v>
      </c>
      <c r="D1955" s="8">
        <v>65</v>
      </c>
      <c r="E1955" s="8">
        <v>0</v>
      </c>
      <c r="F1955" s="8">
        <v>0</v>
      </c>
      <c r="G1955" s="8">
        <v>24</v>
      </c>
      <c r="H1955" s="8" t="s">
        <v>29549</v>
      </c>
      <c r="I1955" s="8">
        <v>526.6875</v>
      </c>
      <c r="J1955" s="3">
        <f t="shared" si="30"/>
        <v>43748.580039328699</v>
      </c>
    </row>
    <row r="1956" spans="1:10" x14ac:dyDescent="0.25">
      <c r="A1956" s="5" t="s">
        <v>29550</v>
      </c>
      <c r="B1956" s="6">
        <v>393.75</v>
      </c>
      <c r="C1956" s="6">
        <v>20.584240000000001</v>
      </c>
      <c r="D1956" s="6">
        <v>66</v>
      </c>
      <c r="E1956" s="6">
        <v>0</v>
      </c>
      <c r="F1956" s="6">
        <v>0</v>
      </c>
      <c r="G1956" s="6">
        <v>22</v>
      </c>
      <c r="H1956" s="6" t="s">
        <v>29551</v>
      </c>
      <c r="I1956" s="6">
        <v>526.6875</v>
      </c>
      <c r="J1956" s="2">
        <f t="shared" si="30"/>
        <v>43748.580123206011</v>
      </c>
    </row>
    <row r="1957" spans="1:10" x14ac:dyDescent="0.25">
      <c r="A1957" s="7" t="s">
        <v>29552</v>
      </c>
      <c r="B1957" s="8">
        <v>393.75</v>
      </c>
      <c r="C1957" s="8">
        <v>20.478950000000001</v>
      </c>
      <c r="D1957" s="8">
        <v>67</v>
      </c>
      <c r="E1957" s="8">
        <v>0</v>
      </c>
      <c r="F1957" s="8">
        <v>0</v>
      </c>
      <c r="G1957" s="8">
        <v>23</v>
      </c>
      <c r="H1957" s="8" t="s">
        <v>29553</v>
      </c>
      <c r="I1957" s="8">
        <v>526.6875</v>
      </c>
      <c r="J1957" s="3">
        <f t="shared" si="30"/>
        <v>43748.580194629627</v>
      </c>
    </row>
    <row r="1958" spans="1:10" x14ac:dyDescent="0.25">
      <c r="A1958" s="5" t="s">
        <v>29554</v>
      </c>
      <c r="B1958" s="6">
        <v>393.75</v>
      </c>
      <c r="C1958" s="6">
        <v>20.531590000000001</v>
      </c>
      <c r="D1958" s="6">
        <v>68</v>
      </c>
      <c r="E1958" s="6">
        <v>0</v>
      </c>
      <c r="F1958" s="6">
        <v>0</v>
      </c>
      <c r="G1958" s="6">
        <v>26</v>
      </c>
      <c r="H1958" s="6" t="s">
        <v>29555</v>
      </c>
      <c r="I1958" s="6">
        <v>526.6875</v>
      </c>
      <c r="J1958" s="2">
        <f t="shared" si="30"/>
        <v>43748.580278055553</v>
      </c>
    </row>
    <row r="1959" spans="1:10" x14ac:dyDescent="0.25">
      <c r="A1959" s="7" t="s">
        <v>29556</v>
      </c>
      <c r="B1959" s="8">
        <v>393.75</v>
      </c>
      <c r="C1959" s="8">
        <v>20.531590000000001</v>
      </c>
      <c r="D1959" s="8">
        <v>68</v>
      </c>
      <c r="E1959" s="8">
        <v>0</v>
      </c>
      <c r="F1959" s="8">
        <v>0</v>
      </c>
      <c r="G1959" s="8">
        <v>25</v>
      </c>
      <c r="H1959" s="8" t="s">
        <v>29557</v>
      </c>
      <c r="I1959" s="8">
        <v>526.6875</v>
      </c>
      <c r="J1959" s="3">
        <f t="shared" si="30"/>
        <v>43748.580349039352</v>
      </c>
    </row>
    <row r="1960" spans="1:10" x14ac:dyDescent="0.25">
      <c r="A1960" s="5" t="s">
        <v>29558</v>
      </c>
      <c r="B1960" s="6">
        <v>393.75</v>
      </c>
      <c r="C1960" s="6">
        <v>20.531590000000001</v>
      </c>
      <c r="D1960" s="6">
        <v>67</v>
      </c>
      <c r="E1960" s="6">
        <v>0</v>
      </c>
      <c r="F1960" s="6">
        <v>0</v>
      </c>
      <c r="G1960" s="6">
        <v>25</v>
      </c>
      <c r="H1960" s="6" t="s">
        <v>29559</v>
      </c>
      <c r="I1960" s="6">
        <v>526.6875</v>
      </c>
      <c r="J1960" s="2">
        <f t="shared" si="30"/>
        <v>43748.580421145831</v>
      </c>
    </row>
    <row r="1961" spans="1:10" x14ac:dyDescent="0.25">
      <c r="A1961" s="7" t="s">
        <v>29560</v>
      </c>
      <c r="B1961" s="8">
        <v>393.75</v>
      </c>
      <c r="C1961" s="8">
        <v>20.531590000000001</v>
      </c>
      <c r="D1961" s="8">
        <v>64</v>
      </c>
      <c r="E1961" s="8">
        <v>0</v>
      </c>
      <c r="F1961" s="8">
        <v>0</v>
      </c>
      <c r="G1961" s="8">
        <v>19</v>
      </c>
      <c r="H1961" s="8" t="s">
        <v>29561</v>
      </c>
      <c r="I1961" s="8">
        <v>526.5</v>
      </c>
      <c r="J1961" s="3">
        <f t="shared" si="30"/>
        <v>43748.580504583333</v>
      </c>
    </row>
    <row r="1962" spans="1:10" x14ac:dyDescent="0.25">
      <c r="A1962" s="5" t="s">
        <v>29562</v>
      </c>
      <c r="B1962" s="6">
        <v>412.5</v>
      </c>
      <c r="C1962" s="6">
        <v>20.584240000000001</v>
      </c>
      <c r="D1962" s="6">
        <v>64</v>
      </c>
      <c r="E1962" s="6">
        <v>0</v>
      </c>
      <c r="F1962" s="6">
        <v>0</v>
      </c>
      <c r="G1962" s="6">
        <v>20</v>
      </c>
      <c r="H1962" s="6" t="s">
        <v>29563</v>
      </c>
      <c r="I1962" s="6">
        <v>532.3125</v>
      </c>
      <c r="J1962" s="2">
        <f t="shared" si="30"/>
        <v>43748.580576250002</v>
      </c>
    </row>
    <row r="1963" spans="1:10" x14ac:dyDescent="0.25">
      <c r="A1963" s="7" t="s">
        <v>29564</v>
      </c>
      <c r="B1963" s="8">
        <v>393.75</v>
      </c>
      <c r="C1963" s="8">
        <v>20.531590000000001</v>
      </c>
      <c r="D1963" s="8">
        <v>65</v>
      </c>
      <c r="E1963" s="8">
        <v>0</v>
      </c>
      <c r="F1963" s="8">
        <v>0</v>
      </c>
      <c r="G1963" s="8">
        <v>24</v>
      </c>
      <c r="H1963" s="8" t="s">
        <v>29565</v>
      </c>
      <c r="I1963" s="8">
        <v>526.6875</v>
      </c>
      <c r="J1963" s="3">
        <f t="shared" si="30"/>
        <v>43748.580659803243</v>
      </c>
    </row>
    <row r="1964" spans="1:10" x14ac:dyDescent="0.25">
      <c r="A1964" s="5" t="s">
        <v>29566</v>
      </c>
      <c r="B1964" s="6">
        <v>393.75</v>
      </c>
      <c r="C1964" s="6">
        <v>20.531590000000001</v>
      </c>
      <c r="D1964" s="6">
        <v>65</v>
      </c>
      <c r="E1964" s="6">
        <v>0</v>
      </c>
      <c r="F1964" s="6">
        <v>0</v>
      </c>
      <c r="G1964" s="6">
        <v>19</v>
      </c>
      <c r="H1964" s="6" t="s">
        <v>29567</v>
      </c>
      <c r="I1964" s="6">
        <v>526.6875</v>
      </c>
      <c r="J1964" s="2">
        <f t="shared" si="30"/>
        <v>43748.580743240738</v>
      </c>
    </row>
    <row r="1965" spans="1:10" x14ac:dyDescent="0.25">
      <c r="A1965" s="7" t="s">
        <v>29568</v>
      </c>
      <c r="B1965" s="8">
        <v>393.75</v>
      </c>
      <c r="C1965" s="8">
        <v>20.584240000000001</v>
      </c>
      <c r="D1965" s="8">
        <v>64</v>
      </c>
      <c r="E1965" s="8">
        <v>0</v>
      </c>
      <c r="F1965" s="8">
        <v>0</v>
      </c>
      <c r="G1965" s="8">
        <v>19</v>
      </c>
      <c r="H1965" s="8" t="s">
        <v>29569</v>
      </c>
      <c r="I1965" s="8">
        <v>526.6875</v>
      </c>
      <c r="J1965" s="3">
        <f t="shared" si="30"/>
        <v>43748.580826909725</v>
      </c>
    </row>
    <row r="1966" spans="1:10" x14ac:dyDescent="0.25">
      <c r="A1966" s="5" t="s">
        <v>29570</v>
      </c>
      <c r="B1966" s="6">
        <v>393.75</v>
      </c>
      <c r="C1966" s="6">
        <v>20.531590000000001</v>
      </c>
      <c r="D1966" s="6">
        <v>63</v>
      </c>
      <c r="E1966" s="6">
        <v>0</v>
      </c>
      <c r="F1966" s="6">
        <v>0</v>
      </c>
      <c r="G1966" s="6">
        <v>21</v>
      </c>
      <c r="H1966" s="6" t="s">
        <v>29571</v>
      </c>
      <c r="I1966" s="6">
        <v>526.6875</v>
      </c>
      <c r="J1966" s="2">
        <f t="shared" si="30"/>
        <v>43748.580910405093</v>
      </c>
    </row>
    <row r="1967" spans="1:10" x14ac:dyDescent="0.25">
      <c r="A1967" s="7" t="s">
        <v>29572</v>
      </c>
      <c r="B1967" s="8">
        <v>393.75</v>
      </c>
      <c r="C1967" s="8">
        <v>20.531590000000001</v>
      </c>
      <c r="D1967" s="8">
        <v>64</v>
      </c>
      <c r="E1967" s="8">
        <v>0</v>
      </c>
      <c r="F1967" s="8">
        <v>0</v>
      </c>
      <c r="G1967" s="8">
        <v>22</v>
      </c>
      <c r="H1967" s="8" t="s">
        <v>29573</v>
      </c>
      <c r="I1967" s="8">
        <v>526.6875</v>
      </c>
      <c r="J1967" s="3">
        <f t="shared" si="30"/>
        <v>43748.581018935183</v>
      </c>
    </row>
    <row r="1968" spans="1:10" x14ac:dyDescent="0.25">
      <c r="A1968" s="5" t="s">
        <v>29574</v>
      </c>
      <c r="B1968" s="6">
        <v>393.75</v>
      </c>
      <c r="C1968" s="6">
        <v>20.531590000000001</v>
      </c>
      <c r="D1968" s="6">
        <v>66</v>
      </c>
      <c r="E1968" s="6">
        <v>0</v>
      </c>
      <c r="F1968" s="6">
        <v>0</v>
      </c>
      <c r="G1968" s="6">
        <v>19</v>
      </c>
      <c r="H1968" s="6" t="s">
        <v>29575</v>
      </c>
      <c r="I1968" s="6">
        <v>526.6875</v>
      </c>
      <c r="J1968" s="2">
        <f t="shared" si="30"/>
        <v>43748.581100879623</v>
      </c>
    </row>
    <row r="1969" spans="1:10" x14ac:dyDescent="0.25">
      <c r="A1969" s="7" t="s">
        <v>29576</v>
      </c>
      <c r="B1969" s="8">
        <v>393.75</v>
      </c>
      <c r="C1969" s="8">
        <v>20.531590000000001</v>
      </c>
      <c r="D1969" s="8">
        <v>66</v>
      </c>
      <c r="E1969" s="8">
        <v>0</v>
      </c>
      <c r="F1969" s="8">
        <v>0</v>
      </c>
      <c r="G1969" s="8">
        <v>23</v>
      </c>
      <c r="H1969" s="8" t="s">
        <v>29577</v>
      </c>
      <c r="I1969" s="8">
        <v>526.6875</v>
      </c>
      <c r="J1969" s="3">
        <f t="shared" si="30"/>
        <v>43748.5811721875</v>
      </c>
    </row>
    <row r="1970" spans="1:10" x14ac:dyDescent="0.25">
      <c r="A1970" s="5" t="s">
        <v>29578</v>
      </c>
      <c r="B1970" s="6">
        <v>393.75</v>
      </c>
      <c r="C1970" s="6">
        <v>20.584240000000001</v>
      </c>
      <c r="D1970" s="6">
        <v>68</v>
      </c>
      <c r="E1970" s="6">
        <v>0</v>
      </c>
      <c r="F1970" s="6">
        <v>0</v>
      </c>
      <c r="G1970" s="6">
        <v>25</v>
      </c>
      <c r="H1970" s="6" t="s">
        <v>29579</v>
      </c>
      <c r="I1970" s="6">
        <v>526.6875</v>
      </c>
      <c r="J1970" s="2">
        <f t="shared" si="30"/>
        <v>43748.581244293979</v>
      </c>
    </row>
    <row r="1971" spans="1:10" x14ac:dyDescent="0.25">
      <c r="A1971" s="7" t="s">
        <v>29580</v>
      </c>
      <c r="B1971" s="8">
        <v>393.75</v>
      </c>
      <c r="C1971" s="8">
        <v>20.531590000000001</v>
      </c>
      <c r="D1971" s="8">
        <v>70</v>
      </c>
      <c r="E1971" s="8">
        <v>0</v>
      </c>
      <c r="F1971" s="8">
        <v>0</v>
      </c>
      <c r="G1971" s="8">
        <v>22</v>
      </c>
      <c r="H1971" s="8" t="s">
        <v>29581</v>
      </c>
      <c r="I1971" s="8">
        <v>526.6875</v>
      </c>
      <c r="J1971" s="3">
        <f t="shared" si="30"/>
        <v>43748.581327731481</v>
      </c>
    </row>
    <row r="1972" spans="1:10" x14ac:dyDescent="0.25">
      <c r="A1972" s="5" t="s">
        <v>29582</v>
      </c>
      <c r="B1972" s="6">
        <v>393.75</v>
      </c>
      <c r="C1972" s="6">
        <v>20.531590000000001</v>
      </c>
      <c r="D1972" s="6">
        <v>69</v>
      </c>
      <c r="E1972" s="6">
        <v>0</v>
      </c>
      <c r="F1972" s="6">
        <v>0</v>
      </c>
      <c r="G1972" s="6">
        <v>24</v>
      </c>
      <c r="H1972" s="6" t="s">
        <v>29583</v>
      </c>
      <c r="I1972" s="6">
        <v>526.6875</v>
      </c>
      <c r="J1972" s="2">
        <f t="shared" si="30"/>
        <v>43748.58139939815</v>
      </c>
    </row>
    <row r="1973" spans="1:10" x14ac:dyDescent="0.25">
      <c r="A1973" s="7" t="s">
        <v>29584</v>
      </c>
      <c r="B1973" s="8">
        <v>393.75</v>
      </c>
      <c r="C1973" s="8">
        <v>20.478950000000001</v>
      </c>
      <c r="D1973" s="8">
        <v>70</v>
      </c>
      <c r="E1973" s="8">
        <v>0</v>
      </c>
      <c r="F1973" s="8">
        <v>0</v>
      </c>
      <c r="G1973" s="8">
        <v>28</v>
      </c>
      <c r="H1973" s="8" t="s">
        <v>29585</v>
      </c>
      <c r="I1973" s="8">
        <v>526.6875</v>
      </c>
      <c r="J1973" s="3">
        <f t="shared" si="30"/>
        <v>43748.581482488422</v>
      </c>
    </row>
    <row r="1974" spans="1:10" x14ac:dyDescent="0.25">
      <c r="A1974" s="5" t="s">
        <v>29586</v>
      </c>
      <c r="B1974" s="6">
        <v>393.75</v>
      </c>
      <c r="C1974" s="6">
        <v>20.531590000000001</v>
      </c>
      <c r="D1974" s="6">
        <v>70</v>
      </c>
      <c r="E1974" s="6">
        <v>0</v>
      </c>
      <c r="F1974" s="6">
        <v>0</v>
      </c>
      <c r="G1974" s="6">
        <v>22</v>
      </c>
      <c r="H1974" s="6" t="s">
        <v>29587</v>
      </c>
      <c r="I1974" s="6">
        <v>526.6875</v>
      </c>
      <c r="J1974" s="2">
        <f t="shared" si="30"/>
        <v>43748.58155412037</v>
      </c>
    </row>
    <row r="1975" spans="1:10" x14ac:dyDescent="0.25">
      <c r="A1975" s="7" t="s">
        <v>29588</v>
      </c>
      <c r="B1975" s="8">
        <v>393.75</v>
      </c>
      <c r="C1975" s="8">
        <v>20.478950000000001</v>
      </c>
      <c r="D1975" s="8">
        <v>71</v>
      </c>
      <c r="E1975" s="8">
        <v>0</v>
      </c>
      <c r="F1975" s="8">
        <v>0</v>
      </c>
      <c r="G1975" s="8">
        <v>19</v>
      </c>
      <c r="H1975" s="8" t="s">
        <v>29589</v>
      </c>
      <c r="I1975" s="8">
        <v>526.6875</v>
      </c>
      <c r="J1975" s="3">
        <f t="shared" si="30"/>
        <v>43748.581646018516</v>
      </c>
    </row>
    <row r="1976" spans="1:10" x14ac:dyDescent="0.25">
      <c r="A1976" s="5" t="s">
        <v>29590</v>
      </c>
      <c r="B1976" s="6">
        <v>393.75</v>
      </c>
      <c r="C1976" s="6">
        <v>20.584240000000001</v>
      </c>
      <c r="D1976" s="6">
        <v>71</v>
      </c>
      <c r="E1976" s="6">
        <v>0</v>
      </c>
      <c r="F1976" s="6">
        <v>0</v>
      </c>
      <c r="G1976" s="6">
        <v>23</v>
      </c>
      <c r="H1976" s="6" t="s">
        <v>29591</v>
      </c>
      <c r="I1976" s="6">
        <v>526.6875</v>
      </c>
      <c r="J1976" s="2">
        <f t="shared" si="30"/>
        <v>43748.581721377312</v>
      </c>
    </row>
    <row r="1977" spans="1:10" x14ac:dyDescent="0.25">
      <c r="A1977" s="7" t="s">
        <v>29592</v>
      </c>
      <c r="B1977" s="8">
        <v>412.5</v>
      </c>
      <c r="C1977" s="8">
        <v>20.584240000000001</v>
      </c>
      <c r="D1977" s="8">
        <v>72</v>
      </c>
      <c r="E1977" s="8">
        <v>0</v>
      </c>
      <c r="F1977" s="8">
        <v>0</v>
      </c>
      <c r="G1977" s="8">
        <v>20</v>
      </c>
      <c r="H1977" s="8" t="s">
        <v>29593</v>
      </c>
      <c r="I1977" s="8">
        <v>532.3125</v>
      </c>
      <c r="J1977" s="3">
        <f t="shared" si="30"/>
        <v>43748.581804594905</v>
      </c>
    </row>
    <row r="1978" spans="1:10" x14ac:dyDescent="0.25">
      <c r="A1978" s="5" t="s">
        <v>29594</v>
      </c>
      <c r="B1978" s="6">
        <v>393.75</v>
      </c>
      <c r="C1978" s="6">
        <v>20.531590000000001</v>
      </c>
      <c r="D1978" s="6">
        <v>72</v>
      </c>
      <c r="E1978" s="6">
        <v>0</v>
      </c>
      <c r="F1978" s="6">
        <v>0</v>
      </c>
      <c r="G1978" s="6">
        <v>25</v>
      </c>
      <c r="H1978" s="6" t="s">
        <v>29595</v>
      </c>
      <c r="I1978" s="6">
        <v>526.6875</v>
      </c>
      <c r="J1978" s="2">
        <f t="shared" si="30"/>
        <v>43748.581876354168</v>
      </c>
    </row>
    <row r="1979" spans="1:10" x14ac:dyDescent="0.25">
      <c r="A1979" s="7" t="s">
        <v>29596</v>
      </c>
      <c r="B1979" s="8">
        <v>393.75</v>
      </c>
      <c r="C1979" s="8">
        <v>20.478950000000001</v>
      </c>
      <c r="D1979" s="8">
        <v>72</v>
      </c>
      <c r="E1979" s="8">
        <v>0</v>
      </c>
      <c r="F1979" s="8">
        <v>0</v>
      </c>
      <c r="G1979" s="8">
        <v>21</v>
      </c>
      <c r="H1979" s="8" t="s">
        <v>29597</v>
      </c>
      <c r="I1979" s="8">
        <v>526.6875</v>
      </c>
      <c r="J1979" s="3">
        <f t="shared" si="30"/>
        <v>43748.581960150455</v>
      </c>
    </row>
    <row r="1980" spans="1:10" x14ac:dyDescent="0.25">
      <c r="A1980" s="5" t="s">
        <v>29598</v>
      </c>
      <c r="B1980" s="6">
        <v>393.75</v>
      </c>
      <c r="C1980" s="6">
        <v>20.478950000000001</v>
      </c>
      <c r="D1980" s="6">
        <v>72</v>
      </c>
      <c r="E1980" s="6">
        <v>0</v>
      </c>
      <c r="F1980" s="6">
        <v>0</v>
      </c>
      <c r="G1980" s="6">
        <v>32</v>
      </c>
      <c r="H1980" s="6" t="s">
        <v>29599</v>
      </c>
      <c r="I1980" s="6">
        <v>526.6875</v>
      </c>
      <c r="J1980" s="2">
        <f t="shared" si="30"/>
        <v>43748.58204335648</v>
      </c>
    </row>
    <row r="1981" spans="1:10" x14ac:dyDescent="0.25">
      <c r="A1981" s="7" t="s">
        <v>29600</v>
      </c>
      <c r="B1981" s="8">
        <v>393.75</v>
      </c>
      <c r="C1981" s="8">
        <v>20.531590000000001</v>
      </c>
      <c r="D1981" s="8">
        <v>72</v>
      </c>
      <c r="E1981" s="8">
        <v>0</v>
      </c>
      <c r="F1981" s="8">
        <v>0</v>
      </c>
      <c r="G1981" s="8">
        <v>24</v>
      </c>
      <c r="H1981" s="8" t="s">
        <v>29601</v>
      </c>
      <c r="I1981" s="8">
        <v>526.6875</v>
      </c>
      <c r="J1981" s="3">
        <f t="shared" si="30"/>
        <v>43748.582126817128</v>
      </c>
    </row>
    <row r="1982" spans="1:10" x14ac:dyDescent="0.25">
      <c r="A1982" s="5" t="s">
        <v>29602</v>
      </c>
      <c r="B1982" s="6">
        <v>421.875</v>
      </c>
      <c r="C1982" s="6">
        <v>20.531590000000001</v>
      </c>
      <c r="D1982" s="6">
        <v>69</v>
      </c>
      <c r="E1982" s="6">
        <v>0</v>
      </c>
      <c r="F1982" s="6">
        <v>0</v>
      </c>
      <c r="G1982" s="6">
        <v>27</v>
      </c>
      <c r="H1982" s="6" t="s">
        <v>29603</v>
      </c>
      <c r="I1982" s="6">
        <v>535.875</v>
      </c>
      <c r="J1982" s="2">
        <f t="shared" si="30"/>
        <v>43748.582210486107</v>
      </c>
    </row>
    <row r="1983" spans="1:10" x14ac:dyDescent="0.25">
      <c r="A1983" s="7" t="s">
        <v>29604</v>
      </c>
      <c r="B1983" s="8">
        <v>393.75</v>
      </c>
      <c r="C1983" s="8">
        <v>20.478950000000001</v>
      </c>
      <c r="D1983" s="8">
        <v>65</v>
      </c>
      <c r="E1983" s="8">
        <v>0</v>
      </c>
      <c r="F1983" s="8">
        <v>0</v>
      </c>
      <c r="G1983" s="8">
        <v>29</v>
      </c>
      <c r="H1983" s="8" t="s">
        <v>29605</v>
      </c>
      <c r="I1983" s="8">
        <v>526.6875</v>
      </c>
      <c r="J1983" s="3">
        <f t="shared" si="30"/>
        <v>43748.582293599531</v>
      </c>
    </row>
    <row r="1984" spans="1:10" x14ac:dyDescent="0.25">
      <c r="A1984" s="5" t="s">
        <v>29606</v>
      </c>
      <c r="B1984" s="6">
        <v>393.75</v>
      </c>
      <c r="C1984" s="6">
        <v>20.531590000000001</v>
      </c>
      <c r="D1984" s="6">
        <v>65</v>
      </c>
      <c r="E1984" s="6">
        <v>0</v>
      </c>
      <c r="F1984" s="6">
        <v>0</v>
      </c>
      <c r="G1984" s="6">
        <v>28</v>
      </c>
      <c r="H1984" s="6" t="s">
        <v>29607</v>
      </c>
      <c r="I1984" s="6">
        <v>526.6875</v>
      </c>
      <c r="J1984" s="2">
        <f t="shared" si="30"/>
        <v>43748.582365127317</v>
      </c>
    </row>
    <row r="1985" spans="1:10" x14ac:dyDescent="0.25">
      <c r="A1985" s="7" t="s">
        <v>29608</v>
      </c>
      <c r="B1985" s="8">
        <v>393.75</v>
      </c>
      <c r="C1985" s="8">
        <v>20.531590000000001</v>
      </c>
      <c r="D1985" s="8">
        <v>65</v>
      </c>
      <c r="E1985" s="8">
        <v>0</v>
      </c>
      <c r="F1985" s="8">
        <v>0</v>
      </c>
      <c r="G1985" s="8">
        <v>24</v>
      </c>
      <c r="H1985" s="8" t="s">
        <v>29607</v>
      </c>
      <c r="I1985" s="8">
        <v>526.6875</v>
      </c>
      <c r="J1985" s="3">
        <f t="shared" si="30"/>
        <v>43748.582365127317</v>
      </c>
    </row>
    <row r="1986" spans="1:10" x14ac:dyDescent="0.25">
      <c r="A1986" s="5" t="s">
        <v>29609</v>
      </c>
      <c r="B1986" s="6">
        <v>393.75</v>
      </c>
      <c r="C1986" s="6">
        <v>20.531590000000001</v>
      </c>
      <c r="D1986" s="6">
        <v>65</v>
      </c>
      <c r="E1986" s="6">
        <v>0</v>
      </c>
      <c r="F1986" s="6">
        <v>0</v>
      </c>
      <c r="G1986" s="6">
        <v>24</v>
      </c>
      <c r="H1986" s="6" t="s">
        <v>29610</v>
      </c>
      <c r="I1986" s="6">
        <v>526.6875</v>
      </c>
      <c r="J1986" s="2">
        <f t="shared" ref="J1986:J2049" si="31">(H1986/86400000)+25569+(7/24)</f>
        <v>43748.582592152779</v>
      </c>
    </row>
    <row r="1987" spans="1:10" x14ac:dyDescent="0.25">
      <c r="A1987" s="7" t="s">
        <v>29611</v>
      </c>
      <c r="B1987" s="8">
        <v>412.5</v>
      </c>
      <c r="C1987" s="8">
        <v>20.531590000000001</v>
      </c>
      <c r="D1987" s="8">
        <v>65</v>
      </c>
      <c r="E1987" s="8">
        <v>0</v>
      </c>
      <c r="F1987" s="8">
        <v>0</v>
      </c>
      <c r="G1987" s="8">
        <v>28</v>
      </c>
      <c r="H1987" s="8" t="s">
        <v>29612</v>
      </c>
      <c r="I1987" s="8">
        <v>532.875</v>
      </c>
      <c r="J1987" s="3">
        <f t="shared" si="31"/>
        <v>43748.582675740741</v>
      </c>
    </row>
    <row r="1988" spans="1:10" x14ac:dyDescent="0.25">
      <c r="A1988" s="5" t="s">
        <v>29613</v>
      </c>
      <c r="B1988" s="6">
        <v>393.75</v>
      </c>
      <c r="C1988" s="6">
        <v>20.584240000000001</v>
      </c>
      <c r="D1988" s="6">
        <v>65</v>
      </c>
      <c r="E1988" s="6">
        <v>0</v>
      </c>
      <c r="F1988" s="6">
        <v>0</v>
      </c>
      <c r="G1988" s="6">
        <v>31</v>
      </c>
      <c r="H1988" s="6" t="s">
        <v>29614</v>
      </c>
      <c r="I1988" s="6">
        <v>526.5</v>
      </c>
      <c r="J1988" s="2">
        <f t="shared" si="31"/>
        <v>43748.582747175918</v>
      </c>
    </row>
    <row r="1989" spans="1:10" x14ac:dyDescent="0.25">
      <c r="A1989" s="7" t="s">
        <v>29615</v>
      </c>
      <c r="B1989" s="8">
        <v>393.75</v>
      </c>
      <c r="C1989" s="8">
        <v>20.584240000000001</v>
      </c>
      <c r="D1989" s="8">
        <v>66</v>
      </c>
      <c r="E1989" s="8">
        <v>0</v>
      </c>
      <c r="F1989" s="8">
        <v>0</v>
      </c>
      <c r="G1989" s="8">
        <v>23</v>
      </c>
      <c r="H1989" s="8" t="s">
        <v>29616</v>
      </c>
      <c r="I1989" s="8">
        <v>526.6875</v>
      </c>
      <c r="J1989" s="3">
        <f t="shared" si="31"/>
        <v>43748.582830509258</v>
      </c>
    </row>
    <row r="1990" spans="1:10" x14ac:dyDescent="0.25">
      <c r="A1990" s="5" t="s">
        <v>29617</v>
      </c>
      <c r="B1990" s="6">
        <v>393.75</v>
      </c>
      <c r="C1990" s="6">
        <v>20.531590000000001</v>
      </c>
      <c r="D1990" s="6">
        <v>66</v>
      </c>
      <c r="E1990" s="6">
        <v>0</v>
      </c>
      <c r="F1990" s="6">
        <v>0</v>
      </c>
      <c r="G1990" s="6">
        <v>32</v>
      </c>
      <c r="H1990" s="6" t="s">
        <v>29618</v>
      </c>
      <c r="I1990" s="6">
        <v>526.6875</v>
      </c>
      <c r="J1990" s="2">
        <f t="shared" si="31"/>
        <v>43748.58290212963</v>
      </c>
    </row>
    <row r="1991" spans="1:10" x14ac:dyDescent="0.25">
      <c r="A1991" s="7" t="s">
        <v>29619</v>
      </c>
      <c r="B1991" s="8">
        <v>393.75</v>
      </c>
      <c r="C1991" s="8">
        <v>20.478950000000001</v>
      </c>
      <c r="D1991" s="8">
        <v>67</v>
      </c>
      <c r="E1991" s="8">
        <v>0</v>
      </c>
      <c r="F1991" s="8">
        <v>0</v>
      </c>
      <c r="G1991" s="8">
        <v>32</v>
      </c>
      <c r="H1991" s="8" t="s">
        <v>29620</v>
      </c>
      <c r="I1991" s="8">
        <v>526.6875</v>
      </c>
      <c r="J1991" s="3">
        <f t="shared" si="31"/>
        <v>43748.582997847225</v>
      </c>
    </row>
    <row r="1992" spans="1:10" x14ac:dyDescent="0.25">
      <c r="A1992" s="5" t="s">
        <v>29621</v>
      </c>
      <c r="B1992" s="6">
        <v>393.75</v>
      </c>
      <c r="C1992" s="6">
        <v>20.531590000000001</v>
      </c>
      <c r="D1992" s="6">
        <v>67</v>
      </c>
      <c r="E1992" s="6">
        <v>0</v>
      </c>
      <c r="F1992" s="6">
        <v>0</v>
      </c>
      <c r="G1992" s="6">
        <v>28</v>
      </c>
      <c r="H1992" s="6" t="s">
        <v>29622</v>
      </c>
      <c r="I1992" s="6">
        <v>526.6875</v>
      </c>
      <c r="J1992" s="2">
        <f t="shared" si="31"/>
        <v>43748.583069259257</v>
      </c>
    </row>
    <row r="1993" spans="1:10" x14ac:dyDescent="0.25">
      <c r="A1993" s="7" t="s">
        <v>29623</v>
      </c>
      <c r="B1993" s="8">
        <v>393.75</v>
      </c>
      <c r="C1993" s="8">
        <v>20.478950000000001</v>
      </c>
      <c r="D1993" s="8">
        <v>68</v>
      </c>
      <c r="E1993" s="8">
        <v>0</v>
      </c>
      <c r="F1993" s="8">
        <v>0</v>
      </c>
      <c r="G1993" s="8">
        <v>22</v>
      </c>
      <c r="H1993" s="8" t="s">
        <v>29624</v>
      </c>
      <c r="I1993" s="8">
        <v>526.6875</v>
      </c>
      <c r="J1993" s="3">
        <f t="shared" si="31"/>
        <v>43748.583165601849</v>
      </c>
    </row>
    <row r="1994" spans="1:10" x14ac:dyDescent="0.25">
      <c r="A1994" s="5" t="s">
        <v>29625</v>
      </c>
      <c r="B1994" s="6">
        <v>393.75</v>
      </c>
      <c r="C1994" s="6">
        <v>20.478950000000001</v>
      </c>
      <c r="D1994" s="6">
        <v>68</v>
      </c>
      <c r="E1994" s="6">
        <v>0</v>
      </c>
      <c r="F1994" s="6">
        <v>0</v>
      </c>
      <c r="G1994" s="6">
        <v>21</v>
      </c>
      <c r="H1994" s="6" t="s">
        <v>29626</v>
      </c>
      <c r="I1994" s="6">
        <v>526.6875</v>
      </c>
      <c r="J1994" s="2">
        <f t="shared" si="31"/>
        <v>43748.583248206014</v>
      </c>
    </row>
    <row r="1995" spans="1:10" x14ac:dyDescent="0.25">
      <c r="A1995" s="7" t="s">
        <v>29627</v>
      </c>
      <c r="B1995" s="8">
        <v>393.75</v>
      </c>
      <c r="C1995" s="8">
        <v>20.531590000000001</v>
      </c>
      <c r="D1995" s="8">
        <v>68</v>
      </c>
      <c r="E1995" s="8">
        <v>0</v>
      </c>
      <c r="F1995" s="8">
        <v>0</v>
      </c>
      <c r="G1995" s="8">
        <v>13</v>
      </c>
      <c r="H1995" s="8" t="s">
        <v>29628</v>
      </c>
      <c r="I1995" s="8">
        <v>526.6875</v>
      </c>
      <c r="J1995" s="3">
        <f t="shared" si="31"/>
        <v>43748.583331759255</v>
      </c>
    </row>
    <row r="1996" spans="1:10" x14ac:dyDescent="0.25">
      <c r="A1996" s="5" t="s">
        <v>29629</v>
      </c>
      <c r="B1996" s="6">
        <v>393.75</v>
      </c>
      <c r="C1996" s="6">
        <v>20.531590000000001</v>
      </c>
      <c r="D1996" s="6">
        <v>69</v>
      </c>
      <c r="E1996" s="6">
        <v>0</v>
      </c>
      <c r="F1996" s="6">
        <v>0</v>
      </c>
      <c r="G1996" s="6">
        <v>26</v>
      </c>
      <c r="H1996" s="6" t="s">
        <v>29630</v>
      </c>
      <c r="I1996" s="6">
        <v>526.6875</v>
      </c>
      <c r="J1996" s="2">
        <f t="shared" si="31"/>
        <v>43748.583415231478</v>
      </c>
    </row>
    <row r="1997" spans="1:10" x14ac:dyDescent="0.25">
      <c r="A1997" s="7" t="s">
        <v>29631</v>
      </c>
      <c r="B1997" s="8">
        <v>393.75</v>
      </c>
      <c r="C1997" s="8">
        <v>20.478950000000001</v>
      </c>
      <c r="D1997" s="8">
        <v>70</v>
      </c>
      <c r="E1997" s="8">
        <v>0</v>
      </c>
      <c r="F1997" s="8">
        <v>0</v>
      </c>
      <c r="G1997" s="8">
        <v>28</v>
      </c>
      <c r="H1997" s="8" t="s">
        <v>29632</v>
      </c>
      <c r="I1997" s="8">
        <v>526.6875</v>
      </c>
      <c r="J1997" s="3">
        <f t="shared" si="31"/>
        <v>43748.583498657405</v>
      </c>
    </row>
    <row r="1998" spans="1:10" x14ac:dyDescent="0.25">
      <c r="A1998" s="5" t="s">
        <v>29633</v>
      </c>
      <c r="B1998" s="6">
        <v>393.75</v>
      </c>
      <c r="C1998" s="6">
        <v>20.584240000000001</v>
      </c>
      <c r="D1998" s="6">
        <v>68</v>
      </c>
      <c r="E1998" s="6">
        <v>0</v>
      </c>
      <c r="F1998" s="6">
        <v>0</v>
      </c>
      <c r="G1998" s="6">
        <v>28</v>
      </c>
      <c r="H1998" s="6" t="s">
        <v>29634</v>
      </c>
      <c r="I1998" s="6">
        <v>526.6875</v>
      </c>
      <c r="J1998" s="2">
        <f t="shared" si="31"/>
        <v>43748.583570300929</v>
      </c>
    </row>
    <row r="1999" spans="1:10" x14ac:dyDescent="0.25">
      <c r="A1999" s="7" t="s">
        <v>29635</v>
      </c>
      <c r="B1999" s="8">
        <v>393.75</v>
      </c>
      <c r="C1999" s="8">
        <v>20.531590000000001</v>
      </c>
      <c r="D1999" s="8">
        <v>70</v>
      </c>
      <c r="E1999" s="8">
        <v>0</v>
      </c>
      <c r="F1999" s="8">
        <v>0</v>
      </c>
      <c r="G1999" s="8">
        <v>28</v>
      </c>
      <c r="H1999" s="8" t="s">
        <v>29636</v>
      </c>
      <c r="I1999" s="8">
        <v>526.6875</v>
      </c>
      <c r="J1999" s="3">
        <f t="shared" si="31"/>
        <v>43748.583653761576</v>
      </c>
    </row>
    <row r="2000" spans="1:10" x14ac:dyDescent="0.25">
      <c r="A2000" s="5" t="s">
        <v>29637</v>
      </c>
      <c r="B2000" s="6">
        <v>393.75</v>
      </c>
      <c r="C2000" s="6">
        <v>20.531590000000001</v>
      </c>
      <c r="D2000" s="6">
        <v>70</v>
      </c>
      <c r="E2000" s="6">
        <v>0</v>
      </c>
      <c r="F2000" s="6">
        <v>0</v>
      </c>
      <c r="G2000" s="6">
        <v>26</v>
      </c>
      <c r="H2000" s="6" t="s">
        <v>29638</v>
      </c>
      <c r="I2000" s="6">
        <v>526.6875</v>
      </c>
      <c r="J2000" s="2">
        <f t="shared" si="31"/>
        <v>43748.583725277778</v>
      </c>
    </row>
    <row r="2001" spans="1:10" x14ac:dyDescent="0.25">
      <c r="A2001" s="7" t="s">
        <v>29639</v>
      </c>
      <c r="B2001" s="8">
        <v>393.75</v>
      </c>
      <c r="C2001" s="8">
        <v>20.478950000000001</v>
      </c>
      <c r="D2001" s="8">
        <v>70</v>
      </c>
      <c r="E2001" s="8">
        <v>0</v>
      </c>
      <c r="F2001" s="8">
        <v>0</v>
      </c>
      <c r="G2001" s="8">
        <v>25</v>
      </c>
      <c r="H2001" s="8" t="s">
        <v>29640</v>
      </c>
      <c r="I2001" s="8">
        <v>526.6875</v>
      </c>
      <c r="J2001" s="3">
        <f t="shared" si="31"/>
        <v>43748.583811643512</v>
      </c>
    </row>
    <row r="2002" spans="1:10" x14ac:dyDescent="0.25">
      <c r="A2002" s="5" t="s">
        <v>29641</v>
      </c>
      <c r="B2002" s="6">
        <v>393.75</v>
      </c>
      <c r="C2002" s="6">
        <v>20.531590000000001</v>
      </c>
      <c r="D2002" s="6">
        <v>69</v>
      </c>
      <c r="E2002" s="6">
        <v>0</v>
      </c>
      <c r="F2002" s="6">
        <v>0</v>
      </c>
      <c r="G2002" s="6">
        <v>24</v>
      </c>
      <c r="H2002" s="6" t="s">
        <v>29642</v>
      </c>
      <c r="I2002" s="6">
        <v>526.6875</v>
      </c>
      <c r="J2002" s="2">
        <f t="shared" si="31"/>
        <v>43748.583892418981</v>
      </c>
    </row>
    <row r="2003" spans="1:10" x14ac:dyDescent="0.25">
      <c r="A2003" s="7" t="s">
        <v>29643</v>
      </c>
      <c r="B2003" s="8">
        <v>393.75</v>
      </c>
      <c r="C2003" s="8">
        <v>20.531590000000001</v>
      </c>
      <c r="D2003" s="8">
        <v>69</v>
      </c>
      <c r="E2003" s="8">
        <v>0</v>
      </c>
      <c r="F2003" s="8">
        <v>0</v>
      </c>
      <c r="G2003" s="8">
        <v>18</v>
      </c>
      <c r="H2003" s="8" t="s">
        <v>29644</v>
      </c>
      <c r="I2003" s="8">
        <v>526.5</v>
      </c>
      <c r="J2003" s="3">
        <f t="shared" si="31"/>
        <v>43748.583975856476</v>
      </c>
    </row>
    <row r="2004" spans="1:10" x14ac:dyDescent="0.25">
      <c r="A2004" s="5" t="s">
        <v>29645</v>
      </c>
      <c r="B2004" s="6">
        <v>393.75</v>
      </c>
      <c r="C2004" s="6">
        <v>20.531590000000001</v>
      </c>
      <c r="D2004" s="6">
        <v>69</v>
      </c>
      <c r="E2004" s="6">
        <v>0</v>
      </c>
      <c r="F2004" s="6">
        <v>0</v>
      </c>
      <c r="G2004" s="6">
        <v>25</v>
      </c>
      <c r="H2004" s="6" t="s">
        <v>29646</v>
      </c>
      <c r="I2004" s="6">
        <v>526.6875</v>
      </c>
      <c r="J2004" s="2">
        <f t="shared" si="31"/>
        <v>43748.584047384262</v>
      </c>
    </row>
    <row r="2005" spans="1:10" x14ac:dyDescent="0.25">
      <c r="A2005" s="7" t="s">
        <v>29647</v>
      </c>
      <c r="B2005" s="8">
        <v>412.5</v>
      </c>
      <c r="C2005" s="8">
        <v>20.478950000000001</v>
      </c>
      <c r="D2005" s="8">
        <v>70</v>
      </c>
      <c r="E2005" s="8">
        <v>0</v>
      </c>
      <c r="F2005" s="8">
        <v>0</v>
      </c>
      <c r="G2005" s="8">
        <v>28</v>
      </c>
      <c r="H2005" s="8" t="s">
        <v>29648</v>
      </c>
      <c r="I2005" s="8">
        <v>532.5</v>
      </c>
      <c r="J2005" s="3">
        <f t="shared" si="31"/>
        <v>43748.584130601848</v>
      </c>
    </row>
    <row r="2006" spans="1:10" x14ac:dyDescent="0.25">
      <c r="A2006" s="5" t="s">
        <v>29649</v>
      </c>
      <c r="B2006" s="6">
        <v>393.75</v>
      </c>
      <c r="C2006" s="6">
        <v>20.478950000000001</v>
      </c>
      <c r="D2006" s="6">
        <v>70</v>
      </c>
      <c r="E2006" s="6">
        <v>0</v>
      </c>
      <c r="F2006" s="6">
        <v>0</v>
      </c>
      <c r="G2006" s="6">
        <v>29</v>
      </c>
      <c r="H2006" s="6" t="s">
        <v>29650</v>
      </c>
      <c r="I2006" s="6">
        <v>526.6875</v>
      </c>
      <c r="J2006" s="2">
        <f t="shared" si="31"/>
        <v>43748.584202268517</v>
      </c>
    </row>
    <row r="2007" spans="1:10" x14ac:dyDescent="0.25">
      <c r="A2007" s="7" t="s">
        <v>29651</v>
      </c>
      <c r="B2007" s="8">
        <v>393.75</v>
      </c>
      <c r="C2007" s="8">
        <v>20.531590000000001</v>
      </c>
      <c r="D2007" s="8">
        <v>69</v>
      </c>
      <c r="E2007" s="8">
        <v>0</v>
      </c>
      <c r="F2007" s="8">
        <v>0</v>
      </c>
      <c r="G2007" s="8">
        <v>28</v>
      </c>
      <c r="H2007" s="8" t="s">
        <v>29652</v>
      </c>
      <c r="I2007" s="8">
        <v>526.6875</v>
      </c>
      <c r="J2007" s="3">
        <f t="shared" si="31"/>
        <v>43748.584286041667</v>
      </c>
    </row>
    <row r="2008" spans="1:10" x14ac:dyDescent="0.25">
      <c r="A2008" s="5" t="s">
        <v>29653</v>
      </c>
      <c r="B2008" s="6">
        <v>393.75</v>
      </c>
      <c r="C2008" s="6">
        <v>20.531590000000001</v>
      </c>
      <c r="D2008" s="6">
        <v>71</v>
      </c>
      <c r="E2008" s="6">
        <v>0</v>
      </c>
      <c r="F2008" s="6">
        <v>0</v>
      </c>
      <c r="G2008" s="6">
        <v>26</v>
      </c>
      <c r="H2008" s="6" t="s">
        <v>29654</v>
      </c>
      <c r="I2008" s="6">
        <v>526.6875</v>
      </c>
      <c r="J2008" s="2">
        <f t="shared" si="31"/>
        <v>43748.584369513883</v>
      </c>
    </row>
    <row r="2009" spans="1:10" x14ac:dyDescent="0.25">
      <c r="A2009" s="7" t="s">
        <v>29655</v>
      </c>
      <c r="B2009" s="8">
        <v>393.75</v>
      </c>
      <c r="C2009" s="8">
        <v>20.531590000000001</v>
      </c>
      <c r="D2009" s="8">
        <v>71</v>
      </c>
      <c r="E2009" s="8">
        <v>0</v>
      </c>
      <c r="F2009" s="8">
        <v>0</v>
      </c>
      <c r="G2009" s="8">
        <v>29</v>
      </c>
      <c r="H2009" s="8" t="s">
        <v>29656</v>
      </c>
      <c r="I2009" s="8">
        <v>526.6875</v>
      </c>
      <c r="J2009" s="3">
        <f t="shared" si="31"/>
        <v>43748.584452743053</v>
      </c>
    </row>
    <row r="2010" spans="1:10" x14ac:dyDescent="0.25">
      <c r="A2010" s="5" t="s">
        <v>29657</v>
      </c>
      <c r="B2010" s="6">
        <v>393.75</v>
      </c>
      <c r="C2010" s="6">
        <v>20.478950000000001</v>
      </c>
      <c r="D2010" s="6">
        <v>71</v>
      </c>
      <c r="E2010" s="6">
        <v>0</v>
      </c>
      <c r="F2010" s="6">
        <v>0</v>
      </c>
      <c r="G2010" s="6">
        <v>27</v>
      </c>
      <c r="H2010" s="6" t="s">
        <v>29658</v>
      </c>
      <c r="I2010" s="6">
        <v>526.6875</v>
      </c>
      <c r="J2010" s="2">
        <f t="shared" si="31"/>
        <v>43748.584524155092</v>
      </c>
    </row>
    <row r="2011" spans="1:10" x14ac:dyDescent="0.25">
      <c r="A2011" s="7" t="s">
        <v>29659</v>
      </c>
      <c r="B2011" s="8">
        <v>393.75</v>
      </c>
      <c r="C2011" s="8">
        <v>20.478950000000001</v>
      </c>
      <c r="D2011" s="8">
        <v>70</v>
      </c>
      <c r="E2011" s="8">
        <v>0</v>
      </c>
      <c r="F2011" s="8">
        <v>0</v>
      </c>
      <c r="G2011" s="8">
        <v>19</v>
      </c>
      <c r="H2011" s="8" t="s">
        <v>29660</v>
      </c>
      <c r="I2011" s="8">
        <v>526.6875</v>
      </c>
      <c r="J2011" s="3">
        <f t="shared" si="31"/>
        <v>43748.584608275465</v>
      </c>
    </row>
    <row r="2012" spans="1:10" x14ac:dyDescent="0.25">
      <c r="A2012" s="5" t="s">
        <v>29661</v>
      </c>
      <c r="B2012" s="6">
        <v>393.75</v>
      </c>
      <c r="C2012" s="6">
        <v>20.531590000000001</v>
      </c>
      <c r="D2012" s="6">
        <v>66</v>
      </c>
      <c r="E2012" s="6">
        <v>0</v>
      </c>
      <c r="F2012" s="6">
        <v>0</v>
      </c>
      <c r="G2012" s="6">
        <v>26</v>
      </c>
      <c r="H2012" s="6" t="s">
        <v>29662</v>
      </c>
      <c r="I2012" s="6">
        <v>526.6875</v>
      </c>
      <c r="J2012" s="2">
        <f t="shared" si="31"/>
        <v>43748.584691608798</v>
      </c>
    </row>
    <row r="2013" spans="1:10" x14ac:dyDescent="0.25">
      <c r="A2013" s="7" t="s">
        <v>29663</v>
      </c>
      <c r="B2013" s="8">
        <v>393.75</v>
      </c>
      <c r="C2013" s="8">
        <v>20.478950000000001</v>
      </c>
      <c r="D2013" s="8">
        <v>67</v>
      </c>
      <c r="E2013" s="8">
        <v>0</v>
      </c>
      <c r="F2013" s="8">
        <v>0</v>
      </c>
      <c r="G2013" s="8">
        <v>14</v>
      </c>
      <c r="H2013" s="8" t="s">
        <v>29664</v>
      </c>
      <c r="I2013" s="8">
        <v>526.6875</v>
      </c>
      <c r="J2013" s="3">
        <f t="shared" si="31"/>
        <v>43748.584774953699</v>
      </c>
    </row>
    <row r="2014" spans="1:10" x14ac:dyDescent="0.25">
      <c r="A2014" s="5" t="s">
        <v>29665</v>
      </c>
      <c r="B2014" s="6">
        <v>393.75</v>
      </c>
      <c r="C2014" s="6">
        <v>20.531590000000001</v>
      </c>
      <c r="D2014" s="6">
        <v>67</v>
      </c>
      <c r="E2014" s="6">
        <v>0</v>
      </c>
      <c r="F2014" s="6">
        <v>0</v>
      </c>
      <c r="G2014" s="6">
        <v>24</v>
      </c>
      <c r="H2014" s="6" t="s">
        <v>29666</v>
      </c>
      <c r="I2014" s="6">
        <v>526.6875</v>
      </c>
      <c r="J2014" s="2">
        <f t="shared" si="31"/>
        <v>43748.584858726848</v>
      </c>
    </row>
    <row r="2015" spans="1:10" x14ac:dyDescent="0.25">
      <c r="A2015" s="7" t="s">
        <v>29667</v>
      </c>
      <c r="B2015" s="8">
        <v>393.75</v>
      </c>
      <c r="C2015" s="8">
        <v>20.584240000000001</v>
      </c>
      <c r="D2015" s="8">
        <v>67</v>
      </c>
      <c r="E2015" s="8">
        <v>0</v>
      </c>
      <c r="F2015" s="8">
        <v>0</v>
      </c>
      <c r="G2015" s="8">
        <v>25</v>
      </c>
      <c r="H2015" s="8" t="s">
        <v>29668</v>
      </c>
      <c r="I2015" s="8">
        <v>526.6875</v>
      </c>
      <c r="J2015" s="3">
        <f t="shared" si="31"/>
        <v>43748.584942083333</v>
      </c>
    </row>
    <row r="2016" spans="1:10" x14ac:dyDescent="0.25">
      <c r="A2016" s="5" t="s">
        <v>29669</v>
      </c>
      <c r="B2016" s="6">
        <v>393.75</v>
      </c>
      <c r="C2016" s="6">
        <v>20.478950000000001</v>
      </c>
      <c r="D2016" s="6">
        <v>67</v>
      </c>
      <c r="E2016" s="6">
        <v>0</v>
      </c>
      <c r="F2016" s="6">
        <v>0</v>
      </c>
      <c r="G2016" s="6">
        <v>30</v>
      </c>
      <c r="H2016" s="6" t="s">
        <v>29670</v>
      </c>
      <c r="I2016" s="6">
        <v>526.6875</v>
      </c>
      <c r="J2016" s="2">
        <f t="shared" si="31"/>
        <v>43748.585013703698</v>
      </c>
    </row>
    <row r="2017" spans="1:10" x14ac:dyDescent="0.25">
      <c r="A2017" s="7" t="s">
        <v>29671</v>
      </c>
      <c r="B2017" s="8">
        <v>393.75</v>
      </c>
      <c r="C2017" s="8">
        <v>20.584240000000001</v>
      </c>
      <c r="D2017" s="8">
        <v>66</v>
      </c>
      <c r="E2017" s="8">
        <v>0</v>
      </c>
      <c r="F2017" s="8">
        <v>0</v>
      </c>
      <c r="G2017" s="8">
        <v>32</v>
      </c>
      <c r="H2017" s="8" t="s">
        <v>29672</v>
      </c>
      <c r="I2017" s="8">
        <v>526.6875</v>
      </c>
      <c r="J2017" s="3">
        <f t="shared" si="31"/>
        <v>43748.585097164345</v>
      </c>
    </row>
    <row r="2018" spans="1:10" x14ac:dyDescent="0.25">
      <c r="A2018" s="5" t="s">
        <v>29673</v>
      </c>
      <c r="B2018" s="6">
        <v>412.5</v>
      </c>
      <c r="C2018" s="6">
        <v>20.478950000000001</v>
      </c>
      <c r="D2018" s="6">
        <v>66</v>
      </c>
      <c r="E2018" s="6">
        <v>0</v>
      </c>
      <c r="F2018" s="6">
        <v>0</v>
      </c>
      <c r="G2018" s="6">
        <v>34</v>
      </c>
      <c r="H2018" s="6" t="s">
        <v>29674</v>
      </c>
      <c r="I2018" s="6">
        <v>532.3125</v>
      </c>
      <c r="J2018" s="2">
        <f t="shared" si="31"/>
        <v>43748.585180613423</v>
      </c>
    </row>
    <row r="2019" spans="1:10" x14ac:dyDescent="0.25">
      <c r="A2019" s="7" t="s">
        <v>29675</v>
      </c>
      <c r="B2019" s="8">
        <v>393.75</v>
      </c>
      <c r="C2019" s="8">
        <v>20.531590000000001</v>
      </c>
      <c r="D2019" s="8">
        <v>67</v>
      </c>
      <c r="E2019" s="8">
        <v>0</v>
      </c>
      <c r="F2019" s="8">
        <v>0</v>
      </c>
      <c r="G2019" s="8">
        <v>32</v>
      </c>
      <c r="H2019" s="8" t="s">
        <v>29676</v>
      </c>
      <c r="I2019" s="8">
        <v>526.6875</v>
      </c>
      <c r="J2019" s="3">
        <f t="shared" si="31"/>
        <v>43748.585276122678</v>
      </c>
    </row>
    <row r="2020" spans="1:10" x14ac:dyDescent="0.25">
      <c r="A2020" s="5" t="s">
        <v>29677</v>
      </c>
      <c r="B2020" s="6">
        <v>393.75</v>
      </c>
      <c r="C2020" s="6">
        <v>20.531590000000001</v>
      </c>
      <c r="D2020" s="6">
        <v>67</v>
      </c>
      <c r="E2020" s="6">
        <v>0</v>
      </c>
      <c r="F2020" s="6">
        <v>0</v>
      </c>
      <c r="G2020" s="6">
        <v>30</v>
      </c>
      <c r="H2020" s="6" t="s">
        <v>29678</v>
      </c>
      <c r="I2020" s="6">
        <v>526.6875</v>
      </c>
      <c r="J2020" s="2">
        <f t="shared" si="31"/>
        <v>43748.585359548604</v>
      </c>
    </row>
    <row r="2021" spans="1:10" x14ac:dyDescent="0.25">
      <c r="A2021" s="7" t="s">
        <v>29679</v>
      </c>
      <c r="B2021" s="8">
        <v>393.75</v>
      </c>
      <c r="C2021" s="8">
        <v>20.531590000000001</v>
      </c>
      <c r="D2021" s="8">
        <v>68</v>
      </c>
      <c r="E2021" s="8">
        <v>0</v>
      </c>
      <c r="F2021" s="8">
        <v>0</v>
      </c>
      <c r="G2021" s="8">
        <v>27</v>
      </c>
      <c r="H2021" s="8" t="s">
        <v>29680</v>
      </c>
      <c r="I2021" s="8">
        <v>526.6875</v>
      </c>
      <c r="J2021" s="3">
        <f t="shared" si="31"/>
        <v>43748.585443101845</v>
      </c>
    </row>
    <row r="2022" spans="1:10" x14ac:dyDescent="0.25">
      <c r="A2022" s="5" t="s">
        <v>29681</v>
      </c>
      <c r="B2022" s="6">
        <v>412.5</v>
      </c>
      <c r="C2022" s="6">
        <v>20.478950000000001</v>
      </c>
      <c r="D2022" s="6">
        <v>68</v>
      </c>
      <c r="E2022" s="6">
        <v>0</v>
      </c>
      <c r="F2022" s="6">
        <v>0</v>
      </c>
      <c r="G2022" s="6">
        <v>24</v>
      </c>
      <c r="H2022" s="6" t="s">
        <v>29682</v>
      </c>
      <c r="I2022" s="6">
        <v>532.5</v>
      </c>
      <c r="J2022" s="2">
        <f t="shared" si="31"/>
        <v>43748.585526550924</v>
      </c>
    </row>
    <row r="2023" spans="1:10" x14ac:dyDescent="0.25">
      <c r="A2023" s="7" t="s">
        <v>29683</v>
      </c>
      <c r="B2023" s="8">
        <v>393.75</v>
      </c>
      <c r="C2023" s="8">
        <v>20.478950000000001</v>
      </c>
      <c r="D2023" s="8">
        <v>69</v>
      </c>
      <c r="E2023" s="8">
        <v>0</v>
      </c>
      <c r="F2023" s="8">
        <v>0</v>
      </c>
      <c r="G2023" s="8">
        <v>23</v>
      </c>
      <c r="H2023" s="8" t="s">
        <v>29684</v>
      </c>
      <c r="I2023" s="8">
        <v>526.6875</v>
      </c>
      <c r="J2023" s="3">
        <f t="shared" si="31"/>
        <v>43748.585610115733</v>
      </c>
    </row>
    <row r="2024" spans="1:10" x14ac:dyDescent="0.25">
      <c r="A2024" s="5" t="s">
        <v>29685</v>
      </c>
      <c r="B2024" s="6">
        <v>393.75</v>
      </c>
      <c r="C2024" s="6">
        <v>20.531590000000001</v>
      </c>
      <c r="D2024" s="6">
        <v>68</v>
      </c>
      <c r="E2024" s="6">
        <v>0</v>
      </c>
      <c r="F2024" s="6">
        <v>0</v>
      </c>
      <c r="G2024" s="6">
        <v>31</v>
      </c>
      <c r="H2024" s="6" t="s">
        <v>29686</v>
      </c>
      <c r="I2024" s="6">
        <v>526.6875</v>
      </c>
      <c r="J2024" s="2">
        <f t="shared" si="31"/>
        <v>43748.585693449073</v>
      </c>
    </row>
    <row r="2025" spans="1:10" x14ac:dyDescent="0.25">
      <c r="A2025" s="7" t="s">
        <v>29687</v>
      </c>
      <c r="B2025" s="8">
        <v>393.75</v>
      </c>
      <c r="C2025" s="8">
        <v>20.531590000000001</v>
      </c>
      <c r="D2025" s="8">
        <v>68</v>
      </c>
      <c r="E2025" s="8">
        <v>0</v>
      </c>
      <c r="F2025" s="8">
        <v>0</v>
      </c>
      <c r="G2025" s="8">
        <v>17</v>
      </c>
      <c r="H2025" s="8" t="s">
        <v>29688</v>
      </c>
      <c r="I2025" s="8">
        <v>526.6875</v>
      </c>
      <c r="J2025" s="3">
        <f t="shared" si="31"/>
        <v>43748.585765081014</v>
      </c>
    </row>
    <row r="2026" spans="1:10" x14ac:dyDescent="0.25">
      <c r="A2026" s="5" t="s">
        <v>29689</v>
      </c>
      <c r="B2026" s="6">
        <v>393.75</v>
      </c>
      <c r="C2026" s="6">
        <v>20.478950000000001</v>
      </c>
      <c r="D2026" s="6">
        <v>69</v>
      </c>
      <c r="E2026" s="6">
        <v>0</v>
      </c>
      <c r="F2026" s="6">
        <v>0</v>
      </c>
      <c r="G2026" s="6">
        <v>28</v>
      </c>
      <c r="H2026" s="6" t="s">
        <v>29690</v>
      </c>
      <c r="I2026" s="6">
        <v>526.6875</v>
      </c>
      <c r="J2026" s="2">
        <f t="shared" si="31"/>
        <v>43748.585859652776</v>
      </c>
    </row>
    <row r="2027" spans="1:10" x14ac:dyDescent="0.25">
      <c r="A2027" s="7" t="s">
        <v>29691</v>
      </c>
      <c r="B2027" s="8">
        <v>393.75</v>
      </c>
      <c r="C2027" s="8">
        <v>20.531590000000001</v>
      </c>
      <c r="D2027" s="8">
        <v>69</v>
      </c>
      <c r="E2027" s="8">
        <v>0</v>
      </c>
      <c r="F2027" s="8">
        <v>0</v>
      </c>
      <c r="G2027" s="8">
        <v>28</v>
      </c>
      <c r="H2027" s="8" t="s">
        <v>29692</v>
      </c>
      <c r="I2027" s="8">
        <v>526.6875</v>
      </c>
      <c r="J2027" s="3">
        <f t="shared" si="31"/>
        <v>43748.585931967587</v>
      </c>
    </row>
    <row r="2028" spans="1:10" x14ac:dyDescent="0.25">
      <c r="A2028" s="5" t="s">
        <v>29693</v>
      </c>
      <c r="B2028" s="6">
        <v>393.75</v>
      </c>
      <c r="C2028" s="6">
        <v>20.478950000000001</v>
      </c>
      <c r="D2028" s="6">
        <v>69</v>
      </c>
      <c r="E2028" s="6">
        <v>0</v>
      </c>
      <c r="F2028" s="6">
        <v>0</v>
      </c>
      <c r="G2028" s="6">
        <v>23</v>
      </c>
      <c r="H2028" s="6" t="s">
        <v>29694</v>
      </c>
      <c r="I2028" s="6">
        <v>526.6875</v>
      </c>
      <c r="J2028" s="2">
        <f t="shared" si="31"/>
        <v>43748.586015752313</v>
      </c>
    </row>
    <row r="2029" spans="1:10" x14ac:dyDescent="0.25">
      <c r="A2029" s="7" t="s">
        <v>29695</v>
      </c>
      <c r="B2029" s="8">
        <v>393.75</v>
      </c>
      <c r="C2029" s="8">
        <v>20.478950000000001</v>
      </c>
      <c r="D2029" s="8">
        <v>70</v>
      </c>
      <c r="E2029" s="8">
        <v>0</v>
      </c>
      <c r="F2029" s="8">
        <v>0</v>
      </c>
      <c r="G2029" s="8">
        <v>28</v>
      </c>
      <c r="H2029" s="8" t="s">
        <v>29696</v>
      </c>
      <c r="I2029" s="8">
        <v>526.5</v>
      </c>
      <c r="J2029" s="3">
        <f t="shared" si="31"/>
        <v>43748.586099120366</v>
      </c>
    </row>
    <row r="2030" spans="1:10" x14ac:dyDescent="0.25">
      <c r="A2030" s="5" t="s">
        <v>29697</v>
      </c>
      <c r="B2030" s="6">
        <v>393.75</v>
      </c>
      <c r="C2030" s="6">
        <v>20.531590000000001</v>
      </c>
      <c r="D2030" s="6">
        <v>70</v>
      </c>
      <c r="E2030" s="6">
        <v>0</v>
      </c>
      <c r="F2030" s="6">
        <v>0</v>
      </c>
      <c r="G2030" s="6">
        <v>27</v>
      </c>
      <c r="H2030" s="6" t="s">
        <v>29698</v>
      </c>
      <c r="I2030" s="6">
        <v>526.6875</v>
      </c>
      <c r="J2030" s="2">
        <f t="shared" si="31"/>
        <v>43748.58618233796</v>
      </c>
    </row>
    <row r="2031" spans="1:10" x14ac:dyDescent="0.25">
      <c r="A2031" s="7" t="s">
        <v>29699</v>
      </c>
      <c r="B2031" s="8">
        <v>393.75</v>
      </c>
      <c r="C2031" s="8">
        <v>20.531590000000001</v>
      </c>
      <c r="D2031" s="8">
        <v>71</v>
      </c>
      <c r="E2031" s="8">
        <v>0</v>
      </c>
      <c r="F2031" s="8">
        <v>0</v>
      </c>
      <c r="G2031" s="8">
        <v>28</v>
      </c>
      <c r="H2031" s="8" t="s">
        <v>29700</v>
      </c>
      <c r="I2031" s="8">
        <v>526.6875</v>
      </c>
      <c r="J2031" s="3">
        <f t="shared" si="31"/>
        <v>43748.586254409718</v>
      </c>
    </row>
    <row r="2032" spans="1:10" x14ac:dyDescent="0.25">
      <c r="A2032" s="5" t="s">
        <v>29701</v>
      </c>
      <c r="B2032" s="6">
        <v>393.75</v>
      </c>
      <c r="C2032" s="6">
        <v>20.531590000000001</v>
      </c>
      <c r="D2032" s="6">
        <v>70</v>
      </c>
      <c r="E2032" s="6">
        <v>0</v>
      </c>
      <c r="F2032" s="6">
        <v>0</v>
      </c>
      <c r="G2032" s="6">
        <v>27</v>
      </c>
      <c r="H2032" s="6" t="s">
        <v>29702</v>
      </c>
      <c r="I2032" s="6">
        <v>526.6875</v>
      </c>
      <c r="J2032" s="2">
        <f t="shared" si="31"/>
        <v>43748.586337905093</v>
      </c>
    </row>
    <row r="2033" spans="1:10" x14ac:dyDescent="0.25">
      <c r="A2033" s="7" t="s">
        <v>29703</v>
      </c>
      <c r="B2033" s="8">
        <v>393.75</v>
      </c>
      <c r="C2033" s="8">
        <v>20.478950000000001</v>
      </c>
      <c r="D2033" s="8">
        <v>70</v>
      </c>
      <c r="E2033" s="8">
        <v>0</v>
      </c>
      <c r="F2033" s="8">
        <v>0</v>
      </c>
      <c r="G2033" s="8">
        <v>32</v>
      </c>
      <c r="H2033" s="8" t="s">
        <v>29704</v>
      </c>
      <c r="I2033" s="8">
        <v>526.6875</v>
      </c>
      <c r="J2033" s="3">
        <f t="shared" si="31"/>
        <v>43748.586440104169</v>
      </c>
    </row>
    <row r="2034" spans="1:10" x14ac:dyDescent="0.25">
      <c r="A2034" s="5" t="s">
        <v>29705</v>
      </c>
      <c r="B2034" s="6">
        <v>393.75</v>
      </c>
      <c r="C2034" s="6">
        <v>20.531590000000001</v>
      </c>
      <c r="D2034" s="6">
        <v>69</v>
      </c>
      <c r="E2034" s="6">
        <v>0</v>
      </c>
      <c r="F2034" s="6">
        <v>0</v>
      </c>
      <c r="G2034" s="6">
        <v>25</v>
      </c>
      <c r="H2034" s="6" t="s">
        <v>29706</v>
      </c>
      <c r="I2034" s="6">
        <v>526.6875</v>
      </c>
      <c r="J2034" s="2">
        <f t="shared" si="31"/>
        <v>43748.58651671296</v>
      </c>
    </row>
    <row r="2035" spans="1:10" x14ac:dyDescent="0.25">
      <c r="A2035" s="7" t="s">
        <v>29707</v>
      </c>
      <c r="B2035" s="8">
        <v>393.75</v>
      </c>
      <c r="C2035" s="8">
        <v>20.531590000000001</v>
      </c>
      <c r="D2035" s="8">
        <v>69</v>
      </c>
      <c r="E2035" s="8">
        <v>0</v>
      </c>
      <c r="F2035" s="8">
        <v>0</v>
      </c>
      <c r="G2035" s="8">
        <v>29</v>
      </c>
      <c r="H2035" s="8" t="s">
        <v>29708</v>
      </c>
      <c r="I2035" s="8">
        <v>526.6875</v>
      </c>
      <c r="J2035" s="3">
        <f t="shared" si="31"/>
        <v>43748.586611967585</v>
      </c>
    </row>
    <row r="2036" spans="1:10" x14ac:dyDescent="0.25">
      <c r="A2036" s="5" t="s">
        <v>29709</v>
      </c>
      <c r="B2036" s="6">
        <v>393.75</v>
      </c>
      <c r="C2036" s="6">
        <v>20.531590000000001</v>
      </c>
      <c r="D2036" s="6">
        <v>69</v>
      </c>
      <c r="E2036" s="6">
        <v>0</v>
      </c>
      <c r="F2036" s="6">
        <v>0</v>
      </c>
      <c r="G2036" s="6">
        <v>19</v>
      </c>
      <c r="H2036" s="6" t="s">
        <v>29710</v>
      </c>
      <c r="I2036" s="6">
        <v>526.6875</v>
      </c>
      <c r="J2036" s="2">
        <f t="shared" si="31"/>
        <v>43748.586683599533</v>
      </c>
    </row>
    <row r="2037" spans="1:10" x14ac:dyDescent="0.25">
      <c r="A2037" s="7" t="s">
        <v>29711</v>
      </c>
      <c r="B2037" s="8">
        <v>393.75</v>
      </c>
      <c r="C2037" s="8">
        <v>20.584240000000001</v>
      </c>
      <c r="D2037" s="8">
        <v>68</v>
      </c>
      <c r="E2037" s="8">
        <v>0</v>
      </c>
      <c r="F2037" s="8">
        <v>0</v>
      </c>
      <c r="G2037" s="8">
        <v>29</v>
      </c>
      <c r="H2037" s="8" t="s">
        <v>29712</v>
      </c>
      <c r="I2037" s="8">
        <v>526.6875</v>
      </c>
      <c r="J2037" s="3">
        <f t="shared" si="31"/>
        <v>43748.586767523149</v>
      </c>
    </row>
    <row r="2038" spans="1:10" x14ac:dyDescent="0.25">
      <c r="A2038" s="5" t="s">
        <v>29713</v>
      </c>
      <c r="B2038" s="6">
        <v>393.75</v>
      </c>
      <c r="C2038" s="6">
        <v>20.531590000000001</v>
      </c>
      <c r="D2038" s="6">
        <v>69</v>
      </c>
      <c r="E2038" s="6">
        <v>0</v>
      </c>
      <c r="F2038" s="6">
        <v>0</v>
      </c>
      <c r="G2038" s="6">
        <v>33</v>
      </c>
      <c r="H2038" s="6" t="s">
        <v>29714</v>
      </c>
      <c r="I2038" s="6">
        <v>526.6875</v>
      </c>
      <c r="J2038" s="2">
        <f t="shared" si="31"/>
        <v>43748.586850717591</v>
      </c>
    </row>
    <row r="2039" spans="1:10" x14ac:dyDescent="0.25">
      <c r="A2039" s="7" t="s">
        <v>29715</v>
      </c>
      <c r="B2039" s="8">
        <v>393.75</v>
      </c>
      <c r="C2039" s="8">
        <v>20.531590000000001</v>
      </c>
      <c r="D2039" s="8">
        <v>69</v>
      </c>
      <c r="E2039" s="8">
        <v>0</v>
      </c>
      <c r="F2039" s="8">
        <v>0</v>
      </c>
      <c r="G2039" s="8">
        <v>26</v>
      </c>
      <c r="H2039" s="8" t="s">
        <v>29716</v>
      </c>
      <c r="I2039" s="8">
        <v>526.6875</v>
      </c>
      <c r="J2039" s="3">
        <f t="shared" si="31"/>
        <v>43748.586934201383</v>
      </c>
    </row>
    <row r="2040" spans="1:10" x14ac:dyDescent="0.25">
      <c r="A2040" s="5" t="s">
        <v>29717</v>
      </c>
      <c r="B2040" s="6">
        <v>393.75</v>
      </c>
      <c r="C2040" s="6">
        <v>20.531590000000001</v>
      </c>
      <c r="D2040" s="6">
        <v>66</v>
      </c>
      <c r="E2040" s="6">
        <v>0</v>
      </c>
      <c r="F2040" s="6">
        <v>0</v>
      </c>
      <c r="G2040" s="6">
        <v>27</v>
      </c>
      <c r="H2040" s="6" t="s">
        <v>29718</v>
      </c>
      <c r="I2040" s="6">
        <v>526.6875</v>
      </c>
      <c r="J2040" s="2">
        <f t="shared" si="31"/>
        <v>43748.587017754624</v>
      </c>
    </row>
    <row r="2041" spans="1:10" x14ac:dyDescent="0.25">
      <c r="A2041" s="7" t="s">
        <v>29719</v>
      </c>
      <c r="B2041" s="8">
        <v>393.75</v>
      </c>
      <c r="C2041" s="8">
        <v>20.478950000000001</v>
      </c>
      <c r="D2041" s="8">
        <v>66</v>
      </c>
      <c r="E2041" s="8">
        <v>0</v>
      </c>
      <c r="F2041" s="8">
        <v>0</v>
      </c>
      <c r="G2041" s="8">
        <v>31</v>
      </c>
      <c r="H2041" s="8" t="s">
        <v>29720</v>
      </c>
      <c r="I2041" s="8">
        <v>526.6875</v>
      </c>
      <c r="J2041" s="3">
        <f t="shared" si="31"/>
        <v>43748.587100972225</v>
      </c>
    </row>
    <row r="2042" spans="1:10" x14ac:dyDescent="0.25">
      <c r="A2042" s="5" t="s">
        <v>29721</v>
      </c>
      <c r="B2042" s="6">
        <v>393.75</v>
      </c>
      <c r="C2042" s="6">
        <v>20.478950000000001</v>
      </c>
      <c r="D2042" s="6">
        <v>69</v>
      </c>
      <c r="E2042" s="6">
        <v>0</v>
      </c>
      <c r="F2042" s="6">
        <v>0</v>
      </c>
      <c r="G2042" s="6">
        <v>37</v>
      </c>
      <c r="H2042" s="6" t="s">
        <v>29722</v>
      </c>
      <c r="I2042" s="6">
        <v>526.6875</v>
      </c>
      <c r="J2042" s="2">
        <f t="shared" si="31"/>
        <v>43748.587184780095</v>
      </c>
    </row>
    <row r="2043" spans="1:10" x14ac:dyDescent="0.25">
      <c r="A2043" s="7" t="s">
        <v>29723</v>
      </c>
      <c r="B2043" s="8">
        <v>393.75</v>
      </c>
      <c r="C2043" s="8">
        <v>20.478950000000001</v>
      </c>
      <c r="D2043" s="8">
        <v>69</v>
      </c>
      <c r="E2043" s="8">
        <v>0</v>
      </c>
      <c r="F2043" s="8">
        <v>0</v>
      </c>
      <c r="G2043" s="8">
        <v>33</v>
      </c>
      <c r="H2043" s="8" t="s">
        <v>29724</v>
      </c>
      <c r="I2043" s="8">
        <v>526.6875</v>
      </c>
      <c r="J2043" s="3">
        <f t="shared" si="31"/>
        <v>43748.587268321753</v>
      </c>
    </row>
    <row r="2044" spans="1:10" x14ac:dyDescent="0.25">
      <c r="A2044" s="5" t="s">
        <v>29725</v>
      </c>
      <c r="B2044" s="6">
        <v>393.75</v>
      </c>
      <c r="C2044" s="6">
        <v>20.478950000000001</v>
      </c>
      <c r="D2044" s="6">
        <v>69</v>
      </c>
      <c r="E2044" s="6">
        <v>0</v>
      </c>
      <c r="F2044" s="6">
        <v>0</v>
      </c>
      <c r="G2044" s="6">
        <v>35</v>
      </c>
      <c r="H2044" s="6" t="s">
        <v>29726</v>
      </c>
      <c r="I2044" s="6">
        <v>526.6875</v>
      </c>
      <c r="J2044" s="2">
        <f t="shared" si="31"/>
        <v>43748.587363831015</v>
      </c>
    </row>
    <row r="2045" spans="1:10" x14ac:dyDescent="0.25">
      <c r="A2045" s="7" t="s">
        <v>29727</v>
      </c>
      <c r="B2045" s="8">
        <v>412.5</v>
      </c>
      <c r="C2045" s="8">
        <v>20.478950000000001</v>
      </c>
      <c r="D2045" s="8">
        <v>68</v>
      </c>
      <c r="E2045" s="8">
        <v>0</v>
      </c>
      <c r="F2045" s="8">
        <v>0</v>
      </c>
      <c r="G2045" s="8">
        <v>28</v>
      </c>
      <c r="H2045" s="8" t="s">
        <v>29728</v>
      </c>
      <c r="I2045" s="8">
        <v>532.6875</v>
      </c>
      <c r="J2045" s="3">
        <f t="shared" si="31"/>
        <v>43748.587447152771</v>
      </c>
    </row>
    <row r="2046" spans="1:10" x14ac:dyDescent="0.25">
      <c r="A2046" s="5" t="s">
        <v>29729</v>
      </c>
      <c r="B2046" s="6">
        <v>393.75</v>
      </c>
      <c r="C2046" s="6">
        <v>20.478950000000001</v>
      </c>
      <c r="D2046" s="6">
        <v>69</v>
      </c>
      <c r="E2046" s="6">
        <v>0</v>
      </c>
      <c r="F2046" s="6">
        <v>0</v>
      </c>
      <c r="G2046" s="6">
        <v>24</v>
      </c>
      <c r="H2046" s="6" t="s">
        <v>29730</v>
      </c>
      <c r="I2046" s="6">
        <v>526.6875</v>
      </c>
      <c r="J2046" s="2">
        <f t="shared" si="31"/>
        <v>43748.587530486104</v>
      </c>
    </row>
    <row r="2047" spans="1:10" x14ac:dyDescent="0.25">
      <c r="A2047" s="7" t="s">
        <v>29731</v>
      </c>
      <c r="B2047" s="8">
        <v>393.75</v>
      </c>
      <c r="C2047" s="8">
        <v>20.478950000000001</v>
      </c>
      <c r="D2047" s="8">
        <v>69</v>
      </c>
      <c r="E2047" s="8">
        <v>0</v>
      </c>
      <c r="F2047" s="8">
        <v>0</v>
      </c>
      <c r="G2047" s="8">
        <v>28</v>
      </c>
      <c r="H2047" s="8" t="s">
        <v>29732</v>
      </c>
      <c r="I2047" s="8">
        <v>526.6875</v>
      </c>
      <c r="J2047" s="3">
        <f t="shared" si="31"/>
        <v>43748.587602129628</v>
      </c>
    </row>
    <row r="2048" spans="1:10" x14ac:dyDescent="0.25">
      <c r="A2048" s="5" t="s">
        <v>29733</v>
      </c>
      <c r="B2048" s="6">
        <v>393.75</v>
      </c>
      <c r="C2048" s="6">
        <v>20.478950000000001</v>
      </c>
      <c r="D2048" s="6">
        <v>69</v>
      </c>
      <c r="E2048" s="6">
        <v>0</v>
      </c>
      <c r="F2048" s="6">
        <v>0</v>
      </c>
      <c r="G2048" s="6">
        <v>26</v>
      </c>
      <c r="H2048" s="6" t="s">
        <v>29734</v>
      </c>
      <c r="I2048" s="6">
        <v>526.6875</v>
      </c>
      <c r="J2048" s="2">
        <f t="shared" si="31"/>
        <v>43748.587685810184</v>
      </c>
    </row>
    <row r="2049" spans="1:10" x14ac:dyDescent="0.25">
      <c r="A2049" s="7" t="s">
        <v>29735</v>
      </c>
      <c r="B2049" s="8">
        <v>393.75</v>
      </c>
      <c r="C2049" s="8">
        <v>20.531590000000001</v>
      </c>
      <c r="D2049" s="8">
        <v>69</v>
      </c>
      <c r="E2049" s="8">
        <v>0</v>
      </c>
      <c r="F2049" s="8">
        <v>0</v>
      </c>
      <c r="G2049" s="8">
        <v>30</v>
      </c>
      <c r="H2049" s="8" t="s">
        <v>29736</v>
      </c>
      <c r="I2049" s="8">
        <v>526.6875</v>
      </c>
      <c r="J2049" s="3">
        <f t="shared" si="31"/>
        <v>43748.587769259255</v>
      </c>
    </row>
    <row r="2050" spans="1:10" x14ac:dyDescent="0.25">
      <c r="A2050" s="5" t="s">
        <v>29737</v>
      </c>
      <c r="B2050" s="6">
        <v>412.5</v>
      </c>
      <c r="C2050" s="6">
        <v>20.478950000000001</v>
      </c>
      <c r="D2050" s="6">
        <v>69</v>
      </c>
      <c r="E2050" s="6">
        <v>0</v>
      </c>
      <c r="F2050" s="6">
        <v>0</v>
      </c>
      <c r="G2050" s="6">
        <v>29</v>
      </c>
      <c r="H2050" s="6" t="s">
        <v>29738</v>
      </c>
      <c r="I2050" s="6">
        <v>532.6875</v>
      </c>
      <c r="J2050" s="2">
        <f t="shared" ref="J2050:J2113" si="32">(H2050/86400000)+25569+(7/24)</f>
        <v>43748.587852696757</v>
      </c>
    </row>
    <row r="2051" spans="1:10" x14ac:dyDescent="0.25">
      <c r="A2051" s="7" t="s">
        <v>29739</v>
      </c>
      <c r="B2051" s="8">
        <v>393.75</v>
      </c>
      <c r="C2051" s="8">
        <v>20.478950000000001</v>
      </c>
      <c r="D2051" s="8">
        <v>69</v>
      </c>
      <c r="E2051" s="8">
        <v>0</v>
      </c>
      <c r="F2051" s="8">
        <v>0</v>
      </c>
      <c r="G2051" s="8">
        <v>20</v>
      </c>
      <c r="H2051" s="8" t="s">
        <v>29740</v>
      </c>
      <c r="I2051" s="8">
        <v>526.6875</v>
      </c>
      <c r="J2051" s="3">
        <f t="shared" si="32"/>
        <v>43748.587936284719</v>
      </c>
    </row>
    <row r="2052" spans="1:10" x14ac:dyDescent="0.25">
      <c r="A2052" s="5" t="s">
        <v>29741</v>
      </c>
      <c r="B2052" s="6">
        <v>393.75</v>
      </c>
      <c r="C2052" s="6">
        <v>20.478950000000001</v>
      </c>
      <c r="D2052" s="6">
        <v>69</v>
      </c>
      <c r="E2052" s="6">
        <v>0</v>
      </c>
      <c r="F2052" s="6">
        <v>0</v>
      </c>
      <c r="G2052" s="6">
        <v>30</v>
      </c>
      <c r="H2052" s="6" t="s">
        <v>29742</v>
      </c>
      <c r="I2052" s="6">
        <v>526.6875</v>
      </c>
      <c r="J2052" s="2">
        <f t="shared" si="32"/>
        <v>43748.588033483793</v>
      </c>
    </row>
    <row r="2053" spans="1:10" x14ac:dyDescent="0.25">
      <c r="A2053" s="7" t="s">
        <v>29743</v>
      </c>
      <c r="B2053" s="8">
        <v>393.75</v>
      </c>
      <c r="C2053" s="8">
        <v>20.478950000000001</v>
      </c>
      <c r="D2053" s="8">
        <v>69</v>
      </c>
      <c r="E2053" s="8">
        <v>0</v>
      </c>
      <c r="F2053" s="8">
        <v>0</v>
      </c>
      <c r="G2053" s="8">
        <v>29</v>
      </c>
      <c r="H2053" s="8" t="s">
        <v>29744</v>
      </c>
      <c r="I2053" s="8">
        <v>526.6875</v>
      </c>
      <c r="J2053" s="3">
        <f t="shared" si="32"/>
        <v>43748.588115185186</v>
      </c>
    </row>
    <row r="2054" spans="1:10" x14ac:dyDescent="0.25">
      <c r="A2054" s="5" t="s">
        <v>29745</v>
      </c>
      <c r="B2054" s="6">
        <v>393.75</v>
      </c>
      <c r="C2054" s="6">
        <v>20.478950000000001</v>
      </c>
      <c r="D2054" s="6">
        <v>69</v>
      </c>
      <c r="E2054" s="6">
        <v>0</v>
      </c>
      <c r="F2054" s="6">
        <v>0</v>
      </c>
      <c r="G2054" s="6">
        <v>29</v>
      </c>
      <c r="H2054" s="6" t="s">
        <v>29746</v>
      </c>
      <c r="I2054" s="6">
        <v>526.6875</v>
      </c>
      <c r="J2054" s="2">
        <f t="shared" si="32"/>
        <v>43748.588198854166</v>
      </c>
    </row>
    <row r="2055" spans="1:10" x14ac:dyDescent="0.25">
      <c r="A2055" s="7" t="s">
        <v>29747</v>
      </c>
      <c r="B2055" s="8">
        <v>393.75</v>
      </c>
      <c r="C2055" s="8">
        <v>20.531590000000001</v>
      </c>
      <c r="D2055" s="8">
        <v>69</v>
      </c>
      <c r="E2055" s="8">
        <v>0</v>
      </c>
      <c r="F2055" s="8">
        <v>0</v>
      </c>
      <c r="G2055" s="8">
        <v>34</v>
      </c>
      <c r="H2055" s="8" t="s">
        <v>29748</v>
      </c>
      <c r="I2055" s="8">
        <v>526.6875</v>
      </c>
      <c r="J2055" s="3">
        <f t="shared" si="32"/>
        <v>43748.588270277774</v>
      </c>
    </row>
    <row r="2056" spans="1:10" x14ac:dyDescent="0.25">
      <c r="A2056" s="5" t="s">
        <v>29749</v>
      </c>
      <c r="B2056" s="6">
        <v>393.75</v>
      </c>
      <c r="C2056" s="6">
        <v>20.531590000000001</v>
      </c>
      <c r="D2056" s="6">
        <v>70</v>
      </c>
      <c r="E2056" s="6">
        <v>0</v>
      </c>
      <c r="F2056" s="6">
        <v>0</v>
      </c>
      <c r="G2056" s="6">
        <v>34</v>
      </c>
      <c r="H2056" s="6" t="s">
        <v>29750</v>
      </c>
      <c r="I2056" s="6">
        <v>526.6875</v>
      </c>
      <c r="J2056" s="2">
        <f t="shared" si="32"/>
        <v>43748.588341620365</v>
      </c>
    </row>
    <row r="2057" spans="1:10" x14ac:dyDescent="0.25">
      <c r="A2057" s="7" t="s">
        <v>29751</v>
      </c>
      <c r="B2057" s="8">
        <v>393.75</v>
      </c>
      <c r="C2057" s="8">
        <v>20.478950000000001</v>
      </c>
      <c r="D2057" s="8">
        <v>70</v>
      </c>
      <c r="E2057" s="8">
        <v>0</v>
      </c>
      <c r="F2057" s="8">
        <v>0</v>
      </c>
      <c r="G2057" s="8">
        <v>23</v>
      </c>
      <c r="H2057" s="8" t="s">
        <v>29752</v>
      </c>
      <c r="I2057" s="8">
        <v>526.6875</v>
      </c>
      <c r="J2057" s="3">
        <f t="shared" si="32"/>
        <v>43748.588413472222</v>
      </c>
    </row>
    <row r="2058" spans="1:10" x14ac:dyDescent="0.25">
      <c r="A2058" s="5" t="s">
        <v>29753</v>
      </c>
      <c r="B2058" s="6">
        <v>393.75</v>
      </c>
      <c r="C2058" s="6">
        <v>20.531590000000001</v>
      </c>
      <c r="D2058" s="6">
        <v>71</v>
      </c>
      <c r="E2058" s="6">
        <v>0</v>
      </c>
      <c r="F2058" s="6">
        <v>0</v>
      </c>
      <c r="G2058" s="6">
        <v>24</v>
      </c>
      <c r="H2058" s="6" t="s">
        <v>29754</v>
      </c>
      <c r="I2058" s="6">
        <v>526.6875</v>
      </c>
      <c r="J2058" s="2">
        <f t="shared" si="32"/>
        <v>43748.588497152778</v>
      </c>
    </row>
    <row r="2059" spans="1:10" x14ac:dyDescent="0.25">
      <c r="A2059" s="7" t="s">
        <v>29755</v>
      </c>
      <c r="B2059" s="8">
        <v>393.75</v>
      </c>
      <c r="C2059" s="8">
        <v>20.478950000000001</v>
      </c>
      <c r="D2059" s="8">
        <v>71</v>
      </c>
      <c r="E2059" s="8">
        <v>0</v>
      </c>
      <c r="F2059" s="8">
        <v>0</v>
      </c>
      <c r="G2059" s="8">
        <v>24</v>
      </c>
      <c r="H2059" s="8" t="s">
        <v>29756</v>
      </c>
      <c r="I2059" s="8">
        <v>526.6875</v>
      </c>
      <c r="J2059" s="3">
        <f t="shared" si="32"/>
        <v>43748.588580474534</v>
      </c>
    </row>
    <row r="2060" spans="1:10" x14ac:dyDescent="0.25">
      <c r="A2060" s="5" t="s">
        <v>29757</v>
      </c>
      <c r="B2060" s="6">
        <v>412.5</v>
      </c>
      <c r="C2060" s="6">
        <v>20.478950000000001</v>
      </c>
      <c r="D2060" s="6">
        <v>75</v>
      </c>
      <c r="E2060" s="6">
        <v>0</v>
      </c>
      <c r="F2060" s="6">
        <v>0</v>
      </c>
      <c r="G2060" s="6">
        <v>26</v>
      </c>
      <c r="H2060" s="6" t="s">
        <v>29758</v>
      </c>
      <c r="I2060" s="6">
        <v>532.125</v>
      </c>
      <c r="J2060" s="2">
        <f t="shared" si="32"/>
        <v>43748.588663807866</v>
      </c>
    </row>
    <row r="2061" spans="1:10" x14ac:dyDescent="0.25">
      <c r="A2061" s="7" t="s">
        <v>29759</v>
      </c>
      <c r="B2061" s="8">
        <v>393.75</v>
      </c>
      <c r="C2061" s="8">
        <v>20.531590000000001</v>
      </c>
      <c r="D2061" s="8">
        <v>74</v>
      </c>
      <c r="E2061" s="8">
        <v>0</v>
      </c>
      <c r="F2061" s="8">
        <v>0</v>
      </c>
      <c r="G2061" s="8">
        <v>22</v>
      </c>
      <c r="H2061" s="8" t="s">
        <v>29760</v>
      </c>
      <c r="I2061" s="8">
        <v>526.6875</v>
      </c>
      <c r="J2061" s="3">
        <f t="shared" si="32"/>
        <v>43748.588747499998</v>
      </c>
    </row>
    <row r="2062" spans="1:10" x14ac:dyDescent="0.25">
      <c r="A2062" s="5" t="s">
        <v>29761</v>
      </c>
      <c r="B2062" s="6">
        <v>393.75</v>
      </c>
      <c r="C2062" s="6">
        <v>20.478950000000001</v>
      </c>
      <c r="D2062" s="6">
        <v>75</v>
      </c>
      <c r="E2062" s="6">
        <v>0</v>
      </c>
      <c r="F2062" s="6">
        <v>0</v>
      </c>
      <c r="G2062" s="6">
        <v>19</v>
      </c>
      <c r="H2062" s="6" t="s">
        <v>29762</v>
      </c>
      <c r="I2062" s="6">
        <v>526.6875</v>
      </c>
      <c r="J2062" s="2">
        <f t="shared" si="32"/>
        <v>43748.588830601853</v>
      </c>
    </row>
    <row r="2063" spans="1:10" x14ac:dyDescent="0.25">
      <c r="A2063" s="7" t="s">
        <v>29763</v>
      </c>
      <c r="B2063" s="8">
        <v>393.75</v>
      </c>
      <c r="C2063" s="8">
        <v>20.478950000000001</v>
      </c>
      <c r="D2063" s="8">
        <v>69</v>
      </c>
      <c r="E2063" s="8">
        <v>0</v>
      </c>
      <c r="F2063" s="8">
        <v>0</v>
      </c>
      <c r="G2063" s="8">
        <v>22</v>
      </c>
      <c r="H2063" s="8" t="s">
        <v>29764</v>
      </c>
      <c r="I2063" s="8">
        <v>526.6875</v>
      </c>
      <c r="J2063" s="3">
        <f t="shared" si="32"/>
        <v>43748.588902627314</v>
      </c>
    </row>
    <row r="2064" spans="1:10" x14ac:dyDescent="0.25">
      <c r="A2064" s="5" t="s">
        <v>29765</v>
      </c>
      <c r="B2064" s="6">
        <v>393.75</v>
      </c>
      <c r="C2064" s="6">
        <v>20.478950000000001</v>
      </c>
      <c r="D2064" s="6">
        <v>69</v>
      </c>
      <c r="E2064" s="6">
        <v>0</v>
      </c>
      <c r="F2064" s="6">
        <v>0</v>
      </c>
      <c r="G2064" s="6">
        <v>23</v>
      </c>
      <c r="H2064" s="6" t="s">
        <v>29766</v>
      </c>
      <c r="I2064" s="6">
        <v>526.6875</v>
      </c>
      <c r="J2064" s="2">
        <f t="shared" si="32"/>
        <v>43748.588986041665</v>
      </c>
    </row>
    <row r="2065" spans="1:10" x14ac:dyDescent="0.25">
      <c r="A2065" s="7" t="s">
        <v>29767</v>
      </c>
      <c r="B2065" s="8">
        <v>393.75</v>
      </c>
      <c r="C2065" s="8">
        <v>20.531590000000001</v>
      </c>
      <c r="D2065" s="8">
        <v>69</v>
      </c>
      <c r="E2065" s="8">
        <v>0</v>
      </c>
      <c r="F2065" s="8">
        <v>0</v>
      </c>
      <c r="G2065" s="8">
        <v>24</v>
      </c>
      <c r="H2065" s="8" t="s">
        <v>29768</v>
      </c>
      <c r="I2065" s="8">
        <v>526.6875</v>
      </c>
      <c r="J2065" s="3">
        <f t="shared" si="32"/>
        <v>43748.589069606482</v>
      </c>
    </row>
    <row r="2066" spans="1:10" x14ac:dyDescent="0.25">
      <c r="A2066" s="5" t="s">
        <v>29769</v>
      </c>
      <c r="B2066" s="6">
        <v>393.75</v>
      </c>
      <c r="C2066" s="6">
        <v>20.531590000000001</v>
      </c>
      <c r="D2066" s="6">
        <v>70</v>
      </c>
      <c r="E2066" s="6">
        <v>0</v>
      </c>
      <c r="F2066" s="6">
        <v>0</v>
      </c>
      <c r="G2066" s="6">
        <v>22</v>
      </c>
      <c r="H2066" s="6" t="s">
        <v>29770</v>
      </c>
      <c r="I2066" s="6">
        <v>526.6875</v>
      </c>
      <c r="J2066" s="2">
        <f t="shared" si="32"/>
        <v>43748.589152789347</v>
      </c>
    </row>
    <row r="2067" spans="1:10" x14ac:dyDescent="0.25">
      <c r="A2067" s="7" t="s">
        <v>29771</v>
      </c>
      <c r="B2067" s="8">
        <v>393.75</v>
      </c>
      <c r="C2067" s="8">
        <v>20.478950000000001</v>
      </c>
      <c r="D2067" s="8">
        <v>70</v>
      </c>
      <c r="E2067" s="8">
        <v>0</v>
      </c>
      <c r="F2067" s="8">
        <v>0</v>
      </c>
      <c r="G2067" s="8">
        <v>20</v>
      </c>
      <c r="H2067" s="8" t="s">
        <v>29772</v>
      </c>
      <c r="I2067" s="8">
        <v>526.6875</v>
      </c>
      <c r="J2067" s="3">
        <f t="shared" si="32"/>
        <v>43748.589224004631</v>
      </c>
    </row>
    <row r="2068" spans="1:10" x14ac:dyDescent="0.25">
      <c r="A2068" s="5" t="s">
        <v>29773</v>
      </c>
      <c r="B2068" s="6">
        <v>393.75</v>
      </c>
      <c r="C2068" s="6">
        <v>20.478950000000001</v>
      </c>
      <c r="D2068" s="6">
        <v>73</v>
      </c>
      <c r="E2068" s="6">
        <v>0</v>
      </c>
      <c r="F2068" s="6">
        <v>0</v>
      </c>
      <c r="G2068" s="6">
        <v>20</v>
      </c>
      <c r="H2068" s="6" t="s">
        <v>29774</v>
      </c>
      <c r="I2068" s="6">
        <v>526.6875</v>
      </c>
      <c r="J2068" s="2">
        <f t="shared" si="32"/>
        <v>43748.589296215279</v>
      </c>
    </row>
    <row r="2069" spans="1:10" x14ac:dyDescent="0.25">
      <c r="A2069" s="7" t="s">
        <v>29775</v>
      </c>
      <c r="B2069" s="8">
        <v>393.75</v>
      </c>
      <c r="C2069" s="8">
        <v>20.478950000000001</v>
      </c>
      <c r="D2069" s="8">
        <v>72</v>
      </c>
      <c r="E2069" s="8">
        <v>0</v>
      </c>
      <c r="F2069" s="8">
        <v>0</v>
      </c>
      <c r="G2069" s="8">
        <v>18</v>
      </c>
      <c r="H2069" s="8" t="s">
        <v>29776</v>
      </c>
      <c r="I2069" s="8">
        <v>526.6875</v>
      </c>
      <c r="J2069" s="3">
        <f t="shared" si="32"/>
        <v>43748.58937966435</v>
      </c>
    </row>
    <row r="2070" spans="1:10" x14ac:dyDescent="0.25">
      <c r="A2070" s="5" t="s">
        <v>29777</v>
      </c>
      <c r="B2070" s="6">
        <v>393.75</v>
      </c>
      <c r="C2070" s="6">
        <v>20.478950000000001</v>
      </c>
      <c r="D2070" s="6">
        <v>71</v>
      </c>
      <c r="E2070" s="6">
        <v>0</v>
      </c>
      <c r="F2070" s="6">
        <v>0</v>
      </c>
      <c r="G2070" s="6">
        <v>22</v>
      </c>
      <c r="H2070" s="6" t="s">
        <v>29778</v>
      </c>
      <c r="I2070" s="6">
        <v>526.6875</v>
      </c>
      <c r="J2070" s="2">
        <f t="shared" si="32"/>
        <v>43748.589463240736</v>
      </c>
    </row>
    <row r="2071" spans="1:10" x14ac:dyDescent="0.25">
      <c r="A2071" s="7" t="s">
        <v>29779</v>
      </c>
      <c r="B2071" s="8">
        <v>393.75</v>
      </c>
      <c r="C2071" s="8">
        <v>20.478950000000001</v>
      </c>
      <c r="D2071" s="8">
        <v>68</v>
      </c>
      <c r="E2071" s="8">
        <v>0</v>
      </c>
      <c r="F2071" s="8">
        <v>0</v>
      </c>
      <c r="G2071" s="8">
        <v>32</v>
      </c>
      <c r="H2071" s="8" t="s">
        <v>29780</v>
      </c>
      <c r="I2071" s="8">
        <v>526.6875</v>
      </c>
      <c r="J2071" s="3">
        <f t="shared" si="32"/>
        <v>43748.589546689815</v>
      </c>
    </row>
    <row r="2072" spans="1:10" x14ac:dyDescent="0.25">
      <c r="A2072" s="5" t="s">
        <v>29781</v>
      </c>
      <c r="B2072" s="6">
        <v>393.75</v>
      </c>
      <c r="C2072" s="6">
        <v>20.478950000000001</v>
      </c>
      <c r="D2072" s="6">
        <v>68</v>
      </c>
      <c r="E2072" s="6">
        <v>0</v>
      </c>
      <c r="F2072" s="6">
        <v>0</v>
      </c>
      <c r="G2072" s="6">
        <v>17</v>
      </c>
      <c r="H2072" s="6" t="s">
        <v>29782</v>
      </c>
      <c r="I2072" s="6">
        <v>526.6875</v>
      </c>
      <c r="J2072" s="2">
        <f t="shared" si="32"/>
        <v>43748.589642291663</v>
      </c>
    </row>
    <row r="2073" spans="1:10" x14ac:dyDescent="0.25">
      <c r="A2073" s="7" t="s">
        <v>29783</v>
      </c>
      <c r="B2073" s="8">
        <v>393.75</v>
      </c>
      <c r="C2073" s="8">
        <v>20.478950000000001</v>
      </c>
      <c r="D2073" s="8">
        <v>70</v>
      </c>
      <c r="E2073" s="8">
        <v>0</v>
      </c>
      <c r="F2073" s="8">
        <v>0</v>
      </c>
      <c r="G2073" s="8">
        <v>28</v>
      </c>
      <c r="H2073" s="8" t="s">
        <v>29784</v>
      </c>
      <c r="I2073" s="8">
        <v>526.6875</v>
      </c>
      <c r="J2073" s="3">
        <f t="shared" si="32"/>
        <v>43748.589713703703</v>
      </c>
    </row>
    <row r="2074" spans="1:10" x14ac:dyDescent="0.25">
      <c r="A2074" s="5" t="s">
        <v>29785</v>
      </c>
      <c r="B2074" s="6">
        <v>393.75</v>
      </c>
      <c r="C2074" s="6">
        <v>20.531590000000001</v>
      </c>
      <c r="D2074" s="6">
        <v>70</v>
      </c>
      <c r="E2074" s="6">
        <v>0</v>
      </c>
      <c r="F2074" s="6">
        <v>0</v>
      </c>
      <c r="G2074" s="6">
        <v>13</v>
      </c>
      <c r="H2074" s="6" t="s">
        <v>29786</v>
      </c>
      <c r="I2074" s="6">
        <v>526.6875</v>
      </c>
      <c r="J2074" s="2">
        <f t="shared" si="32"/>
        <v>43748.589797152774</v>
      </c>
    </row>
    <row r="2075" spans="1:10" x14ac:dyDescent="0.25">
      <c r="A2075" s="7" t="s">
        <v>29787</v>
      </c>
      <c r="B2075" s="8">
        <v>393.75</v>
      </c>
      <c r="C2075" s="8">
        <v>20.531590000000001</v>
      </c>
      <c r="D2075" s="8">
        <v>70</v>
      </c>
      <c r="E2075" s="8">
        <v>0</v>
      </c>
      <c r="F2075" s="8">
        <v>0</v>
      </c>
      <c r="G2075" s="8">
        <v>25</v>
      </c>
      <c r="H2075" s="8" t="s">
        <v>29788</v>
      </c>
      <c r="I2075" s="8">
        <v>526.6875</v>
      </c>
      <c r="J2075" s="3">
        <f t="shared" si="32"/>
        <v>43748.589880844906</v>
      </c>
    </row>
    <row r="2076" spans="1:10" x14ac:dyDescent="0.25">
      <c r="A2076" s="5" t="s">
        <v>29789</v>
      </c>
      <c r="B2076" s="6">
        <v>393.75</v>
      </c>
      <c r="C2076" s="6">
        <v>20.478950000000001</v>
      </c>
      <c r="D2076" s="6">
        <v>69</v>
      </c>
      <c r="E2076" s="6">
        <v>0</v>
      </c>
      <c r="F2076" s="6">
        <v>0</v>
      </c>
      <c r="G2076" s="6">
        <v>20</v>
      </c>
      <c r="H2076" s="6" t="s">
        <v>29790</v>
      </c>
      <c r="I2076" s="6">
        <v>526.6875</v>
      </c>
      <c r="J2076" s="2">
        <f t="shared" si="32"/>
        <v>43748.589963819446</v>
      </c>
    </row>
    <row r="2077" spans="1:10" x14ac:dyDescent="0.25">
      <c r="A2077" s="7" t="s">
        <v>29791</v>
      </c>
      <c r="B2077" s="8">
        <v>393.75</v>
      </c>
      <c r="C2077" s="8">
        <v>20.478950000000001</v>
      </c>
      <c r="D2077" s="8">
        <v>70</v>
      </c>
      <c r="E2077" s="8">
        <v>0</v>
      </c>
      <c r="F2077" s="8">
        <v>0</v>
      </c>
      <c r="G2077" s="8">
        <v>19</v>
      </c>
      <c r="H2077" s="8" t="s">
        <v>29792</v>
      </c>
      <c r="I2077" s="8">
        <v>526.6875</v>
      </c>
      <c r="J2077" s="3">
        <f t="shared" si="32"/>
        <v>43748.590047731479</v>
      </c>
    </row>
    <row r="2078" spans="1:10" x14ac:dyDescent="0.25">
      <c r="A2078" s="5" t="s">
        <v>29793</v>
      </c>
      <c r="B2078" s="6">
        <v>393.75</v>
      </c>
      <c r="C2078" s="6">
        <v>20.584240000000001</v>
      </c>
      <c r="D2078" s="6">
        <v>70</v>
      </c>
      <c r="E2078" s="6">
        <v>0</v>
      </c>
      <c r="F2078" s="6">
        <v>0</v>
      </c>
      <c r="G2078" s="6">
        <v>15</v>
      </c>
      <c r="H2078" s="6" t="s">
        <v>29794</v>
      </c>
      <c r="I2078" s="6">
        <v>526.6875</v>
      </c>
      <c r="J2078" s="2">
        <f t="shared" si="32"/>
        <v>43748.590131296289</v>
      </c>
    </row>
    <row r="2079" spans="1:10" x14ac:dyDescent="0.25">
      <c r="A2079" s="7" t="s">
        <v>29795</v>
      </c>
      <c r="B2079" s="8">
        <v>393.75</v>
      </c>
      <c r="C2079" s="8">
        <v>20.478950000000001</v>
      </c>
      <c r="D2079" s="8">
        <v>70</v>
      </c>
      <c r="E2079" s="8">
        <v>0</v>
      </c>
      <c r="F2079" s="8">
        <v>0</v>
      </c>
      <c r="G2079" s="8">
        <v>30</v>
      </c>
      <c r="H2079" s="8" t="s">
        <v>29796</v>
      </c>
      <c r="I2079" s="8">
        <v>526.6875</v>
      </c>
      <c r="J2079" s="3">
        <f t="shared" si="32"/>
        <v>43748.59020269676</v>
      </c>
    </row>
    <row r="2080" spans="1:10" x14ac:dyDescent="0.25">
      <c r="A2080" s="5" t="s">
        <v>29797</v>
      </c>
      <c r="B2080" s="6">
        <v>393.75</v>
      </c>
      <c r="C2080" s="6">
        <v>20.478950000000001</v>
      </c>
      <c r="D2080" s="6">
        <v>69</v>
      </c>
      <c r="E2080" s="6">
        <v>0</v>
      </c>
      <c r="F2080" s="6">
        <v>0</v>
      </c>
      <c r="G2080" s="6">
        <v>22</v>
      </c>
      <c r="H2080" s="6" t="s">
        <v>29798</v>
      </c>
      <c r="I2080" s="6">
        <v>526.6875</v>
      </c>
      <c r="J2080" s="2">
        <f t="shared" si="32"/>
        <v>43748.590286018516</v>
      </c>
    </row>
    <row r="2081" spans="1:10" x14ac:dyDescent="0.25">
      <c r="A2081" s="7" t="s">
        <v>29799</v>
      </c>
      <c r="B2081" s="8">
        <v>393.75</v>
      </c>
      <c r="C2081" s="8">
        <v>20.478950000000001</v>
      </c>
      <c r="D2081" s="8">
        <v>69</v>
      </c>
      <c r="E2081" s="8">
        <v>0</v>
      </c>
      <c r="F2081" s="8">
        <v>0</v>
      </c>
      <c r="G2081" s="8">
        <v>23</v>
      </c>
      <c r="H2081" s="8" t="s">
        <v>29800</v>
      </c>
      <c r="I2081" s="8">
        <v>526.6875</v>
      </c>
      <c r="J2081" s="3">
        <f t="shared" si="32"/>
        <v>43748.590358009256</v>
      </c>
    </row>
    <row r="2082" spans="1:10" x14ac:dyDescent="0.25">
      <c r="A2082" s="5" t="s">
        <v>29801</v>
      </c>
      <c r="B2082" s="6">
        <v>393.75</v>
      </c>
      <c r="C2082" s="6">
        <v>20.531590000000001</v>
      </c>
      <c r="D2082" s="6">
        <v>70</v>
      </c>
      <c r="E2082" s="6">
        <v>0</v>
      </c>
      <c r="F2082" s="6">
        <v>0</v>
      </c>
      <c r="G2082" s="6">
        <v>24</v>
      </c>
      <c r="H2082" s="6" t="s">
        <v>29802</v>
      </c>
      <c r="I2082" s="6">
        <v>526.6875</v>
      </c>
      <c r="J2082" s="2">
        <f t="shared" si="32"/>
        <v>43748.590441284723</v>
      </c>
    </row>
    <row r="2083" spans="1:10" x14ac:dyDescent="0.25">
      <c r="A2083" s="7" t="s">
        <v>29803</v>
      </c>
      <c r="B2083" s="8">
        <v>393.75</v>
      </c>
      <c r="C2083" s="8">
        <v>20.478950000000001</v>
      </c>
      <c r="D2083" s="8">
        <v>68</v>
      </c>
      <c r="E2083" s="8">
        <v>0</v>
      </c>
      <c r="F2083" s="8">
        <v>0</v>
      </c>
      <c r="G2083" s="8">
        <v>18</v>
      </c>
      <c r="H2083" s="8" t="s">
        <v>29804</v>
      </c>
      <c r="I2083" s="8">
        <v>526.6875</v>
      </c>
      <c r="J2083" s="3">
        <f t="shared" si="32"/>
        <v>43748.590524814812</v>
      </c>
    </row>
    <row r="2084" spans="1:10" x14ac:dyDescent="0.25">
      <c r="A2084" s="5" t="s">
        <v>29805</v>
      </c>
      <c r="B2084" s="6">
        <v>393.75</v>
      </c>
      <c r="C2084" s="6">
        <v>20.531590000000001</v>
      </c>
      <c r="D2084" s="6">
        <v>72</v>
      </c>
      <c r="E2084" s="6">
        <v>0</v>
      </c>
      <c r="F2084" s="6">
        <v>0</v>
      </c>
      <c r="G2084" s="6">
        <v>21</v>
      </c>
      <c r="H2084" s="6" t="s">
        <v>29806</v>
      </c>
      <c r="I2084" s="6">
        <v>526.6875</v>
      </c>
      <c r="J2084" s="2">
        <f t="shared" si="32"/>
        <v>43748.59060826389</v>
      </c>
    </row>
    <row r="2085" spans="1:10" x14ac:dyDescent="0.25">
      <c r="A2085" s="7" t="s">
        <v>29807</v>
      </c>
      <c r="B2085" s="8">
        <v>393.75</v>
      </c>
      <c r="C2085" s="8">
        <v>20.531590000000001</v>
      </c>
      <c r="D2085" s="8">
        <v>68</v>
      </c>
      <c r="E2085" s="8">
        <v>0</v>
      </c>
      <c r="F2085" s="8">
        <v>0</v>
      </c>
      <c r="G2085" s="8">
        <v>9</v>
      </c>
      <c r="H2085" s="8" t="s">
        <v>29808</v>
      </c>
      <c r="I2085" s="8">
        <v>526.6875</v>
      </c>
      <c r="J2085" s="3">
        <f t="shared" si="32"/>
        <v>43748.590691689817</v>
      </c>
    </row>
    <row r="2086" spans="1:10" x14ac:dyDescent="0.25">
      <c r="A2086" s="5" t="s">
        <v>29809</v>
      </c>
      <c r="B2086" s="6">
        <v>390.625</v>
      </c>
      <c r="C2086" s="6">
        <v>20.478950000000001</v>
      </c>
      <c r="D2086" s="6">
        <v>68</v>
      </c>
      <c r="E2086" s="6">
        <v>0</v>
      </c>
      <c r="F2086" s="6">
        <v>0</v>
      </c>
      <c r="G2086" s="6">
        <v>22</v>
      </c>
      <c r="H2086" s="6" t="s">
        <v>29810</v>
      </c>
      <c r="I2086" s="6">
        <v>525.75</v>
      </c>
      <c r="J2086" s="2">
        <f t="shared" si="32"/>
        <v>43748.590787337962</v>
      </c>
    </row>
    <row r="2087" spans="1:10" x14ac:dyDescent="0.25">
      <c r="A2087" s="7" t="s">
        <v>29811</v>
      </c>
      <c r="B2087" s="8">
        <v>393.75</v>
      </c>
      <c r="C2087" s="8">
        <v>20.478950000000001</v>
      </c>
      <c r="D2087" s="8">
        <v>68</v>
      </c>
      <c r="E2087" s="8">
        <v>0</v>
      </c>
      <c r="F2087" s="8">
        <v>0</v>
      </c>
      <c r="G2087" s="8">
        <v>25</v>
      </c>
      <c r="H2087" s="8" t="s">
        <v>29812</v>
      </c>
      <c r="I2087" s="8">
        <v>526.6875</v>
      </c>
      <c r="J2087" s="3">
        <f t="shared" si="32"/>
        <v>43748.590870509252</v>
      </c>
    </row>
    <row r="2088" spans="1:10" x14ac:dyDescent="0.25">
      <c r="A2088" s="5" t="s">
        <v>29813</v>
      </c>
      <c r="B2088" s="6">
        <v>393.75</v>
      </c>
      <c r="C2088" s="6">
        <v>20.531590000000001</v>
      </c>
      <c r="D2088" s="6">
        <v>69</v>
      </c>
      <c r="E2088" s="6">
        <v>0</v>
      </c>
      <c r="F2088" s="6">
        <v>0</v>
      </c>
      <c r="G2088" s="6">
        <v>21</v>
      </c>
      <c r="H2088" s="6" t="s">
        <v>29814</v>
      </c>
      <c r="I2088" s="6">
        <v>526.6875</v>
      </c>
      <c r="J2088" s="2">
        <f t="shared" si="32"/>
        <v>43748.590954224535</v>
      </c>
    </row>
    <row r="2089" spans="1:10" x14ac:dyDescent="0.25">
      <c r="A2089" s="7" t="s">
        <v>29815</v>
      </c>
      <c r="B2089" s="8">
        <v>393.75</v>
      </c>
      <c r="C2089" s="8">
        <v>20.584240000000001</v>
      </c>
      <c r="D2089" s="8">
        <v>69</v>
      </c>
      <c r="E2089" s="8">
        <v>0</v>
      </c>
      <c r="F2089" s="8">
        <v>0</v>
      </c>
      <c r="G2089" s="8">
        <v>16</v>
      </c>
      <c r="H2089" s="8" t="s">
        <v>29816</v>
      </c>
      <c r="I2089" s="8">
        <v>526.6875</v>
      </c>
      <c r="J2089" s="3">
        <f t="shared" si="32"/>
        <v>43748.591037916667</v>
      </c>
    </row>
    <row r="2090" spans="1:10" x14ac:dyDescent="0.25">
      <c r="A2090" s="5" t="s">
        <v>29817</v>
      </c>
      <c r="B2090" s="6">
        <v>393.75</v>
      </c>
      <c r="C2090" s="6">
        <v>20.584240000000001</v>
      </c>
      <c r="D2090" s="6">
        <v>69</v>
      </c>
      <c r="E2090" s="6">
        <v>0</v>
      </c>
      <c r="F2090" s="6">
        <v>0</v>
      </c>
      <c r="G2090" s="6">
        <v>17</v>
      </c>
      <c r="H2090" s="6" t="s">
        <v>29818</v>
      </c>
      <c r="I2090" s="6">
        <v>526.6875</v>
      </c>
      <c r="J2090" s="2">
        <f t="shared" si="32"/>
        <v>43748.591121273144</v>
      </c>
    </row>
    <row r="2091" spans="1:10" x14ac:dyDescent="0.25">
      <c r="A2091" s="7" t="s">
        <v>29819</v>
      </c>
      <c r="B2091" s="8">
        <v>393.75</v>
      </c>
      <c r="C2091" s="8">
        <v>20.531590000000001</v>
      </c>
      <c r="D2091" s="8">
        <v>69</v>
      </c>
      <c r="E2091" s="8">
        <v>0</v>
      </c>
      <c r="F2091" s="8">
        <v>0</v>
      </c>
      <c r="G2091" s="8">
        <v>19</v>
      </c>
      <c r="H2091" s="8" t="s">
        <v>29820</v>
      </c>
      <c r="I2091" s="8">
        <v>526.6875</v>
      </c>
      <c r="J2091" s="3">
        <f t="shared" si="32"/>
        <v>43748.591204583332</v>
      </c>
    </row>
    <row r="2092" spans="1:10" x14ac:dyDescent="0.25">
      <c r="A2092" s="5" t="s">
        <v>29821</v>
      </c>
      <c r="B2092" s="6">
        <v>412.5</v>
      </c>
      <c r="C2092" s="6">
        <v>20.531590000000001</v>
      </c>
      <c r="D2092" s="6">
        <v>69</v>
      </c>
      <c r="E2092" s="6">
        <v>0</v>
      </c>
      <c r="F2092" s="6">
        <v>0</v>
      </c>
      <c r="G2092" s="6">
        <v>22</v>
      </c>
      <c r="H2092" s="6" t="s">
        <v>29822</v>
      </c>
      <c r="I2092" s="6">
        <v>532.875</v>
      </c>
      <c r="J2092" s="2">
        <f t="shared" si="32"/>
        <v>43748.59127621528</v>
      </c>
    </row>
    <row r="2093" spans="1:10" x14ac:dyDescent="0.25">
      <c r="A2093" s="7" t="s">
        <v>29823</v>
      </c>
      <c r="B2093" s="8">
        <v>393.75</v>
      </c>
      <c r="C2093" s="8">
        <v>20.531590000000001</v>
      </c>
      <c r="D2093" s="8">
        <v>70</v>
      </c>
      <c r="E2093" s="8">
        <v>0</v>
      </c>
      <c r="F2093" s="8">
        <v>0</v>
      </c>
      <c r="G2093" s="8">
        <v>23</v>
      </c>
      <c r="H2093" s="8" t="s">
        <v>29824</v>
      </c>
      <c r="I2093" s="8">
        <v>526.6875</v>
      </c>
      <c r="J2093" s="3">
        <f t="shared" si="32"/>
        <v>43748.591359791666</v>
      </c>
    </row>
    <row r="2094" spans="1:10" x14ac:dyDescent="0.25">
      <c r="A2094" s="5" t="s">
        <v>29825</v>
      </c>
      <c r="B2094" s="6">
        <v>393.75</v>
      </c>
      <c r="C2094" s="6">
        <v>20.531590000000001</v>
      </c>
      <c r="D2094" s="6">
        <v>70</v>
      </c>
      <c r="E2094" s="6">
        <v>0</v>
      </c>
      <c r="F2094" s="6">
        <v>0</v>
      </c>
      <c r="G2094" s="6">
        <v>18</v>
      </c>
      <c r="H2094" s="6" t="s">
        <v>29826</v>
      </c>
      <c r="I2094" s="6">
        <v>526.6875</v>
      </c>
      <c r="J2094" s="2">
        <f t="shared" si="32"/>
        <v>43748.591431284724</v>
      </c>
    </row>
    <row r="2095" spans="1:10" x14ac:dyDescent="0.25">
      <c r="A2095" s="7" t="s">
        <v>29827</v>
      </c>
      <c r="B2095" s="8">
        <v>393.75</v>
      </c>
      <c r="C2095" s="8">
        <v>20.531590000000001</v>
      </c>
      <c r="D2095" s="8">
        <v>71</v>
      </c>
      <c r="E2095" s="8">
        <v>0</v>
      </c>
      <c r="F2095" s="8">
        <v>0</v>
      </c>
      <c r="G2095" s="8">
        <v>20</v>
      </c>
      <c r="H2095" s="8" t="s">
        <v>29828</v>
      </c>
      <c r="I2095" s="8">
        <v>526.6875</v>
      </c>
      <c r="J2095" s="3">
        <f t="shared" si="32"/>
        <v>43748.591514872685</v>
      </c>
    </row>
    <row r="2096" spans="1:10" x14ac:dyDescent="0.25">
      <c r="A2096" s="5" t="s">
        <v>29829</v>
      </c>
      <c r="B2096" s="6">
        <v>393.75</v>
      </c>
      <c r="C2096" s="6">
        <v>20.531590000000001</v>
      </c>
      <c r="D2096" s="6">
        <v>71</v>
      </c>
      <c r="E2096" s="6">
        <v>0</v>
      </c>
      <c r="F2096" s="6">
        <v>0</v>
      </c>
      <c r="G2096" s="6">
        <v>18</v>
      </c>
      <c r="H2096" s="6" t="s">
        <v>29830</v>
      </c>
      <c r="I2096" s="6">
        <v>526.6875</v>
      </c>
      <c r="J2096" s="2">
        <f t="shared" si="32"/>
        <v>43748.591598321756</v>
      </c>
    </row>
    <row r="2097" spans="1:10" x14ac:dyDescent="0.25">
      <c r="A2097" s="7" t="s">
        <v>29831</v>
      </c>
      <c r="B2097" s="8">
        <v>393.75</v>
      </c>
      <c r="C2097" s="8">
        <v>20.478950000000001</v>
      </c>
      <c r="D2097" s="8">
        <v>70</v>
      </c>
      <c r="E2097" s="8">
        <v>0</v>
      </c>
      <c r="F2097" s="8">
        <v>0</v>
      </c>
      <c r="G2097" s="8">
        <v>19</v>
      </c>
      <c r="H2097" s="8" t="s">
        <v>29832</v>
      </c>
      <c r="I2097" s="8">
        <v>526.6875</v>
      </c>
      <c r="J2097" s="3">
        <f t="shared" si="32"/>
        <v>43748.591681886573</v>
      </c>
    </row>
    <row r="2098" spans="1:10" x14ac:dyDescent="0.25">
      <c r="A2098" s="5" t="s">
        <v>29833</v>
      </c>
      <c r="B2098" s="6">
        <v>393.75</v>
      </c>
      <c r="C2098" s="6">
        <v>20.478950000000001</v>
      </c>
      <c r="D2098" s="6">
        <v>71</v>
      </c>
      <c r="E2098" s="6">
        <v>0</v>
      </c>
      <c r="F2098" s="6">
        <v>0</v>
      </c>
      <c r="G2098" s="6">
        <v>26</v>
      </c>
      <c r="H2098" s="6" t="s">
        <v>29834</v>
      </c>
      <c r="I2098" s="6">
        <v>526.6875</v>
      </c>
      <c r="J2098" s="2">
        <f t="shared" si="32"/>
        <v>43748.591765231475</v>
      </c>
    </row>
    <row r="2099" spans="1:10" x14ac:dyDescent="0.25">
      <c r="A2099" s="7" t="s">
        <v>29835</v>
      </c>
      <c r="B2099" s="8">
        <v>393.75</v>
      </c>
      <c r="C2099" s="8">
        <v>20.478950000000001</v>
      </c>
      <c r="D2099" s="8">
        <v>71</v>
      </c>
      <c r="E2099" s="8">
        <v>0</v>
      </c>
      <c r="F2099" s="8">
        <v>0</v>
      </c>
      <c r="G2099" s="8">
        <v>24</v>
      </c>
      <c r="H2099" s="8" t="s">
        <v>29836</v>
      </c>
      <c r="I2099" s="8">
        <v>526.5</v>
      </c>
      <c r="J2099" s="3">
        <f t="shared" si="32"/>
        <v>43748.59184912037</v>
      </c>
    </row>
    <row r="2100" spans="1:10" x14ac:dyDescent="0.25">
      <c r="A2100" s="5" t="s">
        <v>29837</v>
      </c>
      <c r="B2100" s="6">
        <v>393.75</v>
      </c>
      <c r="C2100" s="6">
        <v>20.478950000000001</v>
      </c>
      <c r="D2100" s="6">
        <v>71</v>
      </c>
      <c r="E2100" s="6">
        <v>0</v>
      </c>
      <c r="F2100" s="6">
        <v>0</v>
      </c>
      <c r="G2100" s="6">
        <v>15</v>
      </c>
      <c r="H2100" s="6" t="s">
        <v>29838</v>
      </c>
      <c r="I2100" s="6">
        <v>526.5</v>
      </c>
      <c r="J2100" s="2">
        <f t="shared" si="32"/>
        <v>43748.591932361109</v>
      </c>
    </row>
    <row r="2101" spans="1:10" x14ac:dyDescent="0.25">
      <c r="A2101" s="7" t="s">
        <v>29839</v>
      </c>
      <c r="B2101" s="8">
        <v>393.75</v>
      </c>
      <c r="C2101" s="8">
        <v>20.478950000000001</v>
      </c>
      <c r="D2101" s="8">
        <v>71</v>
      </c>
      <c r="E2101" s="8">
        <v>0</v>
      </c>
      <c r="F2101" s="8">
        <v>0</v>
      </c>
      <c r="G2101" s="8">
        <v>19</v>
      </c>
      <c r="H2101" s="8" t="s">
        <v>29840</v>
      </c>
      <c r="I2101" s="8">
        <v>526.6875</v>
      </c>
      <c r="J2101" s="3">
        <f t="shared" si="32"/>
        <v>43748.592015694441</v>
      </c>
    </row>
    <row r="2102" spans="1:10" x14ac:dyDescent="0.25">
      <c r="A2102" s="5" t="s">
        <v>29841</v>
      </c>
      <c r="B2102" s="6">
        <v>393.75</v>
      </c>
      <c r="C2102" s="6">
        <v>20.584240000000001</v>
      </c>
      <c r="D2102" s="6">
        <v>73</v>
      </c>
      <c r="E2102" s="6">
        <v>0</v>
      </c>
      <c r="F2102" s="6">
        <v>0</v>
      </c>
      <c r="G2102" s="6">
        <v>20</v>
      </c>
      <c r="H2102" s="6" t="s">
        <v>29842</v>
      </c>
      <c r="I2102" s="6">
        <v>526.6875</v>
      </c>
      <c r="J2102" s="2">
        <f t="shared" si="32"/>
        <v>43748.592099236113</v>
      </c>
    </row>
    <row r="2103" spans="1:10" x14ac:dyDescent="0.25">
      <c r="A2103" s="7" t="s">
        <v>29843</v>
      </c>
      <c r="B2103" s="8">
        <v>393.75</v>
      </c>
      <c r="C2103" s="8">
        <v>20.531590000000001</v>
      </c>
      <c r="D2103" s="8">
        <v>73</v>
      </c>
      <c r="E2103" s="8">
        <v>0</v>
      </c>
      <c r="F2103" s="8">
        <v>0</v>
      </c>
      <c r="G2103" s="8">
        <v>18</v>
      </c>
      <c r="H2103" s="8" t="s">
        <v>29844</v>
      </c>
      <c r="I2103" s="8">
        <v>526.6875</v>
      </c>
      <c r="J2103" s="3">
        <f t="shared" si="32"/>
        <v>43748.592182476852</v>
      </c>
    </row>
    <row r="2104" spans="1:10" x14ac:dyDescent="0.25">
      <c r="A2104" s="5" t="s">
        <v>29845</v>
      </c>
      <c r="B2104" s="6">
        <v>393.75</v>
      </c>
      <c r="C2104" s="6">
        <v>20.478950000000001</v>
      </c>
      <c r="D2104" s="6">
        <v>73</v>
      </c>
      <c r="E2104" s="6">
        <v>0</v>
      </c>
      <c r="F2104" s="6">
        <v>0</v>
      </c>
      <c r="G2104" s="6">
        <v>20</v>
      </c>
      <c r="H2104" s="6" t="s">
        <v>29846</v>
      </c>
      <c r="I2104" s="6">
        <v>526.6875</v>
      </c>
      <c r="J2104" s="2">
        <f t="shared" si="32"/>
        <v>43748.592254189811</v>
      </c>
    </row>
    <row r="2105" spans="1:10" x14ac:dyDescent="0.25">
      <c r="A2105" s="7" t="s">
        <v>29847</v>
      </c>
      <c r="B2105" s="8">
        <v>393.75</v>
      </c>
      <c r="C2105" s="8">
        <v>20.531590000000001</v>
      </c>
      <c r="D2105" s="8">
        <v>74</v>
      </c>
      <c r="E2105" s="8">
        <v>0</v>
      </c>
      <c r="F2105" s="8">
        <v>0</v>
      </c>
      <c r="G2105" s="8">
        <v>28</v>
      </c>
      <c r="H2105" s="8" t="s">
        <v>29848</v>
      </c>
      <c r="I2105" s="8">
        <v>526.6875</v>
      </c>
      <c r="J2105" s="3">
        <f t="shared" si="32"/>
        <v>43748.592337928239</v>
      </c>
    </row>
    <row r="2106" spans="1:10" x14ac:dyDescent="0.25">
      <c r="A2106" s="5" t="s">
        <v>29849</v>
      </c>
      <c r="B2106" s="6">
        <v>393.75</v>
      </c>
      <c r="C2106" s="6">
        <v>20.478950000000001</v>
      </c>
      <c r="D2106" s="6">
        <v>75</v>
      </c>
      <c r="E2106" s="6">
        <v>0</v>
      </c>
      <c r="F2106" s="6">
        <v>0</v>
      </c>
      <c r="G2106" s="6">
        <v>29</v>
      </c>
      <c r="H2106" s="6" t="s">
        <v>29850</v>
      </c>
      <c r="I2106" s="6">
        <v>526.6875</v>
      </c>
      <c r="J2106" s="2">
        <f t="shared" si="32"/>
        <v>43748.592421365734</v>
      </c>
    </row>
    <row r="2107" spans="1:10" x14ac:dyDescent="0.25">
      <c r="A2107" s="7" t="s">
        <v>29851</v>
      </c>
      <c r="B2107" s="8">
        <v>393.75</v>
      </c>
      <c r="C2107" s="8">
        <v>20.478950000000001</v>
      </c>
      <c r="D2107" s="8">
        <v>74</v>
      </c>
      <c r="E2107" s="8">
        <v>0</v>
      </c>
      <c r="F2107" s="8">
        <v>0</v>
      </c>
      <c r="G2107" s="8">
        <v>22</v>
      </c>
      <c r="H2107" s="8" t="s">
        <v>29852</v>
      </c>
      <c r="I2107" s="8">
        <v>526.6875</v>
      </c>
      <c r="J2107" s="3">
        <f t="shared" si="32"/>
        <v>43748.592504583336</v>
      </c>
    </row>
    <row r="2108" spans="1:10" x14ac:dyDescent="0.25">
      <c r="A2108" s="5" t="s">
        <v>29853</v>
      </c>
      <c r="B2108" s="6">
        <v>393.75</v>
      </c>
      <c r="C2108" s="6">
        <v>20.478950000000001</v>
      </c>
      <c r="D2108" s="6">
        <v>74</v>
      </c>
      <c r="E2108" s="6">
        <v>0</v>
      </c>
      <c r="F2108" s="6">
        <v>0</v>
      </c>
      <c r="G2108" s="6">
        <v>28</v>
      </c>
      <c r="H2108" s="6" t="s">
        <v>29854</v>
      </c>
      <c r="I2108" s="6">
        <v>526.6875</v>
      </c>
      <c r="J2108" s="2">
        <f t="shared" si="32"/>
        <v>43748.592576296294</v>
      </c>
    </row>
    <row r="2109" spans="1:10" x14ac:dyDescent="0.25">
      <c r="A2109" s="7" t="s">
        <v>29855</v>
      </c>
      <c r="B2109" s="8">
        <v>393.75</v>
      </c>
      <c r="C2109" s="8">
        <v>20.478950000000001</v>
      </c>
      <c r="D2109" s="8">
        <v>73</v>
      </c>
      <c r="E2109" s="8">
        <v>0</v>
      </c>
      <c r="F2109" s="8">
        <v>0</v>
      </c>
      <c r="G2109" s="8">
        <v>20</v>
      </c>
      <c r="H2109" s="8" t="s">
        <v>29856</v>
      </c>
      <c r="I2109" s="8">
        <v>526.6875</v>
      </c>
      <c r="J2109" s="3">
        <f t="shared" si="32"/>
        <v>43748.592659907408</v>
      </c>
    </row>
    <row r="2110" spans="1:10" x14ac:dyDescent="0.25">
      <c r="A2110" s="5" t="s">
        <v>29857</v>
      </c>
      <c r="B2110" s="6">
        <v>412.5</v>
      </c>
      <c r="C2110" s="6">
        <v>20.531590000000001</v>
      </c>
      <c r="D2110" s="6">
        <v>78</v>
      </c>
      <c r="E2110" s="6">
        <v>0</v>
      </c>
      <c r="F2110" s="6">
        <v>0</v>
      </c>
      <c r="G2110" s="6">
        <v>32</v>
      </c>
      <c r="H2110" s="6" t="s">
        <v>29858</v>
      </c>
      <c r="I2110" s="6">
        <v>532.5</v>
      </c>
      <c r="J2110" s="2">
        <f t="shared" si="32"/>
        <v>43748.592743344903</v>
      </c>
    </row>
    <row r="2111" spans="1:10" x14ac:dyDescent="0.25">
      <c r="A2111" s="7" t="s">
        <v>29859</v>
      </c>
      <c r="B2111" s="8">
        <v>393.75</v>
      </c>
      <c r="C2111" s="8">
        <v>20.531590000000001</v>
      </c>
      <c r="D2111" s="8">
        <v>78</v>
      </c>
      <c r="E2111" s="8">
        <v>0</v>
      </c>
      <c r="F2111" s="8">
        <v>0</v>
      </c>
      <c r="G2111" s="8">
        <v>27</v>
      </c>
      <c r="H2111" s="8" t="s">
        <v>29860</v>
      </c>
      <c r="I2111" s="8">
        <v>526.6875</v>
      </c>
      <c r="J2111" s="3">
        <f t="shared" si="32"/>
        <v>43748.592826793982</v>
      </c>
    </row>
    <row r="2112" spans="1:10" x14ac:dyDescent="0.25">
      <c r="A2112" s="5" t="s">
        <v>29861</v>
      </c>
      <c r="B2112" s="6">
        <v>393.75</v>
      </c>
      <c r="C2112" s="6">
        <v>20.478950000000001</v>
      </c>
      <c r="D2112" s="6">
        <v>80</v>
      </c>
      <c r="E2112" s="6">
        <v>0</v>
      </c>
      <c r="F2112" s="6">
        <v>0</v>
      </c>
      <c r="G2112" s="6">
        <v>20</v>
      </c>
      <c r="H2112" s="6" t="s">
        <v>29862</v>
      </c>
      <c r="I2112" s="6">
        <v>526.6875</v>
      </c>
      <c r="J2112" s="2">
        <f t="shared" si="32"/>
        <v>43748.592910381944</v>
      </c>
    </row>
    <row r="2113" spans="1:10" x14ac:dyDescent="0.25">
      <c r="A2113" s="7" t="s">
        <v>29863</v>
      </c>
      <c r="B2113" s="8">
        <v>393.75</v>
      </c>
      <c r="C2113" s="8">
        <v>20.531590000000001</v>
      </c>
      <c r="D2113" s="8">
        <v>79</v>
      </c>
      <c r="E2113" s="8">
        <v>0</v>
      </c>
      <c r="F2113" s="8">
        <v>0</v>
      </c>
      <c r="G2113" s="8">
        <v>28</v>
      </c>
      <c r="H2113" s="8" t="s">
        <v>29864</v>
      </c>
      <c r="I2113" s="8">
        <v>526.6875</v>
      </c>
      <c r="J2113" s="3">
        <f t="shared" si="32"/>
        <v>43748.59299438657</v>
      </c>
    </row>
    <row r="2114" spans="1:10" x14ac:dyDescent="0.25">
      <c r="A2114" s="5" t="s">
        <v>29865</v>
      </c>
      <c r="B2114" s="6">
        <v>393.75</v>
      </c>
      <c r="C2114" s="6">
        <v>20.531590000000001</v>
      </c>
      <c r="D2114" s="6">
        <v>79</v>
      </c>
      <c r="E2114" s="6">
        <v>0</v>
      </c>
      <c r="F2114" s="6">
        <v>0</v>
      </c>
      <c r="G2114" s="6">
        <v>24</v>
      </c>
      <c r="H2114" s="6" t="s">
        <v>29866</v>
      </c>
      <c r="I2114" s="6">
        <v>526.6875</v>
      </c>
      <c r="J2114" s="2">
        <f t="shared" ref="J2114:J2177" si="33">(H2114/86400000)+25569+(7/24)</f>
        <v>43748.59306511574</v>
      </c>
    </row>
    <row r="2115" spans="1:10" x14ac:dyDescent="0.25">
      <c r="A2115" s="7" t="s">
        <v>29867</v>
      </c>
      <c r="B2115" s="8">
        <v>412.5</v>
      </c>
      <c r="C2115" s="8">
        <v>20.478950000000001</v>
      </c>
      <c r="D2115" s="8">
        <v>77</v>
      </c>
      <c r="E2115" s="8">
        <v>0</v>
      </c>
      <c r="F2115" s="8">
        <v>0</v>
      </c>
      <c r="G2115" s="8">
        <v>25</v>
      </c>
      <c r="H2115" s="8" t="s">
        <v>29868</v>
      </c>
      <c r="I2115" s="8">
        <v>532.3125</v>
      </c>
      <c r="J2115" s="3">
        <f t="shared" si="33"/>
        <v>43748.59314902778</v>
      </c>
    </row>
    <row r="2116" spans="1:10" x14ac:dyDescent="0.25">
      <c r="A2116" s="5" t="s">
        <v>29869</v>
      </c>
      <c r="B2116" s="6">
        <v>393.75</v>
      </c>
      <c r="C2116" s="6">
        <v>20.584240000000001</v>
      </c>
      <c r="D2116" s="6">
        <v>77</v>
      </c>
      <c r="E2116" s="6">
        <v>0</v>
      </c>
      <c r="F2116" s="6">
        <v>0</v>
      </c>
      <c r="G2116" s="6">
        <v>22</v>
      </c>
      <c r="H2116" s="6" t="s">
        <v>29870</v>
      </c>
      <c r="I2116" s="6">
        <v>526.6875</v>
      </c>
      <c r="J2116" s="2">
        <f t="shared" si="33"/>
        <v>43748.593232465275</v>
      </c>
    </row>
    <row r="2117" spans="1:10" x14ac:dyDescent="0.25">
      <c r="A2117" s="7" t="s">
        <v>29871</v>
      </c>
      <c r="B2117" s="8">
        <v>393.75</v>
      </c>
      <c r="C2117" s="8">
        <v>20.584240000000001</v>
      </c>
      <c r="D2117" s="8">
        <v>77</v>
      </c>
      <c r="E2117" s="8">
        <v>0</v>
      </c>
      <c r="F2117" s="8">
        <v>0</v>
      </c>
      <c r="G2117" s="8">
        <v>30</v>
      </c>
      <c r="H2117" s="8" t="s">
        <v>29872</v>
      </c>
      <c r="I2117" s="8">
        <v>526.6875</v>
      </c>
      <c r="J2117" s="3">
        <f t="shared" si="33"/>
        <v>43748.593315682869</v>
      </c>
    </row>
    <row r="2118" spans="1:10" x14ac:dyDescent="0.25">
      <c r="A2118" s="5" t="s">
        <v>29873</v>
      </c>
      <c r="B2118" s="6">
        <v>393.75</v>
      </c>
      <c r="C2118" s="6">
        <v>20.478950000000001</v>
      </c>
      <c r="D2118" s="6">
        <v>77</v>
      </c>
      <c r="E2118" s="6">
        <v>0</v>
      </c>
      <c r="F2118" s="6">
        <v>0</v>
      </c>
      <c r="G2118" s="6">
        <v>23</v>
      </c>
      <c r="H2118" s="6" t="s">
        <v>29874</v>
      </c>
      <c r="I2118" s="6">
        <v>526.6875</v>
      </c>
      <c r="J2118" s="2">
        <f t="shared" si="33"/>
        <v>43748.593387465276</v>
      </c>
    </row>
    <row r="2119" spans="1:10" x14ac:dyDescent="0.25">
      <c r="A2119" s="7" t="s">
        <v>29875</v>
      </c>
      <c r="B2119" s="8">
        <v>393.75</v>
      </c>
      <c r="C2119" s="8">
        <v>20.531590000000001</v>
      </c>
      <c r="D2119" s="8">
        <v>76</v>
      </c>
      <c r="E2119" s="8">
        <v>0</v>
      </c>
      <c r="F2119" s="8">
        <v>0</v>
      </c>
      <c r="G2119" s="8">
        <v>24</v>
      </c>
      <c r="H2119" s="8" t="s">
        <v>29876</v>
      </c>
      <c r="I2119" s="8">
        <v>526.6875</v>
      </c>
      <c r="J2119" s="3">
        <f t="shared" si="33"/>
        <v>43748.593482708333</v>
      </c>
    </row>
    <row r="2120" spans="1:10" x14ac:dyDescent="0.25">
      <c r="A2120" s="5" t="s">
        <v>29877</v>
      </c>
      <c r="B2120" s="6">
        <v>393.75</v>
      </c>
      <c r="C2120" s="6">
        <v>20.531590000000001</v>
      </c>
      <c r="D2120" s="6">
        <v>76</v>
      </c>
      <c r="E2120" s="6">
        <v>0</v>
      </c>
      <c r="F2120" s="6">
        <v>0</v>
      </c>
      <c r="G2120" s="6">
        <v>23</v>
      </c>
      <c r="H2120" s="6" t="s">
        <v>29878</v>
      </c>
      <c r="I2120" s="6">
        <v>526.6875</v>
      </c>
      <c r="J2120" s="2">
        <f t="shared" si="33"/>
        <v>43748.593554594903</v>
      </c>
    </row>
    <row r="2121" spans="1:10" x14ac:dyDescent="0.25">
      <c r="A2121" s="7" t="s">
        <v>29879</v>
      </c>
      <c r="B2121" s="8">
        <v>393.75</v>
      </c>
      <c r="C2121" s="8">
        <v>20.531590000000001</v>
      </c>
      <c r="D2121" s="8">
        <v>75</v>
      </c>
      <c r="E2121" s="8">
        <v>0</v>
      </c>
      <c r="F2121" s="8">
        <v>0</v>
      </c>
      <c r="G2121" s="8">
        <v>26</v>
      </c>
      <c r="H2121" s="8" t="s">
        <v>29880</v>
      </c>
      <c r="I2121" s="8">
        <v>526.6875</v>
      </c>
      <c r="J2121" s="3">
        <f t="shared" si="33"/>
        <v>43748.593637928243</v>
      </c>
    </row>
    <row r="2122" spans="1:10" x14ac:dyDescent="0.25">
      <c r="A2122" s="5" t="s">
        <v>29881</v>
      </c>
      <c r="B2122" s="6">
        <v>393.75</v>
      </c>
      <c r="C2122" s="6">
        <v>20.531590000000001</v>
      </c>
      <c r="D2122" s="6">
        <v>76</v>
      </c>
      <c r="E2122" s="6">
        <v>0</v>
      </c>
      <c r="F2122" s="6">
        <v>0</v>
      </c>
      <c r="G2122" s="6">
        <v>25</v>
      </c>
      <c r="H2122" s="6" t="s">
        <v>29882</v>
      </c>
      <c r="I2122" s="6">
        <v>526.6875</v>
      </c>
      <c r="J2122" s="2">
        <f t="shared" si="33"/>
        <v>43748.593709560184</v>
      </c>
    </row>
    <row r="2123" spans="1:10" x14ac:dyDescent="0.25">
      <c r="A2123" s="7" t="s">
        <v>29883</v>
      </c>
      <c r="B2123" s="8">
        <v>393.75</v>
      </c>
      <c r="C2123" s="8">
        <v>20.531590000000001</v>
      </c>
      <c r="D2123" s="8">
        <v>74</v>
      </c>
      <c r="E2123" s="8">
        <v>0</v>
      </c>
      <c r="F2123" s="8">
        <v>0</v>
      </c>
      <c r="G2123" s="8">
        <v>20</v>
      </c>
      <c r="H2123" s="8" t="s">
        <v>29884</v>
      </c>
      <c r="I2123" s="8">
        <v>526.6875</v>
      </c>
      <c r="J2123" s="3">
        <f t="shared" si="33"/>
        <v>43748.593793009255</v>
      </c>
    </row>
    <row r="2124" spans="1:10" x14ac:dyDescent="0.25">
      <c r="A2124" s="5" t="s">
        <v>29885</v>
      </c>
      <c r="B2124" s="6">
        <v>393.75</v>
      </c>
      <c r="C2124" s="6">
        <v>20.584240000000001</v>
      </c>
      <c r="D2124" s="6">
        <v>74</v>
      </c>
      <c r="E2124" s="6">
        <v>0</v>
      </c>
      <c r="F2124" s="6">
        <v>0</v>
      </c>
      <c r="G2124" s="6">
        <v>29</v>
      </c>
      <c r="H2124" s="6" t="s">
        <v>29886</v>
      </c>
      <c r="I2124" s="6">
        <v>526.6875</v>
      </c>
      <c r="J2124" s="2">
        <f t="shared" si="33"/>
        <v>43748.593876458333</v>
      </c>
    </row>
    <row r="2125" spans="1:10" x14ac:dyDescent="0.25">
      <c r="A2125" s="7" t="s">
        <v>29887</v>
      </c>
      <c r="B2125" s="8">
        <v>393.75</v>
      </c>
      <c r="C2125" s="8">
        <v>20.531590000000001</v>
      </c>
      <c r="D2125" s="8">
        <v>74</v>
      </c>
      <c r="E2125" s="8">
        <v>0</v>
      </c>
      <c r="F2125" s="8">
        <v>0</v>
      </c>
      <c r="G2125" s="8">
        <v>26</v>
      </c>
      <c r="H2125" s="8" t="s">
        <v>29888</v>
      </c>
      <c r="I2125" s="8">
        <v>526.6875</v>
      </c>
      <c r="J2125" s="3">
        <f t="shared" si="33"/>
        <v>43748.593960138889</v>
      </c>
    </row>
    <row r="2126" spans="1:10" x14ac:dyDescent="0.25">
      <c r="A2126" s="5" t="s">
        <v>29889</v>
      </c>
      <c r="B2126" s="6">
        <v>393.75</v>
      </c>
      <c r="C2126" s="6">
        <v>20.478950000000001</v>
      </c>
      <c r="D2126" s="6">
        <v>74</v>
      </c>
      <c r="E2126" s="6">
        <v>0</v>
      </c>
      <c r="F2126" s="6">
        <v>0</v>
      </c>
      <c r="G2126" s="6">
        <v>32</v>
      </c>
      <c r="H2126" s="6" t="s">
        <v>29890</v>
      </c>
      <c r="I2126" s="6">
        <v>526.6875</v>
      </c>
      <c r="J2126" s="2">
        <f t="shared" si="33"/>
        <v>43748.59404358796</v>
      </c>
    </row>
    <row r="2127" spans="1:10" x14ac:dyDescent="0.25">
      <c r="A2127" s="7" t="s">
        <v>29891</v>
      </c>
      <c r="B2127" s="8">
        <v>412.5</v>
      </c>
      <c r="C2127" s="8">
        <v>20.478950000000001</v>
      </c>
      <c r="D2127" s="8">
        <v>74</v>
      </c>
      <c r="E2127" s="8">
        <v>0</v>
      </c>
      <c r="F2127" s="8">
        <v>0</v>
      </c>
      <c r="G2127" s="8">
        <v>25</v>
      </c>
      <c r="H2127" s="8" t="s">
        <v>29892</v>
      </c>
      <c r="I2127" s="8">
        <v>532.5</v>
      </c>
      <c r="J2127" s="3">
        <f t="shared" si="33"/>
        <v>43748.594138969907</v>
      </c>
    </row>
    <row r="2128" spans="1:10" x14ac:dyDescent="0.25">
      <c r="A2128" s="5" t="s">
        <v>29893</v>
      </c>
      <c r="B2128" s="6">
        <v>393.75</v>
      </c>
      <c r="C2128" s="6">
        <v>20.531590000000001</v>
      </c>
      <c r="D2128" s="6">
        <v>73</v>
      </c>
      <c r="E2128" s="6">
        <v>0</v>
      </c>
      <c r="F2128" s="6">
        <v>0</v>
      </c>
      <c r="G2128" s="6">
        <v>25</v>
      </c>
      <c r="H2128" s="6" t="s">
        <v>29894</v>
      </c>
      <c r="I2128" s="6">
        <v>526.6875</v>
      </c>
      <c r="J2128" s="2">
        <f t="shared" si="33"/>
        <v>43748.594222534717</v>
      </c>
    </row>
    <row r="2129" spans="1:10" x14ac:dyDescent="0.25">
      <c r="A2129" s="7" t="s">
        <v>29895</v>
      </c>
      <c r="B2129" s="8">
        <v>393.75</v>
      </c>
      <c r="C2129" s="8">
        <v>20.478950000000001</v>
      </c>
      <c r="D2129" s="8">
        <v>72</v>
      </c>
      <c r="E2129" s="8">
        <v>0</v>
      </c>
      <c r="F2129" s="8">
        <v>0</v>
      </c>
      <c r="G2129" s="8">
        <v>20</v>
      </c>
      <c r="H2129" s="8" t="s">
        <v>29896</v>
      </c>
      <c r="I2129" s="8">
        <v>526.6875</v>
      </c>
      <c r="J2129" s="3">
        <f t="shared" si="33"/>
        <v>43748.59429429398</v>
      </c>
    </row>
    <row r="2130" spans="1:10" x14ac:dyDescent="0.25">
      <c r="A2130" s="5" t="s">
        <v>29897</v>
      </c>
      <c r="B2130" s="6">
        <v>393.75</v>
      </c>
      <c r="C2130" s="6">
        <v>20.531590000000001</v>
      </c>
      <c r="D2130" s="6">
        <v>72</v>
      </c>
      <c r="E2130" s="6">
        <v>0</v>
      </c>
      <c r="F2130" s="6">
        <v>0</v>
      </c>
      <c r="G2130" s="6">
        <v>28</v>
      </c>
      <c r="H2130" s="6" t="s">
        <v>29898</v>
      </c>
      <c r="I2130" s="6">
        <v>526.6875</v>
      </c>
      <c r="J2130" s="2">
        <f t="shared" si="33"/>
        <v>43748.59436570602</v>
      </c>
    </row>
    <row r="2131" spans="1:10" x14ac:dyDescent="0.25">
      <c r="A2131" s="7" t="s">
        <v>29899</v>
      </c>
      <c r="B2131" s="8">
        <v>393.75</v>
      </c>
      <c r="C2131" s="8">
        <v>20.478950000000001</v>
      </c>
      <c r="D2131" s="8">
        <v>73</v>
      </c>
      <c r="E2131" s="8">
        <v>0</v>
      </c>
      <c r="F2131" s="8">
        <v>0</v>
      </c>
      <c r="G2131" s="8">
        <v>30</v>
      </c>
      <c r="H2131" s="8" t="s">
        <v>29900</v>
      </c>
      <c r="I2131" s="8">
        <v>526.6875</v>
      </c>
      <c r="J2131" s="3">
        <f t="shared" si="33"/>
        <v>43748.594449039352</v>
      </c>
    </row>
    <row r="2132" spans="1:10" x14ac:dyDescent="0.25">
      <c r="A2132" s="5" t="s">
        <v>29901</v>
      </c>
      <c r="B2132" s="6">
        <v>393.75</v>
      </c>
      <c r="C2132" s="6">
        <v>20.478950000000001</v>
      </c>
      <c r="D2132" s="6">
        <v>72</v>
      </c>
      <c r="E2132" s="6">
        <v>0</v>
      </c>
      <c r="F2132" s="6">
        <v>0</v>
      </c>
      <c r="G2132" s="6">
        <v>29</v>
      </c>
      <c r="H2132" s="6" t="s">
        <v>29902</v>
      </c>
      <c r="I2132" s="6">
        <v>526.6875</v>
      </c>
      <c r="J2132" s="2">
        <f t="shared" si="33"/>
        <v>43748.594532708332</v>
      </c>
    </row>
    <row r="2133" spans="1:10" x14ac:dyDescent="0.25">
      <c r="A2133" s="7" t="s">
        <v>29903</v>
      </c>
      <c r="B2133" s="8">
        <v>393.75</v>
      </c>
      <c r="C2133" s="8">
        <v>20.478950000000001</v>
      </c>
      <c r="D2133" s="8">
        <v>72</v>
      </c>
      <c r="E2133" s="8">
        <v>0</v>
      </c>
      <c r="F2133" s="8">
        <v>0</v>
      </c>
      <c r="G2133" s="8">
        <v>36</v>
      </c>
      <c r="H2133" s="8" t="s">
        <v>29904</v>
      </c>
      <c r="I2133" s="8">
        <v>526.6875</v>
      </c>
      <c r="J2133" s="3">
        <f t="shared" si="33"/>
        <v>43748.594603900456</v>
      </c>
    </row>
    <row r="2134" spans="1:10" x14ac:dyDescent="0.25">
      <c r="A2134" s="5" t="s">
        <v>29905</v>
      </c>
      <c r="B2134" s="6">
        <v>393.75</v>
      </c>
      <c r="C2134" s="6">
        <v>20.531590000000001</v>
      </c>
      <c r="D2134" s="6">
        <v>72</v>
      </c>
      <c r="E2134" s="6">
        <v>0</v>
      </c>
      <c r="F2134" s="6">
        <v>0</v>
      </c>
      <c r="G2134" s="6">
        <v>25</v>
      </c>
      <c r="H2134" s="6" t="s">
        <v>29906</v>
      </c>
      <c r="I2134" s="6">
        <v>526.5</v>
      </c>
      <c r="J2134" s="2">
        <f t="shared" si="33"/>
        <v>43748.594699606481</v>
      </c>
    </row>
    <row r="2135" spans="1:10" x14ac:dyDescent="0.25">
      <c r="A2135" s="7" t="s">
        <v>29907</v>
      </c>
      <c r="B2135" s="8">
        <v>393.75</v>
      </c>
      <c r="C2135" s="8">
        <v>20.531590000000001</v>
      </c>
      <c r="D2135" s="8">
        <v>68</v>
      </c>
      <c r="E2135" s="8">
        <v>0</v>
      </c>
      <c r="F2135" s="8">
        <v>0</v>
      </c>
      <c r="G2135" s="8">
        <v>29</v>
      </c>
      <c r="H2135" s="8" t="s">
        <v>29908</v>
      </c>
      <c r="I2135" s="8">
        <v>526.6875</v>
      </c>
      <c r="J2135" s="3">
        <f t="shared" si="33"/>
        <v>43748.594783171291</v>
      </c>
    </row>
    <row r="2136" spans="1:10" x14ac:dyDescent="0.25">
      <c r="A2136" s="5" t="s">
        <v>29909</v>
      </c>
      <c r="B2136" s="6">
        <v>393.75</v>
      </c>
      <c r="C2136" s="6">
        <v>20.531590000000001</v>
      </c>
      <c r="D2136" s="6">
        <v>71</v>
      </c>
      <c r="E2136" s="6">
        <v>0</v>
      </c>
      <c r="F2136" s="6">
        <v>0</v>
      </c>
      <c r="G2136" s="6">
        <v>26</v>
      </c>
      <c r="H2136" s="6" t="s">
        <v>29910</v>
      </c>
      <c r="I2136" s="6">
        <v>526.6875</v>
      </c>
      <c r="J2136" s="2">
        <f t="shared" si="33"/>
        <v>43748.594854687493</v>
      </c>
    </row>
    <row r="2137" spans="1:10" x14ac:dyDescent="0.25">
      <c r="A2137" s="7" t="s">
        <v>29911</v>
      </c>
      <c r="B2137" s="8">
        <v>393.75</v>
      </c>
      <c r="C2137" s="8">
        <v>20.478950000000001</v>
      </c>
      <c r="D2137" s="8">
        <v>71</v>
      </c>
      <c r="E2137" s="8">
        <v>0</v>
      </c>
      <c r="F2137" s="8">
        <v>0</v>
      </c>
      <c r="G2137" s="8">
        <v>27</v>
      </c>
      <c r="H2137" s="8" t="s">
        <v>29912</v>
      </c>
      <c r="I2137" s="8">
        <v>526.6875</v>
      </c>
      <c r="J2137" s="3">
        <f t="shared" si="33"/>
        <v>43748.594937916663</v>
      </c>
    </row>
    <row r="2138" spans="1:10" x14ac:dyDescent="0.25">
      <c r="A2138" s="5" t="s">
        <v>29913</v>
      </c>
      <c r="B2138" s="6">
        <v>393.75</v>
      </c>
      <c r="C2138" s="6">
        <v>20.478950000000001</v>
      </c>
      <c r="D2138" s="6">
        <v>71</v>
      </c>
      <c r="E2138" s="6">
        <v>0</v>
      </c>
      <c r="F2138" s="6">
        <v>0</v>
      </c>
      <c r="G2138" s="6">
        <v>28</v>
      </c>
      <c r="H2138" s="6" t="s">
        <v>29914</v>
      </c>
      <c r="I2138" s="6">
        <v>526.6875</v>
      </c>
      <c r="J2138" s="2">
        <f t="shared" si="33"/>
        <v>43748.595009675926</v>
      </c>
    </row>
    <row r="2139" spans="1:10" x14ac:dyDescent="0.25">
      <c r="A2139" s="7" t="s">
        <v>29915</v>
      </c>
      <c r="B2139" s="8">
        <v>393.75</v>
      </c>
      <c r="C2139" s="8">
        <v>20.531590000000001</v>
      </c>
      <c r="D2139" s="8">
        <v>72</v>
      </c>
      <c r="E2139" s="8">
        <v>0</v>
      </c>
      <c r="F2139" s="8">
        <v>0</v>
      </c>
      <c r="G2139" s="8">
        <v>28</v>
      </c>
      <c r="H2139" s="8" t="s">
        <v>29916</v>
      </c>
      <c r="I2139" s="8">
        <v>526.6875</v>
      </c>
      <c r="J2139" s="3">
        <f t="shared" si="33"/>
        <v>43748.595093252312</v>
      </c>
    </row>
    <row r="2140" spans="1:10" x14ac:dyDescent="0.25">
      <c r="A2140" s="5" t="s">
        <v>29917</v>
      </c>
      <c r="B2140" s="6">
        <v>393.75</v>
      </c>
      <c r="C2140" s="6">
        <v>20.531590000000001</v>
      </c>
      <c r="D2140" s="6">
        <v>72</v>
      </c>
      <c r="E2140" s="6">
        <v>0</v>
      </c>
      <c r="F2140" s="6">
        <v>0</v>
      </c>
      <c r="G2140" s="6">
        <v>33</v>
      </c>
      <c r="H2140" s="6" t="s">
        <v>29918</v>
      </c>
      <c r="I2140" s="6">
        <v>526.6875</v>
      </c>
      <c r="J2140" s="2">
        <f t="shared" si="33"/>
        <v>43748.595164768521</v>
      </c>
    </row>
    <row r="2141" spans="1:10" x14ac:dyDescent="0.25">
      <c r="A2141" s="7" t="s">
        <v>29919</v>
      </c>
      <c r="B2141" s="8">
        <v>412.5</v>
      </c>
      <c r="C2141" s="8">
        <v>20.531590000000001</v>
      </c>
      <c r="D2141" s="8">
        <v>72</v>
      </c>
      <c r="E2141" s="8">
        <v>0</v>
      </c>
      <c r="F2141" s="8">
        <v>0</v>
      </c>
      <c r="G2141" s="8">
        <v>30</v>
      </c>
      <c r="H2141" s="8" t="s">
        <v>29920</v>
      </c>
      <c r="I2141" s="8">
        <v>532.3125</v>
      </c>
      <c r="J2141" s="3">
        <f t="shared" si="33"/>
        <v>43748.595236423607</v>
      </c>
    </row>
    <row r="2142" spans="1:10" x14ac:dyDescent="0.25">
      <c r="A2142" s="5" t="s">
        <v>29921</v>
      </c>
      <c r="B2142" s="6">
        <v>393.75</v>
      </c>
      <c r="C2142" s="6">
        <v>20.531590000000001</v>
      </c>
      <c r="D2142" s="6">
        <v>65</v>
      </c>
      <c r="E2142" s="6">
        <v>0</v>
      </c>
      <c r="F2142" s="6">
        <v>0</v>
      </c>
      <c r="G2142" s="6">
        <v>23</v>
      </c>
      <c r="H2142" s="6" t="s">
        <v>29922</v>
      </c>
      <c r="I2142" s="6">
        <v>526.6875</v>
      </c>
      <c r="J2142" s="2">
        <f t="shared" si="33"/>
        <v>43748.595319641201</v>
      </c>
    </row>
    <row r="2143" spans="1:10" x14ac:dyDescent="0.25">
      <c r="A2143" s="7" t="s">
        <v>29923</v>
      </c>
      <c r="B2143" s="8">
        <v>393.75</v>
      </c>
      <c r="C2143" s="8">
        <v>20.478950000000001</v>
      </c>
      <c r="D2143" s="8">
        <v>65</v>
      </c>
      <c r="E2143" s="8">
        <v>0</v>
      </c>
      <c r="F2143" s="8">
        <v>0</v>
      </c>
      <c r="G2143" s="8">
        <v>30</v>
      </c>
      <c r="H2143" s="8" t="s">
        <v>29924</v>
      </c>
      <c r="I2143" s="8">
        <v>526.6875</v>
      </c>
      <c r="J2143" s="3">
        <f t="shared" si="33"/>
        <v>43748.595391400457</v>
      </c>
    </row>
    <row r="2144" spans="1:10" x14ac:dyDescent="0.25">
      <c r="A2144" s="5" t="s">
        <v>29925</v>
      </c>
      <c r="B2144" s="6">
        <v>393.75</v>
      </c>
      <c r="C2144" s="6">
        <v>20.531590000000001</v>
      </c>
      <c r="D2144" s="6">
        <v>67</v>
      </c>
      <c r="E2144" s="6">
        <v>0</v>
      </c>
      <c r="F2144" s="6">
        <v>0</v>
      </c>
      <c r="G2144" s="6">
        <v>30</v>
      </c>
      <c r="H2144" s="6" t="s">
        <v>29926</v>
      </c>
      <c r="I2144" s="6">
        <v>526.6875</v>
      </c>
      <c r="J2144" s="2">
        <f t="shared" si="33"/>
        <v>43748.595474965274</v>
      </c>
    </row>
    <row r="2145" spans="1:10" x14ac:dyDescent="0.25">
      <c r="A2145" s="7" t="s">
        <v>29927</v>
      </c>
      <c r="B2145" s="8">
        <v>393.75</v>
      </c>
      <c r="C2145" s="8">
        <v>20.478950000000001</v>
      </c>
      <c r="D2145" s="8">
        <v>68</v>
      </c>
      <c r="E2145" s="8">
        <v>0</v>
      </c>
      <c r="F2145" s="8">
        <v>0</v>
      </c>
      <c r="G2145" s="8">
        <v>43</v>
      </c>
      <c r="H2145" s="8" t="s">
        <v>29928</v>
      </c>
      <c r="I2145" s="8">
        <v>526.6875</v>
      </c>
      <c r="J2145" s="3">
        <f t="shared" si="33"/>
        <v>43748.595558402776</v>
      </c>
    </row>
    <row r="2146" spans="1:10" x14ac:dyDescent="0.25">
      <c r="A2146" s="5" t="s">
        <v>29929</v>
      </c>
      <c r="B2146" s="6">
        <v>393.75</v>
      </c>
      <c r="C2146" s="6">
        <v>20.584240000000001</v>
      </c>
      <c r="D2146" s="6">
        <v>68</v>
      </c>
      <c r="E2146" s="6">
        <v>0</v>
      </c>
      <c r="F2146" s="6">
        <v>0</v>
      </c>
      <c r="G2146" s="6">
        <v>33</v>
      </c>
      <c r="H2146" s="6" t="s">
        <v>29930</v>
      </c>
      <c r="I2146" s="6">
        <v>526.6875</v>
      </c>
      <c r="J2146" s="2">
        <f t="shared" si="33"/>
        <v>43748.595641620363</v>
      </c>
    </row>
    <row r="2147" spans="1:10" x14ac:dyDescent="0.25">
      <c r="A2147" s="7" t="s">
        <v>29931</v>
      </c>
      <c r="B2147" s="8">
        <v>393.75</v>
      </c>
      <c r="C2147" s="8">
        <v>20.531590000000001</v>
      </c>
      <c r="D2147" s="8">
        <v>68</v>
      </c>
      <c r="E2147" s="8">
        <v>0</v>
      </c>
      <c r="F2147" s="8">
        <v>0</v>
      </c>
      <c r="G2147" s="8">
        <v>37</v>
      </c>
      <c r="H2147" s="8" t="s">
        <v>29932</v>
      </c>
      <c r="I2147" s="8">
        <v>526.6875</v>
      </c>
      <c r="J2147" s="3">
        <f t="shared" si="33"/>
        <v>43748.595713379626</v>
      </c>
    </row>
    <row r="2148" spans="1:10" x14ac:dyDescent="0.25">
      <c r="A2148" s="5" t="s">
        <v>29933</v>
      </c>
      <c r="B2148" s="6">
        <v>393.75</v>
      </c>
      <c r="C2148" s="6">
        <v>20.478950000000001</v>
      </c>
      <c r="D2148" s="6">
        <v>69</v>
      </c>
      <c r="E2148" s="6">
        <v>0</v>
      </c>
      <c r="F2148" s="6">
        <v>0</v>
      </c>
      <c r="G2148" s="6">
        <v>33</v>
      </c>
      <c r="H2148" s="6" t="s">
        <v>29934</v>
      </c>
      <c r="I2148" s="6">
        <v>526.6875</v>
      </c>
      <c r="J2148" s="2">
        <f t="shared" si="33"/>
        <v>43748.595804189812</v>
      </c>
    </row>
    <row r="2149" spans="1:10" x14ac:dyDescent="0.25">
      <c r="A2149" s="7" t="s">
        <v>29935</v>
      </c>
      <c r="B2149" s="8">
        <v>412.5</v>
      </c>
      <c r="C2149" s="8">
        <v>20.531590000000001</v>
      </c>
      <c r="D2149" s="8">
        <v>70</v>
      </c>
      <c r="E2149" s="8">
        <v>0</v>
      </c>
      <c r="F2149" s="8">
        <v>0</v>
      </c>
      <c r="G2149" s="8">
        <v>24</v>
      </c>
      <c r="H2149" s="8" t="s">
        <v>29936</v>
      </c>
      <c r="I2149" s="8">
        <v>532.3125</v>
      </c>
      <c r="J2149" s="3">
        <f t="shared" si="33"/>
        <v>43748.595880381945</v>
      </c>
    </row>
    <row r="2150" spans="1:10" x14ac:dyDescent="0.25">
      <c r="A2150" s="5" t="s">
        <v>29937</v>
      </c>
      <c r="B2150" s="6">
        <v>393.75</v>
      </c>
      <c r="C2150" s="6">
        <v>20.478950000000001</v>
      </c>
      <c r="D2150" s="6">
        <v>71</v>
      </c>
      <c r="E2150" s="6">
        <v>0</v>
      </c>
      <c r="F2150" s="6">
        <v>0</v>
      </c>
      <c r="G2150" s="6">
        <v>29</v>
      </c>
      <c r="H2150" s="6" t="s">
        <v>29938</v>
      </c>
      <c r="I2150" s="6">
        <v>526.6875</v>
      </c>
      <c r="J2150" s="2">
        <f t="shared" si="33"/>
        <v>43748.595963877313</v>
      </c>
    </row>
    <row r="2151" spans="1:10" x14ac:dyDescent="0.25">
      <c r="A2151" s="7" t="s">
        <v>29939</v>
      </c>
      <c r="B2151" s="8">
        <v>393.75</v>
      </c>
      <c r="C2151" s="8">
        <v>20.531590000000001</v>
      </c>
      <c r="D2151" s="8">
        <v>71</v>
      </c>
      <c r="E2151" s="8">
        <v>0</v>
      </c>
      <c r="F2151" s="8">
        <v>0</v>
      </c>
      <c r="G2151" s="8">
        <v>31</v>
      </c>
      <c r="H2151" s="8" t="s">
        <v>29940</v>
      </c>
      <c r="I2151" s="8">
        <v>526.6875</v>
      </c>
      <c r="J2151" s="3">
        <f t="shared" si="33"/>
        <v>43748.596047395833</v>
      </c>
    </row>
    <row r="2152" spans="1:10" x14ac:dyDescent="0.25">
      <c r="A2152" s="5" t="s">
        <v>29941</v>
      </c>
      <c r="B2152" s="6">
        <v>393.75</v>
      </c>
      <c r="C2152" s="6">
        <v>20.478950000000001</v>
      </c>
      <c r="D2152" s="6">
        <v>72</v>
      </c>
      <c r="E2152" s="6">
        <v>0</v>
      </c>
      <c r="F2152" s="6">
        <v>0</v>
      </c>
      <c r="G2152" s="6">
        <v>30</v>
      </c>
      <c r="H2152" s="6" t="s">
        <v>29942</v>
      </c>
      <c r="I2152" s="6">
        <v>526.6875</v>
      </c>
      <c r="J2152" s="2">
        <f t="shared" si="33"/>
        <v>43748.596155555548</v>
      </c>
    </row>
    <row r="2153" spans="1:10" x14ac:dyDescent="0.25">
      <c r="A2153" s="7" t="s">
        <v>29943</v>
      </c>
      <c r="B2153" s="8">
        <v>393.75</v>
      </c>
      <c r="C2153" s="8">
        <v>20.531590000000001</v>
      </c>
      <c r="D2153" s="8">
        <v>71</v>
      </c>
      <c r="E2153" s="8">
        <v>0</v>
      </c>
      <c r="F2153" s="8">
        <v>0</v>
      </c>
      <c r="G2153" s="8">
        <v>32</v>
      </c>
      <c r="H2153" s="8" t="s">
        <v>29944</v>
      </c>
      <c r="I2153" s="8">
        <v>526.6875</v>
      </c>
      <c r="J2153" s="3">
        <f t="shared" si="33"/>
        <v>43748.596237858794</v>
      </c>
    </row>
    <row r="2154" spans="1:10" x14ac:dyDescent="0.25">
      <c r="A2154" s="5" t="s">
        <v>29945</v>
      </c>
      <c r="B2154" s="6">
        <v>393.75</v>
      </c>
      <c r="C2154" s="6">
        <v>20.531590000000001</v>
      </c>
      <c r="D2154" s="6">
        <v>71</v>
      </c>
      <c r="E2154" s="6">
        <v>0</v>
      </c>
      <c r="F2154" s="6">
        <v>0</v>
      </c>
      <c r="G2154" s="6">
        <v>30</v>
      </c>
      <c r="H2154" s="6" t="s">
        <v>29946</v>
      </c>
      <c r="I2154" s="6">
        <v>526.6875</v>
      </c>
      <c r="J2154" s="2">
        <f t="shared" si="33"/>
        <v>43748.596309502311</v>
      </c>
    </row>
    <row r="2155" spans="1:10" x14ac:dyDescent="0.25">
      <c r="A2155" s="7" t="s">
        <v>29947</v>
      </c>
      <c r="B2155" s="8">
        <v>393.75</v>
      </c>
      <c r="C2155" s="8">
        <v>20.531590000000001</v>
      </c>
      <c r="D2155" s="8">
        <v>71</v>
      </c>
      <c r="E2155" s="8">
        <v>0</v>
      </c>
      <c r="F2155" s="8">
        <v>0</v>
      </c>
      <c r="G2155" s="8">
        <v>25</v>
      </c>
      <c r="H2155" s="8" t="s">
        <v>29948</v>
      </c>
      <c r="I2155" s="8">
        <v>526.6875</v>
      </c>
      <c r="J2155" s="3">
        <f t="shared" si="33"/>
        <v>43748.596393414351</v>
      </c>
    </row>
    <row r="2156" spans="1:10" x14ac:dyDescent="0.25">
      <c r="A2156" s="5" t="s">
        <v>29949</v>
      </c>
      <c r="B2156" s="6">
        <v>393.75</v>
      </c>
      <c r="C2156" s="6">
        <v>20.584240000000001</v>
      </c>
      <c r="D2156" s="6">
        <v>71</v>
      </c>
      <c r="E2156" s="6">
        <v>0</v>
      </c>
      <c r="F2156" s="6">
        <v>0</v>
      </c>
      <c r="G2156" s="6">
        <v>25</v>
      </c>
      <c r="H2156" s="6" t="s">
        <v>29950</v>
      </c>
      <c r="I2156" s="6">
        <v>526.6875</v>
      </c>
      <c r="J2156" s="2">
        <f t="shared" si="33"/>
        <v>43748.596464849536</v>
      </c>
    </row>
    <row r="2157" spans="1:10" x14ac:dyDescent="0.25">
      <c r="A2157" s="7" t="s">
        <v>29951</v>
      </c>
      <c r="B2157" s="8">
        <v>393.75</v>
      </c>
      <c r="C2157" s="8">
        <v>20.531590000000001</v>
      </c>
      <c r="D2157" s="8">
        <v>72</v>
      </c>
      <c r="E2157" s="8">
        <v>0</v>
      </c>
      <c r="F2157" s="8">
        <v>0</v>
      </c>
      <c r="G2157" s="8">
        <v>21</v>
      </c>
      <c r="H2157" s="8" t="s">
        <v>29952</v>
      </c>
      <c r="I2157" s="8">
        <v>526.6875</v>
      </c>
      <c r="J2157" s="3">
        <f t="shared" si="33"/>
        <v>43748.596536481484</v>
      </c>
    </row>
    <row r="2158" spans="1:10" x14ac:dyDescent="0.25">
      <c r="A2158" s="5" t="s">
        <v>29953</v>
      </c>
      <c r="B2158" s="6">
        <v>393.75</v>
      </c>
      <c r="C2158" s="6">
        <v>20.531590000000001</v>
      </c>
      <c r="D2158" s="6">
        <v>74</v>
      </c>
      <c r="E2158" s="6">
        <v>0</v>
      </c>
      <c r="F2158" s="6">
        <v>0</v>
      </c>
      <c r="G2158" s="6">
        <v>18</v>
      </c>
      <c r="H2158" s="6" t="s">
        <v>29954</v>
      </c>
      <c r="I2158" s="6">
        <v>526.6875</v>
      </c>
      <c r="J2158" s="2">
        <f t="shared" si="33"/>
        <v>43748.596608229163</v>
      </c>
    </row>
    <row r="2159" spans="1:10" x14ac:dyDescent="0.25">
      <c r="A2159" s="7" t="s">
        <v>29955</v>
      </c>
      <c r="B2159" s="8">
        <v>393.75</v>
      </c>
      <c r="C2159" s="8">
        <v>20.531590000000001</v>
      </c>
      <c r="D2159" s="8">
        <v>73</v>
      </c>
      <c r="E2159" s="8">
        <v>0</v>
      </c>
      <c r="F2159" s="8">
        <v>0</v>
      </c>
      <c r="G2159" s="8">
        <v>24</v>
      </c>
      <c r="H2159" s="8" t="s">
        <v>29956</v>
      </c>
      <c r="I2159" s="8">
        <v>526.6875</v>
      </c>
      <c r="J2159" s="3">
        <f t="shared" si="33"/>
        <v>43748.596691666666</v>
      </c>
    </row>
    <row r="2160" spans="1:10" x14ac:dyDescent="0.25">
      <c r="A2160" s="5" t="s">
        <v>29957</v>
      </c>
      <c r="B2160" s="6">
        <v>393.75</v>
      </c>
      <c r="C2160" s="6">
        <v>20.584240000000001</v>
      </c>
      <c r="D2160" s="6">
        <v>72</v>
      </c>
      <c r="E2160" s="6">
        <v>0</v>
      </c>
      <c r="F2160" s="6">
        <v>0</v>
      </c>
      <c r="G2160" s="6">
        <v>26</v>
      </c>
      <c r="H2160" s="6" t="s">
        <v>29958</v>
      </c>
      <c r="I2160" s="6">
        <v>526.6875</v>
      </c>
      <c r="J2160" s="2">
        <f t="shared" si="33"/>
        <v>43748.596774895828</v>
      </c>
    </row>
    <row r="2161" spans="1:10" x14ac:dyDescent="0.25">
      <c r="A2161" s="7" t="s">
        <v>29959</v>
      </c>
      <c r="B2161" s="8">
        <v>393.75</v>
      </c>
      <c r="C2161" s="8">
        <v>20.584240000000001</v>
      </c>
      <c r="D2161" s="8">
        <v>71</v>
      </c>
      <c r="E2161" s="8">
        <v>0</v>
      </c>
      <c r="F2161" s="8">
        <v>0</v>
      </c>
      <c r="G2161" s="8">
        <v>34</v>
      </c>
      <c r="H2161" s="8" t="s">
        <v>29960</v>
      </c>
      <c r="I2161" s="8">
        <v>526.6875</v>
      </c>
      <c r="J2161" s="3">
        <f t="shared" si="33"/>
        <v>43748.596858599536</v>
      </c>
    </row>
    <row r="2162" spans="1:10" x14ac:dyDescent="0.25">
      <c r="A2162" s="5" t="s">
        <v>29961</v>
      </c>
      <c r="B2162" s="6">
        <v>393.75</v>
      </c>
      <c r="C2162" s="6">
        <v>20.531590000000001</v>
      </c>
      <c r="D2162" s="6">
        <v>74</v>
      </c>
      <c r="E2162" s="6">
        <v>0</v>
      </c>
      <c r="F2162" s="6">
        <v>0</v>
      </c>
      <c r="G2162" s="6">
        <v>29</v>
      </c>
      <c r="H2162" s="6" t="s">
        <v>29962</v>
      </c>
      <c r="I2162" s="6">
        <v>526.6875</v>
      </c>
      <c r="J2162" s="2">
        <f t="shared" si="33"/>
        <v>43748.596941574076</v>
      </c>
    </row>
    <row r="2163" spans="1:10" x14ac:dyDescent="0.25">
      <c r="A2163" s="7" t="s">
        <v>29963</v>
      </c>
      <c r="B2163" s="8">
        <v>393.75</v>
      </c>
      <c r="C2163" s="8">
        <v>20.478950000000001</v>
      </c>
      <c r="D2163" s="8">
        <v>74</v>
      </c>
      <c r="E2163" s="8">
        <v>0</v>
      </c>
      <c r="F2163" s="8">
        <v>0</v>
      </c>
      <c r="G2163" s="8">
        <v>32</v>
      </c>
      <c r="H2163" s="8" t="s">
        <v>29964</v>
      </c>
      <c r="I2163" s="8">
        <v>526.6875</v>
      </c>
      <c r="J2163" s="3">
        <f t="shared" si="33"/>
        <v>43748.597013333332</v>
      </c>
    </row>
    <row r="2164" spans="1:10" x14ac:dyDescent="0.25">
      <c r="A2164" s="5" t="s">
        <v>29965</v>
      </c>
      <c r="B2164" s="6">
        <v>393.75</v>
      </c>
      <c r="C2164" s="6">
        <v>20.478950000000001</v>
      </c>
      <c r="D2164" s="6">
        <v>73</v>
      </c>
      <c r="E2164" s="6">
        <v>0</v>
      </c>
      <c r="F2164" s="6">
        <v>0</v>
      </c>
      <c r="G2164" s="6">
        <v>27</v>
      </c>
      <c r="H2164" s="6" t="s">
        <v>29966</v>
      </c>
      <c r="I2164" s="6">
        <v>526.6875</v>
      </c>
      <c r="J2164" s="2">
        <f t="shared" si="33"/>
        <v>43748.597097118058</v>
      </c>
    </row>
    <row r="2165" spans="1:10" x14ac:dyDescent="0.25">
      <c r="A2165" s="7" t="s">
        <v>29967</v>
      </c>
      <c r="B2165" s="8">
        <v>393.75</v>
      </c>
      <c r="C2165" s="8">
        <v>20.478950000000001</v>
      </c>
      <c r="D2165" s="8">
        <v>73</v>
      </c>
      <c r="E2165" s="8">
        <v>0</v>
      </c>
      <c r="F2165" s="8">
        <v>0</v>
      </c>
      <c r="G2165" s="8">
        <v>21</v>
      </c>
      <c r="H2165" s="8" t="s">
        <v>29968</v>
      </c>
      <c r="I2165" s="8">
        <v>526.6875</v>
      </c>
      <c r="J2165" s="3">
        <f t="shared" si="33"/>
        <v>43748.597180567129</v>
      </c>
    </row>
    <row r="2166" spans="1:10" x14ac:dyDescent="0.25">
      <c r="A2166" s="5" t="s">
        <v>29969</v>
      </c>
      <c r="B2166" s="6">
        <v>393.75</v>
      </c>
      <c r="C2166" s="6">
        <v>20.531590000000001</v>
      </c>
      <c r="D2166" s="6">
        <v>71</v>
      </c>
      <c r="E2166" s="6">
        <v>0</v>
      </c>
      <c r="F2166" s="6">
        <v>0</v>
      </c>
      <c r="G2166" s="6">
        <v>26</v>
      </c>
      <c r="H2166" s="6" t="s">
        <v>29970</v>
      </c>
      <c r="I2166" s="6">
        <v>526.6875</v>
      </c>
      <c r="J2166" s="2">
        <f t="shared" si="33"/>
        <v>43748.597263796291</v>
      </c>
    </row>
    <row r="2167" spans="1:10" x14ac:dyDescent="0.25">
      <c r="A2167" s="7" t="s">
        <v>29971</v>
      </c>
      <c r="B2167" s="8">
        <v>393.75</v>
      </c>
      <c r="C2167" s="8">
        <v>20.531590000000001</v>
      </c>
      <c r="D2167" s="8">
        <v>71</v>
      </c>
      <c r="E2167" s="8">
        <v>0</v>
      </c>
      <c r="F2167" s="8">
        <v>0</v>
      </c>
      <c r="G2167" s="8">
        <v>31</v>
      </c>
      <c r="H2167" s="8" t="s">
        <v>29972</v>
      </c>
      <c r="I2167" s="8">
        <v>526.6875</v>
      </c>
      <c r="J2167" s="3">
        <f t="shared" si="33"/>
        <v>43748.597335451392</v>
      </c>
    </row>
    <row r="2168" spans="1:10" x14ac:dyDescent="0.25">
      <c r="A2168" s="5" t="s">
        <v>29973</v>
      </c>
      <c r="B2168" s="6">
        <v>393.75</v>
      </c>
      <c r="C2168" s="6">
        <v>20.584240000000001</v>
      </c>
      <c r="D2168" s="6">
        <v>72</v>
      </c>
      <c r="E2168" s="6">
        <v>0</v>
      </c>
      <c r="F2168" s="6">
        <v>0</v>
      </c>
      <c r="G2168" s="6">
        <v>24</v>
      </c>
      <c r="H2168" s="6" t="s">
        <v>29974</v>
      </c>
      <c r="I2168" s="6">
        <v>526.6875</v>
      </c>
      <c r="J2168" s="2">
        <f t="shared" si="33"/>
        <v>43748.597431261573</v>
      </c>
    </row>
    <row r="2169" spans="1:10" x14ac:dyDescent="0.25">
      <c r="A2169" s="7" t="s">
        <v>29975</v>
      </c>
      <c r="B2169" s="8">
        <v>412.5</v>
      </c>
      <c r="C2169" s="8">
        <v>20.531590000000001</v>
      </c>
      <c r="D2169" s="8">
        <v>72</v>
      </c>
      <c r="E2169" s="8">
        <v>0</v>
      </c>
      <c r="F2169" s="8">
        <v>0</v>
      </c>
      <c r="G2169" s="8">
        <v>28</v>
      </c>
      <c r="H2169" s="8" t="s">
        <v>29976</v>
      </c>
      <c r="I2169" s="8">
        <v>532.5</v>
      </c>
      <c r="J2169" s="3">
        <f t="shared" si="33"/>
        <v>43748.597514629626</v>
      </c>
    </row>
    <row r="2170" spans="1:10" x14ac:dyDescent="0.25">
      <c r="A2170" s="5" t="s">
        <v>29977</v>
      </c>
      <c r="B2170" s="6">
        <v>393.75</v>
      </c>
      <c r="C2170" s="6">
        <v>20.478950000000001</v>
      </c>
      <c r="D2170" s="6">
        <v>72</v>
      </c>
      <c r="E2170" s="6">
        <v>0</v>
      </c>
      <c r="F2170" s="6">
        <v>0</v>
      </c>
      <c r="G2170" s="6">
        <v>27</v>
      </c>
      <c r="H2170" s="6" t="s">
        <v>29978</v>
      </c>
      <c r="I2170" s="6">
        <v>526.6875</v>
      </c>
      <c r="J2170" s="2">
        <f t="shared" si="33"/>
        <v>43748.597598252316</v>
      </c>
    </row>
    <row r="2171" spans="1:10" x14ac:dyDescent="0.25">
      <c r="A2171" s="7" t="s">
        <v>29979</v>
      </c>
      <c r="B2171" s="8">
        <v>393.75</v>
      </c>
      <c r="C2171" s="8">
        <v>20.478950000000001</v>
      </c>
      <c r="D2171" s="8">
        <v>72</v>
      </c>
      <c r="E2171" s="8">
        <v>0</v>
      </c>
      <c r="F2171" s="8">
        <v>0</v>
      </c>
      <c r="G2171" s="8">
        <v>29</v>
      </c>
      <c r="H2171" s="8" t="s">
        <v>29980</v>
      </c>
      <c r="I2171" s="8">
        <v>526.6875</v>
      </c>
      <c r="J2171" s="3">
        <f t="shared" si="33"/>
        <v>43748.597681493055</v>
      </c>
    </row>
    <row r="2172" spans="1:10" x14ac:dyDescent="0.25">
      <c r="A2172" s="5" t="s">
        <v>29981</v>
      </c>
      <c r="B2172" s="6">
        <v>393.75</v>
      </c>
      <c r="C2172" s="6">
        <v>20.531590000000001</v>
      </c>
      <c r="D2172" s="6">
        <v>73</v>
      </c>
      <c r="E2172" s="6">
        <v>0</v>
      </c>
      <c r="F2172" s="6">
        <v>0</v>
      </c>
      <c r="G2172" s="6">
        <v>32</v>
      </c>
      <c r="H2172" s="6" t="s">
        <v>29982</v>
      </c>
      <c r="I2172" s="6">
        <v>526.6875</v>
      </c>
      <c r="J2172" s="2">
        <f t="shared" si="33"/>
        <v>43748.59776506944</v>
      </c>
    </row>
    <row r="2173" spans="1:10" x14ac:dyDescent="0.25">
      <c r="A2173" s="7" t="s">
        <v>29983</v>
      </c>
      <c r="B2173" s="8">
        <v>393.75</v>
      </c>
      <c r="C2173" s="8">
        <v>20.531590000000001</v>
      </c>
      <c r="D2173" s="8">
        <v>73</v>
      </c>
      <c r="E2173" s="8">
        <v>0</v>
      </c>
      <c r="F2173" s="8">
        <v>0</v>
      </c>
      <c r="G2173" s="8">
        <v>29</v>
      </c>
      <c r="H2173" s="8" t="s">
        <v>29984</v>
      </c>
      <c r="I2173" s="8">
        <v>526.6875</v>
      </c>
      <c r="J2173" s="3">
        <f t="shared" si="33"/>
        <v>43748.597836944442</v>
      </c>
    </row>
    <row r="2174" spans="1:10" x14ac:dyDescent="0.25">
      <c r="A2174" s="5" t="s">
        <v>29985</v>
      </c>
      <c r="B2174" s="6">
        <v>412.5</v>
      </c>
      <c r="C2174" s="6">
        <v>20.478950000000001</v>
      </c>
      <c r="D2174" s="6">
        <v>72</v>
      </c>
      <c r="E2174" s="6">
        <v>0</v>
      </c>
      <c r="F2174" s="6">
        <v>0</v>
      </c>
      <c r="G2174" s="6">
        <v>24</v>
      </c>
      <c r="H2174" s="6" t="s">
        <v>29986</v>
      </c>
      <c r="I2174" s="6">
        <v>532.6875</v>
      </c>
      <c r="J2174" s="2">
        <f t="shared" si="33"/>
        <v>43748.59792015046</v>
      </c>
    </row>
    <row r="2175" spans="1:10" x14ac:dyDescent="0.25">
      <c r="A2175" s="7" t="s">
        <v>29987</v>
      </c>
      <c r="B2175" s="8">
        <v>393.75</v>
      </c>
      <c r="C2175" s="8">
        <v>20.478950000000001</v>
      </c>
      <c r="D2175" s="8">
        <v>72</v>
      </c>
      <c r="E2175" s="8">
        <v>0</v>
      </c>
      <c r="F2175" s="8">
        <v>0</v>
      </c>
      <c r="G2175" s="8">
        <v>27</v>
      </c>
      <c r="H2175" s="8" t="s">
        <v>29988</v>
      </c>
      <c r="I2175" s="8">
        <v>526.6875</v>
      </c>
      <c r="J2175" s="3">
        <f t="shared" si="33"/>
        <v>43748.597991793977</v>
      </c>
    </row>
    <row r="2176" spans="1:10" x14ac:dyDescent="0.25">
      <c r="A2176" s="5" t="s">
        <v>29989</v>
      </c>
      <c r="B2176" s="6">
        <v>393.75</v>
      </c>
      <c r="C2176" s="6">
        <v>20.478950000000001</v>
      </c>
      <c r="D2176" s="6">
        <v>73</v>
      </c>
      <c r="E2176" s="6">
        <v>0</v>
      </c>
      <c r="F2176" s="6">
        <v>0</v>
      </c>
      <c r="G2176" s="6">
        <v>27</v>
      </c>
      <c r="H2176" s="6" t="s">
        <v>29990</v>
      </c>
      <c r="I2176" s="6">
        <v>526.6875</v>
      </c>
      <c r="J2176" s="2">
        <f t="shared" si="33"/>
        <v>43748.598074907401</v>
      </c>
    </row>
    <row r="2177" spans="1:10" x14ac:dyDescent="0.25">
      <c r="A2177" s="7" t="s">
        <v>29991</v>
      </c>
      <c r="B2177" s="8">
        <v>393.75</v>
      </c>
      <c r="C2177" s="8">
        <v>20.531590000000001</v>
      </c>
      <c r="D2177" s="8">
        <v>73</v>
      </c>
      <c r="E2177" s="8">
        <v>0</v>
      </c>
      <c r="F2177" s="8">
        <v>0</v>
      </c>
      <c r="G2177" s="8">
        <v>27</v>
      </c>
      <c r="H2177" s="8" t="s">
        <v>29992</v>
      </c>
      <c r="I2177" s="8">
        <v>526.6875</v>
      </c>
      <c r="J2177" s="3">
        <f t="shared" si="33"/>
        <v>43748.598146562501</v>
      </c>
    </row>
    <row r="2178" spans="1:10" x14ac:dyDescent="0.25">
      <c r="A2178" s="5" t="s">
        <v>29993</v>
      </c>
      <c r="B2178" s="6">
        <v>393.75</v>
      </c>
      <c r="C2178" s="6">
        <v>20.531590000000001</v>
      </c>
      <c r="D2178" s="6">
        <v>73</v>
      </c>
      <c r="E2178" s="6">
        <v>0</v>
      </c>
      <c r="F2178" s="6">
        <v>0</v>
      </c>
      <c r="G2178" s="6">
        <v>15</v>
      </c>
      <c r="H2178" s="6" t="s">
        <v>29994</v>
      </c>
      <c r="I2178" s="6">
        <v>526.6875</v>
      </c>
      <c r="J2178" s="2">
        <f t="shared" ref="J2178:J2241" si="34">(H2178/86400000)+25569+(7/24)</f>
        <v>43748.598230555552</v>
      </c>
    </row>
    <row r="2179" spans="1:10" x14ac:dyDescent="0.25">
      <c r="A2179" s="7" t="s">
        <v>29995</v>
      </c>
      <c r="B2179" s="8">
        <v>393.75</v>
      </c>
      <c r="C2179" s="8">
        <v>20.531590000000001</v>
      </c>
      <c r="D2179" s="8">
        <v>72</v>
      </c>
      <c r="E2179" s="8">
        <v>0</v>
      </c>
      <c r="F2179" s="8">
        <v>0</v>
      </c>
      <c r="G2179" s="8">
        <v>26</v>
      </c>
      <c r="H2179" s="8" t="s">
        <v>29996</v>
      </c>
      <c r="I2179" s="8">
        <v>526.6875</v>
      </c>
      <c r="J2179" s="3">
        <f t="shared" si="34"/>
        <v>43748.59831390046</v>
      </c>
    </row>
    <row r="2180" spans="1:10" x14ac:dyDescent="0.25">
      <c r="A2180" s="5" t="s">
        <v>29997</v>
      </c>
      <c r="B2180" s="6">
        <v>393.75</v>
      </c>
      <c r="C2180" s="6">
        <v>20.478950000000001</v>
      </c>
      <c r="D2180" s="6">
        <v>71</v>
      </c>
      <c r="E2180" s="6">
        <v>0</v>
      </c>
      <c r="F2180" s="6">
        <v>0</v>
      </c>
      <c r="G2180" s="6">
        <v>21</v>
      </c>
      <c r="H2180" s="6" t="s">
        <v>29998</v>
      </c>
      <c r="I2180" s="6">
        <v>526.6875</v>
      </c>
      <c r="J2180" s="2">
        <f t="shared" si="34"/>
        <v>43748.598385428239</v>
      </c>
    </row>
    <row r="2181" spans="1:10" x14ac:dyDescent="0.25">
      <c r="A2181" s="7" t="s">
        <v>29999</v>
      </c>
      <c r="B2181" s="8">
        <v>393.75</v>
      </c>
      <c r="C2181" s="8">
        <v>20.531590000000001</v>
      </c>
      <c r="D2181" s="8">
        <v>69</v>
      </c>
      <c r="E2181" s="8">
        <v>0</v>
      </c>
      <c r="F2181" s="8">
        <v>0</v>
      </c>
      <c r="G2181" s="8">
        <v>19</v>
      </c>
      <c r="H2181" s="8" t="s">
        <v>30000</v>
      </c>
      <c r="I2181" s="8">
        <v>526.6875</v>
      </c>
      <c r="J2181" s="3">
        <f t="shared" si="34"/>
        <v>43748.59846887731</v>
      </c>
    </row>
    <row r="2182" spans="1:10" x14ac:dyDescent="0.25">
      <c r="A2182" s="5" t="s">
        <v>30001</v>
      </c>
      <c r="B2182" s="6">
        <v>393.75</v>
      </c>
      <c r="C2182" s="6">
        <v>20.478950000000001</v>
      </c>
      <c r="D2182" s="6">
        <v>69</v>
      </c>
      <c r="E2182" s="6">
        <v>0</v>
      </c>
      <c r="F2182" s="6">
        <v>0</v>
      </c>
      <c r="G2182" s="6">
        <v>17</v>
      </c>
      <c r="H2182" s="6" t="s">
        <v>30002</v>
      </c>
      <c r="I2182" s="6">
        <v>526.6875</v>
      </c>
      <c r="J2182" s="2">
        <f t="shared" si="34"/>
        <v>43748.598552453703</v>
      </c>
    </row>
    <row r="2183" spans="1:10" x14ac:dyDescent="0.25">
      <c r="A2183" s="7" t="s">
        <v>30003</v>
      </c>
      <c r="B2183" s="8">
        <v>393.75</v>
      </c>
      <c r="C2183" s="8">
        <v>20.478950000000001</v>
      </c>
      <c r="D2183" s="8">
        <v>68</v>
      </c>
      <c r="E2183" s="8">
        <v>0</v>
      </c>
      <c r="F2183" s="8">
        <v>0</v>
      </c>
      <c r="G2183" s="8">
        <v>27</v>
      </c>
      <c r="H2183" s="8" t="s">
        <v>30004</v>
      </c>
      <c r="I2183" s="8">
        <v>526.6875</v>
      </c>
      <c r="J2183" s="3">
        <f t="shared" si="34"/>
        <v>43748.598635891198</v>
      </c>
    </row>
    <row r="2184" spans="1:10" x14ac:dyDescent="0.25">
      <c r="A2184" s="5" t="s">
        <v>30005</v>
      </c>
      <c r="B2184" s="6">
        <v>393.75</v>
      </c>
      <c r="C2184" s="6">
        <v>20.478950000000001</v>
      </c>
      <c r="D2184" s="6">
        <v>68</v>
      </c>
      <c r="E2184" s="6">
        <v>0</v>
      </c>
      <c r="F2184" s="6">
        <v>0</v>
      </c>
      <c r="G2184" s="6">
        <v>21</v>
      </c>
      <c r="H2184" s="6" t="s">
        <v>30006</v>
      </c>
      <c r="I2184" s="6">
        <v>526.6875</v>
      </c>
      <c r="J2184" s="2">
        <f t="shared" si="34"/>
        <v>43748.598719363428</v>
      </c>
    </row>
    <row r="2185" spans="1:10" x14ac:dyDescent="0.25">
      <c r="A2185" s="7" t="s">
        <v>30007</v>
      </c>
      <c r="B2185" s="8">
        <v>393.75</v>
      </c>
      <c r="C2185" s="8">
        <v>20.478950000000001</v>
      </c>
      <c r="D2185" s="8">
        <v>67</v>
      </c>
      <c r="E2185" s="8">
        <v>0</v>
      </c>
      <c r="F2185" s="8">
        <v>0</v>
      </c>
      <c r="G2185" s="8">
        <v>24</v>
      </c>
      <c r="H2185" s="8" t="s">
        <v>30008</v>
      </c>
      <c r="I2185" s="8">
        <v>526.6875</v>
      </c>
      <c r="J2185" s="3">
        <f t="shared" si="34"/>
        <v>43748.598802928238</v>
      </c>
    </row>
    <row r="2186" spans="1:10" x14ac:dyDescent="0.25">
      <c r="A2186" s="5" t="s">
        <v>30009</v>
      </c>
      <c r="B2186" s="6">
        <v>393.75</v>
      </c>
      <c r="C2186" s="6">
        <v>20.478950000000001</v>
      </c>
      <c r="D2186" s="6">
        <v>68</v>
      </c>
      <c r="E2186" s="6">
        <v>0</v>
      </c>
      <c r="F2186" s="6">
        <v>0</v>
      </c>
      <c r="G2186" s="6">
        <v>30</v>
      </c>
      <c r="H2186" s="6" t="s">
        <v>30010</v>
      </c>
      <c r="I2186" s="6">
        <v>526.6875</v>
      </c>
      <c r="J2186" s="2">
        <f t="shared" si="34"/>
        <v>43748.598898402772</v>
      </c>
    </row>
    <row r="2187" spans="1:10" x14ac:dyDescent="0.25">
      <c r="A2187" s="7" t="s">
        <v>30011</v>
      </c>
      <c r="B2187" s="8">
        <v>393.75</v>
      </c>
      <c r="C2187" s="8">
        <v>20.531590000000001</v>
      </c>
      <c r="D2187" s="8">
        <v>69</v>
      </c>
      <c r="E2187" s="8">
        <v>0</v>
      </c>
      <c r="F2187" s="8">
        <v>0</v>
      </c>
      <c r="G2187" s="8">
        <v>30</v>
      </c>
      <c r="H2187" s="8" t="s">
        <v>30012</v>
      </c>
      <c r="I2187" s="8">
        <v>526.6875</v>
      </c>
      <c r="J2187" s="3">
        <f t="shared" si="34"/>
        <v>43748.598981944444</v>
      </c>
    </row>
    <row r="2188" spans="1:10" x14ac:dyDescent="0.25">
      <c r="A2188" s="5" t="s">
        <v>30013</v>
      </c>
      <c r="B2188" s="6">
        <v>393.75</v>
      </c>
      <c r="C2188" s="6">
        <v>20.478950000000001</v>
      </c>
      <c r="D2188" s="6">
        <v>68</v>
      </c>
      <c r="E2188" s="6">
        <v>0</v>
      </c>
      <c r="F2188" s="6">
        <v>0</v>
      </c>
      <c r="G2188" s="6">
        <v>26</v>
      </c>
      <c r="H2188" s="6" t="s">
        <v>30014</v>
      </c>
      <c r="I2188" s="6">
        <v>526.5</v>
      </c>
      <c r="J2188" s="2">
        <f t="shared" si="34"/>
        <v>43748.599065381939</v>
      </c>
    </row>
    <row r="2189" spans="1:10" x14ac:dyDescent="0.25">
      <c r="A2189" s="7" t="s">
        <v>30015</v>
      </c>
      <c r="B2189" s="8">
        <v>393.75</v>
      </c>
      <c r="C2189" s="8">
        <v>20.478950000000001</v>
      </c>
      <c r="D2189" s="8">
        <v>68</v>
      </c>
      <c r="E2189" s="8">
        <v>0</v>
      </c>
      <c r="F2189" s="8">
        <v>0</v>
      </c>
      <c r="G2189" s="8">
        <v>31</v>
      </c>
      <c r="H2189" s="8" t="s">
        <v>30016</v>
      </c>
      <c r="I2189" s="8">
        <v>526.6875</v>
      </c>
      <c r="J2189" s="3">
        <f t="shared" si="34"/>
        <v>43748.599149085647</v>
      </c>
    </row>
    <row r="2190" spans="1:10" x14ac:dyDescent="0.25">
      <c r="A2190" s="5" t="s">
        <v>30017</v>
      </c>
      <c r="B2190" s="6">
        <v>393.75</v>
      </c>
      <c r="C2190" s="6">
        <v>20.478950000000001</v>
      </c>
      <c r="D2190" s="6">
        <v>68</v>
      </c>
      <c r="E2190" s="6">
        <v>0</v>
      </c>
      <c r="F2190" s="6">
        <v>0</v>
      </c>
      <c r="G2190" s="6">
        <v>26</v>
      </c>
      <c r="H2190" s="6" t="s">
        <v>30018</v>
      </c>
      <c r="I2190" s="6">
        <v>526.6875</v>
      </c>
      <c r="J2190" s="2">
        <f t="shared" si="34"/>
        <v>43748.599232407403</v>
      </c>
    </row>
    <row r="2191" spans="1:10" x14ac:dyDescent="0.25">
      <c r="A2191" s="7" t="s">
        <v>30019</v>
      </c>
      <c r="B2191" s="8">
        <v>428.125</v>
      </c>
      <c r="C2191" s="8">
        <v>20.478950000000001</v>
      </c>
      <c r="D2191" s="8">
        <v>69</v>
      </c>
      <c r="E2191" s="8">
        <v>0</v>
      </c>
      <c r="F2191" s="8">
        <v>0</v>
      </c>
      <c r="G2191" s="8">
        <v>15</v>
      </c>
      <c r="H2191" s="8" t="s">
        <v>30020</v>
      </c>
      <c r="I2191" s="8">
        <v>537.375</v>
      </c>
      <c r="J2191" s="3">
        <f t="shared" si="34"/>
        <v>43748.599315740743</v>
      </c>
    </row>
    <row r="2192" spans="1:10" x14ac:dyDescent="0.25">
      <c r="A2192" s="5" t="s">
        <v>30021</v>
      </c>
      <c r="B2192" s="6">
        <v>393.75</v>
      </c>
      <c r="C2192" s="6">
        <v>20.478950000000001</v>
      </c>
      <c r="D2192" s="6">
        <v>69</v>
      </c>
      <c r="E2192" s="6">
        <v>0</v>
      </c>
      <c r="F2192" s="6">
        <v>0</v>
      </c>
      <c r="G2192" s="6">
        <v>23</v>
      </c>
      <c r="H2192" s="6" t="s">
        <v>30022</v>
      </c>
      <c r="I2192" s="6">
        <v>526.6875</v>
      </c>
      <c r="J2192" s="2">
        <f t="shared" si="34"/>
        <v>43748.599399444443</v>
      </c>
    </row>
    <row r="2193" spans="1:10" x14ac:dyDescent="0.25">
      <c r="A2193" s="7" t="s">
        <v>30023</v>
      </c>
      <c r="B2193" s="8">
        <v>393.75</v>
      </c>
      <c r="C2193" s="8">
        <v>20.478950000000001</v>
      </c>
      <c r="D2193" s="8">
        <v>71</v>
      </c>
      <c r="E2193" s="8">
        <v>0</v>
      </c>
      <c r="F2193" s="8">
        <v>0</v>
      </c>
      <c r="G2193" s="8">
        <v>22</v>
      </c>
      <c r="H2193" s="8" t="s">
        <v>30024</v>
      </c>
      <c r="I2193" s="8">
        <v>526.6875</v>
      </c>
      <c r="J2193" s="3">
        <f t="shared" si="34"/>
        <v>43748.599482754631</v>
      </c>
    </row>
    <row r="2194" spans="1:10" x14ac:dyDescent="0.25">
      <c r="A2194" s="5" t="s">
        <v>30025</v>
      </c>
      <c r="B2194" s="6">
        <v>393.75</v>
      </c>
      <c r="C2194" s="6">
        <v>20.478950000000001</v>
      </c>
      <c r="D2194" s="6">
        <v>70</v>
      </c>
      <c r="E2194" s="6">
        <v>0</v>
      </c>
      <c r="F2194" s="6">
        <v>0</v>
      </c>
      <c r="G2194" s="6">
        <v>24</v>
      </c>
      <c r="H2194" s="6" t="s">
        <v>30026</v>
      </c>
      <c r="I2194" s="6">
        <v>526.6875</v>
      </c>
      <c r="J2194" s="2">
        <f t="shared" si="34"/>
        <v>43748.599566435187</v>
      </c>
    </row>
    <row r="2195" spans="1:10" x14ac:dyDescent="0.25">
      <c r="A2195" s="7" t="s">
        <v>30027</v>
      </c>
      <c r="B2195" s="8">
        <v>393.75</v>
      </c>
      <c r="C2195" s="8">
        <v>20.478950000000001</v>
      </c>
      <c r="D2195" s="8">
        <v>70</v>
      </c>
      <c r="E2195" s="8">
        <v>0</v>
      </c>
      <c r="F2195" s="8">
        <v>0</v>
      </c>
      <c r="G2195" s="8">
        <v>22</v>
      </c>
      <c r="H2195" s="8" t="s">
        <v>30028</v>
      </c>
      <c r="I2195" s="8">
        <v>526.6875</v>
      </c>
      <c r="J2195" s="3">
        <f t="shared" si="34"/>
        <v>43748.599649884258</v>
      </c>
    </row>
    <row r="2196" spans="1:10" x14ac:dyDescent="0.25">
      <c r="A2196" s="5" t="s">
        <v>30029</v>
      </c>
      <c r="B2196" s="6">
        <v>393.75</v>
      </c>
      <c r="C2196" s="6">
        <v>20.478950000000001</v>
      </c>
      <c r="D2196" s="6">
        <v>70</v>
      </c>
      <c r="E2196" s="6">
        <v>0</v>
      </c>
      <c r="F2196" s="6">
        <v>0</v>
      </c>
      <c r="G2196" s="6">
        <v>23</v>
      </c>
      <c r="H2196" s="6" t="s">
        <v>30030</v>
      </c>
      <c r="I2196" s="6">
        <v>526.6875</v>
      </c>
      <c r="J2196" s="2">
        <f t="shared" si="34"/>
        <v>43748.599733425923</v>
      </c>
    </row>
    <row r="2197" spans="1:10" x14ac:dyDescent="0.25">
      <c r="A2197" s="7" t="s">
        <v>30031</v>
      </c>
      <c r="B2197" s="8">
        <v>393.75</v>
      </c>
      <c r="C2197" s="8">
        <v>20.531590000000001</v>
      </c>
      <c r="D2197" s="8">
        <v>70</v>
      </c>
      <c r="E2197" s="8">
        <v>0</v>
      </c>
      <c r="F2197" s="8">
        <v>0</v>
      </c>
      <c r="G2197" s="8">
        <v>19</v>
      </c>
      <c r="H2197" s="8" t="s">
        <v>30032</v>
      </c>
      <c r="I2197" s="8">
        <v>526.5</v>
      </c>
      <c r="J2197" s="3">
        <f t="shared" si="34"/>
        <v>43748.599816898146</v>
      </c>
    </row>
    <row r="2198" spans="1:10" x14ac:dyDescent="0.25">
      <c r="A2198" s="5" t="s">
        <v>30033</v>
      </c>
      <c r="B2198" s="6">
        <v>412.5</v>
      </c>
      <c r="C2198" s="6">
        <v>20.478950000000001</v>
      </c>
      <c r="D2198" s="6">
        <v>71</v>
      </c>
      <c r="E2198" s="6">
        <v>0</v>
      </c>
      <c r="F2198" s="6">
        <v>0</v>
      </c>
      <c r="G2198" s="6">
        <v>24</v>
      </c>
      <c r="H2198" s="6" t="s">
        <v>30034</v>
      </c>
      <c r="I2198" s="6">
        <v>532.3125</v>
      </c>
      <c r="J2198" s="2">
        <f t="shared" si="34"/>
        <v>43748.599900451387</v>
      </c>
    </row>
    <row r="2199" spans="1:10" x14ac:dyDescent="0.25">
      <c r="A2199" s="7" t="s">
        <v>30035</v>
      </c>
      <c r="B2199" s="8">
        <v>393.75</v>
      </c>
      <c r="C2199" s="8">
        <v>20.478950000000001</v>
      </c>
      <c r="D2199" s="8">
        <v>69</v>
      </c>
      <c r="E2199" s="8">
        <v>0</v>
      </c>
      <c r="F2199" s="8">
        <v>0</v>
      </c>
      <c r="G2199" s="8">
        <v>25</v>
      </c>
      <c r="H2199" s="8" t="s">
        <v>30036</v>
      </c>
      <c r="I2199" s="8">
        <v>526.6875</v>
      </c>
      <c r="J2199" s="3">
        <f t="shared" si="34"/>
        <v>43748.599983888889</v>
      </c>
    </row>
    <row r="2200" spans="1:10" x14ac:dyDescent="0.25">
      <c r="A2200" s="5" t="s">
        <v>30037</v>
      </c>
      <c r="B2200" s="6">
        <v>418.75</v>
      </c>
      <c r="C2200" s="6">
        <v>20.531590000000001</v>
      </c>
      <c r="D2200" s="6">
        <v>69</v>
      </c>
      <c r="E2200" s="6">
        <v>0</v>
      </c>
      <c r="F2200" s="6">
        <v>0</v>
      </c>
      <c r="G2200" s="6">
        <v>30</v>
      </c>
      <c r="H2200" s="6" t="s">
        <v>30038</v>
      </c>
      <c r="I2200" s="6">
        <v>534.375</v>
      </c>
      <c r="J2200" s="2">
        <f t="shared" si="34"/>
        <v>43748.60006759259</v>
      </c>
    </row>
    <row r="2201" spans="1:10" x14ac:dyDescent="0.25">
      <c r="A2201" s="7" t="s">
        <v>30039</v>
      </c>
      <c r="B2201" s="8">
        <v>393.75</v>
      </c>
      <c r="C2201" s="8">
        <v>20.478950000000001</v>
      </c>
      <c r="D2201" s="8">
        <v>68</v>
      </c>
      <c r="E2201" s="8">
        <v>0</v>
      </c>
      <c r="F2201" s="8">
        <v>0</v>
      </c>
      <c r="G2201" s="8">
        <v>29</v>
      </c>
      <c r="H2201" s="8" t="s">
        <v>30040</v>
      </c>
      <c r="I2201" s="8">
        <v>526.6875</v>
      </c>
      <c r="J2201" s="3">
        <f t="shared" si="34"/>
        <v>43748.600151018516</v>
      </c>
    </row>
    <row r="2202" spans="1:10" x14ac:dyDescent="0.25">
      <c r="A2202" s="5" t="s">
        <v>30041</v>
      </c>
      <c r="B2202" s="6">
        <v>393.75</v>
      </c>
      <c r="C2202" s="6">
        <v>20.531590000000001</v>
      </c>
      <c r="D2202" s="6">
        <v>71</v>
      </c>
      <c r="E2202" s="6">
        <v>0</v>
      </c>
      <c r="F2202" s="6">
        <v>0</v>
      </c>
      <c r="G2202" s="6">
        <v>33</v>
      </c>
      <c r="H2202" s="6" t="s">
        <v>30042</v>
      </c>
      <c r="I2202" s="6">
        <v>526.6875</v>
      </c>
      <c r="J2202" s="2">
        <f t="shared" si="34"/>
        <v>43748.600234247679</v>
      </c>
    </row>
    <row r="2203" spans="1:10" x14ac:dyDescent="0.25">
      <c r="A2203" s="7" t="s">
        <v>30043</v>
      </c>
      <c r="B2203" s="8">
        <v>393.75</v>
      </c>
      <c r="C2203" s="8">
        <v>20.531590000000001</v>
      </c>
      <c r="D2203" s="8">
        <v>71</v>
      </c>
      <c r="E2203" s="8">
        <v>0</v>
      </c>
      <c r="F2203" s="8">
        <v>0</v>
      </c>
      <c r="G2203" s="8">
        <v>30</v>
      </c>
      <c r="H2203" s="8" t="s">
        <v>30044</v>
      </c>
      <c r="I2203" s="8">
        <v>526.6875</v>
      </c>
      <c r="J2203" s="3">
        <f t="shared" si="34"/>
        <v>43748.600306018518</v>
      </c>
    </row>
    <row r="2204" spans="1:10" x14ac:dyDescent="0.25">
      <c r="A2204" s="5" t="s">
        <v>30045</v>
      </c>
      <c r="B2204" s="6">
        <v>393.75</v>
      </c>
      <c r="C2204" s="6">
        <v>20.478950000000001</v>
      </c>
      <c r="D2204" s="6">
        <v>69</v>
      </c>
      <c r="E2204" s="6">
        <v>0</v>
      </c>
      <c r="F2204" s="6">
        <v>0</v>
      </c>
      <c r="G2204" s="6">
        <v>33</v>
      </c>
      <c r="H2204" s="6" t="s">
        <v>30046</v>
      </c>
      <c r="I2204" s="6">
        <v>526.6875</v>
      </c>
      <c r="J2204" s="2">
        <f t="shared" si="34"/>
        <v>43748.60038945602</v>
      </c>
    </row>
    <row r="2205" spans="1:10" x14ac:dyDescent="0.25">
      <c r="A2205" s="7" t="s">
        <v>30047</v>
      </c>
      <c r="B2205" s="8">
        <v>393.75</v>
      </c>
      <c r="C2205" s="8">
        <v>20.478950000000001</v>
      </c>
      <c r="D2205" s="8">
        <v>69</v>
      </c>
      <c r="E2205" s="8">
        <v>0</v>
      </c>
      <c r="F2205" s="8">
        <v>0</v>
      </c>
      <c r="G2205" s="8">
        <v>31</v>
      </c>
      <c r="H2205" s="8" t="s">
        <v>30048</v>
      </c>
      <c r="I2205" s="8">
        <v>526.6875</v>
      </c>
      <c r="J2205" s="3">
        <f t="shared" si="34"/>
        <v>43748.60047302083</v>
      </c>
    </row>
    <row r="2206" spans="1:10" x14ac:dyDescent="0.25">
      <c r="A2206" s="5" t="s">
        <v>30049</v>
      </c>
      <c r="B2206" s="6">
        <v>393.75</v>
      </c>
      <c r="C2206" s="6">
        <v>20.478950000000001</v>
      </c>
      <c r="D2206" s="6">
        <v>69</v>
      </c>
      <c r="E2206" s="6">
        <v>0</v>
      </c>
      <c r="F2206" s="6">
        <v>0</v>
      </c>
      <c r="G2206" s="6">
        <v>27</v>
      </c>
      <c r="H2206" s="6" t="s">
        <v>30050</v>
      </c>
      <c r="I2206" s="6">
        <v>526.6875</v>
      </c>
      <c r="J2206" s="2">
        <f t="shared" si="34"/>
        <v>43748.600556481477</v>
      </c>
    </row>
    <row r="2207" spans="1:10" x14ac:dyDescent="0.25">
      <c r="A2207" s="7" t="s">
        <v>30051</v>
      </c>
      <c r="B2207" s="8">
        <v>393.75</v>
      </c>
      <c r="C2207" s="8">
        <v>20.478950000000001</v>
      </c>
      <c r="D2207" s="8">
        <v>69</v>
      </c>
      <c r="E2207" s="8">
        <v>0</v>
      </c>
      <c r="F2207" s="8">
        <v>0</v>
      </c>
      <c r="G2207" s="8">
        <v>24</v>
      </c>
      <c r="H2207" s="8" t="s">
        <v>30052</v>
      </c>
      <c r="I2207" s="8">
        <v>526.6875</v>
      </c>
      <c r="J2207" s="3">
        <f t="shared" si="34"/>
        <v>43748.600640034718</v>
      </c>
    </row>
    <row r="2208" spans="1:10" x14ac:dyDescent="0.25">
      <c r="A2208" s="5" t="s">
        <v>30053</v>
      </c>
      <c r="B2208" s="6">
        <v>393.75</v>
      </c>
      <c r="C2208" s="6">
        <v>20.478950000000001</v>
      </c>
      <c r="D2208" s="6">
        <v>71</v>
      </c>
      <c r="E2208" s="6">
        <v>0</v>
      </c>
      <c r="F2208" s="6">
        <v>0</v>
      </c>
      <c r="G2208" s="6">
        <v>27</v>
      </c>
      <c r="H2208" s="6" t="s">
        <v>30054</v>
      </c>
      <c r="I2208" s="6">
        <v>526.6875</v>
      </c>
      <c r="J2208" s="2">
        <f t="shared" si="34"/>
        <v>43748.600723275456</v>
      </c>
    </row>
    <row r="2209" spans="1:10" x14ac:dyDescent="0.25">
      <c r="A2209" s="7" t="s">
        <v>30055</v>
      </c>
      <c r="B2209" s="8">
        <v>393.75</v>
      </c>
      <c r="C2209" s="8">
        <v>20.584240000000001</v>
      </c>
      <c r="D2209" s="8">
        <v>71</v>
      </c>
      <c r="E2209" s="8">
        <v>0</v>
      </c>
      <c r="F2209" s="8">
        <v>0</v>
      </c>
      <c r="G2209" s="8">
        <v>27</v>
      </c>
      <c r="H2209" s="8" t="s">
        <v>30056</v>
      </c>
      <c r="I2209" s="8">
        <v>526.6875</v>
      </c>
      <c r="J2209" s="3">
        <f t="shared" si="34"/>
        <v>43748.600794768521</v>
      </c>
    </row>
    <row r="2210" spans="1:10" x14ac:dyDescent="0.25">
      <c r="A2210" s="5" t="s">
        <v>30057</v>
      </c>
      <c r="B2210" s="6">
        <v>393.75</v>
      </c>
      <c r="C2210" s="6">
        <v>20.531590000000001</v>
      </c>
      <c r="D2210" s="6">
        <v>71</v>
      </c>
      <c r="E2210" s="6">
        <v>0</v>
      </c>
      <c r="F2210" s="6">
        <v>0</v>
      </c>
      <c r="G2210" s="6">
        <v>25</v>
      </c>
      <c r="H2210" s="6" t="s">
        <v>30058</v>
      </c>
      <c r="I2210" s="6">
        <v>526.6875</v>
      </c>
      <c r="J2210" s="2">
        <f t="shared" si="34"/>
        <v>43748.600878692123</v>
      </c>
    </row>
    <row r="2211" spans="1:10" x14ac:dyDescent="0.25">
      <c r="A2211" s="7" t="s">
        <v>30059</v>
      </c>
      <c r="B2211" s="8">
        <v>393.75</v>
      </c>
      <c r="C2211" s="8">
        <v>20.478950000000001</v>
      </c>
      <c r="D2211" s="8">
        <v>71</v>
      </c>
      <c r="E2211" s="8">
        <v>0</v>
      </c>
      <c r="F2211" s="8">
        <v>0</v>
      </c>
      <c r="G2211" s="8">
        <v>28</v>
      </c>
      <c r="H2211" s="8" t="s">
        <v>30060</v>
      </c>
      <c r="I2211" s="8">
        <v>526.6875</v>
      </c>
      <c r="J2211" s="3">
        <f t="shared" si="34"/>
        <v>43748.60096215277</v>
      </c>
    </row>
    <row r="2212" spans="1:10" x14ac:dyDescent="0.25">
      <c r="A2212" s="5" t="s">
        <v>30061</v>
      </c>
      <c r="B2212" s="6">
        <v>393.75</v>
      </c>
      <c r="C2212" s="6">
        <v>20.531590000000001</v>
      </c>
      <c r="D2212" s="6">
        <v>71</v>
      </c>
      <c r="E2212" s="6">
        <v>0</v>
      </c>
      <c r="F2212" s="6">
        <v>0</v>
      </c>
      <c r="G2212" s="6">
        <v>20</v>
      </c>
      <c r="H2212" s="6" t="s">
        <v>30062</v>
      </c>
      <c r="I2212" s="6">
        <v>526.6875</v>
      </c>
      <c r="J2212" s="2">
        <f t="shared" si="34"/>
        <v>43748.601045358795</v>
      </c>
    </row>
    <row r="2213" spans="1:10" x14ac:dyDescent="0.25">
      <c r="A2213" s="7" t="s">
        <v>30063</v>
      </c>
      <c r="B2213" s="8">
        <v>393.75</v>
      </c>
      <c r="C2213" s="8">
        <v>20.531590000000001</v>
      </c>
      <c r="D2213" s="8">
        <v>71</v>
      </c>
      <c r="E2213" s="8">
        <v>0</v>
      </c>
      <c r="F2213" s="8">
        <v>0</v>
      </c>
      <c r="G2213" s="8">
        <v>33</v>
      </c>
      <c r="H2213" s="8" t="s">
        <v>30064</v>
      </c>
      <c r="I2213" s="8">
        <v>526.6875</v>
      </c>
      <c r="J2213" s="3">
        <f t="shared" si="34"/>
        <v>43748.601117118051</v>
      </c>
    </row>
    <row r="2214" spans="1:10" x14ac:dyDescent="0.25">
      <c r="A2214" s="5" t="s">
        <v>30065</v>
      </c>
      <c r="B2214" s="6">
        <v>393.75</v>
      </c>
      <c r="C2214" s="6">
        <v>20.478950000000001</v>
      </c>
      <c r="D2214" s="6">
        <v>71</v>
      </c>
      <c r="E2214" s="6">
        <v>0</v>
      </c>
      <c r="F2214" s="6">
        <v>0</v>
      </c>
      <c r="G2214" s="6">
        <v>29</v>
      </c>
      <c r="H2214" s="6" t="s">
        <v>30066</v>
      </c>
      <c r="I2214" s="6">
        <v>526.6875</v>
      </c>
      <c r="J2214" s="2">
        <f t="shared" si="34"/>
        <v>43748.601203692124</v>
      </c>
    </row>
    <row r="2215" spans="1:10" x14ac:dyDescent="0.25">
      <c r="A2215" s="7" t="s">
        <v>30067</v>
      </c>
      <c r="B2215" s="8">
        <v>393.75</v>
      </c>
      <c r="C2215" s="8">
        <v>20.478950000000001</v>
      </c>
      <c r="D2215" s="8">
        <v>69</v>
      </c>
      <c r="E2215" s="8">
        <v>0</v>
      </c>
      <c r="F2215" s="8">
        <v>0</v>
      </c>
      <c r="G2215" s="8">
        <v>23</v>
      </c>
      <c r="H2215" s="8" t="s">
        <v>30068</v>
      </c>
      <c r="I2215" s="8">
        <v>526.6875</v>
      </c>
      <c r="J2215" s="3">
        <f t="shared" si="34"/>
        <v>43748.601284293974</v>
      </c>
    </row>
    <row r="2216" spans="1:10" x14ac:dyDescent="0.25">
      <c r="A2216" s="5" t="s">
        <v>30069</v>
      </c>
      <c r="B2216" s="6">
        <v>393.75</v>
      </c>
      <c r="C2216" s="6">
        <v>20.478950000000001</v>
      </c>
      <c r="D2216" s="6">
        <v>69</v>
      </c>
      <c r="E2216" s="6">
        <v>0</v>
      </c>
      <c r="F2216" s="6">
        <v>0</v>
      </c>
      <c r="G2216" s="6">
        <v>35</v>
      </c>
      <c r="H2216" s="6" t="s">
        <v>30070</v>
      </c>
      <c r="I2216" s="6">
        <v>526.6875</v>
      </c>
      <c r="J2216" s="2">
        <f t="shared" si="34"/>
        <v>43748.601367581017</v>
      </c>
    </row>
    <row r="2217" spans="1:10" x14ac:dyDescent="0.25">
      <c r="A2217" s="7" t="s">
        <v>30071</v>
      </c>
      <c r="B2217" s="8">
        <v>393.75</v>
      </c>
      <c r="C2217" s="8">
        <v>20.478950000000001</v>
      </c>
      <c r="D2217" s="8">
        <v>69</v>
      </c>
      <c r="E2217" s="8">
        <v>0</v>
      </c>
      <c r="F2217" s="8">
        <v>0</v>
      </c>
      <c r="G2217" s="8">
        <v>40</v>
      </c>
      <c r="H2217" s="8" t="s">
        <v>30072</v>
      </c>
      <c r="I2217" s="8">
        <v>526.6875</v>
      </c>
      <c r="J2217" s="3">
        <f t="shared" si="34"/>
        <v>43748.601439247686</v>
      </c>
    </row>
    <row r="2218" spans="1:10" x14ac:dyDescent="0.25">
      <c r="A2218" s="5" t="s">
        <v>30073</v>
      </c>
      <c r="B2218" s="6">
        <v>393.75</v>
      </c>
      <c r="C2218" s="6">
        <v>20.478950000000001</v>
      </c>
      <c r="D2218" s="6">
        <v>69</v>
      </c>
      <c r="E2218" s="6">
        <v>0</v>
      </c>
      <c r="F2218" s="6">
        <v>0</v>
      </c>
      <c r="G2218" s="6">
        <v>36</v>
      </c>
      <c r="H2218" s="6" t="s">
        <v>30074</v>
      </c>
      <c r="I2218" s="6">
        <v>526.6875</v>
      </c>
      <c r="J2218" s="2">
        <f t="shared" si="34"/>
        <v>43748.601522789344</v>
      </c>
    </row>
    <row r="2219" spans="1:10" x14ac:dyDescent="0.25">
      <c r="A2219" s="7" t="s">
        <v>30075</v>
      </c>
      <c r="B2219" s="8">
        <v>393.75</v>
      </c>
      <c r="C2219" s="8">
        <v>20.531590000000001</v>
      </c>
      <c r="D2219" s="8">
        <v>69</v>
      </c>
      <c r="E2219" s="8">
        <v>0</v>
      </c>
      <c r="F2219" s="8">
        <v>0</v>
      </c>
      <c r="G2219" s="8">
        <v>31</v>
      </c>
      <c r="H2219" s="8" t="s">
        <v>30076</v>
      </c>
      <c r="I2219" s="8">
        <v>526.6875</v>
      </c>
      <c r="J2219" s="3">
        <f t="shared" si="34"/>
        <v>43748.601630138888</v>
      </c>
    </row>
    <row r="2220" spans="1:10" x14ac:dyDescent="0.25">
      <c r="A2220" s="5" t="s">
        <v>30077</v>
      </c>
      <c r="B2220" s="6">
        <v>393.75</v>
      </c>
      <c r="C2220" s="6">
        <v>20.531590000000001</v>
      </c>
      <c r="D2220" s="6">
        <v>70</v>
      </c>
      <c r="E2220" s="6">
        <v>0</v>
      </c>
      <c r="F2220" s="6">
        <v>0</v>
      </c>
      <c r="G2220" s="6">
        <v>30</v>
      </c>
      <c r="H2220" s="6" t="s">
        <v>30078</v>
      </c>
      <c r="I2220" s="6">
        <v>526.6875</v>
      </c>
      <c r="J2220" s="2">
        <f t="shared" si="34"/>
        <v>43748.601713599535</v>
      </c>
    </row>
    <row r="2221" spans="1:10" x14ac:dyDescent="0.25">
      <c r="A2221" s="7" t="s">
        <v>30079</v>
      </c>
      <c r="B2221" s="8">
        <v>393.75</v>
      </c>
      <c r="C2221" s="8">
        <v>20.478950000000001</v>
      </c>
      <c r="D2221" s="8">
        <v>70</v>
      </c>
      <c r="E2221" s="8">
        <v>0</v>
      </c>
      <c r="F2221" s="8">
        <v>0</v>
      </c>
      <c r="G2221" s="8">
        <v>27</v>
      </c>
      <c r="H2221" s="8" t="s">
        <v>30080</v>
      </c>
      <c r="I2221" s="8">
        <v>526.6875</v>
      </c>
      <c r="J2221" s="3">
        <f t="shared" si="34"/>
        <v>43748.601797152776</v>
      </c>
    </row>
    <row r="2222" spans="1:10" x14ac:dyDescent="0.25">
      <c r="A2222" s="5" t="s">
        <v>30081</v>
      </c>
      <c r="B2222" s="6">
        <v>412.5</v>
      </c>
      <c r="C2222" s="6">
        <v>20.531590000000001</v>
      </c>
      <c r="D2222" s="6">
        <v>69</v>
      </c>
      <c r="E2222" s="6">
        <v>0</v>
      </c>
      <c r="F2222" s="6">
        <v>0</v>
      </c>
      <c r="G2222" s="6">
        <v>33</v>
      </c>
      <c r="H2222" s="6" t="s">
        <v>30082</v>
      </c>
      <c r="I2222" s="6">
        <v>532.3125</v>
      </c>
      <c r="J2222" s="2">
        <f t="shared" si="34"/>
        <v>43748.601880601847</v>
      </c>
    </row>
    <row r="2223" spans="1:10" x14ac:dyDescent="0.25">
      <c r="A2223" s="7" t="s">
        <v>30083</v>
      </c>
      <c r="B2223" s="8">
        <v>393.75</v>
      </c>
      <c r="C2223" s="8">
        <v>20.531590000000001</v>
      </c>
      <c r="D2223" s="8">
        <v>70</v>
      </c>
      <c r="E2223" s="8">
        <v>0</v>
      </c>
      <c r="F2223" s="8">
        <v>0</v>
      </c>
      <c r="G2223" s="8">
        <v>33</v>
      </c>
      <c r="H2223" s="8" t="s">
        <v>30084</v>
      </c>
      <c r="I2223" s="8">
        <v>526.6875</v>
      </c>
      <c r="J2223" s="3">
        <f t="shared" si="34"/>
        <v>43748.601963831017</v>
      </c>
    </row>
    <row r="2224" spans="1:10" x14ac:dyDescent="0.25">
      <c r="A2224" s="5" t="s">
        <v>30085</v>
      </c>
      <c r="B2224" s="6">
        <v>393.75</v>
      </c>
      <c r="C2224" s="6">
        <v>20.478950000000001</v>
      </c>
      <c r="D2224" s="6">
        <v>70</v>
      </c>
      <c r="E2224" s="6">
        <v>0</v>
      </c>
      <c r="F2224" s="6">
        <v>0</v>
      </c>
      <c r="G2224" s="6">
        <v>32</v>
      </c>
      <c r="H2224" s="6" t="s">
        <v>30086</v>
      </c>
      <c r="I2224" s="6">
        <v>526.6875</v>
      </c>
      <c r="J2224" s="2">
        <f t="shared" si="34"/>
        <v>43748.602035462965</v>
      </c>
    </row>
    <row r="2225" spans="1:10" x14ac:dyDescent="0.25">
      <c r="A2225" s="7" t="s">
        <v>30087</v>
      </c>
      <c r="B2225" s="8">
        <v>393.75</v>
      </c>
      <c r="C2225" s="8">
        <v>20.478950000000001</v>
      </c>
      <c r="D2225" s="8">
        <v>71</v>
      </c>
      <c r="E2225" s="8">
        <v>0</v>
      </c>
      <c r="F2225" s="8">
        <v>0</v>
      </c>
      <c r="G2225" s="8">
        <v>34</v>
      </c>
      <c r="H2225" s="8" t="s">
        <v>30088</v>
      </c>
      <c r="I2225" s="8">
        <v>526.6875</v>
      </c>
      <c r="J2225" s="3">
        <f t="shared" si="34"/>
        <v>43748.602119386567</v>
      </c>
    </row>
    <row r="2226" spans="1:10" x14ac:dyDescent="0.25">
      <c r="A2226" s="5" t="s">
        <v>30089</v>
      </c>
      <c r="B2226" s="6">
        <v>393.75</v>
      </c>
      <c r="C2226" s="6">
        <v>20.478950000000001</v>
      </c>
      <c r="D2226" s="6">
        <v>71</v>
      </c>
      <c r="E2226" s="6">
        <v>0</v>
      </c>
      <c r="F2226" s="6">
        <v>0</v>
      </c>
      <c r="G2226" s="6">
        <v>28</v>
      </c>
      <c r="H2226" s="6" t="s">
        <v>30090</v>
      </c>
      <c r="I2226" s="6">
        <v>526.6875</v>
      </c>
      <c r="J2226" s="2">
        <f t="shared" si="34"/>
        <v>43748.602202696762</v>
      </c>
    </row>
    <row r="2227" spans="1:10" x14ac:dyDescent="0.25">
      <c r="A2227" s="7" t="s">
        <v>30091</v>
      </c>
      <c r="B2227" s="8">
        <v>412.5</v>
      </c>
      <c r="C2227" s="8">
        <v>20.478950000000001</v>
      </c>
      <c r="D2227" s="8">
        <v>70</v>
      </c>
      <c r="E2227" s="8">
        <v>0</v>
      </c>
      <c r="F2227" s="8">
        <v>0</v>
      </c>
      <c r="G2227" s="8">
        <v>24</v>
      </c>
      <c r="H2227" s="8" t="s">
        <v>30092</v>
      </c>
      <c r="I2227" s="8">
        <v>532.3125</v>
      </c>
      <c r="J2227" s="3">
        <f t="shared" si="34"/>
        <v>43748.602286030095</v>
      </c>
    </row>
    <row r="2228" spans="1:10" x14ac:dyDescent="0.25">
      <c r="A2228" s="5" t="s">
        <v>30093</v>
      </c>
      <c r="B2228" s="6">
        <v>393.75</v>
      </c>
      <c r="C2228" s="6">
        <v>20.478950000000001</v>
      </c>
      <c r="D2228" s="6">
        <v>70</v>
      </c>
      <c r="E2228" s="6">
        <v>0</v>
      </c>
      <c r="F2228" s="6">
        <v>0</v>
      </c>
      <c r="G2228" s="6">
        <v>27</v>
      </c>
      <c r="H2228" s="6" t="s">
        <v>30094</v>
      </c>
      <c r="I2228" s="6">
        <v>526.6875</v>
      </c>
      <c r="J2228" s="2">
        <f t="shared" si="34"/>
        <v>43748.602357453703</v>
      </c>
    </row>
    <row r="2229" spans="1:10" x14ac:dyDescent="0.25">
      <c r="A2229" s="7" t="s">
        <v>30095</v>
      </c>
      <c r="B2229" s="8">
        <v>393.75</v>
      </c>
      <c r="C2229" s="8">
        <v>20.478950000000001</v>
      </c>
      <c r="D2229" s="8">
        <v>70</v>
      </c>
      <c r="E2229" s="8">
        <v>0</v>
      </c>
      <c r="F2229" s="8">
        <v>0</v>
      </c>
      <c r="G2229" s="8">
        <v>23</v>
      </c>
      <c r="H2229" s="8" t="s">
        <v>30096</v>
      </c>
      <c r="I2229" s="8">
        <v>526.6875</v>
      </c>
      <c r="J2229" s="3">
        <f t="shared" si="34"/>
        <v>43748.602429444443</v>
      </c>
    </row>
    <row r="2230" spans="1:10" x14ac:dyDescent="0.25">
      <c r="A2230" s="5" t="s">
        <v>30097</v>
      </c>
      <c r="B2230" s="6">
        <v>393.75</v>
      </c>
      <c r="C2230" s="6">
        <v>20.531590000000001</v>
      </c>
      <c r="D2230" s="6">
        <v>70</v>
      </c>
      <c r="E2230" s="6">
        <v>0</v>
      </c>
      <c r="F2230" s="6">
        <v>0</v>
      </c>
      <c r="G2230" s="6">
        <v>19</v>
      </c>
      <c r="H2230" s="6" t="s">
        <v>30098</v>
      </c>
      <c r="I2230" s="6">
        <v>526.5</v>
      </c>
      <c r="J2230" s="2">
        <f t="shared" si="34"/>
        <v>43748.602512789344</v>
      </c>
    </row>
    <row r="2231" spans="1:10" x14ac:dyDescent="0.25">
      <c r="A2231" s="7" t="s">
        <v>30099</v>
      </c>
      <c r="B2231" s="8">
        <v>393.75</v>
      </c>
      <c r="C2231" s="8">
        <v>20.478950000000001</v>
      </c>
      <c r="D2231" s="8">
        <v>71</v>
      </c>
      <c r="E2231" s="8">
        <v>0</v>
      </c>
      <c r="F2231" s="8">
        <v>0</v>
      </c>
      <c r="G2231" s="8">
        <v>28</v>
      </c>
      <c r="H2231" s="8" t="s">
        <v>30100</v>
      </c>
      <c r="I2231" s="8">
        <v>526.6875</v>
      </c>
      <c r="J2231" s="3">
        <f t="shared" si="34"/>
        <v>43748.602584432869</v>
      </c>
    </row>
    <row r="2232" spans="1:10" x14ac:dyDescent="0.25">
      <c r="A2232" s="5" t="s">
        <v>30101</v>
      </c>
      <c r="B2232" s="6">
        <v>393.75</v>
      </c>
      <c r="C2232" s="6">
        <v>20.478950000000001</v>
      </c>
      <c r="D2232" s="6">
        <v>70</v>
      </c>
      <c r="E2232" s="6">
        <v>0</v>
      </c>
      <c r="F2232" s="6">
        <v>0</v>
      </c>
      <c r="G2232" s="6">
        <v>24</v>
      </c>
      <c r="H2232" s="6" t="s">
        <v>30102</v>
      </c>
      <c r="I2232" s="6">
        <v>526.6875</v>
      </c>
      <c r="J2232" s="2">
        <f t="shared" si="34"/>
        <v>43748.602667546293</v>
      </c>
    </row>
    <row r="2233" spans="1:10" x14ac:dyDescent="0.25">
      <c r="A2233" s="7" t="s">
        <v>30103</v>
      </c>
      <c r="B2233" s="8">
        <v>425</v>
      </c>
      <c r="C2233" s="8">
        <v>20.478950000000001</v>
      </c>
      <c r="D2233" s="8">
        <v>71</v>
      </c>
      <c r="E2233" s="8">
        <v>0</v>
      </c>
      <c r="F2233" s="8">
        <v>0</v>
      </c>
      <c r="G2233" s="8">
        <v>31</v>
      </c>
      <c r="H2233" s="8" t="s">
        <v>30104</v>
      </c>
      <c r="I2233" s="8">
        <v>536.4375</v>
      </c>
      <c r="J2233" s="3">
        <f t="shared" si="34"/>
        <v>43748.602739525457</v>
      </c>
    </row>
    <row r="2234" spans="1:10" x14ac:dyDescent="0.25">
      <c r="A2234" s="5" t="s">
        <v>30105</v>
      </c>
      <c r="B2234" s="6">
        <v>393.75</v>
      </c>
      <c r="C2234" s="6">
        <v>20.478950000000001</v>
      </c>
      <c r="D2234" s="6">
        <v>69</v>
      </c>
      <c r="E2234" s="6">
        <v>0</v>
      </c>
      <c r="F2234" s="6">
        <v>0</v>
      </c>
      <c r="G2234" s="6">
        <v>32</v>
      </c>
      <c r="H2234" s="6" t="s">
        <v>30106</v>
      </c>
      <c r="I2234" s="6">
        <v>526.6875</v>
      </c>
      <c r="J2234" s="2">
        <f t="shared" si="34"/>
        <v>43748.602823090274</v>
      </c>
    </row>
    <row r="2235" spans="1:10" x14ac:dyDescent="0.25">
      <c r="A2235" s="7" t="s">
        <v>30107</v>
      </c>
      <c r="B2235" s="8">
        <v>393.75</v>
      </c>
      <c r="C2235" s="8">
        <v>20.531590000000001</v>
      </c>
      <c r="D2235" s="8">
        <v>69</v>
      </c>
      <c r="E2235" s="8">
        <v>0</v>
      </c>
      <c r="F2235" s="8">
        <v>0</v>
      </c>
      <c r="G2235" s="8">
        <v>35</v>
      </c>
      <c r="H2235" s="8" t="s">
        <v>30108</v>
      </c>
      <c r="I2235" s="8">
        <v>526.6875</v>
      </c>
      <c r="J2235" s="3">
        <f t="shared" si="34"/>
        <v>43748.6029065162</v>
      </c>
    </row>
    <row r="2236" spans="1:10" x14ac:dyDescent="0.25">
      <c r="A2236" s="5" t="s">
        <v>30109</v>
      </c>
      <c r="B2236" s="6">
        <v>393.75</v>
      </c>
      <c r="C2236" s="6">
        <v>20.478950000000001</v>
      </c>
      <c r="D2236" s="6">
        <v>69</v>
      </c>
      <c r="E2236" s="6">
        <v>0</v>
      </c>
      <c r="F2236" s="6">
        <v>0</v>
      </c>
      <c r="G2236" s="6">
        <v>30</v>
      </c>
      <c r="H2236" s="6" t="s">
        <v>30110</v>
      </c>
      <c r="I2236" s="6">
        <v>526.6875</v>
      </c>
      <c r="J2236" s="2">
        <f t="shared" si="34"/>
        <v>43748.602989861109</v>
      </c>
    </row>
    <row r="2237" spans="1:10" x14ac:dyDescent="0.25">
      <c r="A2237" s="7" t="s">
        <v>30111</v>
      </c>
      <c r="B2237" s="8">
        <v>393.75</v>
      </c>
      <c r="C2237" s="8">
        <v>20.478950000000001</v>
      </c>
      <c r="D2237" s="8">
        <v>69</v>
      </c>
      <c r="E2237" s="8">
        <v>0</v>
      </c>
      <c r="F2237" s="8">
        <v>0</v>
      </c>
      <c r="G2237" s="8">
        <v>36</v>
      </c>
      <c r="H2237" s="8" t="s">
        <v>30112</v>
      </c>
      <c r="I2237" s="8">
        <v>526.6875</v>
      </c>
      <c r="J2237" s="3">
        <f t="shared" si="34"/>
        <v>43748.603061608796</v>
      </c>
    </row>
    <row r="2238" spans="1:10" x14ac:dyDescent="0.25">
      <c r="A2238" s="5" t="s">
        <v>30113</v>
      </c>
      <c r="B2238" s="6">
        <v>393.75</v>
      </c>
      <c r="C2238" s="6">
        <v>20.478950000000001</v>
      </c>
      <c r="D2238" s="6">
        <v>68</v>
      </c>
      <c r="E2238" s="6">
        <v>0</v>
      </c>
      <c r="F2238" s="6">
        <v>0</v>
      </c>
      <c r="G2238" s="6">
        <v>31</v>
      </c>
      <c r="H2238" s="6" t="s">
        <v>30114</v>
      </c>
      <c r="I2238" s="6">
        <v>526.6875</v>
      </c>
      <c r="J2238" s="2">
        <f t="shared" si="34"/>
        <v>43748.603145300927</v>
      </c>
    </row>
    <row r="2239" spans="1:10" x14ac:dyDescent="0.25">
      <c r="A2239" s="7" t="s">
        <v>30115</v>
      </c>
      <c r="B2239" s="8">
        <v>393.75</v>
      </c>
      <c r="C2239" s="8">
        <v>20.478950000000001</v>
      </c>
      <c r="D2239" s="8">
        <v>69</v>
      </c>
      <c r="E2239" s="8">
        <v>0</v>
      </c>
      <c r="F2239" s="8">
        <v>0</v>
      </c>
      <c r="G2239" s="8">
        <v>30</v>
      </c>
      <c r="H2239" s="8" t="s">
        <v>30116</v>
      </c>
      <c r="I2239" s="8">
        <v>526.6875</v>
      </c>
      <c r="J2239" s="3">
        <f t="shared" si="34"/>
        <v>43748.603237696756</v>
      </c>
    </row>
    <row r="2240" spans="1:10" x14ac:dyDescent="0.25">
      <c r="A2240" s="5" t="s">
        <v>30117</v>
      </c>
      <c r="B2240" s="6">
        <v>393.75</v>
      </c>
      <c r="C2240" s="6">
        <v>20.478950000000001</v>
      </c>
      <c r="D2240" s="6">
        <v>69</v>
      </c>
      <c r="E2240" s="6">
        <v>0</v>
      </c>
      <c r="F2240" s="6">
        <v>0</v>
      </c>
      <c r="G2240" s="6">
        <v>34</v>
      </c>
      <c r="H2240" s="6" t="s">
        <v>30118</v>
      </c>
      <c r="I2240" s="6">
        <v>526.6875</v>
      </c>
      <c r="J2240" s="2">
        <f t="shared" si="34"/>
        <v>43748.603311956016</v>
      </c>
    </row>
    <row r="2241" spans="1:10" x14ac:dyDescent="0.25">
      <c r="A2241" s="7" t="s">
        <v>30119</v>
      </c>
      <c r="B2241" s="8">
        <v>393.75</v>
      </c>
      <c r="C2241" s="8">
        <v>20.531590000000001</v>
      </c>
      <c r="D2241" s="8">
        <v>69</v>
      </c>
      <c r="E2241" s="8">
        <v>0</v>
      </c>
      <c r="F2241" s="8">
        <v>0</v>
      </c>
      <c r="G2241" s="8">
        <v>40</v>
      </c>
      <c r="H2241" s="8" t="s">
        <v>30120</v>
      </c>
      <c r="I2241" s="8">
        <v>526.6875</v>
      </c>
      <c r="J2241" s="3">
        <f t="shared" si="34"/>
        <v>43748.603395648148</v>
      </c>
    </row>
    <row r="2242" spans="1:10" x14ac:dyDescent="0.25">
      <c r="A2242" s="5" t="s">
        <v>30121</v>
      </c>
      <c r="B2242" s="6">
        <v>393.75</v>
      </c>
      <c r="C2242" s="6">
        <v>20.531590000000001</v>
      </c>
      <c r="D2242" s="6">
        <v>69</v>
      </c>
      <c r="E2242" s="6">
        <v>0</v>
      </c>
      <c r="F2242" s="6">
        <v>0</v>
      </c>
      <c r="G2242" s="6">
        <v>39</v>
      </c>
      <c r="H2242" s="6" t="s">
        <v>30122</v>
      </c>
      <c r="I2242" s="6">
        <v>526.6875</v>
      </c>
      <c r="J2242" s="2">
        <f t="shared" ref="J2242:J2305" si="35">(H2242/86400000)+25569+(7/24)</f>
        <v>43748.603478761572</v>
      </c>
    </row>
    <row r="2243" spans="1:10" x14ac:dyDescent="0.25">
      <c r="A2243" s="7" t="s">
        <v>30123</v>
      </c>
      <c r="B2243" s="8">
        <v>393.75</v>
      </c>
      <c r="C2243" s="8">
        <v>20.478950000000001</v>
      </c>
      <c r="D2243" s="8">
        <v>69</v>
      </c>
      <c r="E2243" s="8">
        <v>0</v>
      </c>
      <c r="F2243" s="8">
        <v>0</v>
      </c>
      <c r="G2243" s="8">
        <v>29</v>
      </c>
      <c r="H2243" s="8" t="s">
        <v>30124</v>
      </c>
      <c r="I2243" s="8">
        <v>526.6875</v>
      </c>
      <c r="J2243" s="3">
        <f t="shared" si="35"/>
        <v>43748.60355039352</v>
      </c>
    </row>
    <row r="2244" spans="1:10" x14ac:dyDescent="0.25">
      <c r="A2244" s="5" t="s">
        <v>30125</v>
      </c>
      <c r="B2244" s="6">
        <v>393.75</v>
      </c>
      <c r="C2244" s="6">
        <v>20.478950000000001</v>
      </c>
      <c r="D2244" s="6">
        <v>68</v>
      </c>
      <c r="E2244" s="6">
        <v>0</v>
      </c>
      <c r="F2244" s="6">
        <v>0</v>
      </c>
      <c r="G2244" s="6">
        <v>30</v>
      </c>
      <c r="H2244" s="6" t="s">
        <v>30126</v>
      </c>
      <c r="I2244" s="6">
        <v>526.6875</v>
      </c>
      <c r="J2244" s="2">
        <f t="shared" si="35"/>
        <v>43748.603634189807</v>
      </c>
    </row>
    <row r="2245" spans="1:10" x14ac:dyDescent="0.25">
      <c r="A2245" s="7" t="s">
        <v>30127</v>
      </c>
      <c r="B2245" s="8">
        <v>393.75</v>
      </c>
      <c r="C2245" s="8">
        <v>20.531590000000001</v>
      </c>
      <c r="D2245" s="8">
        <v>69</v>
      </c>
      <c r="E2245" s="8">
        <v>0</v>
      </c>
      <c r="F2245" s="8">
        <v>0</v>
      </c>
      <c r="G2245" s="8">
        <v>35</v>
      </c>
      <c r="H2245" s="8" t="s">
        <v>30128</v>
      </c>
      <c r="I2245" s="8">
        <v>526.6875</v>
      </c>
      <c r="J2245" s="3">
        <f t="shared" si="35"/>
        <v>43748.603717627317</v>
      </c>
    </row>
    <row r="2246" spans="1:10" x14ac:dyDescent="0.25">
      <c r="A2246" s="5" t="s">
        <v>30129</v>
      </c>
      <c r="B2246" s="6">
        <v>412.5</v>
      </c>
      <c r="C2246" s="6">
        <v>20.531590000000001</v>
      </c>
      <c r="D2246" s="6">
        <v>70</v>
      </c>
      <c r="E2246" s="6">
        <v>0</v>
      </c>
      <c r="F2246" s="6">
        <v>0</v>
      </c>
      <c r="G2246" s="6">
        <v>39</v>
      </c>
      <c r="H2246" s="6" t="s">
        <v>30130</v>
      </c>
      <c r="I2246" s="6">
        <v>532.5</v>
      </c>
      <c r="J2246" s="2">
        <f t="shared" si="35"/>
        <v>43748.603789166664</v>
      </c>
    </row>
    <row r="2247" spans="1:10" x14ac:dyDescent="0.25">
      <c r="A2247" s="7" t="s">
        <v>30131</v>
      </c>
      <c r="B2247" s="8">
        <v>393.75</v>
      </c>
      <c r="C2247" s="8">
        <v>20.478950000000001</v>
      </c>
      <c r="D2247" s="8">
        <v>70</v>
      </c>
      <c r="E2247" s="8">
        <v>0</v>
      </c>
      <c r="F2247" s="8">
        <v>0</v>
      </c>
      <c r="G2247" s="8">
        <v>32</v>
      </c>
      <c r="H2247" s="8" t="s">
        <v>30132</v>
      </c>
      <c r="I2247" s="8">
        <v>526.6875</v>
      </c>
      <c r="J2247" s="3">
        <f t="shared" si="35"/>
        <v>43748.603872731481</v>
      </c>
    </row>
    <row r="2248" spans="1:10" x14ac:dyDescent="0.25">
      <c r="A2248" s="5" t="s">
        <v>30133</v>
      </c>
      <c r="B2248" s="6">
        <v>393.75</v>
      </c>
      <c r="C2248" s="6">
        <v>20.478950000000001</v>
      </c>
      <c r="D2248" s="6">
        <v>70</v>
      </c>
      <c r="E2248" s="6">
        <v>0</v>
      </c>
      <c r="F2248" s="6">
        <v>0</v>
      </c>
      <c r="G2248" s="6">
        <v>31</v>
      </c>
      <c r="H2248" s="6" t="s">
        <v>30134</v>
      </c>
      <c r="I2248" s="6">
        <v>526.6875</v>
      </c>
      <c r="J2248" s="2">
        <f t="shared" si="35"/>
        <v>43748.603956192128</v>
      </c>
    </row>
    <row r="2249" spans="1:10" x14ac:dyDescent="0.25">
      <c r="A2249" s="7" t="s">
        <v>30135</v>
      </c>
      <c r="B2249" s="8">
        <v>393.75</v>
      </c>
      <c r="C2249" s="8">
        <v>20.531590000000001</v>
      </c>
      <c r="D2249" s="8">
        <v>70</v>
      </c>
      <c r="E2249" s="8">
        <v>0</v>
      </c>
      <c r="F2249" s="8">
        <v>0</v>
      </c>
      <c r="G2249" s="8">
        <v>28</v>
      </c>
      <c r="H2249" s="8" t="s">
        <v>30136</v>
      </c>
      <c r="I2249" s="8">
        <v>526.6875</v>
      </c>
      <c r="J2249" s="3">
        <f t="shared" si="35"/>
        <v>43748.604039756938</v>
      </c>
    </row>
    <row r="2250" spans="1:10" x14ac:dyDescent="0.25">
      <c r="A2250" s="5" t="s">
        <v>30137</v>
      </c>
      <c r="B2250" s="6">
        <v>393.75</v>
      </c>
      <c r="C2250" s="6">
        <v>20.478950000000001</v>
      </c>
      <c r="D2250" s="6">
        <v>71</v>
      </c>
      <c r="E2250" s="6">
        <v>0</v>
      </c>
      <c r="F2250" s="6">
        <v>0</v>
      </c>
      <c r="G2250" s="6">
        <v>31</v>
      </c>
      <c r="H2250" s="6" t="s">
        <v>30138</v>
      </c>
      <c r="I2250" s="6">
        <v>526.6875</v>
      </c>
      <c r="J2250" s="2">
        <f t="shared" si="35"/>
        <v>43748.604123078701</v>
      </c>
    </row>
    <row r="2251" spans="1:10" x14ac:dyDescent="0.25">
      <c r="A2251" s="7" t="s">
        <v>30139</v>
      </c>
      <c r="B2251" s="8">
        <v>412.5</v>
      </c>
      <c r="C2251" s="8">
        <v>20.478950000000001</v>
      </c>
      <c r="D2251" s="8">
        <v>73</v>
      </c>
      <c r="E2251" s="8">
        <v>0</v>
      </c>
      <c r="F2251" s="8">
        <v>0</v>
      </c>
      <c r="G2251" s="8">
        <v>35</v>
      </c>
      <c r="H2251" s="8" t="s">
        <v>30140</v>
      </c>
      <c r="I2251" s="8">
        <v>532.5</v>
      </c>
      <c r="J2251" s="3">
        <f t="shared" si="35"/>
        <v>43748.60420642361</v>
      </c>
    </row>
    <row r="2252" spans="1:10" x14ac:dyDescent="0.25">
      <c r="A2252" s="5" t="s">
        <v>30141</v>
      </c>
      <c r="B2252" s="6">
        <v>393.75</v>
      </c>
      <c r="C2252" s="6">
        <v>20.478950000000001</v>
      </c>
      <c r="D2252" s="6">
        <v>73</v>
      </c>
      <c r="E2252" s="6">
        <v>0</v>
      </c>
      <c r="F2252" s="6">
        <v>0</v>
      </c>
      <c r="G2252" s="6">
        <v>25</v>
      </c>
      <c r="H2252" s="6" t="s">
        <v>30142</v>
      </c>
      <c r="I2252" s="6">
        <v>526.6875</v>
      </c>
      <c r="J2252" s="2">
        <f t="shared" si="35"/>
        <v>43748.604292615739</v>
      </c>
    </row>
    <row r="2253" spans="1:10" x14ac:dyDescent="0.25">
      <c r="A2253" s="7" t="s">
        <v>30143</v>
      </c>
      <c r="B2253" s="8">
        <v>393.75</v>
      </c>
      <c r="C2253" s="8">
        <v>20.531590000000001</v>
      </c>
      <c r="D2253" s="8">
        <v>72</v>
      </c>
      <c r="E2253" s="8">
        <v>0</v>
      </c>
      <c r="F2253" s="8">
        <v>0</v>
      </c>
      <c r="G2253" s="8">
        <v>34</v>
      </c>
      <c r="H2253" s="8" t="s">
        <v>30144</v>
      </c>
      <c r="I2253" s="8">
        <v>526.6875</v>
      </c>
      <c r="J2253" s="3">
        <f t="shared" si="35"/>
        <v>43748.604373842587</v>
      </c>
    </row>
    <row r="2254" spans="1:10" x14ac:dyDescent="0.25">
      <c r="A2254" s="5" t="s">
        <v>30145</v>
      </c>
      <c r="B2254" s="6">
        <v>393.75</v>
      </c>
      <c r="C2254" s="6">
        <v>20.531590000000001</v>
      </c>
      <c r="D2254" s="6">
        <v>72</v>
      </c>
      <c r="E2254" s="6">
        <v>0</v>
      </c>
      <c r="F2254" s="6">
        <v>0</v>
      </c>
      <c r="G2254" s="6">
        <v>35</v>
      </c>
      <c r="H2254" s="6" t="s">
        <v>30146</v>
      </c>
      <c r="I2254" s="6">
        <v>526.6875</v>
      </c>
      <c r="J2254" s="2">
        <f t="shared" si="35"/>
        <v>43748.604457210648</v>
      </c>
    </row>
    <row r="2255" spans="1:10" x14ac:dyDescent="0.25">
      <c r="A2255" s="7" t="s">
        <v>30147</v>
      </c>
      <c r="B2255" s="8">
        <v>393.75</v>
      </c>
      <c r="C2255" s="8">
        <v>20.478950000000001</v>
      </c>
      <c r="D2255" s="8">
        <v>73</v>
      </c>
      <c r="E2255" s="8">
        <v>0</v>
      </c>
      <c r="F2255" s="8">
        <v>0</v>
      </c>
      <c r="G2255" s="8">
        <v>33</v>
      </c>
      <c r="H2255" s="8" t="s">
        <v>30148</v>
      </c>
      <c r="I2255" s="8">
        <v>526.6875</v>
      </c>
      <c r="J2255" s="3">
        <f t="shared" si="35"/>
        <v>43748.60452883102</v>
      </c>
    </row>
    <row r="2256" spans="1:10" x14ac:dyDescent="0.25">
      <c r="A2256" s="5" t="s">
        <v>30149</v>
      </c>
      <c r="B2256" s="6">
        <v>412.5</v>
      </c>
      <c r="C2256" s="6">
        <v>20.531590000000001</v>
      </c>
      <c r="D2256" s="6">
        <v>73</v>
      </c>
      <c r="E2256" s="6">
        <v>0</v>
      </c>
      <c r="F2256" s="6">
        <v>0</v>
      </c>
      <c r="G2256" s="6">
        <v>39</v>
      </c>
      <c r="H2256" s="6" t="s">
        <v>30150</v>
      </c>
      <c r="I2256" s="6">
        <v>532.3125</v>
      </c>
      <c r="J2256" s="2">
        <f t="shared" si="35"/>
        <v>43748.604611944444</v>
      </c>
    </row>
    <row r="2257" spans="1:10" x14ac:dyDescent="0.25">
      <c r="A2257" s="7" t="s">
        <v>30151</v>
      </c>
      <c r="B2257" s="8">
        <v>393.75</v>
      </c>
      <c r="C2257" s="8">
        <v>20.478950000000001</v>
      </c>
      <c r="D2257" s="8">
        <v>74</v>
      </c>
      <c r="E2257" s="8">
        <v>0</v>
      </c>
      <c r="F2257" s="8">
        <v>0</v>
      </c>
      <c r="G2257" s="8">
        <v>33</v>
      </c>
      <c r="H2257" s="8" t="s">
        <v>30152</v>
      </c>
      <c r="I2257" s="8">
        <v>526.6875</v>
      </c>
      <c r="J2257" s="3">
        <f t="shared" si="35"/>
        <v>43748.604695752314</v>
      </c>
    </row>
    <row r="2258" spans="1:10" x14ac:dyDescent="0.25">
      <c r="A2258" s="5" t="s">
        <v>30153</v>
      </c>
      <c r="B2258" s="6">
        <v>393.75</v>
      </c>
      <c r="C2258" s="6">
        <v>20.531590000000001</v>
      </c>
      <c r="D2258" s="6">
        <v>71</v>
      </c>
      <c r="E2258" s="6">
        <v>0</v>
      </c>
      <c r="F2258" s="6">
        <v>0</v>
      </c>
      <c r="G2258" s="6">
        <v>26</v>
      </c>
      <c r="H2258" s="6" t="s">
        <v>30154</v>
      </c>
      <c r="I2258" s="6">
        <v>526.6875</v>
      </c>
      <c r="J2258" s="2">
        <f t="shared" si="35"/>
        <v>43748.60477943287</v>
      </c>
    </row>
    <row r="2259" spans="1:10" x14ac:dyDescent="0.25">
      <c r="A2259" s="7" t="s">
        <v>30155</v>
      </c>
      <c r="B2259" s="8">
        <v>393.75</v>
      </c>
      <c r="C2259" s="8">
        <v>20.478950000000001</v>
      </c>
      <c r="D2259" s="8">
        <v>71</v>
      </c>
      <c r="E2259" s="8">
        <v>0</v>
      </c>
      <c r="F2259" s="8">
        <v>0</v>
      </c>
      <c r="G2259" s="8">
        <v>26</v>
      </c>
      <c r="H2259" s="8" t="s">
        <v>30156</v>
      </c>
      <c r="I2259" s="8">
        <v>526.6875</v>
      </c>
      <c r="J2259" s="3">
        <f t="shared" si="35"/>
        <v>43748.604862777771</v>
      </c>
    </row>
    <row r="2260" spans="1:10" x14ac:dyDescent="0.25">
      <c r="A2260" s="5" t="s">
        <v>30157</v>
      </c>
      <c r="B2260" s="6">
        <v>393.75</v>
      </c>
      <c r="C2260" s="6">
        <v>20.478950000000001</v>
      </c>
      <c r="D2260" s="6">
        <v>71</v>
      </c>
      <c r="E2260" s="6">
        <v>0</v>
      </c>
      <c r="F2260" s="6">
        <v>0</v>
      </c>
      <c r="G2260" s="6">
        <v>35</v>
      </c>
      <c r="H2260" s="6" t="s">
        <v>30158</v>
      </c>
      <c r="I2260" s="6">
        <v>526.6875</v>
      </c>
      <c r="J2260" s="2">
        <f t="shared" si="35"/>
        <v>43748.604957893513</v>
      </c>
    </row>
    <row r="2261" spans="1:10" x14ac:dyDescent="0.25">
      <c r="A2261" s="7" t="s">
        <v>30159</v>
      </c>
      <c r="B2261" s="8">
        <v>393.75</v>
      </c>
      <c r="C2261" s="8">
        <v>20.478950000000001</v>
      </c>
      <c r="D2261" s="8">
        <v>71</v>
      </c>
      <c r="E2261" s="8">
        <v>0</v>
      </c>
      <c r="F2261" s="8">
        <v>0</v>
      </c>
      <c r="G2261" s="8">
        <v>32</v>
      </c>
      <c r="H2261" s="8" t="s">
        <v>30160</v>
      </c>
      <c r="I2261" s="8">
        <v>526.6875</v>
      </c>
      <c r="J2261" s="3">
        <f t="shared" si="35"/>
        <v>43748.605029803242</v>
      </c>
    </row>
    <row r="2262" spans="1:10" x14ac:dyDescent="0.25">
      <c r="A2262" s="5" t="s">
        <v>30161</v>
      </c>
      <c r="B2262" s="6">
        <v>393.75</v>
      </c>
      <c r="C2262" s="6">
        <v>20.531590000000001</v>
      </c>
      <c r="D2262" s="6">
        <v>71</v>
      </c>
      <c r="E2262" s="6">
        <v>0</v>
      </c>
      <c r="F2262" s="6">
        <v>0</v>
      </c>
      <c r="G2262" s="6">
        <v>32</v>
      </c>
      <c r="H2262" s="6" t="s">
        <v>30162</v>
      </c>
      <c r="I2262" s="6">
        <v>526.6875</v>
      </c>
      <c r="J2262" s="2">
        <f t="shared" si="35"/>
        <v>43748.605113229169</v>
      </c>
    </row>
    <row r="2263" spans="1:10" x14ac:dyDescent="0.25">
      <c r="A2263" s="7" t="s">
        <v>30163</v>
      </c>
      <c r="B2263" s="8">
        <v>393.75</v>
      </c>
      <c r="C2263" s="8">
        <v>20.531590000000001</v>
      </c>
      <c r="D2263" s="8">
        <v>71</v>
      </c>
      <c r="E2263" s="8">
        <v>0</v>
      </c>
      <c r="F2263" s="8">
        <v>0</v>
      </c>
      <c r="G2263" s="8">
        <v>33</v>
      </c>
      <c r="H2263" s="8" t="s">
        <v>30164</v>
      </c>
      <c r="I2263" s="8">
        <v>526.6875</v>
      </c>
      <c r="J2263" s="3">
        <f t="shared" si="35"/>
        <v>43748.60519678241</v>
      </c>
    </row>
    <row r="2264" spans="1:10" x14ac:dyDescent="0.25">
      <c r="A2264" s="5" t="s">
        <v>30165</v>
      </c>
      <c r="B2264" s="6">
        <v>393.75</v>
      </c>
      <c r="C2264" s="6">
        <v>20.531590000000001</v>
      </c>
      <c r="D2264" s="6">
        <v>70</v>
      </c>
      <c r="E2264" s="6">
        <v>0</v>
      </c>
      <c r="F2264" s="6">
        <v>0</v>
      </c>
      <c r="G2264" s="6">
        <v>22</v>
      </c>
      <c r="H2264" s="6" t="s">
        <v>30166</v>
      </c>
      <c r="I2264" s="6">
        <v>526.6875</v>
      </c>
      <c r="J2264" s="2">
        <f t="shared" si="35"/>
        <v>43748.605280243057</v>
      </c>
    </row>
    <row r="2265" spans="1:10" x14ac:dyDescent="0.25">
      <c r="A2265" s="7" t="s">
        <v>30167</v>
      </c>
      <c r="B2265" s="8">
        <v>393.75</v>
      </c>
      <c r="C2265" s="8">
        <v>20.478950000000001</v>
      </c>
      <c r="D2265" s="8">
        <v>70</v>
      </c>
      <c r="E2265" s="8">
        <v>0</v>
      </c>
      <c r="F2265" s="8">
        <v>0</v>
      </c>
      <c r="G2265" s="8">
        <v>38</v>
      </c>
      <c r="H2265" s="8" t="s">
        <v>30168</v>
      </c>
      <c r="I2265" s="8">
        <v>526.6875</v>
      </c>
      <c r="J2265" s="3">
        <f t="shared" si="35"/>
        <v>43748.605363807867</v>
      </c>
    </row>
    <row r="2266" spans="1:10" x14ac:dyDescent="0.25">
      <c r="A2266" s="5" t="s">
        <v>30169</v>
      </c>
      <c r="B2266" s="6">
        <v>393.75</v>
      </c>
      <c r="C2266" s="6">
        <v>20.478950000000001</v>
      </c>
      <c r="D2266" s="6">
        <v>70</v>
      </c>
      <c r="E2266" s="6">
        <v>0</v>
      </c>
      <c r="F2266" s="6">
        <v>0</v>
      </c>
      <c r="G2266" s="6">
        <v>37</v>
      </c>
      <c r="H2266" s="6" t="s">
        <v>30170</v>
      </c>
      <c r="I2266" s="6">
        <v>526.875</v>
      </c>
      <c r="J2266" s="2">
        <f t="shared" si="35"/>
        <v>43748.605447256945</v>
      </c>
    </row>
    <row r="2267" spans="1:10" x14ac:dyDescent="0.25">
      <c r="A2267" s="7" t="s">
        <v>30171</v>
      </c>
      <c r="B2267" s="8">
        <v>393.75</v>
      </c>
      <c r="C2267" s="8">
        <v>20.531590000000001</v>
      </c>
      <c r="D2267" s="8">
        <v>71</v>
      </c>
      <c r="E2267" s="8">
        <v>0</v>
      </c>
      <c r="F2267" s="8">
        <v>0</v>
      </c>
      <c r="G2267" s="8">
        <v>37</v>
      </c>
      <c r="H2267" s="8" t="s">
        <v>30172</v>
      </c>
      <c r="I2267" s="8">
        <v>526.6875</v>
      </c>
      <c r="J2267" s="3">
        <f t="shared" si="35"/>
        <v>43748.605530578701</v>
      </c>
    </row>
    <row r="2268" spans="1:10" x14ac:dyDescent="0.25">
      <c r="A2268" s="5" t="s">
        <v>30173</v>
      </c>
      <c r="B2268" s="6">
        <v>393.75</v>
      </c>
      <c r="C2268" s="6">
        <v>20.478950000000001</v>
      </c>
      <c r="D2268" s="6">
        <v>71</v>
      </c>
      <c r="E2268" s="6">
        <v>0</v>
      </c>
      <c r="F2268" s="6">
        <v>0</v>
      </c>
      <c r="G2268" s="6">
        <v>35</v>
      </c>
      <c r="H2268" s="6" t="s">
        <v>30174</v>
      </c>
      <c r="I2268" s="6">
        <v>526.6875</v>
      </c>
      <c r="J2268" s="2">
        <f t="shared" si="35"/>
        <v>43748.605602245363</v>
      </c>
    </row>
    <row r="2269" spans="1:10" x14ac:dyDescent="0.25">
      <c r="A2269" s="7" t="s">
        <v>30175</v>
      </c>
      <c r="B2269" s="8">
        <v>393.75</v>
      </c>
      <c r="C2269" s="8">
        <v>20.478950000000001</v>
      </c>
      <c r="D2269" s="8">
        <v>71</v>
      </c>
      <c r="E2269" s="8">
        <v>0</v>
      </c>
      <c r="F2269" s="8">
        <v>0</v>
      </c>
      <c r="G2269" s="8">
        <v>46</v>
      </c>
      <c r="H2269" s="8" t="s">
        <v>30176</v>
      </c>
      <c r="I2269" s="8">
        <v>526.6875</v>
      </c>
      <c r="J2269" s="3">
        <f t="shared" si="35"/>
        <v>43748.605685787035</v>
      </c>
    </row>
    <row r="2270" spans="1:10" x14ac:dyDescent="0.25">
      <c r="A2270" s="5" t="s">
        <v>30177</v>
      </c>
      <c r="B2270" s="6">
        <v>393.75</v>
      </c>
      <c r="C2270" s="6">
        <v>20.531590000000001</v>
      </c>
      <c r="D2270" s="6">
        <v>71</v>
      </c>
      <c r="E2270" s="6">
        <v>0</v>
      </c>
      <c r="F2270" s="6">
        <v>0</v>
      </c>
      <c r="G2270" s="6">
        <v>36</v>
      </c>
      <c r="H2270" s="6" t="s">
        <v>30178</v>
      </c>
      <c r="I2270" s="6">
        <v>526.6875</v>
      </c>
      <c r="J2270" s="2">
        <f t="shared" si="35"/>
        <v>43748.605769236114</v>
      </c>
    </row>
    <row r="2271" spans="1:10" x14ac:dyDescent="0.25">
      <c r="A2271" s="7" t="s">
        <v>30179</v>
      </c>
      <c r="B2271" s="8">
        <v>393.75</v>
      </c>
      <c r="C2271" s="8">
        <v>20.478950000000001</v>
      </c>
      <c r="D2271" s="8">
        <v>71</v>
      </c>
      <c r="E2271" s="8">
        <v>0</v>
      </c>
      <c r="F2271" s="8">
        <v>0</v>
      </c>
      <c r="G2271" s="8">
        <v>44</v>
      </c>
      <c r="H2271" s="8" t="s">
        <v>30180</v>
      </c>
      <c r="I2271" s="8">
        <v>526.6875</v>
      </c>
      <c r="J2271" s="3">
        <f t="shared" si="35"/>
        <v>43748.605864733792</v>
      </c>
    </row>
    <row r="2272" spans="1:10" x14ac:dyDescent="0.25">
      <c r="A2272" s="5" t="s">
        <v>30181</v>
      </c>
      <c r="B2272" s="6">
        <v>393.75</v>
      </c>
      <c r="C2272" s="6">
        <v>20.584240000000001</v>
      </c>
      <c r="D2272" s="6">
        <v>73</v>
      </c>
      <c r="E2272" s="6">
        <v>0</v>
      </c>
      <c r="F2272" s="6">
        <v>0</v>
      </c>
      <c r="G2272" s="6">
        <v>31</v>
      </c>
      <c r="H2272" s="6" t="s">
        <v>30182</v>
      </c>
      <c r="I2272" s="6">
        <v>526.6875</v>
      </c>
      <c r="J2272" s="2">
        <f t="shared" si="35"/>
        <v>43748.605936377317</v>
      </c>
    </row>
    <row r="2273" spans="1:10" x14ac:dyDescent="0.25">
      <c r="A2273" s="7" t="s">
        <v>30183</v>
      </c>
      <c r="B2273" s="8">
        <v>393.75</v>
      </c>
      <c r="C2273" s="8">
        <v>20.478950000000001</v>
      </c>
      <c r="D2273" s="8">
        <v>72</v>
      </c>
      <c r="E2273" s="8">
        <v>0</v>
      </c>
      <c r="F2273" s="8">
        <v>0</v>
      </c>
      <c r="G2273" s="8">
        <v>38</v>
      </c>
      <c r="H2273" s="8" t="s">
        <v>30184</v>
      </c>
      <c r="I2273" s="8">
        <v>526.6875</v>
      </c>
      <c r="J2273" s="3">
        <f t="shared" si="35"/>
        <v>43748.606019479164</v>
      </c>
    </row>
    <row r="2274" spans="1:10" x14ac:dyDescent="0.25">
      <c r="A2274" s="5" t="s">
        <v>30185</v>
      </c>
      <c r="B2274" s="6">
        <v>393.75</v>
      </c>
      <c r="C2274" s="6">
        <v>20.478950000000001</v>
      </c>
      <c r="D2274" s="6">
        <v>72</v>
      </c>
      <c r="E2274" s="6">
        <v>0</v>
      </c>
      <c r="F2274" s="6">
        <v>0</v>
      </c>
      <c r="G2274" s="6">
        <v>30</v>
      </c>
      <c r="H2274" s="6" t="s">
        <v>30186</v>
      </c>
      <c r="I2274" s="6">
        <v>526.6875</v>
      </c>
      <c r="J2274" s="2">
        <f t="shared" si="35"/>
        <v>43748.606090995367</v>
      </c>
    </row>
    <row r="2275" spans="1:10" x14ac:dyDescent="0.25">
      <c r="A2275" s="7" t="s">
        <v>30187</v>
      </c>
      <c r="B2275" s="8">
        <v>393.75</v>
      </c>
      <c r="C2275" s="8">
        <v>20.478950000000001</v>
      </c>
      <c r="D2275" s="8">
        <v>72</v>
      </c>
      <c r="E2275" s="8">
        <v>0</v>
      </c>
      <c r="F2275" s="8">
        <v>0</v>
      </c>
      <c r="G2275" s="8">
        <v>37</v>
      </c>
      <c r="H2275" s="8" t="s">
        <v>30188</v>
      </c>
      <c r="I2275" s="8">
        <v>526.6875</v>
      </c>
      <c r="J2275" s="3">
        <f t="shared" si="35"/>
        <v>43748.606174918976</v>
      </c>
    </row>
    <row r="2276" spans="1:10" x14ac:dyDescent="0.25">
      <c r="A2276" s="5" t="s">
        <v>30189</v>
      </c>
      <c r="B2276" s="6">
        <v>393.75</v>
      </c>
      <c r="C2276" s="6">
        <v>20.531590000000001</v>
      </c>
      <c r="D2276" s="6">
        <v>72</v>
      </c>
      <c r="E2276" s="6">
        <v>0</v>
      </c>
      <c r="F2276" s="6">
        <v>0</v>
      </c>
      <c r="G2276" s="6">
        <v>33</v>
      </c>
      <c r="H2276" s="6" t="s">
        <v>30190</v>
      </c>
      <c r="I2276" s="6">
        <v>526.6875</v>
      </c>
      <c r="J2276" s="2">
        <f t="shared" si="35"/>
        <v>43748.606258379623</v>
      </c>
    </row>
    <row r="2277" spans="1:10" x14ac:dyDescent="0.25">
      <c r="A2277" s="7" t="s">
        <v>30191</v>
      </c>
      <c r="B2277" s="8">
        <v>393.75</v>
      </c>
      <c r="C2277" s="8">
        <v>20.531590000000001</v>
      </c>
      <c r="D2277" s="8">
        <v>73</v>
      </c>
      <c r="E2277" s="8">
        <v>0</v>
      </c>
      <c r="F2277" s="8">
        <v>0</v>
      </c>
      <c r="G2277" s="8">
        <v>38</v>
      </c>
      <c r="H2277" s="8" t="s">
        <v>30192</v>
      </c>
      <c r="I2277" s="8">
        <v>526.6875</v>
      </c>
      <c r="J2277" s="3">
        <f t="shared" si="35"/>
        <v>43748.606341574072</v>
      </c>
    </row>
    <row r="2278" spans="1:10" x14ac:dyDescent="0.25">
      <c r="A2278" s="5" t="s">
        <v>30193</v>
      </c>
      <c r="B2278" s="6">
        <v>393.75</v>
      </c>
      <c r="C2278" s="6">
        <v>20.531590000000001</v>
      </c>
      <c r="D2278" s="6">
        <v>73</v>
      </c>
      <c r="E2278" s="6">
        <v>0</v>
      </c>
      <c r="F2278" s="6">
        <v>0</v>
      </c>
      <c r="G2278" s="6">
        <v>35</v>
      </c>
      <c r="H2278" s="6" t="s">
        <v>30194</v>
      </c>
      <c r="I2278" s="6">
        <v>526.6875</v>
      </c>
      <c r="J2278" s="2">
        <f t="shared" si="35"/>
        <v>43748.606413217589</v>
      </c>
    </row>
    <row r="2279" spans="1:10" x14ac:dyDescent="0.25">
      <c r="A2279" s="7" t="s">
        <v>30195</v>
      </c>
      <c r="B2279" s="8">
        <v>393.75</v>
      </c>
      <c r="C2279" s="8">
        <v>20.478950000000001</v>
      </c>
      <c r="D2279" s="8">
        <v>71</v>
      </c>
      <c r="E2279" s="8">
        <v>0</v>
      </c>
      <c r="F2279" s="8">
        <v>0</v>
      </c>
      <c r="G2279" s="8">
        <v>43</v>
      </c>
      <c r="H2279" s="8" t="s">
        <v>30196</v>
      </c>
      <c r="I2279" s="8">
        <v>526.5</v>
      </c>
      <c r="J2279" s="3">
        <f t="shared" si="35"/>
        <v>43748.606496898145</v>
      </c>
    </row>
    <row r="2280" spans="1:10" x14ac:dyDescent="0.25">
      <c r="A2280" s="5" t="s">
        <v>30197</v>
      </c>
      <c r="B2280" s="6">
        <v>393.75</v>
      </c>
      <c r="C2280" s="6">
        <v>20.531590000000001</v>
      </c>
      <c r="D2280" s="6">
        <v>72</v>
      </c>
      <c r="E2280" s="6">
        <v>0</v>
      </c>
      <c r="F2280" s="6">
        <v>0</v>
      </c>
      <c r="G2280" s="6">
        <v>38</v>
      </c>
      <c r="H2280" s="6" t="s">
        <v>30198</v>
      </c>
      <c r="I2280" s="6">
        <v>526.6875</v>
      </c>
      <c r="J2280" s="2">
        <f t="shared" si="35"/>
        <v>43748.606580347223</v>
      </c>
    </row>
    <row r="2281" spans="1:10" x14ac:dyDescent="0.25">
      <c r="A2281" s="7" t="s">
        <v>30199</v>
      </c>
      <c r="B2281" s="8">
        <v>393.75</v>
      </c>
      <c r="C2281" s="8">
        <v>20.531590000000001</v>
      </c>
      <c r="D2281" s="8">
        <v>72</v>
      </c>
      <c r="E2281" s="8">
        <v>0</v>
      </c>
      <c r="F2281" s="8">
        <v>0</v>
      </c>
      <c r="G2281" s="8">
        <v>35</v>
      </c>
      <c r="H2281" s="8" t="s">
        <v>30200</v>
      </c>
      <c r="I2281" s="8">
        <v>526.6875</v>
      </c>
      <c r="J2281" s="3">
        <f t="shared" si="35"/>
        <v>43748.606663819439</v>
      </c>
    </row>
    <row r="2282" spans="1:10" x14ac:dyDescent="0.25">
      <c r="A2282" s="5" t="s">
        <v>30201</v>
      </c>
      <c r="B2282" s="6">
        <v>393.75</v>
      </c>
      <c r="C2282" s="6">
        <v>20.531590000000001</v>
      </c>
      <c r="D2282" s="6">
        <v>72</v>
      </c>
      <c r="E2282" s="6">
        <v>0</v>
      </c>
      <c r="F2282" s="6">
        <v>0</v>
      </c>
      <c r="G2282" s="6">
        <v>42</v>
      </c>
      <c r="H2282" s="6" t="s">
        <v>30202</v>
      </c>
      <c r="I2282" s="6">
        <v>526.6875</v>
      </c>
      <c r="J2282" s="2">
        <f t="shared" si="35"/>
        <v>43748.606747361111</v>
      </c>
    </row>
    <row r="2283" spans="1:10" x14ac:dyDescent="0.25">
      <c r="A2283" s="7" t="s">
        <v>30203</v>
      </c>
      <c r="B2283" s="8">
        <v>393.75</v>
      </c>
      <c r="C2283" s="8">
        <v>20.531590000000001</v>
      </c>
      <c r="D2283" s="8">
        <v>72</v>
      </c>
      <c r="E2283" s="8">
        <v>0</v>
      </c>
      <c r="F2283" s="8">
        <v>0</v>
      </c>
      <c r="G2283" s="8">
        <v>35</v>
      </c>
      <c r="H2283" s="8" t="s">
        <v>30204</v>
      </c>
      <c r="I2283" s="8">
        <v>526.6875</v>
      </c>
      <c r="J2283" s="3">
        <f t="shared" si="35"/>
        <v>43748.606830462959</v>
      </c>
    </row>
    <row r="2284" spans="1:10" x14ac:dyDescent="0.25">
      <c r="A2284" s="5" t="s">
        <v>30205</v>
      </c>
      <c r="B2284" s="6">
        <v>393.75</v>
      </c>
      <c r="C2284" s="6">
        <v>20.478950000000001</v>
      </c>
      <c r="D2284" s="6">
        <v>72</v>
      </c>
      <c r="E2284" s="6">
        <v>0</v>
      </c>
      <c r="F2284" s="6">
        <v>0</v>
      </c>
      <c r="G2284" s="6">
        <v>37</v>
      </c>
      <c r="H2284" s="6" t="s">
        <v>30206</v>
      </c>
      <c r="I2284" s="6">
        <v>526.6875</v>
      </c>
      <c r="J2284" s="2">
        <f t="shared" si="35"/>
        <v>43748.606902222215</v>
      </c>
    </row>
    <row r="2285" spans="1:10" x14ac:dyDescent="0.25">
      <c r="A2285" s="7" t="s">
        <v>30207</v>
      </c>
      <c r="B2285" s="8">
        <v>393.75</v>
      </c>
      <c r="C2285" s="8">
        <v>20.531590000000001</v>
      </c>
      <c r="D2285" s="8">
        <v>71</v>
      </c>
      <c r="E2285" s="8">
        <v>0</v>
      </c>
      <c r="F2285" s="8">
        <v>0</v>
      </c>
      <c r="G2285" s="8">
        <v>42</v>
      </c>
      <c r="H2285" s="8" t="s">
        <v>30208</v>
      </c>
      <c r="I2285" s="8">
        <v>526.6875</v>
      </c>
      <c r="J2285" s="3">
        <f t="shared" si="35"/>
        <v>43748.606986041668</v>
      </c>
    </row>
    <row r="2286" spans="1:10" x14ac:dyDescent="0.25">
      <c r="A2286" s="5" t="s">
        <v>30209</v>
      </c>
      <c r="B2286" s="6">
        <v>393.75</v>
      </c>
      <c r="C2286" s="6">
        <v>20.531590000000001</v>
      </c>
      <c r="D2286" s="6">
        <v>72</v>
      </c>
      <c r="E2286" s="6">
        <v>0</v>
      </c>
      <c r="F2286" s="6">
        <v>0</v>
      </c>
      <c r="G2286" s="6">
        <v>41</v>
      </c>
      <c r="H2286" s="6" t="s">
        <v>30210</v>
      </c>
      <c r="I2286" s="6">
        <v>526.6875</v>
      </c>
      <c r="J2286" s="2">
        <f t="shared" si="35"/>
        <v>43748.607081192131</v>
      </c>
    </row>
    <row r="2287" spans="1:10" x14ac:dyDescent="0.25">
      <c r="A2287" s="7" t="s">
        <v>30211</v>
      </c>
      <c r="B2287" s="8">
        <v>393.75</v>
      </c>
      <c r="C2287" s="8">
        <v>20.584240000000001</v>
      </c>
      <c r="D2287" s="8">
        <v>72</v>
      </c>
      <c r="E2287" s="8">
        <v>0</v>
      </c>
      <c r="F2287" s="8">
        <v>0</v>
      </c>
      <c r="G2287" s="8">
        <v>36</v>
      </c>
      <c r="H2287" s="8" t="s">
        <v>30212</v>
      </c>
      <c r="I2287" s="8">
        <v>526.6875</v>
      </c>
      <c r="J2287" s="3">
        <f t="shared" si="35"/>
        <v>43748.607164861111</v>
      </c>
    </row>
    <row r="2288" spans="1:10" x14ac:dyDescent="0.25">
      <c r="A2288" s="5" t="s">
        <v>30213</v>
      </c>
      <c r="B2288" s="6">
        <v>393.75</v>
      </c>
      <c r="C2288" s="6">
        <v>20.478950000000001</v>
      </c>
      <c r="D2288" s="6">
        <v>71</v>
      </c>
      <c r="E2288" s="6">
        <v>0</v>
      </c>
      <c r="F2288" s="6">
        <v>0</v>
      </c>
      <c r="G2288" s="6">
        <v>36</v>
      </c>
      <c r="H2288" s="6" t="s">
        <v>30214</v>
      </c>
      <c r="I2288" s="6">
        <v>526.6875</v>
      </c>
      <c r="J2288" s="2">
        <f t="shared" si="35"/>
        <v>43748.607236273143</v>
      </c>
    </row>
    <row r="2289" spans="1:10" x14ac:dyDescent="0.25">
      <c r="A2289" s="7" t="s">
        <v>30215</v>
      </c>
      <c r="B2289" s="8">
        <v>393.75</v>
      </c>
      <c r="C2289" s="8">
        <v>20.531590000000001</v>
      </c>
      <c r="D2289" s="8">
        <v>71</v>
      </c>
      <c r="E2289" s="8">
        <v>0</v>
      </c>
      <c r="F2289" s="8">
        <v>0</v>
      </c>
      <c r="G2289" s="8">
        <v>33</v>
      </c>
      <c r="H2289" s="8" t="s">
        <v>30216</v>
      </c>
      <c r="I2289" s="8">
        <v>526.6875</v>
      </c>
      <c r="J2289" s="3">
        <f t="shared" si="35"/>
        <v>43748.607319513882</v>
      </c>
    </row>
    <row r="2290" spans="1:10" x14ac:dyDescent="0.25">
      <c r="A2290" s="5" t="s">
        <v>30217</v>
      </c>
      <c r="B2290" s="6">
        <v>412.5</v>
      </c>
      <c r="C2290" s="6">
        <v>20.478950000000001</v>
      </c>
      <c r="D2290" s="6">
        <v>71</v>
      </c>
      <c r="E2290" s="6">
        <v>0</v>
      </c>
      <c r="F2290" s="6">
        <v>0</v>
      </c>
      <c r="G2290" s="6">
        <v>40</v>
      </c>
      <c r="H2290" s="6" t="s">
        <v>30218</v>
      </c>
      <c r="I2290" s="6">
        <v>532.3125</v>
      </c>
      <c r="J2290" s="2">
        <f t="shared" si="35"/>
        <v>43748.607403287031</v>
      </c>
    </row>
    <row r="2291" spans="1:10" x14ac:dyDescent="0.25">
      <c r="A2291" s="7" t="s">
        <v>30219</v>
      </c>
      <c r="B2291" s="8">
        <v>393.75</v>
      </c>
      <c r="C2291" s="8">
        <v>20.478950000000001</v>
      </c>
      <c r="D2291" s="8">
        <v>72</v>
      </c>
      <c r="E2291" s="8">
        <v>0</v>
      </c>
      <c r="F2291" s="8">
        <v>0</v>
      </c>
      <c r="G2291" s="8">
        <v>32</v>
      </c>
      <c r="H2291" s="8" t="s">
        <v>30220</v>
      </c>
      <c r="I2291" s="8">
        <v>526.6875</v>
      </c>
      <c r="J2291" s="3">
        <f t="shared" si="35"/>
        <v>43748.60748677083</v>
      </c>
    </row>
    <row r="2292" spans="1:10" x14ac:dyDescent="0.25">
      <c r="A2292" s="5" t="s">
        <v>30221</v>
      </c>
      <c r="B2292" s="6">
        <v>393.75</v>
      </c>
      <c r="C2292" s="6">
        <v>20.584240000000001</v>
      </c>
      <c r="D2292" s="6">
        <v>74</v>
      </c>
      <c r="E2292" s="6">
        <v>0</v>
      </c>
      <c r="F2292" s="6">
        <v>0</v>
      </c>
      <c r="G2292" s="6">
        <v>34</v>
      </c>
      <c r="H2292" s="6" t="s">
        <v>30222</v>
      </c>
      <c r="I2292" s="6">
        <v>526.6875</v>
      </c>
      <c r="J2292" s="2">
        <f t="shared" si="35"/>
        <v>43748.607558402779</v>
      </c>
    </row>
    <row r="2293" spans="1:10" x14ac:dyDescent="0.25">
      <c r="A2293" s="7" t="s">
        <v>30223</v>
      </c>
      <c r="B2293" s="8">
        <v>412.5</v>
      </c>
      <c r="C2293" s="8">
        <v>20.531590000000001</v>
      </c>
      <c r="D2293" s="8">
        <v>74</v>
      </c>
      <c r="E2293" s="8">
        <v>0</v>
      </c>
      <c r="F2293" s="8">
        <v>0</v>
      </c>
      <c r="G2293" s="8">
        <v>34</v>
      </c>
      <c r="H2293" s="8" t="s">
        <v>30224</v>
      </c>
      <c r="I2293" s="8">
        <v>532.3125</v>
      </c>
      <c r="J2293" s="3">
        <f t="shared" si="35"/>
        <v>43748.607629918981</v>
      </c>
    </row>
    <row r="2294" spans="1:10" x14ac:dyDescent="0.25">
      <c r="A2294" s="5" t="s">
        <v>30225</v>
      </c>
      <c r="B2294" s="6">
        <v>393.75</v>
      </c>
      <c r="C2294" s="6">
        <v>20.531590000000001</v>
      </c>
      <c r="D2294" s="6">
        <v>71</v>
      </c>
      <c r="E2294" s="6">
        <v>0</v>
      </c>
      <c r="F2294" s="6">
        <v>0</v>
      </c>
      <c r="G2294" s="6">
        <v>44</v>
      </c>
      <c r="H2294" s="6" t="s">
        <v>30226</v>
      </c>
      <c r="I2294" s="6">
        <v>526.6875</v>
      </c>
      <c r="J2294" s="2">
        <f t="shared" si="35"/>
        <v>43748.60771340278</v>
      </c>
    </row>
    <row r="2295" spans="1:10" x14ac:dyDescent="0.25">
      <c r="A2295" s="7" t="s">
        <v>30227</v>
      </c>
      <c r="B2295" s="8">
        <v>393.75</v>
      </c>
      <c r="C2295" s="8">
        <v>20.531590000000001</v>
      </c>
      <c r="D2295" s="8">
        <v>71</v>
      </c>
      <c r="E2295" s="8">
        <v>0</v>
      </c>
      <c r="F2295" s="8">
        <v>0</v>
      </c>
      <c r="G2295" s="8">
        <v>41</v>
      </c>
      <c r="H2295" s="8" t="s">
        <v>30228</v>
      </c>
      <c r="I2295" s="8">
        <v>526.6875</v>
      </c>
      <c r="J2295" s="3">
        <f t="shared" si="35"/>
        <v>43748.607797916666</v>
      </c>
    </row>
    <row r="2296" spans="1:10" x14ac:dyDescent="0.25">
      <c r="A2296" s="5" t="s">
        <v>30229</v>
      </c>
      <c r="B2296" s="6">
        <v>393.75</v>
      </c>
      <c r="C2296" s="6">
        <v>20.478950000000001</v>
      </c>
      <c r="D2296" s="6">
        <v>71</v>
      </c>
      <c r="E2296" s="6">
        <v>0</v>
      </c>
      <c r="F2296" s="6">
        <v>0</v>
      </c>
      <c r="G2296" s="6">
        <v>43</v>
      </c>
      <c r="H2296" s="6" t="s">
        <v>30230</v>
      </c>
      <c r="I2296" s="6">
        <v>526.6875</v>
      </c>
      <c r="J2296" s="2">
        <f t="shared" si="35"/>
        <v>43748.607880370364</v>
      </c>
    </row>
    <row r="2297" spans="1:10" x14ac:dyDescent="0.25">
      <c r="A2297" s="7" t="s">
        <v>30231</v>
      </c>
      <c r="B2297" s="8">
        <v>393.75</v>
      </c>
      <c r="C2297" s="8">
        <v>20.531590000000001</v>
      </c>
      <c r="D2297" s="8">
        <v>71</v>
      </c>
      <c r="E2297" s="8">
        <v>0</v>
      </c>
      <c r="F2297" s="8">
        <v>0</v>
      </c>
      <c r="G2297" s="8">
        <v>44</v>
      </c>
      <c r="H2297" s="8" t="s">
        <v>30232</v>
      </c>
      <c r="I2297" s="8">
        <v>526.6875</v>
      </c>
      <c r="J2297" s="3">
        <f t="shared" si="35"/>
        <v>43748.607963842594</v>
      </c>
    </row>
    <row r="2298" spans="1:10" x14ac:dyDescent="0.25">
      <c r="A2298" s="5" t="s">
        <v>30233</v>
      </c>
      <c r="B2298" s="6">
        <v>412.5</v>
      </c>
      <c r="C2298" s="6">
        <v>20.478950000000001</v>
      </c>
      <c r="D2298" s="6">
        <v>71</v>
      </c>
      <c r="E2298" s="6">
        <v>0</v>
      </c>
      <c r="F2298" s="6">
        <v>0</v>
      </c>
      <c r="G2298" s="6">
        <v>42</v>
      </c>
      <c r="H2298" s="6" t="s">
        <v>30234</v>
      </c>
      <c r="I2298" s="6">
        <v>532.125</v>
      </c>
      <c r="J2298" s="2">
        <f t="shared" si="35"/>
        <v>43748.608047268521</v>
      </c>
    </row>
    <row r="2299" spans="1:10" x14ac:dyDescent="0.25">
      <c r="A2299" s="7" t="s">
        <v>30235</v>
      </c>
      <c r="B2299" s="8">
        <v>393.75</v>
      </c>
      <c r="C2299" s="8">
        <v>20.584240000000001</v>
      </c>
      <c r="D2299" s="8">
        <v>70</v>
      </c>
      <c r="E2299" s="8">
        <v>0</v>
      </c>
      <c r="F2299" s="8">
        <v>0</v>
      </c>
      <c r="G2299" s="8">
        <v>42</v>
      </c>
      <c r="H2299" s="8" t="s">
        <v>30236</v>
      </c>
      <c r="I2299" s="8">
        <v>526.6875</v>
      </c>
      <c r="J2299" s="3">
        <f t="shared" si="35"/>
        <v>43748.608130486107</v>
      </c>
    </row>
    <row r="2300" spans="1:10" x14ac:dyDescent="0.25">
      <c r="A2300" s="5" t="s">
        <v>30237</v>
      </c>
      <c r="B2300" s="6">
        <v>393.75</v>
      </c>
      <c r="C2300" s="6">
        <v>20.531590000000001</v>
      </c>
      <c r="D2300" s="6">
        <v>70</v>
      </c>
      <c r="E2300" s="6">
        <v>0</v>
      </c>
      <c r="F2300" s="6">
        <v>0</v>
      </c>
      <c r="G2300" s="6">
        <v>36</v>
      </c>
      <c r="H2300" s="6" t="s">
        <v>30238</v>
      </c>
      <c r="I2300" s="6">
        <v>526.6875</v>
      </c>
      <c r="J2300" s="2">
        <f t="shared" si="35"/>
        <v>43748.608202152776</v>
      </c>
    </row>
    <row r="2301" spans="1:10" x14ac:dyDescent="0.25">
      <c r="A2301" s="7" t="s">
        <v>30239</v>
      </c>
      <c r="B2301" s="8">
        <v>393.75</v>
      </c>
      <c r="C2301" s="8">
        <v>20.478950000000001</v>
      </c>
      <c r="D2301" s="8">
        <v>69</v>
      </c>
      <c r="E2301" s="8">
        <v>0</v>
      </c>
      <c r="F2301" s="8">
        <v>0</v>
      </c>
      <c r="G2301" s="8">
        <v>30</v>
      </c>
      <c r="H2301" s="8" t="s">
        <v>30240</v>
      </c>
      <c r="I2301" s="8">
        <v>526.6875</v>
      </c>
      <c r="J2301" s="3">
        <f t="shared" si="35"/>
        <v>43748.608286053241</v>
      </c>
    </row>
    <row r="2302" spans="1:10" x14ac:dyDescent="0.25">
      <c r="A2302" s="5" t="s">
        <v>30241</v>
      </c>
      <c r="B2302" s="6">
        <v>393.75</v>
      </c>
      <c r="C2302" s="6">
        <v>20.531590000000001</v>
      </c>
      <c r="D2302" s="6">
        <v>67</v>
      </c>
      <c r="E2302" s="6">
        <v>0</v>
      </c>
      <c r="F2302" s="6">
        <v>0</v>
      </c>
      <c r="G2302" s="6">
        <v>38</v>
      </c>
      <c r="H2302" s="6" t="s">
        <v>30242</v>
      </c>
      <c r="I2302" s="6">
        <v>526.6875</v>
      </c>
      <c r="J2302" s="2">
        <f t="shared" si="35"/>
        <v>43748.608369386573</v>
      </c>
    </row>
    <row r="2303" spans="1:10" x14ac:dyDescent="0.25">
      <c r="A2303" s="7" t="s">
        <v>30243</v>
      </c>
      <c r="B2303" s="8">
        <v>412.5</v>
      </c>
      <c r="C2303" s="8">
        <v>20.478950000000001</v>
      </c>
      <c r="D2303" s="8">
        <v>68</v>
      </c>
      <c r="E2303" s="8">
        <v>0</v>
      </c>
      <c r="F2303" s="8">
        <v>0</v>
      </c>
      <c r="G2303" s="8">
        <v>38</v>
      </c>
      <c r="H2303" s="8" t="s">
        <v>30244</v>
      </c>
      <c r="I2303" s="8">
        <v>532.3125</v>
      </c>
      <c r="J2303" s="3">
        <f t="shared" si="35"/>
        <v>43748.608452719905</v>
      </c>
    </row>
    <row r="2304" spans="1:10" x14ac:dyDescent="0.25">
      <c r="A2304" s="5" t="s">
        <v>30245</v>
      </c>
      <c r="B2304" s="6">
        <v>393.75</v>
      </c>
      <c r="C2304" s="6">
        <v>20.478950000000001</v>
      </c>
      <c r="D2304" s="6">
        <v>68</v>
      </c>
      <c r="E2304" s="6">
        <v>0</v>
      </c>
      <c r="F2304" s="6">
        <v>0</v>
      </c>
      <c r="G2304" s="6">
        <v>42</v>
      </c>
      <c r="H2304" s="6" t="s">
        <v>30246</v>
      </c>
      <c r="I2304" s="6">
        <v>526.6875</v>
      </c>
      <c r="J2304" s="2">
        <f t="shared" si="35"/>
        <v>43748.608524351854</v>
      </c>
    </row>
    <row r="2305" spans="1:10" x14ac:dyDescent="0.25">
      <c r="A2305" s="7" t="s">
        <v>30247</v>
      </c>
      <c r="B2305" s="8">
        <v>393.75</v>
      </c>
      <c r="C2305" s="8">
        <v>20.478950000000001</v>
      </c>
      <c r="D2305" s="8">
        <v>68</v>
      </c>
      <c r="E2305" s="8">
        <v>0</v>
      </c>
      <c r="F2305" s="8">
        <v>0</v>
      </c>
      <c r="G2305" s="8">
        <v>29</v>
      </c>
      <c r="H2305" s="8" t="s">
        <v>30248</v>
      </c>
      <c r="I2305" s="8">
        <v>526.6875</v>
      </c>
      <c r="J2305" s="3">
        <f t="shared" si="35"/>
        <v>43748.608607916663</v>
      </c>
    </row>
    <row r="2306" spans="1:10" x14ac:dyDescent="0.25">
      <c r="A2306" s="5" t="s">
        <v>30249</v>
      </c>
      <c r="B2306" s="6">
        <v>393.75</v>
      </c>
      <c r="C2306" s="6">
        <v>20.531590000000001</v>
      </c>
      <c r="D2306" s="6">
        <v>68</v>
      </c>
      <c r="E2306" s="6">
        <v>0</v>
      </c>
      <c r="F2306" s="6">
        <v>0</v>
      </c>
      <c r="G2306" s="6">
        <v>33</v>
      </c>
      <c r="H2306" s="6" t="s">
        <v>30250</v>
      </c>
      <c r="I2306" s="6">
        <v>526.875</v>
      </c>
      <c r="J2306" s="2">
        <f t="shared" ref="J2306:J2369" si="36">(H2306/86400000)+25569+(7/24)</f>
        <v>43748.608691493057</v>
      </c>
    </row>
    <row r="2307" spans="1:10" x14ac:dyDescent="0.25">
      <c r="A2307" s="7" t="s">
        <v>30251</v>
      </c>
      <c r="B2307" s="8">
        <v>393.75</v>
      </c>
      <c r="C2307" s="8">
        <v>20.478950000000001</v>
      </c>
      <c r="D2307" s="8">
        <v>68</v>
      </c>
      <c r="E2307" s="8">
        <v>0</v>
      </c>
      <c r="F2307" s="8">
        <v>0</v>
      </c>
      <c r="G2307" s="8">
        <v>39</v>
      </c>
      <c r="H2307" s="8" t="s">
        <v>30252</v>
      </c>
      <c r="I2307" s="8">
        <v>526.6875</v>
      </c>
      <c r="J2307" s="3">
        <f t="shared" si="36"/>
        <v>43748.608774965272</v>
      </c>
    </row>
    <row r="2308" spans="1:10" x14ac:dyDescent="0.25">
      <c r="A2308" s="5" t="s">
        <v>30253</v>
      </c>
      <c r="B2308" s="6">
        <v>428.125</v>
      </c>
      <c r="C2308" s="6">
        <v>20.531590000000001</v>
      </c>
      <c r="D2308" s="6">
        <v>69</v>
      </c>
      <c r="E2308" s="6">
        <v>0</v>
      </c>
      <c r="F2308" s="6">
        <v>0</v>
      </c>
      <c r="G2308" s="6">
        <v>47</v>
      </c>
      <c r="H2308" s="6" t="s">
        <v>30254</v>
      </c>
      <c r="I2308" s="6">
        <v>537.375</v>
      </c>
      <c r="J2308" s="2">
        <f t="shared" si="36"/>
        <v>43748.608858391199</v>
      </c>
    </row>
    <row r="2309" spans="1:10" x14ac:dyDescent="0.25">
      <c r="A2309" s="7" t="s">
        <v>30255</v>
      </c>
      <c r="B2309" s="8">
        <v>393.75</v>
      </c>
      <c r="C2309" s="8">
        <v>20.531590000000001</v>
      </c>
      <c r="D2309" s="8">
        <v>71</v>
      </c>
      <c r="E2309" s="8">
        <v>0</v>
      </c>
      <c r="F2309" s="8">
        <v>0</v>
      </c>
      <c r="G2309" s="8">
        <v>39</v>
      </c>
      <c r="H2309" s="8" t="s">
        <v>30256</v>
      </c>
      <c r="I2309" s="8">
        <v>526.5</v>
      </c>
      <c r="J2309" s="3">
        <f t="shared" si="36"/>
        <v>43748.608941608793</v>
      </c>
    </row>
    <row r="2310" spans="1:10" x14ac:dyDescent="0.25">
      <c r="A2310" s="5" t="s">
        <v>30257</v>
      </c>
      <c r="B2310" s="6">
        <v>393.75</v>
      </c>
      <c r="C2310" s="6">
        <v>20.531590000000001</v>
      </c>
      <c r="D2310" s="6">
        <v>71</v>
      </c>
      <c r="E2310" s="6">
        <v>0</v>
      </c>
      <c r="F2310" s="6">
        <v>0</v>
      </c>
      <c r="G2310" s="6">
        <v>46</v>
      </c>
      <c r="H2310" s="6" t="s">
        <v>30258</v>
      </c>
      <c r="I2310" s="6">
        <v>526.6875</v>
      </c>
      <c r="J2310" s="2">
        <f t="shared" si="36"/>
        <v>43748.609013252317</v>
      </c>
    </row>
    <row r="2311" spans="1:10" x14ac:dyDescent="0.25">
      <c r="A2311" s="7" t="s">
        <v>30259</v>
      </c>
      <c r="B2311" s="8">
        <v>393.75</v>
      </c>
      <c r="C2311" s="8">
        <v>20.531590000000001</v>
      </c>
      <c r="D2311" s="8">
        <v>72</v>
      </c>
      <c r="E2311" s="8">
        <v>0</v>
      </c>
      <c r="F2311" s="8">
        <v>0</v>
      </c>
      <c r="G2311" s="8">
        <v>45</v>
      </c>
      <c r="H2311" s="8" t="s">
        <v>30260</v>
      </c>
      <c r="I2311" s="8">
        <v>526.6875</v>
      </c>
      <c r="J2311" s="3">
        <f t="shared" si="36"/>
        <v>43748.60909716435</v>
      </c>
    </row>
    <row r="2312" spans="1:10" x14ac:dyDescent="0.25">
      <c r="A2312" s="5" t="s">
        <v>30261</v>
      </c>
      <c r="B2312" s="6">
        <v>393.75</v>
      </c>
      <c r="C2312" s="6">
        <v>20.531590000000001</v>
      </c>
      <c r="D2312" s="6">
        <v>71</v>
      </c>
      <c r="E2312" s="6">
        <v>0</v>
      </c>
      <c r="F2312" s="6">
        <v>0</v>
      </c>
      <c r="G2312" s="6">
        <v>51</v>
      </c>
      <c r="H2312" s="6" t="s">
        <v>30262</v>
      </c>
      <c r="I2312" s="6">
        <v>526.6875</v>
      </c>
      <c r="J2312" s="2">
        <f t="shared" si="36"/>
        <v>43748.609180497682</v>
      </c>
    </row>
    <row r="2313" spans="1:10" x14ac:dyDescent="0.25">
      <c r="A2313" s="7" t="s">
        <v>30263</v>
      </c>
      <c r="B2313" s="8">
        <v>425</v>
      </c>
      <c r="C2313" s="8">
        <v>20.531590000000001</v>
      </c>
      <c r="D2313" s="8">
        <v>72</v>
      </c>
      <c r="E2313" s="8">
        <v>0</v>
      </c>
      <c r="F2313" s="8">
        <v>0</v>
      </c>
      <c r="G2313" s="8">
        <v>40</v>
      </c>
      <c r="H2313" s="8" t="s">
        <v>30264</v>
      </c>
      <c r="I2313" s="8">
        <v>536.625</v>
      </c>
      <c r="J2313" s="3">
        <f t="shared" si="36"/>
        <v>43748.609263842591</v>
      </c>
    </row>
    <row r="2314" spans="1:10" x14ac:dyDescent="0.25">
      <c r="A2314" s="5" t="s">
        <v>30265</v>
      </c>
      <c r="B2314" s="6">
        <v>393.75</v>
      </c>
      <c r="C2314" s="6">
        <v>20.531590000000001</v>
      </c>
      <c r="D2314" s="6">
        <v>72</v>
      </c>
      <c r="E2314" s="6">
        <v>0</v>
      </c>
      <c r="F2314" s="6">
        <v>0</v>
      </c>
      <c r="G2314" s="6">
        <v>36</v>
      </c>
      <c r="H2314" s="6" t="s">
        <v>30266</v>
      </c>
      <c r="I2314" s="6">
        <v>526.6875</v>
      </c>
      <c r="J2314" s="2">
        <f t="shared" si="36"/>
        <v>43748.609335486108</v>
      </c>
    </row>
    <row r="2315" spans="1:10" x14ac:dyDescent="0.25">
      <c r="A2315" s="7" t="s">
        <v>30267</v>
      </c>
      <c r="B2315" s="8">
        <v>393.75</v>
      </c>
      <c r="C2315" s="8">
        <v>20.531590000000001</v>
      </c>
      <c r="D2315" s="8">
        <v>72</v>
      </c>
      <c r="E2315" s="8">
        <v>0</v>
      </c>
      <c r="F2315" s="8">
        <v>0</v>
      </c>
      <c r="G2315" s="8">
        <v>42</v>
      </c>
      <c r="H2315" s="8" t="s">
        <v>30268</v>
      </c>
      <c r="I2315" s="8">
        <v>526.6875</v>
      </c>
      <c r="J2315" s="3">
        <f t="shared" si="36"/>
        <v>43748.609431400466</v>
      </c>
    </row>
    <row r="2316" spans="1:10" x14ac:dyDescent="0.25">
      <c r="A2316" s="5" t="s">
        <v>30269</v>
      </c>
      <c r="B2316" s="6">
        <v>393.75</v>
      </c>
      <c r="C2316" s="6">
        <v>20.584240000000001</v>
      </c>
      <c r="D2316" s="6">
        <v>72</v>
      </c>
      <c r="E2316" s="6">
        <v>0</v>
      </c>
      <c r="F2316" s="6">
        <v>0</v>
      </c>
      <c r="G2316" s="6">
        <v>48</v>
      </c>
      <c r="H2316" s="6" t="s">
        <v>30270</v>
      </c>
      <c r="I2316" s="6">
        <v>526.6875</v>
      </c>
      <c r="J2316" s="2">
        <f t="shared" si="36"/>
        <v>43748.60950215278</v>
      </c>
    </row>
    <row r="2317" spans="1:10" x14ac:dyDescent="0.25">
      <c r="A2317" s="7" t="s">
        <v>30271</v>
      </c>
      <c r="B2317" s="8">
        <v>393.75</v>
      </c>
      <c r="C2317" s="8">
        <v>20.531590000000001</v>
      </c>
      <c r="D2317" s="8">
        <v>70</v>
      </c>
      <c r="E2317" s="8">
        <v>0</v>
      </c>
      <c r="F2317" s="8">
        <v>0</v>
      </c>
      <c r="G2317" s="8">
        <v>45</v>
      </c>
      <c r="H2317" s="8" t="s">
        <v>30272</v>
      </c>
      <c r="I2317" s="8">
        <v>526.6875</v>
      </c>
      <c r="J2317" s="3">
        <f t="shared" si="36"/>
        <v>43748.609586041661</v>
      </c>
    </row>
    <row r="2318" spans="1:10" x14ac:dyDescent="0.25">
      <c r="A2318" s="5" t="s">
        <v>30273</v>
      </c>
      <c r="B2318" s="6">
        <v>393.75</v>
      </c>
      <c r="C2318" s="6">
        <v>20.584240000000001</v>
      </c>
      <c r="D2318" s="6">
        <v>70</v>
      </c>
      <c r="E2318" s="6">
        <v>0</v>
      </c>
      <c r="F2318" s="6">
        <v>0</v>
      </c>
      <c r="G2318" s="6">
        <v>44</v>
      </c>
      <c r="H2318" s="6" t="s">
        <v>30274</v>
      </c>
      <c r="I2318" s="6">
        <v>526.6875</v>
      </c>
      <c r="J2318" s="2">
        <f t="shared" si="36"/>
        <v>43748.60966952546</v>
      </c>
    </row>
    <row r="2319" spans="1:10" x14ac:dyDescent="0.25">
      <c r="A2319" s="7" t="s">
        <v>30275</v>
      </c>
      <c r="B2319" s="8">
        <v>393.75</v>
      </c>
      <c r="C2319" s="8">
        <v>20.478950000000001</v>
      </c>
      <c r="D2319" s="8">
        <v>72</v>
      </c>
      <c r="E2319" s="8">
        <v>0</v>
      </c>
      <c r="F2319" s="8">
        <v>0</v>
      </c>
      <c r="G2319" s="8">
        <v>40</v>
      </c>
      <c r="H2319" s="8" t="s">
        <v>30276</v>
      </c>
      <c r="I2319" s="8">
        <v>526.6875</v>
      </c>
      <c r="J2319" s="3">
        <f t="shared" si="36"/>
        <v>43748.609764918983</v>
      </c>
    </row>
    <row r="2320" spans="1:10" x14ac:dyDescent="0.25">
      <c r="A2320" s="5" t="s">
        <v>30277</v>
      </c>
      <c r="B2320" s="6">
        <v>412.5</v>
      </c>
      <c r="C2320" s="6">
        <v>20.531590000000001</v>
      </c>
      <c r="D2320" s="6">
        <v>73</v>
      </c>
      <c r="E2320" s="6">
        <v>0</v>
      </c>
      <c r="F2320" s="6">
        <v>0</v>
      </c>
      <c r="G2320" s="6">
        <v>39</v>
      </c>
      <c r="H2320" s="6" t="s">
        <v>30278</v>
      </c>
      <c r="I2320" s="6">
        <v>532.3125</v>
      </c>
      <c r="J2320" s="2">
        <f t="shared" si="36"/>
        <v>43748.609848368054</v>
      </c>
    </row>
    <row r="2321" spans="1:10" x14ac:dyDescent="0.25">
      <c r="A2321" s="7" t="s">
        <v>30279</v>
      </c>
      <c r="B2321" s="8">
        <v>393.75</v>
      </c>
      <c r="C2321" s="8">
        <v>20.478950000000001</v>
      </c>
      <c r="D2321" s="8">
        <v>73</v>
      </c>
      <c r="E2321" s="8">
        <v>0</v>
      </c>
      <c r="F2321" s="8">
        <v>0</v>
      </c>
      <c r="G2321" s="8">
        <v>52</v>
      </c>
      <c r="H2321" s="8" t="s">
        <v>30280</v>
      </c>
      <c r="I2321" s="8">
        <v>526.6875</v>
      </c>
      <c r="J2321" s="3">
        <f t="shared" si="36"/>
        <v>43748.609931805557</v>
      </c>
    </row>
    <row r="2322" spans="1:10" x14ac:dyDescent="0.25">
      <c r="A2322" s="5" t="s">
        <v>30281</v>
      </c>
      <c r="B2322" s="6">
        <v>393.75</v>
      </c>
      <c r="C2322" s="6">
        <v>20.478950000000001</v>
      </c>
      <c r="D2322" s="6">
        <v>73</v>
      </c>
      <c r="E2322" s="6">
        <v>0</v>
      </c>
      <c r="F2322" s="6">
        <v>0</v>
      </c>
      <c r="G2322" s="6">
        <v>39</v>
      </c>
      <c r="H2322" s="6" t="s">
        <v>30282</v>
      </c>
      <c r="I2322" s="6">
        <v>526.6875</v>
      </c>
      <c r="J2322" s="2">
        <f t="shared" si="36"/>
        <v>43748.610015381943</v>
      </c>
    </row>
    <row r="2323" spans="1:10" x14ac:dyDescent="0.25">
      <c r="A2323" s="7" t="s">
        <v>30283</v>
      </c>
      <c r="B2323" s="8">
        <v>393.75</v>
      </c>
      <c r="C2323" s="8">
        <v>20.531590000000001</v>
      </c>
      <c r="D2323" s="8">
        <v>72</v>
      </c>
      <c r="E2323" s="8">
        <v>0</v>
      </c>
      <c r="F2323" s="8">
        <v>0</v>
      </c>
      <c r="G2323" s="8">
        <v>46</v>
      </c>
      <c r="H2323" s="8" t="s">
        <v>30284</v>
      </c>
      <c r="I2323" s="8">
        <v>526.6875</v>
      </c>
      <c r="J2323" s="3">
        <f t="shared" si="36"/>
        <v>43748.610098819445</v>
      </c>
    </row>
    <row r="2324" spans="1:10" x14ac:dyDescent="0.25">
      <c r="A2324" s="5" t="s">
        <v>30285</v>
      </c>
      <c r="B2324" s="6">
        <v>393.75</v>
      </c>
      <c r="C2324" s="6">
        <v>20.531590000000001</v>
      </c>
      <c r="D2324" s="6">
        <v>72</v>
      </c>
      <c r="E2324" s="6">
        <v>0</v>
      </c>
      <c r="F2324" s="6">
        <v>0</v>
      </c>
      <c r="G2324" s="6">
        <v>47</v>
      </c>
      <c r="H2324" s="6" t="s">
        <v>30286</v>
      </c>
      <c r="I2324" s="6">
        <v>526.6875</v>
      </c>
      <c r="J2324" s="2">
        <f t="shared" si="36"/>
        <v>43748.610194421293</v>
      </c>
    </row>
    <row r="2325" spans="1:10" x14ac:dyDescent="0.25">
      <c r="A2325" s="7" t="s">
        <v>30287</v>
      </c>
      <c r="B2325" s="8">
        <v>393.75</v>
      </c>
      <c r="C2325" s="8">
        <v>20.531590000000001</v>
      </c>
      <c r="D2325" s="8">
        <v>71</v>
      </c>
      <c r="E2325" s="8">
        <v>0</v>
      </c>
      <c r="F2325" s="8">
        <v>0</v>
      </c>
      <c r="G2325" s="8">
        <v>42</v>
      </c>
      <c r="H2325" s="8" t="s">
        <v>30288</v>
      </c>
      <c r="I2325" s="8">
        <v>526.6875</v>
      </c>
      <c r="J2325" s="3">
        <f t="shared" si="36"/>
        <v>43748.610265844902</v>
      </c>
    </row>
    <row r="2326" spans="1:10" x14ac:dyDescent="0.25">
      <c r="A2326" s="5" t="s">
        <v>30289</v>
      </c>
      <c r="B2326" s="6">
        <v>393.75</v>
      </c>
      <c r="C2326" s="6">
        <v>20.478950000000001</v>
      </c>
      <c r="D2326" s="6">
        <v>71</v>
      </c>
      <c r="E2326" s="6">
        <v>0</v>
      </c>
      <c r="F2326" s="6">
        <v>0</v>
      </c>
      <c r="G2326" s="6">
        <v>42</v>
      </c>
      <c r="H2326" s="6" t="s">
        <v>30290</v>
      </c>
      <c r="I2326" s="6">
        <v>526.6875</v>
      </c>
      <c r="J2326" s="2">
        <f t="shared" si="36"/>
        <v>43748.610349074072</v>
      </c>
    </row>
    <row r="2327" spans="1:10" x14ac:dyDescent="0.25">
      <c r="A2327" s="7" t="s">
        <v>30291</v>
      </c>
      <c r="B2327" s="8">
        <v>393.75</v>
      </c>
      <c r="C2327" s="8">
        <v>20.531590000000001</v>
      </c>
      <c r="D2327" s="8">
        <v>71</v>
      </c>
      <c r="E2327" s="8">
        <v>0</v>
      </c>
      <c r="F2327" s="8">
        <v>0</v>
      </c>
      <c r="G2327" s="8">
        <v>44</v>
      </c>
      <c r="H2327" s="8" t="s">
        <v>30292</v>
      </c>
      <c r="I2327" s="8">
        <v>526.6875</v>
      </c>
      <c r="J2327" s="3">
        <f t="shared" si="36"/>
        <v>43748.61044478009</v>
      </c>
    </row>
    <row r="2328" spans="1:10" x14ac:dyDescent="0.25">
      <c r="A2328" s="5" t="s">
        <v>30293</v>
      </c>
      <c r="B2328" s="6">
        <v>393.75</v>
      </c>
      <c r="C2328" s="6">
        <v>20.531590000000001</v>
      </c>
      <c r="D2328" s="6">
        <v>71</v>
      </c>
      <c r="E2328" s="6">
        <v>0</v>
      </c>
      <c r="F2328" s="6">
        <v>0</v>
      </c>
      <c r="G2328" s="6">
        <v>39</v>
      </c>
      <c r="H2328" s="6" t="s">
        <v>30294</v>
      </c>
      <c r="I2328" s="6">
        <v>526.6875</v>
      </c>
      <c r="J2328" s="2">
        <f t="shared" si="36"/>
        <v>43748.610528229161</v>
      </c>
    </row>
    <row r="2329" spans="1:10" x14ac:dyDescent="0.25">
      <c r="A2329" s="7" t="s">
        <v>30295</v>
      </c>
      <c r="B2329" s="8">
        <v>393.75</v>
      </c>
      <c r="C2329" s="8">
        <v>20.531590000000001</v>
      </c>
      <c r="D2329" s="8">
        <v>70</v>
      </c>
      <c r="E2329" s="8">
        <v>0</v>
      </c>
      <c r="F2329" s="8">
        <v>0</v>
      </c>
      <c r="G2329" s="8">
        <v>45</v>
      </c>
      <c r="H2329" s="8" t="s">
        <v>30296</v>
      </c>
      <c r="I2329" s="8">
        <v>526.6875</v>
      </c>
      <c r="J2329" s="3">
        <f t="shared" si="36"/>
        <v>43748.610611666663</v>
      </c>
    </row>
    <row r="2330" spans="1:10" x14ac:dyDescent="0.25">
      <c r="A2330" s="5" t="s">
        <v>30297</v>
      </c>
      <c r="B2330" s="6">
        <v>393.75</v>
      </c>
      <c r="C2330" s="6">
        <v>20.531590000000001</v>
      </c>
      <c r="D2330" s="6">
        <v>70</v>
      </c>
      <c r="E2330" s="6">
        <v>0</v>
      </c>
      <c r="F2330" s="6">
        <v>0</v>
      </c>
      <c r="G2330" s="6">
        <v>42</v>
      </c>
      <c r="H2330" s="6" t="s">
        <v>30298</v>
      </c>
      <c r="I2330" s="6">
        <v>526.6875</v>
      </c>
      <c r="J2330" s="2">
        <f t="shared" si="36"/>
        <v>43748.610695347219</v>
      </c>
    </row>
    <row r="2331" spans="1:10" x14ac:dyDescent="0.25">
      <c r="A2331" s="7" t="s">
        <v>30299</v>
      </c>
      <c r="B2331" s="8">
        <v>412.5</v>
      </c>
      <c r="C2331" s="8">
        <v>20.478950000000001</v>
      </c>
      <c r="D2331" s="8">
        <v>72</v>
      </c>
      <c r="E2331" s="8">
        <v>0</v>
      </c>
      <c r="F2331" s="8">
        <v>0</v>
      </c>
      <c r="G2331" s="8">
        <v>32</v>
      </c>
      <c r="H2331" s="8" t="s">
        <v>30300</v>
      </c>
      <c r="I2331" s="8">
        <v>532.5</v>
      </c>
      <c r="J2331" s="3">
        <f t="shared" si="36"/>
        <v>43748.610781608797</v>
      </c>
    </row>
    <row r="2332" spans="1:10" x14ac:dyDescent="0.25">
      <c r="A2332" s="5" t="s">
        <v>30301</v>
      </c>
      <c r="B2332" s="6">
        <v>393.75</v>
      </c>
      <c r="C2332" s="6">
        <v>20.478950000000001</v>
      </c>
      <c r="D2332" s="6">
        <v>69</v>
      </c>
      <c r="E2332" s="6">
        <v>0</v>
      </c>
      <c r="F2332" s="6">
        <v>0</v>
      </c>
      <c r="G2332" s="6">
        <v>45</v>
      </c>
      <c r="H2332" s="6" t="s">
        <v>30302</v>
      </c>
      <c r="I2332" s="6">
        <v>526.6875</v>
      </c>
      <c r="J2332" s="2">
        <f t="shared" si="36"/>
        <v>43748.610862141206</v>
      </c>
    </row>
    <row r="2333" spans="1:10" x14ac:dyDescent="0.25">
      <c r="A2333" s="7" t="s">
        <v>30303</v>
      </c>
      <c r="B2333" s="8">
        <v>393.75</v>
      </c>
      <c r="C2333" s="8">
        <v>20.478950000000001</v>
      </c>
      <c r="D2333" s="8">
        <v>72</v>
      </c>
      <c r="E2333" s="8">
        <v>0</v>
      </c>
      <c r="F2333" s="8">
        <v>0</v>
      </c>
      <c r="G2333" s="8">
        <v>41</v>
      </c>
      <c r="H2333" s="8" t="s">
        <v>30304</v>
      </c>
      <c r="I2333" s="8">
        <v>526.6875</v>
      </c>
      <c r="J2333" s="3">
        <f t="shared" si="36"/>
        <v>43748.610945358792</v>
      </c>
    </row>
    <row r="2334" spans="1:10" x14ac:dyDescent="0.25">
      <c r="A2334" s="5" t="s">
        <v>30305</v>
      </c>
      <c r="B2334" s="6">
        <v>393.75</v>
      </c>
      <c r="C2334" s="6">
        <v>20.584240000000001</v>
      </c>
      <c r="D2334" s="6">
        <v>72</v>
      </c>
      <c r="E2334" s="6">
        <v>0</v>
      </c>
      <c r="F2334" s="6">
        <v>0</v>
      </c>
      <c r="G2334" s="6">
        <v>42</v>
      </c>
      <c r="H2334" s="6" t="s">
        <v>30306</v>
      </c>
      <c r="I2334" s="6">
        <v>526.6875</v>
      </c>
      <c r="J2334" s="2">
        <f t="shared" si="36"/>
        <v>43748.611017013885</v>
      </c>
    </row>
    <row r="2335" spans="1:10" x14ac:dyDescent="0.25">
      <c r="A2335" s="7" t="s">
        <v>30307</v>
      </c>
      <c r="B2335" s="8">
        <v>393.75</v>
      </c>
      <c r="C2335" s="8">
        <v>20.531590000000001</v>
      </c>
      <c r="D2335" s="8">
        <v>73</v>
      </c>
      <c r="E2335" s="8">
        <v>0</v>
      </c>
      <c r="F2335" s="8">
        <v>0</v>
      </c>
      <c r="G2335" s="8">
        <v>46</v>
      </c>
      <c r="H2335" s="8" t="s">
        <v>30308</v>
      </c>
      <c r="I2335" s="8">
        <v>526.6875</v>
      </c>
      <c r="J2335" s="3">
        <f t="shared" si="36"/>
        <v>43748.611100902774</v>
      </c>
    </row>
    <row r="2336" spans="1:10" x14ac:dyDescent="0.25">
      <c r="A2336" s="5" t="s">
        <v>30309</v>
      </c>
      <c r="B2336" s="6">
        <v>393.75</v>
      </c>
      <c r="C2336" s="6">
        <v>20.478950000000001</v>
      </c>
      <c r="D2336" s="6">
        <v>72</v>
      </c>
      <c r="E2336" s="6">
        <v>0</v>
      </c>
      <c r="F2336" s="6">
        <v>0</v>
      </c>
      <c r="G2336" s="6">
        <v>42</v>
      </c>
      <c r="H2336" s="6" t="s">
        <v>30310</v>
      </c>
      <c r="I2336" s="6">
        <v>526.6875</v>
      </c>
      <c r="J2336" s="2">
        <f t="shared" si="36"/>
        <v>43748.611184247682</v>
      </c>
    </row>
    <row r="2337" spans="1:10" x14ac:dyDescent="0.25">
      <c r="A2337" s="7" t="s">
        <v>30311</v>
      </c>
      <c r="B2337" s="8">
        <v>393.75</v>
      </c>
      <c r="C2337" s="8">
        <v>20.478950000000001</v>
      </c>
      <c r="D2337" s="8">
        <v>72</v>
      </c>
      <c r="E2337" s="8">
        <v>0</v>
      </c>
      <c r="F2337" s="8">
        <v>0</v>
      </c>
      <c r="G2337" s="8">
        <v>46</v>
      </c>
      <c r="H2337" s="8" t="s">
        <v>30312</v>
      </c>
      <c r="I2337" s="8">
        <v>526.6875</v>
      </c>
      <c r="J2337" s="3">
        <f t="shared" si="36"/>
        <v>43748.611267569438</v>
      </c>
    </row>
    <row r="2338" spans="1:10" x14ac:dyDescent="0.25">
      <c r="A2338" s="5" t="s">
        <v>30313</v>
      </c>
      <c r="B2338" s="6">
        <v>393.75</v>
      </c>
      <c r="C2338" s="6">
        <v>20.478950000000001</v>
      </c>
      <c r="D2338" s="6">
        <v>72</v>
      </c>
      <c r="E2338" s="6">
        <v>0</v>
      </c>
      <c r="F2338" s="6">
        <v>0</v>
      </c>
      <c r="G2338" s="6">
        <v>55</v>
      </c>
      <c r="H2338" s="6" t="s">
        <v>30314</v>
      </c>
      <c r="I2338" s="6">
        <v>526.6875</v>
      </c>
      <c r="J2338" s="2">
        <f t="shared" si="36"/>
        <v>43748.611339224539</v>
      </c>
    </row>
    <row r="2339" spans="1:10" x14ac:dyDescent="0.25">
      <c r="A2339" s="7" t="s">
        <v>30315</v>
      </c>
      <c r="B2339" s="8">
        <v>412.5</v>
      </c>
      <c r="C2339" s="8">
        <v>20.478950000000001</v>
      </c>
      <c r="D2339" s="8">
        <v>69</v>
      </c>
      <c r="E2339" s="8">
        <v>0</v>
      </c>
      <c r="F2339" s="8">
        <v>0</v>
      </c>
      <c r="G2339" s="8">
        <v>44</v>
      </c>
      <c r="H2339" s="8" t="s">
        <v>30316</v>
      </c>
      <c r="I2339" s="8">
        <v>532.3125</v>
      </c>
      <c r="J2339" s="3">
        <f t="shared" si="36"/>
        <v>43748.611422789349</v>
      </c>
    </row>
    <row r="2340" spans="1:10" x14ac:dyDescent="0.25">
      <c r="A2340" s="5" t="s">
        <v>30317</v>
      </c>
      <c r="B2340" s="6">
        <v>393.75</v>
      </c>
      <c r="C2340" s="6">
        <v>20.531590000000001</v>
      </c>
      <c r="D2340" s="6">
        <v>70</v>
      </c>
      <c r="E2340" s="6">
        <v>0</v>
      </c>
      <c r="F2340" s="6">
        <v>0</v>
      </c>
      <c r="G2340" s="6">
        <v>53</v>
      </c>
      <c r="H2340" s="6" t="s">
        <v>30318</v>
      </c>
      <c r="I2340" s="6">
        <v>526.6875</v>
      </c>
      <c r="J2340" s="2">
        <f t="shared" si="36"/>
        <v>43748.611506238427</v>
      </c>
    </row>
    <row r="2341" spans="1:10" x14ac:dyDescent="0.25">
      <c r="A2341" s="7" t="s">
        <v>30319</v>
      </c>
      <c r="B2341" s="8">
        <v>412.5</v>
      </c>
      <c r="C2341" s="8">
        <v>20.478950000000001</v>
      </c>
      <c r="D2341" s="8">
        <v>70</v>
      </c>
      <c r="E2341" s="8">
        <v>0</v>
      </c>
      <c r="F2341" s="8">
        <v>0</v>
      </c>
      <c r="G2341" s="8">
        <v>42</v>
      </c>
      <c r="H2341" s="8" t="s">
        <v>30320</v>
      </c>
      <c r="I2341" s="8">
        <v>532.5</v>
      </c>
      <c r="J2341" s="3">
        <f t="shared" si="36"/>
        <v>43748.611589791668</v>
      </c>
    </row>
    <row r="2342" spans="1:10" x14ac:dyDescent="0.25">
      <c r="A2342" s="5" t="s">
        <v>30321</v>
      </c>
      <c r="B2342" s="6">
        <v>393.75</v>
      </c>
      <c r="C2342" s="6">
        <v>20.531590000000001</v>
      </c>
      <c r="D2342" s="6">
        <v>71</v>
      </c>
      <c r="E2342" s="6">
        <v>0</v>
      </c>
      <c r="F2342" s="6">
        <v>0</v>
      </c>
      <c r="G2342" s="6">
        <v>44</v>
      </c>
      <c r="H2342" s="6" t="s">
        <v>30322</v>
      </c>
      <c r="I2342" s="6">
        <v>526.6875</v>
      </c>
      <c r="J2342" s="2">
        <f t="shared" si="36"/>
        <v>43748.61167327546</v>
      </c>
    </row>
    <row r="2343" spans="1:10" x14ac:dyDescent="0.25">
      <c r="A2343" s="7" t="s">
        <v>30323</v>
      </c>
      <c r="B2343" s="8">
        <v>393.75</v>
      </c>
      <c r="C2343" s="8">
        <v>20.478950000000001</v>
      </c>
      <c r="D2343" s="8">
        <v>74</v>
      </c>
      <c r="E2343" s="8">
        <v>0</v>
      </c>
      <c r="F2343" s="8">
        <v>0</v>
      </c>
      <c r="G2343" s="8">
        <v>41</v>
      </c>
      <c r="H2343" s="8" t="s">
        <v>30324</v>
      </c>
      <c r="I2343" s="8">
        <v>526.6875</v>
      </c>
      <c r="J2343" s="3">
        <f t="shared" si="36"/>
        <v>43748.611756469902</v>
      </c>
    </row>
    <row r="2344" spans="1:10" x14ac:dyDescent="0.25">
      <c r="A2344" s="5" t="s">
        <v>30325</v>
      </c>
      <c r="B2344" s="6">
        <v>393.75</v>
      </c>
      <c r="C2344" s="6">
        <v>20.478950000000001</v>
      </c>
      <c r="D2344" s="6">
        <v>74</v>
      </c>
      <c r="E2344" s="6">
        <v>0</v>
      </c>
      <c r="F2344" s="6">
        <v>0</v>
      </c>
      <c r="G2344" s="6">
        <v>48</v>
      </c>
      <c r="H2344" s="6" t="s">
        <v>30326</v>
      </c>
      <c r="I2344" s="6">
        <v>526.6875</v>
      </c>
      <c r="J2344" s="2">
        <f t="shared" si="36"/>
        <v>43748.611840266203</v>
      </c>
    </row>
    <row r="2345" spans="1:10" x14ac:dyDescent="0.25">
      <c r="A2345" s="7" t="s">
        <v>30327</v>
      </c>
      <c r="B2345" s="8">
        <v>393.75</v>
      </c>
      <c r="C2345" s="8">
        <v>20.531590000000001</v>
      </c>
      <c r="D2345" s="8">
        <v>74</v>
      </c>
      <c r="E2345" s="8">
        <v>0</v>
      </c>
      <c r="F2345" s="8">
        <v>0</v>
      </c>
      <c r="G2345" s="8">
        <v>52</v>
      </c>
      <c r="H2345" s="8" t="s">
        <v>30328</v>
      </c>
      <c r="I2345" s="8">
        <v>526.6875</v>
      </c>
      <c r="J2345" s="3">
        <f t="shared" si="36"/>
        <v>43748.611923842589</v>
      </c>
    </row>
    <row r="2346" spans="1:10" x14ac:dyDescent="0.25">
      <c r="A2346" s="5" t="s">
        <v>30329</v>
      </c>
      <c r="B2346" s="6">
        <v>393.75</v>
      </c>
      <c r="C2346" s="6">
        <v>20.531590000000001</v>
      </c>
      <c r="D2346" s="6">
        <v>74</v>
      </c>
      <c r="E2346" s="6">
        <v>0</v>
      </c>
      <c r="F2346" s="6">
        <v>0</v>
      </c>
      <c r="G2346" s="6">
        <v>42</v>
      </c>
      <c r="H2346" s="6" t="s">
        <v>30330</v>
      </c>
      <c r="I2346" s="6">
        <v>526.6875</v>
      </c>
      <c r="J2346" s="2">
        <f t="shared" si="36"/>
        <v>43748.61199503472</v>
      </c>
    </row>
    <row r="2347" spans="1:10" x14ac:dyDescent="0.25">
      <c r="A2347" s="7" t="s">
        <v>30331</v>
      </c>
      <c r="B2347" s="8">
        <v>393.75</v>
      </c>
      <c r="C2347" s="8">
        <v>20.478950000000001</v>
      </c>
      <c r="D2347" s="8">
        <v>74</v>
      </c>
      <c r="E2347" s="8">
        <v>0</v>
      </c>
      <c r="F2347" s="8">
        <v>0</v>
      </c>
      <c r="G2347" s="8">
        <v>51</v>
      </c>
      <c r="H2347" s="8" t="s">
        <v>30332</v>
      </c>
      <c r="I2347" s="8">
        <v>526.6875</v>
      </c>
      <c r="J2347" s="3">
        <f t="shared" si="36"/>
        <v>43748.6120787037</v>
      </c>
    </row>
    <row r="2348" spans="1:10" x14ac:dyDescent="0.25">
      <c r="A2348" s="5" t="s">
        <v>30333</v>
      </c>
      <c r="B2348" s="6">
        <v>393.75</v>
      </c>
      <c r="C2348" s="6">
        <v>20.478950000000001</v>
      </c>
      <c r="D2348" s="6">
        <v>74</v>
      </c>
      <c r="E2348" s="6">
        <v>0</v>
      </c>
      <c r="F2348" s="6">
        <v>0</v>
      </c>
      <c r="G2348" s="6">
        <v>53</v>
      </c>
      <c r="H2348" s="6" t="s">
        <v>30334</v>
      </c>
      <c r="I2348" s="6">
        <v>526.6875</v>
      </c>
      <c r="J2348" s="2">
        <f t="shared" si="36"/>
        <v>43748.612150324072</v>
      </c>
    </row>
    <row r="2349" spans="1:10" x14ac:dyDescent="0.25">
      <c r="A2349" s="7" t="s">
        <v>30335</v>
      </c>
      <c r="B2349" s="8">
        <v>412.5</v>
      </c>
      <c r="C2349" s="8">
        <v>20.478950000000001</v>
      </c>
      <c r="D2349" s="8">
        <v>73</v>
      </c>
      <c r="E2349" s="8">
        <v>0</v>
      </c>
      <c r="F2349" s="8">
        <v>0</v>
      </c>
      <c r="G2349" s="8">
        <v>48</v>
      </c>
      <c r="H2349" s="8" t="s">
        <v>30336</v>
      </c>
      <c r="I2349" s="8">
        <v>532.875</v>
      </c>
      <c r="J2349" s="3">
        <f t="shared" si="36"/>
        <v>43748.61222185185</v>
      </c>
    </row>
    <row r="2350" spans="1:10" x14ac:dyDescent="0.25">
      <c r="A2350" s="5" t="s">
        <v>30337</v>
      </c>
      <c r="B2350" s="6">
        <v>393.75</v>
      </c>
      <c r="C2350" s="6">
        <v>20.584240000000001</v>
      </c>
      <c r="D2350" s="6">
        <v>73</v>
      </c>
      <c r="E2350" s="6">
        <v>0</v>
      </c>
      <c r="F2350" s="6">
        <v>0</v>
      </c>
      <c r="G2350" s="6">
        <v>51</v>
      </c>
      <c r="H2350" s="6" t="s">
        <v>30338</v>
      </c>
      <c r="I2350" s="6">
        <v>526.6875</v>
      </c>
      <c r="J2350" s="2">
        <f t="shared" si="36"/>
        <v>43748.612305300929</v>
      </c>
    </row>
    <row r="2351" spans="1:10" x14ac:dyDescent="0.25">
      <c r="A2351" s="7" t="s">
        <v>30339</v>
      </c>
      <c r="B2351" s="8">
        <v>393.75</v>
      </c>
      <c r="C2351" s="8">
        <v>20.584240000000001</v>
      </c>
      <c r="D2351" s="8">
        <v>73</v>
      </c>
      <c r="E2351" s="8">
        <v>0</v>
      </c>
      <c r="F2351" s="8">
        <v>0</v>
      </c>
      <c r="G2351" s="8">
        <v>55</v>
      </c>
      <c r="H2351" s="8" t="s">
        <v>30340</v>
      </c>
      <c r="I2351" s="8">
        <v>526.6875</v>
      </c>
      <c r="J2351" s="3">
        <f t="shared" si="36"/>
        <v>43748.612376956014</v>
      </c>
    </row>
    <row r="2352" spans="1:10" x14ac:dyDescent="0.25">
      <c r="A2352" s="5" t="s">
        <v>30341</v>
      </c>
      <c r="B2352" s="6">
        <v>393.75</v>
      </c>
      <c r="C2352" s="6">
        <v>20.584240000000001</v>
      </c>
      <c r="D2352" s="6">
        <v>73</v>
      </c>
      <c r="E2352" s="6">
        <v>0</v>
      </c>
      <c r="F2352" s="6">
        <v>0</v>
      </c>
      <c r="G2352" s="6">
        <v>56</v>
      </c>
      <c r="H2352" s="6" t="s">
        <v>30342</v>
      </c>
      <c r="I2352" s="6">
        <v>526.6875</v>
      </c>
      <c r="J2352" s="2">
        <f t="shared" si="36"/>
        <v>43748.612474733796</v>
      </c>
    </row>
    <row r="2353" spans="1:10" x14ac:dyDescent="0.25">
      <c r="A2353" s="7" t="s">
        <v>30343</v>
      </c>
      <c r="B2353" s="8">
        <v>393.75</v>
      </c>
      <c r="C2353" s="8">
        <v>20.584240000000001</v>
      </c>
      <c r="D2353" s="8">
        <v>71</v>
      </c>
      <c r="E2353" s="8">
        <v>0</v>
      </c>
      <c r="F2353" s="8">
        <v>0</v>
      </c>
      <c r="G2353" s="8">
        <v>56</v>
      </c>
      <c r="H2353" s="8" t="s">
        <v>30344</v>
      </c>
      <c r="I2353" s="8">
        <v>526.6875</v>
      </c>
      <c r="J2353" s="3">
        <f t="shared" si="36"/>
        <v>43748.612555717591</v>
      </c>
    </row>
    <row r="2354" spans="1:10" x14ac:dyDescent="0.25">
      <c r="A2354" s="5" t="s">
        <v>30345</v>
      </c>
      <c r="B2354" s="6">
        <v>418.75</v>
      </c>
      <c r="C2354" s="6">
        <v>20.531590000000001</v>
      </c>
      <c r="D2354" s="6">
        <v>69</v>
      </c>
      <c r="E2354" s="6">
        <v>0</v>
      </c>
      <c r="F2354" s="6">
        <v>0</v>
      </c>
      <c r="G2354" s="6">
        <v>54</v>
      </c>
      <c r="H2354" s="6" t="s">
        <v>30346</v>
      </c>
      <c r="I2354" s="6">
        <v>534.9375</v>
      </c>
      <c r="J2354" s="2">
        <f t="shared" si="36"/>
        <v>43748.612639143517</v>
      </c>
    </row>
    <row r="2355" spans="1:10" x14ac:dyDescent="0.25">
      <c r="A2355" s="7" t="s">
        <v>30347</v>
      </c>
      <c r="B2355" s="8">
        <v>393.75</v>
      </c>
      <c r="C2355" s="8">
        <v>20.531590000000001</v>
      </c>
      <c r="D2355" s="8">
        <v>70</v>
      </c>
      <c r="E2355" s="8">
        <v>0</v>
      </c>
      <c r="F2355" s="8">
        <v>0</v>
      </c>
      <c r="G2355" s="8">
        <v>51</v>
      </c>
      <c r="H2355" s="8" t="s">
        <v>30348</v>
      </c>
      <c r="I2355" s="8">
        <v>526.6875</v>
      </c>
      <c r="J2355" s="3">
        <f t="shared" si="36"/>
        <v>43748.61272271991</v>
      </c>
    </row>
    <row r="2356" spans="1:10" x14ac:dyDescent="0.25">
      <c r="A2356" s="5" t="s">
        <v>30349</v>
      </c>
      <c r="B2356" s="6">
        <v>393.75</v>
      </c>
      <c r="C2356" s="6">
        <v>20.478950000000001</v>
      </c>
      <c r="D2356" s="6">
        <v>70</v>
      </c>
      <c r="E2356" s="6">
        <v>0</v>
      </c>
      <c r="F2356" s="6">
        <v>0</v>
      </c>
      <c r="G2356" s="6">
        <v>56</v>
      </c>
      <c r="H2356" s="6" t="s">
        <v>30350</v>
      </c>
      <c r="I2356" s="6">
        <v>526.6875</v>
      </c>
      <c r="J2356" s="2">
        <f t="shared" si="36"/>
        <v>43748.612806192126</v>
      </c>
    </row>
    <row r="2357" spans="1:10" x14ac:dyDescent="0.25">
      <c r="A2357" s="7" t="s">
        <v>30351</v>
      </c>
      <c r="B2357" s="8">
        <v>393.75</v>
      </c>
      <c r="C2357" s="8">
        <v>20.584240000000001</v>
      </c>
      <c r="D2357" s="8">
        <v>69</v>
      </c>
      <c r="E2357" s="8">
        <v>0</v>
      </c>
      <c r="F2357" s="8">
        <v>0</v>
      </c>
      <c r="G2357" s="8">
        <v>44</v>
      </c>
      <c r="H2357" s="8" t="s">
        <v>30352</v>
      </c>
      <c r="I2357" s="8">
        <v>526.5</v>
      </c>
      <c r="J2357" s="3">
        <f t="shared" si="36"/>
        <v>43748.612889826385</v>
      </c>
    </row>
    <row r="2358" spans="1:10" x14ac:dyDescent="0.25">
      <c r="A2358" s="5" t="s">
        <v>30353</v>
      </c>
      <c r="B2358" s="6">
        <v>393.75</v>
      </c>
      <c r="C2358" s="6">
        <v>20.531590000000001</v>
      </c>
      <c r="D2358" s="6">
        <v>69</v>
      </c>
      <c r="E2358" s="6">
        <v>0</v>
      </c>
      <c r="F2358" s="6">
        <v>0</v>
      </c>
      <c r="G2358" s="6">
        <v>51</v>
      </c>
      <c r="H2358" s="6" t="s">
        <v>30354</v>
      </c>
      <c r="I2358" s="6">
        <v>526.6875</v>
      </c>
      <c r="J2358" s="2">
        <f t="shared" si="36"/>
        <v>43748.612973194446</v>
      </c>
    </row>
    <row r="2359" spans="1:10" x14ac:dyDescent="0.25">
      <c r="A2359" s="7" t="s">
        <v>30355</v>
      </c>
      <c r="B2359" s="8">
        <v>393.75</v>
      </c>
      <c r="C2359" s="8">
        <v>20.531590000000001</v>
      </c>
      <c r="D2359" s="8">
        <v>70</v>
      </c>
      <c r="E2359" s="8">
        <v>0</v>
      </c>
      <c r="F2359" s="8">
        <v>0</v>
      </c>
      <c r="G2359" s="8">
        <v>45</v>
      </c>
      <c r="H2359" s="8" t="s">
        <v>30356</v>
      </c>
      <c r="I2359" s="8">
        <v>526.6875</v>
      </c>
      <c r="J2359" s="3">
        <f t="shared" si="36"/>
        <v>43748.613056400463</v>
      </c>
    </row>
    <row r="2360" spans="1:10" x14ac:dyDescent="0.25">
      <c r="A2360" s="5" t="s">
        <v>30357</v>
      </c>
      <c r="B2360" s="6">
        <v>393.75</v>
      </c>
      <c r="C2360" s="6">
        <v>20.531590000000001</v>
      </c>
      <c r="D2360" s="6">
        <v>70</v>
      </c>
      <c r="E2360" s="6">
        <v>0</v>
      </c>
      <c r="F2360" s="6">
        <v>0</v>
      </c>
      <c r="G2360" s="6">
        <v>46</v>
      </c>
      <c r="H2360" s="6" t="s">
        <v>30358</v>
      </c>
      <c r="I2360" s="6">
        <v>526.6875</v>
      </c>
      <c r="J2360" s="2">
        <f t="shared" si="36"/>
        <v>43748.613128159719</v>
      </c>
    </row>
    <row r="2361" spans="1:10" x14ac:dyDescent="0.25">
      <c r="A2361" s="7" t="s">
        <v>30359</v>
      </c>
      <c r="B2361" s="8">
        <v>393.75</v>
      </c>
      <c r="C2361" s="8">
        <v>20.531590000000001</v>
      </c>
      <c r="D2361" s="8">
        <v>71</v>
      </c>
      <c r="E2361" s="8">
        <v>0</v>
      </c>
      <c r="F2361" s="8">
        <v>0</v>
      </c>
      <c r="G2361" s="8">
        <v>40</v>
      </c>
      <c r="H2361" s="8" t="s">
        <v>30360</v>
      </c>
      <c r="I2361" s="8">
        <v>526.5</v>
      </c>
      <c r="J2361" s="3">
        <f t="shared" si="36"/>
        <v>43748.61321171296</v>
      </c>
    </row>
    <row r="2362" spans="1:10" x14ac:dyDescent="0.25">
      <c r="A2362" s="5" t="s">
        <v>30361</v>
      </c>
      <c r="B2362" s="6">
        <v>393.75</v>
      </c>
      <c r="C2362" s="6">
        <v>20.478950000000001</v>
      </c>
      <c r="D2362" s="6">
        <v>71</v>
      </c>
      <c r="E2362" s="6">
        <v>0</v>
      </c>
      <c r="F2362" s="6">
        <v>0</v>
      </c>
      <c r="G2362" s="6">
        <v>46</v>
      </c>
      <c r="H2362" s="6" t="s">
        <v>30362</v>
      </c>
      <c r="I2362" s="6">
        <v>526.6875</v>
      </c>
      <c r="J2362" s="2">
        <f t="shared" si="36"/>
        <v>43748.613295196752</v>
      </c>
    </row>
    <row r="2363" spans="1:10" x14ac:dyDescent="0.25">
      <c r="A2363" s="7" t="s">
        <v>30363</v>
      </c>
      <c r="B2363" s="8">
        <v>393.75</v>
      </c>
      <c r="C2363" s="8">
        <v>20.531590000000001</v>
      </c>
      <c r="D2363" s="8">
        <v>73</v>
      </c>
      <c r="E2363" s="8">
        <v>0</v>
      </c>
      <c r="F2363" s="8">
        <v>0</v>
      </c>
      <c r="G2363" s="8">
        <v>46</v>
      </c>
      <c r="H2363" s="8" t="s">
        <v>30364</v>
      </c>
      <c r="I2363" s="8">
        <v>526.6875</v>
      </c>
      <c r="J2363" s="3">
        <f t="shared" si="36"/>
        <v>43748.61337864583</v>
      </c>
    </row>
    <row r="2364" spans="1:10" x14ac:dyDescent="0.25">
      <c r="A2364" s="5" t="s">
        <v>30365</v>
      </c>
      <c r="B2364" s="6">
        <v>393.75</v>
      </c>
      <c r="C2364" s="6">
        <v>20.584240000000001</v>
      </c>
      <c r="D2364" s="6">
        <v>71</v>
      </c>
      <c r="E2364" s="6">
        <v>0</v>
      </c>
      <c r="F2364" s="6">
        <v>0</v>
      </c>
      <c r="G2364" s="6">
        <v>54</v>
      </c>
      <c r="H2364" s="6" t="s">
        <v>30366</v>
      </c>
      <c r="I2364" s="6">
        <v>526.6875</v>
      </c>
      <c r="J2364" s="2">
        <f t="shared" si="36"/>
        <v>43748.613462175919</v>
      </c>
    </row>
    <row r="2365" spans="1:10" x14ac:dyDescent="0.25">
      <c r="A2365" s="7" t="s">
        <v>30367</v>
      </c>
      <c r="B2365" s="8">
        <v>393.75</v>
      </c>
      <c r="C2365" s="8">
        <v>20.478950000000001</v>
      </c>
      <c r="D2365" s="8">
        <v>74</v>
      </c>
      <c r="E2365" s="8">
        <v>0</v>
      </c>
      <c r="F2365" s="8">
        <v>0</v>
      </c>
      <c r="G2365" s="8">
        <v>46</v>
      </c>
      <c r="H2365" s="8" t="s">
        <v>30368</v>
      </c>
      <c r="I2365" s="8">
        <v>526.6875</v>
      </c>
      <c r="J2365" s="3">
        <f t="shared" si="36"/>
        <v>43748.61354528935</v>
      </c>
    </row>
    <row r="2366" spans="1:10" x14ac:dyDescent="0.25">
      <c r="A2366" s="5" t="s">
        <v>30369</v>
      </c>
      <c r="B2366" s="6">
        <v>393.75</v>
      </c>
      <c r="C2366" s="6">
        <v>20.478950000000001</v>
      </c>
      <c r="D2366" s="6">
        <v>74</v>
      </c>
      <c r="E2366" s="6">
        <v>0</v>
      </c>
      <c r="F2366" s="6">
        <v>0</v>
      </c>
      <c r="G2366" s="6">
        <v>49</v>
      </c>
      <c r="H2366" s="6" t="s">
        <v>30370</v>
      </c>
      <c r="I2366" s="6">
        <v>526.6875</v>
      </c>
      <c r="J2366" s="2">
        <f t="shared" si="36"/>
        <v>43748.613616932867</v>
      </c>
    </row>
    <row r="2367" spans="1:10" x14ac:dyDescent="0.25">
      <c r="A2367" s="7" t="s">
        <v>30371</v>
      </c>
      <c r="B2367" s="8">
        <v>393.75</v>
      </c>
      <c r="C2367" s="8">
        <v>20.531590000000001</v>
      </c>
      <c r="D2367" s="8">
        <v>75</v>
      </c>
      <c r="E2367" s="8">
        <v>0</v>
      </c>
      <c r="F2367" s="8">
        <v>0</v>
      </c>
      <c r="G2367" s="8">
        <v>40</v>
      </c>
      <c r="H2367" s="8" t="s">
        <v>30372</v>
      </c>
      <c r="I2367" s="8">
        <v>526.6875</v>
      </c>
      <c r="J2367" s="3">
        <f t="shared" si="36"/>
        <v>43748.613700891197</v>
      </c>
    </row>
    <row r="2368" spans="1:10" x14ac:dyDescent="0.25">
      <c r="A2368" s="5" t="s">
        <v>30373</v>
      </c>
      <c r="B2368" s="6">
        <v>393.75</v>
      </c>
      <c r="C2368" s="6">
        <v>20.531590000000001</v>
      </c>
      <c r="D2368" s="6">
        <v>74</v>
      </c>
      <c r="E2368" s="6">
        <v>0</v>
      </c>
      <c r="F2368" s="6">
        <v>0</v>
      </c>
      <c r="G2368" s="6">
        <v>43</v>
      </c>
      <c r="H2368" s="6" t="s">
        <v>30374</v>
      </c>
      <c r="I2368" s="6">
        <v>526.6875</v>
      </c>
      <c r="J2368" s="2">
        <f t="shared" si="36"/>
        <v>43748.613784189809</v>
      </c>
    </row>
    <row r="2369" spans="1:10" x14ac:dyDescent="0.25">
      <c r="A2369" s="7" t="s">
        <v>30375</v>
      </c>
      <c r="B2369" s="8">
        <v>393.75</v>
      </c>
      <c r="C2369" s="8">
        <v>20.531590000000001</v>
      </c>
      <c r="D2369" s="8">
        <v>74</v>
      </c>
      <c r="E2369" s="8">
        <v>0</v>
      </c>
      <c r="F2369" s="8">
        <v>0</v>
      </c>
      <c r="G2369" s="8">
        <v>58</v>
      </c>
      <c r="H2369" s="8" t="s">
        <v>30376</v>
      </c>
      <c r="I2369" s="8">
        <v>526.6875</v>
      </c>
      <c r="J2369" s="3">
        <f t="shared" si="36"/>
        <v>43748.613867499997</v>
      </c>
    </row>
    <row r="2370" spans="1:10" x14ac:dyDescent="0.25">
      <c r="A2370" s="5" t="s">
        <v>30377</v>
      </c>
      <c r="B2370" s="6">
        <v>393.75</v>
      </c>
      <c r="C2370" s="6">
        <v>20.531590000000001</v>
      </c>
      <c r="D2370" s="6">
        <v>74</v>
      </c>
      <c r="E2370" s="6">
        <v>0</v>
      </c>
      <c r="F2370" s="6">
        <v>0</v>
      </c>
      <c r="G2370" s="6">
        <v>54</v>
      </c>
      <c r="H2370" s="6" t="s">
        <v>30378</v>
      </c>
      <c r="I2370" s="6">
        <v>526.6875</v>
      </c>
      <c r="J2370" s="2">
        <f t="shared" ref="J2370:J2433" si="37">(H2370/86400000)+25569+(7/24)</f>
        <v>43748.61393918981</v>
      </c>
    </row>
    <row r="2371" spans="1:10" x14ac:dyDescent="0.25">
      <c r="A2371" s="7" t="s">
        <v>30379</v>
      </c>
      <c r="B2371" s="8">
        <v>393.75</v>
      </c>
      <c r="C2371" s="8">
        <v>20.531590000000001</v>
      </c>
      <c r="D2371" s="8">
        <v>75</v>
      </c>
      <c r="E2371" s="8">
        <v>0</v>
      </c>
      <c r="F2371" s="8">
        <v>0</v>
      </c>
      <c r="G2371" s="8">
        <v>54</v>
      </c>
      <c r="H2371" s="8" t="s">
        <v>30380</v>
      </c>
      <c r="I2371" s="8">
        <v>526.6875</v>
      </c>
      <c r="J2371" s="3">
        <f t="shared" si="37"/>
        <v>43748.614022708331</v>
      </c>
    </row>
    <row r="2372" spans="1:10" x14ac:dyDescent="0.25">
      <c r="A2372" s="5" t="s">
        <v>30381</v>
      </c>
      <c r="B2372" s="6">
        <v>393.75</v>
      </c>
      <c r="C2372" s="6">
        <v>20.584240000000001</v>
      </c>
      <c r="D2372" s="6">
        <v>73</v>
      </c>
      <c r="E2372" s="6">
        <v>0</v>
      </c>
      <c r="F2372" s="6">
        <v>0</v>
      </c>
      <c r="G2372" s="6">
        <v>50</v>
      </c>
      <c r="H2372" s="6" t="s">
        <v>30382</v>
      </c>
      <c r="I2372" s="6">
        <v>526.6875</v>
      </c>
      <c r="J2372" s="2">
        <f t="shared" si="37"/>
        <v>43748.614106157409</v>
      </c>
    </row>
    <row r="2373" spans="1:10" x14ac:dyDescent="0.25">
      <c r="A2373" s="7" t="s">
        <v>30383</v>
      </c>
      <c r="B2373" s="8">
        <v>393.75</v>
      </c>
      <c r="C2373" s="8">
        <v>20.478950000000001</v>
      </c>
      <c r="D2373" s="8">
        <v>73</v>
      </c>
      <c r="E2373" s="8">
        <v>0</v>
      </c>
      <c r="F2373" s="8">
        <v>0</v>
      </c>
      <c r="G2373" s="8">
        <v>53</v>
      </c>
      <c r="H2373" s="8" t="s">
        <v>30384</v>
      </c>
      <c r="I2373" s="8">
        <v>526.6875</v>
      </c>
      <c r="J2373" s="3">
        <f t="shared" si="37"/>
        <v>43748.614189733795</v>
      </c>
    </row>
    <row r="2374" spans="1:10" x14ac:dyDescent="0.25">
      <c r="A2374" s="5" t="s">
        <v>30385</v>
      </c>
      <c r="B2374" s="6">
        <v>412.5</v>
      </c>
      <c r="C2374" s="6">
        <v>20.531590000000001</v>
      </c>
      <c r="D2374" s="6">
        <v>75</v>
      </c>
      <c r="E2374" s="6">
        <v>0</v>
      </c>
      <c r="F2374" s="6">
        <v>0</v>
      </c>
      <c r="G2374" s="6">
        <v>44</v>
      </c>
      <c r="H2374" s="6" t="s">
        <v>30386</v>
      </c>
      <c r="I2374" s="6">
        <v>532.3125</v>
      </c>
      <c r="J2374" s="2">
        <f t="shared" si="37"/>
        <v>43748.614273182866</v>
      </c>
    </row>
    <row r="2375" spans="1:10" x14ac:dyDescent="0.25">
      <c r="A2375" s="7" t="s">
        <v>30387</v>
      </c>
      <c r="B2375" s="8">
        <v>393.75</v>
      </c>
      <c r="C2375" s="8">
        <v>20.531590000000001</v>
      </c>
      <c r="D2375" s="8">
        <v>72</v>
      </c>
      <c r="E2375" s="8">
        <v>0</v>
      </c>
      <c r="F2375" s="8">
        <v>0</v>
      </c>
      <c r="G2375" s="8">
        <v>49</v>
      </c>
      <c r="H2375" s="8" t="s">
        <v>30388</v>
      </c>
      <c r="I2375" s="8">
        <v>526.6875</v>
      </c>
      <c r="J2375" s="3">
        <f t="shared" si="37"/>
        <v>43748.614356388884</v>
      </c>
    </row>
    <row r="2376" spans="1:10" x14ac:dyDescent="0.25">
      <c r="A2376" s="5" t="s">
        <v>30389</v>
      </c>
      <c r="B2376" s="6">
        <v>393.75</v>
      </c>
      <c r="C2376" s="6">
        <v>20.478950000000001</v>
      </c>
      <c r="D2376" s="6">
        <v>72</v>
      </c>
      <c r="E2376" s="6">
        <v>0</v>
      </c>
      <c r="F2376" s="6">
        <v>0</v>
      </c>
      <c r="G2376" s="6">
        <v>50</v>
      </c>
      <c r="H2376" s="6" t="s">
        <v>30390</v>
      </c>
      <c r="I2376" s="6">
        <v>526.6875</v>
      </c>
      <c r="J2376" s="2">
        <f t="shared" si="37"/>
        <v>43748.614428043984</v>
      </c>
    </row>
    <row r="2377" spans="1:10" x14ac:dyDescent="0.25">
      <c r="A2377" s="7" t="s">
        <v>30391</v>
      </c>
      <c r="B2377" s="8">
        <v>393.75</v>
      </c>
      <c r="C2377" s="8">
        <v>20.531590000000001</v>
      </c>
      <c r="D2377" s="8">
        <v>74</v>
      </c>
      <c r="E2377" s="8">
        <v>0</v>
      </c>
      <c r="F2377" s="8">
        <v>0</v>
      </c>
      <c r="G2377" s="8">
        <v>47</v>
      </c>
      <c r="H2377" s="8" t="s">
        <v>30392</v>
      </c>
      <c r="I2377" s="8">
        <v>526.6875</v>
      </c>
      <c r="J2377" s="3">
        <f t="shared" si="37"/>
        <v>43748.614511597225</v>
      </c>
    </row>
    <row r="2378" spans="1:10" x14ac:dyDescent="0.25">
      <c r="A2378" s="5" t="s">
        <v>30393</v>
      </c>
      <c r="B2378" s="6">
        <v>393.75</v>
      </c>
      <c r="C2378" s="6">
        <v>20.531590000000001</v>
      </c>
      <c r="D2378" s="6">
        <v>75</v>
      </c>
      <c r="E2378" s="6">
        <v>0</v>
      </c>
      <c r="F2378" s="6">
        <v>0</v>
      </c>
      <c r="G2378" s="6">
        <v>48</v>
      </c>
      <c r="H2378" s="6" t="s">
        <v>30394</v>
      </c>
      <c r="I2378" s="6">
        <v>526.5</v>
      </c>
      <c r="J2378" s="2">
        <f t="shared" si="37"/>
        <v>43748.614595173603</v>
      </c>
    </row>
    <row r="2379" spans="1:10" x14ac:dyDescent="0.25">
      <c r="A2379" s="7" t="s">
        <v>30395</v>
      </c>
      <c r="B2379" s="8">
        <v>412.5</v>
      </c>
      <c r="C2379" s="8">
        <v>20.478950000000001</v>
      </c>
      <c r="D2379" s="8">
        <v>73</v>
      </c>
      <c r="E2379" s="8">
        <v>0</v>
      </c>
      <c r="F2379" s="8">
        <v>0</v>
      </c>
      <c r="G2379" s="8">
        <v>49</v>
      </c>
      <c r="H2379" s="8" t="s">
        <v>30396</v>
      </c>
      <c r="I2379" s="8">
        <v>532.3125</v>
      </c>
      <c r="J2379" s="3">
        <f t="shared" si="37"/>
        <v>43748.614678611113</v>
      </c>
    </row>
    <row r="2380" spans="1:10" x14ac:dyDescent="0.25">
      <c r="A2380" s="5" t="s">
        <v>30397</v>
      </c>
      <c r="B2380" s="6">
        <v>393.75</v>
      </c>
      <c r="C2380" s="6">
        <v>20.531590000000001</v>
      </c>
      <c r="D2380" s="6">
        <v>73</v>
      </c>
      <c r="E2380" s="6">
        <v>0</v>
      </c>
      <c r="F2380" s="6">
        <v>0</v>
      </c>
      <c r="G2380" s="6">
        <v>59</v>
      </c>
      <c r="H2380" s="6" t="s">
        <v>30398</v>
      </c>
      <c r="I2380" s="6">
        <v>526.6875</v>
      </c>
      <c r="J2380" s="2">
        <f t="shared" si="37"/>
        <v>43748.614762060184</v>
      </c>
    </row>
    <row r="2381" spans="1:10" x14ac:dyDescent="0.25">
      <c r="A2381" s="7" t="s">
        <v>30399</v>
      </c>
      <c r="B2381" s="8">
        <v>393.75</v>
      </c>
      <c r="C2381" s="8">
        <v>20.531590000000001</v>
      </c>
      <c r="D2381" s="8">
        <v>73</v>
      </c>
      <c r="E2381" s="8">
        <v>0</v>
      </c>
      <c r="F2381" s="8">
        <v>0</v>
      </c>
      <c r="G2381" s="8">
        <v>57</v>
      </c>
      <c r="H2381" s="8" t="s">
        <v>30400</v>
      </c>
      <c r="I2381" s="8">
        <v>526.6875</v>
      </c>
      <c r="J2381" s="3">
        <f t="shared" si="37"/>
        <v>43748.614845289347</v>
      </c>
    </row>
    <row r="2382" spans="1:10" x14ac:dyDescent="0.25">
      <c r="A2382" s="5" t="s">
        <v>30401</v>
      </c>
      <c r="B2382" s="6">
        <v>393.75</v>
      </c>
      <c r="C2382" s="6">
        <v>20.531590000000001</v>
      </c>
      <c r="D2382" s="6">
        <v>73</v>
      </c>
      <c r="E2382" s="6">
        <v>0</v>
      </c>
      <c r="F2382" s="6">
        <v>0</v>
      </c>
      <c r="G2382" s="6">
        <v>50</v>
      </c>
      <c r="H2382" s="6" t="s">
        <v>30402</v>
      </c>
      <c r="I2382" s="6">
        <v>526.6875</v>
      </c>
      <c r="J2382" s="2">
        <f t="shared" si="37"/>
        <v>43748.614916921295</v>
      </c>
    </row>
    <row r="2383" spans="1:10" x14ac:dyDescent="0.25">
      <c r="A2383" s="7" t="s">
        <v>30403</v>
      </c>
      <c r="B2383" s="8">
        <v>393.75</v>
      </c>
      <c r="C2383" s="8">
        <v>20.478950000000001</v>
      </c>
      <c r="D2383" s="8">
        <v>73</v>
      </c>
      <c r="E2383" s="8">
        <v>0</v>
      </c>
      <c r="F2383" s="8">
        <v>0</v>
      </c>
      <c r="G2383" s="8">
        <v>59</v>
      </c>
      <c r="H2383" s="8" t="s">
        <v>30404</v>
      </c>
      <c r="I2383" s="8">
        <v>526.6875</v>
      </c>
      <c r="J2383" s="3">
        <f t="shared" si="37"/>
        <v>43748.61500085648</v>
      </c>
    </row>
    <row r="2384" spans="1:10" x14ac:dyDescent="0.25">
      <c r="A2384" s="5" t="s">
        <v>30405</v>
      </c>
      <c r="B2384" s="6">
        <v>418.75</v>
      </c>
      <c r="C2384" s="6">
        <v>20.478950000000001</v>
      </c>
      <c r="D2384" s="6">
        <v>73</v>
      </c>
      <c r="E2384" s="6">
        <v>0</v>
      </c>
      <c r="F2384" s="6">
        <v>0</v>
      </c>
      <c r="G2384" s="6">
        <v>51</v>
      </c>
      <c r="H2384" s="6" t="s">
        <v>30406</v>
      </c>
      <c r="I2384" s="6">
        <v>534.9375</v>
      </c>
      <c r="J2384" s="2">
        <f t="shared" si="37"/>
        <v>43748.61508416666</v>
      </c>
    </row>
    <row r="2385" spans="1:10" x14ac:dyDescent="0.25">
      <c r="A2385" s="7" t="s">
        <v>30407</v>
      </c>
      <c r="B2385" s="8">
        <v>393.75</v>
      </c>
      <c r="C2385" s="8">
        <v>20.584240000000001</v>
      </c>
      <c r="D2385" s="8">
        <v>73</v>
      </c>
      <c r="E2385" s="8">
        <v>0</v>
      </c>
      <c r="F2385" s="8">
        <v>0</v>
      </c>
      <c r="G2385" s="8">
        <v>58</v>
      </c>
      <c r="H2385" s="8" t="s">
        <v>30408</v>
      </c>
      <c r="I2385" s="8">
        <v>526.6875</v>
      </c>
      <c r="J2385" s="3">
        <f t="shared" si="37"/>
        <v>43748.615167523145</v>
      </c>
    </row>
    <row r="2386" spans="1:10" x14ac:dyDescent="0.25">
      <c r="A2386" s="5" t="s">
        <v>30409</v>
      </c>
      <c r="B2386" s="6">
        <v>393.75</v>
      </c>
      <c r="C2386" s="6">
        <v>20.478950000000001</v>
      </c>
      <c r="D2386" s="6">
        <v>73</v>
      </c>
      <c r="E2386" s="6">
        <v>0</v>
      </c>
      <c r="F2386" s="6">
        <v>0</v>
      </c>
      <c r="G2386" s="6">
        <v>61</v>
      </c>
      <c r="H2386" s="6" t="s">
        <v>30410</v>
      </c>
      <c r="I2386" s="6">
        <v>526.6875</v>
      </c>
      <c r="J2386" s="2">
        <f t="shared" si="37"/>
        <v>43748.61526298611</v>
      </c>
    </row>
    <row r="2387" spans="1:10" x14ac:dyDescent="0.25">
      <c r="A2387" s="7" t="s">
        <v>30411</v>
      </c>
      <c r="B2387" s="8">
        <v>393.75</v>
      </c>
      <c r="C2387" s="8">
        <v>20.531590000000001</v>
      </c>
      <c r="D2387" s="8">
        <v>73</v>
      </c>
      <c r="E2387" s="8">
        <v>0</v>
      </c>
      <c r="F2387" s="8">
        <v>0</v>
      </c>
      <c r="G2387" s="8">
        <v>46</v>
      </c>
      <c r="H2387" s="8" t="s">
        <v>30412</v>
      </c>
      <c r="I2387" s="8">
        <v>526.6875</v>
      </c>
      <c r="J2387" s="3">
        <f t="shared" si="37"/>
        <v>43748.615347129627</v>
      </c>
    </row>
    <row r="2388" spans="1:10" x14ac:dyDescent="0.25">
      <c r="A2388" s="5" t="s">
        <v>30413</v>
      </c>
      <c r="B2388" s="6">
        <v>440.625</v>
      </c>
      <c r="C2388" s="6">
        <v>20.531590000000001</v>
      </c>
      <c r="D2388" s="6">
        <v>72</v>
      </c>
      <c r="E2388" s="6">
        <v>0</v>
      </c>
      <c r="F2388" s="6">
        <v>0</v>
      </c>
      <c r="G2388" s="6">
        <v>58</v>
      </c>
      <c r="H2388" s="6" t="s">
        <v>30414</v>
      </c>
      <c r="I2388" s="6">
        <v>541.5</v>
      </c>
      <c r="J2388" s="2">
        <f t="shared" si="37"/>
        <v>43748.61543002315</v>
      </c>
    </row>
    <row r="2389" spans="1:10" x14ac:dyDescent="0.25">
      <c r="A2389" s="7" t="s">
        <v>30415</v>
      </c>
      <c r="B2389" s="8">
        <v>393.75</v>
      </c>
      <c r="C2389" s="8">
        <v>20.531590000000001</v>
      </c>
      <c r="D2389" s="8">
        <v>72</v>
      </c>
      <c r="E2389" s="8">
        <v>0</v>
      </c>
      <c r="F2389" s="8">
        <v>0</v>
      </c>
      <c r="G2389" s="8">
        <v>53</v>
      </c>
      <c r="H2389" s="8" t="s">
        <v>30416</v>
      </c>
      <c r="I2389" s="8">
        <v>526.6875</v>
      </c>
      <c r="J2389" s="3">
        <f t="shared" si="37"/>
        <v>43748.615501874992</v>
      </c>
    </row>
    <row r="2390" spans="1:10" x14ac:dyDescent="0.25">
      <c r="A2390" s="5" t="s">
        <v>30417</v>
      </c>
      <c r="B2390" s="6">
        <v>393.75</v>
      </c>
      <c r="C2390" s="6">
        <v>20.478950000000001</v>
      </c>
      <c r="D2390" s="6">
        <v>72</v>
      </c>
      <c r="E2390" s="6">
        <v>0</v>
      </c>
      <c r="F2390" s="6">
        <v>0</v>
      </c>
      <c r="G2390" s="6">
        <v>59</v>
      </c>
      <c r="H2390" s="6" t="s">
        <v>30418</v>
      </c>
      <c r="I2390" s="6">
        <v>526.6875</v>
      </c>
      <c r="J2390" s="2">
        <f t="shared" si="37"/>
        <v>43748.6155730787</v>
      </c>
    </row>
    <row r="2391" spans="1:10" x14ac:dyDescent="0.25">
      <c r="A2391" s="7" t="s">
        <v>30419</v>
      </c>
      <c r="B2391" s="8">
        <v>393.75</v>
      </c>
      <c r="C2391" s="8">
        <v>20.531590000000001</v>
      </c>
      <c r="D2391" s="8">
        <v>70</v>
      </c>
      <c r="E2391" s="8">
        <v>0</v>
      </c>
      <c r="F2391" s="8">
        <v>0</v>
      </c>
      <c r="G2391" s="8">
        <v>43</v>
      </c>
      <c r="H2391" s="8" t="s">
        <v>30420</v>
      </c>
      <c r="I2391" s="8">
        <v>526.6875</v>
      </c>
      <c r="J2391" s="3">
        <f t="shared" si="37"/>
        <v>43748.615656412039</v>
      </c>
    </row>
    <row r="2392" spans="1:10" x14ac:dyDescent="0.25">
      <c r="A2392" s="5" t="s">
        <v>30421</v>
      </c>
      <c r="B2392" s="6">
        <v>393.75</v>
      </c>
      <c r="C2392" s="6">
        <v>20.531590000000001</v>
      </c>
      <c r="D2392" s="6">
        <v>71</v>
      </c>
      <c r="E2392" s="6">
        <v>0</v>
      </c>
      <c r="F2392" s="6">
        <v>0</v>
      </c>
      <c r="G2392" s="6">
        <v>49</v>
      </c>
      <c r="H2392" s="6" t="s">
        <v>30422</v>
      </c>
      <c r="I2392" s="6">
        <v>526.875</v>
      </c>
      <c r="J2392" s="2">
        <f t="shared" si="37"/>
        <v>43748.61572814815</v>
      </c>
    </row>
    <row r="2393" spans="1:10" x14ac:dyDescent="0.25">
      <c r="A2393" s="7" t="s">
        <v>30423</v>
      </c>
      <c r="B2393" s="8">
        <v>393.75</v>
      </c>
      <c r="C2393" s="8">
        <v>20.584240000000001</v>
      </c>
      <c r="D2393" s="8">
        <v>68</v>
      </c>
      <c r="E2393" s="8">
        <v>0</v>
      </c>
      <c r="F2393" s="8">
        <v>0</v>
      </c>
      <c r="G2393" s="8">
        <v>52</v>
      </c>
      <c r="H2393" s="8" t="s">
        <v>30424</v>
      </c>
      <c r="I2393" s="8">
        <v>526.6875</v>
      </c>
      <c r="J2393" s="3">
        <f t="shared" si="37"/>
        <v>43748.615811597221</v>
      </c>
    </row>
    <row r="2394" spans="1:10" x14ac:dyDescent="0.25">
      <c r="A2394" s="5" t="s">
        <v>30425</v>
      </c>
      <c r="B2394" s="6">
        <v>393.75</v>
      </c>
      <c r="C2394" s="6">
        <v>20.531590000000001</v>
      </c>
      <c r="D2394" s="6">
        <v>66</v>
      </c>
      <c r="E2394" s="6">
        <v>0</v>
      </c>
      <c r="F2394" s="6">
        <v>0</v>
      </c>
      <c r="G2394" s="6">
        <v>50</v>
      </c>
      <c r="H2394" s="6" t="s">
        <v>30426</v>
      </c>
      <c r="I2394" s="6">
        <v>526.6875</v>
      </c>
      <c r="J2394" s="2">
        <f t="shared" si="37"/>
        <v>43748.615895046292</v>
      </c>
    </row>
    <row r="2395" spans="1:10" x14ac:dyDescent="0.25">
      <c r="A2395" s="7" t="s">
        <v>30427</v>
      </c>
      <c r="B2395" s="8">
        <v>393.75</v>
      </c>
      <c r="C2395" s="8">
        <v>20.478950000000001</v>
      </c>
      <c r="D2395" s="8">
        <v>67</v>
      </c>
      <c r="E2395" s="8">
        <v>0</v>
      </c>
      <c r="F2395" s="8">
        <v>0</v>
      </c>
      <c r="G2395" s="8">
        <v>59</v>
      </c>
      <c r="H2395" s="8" t="s">
        <v>30428</v>
      </c>
      <c r="I2395" s="8">
        <v>526.6875</v>
      </c>
      <c r="J2395" s="3">
        <f t="shared" si="37"/>
        <v>43748.615992222221</v>
      </c>
    </row>
    <row r="2396" spans="1:10" x14ac:dyDescent="0.25">
      <c r="A2396" s="5" t="s">
        <v>30429</v>
      </c>
      <c r="B2396" s="6">
        <v>412.5</v>
      </c>
      <c r="C2396" s="6">
        <v>20.478950000000001</v>
      </c>
      <c r="D2396" s="6">
        <v>70</v>
      </c>
      <c r="E2396" s="6">
        <v>0</v>
      </c>
      <c r="F2396" s="6">
        <v>0</v>
      </c>
      <c r="G2396" s="6">
        <v>57</v>
      </c>
      <c r="H2396" s="6" t="s">
        <v>30430</v>
      </c>
      <c r="I2396" s="6">
        <v>532.3125</v>
      </c>
      <c r="J2396" s="2">
        <f t="shared" si="37"/>
        <v>43748.616074004625</v>
      </c>
    </row>
    <row r="2397" spans="1:10" x14ac:dyDescent="0.25">
      <c r="A2397" s="7" t="s">
        <v>30431</v>
      </c>
      <c r="B2397" s="8">
        <v>393.75</v>
      </c>
      <c r="C2397" s="8">
        <v>20.531590000000001</v>
      </c>
      <c r="D2397" s="8">
        <v>70</v>
      </c>
      <c r="E2397" s="8">
        <v>0</v>
      </c>
      <c r="F2397" s="8">
        <v>0</v>
      </c>
      <c r="G2397" s="8">
        <v>57</v>
      </c>
      <c r="H2397" s="8" t="s">
        <v>30432</v>
      </c>
      <c r="I2397" s="8">
        <v>526.6875</v>
      </c>
      <c r="J2397" s="3">
        <f t="shared" si="37"/>
        <v>43748.616157442128</v>
      </c>
    </row>
    <row r="2398" spans="1:10" x14ac:dyDescent="0.25">
      <c r="A2398" s="5" t="s">
        <v>30433</v>
      </c>
      <c r="B2398" s="6">
        <v>393.75</v>
      </c>
      <c r="C2398" s="6">
        <v>20.531590000000001</v>
      </c>
      <c r="D2398" s="6">
        <v>70</v>
      </c>
      <c r="E2398" s="6">
        <v>0</v>
      </c>
      <c r="F2398" s="6">
        <v>0</v>
      </c>
      <c r="G2398" s="6">
        <v>51</v>
      </c>
      <c r="H2398" s="6" t="s">
        <v>30434</v>
      </c>
      <c r="I2398" s="6">
        <v>526.6875</v>
      </c>
      <c r="J2398" s="2">
        <f t="shared" si="37"/>
        <v>43748.61622895833</v>
      </c>
    </row>
    <row r="2399" spans="1:10" x14ac:dyDescent="0.25">
      <c r="A2399" s="7" t="s">
        <v>30435</v>
      </c>
      <c r="B2399" s="8">
        <v>393.75</v>
      </c>
      <c r="C2399" s="8">
        <v>20.478950000000001</v>
      </c>
      <c r="D2399" s="8">
        <v>68</v>
      </c>
      <c r="E2399" s="8">
        <v>0</v>
      </c>
      <c r="F2399" s="8">
        <v>0</v>
      </c>
      <c r="G2399" s="8">
        <v>60</v>
      </c>
      <c r="H2399" s="8" t="s">
        <v>30436</v>
      </c>
      <c r="I2399" s="8">
        <v>526.6875</v>
      </c>
      <c r="J2399" s="3">
        <f t="shared" si="37"/>
        <v>43748.616312303238</v>
      </c>
    </row>
    <row r="2400" spans="1:10" x14ac:dyDescent="0.25">
      <c r="A2400" s="5" t="s">
        <v>30437</v>
      </c>
      <c r="B2400" s="6">
        <v>393.75</v>
      </c>
      <c r="C2400" s="6">
        <v>20.531590000000001</v>
      </c>
      <c r="D2400" s="6">
        <v>68</v>
      </c>
      <c r="E2400" s="6">
        <v>0</v>
      </c>
      <c r="F2400" s="6">
        <v>0</v>
      </c>
      <c r="G2400" s="6">
        <v>57</v>
      </c>
      <c r="H2400" s="6" t="s">
        <v>30438</v>
      </c>
      <c r="I2400" s="6">
        <v>526.6875</v>
      </c>
      <c r="J2400" s="2">
        <f t="shared" si="37"/>
        <v>43748.61638407407</v>
      </c>
    </row>
    <row r="2401" spans="1:10" x14ac:dyDescent="0.25">
      <c r="A2401" s="7" t="s">
        <v>30439</v>
      </c>
      <c r="B2401" s="8">
        <v>393.75</v>
      </c>
      <c r="C2401" s="8">
        <v>20.478950000000001</v>
      </c>
      <c r="D2401" s="8">
        <v>67</v>
      </c>
      <c r="E2401" s="8">
        <v>0</v>
      </c>
      <c r="F2401" s="8">
        <v>0</v>
      </c>
      <c r="G2401" s="8">
        <v>57</v>
      </c>
      <c r="H2401" s="8" t="s">
        <v>30440</v>
      </c>
      <c r="I2401" s="8">
        <v>526.6875</v>
      </c>
      <c r="J2401" s="3">
        <f t="shared" si="37"/>
        <v>43748.616467523148</v>
      </c>
    </row>
    <row r="2402" spans="1:10" x14ac:dyDescent="0.25">
      <c r="A2402" s="5" t="s">
        <v>30441</v>
      </c>
      <c r="B2402" s="6">
        <v>393.75</v>
      </c>
      <c r="C2402" s="6">
        <v>20.531590000000001</v>
      </c>
      <c r="D2402" s="6">
        <v>70</v>
      </c>
      <c r="E2402" s="6">
        <v>0</v>
      </c>
      <c r="F2402" s="6">
        <v>0</v>
      </c>
      <c r="G2402" s="6">
        <v>49</v>
      </c>
      <c r="H2402" s="6" t="s">
        <v>30442</v>
      </c>
      <c r="I2402" s="6">
        <v>526.6875</v>
      </c>
      <c r="J2402" s="2">
        <f t="shared" si="37"/>
        <v>43748.616550960644</v>
      </c>
    </row>
    <row r="2403" spans="1:10" x14ac:dyDescent="0.25">
      <c r="A2403" s="7" t="s">
        <v>30443</v>
      </c>
      <c r="B2403" s="8">
        <v>393.75</v>
      </c>
      <c r="C2403" s="8">
        <v>20.531590000000001</v>
      </c>
      <c r="D2403" s="8">
        <v>71</v>
      </c>
      <c r="E2403" s="8">
        <v>0</v>
      </c>
      <c r="F2403" s="8">
        <v>0</v>
      </c>
      <c r="G2403" s="8">
        <v>51</v>
      </c>
      <c r="H2403" s="8" t="s">
        <v>30444</v>
      </c>
      <c r="I2403" s="8">
        <v>526.6875</v>
      </c>
      <c r="J2403" s="3">
        <f t="shared" si="37"/>
        <v>43748.616634166661</v>
      </c>
    </row>
    <row r="2404" spans="1:10" x14ac:dyDescent="0.25">
      <c r="A2404" s="5" t="s">
        <v>30445</v>
      </c>
      <c r="B2404" s="6">
        <v>412.5</v>
      </c>
      <c r="C2404" s="6">
        <v>20.531590000000001</v>
      </c>
      <c r="D2404" s="6">
        <v>71</v>
      </c>
      <c r="E2404" s="6">
        <v>0</v>
      </c>
      <c r="F2404" s="6">
        <v>0</v>
      </c>
      <c r="G2404" s="6">
        <v>61</v>
      </c>
      <c r="H2404" s="6" t="s">
        <v>30446</v>
      </c>
      <c r="I2404" s="6">
        <v>532.3125</v>
      </c>
      <c r="J2404" s="2">
        <f t="shared" si="37"/>
        <v>43748.61670637731</v>
      </c>
    </row>
    <row r="2405" spans="1:10" x14ac:dyDescent="0.25">
      <c r="A2405" s="7" t="s">
        <v>30447</v>
      </c>
      <c r="B2405" s="8">
        <v>393.75</v>
      </c>
      <c r="C2405" s="8">
        <v>20.531590000000001</v>
      </c>
      <c r="D2405" s="8">
        <v>72</v>
      </c>
      <c r="E2405" s="8">
        <v>0</v>
      </c>
      <c r="F2405" s="8">
        <v>0</v>
      </c>
      <c r="G2405" s="8">
        <v>61</v>
      </c>
      <c r="H2405" s="8" t="s">
        <v>30448</v>
      </c>
      <c r="I2405" s="8">
        <v>526.6875</v>
      </c>
      <c r="J2405" s="3">
        <f t="shared" si="37"/>
        <v>43748.616789502317</v>
      </c>
    </row>
    <row r="2406" spans="1:10" x14ac:dyDescent="0.25">
      <c r="A2406" s="5" t="s">
        <v>30449</v>
      </c>
      <c r="B2406" s="6">
        <v>393.75</v>
      </c>
      <c r="C2406" s="6">
        <v>20.584240000000001</v>
      </c>
      <c r="D2406" s="6">
        <v>71</v>
      </c>
      <c r="E2406" s="6">
        <v>0</v>
      </c>
      <c r="F2406" s="6">
        <v>0</v>
      </c>
      <c r="G2406" s="6">
        <v>57</v>
      </c>
      <c r="H2406" s="6" t="s">
        <v>30450</v>
      </c>
      <c r="I2406" s="6">
        <v>526.6875</v>
      </c>
      <c r="J2406" s="2">
        <f t="shared" si="37"/>
        <v>43748.616861030088</v>
      </c>
    </row>
    <row r="2407" spans="1:10" x14ac:dyDescent="0.25">
      <c r="A2407" s="7" t="s">
        <v>30451</v>
      </c>
      <c r="B2407" s="8">
        <v>437.5</v>
      </c>
      <c r="C2407" s="8">
        <v>20.478950000000001</v>
      </c>
      <c r="D2407" s="8">
        <v>71</v>
      </c>
      <c r="E2407" s="8">
        <v>0</v>
      </c>
      <c r="F2407" s="8">
        <v>0</v>
      </c>
      <c r="G2407" s="8">
        <v>58</v>
      </c>
      <c r="H2407" s="8" t="s">
        <v>30452</v>
      </c>
      <c r="I2407" s="8">
        <v>540.375</v>
      </c>
      <c r="J2407" s="3">
        <f t="shared" si="37"/>
        <v>43748.616944629626</v>
      </c>
    </row>
    <row r="2408" spans="1:10" x14ac:dyDescent="0.25">
      <c r="A2408" s="5" t="s">
        <v>30453</v>
      </c>
      <c r="B2408" s="6">
        <v>393.75</v>
      </c>
      <c r="C2408" s="6">
        <v>20.531590000000001</v>
      </c>
      <c r="D2408" s="6">
        <v>71</v>
      </c>
      <c r="E2408" s="6">
        <v>0</v>
      </c>
      <c r="F2408" s="6">
        <v>0</v>
      </c>
      <c r="G2408" s="6">
        <v>66</v>
      </c>
      <c r="H2408" s="6" t="s">
        <v>30454</v>
      </c>
      <c r="I2408" s="6">
        <v>526.6875</v>
      </c>
      <c r="J2408" s="2">
        <f t="shared" si="37"/>
        <v>43748.617028055553</v>
      </c>
    </row>
    <row r="2409" spans="1:10" x14ac:dyDescent="0.25">
      <c r="A2409" s="7" t="s">
        <v>30455</v>
      </c>
      <c r="B2409" s="8">
        <v>393.75</v>
      </c>
      <c r="C2409" s="8">
        <v>20.531590000000001</v>
      </c>
      <c r="D2409" s="8">
        <v>71</v>
      </c>
      <c r="E2409" s="8">
        <v>0</v>
      </c>
      <c r="F2409" s="8">
        <v>0</v>
      </c>
      <c r="G2409" s="8">
        <v>57</v>
      </c>
      <c r="H2409" s="8" t="s">
        <v>30456</v>
      </c>
      <c r="I2409" s="8">
        <v>526.6875</v>
      </c>
      <c r="J2409" s="3">
        <f t="shared" si="37"/>
        <v>43748.617111481479</v>
      </c>
    </row>
    <row r="2410" spans="1:10" x14ac:dyDescent="0.25">
      <c r="A2410" s="5" t="s">
        <v>30457</v>
      </c>
      <c r="B2410" s="6">
        <v>393.75</v>
      </c>
      <c r="C2410" s="6">
        <v>20.478950000000001</v>
      </c>
      <c r="D2410" s="6">
        <v>72</v>
      </c>
      <c r="E2410" s="6">
        <v>0</v>
      </c>
      <c r="F2410" s="6">
        <v>0</v>
      </c>
      <c r="G2410" s="6">
        <v>54</v>
      </c>
      <c r="H2410" s="6" t="s">
        <v>30458</v>
      </c>
      <c r="I2410" s="6">
        <v>526.6875</v>
      </c>
      <c r="J2410" s="2">
        <f t="shared" si="37"/>
        <v>43748.61719493055</v>
      </c>
    </row>
    <row r="2411" spans="1:10" x14ac:dyDescent="0.25">
      <c r="A2411" s="7" t="s">
        <v>30459</v>
      </c>
      <c r="B2411" s="8">
        <v>393.75</v>
      </c>
      <c r="C2411" s="8">
        <v>20.531590000000001</v>
      </c>
      <c r="D2411" s="8">
        <v>71</v>
      </c>
      <c r="E2411" s="8">
        <v>0</v>
      </c>
      <c r="F2411" s="8">
        <v>0</v>
      </c>
      <c r="G2411" s="8">
        <v>54</v>
      </c>
      <c r="H2411" s="8" t="s">
        <v>30460</v>
      </c>
      <c r="I2411" s="8">
        <v>526.6875</v>
      </c>
      <c r="J2411" s="3">
        <f t="shared" si="37"/>
        <v>43748.617278611106</v>
      </c>
    </row>
    <row r="2412" spans="1:10" x14ac:dyDescent="0.25">
      <c r="A2412" s="5" t="s">
        <v>30461</v>
      </c>
      <c r="B2412" s="6">
        <v>393.75</v>
      </c>
      <c r="C2412" s="6">
        <v>20.531590000000001</v>
      </c>
      <c r="D2412" s="6">
        <v>70</v>
      </c>
      <c r="E2412" s="6">
        <v>0</v>
      </c>
      <c r="F2412" s="6">
        <v>0</v>
      </c>
      <c r="G2412" s="6">
        <v>51</v>
      </c>
      <c r="H2412" s="6" t="s">
        <v>30462</v>
      </c>
      <c r="I2412" s="6">
        <v>526.6875</v>
      </c>
      <c r="J2412" s="2">
        <f t="shared" si="37"/>
        <v>43748.61736196759</v>
      </c>
    </row>
    <row r="2413" spans="1:10" x14ac:dyDescent="0.25">
      <c r="A2413" s="7" t="s">
        <v>30463</v>
      </c>
      <c r="B2413" s="8">
        <v>393.75</v>
      </c>
      <c r="C2413" s="8">
        <v>20.531590000000001</v>
      </c>
      <c r="D2413" s="8">
        <v>70</v>
      </c>
      <c r="E2413" s="8">
        <v>0</v>
      </c>
      <c r="F2413" s="8">
        <v>0</v>
      </c>
      <c r="G2413" s="8">
        <v>52</v>
      </c>
      <c r="H2413" s="8" t="s">
        <v>30464</v>
      </c>
      <c r="I2413" s="8">
        <v>526.6875</v>
      </c>
      <c r="J2413" s="3">
        <f t="shared" si="37"/>
        <v>43748.617456099535</v>
      </c>
    </row>
    <row r="2414" spans="1:10" x14ac:dyDescent="0.25">
      <c r="A2414" s="5" t="s">
        <v>30465</v>
      </c>
      <c r="B2414" s="6">
        <v>393.75</v>
      </c>
      <c r="C2414" s="6">
        <v>20.478950000000001</v>
      </c>
      <c r="D2414" s="6">
        <v>69</v>
      </c>
      <c r="E2414" s="6">
        <v>0</v>
      </c>
      <c r="F2414" s="6">
        <v>0</v>
      </c>
      <c r="G2414" s="6">
        <v>57</v>
      </c>
      <c r="H2414" s="6" t="s">
        <v>30466</v>
      </c>
      <c r="I2414" s="6">
        <v>526.6875</v>
      </c>
      <c r="J2414" s="2">
        <f t="shared" si="37"/>
        <v>43748.617528981478</v>
      </c>
    </row>
    <row r="2415" spans="1:10" x14ac:dyDescent="0.25">
      <c r="A2415" s="7" t="s">
        <v>30467</v>
      </c>
      <c r="B2415" s="8">
        <v>393.75</v>
      </c>
      <c r="C2415" s="8">
        <v>20.478950000000001</v>
      </c>
      <c r="D2415" s="8">
        <v>69</v>
      </c>
      <c r="E2415" s="8">
        <v>0</v>
      </c>
      <c r="F2415" s="8">
        <v>0</v>
      </c>
      <c r="G2415" s="8">
        <v>57</v>
      </c>
      <c r="H2415" s="8" t="s">
        <v>30468</v>
      </c>
      <c r="I2415" s="8">
        <v>526.6875</v>
      </c>
      <c r="J2415" s="3">
        <f t="shared" si="37"/>
        <v>43748.617612060181</v>
      </c>
    </row>
    <row r="2416" spans="1:10" x14ac:dyDescent="0.25">
      <c r="A2416" s="5" t="s">
        <v>30469</v>
      </c>
      <c r="B2416" s="6">
        <v>393.75</v>
      </c>
      <c r="C2416" s="6">
        <v>20.531590000000001</v>
      </c>
      <c r="D2416" s="6">
        <v>69</v>
      </c>
      <c r="E2416" s="6">
        <v>0</v>
      </c>
      <c r="F2416" s="6">
        <v>0</v>
      </c>
      <c r="G2416" s="6">
        <v>56</v>
      </c>
      <c r="H2416" s="6" t="s">
        <v>30470</v>
      </c>
      <c r="I2416" s="6">
        <v>526.6875</v>
      </c>
      <c r="J2416" s="2">
        <f t="shared" si="37"/>
        <v>43748.617683703698</v>
      </c>
    </row>
    <row r="2417" spans="1:10" x14ac:dyDescent="0.25">
      <c r="A2417" s="7" t="s">
        <v>30471</v>
      </c>
      <c r="B2417" s="8">
        <v>393.75</v>
      </c>
      <c r="C2417" s="8">
        <v>20.531590000000001</v>
      </c>
      <c r="D2417" s="8">
        <v>69</v>
      </c>
      <c r="E2417" s="8">
        <v>0</v>
      </c>
      <c r="F2417" s="8">
        <v>0</v>
      </c>
      <c r="G2417" s="8">
        <v>58</v>
      </c>
      <c r="H2417" s="8" t="s">
        <v>30472</v>
      </c>
      <c r="I2417" s="8">
        <v>526.6875</v>
      </c>
      <c r="J2417" s="3">
        <f t="shared" si="37"/>
        <v>43748.617767523145</v>
      </c>
    </row>
    <row r="2418" spans="1:10" x14ac:dyDescent="0.25">
      <c r="A2418" s="5" t="s">
        <v>30473</v>
      </c>
      <c r="B2418" s="6">
        <v>393.75</v>
      </c>
      <c r="C2418" s="6">
        <v>20.531590000000001</v>
      </c>
      <c r="D2418" s="6">
        <v>70</v>
      </c>
      <c r="E2418" s="6">
        <v>0</v>
      </c>
      <c r="F2418" s="6">
        <v>0</v>
      </c>
      <c r="G2418" s="6">
        <v>55</v>
      </c>
      <c r="H2418" s="6" t="s">
        <v>30474</v>
      </c>
      <c r="I2418" s="6">
        <v>526.6875</v>
      </c>
      <c r="J2418" s="2">
        <f t="shared" si="37"/>
        <v>43748.617850949071</v>
      </c>
    </row>
    <row r="2419" spans="1:10" x14ac:dyDescent="0.25">
      <c r="A2419" s="7" t="s">
        <v>30475</v>
      </c>
      <c r="B2419" s="8">
        <v>393.75</v>
      </c>
      <c r="C2419" s="8">
        <v>20.584240000000001</v>
      </c>
      <c r="D2419" s="8">
        <v>65</v>
      </c>
      <c r="E2419" s="8">
        <v>0</v>
      </c>
      <c r="F2419" s="8">
        <v>0</v>
      </c>
      <c r="G2419" s="8">
        <v>60</v>
      </c>
      <c r="H2419" s="8" t="s">
        <v>30476</v>
      </c>
      <c r="I2419" s="8">
        <v>526.6875</v>
      </c>
      <c r="J2419" s="3">
        <f t="shared" si="37"/>
        <v>43748.617946597216</v>
      </c>
    </row>
    <row r="2420" spans="1:10" x14ac:dyDescent="0.25">
      <c r="A2420" s="5" t="s">
        <v>30477</v>
      </c>
      <c r="B2420" s="6">
        <v>393.75</v>
      </c>
      <c r="C2420" s="6">
        <v>20.531590000000001</v>
      </c>
      <c r="D2420" s="6">
        <v>69</v>
      </c>
      <c r="E2420" s="6">
        <v>0</v>
      </c>
      <c r="F2420" s="6">
        <v>0</v>
      </c>
      <c r="G2420" s="6">
        <v>66</v>
      </c>
      <c r="H2420" s="6" t="s">
        <v>30478</v>
      </c>
      <c r="I2420" s="6">
        <v>526.6875</v>
      </c>
      <c r="J2420" s="2">
        <f t="shared" si="37"/>
        <v>43748.618029814817</v>
      </c>
    </row>
    <row r="2421" spans="1:10" x14ac:dyDescent="0.25">
      <c r="A2421" s="7" t="s">
        <v>30479</v>
      </c>
      <c r="B2421" s="8">
        <v>412.5</v>
      </c>
      <c r="C2421" s="8">
        <v>20.531590000000001</v>
      </c>
      <c r="D2421" s="8">
        <v>71</v>
      </c>
      <c r="E2421" s="8">
        <v>0</v>
      </c>
      <c r="F2421" s="8">
        <v>0</v>
      </c>
      <c r="G2421" s="8">
        <v>44</v>
      </c>
      <c r="H2421" s="8" t="s">
        <v>30480</v>
      </c>
      <c r="I2421" s="8">
        <v>532.3125</v>
      </c>
      <c r="J2421" s="3">
        <f t="shared" si="37"/>
        <v>43748.618113356475</v>
      </c>
    </row>
    <row r="2422" spans="1:10" x14ac:dyDescent="0.25">
      <c r="A2422" s="5" t="s">
        <v>30481</v>
      </c>
      <c r="B2422" s="6">
        <v>393.75</v>
      </c>
      <c r="C2422" s="6">
        <v>20.531590000000001</v>
      </c>
      <c r="D2422" s="6">
        <v>71</v>
      </c>
      <c r="E2422" s="6">
        <v>0</v>
      </c>
      <c r="F2422" s="6">
        <v>0</v>
      </c>
      <c r="G2422" s="6">
        <v>55</v>
      </c>
      <c r="H2422" s="6" t="s">
        <v>30482</v>
      </c>
      <c r="I2422" s="6">
        <v>526.6875</v>
      </c>
      <c r="J2422" s="2">
        <f t="shared" si="37"/>
        <v>43748.618196828706</v>
      </c>
    </row>
    <row r="2423" spans="1:10" x14ac:dyDescent="0.25">
      <c r="A2423" s="7" t="s">
        <v>30483</v>
      </c>
      <c r="B2423" s="8">
        <v>393.75</v>
      </c>
      <c r="C2423" s="8">
        <v>20.531590000000001</v>
      </c>
      <c r="D2423" s="8">
        <v>71</v>
      </c>
      <c r="E2423" s="8">
        <v>0</v>
      </c>
      <c r="F2423" s="8">
        <v>0</v>
      </c>
      <c r="G2423" s="8">
        <v>56</v>
      </c>
      <c r="H2423" s="8" t="s">
        <v>30484</v>
      </c>
      <c r="I2423" s="8">
        <v>526.6875</v>
      </c>
      <c r="J2423" s="3">
        <f t="shared" si="37"/>
        <v>43748.618279930553</v>
      </c>
    </row>
    <row r="2424" spans="1:10" x14ac:dyDescent="0.25">
      <c r="A2424" s="5" t="s">
        <v>30485</v>
      </c>
      <c r="B2424" s="6">
        <v>393.75</v>
      </c>
      <c r="C2424" s="6">
        <v>20.531590000000001</v>
      </c>
      <c r="D2424" s="6">
        <v>72</v>
      </c>
      <c r="E2424" s="6">
        <v>0</v>
      </c>
      <c r="F2424" s="6">
        <v>0</v>
      </c>
      <c r="G2424" s="6">
        <v>51</v>
      </c>
      <c r="H2424" s="6" t="s">
        <v>30486</v>
      </c>
      <c r="I2424" s="6">
        <v>526.6875</v>
      </c>
      <c r="J2424" s="2">
        <f t="shared" si="37"/>
        <v>43748.618363368056</v>
      </c>
    </row>
    <row r="2425" spans="1:10" x14ac:dyDescent="0.25">
      <c r="A2425" s="7" t="s">
        <v>30487</v>
      </c>
      <c r="B2425" s="8">
        <v>393.75</v>
      </c>
      <c r="C2425" s="8">
        <v>20.531590000000001</v>
      </c>
      <c r="D2425" s="8">
        <v>74</v>
      </c>
      <c r="E2425" s="8">
        <v>0</v>
      </c>
      <c r="F2425" s="8">
        <v>0</v>
      </c>
      <c r="G2425" s="8">
        <v>55</v>
      </c>
      <c r="H2425" s="8" t="s">
        <v>30488</v>
      </c>
      <c r="I2425" s="8">
        <v>526.6875</v>
      </c>
      <c r="J2425" s="3">
        <f t="shared" si="37"/>
        <v>43748.618435462959</v>
      </c>
    </row>
    <row r="2426" spans="1:10" x14ac:dyDescent="0.25">
      <c r="A2426" s="5" t="s">
        <v>30489</v>
      </c>
      <c r="B2426" s="6">
        <v>412.5</v>
      </c>
      <c r="C2426" s="6">
        <v>20.478950000000001</v>
      </c>
      <c r="D2426" s="6">
        <v>73</v>
      </c>
      <c r="E2426" s="6">
        <v>0</v>
      </c>
      <c r="F2426" s="6">
        <v>0</v>
      </c>
      <c r="G2426" s="6">
        <v>56</v>
      </c>
      <c r="H2426" s="6" t="s">
        <v>30490</v>
      </c>
      <c r="I2426" s="6">
        <v>532.3125</v>
      </c>
      <c r="J2426" s="2">
        <f t="shared" si="37"/>
        <v>43748.618518796291</v>
      </c>
    </row>
    <row r="2427" spans="1:10" x14ac:dyDescent="0.25">
      <c r="A2427" s="7" t="s">
        <v>30491</v>
      </c>
      <c r="B2427" s="8">
        <v>393.75</v>
      </c>
      <c r="C2427" s="8">
        <v>20.531590000000001</v>
      </c>
      <c r="D2427" s="8">
        <v>70</v>
      </c>
      <c r="E2427" s="8">
        <v>0</v>
      </c>
      <c r="F2427" s="8">
        <v>0</v>
      </c>
      <c r="G2427" s="8">
        <v>61</v>
      </c>
      <c r="H2427" s="8" t="s">
        <v>30492</v>
      </c>
      <c r="I2427" s="8">
        <v>526.6875</v>
      </c>
      <c r="J2427" s="3">
        <f t="shared" si="37"/>
        <v>43748.618602303242</v>
      </c>
    </row>
    <row r="2428" spans="1:10" x14ac:dyDescent="0.25">
      <c r="A2428" s="5" t="s">
        <v>30493</v>
      </c>
      <c r="B2428" s="6">
        <v>418.75</v>
      </c>
      <c r="C2428" s="6">
        <v>20.478950000000001</v>
      </c>
      <c r="D2428" s="6">
        <v>69</v>
      </c>
      <c r="E2428" s="6">
        <v>0</v>
      </c>
      <c r="F2428" s="6">
        <v>0</v>
      </c>
      <c r="G2428" s="6">
        <v>60</v>
      </c>
      <c r="H2428" s="6" t="s">
        <v>30494</v>
      </c>
      <c r="I2428" s="6">
        <v>534.75</v>
      </c>
      <c r="J2428" s="2">
        <f t="shared" si="37"/>
        <v>43748.618685717585</v>
      </c>
    </row>
    <row r="2429" spans="1:10" x14ac:dyDescent="0.25">
      <c r="A2429" s="7" t="s">
        <v>30495</v>
      </c>
      <c r="B2429" s="8">
        <v>393.75</v>
      </c>
      <c r="C2429" s="8">
        <v>20.478950000000001</v>
      </c>
      <c r="D2429" s="8">
        <v>69</v>
      </c>
      <c r="E2429" s="8">
        <v>0</v>
      </c>
      <c r="F2429" s="8">
        <v>0</v>
      </c>
      <c r="G2429" s="8">
        <v>62</v>
      </c>
      <c r="H2429" s="8" t="s">
        <v>30496</v>
      </c>
      <c r="I2429" s="8">
        <v>526.6875</v>
      </c>
      <c r="J2429" s="3">
        <f t="shared" si="37"/>
        <v>43748.618769270826</v>
      </c>
    </row>
    <row r="2430" spans="1:10" x14ac:dyDescent="0.25">
      <c r="A2430" s="5" t="s">
        <v>30497</v>
      </c>
      <c r="B2430" s="6">
        <v>393.75</v>
      </c>
      <c r="C2430" s="6">
        <v>20.531590000000001</v>
      </c>
      <c r="D2430" s="6">
        <v>70</v>
      </c>
      <c r="E2430" s="6">
        <v>0</v>
      </c>
      <c r="F2430" s="6">
        <v>0</v>
      </c>
      <c r="G2430" s="6">
        <v>53</v>
      </c>
      <c r="H2430" s="6" t="s">
        <v>30498</v>
      </c>
      <c r="I2430" s="6">
        <v>526.6875</v>
      </c>
      <c r="J2430" s="2">
        <f t="shared" si="37"/>
        <v>43748.618852835651</v>
      </c>
    </row>
    <row r="2431" spans="1:10" x14ac:dyDescent="0.25">
      <c r="A2431" s="7" t="s">
        <v>30499</v>
      </c>
      <c r="B2431" s="8">
        <v>393.75</v>
      </c>
      <c r="C2431" s="8">
        <v>20.531590000000001</v>
      </c>
      <c r="D2431" s="8">
        <v>72</v>
      </c>
      <c r="E2431" s="8">
        <v>0</v>
      </c>
      <c r="F2431" s="8">
        <v>0</v>
      </c>
      <c r="G2431" s="8">
        <v>57</v>
      </c>
      <c r="H2431" s="8" t="s">
        <v>30500</v>
      </c>
      <c r="I2431" s="8">
        <v>526.6875</v>
      </c>
      <c r="J2431" s="3">
        <f t="shared" si="37"/>
        <v>43748.618936377308</v>
      </c>
    </row>
    <row r="2432" spans="1:10" x14ac:dyDescent="0.25">
      <c r="A2432" s="5" t="s">
        <v>30501</v>
      </c>
      <c r="B2432" s="6">
        <v>393.75</v>
      </c>
      <c r="C2432" s="6">
        <v>20.531590000000001</v>
      </c>
      <c r="D2432" s="6">
        <v>71</v>
      </c>
      <c r="E2432" s="6">
        <v>0</v>
      </c>
      <c r="F2432" s="6">
        <v>0</v>
      </c>
      <c r="G2432" s="6">
        <v>64</v>
      </c>
      <c r="H2432" s="6" t="s">
        <v>30502</v>
      </c>
      <c r="I2432" s="6">
        <v>526.6875</v>
      </c>
      <c r="J2432" s="2">
        <f t="shared" si="37"/>
        <v>43748.61901938657</v>
      </c>
    </row>
    <row r="2433" spans="1:10" x14ac:dyDescent="0.25">
      <c r="A2433" s="7" t="s">
        <v>30503</v>
      </c>
      <c r="B2433" s="8">
        <v>412.5</v>
      </c>
      <c r="C2433" s="8">
        <v>20.584240000000001</v>
      </c>
      <c r="D2433" s="8">
        <v>71</v>
      </c>
      <c r="E2433" s="8">
        <v>0</v>
      </c>
      <c r="F2433" s="8">
        <v>0</v>
      </c>
      <c r="G2433" s="8">
        <v>55</v>
      </c>
      <c r="H2433" s="8" t="s">
        <v>30504</v>
      </c>
      <c r="I2433" s="8">
        <v>532.3125</v>
      </c>
      <c r="J2433" s="3">
        <f t="shared" si="37"/>
        <v>43748.619091041663</v>
      </c>
    </row>
    <row r="2434" spans="1:10" x14ac:dyDescent="0.25">
      <c r="A2434" s="5" t="s">
        <v>30505</v>
      </c>
      <c r="B2434" s="6">
        <v>393.75</v>
      </c>
      <c r="C2434" s="6">
        <v>20.531590000000001</v>
      </c>
      <c r="D2434" s="6">
        <v>71</v>
      </c>
      <c r="E2434" s="6">
        <v>0</v>
      </c>
      <c r="F2434" s="6">
        <v>0</v>
      </c>
      <c r="G2434" s="6">
        <v>58</v>
      </c>
      <c r="H2434" s="6" t="s">
        <v>30506</v>
      </c>
      <c r="I2434" s="6">
        <v>526.6875</v>
      </c>
      <c r="J2434" s="2">
        <f t="shared" ref="J2434:J2497" si="38">(H2434/86400000)+25569+(7/24)</f>
        <v>43748.619174999993</v>
      </c>
    </row>
    <row r="2435" spans="1:10" x14ac:dyDescent="0.25">
      <c r="A2435" s="7" t="s">
        <v>30507</v>
      </c>
      <c r="B2435" s="8">
        <v>393.75</v>
      </c>
      <c r="C2435" s="8">
        <v>20.531590000000001</v>
      </c>
      <c r="D2435" s="8">
        <v>72</v>
      </c>
      <c r="E2435" s="8">
        <v>0</v>
      </c>
      <c r="F2435" s="8">
        <v>0</v>
      </c>
      <c r="G2435" s="8">
        <v>50</v>
      </c>
      <c r="H2435" s="8" t="s">
        <v>30508</v>
      </c>
      <c r="I2435" s="8">
        <v>526.6875</v>
      </c>
      <c r="J2435" s="3">
        <f t="shared" si="38"/>
        <v>43748.619264884255</v>
      </c>
    </row>
    <row r="2436" spans="1:10" x14ac:dyDescent="0.25">
      <c r="A2436" s="5" t="s">
        <v>30509</v>
      </c>
      <c r="B2436" s="6">
        <v>393.75</v>
      </c>
      <c r="C2436" s="6">
        <v>20.531590000000001</v>
      </c>
      <c r="D2436" s="6">
        <v>72</v>
      </c>
      <c r="E2436" s="6">
        <v>0</v>
      </c>
      <c r="F2436" s="6">
        <v>0</v>
      </c>
      <c r="G2436" s="6">
        <v>59</v>
      </c>
      <c r="H2436" s="6" t="s">
        <v>30510</v>
      </c>
      <c r="I2436" s="6">
        <v>526.6875</v>
      </c>
      <c r="J2436" s="2">
        <f t="shared" si="38"/>
        <v>43748.619341608799</v>
      </c>
    </row>
    <row r="2437" spans="1:10" x14ac:dyDescent="0.25">
      <c r="A2437" s="7" t="s">
        <v>30511</v>
      </c>
      <c r="B2437" s="8">
        <v>393.75</v>
      </c>
      <c r="C2437" s="8">
        <v>20.531590000000001</v>
      </c>
      <c r="D2437" s="8">
        <v>71</v>
      </c>
      <c r="E2437" s="8">
        <v>0</v>
      </c>
      <c r="F2437" s="8">
        <v>0</v>
      </c>
      <c r="G2437" s="8">
        <v>53</v>
      </c>
      <c r="H2437" s="8" t="s">
        <v>30512</v>
      </c>
      <c r="I2437" s="8">
        <v>526.6875</v>
      </c>
      <c r="J2437" s="3">
        <f t="shared" si="38"/>
        <v>43748.619425393517</v>
      </c>
    </row>
    <row r="2438" spans="1:10" x14ac:dyDescent="0.25">
      <c r="A2438" s="5" t="s">
        <v>30513</v>
      </c>
      <c r="B2438" s="6">
        <v>412.5</v>
      </c>
      <c r="C2438" s="6">
        <v>20.531590000000001</v>
      </c>
      <c r="D2438" s="6">
        <v>71</v>
      </c>
      <c r="E2438" s="6">
        <v>0</v>
      </c>
      <c r="F2438" s="6">
        <v>0</v>
      </c>
      <c r="G2438" s="6">
        <v>58</v>
      </c>
      <c r="H2438" s="6" t="s">
        <v>30514</v>
      </c>
      <c r="I2438" s="6">
        <v>532.3125</v>
      </c>
      <c r="J2438" s="2">
        <f t="shared" si="38"/>
        <v>43748.619508379626</v>
      </c>
    </row>
    <row r="2439" spans="1:10" x14ac:dyDescent="0.25">
      <c r="A2439" s="7" t="s">
        <v>30515</v>
      </c>
      <c r="B2439" s="8">
        <v>393.75</v>
      </c>
      <c r="C2439" s="8">
        <v>20.478950000000001</v>
      </c>
      <c r="D2439" s="8">
        <v>71</v>
      </c>
      <c r="E2439" s="8">
        <v>0</v>
      </c>
      <c r="F2439" s="8">
        <v>0</v>
      </c>
      <c r="G2439" s="8">
        <v>56</v>
      </c>
      <c r="H2439" s="8" t="s">
        <v>30516</v>
      </c>
      <c r="I2439" s="8">
        <v>526.6875</v>
      </c>
      <c r="J2439" s="3">
        <f t="shared" si="38"/>
        <v>43748.61958003472</v>
      </c>
    </row>
    <row r="2440" spans="1:10" x14ac:dyDescent="0.25">
      <c r="A2440" s="5" t="s">
        <v>30517</v>
      </c>
      <c r="B2440" s="6">
        <v>393.75</v>
      </c>
      <c r="C2440" s="6">
        <v>20.531590000000001</v>
      </c>
      <c r="D2440" s="6">
        <v>70</v>
      </c>
      <c r="E2440" s="6">
        <v>0</v>
      </c>
      <c r="F2440" s="6">
        <v>0</v>
      </c>
      <c r="G2440" s="6">
        <v>58</v>
      </c>
      <c r="H2440" s="6" t="s">
        <v>30518</v>
      </c>
      <c r="I2440" s="6">
        <v>526.6875</v>
      </c>
      <c r="J2440" s="2">
        <f t="shared" si="38"/>
        <v>43748.619651828696</v>
      </c>
    </row>
    <row r="2441" spans="1:10" x14ac:dyDescent="0.25">
      <c r="A2441" s="7" t="s">
        <v>30519</v>
      </c>
      <c r="B2441" s="8">
        <v>393.75</v>
      </c>
      <c r="C2441" s="8">
        <v>20.531590000000001</v>
      </c>
      <c r="D2441" s="8">
        <v>72</v>
      </c>
      <c r="E2441" s="8">
        <v>0</v>
      </c>
      <c r="F2441" s="8">
        <v>0</v>
      </c>
      <c r="G2441" s="8">
        <v>52</v>
      </c>
      <c r="H2441" s="8" t="s">
        <v>30520</v>
      </c>
      <c r="I2441" s="8">
        <v>526.6875</v>
      </c>
      <c r="J2441" s="3">
        <f t="shared" si="38"/>
        <v>43748.619735451386</v>
      </c>
    </row>
    <row r="2442" spans="1:10" x14ac:dyDescent="0.25">
      <c r="A2442" s="5" t="s">
        <v>30521</v>
      </c>
      <c r="B2442" s="6">
        <v>393.75</v>
      </c>
      <c r="C2442" s="6">
        <v>20.478950000000001</v>
      </c>
      <c r="D2442" s="6">
        <v>72</v>
      </c>
      <c r="E2442" s="6">
        <v>0</v>
      </c>
      <c r="F2442" s="6">
        <v>0</v>
      </c>
      <c r="G2442" s="6">
        <v>55</v>
      </c>
      <c r="H2442" s="6" t="s">
        <v>30522</v>
      </c>
      <c r="I2442" s="6">
        <v>526.6875</v>
      </c>
      <c r="J2442" s="2">
        <f t="shared" si="38"/>
        <v>43748.619818807863</v>
      </c>
    </row>
    <row r="2443" spans="1:10" x14ac:dyDescent="0.25">
      <c r="A2443" s="7" t="s">
        <v>30523</v>
      </c>
      <c r="B2443" s="8">
        <v>393.75</v>
      </c>
      <c r="C2443" s="8">
        <v>20.531590000000001</v>
      </c>
      <c r="D2443" s="8">
        <v>72</v>
      </c>
      <c r="E2443" s="8">
        <v>0</v>
      </c>
      <c r="F2443" s="8">
        <v>0</v>
      </c>
      <c r="G2443" s="8">
        <v>58</v>
      </c>
      <c r="H2443" s="8" t="s">
        <v>30524</v>
      </c>
      <c r="I2443" s="8">
        <v>526.6875</v>
      </c>
      <c r="J2443" s="3">
        <f t="shared" si="38"/>
        <v>43748.619902256942</v>
      </c>
    </row>
    <row r="2444" spans="1:10" x14ac:dyDescent="0.25">
      <c r="A2444" s="5" t="s">
        <v>30525</v>
      </c>
      <c r="B2444" s="6">
        <v>393.75</v>
      </c>
      <c r="C2444" s="6">
        <v>20.584240000000001</v>
      </c>
      <c r="D2444" s="6">
        <v>73</v>
      </c>
      <c r="E2444" s="6">
        <v>0</v>
      </c>
      <c r="F2444" s="6">
        <v>0</v>
      </c>
      <c r="G2444" s="6">
        <v>51</v>
      </c>
      <c r="H2444" s="6" t="s">
        <v>30526</v>
      </c>
      <c r="I2444" s="6">
        <v>526.6875</v>
      </c>
      <c r="J2444" s="2">
        <f t="shared" si="38"/>
        <v>43748.619985833335</v>
      </c>
    </row>
    <row r="2445" spans="1:10" x14ac:dyDescent="0.25">
      <c r="A2445" s="7" t="s">
        <v>30527</v>
      </c>
      <c r="B2445" s="8">
        <v>393.75</v>
      </c>
      <c r="C2445" s="8">
        <v>20.531590000000001</v>
      </c>
      <c r="D2445" s="8">
        <v>72</v>
      </c>
      <c r="E2445" s="8">
        <v>0</v>
      </c>
      <c r="F2445" s="8">
        <v>0</v>
      </c>
      <c r="G2445" s="8">
        <v>60</v>
      </c>
      <c r="H2445" s="8" t="s">
        <v>30528</v>
      </c>
      <c r="I2445" s="8">
        <v>526.6875</v>
      </c>
      <c r="J2445" s="3">
        <f t="shared" si="38"/>
        <v>43748.620069282406</v>
      </c>
    </row>
    <row r="2446" spans="1:10" x14ac:dyDescent="0.25">
      <c r="A2446" s="5" t="s">
        <v>30529</v>
      </c>
      <c r="B2446" s="6">
        <v>393.75</v>
      </c>
      <c r="C2446" s="6">
        <v>20.531590000000001</v>
      </c>
      <c r="D2446" s="6">
        <v>73</v>
      </c>
      <c r="E2446" s="6">
        <v>0</v>
      </c>
      <c r="F2446" s="6">
        <v>0</v>
      </c>
      <c r="G2446" s="6">
        <v>63</v>
      </c>
      <c r="H2446" s="6" t="s">
        <v>30530</v>
      </c>
      <c r="I2446" s="6">
        <v>526.6875</v>
      </c>
      <c r="J2446" s="2">
        <f t="shared" si="38"/>
        <v>43748.620152731477</v>
      </c>
    </row>
    <row r="2447" spans="1:10" x14ac:dyDescent="0.25">
      <c r="A2447" s="7" t="s">
        <v>30531</v>
      </c>
      <c r="B2447" s="8">
        <v>393.75</v>
      </c>
      <c r="C2447" s="8">
        <v>20.531590000000001</v>
      </c>
      <c r="D2447" s="8">
        <v>73</v>
      </c>
      <c r="E2447" s="8">
        <v>0</v>
      </c>
      <c r="F2447" s="8">
        <v>0</v>
      </c>
      <c r="G2447" s="8">
        <v>68</v>
      </c>
      <c r="H2447" s="8" t="s">
        <v>30532</v>
      </c>
      <c r="I2447" s="8">
        <v>526.6875</v>
      </c>
      <c r="J2447" s="3">
        <f t="shared" si="38"/>
        <v>43748.620236180555</v>
      </c>
    </row>
    <row r="2448" spans="1:10" x14ac:dyDescent="0.25">
      <c r="A2448" s="5" t="s">
        <v>30533</v>
      </c>
      <c r="B2448" s="6">
        <v>412.5</v>
      </c>
      <c r="C2448" s="6">
        <v>20.584240000000001</v>
      </c>
      <c r="D2448" s="6">
        <v>72</v>
      </c>
      <c r="E2448" s="6">
        <v>0</v>
      </c>
      <c r="F2448" s="6">
        <v>0</v>
      </c>
      <c r="G2448" s="6">
        <v>64</v>
      </c>
      <c r="H2448" s="6" t="s">
        <v>30534</v>
      </c>
      <c r="I2448" s="6">
        <v>532.3125</v>
      </c>
      <c r="J2448" s="2">
        <f t="shared" si="38"/>
        <v>43748.620319398142</v>
      </c>
    </row>
    <row r="2449" spans="1:10" x14ac:dyDescent="0.25">
      <c r="A2449" s="7" t="s">
        <v>30535</v>
      </c>
      <c r="B2449" s="8">
        <v>393.75</v>
      </c>
      <c r="C2449" s="8">
        <v>20.531590000000001</v>
      </c>
      <c r="D2449" s="8">
        <v>72</v>
      </c>
      <c r="E2449" s="8">
        <v>0</v>
      </c>
      <c r="F2449" s="8">
        <v>0</v>
      </c>
      <c r="G2449" s="8">
        <v>70</v>
      </c>
      <c r="H2449" s="8" t="s">
        <v>30536</v>
      </c>
      <c r="I2449" s="8">
        <v>526.6875</v>
      </c>
      <c r="J2449" s="3">
        <f t="shared" si="38"/>
        <v>43748.620391041659</v>
      </c>
    </row>
    <row r="2450" spans="1:10" x14ac:dyDescent="0.25">
      <c r="A2450" s="5" t="s">
        <v>30537</v>
      </c>
      <c r="B2450" s="6">
        <v>393.75</v>
      </c>
      <c r="C2450" s="6">
        <v>20.478950000000001</v>
      </c>
      <c r="D2450" s="6">
        <v>71</v>
      </c>
      <c r="E2450" s="6">
        <v>0</v>
      </c>
      <c r="F2450" s="6">
        <v>0</v>
      </c>
      <c r="G2450" s="6">
        <v>75</v>
      </c>
      <c r="H2450" s="6" t="s">
        <v>30538</v>
      </c>
      <c r="I2450" s="6">
        <v>526.6875</v>
      </c>
      <c r="J2450" s="2">
        <f t="shared" si="38"/>
        <v>43748.620475937496</v>
      </c>
    </row>
    <row r="2451" spans="1:10" x14ac:dyDescent="0.25">
      <c r="A2451" s="7" t="s">
        <v>30539</v>
      </c>
      <c r="B2451" s="8">
        <v>412.5</v>
      </c>
      <c r="C2451" s="8">
        <v>20.531590000000001</v>
      </c>
      <c r="D2451" s="8">
        <v>71</v>
      </c>
      <c r="E2451" s="8">
        <v>0</v>
      </c>
      <c r="F2451" s="8">
        <v>0</v>
      </c>
      <c r="G2451" s="8">
        <v>67</v>
      </c>
      <c r="H2451" s="8" t="s">
        <v>30540</v>
      </c>
      <c r="I2451" s="8">
        <v>532.3125</v>
      </c>
      <c r="J2451" s="3">
        <f t="shared" si="38"/>
        <v>43748.620558298608</v>
      </c>
    </row>
    <row r="2452" spans="1:10" x14ac:dyDescent="0.25">
      <c r="A2452" s="5" t="s">
        <v>30541</v>
      </c>
      <c r="B2452" s="6">
        <v>393.75</v>
      </c>
      <c r="C2452" s="6">
        <v>20.478950000000001</v>
      </c>
      <c r="D2452" s="6">
        <v>71</v>
      </c>
      <c r="E2452" s="6">
        <v>0</v>
      </c>
      <c r="F2452" s="6">
        <v>0</v>
      </c>
      <c r="G2452" s="6">
        <v>66</v>
      </c>
      <c r="H2452" s="6" t="s">
        <v>30542</v>
      </c>
      <c r="I2452" s="6">
        <v>526.6875</v>
      </c>
      <c r="J2452" s="2">
        <f t="shared" si="38"/>
        <v>43748.620655381943</v>
      </c>
    </row>
    <row r="2453" spans="1:10" x14ac:dyDescent="0.25">
      <c r="A2453" s="7" t="s">
        <v>30543</v>
      </c>
      <c r="B2453" s="8">
        <v>393.75</v>
      </c>
      <c r="C2453" s="8">
        <v>20.531590000000001</v>
      </c>
      <c r="D2453" s="8">
        <v>71</v>
      </c>
      <c r="E2453" s="8">
        <v>0</v>
      </c>
      <c r="F2453" s="8">
        <v>0</v>
      </c>
      <c r="G2453" s="8">
        <v>70</v>
      </c>
      <c r="H2453" s="8" t="s">
        <v>30544</v>
      </c>
      <c r="I2453" s="8">
        <v>526.6875</v>
      </c>
      <c r="J2453" s="3">
        <f t="shared" si="38"/>
        <v>43748.620737094905</v>
      </c>
    </row>
    <row r="2454" spans="1:10" x14ac:dyDescent="0.25">
      <c r="A2454" s="5" t="s">
        <v>30545</v>
      </c>
      <c r="B2454" s="6">
        <v>393.75</v>
      </c>
      <c r="C2454" s="6">
        <v>20.531590000000001</v>
      </c>
      <c r="D2454" s="6">
        <v>70</v>
      </c>
      <c r="E2454" s="6">
        <v>0</v>
      </c>
      <c r="F2454" s="6">
        <v>0</v>
      </c>
      <c r="G2454" s="6">
        <v>58</v>
      </c>
      <c r="H2454" s="6" t="s">
        <v>30546</v>
      </c>
      <c r="I2454" s="6">
        <v>526.6875</v>
      </c>
      <c r="J2454" s="2">
        <f t="shared" si="38"/>
        <v>43748.620820543983</v>
      </c>
    </row>
    <row r="2455" spans="1:10" x14ac:dyDescent="0.25">
      <c r="A2455" s="7" t="s">
        <v>30547</v>
      </c>
      <c r="B2455" s="8">
        <v>412.5</v>
      </c>
      <c r="C2455" s="8">
        <v>20.531590000000001</v>
      </c>
      <c r="D2455" s="8">
        <v>71</v>
      </c>
      <c r="E2455" s="8">
        <v>0</v>
      </c>
      <c r="F2455" s="8">
        <v>0</v>
      </c>
      <c r="G2455" s="8">
        <v>59</v>
      </c>
      <c r="H2455" s="8" t="s">
        <v>30548</v>
      </c>
      <c r="I2455" s="8">
        <v>532.3125</v>
      </c>
      <c r="J2455" s="3">
        <f t="shared" si="38"/>
        <v>43748.620904108793</v>
      </c>
    </row>
    <row r="2456" spans="1:10" x14ac:dyDescent="0.25">
      <c r="A2456" s="5" t="s">
        <v>30549</v>
      </c>
      <c r="B2456" s="6">
        <v>393.75</v>
      </c>
      <c r="C2456" s="6">
        <v>20.531590000000001</v>
      </c>
      <c r="D2456" s="6">
        <v>70</v>
      </c>
      <c r="E2456" s="6">
        <v>0</v>
      </c>
      <c r="F2456" s="6">
        <v>0</v>
      </c>
      <c r="G2456" s="6">
        <v>63</v>
      </c>
      <c r="H2456" s="6" t="s">
        <v>30550</v>
      </c>
      <c r="I2456" s="6">
        <v>526.6875</v>
      </c>
      <c r="J2456" s="2">
        <f t="shared" si="38"/>
        <v>43748.620987557872</v>
      </c>
    </row>
    <row r="2457" spans="1:10" x14ac:dyDescent="0.25">
      <c r="A2457" s="7" t="s">
        <v>30551</v>
      </c>
      <c r="B2457" s="8">
        <v>393.75</v>
      </c>
      <c r="C2457" s="8">
        <v>20.531590000000001</v>
      </c>
      <c r="D2457" s="8">
        <v>70</v>
      </c>
      <c r="E2457" s="8">
        <v>0</v>
      </c>
      <c r="F2457" s="8">
        <v>0</v>
      </c>
      <c r="G2457" s="8">
        <v>61</v>
      </c>
      <c r="H2457" s="8" t="s">
        <v>30552</v>
      </c>
      <c r="I2457" s="8">
        <v>526.6875</v>
      </c>
      <c r="J2457" s="3">
        <f t="shared" si="38"/>
        <v>43748.621071261572</v>
      </c>
    </row>
    <row r="2458" spans="1:10" x14ac:dyDescent="0.25">
      <c r="A2458" s="5" t="s">
        <v>30553</v>
      </c>
      <c r="B2458" s="6">
        <v>393.75</v>
      </c>
      <c r="C2458" s="6">
        <v>20.531590000000001</v>
      </c>
      <c r="D2458" s="6">
        <v>70</v>
      </c>
      <c r="E2458" s="6">
        <v>0</v>
      </c>
      <c r="F2458" s="6">
        <v>0</v>
      </c>
      <c r="G2458" s="6">
        <v>65</v>
      </c>
      <c r="H2458" s="6" t="s">
        <v>30554</v>
      </c>
      <c r="I2458" s="6">
        <v>526.6875</v>
      </c>
      <c r="J2458" s="2">
        <f t="shared" si="38"/>
        <v>43748.621154583328</v>
      </c>
    </row>
    <row r="2459" spans="1:10" x14ac:dyDescent="0.25">
      <c r="A2459" s="7" t="s">
        <v>30555</v>
      </c>
      <c r="B2459" s="8">
        <v>393.75</v>
      </c>
      <c r="C2459" s="8">
        <v>20.531590000000001</v>
      </c>
      <c r="D2459" s="8">
        <v>70</v>
      </c>
      <c r="E2459" s="8">
        <v>0</v>
      </c>
      <c r="F2459" s="8">
        <v>0</v>
      </c>
      <c r="G2459" s="8">
        <v>57</v>
      </c>
      <c r="H2459" s="8" t="s">
        <v>30556</v>
      </c>
      <c r="I2459" s="8">
        <v>526.6875</v>
      </c>
      <c r="J2459" s="3">
        <f t="shared" si="38"/>
        <v>43748.621237916661</v>
      </c>
    </row>
    <row r="2460" spans="1:10" x14ac:dyDescent="0.25">
      <c r="A2460" s="5" t="s">
        <v>30557</v>
      </c>
      <c r="B2460" s="6">
        <v>393.75</v>
      </c>
      <c r="C2460" s="6">
        <v>20.531590000000001</v>
      </c>
      <c r="D2460" s="6">
        <v>62</v>
      </c>
      <c r="E2460" s="6">
        <v>0</v>
      </c>
      <c r="F2460" s="6">
        <v>0</v>
      </c>
      <c r="G2460" s="6">
        <v>56</v>
      </c>
      <c r="H2460" s="6" t="s">
        <v>30558</v>
      </c>
      <c r="I2460" s="6">
        <v>526.6875</v>
      </c>
      <c r="J2460" s="2">
        <f t="shared" si="38"/>
        <v>43748.621321493054</v>
      </c>
    </row>
    <row r="2461" spans="1:10" x14ac:dyDescent="0.25">
      <c r="A2461" s="7" t="s">
        <v>30559</v>
      </c>
      <c r="B2461" s="8">
        <v>393.75</v>
      </c>
      <c r="C2461" s="8">
        <v>20.584240000000001</v>
      </c>
      <c r="D2461" s="8">
        <v>62</v>
      </c>
      <c r="E2461" s="8">
        <v>0</v>
      </c>
      <c r="F2461" s="8">
        <v>0</v>
      </c>
      <c r="G2461" s="8">
        <v>54</v>
      </c>
      <c r="H2461" s="8" t="s">
        <v>30560</v>
      </c>
      <c r="I2461" s="8">
        <v>526.6875</v>
      </c>
      <c r="J2461" s="3">
        <f t="shared" si="38"/>
        <v>43748.621404733793</v>
      </c>
    </row>
    <row r="2462" spans="1:10" x14ac:dyDescent="0.25">
      <c r="A2462" s="5" t="s">
        <v>30561</v>
      </c>
      <c r="B2462" s="6">
        <v>412.5</v>
      </c>
      <c r="C2462" s="6">
        <v>20.584240000000001</v>
      </c>
      <c r="D2462" s="6">
        <v>62</v>
      </c>
      <c r="E2462" s="6">
        <v>0</v>
      </c>
      <c r="F2462" s="6">
        <v>0</v>
      </c>
      <c r="G2462" s="6">
        <v>71</v>
      </c>
      <c r="H2462" s="6" t="s">
        <v>30562</v>
      </c>
      <c r="I2462" s="6">
        <v>532.3125</v>
      </c>
      <c r="J2462" s="2">
        <f t="shared" si="38"/>
        <v>43748.621476238426</v>
      </c>
    </row>
    <row r="2463" spans="1:10" x14ac:dyDescent="0.25">
      <c r="A2463" s="7" t="s">
        <v>30563</v>
      </c>
      <c r="B2463" s="8">
        <v>393.75</v>
      </c>
      <c r="C2463" s="8">
        <v>20.478950000000001</v>
      </c>
      <c r="D2463" s="8">
        <v>68</v>
      </c>
      <c r="E2463" s="8">
        <v>0</v>
      </c>
      <c r="F2463" s="8">
        <v>0</v>
      </c>
      <c r="G2463" s="8">
        <v>62</v>
      </c>
      <c r="H2463" s="8" t="s">
        <v>30564</v>
      </c>
      <c r="I2463" s="8">
        <v>526.6875</v>
      </c>
      <c r="J2463" s="3">
        <f t="shared" si="38"/>
        <v>43748.621560150459</v>
      </c>
    </row>
    <row r="2464" spans="1:10" x14ac:dyDescent="0.25">
      <c r="A2464" s="5" t="s">
        <v>30565</v>
      </c>
      <c r="B2464" s="6">
        <v>393.75</v>
      </c>
      <c r="C2464" s="6">
        <v>20.584240000000001</v>
      </c>
      <c r="D2464" s="6">
        <v>68</v>
      </c>
      <c r="E2464" s="6">
        <v>0</v>
      </c>
      <c r="F2464" s="6">
        <v>0</v>
      </c>
      <c r="G2464" s="6">
        <v>57</v>
      </c>
      <c r="H2464" s="6" t="s">
        <v>30566</v>
      </c>
      <c r="I2464" s="6">
        <v>526.6875</v>
      </c>
      <c r="J2464" s="2">
        <f t="shared" si="38"/>
        <v>43748.621631655093</v>
      </c>
    </row>
    <row r="2465" spans="1:10" x14ac:dyDescent="0.25">
      <c r="A2465" s="7" t="s">
        <v>30567</v>
      </c>
      <c r="B2465" s="8">
        <v>418.75</v>
      </c>
      <c r="C2465" s="8">
        <v>20.531590000000001</v>
      </c>
      <c r="D2465" s="8">
        <v>67</v>
      </c>
      <c r="E2465" s="8">
        <v>0</v>
      </c>
      <c r="F2465" s="8">
        <v>0</v>
      </c>
      <c r="G2465" s="8">
        <v>54</v>
      </c>
      <c r="H2465" s="8" t="s">
        <v>30568</v>
      </c>
      <c r="I2465" s="8">
        <v>534.1875</v>
      </c>
      <c r="J2465" s="3">
        <f t="shared" si="38"/>
        <v>43748.62171511574</v>
      </c>
    </row>
    <row r="2466" spans="1:10" x14ac:dyDescent="0.25">
      <c r="A2466" s="5" t="s">
        <v>30569</v>
      </c>
      <c r="B2466" s="6">
        <v>393.75</v>
      </c>
      <c r="C2466" s="6">
        <v>20.531590000000001</v>
      </c>
      <c r="D2466" s="6">
        <v>67</v>
      </c>
      <c r="E2466" s="6">
        <v>0</v>
      </c>
      <c r="F2466" s="6">
        <v>0</v>
      </c>
      <c r="G2466" s="6">
        <v>58</v>
      </c>
      <c r="H2466" s="6" t="s">
        <v>30570</v>
      </c>
      <c r="I2466" s="6">
        <v>526.6875</v>
      </c>
      <c r="J2466" s="2">
        <f t="shared" si="38"/>
        <v>43748.621798553235</v>
      </c>
    </row>
    <row r="2467" spans="1:10" x14ac:dyDescent="0.25">
      <c r="A2467" s="7" t="s">
        <v>30571</v>
      </c>
      <c r="B2467" s="8">
        <v>393.75</v>
      </c>
      <c r="C2467" s="8">
        <v>20.531590000000001</v>
      </c>
      <c r="D2467" s="8">
        <v>66</v>
      </c>
      <c r="E2467" s="8">
        <v>0</v>
      </c>
      <c r="F2467" s="8">
        <v>0</v>
      </c>
      <c r="G2467" s="8">
        <v>56</v>
      </c>
      <c r="H2467" s="8" t="s">
        <v>30572</v>
      </c>
      <c r="I2467" s="8">
        <v>526.6875</v>
      </c>
      <c r="J2467" s="3">
        <f t="shared" si="38"/>
        <v>43748.621882025465</v>
      </c>
    </row>
    <row r="2468" spans="1:10" x14ac:dyDescent="0.25">
      <c r="A2468" s="5" t="s">
        <v>30573</v>
      </c>
      <c r="B2468" s="6">
        <v>393.75</v>
      </c>
      <c r="C2468" s="6">
        <v>20.478950000000001</v>
      </c>
      <c r="D2468" s="6">
        <v>68</v>
      </c>
      <c r="E2468" s="6">
        <v>0</v>
      </c>
      <c r="F2468" s="6">
        <v>0</v>
      </c>
      <c r="G2468" s="6">
        <v>63</v>
      </c>
      <c r="H2468" s="6" t="s">
        <v>30574</v>
      </c>
      <c r="I2468" s="6">
        <v>526.6875</v>
      </c>
      <c r="J2468" s="2">
        <f t="shared" si="38"/>
        <v>43748.621972395827</v>
      </c>
    </row>
    <row r="2469" spans="1:10" x14ac:dyDescent="0.25">
      <c r="A2469" s="7" t="s">
        <v>30575</v>
      </c>
      <c r="B2469" s="8">
        <v>393.75</v>
      </c>
      <c r="C2469" s="8">
        <v>20.478950000000001</v>
      </c>
      <c r="D2469" s="8">
        <v>67</v>
      </c>
      <c r="E2469" s="8">
        <v>0</v>
      </c>
      <c r="F2469" s="8">
        <v>0</v>
      </c>
      <c r="G2469" s="8">
        <v>62</v>
      </c>
      <c r="H2469" s="8" t="s">
        <v>30576</v>
      </c>
      <c r="I2469" s="8">
        <v>526.6875</v>
      </c>
      <c r="J2469" s="3">
        <f t="shared" si="38"/>
        <v>43748.622049108795</v>
      </c>
    </row>
    <row r="2470" spans="1:10" x14ac:dyDescent="0.25">
      <c r="A2470" s="5" t="s">
        <v>30577</v>
      </c>
      <c r="B2470" s="6">
        <v>393.75</v>
      </c>
      <c r="C2470" s="6">
        <v>20.584240000000001</v>
      </c>
      <c r="D2470" s="6">
        <v>70</v>
      </c>
      <c r="E2470" s="6">
        <v>0</v>
      </c>
      <c r="F2470" s="6">
        <v>0</v>
      </c>
      <c r="G2470" s="6">
        <v>63</v>
      </c>
      <c r="H2470" s="6" t="s">
        <v>30578</v>
      </c>
      <c r="I2470" s="6">
        <v>526.6875</v>
      </c>
      <c r="J2470" s="2">
        <f t="shared" si="38"/>
        <v>43748.622144502311</v>
      </c>
    </row>
    <row r="2471" spans="1:10" x14ac:dyDescent="0.25">
      <c r="A2471" s="7" t="s">
        <v>30579</v>
      </c>
      <c r="B2471" s="8">
        <v>393.75</v>
      </c>
      <c r="C2471" s="8">
        <v>20.478950000000001</v>
      </c>
      <c r="D2471" s="8">
        <v>71</v>
      </c>
      <c r="E2471" s="8">
        <v>0</v>
      </c>
      <c r="F2471" s="8">
        <v>0</v>
      </c>
      <c r="G2471" s="8">
        <v>62</v>
      </c>
      <c r="H2471" s="8" t="s">
        <v>30580</v>
      </c>
      <c r="I2471" s="8">
        <v>526.6875</v>
      </c>
      <c r="J2471" s="3">
        <f t="shared" si="38"/>
        <v>43748.622227962966</v>
      </c>
    </row>
    <row r="2472" spans="1:10" x14ac:dyDescent="0.25">
      <c r="A2472" s="5" t="s">
        <v>30581</v>
      </c>
      <c r="B2472" s="6">
        <v>393.75</v>
      </c>
      <c r="C2472" s="6">
        <v>20.531590000000001</v>
      </c>
      <c r="D2472" s="6">
        <v>71</v>
      </c>
      <c r="E2472" s="6">
        <v>0</v>
      </c>
      <c r="F2472" s="6">
        <v>0</v>
      </c>
      <c r="G2472" s="6">
        <v>61</v>
      </c>
      <c r="H2472" s="6" t="s">
        <v>30582</v>
      </c>
      <c r="I2472" s="6">
        <v>526.6875</v>
      </c>
      <c r="J2472" s="2">
        <f t="shared" si="38"/>
        <v>43748.622311446758</v>
      </c>
    </row>
    <row r="2473" spans="1:10" x14ac:dyDescent="0.25">
      <c r="A2473" s="7" t="s">
        <v>30583</v>
      </c>
      <c r="B2473" s="8">
        <v>393.75</v>
      </c>
      <c r="C2473" s="8">
        <v>20.531590000000001</v>
      </c>
      <c r="D2473" s="8">
        <v>70</v>
      </c>
      <c r="E2473" s="8">
        <v>0</v>
      </c>
      <c r="F2473" s="8">
        <v>0</v>
      </c>
      <c r="G2473" s="8">
        <v>58</v>
      </c>
      <c r="H2473" s="8" t="s">
        <v>30584</v>
      </c>
      <c r="I2473" s="8">
        <v>526.6875</v>
      </c>
      <c r="J2473" s="3">
        <f t="shared" si="38"/>
        <v>43748.622394976854</v>
      </c>
    </row>
    <row r="2474" spans="1:10" x14ac:dyDescent="0.25">
      <c r="A2474" s="5" t="s">
        <v>30585</v>
      </c>
      <c r="B2474" s="6">
        <v>393.75</v>
      </c>
      <c r="C2474" s="6">
        <v>20.531590000000001</v>
      </c>
      <c r="D2474" s="6">
        <v>70</v>
      </c>
      <c r="E2474" s="6">
        <v>0</v>
      </c>
      <c r="F2474" s="6">
        <v>0</v>
      </c>
      <c r="G2474" s="6">
        <v>54</v>
      </c>
      <c r="H2474" s="6" t="s">
        <v>30586</v>
      </c>
      <c r="I2474" s="6">
        <v>526.6875</v>
      </c>
      <c r="J2474" s="2">
        <f t="shared" si="38"/>
        <v>43748.622478425925</v>
      </c>
    </row>
    <row r="2475" spans="1:10" x14ac:dyDescent="0.25">
      <c r="A2475" s="7" t="s">
        <v>30587</v>
      </c>
      <c r="B2475" s="8">
        <v>393.75</v>
      </c>
      <c r="C2475" s="8">
        <v>20.478950000000001</v>
      </c>
      <c r="D2475" s="8">
        <v>70</v>
      </c>
      <c r="E2475" s="8">
        <v>0</v>
      </c>
      <c r="F2475" s="8">
        <v>0</v>
      </c>
      <c r="G2475" s="8">
        <v>58</v>
      </c>
      <c r="H2475" s="8" t="s">
        <v>30588</v>
      </c>
      <c r="I2475" s="8">
        <v>526.6875</v>
      </c>
      <c r="J2475" s="3">
        <f t="shared" si="38"/>
        <v>43748.622562013887</v>
      </c>
    </row>
    <row r="2476" spans="1:10" x14ac:dyDescent="0.25">
      <c r="A2476" s="5" t="s">
        <v>30589</v>
      </c>
      <c r="B2476" s="6">
        <v>393.75</v>
      </c>
      <c r="C2476" s="6">
        <v>20.531590000000001</v>
      </c>
      <c r="D2476" s="6">
        <v>70</v>
      </c>
      <c r="E2476" s="6">
        <v>0</v>
      </c>
      <c r="F2476" s="6">
        <v>0</v>
      </c>
      <c r="G2476" s="6">
        <v>59</v>
      </c>
      <c r="H2476" s="6" t="s">
        <v>30590</v>
      </c>
      <c r="I2476" s="6">
        <v>526.6875</v>
      </c>
      <c r="J2476" s="2">
        <f t="shared" si="38"/>
        <v>43748.622645335643</v>
      </c>
    </row>
    <row r="2477" spans="1:10" x14ac:dyDescent="0.25">
      <c r="A2477" s="7" t="s">
        <v>30591</v>
      </c>
      <c r="B2477" s="8">
        <v>393.75</v>
      </c>
      <c r="C2477" s="8">
        <v>20.584240000000001</v>
      </c>
      <c r="D2477" s="8">
        <v>70</v>
      </c>
      <c r="E2477" s="8">
        <v>0</v>
      </c>
      <c r="F2477" s="8">
        <v>0</v>
      </c>
      <c r="G2477" s="8">
        <v>62</v>
      </c>
      <c r="H2477" s="8" t="s">
        <v>30592</v>
      </c>
      <c r="I2477" s="8">
        <v>526.6875</v>
      </c>
      <c r="J2477" s="3">
        <f t="shared" si="38"/>
        <v>43748.622728888884</v>
      </c>
    </row>
    <row r="2478" spans="1:10" x14ac:dyDescent="0.25">
      <c r="A2478" s="5" t="s">
        <v>30593</v>
      </c>
      <c r="B2478" s="6">
        <v>393.75</v>
      </c>
      <c r="C2478" s="6">
        <v>20.531590000000001</v>
      </c>
      <c r="D2478" s="6">
        <v>70</v>
      </c>
      <c r="E2478" s="6">
        <v>0</v>
      </c>
      <c r="F2478" s="6">
        <v>0</v>
      </c>
      <c r="G2478" s="6">
        <v>61</v>
      </c>
      <c r="H2478" s="6" t="s">
        <v>30594</v>
      </c>
      <c r="I2478" s="6">
        <v>526.6875</v>
      </c>
      <c r="J2478" s="2">
        <f t="shared" si="38"/>
        <v>43748.622812013891</v>
      </c>
    </row>
    <row r="2479" spans="1:10" x14ac:dyDescent="0.25">
      <c r="A2479" s="7" t="s">
        <v>30595</v>
      </c>
      <c r="B2479" s="8">
        <v>393.75</v>
      </c>
      <c r="C2479" s="8">
        <v>20.584240000000001</v>
      </c>
      <c r="D2479" s="8">
        <v>70</v>
      </c>
      <c r="E2479" s="8">
        <v>0</v>
      </c>
      <c r="F2479" s="8">
        <v>0</v>
      </c>
      <c r="G2479" s="8">
        <v>60</v>
      </c>
      <c r="H2479" s="8" t="s">
        <v>30596</v>
      </c>
      <c r="I2479" s="8">
        <v>526.6875</v>
      </c>
      <c r="J2479" s="3">
        <f t="shared" si="38"/>
        <v>43748.622883634256</v>
      </c>
    </row>
    <row r="2480" spans="1:10" x14ac:dyDescent="0.25">
      <c r="A2480" s="5" t="s">
        <v>30597</v>
      </c>
      <c r="B2480" s="6">
        <v>393.75</v>
      </c>
      <c r="C2480" s="6">
        <v>20.531590000000001</v>
      </c>
      <c r="D2480" s="6">
        <v>71</v>
      </c>
      <c r="E2480" s="6">
        <v>0</v>
      </c>
      <c r="F2480" s="6">
        <v>0</v>
      </c>
      <c r="G2480" s="6">
        <v>64</v>
      </c>
      <c r="H2480" s="6" t="s">
        <v>30598</v>
      </c>
      <c r="I2480" s="6">
        <v>526.6875</v>
      </c>
      <c r="J2480" s="2">
        <f t="shared" si="38"/>
        <v>43748.62296753472</v>
      </c>
    </row>
    <row r="2481" spans="1:10" x14ac:dyDescent="0.25">
      <c r="A2481" s="7" t="s">
        <v>30599</v>
      </c>
      <c r="B2481" s="8">
        <v>393.75</v>
      </c>
      <c r="C2481" s="8">
        <v>20.584240000000001</v>
      </c>
      <c r="D2481" s="8">
        <v>68</v>
      </c>
      <c r="E2481" s="8">
        <v>0</v>
      </c>
      <c r="F2481" s="8">
        <v>0</v>
      </c>
      <c r="G2481" s="8">
        <v>61</v>
      </c>
      <c r="H2481" s="8" t="s">
        <v>30600</v>
      </c>
      <c r="I2481" s="8">
        <v>526.6875</v>
      </c>
      <c r="J2481" s="3">
        <f t="shared" si="38"/>
        <v>43748.623050891205</v>
      </c>
    </row>
    <row r="2482" spans="1:10" x14ac:dyDescent="0.25">
      <c r="A2482" s="5" t="s">
        <v>30601</v>
      </c>
      <c r="B2482" s="6">
        <v>393.75</v>
      </c>
      <c r="C2482" s="6">
        <v>20.531590000000001</v>
      </c>
      <c r="D2482" s="6">
        <v>69</v>
      </c>
      <c r="E2482" s="6">
        <v>0</v>
      </c>
      <c r="F2482" s="6">
        <v>0</v>
      </c>
      <c r="G2482" s="6">
        <v>66</v>
      </c>
      <c r="H2482" s="6" t="s">
        <v>30602</v>
      </c>
      <c r="I2482" s="6">
        <v>526.6875</v>
      </c>
      <c r="J2482" s="2">
        <f t="shared" si="38"/>
        <v>43748.623134212961</v>
      </c>
    </row>
    <row r="2483" spans="1:10" x14ac:dyDescent="0.25">
      <c r="A2483" s="7" t="s">
        <v>30603</v>
      </c>
      <c r="B2483" s="8">
        <v>393.75</v>
      </c>
      <c r="C2483" s="8">
        <v>20.531590000000001</v>
      </c>
      <c r="D2483" s="8">
        <v>69</v>
      </c>
      <c r="E2483" s="8">
        <v>0</v>
      </c>
      <c r="F2483" s="8">
        <v>0</v>
      </c>
      <c r="G2483" s="8">
        <v>56</v>
      </c>
      <c r="H2483" s="8" t="s">
        <v>30604</v>
      </c>
      <c r="I2483" s="8">
        <v>526.6875</v>
      </c>
      <c r="J2483" s="3">
        <f t="shared" si="38"/>
        <v>43748.623205844902</v>
      </c>
    </row>
    <row r="2484" spans="1:10" x14ac:dyDescent="0.25">
      <c r="A2484" s="5" t="s">
        <v>30605</v>
      </c>
      <c r="B2484" s="6">
        <v>412.5</v>
      </c>
      <c r="C2484" s="6">
        <v>20.584240000000001</v>
      </c>
      <c r="D2484" s="6">
        <v>73</v>
      </c>
      <c r="E2484" s="6">
        <v>0</v>
      </c>
      <c r="F2484" s="6">
        <v>0</v>
      </c>
      <c r="G2484" s="6">
        <v>59</v>
      </c>
      <c r="H2484" s="6" t="s">
        <v>30606</v>
      </c>
      <c r="I2484" s="6">
        <v>532.3125</v>
      </c>
      <c r="J2484" s="2">
        <f t="shared" si="38"/>
        <v>43748.623289444447</v>
      </c>
    </row>
    <row r="2485" spans="1:10" x14ac:dyDescent="0.25">
      <c r="A2485" s="7" t="s">
        <v>30607</v>
      </c>
      <c r="B2485" s="8">
        <v>393.75</v>
      </c>
      <c r="C2485" s="8">
        <v>20.531590000000001</v>
      </c>
      <c r="D2485" s="8">
        <v>72</v>
      </c>
      <c r="E2485" s="8">
        <v>0</v>
      </c>
      <c r="F2485" s="8">
        <v>0</v>
      </c>
      <c r="G2485" s="8">
        <v>61</v>
      </c>
      <c r="H2485" s="8" t="s">
        <v>30608</v>
      </c>
      <c r="I2485" s="8">
        <v>526.6875</v>
      </c>
      <c r="J2485" s="3">
        <f t="shared" si="38"/>
        <v>43748.623372986105</v>
      </c>
    </row>
    <row r="2486" spans="1:10" x14ac:dyDescent="0.25">
      <c r="A2486" s="5" t="s">
        <v>30609</v>
      </c>
      <c r="B2486" s="6">
        <v>393.75</v>
      </c>
      <c r="C2486" s="6">
        <v>20.584240000000001</v>
      </c>
      <c r="D2486" s="6">
        <v>71</v>
      </c>
      <c r="E2486" s="6">
        <v>0</v>
      </c>
      <c r="F2486" s="6">
        <v>0</v>
      </c>
      <c r="G2486" s="6">
        <v>55</v>
      </c>
      <c r="H2486" s="6" t="s">
        <v>30610</v>
      </c>
      <c r="I2486" s="6">
        <v>526.6875</v>
      </c>
      <c r="J2486" s="2">
        <f t="shared" si="38"/>
        <v>43748.623468483791</v>
      </c>
    </row>
    <row r="2487" spans="1:10" x14ac:dyDescent="0.25">
      <c r="A2487" s="7" t="s">
        <v>30611</v>
      </c>
      <c r="B2487" s="8">
        <v>393.75</v>
      </c>
      <c r="C2487" s="8">
        <v>20.478950000000001</v>
      </c>
      <c r="D2487" s="8">
        <v>71</v>
      </c>
      <c r="E2487" s="8">
        <v>0</v>
      </c>
      <c r="F2487" s="8">
        <v>0</v>
      </c>
      <c r="G2487" s="8">
        <v>52</v>
      </c>
      <c r="H2487" s="8" t="s">
        <v>30612</v>
      </c>
      <c r="I2487" s="8">
        <v>526.6875</v>
      </c>
      <c r="J2487" s="3">
        <f t="shared" si="38"/>
        <v>43748.623539907407</v>
      </c>
    </row>
    <row r="2488" spans="1:10" x14ac:dyDescent="0.25">
      <c r="A2488" s="5" t="s">
        <v>30613</v>
      </c>
      <c r="B2488" s="6">
        <v>393.75</v>
      </c>
      <c r="C2488" s="6">
        <v>20.584240000000001</v>
      </c>
      <c r="D2488" s="6">
        <v>69</v>
      </c>
      <c r="E2488" s="6">
        <v>0</v>
      </c>
      <c r="F2488" s="6">
        <v>0</v>
      </c>
      <c r="G2488" s="6">
        <v>64</v>
      </c>
      <c r="H2488" s="6" t="s">
        <v>30614</v>
      </c>
      <c r="I2488" s="6">
        <v>526.6875</v>
      </c>
      <c r="J2488" s="2">
        <f t="shared" si="38"/>
        <v>43748.623623125</v>
      </c>
    </row>
    <row r="2489" spans="1:10" x14ac:dyDescent="0.25">
      <c r="A2489" s="7" t="s">
        <v>30615</v>
      </c>
      <c r="B2489" s="8">
        <v>393.75</v>
      </c>
      <c r="C2489" s="8">
        <v>20.531590000000001</v>
      </c>
      <c r="D2489" s="8">
        <v>69</v>
      </c>
      <c r="E2489" s="8">
        <v>0</v>
      </c>
      <c r="F2489" s="8">
        <v>0</v>
      </c>
      <c r="G2489" s="8">
        <v>60</v>
      </c>
      <c r="H2489" s="8" t="s">
        <v>30616</v>
      </c>
      <c r="I2489" s="8">
        <v>526.875</v>
      </c>
      <c r="J2489" s="3">
        <f t="shared" si="38"/>
        <v>43748.623694884256</v>
      </c>
    </row>
    <row r="2490" spans="1:10" x14ac:dyDescent="0.25">
      <c r="A2490" s="5" t="s">
        <v>30617</v>
      </c>
      <c r="B2490" s="6">
        <v>393.75</v>
      </c>
      <c r="C2490" s="6">
        <v>20.531590000000001</v>
      </c>
      <c r="D2490" s="6">
        <v>69</v>
      </c>
      <c r="E2490" s="6">
        <v>0</v>
      </c>
      <c r="F2490" s="6">
        <v>0</v>
      </c>
      <c r="G2490" s="6">
        <v>64</v>
      </c>
      <c r="H2490" s="6" t="s">
        <v>30618</v>
      </c>
      <c r="I2490" s="6">
        <v>526.6875</v>
      </c>
      <c r="J2490" s="2">
        <f t="shared" si="38"/>
        <v>43748.623778692127</v>
      </c>
    </row>
    <row r="2491" spans="1:10" x14ac:dyDescent="0.25">
      <c r="A2491" s="7" t="s">
        <v>30619</v>
      </c>
      <c r="B2491" s="8">
        <v>393.75</v>
      </c>
      <c r="C2491" s="8">
        <v>20.584240000000001</v>
      </c>
      <c r="D2491" s="8">
        <v>69</v>
      </c>
      <c r="E2491" s="8">
        <v>0</v>
      </c>
      <c r="F2491" s="8">
        <v>0</v>
      </c>
      <c r="G2491" s="8">
        <v>62</v>
      </c>
      <c r="H2491" s="8" t="s">
        <v>30620</v>
      </c>
      <c r="I2491" s="8">
        <v>526.6875</v>
      </c>
      <c r="J2491" s="3">
        <f t="shared" si="38"/>
        <v>43748.62386190972</v>
      </c>
    </row>
    <row r="2492" spans="1:10" x14ac:dyDescent="0.25">
      <c r="A2492" s="5" t="s">
        <v>30621</v>
      </c>
      <c r="B2492" s="6">
        <v>393.75</v>
      </c>
      <c r="C2492" s="6">
        <v>20.584240000000001</v>
      </c>
      <c r="D2492" s="6">
        <v>69</v>
      </c>
      <c r="E2492" s="6">
        <v>0</v>
      </c>
      <c r="F2492" s="6">
        <v>0</v>
      </c>
      <c r="G2492" s="6">
        <v>58</v>
      </c>
      <c r="H2492" s="6" t="s">
        <v>30622</v>
      </c>
      <c r="I2492" s="6">
        <v>526.6875</v>
      </c>
      <c r="J2492" s="2">
        <f t="shared" si="38"/>
        <v>43748.623945358799</v>
      </c>
    </row>
    <row r="2493" spans="1:10" x14ac:dyDescent="0.25">
      <c r="A2493" s="7" t="s">
        <v>30623</v>
      </c>
      <c r="B2493" s="8">
        <v>393.75</v>
      </c>
      <c r="C2493" s="8">
        <v>20.531590000000001</v>
      </c>
      <c r="D2493" s="8">
        <v>67</v>
      </c>
      <c r="E2493" s="8">
        <v>0</v>
      </c>
      <c r="F2493" s="8">
        <v>0</v>
      </c>
      <c r="G2493" s="8">
        <v>62</v>
      </c>
      <c r="H2493" s="8" t="s">
        <v>30624</v>
      </c>
      <c r="I2493" s="8">
        <v>526.6875</v>
      </c>
      <c r="J2493" s="3">
        <f t="shared" si="38"/>
        <v>43748.624028900456</v>
      </c>
    </row>
    <row r="2494" spans="1:10" x14ac:dyDescent="0.25">
      <c r="A2494" s="5" t="s">
        <v>30625</v>
      </c>
      <c r="B2494" s="6">
        <v>393.75</v>
      </c>
      <c r="C2494" s="6">
        <v>20.531590000000001</v>
      </c>
      <c r="D2494" s="6">
        <v>68</v>
      </c>
      <c r="E2494" s="6">
        <v>0</v>
      </c>
      <c r="F2494" s="6">
        <v>0</v>
      </c>
      <c r="G2494" s="6">
        <v>67</v>
      </c>
      <c r="H2494" s="6" t="s">
        <v>30626</v>
      </c>
      <c r="I2494" s="6">
        <v>526.6875</v>
      </c>
      <c r="J2494" s="2">
        <f t="shared" si="38"/>
        <v>43748.624112152778</v>
      </c>
    </row>
    <row r="2495" spans="1:10" x14ac:dyDescent="0.25">
      <c r="A2495" s="7" t="s">
        <v>30627</v>
      </c>
      <c r="B2495" s="8">
        <v>393.75</v>
      </c>
      <c r="C2495" s="8">
        <v>20.531590000000001</v>
      </c>
      <c r="D2495" s="8">
        <v>68</v>
      </c>
      <c r="E2495" s="8">
        <v>0</v>
      </c>
      <c r="F2495" s="8">
        <v>0</v>
      </c>
      <c r="G2495" s="8">
        <v>65</v>
      </c>
      <c r="H2495" s="8" t="s">
        <v>30628</v>
      </c>
      <c r="I2495" s="8">
        <v>526.6875</v>
      </c>
      <c r="J2495" s="3">
        <f t="shared" si="38"/>
        <v>43748.624183796295</v>
      </c>
    </row>
    <row r="2496" spans="1:10" x14ac:dyDescent="0.25">
      <c r="A2496" s="5" t="s">
        <v>30629</v>
      </c>
      <c r="B2496" s="6">
        <v>393.75</v>
      </c>
      <c r="C2496" s="6">
        <v>20.478950000000001</v>
      </c>
      <c r="D2496" s="6">
        <v>68</v>
      </c>
      <c r="E2496" s="6">
        <v>0</v>
      </c>
      <c r="F2496" s="6">
        <v>0</v>
      </c>
      <c r="G2496" s="6">
        <v>60</v>
      </c>
      <c r="H2496" s="6" t="s">
        <v>30630</v>
      </c>
      <c r="I2496" s="6">
        <v>526.6875</v>
      </c>
      <c r="J2496" s="2">
        <f t="shared" si="38"/>
        <v>43748.62426759259</v>
      </c>
    </row>
    <row r="2497" spans="1:10" x14ac:dyDescent="0.25">
      <c r="A2497" s="7" t="s">
        <v>30631</v>
      </c>
      <c r="B2497" s="8">
        <v>393.75</v>
      </c>
      <c r="C2497" s="8">
        <v>20.531590000000001</v>
      </c>
      <c r="D2497" s="8">
        <v>68</v>
      </c>
      <c r="E2497" s="8">
        <v>0</v>
      </c>
      <c r="F2497" s="8">
        <v>0</v>
      </c>
      <c r="G2497" s="8">
        <v>73</v>
      </c>
      <c r="H2497" s="8" t="s">
        <v>30632</v>
      </c>
      <c r="I2497" s="8">
        <v>526.6875</v>
      </c>
      <c r="J2497" s="3">
        <f t="shared" si="38"/>
        <v>43748.62435100694</v>
      </c>
    </row>
    <row r="2498" spans="1:10" x14ac:dyDescent="0.25">
      <c r="A2498" s="5" t="s">
        <v>30633</v>
      </c>
      <c r="B2498" s="6">
        <v>393.75</v>
      </c>
      <c r="C2498" s="6">
        <v>20.584240000000001</v>
      </c>
      <c r="D2498" s="6">
        <v>67</v>
      </c>
      <c r="E2498" s="6">
        <v>0</v>
      </c>
      <c r="F2498" s="6">
        <v>0</v>
      </c>
      <c r="G2498" s="6">
        <v>59</v>
      </c>
      <c r="H2498" s="6" t="s">
        <v>30634</v>
      </c>
      <c r="I2498" s="6">
        <v>526.6875</v>
      </c>
      <c r="J2498" s="2">
        <f t="shared" ref="J2498:J2561" si="39">(H2498/86400000)+25569+(7/24)</f>
        <v>43748.624434259262</v>
      </c>
    </row>
    <row r="2499" spans="1:10" x14ac:dyDescent="0.25">
      <c r="A2499" s="7" t="s">
        <v>30635</v>
      </c>
      <c r="B2499" s="8">
        <v>393.75</v>
      </c>
      <c r="C2499" s="8">
        <v>20.478950000000001</v>
      </c>
      <c r="D2499" s="8">
        <v>67</v>
      </c>
      <c r="E2499" s="8">
        <v>0</v>
      </c>
      <c r="F2499" s="8">
        <v>0</v>
      </c>
      <c r="G2499" s="8">
        <v>62</v>
      </c>
      <c r="H2499" s="8" t="s">
        <v>30636</v>
      </c>
      <c r="I2499" s="8">
        <v>526.6875</v>
      </c>
      <c r="J2499" s="3">
        <f t="shared" si="39"/>
        <v>43748.624505972221</v>
      </c>
    </row>
    <row r="2500" spans="1:10" x14ac:dyDescent="0.25">
      <c r="A2500" s="5" t="s">
        <v>30637</v>
      </c>
      <c r="B2500" s="6">
        <v>393.75</v>
      </c>
      <c r="C2500" s="6">
        <v>20.584240000000001</v>
      </c>
      <c r="D2500" s="6">
        <v>67</v>
      </c>
      <c r="E2500" s="6">
        <v>0</v>
      </c>
      <c r="F2500" s="6">
        <v>0</v>
      </c>
      <c r="G2500" s="6">
        <v>58</v>
      </c>
      <c r="H2500" s="6" t="s">
        <v>30638</v>
      </c>
      <c r="I2500" s="6">
        <v>526.5</v>
      </c>
      <c r="J2500" s="2">
        <f t="shared" si="39"/>
        <v>43748.624589548614</v>
      </c>
    </row>
    <row r="2501" spans="1:10" x14ac:dyDescent="0.25">
      <c r="A2501" s="7" t="s">
        <v>30639</v>
      </c>
      <c r="B2501" s="8">
        <v>393.75</v>
      </c>
      <c r="C2501" s="8">
        <v>20.531590000000001</v>
      </c>
      <c r="D2501" s="8">
        <v>67</v>
      </c>
      <c r="E2501" s="8">
        <v>0</v>
      </c>
      <c r="F2501" s="8">
        <v>0</v>
      </c>
      <c r="G2501" s="8">
        <v>64</v>
      </c>
      <c r="H2501" s="8" t="s">
        <v>30640</v>
      </c>
      <c r="I2501" s="8">
        <v>526.6875</v>
      </c>
      <c r="J2501" s="3">
        <f t="shared" si="39"/>
        <v>43748.624673136575</v>
      </c>
    </row>
    <row r="2502" spans="1:10" x14ac:dyDescent="0.25">
      <c r="A2502" s="5" t="s">
        <v>30641</v>
      </c>
      <c r="B2502" s="6">
        <v>393.75</v>
      </c>
      <c r="C2502" s="6">
        <v>20.531590000000001</v>
      </c>
      <c r="D2502" s="6">
        <v>66</v>
      </c>
      <c r="E2502" s="6">
        <v>0</v>
      </c>
      <c r="F2502" s="6">
        <v>0</v>
      </c>
      <c r="G2502" s="6">
        <v>65</v>
      </c>
      <c r="H2502" s="6" t="s">
        <v>30642</v>
      </c>
      <c r="I2502" s="6">
        <v>526.6875</v>
      </c>
      <c r="J2502" s="2">
        <f t="shared" si="39"/>
        <v>43748.624756458332</v>
      </c>
    </row>
    <row r="2503" spans="1:10" x14ac:dyDescent="0.25">
      <c r="A2503" s="7" t="s">
        <v>30643</v>
      </c>
      <c r="B2503" s="8">
        <v>393.75</v>
      </c>
      <c r="C2503" s="8">
        <v>20.478950000000001</v>
      </c>
      <c r="D2503" s="8">
        <v>66</v>
      </c>
      <c r="E2503" s="8">
        <v>0</v>
      </c>
      <c r="F2503" s="8">
        <v>0</v>
      </c>
      <c r="G2503" s="8">
        <v>72</v>
      </c>
      <c r="H2503" s="8" t="s">
        <v>30644</v>
      </c>
      <c r="I2503" s="8">
        <v>526.6875</v>
      </c>
      <c r="J2503" s="3">
        <f t="shared" si="39"/>
        <v>43748.624840046294</v>
      </c>
    </row>
    <row r="2504" spans="1:10" x14ac:dyDescent="0.25">
      <c r="A2504" s="5" t="s">
        <v>30645</v>
      </c>
      <c r="B2504" s="6">
        <v>393.75</v>
      </c>
      <c r="C2504" s="6">
        <v>20.478950000000001</v>
      </c>
      <c r="D2504" s="6">
        <v>67</v>
      </c>
      <c r="E2504" s="6">
        <v>0</v>
      </c>
      <c r="F2504" s="6">
        <v>0</v>
      </c>
      <c r="G2504" s="6">
        <v>62</v>
      </c>
      <c r="H2504" s="6" t="s">
        <v>30646</v>
      </c>
      <c r="I2504" s="6">
        <v>526.6875</v>
      </c>
      <c r="J2504" s="2">
        <f t="shared" si="39"/>
        <v>43748.624923229167</v>
      </c>
    </row>
    <row r="2505" spans="1:10" x14ac:dyDescent="0.25">
      <c r="A2505" s="7" t="s">
        <v>30647</v>
      </c>
      <c r="B2505" s="8">
        <v>393.75</v>
      </c>
      <c r="C2505" s="8">
        <v>20.531590000000001</v>
      </c>
      <c r="D2505" s="8">
        <v>67</v>
      </c>
      <c r="E2505" s="8">
        <v>0</v>
      </c>
      <c r="F2505" s="8">
        <v>0</v>
      </c>
      <c r="G2505" s="8">
        <v>64</v>
      </c>
      <c r="H2505" s="8" t="s">
        <v>30648</v>
      </c>
      <c r="I2505" s="8">
        <v>526.6875</v>
      </c>
      <c r="J2505" s="3">
        <f t="shared" si="39"/>
        <v>43748.624994988422</v>
      </c>
    </row>
    <row r="2506" spans="1:10" x14ac:dyDescent="0.25">
      <c r="A2506" s="5" t="s">
        <v>30649</v>
      </c>
      <c r="B2506" s="6">
        <v>393.75</v>
      </c>
      <c r="C2506" s="6">
        <v>20.531590000000001</v>
      </c>
      <c r="D2506" s="6">
        <v>67</v>
      </c>
      <c r="E2506" s="6">
        <v>0</v>
      </c>
      <c r="F2506" s="6">
        <v>0</v>
      </c>
      <c r="G2506" s="6">
        <v>71</v>
      </c>
      <c r="H2506" s="6" t="s">
        <v>30650</v>
      </c>
      <c r="I2506" s="6">
        <v>526.6875</v>
      </c>
      <c r="J2506" s="2">
        <f t="shared" si="39"/>
        <v>43748.625078715275</v>
      </c>
    </row>
    <row r="2507" spans="1:10" x14ac:dyDescent="0.25">
      <c r="A2507" s="7" t="s">
        <v>30651</v>
      </c>
      <c r="B2507" s="8">
        <v>393.75</v>
      </c>
      <c r="C2507" s="8">
        <v>20.531590000000001</v>
      </c>
      <c r="D2507" s="8">
        <v>66</v>
      </c>
      <c r="E2507" s="8">
        <v>0</v>
      </c>
      <c r="F2507" s="8">
        <v>0</v>
      </c>
      <c r="G2507" s="8">
        <v>66</v>
      </c>
      <c r="H2507" s="8" t="s">
        <v>30652</v>
      </c>
      <c r="I2507" s="8">
        <v>526.6875</v>
      </c>
      <c r="J2507" s="3">
        <f t="shared" si="39"/>
        <v>43748.625162025455</v>
      </c>
    </row>
    <row r="2508" spans="1:10" x14ac:dyDescent="0.25">
      <c r="A2508" s="5" t="s">
        <v>30653</v>
      </c>
      <c r="B2508" s="6">
        <v>393.75</v>
      </c>
      <c r="C2508" s="6">
        <v>20.584240000000001</v>
      </c>
      <c r="D2508" s="6">
        <v>67</v>
      </c>
      <c r="E2508" s="6">
        <v>0</v>
      </c>
      <c r="F2508" s="6">
        <v>0</v>
      </c>
      <c r="G2508" s="6">
        <v>67</v>
      </c>
      <c r="H2508" s="6" t="s">
        <v>30654</v>
      </c>
      <c r="I2508" s="6">
        <v>526.6875</v>
      </c>
      <c r="J2508" s="2">
        <f t="shared" si="39"/>
        <v>43748.625245347219</v>
      </c>
    </row>
    <row r="2509" spans="1:10" x14ac:dyDescent="0.25">
      <c r="A2509" s="7" t="s">
        <v>30655</v>
      </c>
      <c r="B2509" s="8">
        <v>412.5</v>
      </c>
      <c r="C2509" s="8">
        <v>20.584240000000001</v>
      </c>
      <c r="D2509" s="8">
        <v>67</v>
      </c>
      <c r="E2509" s="8">
        <v>0</v>
      </c>
      <c r="F2509" s="8">
        <v>0</v>
      </c>
      <c r="G2509" s="8">
        <v>69</v>
      </c>
      <c r="H2509" s="8" t="s">
        <v>30656</v>
      </c>
      <c r="I2509" s="8">
        <v>532.3125</v>
      </c>
      <c r="J2509" s="3">
        <f t="shared" si="39"/>
        <v>43748.625316990736</v>
      </c>
    </row>
    <row r="2510" spans="1:10" x14ac:dyDescent="0.25">
      <c r="A2510" s="5" t="s">
        <v>30657</v>
      </c>
      <c r="B2510" s="6">
        <v>393.75</v>
      </c>
      <c r="C2510" s="6">
        <v>20.584240000000001</v>
      </c>
      <c r="D2510" s="6">
        <v>66</v>
      </c>
      <c r="E2510" s="6">
        <v>0</v>
      </c>
      <c r="F2510" s="6">
        <v>0</v>
      </c>
      <c r="G2510" s="6">
        <v>74</v>
      </c>
      <c r="H2510" s="6" t="s">
        <v>30658</v>
      </c>
      <c r="I2510" s="6">
        <v>526.6875</v>
      </c>
      <c r="J2510" s="2">
        <f t="shared" si="39"/>
        <v>43748.625400567129</v>
      </c>
    </row>
    <row r="2511" spans="1:10" x14ac:dyDescent="0.25">
      <c r="A2511" s="7" t="s">
        <v>30659</v>
      </c>
      <c r="B2511" s="8">
        <v>393.75</v>
      </c>
      <c r="C2511" s="8">
        <v>20.531590000000001</v>
      </c>
      <c r="D2511" s="8">
        <v>66</v>
      </c>
      <c r="E2511" s="8">
        <v>0</v>
      </c>
      <c r="F2511" s="8">
        <v>0</v>
      </c>
      <c r="G2511" s="8">
        <v>63</v>
      </c>
      <c r="H2511" s="8" t="s">
        <v>30660</v>
      </c>
      <c r="I2511" s="8">
        <v>526.6875</v>
      </c>
      <c r="J2511" s="3">
        <f t="shared" si="39"/>
        <v>43748.625484050928</v>
      </c>
    </row>
    <row r="2512" spans="1:10" x14ac:dyDescent="0.25">
      <c r="A2512" s="5" t="s">
        <v>30661</v>
      </c>
      <c r="B2512" s="6">
        <v>393.75</v>
      </c>
      <c r="C2512" s="6">
        <v>20.584240000000001</v>
      </c>
      <c r="D2512" s="6">
        <v>66</v>
      </c>
      <c r="E2512" s="6">
        <v>0</v>
      </c>
      <c r="F2512" s="6">
        <v>0</v>
      </c>
      <c r="G2512" s="6">
        <v>68</v>
      </c>
      <c r="H2512" s="6" t="s">
        <v>30662</v>
      </c>
      <c r="I2512" s="6">
        <v>526.6875</v>
      </c>
      <c r="J2512" s="2">
        <f t="shared" si="39"/>
        <v>43748.625567569441</v>
      </c>
    </row>
    <row r="2513" spans="1:10" x14ac:dyDescent="0.25">
      <c r="A2513" s="7" t="s">
        <v>30663</v>
      </c>
      <c r="B2513" s="8">
        <v>393.75</v>
      </c>
      <c r="C2513" s="8">
        <v>20.531590000000001</v>
      </c>
      <c r="D2513" s="8">
        <v>67</v>
      </c>
      <c r="E2513" s="8">
        <v>0</v>
      </c>
      <c r="F2513" s="8">
        <v>0</v>
      </c>
      <c r="G2513" s="8">
        <v>76</v>
      </c>
      <c r="H2513" s="8" t="s">
        <v>30664</v>
      </c>
      <c r="I2513" s="8">
        <v>526.5</v>
      </c>
      <c r="J2513" s="3">
        <f t="shared" si="39"/>
        <v>43748.625651574075</v>
      </c>
    </row>
    <row r="2514" spans="1:10" x14ac:dyDescent="0.25">
      <c r="A2514" s="5" t="s">
        <v>30665</v>
      </c>
      <c r="B2514" s="6">
        <v>412.5</v>
      </c>
      <c r="C2514" s="6">
        <v>20.531590000000001</v>
      </c>
      <c r="D2514" s="6">
        <v>68</v>
      </c>
      <c r="E2514" s="6">
        <v>0</v>
      </c>
      <c r="F2514" s="6">
        <v>0</v>
      </c>
      <c r="G2514" s="6">
        <v>73</v>
      </c>
      <c r="H2514" s="6" t="s">
        <v>30666</v>
      </c>
      <c r="I2514" s="6">
        <v>532.3125</v>
      </c>
      <c r="J2514" s="2">
        <f t="shared" si="39"/>
        <v>43748.62573422453</v>
      </c>
    </row>
    <row r="2515" spans="1:10" x14ac:dyDescent="0.25">
      <c r="A2515" s="7" t="s">
        <v>30667</v>
      </c>
      <c r="B2515" s="8">
        <v>393.75</v>
      </c>
      <c r="C2515" s="8">
        <v>20.531590000000001</v>
      </c>
      <c r="D2515" s="8">
        <v>68</v>
      </c>
      <c r="E2515" s="8">
        <v>0</v>
      </c>
      <c r="F2515" s="8">
        <v>0</v>
      </c>
      <c r="G2515" s="8">
        <v>61</v>
      </c>
      <c r="H2515" s="8" t="s">
        <v>30668</v>
      </c>
      <c r="I2515" s="8">
        <v>526.6875</v>
      </c>
      <c r="J2515" s="3">
        <f t="shared" si="39"/>
        <v>43748.625805995369</v>
      </c>
    </row>
    <row r="2516" spans="1:10" x14ac:dyDescent="0.25">
      <c r="A2516" s="5" t="s">
        <v>30669</v>
      </c>
      <c r="B2516" s="6">
        <v>393.75</v>
      </c>
      <c r="C2516" s="6">
        <v>20.531590000000001</v>
      </c>
      <c r="D2516" s="6">
        <v>68</v>
      </c>
      <c r="E2516" s="6">
        <v>0</v>
      </c>
      <c r="F2516" s="6">
        <v>0</v>
      </c>
      <c r="G2516" s="6">
        <v>66</v>
      </c>
      <c r="H2516" s="6" t="s">
        <v>30670</v>
      </c>
      <c r="I2516" s="6">
        <v>526.6875</v>
      </c>
      <c r="J2516" s="2">
        <f t="shared" si="39"/>
        <v>43748.625889583331</v>
      </c>
    </row>
    <row r="2517" spans="1:10" x14ac:dyDescent="0.25">
      <c r="A2517" s="7" t="s">
        <v>30671</v>
      </c>
      <c r="B2517" s="8">
        <v>393.75</v>
      </c>
      <c r="C2517" s="8">
        <v>20.584240000000001</v>
      </c>
      <c r="D2517" s="8">
        <v>68</v>
      </c>
      <c r="E2517" s="8">
        <v>0</v>
      </c>
      <c r="F2517" s="8">
        <v>0</v>
      </c>
      <c r="G2517" s="8">
        <v>66</v>
      </c>
      <c r="H2517" s="8" t="s">
        <v>30672</v>
      </c>
      <c r="I2517" s="8">
        <v>526.6875</v>
      </c>
      <c r="J2517" s="3">
        <f t="shared" si="39"/>
        <v>43748.625973009257</v>
      </c>
    </row>
    <row r="2518" spans="1:10" x14ac:dyDescent="0.25">
      <c r="A2518" s="5" t="s">
        <v>30673</v>
      </c>
      <c r="B2518" s="6">
        <v>393.75</v>
      </c>
      <c r="C2518" s="6">
        <v>20.531590000000001</v>
      </c>
      <c r="D2518" s="6">
        <v>68</v>
      </c>
      <c r="E2518" s="6">
        <v>0</v>
      </c>
      <c r="F2518" s="6">
        <v>0</v>
      </c>
      <c r="G2518" s="6">
        <v>57</v>
      </c>
      <c r="H2518" s="6" t="s">
        <v>30674</v>
      </c>
      <c r="I2518" s="6">
        <v>526.6875</v>
      </c>
      <c r="J2518" s="2">
        <f t="shared" si="39"/>
        <v>43748.62606263889</v>
      </c>
    </row>
    <row r="2519" spans="1:10" x14ac:dyDescent="0.25">
      <c r="A2519" s="7" t="s">
        <v>30675</v>
      </c>
      <c r="B2519" s="8">
        <v>393.75</v>
      </c>
      <c r="C2519" s="8">
        <v>20.531590000000001</v>
      </c>
      <c r="D2519" s="8">
        <v>68</v>
      </c>
      <c r="E2519" s="8">
        <v>0</v>
      </c>
      <c r="F2519" s="8">
        <v>0</v>
      </c>
      <c r="G2519" s="8">
        <v>63</v>
      </c>
      <c r="H2519" s="8" t="s">
        <v>30676</v>
      </c>
      <c r="I2519" s="8">
        <v>526.6875</v>
      </c>
      <c r="J2519" s="3">
        <f t="shared" si="39"/>
        <v>43748.626151886572</v>
      </c>
    </row>
    <row r="2520" spans="1:10" x14ac:dyDescent="0.25">
      <c r="A2520" s="5" t="s">
        <v>30677</v>
      </c>
      <c r="B2520" s="6">
        <v>393.75</v>
      </c>
      <c r="C2520" s="6">
        <v>20.531590000000001</v>
      </c>
      <c r="D2520" s="6">
        <v>66</v>
      </c>
      <c r="E2520" s="6">
        <v>0</v>
      </c>
      <c r="F2520" s="6">
        <v>0</v>
      </c>
      <c r="G2520" s="6">
        <v>65</v>
      </c>
      <c r="H2520" s="6" t="s">
        <v>30678</v>
      </c>
      <c r="I2520" s="6">
        <v>526.6875</v>
      </c>
      <c r="J2520" s="2">
        <f t="shared" si="39"/>
        <v>43748.626223182866</v>
      </c>
    </row>
    <row r="2521" spans="1:10" x14ac:dyDescent="0.25">
      <c r="A2521" s="7" t="s">
        <v>30679</v>
      </c>
      <c r="B2521" s="8">
        <v>393.75</v>
      </c>
      <c r="C2521" s="8">
        <v>20.531590000000001</v>
      </c>
      <c r="D2521" s="8">
        <v>66</v>
      </c>
      <c r="E2521" s="8">
        <v>0</v>
      </c>
      <c r="F2521" s="8">
        <v>0</v>
      </c>
      <c r="G2521" s="8">
        <v>72</v>
      </c>
      <c r="H2521" s="8" t="s">
        <v>30680</v>
      </c>
      <c r="I2521" s="8">
        <v>526.6875</v>
      </c>
      <c r="J2521" s="3">
        <f t="shared" si="39"/>
        <v>43748.626294930553</v>
      </c>
    </row>
    <row r="2522" spans="1:10" x14ac:dyDescent="0.25">
      <c r="A2522" s="5" t="s">
        <v>30681</v>
      </c>
      <c r="B2522" s="6">
        <v>393.75</v>
      </c>
      <c r="C2522" s="6">
        <v>20.531590000000001</v>
      </c>
      <c r="D2522" s="6">
        <v>66</v>
      </c>
      <c r="E2522" s="6">
        <v>0</v>
      </c>
      <c r="F2522" s="6">
        <v>0</v>
      </c>
      <c r="G2522" s="6">
        <v>66</v>
      </c>
      <c r="H2522" s="6" t="s">
        <v>30682</v>
      </c>
      <c r="I2522" s="6">
        <v>526.6875</v>
      </c>
      <c r="J2522" s="2">
        <f t="shared" si="39"/>
        <v>43748.626378599532</v>
      </c>
    </row>
    <row r="2523" spans="1:10" x14ac:dyDescent="0.25">
      <c r="A2523" s="7" t="s">
        <v>30683</v>
      </c>
      <c r="B2523" s="8">
        <v>393.75</v>
      </c>
      <c r="C2523" s="8">
        <v>20.531590000000001</v>
      </c>
      <c r="D2523" s="8">
        <v>68</v>
      </c>
      <c r="E2523" s="8">
        <v>0</v>
      </c>
      <c r="F2523" s="8">
        <v>0</v>
      </c>
      <c r="G2523" s="8">
        <v>69</v>
      </c>
      <c r="H2523" s="8" t="s">
        <v>30684</v>
      </c>
      <c r="I2523" s="8">
        <v>526.6875</v>
      </c>
      <c r="J2523" s="3">
        <f t="shared" si="39"/>
        <v>43748.626462048611</v>
      </c>
    </row>
    <row r="2524" spans="1:10" x14ac:dyDescent="0.25">
      <c r="A2524" s="5" t="s">
        <v>30685</v>
      </c>
      <c r="B2524" s="6">
        <v>412.5</v>
      </c>
      <c r="C2524" s="6">
        <v>20.584240000000001</v>
      </c>
      <c r="D2524" s="6">
        <v>68</v>
      </c>
      <c r="E2524" s="6">
        <v>0</v>
      </c>
      <c r="F2524" s="6">
        <v>0</v>
      </c>
      <c r="G2524" s="6">
        <v>67</v>
      </c>
      <c r="H2524" s="6" t="s">
        <v>30686</v>
      </c>
      <c r="I2524" s="6">
        <v>532.6875</v>
      </c>
      <c r="J2524" s="2">
        <f t="shared" si="39"/>
        <v>43748.626545266197</v>
      </c>
    </row>
    <row r="2525" spans="1:10" x14ac:dyDescent="0.25">
      <c r="A2525" s="7" t="s">
        <v>30687</v>
      </c>
      <c r="B2525" s="8">
        <v>393.75</v>
      </c>
      <c r="C2525" s="8">
        <v>20.531590000000001</v>
      </c>
      <c r="D2525" s="8">
        <v>69</v>
      </c>
      <c r="E2525" s="8">
        <v>0</v>
      </c>
      <c r="F2525" s="8">
        <v>0</v>
      </c>
      <c r="G2525" s="8">
        <v>61</v>
      </c>
      <c r="H2525" s="8" t="s">
        <v>30688</v>
      </c>
      <c r="I2525" s="8">
        <v>526.6875</v>
      </c>
      <c r="J2525" s="3">
        <f t="shared" si="39"/>
        <v>43748.62661702546</v>
      </c>
    </row>
    <row r="2526" spans="1:10" x14ac:dyDescent="0.25">
      <c r="A2526" s="5" t="s">
        <v>30689</v>
      </c>
      <c r="B2526" s="6">
        <v>393.75</v>
      </c>
      <c r="C2526" s="6">
        <v>20.584240000000001</v>
      </c>
      <c r="D2526" s="6">
        <v>68</v>
      </c>
      <c r="E2526" s="6">
        <v>0</v>
      </c>
      <c r="F2526" s="6">
        <v>0</v>
      </c>
      <c r="G2526" s="6">
        <v>62</v>
      </c>
      <c r="H2526" s="6" t="s">
        <v>30690</v>
      </c>
      <c r="I2526" s="6">
        <v>526.6875</v>
      </c>
      <c r="J2526" s="2">
        <f t="shared" si="39"/>
        <v>43748.626700497683</v>
      </c>
    </row>
    <row r="2527" spans="1:10" x14ac:dyDescent="0.25">
      <c r="A2527" s="7" t="s">
        <v>30691</v>
      </c>
      <c r="B2527" s="8">
        <v>412.5</v>
      </c>
      <c r="C2527" s="8">
        <v>20.584240000000001</v>
      </c>
      <c r="D2527" s="8">
        <v>68</v>
      </c>
      <c r="E2527" s="8">
        <v>0</v>
      </c>
      <c r="F2527" s="8">
        <v>0</v>
      </c>
      <c r="G2527" s="8">
        <v>63</v>
      </c>
      <c r="H2527" s="8" t="s">
        <v>30692</v>
      </c>
      <c r="I2527" s="8">
        <v>532.3125</v>
      </c>
      <c r="J2527" s="3">
        <f t="shared" si="39"/>
        <v>43748.62678392361</v>
      </c>
    </row>
    <row r="2528" spans="1:10" x14ac:dyDescent="0.25">
      <c r="A2528" s="5" t="s">
        <v>30693</v>
      </c>
      <c r="B2528" s="6">
        <v>393.75</v>
      </c>
      <c r="C2528" s="6">
        <v>20.531590000000001</v>
      </c>
      <c r="D2528" s="6">
        <v>68</v>
      </c>
      <c r="E2528" s="6">
        <v>0</v>
      </c>
      <c r="F2528" s="6">
        <v>0</v>
      </c>
      <c r="G2528" s="6">
        <v>65</v>
      </c>
      <c r="H2528" s="6" t="s">
        <v>30694</v>
      </c>
      <c r="I2528" s="6">
        <v>526.6875</v>
      </c>
      <c r="J2528" s="2">
        <f t="shared" si="39"/>
        <v>43748.626867488427</v>
      </c>
    </row>
    <row r="2529" spans="1:10" x14ac:dyDescent="0.25">
      <c r="A2529" s="7" t="s">
        <v>30695</v>
      </c>
      <c r="B2529" s="8">
        <v>393.75</v>
      </c>
      <c r="C2529" s="8">
        <v>20.584240000000001</v>
      </c>
      <c r="D2529" s="8">
        <v>68</v>
      </c>
      <c r="E2529" s="8">
        <v>0</v>
      </c>
      <c r="F2529" s="8">
        <v>0</v>
      </c>
      <c r="G2529" s="8">
        <v>69</v>
      </c>
      <c r="H2529" s="8" t="s">
        <v>30696</v>
      </c>
      <c r="I2529" s="8">
        <v>526.6875</v>
      </c>
      <c r="J2529" s="3">
        <f t="shared" si="39"/>
        <v>43748.626950914353</v>
      </c>
    </row>
    <row r="2530" spans="1:10" x14ac:dyDescent="0.25">
      <c r="A2530" s="5" t="s">
        <v>30697</v>
      </c>
      <c r="B2530" s="6">
        <v>393.75</v>
      </c>
      <c r="C2530" s="6">
        <v>20.584240000000001</v>
      </c>
      <c r="D2530" s="6">
        <v>67</v>
      </c>
      <c r="E2530" s="6">
        <v>0</v>
      </c>
      <c r="F2530" s="6">
        <v>0</v>
      </c>
      <c r="G2530" s="6">
        <v>75</v>
      </c>
      <c r="H2530" s="6" t="s">
        <v>30698</v>
      </c>
      <c r="I2530" s="6">
        <v>526.6875</v>
      </c>
      <c r="J2530" s="2">
        <f t="shared" si="39"/>
        <v>43748.627034155092</v>
      </c>
    </row>
    <row r="2531" spans="1:10" x14ac:dyDescent="0.25">
      <c r="A2531" s="7" t="s">
        <v>30699</v>
      </c>
      <c r="B2531" s="8">
        <v>393.75</v>
      </c>
      <c r="C2531" s="8">
        <v>20.584240000000001</v>
      </c>
      <c r="D2531" s="8">
        <v>67</v>
      </c>
      <c r="E2531" s="8">
        <v>0</v>
      </c>
      <c r="F2531" s="8">
        <v>0</v>
      </c>
      <c r="G2531" s="8">
        <v>70</v>
      </c>
      <c r="H2531" s="8" t="s">
        <v>30700</v>
      </c>
      <c r="I2531" s="8">
        <v>526.6875</v>
      </c>
      <c r="J2531" s="3">
        <f t="shared" si="39"/>
        <v>43748.627105937492</v>
      </c>
    </row>
    <row r="2532" spans="1:10" x14ac:dyDescent="0.25">
      <c r="A2532" s="5" t="s">
        <v>30701</v>
      </c>
      <c r="B2532" s="6">
        <v>412.5</v>
      </c>
      <c r="C2532" s="6">
        <v>20.531590000000001</v>
      </c>
      <c r="D2532" s="6">
        <v>67</v>
      </c>
      <c r="E2532" s="6">
        <v>0</v>
      </c>
      <c r="F2532" s="6">
        <v>0</v>
      </c>
      <c r="G2532" s="6">
        <v>72</v>
      </c>
      <c r="H2532" s="6" t="s">
        <v>30702</v>
      </c>
      <c r="I2532" s="6">
        <v>532.3125</v>
      </c>
      <c r="J2532" s="2">
        <f t="shared" si="39"/>
        <v>43748.627189490733</v>
      </c>
    </row>
    <row r="2533" spans="1:10" x14ac:dyDescent="0.25">
      <c r="A2533" s="7" t="s">
        <v>30703</v>
      </c>
      <c r="B2533" s="8">
        <v>393.75</v>
      </c>
      <c r="C2533" s="8">
        <v>20.584240000000001</v>
      </c>
      <c r="D2533" s="8">
        <v>68</v>
      </c>
      <c r="E2533" s="8">
        <v>0</v>
      </c>
      <c r="F2533" s="8">
        <v>0</v>
      </c>
      <c r="G2533" s="8">
        <v>62</v>
      </c>
      <c r="H2533" s="8" t="s">
        <v>30704</v>
      </c>
      <c r="I2533" s="8">
        <v>526.5</v>
      </c>
      <c r="J2533" s="3">
        <f t="shared" si="39"/>
        <v>43748.627272951388</v>
      </c>
    </row>
    <row r="2534" spans="1:10" x14ac:dyDescent="0.25">
      <c r="A2534" s="5" t="s">
        <v>30705</v>
      </c>
      <c r="B2534" s="6">
        <v>393.75</v>
      </c>
      <c r="C2534" s="6">
        <v>20.531590000000001</v>
      </c>
      <c r="D2534" s="6">
        <v>68</v>
      </c>
      <c r="E2534" s="6">
        <v>0</v>
      </c>
      <c r="F2534" s="6">
        <v>0</v>
      </c>
      <c r="G2534" s="6">
        <v>64</v>
      </c>
      <c r="H2534" s="6" t="s">
        <v>30706</v>
      </c>
      <c r="I2534" s="6">
        <v>526.6875</v>
      </c>
      <c r="J2534" s="2">
        <f t="shared" si="39"/>
        <v>43748.627356377314</v>
      </c>
    </row>
    <row r="2535" spans="1:10" x14ac:dyDescent="0.25">
      <c r="A2535" s="7" t="s">
        <v>30707</v>
      </c>
      <c r="B2535" s="8">
        <v>393.75</v>
      </c>
      <c r="C2535" s="8">
        <v>20.478950000000001</v>
      </c>
      <c r="D2535" s="8">
        <v>68</v>
      </c>
      <c r="E2535" s="8">
        <v>0</v>
      </c>
      <c r="F2535" s="8">
        <v>0</v>
      </c>
      <c r="G2535" s="8">
        <v>67</v>
      </c>
      <c r="H2535" s="8" t="s">
        <v>30708</v>
      </c>
      <c r="I2535" s="8">
        <v>526.6875</v>
      </c>
      <c r="J2535" s="3">
        <f t="shared" si="39"/>
        <v>43748.627440046293</v>
      </c>
    </row>
    <row r="2536" spans="1:10" x14ac:dyDescent="0.25">
      <c r="A2536" s="5" t="s">
        <v>30709</v>
      </c>
      <c r="B2536" s="6">
        <v>393.75</v>
      </c>
      <c r="C2536" s="6">
        <v>20.584240000000001</v>
      </c>
      <c r="D2536" s="6">
        <v>69</v>
      </c>
      <c r="E2536" s="6">
        <v>0</v>
      </c>
      <c r="F2536" s="6">
        <v>0</v>
      </c>
      <c r="G2536" s="6">
        <v>65</v>
      </c>
      <c r="H2536" s="6" t="s">
        <v>30710</v>
      </c>
      <c r="I2536" s="6">
        <v>526.5</v>
      </c>
      <c r="J2536" s="2">
        <f t="shared" si="39"/>
        <v>43748.627523159717</v>
      </c>
    </row>
    <row r="2537" spans="1:10" x14ac:dyDescent="0.25">
      <c r="A2537" s="7" t="s">
        <v>30711</v>
      </c>
      <c r="B2537" s="8">
        <v>393.75</v>
      </c>
      <c r="C2537" s="8">
        <v>20.531590000000001</v>
      </c>
      <c r="D2537" s="8">
        <v>69</v>
      </c>
      <c r="E2537" s="8">
        <v>0</v>
      </c>
      <c r="F2537" s="8">
        <v>0</v>
      </c>
      <c r="G2537" s="8">
        <v>60</v>
      </c>
      <c r="H2537" s="8" t="s">
        <v>30712</v>
      </c>
      <c r="I2537" s="8">
        <v>526.6875</v>
      </c>
      <c r="J2537" s="3">
        <f t="shared" si="39"/>
        <v>43748.627594699072</v>
      </c>
    </row>
    <row r="2538" spans="1:10" x14ac:dyDescent="0.25">
      <c r="A2538" s="5" t="s">
        <v>30713</v>
      </c>
      <c r="B2538" s="6">
        <v>393.75</v>
      </c>
      <c r="C2538" s="6">
        <v>20.584240000000001</v>
      </c>
      <c r="D2538" s="6">
        <v>69</v>
      </c>
      <c r="E2538" s="6">
        <v>0</v>
      </c>
      <c r="F2538" s="6">
        <v>0</v>
      </c>
      <c r="G2538" s="6">
        <v>65</v>
      </c>
      <c r="H2538" s="6" t="s">
        <v>30714</v>
      </c>
      <c r="I2538" s="6">
        <v>526.6875</v>
      </c>
      <c r="J2538" s="2">
        <f t="shared" si="39"/>
        <v>43748.627678599536</v>
      </c>
    </row>
    <row r="2539" spans="1:10" x14ac:dyDescent="0.25">
      <c r="A2539" s="7" t="s">
        <v>30715</v>
      </c>
      <c r="B2539" s="8">
        <v>393.75</v>
      </c>
      <c r="C2539" s="8">
        <v>20.531590000000001</v>
      </c>
      <c r="D2539" s="8">
        <v>69</v>
      </c>
      <c r="E2539" s="8">
        <v>0</v>
      </c>
      <c r="F2539" s="8">
        <v>0</v>
      </c>
      <c r="G2539" s="8">
        <v>56</v>
      </c>
      <c r="H2539" s="8" t="s">
        <v>30716</v>
      </c>
      <c r="I2539" s="8">
        <v>526.5</v>
      </c>
      <c r="J2539" s="3">
        <f t="shared" si="39"/>
        <v>43748.627762094904</v>
      </c>
    </row>
    <row r="2540" spans="1:10" x14ac:dyDescent="0.25">
      <c r="A2540" s="5" t="s">
        <v>30717</v>
      </c>
      <c r="B2540" s="6">
        <v>393.75</v>
      </c>
      <c r="C2540" s="6">
        <v>20.531590000000001</v>
      </c>
      <c r="D2540" s="6">
        <v>71</v>
      </c>
      <c r="E2540" s="6">
        <v>0</v>
      </c>
      <c r="F2540" s="6">
        <v>0</v>
      </c>
      <c r="G2540" s="6">
        <v>60</v>
      </c>
      <c r="H2540" s="6" t="s">
        <v>30718</v>
      </c>
      <c r="I2540" s="6">
        <v>526.6875</v>
      </c>
      <c r="J2540" s="2">
        <f t="shared" si="39"/>
        <v>43748.627845277777</v>
      </c>
    </row>
    <row r="2541" spans="1:10" x14ac:dyDescent="0.25">
      <c r="A2541" s="7" t="s">
        <v>30719</v>
      </c>
      <c r="B2541" s="8">
        <v>393.75</v>
      </c>
      <c r="C2541" s="8">
        <v>20.531590000000001</v>
      </c>
      <c r="D2541" s="8">
        <v>71</v>
      </c>
      <c r="E2541" s="8">
        <v>0</v>
      </c>
      <c r="F2541" s="8">
        <v>0</v>
      </c>
      <c r="G2541" s="8">
        <v>64</v>
      </c>
      <c r="H2541" s="8" t="s">
        <v>30720</v>
      </c>
      <c r="I2541" s="8">
        <v>526.6875</v>
      </c>
      <c r="J2541" s="3">
        <f t="shared" si="39"/>
        <v>43748.627917037033</v>
      </c>
    </row>
    <row r="2542" spans="1:10" x14ac:dyDescent="0.25">
      <c r="A2542" s="5" t="s">
        <v>30721</v>
      </c>
      <c r="B2542" s="6">
        <v>412.5</v>
      </c>
      <c r="C2542" s="6">
        <v>20.531590000000001</v>
      </c>
      <c r="D2542" s="6">
        <v>71</v>
      </c>
      <c r="E2542" s="6">
        <v>0</v>
      </c>
      <c r="F2542" s="6">
        <v>0</v>
      </c>
      <c r="G2542" s="6">
        <v>66</v>
      </c>
      <c r="H2542" s="6" t="s">
        <v>30722</v>
      </c>
      <c r="I2542" s="6">
        <v>532.6875</v>
      </c>
      <c r="J2542" s="2">
        <f t="shared" si="39"/>
        <v>43748.628000624994</v>
      </c>
    </row>
    <row r="2543" spans="1:10" x14ac:dyDescent="0.25">
      <c r="A2543" s="7" t="s">
        <v>30723</v>
      </c>
      <c r="B2543" s="8">
        <v>393.75</v>
      </c>
      <c r="C2543" s="8">
        <v>20.531590000000001</v>
      </c>
      <c r="D2543" s="8">
        <v>73</v>
      </c>
      <c r="E2543" s="8">
        <v>0</v>
      </c>
      <c r="F2543" s="8">
        <v>0</v>
      </c>
      <c r="G2543" s="8">
        <v>62</v>
      </c>
      <c r="H2543" s="8" t="s">
        <v>30724</v>
      </c>
      <c r="I2543" s="8">
        <v>526.5</v>
      </c>
      <c r="J2543" s="3">
        <f t="shared" si="39"/>
        <v>43748.628084039352</v>
      </c>
    </row>
    <row r="2544" spans="1:10" x14ac:dyDescent="0.25">
      <c r="A2544" s="5" t="s">
        <v>30725</v>
      </c>
      <c r="B2544" s="6">
        <v>393.75</v>
      </c>
      <c r="C2544" s="6">
        <v>20.478950000000001</v>
      </c>
      <c r="D2544" s="6">
        <v>72</v>
      </c>
      <c r="E2544" s="6">
        <v>0</v>
      </c>
      <c r="F2544" s="6">
        <v>0</v>
      </c>
      <c r="G2544" s="6">
        <v>65</v>
      </c>
      <c r="H2544" s="6" t="s">
        <v>30726</v>
      </c>
      <c r="I2544" s="6">
        <v>526.6875</v>
      </c>
      <c r="J2544" s="2">
        <f t="shared" si="39"/>
        <v>43748.628155578706</v>
      </c>
    </row>
    <row r="2545" spans="1:10" x14ac:dyDescent="0.25">
      <c r="A2545" s="7" t="s">
        <v>30727</v>
      </c>
      <c r="B2545" s="8">
        <v>393.75</v>
      </c>
      <c r="C2545" s="8">
        <v>20.531590000000001</v>
      </c>
      <c r="D2545" s="8">
        <v>72</v>
      </c>
      <c r="E2545" s="8">
        <v>0</v>
      </c>
      <c r="F2545" s="8">
        <v>0</v>
      </c>
      <c r="G2545" s="8">
        <v>68</v>
      </c>
      <c r="H2545" s="8" t="s">
        <v>30728</v>
      </c>
      <c r="I2545" s="8">
        <v>526.6875</v>
      </c>
      <c r="J2545" s="3">
        <f t="shared" si="39"/>
        <v>43748.628239131947</v>
      </c>
    </row>
    <row r="2546" spans="1:10" x14ac:dyDescent="0.25">
      <c r="A2546" s="5" t="s">
        <v>30729</v>
      </c>
      <c r="B2546" s="6">
        <v>393.75</v>
      </c>
      <c r="C2546" s="6">
        <v>20.531590000000001</v>
      </c>
      <c r="D2546" s="6">
        <v>73</v>
      </c>
      <c r="E2546" s="6">
        <v>0</v>
      </c>
      <c r="F2546" s="6">
        <v>0</v>
      </c>
      <c r="G2546" s="6">
        <v>66</v>
      </c>
      <c r="H2546" s="6" t="s">
        <v>30730</v>
      </c>
      <c r="I2546" s="6">
        <v>526.5</v>
      </c>
      <c r="J2546" s="2">
        <f t="shared" si="39"/>
        <v>43748.628322604163</v>
      </c>
    </row>
    <row r="2547" spans="1:10" x14ac:dyDescent="0.25">
      <c r="A2547" s="7" t="s">
        <v>30731</v>
      </c>
      <c r="B2547" s="8">
        <v>393.75</v>
      </c>
      <c r="C2547" s="8">
        <v>20.531590000000001</v>
      </c>
      <c r="D2547" s="8">
        <v>71</v>
      </c>
      <c r="E2547" s="8">
        <v>0</v>
      </c>
      <c r="F2547" s="8">
        <v>0</v>
      </c>
      <c r="G2547" s="8">
        <v>64</v>
      </c>
      <c r="H2547" s="8" t="s">
        <v>30732</v>
      </c>
      <c r="I2547" s="8">
        <v>526.6875</v>
      </c>
      <c r="J2547" s="3">
        <f t="shared" si="39"/>
        <v>43748.628406122683</v>
      </c>
    </row>
    <row r="2548" spans="1:10" x14ac:dyDescent="0.25">
      <c r="A2548" s="5" t="s">
        <v>30733</v>
      </c>
      <c r="B2548" s="6">
        <v>393.75</v>
      </c>
      <c r="C2548" s="6">
        <v>20.478950000000001</v>
      </c>
      <c r="D2548" s="6">
        <v>71</v>
      </c>
      <c r="E2548" s="6">
        <v>0</v>
      </c>
      <c r="F2548" s="6">
        <v>0</v>
      </c>
      <c r="G2548" s="6">
        <v>68</v>
      </c>
      <c r="H2548" s="6" t="s">
        <v>30734</v>
      </c>
      <c r="I2548" s="6">
        <v>526.6875</v>
      </c>
      <c r="J2548" s="2">
        <f t="shared" si="39"/>
        <v>43748.628489733797</v>
      </c>
    </row>
    <row r="2549" spans="1:10" x14ac:dyDescent="0.25">
      <c r="A2549" s="7" t="s">
        <v>30735</v>
      </c>
      <c r="B2549" s="8">
        <v>393.75</v>
      </c>
      <c r="C2549" s="8">
        <v>20.531590000000001</v>
      </c>
      <c r="D2549" s="8">
        <v>71</v>
      </c>
      <c r="E2549" s="8">
        <v>0</v>
      </c>
      <c r="F2549" s="8">
        <v>0</v>
      </c>
      <c r="G2549" s="8">
        <v>57</v>
      </c>
      <c r="H2549" s="8" t="s">
        <v>30736</v>
      </c>
      <c r="I2549" s="8">
        <v>526.6875</v>
      </c>
      <c r="J2549" s="3">
        <f t="shared" si="39"/>
        <v>43748.62857306713</v>
      </c>
    </row>
    <row r="2550" spans="1:10" x14ac:dyDescent="0.25">
      <c r="A2550" s="5" t="s">
        <v>30737</v>
      </c>
      <c r="B2550" s="6">
        <v>393.75</v>
      </c>
      <c r="C2550" s="6">
        <v>20.531590000000001</v>
      </c>
      <c r="D2550" s="6">
        <v>69</v>
      </c>
      <c r="E2550" s="6">
        <v>0</v>
      </c>
      <c r="F2550" s="6">
        <v>0</v>
      </c>
      <c r="G2550" s="6">
        <v>71</v>
      </c>
      <c r="H2550" s="6" t="s">
        <v>30738</v>
      </c>
      <c r="I2550" s="6">
        <v>526.6875</v>
      </c>
      <c r="J2550" s="2">
        <f t="shared" si="39"/>
        <v>43748.628656400462</v>
      </c>
    </row>
    <row r="2551" spans="1:10" x14ac:dyDescent="0.25">
      <c r="A2551" s="7" t="s">
        <v>30739</v>
      </c>
      <c r="B2551" s="8">
        <v>393.75</v>
      </c>
      <c r="C2551" s="8">
        <v>20.531590000000001</v>
      </c>
      <c r="D2551" s="8">
        <v>68</v>
      </c>
      <c r="E2551" s="8">
        <v>0</v>
      </c>
      <c r="F2551" s="8">
        <v>0</v>
      </c>
      <c r="G2551" s="8">
        <v>70</v>
      </c>
      <c r="H2551" s="8" t="s">
        <v>30740</v>
      </c>
      <c r="I2551" s="8">
        <v>526.6875</v>
      </c>
      <c r="J2551" s="3">
        <f t="shared" si="39"/>
        <v>43748.628740069442</v>
      </c>
    </row>
    <row r="2552" spans="1:10" x14ac:dyDescent="0.25">
      <c r="A2552" s="5" t="s">
        <v>30741</v>
      </c>
      <c r="B2552" s="6">
        <v>393.75</v>
      </c>
      <c r="C2552" s="6">
        <v>20.531590000000001</v>
      </c>
      <c r="D2552" s="6">
        <v>66</v>
      </c>
      <c r="E2552" s="6">
        <v>0</v>
      </c>
      <c r="F2552" s="6">
        <v>0</v>
      </c>
      <c r="G2552" s="6">
        <v>64</v>
      </c>
      <c r="H2552" s="6" t="s">
        <v>30742</v>
      </c>
      <c r="I2552" s="6">
        <v>526.6875</v>
      </c>
      <c r="J2552" s="2">
        <f t="shared" si="39"/>
        <v>43748.628837349534</v>
      </c>
    </row>
    <row r="2553" spans="1:10" x14ac:dyDescent="0.25">
      <c r="A2553" s="7" t="s">
        <v>30743</v>
      </c>
      <c r="B2553" s="8">
        <v>421.875</v>
      </c>
      <c r="C2553" s="8">
        <v>20.531590000000001</v>
      </c>
      <c r="D2553" s="8">
        <v>66</v>
      </c>
      <c r="E2553" s="8">
        <v>0</v>
      </c>
      <c r="F2553" s="8">
        <v>0</v>
      </c>
      <c r="G2553" s="8">
        <v>59</v>
      </c>
      <c r="H2553" s="8" t="s">
        <v>30744</v>
      </c>
      <c r="I2553" s="8">
        <v>535.125</v>
      </c>
      <c r="J2553" s="3">
        <f t="shared" si="39"/>
        <v>43748.628930636572</v>
      </c>
    </row>
    <row r="2554" spans="1:10" x14ac:dyDescent="0.25">
      <c r="A2554" s="5" t="s">
        <v>30745</v>
      </c>
      <c r="B2554" s="6">
        <v>393.75</v>
      </c>
      <c r="C2554" s="6">
        <v>20.531590000000001</v>
      </c>
      <c r="D2554" s="6">
        <v>66</v>
      </c>
      <c r="E2554" s="6">
        <v>0</v>
      </c>
      <c r="F2554" s="6">
        <v>0</v>
      </c>
      <c r="G2554" s="6">
        <v>70</v>
      </c>
      <c r="H2554" s="6" t="s">
        <v>30746</v>
      </c>
      <c r="I2554" s="6">
        <v>526.6875</v>
      </c>
      <c r="J2554" s="2">
        <f t="shared" si="39"/>
        <v>43748.629002175927</v>
      </c>
    </row>
    <row r="2555" spans="1:10" x14ac:dyDescent="0.25">
      <c r="A2555" s="7" t="s">
        <v>30747</v>
      </c>
      <c r="B2555" s="8">
        <v>393.75</v>
      </c>
      <c r="C2555" s="8">
        <v>20.584240000000001</v>
      </c>
      <c r="D2555" s="8">
        <v>68</v>
      </c>
      <c r="E2555" s="8">
        <v>0</v>
      </c>
      <c r="F2555" s="8">
        <v>0</v>
      </c>
      <c r="G2555" s="8">
        <v>62</v>
      </c>
      <c r="H2555" s="8" t="s">
        <v>30748</v>
      </c>
      <c r="I2555" s="8">
        <v>526.6875</v>
      </c>
      <c r="J2555" s="3">
        <f t="shared" si="39"/>
        <v>43748.629086180554</v>
      </c>
    </row>
    <row r="2556" spans="1:10" x14ac:dyDescent="0.25">
      <c r="A2556" s="5" t="s">
        <v>30749</v>
      </c>
      <c r="B2556" s="6">
        <v>412.5</v>
      </c>
      <c r="C2556" s="6">
        <v>20.478950000000001</v>
      </c>
      <c r="D2556" s="6">
        <v>68</v>
      </c>
      <c r="E2556" s="6">
        <v>0</v>
      </c>
      <c r="F2556" s="6">
        <v>0</v>
      </c>
      <c r="G2556" s="6">
        <v>72</v>
      </c>
      <c r="H2556" s="6" t="s">
        <v>30750</v>
      </c>
      <c r="I2556" s="6">
        <v>532.3125</v>
      </c>
      <c r="J2556" s="2">
        <f t="shared" si="39"/>
        <v>43748.629169409724</v>
      </c>
    </row>
    <row r="2557" spans="1:10" x14ac:dyDescent="0.25">
      <c r="A2557" s="7" t="s">
        <v>30751</v>
      </c>
      <c r="B2557" s="8">
        <v>393.75</v>
      </c>
      <c r="C2557" s="8">
        <v>20.531590000000001</v>
      </c>
      <c r="D2557" s="8">
        <v>68</v>
      </c>
      <c r="E2557" s="8">
        <v>0</v>
      </c>
      <c r="F2557" s="8">
        <v>0</v>
      </c>
      <c r="G2557" s="8">
        <v>68</v>
      </c>
      <c r="H2557" s="8" t="s">
        <v>30752</v>
      </c>
      <c r="I2557" s="8">
        <v>526.6875</v>
      </c>
      <c r="J2557" s="3">
        <f t="shared" si="39"/>
        <v>43748.629252870371</v>
      </c>
    </row>
    <row r="2558" spans="1:10" x14ac:dyDescent="0.25">
      <c r="A2558" s="5" t="s">
        <v>30753</v>
      </c>
      <c r="B2558" s="6">
        <v>393.75</v>
      </c>
      <c r="C2558" s="6">
        <v>20.531590000000001</v>
      </c>
      <c r="D2558" s="6">
        <v>68</v>
      </c>
      <c r="E2558" s="6">
        <v>0</v>
      </c>
      <c r="F2558" s="6">
        <v>0</v>
      </c>
      <c r="G2558" s="6">
        <v>63</v>
      </c>
      <c r="H2558" s="6" t="s">
        <v>30754</v>
      </c>
      <c r="I2558" s="6">
        <v>526.6875</v>
      </c>
      <c r="J2558" s="2">
        <f t="shared" si="39"/>
        <v>43748.629324374997</v>
      </c>
    </row>
    <row r="2559" spans="1:10" x14ac:dyDescent="0.25">
      <c r="A2559" s="7" t="s">
        <v>30755</v>
      </c>
      <c r="B2559" s="8">
        <v>393.75</v>
      </c>
      <c r="C2559" s="8">
        <v>20.531590000000001</v>
      </c>
      <c r="D2559" s="8">
        <v>69</v>
      </c>
      <c r="E2559" s="8">
        <v>0</v>
      </c>
      <c r="F2559" s="8">
        <v>0</v>
      </c>
      <c r="G2559" s="8">
        <v>66</v>
      </c>
      <c r="H2559" s="8" t="s">
        <v>30756</v>
      </c>
      <c r="I2559" s="8">
        <v>526.6875</v>
      </c>
      <c r="J2559" s="3">
        <f t="shared" si="39"/>
        <v>43748.629419641198</v>
      </c>
    </row>
    <row r="2560" spans="1:10" x14ac:dyDescent="0.25">
      <c r="A2560" s="5" t="s">
        <v>30757</v>
      </c>
      <c r="B2560" s="6">
        <v>393.75</v>
      </c>
      <c r="C2560" s="6">
        <v>20.478950000000001</v>
      </c>
      <c r="D2560" s="6">
        <v>69</v>
      </c>
      <c r="E2560" s="6">
        <v>0</v>
      </c>
      <c r="F2560" s="6">
        <v>0</v>
      </c>
      <c r="G2560" s="6">
        <v>71</v>
      </c>
      <c r="H2560" s="6" t="s">
        <v>30758</v>
      </c>
      <c r="I2560" s="6">
        <v>526.875</v>
      </c>
      <c r="J2560" s="2">
        <f t="shared" si="39"/>
        <v>43748.629491168984</v>
      </c>
    </row>
    <row r="2561" spans="1:10" x14ac:dyDescent="0.25">
      <c r="A2561" s="7" t="s">
        <v>30759</v>
      </c>
      <c r="B2561" s="8">
        <v>412.5</v>
      </c>
      <c r="C2561" s="8">
        <v>20.531590000000001</v>
      </c>
      <c r="D2561" s="8">
        <v>68</v>
      </c>
      <c r="E2561" s="8">
        <v>0</v>
      </c>
      <c r="F2561" s="8">
        <v>0</v>
      </c>
      <c r="G2561" s="8">
        <v>62</v>
      </c>
      <c r="H2561" s="8" t="s">
        <v>30760</v>
      </c>
      <c r="I2561" s="8">
        <v>532.3125</v>
      </c>
      <c r="J2561" s="3">
        <f t="shared" si="39"/>
        <v>43748.629574965271</v>
      </c>
    </row>
    <row r="2562" spans="1:10" x14ac:dyDescent="0.25">
      <c r="A2562" s="5" t="s">
        <v>30761</v>
      </c>
      <c r="B2562" s="6">
        <v>393.75</v>
      </c>
      <c r="C2562" s="6">
        <v>20.584240000000001</v>
      </c>
      <c r="D2562" s="6">
        <v>68</v>
      </c>
      <c r="E2562" s="6">
        <v>0</v>
      </c>
      <c r="F2562" s="6">
        <v>0</v>
      </c>
      <c r="G2562" s="6">
        <v>61</v>
      </c>
      <c r="H2562" s="6" t="s">
        <v>30762</v>
      </c>
      <c r="I2562" s="6">
        <v>526.6875</v>
      </c>
      <c r="J2562" s="2">
        <f t="shared" ref="J2562:J2625" si="40">(H2562/86400000)+25569+(7/24)</f>
        <v>43748.629658460646</v>
      </c>
    </row>
    <row r="2563" spans="1:10" x14ac:dyDescent="0.25">
      <c r="A2563" s="7" t="s">
        <v>30763</v>
      </c>
      <c r="B2563" s="8">
        <v>393.75</v>
      </c>
      <c r="C2563" s="8">
        <v>20.584240000000001</v>
      </c>
      <c r="D2563" s="8">
        <v>69</v>
      </c>
      <c r="E2563" s="8">
        <v>0</v>
      </c>
      <c r="F2563" s="8">
        <v>0</v>
      </c>
      <c r="G2563" s="8">
        <v>70</v>
      </c>
      <c r="H2563" s="8" t="s">
        <v>30764</v>
      </c>
      <c r="I2563" s="8">
        <v>526.6875</v>
      </c>
      <c r="J2563" s="3">
        <f t="shared" si="40"/>
        <v>43748.629741655088</v>
      </c>
    </row>
    <row r="2564" spans="1:10" x14ac:dyDescent="0.25">
      <c r="A2564" s="5" t="s">
        <v>30765</v>
      </c>
      <c r="B2564" s="6">
        <v>393.75</v>
      </c>
      <c r="C2564" s="6">
        <v>20.531590000000001</v>
      </c>
      <c r="D2564" s="6">
        <v>69</v>
      </c>
      <c r="E2564" s="6">
        <v>0</v>
      </c>
      <c r="F2564" s="6">
        <v>0</v>
      </c>
      <c r="G2564" s="6">
        <v>61</v>
      </c>
      <c r="H2564" s="6" t="s">
        <v>30766</v>
      </c>
      <c r="I2564" s="6">
        <v>526.6875</v>
      </c>
      <c r="J2564" s="2">
        <f t="shared" si="40"/>
        <v>43748.629825439813</v>
      </c>
    </row>
    <row r="2565" spans="1:10" x14ac:dyDescent="0.25">
      <c r="A2565" s="7" t="s">
        <v>30767</v>
      </c>
      <c r="B2565" s="8">
        <v>393.75</v>
      </c>
      <c r="C2565" s="8">
        <v>20.531590000000001</v>
      </c>
      <c r="D2565" s="8">
        <v>68</v>
      </c>
      <c r="E2565" s="8">
        <v>0</v>
      </c>
      <c r="F2565" s="8">
        <v>0</v>
      </c>
      <c r="G2565" s="8">
        <v>70</v>
      </c>
      <c r="H2565" s="8" t="s">
        <v>30768</v>
      </c>
      <c r="I2565" s="8">
        <v>526.5</v>
      </c>
      <c r="J2565" s="3">
        <f t="shared" si="40"/>
        <v>43748.629908553237</v>
      </c>
    </row>
    <row r="2566" spans="1:10" x14ac:dyDescent="0.25">
      <c r="A2566" s="5" t="s">
        <v>30769</v>
      </c>
      <c r="B2566" s="6">
        <v>393.75</v>
      </c>
      <c r="C2566" s="6">
        <v>20.584240000000001</v>
      </c>
      <c r="D2566" s="6">
        <v>67</v>
      </c>
      <c r="E2566" s="6">
        <v>0</v>
      </c>
      <c r="F2566" s="6">
        <v>0</v>
      </c>
      <c r="G2566" s="6">
        <v>66</v>
      </c>
      <c r="H2566" s="6" t="s">
        <v>30770</v>
      </c>
      <c r="I2566" s="6">
        <v>526.6875</v>
      </c>
      <c r="J2566" s="2">
        <f t="shared" si="40"/>
        <v>43748.629980439808</v>
      </c>
    </row>
    <row r="2567" spans="1:10" x14ac:dyDescent="0.25">
      <c r="A2567" s="7" t="s">
        <v>30771</v>
      </c>
      <c r="B2567" s="8">
        <v>393.75</v>
      </c>
      <c r="C2567" s="8">
        <v>20.478950000000001</v>
      </c>
      <c r="D2567" s="8">
        <v>67</v>
      </c>
      <c r="E2567" s="8">
        <v>0</v>
      </c>
      <c r="F2567" s="8">
        <v>0</v>
      </c>
      <c r="G2567" s="8">
        <v>72</v>
      </c>
      <c r="H2567" s="8" t="s">
        <v>30772</v>
      </c>
      <c r="I2567" s="8">
        <v>526.6875</v>
      </c>
      <c r="J2567" s="3">
        <f t="shared" si="40"/>
        <v>43748.630068032406</v>
      </c>
    </row>
    <row r="2568" spans="1:10" x14ac:dyDescent="0.25">
      <c r="A2568" s="5" t="s">
        <v>30773</v>
      </c>
      <c r="B2568" s="6">
        <v>393.75</v>
      </c>
      <c r="C2568" s="6">
        <v>20.478950000000001</v>
      </c>
      <c r="D2568" s="6">
        <v>67</v>
      </c>
      <c r="E2568" s="6">
        <v>0</v>
      </c>
      <c r="F2568" s="6">
        <v>0</v>
      </c>
      <c r="G2568" s="6">
        <v>68</v>
      </c>
      <c r="H2568" s="6" t="s">
        <v>30774</v>
      </c>
      <c r="I2568" s="6">
        <v>526.6875</v>
      </c>
      <c r="J2568" s="2">
        <f t="shared" si="40"/>
        <v>43748.630147222219</v>
      </c>
    </row>
    <row r="2569" spans="1:10" x14ac:dyDescent="0.25">
      <c r="A2569" s="7" t="s">
        <v>30775</v>
      </c>
      <c r="B2569" s="8">
        <v>393.75</v>
      </c>
      <c r="C2569" s="8">
        <v>20.584240000000001</v>
      </c>
      <c r="D2569" s="8">
        <v>67</v>
      </c>
      <c r="E2569" s="8">
        <v>0</v>
      </c>
      <c r="F2569" s="8">
        <v>0</v>
      </c>
      <c r="G2569" s="8">
        <v>68</v>
      </c>
      <c r="H2569" s="8" t="s">
        <v>30776</v>
      </c>
      <c r="I2569" s="8">
        <v>526.6875</v>
      </c>
      <c r="J2569" s="3">
        <f t="shared" si="40"/>
        <v>43748.630230543982</v>
      </c>
    </row>
    <row r="2570" spans="1:10" x14ac:dyDescent="0.25">
      <c r="A2570" s="5" t="s">
        <v>30777</v>
      </c>
      <c r="B2570" s="6">
        <v>393.75</v>
      </c>
      <c r="C2570" s="6">
        <v>20.531590000000001</v>
      </c>
      <c r="D2570" s="6">
        <v>67</v>
      </c>
      <c r="E2570" s="6">
        <v>0</v>
      </c>
      <c r="F2570" s="6">
        <v>0</v>
      </c>
      <c r="G2570" s="6">
        <v>66</v>
      </c>
      <c r="H2570" s="6" t="s">
        <v>30778</v>
      </c>
      <c r="I2570" s="6">
        <v>526.6875</v>
      </c>
      <c r="J2570" s="2">
        <f t="shared" si="40"/>
        <v>43748.630302314814</v>
      </c>
    </row>
    <row r="2571" spans="1:10" x14ac:dyDescent="0.25">
      <c r="A2571" s="7" t="s">
        <v>30779</v>
      </c>
      <c r="B2571" s="8">
        <v>415.625</v>
      </c>
      <c r="C2571" s="8">
        <v>20.584240000000001</v>
      </c>
      <c r="D2571" s="8">
        <v>69</v>
      </c>
      <c r="E2571" s="8">
        <v>0</v>
      </c>
      <c r="F2571" s="8">
        <v>0</v>
      </c>
      <c r="G2571" s="8">
        <v>52</v>
      </c>
      <c r="H2571" s="8" t="s">
        <v>30780</v>
      </c>
      <c r="I2571" s="8">
        <v>533.0625</v>
      </c>
      <c r="J2571" s="3">
        <f t="shared" si="40"/>
        <v>43748.630386099532</v>
      </c>
    </row>
    <row r="2572" spans="1:10" x14ac:dyDescent="0.25">
      <c r="A2572" s="5" t="s">
        <v>30781</v>
      </c>
      <c r="B2572" s="6">
        <v>393.75</v>
      </c>
      <c r="C2572" s="6">
        <v>20.584240000000001</v>
      </c>
      <c r="D2572" s="6">
        <v>68</v>
      </c>
      <c r="E2572" s="6">
        <v>0</v>
      </c>
      <c r="F2572" s="6">
        <v>0</v>
      </c>
      <c r="G2572" s="6">
        <v>66</v>
      </c>
      <c r="H2572" s="6" t="s">
        <v>30782</v>
      </c>
      <c r="I2572" s="6">
        <v>526.6875</v>
      </c>
      <c r="J2572" s="2">
        <f t="shared" si="40"/>
        <v>43748.630469444441</v>
      </c>
    </row>
    <row r="2573" spans="1:10" x14ac:dyDescent="0.25">
      <c r="A2573" s="7" t="s">
        <v>30783</v>
      </c>
      <c r="B2573" s="8">
        <v>393.75</v>
      </c>
      <c r="C2573" s="8">
        <v>20.531590000000001</v>
      </c>
      <c r="D2573" s="8">
        <v>68</v>
      </c>
      <c r="E2573" s="8">
        <v>0</v>
      </c>
      <c r="F2573" s="8">
        <v>0</v>
      </c>
      <c r="G2573" s="8">
        <v>70</v>
      </c>
      <c r="H2573" s="8" t="s">
        <v>30784</v>
      </c>
      <c r="I2573" s="8">
        <v>526.6875</v>
      </c>
      <c r="J2573" s="3">
        <f t="shared" si="40"/>
        <v>43748.630552870367</v>
      </c>
    </row>
    <row r="2574" spans="1:10" x14ac:dyDescent="0.25">
      <c r="A2574" s="5" t="s">
        <v>30785</v>
      </c>
      <c r="B2574" s="6">
        <v>393.75</v>
      </c>
      <c r="C2574" s="6">
        <v>20.531590000000001</v>
      </c>
      <c r="D2574" s="6">
        <v>68</v>
      </c>
      <c r="E2574" s="6">
        <v>0</v>
      </c>
      <c r="F2574" s="6">
        <v>0</v>
      </c>
      <c r="G2574" s="6">
        <v>67</v>
      </c>
      <c r="H2574" s="6" t="s">
        <v>30786</v>
      </c>
      <c r="I2574" s="6">
        <v>526.6875</v>
      </c>
      <c r="J2574" s="2">
        <f t="shared" si="40"/>
        <v>43748.63062452546</v>
      </c>
    </row>
    <row r="2575" spans="1:10" x14ac:dyDescent="0.25">
      <c r="A2575" s="7" t="s">
        <v>30787</v>
      </c>
      <c r="B2575" s="8">
        <v>393.75</v>
      </c>
      <c r="C2575" s="8">
        <v>20.584240000000001</v>
      </c>
      <c r="D2575" s="8">
        <v>66</v>
      </c>
      <c r="E2575" s="8">
        <v>0</v>
      </c>
      <c r="F2575" s="8">
        <v>0</v>
      </c>
      <c r="G2575" s="8">
        <v>64</v>
      </c>
      <c r="H2575" s="8" t="s">
        <v>30788</v>
      </c>
      <c r="I2575" s="8">
        <v>526.6875</v>
      </c>
      <c r="J2575" s="3">
        <f t="shared" si="40"/>
        <v>43748.630708078701</v>
      </c>
    </row>
    <row r="2576" spans="1:10" x14ac:dyDescent="0.25">
      <c r="A2576" s="5" t="s">
        <v>30789</v>
      </c>
      <c r="B2576" s="6">
        <v>415.625</v>
      </c>
      <c r="C2576" s="6">
        <v>20.531590000000001</v>
      </c>
      <c r="D2576" s="6">
        <v>66</v>
      </c>
      <c r="E2576" s="6">
        <v>0</v>
      </c>
      <c r="F2576" s="6">
        <v>0</v>
      </c>
      <c r="G2576" s="6">
        <v>64</v>
      </c>
      <c r="H2576" s="6" t="s">
        <v>30790</v>
      </c>
      <c r="I2576" s="6">
        <v>533.0625</v>
      </c>
      <c r="J2576" s="2">
        <f t="shared" si="40"/>
        <v>43748.630791412033</v>
      </c>
    </row>
    <row r="2577" spans="1:10" x14ac:dyDescent="0.25">
      <c r="A2577" s="7" t="s">
        <v>30791</v>
      </c>
      <c r="B2577" s="8">
        <v>393.75</v>
      </c>
      <c r="C2577" s="8">
        <v>20.584240000000001</v>
      </c>
      <c r="D2577" s="8">
        <v>66</v>
      </c>
      <c r="E2577" s="8">
        <v>0</v>
      </c>
      <c r="F2577" s="8">
        <v>0</v>
      </c>
      <c r="G2577" s="8">
        <v>61</v>
      </c>
      <c r="H2577" s="8" t="s">
        <v>30792</v>
      </c>
      <c r="I2577" s="8">
        <v>526.6875</v>
      </c>
      <c r="J2577" s="3">
        <f t="shared" si="40"/>
        <v>43748.630886793981</v>
      </c>
    </row>
    <row r="2578" spans="1:10" x14ac:dyDescent="0.25">
      <c r="A2578" s="5" t="s">
        <v>30793</v>
      </c>
      <c r="B2578" s="6">
        <v>415.625</v>
      </c>
      <c r="C2578" s="6">
        <v>20.531590000000001</v>
      </c>
      <c r="D2578" s="6">
        <v>66</v>
      </c>
      <c r="E2578" s="6">
        <v>0</v>
      </c>
      <c r="F2578" s="6">
        <v>0</v>
      </c>
      <c r="G2578" s="6">
        <v>67</v>
      </c>
      <c r="H2578" s="6" t="s">
        <v>30794</v>
      </c>
      <c r="I2578" s="6">
        <v>533.8125</v>
      </c>
      <c r="J2578" s="2">
        <f t="shared" si="40"/>
        <v>43748.630958437498</v>
      </c>
    </row>
    <row r="2579" spans="1:10" x14ac:dyDescent="0.25">
      <c r="A2579" s="7" t="s">
        <v>30795</v>
      </c>
      <c r="B2579" s="8">
        <v>393.75</v>
      </c>
      <c r="C2579" s="8">
        <v>20.531590000000001</v>
      </c>
      <c r="D2579" s="8">
        <v>67</v>
      </c>
      <c r="E2579" s="8">
        <v>0</v>
      </c>
      <c r="F2579" s="8">
        <v>0</v>
      </c>
      <c r="G2579" s="8">
        <v>68</v>
      </c>
      <c r="H2579" s="8" t="s">
        <v>30796</v>
      </c>
      <c r="I2579" s="8">
        <v>526.6875</v>
      </c>
      <c r="J2579" s="3">
        <f t="shared" si="40"/>
        <v>43748.631041655091</v>
      </c>
    </row>
    <row r="2580" spans="1:10" x14ac:dyDescent="0.25">
      <c r="A2580" s="5" t="s">
        <v>30797</v>
      </c>
      <c r="B2580" s="6">
        <v>393.75</v>
      </c>
      <c r="C2580" s="6">
        <v>20.531590000000001</v>
      </c>
      <c r="D2580" s="6">
        <v>67</v>
      </c>
      <c r="E2580" s="6">
        <v>0</v>
      </c>
      <c r="F2580" s="6">
        <v>0</v>
      </c>
      <c r="G2580" s="6">
        <v>68</v>
      </c>
      <c r="H2580" s="6" t="s">
        <v>30798</v>
      </c>
      <c r="I2580" s="6">
        <v>526.6875</v>
      </c>
      <c r="J2580" s="2">
        <f t="shared" si="40"/>
        <v>43748.631113414354</v>
      </c>
    </row>
    <row r="2581" spans="1:10" x14ac:dyDescent="0.25">
      <c r="A2581" s="7" t="s">
        <v>30799</v>
      </c>
      <c r="B2581" s="8">
        <v>393.75</v>
      </c>
      <c r="C2581" s="8">
        <v>20.531590000000001</v>
      </c>
      <c r="D2581" s="8">
        <v>67</v>
      </c>
      <c r="E2581" s="8">
        <v>0</v>
      </c>
      <c r="F2581" s="8">
        <v>0</v>
      </c>
      <c r="G2581" s="8">
        <v>68</v>
      </c>
      <c r="H2581" s="8" t="s">
        <v>30800</v>
      </c>
      <c r="I2581" s="8">
        <v>526.6875</v>
      </c>
      <c r="J2581" s="3">
        <f t="shared" si="40"/>
        <v>43748.631197164352</v>
      </c>
    </row>
    <row r="2582" spans="1:10" x14ac:dyDescent="0.25">
      <c r="A2582" s="5" t="s">
        <v>30801</v>
      </c>
      <c r="B2582" s="6">
        <v>393.75</v>
      </c>
      <c r="C2582" s="6">
        <v>20.531590000000001</v>
      </c>
      <c r="D2582" s="6">
        <v>67</v>
      </c>
      <c r="E2582" s="6">
        <v>0</v>
      </c>
      <c r="F2582" s="6">
        <v>0</v>
      </c>
      <c r="G2582" s="6">
        <v>65</v>
      </c>
      <c r="H2582" s="6" t="s">
        <v>30802</v>
      </c>
      <c r="I2582" s="6">
        <v>526.6875</v>
      </c>
      <c r="J2582" s="2">
        <f t="shared" si="40"/>
        <v>43748.631280532405</v>
      </c>
    </row>
    <row r="2583" spans="1:10" x14ac:dyDescent="0.25">
      <c r="A2583" s="7" t="s">
        <v>30803</v>
      </c>
      <c r="B2583" s="8">
        <v>393.75</v>
      </c>
      <c r="C2583" s="8">
        <v>20.531590000000001</v>
      </c>
      <c r="D2583" s="8">
        <v>67</v>
      </c>
      <c r="E2583" s="8">
        <v>0</v>
      </c>
      <c r="F2583" s="8">
        <v>0</v>
      </c>
      <c r="G2583" s="8">
        <v>69</v>
      </c>
      <c r="H2583" s="8" t="s">
        <v>30804</v>
      </c>
      <c r="I2583" s="8">
        <v>526.6875</v>
      </c>
      <c r="J2583" s="3">
        <f t="shared" si="40"/>
        <v>43748.631363877314</v>
      </c>
    </row>
    <row r="2584" spans="1:10" x14ac:dyDescent="0.25">
      <c r="A2584" s="5" t="s">
        <v>30805</v>
      </c>
      <c r="B2584" s="6">
        <v>393.75</v>
      </c>
      <c r="C2584" s="6">
        <v>20.584240000000001</v>
      </c>
      <c r="D2584" s="6">
        <v>67</v>
      </c>
      <c r="E2584" s="6">
        <v>0</v>
      </c>
      <c r="F2584" s="6">
        <v>0</v>
      </c>
      <c r="G2584" s="6">
        <v>69</v>
      </c>
      <c r="H2584" s="6" t="s">
        <v>30806</v>
      </c>
      <c r="I2584" s="6">
        <v>526.6875</v>
      </c>
      <c r="J2584" s="2">
        <f t="shared" si="40"/>
        <v>43748.631447685184</v>
      </c>
    </row>
    <row r="2585" spans="1:10" x14ac:dyDescent="0.25">
      <c r="A2585" s="7" t="s">
        <v>30807</v>
      </c>
      <c r="B2585" s="8">
        <v>393.75</v>
      </c>
      <c r="C2585" s="8">
        <v>20.531590000000001</v>
      </c>
      <c r="D2585" s="8">
        <v>66</v>
      </c>
      <c r="E2585" s="8">
        <v>0</v>
      </c>
      <c r="F2585" s="8">
        <v>0</v>
      </c>
      <c r="G2585" s="8">
        <v>69</v>
      </c>
      <c r="H2585" s="8" t="s">
        <v>30808</v>
      </c>
      <c r="I2585" s="8">
        <v>526.6875</v>
      </c>
      <c r="J2585" s="3">
        <f t="shared" si="40"/>
        <v>43748.631530659717</v>
      </c>
    </row>
    <row r="2586" spans="1:10" x14ac:dyDescent="0.25">
      <c r="A2586" s="5" t="s">
        <v>30809</v>
      </c>
      <c r="B2586" s="6">
        <v>393.75</v>
      </c>
      <c r="C2586" s="6">
        <v>20.531590000000001</v>
      </c>
      <c r="D2586" s="6">
        <v>68</v>
      </c>
      <c r="E2586" s="6">
        <v>0</v>
      </c>
      <c r="F2586" s="6">
        <v>0</v>
      </c>
      <c r="G2586" s="6">
        <v>71</v>
      </c>
      <c r="H2586" s="6" t="s">
        <v>30810</v>
      </c>
      <c r="I2586" s="6">
        <v>526.6875</v>
      </c>
      <c r="J2586" s="2">
        <f t="shared" si="40"/>
        <v>43748.631626319439</v>
      </c>
    </row>
    <row r="2587" spans="1:10" x14ac:dyDescent="0.25">
      <c r="A2587" s="7" t="s">
        <v>30811</v>
      </c>
      <c r="B2587" s="8">
        <v>393.75</v>
      </c>
      <c r="C2587" s="8">
        <v>20.531590000000001</v>
      </c>
      <c r="D2587" s="8">
        <v>68</v>
      </c>
      <c r="E2587" s="8">
        <v>0</v>
      </c>
      <c r="F2587" s="8">
        <v>0</v>
      </c>
      <c r="G2587" s="8">
        <v>67</v>
      </c>
      <c r="H2587" s="8" t="s">
        <v>30812</v>
      </c>
      <c r="I2587" s="8">
        <v>526.6875</v>
      </c>
      <c r="J2587" s="3">
        <f t="shared" si="40"/>
        <v>43748.631709745365</v>
      </c>
    </row>
    <row r="2588" spans="1:10" x14ac:dyDescent="0.25">
      <c r="A2588" s="5" t="s">
        <v>30813</v>
      </c>
      <c r="B2588" s="6">
        <v>393.75</v>
      </c>
      <c r="C2588" s="6">
        <v>20.478950000000001</v>
      </c>
      <c r="D2588" s="6">
        <v>67</v>
      </c>
      <c r="E2588" s="6">
        <v>0</v>
      </c>
      <c r="F2588" s="6">
        <v>0</v>
      </c>
      <c r="G2588" s="6">
        <v>68</v>
      </c>
      <c r="H2588" s="6" t="s">
        <v>30814</v>
      </c>
      <c r="I2588" s="6">
        <v>526.6875</v>
      </c>
      <c r="J2588" s="2">
        <f t="shared" si="40"/>
        <v>43748.631793449073</v>
      </c>
    </row>
    <row r="2589" spans="1:10" x14ac:dyDescent="0.25">
      <c r="A2589" s="7" t="s">
        <v>30815</v>
      </c>
      <c r="B2589" s="8">
        <v>393.75</v>
      </c>
      <c r="C2589" s="8">
        <v>20.531590000000001</v>
      </c>
      <c r="D2589" s="8">
        <v>68</v>
      </c>
      <c r="E2589" s="8">
        <v>0</v>
      </c>
      <c r="F2589" s="8">
        <v>0</v>
      </c>
      <c r="G2589" s="8">
        <v>58</v>
      </c>
      <c r="H2589" s="8" t="s">
        <v>30816</v>
      </c>
      <c r="I2589" s="8">
        <v>526.6875</v>
      </c>
      <c r="J2589" s="3">
        <f t="shared" si="40"/>
        <v>43748.631876770836</v>
      </c>
    </row>
    <row r="2590" spans="1:10" x14ac:dyDescent="0.25">
      <c r="A2590" s="5" t="s">
        <v>30817</v>
      </c>
      <c r="B2590" s="6">
        <v>412.5</v>
      </c>
      <c r="C2590" s="6">
        <v>20.531590000000001</v>
      </c>
      <c r="D2590" s="6">
        <v>68</v>
      </c>
      <c r="E2590" s="6">
        <v>0</v>
      </c>
      <c r="F2590" s="6">
        <v>0</v>
      </c>
      <c r="G2590" s="6">
        <v>70</v>
      </c>
      <c r="H2590" s="6" t="s">
        <v>30818</v>
      </c>
      <c r="I2590" s="6">
        <v>532.3125</v>
      </c>
      <c r="J2590" s="2">
        <f t="shared" si="40"/>
        <v>43748.631960127314</v>
      </c>
    </row>
    <row r="2591" spans="1:10" x14ac:dyDescent="0.25">
      <c r="A2591" s="7" t="s">
        <v>30819</v>
      </c>
      <c r="B2591" s="8">
        <v>393.75</v>
      </c>
      <c r="C2591" s="8">
        <v>20.531590000000001</v>
      </c>
      <c r="D2591" s="8">
        <v>68</v>
      </c>
      <c r="E2591" s="8">
        <v>0</v>
      </c>
      <c r="F2591" s="8">
        <v>0</v>
      </c>
      <c r="G2591" s="8">
        <v>66</v>
      </c>
      <c r="H2591" s="8" t="s">
        <v>30820</v>
      </c>
      <c r="I2591" s="8">
        <v>526.5</v>
      </c>
      <c r="J2591" s="3">
        <f t="shared" si="40"/>
        <v>43748.632043692131</v>
      </c>
    </row>
    <row r="2592" spans="1:10" x14ac:dyDescent="0.25">
      <c r="A2592" s="5" t="s">
        <v>30821</v>
      </c>
      <c r="B2592" s="6">
        <v>393.75</v>
      </c>
      <c r="C2592" s="6">
        <v>20.531590000000001</v>
      </c>
      <c r="D2592" s="6">
        <v>68</v>
      </c>
      <c r="E2592" s="6">
        <v>0</v>
      </c>
      <c r="F2592" s="6">
        <v>0</v>
      </c>
      <c r="G2592" s="6">
        <v>73</v>
      </c>
      <c r="H2592" s="6" t="s">
        <v>30822</v>
      </c>
      <c r="I2592" s="6">
        <v>526.6875</v>
      </c>
      <c r="J2592" s="2">
        <f t="shared" si="40"/>
        <v>43748.632127013887</v>
      </c>
    </row>
    <row r="2593" spans="1:10" x14ac:dyDescent="0.25">
      <c r="A2593" s="7" t="s">
        <v>30823</v>
      </c>
      <c r="B2593" s="8">
        <v>393.75</v>
      </c>
      <c r="C2593" s="8">
        <v>20.584240000000001</v>
      </c>
      <c r="D2593" s="8">
        <v>68</v>
      </c>
      <c r="E2593" s="8">
        <v>0</v>
      </c>
      <c r="F2593" s="8">
        <v>0</v>
      </c>
      <c r="G2593" s="8">
        <v>77</v>
      </c>
      <c r="H2593" s="8" t="s">
        <v>30824</v>
      </c>
      <c r="I2593" s="8">
        <v>526.6875</v>
      </c>
      <c r="J2593" s="3">
        <f t="shared" si="40"/>
        <v>43748.632198541665</v>
      </c>
    </row>
    <row r="2594" spans="1:10" x14ac:dyDescent="0.25">
      <c r="A2594" s="5" t="s">
        <v>30825</v>
      </c>
      <c r="B2594" s="6">
        <v>393.75</v>
      </c>
      <c r="C2594" s="6">
        <v>20.531590000000001</v>
      </c>
      <c r="D2594" s="6">
        <v>67</v>
      </c>
      <c r="E2594" s="6">
        <v>0</v>
      </c>
      <c r="F2594" s="6">
        <v>0</v>
      </c>
      <c r="G2594" s="6">
        <v>63</v>
      </c>
      <c r="H2594" s="6" t="s">
        <v>30826</v>
      </c>
      <c r="I2594" s="6">
        <v>526.6875</v>
      </c>
      <c r="J2594" s="2">
        <f t="shared" si="40"/>
        <v>43748.632282326384</v>
      </c>
    </row>
    <row r="2595" spans="1:10" x14ac:dyDescent="0.25">
      <c r="A2595" s="7" t="s">
        <v>30827</v>
      </c>
      <c r="B2595" s="8">
        <v>393.75</v>
      </c>
      <c r="C2595" s="8">
        <v>20.584240000000001</v>
      </c>
      <c r="D2595" s="8">
        <v>67</v>
      </c>
      <c r="E2595" s="8">
        <v>0</v>
      </c>
      <c r="F2595" s="8">
        <v>0</v>
      </c>
      <c r="G2595" s="8">
        <v>67</v>
      </c>
      <c r="H2595" s="8" t="s">
        <v>30828</v>
      </c>
      <c r="I2595" s="8">
        <v>526.6875</v>
      </c>
      <c r="J2595" s="3">
        <f t="shared" si="40"/>
        <v>43748.632353865738</v>
      </c>
    </row>
    <row r="2596" spans="1:10" x14ac:dyDescent="0.25">
      <c r="A2596" s="5" t="s">
        <v>30829</v>
      </c>
      <c r="B2596" s="6">
        <v>393.75</v>
      </c>
      <c r="C2596" s="6">
        <v>20.478950000000001</v>
      </c>
      <c r="D2596" s="6">
        <v>68</v>
      </c>
      <c r="E2596" s="6">
        <v>0</v>
      </c>
      <c r="F2596" s="6">
        <v>0</v>
      </c>
      <c r="G2596" s="6">
        <v>73</v>
      </c>
      <c r="H2596" s="6" t="s">
        <v>30830</v>
      </c>
      <c r="I2596" s="6">
        <v>526.6875</v>
      </c>
      <c r="J2596" s="2">
        <f t="shared" si="40"/>
        <v>43748.632437349537</v>
      </c>
    </row>
    <row r="2597" spans="1:10" x14ac:dyDescent="0.25">
      <c r="A2597" s="7" t="s">
        <v>30831</v>
      </c>
      <c r="B2597" s="8">
        <v>393.75</v>
      </c>
      <c r="C2597" s="8">
        <v>20.584240000000001</v>
      </c>
      <c r="D2597" s="8">
        <v>67</v>
      </c>
      <c r="E2597" s="8">
        <v>0</v>
      </c>
      <c r="F2597" s="8">
        <v>0</v>
      </c>
      <c r="G2597" s="8">
        <v>59</v>
      </c>
      <c r="H2597" s="8" t="s">
        <v>30832</v>
      </c>
      <c r="I2597" s="8">
        <v>526.6875</v>
      </c>
      <c r="J2597" s="3">
        <f t="shared" si="40"/>
        <v>43748.632520752311</v>
      </c>
    </row>
    <row r="2598" spans="1:10" x14ac:dyDescent="0.25">
      <c r="A2598" s="5" t="s">
        <v>30833</v>
      </c>
      <c r="B2598" s="6">
        <v>393.75</v>
      </c>
      <c r="C2598" s="6">
        <v>20.531590000000001</v>
      </c>
      <c r="D2598" s="6">
        <v>65</v>
      </c>
      <c r="E2598" s="6">
        <v>0</v>
      </c>
      <c r="F2598" s="6">
        <v>0</v>
      </c>
      <c r="G2598" s="6">
        <v>78</v>
      </c>
      <c r="H2598" s="6" t="s">
        <v>30834</v>
      </c>
      <c r="I2598" s="6">
        <v>526.6875</v>
      </c>
      <c r="J2598" s="2">
        <f t="shared" si="40"/>
        <v>43748.632604421298</v>
      </c>
    </row>
    <row r="2599" spans="1:10" x14ac:dyDescent="0.25">
      <c r="A2599" s="7" t="s">
        <v>30835</v>
      </c>
      <c r="B2599" s="8">
        <v>393.75</v>
      </c>
      <c r="C2599" s="8">
        <v>20.531590000000001</v>
      </c>
      <c r="D2599" s="8">
        <v>66</v>
      </c>
      <c r="E2599" s="8">
        <v>0</v>
      </c>
      <c r="F2599" s="8">
        <v>0</v>
      </c>
      <c r="G2599" s="8">
        <v>65</v>
      </c>
      <c r="H2599" s="8" t="s">
        <v>30836</v>
      </c>
      <c r="I2599" s="8">
        <v>526.6875</v>
      </c>
      <c r="J2599" s="3">
        <f t="shared" si="40"/>
        <v>43748.632687777776</v>
      </c>
    </row>
    <row r="2600" spans="1:10" x14ac:dyDescent="0.25">
      <c r="A2600" s="5" t="s">
        <v>30837</v>
      </c>
      <c r="B2600" s="6">
        <v>415.625</v>
      </c>
      <c r="C2600" s="6">
        <v>20.531590000000001</v>
      </c>
      <c r="D2600" s="6">
        <v>66</v>
      </c>
      <c r="E2600" s="6">
        <v>0</v>
      </c>
      <c r="F2600" s="6">
        <v>0</v>
      </c>
      <c r="G2600" s="6">
        <v>62</v>
      </c>
      <c r="H2600" s="6" t="s">
        <v>30838</v>
      </c>
      <c r="I2600" s="6">
        <v>533.625</v>
      </c>
      <c r="J2600" s="2">
        <f t="shared" si="40"/>
        <v>43748.6327833912</v>
      </c>
    </row>
    <row r="2601" spans="1:10" x14ac:dyDescent="0.25">
      <c r="A2601" s="7" t="s">
        <v>30839</v>
      </c>
      <c r="B2601" s="8">
        <v>393.75</v>
      </c>
      <c r="C2601" s="8">
        <v>20.584240000000001</v>
      </c>
      <c r="D2601" s="8">
        <v>66</v>
      </c>
      <c r="E2601" s="8">
        <v>0</v>
      </c>
      <c r="F2601" s="8">
        <v>0</v>
      </c>
      <c r="G2601" s="8">
        <v>77</v>
      </c>
      <c r="H2601" s="8" t="s">
        <v>30840</v>
      </c>
      <c r="I2601" s="8">
        <v>526.6875</v>
      </c>
      <c r="J2601" s="3">
        <f t="shared" si="40"/>
        <v>43748.632854687494</v>
      </c>
    </row>
    <row r="2602" spans="1:10" x14ac:dyDescent="0.25">
      <c r="A2602" s="5" t="s">
        <v>30841</v>
      </c>
      <c r="B2602" s="6">
        <v>393.75</v>
      </c>
      <c r="C2602" s="6">
        <v>20.531590000000001</v>
      </c>
      <c r="D2602" s="6">
        <v>65</v>
      </c>
      <c r="E2602" s="6">
        <v>0</v>
      </c>
      <c r="F2602" s="6">
        <v>0</v>
      </c>
      <c r="G2602" s="6">
        <v>81</v>
      </c>
      <c r="H2602" s="6" t="s">
        <v>30842</v>
      </c>
      <c r="I2602" s="6">
        <v>526.6875</v>
      </c>
      <c r="J2602" s="2">
        <f t="shared" si="40"/>
        <v>43748.632937951385</v>
      </c>
    </row>
    <row r="2603" spans="1:10" x14ac:dyDescent="0.25">
      <c r="A2603" s="7" t="s">
        <v>30843</v>
      </c>
      <c r="B2603" s="8">
        <v>393.75</v>
      </c>
      <c r="C2603" s="8">
        <v>20.584240000000001</v>
      </c>
      <c r="D2603" s="8">
        <v>65</v>
      </c>
      <c r="E2603" s="8">
        <v>0</v>
      </c>
      <c r="F2603" s="8">
        <v>0</v>
      </c>
      <c r="G2603" s="8">
        <v>70</v>
      </c>
      <c r="H2603" s="8" t="s">
        <v>30844</v>
      </c>
      <c r="I2603" s="8">
        <v>526.6875</v>
      </c>
      <c r="J2603" s="3">
        <f t="shared" si="40"/>
        <v>43748.633009710647</v>
      </c>
    </row>
    <row r="2604" spans="1:10" x14ac:dyDescent="0.25">
      <c r="A2604" s="5" t="s">
        <v>30845</v>
      </c>
      <c r="B2604" s="6">
        <v>393.75</v>
      </c>
      <c r="C2604" s="6">
        <v>20.531590000000001</v>
      </c>
      <c r="D2604" s="6">
        <v>66</v>
      </c>
      <c r="E2604" s="6">
        <v>0</v>
      </c>
      <c r="F2604" s="6">
        <v>0</v>
      </c>
      <c r="G2604" s="6">
        <v>67</v>
      </c>
      <c r="H2604" s="6" t="s">
        <v>30846</v>
      </c>
      <c r="I2604" s="6">
        <v>526.6875</v>
      </c>
      <c r="J2604" s="2">
        <f t="shared" si="40"/>
        <v>43748.633093518518</v>
      </c>
    </row>
    <row r="2605" spans="1:10" x14ac:dyDescent="0.25">
      <c r="A2605" s="7" t="s">
        <v>30847</v>
      </c>
      <c r="B2605" s="8">
        <v>393.75</v>
      </c>
      <c r="C2605" s="8">
        <v>20.531590000000001</v>
      </c>
      <c r="D2605" s="8">
        <v>65</v>
      </c>
      <c r="E2605" s="8">
        <v>0</v>
      </c>
      <c r="F2605" s="8">
        <v>0</v>
      </c>
      <c r="G2605" s="8">
        <v>72</v>
      </c>
      <c r="H2605" s="8" t="s">
        <v>30848</v>
      </c>
      <c r="I2605" s="8">
        <v>526.6875</v>
      </c>
      <c r="J2605" s="3">
        <f t="shared" si="40"/>
        <v>43748.633189421293</v>
      </c>
    </row>
    <row r="2606" spans="1:10" x14ac:dyDescent="0.25">
      <c r="A2606" s="5" t="s">
        <v>30849</v>
      </c>
      <c r="B2606" s="6">
        <v>393.75</v>
      </c>
      <c r="C2606" s="6">
        <v>20.531590000000001</v>
      </c>
      <c r="D2606" s="6">
        <v>66</v>
      </c>
      <c r="E2606" s="6">
        <v>0</v>
      </c>
      <c r="F2606" s="6">
        <v>0</v>
      </c>
      <c r="G2606" s="6">
        <v>71</v>
      </c>
      <c r="H2606" s="6" t="s">
        <v>30850</v>
      </c>
      <c r="I2606" s="6">
        <v>526.6875</v>
      </c>
      <c r="J2606" s="2">
        <f t="shared" si="40"/>
        <v>43748.633272199069</v>
      </c>
    </row>
    <row r="2607" spans="1:10" x14ac:dyDescent="0.25">
      <c r="A2607" s="7" t="s">
        <v>30851</v>
      </c>
      <c r="B2607" s="8">
        <v>418.75</v>
      </c>
      <c r="C2607" s="8">
        <v>20.584240000000001</v>
      </c>
      <c r="D2607" s="8">
        <v>66</v>
      </c>
      <c r="E2607" s="8">
        <v>0</v>
      </c>
      <c r="F2607" s="8">
        <v>0</v>
      </c>
      <c r="G2607" s="8">
        <v>67</v>
      </c>
      <c r="H2607" s="8" t="s">
        <v>30852</v>
      </c>
      <c r="I2607" s="8">
        <v>534.9375</v>
      </c>
      <c r="J2607" s="3">
        <f t="shared" si="40"/>
        <v>43748.633343749992</v>
      </c>
    </row>
    <row r="2608" spans="1:10" x14ac:dyDescent="0.25">
      <c r="A2608" s="5" t="s">
        <v>30853</v>
      </c>
      <c r="B2608" s="6">
        <v>393.75</v>
      </c>
      <c r="C2608" s="6">
        <v>20.584240000000001</v>
      </c>
      <c r="D2608" s="6">
        <v>67</v>
      </c>
      <c r="E2608" s="6">
        <v>0</v>
      </c>
      <c r="F2608" s="6">
        <v>0</v>
      </c>
      <c r="G2608" s="6">
        <v>67</v>
      </c>
      <c r="H2608" s="6" t="s">
        <v>30854</v>
      </c>
      <c r="I2608" s="6">
        <v>526.6875</v>
      </c>
      <c r="J2608" s="2">
        <f t="shared" si="40"/>
        <v>43748.633426944441</v>
      </c>
    </row>
    <row r="2609" spans="1:10" x14ac:dyDescent="0.25">
      <c r="A2609" s="7" t="s">
        <v>30855</v>
      </c>
      <c r="B2609" s="8">
        <v>393.75</v>
      </c>
      <c r="C2609" s="8">
        <v>20.531590000000001</v>
      </c>
      <c r="D2609" s="8">
        <v>67</v>
      </c>
      <c r="E2609" s="8">
        <v>0</v>
      </c>
      <c r="F2609" s="8">
        <v>0</v>
      </c>
      <c r="G2609" s="8">
        <v>61</v>
      </c>
      <c r="H2609" s="8" t="s">
        <v>30856</v>
      </c>
      <c r="I2609" s="8">
        <v>526.6875</v>
      </c>
      <c r="J2609" s="3">
        <f t="shared" si="40"/>
        <v>43748.633498969903</v>
      </c>
    </row>
    <row r="2610" spans="1:10" x14ac:dyDescent="0.25">
      <c r="A2610" s="5" t="s">
        <v>30857</v>
      </c>
      <c r="B2610" s="6">
        <v>393.75</v>
      </c>
      <c r="C2610" s="6">
        <v>20.531590000000001</v>
      </c>
      <c r="D2610" s="6">
        <v>65</v>
      </c>
      <c r="E2610" s="6">
        <v>0</v>
      </c>
      <c r="F2610" s="6">
        <v>0</v>
      </c>
      <c r="G2610" s="6">
        <v>70</v>
      </c>
      <c r="H2610" s="6" t="s">
        <v>30858</v>
      </c>
      <c r="I2610" s="6">
        <v>526.6875</v>
      </c>
      <c r="J2610" s="2">
        <f t="shared" si="40"/>
        <v>43748.633582407405</v>
      </c>
    </row>
    <row r="2611" spans="1:10" x14ac:dyDescent="0.25">
      <c r="A2611" s="7" t="s">
        <v>30859</v>
      </c>
      <c r="B2611" s="8">
        <v>393.75</v>
      </c>
      <c r="C2611" s="8">
        <v>20.584240000000001</v>
      </c>
      <c r="D2611" s="8">
        <v>66</v>
      </c>
      <c r="E2611" s="8">
        <v>0</v>
      </c>
      <c r="F2611" s="8">
        <v>0</v>
      </c>
      <c r="G2611" s="8">
        <v>74</v>
      </c>
      <c r="H2611" s="8" t="s">
        <v>30860</v>
      </c>
      <c r="I2611" s="8">
        <v>526.6875</v>
      </c>
      <c r="J2611" s="3">
        <f t="shared" si="40"/>
        <v>43748.633665729161</v>
      </c>
    </row>
    <row r="2612" spans="1:10" x14ac:dyDescent="0.25">
      <c r="A2612" s="5" t="s">
        <v>30861</v>
      </c>
      <c r="B2612" s="6">
        <v>393.75</v>
      </c>
      <c r="C2612" s="6">
        <v>20.531590000000001</v>
      </c>
      <c r="D2612" s="6">
        <v>66</v>
      </c>
      <c r="E2612" s="6">
        <v>0</v>
      </c>
      <c r="F2612" s="6">
        <v>0</v>
      </c>
      <c r="G2612" s="6">
        <v>61</v>
      </c>
      <c r="H2612" s="6" t="s">
        <v>30862</v>
      </c>
      <c r="I2612" s="6">
        <v>526.6875</v>
      </c>
      <c r="J2612" s="2">
        <f t="shared" si="40"/>
        <v>43748.633749062494</v>
      </c>
    </row>
    <row r="2613" spans="1:10" x14ac:dyDescent="0.25">
      <c r="A2613" s="7" t="s">
        <v>30863</v>
      </c>
      <c r="B2613" s="8">
        <v>393.75</v>
      </c>
      <c r="C2613" s="8">
        <v>20.531590000000001</v>
      </c>
      <c r="D2613" s="8">
        <v>66</v>
      </c>
      <c r="E2613" s="8">
        <v>0</v>
      </c>
      <c r="F2613" s="8">
        <v>0</v>
      </c>
      <c r="G2613" s="8">
        <v>73</v>
      </c>
      <c r="H2613" s="8" t="s">
        <v>30864</v>
      </c>
      <c r="I2613" s="8">
        <v>526.6875</v>
      </c>
      <c r="J2613" s="3">
        <f t="shared" si="40"/>
        <v>43748.633844675926</v>
      </c>
    </row>
    <row r="2614" spans="1:10" x14ac:dyDescent="0.25">
      <c r="A2614" s="5" t="s">
        <v>30865</v>
      </c>
      <c r="B2614" s="6">
        <v>393.75</v>
      </c>
      <c r="C2614" s="6">
        <v>20.531590000000001</v>
      </c>
      <c r="D2614" s="6">
        <v>65</v>
      </c>
      <c r="E2614" s="6">
        <v>0</v>
      </c>
      <c r="F2614" s="6">
        <v>0</v>
      </c>
      <c r="G2614" s="6">
        <v>69</v>
      </c>
      <c r="H2614" s="6" t="s">
        <v>30866</v>
      </c>
      <c r="I2614" s="6">
        <v>526.6875</v>
      </c>
      <c r="J2614" s="2">
        <f t="shared" si="40"/>
        <v>43748.633928124997</v>
      </c>
    </row>
    <row r="2615" spans="1:10" x14ac:dyDescent="0.25">
      <c r="A2615" s="7" t="s">
        <v>30867</v>
      </c>
      <c r="B2615" s="8">
        <v>393.75</v>
      </c>
      <c r="C2615" s="8">
        <v>20.531590000000001</v>
      </c>
      <c r="D2615" s="8">
        <v>66</v>
      </c>
      <c r="E2615" s="8">
        <v>0</v>
      </c>
      <c r="F2615" s="8">
        <v>0</v>
      </c>
      <c r="G2615" s="8">
        <v>63</v>
      </c>
      <c r="H2615" s="8" t="s">
        <v>30868</v>
      </c>
      <c r="I2615" s="8">
        <v>526.6875</v>
      </c>
      <c r="J2615" s="3">
        <f t="shared" si="40"/>
        <v>43748.634023252314</v>
      </c>
    </row>
    <row r="2616" spans="1:10" x14ac:dyDescent="0.25">
      <c r="A2616" s="5" t="s">
        <v>30869</v>
      </c>
      <c r="B2616" s="6">
        <v>393.75</v>
      </c>
      <c r="C2616" s="6">
        <v>20.584240000000001</v>
      </c>
      <c r="D2616" s="6">
        <v>66</v>
      </c>
      <c r="E2616" s="6">
        <v>0</v>
      </c>
      <c r="F2616" s="6">
        <v>0</v>
      </c>
      <c r="G2616" s="6">
        <v>73</v>
      </c>
      <c r="H2616" s="6" t="s">
        <v>30870</v>
      </c>
      <c r="I2616" s="6">
        <v>526.6875</v>
      </c>
      <c r="J2616" s="2">
        <f t="shared" si="40"/>
        <v>43748.634106689809</v>
      </c>
    </row>
    <row r="2617" spans="1:10" x14ac:dyDescent="0.25">
      <c r="A2617" s="7" t="s">
        <v>30871</v>
      </c>
      <c r="B2617" s="8">
        <v>393.75</v>
      </c>
      <c r="C2617" s="8">
        <v>20.584240000000001</v>
      </c>
      <c r="D2617" s="8">
        <v>68</v>
      </c>
      <c r="E2617" s="8">
        <v>0</v>
      </c>
      <c r="F2617" s="8">
        <v>0</v>
      </c>
      <c r="G2617" s="8">
        <v>75</v>
      </c>
      <c r="H2617" s="8" t="s">
        <v>30872</v>
      </c>
      <c r="I2617" s="8">
        <v>526.6875</v>
      </c>
      <c r="J2617" s="3">
        <f t="shared" si="40"/>
        <v>43748.634190821758</v>
      </c>
    </row>
    <row r="2618" spans="1:10" x14ac:dyDescent="0.25">
      <c r="A2618" s="5" t="s">
        <v>30873</v>
      </c>
      <c r="B2618" s="6">
        <v>393.75</v>
      </c>
      <c r="C2618" s="6">
        <v>20.531590000000001</v>
      </c>
      <c r="D2618" s="6">
        <v>68</v>
      </c>
      <c r="E2618" s="6">
        <v>0</v>
      </c>
      <c r="F2618" s="6">
        <v>0</v>
      </c>
      <c r="G2618" s="6">
        <v>70</v>
      </c>
      <c r="H2618" s="6" t="s">
        <v>30874</v>
      </c>
      <c r="I2618" s="6">
        <v>526.6875</v>
      </c>
      <c r="J2618" s="2">
        <f t="shared" si="40"/>
        <v>43748.634274155091</v>
      </c>
    </row>
    <row r="2619" spans="1:10" x14ac:dyDescent="0.25">
      <c r="A2619" s="7" t="s">
        <v>30875</v>
      </c>
      <c r="B2619" s="8">
        <v>393.75</v>
      </c>
      <c r="C2619" s="8">
        <v>20.584240000000001</v>
      </c>
      <c r="D2619" s="8">
        <v>69</v>
      </c>
      <c r="E2619" s="8">
        <v>0</v>
      </c>
      <c r="F2619" s="8">
        <v>0</v>
      </c>
      <c r="G2619" s="8">
        <v>64</v>
      </c>
      <c r="H2619" s="8" t="s">
        <v>30876</v>
      </c>
      <c r="I2619" s="8">
        <v>526.6875</v>
      </c>
      <c r="J2619" s="3">
        <f t="shared" si="40"/>
        <v>43748.634369386571</v>
      </c>
    </row>
    <row r="2620" spans="1:10" x14ac:dyDescent="0.25">
      <c r="A2620" s="5" t="s">
        <v>30877</v>
      </c>
      <c r="B2620" s="6">
        <v>393.75</v>
      </c>
      <c r="C2620" s="6">
        <v>20.584240000000001</v>
      </c>
      <c r="D2620" s="6">
        <v>69</v>
      </c>
      <c r="E2620" s="6">
        <v>0</v>
      </c>
      <c r="F2620" s="6">
        <v>0</v>
      </c>
      <c r="G2620" s="6">
        <v>71</v>
      </c>
      <c r="H2620" s="6" t="s">
        <v>30878</v>
      </c>
      <c r="I2620" s="6">
        <v>526.6875</v>
      </c>
      <c r="J2620" s="2">
        <f t="shared" si="40"/>
        <v>43748.63445273148</v>
      </c>
    </row>
    <row r="2621" spans="1:10" x14ac:dyDescent="0.25">
      <c r="A2621" s="7" t="s">
        <v>30879</v>
      </c>
      <c r="B2621" s="8">
        <v>393.75</v>
      </c>
      <c r="C2621" s="8">
        <v>20.478950000000001</v>
      </c>
      <c r="D2621" s="8">
        <v>68</v>
      </c>
      <c r="E2621" s="8">
        <v>0</v>
      </c>
      <c r="F2621" s="8">
        <v>0</v>
      </c>
      <c r="G2621" s="8">
        <v>73</v>
      </c>
      <c r="H2621" s="8" t="s">
        <v>30880</v>
      </c>
      <c r="I2621" s="8">
        <v>526.6875</v>
      </c>
      <c r="J2621" s="3">
        <f t="shared" si="40"/>
        <v>43748.634536412035</v>
      </c>
    </row>
    <row r="2622" spans="1:10" x14ac:dyDescent="0.25">
      <c r="A2622" s="5" t="s">
        <v>30881</v>
      </c>
      <c r="B2622" s="6">
        <v>393.75</v>
      </c>
      <c r="C2622" s="6">
        <v>20.531590000000001</v>
      </c>
      <c r="D2622" s="6">
        <v>68</v>
      </c>
      <c r="E2622" s="6">
        <v>0</v>
      </c>
      <c r="F2622" s="6">
        <v>0</v>
      </c>
      <c r="G2622" s="6">
        <v>71</v>
      </c>
      <c r="H2622" s="6" t="s">
        <v>30882</v>
      </c>
      <c r="I2622" s="6">
        <v>526.6875</v>
      </c>
      <c r="J2622" s="2">
        <f t="shared" si="40"/>
        <v>43748.634619490738</v>
      </c>
    </row>
    <row r="2623" spans="1:10" x14ac:dyDescent="0.25">
      <c r="A2623" s="7" t="s">
        <v>30883</v>
      </c>
      <c r="B2623" s="8">
        <v>393.75</v>
      </c>
      <c r="C2623" s="8">
        <v>20.531590000000001</v>
      </c>
      <c r="D2623" s="8">
        <v>68</v>
      </c>
      <c r="E2623" s="8">
        <v>0</v>
      </c>
      <c r="F2623" s="8">
        <v>0</v>
      </c>
      <c r="G2623" s="8">
        <v>66</v>
      </c>
      <c r="H2623" s="8" t="s">
        <v>30884</v>
      </c>
      <c r="I2623" s="8">
        <v>526.6875</v>
      </c>
      <c r="J2623" s="3">
        <f t="shared" si="40"/>
        <v>43748.634691041669</v>
      </c>
    </row>
    <row r="2624" spans="1:10" x14ac:dyDescent="0.25">
      <c r="A2624" s="5" t="s">
        <v>30885</v>
      </c>
      <c r="B2624" s="6">
        <v>393.75</v>
      </c>
      <c r="C2624" s="6">
        <v>20.584240000000001</v>
      </c>
      <c r="D2624" s="6">
        <v>68</v>
      </c>
      <c r="E2624" s="6">
        <v>0</v>
      </c>
      <c r="F2624" s="6">
        <v>0</v>
      </c>
      <c r="G2624" s="6">
        <v>74</v>
      </c>
      <c r="H2624" s="6" t="s">
        <v>30886</v>
      </c>
      <c r="I2624" s="6">
        <v>526.6875</v>
      </c>
      <c r="J2624" s="2">
        <f t="shared" si="40"/>
        <v>43748.634774953702</v>
      </c>
    </row>
    <row r="2625" spans="1:10" x14ac:dyDescent="0.25">
      <c r="A2625" s="7" t="s">
        <v>30887</v>
      </c>
      <c r="B2625" s="8">
        <v>393.75</v>
      </c>
      <c r="C2625" s="8">
        <v>20.531590000000001</v>
      </c>
      <c r="D2625" s="8">
        <v>68</v>
      </c>
      <c r="E2625" s="8">
        <v>0</v>
      </c>
      <c r="F2625" s="8">
        <v>0</v>
      </c>
      <c r="G2625" s="8">
        <v>74</v>
      </c>
      <c r="H2625" s="8" t="s">
        <v>30888</v>
      </c>
      <c r="I2625" s="8">
        <v>526.6875</v>
      </c>
      <c r="J2625" s="3">
        <f t="shared" si="40"/>
        <v>43748.634858506943</v>
      </c>
    </row>
    <row r="2626" spans="1:10" x14ac:dyDescent="0.25">
      <c r="A2626" s="5" t="s">
        <v>30889</v>
      </c>
      <c r="B2626" s="6">
        <v>393.75</v>
      </c>
      <c r="C2626" s="6">
        <v>20.531590000000001</v>
      </c>
      <c r="D2626" s="6">
        <v>67</v>
      </c>
      <c r="E2626" s="6">
        <v>0</v>
      </c>
      <c r="F2626" s="6">
        <v>0</v>
      </c>
      <c r="G2626" s="6">
        <v>69</v>
      </c>
      <c r="H2626" s="6" t="s">
        <v>30890</v>
      </c>
      <c r="I2626" s="6">
        <v>526.5</v>
      </c>
      <c r="J2626" s="2">
        <f t="shared" ref="J2626:J2689" si="41">(H2626/86400000)+25569+(7/24)</f>
        <v>43748.634941620367</v>
      </c>
    </row>
    <row r="2627" spans="1:10" x14ac:dyDescent="0.25">
      <c r="A2627" s="7" t="s">
        <v>30891</v>
      </c>
      <c r="B2627" s="8">
        <v>393.75</v>
      </c>
      <c r="C2627" s="8">
        <v>20.531590000000001</v>
      </c>
      <c r="D2627" s="8">
        <v>67</v>
      </c>
      <c r="E2627" s="8">
        <v>0</v>
      </c>
      <c r="F2627" s="8">
        <v>0</v>
      </c>
      <c r="G2627" s="8">
        <v>73</v>
      </c>
      <c r="H2627" s="8" t="s">
        <v>30892</v>
      </c>
      <c r="I2627" s="8">
        <v>526.6875</v>
      </c>
      <c r="J2627" s="3">
        <f t="shared" si="41"/>
        <v>43748.635036990738</v>
      </c>
    </row>
    <row r="2628" spans="1:10" x14ac:dyDescent="0.25">
      <c r="A2628" s="5" t="s">
        <v>30893</v>
      </c>
      <c r="B2628" s="6">
        <v>393.75</v>
      </c>
      <c r="C2628" s="6">
        <v>20.531590000000001</v>
      </c>
      <c r="D2628" s="6">
        <v>67</v>
      </c>
      <c r="E2628" s="6">
        <v>0</v>
      </c>
      <c r="F2628" s="6">
        <v>0</v>
      </c>
      <c r="G2628" s="6">
        <v>70</v>
      </c>
      <c r="H2628" s="6" t="s">
        <v>30894</v>
      </c>
      <c r="I2628" s="6">
        <v>526.6875</v>
      </c>
      <c r="J2628" s="2">
        <f t="shared" si="41"/>
        <v>43748.635131493058</v>
      </c>
    </row>
    <row r="2629" spans="1:10" x14ac:dyDescent="0.25">
      <c r="A2629" s="7" t="s">
        <v>30895</v>
      </c>
      <c r="B2629" s="8">
        <v>393.75</v>
      </c>
      <c r="C2629" s="8">
        <v>20.531590000000001</v>
      </c>
      <c r="D2629" s="8">
        <v>66</v>
      </c>
      <c r="E2629" s="8">
        <v>0</v>
      </c>
      <c r="F2629" s="8">
        <v>0</v>
      </c>
      <c r="G2629" s="8">
        <v>76</v>
      </c>
      <c r="H2629" s="8" t="s">
        <v>30896</v>
      </c>
      <c r="I2629" s="8">
        <v>526.5</v>
      </c>
      <c r="J2629" s="3">
        <f t="shared" si="41"/>
        <v>43748.635204224534</v>
      </c>
    </row>
    <row r="2630" spans="1:10" x14ac:dyDescent="0.25">
      <c r="A2630" s="5" t="s">
        <v>30897</v>
      </c>
      <c r="B2630" s="6">
        <v>393.75</v>
      </c>
      <c r="C2630" s="6">
        <v>20.531590000000001</v>
      </c>
      <c r="D2630" s="6">
        <v>67</v>
      </c>
      <c r="E2630" s="6">
        <v>0</v>
      </c>
      <c r="F2630" s="6">
        <v>0</v>
      </c>
      <c r="G2630" s="6">
        <v>80</v>
      </c>
      <c r="H2630" s="6" t="s">
        <v>30898</v>
      </c>
      <c r="I2630" s="6">
        <v>526.6875</v>
      </c>
      <c r="J2630" s="2">
        <f t="shared" si="41"/>
        <v>43748.635287685182</v>
      </c>
    </row>
    <row r="2631" spans="1:10" x14ac:dyDescent="0.25">
      <c r="A2631" s="7" t="s">
        <v>30899</v>
      </c>
      <c r="B2631" s="8">
        <v>393.75</v>
      </c>
      <c r="C2631" s="8">
        <v>20.584240000000001</v>
      </c>
      <c r="D2631" s="8">
        <v>68</v>
      </c>
      <c r="E2631" s="8">
        <v>0</v>
      </c>
      <c r="F2631" s="8">
        <v>0</v>
      </c>
      <c r="G2631" s="8">
        <v>74</v>
      </c>
      <c r="H2631" s="8" t="s">
        <v>30900</v>
      </c>
      <c r="I2631" s="8">
        <v>526.6875</v>
      </c>
      <c r="J2631" s="3">
        <f t="shared" si="41"/>
        <v>43748.635371249999</v>
      </c>
    </row>
    <row r="2632" spans="1:10" x14ac:dyDescent="0.25">
      <c r="A2632" s="5" t="s">
        <v>30901</v>
      </c>
      <c r="B2632" s="6">
        <v>393.75</v>
      </c>
      <c r="C2632" s="6">
        <v>20.531590000000001</v>
      </c>
      <c r="D2632" s="6">
        <v>67</v>
      </c>
      <c r="E2632" s="6">
        <v>0</v>
      </c>
      <c r="F2632" s="6">
        <v>0</v>
      </c>
      <c r="G2632" s="6">
        <v>76</v>
      </c>
      <c r="H2632" s="6" t="s">
        <v>30902</v>
      </c>
      <c r="I2632" s="6">
        <v>526.6875</v>
      </c>
      <c r="J2632" s="2">
        <f t="shared" si="41"/>
        <v>43748.635454791664</v>
      </c>
    </row>
    <row r="2633" spans="1:10" x14ac:dyDescent="0.25">
      <c r="A2633" s="7" t="s">
        <v>30903</v>
      </c>
      <c r="B2633" s="8">
        <v>393.75</v>
      </c>
      <c r="C2633" s="8">
        <v>20.478950000000001</v>
      </c>
      <c r="D2633" s="8">
        <v>65</v>
      </c>
      <c r="E2633" s="8">
        <v>0</v>
      </c>
      <c r="F2633" s="8">
        <v>0</v>
      </c>
      <c r="G2633" s="8">
        <v>71</v>
      </c>
      <c r="H2633" s="8" t="s">
        <v>30904</v>
      </c>
      <c r="I2633" s="8">
        <v>526.6875</v>
      </c>
      <c r="J2633" s="3">
        <f t="shared" si="41"/>
        <v>43748.635537905087</v>
      </c>
    </row>
    <row r="2634" spans="1:10" x14ac:dyDescent="0.25">
      <c r="A2634" s="5" t="s">
        <v>30905</v>
      </c>
      <c r="B2634" s="6">
        <v>393.75</v>
      </c>
      <c r="C2634" s="6">
        <v>20.584240000000001</v>
      </c>
      <c r="D2634" s="6">
        <v>65</v>
      </c>
      <c r="E2634" s="6">
        <v>0</v>
      </c>
      <c r="F2634" s="6">
        <v>0</v>
      </c>
      <c r="G2634" s="6">
        <v>80</v>
      </c>
      <c r="H2634" s="6" t="s">
        <v>30906</v>
      </c>
      <c r="I2634" s="6">
        <v>526.6875</v>
      </c>
      <c r="J2634" s="2">
        <f t="shared" si="41"/>
        <v>43748.63560966435</v>
      </c>
    </row>
    <row r="2635" spans="1:10" x14ac:dyDescent="0.25">
      <c r="A2635" s="7" t="s">
        <v>30907</v>
      </c>
      <c r="B2635" s="8">
        <v>393.75</v>
      </c>
      <c r="C2635" s="8">
        <v>20.584240000000001</v>
      </c>
      <c r="D2635" s="8">
        <v>66</v>
      </c>
      <c r="E2635" s="8">
        <v>0</v>
      </c>
      <c r="F2635" s="8">
        <v>0</v>
      </c>
      <c r="G2635" s="8">
        <v>71</v>
      </c>
      <c r="H2635" s="8" t="s">
        <v>30908</v>
      </c>
      <c r="I2635" s="8">
        <v>526.6875</v>
      </c>
      <c r="J2635" s="3">
        <f t="shared" si="41"/>
        <v>43748.635693472221</v>
      </c>
    </row>
    <row r="2636" spans="1:10" x14ac:dyDescent="0.25">
      <c r="A2636" s="5" t="s">
        <v>30909</v>
      </c>
      <c r="B2636" s="6">
        <v>393.75</v>
      </c>
      <c r="C2636" s="6">
        <v>20.584240000000001</v>
      </c>
      <c r="D2636" s="6">
        <v>66</v>
      </c>
      <c r="E2636" s="6">
        <v>0</v>
      </c>
      <c r="F2636" s="6">
        <v>0</v>
      </c>
      <c r="G2636" s="6">
        <v>83</v>
      </c>
      <c r="H2636" s="6" t="s">
        <v>30910</v>
      </c>
      <c r="I2636" s="6">
        <v>526.6875</v>
      </c>
      <c r="J2636" s="2">
        <f t="shared" si="41"/>
        <v>43748.635776805553</v>
      </c>
    </row>
    <row r="2637" spans="1:10" x14ac:dyDescent="0.25">
      <c r="A2637" s="7" t="s">
        <v>30911</v>
      </c>
      <c r="B2637" s="8">
        <v>393.75</v>
      </c>
      <c r="C2637" s="8">
        <v>20.531590000000001</v>
      </c>
      <c r="D2637" s="8">
        <v>66</v>
      </c>
      <c r="E2637" s="8">
        <v>0</v>
      </c>
      <c r="F2637" s="8">
        <v>0</v>
      </c>
      <c r="G2637" s="8">
        <v>69</v>
      </c>
      <c r="H2637" s="8" t="s">
        <v>30912</v>
      </c>
      <c r="I2637" s="8">
        <v>526.6875</v>
      </c>
      <c r="J2637" s="3">
        <f t="shared" si="41"/>
        <v>43748.635860138886</v>
      </c>
    </row>
    <row r="2638" spans="1:10" x14ac:dyDescent="0.25">
      <c r="A2638" s="5" t="s">
        <v>30913</v>
      </c>
      <c r="B2638" s="6">
        <v>393.75</v>
      </c>
      <c r="C2638" s="6">
        <v>20.584240000000001</v>
      </c>
      <c r="D2638" s="6">
        <v>66</v>
      </c>
      <c r="E2638" s="6">
        <v>0</v>
      </c>
      <c r="F2638" s="6">
        <v>0</v>
      </c>
      <c r="G2638" s="6">
        <v>69</v>
      </c>
      <c r="H2638" s="6" t="s">
        <v>30914</v>
      </c>
      <c r="I2638" s="6">
        <v>526.6875</v>
      </c>
      <c r="J2638" s="2">
        <f t="shared" si="41"/>
        <v>43748.635943703703</v>
      </c>
    </row>
    <row r="2639" spans="1:10" x14ac:dyDescent="0.25">
      <c r="A2639" s="7" t="s">
        <v>30915</v>
      </c>
      <c r="B2639" s="8">
        <v>393.75</v>
      </c>
      <c r="C2639" s="8">
        <v>20.531590000000001</v>
      </c>
      <c r="D2639" s="8">
        <v>67</v>
      </c>
      <c r="E2639" s="8">
        <v>0</v>
      </c>
      <c r="F2639" s="8">
        <v>0</v>
      </c>
      <c r="G2639" s="8">
        <v>72</v>
      </c>
      <c r="H2639" s="8" t="s">
        <v>30916</v>
      </c>
      <c r="I2639" s="8">
        <v>526.5</v>
      </c>
      <c r="J2639" s="3">
        <f t="shared" si="41"/>
        <v>43748.636026921296</v>
      </c>
    </row>
    <row r="2640" spans="1:10" x14ac:dyDescent="0.25">
      <c r="A2640" s="5" t="s">
        <v>30917</v>
      </c>
      <c r="B2640" s="6">
        <v>393.75</v>
      </c>
      <c r="C2640" s="6">
        <v>20.531590000000001</v>
      </c>
      <c r="D2640" s="6">
        <v>67</v>
      </c>
      <c r="E2640" s="6">
        <v>0</v>
      </c>
      <c r="F2640" s="6">
        <v>0</v>
      </c>
      <c r="G2640" s="6">
        <v>73</v>
      </c>
      <c r="H2640" s="6" t="s">
        <v>30918</v>
      </c>
      <c r="I2640" s="6">
        <v>526.6875</v>
      </c>
      <c r="J2640" s="2">
        <f t="shared" si="41"/>
        <v>43748.636098437499</v>
      </c>
    </row>
    <row r="2641" spans="1:10" x14ac:dyDescent="0.25">
      <c r="A2641" s="7" t="s">
        <v>30919</v>
      </c>
      <c r="B2641" s="8">
        <v>393.75</v>
      </c>
      <c r="C2641" s="8">
        <v>20.584240000000001</v>
      </c>
      <c r="D2641" s="8">
        <v>68</v>
      </c>
      <c r="E2641" s="8">
        <v>0</v>
      </c>
      <c r="F2641" s="8">
        <v>0</v>
      </c>
      <c r="G2641" s="8">
        <v>73</v>
      </c>
      <c r="H2641" s="8" t="s">
        <v>30920</v>
      </c>
      <c r="I2641" s="8">
        <v>526.6875</v>
      </c>
      <c r="J2641" s="3">
        <f t="shared" si="41"/>
        <v>43748.636182349532</v>
      </c>
    </row>
    <row r="2642" spans="1:10" x14ac:dyDescent="0.25">
      <c r="A2642" s="5" t="s">
        <v>30921</v>
      </c>
      <c r="B2642" s="6">
        <v>412.5</v>
      </c>
      <c r="C2642" s="6">
        <v>20.531590000000001</v>
      </c>
      <c r="D2642" s="6">
        <v>68</v>
      </c>
      <c r="E2642" s="6">
        <v>0</v>
      </c>
      <c r="F2642" s="6">
        <v>0</v>
      </c>
      <c r="G2642" s="6">
        <v>76</v>
      </c>
      <c r="H2642" s="6" t="s">
        <v>30922</v>
      </c>
      <c r="I2642" s="6">
        <v>532.5</v>
      </c>
      <c r="J2642" s="2">
        <f t="shared" si="41"/>
        <v>43748.63626579861</v>
      </c>
    </row>
    <row r="2643" spans="1:10" x14ac:dyDescent="0.25">
      <c r="A2643" s="7" t="s">
        <v>30923</v>
      </c>
      <c r="B2643" s="8">
        <v>393.75</v>
      </c>
      <c r="C2643" s="8">
        <v>20.584240000000001</v>
      </c>
      <c r="D2643" s="8">
        <v>67</v>
      </c>
      <c r="E2643" s="8">
        <v>0</v>
      </c>
      <c r="F2643" s="8">
        <v>0</v>
      </c>
      <c r="G2643" s="8">
        <v>75</v>
      </c>
      <c r="H2643" s="8" t="s">
        <v>30924</v>
      </c>
      <c r="I2643" s="8">
        <v>526.6875</v>
      </c>
      <c r="J2643" s="3">
        <f t="shared" si="41"/>
        <v>43748.636349039349</v>
      </c>
    </row>
    <row r="2644" spans="1:10" x14ac:dyDescent="0.25">
      <c r="A2644" s="5" t="s">
        <v>30925</v>
      </c>
      <c r="B2644" s="6">
        <v>393.75</v>
      </c>
      <c r="C2644" s="6">
        <v>20.531590000000001</v>
      </c>
      <c r="D2644" s="6">
        <v>67</v>
      </c>
      <c r="E2644" s="6">
        <v>0</v>
      </c>
      <c r="F2644" s="6">
        <v>0</v>
      </c>
      <c r="G2644" s="6">
        <v>72</v>
      </c>
      <c r="H2644" s="6" t="s">
        <v>30926</v>
      </c>
      <c r="I2644" s="6">
        <v>526.6875</v>
      </c>
      <c r="J2644" s="2">
        <f t="shared" si="41"/>
        <v>43748.636420671297</v>
      </c>
    </row>
    <row r="2645" spans="1:10" x14ac:dyDescent="0.25">
      <c r="A2645" s="7" t="s">
        <v>30927</v>
      </c>
      <c r="B2645" s="8">
        <v>393.75</v>
      </c>
      <c r="C2645" s="8">
        <v>20.584240000000001</v>
      </c>
      <c r="D2645" s="8">
        <v>67</v>
      </c>
      <c r="E2645" s="8">
        <v>0</v>
      </c>
      <c r="F2645" s="8">
        <v>0</v>
      </c>
      <c r="G2645" s="8">
        <v>68</v>
      </c>
      <c r="H2645" s="8" t="s">
        <v>30928</v>
      </c>
      <c r="I2645" s="8">
        <v>526.6875</v>
      </c>
      <c r="J2645" s="3">
        <f t="shared" si="41"/>
        <v>43748.636504224538</v>
      </c>
    </row>
    <row r="2646" spans="1:10" x14ac:dyDescent="0.25">
      <c r="A2646" s="5" t="s">
        <v>30929</v>
      </c>
      <c r="B2646" s="6">
        <v>393.75</v>
      </c>
      <c r="C2646" s="6">
        <v>20.531590000000001</v>
      </c>
      <c r="D2646" s="6">
        <v>66</v>
      </c>
      <c r="E2646" s="6">
        <v>0</v>
      </c>
      <c r="F2646" s="6">
        <v>0</v>
      </c>
      <c r="G2646" s="6">
        <v>75</v>
      </c>
      <c r="H2646" s="6" t="s">
        <v>30930</v>
      </c>
      <c r="I2646" s="6">
        <v>526.6875</v>
      </c>
      <c r="J2646" s="2">
        <f t="shared" si="41"/>
        <v>43748.636587800924</v>
      </c>
    </row>
    <row r="2647" spans="1:10" x14ac:dyDescent="0.25">
      <c r="A2647" s="7" t="s">
        <v>30931</v>
      </c>
      <c r="B2647" s="8">
        <v>412.5</v>
      </c>
      <c r="C2647" s="8">
        <v>20.531590000000001</v>
      </c>
      <c r="D2647" s="8">
        <v>67</v>
      </c>
      <c r="E2647" s="8">
        <v>0</v>
      </c>
      <c r="F2647" s="8">
        <v>0</v>
      </c>
      <c r="G2647" s="8">
        <v>63</v>
      </c>
      <c r="H2647" s="8" t="s">
        <v>30932</v>
      </c>
      <c r="I2647" s="8">
        <v>532.5</v>
      </c>
      <c r="J2647" s="3">
        <f t="shared" si="41"/>
        <v>43748.636671261571</v>
      </c>
    </row>
    <row r="2648" spans="1:10" x14ac:dyDescent="0.25">
      <c r="A2648" s="5" t="s">
        <v>30933</v>
      </c>
      <c r="B2648" s="6">
        <v>393.75</v>
      </c>
      <c r="C2648" s="6">
        <v>20.584240000000001</v>
      </c>
      <c r="D2648" s="6">
        <v>65</v>
      </c>
      <c r="E2648" s="6">
        <v>0</v>
      </c>
      <c r="F2648" s="6">
        <v>0</v>
      </c>
      <c r="G2648" s="6">
        <v>73</v>
      </c>
      <c r="H2648" s="6" t="s">
        <v>30934</v>
      </c>
      <c r="I2648" s="6">
        <v>526.6875</v>
      </c>
      <c r="J2648" s="2">
        <f t="shared" si="41"/>
        <v>43748.63675489583</v>
      </c>
    </row>
    <row r="2649" spans="1:10" x14ac:dyDescent="0.25">
      <c r="A2649" s="7" t="s">
        <v>30935</v>
      </c>
      <c r="B2649" s="8">
        <v>393.75</v>
      </c>
      <c r="C2649" s="8">
        <v>20.584240000000001</v>
      </c>
      <c r="D2649" s="8">
        <v>66</v>
      </c>
      <c r="E2649" s="8">
        <v>0</v>
      </c>
      <c r="F2649" s="8">
        <v>0</v>
      </c>
      <c r="G2649" s="8">
        <v>69</v>
      </c>
      <c r="H2649" s="8" t="s">
        <v>30936</v>
      </c>
      <c r="I2649" s="8">
        <v>526.6875</v>
      </c>
      <c r="J2649" s="3">
        <f t="shared" si="41"/>
        <v>43748.63683791666</v>
      </c>
    </row>
    <row r="2650" spans="1:10" x14ac:dyDescent="0.25">
      <c r="A2650" s="5" t="s">
        <v>30937</v>
      </c>
      <c r="B2650" s="6">
        <v>393.75</v>
      </c>
      <c r="C2650" s="6">
        <v>20.531590000000001</v>
      </c>
      <c r="D2650" s="6">
        <v>66</v>
      </c>
      <c r="E2650" s="6">
        <v>0</v>
      </c>
      <c r="F2650" s="6">
        <v>0</v>
      </c>
      <c r="G2650" s="6">
        <v>80</v>
      </c>
      <c r="H2650" s="6" t="s">
        <v>30938</v>
      </c>
      <c r="I2650" s="6">
        <v>526.6875</v>
      </c>
      <c r="J2650" s="2">
        <f t="shared" si="41"/>
        <v>43748.636909675923</v>
      </c>
    </row>
    <row r="2651" spans="1:10" x14ac:dyDescent="0.25">
      <c r="A2651" s="7" t="s">
        <v>30939</v>
      </c>
      <c r="B2651" s="8">
        <v>393.75</v>
      </c>
      <c r="C2651" s="8">
        <v>20.531590000000001</v>
      </c>
      <c r="D2651" s="8">
        <v>66</v>
      </c>
      <c r="E2651" s="8">
        <v>0</v>
      </c>
      <c r="F2651" s="8">
        <v>0</v>
      </c>
      <c r="G2651" s="8">
        <v>81</v>
      </c>
      <c r="H2651" s="8" t="s">
        <v>30940</v>
      </c>
      <c r="I2651" s="8">
        <v>526.6875</v>
      </c>
      <c r="J2651" s="3">
        <f t="shared" si="41"/>
        <v>43748.636993483793</v>
      </c>
    </row>
    <row r="2652" spans="1:10" x14ac:dyDescent="0.25">
      <c r="A2652" s="5" t="s">
        <v>30941</v>
      </c>
      <c r="B2652" s="6">
        <v>393.75</v>
      </c>
      <c r="C2652" s="6">
        <v>20.584240000000001</v>
      </c>
      <c r="D2652" s="6">
        <v>66</v>
      </c>
      <c r="E2652" s="6">
        <v>0</v>
      </c>
      <c r="F2652" s="6">
        <v>0</v>
      </c>
      <c r="G2652" s="6">
        <v>67</v>
      </c>
      <c r="H2652" s="6" t="s">
        <v>30942</v>
      </c>
      <c r="I2652" s="6">
        <v>526.6875</v>
      </c>
      <c r="J2652" s="2">
        <f t="shared" si="41"/>
        <v>43748.637088784722</v>
      </c>
    </row>
    <row r="2653" spans="1:10" x14ac:dyDescent="0.25">
      <c r="A2653" s="7" t="s">
        <v>30943</v>
      </c>
      <c r="B2653" s="8">
        <v>393.75</v>
      </c>
      <c r="C2653" s="8">
        <v>20.584240000000001</v>
      </c>
      <c r="D2653" s="8">
        <v>68</v>
      </c>
      <c r="E2653" s="8">
        <v>0</v>
      </c>
      <c r="F2653" s="8">
        <v>0</v>
      </c>
      <c r="G2653" s="8">
        <v>77</v>
      </c>
      <c r="H2653" s="8" t="s">
        <v>30944</v>
      </c>
      <c r="I2653" s="8">
        <v>526.6875</v>
      </c>
      <c r="J2653" s="3">
        <f t="shared" si="41"/>
        <v>43748.637172129624</v>
      </c>
    </row>
    <row r="2654" spans="1:10" x14ac:dyDescent="0.25">
      <c r="A2654" s="5" t="s">
        <v>30945</v>
      </c>
      <c r="B2654" s="6">
        <v>412.5</v>
      </c>
      <c r="C2654" s="6">
        <v>20.531590000000001</v>
      </c>
      <c r="D2654" s="6">
        <v>69</v>
      </c>
      <c r="E2654" s="6">
        <v>0</v>
      </c>
      <c r="F2654" s="6">
        <v>0</v>
      </c>
      <c r="G2654" s="6">
        <v>70</v>
      </c>
      <c r="H2654" s="6" t="s">
        <v>30946</v>
      </c>
      <c r="I2654" s="6">
        <v>532.3125</v>
      </c>
      <c r="J2654" s="2">
        <f t="shared" si="41"/>
        <v>43748.637255694441</v>
      </c>
    </row>
    <row r="2655" spans="1:10" x14ac:dyDescent="0.25">
      <c r="A2655" s="7" t="s">
        <v>30947</v>
      </c>
      <c r="B2655" s="8">
        <v>393.75</v>
      </c>
      <c r="C2655" s="8">
        <v>20.584240000000001</v>
      </c>
      <c r="D2655" s="8">
        <v>69</v>
      </c>
      <c r="E2655" s="8">
        <v>0</v>
      </c>
      <c r="F2655" s="8">
        <v>0</v>
      </c>
      <c r="G2655" s="8">
        <v>68</v>
      </c>
      <c r="H2655" s="8" t="s">
        <v>30948</v>
      </c>
      <c r="I2655" s="8">
        <v>526.6875</v>
      </c>
      <c r="J2655" s="3">
        <f t="shared" si="41"/>
        <v>43748.637339143512</v>
      </c>
    </row>
    <row r="2656" spans="1:10" x14ac:dyDescent="0.25">
      <c r="A2656" s="5" t="s">
        <v>30949</v>
      </c>
      <c r="B2656" s="6">
        <v>393.75</v>
      </c>
      <c r="C2656" s="6">
        <v>20.531590000000001</v>
      </c>
      <c r="D2656" s="6">
        <v>68</v>
      </c>
      <c r="E2656" s="6">
        <v>0</v>
      </c>
      <c r="F2656" s="6">
        <v>0</v>
      </c>
      <c r="G2656" s="6">
        <v>73</v>
      </c>
      <c r="H2656" s="6" t="s">
        <v>30950</v>
      </c>
      <c r="I2656" s="6">
        <v>526.6875</v>
      </c>
      <c r="J2656" s="2">
        <f t="shared" si="41"/>
        <v>43748.63742259259</v>
      </c>
    </row>
    <row r="2657" spans="1:10" x14ac:dyDescent="0.25">
      <c r="A2657" s="7" t="s">
        <v>30951</v>
      </c>
      <c r="B2657" s="8">
        <v>393.75</v>
      </c>
      <c r="C2657" s="8">
        <v>20.584240000000001</v>
      </c>
      <c r="D2657" s="8">
        <v>68</v>
      </c>
      <c r="E2657" s="8">
        <v>0</v>
      </c>
      <c r="F2657" s="8">
        <v>0</v>
      </c>
      <c r="G2657" s="8">
        <v>78</v>
      </c>
      <c r="H2657" s="8" t="s">
        <v>30952</v>
      </c>
      <c r="I2657" s="8">
        <v>526.6875</v>
      </c>
      <c r="J2657" s="3">
        <f t="shared" si="41"/>
        <v>43748.637506134255</v>
      </c>
    </row>
    <row r="2658" spans="1:10" x14ac:dyDescent="0.25">
      <c r="A2658" s="5" t="s">
        <v>30953</v>
      </c>
      <c r="B2658" s="6">
        <v>393.75</v>
      </c>
      <c r="C2658" s="6">
        <v>20.531590000000001</v>
      </c>
      <c r="D2658" s="6">
        <v>67</v>
      </c>
      <c r="E2658" s="6">
        <v>0</v>
      </c>
      <c r="F2658" s="6">
        <v>0</v>
      </c>
      <c r="G2658" s="6">
        <v>74</v>
      </c>
      <c r="H2658" s="6" t="s">
        <v>30954</v>
      </c>
      <c r="I2658" s="6">
        <v>526.6875</v>
      </c>
      <c r="J2658" s="2">
        <f t="shared" si="41"/>
        <v>43748.637589733793</v>
      </c>
    </row>
    <row r="2659" spans="1:10" x14ac:dyDescent="0.25">
      <c r="A2659" s="7" t="s">
        <v>30955</v>
      </c>
      <c r="B2659" s="8">
        <v>393.75</v>
      </c>
      <c r="C2659" s="8">
        <v>20.531590000000001</v>
      </c>
      <c r="D2659" s="8">
        <v>67</v>
      </c>
      <c r="E2659" s="8">
        <v>0</v>
      </c>
      <c r="F2659" s="8">
        <v>0</v>
      </c>
      <c r="G2659" s="8">
        <v>77</v>
      </c>
      <c r="H2659" s="8" t="s">
        <v>30956</v>
      </c>
      <c r="I2659" s="8">
        <v>526.6875</v>
      </c>
      <c r="J2659" s="3">
        <f t="shared" si="41"/>
        <v>43748.637673055557</v>
      </c>
    </row>
    <row r="2660" spans="1:10" x14ac:dyDescent="0.25">
      <c r="A2660" s="5" t="s">
        <v>30957</v>
      </c>
      <c r="B2660" s="6">
        <v>393.75</v>
      </c>
      <c r="C2660" s="6">
        <v>20.584240000000001</v>
      </c>
      <c r="D2660" s="6">
        <v>67</v>
      </c>
      <c r="E2660" s="6">
        <v>0</v>
      </c>
      <c r="F2660" s="6">
        <v>0</v>
      </c>
      <c r="G2660" s="6">
        <v>78</v>
      </c>
      <c r="H2660" s="6" t="s">
        <v>30958</v>
      </c>
      <c r="I2660" s="6">
        <v>526.5</v>
      </c>
      <c r="J2660" s="2">
        <f t="shared" si="41"/>
        <v>43748.637756388889</v>
      </c>
    </row>
    <row r="2661" spans="1:10" x14ac:dyDescent="0.25">
      <c r="A2661" s="7" t="s">
        <v>30959</v>
      </c>
      <c r="B2661" s="8">
        <v>393.75</v>
      </c>
      <c r="C2661" s="8">
        <v>20.531590000000001</v>
      </c>
      <c r="D2661" s="8">
        <v>68</v>
      </c>
      <c r="E2661" s="8">
        <v>0</v>
      </c>
      <c r="F2661" s="8">
        <v>0</v>
      </c>
      <c r="G2661" s="8">
        <v>76</v>
      </c>
      <c r="H2661" s="8" t="s">
        <v>30960</v>
      </c>
      <c r="I2661" s="8">
        <v>526.6875</v>
      </c>
      <c r="J2661" s="3">
        <f t="shared" si="41"/>
        <v>43748.637840185183</v>
      </c>
    </row>
    <row r="2662" spans="1:10" x14ac:dyDescent="0.25">
      <c r="A2662" s="5" t="s">
        <v>30961</v>
      </c>
      <c r="B2662" s="6">
        <v>393.75</v>
      </c>
      <c r="C2662" s="6">
        <v>20.531590000000001</v>
      </c>
      <c r="D2662" s="6">
        <v>69</v>
      </c>
      <c r="E2662" s="6">
        <v>0</v>
      </c>
      <c r="F2662" s="6">
        <v>0</v>
      </c>
      <c r="G2662" s="6">
        <v>78</v>
      </c>
      <c r="H2662" s="6" t="s">
        <v>30962</v>
      </c>
      <c r="I2662" s="6">
        <v>526.6875</v>
      </c>
      <c r="J2662" s="2">
        <f t="shared" si="41"/>
        <v>43748.637923171293</v>
      </c>
    </row>
    <row r="2663" spans="1:10" x14ac:dyDescent="0.25">
      <c r="A2663" s="7" t="s">
        <v>30963</v>
      </c>
      <c r="B2663" s="8">
        <v>393.75</v>
      </c>
      <c r="C2663" s="8">
        <v>20.531590000000001</v>
      </c>
      <c r="D2663" s="8">
        <v>69</v>
      </c>
      <c r="E2663" s="8">
        <v>0</v>
      </c>
      <c r="F2663" s="8">
        <v>0</v>
      </c>
      <c r="G2663" s="8">
        <v>74</v>
      </c>
      <c r="H2663" s="8" t="s">
        <v>30964</v>
      </c>
      <c r="I2663" s="8">
        <v>526.6875</v>
      </c>
      <c r="J2663" s="3">
        <f t="shared" si="41"/>
        <v>43748.637995162033</v>
      </c>
    </row>
    <row r="2664" spans="1:10" x14ac:dyDescent="0.25">
      <c r="A2664" s="5" t="s">
        <v>30965</v>
      </c>
      <c r="B2664" s="6">
        <v>393.75</v>
      </c>
      <c r="C2664" s="6">
        <v>20.584240000000001</v>
      </c>
      <c r="D2664" s="6">
        <v>68</v>
      </c>
      <c r="E2664" s="6">
        <v>0</v>
      </c>
      <c r="F2664" s="6">
        <v>0</v>
      </c>
      <c r="G2664" s="6">
        <v>66</v>
      </c>
      <c r="H2664" s="6" t="s">
        <v>30966</v>
      </c>
      <c r="I2664" s="6">
        <v>526.6875</v>
      </c>
      <c r="J2664" s="2">
        <f t="shared" si="41"/>
        <v>43748.638078599535</v>
      </c>
    </row>
    <row r="2665" spans="1:10" x14ac:dyDescent="0.25">
      <c r="A2665" s="7" t="s">
        <v>30967</v>
      </c>
      <c r="B2665" s="8">
        <v>393.75</v>
      </c>
      <c r="C2665" s="8">
        <v>20.584240000000001</v>
      </c>
      <c r="D2665" s="8">
        <v>67</v>
      </c>
      <c r="E2665" s="8">
        <v>0</v>
      </c>
      <c r="F2665" s="8">
        <v>0</v>
      </c>
      <c r="G2665" s="8">
        <v>81</v>
      </c>
      <c r="H2665" s="8" t="s">
        <v>30968</v>
      </c>
      <c r="I2665" s="8">
        <v>526.6875</v>
      </c>
      <c r="J2665" s="3">
        <f t="shared" si="41"/>
        <v>43748.638162071758</v>
      </c>
    </row>
    <row r="2666" spans="1:10" x14ac:dyDescent="0.25">
      <c r="A2666" s="5" t="s">
        <v>30969</v>
      </c>
      <c r="B2666" s="6">
        <v>406.25</v>
      </c>
      <c r="C2666" s="6">
        <v>20.531590000000001</v>
      </c>
      <c r="D2666" s="6">
        <v>68</v>
      </c>
      <c r="E2666" s="6">
        <v>0</v>
      </c>
      <c r="F2666" s="6">
        <v>0</v>
      </c>
      <c r="G2666" s="6">
        <v>82</v>
      </c>
      <c r="H2666" s="6" t="s">
        <v>30970</v>
      </c>
      <c r="I2666" s="6">
        <v>530.8125</v>
      </c>
      <c r="J2666" s="2">
        <f t="shared" si="41"/>
        <v>43748.638245277776</v>
      </c>
    </row>
    <row r="2667" spans="1:10" x14ac:dyDescent="0.25">
      <c r="A2667" s="7" t="s">
        <v>30971</v>
      </c>
      <c r="B2667" s="8">
        <v>393.75</v>
      </c>
      <c r="C2667" s="8">
        <v>20.531590000000001</v>
      </c>
      <c r="D2667" s="8">
        <v>68</v>
      </c>
      <c r="E2667" s="8">
        <v>0</v>
      </c>
      <c r="F2667" s="8">
        <v>0</v>
      </c>
      <c r="G2667" s="8">
        <v>79</v>
      </c>
      <c r="H2667" s="8" t="s">
        <v>30972</v>
      </c>
      <c r="I2667" s="8">
        <v>526.6875</v>
      </c>
      <c r="J2667" s="3">
        <f t="shared" si="41"/>
        <v>43748.638317037032</v>
      </c>
    </row>
    <row r="2668" spans="1:10" x14ac:dyDescent="0.25">
      <c r="A2668" s="5" t="s">
        <v>30973</v>
      </c>
      <c r="B2668" s="6">
        <v>393.75</v>
      </c>
      <c r="C2668" s="6">
        <v>20.584240000000001</v>
      </c>
      <c r="D2668" s="6">
        <v>67</v>
      </c>
      <c r="E2668" s="6">
        <v>0</v>
      </c>
      <c r="F2668" s="6">
        <v>0</v>
      </c>
      <c r="G2668" s="6">
        <v>76</v>
      </c>
      <c r="H2668" s="6" t="s">
        <v>30974</v>
      </c>
      <c r="I2668" s="6">
        <v>526.6875</v>
      </c>
      <c r="J2668" s="2">
        <f t="shared" si="41"/>
        <v>43748.638400613425</v>
      </c>
    </row>
    <row r="2669" spans="1:10" x14ac:dyDescent="0.25">
      <c r="A2669" s="7" t="s">
        <v>30975</v>
      </c>
      <c r="B2669" s="8">
        <v>393.75</v>
      </c>
      <c r="C2669" s="8">
        <v>20.584240000000001</v>
      </c>
      <c r="D2669" s="8">
        <v>67</v>
      </c>
      <c r="E2669" s="8">
        <v>0</v>
      </c>
      <c r="F2669" s="8">
        <v>0</v>
      </c>
      <c r="G2669" s="8">
        <v>73</v>
      </c>
      <c r="H2669" s="8" t="s">
        <v>30976</v>
      </c>
      <c r="I2669" s="8">
        <v>526.6875</v>
      </c>
      <c r="J2669" s="3">
        <f t="shared" si="41"/>
        <v>43748.638484178235</v>
      </c>
    </row>
    <row r="2670" spans="1:10" x14ac:dyDescent="0.25">
      <c r="A2670" s="5" t="s">
        <v>30977</v>
      </c>
      <c r="B2670" s="6">
        <v>393.75</v>
      </c>
      <c r="C2670" s="6">
        <v>20.584240000000001</v>
      </c>
      <c r="D2670" s="6">
        <v>67</v>
      </c>
      <c r="E2670" s="6">
        <v>0</v>
      </c>
      <c r="F2670" s="6">
        <v>0</v>
      </c>
      <c r="G2670" s="6">
        <v>79</v>
      </c>
      <c r="H2670" s="6" t="s">
        <v>30978</v>
      </c>
      <c r="I2670" s="6">
        <v>526.6875</v>
      </c>
      <c r="J2670" s="2">
        <f t="shared" si="41"/>
        <v>43748.638579652776</v>
      </c>
    </row>
    <row r="2671" spans="1:10" x14ac:dyDescent="0.25">
      <c r="A2671" s="7" t="s">
        <v>30979</v>
      </c>
      <c r="B2671" s="8">
        <v>393.75</v>
      </c>
      <c r="C2671" s="8">
        <v>20.531590000000001</v>
      </c>
      <c r="D2671" s="8">
        <v>68</v>
      </c>
      <c r="E2671" s="8">
        <v>0</v>
      </c>
      <c r="F2671" s="8">
        <v>0</v>
      </c>
      <c r="G2671" s="8">
        <v>64</v>
      </c>
      <c r="H2671" s="8" t="s">
        <v>30980</v>
      </c>
      <c r="I2671" s="8">
        <v>526.875</v>
      </c>
      <c r="J2671" s="3">
        <f t="shared" si="41"/>
        <v>43748.638651064808</v>
      </c>
    </row>
    <row r="2672" spans="1:10" x14ac:dyDescent="0.25">
      <c r="A2672" s="5" t="s">
        <v>30981</v>
      </c>
      <c r="B2672" s="6">
        <v>393.75</v>
      </c>
      <c r="C2672" s="6">
        <v>20.584240000000001</v>
      </c>
      <c r="D2672" s="6">
        <v>67</v>
      </c>
      <c r="E2672" s="6">
        <v>0</v>
      </c>
      <c r="F2672" s="6">
        <v>0</v>
      </c>
      <c r="G2672" s="6">
        <v>79</v>
      </c>
      <c r="H2672" s="6" t="s">
        <v>30982</v>
      </c>
      <c r="I2672" s="6">
        <v>526.6875</v>
      </c>
      <c r="J2672" s="2">
        <f t="shared" si="41"/>
        <v>43748.638734270826</v>
      </c>
    </row>
    <row r="2673" spans="1:10" x14ac:dyDescent="0.25">
      <c r="A2673" s="7" t="s">
        <v>30983</v>
      </c>
      <c r="B2673" s="8">
        <v>393.75</v>
      </c>
      <c r="C2673" s="8">
        <v>20.531590000000001</v>
      </c>
      <c r="D2673" s="8">
        <v>67</v>
      </c>
      <c r="E2673" s="8">
        <v>0</v>
      </c>
      <c r="F2673" s="8">
        <v>0</v>
      </c>
      <c r="G2673" s="8">
        <v>69</v>
      </c>
      <c r="H2673" s="8" t="s">
        <v>30984</v>
      </c>
      <c r="I2673" s="8">
        <v>526.6875</v>
      </c>
      <c r="J2673" s="3">
        <f t="shared" si="41"/>
        <v>43748.638805925926</v>
      </c>
    </row>
    <row r="2674" spans="1:10" x14ac:dyDescent="0.25">
      <c r="A2674" s="5" t="s">
        <v>30985</v>
      </c>
      <c r="B2674" s="6">
        <v>393.75</v>
      </c>
      <c r="C2674" s="6">
        <v>20.531590000000001</v>
      </c>
      <c r="D2674" s="6">
        <v>68</v>
      </c>
      <c r="E2674" s="6">
        <v>0</v>
      </c>
      <c r="F2674" s="6">
        <v>0</v>
      </c>
      <c r="G2674" s="6">
        <v>68</v>
      </c>
      <c r="H2674" s="6" t="s">
        <v>30986</v>
      </c>
      <c r="I2674" s="6">
        <v>526.6875</v>
      </c>
      <c r="J2674" s="2">
        <f t="shared" si="41"/>
        <v>43748.638889733797</v>
      </c>
    </row>
    <row r="2675" spans="1:10" x14ac:dyDescent="0.25">
      <c r="A2675" s="7" t="s">
        <v>30987</v>
      </c>
      <c r="B2675" s="8">
        <v>393.75</v>
      </c>
      <c r="C2675" s="8">
        <v>20.531590000000001</v>
      </c>
      <c r="D2675" s="8">
        <v>68</v>
      </c>
      <c r="E2675" s="8">
        <v>0</v>
      </c>
      <c r="F2675" s="8">
        <v>0</v>
      </c>
      <c r="G2675" s="8">
        <v>74</v>
      </c>
      <c r="H2675" s="8" t="s">
        <v>30988</v>
      </c>
      <c r="I2675" s="8">
        <v>526.6875</v>
      </c>
      <c r="J2675" s="3">
        <f t="shared" si="41"/>
        <v>43748.638973043977</v>
      </c>
    </row>
    <row r="2676" spans="1:10" x14ac:dyDescent="0.25">
      <c r="A2676" s="5" t="s">
        <v>30989</v>
      </c>
      <c r="B2676" s="6">
        <v>412.5</v>
      </c>
      <c r="C2676" s="6">
        <v>20.584240000000001</v>
      </c>
      <c r="D2676" s="6">
        <v>69</v>
      </c>
      <c r="E2676" s="6">
        <v>0</v>
      </c>
      <c r="F2676" s="6">
        <v>0</v>
      </c>
      <c r="G2676" s="6">
        <v>72</v>
      </c>
      <c r="H2676" s="6" t="s">
        <v>30990</v>
      </c>
      <c r="I2676" s="6">
        <v>532.6875</v>
      </c>
      <c r="J2676" s="2">
        <f t="shared" si="41"/>
        <v>43748.639056377309</v>
      </c>
    </row>
    <row r="2677" spans="1:10" x14ac:dyDescent="0.25">
      <c r="A2677" s="7" t="s">
        <v>30991</v>
      </c>
      <c r="B2677" s="8">
        <v>393.75</v>
      </c>
      <c r="C2677" s="8">
        <v>20.478950000000001</v>
      </c>
      <c r="D2677" s="8">
        <v>69</v>
      </c>
      <c r="E2677" s="8">
        <v>0</v>
      </c>
      <c r="F2677" s="8">
        <v>0</v>
      </c>
      <c r="G2677" s="8">
        <v>75</v>
      </c>
      <c r="H2677" s="8" t="s">
        <v>30992</v>
      </c>
      <c r="I2677" s="8">
        <v>526.6875</v>
      </c>
      <c r="J2677" s="3">
        <f t="shared" si="41"/>
        <v>43748.639128136572</v>
      </c>
    </row>
    <row r="2678" spans="1:10" x14ac:dyDescent="0.25">
      <c r="A2678" s="5" t="s">
        <v>30993</v>
      </c>
      <c r="B2678" s="6">
        <v>393.75</v>
      </c>
      <c r="C2678" s="6">
        <v>20.531590000000001</v>
      </c>
      <c r="D2678" s="6">
        <v>69</v>
      </c>
      <c r="E2678" s="6">
        <v>0</v>
      </c>
      <c r="F2678" s="6">
        <v>0</v>
      </c>
      <c r="G2678" s="6">
        <v>78</v>
      </c>
      <c r="H2678" s="6" t="s">
        <v>30994</v>
      </c>
      <c r="I2678" s="6">
        <v>526.6875</v>
      </c>
      <c r="J2678" s="2">
        <f t="shared" si="41"/>
        <v>43748.639211701382</v>
      </c>
    </row>
    <row r="2679" spans="1:10" x14ac:dyDescent="0.25">
      <c r="A2679" s="7" t="s">
        <v>30995</v>
      </c>
      <c r="B2679" s="8">
        <v>393.75</v>
      </c>
      <c r="C2679" s="8">
        <v>20.584240000000001</v>
      </c>
      <c r="D2679" s="8">
        <v>69</v>
      </c>
      <c r="E2679" s="8">
        <v>0</v>
      </c>
      <c r="F2679" s="8">
        <v>0</v>
      </c>
      <c r="G2679" s="8">
        <v>71</v>
      </c>
      <c r="H2679" s="8" t="s">
        <v>30996</v>
      </c>
      <c r="I2679" s="8">
        <v>526.6875</v>
      </c>
      <c r="J2679" s="3">
        <f t="shared" si="41"/>
        <v>43748.639295162029</v>
      </c>
    </row>
    <row r="2680" spans="1:10" x14ac:dyDescent="0.25">
      <c r="A2680" s="5" t="s">
        <v>30997</v>
      </c>
      <c r="B2680" s="6">
        <v>393.75</v>
      </c>
      <c r="C2680" s="6">
        <v>20.584240000000001</v>
      </c>
      <c r="D2680" s="6">
        <v>69</v>
      </c>
      <c r="E2680" s="6">
        <v>0</v>
      </c>
      <c r="F2680" s="6">
        <v>0</v>
      </c>
      <c r="G2680" s="6">
        <v>80</v>
      </c>
      <c r="H2680" s="6" t="s">
        <v>30998</v>
      </c>
      <c r="I2680" s="6">
        <v>526.6875</v>
      </c>
      <c r="J2680" s="2">
        <f t="shared" si="41"/>
        <v>43748.639378599539</v>
      </c>
    </row>
    <row r="2681" spans="1:10" x14ac:dyDescent="0.25">
      <c r="A2681" s="7" t="s">
        <v>30999</v>
      </c>
      <c r="B2681" s="8">
        <v>393.75</v>
      </c>
      <c r="C2681" s="8">
        <v>20.584240000000001</v>
      </c>
      <c r="D2681" s="8">
        <v>68</v>
      </c>
      <c r="E2681" s="8">
        <v>0</v>
      </c>
      <c r="F2681" s="8">
        <v>0</v>
      </c>
      <c r="G2681" s="8">
        <v>78</v>
      </c>
      <c r="H2681" s="8" t="s">
        <v>31000</v>
      </c>
      <c r="I2681" s="8">
        <v>526.6875</v>
      </c>
      <c r="J2681" s="3">
        <f t="shared" si="41"/>
        <v>43748.639462175925</v>
      </c>
    </row>
    <row r="2682" spans="1:10" x14ac:dyDescent="0.25">
      <c r="A2682" s="5" t="s">
        <v>31001</v>
      </c>
      <c r="B2682" s="6">
        <v>393.75</v>
      </c>
      <c r="C2682" s="6">
        <v>20.584240000000001</v>
      </c>
      <c r="D2682" s="6">
        <v>68</v>
      </c>
      <c r="E2682" s="6">
        <v>0</v>
      </c>
      <c r="F2682" s="6">
        <v>0</v>
      </c>
      <c r="G2682" s="6">
        <v>71</v>
      </c>
      <c r="H2682" s="6" t="s">
        <v>31002</v>
      </c>
      <c r="I2682" s="6">
        <v>526.6875</v>
      </c>
      <c r="J2682" s="2">
        <f t="shared" si="41"/>
        <v>43748.639545277772</v>
      </c>
    </row>
    <row r="2683" spans="1:10" x14ac:dyDescent="0.25">
      <c r="A2683" s="7" t="s">
        <v>31003</v>
      </c>
      <c r="B2683" s="8">
        <v>393.75</v>
      </c>
      <c r="C2683" s="8">
        <v>20.584240000000001</v>
      </c>
      <c r="D2683" s="8">
        <v>68</v>
      </c>
      <c r="E2683" s="8">
        <v>0</v>
      </c>
      <c r="F2683" s="8">
        <v>0</v>
      </c>
      <c r="G2683" s="8">
        <v>69</v>
      </c>
      <c r="H2683" s="8" t="s">
        <v>31004</v>
      </c>
      <c r="I2683" s="8">
        <v>526.6875</v>
      </c>
      <c r="J2683" s="3">
        <f t="shared" si="41"/>
        <v>43748.639616909721</v>
      </c>
    </row>
    <row r="2684" spans="1:10" x14ac:dyDescent="0.25">
      <c r="A2684" s="5" t="s">
        <v>31005</v>
      </c>
      <c r="B2684" s="6">
        <v>393.75</v>
      </c>
      <c r="C2684" s="6">
        <v>20.531590000000001</v>
      </c>
      <c r="D2684" s="6">
        <v>67</v>
      </c>
      <c r="E2684" s="6">
        <v>0</v>
      </c>
      <c r="F2684" s="6">
        <v>0</v>
      </c>
      <c r="G2684" s="6">
        <v>69</v>
      </c>
      <c r="H2684" s="6" t="s">
        <v>31006</v>
      </c>
      <c r="I2684" s="6">
        <v>526.6875</v>
      </c>
      <c r="J2684" s="2">
        <f t="shared" si="41"/>
        <v>43748.63970083333</v>
      </c>
    </row>
    <row r="2685" spans="1:10" x14ac:dyDescent="0.25">
      <c r="A2685" s="7" t="s">
        <v>31007</v>
      </c>
      <c r="B2685" s="8">
        <v>393.75</v>
      </c>
      <c r="C2685" s="8">
        <v>20.584240000000001</v>
      </c>
      <c r="D2685" s="8">
        <v>67</v>
      </c>
      <c r="E2685" s="8">
        <v>0</v>
      </c>
      <c r="F2685" s="8">
        <v>0</v>
      </c>
      <c r="G2685" s="8">
        <v>81</v>
      </c>
      <c r="H2685" s="8" t="s">
        <v>31008</v>
      </c>
      <c r="I2685" s="8">
        <v>526.6875</v>
      </c>
      <c r="J2685" s="3">
        <f t="shared" si="41"/>
        <v>43748.639772245369</v>
      </c>
    </row>
    <row r="2686" spans="1:10" x14ac:dyDescent="0.25">
      <c r="A2686" s="5" t="s">
        <v>31009</v>
      </c>
      <c r="B2686" s="6">
        <v>393.75</v>
      </c>
      <c r="C2686" s="6">
        <v>20.584240000000001</v>
      </c>
      <c r="D2686" s="6">
        <v>72</v>
      </c>
      <c r="E2686" s="6">
        <v>0</v>
      </c>
      <c r="F2686" s="6">
        <v>0</v>
      </c>
      <c r="G2686" s="6">
        <v>70</v>
      </c>
      <c r="H2686" s="6" t="s">
        <v>31010</v>
      </c>
      <c r="I2686" s="6">
        <v>526.6875</v>
      </c>
      <c r="J2686" s="2">
        <f t="shared" si="41"/>
        <v>43748.639867534723</v>
      </c>
    </row>
    <row r="2687" spans="1:10" x14ac:dyDescent="0.25">
      <c r="A2687" s="7" t="s">
        <v>31011</v>
      </c>
      <c r="B2687" s="8">
        <v>393.75</v>
      </c>
      <c r="C2687" s="8">
        <v>20.584240000000001</v>
      </c>
      <c r="D2687" s="8">
        <v>72</v>
      </c>
      <c r="E2687" s="8">
        <v>0</v>
      </c>
      <c r="F2687" s="8">
        <v>0</v>
      </c>
      <c r="G2687" s="8">
        <v>68</v>
      </c>
      <c r="H2687" s="8" t="s">
        <v>31012</v>
      </c>
      <c r="I2687" s="8">
        <v>526.6875</v>
      </c>
      <c r="J2687" s="3">
        <f t="shared" si="41"/>
        <v>43748.639939166664</v>
      </c>
    </row>
    <row r="2688" spans="1:10" x14ac:dyDescent="0.25">
      <c r="A2688" s="5" t="s">
        <v>31013</v>
      </c>
      <c r="B2688" s="6">
        <v>393.75</v>
      </c>
      <c r="C2688" s="6">
        <v>20.584240000000001</v>
      </c>
      <c r="D2688" s="6">
        <v>70</v>
      </c>
      <c r="E2688" s="6">
        <v>0</v>
      </c>
      <c r="F2688" s="6">
        <v>0</v>
      </c>
      <c r="G2688" s="6">
        <v>84</v>
      </c>
      <c r="H2688" s="6" t="s">
        <v>31014</v>
      </c>
      <c r="I2688" s="6">
        <v>526.6875</v>
      </c>
      <c r="J2688" s="2">
        <f t="shared" si="41"/>
        <v>43748.640010925919</v>
      </c>
    </row>
    <row r="2689" spans="1:10" x14ac:dyDescent="0.25">
      <c r="A2689" s="7" t="s">
        <v>31015</v>
      </c>
      <c r="B2689" s="8">
        <v>393.75</v>
      </c>
      <c r="C2689" s="8">
        <v>20.531590000000001</v>
      </c>
      <c r="D2689" s="8">
        <v>69</v>
      </c>
      <c r="E2689" s="8">
        <v>0</v>
      </c>
      <c r="F2689" s="8">
        <v>0</v>
      </c>
      <c r="G2689" s="8">
        <v>79</v>
      </c>
      <c r="H2689" s="8" t="s">
        <v>31016</v>
      </c>
      <c r="I2689" s="8">
        <v>526.6875</v>
      </c>
      <c r="J2689" s="3">
        <f t="shared" si="41"/>
        <v>43748.640082337959</v>
      </c>
    </row>
    <row r="2690" spans="1:10" x14ac:dyDescent="0.25">
      <c r="A2690" s="5" t="s">
        <v>31017</v>
      </c>
      <c r="B2690" s="6">
        <v>412.5</v>
      </c>
      <c r="C2690" s="6">
        <v>20.584240000000001</v>
      </c>
      <c r="D2690" s="6">
        <v>69</v>
      </c>
      <c r="E2690" s="6">
        <v>0</v>
      </c>
      <c r="F2690" s="6">
        <v>0</v>
      </c>
      <c r="G2690" s="6">
        <v>79</v>
      </c>
      <c r="H2690" s="6" t="s">
        <v>31018</v>
      </c>
      <c r="I2690" s="6">
        <v>532.3125</v>
      </c>
      <c r="J2690" s="2">
        <f t="shared" ref="J2690:J2753" si="42">(H2690/86400000)+25569+(7/24)</f>
        <v>43748.640165914352</v>
      </c>
    </row>
    <row r="2691" spans="1:10" x14ac:dyDescent="0.25">
      <c r="A2691" s="7" t="s">
        <v>31019</v>
      </c>
      <c r="B2691" s="8">
        <v>393.75</v>
      </c>
      <c r="C2691" s="8">
        <v>20.531590000000001</v>
      </c>
      <c r="D2691" s="8">
        <v>69</v>
      </c>
      <c r="E2691" s="8">
        <v>0</v>
      </c>
      <c r="F2691" s="8">
        <v>0</v>
      </c>
      <c r="G2691" s="8">
        <v>77</v>
      </c>
      <c r="H2691" s="8" t="s">
        <v>31020</v>
      </c>
      <c r="I2691" s="8">
        <v>526.6875</v>
      </c>
      <c r="J2691" s="3">
        <f t="shared" si="42"/>
        <v>43748.6402490162</v>
      </c>
    </row>
    <row r="2692" spans="1:10" x14ac:dyDescent="0.25">
      <c r="A2692" s="5" t="s">
        <v>31021</v>
      </c>
      <c r="B2692" s="6">
        <v>393.75</v>
      </c>
      <c r="C2692" s="6">
        <v>20.584240000000001</v>
      </c>
      <c r="D2692" s="6">
        <v>69</v>
      </c>
      <c r="E2692" s="6">
        <v>0</v>
      </c>
      <c r="F2692" s="6">
        <v>0</v>
      </c>
      <c r="G2692" s="6">
        <v>84</v>
      </c>
      <c r="H2692" s="6" t="s">
        <v>31022</v>
      </c>
      <c r="I2692" s="6">
        <v>526.6875</v>
      </c>
      <c r="J2692" s="2">
        <f t="shared" si="42"/>
        <v>43748.640320763887</v>
      </c>
    </row>
    <row r="2693" spans="1:10" x14ac:dyDescent="0.25">
      <c r="A2693" s="7" t="s">
        <v>31023</v>
      </c>
      <c r="B2693" s="8">
        <v>393.75</v>
      </c>
      <c r="C2693" s="8">
        <v>20.584240000000001</v>
      </c>
      <c r="D2693" s="8">
        <v>70</v>
      </c>
      <c r="E2693" s="8">
        <v>0</v>
      </c>
      <c r="F2693" s="8">
        <v>0</v>
      </c>
      <c r="G2693" s="8">
        <v>82</v>
      </c>
      <c r="H2693" s="8" t="s">
        <v>31024</v>
      </c>
      <c r="I2693" s="8">
        <v>526.6875</v>
      </c>
      <c r="J2693" s="3">
        <f t="shared" si="42"/>
        <v>43748.640392638881</v>
      </c>
    </row>
    <row r="2694" spans="1:10" x14ac:dyDescent="0.25">
      <c r="A2694" s="5" t="s">
        <v>31025</v>
      </c>
      <c r="B2694" s="6">
        <v>393.75</v>
      </c>
      <c r="C2694" s="6">
        <v>20.531590000000001</v>
      </c>
      <c r="D2694" s="6">
        <v>69</v>
      </c>
      <c r="E2694" s="6">
        <v>0</v>
      </c>
      <c r="F2694" s="6">
        <v>0</v>
      </c>
      <c r="G2694" s="6">
        <v>71</v>
      </c>
      <c r="H2694" s="6" t="s">
        <v>31026</v>
      </c>
      <c r="I2694" s="6">
        <v>526.6875</v>
      </c>
      <c r="J2694" s="2">
        <f t="shared" si="42"/>
        <v>43748.640487962963</v>
      </c>
    </row>
    <row r="2695" spans="1:10" x14ac:dyDescent="0.25">
      <c r="A2695" s="7" t="s">
        <v>31027</v>
      </c>
      <c r="B2695" s="8">
        <v>428.125</v>
      </c>
      <c r="C2695" s="8">
        <v>20.531590000000001</v>
      </c>
      <c r="D2695" s="8">
        <v>69</v>
      </c>
      <c r="E2695" s="8">
        <v>0</v>
      </c>
      <c r="F2695" s="8">
        <v>0</v>
      </c>
      <c r="G2695" s="8">
        <v>76</v>
      </c>
      <c r="H2695" s="8" t="s">
        <v>31028</v>
      </c>
      <c r="I2695" s="8">
        <v>537</v>
      </c>
      <c r="J2695" s="3">
        <f t="shared" si="42"/>
        <v>43748.640559421292</v>
      </c>
    </row>
    <row r="2696" spans="1:10" x14ac:dyDescent="0.25">
      <c r="A2696" s="5" t="s">
        <v>31029</v>
      </c>
      <c r="B2696" s="6">
        <v>393.75</v>
      </c>
      <c r="C2696" s="6">
        <v>20.584240000000001</v>
      </c>
      <c r="D2696" s="6">
        <v>70</v>
      </c>
      <c r="E2696" s="6">
        <v>0</v>
      </c>
      <c r="F2696" s="6">
        <v>0</v>
      </c>
      <c r="G2696" s="6">
        <v>78</v>
      </c>
      <c r="H2696" s="6" t="s">
        <v>31030</v>
      </c>
      <c r="I2696" s="6">
        <v>526.6875</v>
      </c>
      <c r="J2696" s="2">
        <f t="shared" si="42"/>
        <v>43748.640642997685</v>
      </c>
    </row>
    <row r="2697" spans="1:10" x14ac:dyDescent="0.25">
      <c r="A2697" s="7" t="s">
        <v>31031</v>
      </c>
      <c r="B2697" s="8">
        <v>393.75</v>
      </c>
      <c r="C2697" s="8">
        <v>20.531590000000001</v>
      </c>
      <c r="D2697" s="8">
        <v>69</v>
      </c>
      <c r="E2697" s="8">
        <v>0</v>
      </c>
      <c r="F2697" s="8">
        <v>0</v>
      </c>
      <c r="G2697" s="8">
        <v>73</v>
      </c>
      <c r="H2697" s="8" t="s">
        <v>31032</v>
      </c>
      <c r="I2697" s="8">
        <v>526.6875</v>
      </c>
      <c r="J2697" s="3">
        <f t="shared" si="42"/>
        <v>43748.640726446756</v>
      </c>
    </row>
    <row r="2698" spans="1:10" x14ac:dyDescent="0.25">
      <c r="A2698" s="5" t="s">
        <v>31033</v>
      </c>
      <c r="B2698" s="6">
        <v>393.75</v>
      </c>
      <c r="C2698" s="6">
        <v>20.584240000000001</v>
      </c>
      <c r="D2698" s="6">
        <v>69</v>
      </c>
      <c r="E2698" s="6">
        <v>0</v>
      </c>
      <c r="F2698" s="6">
        <v>0</v>
      </c>
      <c r="G2698" s="6">
        <v>72</v>
      </c>
      <c r="H2698" s="6" t="s">
        <v>31034</v>
      </c>
      <c r="I2698" s="6">
        <v>526.6875</v>
      </c>
      <c r="J2698" s="2">
        <f t="shared" si="42"/>
        <v>43748.640797951382</v>
      </c>
    </row>
    <row r="2699" spans="1:10" x14ac:dyDescent="0.25">
      <c r="A2699" s="7" t="s">
        <v>31035</v>
      </c>
      <c r="B2699" s="8">
        <v>393.75</v>
      </c>
      <c r="C2699" s="8">
        <v>20.584240000000001</v>
      </c>
      <c r="D2699" s="8">
        <v>68</v>
      </c>
      <c r="E2699" s="8">
        <v>0</v>
      </c>
      <c r="F2699" s="8">
        <v>0</v>
      </c>
      <c r="G2699" s="8">
        <v>83</v>
      </c>
      <c r="H2699" s="8" t="s">
        <v>31036</v>
      </c>
      <c r="I2699" s="8">
        <v>526.6875</v>
      </c>
      <c r="J2699" s="3">
        <f t="shared" si="42"/>
        <v>43748.640869606483</v>
      </c>
    </row>
    <row r="2700" spans="1:10" x14ac:dyDescent="0.25">
      <c r="A2700" s="5" t="s">
        <v>31037</v>
      </c>
      <c r="B2700" s="6">
        <v>393.75</v>
      </c>
      <c r="C2700" s="6">
        <v>20.531590000000001</v>
      </c>
      <c r="D2700" s="6">
        <v>68</v>
      </c>
      <c r="E2700" s="6">
        <v>0</v>
      </c>
      <c r="F2700" s="6">
        <v>0</v>
      </c>
      <c r="G2700" s="6">
        <v>79</v>
      </c>
      <c r="H2700" s="6" t="s">
        <v>31038</v>
      </c>
      <c r="I2700" s="6">
        <v>526.6875</v>
      </c>
      <c r="J2700" s="2">
        <f t="shared" si="42"/>
        <v>43748.640952685186</v>
      </c>
    </row>
    <row r="2701" spans="1:10" x14ac:dyDescent="0.25">
      <c r="A2701" s="7" t="s">
        <v>31039</v>
      </c>
      <c r="B2701" s="8">
        <v>415.625</v>
      </c>
      <c r="C2701" s="8">
        <v>20.584240000000001</v>
      </c>
      <c r="D2701" s="8">
        <v>68</v>
      </c>
      <c r="E2701" s="8">
        <v>0</v>
      </c>
      <c r="F2701" s="8">
        <v>0</v>
      </c>
      <c r="G2701" s="8">
        <v>73</v>
      </c>
      <c r="H2701" s="8" t="s">
        <v>31040</v>
      </c>
      <c r="I2701" s="8">
        <v>533.25</v>
      </c>
      <c r="J2701" s="3">
        <f t="shared" si="42"/>
        <v>43748.641024467586</v>
      </c>
    </row>
    <row r="2702" spans="1:10" x14ac:dyDescent="0.25">
      <c r="A2702" s="5" t="s">
        <v>31041</v>
      </c>
      <c r="B2702" s="6">
        <v>393.75</v>
      </c>
      <c r="C2702" s="6">
        <v>20.584240000000001</v>
      </c>
      <c r="D2702" s="6">
        <v>72</v>
      </c>
      <c r="E2702" s="6">
        <v>0</v>
      </c>
      <c r="F2702" s="6">
        <v>0</v>
      </c>
      <c r="G2702" s="6">
        <v>74</v>
      </c>
      <c r="H2702" s="6" t="s">
        <v>31042</v>
      </c>
      <c r="I2702" s="6">
        <v>526.6875</v>
      </c>
      <c r="J2702" s="2">
        <f t="shared" si="42"/>
        <v>43748.641108275457</v>
      </c>
    </row>
    <row r="2703" spans="1:10" x14ac:dyDescent="0.25">
      <c r="A2703" s="7" t="s">
        <v>31043</v>
      </c>
      <c r="B2703" s="8">
        <v>393.75</v>
      </c>
      <c r="C2703" s="8">
        <v>20.531590000000001</v>
      </c>
      <c r="D2703" s="8">
        <v>71</v>
      </c>
      <c r="E2703" s="8">
        <v>0</v>
      </c>
      <c r="F2703" s="8">
        <v>0</v>
      </c>
      <c r="G2703" s="8">
        <v>73</v>
      </c>
      <c r="H2703" s="8" t="s">
        <v>31044</v>
      </c>
      <c r="I2703" s="8">
        <v>526.6875</v>
      </c>
      <c r="J2703" s="3">
        <f t="shared" si="42"/>
        <v>43748.641191608789</v>
      </c>
    </row>
    <row r="2704" spans="1:10" x14ac:dyDescent="0.25">
      <c r="A2704" s="5" t="s">
        <v>31045</v>
      </c>
      <c r="B2704" s="6">
        <v>393.75</v>
      </c>
      <c r="C2704" s="6">
        <v>20.584240000000001</v>
      </c>
      <c r="D2704" s="6">
        <v>71</v>
      </c>
      <c r="E2704" s="6">
        <v>0</v>
      </c>
      <c r="F2704" s="6">
        <v>0</v>
      </c>
      <c r="G2704" s="6">
        <v>86</v>
      </c>
      <c r="H2704" s="6" t="s">
        <v>31046</v>
      </c>
      <c r="I2704" s="6">
        <v>526.6875</v>
      </c>
      <c r="J2704" s="2">
        <f t="shared" si="42"/>
        <v>43748.641263240737</v>
      </c>
    </row>
    <row r="2705" spans="1:10" x14ac:dyDescent="0.25">
      <c r="A2705" s="7" t="s">
        <v>31047</v>
      </c>
      <c r="B2705" s="8">
        <v>393.75</v>
      </c>
      <c r="C2705" s="8">
        <v>20.531590000000001</v>
      </c>
      <c r="D2705" s="8">
        <v>72</v>
      </c>
      <c r="E2705" s="8">
        <v>0</v>
      </c>
      <c r="F2705" s="8">
        <v>0</v>
      </c>
      <c r="G2705" s="8">
        <v>75</v>
      </c>
      <c r="H2705" s="8" t="s">
        <v>31048</v>
      </c>
      <c r="I2705" s="8">
        <v>526.6875</v>
      </c>
      <c r="J2705" s="3">
        <f t="shared" si="42"/>
        <v>43748.641346805554</v>
      </c>
    </row>
    <row r="2706" spans="1:10" x14ac:dyDescent="0.25">
      <c r="A2706" s="5" t="s">
        <v>31049</v>
      </c>
      <c r="B2706" s="6">
        <v>393.75</v>
      </c>
      <c r="C2706" s="6">
        <v>20.584240000000001</v>
      </c>
      <c r="D2706" s="6">
        <v>72</v>
      </c>
      <c r="E2706" s="6">
        <v>0</v>
      </c>
      <c r="F2706" s="6">
        <v>0</v>
      </c>
      <c r="G2706" s="6">
        <v>72</v>
      </c>
      <c r="H2706" s="6" t="s">
        <v>31050</v>
      </c>
      <c r="I2706" s="6">
        <v>526.6875</v>
      </c>
      <c r="J2706" s="2">
        <f t="shared" si="42"/>
        <v>43748.641430266201</v>
      </c>
    </row>
    <row r="2707" spans="1:10" x14ac:dyDescent="0.25">
      <c r="A2707" s="7" t="s">
        <v>31051</v>
      </c>
      <c r="B2707" s="8">
        <v>393.75</v>
      </c>
      <c r="C2707" s="8">
        <v>20.531590000000001</v>
      </c>
      <c r="D2707" s="8">
        <v>70</v>
      </c>
      <c r="E2707" s="8">
        <v>0</v>
      </c>
      <c r="F2707" s="8">
        <v>0</v>
      </c>
      <c r="G2707" s="8">
        <v>72</v>
      </c>
      <c r="H2707" s="8" t="s">
        <v>31052</v>
      </c>
      <c r="I2707" s="8">
        <v>526.6875</v>
      </c>
      <c r="J2707" s="3">
        <f t="shared" si="42"/>
        <v>43748.641513703704</v>
      </c>
    </row>
    <row r="2708" spans="1:10" x14ac:dyDescent="0.25">
      <c r="A2708" s="5" t="s">
        <v>31053</v>
      </c>
      <c r="B2708" s="6">
        <v>393.75</v>
      </c>
      <c r="C2708" s="6">
        <v>20.531590000000001</v>
      </c>
      <c r="D2708" s="6">
        <v>68</v>
      </c>
      <c r="E2708" s="6">
        <v>0</v>
      </c>
      <c r="F2708" s="6">
        <v>0</v>
      </c>
      <c r="G2708" s="6">
        <v>80</v>
      </c>
      <c r="H2708" s="6" t="s">
        <v>31054</v>
      </c>
      <c r="I2708" s="6">
        <v>526.6875</v>
      </c>
      <c r="J2708" s="2">
        <f t="shared" si="42"/>
        <v>43748.641597164351</v>
      </c>
    </row>
    <row r="2709" spans="1:10" x14ac:dyDescent="0.25">
      <c r="A2709" s="7" t="s">
        <v>31055</v>
      </c>
      <c r="B2709" s="8">
        <v>393.75</v>
      </c>
      <c r="C2709" s="8">
        <v>20.531590000000001</v>
      </c>
      <c r="D2709" s="8">
        <v>66</v>
      </c>
      <c r="E2709" s="8">
        <v>0</v>
      </c>
      <c r="F2709" s="8">
        <v>0</v>
      </c>
      <c r="G2709" s="8">
        <v>77</v>
      </c>
      <c r="H2709" s="8" t="s">
        <v>31056</v>
      </c>
      <c r="I2709" s="8">
        <v>526.6875</v>
      </c>
      <c r="J2709" s="3">
        <f t="shared" si="42"/>
        <v>43748.641680729161</v>
      </c>
    </row>
    <row r="2710" spans="1:10" x14ac:dyDescent="0.25">
      <c r="A2710" s="5" t="s">
        <v>31057</v>
      </c>
      <c r="B2710" s="6">
        <v>393.75</v>
      </c>
      <c r="C2710" s="6">
        <v>20.584240000000001</v>
      </c>
      <c r="D2710" s="6">
        <v>66</v>
      </c>
      <c r="E2710" s="6">
        <v>0</v>
      </c>
      <c r="F2710" s="6">
        <v>0</v>
      </c>
      <c r="G2710" s="6">
        <v>81</v>
      </c>
      <c r="H2710" s="6" t="s">
        <v>31058</v>
      </c>
      <c r="I2710" s="6">
        <v>526.6875</v>
      </c>
      <c r="J2710" s="2">
        <f t="shared" si="42"/>
        <v>43748.641763831016</v>
      </c>
    </row>
    <row r="2711" spans="1:10" x14ac:dyDescent="0.25">
      <c r="A2711" s="7" t="s">
        <v>31059</v>
      </c>
      <c r="B2711" s="8">
        <v>393.75</v>
      </c>
      <c r="C2711" s="8">
        <v>20.584240000000001</v>
      </c>
      <c r="D2711" s="8">
        <v>66</v>
      </c>
      <c r="E2711" s="8">
        <v>0</v>
      </c>
      <c r="F2711" s="8">
        <v>0</v>
      </c>
      <c r="G2711" s="8">
        <v>77</v>
      </c>
      <c r="H2711" s="8" t="s">
        <v>31060</v>
      </c>
      <c r="I2711" s="8">
        <v>526.6875</v>
      </c>
      <c r="J2711" s="3">
        <f t="shared" si="42"/>
        <v>43748.641835578703</v>
      </c>
    </row>
    <row r="2712" spans="1:10" x14ac:dyDescent="0.25">
      <c r="A2712" s="5" t="s">
        <v>31061</v>
      </c>
      <c r="B2712" s="6">
        <v>393.75</v>
      </c>
      <c r="C2712" s="6">
        <v>20.531590000000001</v>
      </c>
      <c r="D2712" s="6">
        <v>66</v>
      </c>
      <c r="E2712" s="6">
        <v>0</v>
      </c>
      <c r="F2712" s="6">
        <v>0</v>
      </c>
      <c r="G2712" s="6">
        <v>83</v>
      </c>
      <c r="H2712" s="6" t="s">
        <v>31062</v>
      </c>
      <c r="I2712" s="6">
        <v>526.6875</v>
      </c>
      <c r="J2712" s="2">
        <f t="shared" si="42"/>
        <v>43748.641919386573</v>
      </c>
    </row>
    <row r="2713" spans="1:10" x14ac:dyDescent="0.25">
      <c r="A2713" s="7" t="s">
        <v>31063</v>
      </c>
      <c r="B2713" s="8">
        <v>393.75</v>
      </c>
      <c r="C2713" s="8">
        <v>20.531590000000001</v>
      </c>
      <c r="D2713" s="8">
        <v>67</v>
      </c>
      <c r="E2713" s="8">
        <v>0</v>
      </c>
      <c r="F2713" s="8">
        <v>0</v>
      </c>
      <c r="G2713" s="8">
        <v>79</v>
      </c>
      <c r="H2713" s="8" t="s">
        <v>31064</v>
      </c>
      <c r="I2713" s="8">
        <v>526.6875</v>
      </c>
      <c r="J2713" s="3">
        <f t="shared" si="42"/>
        <v>43748.642002731482</v>
      </c>
    </row>
    <row r="2714" spans="1:10" x14ac:dyDescent="0.25">
      <c r="A2714" s="5" t="s">
        <v>31065</v>
      </c>
      <c r="B2714" s="6">
        <v>393.75</v>
      </c>
      <c r="C2714" s="6">
        <v>20.584240000000001</v>
      </c>
      <c r="D2714" s="6">
        <v>66</v>
      </c>
      <c r="E2714" s="6">
        <v>0</v>
      </c>
      <c r="F2714" s="6">
        <v>0</v>
      </c>
      <c r="G2714" s="6">
        <v>67</v>
      </c>
      <c r="H2714" s="6" t="s">
        <v>31066</v>
      </c>
      <c r="I2714" s="6">
        <v>526.6875</v>
      </c>
      <c r="J2714" s="2">
        <f t="shared" si="42"/>
        <v>43748.642086157408</v>
      </c>
    </row>
    <row r="2715" spans="1:10" x14ac:dyDescent="0.25">
      <c r="A2715" s="7" t="s">
        <v>31067</v>
      </c>
      <c r="B2715" s="8">
        <v>393.75</v>
      </c>
      <c r="C2715" s="8">
        <v>20.478950000000001</v>
      </c>
      <c r="D2715" s="8">
        <v>67</v>
      </c>
      <c r="E2715" s="8">
        <v>0</v>
      </c>
      <c r="F2715" s="8">
        <v>0</v>
      </c>
      <c r="G2715" s="8">
        <v>67</v>
      </c>
      <c r="H2715" s="8" t="s">
        <v>31068</v>
      </c>
      <c r="I2715" s="8">
        <v>526.6875</v>
      </c>
      <c r="J2715" s="3">
        <f t="shared" si="42"/>
        <v>43748.642169756939</v>
      </c>
    </row>
    <row r="2716" spans="1:10" x14ac:dyDescent="0.25">
      <c r="A2716" s="5" t="s">
        <v>31069</v>
      </c>
      <c r="B2716" s="6">
        <v>393.75</v>
      </c>
      <c r="C2716" s="6">
        <v>20.531590000000001</v>
      </c>
      <c r="D2716" s="6">
        <v>67</v>
      </c>
      <c r="E2716" s="6">
        <v>0</v>
      </c>
      <c r="F2716" s="6">
        <v>0</v>
      </c>
      <c r="G2716" s="6">
        <v>74</v>
      </c>
      <c r="H2716" s="6" t="s">
        <v>31070</v>
      </c>
      <c r="I2716" s="6">
        <v>526.6875</v>
      </c>
      <c r="J2716" s="2">
        <f t="shared" si="42"/>
        <v>43748.642252835642</v>
      </c>
    </row>
    <row r="2717" spans="1:10" x14ac:dyDescent="0.25">
      <c r="A2717" s="7" t="s">
        <v>31071</v>
      </c>
      <c r="B2717" s="8">
        <v>393.75</v>
      </c>
      <c r="C2717" s="8">
        <v>20.531590000000001</v>
      </c>
      <c r="D2717" s="8">
        <v>67</v>
      </c>
      <c r="E2717" s="8">
        <v>0</v>
      </c>
      <c r="F2717" s="8">
        <v>0</v>
      </c>
      <c r="G2717" s="8">
        <v>71</v>
      </c>
      <c r="H2717" s="8" t="s">
        <v>31072</v>
      </c>
      <c r="I2717" s="8">
        <v>526.6875</v>
      </c>
      <c r="J2717" s="3">
        <f t="shared" si="42"/>
        <v>43748.642324826382</v>
      </c>
    </row>
    <row r="2718" spans="1:10" x14ac:dyDescent="0.25">
      <c r="A2718" s="5" t="s">
        <v>31073</v>
      </c>
      <c r="B2718" s="6">
        <v>393.75</v>
      </c>
      <c r="C2718" s="6">
        <v>20.531590000000001</v>
      </c>
      <c r="D2718" s="6">
        <v>67</v>
      </c>
      <c r="E2718" s="6">
        <v>0</v>
      </c>
      <c r="F2718" s="6">
        <v>0</v>
      </c>
      <c r="G2718" s="6">
        <v>77</v>
      </c>
      <c r="H2718" s="6" t="s">
        <v>31074</v>
      </c>
      <c r="I2718" s="6">
        <v>526.6875</v>
      </c>
      <c r="J2718" s="2">
        <f t="shared" si="42"/>
        <v>43748.64240827546</v>
      </c>
    </row>
    <row r="2719" spans="1:10" x14ac:dyDescent="0.25">
      <c r="A2719" s="7" t="s">
        <v>31075</v>
      </c>
      <c r="B2719" s="8">
        <v>393.75</v>
      </c>
      <c r="C2719" s="8">
        <v>20.531590000000001</v>
      </c>
      <c r="D2719" s="8">
        <v>67</v>
      </c>
      <c r="E2719" s="8">
        <v>0</v>
      </c>
      <c r="F2719" s="8">
        <v>0</v>
      </c>
      <c r="G2719" s="8">
        <v>65</v>
      </c>
      <c r="H2719" s="8" t="s">
        <v>31076</v>
      </c>
      <c r="I2719" s="8">
        <v>526.6875</v>
      </c>
      <c r="J2719" s="3">
        <f t="shared" si="42"/>
        <v>43748.642503668983</v>
      </c>
    </row>
    <row r="2720" spans="1:10" x14ac:dyDescent="0.25">
      <c r="A2720" s="5" t="s">
        <v>31077</v>
      </c>
      <c r="B2720" s="6">
        <v>393.75</v>
      </c>
      <c r="C2720" s="6">
        <v>20.584240000000001</v>
      </c>
      <c r="D2720" s="6">
        <v>68</v>
      </c>
      <c r="E2720" s="6">
        <v>0</v>
      </c>
      <c r="F2720" s="6">
        <v>0</v>
      </c>
      <c r="G2720" s="6">
        <v>71</v>
      </c>
      <c r="H2720" s="6" t="s">
        <v>31078</v>
      </c>
      <c r="I2720" s="6">
        <v>526.6875</v>
      </c>
      <c r="J2720" s="2">
        <f t="shared" si="42"/>
        <v>43748.642587233793</v>
      </c>
    </row>
    <row r="2721" spans="1:10" x14ac:dyDescent="0.25">
      <c r="A2721" s="7" t="s">
        <v>31079</v>
      </c>
      <c r="B2721" s="8">
        <v>393.75</v>
      </c>
      <c r="C2721" s="8">
        <v>20.584240000000001</v>
      </c>
      <c r="D2721" s="8">
        <v>70</v>
      </c>
      <c r="E2721" s="8">
        <v>0</v>
      </c>
      <c r="F2721" s="8">
        <v>0</v>
      </c>
      <c r="G2721" s="8">
        <v>75</v>
      </c>
      <c r="H2721" s="8" t="s">
        <v>31080</v>
      </c>
      <c r="I2721" s="8">
        <v>526.6875</v>
      </c>
      <c r="J2721" s="3">
        <f t="shared" si="42"/>
        <v>43748.642670682872</v>
      </c>
    </row>
    <row r="2722" spans="1:10" x14ac:dyDescent="0.25">
      <c r="A2722" s="5" t="s">
        <v>31081</v>
      </c>
      <c r="B2722" s="6">
        <v>393.75</v>
      </c>
      <c r="C2722" s="6">
        <v>20.584240000000001</v>
      </c>
      <c r="D2722" s="6">
        <v>70</v>
      </c>
      <c r="E2722" s="6">
        <v>0</v>
      </c>
      <c r="F2722" s="6">
        <v>0</v>
      </c>
      <c r="G2722" s="6">
        <v>75</v>
      </c>
      <c r="H2722" s="6" t="s">
        <v>31082</v>
      </c>
      <c r="I2722" s="6">
        <v>526.6875</v>
      </c>
      <c r="J2722" s="2">
        <f t="shared" si="42"/>
        <v>43748.642753888889</v>
      </c>
    </row>
    <row r="2723" spans="1:10" x14ac:dyDescent="0.25">
      <c r="A2723" s="7" t="s">
        <v>31083</v>
      </c>
      <c r="B2723" s="8">
        <v>412.5</v>
      </c>
      <c r="C2723" s="8">
        <v>20.584240000000001</v>
      </c>
      <c r="D2723" s="8">
        <v>69</v>
      </c>
      <c r="E2723" s="8">
        <v>0</v>
      </c>
      <c r="F2723" s="8">
        <v>0</v>
      </c>
      <c r="G2723" s="8">
        <v>83</v>
      </c>
      <c r="H2723" s="8" t="s">
        <v>31084</v>
      </c>
      <c r="I2723" s="8">
        <v>532.6875</v>
      </c>
      <c r="J2723" s="3">
        <f t="shared" si="42"/>
        <v>43748.642837685184</v>
      </c>
    </row>
    <row r="2724" spans="1:10" x14ac:dyDescent="0.25">
      <c r="A2724" s="5" t="s">
        <v>31085</v>
      </c>
      <c r="B2724" s="6">
        <v>393.75</v>
      </c>
      <c r="C2724" s="6">
        <v>20.531590000000001</v>
      </c>
      <c r="D2724" s="6">
        <v>69</v>
      </c>
      <c r="E2724" s="6">
        <v>0</v>
      </c>
      <c r="F2724" s="6">
        <v>0</v>
      </c>
      <c r="G2724" s="6">
        <v>78</v>
      </c>
      <c r="H2724" s="6" t="s">
        <v>31086</v>
      </c>
      <c r="I2724" s="6">
        <v>526.5</v>
      </c>
      <c r="J2724" s="2">
        <f t="shared" si="42"/>
        <v>43748.642921261569</v>
      </c>
    </row>
    <row r="2725" spans="1:10" x14ac:dyDescent="0.25">
      <c r="A2725" s="7" t="s">
        <v>31087</v>
      </c>
      <c r="B2725" s="8">
        <v>393.75</v>
      </c>
      <c r="C2725" s="8">
        <v>20.584240000000001</v>
      </c>
      <c r="D2725" s="8">
        <v>69</v>
      </c>
      <c r="E2725" s="8">
        <v>0</v>
      </c>
      <c r="F2725" s="8">
        <v>0</v>
      </c>
      <c r="G2725" s="8">
        <v>70</v>
      </c>
      <c r="H2725" s="8" t="s">
        <v>31088</v>
      </c>
      <c r="I2725" s="8">
        <v>526.6875</v>
      </c>
      <c r="J2725" s="3">
        <f t="shared" si="42"/>
        <v>43748.643011840271</v>
      </c>
    </row>
    <row r="2726" spans="1:10" x14ac:dyDescent="0.25">
      <c r="A2726" s="5" t="s">
        <v>31089</v>
      </c>
      <c r="B2726" s="6">
        <v>393.75</v>
      </c>
      <c r="C2726" s="6">
        <v>20.531590000000001</v>
      </c>
      <c r="D2726" s="6">
        <v>67</v>
      </c>
      <c r="E2726" s="6">
        <v>0</v>
      </c>
      <c r="F2726" s="6">
        <v>0</v>
      </c>
      <c r="G2726" s="6">
        <v>60</v>
      </c>
      <c r="H2726" s="6" t="s">
        <v>31090</v>
      </c>
      <c r="I2726" s="6">
        <v>526.6875</v>
      </c>
      <c r="J2726" s="2">
        <f t="shared" si="42"/>
        <v>43748.643088159719</v>
      </c>
    </row>
    <row r="2727" spans="1:10" x14ac:dyDescent="0.25">
      <c r="A2727" s="7" t="s">
        <v>31091</v>
      </c>
      <c r="B2727" s="8">
        <v>393.75</v>
      </c>
      <c r="C2727" s="8">
        <v>20.531590000000001</v>
      </c>
      <c r="D2727" s="8">
        <v>67</v>
      </c>
      <c r="E2727" s="8">
        <v>0</v>
      </c>
      <c r="F2727" s="8">
        <v>0</v>
      </c>
      <c r="G2727" s="8">
        <v>75</v>
      </c>
      <c r="H2727" s="8" t="s">
        <v>31092</v>
      </c>
      <c r="I2727" s="8">
        <v>526.6875</v>
      </c>
      <c r="J2727" s="3">
        <f t="shared" si="42"/>
        <v>43748.643171377313</v>
      </c>
    </row>
    <row r="2728" spans="1:10" x14ac:dyDescent="0.25">
      <c r="A2728" s="5" t="s">
        <v>31093</v>
      </c>
      <c r="B2728" s="6">
        <v>393.75</v>
      </c>
      <c r="C2728" s="6">
        <v>20.584240000000001</v>
      </c>
      <c r="D2728" s="6">
        <v>67</v>
      </c>
      <c r="E2728" s="6">
        <v>0</v>
      </c>
      <c r="F2728" s="6">
        <v>0</v>
      </c>
      <c r="G2728" s="6">
        <v>81</v>
      </c>
      <c r="H2728" s="6" t="s">
        <v>31094</v>
      </c>
      <c r="I2728" s="6">
        <v>526.6875</v>
      </c>
      <c r="J2728" s="2">
        <f t="shared" si="42"/>
        <v>43748.643242905091</v>
      </c>
    </row>
    <row r="2729" spans="1:10" x14ac:dyDescent="0.25">
      <c r="A2729" s="7" t="s">
        <v>31095</v>
      </c>
      <c r="B2729" s="8">
        <v>393.75</v>
      </c>
      <c r="C2729" s="8">
        <v>20.531590000000001</v>
      </c>
      <c r="D2729" s="8">
        <v>67</v>
      </c>
      <c r="E2729" s="8">
        <v>0</v>
      </c>
      <c r="F2729" s="8">
        <v>0</v>
      </c>
      <c r="G2729" s="8">
        <v>76</v>
      </c>
      <c r="H2729" s="8" t="s">
        <v>31096</v>
      </c>
      <c r="I2729" s="8">
        <v>526.6875</v>
      </c>
      <c r="J2729" s="3">
        <f t="shared" si="42"/>
        <v>43748.643326805548</v>
      </c>
    </row>
    <row r="2730" spans="1:10" x14ac:dyDescent="0.25">
      <c r="A2730" s="5" t="s">
        <v>31097</v>
      </c>
      <c r="B2730" s="6">
        <v>393.75</v>
      </c>
      <c r="C2730" s="6">
        <v>20.584240000000001</v>
      </c>
      <c r="D2730" s="6">
        <v>69</v>
      </c>
      <c r="E2730" s="6">
        <v>0</v>
      </c>
      <c r="F2730" s="6">
        <v>0</v>
      </c>
      <c r="G2730" s="6">
        <v>75</v>
      </c>
      <c r="H2730" s="6" t="s">
        <v>31098</v>
      </c>
      <c r="I2730" s="6">
        <v>526.6875</v>
      </c>
      <c r="J2730" s="2">
        <f t="shared" si="42"/>
        <v>43748.643410150464</v>
      </c>
    </row>
    <row r="2731" spans="1:10" x14ac:dyDescent="0.25">
      <c r="A2731" s="7" t="s">
        <v>31099</v>
      </c>
      <c r="B2731" s="8">
        <v>393.75</v>
      </c>
      <c r="C2731" s="8">
        <v>20.531590000000001</v>
      </c>
      <c r="D2731" s="8">
        <v>68</v>
      </c>
      <c r="E2731" s="8">
        <v>0</v>
      </c>
      <c r="F2731" s="8">
        <v>0</v>
      </c>
      <c r="G2731" s="8">
        <v>72</v>
      </c>
      <c r="H2731" s="8" t="s">
        <v>31100</v>
      </c>
      <c r="I2731" s="8">
        <v>526.6875</v>
      </c>
      <c r="J2731" s="3">
        <f t="shared" si="42"/>
        <v>43748.643493483796</v>
      </c>
    </row>
    <row r="2732" spans="1:10" x14ac:dyDescent="0.25">
      <c r="A2732" s="5" t="s">
        <v>31101</v>
      </c>
      <c r="B2732" s="6">
        <v>393.75</v>
      </c>
      <c r="C2732" s="6">
        <v>20.531590000000001</v>
      </c>
      <c r="D2732" s="6">
        <v>68</v>
      </c>
      <c r="E2732" s="6">
        <v>0</v>
      </c>
      <c r="F2732" s="6">
        <v>0</v>
      </c>
      <c r="G2732" s="6">
        <v>83</v>
      </c>
      <c r="H2732" s="6" t="s">
        <v>31102</v>
      </c>
      <c r="I2732" s="6">
        <v>526.6875</v>
      </c>
      <c r="J2732" s="2">
        <f t="shared" si="42"/>
        <v>43748.64357043981</v>
      </c>
    </row>
    <row r="2733" spans="1:10" x14ac:dyDescent="0.25">
      <c r="A2733" s="7" t="s">
        <v>31103</v>
      </c>
      <c r="B2733" s="8">
        <v>415.625</v>
      </c>
      <c r="C2733" s="8">
        <v>20.531590000000001</v>
      </c>
      <c r="D2733" s="8">
        <v>68</v>
      </c>
      <c r="E2733" s="8">
        <v>0</v>
      </c>
      <c r="F2733" s="8">
        <v>0</v>
      </c>
      <c r="G2733" s="8">
        <v>74</v>
      </c>
      <c r="H2733" s="8" t="s">
        <v>31104</v>
      </c>
      <c r="I2733" s="8">
        <v>533.4375</v>
      </c>
      <c r="J2733" s="3">
        <f t="shared" si="42"/>
        <v>43748.643648692123</v>
      </c>
    </row>
    <row r="2734" spans="1:10" x14ac:dyDescent="0.25">
      <c r="A2734" s="5" t="s">
        <v>31105</v>
      </c>
      <c r="B2734" s="6">
        <v>393.75</v>
      </c>
      <c r="C2734" s="6">
        <v>20.531590000000001</v>
      </c>
      <c r="D2734" s="6">
        <v>68</v>
      </c>
      <c r="E2734" s="6">
        <v>0</v>
      </c>
      <c r="F2734" s="6">
        <v>0</v>
      </c>
      <c r="G2734" s="6">
        <v>74</v>
      </c>
      <c r="H2734" s="6" t="s">
        <v>31106</v>
      </c>
      <c r="I2734" s="6">
        <v>526.6875</v>
      </c>
      <c r="J2734" s="2">
        <f t="shared" si="42"/>
        <v>43748.643732129633</v>
      </c>
    </row>
    <row r="2735" spans="1:10" x14ac:dyDescent="0.25">
      <c r="A2735" s="7" t="s">
        <v>31107</v>
      </c>
      <c r="B2735" s="8">
        <v>393.75</v>
      </c>
      <c r="C2735" s="8">
        <v>20.531590000000001</v>
      </c>
      <c r="D2735" s="8">
        <v>68</v>
      </c>
      <c r="E2735" s="8">
        <v>0</v>
      </c>
      <c r="F2735" s="8">
        <v>0</v>
      </c>
      <c r="G2735" s="8">
        <v>67</v>
      </c>
      <c r="H2735" s="8" t="s">
        <v>31108</v>
      </c>
      <c r="I2735" s="8">
        <v>526.6875</v>
      </c>
      <c r="J2735" s="3">
        <f t="shared" si="42"/>
        <v>43748.643815706011</v>
      </c>
    </row>
    <row r="2736" spans="1:10" x14ac:dyDescent="0.25">
      <c r="A2736" s="5" t="s">
        <v>31109</v>
      </c>
      <c r="B2736" s="6">
        <v>393.75</v>
      </c>
      <c r="C2736" s="6">
        <v>20.584240000000001</v>
      </c>
      <c r="D2736" s="6">
        <v>65</v>
      </c>
      <c r="E2736" s="6">
        <v>0</v>
      </c>
      <c r="F2736" s="6">
        <v>0</v>
      </c>
      <c r="G2736" s="6">
        <v>76</v>
      </c>
      <c r="H2736" s="6" t="s">
        <v>31110</v>
      </c>
      <c r="I2736" s="6">
        <v>526.6875</v>
      </c>
      <c r="J2736" s="2">
        <f t="shared" si="42"/>
        <v>43748.643899166666</v>
      </c>
    </row>
    <row r="2737" spans="1:10" x14ac:dyDescent="0.25">
      <c r="A2737" s="7" t="s">
        <v>31111</v>
      </c>
      <c r="B2737" s="8">
        <v>393.75</v>
      </c>
      <c r="C2737" s="8">
        <v>20.584240000000001</v>
      </c>
      <c r="D2737" s="8">
        <v>65</v>
      </c>
      <c r="E2737" s="8">
        <v>0</v>
      </c>
      <c r="F2737" s="8">
        <v>0</v>
      </c>
      <c r="G2737" s="8">
        <v>78</v>
      </c>
      <c r="H2737" s="8" t="s">
        <v>31112</v>
      </c>
      <c r="I2737" s="8">
        <v>526.6875</v>
      </c>
      <c r="J2737" s="3">
        <f t="shared" si="42"/>
        <v>43748.643983171292</v>
      </c>
    </row>
    <row r="2738" spans="1:10" x14ac:dyDescent="0.25">
      <c r="A2738" s="5" t="s">
        <v>31113</v>
      </c>
      <c r="B2738" s="6">
        <v>412.5</v>
      </c>
      <c r="C2738" s="6">
        <v>20.531590000000001</v>
      </c>
      <c r="D2738" s="6">
        <v>65</v>
      </c>
      <c r="E2738" s="6">
        <v>0</v>
      </c>
      <c r="F2738" s="6">
        <v>0</v>
      </c>
      <c r="G2738" s="6">
        <v>75</v>
      </c>
      <c r="H2738" s="6" t="s">
        <v>31114</v>
      </c>
      <c r="I2738" s="6">
        <v>532.3125</v>
      </c>
      <c r="J2738" s="2">
        <f t="shared" si="42"/>
        <v>43748.644054108794</v>
      </c>
    </row>
    <row r="2739" spans="1:10" x14ac:dyDescent="0.25">
      <c r="A2739" s="7" t="s">
        <v>31115</v>
      </c>
      <c r="B2739" s="8">
        <v>393.75</v>
      </c>
      <c r="C2739" s="8">
        <v>20.531590000000001</v>
      </c>
      <c r="D2739" s="8">
        <v>65</v>
      </c>
      <c r="E2739" s="8">
        <v>0</v>
      </c>
      <c r="F2739" s="8">
        <v>0</v>
      </c>
      <c r="G2739" s="8">
        <v>78</v>
      </c>
      <c r="H2739" s="8" t="s">
        <v>31116</v>
      </c>
      <c r="I2739" s="8">
        <v>526.6875</v>
      </c>
      <c r="J2739" s="3">
        <f t="shared" si="42"/>
        <v>43748.644137673611</v>
      </c>
    </row>
    <row r="2740" spans="1:10" x14ac:dyDescent="0.25">
      <c r="A2740" s="5" t="s">
        <v>31117</v>
      </c>
      <c r="B2740" s="6">
        <v>393.75</v>
      </c>
      <c r="C2740" s="6">
        <v>20.584240000000001</v>
      </c>
      <c r="D2740" s="6">
        <v>66</v>
      </c>
      <c r="E2740" s="6">
        <v>0</v>
      </c>
      <c r="F2740" s="6">
        <v>0</v>
      </c>
      <c r="G2740" s="6">
        <v>72</v>
      </c>
      <c r="H2740" s="6" t="s">
        <v>31118</v>
      </c>
      <c r="I2740" s="6">
        <v>526.6875</v>
      </c>
      <c r="J2740" s="2">
        <f t="shared" si="42"/>
        <v>43748.644221134258</v>
      </c>
    </row>
    <row r="2741" spans="1:10" x14ac:dyDescent="0.25">
      <c r="A2741" s="7" t="s">
        <v>31119</v>
      </c>
      <c r="B2741" s="8">
        <v>393.75</v>
      </c>
      <c r="C2741" s="8">
        <v>20.584240000000001</v>
      </c>
      <c r="D2741" s="8">
        <v>66</v>
      </c>
      <c r="E2741" s="8">
        <v>0</v>
      </c>
      <c r="F2741" s="8">
        <v>0</v>
      </c>
      <c r="G2741" s="8">
        <v>82</v>
      </c>
      <c r="H2741" s="8" t="s">
        <v>31120</v>
      </c>
      <c r="I2741" s="8">
        <v>526.6875</v>
      </c>
      <c r="J2741" s="3">
        <f t="shared" si="42"/>
        <v>43748.644304594905</v>
      </c>
    </row>
    <row r="2742" spans="1:10" x14ac:dyDescent="0.25">
      <c r="A2742" s="5" t="s">
        <v>31121</v>
      </c>
      <c r="B2742" s="6">
        <v>393.75</v>
      </c>
      <c r="C2742" s="6">
        <v>20.584240000000001</v>
      </c>
      <c r="D2742" s="6">
        <v>66</v>
      </c>
      <c r="E2742" s="6">
        <v>0</v>
      </c>
      <c r="F2742" s="6">
        <v>0</v>
      </c>
      <c r="G2742" s="6">
        <v>73</v>
      </c>
      <c r="H2742" s="6" t="s">
        <v>31122</v>
      </c>
      <c r="I2742" s="6">
        <v>526.6875</v>
      </c>
      <c r="J2742" s="2">
        <f t="shared" si="42"/>
        <v>43748.644388159715</v>
      </c>
    </row>
    <row r="2743" spans="1:10" x14ac:dyDescent="0.25">
      <c r="A2743" s="7" t="s">
        <v>31123</v>
      </c>
      <c r="B2743" s="8">
        <v>412.5</v>
      </c>
      <c r="C2743" s="8">
        <v>20.531590000000001</v>
      </c>
      <c r="D2743" s="8">
        <v>66</v>
      </c>
      <c r="E2743" s="8">
        <v>0</v>
      </c>
      <c r="F2743" s="8">
        <v>0</v>
      </c>
      <c r="G2743" s="8">
        <v>69</v>
      </c>
      <c r="H2743" s="8" t="s">
        <v>31124</v>
      </c>
      <c r="I2743" s="8">
        <v>532.3125</v>
      </c>
      <c r="J2743" s="3">
        <f t="shared" si="42"/>
        <v>43748.644471377316</v>
      </c>
    </row>
    <row r="2744" spans="1:10" x14ac:dyDescent="0.25">
      <c r="A2744" s="5" t="s">
        <v>31125</v>
      </c>
      <c r="B2744" s="6">
        <v>393.75</v>
      </c>
      <c r="C2744" s="6">
        <v>20.478950000000001</v>
      </c>
      <c r="D2744" s="6">
        <v>66</v>
      </c>
      <c r="E2744" s="6">
        <v>0</v>
      </c>
      <c r="F2744" s="6">
        <v>0</v>
      </c>
      <c r="G2744" s="6">
        <v>65</v>
      </c>
      <c r="H2744" s="6" t="s">
        <v>31126</v>
      </c>
      <c r="I2744" s="6">
        <v>526.6875</v>
      </c>
      <c r="J2744" s="2">
        <f t="shared" si="42"/>
        <v>43748.644554907405</v>
      </c>
    </row>
    <row r="2745" spans="1:10" x14ac:dyDescent="0.25">
      <c r="A2745" s="7" t="s">
        <v>31127</v>
      </c>
      <c r="B2745" s="8">
        <v>393.75</v>
      </c>
      <c r="C2745" s="8">
        <v>20.584240000000001</v>
      </c>
      <c r="D2745" s="8">
        <v>66</v>
      </c>
      <c r="E2745" s="8">
        <v>0</v>
      </c>
      <c r="F2745" s="8">
        <v>0</v>
      </c>
      <c r="G2745" s="8">
        <v>69</v>
      </c>
      <c r="H2745" s="8" t="s">
        <v>31128</v>
      </c>
      <c r="I2745" s="8">
        <v>526.5</v>
      </c>
      <c r="J2745" s="3">
        <f t="shared" si="42"/>
        <v>43748.64463884259</v>
      </c>
    </row>
    <row r="2746" spans="1:10" x14ac:dyDescent="0.25">
      <c r="A2746" s="5" t="s">
        <v>31129</v>
      </c>
      <c r="B2746" s="6">
        <v>393.75</v>
      </c>
      <c r="C2746" s="6">
        <v>20.584240000000001</v>
      </c>
      <c r="D2746" s="6">
        <v>65</v>
      </c>
      <c r="E2746" s="6">
        <v>0</v>
      </c>
      <c r="F2746" s="6">
        <v>0</v>
      </c>
      <c r="G2746" s="6">
        <v>76</v>
      </c>
      <c r="H2746" s="6" t="s">
        <v>31130</v>
      </c>
      <c r="I2746" s="6">
        <v>526.6875</v>
      </c>
      <c r="J2746" s="2">
        <f t="shared" si="42"/>
        <v>43748.64471015046</v>
      </c>
    </row>
    <row r="2747" spans="1:10" x14ac:dyDescent="0.25">
      <c r="A2747" s="7" t="s">
        <v>31131</v>
      </c>
      <c r="B2747" s="8">
        <v>393.75</v>
      </c>
      <c r="C2747" s="8">
        <v>20.531590000000001</v>
      </c>
      <c r="D2747" s="8">
        <v>65</v>
      </c>
      <c r="E2747" s="8">
        <v>0</v>
      </c>
      <c r="F2747" s="8">
        <v>0</v>
      </c>
      <c r="G2747" s="8">
        <v>71</v>
      </c>
      <c r="H2747" s="8" t="s">
        <v>31132</v>
      </c>
      <c r="I2747" s="8">
        <v>526.6875</v>
      </c>
      <c r="J2747" s="3">
        <f t="shared" si="42"/>
        <v>43748.644793460648</v>
      </c>
    </row>
    <row r="2748" spans="1:10" x14ac:dyDescent="0.25">
      <c r="A2748" s="5" t="s">
        <v>31133</v>
      </c>
      <c r="B2748" s="6">
        <v>415.625</v>
      </c>
      <c r="C2748" s="6">
        <v>20.584240000000001</v>
      </c>
      <c r="D2748" s="6">
        <v>65</v>
      </c>
      <c r="E2748" s="6">
        <v>0</v>
      </c>
      <c r="F2748" s="6">
        <v>0</v>
      </c>
      <c r="G2748" s="6">
        <v>65</v>
      </c>
      <c r="H2748" s="6" t="s">
        <v>31134</v>
      </c>
      <c r="I2748" s="6">
        <v>533.25</v>
      </c>
      <c r="J2748" s="2">
        <f t="shared" si="42"/>
        <v>43748.644865138886</v>
      </c>
    </row>
    <row r="2749" spans="1:10" x14ac:dyDescent="0.25">
      <c r="A2749" s="7" t="s">
        <v>31135</v>
      </c>
      <c r="B2749" s="8">
        <v>393.75</v>
      </c>
      <c r="C2749" s="8">
        <v>20.584240000000001</v>
      </c>
      <c r="D2749" s="8">
        <v>65</v>
      </c>
      <c r="E2749" s="8">
        <v>0</v>
      </c>
      <c r="F2749" s="8">
        <v>0</v>
      </c>
      <c r="G2749" s="8">
        <v>72</v>
      </c>
      <c r="H2749" s="8" t="s">
        <v>31136</v>
      </c>
      <c r="I2749" s="8">
        <v>526.6875</v>
      </c>
      <c r="J2749" s="3">
        <f t="shared" si="42"/>
        <v>43748.644948796289</v>
      </c>
    </row>
    <row r="2750" spans="1:10" x14ac:dyDescent="0.25">
      <c r="A2750" s="5" t="s">
        <v>31137</v>
      </c>
      <c r="B2750" s="6">
        <v>393.75</v>
      </c>
      <c r="C2750" s="6">
        <v>20.584240000000001</v>
      </c>
      <c r="D2750" s="6">
        <v>64</v>
      </c>
      <c r="E2750" s="6">
        <v>0</v>
      </c>
      <c r="F2750" s="6">
        <v>0</v>
      </c>
      <c r="G2750" s="6">
        <v>80</v>
      </c>
      <c r="H2750" s="6" t="s">
        <v>31138</v>
      </c>
      <c r="I2750" s="6">
        <v>526.6875</v>
      </c>
      <c r="J2750" s="2">
        <f t="shared" si="42"/>
        <v>43748.645020335643</v>
      </c>
    </row>
    <row r="2751" spans="1:10" x14ac:dyDescent="0.25">
      <c r="A2751" s="7" t="s">
        <v>31139</v>
      </c>
      <c r="B2751" s="8">
        <v>393.75</v>
      </c>
      <c r="C2751" s="8">
        <v>20.531590000000001</v>
      </c>
      <c r="D2751" s="8">
        <v>65</v>
      </c>
      <c r="E2751" s="8">
        <v>0</v>
      </c>
      <c r="F2751" s="8">
        <v>0</v>
      </c>
      <c r="G2751" s="8">
        <v>76</v>
      </c>
      <c r="H2751" s="8" t="s">
        <v>31140</v>
      </c>
      <c r="I2751" s="8">
        <v>526.5</v>
      </c>
      <c r="J2751" s="3">
        <f t="shared" si="42"/>
        <v>43748.645091863422</v>
      </c>
    </row>
    <row r="2752" spans="1:10" x14ac:dyDescent="0.25">
      <c r="A2752" s="5" t="s">
        <v>31141</v>
      </c>
      <c r="B2752" s="6">
        <v>393.75</v>
      </c>
      <c r="C2752" s="6">
        <v>20.531590000000001</v>
      </c>
      <c r="D2752" s="6">
        <v>64</v>
      </c>
      <c r="E2752" s="6">
        <v>0</v>
      </c>
      <c r="F2752" s="6">
        <v>0</v>
      </c>
      <c r="G2752" s="6">
        <v>76</v>
      </c>
      <c r="H2752" s="6" t="s">
        <v>31142</v>
      </c>
      <c r="I2752" s="6">
        <v>526.6875</v>
      </c>
      <c r="J2752" s="2">
        <f t="shared" si="42"/>
        <v>43748.645189270836</v>
      </c>
    </row>
    <row r="2753" spans="1:10" x14ac:dyDescent="0.25">
      <c r="A2753" s="7" t="s">
        <v>31143</v>
      </c>
      <c r="B2753" s="8">
        <v>393.75</v>
      </c>
      <c r="C2753" s="8">
        <v>20.531590000000001</v>
      </c>
      <c r="D2753" s="8">
        <v>63</v>
      </c>
      <c r="E2753" s="8">
        <v>0</v>
      </c>
      <c r="F2753" s="8">
        <v>0</v>
      </c>
      <c r="G2753" s="8">
        <v>76</v>
      </c>
      <c r="H2753" s="8" t="s">
        <v>31144</v>
      </c>
      <c r="I2753" s="8">
        <v>526.6875</v>
      </c>
      <c r="J2753" s="3">
        <f t="shared" si="42"/>
        <v>43748.645270740737</v>
      </c>
    </row>
    <row r="2754" spans="1:10" x14ac:dyDescent="0.25">
      <c r="A2754" s="5" t="s">
        <v>31145</v>
      </c>
      <c r="B2754" s="6">
        <v>393.75</v>
      </c>
      <c r="C2754" s="6">
        <v>20.584240000000001</v>
      </c>
      <c r="D2754" s="6">
        <v>65</v>
      </c>
      <c r="E2754" s="6">
        <v>0</v>
      </c>
      <c r="F2754" s="6">
        <v>0</v>
      </c>
      <c r="G2754" s="6">
        <v>77</v>
      </c>
      <c r="H2754" s="6" t="s">
        <v>31146</v>
      </c>
      <c r="I2754" s="6">
        <v>526.6875</v>
      </c>
      <c r="J2754" s="2">
        <f t="shared" ref="J2754:J2817" si="43">(H2754/86400000)+25569+(7/24)</f>
        <v>43748.645354305554</v>
      </c>
    </row>
    <row r="2755" spans="1:10" x14ac:dyDescent="0.25">
      <c r="A2755" s="7" t="s">
        <v>31147</v>
      </c>
      <c r="B2755" s="8">
        <v>393.75</v>
      </c>
      <c r="C2755" s="8">
        <v>20.584240000000001</v>
      </c>
      <c r="D2755" s="8">
        <v>65</v>
      </c>
      <c r="E2755" s="8">
        <v>0</v>
      </c>
      <c r="F2755" s="8">
        <v>0</v>
      </c>
      <c r="G2755" s="8">
        <v>76</v>
      </c>
      <c r="H2755" s="8" t="s">
        <v>31148</v>
      </c>
      <c r="I2755" s="8">
        <v>526.6875</v>
      </c>
      <c r="J2755" s="3">
        <f t="shared" si="43"/>
        <v>43748.645437893516</v>
      </c>
    </row>
    <row r="2756" spans="1:10" x14ac:dyDescent="0.25">
      <c r="A2756" s="5" t="s">
        <v>31149</v>
      </c>
      <c r="B2756" s="6">
        <v>393.75</v>
      </c>
      <c r="C2756" s="6">
        <v>20.584240000000001</v>
      </c>
      <c r="D2756" s="6">
        <v>65</v>
      </c>
      <c r="E2756" s="6">
        <v>0</v>
      </c>
      <c r="F2756" s="6">
        <v>0</v>
      </c>
      <c r="G2756" s="6">
        <v>78</v>
      </c>
      <c r="H2756" s="6" t="s">
        <v>31150</v>
      </c>
      <c r="I2756" s="6">
        <v>526.6875</v>
      </c>
      <c r="J2756" s="2">
        <f t="shared" si="43"/>
        <v>43748.645521215272</v>
      </c>
    </row>
    <row r="2757" spans="1:10" x14ac:dyDescent="0.25">
      <c r="A2757" s="7" t="s">
        <v>31151</v>
      </c>
      <c r="B2757" s="8">
        <v>393.75</v>
      </c>
      <c r="C2757" s="8">
        <v>20.584240000000001</v>
      </c>
      <c r="D2757" s="8">
        <v>67</v>
      </c>
      <c r="E2757" s="8">
        <v>0</v>
      </c>
      <c r="F2757" s="8">
        <v>0</v>
      </c>
      <c r="G2757" s="8">
        <v>80</v>
      </c>
      <c r="H2757" s="8" t="s">
        <v>31152</v>
      </c>
      <c r="I2757" s="8">
        <v>526.6875</v>
      </c>
      <c r="J2757" s="3">
        <f t="shared" si="43"/>
        <v>43748.645604537036</v>
      </c>
    </row>
    <row r="2758" spans="1:10" x14ac:dyDescent="0.25">
      <c r="A2758" s="5" t="s">
        <v>31153</v>
      </c>
      <c r="B2758" s="6">
        <v>393.75</v>
      </c>
      <c r="C2758" s="6">
        <v>20.584240000000001</v>
      </c>
      <c r="D2758" s="6">
        <v>67</v>
      </c>
      <c r="E2758" s="6">
        <v>0</v>
      </c>
      <c r="F2758" s="6">
        <v>0</v>
      </c>
      <c r="G2758" s="6">
        <v>83</v>
      </c>
      <c r="H2758" s="6" t="s">
        <v>31154</v>
      </c>
      <c r="I2758" s="6">
        <v>526.6875</v>
      </c>
      <c r="J2758" s="2">
        <f t="shared" si="43"/>
        <v>43748.645676319444</v>
      </c>
    </row>
    <row r="2759" spans="1:10" x14ac:dyDescent="0.25">
      <c r="A2759" s="7" t="s">
        <v>31155</v>
      </c>
      <c r="B2759" s="8">
        <v>393.75</v>
      </c>
      <c r="C2759" s="8">
        <v>20.584240000000001</v>
      </c>
      <c r="D2759" s="8">
        <v>67</v>
      </c>
      <c r="E2759" s="8">
        <v>0</v>
      </c>
      <c r="F2759" s="8">
        <v>0</v>
      </c>
      <c r="G2759" s="8">
        <v>90</v>
      </c>
      <c r="H2759" s="8" t="s">
        <v>31156</v>
      </c>
      <c r="I2759" s="8">
        <v>526.6875</v>
      </c>
      <c r="J2759" s="3">
        <f t="shared" si="43"/>
        <v>43748.645759861109</v>
      </c>
    </row>
    <row r="2760" spans="1:10" x14ac:dyDescent="0.25">
      <c r="A2760" s="5" t="s">
        <v>31157</v>
      </c>
      <c r="B2760" s="6">
        <v>393.75</v>
      </c>
      <c r="C2760" s="6">
        <v>20.478950000000001</v>
      </c>
      <c r="D2760" s="6">
        <v>66</v>
      </c>
      <c r="E2760" s="6">
        <v>0</v>
      </c>
      <c r="F2760" s="6">
        <v>0</v>
      </c>
      <c r="G2760" s="6">
        <v>81</v>
      </c>
      <c r="H2760" s="6" t="s">
        <v>31158</v>
      </c>
      <c r="I2760" s="6">
        <v>526.6875</v>
      </c>
      <c r="J2760" s="2">
        <f t="shared" si="43"/>
        <v>43748.645843333332</v>
      </c>
    </row>
    <row r="2761" spans="1:10" x14ac:dyDescent="0.25">
      <c r="A2761" s="7" t="s">
        <v>31159</v>
      </c>
      <c r="B2761" s="8">
        <v>393.75</v>
      </c>
      <c r="C2761" s="8">
        <v>20.584240000000001</v>
      </c>
      <c r="D2761" s="8">
        <v>66</v>
      </c>
      <c r="E2761" s="8">
        <v>0</v>
      </c>
      <c r="F2761" s="8">
        <v>0</v>
      </c>
      <c r="G2761" s="8">
        <v>81</v>
      </c>
      <c r="H2761" s="8" t="s">
        <v>31160</v>
      </c>
      <c r="I2761" s="8">
        <v>526.6875</v>
      </c>
      <c r="J2761" s="3">
        <f t="shared" si="43"/>
        <v>43748.645926770834</v>
      </c>
    </row>
    <row r="2762" spans="1:10" x14ac:dyDescent="0.25">
      <c r="A2762" s="5" t="s">
        <v>31161</v>
      </c>
      <c r="B2762" s="6">
        <v>393.75</v>
      </c>
      <c r="C2762" s="6">
        <v>20.531590000000001</v>
      </c>
      <c r="D2762" s="6">
        <v>65</v>
      </c>
      <c r="E2762" s="6">
        <v>0</v>
      </c>
      <c r="F2762" s="6">
        <v>0</v>
      </c>
      <c r="G2762" s="6">
        <v>75</v>
      </c>
      <c r="H2762" s="6" t="s">
        <v>31162</v>
      </c>
      <c r="I2762" s="6">
        <v>526.5</v>
      </c>
      <c r="J2762" s="2">
        <f t="shared" si="43"/>
        <v>43748.646010324075</v>
      </c>
    </row>
    <row r="2763" spans="1:10" x14ac:dyDescent="0.25">
      <c r="A2763" s="7" t="s">
        <v>31163</v>
      </c>
      <c r="B2763" s="8">
        <v>393.75</v>
      </c>
      <c r="C2763" s="8">
        <v>20.584240000000001</v>
      </c>
      <c r="D2763" s="8">
        <v>65</v>
      </c>
      <c r="E2763" s="8">
        <v>0</v>
      </c>
      <c r="F2763" s="8">
        <v>0</v>
      </c>
      <c r="G2763" s="8">
        <v>85</v>
      </c>
      <c r="H2763" s="8" t="s">
        <v>31164</v>
      </c>
      <c r="I2763" s="8">
        <v>526.6875</v>
      </c>
      <c r="J2763" s="3">
        <f t="shared" si="43"/>
        <v>43748.646093414347</v>
      </c>
    </row>
    <row r="2764" spans="1:10" x14ac:dyDescent="0.25">
      <c r="A2764" s="5" t="s">
        <v>31165</v>
      </c>
      <c r="B2764" s="6">
        <v>393.75</v>
      </c>
      <c r="C2764" s="6">
        <v>20.531590000000001</v>
      </c>
      <c r="D2764" s="6">
        <v>65</v>
      </c>
      <c r="E2764" s="6">
        <v>0</v>
      </c>
      <c r="F2764" s="6">
        <v>0</v>
      </c>
      <c r="G2764" s="6">
        <v>77</v>
      </c>
      <c r="H2764" s="6" t="s">
        <v>31166</v>
      </c>
      <c r="I2764" s="6">
        <v>526.6875</v>
      </c>
      <c r="J2764" s="2">
        <f t="shared" si="43"/>
        <v>43748.646165196762</v>
      </c>
    </row>
    <row r="2765" spans="1:10" x14ac:dyDescent="0.25">
      <c r="A2765" s="7" t="s">
        <v>31167</v>
      </c>
      <c r="B2765" s="8">
        <v>393.75</v>
      </c>
      <c r="C2765" s="8">
        <v>20.531590000000001</v>
      </c>
      <c r="D2765" s="8">
        <v>64</v>
      </c>
      <c r="E2765" s="8">
        <v>0</v>
      </c>
      <c r="F2765" s="8">
        <v>0</v>
      </c>
      <c r="G2765" s="8">
        <v>74</v>
      </c>
      <c r="H2765" s="8" t="s">
        <v>31168</v>
      </c>
      <c r="I2765" s="8">
        <v>526.6875</v>
      </c>
      <c r="J2765" s="3">
        <f t="shared" si="43"/>
        <v>43748.646248993049</v>
      </c>
    </row>
    <row r="2766" spans="1:10" x14ac:dyDescent="0.25">
      <c r="A2766" s="5" t="s">
        <v>31169</v>
      </c>
      <c r="B2766" s="6">
        <v>412.5</v>
      </c>
      <c r="C2766" s="6">
        <v>20.584240000000001</v>
      </c>
      <c r="D2766" s="6">
        <v>64</v>
      </c>
      <c r="E2766" s="6">
        <v>0</v>
      </c>
      <c r="F2766" s="6">
        <v>0</v>
      </c>
      <c r="G2766" s="6">
        <v>80</v>
      </c>
      <c r="H2766" s="6" t="s">
        <v>31170</v>
      </c>
      <c r="I2766" s="6">
        <v>532.6875</v>
      </c>
      <c r="J2766" s="2">
        <f t="shared" si="43"/>
        <v>43748.646332314813</v>
      </c>
    </row>
    <row r="2767" spans="1:10" x14ac:dyDescent="0.25">
      <c r="A2767" s="7" t="s">
        <v>31171</v>
      </c>
      <c r="B2767" s="8">
        <v>393.75</v>
      </c>
      <c r="C2767" s="8">
        <v>20.584240000000001</v>
      </c>
      <c r="D2767" s="8">
        <v>64</v>
      </c>
      <c r="E2767" s="8">
        <v>0</v>
      </c>
      <c r="F2767" s="8">
        <v>0</v>
      </c>
      <c r="G2767" s="8">
        <v>82</v>
      </c>
      <c r="H2767" s="8" t="s">
        <v>31172</v>
      </c>
      <c r="I2767" s="8">
        <v>526.6875</v>
      </c>
      <c r="J2767" s="3">
        <f t="shared" si="43"/>
        <v>43748.646415636576</v>
      </c>
    </row>
    <row r="2768" spans="1:10" x14ac:dyDescent="0.25">
      <c r="A2768" s="5" t="s">
        <v>31173</v>
      </c>
      <c r="B2768" s="6">
        <v>393.75</v>
      </c>
      <c r="C2768" s="6">
        <v>20.584240000000001</v>
      </c>
      <c r="D2768" s="6">
        <v>64</v>
      </c>
      <c r="E2768" s="6">
        <v>0</v>
      </c>
      <c r="F2768" s="6">
        <v>0</v>
      </c>
      <c r="G2768" s="6">
        <v>83</v>
      </c>
      <c r="H2768" s="6" t="s">
        <v>31174</v>
      </c>
      <c r="I2768" s="6">
        <v>526.6875</v>
      </c>
      <c r="J2768" s="2">
        <f t="shared" si="43"/>
        <v>43748.646487048609</v>
      </c>
    </row>
    <row r="2769" spans="1:10" x14ac:dyDescent="0.25">
      <c r="A2769" s="7" t="s">
        <v>31175</v>
      </c>
      <c r="B2769" s="8">
        <v>412.5</v>
      </c>
      <c r="C2769" s="8">
        <v>20.584240000000001</v>
      </c>
      <c r="D2769" s="8">
        <v>63</v>
      </c>
      <c r="E2769" s="8">
        <v>0</v>
      </c>
      <c r="F2769" s="8">
        <v>0</v>
      </c>
      <c r="G2769" s="8">
        <v>78</v>
      </c>
      <c r="H2769" s="8" t="s">
        <v>31176</v>
      </c>
      <c r="I2769" s="8">
        <v>532.3125</v>
      </c>
      <c r="J2769" s="3">
        <f t="shared" si="43"/>
        <v>43748.646558946755</v>
      </c>
    </row>
    <row r="2770" spans="1:10" x14ac:dyDescent="0.25">
      <c r="A2770" s="5" t="s">
        <v>31177</v>
      </c>
      <c r="B2770" s="6">
        <v>393.75</v>
      </c>
      <c r="C2770" s="6">
        <v>20.584240000000001</v>
      </c>
      <c r="D2770" s="6">
        <v>64</v>
      </c>
      <c r="E2770" s="6">
        <v>0</v>
      </c>
      <c r="F2770" s="6">
        <v>0</v>
      </c>
      <c r="G2770" s="6">
        <v>77</v>
      </c>
      <c r="H2770" s="6" t="s">
        <v>31178</v>
      </c>
      <c r="I2770" s="6">
        <v>526.6875</v>
      </c>
      <c r="J2770" s="2">
        <f t="shared" si="43"/>
        <v>43748.646642511572</v>
      </c>
    </row>
    <row r="2771" spans="1:10" x14ac:dyDescent="0.25">
      <c r="A2771" s="7" t="s">
        <v>31179</v>
      </c>
      <c r="B2771" s="8">
        <v>393.75</v>
      </c>
      <c r="C2771" s="8">
        <v>20.531590000000001</v>
      </c>
      <c r="D2771" s="8">
        <v>64</v>
      </c>
      <c r="E2771" s="8">
        <v>0</v>
      </c>
      <c r="F2771" s="8">
        <v>0</v>
      </c>
      <c r="G2771" s="8">
        <v>87</v>
      </c>
      <c r="H2771" s="8" t="s">
        <v>31180</v>
      </c>
      <c r="I2771" s="8">
        <v>526.6875</v>
      </c>
      <c r="J2771" s="3">
        <f t="shared" si="43"/>
        <v>43748.646714016206</v>
      </c>
    </row>
    <row r="2772" spans="1:10" x14ac:dyDescent="0.25">
      <c r="A2772" s="5" t="s">
        <v>31181</v>
      </c>
      <c r="B2772" s="6">
        <v>412.5</v>
      </c>
      <c r="C2772" s="6">
        <v>20.584240000000001</v>
      </c>
      <c r="D2772" s="6">
        <v>63</v>
      </c>
      <c r="E2772" s="6">
        <v>0</v>
      </c>
      <c r="F2772" s="6">
        <v>0</v>
      </c>
      <c r="G2772" s="6">
        <v>76</v>
      </c>
      <c r="H2772" s="6" t="s">
        <v>31182</v>
      </c>
      <c r="I2772" s="6">
        <v>532.3125</v>
      </c>
      <c r="J2772" s="2">
        <f t="shared" si="43"/>
        <v>43748.64679712963</v>
      </c>
    </row>
    <row r="2773" spans="1:10" x14ac:dyDescent="0.25">
      <c r="A2773" s="7" t="s">
        <v>31183</v>
      </c>
      <c r="B2773" s="8">
        <v>393.75</v>
      </c>
      <c r="C2773" s="8">
        <v>20.531590000000001</v>
      </c>
      <c r="D2773" s="8">
        <v>61</v>
      </c>
      <c r="E2773" s="8">
        <v>0</v>
      </c>
      <c r="F2773" s="8">
        <v>0</v>
      </c>
      <c r="G2773" s="8">
        <v>82</v>
      </c>
      <c r="H2773" s="8" t="s">
        <v>31184</v>
      </c>
      <c r="I2773" s="8">
        <v>526.6875</v>
      </c>
      <c r="J2773" s="3">
        <f t="shared" si="43"/>
        <v>43748.646869039345</v>
      </c>
    </row>
    <row r="2774" spans="1:10" x14ac:dyDescent="0.25">
      <c r="A2774" s="5" t="s">
        <v>31185</v>
      </c>
      <c r="B2774" s="6">
        <v>393.75</v>
      </c>
      <c r="C2774" s="6">
        <v>20.584240000000001</v>
      </c>
      <c r="D2774" s="6">
        <v>62</v>
      </c>
      <c r="E2774" s="6">
        <v>0</v>
      </c>
      <c r="F2774" s="6">
        <v>0</v>
      </c>
      <c r="G2774" s="6">
        <v>75</v>
      </c>
      <c r="H2774" s="6" t="s">
        <v>31186</v>
      </c>
      <c r="I2774" s="6">
        <v>526.6875</v>
      </c>
      <c r="J2774" s="2">
        <f t="shared" si="43"/>
        <v>43748.646952696756</v>
      </c>
    </row>
    <row r="2775" spans="1:10" x14ac:dyDescent="0.25">
      <c r="A2775" s="7" t="s">
        <v>31187</v>
      </c>
      <c r="B2775" s="8">
        <v>393.75</v>
      </c>
      <c r="C2775" s="8">
        <v>20.531590000000001</v>
      </c>
      <c r="D2775" s="8">
        <v>62</v>
      </c>
      <c r="E2775" s="8">
        <v>0</v>
      </c>
      <c r="F2775" s="8">
        <v>0</v>
      </c>
      <c r="G2775" s="8">
        <v>73</v>
      </c>
      <c r="H2775" s="8" t="s">
        <v>31188</v>
      </c>
      <c r="I2775" s="8">
        <v>526.6875</v>
      </c>
      <c r="J2775" s="3">
        <f t="shared" si="43"/>
        <v>43748.647036041664</v>
      </c>
    </row>
    <row r="2776" spans="1:10" x14ac:dyDescent="0.25">
      <c r="A2776" s="5" t="s">
        <v>31189</v>
      </c>
      <c r="B2776" s="6">
        <v>393.75</v>
      </c>
      <c r="C2776" s="6">
        <v>20.531590000000001</v>
      </c>
      <c r="D2776" s="6">
        <v>63</v>
      </c>
      <c r="E2776" s="6">
        <v>0</v>
      </c>
      <c r="F2776" s="6">
        <v>0</v>
      </c>
      <c r="G2776" s="6">
        <v>72</v>
      </c>
      <c r="H2776" s="6" t="s">
        <v>31190</v>
      </c>
      <c r="I2776" s="6">
        <v>526.6875</v>
      </c>
      <c r="J2776" s="2">
        <f t="shared" si="43"/>
        <v>43748.647131574071</v>
      </c>
    </row>
    <row r="2777" spans="1:10" x14ac:dyDescent="0.25">
      <c r="A2777" s="7" t="s">
        <v>31191</v>
      </c>
      <c r="B2777" s="8">
        <v>393.75</v>
      </c>
      <c r="C2777" s="8">
        <v>20.584240000000001</v>
      </c>
      <c r="D2777" s="8">
        <v>62</v>
      </c>
      <c r="E2777" s="8">
        <v>0</v>
      </c>
      <c r="F2777" s="8">
        <v>0</v>
      </c>
      <c r="G2777" s="8">
        <v>84</v>
      </c>
      <c r="H2777" s="8" t="s">
        <v>31192</v>
      </c>
      <c r="I2777" s="8">
        <v>526.6875</v>
      </c>
      <c r="J2777" s="3">
        <f t="shared" si="43"/>
        <v>43748.647203078704</v>
      </c>
    </row>
    <row r="2778" spans="1:10" x14ac:dyDescent="0.25">
      <c r="A2778" s="5" t="s">
        <v>31193</v>
      </c>
      <c r="B2778" s="6">
        <v>393.75</v>
      </c>
      <c r="C2778" s="6">
        <v>20.584240000000001</v>
      </c>
      <c r="D2778" s="6">
        <v>63</v>
      </c>
      <c r="E2778" s="6">
        <v>0</v>
      </c>
      <c r="F2778" s="6">
        <v>0</v>
      </c>
      <c r="G2778" s="6">
        <v>71</v>
      </c>
      <c r="H2778" s="6" t="s">
        <v>31194</v>
      </c>
      <c r="I2778" s="6">
        <v>526.6875</v>
      </c>
      <c r="J2778" s="2">
        <f t="shared" si="43"/>
        <v>43748.647286180552</v>
      </c>
    </row>
    <row r="2779" spans="1:10" x14ac:dyDescent="0.25">
      <c r="A2779" s="7" t="s">
        <v>31195</v>
      </c>
      <c r="B2779" s="8">
        <v>393.75</v>
      </c>
      <c r="C2779" s="8">
        <v>20.531590000000001</v>
      </c>
      <c r="D2779" s="8">
        <v>63</v>
      </c>
      <c r="E2779" s="8">
        <v>0</v>
      </c>
      <c r="F2779" s="8">
        <v>0</v>
      </c>
      <c r="G2779" s="8">
        <v>72</v>
      </c>
      <c r="H2779" s="8" t="s">
        <v>31196</v>
      </c>
      <c r="I2779" s="8">
        <v>526.6875</v>
      </c>
      <c r="J2779" s="3">
        <f t="shared" si="43"/>
        <v>43748.647358043978</v>
      </c>
    </row>
    <row r="2780" spans="1:10" x14ac:dyDescent="0.25">
      <c r="A2780" s="5" t="s">
        <v>31197</v>
      </c>
      <c r="B2780" s="6">
        <v>393.75</v>
      </c>
      <c r="C2780" s="6">
        <v>20.584240000000001</v>
      </c>
      <c r="D2780" s="6">
        <v>65</v>
      </c>
      <c r="E2780" s="6">
        <v>0</v>
      </c>
      <c r="F2780" s="6">
        <v>0</v>
      </c>
      <c r="G2780" s="6">
        <v>63</v>
      </c>
      <c r="H2780" s="6" t="s">
        <v>31198</v>
      </c>
      <c r="I2780" s="6">
        <v>526.6875</v>
      </c>
      <c r="J2780" s="2">
        <f t="shared" si="43"/>
        <v>43748.647441608795</v>
      </c>
    </row>
    <row r="2781" spans="1:10" x14ac:dyDescent="0.25">
      <c r="A2781" s="7" t="s">
        <v>31199</v>
      </c>
      <c r="B2781" s="8">
        <v>393.75</v>
      </c>
      <c r="C2781" s="8">
        <v>20.584240000000001</v>
      </c>
      <c r="D2781" s="8">
        <v>65</v>
      </c>
      <c r="E2781" s="8">
        <v>0</v>
      </c>
      <c r="F2781" s="8">
        <v>0</v>
      </c>
      <c r="G2781" s="8">
        <v>82</v>
      </c>
      <c r="H2781" s="8" t="s">
        <v>31200</v>
      </c>
      <c r="I2781" s="8">
        <v>526.6875</v>
      </c>
      <c r="J2781" s="3">
        <f t="shared" si="43"/>
        <v>43748.647525162036</v>
      </c>
    </row>
    <row r="2782" spans="1:10" x14ac:dyDescent="0.25">
      <c r="A2782" s="5" t="s">
        <v>31201</v>
      </c>
      <c r="B2782" s="6">
        <v>437.5</v>
      </c>
      <c r="C2782" s="6">
        <v>20.531590000000001</v>
      </c>
      <c r="D2782" s="6">
        <v>66</v>
      </c>
      <c r="E2782" s="6">
        <v>0</v>
      </c>
      <c r="F2782" s="6">
        <v>0</v>
      </c>
      <c r="G2782" s="6">
        <v>79</v>
      </c>
      <c r="H2782" s="6" t="s">
        <v>31202</v>
      </c>
      <c r="I2782" s="6">
        <v>540.375</v>
      </c>
      <c r="J2782" s="2">
        <f t="shared" si="43"/>
        <v>43748.64760827546</v>
      </c>
    </row>
    <row r="2783" spans="1:10" x14ac:dyDescent="0.25">
      <c r="A2783" s="7" t="s">
        <v>31203</v>
      </c>
      <c r="B2783" s="8">
        <v>393.75</v>
      </c>
      <c r="C2783" s="8">
        <v>20.531590000000001</v>
      </c>
      <c r="D2783" s="8">
        <v>65</v>
      </c>
      <c r="E2783" s="8">
        <v>0</v>
      </c>
      <c r="F2783" s="8">
        <v>0</v>
      </c>
      <c r="G2783" s="8">
        <v>77</v>
      </c>
      <c r="H2783" s="8" t="s">
        <v>31204</v>
      </c>
      <c r="I2783" s="8">
        <v>526.6875</v>
      </c>
      <c r="J2783" s="3">
        <f t="shared" si="43"/>
        <v>43748.647692071761</v>
      </c>
    </row>
    <row r="2784" spans="1:10" x14ac:dyDescent="0.25">
      <c r="A2784" s="5" t="s">
        <v>31205</v>
      </c>
      <c r="B2784" s="6">
        <v>393.75</v>
      </c>
      <c r="C2784" s="6">
        <v>20.584240000000001</v>
      </c>
      <c r="D2784" s="6">
        <v>65</v>
      </c>
      <c r="E2784" s="6">
        <v>0</v>
      </c>
      <c r="F2784" s="6">
        <v>0</v>
      </c>
      <c r="G2784" s="6">
        <v>83</v>
      </c>
      <c r="H2784" s="6" t="s">
        <v>31206</v>
      </c>
      <c r="I2784" s="6">
        <v>526.6875</v>
      </c>
      <c r="J2784" s="2">
        <f t="shared" si="43"/>
        <v>43748.647775879632</v>
      </c>
    </row>
    <row r="2785" spans="1:10" x14ac:dyDescent="0.25">
      <c r="A2785" s="7" t="s">
        <v>31207</v>
      </c>
      <c r="B2785" s="8">
        <v>393.75</v>
      </c>
      <c r="C2785" s="8">
        <v>20.584240000000001</v>
      </c>
      <c r="D2785" s="8">
        <v>65</v>
      </c>
      <c r="E2785" s="8">
        <v>0</v>
      </c>
      <c r="F2785" s="8">
        <v>0</v>
      </c>
      <c r="G2785" s="8">
        <v>79</v>
      </c>
      <c r="H2785" s="8" t="s">
        <v>31208</v>
      </c>
      <c r="I2785" s="8">
        <v>526.6875</v>
      </c>
      <c r="J2785" s="3">
        <f t="shared" si="43"/>
        <v>43748.64784716435</v>
      </c>
    </row>
    <row r="2786" spans="1:10" x14ac:dyDescent="0.25">
      <c r="A2786" s="5" t="s">
        <v>31209</v>
      </c>
      <c r="B2786" s="6">
        <v>393.75</v>
      </c>
      <c r="C2786" s="6">
        <v>20.584240000000001</v>
      </c>
      <c r="D2786" s="6">
        <v>67</v>
      </c>
      <c r="E2786" s="6">
        <v>0</v>
      </c>
      <c r="F2786" s="6">
        <v>0</v>
      </c>
      <c r="G2786" s="6">
        <v>79</v>
      </c>
      <c r="H2786" s="6" t="s">
        <v>31210</v>
      </c>
      <c r="I2786" s="6">
        <v>526.6875</v>
      </c>
      <c r="J2786" s="2">
        <f t="shared" si="43"/>
        <v>43748.647942534721</v>
      </c>
    </row>
    <row r="2787" spans="1:10" x14ac:dyDescent="0.25">
      <c r="A2787" s="7" t="s">
        <v>31211</v>
      </c>
      <c r="B2787" s="8">
        <v>393.75</v>
      </c>
      <c r="C2787" s="8">
        <v>20.584240000000001</v>
      </c>
      <c r="D2787" s="8">
        <v>66</v>
      </c>
      <c r="E2787" s="8">
        <v>0</v>
      </c>
      <c r="F2787" s="8">
        <v>0</v>
      </c>
      <c r="G2787" s="8">
        <v>71</v>
      </c>
      <c r="H2787" s="8" t="s">
        <v>31212</v>
      </c>
      <c r="I2787" s="8">
        <v>526.6875</v>
      </c>
      <c r="J2787" s="3">
        <f t="shared" si="43"/>
        <v>43748.648013831014</v>
      </c>
    </row>
    <row r="2788" spans="1:10" x14ac:dyDescent="0.25">
      <c r="A2788" s="5" t="s">
        <v>31213</v>
      </c>
      <c r="B2788" s="6">
        <v>393.75</v>
      </c>
      <c r="C2788" s="6">
        <v>20.531590000000001</v>
      </c>
      <c r="D2788" s="6">
        <v>65</v>
      </c>
      <c r="E2788" s="6">
        <v>0</v>
      </c>
      <c r="F2788" s="6">
        <v>0</v>
      </c>
      <c r="G2788" s="6">
        <v>82</v>
      </c>
      <c r="H2788" s="6" t="s">
        <v>31214</v>
      </c>
      <c r="I2788" s="6">
        <v>526.6875</v>
      </c>
      <c r="J2788" s="2">
        <f t="shared" si="43"/>
        <v>43748.648097280085</v>
      </c>
    </row>
    <row r="2789" spans="1:10" x14ac:dyDescent="0.25">
      <c r="A2789" s="7" t="s">
        <v>31215</v>
      </c>
      <c r="B2789" s="8">
        <v>393.75</v>
      </c>
      <c r="C2789" s="8">
        <v>20.531590000000001</v>
      </c>
      <c r="D2789" s="8">
        <v>65</v>
      </c>
      <c r="E2789" s="8">
        <v>0</v>
      </c>
      <c r="F2789" s="8">
        <v>0</v>
      </c>
      <c r="G2789" s="8">
        <v>79</v>
      </c>
      <c r="H2789" s="8" t="s">
        <v>31216</v>
      </c>
      <c r="I2789" s="8">
        <v>526.6875</v>
      </c>
      <c r="J2789" s="3">
        <f t="shared" si="43"/>
        <v>43748.648176215276</v>
      </c>
    </row>
    <row r="2790" spans="1:10" x14ac:dyDescent="0.25">
      <c r="A2790" s="5" t="s">
        <v>31217</v>
      </c>
      <c r="B2790" s="6">
        <v>393.75</v>
      </c>
      <c r="C2790" s="6">
        <v>20.531590000000001</v>
      </c>
      <c r="D2790" s="6">
        <v>67</v>
      </c>
      <c r="E2790" s="6">
        <v>0</v>
      </c>
      <c r="F2790" s="6">
        <v>0</v>
      </c>
      <c r="G2790" s="6">
        <v>85</v>
      </c>
      <c r="H2790" s="6" t="s">
        <v>31218</v>
      </c>
      <c r="I2790" s="6">
        <v>526.6875</v>
      </c>
      <c r="J2790" s="2">
        <f t="shared" si="43"/>
        <v>43748.64825273148</v>
      </c>
    </row>
    <row r="2791" spans="1:10" x14ac:dyDescent="0.25">
      <c r="A2791" s="7" t="s">
        <v>31219</v>
      </c>
      <c r="B2791" s="8">
        <v>393.75</v>
      </c>
      <c r="C2791" s="8">
        <v>20.531590000000001</v>
      </c>
      <c r="D2791" s="8">
        <v>69</v>
      </c>
      <c r="E2791" s="8">
        <v>0</v>
      </c>
      <c r="F2791" s="8">
        <v>0</v>
      </c>
      <c r="G2791" s="8">
        <v>78</v>
      </c>
      <c r="H2791" s="8" t="s">
        <v>31220</v>
      </c>
      <c r="I2791" s="8">
        <v>526.5</v>
      </c>
      <c r="J2791" s="3">
        <f t="shared" si="43"/>
        <v>43748.648336180551</v>
      </c>
    </row>
    <row r="2792" spans="1:10" x14ac:dyDescent="0.25">
      <c r="A2792" s="5" t="s">
        <v>31221</v>
      </c>
      <c r="B2792" s="6">
        <v>393.75</v>
      </c>
      <c r="C2792" s="6">
        <v>20.584240000000001</v>
      </c>
      <c r="D2792" s="6">
        <v>69</v>
      </c>
      <c r="E2792" s="6">
        <v>0</v>
      </c>
      <c r="F2792" s="6">
        <v>0</v>
      </c>
      <c r="G2792" s="6">
        <v>78</v>
      </c>
      <c r="H2792" s="6" t="s">
        <v>31222</v>
      </c>
      <c r="I2792" s="6">
        <v>526.6875</v>
      </c>
      <c r="J2792" s="2">
        <f t="shared" si="43"/>
        <v>43748.648419386569</v>
      </c>
    </row>
    <row r="2793" spans="1:10" x14ac:dyDescent="0.25">
      <c r="A2793" s="7" t="s">
        <v>31223</v>
      </c>
      <c r="B2793" s="8">
        <v>393.75</v>
      </c>
      <c r="C2793" s="8">
        <v>20.584240000000001</v>
      </c>
      <c r="D2793" s="8">
        <v>69</v>
      </c>
      <c r="E2793" s="8">
        <v>0</v>
      </c>
      <c r="F2793" s="8">
        <v>0</v>
      </c>
      <c r="G2793" s="8">
        <v>73</v>
      </c>
      <c r="H2793" s="8" t="s">
        <v>31224</v>
      </c>
      <c r="I2793" s="8">
        <v>526.6875</v>
      </c>
      <c r="J2793" s="3">
        <f t="shared" si="43"/>
        <v>43748.648490810177</v>
      </c>
    </row>
    <row r="2794" spans="1:10" x14ac:dyDescent="0.25">
      <c r="A2794" s="5" t="s">
        <v>31225</v>
      </c>
      <c r="B2794" s="6">
        <v>393.75</v>
      </c>
      <c r="C2794" s="6">
        <v>20.584240000000001</v>
      </c>
      <c r="D2794" s="6">
        <v>68</v>
      </c>
      <c r="E2794" s="6">
        <v>0</v>
      </c>
      <c r="F2794" s="6">
        <v>0</v>
      </c>
      <c r="G2794" s="6">
        <v>73</v>
      </c>
      <c r="H2794" s="6" t="s">
        <v>31226</v>
      </c>
      <c r="I2794" s="6">
        <v>526.6875</v>
      </c>
      <c r="J2794" s="2">
        <f t="shared" si="43"/>
        <v>43748.648576504631</v>
      </c>
    </row>
    <row r="2795" spans="1:10" x14ac:dyDescent="0.25">
      <c r="A2795" s="7" t="s">
        <v>31227</v>
      </c>
      <c r="B2795" s="8">
        <v>412.5</v>
      </c>
      <c r="C2795" s="8">
        <v>20.531590000000001</v>
      </c>
      <c r="D2795" s="8">
        <v>68</v>
      </c>
      <c r="E2795" s="8">
        <v>0</v>
      </c>
      <c r="F2795" s="8">
        <v>0</v>
      </c>
      <c r="G2795" s="8">
        <v>72</v>
      </c>
      <c r="H2795" s="8" t="s">
        <v>31228</v>
      </c>
      <c r="I2795" s="8">
        <v>532.3125</v>
      </c>
      <c r="J2795" s="3">
        <f t="shared" si="43"/>
        <v>43748.648658379629</v>
      </c>
    </row>
    <row r="2796" spans="1:10" x14ac:dyDescent="0.25">
      <c r="A2796" s="5" t="s">
        <v>31229</v>
      </c>
      <c r="B2796" s="6">
        <v>393.75</v>
      </c>
      <c r="C2796" s="6">
        <v>20.584240000000001</v>
      </c>
      <c r="D2796" s="6">
        <v>68</v>
      </c>
      <c r="E2796" s="6">
        <v>0</v>
      </c>
      <c r="F2796" s="6">
        <v>0</v>
      </c>
      <c r="G2796" s="6">
        <v>75</v>
      </c>
      <c r="H2796" s="6" t="s">
        <v>31230</v>
      </c>
      <c r="I2796" s="6">
        <v>526.6875</v>
      </c>
      <c r="J2796" s="2">
        <f t="shared" si="43"/>
        <v>43748.648741620367</v>
      </c>
    </row>
    <row r="2797" spans="1:10" x14ac:dyDescent="0.25">
      <c r="A2797" s="7" t="s">
        <v>31231</v>
      </c>
      <c r="B2797" s="8">
        <v>393.75</v>
      </c>
      <c r="C2797" s="8">
        <v>20.531590000000001</v>
      </c>
      <c r="D2797" s="8">
        <v>67</v>
      </c>
      <c r="E2797" s="8">
        <v>0</v>
      </c>
      <c r="F2797" s="8">
        <v>0</v>
      </c>
      <c r="G2797" s="8">
        <v>73</v>
      </c>
      <c r="H2797" s="8" t="s">
        <v>31232</v>
      </c>
      <c r="I2797" s="8">
        <v>526.6875</v>
      </c>
      <c r="J2797" s="3">
        <f t="shared" si="43"/>
        <v>43748.648825173608</v>
      </c>
    </row>
    <row r="2798" spans="1:10" x14ac:dyDescent="0.25">
      <c r="A2798" s="5" t="s">
        <v>31233</v>
      </c>
      <c r="B2798" s="6">
        <v>393.75</v>
      </c>
      <c r="C2798" s="6">
        <v>20.531590000000001</v>
      </c>
      <c r="D2798" s="6">
        <v>66</v>
      </c>
      <c r="E2798" s="6">
        <v>0</v>
      </c>
      <c r="F2798" s="6">
        <v>0</v>
      </c>
      <c r="G2798" s="6">
        <v>79</v>
      </c>
      <c r="H2798" s="6" t="s">
        <v>31234</v>
      </c>
      <c r="I2798" s="6">
        <v>526.6875</v>
      </c>
      <c r="J2798" s="2">
        <f t="shared" si="43"/>
        <v>43748.648908518517</v>
      </c>
    </row>
    <row r="2799" spans="1:10" x14ac:dyDescent="0.25">
      <c r="A2799" s="7" t="s">
        <v>31235</v>
      </c>
      <c r="B2799" s="8">
        <v>393.75</v>
      </c>
      <c r="C2799" s="8">
        <v>20.478950000000001</v>
      </c>
      <c r="D2799" s="8">
        <v>66</v>
      </c>
      <c r="E2799" s="8">
        <v>0</v>
      </c>
      <c r="F2799" s="8">
        <v>0</v>
      </c>
      <c r="G2799" s="8">
        <v>73</v>
      </c>
      <c r="H2799" s="8" t="s">
        <v>31236</v>
      </c>
      <c r="I2799" s="8">
        <v>526.6875</v>
      </c>
      <c r="J2799" s="3">
        <f t="shared" si="43"/>
        <v>43748.648992175928</v>
      </c>
    </row>
    <row r="2800" spans="1:10" x14ac:dyDescent="0.25">
      <c r="A2800" s="5" t="s">
        <v>31237</v>
      </c>
      <c r="B2800" s="6">
        <v>393.75</v>
      </c>
      <c r="C2800" s="6">
        <v>20.531590000000001</v>
      </c>
      <c r="D2800" s="6">
        <v>66</v>
      </c>
      <c r="E2800" s="6">
        <v>0</v>
      </c>
      <c r="F2800" s="6">
        <v>0</v>
      </c>
      <c r="G2800" s="6">
        <v>71</v>
      </c>
      <c r="H2800" s="6" t="s">
        <v>31238</v>
      </c>
      <c r="I2800" s="6">
        <v>526.6875</v>
      </c>
      <c r="J2800" s="2">
        <f t="shared" si="43"/>
        <v>43748.649063599536</v>
      </c>
    </row>
    <row r="2801" spans="1:10" x14ac:dyDescent="0.25">
      <c r="A2801" s="7" t="s">
        <v>31239</v>
      </c>
      <c r="B2801" s="8">
        <v>393.75</v>
      </c>
      <c r="C2801" s="8">
        <v>20.584240000000001</v>
      </c>
      <c r="D2801" s="8">
        <v>66</v>
      </c>
      <c r="E2801" s="8">
        <v>0</v>
      </c>
      <c r="F2801" s="8">
        <v>0</v>
      </c>
      <c r="G2801" s="8">
        <v>72</v>
      </c>
      <c r="H2801" s="8" t="s">
        <v>31240</v>
      </c>
      <c r="I2801" s="8">
        <v>526.6875</v>
      </c>
      <c r="J2801" s="3">
        <f t="shared" si="43"/>
        <v>43748.649147361109</v>
      </c>
    </row>
    <row r="2802" spans="1:10" x14ac:dyDescent="0.25">
      <c r="A2802" s="5" t="s">
        <v>31241</v>
      </c>
      <c r="B2802" s="6">
        <v>393.75</v>
      </c>
      <c r="C2802" s="6">
        <v>20.584240000000001</v>
      </c>
      <c r="D2802" s="6">
        <v>66</v>
      </c>
      <c r="E2802" s="6">
        <v>0</v>
      </c>
      <c r="F2802" s="6">
        <v>0</v>
      </c>
      <c r="G2802" s="6">
        <v>75</v>
      </c>
      <c r="H2802" s="6" t="s">
        <v>31242</v>
      </c>
      <c r="I2802" s="6">
        <v>526.6875</v>
      </c>
      <c r="J2802" s="2">
        <f t="shared" si="43"/>
        <v>43748.649230509262</v>
      </c>
    </row>
    <row r="2803" spans="1:10" x14ac:dyDescent="0.25">
      <c r="A2803" s="7" t="s">
        <v>31243</v>
      </c>
      <c r="B2803" s="8">
        <v>393.75</v>
      </c>
      <c r="C2803" s="8">
        <v>20.531590000000001</v>
      </c>
      <c r="D2803" s="8">
        <v>66</v>
      </c>
      <c r="E2803" s="8">
        <v>0</v>
      </c>
      <c r="F2803" s="8">
        <v>0</v>
      </c>
      <c r="G2803" s="8">
        <v>75</v>
      </c>
      <c r="H2803" s="8" t="s">
        <v>31244</v>
      </c>
      <c r="I2803" s="8">
        <v>526.6875</v>
      </c>
      <c r="J2803" s="3">
        <f t="shared" si="43"/>
        <v>43748.649310578701</v>
      </c>
    </row>
    <row r="2804" spans="1:10" x14ac:dyDescent="0.25">
      <c r="A2804" s="5" t="s">
        <v>31245</v>
      </c>
      <c r="B2804" s="6">
        <v>393.75</v>
      </c>
      <c r="C2804" s="6">
        <v>20.531590000000001</v>
      </c>
      <c r="D2804" s="6">
        <v>64</v>
      </c>
      <c r="E2804" s="6">
        <v>0</v>
      </c>
      <c r="F2804" s="6">
        <v>0</v>
      </c>
      <c r="G2804" s="6">
        <v>86</v>
      </c>
      <c r="H2804" s="6" t="s">
        <v>31246</v>
      </c>
      <c r="I2804" s="6">
        <v>526.6875</v>
      </c>
      <c r="J2804" s="2">
        <f t="shared" si="43"/>
        <v>43748.649385694443</v>
      </c>
    </row>
    <row r="2805" spans="1:10" x14ac:dyDescent="0.25">
      <c r="A2805" s="7" t="s">
        <v>31247</v>
      </c>
      <c r="B2805" s="8">
        <v>393.75</v>
      </c>
      <c r="C2805" s="8">
        <v>20.584240000000001</v>
      </c>
      <c r="D2805" s="8">
        <v>64</v>
      </c>
      <c r="E2805" s="8">
        <v>0</v>
      </c>
      <c r="F2805" s="8">
        <v>0</v>
      </c>
      <c r="G2805" s="8">
        <v>72</v>
      </c>
      <c r="H2805" s="8" t="s">
        <v>31248</v>
      </c>
      <c r="I2805" s="8">
        <v>526.6875</v>
      </c>
      <c r="J2805" s="3">
        <f t="shared" si="43"/>
        <v>43748.649469166667</v>
      </c>
    </row>
    <row r="2806" spans="1:10" x14ac:dyDescent="0.25">
      <c r="A2806" s="5" t="s">
        <v>31249</v>
      </c>
      <c r="B2806" s="6">
        <v>393.75</v>
      </c>
      <c r="C2806" s="6">
        <v>20.531590000000001</v>
      </c>
      <c r="D2806" s="6">
        <v>64</v>
      </c>
      <c r="E2806" s="6">
        <v>0</v>
      </c>
      <c r="F2806" s="6">
        <v>0</v>
      </c>
      <c r="G2806" s="6">
        <v>68</v>
      </c>
      <c r="H2806" s="6" t="s">
        <v>31250</v>
      </c>
      <c r="I2806" s="6">
        <v>526.6875</v>
      </c>
      <c r="J2806" s="2">
        <f t="shared" si="43"/>
        <v>43748.649540798608</v>
      </c>
    </row>
    <row r="2807" spans="1:10" x14ac:dyDescent="0.25">
      <c r="A2807" s="7" t="s">
        <v>31251</v>
      </c>
      <c r="B2807" s="8">
        <v>393.75</v>
      </c>
      <c r="C2807" s="8">
        <v>20.531590000000001</v>
      </c>
      <c r="D2807" s="8">
        <v>64</v>
      </c>
      <c r="E2807" s="8">
        <v>0</v>
      </c>
      <c r="F2807" s="8">
        <v>0</v>
      </c>
      <c r="G2807" s="8">
        <v>77</v>
      </c>
      <c r="H2807" s="8" t="s">
        <v>31252</v>
      </c>
      <c r="I2807" s="8">
        <v>526.6875</v>
      </c>
      <c r="J2807" s="3">
        <f t="shared" si="43"/>
        <v>43748.649631655091</v>
      </c>
    </row>
    <row r="2808" spans="1:10" x14ac:dyDescent="0.25">
      <c r="A2808" s="5" t="s">
        <v>31253</v>
      </c>
      <c r="B2808" s="6">
        <v>393.75</v>
      </c>
      <c r="C2808" s="6">
        <v>20.531590000000001</v>
      </c>
      <c r="D2808" s="6">
        <v>69</v>
      </c>
      <c r="E2808" s="6">
        <v>0</v>
      </c>
      <c r="F2808" s="6">
        <v>0</v>
      </c>
      <c r="G2808" s="6">
        <v>84</v>
      </c>
      <c r="H2808" s="6" t="s">
        <v>31254</v>
      </c>
      <c r="I2808" s="6">
        <v>526.6875</v>
      </c>
      <c r="J2808" s="2">
        <f t="shared" si="43"/>
        <v>43748.649707696757</v>
      </c>
    </row>
    <row r="2809" spans="1:10" x14ac:dyDescent="0.25">
      <c r="A2809" s="7" t="s">
        <v>31255</v>
      </c>
      <c r="B2809" s="8">
        <v>393.75</v>
      </c>
      <c r="C2809" s="8">
        <v>20.531590000000001</v>
      </c>
      <c r="D2809" s="8">
        <v>70</v>
      </c>
      <c r="E2809" s="8">
        <v>0</v>
      </c>
      <c r="F2809" s="8">
        <v>0</v>
      </c>
      <c r="G2809" s="8">
        <v>72</v>
      </c>
      <c r="H2809" s="8" t="s">
        <v>31256</v>
      </c>
      <c r="I2809" s="8">
        <v>526.6875</v>
      </c>
      <c r="J2809" s="3">
        <f t="shared" si="43"/>
        <v>43748.649791249998</v>
      </c>
    </row>
    <row r="2810" spans="1:10" x14ac:dyDescent="0.25">
      <c r="A2810" s="5" t="s">
        <v>31257</v>
      </c>
      <c r="B2810" s="6">
        <v>393.75</v>
      </c>
      <c r="C2810" s="6">
        <v>20.531590000000001</v>
      </c>
      <c r="D2810" s="6">
        <v>70</v>
      </c>
      <c r="E2810" s="6">
        <v>0</v>
      </c>
      <c r="F2810" s="6">
        <v>0</v>
      </c>
      <c r="G2810" s="6">
        <v>83</v>
      </c>
      <c r="H2810" s="6" t="s">
        <v>31258</v>
      </c>
      <c r="I2810" s="6">
        <v>526.6875</v>
      </c>
      <c r="J2810" s="2">
        <f t="shared" si="43"/>
        <v>43748.649874722221</v>
      </c>
    </row>
    <row r="2811" spans="1:10" x14ac:dyDescent="0.25">
      <c r="A2811" s="7" t="s">
        <v>31259</v>
      </c>
      <c r="B2811" s="8">
        <v>393.75</v>
      </c>
      <c r="C2811" s="8">
        <v>20.584240000000001</v>
      </c>
      <c r="D2811" s="8">
        <v>70</v>
      </c>
      <c r="E2811" s="8">
        <v>0</v>
      </c>
      <c r="F2811" s="8">
        <v>0</v>
      </c>
      <c r="G2811" s="8">
        <v>76</v>
      </c>
      <c r="H2811" s="8" t="s">
        <v>31260</v>
      </c>
      <c r="I2811" s="8">
        <v>526.6875</v>
      </c>
      <c r="J2811" s="3">
        <f t="shared" si="43"/>
        <v>43748.649958159724</v>
      </c>
    </row>
    <row r="2812" spans="1:10" x14ac:dyDescent="0.25">
      <c r="A2812" s="5" t="s">
        <v>31261</v>
      </c>
      <c r="B2812" s="6">
        <v>393.75</v>
      </c>
      <c r="C2812" s="6">
        <v>20.584240000000001</v>
      </c>
      <c r="D2812" s="6">
        <v>69</v>
      </c>
      <c r="E2812" s="6">
        <v>0</v>
      </c>
      <c r="F2812" s="6">
        <v>0</v>
      </c>
      <c r="G2812" s="6">
        <v>81</v>
      </c>
      <c r="H2812" s="6" t="s">
        <v>31262</v>
      </c>
      <c r="I2812" s="6">
        <v>526.6875</v>
      </c>
      <c r="J2812" s="2">
        <f t="shared" si="43"/>
        <v>43748.650041597219</v>
      </c>
    </row>
    <row r="2813" spans="1:10" x14ac:dyDescent="0.25">
      <c r="A2813" s="7" t="s">
        <v>31263</v>
      </c>
      <c r="B2813" s="8">
        <v>393.75</v>
      </c>
      <c r="C2813" s="8">
        <v>20.531590000000001</v>
      </c>
      <c r="D2813" s="8">
        <v>70</v>
      </c>
      <c r="E2813" s="8">
        <v>0</v>
      </c>
      <c r="F2813" s="8">
        <v>0</v>
      </c>
      <c r="G2813" s="8">
        <v>73</v>
      </c>
      <c r="H2813" s="8" t="s">
        <v>31264</v>
      </c>
      <c r="I2813" s="8">
        <v>526.6875</v>
      </c>
      <c r="J2813" s="3">
        <f t="shared" si="43"/>
        <v>43748.650125185181</v>
      </c>
    </row>
    <row r="2814" spans="1:10" x14ac:dyDescent="0.25">
      <c r="A2814" s="5" t="s">
        <v>31265</v>
      </c>
      <c r="B2814" s="6">
        <v>393.75</v>
      </c>
      <c r="C2814" s="6">
        <v>20.531590000000001</v>
      </c>
      <c r="D2814" s="6">
        <v>70</v>
      </c>
      <c r="E2814" s="6">
        <v>0</v>
      </c>
      <c r="F2814" s="6">
        <v>0</v>
      </c>
      <c r="G2814" s="6">
        <v>71</v>
      </c>
      <c r="H2814" s="6" t="s">
        <v>31266</v>
      </c>
      <c r="I2814" s="6">
        <v>526.5</v>
      </c>
      <c r="J2814" s="2">
        <f t="shared" si="43"/>
        <v>43748.650208402774</v>
      </c>
    </row>
    <row r="2815" spans="1:10" x14ac:dyDescent="0.25">
      <c r="A2815" s="7" t="s">
        <v>31267</v>
      </c>
      <c r="B2815" s="8">
        <v>412.5</v>
      </c>
      <c r="C2815" s="8">
        <v>20.531590000000001</v>
      </c>
      <c r="D2815" s="8">
        <v>70</v>
      </c>
      <c r="E2815" s="8">
        <v>0</v>
      </c>
      <c r="F2815" s="8">
        <v>0</v>
      </c>
      <c r="G2815" s="8">
        <v>69</v>
      </c>
      <c r="H2815" s="8" t="s">
        <v>31268</v>
      </c>
      <c r="I2815" s="8">
        <v>532.3125</v>
      </c>
      <c r="J2815" s="3">
        <f t="shared" si="43"/>
        <v>43748.650280034715</v>
      </c>
    </row>
    <row r="2816" spans="1:10" x14ac:dyDescent="0.25">
      <c r="A2816" s="5" t="s">
        <v>31269</v>
      </c>
      <c r="B2816" s="6">
        <v>393.75</v>
      </c>
      <c r="C2816" s="6">
        <v>20.584240000000001</v>
      </c>
      <c r="D2816" s="6">
        <v>71</v>
      </c>
      <c r="E2816" s="6">
        <v>0</v>
      </c>
      <c r="F2816" s="6">
        <v>0</v>
      </c>
      <c r="G2816" s="6">
        <v>77</v>
      </c>
      <c r="H2816" s="6" t="s">
        <v>31270</v>
      </c>
      <c r="I2816" s="6">
        <v>526.6875</v>
      </c>
      <c r="J2816" s="2">
        <f t="shared" si="43"/>
        <v>43748.650374247685</v>
      </c>
    </row>
    <row r="2817" spans="1:10" x14ac:dyDescent="0.25">
      <c r="A2817" s="7" t="s">
        <v>31271</v>
      </c>
      <c r="B2817" s="8">
        <v>393.75</v>
      </c>
      <c r="C2817" s="8">
        <v>20.531590000000001</v>
      </c>
      <c r="D2817" s="8">
        <v>68</v>
      </c>
      <c r="E2817" s="8">
        <v>0</v>
      </c>
      <c r="F2817" s="8">
        <v>0</v>
      </c>
      <c r="G2817" s="8">
        <v>67</v>
      </c>
      <c r="H2817" s="8" t="s">
        <v>31272</v>
      </c>
      <c r="I2817" s="8">
        <v>526.6875</v>
      </c>
      <c r="J2817" s="3">
        <f t="shared" si="43"/>
        <v>43748.650447152781</v>
      </c>
    </row>
    <row r="2818" spans="1:10" x14ac:dyDescent="0.25">
      <c r="A2818" s="5" t="s">
        <v>31273</v>
      </c>
      <c r="B2818" s="6">
        <v>393.75</v>
      </c>
      <c r="C2818" s="6">
        <v>20.584240000000001</v>
      </c>
      <c r="D2818" s="6">
        <v>69</v>
      </c>
      <c r="E2818" s="6">
        <v>0</v>
      </c>
      <c r="F2818" s="6">
        <v>0</v>
      </c>
      <c r="G2818" s="6">
        <v>76</v>
      </c>
      <c r="H2818" s="6" t="s">
        <v>31274</v>
      </c>
      <c r="I2818" s="6">
        <v>526.6875</v>
      </c>
      <c r="J2818" s="2">
        <f t="shared" ref="J2818:J2881" si="44">(H2818/86400000)+25569+(7/24)</f>
        <v>43748.650530497682</v>
      </c>
    </row>
    <row r="2819" spans="1:10" x14ac:dyDescent="0.25">
      <c r="A2819" s="7" t="s">
        <v>31275</v>
      </c>
      <c r="B2819" s="8">
        <v>393.75</v>
      </c>
      <c r="C2819" s="8">
        <v>20.531590000000001</v>
      </c>
      <c r="D2819" s="8">
        <v>69</v>
      </c>
      <c r="E2819" s="8">
        <v>0</v>
      </c>
      <c r="F2819" s="8">
        <v>0</v>
      </c>
      <c r="G2819" s="8">
        <v>74</v>
      </c>
      <c r="H2819" s="8" t="s">
        <v>31276</v>
      </c>
      <c r="I2819" s="8">
        <v>526.6875</v>
      </c>
      <c r="J2819" s="3">
        <f t="shared" si="44"/>
        <v>43748.650614178237</v>
      </c>
    </row>
    <row r="2820" spans="1:10" x14ac:dyDescent="0.25">
      <c r="A2820" s="5" t="s">
        <v>31277</v>
      </c>
      <c r="B2820" s="6">
        <v>412.5</v>
      </c>
      <c r="C2820" s="6">
        <v>20.531590000000001</v>
      </c>
      <c r="D2820" s="6">
        <v>69</v>
      </c>
      <c r="E2820" s="6">
        <v>0</v>
      </c>
      <c r="F2820" s="6">
        <v>0</v>
      </c>
      <c r="G2820" s="6">
        <v>72</v>
      </c>
      <c r="H2820" s="6" t="s">
        <v>31278</v>
      </c>
      <c r="I2820" s="6">
        <v>532.3125</v>
      </c>
      <c r="J2820" s="2">
        <f t="shared" si="44"/>
        <v>43748.650697314813</v>
      </c>
    </row>
    <row r="2821" spans="1:10" x14ac:dyDescent="0.25">
      <c r="A2821" s="7" t="s">
        <v>31279</v>
      </c>
      <c r="B2821" s="8">
        <v>393.75</v>
      </c>
      <c r="C2821" s="8">
        <v>20.531590000000001</v>
      </c>
      <c r="D2821" s="8">
        <v>70</v>
      </c>
      <c r="E2821" s="8">
        <v>0</v>
      </c>
      <c r="F2821" s="8">
        <v>0</v>
      </c>
      <c r="G2821" s="8">
        <v>72</v>
      </c>
      <c r="H2821" s="8" t="s">
        <v>31280</v>
      </c>
      <c r="I2821" s="8">
        <v>526.6875</v>
      </c>
      <c r="J2821" s="3">
        <f t="shared" si="44"/>
        <v>43748.650769270833</v>
      </c>
    </row>
    <row r="2822" spans="1:10" x14ac:dyDescent="0.25">
      <c r="A2822" s="5" t="s">
        <v>31281</v>
      </c>
      <c r="B2822" s="6">
        <v>393.75</v>
      </c>
      <c r="C2822" s="6">
        <v>20.584240000000001</v>
      </c>
      <c r="D2822" s="6">
        <v>69</v>
      </c>
      <c r="E2822" s="6">
        <v>0</v>
      </c>
      <c r="F2822" s="6">
        <v>0</v>
      </c>
      <c r="G2822" s="6">
        <v>74</v>
      </c>
      <c r="H2822" s="6" t="s">
        <v>31282</v>
      </c>
      <c r="I2822" s="6">
        <v>526.6875</v>
      </c>
      <c r="J2822" s="2">
        <f t="shared" si="44"/>
        <v>43748.650852708328</v>
      </c>
    </row>
    <row r="2823" spans="1:10" x14ac:dyDescent="0.25">
      <c r="A2823" s="7" t="s">
        <v>31283</v>
      </c>
      <c r="B2823" s="8">
        <v>393.75</v>
      </c>
      <c r="C2823" s="8">
        <v>20.584240000000001</v>
      </c>
      <c r="D2823" s="8">
        <v>70</v>
      </c>
      <c r="E2823" s="8">
        <v>0</v>
      </c>
      <c r="F2823" s="8">
        <v>0</v>
      </c>
      <c r="G2823" s="8">
        <v>63</v>
      </c>
      <c r="H2823" s="8" t="s">
        <v>31284</v>
      </c>
      <c r="I2823" s="8">
        <v>526.6875</v>
      </c>
      <c r="J2823" s="3">
        <f t="shared" si="44"/>
        <v>43748.650923912035</v>
      </c>
    </row>
    <row r="2824" spans="1:10" x14ac:dyDescent="0.25">
      <c r="A2824" s="5" t="s">
        <v>31285</v>
      </c>
      <c r="B2824" s="6">
        <v>393.75</v>
      </c>
      <c r="C2824" s="6">
        <v>20.531590000000001</v>
      </c>
      <c r="D2824" s="6">
        <v>69</v>
      </c>
      <c r="E2824" s="6">
        <v>0</v>
      </c>
      <c r="F2824" s="6">
        <v>0</v>
      </c>
      <c r="G2824" s="6">
        <v>77</v>
      </c>
      <c r="H2824" s="6" t="s">
        <v>31286</v>
      </c>
      <c r="I2824" s="6">
        <v>526.6875</v>
      </c>
      <c r="J2824" s="2">
        <f t="shared" si="44"/>
        <v>43748.650996099539</v>
      </c>
    </row>
    <row r="2825" spans="1:10" x14ac:dyDescent="0.25">
      <c r="A2825" s="7" t="s">
        <v>31287</v>
      </c>
      <c r="B2825" s="8">
        <v>393.75</v>
      </c>
      <c r="C2825" s="8">
        <v>20.531590000000001</v>
      </c>
      <c r="D2825" s="8">
        <v>69</v>
      </c>
      <c r="E2825" s="8">
        <v>0</v>
      </c>
      <c r="F2825" s="8">
        <v>0</v>
      </c>
      <c r="G2825" s="8">
        <v>68</v>
      </c>
      <c r="H2825" s="8" t="s">
        <v>31288</v>
      </c>
      <c r="I2825" s="8">
        <v>526.6875</v>
      </c>
      <c r="J2825" s="3">
        <f t="shared" si="44"/>
        <v>43748.651079467592</v>
      </c>
    </row>
    <row r="2826" spans="1:10" x14ac:dyDescent="0.25">
      <c r="A2826" s="5" t="s">
        <v>31289</v>
      </c>
      <c r="B2826" s="6">
        <v>412.5</v>
      </c>
      <c r="C2826" s="6">
        <v>20.531590000000001</v>
      </c>
      <c r="D2826" s="6">
        <v>70</v>
      </c>
      <c r="E2826" s="6">
        <v>0</v>
      </c>
      <c r="F2826" s="6">
        <v>0</v>
      </c>
      <c r="G2826" s="6">
        <v>75</v>
      </c>
      <c r="H2826" s="6" t="s">
        <v>31290</v>
      </c>
      <c r="I2826" s="6">
        <v>532.6875</v>
      </c>
      <c r="J2826" s="2">
        <f t="shared" si="44"/>
        <v>43748.65115085648</v>
      </c>
    </row>
    <row r="2827" spans="1:10" x14ac:dyDescent="0.25">
      <c r="A2827" s="7" t="s">
        <v>31291</v>
      </c>
      <c r="B2827" s="8">
        <v>393.75</v>
      </c>
      <c r="C2827" s="8">
        <v>20.531590000000001</v>
      </c>
      <c r="D2827" s="8">
        <v>68</v>
      </c>
      <c r="E2827" s="8">
        <v>0</v>
      </c>
      <c r="F2827" s="8">
        <v>0</v>
      </c>
      <c r="G2827" s="8">
        <v>75</v>
      </c>
      <c r="H2827" s="8" t="s">
        <v>31292</v>
      </c>
      <c r="I2827" s="8">
        <v>526.6875</v>
      </c>
      <c r="J2827" s="3">
        <f t="shared" si="44"/>
        <v>43748.651234201381</v>
      </c>
    </row>
    <row r="2828" spans="1:10" x14ac:dyDescent="0.25">
      <c r="A2828" s="5" t="s">
        <v>31293</v>
      </c>
      <c r="B2828" s="6">
        <v>393.75</v>
      </c>
      <c r="C2828" s="6">
        <v>20.584240000000001</v>
      </c>
      <c r="D2828" s="6">
        <v>68</v>
      </c>
      <c r="E2828" s="6">
        <v>0</v>
      </c>
      <c r="F2828" s="6">
        <v>0</v>
      </c>
      <c r="G2828" s="6">
        <v>66</v>
      </c>
      <c r="H2828" s="6" t="s">
        <v>31294</v>
      </c>
      <c r="I2828" s="6">
        <v>526.5</v>
      </c>
      <c r="J2828" s="2">
        <f t="shared" si="44"/>
        <v>43748.651305856481</v>
      </c>
    </row>
    <row r="2829" spans="1:10" x14ac:dyDescent="0.25">
      <c r="A2829" s="7" t="s">
        <v>31295</v>
      </c>
      <c r="B2829" s="8">
        <v>393.75</v>
      </c>
      <c r="C2829" s="8">
        <v>20.584240000000001</v>
      </c>
      <c r="D2829" s="8">
        <v>68</v>
      </c>
      <c r="E2829" s="8">
        <v>0</v>
      </c>
      <c r="F2829" s="8">
        <v>0</v>
      </c>
      <c r="G2829" s="8">
        <v>75</v>
      </c>
      <c r="H2829" s="8" t="s">
        <v>31296</v>
      </c>
      <c r="I2829" s="8">
        <v>526.6875</v>
      </c>
      <c r="J2829" s="3">
        <f t="shared" si="44"/>
        <v>43748.65138935185</v>
      </c>
    </row>
    <row r="2830" spans="1:10" x14ac:dyDescent="0.25">
      <c r="A2830" s="5" t="s">
        <v>31297</v>
      </c>
      <c r="B2830" s="6">
        <v>393.75</v>
      </c>
      <c r="C2830" s="6">
        <v>20.584240000000001</v>
      </c>
      <c r="D2830" s="6">
        <v>70</v>
      </c>
      <c r="E2830" s="6">
        <v>0</v>
      </c>
      <c r="F2830" s="6">
        <v>0</v>
      </c>
      <c r="G2830" s="6">
        <v>71</v>
      </c>
      <c r="H2830" s="6" t="s">
        <v>31298</v>
      </c>
      <c r="I2830" s="6">
        <v>526.6875</v>
      </c>
      <c r="J2830" s="2">
        <f t="shared" si="44"/>
        <v>43748.65147287037</v>
      </c>
    </row>
    <row r="2831" spans="1:10" x14ac:dyDescent="0.25">
      <c r="A2831" s="7" t="s">
        <v>31299</v>
      </c>
      <c r="B2831" s="8">
        <v>393.75</v>
      </c>
      <c r="C2831" s="8">
        <v>20.531590000000001</v>
      </c>
      <c r="D2831" s="8">
        <v>69</v>
      </c>
      <c r="E2831" s="8">
        <v>0</v>
      </c>
      <c r="F2831" s="8">
        <v>0</v>
      </c>
      <c r="G2831" s="8">
        <v>78</v>
      </c>
      <c r="H2831" s="8" t="s">
        <v>31300</v>
      </c>
      <c r="I2831" s="8">
        <v>526.6875</v>
      </c>
      <c r="J2831" s="3">
        <f t="shared" si="44"/>
        <v>43748.651556412035</v>
      </c>
    </row>
    <row r="2832" spans="1:10" x14ac:dyDescent="0.25">
      <c r="A2832" s="5" t="s">
        <v>31301</v>
      </c>
      <c r="B2832" s="6">
        <v>393.75</v>
      </c>
      <c r="C2832" s="6">
        <v>20.531590000000001</v>
      </c>
      <c r="D2832" s="6">
        <v>69</v>
      </c>
      <c r="E2832" s="6">
        <v>0</v>
      </c>
      <c r="F2832" s="6">
        <v>0</v>
      </c>
      <c r="G2832" s="6">
        <v>70</v>
      </c>
      <c r="H2832" s="6" t="s">
        <v>31302</v>
      </c>
      <c r="I2832" s="6">
        <v>526.6875</v>
      </c>
      <c r="J2832" s="2">
        <f t="shared" si="44"/>
        <v>43748.651639976852</v>
      </c>
    </row>
    <row r="2833" spans="1:10" x14ac:dyDescent="0.25">
      <c r="A2833" s="7" t="s">
        <v>31303</v>
      </c>
      <c r="B2833" s="8">
        <v>393.75</v>
      </c>
      <c r="C2833" s="8">
        <v>20.531590000000001</v>
      </c>
      <c r="D2833" s="8">
        <v>69</v>
      </c>
      <c r="E2833" s="8">
        <v>0</v>
      </c>
      <c r="F2833" s="8">
        <v>0</v>
      </c>
      <c r="G2833" s="8">
        <v>71</v>
      </c>
      <c r="H2833" s="8" t="s">
        <v>31304</v>
      </c>
      <c r="I2833" s="8">
        <v>526.6875</v>
      </c>
      <c r="J2833" s="3">
        <f t="shared" si="44"/>
        <v>43748.651723090275</v>
      </c>
    </row>
    <row r="2834" spans="1:10" x14ac:dyDescent="0.25">
      <c r="A2834" s="5" t="s">
        <v>31305</v>
      </c>
      <c r="B2834" s="6">
        <v>393.75</v>
      </c>
      <c r="C2834" s="6">
        <v>20.584240000000001</v>
      </c>
      <c r="D2834" s="6">
        <v>69</v>
      </c>
      <c r="E2834" s="6">
        <v>0</v>
      </c>
      <c r="F2834" s="6">
        <v>0</v>
      </c>
      <c r="G2834" s="6">
        <v>73</v>
      </c>
      <c r="H2834" s="6" t="s">
        <v>31306</v>
      </c>
      <c r="I2834" s="6">
        <v>526.5</v>
      </c>
      <c r="J2834" s="2">
        <f t="shared" si="44"/>
        <v>43748.651794837955</v>
      </c>
    </row>
    <row r="2835" spans="1:10" x14ac:dyDescent="0.25">
      <c r="A2835" s="7" t="s">
        <v>31307</v>
      </c>
      <c r="B2835" s="8">
        <v>393.75</v>
      </c>
      <c r="C2835" s="8">
        <v>20.584240000000001</v>
      </c>
      <c r="D2835" s="8">
        <v>71</v>
      </c>
      <c r="E2835" s="8">
        <v>0</v>
      </c>
      <c r="F2835" s="8">
        <v>0</v>
      </c>
      <c r="G2835" s="8">
        <v>75</v>
      </c>
      <c r="H2835" s="8" t="s">
        <v>31308</v>
      </c>
      <c r="I2835" s="8">
        <v>526.6875</v>
      </c>
      <c r="J2835" s="3">
        <f t="shared" si="44"/>
        <v>43748.651883622682</v>
      </c>
    </row>
    <row r="2836" spans="1:10" x14ac:dyDescent="0.25">
      <c r="A2836" s="5" t="s">
        <v>31309</v>
      </c>
      <c r="B2836" s="6">
        <v>393.75</v>
      </c>
      <c r="C2836" s="6">
        <v>20.531590000000001</v>
      </c>
      <c r="D2836" s="6">
        <v>72</v>
      </c>
      <c r="E2836" s="6">
        <v>0</v>
      </c>
      <c r="F2836" s="6">
        <v>0</v>
      </c>
      <c r="G2836" s="6">
        <v>75</v>
      </c>
      <c r="H2836" s="6" t="s">
        <v>31310</v>
      </c>
      <c r="I2836" s="6">
        <v>526.6875</v>
      </c>
      <c r="J2836" s="2">
        <f t="shared" si="44"/>
        <v>43748.651961863427</v>
      </c>
    </row>
    <row r="2837" spans="1:10" x14ac:dyDescent="0.25">
      <c r="A2837" s="7" t="s">
        <v>31311</v>
      </c>
      <c r="B2837" s="8">
        <v>393.75</v>
      </c>
      <c r="C2837" s="8">
        <v>20.531590000000001</v>
      </c>
      <c r="D2837" s="8">
        <v>71</v>
      </c>
      <c r="E2837" s="8">
        <v>0</v>
      </c>
      <c r="F2837" s="8">
        <v>0</v>
      </c>
      <c r="G2837" s="8">
        <v>79</v>
      </c>
      <c r="H2837" s="8" t="s">
        <v>31312</v>
      </c>
      <c r="I2837" s="8">
        <v>526.6875</v>
      </c>
      <c r="J2837" s="3">
        <f t="shared" si="44"/>
        <v>43748.652045300922</v>
      </c>
    </row>
    <row r="2838" spans="1:10" x14ac:dyDescent="0.25">
      <c r="A2838" s="5" t="s">
        <v>31313</v>
      </c>
      <c r="B2838" s="6">
        <v>393.75</v>
      </c>
      <c r="C2838" s="6">
        <v>20.584240000000001</v>
      </c>
      <c r="D2838" s="6">
        <v>71</v>
      </c>
      <c r="E2838" s="6">
        <v>0</v>
      </c>
      <c r="F2838" s="6">
        <v>0</v>
      </c>
      <c r="G2838" s="6">
        <v>71</v>
      </c>
      <c r="H2838" s="6" t="s">
        <v>31314</v>
      </c>
      <c r="I2838" s="6">
        <v>526.6875</v>
      </c>
      <c r="J2838" s="2">
        <f t="shared" si="44"/>
        <v>43748.652128865739</v>
      </c>
    </row>
    <row r="2839" spans="1:10" x14ac:dyDescent="0.25">
      <c r="A2839" s="7" t="s">
        <v>31315</v>
      </c>
      <c r="B2839" s="8">
        <v>393.75</v>
      </c>
      <c r="C2839" s="8">
        <v>20.531590000000001</v>
      </c>
      <c r="D2839" s="8">
        <v>71</v>
      </c>
      <c r="E2839" s="8">
        <v>0</v>
      </c>
      <c r="F2839" s="8">
        <v>0</v>
      </c>
      <c r="G2839" s="8">
        <v>70</v>
      </c>
      <c r="H2839" s="8" t="s">
        <v>31316</v>
      </c>
      <c r="I2839" s="8">
        <v>526.6875</v>
      </c>
      <c r="J2839" s="3">
        <f t="shared" si="44"/>
        <v>43748.652211979163</v>
      </c>
    </row>
    <row r="2840" spans="1:10" x14ac:dyDescent="0.25">
      <c r="A2840" s="5" t="s">
        <v>31317</v>
      </c>
      <c r="B2840" s="6">
        <v>393.75</v>
      </c>
      <c r="C2840" s="6">
        <v>20.584240000000001</v>
      </c>
      <c r="D2840" s="6">
        <v>71</v>
      </c>
      <c r="E2840" s="6">
        <v>0</v>
      </c>
      <c r="F2840" s="6">
        <v>0</v>
      </c>
      <c r="G2840" s="6">
        <v>83</v>
      </c>
      <c r="H2840" s="6" t="s">
        <v>31318</v>
      </c>
      <c r="I2840" s="6">
        <v>526.6875</v>
      </c>
      <c r="J2840" s="2">
        <f t="shared" si="44"/>
        <v>43748.652283611103</v>
      </c>
    </row>
    <row r="2841" spans="1:10" x14ac:dyDescent="0.25">
      <c r="A2841" s="7" t="s">
        <v>31319</v>
      </c>
      <c r="B2841" s="8">
        <v>393.75</v>
      </c>
      <c r="C2841" s="8">
        <v>20.584240000000001</v>
      </c>
      <c r="D2841" s="8">
        <v>71</v>
      </c>
      <c r="E2841" s="8">
        <v>0</v>
      </c>
      <c r="F2841" s="8">
        <v>0</v>
      </c>
      <c r="G2841" s="8">
        <v>76</v>
      </c>
      <c r="H2841" s="8" t="s">
        <v>31320</v>
      </c>
      <c r="I2841" s="8">
        <v>526.5</v>
      </c>
      <c r="J2841" s="3">
        <f t="shared" si="44"/>
        <v>43748.652355497681</v>
      </c>
    </row>
    <row r="2842" spans="1:10" x14ac:dyDescent="0.25">
      <c r="A2842" s="5" t="s">
        <v>31321</v>
      </c>
      <c r="B2842" s="6">
        <v>403.125</v>
      </c>
      <c r="C2842" s="6">
        <v>20.478950000000001</v>
      </c>
      <c r="D2842" s="6">
        <v>71</v>
      </c>
      <c r="E2842" s="6">
        <v>0</v>
      </c>
      <c r="F2842" s="6">
        <v>0</v>
      </c>
      <c r="G2842" s="6">
        <v>74</v>
      </c>
      <c r="H2842" s="6" t="s">
        <v>31322</v>
      </c>
      <c r="I2842" s="6">
        <v>529.6875</v>
      </c>
      <c r="J2842" s="2">
        <f t="shared" si="44"/>
        <v>43748.652438935183</v>
      </c>
    </row>
    <row r="2843" spans="1:10" x14ac:dyDescent="0.25">
      <c r="A2843" s="7" t="s">
        <v>31323</v>
      </c>
      <c r="B2843" s="8">
        <v>393.75</v>
      </c>
      <c r="C2843" s="8">
        <v>20.584240000000001</v>
      </c>
      <c r="D2843" s="8">
        <v>68</v>
      </c>
      <c r="E2843" s="8">
        <v>0</v>
      </c>
      <c r="F2843" s="8">
        <v>0</v>
      </c>
      <c r="G2843" s="8">
        <v>71</v>
      </c>
      <c r="H2843" s="8" t="s">
        <v>31324</v>
      </c>
      <c r="I2843" s="8">
        <v>526.6875</v>
      </c>
      <c r="J2843" s="3">
        <f t="shared" si="44"/>
        <v>43748.652510601845</v>
      </c>
    </row>
    <row r="2844" spans="1:10" x14ac:dyDescent="0.25">
      <c r="A2844" s="5" t="s">
        <v>31325</v>
      </c>
      <c r="B2844" s="6">
        <v>393.75</v>
      </c>
      <c r="C2844" s="6">
        <v>20.584240000000001</v>
      </c>
      <c r="D2844" s="6">
        <v>68</v>
      </c>
      <c r="E2844" s="6">
        <v>0</v>
      </c>
      <c r="F2844" s="6">
        <v>0</v>
      </c>
      <c r="G2844" s="6">
        <v>74</v>
      </c>
      <c r="H2844" s="6" t="s">
        <v>31326</v>
      </c>
      <c r="I2844" s="6">
        <v>526.6875</v>
      </c>
      <c r="J2844" s="2">
        <f t="shared" si="44"/>
        <v>43748.652593807863</v>
      </c>
    </row>
    <row r="2845" spans="1:10" x14ac:dyDescent="0.25">
      <c r="A2845" s="7" t="s">
        <v>31327</v>
      </c>
      <c r="B2845" s="8">
        <v>412.5</v>
      </c>
      <c r="C2845" s="8">
        <v>20.531590000000001</v>
      </c>
      <c r="D2845" s="8">
        <v>67</v>
      </c>
      <c r="E2845" s="8">
        <v>0</v>
      </c>
      <c r="F2845" s="8">
        <v>0</v>
      </c>
      <c r="G2845" s="8">
        <v>78</v>
      </c>
      <c r="H2845" s="8" t="s">
        <v>31328</v>
      </c>
      <c r="I2845" s="8">
        <v>532.3125</v>
      </c>
      <c r="J2845" s="3">
        <f t="shared" si="44"/>
        <v>43748.652665567126</v>
      </c>
    </row>
    <row r="2846" spans="1:10" x14ac:dyDescent="0.25">
      <c r="A2846" s="5" t="s">
        <v>31329</v>
      </c>
      <c r="B2846" s="6">
        <v>393.75</v>
      </c>
      <c r="C2846" s="6">
        <v>20.584240000000001</v>
      </c>
      <c r="D2846" s="6">
        <v>67</v>
      </c>
      <c r="E2846" s="6">
        <v>0</v>
      </c>
      <c r="F2846" s="6">
        <v>0</v>
      </c>
      <c r="G2846" s="6">
        <v>81</v>
      </c>
      <c r="H2846" s="6" t="s">
        <v>31330</v>
      </c>
      <c r="I2846" s="6">
        <v>526.6875</v>
      </c>
      <c r="J2846" s="2">
        <f t="shared" si="44"/>
        <v>43748.652749004628</v>
      </c>
    </row>
    <row r="2847" spans="1:10" x14ac:dyDescent="0.25">
      <c r="A2847" s="7" t="s">
        <v>31331</v>
      </c>
      <c r="B2847" s="8">
        <v>393.75</v>
      </c>
      <c r="C2847" s="8">
        <v>20.478950000000001</v>
      </c>
      <c r="D2847" s="8">
        <v>67</v>
      </c>
      <c r="E2847" s="8">
        <v>0</v>
      </c>
      <c r="F2847" s="8">
        <v>0</v>
      </c>
      <c r="G2847" s="8">
        <v>77</v>
      </c>
      <c r="H2847" s="8" t="s">
        <v>31332</v>
      </c>
      <c r="I2847" s="8">
        <v>526.6875</v>
      </c>
      <c r="J2847" s="3">
        <f t="shared" si="44"/>
        <v>43748.652832604166</v>
      </c>
    </row>
    <row r="2848" spans="1:10" x14ac:dyDescent="0.25">
      <c r="A2848" s="5" t="s">
        <v>31333</v>
      </c>
      <c r="B2848" s="6">
        <v>393.75</v>
      </c>
      <c r="C2848" s="6">
        <v>20.531590000000001</v>
      </c>
      <c r="D2848" s="6">
        <v>67</v>
      </c>
      <c r="E2848" s="6">
        <v>0</v>
      </c>
      <c r="F2848" s="6">
        <v>0</v>
      </c>
      <c r="G2848" s="6">
        <v>76</v>
      </c>
      <c r="H2848" s="6" t="s">
        <v>31334</v>
      </c>
      <c r="I2848" s="6">
        <v>526.6875</v>
      </c>
      <c r="J2848" s="2">
        <f t="shared" si="44"/>
        <v>43748.652915671293</v>
      </c>
    </row>
    <row r="2849" spans="1:10" x14ac:dyDescent="0.25">
      <c r="A2849" s="7" t="s">
        <v>31335</v>
      </c>
      <c r="B2849" s="8">
        <v>393.75</v>
      </c>
      <c r="C2849" s="8">
        <v>20.531590000000001</v>
      </c>
      <c r="D2849" s="8">
        <v>67</v>
      </c>
      <c r="E2849" s="8">
        <v>0</v>
      </c>
      <c r="F2849" s="8">
        <v>0</v>
      </c>
      <c r="G2849" s="8">
        <v>78</v>
      </c>
      <c r="H2849" s="8" t="s">
        <v>31336</v>
      </c>
      <c r="I2849" s="8">
        <v>526.6875</v>
      </c>
      <c r="J2849" s="3">
        <f t="shared" si="44"/>
        <v>43748.652987314817</v>
      </c>
    </row>
    <row r="2850" spans="1:10" x14ac:dyDescent="0.25">
      <c r="A2850" s="5" t="s">
        <v>31337</v>
      </c>
      <c r="B2850" s="6">
        <v>393.75</v>
      </c>
      <c r="C2850" s="6">
        <v>20.531590000000001</v>
      </c>
      <c r="D2850" s="6">
        <v>68</v>
      </c>
      <c r="E2850" s="6">
        <v>0</v>
      </c>
      <c r="F2850" s="6">
        <v>0</v>
      </c>
      <c r="G2850" s="6">
        <v>81</v>
      </c>
      <c r="H2850" s="6" t="s">
        <v>31338</v>
      </c>
      <c r="I2850" s="6">
        <v>526.6875</v>
      </c>
      <c r="J2850" s="2">
        <f t="shared" si="44"/>
        <v>43748.653071250003</v>
      </c>
    </row>
    <row r="2851" spans="1:10" x14ac:dyDescent="0.25">
      <c r="A2851" s="7" t="s">
        <v>31339</v>
      </c>
      <c r="B2851" s="8">
        <v>393.75</v>
      </c>
      <c r="C2851" s="8">
        <v>20.531590000000001</v>
      </c>
      <c r="D2851" s="8">
        <v>68</v>
      </c>
      <c r="E2851" s="8">
        <v>0</v>
      </c>
      <c r="F2851" s="8">
        <v>0</v>
      </c>
      <c r="G2851" s="8">
        <v>76</v>
      </c>
      <c r="H2851" s="8" t="s">
        <v>31340</v>
      </c>
      <c r="I2851" s="8">
        <v>526.6875</v>
      </c>
      <c r="J2851" s="3">
        <f t="shared" si="44"/>
        <v>43748.653154583335</v>
      </c>
    </row>
    <row r="2852" spans="1:10" x14ac:dyDescent="0.25">
      <c r="A2852" s="5" t="s">
        <v>31341</v>
      </c>
      <c r="B2852" s="6">
        <v>393.75</v>
      </c>
      <c r="C2852" s="6">
        <v>20.531590000000001</v>
      </c>
      <c r="D2852" s="6">
        <v>68</v>
      </c>
      <c r="E2852" s="6">
        <v>0</v>
      </c>
      <c r="F2852" s="6">
        <v>0</v>
      </c>
      <c r="G2852" s="6">
        <v>72</v>
      </c>
      <c r="H2852" s="6" t="s">
        <v>31342</v>
      </c>
      <c r="I2852" s="6">
        <v>526.6875</v>
      </c>
      <c r="J2852" s="2">
        <f t="shared" si="44"/>
        <v>43748.653252245371</v>
      </c>
    </row>
    <row r="2853" spans="1:10" x14ac:dyDescent="0.25">
      <c r="A2853" s="7" t="s">
        <v>31343</v>
      </c>
      <c r="B2853" s="8">
        <v>393.75</v>
      </c>
      <c r="C2853" s="8">
        <v>20.531590000000001</v>
      </c>
      <c r="D2853" s="8">
        <v>71</v>
      </c>
      <c r="E2853" s="8">
        <v>0</v>
      </c>
      <c r="F2853" s="8">
        <v>0</v>
      </c>
      <c r="G2853" s="8">
        <v>71</v>
      </c>
      <c r="H2853" s="8" t="s">
        <v>31344</v>
      </c>
      <c r="I2853" s="8">
        <v>526.6875</v>
      </c>
      <c r="J2853" s="3">
        <f t="shared" si="44"/>
        <v>43748.653333506947</v>
      </c>
    </row>
    <row r="2854" spans="1:10" x14ac:dyDescent="0.25">
      <c r="A2854" s="5" t="s">
        <v>31345</v>
      </c>
      <c r="B2854" s="6">
        <v>393.75</v>
      </c>
      <c r="C2854" s="6">
        <v>20.478950000000001</v>
      </c>
      <c r="D2854" s="6">
        <v>71</v>
      </c>
      <c r="E2854" s="6">
        <v>0</v>
      </c>
      <c r="F2854" s="6">
        <v>0</v>
      </c>
      <c r="G2854" s="6">
        <v>80</v>
      </c>
      <c r="H2854" s="6" t="s">
        <v>31346</v>
      </c>
      <c r="I2854" s="6">
        <v>526.6875</v>
      </c>
      <c r="J2854" s="2">
        <f t="shared" si="44"/>
        <v>43748.653417002315</v>
      </c>
    </row>
    <row r="2855" spans="1:10" x14ac:dyDescent="0.25">
      <c r="A2855" s="7" t="s">
        <v>31347</v>
      </c>
      <c r="B2855" s="8">
        <v>393.75</v>
      </c>
      <c r="C2855" s="8">
        <v>20.531590000000001</v>
      </c>
      <c r="D2855" s="8">
        <v>70</v>
      </c>
      <c r="E2855" s="8">
        <v>0</v>
      </c>
      <c r="F2855" s="8">
        <v>0</v>
      </c>
      <c r="G2855" s="8">
        <v>74</v>
      </c>
      <c r="H2855" s="8" t="s">
        <v>31348</v>
      </c>
      <c r="I2855" s="8">
        <v>526.6875</v>
      </c>
      <c r="J2855" s="3">
        <f t="shared" si="44"/>
        <v>43748.6535062037</v>
      </c>
    </row>
    <row r="2856" spans="1:10" x14ac:dyDescent="0.25">
      <c r="A2856" s="5" t="s">
        <v>31349</v>
      </c>
      <c r="B2856" s="6">
        <v>393.75</v>
      </c>
      <c r="C2856" s="6">
        <v>20.584240000000001</v>
      </c>
      <c r="D2856" s="6">
        <v>70</v>
      </c>
      <c r="E2856" s="6">
        <v>0</v>
      </c>
      <c r="F2856" s="6">
        <v>0</v>
      </c>
      <c r="G2856" s="6">
        <v>71</v>
      </c>
      <c r="H2856" s="6" t="s">
        <v>31350</v>
      </c>
      <c r="I2856" s="6">
        <v>526.5</v>
      </c>
      <c r="J2856" s="2">
        <f t="shared" si="44"/>
        <v>43748.653584039348</v>
      </c>
    </row>
    <row r="2857" spans="1:10" x14ac:dyDescent="0.25">
      <c r="A2857" s="7" t="s">
        <v>31351</v>
      </c>
      <c r="B2857" s="8">
        <v>393.75</v>
      </c>
      <c r="C2857" s="8">
        <v>20.531590000000001</v>
      </c>
      <c r="D2857" s="8">
        <v>70</v>
      </c>
      <c r="E2857" s="8">
        <v>0</v>
      </c>
      <c r="F2857" s="8">
        <v>0</v>
      </c>
      <c r="G2857" s="8">
        <v>68</v>
      </c>
      <c r="H2857" s="8" t="s">
        <v>31352</v>
      </c>
      <c r="I2857" s="8">
        <v>526.6875</v>
      </c>
      <c r="J2857" s="3">
        <f t="shared" si="44"/>
        <v>43748.653667673607</v>
      </c>
    </row>
    <row r="2858" spans="1:10" x14ac:dyDescent="0.25">
      <c r="A2858" s="5" t="s">
        <v>31353</v>
      </c>
      <c r="B2858" s="6">
        <v>393.75</v>
      </c>
      <c r="C2858" s="6">
        <v>20.531590000000001</v>
      </c>
      <c r="D2858" s="6">
        <v>70</v>
      </c>
      <c r="E2858" s="6">
        <v>0</v>
      </c>
      <c r="F2858" s="6">
        <v>0</v>
      </c>
      <c r="G2858" s="6">
        <v>80</v>
      </c>
      <c r="H2858" s="6" t="s">
        <v>31354</v>
      </c>
      <c r="I2858" s="6">
        <v>526.6875</v>
      </c>
      <c r="J2858" s="2">
        <f t="shared" si="44"/>
        <v>43748.653750902777</v>
      </c>
    </row>
    <row r="2859" spans="1:10" x14ac:dyDescent="0.25">
      <c r="A2859" s="7" t="s">
        <v>31355</v>
      </c>
      <c r="B2859" s="8">
        <v>393.75</v>
      </c>
      <c r="C2859" s="8">
        <v>20.531590000000001</v>
      </c>
      <c r="D2859" s="8">
        <v>70</v>
      </c>
      <c r="E2859" s="8">
        <v>0</v>
      </c>
      <c r="F2859" s="8">
        <v>0</v>
      </c>
      <c r="G2859" s="8">
        <v>82</v>
      </c>
      <c r="H2859" s="8" t="s">
        <v>31356</v>
      </c>
      <c r="I2859" s="8">
        <v>526.6875</v>
      </c>
      <c r="J2859" s="3">
        <f t="shared" si="44"/>
        <v>43748.653834224533</v>
      </c>
    </row>
    <row r="2860" spans="1:10" x14ac:dyDescent="0.25">
      <c r="A2860" s="5" t="s">
        <v>31357</v>
      </c>
      <c r="B2860" s="6">
        <v>393.75</v>
      </c>
      <c r="C2860" s="6">
        <v>20.584240000000001</v>
      </c>
      <c r="D2860" s="6">
        <v>70</v>
      </c>
      <c r="E2860" s="6">
        <v>0</v>
      </c>
      <c r="F2860" s="6">
        <v>0</v>
      </c>
      <c r="G2860" s="6">
        <v>76</v>
      </c>
      <c r="H2860" s="6" t="s">
        <v>31358</v>
      </c>
      <c r="I2860" s="6">
        <v>526.6875</v>
      </c>
      <c r="J2860" s="2">
        <f t="shared" si="44"/>
        <v>43748.653905856474</v>
      </c>
    </row>
    <row r="2861" spans="1:10" x14ac:dyDescent="0.25">
      <c r="A2861" s="7" t="s">
        <v>31359</v>
      </c>
      <c r="B2861" s="8">
        <v>393.75</v>
      </c>
      <c r="C2861" s="8">
        <v>20.531590000000001</v>
      </c>
      <c r="D2861" s="8">
        <v>70</v>
      </c>
      <c r="E2861" s="8">
        <v>0</v>
      </c>
      <c r="F2861" s="8">
        <v>0</v>
      </c>
      <c r="G2861" s="8">
        <v>75</v>
      </c>
      <c r="H2861" s="8" t="s">
        <v>31360</v>
      </c>
      <c r="I2861" s="8">
        <v>526.6875</v>
      </c>
      <c r="J2861" s="3">
        <f t="shared" si="44"/>
        <v>43748.653989548613</v>
      </c>
    </row>
    <row r="2862" spans="1:10" x14ac:dyDescent="0.25">
      <c r="A2862" s="5" t="s">
        <v>31361</v>
      </c>
      <c r="B2862" s="6">
        <v>412.5</v>
      </c>
      <c r="C2862" s="6">
        <v>20.531590000000001</v>
      </c>
      <c r="D2862" s="6">
        <v>69</v>
      </c>
      <c r="E2862" s="6">
        <v>0</v>
      </c>
      <c r="F2862" s="6">
        <v>0</v>
      </c>
      <c r="G2862" s="6">
        <v>72</v>
      </c>
      <c r="H2862" s="6" t="s">
        <v>31362</v>
      </c>
      <c r="I2862" s="6">
        <v>532.3125</v>
      </c>
      <c r="J2862" s="2">
        <f t="shared" si="44"/>
        <v>43748.654072858793</v>
      </c>
    </row>
    <row r="2863" spans="1:10" x14ac:dyDescent="0.25">
      <c r="A2863" s="7" t="s">
        <v>31363</v>
      </c>
      <c r="B2863" s="8">
        <v>393.75</v>
      </c>
      <c r="C2863" s="8">
        <v>20.584240000000001</v>
      </c>
      <c r="D2863" s="8">
        <v>69</v>
      </c>
      <c r="E2863" s="8">
        <v>0</v>
      </c>
      <c r="F2863" s="8">
        <v>0</v>
      </c>
      <c r="G2863" s="8">
        <v>77</v>
      </c>
      <c r="H2863" s="8" t="s">
        <v>31364</v>
      </c>
      <c r="I2863" s="8">
        <v>526.6875</v>
      </c>
      <c r="J2863" s="3">
        <f t="shared" si="44"/>
        <v>43748.65415642361</v>
      </c>
    </row>
    <row r="2864" spans="1:10" x14ac:dyDescent="0.25">
      <c r="A2864" s="5" t="s">
        <v>31365</v>
      </c>
      <c r="B2864" s="6">
        <v>393.75</v>
      </c>
      <c r="C2864" s="6">
        <v>20.584240000000001</v>
      </c>
      <c r="D2864" s="6">
        <v>70</v>
      </c>
      <c r="E2864" s="6">
        <v>0</v>
      </c>
      <c r="F2864" s="6">
        <v>0</v>
      </c>
      <c r="G2864" s="6">
        <v>77</v>
      </c>
      <c r="H2864" s="6" t="s">
        <v>31366</v>
      </c>
      <c r="I2864" s="6">
        <v>526.6875</v>
      </c>
      <c r="J2864" s="2">
        <f t="shared" si="44"/>
        <v>43748.65425190972</v>
      </c>
    </row>
    <row r="2865" spans="1:10" x14ac:dyDescent="0.25">
      <c r="A2865" s="7" t="s">
        <v>31367</v>
      </c>
      <c r="B2865" s="8">
        <v>393.75</v>
      </c>
      <c r="C2865" s="8">
        <v>20.584240000000001</v>
      </c>
      <c r="D2865" s="8">
        <v>70</v>
      </c>
      <c r="E2865" s="8">
        <v>0</v>
      </c>
      <c r="F2865" s="8">
        <v>0</v>
      </c>
      <c r="G2865" s="8">
        <v>78</v>
      </c>
      <c r="H2865" s="8" t="s">
        <v>31368</v>
      </c>
      <c r="I2865" s="8">
        <v>526.6875</v>
      </c>
      <c r="J2865" s="3">
        <f t="shared" si="44"/>
        <v>43748.654335370367</v>
      </c>
    </row>
    <row r="2866" spans="1:10" x14ac:dyDescent="0.25">
      <c r="A2866" s="5" t="s">
        <v>31369</v>
      </c>
      <c r="B2866" s="6">
        <v>412.5</v>
      </c>
      <c r="C2866" s="6">
        <v>20.584240000000001</v>
      </c>
      <c r="D2866" s="6">
        <v>70</v>
      </c>
      <c r="E2866" s="6">
        <v>0</v>
      </c>
      <c r="F2866" s="6">
        <v>0</v>
      </c>
      <c r="G2866" s="6">
        <v>78</v>
      </c>
      <c r="H2866" s="6" t="s">
        <v>31370</v>
      </c>
      <c r="I2866" s="6">
        <v>532.3125</v>
      </c>
      <c r="J2866" s="2">
        <f t="shared" si="44"/>
        <v>43748.654419398146</v>
      </c>
    </row>
    <row r="2867" spans="1:10" x14ac:dyDescent="0.25">
      <c r="A2867" s="7" t="s">
        <v>31371</v>
      </c>
      <c r="B2867" s="8">
        <v>393.75</v>
      </c>
      <c r="C2867" s="8">
        <v>20.584240000000001</v>
      </c>
      <c r="D2867" s="8">
        <v>72</v>
      </c>
      <c r="E2867" s="8">
        <v>0</v>
      </c>
      <c r="F2867" s="8">
        <v>0</v>
      </c>
      <c r="G2867" s="8">
        <v>72</v>
      </c>
      <c r="H2867" s="8" t="s">
        <v>31372</v>
      </c>
      <c r="I2867" s="8">
        <v>526.6875</v>
      </c>
      <c r="J2867" s="3">
        <f t="shared" si="44"/>
        <v>43748.654502488418</v>
      </c>
    </row>
    <row r="2868" spans="1:10" x14ac:dyDescent="0.25">
      <c r="A2868" s="5" t="s">
        <v>31373</v>
      </c>
      <c r="B2868" s="6">
        <v>393.75</v>
      </c>
      <c r="C2868" s="6">
        <v>20.531590000000001</v>
      </c>
      <c r="D2868" s="6">
        <v>72</v>
      </c>
      <c r="E2868" s="6">
        <v>0</v>
      </c>
      <c r="F2868" s="6">
        <v>0</v>
      </c>
      <c r="G2868" s="6">
        <v>76</v>
      </c>
      <c r="H2868" s="6" t="s">
        <v>31374</v>
      </c>
      <c r="I2868" s="6">
        <v>526.6875</v>
      </c>
      <c r="J2868" s="2">
        <f t="shared" si="44"/>
        <v>43748.654586076387</v>
      </c>
    </row>
    <row r="2869" spans="1:10" x14ac:dyDescent="0.25">
      <c r="A2869" s="7" t="s">
        <v>31375</v>
      </c>
      <c r="B2869" s="8">
        <v>393.75</v>
      </c>
      <c r="C2869" s="8">
        <v>20.531590000000001</v>
      </c>
      <c r="D2869" s="8">
        <v>73</v>
      </c>
      <c r="E2869" s="8">
        <v>0</v>
      </c>
      <c r="F2869" s="8">
        <v>0</v>
      </c>
      <c r="G2869" s="8">
        <v>79</v>
      </c>
      <c r="H2869" s="8" t="s">
        <v>31376</v>
      </c>
      <c r="I2869" s="8">
        <v>526.6875</v>
      </c>
      <c r="J2869" s="3">
        <f t="shared" si="44"/>
        <v>43748.65466940972</v>
      </c>
    </row>
    <row r="2870" spans="1:10" x14ac:dyDescent="0.25">
      <c r="A2870" s="5" t="s">
        <v>31377</v>
      </c>
      <c r="B2870" s="6">
        <v>393.75</v>
      </c>
      <c r="C2870" s="6">
        <v>20.478950000000001</v>
      </c>
      <c r="D2870" s="6">
        <v>73</v>
      </c>
      <c r="E2870" s="6">
        <v>0</v>
      </c>
      <c r="F2870" s="6">
        <v>0</v>
      </c>
      <c r="G2870" s="6">
        <v>78</v>
      </c>
      <c r="H2870" s="6" t="s">
        <v>31378</v>
      </c>
      <c r="I2870" s="6">
        <v>526.6875</v>
      </c>
      <c r="J2870" s="2">
        <f t="shared" si="44"/>
        <v>43748.654752754628</v>
      </c>
    </row>
    <row r="2871" spans="1:10" x14ac:dyDescent="0.25">
      <c r="A2871" s="7" t="s">
        <v>31379</v>
      </c>
      <c r="B2871" s="8">
        <v>393.75</v>
      </c>
      <c r="C2871" s="8">
        <v>20.531590000000001</v>
      </c>
      <c r="D2871" s="8">
        <v>67</v>
      </c>
      <c r="E2871" s="8">
        <v>0</v>
      </c>
      <c r="F2871" s="8">
        <v>0</v>
      </c>
      <c r="G2871" s="8">
        <v>79</v>
      </c>
      <c r="H2871" s="8" t="s">
        <v>31380</v>
      </c>
      <c r="I2871" s="8">
        <v>526.6875</v>
      </c>
      <c r="J2871" s="3">
        <f t="shared" si="44"/>
        <v>43748.654836296293</v>
      </c>
    </row>
    <row r="2872" spans="1:10" x14ac:dyDescent="0.25">
      <c r="A2872" s="5" t="s">
        <v>31381</v>
      </c>
      <c r="B2872" s="6">
        <v>412.5</v>
      </c>
      <c r="C2872" s="6">
        <v>20.531590000000001</v>
      </c>
      <c r="D2872" s="6">
        <v>68</v>
      </c>
      <c r="E2872" s="6">
        <v>0</v>
      </c>
      <c r="F2872" s="6">
        <v>0</v>
      </c>
      <c r="G2872" s="6">
        <v>79</v>
      </c>
      <c r="H2872" s="6" t="s">
        <v>31382</v>
      </c>
      <c r="I2872" s="6">
        <v>532.3125</v>
      </c>
      <c r="J2872" s="2">
        <f t="shared" si="44"/>
        <v>43748.654943703703</v>
      </c>
    </row>
    <row r="2873" spans="1:10" x14ac:dyDescent="0.25">
      <c r="A2873" s="7" t="s">
        <v>31383</v>
      </c>
      <c r="B2873" s="8">
        <v>393.75</v>
      </c>
      <c r="C2873" s="8">
        <v>20.531590000000001</v>
      </c>
      <c r="D2873" s="8">
        <v>68</v>
      </c>
      <c r="E2873" s="8">
        <v>0</v>
      </c>
      <c r="F2873" s="8">
        <v>0</v>
      </c>
      <c r="G2873" s="8">
        <v>76</v>
      </c>
      <c r="H2873" s="8" t="s">
        <v>31384</v>
      </c>
      <c r="I2873" s="8">
        <v>526.6875</v>
      </c>
      <c r="J2873" s="3">
        <f t="shared" si="44"/>
        <v>43748.655026805551</v>
      </c>
    </row>
    <row r="2874" spans="1:10" x14ac:dyDescent="0.25">
      <c r="A2874" s="5" t="s">
        <v>31385</v>
      </c>
      <c r="B2874" s="6">
        <v>393.75</v>
      </c>
      <c r="C2874" s="6">
        <v>20.584240000000001</v>
      </c>
      <c r="D2874" s="6">
        <v>68</v>
      </c>
      <c r="E2874" s="6">
        <v>0</v>
      </c>
      <c r="F2874" s="6">
        <v>0</v>
      </c>
      <c r="G2874" s="6">
        <v>87</v>
      </c>
      <c r="H2874" s="6" t="s">
        <v>31386</v>
      </c>
      <c r="I2874" s="6">
        <v>526.6875</v>
      </c>
      <c r="J2874" s="2">
        <f t="shared" si="44"/>
        <v>43748.655098923606</v>
      </c>
    </row>
    <row r="2875" spans="1:10" x14ac:dyDescent="0.25">
      <c r="A2875" s="7" t="s">
        <v>31387</v>
      </c>
      <c r="B2875" s="8">
        <v>393.75</v>
      </c>
      <c r="C2875" s="8">
        <v>20.584240000000001</v>
      </c>
      <c r="D2875" s="8">
        <v>68</v>
      </c>
      <c r="E2875" s="8">
        <v>0</v>
      </c>
      <c r="F2875" s="8">
        <v>0</v>
      </c>
      <c r="G2875" s="8">
        <v>73</v>
      </c>
      <c r="H2875" s="8" t="s">
        <v>31388</v>
      </c>
      <c r="I2875" s="8">
        <v>526.6875</v>
      </c>
      <c r="J2875" s="3">
        <f t="shared" si="44"/>
        <v>43748.655182361108</v>
      </c>
    </row>
    <row r="2876" spans="1:10" x14ac:dyDescent="0.25">
      <c r="A2876" s="5" t="s">
        <v>31389</v>
      </c>
      <c r="B2876" s="6">
        <v>393.75</v>
      </c>
      <c r="C2876" s="6">
        <v>20.584240000000001</v>
      </c>
      <c r="D2876" s="6">
        <v>68</v>
      </c>
      <c r="E2876" s="6">
        <v>0</v>
      </c>
      <c r="F2876" s="6">
        <v>0</v>
      </c>
      <c r="G2876" s="6">
        <v>75</v>
      </c>
      <c r="H2876" s="6" t="s">
        <v>31390</v>
      </c>
      <c r="I2876" s="6">
        <v>526.6875</v>
      </c>
      <c r="J2876" s="2">
        <f t="shared" si="44"/>
        <v>43748.65526569444</v>
      </c>
    </row>
    <row r="2877" spans="1:10" x14ac:dyDescent="0.25">
      <c r="A2877" s="7" t="s">
        <v>31391</v>
      </c>
      <c r="B2877" s="8">
        <v>415.625</v>
      </c>
      <c r="C2877" s="8">
        <v>20.531590000000001</v>
      </c>
      <c r="D2877" s="8">
        <v>70</v>
      </c>
      <c r="E2877" s="8">
        <v>0</v>
      </c>
      <c r="F2877" s="8">
        <v>0</v>
      </c>
      <c r="G2877" s="8">
        <v>75</v>
      </c>
      <c r="H2877" s="8" t="s">
        <v>31392</v>
      </c>
      <c r="I2877" s="8">
        <v>533.4375</v>
      </c>
      <c r="J2877" s="3">
        <f t="shared" si="44"/>
        <v>43748.655349039349</v>
      </c>
    </row>
    <row r="2878" spans="1:10" x14ac:dyDescent="0.25">
      <c r="A2878" s="5" t="s">
        <v>31393</v>
      </c>
      <c r="B2878" s="6">
        <v>393.75</v>
      </c>
      <c r="C2878" s="6">
        <v>20.478950000000001</v>
      </c>
      <c r="D2878" s="6">
        <v>69</v>
      </c>
      <c r="E2878" s="6">
        <v>0</v>
      </c>
      <c r="F2878" s="6">
        <v>0</v>
      </c>
      <c r="G2878" s="6">
        <v>79</v>
      </c>
      <c r="H2878" s="6" t="s">
        <v>31394</v>
      </c>
      <c r="I2878" s="6">
        <v>526.6875</v>
      </c>
      <c r="J2878" s="2">
        <f t="shared" si="44"/>
        <v>43748.655432604166</v>
      </c>
    </row>
    <row r="2879" spans="1:10" x14ac:dyDescent="0.25">
      <c r="A2879" s="7" t="s">
        <v>31395</v>
      </c>
      <c r="B2879" s="8">
        <v>393.75</v>
      </c>
      <c r="C2879" s="8">
        <v>20.531590000000001</v>
      </c>
      <c r="D2879" s="8">
        <v>70</v>
      </c>
      <c r="E2879" s="8">
        <v>0</v>
      </c>
      <c r="F2879" s="8">
        <v>0</v>
      </c>
      <c r="G2879" s="8">
        <v>75</v>
      </c>
      <c r="H2879" s="8" t="s">
        <v>31396</v>
      </c>
      <c r="I2879" s="8">
        <v>526.6875</v>
      </c>
      <c r="J2879" s="3">
        <f t="shared" si="44"/>
        <v>43748.655522881942</v>
      </c>
    </row>
    <row r="2880" spans="1:10" x14ac:dyDescent="0.25">
      <c r="A2880" s="5" t="s">
        <v>31397</v>
      </c>
      <c r="B2880" s="6">
        <v>393.75</v>
      </c>
      <c r="C2880" s="6">
        <v>20.584240000000001</v>
      </c>
      <c r="D2880" s="6">
        <v>70</v>
      </c>
      <c r="E2880" s="6">
        <v>0</v>
      </c>
      <c r="F2880" s="6">
        <v>0</v>
      </c>
      <c r="G2880" s="6">
        <v>71</v>
      </c>
      <c r="H2880" s="6" t="s">
        <v>31398</v>
      </c>
      <c r="I2880" s="6">
        <v>526.6875</v>
      </c>
      <c r="J2880" s="2">
        <f t="shared" si="44"/>
        <v>43748.655599606478</v>
      </c>
    </row>
    <row r="2881" spans="1:10" x14ac:dyDescent="0.25">
      <c r="A2881" s="7" t="s">
        <v>31399</v>
      </c>
      <c r="B2881" s="8">
        <v>393.75</v>
      </c>
      <c r="C2881" s="8">
        <v>20.531590000000001</v>
      </c>
      <c r="D2881" s="8">
        <v>71</v>
      </c>
      <c r="E2881" s="8">
        <v>0</v>
      </c>
      <c r="F2881" s="8">
        <v>0</v>
      </c>
      <c r="G2881" s="8">
        <v>75</v>
      </c>
      <c r="H2881" s="8" t="s">
        <v>31400</v>
      </c>
      <c r="I2881" s="8">
        <v>526.6875</v>
      </c>
      <c r="J2881" s="3">
        <f t="shared" si="44"/>
        <v>43748.655683055556</v>
      </c>
    </row>
    <row r="2882" spans="1:10" x14ac:dyDescent="0.25">
      <c r="A2882" s="5" t="s">
        <v>31401</v>
      </c>
      <c r="B2882" s="6">
        <v>393.75</v>
      </c>
      <c r="C2882" s="6">
        <v>20.584240000000001</v>
      </c>
      <c r="D2882" s="6">
        <v>73</v>
      </c>
      <c r="E2882" s="6">
        <v>0</v>
      </c>
      <c r="F2882" s="6">
        <v>0</v>
      </c>
      <c r="G2882" s="6">
        <v>76</v>
      </c>
      <c r="H2882" s="6" t="s">
        <v>31402</v>
      </c>
      <c r="I2882" s="6">
        <v>526.6875</v>
      </c>
      <c r="J2882" s="2">
        <f t="shared" ref="J2882:J2945" si="45">(H2882/86400000)+25569+(7/24)</f>
        <v>43748.655766631942</v>
      </c>
    </row>
    <row r="2883" spans="1:10" x14ac:dyDescent="0.25">
      <c r="A2883" s="7" t="s">
        <v>31403</v>
      </c>
      <c r="B2883" s="8">
        <v>393.75</v>
      </c>
      <c r="C2883" s="8">
        <v>20.584240000000001</v>
      </c>
      <c r="D2883" s="8">
        <v>74</v>
      </c>
      <c r="E2883" s="8">
        <v>0</v>
      </c>
      <c r="F2883" s="8">
        <v>0</v>
      </c>
      <c r="G2883" s="8">
        <v>79</v>
      </c>
      <c r="H2883" s="8" t="s">
        <v>31404</v>
      </c>
      <c r="I2883" s="8">
        <v>526.6875</v>
      </c>
      <c r="J2883" s="3">
        <f t="shared" si="45"/>
        <v>43748.655850092589</v>
      </c>
    </row>
    <row r="2884" spans="1:10" x14ac:dyDescent="0.25">
      <c r="A2884" s="5" t="s">
        <v>31405</v>
      </c>
      <c r="B2884" s="6">
        <v>412.5</v>
      </c>
      <c r="C2884" s="6">
        <v>20.584240000000001</v>
      </c>
      <c r="D2884" s="6">
        <v>73</v>
      </c>
      <c r="E2884" s="6">
        <v>0</v>
      </c>
      <c r="F2884" s="6">
        <v>0</v>
      </c>
      <c r="G2884" s="6">
        <v>76</v>
      </c>
      <c r="H2884" s="6" t="s">
        <v>31406</v>
      </c>
      <c r="I2884" s="6">
        <v>532.3125</v>
      </c>
      <c r="J2884" s="2">
        <f t="shared" si="45"/>
        <v>43748.65593354166</v>
      </c>
    </row>
    <row r="2885" spans="1:10" x14ac:dyDescent="0.25">
      <c r="A2885" s="7" t="s">
        <v>31407</v>
      </c>
      <c r="B2885" s="8">
        <v>393.75</v>
      </c>
      <c r="C2885" s="8">
        <v>20.531590000000001</v>
      </c>
      <c r="D2885" s="8">
        <v>73</v>
      </c>
      <c r="E2885" s="8">
        <v>0</v>
      </c>
      <c r="F2885" s="8">
        <v>0</v>
      </c>
      <c r="G2885" s="8">
        <v>75</v>
      </c>
      <c r="H2885" s="8" t="s">
        <v>31408</v>
      </c>
      <c r="I2885" s="8">
        <v>526.6875</v>
      </c>
      <c r="J2885" s="3">
        <f t="shared" si="45"/>
        <v>43748.656017094901</v>
      </c>
    </row>
    <row r="2886" spans="1:10" x14ac:dyDescent="0.25">
      <c r="A2886" s="5" t="s">
        <v>31409</v>
      </c>
      <c r="B2886" s="6">
        <v>393.75</v>
      </c>
      <c r="C2886" s="6">
        <v>20.478950000000001</v>
      </c>
      <c r="D2886" s="6">
        <v>73</v>
      </c>
      <c r="E2886" s="6">
        <v>0</v>
      </c>
      <c r="F2886" s="6">
        <v>0</v>
      </c>
      <c r="G2886" s="6">
        <v>72</v>
      </c>
      <c r="H2886" s="6" t="s">
        <v>31410</v>
      </c>
      <c r="I2886" s="6">
        <v>526.6875</v>
      </c>
      <c r="J2886" s="2">
        <f t="shared" si="45"/>
        <v>43748.656112094905</v>
      </c>
    </row>
    <row r="2887" spans="1:10" x14ac:dyDescent="0.25">
      <c r="A2887" s="7" t="s">
        <v>31411</v>
      </c>
      <c r="B2887" s="8">
        <v>393.75</v>
      </c>
      <c r="C2887" s="8">
        <v>20.531590000000001</v>
      </c>
      <c r="D2887" s="8">
        <v>73</v>
      </c>
      <c r="E2887" s="8">
        <v>0</v>
      </c>
      <c r="F2887" s="8">
        <v>0</v>
      </c>
      <c r="G2887" s="8">
        <v>77</v>
      </c>
      <c r="H2887" s="8" t="s">
        <v>31412</v>
      </c>
      <c r="I2887" s="8">
        <v>526.6875</v>
      </c>
      <c r="J2887" s="3">
        <f t="shared" si="45"/>
        <v>43748.656183969906</v>
      </c>
    </row>
    <row r="2888" spans="1:10" x14ac:dyDescent="0.25">
      <c r="A2888" s="5" t="s">
        <v>31413</v>
      </c>
      <c r="B2888" s="6">
        <v>393.75</v>
      </c>
      <c r="C2888" s="6">
        <v>20.584240000000001</v>
      </c>
      <c r="D2888" s="6">
        <v>74</v>
      </c>
      <c r="E2888" s="6">
        <v>0</v>
      </c>
      <c r="F2888" s="6">
        <v>0</v>
      </c>
      <c r="G2888" s="6">
        <v>80</v>
      </c>
      <c r="H2888" s="6" t="s">
        <v>31414</v>
      </c>
      <c r="I2888" s="6">
        <v>526.6875</v>
      </c>
      <c r="J2888" s="2">
        <f t="shared" si="45"/>
        <v>43748.656267534716</v>
      </c>
    </row>
    <row r="2889" spans="1:10" x14ac:dyDescent="0.25">
      <c r="A2889" s="7" t="s">
        <v>31415</v>
      </c>
      <c r="B2889" s="8">
        <v>393.75</v>
      </c>
      <c r="C2889" s="8">
        <v>20.531590000000001</v>
      </c>
      <c r="D2889" s="8">
        <v>71</v>
      </c>
      <c r="E2889" s="8">
        <v>0</v>
      </c>
      <c r="F2889" s="8">
        <v>0</v>
      </c>
      <c r="G2889" s="8">
        <v>74</v>
      </c>
      <c r="H2889" s="8" t="s">
        <v>31416</v>
      </c>
      <c r="I2889" s="8">
        <v>526.6875</v>
      </c>
      <c r="J2889" s="3">
        <f t="shared" si="45"/>
        <v>43748.656350972218</v>
      </c>
    </row>
    <row r="2890" spans="1:10" x14ac:dyDescent="0.25">
      <c r="A2890" s="5" t="s">
        <v>31417</v>
      </c>
      <c r="B2890" s="6">
        <v>393.75</v>
      </c>
      <c r="C2890" s="6">
        <v>20.531590000000001</v>
      </c>
      <c r="D2890" s="6">
        <v>71</v>
      </c>
      <c r="E2890" s="6">
        <v>0</v>
      </c>
      <c r="F2890" s="6">
        <v>0</v>
      </c>
      <c r="G2890" s="6">
        <v>77</v>
      </c>
      <c r="H2890" s="6" t="s">
        <v>31418</v>
      </c>
      <c r="I2890" s="6">
        <v>526.6875</v>
      </c>
      <c r="J2890" s="2">
        <f t="shared" si="45"/>
        <v>43748.656434178243</v>
      </c>
    </row>
    <row r="2891" spans="1:10" x14ac:dyDescent="0.25">
      <c r="A2891" s="7" t="s">
        <v>31419</v>
      </c>
      <c r="B2891" s="8">
        <v>412.5</v>
      </c>
      <c r="C2891" s="8">
        <v>20.478950000000001</v>
      </c>
      <c r="D2891" s="8">
        <v>71</v>
      </c>
      <c r="E2891" s="8">
        <v>0</v>
      </c>
      <c r="F2891" s="8">
        <v>0</v>
      </c>
      <c r="G2891" s="8">
        <v>78</v>
      </c>
      <c r="H2891" s="8" t="s">
        <v>31420</v>
      </c>
      <c r="I2891" s="8">
        <v>532.3125</v>
      </c>
      <c r="J2891" s="3">
        <f t="shared" si="45"/>
        <v>43748.65650597222</v>
      </c>
    </row>
    <row r="2892" spans="1:10" x14ac:dyDescent="0.25">
      <c r="A2892" s="5" t="s">
        <v>31421</v>
      </c>
      <c r="B2892" s="6">
        <v>393.75</v>
      </c>
      <c r="C2892" s="6">
        <v>20.478950000000001</v>
      </c>
      <c r="D2892" s="6">
        <v>71</v>
      </c>
      <c r="E2892" s="6">
        <v>0</v>
      </c>
      <c r="F2892" s="6">
        <v>0</v>
      </c>
      <c r="G2892" s="6">
        <v>80</v>
      </c>
      <c r="H2892" s="6" t="s">
        <v>31422</v>
      </c>
      <c r="I2892" s="6">
        <v>526.6875</v>
      </c>
      <c r="J2892" s="2">
        <f t="shared" si="45"/>
        <v>43748.656589502316</v>
      </c>
    </row>
    <row r="2893" spans="1:10" x14ac:dyDescent="0.25">
      <c r="A2893" s="7" t="s">
        <v>31423</v>
      </c>
      <c r="B2893" s="8">
        <v>393.75</v>
      </c>
      <c r="C2893" s="8">
        <v>20.531590000000001</v>
      </c>
      <c r="D2893" s="8">
        <v>72</v>
      </c>
      <c r="E2893" s="8">
        <v>0</v>
      </c>
      <c r="F2893" s="8">
        <v>0</v>
      </c>
      <c r="G2893" s="8">
        <v>81</v>
      </c>
      <c r="H2893" s="8" t="s">
        <v>31424</v>
      </c>
      <c r="I2893" s="8">
        <v>526.6875</v>
      </c>
      <c r="J2893" s="3">
        <f t="shared" si="45"/>
        <v>43748.656672962963</v>
      </c>
    </row>
    <row r="2894" spans="1:10" x14ac:dyDescent="0.25">
      <c r="A2894" s="5" t="s">
        <v>31425</v>
      </c>
      <c r="B2894" s="6">
        <v>393.75</v>
      </c>
      <c r="C2894" s="6">
        <v>20.584240000000001</v>
      </c>
      <c r="D2894" s="6">
        <v>74</v>
      </c>
      <c r="E2894" s="6">
        <v>0</v>
      </c>
      <c r="F2894" s="6">
        <v>0</v>
      </c>
      <c r="G2894" s="6">
        <v>85</v>
      </c>
      <c r="H2894" s="6" t="s">
        <v>31426</v>
      </c>
      <c r="I2894" s="6">
        <v>526.6875</v>
      </c>
      <c r="J2894" s="2">
        <f t="shared" si="45"/>
        <v>43748.656756400458</v>
      </c>
    </row>
    <row r="2895" spans="1:10" x14ac:dyDescent="0.25">
      <c r="A2895" s="7" t="s">
        <v>31427</v>
      </c>
      <c r="B2895" s="8">
        <v>393.75</v>
      </c>
      <c r="C2895" s="8">
        <v>20.478950000000001</v>
      </c>
      <c r="D2895" s="8">
        <v>74</v>
      </c>
      <c r="E2895" s="8">
        <v>0</v>
      </c>
      <c r="F2895" s="8">
        <v>0</v>
      </c>
      <c r="G2895" s="8">
        <v>83</v>
      </c>
      <c r="H2895" s="8" t="s">
        <v>31428</v>
      </c>
      <c r="I2895" s="8">
        <v>526.6875</v>
      </c>
      <c r="J2895" s="3">
        <f t="shared" si="45"/>
        <v>43748.656840104166</v>
      </c>
    </row>
    <row r="2896" spans="1:10" x14ac:dyDescent="0.25">
      <c r="A2896" s="5" t="s">
        <v>31429</v>
      </c>
      <c r="B2896" s="6">
        <v>412.5</v>
      </c>
      <c r="C2896" s="6">
        <v>20.584240000000001</v>
      </c>
      <c r="D2896" s="6">
        <v>74</v>
      </c>
      <c r="E2896" s="6">
        <v>0</v>
      </c>
      <c r="F2896" s="6">
        <v>0</v>
      </c>
      <c r="G2896" s="6">
        <v>77</v>
      </c>
      <c r="H2896" s="6" t="s">
        <v>31430</v>
      </c>
      <c r="I2896" s="6">
        <v>532.3125</v>
      </c>
      <c r="J2896" s="2">
        <f t="shared" si="45"/>
        <v>43748.656923078706</v>
      </c>
    </row>
    <row r="2897" spans="1:10" x14ac:dyDescent="0.25">
      <c r="A2897" s="7" t="s">
        <v>31431</v>
      </c>
      <c r="B2897" s="8">
        <v>393.75</v>
      </c>
      <c r="C2897" s="8">
        <v>20.531590000000001</v>
      </c>
      <c r="D2897" s="8">
        <v>74</v>
      </c>
      <c r="E2897" s="8">
        <v>0</v>
      </c>
      <c r="F2897" s="8">
        <v>0</v>
      </c>
      <c r="G2897" s="8">
        <v>80</v>
      </c>
      <c r="H2897" s="8" t="s">
        <v>31432</v>
      </c>
      <c r="I2897" s="8">
        <v>526.6875</v>
      </c>
      <c r="J2897" s="3">
        <f t="shared" si="45"/>
        <v>43748.656994722223</v>
      </c>
    </row>
    <row r="2898" spans="1:10" x14ac:dyDescent="0.25">
      <c r="A2898" s="5" t="s">
        <v>31433</v>
      </c>
      <c r="B2898" s="6">
        <v>393.75</v>
      </c>
      <c r="C2898" s="6">
        <v>20.584240000000001</v>
      </c>
      <c r="D2898" s="6">
        <v>74</v>
      </c>
      <c r="E2898" s="6">
        <v>0</v>
      </c>
      <c r="F2898" s="6">
        <v>0</v>
      </c>
      <c r="G2898" s="6">
        <v>78</v>
      </c>
      <c r="H2898" s="6" t="s">
        <v>31434</v>
      </c>
      <c r="I2898" s="6">
        <v>526.6875</v>
      </c>
      <c r="J2898" s="2">
        <f t="shared" si="45"/>
        <v>43748.657078622688</v>
      </c>
    </row>
    <row r="2899" spans="1:10" x14ac:dyDescent="0.25">
      <c r="A2899" s="7" t="s">
        <v>31435</v>
      </c>
      <c r="B2899" s="8">
        <v>393.75</v>
      </c>
      <c r="C2899" s="8">
        <v>20.531590000000001</v>
      </c>
      <c r="D2899" s="8">
        <v>73</v>
      </c>
      <c r="E2899" s="8">
        <v>0</v>
      </c>
      <c r="F2899" s="8">
        <v>0</v>
      </c>
      <c r="G2899" s="8">
        <v>83</v>
      </c>
      <c r="H2899" s="8" t="s">
        <v>31436</v>
      </c>
      <c r="I2899" s="8">
        <v>526.6875</v>
      </c>
      <c r="J2899" s="3">
        <f t="shared" si="45"/>
        <v>43748.657161967589</v>
      </c>
    </row>
    <row r="2900" spans="1:10" x14ac:dyDescent="0.25">
      <c r="A2900" s="5" t="s">
        <v>31437</v>
      </c>
      <c r="B2900" s="6">
        <v>393.75</v>
      </c>
      <c r="C2900" s="6">
        <v>20.531590000000001</v>
      </c>
      <c r="D2900" s="6">
        <v>73</v>
      </c>
      <c r="E2900" s="6">
        <v>0</v>
      </c>
      <c r="F2900" s="6">
        <v>0</v>
      </c>
      <c r="G2900" s="6">
        <v>84</v>
      </c>
      <c r="H2900" s="6" t="s">
        <v>31438</v>
      </c>
      <c r="I2900" s="6">
        <v>526.6875</v>
      </c>
      <c r="J2900" s="2">
        <f t="shared" si="45"/>
        <v>43748.657245312497</v>
      </c>
    </row>
    <row r="2901" spans="1:10" x14ac:dyDescent="0.25">
      <c r="A2901" s="7" t="s">
        <v>31439</v>
      </c>
      <c r="B2901" s="8">
        <v>418.75</v>
      </c>
      <c r="C2901" s="8">
        <v>20.531590000000001</v>
      </c>
      <c r="D2901" s="8">
        <v>73</v>
      </c>
      <c r="E2901" s="8">
        <v>0</v>
      </c>
      <c r="F2901" s="8">
        <v>0</v>
      </c>
      <c r="G2901" s="8">
        <v>81</v>
      </c>
      <c r="H2901" s="8" t="s">
        <v>31440</v>
      </c>
      <c r="I2901" s="8">
        <v>534.375</v>
      </c>
      <c r="J2901" s="3">
        <f t="shared" si="45"/>
        <v>43748.657316944438</v>
      </c>
    </row>
    <row r="2902" spans="1:10" x14ac:dyDescent="0.25">
      <c r="A2902" s="5" t="s">
        <v>31441</v>
      </c>
      <c r="B2902" s="6">
        <v>393.75</v>
      </c>
      <c r="C2902" s="6">
        <v>20.531590000000001</v>
      </c>
      <c r="D2902" s="6">
        <v>72</v>
      </c>
      <c r="E2902" s="6">
        <v>0</v>
      </c>
      <c r="F2902" s="6">
        <v>0</v>
      </c>
      <c r="G2902" s="6">
        <v>72</v>
      </c>
      <c r="H2902" s="6" t="s">
        <v>31442</v>
      </c>
      <c r="I2902" s="6">
        <v>526.6875</v>
      </c>
      <c r="J2902" s="2">
        <f t="shared" si="45"/>
        <v>43748.657400497679</v>
      </c>
    </row>
    <row r="2903" spans="1:10" x14ac:dyDescent="0.25">
      <c r="A2903" s="7" t="s">
        <v>31443</v>
      </c>
      <c r="B2903" s="8">
        <v>393.75</v>
      </c>
      <c r="C2903" s="8">
        <v>20.531590000000001</v>
      </c>
      <c r="D2903" s="8">
        <v>71</v>
      </c>
      <c r="E2903" s="8">
        <v>0</v>
      </c>
      <c r="F2903" s="8">
        <v>0</v>
      </c>
      <c r="G2903" s="8">
        <v>80</v>
      </c>
      <c r="H2903" s="8" t="s">
        <v>31444</v>
      </c>
      <c r="I2903" s="8">
        <v>526.6875</v>
      </c>
      <c r="J2903" s="3">
        <f t="shared" si="45"/>
        <v>43748.65748396991</v>
      </c>
    </row>
    <row r="2904" spans="1:10" x14ac:dyDescent="0.25">
      <c r="A2904" s="5" t="s">
        <v>31445</v>
      </c>
      <c r="B2904" s="6">
        <v>393.75</v>
      </c>
      <c r="C2904" s="6">
        <v>20.531590000000001</v>
      </c>
      <c r="D2904" s="6">
        <v>71</v>
      </c>
      <c r="E2904" s="6">
        <v>0</v>
      </c>
      <c r="F2904" s="6">
        <v>0</v>
      </c>
      <c r="G2904" s="6">
        <v>77</v>
      </c>
      <c r="H2904" s="6" t="s">
        <v>31446</v>
      </c>
      <c r="I2904" s="6">
        <v>526.6875</v>
      </c>
      <c r="J2904" s="2">
        <f t="shared" si="45"/>
        <v>43748.657567523151</v>
      </c>
    </row>
    <row r="2905" spans="1:10" x14ac:dyDescent="0.25">
      <c r="A2905" s="7" t="s">
        <v>31447</v>
      </c>
      <c r="B2905" s="8">
        <v>393.75</v>
      </c>
      <c r="C2905" s="8">
        <v>20.584240000000001</v>
      </c>
      <c r="D2905" s="8">
        <v>71</v>
      </c>
      <c r="E2905" s="8">
        <v>0</v>
      </c>
      <c r="F2905" s="8">
        <v>0</v>
      </c>
      <c r="G2905" s="8">
        <v>89</v>
      </c>
      <c r="H2905" s="8" t="s">
        <v>31448</v>
      </c>
      <c r="I2905" s="8">
        <v>526.6875</v>
      </c>
      <c r="J2905" s="3">
        <f t="shared" si="45"/>
        <v>43748.657662881938</v>
      </c>
    </row>
    <row r="2906" spans="1:10" x14ac:dyDescent="0.25">
      <c r="A2906" s="5" t="s">
        <v>31449</v>
      </c>
      <c r="B2906" s="6">
        <v>393.75</v>
      </c>
      <c r="C2906" s="6">
        <v>20.531590000000001</v>
      </c>
      <c r="D2906" s="6">
        <v>71</v>
      </c>
      <c r="E2906" s="6">
        <v>0</v>
      </c>
      <c r="F2906" s="6">
        <v>0</v>
      </c>
      <c r="G2906" s="6">
        <v>73</v>
      </c>
      <c r="H2906" s="6" t="s">
        <v>31450</v>
      </c>
      <c r="I2906" s="6">
        <v>526.6875</v>
      </c>
      <c r="J2906" s="2">
        <f t="shared" si="45"/>
        <v>43748.657746481484</v>
      </c>
    </row>
    <row r="2907" spans="1:10" x14ac:dyDescent="0.25">
      <c r="A2907" s="7" t="s">
        <v>31451</v>
      </c>
      <c r="B2907" s="8">
        <v>393.75</v>
      </c>
      <c r="C2907" s="8">
        <v>20.531590000000001</v>
      </c>
      <c r="D2907" s="8">
        <v>71</v>
      </c>
      <c r="E2907" s="8">
        <v>0</v>
      </c>
      <c r="F2907" s="8">
        <v>0</v>
      </c>
      <c r="G2907" s="8">
        <v>80</v>
      </c>
      <c r="H2907" s="8" t="s">
        <v>31452</v>
      </c>
      <c r="I2907" s="8">
        <v>526.6875</v>
      </c>
      <c r="J2907" s="3">
        <f t="shared" si="45"/>
        <v>43748.657829780095</v>
      </c>
    </row>
    <row r="2908" spans="1:10" x14ac:dyDescent="0.25">
      <c r="A2908" s="5" t="s">
        <v>31453</v>
      </c>
      <c r="B2908" s="6">
        <v>412.5</v>
      </c>
      <c r="C2908" s="6">
        <v>20.478950000000001</v>
      </c>
      <c r="D2908" s="6">
        <v>71</v>
      </c>
      <c r="E2908" s="6">
        <v>0</v>
      </c>
      <c r="F2908" s="6">
        <v>0</v>
      </c>
      <c r="G2908" s="6">
        <v>77</v>
      </c>
      <c r="H2908" s="6" t="s">
        <v>31454</v>
      </c>
      <c r="I2908" s="6">
        <v>532.3125</v>
      </c>
      <c r="J2908" s="2">
        <f t="shared" si="45"/>
        <v>43748.657913344905</v>
      </c>
    </row>
    <row r="2909" spans="1:10" x14ac:dyDescent="0.25">
      <c r="A2909" s="7" t="s">
        <v>31455</v>
      </c>
      <c r="B2909" s="8">
        <v>393.75</v>
      </c>
      <c r="C2909" s="8">
        <v>20.531590000000001</v>
      </c>
      <c r="D2909" s="8">
        <v>71</v>
      </c>
      <c r="E2909" s="8">
        <v>0</v>
      </c>
      <c r="F2909" s="8">
        <v>0</v>
      </c>
      <c r="G2909" s="8">
        <v>78</v>
      </c>
      <c r="H2909" s="8" t="s">
        <v>31456</v>
      </c>
      <c r="I2909" s="8">
        <v>526.6875</v>
      </c>
      <c r="J2909" s="3">
        <f t="shared" si="45"/>
        <v>43748.657996805552</v>
      </c>
    </row>
    <row r="2910" spans="1:10" x14ac:dyDescent="0.25">
      <c r="A2910" s="5" t="s">
        <v>31457</v>
      </c>
      <c r="B2910" s="6">
        <v>393.75</v>
      </c>
      <c r="C2910" s="6">
        <v>20.531590000000001</v>
      </c>
      <c r="D2910" s="6">
        <v>71</v>
      </c>
      <c r="E2910" s="6">
        <v>0</v>
      </c>
      <c r="F2910" s="6">
        <v>0</v>
      </c>
      <c r="G2910" s="6">
        <v>78</v>
      </c>
      <c r="H2910" s="6" t="s">
        <v>31458</v>
      </c>
      <c r="I2910" s="6">
        <v>526.6875</v>
      </c>
      <c r="J2910" s="2">
        <f t="shared" si="45"/>
        <v>43748.65808025463</v>
      </c>
    </row>
    <row r="2911" spans="1:10" x14ac:dyDescent="0.25">
      <c r="A2911" s="7" t="s">
        <v>31459</v>
      </c>
      <c r="B2911" s="8">
        <v>393.75</v>
      </c>
      <c r="C2911" s="8">
        <v>20.531590000000001</v>
      </c>
      <c r="D2911" s="8">
        <v>71</v>
      </c>
      <c r="E2911" s="8">
        <v>0</v>
      </c>
      <c r="F2911" s="8">
        <v>0</v>
      </c>
      <c r="G2911" s="8">
        <v>87</v>
      </c>
      <c r="H2911" s="8" t="s">
        <v>31460</v>
      </c>
      <c r="I2911" s="8">
        <v>526.6875</v>
      </c>
      <c r="J2911" s="3">
        <f t="shared" si="45"/>
        <v>43748.658163831016</v>
      </c>
    </row>
    <row r="2912" spans="1:10" x14ac:dyDescent="0.25">
      <c r="A2912" s="5" t="s">
        <v>31461</v>
      </c>
      <c r="B2912" s="6">
        <v>393.75</v>
      </c>
      <c r="C2912" s="6">
        <v>20.531590000000001</v>
      </c>
      <c r="D2912" s="6">
        <v>72</v>
      </c>
      <c r="E2912" s="6">
        <v>0</v>
      </c>
      <c r="F2912" s="6">
        <v>0</v>
      </c>
      <c r="G2912" s="6">
        <v>77</v>
      </c>
      <c r="H2912" s="6" t="s">
        <v>31462</v>
      </c>
      <c r="I2912" s="6">
        <v>526.6875</v>
      </c>
      <c r="J2912" s="2">
        <f t="shared" si="45"/>
        <v>43748.658247280087</v>
      </c>
    </row>
    <row r="2913" spans="1:10" x14ac:dyDescent="0.25">
      <c r="A2913" s="7" t="s">
        <v>31463</v>
      </c>
      <c r="B2913" s="8">
        <v>393.75</v>
      </c>
      <c r="C2913" s="8">
        <v>20.531590000000001</v>
      </c>
      <c r="D2913" s="8">
        <v>71</v>
      </c>
      <c r="E2913" s="8">
        <v>0</v>
      </c>
      <c r="F2913" s="8">
        <v>0</v>
      </c>
      <c r="G2913" s="8">
        <v>76</v>
      </c>
      <c r="H2913" s="8" t="s">
        <v>31464</v>
      </c>
      <c r="I2913" s="8">
        <v>526.6875</v>
      </c>
      <c r="J2913" s="3">
        <f t="shared" si="45"/>
        <v>43748.658330486105</v>
      </c>
    </row>
    <row r="2914" spans="1:10" x14ac:dyDescent="0.25">
      <c r="A2914" s="5" t="s">
        <v>31465</v>
      </c>
      <c r="B2914" s="6">
        <v>393.75</v>
      </c>
      <c r="C2914" s="6">
        <v>20.584240000000001</v>
      </c>
      <c r="D2914" s="6">
        <v>76</v>
      </c>
      <c r="E2914" s="6">
        <v>0</v>
      </c>
      <c r="F2914" s="6">
        <v>0</v>
      </c>
      <c r="G2914" s="6">
        <v>79</v>
      </c>
      <c r="H2914" s="6" t="s">
        <v>31466</v>
      </c>
      <c r="I2914" s="6">
        <v>526.6875</v>
      </c>
      <c r="J2914" s="2">
        <f t="shared" si="45"/>
        <v>43748.658402349531</v>
      </c>
    </row>
    <row r="2915" spans="1:10" x14ac:dyDescent="0.25">
      <c r="A2915" s="7" t="s">
        <v>31467</v>
      </c>
      <c r="B2915" s="8">
        <v>393.75</v>
      </c>
      <c r="C2915" s="8">
        <v>20.531590000000001</v>
      </c>
      <c r="D2915" s="8">
        <v>76</v>
      </c>
      <c r="E2915" s="8">
        <v>0</v>
      </c>
      <c r="F2915" s="8">
        <v>0</v>
      </c>
      <c r="G2915" s="8">
        <v>78</v>
      </c>
      <c r="H2915" s="8" t="s">
        <v>31468</v>
      </c>
      <c r="I2915" s="8">
        <v>526.6875</v>
      </c>
      <c r="J2915" s="3">
        <f t="shared" si="45"/>
        <v>43748.658486030086</v>
      </c>
    </row>
    <row r="2916" spans="1:10" x14ac:dyDescent="0.25">
      <c r="A2916" s="5" t="s">
        <v>31469</v>
      </c>
      <c r="B2916" s="6">
        <v>393.75</v>
      </c>
      <c r="C2916" s="6">
        <v>20.531590000000001</v>
      </c>
      <c r="D2916" s="6">
        <v>76</v>
      </c>
      <c r="E2916" s="6">
        <v>0</v>
      </c>
      <c r="F2916" s="6">
        <v>0</v>
      </c>
      <c r="G2916" s="6">
        <v>79</v>
      </c>
      <c r="H2916" s="6" t="s">
        <v>31470</v>
      </c>
      <c r="I2916" s="6">
        <v>526.6875</v>
      </c>
      <c r="J2916" s="2">
        <f t="shared" si="45"/>
        <v>43748.658569375002</v>
      </c>
    </row>
    <row r="2917" spans="1:10" x14ac:dyDescent="0.25">
      <c r="A2917" s="7" t="s">
        <v>31471</v>
      </c>
      <c r="B2917" s="8">
        <v>393.75</v>
      </c>
      <c r="C2917" s="8">
        <v>20.584240000000001</v>
      </c>
      <c r="D2917" s="8">
        <v>76</v>
      </c>
      <c r="E2917" s="8">
        <v>0</v>
      </c>
      <c r="F2917" s="8">
        <v>0</v>
      </c>
      <c r="G2917" s="8">
        <v>73</v>
      </c>
      <c r="H2917" s="8" t="s">
        <v>31472</v>
      </c>
      <c r="I2917" s="8">
        <v>526.6875</v>
      </c>
      <c r="J2917" s="3">
        <f t="shared" si="45"/>
        <v>43748.658652696759</v>
      </c>
    </row>
    <row r="2918" spans="1:10" x14ac:dyDescent="0.25">
      <c r="A2918" s="5" t="s">
        <v>31473</v>
      </c>
      <c r="B2918" s="6">
        <v>393.75</v>
      </c>
      <c r="C2918" s="6">
        <v>20.531590000000001</v>
      </c>
      <c r="D2918" s="6">
        <v>77</v>
      </c>
      <c r="E2918" s="6">
        <v>0</v>
      </c>
      <c r="F2918" s="6">
        <v>0</v>
      </c>
      <c r="G2918" s="6">
        <v>82</v>
      </c>
      <c r="H2918" s="6" t="s">
        <v>31474</v>
      </c>
      <c r="I2918" s="6">
        <v>526.6875</v>
      </c>
      <c r="J2918" s="2">
        <f t="shared" si="45"/>
        <v>43748.65873628472</v>
      </c>
    </row>
    <row r="2919" spans="1:10" x14ac:dyDescent="0.25">
      <c r="A2919" s="7" t="s">
        <v>31475</v>
      </c>
      <c r="B2919" s="8">
        <v>393.75</v>
      </c>
      <c r="C2919" s="8">
        <v>20.531590000000001</v>
      </c>
      <c r="D2919" s="8">
        <v>77</v>
      </c>
      <c r="E2919" s="8">
        <v>0</v>
      </c>
      <c r="F2919" s="8">
        <v>0</v>
      </c>
      <c r="G2919" s="8">
        <v>82</v>
      </c>
      <c r="H2919" s="8" t="s">
        <v>31476</v>
      </c>
      <c r="I2919" s="8">
        <v>526.6875</v>
      </c>
      <c r="J2919" s="3">
        <f t="shared" si="45"/>
        <v>43748.658831759261</v>
      </c>
    </row>
    <row r="2920" spans="1:10" x14ac:dyDescent="0.25">
      <c r="A2920" s="5" t="s">
        <v>31477</v>
      </c>
      <c r="B2920" s="6">
        <v>393.75</v>
      </c>
      <c r="C2920" s="6">
        <v>20.584240000000001</v>
      </c>
      <c r="D2920" s="6">
        <v>77</v>
      </c>
      <c r="E2920" s="6">
        <v>0</v>
      </c>
      <c r="F2920" s="6">
        <v>0</v>
      </c>
      <c r="G2920" s="6">
        <v>84</v>
      </c>
      <c r="H2920" s="6" t="s">
        <v>31478</v>
      </c>
      <c r="I2920" s="6">
        <v>526.6875</v>
      </c>
      <c r="J2920" s="2">
        <f t="shared" si="45"/>
        <v>43748.658915231477</v>
      </c>
    </row>
    <row r="2921" spans="1:10" x14ac:dyDescent="0.25">
      <c r="A2921" s="7" t="s">
        <v>31479</v>
      </c>
      <c r="B2921" s="8">
        <v>393.75</v>
      </c>
      <c r="C2921" s="8">
        <v>20.531590000000001</v>
      </c>
      <c r="D2921" s="8">
        <v>76</v>
      </c>
      <c r="E2921" s="8">
        <v>0</v>
      </c>
      <c r="F2921" s="8">
        <v>0</v>
      </c>
      <c r="G2921" s="8">
        <v>80</v>
      </c>
      <c r="H2921" s="8" t="s">
        <v>31480</v>
      </c>
      <c r="I2921" s="8">
        <v>526.6875</v>
      </c>
      <c r="J2921" s="3">
        <f t="shared" si="45"/>
        <v>43748.65899866898</v>
      </c>
    </row>
    <row r="2922" spans="1:10" x14ac:dyDescent="0.25">
      <c r="A2922" s="5" t="s">
        <v>31481</v>
      </c>
      <c r="B2922" s="6">
        <v>393.75</v>
      </c>
      <c r="C2922" s="6">
        <v>20.531590000000001</v>
      </c>
      <c r="D2922" s="6">
        <v>76</v>
      </c>
      <c r="E2922" s="6">
        <v>0</v>
      </c>
      <c r="F2922" s="6">
        <v>0</v>
      </c>
      <c r="G2922" s="6">
        <v>79</v>
      </c>
      <c r="H2922" s="6" t="s">
        <v>31482</v>
      </c>
      <c r="I2922" s="6">
        <v>526.6875</v>
      </c>
      <c r="J2922" s="2">
        <f t="shared" si="45"/>
        <v>43748.659082361111</v>
      </c>
    </row>
    <row r="2923" spans="1:10" x14ac:dyDescent="0.25">
      <c r="A2923" s="7" t="s">
        <v>31483</v>
      </c>
      <c r="B2923" s="8">
        <v>393.75</v>
      </c>
      <c r="C2923" s="8">
        <v>20.584240000000001</v>
      </c>
      <c r="D2923" s="8">
        <v>76</v>
      </c>
      <c r="E2923" s="8">
        <v>0</v>
      </c>
      <c r="F2923" s="8">
        <v>0</v>
      </c>
      <c r="G2923" s="8">
        <v>69</v>
      </c>
      <c r="H2923" s="8" t="s">
        <v>31484</v>
      </c>
      <c r="I2923" s="8">
        <v>526.6875</v>
      </c>
      <c r="J2923" s="3">
        <f t="shared" si="45"/>
        <v>43748.659165682868</v>
      </c>
    </row>
    <row r="2924" spans="1:10" x14ac:dyDescent="0.25">
      <c r="A2924" s="5" t="s">
        <v>31485</v>
      </c>
      <c r="B2924" s="6">
        <v>412.5</v>
      </c>
      <c r="C2924" s="6">
        <v>20.478950000000001</v>
      </c>
      <c r="D2924" s="6">
        <v>77</v>
      </c>
      <c r="E2924" s="6">
        <v>0</v>
      </c>
      <c r="F2924" s="6">
        <v>0</v>
      </c>
      <c r="G2924" s="6">
        <v>80</v>
      </c>
      <c r="H2924" s="6" t="s">
        <v>31486</v>
      </c>
      <c r="I2924" s="6">
        <v>532.3125</v>
      </c>
      <c r="J2924" s="2">
        <f t="shared" si="45"/>
        <v>43748.659248993055</v>
      </c>
    </row>
    <row r="2925" spans="1:10" x14ac:dyDescent="0.25">
      <c r="A2925" s="7" t="s">
        <v>31487</v>
      </c>
      <c r="B2925" s="8">
        <v>393.75</v>
      </c>
      <c r="C2925" s="8">
        <v>20.531590000000001</v>
      </c>
      <c r="D2925" s="8">
        <v>76</v>
      </c>
      <c r="E2925" s="8">
        <v>0</v>
      </c>
      <c r="F2925" s="8">
        <v>0</v>
      </c>
      <c r="G2925" s="8">
        <v>79</v>
      </c>
      <c r="H2925" s="8" t="s">
        <v>31488</v>
      </c>
      <c r="I2925" s="8">
        <v>526.6875</v>
      </c>
      <c r="J2925" s="3">
        <f t="shared" si="45"/>
        <v>43748.65933268518</v>
      </c>
    </row>
    <row r="2926" spans="1:10" x14ac:dyDescent="0.25">
      <c r="A2926" s="5" t="s">
        <v>31489</v>
      </c>
      <c r="B2926" s="6">
        <v>393.75</v>
      </c>
      <c r="C2926" s="6">
        <v>20.531590000000001</v>
      </c>
      <c r="D2926" s="6">
        <v>77</v>
      </c>
      <c r="E2926" s="6">
        <v>0</v>
      </c>
      <c r="F2926" s="6">
        <v>0</v>
      </c>
      <c r="G2926" s="6">
        <v>76</v>
      </c>
      <c r="H2926" s="6" t="s">
        <v>31490</v>
      </c>
      <c r="I2926" s="6">
        <v>526.6875</v>
      </c>
      <c r="J2926" s="2">
        <f t="shared" si="45"/>
        <v>43748.659415833332</v>
      </c>
    </row>
    <row r="2927" spans="1:10" x14ac:dyDescent="0.25">
      <c r="A2927" s="7" t="s">
        <v>31491</v>
      </c>
      <c r="B2927" s="8">
        <v>393.75</v>
      </c>
      <c r="C2927" s="8">
        <v>20.531590000000001</v>
      </c>
      <c r="D2927" s="8">
        <v>77</v>
      </c>
      <c r="E2927" s="8">
        <v>0</v>
      </c>
      <c r="F2927" s="8">
        <v>0</v>
      </c>
      <c r="G2927" s="8">
        <v>74</v>
      </c>
      <c r="H2927" s="8" t="s">
        <v>31492</v>
      </c>
      <c r="I2927" s="8">
        <v>526.6875</v>
      </c>
      <c r="J2927" s="3">
        <f t="shared" si="45"/>
        <v>43748.659499583329</v>
      </c>
    </row>
    <row r="2928" spans="1:10" x14ac:dyDescent="0.25">
      <c r="A2928" s="5" t="s">
        <v>31493</v>
      </c>
      <c r="B2928" s="6">
        <v>393.75</v>
      </c>
      <c r="C2928" s="6">
        <v>20.531590000000001</v>
      </c>
      <c r="D2928" s="6">
        <v>77</v>
      </c>
      <c r="E2928" s="6">
        <v>0</v>
      </c>
      <c r="F2928" s="6">
        <v>0</v>
      </c>
      <c r="G2928" s="6">
        <v>85</v>
      </c>
      <c r="H2928" s="6" t="s">
        <v>31494</v>
      </c>
      <c r="I2928" s="6">
        <v>526.6875</v>
      </c>
      <c r="J2928" s="2">
        <f t="shared" si="45"/>
        <v>43748.659583055553</v>
      </c>
    </row>
    <row r="2929" spans="1:10" x14ac:dyDescent="0.25">
      <c r="A2929" s="7" t="s">
        <v>31495</v>
      </c>
      <c r="B2929" s="8">
        <v>393.75</v>
      </c>
      <c r="C2929" s="8">
        <v>20.531590000000001</v>
      </c>
      <c r="D2929" s="8">
        <v>77</v>
      </c>
      <c r="E2929" s="8">
        <v>0</v>
      </c>
      <c r="F2929" s="8">
        <v>0</v>
      </c>
      <c r="G2929" s="8">
        <v>75</v>
      </c>
      <c r="H2929" s="8" t="s">
        <v>31496</v>
      </c>
      <c r="I2929" s="8">
        <v>526.6875</v>
      </c>
      <c r="J2929" s="3">
        <f t="shared" si="45"/>
        <v>43748.659654687501</v>
      </c>
    </row>
    <row r="2930" spans="1:10" x14ac:dyDescent="0.25">
      <c r="A2930" s="5" t="s">
        <v>31497</v>
      </c>
      <c r="B2930" s="6">
        <v>393.75</v>
      </c>
      <c r="C2930" s="6">
        <v>20.531590000000001</v>
      </c>
      <c r="D2930" s="6">
        <v>76</v>
      </c>
      <c r="E2930" s="6">
        <v>0</v>
      </c>
      <c r="F2930" s="6">
        <v>0</v>
      </c>
      <c r="G2930" s="6">
        <v>75</v>
      </c>
      <c r="H2930" s="6" t="s">
        <v>31498</v>
      </c>
      <c r="I2930" s="6">
        <v>526.6875</v>
      </c>
      <c r="J2930" s="2">
        <f t="shared" si="45"/>
        <v>43748.659737928239</v>
      </c>
    </row>
    <row r="2931" spans="1:10" x14ac:dyDescent="0.25">
      <c r="A2931" s="7" t="s">
        <v>31499</v>
      </c>
      <c r="B2931" s="8">
        <v>393.75</v>
      </c>
      <c r="C2931" s="8">
        <v>20.478950000000001</v>
      </c>
      <c r="D2931" s="8">
        <v>76</v>
      </c>
      <c r="E2931" s="8">
        <v>0</v>
      </c>
      <c r="F2931" s="8">
        <v>0</v>
      </c>
      <c r="G2931" s="8">
        <v>80</v>
      </c>
      <c r="H2931" s="8" t="s">
        <v>31500</v>
      </c>
      <c r="I2931" s="8">
        <v>526.6875</v>
      </c>
      <c r="J2931" s="3">
        <f t="shared" si="45"/>
        <v>43748.659809745368</v>
      </c>
    </row>
    <row r="2932" spans="1:10" x14ac:dyDescent="0.25">
      <c r="A2932" s="5" t="s">
        <v>31501</v>
      </c>
      <c r="B2932" s="6">
        <v>412.5</v>
      </c>
      <c r="C2932" s="6">
        <v>20.584240000000001</v>
      </c>
      <c r="D2932" s="6">
        <v>73</v>
      </c>
      <c r="E2932" s="6">
        <v>0</v>
      </c>
      <c r="F2932" s="6">
        <v>0</v>
      </c>
      <c r="G2932" s="6">
        <v>84</v>
      </c>
      <c r="H2932" s="6" t="s">
        <v>31502</v>
      </c>
      <c r="I2932" s="6">
        <v>532.3125</v>
      </c>
      <c r="J2932" s="2">
        <f t="shared" si="45"/>
        <v>43748.659881192129</v>
      </c>
    </row>
    <row r="2933" spans="1:10" x14ac:dyDescent="0.25">
      <c r="A2933" s="7" t="s">
        <v>31503</v>
      </c>
      <c r="B2933" s="8">
        <v>393.75</v>
      </c>
      <c r="C2933" s="8">
        <v>20.531590000000001</v>
      </c>
      <c r="D2933" s="8">
        <v>74</v>
      </c>
      <c r="E2933" s="8">
        <v>0</v>
      </c>
      <c r="F2933" s="8">
        <v>0</v>
      </c>
      <c r="G2933" s="8">
        <v>76</v>
      </c>
      <c r="H2933" s="8" t="s">
        <v>31504</v>
      </c>
      <c r="I2933" s="8">
        <v>526.6875</v>
      </c>
      <c r="J2933" s="3">
        <f t="shared" si="45"/>
        <v>43748.659964733793</v>
      </c>
    </row>
    <row r="2934" spans="1:10" x14ac:dyDescent="0.25">
      <c r="A2934" s="5" t="s">
        <v>31505</v>
      </c>
      <c r="B2934" s="6">
        <v>393.75</v>
      </c>
      <c r="C2934" s="6">
        <v>20.531590000000001</v>
      </c>
      <c r="D2934" s="6">
        <v>74</v>
      </c>
      <c r="E2934" s="6">
        <v>0</v>
      </c>
      <c r="F2934" s="6">
        <v>0</v>
      </c>
      <c r="G2934" s="6">
        <v>87</v>
      </c>
      <c r="H2934" s="6" t="s">
        <v>31506</v>
      </c>
      <c r="I2934" s="6">
        <v>526.5</v>
      </c>
      <c r="J2934" s="2">
        <f t="shared" si="45"/>
        <v>43748.660036307869</v>
      </c>
    </row>
    <row r="2935" spans="1:10" x14ac:dyDescent="0.25">
      <c r="A2935" s="7" t="s">
        <v>31507</v>
      </c>
      <c r="B2935" s="8">
        <v>393.75</v>
      </c>
      <c r="C2935" s="8">
        <v>20.531590000000001</v>
      </c>
      <c r="D2935" s="8">
        <v>75</v>
      </c>
      <c r="E2935" s="8">
        <v>0</v>
      </c>
      <c r="F2935" s="8">
        <v>0</v>
      </c>
      <c r="G2935" s="8">
        <v>95</v>
      </c>
      <c r="H2935" s="8" t="s">
        <v>31508</v>
      </c>
      <c r="I2935" s="8">
        <v>526.6875</v>
      </c>
      <c r="J2935" s="3">
        <f t="shared" si="45"/>
        <v>43748.660131759258</v>
      </c>
    </row>
    <row r="2936" spans="1:10" x14ac:dyDescent="0.25">
      <c r="A2936" s="5" t="s">
        <v>31509</v>
      </c>
      <c r="B2936" s="6">
        <v>393.75</v>
      </c>
      <c r="C2936" s="6">
        <v>20.531590000000001</v>
      </c>
      <c r="D2936" s="6">
        <v>75</v>
      </c>
      <c r="E2936" s="6">
        <v>0</v>
      </c>
      <c r="F2936" s="6">
        <v>0</v>
      </c>
      <c r="G2936" s="6">
        <v>79</v>
      </c>
      <c r="H2936" s="6" t="s">
        <v>31510</v>
      </c>
      <c r="I2936" s="6">
        <v>526.6875</v>
      </c>
      <c r="J2936" s="2">
        <f t="shared" si="45"/>
        <v>43748.660215208329</v>
      </c>
    </row>
    <row r="2937" spans="1:10" x14ac:dyDescent="0.25">
      <c r="A2937" s="7" t="s">
        <v>31511</v>
      </c>
      <c r="B2937" s="8">
        <v>412.5</v>
      </c>
      <c r="C2937" s="8">
        <v>20.531590000000001</v>
      </c>
      <c r="D2937" s="8">
        <v>75</v>
      </c>
      <c r="E2937" s="8">
        <v>0</v>
      </c>
      <c r="F2937" s="8">
        <v>0</v>
      </c>
      <c r="G2937" s="8">
        <v>77</v>
      </c>
      <c r="H2937" s="8" t="s">
        <v>31512</v>
      </c>
      <c r="I2937" s="8">
        <v>532.3125</v>
      </c>
      <c r="J2937" s="3">
        <f t="shared" si="45"/>
        <v>43748.660309236111</v>
      </c>
    </row>
    <row r="2938" spans="1:10" x14ac:dyDescent="0.25">
      <c r="A2938" s="5" t="s">
        <v>31513</v>
      </c>
      <c r="B2938" s="6">
        <v>393.75</v>
      </c>
      <c r="C2938" s="6">
        <v>20.531590000000001</v>
      </c>
      <c r="D2938" s="6">
        <v>74</v>
      </c>
      <c r="E2938" s="6">
        <v>0</v>
      </c>
      <c r="F2938" s="6">
        <v>0</v>
      </c>
      <c r="G2938" s="6">
        <v>73</v>
      </c>
      <c r="H2938" s="6" t="s">
        <v>31514</v>
      </c>
      <c r="I2938" s="6">
        <v>526.6875</v>
      </c>
      <c r="J2938" s="2">
        <f t="shared" si="45"/>
        <v>43748.660382418981</v>
      </c>
    </row>
    <row r="2939" spans="1:10" x14ac:dyDescent="0.25">
      <c r="A2939" s="7" t="s">
        <v>31515</v>
      </c>
      <c r="B2939" s="8">
        <v>393.75</v>
      </c>
      <c r="C2939" s="8">
        <v>20.478950000000001</v>
      </c>
      <c r="D2939" s="8">
        <v>74</v>
      </c>
      <c r="E2939" s="8">
        <v>0</v>
      </c>
      <c r="F2939" s="8">
        <v>0</v>
      </c>
      <c r="G2939" s="8">
        <v>80</v>
      </c>
      <c r="H2939" s="8" t="s">
        <v>31516</v>
      </c>
      <c r="I2939" s="8">
        <v>526.6875</v>
      </c>
      <c r="J2939" s="3">
        <f t="shared" si="45"/>
        <v>43748.660465659719</v>
      </c>
    </row>
    <row r="2940" spans="1:10" x14ac:dyDescent="0.25">
      <c r="A2940" s="5" t="s">
        <v>31517</v>
      </c>
      <c r="B2940" s="6">
        <v>393.75</v>
      </c>
      <c r="C2940" s="6">
        <v>20.531590000000001</v>
      </c>
      <c r="D2940" s="6">
        <v>74</v>
      </c>
      <c r="E2940" s="6">
        <v>0</v>
      </c>
      <c r="F2940" s="6">
        <v>0</v>
      </c>
      <c r="G2940" s="6">
        <v>77</v>
      </c>
      <c r="H2940" s="6" t="s">
        <v>31518</v>
      </c>
      <c r="I2940" s="6">
        <v>526.6875</v>
      </c>
      <c r="J2940" s="2">
        <f t="shared" si="45"/>
        <v>43748.660548993052</v>
      </c>
    </row>
    <row r="2941" spans="1:10" x14ac:dyDescent="0.25">
      <c r="A2941" s="7" t="s">
        <v>31519</v>
      </c>
      <c r="B2941" s="8">
        <v>393.75</v>
      </c>
      <c r="C2941" s="8">
        <v>20.531590000000001</v>
      </c>
      <c r="D2941" s="8">
        <v>75</v>
      </c>
      <c r="E2941" s="8">
        <v>0</v>
      </c>
      <c r="F2941" s="8">
        <v>0</v>
      </c>
      <c r="G2941" s="8">
        <v>77</v>
      </c>
      <c r="H2941" s="8" t="s">
        <v>31520</v>
      </c>
      <c r="I2941" s="8">
        <v>526.6875</v>
      </c>
      <c r="J2941" s="3">
        <f t="shared" si="45"/>
        <v>43748.660620775459</v>
      </c>
    </row>
    <row r="2942" spans="1:10" x14ac:dyDescent="0.25">
      <c r="A2942" s="5" t="s">
        <v>31521</v>
      </c>
      <c r="B2942" s="6">
        <v>412.5</v>
      </c>
      <c r="C2942" s="6">
        <v>20.531590000000001</v>
      </c>
      <c r="D2942" s="6">
        <v>75</v>
      </c>
      <c r="E2942" s="6">
        <v>0</v>
      </c>
      <c r="F2942" s="6">
        <v>0</v>
      </c>
      <c r="G2942" s="6">
        <v>72</v>
      </c>
      <c r="H2942" s="6" t="s">
        <v>31522</v>
      </c>
      <c r="I2942" s="6">
        <v>532.3125</v>
      </c>
      <c r="J2942" s="2">
        <f t="shared" si="45"/>
        <v>43748.660704236107</v>
      </c>
    </row>
    <row r="2943" spans="1:10" x14ac:dyDescent="0.25">
      <c r="A2943" s="7" t="s">
        <v>31523</v>
      </c>
      <c r="B2943" s="8">
        <v>393.75</v>
      </c>
      <c r="C2943" s="8">
        <v>20.531590000000001</v>
      </c>
      <c r="D2943" s="8">
        <v>75</v>
      </c>
      <c r="E2943" s="8">
        <v>0</v>
      </c>
      <c r="F2943" s="8">
        <v>0</v>
      </c>
      <c r="G2943" s="8">
        <v>80</v>
      </c>
      <c r="H2943" s="8" t="s">
        <v>31524</v>
      </c>
      <c r="I2943" s="8">
        <v>526.6875</v>
      </c>
      <c r="J2943" s="3">
        <f t="shared" si="45"/>
        <v>43748.660787650464</v>
      </c>
    </row>
    <row r="2944" spans="1:10" x14ac:dyDescent="0.25">
      <c r="A2944" s="5" t="s">
        <v>31525</v>
      </c>
      <c r="B2944" s="6">
        <v>393.75</v>
      </c>
      <c r="C2944" s="6">
        <v>20.531590000000001</v>
      </c>
      <c r="D2944" s="6">
        <v>74</v>
      </c>
      <c r="E2944" s="6">
        <v>0</v>
      </c>
      <c r="F2944" s="6">
        <v>0</v>
      </c>
      <c r="G2944" s="6">
        <v>80</v>
      </c>
      <c r="H2944" s="6" t="s">
        <v>31526</v>
      </c>
      <c r="I2944" s="6">
        <v>526.6875</v>
      </c>
      <c r="J2944" s="2">
        <f t="shared" si="45"/>
        <v>43748.660871238426</v>
      </c>
    </row>
    <row r="2945" spans="1:10" x14ac:dyDescent="0.25">
      <c r="A2945" s="7" t="s">
        <v>31527</v>
      </c>
      <c r="B2945" s="8">
        <v>393.75</v>
      </c>
      <c r="C2945" s="8">
        <v>20.531590000000001</v>
      </c>
      <c r="D2945" s="8">
        <v>74</v>
      </c>
      <c r="E2945" s="8">
        <v>0</v>
      </c>
      <c r="F2945" s="8">
        <v>0</v>
      </c>
      <c r="G2945" s="8">
        <v>80</v>
      </c>
      <c r="H2945" s="8" t="s">
        <v>31528</v>
      </c>
      <c r="I2945" s="8">
        <v>526.6875</v>
      </c>
      <c r="J2945" s="3">
        <f t="shared" si="45"/>
        <v>43748.66097586805</v>
      </c>
    </row>
    <row r="2946" spans="1:10" x14ac:dyDescent="0.25">
      <c r="A2946" s="5" t="s">
        <v>31529</v>
      </c>
      <c r="B2946" s="6">
        <v>393.75</v>
      </c>
      <c r="C2946" s="6">
        <v>20.478950000000001</v>
      </c>
      <c r="D2946" s="6">
        <v>74</v>
      </c>
      <c r="E2946" s="6">
        <v>0</v>
      </c>
      <c r="F2946" s="6">
        <v>0</v>
      </c>
      <c r="G2946" s="6">
        <v>78</v>
      </c>
      <c r="H2946" s="6" t="s">
        <v>31530</v>
      </c>
      <c r="I2946" s="6">
        <v>526.6875</v>
      </c>
      <c r="J2946" s="2">
        <f t="shared" ref="J2946:J3009" si="46">(H2946/86400000)+25569+(7/24)</f>
        <v>43748.661050057868</v>
      </c>
    </row>
    <row r="2947" spans="1:10" x14ac:dyDescent="0.25">
      <c r="A2947" s="7" t="s">
        <v>31531</v>
      </c>
      <c r="B2947" s="8">
        <v>393.75</v>
      </c>
      <c r="C2947" s="8">
        <v>20.531590000000001</v>
      </c>
      <c r="D2947" s="8">
        <v>75</v>
      </c>
      <c r="E2947" s="8">
        <v>0</v>
      </c>
      <c r="F2947" s="8">
        <v>0</v>
      </c>
      <c r="G2947" s="8">
        <v>78</v>
      </c>
      <c r="H2947" s="8" t="s">
        <v>31532</v>
      </c>
      <c r="I2947" s="8">
        <v>526.6875</v>
      </c>
      <c r="J2947" s="3">
        <f t="shared" si="46"/>
        <v>43748.661121689809</v>
      </c>
    </row>
    <row r="2948" spans="1:10" x14ac:dyDescent="0.25">
      <c r="A2948" s="5" t="s">
        <v>31533</v>
      </c>
      <c r="B2948" s="6">
        <v>393.75</v>
      </c>
      <c r="C2948" s="6">
        <v>20.584240000000001</v>
      </c>
      <c r="D2948" s="6">
        <v>69</v>
      </c>
      <c r="E2948" s="6">
        <v>0</v>
      </c>
      <c r="F2948" s="6">
        <v>0</v>
      </c>
      <c r="G2948" s="6">
        <v>80</v>
      </c>
      <c r="H2948" s="6" t="s">
        <v>31534</v>
      </c>
      <c r="I2948" s="6">
        <v>526.6875</v>
      </c>
      <c r="J2948" s="2">
        <f t="shared" si="46"/>
        <v>43748.661205254626</v>
      </c>
    </row>
    <row r="2949" spans="1:10" x14ac:dyDescent="0.25">
      <c r="A2949" s="7" t="s">
        <v>31535</v>
      </c>
      <c r="B2949" s="8">
        <v>412.5</v>
      </c>
      <c r="C2949" s="8">
        <v>20.531590000000001</v>
      </c>
      <c r="D2949" s="8">
        <v>69</v>
      </c>
      <c r="E2949" s="8">
        <v>0</v>
      </c>
      <c r="F2949" s="8">
        <v>0</v>
      </c>
      <c r="G2949" s="8">
        <v>77</v>
      </c>
      <c r="H2949" s="8" t="s">
        <v>31536</v>
      </c>
      <c r="I2949" s="8">
        <v>532.3125</v>
      </c>
      <c r="J2949" s="3">
        <f t="shared" si="46"/>
        <v>43748.661276666666</v>
      </c>
    </row>
    <row r="2950" spans="1:10" x14ac:dyDescent="0.25">
      <c r="A2950" s="5" t="s">
        <v>31537</v>
      </c>
      <c r="B2950" s="6">
        <v>393.75</v>
      </c>
      <c r="C2950" s="6">
        <v>20.478950000000001</v>
      </c>
      <c r="D2950" s="6">
        <v>70</v>
      </c>
      <c r="E2950" s="6">
        <v>0</v>
      </c>
      <c r="F2950" s="6">
        <v>0</v>
      </c>
      <c r="G2950" s="6">
        <v>80</v>
      </c>
      <c r="H2950" s="6" t="s">
        <v>31538</v>
      </c>
      <c r="I2950" s="6">
        <v>526.6875</v>
      </c>
      <c r="J2950" s="2">
        <f t="shared" si="46"/>
        <v>43748.661360115737</v>
      </c>
    </row>
    <row r="2951" spans="1:10" x14ac:dyDescent="0.25">
      <c r="A2951" s="7" t="s">
        <v>31539</v>
      </c>
      <c r="B2951" s="8">
        <v>393.75</v>
      </c>
      <c r="C2951" s="8">
        <v>20.531590000000001</v>
      </c>
      <c r="D2951" s="8">
        <v>69</v>
      </c>
      <c r="E2951" s="8">
        <v>0</v>
      </c>
      <c r="F2951" s="8">
        <v>0</v>
      </c>
      <c r="G2951" s="8">
        <v>82</v>
      </c>
      <c r="H2951" s="8" t="s">
        <v>31540</v>
      </c>
      <c r="I2951" s="8">
        <v>526.6875</v>
      </c>
      <c r="J2951" s="3">
        <f t="shared" si="46"/>
        <v>43748.661443680554</v>
      </c>
    </row>
    <row r="2952" spans="1:10" x14ac:dyDescent="0.25">
      <c r="A2952" s="5" t="s">
        <v>31541</v>
      </c>
      <c r="B2952" s="6">
        <v>393.75</v>
      </c>
      <c r="C2952" s="6">
        <v>20.531590000000001</v>
      </c>
      <c r="D2952" s="6">
        <v>70</v>
      </c>
      <c r="E2952" s="6">
        <v>0</v>
      </c>
      <c r="F2952" s="6">
        <v>0</v>
      </c>
      <c r="G2952" s="6">
        <v>79</v>
      </c>
      <c r="H2952" s="6" t="s">
        <v>31542</v>
      </c>
      <c r="I2952" s="6">
        <v>526.6875</v>
      </c>
      <c r="J2952" s="2">
        <f t="shared" si="46"/>
        <v>43748.661541331014</v>
      </c>
    </row>
    <row r="2953" spans="1:10" x14ac:dyDescent="0.25">
      <c r="A2953" s="7" t="s">
        <v>31543</v>
      </c>
      <c r="B2953" s="8">
        <v>393.75</v>
      </c>
      <c r="C2953" s="8">
        <v>20.584240000000001</v>
      </c>
      <c r="D2953" s="8">
        <v>70</v>
      </c>
      <c r="E2953" s="8">
        <v>0</v>
      </c>
      <c r="F2953" s="8">
        <v>0</v>
      </c>
      <c r="G2953" s="8">
        <v>81</v>
      </c>
      <c r="H2953" s="8" t="s">
        <v>31544</v>
      </c>
      <c r="I2953" s="8">
        <v>526.6875</v>
      </c>
      <c r="J2953" s="3">
        <f t="shared" si="46"/>
        <v>43748.661622662032</v>
      </c>
    </row>
    <row r="2954" spans="1:10" x14ac:dyDescent="0.25">
      <c r="A2954" s="5" t="s">
        <v>31545</v>
      </c>
      <c r="B2954" s="6">
        <v>393.75</v>
      </c>
      <c r="C2954" s="6">
        <v>20.478950000000001</v>
      </c>
      <c r="D2954" s="6">
        <v>70</v>
      </c>
      <c r="E2954" s="6">
        <v>0</v>
      </c>
      <c r="F2954" s="6">
        <v>0</v>
      </c>
      <c r="G2954" s="6">
        <v>82</v>
      </c>
      <c r="H2954" s="6" t="s">
        <v>31546</v>
      </c>
      <c r="I2954" s="6">
        <v>526.6875</v>
      </c>
      <c r="J2954" s="2">
        <f t="shared" si="46"/>
        <v>43748.66170611111</v>
      </c>
    </row>
    <row r="2955" spans="1:10" x14ac:dyDescent="0.25">
      <c r="A2955" s="7" t="s">
        <v>31547</v>
      </c>
      <c r="B2955" s="8">
        <v>393.75</v>
      </c>
      <c r="C2955" s="8">
        <v>20.478950000000001</v>
      </c>
      <c r="D2955" s="8">
        <v>69</v>
      </c>
      <c r="E2955" s="8">
        <v>0</v>
      </c>
      <c r="F2955" s="8">
        <v>0</v>
      </c>
      <c r="G2955" s="8">
        <v>83</v>
      </c>
      <c r="H2955" s="8" t="s">
        <v>31548</v>
      </c>
      <c r="I2955" s="8">
        <v>526.6875</v>
      </c>
      <c r="J2955" s="3">
        <f t="shared" si="46"/>
        <v>43748.661789803235</v>
      </c>
    </row>
    <row r="2956" spans="1:10" x14ac:dyDescent="0.25">
      <c r="A2956" s="5" t="s">
        <v>31549</v>
      </c>
      <c r="B2956" s="6">
        <v>393.75</v>
      </c>
      <c r="C2956" s="6">
        <v>20.478950000000001</v>
      </c>
      <c r="D2956" s="6">
        <v>70</v>
      </c>
      <c r="E2956" s="6">
        <v>0</v>
      </c>
      <c r="F2956" s="6">
        <v>0</v>
      </c>
      <c r="G2956" s="6">
        <v>82</v>
      </c>
      <c r="H2956" s="6" t="s">
        <v>31550</v>
      </c>
      <c r="I2956" s="6">
        <v>526.6875</v>
      </c>
      <c r="J2956" s="2">
        <f t="shared" si="46"/>
        <v>43748.661873124998</v>
      </c>
    </row>
    <row r="2957" spans="1:10" x14ac:dyDescent="0.25">
      <c r="A2957" s="7" t="s">
        <v>31551</v>
      </c>
      <c r="B2957" s="8">
        <v>393.75</v>
      </c>
      <c r="C2957" s="8">
        <v>20.478950000000001</v>
      </c>
      <c r="D2957" s="8">
        <v>73</v>
      </c>
      <c r="E2957" s="8">
        <v>0</v>
      </c>
      <c r="F2957" s="8">
        <v>0</v>
      </c>
      <c r="G2957" s="8">
        <v>84</v>
      </c>
      <c r="H2957" s="8" t="s">
        <v>31552</v>
      </c>
      <c r="I2957" s="8">
        <v>526.6875</v>
      </c>
      <c r="J2957" s="3">
        <f t="shared" si="46"/>
        <v>43748.661956469907</v>
      </c>
    </row>
    <row r="2958" spans="1:10" x14ac:dyDescent="0.25">
      <c r="A2958" s="5" t="s">
        <v>31553</v>
      </c>
      <c r="B2958" s="6">
        <v>393.75</v>
      </c>
      <c r="C2958" s="6">
        <v>20.478950000000001</v>
      </c>
      <c r="D2958" s="6">
        <v>72</v>
      </c>
      <c r="E2958" s="6">
        <v>0</v>
      </c>
      <c r="F2958" s="6">
        <v>0</v>
      </c>
      <c r="G2958" s="6">
        <v>74</v>
      </c>
      <c r="H2958" s="6" t="s">
        <v>31554</v>
      </c>
      <c r="I2958" s="6">
        <v>526.6875</v>
      </c>
      <c r="J2958" s="2">
        <f t="shared" si="46"/>
        <v>43748.66204002314</v>
      </c>
    </row>
    <row r="2959" spans="1:10" x14ac:dyDescent="0.25">
      <c r="A2959" s="7" t="s">
        <v>31555</v>
      </c>
      <c r="B2959" s="8">
        <v>393.75</v>
      </c>
      <c r="C2959" s="8">
        <v>20.478950000000001</v>
      </c>
      <c r="D2959" s="8">
        <v>73</v>
      </c>
      <c r="E2959" s="8">
        <v>0</v>
      </c>
      <c r="F2959" s="8">
        <v>0</v>
      </c>
      <c r="G2959" s="8">
        <v>81</v>
      </c>
      <c r="H2959" s="8" t="s">
        <v>31556</v>
      </c>
      <c r="I2959" s="8">
        <v>526.6875</v>
      </c>
      <c r="J2959" s="3">
        <f t="shared" si="46"/>
        <v>43748.66212325231</v>
      </c>
    </row>
    <row r="2960" spans="1:10" x14ac:dyDescent="0.25">
      <c r="A2960" s="5" t="s">
        <v>31557</v>
      </c>
      <c r="B2960" s="6">
        <v>393.75</v>
      </c>
      <c r="C2960" s="6">
        <v>20.478950000000001</v>
      </c>
      <c r="D2960" s="6">
        <v>73</v>
      </c>
      <c r="E2960" s="6">
        <v>0</v>
      </c>
      <c r="F2960" s="6">
        <v>0</v>
      </c>
      <c r="G2960" s="6">
        <v>92</v>
      </c>
      <c r="H2960" s="6" t="s">
        <v>31558</v>
      </c>
      <c r="I2960" s="6">
        <v>526.6875</v>
      </c>
      <c r="J2960" s="2">
        <f t="shared" si="46"/>
        <v>43748.662194907403</v>
      </c>
    </row>
    <row r="2961" spans="1:10" x14ac:dyDescent="0.25">
      <c r="A2961" s="7" t="s">
        <v>31559</v>
      </c>
      <c r="B2961" s="8">
        <v>393.75</v>
      </c>
      <c r="C2961" s="8">
        <v>20.478950000000001</v>
      </c>
      <c r="D2961" s="8">
        <v>72</v>
      </c>
      <c r="E2961" s="8">
        <v>0</v>
      </c>
      <c r="F2961" s="8">
        <v>0</v>
      </c>
      <c r="G2961" s="8">
        <v>81</v>
      </c>
      <c r="H2961" s="8" t="s">
        <v>31560</v>
      </c>
      <c r="I2961" s="8">
        <v>526.6875</v>
      </c>
      <c r="J2961" s="3">
        <f t="shared" si="46"/>
        <v>43748.662278680553</v>
      </c>
    </row>
    <row r="2962" spans="1:10" x14ac:dyDescent="0.25">
      <c r="A2962" s="5" t="s">
        <v>31561</v>
      </c>
      <c r="B2962" s="6">
        <v>393.75</v>
      </c>
      <c r="C2962" s="6">
        <v>20.531590000000001</v>
      </c>
      <c r="D2962" s="6">
        <v>72</v>
      </c>
      <c r="E2962" s="6">
        <v>0</v>
      </c>
      <c r="F2962" s="6">
        <v>0</v>
      </c>
      <c r="G2962" s="6">
        <v>80</v>
      </c>
      <c r="H2962" s="6" t="s">
        <v>31562</v>
      </c>
      <c r="I2962" s="6">
        <v>526.6875</v>
      </c>
      <c r="J2962" s="2">
        <f t="shared" si="46"/>
        <v>43748.662362013885</v>
      </c>
    </row>
    <row r="2963" spans="1:10" x14ac:dyDescent="0.25">
      <c r="A2963" s="7" t="s">
        <v>31563</v>
      </c>
      <c r="B2963" s="8">
        <v>393.75</v>
      </c>
      <c r="C2963" s="8">
        <v>20.531590000000001</v>
      </c>
      <c r="D2963" s="8">
        <v>70</v>
      </c>
      <c r="E2963" s="8">
        <v>0</v>
      </c>
      <c r="F2963" s="8">
        <v>0</v>
      </c>
      <c r="G2963" s="8">
        <v>82</v>
      </c>
      <c r="H2963" s="8" t="s">
        <v>31564</v>
      </c>
      <c r="I2963" s="8">
        <v>526.6875</v>
      </c>
      <c r="J2963" s="3">
        <f t="shared" si="46"/>
        <v>43748.662445451388</v>
      </c>
    </row>
    <row r="2964" spans="1:10" x14ac:dyDescent="0.25">
      <c r="A2964" s="5" t="s">
        <v>31565</v>
      </c>
      <c r="B2964" s="6">
        <v>393.75</v>
      </c>
      <c r="C2964" s="6">
        <v>20.531590000000001</v>
      </c>
      <c r="D2964" s="6">
        <v>70</v>
      </c>
      <c r="E2964" s="6">
        <v>0</v>
      </c>
      <c r="F2964" s="6">
        <v>0</v>
      </c>
      <c r="G2964" s="6">
        <v>83</v>
      </c>
      <c r="H2964" s="6" t="s">
        <v>31566</v>
      </c>
      <c r="I2964" s="6">
        <v>526.5</v>
      </c>
      <c r="J2964" s="2">
        <f t="shared" si="46"/>
        <v>43748.662517106481</v>
      </c>
    </row>
    <row r="2965" spans="1:10" x14ac:dyDescent="0.25">
      <c r="A2965" s="7" t="s">
        <v>31567</v>
      </c>
      <c r="B2965" s="8">
        <v>393.75</v>
      </c>
      <c r="C2965" s="8">
        <v>20.478950000000001</v>
      </c>
      <c r="D2965" s="8">
        <v>70</v>
      </c>
      <c r="E2965" s="8">
        <v>0</v>
      </c>
      <c r="F2965" s="8">
        <v>0</v>
      </c>
      <c r="G2965" s="8">
        <v>85</v>
      </c>
      <c r="H2965" s="8" t="s">
        <v>31568</v>
      </c>
      <c r="I2965" s="8">
        <v>526.6875</v>
      </c>
      <c r="J2965" s="3">
        <f t="shared" si="46"/>
        <v>43748.662600555552</v>
      </c>
    </row>
    <row r="2966" spans="1:10" x14ac:dyDescent="0.25">
      <c r="A2966" s="5" t="s">
        <v>31569</v>
      </c>
      <c r="B2966" s="6">
        <v>412.5</v>
      </c>
      <c r="C2966" s="6">
        <v>20.531590000000001</v>
      </c>
      <c r="D2966" s="6">
        <v>70</v>
      </c>
      <c r="E2966" s="6">
        <v>0</v>
      </c>
      <c r="F2966" s="6">
        <v>0</v>
      </c>
      <c r="G2966" s="6">
        <v>75</v>
      </c>
      <c r="H2966" s="6" t="s">
        <v>31570</v>
      </c>
      <c r="I2966" s="6">
        <v>532.3125</v>
      </c>
      <c r="J2966" s="2">
        <f t="shared" si="46"/>
        <v>43748.662684131945</v>
      </c>
    </row>
    <row r="2967" spans="1:10" x14ac:dyDescent="0.25">
      <c r="A2967" s="7" t="s">
        <v>31571</v>
      </c>
      <c r="B2967" s="8">
        <v>393.75</v>
      </c>
      <c r="C2967" s="8">
        <v>20.531590000000001</v>
      </c>
      <c r="D2967" s="8">
        <v>71</v>
      </c>
      <c r="E2967" s="8">
        <v>0</v>
      </c>
      <c r="F2967" s="8">
        <v>0</v>
      </c>
      <c r="G2967" s="8">
        <v>80</v>
      </c>
      <c r="H2967" s="8" t="s">
        <v>31572</v>
      </c>
      <c r="I2967" s="8">
        <v>526.6875</v>
      </c>
      <c r="J2967" s="3">
        <f t="shared" si="46"/>
        <v>43748.66276756944</v>
      </c>
    </row>
    <row r="2968" spans="1:10" x14ac:dyDescent="0.25">
      <c r="A2968" s="5" t="s">
        <v>31573</v>
      </c>
      <c r="B2968" s="6">
        <v>393.75</v>
      </c>
      <c r="C2968" s="6">
        <v>20.531590000000001</v>
      </c>
      <c r="D2968" s="6">
        <v>71</v>
      </c>
      <c r="E2968" s="6">
        <v>0</v>
      </c>
      <c r="F2968" s="6">
        <v>0</v>
      </c>
      <c r="G2968" s="6">
        <v>84</v>
      </c>
      <c r="H2968" s="6" t="s">
        <v>31574</v>
      </c>
      <c r="I2968" s="6">
        <v>526.6875</v>
      </c>
      <c r="J2968" s="2">
        <f t="shared" si="46"/>
        <v>43748.662851134257</v>
      </c>
    </row>
    <row r="2969" spans="1:10" x14ac:dyDescent="0.25">
      <c r="A2969" s="7" t="s">
        <v>31575</v>
      </c>
      <c r="B2969" s="8">
        <v>393.75</v>
      </c>
      <c r="C2969" s="8">
        <v>20.478950000000001</v>
      </c>
      <c r="D2969" s="8">
        <v>71</v>
      </c>
      <c r="E2969" s="8">
        <v>0</v>
      </c>
      <c r="F2969" s="8">
        <v>0</v>
      </c>
      <c r="G2969" s="8">
        <v>77</v>
      </c>
      <c r="H2969" s="8" t="s">
        <v>31576</v>
      </c>
      <c r="I2969" s="8">
        <v>526.6875</v>
      </c>
      <c r="J2969" s="3">
        <f t="shared" si="46"/>
        <v>43748.662934247688</v>
      </c>
    </row>
    <row r="2970" spans="1:10" x14ac:dyDescent="0.25">
      <c r="A2970" s="5" t="s">
        <v>31577</v>
      </c>
      <c r="B2970" s="6">
        <v>393.75</v>
      </c>
      <c r="C2970" s="6">
        <v>20.531590000000001</v>
      </c>
      <c r="D2970" s="6">
        <v>71</v>
      </c>
      <c r="E2970" s="6">
        <v>0</v>
      </c>
      <c r="F2970" s="6">
        <v>0</v>
      </c>
      <c r="G2970" s="6">
        <v>80</v>
      </c>
      <c r="H2970" s="6" t="s">
        <v>31578</v>
      </c>
      <c r="I2970" s="6">
        <v>526.6875</v>
      </c>
      <c r="J2970" s="2">
        <f t="shared" si="46"/>
        <v>43748.663005891205</v>
      </c>
    </row>
    <row r="2971" spans="1:10" x14ac:dyDescent="0.25">
      <c r="A2971" s="7" t="s">
        <v>31579</v>
      </c>
      <c r="B2971" s="8">
        <v>393.75</v>
      </c>
      <c r="C2971" s="8">
        <v>20.531590000000001</v>
      </c>
      <c r="D2971" s="8">
        <v>73</v>
      </c>
      <c r="E2971" s="8">
        <v>0</v>
      </c>
      <c r="F2971" s="8">
        <v>0</v>
      </c>
      <c r="G2971" s="8">
        <v>80</v>
      </c>
      <c r="H2971" s="8" t="s">
        <v>31580</v>
      </c>
      <c r="I2971" s="8">
        <v>526.5</v>
      </c>
      <c r="J2971" s="3">
        <f t="shared" si="46"/>
        <v>43748.663089791669</v>
      </c>
    </row>
    <row r="2972" spans="1:10" x14ac:dyDescent="0.25">
      <c r="A2972" s="5" t="s">
        <v>31581</v>
      </c>
      <c r="B2972" s="6">
        <v>393.75</v>
      </c>
      <c r="C2972" s="6">
        <v>20.531590000000001</v>
      </c>
      <c r="D2972" s="6">
        <v>72</v>
      </c>
      <c r="E2972" s="6">
        <v>0</v>
      </c>
      <c r="F2972" s="6">
        <v>0</v>
      </c>
      <c r="G2972" s="6">
        <v>91</v>
      </c>
      <c r="H2972" s="6" t="s">
        <v>31582</v>
      </c>
      <c r="I2972" s="6">
        <v>526.6875</v>
      </c>
      <c r="J2972" s="2">
        <f t="shared" si="46"/>
        <v>43748.663173125002</v>
      </c>
    </row>
    <row r="2973" spans="1:10" x14ac:dyDescent="0.25">
      <c r="A2973" s="7" t="s">
        <v>31583</v>
      </c>
      <c r="B2973" s="8">
        <v>393.75</v>
      </c>
      <c r="C2973" s="8">
        <v>20.531590000000001</v>
      </c>
      <c r="D2973" s="8">
        <v>73</v>
      </c>
      <c r="E2973" s="8">
        <v>0</v>
      </c>
      <c r="F2973" s="8">
        <v>0</v>
      </c>
      <c r="G2973" s="8">
        <v>77</v>
      </c>
      <c r="H2973" s="8" t="s">
        <v>31584</v>
      </c>
      <c r="I2973" s="8">
        <v>526.6875</v>
      </c>
      <c r="J2973" s="3">
        <f t="shared" si="46"/>
        <v>43748.663256481479</v>
      </c>
    </row>
    <row r="2974" spans="1:10" x14ac:dyDescent="0.25">
      <c r="A2974" s="5" t="s">
        <v>31585</v>
      </c>
      <c r="B2974" s="6">
        <v>393.75</v>
      </c>
      <c r="C2974" s="6">
        <v>20.584240000000001</v>
      </c>
      <c r="D2974" s="6">
        <v>73</v>
      </c>
      <c r="E2974" s="6">
        <v>0</v>
      </c>
      <c r="F2974" s="6">
        <v>0</v>
      </c>
      <c r="G2974" s="6">
        <v>79</v>
      </c>
      <c r="H2974" s="6" t="s">
        <v>31586</v>
      </c>
      <c r="I2974" s="6">
        <v>526.6875</v>
      </c>
      <c r="J2974" s="2">
        <f t="shared" si="46"/>
        <v>43748.663335972218</v>
      </c>
    </row>
    <row r="2975" spans="1:10" x14ac:dyDescent="0.25">
      <c r="A2975" s="7" t="s">
        <v>31587</v>
      </c>
      <c r="B2975" s="8">
        <v>393.75</v>
      </c>
      <c r="C2975" s="8">
        <v>20.531590000000001</v>
      </c>
      <c r="D2975" s="8">
        <v>73</v>
      </c>
      <c r="E2975" s="8">
        <v>0</v>
      </c>
      <c r="F2975" s="8">
        <v>0</v>
      </c>
      <c r="G2975" s="8">
        <v>82</v>
      </c>
      <c r="H2975" s="8" t="s">
        <v>31588</v>
      </c>
      <c r="I2975" s="8">
        <v>526.6875</v>
      </c>
      <c r="J2975" s="3">
        <f t="shared" si="46"/>
        <v>43748.663411689813</v>
      </c>
    </row>
    <row r="2976" spans="1:10" x14ac:dyDescent="0.25">
      <c r="A2976" s="5" t="s">
        <v>31589</v>
      </c>
      <c r="B2976" s="6">
        <v>393.75</v>
      </c>
      <c r="C2976" s="6">
        <v>20.531590000000001</v>
      </c>
      <c r="D2976" s="6">
        <v>72</v>
      </c>
      <c r="E2976" s="6">
        <v>0</v>
      </c>
      <c r="F2976" s="6">
        <v>0</v>
      </c>
      <c r="G2976" s="6">
        <v>80</v>
      </c>
      <c r="H2976" s="6" t="s">
        <v>31590</v>
      </c>
      <c r="I2976" s="6">
        <v>526.6875</v>
      </c>
      <c r="J2976" s="2">
        <f t="shared" si="46"/>
        <v>43748.663483414348</v>
      </c>
    </row>
    <row r="2977" spans="1:10" x14ac:dyDescent="0.25">
      <c r="A2977" s="7" t="s">
        <v>31591</v>
      </c>
      <c r="B2977" s="8">
        <v>393.75</v>
      </c>
      <c r="C2977" s="8">
        <v>20.584240000000001</v>
      </c>
      <c r="D2977" s="8">
        <v>69</v>
      </c>
      <c r="E2977" s="8">
        <v>0</v>
      </c>
      <c r="F2977" s="8">
        <v>0</v>
      </c>
      <c r="G2977" s="8">
        <v>81</v>
      </c>
      <c r="H2977" s="8" t="s">
        <v>31592</v>
      </c>
      <c r="I2977" s="8">
        <v>526.6875</v>
      </c>
      <c r="J2977" s="3">
        <f t="shared" si="46"/>
        <v>43748.663577546293</v>
      </c>
    </row>
    <row r="2978" spans="1:10" x14ac:dyDescent="0.25">
      <c r="A2978" s="5" t="s">
        <v>31593</v>
      </c>
      <c r="B2978" s="6">
        <v>393.75</v>
      </c>
      <c r="C2978" s="6">
        <v>20.531590000000001</v>
      </c>
      <c r="D2978" s="6">
        <v>71</v>
      </c>
      <c r="E2978" s="6">
        <v>0</v>
      </c>
      <c r="F2978" s="6">
        <v>0</v>
      </c>
      <c r="G2978" s="6">
        <v>83</v>
      </c>
      <c r="H2978" s="6" t="s">
        <v>31594</v>
      </c>
      <c r="I2978" s="6">
        <v>526.5</v>
      </c>
      <c r="J2978" s="2">
        <f t="shared" si="46"/>
        <v>43748.663662129627</v>
      </c>
    </row>
    <row r="2979" spans="1:10" x14ac:dyDescent="0.25">
      <c r="A2979" s="7" t="s">
        <v>31595</v>
      </c>
      <c r="B2979" s="8">
        <v>393.75</v>
      </c>
      <c r="C2979" s="8">
        <v>20.531590000000001</v>
      </c>
      <c r="D2979" s="8">
        <v>70</v>
      </c>
      <c r="E2979" s="8">
        <v>0</v>
      </c>
      <c r="F2979" s="8">
        <v>0</v>
      </c>
      <c r="G2979" s="8">
        <v>83</v>
      </c>
      <c r="H2979" s="8" t="s">
        <v>31596</v>
      </c>
      <c r="I2979" s="8">
        <v>526.6875</v>
      </c>
      <c r="J2979" s="3">
        <f t="shared" si="46"/>
        <v>43748.663745347221</v>
      </c>
    </row>
    <row r="2980" spans="1:10" x14ac:dyDescent="0.25">
      <c r="A2980" s="5" t="s">
        <v>31597</v>
      </c>
      <c r="B2980" s="6">
        <v>393.75</v>
      </c>
      <c r="C2980" s="6">
        <v>20.478950000000001</v>
      </c>
      <c r="D2980" s="6">
        <v>65</v>
      </c>
      <c r="E2980" s="6">
        <v>0</v>
      </c>
      <c r="F2980" s="6">
        <v>0</v>
      </c>
      <c r="G2980" s="6">
        <v>89</v>
      </c>
      <c r="H2980" s="6" t="s">
        <v>31598</v>
      </c>
      <c r="I2980" s="6">
        <v>526.6875</v>
      </c>
      <c r="J2980" s="2">
        <f t="shared" si="46"/>
        <v>43748.663817094908</v>
      </c>
    </row>
    <row r="2981" spans="1:10" x14ac:dyDescent="0.25">
      <c r="A2981" s="7" t="s">
        <v>31599</v>
      </c>
      <c r="B2981" s="8">
        <v>393.75</v>
      </c>
      <c r="C2981" s="8">
        <v>20.531590000000001</v>
      </c>
      <c r="D2981" s="8">
        <v>66</v>
      </c>
      <c r="E2981" s="8">
        <v>0</v>
      </c>
      <c r="F2981" s="8">
        <v>0</v>
      </c>
      <c r="G2981" s="8">
        <v>84</v>
      </c>
      <c r="H2981" s="8" t="s">
        <v>31600</v>
      </c>
      <c r="I2981" s="8">
        <v>526.6875</v>
      </c>
      <c r="J2981" s="3">
        <f t="shared" si="46"/>
        <v>43748.66390068287</v>
      </c>
    </row>
    <row r="2982" spans="1:10" x14ac:dyDescent="0.25">
      <c r="A2982" s="5" t="s">
        <v>31601</v>
      </c>
      <c r="B2982" s="6">
        <v>393.75</v>
      </c>
      <c r="C2982" s="6">
        <v>20.478950000000001</v>
      </c>
      <c r="D2982" s="6">
        <v>67</v>
      </c>
      <c r="E2982" s="6">
        <v>0</v>
      </c>
      <c r="F2982" s="6">
        <v>0</v>
      </c>
      <c r="G2982" s="6">
        <v>88</v>
      </c>
      <c r="H2982" s="6" t="s">
        <v>31602</v>
      </c>
      <c r="I2982" s="6">
        <v>526.6875</v>
      </c>
      <c r="J2982" s="2">
        <f t="shared" si="46"/>
        <v>43748.66398435185</v>
      </c>
    </row>
    <row r="2983" spans="1:10" x14ac:dyDescent="0.25">
      <c r="A2983" s="7" t="s">
        <v>31603</v>
      </c>
      <c r="B2983" s="8">
        <v>393.75</v>
      </c>
      <c r="C2983" s="8">
        <v>20.531590000000001</v>
      </c>
      <c r="D2983" s="8">
        <v>68</v>
      </c>
      <c r="E2983" s="8">
        <v>0</v>
      </c>
      <c r="F2983" s="8">
        <v>0</v>
      </c>
      <c r="G2983" s="8">
        <v>79</v>
      </c>
      <c r="H2983" s="8" t="s">
        <v>31604</v>
      </c>
      <c r="I2983" s="8">
        <v>526.6875</v>
      </c>
      <c r="J2983" s="3">
        <f t="shared" si="46"/>
        <v>43748.664067569443</v>
      </c>
    </row>
    <row r="2984" spans="1:10" x14ac:dyDescent="0.25">
      <c r="A2984" s="5" t="s">
        <v>31605</v>
      </c>
      <c r="B2984" s="6">
        <v>393.75</v>
      </c>
      <c r="C2984" s="6">
        <v>20.478950000000001</v>
      </c>
      <c r="D2984" s="6">
        <v>68</v>
      </c>
      <c r="E2984" s="6">
        <v>0</v>
      </c>
      <c r="F2984" s="6">
        <v>0</v>
      </c>
      <c r="G2984" s="6">
        <v>84</v>
      </c>
      <c r="H2984" s="6" t="s">
        <v>31606</v>
      </c>
      <c r="I2984" s="6">
        <v>526.6875</v>
      </c>
      <c r="J2984" s="2">
        <f t="shared" si="46"/>
        <v>43748.664151145829</v>
      </c>
    </row>
    <row r="2985" spans="1:10" x14ac:dyDescent="0.25">
      <c r="A2985" s="7" t="s">
        <v>31607</v>
      </c>
      <c r="B2985" s="8">
        <v>393.75</v>
      </c>
      <c r="C2985" s="8">
        <v>20.531590000000001</v>
      </c>
      <c r="D2985" s="8">
        <v>68</v>
      </c>
      <c r="E2985" s="8">
        <v>0</v>
      </c>
      <c r="F2985" s="8">
        <v>0</v>
      </c>
      <c r="G2985" s="8">
        <v>83</v>
      </c>
      <c r="H2985" s="8" t="s">
        <v>31608</v>
      </c>
      <c r="I2985" s="8">
        <v>526.6875</v>
      </c>
      <c r="J2985" s="3">
        <f t="shared" si="46"/>
        <v>43748.664234363423</v>
      </c>
    </row>
    <row r="2986" spans="1:10" x14ac:dyDescent="0.25">
      <c r="A2986" s="5" t="s">
        <v>31609</v>
      </c>
      <c r="B2986" s="6">
        <v>393.75</v>
      </c>
      <c r="C2986" s="6">
        <v>20.531590000000001</v>
      </c>
      <c r="D2986" s="6">
        <v>69</v>
      </c>
      <c r="E2986" s="6">
        <v>0</v>
      </c>
      <c r="F2986" s="6">
        <v>0</v>
      </c>
      <c r="G2986" s="6">
        <v>82</v>
      </c>
      <c r="H2986" s="6" t="s">
        <v>31610</v>
      </c>
      <c r="I2986" s="6">
        <v>526.6875</v>
      </c>
      <c r="J2986" s="2">
        <f t="shared" si="46"/>
        <v>43748.664330081017</v>
      </c>
    </row>
    <row r="2987" spans="1:10" x14ac:dyDescent="0.25">
      <c r="A2987" s="7" t="s">
        <v>31611</v>
      </c>
      <c r="B2987" s="8">
        <v>393.75</v>
      </c>
      <c r="C2987" s="8">
        <v>20.531590000000001</v>
      </c>
      <c r="D2987" s="8">
        <v>69</v>
      </c>
      <c r="E2987" s="8">
        <v>0</v>
      </c>
      <c r="F2987" s="8">
        <v>0</v>
      </c>
      <c r="G2987" s="8">
        <v>82</v>
      </c>
      <c r="H2987" s="8" t="s">
        <v>31612</v>
      </c>
      <c r="I2987" s="8">
        <v>526.6875</v>
      </c>
      <c r="J2987" s="3">
        <f t="shared" si="46"/>
        <v>43748.664415613421</v>
      </c>
    </row>
    <row r="2988" spans="1:10" x14ac:dyDescent="0.25">
      <c r="A2988" s="5" t="s">
        <v>31613</v>
      </c>
      <c r="B2988" s="6">
        <v>393.75</v>
      </c>
      <c r="C2988" s="6">
        <v>20.531590000000001</v>
      </c>
      <c r="D2988" s="6">
        <v>69</v>
      </c>
      <c r="E2988" s="6">
        <v>0</v>
      </c>
      <c r="F2988" s="6">
        <v>0</v>
      </c>
      <c r="G2988" s="6">
        <v>82</v>
      </c>
      <c r="H2988" s="6" t="s">
        <v>31614</v>
      </c>
      <c r="I2988" s="6">
        <v>526.6875</v>
      </c>
      <c r="J2988" s="2">
        <f t="shared" si="46"/>
        <v>43748.66449722222</v>
      </c>
    </row>
    <row r="2989" spans="1:10" x14ac:dyDescent="0.25">
      <c r="A2989" s="7" t="s">
        <v>31615</v>
      </c>
      <c r="B2989" s="8">
        <v>393.75</v>
      </c>
      <c r="C2989" s="8">
        <v>20.478950000000001</v>
      </c>
      <c r="D2989" s="8">
        <v>70</v>
      </c>
      <c r="E2989" s="8">
        <v>0</v>
      </c>
      <c r="F2989" s="8">
        <v>0</v>
      </c>
      <c r="G2989" s="8">
        <v>84</v>
      </c>
      <c r="H2989" s="8" t="s">
        <v>31616</v>
      </c>
      <c r="I2989" s="8">
        <v>526.6875</v>
      </c>
      <c r="J2989" s="3">
        <f t="shared" si="46"/>
        <v>43748.664580543984</v>
      </c>
    </row>
    <row r="2990" spans="1:10" x14ac:dyDescent="0.25">
      <c r="A2990" s="5" t="s">
        <v>31617</v>
      </c>
      <c r="B2990" s="6">
        <v>393.75</v>
      </c>
      <c r="C2990" s="6">
        <v>20.531590000000001</v>
      </c>
      <c r="D2990" s="6">
        <v>72</v>
      </c>
      <c r="E2990" s="6">
        <v>0</v>
      </c>
      <c r="F2990" s="6">
        <v>0</v>
      </c>
      <c r="G2990" s="6">
        <v>84</v>
      </c>
      <c r="H2990" s="6" t="s">
        <v>31618</v>
      </c>
      <c r="I2990" s="6">
        <v>526.6875</v>
      </c>
      <c r="J2990" s="2">
        <f t="shared" si="46"/>
        <v>43748.664663888885</v>
      </c>
    </row>
    <row r="2991" spans="1:10" x14ac:dyDescent="0.25">
      <c r="A2991" s="7" t="s">
        <v>31619</v>
      </c>
      <c r="B2991" s="8">
        <v>393.75</v>
      </c>
      <c r="C2991" s="8">
        <v>20.584240000000001</v>
      </c>
      <c r="D2991" s="8">
        <v>72</v>
      </c>
      <c r="E2991" s="8">
        <v>0</v>
      </c>
      <c r="F2991" s="8">
        <v>0</v>
      </c>
      <c r="G2991" s="8">
        <v>83</v>
      </c>
      <c r="H2991" s="8" t="s">
        <v>31620</v>
      </c>
      <c r="I2991" s="8">
        <v>526.6875</v>
      </c>
      <c r="J2991" s="3">
        <f t="shared" si="46"/>
        <v>43748.664747442126</v>
      </c>
    </row>
    <row r="2992" spans="1:10" x14ac:dyDescent="0.25">
      <c r="A2992" s="5" t="s">
        <v>31621</v>
      </c>
      <c r="B2992" s="6">
        <v>393.75</v>
      </c>
      <c r="C2992" s="6">
        <v>20.531590000000001</v>
      </c>
      <c r="D2992" s="6">
        <v>73</v>
      </c>
      <c r="E2992" s="6">
        <v>0</v>
      </c>
      <c r="F2992" s="6">
        <v>0</v>
      </c>
      <c r="G2992" s="6">
        <v>91</v>
      </c>
      <c r="H2992" s="6" t="s">
        <v>31622</v>
      </c>
      <c r="I2992" s="6">
        <v>526.6875</v>
      </c>
      <c r="J2992" s="2">
        <f t="shared" si="46"/>
        <v>43748.664830694441</v>
      </c>
    </row>
    <row r="2993" spans="1:10" x14ac:dyDescent="0.25">
      <c r="A2993" s="7" t="s">
        <v>31623</v>
      </c>
      <c r="B2993" s="8">
        <v>393.75</v>
      </c>
      <c r="C2993" s="8">
        <v>20.531590000000001</v>
      </c>
      <c r="D2993" s="8">
        <v>73</v>
      </c>
      <c r="E2993" s="8">
        <v>0</v>
      </c>
      <c r="F2993" s="8">
        <v>0</v>
      </c>
      <c r="G2993" s="8">
        <v>77</v>
      </c>
      <c r="H2993" s="8" t="s">
        <v>31624</v>
      </c>
      <c r="I2993" s="8">
        <v>526.6875</v>
      </c>
      <c r="J2993" s="3">
        <f t="shared" si="46"/>
        <v>43748.664902187498</v>
      </c>
    </row>
    <row r="2994" spans="1:10" x14ac:dyDescent="0.25">
      <c r="A2994" s="5" t="s">
        <v>31625</v>
      </c>
      <c r="B2994" s="6">
        <v>393.75</v>
      </c>
      <c r="C2994" s="6">
        <v>20.478950000000001</v>
      </c>
      <c r="D2994" s="6">
        <v>69</v>
      </c>
      <c r="E2994" s="6">
        <v>0</v>
      </c>
      <c r="F2994" s="6">
        <v>0</v>
      </c>
      <c r="G2994" s="6">
        <v>86</v>
      </c>
      <c r="H2994" s="6" t="s">
        <v>31626</v>
      </c>
      <c r="I2994" s="6">
        <v>526.6875</v>
      </c>
      <c r="J2994" s="2">
        <f t="shared" si="46"/>
        <v>43748.664986111107</v>
      </c>
    </row>
    <row r="2995" spans="1:10" x14ac:dyDescent="0.25">
      <c r="A2995" s="7" t="s">
        <v>31627</v>
      </c>
      <c r="B2995" s="8">
        <v>412.5</v>
      </c>
      <c r="C2995" s="8">
        <v>20.478950000000001</v>
      </c>
      <c r="D2995" s="8">
        <v>70</v>
      </c>
      <c r="E2995" s="8">
        <v>0</v>
      </c>
      <c r="F2995" s="8">
        <v>0</v>
      </c>
      <c r="G2995" s="8">
        <v>83</v>
      </c>
      <c r="H2995" s="8" t="s">
        <v>31628</v>
      </c>
      <c r="I2995" s="8">
        <v>532.5</v>
      </c>
      <c r="J2995" s="3">
        <f t="shared" si="46"/>
        <v>43748.665073634256</v>
      </c>
    </row>
    <row r="2996" spans="1:10" x14ac:dyDescent="0.25">
      <c r="A2996" s="5" t="s">
        <v>31629</v>
      </c>
      <c r="B2996" s="6">
        <v>393.75</v>
      </c>
      <c r="C2996" s="6">
        <v>20.531590000000001</v>
      </c>
      <c r="D2996" s="6">
        <v>75</v>
      </c>
      <c r="E2996" s="6">
        <v>0</v>
      </c>
      <c r="F2996" s="6">
        <v>0</v>
      </c>
      <c r="G2996" s="6">
        <v>84</v>
      </c>
      <c r="H2996" s="6" t="s">
        <v>31630</v>
      </c>
      <c r="I2996" s="6">
        <v>526.6875</v>
      </c>
      <c r="J2996" s="2">
        <f t="shared" si="46"/>
        <v>43748.665152777779</v>
      </c>
    </row>
    <row r="2997" spans="1:10" x14ac:dyDescent="0.25">
      <c r="A2997" s="7" t="s">
        <v>31631</v>
      </c>
      <c r="B2997" s="8">
        <v>393.75</v>
      </c>
      <c r="C2997" s="8">
        <v>20.478950000000001</v>
      </c>
      <c r="D2997" s="8">
        <v>75</v>
      </c>
      <c r="E2997" s="8">
        <v>0</v>
      </c>
      <c r="F2997" s="8">
        <v>0</v>
      </c>
      <c r="G2997" s="8">
        <v>83</v>
      </c>
      <c r="H2997" s="8" t="s">
        <v>31632</v>
      </c>
      <c r="I2997" s="8">
        <v>526.6875</v>
      </c>
      <c r="J2997" s="3">
        <f t="shared" si="46"/>
        <v>43748.665224398144</v>
      </c>
    </row>
    <row r="2998" spans="1:10" x14ac:dyDescent="0.25">
      <c r="A2998" s="5" t="s">
        <v>31633</v>
      </c>
      <c r="B2998" s="6">
        <v>393.75</v>
      </c>
      <c r="C2998" s="6">
        <v>20.478950000000001</v>
      </c>
      <c r="D2998" s="6">
        <v>76</v>
      </c>
      <c r="E2998" s="6">
        <v>0</v>
      </c>
      <c r="F2998" s="6">
        <v>0</v>
      </c>
      <c r="G2998" s="6">
        <v>91</v>
      </c>
      <c r="H2998" s="6" t="s">
        <v>31634</v>
      </c>
      <c r="I2998" s="6">
        <v>526.6875</v>
      </c>
      <c r="J2998" s="2">
        <f t="shared" si="46"/>
        <v>43748.665308090276</v>
      </c>
    </row>
    <row r="2999" spans="1:10" x14ac:dyDescent="0.25">
      <c r="A2999" s="7" t="s">
        <v>31635</v>
      </c>
      <c r="B2999" s="8">
        <v>393.75</v>
      </c>
      <c r="C2999" s="8">
        <v>20.531590000000001</v>
      </c>
      <c r="D2999" s="8">
        <v>75</v>
      </c>
      <c r="E2999" s="8">
        <v>0</v>
      </c>
      <c r="F2999" s="8">
        <v>0</v>
      </c>
      <c r="G2999" s="8">
        <v>85</v>
      </c>
      <c r="H2999" s="8" t="s">
        <v>31636</v>
      </c>
      <c r="I2999" s="8">
        <v>526.6875</v>
      </c>
      <c r="J2999" s="3">
        <f t="shared" si="46"/>
        <v>43748.665391655093</v>
      </c>
    </row>
    <row r="3000" spans="1:10" x14ac:dyDescent="0.25">
      <c r="A3000" s="5" t="s">
        <v>31637</v>
      </c>
      <c r="B3000" s="6">
        <v>393.75</v>
      </c>
      <c r="C3000" s="6">
        <v>20.531590000000001</v>
      </c>
      <c r="D3000" s="6">
        <v>74</v>
      </c>
      <c r="E3000" s="6">
        <v>0</v>
      </c>
      <c r="F3000" s="6">
        <v>0</v>
      </c>
      <c r="G3000" s="6">
        <v>78</v>
      </c>
      <c r="H3000" s="6" t="s">
        <v>31638</v>
      </c>
      <c r="I3000" s="6">
        <v>526.6875</v>
      </c>
      <c r="J3000" s="2">
        <f t="shared" si="46"/>
        <v>43748.665487025464</v>
      </c>
    </row>
    <row r="3001" spans="1:10" x14ac:dyDescent="0.25">
      <c r="A3001" s="7" t="s">
        <v>31639</v>
      </c>
      <c r="B3001" s="8">
        <v>393.75</v>
      </c>
      <c r="C3001" s="8">
        <v>20.531590000000001</v>
      </c>
      <c r="D3001" s="8">
        <v>75</v>
      </c>
      <c r="E3001" s="8">
        <v>0</v>
      </c>
      <c r="F3001" s="8">
        <v>0</v>
      </c>
      <c r="G3001" s="8">
        <v>78</v>
      </c>
      <c r="H3001" s="8" t="s">
        <v>31640</v>
      </c>
      <c r="I3001" s="8">
        <v>526.6875</v>
      </c>
      <c r="J3001" s="3">
        <f t="shared" si="46"/>
        <v>43748.665558541667</v>
      </c>
    </row>
    <row r="3002" spans="1:10" x14ac:dyDescent="0.25">
      <c r="A3002" s="5" t="s">
        <v>31641</v>
      </c>
      <c r="B3002" s="6">
        <v>393.75</v>
      </c>
      <c r="C3002" s="6">
        <v>20.531590000000001</v>
      </c>
      <c r="D3002" s="6">
        <v>75</v>
      </c>
      <c r="E3002" s="6">
        <v>0</v>
      </c>
      <c r="F3002" s="6">
        <v>0</v>
      </c>
      <c r="G3002" s="6">
        <v>82</v>
      </c>
      <c r="H3002" s="6" t="s">
        <v>31642</v>
      </c>
      <c r="I3002" s="6">
        <v>526.6875</v>
      </c>
      <c r="J3002" s="2">
        <f t="shared" si="46"/>
        <v>43748.66564165509</v>
      </c>
    </row>
    <row r="3003" spans="1:10" x14ac:dyDescent="0.25">
      <c r="A3003" s="7" t="s">
        <v>31643</v>
      </c>
      <c r="B3003" s="8">
        <v>393.75</v>
      </c>
      <c r="C3003" s="8">
        <v>20.478950000000001</v>
      </c>
      <c r="D3003" s="8">
        <v>75</v>
      </c>
      <c r="E3003" s="8">
        <v>0</v>
      </c>
      <c r="F3003" s="8">
        <v>0</v>
      </c>
      <c r="G3003" s="8">
        <v>90</v>
      </c>
      <c r="H3003" s="8" t="s">
        <v>31644</v>
      </c>
      <c r="I3003" s="8">
        <v>526.6875</v>
      </c>
      <c r="J3003" s="3">
        <f t="shared" si="46"/>
        <v>43748.665713414353</v>
      </c>
    </row>
    <row r="3004" spans="1:10" x14ac:dyDescent="0.25">
      <c r="A3004" s="5" t="s">
        <v>31645</v>
      </c>
      <c r="B3004" s="6">
        <v>393.75</v>
      </c>
      <c r="C3004" s="6">
        <v>20.478950000000001</v>
      </c>
      <c r="D3004" s="6">
        <v>76</v>
      </c>
      <c r="E3004" s="6">
        <v>0</v>
      </c>
      <c r="F3004" s="6">
        <v>0</v>
      </c>
      <c r="G3004" s="6">
        <v>91</v>
      </c>
      <c r="H3004" s="6" t="s">
        <v>31646</v>
      </c>
      <c r="I3004" s="6">
        <v>526.6875</v>
      </c>
      <c r="J3004" s="2">
        <f t="shared" si="46"/>
        <v>43748.665808668979</v>
      </c>
    </row>
    <row r="3005" spans="1:10" x14ac:dyDescent="0.25">
      <c r="A3005" s="7" t="s">
        <v>31647</v>
      </c>
      <c r="B3005" s="8">
        <v>393.75</v>
      </c>
      <c r="C3005" s="8">
        <v>20.478950000000001</v>
      </c>
      <c r="D3005" s="8">
        <v>75</v>
      </c>
      <c r="E3005" s="8">
        <v>0</v>
      </c>
      <c r="F3005" s="8">
        <v>0</v>
      </c>
      <c r="G3005" s="8">
        <v>88</v>
      </c>
      <c r="H3005" s="8" t="s">
        <v>31648</v>
      </c>
      <c r="I3005" s="8">
        <v>526.6875</v>
      </c>
      <c r="J3005" s="3">
        <f t="shared" si="46"/>
        <v>43748.66588054398</v>
      </c>
    </row>
    <row r="3006" spans="1:10" x14ac:dyDescent="0.25">
      <c r="A3006" s="5" t="s">
        <v>31649</v>
      </c>
      <c r="B3006" s="6">
        <v>393.75</v>
      </c>
      <c r="C3006" s="6">
        <v>20.531590000000001</v>
      </c>
      <c r="D3006" s="6">
        <v>75</v>
      </c>
      <c r="E3006" s="6">
        <v>0</v>
      </c>
      <c r="F3006" s="6">
        <v>0</v>
      </c>
      <c r="G3006" s="6">
        <v>92</v>
      </c>
      <c r="H3006" s="6" t="s">
        <v>31650</v>
      </c>
      <c r="I3006" s="6">
        <v>526.6875</v>
      </c>
      <c r="J3006" s="2">
        <f t="shared" si="46"/>
        <v>43748.665963877313</v>
      </c>
    </row>
    <row r="3007" spans="1:10" x14ac:dyDescent="0.25">
      <c r="A3007" s="7" t="s">
        <v>31651</v>
      </c>
      <c r="B3007" s="8">
        <v>393.75</v>
      </c>
      <c r="C3007" s="8">
        <v>20.478950000000001</v>
      </c>
      <c r="D3007" s="8">
        <v>75</v>
      </c>
      <c r="E3007" s="8">
        <v>0</v>
      </c>
      <c r="F3007" s="8">
        <v>0</v>
      </c>
      <c r="G3007" s="8">
        <v>85</v>
      </c>
      <c r="H3007" s="8" t="s">
        <v>31652</v>
      </c>
      <c r="I3007" s="8">
        <v>526.6875</v>
      </c>
      <c r="J3007" s="3">
        <f t="shared" si="46"/>
        <v>43748.666047557868</v>
      </c>
    </row>
    <row r="3008" spans="1:10" x14ac:dyDescent="0.25">
      <c r="A3008" s="5" t="s">
        <v>31653</v>
      </c>
      <c r="B3008" s="6">
        <v>393.75</v>
      </c>
      <c r="C3008" s="6">
        <v>20.531590000000001</v>
      </c>
      <c r="D3008" s="6">
        <v>75</v>
      </c>
      <c r="E3008" s="6">
        <v>0</v>
      </c>
      <c r="F3008" s="6">
        <v>0</v>
      </c>
      <c r="G3008" s="6">
        <v>86</v>
      </c>
      <c r="H3008" s="6" t="s">
        <v>31654</v>
      </c>
      <c r="I3008" s="6">
        <v>526.5</v>
      </c>
      <c r="J3008" s="2">
        <f t="shared" si="46"/>
        <v>43748.66613125</v>
      </c>
    </row>
    <row r="3009" spans="1:10" x14ac:dyDescent="0.25">
      <c r="A3009" s="7" t="s">
        <v>31655</v>
      </c>
      <c r="B3009" s="8">
        <v>393.75</v>
      </c>
      <c r="C3009" s="8">
        <v>20.478950000000001</v>
      </c>
      <c r="D3009" s="8">
        <v>75</v>
      </c>
      <c r="E3009" s="8">
        <v>0</v>
      </c>
      <c r="F3009" s="8">
        <v>0</v>
      </c>
      <c r="G3009" s="8">
        <v>87</v>
      </c>
      <c r="H3009" s="8" t="s">
        <v>31656</v>
      </c>
      <c r="I3009" s="8">
        <v>526.6875</v>
      </c>
      <c r="J3009" s="3">
        <f t="shared" si="46"/>
        <v>43748.666202650456</v>
      </c>
    </row>
    <row r="3010" spans="1:10" x14ac:dyDescent="0.25">
      <c r="A3010" s="5" t="s">
        <v>31657</v>
      </c>
      <c r="B3010" s="6">
        <v>393.75</v>
      </c>
      <c r="C3010" s="6">
        <v>20.531590000000001</v>
      </c>
      <c r="D3010" s="6">
        <v>75</v>
      </c>
      <c r="E3010" s="6">
        <v>0</v>
      </c>
      <c r="F3010" s="6">
        <v>0</v>
      </c>
      <c r="G3010" s="6">
        <v>91</v>
      </c>
      <c r="H3010" s="6" t="s">
        <v>31658</v>
      </c>
      <c r="I3010" s="6">
        <v>526.6875</v>
      </c>
      <c r="J3010" s="2">
        <f t="shared" ref="J3010:J3073" si="47">(H3010/86400000)+25569+(7/24)</f>
        <v>43748.666286087959</v>
      </c>
    </row>
    <row r="3011" spans="1:10" x14ac:dyDescent="0.25">
      <c r="A3011" s="7" t="s">
        <v>31659</v>
      </c>
      <c r="B3011" s="8">
        <v>393.75</v>
      </c>
      <c r="C3011" s="8">
        <v>20.531590000000001</v>
      </c>
      <c r="D3011" s="8">
        <v>73</v>
      </c>
      <c r="E3011" s="8">
        <v>0</v>
      </c>
      <c r="F3011" s="8">
        <v>0</v>
      </c>
      <c r="G3011" s="8">
        <v>83</v>
      </c>
      <c r="H3011" s="8" t="s">
        <v>31660</v>
      </c>
      <c r="I3011" s="8">
        <v>526.6875</v>
      </c>
      <c r="J3011" s="3">
        <f t="shared" si="47"/>
        <v>43748.666369560182</v>
      </c>
    </row>
    <row r="3012" spans="1:10" x14ac:dyDescent="0.25">
      <c r="A3012" s="5" t="s">
        <v>31661</v>
      </c>
      <c r="B3012" s="6">
        <v>393.75</v>
      </c>
      <c r="C3012" s="6">
        <v>20.478950000000001</v>
      </c>
      <c r="D3012" s="6">
        <v>72</v>
      </c>
      <c r="E3012" s="6">
        <v>0</v>
      </c>
      <c r="F3012" s="6">
        <v>0</v>
      </c>
      <c r="G3012" s="6">
        <v>97</v>
      </c>
      <c r="H3012" s="6" t="s">
        <v>31662</v>
      </c>
      <c r="I3012" s="6">
        <v>526.6875</v>
      </c>
      <c r="J3012" s="2">
        <f t="shared" si="47"/>
        <v>43748.666452777776</v>
      </c>
    </row>
    <row r="3013" spans="1:10" x14ac:dyDescent="0.25">
      <c r="A3013" s="7" t="s">
        <v>31663</v>
      </c>
      <c r="B3013" s="8">
        <v>393.75</v>
      </c>
      <c r="C3013" s="8">
        <v>20.584240000000001</v>
      </c>
      <c r="D3013" s="8">
        <v>72</v>
      </c>
      <c r="E3013" s="8">
        <v>0</v>
      </c>
      <c r="F3013" s="8">
        <v>0</v>
      </c>
      <c r="G3013" s="8">
        <v>101</v>
      </c>
      <c r="H3013" s="8" t="s">
        <v>31664</v>
      </c>
      <c r="I3013" s="8">
        <v>526.6875</v>
      </c>
      <c r="J3013" s="3">
        <f t="shared" si="47"/>
        <v>43748.666524525463</v>
      </c>
    </row>
    <row r="3014" spans="1:10" x14ac:dyDescent="0.25">
      <c r="A3014" s="5" t="s">
        <v>31665</v>
      </c>
      <c r="B3014" s="6">
        <v>393.75</v>
      </c>
      <c r="C3014" s="6">
        <v>20.478950000000001</v>
      </c>
      <c r="D3014" s="6">
        <v>72</v>
      </c>
      <c r="E3014" s="6">
        <v>0</v>
      </c>
      <c r="F3014" s="6">
        <v>0</v>
      </c>
      <c r="G3014" s="6">
        <v>89</v>
      </c>
      <c r="H3014" s="6" t="s">
        <v>31666</v>
      </c>
      <c r="I3014" s="6">
        <v>526.6875</v>
      </c>
      <c r="J3014" s="2">
        <f t="shared" si="47"/>
        <v>43748.666608333333</v>
      </c>
    </row>
    <row r="3015" spans="1:10" x14ac:dyDescent="0.25">
      <c r="A3015" s="7" t="s">
        <v>31667</v>
      </c>
      <c r="B3015" s="8">
        <v>393.75</v>
      </c>
      <c r="C3015" s="8">
        <v>20.584240000000001</v>
      </c>
      <c r="D3015" s="8">
        <v>73</v>
      </c>
      <c r="E3015" s="8">
        <v>0</v>
      </c>
      <c r="F3015" s="8">
        <v>0</v>
      </c>
      <c r="G3015" s="8">
        <v>90</v>
      </c>
      <c r="H3015" s="8" t="s">
        <v>31668</v>
      </c>
      <c r="I3015" s="8">
        <v>526.6875</v>
      </c>
      <c r="J3015" s="3">
        <f t="shared" si="47"/>
        <v>43748.666691655089</v>
      </c>
    </row>
    <row r="3016" spans="1:10" x14ac:dyDescent="0.25">
      <c r="A3016" s="5" t="s">
        <v>31669</v>
      </c>
      <c r="B3016" s="6">
        <v>393.75</v>
      </c>
      <c r="C3016" s="6">
        <v>20.584240000000001</v>
      </c>
      <c r="D3016" s="6">
        <v>73</v>
      </c>
      <c r="E3016" s="6">
        <v>0</v>
      </c>
      <c r="F3016" s="6">
        <v>0</v>
      </c>
      <c r="G3016" s="6">
        <v>86</v>
      </c>
      <c r="H3016" s="6" t="s">
        <v>31670</v>
      </c>
      <c r="I3016" s="6">
        <v>526.6875</v>
      </c>
      <c r="J3016" s="2">
        <f t="shared" si="47"/>
        <v>43748.666774999998</v>
      </c>
    </row>
    <row r="3017" spans="1:10" x14ac:dyDescent="0.25">
      <c r="A3017" s="7" t="s">
        <v>31671</v>
      </c>
      <c r="B3017" s="8">
        <v>393.75</v>
      </c>
      <c r="C3017" s="8">
        <v>20.478950000000001</v>
      </c>
      <c r="D3017" s="8">
        <v>73</v>
      </c>
      <c r="E3017" s="8">
        <v>0</v>
      </c>
      <c r="F3017" s="8">
        <v>0</v>
      </c>
      <c r="G3017" s="8">
        <v>85</v>
      </c>
      <c r="H3017" s="8" t="s">
        <v>31672</v>
      </c>
      <c r="I3017" s="8">
        <v>526.6875</v>
      </c>
      <c r="J3017" s="3">
        <f t="shared" si="47"/>
        <v>43748.666858564808</v>
      </c>
    </row>
    <row r="3018" spans="1:10" x14ac:dyDescent="0.25">
      <c r="A3018" s="5" t="s">
        <v>31673</v>
      </c>
      <c r="B3018" s="6">
        <v>428.125</v>
      </c>
      <c r="C3018" s="6">
        <v>20.584240000000001</v>
      </c>
      <c r="D3018" s="6">
        <v>61</v>
      </c>
      <c r="E3018" s="6">
        <v>0</v>
      </c>
      <c r="F3018" s="6">
        <v>0</v>
      </c>
      <c r="G3018" s="6">
        <v>0</v>
      </c>
      <c r="H3018" s="6" t="s">
        <v>31674</v>
      </c>
      <c r="I3018" s="6">
        <v>537.375</v>
      </c>
      <c r="J3018" s="2">
        <f t="shared" si="47"/>
        <v>43748.667166921296</v>
      </c>
    </row>
    <row r="3019" spans="1:10" x14ac:dyDescent="0.25">
      <c r="A3019" s="7" t="s">
        <v>31675</v>
      </c>
      <c r="B3019" s="8">
        <v>393.75</v>
      </c>
      <c r="C3019" s="8">
        <v>20.584240000000001</v>
      </c>
      <c r="D3019" s="8">
        <v>62</v>
      </c>
      <c r="E3019" s="8">
        <v>0</v>
      </c>
      <c r="F3019" s="8">
        <v>0</v>
      </c>
      <c r="G3019" s="8">
        <v>0</v>
      </c>
      <c r="H3019" s="8" t="s">
        <v>31676</v>
      </c>
      <c r="I3019" s="8">
        <v>526.5</v>
      </c>
      <c r="J3019" s="3">
        <f t="shared" si="47"/>
        <v>43748.667248298611</v>
      </c>
    </row>
    <row r="3020" spans="1:10" x14ac:dyDescent="0.25">
      <c r="A3020" s="5" t="s">
        <v>31677</v>
      </c>
      <c r="B3020" s="6">
        <v>393.75</v>
      </c>
      <c r="C3020" s="6">
        <v>20.531590000000001</v>
      </c>
      <c r="D3020" s="6">
        <v>64</v>
      </c>
      <c r="E3020" s="6">
        <v>0</v>
      </c>
      <c r="F3020" s="6">
        <v>0</v>
      </c>
      <c r="G3020" s="6">
        <v>0</v>
      </c>
      <c r="H3020" s="6" t="s">
        <v>31678</v>
      </c>
      <c r="I3020" s="6">
        <v>526.6875</v>
      </c>
      <c r="J3020" s="2">
        <f t="shared" si="47"/>
        <v>43748.667331874996</v>
      </c>
    </row>
    <row r="3021" spans="1:10" x14ac:dyDescent="0.25">
      <c r="A3021" s="7" t="s">
        <v>31679</v>
      </c>
      <c r="B3021" s="8">
        <v>393.75</v>
      </c>
      <c r="C3021" s="8">
        <v>20.531590000000001</v>
      </c>
      <c r="D3021" s="8">
        <v>76</v>
      </c>
      <c r="E3021" s="8">
        <v>0</v>
      </c>
      <c r="F3021" s="8">
        <v>0</v>
      </c>
      <c r="G3021" s="8">
        <v>0</v>
      </c>
      <c r="H3021" s="8" t="s">
        <v>31680</v>
      </c>
      <c r="I3021" s="8">
        <v>526.6875</v>
      </c>
      <c r="J3021" s="3">
        <f t="shared" si="47"/>
        <v>43748.667415555552</v>
      </c>
    </row>
    <row r="3022" spans="1:10" x14ac:dyDescent="0.25">
      <c r="A3022" s="5" t="s">
        <v>31681</v>
      </c>
      <c r="B3022" s="6">
        <v>393.75</v>
      </c>
      <c r="C3022" s="6">
        <v>20.531590000000001</v>
      </c>
      <c r="D3022" s="6">
        <v>74</v>
      </c>
      <c r="E3022" s="6">
        <v>0</v>
      </c>
      <c r="F3022" s="6">
        <v>0</v>
      </c>
      <c r="G3022" s="6">
        <v>3</v>
      </c>
      <c r="H3022" s="6" t="s">
        <v>31682</v>
      </c>
      <c r="I3022" s="6">
        <v>526.6875</v>
      </c>
      <c r="J3022" s="2">
        <f t="shared" si="47"/>
        <v>43748.667498773146</v>
      </c>
    </row>
    <row r="3023" spans="1:10" x14ac:dyDescent="0.25">
      <c r="A3023" s="7" t="s">
        <v>31683</v>
      </c>
      <c r="B3023" s="8">
        <v>393.75</v>
      </c>
      <c r="C3023" s="8">
        <v>20.531590000000001</v>
      </c>
      <c r="D3023" s="8">
        <v>72</v>
      </c>
      <c r="E3023" s="8">
        <v>0</v>
      </c>
      <c r="F3023" s="8">
        <v>0</v>
      </c>
      <c r="G3023" s="8">
        <v>0</v>
      </c>
      <c r="H3023" s="8" t="s">
        <v>31684</v>
      </c>
      <c r="I3023" s="8">
        <v>526.5</v>
      </c>
      <c r="J3023" s="3">
        <f t="shared" si="47"/>
        <v>43748.667582210641</v>
      </c>
    </row>
    <row r="3024" spans="1:10" x14ac:dyDescent="0.25">
      <c r="A3024" s="5" t="s">
        <v>31685</v>
      </c>
      <c r="B3024" s="6">
        <v>393.75</v>
      </c>
      <c r="C3024" s="6">
        <v>20.531590000000001</v>
      </c>
      <c r="D3024" s="6">
        <v>72</v>
      </c>
      <c r="E3024" s="6">
        <v>0</v>
      </c>
      <c r="F3024" s="6">
        <v>0</v>
      </c>
      <c r="G3024" s="6">
        <v>10</v>
      </c>
      <c r="H3024" s="6" t="s">
        <v>31686</v>
      </c>
      <c r="I3024" s="6">
        <v>526.6875</v>
      </c>
      <c r="J3024" s="2">
        <f t="shared" si="47"/>
        <v>43748.66766564815</v>
      </c>
    </row>
    <row r="3025" spans="1:10" x14ac:dyDescent="0.25">
      <c r="A3025" s="7" t="s">
        <v>31687</v>
      </c>
      <c r="B3025" s="8">
        <v>393.75</v>
      </c>
      <c r="C3025" s="8">
        <v>20.531590000000001</v>
      </c>
      <c r="D3025" s="8">
        <v>73</v>
      </c>
      <c r="E3025" s="8">
        <v>0</v>
      </c>
      <c r="F3025" s="8">
        <v>0</v>
      </c>
      <c r="G3025" s="8">
        <v>2</v>
      </c>
      <c r="H3025" s="8" t="s">
        <v>31688</v>
      </c>
      <c r="I3025" s="8">
        <v>526.6875</v>
      </c>
      <c r="J3025" s="3">
        <f t="shared" si="47"/>
        <v>43748.667748888889</v>
      </c>
    </row>
    <row r="3026" spans="1:10" x14ac:dyDescent="0.25">
      <c r="A3026" s="5" t="s">
        <v>31689</v>
      </c>
      <c r="B3026" s="6">
        <v>393.75</v>
      </c>
      <c r="C3026" s="6">
        <v>20.478950000000001</v>
      </c>
      <c r="D3026" s="6">
        <v>73</v>
      </c>
      <c r="E3026" s="6">
        <v>0</v>
      </c>
      <c r="F3026" s="6">
        <v>0</v>
      </c>
      <c r="G3026" s="6">
        <v>0</v>
      </c>
      <c r="H3026" s="6" t="s">
        <v>31690</v>
      </c>
      <c r="I3026" s="6">
        <v>526.6875</v>
      </c>
      <c r="J3026" s="2">
        <f t="shared" si="47"/>
        <v>43748.667820509254</v>
      </c>
    </row>
    <row r="3027" spans="1:10" x14ac:dyDescent="0.25">
      <c r="A3027" s="7" t="s">
        <v>31691</v>
      </c>
      <c r="B3027" s="8">
        <v>393.75</v>
      </c>
      <c r="C3027" s="8">
        <v>20.584240000000001</v>
      </c>
      <c r="D3027" s="8">
        <v>73</v>
      </c>
      <c r="E3027" s="8">
        <v>0</v>
      </c>
      <c r="F3027" s="8">
        <v>0</v>
      </c>
      <c r="G3027" s="8">
        <v>8</v>
      </c>
      <c r="H3027" s="8" t="s">
        <v>31692</v>
      </c>
      <c r="I3027" s="8">
        <v>526.6875</v>
      </c>
      <c r="J3027" s="3">
        <f t="shared" si="47"/>
        <v>43748.667904467591</v>
      </c>
    </row>
    <row r="3028" spans="1:10" x14ac:dyDescent="0.25">
      <c r="A3028" s="5" t="s">
        <v>31693</v>
      </c>
      <c r="B3028" s="6">
        <v>393.75</v>
      </c>
      <c r="C3028" s="6">
        <v>20.584240000000001</v>
      </c>
      <c r="D3028" s="6">
        <v>72</v>
      </c>
      <c r="E3028" s="6">
        <v>0</v>
      </c>
      <c r="F3028" s="6">
        <v>0</v>
      </c>
      <c r="G3028" s="6">
        <v>3</v>
      </c>
      <c r="H3028" s="6" t="s">
        <v>31694</v>
      </c>
      <c r="I3028" s="6">
        <v>526.6875</v>
      </c>
      <c r="J3028" s="2">
        <f t="shared" si="47"/>
        <v>43748.667987777771</v>
      </c>
    </row>
    <row r="3029" spans="1:10" x14ac:dyDescent="0.25">
      <c r="A3029" s="7" t="s">
        <v>31695</v>
      </c>
      <c r="B3029" s="8">
        <v>393.75</v>
      </c>
      <c r="C3029" s="8">
        <v>20.478950000000001</v>
      </c>
      <c r="D3029" s="8">
        <v>73</v>
      </c>
      <c r="E3029" s="8">
        <v>0</v>
      </c>
      <c r="F3029" s="8">
        <v>0</v>
      </c>
      <c r="G3029" s="8">
        <v>4</v>
      </c>
      <c r="H3029" s="8" t="s">
        <v>31696</v>
      </c>
      <c r="I3029" s="8">
        <v>526.6875</v>
      </c>
      <c r="J3029" s="3">
        <f t="shared" si="47"/>
        <v>43748.668071099535</v>
      </c>
    </row>
    <row r="3030" spans="1:10" x14ac:dyDescent="0.25">
      <c r="A3030" s="5" t="s">
        <v>31697</v>
      </c>
      <c r="B3030" s="6">
        <v>412.5</v>
      </c>
      <c r="C3030" s="6">
        <v>20.531590000000001</v>
      </c>
      <c r="D3030" s="6">
        <v>73</v>
      </c>
      <c r="E3030" s="6">
        <v>0</v>
      </c>
      <c r="F3030" s="6">
        <v>0</v>
      </c>
      <c r="G3030" s="6">
        <v>7</v>
      </c>
      <c r="H3030" s="6" t="s">
        <v>31698</v>
      </c>
      <c r="I3030" s="6">
        <v>532.3125</v>
      </c>
      <c r="J3030" s="2">
        <f t="shared" si="47"/>
        <v>43748.668142291666</v>
      </c>
    </row>
    <row r="3031" spans="1:10" x14ac:dyDescent="0.25">
      <c r="A3031" s="7" t="s">
        <v>31699</v>
      </c>
      <c r="B3031" s="8">
        <v>393.75</v>
      </c>
      <c r="C3031" s="8">
        <v>20.531590000000001</v>
      </c>
      <c r="D3031" s="8">
        <v>72</v>
      </c>
      <c r="E3031" s="8">
        <v>0</v>
      </c>
      <c r="F3031" s="8">
        <v>0</v>
      </c>
      <c r="G3031" s="8">
        <v>7</v>
      </c>
      <c r="H3031" s="8" t="s">
        <v>31700</v>
      </c>
      <c r="I3031" s="8">
        <v>526.6875</v>
      </c>
      <c r="J3031" s="3">
        <f t="shared" si="47"/>
        <v>43748.668236620368</v>
      </c>
    </row>
    <row r="3032" spans="1:10" x14ac:dyDescent="0.25">
      <c r="A3032" s="5" t="s">
        <v>31701</v>
      </c>
      <c r="B3032" s="6">
        <v>393.75</v>
      </c>
      <c r="C3032" s="6">
        <v>20.584240000000001</v>
      </c>
      <c r="D3032" s="6">
        <v>72</v>
      </c>
      <c r="E3032" s="6">
        <v>0</v>
      </c>
      <c r="F3032" s="6">
        <v>0</v>
      </c>
      <c r="G3032" s="6">
        <v>7</v>
      </c>
      <c r="H3032" s="6" t="s">
        <v>31702</v>
      </c>
      <c r="I3032" s="6">
        <v>526.6875</v>
      </c>
      <c r="J3032" s="2">
        <f t="shared" si="47"/>
        <v>43748.668309907407</v>
      </c>
    </row>
    <row r="3033" spans="1:10" x14ac:dyDescent="0.25">
      <c r="A3033" s="7" t="s">
        <v>31703</v>
      </c>
      <c r="B3033" s="8">
        <v>393.75</v>
      </c>
      <c r="C3033" s="8">
        <v>20.478950000000001</v>
      </c>
      <c r="D3033" s="8">
        <v>70</v>
      </c>
      <c r="E3033" s="8">
        <v>0</v>
      </c>
      <c r="F3033" s="8">
        <v>0</v>
      </c>
      <c r="G3033" s="8">
        <v>4</v>
      </c>
      <c r="H3033" s="8" t="s">
        <v>31704</v>
      </c>
      <c r="I3033" s="8">
        <v>526.6875</v>
      </c>
      <c r="J3033" s="3">
        <f t="shared" si="47"/>
        <v>43748.668393356478</v>
      </c>
    </row>
    <row r="3034" spans="1:10" x14ac:dyDescent="0.25">
      <c r="A3034" s="5" t="s">
        <v>31705</v>
      </c>
      <c r="B3034" s="6">
        <v>393.75</v>
      </c>
      <c r="C3034" s="6">
        <v>20.531590000000001</v>
      </c>
      <c r="D3034" s="6">
        <v>70</v>
      </c>
      <c r="E3034" s="6">
        <v>0</v>
      </c>
      <c r="F3034" s="6">
        <v>0</v>
      </c>
      <c r="G3034" s="6">
        <v>1</v>
      </c>
      <c r="H3034" s="6" t="s">
        <v>31706</v>
      </c>
      <c r="I3034" s="6">
        <v>526.6875</v>
      </c>
      <c r="J3034" s="2">
        <f t="shared" si="47"/>
        <v>43748.668476770828</v>
      </c>
    </row>
    <row r="3035" spans="1:10" x14ac:dyDescent="0.25">
      <c r="A3035" s="7" t="s">
        <v>31707</v>
      </c>
      <c r="B3035" s="8">
        <v>412.5</v>
      </c>
      <c r="C3035" s="8">
        <v>20.531590000000001</v>
      </c>
      <c r="D3035" s="8">
        <v>70</v>
      </c>
      <c r="E3035" s="8">
        <v>0</v>
      </c>
      <c r="F3035" s="8">
        <v>0</v>
      </c>
      <c r="G3035" s="8">
        <v>9</v>
      </c>
      <c r="H3035" s="8" t="s">
        <v>31708</v>
      </c>
      <c r="I3035" s="8">
        <v>532.3125</v>
      </c>
      <c r="J3035" s="3">
        <f t="shared" si="47"/>
        <v>43748.668559999998</v>
      </c>
    </row>
    <row r="3036" spans="1:10" x14ac:dyDescent="0.25">
      <c r="A3036" s="5" t="s">
        <v>31709</v>
      </c>
      <c r="B3036" s="6">
        <v>393.75</v>
      </c>
      <c r="C3036" s="6">
        <v>20.531590000000001</v>
      </c>
      <c r="D3036" s="6">
        <v>71</v>
      </c>
      <c r="E3036" s="6">
        <v>0</v>
      </c>
      <c r="F3036" s="6">
        <v>0</v>
      </c>
      <c r="G3036" s="6">
        <v>7</v>
      </c>
      <c r="H3036" s="6" t="s">
        <v>31710</v>
      </c>
      <c r="I3036" s="6">
        <v>526.6875</v>
      </c>
      <c r="J3036" s="2">
        <f t="shared" si="47"/>
        <v>43748.668643773148</v>
      </c>
    </row>
    <row r="3037" spans="1:10" x14ac:dyDescent="0.25">
      <c r="A3037" s="7" t="s">
        <v>31711</v>
      </c>
      <c r="B3037" s="8">
        <v>393.75</v>
      </c>
      <c r="C3037" s="8">
        <v>20.531590000000001</v>
      </c>
      <c r="D3037" s="8">
        <v>73</v>
      </c>
      <c r="E3037" s="8">
        <v>0</v>
      </c>
      <c r="F3037" s="8">
        <v>0</v>
      </c>
      <c r="G3037" s="8">
        <v>6</v>
      </c>
      <c r="H3037" s="8" t="s">
        <v>31712</v>
      </c>
      <c r="I3037" s="8">
        <v>526.6875</v>
      </c>
      <c r="J3037" s="3">
        <f t="shared" si="47"/>
        <v>43748.668727013886</v>
      </c>
    </row>
    <row r="3038" spans="1:10" x14ac:dyDescent="0.25">
      <c r="A3038" s="5" t="s">
        <v>31713</v>
      </c>
      <c r="B3038" s="6">
        <v>393.75</v>
      </c>
      <c r="C3038" s="6">
        <v>20.478950000000001</v>
      </c>
      <c r="D3038" s="6">
        <v>72</v>
      </c>
      <c r="E3038" s="6">
        <v>0</v>
      </c>
      <c r="F3038" s="6">
        <v>0</v>
      </c>
      <c r="G3038" s="6">
        <v>10</v>
      </c>
      <c r="H3038" s="6" t="s">
        <v>31714</v>
      </c>
      <c r="I3038" s="6">
        <v>526.6875</v>
      </c>
      <c r="J3038" s="2">
        <f t="shared" si="47"/>
        <v>43748.668798761573</v>
      </c>
    </row>
    <row r="3039" spans="1:10" x14ac:dyDescent="0.25">
      <c r="A3039" s="7" t="s">
        <v>31715</v>
      </c>
      <c r="B3039" s="8">
        <v>393.75</v>
      </c>
      <c r="C3039" s="8">
        <v>20.584240000000001</v>
      </c>
      <c r="D3039" s="8">
        <v>73</v>
      </c>
      <c r="E3039" s="8">
        <v>0</v>
      </c>
      <c r="F3039" s="8">
        <v>0</v>
      </c>
      <c r="G3039" s="8">
        <v>0</v>
      </c>
      <c r="H3039" s="8" t="s">
        <v>31716</v>
      </c>
      <c r="I3039" s="8">
        <v>526.6875</v>
      </c>
      <c r="J3039" s="3">
        <f t="shared" si="47"/>
        <v>43748.668882199076</v>
      </c>
    </row>
    <row r="3040" spans="1:10" x14ac:dyDescent="0.25">
      <c r="A3040" s="5" t="s">
        <v>31717</v>
      </c>
      <c r="B3040" s="6">
        <v>425</v>
      </c>
      <c r="C3040" s="6">
        <v>20.478950000000001</v>
      </c>
      <c r="D3040" s="6">
        <v>72</v>
      </c>
      <c r="E3040" s="6">
        <v>0</v>
      </c>
      <c r="F3040" s="6">
        <v>0</v>
      </c>
      <c r="G3040" s="6">
        <v>10</v>
      </c>
      <c r="H3040" s="6" t="s">
        <v>31718</v>
      </c>
      <c r="I3040" s="6">
        <v>536.0625</v>
      </c>
      <c r="J3040" s="2">
        <f t="shared" si="47"/>
        <v>43748.668965787037</v>
      </c>
    </row>
    <row r="3041" spans="1:10" x14ac:dyDescent="0.25">
      <c r="A3041" s="7" t="s">
        <v>31719</v>
      </c>
      <c r="B3041" s="8">
        <v>393.75</v>
      </c>
      <c r="C3041" s="8">
        <v>20.531590000000001</v>
      </c>
      <c r="D3041" s="8">
        <v>72</v>
      </c>
      <c r="E3041" s="8">
        <v>0</v>
      </c>
      <c r="F3041" s="8">
        <v>0</v>
      </c>
      <c r="G3041" s="8">
        <v>14</v>
      </c>
      <c r="H3041" s="8" t="s">
        <v>31720</v>
      </c>
      <c r="I3041" s="8">
        <v>526.6875</v>
      </c>
      <c r="J3041" s="3">
        <f t="shared" si="47"/>
        <v>43748.669049004624</v>
      </c>
    </row>
    <row r="3042" spans="1:10" x14ac:dyDescent="0.25">
      <c r="A3042" s="5" t="s">
        <v>31721</v>
      </c>
      <c r="B3042" s="6">
        <v>393.75</v>
      </c>
      <c r="C3042" s="6">
        <v>20.478950000000001</v>
      </c>
      <c r="D3042" s="6">
        <v>71</v>
      </c>
      <c r="E3042" s="6">
        <v>0</v>
      </c>
      <c r="F3042" s="6">
        <v>0</v>
      </c>
      <c r="G3042" s="6">
        <v>7</v>
      </c>
      <c r="H3042" s="6" t="s">
        <v>31722</v>
      </c>
      <c r="I3042" s="6">
        <v>526.6875</v>
      </c>
      <c r="J3042" s="2">
        <f t="shared" si="47"/>
        <v>43748.669132800926</v>
      </c>
    </row>
    <row r="3043" spans="1:10" x14ac:dyDescent="0.25">
      <c r="A3043" s="7" t="s">
        <v>31723</v>
      </c>
      <c r="B3043" s="8">
        <v>393.75</v>
      </c>
      <c r="C3043" s="8">
        <v>20.531590000000001</v>
      </c>
      <c r="D3043" s="8">
        <v>71</v>
      </c>
      <c r="E3043" s="8">
        <v>0</v>
      </c>
      <c r="F3043" s="8">
        <v>0</v>
      </c>
      <c r="G3043" s="8">
        <v>9</v>
      </c>
      <c r="H3043" s="8" t="s">
        <v>31724</v>
      </c>
      <c r="I3043" s="8">
        <v>526.6875</v>
      </c>
      <c r="J3043" s="3">
        <f t="shared" si="47"/>
        <v>43748.669216006943</v>
      </c>
    </row>
    <row r="3044" spans="1:10" x14ac:dyDescent="0.25">
      <c r="A3044" s="5" t="s">
        <v>31725</v>
      </c>
      <c r="B3044" s="6">
        <v>393.75</v>
      </c>
      <c r="C3044" s="6">
        <v>20.531590000000001</v>
      </c>
      <c r="D3044" s="6">
        <v>70</v>
      </c>
      <c r="E3044" s="6">
        <v>0</v>
      </c>
      <c r="F3044" s="6">
        <v>0</v>
      </c>
      <c r="G3044" s="6">
        <v>14</v>
      </c>
      <c r="H3044" s="6" t="s">
        <v>31726</v>
      </c>
      <c r="I3044" s="6">
        <v>526.6875</v>
      </c>
      <c r="J3044" s="2">
        <f t="shared" si="47"/>
        <v>43748.669287893521</v>
      </c>
    </row>
    <row r="3045" spans="1:10" x14ac:dyDescent="0.25">
      <c r="A3045" s="7" t="s">
        <v>31727</v>
      </c>
      <c r="B3045" s="8">
        <v>421.875</v>
      </c>
      <c r="C3045" s="8">
        <v>20.531590000000001</v>
      </c>
      <c r="D3045" s="8">
        <v>71</v>
      </c>
      <c r="E3045" s="8">
        <v>0</v>
      </c>
      <c r="F3045" s="8">
        <v>0</v>
      </c>
      <c r="G3045" s="8">
        <v>12</v>
      </c>
      <c r="H3045" s="8" t="s">
        <v>31728</v>
      </c>
      <c r="I3045" s="8">
        <v>535.125</v>
      </c>
      <c r="J3045" s="3">
        <f t="shared" si="47"/>
        <v>43748.669371111107</v>
      </c>
    </row>
    <row r="3046" spans="1:10" x14ac:dyDescent="0.25">
      <c r="A3046" s="5" t="s">
        <v>31729</v>
      </c>
      <c r="B3046" s="6">
        <v>393.75</v>
      </c>
      <c r="C3046" s="6">
        <v>20.584240000000001</v>
      </c>
      <c r="D3046" s="6">
        <v>71</v>
      </c>
      <c r="E3046" s="6">
        <v>0</v>
      </c>
      <c r="F3046" s="6">
        <v>0</v>
      </c>
      <c r="G3046" s="6">
        <v>6</v>
      </c>
      <c r="H3046" s="6" t="s">
        <v>31730</v>
      </c>
      <c r="I3046" s="6">
        <v>526.6875</v>
      </c>
      <c r="J3046" s="2">
        <f t="shared" si="47"/>
        <v>43748.669442743056</v>
      </c>
    </row>
    <row r="3047" spans="1:10" x14ac:dyDescent="0.25">
      <c r="A3047" s="7" t="s">
        <v>31731</v>
      </c>
      <c r="B3047" s="8">
        <v>393.75</v>
      </c>
      <c r="C3047" s="8">
        <v>20.584240000000001</v>
      </c>
      <c r="D3047" s="8">
        <v>71</v>
      </c>
      <c r="E3047" s="8">
        <v>0</v>
      </c>
      <c r="F3047" s="8">
        <v>0</v>
      </c>
      <c r="G3047" s="8">
        <v>0</v>
      </c>
      <c r="H3047" s="8" t="s">
        <v>31732</v>
      </c>
      <c r="I3047" s="8">
        <v>526.6875</v>
      </c>
      <c r="J3047" s="3">
        <f t="shared" si="47"/>
        <v>43748.669526319442</v>
      </c>
    </row>
    <row r="3048" spans="1:10" x14ac:dyDescent="0.25">
      <c r="A3048" s="5" t="s">
        <v>31733</v>
      </c>
      <c r="B3048" s="6">
        <v>412.5</v>
      </c>
      <c r="C3048" s="6">
        <v>20.584240000000001</v>
      </c>
      <c r="D3048" s="6">
        <v>70</v>
      </c>
      <c r="E3048" s="6">
        <v>0</v>
      </c>
      <c r="F3048" s="6">
        <v>0</v>
      </c>
      <c r="G3048" s="6">
        <v>7</v>
      </c>
      <c r="H3048" s="6" t="s">
        <v>31734</v>
      </c>
      <c r="I3048" s="6">
        <v>532.3125</v>
      </c>
      <c r="J3048" s="2">
        <f t="shared" si="47"/>
        <v>43748.669609884259</v>
      </c>
    </row>
    <row r="3049" spans="1:10" x14ac:dyDescent="0.25">
      <c r="A3049" s="7" t="s">
        <v>31735</v>
      </c>
      <c r="B3049" s="8">
        <v>393.75</v>
      </c>
      <c r="C3049" s="8">
        <v>20.584240000000001</v>
      </c>
      <c r="D3049" s="8">
        <v>67</v>
      </c>
      <c r="E3049" s="8">
        <v>0</v>
      </c>
      <c r="F3049" s="8">
        <v>0</v>
      </c>
      <c r="G3049" s="8">
        <v>20</v>
      </c>
      <c r="H3049" s="8" t="s">
        <v>31736</v>
      </c>
      <c r="I3049" s="8">
        <v>526.6875</v>
      </c>
      <c r="J3049" s="3">
        <f t="shared" si="47"/>
        <v>43748.669693321754</v>
      </c>
    </row>
    <row r="3050" spans="1:10" x14ac:dyDescent="0.25">
      <c r="A3050" s="5" t="s">
        <v>31737</v>
      </c>
      <c r="B3050" s="6">
        <v>418.75</v>
      </c>
      <c r="C3050" s="6">
        <v>20.584240000000001</v>
      </c>
      <c r="D3050" s="6">
        <v>67</v>
      </c>
      <c r="E3050" s="6">
        <v>0</v>
      </c>
      <c r="F3050" s="6">
        <v>0</v>
      </c>
      <c r="G3050" s="6">
        <v>0</v>
      </c>
      <c r="H3050" s="6" t="s">
        <v>31738</v>
      </c>
      <c r="I3050" s="6">
        <v>534.9375</v>
      </c>
      <c r="J3050" s="2">
        <f t="shared" si="47"/>
        <v>43748.669776782401</v>
      </c>
    </row>
    <row r="3051" spans="1:10" x14ac:dyDescent="0.25">
      <c r="A3051" s="7" t="s">
        <v>31739</v>
      </c>
      <c r="B3051" s="8">
        <v>393.75</v>
      </c>
      <c r="C3051" s="8">
        <v>20.478950000000001</v>
      </c>
      <c r="D3051" s="8">
        <v>68</v>
      </c>
      <c r="E3051" s="8">
        <v>0</v>
      </c>
      <c r="F3051" s="8">
        <v>0</v>
      </c>
      <c r="G3051" s="8">
        <v>3</v>
      </c>
      <c r="H3051" s="8" t="s">
        <v>31740</v>
      </c>
      <c r="I3051" s="8">
        <v>526.6875</v>
      </c>
      <c r="J3051" s="3">
        <f t="shared" si="47"/>
        <v>43748.669860000002</v>
      </c>
    </row>
    <row r="3052" spans="1:10" x14ac:dyDescent="0.25">
      <c r="A3052" s="5" t="s">
        <v>31741</v>
      </c>
      <c r="B3052" s="6">
        <v>412.5</v>
      </c>
      <c r="C3052" s="6">
        <v>20.531590000000001</v>
      </c>
      <c r="D3052" s="6">
        <v>68</v>
      </c>
      <c r="E3052" s="6">
        <v>0</v>
      </c>
      <c r="F3052" s="6">
        <v>0</v>
      </c>
      <c r="G3052" s="6">
        <v>6</v>
      </c>
      <c r="H3052" s="6" t="s">
        <v>31742</v>
      </c>
      <c r="I3052" s="6">
        <v>532.3125</v>
      </c>
      <c r="J3052" s="2">
        <f t="shared" si="47"/>
        <v>43748.669955763886</v>
      </c>
    </row>
    <row r="3053" spans="1:10" x14ac:dyDescent="0.25">
      <c r="A3053" s="7" t="s">
        <v>31743</v>
      </c>
      <c r="B3053" s="8">
        <v>393.75</v>
      </c>
      <c r="C3053" s="8">
        <v>20.584240000000001</v>
      </c>
      <c r="D3053" s="8">
        <v>68</v>
      </c>
      <c r="E3053" s="8">
        <v>0</v>
      </c>
      <c r="F3053" s="8">
        <v>0</v>
      </c>
      <c r="G3053" s="8">
        <v>8</v>
      </c>
      <c r="H3053" s="8" t="s">
        <v>31744</v>
      </c>
      <c r="I3053" s="8">
        <v>526.6875</v>
      </c>
      <c r="J3053" s="3">
        <f t="shared" si="47"/>
        <v>43748.670039305558</v>
      </c>
    </row>
    <row r="3054" spans="1:10" x14ac:dyDescent="0.25">
      <c r="A3054" s="5" t="s">
        <v>31745</v>
      </c>
      <c r="B3054" s="6">
        <v>393.75</v>
      </c>
      <c r="C3054" s="6">
        <v>20.531590000000001</v>
      </c>
      <c r="D3054" s="6">
        <v>69</v>
      </c>
      <c r="E3054" s="6">
        <v>0</v>
      </c>
      <c r="F3054" s="6">
        <v>0</v>
      </c>
      <c r="G3054" s="6">
        <v>10</v>
      </c>
      <c r="H3054" s="6" t="s">
        <v>31746</v>
      </c>
      <c r="I3054" s="6">
        <v>526.6875</v>
      </c>
      <c r="J3054" s="2">
        <f t="shared" si="47"/>
        <v>43748.670122754622</v>
      </c>
    </row>
    <row r="3055" spans="1:10" x14ac:dyDescent="0.25">
      <c r="A3055" s="7" t="s">
        <v>31747</v>
      </c>
      <c r="B3055" s="8">
        <v>393.75</v>
      </c>
      <c r="C3055" s="8">
        <v>20.531590000000001</v>
      </c>
      <c r="D3055" s="8">
        <v>68</v>
      </c>
      <c r="E3055" s="8">
        <v>0</v>
      </c>
      <c r="F3055" s="8">
        <v>0</v>
      </c>
      <c r="G3055" s="8">
        <v>12</v>
      </c>
      <c r="H3055" s="8" t="s">
        <v>31748</v>
      </c>
      <c r="I3055" s="8">
        <v>526.6875</v>
      </c>
      <c r="J3055" s="3">
        <f t="shared" si="47"/>
        <v>43748.670206354167</v>
      </c>
    </row>
    <row r="3056" spans="1:10" x14ac:dyDescent="0.25">
      <c r="A3056" s="5" t="s">
        <v>31749</v>
      </c>
      <c r="B3056" s="6">
        <v>393.75</v>
      </c>
      <c r="C3056" s="6">
        <v>20.531590000000001</v>
      </c>
      <c r="D3056" s="6">
        <v>67</v>
      </c>
      <c r="E3056" s="6">
        <v>0</v>
      </c>
      <c r="F3056" s="6">
        <v>0</v>
      </c>
      <c r="G3056" s="6">
        <v>7</v>
      </c>
      <c r="H3056" s="6" t="s">
        <v>31750</v>
      </c>
      <c r="I3056" s="6">
        <v>526.5</v>
      </c>
      <c r="J3056" s="2">
        <f t="shared" si="47"/>
        <v>43748.670289768517</v>
      </c>
    </row>
    <row r="3057" spans="1:10" x14ac:dyDescent="0.25">
      <c r="A3057" s="7" t="s">
        <v>31751</v>
      </c>
      <c r="B3057" s="8">
        <v>393.75</v>
      </c>
      <c r="C3057" s="8">
        <v>20.531590000000001</v>
      </c>
      <c r="D3057" s="8">
        <v>67</v>
      </c>
      <c r="E3057" s="8">
        <v>0</v>
      </c>
      <c r="F3057" s="8">
        <v>0</v>
      </c>
      <c r="G3057" s="8">
        <v>8</v>
      </c>
      <c r="H3057" s="8" t="s">
        <v>31752</v>
      </c>
      <c r="I3057" s="8">
        <v>526.6875</v>
      </c>
      <c r="J3057" s="3">
        <f t="shared" si="47"/>
        <v>43748.67037324074</v>
      </c>
    </row>
    <row r="3058" spans="1:10" x14ac:dyDescent="0.25">
      <c r="A3058" s="5" t="s">
        <v>31753</v>
      </c>
      <c r="B3058" s="6">
        <v>393.75</v>
      </c>
      <c r="C3058" s="6">
        <v>20.531590000000001</v>
      </c>
      <c r="D3058" s="6">
        <v>68</v>
      </c>
      <c r="E3058" s="6">
        <v>0</v>
      </c>
      <c r="F3058" s="6">
        <v>0</v>
      </c>
      <c r="G3058" s="6">
        <v>6</v>
      </c>
      <c r="H3058" s="6" t="s">
        <v>31754</v>
      </c>
      <c r="I3058" s="6">
        <v>526.6875</v>
      </c>
      <c r="J3058" s="2">
        <f t="shared" si="47"/>
        <v>43748.670456458327</v>
      </c>
    </row>
    <row r="3059" spans="1:10" x14ac:dyDescent="0.25">
      <c r="A3059" s="7" t="s">
        <v>31755</v>
      </c>
      <c r="B3059" s="8">
        <v>412.5</v>
      </c>
      <c r="C3059" s="8">
        <v>20.531590000000001</v>
      </c>
      <c r="D3059" s="8">
        <v>68</v>
      </c>
      <c r="E3059" s="8">
        <v>0</v>
      </c>
      <c r="F3059" s="8">
        <v>0</v>
      </c>
      <c r="G3059" s="8">
        <v>3</v>
      </c>
      <c r="H3059" s="8" t="s">
        <v>31756</v>
      </c>
      <c r="I3059" s="8">
        <v>532.3125</v>
      </c>
      <c r="J3059" s="3">
        <f t="shared" si="47"/>
        <v>43748.670540231476</v>
      </c>
    </row>
    <row r="3060" spans="1:10" x14ac:dyDescent="0.25">
      <c r="A3060" s="5" t="s">
        <v>31757</v>
      </c>
      <c r="B3060" s="6">
        <v>393.75</v>
      </c>
      <c r="C3060" s="6">
        <v>20.531590000000001</v>
      </c>
      <c r="D3060" s="6">
        <v>66</v>
      </c>
      <c r="E3060" s="6">
        <v>0</v>
      </c>
      <c r="F3060" s="6">
        <v>0</v>
      </c>
      <c r="G3060" s="6">
        <v>16</v>
      </c>
      <c r="H3060" s="6" t="s">
        <v>31758</v>
      </c>
      <c r="I3060" s="6">
        <v>526.6875</v>
      </c>
      <c r="J3060" s="2">
        <f t="shared" si="47"/>
        <v>43748.670635625</v>
      </c>
    </row>
    <row r="3061" spans="1:10" x14ac:dyDescent="0.25">
      <c r="A3061" s="7" t="s">
        <v>31759</v>
      </c>
      <c r="B3061" s="8">
        <v>393.75</v>
      </c>
      <c r="C3061" s="8">
        <v>20.584240000000001</v>
      </c>
      <c r="D3061" s="8">
        <v>66</v>
      </c>
      <c r="E3061" s="8">
        <v>0</v>
      </c>
      <c r="F3061" s="8">
        <v>0</v>
      </c>
      <c r="G3061" s="8">
        <v>6</v>
      </c>
      <c r="H3061" s="8" t="s">
        <v>31760</v>
      </c>
      <c r="I3061" s="8">
        <v>526.6875</v>
      </c>
      <c r="J3061" s="3">
        <f t="shared" si="47"/>
        <v>43748.670719317124</v>
      </c>
    </row>
    <row r="3062" spans="1:10" x14ac:dyDescent="0.25">
      <c r="A3062" s="5" t="s">
        <v>31761</v>
      </c>
      <c r="B3062" s="6">
        <v>393.75</v>
      </c>
      <c r="C3062" s="6">
        <v>20.531590000000001</v>
      </c>
      <c r="D3062" s="6">
        <v>66</v>
      </c>
      <c r="E3062" s="6">
        <v>0</v>
      </c>
      <c r="F3062" s="6">
        <v>0</v>
      </c>
      <c r="G3062" s="6">
        <v>4</v>
      </c>
      <c r="H3062" s="6" t="s">
        <v>31762</v>
      </c>
      <c r="I3062" s="6">
        <v>526.6875</v>
      </c>
      <c r="J3062" s="2">
        <f t="shared" si="47"/>
        <v>43748.670802511573</v>
      </c>
    </row>
    <row r="3063" spans="1:10" x14ac:dyDescent="0.25">
      <c r="A3063" s="7" t="s">
        <v>31763</v>
      </c>
      <c r="B3063" s="8">
        <v>412.5</v>
      </c>
      <c r="C3063" s="8">
        <v>20.531590000000001</v>
      </c>
      <c r="D3063" s="8">
        <v>66</v>
      </c>
      <c r="E3063" s="8">
        <v>0</v>
      </c>
      <c r="F3063" s="8">
        <v>0</v>
      </c>
      <c r="G3063" s="8">
        <v>8</v>
      </c>
      <c r="H3063" s="8" t="s">
        <v>31764</v>
      </c>
      <c r="I3063" s="8">
        <v>532.5</v>
      </c>
      <c r="J3063" s="3">
        <f t="shared" si="47"/>
        <v>43748.670885983789</v>
      </c>
    </row>
    <row r="3064" spans="1:10" x14ac:dyDescent="0.25">
      <c r="A3064" s="5" t="s">
        <v>31765</v>
      </c>
      <c r="B3064" s="6">
        <v>393.75</v>
      </c>
      <c r="C3064" s="6">
        <v>20.531590000000001</v>
      </c>
      <c r="D3064" s="6">
        <v>66</v>
      </c>
      <c r="E3064" s="6">
        <v>0</v>
      </c>
      <c r="F3064" s="6">
        <v>0</v>
      </c>
      <c r="G3064" s="6">
        <v>8</v>
      </c>
      <c r="H3064" s="6" t="s">
        <v>31766</v>
      </c>
      <c r="I3064" s="6">
        <v>526.6875</v>
      </c>
      <c r="J3064" s="2">
        <f t="shared" si="47"/>
        <v>43748.670969525461</v>
      </c>
    </row>
    <row r="3065" spans="1:10" x14ac:dyDescent="0.25">
      <c r="A3065" s="7" t="s">
        <v>31767</v>
      </c>
      <c r="B3065" s="8">
        <v>393.75</v>
      </c>
      <c r="C3065" s="8">
        <v>20.531590000000001</v>
      </c>
      <c r="D3065" s="8">
        <v>67</v>
      </c>
      <c r="E3065" s="8">
        <v>0</v>
      </c>
      <c r="F3065" s="8">
        <v>0</v>
      </c>
      <c r="G3065" s="8">
        <v>5</v>
      </c>
      <c r="H3065" s="8" t="s">
        <v>31768</v>
      </c>
      <c r="I3065" s="8">
        <v>526.6875</v>
      </c>
      <c r="J3065" s="3">
        <f t="shared" si="47"/>
        <v>43748.671052754631</v>
      </c>
    </row>
    <row r="3066" spans="1:10" x14ac:dyDescent="0.25">
      <c r="A3066" s="5" t="s">
        <v>31769</v>
      </c>
      <c r="B3066" s="6">
        <v>393.75</v>
      </c>
      <c r="C3066" s="6">
        <v>20.531590000000001</v>
      </c>
      <c r="D3066" s="6">
        <v>67</v>
      </c>
      <c r="E3066" s="6">
        <v>0</v>
      </c>
      <c r="F3066" s="6">
        <v>0</v>
      </c>
      <c r="G3066" s="6">
        <v>5</v>
      </c>
      <c r="H3066" s="6" t="s">
        <v>31770</v>
      </c>
      <c r="I3066" s="6">
        <v>526.6875</v>
      </c>
      <c r="J3066" s="2">
        <f t="shared" si="47"/>
        <v>43748.671124386572</v>
      </c>
    </row>
    <row r="3067" spans="1:10" x14ac:dyDescent="0.25">
      <c r="A3067" s="7" t="s">
        <v>31771</v>
      </c>
      <c r="B3067" s="8">
        <v>393.75</v>
      </c>
      <c r="C3067" s="8">
        <v>20.584240000000001</v>
      </c>
      <c r="D3067" s="8">
        <v>67</v>
      </c>
      <c r="E3067" s="8">
        <v>0</v>
      </c>
      <c r="F3067" s="8">
        <v>0</v>
      </c>
      <c r="G3067" s="8">
        <v>0</v>
      </c>
      <c r="H3067" s="8" t="s">
        <v>31772</v>
      </c>
      <c r="I3067" s="8">
        <v>526.6875</v>
      </c>
      <c r="J3067" s="3">
        <f t="shared" si="47"/>
        <v>43748.671208194442</v>
      </c>
    </row>
    <row r="3068" spans="1:10" x14ac:dyDescent="0.25">
      <c r="A3068" s="5" t="s">
        <v>31773</v>
      </c>
      <c r="B3068" s="6">
        <v>434.375</v>
      </c>
      <c r="C3068" s="6">
        <v>20.531590000000001</v>
      </c>
      <c r="D3068" s="6">
        <v>67</v>
      </c>
      <c r="E3068" s="6">
        <v>0</v>
      </c>
      <c r="F3068" s="6">
        <v>0</v>
      </c>
      <c r="G3068" s="6">
        <v>10</v>
      </c>
      <c r="H3068" s="6" t="s">
        <v>31774</v>
      </c>
      <c r="I3068" s="6">
        <v>539.25</v>
      </c>
      <c r="J3068" s="2">
        <f t="shared" si="47"/>
        <v>43748.671291643514</v>
      </c>
    </row>
    <row r="3069" spans="1:10" x14ac:dyDescent="0.25">
      <c r="A3069" s="7" t="s">
        <v>31775</v>
      </c>
      <c r="B3069" s="8">
        <v>393.75</v>
      </c>
      <c r="C3069" s="8">
        <v>20.478950000000001</v>
      </c>
      <c r="D3069" s="8">
        <v>67</v>
      </c>
      <c r="E3069" s="8">
        <v>0</v>
      </c>
      <c r="F3069" s="8">
        <v>0</v>
      </c>
      <c r="G3069" s="8">
        <v>14</v>
      </c>
      <c r="H3069" s="8" t="s">
        <v>31776</v>
      </c>
      <c r="I3069" s="8">
        <v>526.6875</v>
      </c>
      <c r="J3069" s="3">
        <f t="shared" si="47"/>
        <v>43748.671374861107</v>
      </c>
    </row>
    <row r="3070" spans="1:10" x14ac:dyDescent="0.25">
      <c r="A3070" s="5" t="s">
        <v>31777</v>
      </c>
      <c r="B3070" s="6">
        <v>393.75</v>
      </c>
      <c r="C3070" s="6">
        <v>20.478950000000001</v>
      </c>
      <c r="D3070" s="6">
        <v>67</v>
      </c>
      <c r="E3070" s="6">
        <v>0</v>
      </c>
      <c r="F3070" s="6">
        <v>0</v>
      </c>
      <c r="G3070" s="6">
        <v>8</v>
      </c>
      <c r="H3070" s="6" t="s">
        <v>31778</v>
      </c>
      <c r="I3070" s="6">
        <v>526.6875</v>
      </c>
      <c r="J3070" s="2">
        <f t="shared" si="47"/>
        <v>43748.671446631946</v>
      </c>
    </row>
    <row r="3071" spans="1:10" x14ac:dyDescent="0.25">
      <c r="A3071" s="7" t="s">
        <v>31779</v>
      </c>
      <c r="B3071" s="8">
        <v>393.75</v>
      </c>
      <c r="C3071" s="8">
        <v>20.531590000000001</v>
      </c>
      <c r="D3071" s="8">
        <v>68</v>
      </c>
      <c r="E3071" s="8">
        <v>0</v>
      </c>
      <c r="F3071" s="8">
        <v>0</v>
      </c>
      <c r="G3071" s="8">
        <v>17</v>
      </c>
      <c r="H3071" s="8" t="s">
        <v>31780</v>
      </c>
      <c r="I3071" s="8">
        <v>526.6875</v>
      </c>
      <c r="J3071" s="3">
        <f t="shared" si="47"/>
        <v>43748.671530173604</v>
      </c>
    </row>
    <row r="3072" spans="1:10" x14ac:dyDescent="0.25">
      <c r="A3072" s="5" t="s">
        <v>31781</v>
      </c>
      <c r="B3072" s="6">
        <v>393.75</v>
      </c>
      <c r="C3072" s="6">
        <v>20.478950000000001</v>
      </c>
      <c r="D3072" s="6">
        <v>67</v>
      </c>
      <c r="E3072" s="6">
        <v>0</v>
      </c>
      <c r="F3072" s="6">
        <v>0</v>
      </c>
      <c r="G3072" s="6">
        <v>8</v>
      </c>
      <c r="H3072" s="6" t="s">
        <v>31782</v>
      </c>
      <c r="I3072" s="6">
        <v>526.6875</v>
      </c>
      <c r="J3072" s="2">
        <f t="shared" si="47"/>
        <v>43748.671627337964</v>
      </c>
    </row>
    <row r="3073" spans="1:10" x14ac:dyDescent="0.25">
      <c r="A3073" s="7" t="s">
        <v>31783</v>
      </c>
      <c r="B3073" s="8">
        <v>393.75</v>
      </c>
      <c r="C3073" s="8">
        <v>20.531590000000001</v>
      </c>
      <c r="D3073" s="8">
        <v>67</v>
      </c>
      <c r="E3073" s="8">
        <v>0</v>
      </c>
      <c r="F3073" s="8">
        <v>0</v>
      </c>
      <c r="G3073" s="8">
        <v>5</v>
      </c>
      <c r="H3073" s="8" t="s">
        <v>31784</v>
      </c>
      <c r="I3073" s="8">
        <v>526.6875</v>
      </c>
      <c r="J3073" s="3">
        <f t="shared" si="47"/>
        <v>43748.671708993053</v>
      </c>
    </row>
    <row r="3074" spans="1:10" x14ac:dyDescent="0.25">
      <c r="A3074" s="5" t="s">
        <v>31785</v>
      </c>
      <c r="B3074" s="6">
        <v>393.75</v>
      </c>
      <c r="C3074" s="6">
        <v>20.584240000000001</v>
      </c>
      <c r="D3074" s="6">
        <v>67</v>
      </c>
      <c r="E3074" s="6">
        <v>0</v>
      </c>
      <c r="F3074" s="6">
        <v>0</v>
      </c>
      <c r="G3074" s="6">
        <v>9</v>
      </c>
      <c r="H3074" s="6" t="s">
        <v>31786</v>
      </c>
      <c r="I3074" s="6">
        <v>526.6875</v>
      </c>
      <c r="J3074" s="2">
        <f t="shared" ref="J3074:J3137" si="48">(H3074/86400000)+25569+(7/24)</f>
        <v>43748.671780648147</v>
      </c>
    </row>
    <row r="3075" spans="1:10" x14ac:dyDescent="0.25">
      <c r="A3075" s="7" t="s">
        <v>31787</v>
      </c>
      <c r="B3075" s="8">
        <v>393.75</v>
      </c>
      <c r="C3075" s="8">
        <v>20.531590000000001</v>
      </c>
      <c r="D3075" s="8">
        <v>67</v>
      </c>
      <c r="E3075" s="8">
        <v>0</v>
      </c>
      <c r="F3075" s="8">
        <v>0</v>
      </c>
      <c r="G3075" s="8">
        <v>5</v>
      </c>
      <c r="H3075" s="8" t="s">
        <v>31788</v>
      </c>
      <c r="I3075" s="8">
        <v>526.6875</v>
      </c>
      <c r="J3075" s="3">
        <f t="shared" si="48"/>
        <v>43748.671863738426</v>
      </c>
    </row>
    <row r="3076" spans="1:10" x14ac:dyDescent="0.25">
      <c r="A3076" s="5" t="s">
        <v>31789</v>
      </c>
      <c r="B3076" s="6">
        <v>393.75</v>
      </c>
      <c r="C3076" s="6">
        <v>20.531590000000001</v>
      </c>
      <c r="D3076" s="6">
        <v>67</v>
      </c>
      <c r="E3076" s="6">
        <v>0</v>
      </c>
      <c r="F3076" s="6">
        <v>0</v>
      </c>
      <c r="G3076" s="6">
        <v>5</v>
      </c>
      <c r="H3076" s="6" t="s">
        <v>31790</v>
      </c>
      <c r="I3076" s="6">
        <v>526.6875</v>
      </c>
      <c r="J3076" s="2">
        <f t="shared" si="48"/>
        <v>43748.671935381943</v>
      </c>
    </row>
    <row r="3077" spans="1:10" x14ac:dyDescent="0.25">
      <c r="A3077" s="7" t="s">
        <v>31791</v>
      </c>
      <c r="B3077" s="8">
        <v>393.75</v>
      </c>
      <c r="C3077" s="8">
        <v>20.531590000000001</v>
      </c>
      <c r="D3077" s="8">
        <v>68</v>
      </c>
      <c r="E3077" s="8">
        <v>0</v>
      </c>
      <c r="F3077" s="8">
        <v>0</v>
      </c>
      <c r="G3077" s="8">
        <v>16</v>
      </c>
      <c r="H3077" s="8" t="s">
        <v>31792</v>
      </c>
      <c r="I3077" s="8">
        <v>526.6875</v>
      </c>
      <c r="J3077" s="3">
        <f t="shared" si="48"/>
        <v>43748.672019305552</v>
      </c>
    </row>
    <row r="3078" spans="1:10" x14ac:dyDescent="0.25">
      <c r="A3078" s="5" t="s">
        <v>31793</v>
      </c>
      <c r="B3078" s="6">
        <v>393.75</v>
      </c>
      <c r="C3078" s="6">
        <v>20.531590000000001</v>
      </c>
      <c r="D3078" s="6">
        <v>69</v>
      </c>
      <c r="E3078" s="6">
        <v>0</v>
      </c>
      <c r="F3078" s="6">
        <v>0</v>
      </c>
      <c r="G3078" s="6">
        <v>1</v>
      </c>
      <c r="H3078" s="6" t="s">
        <v>31794</v>
      </c>
      <c r="I3078" s="6">
        <v>526.6875</v>
      </c>
      <c r="J3078" s="2">
        <f t="shared" si="48"/>
        <v>43748.672102615739</v>
      </c>
    </row>
    <row r="3079" spans="1:10" x14ac:dyDescent="0.25">
      <c r="A3079" s="7" t="s">
        <v>31795</v>
      </c>
      <c r="B3079" s="8">
        <v>393.75</v>
      </c>
      <c r="C3079" s="8">
        <v>20.531590000000001</v>
      </c>
      <c r="D3079" s="8">
        <v>68</v>
      </c>
      <c r="E3079" s="8">
        <v>0</v>
      </c>
      <c r="F3079" s="8">
        <v>0</v>
      </c>
      <c r="G3079" s="8">
        <v>9</v>
      </c>
      <c r="H3079" s="8" t="s">
        <v>31796</v>
      </c>
      <c r="I3079" s="8">
        <v>526.6875</v>
      </c>
      <c r="J3079" s="3">
        <f t="shared" si="48"/>
        <v>43748.672185983793</v>
      </c>
    </row>
    <row r="3080" spans="1:10" x14ac:dyDescent="0.25">
      <c r="A3080" s="5" t="s">
        <v>31797</v>
      </c>
      <c r="B3080" s="6">
        <v>393.75</v>
      </c>
      <c r="C3080" s="6">
        <v>20.531590000000001</v>
      </c>
      <c r="D3080" s="6">
        <v>68</v>
      </c>
      <c r="E3080" s="6">
        <v>0</v>
      </c>
      <c r="F3080" s="6">
        <v>0</v>
      </c>
      <c r="G3080" s="6">
        <v>10</v>
      </c>
      <c r="H3080" s="6" t="s">
        <v>31798</v>
      </c>
      <c r="I3080" s="6">
        <v>526.6875</v>
      </c>
      <c r="J3080" s="2">
        <f t="shared" si="48"/>
        <v>43748.672283981483</v>
      </c>
    </row>
    <row r="3081" spans="1:10" x14ac:dyDescent="0.25">
      <c r="A3081" s="7" t="s">
        <v>31799</v>
      </c>
      <c r="B3081" s="8">
        <v>393.75</v>
      </c>
      <c r="C3081" s="8">
        <v>20.584240000000001</v>
      </c>
      <c r="D3081" s="8">
        <v>68</v>
      </c>
      <c r="E3081" s="8">
        <v>0</v>
      </c>
      <c r="F3081" s="8">
        <v>0</v>
      </c>
      <c r="G3081" s="8">
        <v>10</v>
      </c>
      <c r="H3081" s="8" t="s">
        <v>31800</v>
      </c>
      <c r="I3081" s="8">
        <v>526.6875</v>
      </c>
      <c r="J3081" s="3">
        <f t="shared" si="48"/>
        <v>43748.672365023151</v>
      </c>
    </row>
    <row r="3082" spans="1:10" x14ac:dyDescent="0.25">
      <c r="A3082" s="5" t="s">
        <v>31801</v>
      </c>
      <c r="B3082" s="6">
        <v>393.75</v>
      </c>
      <c r="C3082" s="6">
        <v>20.531590000000001</v>
      </c>
      <c r="D3082" s="6">
        <v>67</v>
      </c>
      <c r="E3082" s="6">
        <v>0</v>
      </c>
      <c r="F3082" s="6">
        <v>0</v>
      </c>
      <c r="G3082" s="6">
        <v>5</v>
      </c>
      <c r="H3082" s="6" t="s">
        <v>31802</v>
      </c>
      <c r="I3082" s="6">
        <v>526.6875</v>
      </c>
      <c r="J3082" s="2">
        <f t="shared" si="48"/>
        <v>43748.67244858796</v>
      </c>
    </row>
    <row r="3083" spans="1:10" x14ac:dyDescent="0.25">
      <c r="A3083" s="7" t="s">
        <v>31803</v>
      </c>
      <c r="B3083" s="8">
        <v>393.75</v>
      </c>
      <c r="C3083" s="8">
        <v>20.531590000000001</v>
      </c>
      <c r="D3083" s="8">
        <v>67</v>
      </c>
      <c r="E3083" s="8">
        <v>0</v>
      </c>
      <c r="F3083" s="8">
        <v>0</v>
      </c>
      <c r="G3083" s="8">
        <v>5</v>
      </c>
      <c r="H3083" s="8" t="s">
        <v>31804</v>
      </c>
      <c r="I3083" s="8">
        <v>526.6875</v>
      </c>
      <c r="J3083" s="3">
        <f t="shared" si="48"/>
        <v>43748.672532037039</v>
      </c>
    </row>
    <row r="3084" spans="1:10" x14ac:dyDescent="0.25">
      <c r="A3084" s="5" t="s">
        <v>31805</v>
      </c>
      <c r="B3084" s="6">
        <v>393.75</v>
      </c>
      <c r="C3084" s="6">
        <v>20.531590000000001</v>
      </c>
      <c r="D3084" s="6">
        <v>67</v>
      </c>
      <c r="E3084" s="6">
        <v>0</v>
      </c>
      <c r="F3084" s="6">
        <v>0</v>
      </c>
      <c r="G3084" s="6">
        <v>10</v>
      </c>
      <c r="H3084" s="6" t="s">
        <v>31806</v>
      </c>
      <c r="I3084" s="6">
        <v>526.6875</v>
      </c>
      <c r="J3084" s="2">
        <f t="shared" si="48"/>
        <v>43748.672615601849</v>
      </c>
    </row>
    <row r="3085" spans="1:10" x14ac:dyDescent="0.25">
      <c r="A3085" s="7" t="s">
        <v>31807</v>
      </c>
      <c r="B3085" s="8">
        <v>393.75</v>
      </c>
      <c r="C3085" s="8">
        <v>20.531590000000001</v>
      </c>
      <c r="D3085" s="8">
        <v>67</v>
      </c>
      <c r="E3085" s="8">
        <v>0</v>
      </c>
      <c r="F3085" s="8">
        <v>0</v>
      </c>
      <c r="G3085" s="8">
        <v>6</v>
      </c>
      <c r="H3085" s="8" t="s">
        <v>31808</v>
      </c>
      <c r="I3085" s="8">
        <v>526.6875</v>
      </c>
      <c r="J3085" s="3">
        <f t="shared" si="48"/>
        <v>43748.672699039351</v>
      </c>
    </row>
    <row r="3086" spans="1:10" x14ac:dyDescent="0.25">
      <c r="A3086" s="5" t="s">
        <v>31809</v>
      </c>
      <c r="B3086" s="6">
        <v>393.75</v>
      </c>
      <c r="C3086" s="6">
        <v>20.584240000000001</v>
      </c>
      <c r="D3086" s="6">
        <v>68</v>
      </c>
      <c r="E3086" s="6">
        <v>0</v>
      </c>
      <c r="F3086" s="6">
        <v>0</v>
      </c>
      <c r="G3086" s="6">
        <v>4</v>
      </c>
      <c r="H3086" s="6" t="s">
        <v>31810</v>
      </c>
      <c r="I3086" s="6">
        <v>526.6875</v>
      </c>
      <c r="J3086" s="2">
        <f t="shared" si="48"/>
        <v>43748.672782280089</v>
      </c>
    </row>
    <row r="3087" spans="1:10" x14ac:dyDescent="0.25">
      <c r="A3087" s="7" t="s">
        <v>31811</v>
      </c>
      <c r="B3087" s="8">
        <v>412.5</v>
      </c>
      <c r="C3087" s="8">
        <v>20.531590000000001</v>
      </c>
      <c r="D3087" s="8">
        <v>68</v>
      </c>
      <c r="E3087" s="8">
        <v>0</v>
      </c>
      <c r="F3087" s="8">
        <v>0</v>
      </c>
      <c r="G3087" s="8">
        <v>9</v>
      </c>
      <c r="H3087" s="8" t="s">
        <v>31812</v>
      </c>
      <c r="I3087" s="8">
        <v>532.5</v>
      </c>
      <c r="J3087" s="3">
        <f t="shared" si="48"/>
        <v>43748.672853900462</v>
      </c>
    </row>
    <row r="3088" spans="1:10" x14ac:dyDescent="0.25">
      <c r="A3088" s="5" t="s">
        <v>31813</v>
      </c>
      <c r="B3088" s="6">
        <v>393.75</v>
      </c>
      <c r="C3088" s="6">
        <v>20.531590000000001</v>
      </c>
      <c r="D3088" s="6">
        <v>68</v>
      </c>
      <c r="E3088" s="6">
        <v>0</v>
      </c>
      <c r="F3088" s="6">
        <v>0</v>
      </c>
      <c r="G3088" s="6">
        <v>2</v>
      </c>
      <c r="H3088" s="6" t="s">
        <v>31814</v>
      </c>
      <c r="I3088" s="6">
        <v>526.6875</v>
      </c>
      <c r="J3088" s="2">
        <f t="shared" si="48"/>
        <v>43748.672937592586</v>
      </c>
    </row>
    <row r="3089" spans="1:10" x14ac:dyDescent="0.25">
      <c r="A3089" s="7" t="s">
        <v>31815</v>
      </c>
      <c r="B3089" s="8">
        <v>393.75</v>
      </c>
      <c r="C3089" s="8">
        <v>20.584240000000001</v>
      </c>
      <c r="D3089" s="8">
        <v>67</v>
      </c>
      <c r="E3089" s="8">
        <v>0</v>
      </c>
      <c r="F3089" s="8">
        <v>0</v>
      </c>
      <c r="G3089" s="8">
        <v>5</v>
      </c>
      <c r="H3089" s="8" t="s">
        <v>31816</v>
      </c>
      <c r="I3089" s="8">
        <v>526.6875</v>
      </c>
      <c r="J3089" s="3">
        <f t="shared" si="48"/>
        <v>43748.673021030088</v>
      </c>
    </row>
    <row r="3090" spans="1:10" x14ac:dyDescent="0.25">
      <c r="A3090" s="5" t="s">
        <v>31817</v>
      </c>
      <c r="B3090" s="6">
        <v>393.75</v>
      </c>
      <c r="C3090" s="6">
        <v>20.531590000000001</v>
      </c>
      <c r="D3090" s="6">
        <v>68</v>
      </c>
      <c r="E3090" s="6">
        <v>0</v>
      </c>
      <c r="F3090" s="6">
        <v>0</v>
      </c>
      <c r="G3090" s="6">
        <v>0</v>
      </c>
      <c r="H3090" s="6" t="s">
        <v>31818</v>
      </c>
      <c r="I3090" s="6">
        <v>526.6875</v>
      </c>
      <c r="J3090" s="2">
        <f t="shared" si="48"/>
        <v>43748.67310447916</v>
      </c>
    </row>
    <row r="3091" spans="1:10" x14ac:dyDescent="0.25">
      <c r="A3091" s="7" t="s">
        <v>31819</v>
      </c>
      <c r="B3091" s="8">
        <v>393.75</v>
      </c>
      <c r="C3091" s="8">
        <v>20.584240000000001</v>
      </c>
      <c r="D3091" s="8">
        <v>71</v>
      </c>
      <c r="E3091" s="8">
        <v>0</v>
      </c>
      <c r="F3091" s="8">
        <v>0</v>
      </c>
      <c r="G3091" s="8">
        <v>5</v>
      </c>
      <c r="H3091" s="8" t="s">
        <v>31820</v>
      </c>
      <c r="I3091" s="8">
        <v>526.6875</v>
      </c>
      <c r="J3091" s="3">
        <f t="shared" si="48"/>
        <v>43748.673187939814</v>
      </c>
    </row>
    <row r="3092" spans="1:10" x14ac:dyDescent="0.25">
      <c r="A3092" s="5" t="s">
        <v>31821</v>
      </c>
      <c r="B3092" s="6">
        <v>412.5</v>
      </c>
      <c r="C3092" s="6">
        <v>20.531590000000001</v>
      </c>
      <c r="D3092" s="6">
        <v>71</v>
      </c>
      <c r="E3092" s="6">
        <v>0</v>
      </c>
      <c r="F3092" s="6">
        <v>0</v>
      </c>
      <c r="G3092" s="6">
        <v>4</v>
      </c>
      <c r="H3092" s="6" t="s">
        <v>31822</v>
      </c>
      <c r="I3092" s="6">
        <v>532.5</v>
      </c>
      <c r="J3092" s="2">
        <f t="shared" si="48"/>
        <v>43748.673271145832</v>
      </c>
    </row>
    <row r="3093" spans="1:10" x14ac:dyDescent="0.25">
      <c r="A3093" s="7" t="s">
        <v>31823</v>
      </c>
      <c r="B3093" s="8">
        <v>393.75</v>
      </c>
      <c r="C3093" s="8">
        <v>20.531590000000001</v>
      </c>
      <c r="D3093" s="8">
        <v>71</v>
      </c>
      <c r="E3093" s="8">
        <v>0</v>
      </c>
      <c r="F3093" s="8">
        <v>0</v>
      </c>
      <c r="G3093" s="8">
        <v>7</v>
      </c>
      <c r="H3093" s="8" t="s">
        <v>31824</v>
      </c>
      <c r="I3093" s="8">
        <v>526.6875</v>
      </c>
      <c r="J3093" s="3">
        <f t="shared" si="48"/>
        <v>43748.673355057872</v>
      </c>
    </row>
    <row r="3094" spans="1:10" x14ac:dyDescent="0.25">
      <c r="A3094" s="5" t="s">
        <v>31825</v>
      </c>
      <c r="B3094" s="6">
        <v>393.75</v>
      </c>
      <c r="C3094" s="6">
        <v>20.584240000000001</v>
      </c>
      <c r="D3094" s="6">
        <v>71</v>
      </c>
      <c r="E3094" s="6">
        <v>0</v>
      </c>
      <c r="F3094" s="6">
        <v>0</v>
      </c>
      <c r="G3094" s="6">
        <v>4</v>
      </c>
      <c r="H3094" s="6" t="s">
        <v>31826</v>
      </c>
      <c r="I3094" s="6">
        <v>526.5</v>
      </c>
      <c r="J3094" s="2">
        <f t="shared" si="48"/>
        <v>43748.673438275458</v>
      </c>
    </row>
    <row r="3095" spans="1:10" x14ac:dyDescent="0.25">
      <c r="A3095" s="7" t="s">
        <v>31827</v>
      </c>
      <c r="B3095" s="8">
        <v>393.75</v>
      </c>
      <c r="C3095" s="8">
        <v>20.531590000000001</v>
      </c>
      <c r="D3095" s="8">
        <v>70</v>
      </c>
      <c r="E3095" s="8">
        <v>0</v>
      </c>
      <c r="F3095" s="8">
        <v>0</v>
      </c>
      <c r="G3095" s="8">
        <v>11</v>
      </c>
      <c r="H3095" s="8" t="s">
        <v>31828</v>
      </c>
      <c r="I3095" s="8">
        <v>526.6875</v>
      </c>
      <c r="J3095" s="3">
        <f t="shared" si="48"/>
        <v>43748.673510023145</v>
      </c>
    </row>
    <row r="3096" spans="1:10" x14ac:dyDescent="0.25">
      <c r="A3096" s="5" t="s">
        <v>31829</v>
      </c>
      <c r="B3096" s="6">
        <v>393.75</v>
      </c>
      <c r="C3096" s="6">
        <v>20.584240000000001</v>
      </c>
      <c r="D3096" s="6">
        <v>70</v>
      </c>
      <c r="E3096" s="6">
        <v>0</v>
      </c>
      <c r="F3096" s="6">
        <v>0</v>
      </c>
      <c r="G3096" s="6">
        <v>8</v>
      </c>
      <c r="H3096" s="6" t="s">
        <v>31830</v>
      </c>
      <c r="I3096" s="6">
        <v>526.6875</v>
      </c>
      <c r="J3096" s="2">
        <f t="shared" si="48"/>
        <v>43748.673593368054</v>
      </c>
    </row>
    <row r="3097" spans="1:10" x14ac:dyDescent="0.25">
      <c r="A3097" s="7" t="s">
        <v>31831</v>
      </c>
      <c r="B3097" s="8">
        <v>393.75</v>
      </c>
      <c r="C3097" s="8">
        <v>20.531590000000001</v>
      </c>
      <c r="D3097" s="8">
        <v>70</v>
      </c>
      <c r="E3097" s="8">
        <v>0</v>
      </c>
      <c r="F3097" s="8">
        <v>0</v>
      </c>
      <c r="G3097" s="8">
        <v>0</v>
      </c>
      <c r="H3097" s="8" t="s">
        <v>31832</v>
      </c>
      <c r="I3097" s="8">
        <v>526.6875</v>
      </c>
      <c r="J3097" s="3">
        <f t="shared" si="48"/>
        <v>43748.673665011571</v>
      </c>
    </row>
    <row r="3098" spans="1:10" x14ac:dyDescent="0.25">
      <c r="A3098" s="5" t="s">
        <v>31833</v>
      </c>
      <c r="B3098" s="6">
        <v>393.75</v>
      </c>
      <c r="C3098" s="6">
        <v>20.531590000000001</v>
      </c>
      <c r="D3098" s="6">
        <v>70</v>
      </c>
      <c r="E3098" s="6">
        <v>0</v>
      </c>
      <c r="F3098" s="6">
        <v>0</v>
      </c>
      <c r="G3098" s="6">
        <v>4</v>
      </c>
      <c r="H3098" s="6" t="s">
        <v>31834</v>
      </c>
      <c r="I3098" s="6">
        <v>526.6875</v>
      </c>
      <c r="J3098" s="2">
        <f t="shared" si="48"/>
        <v>43748.673748472218</v>
      </c>
    </row>
    <row r="3099" spans="1:10" x14ac:dyDescent="0.25">
      <c r="A3099" s="7" t="s">
        <v>31835</v>
      </c>
      <c r="B3099" s="8">
        <v>393.75</v>
      </c>
      <c r="C3099" s="8">
        <v>20.478950000000001</v>
      </c>
      <c r="D3099" s="8">
        <v>68</v>
      </c>
      <c r="E3099" s="8">
        <v>0</v>
      </c>
      <c r="F3099" s="8">
        <v>0</v>
      </c>
      <c r="G3099" s="8">
        <v>0</v>
      </c>
      <c r="H3099" s="8" t="s">
        <v>31836</v>
      </c>
      <c r="I3099" s="8">
        <v>526.6875</v>
      </c>
      <c r="J3099" s="3">
        <f t="shared" si="48"/>
        <v>43748.673832025459</v>
      </c>
    </row>
    <row r="3100" spans="1:10" x14ac:dyDescent="0.25">
      <c r="A3100" s="5" t="s">
        <v>31837</v>
      </c>
      <c r="B3100" s="6">
        <v>393.75</v>
      </c>
      <c r="C3100" s="6">
        <v>20.531590000000001</v>
      </c>
      <c r="D3100" s="6">
        <v>68</v>
      </c>
      <c r="E3100" s="6">
        <v>0</v>
      </c>
      <c r="F3100" s="6">
        <v>0</v>
      </c>
      <c r="G3100" s="6">
        <v>5</v>
      </c>
      <c r="H3100" s="6" t="s">
        <v>31838</v>
      </c>
      <c r="I3100" s="6">
        <v>526.6875</v>
      </c>
      <c r="J3100" s="2">
        <f t="shared" si="48"/>
        <v>43748.673915590276</v>
      </c>
    </row>
    <row r="3101" spans="1:10" x14ac:dyDescent="0.25">
      <c r="A3101" s="7" t="s">
        <v>31839</v>
      </c>
      <c r="B3101" s="8">
        <v>393.75</v>
      </c>
      <c r="C3101" s="8">
        <v>20.584240000000001</v>
      </c>
      <c r="D3101" s="8">
        <v>69</v>
      </c>
      <c r="E3101" s="8">
        <v>0</v>
      </c>
      <c r="F3101" s="8">
        <v>0</v>
      </c>
      <c r="G3101" s="8">
        <v>11</v>
      </c>
      <c r="H3101" s="8" t="s">
        <v>31840</v>
      </c>
      <c r="I3101" s="8">
        <v>526.5</v>
      </c>
      <c r="J3101" s="3">
        <f t="shared" si="48"/>
        <v>43748.673999027778</v>
      </c>
    </row>
    <row r="3102" spans="1:10" x14ac:dyDescent="0.25">
      <c r="A3102" s="5" t="s">
        <v>31841</v>
      </c>
      <c r="B3102" s="6">
        <v>393.75</v>
      </c>
      <c r="C3102" s="6">
        <v>20.531590000000001</v>
      </c>
      <c r="D3102" s="6">
        <v>69</v>
      </c>
      <c r="E3102" s="6">
        <v>0</v>
      </c>
      <c r="F3102" s="6">
        <v>0</v>
      </c>
      <c r="G3102" s="6">
        <v>6</v>
      </c>
      <c r="H3102" s="6" t="s">
        <v>31842</v>
      </c>
      <c r="I3102" s="6">
        <v>526.6875</v>
      </c>
      <c r="J3102" s="2">
        <f t="shared" si="48"/>
        <v>43748.674082245365</v>
      </c>
    </row>
    <row r="3103" spans="1:10" x14ac:dyDescent="0.25">
      <c r="A3103" s="7" t="s">
        <v>31843</v>
      </c>
      <c r="B3103" s="8">
        <v>393.75</v>
      </c>
      <c r="C3103" s="8">
        <v>20.531590000000001</v>
      </c>
      <c r="D3103" s="8">
        <v>69</v>
      </c>
      <c r="E3103" s="8">
        <v>0</v>
      </c>
      <c r="F3103" s="8">
        <v>0</v>
      </c>
      <c r="G3103" s="8">
        <v>11</v>
      </c>
      <c r="H3103" s="8" t="s">
        <v>31844</v>
      </c>
      <c r="I3103" s="8">
        <v>526.6875</v>
      </c>
      <c r="J3103" s="3">
        <f t="shared" si="48"/>
        <v>43748.674154016197</v>
      </c>
    </row>
    <row r="3104" spans="1:10" x14ac:dyDescent="0.25">
      <c r="A3104" s="5" t="s">
        <v>31845</v>
      </c>
      <c r="B3104" s="6">
        <v>393.75</v>
      </c>
      <c r="C3104" s="6">
        <v>20.531590000000001</v>
      </c>
      <c r="D3104" s="6">
        <v>70</v>
      </c>
      <c r="E3104" s="6">
        <v>0</v>
      </c>
      <c r="F3104" s="6">
        <v>0</v>
      </c>
      <c r="G3104" s="6">
        <v>9</v>
      </c>
      <c r="H3104" s="6" t="s">
        <v>31846</v>
      </c>
      <c r="I3104" s="6">
        <v>526.6875</v>
      </c>
      <c r="J3104" s="2">
        <f t="shared" si="48"/>
        <v>43748.674237812498</v>
      </c>
    </row>
    <row r="3105" spans="1:10" x14ac:dyDescent="0.25">
      <c r="A3105" s="7" t="s">
        <v>31847</v>
      </c>
      <c r="B3105" s="8">
        <v>412.5</v>
      </c>
      <c r="C3105" s="8">
        <v>20.531590000000001</v>
      </c>
      <c r="D3105" s="8">
        <v>71</v>
      </c>
      <c r="E3105" s="8">
        <v>0</v>
      </c>
      <c r="F3105" s="8">
        <v>0</v>
      </c>
      <c r="G3105" s="8">
        <v>7</v>
      </c>
      <c r="H3105" s="8" t="s">
        <v>31848</v>
      </c>
      <c r="I3105" s="8">
        <v>532.3125</v>
      </c>
      <c r="J3105" s="3">
        <f t="shared" si="48"/>
        <v>43748.674321030092</v>
      </c>
    </row>
    <row r="3106" spans="1:10" x14ac:dyDescent="0.25">
      <c r="A3106" s="5" t="s">
        <v>31849</v>
      </c>
      <c r="B3106" s="6">
        <v>393.75</v>
      </c>
      <c r="C3106" s="6">
        <v>20.531590000000001</v>
      </c>
      <c r="D3106" s="6">
        <v>71</v>
      </c>
      <c r="E3106" s="6">
        <v>0</v>
      </c>
      <c r="F3106" s="6">
        <v>0</v>
      </c>
      <c r="G3106" s="6">
        <v>0</v>
      </c>
      <c r="H3106" s="6" t="s">
        <v>31850</v>
      </c>
      <c r="I3106" s="6">
        <v>526.6875</v>
      </c>
      <c r="J3106" s="2">
        <f t="shared" si="48"/>
        <v>43748.674404513884</v>
      </c>
    </row>
    <row r="3107" spans="1:10" x14ac:dyDescent="0.25">
      <c r="A3107" s="7" t="s">
        <v>31851</v>
      </c>
      <c r="B3107" s="8">
        <v>393.75</v>
      </c>
      <c r="C3107" s="8">
        <v>20.584240000000001</v>
      </c>
      <c r="D3107" s="8">
        <v>71</v>
      </c>
      <c r="E3107" s="8">
        <v>0</v>
      </c>
      <c r="F3107" s="8">
        <v>0</v>
      </c>
      <c r="G3107" s="8">
        <v>12</v>
      </c>
      <c r="H3107" s="8" t="s">
        <v>31852</v>
      </c>
      <c r="I3107" s="8">
        <v>526.6875</v>
      </c>
      <c r="J3107" s="3">
        <f t="shared" si="48"/>
        <v>43748.674488032404</v>
      </c>
    </row>
    <row r="3108" spans="1:10" x14ac:dyDescent="0.25">
      <c r="A3108" s="5" t="s">
        <v>31853</v>
      </c>
      <c r="B3108" s="6">
        <v>393.75</v>
      </c>
      <c r="C3108" s="6">
        <v>20.531590000000001</v>
      </c>
      <c r="D3108" s="6">
        <v>71</v>
      </c>
      <c r="E3108" s="6">
        <v>0</v>
      </c>
      <c r="F3108" s="6">
        <v>0</v>
      </c>
      <c r="G3108" s="6">
        <v>19</v>
      </c>
      <c r="H3108" s="6" t="s">
        <v>31854</v>
      </c>
      <c r="I3108" s="6">
        <v>526.6875</v>
      </c>
      <c r="J3108" s="2">
        <f t="shared" si="48"/>
        <v>43748.674571261574</v>
      </c>
    </row>
    <row r="3109" spans="1:10" x14ac:dyDescent="0.25">
      <c r="A3109" s="7" t="s">
        <v>31855</v>
      </c>
      <c r="B3109" s="8">
        <v>393.75</v>
      </c>
      <c r="C3109" s="8">
        <v>20.531590000000001</v>
      </c>
      <c r="D3109" s="8">
        <v>70</v>
      </c>
      <c r="E3109" s="8">
        <v>0</v>
      </c>
      <c r="F3109" s="8">
        <v>0</v>
      </c>
      <c r="G3109" s="8">
        <v>14</v>
      </c>
      <c r="H3109" s="8" t="s">
        <v>31856</v>
      </c>
      <c r="I3109" s="8">
        <v>526.6875</v>
      </c>
      <c r="J3109" s="3">
        <f t="shared" si="48"/>
        <v>43748.674655057868</v>
      </c>
    </row>
    <row r="3110" spans="1:10" x14ac:dyDescent="0.25">
      <c r="A3110" s="5" t="s">
        <v>31857</v>
      </c>
      <c r="B3110" s="6">
        <v>393.75</v>
      </c>
      <c r="C3110" s="6">
        <v>20.478950000000001</v>
      </c>
      <c r="D3110" s="6">
        <v>71</v>
      </c>
      <c r="E3110" s="6">
        <v>0</v>
      </c>
      <c r="F3110" s="6">
        <v>0</v>
      </c>
      <c r="G3110" s="6">
        <v>7</v>
      </c>
      <c r="H3110" s="6" t="s">
        <v>31858</v>
      </c>
      <c r="I3110" s="6">
        <v>526.5</v>
      </c>
      <c r="J3110" s="2">
        <f t="shared" si="48"/>
        <v>43748.674738506939</v>
      </c>
    </row>
    <row r="3111" spans="1:10" x14ac:dyDescent="0.25">
      <c r="A3111" s="7" t="s">
        <v>31859</v>
      </c>
      <c r="B3111" s="8">
        <v>393.75</v>
      </c>
      <c r="C3111" s="8">
        <v>20.584240000000001</v>
      </c>
      <c r="D3111" s="8">
        <v>71</v>
      </c>
      <c r="E3111" s="8">
        <v>0</v>
      </c>
      <c r="F3111" s="8">
        <v>0</v>
      </c>
      <c r="G3111" s="8">
        <v>8</v>
      </c>
      <c r="H3111" s="8" t="s">
        <v>31860</v>
      </c>
      <c r="I3111" s="8">
        <v>526.6875</v>
      </c>
      <c r="J3111" s="3">
        <f t="shared" si="48"/>
        <v>43748.674810034725</v>
      </c>
    </row>
    <row r="3112" spans="1:10" x14ac:dyDescent="0.25">
      <c r="A3112" s="5" t="s">
        <v>31861</v>
      </c>
      <c r="B3112" s="6">
        <v>393.75</v>
      </c>
      <c r="C3112" s="6">
        <v>20.584240000000001</v>
      </c>
      <c r="D3112" s="6">
        <v>71</v>
      </c>
      <c r="E3112" s="6">
        <v>0</v>
      </c>
      <c r="F3112" s="6">
        <v>0</v>
      </c>
      <c r="G3112" s="6">
        <v>14</v>
      </c>
      <c r="H3112" s="6" t="s">
        <v>31862</v>
      </c>
      <c r="I3112" s="6">
        <v>526.6875</v>
      </c>
      <c r="J3112" s="2">
        <f t="shared" si="48"/>
        <v>43748.674893368057</v>
      </c>
    </row>
    <row r="3113" spans="1:10" x14ac:dyDescent="0.25">
      <c r="A3113" s="7" t="s">
        <v>31863</v>
      </c>
      <c r="B3113" s="8">
        <v>393.75</v>
      </c>
      <c r="C3113" s="8">
        <v>20.531590000000001</v>
      </c>
      <c r="D3113" s="8">
        <v>70</v>
      </c>
      <c r="E3113" s="8">
        <v>0</v>
      </c>
      <c r="F3113" s="8">
        <v>0</v>
      </c>
      <c r="G3113" s="8">
        <v>11</v>
      </c>
      <c r="H3113" s="8" t="s">
        <v>31864</v>
      </c>
      <c r="I3113" s="8">
        <v>526.6875</v>
      </c>
      <c r="J3113" s="3">
        <f t="shared" si="48"/>
        <v>43748.674977060182</v>
      </c>
    </row>
    <row r="3114" spans="1:10" x14ac:dyDescent="0.25">
      <c r="A3114" s="5" t="s">
        <v>31865</v>
      </c>
      <c r="B3114" s="6">
        <v>393.75</v>
      </c>
      <c r="C3114" s="6">
        <v>20.531590000000001</v>
      </c>
      <c r="D3114" s="6">
        <v>70</v>
      </c>
      <c r="E3114" s="6">
        <v>0</v>
      </c>
      <c r="F3114" s="6">
        <v>0</v>
      </c>
      <c r="G3114" s="6">
        <v>5</v>
      </c>
      <c r="H3114" s="6" t="s">
        <v>31866</v>
      </c>
      <c r="I3114" s="6">
        <v>526.6875</v>
      </c>
      <c r="J3114" s="2">
        <f t="shared" si="48"/>
        <v>43748.675060729169</v>
      </c>
    </row>
    <row r="3115" spans="1:10" x14ac:dyDescent="0.25">
      <c r="A3115" s="7" t="s">
        <v>31867</v>
      </c>
      <c r="B3115" s="8">
        <v>393.75</v>
      </c>
      <c r="C3115" s="8">
        <v>20.531590000000001</v>
      </c>
      <c r="D3115" s="8">
        <v>70</v>
      </c>
      <c r="E3115" s="8">
        <v>0</v>
      </c>
      <c r="F3115" s="8">
        <v>0</v>
      </c>
      <c r="G3115" s="8">
        <v>7</v>
      </c>
      <c r="H3115" s="8" t="s">
        <v>31868</v>
      </c>
      <c r="I3115" s="8">
        <v>526.6875</v>
      </c>
      <c r="J3115" s="3">
        <f t="shared" si="48"/>
        <v>43748.675131666663</v>
      </c>
    </row>
    <row r="3116" spans="1:10" x14ac:dyDescent="0.25">
      <c r="A3116" s="5" t="s">
        <v>31869</v>
      </c>
      <c r="B3116" s="6">
        <v>393.75</v>
      </c>
      <c r="C3116" s="6">
        <v>20.531590000000001</v>
      </c>
      <c r="D3116" s="6">
        <v>68</v>
      </c>
      <c r="E3116" s="6">
        <v>0</v>
      </c>
      <c r="F3116" s="6">
        <v>0</v>
      </c>
      <c r="G3116" s="6">
        <v>14</v>
      </c>
      <c r="H3116" s="6" t="s">
        <v>31870</v>
      </c>
      <c r="I3116" s="6">
        <v>526.6875</v>
      </c>
      <c r="J3116" s="2">
        <f t="shared" si="48"/>
        <v>43748.675215578704</v>
      </c>
    </row>
    <row r="3117" spans="1:10" x14ac:dyDescent="0.25">
      <c r="A3117" s="7" t="s">
        <v>31871</v>
      </c>
      <c r="B3117" s="8">
        <v>393.75</v>
      </c>
      <c r="C3117" s="8">
        <v>20.531590000000001</v>
      </c>
      <c r="D3117" s="8">
        <v>68</v>
      </c>
      <c r="E3117" s="8">
        <v>0</v>
      </c>
      <c r="F3117" s="8">
        <v>0</v>
      </c>
      <c r="G3117" s="8">
        <v>12</v>
      </c>
      <c r="H3117" s="8" t="s">
        <v>31872</v>
      </c>
      <c r="I3117" s="8">
        <v>526.6875</v>
      </c>
      <c r="J3117" s="3">
        <f t="shared" si="48"/>
        <v>43748.67529879629</v>
      </c>
    </row>
    <row r="3118" spans="1:10" x14ac:dyDescent="0.25">
      <c r="A3118" s="5" t="s">
        <v>31873</v>
      </c>
      <c r="B3118" s="6">
        <v>393.75</v>
      </c>
      <c r="C3118" s="6">
        <v>20.531590000000001</v>
      </c>
      <c r="D3118" s="6">
        <v>68</v>
      </c>
      <c r="E3118" s="6">
        <v>0</v>
      </c>
      <c r="F3118" s="6">
        <v>0</v>
      </c>
      <c r="G3118" s="6">
        <v>8</v>
      </c>
      <c r="H3118" s="6" t="s">
        <v>31874</v>
      </c>
      <c r="I3118" s="6">
        <v>526.6875</v>
      </c>
      <c r="J3118" s="2">
        <f t="shared" si="48"/>
        <v>43748.675396134255</v>
      </c>
    </row>
    <row r="3119" spans="1:10" x14ac:dyDescent="0.25">
      <c r="A3119" s="7" t="s">
        <v>31875</v>
      </c>
      <c r="B3119" s="8">
        <v>393.75</v>
      </c>
      <c r="C3119" s="8">
        <v>20.584240000000001</v>
      </c>
      <c r="D3119" s="8">
        <v>69</v>
      </c>
      <c r="E3119" s="8">
        <v>0</v>
      </c>
      <c r="F3119" s="8">
        <v>0</v>
      </c>
      <c r="G3119" s="8">
        <v>10</v>
      </c>
      <c r="H3119" s="8" t="s">
        <v>31876</v>
      </c>
      <c r="I3119" s="8">
        <v>526.5</v>
      </c>
      <c r="J3119" s="3">
        <f t="shared" si="48"/>
        <v>43748.675477997684</v>
      </c>
    </row>
    <row r="3120" spans="1:10" x14ac:dyDescent="0.25">
      <c r="A3120" s="5" t="s">
        <v>31877</v>
      </c>
      <c r="B3120" s="6">
        <v>393.75</v>
      </c>
      <c r="C3120" s="6">
        <v>20.531590000000001</v>
      </c>
      <c r="D3120" s="6">
        <v>69</v>
      </c>
      <c r="E3120" s="6">
        <v>0</v>
      </c>
      <c r="F3120" s="6">
        <v>0</v>
      </c>
      <c r="G3120" s="6">
        <v>10</v>
      </c>
      <c r="H3120" s="6" t="s">
        <v>31878</v>
      </c>
      <c r="I3120" s="6">
        <v>526.6875</v>
      </c>
      <c r="J3120" s="2">
        <f t="shared" si="48"/>
        <v>43748.675561400458</v>
      </c>
    </row>
    <row r="3121" spans="1:10" x14ac:dyDescent="0.25">
      <c r="A3121" s="7" t="s">
        <v>31879</v>
      </c>
      <c r="B3121" s="8">
        <v>393.75</v>
      </c>
      <c r="C3121" s="8">
        <v>20.531590000000001</v>
      </c>
      <c r="D3121" s="8">
        <v>69</v>
      </c>
      <c r="E3121" s="8">
        <v>0</v>
      </c>
      <c r="F3121" s="8">
        <v>0</v>
      </c>
      <c r="G3121" s="8">
        <v>7</v>
      </c>
      <c r="H3121" s="8" t="s">
        <v>31880</v>
      </c>
      <c r="I3121" s="8">
        <v>526.6875</v>
      </c>
      <c r="J3121" s="3">
        <f t="shared" si="48"/>
        <v>43748.675644872681</v>
      </c>
    </row>
    <row r="3122" spans="1:10" x14ac:dyDescent="0.25">
      <c r="A3122" s="5" t="s">
        <v>31881</v>
      </c>
      <c r="B3122" s="6">
        <v>393.75</v>
      </c>
      <c r="C3122" s="6">
        <v>20.531590000000001</v>
      </c>
      <c r="D3122" s="6">
        <v>71</v>
      </c>
      <c r="E3122" s="6">
        <v>0</v>
      </c>
      <c r="F3122" s="6">
        <v>0</v>
      </c>
      <c r="G3122" s="6">
        <v>10</v>
      </c>
      <c r="H3122" s="6" t="s">
        <v>31882</v>
      </c>
      <c r="I3122" s="6">
        <v>526.6875</v>
      </c>
      <c r="J3122" s="2">
        <f t="shared" si="48"/>
        <v>43748.675728437498</v>
      </c>
    </row>
    <row r="3123" spans="1:10" x14ac:dyDescent="0.25">
      <c r="A3123" s="7" t="s">
        <v>31883</v>
      </c>
      <c r="B3123" s="8">
        <v>393.75</v>
      </c>
      <c r="C3123" s="8">
        <v>20.531590000000001</v>
      </c>
      <c r="D3123" s="8">
        <v>70</v>
      </c>
      <c r="E3123" s="8">
        <v>0</v>
      </c>
      <c r="F3123" s="8">
        <v>0</v>
      </c>
      <c r="G3123" s="8">
        <v>17</v>
      </c>
      <c r="H3123" s="8" t="s">
        <v>31884</v>
      </c>
      <c r="I3123" s="8">
        <v>526.6875</v>
      </c>
      <c r="J3123" s="3">
        <f t="shared" si="48"/>
        <v>43748.675811886576</v>
      </c>
    </row>
    <row r="3124" spans="1:10" x14ac:dyDescent="0.25">
      <c r="A3124" s="5" t="s">
        <v>31885</v>
      </c>
      <c r="B3124" s="6">
        <v>393.75</v>
      </c>
      <c r="C3124" s="6">
        <v>20.531590000000001</v>
      </c>
      <c r="D3124" s="6">
        <v>70</v>
      </c>
      <c r="E3124" s="6">
        <v>0</v>
      </c>
      <c r="F3124" s="6">
        <v>0</v>
      </c>
      <c r="G3124" s="6">
        <v>14</v>
      </c>
      <c r="H3124" s="6" t="s">
        <v>31886</v>
      </c>
      <c r="I3124" s="6">
        <v>526.6875</v>
      </c>
      <c r="J3124" s="2">
        <f t="shared" si="48"/>
        <v>43748.675895312503</v>
      </c>
    </row>
    <row r="3125" spans="1:10" x14ac:dyDescent="0.25">
      <c r="A3125" s="7" t="s">
        <v>31887</v>
      </c>
      <c r="B3125" s="8">
        <v>393.75</v>
      </c>
      <c r="C3125" s="8">
        <v>20.584240000000001</v>
      </c>
      <c r="D3125" s="8">
        <v>70</v>
      </c>
      <c r="E3125" s="8">
        <v>0</v>
      </c>
      <c r="F3125" s="8">
        <v>0</v>
      </c>
      <c r="G3125" s="8">
        <v>0</v>
      </c>
      <c r="H3125" s="8" t="s">
        <v>31888</v>
      </c>
      <c r="I3125" s="8">
        <v>526.6875</v>
      </c>
      <c r="J3125" s="3">
        <f t="shared" si="48"/>
        <v>43748.675978530089</v>
      </c>
    </row>
    <row r="3126" spans="1:10" x14ac:dyDescent="0.25">
      <c r="A3126" s="5" t="s">
        <v>31889</v>
      </c>
      <c r="B3126" s="6">
        <v>393.75</v>
      </c>
      <c r="C3126" s="6">
        <v>20.531590000000001</v>
      </c>
      <c r="D3126" s="6">
        <v>70</v>
      </c>
      <c r="E3126" s="6">
        <v>0</v>
      </c>
      <c r="F3126" s="6">
        <v>0</v>
      </c>
      <c r="G3126" s="6">
        <v>15</v>
      </c>
      <c r="H3126" s="6" t="s">
        <v>31890</v>
      </c>
      <c r="I3126" s="6">
        <v>526.6875</v>
      </c>
      <c r="J3126" s="2">
        <f t="shared" si="48"/>
        <v>43748.676050300921</v>
      </c>
    </row>
    <row r="3127" spans="1:10" x14ac:dyDescent="0.25">
      <c r="A3127" s="7" t="s">
        <v>31891</v>
      </c>
      <c r="B3127" s="8">
        <v>393.75</v>
      </c>
      <c r="C3127" s="8">
        <v>20.478950000000001</v>
      </c>
      <c r="D3127" s="8">
        <v>70</v>
      </c>
      <c r="E3127" s="8">
        <v>0</v>
      </c>
      <c r="F3127" s="8">
        <v>0</v>
      </c>
      <c r="G3127" s="8">
        <v>19</v>
      </c>
      <c r="H3127" s="8" t="s">
        <v>31892</v>
      </c>
      <c r="I3127" s="8">
        <v>526.6875</v>
      </c>
      <c r="J3127" s="3">
        <f t="shared" si="48"/>
        <v>43748.676134097223</v>
      </c>
    </row>
    <row r="3128" spans="1:10" x14ac:dyDescent="0.25">
      <c r="A3128" s="5" t="s">
        <v>31893</v>
      </c>
      <c r="B3128" s="6">
        <v>393.75</v>
      </c>
      <c r="C3128" s="6">
        <v>20.584240000000001</v>
      </c>
      <c r="D3128" s="6">
        <v>69</v>
      </c>
      <c r="E3128" s="6">
        <v>0</v>
      </c>
      <c r="F3128" s="6">
        <v>0</v>
      </c>
      <c r="G3128" s="6">
        <v>15</v>
      </c>
      <c r="H3128" s="6" t="s">
        <v>31894</v>
      </c>
      <c r="I3128" s="6">
        <v>526.6875</v>
      </c>
      <c r="J3128" s="2">
        <f t="shared" si="48"/>
        <v>43748.676217314809</v>
      </c>
    </row>
    <row r="3129" spans="1:10" x14ac:dyDescent="0.25">
      <c r="A3129" s="7" t="s">
        <v>31895</v>
      </c>
      <c r="B3129" s="8">
        <v>393.75</v>
      </c>
      <c r="C3129" s="8">
        <v>20.531590000000001</v>
      </c>
      <c r="D3129" s="8">
        <v>69</v>
      </c>
      <c r="E3129" s="8">
        <v>0</v>
      </c>
      <c r="F3129" s="8">
        <v>0</v>
      </c>
      <c r="G3129" s="8">
        <v>17</v>
      </c>
      <c r="H3129" s="8" t="s">
        <v>31896</v>
      </c>
      <c r="I3129" s="8">
        <v>526.6875</v>
      </c>
      <c r="J3129" s="3">
        <f t="shared" si="48"/>
        <v>43748.676300752311</v>
      </c>
    </row>
    <row r="3130" spans="1:10" x14ac:dyDescent="0.25">
      <c r="A3130" s="5" t="s">
        <v>31897</v>
      </c>
      <c r="B3130" s="6">
        <v>393.75</v>
      </c>
      <c r="C3130" s="6">
        <v>20.531590000000001</v>
      </c>
      <c r="D3130" s="6">
        <v>70</v>
      </c>
      <c r="E3130" s="6">
        <v>0</v>
      </c>
      <c r="F3130" s="6">
        <v>0</v>
      </c>
      <c r="G3130" s="6">
        <v>16</v>
      </c>
      <c r="H3130" s="6" t="s">
        <v>31898</v>
      </c>
      <c r="I3130" s="6">
        <v>526.6875</v>
      </c>
      <c r="J3130" s="2">
        <f t="shared" si="48"/>
        <v>43748.676384722225</v>
      </c>
    </row>
    <row r="3131" spans="1:10" x14ac:dyDescent="0.25">
      <c r="A3131" s="7" t="s">
        <v>31899</v>
      </c>
      <c r="B3131" s="8">
        <v>393.75</v>
      </c>
      <c r="C3131" s="8">
        <v>20.584240000000001</v>
      </c>
      <c r="D3131" s="8">
        <v>71</v>
      </c>
      <c r="E3131" s="8">
        <v>0</v>
      </c>
      <c r="F3131" s="8">
        <v>0</v>
      </c>
      <c r="G3131" s="8">
        <v>9</v>
      </c>
      <c r="H3131" s="8" t="s">
        <v>31900</v>
      </c>
      <c r="I3131" s="8">
        <v>526.6875</v>
      </c>
      <c r="J3131" s="3">
        <f t="shared" si="48"/>
        <v>43748.676467546298</v>
      </c>
    </row>
    <row r="3132" spans="1:10" x14ac:dyDescent="0.25">
      <c r="A3132" s="5" t="s">
        <v>31901</v>
      </c>
      <c r="B3132" s="6">
        <v>393.75</v>
      </c>
      <c r="C3132" s="6">
        <v>20.531590000000001</v>
      </c>
      <c r="D3132" s="6">
        <v>71</v>
      </c>
      <c r="E3132" s="6">
        <v>0</v>
      </c>
      <c r="F3132" s="6">
        <v>0</v>
      </c>
      <c r="G3132" s="6">
        <v>18</v>
      </c>
      <c r="H3132" s="6" t="s">
        <v>31902</v>
      </c>
      <c r="I3132" s="6">
        <v>526.6875</v>
      </c>
      <c r="J3132" s="2">
        <f t="shared" si="48"/>
        <v>43748.676539432869</v>
      </c>
    </row>
    <row r="3133" spans="1:10" x14ac:dyDescent="0.25">
      <c r="A3133" s="7" t="s">
        <v>31903</v>
      </c>
      <c r="B3133" s="8">
        <v>393.75</v>
      </c>
      <c r="C3133" s="8">
        <v>20.531590000000001</v>
      </c>
      <c r="D3133" s="8">
        <v>71</v>
      </c>
      <c r="E3133" s="8">
        <v>0</v>
      </c>
      <c r="F3133" s="8">
        <v>0</v>
      </c>
      <c r="G3133" s="8">
        <v>12</v>
      </c>
      <c r="H3133" s="8" t="s">
        <v>31904</v>
      </c>
      <c r="I3133" s="8">
        <v>526.6875</v>
      </c>
      <c r="J3133" s="3">
        <f t="shared" si="48"/>
        <v>43748.676622974534</v>
      </c>
    </row>
    <row r="3134" spans="1:10" x14ac:dyDescent="0.25">
      <c r="A3134" s="5" t="s">
        <v>31905</v>
      </c>
      <c r="B3134" s="6">
        <v>412.5</v>
      </c>
      <c r="C3134" s="6">
        <v>20.531590000000001</v>
      </c>
      <c r="D3134" s="6">
        <v>71</v>
      </c>
      <c r="E3134" s="6">
        <v>0</v>
      </c>
      <c r="F3134" s="6">
        <v>0</v>
      </c>
      <c r="G3134" s="6">
        <v>6</v>
      </c>
      <c r="H3134" s="6" t="s">
        <v>31906</v>
      </c>
      <c r="I3134" s="6">
        <v>532.3125</v>
      </c>
      <c r="J3134" s="2">
        <f t="shared" si="48"/>
        <v>43748.676706307866</v>
      </c>
    </row>
    <row r="3135" spans="1:10" x14ac:dyDescent="0.25">
      <c r="A3135" s="7" t="s">
        <v>31907</v>
      </c>
      <c r="B3135" s="8">
        <v>393.75</v>
      </c>
      <c r="C3135" s="8">
        <v>20.531590000000001</v>
      </c>
      <c r="D3135" s="8">
        <v>71</v>
      </c>
      <c r="E3135" s="8">
        <v>0</v>
      </c>
      <c r="F3135" s="8">
        <v>0</v>
      </c>
      <c r="G3135" s="8">
        <v>12</v>
      </c>
      <c r="H3135" s="8" t="s">
        <v>31908</v>
      </c>
      <c r="I3135" s="8">
        <v>526.6875</v>
      </c>
      <c r="J3135" s="3">
        <f t="shared" si="48"/>
        <v>43748.676789664351</v>
      </c>
    </row>
    <row r="3136" spans="1:10" x14ac:dyDescent="0.25">
      <c r="A3136" s="5" t="s">
        <v>31909</v>
      </c>
      <c r="B3136" s="6">
        <v>393.75</v>
      </c>
      <c r="C3136" s="6">
        <v>20.531590000000001</v>
      </c>
      <c r="D3136" s="6">
        <v>71</v>
      </c>
      <c r="E3136" s="6">
        <v>0</v>
      </c>
      <c r="F3136" s="6">
        <v>0</v>
      </c>
      <c r="G3136" s="6">
        <v>11</v>
      </c>
      <c r="H3136" s="6" t="s">
        <v>31910</v>
      </c>
      <c r="I3136" s="6">
        <v>526.6875</v>
      </c>
      <c r="J3136" s="2">
        <f t="shared" si="48"/>
        <v>43748.67686141203</v>
      </c>
    </row>
    <row r="3137" spans="1:10" x14ac:dyDescent="0.25">
      <c r="A3137" s="7" t="s">
        <v>31911</v>
      </c>
      <c r="B3137" s="8">
        <v>393.75</v>
      </c>
      <c r="C3137" s="8">
        <v>20.478950000000001</v>
      </c>
      <c r="D3137" s="8">
        <v>69</v>
      </c>
      <c r="E3137" s="8">
        <v>0</v>
      </c>
      <c r="F3137" s="8">
        <v>0</v>
      </c>
      <c r="G3137" s="8">
        <v>14</v>
      </c>
      <c r="H3137" s="8" t="s">
        <v>31912</v>
      </c>
      <c r="I3137" s="8">
        <v>526.6875</v>
      </c>
      <c r="J3137" s="3">
        <f t="shared" si="48"/>
        <v>43748.676944965271</v>
      </c>
    </row>
    <row r="3138" spans="1:10" x14ac:dyDescent="0.25">
      <c r="A3138" s="5" t="s">
        <v>31913</v>
      </c>
      <c r="B3138" s="6">
        <v>393.75</v>
      </c>
      <c r="C3138" s="6">
        <v>20.531590000000001</v>
      </c>
      <c r="D3138" s="6">
        <v>69</v>
      </c>
      <c r="E3138" s="6">
        <v>0</v>
      </c>
      <c r="F3138" s="6">
        <v>0</v>
      </c>
      <c r="G3138" s="6">
        <v>9</v>
      </c>
      <c r="H3138" s="6" t="s">
        <v>31914</v>
      </c>
      <c r="I3138" s="6">
        <v>526.6875</v>
      </c>
      <c r="J3138" s="2">
        <f t="shared" ref="J3138:J3201" si="49">(H3138/86400000)+25569+(7/24)</f>
        <v>43748.677028425918</v>
      </c>
    </row>
    <row r="3139" spans="1:10" x14ac:dyDescent="0.25">
      <c r="A3139" s="7" t="s">
        <v>31915</v>
      </c>
      <c r="B3139" s="8">
        <v>412.5</v>
      </c>
      <c r="C3139" s="8">
        <v>20.531590000000001</v>
      </c>
      <c r="D3139" s="8">
        <v>70</v>
      </c>
      <c r="E3139" s="8">
        <v>0</v>
      </c>
      <c r="F3139" s="8">
        <v>0</v>
      </c>
      <c r="G3139" s="8">
        <v>18</v>
      </c>
      <c r="H3139" s="8" t="s">
        <v>31916</v>
      </c>
      <c r="I3139" s="8">
        <v>532.3125</v>
      </c>
      <c r="J3139" s="3">
        <f t="shared" si="49"/>
        <v>43748.677111886573</v>
      </c>
    </row>
    <row r="3140" spans="1:10" x14ac:dyDescent="0.25">
      <c r="A3140" s="5" t="s">
        <v>31917</v>
      </c>
      <c r="B3140" s="6">
        <v>393.75</v>
      </c>
      <c r="C3140" s="6">
        <v>20.478950000000001</v>
      </c>
      <c r="D3140" s="6">
        <v>70</v>
      </c>
      <c r="E3140" s="6">
        <v>0</v>
      </c>
      <c r="F3140" s="6">
        <v>0</v>
      </c>
      <c r="G3140" s="6">
        <v>15</v>
      </c>
      <c r="H3140" s="6" t="s">
        <v>31918</v>
      </c>
      <c r="I3140" s="6">
        <v>526.6875</v>
      </c>
      <c r="J3140" s="2">
        <f t="shared" si="49"/>
        <v>43748.677195543984</v>
      </c>
    </row>
    <row r="3141" spans="1:10" x14ac:dyDescent="0.25">
      <c r="A3141" s="7" t="s">
        <v>31919</v>
      </c>
      <c r="B3141" s="8">
        <v>393.75</v>
      </c>
      <c r="C3141" s="8">
        <v>20.531590000000001</v>
      </c>
      <c r="D3141" s="8">
        <v>70</v>
      </c>
      <c r="E3141" s="8">
        <v>0</v>
      </c>
      <c r="F3141" s="8">
        <v>0</v>
      </c>
      <c r="G3141" s="8">
        <v>7</v>
      </c>
      <c r="H3141" s="8" t="s">
        <v>31920</v>
      </c>
      <c r="I3141" s="8">
        <v>526.6875</v>
      </c>
      <c r="J3141" s="3">
        <f t="shared" si="49"/>
        <v>43748.677278530093</v>
      </c>
    </row>
    <row r="3142" spans="1:10" x14ac:dyDescent="0.25">
      <c r="A3142" s="5" t="s">
        <v>31921</v>
      </c>
      <c r="B3142" s="6">
        <v>393.75</v>
      </c>
      <c r="C3142" s="6">
        <v>20.531590000000001</v>
      </c>
      <c r="D3142" s="6">
        <v>70</v>
      </c>
      <c r="E3142" s="6">
        <v>0</v>
      </c>
      <c r="F3142" s="6">
        <v>0</v>
      </c>
      <c r="G3142" s="6">
        <v>12</v>
      </c>
      <c r="H3142" s="6" t="s">
        <v>31922</v>
      </c>
      <c r="I3142" s="6">
        <v>526.6875</v>
      </c>
      <c r="J3142" s="2">
        <f t="shared" si="49"/>
        <v>43748.677350428239</v>
      </c>
    </row>
    <row r="3143" spans="1:10" x14ac:dyDescent="0.25">
      <c r="A3143" s="7" t="s">
        <v>31923</v>
      </c>
      <c r="B3143" s="8">
        <v>393.75</v>
      </c>
      <c r="C3143" s="8">
        <v>20.531590000000001</v>
      </c>
      <c r="D3143" s="8">
        <v>69</v>
      </c>
      <c r="E3143" s="8">
        <v>0</v>
      </c>
      <c r="F3143" s="8">
        <v>0</v>
      </c>
      <c r="G3143" s="8">
        <v>17</v>
      </c>
      <c r="H3143" s="8" t="s">
        <v>31924</v>
      </c>
      <c r="I3143" s="8">
        <v>526.6875</v>
      </c>
      <c r="J3143" s="3">
        <f t="shared" si="49"/>
        <v>43748.677434085643</v>
      </c>
    </row>
    <row r="3144" spans="1:10" x14ac:dyDescent="0.25">
      <c r="A3144" s="5" t="s">
        <v>31925</v>
      </c>
      <c r="B3144" s="6">
        <v>393.75</v>
      </c>
      <c r="C3144" s="6">
        <v>20.531590000000001</v>
      </c>
      <c r="D3144" s="6">
        <v>70</v>
      </c>
      <c r="E3144" s="6">
        <v>0</v>
      </c>
      <c r="F3144" s="6">
        <v>0</v>
      </c>
      <c r="G3144" s="6">
        <v>23</v>
      </c>
      <c r="H3144" s="6" t="s">
        <v>31926</v>
      </c>
      <c r="I3144" s="6">
        <v>526.6875</v>
      </c>
      <c r="J3144" s="2">
        <f t="shared" si="49"/>
        <v>43748.677517442127</v>
      </c>
    </row>
    <row r="3145" spans="1:10" x14ac:dyDescent="0.25">
      <c r="A3145" s="7" t="s">
        <v>31927</v>
      </c>
      <c r="B3145" s="8">
        <v>393.75</v>
      </c>
      <c r="C3145" s="8">
        <v>20.531590000000001</v>
      </c>
      <c r="D3145" s="8">
        <v>70</v>
      </c>
      <c r="E3145" s="8">
        <v>0</v>
      </c>
      <c r="F3145" s="8">
        <v>0</v>
      </c>
      <c r="G3145" s="8">
        <v>8</v>
      </c>
      <c r="H3145" s="8" t="s">
        <v>31928</v>
      </c>
      <c r="I3145" s="8">
        <v>526.6875</v>
      </c>
      <c r="J3145" s="3">
        <f t="shared" si="49"/>
        <v>43748.677600763891</v>
      </c>
    </row>
    <row r="3146" spans="1:10" x14ac:dyDescent="0.25">
      <c r="A3146" s="5" t="s">
        <v>31929</v>
      </c>
      <c r="B3146" s="6">
        <v>393.75</v>
      </c>
      <c r="C3146" s="6">
        <v>20.531590000000001</v>
      </c>
      <c r="D3146" s="6">
        <v>71</v>
      </c>
      <c r="E3146" s="6">
        <v>0</v>
      </c>
      <c r="F3146" s="6">
        <v>0</v>
      </c>
      <c r="G3146" s="6">
        <v>18</v>
      </c>
      <c r="H3146" s="6" t="s">
        <v>31930</v>
      </c>
      <c r="I3146" s="6">
        <v>526.6875</v>
      </c>
      <c r="J3146" s="2">
        <f t="shared" si="49"/>
        <v>43748.677684432863</v>
      </c>
    </row>
    <row r="3147" spans="1:10" x14ac:dyDescent="0.25">
      <c r="A3147" s="7" t="s">
        <v>31931</v>
      </c>
      <c r="B3147" s="8">
        <v>393.75</v>
      </c>
      <c r="C3147" s="8">
        <v>20.478950000000001</v>
      </c>
      <c r="D3147" s="8">
        <v>71</v>
      </c>
      <c r="E3147" s="8">
        <v>0</v>
      </c>
      <c r="F3147" s="8">
        <v>0</v>
      </c>
      <c r="G3147" s="8">
        <v>14</v>
      </c>
      <c r="H3147" s="8" t="s">
        <v>31932</v>
      </c>
      <c r="I3147" s="8">
        <v>526.6875</v>
      </c>
      <c r="J3147" s="3">
        <f t="shared" si="49"/>
        <v>43748.677768113419</v>
      </c>
    </row>
    <row r="3148" spans="1:10" x14ac:dyDescent="0.25">
      <c r="A3148" s="5" t="s">
        <v>31933</v>
      </c>
      <c r="B3148" s="6">
        <v>393.75</v>
      </c>
      <c r="C3148" s="6">
        <v>20.531590000000001</v>
      </c>
      <c r="D3148" s="6">
        <v>71</v>
      </c>
      <c r="E3148" s="6">
        <v>0</v>
      </c>
      <c r="F3148" s="6">
        <v>0</v>
      </c>
      <c r="G3148" s="6">
        <v>5</v>
      </c>
      <c r="H3148" s="6" t="s">
        <v>31934</v>
      </c>
      <c r="I3148" s="6">
        <v>526.6875</v>
      </c>
      <c r="J3148" s="2">
        <f t="shared" si="49"/>
        <v>43748.677839525459</v>
      </c>
    </row>
    <row r="3149" spans="1:10" x14ac:dyDescent="0.25">
      <c r="A3149" s="7" t="s">
        <v>31935</v>
      </c>
      <c r="B3149" s="8">
        <v>428.125</v>
      </c>
      <c r="C3149" s="8">
        <v>20.584240000000001</v>
      </c>
      <c r="D3149" s="8">
        <v>71</v>
      </c>
      <c r="E3149" s="8">
        <v>0</v>
      </c>
      <c r="F3149" s="8">
        <v>0</v>
      </c>
      <c r="G3149" s="8">
        <v>13</v>
      </c>
      <c r="H3149" s="8" t="s">
        <v>31936</v>
      </c>
      <c r="I3149" s="8">
        <v>537.375</v>
      </c>
      <c r="J3149" s="3">
        <f t="shared" si="49"/>
        <v>43748.677922997682</v>
      </c>
    </row>
    <row r="3150" spans="1:10" x14ac:dyDescent="0.25">
      <c r="A3150" s="5" t="s">
        <v>31937</v>
      </c>
      <c r="B3150" s="6">
        <v>393.75</v>
      </c>
      <c r="C3150" s="6">
        <v>20.531590000000001</v>
      </c>
      <c r="D3150" s="6">
        <v>69</v>
      </c>
      <c r="E3150" s="6">
        <v>0</v>
      </c>
      <c r="F3150" s="6">
        <v>0</v>
      </c>
      <c r="G3150" s="6">
        <v>11</v>
      </c>
      <c r="H3150" s="6" t="s">
        <v>31938</v>
      </c>
      <c r="I3150" s="6">
        <v>526.6875</v>
      </c>
      <c r="J3150" s="2">
        <f t="shared" si="49"/>
        <v>43748.678006435184</v>
      </c>
    </row>
    <row r="3151" spans="1:10" x14ac:dyDescent="0.25">
      <c r="A3151" s="7" t="s">
        <v>31939</v>
      </c>
      <c r="B3151" s="8">
        <v>393.75</v>
      </c>
      <c r="C3151" s="8">
        <v>20.531590000000001</v>
      </c>
      <c r="D3151" s="8">
        <v>70</v>
      </c>
      <c r="E3151" s="8">
        <v>0</v>
      </c>
      <c r="F3151" s="8">
        <v>0</v>
      </c>
      <c r="G3151" s="8">
        <v>13</v>
      </c>
      <c r="H3151" s="8" t="s">
        <v>31940</v>
      </c>
      <c r="I3151" s="8">
        <v>526.6875</v>
      </c>
      <c r="J3151" s="3">
        <f t="shared" si="49"/>
        <v>43748.678089641202</v>
      </c>
    </row>
    <row r="3152" spans="1:10" x14ac:dyDescent="0.25">
      <c r="A3152" s="5" t="s">
        <v>31941</v>
      </c>
      <c r="B3152" s="6">
        <v>393.75</v>
      </c>
      <c r="C3152" s="6">
        <v>20.531590000000001</v>
      </c>
      <c r="D3152" s="6">
        <v>71</v>
      </c>
      <c r="E3152" s="6">
        <v>0</v>
      </c>
      <c r="F3152" s="6">
        <v>0</v>
      </c>
      <c r="G3152" s="6">
        <v>15</v>
      </c>
      <c r="H3152" s="6" t="s">
        <v>31942</v>
      </c>
      <c r="I3152" s="6">
        <v>526.6875</v>
      </c>
      <c r="J3152" s="2">
        <f t="shared" si="49"/>
        <v>43748.678185358796</v>
      </c>
    </row>
    <row r="3153" spans="1:10" x14ac:dyDescent="0.25">
      <c r="A3153" s="7" t="s">
        <v>31943</v>
      </c>
      <c r="B3153" s="8">
        <v>393.75</v>
      </c>
      <c r="C3153" s="8">
        <v>20.531590000000001</v>
      </c>
      <c r="D3153" s="8">
        <v>72</v>
      </c>
      <c r="E3153" s="8">
        <v>0</v>
      </c>
      <c r="F3153" s="8">
        <v>0</v>
      </c>
      <c r="G3153" s="8">
        <v>12</v>
      </c>
      <c r="H3153" s="8" t="s">
        <v>31944</v>
      </c>
      <c r="I3153" s="8">
        <v>526.6875</v>
      </c>
      <c r="J3153" s="3">
        <f t="shared" si="49"/>
        <v>43748.678268587959</v>
      </c>
    </row>
    <row r="3154" spans="1:10" x14ac:dyDescent="0.25">
      <c r="A3154" s="5" t="s">
        <v>31945</v>
      </c>
      <c r="B3154" s="6">
        <v>393.75</v>
      </c>
      <c r="C3154" s="6">
        <v>20.531590000000001</v>
      </c>
      <c r="D3154" s="6">
        <v>71</v>
      </c>
      <c r="E3154" s="6">
        <v>0</v>
      </c>
      <c r="F3154" s="6">
        <v>0</v>
      </c>
      <c r="G3154" s="6">
        <v>7</v>
      </c>
      <c r="H3154" s="6" t="s">
        <v>31946</v>
      </c>
      <c r="I3154" s="6">
        <v>526.6875</v>
      </c>
      <c r="J3154" s="2">
        <f t="shared" si="49"/>
        <v>43748.678352372684</v>
      </c>
    </row>
    <row r="3155" spans="1:10" x14ac:dyDescent="0.25">
      <c r="A3155" s="7" t="s">
        <v>31947</v>
      </c>
      <c r="B3155" s="8">
        <v>393.75</v>
      </c>
      <c r="C3155" s="8">
        <v>20.478950000000001</v>
      </c>
      <c r="D3155" s="8">
        <v>70</v>
      </c>
      <c r="E3155" s="8">
        <v>0</v>
      </c>
      <c r="F3155" s="8">
        <v>0</v>
      </c>
      <c r="G3155" s="8">
        <v>9</v>
      </c>
      <c r="H3155" s="8" t="s">
        <v>31948</v>
      </c>
      <c r="I3155" s="8">
        <v>526.6875</v>
      </c>
      <c r="J3155" s="3">
        <f t="shared" si="49"/>
        <v>43748.678435821756</v>
      </c>
    </row>
    <row r="3156" spans="1:10" x14ac:dyDescent="0.25">
      <c r="A3156" s="5" t="s">
        <v>31949</v>
      </c>
      <c r="B3156" s="6">
        <v>393.75</v>
      </c>
      <c r="C3156" s="6">
        <v>20.531590000000001</v>
      </c>
      <c r="D3156" s="6">
        <v>70</v>
      </c>
      <c r="E3156" s="6">
        <v>0</v>
      </c>
      <c r="F3156" s="6">
        <v>0</v>
      </c>
      <c r="G3156" s="6">
        <v>16</v>
      </c>
      <c r="H3156" s="6" t="s">
        <v>31950</v>
      </c>
      <c r="I3156" s="6">
        <v>526.6875</v>
      </c>
      <c r="J3156" s="2">
        <f t="shared" si="49"/>
        <v>43748.678519270827</v>
      </c>
    </row>
    <row r="3157" spans="1:10" x14ac:dyDescent="0.25">
      <c r="A3157" s="7" t="s">
        <v>31951</v>
      </c>
      <c r="B3157" s="8">
        <v>393.75</v>
      </c>
      <c r="C3157" s="8">
        <v>20.531590000000001</v>
      </c>
      <c r="D3157" s="8">
        <v>69</v>
      </c>
      <c r="E3157" s="8">
        <v>0</v>
      </c>
      <c r="F3157" s="8">
        <v>0</v>
      </c>
      <c r="G3157" s="8">
        <v>5</v>
      </c>
      <c r="H3157" s="8" t="s">
        <v>31952</v>
      </c>
      <c r="I3157" s="8">
        <v>526.6875</v>
      </c>
      <c r="J3157" s="3">
        <f t="shared" si="49"/>
        <v>43748.678602824068</v>
      </c>
    </row>
    <row r="3158" spans="1:10" x14ac:dyDescent="0.25">
      <c r="A3158" s="5" t="s">
        <v>31953</v>
      </c>
      <c r="B3158" s="6">
        <v>393.75</v>
      </c>
      <c r="C3158" s="6">
        <v>20.531590000000001</v>
      </c>
      <c r="D3158" s="6">
        <v>70</v>
      </c>
      <c r="E3158" s="6">
        <v>0</v>
      </c>
      <c r="F3158" s="6">
        <v>0</v>
      </c>
      <c r="G3158" s="6">
        <v>14</v>
      </c>
      <c r="H3158" s="6" t="s">
        <v>31954</v>
      </c>
      <c r="I3158" s="6">
        <v>526.6875</v>
      </c>
      <c r="J3158" s="2">
        <f t="shared" si="49"/>
        <v>43748.678685925923</v>
      </c>
    </row>
    <row r="3159" spans="1:10" x14ac:dyDescent="0.25">
      <c r="A3159" s="7" t="s">
        <v>31955</v>
      </c>
      <c r="B3159" s="8">
        <v>393.75</v>
      </c>
      <c r="C3159" s="8">
        <v>20.531590000000001</v>
      </c>
      <c r="D3159" s="8">
        <v>70</v>
      </c>
      <c r="E3159" s="8">
        <v>0</v>
      </c>
      <c r="F3159" s="8">
        <v>0</v>
      </c>
      <c r="G3159" s="8">
        <v>8</v>
      </c>
      <c r="H3159" s="8" t="s">
        <v>31956</v>
      </c>
      <c r="I3159" s="8">
        <v>526.6875</v>
      </c>
      <c r="J3159" s="3">
        <f t="shared" si="49"/>
        <v>43748.67877392361</v>
      </c>
    </row>
    <row r="3160" spans="1:10" x14ac:dyDescent="0.25">
      <c r="A3160" s="5" t="s">
        <v>31957</v>
      </c>
      <c r="B3160" s="6">
        <v>412.5</v>
      </c>
      <c r="C3160" s="6">
        <v>20.531590000000001</v>
      </c>
      <c r="D3160" s="6">
        <v>71</v>
      </c>
      <c r="E3160" s="6">
        <v>0</v>
      </c>
      <c r="F3160" s="6">
        <v>0</v>
      </c>
      <c r="G3160" s="6">
        <v>15</v>
      </c>
      <c r="H3160" s="6" t="s">
        <v>31958</v>
      </c>
      <c r="I3160" s="6">
        <v>532.5</v>
      </c>
      <c r="J3160" s="2">
        <f t="shared" si="49"/>
        <v>43748.678853287034</v>
      </c>
    </row>
    <row r="3161" spans="1:10" x14ac:dyDescent="0.25">
      <c r="A3161" s="7" t="s">
        <v>31959</v>
      </c>
      <c r="B3161" s="8">
        <v>393.75</v>
      </c>
      <c r="C3161" s="8">
        <v>20.531590000000001</v>
      </c>
      <c r="D3161" s="8">
        <v>74</v>
      </c>
      <c r="E3161" s="8">
        <v>0</v>
      </c>
      <c r="F3161" s="8">
        <v>0</v>
      </c>
      <c r="G3161" s="8">
        <v>11</v>
      </c>
      <c r="H3161" s="8" t="s">
        <v>31960</v>
      </c>
      <c r="I3161" s="8">
        <v>526.6875</v>
      </c>
      <c r="J3161" s="3">
        <f t="shared" si="49"/>
        <v>43748.678936736113</v>
      </c>
    </row>
    <row r="3162" spans="1:10" x14ac:dyDescent="0.25">
      <c r="A3162" s="5" t="s">
        <v>31961</v>
      </c>
      <c r="B3162" s="6">
        <v>393.75</v>
      </c>
      <c r="C3162" s="6">
        <v>20.531590000000001</v>
      </c>
      <c r="D3162" s="6">
        <v>73</v>
      </c>
      <c r="E3162" s="6">
        <v>0</v>
      </c>
      <c r="F3162" s="6">
        <v>0</v>
      </c>
      <c r="G3162" s="6">
        <v>15</v>
      </c>
      <c r="H3162" s="6" t="s">
        <v>31962</v>
      </c>
      <c r="I3162" s="6">
        <v>526.6875</v>
      </c>
      <c r="J3162" s="2">
        <f t="shared" si="49"/>
        <v>43748.679020312498</v>
      </c>
    </row>
    <row r="3163" spans="1:10" x14ac:dyDescent="0.25">
      <c r="A3163" s="7" t="s">
        <v>31963</v>
      </c>
      <c r="B3163" s="8">
        <v>393.75</v>
      </c>
      <c r="C3163" s="8">
        <v>20.478950000000001</v>
      </c>
      <c r="D3163" s="8">
        <v>71</v>
      </c>
      <c r="E3163" s="8">
        <v>0</v>
      </c>
      <c r="F3163" s="8">
        <v>0</v>
      </c>
      <c r="G3163" s="8">
        <v>17</v>
      </c>
      <c r="H3163" s="8" t="s">
        <v>31964</v>
      </c>
      <c r="I3163" s="8">
        <v>526.6875</v>
      </c>
      <c r="J3163" s="3">
        <f t="shared" si="49"/>
        <v>43748.679103761569</v>
      </c>
    </row>
    <row r="3164" spans="1:10" x14ac:dyDescent="0.25">
      <c r="A3164" s="5" t="s">
        <v>31965</v>
      </c>
      <c r="B3164" s="6">
        <v>393.75</v>
      </c>
      <c r="C3164" s="6">
        <v>20.531590000000001</v>
      </c>
      <c r="D3164" s="6">
        <v>71</v>
      </c>
      <c r="E3164" s="6">
        <v>0</v>
      </c>
      <c r="F3164" s="6">
        <v>0</v>
      </c>
      <c r="G3164" s="6">
        <v>17</v>
      </c>
      <c r="H3164" s="6" t="s">
        <v>31966</v>
      </c>
      <c r="I3164" s="6">
        <v>526.6875</v>
      </c>
      <c r="J3164" s="2">
        <f t="shared" si="49"/>
        <v>43748.679187337963</v>
      </c>
    </row>
    <row r="3165" spans="1:10" x14ac:dyDescent="0.25">
      <c r="A3165" s="7" t="s">
        <v>31967</v>
      </c>
      <c r="B3165" s="8">
        <v>393.75</v>
      </c>
      <c r="C3165" s="8">
        <v>20.531590000000001</v>
      </c>
      <c r="D3165" s="8">
        <v>70</v>
      </c>
      <c r="E3165" s="8">
        <v>0</v>
      </c>
      <c r="F3165" s="8">
        <v>0</v>
      </c>
      <c r="G3165" s="8">
        <v>15</v>
      </c>
      <c r="H3165" s="8" t="s">
        <v>31968</v>
      </c>
      <c r="I3165" s="8">
        <v>526.6875</v>
      </c>
      <c r="J3165" s="3">
        <f t="shared" si="49"/>
        <v>43748.679270763889</v>
      </c>
    </row>
    <row r="3166" spans="1:10" x14ac:dyDescent="0.25">
      <c r="A3166" s="5" t="s">
        <v>31969</v>
      </c>
      <c r="B3166" s="6">
        <v>393.75</v>
      </c>
      <c r="C3166" s="6">
        <v>20.531590000000001</v>
      </c>
      <c r="D3166" s="6">
        <v>68</v>
      </c>
      <c r="E3166" s="6">
        <v>0</v>
      </c>
      <c r="F3166" s="6">
        <v>0</v>
      </c>
      <c r="G3166" s="6">
        <v>13</v>
      </c>
      <c r="H3166" s="6" t="s">
        <v>31970</v>
      </c>
      <c r="I3166" s="6">
        <v>526.6875</v>
      </c>
      <c r="J3166" s="2">
        <f t="shared" si="49"/>
        <v>43748.679354328699</v>
      </c>
    </row>
    <row r="3167" spans="1:10" x14ac:dyDescent="0.25">
      <c r="A3167" s="7" t="s">
        <v>31971</v>
      </c>
      <c r="B3167" s="8">
        <v>412.5</v>
      </c>
      <c r="C3167" s="8">
        <v>20.531590000000001</v>
      </c>
      <c r="D3167" s="8">
        <v>67</v>
      </c>
      <c r="E3167" s="8">
        <v>0</v>
      </c>
      <c r="F3167" s="8">
        <v>0</v>
      </c>
      <c r="G3167" s="8">
        <v>16</v>
      </c>
      <c r="H3167" s="8" t="s">
        <v>31972</v>
      </c>
      <c r="I3167" s="8">
        <v>532.875</v>
      </c>
      <c r="J3167" s="3">
        <f t="shared" si="49"/>
        <v>43748.679437800922</v>
      </c>
    </row>
    <row r="3168" spans="1:10" x14ac:dyDescent="0.25">
      <c r="A3168" s="5" t="s">
        <v>31973</v>
      </c>
      <c r="B3168" s="6">
        <v>393.75</v>
      </c>
      <c r="C3168" s="6">
        <v>20.531590000000001</v>
      </c>
      <c r="D3168" s="6">
        <v>67</v>
      </c>
      <c r="E3168" s="6">
        <v>0</v>
      </c>
      <c r="F3168" s="6">
        <v>0</v>
      </c>
      <c r="G3168" s="6">
        <v>22</v>
      </c>
      <c r="H3168" s="6" t="s">
        <v>31974</v>
      </c>
      <c r="I3168" s="6">
        <v>526.6875</v>
      </c>
      <c r="J3168" s="2">
        <f t="shared" si="49"/>
        <v>43748.679521226848</v>
      </c>
    </row>
    <row r="3169" spans="1:10" x14ac:dyDescent="0.25">
      <c r="A3169" s="7" t="s">
        <v>31975</v>
      </c>
      <c r="B3169" s="8">
        <v>393.75</v>
      </c>
      <c r="C3169" s="8">
        <v>20.478950000000001</v>
      </c>
      <c r="D3169" s="8">
        <v>68</v>
      </c>
      <c r="E3169" s="8">
        <v>0</v>
      </c>
      <c r="F3169" s="8">
        <v>0</v>
      </c>
      <c r="G3169" s="8">
        <v>21</v>
      </c>
      <c r="H3169" s="8" t="s">
        <v>31976</v>
      </c>
      <c r="I3169" s="8">
        <v>526.6875</v>
      </c>
      <c r="J3169" s="3">
        <f t="shared" si="49"/>
        <v>43748.679604479163</v>
      </c>
    </row>
    <row r="3170" spans="1:10" x14ac:dyDescent="0.25">
      <c r="A3170" s="5" t="s">
        <v>31977</v>
      </c>
      <c r="B3170" s="6">
        <v>393.75</v>
      </c>
      <c r="C3170" s="6">
        <v>20.584240000000001</v>
      </c>
      <c r="D3170" s="6">
        <v>68</v>
      </c>
      <c r="E3170" s="6">
        <v>0</v>
      </c>
      <c r="F3170" s="6">
        <v>0</v>
      </c>
      <c r="G3170" s="6">
        <v>11</v>
      </c>
      <c r="H3170" s="6" t="s">
        <v>31978</v>
      </c>
      <c r="I3170" s="6">
        <v>526.6875</v>
      </c>
      <c r="J3170" s="2">
        <f t="shared" si="49"/>
        <v>43748.679688136566</v>
      </c>
    </row>
    <row r="3171" spans="1:10" x14ac:dyDescent="0.25">
      <c r="A3171" s="7" t="s">
        <v>31979</v>
      </c>
      <c r="B3171" s="8">
        <v>393.75</v>
      </c>
      <c r="C3171" s="8">
        <v>20.584240000000001</v>
      </c>
      <c r="D3171" s="8">
        <v>68</v>
      </c>
      <c r="E3171" s="8">
        <v>0</v>
      </c>
      <c r="F3171" s="8">
        <v>0</v>
      </c>
      <c r="G3171" s="8">
        <v>6</v>
      </c>
      <c r="H3171" s="8" t="s">
        <v>31980</v>
      </c>
      <c r="I3171" s="8">
        <v>526.6875</v>
      </c>
      <c r="J3171" s="3">
        <f t="shared" si="49"/>
        <v>43748.679771828705</v>
      </c>
    </row>
    <row r="3172" spans="1:10" x14ac:dyDescent="0.25">
      <c r="A3172" s="5" t="s">
        <v>31981</v>
      </c>
      <c r="B3172" s="6">
        <v>393.75</v>
      </c>
      <c r="C3172" s="6">
        <v>20.584240000000001</v>
      </c>
      <c r="D3172" s="6">
        <v>68</v>
      </c>
      <c r="E3172" s="6">
        <v>0</v>
      </c>
      <c r="F3172" s="6">
        <v>0</v>
      </c>
      <c r="G3172" s="6">
        <v>13</v>
      </c>
      <c r="H3172" s="6" t="s">
        <v>31982</v>
      </c>
      <c r="I3172" s="6">
        <v>526.6875</v>
      </c>
      <c r="J3172" s="2">
        <f t="shared" si="49"/>
        <v>43748.679855162038</v>
      </c>
    </row>
    <row r="3173" spans="1:10" x14ac:dyDescent="0.25">
      <c r="A3173" s="7" t="s">
        <v>31983</v>
      </c>
      <c r="B3173" s="8">
        <v>393.75</v>
      </c>
      <c r="C3173" s="8">
        <v>20.531590000000001</v>
      </c>
      <c r="D3173" s="8">
        <v>68</v>
      </c>
      <c r="E3173" s="8">
        <v>0</v>
      </c>
      <c r="F3173" s="8">
        <v>0</v>
      </c>
      <c r="G3173" s="8">
        <v>13</v>
      </c>
      <c r="H3173" s="8" t="s">
        <v>31984</v>
      </c>
      <c r="I3173" s="8">
        <v>526.6875</v>
      </c>
      <c r="J3173" s="3">
        <f t="shared" si="49"/>
        <v>43748.679938703703</v>
      </c>
    </row>
    <row r="3174" spans="1:10" x14ac:dyDescent="0.25">
      <c r="A3174" s="5" t="s">
        <v>31985</v>
      </c>
      <c r="B3174" s="6">
        <v>415.625</v>
      </c>
      <c r="C3174" s="6">
        <v>20.531590000000001</v>
      </c>
      <c r="D3174" s="6">
        <v>68</v>
      </c>
      <c r="E3174" s="6">
        <v>0</v>
      </c>
      <c r="F3174" s="6">
        <v>0</v>
      </c>
      <c r="G3174" s="6">
        <v>14</v>
      </c>
      <c r="H3174" s="6" t="s">
        <v>31986</v>
      </c>
      <c r="I3174" s="6">
        <v>533.25</v>
      </c>
      <c r="J3174" s="2">
        <f t="shared" si="49"/>
        <v>43748.680010254626</v>
      </c>
    </row>
    <row r="3175" spans="1:10" x14ac:dyDescent="0.25">
      <c r="A3175" s="7" t="s">
        <v>31987</v>
      </c>
      <c r="B3175" s="8">
        <v>393.75</v>
      </c>
      <c r="C3175" s="8">
        <v>20.584240000000001</v>
      </c>
      <c r="D3175" s="8">
        <v>68</v>
      </c>
      <c r="E3175" s="8">
        <v>0</v>
      </c>
      <c r="F3175" s="8">
        <v>0</v>
      </c>
      <c r="G3175" s="8">
        <v>13</v>
      </c>
      <c r="H3175" s="8" t="s">
        <v>31988</v>
      </c>
      <c r="I3175" s="8">
        <v>526.6875</v>
      </c>
      <c r="J3175" s="3">
        <f t="shared" si="49"/>
        <v>43748.680106296299</v>
      </c>
    </row>
    <row r="3176" spans="1:10" x14ac:dyDescent="0.25">
      <c r="A3176" s="5" t="s">
        <v>31989</v>
      </c>
      <c r="B3176" s="6">
        <v>393.75</v>
      </c>
      <c r="C3176" s="6">
        <v>20.531590000000001</v>
      </c>
      <c r="D3176" s="6">
        <v>69</v>
      </c>
      <c r="E3176" s="6">
        <v>0</v>
      </c>
      <c r="F3176" s="6">
        <v>0</v>
      </c>
      <c r="G3176" s="6">
        <v>7</v>
      </c>
      <c r="H3176" s="6" t="s">
        <v>31990</v>
      </c>
      <c r="I3176" s="6">
        <v>526.6875</v>
      </c>
      <c r="J3176" s="2">
        <f t="shared" si="49"/>
        <v>43748.680189074068</v>
      </c>
    </row>
    <row r="3177" spans="1:10" x14ac:dyDescent="0.25">
      <c r="A3177" s="7" t="s">
        <v>31991</v>
      </c>
      <c r="B3177" s="8">
        <v>393.75</v>
      </c>
      <c r="C3177" s="8">
        <v>20.531590000000001</v>
      </c>
      <c r="D3177" s="8">
        <v>68</v>
      </c>
      <c r="E3177" s="8">
        <v>0</v>
      </c>
      <c r="F3177" s="8">
        <v>0</v>
      </c>
      <c r="G3177" s="8">
        <v>13</v>
      </c>
      <c r="H3177" s="8" t="s">
        <v>31992</v>
      </c>
      <c r="I3177" s="8">
        <v>526.6875</v>
      </c>
      <c r="J3177" s="3">
        <f t="shared" si="49"/>
        <v>43748.680260833331</v>
      </c>
    </row>
    <row r="3178" spans="1:10" x14ac:dyDescent="0.25">
      <c r="A3178" s="5" t="s">
        <v>31993</v>
      </c>
      <c r="B3178" s="6">
        <v>393.75</v>
      </c>
      <c r="C3178" s="6">
        <v>20.531590000000001</v>
      </c>
      <c r="D3178" s="6">
        <v>69</v>
      </c>
      <c r="E3178" s="6">
        <v>0</v>
      </c>
      <c r="F3178" s="6">
        <v>0</v>
      </c>
      <c r="G3178" s="6">
        <v>8</v>
      </c>
      <c r="H3178" s="6" t="s">
        <v>31994</v>
      </c>
      <c r="I3178" s="6">
        <v>526.6875</v>
      </c>
      <c r="J3178" s="2">
        <f t="shared" si="49"/>
        <v>43748.680332222219</v>
      </c>
    </row>
    <row r="3179" spans="1:10" x14ac:dyDescent="0.25">
      <c r="A3179" s="7" t="s">
        <v>31995</v>
      </c>
      <c r="B3179" s="8">
        <v>393.75</v>
      </c>
      <c r="C3179" s="8">
        <v>20.531590000000001</v>
      </c>
      <c r="D3179" s="8">
        <v>70</v>
      </c>
      <c r="E3179" s="8">
        <v>0</v>
      </c>
      <c r="F3179" s="8">
        <v>0</v>
      </c>
      <c r="G3179" s="8">
        <v>13</v>
      </c>
      <c r="H3179" s="8" t="s">
        <v>31996</v>
      </c>
      <c r="I3179" s="8">
        <v>526.6875</v>
      </c>
      <c r="J3179" s="3">
        <f t="shared" si="49"/>
        <v>43748.680415555551</v>
      </c>
    </row>
    <row r="3180" spans="1:10" x14ac:dyDescent="0.25">
      <c r="A3180" s="5" t="s">
        <v>31997</v>
      </c>
      <c r="B3180" s="6">
        <v>393.75</v>
      </c>
      <c r="C3180" s="6">
        <v>20.531590000000001</v>
      </c>
      <c r="D3180" s="6">
        <v>78</v>
      </c>
      <c r="E3180" s="6">
        <v>0</v>
      </c>
      <c r="F3180" s="6">
        <v>0</v>
      </c>
      <c r="G3180" s="6">
        <v>13</v>
      </c>
      <c r="H3180" s="6" t="s">
        <v>31998</v>
      </c>
      <c r="I3180" s="6">
        <v>526.6875</v>
      </c>
      <c r="J3180" s="2">
        <f t="shared" si="49"/>
        <v>43748.680499259259</v>
      </c>
    </row>
    <row r="3181" spans="1:10" x14ac:dyDescent="0.25">
      <c r="A3181" s="7" t="s">
        <v>31999</v>
      </c>
      <c r="B3181" s="8">
        <v>393.75</v>
      </c>
      <c r="C3181" s="8">
        <v>20.478950000000001</v>
      </c>
      <c r="D3181" s="8">
        <v>77</v>
      </c>
      <c r="E3181" s="8">
        <v>0</v>
      </c>
      <c r="F3181" s="8">
        <v>0</v>
      </c>
      <c r="G3181" s="8">
        <v>13</v>
      </c>
      <c r="H3181" s="8" t="s">
        <v>32000</v>
      </c>
      <c r="I3181" s="8">
        <v>526.6875</v>
      </c>
      <c r="J3181" s="3">
        <f t="shared" si="49"/>
        <v>43748.680582916662</v>
      </c>
    </row>
    <row r="3182" spans="1:10" x14ac:dyDescent="0.25">
      <c r="A3182" s="5" t="s">
        <v>32001</v>
      </c>
      <c r="B3182" s="6">
        <v>393.75</v>
      </c>
      <c r="C3182" s="6">
        <v>20.531590000000001</v>
      </c>
      <c r="D3182" s="6">
        <v>77</v>
      </c>
      <c r="E3182" s="6">
        <v>0</v>
      </c>
      <c r="F3182" s="6">
        <v>0</v>
      </c>
      <c r="G3182" s="6">
        <v>17</v>
      </c>
      <c r="H3182" s="6" t="s">
        <v>32002</v>
      </c>
      <c r="I3182" s="6">
        <v>526.875</v>
      </c>
      <c r="J3182" s="2">
        <f t="shared" si="49"/>
        <v>43748.680654236108</v>
      </c>
    </row>
    <row r="3183" spans="1:10" x14ac:dyDescent="0.25">
      <c r="A3183" s="7" t="s">
        <v>32003</v>
      </c>
      <c r="B3183" s="8">
        <v>393.75</v>
      </c>
      <c r="C3183" s="8">
        <v>20.531590000000001</v>
      </c>
      <c r="D3183" s="8">
        <v>76</v>
      </c>
      <c r="E3183" s="8">
        <v>0</v>
      </c>
      <c r="F3183" s="8">
        <v>0</v>
      </c>
      <c r="G3183" s="8">
        <v>10</v>
      </c>
      <c r="H3183" s="8" t="s">
        <v>32004</v>
      </c>
      <c r="I3183" s="8">
        <v>526.5</v>
      </c>
      <c r="J3183" s="3">
        <f t="shared" si="49"/>
        <v>43748.680737789349</v>
      </c>
    </row>
    <row r="3184" spans="1:10" x14ac:dyDescent="0.25">
      <c r="A3184" s="5" t="s">
        <v>32005</v>
      </c>
      <c r="B3184" s="6">
        <v>393.75</v>
      </c>
      <c r="C3184" s="6">
        <v>20.531590000000001</v>
      </c>
      <c r="D3184" s="6">
        <v>76</v>
      </c>
      <c r="E3184" s="6">
        <v>0</v>
      </c>
      <c r="F3184" s="6">
        <v>0</v>
      </c>
      <c r="G3184" s="6">
        <v>15</v>
      </c>
      <c r="H3184" s="6" t="s">
        <v>32006</v>
      </c>
      <c r="I3184" s="6">
        <v>526.6875</v>
      </c>
      <c r="J3184" s="2">
        <f t="shared" si="49"/>
        <v>43748.680821261572</v>
      </c>
    </row>
    <row r="3185" spans="1:10" x14ac:dyDescent="0.25">
      <c r="A3185" s="7" t="s">
        <v>32007</v>
      </c>
      <c r="B3185" s="8">
        <v>393.75</v>
      </c>
      <c r="C3185" s="8">
        <v>20.584240000000001</v>
      </c>
      <c r="D3185" s="8">
        <v>75</v>
      </c>
      <c r="E3185" s="8">
        <v>0</v>
      </c>
      <c r="F3185" s="8">
        <v>0</v>
      </c>
      <c r="G3185" s="8">
        <v>15</v>
      </c>
      <c r="H3185" s="8" t="s">
        <v>32008</v>
      </c>
      <c r="I3185" s="8">
        <v>526.6875</v>
      </c>
      <c r="J3185" s="3">
        <f t="shared" si="49"/>
        <v>43748.680916354169</v>
      </c>
    </row>
    <row r="3186" spans="1:10" x14ac:dyDescent="0.25">
      <c r="A3186" s="5" t="s">
        <v>32009</v>
      </c>
      <c r="B3186" s="6">
        <v>393.75</v>
      </c>
      <c r="C3186" s="6">
        <v>20.478950000000001</v>
      </c>
      <c r="D3186" s="6">
        <v>75</v>
      </c>
      <c r="E3186" s="6">
        <v>0</v>
      </c>
      <c r="F3186" s="6">
        <v>0</v>
      </c>
      <c r="G3186" s="6">
        <v>11</v>
      </c>
      <c r="H3186" s="6" t="s">
        <v>32010</v>
      </c>
      <c r="I3186" s="6">
        <v>526.6875</v>
      </c>
      <c r="J3186" s="2">
        <f t="shared" si="49"/>
        <v>43748.680988229164</v>
      </c>
    </row>
    <row r="3187" spans="1:10" x14ac:dyDescent="0.25">
      <c r="A3187" s="7" t="s">
        <v>32011</v>
      </c>
      <c r="B3187" s="8">
        <v>393.75</v>
      </c>
      <c r="C3187" s="8">
        <v>20.478950000000001</v>
      </c>
      <c r="D3187" s="8">
        <v>75</v>
      </c>
      <c r="E3187" s="8">
        <v>0</v>
      </c>
      <c r="F3187" s="8">
        <v>0</v>
      </c>
      <c r="G3187" s="8">
        <v>11</v>
      </c>
      <c r="H3187" s="8" t="s">
        <v>32012</v>
      </c>
      <c r="I3187" s="8">
        <v>526.6875</v>
      </c>
      <c r="J3187" s="3">
        <f t="shared" si="49"/>
        <v>43748.681071909719</v>
      </c>
    </row>
    <row r="3188" spans="1:10" x14ac:dyDescent="0.25">
      <c r="A3188" s="5" t="s">
        <v>32013</v>
      </c>
      <c r="B3188" s="6">
        <v>393.75</v>
      </c>
      <c r="C3188" s="6">
        <v>20.478950000000001</v>
      </c>
      <c r="D3188" s="6">
        <v>74</v>
      </c>
      <c r="E3188" s="6">
        <v>0</v>
      </c>
      <c r="F3188" s="6">
        <v>0</v>
      </c>
      <c r="G3188" s="6">
        <v>16</v>
      </c>
      <c r="H3188" s="6" t="s">
        <v>32014</v>
      </c>
      <c r="I3188" s="6">
        <v>526.6875</v>
      </c>
      <c r="J3188" s="2">
        <f t="shared" si="49"/>
        <v>43748.681143333328</v>
      </c>
    </row>
    <row r="3189" spans="1:10" x14ac:dyDescent="0.25">
      <c r="A3189" s="7" t="s">
        <v>32015</v>
      </c>
      <c r="B3189" s="8">
        <v>393.75</v>
      </c>
      <c r="C3189" s="8">
        <v>20.584240000000001</v>
      </c>
      <c r="D3189" s="8">
        <v>73</v>
      </c>
      <c r="E3189" s="8">
        <v>0</v>
      </c>
      <c r="F3189" s="8">
        <v>0</v>
      </c>
      <c r="G3189" s="8">
        <v>20</v>
      </c>
      <c r="H3189" s="8" t="s">
        <v>32016</v>
      </c>
      <c r="I3189" s="8">
        <v>526.6875</v>
      </c>
      <c r="J3189" s="3">
        <f t="shared" si="49"/>
        <v>43748.681226747685</v>
      </c>
    </row>
    <row r="3190" spans="1:10" x14ac:dyDescent="0.25">
      <c r="A3190" s="5" t="s">
        <v>32017</v>
      </c>
      <c r="B3190" s="6">
        <v>393.75</v>
      </c>
      <c r="C3190" s="6">
        <v>20.531590000000001</v>
      </c>
      <c r="D3190" s="6">
        <v>73</v>
      </c>
      <c r="E3190" s="6">
        <v>0</v>
      </c>
      <c r="F3190" s="6">
        <v>0</v>
      </c>
      <c r="G3190" s="6">
        <v>15</v>
      </c>
      <c r="H3190" s="6" t="s">
        <v>32018</v>
      </c>
      <c r="I3190" s="6">
        <v>526.6875</v>
      </c>
      <c r="J3190" s="2">
        <f t="shared" si="49"/>
        <v>43748.681298310185</v>
      </c>
    </row>
    <row r="3191" spans="1:10" x14ac:dyDescent="0.25">
      <c r="A3191" s="7" t="s">
        <v>32019</v>
      </c>
      <c r="B3191" s="8">
        <v>393.75</v>
      </c>
      <c r="C3191" s="8">
        <v>20.531590000000001</v>
      </c>
      <c r="D3191" s="8">
        <v>70</v>
      </c>
      <c r="E3191" s="8">
        <v>0</v>
      </c>
      <c r="F3191" s="8">
        <v>0</v>
      </c>
      <c r="G3191" s="8">
        <v>6</v>
      </c>
      <c r="H3191" s="8" t="s">
        <v>32020</v>
      </c>
      <c r="I3191" s="8">
        <v>526.6875</v>
      </c>
      <c r="J3191" s="3">
        <f t="shared" si="49"/>
        <v>43748.681381875002</v>
      </c>
    </row>
    <row r="3192" spans="1:10" x14ac:dyDescent="0.25">
      <c r="A3192" s="5" t="s">
        <v>32021</v>
      </c>
      <c r="B3192" s="6">
        <v>393.75</v>
      </c>
      <c r="C3192" s="6">
        <v>20.584240000000001</v>
      </c>
      <c r="D3192" s="6">
        <v>68</v>
      </c>
      <c r="E3192" s="6">
        <v>0</v>
      </c>
      <c r="F3192" s="6">
        <v>0</v>
      </c>
      <c r="G3192" s="6">
        <v>9</v>
      </c>
      <c r="H3192" s="6" t="s">
        <v>32022</v>
      </c>
      <c r="I3192" s="6">
        <v>526.6875</v>
      </c>
      <c r="J3192" s="2">
        <f t="shared" si="49"/>
        <v>43748.681465324073</v>
      </c>
    </row>
    <row r="3193" spans="1:10" x14ac:dyDescent="0.25">
      <c r="A3193" s="7" t="s">
        <v>32023</v>
      </c>
      <c r="B3193" s="8">
        <v>393.75</v>
      </c>
      <c r="C3193" s="8">
        <v>20.531590000000001</v>
      </c>
      <c r="D3193" s="8">
        <v>68</v>
      </c>
      <c r="E3193" s="8">
        <v>0</v>
      </c>
      <c r="F3193" s="8">
        <v>0</v>
      </c>
      <c r="G3193" s="8">
        <v>16</v>
      </c>
      <c r="H3193" s="8" t="s">
        <v>32024</v>
      </c>
      <c r="I3193" s="8">
        <v>526.6875</v>
      </c>
      <c r="J3193" s="3">
        <f t="shared" si="49"/>
        <v>43748.68154888889</v>
      </c>
    </row>
    <row r="3194" spans="1:10" x14ac:dyDescent="0.25">
      <c r="A3194" s="5" t="s">
        <v>32025</v>
      </c>
      <c r="B3194" s="6">
        <v>393.75</v>
      </c>
      <c r="C3194" s="6">
        <v>20.478950000000001</v>
      </c>
      <c r="D3194" s="6">
        <v>68</v>
      </c>
      <c r="E3194" s="6">
        <v>0</v>
      </c>
      <c r="F3194" s="6">
        <v>0</v>
      </c>
      <c r="G3194" s="6">
        <v>5</v>
      </c>
      <c r="H3194" s="6" t="s">
        <v>32026</v>
      </c>
      <c r="I3194" s="6">
        <v>526.6875</v>
      </c>
      <c r="J3194" s="2">
        <f t="shared" si="49"/>
        <v>43748.681632326385</v>
      </c>
    </row>
    <row r="3195" spans="1:10" x14ac:dyDescent="0.25">
      <c r="A3195" s="7" t="s">
        <v>32027</v>
      </c>
      <c r="B3195" s="8">
        <v>393.75</v>
      </c>
      <c r="C3195" s="8">
        <v>20.531590000000001</v>
      </c>
      <c r="D3195" s="8">
        <v>69</v>
      </c>
      <c r="E3195" s="8">
        <v>0</v>
      </c>
      <c r="F3195" s="8">
        <v>0</v>
      </c>
      <c r="G3195" s="8">
        <v>16</v>
      </c>
      <c r="H3195" s="8" t="s">
        <v>32028</v>
      </c>
      <c r="I3195" s="8">
        <v>526.6875</v>
      </c>
      <c r="J3195" s="3">
        <f t="shared" si="49"/>
        <v>43748.681715578707</v>
      </c>
    </row>
    <row r="3196" spans="1:10" x14ac:dyDescent="0.25">
      <c r="A3196" s="5" t="s">
        <v>32029</v>
      </c>
      <c r="B3196" s="6">
        <v>393.75</v>
      </c>
      <c r="C3196" s="6">
        <v>20.478950000000001</v>
      </c>
      <c r="D3196" s="6">
        <v>69</v>
      </c>
      <c r="E3196" s="6">
        <v>0</v>
      </c>
      <c r="F3196" s="6">
        <v>0</v>
      </c>
      <c r="G3196" s="6">
        <v>12</v>
      </c>
      <c r="H3196" s="6" t="s">
        <v>32030</v>
      </c>
      <c r="I3196" s="6">
        <v>526.6875</v>
      </c>
      <c r="J3196" s="2">
        <f t="shared" si="49"/>
        <v>43748.681787187503</v>
      </c>
    </row>
    <row r="3197" spans="1:10" x14ac:dyDescent="0.25">
      <c r="A3197" s="7" t="s">
        <v>32031</v>
      </c>
      <c r="B3197" s="8">
        <v>393.75</v>
      </c>
      <c r="C3197" s="8">
        <v>20.531590000000001</v>
      </c>
      <c r="D3197" s="8">
        <v>69</v>
      </c>
      <c r="E3197" s="8">
        <v>0</v>
      </c>
      <c r="F3197" s="8">
        <v>0</v>
      </c>
      <c r="G3197" s="8">
        <v>8</v>
      </c>
      <c r="H3197" s="8" t="s">
        <v>32032</v>
      </c>
      <c r="I3197" s="8">
        <v>526.6875</v>
      </c>
      <c r="J3197" s="3">
        <f t="shared" si="49"/>
        <v>43748.681870775465</v>
      </c>
    </row>
    <row r="3198" spans="1:10" x14ac:dyDescent="0.25">
      <c r="A3198" s="5" t="s">
        <v>32033</v>
      </c>
      <c r="B3198" s="6">
        <v>393.75</v>
      </c>
      <c r="C3198" s="6">
        <v>20.531590000000001</v>
      </c>
      <c r="D3198" s="6">
        <v>69</v>
      </c>
      <c r="E3198" s="6">
        <v>0</v>
      </c>
      <c r="F3198" s="6">
        <v>0</v>
      </c>
      <c r="G3198" s="6">
        <v>16</v>
      </c>
      <c r="H3198" s="6" t="s">
        <v>32034</v>
      </c>
      <c r="I3198" s="6">
        <v>526.6875</v>
      </c>
      <c r="J3198" s="2">
        <f t="shared" si="49"/>
        <v>43748.681954340274</v>
      </c>
    </row>
    <row r="3199" spans="1:10" x14ac:dyDescent="0.25">
      <c r="A3199" s="7" t="s">
        <v>32035</v>
      </c>
      <c r="B3199" s="8">
        <v>393.75</v>
      </c>
      <c r="C3199" s="8">
        <v>20.531590000000001</v>
      </c>
      <c r="D3199" s="8">
        <v>67</v>
      </c>
      <c r="E3199" s="8">
        <v>0</v>
      </c>
      <c r="F3199" s="8">
        <v>0</v>
      </c>
      <c r="G3199" s="8">
        <v>1</v>
      </c>
      <c r="H3199" s="8" t="s">
        <v>32036</v>
      </c>
      <c r="I3199" s="8">
        <v>526.6875</v>
      </c>
      <c r="J3199" s="3">
        <f t="shared" si="49"/>
        <v>43748.682037777777</v>
      </c>
    </row>
    <row r="3200" spans="1:10" x14ac:dyDescent="0.25">
      <c r="A3200" s="5" t="s">
        <v>32037</v>
      </c>
      <c r="B3200" s="6">
        <v>393.75</v>
      </c>
      <c r="C3200" s="6">
        <v>20.478950000000001</v>
      </c>
      <c r="D3200" s="6">
        <v>73</v>
      </c>
      <c r="E3200" s="6">
        <v>0</v>
      </c>
      <c r="F3200" s="6">
        <v>0</v>
      </c>
      <c r="G3200" s="6">
        <v>9</v>
      </c>
      <c r="H3200" s="6" t="s">
        <v>32038</v>
      </c>
      <c r="I3200" s="6">
        <v>526.6875</v>
      </c>
      <c r="J3200" s="2">
        <f t="shared" si="49"/>
        <v>43748.682121226848</v>
      </c>
    </row>
    <row r="3201" spans="1:10" x14ac:dyDescent="0.25">
      <c r="A3201" s="7" t="s">
        <v>32039</v>
      </c>
      <c r="B3201" s="8">
        <v>393.75</v>
      </c>
      <c r="C3201" s="8">
        <v>20.531590000000001</v>
      </c>
      <c r="D3201" s="8">
        <v>72</v>
      </c>
      <c r="E3201" s="8">
        <v>0</v>
      </c>
      <c r="F3201" s="8">
        <v>0</v>
      </c>
      <c r="G3201" s="8">
        <v>6</v>
      </c>
      <c r="H3201" s="8" t="s">
        <v>32040</v>
      </c>
      <c r="I3201" s="8">
        <v>526.6875</v>
      </c>
      <c r="J3201" s="3">
        <f t="shared" si="49"/>
        <v>43748.682204432866</v>
      </c>
    </row>
    <row r="3202" spans="1:10" x14ac:dyDescent="0.25">
      <c r="A3202" s="5" t="s">
        <v>32041</v>
      </c>
      <c r="B3202" s="6">
        <v>393.75</v>
      </c>
      <c r="C3202" s="6">
        <v>20.531590000000001</v>
      </c>
      <c r="D3202" s="6">
        <v>72</v>
      </c>
      <c r="E3202" s="6">
        <v>0</v>
      </c>
      <c r="F3202" s="6">
        <v>0</v>
      </c>
      <c r="G3202" s="6">
        <v>9</v>
      </c>
      <c r="H3202" s="6" t="s">
        <v>32042</v>
      </c>
      <c r="I3202" s="6">
        <v>526.6875</v>
      </c>
      <c r="J3202" s="2">
        <f t="shared" ref="J3202:J3265" si="50">(H3202/86400000)+25569+(7/24)</f>
        <v>43748.682276076383</v>
      </c>
    </row>
    <row r="3203" spans="1:10" x14ac:dyDescent="0.25">
      <c r="A3203" s="7" t="s">
        <v>32043</v>
      </c>
      <c r="B3203" s="8">
        <v>393.75</v>
      </c>
      <c r="C3203" s="8">
        <v>20.531590000000001</v>
      </c>
      <c r="D3203" s="8">
        <v>71</v>
      </c>
      <c r="E3203" s="8">
        <v>0</v>
      </c>
      <c r="F3203" s="8">
        <v>0</v>
      </c>
      <c r="G3203" s="8">
        <v>7</v>
      </c>
      <c r="H3203" s="8" t="s">
        <v>32044</v>
      </c>
      <c r="I3203" s="8">
        <v>526.6875</v>
      </c>
      <c r="J3203" s="3">
        <f t="shared" si="50"/>
        <v>43748.682360023151</v>
      </c>
    </row>
    <row r="3204" spans="1:10" x14ac:dyDescent="0.25">
      <c r="A3204" s="5" t="s">
        <v>32045</v>
      </c>
      <c r="B3204" s="6">
        <v>393.75</v>
      </c>
      <c r="C3204" s="6">
        <v>20.531590000000001</v>
      </c>
      <c r="D3204" s="6">
        <v>71</v>
      </c>
      <c r="E3204" s="6">
        <v>0</v>
      </c>
      <c r="F3204" s="6">
        <v>0</v>
      </c>
      <c r="G3204" s="6">
        <v>6</v>
      </c>
      <c r="H3204" s="6" t="s">
        <v>32046</v>
      </c>
      <c r="I3204" s="6">
        <v>526.6875</v>
      </c>
      <c r="J3204" s="2">
        <f t="shared" si="50"/>
        <v>43748.682443321755</v>
      </c>
    </row>
    <row r="3205" spans="1:10" x14ac:dyDescent="0.25">
      <c r="A3205" s="7" t="s">
        <v>32047</v>
      </c>
      <c r="B3205" s="8">
        <v>393.75</v>
      </c>
      <c r="C3205" s="8">
        <v>20.478950000000001</v>
      </c>
      <c r="D3205" s="8">
        <v>71</v>
      </c>
      <c r="E3205" s="8">
        <v>0</v>
      </c>
      <c r="F3205" s="8">
        <v>0</v>
      </c>
      <c r="G3205" s="8">
        <v>10</v>
      </c>
      <c r="H3205" s="8" t="s">
        <v>32048</v>
      </c>
      <c r="I3205" s="8">
        <v>526.6875</v>
      </c>
      <c r="J3205" s="3">
        <f t="shared" si="50"/>
        <v>43748.682526666664</v>
      </c>
    </row>
    <row r="3206" spans="1:10" x14ac:dyDescent="0.25">
      <c r="A3206" s="5" t="s">
        <v>32049</v>
      </c>
      <c r="B3206" s="6">
        <v>393.75</v>
      </c>
      <c r="C3206" s="6">
        <v>20.531590000000001</v>
      </c>
      <c r="D3206" s="6">
        <v>71</v>
      </c>
      <c r="E3206" s="6">
        <v>0</v>
      </c>
      <c r="F3206" s="6">
        <v>0</v>
      </c>
      <c r="G3206" s="6">
        <v>7</v>
      </c>
      <c r="H3206" s="6" t="s">
        <v>32050</v>
      </c>
      <c r="I3206" s="6">
        <v>526.5</v>
      </c>
      <c r="J3206" s="2">
        <f t="shared" si="50"/>
        <v>43748.682607777773</v>
      </c>
    </row>
    <row r="3207" spans="1:10" x14ac:dyDescent="0.25">
      <c r="A3207" s="7" t="s">
        <v>32051</v>
      </c>
      <c r="B3207" s="8">
        <v>393.75</v>
      </c>
      <c r="C3207" s="8">
        <v>20.478950000000001</v>
      </c>
      <c r="D3207" s="8">
        <v>72</v>
      </c>
      <c r="E3207" s="8">
        <v>0</v>
      </c>
      <c r="F3207" s="8">
        <v>0</v>
      </c>
      <c r="G3207" s="8">
        <v>5</v>
      </c>
      <c r="H3207" s="8" t="s">
        <v>32052</v>
      </c>
      <c r="I3207" s="8">
        <v>526.6875</v>
      </c>
      <c r="J3207" s="3">
        <f t="shared" si="50"/>
        <v>43748.682681874998</v>
      </c>
    </row>
    <row r="3208" spans="1:10" x14ac:dyDescent="0.25">
      <c r="A3208" s="5" t="s">
        <v>32053</v>
      </c>
      <c r="B3208" s="6">
        <v>393.75</v>
      </c>
      <c r="C3208" s="6">
        <v>20.531590000000001</v>
      </c>
      <c r="D3208" s="6">
        <v>72</v>
      </c>
      <c r="E3208" s="6">
        <v>0</v>
      </c>
      <c r="F3208" s="6">
        <v>0</v>
      </c>
      <c r="G3208" s="6">
        <v>7</v>
      </c>
      <c r="H3208" s="6" t="s">
        <v>32054</v>
      </c>
      <c r="I3208" s="6">
        <v>526.6875</v>
      </c>
      <c r="J3208" s="2">
        <f t="shared" si="50"/>
        <v>43748.682765335645</v>
      </c>
    </row>
    <row r="3209" spans="1:10" x14ac:dyDescent="0.25">
      <c r="A3209" s="7" t="s">
        <v>32055</v>
      </c>
      <c r="B3209" s="8">
        <v>393.75</v>
      </c>
      <c r="C3209" s="8">
        <v>20.584240000000001</v>
      </c>
      <c r="D3209" s="8">
        <v>73</v>
      </c>
      <c r="E3209" s="8">
        <v>0</v>
      </c>
      <c r="F3209" s="8">
        <v>0</v>
      </c>
      <c r="G3209" s="8">
        <v>3</v>
      </c>
      <c r="H3209" s="8" t="s">
        <v>32056</v>
      </c>
      <c r="I3209" s="8">
        <v>526.6875</v>
      </c>
      <c r="J3209" s="3">
        <f t="shared" si="50"/>
        <v>43748.68284887731</v>
      </c>
    </row>
    <row r="3210" spans="1:10" x14ac:dyDescent="0.25">
      <c r="A3210" s="5" t="s">
        <v>32057</v>
      </c>
      <c r="B3210" s="6">
        <v>412.5</v>
      </c>
      <c r="C3210" s="6">
        <v>20.531590000000001</v>
      </c>
      <c r="D3210" s="6">
        <v>73</v>
      </c>
      <c r="E3210" s="6">
        <v>0</v>
      </c>
      <c r="F3210" s="6">
        <v>0</v>
      </c>
      <c r="G3210" s="6">
        <v>10</v>
      </c>
      <c r="H3210" s="6" t="s">
        <v>32058</v>
      </c>
      <c r="I3210" s="6">
        <v>532.5</v>
      </c>
      <c r="J3210" s="2">
        <f t="shared" si="50"/>
        <v>43748.682920416664</v>
      </c>
    </row>
    <row r="3211" spans="1:10" x14ac:dyDescent="0.25">
      <c r="A3211" s="7" t="s">
        <v>32059</v>
      </c>
      <c r="B3211" s="8">
        <v>393.75</v>
      </c>
      <c r="C3211" s="8">
        <v>20.531590000000001</v>
      </c>
      <c r="D3211" s="8">
        <v>75</v>
      </c>
      <c r="E3211" s="8">
        <v>0</v>
      </c>
      <c r="F3211" s="8">
        <v>0</v>
      </c>
      <c r="G3211" s="8">
        <v>5</v>
      </c>
      <c r="H3211" s="8" t="s">
        <v>32060</v>
      </c>
      <c r="I3211" s="8">
        <v>526.6875</v>
      </c>
      <c r="J3211" s="3">
        <f t="shared" si="50"/>
        <v>43748.682991944443</v>
      </c>
    </row>
    <row r="3212" spans="1:10" x14ac:dyDescent="0.25">
      <c r="A3212" s="5" t="s">
        <v>32061</v>
      </c>
      <c r="B3212" s="6">
        <v>393.75</v>
      </c>
      <c r="C3212" s="6">
        <v>20.531590000000001</v>
      </c>
      <c r="D3212" s="6">
        <v>75</v>
      </c>
      <c r="E3212" s="6">
        <v>0</v>
      </c>
      <c r="F3212" s="6">
        <v>0</v>
      </c>
      <c r="G3212" s="6">
        <v>10</v>
      </c>
      <c r="H3212" s="6" t="s">
        <v>32062</v>
      </c>
      <c r="I3212" s="6">
        <v>526.6875</v>
      </c>
      <c r="J3212" s="2">
        <f t="shared" si="50"/>
        <v>43748.683075624998</v>
      </c>
    </row>
    <row r="3213" spans="1:10" x14ac:dyDescent="0.25">
      <c r="A3213" s="7" t="s">
        <v>32063</v>
      </c>
      <c r="B3213" s="8">
        <v>393.75</v>
      </c>
      <c r="C3213" s="8">
        <v>20.531590000000001</v>
      </c>
      <c r="D3213" s="8">
        <v>74</v>
      </c>
      <c r="E3213" s="8">
        <v>0</v>
      </c>
      <c r="F3213" s="8">
        <v>0</v>
      </c>
      <c r="G3213" s="8">
        <v>2</v>
      </c>
      <c r="H3213" s="8" t="s">
        <v>32064</v>
      </c>
      <c r="I3213" s="8">
        <v>526.6875</v>
      </c>
      <c r="J3213" s="3">
        <f t="shared" si="50"/>
        <v>43748.683147025462</v>
      </c>
    </row>
    <row r="3214" spans="1:10" x14ac:dyDescent="0.25">
      <c r="A3214" s="5" t="s">
        <v>32065</v>
      </c>
      <c r="B3214" s="6">
        <v>393.75</v>
      </c>
      <c r="C3214" s="6">
        <v>20.531590000000001</v>
      </c>
      <c r="D3214" s="6">
        <v>75</v>
      </c>
      <c r="E3214" s="6">
        <v>0</v>
      </c>
      <c r="F3214" s="6">
        <v>0</v>
      </c>
      <c r="G3214" s="6">
        <v>13</v>
      </c>
      <c r="H3214" s="6" t="s">
        <v>32066</v>
      </c>
      <c r="I3214" s="6">
        <v>526.6875</v>
      </c>
      <c r="J3214" s="2">
        <f t="shared" si="50"/>
        <v>43748.683230370363</v>
      </c>
    </row>
    <row r="3215" spans="1:10" x14ac:dyDescent="0.25">
      <c r="A3215" s="7" t="s">
        <v>32067</v>
      </c>
      <c r="B3215" s="8">
        <v>393.75</v>
      </c>
      <c r="C3215" s="8">
        <v>20.478950000000001</v>
      </c>
      <c r="D3215" s="8">
        <v>75</v>
      </c>
      <c r="E3215" s="8">
        <v>0</v>
      </c>
      <c r="F3215" s="8">
        <v>0</v>
      </c>
      <c r="G3215" s="8">
        <v>4</v>
      </c>
      <c r="H3215" s="8" t="s">
        <v>32068</v>
      </c>
      <c r="I3215" s="8">
        <v>526.6875</v>
      </c>
      <c r="J3215" s="3">
        <f t="shared" si="50"/>
        <v>43748.683302129626</v>
      </c>
    </row>
    <row r="3216" spans="1:10" x14ac:dyDescent="0.25">
      <c r="A3216" s="5" t="s">
        <v>32069</v>
      </c>
      <c r="B3216" s="6">
        <v>393.75</v>
      </c>
      <c r="C3216" s="6">
        <v>20.478950000000001</v>
      </c>
      <c r="D3216" s="6">
        <v>74</v>
      </c>
      <c r="E3216" s="6">
        <v>0</v>
      </c>
      <c r="F3216" s="6">
        <v>0</v>
      </c>
      <c r="G3216" s="6">
        <v>7</v>
      </c>
      <c r="H3216" s="6" t="s">
        <v>32070</v>
      </c>
      <c r="I3216" s="6">
        <v>526.6875</v>
      </c>
      <c r="J3216" s="2">
        <f t="shared" si="50"/>
        <v>43748.683385578704</v>
      </c>
    </row>
    <row r="3217" spans="1:10" x14ac:dyDescent="0.25">
      <c r="A3217" s="7" t="s">
        <v>32071</v>
      </c>
      <c r="B3217" s="8">
        <v>393.75</v>
      </c>
      <c r="C3217" s="8">
        <v>20.531590000000001</v>
      </c>
      <c r="D3217" s="8">
        <v>74</v>
      </c>
      <c r="E3217" s="8">
        <v>0</v>
      </c>
      <c r="F3217" s="8">
        <v>0</v>
      </c>
      <c r="G3217" s="8">
        <v>15</v>
      </c>
      <c r="H3217" s="8" t="s">
        <v>32072</v>
      </c>
      <c r="I3217" s="8">
        <v>526.6875</v>
      </c>
      <c r="J3217" s="3">
        <f t="shared" si="50"/>
        <v>43748.6834690162</v>
      </c>
    </row>
    <row r="3218" spans="1:10" x14ac:dyDescent="0.25">
      <c r="A3218" s="5" t="s">
        <v>32073</v>
      </c>
      <c r="B3218" s="6">
        <v>393.75</v>
      </c>
      <c r="C3218" s="6">
        <v>20.531590000000001</v>
      </c>
      <c r="D3218" s="6">
        <v>74</v>
      </c>
      <c r="E3218" s="6">
        <v>0</v>
      </c>
      <c r="F3218" s="6">
        <v>0</v>
      </c>
      <c r="G3218" s="6">
        <v>4</v>
      </c>
      <c r="H3218" s="6" t="s">
        <v>32074</v>
      </c>
      <c r="I3218" s="6">
        <v>526.6875</v>
      </c>
      <c r="J3218" s="2">
        <f t="shared" si="50"/>
        <v>43748.683566979169</v>
      </c>
    </row>
    <row r="3219" spans="1:10" x14ac:dyDescent="0.25">
      <c r="A3219" s="7" t="s">
        <v>32075</v>
      </c>
      <c r="B3219" s="8">
        <v>393.75</v>
      </c>
      <c r="C3219" s="8">
        <v>20.531590000000001</v>
      </c>
      <c r="D3219" s="8">
        <v>72</v>
      </c>
      <c r="E3219" s="8">
        <v>0</v>
      </c>
      <c r="F3219" s="8">
        <v>0</v>
      </c>
      <c r="G3219" s="8">
        <v>11</v>
      </c>
      <c r="H3219" s="8" t="s">
        <v>32076</v>
      </c>
      <c r="I3219" s="8">
        <v>526.6875</v>
      </c>
      <c r="J3219" s="3">
        <f t="shared" si="50"/>
        <v>43748.68364791666</v>
      </c>
    </row>
    <row r="3220" spans="1:10" x14ac:dyDescent="0.25">
      <c r="A3220" s="5" t="s">
        <v>32077</v>
      </c>
      <c r="B3220" s="6">
        <v>393.75</v>
      </c>
      <c r="C3220" s="6">
        <v>20.531590000000001</v>
      </c>
      <c r="D3220" s="6">
        <v>72</v>
      </c>
      <c r="E3220" s="6">
        <v>0</v>
      </c>
      <c r="F3220" s="6">
        <v>0</v>
      </c>
      <c r="G3220" s="6">
        <v>5</v>
      </c>
      <c r="H3220" s="6" t="s">
        <v>32078</v>
      </c>
      <c r="I3220" s="6">
        <v>526.6875</v>
      </c>
      <c r="J3220" s="2">
        <f t="shared" si="50"/>
        <v>43748.683731458332</v>
      </c>
    </row>
    <row r="3221" spans="1:10" x14ac:dyDescent="0.25">
      <c r="A3221" s="7" t="s">
        <v>32079</v>
      </c>
      <c r="B3221" s="8">
        <v>393.75</v>
      </c>
      <c r="C3221" s="8">
        <v>20.531590000000001</v>
      </c>
      <c r="D3221" s="8">
        <v>73</v>
      </c>
      <c r="E3221" s="8">
        <v>0</v>
      </c>
      <c r="F3221" s="8">
        <v>0</v>
      </c>
      <c r="G3221" s="8">
        <v>16</v>
      </c>
      <c r="H3221" s="8" t="s">
        <v>32080</v>
      </c>
      <c r="I3221" s="8">
        <v>526.6875</v>
      </c>
      <c r="J3221" s="3">
        <f t="shared" si="50"/>
        <v>43748.683815034725</v>
      </c>
    </row>
    <row r="3222" spans="1:10" x14ac:dyDescent="0.25">
      <c r="A3222" s="5" t="s">
        <v>32081</v>
      </c>
      <c r="B3222" s="6">
        <v>393.75</v>
      </c>
      <c r="C3222" s="6">
        <v>20.478950000000001</v>
      </c>
      <c r="D3222" s="6">
        <v>73</v>
      </c>
      <c r="E3222" s="6">
        <v>0</v>
      </c>
      <c r="F3222" s="6">
        <v>0</v>
      </c>
      <c r="G3222" s="6">
        <v>11</v>
      </c>
      <c r="H3222" s="6" t="s">
        <v>32082</v>
      </c>
      <c r="I3222" s="6">
        <v>526.6875</v>
      </c>
      <c r="J3222" s="2">
        <f t="shared" si="50"/>
        <v>43748.683898495372</v>
      </c>
    </row>
    <row r="3223" spans="1:10" x14ac:dyDescent="0.25">
      <c r="A3223" s="7" t="s">
        <v>32083</v>
      </c>
      <c r="B3223" s="8">
        <v>393.75</v>
      </c>
      <c r="C3223" s="8">
        <v>20.531590000000001</v>
      </c>
      <c r="D3223" s="8">
        <v>74</v>
      </c>
      <c r="E3223" s="8">
        <v>0</v>
      </c>
      <c r="F3223" s="8">
        <v>0</v>
      </c>
      <c r="G3223" s="8">
        <v>11</v>
      </c>
      <c r="H3223" s="8" t="s">
        <v>32084</v>
      </c>
      <c r="I3223" s="8">
        <v>526.6875</v>
      </c>
      <c r="J3223" s="3">
        <f t="shared" si="50"/>
        <v>43748.683981956019</v>
      </c>
    </row>
    <row r="3224" spans="1:10" x14ac:dyDescent="0.25">
      <c r="A3224" s="5" t="s">
        <v>32085</v>
      </c>
      <c r="B3224" s="6">
        <v>393.75</v>
      </c>
      <c r="C3224" s="6">
        <v>20.531590000000001</v>
      </c>
      <c r="D3224" s="6">
        <v>75</v>
      </c>
      <c r="E3224" s="6">
        <v>0</v>
      </c>
      <c r="F3224" s="6">
        <v>0</v>
      </c>
      <c r="G3224" s="6">
        <v>13</v>
      </c>
      <c r="H3224" s="6" t="s">
        <v>32086</v>
      </c>
      <c r="I3224" s="6">
        <v>526.6875</v>
      </c>
      <c r="J3224" s="2">
        <f t="shared" si="50"/>
        <v>43748.684065393514</v>
      </c>
    </row>
    <row r="3225" spans="1:10" x14ac:dyDescent="0.25">
      <c r="A3225" s="7" t="s">
        <v>32087</v>
      </c>
      <c r="B3225" s="8">
        <v>431.25</v>
      </c>
      <c r="C3225" s="8">
        <v>20.531590000000001</v>
      </c>
      <c r="D3225" s="8">
        <v>74</v>
      </c>
      <c r="E3225" s="8">
        <v>0</v>
      </c>
      <c r="F3225" s="8">
        <v>0</v>
      </c>
      <c r="G3225" s="8">
        <v>17</v>
      </c>
      <c r="H3225" s="8" t="s">
        <v>32088</v>
      </c>
      <c r="I3225" s="8">
        <v>538.875</v>
      </c>
      <c r="J3225" s="3">
        <f t="shared" si="50"/>
        <v>43748.684148969907</v>
      </c>
    </row>
    <row r="3226" spans="1:10" x14ac:dyDescent="0.25">
      <c r="A3226" s="5" t="s">
        <v>32089</v>
      </c>
      <c r="B3226" s="6">
        <v>393.75</v>
      </c>
      <c r="C3226" s="6">
        <v>20.584240000000001</v>
      </c>
      <c r="D3226" s="6">
        <v>74</v>
      </c>
      <c r="E3226" s="6">
        <v>0</v>
      </c>
      <c r="F3226" s="6">
        <v>0</v>
      </c>
      <c r="G3226" s="6">
        <v>20</v>
      </c>
      <c r="H3226" s="6" t="s">
        <v>32090</v>
      </c>
      <c r="I3226" s="6">
        <v>526.6875</v>
      </c>
      <c r="J3226" s="2">
        <f t="shared" si="50"/>
        <v>43748.684232407402</v>
      </c>
    </row>
    <row r="3227" spans="1:10" x14ac:dyDescent="0.25">
      <c r="A3227" s="7" t="s">
        <v>32091</v>
      </c>
      <c r="B3227" s="8">
        <v>393.75</v>
      </c>
      <c r="C3227" s="8">
        <v>20.531590000000001</v>
      </c>
      <c r="D3227" s="8">
        <v>74</v>
      </c>
      <c r="E3227" s="8">
        <v>0</v>
      </c>
      <c r="F3227" s="8">
        <v>0</v>
      </c>
      <c r="G3227" s="8">
        <v>6</v>
      </c>
      <c r="H3227" s="8" t="s">
        <v>32092</v>
      </c>
      <c r="I3227" s="8">
        <v>526.6875</v>
      </c>
      <c r="J3227" s="3">
        <f t="shared" si="50"/>
        <v>43748.68431561342</v>
      </c>
    </row>
    <row r="3228" spans="1:10" x14ac:dyDescent="0.25">
      <c r="A3228" s="5" t="s">
        <v>32093</v>
      </c>
      <c r="B3228" s="6">
        <v>393.75</v>
      </c>
      <c r="C3228" s="6">
        <v>20.531590000000001</v>
      </c>
      <c r="D3228" s="6">
        <v>74</v>
      </c>
      <c r="E3228" s="6">
        <v>0</v>
      </c>
      <c r="F3228" s="6">
        <v>0</v>
      </c>
      <c r="G3228" s="6">
        <v>8</v>
      </c>
      <c r="H3228" s="6" t="s">
        <v>32094</v>
      </c>
      <c r="I3228" s="6">
        <v>526.6875</v>
      </c>
      <c r="J3228" s="2">
        <f t="shared" si="50"/>
        <v>43748.684387384252</v>
      </c>
    </row>
    <row r="3229" spans="1:10" x14ac:dyDescent="0.25">
      <c r="A3229" s="7" t="s">
        <v>32095</v>
      </c>
      <c r="B3229" s="8">
        <v>393.75</v>
      </c>
      <c r="C3229" s="8">
        <v>20.531590000000001</v>
      </c>
      <c r="D3229" s="8">
        <v>74</v>
      </c>
      <c r="E3229" s="8">
        <v>0</v>
      </c>
      <c r="F3229" s="8">
        <v>0</v>
      </c>
      <c r="G3229" s="8">
        <v>19</v>
      </c>
      <c r="H3229" s="8" t="s">
        <v>32096</v>
      </c>
      <c r="I3229" s="8">
        <v>526.5</v>
      </c>
      <c r="J3229" s="3">
        <f t="shared" si="50"/>
        <v>43748.684488865743</v>
      </c>
    </row>
    <row r="3230" spans="1:10" x14ac:dyDescent="0.25">
      <c r="A3230" s="5" t="s">
        <v>32097</v>
      </c>
      <c r="B3230" s="6">
        <v>393.75</v>
      </c>
      <c r="C3230" s="6">
        <v>20.531590000000001</v>
      </c>
      <c r="D3230" s="6">
        <v>74</v>
      </c>
      <c r="E3230" s="6">
        <v>0</v>
      </c>
      <c r="F3230" s="6">
        <v>0</v>
      </c>
      <c r="G3230" s="6">
        <v>13</v>
      </c>
      <c r="H3230" s="6" t="s">
        <v>32098</v>
      </c>
      <c r="I3230" s="6">
        <v>526.6875</v>
      </c>
      <c r="J3230" s="2">
        <f t="shared" si="50"/>
        <v>43748.684566307864</v>
      </c>
    </row>
    <row r="3231" spans="1:10" x14ac:dyDescent="0.25">
      <c r="A3231" s="7" t="s">
        <v>32099</v>
      </c>
      <c r="B3231" s="8">
        <v>393.75</v>
      </c>
      <c r="C3231" s="8">
        <v>20.531590000000001</v>
      </c>
      <c r="D3231" s="8">
        <v>74</v>
      </c>
      <c r="E3231" s="8">
        <v>0</v>
      </c>
      <c r="F3231" s="8">
        <v>0</v>
      </c>
      <c r="G3231" s="8">
        <v>13</v>
      </c>
      <c r="H3231" s="8" t="s">
        <v>32100</v>
      </c>
      <c r="I3231" s="8">
        <v>526.6875</v>
      </c>
      <c r="J3231" s="3">
        <f t="shared" si="50"/>
        <v>43748.684649907409</v>
      </c>
    </row>
    <row r="3232" spans="1:10" x14ac:dyDescent="0.25">
      <c r="A3232" s="5" t="s">
        <v>32101</v>
      </c>
      <c r="B3232" s="6">
        <v>421.875</v>
      </c>
      <c r="C3232" s="6">
        <v>20.531590000000001</v>
      </c>
      <c r="D3232" s="6">
        <v>74</v>
      </c>
      <c r="E3232" s="6">
        <v>0</v>
      </c>
      <c r="F3232" s="6">
        <v>0</v>
      </c>
      <c r="G3232" s="6">
        <v>8</v>
      </c>
      <c r="H3232" s="6" t="s">
        <v>32102</v>
      </c>
      <c r="I3232" s="6">
        <v>535.5</v>
      </c>
      <c r="J3232" s="2">
        <f t="shared" si="50"/>
        <v>43748.684733310183</v>
      </c>
    </row>
    <row r="3233" spans="1:10" x14ac:dyDescent="0.25">
      <c r="A3233" s="7" t="s">
        <v>32103</v>
      </c>
      <c r="B3233" s="8">
        <v>393.75</v>
      </c>
      <c r="C3233" s="8">
        <v>20.531590000000001</v>
      </c>
      <c r="D3233" s="8">
        <v>74</v>
      </c>
      <c r="E3233" s="8">
        <v>0</v>
      </c>
      <c r="F3233" s="8">
        <v>0</v>
      </c>
      <c r="G3233" s="8">
        <v>12</v>
      </c>
      <c r="H3233" s="8" t="s">
        <v>32104</v>
      </c>
      <c r="I3233" s="8">
        <v>526.6875</v>
      </c>
      <c r="J3233" s="3">
        <f t="shared" si="50"/>
        <v>43748.68481677083</v>
      </c>
    </row>
    <row r="3234" spans="1:10" x14ac:dyDescent="0.25">
      <c r="A3234" s="5" t="s">
        <v>32105</v>
      </c>
      <c r="B3234" s="6">
        <v>393.75</v>
      </c>
      <c r="C3234" s="6">
        <v>20.584240000000001</v>
      </c>
      <c r="D3234" s="6">
        <v>74</v>
      </c>
      <c r="E3234" s="6">
        <v>0</v>
      </c>
      <c r="F3234" s="6">
        <v>0</v>
      </c>
      <c r="G3234" s="6">
        <v>14</v>
      </c>
      <c r="H3234" s="6" t="s">
        <v>32106</v>
      </c>
      <c r="I3234" s="6">
        <v>526.6875</v>
      </c>
      <c r="J3234" s="2">
        <f t="shared" si="50"/>
        <v>43748.684888414347</v>
      </c>
    </row>
    <row r="3235" spans="1:10" x14ac:dyDescent="0.25">
      <c r="A3235" s="7" t="s">
        <v>32107</v>
      </c>
      <c r="B3235" s="8">
        <v>393.75</v>
      </c>
      <c r="C3235" s="8">
        <v>20.531590000000001</v>
      </c>
      <c r="D3235" s="8">
        <v>77</v>
      </c>
      <c r="E3235" s="8">
        <v>0</v>
      </c>
      <c r="F3235" s="8">
        <v>0</v>
      </c>
      <c r="G3235" s="8">
        <v>14</v>
      </c>
      <c r="H3235" s="8" t="s">
        <v>32108</v>
      </c>
      <c r="I3235" s="8">
        <v>526.6875</v>
      </c>
      <c r="J3235" s="3">
        <f t="shared" si="50"/>
        <v>43748.684971967588</v>
      </c>
    </row>
    <row r="3236" spans="1:10" x14ac:dyDescent="0.25">
      <c r="A3236" s="5" t="s">
        <v>32109</v>
      </c>
      <c r="B3236" s="6">
        <v>393.75</v>
      </c>
      <c r="C3236" s="6">
        <v>20.531590000000001</v>
      </c>
      <c r="D3236" s="6">
        <v>76</v>
      </c>
      <c r="E3236" s="6">
        <v>0</v>
      </c>
      <c r="F3236" s="6">
        <v>0</v>
      </c>
      <c r="G3236" s="6">
        <v>14</v>
      </c>
      <c r="H3236" s="6" t="s">
        <v>32110</v>
      </c>
      <c r="I3236" s="6">
        <v>526.6875</v>
      </c>
      <c r="J3236" s="2">
        <f t="shared" si="50"/>
        <v>43748.685055300921</v>
      </c>
    </row>
    <row r="3237" spans="1:10" x14ac:dyDescent="0.25">
      <c r="A3237" s="7" t="s">
        <v>32111</v>
      </c>
      <c r="B3237" s="8">
        <v>440.625</v>
      </c>
      <c r="C3237" s="8">
        <v>20.531590000000001</v>
      </c>
      <c r="D3237" s="8">
        <v>70</v>
      </c>
      <c r="E3237" s="8">
        <v>0</v>
      </c>
      <c r="F3237" s="8">
        <v>0</v>
      </c>
      <c r="G3237" s="8">
        <v>12</v>
      </c>
      <c r="H3237" s="8" t="s">
        <v>32112</v>
      </c>
      <c r="I3237" s="8">
        <v>541.125</v>
      </c>
      <c r="J3237" s="3">
        <f t="shared" si="50"/>
        <v>43748.685138888883</v>
      </c>
    </row>
    <row r="3238" spans="1:10" x14ac:dyDescent="0.25">
      <c r="A3238" s="5" t="s">
        <v>32113</v>
      </c>
      <c r="B3238" s="6">
        <v>393.75</v>
      </c>
      <c r="C3238" s="6">
        <v>20.531590000000001</v>
      </c>
      <c r="D3238" s="6">
        <v>70</v>
      </c>
      <c r="E3238" s="6">
        <v>0</v>
      </c>
      <c r="F3238" s="6">
        <v>0</v>
      </c>
      <c r="G3238" s="6">
        <v>17</v>
      </c>
      <c r="H3238" s="6" t="s">
        <v>32114</v>
      </c>
      <c r="I3238" s="6">
        <v>526.6875</v>
      </c>
      <c r="J3238" s="2">
        <f t="shared" si="50"/>
        <v>43748.685222326385</v>
      </c>
    </row>
    <row r="3239" spans="1:10" x14ac:dyDescent="0.25">
      <c r="A3239" s="7" t="s">
        <v>32115</v>
      </c>
      <c r="B3239" s="8">
        <v>393.75</v>
      </c>
      <c r="C3239" s="8">
        <v>20.531590000000001</v>
      </c>
      <c r="D3239" s="8">
        <v>72</v>
      </c>
      <c r="E3239" s="8">
        <v>0</v>
      </c>
      <c r="F3239" s="8">
        <v>0</v>
      </c>
      <c r="G3239" s="8">
        <v>10</v>
      </c>
      <c r="H3239" s="8" t="s">
        <v>32116</v>
      </c>
      <c r="I3239" s="8">
        <v>526.6875</v>
      </c>
      <c r="J3239" s="3">
        <f t="shared" si="50"/>
        <v>43748.685306087958</v>
      </c>
    </row>
    <row r="3240" spans="1:10" x14ac:dyDescent="0.25">
      <c r="A3240" s="5" t="s">
        <v>32117</v>
      </c>
      <c r="B3240" s="6">
        <v>393.75</v>
      </c>
      <c r="C3240" s="6">
        <v>20.531590000000001</v>
      </c>
      <c r="D3240" s="6">
        <v>72</v>
      </c>
      <c r="E3240" s="6">
        <v>0</v>
      </c>
      <c r="F3240" s="6">
        <v>0</v>
      </c>
      <c r="G3240" s="6">
        <v>10</v>
      </c>
      <c r="H3240" s="6" t="s">
        <v>32118</v>
      </c>
      <c r="I3240" s="6">
        <v>526.6875</v>
      </c>
      <c r="J3240" s="2">
        <f t="shared" si="50"/>
        <v>43748.68538934028</v>
      </c>
    </row>
    <row r="3241" spans="1:10" x14ac:dyDescent="0.25">
      <c r="A3241" s="7" t="s">
        <v>32119</v>
      </c>
      <c r="B3241" s="8">
        <v>393.75</v>
      </c>
      <c r="C3241" s="8">
        <v>20.478950000000001</v>
      </c>
      <c r="D3241" s="8">
        <v>72</v>
      </c>
      <c r="E3241" s="8">
        <v>0</v>
      </c>
      <c r="F3241" s="8">
        <v>0</v>
      </c>
      <c r="G3241" s="8">
        <v>18</v>
      </c>
      <c r="H3241" s="8" t="s">
        <v>32120</v>
      </c>
      <c r="I3241" s="8">
        <v>526.6875</v>
      </c>
      <c r="J3241" s="3">
        <f t="shared" si="50"/>
        <v>43748.685472789344</v>
      </c>
    </row>
    <row r="3242" spans="1:10" x14ac:dyDescent="0.25">
      <c r="A3242" s="5" t="s">
        <v>32121</v>
      </c>
      <c r="B3242" s="6">
        <v>393.75</v>
      </c>
      <c r="C3242" s="6">
        <v>20.531590000000001</v>
      </c>
      <c r="D3242" s="6">
        <v>72</v>
      </c>
      <c r="E3242" s="6">
        <v>0</v>
      </c>
      <c r="F3242" s="6">
        <v>0</v>
      </c>
      <c r="G3242" s="6">
        <v>12</v>
      </c>
      <c r="H3242" s="6" t="s">
        <v>32122</v>
      </c>
      <c r="I3242" s="6">
        <v>526.6875</v>
      </c>
      <c r="J3242" s="2">
        <f t="shared" si="50"/>
        <v>43748.685556365737</v>
      </c>
    </row>
    <row r="3243" spans="1:10" x14ac:dyDescent="0.25">
      <c r="A3243" s="7" t="s">
        <v>32123</v>
      </c>
      <c r="B3243" s="8">
        <v>393.75</v>
      </c>
      <c r="C3243" s="8">
        <v>20.478950000000001</v>
      </c>
      <c r="D3243" s="8">
        <v>72</v>
      </c>
      <c r="E3243" s="8">
        <v>0</v>
      </c>
      <c r="F3243" s="8">
        <v>0</v>
      </c>
      <c r="G3243" s="8">
        <v>12</v>
      </c>
      <c r="H3243" s="8" t="s">
        <v>32124</v>
      </c>
      <c r="I3243" s="8">
        <v>526.5</v>
      </c>
      <c r="J3243" s="3">
        <f t="shared" si="50"/>
        <v>43748.685639814816</v>
      </c>
    </row>
    <row r="3244" spans="1:10" x14ac:dyDescent="0.25">
      <c r="A3244" s="5" t="s">
        <v>32125</v>
      </c>
      <c r="B3244" s="6">
        <v>412.5</v>
      </c>
      <c r="C3244" s="6">
        <v>20.531590000000001</v>
      </c>
      <c r="D3244" s="6">
        <v>72</v>
      </c>
      <c r="E3244" s="6">
        <v>0</v>
      </c>
      <c r="F3244" s="6">
        <v>0</v>
      </c>
      <c r="G3244" s="6">
        <v>4</v>
      </c>
      <c r="H3244" s="6" t="s">
        <v>32126</v>
      </c>
      <c r="I3244" s="6">
        <v>532.3125</v>
      </c>
      <c r="J3244" s="2">
        <f t="shared" si="50"/>
        <v>43748.685723020833</v>
      </c>
    </row>
    <row r="3245" spans="1:10" x14ac:dyDescent="0.25">
      <c r="A3245" s="7" t="s">
        <v>32127</v>
      </c>
      <c r="B3245" s="8">
        <v>393.75</v>
      </c>
      <c r="C3245" s="8">
        <v>20.531590000000001</v>
      </c>
      <c r="D3245" s="8">
        <v>72</v>
      </c>
      <c r="E3245" s="8">
        <v>0</v>
      </c>
      <c r="F3245" s="8">
        <v>0</v>
      </c>
      <c r="G3245" s="8">
        <v>4</v>
      </c>
      <c r="H3245" s="8" t="s">
        <v>32128</v>
      </c>
      <c r="I3245" s="8">
        <v>526.6875</v>
      </c>
      <c r="J3245" s="3">
        <f t="shared" si="50"/>
        <v>43748.685794907404</v>
      </c>
    </row>
    <row r="3246" spans="1:10" x14ac:dyDescent="0.25">
      <c r="A3246" s="5" t="s">
        <v>32129</v>
      </c>
      <c r="B3246" s="6">
        <v>393.75</v>
      </c>
      <c r="C3246" s="6">
        <v>20.478950000000001</v>
      </c>
      <c r="D3246" s="6">
        <v>73</v>
      </c>
      <c r="E3246" s="6">
        <v>0</v>
      </c>
      <c r="F3246" s="6">
        <v>0</v>
      </c>
      <c r="G3246" s="6">
        <v>18</v>
      </c>
      <c r="H3246" s="6" t="s">
        <v>32130</v>
      </c>
      <c r="I3246" s="6">
        <v>526.6875</v>
      </c>
      <c r="J3246" s="2">
        <f t="shared" si="50"/>
        <v>43748.68587833333</v>
      </c>
    </row>
    <row r="3247" spans="1:10" x14ac:dyDescent="0.25">
      <c r="A3247" s="7" t="s">
        <v>32131</v>
      </c>
      <c r="B3247" s="8">
        <v>393.75</v>
      </c>
      <c r="C3247" s="8">
        <v>20.531590000000001</v>
      </c>
      <c r="D3247" s="8">
        <v>73</v>
      </c>
      <c r="E3247" s="8">
        <v>0</v>
      </c>
      <c r="F3247" s="8">
        <v>0</v>
      </c>
      <c r="G3247" s="8">
        <v>13</v>
      </c>
      <c r="H3247" s="8" t="s">
        <v>32132</v>
      </c>
      <c r="I3247" s="8">
        <v>526.6875</v>
      </c>
      <c r="J3247" s="3">
        <f t="shared" si="50"/>
        <v>43748.685961782401</v>
      </c>
    </row>
    <row r="3248" spans="1:10" x14ac:dyDescent="0.25">
      <c r="A3248" s="5" t="s">
        <v>32133</v>
      </c>
      <c r="B3248" s="6">
        <v>393.75</v>
      </c>
      <c r="C3248" s="6">
        <v>20.531590000000001</v>
      </c>
      <c r="D3248" s="6">
        <v>73</v>
      </c>
      <c r="E3248" s="6">
        <v>0</v>
      </c>
      <c r="F3248" s="6">
        <v>0</v>
      </c>
      <c r="G3248" s="6">
        <v>18</v>
      </c>
      <c r="H3248" s="6" t="s">
        <v>32134</v>
      </c>
      <c r="I3248" s="6">
        <v>526.6875</v>
      </c>
      <c r="J3248" s="2">
        <f t="shared" si="50"/>
        <v>43748.686045335642</v>
      </c>
    </row>
    <row r="3249" spans="1:10" x14ac:dyDescent="0.25">
      <c r="A3249" s="7" t="s">
        <v>32135</v>
      </c>
      <c r="B3249" s="8">
        <v>393.75</v>
      </c>
      <c r="C3249" s="8">
        <v>20.584240000000001</v>
      </c>
      <c r="D3249" s="8">
        <v>73</v>
      </c>
      <c r="E3249" s="8">
        <v>0</v>
      </c>
      <c r="F3249" s="8">
        <v>0</v>
      </c>
      <c r="G3249" s="8">
        <v>12</v>
      </c>
      <c r="H3249" s="8" t="s">
        <v>32136</v>
      </c>
      <c r="I3249" s="8">
        <v>526.6875</v>
      </c>
      <c r="J3249" s="3">
        <f t="shared" si="50"/>
        <v>43748.686128807873</v>
      </c>
    </row>
    <row r="3250" spans="1:10" x14ac:dyDescent="0.25">
      <c r="A3250" s="5" t="s">
        <v>32137</v>
      </c>
      <c r="B3250" s="6">
        <v>393.75</v>
      </c>
      <c r="C3250" s="6">
        <v>20.584240000000001</v>
      </c>
      <c r="D3250" s="6">
        <v>73</v>
      </c>
      <c r="E3250" s="6">
        <v>0</v>
      </c>
      <c r="F3250" s="6">
        <v>0</v>
      </c>
      <c r="G3250" s="6">
        <v>15</v>
      </c>
      <c r="H3250" s="6" t="s">
        <v>32138</v>
      </c>
      <c r="I3250" s="6">
        <v>526.875</v>
      </c>
      <c r="J3250" s="2">
        <f t="shared" si="50"/>
        <v>43748.68621190972</v>
      </c>
    </row>
    <row r="3251" spans="1:10" x14ac:dyDescent="0.25">
      <c r="A3251" s="7" t="s">
        <v>32139</v>
      </c>
      <c r="B3251" s="8">
        <v>393.75</v>
      </c>
      <c r="C3251" s="8">
        <v>20.584240000000001</v>
      </c>
      <c r="D3251" s="8">
        <v>73</v>
      </c>
      <c r="E3251" s="8">
        <v>0</v>
      </c>
      <c r="F3251" s="8">
        <v>0</v>
      </c>
      <c r="G3251" s="8">
        <v>18</v>
      </c>
      <c r="H3251" s="8" t="s">
        <v>32140</v>
      </c>
      <c r="I3251" s="8">
        <v>526.6875</v>
      </c>
      <c r="J3251" s="3">
        <f t="shared" si="50"/>
        <v>43748.686283564813</v>
      </c>
    </row>
    <row r="3252" spans="1:10" x14ac:dyDescent="0.25">
      <c r="A3252" s="5" t="s">
        <v>32141</v>
      </c>
      <c r="B3252" s="6">
        <v>393.75</v>
      </c>
      <c r="C3252" s="6">
        <v>20.584240000000001</v>
      </c>
      <c r="D3252" s="6">
        <v>70</v>
      </c>
      <c r="E3252" s="6">
        <v>0</v>
      </c>
      <c r="F3252" s="6">
        <v>0</v>
      </c>
      <c r="G3252" s="6">
        <v>14</v>
      </c>
      <c r="H3252" s="6" t="s">
        <v>32142</v>
      </c>
      <c r="I3252" s="6">
        <v>526.6875</v>
      </c>
      <c r="J3252" s="2">
        <f t="shared" si="50"/>
        <v>43748.686379340274</v>
      </c>
    </row>
    <row r="3253" spans="1:10" x14ac:dyDescent="0.25">
      <c r="A3253" s="7" t="s">
        <v>32143</v>
      </c>
      <c r="B3253" s="8">
        <v>393.75</v>
      </c>
      <c r="C3253" s="8">
        <v>20.584240000000001</v>
      </c>
      <c r="D3253" s="8">
        <v>71</v>
      </c>
      <c r="E3253" s="8">
        <v>0</v>
      </c>
      <c r="F3253" s="8">
        <v>0</v>
      </c>
      <c r="G3253" s="8">
        <v>5</v>
      </c>
      <c r="H3253" s="8" t="s">
        <v>32144</v>
      </c>
      <c r="I3253" s="8">
        <v>526.6875</v>
      </c>
      <c r="J3253" s="3">
        <f t="shared" si="50"/>
        <v>43748.686450729168</v>
      </c>
    </row>
    <row r="3254" spans="1:10" x14ac:dyDescent="0.25">
      <c r="A3254" s="5" t="s">
        <v>32145</v>
      </c>
      <c r="B3254" s="6">
        <v>412.5</v>
      </c>
      <c r="C3254" s="6">
        <v>20.531590000000001</v>
      </c>
      <c r="D3254" s="6">
        <v>71</v>
      </c>
      <c r="E3254" s="6">
        <v>0</v>
      </c>
      <c r="F3254" s="6">
        <v>0</v>
      </c>
      <c r="G3254" s="6">
        <v>14</v>
      </c>
      <c r="H3254" s="6" t="s">
        <v>32146</v>
      </c>
      <c r="I3254" s="6">
        <v>532.5</v>
      </c>
      <c r="J3254" s="2">
        <f t="shared" si="50"/>
        <v>43748.68653407407</v>
      </c>
    </row>
    <row r="3255" spans="1:10" x14ac:dyDescent="0.25">
      <c r="A3255" s="7" t="s">
        <v>32147</v>
      </c>
      <c r="B3255" s="8">
        <v>393.75</v>
      </c>
      <c r="C3255" s="8">
        <v>20.531590000000001</v>
      </c>
      <c r="D3255" s="8">
        <v>70</v>
      </c>
      <c r="E3255" s="8">
        <v>0</v>
      </c>
      <c r="F3255" s="8">
        <v>0</v>
      </c>
      <c r="G3255" s="8">
        <v>10</v>
      </c>
      <c r="H3255" s="8" t="s">
        <v>32148</v>
      </c>
      <c r="I3255" s="8">
        <v>526.6875</v>
      </c>
      <c r="J3255" s="3">
        <f t="shared" si="50"/>
        <v>43748.686617627311</v>
      </c>
    </row>
    <row r="3256" spans="1:10" x14ac:dyDescent="0.25">
      <c r="A3256" s="5" t="s">
        <v>32149</v>
      </c>
      <c r="B3256" s="6">
        <v>393.75</v>
      </c>
      <c r="C3256" s="6">
        <v>20.478950000000001</v>
      </c>
      <c r="D3256" s="6">
        <v>70</v>
      </c>
      <c r="E3256" s="6">
        <v>0</v>
      </c>
      <c r="F3256" s="6">
        <v>0</v>
      </c>
      <c r="G3256" s="6">
        <v>14</v>
      </c>
      <c r="H3256" s="6" t="s">
        <v>32150</v>
      </c>
      <c r="I3256" s="6">
        <v>526.6875</v>
      </c>
      <c r="J3256" s="2">
        <f t="shared" si="50"/>
        <v>43748.686700844904</v>
      </c>
    </row>
    <row r="3257" spans="1:10" x14ac:dyDescent="0.25">
      <c r="A3257" s="7" t="s">
        <v>32151</v>
      </c>
      <c r="B3257" s="8">
        <v>393.75</v>
      </c>
      <c r="C3257" s="8">
        <v>20.531590000000001</v>
      </c>
      <c r="D3257" s="8">
        <v>70</v>
      </c>
      <c r="E3257" s="8">
        <v>0</v>
      </c>
      <c r="F3257" s="8">
        <v>0</v>
      </c>
      <c r="G3257" s="8">
        <v>8</v>
      </c>
      <c r="H3257" s="8" t="s">
        <v>32152</v>
      </c>
      <c r="I3257" s="8">
        <v>526.6875</v>
      </c>
      <c r="J3257" s="3">
        <f t="shared" si="50"/>
        <v>43748.686772743058</v>
      </c>
    </row>
    <row r="3258" spans="1:10" x14ac:dyDescent="0.25">
      <c r="A3258" s="5" t="s">
        <v>32153</v>
      </c>
      <c r="B3258" s="6">
        <v>393.75</v>
      </c>
      <c r="C3258" s="6">
        <v>20.531590000000001</v>
      </c>
      <c r="D3258" s="6">
        <v>69</v>
      </c>
      <c r="E3258" s="6">
        <v>0</v>
      </c>
      <c r="F3258" s="6">
        <v>0</v>
      </c>
      <c r="G3258" s="6">
        <v>3</v>
      </c>
      <c r="H3258" s="6" t="s">
        <v>32154</v>
      </c>
      <c r="I3258" s="6">
        <v>526.6875</v>
      </c>
      <c r="J3258" s="2">
        <f t="shared" si="50"/>
        <v>43748.686856307868</v>
      </c>
    </row>
    <row r="3259" spans="1:10" x14ac:dyDescent="0.25">
      <c r="A3259" s="7" t="s">
        <v>32155</v>
      </c>
      <c r="B3259" s="8">
        <v>393.75</v>
      </c>
      <c r="C3259" s="8">
        <v>20.531590000000001</v>
      </c>
      <c r="D3259" s="8">
        <v>70</v>
      </c>
      <c r="E3259" s="8">
        <v>0</v>
      </c>
      <c r="F3259" s="8">
        <v>0</v>
      </c>
      <c r="G3259" s="8">
        <v>12</v>
      </c>
      <c r="H3259" s="8" t="s">
        <v>32156</v>
      </c>
      <c r="I3259" s="8">
        <v>526.6875</v>
      </c>
      <c r="J3259" s="3">
        <f t="shared" si="50"/>
        <v>43748.686939745363</v>
      </c>
    </row>
    <row r="3260" spans="1:10" x14ac:dyDescent="0.25">
      <c r="A3260" s="5" t="s">
        <v>32157</v>
      </c>
      <c r="B3260" s="6">
        <v>393.75</v>
      </c>
      <c r="C3260" s="6">
        <v>20.531590000000001</v>
      </c>
      <c r="D3260" s="6">
        <v>70</v>
      </c>
      <c r="E3260" s="6">
        <v>0</v>
      </c>
      <c r="F3260" s="6">
        <v>0</v>
      </c>
      <c r="G3260" s="6">
        <v>16</v>
      </c>
      <c r="H3260" s="6" t="s">
        <v>32158</v>
      </c>
      <c r="I3260" s="6">
        <v>526.6875</v>
      </c>
      <c r="J3260" s="2">
        <f t="shared" si="50"/>
        <v>43748.687029710643</v>
      </c>
    </row>
    <row r="3261" spans="1:10" x14ac:dyDescent="0.25">
      <c r="A3261" s="7" t="s">
        <v>32159</v>
      </c>
      <c r="B3261" s="8">
        <v>393.75</v>
      </c>
      <c r="C3261" s="8">
        <v>20.584240000000001</v>
      </c>
      <c r="D3261" s="8">
        <v>69</v>
      </c>
      <c r="E3261" s="8">
        <v>0</v>
      </c>
      <c r="F3261" s="8">
        <v>0</v>
      </c>
      <c r="G3261" s="8">
        <v>9</v>
      </c>
      <c r="H3261" s="8" t="s">
        <v>32160</v>
      </c>
      <c r="I3261" s="8">
        <v>526.6875</v>
      </c>
      <c r="J3261" s="3">
        <f t="shared" si="50"/>
        <v>43748.687106747682</v>
      </c>
    </row>
    <row r="3262" spans="1:10" x14ac:dyDescent="0.25">
      <c r="A3262" s="5" t="s">
        <v>32161</v>
      </c>
      <c r="B3262" s="6">
        <v>393.75</v>
      </c>
      <c r="C3262" s="6">
        <v>20.584240000000001</v>
      </c>
      <c r="D3262" s="6">
        <v>68</v>
      </c>
      <c r="E3262" s="6">
        <v>0</v>
      </c>
      <c r="F3262" s="6">
        <v>0</v>
      </c>
      <c r="G3262" s="6">
        <v>10</v>
      </c>
      <c r="H3262" s="6" t="s">
        <v>32162</v>
      </c>
      <c r="I3262" s="6">
        <v>526.6875</v>
      </c>
      <c r="J3262" s="2">
        <f t="shared" si="50"/>
        <v>43748.687190428238</v>
      </c>
    </row>
    <row r="3263" spans="1:10" x14ac:dyDescent="0.25">
      <c r="A3263" s="7" t="s">
        <v>32163</v>
      </c>
      <c r="B3263" s="8">
        <v>393.75</v>
      </c>
      <c r="C3263" s="8">
        <v>20.478950000000001</v>
      </c>
      <c r="D3263" s="8">
        <v>68</v>
      </c>
      <c r="E3263" s="8">
        <v>0</v>
      </c>
      <c r="F3263" s="8">
        <v>0</v>
      </c>
      <c r="G3263" s="8">
        <v>8</v>
      </c>
      <c r="H3263" s="8" t="s">
        <v>32164</v>
      </c>
      <c r="I3263" s="8">
        <v>526.6875</v>
      </c>
      <c r="J3263" s="3">
        <f t="shared" si="50"/>
        <v>43748.687273645832</v>
      </c>
    </row>
    <row r="3264" spans="1:10" x14ac:dyDescent="0.25">
      <c r="A3264" s="5" t="s">
        <v>32165</v>
      </c>
      <c r="B3264" s="6">
        <v>393.75</v>
      </c>
      <c r="C3264" s="6">
        <v>20.531590000000001</v>
      </c>
      <c r="D3264" s="6">
        <v>71</v>
      </c>
      <c r="E3264" s="6">
        <v>0</v>
      </c>
      <c r="F3264" s="6">
        <v>0</v>
      </c>
      <c r="G3264" s="6">
        <v>7</v>
      </c>
      <c r="H3264" s="6" t="s">
        <v>32166</v>
      </c>
      <c r="I3264" s="6">
        <v>526.6875</v>
      </c>
      <c r="J3264" s="2">
        <f t="shared" si="50"/>
        <v>43748.687357106479</v>
      </c>
    </row>
    <row r="3265" spans="1:10" x14ac:dyDescent="0.25">
      <c r="A3265" s="7" t="s">
        <v>32167</v>
      </c>
      <c r="B3265" s="8">
        <v>393.75</v>
      </c>
      <c r="C3265" s="8">
        <v>20.478950000000001</v>
      </c>
      <c r="D3265" s="8">
        <v>69</v>
      </c>
      <c r="E3265" s="8">
        <v>0</v>
      </c>
      <c r="F3265" s="8">
        <v>0</v>
      </c>
      <c r="G3265" s="8">
        <v>10</v>
      </c>
      <c r="H3265" s="8" t="s">
        <v>32168</v>
      </c>
      <c r="I3265" s="8">
        <v>526.6875</v>
      </c>
      <c r="J3265" s="3">
        <f t="shared" si="50"/>
        <v>43748.687428749996</v>
      </c>
    </row>
    <row r="3266" spans="1:10" x14ac:dyDescent="0.25">
      <c r="A3266" s="5" t="s">
        <v>32169</v>
      </c>
      <c r="B3266" s="6">
        <v>393.75</v>
      </c>
      <c r="C3266" s="6">
        <v>20.531590000000001</v>
      </c>
      <c r="D3266" s="6">
        <v>66</v>
      </c>
      <c r="E3266" s="6">
        <v>0</v>
      </c>
      <c r="F3266" s="6">
        <v>0</v>
      </c>
      <c r="G3266" s="6">
        <v>14</v>
      </c>
      <c r="H3266" s="6" t="s">
        <v>32170</v>
      </c>
      <c r="I3266" s="6">
        <v>526.6875</v>
      </c>
      <c r="J3266" s="2">
        <f t="shared" ref="J3266:J3329" si="51">(H3266/86400000)+25569+(7/24)</f>
        <v>43748.687511956021</v>
      </c>
    </row>
    <row r="3267" spans="1:10" x14ac:dyDescent="0.25">
      <c r="A3267" s="7" t="s">
        <v>32171</v>
      </c>
      <c r="B3267" s="8">
        <v>393.75</v>
      </c>
      <c r="C3267" s="8">
        <v>20.531590000000001</v>
      </c>
      <c r="D3267" s="8">
        <v>66</v>
      </c>
      <c r="E3267" s="8">
        <v>0</v>
      </c>
      <c r="F3267" s="8">
        <v>0</v>
      </c>
      <c r="G3267" s="8">
        <v>2</v>
      </c>
      <c r="H3267" s="8" t="s">
        <v>32172</v>
      </c>
      <c r="I3267" s="8">
        <v>526.6875</v>
      </c>
      <c r="J3267" s="3">
        <f t="shared" si="51"/>
        <v>43748.687583611107</v>
      </c>
    </row>
    <row r="3268" spans="1:10" x14ac:dyDescent="0.25">
      <c r="A3268" s="5" t="s">
        <v>32173</v>
      </c>
      <c r="B3268" s="6">
        <v>393.75</v>
      </c>
      <c r="C3268" s="6">
        <v>20.478950000000001</v>
      </c>
      <c r="D3268" s="6">
        <v>67</v>
      </c>
      <c r="E3268" s="6">
        <v>0</v>
      </c>
      <c r="F3268" s="6">
        <v>0</v>
      </c>
      <c r="G3268" s="6">
        <v>10</v>
      </c>
      <c r="H3268" s="6" t="s">
        <v>32174</v>
      </c>
      <c r="I3268" s="6">
        <v>526.6875</v>
      </c>
      <c r="J3268" s="2">
        <f t="shared" si="51"/>
        <v>43748.687667418977</v>
      </c>
    </row>
    <row r="3269" spans="1:10" x14ac:dyDescent="0.25">
      <c r="A3269" s="7" t="s">
        <v>32175</v>
      </c>
      <c r="B3269" s="8">
        <v>393.75</v>
      </c>
      <c r="C3269" s="8">
        <v>20.531590000000001</v>
      </c>
      <c r="D3269" s="8">
        <v>68</v>
      </c>
      <c r="E3269" s="8">
        <v>0</v>
      </c>
      <c r="F3269" s="8">
        <v>0</v>
      </c>
      <c r="G3269" s="8">
        <v>15</v>
      </c>
      <c r="H3269" s="8" t="s">
        <v>32176</v>
      </c>
      <c r="I3269" s="8">
        <v>526.5</v>
      </c>
      <c r="J3269" s="3">
        <f t="shared" si="51"/>
        <v>43748.687750729165</v>
      </c>
    </row>
    <row r="3270" spans="1:10" x14ac:dyDescent="0.25">
      <c r="A3270" s="5" t="s">
        <v>32177</v>
      </c>
      <c r="B3270" s="6">
        <v>393.75</v>
      </c>
      <c r="C3270" s="6">
        <v>20.584240000000001</v>
      </c>
      <c r="D3270" s="6">
        <v>68</v>
      </c>
      <c r="E3270" s="6">
        <v>0</v>
      </c>
      <c r="F3270" s="6">
        <v>0</v>
      </c>
      <c r="G3270" s="6">
        <v>12</v>
      </c>
      <c r="H3270" s="6" t="s">
        <v>32178</v>
      </c>
      <c r="I3270" s="6">
        <v>526.6875</v>
      </c>
      <c r="J3270" s="2">
        <f t="shared" si="51"/>
        <v>43748.687834074073</v>
      </c>
    </row>
    <row r="3271" spans="1:10" x14ac:dyDescent="0.25">
      <c r="A3271" s="7" t="s">
        <v>32179</v>
      </c>
      <c r="B3271" s="8">
        <v>393.75</v>
      </c>
      <c r="C3271" s="8">
        <v>20.531590000000001</v>
      </c>
      <c r="D3271" s="8">
        <v>68</v>
      </c>
      <c r="E3271" s="8">
        <v>0</v>
      </c>
      <c r="F3271" s="8">
        <v>0</v>
      </c>
      <c r="G3271" s="8">
        <v>9</v>
      </c>
      <c r="H3271" s="8" t="s">
        <v>32180</v>
      </c>
      <c r="I3271" s="8">
        <v>526.6875</v>
      </c>
      <c r="J3271" s="3">
        <f t="shared" si="51"/>
        <v>43748.687905706021</v>
      </c>
    </row>
    <row r="3272" spans="1:10" x14ac:dyDescent="0.25">
      <c r="A3272" s="5" t="s">
        <v>32181</v>
      </c>
      <c r="B3272" s="6">
        <v>393.75</v>
      </c>
      <c r="C3272" s="6">
        <v>20.531590000000001</v>
      </c>
      <c r="D3272" s="6">
        <v>68</v>
      </c>
      <c r="E3272" s="6">
        <v>0</v>
      </c>
      <c r="F3272" s="6">
        <v>0</v>
      </c>
      <c r="G3272" s="6">
        <v>4</v>
      </c>
      <c r="H3272" s="6" t="s">
        <v>32182</v>
      </c>
      <c r="I3272" s="6">
        <v>526.6875</v>
      </c>
      <c r="J3272" s="2">
        <f t="shared" si="51"/>
        <v>43748.687977349538</v>
      </c>
    </row>
    <row r="3273" spans="1:10" x14ac:dyDescent="0.25">
      <c r="A3273" s="7" t="s">
        <v>32183</v>
      </c>
      <c r="B3273" s="8">
        <v>393.75</v>
      </c>
      <c r="C3273" s="8">
        <v>20.531590000000001</v>
      </c>
      <c r="D3273" s="8">
        <v>72</v>
      </c>
      <c r="E3273" s="8">
        <v>0</v>
      </c>
      <c r="F3273" s="8">
        <v>0</v>
      </c>
      <c r="G3273" s="8">
        <v>5</v>
      </c>
      <c r="H3273" s="8" t="s">
        <v>32184</v>
      </c>
      <c r="I3273" s="8">
        <v>526.6875</v>
      </c>
      <c r="J3273" s="3">
        <f t="shared" si="51"/>
        <v>43748.688060567125</v>
      </c>
    </row>
    <row r="3274" spans="1:10" x14ac:dyDescent="0.25">
      <c r="A3274" s="5" t="s">
        <v>32185</v>
      </c>
      <c r="B3274" s="6">
        <v>393.75</v>
      </c>
      <c r="C3274" s="6">
        <v>20.478950000000001</v>
      </c>
      <c r="D3274" s="6">
        <v>71</v>
      </c>
      <c r="E3274" s="6">
        <v>0</v>
      </c>
      <c r="F3274" s="6">
        <v>0</v>
      </c>
      <c r="G3274" s="6">
        <v>6</v>
      </c>
      <c r="H3274" s="6" t="s">
        <v>32186</v>
      </c>
      <c r="I3274" s="6">
        <v>526.6875</v>
      </c>
      <c r="J3274" s="2">
        <f t="shared" si="51"/>
        <v>43748.688132442127</v>
      </c>
    </row>
    <row r="3275" spans="1:10" x14ac:dyDescent="0.25">
      <c r="A3275" s="7" t="s">
        <v>32187</v>
      </c>
      <c r="B3275" s="8">
        <v>393.75</v>
      </c>
      <c r="C3275" s="8">
        <v>20.478950000000001</v>
      </c>
      <c r="D3275" s="8">
        <v>71</v>
      </c>
      <c r="E3275" s="8">
        <v>0</v>
      </c>
      <c r="F3275" s="8">
        <v>0</v>
      </c>
      <c r="G3275" s="8">
        <v>8</v>
      </c>
      <c r="H3275" s="8" t="s">
        <v>32188</v>
      </c>
      <c r="I3275" s="8">
        <v>526.6875</v>
      </c>
      <c r="J3275" s="3">
        <f t="shared" si="51"/>
        <v>43748.68821565972</v>
      </c>
    </row>
    <row r="3276" spans="1:10" x14ac:dyDescent="0.25">
      <c r="A3276" s="5" t="s">
        <v>32189</v>
      </c>
      <c r="B3276" s="6">
        <v>393.75</v>
      </c>
      <c r="C3276" s="6">
        <v>20.531590000000001</v>
      </c>
      <c r="D3276" s="6">
        <v>71</v>
      </c>
      <c r="E3276" s="6">
        <v>0</v>
      </c>
      <c r="F3276" s="6">
        <v>0</v>
      </c>
      <c r="G3276" s="6">
        <v>16</v>
      </c>
      <c r="H3276" s="6" t="s">
        <v>32190</v>
      </c>
      <c r="I3276" s="6">
        <v>526.6875</v>
      </c>
      <c r="J3276" s="2">
        <f t="shared" si="51"/>
        <v>43748.688287199075</v>
      </c>
    </row>
    <row r="3277" spans="1:10" x14ac:dyDescent="0.25">
      <c r="A3277" s="7" t="s">
        <v>32191</v>
      </c>
      <c r="B3277" s="8">
        <v>393.75</v>
      </c>
      <c r="C3277" s="8">
        <v>20.478950000000001</v>
      </c>
      <c r="D3277" s="8">
        <v>72</v>
      </c>
      <c r="E3277" s="8">
        <v>0</v>
      </c>
      <c r="F3277" s="8">
        <v>0</v>
      </c>
      <c r="G3277" s="8">
        <v>11</v>
      </c>
      <c r="H3277" s="8" t="s">
        <v>32192</v>
      </c>
      <c r="I3277" s="8">
        <v>526.5</v>
      </c>
      <c r="J3277" s="3">
        <f t="shared" si="51"/>
        <v>43748.688371099539</v>
      </c>
    </row>
    <row r="3278" spans="1:10" x14ac:dyDescent="0.25">
      <c r="A3278" s="5" t="s">
        <v>32193</v>
      </c>
      <c r="B3278" s="6">
        <v>393.75</v>
      </c>
      <c r="C3278" s="6">
        <v>20.478950000000001</v>
      </c>
      <c r="D3278" s="6">
        <v>72</v>
      </c>
      <c r="E3278" s="6">
        <v>0</v>
      </c>
      <c r="F3278" s="6">
        <v>0</v>
      </c>
      <c r="G3278" s="6">
        <v>5</v>
      </c>
      <c r="H3278" s="6" t="s">
        <v>32194</v>
      </c>
      <c r="I3278" s="6">
        <v>526.6875</v>
      </c>
      <c r="J3278" s="2">
        <f t="shared" si="51"/>
        <v>43748.688454560186</v>
      </c>
    </row>
    <row r="3279" spans="1:10" x14ac:dyDescent="0.25">
      <c r="A3279" s="7" t="s">
        <v>32195</v>
      </c>
      <c r="B3279" s="8">
        <v>393.75</v>
      </c>
      <c r="C3279" s="8">
        <v>20.531590000000001</v>
      </c>
      <c r="D3279" s="8">
        <v>71</v>
      </c>
      <c r="E3279" s="8">
        <v>0</v>
      </c>
      <c r="F3279" s="8">
        <v>0</v>
      </c>
      <c r="G3279" s="8">
        <v>12</v>
      </c>
      <c r="H3279" s="8" t="s">
        <v>32196</v>
      </c>
      <c r="I3279" s="8">
        <v>526.6875</v>
      </c>
      <c r="J3279" s="3">
        <f t="shared" si="51"/>
        <v>43748.688537766204</v>
      </c>
    </row>
    <row r="3280" spans="1:10" x14ac:dyDescent="0.25">
      <c r="A3280" s="5" t="s">
        <v>32197</v>
      </c>
      <c r="B3280" s="6">
        <v>393.75</v>
      </c>
      <c r="C3280" s="6">
        <v>20.531590000000001</v>
      </c>
      <c r="D3280" s="6">
        <v>71</v>
      </c>
      <c r="E3280" s="6">
        <v>0</v>
      </c>
      <c r="F3280" s="6">
        <v>0</v>
      </c>
      <c r="G3280" s="6">
        <v>17</v>
      </c>
      <c r="H3280" s="6" t="s">
        <v>32198</v>
      </c>
      <c r="I3280" s="6">
        <v>526.6875</v>
      </c>
      <c r="J3280" s="2">
        <f t="shared" si="51"/>
        <v>43748.688609525459</v>
      </c>
    </row>
    <row r="3281" spans="1:10" x14ac:dyDescent="0.25">
      <c r="A3281" s="7" t="s">
        <v>32199</v>
      </c>
      <c r="B3281" s="8">
        <v>393.75</v>
      </c>
      <c r="C3281" s="8">
        <v>20.478950000000001</v>
      </c>
      <c r="D3281" s="8">
        <v>71</v>
      </c>
      <c r="E3281" s="8">
        <v>0</v>
      </c>
      <c r="F3281" s="8">
        <v>0</v>
      </c>
      <c r="G3281" s="8">
        <v>12</v>
      </c>
      <c r="H3281" s="8" t="s">
        <v>32200</v>
      </c>
      <c r="I3281" s="8">
        <v>526.6875</v>
      </c>
      <c r="J3281" s="3">
        <f t="shared" si="51"/>
        <v>43748.688693101845</v>
      </c>
    </row>
    <row r="3282" spans="1:10" x14ac:dyDescent="0.25">
      <c r="A3282" s="5" t="s">
        <v>32201</v>
      </c>
      <c r="B3282" s="6">
        <v>393.75</v>
      </c>
      <c r="C3282" s="6">
        <v>20.531590000000001</v>
      </c>
      <c r="D3282" s="6">
        <v>71</v>
      </c>
      <c r="E3282" s="6">
        <v>0</v>
      </c>
      <c r="F3282" s="6">
        <v>0</v>
      </c>
      <c r="G3282" s="6">
        <v>14</v>
      </c>
      <c r="H3282" s="6" t="s">
        <v>32202</v>
      </c>
      <c r="I3282" s="6">
        <v>526.6875</v>
      </c>
      <c r="J3282" s="2">
        <f t="shared" si="51"/>
        <v>43748.688776550924</v>
      </c>
    </row>
    <row r="3283" spans="1:10" x14ac:dyDescent="0.25">
      <c r="A3283" s="7" t="s">
        <v>32203</v>
      </c>
      <c r="B3283" s="8">
        <v>393.75</v>
      </c>
      <c r="C3283" s="8">
        <v>20.478950000000001</v>
      </c>
      <c r="D3283" s="8">
        <v>71</v>
      </c>
      <c r="E3283" s="8">
        <v>0</v>
      </c>
      <c r="F3283" s="8">
        <v>0</v>
      </c>
      <c r="G3283" s="8">
        <v>15</v>
      </c>
      <c r="H3283" s="8" t="s">
        <v>32204</v>
      </c>
      <c r="I3283" s="8">
        <v>526.6875</v>
      </c>
      <c r="J3283" s="3">
        <f t="shared" si="51"/>
        <v>43748.688860011571</v>
      </c>
    </row>
    <row r="3284" spans="1:10" x14ac:dyDescent="0.25">
      <c r="A3284" s="5" t="s">
        <v>32205</v>
      </c>
      <c r="B3284" s="6">
        <v>393.75</v>
      </c>
      <c r="C3284" s="6">
        <v>20.531590000000001</v>
      </c>
      <c r="D3284" s="6">
        <v>71</v>
      </c>
      <c r="E3284" s="6">
        <v>0</v>
      </c>
      <c r="F3284" s="6">
        <v>0</v>
      </c>
      <c r="G3284" s="6">
        <v>10</v>
      </c>
      <c r="H3284" s="6" t="s">
        <v>32206</v>
      </c>
      <c r="I3284" s="6">
        <v>526.5</v>
      </c>
      <c r="J3284" s="2">
        <f t="shared" si="51"/>
        <v>43748.688943460649</v>
      </c>
    </row>
    <row r="3285" spans="1:10" x14ac:dyDescent="0.25">
      <c r="A3285" s="7" t="s">
        <v>32207</v>
      </c>
      <c r="B3285" s="8">
        <v>412.5</v>
      </c>
      <c r="C3285" s="8">
        <v>20.531590000000001</v>
      </c>
      <c r="D3285" s="8">
        <v>72</v>
      </c>
      <c r="E3285" s="8">
        <v>0</v>
      </c>
      <c r="F3285" s="8">
        <v>0</v>
      </c>
      <c r="G3285" s="8">
        <v>14</v>
      </c>
      <c r="H3285" s="8" t="s">
        <v>32208</v>
      </c>
      <c r="I3285" s="8">
        <v>532.125</v>
      </c>
      <c r="J3285" s="3">
        <f t="shared" si="51"/>
        <v>43748.689038923614</v>
      </c>
    </row>
    <row r="3286" spans="1:10" x14ac:dyDescent="0.25">
      <c r="A3286" s="5" t="s">
        <v>32209</v>
      </c>
      <c r="B3286" s="6">
        <v>393.75</v>
      </c>
      <c r="C3286" s="6">
        <v>20.531590000000001</v>
      </c>
      <c r="D3286" s="6">
        <v>71</v>
      </c>
      <c r="E3286" s="6">
        <v>0</v>
      </c>
      <c r="F3286" s="6">
        <v>0</v>
      </c>
      <c r="G3286" s="6">
        <v>5</v>
      </c>
      <c r="H3286" s="6" t="s">
        <v>32210</v>
      </c>
      <c r="I3286" s="6">
        <v>526.6875</v>
      </c>
      <c r="J3286" s="2">
        <f t="shared" si="51"/>
        <v>43748.689122361109</v>
      </c>
    </row>
    <row r="3287" spans="1:10" x14ac:dyDescent="0.25">
      <c r="A3287" s="7" t="s">
        <v>32211</v>
      </c>
      <c r="B3287" s="8">
        <v>393.75</v>
      </c>
      <c r="C3287" s="8">
        <v>20.478950000000001</v>
      </c>
      <c r="D3287" s="8">
        <v>72</v>
      </c>
      <c r="E3287" s="8">
        <v>0</v>
      </c>
      <c r="F3287" s="8">
        <v>0</v>
      </c>
      <c r="G3287" s="8">
        <v>12</v>
      </c>
      <c r="H3287" s="8" t="s">
        <v>32212</v>
      </c>
      <c r="I3287" s="8">
        <v>526.6875</v>
      </c>
      <c r="J3287" s="3">
        <f t="shared" si="51"/>
        <v>43748.689205821756</v>
      </c>
    </row>
    <row r="3288" spans="1:10" x14ac:dyDescent="0.25">
      <c r="A3288" s="5" t="s">
        <v>32213</v>
      </c>
      <c r="B3288" s="6">
        <v>393.75</v>
      </c>
      <c r="C3288" s="6">
        <v>20.584240000000001</v>
      </c>
      <c r="D3288" s="6">
        <v>74</v>
      </c>
      <c r="E3288" s="6">
        <v>0</v>
      </c>
      <c r="F3288" s="6">
        <v>0</v>
      </c>
      <c r="G3288" s="6">
        <v>14</v>
      </c>
      <c r="H3288" s="6" t="s">
        <v>32214</v>
      </c>
      <c r="I3288" s="6">
        <v>526.6875</v>
      </c>
      <c r="J3288" s="2">
        <f t="shared" si="51"/>
        <v>43748.689289363429</v>
      </c>
    </row>
    <row r="3289" spans="1:10" x14ac:dyDescent="0.25">
      <c r="A3289" s="7" t="s">
        <v>32215</v>
      </c>
      <c r="B3289" s="8">
        <v>393.75</v>
      </c>
      <c r="C3289" s="8">
        <v>20.531590000000001</v>
      </c>
      <c r="D3289" s="8">
        <v>74</v>
      </c>
      <c r="E3289" s="8">
        <v>0</v>
      </c>
      <c r="F3289" s="8">
        <v>0</v>
      </c>
      <c r="G3289" s="8">
        <v>8</v>
      </c>
      <c r="H3289" s="8" t="s">
        <v>32216</v>
      </c>
      <c r="I3289" s="8">
        <v>526.6875</v>
      </c>
      <c r="J3289" s="3">
        <f t="shared" si="51"/>
        <v>43748.689374074071</v>
      </c>
    </row>
    <row r="3290" spans="1:10" x14ac:dyDescent="0.25">
      <c r="A3290" s="5" t="s">
        <v>32217</v>
      </c>
      <c r="B3290" s="6">
        <v>393.75</v>
      </c>
      <c r="C3290" s="6">
        <v>20.531590000000001</v>
      </c>
      <c r="D3290" s="6">
        <v>74</v>
      </c>
      <c r="E3290" s="6">
        <v>0</v>
      </c>
      <c r="F3290" s="6">
        <v>0</v>
      </c>
      <c r="G3290" s="6">
        <v>12</v>
      </c>
      <c r="H3290" s="6" t="s">
        <v>32218</v>
      </c>
      <c r="I3290" s="6">
        <v>526.6875</v>
      </c>
      <c r="J3290" s="2">
        <f t="shared" si="51"/>
        <v>43748.689456284723</v>
      </c>
    </row>
    <row r="3291" spans="1:10" x14ac:dyDescent="0.25">
      <c r="A3291" s="7" t="s">
        <v>32219</v>
      </c>
      <c r="B3291" s="8">
        <v>393.75</v>
      </c>
      <c r="C3291" s="8">
        <v>20.531590000000001</v>
      </c>
      <c r="D3291" s="8">
        <v>74</v>
      </c>
      <c r="E3291" s="8">
        <v>0</v>
      </c>
      <c r="F3291" s="8">
        <v>0</v>
      </c>
      <c r="G3291" s="8">
        <v>10</v>
      </c>
      <c r="H3291" s="8" t="s">
        <v>32220</v>
      </c>
      <c r="I3291" s="8">
        <v>526.6875</v>
      </c>
      <c r="J3291" s="3">
        <f t="shared" si="51"/>
        <v>43748.689539837964</v>
      </c>
    </row>
    <row r="3292" spans="1:10" x14ac:dyDescent="0.25">
      <c r="A3292" s="5" t="s">
        <v>32221</v>
      </c>
      <c r="B3292" s="6">
        <v>412.5</v>
      </c>
      <c r="C3292" s="6">
        <v>20.531590000000001</v>
      </c>
      <c r="D3292" s="6">
        <v>77</v>
      </c>
      <c r="E3292" s="6">
        <v>0</v>
      </c>
      <c r="F3292" s="6">
        <v>0</v>
      </c>
      <c r="G3292" s="6">
        <v>17</v>
      </c>
      <c r="H3292" s="6" t="s">
        <v>32222</v>
      </c>
      <c r="I3292" s="6">
        <v>532.3125</v>
      </c>
      <c r="J3292" s="2">
        <f t="shared" si="51"/>
        <v>43748.689622939812</v>
      </c>
    </row>
    <row r="3293" spans="1:10" x14ac:dyDescent="0.25">
      <c r="A3293" s="7" t="s">
        <v>32223</v>
      </c>
      <c r="B3293" s="8">
        <v>393.75</v>
      </c>
      <c r="C3293" s="8">
        <v>20.531590000000001</v>
      </c>
      <c r="D3293" s="8">
        <v>77</v>
      </c>
      <c r="E3293" s="8">
        <v>0</v>
      </c>
      <c r="F3293" s="8">
        <v>0</v>
      </c>
      <c r="G3293" s="8">
        <v>5</v>
      </c>
      <c r="H3293" s="8" t="s">
        <v>32224</v>
      </c>
      <c r="I3293" s="8">
        <v>526.6875</v>
      </c>
      <c r="J3293" s="3">
        <f t="shared" si="51"/>
        <v>43748.689694618057</v>
      </c>
    </row>
    <row r="3294" spans="1:10" x14ac:dyDescent="0.25">
      <c r="A3294" s="5" t="s">
        <v>32225</v>
      </c>
      <c r="B3294" s="6">
        <v>393.75</v>
      </c>
      <c r="C3294" s="6">
        <v>20.531590000000001</v>
      </c>
      <c r="D3294" s="6">
        <v>76</v>
      </c>
      <c r="E3294" s="6">
        <v>0</v>
      </c>
      <c r="F3294" s="6">
        <v>0</v>
      </c>
      <c r="G3294" s="6">
        <v>11</v>
      </c>
      <c r="H3294" s="6" t="s">
        <v>32226</v>
      </c>
      <c r="I3294" s="6">
        <v>526.6875</v>
      </c>
      <c r="J3294" s="2">
        <f t="shared" si="51"/>
        <v>43748.689778483793</v>
      </c>
    </row>
    <row r="3295" spans="1:10" x14ac:dyDescent="0.25">
      <c r="A3295" s="7" t="s">
        <v>32227</v>
      </c>
      <c r="B3295" s="8">
        <v>393.75</v>
      </c>
      <c r="C3295" s="8">
        <v>20.531590000000001</v>
      </c>
      <c r="D3295" s="8">
        <v>68</v>
      </c>
      <c r="E3295" s="8">
        <v>0</v>
      </c>
      <c r="F3295" s="8">
        <v>0</v>
      </c>
      <c r="G3295" s="8">
        <v>12</v>
      </c>
      <c r="H3295" s="8" t="s">
        <v>32228</v>
      </c>
      <c r="I3295" s="8">
        <v>526.6875</v>
      </c>
      <c r="J3295" s="3">
        <f t="shared" si="51"/>
        <v>43748.689861817133</v>
      </c>
    </row>
    <row r="3296" spans="1:10" x14ac:dyDescent="0.25">
      <c r="A3296" s="5" t="s">
        <v>32229</v>
      </c>
      <c r="B3296" s="6">
        <v>393.75</v>
      </c>
      <c r="C3296" s="6">
        <v>20.531590000000001</v>
      </c>
      <c r="D3296" s="6">
        <v>70</v>
      </c>
      <c r="E3296" s="6">
        <v>0</v>
      </c>
      <c r="F3296" s="6">
        <v>0</v>
      </c>
      <c r="G3296" s="6">
        <v>10</v>
      </c>
      <c r="H3296" s="6" t="s">
        <v>32230</v>
      </c>
      <c r="I3296" s="6">
        <v>526.6875</v>
      </c>
      <c r="J3296" s="2">
        <f t="shared" si="51"/>
        <v>43748.68994517361</v>
      </c>
    </row>
    <row r="3297" spans="1:10" x14ac:dyDescent="0.25">
      <c r="A3297" s="7" t="s">
        <v>32231</v>
      </c>
      <c r="B3297" s="8">
        <v>415.625</v>
      </c>
      <c r="C3297" s="8">
        <v>20.531590000000001</v>
      </c>
      <c r="D3297" s="8">
        <v>70</v>
      </c>
      <c r="E3297" s="8">
        <v>0</v>
      </c>
      <c r="F3297" s="8">
        <v>0</v>
      </c>
      <c r="G3297" s="8">
        <v>10</v>
      </c>
      <c r="H3297" s="8" t="s">
        <v>32232</v>
      </c>
      <c r="I3297" s="8">
        <v>533.4375</v>
      </c>
      <c r="J3297" s="3">
        <f t="shared" si="51"/>
        <v>43748.690016793982</v>
      </c>
    </row>
    <row r="3298" spans="1:10" x14ac:dyDescent="0.25">
      <c r="A3298" s="5" t="s">
        <v>32233</v>
      </c>
      <c r="B3298" s="6">
        <v>393.75</v>
      </c>
      <c r="C3298" s="6">
        <v>20.478950000000001</v>
      </c>
      <c r="D3298" s="6">
        <v>70</v>
      </c>
      <c r="E3298" s="6">
        <v>0</v>
      </c>
      <c r="F3298" s="6">
        <v>0</v>
      </c>
      <c r="G3298" s="6">
        <v>12</v>
      </c>
      <c r="H3298" s="6" t="s">
        <v>32234</v>
      </c>
      <c r="I3298" s="6">
        <v>526.6875</v>
      </c>
      <c r="J3298" s="2">
        <f t="shared" si="51"/>
        <v>43748.690100474538</v>
      </c>
    </row>
    <row r="3299" spans="1:10" x14ac:dyDescent="0.25">
      <c r="A3299" s="7" t="s">
        <v>32235</v>
      </c>
      <c r="B3299" s="8">
        <v>393.75</v>
      </c>
      <c r="C3299" s="8">
        <v>20.531590000000001</v>
      </c>
      <c r="D3299" s="8">
        <v>75</v>
      </c>
      <c r="E3299" s="8">
        <v>0</v>
      </c>
      <c r="F3299" s="8">
        <v>0</v>
      </c>
      <c r="G3299" s="8">
        <v>1</v>
      </c>
      <c r="H3299" s="8" t="s">
        <v>32236</v>
      </c>
      <c r="I3299" s="8">
        <v>526.6875</v>
      </c>
      <c r="J3299" s="3">
        <f t="shared" si="51"/>
        <v>43748.690183935185</v>
      </c>
    </row>
    <row r="3300" spans="1:10" x14ac:dyDescent="0.25">
      <c r="A3300" s="5" t="s">
        <v>32237</v>
      </c>
      <c r="B3300" s="6">
        <v>393.75</v>
      </c>
      <c r="C3300" s="6">
        <v>20.531590000000001</v>
      </c>
      <c r="D3300" s="6">
        <v>75</v>
      </c>
      <c r="E3300" s="6">
        <v>0</v>
      </c>
      <c r="F3300" s="6">
        <v>0</v>
      </c>
      <c r="G3300" s="6">
        <v>13</v>
      </c>
      <c r="H3300" s="6" t="s">
        <v>32238</v>
      </c>
      <c r="I3300" s="6">
        <v>526.6875</v>
      </c>
      <c r="J3300" s="2">
        <f t="shared" si="51"/>
        <v>43748.690267384256</v>
      </c>
    </row>
    <row r="3301" spans="1:10" x14ac:dyDescent="0.25">
      <c r="A3301" s="7" t="s">
        <v>32239</v>
      </c>
      <c r="B3301" s="8">
        <v>393.75</v>
      </c>
      <c r="C3301" s="8">
        <v>20.584240000000001</v>
      </c>
      <c r="D3301" s="8">
        <v>76</v>
      </c>
      <c r="E3301" s="8">
        <v>0</v>
      </c>
      <c r="F3301" s="8">
        <v>0</v>
      </c>
      <c r="G3301" s="8">
        <v>8</v>
      </c>
      <c r="H3301" s="8" t="s">
        <v>32240</v>
      </c>
      <c r="I3301" s="8">
        <v>526.6875</v>
      </c>
      <c r="J3301" s="3">
        <f t="shared" si="51"/>
        <v>43748.690350717588</v>
      </c>
    </row>
    <row r="3302" spans="1:10" x14ac:dyDescent="0.25">
      <c r="A3302" s="5" t="s">
        <v>32241</v>
      </c>
      <c r="B3302" s="6">
        <v>415.625</v>
      </c>
      <c r="C3302" s="6">
        <v>20.531590000000001</v>
      </c>
      <c r="D3302" s="6">
        <v>75</v>
      </c>
      <c r="E3302" s="6">
        <v>0</v>
      </c>
      <c r="F3302" s="6">
        <v>0</v>
      </c>
      <c r="G3302" s="6">
        <v>12</v>
      </c>
      <c r="H3302" s="6" t="s">
        <v>32242</v>
      </c>
      <c r="I3302" s="6">
        <v>533.25</v>
      </c>
      <c r="J3302" s="2">
        <f t="shared" si="51"/>
        <v>43748.690434050928</v>
      </c>
    </row>
    <row r="3303" spans="1:10" x14ac:dyDescent="0.25">
      <c r="A3303" s="7" t="s">
        <v>32243</v>
      </c>
      <c r="B3303" s="8">
        <v>393.75</v>
      </c>
      <c r="C3303" s="8">
        <v>20.478950000000001</v>
      </c>
      <c r="D3303" s="8">
        <v>75</v>
      </c>
      <c r="E3303" s="8">
        <v>0</v>
      </c>
      <c r="F3303" s="8">
        <v>0</v>
      </c>
      <c r="G3303" s="8">
        <v>3</v>
      </c>
      <c r="H3303" s="8" t="s">
        <v>32244</v>
      </c>
      <c r="I3303" s="8">
        <v>526.6875</v>
      </c>
      <c r="J3303" s="3">
        <f t="shared" si="51"/>
        <v>43748.690505358791</v>
      </c>
    </row>
    <row r="3304" spans="1:10" x14ac:dyDescent="0.25">
      <c r="A3304" s="5" t="s">
        <v>32245</v>
      </c>
      <c r="B3304" s="6">
        <v>393.75</v>
      </c>
      <c r="C3304" s="6">
        <v>20.531590000000001</v>
      </c>
      <c r="D3304" s="6">
        <v>77</v>
      </c>
      <c r="E3304" s="6">
        <v>0</v>
      </c>
      <c r="F3304" s="6">
        <v>0</v>
      </c>
      <c r="G3304" s="6">
        <v>13</v>
      </c>
      <c r="H3304" s="6" t="s">
        <v>32246</v>
      </c>
      <c r="I3304" s="6">
        <v>526.6875</v>
      </c>
      <c r="J3304" s="2">
        <f t="shared" si="51"/>
        <v>43748.690577557871</v>
      </c>
    </row>
    <row r="3305" spans="1:10" x14ac:dyDescent="0.25">
      <c r="A3305" s="7" t="s">
        <v>32247</v>
      </c>
      <c r="B3305" s="8">
        <v>393.75</v>
      </c>
      <c r="C3305" s="8">
        <v>20.584240000000001</v>
      </c>
      <c r="D3305" s="8">
        <v>76</v>
      </c>
      <c r="E3305" s="8">
        <v>0</v>
      </c>
      <c r="F3305" s="8">
        <v>0</v>
      </c>
      <c r="G3305" s="8">
        <v>10</v>
      </c>
      <c r="H3305" s="8" t="s">
        <v>32248</v>
      </c>
      <c r="I3305" s="8">
        <v>526.6875</v>
      </c>
      <c r="J3305" s="3">
        <f t="shared" si="51"/>
        <v>43748.690661041663</v>
      </c>
    </row>
    <row r="3306" spans="1:10" x14ac:dyDescent="0.25">
      <c r="A3306" s="5" t="s">
        <v>32249</v>
      </c>
      <c r="B3306" s="6">
        <v>393.75</v>
      </c>
      <c r="C3306" s="6">
        <v>20.584240000000001</v>
      </c>
      <c r="D3306" s="6">
        <v>76</v>
      </c>
      <c r="E3306" s="6">
        <v>0</v>
      </c>
      <c r="F3306" s="6">
        <v>0</v>
      </c>
      <c r="G3306" s="6">
        <v>17</v>
      </c>
      <c r="H3306" s="6" t="s">
        <v>32250</v>
      </c>
      <c r="I3306" s="6">
        <v>526.6875</v>
      </c>
      <c r="J3306" s="2">
        <f t="shared" si="51"/>
        <v>43748.690732662035</v>
      </c>
    </row>
    <row r="3307" spans="1:10" x14ac:dyDescent="0.25">
      <c r="A3307" s="7" t="s">
        <v>32251</v>
      </c>
      <c r="B3307" s="8">
        <v>393.75</v>
      </c>
      <c r="C3307" s="8">
        <v>20.531590000000001</v>
      </c>
      <c r="D3307" s="8">
        <v>76</v>
      </c>
      <c r="E3307" s="8">
        <v>0</v>
      </c>
      <c r="F3307" s="8">
        <v>0</v>
      </c>
      <c r="G3307" s="8">
        <v>17</v>
      </c>
      <c r="H3307" s="8" t="s">
        <v>32252</v>
      </c>
      <c r="I3307" s="8">
        <v>526.5</v>
      </c>
      <c r="J3307" s="3">
        <f t="shared" si="51"/>
        <v>43748.690815891205</v>
      </c>
    </row>
    <row r="3308" spans="1:10" x14ac:dyDescent="0.25">
      <c r="A3308" s="5" t="s">
        <v>32253</v>
      </c>
      <c r="B3308" s="6">
        <v>415.625</v>
      </c>
      <c r="C3308" s="6">
        <v>20.478950000000001</v>
      </c>
      <c r="D3308" s="6">
        <v>76</v>
      </c>
      <c r="E3308" s="6">
        <v>0</v>
      </c>
      <c r="F3308" s="6">
        <v>0</v>
      </c>
      <c r="G3308" s="6">
        <v>17</v>
      </c>
      <c r="H3308" s="6" t="s">
        <v>32254</v>
      </c>
      <c r="I3308" s="6">
        <v>533.25</v>
      </c>
      <c r="J3308" s="2">
        <f t="shared" si="51"/>
        <v>43748.69089957176</v>
      </c>
    </row>
    <row r="3309" spans="1:10" x14ac:dyDescent="0.25">
      <c r="A3309" s="7" t="s">
        <v>32255</v>
      </c>
      <c r="B3309" s="8">
        <v>393.75</v>
      </c>
      <c r="C3309" s="8">
        <v>20.478950000000001</v>
      </c>
      <c r="D3309" s="8">
        <v>76</v>
      </c>
      <c r="E3309" s="8">
        <v>0</v>
      </c>
      <c r="F3309" s="8">
        <v>0</v>
      </c>
      <c r="G3309" s="8">
        <v>16</v>
      </c>
      <c r="H3309" s="8" t="s">
        <v>32256</v>
      </c>
      <c r="I3309" s="8">
        <v>526.6875</v>
      </c>
      <c r="J3309" s="3">
        <f t="shared" si="51"/>
        <v>43748.690983125001</v>
      </c>
    </row>
    <row r="3310" spans="1:10" x14ac:dyDescent="0.25">
      <c r="A3310" s="5" t="s">
        <v>32257</v>
      </c>
      <c r="B3310" s="6">
        <v>393.75</v>
      </c>
      <c r="C3310" s="6">
        <v>20.531590000000001</v>
      </c>
      <c r="D3310" s="6">
        <v>76</v>
      </c>
      <c r="E3310" s="6">
        <v>0</v>
      </c>
      <c r="F3310" s="6">
        <v>0</v>
      </c>
      <c r="G3310" s="6">
        <v>7</v>
      </c>
      <c r="H3310" s="6" t="s">
        <v>32258</v>
      </c>
      <c r="I3310" s="6">
        <v>526.6875</v>
      </c>
      <c r="J3310" s="2">
        <f t="shared" si="51"/>
        <v>43748.691054652772</v>
      </c>
    </row>
    <row r="3311" spans="1:10" x14ac:dyDescent="0.25">
      <c r="A3311" s="7" t="s">
        <v>32259</v>
      </c>
      <c r="B3311" s="8">
        <v>393.75</v>
      </c>
      <c r="C3311" s="8">
        <v>20.531590000000001</v>
      </c>
      <c r="D3311" s="8">
        <v>75</v>
      </c>
      <c r="E3311" s="8">
        <v>0</v>
      </c>
      <c r="F3311" s="8">
        <v>0</v>
      </c>
      <c r="G3311" s="8">
        <v>12</v>
      </c>
      <c r="H3311" s="8" t="s">
        <v>32260</v>
      </c>
      <c r="I3311" s="8">
        <v>526.6875</v>
      </c>
      <c r="J3311" s="3">
        <f t="shared" si="51"/>
        <v>43748.691137754628</v>
      </c>
    </row>
    <row r="3312" spans="1:10" x14ac:dyDescent="0.25">
      <c r="A3312" s="5" t="s">
        <v>32261</v>
      </c>
      <c r="B3312" s="6">
        <v>393.75</v>
      </c>
      <c r="C3312" s="6">
        <v>20.478950000000001</v>
      </c>
      <c r="D3312" s="6">
        <v>75</v>
      </c>
      <c r="E3312" s="6">
        <v>0</v>
      </c>
      <c r="F3312" s="6">
        <v>0</v>
      </c>
      <c r="G3312" s="6">
        <v>22</v>
      </c>
      <c r="H3312" s="6" t="s">
        <v>32262</v>
      </c>
      <c r="I3312" s="6">
        <v>526.6875</v>
      </c>
      <c r="J3312" s="2">
        <f t="shared" si="51"/>
        <v>43748.691224363421</v>
      </c>
    </row>
    <row r="3313" spans="1:10" x14ac:dyDescent="0.25">
      <c r="A3313" s="7" t="s">
        <v>32263</v>
      </c>
      <c r="B3313" s="8">
        <v>412.5</v>
      </c>
      <c r="C3313" s="8">
        <v>20.584240000000001</v>
      </c>
      <c r="D3313" s="8">
        <v>75</v>
      </c>
      <c r="E3313" s="8">
        <v>0</v>
      </c>
      <c r="F3313" s="8">
        <v>0</v>
      </c>
      <c r="G3313" s="8">
        <v>10</v>
      </c>
      <c r="H3313" s="8" t="s">
        <v>32264</v>
      </c>
      <c r="I3313" s="8">
        <v>532.5</v>
      </c>
      <c r="J3313" s="3">
        <f t="shared" si="51"/>
        <v>43748.69130489583</v>
      </c>
    </row>
    <row r="3314" spans="1:10" x14ac:dyDescent="0.25">
      <c r="A3314" s="5" t="s">
        <v>32265</v>
      </c>
      <c r="B3314" s="6">
        <v>393.75</v>
      </c>
      <c r="C3314" s="6">
        <v>20.531590000000001</v>
      </c>
      <c r="D3314" s="6">
        <v>73</v>
      </c>
      <c r="E3314" s="6">
        <v>0</v>
      </c>
      <c r="F3314" s="6">
        <v>0</v>
      </c>
      <c r="G3314" s="6">
        <v>9</v>
      </c>
      <c r="H3314" s="6" t="s">
        <v>32266</v>
      </c>
      <c r="I3314" s="6">
        <v>526.6875</v>
      </c>
      <c r="J3314" s="2">
        <f t="shared" si="51"/>
        <v>43748.691376655093</v>
      </c>
    </row>
    <row r="3315" spans="1:10" x14ac:dyDescent="0.25">
      <c r="A3315" s="7" t="s">
        <v>32267</v>
      </c>
      <c r="B3315" s="8">
        <v>393.75</v>
      </c>
      <c r="C3315" s="8">
        <v>20.531590000000001</v>
      </c>
      <c r="D3315" s="8">
        <v>74</v>
      </c>
      <c r="E3315" s="8">
        <v>0</v>
      </c>
      <c r="F3315" s="8">
        <v>0</v>
      </c>
      <c r="G3315" s="8">
        <v>16</v>
      </c>
      <c r="H3315" s="8" t="s">
        <v>32268</v>
      </c>
      <c r="I3315" s="8">
        <v>526.6875</v>
      </c>
      <c r="J3315" s="3">
        <f t="shared" si="51"/>
        <v>43748.691459965274</v>
      </c>
    </row>
    <row r="3316" spans="1:10" x14ac:dyDescent="0.25">
      <c r="A3316" s="5" t="s">
        <v>32269</v>
      </c>
      <c r="B3316" s="6">
        <v>421.875</v>
      </c>
      <c r="C3316" s="6">
        <v>20.531590000000001</v>
      </c>
      <c r="D3316" s="6">
        <v>73</v>
      </c>
      <c r="E3316" s="6">
        <v>0</v>
      </c>
      <c r="F3316" s="6">
        <v>0</v>
      </c>
      <c r="G3316" s="6">
        <v>10</v>
      </c>
      <c r="H3316" s="6" t="s">
        <v>32270</v>
      </c>
      <c r="I3316" s="6">
        <v>535.6875</v>
      </c>
      <c r="J3316" s="2">
        <f t="shared" si="51"/>
        <v>43748.691531747681</v>
      </c>
    </row>
    <row r="3317" spans="1:10" x14ac:dyDescent="0.25">
      <c r="A3317" s="7" t="s">
        <v>32271</v>
      </c>
      <c r="B3317" s="8">
        <v>393.75</v>
      </c>
      <c r="C3317" s="8">
        <v>20.531590000000001</v>
      </c>
      <c r="D3317" s="8">
        <v>75</v>
      </c>
      <c r="E3317" s="8">
        <v>0</v>
      </c>
      <c r="F3317" s="8">
        <v>0</v>
      </c>
      <c r="G3317" s="8">
        <v>15</v>
      </c>
      <c r="H3317" s="8" t="s">
        <v>32272</v>
      </c>
      <c r="I3317" s="8">
        <v>526.6875</v>
      </c>
      <c r="J3317" s="3">
        <f t="shared" si="51"/>
        <v>43748.691615185184</v>
      </c>
    </row>
    <row r="3318" spans="1:10" x14ac:dyDescent="0.25">
      <c r="A3318" s="5" t="s">
        <v>32273</v>
      </c>
      <c r="B3318" s="6">
        <v>393.75</v>
      </c>
      <c r="C3318" s="6">
        <v>20.584240000000001</v>
      </c>
      <c r="D3318" s="6">
        <v>76</v>
      </c>
      <c r="E3318" s="6">
        <v>0</v>
      </c>
      <c r="F3318" s="6">
        <v>0</v>
      </c>
      <c r="G3318" s="6">
        <v>10</v>
      </c>
      <c r="H3318" s="6" t="s">
        <v>32274</v>
      </c>
      <c r="I3318" s="6">
        <v>526.6875</v>
      </c>
      <c r="J3318" s="2">
        <f t="shared" si="51"/>
        <v>43748.69171579861</v>
      </c>
    </row>
    <row r="3319" spans="1:10" x14ac:dyDescent="0.25">
      <c r="A3319" s="7" t="s">
        <v>32275</v>
      </c>
      <c r="B3319" s="8">
        <v>393.75</v>
      </c>
      <c r="C3319" s="8">
        <v>20.478950000000001</v>
      </c>
      <c r="D3319" s="8">
        <v>75</v>
      </c>
      <c r="E3319" s="8">
        <v>0</v>
      </c>
      <c r="F3319" s="8">
        <v>0</v>
      </c>
      <c r="G3319" s="8">
        <v>8</v>
      </c>
      <c r="H3319" s="8" t="s">
        <v>32276</v>
      </c>
      <c r="I3319" s="8">
        <v>526.6875</v>
      </c>
      <c r="J3319" s="3">
        <f t="shared" si="51"/>
        <v>43748.691794513885</v>
      </c>
    </row>
    <row r="3320" spans="1:10" x14ac:dyDescent="0.25">
      <c r="A3320" s="5" t="s">
        <v>32277</v>
      </c>
      <c r="B3320" s="6">
        <v>393.75</v>
      </c>
      <c r="C3320" s="6">
        <v>20.478950000000001</v>
      </c>
      <c r="D3320" s="6">
        <v>72</v>
      </c>
      <c r="E3320" s="6">
        <v>0</v>
      </c>
      <c r="F3320" s="6">
        <v>0</v>
      </c>
      <c r="G3320" s="6">
        <v>14</v>
      </c>
      <c r="H3320" s="6" t="s">
        <v>32278</v>
      </c>
      <c r="I3320" s="6">
        <v>526.6875</v>
      </c>
      <c r="J3320" s="2">
        <f t="shared" si="51"/>
        <v>43748.691877731479</v>
      </c>
    </row>
    <row r="3321" spans="1:10" x14ac:dyDescent="0.25">
      <c r="A3321" s="7" t="s">
        <v>32279</v>
      </c>
      <c r="B3321" s="8">
        <v>393.75</v>
      </c>
      <c r="C3321" s="8">
        <v>20.478950000000001</v>
      </c>
      <c r="D3321" s="8">
        <v>70</v>
      </c>
      <c r="E3321" s="8">
        <v>0</v>
      </c>
      <c r="F3321" s="8">
        <v>0</v>
      </c>
      <c r="G3321" s="8">
        <v>9</v>
      </c>
      <c r="H3321" s="8" t="s">
        <v>32280</v>
      </c>
      <c r="I3321" s="8">
        <v>526.6875</v>
      </c>
      <c r="J3321" s="3">
        <f t="shared" si="51"/>
        <v>43748.691961168974</v>
      </c>
    </row>
    <row r="3322" spans="1:10" x14ac:dyDescent="0.25">
      <c r="A3322" s="5" t="s">
        <v>32281</v>
      </c>
      <c r="B3322" s="6">
        <v>393.75</v>
      </c>
      <c r="C3322" s="6">
        <v>20.531590000000001</v>
      </c>
      <c r="D3322" s="6">
        <v>70</v>
      </c>
      <c r="E3322" s="6">
        <v>0</v>
      </c>
      <c r="F3322" s="6">
        <v>0</v>
      </c>
      <c r="G3322" s="6">
        <v>6</v>
      </c>
      <c r="H3322" s="6" t="s">
        <v>32282</v>
      </c>
      <c r="I3322" s="6">
        <v>526.6875</v>
      </c>
      <c r="J3322" s="2">
        <f t="shared" si="51"/>
        <v>43748.692044641204</v>
      </c>
    </row>
    <row r="3323" spans="1:10" x14ac:dyDescent="0.25">
      <c r="A3323" s="7" t="s">
        <v>32283</v>
      </c>
      <c r="B3323" s="8">
        <v>393.75</v>
      </c>
      <c r="C3323" s="8">
        <v>20.531590000000001</v>
      </c>
      <c r="D3323" s="8">
        <v>69</v>
      </c>
      <c r="E3323" s="8">
        <v>0</v>
      </c>
      <c r="F3323" s="8">
        <v>0</v>
      </c>
      <c r="G3323" s="8">
        <v>15</v>
      </c>
      <c r="H3323" s="8" t="s">
        <v>32284</v>
      </c>
      <c r="I3323" s="8">
        <v>526.6875</v>
      </c>
      <c r="J3323" s="3">
        <f t="shared" si="51"/>
        <v>43748.692128194445</v>
      </c>
    </row>
    <row r="3324" spans="1:10" x14ac:dyDescent="0.25">
      <c r="A3324" s="5" t="s">
        <v>32285</v>
      </c>
      <c r="B3324" s="6">
        <v>393.75</v>
      </c>
      <c r="C3324" s="6">
        <v>20.531590000000001</v>
      </c>
      <c r="D3324" s="6">
        <v>69</v>
      </c>
      <c r="E3324" s="6">
        <v>0</v>
      </c>
      <c r="F3324" s="6">
        <v>0</v>
      </c>
      <c r="G3324" s="6">
        <v>8</v>
      </c>
      <c r="H3324" s="6" t="s">
        <v>32286</v>
      </c>
      <c r="I3324" s="6">
        <v>526.6875</v>
      </c>
      <c r="J3324" s="2">
        <f t="shared" si="51"/>
        <v>43748.692211863425</v>
      </c>
    </row>
    <row r="3325" spans="1:10" x14ac:dyDescent="0.25">
      <c r="A3325" s="7" t="s">
        <v>32287</v>
      </c>
      <c r="B3325" s="8">
        <v>393.75</v>
      </c>
      <c r="C3325" s="8">
        <v>20.584240000000001</v>
      </c>
      <c r="D3325" s="8">
        <v>72</v>
      </c>
      <c r="E3325" s="8">
        <v>0</v>
      </c>
      <c r="F3325" s="8">
        <v>0</v>
      </c>
      <c r="G3325" s="8">
        <v>17</v>
      </c>
      <c r="H3325" s="8" t="s">
        <v>32288</v>
      </c>
      <c r="I3325" s="8">
        <v>526.6875</v>
      </c>
      <c r="J3325" s="3">
        <f t="shared" si="51"/>
        <v>43748.692295219902</v>
      </c>
    </row>
    <row r="3326" spans="1:10" x14ac:dyDescent="0.25">
      <c r="A3326" s="5" t="s">
        <v>32289</v>
      </c>
      <c r="B3326" s="6">
        <v>393.75</v>
      </c>
      <c r="C3326" s="6">
        <v>20.584240000000001</v>
      </c>
      <c r="D3326" s="6">
        <v>71</v>
      </c>
      <c r="E3326" s="6">
        <v>0</v>
      </c>
      <c r="F3326" s="6">
        <v>0</v>
      </c>
      <c r="G3326" s="6">
        <v>10</v>
      </c>
      <c r="H3326" s="6" t="s">
        <v>32290</v>
      </c>
      <c r="I3326" s="6">
        <v>526.6875</v>
      </c>
      <c r="J3326" s="2">
        <f t="shared" si="51"/>
        <v>43748.692378541666</v>
      </c>
    </row>
    <row r="3327" spans="1:10" x14ac:dyDescent="0.25">
      <c r="A3327" s="7" t="s">
        <v>32291</v>
      </c>
      <c r="B3327" s="8">
        <v>393.75</v>
      </c>
      <c r="C3327" s="8">
        <v>20.531590000000001</v>
      </c>
      <c r="D3327" s="8">
        <v>71</v>
      </c>
      <c r="E3327" s="8">
        <v>0</v>
      </c>
      <c r="F3327" s="8">
        <v>0</v>
      </c>
      <c r="G3327" s="8">
        <v>12</v>
      </c>
      <c r="H3327" s="8" t="s">
        <v>32292</v>
      </c>
      <c r="I3327" s="8">
        <v>526.6875</v>
      </c>
      <c r="J3327" s="3">
        <f t="shared" si="51"/>
        <v>43748.692450208335</v>
      </c>
    </row>
    <row r="3328" spans="1:10" x14ac:dyDescent="0.25">
      <c r="A3328" s="5" t="s">
        <v>32293</v>
      </c>
      <c r="B3328" s="6">
        <v>393.75</v>
      </c>
      <c r="C3328" s="6">
        <v>20.531590000000001</v>
      </c>
      <c r="D3328" s="6">
        <v>70</v>
      </c>
      <c r="E3328" s="6">
        <v>0</v>
      </c>
      <c r="F3328" s="6">
        <v>0</v>
      </c>
      <c r="G3328" s="6">
        <v>6</v>
      </c>
      <c r="H3328" s="6" t="s">
        <v>32294</v>
      </c>
      <c r="I3328" s="6">
        <v>526.6875</v>
      </c>
      <c r="J3328" s="2">
        <f t="shared" si="51"/>
        <v>43748.692533738424</v>
      </c>
    </row>
    <row r="3329" spans="1:10" x14ac:dyDescent="0.25">
      <c r="A3329" s="7" t="s">
        <v>32295</v>
      </c>
      <c r="B3329" s="8">
        <v>393.75</v>
      </c>
      <c r="C3329" s="8">
        <v>20.584240000000001</v>
      </c>
      <c r="D3329" s="8">
        <v>69</v>
      </c>
      <c r="E3329" s="8">
        <v>0</v>
      </c>
      <c r="F3329" s="8">
        <v>0</v>
      </c>
      <c r="G3329" s="8">
        <v>12</v>
      </c>
      <c r="H3329" s="8" t="s">
        <v>32296</v>
      </c>
      <c r="I3329" s="8">
        <v>526.6875</v>
      </c>
      <c r="J3329" s="3">
        <f t="shared" si="51"/>
        <v>43748.692619907401</v>
      </c>
    </row>
    <row r="3330" spans="1:10" x14ac:dyDescent="0.25">
      <c r="A3330" s="5" t="s">
        <v>32297</v>
      </c>
      <c r="B3330" s="6">
        <v>393.75</v>
      </c>
      <c r="C3330" s="6">
        <v>20.531590000000001</v>
      </c>
      <c r="D3330" s="6">
        <v>69</v>
      </c>
      <c r="E3330" s="6">
        <v>0</v>
      </c>
      <c r="F3330" s="6">
        <v>0</v>
      </c>
      <c r="G3330" s="6">
        <v>8</v>
      </c>
      <c r="H3330" s="6" t="s">
        <v>32298</v>
      </c>
      <c r="I3330" s="6">
        <v>526.5</v>
      </c>
      <c r="J3330" s="2">
        <f t="shared" ref="J3330:J3393" si="52">(H3330/86400000)+25569+(7/24)</f>
        <v>43748.692700763888</v>
      </c>
    </row>
    <row r="3331" spans="1:10" x14ac:dyDescent="0.25">
      <c r="A3331" s="7" t="s">
        <v>32299</v>
      </c>
      <c r="B3331" s="8">
        <v>393.75</v>
      </c>
      <c r="C3331" s="8">
        <v>20.531590000000001</v>
      </c>
      <c r="D3331" s="8">
        <v>69</v>
      </c>
      <c r="E3331" s="8">
        <v>0</v>
      </c>
      <c r="F3331" s="8">
        <v>0</v>
      </c>
      <c r="G3331" s="8">
        <v>21</v>
      </c>
      <c r="H3331" s="8" t="s">
        <v>32300</v>
      </c>
      <c r="I3331" s="8">
        <v>526.6875</v>
      </c>
      <c r="J3331" s="3">
        <f t="shared" si="52"/>
        <v>43748.69278420139</v>
      </c>
    </row>
    <row r="3332" spans="1:10" x14ac:dyDescent="0.25">
      <c r="A3332" s="5" t="s">
        <v>32301</v>
      </c>
      <c r="B3332" s="6">
        <v>393.75</v>
      </c>
      <c r="C3332" s="6">
        <v>20.478950000000001</v>
      </c>
      <c r="D3332" s="6">
        <v>69</v>
      </c>
      <c r="E3332" s="6">
        <v>0</v>
      </c>
      <c r="F3332" s="6">
        <v>0</v>
      </c>
      <c r="G3332" s="6">
        <v>6</v>
      </c>
      <c r="H3332" s="6" t="s">
        <v>32302</v>
      </c>
      <c r="I3332" s="6">
        <v>526.6875</v>
      </c>
      <c r="J3332" s="2">
        <f t="shared" si="52"/>
        <v>43748.692867442129</v>
      </c>
    </row>
    <row r="3333" spans="1:10" x14ac:dyDescent="0.25">
      <c r="A3333" s="7" t="s">
        <v>32303</v>
      </c>
      <c r="B3333" s="8">
        <v>393.75</v>
      </c>
      <c r="C3333" s="8">
        <v>20.531590000000001</v>
      </c>
      <c r="D3333" s="8">
        <v>69</v>
      </c>
      <c r="E3333" s="8">
        <v>0</v>
      </c>
      <c r="F3333" s="8">
        <v>0</v>
      </c>
      <c r="G3333" s="8">
        <v>6</v>
      </c>
      <c r="H3333" s="8" t="s">
        <v>32304</v>
      </c>
      <c r="I3333" s="8">
        <v>526.6875</v>
      </c>
      <c r="J3333" s="3">
        <f t="shared" si="52"/>
        <v>43748.69295128472</v>
      </c>
    </row>
    <row r="3334" spans="1:10" x14ac:dyDescent="0.25">
      <c r="A3334" s="5" t="s">
        <v>32305</v>
      </c>
      <c r="B3334" s="6">
        <v>393.75</v>
      </c>
      <c r="C3334" s="6">
        <v>20.531590000000001</v>
      </c>
      <c r="D3334" s="6">
        <v>70</v>
      </c>
      <c r="E3334" s="6">
        <v>0</v>
      </c>
      <c r="F3334" s="6">
        <v>0</v>
      </c>
      <c r="G3334" s="6">
        <v>4</v>
      </c>
      <c r="H3334" s="6" t="s">
        <v>32306</v>
      </c>
      <c r="I3334" s="6">
        <v>526.6875</v>
      </c>
      <c r="J3334" s="2">
        <f t="shared" si="52"/>
        <v>43748.693034780088</v>
      </c>
    </row>
    <row r="3335" spans="1:10" x14ac:dyDescent="0.25">
      <c r="A3335" s="7" t="s">
        <v>32307</v>
      </c>
      <c r="B3335" s="8">
        <v>393.75</v>
      </c>
      <c r="C3335" s="8">
        <v>20.478950000000001</v>
      </c>
      <c r="D3335" s="8">
        <v>71</v>
      </c>
      <c r="E3335" s="8">
        <v>0</v>
      </c>
      <c r="F3335" s="8">
        <v>0</v>
      </c>
      <c r="G3335" s="8">
        <v>7</v>
      </c>
      <c r="H3335" s="8" t="s">
        <v>32308</v>
      </c>
      <c r="I3335" s="8">
        <v>526.6875</v>
      </c>
      <c r="J3335" s="3">
        <f t="shared" si="52"/>
        <v>43748.69310621528</v>
      </c>
    </row>
    <row r="3336" spans="1:10" x14ac:dyDescent="0.25">
      <c r="A3336" s="5" t="s">
        <v>32309</v>
      </c>
      <c r="B3336" s="6">
        <v>393.75</v>
      </c>
      <c r="C3336" s="6">
        <v>20.478950000000001</v>
      </c>
      <c r="D3336" s="6">
        <v>71</v>
      </c>
      <c r="E3336" s="6">
        <v>0</v>
      </c>
      <c r="F3336" s="6">
        <v>0</v>
      </c>
      <c r="G3336" s="6">
        <v>16</v>
      </c>
      <c r="H3336" s="6" t="s">
        <v>32310</v>
      </c>
      <c r="I3336" s="6">
        <v>526.5</v>
      </c>
      <c r="J3336" s="2">
        <f t="shared" si="52"/>
        <v>43748.693189664351</v>
      </c>
    </row>
    <row r="3337" spans="1:10" x14ac:dyDescent="0.25">
      <c r="A3337" s="7" t="s">
        <v>32311</v>
      </c>
      <c r="B3337" s="8">
        <v>393.75</v>
      </c>
      <c r="C3337" s="8">
        <v>20.531590000000001</v>
      </c>
      <c r="D3337" s="8">
        <v>71</v>
      </c>
      <c r="E3337" s="8">
        <v>0</v>
      </c>
      <c r="F3337" s="8">
        <v>0</v>
      </c>
      <c r="G3337" s="8">
        <v>6</v>
      </c>
      <c r="H3337" s="8" t="s">
        <v>32312</v>
      </c>
      <c r="I3337" s="8">
        <v>526.6875</v>
      </c>
      <c r="J3337" s="3">
        <f t="shared" si="52"/>
        <v>43748.693273206016</v>
      </c>
    </row>
    <row r="3338" spans="1:10" x14ac:dyDescent="0.25">
      <c r="A3338" s="5" t="s">
        <v>32313</v>
      </c>
      <c r="B3338" s="6">
        <v>393.75</v>
      </c>
      <c r="C3338" s="6">
        <v>20.478950000000001</v>
      </c>
      <c r="D3338" s="6">
        <v>72</v>
      </c>
      <c r="E3338" s="6">
        <v>0</v>
      </c>
      <c r="F3338" s="6">
        <v>0</v>
      </c>
      <c r="G3338" s="6">
        <v>20</v>
      </c>
      <c r="H3338" s="6" t="s">
        <v>32314</v>
      </c>
      <c r="I3338" s="6">
        <v>526.6875</v>
      </c>
      <c r="J3338" s="2">
        <f t="shared" si="52"/>
        <v>43748.693356446754</v>
      </c>
    </row>
    <row r="3339" spans="1:10" x14ac:dyDescent="0.25">
      <c r="A3339" s="7" t="s">
        <v>32315</v>
      </c>
      <c r="B3339" s="8">
        <v>393.75</v>
      </c>
      <c r="C3339" s="8">
        <v>20.531590000000001</v>
      </c>
      <c r="D3339" s="8">
        <v>72</v>
      </c>
      <c r="E3339" s="8">
        <v>0</v>
      </c>
      <c r="F3339" s="8">
        <v>0</v>
      </c>
      <c r="G3339" s="8">
        <v>9</v>
      </c>
      <c r="H3339" s="8" t="s">
        <v>32316</v>
      </c>
      <c r="I3339" s="8">
        <v>526.6875</v>
      </c>
      <c r="J3339" s="3">
        <f t="shared" si="52"/>
        <v>43748.69344023148</v>
      </c>
    </row>
    <row r="3340" spans="1:10" x14ac:dyDescent="0.25">
      <c r="A3340" s="5" t="s">
        <v>32317</v>
      </c>
      <c r="B3340" s="6">
        <v>393.75</v>
      </c>
      <c r="C3340" s="6">
        <v>20.531590000000001</v>
      </c>
      <c r="D3340" s="6">
        <v>72</v>
      </c>
      <c r="E3340" s="6">
        <v>0</v>
      </c>
      <c r="F3340" s="6">
        <v>0</v>
      </c>
      <c r="G3340" s="6">
        <v>7</v>
      </c>
      <c r="H3340" s="6" t="s">
        <v>32318</v>
      </c>
      <c r="I3340" s="6">
        <v>526.6875</v>
      </c>
      <c r="J3340" s="2">
        <f t="shared" si="52"/>
        <v>43748.693523668982</v>
      </c>
    </row>
    <row r="3341" spans="1:10" x14ac:dyDescent="0.25">
      <c r="A3341" s="7" t="s">
        <v>32319</v>
      </c>
      <c r="B3341" s="8">
        <v>393.75</v>
      </c>
      <c r="C3341" s="8">
        <v>20.531590000000001</v>
      </c>
      <c r="D3341" s="8">
        <v>71</v>
      </c>
      <c r="E3341" s="8">
        <v>0</v>
      </c>
      <c r="F3341" s="8">
        <v>0</v>
      </c>
      <c r="G3341" s="8">
        <v>12</v>
      </c>
      <c r="H3341" s="8" t="s">
        <v>32320</v>
      </c>
      <c r="I3341" s="8">
        <v>526.6875</v>
      </c>
      <c r="J3341" s="3">
        <f t="shared" si="52"/>
        <v>43748.693607233792</v>
      </c>
    </row>
    <row r="3342" spans="1:10" x14ac:dyDescent="0.25">
      <c r="A3342" s="5" t="s">
        <v>32321</v>
      </c>
      <c r="B3342" s="6">
        <v>393.75</v>
      </c>
      <c r="C3342" s="6">
        <v>20.584240000000001</v>
      </c>
      <c r="D3342" s="6">
        <v>71</v>
      </c>
      <c r="E3342" s="6">
        <v>0</v>
      </c>
      <c r="F3342" s="6">
        <v>0</v>
      </c>
      <c r="G3342" s="6">
        <v>15</v>
      </c>
      <c r="H3342" s="6" t="s">
        <v>32322</v>
      </c>
      <c r="I3342" s="6">
        <v>526.6875</v>
      </c>
      <c r="J3342" s="2">
        <f t="shared" si="52"/>
        <v>43748.693690347216</v>
      </c>
    </row>
    <row r="3343" spans="1:10" x14ac:dyDescent="0.25">
      <c r="A3343" s="7" t="s">
        <v>32323</v>
      </c>
      <c r="B3343" s="8">
        <v>393.75</v>
      </c>
      <c r="C3343" s="8">
        <v>20.478950000000001</v>
      </c>
      <c r="D3343" s="8">
        <v>74</v>
      </c>
      <c r="E3343" s="8">
        <v>0</v>
      </c>
      <c r="F3343" s="8">
        <v>0</v>
      </c>
      <c r="G3343" s="8">
        <v>12</v>
      </c>
      <c r="H3343" s="8" t="s">
        <v>32324</v>
      </c>
      <c r="I3343" s="8">
        <v>526.6875</v>
      </c>
      <c r="J3343" s="3">
        <f t="shared" si="52"/>
        <v>43748.693762210642</v>
      </c>
    </row>
    <row r="3344" spans="1:10" x14ac:dyDescent="0.25">
      <c r="A3344" s="5" t="s">
        <v>32325</v>
      </c>
      <c r="B3344" s="6">
        <v>393.75</v>
      </c>
      <c r="C3344" s="6">
        <v>20.478950000000001</v>
      </c>
      <c r="D3344" s="6">
        <v>72</v>
      </c>
      <c r="E3344" s="6">
        <v>0</v>
      </c>
      <c r="F3344" s="6">
        <v>0</v>
      </c>
      <c r="G3344" s="6">
        <v>11</v>
      </c>
      <c r="H3344" s="6" t="s">
        <v>32326</v>
      </c>
      <c r="I3344" s="6">
        <v>526.6875</v>
      </c>
      <c r="J3344" s="2">
        <f t="shared" si="52"/>
        <v>43748.693845891197</v>
      </c>
    </row>
    <row r="3345" spans="1:10" x14ac:dyDescent="0.25">
      <c r="A3345" s="7" t="s">
        <v>32327</v>
      </c>
      <c r="B3345" s="8">
        <v>412.5</v>
      </c>
      <c r="C3345" s="8">
        <v>20.531590000000001</v>
      </c>
      <c r="D3345" s="8">
        <v>72</v>
      </c>
      <c r="E3345" s="8">
        <v>0</v>
      </c>
      <c r="F3345" s="8">
        <v>0</v>
      </c>
      <c r="G3345" s="8">
        <v>9</v>
      </c>
      <c r="H3345" s="8" t="s">
        <v>32328</v>
      </c>
      <c r="I3345" s="8">
        <v>532.3125</v>
      </c>
      <c r="J3345" s="3">
        <f t="shared" si="52"/>
        <v>43748.693929236113</v>
      </c>
    </row>
    <row r="3346" spans="1:10" x14ac:dyDescent="0.25">
      <c r="A3346" s="5" t="s">
        <v>32329</v>
      </c>
      <c r="B3346" s="6">
        <v>393.75</v>
      </c>
      <c r="C3346" s="6">
        <v>20.478950000000001</v>
      </c>
      <c r="D3346" s="6">
        <v>71</v>
      </c>
      <c r="E3346" s="6">
        <v>0</v>
      </c>
      <c r="F3346" s="6">
        <v>0</v>
      </c>
      <c r="G3346" s="6">
        <v>9</v>
      </c>
      <c r="H3346" s="6" t="s">
        <v>32330</v>
      </c>
      <c r="I3346" s="6">
        <v>526.6875</v>
      </c>
      <c r="J3346" s="2">
        <f t="shared" si="52"/>
        <v>43748.694012800923</v>
      </c>
    </row>
    <row r="3347" spans="1:10" x14ac:dyDescent="0.25">
      <c r="A3347" s="7" t="s">
        <v>32331</v>
      </c>
      <c r="B3347" s="8">
        <v>393.75</v>
      </c>
      <c r="C3347" s="8">
        <v>20.478950000000001</v>
      </c>
      <c r="D3347" s="8">
        <v>72</v>
      </c>
      <c r="E3347" s="8">
        <v>0</v>
      </c>
      <c r="F3347" s="8">
        <v>0</v>
      </c>
      <c r="G3347" s="8">
        <v>14</v>
      </c>
      <c r="H3347" s="8" t="s">
        <v>32332</v>
      </c>
      <c r="I3347" s="8">
        <v>526.6875</v>
      </c>
      <c r="J3347" s="3">
        <f t="shared" si="52"/>
        <v>43748.694087337957</v>
      </c>
    </row>
    <row r="3348" spans="1:10" x14ac:dyDescent="0.25">
      <c r="A3348" s="5" t="s">
        <v>32333</v>
      </c>
      <c r="B3348" s="6">
        <v>393.75</v>
      </c>
      <c r="C3348" s="6">
        <v>20.531590000000001</v>
      </c>
      <c r="D3348" s="6">
        <v>73</v>
      </c>
      <c r="E3348" s="6">
        <v>0</v>
      </c>
      <c r="F3348" s="6">
        <v>0</v>
      </c>
      <c r="G3348" s="6">
        <v>6</v>
      </c>
      <c r="H3348" s="6" t="s">
        <v>32334</v>
      </c>
      <c r="I3348" s="6">
        <v>526.6875</v>
      </c>
      <c r="J3348" s="2">
        <f t="shared" si="52"/>
        <v>43748.694167546295</v>
      </c>
    </row>
    <row r="3349" spans="1:10" x14ac:dyDescent="0.25">
      <c r="A3349" s="7" t="s">
        <v>32335</v>
      </c>
      <c r="B3349" s="8">
        <v>393.75</v>
      </c>
      <c r="C3349" s="8">
        <v>20.531590000000001</v>
      </c>
      <c r="D3349" s="8">
        <v>73</v>
      </c>
      <c r="E3349" s="8">
        <v>0</v>
      </c>
      <c r="F3349" s="8">
        <v>0</v>
      </c>
      <c r="G3349" s="8">
        <v>11</v>
      </c>
      <c r="H3349" s="8" t="s">
        <v>32336</v>
      </c>
      <c r="I3349" s="8">
        <v>526.6875</v>
      </c>
      <c r="J3349" s="3">
        <f t="shared" si="52"/>
        <v>43748.694239189812</v>
      </c>
    </row>
    <row r="3350" spans="1:10" x14ac:dyDescent="0.25">
      <c r="A3350" s="5" t="s">
        <v>32337</v>
      </c>
      <c r="B3350" s="6">
        <v>393.75</v>
      </c>
      <c r="C3350" s="6">
        <v>20.531590000000001</v>
      </c>
      <c r="D3350" s="6">
        <v>71</v>
      </c>
      <c r="E3350" s="6">
        <v>0</v>
      </c>
      <c r="F3350" s="6">
        <v>0</v>
      </c>
      <c r="G3350" s="6">
        <v>9</v>
      </c>
      <c r="H3350" s="6" t="s">
        <v>32338</v>
      </c>
      <c r="I3350" s="6">
        <v>526.6875</v>
      </c>
      <c r="J3350" s="2">
        <f t="shared" si="52"/>
        <v>43748.694322986114</v>
      </c>
    </row>
    <row r="3351" spans="1:10" x14ac:dyDescent="0.25">
      <c r="A3351" s="7" t="s">
        <v>32339</v>
      </c>
      <c r="B3351" s="8">
        <v>393.75</v>
      </c>
      <c r="C3351" s="8">
        <v>20.531590000000001</v>
      </c>
      <c r="D3351" s="8">
        <v>70</v>
      </c>
      <c r="E3351" s="8">
        <v>0</v>
      </c>
      <c r="F3351" s="8">
        <v>0</v>
      </c>
      <c r="G3351" s="8">
        <v>8</v>
      </c>
      <c r="H3351" s="8" t="s">
        <v>32340</v>
      </c>
      <c r="I3351" s="8">
        <v>526.6875</v>
      </c>
      <c r="J3351" s="3">
        <f t="shared" si="52"/>
        <v>43748.694406435177</v>
      </c>
    </row>
    <row r="3352" spans="1:10" x14ac:dyDescent="0.25">
      <c r="A3352" s="5" t="s">
        <v>32341</v>
      </c>
      <c r="B3352" s="6">
        <v>393.75</v>
      </c>
      <c r="C3352" s="6">
        <v>20.531590000000001</v>
      </c>
      <c r="D3352" s="6">
        <v>70</v>
      </c>
      <c r="E3352" s="6">
        <v>0</v>
      </c>
      <c r="F3352" s="6">
        <v>0</v>
      </c>
      <c r="G3352" s="6">
        <v>9</v>
      </c>
      <c r="H3352" s="6" t="s">
        <v>32342</v>
      </c>
      <c r="I3352" s="6">
        <v>526.6875</v>
      </c>
      <c r="J3352" s="2">
        <f t="shared" si="52"/>
        <v>43748.694501747683</v>
      </c>
    </row>
    <row r="3353" spans="1:10" x14ac:dyDescent="0.25">
      <c r="A3353" s="7" t="s">
        <v>32343</v>
      </c>
      <c r="B3353" s="8">
        <v>393.75</v>
      </c>
      <c r="C3353" s="8">
        <v>20.531590000000001</v>
      </c>
      <c r="D3353" s="8">
        <v>70</v>
      </c>
      <c r="E3353" s="8">
        <v>0</v>
      </c>
      <c r="F3353" s="8">
        <v>0</v>
      </c>
      <c r="G3353" s="8">
        <v>8</v>
      </c>
      <c r="H3353" s="8" t="s">
        <v>32344</v>
      </c>
      <c r="I3353" s="8">
        <v>526.6875</v>
      </c>
      <c r="J3353" s="3">
        <f t="shared" si="52"/>
        <v>43748.694573298613</v>
      </c>
    </row>
    <row r="3354" spans="1:10" x14ac:dyDescent="0.25">
      <c r="A3354" s="5" t="s">
        <v>32345</v>
      </c>
      <c r="B3354" s="6">
        <v>393.75</v>
      </c>
      <c r="C3354" s="6">
        <v>20.478950000000001</v>
      </c>
      <c r="D3354" s="6">
        <v>70</v>
      </c>
      <c r="E3354" s="6">
        <v>0</v>
      </c>
      <c r="F3354" s="6">
        <v>0</v>
      </c>
      <c r="G3354" s="6">
        <v>2</v>
      </c>
      <c r="H3354" s="6" t="s">
        <v>32346</v>
      </c>
      <c r="I3354" s="6">
        <v>526.6875</v>
      </c>
      <c r="J3354" s="2">
        <f t="shared" si="52"/>
        <v>43748.694656979169</v>
      </c>
    </row>
    <row r="3355" spans="1:10" x14ac:dyDescent="0.25">
      <c r="A3355" s="7" t="s">
        <v>32347</v>
      </c>
      <c r="B3355" s="8">
        <v>393.75</v>
      </c>
      <c r="C3355" s="8">
        <v>20.478950000000001</v>
      </c>
      <c r="D3355" s="8">
        <v>70</v>
      </c>
      <c r="E3355" s="8">
        <v>0</v>
      </c>
      <c r="F3355" s="8">
        <v>0</v>
      </c>
      <c r="G3355" s="8">
        <v>15</v>
      </c>
      <c r="H3355" s="8" t="s">
        <v>32348</v>
      </c>
      <c r="I3355" s="8">
        <v>526.6875</v>
      </c>
      <c r="J3355" s="3">
        <f t="shared" si="52"/>
        <v>43748.694728483795</v>
      </c>
    </row>
    <row r="3356" spans="1:10" x14ac:dyDescent="0.25">
      <c r="A3356" s="5" t="s">
        <v>32349</v>
      </c>
      <c r="B3356" s="6">
        <v>393.75</v>
      </c>
      <c r="C3356" s="6">
        <v>20.584240000000001</v>
      </c>
      <c r="D3356" s="6">
        <v>70</v>
      </c>
      <c r="E3356" s="6">
        <v>0</v>
      </c>
      <c r="F3356" s="6">
        <v>0</v>
      </c>
      <c r="G3356" s="6">
        <v>8</v>
      </c>
      <c r="H3356" s="6" t="s">
        <v>32350</v>
      </c>
      <c r="I3356" s="6">
        <v>526.5</v>
      </c>
      <c r="J3356" s="2">
        <f t="shared" si="52"/>
        <v>43748.694811840272</v>
      </c>
    </row>
    <row r="3357" spans="1:10" x14ac:dyDescent="0.25">
      <c r="A3357" s="7" t="s">
        <v>32351</v>
      </c>
      <c r="B3357" s="8">
        <v>393.75</v>
      </c>
      <c r="C3357" s="8">
        <v>20.478950000000001</v>
      </c>
      <c r="D3357" s="8">
        <v>72</v>
      </c>
      <c r="E3357" s="8">
        <v>0</v>
      </c>
      <c r="F3357" s="8">
        <v>0</v>
      </c>
      <c r="G3357" s="8">
        <v>4</v>
      </c>
      <c r="H3357" s="8" t="s">
        <v>32352</v>
      </c>
      <c r="I3357" s="8">
        <v>526.6875</v>
      </c>
      <c r="J3357" s="3">
        <f t="shared" si="52"/>
        <v>43748.694895393513</v>
      </c>
    </row>
    <row r="3358" spans="1:10" x14ac:dyDescent="0.25">
      <c r="A3358" s="5" t="s">
        <v>32353</v>
      </c>
      <c r="B3358" s="6">
        <v>393.75</v>
      </c>
      <c r="C3358" s="6">
        <v>20.478950000000001</v>
      </c>
      <c r="D3358" s="6">
        <v>71</v>
      </c>
      <c r="E3358" s="6">
        <v>0</v>
      </c>
      <c r="F3358" s="6">
        <v>0</v>
      </c>
      <c r="G3358" s="6">
        <v>14</v>
      </c>
      <c r="H3358" s="6" t="s">
        <v>32354</v>
      </c>
      <c r="I3358" s="6">
        <v>526.6875</v>
      </c>
      <c r="J3358" s="2">
        <f t="shared" si="52"/>
        <v>43748.694978506937</v>
      </c>
    </row>
    <row r="3359" spans="1:10" x14ac:dyDescent="0.25">
      <c r="A3359" s="7" t="s">
        <v>32355</v>
      </c>
      <c r="B3359" s="8">
        <v>393.75</v>
      </c>
      <c r="C3359" s="8">
        <v>20.531590000000001</v>
      </c>
      <c r="D3359" s="8">
        <v>71</v>
      </c>
      <c r="E3359" s="8">
        <v>0</v>
      </c>
      <c r="F3359" s="8">
        <v>0</v>
      </c>
      <c r="G3359" s="8">
        <v>15</v>
      </c>
      <c r="H3359" s="8" t="s">
        <v>32356</v>
      </c>
      <c r="I3359" s="8">
        <v>526.6875</v>
      </c>
      <c r="J3359" s="3">
        <f t="shared" si="52"/>
        <v>43748.695050150462</v>
      </c>
    </row>
    <row r="3360" spans="1:10" x14ac:dyDescent="0.25">
      <c r="A3360" s="5" t="s">
        <v>32357</v>
      </c>
      <c r="B3360" s="6">
        <v>393.75</v>
      </c>
      <c r="C3360" s="6">
        <v>20.478950000000001</v>
      </c>
      <c r="D3360" s="6">
        <v>72</v>
      </c>
      <c r="E3360" s="6">
        <v>0</v>
      </c>
      <c r="F3360" s="6">
        <v>0</v>
      </c>
      <c r="G3360" s="6">
        <v>3</v>
      </c>
      <c r="H3360" s="6" t="s">
        <v>32358</v>
      </c>
      <c r="I3360" s="6">
        <v>526.5</v>
      </c>
      <c r="J3360" s="2">
        <f t="shared" si="52"/>
        <v>43748.69513403935</v>
      </c>
    </row>
    <row r="3361" spans="1:10" x14ac:dyDescent="0.25">
      <c r="A3361" s="7" t="s">
        <v>32359</v>
      </c>
      <c r="B3361" s="8">
        <v>393.75</v>
      </c>
      <c r="C3361" s="8">
        <v>20.531590000000001</v>
      </c>
      <c r="D3361" s="8">
        <v>72</v>
      </c>
      <c r="E3361" s="8">
        <v>0</v>
      </c>
      <c r="F3361" s="8">
        <v>0</v>
      </c>
      <c r="G3361" s="8">
        <v>2</v>
      </c>
      <c r="H3361" s="8" t="s">
        <v>32360</v>
      </c>
      <c r="I3361" s="8">
        <v>526.6875</v>
      </c>
      <c r="J3361" s="3">
        <f t="shared" si="52"/>
        <v>43748.695217372682</v>
      </c>
    </row>
    <row r="3362" spans="1:10" x14ac:dyDescent="0.25">
      <c r="A3362" s="5" t="s">
        <v>32361</v>
      </c>
      <c r="B3362" s="6">
        <v>393.75</v>
      </c>
      <c r="C3362" s="6">
        <v>20.531590000000001</v>
      </c>
      <c r="D3362" s="6">
        <v>72</v>
      </c>
      <c r="E3362" s="6">
        <v>0</v>
      </c>
      <c r="F3362" s="6">
        <v>0</v>
      </c>
      <c r="G3362" s="6">
        <v>6</v>
      </c>
      <c r="H3362" s="6" t="s">
        <v>32362</v>
      </c>
      <c r="I3362" s="6">
        <v>526.6875</v>
      </c>
      <c r="J3362" s="2">
        <f t="shared" si="52"/>
        <v>43748.695300717591</v>
      </c>
    </row>
    <row r="3363" spans="1:10" x14ac:dyDescent="0.25">
      <c r="A3363" s="7" t="s">
        <v>32363</v>
      </c>
      <c r="B3363" s="8">
        <v>393.75</v>
      </c>
      <c r="C3363" s="8">
        <v>20.478950000000001</v>
      </c>
      <c r="D3363" s="8">
        <v>72</v>
      </c>
      <c r="E3363" s="8">
        <v>0</v>
      </c>
      <c r="F3363" s="8">
        <v>0</v>
      </c>
      <c r="G3363" s="8">
        <v>10</v>
      </c>
      <c r="H3363" s="8" t="s">
        <v>32364</v>
      </c>
      <c r="I3363" s="8">
        <v>526.6875</v>
      </c>
      <c r="J3363" s="3">
        <f t="shared" si="52"/>
        <v>43748.695384398146</v>
      </c>
    </row>
    <row r="3364" spans="1:10" x14ac:dyDescent="0.25">
      <c r="A3364" s="5" t="s">
        <v>32365</v>
      </c>
      <c r="B3364" s="6">
        <v>393.75</v>
      </c>
      <c r="C3364" s="6">
        <v>20.531590000000001</v>
      </c>
      <c r="D3364" s="6">
        <v>72</v>
      </c>
      <c r="E3364" s="6">
        <v>0</v>
      </c>
      <c r="F3364" s="6">
        <v>0</v>
      </c>
      <c r="G3364" s="6">
        <v>23</v>
      </c>
      <c r="H3364" s="6" t="s">
        <v>32366</v>
      </c>
      <c r="I3364" s="6">
        <v>526.6875</v>
      </c>
      <c r="J3364" s="2">
        <f t="shared" si="52"/>
        <v>43748.695467592588</v>
      </c>
    </row>
    <row r="3365" spans="1:10" x14ac:dyDescent="0.25">
      <c r="A3365" s="7" t="s">
        <v>32367</v>
      </c>
      <c r="B3365" s="8">
        <v>393.75</v>
      </c>
      <c r="C3365" s="8">
        <v>20.531590000000001</v>
      </c>
      <c r="D3365" s="8">
        <v>71</v>
      </c>
      <c r="E3365" s="8">
        <v>0</v>
      </c>
      <c r="F3365" s="8">
        <v>0</v>
      </c>
      <c r="G3365" s="8">
        <v>5</v>
      </c>
      <c r="H3365" s="8" t="s">
        <v>32368</v>
      </c>
      <c r="I3365" s="8">
        <v>526.6875</v>
      </c>
      <c r="J3365" s="3">
        <f t="shared" si="52"/>
        <v>43748.695539479166</v>
      </c>
    </row>
    <row r="3366" spans="1:10" x14ac:dyDescent="0.25">
      <c r="A3366" s="5" t="s">
        <v>32369</v>
      </c>
      <c r="B3366" s="6">
        <v>393.75</v>
      </c>
      <c r="C3366" s="6">
        <v>20.478950000000001</v>
      </c>
      <c r="D3366" s="6">
        <v>71</v>
      </c>
      <c r="E3366" s="6">
        <v>0</v>
      </c>
      <c r="F3366" s="6">
        <v>0</v>
      </c>
      <c r="G3366" s="6">
        <v>10</v>
      </c>
      <c r="H3366" s="6" t="s">
        <v>32370</v>
      </c>
      <c r="I3366" s="6">
        <v>526.6875</v>
      </c>
      <c r="J3366" s="2">
        <f t="shared" si="52"/>
        <v>43748.695622928237</v>
      </c>
    </row>
    <row r="3367" spans="1:10" x14ac:dyDescent="0.25">
      <c r="A3367" s="7" t="s">
        <v>32371</v>
      </c>
      <c r="B3367" s="8">
        <v>393.75</v>
      </c>
      <c r="C3367" s="8">
        <v>20.531590000000001</v>
      </c>
      <c r="D3367" s="8">
        <v>70</v>
      </c>
      <c r="E3367" s="8">
        <v>0</v>
      </c>
      <c r="F3367" s="8">
        <v>0</v>
      </c>
      <c r="G3367" s="8">
        <v>6</v>
      </c>
      <c r="H3367" s="8" t="s">
        <v>32372</v>
      </c>
      <c r="I3367" s="8">
        <v>526.875</v>
      </c>
      <c r="J3367" s="3">
        <f t="shared" si="52"/>
        <v>43748.695706493054</v>
      </c>
    </row>
    <row r="3368" spans="1:10" x14ac:dyDescent="0.25">
      <c r="A3368" s="5" t="s">
        <v>32373</v>
      </c>
      <c r="B3368" s="6">
        <v>393.75</v>
      </c>
      <c r="C3368" s="6">
        <v>20.478950000000001</v>
      </c>
      <c r="D3368" s="6">
        <v>70</v>
      </c>
      <c r="E3368" s="6">
        <v>0</v>
      </c>
      <c r="F3368" s="6">
        <v>0</v>
      </c>
      <c r="G3368" s="6">
        <v>7</v>
      </c>
      <c r="H3368" s="6" t="s">
        <v>32374</v>
      </c>
      <c r="I3368" s="6">
        <v>526.6875</v>
      </c>
      <c r="J3368" s="2">
        <f t="shared" si="52"/>
        <v>43748.695789594909</v>
      </c>
    </row>
    <row r="3369" spans="1:10" x14ac:dyDescent="0.25">
      <c r="A3369" s="7" t="s">
        <v>32375</v>
      </c>
      <c r="B3369" s="8">
        <v>393.75</v>
      </c>
      <c r="C3369" s="8">
        <v>20.531590000000001</v>
      </c>
      <c r="D3369" s="8">
        <v>70</v>
      </c>
      <c r="E3369" s="8">
        <v>0</v>
      </c>
      <c r="F3369" s="8">
        <v>0</v>
      </c>
      <c r="G3369" s="8">
        <v>13</v>
      </c>
      <c r="H3369" s="8" t="s">
        <v>32376</v>
      </c>
      <c r="I3369" s="8">
        <v>526.6875</v>
      </c>
      <c r="J3369" s="3">
        <f t="shared" si="52"/>
        <v>43748.695873414348</v>
      </c>
    </row>
    <row r="3370" spans="1:10" x14ac:dyDescent="0.25">
      <c r="A3370" s="5" t="s">
        <v>32377</v>
      </c>
      <c r="B3370" s="6">
        <v>393.75</v>
      </c>
      <c r="C3370" s="6">
        <v>20.531590000000001</v>
      </c>
      <c r="D3370" s="6">
        <v>70</v>
      </c>
      <c r="E3370" s="6">
        <v>0</v>
      </c>
      <c r="F3370" s="6">
        <v>0</v>
      </c>
      <c r="G3370" s="6">
        <v>4</v>
      </c>
      <c r="H3370" s="6" t="s">
        <v>32378</v>
      </c>
      <c r="I3370" s="6">
        <v>526.6875</v>
      </c>
      <c r="J3370" s="2">
        <f t="shared" si="52"/>
        <v>43748.695956724536</v>
      </c>
    </row>
    <row r="3371" spans="1:10" x14ac:dyDescent="0.25">
      <c r="A3371" s="7" t="s">
        <v>32379</v>
      </c>
      <c r="B3371" s="8">
        <v>393.75</v>
      </c>
      <c r="C3371" s="8">
        <v>20.531590000000001</v>
      </c>
      <c r="D3371" s="8">
        <v>70</v>
      </c>
      <c r="E3371" s="8">
        <v>0</v>
      </c>
      <c r="F3371" s="8">
        <v>0</v>
      </c>
      <c r="G3371" s="8">
        <v>8</v>
      </c>
      <c r="H3371" s="8" t="s">
        <v>32380</v>
      </c>
      <c r="I3371" s="8">
        <v>526.6875</v>
      </c>
      <c r="J3371" s="3">
        <f t="shared" si="52"/>
        <v>43748.696028518512</v>
      </c>
    </row>
    <row r="3372" spans="1:10" x14ac:dyDescent="0.25">
      <c r="A3372" s="5" t="s">
        <v>32381</v>
      </c>
      <c r="B3372" s="6">
        <v>393.75</v>
      </c>
      <c r="C3372" s="6">
        <v>20.531590000000001</v>
      </c>
      <c r="D3372" s="6">
        <v>69</v>
      </c>
      <c r="E3372" s="6">
        <v>0</v>
      </c>
      <c r="F3372" s="6">
        <v>0</v>
      </c>
      <c r="G3372" s="6">
        <v>6</v>
      </c>
      <c r="H3372" s="6" t="s">
        <v>32382</v>
      </c>
      <c r="I3372" s="6">
        <v>526.6875</v>
      </c>
      <c r="J3372" s="2">
        <f t="shared" si="52"/>
        <v>43748.696111817124</v>
      </c>
    </row>
    <row r="3373" spans="1:10" x14ac:dyDescent="0.25">
      <c r="A3373" s="7" t="s">
        <v>32383</v>
      </c>
      <c r="B3373" s="8">
        <v>425</v>
      </c>
      <c r="C3373" s="8">
        <v>20.531590000000001</v>
      </c>
      <c r="D3373" s="8">
        <v>69</v>
      </c>
      <c r="E3373" s="8">
        <v>0</v>
      </c>
      <c r="F3373" s="8">
        <v>0</v>
      </c>
      <c r="G3373" s="8">
        <v>3</v>
      </c>
      <c r="H3373" s="8" t="s">
        <v>32384</v>
      </c>
      <c r="I3373" s="8">
        <v>536.625</v>
      </c>
      <c r="J3373" s="3">
        <f t="shared" si="52"/>
        <v>43748.696185335641</v>
      </c>
    </row>
    <row r="3374" spans="1:10" x14ac:dyDescent="0.25">
      <c r="A3374" s="5" t="s">
        <v>32385</v>
      </c>
      <c r="B3374" s="6">
        <v>393.75</v>
      </c>
      <c r="C3374" s="6">
        <v>20.478950000000001</v>
      </c>
      <c r="D3374" s="6">
        <v>69</v>
      </c>
      <c r="E3374" s="6">
        <v>0</v>
      </c>
      <c r="F3374" s="6">
        <v>0</v>
      </c>
      <c r="G3374" s="6">
        <v>13</v>
      </c>
      <c r="H3374" s="6" t="s">
        <v>32386</v>
      </c>
      <c r="I3374" s="6">
        <v>526.6875</v>
      </c>
      <c r="J3374" s="2">
        <f t="shared" si="52"/>
        <v>43748.696267037034</v>
      </c>
    </row>
    <row r="3375" spans="1:10" x14ac:dyDescent="0.25">
      <c r="A3375" s="7" t="s">
        <v>32387</v>
      </c>
      <c r="B3375" s="8">
        <v>393.75</v>
      </c>
      <c r="C3375" s="8">
        <v>20.531590000000001</v>
      </c>
      <c r="D3375" s="8">
        <v>69</v>
      </c>
      <c r="E3375" s="8">
        <v>0</v>
      </c>
      <c r="F3375" s="8">
        <v>0</v>
      </c>
      <c r="G3375" s="8">
        <v>13</v>
      </c>
      <c r="H3375" s="8" t="s">
        <v>32388</v>
      </c>
      <c r="I3375" s="8">
        <v>526.6875</v>
      </c>
      <c r="J3375" s="3">
        <f t="shared" si="52"/>
        <v>43748.696350486112</v>
      </c>
    </row>
    <row r="3376" spans="1:10" x14ac:dyDescent="0.25">
      <c r="A3376" s="5" t="s">
        <v>32389</v>
      </c>
      <c r="B3376" s="6">
        <v>393.75</v>
      </c>
      <c r="C3376" s="6">
        <v>20.531590000000001</v>
      </c>
      <c r="D3376" s="6">
        <v>70</v>
      </c>
      <c r="E3376" s="6">
        <v>0</v>
      </c>
      <c r="F3376" s="6">
        <v>0</v>
      </c>
      <c r="G3376" s="6">
        <v>10</v>
      </c>
      <c r="H3376" s="6" t="s">
        <v>32390</v>
      </c>
      <c r="I3376" s="6">
        <v>526.6875</v>
      </c>
      <c r="J3376" s="2">
        <f t="shared" si="52"/>
        <v>43748.696434050922</v>
      </c>
    </row>
    <row r="3377" spans="1:10" x14ac:dyDescent="0.25">
      <c r="A3377" s="7" t="s">
        <v>32391</v>
      </c>
      <c r="B3377" s="8">
        <v>393.75</v>
      </c>
      <c r="C3377" s="8">
        <v>20.531590000000001</v>
      </c>
      <c r="D3377" s="8">
        <v>71</v>
      </c>
      <c r="E3377" s="8">
        <v>0</v>
      </c>
      <c r="F3377" s="8">
        <v>0</v>
      </c>
      <c r="G3377" s="8">
        <v>10</v>
      </c>
      <c r="H3377" s="8" t="s">
        <v>32392</v>
      </c>
      <c r="I3377" s="8">
        <v>526.6875</v>
      </c>
      <c r="J3377" s="3">
        <f t="shared" si="52"/>
        <v>43748.6965175</v>
      </c>
    </row>
    <row r="3378" spans="1:10" x14ac:dyDescent="0.25">
      <c r="A3378" s="5" t="s">
        <v>32393</v>
      </c>
      <c r="B3378" s="6">
        <v>421.875</v>
      </c>
      <c r="C3378" s="6">
        <v>20.531590000000001</v>
      </c>
      <c r="D3378" s="6">
        <v>64</v>
      </c>
      <c r="E3378" s="6">
        <v>0</v>
      </c>
      <c r="F3378" s="6">
        <v>0</v>
      </c>
      <c r="G3378" s="6">
        <v>9</v>
      </c>
      <c r="H3378" s="6" t="s">
        <v>32394</v>
      </c>
      <c r="I3378" s="6">
        <v>535.6875</v>
      </c>
      <c r="J3378" s="2">
        <f t="shared" si="52"/>
        <v>43748.696600763891</v>
      </c>
    </row>
    <row r="3379" spans="1:10" x14ac:dyDescent="0.25">
      <c r="A3379" s="7" t="s">
        <v>32395</v>
      </c>
      <c r="B3379" s="8">
        <v>393.75</v>
      </c>
      <c r="C3379" s="8">
        <v>20.531590000000001</v>
      </c>
      <c r="D3379" s="8">
        <v>64</v>
      </c>
      <c r="E3379" s="8">
        <v>0</v>
      </c>
      <c r="F3379" s="8">
        <v>0</v>
      </c>
      <c r="G3379" s="8">
        <v>9</v>
      </c>
      <c r="H3379" s="8" t="s">
        <v>32396</v>
      </c>
      <c r="I3379" s="8">
        <v>526.6875</v>
      </c>
      <c r="J3379" s="3">
        <f t="shared" si="52"/>
        <v>43748.696672488419</v>
      </c>
    </row>
    <row r="3380" spans="1:10" x14ac:dyDescent="0.25">
      <c r="A3380" s="5" t="s">
        <v>32397</v>
      </c>
      <c r="B3380" s="6">
        <v>393.75</v>
      </c>
      <c r="C3380" s="6">
        <v>20.478950000000001</v>
      </c>
      <c r="D3380" s="6">
        <v>69</v>
      </c>
      <c r="E3380" s="6">
        <v>0</v>
      </c>
      <c r="F3380" s="6">
        <v>0</v>
      </c>
      <c r="G3380" s="6">
        <v>11</v>
      </c>
      <c r="H3380" s="6" t="s">
        <v>32398</v>
      </c>
      <c r="I3380" s="6">
        <v>526.875</v>
      </c>
      <c r="J3380" s="2">
        <f t="shared" si="52"/>
        <v>43748.696756365738</v>
      </c>
    </row>
    <row r="3381" spans="1:10" x14ac:dyDescent="0.25">
      <c r="A3381" s="7" t="s">
        <v>32399</v>
      </c>
      <c r="B3381" s="8">
        <v>412.5</v>
      </c>
      <c r="C3381" s="8">
        <v>20.531590000000001</v>
      </c>
      <c r="D3381" s="8">
        <v>69</v>
      </c>
      <c r="E3381" s="8">
        <v>0</v>
      </c>
      <c r="F3381" s="8">
        <v>0</v>
      </c>
      <c r="G3381" s="8">
        <v>15</v>
      </c>
      <c r="H3381" s="8" t="s">
        <v>32400</v>
      </c>
      <c r="I3381" s="8">
        <v>532.3125</v>
      </c>
      <c r="J3381" s="3">
        <f t="shared" si="52"/>
        <v>43748.696839629629</v>
      </c>
    </row>
    <row r="3382" spans="1:10" x14ac:dyDescent="0.25">
      <c r="A3382" s="5" t="s">
        <v>32401</v>
      </c>
      <c r="B3382" s="6">
        <v>393.75</v>
      </c>
      <c r="C3382" s="6">
        <v>20.478950000000001</v>
      </c>
      <c r="D3382" s="6">
        <v>69</v>
      </c>
      <c r="E3382" s="6">
        <v>0</v>
      </c>
      <c r="F3382" s="6">
        <v>0</v>
      </c>
      <c r="G3382" s="6">
        <v>16</v>
      </c>
      <c r="H3382" s="6" t="s">
        <v>32402</v>
      </c>
      <c r="I3382" s="6">
        <v>526.6875</v>
      </c>
      <c r="J3382" s="2">
        <f t="shared" si="52"/>
        <v>43748.696922939816</v>
      </c>
    </row>
    <row r="3383" spans="1:10" x14ac:dyDescent="0.25">
      <c r="A3383" s="7" t="s">
        <v>32403</v>
      </c>
      <c r="B3383" s="8">
        <v>393.75</v>
      </c>
      <c r="C3383" s="8">
        <v>20.531590000000001</v>
      </c>
      <c r="D3383" s="8">
        <v>69</v>
      </c>
      <c r="E3383" s="8">
        <v>0</v>
      </c>
      <c r="F3383" s="8">
        <v>0</v>
      </c>
      <c r="G3383" s="8">
        <v>13</v>
      </c>
      <c r="H3383" s="8" t="s">
        <v>32404</v>
      </c>
      <c r="I3383" s="8">
        <v>526.6875</v>
      </c>
      <c r="J3383" s="3">
        <f t="shared" si="52"/>
        <v>43748.697006504626</v>
      </c>
    </row>
    <row r="3384" spans="1:10" x14ac:dyDescent="0.25">
      <c r="A3384" s="5" t="s">
        <v>32405</v>
      </c>
      <c r="B3384" s="6">
        <v>393.75</v>
      </c>
      <c r="C3384" s="6">
        <v>20.531590000000001</v>
      </c>
      <c r="D3384" s="6">
        <v>69</v>
      </c>
      <c r="E3384" s="6">
        <v>0</v>
      </c>
      <c r="F3384" s="6">
        <v>0</v>
      </c>
      <c r="G3384" s="6">
        <v>13</v>
      </c>
      <c r="H3384" s="6" t="s">
        <v>32406</v>
      </c>
      <c r="I3384" s="6">
        <v>526.6875</v>
      </c>
      <c r="J3384" s="2">
        <f t="shared" si="52"/>
        <v>43748.697089780086</v>
      </c>
    </row>
    <row r="3385" spans="1:10" x14ac:dyDescent="0.25">
      <c r="A3385" s="7" t="s">
        <v>32407</v>
      </c>
      <c r="B3385" s="8">
        <v>412.5</v>
      </c>
      <c r="C3385" s="8">
        <v>20.531590000000001</v>
      </c>
      <c r="D3385" s="8">
        <v>69</v>
      </c>
      <c r="E3385" s="8">
        <v>0</v>
      </c>
      <c r="F3385" s="8">
        <v>0</v>
      </c>
      <c r="G3385" s="8">
        <v>10</v>
      </c>
      <c r="H3385" s="8" t="s">
        <v>32408</v>
      </c>
      <c r="I3385" s="8">
        <v>532.3125</v>
      </c>
      <c r="J3385" s="3">
        <f t="shared" si="52"/>
        <v>43748.69718545139</v>
      </c>
    </row>
    <row r="3386" spans="1:10" x14ac:dyDescent="0.25">
      <c r="A3386" s="5" t="s">
        <v>32409</v>
      </c>
      <c r="B3386" s="6">
        <v>393.75</v>
      </c>
      <c r="C3386" s="6">
        <v>20.584240000000001</v>
      </c>
      <c r="D3386" s="6">
        <v>70</v>
      </c>
      <c r="E3386" s="6">
        <v>0</v>
      </c>
      <c r="F3386" s="6">
        <v>0</v>
      </c>
      <c r="G3386" s="6">
        <v>3</v>
      </c>
      <c r="H3386" s="6" t="s">
        <v>32410</v>
      </c>
      <c r="I3386" s="6">
        <v>526.5</v>
      </c>
      <c r="J3386" s="2">
        <f t="shared" si="52"/>
        <v>43748.697268888885</v>
      </c>
    </row>
    <row r="3387" spans="1:10" x14ac:dyDescent="0.25">
      <c r="A3387" s="7" t="s">
        <v>32411</v>
      </c>
      <c r="B3387" s="8">
        <v>412.5</v>
      </c>
      <c r="C3387" s="8">
        <v>20.531590000000001</v>
      </c>
      <c r="D3387" s="8">
        <v>70</v>
      </c>
      <c r="E3387" s="8">
        <v>0</v>
      </c>
      <c r="F3387" s="8">
        <v>0</v>
      </c>
      <c r="G3387" s="8">
        <v>6</v>
      </c>
      <c r="H3387" s="8" t="s">
        <v>32412</v>
      </c>
      <c r="I3387" s="8">
        <v>532.3125</v>
      </c>
      <c r="J3387" s="3">
        <f t="shared" si="52"/>
        <v>43748.697352569441</v>
      </c>
    </row>
    <row r="3388" spans="1:10" x14ac:dyDescent="0.25">
      <c r="A3388" s="5" t="s">
        <v>32413</v>
      </c>
      <c r="B3388" s="6">
        <v>393.75</v>
      </c>
      <c r="C3388" s="6">
        <v>20.531590000000001</v>
      </c>
      <c r="D3388" s="6">
        <v>69</v>
      </c>
      <c r="E3388" s="6">
        <v>0</v>
      </c>
      <c r="F3388" s="6">
        <v>0</v>
      </c>
      <c r="G3388" s="6">
        <v>8</v>
      </c>
      <c r="H3388" s="6" t="s">
        <v>32414</v>
      </c>
      <c r="I3388" s="6">
        <v>526.6875</v>
      </c>
      <c r="J3388" s="2">
        <f t="shared" si="52"/>
        <v>43748.69742399305</v>
      </c>
    </row>
    <row r="3389" spans="1:10" x14ac:dyDescent="0.25">
      <c r="A3389" s="7" t="s">
        <v>32415</v>
      </c>
      <c r="B3389" s="8">
        <v>393.75</v>
      </c>
      <c r="C3389" s="8">
        <v>20.584240000000001</v>
      </c>
      <c r="D3389" s="8">
        <v>69</v>
      </c>
      <c r="E3389" s="8">
        <v>0</v>
      </c>
      <c r="F3389" s="8">
        <v>0</v>
      </c>
      <c r="G3389" s="8">
        <v>6</v>
      </c>
      <c r="H3389" s="8" t="s">
        <v>32416</v>
      </c>
      <c r="I3389" s="8">
        <v>526.6875</v>
      </c>
      <c r="J3389" s="3">
        <f t="shared" si="52"/>
        <v>43748.697495636567</v>
      </c>
    </row>
    <row r="3390" spans="1:10" x14ac:dyDescent="0.25">
      <c r="A3390" s="5" t="s">
        <v>32417</v>
      </c>
      <c r="B3390" s="6">
        <v>393.75</v>
      </c>
      <c r="C3390" s="6">
        <v>20.584240000000001</v>
      </c>
      <c r="D3390" s="6">
        <v>69</v>
      </c>
      <c r="E3390" s="6">
        <v>0</v>
      </c>
      <c r="F3390" s="6">
        <v>0</v>
      </c>
      <c r="G3390" s="6">
        <v>2</v>
      </c>
      <c r="H3390" s="6" t="s">
        <v>32418</v>
      </c>
      <c r="I3390" s="6">
        <v>526.6875</v>
      </c>
      <c r="J3390" s="2">
        <f t="shared" si="52"/>
        <v>43748.697567094903</v>
      </c>
    </row>
    <row r="3391" spans="1:10" x14ac:dyDescent="0.25">
      <c r="A3391" s="7" t="s">
        <v>32419</v>
      </c>
      <c r="B3391" s="8">
        <v>415.625</v>
      </c>
      <c r="C3391" s="8">
        <v>20.531590000000001</v>
      </c>
      <c r="D3391" s="8">
        <v>69</v>
      </c>
      <c r="E3391" s="8">
        <v>0</v>
      </c>
      <c r="F3391" s="8">
        <v>0</v>
      </c>
      <c r="G3391" s="8">
        <v>6</v>
      </c>
      <c r="H3391" s="8" t="s">
        <v>32420</v>
      </c>
      <c r="I3391" s="8">
        <v>533.25</v>
      </c>
      <c r="J3391" s="3">
        <f t="shared" si="52"/>
        <v>43748.697650613423</v>
      </c>
    </row>
    <row r="3392" spans="1:10" x14ac:dyDescent="0.25">
      <c r="A3392" s="5" t="s">
        <v>32421</v>
      </c>
      <c r="B3392" s="6">
        <v>393.75</v>
      </c>
      <c r="C3392" s="6">
        <v>20.478950000000001</v>
      </c>
      <c r="D3392" s="6">
        <v>69</v>
      </c>
      <c r="E3392" s="6">
        <v>0</v>
      </c>
      <c r="F3392" s="6">
        <v>0</v>
      </c>
      <c r="G3392" s="6">
        <v>2</v>
      </c>
      <c r="H3392" s="6" t="s">
        <v>32422</v>
      </c>
      <c r="I3392" s="6">
        <v>526.6875</v>
      </c>
      <c r="J3392" s="2">
        <f t="shared" si="52"/>
        <v>43748.697734050926</v>
      </c>
    </row>
    <row r="3393" spans="1:10" x14ac:dyDescent="0.25">
      <c r="A3393" s="7" t="s">
        <v>32423</v>
      </c>
      <c r="B3393" s="8">
        <v>393.75</v>
      </c>
      <c r="C3393" s="8">
        <v>20.531590000000001</v>
      </c>
      <c r="D3393" s="8">
        <v>68</v>
      </c>
      <c r="E3393" s="8">
        <v>0</v>
      </c>
      <c r="F3393" s="8">
        <v>0</v>
      </c>
      <c r="G3393" s="8">
        <v>12</v>
      </c>
      <c r="H3393" s="8" t="s">
        <v>32424</v>
      </c>
      <c r="I3393" s="8">
        <v>526.6875</v>
      </c>
      <c r="J3393" s="3">
        <f t="shared" si="52"/>
        <v>43748.697817627311</v>
      </c>
    </row>
    <row r="3394" spans="1:10" x14ac:dyDescent="0.25">
      <c r="A3394" s="5" t="s">
        <v>32425</v>
      </c>
      <c r="B3394" s="6">
        <v>393.75</v>
      </c>
      <c r="C3394" s="6">
        <v>20.478950000000001</v>
      </c>
      <c r="D3394" s="6">
        <v>72</v>
      </c>
      <c r="E3394" s="6">
        <v>0</v>
      </c>
      <c r="F3394" s="6">
        <v>0</v>
      </c>
      <c r="G3394" s="6">
        <v>6</v>
      </c>
      <c r="H3394" s="6" t="s">
        <v>32426</v>
      </c>
      <c r="I3394" s="6">
        <v>526.6875</v>
      </c>
      <c r="J3394" s="2">
        <f t="shared" ref="J3394:J3457" si="53">(H3394/86400000)+25569+(7/24)</f>
        <v>43748.697900844905</v>
      </c>
    </row>
    <row r="3395" spans="1:10" x14ac:dyDescent="0.25">
      <c r="A3395" s="7" t="s">
        <v>32427</v>
      </c>
      <c r="B3395" s="8">
        <v>393.75</v>
      </c>
      <c r="C3395" s="8">
        <v>20.531590000000001</v>
      </c>
      <c r="D3395" s="8">
        <v>72</v>
      </c>
      <c r="E3395" s="8">
        <v>0</v>
      </c>
      <c r="F3395" s="8">
        <v>0</v>
      </c>
      <c r="G3395" s="8">
        <v>12</v>
      </c>
      <c r="H3395" s="8" t="s">
        <v>32428</v>
      </c>
      <c r="I3395" s="8">
        <v>526.6875</v>
      </c>
      <c r="J3395" s="3">
        <f t="shared" si="53"/>
        <v>43748.697972372684</v>
      </c>
    </row>
    <row r="3396" spans="1:10" x14ac:dyDescent="0.25">
      <c r="A3396" s="5" t="s">
        <v>32429</v>
      </c>
      <c r="B3396" s="6">
        <v>415.625</v>
      </c>
      <c r="C3396" s="6">
        <v>20.531590000000001</v>
      </c>
      <c r="D3396" s="6">
        <v>69</v>
      </c>
      <c r="E3396" s="6">
        <v>0</v>
      </c>
      <c r="F3396" s="6">
        <v>0</v>
      </c>
      <c r="G3396" s="6">
        <v>15</v>
      </c>
      <c r="H3396" s="6" t="s">
        <v>32430</v>
      </c>
      <c r="I3396" s="6">
        <v>533.25</v>
      </c>
      <c r="J3396" s="2">
        <f t="shared" si="53"/>
        <v>43748.698056273141</v>
      </c>
    </row>
    <row r="3397" spans="1:10" x14ac:dyDescent="0.25">
      <c r="A3397" s="7" t="s">
        <v>32431</v>
      </c>
      <c r="B3397" s="8">
        <v>393.75</v>
      </c>
      <c r="C3397" s="8">
        <v>20.531590000000001</v>
      </c>
      <c r="D3397" s="8">
        <v>70</v>
      </c>
      <c r="E3397" s="8">
        <v>0</v>
      </c>
      <c r="F3397" s="8">
        <v>0</v>
      </c>
      <c r="G3397" s="8">
        <v>6</v>
      </c>
      <c r="H3397" s="8" t="s">
        <v>32432</v>
      </c>
      <c r="I3397" s="8">
        <v>526.6875</v>
      </c>
      <c r="J3397" s="3">
        <f t="shared" si="53"/>
        <v>43748.698139733795</v>
      </c>
    </row>
    <row r="3398" spans="1:10" x14ac:dyDescent="0.25">
      <c r="A3398" s="5" t="s">
        <v>32433</v>
      </c>
      <c r="B3398" s="6">
        <v>393.75</v>
      </c>
      <c r="C3398" s="6">
        <v>20.531590000000001</v>
      </c>
      <c r="D3398" s="6">
        <v>71</v>
      </c>
      <c r="E3398" s="6">
        <v>0</v>
      </c>
      <c r="F3398" s="6">
        <v>0</v>
      </c>
      <c r="G3398" s="6">
        <v>8</v>
      </c>
      <c r="H3398" s="6" t="s">
        <v>32434</v>
      </c>
      <c r="I3398" s="6">
        <v>526.6875</v>
      </c>
      <c r="J3398" s="2">
        <f t="shared" si="53"/>
        <v>43748.698236180549</v>
      </c>
    </row>
    <row r="3399" spans="1:10" x14ac:dyDescent="0.25">
      <c r="A3399" s="7" t="s">
        <v>32435</v>
      </c>
      <c r="B3399" s="8">
        <v>393.75</v>
      </c>
      <c r="C3399" s="8">
        <v>20.478950000000001</v>
      </c>
      <c r="D3399" s="8">
        <v>71</v>
      </c>
      <c r="E3399" s="8">
        <v>0</v>
      </c>
      <c r="F3399" s="8">
        <v>0</v>
      </c>
      <c r="G3399" s="8">
        <v>8</v>
      </c>
      <c r="H3399" s="8" t="s">
        <v>32436</v>
      </c>
      <c r="I3399" s="8">
        <v>526.6875</v>
      </c>
      <c r="J3399" s="3">
        <f t="shared" si="53"/>
        <v>43748.698318530085</v>
      </c>
    </row>
    <row r="3400" spans="1:10" x14ac:dyDescent="0.25">
      <c r="A3400" s="5" t="s">
        <v>32437</v>
      </c>
      <c r="B3400" s="6">
        <v>393.75</v>
      </c>
      <c r="C3400" s="6">
        <v>20.584240000000001</v>
      </c>
      <c r="D3400" s="6">
        <v>71</v>
      </c>
      <c r="E3400" s="6">
        <v>0</v>
      </c>
      <c r="F3400" s="6">
        <v>0</v>
      </c>
      <c r="G3400" s="6">
        <v>15</v>
      </c>
      <c r="H3400" s="6" t="s">
        <v>32438</v>
      </c>
      <c r="I3400" s="6">
        <v>526.6875</v>
      </c>
      <c r="J3400" s="2">
        <f t="shared" si="53"/>
        <v>43748.698414884253</v>
      </c>
    </row>
    <row r="3401" spans="1:10" x14ac:dyDescent="0.25">
      <c r="A3401" s="7" t="s">
        <v>32439</v>
      </c>
      <c r="B3401" s="8">
        <v>393.75</v>
      </c>
      <c r="C3401" s="8">
        <v>20.531590000000001</v>
      </c>
      <c r="D3401" s="8">
        <v>71</v>
      </c>
      <c r="E3401" s="8">
        <v>0</v>
      </c>
      <c r="F3401" s="8">
        <v>0</v>
      </c>
      <c r="G3401" s="8">
        <v>11</v>
      </c>
      <c r="H3401" s="8" t="s">
        <v>32440</v>
      </c>
      <c r="I3401" s="8">
        <v>526.6875</v>
      </c>
      <c r="J3401" s="3">
        <f t="shared" si="53"/>
        <v>43748.698497129626</v>
      </c>
    </row>
    <row r="3402" spans="1:10" x14ac:dyDescent="0.25">
      <c r="A3402" s="5" t="s">
        <v>32441</v>
      </c>
      <c r="B3402" s="6">
        <v>431.25</v>
      </c>
      <c r="C3402" s="6">
        <v>20.531590000000001</v>
      </c>
      <c r="D3402" s="6">
        <v>71</v>
      </c>
      <c r="E3402" s="6">
        <v>0</v>
      </c>
      <c r="F3402" s="6">
        <v>0</v>
      </c>
      <c r="G3402" s="6">
        <v>10</v>
      </c>
      <c r="H3402" s="6" t="s">
        <v>32442</v>
      </c>
      <c r="I3402" s="6">
        <v>538.6875</v>
      </c>
      <c r="J3402" s="2">
        <f t="shared" si="53"/>
        <v>43748.698568773143</v>
      </c>
    </row>
    <row r="3403" spans="1:10" x14ac:dyDescent="0.25">
      <c r="A3403" s="7" t="s">
        <v>32443</v>
      </c>
      <c r="B3403" s="8">
        <v>393.75</v>
      </c>
      <c r="C3403" s="8">
        <v>20.478950000000001</v>
      </c>
      <c r="D3403" s="8">
        <v>72</v>
      </c>
      <c r="E3403" s="8">
        <v>0</v>
      </c>
      <c r="F3403" s="8">
        <v>0</v>
      </c>
      <c r="G3403" s="8">
        <v>13</v>
      </c>
      <c r="H3403" s="8" t="s">
        <v>32444</v>
      </c>
      <c r="I3403" s="8">
        <v>526.6875</v>
      </c>
      <c r="J3403" s="3">
        <f t="shared" si="53"/>
        <v>43748.698652569445</v>
      </c>
    </row>
    <row r="3404" spans="1:10" x14ac:dyDescent="0.25">
      <c r="A3404" s="5" t="s">
        <v>32445</v>
      </c>
      <c r="B3404" s="6">
        <v>393.75</v>
      </c>
      <c r="C3404" s="6">
        <v>20.531590000000001</v>
      </c>
      <c r="D3404" s="6">
        <v>72</v>
      </c>
      <c r="E3404" s="6">
        <v>0</v>
      </c>
      <c r="F3404" s="6">
        <v>0</v>
      </c>
      <c r="G3404" s="6">
        <v>1</v>
      </c>
      <c r="H3404" s="6" t="s">
        <v>32446</v>
      </c>
      <c r="I3404" s="6">
        <v>526.6875</v>
      </c>
      <c r="J3404" s="2">
        <f t="shared" si="53"/>
        <v>43748.698736134254</v>
      </c>
    </row>
    <row r="3405" spans="1:10" x14ac:dyDescent="0.25">
      <c r="A3405" s="7" t="s">
        <v>32447</v>
      </c>
      <c r="B3405" s="8">
        <v>393.75</v>
      </c>
      <c r="C3405" s="8">
        <v>20.478950000000001</v>
      </c>
      <c r="D3405" s="8">
        <v>72</v>
      </c>
      <c r="E3405" s="8">
        <v>0</v>
      </c>
      <c r="F3405" s="8">
        <v>0</v>
      </c>
      <c r="G3405" s="8">
        <v>9</v>
      </c>
      <c r="H3405" s="8" t="s">
        <v>32448</v>
      </c>
      <c r="I3405" s="8">
        <v>526.6875</v>
      </c>
      <c r="J3405" s="3">
        <f t="shared" si="53"/>
        <v>43748.698819224534</v>
      </c>
    </row>
    <row r="3406" spans="1:10" x14ac:dyDescent="0.25">
      <c r="A3406" s="5" t="s">
        <v>32449</v>
      </c>
      <c r="B3406" s="6">
        <v>393.75</v>
      </c>
      <c r="C3406" s="6">
        <v>20.478950000000001</v>
      </c>
      <c r="D3406" s="6">
        <v>72</v>
      </c>
      <c r="E3406" s="6">
        <v>0</v>
      </c>
      <c r="F3406" s="6">
        <v>0</v>
      </c>
      <c r="G3406" s="6">
        <v>10</v>
      </c>
      <c r="H3406" s="6" t="s">
        <v>32450</v>
      </c>
      <c r="I3406" s="6">
        <v>526.5</v>
      </c>
      <c r="J3406" s="2">
        <f t="shared" si="53"/>
        <v>43748.698903032404</v>
      </c>
    </row>
    <row r="3407" spans="1:10" x14ac:dyDescent="0.25">
      <c r="A3407" s="7" t="s">
        <v>32451</v>
      </c>
      <c r="B3407" s="8">
        <v>428.125</v>
      </c>
      <c r="C3407" s="8">
        <v>20.478950000000001</v>
      </c>
      <c r="D3407" s="8">
        <v>70</v>
      </c>
      <c r="E3407" s="8">
        <v>0</v>
      </c>
      <c r="F3407" s="8">
        <v>0</v>
      </c>
      <c r="G3407" s="8">
        <v>15</v>
      </c>
      <c r="H3407" s="8" t="s">
        <v>32452</v>
      </c>
      <c r="I3407" s="8">
        <v>537.1875</v>
      </c>
      <c r="J3407" s="3">
        <f t="shared" si="53"/>
        <v>43748.69898671296</v>
      </c>
    </row>
    <row r="3408" spans="1:10" x14ac:dyDescent="0.25">
      <c r="A3408" s="5" t="s">
        <v>32453</v>
      </c>
      <c r="B3408" s="6">
        <v>393.75</v>
      </c>
      <c r="C3408" s="6">
        <v>20.478950000000001</v>
      </c>
      <c r="D3408" s="6">
        <v>70</v>
      </c>
      <c r="E3408" s="6">
        <v>0</v>
      </c>
      <c r="F3408" s="6">
        <v>0</v>
      </c>
      <c r="G3408" s="6">
        <v>9</v>
      </c>
      <c r="H3408" s="6" t="s">
        <v>32454</v>
      </c>
      <c r="I3408" s="6">
        <v>526.6875</v>
      </c>
      <c r="J3408" s="2">
        <f t="shared" si="53"/>
        <v>43748.699058124999</v>
      </c>
    </row>
    <row r="3409" spans="1:10" x14ac:dyDescent="0.25">
      <c r="A3409" s="7" t="s">
        <v>32455</v>
      </c>
      <c r="B3409" s="8">
        <v>393.75</v>
      </c>
      <c r="C3409" s="8">
        <v>20.531590000000001</v>
      </c>
      <c r="D3409" s="8">
        <v>70</v>
      </c>
      <c r="E3409" s="8">
        <v>0</v>
      </c>
      <c r="F3409" s="8">
        <v>0</v>
      </c>
      <c r="G3409" s="8">
        <v>9</v>
      </c>
      <c r="H3409" s="8" t="s">
        <v>32456</v>
      </c>
      <c r="I3409" s="8">
        <v>526.6875</v>
      </c>
      <c r="J3409" s="3">
        <f t="shared" si="53"/>
        <v>43748.699141458332</v>
      </c>
    </row>
    <row r="3410" spans="1:10" x14ac:dyDescent="0.25">
      <c r="A3410" s="5" t="s">
        <v>32457</v>
      </c>
      <c r="B3410" s="6">
        <v>412.5</v>
      </c>
      <c r="C3410" s="6">
        <v>20.531590000000001</v>
      </c>
      <c r="D3410" s="6">
        <v>70</v>
      </c>
      <c r="E3410" s="6">
        <v>0</v>
      </c>
      <c r="F3410" s="6">
        <v>0</v>
      </c>
      <c r="G3410" s="6">
        <v>8</v>
      </c>
      <c r="H3410" s="6" t="s">
        <v>32458</v>
      </c>
      <c r="I3410" s="6">
        <v>532.3125</v>
      </c>
      <c r="J3410" s="2">
        <f t="shared" si="53"/>
        <v>43748.699225115743</v>
      </c>
    </row>
    <row r="3411" spans="1:10" x14ac:dyDescent="0.25">
      <c r="A3411" s="7" t="s">
        <v>32459</v>
      </c>
      <c r="B3411" s="8">
        <v>393.75</v>
      </c>
      <c r="C3411" s="8">
        <v>20.478950000000001</v>
      </c>
      <c r="D3411" s="8">
        <v>69</v>
      </c>
      <c r="E3411" s="8">
        <v>0</v>
      </c>
      <c r="F3411" s="8">
        <v>0</v>
      </c>
      <c r="G3411" s="8">
        <v>11</v>
      </c>
      <c r="H3411" s="8" t="s">
        <v>32460</v>
      </c>
      <c r="I3411" s="8">
        <v>526.6875</v>
      </c>
      <c r="J3411" s="3">
        <f t="shared" si="53"/>
        <v>43748.699308229166</v>
      </c>
    </row>
    <row r="3412" spans="1:10" x14ac:dyDescent="0.25">
      <c r="A3412" s="5" t="s">
        <v>32461</v>
      </c>
      <c r="B3412" s="6">
        <v>393.75</v>
      </c>
      <c r="C3412" s="6">
        <v>20.478950000000001</v>
      </c>
      <c r="D3412" s="6">
        <v>69</v>
      </c>
      <c r="E3412" s="6">
        <v>0</v>
      </c>
      <c r="F3412" s="6">
        <v>0</v>
      </c>
      <c r="G3412" s="6">
        <v>10</v>
      </c>
      <c r="H3412" s="6" t="s">
        <v>32462</v>
      </c>
      <c r="I3412" s="6">
        <v>526.6875</v>
      </c>
      <c r="J3412" s="2">
        <f t="shared" si="53"/>
        <v>43748.699379895836</v>
      </c>
    </row>
    <row r="3413" spans="1:10" x14ac:dyDescent="0.25">
      <c r="A3413" s="7" t="s">
        <v>32463</v>
      </c>
      <c r="B3413" s="8">
        <v>393.75</v>
      </c>
      <c r="C3413" s="8">
        <v>20.478950000000001</v>
      </c>
      <c r="D3413" s="8">
        <v>69</v>
      </c>
      <c r="E3413" s="8">
        <v>0</v>
      </c>
      <c r="F3413" s="8">
        <v>0</v>
      </c>
      <c r="G3413" s="8">
        <v>0</v>
      </c>
      <c r="H3413" s="8" t="s">
        <v>32464</v>
      </c>
      <c r="I3413" s="8">
        <v>526.6875</v>
      </c>
      <c r="J3413" s="3">
        <f t="shared" si="53"/>
        <v>43748.699476469905</v>
      </c>
    </row>
    <row r="3414" spans="1:10" x14ac:dyDescent="0.25">
      <c r="A3414" s="5" t="s">
        <v>32465</v>
      </c>
      <c r="B3414" s="6">
        <v>393.75</v>
      </c>
      <c r="C3414" s="6">
        <v>20.531590000000001</v>
      </c>
      <c r="D3414" s="6">
        <v>70</v>
      </c>
      <c r="E3414" s="6">
        <v>0</v>
      </c>
      <c r="F3414" s="6">
        <v>0</v>
      </c>
      <c r="G3414" s="6">
        <v>7</v>
      </c>
      <c r="H3414" s="6" t="s">
        <v>32466</v>
      </c>
      <c r="I3414" s="6">
        <v>526.6875</v>
      </c>
      <c r="J3414" s="2">
        <f t="shared" si="53"/>
        <v>43748.699559062494</v>
      </c>
    </row>
    <row r="3415" spans="1:10" x14ac:dyDescent="0.25">
      <c r="A3415" s="7" t="s">
        <v>32467</v>
      </c>
      <c r="B3415" s="8">
        <v>393.75</v>
      </c>
      <c r="C3415" s="8">
        <v>20.531590000000001</v>
      </c>
      <c r="D3415" s="8">
        <v>72</v>
      </c>
      <c r="E3415" s="8">
        <v>0</v>
      </c>
      <c r="F3415" s="8">
        <v>0</v>
      </c>
      <c r="G3415" s="8">
        <v>18</v>
      </c>
      <c r="H3415" s="8" t="s">
        <v>32468</v>
      </c>
      <c r="I3415" s="8">
        <v>526.5</v>
      </c>
      <c r="J3415" s="3">
        <f t="shared" si="53"/>
        <v>43748.699642175925</v>
      </c>
    </row>
    <row r="3416" spans="1:10" x14ac:dyDescent="0.25">
      <c r="A3416" s="5" t="s">
        <v>32469</v>
      </c>
      <c r="B3416" s="6">
        <v>393.75</v>
      </c>
      <c r="C3416" s="6">
        <v>20.478950000000001</v>
      </c>
      <c r="D3416" s="6">
        <v>70</v>
      </c>
      <c r="E3416" s="6">
        <v>0</v>
      </c>
      <c r="F3416" s="6">
        <v>0</v>
      </c>
      <c r="G3416" s="6">
        <v>4</v>
      </c>
      <c r="H3416" s="6" t="s">
        <v>32470</v>
      </c>
      <c r="I3416" s="6">
        <v>526.6875</v>
      </c>
      <c r="J3416" s="2">
        <f t="shared" si="53"/>
        <v>43748.69971414352</v>
      </c>
    </row>
    <row r="3417" spans="1:10" x14ac:dyDescent="0.25">
      <c r="A3417" s="7" t="s">
        <v>32471</v>
      </c>
      <c r="B3417" s="8">
        <v>393.75</v>
      </c>
      <c r="C3417" s="8">
        <v>20.478950000000001</v>
      </c>
      <c r="D3417" s="8">
        <v>70</v>
      </c>
      <c r="E3417" s="8">
        <v>0</v>
      </c>
      <c r="F3417" s="8">
        <v>0</v>
      </c>
      <c r="G3417" s="8">
        <v>14</v>
      </c>
      <c r="H3417" s="8" t="s">
        <v>32472</v>
      </c>
      <c r="I3417" s="8">
        <v>526.6875</v>
      </c>
      <c r="J3417" s="3">
        <f t="shared" si="53"/>
        <v>43748.699797812493</v>
      </c>
    </row>
    <row r="3418" spans="1:10" x14ac:dyDescent="0.25">
      <c r="A3418" s="5" t="s">
        <v>32473</v>
      </c>
      <c r="B3418" s="6">
        <v>393.75</v>
      </c>
      <c r="C3418" s="6">
        <v>20.531590000000001</v>
      </c>
      <c r="D3418" s="6">
        <v>69</v>
      </c>
      <c r="E3418" s="6">
        <v>0</v>
      </c>
      <c r="F3418" s="6">
        <v>0</v>
      </c>
      <c r="G3418" s="6">
        <v>9</v>
      </c>
      <c r="H3418" s="6" t="s">
        <v>32474</v>
      </c>
      <c r="I3418" s="6">
        <v>526.5</v>
      </c>
      <c r="J3418" s="2">
        <f t="shared" si="53"/>
        <v>43748.699881284723</v>
      </c>
    </row>
    <row r="3419" spans="1:10" x14ac:dyDescent="0.25">
      <c r="A3419" s="7" t="s">
        <v>32475</v>
      </c>
      <c r="B3419" s="8">
        <v>393.75</v>
      </c>
      <c r="C3419" s="8">
        <v>20.531590000000001</v>
      </c>
      <c r="D3419" s="8">
        <v>69</v>
      </c>
      <c r="E3419" s="8">
        <v>0</v>
      </c>
      <c r="F3419" s="8">
        <v>0</v>
      </c>
      <c r="G3419" s="8">
        <v>3</v>
      </c>
      <c r="H3419" s="8" t="s">
        <v>32476</v>
      </c>
      <c r="I3419" s="8">
        <v>526.6875</v>
      </c>
      <c r="J3419" s="3">
        <f t="shared" si="53"/>
        <v>43748.699964652777</v>
      </c>
    </row>
    <row r="3420" spans="1:10" x14ac:dyDescent="0.25">
      <c r="A3420" s="5" t="s">
        <v>32477</v>
      </c>
      <c r="B3420" s="6">
        <v>393.75</v>
      </c>
      <c r="C3420" s="6">
        <v>20.531590000000001</v>
      </c>
      <c r="D3420" s="6">
        <v>70</v>
      </c>
      <c r="E3420" s="6">
        <v>0</v>
      </c>
      <c r="F3420" s="6">
        <v>0</v>
      </c>
      <c r="G3420" s="6">
        <v>13</v>
      </c>
      <c r="H3420" s="6" t="s">
        <v>32478</v>
      </c>
      <c r="I3420" s="6">
        <v>526.6875</v>
      </c>
      <c r="J3420" s="2">
        <f t="shared" si="53"/>
        <v>43748.700048217586</v>
      </c>
    </row>
    <row r="3421" spans="1:10" x14ac:dyDescent="0.25">
      <c r="A3421" s="7" t="s">
        <v>32479</v>
      </c>
      <c r="B3421" s="8">
        <v>393.75</v>
      </c>
      <c r="C3421" s="8">
        <v>20.531590000000001</v>
      </c>
      <c r="D3421" s="8">
        <v>69</v>
      </c>
      <c r="E3421" s="8">
        <v>0</v>
      </c>
      <c r="F3421" s="8">
        <v>0</v>
      </c>
      <c r="G3421" s="8">
        <v>13</v>
      </c>
      <c r="H3421" s="8" t="s">
        <v>32480</v>
      </c>
      <c r="I3421" s="8">
        <v>526.5</v>
      </c>
      <c r="J3421" s="3">
        <f t="shared" si="53"/>
        <v>43748.700131863421</v>
      </c>
    </row>
    <row r="3422" spans="1:10" x14ac:dyDescent="0.25">
      <c r="A3422" s="5" t="s">
        <v>32481</v>
      </c>
      <c r="B3422" s="6">
        <v>412.5</v>
      </c>
      <c r="C3422" s="6">
        <v>20.531590000000001</v>
      </c>
      <c r="D3422" s="6">
        <v>69</v>
      </c>
      <c r="E3422" s="6">
        <v>0</v>
      </c>
      <c r="F3422" s="6">
        <v>0</v>
      </c>
      <c r="G3422" s="6">
        <v>0</v>
      </c>
      <c r="H3422" s="6" t="s">
        <v>32482</v>
      </c>
      <c r="I3422" s="6">
        <v>532.3125</v>
      </c>
      <c r="J3422" s="2">
        <f t="shared" si="53"/>
        <v>43748.70020353009</v>
      </c>
    </row>
    <row r="3423" spans="1:10" x14ac:dyDescent="0.25">
      <c r="A3423" s="7" t="s">
        <v>32483</v>
      </c>
      <c r="B3423" s="8">
        <v>393.75</v>
      </c>
      <c r="C3423" s="8">
        <v>20.531590000000001</v>
      </c>
      <c r="D3423" s="8">
        <v>68</v>
      </c>
      <c r="E3423" s="8">
        <v>0</v>
      </c>
      <c r="F3423" s="8">
        <v>0</v>
      </c>
      <c r="G3423" s="8">
        <v>13</v>
      </c>
      <c r="H3423" s="8" t="s">
        <v>32484</v>
      </c>
      <c r="I3423" s="8">
        <v>526.6875</v>
      </c>
      <c r="J3423" s="3">
        <f t="shared" si="53"/>
        <v>43748.700286828702</v>
      </c>
    </row>
    <row r="3424" spans="1:10" x14ac:dyDescent="0.25">
      <c r="A3424" s="5" t="s">
        <v>32485</v>
      </c>
      <c r="B3424" s="6">
        <v>393.75</v>
      </c>
      <c r="C3424" s="6">
        <v>20.584240000000001</v>
      </c>
      <c r="D3424" s="6">
        <v>69</v>
      </c>
      <c r="E3424" s="6">
        <v>0</v>
      </c>
      <c r="F3424" s="6">
        <v>0</v>
      </c>
      <c r="G3424" s="6">
        <v>10</v>
      </c>
      <c r="H3424" s="6" t="s">
        <v>32486</v>
      </c>
      <c r="I3424" s="6">
        <v>526.6875</v>
      </c>
      <c r="J3424" s="2">
        <f t="shared" si="53"/>
        <v>43748.700358078706</v>
      </c>
    </row>
    <row r="3425" spans="1:10" x14ac:dyDescent="0.25">
      <c r="A3425" s="7" t="s">
        <v>32487</v>
      </c>
      <c r="B3425" s="8">
        <v>393.75</v>
      </c>
      <c r="C3425" s="8">
        <v>20.531590000000001</v>
      </c>
      <c r="D3425" s="8">
        <v>68</v>
      </c>
      <c r="E3425" s="8">
        <v>0</v>
      </c>
      <c r="F3425" s="8">
        <v>0</v>
      </c>
      <c r="G3425" s="8">
        <v>9</v>
      </c>
      <c r="H3425" s="8" t="s">
        <v>32488</v>
      </c>
      <c r="I3425" s="8">
        <v>526.6875</v>
      </c>
      <c r="J3425" s="3">
        <f t="shared" si="53"/>
        <v>43748.700430486111</v>
      </c>
    </row>
    <row r="3426" spans="1:10" x14ac:dyDescent="0.25">
      <c r="A3426" s="5" t="s">
        <v>32489</v>
      </c>
      <c r="B3426" s="6">
        <v>393.75</v>
      </c>
      <c r="C3426" s="6">
        <v>20.531590000000001</v>
      </c>
      <c r="D3426" s="6">
        <v>69</v>
      </c>
      <c r="E3426" s="6">
        <v>0</v>
      </c>
      <c r="F3426" s="6">
        <v>0</v>
      </c>
      <c r="G3426" s="6">
        <v>10</v>
      </c>
      <c r="H3426" s="6" t="s">
        <v>32490</v>
      </c>
      <c r="I3426" s="6">
        <v>526.6875</v>
      </c>
      <c r="J3426" s="2">
        <f t="shared" si="53"/>
        <v>43748.700501550928</v>
      </c>
    </row>
    <row r="3427" spans="1:10" x14ac:dyDescent="0.25">
      <c r="A3427" s="7" t="s">
        <v>32491</v>
      </c>
      <c r="B3427" s="8">
        <v>393.75</v>
      </c>
      <c r="C3427" s="8">
        <v>20.531590000000001</v>
      </c>
      <c r="D3427" s="8">
        <v>69</v>
      </c>
      <c r="E3427" s="8">
        <v>0</v>
      </c>
      <c r="F3427" s="8">
        <v>0</v>
      </c>
      <c r="G3427" s="8">
        <v>9</v>
      </c>
      <c r="H3427" s="8" t="s">
        <v>32492</v>
      </c>
      <c r="I3427" s="8">
        <v>526.6875</v>
      </c>
      <c r="J3427" s="3">
        <f t="shared" si="53"/>
        <v>43748.700572870366</v>
      </c>
    </row>
    <row r="3428" spans="1:10" x14ac:dyDescent="0.25">
      <c r="A3428" s="5" t="s">
        <v>32493</v>
      </c>
      <c r="B3428" s="6">
        <v>393.75</v>
      </c>
      <c r="C3428" s="6">
        <v>20.478950000000001</v>
      </c>
      <c r="D3428" s="6">
        <v>69</v>
      </c>
      <c r="E3428" s="6">
        <v>0</v>
      </c>
      <c r="F3428" s="6">
        <v>0</v>
      </c>
      <c r="G3428" s="6">
        <v>4</v>
      </c>
      <c r="H3428" s="6" t="s">
        <v>32494</v>
      </c>
      <c r="I3428" s="6">
        <v>526.6875</v>
      </c>
      <c r="J3428" s="2">
        <f t="shared" si="53"/>
        <v>43748.700645023149</v>
      </c>
    </row>
    <row r="3429" spans="1:10" x14ac:dyDescent="0.25">
      <c r="A3429" s="7" t="s">
        <v>32495</v>
      </c>
      <c r="B3429" s="8">
        <v>393.75</v>
      </c>
      <c r="C3429" s="8">
        <v>20.478950000000001</v>
      </c>
      <c r="D3429" s="8">
        <v>69</v>
      </c>
      <c r="E3429" s="8">
        <v>0</v>
      </c>
      <c r="F3429" s="8">
        <v>0</v>
      </c>
      <c r="G3429" s="8">
        <v>8</v>
      </c>
      <c r="H3429" s="8" t="s">
        <v>32496</v>
      </c>
      <c r="I3429" s="8">
        <v>526.6875</v>
      </c>
      <c r="J3429" s="3">
        <f t="shared" si="53"/>
        <v>43748.700716932864</v>
      </c>
    </row>
    <row r="3430" spans="1:10" x14ac:dyDescent="0.25">
      <c r="A3430" s="5" t="s">
        <v>32497</v>
      </c>
      <c r="B3430" s="6">
        <v>393.75</v>
      </c>
      <c r="C3430" s="6">
        <v>20.478950000000001</v>
      </c>
      <c r="D3430" s="6">
        <v>69</v>
      </c>
      <c r="E3430" s="6">
        <v>0</v>
      </c>
      <c r="F3430" s="6">
        <v>0</v>
      </c>
      <c r="G3430" s="6">
        <v>9</v>
      </c>
      <c r="H3430" s="6" t="s">
        <v>32498</v>
      </c>
      <c r="I3430" s="6">
        <v>526.6875</v>
      </c>
      <c r="J3430" s="2">
        <f t="shared" si="53"/>
        <v>43748.700799861108</v>
      </c>
    </row>
    <row r="3431" spans="1:10" x14ac:dyDescent="0.25">
      <c r="A3431" s="7" t="s">
        <v>32499</v>
      </c>
      <c r="B3431" s="8">
        <v>393.75</v>
      </c>
      <c r="C3431" s="8">
        <v>20.531590000000001</v>
      </c>
      <c r="D3431" s="8">
        <v>70</v>
      </c>
      <c r="E3431" s="8">
        <v>0</v>
      </c>
      <c r="F3431" s="8">
        <v>0</v>
      </c>
      <c r="G3431" s="8">
        <v>16</v>
      </c>
      <c r="H3431" s="8" t="s">
        <v>32500</v>
      </c>
      <c r="I3431" s="8">
        <v>526.6875</v>
      </c>
      <c r="J3431" s="3">
        <f t="shared" si="53"/>
        <v>43748.700883136575</v>
      </c>
    </row>
    <row r="3432" spans="1:10" x14ac:dyDescent="0.25">
      <c r="A3432" s="5" t="s">
        <v>32501</v>
      </c>
      <c r="B3432" s="6">
        <v>393.75</v>
      </c>
      <c r="C3432" s="6">
        <v>20.584240000000001</v>
      </c>
      <c r="D3432" s="6">
        <v>70</v>
      </c>
      <c r="E3432" s="6">
        <v>0</v>
      </c>
      <c r="F3432" s="6">
        <v>0</v>
      </c>
      <c r="G3432" s="6">
        <v>10</v>
      </c>
      <c r="H3432" s="6" t="s">
        <v>32502</v>
      </c>
      <c r="I3432" s="6">
        <v>526.6875</v>
      </c>
      <c r="J3432" s="2">
        <f t="shared" si="53"/>
        <v>43748.700955358792</v>
      </c>
    </row>
    <row r="3433" spans="1:10" x14ac:dyDescent="0.25">
      <c r="A3433" s="7" t="s">
        <v>32503</v>
      </c>
      <c r="B3433" s="8">
        <v>393.75</v>
      </c>
      <c r="C3433" s="8">
        <v>20.584240000000001</v>
      </c>
      <c r="D3433" s="8">
        <v>70</v>
      </c>
      <c r="E3433" s="8">
        <v>0</v>
      </c>
      <c r="F3433" s="8">
        <v>0</v>
      </c>
      <c r="G3433" s="8">
        <v>9</v>
      </c>
      <c r="H3433" s="8" t="s">
        <v>32504</v>
      </c>
      <c r="I3433" s="8">
        <v>526.6875</v>
      </c>
      <c r="J3433" s="3">
        <f t="shared" si="53"/>
        <v>43748.701026446761</v>
      </c>
    </row>
    <row r="3434" spans="1:10" x14ac:dyDescent="0.25">
      <c r="A3434" s="5" t="s">
        <v>32505</v>
      </c>
      <c r="B3434" s="6">
        <v>393.75</v>
      </c>
      <c r="C3434" s="6">
        <v>20.531590000000001</v>
      </c>
      <c r="D3434" s="6">
        <v>69</v>
      </c>
      <c r="E3434" s="6">
        <v>0</v>
      </c>
      <c r="F3434" s="6">
        <v>0</v>
      </c>
      <c r="G3434" s="6">
        <v>14</v>
      </c>
      <c r="H3434" s="6" t="s">
        <v>32506</v>
      </c>
      <c r="I3434" s="6">
        <v>526.5</v>
      </c>
      <c r="J3434" s="2">
        <f t="shared" si="53"/>
        <v>43748.701109803238</v>
      </c>
    </row>
    <row r="3435" spans="1:10" x14ac:dyDescent="0.25">
      <c r="A3435" s="7" t="s">
        <v>32507</v>
      </c>
      <c r="B3435" s="8">
        <v>393.75</v>
      </c>
      <c r="C3435" s="8">
        <v>20.531590000000001</v>
      </c>
      <c r="D3435" s="8">
        <v>70</v>
      </c>
      <c r="E3435" s="8">
        <v>0</v>
      </c>
      <c r="F3435" s="8">
        <v>0</v>
      </c>
      <c r="G3435" s="8">
        <v>8</v>
      </c>
      <c r="H3435" s="8" t="s">
        <v>32508</v>
      </c>
      <c r="I3435" s="8">
        <v>526.6875</v>
      </c>
      <c r="J3435" s="3">
        <f t="shared" si="53"/>
        <v>43748.701193356479</v>
      </c>
    </row>
    <row r="3436" spans="1:10" x14ac:dyDescent="0.25">
      <c r="A3436" s="5" t="s">
        <v>32509</v>
      </c>
      <c r="B3436" s="6">
        <v>393.75</v>
      </c>
      <c r="C3436" s="6">
        <v>20.531590000000001</v>
      </c>
      <c r="D3436" s="6">
        <v>70</v>
      </c>
      <c r="E3436" s="6">
        <v>0</v>
      </c>
      <c r="F3436" s="6">
        <v>0</v>
      </c>
      <c r="G3436" s="6">
        <v>3</v>
      </c>
      <c r="H3436" s="6" t="s">
        <v>32510</v>
      </c>
      <c r="I3436" s="6">
        <v>526.6875</v>
      </c>
      <c r="J3436" s="2">
        <f t="shared" si="53"/>
        <v>43748.701276828702</v>
      </c>
    </row>
    <row r="3437" spans="1:10" x14ac:dyDescent="0.25">
      <c r="A3437" s="7" t="s">
        <v>32511</v>
      </c>
      <c r="B3437" s="8">
        <v>393.75</v>
      </c>
      <c r="C3437" s="8">
        <v>20.478950000000001</v>
      </c>
      <c r="D3437" s="8">
        <v>70</v>
      </c>
      <c r="E3437" s="8">
        <v>0</v>
      </c>
      <c r="F3437" s="8">
        <v>0</v>
      </c>
      <c r="G3437" s="8">
        <v>11</v>
      </c>
      <c r="H3437" s="8" t="s">
        <v>32512</v>
      </c>
      <c r="I3437" s="8">
        <v>526.6875</v>
      </c>
      <c r="J3437" s="3">
        <f t="shared" si="53"/>
        <v>43748.701360011568</v>
      </c>
    </row>
    <row r="3438" spans="1:10" x14ac:dyDescent="0.25">
      <c r="A3438" s="5" t="s">
        <v>32513</v>
      </c>
      <c r="B3438" s="6">
        <v>393.75</v>
      </c>
      <c r="C3438" s="6">
        <v>20.531590000000001</v>
      </c>
      <c r="D3438" s="6">
        <v>70</v>
      </c>
      <c r="E3438" s="6">
        <v>0</v>
      </c>
      <c r="F3438" s="6">
        <v>0</v>
      </c>
      <c r="G3438" s="6">
        <v>12</v>
      </c>
      <c r="H3438" s="6" t="s">
        <v>32514</v>
      </c>
      <c r="I3438" s="6">
        <v>526.6875</v>
      </c>
      <c r="J3438" s="2">
        <f t="shared" si="53"/>
        <v>43748.701431631947</v>
      </c>
    </row>
    <row r="3439" spans="1:10" x14ac:dyDescent="0.25">
      <c r="A3439" s="7" t="s">
        <v>32515</v>
      </c>
      <c r="B3439" s="8">
        <v>393.75</v>
      </c>
      <c r="C3439" s="8">
        <v>20.531590000000001</v>
      </c>
      <c r="D3439" s="8">
        <v>70</v>
      </c>
      <c r="E3439" s="8">
        <v>0</v>
      </c>
      <c r="F3439" s="8">
        <v>0</v>
      </c>
      <c r="G3439" s="8">
        <v>8</v>
      </c>
      <c r="H3439" s="8" t="s">
        <v>32516</v>
      </c>
      <c r="I3439" s="8">
        <v>526.6875</v>
      </c>
      <c r="J3439" s="3">
        <f t="shared" si="53"/>
        <v>43748.701504282406</v>
      </c>
    </row>
    <row r="3440" spans="1:10" x14ac:dyDescent="0.25">
      <c r="A3440" s="5" t="s">
        <v>32517</v>
      </c>
      <c r="B3440" s="6">
        <v>393.75</v>
      </c>
      <c r="C3440" s="6">
        <v>20.531590000000001</v>
      </c>
      <c r="D3440" s="6">
        <v>69</v>
      </c>
      <c r="E3440" s="6">
        <v>0</v>
      </c>
      <c r="F3440" s="6">
        <v>0</v>
      </c>
      <c r="G3440" s="6">
        <v>4</v>
      </c>
      <c r="H3440" s="6" t="s">
        <v>32518</v>
      </c>
      <c r="I3440" s="6">
        <v>526.6875</v>
      </c>
      <c r="J3440" s="2">
        <f t="shared" si="53"/>
        <v>43748.70157474537</v>
      </c>
    </row>
    <row r="3441" spans="1:10" x14ac:dyDescent="0.25">
      <c r="A3441" s="7" t="s">
        <v>32519</v>
      </c>
      <c r="B3441" s="8">
        <v>393.75</v>
      </c>
      <c r="C3441" s="8">
        <v>20.531590000000001</v>
      </c>
      <c r="D3441" s="8">
        <v>69</v>
      </c>
      <c r="E3441" s="8">
        <v>0</v>
      </c>
      <c r="F3441" s="8">
        <v>0</v>
      </c>
      <c r="G3441" s="8">
        <v>6</v>
      </c>
      <c r="H3441" s="8" t="s">
        <v>32520</v>
      </c>
      <c r="I3441" s="8">
        <v>526.6875</v>
      </c>
      <c r="J3441" s="3">
        <f t="shared" si="53"/>
        <v>43748.701646458336</v>
      </c>
    </row>
    <row r="3442" spans="1:10" x14ac:dyDescent="0.25">
      <c r="A3442" s="5" t="s">
        <v>32521</v>
      </c>
      <c r="B3442" s="6">
        <v>412.5</v>
      </c>
      <c r="C3442" s="6">
        <v>20.584240000000001</v>
      </c>
      <c r="D3442" s="6">
        <v>73</v>
      </c>
      <c r="E3442" s="6">
        <v>0</v>
      </c>
      <c r="F3442" s="6">
        <v>0</v>
      </c>
      <c r="G3442" s="6">
        <v>6</v>
      </c>
      <c r="H3442" s="6" t="s">
        <v>32522</v>
      </c>
      <c r="I3442" s="6">
        <v>532.3125</v>
      </c>
      <c r="J3442" s="2">
        <f t="shared" si="53"/>
        <v>43748.701717916665</v>
      </c>
    </row>
    <row r="3443" spans="1:10" x14ac:dyDescent="0.25">
      <c r="A3443" s="7" t="s">
        <v>32523</v>
      </c>
      <c r="B3443" s="8">
        <v>393.75</v>
      </c>
      <c r="C3443" s="8">
        <v>20.584240000000001</v>
      </c>
      <c r="D3443" s="8">
        <v>71</v>
      </c>
      <c r="E3443" s="8">
        <v>0</v>
      </c>
      <c r="F3443" s="8">
        <v>0</v>
      </c>
      <c r="G3443" s="8">
        <v>15</v>
      </c>
      <c r="H3443" s="8" t="s">
        <v>32524</v>
      </c>
      <c r="I3443" s="8">
        <v>526.6875</v>
      </c>
      <c r="J3443" s="3">
        <f t="shared" si="53"/>
        <v>43748.701789791659</v>
      </c>
    </row>
    <row r="3444" spans="1:10" x14ac:dyDescent="0.25">
      <c r="A3444" s="5" t="s">
        <v>32525</v>
      </c>
      <c r="B3444" s="6">
        <v>393.75</v>
      </c>
      <c r="C3444" s="6">
        <v>20.531590000000001</v>
      </c>
      <c r="D3444" s="6">
        <v>71</v>
      </c>
      <c r="E3444" s="6">
        <v>0</v>
      </c>
      <c r="F3444" s="6">
        <v>0</v>
      </c>
      <c r="G3444" s="6">
        <v>1</v>
      </c>
      <c r="H3444" s="6" t="s">
        <v>32526</v>
      </c>
      <c r="I3444" s="6">
        <v>526.6875</v>
      </c>
      <c r="J3444" s="2">
        <f t="shared" si="53"/>
        <v>43748.70186108796</v>
      </c>
    </row>
    <row r="3445" spans="1:10" x14ac:dyDescent="0.25">
      <c r="A3445" s="7" t="s">
        <v>32527</v>
      </c>
      <c r="B3445" s="8">
        <v>393.75</v>
      </c>
      <c r="C3445" s="8">
        <v>20.478950000000001</v>
      </c>
      <c r="D3445" s="8">
        <v>70</v>
      </c>
      <c r="E3445" s="8">
        <v>0</v>
      </c>
      <c r="F3445" s="8">
        <v>0</v>
      </c>
      <c r="G3445" s="8">
        <v>1</v>
      </c>
      <c r="H3445" s="8" t="s">
        <v>32528</v>
      </c>
      <c r="I3445" s="8">
        <v>526.6875</v>
      </c>
      <c r="J3445" s="3">
        <f t="shared" si="53"/>
        <v>43748.701944768516</v>
      </c>
    </row>
    <row r="3446" spans="1:10" x14ac:dyDescent="0.25">
      <c r="A3446" s="5" t="s">
        <v>32529</v>
      </c>
      <c r="B3446" s="6">
        <v>393.75</v>
      </c>
      <c r="C3446" s="6">
        <v>20.531590000000001</v>
      </c>
      <c r="D3446" s="6">
        <v>71</v>
      </c>
      <c r="E3446" s="6">
        <v>0</v>
      </c>
      <c r="F3446" s="6">
        <v>0</v>
      </c>
      <c r="G3446" s="6">
        <v>0</v>
      </c>
      <c r="H3446" s="6" t="s">
        <v>32530</v>
      </c>
      <c r="I3446" s="6">
        <v>526.6875</v>
      </c>
      <c r="J3446" s="2">
        <f t="shared" si="53"/>
        <v>43748.702016145828</v>
      </c>
    </row>
    <row r="3447" spans="1:10" x14ac:dyDescent="0.25">
      <c r="A3447" s="7" t="s">
        <v>32531</v>
      </c>
      <c r="B3447" s="8">
        <v>393.75</v>
      </c>
      <c r="C3447" s="8">
        <v>20.584240000000001</v>
      </c>
      <c r="D3447" s="8">
        <v>71</v>
      </c>
      <c r="E3447" s="8">
        <v>0</v>
      </c>
      <c r="F3447" s="8">
        <v>0</v>
      </c>
      <c r="G3447" s="8">
        <v>6</v>
      </c>
      <c r="H3447" s="8" t="s">
        <v>32532</v>
      </c>
      <c r="I3447" s="8">
        <v>526.6875</v>
      </c>
      <c r="J3447" s="3">
        <f t="shared" si="53"/>
        <v>43748.702087893515</v>
      </c>
    </row>
    <row r="3448" spans="1:10" x14ac:dyDescent="0.25">
      <c r="A3448" s="5" t="s">
        <v>32533</v>
      </c>
      <c r="B3448" s="6">
        <v>393.75</v>
      </c>
      <c r="C3448" s="6">
        <v>20.584240000000001</v>
      </c>
      <c r="D3448" s="6">
        <v>71</v>
      </c>
      <c r="E3448" s="6">
        <v>0</v>
      </c>
      <c r="F3448" s="6">
        <v>0</v>
      </c>
      <c r="G3448" s="6">
        <v>10</v>
      </c>
      <c r="H3448" s="6" t="s">
        <v>32534</v>
      </c>
      <c r="I3448" s="6">
        <v>526.6875</v>
      </c>
      <c r="J3448" s="2">
        <f t="shared" si="53"/>
        <v>43748.702159201384</v>
      </c>
    </row>
    <row r="3449" spans="1:10" x14ac:dyDescent="0.25">
      <c r="A3449" s="7" t="s">
        <v>32535</v>
      </c>
      <c r="B3449" s="8">
        <v>393.75</v>
      </c>
      <c r="C3449" s="8">
        <v>20.531590000000001</v>
      </c>
      <c r="D3449" s="8">
        <v>71</v>
      </c>
      <c r="E3449" s="8">
        <v>0</v>
      </c>
      <c r="F3449" s="8">
        <v>0</v>
      </c>
      <c r="G3449" s="8">
        <v>7</v>
      </c>
      <c r="H3449" s="8" t="s">
        <v>32536</v>
      </c>
      <c r="I3449" s="8">
        <v>526.6875</v>
      </c>
      <c r="J3449" s="3">
        <f t="shared" si="53"/>
        <v>43748.702230856477</v>
      </c>
    </row>
    <row r="3450" spans="1:10" x14ac:dyDescent="0.25">
      <c r="A3450" s="5" t="s">
        <v>32537</v>
      </c>
      <c r="B3450" s="6">
        <v>393.75</v>
      </c>
      <c r="C3450" s="6">
        <v>20.478950000000001</v>
      </c>
      <c r="D3450" s="6">
        <v>71</v>
      </c>
      <c r="E3450" s="6">
        <v>0</v>
      </c>
      <c r="F3450" s="6">
        <v>0</v>
      </c>
      <c r="G3450" s="6">
        <v>9</v>
      </c>
      <c r="H3450" s="6" t="s">
        <v>32538</v>
      </c>
      <c r="I3450" s="6">
        <v>526.6875</v>
      </c>
      <c r="J3450" s="2">
        <f t="shared" si="53"/>
        <v>43748.702302604164</v>
      </c>
    </row>
    <row r="3451" spans="1:10" x14ac:dyDescent="0.25">
      <c r="A3451" s="7" t="s">
        <v>32539</v>
      </c>
      <c r="B3451" s="8">
        <v>393.75</v>
      </c>
      <c r="C3451" s="8">
        <v>20.478950000000001</v>
      </c>
      <c r="D3451" s="8">
        <v>70</v>
      </c>
      <c r="E3451" s="8">
        <v>0</v>
      </c>
      <c r="F3451" s="8">
        <v>0</v>
      </c>
      <c r="G3451" s="8">
        <v>7</v>
      </c>
      <c r="H3451" s="8" t="s">
        <v>32540</v>
      </c>
      <c r="I3451" s="8">
        <v>526.6875</v>
      </c>
      <c r="J3451" s="3">
        <f t="shared" si="53"/>
        <v>43748.702373935179</v>
      </c>
    </row>
    <row r="3452" spans="1:10" x14ac:dyDescent="0.25">
      <c r="A3452" s="5" t="s">
        <v>32541</v>
      </c>
      <c r="B3452" s="6">
        <v>393.75</v>
      </c>
      <c r="C3452" s="6">
        <v>20.531590000000001</v>
      </c>
      <c r="D3452" s="6">
        <v>69</v>
      </c>
      <c r="E3452" s="6">
        <v>0</v>
      </c>
      <c r="F3452" s="6">
        <v>0</v>
      </c>
      <c r="G3452" s="6">
        <v>3</v>
      </c>
      <c r="H3452" s="6" t="s">
        <v>32542</v>
      </c>
      <c r="I3452" s="6">
        <v>526.6875</v>
      </c>
      <c r="J3452" s="2">
        <f t="shared" si="53"/>
        <v>43748.702457650455</v>
      </c>
    </row>
    <row r="3453" spans="1:10" x14ac:dyDescent="0.25">
      <c r="A3453" s="7" t="s">
        <v>32543</v>
      </c>
      <c r="B3453" s="8">
        <v>412.5</v>
      </c>
      <c r="C3453" s="8">
        <v>20.531590000000001</v>
      </c>
      <c r="D3453" s="8">
        <v>68</v>
      </c>
      <c r="E3453" s="8">
        <v>0</v>
      </c>
      <c r="F3453" s="8">
        <v>0</v>
      </c>
      <c r="G3453" s="8">
        <v>11</v>
      </c>
      <c r="H3453" s="8" t="s">
        <v>32544</v>
      </c>
      <c r="I3453" s="8">
        <v>532.3125</v>
      </c>
      <c r="J3453" s="3">
        <f t="shared" si="53"/>
        <v>43748.702529178241</v>
      </c>
    </row>
    <row r="3454" spans="1:10" x14ac:dyDescent="0.25">
      <c r="A3454" s="5" t="s">
        <v>32545</v>
      </c>
      <c r="B3454" s="6">
        <v>393.75</v>
      </c>
      <c r="C3454" s="6">
        <v>20.584240000000001</v>
      </c>
      <c r="D3454" s="6">
        <v>68</v>
      </c>
      <c r="E3454" s="6">
        <v>0</v>
      </c>
      <c r="F3454" s="6">
        <v>0</v>
      </c>
      <c r="G3454" s="6">
        <v>3</v>
      </c>
      <c r="H3454" s="6" t="s">
        <v>32546</v>
      </c>
      <c r="I3454" s="6">
        <v>526.6875</v>
      </c>
      <c r="J3454" s="2">
        <f t="shared" si="53"/>
        <v>43748.70260128472</v>
      </c>
    </row>
    <row r="3455" spans="1:10" x14ac:dyDescent="0.25">
      <c r="A3455" s="7" t="s">
        <v>32547</v>
      </c>
      <c r="B3455" s="8">
        <v>393.75</v>
      </c>
      <c r="C3455" s="8">
        <v>20.531590000000001</v>
      </c>
      <c r="D3455" s="8">
        <v>69</v>
      </c>
      <c r="E3455" s="8">
        <v>0</v>
      </c>
      <c r="F3455" s="8">
        <v>0</v>
      </c>
      <c r="G3455" s="8">
        <v>6</v>
      </c>
      <c r="H3455" s="8" t="s">
        <v>32548</v>
      </c>
      <c r="I3455" s="8">
        <v>526.6875</v>
      </c>
      <c r="J3455" s="3">
        <f t="shared" si="53"/>
        <v>43748.702672511572</v>
      </c>
    </row>
    <row r="3456" spans="1:10" x14ac:dyDescent="0.25">
      <c r="A3456" s="5" t="s">
        <v>32549</v>
      </c>
      <c r="B3456" s="6">
        <v>393.75</v>
      </c>
      <c r="C3456" s="6">
        <v>20.478950000000001</v>
      </c>
      <c r="D3456" s="6">
        <v>69</v>
      </c>
      <c r="E3456" s="6">
        <v>0</v>
      </c>
      <c r="F3456" s="6">
        <v>0</v>
      </c>
      <c r="G3456" s="6">
        <v>5</v>
      </c>
      <c r="H3456" s="6" t="s">
        <v>32550</v>
      </c>
      <c r="I3456" s="6">
        <v>526.6875</v>
      </c>
      <c r="J3456" s="2">
        <f t="shared" si="53"/>
        <v>43748.702744340277</v>
      </c>
    </row>
    <row r="3457" spans="1:10" x14ac:dyDescent="0.25">
      <c r="A3457" s="7" t="s">
        <v>32551</v>
      </c>
      <c r="B3457" s="8">
        <v>393.75</v>
      </c>
      <c r="C3457" s="8">
        <v>20.531590000000001</v>
      </c>
      <c r="D3457" s="8">
        <v>69</v>
      </c>
      <c r="E3457" s="8">
        <v>0</v>
      </c>
      <c r="F3457" s="8">
        <v>0</v>
      </c>
      <c r="G3457" s="8">
        <v>11</v>
      </c>
      <c r="H3457" s="8" t="s">
        <v>32552</v>
      </c>
      <c r="I3457" s="8">
        <v>526.6875</v>
      </c>
      <c r="J3457" s="3">
        <f t="shared" si="53"/>
        <v>43748.702815648146</v>
      </c>
    </row>
    <row r="3458" spans="1:10" x14ac:dyDescent="0.25">
      <c r="A3458" s="5" t="s">
        <v>32553</v>
      </c>
      <c r="B3458" s="6">
        <v>393.75</v>
      </c>
      <c r="C3458" s="6">
        <v>20.531590000000001</v>
      </c>
      <c r="D3458" s="6">
        <v>68</v>
      </c>
      <c r="E3458" s="6">
        <v>0</v>
      </c>
      <c r="F3458" s="6">
        <v>0</v>
      </c>
      <c r="G3458" s="6">
        <v>12</v>
      </c>
      <c r="H3458" s="6" t="s">
        <v>32554</v>
      </c>
      <c r="I3458" s="6">
        <v>526.6875</v>
      </c>
      <c r="J3458" s="2">
        <f t="shared" ref="J3458:J3521" si="54">(H3458/86400000)+25569+(7/24)</f>
        <v>43748.70288694444</v>
      </c>
    </row>
    <row r="3459" spans="1:10" x14ac:dyDescent="0.25">
      <c r="A3459" s="7" t="s">
        <v>32555</v>
      </c>
      <c r="B3459" s="8">
        <v>393.75</v>
      </c>
      <c r="C3459" s="8">
        <v>20.531590000000001</v>
      </c>
      <c r="D3459" s="8">
        <v>68</v>
      </c>
      <c r="E3459" s="8">
        <v>0</v>
      </c>
      <c r="F3459" s="8">
        <v>0</v>
      </c>
      <c r="G3459" s="8">
        <v>17</v>
      </c>
      <c r="H3459" s="8" t="s">
        <v>32556</v>
      </c>
      <c r="I3459" s="8">
        <v>526.6875</v>
      </c>
      <c r="J3459" s="3">
        <f t="shared" si="54"/>
        <v>43748.70295914352</v>
      </c>
    </row>
    <row r="3460" spans="1:10" x14ac:dyDescent="0.25">
      <c r="A3460" s="5" t="s">
        <v>32557</v>
      </c>
      <c r="B3460" s="6">
        <v>393.75</v>
      </c>
      <c r="C3460" s="6">
        <v>20.478950000000001</v>
      </c>
      <c r="D3460" s="6">
        <v>68</v>
      </c>
      <c r="E3460" s="6">
        <v>0</v>
      </c>
      <c r="F3460" s="6">
        <v>0</v>
      </c>
      <c r="G3460" s="6">
        <v>16</v>
      </c>
      <c r="H3460" s="6" t="s">
        <v>32558</v>
      </c>
      <c r="I3460" s="6">
        <v>526.6875</v>
      </c>
      <c r="J3460" s="2">
        <f t="shared" si="54"/>
        <v>43748.703032986108</v>
      </c>
    </row>
    <row r="3461" spans="1:10" x14ac:dyDescent="0.25">
      <c r="A3461" s="7" t="s">
        <v>32559</v>
      </c>
      <c r="B3461" s="8">
        <v>393.75</v>
      </c>
      <c r="C3461" s="8">
        <v>20.478950000000001</v>
      </c>
      <c r="D3461" s="8">
        <v>70</v>
      </c>
      <c r="E3461" s="8">
        <v>0</v>
      </c>
      <c r="F3461" s="8">
        <v>0</v>
      </c>
      <c r="G3461" s="8">
        <v>5</v>
      </c>
      <c r="H3461" s="8" t="s">
        <v>32560</v>
      </c>
      <c r="I3461" s="8">
        <v>526.6875</v>
      </c>
      <c r="J3461" s="3">
        <f t="shared" si="54"/>
        <v>43748.70312583333</v>
      </c>
    </row>
    <row r="3462" spans="1:10" x14ac:dyDescent="0.25">
      <c r="A3462" s="5" t="s">
        <v>32561</v>
      </c>
      <c r="B3462" s="6">
        <v>393.75</v>
      </c>
      <c r="C3462" s="6">
        <v>20.531590000000001</v>
      </c>
      <c r="D3462" s="6">
        <v>69</v>
      </c>
      <c r="E3462" s="6">
        <v>0</v>
      </c>
      <c r="F3462" s="6">
        <v>0</v>
      </c>
      <c r="G3462" s="6">
        <v>16</v>
      </c>
      <c r="H3462" s="6" t="s">
        <v>32562</v>
      </c>
      <c r="I3462" s="6">
        <v>526.6875</v>
      </c>
      <c r="J3462" s="2">
        <f t="shared" si="54"/>
        <v>43748.703197129631</v>
      </c>
    </row>
    <row r="3463" spans="1:10" x14ac:dyDescent="0.25">
      <c r="A3463" s="7" t="s">
        <v>32563</v>
      </c>
      <c r="B3463" s="8">
        <v>393.75</v>
      </c>
      <c r="C3463" s="8">
        <v>20.584240000000001</v>
      </c>
      <c r="D3463" s="8">
        <v>69</v>
      </c>
      <c r="E3463" s="8">
        <v>0</v>
      </c>
      <c r="F3463" s="8">
        <v>0</v>
      </c>
      <c r="G3463" s="8">
        <v>4</v>
      </c>
      <c r="H3463" s="8" t="s">
        <v>32564</v>
      </c>
      <c r="I3463" s="8">
        <v>526.6875</v>
      </c>
      <c r="J3463" s="3">
        <f t="shared" si="54"/>
        <v>43748.703268437494</v>
      </c>
    </row>
    <row r="3464" spans="1:10" x14ac:dyDescent="0.25">
      <c r="A3464" s="5" t="s">
        <v>32565</v>
      </c>
      <c r="B3464" s="6">
        <v>393.75</v>
      </c>
      <c r="C3464" s="6">
        <v>20.531590000000001</v>
      </c>
      <c r="D3464" s="6">
        <v>68</v>
      </c>
      <c r="E3464" s="6">
        <v>0</v>
      </c>
      <c r="F3464" s="6">
        <v>0</v>
      </c>
      <c r="G3464" s="6">
        <v>9</v>
      </c>
      <c r="H3464" s="6" t="s">
        <v>32566</v>
      </c>
      <c r="I3464" s="6">
        <v>526.6875</v>
      </c>
      <c r="J3464" s="2">
        <f t="shared" si="54"/>
        <v>43748.703340694447</v>
      </c>
    </row>
    <row r="3465" spans="1:10" x14ac:dyDescent="0.25">
      <c r="A3465" s="7" t="s">
        <v>32567</v>
      </c>
      <c r="B3465" s="8">
        <v>393.75</v>
      </c>
      <c r="C3465" s="8">
        <v>20.478950000000001</v>
      </c>
      <c r="D3465" s="8">
        <v>66</v>
      </c>
      <c r="E3465" s="8">
        <v>0</v>
      </c>
      <c r="F3465" s="8">
        <v>0</v>
      </c>
      <c r="G3465" s="8">
        <v>13</v>
      </c>
      <c r="H3465" s="8" t="s">
        <v>32568</v>
      </c>
      <c r="I3465" s="8">
        <v>526.6875</v>
      </c>
      <c r="J3465" s="3">
        <f t="shared" si="54"/>
        <v>43748.703411921299</v>
      </c>
    </row>
    <row r="3466" spans="1:10" x14ac:dyDescent="0.25">
      <c r="A3466" s="5" t="s">
        <v>32569</v>
      </c>
      <c r="B3466" s="6">
        <v>393.75</v>
      </c>
      <c r="C3466" s="6">
        <v>20.531590000000001</v>
      </c>
      <c r="D3466" s="6">
        <v>66</v>
      </c>
      <c r="E3466" s="6">
        <v>0</v>
      </c>
      <c r="F3466" s="6">
        <v>0</v>
      </c>
      <c r="G3466" s="6">
        <v>18</v>
      </c>
      <c r="H3466" s="6" t="s">
        <v>32570</v>
      </c>
      <c r="I3466" s="6">
        <v>526.5</v>
      </c>
      <c r="J3466" s="2">
        <f t="shared" si="54"/>
        <v>43748.703483530095</v>
      </c>
    </row>
    <row r="3467" spans="1:10" x14ac:dyDescent="0.25">
      <c r="A3467" s="7" t="s">
        <v>32571</v>
      </c>
      <c r="B3467" s="8">
        <v>393.75</v>
      </c>
      <c r="C3467" s="8">
        <v>20.531590000000001</v>
      </c>
      <c r="D3467" s="8">
        <v>65</v>
      </c>
      <c r="E3467" s="8">
        <v>0</v>
      </c>
      <c r="F3467" s="8">
        <v>0</v>
      </c>
      <c r="G3467" s="8">
        <v>3</v>
      </c>
      <c r="H3467" s="8" t="s">
        <v>32572</v>
      </c>
      <c r="I3467" s="8">
        <v>526.6875</v>
      </c>
      <c r="J3467" s="3">
        <f t="shared" si="54"/>
        <v>43748.703577928238</v>
      </c>
    </row>
    <row r="3468" spans="1:10" x14ac:dyDescent="0.25">
      <c r="A3468" s="5" t="s">
        <v>32573</v>
      </c>
      <c r="B3468" s="6">
        <v>393.75</v>
      </c>
      <c r="C3468" s="6">
        <v>20.531590000000001</v>
      </c>
      <c r="D3468" s="6">
        <v>65</v>
      </c>
      <c r="E3468" s="6">
        <v>0</v>
      </c>
      <c r="F3468" s="6">
        <v>0</v>
      </c>
      <c r="G3468" s="6">
        <v>6</v>
      </c>
      <c r="H3468" s="6" t="s">
        <v>32574</v>
      </c>
      <c r="I3468" s="6">
        <v>526.6875</v>
      </c>
      <c r="J3468" s="2">
        <f t="shared" si="54"/>
        <v>43748.703650185184</v>
      </c>
    </row>
    <row r="3469" spans="1:10" x14ac:dyDescent="0.25">
      <c r="A3469" s="7" t="s">
        <v>32575</v>
      </c>
      <c r="B3469" s="8">
        <v>393.75</v>
      </c>
      <c r="C3469" s="8">
        <v>20.531590000000001</v>
      </c>
      <c r="D3469" s="8">
        <v>65</v>
      </c>
      <c r="E3469" s="8">
        <v>0</v>
      </c>
      <c r="F3469" s="8">
        <v>0</v>
      </c>
      <c r="G3469" s="8">
        <v>9</v>
      </c>
      <c r="H3469" s="8" t="s">
        <v>32576</v>
      </c>
      <c r="I3469" s="8">
        <v>526.6875</v>
      </c>
      <c r="J3469" s="3">
        <f t="shared" si="54"/>
        <v>43748.703722407408</v>
      </c>
    </row>
    <row r="3470" spans="1:10" x14ac:dyDescent="0.25">
      <c r="A3470" s="5" t="s">
        <v>32577</v>
      </c>
      <c r="B3470" s="6">
        <v>393.75</v>
      </c>
      <c r="C3470" s="6">
        <v>20.531590000000001</v>
      </c>
      <c r="D3470" s="6">
        <v>64</v>
      </c>
      <c r="E3470" s="6">
        <v>0</v>
      </c>
      <c r="F3470" s="6">
        <v>0</v>
      </c>
      <c r="G3470" s="6">
        <v>19</v>
      </c>
      <c r="H3470" s="6" t="s">
        <v>32578</v>
      </c>
      <c r="I3470" s="6">
        <v>526.6875</v>
      </c>
      <c r="J3470" s="2">
        <f t="shared" si="54"/>
        <v>43748.703793946755</v>
      </c>
    </row>
    <row r="3471" spans="1:10" x14ac:dyDescent="0.25">
      <c r="A3471" s="7" t="s">
        <v>32579</v>
      </c>
      <c r="B3471" s="8">
        <v>412.5</v>
      </c>
      <c r="C3471" s="8">
        <v>20.531590000000001</v>
      </c>
      <c r="D3471" s="8">
        <v>63</v>
      </c>
      <c r="E3471" s="8">
        <v>0</v>
      </c>
      <c r="F3471" s="8">
        <v>0</v>
      </c>
      <c r="G3471" s="8">
        <v>8</v>
      </c>
      <c r="H3471" s="8" t="s">
        <v>32580</v>
      </c>
      <c r="I3471" s="8">
        <v>532.5</v>
      </c>
      <c r="J3471" s="3">
        <f t="shared" si="54"/>
        <v>43748.703877256943</v>
      </c>
    </row>
    <row r="3472" spans="1:10" x14ac:dyDescent="0.25">
      <c r="A3472" s="5" t="s">
        <v>32581</v>
      </c>
      <c r="B3472" s="6">
        <v>393.75</v>
      </c>
      <c r="C3472" s="6">
        <v>20.531590000000001</v>
      </c>
      <c r="D3472" s="6">
        <v>63</v>
      </c>
      <c r="E3472" s="6">
        <v>0</v>
      </c>
      <c r="F3472" s="6">
        <v>0</v>
      </c>
      <c r="G3472" s="6">
        <v>10</v>
      </c>
      <c r="H3472" s="6" t="s">
        <v>32582</v>
      </c>
      <c r="I3472" s="6">
        <v>526.6875</v>
      </c>
      <c r="J3472" s="2">
        <f t="shared" si="54"/>
        <v>43748.703960439809</v>
      </c>
    </row>
    <row r="3473" spans="1:10" x14ac:dyDescent="0.25">
      <c r="A3473" s="7" t="s">
        <v>32583</v>
      </c>
      <c r="B3473" s="8">
        <v>393.75</v>
      </c>
      <c r="C3473" s="8">
        <v>20.478950000000001</v>
      </c>
      <c r="D3473" s="8">
        <v>64</v>
      </c>
      <c r="E3473" s="8">
        <v>0</v>
      </c>
      <c r="F3473" s="8">
        <v>0</v>
      </c>
      <c r="G3473" s="8">
        <v>13</v>
      </c>
      <c r="H3473" s="8" t="s">
        <v>32584</v>
      </c>
      <c r="I3473" s="8">
        <v>526.6875</v>
      </c>
      <c r="J3473" s="3">
        <f t="shared" si="54"/>
        <v>43748.704032141199</v>
      </c>
    </row>
    <row r="3474" spans="1:10" x14ac:dyDescent="0.25">
      <c r="A3474" s="5" t="s">
        <v>32585</v>
      </c>
      <c r="B3474" s="6">
        <v>393.75</v>
      </c>
      <c r="C3474" s="6">
        <v>20.531590000000001</v>
      </c>
      <c r="D3474" s="6">
        <v>66</v>
      </c>
      <c r="E3474" s="6">
        <v>0</v>
      </c>
      <c r="F3474" s="6">
        <v>0</v>
      </c>
      <c r="G3474" s="6">
        <v>11</v>
      </c>
      <c r="H3474" s="6" t="s">
        <v>32586</v>
      </c>
      <c r="I3474" s="6">
        <v>526.6875</v>
      </c>
      <c r="J3474" s="2">
        <f t="shared" si="54"/>
        <v>43748.70410412037</v>
      </c>
    </row>
    <row r="3475" spans="1:10" x14ac:dyDescent="0.25">
      <c r="A3475" s="7" t="s">
        <v>32587</v>
      </c>
      <c r="B3475" s="8">
        <v>393.75</v>
      </c>
      <c r="C3475" s="8">
        <v>20.478950000000001</v>
      </c>
      <c r="D3475" s="8">
        <v>71</v>
      </c>
      <c r="E3475" s="8">
        <v>0</v>
      </c>
      <c r="F3475" s="8">
        <v>0</v>
      </c>
      <c r="G3475" s="8">
        <v>23</v>
      </c>
      <c r="H3475" s="8" t="s">
        <v>32588</v>
      </c>
      <c r="I3475" s="8">
        <v>526.5</v>
      </c>
      <c r="J3475" s="3">
        <f t="shared" si="54"/>
        <v>43748.70417542824</v>
      </c>
    </row>
    <row r="3476" spans="1:10" x14ac:dyDescent="0.25">
      <c r="A3476" s="5" t="s">
        <v>32589</v>
      </c>
      <c r="B3476" s="6">
        <v>393.75</v>
      </c>
      <c r="C3476" s="6">
        <v>20.584240000000001</v>
      </c>
      <c r="D3476" s="6">
        <v>72</v>
      </c>
      <c r="E3476" s="6">
        <v>0</v>
      </c>
      <c r="F3476" s="6">
        <v>0</v>
      </c>
      <c r="G3476" s="6">
        <v>9</v>
      </c>
      <c r="H3476" s="6" t="s">
        <v>32590</v>
      </c>
      <c r="I3476" s="6">
        <v>526.6875</v>
      </c>
      <c r="J3476" s="2">
        <f t="shared" si="54"/>
        <v>43748.704246956018</v>
      </c>
    </row>
    <row r="3477" spans="1:10" x14ac:dyDescent="0.25">
      <c r="A3477" s="7" t="s">
        <v>32591</v>
      </c>
      <c r="B3477" s="8">
        <v>393.75</v>
      </c>
      <c r="C3477" s="8">
        <v>20.478950000000001</v>
      </c>
      <c r="D3477" s="8">
        <v>72</v>
      </c>
      <c r="E3477" s="8">
        <v>0</v>
      </c>
      <c r="F3477" s="8">
        <v>0</v>
      </c>
      <c r="G3477" s="8">
        <v>12</v>
      </c>
      <c r="H3477" s="8" t="s">
        <v>32592</v>
      </c>
      <c r="I3477" s="8">
        <v>526.6875</v>
      </c>
      <c r="J3477" s="3">
        <f t="shared" si="54"/>
        <v>43748.704318310185</v>
      </c>
    </row>
    <row r="3478" spans="1:10" x14ac:dyDescent="0.25">
      <c r="A3478" s="5" t="s">
        <v>32593</v>
      </c>
      <c r="B3478" s="6">
        <v>412.5</v>
      </c>
      <c r="C3478" s="6">
        <v>20.531590000000001</v>
      </c>
      <c r="D3478" s="6">
        <v>71</v>
      </c>
      <c r="E3478" s="6">
        <v>0</v>
      </c>
      <c r="F3478" s="6">
        <v>0</v>
      </c>
      <c r="G3478" s="6">
        <v>10</v>
      </c>
      <c r="H3478" s="6" t="s">
        <v>32594</v>
      </c>
      <c r="I3478" s="6">
        <v>532.5</v>
      </c>
      <c r="J3478" s="2">
        <f t="shared" si="54"/>
        <v>43748.704390300925</v>
      </c>
    </row>
    <row r="3479" spans="1:10" x14ac:dyDescent="0.25">
      <c r="A3479" s="7" t="s">
        <v>32595</v>
      </c>
      <c r="B3479" s="8">
        <v>393.75</v>
      </c>
      <c r="C3479" s="8">
        <v>20.531590000000001</v>
      </c>
      <c r="D3479" s="8">
        <v>71</v>
      </c>
      <c r="E3479" s="8">
        <v>0</v>
      </c>
      <c r="F3479" s="8">
        <v>0</v>
      </c>
      <c r="G3479" s="8">
        <v>7</v>
      </c>
      <c r="H3479" s="8" t="s">
        <v>32596</v>
      </c>
      <c r="I3479" s="8">
        <v>526.6875</v>
      </c>
      <c r="J3479" s="3">
        <f t="shared" si="54"/>
        <v>43748.704461354166</v>
      </c>
    </row>
    <row r="3480" spans="1:10" x14ac:dyDescent="0.25">
      <c r="A3480" s="5" t="s">
        <v>32597</v>
      </c>
      <c r="B3480" s="6">
        <v>393.75</v>
      </c>
      <c r="C3480" s="6">
        <v>20.531590000000001</v>
      </c>
      <c r="D3480" s="6">
        <v>71</v>
      </c>
      <c r="E3480" s="6">
        <v>0</v>
      </c>
      <c r="F3480" s="6">
        <v>0</v>
      </c>
      <c r="G3480" s="6">
        <v>12</v>
      </c>
      <c r="H3480" s="6" t="s">
        <v>32598</v>
      </c>
      <c r="I3480" s="6">
        <v>526.6875</v>
      </c>
      <c r="J3480" s="2">
        <f t="shared" si="54"/>
        <v>43748.704532951386</v>
      </c>
    </row>
    <row r="3481" spans="1:10" x14ac:dyDescent="0.25">
      <c r="A3481" s="7" t="s">
        <v>32599</v>
      </c>
      <c r="B3481" s="8">
        <v>393.75</v>
      </c>
      <c r="C3481" s="8">
        <v>20.531590000000001</v>
      </c>
      <c r="D3481" s="8">
        <v>73</v>
      </c>
      <c r="E3481" s="8">
        <v>0</v>
      </c>
      <c r="F3481" s="8">
        <v>0</v>
      </c>
      <c r="G3481" s="8">
        <v>7</v>
      </c>
      <c r="H3481" s="8" t="s">
        <v>32600</v>
      </c>
      <c r="I3481" s="8">
        <v>526.6875</v>
      </c>
      <c r="J3481" s="3">
        <f t="shared" si="54"/>
        <v>43748.704604571758</v>
      </c>
    </row>
    <row r="3482" spans="1:10" x14ac:dyDescent="0.25">
      <c r="A3482" s="5" t="s">
        <v>32601</v>
      </c>
      <c r="B3482" s="6">
        <v>393.75</v>
      </c>
      <c r="C3482" s="6">
        <v>20.584240000000001</v>
      </c>
      <c r="D3482" s="6">
        <v>73</v>
      </c>
      <c r="E3482" s="6">
        <v>0</v>
      </c>
      <c r="F3482" s="6">
        <v>0</v>
      </c>
      <c r="G3482" s="6">
        <v>9</v>
      </c>
      <c r="H3482" s="6" t="s">
        <v>32602</v>
      </c>
      <c r="I3482" s="6">
        <v>526.6875</v>
      </c>
      <c r="J3482" s="2">
        <f t="shared" si="54"/>
        <v>43748.704677037036</v>
      </c>
    </row>
    <row r="3483" spans="1:10" x14ac:dyDescent="0.25">
      <c r="A3483" s="7" t="s">
        <v>32603</v>
      </c>
      <c r="B3483" s="8">
        <v>393.75</v>
      </c>
      <c r="C3483" s="8">
        <v>20.478950000000001</v>
      </c>
      <c r="D3483" s="8">
        <v>72</v>
      </c>
      <c r="E3483" s="8">
        <v>0</v>
      </c>
      <c r="F3483" s="8">
        <v>0</v>
      </c>
      <c r="G3483" s="8">
        <v>9</v>
      </c>
      <c r="H3483" s="8" t="s">
        <v>32604</v>
      </c>
      <c r="I3483" s="8">
        <v>526.6875</v>
      </c>
      <c r="J3483" s="3">
        <f t="shared" si="54"/>
        <v>43748.704759791661</v>
      </c>
    </row>
    <row r="3484" spans="1:10" x14ac:dyDescent="0.25">
      <c r="A3484" s="5" t="s">
        <v>32605</v>
      </c>
      <c r="B3484" s="6">
        <v>393.75</v>
      </c>
      <c r="C3484" s="6">
        <v>20.531590000000001</v>
      </c>
      <c r="D3484" s="6">
        <v>72</v>
      </c>
      <c r="E3484" s="6">
        <v>0</v>
      </c>
      <c r="F3484" s="6">
        <v>0</v>
      </c>
      <c r="G3484" s="6">
        <v>10</v>
      </c>
      <c r="H3484" s="6" t="s">
        <v>32606</v>
      </c>
      <c r="I3484" s="6">
        <v>526.6875</v>
      </c>
      <c r="J3484" s="2">
        <f t="shared" si="54"/>
        <v>43748.704843148145</v>
      </c>
    </row>
    <row r="3485" spans="1:10" x14ac:dyDescent="0.25">
      <c r="A3485" s="7" t="s">
        <v>32607</v>
      </c>
      <c r="B3485" s="8">
        <v>393.75</v>
      </c>
      <c r="C3485" s="8">
        <v>20.478950000000001</v>
      </c>
      <c r="D3485" s="8">
        <v>72</v>
      </c>
      <c r="E3485" s="8">
        <v>0</v>
      </c>
      <c r="F3485" s="8">
        <v>0</v>
      </c>
      <c r="G3485" s="8">
        <v>8</v>
      </c>
      <c r="H3485" s="8" t="s">
        <v>32608</v>
      </c>
      <c r="I3485" s="8">
        <v>526.6875</v>
      </c>
      <c r="J3485" s="3">
        <f t="shared" si="54"/>
        <v>43748.704950590276</v>
      </c>
    </row>
    <row r="3486" spans="1:10" x14ac:dyDescent="0.25">
      <c r="A3486" s="5" t="s">
        <v>32609</v>
      </c>
      <c r="B3486" s="6">
        <v>393.75</v>
      </c>
      <c r="C3486" s="6">
        <v>20.478950000000001</v>
      </c>
      <c r="D3486" s="6">
        <v>69</v>
      </c>
      <c r="E3486" s="6">
        <v>0</v>
      </c>
      <c r="F3486" s="6">
        <v>0</v>
      </c>
      <c r="G3486" s="6">
        <v>8</v>
      </c>
      <c r="H3486" s="6" t="s">
        <v>32610</v>
      </c>
      <c r="I3486" s="6">
        <v>526.6875</v>
      </c>
      <c r="J3486" s="2">
        <f t="shared" si="54"/>
        <v>43748.705034050923</v>
      </c>
    </row>
    <row r="3487" spans="1:10" x14ac:dyDescent="0.25">
      <c r="A3487" s="7" t="s">
        <v>32611</v>
      </c>
      <c r="B3487" s="8">
        <v>393.75</v>
      </c>
      <c r="C3487" s="8">
        <v>20.531590000000001</v>
      </c>
      <c r="D3487" s="8">
        <v>70</v>
      </c>
      <c r="E3487" s="8">
        <v>0</v>
      </c>
      <c r="F3487" s="8">
        <v>0</v>
      </c>
      <c r="G3487" s="8">
        <v>9</v>
      </c>
      <c r="H3487" s="8" t="s">
        <v>32612</v>
      </c>
      <c r="I3487" s="8">
        <v>526.6875</v>
      </c>
      <c r="J3487" s="3">
        <f t="shared" si="54"/>
        <v>43748.705117604164</v>
      </c>
    </row>
    <row r="3488" spans="1:10" x14ac:dyDescent="0.25">
      <c r="A3488" s="5" t="s">
        <v>32613</v>
      </c>
      <c r="B3488" s="6">
        <v>412.5</v>
      </c>
      <c r="C3488" s="6">
        <v>20.531590000000001</v>
      </c>
      <c r="D3488" s="6">
        <v>67</v>
      </c>
      <c r="E3488" s="6">
        <v>0</v>
      </c>
      <c r="F3488" s="6">
        <v>0</v>
      </c>
      <c r="G3488" s="6">
        <v>6</v>
      </c>
      <c r="H3488" s="6" t="s">
        <v>32614</v>
      </c>
      <c r="I3488" s="6">
        <v>532.125</v>
      </c>
      <c r="J3488" s="2">
        <f t="shared" si="54"/>
        <v>43748.705213009256</v>
      </c>
    </row>
    <row r="3489" spans="1:10" x14ac:dyDescent="0.25">
      <c r="A3489" s="7" t="s">
        <v>32615</v>
      </c>
      <c r="B3489" s="8">
        <v>393.75</v>
      </c>
      <c r="C3489" s="8">
        <v>20.478950000000001</v>
      </c>
      <c r="D3489" s="8">
        <v>71</v>
      </c>
      <c r="E3489" s="8">
        <v>0</v>
      </c>
      <c r="F3489" s="8">
        <v>0</v>
      </c>
      <c r="G3489" s="8">
        <v>16</v>
      </c>
      <c r="H3489" s="8" t="s">
        <v>32616</v>
      </c>
      <c r="I3489" s="8">
        <v>526.6875</v>
      </c>
      <c r="J3489" s="3">
        <f t="shared" si="54"/>
        <v>43748.705284780088</v>
      </c>
    </row>
    <row r="3490" spans="1:10" x14ac:dyDescent="0.25">
      <c r="A3490" s="5" t="s">
        <v>32617</v>
      </c>
      <c r="B3490" s="6">
        <v>393.75</v>
      </c>
      <c r="C3490" s="6">
        <v>20.478950000000001</v>
      </c>
      <c r="D3490" s="6">
        <v>71</v>
      </c>
      <c r="E3490" s="6">
        <v>0</v>
      </c>
      <c r="F3490" s="6">
        <v>0</v>
      </c>
      <c r="G3490" s="6">
        <v>15</v>
      </c>
      <c r="H3490" s="6" t="s">
        <v>32618</v>
      </c>
      <c r="I3490" s="6">
        <v>526.6875</v>
      </c>
      <c r="J3490" s="2">
        <f t="shared" si="54"/>
        <v>43748.705356469909</v>
      </c>
    </row>
    <row r="3491" spans="1:10" x14ac:dyDescent="0.25">
      <c r="A3491" s="7" t="s">
        <v>32619</v>
      </c>
      <c r="B3491" s="8">
        <v>393.75</v>
      </c>
      <c r="C3491" s="8">
        <v>20.478950000000001</v>
      </c>
      <c r="D3491" s="8">
        <v>72</v>
      </c>
      <c r="E3491" s="8">
        <v>0</v>
      </c>
      <c r="F3491" s="8">
        <v>0</v>
      </c>
      <c r="G3491" s="8">
        <v>8</v>
      </c>
      <c r="H3491" s="8" t="s">
        <v>32620</v>
      </c>
      <c r="I3491" s="8">
        <v>526.6875</v>
      </c>
      <c r="J3491" s="3">
        <f t="shared" si="54"/>
        <v>43748.705428009256</v>
      </c>
    </row>
    <row r="3492" spans="1:10" x14ac:dyDescent="0.25">
      <c r="A3492" s="5" t="s">
        <v>32621</v>
      </c>
      <c r="B3492" s="6">
        <v>393.75</v>
      </c>
      <c r="C3492" s="6">
        <v>20.531590000000001</v>
      </c>
      <c r="D3492" s="6">
        <v>72</v>
      </c>
      <c r="E3492" s="6">
        <v>0</v>
      </c>
      <c r="F3492" s="6">
        <v>0</v>
      </c>
      <c r="G3492" s="6">
        <v>5</v>
      </c>
      <c r="H3492" s="6" t="s">
        <v>32622</v>
      </c>
      <c r="I3492" s="6">
        <v>526.5</v>
      </c>
      <c r="J3492" s="2">
        <f t="shared" si="54"/>
        <v>43748.705511354165</v>
      </c>
    </row>
    <row r="3493" spans="1:10" x14ac:dyDescent="0.25">
      <c r="A3493" s="7" t="s">
        <v>32623</v>
      </c>
      <c r="B3493" s="8">
        <v>393.75</v>
      </c>
      <c r="C3493" s="8">
        <v>20.531590000000001</v>
      </c>
      <c r="D3493" s="8">
        <v>71</v>
      </c>
      <c r="E3493" s="8">
        <v>0</v>
      </c>
      <c r="F3493" s="8">
        <v>0</v>
      </c>
      <c r="G3493" s="8">
        <v>11</v>
      </c>
      <c r="H3493" s="8" t="s">
        <v>32624</v>
      </c>
      <c r="I3493" s="8">
        <v>526.6875</v>
      </c>
      <c r="J3493" s="3">
        <f t="shared" si="54"/>
        <v>43748.705582650458</v>
      </c>
    </row>
    <row r="3494" spans="1:10" x14ac:dyDescent="0.25">
      <c r="A3494" s="5" t="s">
        <v>32625</v>
      </c>
      <c r="B3494" s="6">
        <v>393.75</v>
      </c>
      <c r="C3494" s="6">
        <v>20.531590000000001</v>
      </c>
      <c r="D3494" s="6">
        <v>71</v>
      </c>
      <c r="E3494" s="6">
        <v>0</v>
      </c>
      <c r="F3494" s="6">
        <v>0</v>
      </c>
      <c r="G3494" s="6">
        <v>11</v>
      </c>
      <c r="H3494" s="6" t="s">
        <v>32626</v>
      </c>
      <c r="I3494" s="6">
        <v>526.6875</v>
      </c>
      <c r="J3494" s="2">
        <f t="shared" si="54"/>
        <v>43748.705654849538</v>
      </c>
    </row>
    <row r="3495" spans="1:10" x14ac:dyDescent="0.25">
      <c r="A3495" s="7" t="s">
        <v>32627</v>
      </c>
      <c r="B3495" s="8">
        <v>412.5</v>
      </c>
      <c r="C3495" s="8">
        <v>20.531590000000001</v>
      </c>
      <c r="D3495" s="8">
        <v>71</v>
      </c>
      <c r="E3495" s="8">
        <v>0</v>
      </c>
      <c r="F3495" s="8">
        <v>0</v>
      </c>
      <c r="G3495" s="8">
        <v>9</v>
      </c>
      <c r="H3495" s="8" t="s">
        <v>32628</v>
      </c>
      <c r="I3495" s="8">
        <v>532.3125</v>
      </c>
      <c r="J3495" s="3">
        <f t="shared" si="54"/>
        <v>43748.705738067125</v>
      </c>
    </row>
    <row r="3496" spans="1:10" x14ac:dyDescent="0.25">
      <c r="A3496" s="5" t="s">
        <v>32629</v>
      </c>
      <c r="B3496" s="6">
        <v>393.75</v>
      </c>
      <c r="C3496" s="6">
        <v>20.531590000000001</v>
      </c>
      <c r="D3496" s="6">
        <v>71</v>
      </c>
      <c r="E3496" s="6">
        <v>0</v>
      </c>
      <c r="F3496" s="6">
        <v>0</v>
      </c>
      <c r="G3496" s="6">
        <v>17</v>
      </c>
      <c r="H3496" s="6" t="s">
        <v>32630</v>
      </c>
      <c r="I3496" s="6">
        <v>526.5</v>
      </c>
      <c r="J3496" s="2">
        <f t="shared" si="54"/>
        <v>43748.705809375002</v>
      </c>
    </row>
    <row r="3497" spans="1:10" x14ac:dyDescent="0.25">
      <c r="A3497" s="7" t="s">
        <v>32631</v>
      </c>
      <c r="B3497" s="8">
        <v>393.75</v>
      </c>
      <c r="C3497" s="8">
        <v>20.478950000000001</v>
      </c>
      <c r="D3497" s="8">
        <v>72</v>
      </c>
      <c r="E3497" s="8">
        <v>0</v>
      </c>
      <c r="F3497" s="8">
        <v>0</v>
      </c>
      <c r="G3497" s="8">
        <v>7</v>
      </c>
      <c r="H3497" s="8" t="s">
        <v>32632</v>
      </c>
      <c r="I3497" s="8">
        <v>526.6875</v>
      </c>
      <c r="J3497" s="3">
        <f t="shared" si="54"/>
        <v>43748.70588079861</v>
      </c>
    </row>
    <row r="3498" spans="1:10" x14ac:dyDescent="0.25">
      <c r="A3498" s="5" t="s">
        <v>32633</v>
      </c>
      <c r="B3498" s="6">
        <v>393.75</v>
      </c>
      <c r="C3498" s="6">
        <v>20.584240000000001</v>
      </c>
      <c r="D3498" s="6">
        <v>70</v>
      </c>
      <c r="E3498" s="6">
        <v>0</v>
      </c>
      <c r="F3498" s="6">
        <v>0</v>
      </c>
      <c r="G3498" s="6">
        <v>17</v>
      </c>
      <c r="H3498" s="6" t="s">
        <v>32634</v>
      </c>
      <c r="I3498" s="6">
        <v>526.6875</v>
      </c>
      <c r="J3498" s="2">
        <f t="shared" si="54"/>
        <v>43748.705953009259</v>
      </c>
    </row>
    <row r="3499" spans="1:10" x14ac:dyDescent="0.25">
      <c r="A3499" s="7" t="s">
        <v>32635</v>
      </c>
      <c r="B3499" s="8">
        <v>393.75</v>
      </c>
      <c r="C3499" s="8">
        <v>20.584240000000001</v>
      </c>
      <c r="D3499" s="8">
        <v>70</v>
      </c>
      <c r="E3499" s="8">
        <v>0</v>
      </c>
      <c r="F3499" s="8">
        <v>0</v>
      </c>
      <c r="G3499" s="8">
        <v>16</v>
      </c>
      <c r="H3499" s="8" t="s">
        <v>32636</v>
      </c>
      <c r="I3499" s="8">
        <v>526.6875</v>
      </c>
      <c r="J3499" s="3">
        <f t="shared" si="54"/>
        <v>43748.70602420139</v>
      </c>
    </row>
    <row r="3500" spans="1:10" x14ac:dyDescent="0.25">
      <c r="A3500" s="5" t="s">
        <v>32637</v>
      </c>
      <c r="B3500" s="6">
        <v>393.75</v>
      </c>
      <c r="C3500" s="6">
        <v>20.478950000000001</v>
      </c>
      <c r="D3500" s="6">
        <v>71</v>
      </c>
      <c r="E3500" s="6">
        <v>0</v>
      </c>
      <c r="F3500" s="6">
        <v>0</v>
      </c>
      <c r="G3500" s="6">
        <v>15</v>
      </c>
      <c r="H3500" s="6" t="s">
        <v>32638</v>
      </c>
      <c r="I3500" s="6">
        <v>526.6875</v>
      </c>
      <c r="J3500" s="2">
        <f t="shared" si="54"/>
        <v>43748.706095613423</v>
      </c>
    </row>
    <row r="3501" spans="1:10" x14ac:dyDescent="0.25">
      <c r="A3501" s="7" t="s">
        <v>32639</v>
      </c>
      <c r="B3501" s="8">
        <v>393.75</v>
      </c>
      <c r="C3501" s="8">
        <v>20.478950000000001</v>
      </c>
      <c r="D3501" s="8">
        <v>71</v>
      </c>
      <c r="E3501" s="8">
        <v>0</v>
      </c>
      <c r="F3501" s="8">
        <v>0</v>
      </c>
      <c r="G3501" s="8">
        <v>12</v>
      </c>
      <c r="H3501" s="8" t="s">
        <v>32640</v>
      </c>
      <c r="I3501" s="8">
        <v>526.6875</v>
      </c>
      <c r="J3501" s="3">
        <f t="shared" si="54"/>
        <v>43748.706167708333</v>
      </c>
    </row>
    <row r="3502" spans="1:10" x14ac:dyDescent="0.25">
      <c r="A3502" s="5" t="s">
        <v>32641</v>
      </c>
      <c r="B3502" s="6">
        <v>393.75</v>
      </c>
      <c r="C3502" s="6">
        <v>20.531590000000001</v>
      </c>
      <c r="D3502" s="6">
        <v>73</v>
      </c>
      <c r="E3502" s="6">
        <v>0</v>
      </c>
      <c r="F3502" s="6">
        <v>0</v>
      </c>
      <c r="G3502" s="6">
        <v>12</v>
      </c>
      <c r="H3502" s="6" t="s">
        <v>32642</v>
      </c>
      <c r="I3502" s="6">
        <v>526.6875</v>
      </c>
      <c r="J3502" s="2">
        <f t="shared" si="54"/>
        <v>43748.7062390625</v>
      </c>
    </row>
    <row r="3503" spans="1:10" x14ac:dyDescent="0.25">
      <c r="A3503" s="7" t="s">
        <v>32643</v>
      </c>
      <c r="B3503" s="8">
        <v>412.5</v>
      </c>
      <c r="C3503" s="8">
        <v>20.531590000000001</v>
      </c>
      <c r="D3503" s="8">
        <v>72</v>
      </c>
      <c r="E3503" s="8">
        <v>0</v>
      </c>
      <c r="F3503" s="8">
        <v>0</v>
      </c>
      <c r="G3503" s="8">
        <v>15</v>
      </c>
      <c r="H3503" s="8" t="s">
        <v>32644</v>
      </c>
      <c r="I3503" s="8">
        <v>532.5</v>
      </c>
      <c r="J3503" s="3">
        <f t="shared" si="54"/>
        <v>43748.7063102662</v>
      </c>
    </row>
    <row r="3504" spans="1:10" x14ac:dyDescent="0.25">
      <c r="A3504" s="5" t="s">
        <v>32645</v>
      </c>
      <c r="B3504" s="6">
        <v>393.75</v>
      </c>
      <c r="C3504" s="6">
        <v>20.531590000000001</v>
      </c>
      <c r="D3504" s="6">
        <v>72</v>
      </c>
      <c r="E3504" s="6">
        <v>0</v>
      </c>
      <c r="F3504" s="6">
        <v>0</v>
      </c>
      <c r="G3504" s="6">
        <v>15</v>
      </c>
      <c r="H3504" s="6" t="s">
        <v>32646</v>
      </c>
      <c r="I3504" s="6">
        <v>526.6875</v>
      </c>
      <c r="J3504" s="2">
        <f t="shared" si="54"/>
        <v>43748.706393506938</v>
      </c>
    </row>
    <row r="3505" spans="1:10" x14ac:dyDescent="0.25">
      <c r="A3505" s="7" t="s">
        <v>32647</v>
      </c>
      <c r="B3505" s="8">
        <v>393.75</v>
      </c>
      <c r="C3505" s="8">
        <v>20.531590000000001</v>
      </c>
      <c r="D3505" s="8">
        <v>72</v>
      </c>
      <c r="E3505" s="8">
        <v>0</v>
      </c>
      <c r="F3505" s="8">
        <v>0</v>
      </c>
      <c r="G3505" s="8">
        <v>24</v>
      </c>
      <c r="H3505" s="8" t="s">
        <v>32648</v>
      </c>
      <c r="I3505" s="8">
        <v>526.6875</v>
      </c>
      <c r="J3505" s="3">
        <f t="shared" si="54"/>
        <v>43748.706465462958</v>
      </c>
    </row>
    <row r="3506" spans="1:10" x14ac:dyDescent="0.25">
      <c r="A3506" s="5" t="s">
        <v>32649</v>
      </c>
      <c r="B3506" s="6">
        <v>393.75</v>
      </c>
      <c r="C3506" s="6">
        <v>20.531590000000001</v>
      </c>
      <c r="D3506" s="6">
        <v>71</v>
      </c>
      <c r="E3506" s="6">
        <v>0</v>
      </c>
      <c r="F3506" s="6">
        <v>0</v>
      </c>
      <c r="G3506" s="6">
        <v>13</v>
      </c>
      <c r="H3506" s="6" t="s">
        <v>32650</v>
      </c>
      <c r="I3506" s="6">
        <v>526.6875</v>
      </c>
      <c r="J3506" s="2">
        <f t="shared" si="54"/>
        <v>43748.706536898149</v>
      </c>
    </row>
    <row r="3507" spans="1:10" x14ac:dyDescent="0.25">
      <c r="A3507" s="7" t="s">
        <v>32651</v>
      </c>
      <c r="B3507" s="8">
        <v>393.75</v>
      </c>
      <c r="C3507" s="8">
        <v>20.584240000000001</v>
      </c>
      <c r="D3507" s="8">
        <v>70</v>
      </c>
      <c r="E3507" s="8">
        <v>0</v>
      </c>
      <c r="F3507" s="8">
        <v>0</v>
      </c>
      <c r="G3507" s="8">
        <v>6</v>
      </c>
      <c r="H3507" s="8" t="s">
        <v>32652</v>
      </c>
      <c r="I3507" s="8">
        <v>526.6875</v>
      </c>
      <c r="J3507" s="3">
        <f t="shared" si="54"/>
        <v>43748.70662034722</v>
      </c>
    </row>
    <row r="3508" spans="1:10" x14ac:dyDescent="0.25">
      <c r="A3508" s="5" t="s">
        <v>32653</v>
      </c>
      <c r="B3508" s="6">
        <v>393.75</v>
      </c>
      <c r="C3508" s="6">
        <v>20.531590000000001</v>
      </c>
      <c r="D3508" s="6">
        <v>70</v>
      </c>
      <c r="E3508" s="6">
        <v>0</v>
      </c>
      <c r="F3508" s="6">
        <v>0</v>
      </c>
      <c r="G3508" s="6">
        <v>8</v>
      </c>
      <c r="H3508" s="6" t="s">
        <v>32654</v>
      </c>
      <c r="I3508" s="6">
        <v>526.5</v>
      </c>
      <c r="J3508" s="2">
        <f t="shared" si="54"/>
        <v>43748.706691979161</v>
      </c>
    </row>
    <row r="3509" spans="1:10" x14ac:dyDescent="0.25">
      <c r="A3509" s="7" t="s">
        <v>32655</v>
      </c>
      <c r="B3509" s="8">
        <v>393.75</v>
      </c>
      <c r="C3509" s="8">
        <v>20.478950000000001</v>
      </c>
      <c r="D3509" s="8">
        <v>71</v>
      </c>
      <c r="E3509" s="8">
        <v>0</v>
      </c>
      <c r="F3509" s="8">
        <v>0</v>
      </c>
      <c r="G3509" s="8">
        <v>10</v>
      </c>
      <c r="H3509" s="8" t="s">
        <v>32656</v>
      </c>
      <c r="I3509" s="8">
        <v>526.6875</v>
      </c>
      <c r="J3509" s="3">
        <f t="shared" si="54"/>
        <v>43748.706775648148</v>
      </c>
    </row>
    <row r="3510" spans="1:10" x14ac:dyDescent="0.25">
      <c r="A3510" s="5" t="s">
        <v>32657</v>
      </c>
      <c r="B3510" s="6">
        <v>393.75</v>
      </c>
      <c r="C3510" s="6">
        <v>20.478950000000001</v>
      </c>
      <c r="D3510" s="6">
        <v>71</v>
      </c>
      <c r="E3510" s="6">
        <v>0</v>
      </c>
      <c r="F3510" s="6">
        <v>0</v>
      </c>
      <c r="G3510" s="6">
        <v>7</v>
      </c>
      <c r="H3510" s="6" t="s">
        <v>32658</v>
      </c>
      <c r="I3510" s="6">
        <v>526.6875</v>
      </c>
      <c r="J3510" s="2">
        <f t="shared" si="54"/>
        <v>43748.706846724534</v>
      </c>
    </row>
    <row r="3511" spans="1:10" x14ac:dyDescent="0.25">
      <c r="A3511" s="7" t="s">
        <v>32659</v>
      </c>
      <c r="B3511" s="8">
        <v>393.75</v>
      </c>
      <c r="C3511" s="8">
        <v>20.531590000000001</v>
      </c>
      <c r="D3511" s="8">
        <v>71</v>
      </c>
      <c r="E3511" s="8">
        <v>0</v>
      </c>
      <c r="F3511" s="8">
        <v>0</v>
      </c>
      <c r="G3511" s="8">
        <v>7</v>
      </c>
      <c r="H3511" s="8" t="s">
        <v>32660</v>
      </c>
      <c r="I3511" s="8">
        <v>526.6875</v>
      </c>
      <c r="J3511" s="3">
        <f t="shared" si="54"/>
        <v>43748.706930567125</v>
      </c>
    </row>
    <row r="3512" spans="1:10" x14ac:dyDescent="0.25">
      <c r="A3512" s="5" t="s">
        <v>32661</v>
      </c>
      <c r="B3512" s="6">
        <v>393.75</v>
      </c>
      <c r="C3512" s="6">
        <v>20.531590000000001</v>
      </c>
      <c r="D3512" s="6">
        <v>71</v>
      </c>
      <c r="E3512" s="6">
        <v>0</v>
      </c>
      <c r="F3512" s="6">
        <v>0</v>
      </c>
      <c r="G3512" s="6">
        <v>7</v>
      </c>
      <c r="H3512" s="6" t="s">
        <v>32662</v>
      </c>
      <c r="I3512" s="6">
        <v>526.6875</v>
      </c>
      <c r="J3512" s="2">
        <f t="shared" si="54"/>
        <v>43748.707013993051</v>
      </c>
    </row>
    <row r="3513" spans="1:10" x14ac:dyDescent="0.25">
      <c r="A3513" s="7" t="s">
        <v>32663</v>
      </c>
      <c r="B3513" s="8">
        <v>393.75</v>
      </c>
      <c r="C3513" s="8">
        <v>20.531590000000001</v>
      </c>
      <c r="D3513" s="8">
        <v>72</v>
      </c>
      <c r="E3513" s="8">
        <v>0</v>
      </c>
      <c r="F3513" s="8">
        <v>0</v>
      </c>
      <c r="G3513" s="8">
        <v>10</v>
      </c>
      <c r="H3513" s="8" t="s">
        <v>32664</v>
      </c>
      <c r="I3513" s="8">
        <v>526.6875</v>
      </c>
      <c r="J3513" s="3">
        <f t="shared" si="54"/>
        <v>43748.707085520829</v>
      </c>
    </row>
    <row r="3514" spans="1:10" x14ac:dyDescent="0.25">
      <c r="A3514" s="5" t="s">
        <v>32665</v>
      </c>
      <c r="B3514" s="6">
        <v>393.75</v>
      </c>
      <c r="C3514" s="6">
        <v>20.531590000000001</v>
      </c>
      <c r="D3514" s="6">
        <v>73</v>
      </c>
      <c r="E3514" s="6">
        <v>0</v>
      </c>
      <c r="F3514" s="6">
        <v>0</v>
      </c>
      <c r="G3514" s="6">
        <v>10</v>
      </c>
      <c r="H3514" s="6" t="s">
        <v>32666</v>
      </c>
      <c r="I3514" s="6">
        <v>526.6875</v>
      </c>
      <c r="J3514" s="2">
        <f t="shared" si="54"/>
        <v>43748.707157523146</v>
      </c>
    </row>
    <row r="3515" spans="1:10" x14ac:dyDescent="0.25">
      <c r="A3515" s="7" t="s">
        <v>32667</v>
      </c>
      <c r="B3515" s="8">
        <v>393.75</v>
      </c>
      <c r="C3515" s="8">
        <v>20.531590000000001</v>
      </c>
      <c r="D3515" s="8">
        <v>74</v>
      </c>
      <c r="E3515" s="8">
        <v>0</v>
      </c>
      <c r="F3515" s="8">
        <v>0</v>
      </c>
      <c r="G3515" s="8">
        <v>3</v>
      </c>
      <c r="H3515" s="8" t="s">
        <v>32668</v>
      </c>
      <c r="I3515" s="8">
        <v>526.5</v>
      </c>
      <c r="J3515" s="3">
        <f t="shared" si="54"/>
        <v>43748.707228634252</v>
      </c>
    </row>
    <row r="3516" spans="1:10" x14ac:dyDescent="0.25">
      <c r="A3516" s="5" t="s">
        <v>32669</v>
      </c>
      <c r="B3516" s="6">
        <v>412.5</v>
      </c>
      <c r="C3516" s="6">
        <v>20.531590000000001</v>
      </c>
      <c r="D3516" s="6">
        <v>74</v>
      </c>
      <c r="E3516" s="6">
        <v>0</v>
      </c>
      <c r="F3516" s="6">
        <v>0</v>
      </c>
      <c r="G3516" s="6">
        <v>2</v>
      </c>
      <c r="H3516" s="6" t="s">
        <v>32670</v>
      </c>
      <c r="I3516" s="6">
        <v>532.5</v>
      </c>
      <c r="J3516" s="2">
        <f t="shared" si="54"/>
        <v>43748.707300185182</v>
      </c>
    </row>
    <row r="3517" spans="1:10" x14ac:dyDescent="0.25">
      <c r="A3517" s="7" t="s">
        <v>32671</v>
      </c>
      <c r="B3517" s="8">
        <v>396.875</v>
      </c>
      <c r="C3517" s="8">
        <v>20.531590000000001</v>
      </c>
      <c r="D3517" s="8">
        <v>75</v>
      </c>
      <c r="E3517" s="8">
        <v>0</v>
      </c>
      <c r="F3517" s="8">
        <v>0</v>
      </c>
      <c r="G3517" s="8">
        <v>11</v>
      </c>
      <c r="H3517" s="8" t="s">
        <v>32672</v>
      </c>
      <c r="I3517" s="8">
        <v>527.625</v>
      </c>
      <c r="J3517" s="3">
        <f t="shared" si="54"/>
        <v>43748.707372303237</v>
      </c>
    </row>
    <row r="3518" spans="1:10" x14ac:dyDescent="0.25">
      <c r="A3518" s="5" t="s">
        <v>32673</v>
      </c>
      <c r="B3518" s="6">
        <v>396.875</v>
      </c>
      <c r="C3518" s="6">
        <v>20.478950000000001</v>
      </c>
      <c r="D3518" s="6">
        <v>76</v>
      </c>
      <c r="E3518" s="6">
        <v>0</v>
      </c>
      <c r="F3518" s="6">
        <v>0</v>
      </c>
      <c r="G3518" s="6">
        <v>8</v>
      </c>
      <c r="H3518" s="6" t="s">
        <v>32674</v>
      </c>
      <c r="I3518" s="6">
        <v>527.4375</v>
      </c>
      <c r="J3518" s="2">
        <f t="shared" si="54"/>
        <v>43748.707458078701</v>
      </c>
    </row>
    <row r="3519" spans="1:10" x14ac:dyDescent="0.25">
      <c r="A3519" s="7" t="s">
        <v>32675</v>
      </c>
      <c r="B3519" s="8">
        <v>396.875</v>
      </c>
      <c r="C3519" s="8">
        <v>20.478950000000001</v>
      </c>
      <c r="D3519" s="8">
        <v>75</v>
      </c>
      <c r="E3519" s="8">
        <v>0</v>
      </c>
      <c r="F3519" s="8">
        <v>0</v>
      </c>
      <c r="G3519" s="8">
        <v>5</v>
      </c>
      <c r="H3519" s="8" t="s">
        <v>32676</v>
      </c>
      <c r="I3519" s="8">
        <v>527.4375</v>
      </c>
      <c r="J3519" s="3">
        <f t="shared" si="54"/>
        <v>43748.707542905089</v>
      </c>
    </row>
    <row r="3520" spans="1:10" x14ac:dyDescent="0.25">
      <c r="A3520" s="5" t="s">
        <v>32677</v>
      </c>
      <c r="B3520" s="6">
        <v>396.875</v>
      </c>
      <c r="C3520" s="6">
        <v>20.531590000000001</v>
      </c>
      <c r="D3520" s="6">
        <v>75</v>
      </c>
      <c r="E3520" s="6">
        <v>0</v>
      </c>
      <c r="F3520" s="6">
        <v>0</v>
      </c>
      <c r="G3520" s="6">
        <v>13</v>
      </c>
      <c r="H3520" s="6" t="s">
        <v>32678</v>
      </c>
      <c r="I3520" s="6">
        <v>527.4375</v>
      </c>
      <c r="J3520" s="2">
        <f t="shared" si="54"/>
        <v>43748.707622719907</v>
      </c>
    </row>
    <row r="3521" spans="1:10" x14ac:dyDescent="0.25">
      <c r="A3521" s="7" t="s">
        <v>32679</v>
      </c>
      <c r="B3521" s="8">
        <v>396.875</v>
      </c>
      <c r="C3521" s="8">
        <v>20.531590000000001</v>
      </c>
      <c r="D3521" s="8">
        <v>74</v>
      </c>
      <c r="E3521" s="8">
        <v>0</v>
      </c>
      <c r="F3521" s="8">
        <v>0</v>
      </c>
      <c r="G3521" s="8">
        <v>14</v>
      </c>
      <c r="H3521" s="8" t="s">
        <v>32680</v>
      </c>
      <c r="I3521" s="8">
        <v>527.4375</v>
      </c>
      <c r="J3521" s="3">
        <f t="shared" si="54"/>
        <v>43748.707694293982</v>
      </c>
    </row>
    <row r="3522" spans="1:10" x14ac:dyDescent="0.25">
      <c r="A3522" s="5" t="s">
        <v>32681</v>
      </c>
      <c r="B3522" s="6">
        <v>418.75</v>
      </c>
      <c r="C3522" s="6">
        <v>20.584240000000001</v>
      </c>
      <c r="D3522" s="6">
        <v>74</v>
      </c>
      <c r="E3522" s="6">
        <v>0</v>
      </c>
      <c r="F3522" s="6">
        <v>0</v>
      </c>
      <c r="G3522" s="6">
        <v>7</v>
      </c>
      <c r="H3522" s="6" t="s">
        <v>32682</v>
      </c>
      <c r="I3522" s="6">
        <v>534</v>
      </c>
      <c r="J3522" s="2">
        <f t="shared" ref="J3522:J3585" si="55">(H3522/86400000)+25569+(7/24)</f>
        <v>43748.707765844905</v>
      </c>
    </row>
    <row r="3523" spans="1:10" x14ac:dyDescent="0.25">
      <c r="A3523" s="7" t="s">
        <v>32683</v>
      </c>
      <c r="B3523" s="8">
        <v>400</v>
      </c>
      <c r="C3523" s="8">
        <v>20.531590000000001</v>
      </c>
      <c r="D3523" s="8">
        <v>74</v>
      </c>
      <c r="E3523" s="8">
        <v>0</v>
      </c>
      <c r="F3523" s="8">
        <v>0</v>
      </c>
      <c r="G3523" s="8">
        <v>18</v>
      </c>
      <c r="H3523" s="8" t="s">
        <v>32684</v>
      </c>
      <c r="I3523" s="8">
        <v>528.1875</v>
      </c>
      <c r="J3523" s="3">
        <f t="shared" si="55"/>
        <v>43748.707837511574</v>
      </c>
    </row>
    <row r="3524" spans="1:10" x14ac:dyDescent="0.25">
      <c r="A3524" s="5" t="s">
        <v>32685</v>
      </c>
      <c r="B3524" s="6">
        <v>400</v>
      </c>
      <c r="C3524" s="6">
        <v>20.478950000000001</v>
      </c>
      <c r="D3524" s="6">
        <v>70</v>
      </c>
      <c r="E3524" s="6">
        <v>0</v>
      </c>
      <c r="F3524" s="6">
        <v>0</v>
      </c>
      <c r="G3524" s="6">
        <v>7</v>
      </c>
      <c r="H3524" s="6" t="s">
        <v>32686</v>
      </c>
      <c r="I3524" s="6">
        <v>528.1875</v>
      </c>
      <c r="J3524" s="2">
        <f t="shared" si="55"/>
        <v>43748.707908437493</v>
      </c>
    </row>
    <row r="3525" spans="1:10" x14ac:dyDescent="0.25">
      <c r="A3525" s="7" t="s">
        <v>32687</v>
      </c>
      <c r="B3525" s="8">
        <v>396.875</v>
      </c>
      <c r="C3525" s="8">
        <v>20.584240000000001</v>
      </c>
      <c r="D3525" s="8">
        <v>70</v>
      </c>
      <c r="E3525" s="8">
        <v>0</v>
      </c>
      <c r="F3525" s="8">
        <v>0</v>
      </c>
      <c r="G3525" s="8">
        <v>13</v>
      </c>
      <c r="H3525" s="8" t="s">
        <v>32688</v>
      </c>
      <c r="I3525" s="8">
        <v>527.4375</v>
      </c>
      <c r="J3525" s="3">
        <f t="shared" si="55"/>
        <v>43748.707992118048</v>
      </c>
    </row>
    <row r="3526" spans="1:10" x14ac:dyDescent="0.25">
      <c r="A3526" s="5" t="s">
        <v>32689</v>
      </c>
      <c r="B3526" s="6">
        <v>396.875</v>
      </c>
      <c r="C3526" s="6">
        <v>20.531590000000001</v>
      </c>
      <c r="D3526" s="6">
        <v>71</v>
      </c>
      <c r="E3526" s="6">
        <v>0</v>
      </c>
      <c r="F3526" s="6">
        <v>0</v>
      </c>
      <c r="G3526" s="6">
        <v>6</v>
      </c>
      <c r="H3526" s="6" t="s">
        <v>32690</v>
      </c>
      <c r="I3526" s="6">
        <v>527.4375</v>
      </c>
      <c r="J3526" s="2">
        <f t="shared" si="55"/>
        <v>43748.708075324073</v>
      </c>
    </row>
    <row r="3527" spans="1:10" x14ac:dyDescent="0.25">
      <c r="A3527" s="7" t="s">
        <v>32691</v>
      </c>
      <c r="B3527" s="8">
        <v>396.875</v>
      </c>
      <c r="C3527" s="8">
        <v>20.531590000000001</v>
      </c>
      <c r="D3527" s="8">
        <v>71</v>
      </c>
      <c r="E3527" s="8">
        <v>0</v>
      </c>
      <c r="F3527" s="8">
        <v>0</v>
      </c>
      <c r="G3527" s="8">
        <v>7</v>
      </c>
      <c r="H3527" s="8" t="s">
        <v>32692</v>
      </c>
      <c r="I3527" s="8">
        <v>527.4375</v>
      </c>
      <c r="J3527" s="3">
        <f t="shared" si="55"/>
        <v>43748.708147094905</v>
      </c>
    </row>
    <row r="3528" spans="1:10" x14ac:dyDescent="0.25">
      <c r="A3528" s="5" t="s">
        <v>32693</v>
      </c>
      <c r="B3528" s="6">
        <v>396.875</v>
      </c>
      <c r="C3528" s="6">
        <v>20.478950000000001</v>
      </c>
      <c r="D3528" s="6">
        <v>72</v>
      </c>
      <c r="E3528" s="6">
        <v>0</v>
      </c>
      <c r="F3528" s="6">
        <v>0</v>
      </c>
      <c r="G3528" s="6">
        <v>8</v>
      </c>
      <c r="H3528" s="6" t="s">
        <v>32694</v>
      </c>
      <c r="I3528" s="6">
        <v>527.4375</v>
      </c>
      <c r="J3528" s="2">
        <f t="shared" si="55"/>
        <v>43748.708230659722</v>
      </c>
    </row>
    <row r="3529" spans="1:10" x14ac:dyDescent="0.25">
      <c r="A3529" s="7" t="s">
        <v>32695</v>
      </c>
      <c r="B3529" s="8">
        <v>396.875</v>
      </c>
      <c r="C3529" s="8">
        <v>20.531590000000001</v>
      </c>
      <c r="D3529" s="8">
        <v>72</v>
      </c>
      <c r="E3529" s="8">
        <v>0</v>
      </c>
      <c r="F3529" s="8">
        <v>0</v>
      </c>
      <c r="G3529" s="8">
        <v>9</v>
      </c>
      <c r="H3529" s="8" t="s">
        <v>32696</v>
      </c>
      <c r="I3529" s="8">
        <v>527.625</v>
      </c>
      <c r="J3529" s="3">
        <f t="shared" si="55"/>
        <v>43748.708302349536</v>
      </c>
    </row>
    <row r="3530" spans="1:10" x14ac:dyDescent="0.25">
      <c r="A3530" s="5" t="s">
        <v>32697</v>
      </c>
      <c r="B3530" s="6">
        <v>396.875</v>
      </c>
      <c r="C3530" s="6">
        <v>20.531590000000001</v>
      </c>
      <c r="D3530" s="6">
        <v>72</v>
      </c>
      <c r="E3530" s="6">
        <v>0</v>
      </c>
      <c r="F3530" s="6">
        <v>0</v>
      </c>
      <c r="G3530" s="6">
        <v>9</v>
      </c>
      <c r="H3530" s="6" t="s">
        <v>32698</v>
      </c>
      <c r="I3530" s="6">
        <v>527.4375</v>
      </c>
      <c r="J3530" s="2">
        <f t="shared" si="55"/>
        <v>43748.708385740734</v>
      </c>
    </row>
    <row r="3531" spans="1:10" x14ac:dyDescent="0.25">
      <c r="A3531" s="7" t="s">
        <v>32699</v>
      </c>
      <c r="B3531" s="8">
        <v>396.875</v>
      </c>
      <c r="C3531" s="8">
        <v>20.478950000000001</v>
      </c>
      <c r="D3531" s="8">
        <v>72</v>
      </c>
      <c r="E3531" s="8">
        <v>0</v>
      </c>
      <c r="F3531" s="8">
        <v>0</v>
      </c>
      <c r="G3531" s="8">
        <v>11</v>
      </c>
      <c r="H3531" s="8" t="s">
        <v>32700</v>
      </c>
      <c r="I3531" s="8">
        <v>527.4375</v>
      </c>
      <c r="J3531" s="3">
        <f t="shared" si="55"/>
        <v>43748.708469201381</v>
      </c>
    </row>
    <row r="3532" spans="1:10" x14ac:dyDescent="0.25">
      <c r="A3532" s="5" t="s">
        <v>32701</v>
      </c>
      <c r="B3532" s="6">
        <v>400</v>
      </c>
      <c r="C3532" s="6">
        <v>20.478950000000001</v>
      </c>
      <c r="D3532" s="6">
        <v>72</v>
      </c>
      <c r="E3532" s="6">
        <v>0</v>
      </c>
      <c r="F3532" s="6">
        <v>0</v>
      </c>
      <c r="G3532" s="6">
        <v>13</v>
      </c>
      <c r="H3532" s="6" t="s">
        <v>32702</v>
      </c>
      <c r="I3532" s="6">
        <v>528.375</v>
      </c>
      <c r="J3532" s="2">
        <f t="shared" si="55"/>
        <v>43748.708552766206</v>
      </c>
    </row>
    <row r="3533" spans="1:10" x14ac:dyDescent="0.25">
      <c r="A3533" s="7" t="s">
        <v>32703</v>
      </c>
      <c r="B3533" s="8">
        <v>400</v>
      </c>
      <c r="C3533" s="8">
        <v>20.531590000000001</v>
      </c>
      <c r="D3533" s="8">
        <v>72</v>
      </c>
      <c r="E3533" s="8">
        <v>0</v>
      </c>
      <c r="F3533" s="8">
        <v>0</v>
      </c>
      <c r="G3533" s="8">
        <v>8</v>
      </c>
      <c r="H3533" s="8" t="s">
        <v>32704</v>
      </c>
      <c r="I3533" s="8">
        <v>528.375</v>
      </c>
      <c r="J3533" s="3">
        <f t="shared" si="55"/>
        <v>43748.708636215277</v>
      </c>
    </row>
    <row r="3534" spans="1:10" x14ac:dyDescent="0.25">
      <c r="A3534" s="5" t="s">
        <v>32705</v>
      </c>
      <c r="B3534" s="6">
        <v>396.875</v>
      </c>
      <c r="C3534" s="6">
        <v>20.478950000000001</v>
      </c>
      <c r="D3534" s="6">
        <v>72</v>
      </c>
      <c r="E3534" s="6">
        <v>0</v>
      </c>
      <c r="F3534" s="6">
        <v>0</v>
      </c>
      <c r="G3534" s="6">
        <v>7</v>
      </c>
      <c r="H3534" s="6" t="s">
        <v>32706</v>
      </c>
      <c r="I3534" s="6">
        <v>527.4375</v>
      </c>
      <c r="J3534" s="2">
        <f t="shared" si="55"/>
        <v>43748.708719432871</v>
      </c>
    </row>
    <row r="3535" spans="1:10" x14ac:dyDescent="0.25">
      <c r="A3535" s="7" t="s">
        <v>32707</v>
      </c>
      <c r="B3535" s="8">
        <v>396.875</v>
      </c>
      <c r="C3535" s="8">
        <v>20.531590000000001</v>
      </c>
      <c r="D3535" s="8">
        <v>75</v>
      </c>
      <c r="E3535" s="8">
        <v>0</v>
      </c>
      <c r="F3535" s="8">
        <v>0</v>
      </c>
      <c r="G3535" s="8">
        <v>4</v>
      </c>
      <c r="H3535" s="8" t="s">
        <v>32708</v>
      </c>
      <c r="I3535" s="8">
        <v>527.4375</v>
      </c>
      <c r="J3535" s="3">
        <f t="shared" si="55"/>
        <v>43748.708803113426</v>
      </c>
    </row>
    <row r="3536" spans="1:10" x14ac:dyDescent="0.25">
      <c r="A3536" s="5" t="s">
        <v>32709</v>
      </c>
      <c r="B3536" s="6">
        <v>393.75</v>
      </c>
      <c r="C3536" s="6">
        <v>20.531590000000001</v>
      </c>
      <c r="D3536" s="6">
        <v>75</v>
      </c>
      <c r="E3536" s="6">
        <v>0</v>
      </c>
      <c r="F3536" s="6">
        <v>0</v>
      </c>
      <c r="G3536" s="6">
        <v>11</v>
      </c>
      <c r="H3536" s="6" t="s">
        <v>32710</v>
      </c>
      <c r="I3536" s="6">
        <v>526.6875</v>
      </c>
      <c r="J3536" s="2">
        <f t="shared" si="55"/>
        <v>43748.708886793982</v>
      </c>
    </row>
    <row r="3537" spans="1:10" x14ac:dyDescent="0.25">
      <c r="A3537" s="7" t="s">
        <v>32711</v>
      </c>
      <c r="B3537" s="8">
        <v>393.75</v>
      </c>
      <c r="C3537" s="8">
        <v>20.478950000000001</v>
      </c>
      <c r="D3537" s="8">
        <v>75</v>
      </c>
      <c r="E3537" s="8">
        <v>0</v>
      </c>
      <c r="F3537" s="8">
        <v>0</v>
      </c>
      <c r="G3537" s="8">
        <v>12</v>
      </c>
      <c r="H3537" s="8" t="s">
        <v>32712</v>
      </c>
      <c r="I3537" s="8">
        <v>526.6875</v>
      </c>
      <c r="J3537" s="3">
        <f t="shared" si="55"/>
        <v>43748.70895821759</v>
      </c>
    </row>
    <row r="3538" spans="1:10" x14ac:dyDescent="0.25">
      <c r="A3538" s="5" t="s">
        <v>32713</v>
      </c>
      <c r="B3538" s="6">
        <v>393.75</v>
      </c>
      <c r="C3538" s="6">
        <v>20.584240000000001</v>
      </c>
      <c r="D3538" s="6">
        <v>73</v>
      </c>
      <c r="E3538" s="6">
        <v>0</v>
      </c>
      <c r="F3538" s="6">
        <v>0</v>
      </c>
      <c r="G3538" s="6">
        <v>10</v>
      </c>
      <c r="H3538" s="6" t="s">
        <v>32714</v>
      </c>
      <c r="I3538" s="6">
        <v>526.6875</v>
      </c>
      <c r="J3538" s="2">
        <f t="shared" si="55"/>
        <v>43748.709041655085</v>
      </c>
    </row>
    <row r="3539" spans="1:10" x14ac:dyDescent="0.25">
      <c r="A3539" s="7" t="s">
        <v>32715</v>
      </c>
      <c r="B3539" s="8">
        <v>393.75</v>
      </c>
      <c r="C3539" s="8">
        <v>20.478950000000001</v>
      </c>
      <c r="D3539" s="8">
        <v>73</v>
      </c>
      <c r="E3539" s="8">
        <v>0</v>
      </c>
      <c r="F3539" s="8">
        <v>0</v>
      </c>
      <c r="G3539" s="8">
        <v>13</v>
      </c>
      <c r="H3539" s="8" t="s">
        <v>32716</v>
      </c>
      <c r="I3539" s="8">
        <v>526.6875</v>
      </c>
      <c r="J3539" s="3">
        <f t="shared" si="55"/>
        <v>43748.709125231479</v>
      </c>
    </row>
    <row r="3540" spans="1:10" x14ac:dyDescent="0.25">
      <c r="A3540" s="5" t="s">
        <v>32717</v>
      </c>
      <c r="B3540" s="6">
        <v>393.75</v>
      </c>
      <c r="C3540" s="6">
        <v>20.478950000000001</v>
      </c>
      <c r="D3540" s="6">
        <v>72</v>
      </c>
      <c r="E3540" s="6">
        <v>0</v>
      </c>
      <c r="F3540" s="6">
        <v>0</v>
      </c>
      <c r="G3540" s="6">
        <v>10</v>
      </c>
      <c r="H3540" s="6" t="s">
        <v>32718</v>
      </c>
      <c r="I3540" s="6">
        <v>526.6875</v>
      </c>
      <c r="J3540" s="2">
        <f t="shared" si="55"/>
        <v>43748.709208449072</v>
      </c>
    </row>
    <row r="3541" spans="1:10" x14ac:dyDescent="0.25">
      <c r="A3541" s="7" t="s">
        <v>32719</v>
      </c>
      <c r="B3541" s="8">
        <v>400</v>
      </c>
      <c r="C3541" s="8">
        <v>20.531590000000001</v>
      </c>
      <c r="D3541" s="8">
        <v>72</v>
      </c>
      <c r="E3541" s="8">
        <v>0</v>
      </c>
      <c r="F3541" s="8">
        <v>0</v>
      </c>
      <c r="G3541" s="8">
        <v>10</v>
      </c>
      <c r="H3541" s="8" t="s">
        <v>32720</v>
      </c>
      <c r="I3541" s="8">
        <v>528.5625</v>
      </c>
      <c r="J3541" s="3">
        <f t="shared" si="55"/>
        <v>43748.709280104165</v>
      </c>
    </row>
    <row r="3542" spans="1:10" x14ac:dyDescent="0.25">
      <c r="A3542" s="5" t="s">
        <v>32721</v>
      </c>
      <c r="B3542" s="6">
        <v>393.75</v>
      </c>
      <c r="C3542" s="6">
        <v>20.531590000000001</v>
      </c>
      <c r="D3542" s="6">
        <v>72</v>
      </c>
      <c r="E3542" s="6">
        <v>0</v>
      </c>
      <c r="F3542" s="6">
        <v>0</v>
      </c>
      <c r="G3542" s="6">
        <v>10</v>
      </c>
      <c r="H3542" s="6" t="s">
        <v>32722</v>
      </c>
      <c r="I3542" s="6">
        <v>526.6875</v>
      </c>
      <c r="J3542" s="2">
        <f t="shared" si="55"/>
        <v>43748.709363877315</v>
      </c>
    </row>
    <row r="3543" spans="1:10" x14ac:dyDescent="0.25">
      <c r="A3543" s="7" t="s">
        <v>32723</v>
      </c>
      <c r="B3543" s="8">
        <v>393.75</v>
      </c>
      <c r="C3543" s="8">
        <v>20.531590000000001</v>
      </c>
      <c r="D3543" s="8">
        <v>72</v>
      </c>
      <c r="E3543" s="8">
        <v>0</v>
      </c>
      <c r="F3543" s="8">
        <v>0</v>
      </c>
      <c r="G3543" s="8">
        <v>9</v>
      </c>
      <c r="H3543" s="8" t="s">
        <v>32724</v>
      </c>
      <c r="I3543" s="8">
        <v>526.6875</v>
      </c>
      <c r="J3543" s="3">
        <f t="shared" si="55"/>
        <v>43748.709453668976</v>
      </c>
    </row>
    <row r="3544" spans="1:10" x14ac:dyDescent="0.25">
      <c r="A3544" s="5" t="s">
        <v>32725</v>
      </c>
      <c r="B3544" s="6">
        <v>393.75</v>
      </c>
      <c r="C3544" s="6">
        <v>20.478950000000001</v>
      </c>
      <c r="D3544" s="6">
        <v>72</v>
      </c>
      <c r="E3544" s="6">
        <v>0</v>
      </c>
      <c r="F3544" s="6">
        <v>0</v>
      </c>
      <c r="G3544" s="6">
        <v>15</v>
      </c>
      <c r="H3544" s="6" t="s">
        <v>32726</v>
      </c>
      <c r="I3544" s="6">
        <v>526.6875</v>
      </c>
      <c r="J3544" s="2">
        <f t="shared" si="55"/>
        <v>43748.709530567132</v>
      </c>
    </row>
    <row r="3545" spans="1:10" x14ac:dyDescent="0.25">
      <c r="A3545" s="7" t="s">
        <v>32727</v>
      </c>
      <c r="B3545" s="8">
        <v>393.75</v>
      </c>
      <c r="C3545" s="8">
        <v>20.478950000000001</v>
      </c>
      <c r="D3545" s="8">
        <v>72</v>
      </c>
      <c r="E3545" s="8">
        <v>0</v>
      </c>
      <c r="F3545" s="8">
        <v>0</v>
      </c>
      <c r="G3545" s="8">
        <v>10</v>
      </c>
      <c r="H3545" s="8" t="s">
        <v>32728</v>
      </c>
      <c r="I3545" s="8">
        <v>526.6875</v>
      </c>
      <c r="J3545" s="3">
        <f t="shared" si="55"/>
        <v>43748.709614224535</v>
      </c>
    </row>
    <row r="3546" spans="1:10" x14ac:dyDescent="0.25">
      <c r="A3546" s="5" t="s">
        <v>32729</v>
      </c>
      <c r="B3546" s="6">
        <v>393.75</v>
      </c>
      <c r="C3546" s="6">
        <v>20.478950000000001</v>
      </c>
      <c r="D3546" s="6">
        <v>73</v>
      </c>
      <c r="E3546" s="6">
        <v>0</v>
      </c>
      <c r="F3546" s="6">
        <v>0</v>
      </c>
      <c r="G3546" s="6">
        <v>17</v>
      </c>
      <c r="H3546" s="6" t="s">
        <v>32730</v>
      </c>
      <c r="I3546" s="6">
        <v>526.6875</v>
      </c>
      <c r="J3546" s="2">
        <f t="shared" si="55"/>
        <v>43748.709697442122</v>
      </c>
    </row>
    <row r="3547" spans="1:10" x14ac:dyDescent="0.25">
      <c r="A3547" s="7" t="s">
        <v>32731</v>
      </c>
      <c r="B3547" s="8">
        <v>393.75</v>
      </c>
      <c r="C3547" s="8">
        <v>20.531590000000001</v>
      </c>
      <c r="D3547" s="8">
        <v>73</v>
      </c>
      <c r="E3547" s="8">
        <v>0</v>
      </c>
      <c r="F3547" s="8">
        <v>0</v>
      </c>
      <c r="G3547" s="8">
        <v>11</v>
      </c>
      <c r="H3547" s="8" t="s">
        <v>32732</v>
      </c>
      <c r="I3547" s="8">
        <v>526.6875</v>
      </c>
      <c r="J3547" s="3">
        <f t="shared" si="55"/>
        <v>43748.709768981476</v>
      </c>
    </row>
    <row r="3548" spans="1:10" x14ac:dyDescent="0.25">
      <c r="A3548" s="5" t="s">
        <v>32733</v>
      </c>
      <c r="B3548" s="6">
        <v>393.75</v>
      </c>
      <c r="C3548" s="6">
        <v>20.531590000000001</v>
      </c>
      <c r="D3548" s="6">
        <v>74</v>
      </c>
      <c r="E3548" s="6">
        <v>0</v>
      </c>
      <c r="F3548" s="6">
        <v>0</v>
      </c>
      <c r="G3548" s="6">
        <v>12</v>
      </c>
      <c r="H3548" s="6" t="s">
        <v>32734</v>
      </c>
      <c r="I3548" s="6">
        <v>526.6875</v>
      </c>
      <c r="J3548" s="2">
        <f t="shared" si="55"/>
        <v>43748.709852870372</v>
      </c>
    </row>
    <row r="3549" spans="1:10" x14ac:dyDescent="0.25">
      <c r="A3549" s="7" t="s">
        <v>32735</v>
      </c>
      <c r="B3549" s="8">
        <v>393.75</v>
      </c>
      <c r="C3549" s="8">
        <v>20.478950000000001</v>
      </c>
      <c r="D3549" s="8">
        <v>76</v>
      </c>
      <c r="E3549" s="8">
        <v>0</v>
      </c>
      <c r="F3549" s="8">
        <v>0</v>
      </c>
      <c r="G3549" s="8">
        <v>11</v>
      </c>
      <c r="H3549" s="8" t="s">
        <v>32736</v>
      </c>
      <c r="I3549" s="8">
        <v>526.6875</v>
      </c>
      <c r="J3549" s="3">
        <f t="shared" si="55"/>
        <v>43748.70993636574</v>
      </c>
    </row>
    <row r="3550" spans="1:10" x14ac:dyDescent="0.25">
      <c r="A3550" s="5" t="s">
        <v>32737</v>
      </c>
      <c r="B3550" s="6">
        <v>393.75</v>
      </c>
      <c r="C3550" s="6">
        <v>20.531590000000001</v>
      </c>
      <c r="D3550" s="6">
        <v>75</v>
      </c>
      <c r="E3550" s="6">
        <v>0</v>
      </c>
      <c r="F3550" s="6">
        <v>0</v>
      </c>
      <c r="G3550" s="6">
        <v>5</v>
      </c>
      <c r="H3550" s="6" t="s">
        <v>32738</v>
      </c>
      <c r="I3550" s="6">
        <v>526.6875</v>
      </c>
      <c r="J3550" s="2">
        <f t="shared" si="55"/>
        <v>43748.710019421291</v>
      </c>
    </row>
    <row r="3551" spans="1:10" x14ac:dyDescent="0.25">
      <c r="A3551" s="7" t="s">
        <v>32739</v>
      </c>
      <c r="B3551" s="8">
        <v>412.5</v>
      </c>
      <c r="C3551" s="8">
        <v>20.531590000000001</v>
      </c>
      <c r="D3551" s="8">
        <v>72</v>
      </c>
      <c r="E3551" s="8">
        <v>0</v>
      </c>
      <c r="F3551" s="8">
        <v>0</v>
      </c>
      <c r="G3551" s="8">
        <v>11</v>
      </c>
      <c r="H3551" s="8" t="s">
        <v>32740</v>
      </c>
      <c r="I3551" s="8">
        <v>532.3125</v>
      </c>
      <c r="J3551" s="3">
        <f t="shared" si="55"/>
        <v>43748.710103217592</v>
      </c>
    </row>
    <row r="3552" spans="1:10" x14ac:dyDescent="0.25">
      <c r="A3552" s="5" t="s">
        <v>32741</v>
      </c>
      <c r="B3552" s="6">
        <v>393.75</v>
      </c>
      <c r="C3552" s="6">
        <v>20.584240000000001</v>
      </c>
      <c r="D3552" s="6">
        <v>72</v>
      </c>
      <c r="E3552" s="6">
        <v>0</v>
      </c>
      <c r="F3552" s="6">
        <v>0</v>
      </c>
      <c r="G3552" s="6">
        <v>11</v>
      </c>
      <c r="H3552" s="6" t="s">
        <v>32742</v>
      </c>
      <c r="I3552" s="6">
        <v>526.5</v>
      </c>
      <c r="J3552" s="2">
        <f t="shared" si="55"/>
        <v>43748.710198668974</v>
      </c>
    </row>
    <row r="3553" spans="1:10" x14ac:dyDescent="0.25">
      <c r="A3553" s="7" t="s">
        <v>32743</v>
      </c>
      <c r="B3553" s="8">
        <v>412.5</v>
      </c>
      <c r="C3553" s="8">
        <v>20.478950000000001</v>
      </c>
      <c r="D3553" s="8">
        <v>72</v>
      </c>
      <c r="E3553" s="8">
        <v>0</v>
      </c>
      <c r="F3553" s="8">
        <v>0</v>
      </c>
      <c r="G3553" s="8">
        <v>0</v>
      </c>
      <c r="H3553" s="8" t="s">
        <v>32744</v>
      </c>
      <c r="I3553" s="8">
        <v>532.125</v>
      </c>
      <c r="J3553" s="3">
        <f t="shared" si="55"/>
        <v>43748.7102705324</v>
      </c>
    </row>
    <row r="3554" spans="1:10" x14ac:dyDescent="0.25">
      <c r="A3554" s="5" t="s">
        <v>32745</v>
      </c>
      <c r="B3554" s="6">
        <v>393.75</v>
      </c>
      <c r="C3554" s="6">
        <v>20.478950000000001</v>
      </c>
      <c r="D3554" s="6">
        <v>72</v>
      </c>
      <c r="E3554" s="6">
        <v>0</v>
      </c>
      <c r="F3554" s="6">
        <v>0</v>
      </c>
      <c r="G3554" s="6">
        <v>8</v>
      </c>
      <c r="H3554" s="6" t="s">
        <v>32746</v>
      </c>
      <c r="I3554" s="6">
        <v>526.6875</v>
      </c>
      <c r="J3554" s="2">
        <f t="shared" si="55"/>
        <v>43748.710342048609</v>
      </c>
    </row>
    <row r="3555" spans="1:10" x14ac:dyDescent="0.25">
      <c r="A3555" s="7" t="s">
        <v>32747</v>
      </c>
      <c r="B3555" s="8">
        <v>393.75</v>
      </c>
      <c r="C3555" s="8">
        <v>20.531590000000001</v>
      </c>
      <c r="D3555" s="8">
        <v>70</v>
      </c>
      <c r="E3555" s="8">
        <v>0</v>
      </c>
      <c r="F3555" s="8">
        <v>0</v>
      </c>
      <c r="G3555" s="8">
        <v>1</v>
      </c>
      <c r="H3555" s="8" t="s">
        <v>32748</v>
      </c>
      <c r="I3555" s="8">
        <v>526.6875</v>
      </c>
      <c r="J3555" s="3">
        <f t="shared" si="55"/>
        <v>43748.710413738423</v>
      </c>
    </row>
    <row r="3556" spans="1:10" x14ac:dyDescent="0.25">
      <c r="A3556" s="5" t="s">
        <v>32749</v>
      </c>
      <c r="B3556" s="6">
        <v>393.75</v>
      </c>
      <c r="C3556" s="6">
        <v>20.584240000000001</v>
      </c>
      <c r="D3556" s="6">
        <v>69</v>
      </c>
      <c r="E3556" s="6">
        <v>0</v>
      </c>
      <c r="F3556" s="6">
        <v>0</v>
      </c>
      <c r="G3556" s="6">
        <v>5</v>
      </c>
      <c r="H3556" s="6" t="s">
        <v>32750</v>
      </c>
      <c r="I3556" s="6">
        <v>526.6875</v>
      </c>
      <c r="J3556" s="2">
        <f t="shared" si="55"/>
        <v>43748.710484872681</v>
      </c>
    </row>
    <row r="3557" spans="1:10" x14ac:dyDescent="0.25">
      <c r="A3557" s="7" t="s">
        <v>32751</v>
      </c>
      <c r="B3557" s="8">
        <v>393.75</v>
      </c>
      <c r="C3557" s="8">
        <v>20.584240000000001</v>
      </c>
      <c r="D3557" s="8">
        <v>69</v>
      </c>
      <c r="E3557" s="8">
        <v>0</v>
      </c>
      <c r="F3557" s="8">
        <v>0</v>
      </c>
      <c r="G3557" s="8">
        <v>4</v>
      </c>
      <c r="H3557" s="8" t="s">
        <v>32752</v>
      </c>
      <c r="I3557" s="8">
        <v>526.6875</v>
      </c>
      <c r="J3557" s="3">
        <f t="shared" si="55"/>
        <v>43748.710580162035</v>
      </c>
    </row>
    <row r="3558" spans="1:10" x14ac:dyDescent="0.25">
      <c r="A3558" s="5" t="s">
        <v>32753</v>
      </c>
      <c r="B3558" s="6">
        <v>393.75</v>
      </c>
      <c r="C3558" s="6">
        <v>20.478950000000001</v>
      </c>
      <c r="D3558" s="6">
        <v>70</v>
      </c>
      <c r="E3558" s="6">
        <v>0</v>
      </c>
      <c r="F3558" s="6">
        <v>0</v>
      </c>
      <c r="G3558" s="6">
        <v>6</v>
      </c>
      <c r="H3558" s="6" t="s">
        <v>32754</v>
      </c>
      <c r="I3558" s="6">
        <v>526.6875</v>
      </c>
      <c r="J3558" s="2">
        <f t="shared" si="55"/>
        <v>43748.710651898145</v>
      </c>
    </row>
    <row r="3559" spans="1:10" x14ac:dyDescent="0.25">
      <c r="A3559" s="7" t="s">
        <v>32755</v>
      </c>
      <c r="B3559" s="8">
        <v>393.75</v>
      </c>
      <c r="C3559" s="8">
        <v>20.478950000000001</v>
      </c>
      <c r="D3559" s="8">
        <v>70</v>
      </c>
      <c r="E3559" s="8">
        <v>0</v>
      </c>
      <c r="F3559" s="8">
        <v>0</v>
      </c>
      <c r="G3559" s="8">
        <v>10</v>
      </c>
      <c r="H3559" s="8" t="s">
        <v>32756</v>
      </c>
      <c r="I3559" s="8">
        <v>526.6875</v>
      </c>
      <c r="J3559" s="3">
        <f t="shared" si="55"/>
        <v>43748.710723599535</v>
      </c>
    </row>
    <row r="3560" spans="1:10" x14ac:dyDescent="0.25">
      <c r="A3560" s="5" t="s">
        <v>32757</v>
      </c>
      <c r="B3560" s="6">
        <v>393.75</v>
      </c>
      <c r="C3560" s="6">
        <v>20.531590000000001</v>
      </c>
      <c r="D3560" s="6">
        <v>70</v>
      </c>
      <c r="E3560" s="6">
        <v>0</v>
      </c>
      <c r="F3560" s="6">
        <v>0</v>
      </c>
      <c r="G3560" s="6">
        <v>12</v>
      </c>
      <c r="H3560" s="6" t="s">
        <v>32758</v>
      </c>
      <c r="I3560" s="6">
        <v>526.6875</v>
      </c>
      <c r="J3560" s="2">
        <f t="shared" si="55"/>
        <v>43748.710794907405</v>
      </c>
    </row>
    <row r="3561" spans="1:10" x14ac:dyDescent="0.25">
      <c r="A3561" s="7" t="s">
        <v>32759</v>
      </c>
      <c r="B3561" s="8">
        <v>393.75</v>
      </c>
      <c r="C3561" s="8">
        <v>20.584240000000001</v>
      </c>
      <c r="D3561" s="8">
        <v>70</v>
      </c>
      <c r="E3561" s="8">
        <v>0</v>
      </c>
      <c r="F3561" s="8">
        <v>0</v>
      </c>
      <c r="G3561" s="8">
        <v>10</v>
      </c>
      <c r="H3561" s="8" t="s">
        <v>32760</v>
      </c>
      <c r="I3561" s="8">
        <v>526.6875</v>
      </c>
      <c r="J3561" s="3">
        <f t="shared" si="55"/>
        <v>43748.710866435184</v>
      </c>
    </row>
    <row r="3562" spans="1:10" x14ac:dyDescent="0.25">
      <c r="A3562" s="5" t="s">
        <v>32761</v>
      </c>
      <c r="B3562" s="6">
        <v>393.75</v>
      </c>
      <c r="C3562" s="6">
        <v>20.531590000000001</v>
      </c>
      <c r="D3562" s="6">
        <v>71</v>
      </c>
      <c r="E3562" s="6">
        <v>0</v>
      </c>
      <c r="F3562" s="6">
        <v>0</v>
      </c>
      <c r="G3562" s="6">
        <v>15</v>
      </c>
      <c r="H3562" s="6" t="s">
        <v>32762</v>
      </c>
      <c r="I3562" s="6">
        <v>526.5</v>
      </c>
      <c r="J3562" s="2">
        <f t="shared" si="55"/>
        <v>43748.71093818287</v>
      </c>
    </row>
    <row r="3563" spans="1:10" x14ac:dyDescent="0.25">
      <c r="A3563" s="7" t="s">
        <v>32763</v>
      </c>
      <c r="B3563" s="8">
        <v>393.75</v>
      </c>
      <c r="C3563" s="8">
        <v>20.584240000000001</v>
      </c>
      <c r="D3563" s="8">
        <v>74</v>
      </c>
      <c r="E3563" s="8">
        <v>0</v>
      </c>
      <c r="F3563" s="8">
        <v>0</v>
      </c>
      <c r="G3563" s="8">
        <v>12</v>
      </c>
      <c r="H3563" s="8" t="s">
        <v>32764</v>
      </c>
      <c r="I3563" s="8">
        <v>526.6875</v>
      </c>
      <c r="J3563" s="3">
        <f t="shared" si="55"/>
        <v>43748.711009722225</v>
      </c>
    </row>
    <row r="3564" spans="1:10" x14ac:dyDescent="0.25">
      <c r="A3564" s="5" t="s">
        <v>32765</v>
      </c>
      <c r="B3564" s="6">
        <v>415.625</v>
      </c>
      <c r="C3564" s="6">
        <v>20.478950000000001</v>
      </c>
      <c r="D3564" s="6">
        <v>73</v>
      </c>
      <c r="E3564" s="6">
        <v>0</v>
      </c>
      <c r="F3564" s="6">
        <v>0</v>
      </c>
      <c r="G3564" s="6">
        <v>13</v>
      </c>
      <c r="H3564" s="6" t="s">
        <v>32766</v>
      </c>
      <c r="I3564" s="6">
        <v>533.25</v>
      </c>
      <c r="J3564" s="2">
        <f t="shared" si="55"/>
        <v>43748.711080995367</v>
      </c>
    </row>
    <row r="3565" spans="1:10" x14ac:dyDescent="0.25">
      <c r="A3565" s="7" t="s">
        <v>32767</v>
      </c>
      <c r="B3565" s="8">
        <v>393.75</v>
      </c>
      <c r="C3565" s="8">
        <v>20.584240000000001</v>
      </c>
      <c r="D3565" s="8">
        <v>72</v>
      </c>
      <c r="E3565" s="8">
        <v>0</v>
      </c>
      <c r="F3565" s="8">
        <v>0</v>
      </c>
      <c r="G3565" s="8">
        <v>12</v>
      </c>
      <c r="H3565" s="8" t="s">
        <v>32768</v>
      </c>
      <c r="I3565" s="8">
        <v>526.6875</v>
      </c>
      <c r="J3565" s="3">
        <f t="shared" si="55"/>
        <v>43748.711152800919</v>
      </c>
    </row>
    <row r="3566" spans="1:10" x14ac:dyDescent="0.25">
      <c r="A3566" s="5" t="s">
        <v>32769</v>
      </c>
      <c r="B3566" s="6">
        <v>393.75</v>
      </c>
      <c r="C3566" s="6">
        <v>20.531590000000001</v>
      </c>
      <c r="D3566" s="6">
        <v>73</v>
      </c>
      <c r="E3566" s="6">
        <v>0</v>
      </c>
      <c r="F3566" s="6">
        <v>0</v>
      </c>
      <c r="G3566" s="6">
        <v>11</v>
      </c>
      <c r="H3566" s="6" t="s">
        <v>32770</v>
      </c>
      <c r="I3566" s="6">
        <v>526.6875</v>
      </c>
      <c r="J3566" s="2">
        <f t="shared" si="55"/>
        <v>43748.711224525461</v>
      </c>
    </row>
    <row r="3567" spans="1:10" x14ac:dyDescent="0.25">
      <c r="A3567" s="7" t="s">
        <v>32771</v>
      </c>
      <c r="B3567" s="8">
        <v>393.75</v>
      </c>
      <c r="C3567" s="8">
        <v>20.478950000000001</v>
      </c>
      <c r="D3567" s="8">
        <v>74</v>
      </c>
      <c r="E3567" s="8">
        <v>0</v>
      </c>
      <c r="F3567" s="8">
        <v>0</v>
      </c>
      <c r="G3567" s="8">
        <v>4</v>
      </c>
      <c r="H3567" s="8" t="s">
        <v>32772</v>
      </c>
      <c r="I3567" s="8">
        <v>526.6875</v>
      </c>
      <c r="J3567" s="3">
        <f t="shared" si="55"/>
        <v>43748.711295833331</v>
      </c>
    </row>
    <row r="3568" spans="1:10" x14ac:dyDescent="0.25">
      <c r="A3568" s="5" t="s">
        <v>32773</v>
      </c>
      <c r="B3568" s="6">
        <v>393.75</v>
      </c>
      <c r="C3568" s="6">
        <v>20.478950000000001</v>
      </c>
      <c r="D3568" s="6">
        <v>74</v>
      </c>
      <c r="E3568" s="6">
        <v>0</v>
      </c>
      <c r="F3568" s="6">
        <v>0</v>
      </c>
      <c r="G3568" s="6">
        <v>11</v>
      </c>
      <c r="H3568" s="6" t="s">
        <v>32774</v>
      </c>
      <c r="I3568" s="6">
        <v>526.6875</v>
      </c>
      <c r="J3568" s="2">
        <f t="shared" si="55"/>
        <v>43748.711367361109</v>
      </c>
    </row>
    <row r="3569" spans="1:10" x14ac:dyDescent="0.25">
      <c r="A3569" s="7" t="s">
        <v>32775</v>
      </c>
      <c r="B3569" s="8">
        <v>396.875</v>
      </c>
      <c r="C3569" s="8">
        <v>20.531590000000001</v>
      </c>
      <c r="D3569" s="8">
        <v>73</v>
      </c>
      <c r="E3569" s="8">
        <v>0</v>
      </c>
      <c r="F3569" s="8">
        <v>0</v>
      </c>
      <c r="G3569" s="8">
        <v>9</v>
      </c>
      <c r="H3569" s="8" t="s">
        <v>32776</v>
      </c>
      <c r="I3569" s="8">
        <v>527.4375</v>
      </c>
      <c r="J3569" s="3">
        <f t="shared" si="55"/>
        <v>43748.711439004626</v>
      </c>
    </row>
    <row r="3570" spans="1:10" x14ac:dyDescent="0.25">
      <c r="A3570" s="5" t="s">
        <v>32777</v>
      </c>
      <c r="B3570" s="6">
        <v>396.875</v>
      </c>
      <c r="C3570" s="6">
        <v>20.531590000000001</v>
      </c>
      <c r="D3570" s="6">
        <v>73</v>
      </c>
      <c r="E3570" s="6">
        <v>0</v>
      </c>
      <c r="F3570" s="6">
        <v>0</v>
      </c>
      <c r="G3570" s="6">
        <v>9</v>
      </c>
      <c r="H3570" s="6" t="s">
        <v>32778</v>
      </c>
      <c r="I3570" s="6">
        <v>527.4375</v>
      </c>
      <c r="J3570" s="2">
        <f t="shared" si="55"/>
        <v>43748.711510879628</v>
      </c>
    </row>
    <row r="3571" spans="1:10" x14ac:dyDescent="0.25">
      <c r="A3571" s="7" t="s">
        <v>32779</v>
      </c>
      <c r="B3571" s="8">
        <v>396.875</v>
      </c>
      <c r="C3571" s="8">
        <v>20.478950000000001</v>
      </c>
      <c r="D3571" s="8">
        <v>74</v>
      </c>
      <c r="E3571" s="8">
        <v>0</v>
      </c>
      <c r="F3571" s="8">
        <v>0</v>
      </c>
      <c r="G3571" s="8">
        <v>13</v>
      </c>
      <c r="H3571" s="8" t="s">
        <v>32780</v>
      </c>
      <c r="I3571" s="8">
        <v>527.4375</v>
      </c>
      <c r="J3571" s="3">
        <f t="shared" si="55"/>
        <v>43748.711582060183</v>
      </c>
    </row>
    <row r="3572" spans="1:10" x14ac:dyDescent="0.25">
      <c r="A3572" s="5" t="s">
        <v>32781</v>
      </c>
      <c r="B3572" s="6">
        <v>396.875</v>
      </c>
      <c r="C3572" s="6">
        <v>20.478950000000001</v>
      </c>
      <c r="D3572" s="6">
        <v>73</v>
      </c>
      <c r="E3572" s="6">
        <v>0</v>
      </c>
      <c r="F3572" s="6">
        <v>0</v>
      </c>
      <c r="G3572" s="6">
        <v>7</v>
      </c>
      <c r="H3572" s="6" t="s">
        <v>32782</v>
      </c>
      <c r="I3572" s="6">
        <v>527.4375</v>
      </c>
      <c r="J3572" s="2">
        <f t="shared" si="55"/>
        <v>43748.711653692131</v>
      </c>
    </row>
    <row r="3573" spans="1:10" x14ac:dyDescent="0.25">
      <c r="A3573" s="7" t="s">
        <v>32783</v>
      </c>
      <c r="B3573" s="8">
        <v>396.875</v>
      </c>
      <c r="C3573" s="8">
        <v>20.531590000000001</v>
      </c>
      <c r="D3573" s="8">
        <v>72</v>
      </c>
      <c r="E3573" s="8">
        <v>0</v>
      </c>
      <c r="F3573" s="8">
        <v>0</v>
      </c>
      <c r="G3573" s="8">
        <v>9</v>
      </c>
      <c r="H3573" s="8" t="s">
        <v>32784</v>
      </c>
      <c r="I3573" s="8">
        <v>527.4375</v>
      </c>
      <c r="J3573" s="3">
        <f t="shared" si="55"/>
        <v>43748.711725439811</v>
      </c>
    </row>
    <row r="3574" spans="1:10" x14ac:dyDescent="0.25">
      <c r="A3574" s="5" t="s">
        <v>32785</v>
      </c>
      <c r="B3574" s="6">
        <v>396.875</v>
      </c>
      <c r="C3574" s="6">
        <v>20.531590000000001</v>
      </c>
      <c r="D3574" s="6">
        <v>72</v>
      </c>
      <c r="E3574" s="6">
        <v>0</v>
      </c>
      <c r="F3574" s="6">
        <v>0</v>
      </c>
      <c r="G3574" s="6">
        <v>4</v>
      </c>
      <c r="H3574" s="6" t="s">
        <v>32786</v>
      </c>
      <c r="I3574" s="6">
        <v>527.4375</v>
      </c>
      <c r="J3574" s="2">
        <f t="shared" si="55"/>
        <v>43748.711799421297</v>
      </c>
    </row>
    <row r="3575" spans="1:10" x14ac:dyDescent="0.25">
      <c r="A3575" s="7" t="s">
        <v>32787</v>
      </c>
      <c r="B3575" s="8">
        <v>396.875</v>
      </c>
      <c r="C3575" s="8">
        <v>20.531590000000001</v>
      </c>
      <c r="D3575" s="8">
        <v>72</v>
      </c>
      <c r="E3575" s="8">
        <v>0</v>
      </c>
      <c r="F3575" s="8">
        <v>0</v>
      </c>
      <c r="G3575" s="8">
        <v>5</v>
      </c>
      <c r="H3575" s="8" t="s">
        <v>32788</v>
      </c>
      <c r="I3575" s="8">
        <v>527.4375</v>
      </c>
      <c r="J3575" s="3">
        <f t="shared" si="55"/>
        <v>43748.711880185183</v>
      </c>
    </row>
    <row r="3576" spans="1:10" x14ac:dyDescent="0.25">
      <c r="A3576" s="5" t="s">
        <v>32789</v>
      </c>
      <c r="B3576" s="6">
        <v>437.5</v>
      </c>
      <c r="C3576" s="6">
        <v>20.531590000000001</v>
      </c>
      <c r="D3576" s="6">
        <v>66</v>
      </c>
      <c r="E3576" s="6">
        <v>0</v>
      </c>
      <c r="F3576" s="6">
        <v>0</v>
      </c>
      <c r="G3576" s="6">
        <v>6</v>
      </c>
      <c r="H3576" s="6" t="s">
        <v>32790</v>
      </c>
      <c r="I3576" s="6">
        <v>540.1875</v>
      </c>
      <c r="J3576" s="2">
        <f t="shared" si="55"/>
        <v>43748.7119518287</v>
      </c>
    </row>
    <row r="3577" spans="1:10" x14ac:dyDescent="0.25">
      <c r="A3577" s="7" t="s">
        <v>32791</v>
      </c>
      <c r="B3577" s="8">
        <v>393.75</v>
      </c>
      <c r="C3577" s="8">
        <v>20.531590000000001</v>
      </c>
      <c r="D3577" s="8">
        <v>67</v>
      </c>
      <c r="E3577" s="8">
        <v>0</v>
      </c>
      <c r="F3577" s="8">
        <v>0</v>
      </c>
      <c r="G3577" s="8">
        <v>9</v>
      </c>
      <c r="H3577" s="8" t="s">
        <v>32792</v>
      </c>
      <c r="I3577" s="8">
        <v>526.6875</v>
      </c>
      <c r="J3577" s="3">
        <f t="shared" si="55"/>
        <v>43748.712023703702</v>
      </c>
    </row>
    <row r="3578" spans="1:10" x14ac:dyDescent="0.25">
      <c r="A3578" s="5" t="s">
        <v>32793</v>
      </c>
      <c r="B3578" s="6">
        <v>393.75</v>
      </c>
      <c r="C3578" s="6">
        <v>20.478950000000001</v>
      </c>
      <c r="D3578" s="6">
        <v>66</v>
      </c>
      <c r="E3578" s="6">
        <v>0</v>
      </c>
      <c r="F3578" s="6">
        <v>0</v>
      </c>
      <c r="G3578" s="6">
        <v>6</v>
      </c>
      <c r="H3578" s="6" t="s">
        <v>32794</v>
      </c>
      <c r="I3578" s="6">
        <v>526.6875</v>
      </c>
      <c r="J3578" s="2">
        <f t="shared" si="55"/>
        <v>43748.712095000003</v>
      </c>
    </row>
    <row r="3579" spans="1:10" x14ac:dyDescent="0.25">
      <c r="A3579" s="7" t="s">
        <v>32795</v>
      </c>
      <c r="B3579" s="8">
        <v>393.75</v>
      </c>
      <c r="C3579" s="8">
        <v>20.531590000000001</v>
      </c>
      <c r="D3579" s="8">
        <v>66</v>
      </c>
      <c r="E3579" s="8">
        <v>0</v>
      </c>
      <c r="F3579" s="8">
        <v>0</v>
      </c>
      <c r="G3579" s="8">
        <v>11</v>
      </c>
      <c r="H3579" s="8" t="s">
        <v>32796</v>
      </c>
      <c r="I3579" s="8">
        <v>526.6875</v>
      </c>
      <c r="J3579" s="3">
        <f t="shared" si="55"/>
        <v>43748.712166562495</v>
      </c>
    </row>
    <row r="3580" spans="1:10" x14ac:dyDescent="0.25">
      <c r="A3580" s="5" t="s">
        <v>32797</v>
      </c>
      <c r="B3580" s="6">
        <v>393.75</v>
      </c>
      <c r="C3580" s="6">
        <v>20.531590000000001</v>
      </c>
      <c r="D3580" s="6">
        <v>67</v>
      </c>
      <c r="E3580" s="6">
        <v>0</v>
      </c>
      <c r="F3580" s="6">
        <v>0</v>
      </c>
      <c r="G3580" s="6">
        <v>9</v>
      </c>
      <c r="H3580" s="6" t="s">
        <v>32798</v>
      </c>
      <c r="I3580" s="6">
        <v>526.5</v>
      </c>
      <c r="J3580" s="2">
        <f t="shared" si="55"/>
        <v>43748.7122475</v>
      </c>
    </row>
    <row r="3581" spans="1:10" x14ac:dyDescent="0.25">
      <c r="A3581" s="7" t="s">
        <v>32799</v>
      </c>
      <c r="B3581" s="8">
        <v>393.75</v>
      </c>
      <c r="C3581" s="8">
        <v>20.531590000000001</v>
      </c>
      <c r="D3581" s="8">
        <v>67</v>
      </c>
      <c r="E3581" s="8">
        <v>0</v>
      </c>
      <c r="F3581" s="8">
        <v>0</v>
      </c>
      <c r="G3581" s="8">
        <v>5</v>
      </c>
      <c r="H3581" s="8" t="s">
        <v>32800</v>
      </c>
      <c r="I3581" s="8">
        <v>526.6875</v>
      </c>
      <c r="J3581" s="3">
        <f t="shared" si="55"/>
        <v>43748.712321747684</v>
      </c>
    </row>
    <row r="3582" spans="1:10" x14ac:dyDescent="0.25">
      <c r="A3582" s="5" t="s">
        <v>32801</v>
      </c>
      <c r="B3582" s="6">
        <v>393.75</v>
      </c>
      <c r="C3582" s="6">
        <v>20.478950000000001</v>
      </c>
      <c r="D3582" s="6">
        <v>67</v>
      </c>
      <c r="E3582" s="6">
        <v>0</v>
      </c>
      <c r="F3582" s="6">
        <v>0</v>
      </c>
      <c r="G3582" s="6">
        <v>7</v>
      </c>
      <c r="H3582" s="6" t="s">
        <v>32802</v>
      </c>
      <c r="I3582" s="6">
        <v>526.6875</v>
      </c>
      <c r="J3582" s="2">
        <f t="shared" si="55"/>
        <v>43748.712393159723</v>
      </c>
    </row>
    <row r="3583" spans="1:10" x14ac:dyDescent="0.25">
      <c r="A3583" s="7" t="s">
        <v>32803</v>
      </c>
      <c r="B3583" s="8">
        <v>393.75</v>
      </c>
      <c r="C3583" s="8">
        <v>20.478950000000001</v>
      </c>
      <c r="D3583" s="8">
        <v>67</v>
      </c>
      <c r="E3583" s="8">
        <v>0</v>
      </c>
      <c r="F3583" s="8">
        <v>0</v>
      </c>
      <c r="G3583" s="8">
        <v>10</v>
      </c>
      <c r="H3583" s="8" t="s">
        <v>32804</v>
      </c>
      <c r="I3583" s="8">
        <v>526.5</v>
      </c>
      <c r="J3583" s="3">
        <f t="shared" si="55"/>
        <v>43748.712464583332</v>
      </c>
    </row>
    <row r="3584" spans="1:10" x14ac:dyDescent="0.25">
      <c r="A3584" s="5" t="s">
        <v>32805</v>
      </c>
      <c r="B3584" s="6">
        <v>412.5</v>
      </c>
      <c r="C3584" s="6">
        <v>20.531590000000001</v>
      </c>
      <c r="D3584" s="6">
        <v>67</v>
      </c>
      <c r="E3584" s="6">
        <v>0</v>
      </c>
      <c r="F3584" s="6">
        <v>0</v>
      </c>
      <c r="G3584" s="6">
        <v>4</v>
      </c>
      <c r="H3584" s="6" t="s">
        <v>32806</v>
      </c>
      <c r="I3584" s="6">
        <v>532.5</v>
      </c>
      <c r="J3584" s="2">
        <f t="shared" si="55"/>
        <v>43748.712536226849</v>
      </c>
    </row>
    <row r="3585" spans="1:10" x14ac:dyDescent="0.25">
      <c r="A3585" s="7" t="s">
        <v>32807</v>
      </c>
      <c r="B3585" s="8">
        <v>393.75</v>
      </c>
      <c r="C3585" s="8">
        <v>20.531590000000001</v>
      </c>
      <c r="D3585" s="8">
        <v>67</v>
      </c>
      <c r="E3585" s="8">
        <v>0</v>
      </c>
      <c r="F3585" s="8">
        <v>0</v>
      </c>
      <c r="G3585" s="8">
        <v>4</v>
      </c>
      <c r="H3585" s="8" t="s">
        <v>32808</v>
      </c>
      <c r="I3585" s="8">
        <v>526.6875</v>
      </c>
      <c r="J3585" s="3">
        <f t="shared" si="55"/>
        <v>43748.712620023151</v>
      </c>
    </row>
    <row r="3586" spans="1:10" x14ac:dyDescent="0.25">
      <c r="A3586" s="5" t="s">
        <v>32809</v>
      </c>
      <c r="B3586" s="6">
        <v>393.75</v>
      </c>
      <c r="C3586" s="6">
        <v>20.531590000000001</v>
      </c>
      <c r="D3586" s="6">
        <v>67</v>
      </c>
      <c r="E3586" s="6">
        <v>0</v>
      </c>
      <c r="F3586" s="6">
        <v>0</v>
      </c>
      <c r="G3586" s="6">
        <v>3</v>
      </c>
      <c r="H3586" s="6" t="s">
        <v>32810</v>
      </c>
      <c r="I3586" s="6">
        <v>526.6875</v>
      </c>
      <c r="J3586" s="2">
        <f t="shared" ref="J3586:J3649" si="56">(H3586/86400000)+25569+(7/24)</f>
        <v>43748.712703356483</v>
      </c>
    </row>
    <row r="3587" spans="1:10" x14ac:dyDescent="0.25">
      <c r="A3587" s="7" t="s">
        <v>32811</v>
      </c>
      <c r="B3587" s="8">
        <v>393.75</v>
      </c>
      <c r="C3587" s="8">
        <v>20.531590000000001</v>
      </c>
      <c r="D3587" s="8">
        <v>67</v>
      </c>
      <c r="E3587" s="8">
        <v>0</v>
      </c>
      <c r="F3587" s="8">
        <v>0</v>
      </c>
      <c r="G3587" s="8">
        <v>0</v>
      </c>
      <c r="H3587" s="8" t="s">
        <v>32812</v>
      </c>
      <c r="I3587" s="8">
        <v>526.6875</v>
      </c>
      <c r="J3587" s="3">
        <f t="shared" si="56"/>
        <v>43748.712774652777</v>
      </c>
    </row>
    <row r="3588" spans="1:10" x14ac:dyDescent="0.25">
      <c r="A3588" s="5" t="s">
        <v>32813</v>
      </c>
      <c r="B3588" s="6">
        <v>393.75</v>
      </c>
      <c r="C3588" s="6">
        <v>20.478950000000001</v>
      </c>
      <c r="D3588" s="6">
        <v>67</v>
      </c>
      <c r="E3588" s="6">
        <v>0</v>
      </c>
      <c r="F3588" s="6">
        <v>0</v>
      </c>
      <c r="G3588" s="6">
        <v>7</v>
      </c>
      <c r="H3588" s="6" t="s">
        <v>32814</v>
      </c>
      <c r="I3588" s="6">
        <v>526.5</v>
      </c>
      <c r="J3588" s="2">
        <f t="shared" si="56"/>
        <v>43748.712845937502</v>
      </c>
    </row>
    <row r="3589" spans="1:10" x14ac:dyDescent="0.25">
      <c r="A3589" s="7" t="s">
        <v>32815</v>
      </c>
      <c r="B3589" s="8">
        <v>393.75</v>
      </c>
      <c r="C3589" s="8">
        <v>20.531590000000001</v>
      </c>
      <c r="D3589" s="8">
        <v>68</v>
      </c>
      <c r="E3589" s="8">
        <v>0</v>
      </c>
      <c r="F3589" s="8">
        <v>0</v>
      </c>
      <c r="G3589" s="8">
        <v>8</v>
      </c>
      <c r="H3589" s="8" t="s">
        <v>32816</v>
      </c>
      <c r="I3589" s="8">
        <v>526.6875</v>
      </c>
      <c r="J3589" s="3">
        <f t="shared" si="56"/>
        <v>43748.71291814815</v>
      </c>
    </row>
    <row r="3590" spans="1:10" x14ac:dyDescent="0.25">
      <c r="A3590" s="5" t="s">
        <v>32817</v>
      </c>
      <c r="B3590" s="6">
        <v>393.75</v>
      </c>
      <c r="C3590" s="6">
        <v>20.584240000000001</v>
      </c>
      <c r="D3590" s="6">
        <v>68</v>
      </c>
      <c r="E3590" s="6">
        <v>0</v>
      </c>
      <c r="F3590" s="6">
        <v>0</v>
      </c>
      <c r="G3590" s="6">
        <v>5</v>
      </c>
      <c r="H3590" s="6" t="s">
        <v>32818</v>
      </c>
      <c r="I3590" s="6">
        <v>526.6875</v>
      </c>
      <c r="J3590" s="2">
        <f t="shared" si="56"/>
        <v>43748.712989398147</v>
      </c>
    </row>
    <row r="3591" spans="1:10" x14ac:dyDescent="0.25">
      <c r="A3591" s="7" t="s">
        <v>32819</v>
      </c>
      <c r="B3591" s="8">
        <v>393.75</v>
      </c>
      <c r="C3591" s="8">
        <v>20.531590000000001</v>
      </c>
      <c r="D3591" s="8">
        <v>69</v>
      </c>
      <c r="E3591" s="8">
        <v>0</v>
      </c>
      <c r="F3591" s="8">
        <v>0</v>
      </c>
      <c r="G3591" s="8">
        <v>8</v>
      </c>
      <c r="H3591" s="8" t="s">
        <v>32820</v>
      </c>
      <c r="I3591" s="8">
        <v>526.6875</v>
      </c>
      <c r="J3591" s="3">
        <f t="shared" si="56"/>
        <v>43748.713073263883</v>
      </c>
    </row>
    <row r="3592" spans="1:10" x14ac:dyDescent="0.25">
      <c r="A3592" s="5" t="s">
        <v>32821</v>
      </c>
      <c r="B3592" s="6">
        <v>393.75</v>
      </c>
      <c r="C3592" s="6">
        <v>20.531590000000001</v>
      </c>
      <c r="D3592" s="6">
        <v>69</v>
      </c>
      <c r="E3592" s="6">
        <v>0</v>
      </c>
      <c r="F3592" s="6">
        <v>0</v>
      </c>
      <c r="G3592" s="6">
        <v>11</v>
      </c>
      <c r="H3592" s="6" t="s">
        <v>32822</v>
      </c>
      <c r="I3592" s="6">
        <v>526.6875</v>
      </c>
      <c r="J3592" s="2">
        <f t="shared" si="56"/>
        <v>43748.713145081019</v>
      </c>
    </row>
    <row r="3593" spans="1:10" x14ac:dyDescent="0.25">
      <c r="A3593" s="7" t="s">
        <v>32823</v>
      </c>
      <c r="B3593" s="8">
        <v>393.75</v>
      </c>
      <c r="C3593" s="8">
        <v>20.531590000000001</v>
      </c>
      <c r="D3593" s="8">
        <v>69</v>
      </c>
      <c r="E3593" s="8">
        <v>0</v>
      </c>
      <c r="F3593" s="8">
        <v>0</v>
      </c>
      <c r="G3593" s="8">
        <v>2</v>
      </c>
      <c r="H3593" s="8" t="s">
        <v>32824</v>
      </c>
      <c r="I3593" s="8">
        <v>526.6875</v>
      </c>
      <c r="J3593" s="3">
        <f t="shared" si="56"/>
        <v>43748.713222430553</v>
      </c>
    </row>
    <row r="3594" spans="1:10" x14ac:dyDescent="0.25">
      <c r="A3594" s="5" t="s">
        <v>32825</v>
      </c>
      <c r="B3594" s="6">
        <v>412.5</v>
      </c>
      <c r="C3594" s="6">
        <v>20.478950000000001</v>
      </c>
      <c r="D3594" s="6">
        <v>67</v>
      </c>
      <c r="E3594" s="6">
        <v>0</v>
      </c>
      <c r="F3594" s="6">
        <v>0</v>
      </c>
      <c r="G3594" s="6">
        <v>11</v>
      </c>
      <c r="H3594" s="6" t="s">
        <v>32826</v>
      </c>
      <c r="I3594" s="6">
        <v>532.3125</v>
      </c>
      <c r="J3594" s="2">
        <f t="shared" si="56"/>
        <v>43748.713299652773</v>
      </c>
    </row>
    <row r="3595" spans="1:10" x14ac:dyDescent="0.25">
      <c r="A3595" s="7" t="s">
        <v>32827</v>
      </c>
      <c r="B3595" s="8">
        <v>393.75</v>
      </c>
      <c r="C3595" s="8">
        <v>20.531590000000001</v>
      </c>
      <c r="D3595" s="8">
        <v>67</v>
      </c>
      <c r="E3595" s="8">
        <v>0</v>
      </c>
      <c r="F3595" s="8">
        <v>0</v>
      </c>
      <c r="G3595" s="8">
        <v>5</v>
      </c>
      <c r="H3595" s="8" t="s">
        <v>32828</v>
      </c>
      <c r="I3595" s="8">
        <v>526.6875</v>
      </c>
      <c r="J3595" s="3">
        <f t="shared" si="56"/>
        <v>43748.713371168975</v>
      </c>
    </row>
    <row r="3596" spans="1:10" x14ac:dyDescent="0.25">
      <c r="A3596" s="5" t="s">
        <v>32829</v>
      </c>
      <c r="B3596" s="6">
        <v>393.75</v>
      </c>
      <c r="C3596" s="6">
        <v>20.531590000000001</v>
      </c>
      <c r="D3596" s="6">
        <v>67</v>
      </c>
      <c r="E3596" s="6">
        <v>0</v>
      </c>
      <c r="F3596" s="6">
        <v>0</v>
      </c>
      <c r="G3596" s="6">
        <v>6</v>
      </c>
      <c r="H3596" s="6" t="s">
        <v>32830</v>
      </c>
      <c r="I3596" s="6">
        <v>526.6875</v>
      </c>
      <c r="J3596" s="2">
        <f t="shared" si="56"/>
        <v>43748.713442708329</v>
      </c>
    </row>
    <row r="3597" spans="1:10" x14ac:dyDescent="0.25">
      <c r="A3597" s="7" t="s">
        <v>32831</v>
      </c>
      <c r="B3597" s="8">
        <v>393.75</v>
      </c>
      <c r="C3597" s="8">
        <v>20.478950000000001</v>
      </c>
      <c r="D3597" s="8">
        <v>68</v>
      </c>
      <c r="E3597" s="8">
        <v>0</v>
      </c>
      <c r="F3597" s="8">
        <v>0</v>
      </c>
      <c r="G3597" s="8">
        <v>5</v>
      </c>
      <c r="H3597" s="8" t="s">
        <v>32832</v>
      </c>
      <c r="I3597" s="8">
        <v>526.6875</v>
      </c>
      <c r="J3597" s="3">
        <f t="shared" si="56"/>
        <v>43748.71352626157</v>
      </c>
    </row>
    <row r="3598" spans="1:10" x14ac:dyDescent="0.25">
      <c r="A3598" s="5" t="s">
        <v>32833</v>
      </c>
      <c r="B3598" s="6">
        <v>393.75</v>
      </c>
      <c r="C3598" s="6">
        <v>20.478950000000001</v>
      </c>
      <c r="D3598" s="6">
        <v>67</v>
      </c>
      <c r="E3598" s="6">
        <v>0</v>
      </c>
      <c r="F3598" s="6">
        <v>0</v>
      </c>
      <c r="G3598" s="6">
        <v>7</v>
      </c>
      <c r="H3598" s="6" t="s">
        <v>32834</v>
      </c>
      <c r="I3598" s="6">
        <v>526.6875</v>
      </c>
      <c r="J3598" s="2">
        <f t="shared" si="56"/>
        <v>43748.713609826387</v>
      </c>
    </row>
    <row r="3599" spans="1:10" x14ac:dyDescent="0.25">
      <c r="A3599" s="7" t="s">
        <v>32835</v>
      </c>
      <c r="B3599" s="8">
        <v>393.75</v>
      </c>
      <c r="C3599" s="8">
        <v>20.478950000000001</v>
      </c>
      <c r="D3599" s="8">
        <v>68</v>
      </c>
      <c r="E3599" s="8">
        <v>0</v>
      </c>
      <c r="F3599" s="8">
        <v>0</v>
      </c>
      <c r="G3599" s="8">
        <v>9</v>
      </c>
      <c r="H3599" s="8" t="s">
        <v>32836</v>
      </c>
      <c r="I3599" s="8">
        <v>526.6875</v>
      </c>
      <c r="J3599" s="3">
        <f t="shared" si="56"/>
        <v>43748.713693287034</v>
      </c>
    </row>
    <row r="3600" spans="1:10" x14ac:dyDescent="0.25">
      <c r="A3600" s="5" t="s">
        <v>32837</v>
      </c>
      <c r="B3600" s="6">
        <v>396.875</v>
      </c>
      <c r="C3600" s="6">
        <v>20.478950000000001</v>
      </c>
      <c r="D3600" s="6">
        <v>68</v>
      </c>
      <c r="E3600" s="6">
        <v>0</v>
      </c>
      <c r="F3600" s="6">
        <v>0</v>
      </c>
      <c r="G3600" s="6">
        <v>8</v>
      </c>
      <c r="H3600" s="6" t="s">
        <v>32838</v>
      </c>
      <c r="I3600" s="6">
        <v>527.4375</v>
      </c>
      <c r="J3600" s="2">
        <f t="shared" si="56"/>
        <v>43748.713776712961</v>
      </c>
    </row>
    <row r="3601" spans="1:10" x14ac:dyDescent="0.25">
      <c r="A3601" s="7" t="s">
        <v>32839</v>
      </c>
      <c r="B3601" s="8">
        <v>393.75</v>
      </c>
      <c r="C3601" s="8">
        <v>20.531590000000001</v>
      </c>
      <c r="D3601" s="8">
        <v>68</v>
      </c>
      <c r="E3601" s="8">
        <v>0</v>
      </c>
      <c r="F3601" s="8">
        <v>0</v>
      </c>
      <c r="G3601" s="8">
        <v>2</v>
      </c>
      <c r="H3601" s="8" t="s">
        <v>32840</v>
      </c>
      <c r="I3601" s="8">
        <v>526.5</v>
      </c>
      <c r="J3601" s="3">
        <f t="shared" si="56"/>
        <v>43748.713859953707</v>
      </c>
    </row>
    <row r="3602" spans="1:10" x14ac:dyDescent="0.25">
      <c r="A3602" s="5" t="s">
        <v>32841</v>
      </c>
      <c r="B3602" s="6">
        <v>396.875</v>
      </c>
      <c r="C3602" s="6">
        <v>20.531590000000001</v>
      </c>
      <c r="D3602" s="6">
        <v>68</v>
      </c>
      <c r="E3602" s="6">
        <v>0</v>
      </c>
      <c r="F3602" s="6">
        <v>0</v>
      </c>
      <c r="G3602" s="6">
        <v>8</v>
      </c>
      <c r="H3602" s="6" t="s">
        <v>32842</v>
      </c>
      <c r="I3602" s="6">
        <v>527.4375</v>
      </c>
      <c r="J3602" s="2">
        <f t="shared" si="56"/>
        <v>43748.713943726849</v>
      </c>
    </row>
    <row r="3603" spans="1:10" x14ac:dyDescent="0.25">
      <c r="A3603" s="7" t="s">
        <v>32843</v>
      </c>
      <c r="B3603" s="8">
        <v>393.75</v>
      </c>
      <c r="C3603" s="8">
        <v>20.531590000000001</v>
      </c>
      <c r="D3603" s="8">
        <v>68</v>
      </c>
      <c r="E3603" s="8">
        <v>0</v>
      </c>
      <c r="F3603" s="8">
        <v>0</v>
      </c>
      <c r="G3603" s="8">
        <v>9</v>
      </c>
      <c r="H3603" s="8" t="s">
        <v>32844</v>
      </c>
      <c r="I3603" s="8">
        <v>526.6875</v>
      </c>
      <c r="J3603" s="3">
        <f t="shared" si="56"/>
        <v>43748.714027337955</v>
      </c>
    </row>
    <row r="3604" spans="1:10" x14ac:dyDescent="0.25">
      <c r="A3604" s="5" t="s">
        <v>32845</v>
      </c>
      <c r="B3604" s="6">
        <v>393.75</v>
      </c>
      <c r="C3604" s="6">
        <v>20.531590000000001</v>
      </c>
      <c r="D3604" s="6">
        <v>68</v>
      </c>
      <c r="E3604" s="6">
        <v>0</v>
      </c>
      <c r="F3604" s="6">
        <v>0</v>
      </c>
      <c r="G3604" s="6">
        <v>6</v>
      </c>
      <c r="H3604" s="6" t="s">
        <v>32846</v>
      </c>
      <c r="I3604" s="6">
        <v>526.6875</v>
      </c>
      <c r="J3604" s="2">
        <f t="shared" si="56"/>
        <v>43748.71409883102</v>
      </c>
    </row>
    <row r="3605" spans="1:10" x14ac:dyDescent="0.25">
      <c r="A3605" s="7" t="s">
        <v>32847</v>
      </c>
      <c r="B3605" s="8">
        <v>393.75</v>
      </c>
      <c r="C3605" s="8">
        <v>20.531590000000001</v>
      </c>
      <c r="D3605" s="8">
        <v>68</v>
      </c>
      <c r="E3605" s="8">
        <v>0</v>
      </c>
      <c r="F3605" s="8">
        <v>0</v>
      </c>
      <c r="G3605" s="8">
        <v>3</v>
      </c>
      <c r="H3605" s="8" t="s">
        <v>32848</v>
      </c>
      <c r="I3605" s="8">
        <v>526.6875</v>
      </c>
      <c r="J3605" s="3">
        <f t="shared" si="56"/>
        <v>43748.714182164353</v>
      </c>
    </row>
    <row r="3606" spans="1:10" x14ac:dyDescent="0.25">
      <c r="A3606" s="5" t="s">
        <v>32849</v>
      </c>
      <c r="B3606" s="6">
        <v>393.75</v>
      </c>
      <c r="C3606" s="6">
        <v>20.531590000000001</v>
      </c>
      <c r="D3606" s="6">
        <v>68</v>
      </c>
      <c r="E3606" s="6">
        <v>0</v>
      </c>
      <c r="F3606" s="6">
        <v>0</v>
      </c>
      <c r="G3606" s="6">
        <v>4</v>
      </c>
      <c r="H3606" s="6" t="s">
        <v>32850</v>
      </c>
      <c r="I3606" s="6">
        <v>526.5</v>
      </c>
      <c r="J3606" s="2">
        <f t="shared" si="56"/>
        <v>43748.714265844908</v>
      </c>
    </row>
    <row r="3607" spans="1:10" x14ac:dyDescent="0.25">
      <c r="A3607" s="7" t="s">
        <v>32851</v>
      </c>
      <c r="B3607" s="8">
        <v>412.5</v>
      </c>
      <c r="C3607" s="8">
        <v>20.584240000000001</v>
      </c>
      <c r="D3607" s="8">
        <v>69</v>
      </c>
      <c r="E3607" s="8">
        <v>0</v>
      </c>
      <c r="F3607" s="8">
        <v>0</v>
      </c>
      <c r="G3607" s="8">
        <v>4</v>
      </c>
      <c r="H3607" s="8" t="s">
        <v>32852</v>
      </c>
      <c r="I3607" s="8">
        <v>532.3125</v>
      </c>
      <c r="J3607" s="3">
        <f t="shared" si="56"/>
        <v>43748.714348946756</v>
      </c>
    </row>
    <row r="3608" spans="1:10" x14ac:dyDescent="0.25">
      <c r="A3608" s="5" t="s">
        <v>32853</v>
      </c>
      <c r="B3608" s="6">
        <v>396.875</v>
      </c>
      <c r="C3608" s="6">
        <v>20.478950000000001</v>
      </c>
      <c r="D3608" s="6">
        <v>69</v>
      </c>
      <c r="E3608" s="6">
        <v>0</v>
      </c>
      <c r="F3608" s="6">
        <v>0</v>
      </c>
      <c r="G3608" s="6">
        <v>9</v>
      </c>
      <c r="H3608" s="6" t="s">
        <v>32854</v>
      </c>
      <c r="I3608" s="6">
        <v>527.4375</v>
      </c>
      <c r="J3608" s="2">
        <f t="shared" si="56"/>
        <v>43748.714420486103</v>
      </c>
    </row>
    <row r="3609" spans="1:10" x14ac:dyDescent="0.25">
      <c r="A3609" s="7" t="s">
        <v>32855</v>
      </c>
      <c r="B3609" s="8">
        <v>396.875</v>
      </c>
      <c r="C3609" s="8">
        <v>20.478950000000001</v>
      </c>
      <c r="D3609" s="8">
        <v>69</v>
      </c>
      <c r="E3609" s="8">
        <v>0</v>
      </c>
      <c r="F3609" s="8">
        <v>0</v>
      </c>
      <c r="G3609" s="8">
        <v>3</v>
      </c>
      <c r="H3609" s="8" t="s">
        <v>32856</v>
      </c>
      <c r="I3609" s="8">
        <v>527.4375</v>
      </c>
      <c r="J3609" s="3">
        <f t="shared" si="56"/>
        <v>43748.714504386568</v>
      </c>
    </row>
    <row r="3610" spans="1:10" x14ac:dyDescent="0.25">
      <c r="A3610" s="5" t="s">
        <v>32857</v>
      </c>
      <c r="B3610" s="6">
        <v>396.875</v>
      </c>
      <c r="C3610" s="6">
        <v>20.478950000000001</v>
      </c>
      <c r="D3610" s="6">
        <v>69</v>
      </c>
      <c r="E3610" s="6">
        <v>0</v>
      </c>
      <c r="F3610" s="6">
        <v>0</v>
      </c>
      <c r="G3610" s="6">
        <v>8</v>
      </c>
      <c r="H3610" s="6" t="s">
        <v>32858</v>
      </c>
      <c r="I3610" s="6">
        <v>527.4375</v>
      </c>
      <c r="J3610" s="2">
        <f t="shared" si="56"/>
        <v>43748.714587916664</v>
      </c>
    </row>
    <row r="3611" spans="1:10" x14ac:dyDescent="0.25">
      <c r="A3611" s="7" t="s">
        <v>32859</v>
      </c>
      <c r="B3611" s="8">
        <v>393.75</v>
      </c>
      <c r="C3611" s="8">
        <v>20.531590000000001</v>
      </c>
      <c r="D3611" s="8">
        <v>69</v>
      </c>
      <c r="E3611" s="8">
        <v>0</v>
      </c>
      <c r="F3611" s="8">
        <v>0</v>
      </c>
      <c r="G3611" s="8">
        <v>7</v>
      </c>
      <c r="H3611" s="8" t="s">
        <v>32860</v>
      </c>
      <c r="I3611" s="8">
        <v>526.6875</v>
      </c>
      <c r="J3611" s="3">
        <f t="shared" si="56"/>
        <v>43748.714659201381</v>
      </c>
    </row>
    <row r="3612" spans="1:10" x14ac:dyDescent="0.25">
      <c r="A3612" s="5" t="s">
        <v>32861</v>
      </c>
      <c r="B3612" s="6">
        <v>393.75</v>
      </c>
      <c r="C3612" s="6">
        <v>20.478950000000001</v>
      </c>
      <c r="D3612" s="6">
        <v>69</v>
      </c>
      <c r="E3612" s="6">
        <v>0</v>
      </c>
      <c r="F3612" s="6">
        <v>0</v>
      </c>
      <c r="G3612" s="6">
        <v>0</v>
      </c>
      <c r="H3612" s="6" t="s">
        <v>32862</v>
      </c>
      <c r="I3612" s="6">
        <v>526.6875</v>
      </c>
      <c r="J3612" s="2">
        <f t="shared" si="56"/>
        <v>43748.714731006941</v>
      </c>
    </row>
    <row r="3613" spans="1:10" x14ac:dyDescent="0.25">
      <c r="A3613" s="7" t="s">
        <v>32863</v>
      </c>
      <c r="B3613" s="8">
        <v>393.75</v>
      </c>
      <c r="C3613" s="8">
        <v>20.531590000000001</v>
      </c>
      <c r="D3613" s="8">
        <v>68</v>
      </c>
      <c r="E3613" s="8">
        <v>0</v>
      </c>
      <c r="F3613" s="8">
        <v>0</v>
      </c>
      <c r="G3613" s="8">
        <v>7</v>
      </c>
      <c r="H3613" s="8" t="s">
        <v>32864</v>
      </c>
      <c r="I3613" s="8">
        <v>526.5</v>
      </c>
      <c r="J3613" s="3">
        <f t="shared" si="56"/>
        <v>43748.714802766197</v>
      </c>
    </row>
    <row r="3614" spans="1:10" x14ac:dyDescent="0.25">
      <c r="A3614" s="5" t="s">
        <v>32865</v>
      </c>
      <c r="B3614" s="6">
        <v>393.75</v>
      </c>
      <c r="C3614" s="6">
        <v>20.478950000000001</v>
      </c>
      <c r="D3614" s="6">
        <v>69</v>
      </c>
      <c r="E3614" s="6">
        <v>0</v>
      </c>
      <c r="F3614" s="6">
        <v>0</v>
      </c>
      <c r="G3614" s="6">
        <v>13</v>
      </c>
      <c r="H3614" s="6" t="s">
        <v>32866</v>
      </c>
      <c r="I3614" s="6">
        <v>526.6875</v>
      </c>
      <c r="J3614" s="2">
        <f t="shared" si="56"/>
        <v>43748.71487510416</v>
      </c>
    </row>
    <row r="3615" spans="1:10" x14ac:dyDescent="0.25">
      <c r="A3615" s="7" t="s">
        <v>32867</v>
      </c>
      <c r="B3615" s="8">
        <v>393.75</v>
      </c>
      <c r="C3615" s="8">
        <v>20.478950000000001</v>
      </c>
      <c r="D3615" s="8">
        <v>69</v>
      </c>
      <c r="E3615" s="8">
        <v>0</v>
      </c>
      <c r="F3615" s="8">
        <v>0</v>
      </c>
      <c r="G3615" s="8">
        <v>2</v>
      </c>
      <c r="H3615" s="8" t="s">
        <v>32868</v>
      </c>
      <c r="I3615" s="8">
        <v>526.6875</v>
      </c>
      <c r="J3615" s="3">
        <f t="shared" si="56"/>
        <v>43748.714959004625</v>
      </c>
    </row>
    <row r="3616" spans="1:10" x14ac:dyDescent="0.25">
      <c r="A3616" s="5" t="s">
        <v>32869</v>
      </c>
      <c r="B3616" s="6">
        <v>393.75</v>
      </c>
      <c r="C3616" s="6">
        <v>20.478950000000001</v>
      </c>
      <c r="D3616" s="6">
        <v>69</v>
      </c>
      <c r="E3616" s="6">
        <v>0</v>
      </c>
      <c r="F3616" s="6">
        <v>0</v>
      </c>
      <c r="G3616" s="6">
        <v>6</v>
      </c>
      <c r="H3616" s="6" t="s">
        <v>32870</v>
      </c>
      <c r="I3616" s="6">
        <v>526.6875</v>
      </c>
      <c r="J3616" s="2">
        <f t="shared" si="56"/>
        <v>43748.715028807863</v>
      </c>
    </row>
    <row r="3617" spans="1:10" x14ac:dyDescent="0.25">
      <c r="A3617" s="7" t="s">
        <v>32871</v>
      </c>
      <c r="B3617" s="8">
        <v>396.875</v>
      </c>
      <c r="C3617" s="8">
        <v>20.531590000000001</v>
      </c>
      <c r="D3617" s="8">
        <v>70</v>
      </c>
      <c r="E3617" s="8">
        <v>0</v>
      </c>
      <c r="F3617" s="8">
        <v>0</v>
      </c>
      <c r="G3617" s="8">
        <v>15</v>
      </c>
      <c r="H3617" s="8" t="s">
        <v>32872</v>
      </c>
      <c r="I3617" s="8">
        <v>527.4375</v>
      </c>
      <c r="J3617" s="3">
        <f t="shared" si="56"/>
        <v>43748.715100752313</v>
      </c>
    </row>
    <row r="3618" spans="1:10" x14ac:dyDescent="0.25">
      <c r="A3618" s="5" t="s">
        <v>32873</v>
      </c>
      <c r="B3618" s="6">
        <v>396.875</v>
      </c>
      <c r="C3618" s="6">
        <v>20.531590000000001</v>
      </c>
      <c r="D3618" s="6">
        <v>70</v>
      </c>
      <c r="E3618" s="6">
        <v>0</v>
      </c>
      <c r="F3618" s="6">
        <v>0</v>
      </c>
      <c r="G3618" s="6">
        <v>4</v>
      </c>
      <c r="H3618" s="6" t="s">
        <v>32874</v>
      </c>
      <c r="I3618" s="6">
        <v>527.4375</v>
      </c>
      <c r="J3618" s="2">
        <f t="shared" si="56"/>
        <v>43748.71518579861</v>
      </c>
    </row>
    <row r="3619" spans="1:10" x14ac:dyDescent="0.25">
      <c r="A3619" s="7" t="s">
        <v>32875</v>
      </c>
      <c r="B3619" s="8">
        <v>400</v>
      </c>
      <c r="C3619" s="8">
        <v>20.584240000000001</v>
      </c>
      <c r="D3619" s="8">
        <v>71</v>
      </c>
      <c r="E3619" s="8">
        <v>0</v>
      </c>
      <c r="F3619" s="8">
        <v>0</v>
      </c>
      <c r="G3619" s="8">
        <v>4</v>
      </c>
      <c r="H3619" s="8" t="s">
        <v>32876</v>
      </c>
      <c r="I3619" s="8">
        <v>528.375</v>
      </c>
      <c r="J3619" s="3">
        <f t="shared" si="56"/>
        <v>43748.715268067128</v>
      </c>
    </row>
    <row r="3620" spans="1:10" x14ac:dyDescent="0.25">
      <c r="A3620" s="5" t="s">
        <v>32877</v>
      </c>
      <c r="B3620" s="6">
        <v>396.875</v>
      </c>
      <c r="C3620" s="6">
        <v>20.478950000000001</v>
      </c>
      <c r="D3620" s="6">
        <v>71</v>
      </c>
      <c r="E3620" s="6">
        <v>0</v>
      </c>
      <c r="F3620" s="6">
        <v>0</v>
      </c>
      <c r="G3620" s="6">
        <v>8</v>
      </c>
      <c r="H3620" s="6" t="s">
        <v>32878</v>
      </c>
      <c r="I3620" s="6">
        <v>527.4375</v>
      </c>
      <c r="J3620" s="2">
        <f t="shared" si="56"/>
        <v>43748.715350879625</v>
      </c>
    </row>
    <row r="3621" spans="1:10" x14ac:dyDescent="0.25">
      <c r="A3621" s="7" t="s">
        <v>32879</v>
      </c>
      <c r="B3621" s="8">
        <v>396.875</v>
      </c>
      <c r="C3621" s="8">
        <v>20.531590000000001</v>
      </c>
      <c r="D3621" s="8">
        <v>71</v>
      </c>
      <c r="E3621" s="8">
        <v>0</v>
      </c>
      <c r="F3621" s="8">
        <v>0</v>
      </c>
      <c r="G3621" s="8">
        <v>12</v>
      </c>
      <c r="H3621" s="8" t="s">
        <v>32880</v>
      </c>
      <c r="I3621" s="8">
        <v>527.4375</v>
      </c>
      <c r="J3621" s="3">
        <f t="shared" si="56"/>
        <v>43748.715422523142</v>
      </c>
    </row>
    <row r="3622" spans="1:10" x14ac:dyDescent="0.25">
      <c r="A3622" s="5" t="s">
        <v>32881</v>
      </c>
      <c r="B3622" s="6">
        <v>396.875</v>
      </c>
      <c r="C3622" s="6">
        <v>20.478950000000001</v>
      </c>
      <c r="D3622" s="6">
        <v>72</v>
      </c>
      <c r="E3622" s="6">
        <v>0</v>
      </c>
      <c r="F3622" s="6">
        <v>0</v>
      </c>
      <c r="G3622" s="6">
        <v>0</v>
      </c>
      <c r="H3622" s="6" t="s">
        <v>32882</v>
      </c>
      <c r="I3622" s="6">
        <v>527.625</v>
      </c>
      <c r="J3622" s="2">
        <f t="shared" si="56"/>
        <v>43748.715496018514</v>
      </c>
    </row>
    <row r="3623" spans="1:10" x14ac:dyDescent="0.25">
      <c r="A3623" s="7" t="s">
        <v>32883</v>
      </c>
      <c r="B3623" s="8">
        <v>396.875</v>
      </c>
      <c r="C3623" s="8">
        <v>20.531590000000001</v>
      </c>
      <c r="D3623" s="8">
        <v>72</v>
      </c>
      <c r="E3623" s="8">
        <v>0</v>
      </c>
      <c r="F3623" s="8">
        <v>0</v>
      </c>
      <c r="G3623" s="8">
        <v>9</v>
      </c>
      <c r="H3623" s="8" t="s">
        <v>32884</v>
      </c>
      <c r="I3623" s="8">
        <v>527.4375</v>
      </c>
      <c r="J3623" s="3">
        <f t="shared" si="56"/>
        <v>43748.715577673611</v>
      </c>
    </row>
    <row r="3624" spans="1:10" x14ac:dyDescent="0.25">
      <c r="A3624" s="5" t="s">
        <v>32885</v>
      </c>
      <c r="B3624" s="6">
        <v>393.75</v>
      </c>
      <c r="C3624" s="6">
        <v>20.584240000000001</v>
      </c>
      <c r="D3624" s="6">
        <v>72</v>
      </c>
      <c r="E3624" s="6">
        <v>0</v>
      </c>
      <c r="F3624" s="6">
        <v>0</v>
      </c>
      <c r="G3624" s="6">
        <v>11</v>
      </c>
      <c r="H3624" s="6" t="s">
        <v>32886</v>
      </c>
      <c r="I3624" s="6">
        <v>526.6875</v>
      </c>
      <c r="J3624" s="2">
        <f t="shared" si="56"/>
        <v>43748.715649722224</v>
      </c>
    </row>
    <row r="3625" spans="1:10" x14ac:dyDescent="0.25">
      <c r="A3625" s="7" t="s">
        <v>32887</v>
      </c>
      <c r="B3625" s="8">
        <v>393.75</v>
      </c>
      <c r="C3625" s="8">
        <v>20.531590000000001</v>
      </c>
      <c r="D3625" s="8">
        <v>72</v>
      </c>
      <c r="E3625" s="8">
        <v>0</v>
      </c>
      <c r="F3625" s="8">
        <v>0</v>
      </c>
      <c r="G3625" s="8">
        <v>9</v>
      </c>
      <c r="H3625" s="8" t="s">
        <v>32888</v>
      </c>
      <c r="I3625" s="8">
        <v>526.6875</v>
      </c>
      <c r="J3625" s="3">
        <f t="shared" si="56"/>
        <v>43748.715721180553</v>
      </c>
    </row>
    <row r="3626" spans="1:10" x14ac:dyDescent="0.25">
      <c r="A3626" s="5" t="s">
        <v>32889</v>
      </c>
      <c r="B3626" s="6">
        <v>393.75</v>
      </c>
      <c r="C3626" s="6">
        <v>20.531590000000001</v>
      </c>
      <c r="D3626" s="6">
        <v>72</v>
      </c>
      <c r="E3626" s="6">
        <v>0</v>
      </c>
      <c r="F3626" s="6">
        <v>0</v>
      </c>
      <c r="G3626" s="6">
        <v>4</v>
      </c>
      <c r="H3626" s="6" t="s">
        <v>32890</v>
      </c>
      <c r="I3626" s="6">
        <v>526.6875</v>
      </c>
      <c r="J3626" s="2">
        <f t="shared" si="56"/>
        <v>43748.715804525462</v>
      </c>
    </row>
    <row r="3627" spans="1:10" x14ac:dyDescent="0.25">
      <c r="A3627" s="7" t="s">
        <v>32891</v>
      </c>
      <c r="B3627" s="8">
        <v>393.75</v>
      </c>
      <c r="C3627" s="8">
        <v>20.584240000000001</v>
      </c>
      <c r="D3627" s="8">
        <v>73</v>
      </c>
      <c r="E3627" s="8">
        <v>0</v>
      </c>
      <c r="F3627" s="8">
        <v>0</v>
      </c>
      <c r="G3627" s="8">
        <v>10</v>
      </c>
      <c r="H3627" s="8" t="s">
        <v>32892</v>
      </c>
      <c r="I3627" s="8">
        <v>526.6875</v>
      </c>
      <c r="J3627" s="3">
        <f t="shared" si="56"/>
        <v>43748.71588787037</v>
      </c>
    </row>
    <row r="3628" spans="1:10" x14ac:dyDescent="0.25">
      <c r="A3628" s="5" t="s">
        <v>32893</v>
      </c>
      <c r="B3628" s="6">
        <v>393.75</v>
      </c>
      <c r="C3628" s="6">
        <v>20.531590000000001</v>
      </c>
      <c r="D3628" s="6">
        <v>73</v>
      </c>
      <c r="E3628" s="6">
        <v>0</v>
      </c>
      <c r="F3628" s="6">
        <v>0</v>
      </c>
      <c r="G3628" s="6">
        <v>5</v>
      </c>
      <c r="H3628" s="6" t="s">
        <v>32894</v>
      </c>
      <c r="I3628" s="6">
        <v>526.6875</v>
      </c>
      <c r="J3628" s="2">
        <f t="shared" si="56"/>
        <v>43748.7159593287</v>
      </c>
    </row>
    <row r="3629" spans="1:10" x14ac:dyDescent="0.25">
      <c r="A3629" s="7" t="s">
        <v>32895</v>
      </c>
      <c r="B3629" s="8">
        <v>393.75</v>
      </c>
      <c r="C3629" s="8">
        <v>20.478950000000001</v>
      </c>
      <c r="D3629" s="8">
        <v>73</v>
      </c>
      <c r="E3629" s="8">
        <v>0</v>
      </c>
      <c r="F3629" s="8">
        <v>0</v>
      </c>
      <c r="G3629" s="8">
        <v>3</v>
      </c>
      <c r="H3629" s="8" t="s">
        <v>32896</v>
      </c>
      <c r="I3629" s="8">
        <v>526.6875</v>
      </c>
      <c r="J3629" s="3">
        <f t="shared" si="56"/>
        <v>43748.716030856478</v>
      </c>
    </row>
    <row r="3630" spans="1:10" x14ac:dyDescent="0.25">
      <c r="A3630" s="5" t="s">
        <v>32897</v>
      </c>
      <c r="B3630" s="6">
        <v>393.75</v>
      </c>
      <c r="C3630" s="6">
        <v>20.531590000000001</v>
      </c>
      <c r="D3630" s="6">
        <v>73</v>
      </c>
      <c r="E3630" s="6">
        <v>0</v>
      </c>
      <c r="F3630" s="6">
        <v>0</v>
      </c>
      <c r="G3630" s="6">
        <v>9</v>
      </c>
      <c r="H3630" s="6" t="s">
        <v>32898</v>
      </c>
      <c r="I3630" s="6">
        <v>526.6875</v>
      </c>
      <c r="J3630" s="2">
        <f t="shared" si="56"/>
        <v>43748.716102662038</v>
      </c>
    </row>
    <row r="3631" spans="1:10" x14ac:dyDescent="0.25">
      <c r="A3631" s="7" t="s">
        <v>32899</v>
      </c>
      <c r="B3631" s="8">
        <v>396.875</v>
      </c>
      <c r="C3631" s="8">
        <v>20.584240000000001</v>
      </c>
      <c r="D3631" s="8">
        <v>73</v>
      </c>
      <c r="E3631" s="8">
        <v>0</v>
      </c>
      <c r="F3631" s="8">
        <v>0</v>
      </c>
      <c r="G3631" s="8">
        <v>1</v>
      </c>
      <c r="H3631" s="8" t="s">
        <v>32900</v>
      </c>
      <c r="I3631" s="8">
        <v>527.4375</v>
      </c>
      <c r="J3631" s="3">
        <f t="shared" si="56"/>
        <v>43748.716186122685</v>
      </c>
    </row>
    <row r="3632" spans="1:10" x14ac:dyDescent="0.25">
      <c r="A3632" s="5" t="s">
        <v>32901</v>
      </c>
      <c r="B3632" s="6">
        <v>396.875</v>
      </c>
      <c r="C3632" s="6">
        <v>20.478950000000001</v>
      </c>
      <c r="D3632" s="6">
        <v>73</v>
      </c>
      <c r="E3632" s="6">
        <v>0</v>
      </c>
      <c r="F3632" s="6">
        <v>0</v>
      </c>
      <c r="G3632" s="6">
        <v>1</v>
      </c>
      <c r="H3632" s="6" t="s">
        <v>32902</v>
      </c>
      <c r="I3632" s="6">
        <v>527.4375</v>
      </c>
      <c r="J3632" s="2">
        <f t="shared" si="56"/>
        <v>43748.71625759259</v>
      </c>
    </row>
    <row r="3633" spans="1:10" x14ac:dyDescent="0.25">
      <c r="A3633" s="7" t="s">
        <v>32903</v>
      </c>
      <c r="B3633" s="8">
        <v>396.875</v>
      </c>
      <c r="C3633" s="8">
        <v>20.478950000000001</v>
      </c>
      <c r="D3633" s="8">
        <v>73</v>
      </c>
      <c r="E3633" s="8">
        <v>0</v>
      </c>
      <c r="F3633" s="8">
        <v>0</v>
      </c>
      <c r="G3633" s="8">
        <v>13</v>
      </c>
      <c r="H3633" s="8" t="s">
        <v>32904</v>
      </c>
      <c r="I3633" s="8">
        <v>527.4375</v>
      </c>
      <c r="J3633" s="3">
        <f t="shared" si="56"/>
        <v>43748.716328946757</v>
      </c>
    </row>
    <row r="3634" spans="1:10" x14ac:dyDescent="0.25">
      <c r="A3634" s="5" t="s">
        <v>32905</v>
      </c>
      <c r="B3634" s="6">
        <v>396.875</v>
      </c>
      <c r="C3634" s="6">
        <v>20.478950000000001</v>
      </c>
      <c r="D3634" s="6">
        <v>73</v>
      </c>
      <c r="E3634" s="6">
        <v>0</v>
      </c>
      <c r="F3634" s="6">
        <v>0</v>
      </c>
      <c r="G3634" s="6">
        <v>8</v>
      </c>
      <c r="H3634" s="6" t="s">
        <v>32906</v>
      </c>
      <c r="I3634" s="6">
        <v>527.4375</v>
      </c>
      <c r="J3634" s="2">
        <f t="shared" si="56"/>
        <v>43748.716412141199</v>
      </c>
    </row>
    <row r="3635" spans="1:10" x14ac:dyDescent="0.25">
      <c r="A3635" s="7" t="s">
        <v>32907</v>
      </c>
      <c r="B3635" s="8">
        <v>396.875</v>
      </c>
      <c r="C3635" s="8">
        <v>20.478950000000001</v>
      </c>
      <c r="D3635" s="8">
        <v>74</v>
      </c>
      <c r="E3635" s="8">
        <v>0</v>
      </c>
      <c r="F3635" s="8">
        <v>0</v>
      </c>
      <c r="G3635" s="8">
        <v>14</v>
      </c>
      <c r="H3635" s="8" t="s">
        <v>32908</v>
      </c>
      <c r="I3635" s="8">
        <v>527.4375</v>
      </c>
      <c r="J3635" s="3">
        <f t="shared" si="56"/>
        <v>43748.716484386568</v>
      </c>
    </row>
    <row r="3636" spans="1:10" x14ac:dyDescent="0.25">
      <c r="A3636" s="5" t="s">
        <v>32909</v>
      </c>
      <c r="B3636" s="6">
        <v>396.875</v>
      </c>
      <c r="C3636" s="6">
        <v>20.478950000000001</v>
      </c>
      <c r="D3636" s="6">
        <v>74</v>
      </c>
      <c r="E3636" s="6">
        <v>0</v>
      </c>
      <c r="F3636" s="6">
        <v>0</v>
      </c>
      <c r="G3636" s="6">
        <v>6</v>
      </c>
      <c r="H3636" s="6" t="s">
        <v>32910</v>
      </c>
      <c r="I3636" s="6">
        <v>527.4375</v>
      </c>
      <c r="J3636" s="2">
        <f t="shared" si="56"/>
        <v>43748.716555740735</v>
      </c>
    </row>
    <row r="3637" spans="1:10" x14ac:dyDescent="0.25">
      <c r="A3637" s="7" t="s">
        <v>32911</v>
      </c>
      <c r="B3637" s="8">
        <v>396.875</v>
      </c>
      <c r="C3637" s="8">
        <v>20.478950000000001</v>
      </c>
      <c r="D3637" s="8">
        <v>74</v>
      </c>
      <c r="E3637" s="8">
        <v>0</v>
      </c>
      <c r="F3637" s="8">
        <v>0</v>
      </c>
      <c r="G3637" s="8">
        <v>10</v>
      </c>
      <c r="H3637" s="8" t="s">
        <v>32912</v>
      </c>
      <c r="I3637" s="8">
        <v>527.4375</v>
      </c>
      <c r="J3637" s="3">
        <f t="shared" si="56"/>
        <v>43748.716639062499</v>
      </c>
    </row>
    <row r="3638" spans="1:10" x14ac:dyDescent="0.25">
      <c r="A3638" s="5" t="s">
        <v>32913</v>
      </c>
      <c r="B3638" s="6">
        <v>396.875</v>
      </c>
      <c r="C3638" s="6">
        <v>20.478950000000001</v>
      </c>
      <c r="D3638" s="6">
        <v>74</v>
      </c>
      <c r="E3638" s="6">
        <v>0</v>
      </c>
      <c r="F3638" s="6">
        <v>0</v>
      </c>
      <c r="G3638" s="6">
        <v>9</v>
      </c>
      <c r="H3638" s="6" t="s">
        <v>32914</v>
      </c>
      <c r="I3638" s="6">
        <v>527.625</v>
      </c>
      <c r="J3638" s="2">
        <f t="shared" si="56"/>
        <v>43748.716710995366</v>
      </c>
    </row>
    <row r="3639" spans="1:10" x14ac:dyDescent="0.25">
      <c r="A3639" s="7" t="s">
        <v>32915</v>
      </c>
      <c r="B3639" s="8">
        <v>418.75</v>
      </c>
      <c r="C3639" s="8">
        <v>20.478950000000001</v>
      </c>
      <c r="D3639" s="8">
        <v>72</v>
      </c>
      <c r="E3639" s="8">
        <v>0</v>
      </c>
      <c r="F3639" s="8">
        <v>0</v>
      </c>
      <c r="G3639" s="8">
        <v>14</v>
      </c>
      <c r="H3639" s="8" t="s">
        <v>32916</v>
      </c>
      <c r="I3639" s="8">
        <v>534.9375</v>
      </c>
      <c r="J3639" s="3">
        <f t="shared" si="56"/>
        <v>43748.716782523145</v>
      </c>
    </row>
    <row r="3640" spans="1:10" x14ac:dyDescent="0.25">
      <c r="A3640" s="5" t="s">
        <v>32917</v>
      </c>
      <c r="B3640" s="6">
        <v>396.875</v>
      </c>
      <c r="C3640" s="6">
        <v>20.531590000000001</v>
      </c>
      <c r="D3640" s="6">
        <v>73</v>
      </c>
      <c r="E3640" s="6">
        <v>0</v>
      </c>
      <c r="F3640" s="6">
        <v>0</v>
      </c>
      <c r="G3640" s="6">
        <v>5</v>
      </c>
      <c r="H3640" s="6" t="s">
        <v>32918</v>
      </c>
      <c r="I3640" s="6">
        <v>527.4375</v>
      </c>
      <c r="J3640" s="2">
        <f t="shared" si="56"/>
        <v>43748.716853877311</v>
      </c>
    </row>
    <row r="3641" spans="1:10" x14ac:dyDescent="0.25">
      <c r="A3641" s="7" t="s">
        <v>32919</v>
      </c>
      <c r="B3641" s="8">
        <v>396.875</v>
      </c>
      <c r="C3641" s="8">
        <v>20.531590000000001</v>
      </c>
      <c r="D3641" s="8">
        <v>73</v>
      </c>
      <c r="E3641" s="8">
        <v>0</v>
      </c>
      <c r="F3641" s="8">
        <v>0</v>
      </c>
      <c r="G3641" s="8">
        <v>10</v>
      </c>
      <c r="H3641" s="8" t="s">
        <v>32920</v>
      </c>
      <c r="I3641" s="8">
        <v>527.4375</v>
      </c>
      <c r="J3641" s="3">
        <f t="shared" si="56"/>
        <v>43748.716937847224</v>
      </c>
    </row>
    <row r="3642" spans="1:10" x14ac:dyDescent="0.25">
      <c r="A3642" s="5" t="s">
        <v>32921</v>
      </c>
      <c r="B3642" s="6">
        <v>400</v>
      </c>
      <c r="C3642" s="6">
        <v>20.531590000000001</v>
      </c>
      <c r="D3642" s="6">
        <v>73</v>
      </c>
      <c r="E3642" s="6">
        <v>0</v>
      </c>
      <c r="F3642" s="6">
        <v>0</v>
      </c>
      <c r="G3642" s="6">
        <v>5</v>
      </c>
      <c r="H3642" s="6" t="s">
        <v>32922</v>
      </c>
      <c r="I3642" s="6">
        <v>528.1875</v>
      </c>
      <c r="J3642" s="2">
        <f t="shared" si="56"/>
        <v>43748.717008576386</v>
      </c>
    </row>
    <row r="3643" spans="1:10" x14ac:dyDescent="0.25">
      <c r="A3643" s="7" t="s">
        <v>32923</v>
      </c>
      <c r="B3643" s="8">
        <v>396.875</v>
      </c>
      <c r="C3643" s="8">
        <v>20.478950000000001</v>
      </c>
      <c r="D3643" s="8">
        <v>72</v>
      </c>
      <c r="E3643" s="8">
        <v>0</v>
      </c>
      <c r="F3643" s="8">
        <v>0</v>
      </c>
      <c r="G3643" s="8">
        <v>2</v>
      </c>
      <c r="H3643" s="8" t="s">
        <v>32924</v>
      </c>
      <c r="I3643" s="8">
        <v>527.625</v>
      </c>
      <c r="J3643" s="3">
        <f t="shared" si="56"/>
        <v>43748.717092777777</v>
      </c>
    </row>
    <row r="3644" spans="1:10" x14ac:dyDescent="0.25">
      <c r="A3644" s="5" t="s">
        <v>32925</v>
      </c>
      <c r="B3644" s="6">
        <v>396.875</v>
      </c>
      <c r="C3644" s="6">
        <v>20.531590000000001</v>
      </c>
      <c r="D3644" s="6">
        <v>71</v>
      </c>
      <c r="E3644" s="6">
        <v>0</v>
      </c>
      <c r="F3644" s="6">
        <v>0</v>
      </c>
      <c r="G3644" s="6">
        <v>8</v>
      </c>
      <c r="H3644" s="6" t="s">
        <v>32926</v>
      </c>
      <c r="I3644" s="6">
        <v>527.4375</v>
      </c>
      <c r="J3644" s="2">
        <f t="shared" si="56"/>
        <v>43748.717164155089</v>
      </c>
    </row>
    <row r="3645" spans="1:10" x14ac:dyDescent="0.25">
      <c r="A3645" s="7" t="s">
        <v>32927</v>
      </c>
      <c r="B3645" s="8">
        <v>396.875</v>
      </c>
      <c r="C3645" s="8">
        <v>20.478950000000001</v>
      </c>
      <c r="D3645" s="8">
        <v>72</v>
      </c>
      <c r="E3645" s="8">
        <v>0</v>
      </c>
      <c r="F3645" s="8">
        <v>0</v>
      </c>
      <c r="G3645" s="8">
        <v>11</v>
      </c>
      <c r="H3645" s="8" t="s">
        <v>32928</v>
      </c>
      <c r="I3645" s="8">
        <v>527.4375</v>
      </c>
      <c r="J3645" s="3">
        <f t="shared" si="56"/>
        <v>43748.717235543976</v>
      </c>
    </row>
    <row r="3646" spans="1:10" x14ac:dyDescent="0.25">
      <c r="A3646" s="5" t="s">
        <v>32929</v>
      </c>
      <c r="B3646" s="6">
        <v>415.625</v>
      </c>
      <c r="C3646" s="6">
        <v>20.478950000000001</v>
      </c>
      <c r="D3646" s="6">
        <v>72</v>
      </c>
      <c r="E3646" s="6">
        <v>0</v>
      </c>
      <c r="F3646" s="6">
        <v>0</v>
      </c>
      <c r="G3646" s="6">
        <v>5</v>
      </c>
      <c r="H3646" s="6" t="s">
        <v>32930</v>
      </c>
      <c r="I3646" s="6">
        <v>533.8125</v>
      </c>
      <c r="J3646" s="2">
        <f t="shared" si="56"/>
        <v>43748.717307465275</v>
      </c>
    </row>
    <row r="3647" spans="1:10" x14ac:dyDescent="0.25">
      <c r="A3647" s="7" t="s">
        <v>32931</v>
      </c>
      <c r="B3647" s="8">
        <v>396.875</v>
      </c>
      <c r="C3647" s="8">
        <v>20.531590000000001</v>
      </c>
      <c r="D3647" s="8">
        <v>72</v>
      </c>
      <c r="E3647" s="8">
        <v>0</v>
      </c>
      <c r="F3647" s="8">
        <v>0</v>
      </c>
      <c r="G3647" s="8">
        <v>9</v>
      </c>
      <c r="H3647" s="8" t="s">
        <v>32932</v>
      </c>
      <c r="I3647" s="8">
        <v>527.4375</v>
      </c>
      <c r="J3647" s="3">
        <f t="shared" si="56"/>
        <v>43748.717390844904</v>
      </c>
    </row>
    <row r="3648" spans="1:10" x14ac:dyDescent="0.25">
      <c r="A3648" s="5" t="s">
        <v>32933</v>
      </c>
      <c r="B3648" s="6">
        <v>396.875</v>
      </c>
      <c r="C3648" s="6">
        <v>20.478950000000001</v>
      </c>
      <c r="D3648" s="6">
        <v>73</v>
      </c>
      <c r="E3648" s="6">
        <v>0</v>
      </c>
      <c r="F3648" s="6">
        <v>0</v>
      </c>
      <c r="G3648" s="6">
        <v>6</v>
      </c>
      <c r="H3648" s="6" t="s">
        <v>32934</v>
      </c>
      <c r="I3648" s="6">
        <v>527.4375</v>
      </c>
      <c r="J3648" s="2">
        <f t="shared" si="56"/>
        <v>43748.717474143516</v>
      </c>
    </row>
    <row r="3649" spans="1:10" x14ac:dyDescent="0.25">
      <c r="A3649" s="7" t="s">
        <v>32935</v>
      </c>
      <c r="B3649" s="8">
        <v>396.875</v>
      </c>
      <c r="C3649" s="8">
        <v>20.531590000000001</v>
      </c>
      <c r="D3649" s="8">
        <v>73</v>
      </c>
      <c r="E3649" s="8">
        <v>0</v>
      </c>
      <c r="F3649" s="8">
        <v>0</v>
      </c>
      <c r="G3649" s="8">
        <v>8</v>
      </c>
      <c r="H3649" s="8" t="s">
        <v>32936</v>
      </c>
      <c r="I3649" s="8">
        <v>527.4375</v>
      </c>
      <c r="J3649" s="3">
        <f t="shared" si="56"/>
        <v>43748.717557476848</v>
      </c>
    </row>
    <row r="3650" spans="1:10" x14ac:dyDescent="0.25">
      <c r="A3650" s="5" t="s">
        <v>32937</v>
      </c>
      <c r="B3650" s="6">
        <v>396.875</v>
      </c>
      <c r="C3650" s="6">
        <v>20.531590000000001</v>
      </c>
      <c r="D3650" s="6">
        <v>74</v>
      </c>
      <c r="E3650" s="6">
        <v>0</v>
      </c>
      <c r="F3650" s="6">
        <v>0</v>
      </c>
      <c r="G3650" s="6">
        <v>7</v>
      </c>
      <c r="H3650" s="6" t="s">
        <v>32938</v>
      </c>
      <c r="I3650" s="6">
        <v>527.4375</v>
      </c>
      <c r="J3650" s="2">
        <f t="shared" ref="J3650:J3713" si="57">(H3650/86400000)+25569+(7/24)</f>
        <v>43748.717629201383</v>
      </c>
    </row>
    <row r="3651" spans="1:10" x14ac:dyDescent="0.25">
      <c r="A3651" s="7" t="s">
        <v>32939</v>
      </c>
      <c r="B3651" s="8">
        <v>393.75</v>
      </c>
      <c r="C3651" s="8">
        <v>20.531590000000001</v>
      </c>
      <c r="D3651" s="8">
        <v>76</v>
      </c>
      <c r="E3651" s="8">
        <v>0</v>
      </c>
      <c r="F3651" s="8">
        <v>0</v>
      </c>
      <c r="G3651" s="8">
        <v>1</v>
      </c>
      <c r="H3651" s="8" t="s">
        <v>32940</v>
      </c>
      <c r="I3651" s="8">
        <v>526.6875</v>
      </c>
      <c r="J3651" s="3">
        <f t="shared" si="57"/>
        <v>43748.717703090275</v>
      </c>
    </row>
    <row r="3652" spans="1:10" x14ac:dyDescent="0.25">
      <c r="A3652" s="5" t="s">
        <v>32941</v>
      </c>
      <c r="B3652" s="6">
        <v>393.75</v>
      </c>
      <c r="C3652" s="6">
        <v>20.531590000000001</v>
      </c>
      <c r="D3652" s="6">
        <v>76</v>
      </c>
      <c r="E3652" s="6">
        <v>0</v>
      </c>
      <c r="F3652" s="6">
        <v>0</v>
      </c>
      <c r="G3652" s="6">
        <v>10</v>
      </c>
      <c r="H3652" s="6" t="s">
        <v>32942</v>
      </c>
      <c r="I3652" s="6">
        <v>526.6875</v>
      </c>
      <c r="J3652" s="2">
        <f t="shared" si="57"/>
        <v>43748.717795949073</v>
      </c>
    </row>
    <row r="3653" spans="1:10" x14ac:dyDescent="0.25">
      <c r="A3653" s="7" t="s">
        <v>32943</v>
      </c>
      <c r="B3653" s="8">
        <v>393.75</v>
      </c>
      <c r="C3653" s="8">
        <v>20.531590000000001</v>
      </c>
      <c r="D3653" s="8">
        <v>75</v>
      </c>
      <c r="E3653" s="8">
        <v>0</v>
      </c>
      <c r="F3653" s="8">
        <v>0</v>
      </c>
      <c r="G3653" s="8">
        <v>7</v>
      </c>
      <c r="H3653" s="8" t="s">
        <v>32944</v>
      </c>
      <c r="I3653" s="8">
        <v>526.6875</v>
      </c>
      <c r="J3653" s="3">
        <f t="shared" si="57"/>
        <v>43748.717867523148</v>
      </c>
    </row>
    <row r="3654" spans="1:10" x14ac:dyDescent="0.25">
      <c r="A3654" s="5" t="s">
        <v>32945</v>
      </c>
      <c r="B3654" s="6">
        <v>393.75</v>
      </c>
      <c r="C3654" s="6">
        <v>20.531590000000001</v>
      </c>
      <c r="D3654" s="6">
        <v>75</v>
      </c>
      <c r="E3654" s="6">
        <v>0</v>
      </c>
      <c r="F3654" s="6">
        <v>0</v>
      </c>
      <c r="G3654" s="6">
        <v>1</v>
      </c>
      <c r="H3654" s="6" t="s">
        <v>32946</v>
      </c>
      <c r="I3654" s="6">
        <v>526.6875</v>
      </c>
      <c r="J3654" s="2">
        <f t="shared" si="57"/>
        <v>43748.717940138886</v>
      </c>
    </row>
    <row r="3655" spans="1:10" x14ac:dyDescent="0.25">
      <c r="A3655" s="7" t="s">
        <v>32947</v>
      </c>
      <c r="B3655" s="8">
        <v>393.75</v>
      </c>
      <c r="C3655" s="8">
        <v>20.531590000000001</v>
      </c>
      <c r="D3655" s="8">
        <v>74</v>
      </c>
      <c r="E3655" s="8">
        <v>0</v>
      </c>
      <c r="F3655" s="8">
        <v>0</v>
      </c>
      <c r="G3655" s="8">
        <v>16</v>
      </c>
      <c r="H3655" s="8" t="s">
        <v>32948</v>
      </c>
      <c r="I3655" s="8">
        <v>526.6875</v>
      </c>
      <c r="J3655" s="3">
        <f t="shared" si="57"/>
        <v>43748.718011481476</v>
      </c>
    </row>
    <row r="3656" spans="1:10" x14ac:dyDescent="0.25">
      <c r="A3656" s="5" t="s">
        <v>32949</v>
      </c>
      <c r="B3656" s="6">
        <v>393.75</v>
      </c>
      <c r="C3656" s="6">
        <v>20.478950000000001</v>
      </c>
      <c r="D3656" s="6">
        <v>73</v>
      </c>
      <c r="E3656" s="6">
        <v>0</v>
      </c>
      <c r="F3656" s="6">
        <v>0</v>
      </c>
      <c r="G3656" s="6">
        <v>5</v>
      </c>
      <c r="H3656" s="6" t="s">
        <v>32950</v>
      </c>
      <c r="I3656" s="6">
        <v>526.6875</v>
      </c>
      <c r="J3656" s="2">
        <f t="shared" si="57"/>
        <v>43748.718082951389</v>
      </c>
    </row>
    <row r="3657" spans="1:10" x14ac:dyDescent="0.25">
      <c r="A3657" s="7" t="s">
        <v>32951</v>
      </c>
      <c r="B3657" s="8">
        <v>393.75</v>
      </c>
      <c r="C3657" s="8">
        <v>20.478950000000001</v>
      </c>
      <c r="D3657" s="8">
        <v>73</v>
      </c>
      <c r="E3657" s="8">
        <v>0</v>
      </c>
      <c r="F3657" s="8">
        <v>0</v>
      </c>
      <c r="G3657" s="8">
        <v>12</v>
      </c>
      <c r="H3657" s="8" t="s">
        <v>32952</v>
      </c>
      <c r="I3657" s="8">
        <v>526.6875</v>
      </c>
      <c r="J3657" s="3">
        <f t="shared" si="57"/>
        <v>43748.71816629629</v>
      </c>
    </row>
    <row r="3658" spans="1:10" x14ac:dyDescent="0.25">
      <c r="A3658" s="5" t="s">
        <v>32953</v>
      </c>
      <c r="B3658" s="6">
        <v>412.5</v>
      </c>
      <c r="C3658" s="6">
        <v>20.478950000000001</v>
      </c>
      <c r="D3658" s="6">
        <v>73</v>
      </c>
      <c r="E3658" s="6">
        <v>0</v>
      </c>
      <c r="F3658" s="6">
        <v>0</v>
      </c>
      <c r="G3658" s="6">
        <v>13</v>
      </c>
      <c r="H3658" s="6" t="s">
        <v>32954</v>
      </c>
      <c r="I3658" s="6">
        <v>532.875</v>
      </c>
      <c r="J3658" s="2">
        <f t="shared" si="57"/>
        <v>43748.718237650457</v>
      </c>
    </row>
    <row r="3659" spans="1:10" x14ac:dyDescent="0.25">
      <c r="A3659" s="7" t="s">
        <v>32955</v>
      </c>
      <c r="B3659" s="8">
        <v>393.75</v>
      </c>
      <c r="C3659" s="8">
        <v>20.478950000000001</v>
      </c>
      <c r="D3659" s="8">
        <v>72</v>
      </c>
      <c r="E3659" s="8">
        <v>0</v>
      </c>
      <c r="F3659" s="8">
        <v>0</v>
      </c>
      <c r="G3659" s="8">
        <v>10</v>
      </c>
      <c r="H3659" s="8" t="s">
        <v>32956</v>
      </c>
      <c r="I3659" s="8">
        <v>526.6875</v>
      </c>
      <c r="J3659" s="3">
        <f t="shared" si="57"/>
        <v>43748.718321041662</v>
      </c>
    </row>
    <row r="3660" spans="1:10" x14ac:dyDescent="0.25">
      <c r="A3660" s="5" t="s">
        <v>32957</v>
      </c>
      <c r="B3660" s="6">
        <v>393.75</v>
      </c>
      <c r="C3660" s="6">
        <v>20.478950000000001</v>
      </c>
      <c r="D3660" s="6">
        <v>71</v>
      </c>
      <c r="E3660" s="6">
        <v>0</v>
      </c>
      <c r="F3660" s="6">
        <v>0</v>
      </c>
      <c r="G3660" s="6">
        <v>7</v>
      </c>
      <c r="H3660" s="6" t="s">
        <v>32958</v>
      </c>
      <c r="I3660" s="6">
        <v>526.6875</v>
      </c>
      <c r="J3660" s="2">
        <f t="shared" si="57"/>
        <v>43748.718404305553</v>
      </c>
    </row>
    <row r="3661" spans="1:10" x14ac:dyDescent="0.25">
      <c r="A3661" s="7" t="s">
        <v>32959</v>
      </c>
      <c r="B3661" s="8">
        <v>393.75</v>
      </c>
      <c r="C3661" s="8">
        <v>20.478950000000001</v>
      </c>
      <c r="D3661" s="8">
        <v>71</v>
      </c>
      <c r="E3661" s="8">
        <v>0</v>
      </c>
      <c r="F3661" s="8">
        <v>0</v>
      </c>
      <c r="G3661" s="8">
        <v>11</v>
      </c>
      <c r="H3661" s="8" t="s">
        <v>32960</v>
      </c>
      <c r="I3661" s="8">
        <v>526.6875</v>
      </c>
      <c r="J3661" s="3">
        <f t="shared" si="57"/>
        <v>43748.718476539354</v>
      </c>
    </row>
    <row r="3662" spans="1:10" x14ac:dyDescent="0.25">
      <c r="A3662" s="5" t="s">
        <v>32961</v>
      </c>
      <c r="B3662" s="6">
        <v>400</v>
      </c>
      <c r="C3662" s="6">
        <v>20.478950000000001</v>
      </c>
      <c r="D3662" s="6">
        <v>72</v>
      </c>
      <c r="E3662" s="6">
        <v>0</v>
      </c>
      <c r="F3662" s="6">
        <v>0</v>
      </c>
      <c r="G3662" s="6">
        <v>4</v>
      </c>
      <c r="H3662" s="6" t="s">
        <v>32962</v>
      </c>
      <c r="I3662" s="6">
        <v>528.375</v>
      </c>
      <c r="J3662" s="2">
        <f t="shared" si="57"/>
        <v>43748.71854858796</v>
      </c>
    </row>
    <row r="3663" spans="1:10" x14ac:dyDescent="0.25">
      <c r="A3663" s="7" t="s">
        <v>32963</v>
      </c>
      <c r="B3663" s="8">
        <v>400</v>
      </c>
      <c r="C3663" s="8">
        <v>20.478950000000001</v>
      </c>
      <c r="D3663" s="8">
        <v>74</v>
      </c>
      <c r="E3663" s="8">
        <v>0</v>
      </c>
      <c r="F3663" s="8">
        <v>0</v>
      </c>
      <c r="G3663" s="8">
        <v>9</v>
      </c>
      <c r="H3663" s="8" t="s">
        <v>32964</v>
      </c>
      <c r="I3663" s="8">
        <v>528.1875</v>
      </c>
      <c r="J3663" s="3">
        <f t="shared" si="57"/>
        <v>43748.718643379623</v>
      </c>
    </row>
    <row r="3664" spans="1:10" x14ac:dyDescent="0.25">
      <c r="A3664" s="5" t="s">
        <v>32965</v>
      </c>
      <c r="B3664" s="6">
        <v>400</v>
      </c>
      <c r="C3664" s="6">
        <v>20.531590000000001</v>
      </c>
      <c r="D3664" s="6">
        <v>74</v>
      </c>
      <c r="E3664" s="6">
        <v>0</v>
      </c>
      <c r="F3664" s="6">
        <v>0</v>
      </c>
      <c r="G3664" s="6">
        <v>15</v>
      </c>
      <c r="H3664" s="6" t="s">
        <v>32966</v>
      </c>
      <c r="I3664" s="6">
        <v>528.1875</v>
      </c>
      <c r="J3664" s="2">
        <f t="shared" si="57"/>
        <v>43748.718714675924</v>
      </c>
    </row>
    <row r="3665" spans="1:10" x14ac:dyDescent="0.25">
      <c r="A3665" s="7" t="s">
        <v>32967</v>
      </c>
      <c r="B3665" s="8">
        <v>396.875</v>
      </c>
      <c r="C3665" s="8">
        <v>20.531590000000001</v>
      </c>
      <c r="D3665" s="8">
        <v>74</v>
      </c>
      <c r="E3665" s="8">
        <v>0</v>
      </c>
      <c r="F3665" s="8">
        <v>0</v>
      </c>
      <c r="G3665" s="8">
        <v>4</v>
      </c>
      <c r="H3665" s="8" t="s">
        <v>32968</v>
      </c>
      <c r="I3665" s="8">
        <v>527.4375</v>
      </c>
      <c r="J3665" s="3">
        <f t="shared" si="57"/>
        <v>43748.718798518516</v>
      </c>
    </row>
    <row r="3666" spans="1:10" x14ac:dyDescent="0.25">
      <c r="A3666" s="5" t="s">
        <v>32969</v>
      </c>
      <c r="B3666" s="6">
        <v>396.875</v>
      </c>
      <c r="C3666" s="6">
        <v>20.478950000000001</v>
      </c>
      <c r="D3666" s="6">
        <v>74</v>
      </c>
      <c r="E3666" s="6">
        <v>0</v>
      </c>
      <c r="F3666" s="6">
        <v>0</v>
      </c>
      <c r="G3666" s="6">
        <v>3</v>
      </c>
      <c r="H3666" s="6" t="s">
        <v>32970</v>
      </c>
      <c r="I3666" s="6">
        <v>527.4375</v>
      </c>
      <c r="J3666" s="2">
        <f t="shared" si="57"/>
        <v>43748.718871608791</v>
      </c>
    </row>
    <row r="3667" spans="1:10" x14ac:dyDescent="0.25">
      <c r="A3667" s="7" t="s">
        <v>32971</v>
      </c>
      <c r="B3667" s="8">
        <v>396.875</v>
      </c>
      <c r="C3667" s="8">
        <v>20.478950000000001</v>
      </c>
      <c r="D3667" s="8">
        <v>74</v>
      </c>
      <c r="E3667" s="8">
        <v>0</v>
      </c>
      <c r="F3667" s="8">
        <v>0</v>
      </c>
      <c r="G3667" s="8">
        <v>8</v>
      </c>
      <c r="H3667" s="8" t="s">
        <v>32972</v>
      </c>
      <c r="I3667" s="8">
        <v>527.4375</v>
      </c>
      <c r="J3667" s="3">
        <f t="shared" si="57"/>
        <v>43748.718953321753</v>
      </c>
    </row>
    <row r="3668" spans="1:10" x14ac:dyDescent="0.25">
      <c r="A3668" s="5" t="s">
        <v>32973</v>
      </c>
      <c r="B3668" s="6">
        <v>396.875</v>
      </c>
      <c r="C3668" s="6">
        <v>20.478950000000001</v>
      </c>
      <c r="D3668" s="6">
        <v>74</v>
      </c>
      <c r="E3668" s="6">
        <v>0</v>
      </c>
      <c r="F3668" s="6">
        <v>0</v>
      </c>
      <c r="G3668" s="6">
        <v>11</v>
      </c>
      <c r="H3668" s="6" t="s">
        <v>32974</v>
      </c>
      <c r="I3668" s="6">
        <v>527.4375</v>
      </c>
      <c r="J3668" s="2">
        <f t="shared" si="57"/>
        <v>43748.719024733793</v>
      </c>
    </row>
    <row r="3669" spans="1:10" x14ac:dyDescent="0.25">
      <c r="A3669" s="7" t="s">
        <v>32975</v>
      </c>
      <c r="B3669" s="8">
        <v>396.875</v>
      </c>
      <c r="C3669" s="8">
        <v>20.478950000000001</v>
      </c>
      <c r="D3669" s="8">
        <v>73</v>
      </c>
      <c r="E3669" s="8">
        <v>0</v>
      </c>
      <c r="F3669" s="8">
        <v>0</v>
      </c>
      <c r="G3669" s="8">
        <v>9</v>
      </c>
      <c r="H3669" s="8" t="s">
        <v>32976</v>
      </c>
      <c r="I3669" s="8">
        <v>527.4375</v>
      </c>
      <c r="J3669" s="3">
        <f t="shared" si="57"/>
        <v>43748.719096631939</v>
      </c>
    </row>
    <row r="3670" spans="1:10" x14ac:dyDescent="0.25">
      <c r="A3670" s="5" t="s">
        <v>32977</v>
      </c>
      <c r="B3670" s="6">
        <v>418.75</v>
      </c>
      <c r="C3670" s="6">
        <v>20.531590000000001</v>
      </c>
      <c r="D3670" s="6">
        <v>73</v>
      </c>
      <c r="E3670" s="6">
        <v>0</v>
      </c>
      <c r="F3670" s="6">
        <v>0</v>
      </c>
      <c r="G3670" s="6">
        <v>17</v>
      </c>
      <c r="H3670" s="6" t="s">
        <v>32978</v>
      </c>
      <c r="I3670" s="6">
        <v>534.75</v>
      </c>
      <c r="J3670" s="2">
        <f t="shared" si="57"/>
        <v>43748.719168159725</v>
      </c>
    </row>
    <row r="3671" spans="1:10" x14ac:dyDescent="0.25">
      <c r="A3671" s="7" t="s">
        <v>32979</v>
      </c>
      <c r="B3671" s="8">
        <v>393.75</v>
      </c>
      <c r="C3671" s="8">
        <v>20.478950000000001</v>
      </c>
      <c r="D3671" s="8">
        <v>73</v>
      </c>
      <c r="E3671" s="8">
        <v>0</v>
      </c>
      <c r="F3671" s="8">
        <v>0</v>
      </c>
      <c r="G3671" s="8">
        <v>10</v>
      </c>
      <c r="H3671" s="8" t="s">
        <v>32980</v>
      </c>
      <c r="I3671" s="8">
        <v>526.6875</v>
      </c>
      <c r="J3671" s="3">
        <f t="shared" si="57"/>
        <v>43748.719239444443</v>
      </c>
    </row>
    <row r="3672" spans="1:10" x14ac:dyDescent="0.25">
      <c r="A3672" s="5" t="s">
        <v>32981</v>
      </c>
      <c r="B3672" s="6">
        <v>393.75</v>
      </c>
      <c r="C3672" s="6">
        <v>20.531590000000001</v>
      </c>
      <c r="D3672" s="6">
        <v>73</v>
      </c>
      <c r="E3672" s="6">
        <v>0</v>
      </c>
      <c r="F3672" s="6">
        <v>0</v>
      </c>
      <c r="G3672" s="6">
        <v>12</v>
      </c>
      <c r="H3672" s="6" t="s">
        <v>32982</v>
      </c>
      <c r="I3672" s="6">
        <v>526.6875</v>
      </c>
      <c r="J3672" s="2">
        <f t="shared" si="57"/>
        <v>43748.719322777775</v>
      </c>
    </row>
    <row r="3673" spans="1:10" x14ac:dyDescent="0.25">
      <c r="A3673" s="7" t="s">
        <v>32983</v>
      </c>
      <c r="B3673" s="8">
        <v>393.75</v>
      </c>
      <c r="C3673" s="8">
        <v>20.478950000000001</v>
      </c>
      <c r="D3673" s="8">
        <v>73</v>
      </c>
      <c r="E3673" s="8">
        <v>0</v>
      </c>
      <c r="F3673" s="8">
        <v>0</v>
      </c>
      <c r="G3673" s="8">
        <v>12</v>
      </c>
      <c r="H3673" s="8" t="s">
        <v>32984</v>
      </c>
      <c r="I3673" s="8">
        <v>526.6875</v>
      </c>
      <c r="J3673" s="3">
        <f t="shared" si="57"/>
        <v>43748.719394930558</v>
      </c>
    </row>
    <row r="3674" spans="1:10" x14ac:dyDescent="0.25">
      <c r="A3674" s="5" t="s">
        <v>32985</v>
      </c>
      <c r="B3674" s="6">
        <v>393.75</v>
      </c>
      <c r="C3674" s="6">
        <v>20.584240000000001</v>
      </c>
      <c r="D3674" s="6">
        <v>73</v>
      </c>
      <c r="E3674" s="6">
        <v>0</v>
      </c>
      <c r="F3674" s="6">
        <v>0</v>
      </c>
      <c r="G3674" s="6">
        <v>7</v>
      </c>
      <c r="H3674" s="6" t="s">
        <v>32986</v>
      </c>
      <c r="I3674" s="6">
        <v>526.6875</v>
      </c>
      <c r="J3674" s="2">
        <f t="shared" si="57"/>
        <v>43748.719478333333</v>
      </c>
    </row>
    <row r="3675" spans="1:10" x14ac:dyDescent="0.25">
      <c r="A3675" s="7" t="s">
        <v>32987</v>
      </c>
      <c r="B3675" s="8">
        <v>396.875</v>
      </c>
      <c r="C3675" s="8">
        <v>20.531590000000001</v>
      </c>
      <c r="D3675" s="8">
        <v>73</v>
      </c>
      <c r="E3675" s="8">
        <v>0</v>
      </c>
      <c r="F3675" s="8">
        <v>0</v>
      </c>
      <c r="G3675" s="8">
        <v>10</v>
      </c>
      <c r="H3675" s="8" t="s">
        <v>32988</v>
      </c>
      <c r="I3675" s="8">
        <v>527.4375</v>
      </c>
      <c r="J3675" s="3">
        <f t="shared" si="57"/>
        <v>43748.719549641202</v>
      </c>
    </row>
    <row r="3676" spans="1:10" x14ac:dyDescent="0.25">
      <c r="A3676" s="5" t="s">
        <v>32989</v>
      </c>
      <c r="B3676" s="6">
        <v>396.875</v>
      </c>
      <c r="C3676" s="6">
        <v>20.531590000000001</v>
      </c>
      <c r="D3676" s="6">
        <v>73</v>
      </c>
      <c r="E3676" s="6">
        <v>0</v>
      </c>
      <c r="F3676" s="6">
        <v>0</v>
      </c>
      <c r="G3676" s="6">
        <v>1</v>
      </c>
      <c r="H3676" s="6" t="s">
        <v>32990</v>
      </c>
      <c r="I3676" s="6">
        <v>527.4375</v>
      </c>
      <c r="J3676" s="2">
        <f t="shared" si="57"/>
        <v>43748.719620983793</v>
      </c>
    </row>
    <row r="3677" spans="1:10" x14ac:dyDescent="0.25">
      <c r="A3677" s="7" t="s">
        <v>32991</v>
      </c>
      <c r="B3677" s="8">
        <v>418.75</v>
      </c>
      <c r="C3677" s="8">
        <v>20.478950000000001</v>
      </c>
      <c r="D3677" s="8">
        <v>73</v>
      </c>
      <c r="E3677" s="8">
        <v>0</v>
      </c>
      <c r="F3677" s="8">
        <v>0</v>
      </c>
      <c r="G3677" s="8">
        <v>6</v>
      </c>
      <c r="H3677" s="8" t="s">
        <v>32992</v>
      </c>
      <c r="I3677" s="8">
        <v>534.1875</v>
      </c>
      <c r="J3677" s="3">
        <f t="shared" si="57"/>
        <v>43748.719692685183</v>
      </c>
    </row>
    <row r="3678" spans="1:10" x14ac:dyDescent="0.25">
      <c r="A3678" s="5" t="s">
        <v>32993</v>
      </c>
      <c r="B3678" s="6">
        <v>396.875</v>
      </c>
      <c r="C3678" s="6">
        <v>20.531590000000001</v>
      </c>
      <c r="D3678" s="6">
        <v>71</v>
      </c>
      <c r="E3678" s="6">
        <v>0</v>
      </c>
      <c r="F3678" s="6">
        <v>0</v>
      </c>
      <c r="G3678" s="6">
        <v>5</v>
      </c>
      <c r="H3678" s="6" t="s">
        <v>32994</v>
      </c>
      <c r="I3678" s="6">
        <v>527.4375</v>
      </c>
      <c r="J3678" s="2">
        <f t="shared" si="57"/>
        <v>43748.719776076388</v>
      </c>
    </row>
    <row r="3679" spans="1:10" x14ac:dyDescent="0.25">
      <c r="A3679" s="7" t="s">
        <v>32995</v>
      </c>
      <c r="B3679" s="8">
        <v>396.875</v>
      </c>
      <c r="C3679" s="8">
        <v>20.478950000000001</v>
      </c>
      <c r="D3679" s="8">
        <v>71</v>
      </c>
      <c r="E3679" s="8">
        <v>0</v>
      </c>
      <c r="F3679" s="8">
        <v>0</v>
      </c>
      <c r="G3679" s="8">
        <v>12</v>
      </c>
      <c r="H3679" s="8" t="s">
        <v>32996</v>
      </c>
      <c r="I3679" s="8">
        <v>527.4375</v>
      </c>
      <c r="J3679" s="3">
        <f t="shared" si="57"/>
        <v>43748.719848113418</v>
      </c>
    </row>
    <row r="3680" spans="1:10" x14ac:dyDescent="0.25">
      <c r="A3680" s="5" t="s">
        <v>32997</v>
      </c>
      <c r="B3680" s="6">
        <v>396.875</v>
      </c>
      <c r="C3680" s="6">
        <v>20.531590000000001</v>
      </c>
      <c r="D3680" s="6">
        <v>71</v>
      </c>
      <c r="E3680" s="6">
        <v>0</v>
      </c>
      <c r="F3680" s="6">
        <v>0</v>
      </c>
      <c r="G3680" s="6">
        <v>6</v>
      </c>
      <c r="H3680" s="6" t="s">
        <v>32998</v>
      </c>
      <c r="I3680" s="6">
        <v>527.4375</v>
      </c>
      <c r="J3680" s="2">
        <f t="shared" si="57"/>
        <v>43748.719943611104</v>
      </c>
    </row>
    <row r="3681" spans="1:10" x14ac:dyDescent="0.25">
      <c r="A3681" s="7" t="s">
        <v>32999</v>
      </c>
      <c r="B3681" s="8">
        <v>396.875</v>
      </c>
      <c r="C3681" s="8">
        <v>20.478950000000001</v>
      </c>
      <c r="D3681" s="8">
        <v>72</v>
      </c>
      <c r="E3681" s="8">
        <v>0</v>
      </c>
      <c r="F3681" s="8">
        <v>0</v>
      </c>
      <c r="G3681" s="8">
        <v>11</v>
      </c>
      <c r="H3681" s="8" t="s">
        <v>33000</v>
      </c>
      <c r="I3681" s="8">
        <v>527.4375</v>
      </c>
      <c r="J3681" s="3">
        <f t="shared" si="57"/>
        <v>43748.72001513889</v>
      </c>
    </row>
    <row r="3682" spans="1:10" x14ac:dyDescent="0.25">
      <c r="A3682" s="5" t="s">
        <v>33001</v>
      </c>
      <c r="B3682" s="6">
        <v>396.875</v>
      </c>
      <c r="C3682" s="6">
        <v>20.531590000000001</v>
      </c>
      <c r="D3682" s="6">
        <v>72</v>
      </c>
      <c r="E3682" s="6">
        <v>0</v>
      </c>
      <c r="F3682" s="6">
        <v>0</v>
      </c>
      <c r="G3682" s="6">
        <v>10</v>
      </c>
      <c r="H3682" s="6" t="s">
        <v>33002</v>
      </c>
      <c r="I3682" s="6">
        <v>527.4375</v>
      </c>
      <c r="J3682" s="2">
        <f t="shared" si="57"/>
        <v>43748.720086620371</v>
      </c>
    </row>
    <row r="3683" spans="1:10" x14ac:dyDescent="0.25">
      <c r="A3683" s="7" t="s">
        <v>33003</v>
      </c>
      <c r="B3683" s="8">
        <v>415.625</v>
      </c>
      <c r="C3683" s="8">
        <v>20.478950000000001</v>
      </c>
      <c r="D3683" s="8">
        <v>72</v>
      </c>
      <c r="E3683" s="8">
        <v>0</v>
      </c>
      <c r="F3683" s="8">
        <v>0</v>
      </c>
      <c r="G3683" s="8">
        <v>9</v>
      </c>
      <c r="H3683" s="8" t="s">
        <v>33004</v>
      </c>
      <c r="I3683" s="8">
        <v>533.0625</v>
      </c>
      <c r="J3683" s="3">
        <f t="shared" si="57"/>
        <v>43748.720169884262</v>
      </c>
    </row>
    <row r="3684" spans="1:10" x14ac:dyDescent="0.25">
      <c r="A3684" s="5" t="s">
        <v>33005</v>
      </c>
      <c r="B3684" s="6">
        <v>400</v>
      </c>
      <c r="C3684" s="6">
        <v>20.531590000000001</v>
      </c>
      <c r="D3684" s="6">
        <v>73</v>
      </c>
      <c r="E3684" s="6">
        <v>0</v>
      </c>
      <c r="F3684" s="6">
        <v>0</v>
      </c>
      <c r="G3684" s="6">
        <v>10</v>
      </c>
      <c r="H3684" s="6" t="s">
        <v>33006</v>
      </c>
      <c r="I3684" s="6">
        <v>528.375</v>
      </c>
      <c r="J3684" s="2">
        <f t="shared" si="57"/>
        <v>43748.720241249997</v>
      </c>
    </row>
    <row r="3685" spans="1:10" x14ac:dyDescent="0.25">
      <c r="A3685" s="7" t="s">
        <v>33007</v>
      </c>
      <c r="B3685" s="8">
        <v>400</v>
      </c>
      <c r="C3685" s="8">
        <v>20.478950000000001</v>
      </c>
      <c r="D3685" s="8">
        <v>72</v>
      </c>
      <c r="E3685" s="8">
        <v>0</v>
      </c>
      <c r="F3685" s="8">
        <v>0</v>
      </c>
      <c r="G3685" s="8">
        <v>7</v>
      </c>
      <c r="H3685" s="8" t="s">
        <v>33008</v>
      </c>
      <c r="I3685" s="8">
        <v>528.1875</v>
      </c>
      <c r="J3685" s="3">
        <f t="shared" si="57"/>
        <v>43748.72033668981</v>
      </c>
    </row>
    <row r="3686" spans="1:10" x14ac:dyDescent="0.25">
      <c r="A3686" s="5" t="s">
        <v>33009</v>
      </c>
      <c r="B3686" s="6">
        <v>403.125</v>
      </c>
      <c r="C3686" s="6">
        <v>20.478950000000001</v>
      </c>
      <c r="D3686" s="6">
        <v>73</v>
      </c>
      <c r="E3686" s="6">
        <v>0</v>
      </c>
      <c r="F3686" s="6">
        <v>0</v>
      </c>
      <c r="G3686" s="6">
        <v>11</v>
      </c>
      <c r="H3686" s="6" t="s">
        <v>33010</v>
      </c>
      <c r="I3686" s="6">
        <v>529.125</v>
      </c>
      <c r="J3686" s="2">
        <f t="shared" si="57"/>
        <v>43748.720408831017</v>
      </c>
    </row>
    <row r="3687" spans="1:10" x14ac:dyDescent="0.25">
      <c r="A3687" s="7" t="s">
        <v>33011</v>
      </c>
      <c r="B3687" s="8">
        <v>403.125</v>
      </c>
      <c r="C3687" s="8">
        <v>20.478950000000001</v>
      </c>
      <c r="D3687" s="8">
        <v>73</v>
      </c>
      <c r="E3687" s="8">
        <v>0</v>
      </c>
      <c r="F3687" s="8">
        <v>0</v>
      </c>
      <c r="G3687" s="8">
        <v>9</v>
      </c>
      <c r="H3687" s="8" t="s">
        <v>33012</v>
      </c>
      <c r="I3687" s="8">
        <v>529.125</v>
      </c>
      <c r="J3687" s="3">
        <f t="shared" si="57"/>
        <v>43748.720480219905</v>
      </c>
    </row>
    <row r="3688" spans="1:10" x14ac:dyDescent="0.25">
      <c r="A3688" s="5" t="s">
        <v>33013</v>
      </c>
      <c r="B3688" s="6">
        <v>400</v>
      </c>
      <c r="C3688" s="6">
        <v>20.478950000000001</v>
      </c>
      <c r="D3688" s="6">
        <v>73</v>
      </c>
      <c r="E3688" s="6">
        <v>0</v>
      </c>
      <c r="F3688" s="6">
        <v>0</v>
      </c>
      <c r="G3688" s="6">
        <v>11</v>
      </c>
      <c r="H3688" s="6" t="s">
        <v>33014</v>
      </c>
      <c r="I3688" s="6">
        <v>528.9375</v>
      </c>
      <c r="J3688" s="2">
        <f t="shared" si="57"/>
        <v>43748.720563541669</v>
      </c>
    </row>
    <row r="3689" spans="1:10" x14ac:dyDescent="0.25">
      <c r="A3689" s="7" t="s">
        <v>33015</v>
      </c>
      <c r="B3689" s="8">
        <v>396.875</v>
      </c>
      <c r="C3689" s="8">
        <v>20.531590000000001</v>
      </c>
      <c r="D3689" s="8">
        <v>73</v>
      </c>
      <c r="E3689" s="8">
        <v>0</v>
      </c>
      <c r="F3689" s="8">
        <v>0</v>
      </c>
      <c r="G3689" s="8">
        <v>16</v>
      </c>
      <c r="H3689" s="8" t="s">
        <v>33016</v>
      </c>
      <c r="I3689" s="8">
        <v>527.4375</v>
      </c>
      <c r="J3689" s="3">
        <f t="shared" si="57"/>
        <v>43748.720634756937</v>
      </c>
    </row>
    <row r="3690" spans="1:10" x14ac:dyDescent="0.25">
      <c r="A3690" s="5" t="s">
        <v>33017</v>
      </c>
      <c r="B3690" s="6">
        <v>396.875</v>
      </c>
      <c r="C3690" s="6">
        <v>20.531590000000001</v>
      </c>
      <c r="D3690" s="6">
        <v>73</v>
      </c>
      <c r="E3690" s="6">
        <v>0</v>
      </c>
      <c r="F3690" s="6">
        <v>0</v>
      </c>
      <c r="G3690" s="6">
        <v>12</v>
      </c>
      <c r="H3690" s="6" t="s">
        <v>33018</v>
      </c>
      <c r="I3690" s="6">
        <v>527.4375</v>
      </c>
      <c r="J3690" s="2">
        <f t="shared" si="57"/>
        <v>43748.720706921296</v>
      </c>
    </row>
    <row r="3691" spans="1:10" x14ac:dyDescent="0.25">
      <c r="A3691" s="7" t="s">
        <v>33019</v>
      </c>
      <c r="B3691" s="8">
        <v>393.75</v>
      </c>
      <c r="C3691" s="8">
        <v>20.478950000000001</v>
      </c>
      <c r="D3691" s="8">
        <v>73</v>
      </c>
      <c r="E3691" s="8">
        <v>0</v>
      </c>
      <c r="F3691" s="8">
        <v>0</v>
      </c>
      <c r="G3691" s="8">
        <v>6</v>
      </c>
      <c r="H3691" s="8" t="s">
        <v>33020</v>
      </c>
      <c r="I3691" s="8">
        <v>526.6875</v>
      </c>
      <c r="J3691" s="3">
        <f t="shared" si="57"/>
        <v>43748.720778240742</v>
      </c>
    </row>
    <row r="3692" spans="1:10" x14ac:dyDescent="0.25">
      <c r="A3692" s="5" t="s">
        <v>33021</v>
      </c>
      <c r="B3692" s="6">
        <v>393.75</v>
      </c>
      <c r="C3692" s="6">
        <v>20.478950000000001</v>
      </c>
      <c r="D3692" s="6">
        <v>73</v>
      </c>
      <c r="E3692" s="6">
        <v>0</v>
      </c>
      <c r="F3692" s="6">
        <v>0</v>
      </c>
      <c r="G3692" s="6">
        <v>2</v>
      </c>
      <c r="H3692" s="6" t="s">
        <v>33022</v>
      </c>
      <c r="I3692" s="6">
        <v>526.6875</v>
      </c>
      <c r="J3692" s="2">
        <f t="shared" si="57"/>
        <v>43748.72084952546</v>
      </c>
    </row>
    <row r="3693" spans="1:10" x14ac:dyDescent="0.25">
      <c r="A3693" s="7" t="s">
        <v>33023</v>
      </c>
      <c r="B3693" s="8">
        <v>393.75</v>
      </c>
      <c r="C3693" s="8">
        <v>20.478950000000001</v>
      </c>
      <c r="D3693" s="8">
        <v>73</v>
      </c>
      <c r="E3693" s="8">
        <v>0</v>
      </c>
      <c r="F3693" s="8">
        <v>0</v>
      </c>
      <c r="G3693" s="8">
        <v>5</v>
      </c>
      <c r="H3693" s="8" t="s">
        <v>33024</v>
      </c>
      <c r="I3693" s="8">
        <v>526.6875</v>
      </c>
      <c r="J3693" s="3">
        <f t="shared" si="57"/>
        <v>43748.720920949076</v>
      </c>
    </row>
    <row r="3694" spans="1:10" x14ac:dyDescent="0.25">
      <c r="A3694" s="5" t="s">
        <v>33025</v>
      </c>
      <c r="B3694" s="6">
        <v>393.75</v>
      </c>
      <c r="C3694" s="6">
        <v>20.478950000000001</v>
      </c>
      <c r="D3694" s="6">
        <v>72</v>
      </c>
      <c r="E3694" s="6">
        <v>0</v>
      </c>
      <c r="F3694" s="6">
        <v>0</v>
      </c>
      <c r="G3694" s="6">
        <v>17</v>
      </c>
      <c r="H3694" s="6" t="s">
        <v>33026</v>
      </c>
      <c r="I3694" s="6">
        <v>526.5</v>
      </c>
      <c r="J3694" s="2">
        <f t="shared" si="57"/>
        <v>43748.721003831015</v>
      </c>
    </row>
    <row r="3695" spans="1:10" x14ac:dyDescent="0.25">
      <c r="A3695" s="7" t="s">
        <v>33027</v>
      </c>
      <c r="B3695" s="8">
        <v>412.5</v>
      </c>
      <c r="C3695" s="8">
        <v>20.531590000000001</v>
      </c>
      <c r="D3695" s="8">
        <v>70</v>
      </c>
      <c r="E3695" s="8">
        <v>0</v>
      </c>
      <c r="F3695" s="8">
        <v>0</v>
      </c>
      <c r="G3695" s="8">
        <v>14</v>
      </c>
      <c r="H3695" s="8" t="s">
        <v>33028</v>
      </c>
      <c r="I3695" s="8">
        <v>532.3125</v>
      </c>
      <c r="J3695" s="3">
        <f t="shared" si="57"/>
        <v>43748.721100462957</v>
      </c>
    </row>
    <row r="3696" spans="1:10" x14ac:dyDescent="0.25">
      <c r="A3696" s="5" t="s">
        <v>33029</v>
      </c>
      <c r="B3696" s="6">
        <v>393.75</v>
      </c>
      <c r="C3696" s="6">
        <v>20.531590000000001</v>
      </c>
      <c r="D3696" s="6">
        <v>70</v>
      </c>
      <c r="E3696" s="6">
        <v>0</v>
      </c>
      <c r="F3696" s="6">
        <v>0</v>
      </c>
      <c r="G3696" s="6">
        <v>6</v>
      </c>
      <c r="H3696" s="6" t="s">
        <v>33030</v>
      </c>
      <c r="I3696" s="6">
        <v>526.5</v>
      </c>
      <c r="J3696" s="2">
        <f t="shared" si="57"/>
        <v>43748.72118375</v>
      </c>
    </row>
    <row r="3697" spans="1:10" x14ac:dyDescent="0.25">
      <c r="A3697" s="7" t="s">
        <v>33031</v>
      </c>
      <c r="B3697" s="8">
        <v>393.75</v>
      </c>
      <c r="C3697" s="8">
        <v>20.531590000000001</v>
      </c>
      <c r="D3697" s="8">
        <v>70</v>
      </c>
      <c r="E3697" s="8">
        <v>0</v>
      </c>
      <c r="F3697" s="8">
        <v>0</v>
      </c>
      <c r="G3697" s="8">
        <v>11</v>
      </c>
      <c r="H3697" s="8" t="s">
        <v>33032</v>
      </c>
      <c r="I3697" s="8">
        <v>526.6875</v>
      </c>
      <c r="J3697" s="3">
        <f t="shared" si="57"/>
        <v>43748.721267326386</v>
      </c>
    </row>
    <row r="3698" spans="1:10" x14ac:dyDescent="0.25">
      <c r="A3698" s="5" t="s">
        <v>33033</v>
      </c>
      <c r="B3698" s="6">
        <v>393.75</v>
      </c>
      <c r="C3698" s="6">
        <v>20.531590000000001</v>
      </c>
      <c r="D3698" s="6">
        <v>70</v>
      </c>
      <c r="E3698" s="6">
        <v>0</v>
      </c>
      <c r="F3698" s="6">
        <v>0</v>
      </c>
      <c r="G3698" s="6">
        <v>12</v>
      </c>
      <c r="H3698" s="6" t="s">
        <v>33034</v>
      </c>
      <c r="I3698" s="6">
        <v>526.5</v>
      </c>
      <c r="J3698" s="2">
        <f t="shared" si="57"/>
        <v>43748.721338541662</v>
      </c>
    </row>
    <row r="3699" spans="1:10" x14ac:dyDescent="0.25">
      <c r="A3699" s="7" t="s">
        <v>33035</v>
      </c>
      <c r="B3699" s="8">
        <v>393.75</v>
      </c>
      <c r="C3699" s="8">
        <v>20.584240000000001</v>
      </c>
      <c r="D3699" s="8">
        <v>71</v>
      </c>
      <c r="E3699" s="8">
        <v>0</v>
      </c>
      <c r="F3699" s="8">
        <v>0</v>
      </c>
      <c r="G3699" s="8">
        <v>11</v>
      </c>
      <c r="H3699" s="8" t="s">
        <v>33036</v>
      </c>
      <c r="I3699" s="8">
        <v>526.6875</v>
      </c>
      <c r="J3699" s="3">
        <f t="shared" si="57"/>
        <v>43748.721410231483</v>
      </c>
    </row>
    <row r="3700" spans="1:10" x14ac:dyDescent="0.25">
      <c r="A3700" s="5" t="s">
        <v>33037</v>
      </c>
      <c r="B3700" s="6">
        <v>393.75</v>
      </c>
      <c r="C3700" s="6">
        <v>20.531590000000001</v>
      </c>
      <c r="D3700" s="6">
        <v>72</v>
      </c>
      <c r="E3700" s="6">
        <v>0</v>
      </c>
      <c r="F3700" s="6">
        <v>0</v>
      </c>
      <c r="G3700" s="6">
        <v>12</v>
      </c>
      <c r="H3700" s="6" t="s">
        <v>33038</v>
      </c>
      <c r="I3700" s="6">
        <v>526.5</v>
      </c>
      <c r="J3700" s="2">
        <f t="shared" si="57"/>
        <v>43748.721481990739</v>
      </c>
    </row>
    <row r="3701" spans="1:10" x14ac:dyDescent="0.25">
      <c r="A3701" s="7" t="s">
        <v>33039</v>
      </c>
      <c r="B3701" s="8">
        <v>412.5</v>
      </c>
      <c r="C3701" s="8">
        <v>20.531590000000001</v>
      </c>
      <c r="D3701" s="8">
        <v>72</v>
      </c>
      <c r="E3701" s="8">
        <v>0</v>
      </c>
      <c r="F3701" s="8">
        <v>0</v>
      </c>
      <c r="G3701" s="8">
        <v>18</v>
      </c>
      <c r="H3701" s="8" t="s">
        <v>33040</v>
      </c>
      <c r="I3701" s="8">
        <v>532.875</v>
      </c>
      <c r="J3701" s="3">
        <f t="shared" si="57"/>
        <v>43748.72155328704</v>
      </c>
    </row>
    <row r="3702" spans="1:10" x14ac:dyDescent="0.25">
      <c r="A3702" s="5" t="s">
        <v>33041</v>
      </c>
      <c r="B3702" s="6">
        <v>393.75</v>
      </c>
      <c r="C3702" s="6">
        <v>20.531590000000001</v>
      </c>
      <c r="D3702" s="6">
        <v>73</v>
      </c>
      <c r="E3702" s="6">
        <v>0</v>
      </c>
      <c r="F3702" s="6">
        <v>0</v>
      </c>
      <c r="G3702" s="6">
        <v>19</v>
      </c>
      <c r="H3702" s="6" t="s">
        <v>33042</v>
      </c>
      <c r="I3702" s="6">
        <v>526.6875</v>
      </c>
      <c r="J3702" s="2">
        <f t="shared" si="57"/>
        <v>43748.721624884252</v>
      </c>
    </row>
    <row r="3703" spans="1:10" x14ac:dyDescent="0.25">
      <c r="A3703" s="7" t="s">
        <v>33043</v>
      </c>
      <c r="B3703" s="8">
        <v>393.75</v>
      </c>
      <c r="C3703" s="8">
        <v>20.531590000000001</v>
      </c>
      <c r="D3703" s="8">
        <v>73</v>
      </c>
      <c r="E3703" s="8">
        <v>0</v>
      </c>
      <c r="F3703" s="8">
        <v>0</v>
      </c>
      <c r="G3703" s="8">
        <v>0</v>
      </c>
      <c r="H3703" s="8" t="s">
        <v>33044</v>
      </c>
      <c r="I3703" s="8">
        <v>526.6875</v>
      </c>
      <c r="J3703" s="3">
        <f t="shared" si="57"/>
        <v>43748.721696782406</v>
      </c>
    </row>
    <row r="3704" spans="1:10" x14ac:dyDescent="0.25">
      <c r="A3704" s="5" t="s">
        <v>33045</v>
      </c>
      <c r="B3704" s="6">
        <v>393.75</v>
      </c>
      <c r="C3704" s="6">
        <v>20.478950000000001</v>
      </c>
      <c r="D3704" s="6">
        <v>73</v>
      </c>
      <c r="E3704" s="6">
        <v>0</v>
      </c>
      <c r="F3704" s="6">
        <v>0</v>
      </c>
      <c r="G3704" s="6">
        <v>3</v>
      </c>
      <c r="H3704" s="6" t="s">
        <v>33046</v>
      </c>
      <c r="I3704" s="6">
        <v>526.6875</v>
      </c>
      <c r="J3704" s="2">
        <f t="shared" si="57"/>
        <v>43748.721768287032</v>
      </c>
    </row>
    <row r="3705" spans="1:10" x14ac:dyDescent="0.25">
      <c r="A3705" s="7" t="s">
        <v>33047</v>
      </c>
      <c r="B3705" s="8">
        <v>393.75</v>
      </c>
      <c r="C3705" s="8">
        <v>20.531590000000001</v>
      </c>
      <c r="D3705" s="8">
        <v>73</v>
      </c>
      <c r="E3705" s="8">
        <v>0</v>
      </c>
      <c r="F3705" s="8">
        <v>0</v>
      </c>
      <c r="G3705" s="8">
        <v>12</v>
      </c>
      <c r="H3705" s="8" t="s">
        <v>33048</v>
      </c>
      <c r="I3705" s="8">
        <v>526.6875</v>
      </c>
      <c r="J3705" s="3">
        <f t="shared" si="57"/>
        <v>43748.721839583326</v>
      </c>
    </row>
    <row r="3706" spans="1:10" x14ac:dyDescent="0.25">
      <c r="A3706" s="5" t="s">
        <v>33049</v>
      </c>
      <c r="B3706" s="6">
        <v>393.75</v>
      </c>
      <c r="C3706" s="6">
        <v>20.478950000000001</v>
      </c>
      <c r="D3706" s="6">
        <v>72</v>
      </c>
      <c r="E3706" s="6">
        <v>0</v>
      </c>
      <c r="F3706" s="6">
        <v>0</v>
      </c>
      <c r="G3706" s="6">
        <v>9</v>
      </c>
      <c r="H3706" s="6" t="s">
        <v>33050</v>
      </c>
      <c r="I3706" s="6">
        <v>526.6875</v>
      </c>
      <c r="J3706" s="2">
        <f t="shared" si="57"/>
        <v>43748.721911053239</v>
      </c>
    </row>
    <row r="3707" spans="1:10" x14ac:dyDescent="0.25">
      <c r="A3707" s="7" t="s">
        <v>33051</v>
      </c>
      <c r="B3707" s="8">
        <v>393.75</v>
      </c>
      <c r="C3707" s="8">
        <v>20.531590000000001</v>
      </c>
      <c r="D3707" s="8">
        <v>73</v>
      </c>
      <c r="E3707" s="8">
        <v>0</v>
      </c>
      <c r="F3707" s="8">
        <v>0</v>
      </c>
      <c r="G3707" s="8">
        <v>12</v>
      </c>
      <c r="H3707" s="8" t="s">
        <v>33052</v>
      </c>
      <c r="I3707" s="8">
        <v>526.6875</v>
      </c>
      <c r="J3707" s="3">
        <f t="shared" si="57"/>
        <v>43748.721995532404</v>
      </c>
    </row>
    <row r="3708" spans="1:10" x14ac:dyDescent="0.25">
      <c r="A3708" s="5" t="s">
        <v>33053</v>
      </c>
      <c r="B3708" s="6">
        <v>393.75</v>
      </c>
      <c r="C3708" s="6">
        <v>20.584240000000001</v>
      </c>
      <c r="D3708" s="6">
        <v>71</v>
      </c>
      <c r="E3708" s="6">
        <v>0</v>
      </c>
      <c r="F3708" s="6">
        <v>0</v>
      </c>
      <c r="G3708" s="6">
        <v>16</v>
      </c>
      <c r="H3708" s="6" t="s">
        <v>33054</v>
      </c>
      <c r="I3708" s="6">
        <v>526.5</v>
      </c>
      <c r="J3708" s="2">
        <f t="shared" si="57"/>
        <v>43748.722066504626</v>
      </c>
    </row>
    <row r="3709" spans="1:10" x14ac:dyDescent="0.25">
      <c r="A3709" s="7" t="s">
        <v>33055</v>
      </c>
      <c r="B3709" s="8">
        <v>412.5</v>
      </c>
      <c r="C3709" s="8">
        <v>20.531590000000001</v>
      </c>
      <c r="D3709" s="8">
        <v>69</v>
      </c>
      <c r="E3709" s="8">
        <v>0</v>
      </c>
      <c r="F3709" s="8">
        <v>0</v>
      </c>
      <c r="G3709" s="8">
        <v>14</v>
      </c>
      <c r="H3709" s="8" t="s">
        <v>33056</v>
      </c>
      <c r="I3709" s="8">
        <v>532.125</v>
      </c>
      <c r="J3709" s="3">
        <f t="shared" si="57"/>
        <v>43748.722149768517</v>
      </c>
    </row>
    <row r="3710" spans="1:10" x14ac:dyDescent="0.25">
      <c r="A3710" s="5" t="s">
        <v>33057</v>
      </c>
      <c r="B3710" s="6">
        <v>393.75</v>
      </c>
      <c r="C3710" s="6">
        <v>20.478950000000001</v>
      </c>
      <c r="D3710" s="6">
        <v>68</v>
      </c>
      <c r="E3710" s="6">
        <v>0</v>
      </c>
      <c r="F3710" s="6">
        <v>0</v>
      </c>
      <c r="G3710" s="6">
        <v>14</v>
      </c>
      <c r="H3710" s="6" t="s">
        <v>33058</v>
      </c>
      <c r="I3710" s="6">
        <v>526.6875</v>
      </c>
      <c r="J3710" s="2">
        <f t="shared" si="57"/>
        <v>43748.722221238422</v>
      </c>
    </row>
    <row r="3711" spans="1:10" x14ac:dyDescent="0.25">
      <c r="A3711" s="7" t="s">
        <v>33059</v>
      </c>
      <c r="B3711" s="8">
        <v>393.75</v>
      </c>
      <c r="C3711" s="8">
        <v>20.478950000000001</v>
      </c>
      <c r="D3711" s="8">
        <v>68</v>
      </c>
      <c r="E3711" s="8">
        <v>0</v>
      </c>
      <c r="F3711" s="8">
        <v>0</v>
      </c>
      <c r="G3711" s="8">
        <v>13</v>
      </c>
      <c r="H3711" s="8" t="s">
        <v>33060</v>
      </c>
      <c r="I3711" s="8">
        <v>526.6875</v>
      </c>
      <c r="J3711" s="3">
        <f t="shared" si="57"/>
        <v>43748.722292893515</v>
      </c>
    </row>
    <row r="3712" spans="1:10" x14ac:dyDescent="0.25">
      <c r="A3712" s="5" t="s">
        <v>33061</v>
      </c>
      <c r="B3712" s="6">
        <v>440.625</v>
      </c>
      <c r="C3712" s="6">
        <v>20.478950000000001</v>
      </c>
      <c r="D3712" s="6">
        <v>68</v>
      </c>
      <c r="E3712" s="6">
        <v>0</v>
      </c>
      <c r="F3712" s="6">
        <v>0</v>
      </c>
      <c r="G3712" s="6">
        <v>4</v>
      </c>
      <c r="H3712" s="6" t="s">
        <v>33062</v>
      </c>
      <c r="I3712" s="6">
        <v>541.3125</v>
      </c>
      <c r="J3712" s="2">
        <f t="shared" si="57"/>
        <v>43748.722376157406</v>
      </c>
    </row>
    <row r="3713" spans="1:10" x14ac:dyDescent="0.25">
      <c r="A3713" s="7" t="s">
        <v>33063</v>
      </c>
      <c r="B3713" s="8">
        <v>400</v>
      </c>
      <c r="C3713" s="8">
        <v>20.531590000000001</v>
      </c>
      <c r="D3713" s="8">
        <v>68</v>
      </c>
      <c r="E3713" s="8">
        <v>0</v>
      </c>
      <c r="F3713" s="8">
        <v>0</v>
      </c>
      <c r="G3713" s="8">
        <v>12</v>
      </c>
      <c r="H3713" s="8" t="s">
        <v>33064</v>
      </c>
      <c r="I3713" s="8">
        <v>528.1875</v>
      </c>
      <c r="J3713" s="3">
        <f t="shared" si="57"/>
        <v>43748.722471759254</v>
      </c>
    </row>
    <row r="3714" spans="1:10" x14ac:dyDescent="0.25">
      <c r="A3714" s="5" t="s">
        <v>33065</v>
      </c>
      <c r="B3714" s="6">
        <v>418.75</v>
      </c>
      <c r="C3714" s="6">
        <v>20.531590000000001</v>
      </c>
      <c r="D3714" s="6">
        <v>68</v>
      </c>
      <c r="E3714" s="6">
        <v>0</v>
      </c>
      <c r="F3714" s="6">
        <v>0</v>
      </c>
      <c r="G3714" s="6">
        <v>6</v>
      </c>
      <c r="H3714" s="6" t="s">
        <v>33066</v>
      </c>
      <c r="I3714" s="6">
        <v>534.5625</v>
      </c>
      <c r="J3714" s="2">
        <f t="shared" ref="J3714:J3777" si="58">(H3714/86400000)+25569+(7/24)</f>
        <v>43748.722543275457</v>
      </c>
    </row>
    <row r="3715" spans="1:10" x14ac:dyDescent="0.25">
      <c r="A3715" s="7" t="s">
        <v>33067</v>
      </c>
      <c r="B3715" s="8">
        <v>400</v>
      </c>
      <c r="C3715" s="8">
        <v>20.478950000000001</v>
      </c>
      <c r="D3715" s="8">
        <v>68</v>
      </c>
      <c r="E3715" s="8">
        <v>0</v>
      </c>
      <c r="F3715" s="8">
        <v>0</v>
      </c>
      <c r="G3715" s="8">
        <v>12</v>
      </c>
      <c r="H3715" s="8" t="s">
        <v>33068</v>
      </c>
      <c r="I3715" s="8">
        <v>528.375</v>
      </c>
      <c r="J3715" s="3">
        <f t="shared" si="58"/>
        <v>43748.722615162034</v>
      </c>
    </row>
    <row r="3716" spans="1:10" x14ac:dyDescent="0.25">
      <c r="A3716" s="5" t="s">
        <v>33069</v>
      </c>
      <c r="B3716" s="6">
        <v>400</v>
      </c>
      <c r="C3716" s="6">
        <v>20.478950000000001</v>
      </c>
      <c r="D3716" s="6">
        <v>69</v>
      </c>
      <c r="E3716" s="6">
        <v>0</v>
      </c>
      <c r="F3716" s="6">
        <v>0</v>
      </c>
      <c r="G3716" s="6">
        <v>7</v>
      </c>
      <c r="H3716" s="6" t="s">
        <v>33070</v>
      </c>
      <c r="I3716" s="6">
        <v>528.1875</v>
      </c>
      <c r="J3716" s="2">
        <f t="shared" si="58"/>
        <v>43748.722686678237</v>
      </c>
    </row>
    <row r="3717" spans="1:10" x14ac:dyDescent="0.25">
      <c r="A3717" s="7" t="s">
        <v>33071</v>
      </c>
      <c r="B3717" s="8">
        <v>396.875</v>
      </c>
      <c r="C3717" s="8">
        <v>20.531590000000001</v>
      </c>
      <c r="D3717" s="8">
        <v>70</v>
      </c>
      <c r="E3717" s="8">
        <v>0</v>
      </c>
      <c r="F3717" s="8">
        <v>0</v>
      </c>
      <c r="G3717" s="8">
        <v>17</v>
      </c>
      <c r="H3717" s="8" t="s">
        <v>33072</v>
      </c>
      <c r="I3717" s="8">
        <v>527.4375</v>
      </c>
      <c r="J3717" s="3">
        <f t="shared" si="58"/>
        <v>43748.722757986114</v>
      </c>
    </row>
    <row r="3718" spans="1:10" x14ac:dyDescent="0.25">
      <c r="A3718" s="5" t="s">
        <v>33073</v>
      </c>
      <c r="B3718" s="6">
        <v>396.875</v>
      </c>
      <c r="C3718" s="6">
        <v>20.478950000000001</v>
      </c>
      <c r="D3718" s="6">
        <v>70</v>
      </c>
      <c r="E3718" s="6">
        <v>0</v>
      </c>
      <c r="F3718" s="6">
        <v>0</v>
      </c>
      <c r="G3718" s="6">
        <v>11</v>
      </c>
      <c r="H3718" s="6" t="s">
        <v>33074</v>
      </c>
      <c r="I3718" s="6">
        <v>527.4375</v>
      </c>
      <c r="J3718" s="2">
        <f t="shared" si="58"/>
        <v>43748.722844282405</v>
      </c>
    </row>
    <row r="3719" spans="1:10" x14ac:dyDescent="0.25">
      <c r="A3719" s="7" t="s">
        <v>33075</v>
      </c>
      <c r="B3719" s="8">
        <v>393.75</v>
      </c>
      <c r="C3719" s="8">
        <v>20.531590000000001</v>
      </c>
      <c r="D3719" s="8">
        <v>71</v>
      </c>
      <c r="E3719" s="8">
        <v>0</v>
      </c>
      <c r="F3719" s="8">
        <v>0</v>
      </c>
      <c r="G3719" s="8">
        <v>10</v>
      </c>
      <c r="H3719" s="8" t="s">
        <v>33076</v>
      </c>
      <c r="I3719" s="8">
        <v>526.6875</v>
      </c>
      <c r="J3719" s="3">
        <f t="shared" si="58"/>
        <v>43748.722925034723</v>
      </c>
    </row>
    <row r="3720" spans="1:10" x14ac:dyDescent="0.25">
      <c r="A3720" s="5" t="s">
        <v>33077</v>
      </c>
      <c r="B3720" s="6">
        <v>393.75</v>
      </c>
      <c r="C3720" s="6">
        <v>20.531590000000001</v>
      </c>
      <c r="D3720" s="6">
        <v>71</v>
      </c>
      <c r="E3720" s="6">
        <v>0</v>
      </c>
      <c r="F3720" s="6">
        <v>0</v>
      </c>
      <c r="G3720" s="6">
        <v>12</v>
      </c>
      <c r="H3720" s="6" t="s">
        <v>33078</v>
      </c>
      <c r="I3720" s="6">
        <v>526.6875</v>
      </c>
      <c r="J3720" s="2">
        <f t="shared" si="58"/>
        <v>43748.722996666664</v>
      </c>
    </row>
    <row r="3721" spans="1:10" x14ac:dyDescent="0.25">
      <c r="A3721" s="7" t="s">
        <v>33079</v>
      </c>
      <c r="B3721" s="8">
        <v>412.5</v>
      </c>
      <c r="C3721" s="8">
        <v>20.531590000000001</v>
      </c>
      <c r="D3721" s="8">
        <v>70</v>
      </c>
      <c r="E3721" s="8">
        <v>0</v>
      </c>
      <c r="F3721" s="8">
        <v>0</v>
      </c>
      <c r="G3721" s="8">
        <v>3</v>
      </c>
      <c r="H3721" s="8" t="s">
        <v>33080</v>
      </c>
      <c r="I3721" s="8">
        <v>532.3125</v>
      </c>
      <c r="J3721" s="3">
        <f t="shared" si="58"/>
        <v>43748.723068657404</v>
      </c>
    </row>
    <row r="3722" spans="1:10" x14ac:dyDescent="0.25">
      <c r="A3722" s="5" t="s">
        <v>33081</v>
      </c>
      <c r="B3722" s="6">
        <v>393.75</v>
      </c>
      <c r="C3722" s="6">
        <v>20.478950000000001</v>
      </c>
      <c r="D3722" s="6">
        <v>69</v>
      </c>
      <c r="E3722" s="6">
        <v>0</v>
      </c>
      <c r="F3722" s="6">
        <v>0</v>
      </c>
      <c r="G3722" s="6">
        <v>18</v>
      </c>
      <c r="H3722" s="6" t="s">
        <v>33082</v>
      </c>
      <c r="I3722" s="6">
        <v>526.6875</v>
      </c>
      <c r="J3722" s="2">
        <f t="shared" si="58"/>
        <v>43748.72314041666</v>
      </c>
    </row>
    <row r="3723" spans="1:10" x14ac:dyDescent="0.25">
      <c r="A3723" s="7" t="s">
        <v>33083</v>
      </c>
      <c r="B3723" s="8">
        <v>393.75</v>
      </c>
      <c r="C3723" s="8">
        <v>20.531590000000001</v>
      </c>
      <c r="D3723" s="8">
        <v>67</v>
      </c>
      <c r="E3723" s="8">
        <v>0</v>
      </c>
      <c r="F3723" s="8">
        <v>0</v>
      </c>
      <c r="G3723" s="8">
        <v>16</v>
      </c>
      <c r="H3723" s="8" t="s">
        <v>33084</v>
      </c>
      <c r="I3723" s="8">
        <v>526.6875</v>
      </c>
      <c r="J3723" s="3">
        <f t="shared" si="58"/>
        <v>43748.723211701385</v>
      </c>
    </row>
    <row r="3724" spans="1:10" x14ac:dyDescent="0.25">
      <c r="A3724" s="5" t="s">
        <v>33085</v>
      </c>
      <c r="B3724" s="6">
        <v>393.75</v>
      </c>
      <c r="C3724" s="6">
        <v>20.478950000000001</v>
      </c>
      <c r="D3724" s="6">
        <v>67</v>
      </c>
      <c r="E3724" s="6">
        <v>0</v>
      </c>
      <c r="F3724" s="6">
        <v>0</v>
      </c>
      <c r="G3724" s="6">
        <v>15</v>
      </c>
      <c r="H3724" s="6" t="s">
        <v>33086</v>
      </c>
      <c r="I3724" s="6">
        <v>526.6875</v>
      </c>
      <c r="J3724" s="2">
        <f t="shared" si="58"/>
        <v>43748.723295034717</v>
      </c>
    </row>
    <row r="3725" spans="1:10" x14ac:dyDescent="0.25">
      <c r="A3725" s="7" t="s">
        <v>33087</v>
      </c>
      <c r="B3725" s="8">
        <v>393.75</v>
      </c>
      <c r="C3725" s="8">
        <v>20.531590000000001</v>
      </c>
      <c r="D3725" s="8">
        <v>69</v>
      </c>
      <c r="E3725" s="8">
        <v>0</v>
      </c>
      <c r="F3725" s="8">
        <v>0</v>
      </c>
      <c r="G3725" s="8">
        <v>12</v>
      </c>
      <c r="H3725" s="8" t="s">
        <v>33088</v>
      </c>
      <c r="I3725" s="8">
        <v>526.6875</v>
      </c>
      <c r="J3725" s="3">
        <f t="shared" si="58"/>
        <v>43748.723366342594</v>
      </c>
    </row>
    <row r="3726" spans="1:10" x14ac:dyDescent="0.25">
      <c r="A3726" s="5" t="s">
        <v>33089</v>
      </c>
      <c r="B3726" s="6">
        <v>393.75</v>
      </c>
      <c r="C3726" s="6">
        <v>20.478950000000001</v>
      </c>
      <c r="D3726" s="6">
        <v>70</v>
      </c>
      <c r="E3726" s="6">
        <v>0</v>
      </c>
      <c r="F3726" s="6">
        <v>0</v>
      </c>
      <c r="G3726" s="6">
        <v>10</v>
      </c>
      <c r="H3726" s="6" t="s">
        <v>33090</v>
      </c>
      <c r="I3726" s="6">
        <v>526.6875</v>
      </c>
      <c r="J3726" s="2">
        <f t="shared" si="58"/>
        <v>43748.723438333334</v>
      </c>
    </row>
    <row r="3727" spans="1:10" x14ac:dyDescent="0.25">
      <c r="A3727" s="7" t="s">
        <v>33091</v>
      </c>
      <c r="B3727" s="8">
        <v>393.75</v>
      </c>
      <c r="C3727" s="8">
        <v>20.478950000000001</v>
      </c>
      <c r="D3727" s="8">
        <v>70</v>
      </c>
      <c r="E3727" s="8">
        <v>0</v>
      </c>
      <c r="F3727" s="8">
        <v>0</v>
      </c>
      <c r="G3727" s="8">
        <v>11</v>
      </c>
      <c r="H3727" s="8" t="s">
        <v>33092</v>
      </c>
      <c r="I3727" s="8">
        <v>526.6875</v>
      </c>
      <c r="J3727" s="3">
        <f t="shared" si="58"/>
        <v>43748.723509745367</v>
      </c>
    </row>
    <row r="3728" spans="1:10" x14ac:dyDescent="0.25">
      <c r="A3728" s="5" t="s">
        <v>33093</v>
      </c>
      <c r="B3728" s="6">
        <v>393.75</v>
      </c>
      <c r="C3728" s="6">
        <v>20.584240000000001</v>
      </c>
      <c r="D3728" s="6">
        <v>71</v>
      </c>
      <c r="E3728" s="6">
        <v>0</v>
      </c>
      <c r="F3728" s="6">
        <v>0</v>
      </c>
      <c r="G3728" s="6">
        <v>12</v>
      </c>
      <c r="H3728" s="6" t="s">
        <v>33094</v>
      </c>
      <c r="I3728" s="6">
        <v>526.6875</v>
      </c>
      <c r="J3728" s="2">
        <f t="shared" si="58"/>
        <v>43748.72358114583</v>
      </c>
    </row>
    <row r="3729" spans="1:10" x14ac:dyDescent="0.25">
      <c r="A3729" s="7" t="s">
        <v>33095</v>
      </c>
      <c r="B3729" s="8">
        <v>393.75</v>
      </c>
      <c r="C3729" s="8">
        <v>20.478950000000001</v>
      </c>
      <c r="D3729" s="8">
        <v>72</v>
      </c>
      <c r="E3729" s="8">
        <v>0</v>
      </c>
      <c r="F3729" s="8">
        <v>0</v>
      </c>
      <c r="G3729" s="8">
        <v>15</v>
      </c>
      <c r="H3729" s="8" t="s">
        <v>33096</v>
      </c>
      <c r="I3729" s="8">
        <v>526.6875</v>
      </c>
      <c r="J3729" s="3">
        <f t="shared" si="58"/>
        <v>43748.723659456016</v>
      </c>
    </row>
    <row r="3730" spans="1:10" x14ac:dyDescent="0.25">
      <c r="A3730" s="5" t="s">
        <v>33097</v>
      </c>
      <c r="B3730" s="6">
        <v>393.75</v>
      </c>
      <c r="C3730" s="6">
        <v>20.531590000000001</v>
      </c>
      <c r="D3730" s="6">
        <v>72</v>
      </c>
      <c r="E3730" s="6">
        <v>0</v>
      </c>
      <c r="F3730" s="6">
        <v>0</v>
      </c>
      <c r="G3730" s="6">
        <v>11</v>
      </c>
      <c r="H3730" s="6" t="s">
        <v>33098</v>
      </c>
      <c r="I3730" s="6">
        <v>526.6875</v>
      </c>
      <c r="J3730" s="2">
        <f t="shared" si="58"/>
        <v>43748.723736354164</v>
      </c>
    </row>
    <row r="3731" spans="1:10" x14ac:dyDescent="0.25">
      <c r="A3731" s="7" t="s">
        <v>33099</v>
      </c>
      <c r="B3731" s="8">
        <v>393.75</v>
      </c>
      <c r="C3731" s="8">
        <v>20.478950000000001</v>
      </c>
      <c r="D3731" s="8">
        <v>72</v>
      </c>
      <c r="E3731" s="8">
        <v>0</v>
      </c>
      <c r="F3731" s="8">
        <v>0</v>
      </c>
      <c r="G3731" s="8">
        <v>11</v>
      </c>
      <c r="H3731" s="8" t="s">
        <v>33100</v>
      </c>
      <c r="I3731" s="8">
        <v>526.6875</v>
      </c>
      <c r="J3731" s="3">
        <f t="shared" si="58"/>
        <v>43748.723808055554</v>
      </c>
    </row>
    <row r="3732" spans="1:10" x14ac:dyDescent="0.25">
      <c r="A3732" s="5" t="s">
        <v>33101</v>
      </c>
      <c r="B3732" s="6">
        <v>393.75</v>
      </c>
      <c r="C3732" s="6">
        <v>20.478950000000001</v>
      </c>
      <c r="D3732" s="6">
        <v>72</v>
      </c>
      <c r="E3732" s="6">
        <v>0</v>
      </c>
      <c r="F3732" s="6">
        <v>0</v>
      </c>
      <c r="G3732" s="6">
        <v>14</v>
      </c>
      <c r="H3732" s="6" t="s">
        <v>33102</v>
      </c>
      <c r="I3732" s="6">
        <v>526.6875</v>
      </c>
      <c r="J3732" s="2">
        <f t="shared" si="58"/>
        <v>43748.723879305551</v>
      </c>
    </row>
    <row r="3733" spans="1:10" x14ac:dyDescent="0.25">
      <c r="A3733" s="7" t="s">
        <v>33103</v>
      </c>
      <c r="B3733" s="8">
        <v>393.75</v>
      </c>
      <c r="C3733" s="8">
        <v>20.584240000000001</v>
      </c>
      <c r="D3733" s="8">
        <v>72</v>
      </c>
      <c r="E3733" s="8">
        <v>0</v>
      </c>
      <c r="F3733" s="8">
        <v>0</v>
      </c>
      <c r="G3733" s="8">
        <v>10</v>
      </c>
      <c r="H3733" s="8" t="s">
        <v>33104</v>
      </c>
      <c r="I3733" s="8">
        <v>526.6875</v>
      </c>
      <c r="J3733" s="3">
        <f t="shared" si="58"/>
        <v>43748.723964641198</v>
      </c>
    </row>
    <row r="3734" spans="1:10" x14ac:dyDescent="0.25">
      <c r="A3734" s="5" t="s">
        <v>33105</v>
      </c>
      <c r="B3734" s="6">
        <v>393.75</v>
      </c>
      <c r="C3734" s="6">
        <v>20.478950000000001</v>
      </c>
      <c r="D3734" s="6">
        <v>70</v>
      </c>
      <c r="E3734" s="6">
        <v>0</v>
      </c>
      <c r="F3734" s="6">
        <v>0</v>
      </c>
      <c r="G3734" s="6">
        <v>20</v>
      </c>
      <c r="H3734" s="6" t="s">
        <v>33106</v>
      </c>
      <c r="I3734" s="6">
        <v>526.6875</v>
      </c>
      <c r="J3734" s="2">
        <f t="shared" si="58"/>
        <v>43748.724058194442</v>
      </c>
    </row>
    <row r="3735" spans="1:10" x14ac:dyDescent="0.25">
      <c r="A3735" s="7" t="s">
        <v>33107</v>
      </c>
      <c r="B3735" s="8">
        <v>393.75</v>
      </c>
      <c r="C3735" s="8">
        <v>20.531590000000001</v>
      </c>
      <c r="D3735" s="8">
        <v>70</v>
      </c>
      <c r="E3735" s="8">
        <v>0</v>
      </c>
      <c r="F3735" s="8">
        <v>0</v>
      </c>
      <c r="G3735" s="8">
        <v>6</v>
      </c>
      <c r="H3735" s="8" t="s">
        <v>33108</v>
      </c>
      <c r="I3735" s="8">
        <v>526.6875</v>
      </c>
      <c r="J3735" s="3">
        <f t="shared" si="58"/>
        <v>43748.724129756942</v>
      </c>
    </row>
    <row r="3736" spans="1:10" x14ac:dyDescent="0.25">
      <c r="A3736" s="5" t="s">
        <v>33109</v>
      </c>
      <c r="B3736" s="6">
        <v>393.75</v>
      </c>
      <c r="C3736" s="6">
        <v>20.531590000000001</v>
      </c>
      <c r="D3736" s="6">
        <v>70</v>
      </c>
      <c r="E3736" s="6">
        <v>0</v>
      </c>
      <c r="F3736" s="6">
        <v>0</v>
      </c>
      <c r="G3736" s="6">
        <v>11</v>
      </c>
      <c r="H3736" s="6" t="s">
        <v>33110</v>
      </c>
      <c r="I3736" s="6">
        <v>526.5</v>
      </c>
      <c r="J3736" s="2">
        <f t="shared" si="58"/>
        <v>43748.724201354162</v>
      </c>
    </row>
    <row r="3737" spans="1:10" x14ac:dyDescent="0.25">
      <c r="A3737" s="7" t="s">
        <v>33111</v>
      </c>
      <c r="B3737" s="8">
        <v>393.75</v>
      </c>
      <c r="C3737" s="8">
        <v>20.478950000000001</v>
      </c>
      <c r="D3737" s="8">
        <v>70</v>
      </c>
      <c r="E3737" s="8">
        <v>0</v>
      </c>
      <c r="F3737" s="8">
        <v>0</v>
      </c>
      <c r="G3737" s="8">
        <v>12</v>
      </c>
      <c r="H3737" s="8" t="s">
        <v>33112</v>
      </c>
      <c r="I3737" s="8">
        <v>526.6875</v>
      </c>
      <c r="J3737" s="3">
        <f t="shared" si="58"/>
        <v>43748.724272754625</v>
      </c>
    </row>
    <row r="3738" spans="1:10" x14ac:dyDescent="0.25">
      <c r="A3738" s="5" t="s">
        <v>33113</v>
      </c>
      <c r="B3738" s="6">
        <v>415.625</v>
      </c>
      <c r="C3738" s="6">
        <v>20.478950000000001</v>
      </c>
      <c r="D3738" s="6">
        <v>71</v>
      </c>
      <c r="E3738" s="6">
        <v>0</v>
      </c>
      <c r="F3738" s="6">
        <v>0</v>
      </c>
      <c r="G3738" s="6">
        <v>15</v>
      </c>
      <c r="H3738" s="6" t="s">
        <v>33114</v>
      </c>
      <c r="I3738" s="6">
        <v>533.25</v>
      </c>
      <c r="J3738" s="2">
        <f t="shared" si="58"/>
        <v>43748.72435684027</v>
      </c>
    </row>
    <row r="3739" spans="1:10" x14ac:dyDescent="0.25">
      <c r="A3739" s="7" t="s">
        <v>33115</v>
      </c>
      <c r="B3739" s="8">
        <v>393.75</v>
      </c>
      <c r="C3739" s="8">
        <v>20.478950000000001</v>
      </c>
      <c r="D3739" s="8">
        <v>72</v>
      </c>
      <c r="E3739" s="8">
        <v>0</v>
      </c>
      <c r="F3739" s="8">
        <v>0</v>
      </c>
      <c r="G3739" s="8">
        <v>13</v>
      </c>
      <c r="H3739" s="8" t="s">
        <v>33116</v>
      </c>
      <c r="I3739" s="8">
        <v>526.6875</v>
      </c>
      <c r="J3739" s="3">
        <f t="shared" si="58"/>
        <v>43748.724428148147</v>
      </c>
    </row>
    <row r="3740" spans="1:10" x14ac:dyDescent="0.25">
      <c r="A3740" s="5" t="s">
        <v>33117</v>
      </c>
      <c r="B3740" s="6">
        <v>393.75</v>
      </c>
      <c r="C3740" s="6">
        <v>20.531590000000001</v>
      </c>
      <c r="D3740" s="6">
        <v>70</v>
      </c>
      <c r="E3740" s="6">
        <v>0</v>
      </c>
      <c r="F3740" s="6">
        <v>0</v>
      </c>
      <c r="G3740" s="6">
        <v>8</v>
      </c>
      <c r="H3740" s="6" t="s">
        <v>33118</v>
      </c>
      <c r="I3740" s="6">
        <v>526.6875</v>
      </c>
      <c r="J3740" s="2">
        <f t="shared" si="58"/>
        <v>43748.724499548603</v>
      </c>
    </row>
    <row r="3741" spans="1:10" x14ac:dyDescent="0.25">
      <c r="A3741" s="7" t="s">
        <v>33119</v>
      </c>
      <c r="B3741" s="8">
        <v>393.75</v>
      </c>
      <c r="C3741" s="8">
        <v>20.478950000000001</v>
      </c>
      <c r="D3741" s="8">
        <v>70</v>
      </c>
      <c r="E3741" s="8">
        <v>0</v>
      </c>
      <c r="F3741" s="8">
        <v>0</v>
      </c>
      <c r="G3741" s="8">
        <v>4</v>
      </c>
      <c r="H3741" s="8" t="s">
        <v>33120</v>
      </c>
      <c r="I3741" s="8">
        <v>526.6875</v>
      </c>
      <c r="J3741" s="3">
        <f t="shared" si="58"/>
        <v>43748.724571666666</v>
      </c>
    </row>
    <row r="3742" spans="1:10" x14ac:dyDescent="0.25">
      <c r="A3742" s="5" t="s">
        <v>33121</v>
      </c>
      <c r="B3742" s="6">
        <v>393.75</v>
      </c>
      <c r="C3742" s="6">
        <v>20.478950000000001</v>
      </c>
      <c r="D3742" s="6">
        <v>71</v>
      </c>
      <c r="E3742" s="6">
        <v>0</v>
      </c>
      <c r="F3742" s="6">
        <v>0</v>
      </c>
      <c r="G3742" s="6">
        <v>6</v>
      </c>
      <c r="H3742" s="6" t="s">
        <v>33122</v>
      </c>
      <c r="I3742" s="6">
        <v>526.6875</v>
      </c>
      <c r="J3742" s="2">
        <f t="shared" si="58"/>
        <v>43748.724650520831</v>
      </c>
    </row>
    <row r="3743" spans="1:10" x14ac:dyDescent="0.25">
      <c r="A3743" s="7" t="s">
        <v>33123</v>
      </c>
      <c r="B3743" s="8">
        <v>393.75</v>
      </c>
      <c r="C3743" s="8">
        <v>20.531590000000001</v>
      </c>
      <c r="D3743" s="8">
        <v>72</v>
      </c>
      <c r="E3743" s="8">
        <v>0</v>
      </c>
      <c r="F3743" s="8">
        <v>0</v>
      </c>
      <c r="G3743" s="8">
        <v>17</v>
      </c>
      <c r="H3743" s="8" t="s">
        <v>33124</v>
      </c>
      <c r="I3743" s="8">
        <v>526.5</v>
      </c>
      <c r="J3743" s="3">
        <f t="shared" si="58"/>
        <v>43748.72472622685</v>
      </c>
    </row>
    <row r="3744" spans="1:10" x14ac:dyDescent="0.25">
      <c r="A3744" s="5" t="s">
        <v>33125</v>
      </c>
      <c r="B3744" s="6">
        <v>393.75</v>
      </c>
      <c r="C3744" s="6">
        <v>20.531590000000001</v>
      </c>
      <c r="D3744" s="6">
        <v>72</v>
      </c>
      <c r="E3744" s="6">
        <v>0</v>
      </c>
      <c r="F3744" s="6">
        <v>0</v>
      </c>
      <c r="G3744" s="6">
        <v>13</v>
      </c>
      <c r="H3744" s="6" t="s">
        <v>33126</v>
      </c>
      <c r="I3744" s="6">
        <v>526.6875</v>
      </c>
      <c r="J3744" s="2">
        <f t="shared" si="58"/>
        <v>43748.724797638883</v>
      </c>
    </row>
    <row r="3745" spans="1:10" x14ac:dyDescent="0.25">
      <c r="A3745" s="7" t="s">
        <v>33127</v>
      </c>
      <c r="B3745" s="8">
        <v>418.75</v>
      </c>
      <c r="C3745" s="8">
        <v>20.478950000000001</v>
      </c>
      <c r="D3745" s="8">
        <v>72</v>
      </c>
      <c r="E3745" s="8">
        <v>0</v>
      </c>
      <c r="F3745" s="8">
        <v>0</v>
      </c>
      <c r="G3745" s="8">
        <v>10</v>
      </c>
      <c r="H3745" s="8" t="s">
        <v>33128</v>
      </c>
      <c r="I3745" s="8">
        <v>534</v>
      </c>
      <c r="J3745" s="3">
        <f t="shared" si="58"/>
        <v>43748.724869803242</v>
      </c>
    </row>
    <row r="3746" spans="1:10" x14ac:dyDescent="0.25">
      <c r="A3746" s="5" t="s">
        <v>33129</v>
      </c>
      <c r="B3746" s="6">
        <v>393.75</v>
      </c>
      <c r="C3746" s="6">
        <v>20.531590000000001</v>
      </c>
      <c r="D3746" s="6">
        <v>72</v>
      </c>
      <c r="E3746" s="6">
        <v>0</v>
      </c>
      <c r="F3746" s="6">
        <v>0</v>
      </c>
      <c r="G3746" s="6">
        <v>8</v>
      </c>
      <c r="H3746" s="6" t="s">
        <v>33130</v>
      </c>
      <c r="I3746" s="6">
        <v>526.6875</v>
      </c>
      <c r="J3746" s="2">
        <f t="shared" si="58"/>
        <v>43748.724941157408</v>
      </c>
    </row>
    <row r="3747" spans="1:10" x14ac:dyDescent="0.25">
      <c r="A3747" s="7" t="s">
        <v>33131</v>
      </c>
      <c r="B3747" s="8">
        <v>393.75</v>
      </c>
      <c r="C3747" s="8">
        <v>20.478950000000001</v>
      </c>
      <c r="D3747" s="8">
        <v>72</v>
      </c>
      <c r="E3747" s="8">
        <v>0</v>
      </c>
      <c r="F3747" s="8">
        <v>0</v>
      </c>
      <c r="G3747" s="8">
        <v>9</v>
      </c>
      <c r="H3747" s="8" t="s">
        <v>33132</v>
      </c>
      <c r="I3747" s="8">
        <v>526.5</v>
      </c>
      <c r="J3747" s="3">
        <f t="shared" si="58"/>
        <v>43748.72501234954</v>
      </c>
    </row>
    <row r="3748" spans="1:10" x14ac:dyDescent="0.25">
      <c r="A3748" s="5" t="s">
        <v>33133</v>
      </c>
      <c r="B3748" s="6">
        <v>393.75</v>
      </c>
      <c r="C3748" s="6">
        <v>20.531590000000001</v>
      </c>
      <c r="D3748" s="6">
        <v>72</v>
      </c>
      <c r="E3748" s="6">
        <v>0</v>
      </c>
      <c r="F3748" s="6">
        <v>0</v>
      </c>
      <c r="G3748" s="6">
        <v>12</v>
      </c>
      <c r="H3748" s="6" t="s">
        <v>33134</v>
      </c>
      <c r="I3748" s="6">
        <v>526.6875</v>
      </c>
      <c r="J3748" s="2">
        <f t="shared" si="58"/>
        <v>43748.725084606478</v>
      </c>
    </row>
    <row r="3749" spans="1:10" x14ac:dyDescent="0.25">
      <c r="A3749" s="7" t="s">
        <v>33135</v>
      </c>
      <c r="B3749" s="8">
        <v>393.75</v>
      </c>
      <c r="C3749" s="8">
        <v>20.478950000000001</v>
      </c>
      <c r="D3749" s="8">
        <v>71</v>
      </c>
      <c r="E3749" s="8">
        <v>0</v>
      </c>
      <c r="F3749" s="8">
        <v>0</v>
      </c>
      <c r="G3749" s="8">
        <v>12</v>
      </c>
      <c r="H3749" s="8" t="s">
        <v>33136</v>
      </c>
      <c r="I3749" s="8">
        <v>526.6875</v>
      </c>
      <c r="J3749" s="3">
        <f t="shared" si="58"/>
        <v>43748.725155868051</v>
      </c>
    </row>
    <row r="3750" spans="1:10" x14ac:dyDescent="0.25">
      <c r="A3750" s="5" t="s">
        <v>33137</v>
      </c>
      <c r="B3750" s="6">
        <v>393.75</v>
      </c>
      <c r="C3750" s="6">
        <v>20.531590000000001</v>
      </c>
      <c r="D3750" s="6">
        <v>71</v>
      </c>
      <c r="E3750" s="6">
        <v>0</v>
      </c>
      <c r="F3750" s="6">
        <v>0</v>
      </c>
      <c r="G3750" s="6">
        <v>7</v>
      </c>
      <c r="H3750" s="6" t="s">
        <v>33138</v>
      </c>
      <c r="I3750" s="6">
        <v>526.6875</v>
      </c>
      <c r="J3750" s="2">
        <f t="shared" si="58"/>
        <v>43748.725263252309</v>
      </c>
    </row>
    <row r="3751" spans="1:10" x14ac:dyDescent="0.25">
      <c r="A3751" s="7" t="s">
        <v>33139</v>
      </c>
      <c r="B3751" s="8">
        <v>415.625</v>
      </c>
      <c r="C3751" s="8">
        <v>20.478950000000001</v>
      </c>
      <c r="D3751" s="8">
        <v>70</v>
      </c>
      <c r="E3751" s="8">
        <v>0</v>
      </c>
      <c r="F3751" s="8">
        <v>0</v>
      </c>
      <c r="G3751" s="8">
        <v>4</v>
      </c>
      <c r="H3751" s="8" t="s">
        <v>33140</v>
      </c>
      <c r="I3751" s="8">
        <v>533.4375</v>
      </c>
      <c r="J3751" s="3">
        <f t="shared" si="58"/>
        <v>43748.725334502313</v>
      </c>
    </row>
    <row r="3752" spans="1:10" x14ac:dyDescent="0.25">
      <c r="A3752" s="5" t="s">
        <v>33141</v>
      </c>
      <c r="B3752" s="6">
        <v>393.75</v>
      </c>
      <c r="C3752" s="6">
        <v>20.478950000000001</v>
      </c>
      <c r="D3752" s="6">
        <v>70</v>
      </c>
      <c r="E3752" s="6">
        <v>0</v>
      </c>
      <c r="F3752" s="6">
        <v>0</v>
      </c>
      <c r="G3752" s="6">
        <v>16</v>
      </c>
      <c r="H3752" s="6" t="s">
        <v>33142</v>
      </c>
      <c r="I3752" s="6">
        <v>526.6875</v>
      </c>
      <c r="J3752" s="2">
        <f t="shared" si="58"/>
        <v>43748.725430034719</v>
      </c>
    </row>
    <row r="3753" spans="1:10" x14ac:dyDescent="0.25">
      <c r="A3753" s="7" t="s">
        <v>33143</v>
      </c>
      <c r="B3753" s="8">
        <v>393.75</v>
      </c>
      <c r="C3753" s="8">
        <v>20.478950000000001</v>
      </c>
      <c r="D3753" s="8">
        <v>70</v>
      </c>
      <c r="E3753" s="8">
        <v>0</v>
      </c>
      <c r="F3753" s="8">
        <v>0</v>
      </c>
      <c r="G3753" s="8">
        <v>16</v>
      </c>
      <c r="H3753" s="8" t="s">
        <v>33144</v>
      </c>
      <c r="I3753" s="8">
        <v>526.6875</v>
      </c>
      <c r="J3753" s="3">
        <f t="shared" si="58"/>
        <v>43748.725501284724</v>
      </c>
    </row>
    <row r="3754" spans="1:10" x14ac:dyDescent="0.25">
      <c r="A3754" s="5" t="s">
        <v>33145</v>
      </c>
      <c r="B3754" s="6">
        <v>393.75</v>
      </c>
      <c r="C3754" s="6">
        <v>20.478950000000001</v>
      </c>
      <c r="D3754" s="6">
        <v>71</v>
      </c>
      <c r="E3754" s="6">
        <v>0</v>
      </c>
      <c r="F3754" s="6">
        <v>0</v>
      </c>
      <c r="G3754" s="6">
        <v>5</v>
      </c>
      <c r="H3754" s="6" t="s">
        <v>33146</v>
      </c>
      <c r="I3754" s="6">
        <v>526.6875</v>
      </c>
      <c r="J3754" s="2">
        <f t="shared" si="58"/>
        <v>43748.725573506941</v>
      </c>
    </row>
    <row r="3755" spans="1:10" x14ac:dyDescent="0.25">
      <c r="A3755" s="7" t="s">
        <v>33147</v>
      </c>
      <c r="B3755" s="8">
        <v>393.75</v>
      </c>
      <c r="C3755" s="8">
        <v>20.478950000000001</v>
      </c>
      <c r="D3755" s="8">
        <v>72</v>
      </c>
      <c r="E3755" s="8">
        <v>0</v>
      </c>
      <c r="F3755" s="8">
        <v>0</v>
      </c>
      <c r="G3755" s="8">
        <v>11</v>
      </c>
      <c r="H3755" s="8" t="s">
        <v>33148</v>
      </c>
      <c r="I3755" s="8">
        <v>526.6875</v>
      </c>
      <c r="J3755" s="3">
        <f t="shared" si="58"/>
        <v>43748.725652673609</v>
      </c>
    </row>
    <row r="3756" spans="1:10" x14ac:dyDescent="0.25">
      <c r="A3756" s="5" t="s">
        <v>33149</v>
      </c>
      <c r="B3756" s="6">
        <v>412.5</v>
      </c>
      <c r="C3756" s="6">
        <v>20.478950000000001</v>
      </c>
      <c r="D3756" s="6">
        <v>74</v>
      </c>
      <c r="E3756" s="6">
        <v>0</v>
      </c>
      <c r="F3756" s="6">
        <v>0</v>
      </c>
      <c r="G3756" s="6">
        <v>17</v>
      </c>
      <c r="H3756" s="6" t="s">
        <v>33150</v>
      </c>
      <c r="I3756" s="6">
        <v>532.5</v>
      </c>
      <c r="J3756" s="2">
        <f t="shared" si="58"/>
        <v>43748.725752094906</v>
      </c>
    </row>
    <row r="3757" spans="1:10" x14ac:dyDescent="0.25">
      <c r="A3757" s="7" t="s">
        <v>33151</v>
      </c>
      <c r="B3757" s="8">
        <v>393.75</v>
      </c>
      <c r="C3757" s="8">
        <v>20.531590000000001</v>
      </c>
      <c r="D3757" s="8">
        <v>73</v>
      </c>
      <c r="E3757" s="8">
        <v>0</v>
      </c>
      <c r="F3757" s="8">
        <v>0</v>
      </c>
      <c r="G3757" s="8">
        <v>15</v>
      </c>
      <c r="H3757" s="8" t="s">
        <v>33152</v>
      </c>
      <c r="I3757" s="8">
        <v>526.6875</v>
      </c>
      <c r="J3757" s="3">
        <f t="shared" si="58"/>
        <v>43748.725823379624</v>
      </c>
    </row>
    <row r="3758" spans="1:10" x14ac:dyDescent="0.25">
      <c r="A3758" s="5" t="s">
        <v>33153</v>
      </c>
      <c r="B3758" s="6">
        <v>393.75</v>
      </c>
      <c r="C3758" s="6">
        <v>20.478950000000001</v>
      </c>
      <c r="D3758" s="6">
        <v>73</v>
      </c>
      <c r="E3758" s="6">
        <v>0</v>
      </c>
      <c r="F3758" s="6">
        <v>0</v>
      </c>
      <c r="G3758" s="6">
        <v>7</v>
      </c>
      <c r="H3758" s="6" t="s">
        <v>33154</v>
      </c>
      <c r="I3758" s="6">
        <v>526.6875</v>
      </c>
      <c r="J3758" s="2">
        <f t="shared" si="58"/>
        <v>43748.725895555552</v>
      </c>
    </row>
    <row r="3759" spans="1:10" x14ac:dyDescent="0.25">
      <c r="A3759" s="7" t="s">
        <v>33155</v>
      </c>
      <c r="B3759" s="8">
        <v>393.75</v>
      </c>
      <c r="C3759" s="8">
        <v>20.531590000000001</v>
      </c>
      <c r="D3759" s="8">
        <v>73</v>
      </c>
      <c r="E3759" s="8">
        <v>0</v>
      </c>
      <c r="F3759" s="8">
        <v>0</v>
      </c>
      <c r="G3759" s="8">
        <v>17</v>
      </c>
      <c r="H3759" s="8" t="s">
        <v>33156</v>
      </c>
      <c r="I3759" s="8">
        <v>526.6875</v>
      </c>
      <c r="J3759" s="3">
        <f t="shared" si="58"/>
        <v>43748.725975335641</v>
      </c>
    </row>
    <row r="3760" spans="1:10" x14ac:dyDescent="0.25">
      <c r="A3760" s="5" t="s">
        <v>33157</v>
      </c>
      <c r="B3760" s="6">
        <v>393.75</v>
      </c>
      <c r="C3760" s="6">
        <v>20.478950000000001</v>
      </c>
      <c r="D3760" s="6">
        <v>73</v>
      </c>
      <c r="E3760" s="6">
        <v>0</v>
      </c>
      <c r="F3760" s="6">
        <v>0</v>
      </c>
      <c r="G3760" s="6">
        <v>14</v>
      </c>
      <c r="H3760" s="6" t="s">
        <v>33158</v>
      </c>
      <c r="I3760" s="6">
        <v>526.6875</v>
      </c>
      <c r="J3760" s="2">
        <f t="shared" si="58"/>
        <v>43748.726050300924</v>
      </c>
    </row>
    <row r="3761" spans="1:10" x14ac:dyDescent="0.25">
      <c r="A3761" s="7" t="s">
        <v>33159</v>
      </c>
      <c r="B3761" s="8">
        <v>393.75</v>
      </c>
      <c r="C3761" s="8">
        <v>20.531590000000001</v>
      </c>
      <c r="D3761" s="8">
        <v>72</v>
      </c>
      <c r="E3761" s="8">
        <v>0</v>
      </c>
      <c r="F3761" s="8">
        <v>0</v>
      </c>
      <c r="G3761" s="8">
        <v>14</v>
      </c>
      <c r="H3761" s="8" t="s">
        <v>33160</v>
      </c>
      <c r="I3761" s="8">
        <v>526.6875</v>
      </c>
      <c r="J3761" s="3">
        <f t="shared" si="58"/>
        <v>43748.726133680553</v>
      </c>
    </row>
    <row r="3762" spans="1:10" x14ac:dyDescent="0.25">
      <c r="A3762" s="5" t="s">
        <v>33161</v>
      </c>
      <c r="B3762" s="6">
        <v>393.75</v>
      </c>
      <c r="C3762" s="6">
        <v>20.478950000000001</v>
      </c>
      <c r="D3762" s="6">
        <v>72</v>
      </c>
      <c r="E3762" s="6">
        <v>0</v>
      </c>
      <c r="F3762" s="6">
        <v>0</v>
      </c>
      <c r="G3762" s="6">
        <v>9</v>
      </c>
      <c r="H3762" s="6" t="s">
        <v>33162</v>
      </c>
      <c r="I3762" s="6">
        <v>526.6875</v>
      </c>
      <c r="J3762" s="2">
        <f t="shared" si="58"/>
        <v>43748.726205671293</v>
      </c>
    </row>
    <row r="3763" spans="1:10" x14ac:dyDescent="0.25">
      <c r="A3763" s="7" t="s">
        <v>33163</v>
      </c>
      <c r="B3763" s="8">
        <v>393.75</v>
      </c>
      <c r="C3763" s="8">
        <v>20.478950000000001</v>
      </c>
      <c r="D3763" s="8">
        <v>73</v>
      </c>
      <c r="E3763" s="8">
        <v>0</v>
      </c>
      <c r="F3763" s="8">
        <v>0</v>
      </c>
      <c r="G3763" s="8">
        <v>15</v>
      </c>
      <c r="H3763" s="8" t="s">
        <v>33164</v>
      </c>
      <c r="I3763" s="8">
        <v>526.6875</v>
      </c>
      <c r="J3763" s="3">
        <f t="shared" si="58"/>
        <v>43748.726277222224</v>
      </c>
    </row>
    <row r="3764" spans="1:10" x14ac:dyDescent="0.25">
      <c r="A3764" s="5" t="s">
        <v>33165</v>
      </c>
      <c r="B3764" s="6">
        <v>393.75</v>
      </c>
      <c r="C3764" s="6">
        <v>20.531590000000001</v>
      </c>
      <c r="D3764" s="6">
        <v>73</v>
      </c>
      <c r="E3764" s="6">
        <v>0</v>
      </c>
      <c r="F3764" s="6">
        <v>0</v>
      </c>
      <c r="G3764" s="6">
        <v>13</v>
      </c>
      <c r="H3764" s="6" t="s">
        <v>33166</v>
      </c>
      <c r="I3764" s="6">
        <v>526.6875</v>
      </c>
      <c r="J3764" s="2">
        <f t="shared" si="58"/>
        <v>43748.726348506942</v>
      </c>
    </row>
    <row r="3765" spans="1:10" x14ac:dyDescent="0.25">
      <c r="A3765" s="7" t="s">
        <v>33167</v>
      </c>
      <c r="B3765" s="8">
        <v>393.75</v>
      </c>
      <c r="C3765" s="8">
        <v>20.478950000000001</v>
      </c>
      <c r="D3765" s="8">
        <v>73</v>
      </c>
      <c r="E3765" s="8">
        <v>0</v>
      </c>
      <c r="F3765" s="8">
        <v>0</v>
      </c>
      <c r="G3765" s="8">
        <v>11</v>
      </c>
      <c r="H3765" s="8" t="s">
        <v>33168</v>
      </c>
      <c r="I3765" s="8">
        <v>526.6875</v>
      </c>
      <c r="J3765" s="3">
        <f t="shared" si="58"/>
        <v>43748.726419976847</v>
      </c>
    </row>
    <row r="3766" spans="1:10" x14ac:dyDescent="0.25">
      <c r="A3766" s="5" t="s">
        <v>33169</v>
      </c>
      <c r="B3766" s="6">
        <v>393.75</v>
      </c>
      <c r="C3766" s="6">
        <v>20.478950000000001</v>
      </c>
      <c r="D3766" s="6">
        <v>74</v>
      </c>
      <c r="E3766" s="6">
        <v>0</v>
      </c>
      <c r="F3766" s="6">
        <v>0</v>
      </c>
      <c r="G3766" s="6">
        <v>21</v>
      </c>
      <c r="H3766" s="6" t="s">
        <v>33170</v>
      </c>
      <c r="I3766" s="6">
        <v>526.6875</v>
      </c>
      <c r="J3766" s="2">
        <f t="shared" si="58"/>
        <v>43748.726491909722</v>
      </c>
    </row>
    <row r="3767" spans="1:10" x14ac:dyDescent="0.25">
      <c r="A3767" s="7" t="s">
        <v>33171</v>
      </c>
      <c r="B3767" s="8">
        <v>393.75</v>
      </c>
      <c r="C3767" s="8">
        <v>20.531590000000001</v>
      </c>
      <c r="D3767" s="8">
        <v>74</v>
      </c>
      <c r="E3767" s="8">
        <v>0</v>
      </c>
      <c r="F3767" s="8">
        <v>0</v>
      </c>
      <c r="G3767" s="8">
        <v>18</v>
      </c>
      <c r="H3767" s="8" t="s">
        <v>33172</v>
      </c>
      <c r="I3767" s="8">
        <v>526.6875</v>
      </c>
      <c r="J3767" s="3">
        <f t="shared" si="58"/>
        <v>43748.726563206015</v>
      </c>
    </row>
    <row r="3768" spans="1:10" x14ac:dyDescent="0.25">
      <c r="A3768" s="5" t="s">
        <v>33173</v>
      </c>
      <c r="B3768" s="6">
        <v>393.75</v>
      </c>
      <c r="C3768" s="6">
        <v>20.478950000000001</v>
      </c>
      <c r="D3768" s="6">
        <v>73</v>
      </c>
      <c r="E3768" s="6">
        <v>0</v>
      </c>
      <c r="F3768" s="6">
        <v>0</v>
      </c>
      <c r="G3768" s="6">
        <v>9</v>
      </c>
      <c r="H3768" s="6" t="s">
        <v>33174</v>
      </c>
      <c r="I3768" s="6">
        <v>526.6875</v>
      </c>
      <c r="J3768" s="2">
        <f t="shared" si="58"/>
        <v>43748.726647743053</v>
      </c>
    </row>
    <row r="3769" spans="1:10" x14ac:dyDescent="0.25">
      <c r="A3769" s="7" t="s">
        <v>33175</v>
      </c>
      <c r="B3769" s="8">
        <v>393.75</v>
      </c>
      <c r="C3769" s="8">
        <v>20.531590000000001</v>
      </c>
      <c r="D3769" s="8">
        <v>73</v>
      </c>
      <c r="E3769" s="8">
        <v>0</v>
      </c>
      <c r="F3769" s="8">
        <v>0</v>
      </c>
      <c r="G3769" s="8">
        <v>26</v>
      </c>
      <c r="H3769" s="8" t="s">
        <v>33176</v>
      </c>
      <c r="I3769" s="8">
        <v>526.6875</v>
      </c>
      <c r="J3769" s="3">
        <f t="shared" si="58"/>
        <v>43748.726730046292</v>
      </c>
    </row>
    <row r="3770" spans="1:10" x14ac:dyDescent="0.25">
      <c r="A3770" s="5" t="s">
        <v>33177</v>
      </c>
      <c r="B3770" s="6">
        <v>393.75</v>
      </c>
      <c r="C3770" s="6">
        <v>20.478950000000001</v>
      </c>
      <c r="D3770" s="6">
        <v>73</v>
      </c>
      <c r="E3770" s="6">
        <v>0</v>
      </c>
      <c r="F3770" s="6">
        <v>0</v>
      </c>
      <c r="G3770" s="6">
        <v>16</v>
      </c>
      <c r="H3770" s="6" t="s">
        <v>33178</v>
      </c>
      <c r="I3770" s="6">
        <v>526.6875</v>
      </c>
      <c r="J3770" s="2">
        <f t="shared" si="58"/>
        <v>43748.726801979159</v>
      </c>
    </row>
    <row r="3771" spans="1:10" x14ac:dyDescent="0.25">
      <c r="A3771" s="7" t="s">
        <v>33179</v>
      </c>
      <c r="B3771" s="8">
        <v>393.75</v>
      </c>
      <c r="C3771" s="8">
        <v>20.531590000000001</v>
      </c>
      <c r="D3771" s="8">
        <v>73</v>
      </c>
      <c r="E3771" s="8">
        <v>0</v>
      </c>
      <c r="F3771" s="8">
        <v>0</v>
      </c>
      <c r="G3771" s="8">
        <v>14</v>
      </c>
      <c r="H3771" s="8" t="s">
        <v>33180</v>
      </c>
      <c r="I3771" s="8">
        <v>526.6875</v>
      </c>
      <c r="J3771" s="3">
        <f t="shared" si="58"/>
        <v>43748.72687327546</v>
      </c>
    </row>
    <row r="3772" spans="1:10" x14ac:dyDescent="0.25">
      <c r="A3772" s="5" t="s">
        <v>33181</v>
      </c>
      <c r="B3772" s="6">
        <v>393.75</v>
      </c>
      <c r="C3772" s="6">
        <v>20.478950000000001</v>
      </c>
      <c r="D3772" s="6">
        <v>74</v>
      </c>
      <c r="E3772" s="6">
        <v>0</v>
      </c>
      <c r="F3772" s="6">
        <v>0</v>
      </c>
      <c r="G3772" s="6">
        <v>24</v>
      </c>
      <c r="H3772" s="6" t="s">
        <v>33182</v>
      </c>
      <c r="I3772" s="6">
        <v>526.6875</v>
      </c>
      <c r="J3772" s="2">
        <f t="shared" si="58"/>
        <v>43748.726944571761</v>
      </c>
    </row>
    <row r="3773" spans="1:10" x14ac:dyDescent="0.25">
      <c r="A3773" s="7" t="s">
        <v>33183</v>
      </c>
      <c r="B3773" s="8">
        <v>393.75</v>
      </c>
      <c r="C3773" s="8">
        <v>20.478950000000001</v>
      </c>
      <c r="D3773" s="8">
        <v>72</v>
      </c>
      <c r="E3773" s="8">
        <v>0</v>
      </c>
      <c r="F3773" s="8">
        <v>0</v>
      </c>
      <c r="G3773" s="8">
        <v>17</v>
      </c>
      <c r="H3773" s="8" t="s">
        <v>33184</v>
      </c>
      <c r="I3773" s="8">
        <v>526.6875</v>
      </c>
      <c r="J3773" s="3">
        <f t="shared" si="58"/>
        <v>43748.727030902774</v>
      </c>
    </row>
    <row r="3774" spans="1:10" x14ac:dyDescent="0.25">
      <c r="A3774" s="5" t="s">
        <v>33185</v>
      </c>
      <c r="B3774" s="6">
        <v>393.75</v>
      </c>
      <c r="C3774" s="6">
        <v>20.478950000000001</v>
      </c>
      <c r="D3774" s="6">
        <v>69</v>
      </c>
      <c r="E3774" s="6">
        <v>0</v>
      </c>
      <c r="F3774" s="6">
        <v>0</v>
      </c>
      <c r="G3774" s="6">
        <v>16</v>
      </c>
      <c r="H3774" s="6" t="s">
        <v>33186</v>
      </c>
      <c r="I3774" s="6">
        <v>526.6875</v>
      </c>
      <c r="J3774" s="2">
        <f t="shared" si="58"/>
        <v>43748.72711166666</v>
      </c>
    </row>
    <row r="3775" spans="1:10" x14ac:dyDescent="0.25">
      <c r="A3775" s="7" t="s">
        <v>33187</v>
      </c>
      <c r="B3775" s="8">
        <v>393.75</v>
      </c>
      <c r="C3775" s="8">
        <v>20.531590000000001</v>
      </c>
      <c r="D3775" s="8">
        <v>82</v>
      </c>
      <c r="E3775" s="8">
        <v>0</v>
      </c>
      <c r="F3775" s="8">
        <v>0</v>
      </c>
      <c r="G3775" s="8">
        <v>14</v>
      </c>
      <c r="H3775" s="8" t="s">
        <v>33188</v>
      </c>
      <c r="I3775" s="8">
        <v>526.6875</v>
      </c>
      <c r="J3775" s="3">
        <f t="shared" si="58"/>
        <v>43748.727195243053</v>
      </c>
    </row>
    <row r="3776" spans="1:10" x14ac:dyDescent="0.25">
      <c r="A3776" s="5" t="s">
        <v>33189</v>
      </c>
      <c r="B3776" s="6">
        <v>396.875</v>
      </c>
      <c r="C3776" s="6">
        <v>20.478950000000001</v>
      </c>
      <c r="D3776" s="6">
        <v>81</v>
      </c>
      <c r="E3776" s="6">
        <v>0</v>
      </c>
      <c r="F3776" s="6">
        <v>0</v>
      </c>
      <c r="G3776" s="6">
        <v>17</v>
      </c>
      <c r="H3776" s="6" t="s">
        <v>33190</v>
      </c>
      <c r="I3776" s="6">
        <v>527.4375</v>
      </c>
      <c r="J3776" s="2">
        <f t="shared" si="58"/>
        <v>43748.727278587961</v>
      </c>
    </row>
    <row r="3777" spans="1:10" x14ac:dyDescent="0.25">
      <c r="A3777" s="7" t="s">
        <v>33191</v>
      </c>
      <c r="B3777" s="8">
        <v>396.875</v>
      </c>
      <c r="C3777" s="8">
        <v>20.478950000000001</v>
      </c>
      <c r="D3777" s="8">
        <v>79</v>
      </c>
      <c r="E3777" s="8">
        <v>0</v>
      </c>
      <c r="F3777" s="8">
        <v>0</v>
      </c>
      <c r="G3777" s="8">
        <v>15</v>
      </c>
      <c r="H3777" s="8" t="s">
        <v>33192</v>
      </c>
      <c r="I3777" s="8">
        <v>527.4375</v>
      </c>
      <c r="J3777" s="3">
        <f t="shared" si="58"/>
        <v>43748.727350127308</v>
      </c>
    </row>
    <row r="3778" spans="1:10" x14ac:dyDescent="0.25">
      <c r="A3778" s="5" t="s">
        <v>33193</v>
      </c>
      <c r="B3778" s="6">
        <v>396.875</v>
      </c>
      <c r="C3778" s="6">
        <v>20.531590000000001</v>
      </c>
      <c r="D3778" s="6">
        <v>79</v>
      </c>
      <c r="E3778" s="6">
        <v>0</v>
      </c>
      <c r="F3778" s="6">
        <v>0</v>
      </c>
      <c r="G3778" s="6">
        <v>9</v>
      </c>
      <c r="H3778" s="6" t="s">
        <v>33194</v>
      </c>
      <c r="I3778" s="6">
        <v>527.4375</v>
      </c>
      <c r="J3778" s="2">
        <f t="shared" ref="J3778:J3841" si="59">(H3778/86400000)+25569+(7/24)</f>
        <v>43748.727422118049</v>
      </c>
    </row>
    <row r="3779" spans="1:10" x14ac:dyDescent="0.25">
      <c r="A3779" s="7" t="s">
        <v>33195</v>
      </c>
      <c r="B3779" s="8">
        <v>396.875</v>
      </c>
      <c r="C3779" s="8">
        <v>20.478950000000001</v>
      </c>
      <c r="D3779" s="8">
        <v>78</v>
      </c>
      <c r="E3779" s="8">
        <v>0</v>
      </c>
      <c r="F3779" s="8">
        <v>0</v>
      </c>
      <c r="G3779" s="8">
        <v>15</v>
      </c>
      <c r="H3779" s="8" t="s">
        <v>33196</v>
      </c>
      <c r="I3779" s="8">
        <v>527.4375</v>
      </c>
      <c r="J3779" s="3">
        <f t="shared" si="59"/>
        <v>43748.727493425926</v>
      </c>
    </row>
    <row r="3780" spans="1:10" x14ac:dyDescent="0.25">
      <c r="A3780" s="5" t="s">
        <v>33197</v>
      </c>
      <c r="B3780" s="6">
        <v>396.875</v>
      </c>
      <c r="C3780" s="6">
        <v>20.531590000000001</v>
      </c>
      <c r="D3780" s="6">
        <v>77</v>
      </c>
      <c r="E3780" s="6">
        <v>0</v>
      </c>
      <c r="F3780" s="6">
        <v>0</v>
      </c>
      <c r="G3780" s="6">
        <v>14</v>
      </c>
      <c r="H3780" s="6" t="s">
        <v>33198</v>
      </c>
      <c r="I3780" s="6">
        <v>527.4375</v>
      </c>
      <c r="J3780" s="2">
        <f t="shared" si="59"/>
        <v>43748.727565000001</v>
      </c>
    </row>
    <row r="3781" spans="1:10" x14ac:dyDescent="0.25">
      <c r="A3781" s="7" t="s">
        <v>33199</v>
      </c>
      <c r="B3781" s="8">
        <v>396.875</v>
      </c>
      <c r="C3781" s="8">
        <v>20.531590000000001</v>
      </c>
      <c r="D3781" s="8">
        <v>77</v>
      </c>
      <c r="E3781" s="8">
        <v>0</v>
      </c>
      <c r="F3781" s="8">
        <v>0</v>
      </c>
      <c r="G3781" s="8">
        <v>10</v>
      </c>
      <c r="H3781" s="8" t="s">
        <v>33200</v>
      </c>
      <c r="I3781" s="8">
        <v>527.4375</v>
      </c>
      <c r="J3781" s="3">
        <f t="shared" si="59"/>
        <v>43748.727648518521</v>
      </c>
    </row>
    <row r="3782" spans="1:10" x14ac:dyDescent="0.25">
      <c r="A3782" s="5" t="s">
        <v>33201</v>
      </c>
      <c r="B3782" s="6">
        <v>400</v>
      </c>
      <c r="C3782" s="6">
        <v>20.531590000000001</v>
      </c>
      <c r="D3782" s="6">
        <v>74</v>
      </c>
      <c r="E3782" s="6">
        <v>0</v>
      </c>
      <c r="F3782" s="6">
        <v>0</v>
      </c>
      <c r="G3782" s="6">
        <v>13</v>
      </c>
      <c r="H3782" s="6" t="s">
        <v>33202</v>
      </c>
      <c r="I3782" s="6">
        <v>528.1875</v>
      </c>
      <c r="J3782" s="2">
        <f t="shared" si="59"/>
        <v>43748.727731990737</v>
      </c>
    </row>
    <row r="3783" spans="1:10" x14ac:dyDescent="0.25">
      <c r="A3783" s="7" t="s">
        <v>33203</v>
      </c>
      <c r="B3783" s="8">
        <v>400</v>
      </c>
      <c r="C3783" s="8">
        <v>20.478950000000001</v>
      </c>
      <c r="D3783" s="8">
        <v>74</v>
      </c>
      <c r="E3783" s="8">
        <v>0</v>
      </c>
      <c r="F3783" s="8">
        <v>0</v>
      </c>
      <c r="G3783" s="8">
        <v>13</v>
      </c>
      <c r="H3783" s="8" t="s">
        <v>33204</v>
      </c>
      <c r="I3783" s="8">
        <v>528.9375</v>
      </c>
      <c r="J3783" s="3">
        <f t="shared" si="59"/>
        <v>43748.727815416663</v>
      </c>
    </row>
    <row r="3784" spans="1:10" x14ac:dyDescent="0.25">
      <c r="A3784" s="5" t="s">
        <v>33205</v>
      </c>
      <c r="B3784" s="6">
        <v>403.125</v>
      </c>
      <c r="C3784" s="6">
        <v>20.478950000000001</v>
      </c>
      <c r="D3784" s="6">
        <v>74</v>
      </c>
      <c r="E3784" s="6">
        <v>0</v>
      </c>
      <c r="F3784" s="6">
        <v>0</v>
      </c>
      <c r="G3784" s="6">
        <v>11</v>
      </c>
      <c r="H3784" s="6" t="s">
        <v>33206</v>
      </c>
      <c r="I3784" s="6">
        <v>529.125</v>
      </c>
      <c r="J3784" s="2">
        <f t="shared" si="59"/>
        <v>43748.727898865742</v>
      </c>
    </row>
    <row r="3785" spans="1:10" x14ac:dyDescent="0.25">
      <c r="A3785" s="7" t="s">
        <v>33207</v>
      </c>
      <c r="B3785" s="8">
        <v>400</v>
      </c>
      <c r="C3785" s="8">
        <v>20.531590000000001</v>
      </c>
      <c r="D3785" s="8">
        <v>76</v>
      </c>
      <c r="E3785" s="8">
        <v>0</v>
      </c>
      <c r="F3785" s="8">
        <v>0</v>
      </c>
      <c r="G3785" s="8">
        <v>15</v>
      </c>
      <c r="H3785" s="8" t="s">
        <v>33208</v>
      </c>
      <c r="I3785" s="8">
        <v>528.1875</v>
      </c>
      <c r="J3785" s="3">
        <f t="shared" si="59"/>
        <v>43748.727994583336</v>
      </c>
    </row>
    <row r="3786" spans="1:10" x14ac:dyDescent="0.25">
      <c r="A3786" s="5" t="s">
        <v>33209</v>
      </c>
      <c r="B3786" s="6">
        <v>400</v>
      </c>
      <c r="C3786" s="6">
        <v>20.478950000000001</v>
      </c>
      <c r="D3786" s="6">
        <v>75</v>
      </c>
      <c r="E3786" s="6">
        <v>0</v>
      </c>
      <c r="F3786" s="6">
        <v>0</v>
      </c>
      <c r="G3786" s="6">
        <v>27</v>
      </c>
      <c r="H3786" s="6" t="s">
        <v>33210</v>
      </c>
      <c r="I3786" s="6">
        <v>528.375</v>
      </c>
      <c r="J3786" s="2">
        <f t="shared" si="59"/>
        <v>43748.728065949072</v>
      </c>
    </row>
    <row r="3787" spans="1:10" x14ac:dyDescent="0.25">
      <c r="A3787" s="7" t="s">
        <v>33211</v>
      </c>
      <c r="B3787" s="8">
        <v>400</v>
      </c>
      <c r="C3787" s="8">
        <v>20.531590000000001</v>
      </c>
      <c r="D3787" s="8">
        <v>75</v>
      </c>
      <c r="E3787" s="8">
        <v>0</v>
      </c>
      <c r="F3787" s="8">
        <v>0</v>
      </c>
      <c r="G3787" s="8">
        <v>16</v>
      </c>
      <c r="H3787" s="8" t="s">
        <v>33212</v>
      </c>
      <c r="I3787" s="8">
        <v>528.1875</v>
      </c>
      <c r="J3787" s="3">
        <f t="shared" si="59"/>
        <v>43748.728137986109</v>
      </c>
    </row>
    <row r="3788" spans="1:10" x14ac:dyDescent="0.25">
      <c r="A3788" s="5" t="s">
        <v>33213</v>
      </c>
      <c r="B3788" s="6">
        <v>400</v>
      </c>
      <c r="C3788" s="6">
        <v>20.531590000000001</v>
      </c>
      <c r="D3788" s="6">
        <v>75</v>
      </c>
      <c r="E3788" s="6">
        <v>0</v>
      </c>
      <c r="F3788" s="6">
        <v>0</v>
      </c>
      <c r="G3788" s="6">
        <v>9</v>
      </c>
      <c r="H3788" s="6" t="s">
        <v>33214</v>
      </c>
      <c r="I3788" s="6">
        <v>528.375</v>
      </c>
      <c r="J3788" s="2">
        <f t="shared" si="59"/>
        <v>43748.728209224537</v>
      </c>
    </row>
    <row r="3789" spans="1:10" x14ac:dyDescent="0.25">
      <c r="A3789" s="7" t="s">
        <v>33215</v>
      </c>
      <c r="B3789" s="8">
        <v>400</v>
      </c>
      <c r="C3789" s="8">
        <v>20.478950000000001</v>
      </c>
      <c r="D3789" s="8">
        <v>75</v>
      </c>
      <c r="E3789" s="8">
        <v>0</v>
      </c>
      <c r="F3789" s="8">
        <v>0</v>
      </c>
      <c r="G3789" s="8">
        <v>15</v>
      </c>
      <c r="H3789" s="8" t="s">
        <v>33216</v>
      </c>
      <c r="I3789" s="8">
        <v>528.1875</v>
      </c>
      <c r="J3789" s="3">
        <f t="shared" si="59"/>
        <v>43748.72828880787</v>
      </c>
    </row>
    <row r="3790" spans="1:10" x14ac:dyDescent="0.25">
      <c r="A3790" s="5" t="s">
        <v>33217</v>
      </c>
      <c r="B3790" s="6">
        <v>428.125</v>
      </c>
      <c r="C3790" s="6">
        <v>20.478950000000001</v>
      </c>
      <c r="D3790" s="6">
        <v>75</v>
      </c>
      <c r="E3790" s="6">
        <v>0</v>
      </c>
      <c r="F3790" s="6">
        <v>0</v>
      </c>
      <c r="G3790" s="6">
        <v>20</v>
      </c>
      <c r="H3790" s="6" t="s">
        <v>33218</v>
      </c>
      <c r="I3790" s="6">
        <v>537</v>
      </c>
      <c r="J3790" s="2">
        <f t="shared" si="59"/>
        <v>43748.728364560178</v>
      </c>
    </row>
    <row r="3791" spans="1:10" x14ac:dyDescent="0.25">
      <c r="A3791" s="7" t="s">
        <v>33219</v>
      </c>
      <c r="B3791" s="8">
        <v>400</v>
      </c>
      <c r="C3791" s="8">
        <v>20.531590000000001</v>
      </c>
      <c r="D3791" s="8">
        <v>75</v>
      </c>
      <c r="E3791" s="8">
        <v>0</v>
      </c>
      <c r="F3791" s="8">
        <v>0</v>
      </c>
      <c r="G3791" s="8">
        <v>12</v>
      </c>
      <c r="H3791" s="8" t="s">
        <v>33220</v>
      </c>
      <c r="I3791" s="8">
        <v>528.375</v>
      </c>
      <c r="J3791" s="3">
        <f t="shared" si="59"/>
        <v>43748.728435775462</v>
      </c>
    </row>
    <row r="3792" spans="1:10" x14ac:dyDescent="0.25">
      <c r="A3792" s="5" t="s">
        <v>33221</v>
      </c>
      <c r="B3792" s="6">
        <v>403.125</v>
      </c>
      <c r="C3792" s="6">
        <v>20.478950000000001</v>
      </c>
      <c r="D3792" s="6">
        <v>75</v>
      </c>
      <c r="E3792" s="6">
        <v>0</v>
      </c>
      <c r="F3792" s="6">
        <v>0</v>
      </c>
      <c r="G3792" s="6">
        <v>13</v>
      </c>
      <c r="H3792" s="6" t="s">
        <v>33222</v>
      </c>
      <c r="I3792" s="6">
        <v>529.125</v>
      </c>
      <c r="J3792" s="2">
        <f t="shared" si="59"/>
        <v>43748.728507233791</v>
      </c>
    </row>
    <row r="3793" spans="1:10" x14ac:dyDescent="0.25">
      <c r="A3793" s="7" t="s">
        <v>33223</v>
      </c>
      <c r="B3793" s="8">
        <v>403.125</v>
      </c>
      <c r="C3793" s="8">
        <v>20.478950000000001</v>
      </c>
      <c r="D3793" s="8">
        <v>75</v>
      </c>
      <c r="E3793" s="8">
        <v>0</v>
      </c>
      <c r="F3793" s="8">
        <v>0</v>
      </c>
      <c r="G3793" s="8">
        <v>17</v>
      </c>
      <c r="H3793" s="8" t="s">
        <v>33224</v>
      </c>
      <c r="I3793" s="8">
        <v>529.125</v>
      </c>
      <c r="J3793" s="3">
        <f t="shared" si="59"/>
        <v>43748.728578564813</v>
      </c>
    </row>
    <row r="3794" spans="1:10" x14ac:dyDescent="0.25">
      <c r="A3794" s="5" t="s">
        <v>33225</v>
      </c>
      <c r="B3794" s="6">
        <v>425</v>
      </c>
      <c r="C3794" s="6">
        <v>20.531590000000001</v>
      </c>
      <c r="D3794" s="6">
        <v>75</v>
      </c>
      <c r="E3794" s="6">
        <v>0</v>
      </c>
      <c r="F3794" s="6">
        <v>0</v>
      </c>
      <c r="G3794" s="6">
        <v>12</v>
      </c>
      <c r="H3794" s="6" t="s">
        <v>33226</v>
      </c>
      <c r="I3794" s="6">
        <v>536.4375</v>
      </c>
      <c r="J3794" s="2">
        <f t="shared" si="59"/>
        <v>43748.728650324068</v>
      </c>
    </row>
    <row r="3795" spans="1:10" x14ac:dyDescent="0.25">
      <c r="A3795" s="7" t="s">
        <v>33227</v>
      </c>
      <c r="B3795" s="8">
        <v>403.125</v>
      </c>
      <c r="C3795" s="8">
        <v>20.531590000000001</v>
      </c>
      <c r="D3795" s="8">
        <v>75</v>
      </c>
      <c r="E3795" s="8">
        <v>0</v>
      </c>
      <c r="F3795" s="8">
        <v>0</v>
      </c>
      <c r="G3795" s="8">
        <v>19</v>
      </c>
      <c r="H3795" s="8" t="s">
        <v>33228</v>
      </c>
      <c r="I3795" s="8">
        <v>529.125</v>
      </c>
      <c r="J3795" s="3">
        <f t="shared" si="59"/>
        <v>43748.72872190972</v>
      </c>
    </row>
    <row r="3796" spans="1:10" x14ac:dyDescent="0.25">
      <c r="A3796" s="5" t="s">
        <v>33229</v>
      </c>
      <c r="B3796" s="6">
        <v>400</v>
      </c>
      <c r="C3796" s="6">
        <v>20.531590000000001</v>
      </c>
      <c r="D3796" s="6">
        <v>74</v>
      </c>
      <c r="E3796" s="6">
        <v>0</v>
      </c>
      <c r="F3796" s="6">
        <v>0</v>
      </c>
      <c r="G3796" s="6">
        <v>16</v>
      </c>
      <c r="H3796" s="6" t="s">
        <v>33230</v>
      </c>
      <c r="I3796" s="6">
        <v>528.1875</v>
      </c>
      <c r="J3796" s="2">
        <f t="shared" si="59"/>
        <v>43748.728793263886</v>
      </c>
    </row>
    <row r="3797" spans="1:10" x14ac:dyDescent="0.25">
      <c r="A3797" s="7" t="s">
        <v>33231</v>
      </c>
      <c r="B3797" s="8">
        <v>400</v>
      </c>
      <c r="C3797" s="8">
        <v>20.531590000000001</v>
      </c>
      <c r="D3797" s="8">
        <v>71</v>
      </c>
      <c r="E3797" s="8">
        <v>0</v>
      </c>
      <c r="F3797" s="8">
        <v>0</v>
      </c>
      <c r="G3797" s="8">
        <v>19</v>
      </c>
      <c r="H3797" s="8" t="s">
        <v>33232</v>
      </c>
      <c r="I3797" s="8">
        <v>528.1875</v>
      </c>
      <c r="J3797" s="3">
        <f t="shared" si="59"/>
        <v>43748.728865486111</v>
      </c>
    </row>
    <row r="3798" spans="1:10" x14ac:dyDescent="0.25">
      <c r="A3798" s="5" t="s">
        <v>33233</v>
      </c>
      <c r="B3798" s="6">
        <v>396.875</v>
      </c>
      <c r="C3798" s="6">
        <v>20.478950000000001</v>
      </c>
      <c r="D3798" s="6">
        <v>71</v>
      </c>
      <c r="E3798" s="6">
        <v>0</v>
      </c>
      <c r="F3798" s="6">
        <v>0</v>
      </c>
      <c r="G3798" s="6">
        <v>17</v>
      </c>
      <c r="H3798" s="6" t="s">
        <v>33234</v>
      </c>
      <c r="I3798" s="6">
        <v>527.4375</v>
      </c>
      <c r="J3798" s="2">
        <f t="shared" si="59"/>
        <v>43748.728936770836</v>
      </c>
    </row>
    <row r="3799" spans="1:10" x14ac:dyDescent="0.25">
      <c r="A3799" s="7" t="s">
        <v>33235</v>
      </c>
      <c r="B3799" s="8">
        <v>400</v>
      </c>
      <c r="C3799" s="8">
        <v>20.531590000000001</v>
      </c>
      <c r="D3799" s="8">
        <v>71</v>
      </c>
      <c r="E3799" s="8">
        <v>0</v>
      </c>
      <c r="F3799" s="8">
        <v>0</v>
      </c>
      <c r="G3799" s="8">
        <v>12</v>
      </c>
      <c r="H3799" s="8" t="s">
        <v>33236</v>
      </c>
      <c r="I3799" s="8">
        <v>528.375</v>
      </c>
      <c r="J3799" s="3">
        <f t="shared" si="59"/>
        <v>43748.729008194445</v>
      </c>
    </row>
    <row r="3800" spans="1:10" x14ac:dyDescent="0.25">
      <c r="A3800" s="5" t="s">
        <v>33237</v>
      </c>
      <c r="B3800" s="6">
        <v>400</v>
      </c>
      <c r="C3800" s="6">
        <v>20.478950000000001</v>
      </c>
      <c r="D3800" s="6">
        <v>69</v>
      </c>
      <c r="E3800" s="6">
        <v>0</v>
      </c>
      <c r="F3800" s="6">
        <v>0</v>
      </c>
      <c r="G3800" s="6">
        <v>13</v>
      </c>
      <c r="H3800" s="6" t="s">
        <v>33238</v>
      </c>
      <c r="I3800" s="6">
        <v>528.1875</v>
      </c>
      <c r="J3800" s="2">
        <f t="shared" si="59"/>
        <v>43748.729079571756</v>
      </c>
    </row>
    <row r="3801" spans="1:10" x14ac:dyDescent="0.25">
      <c r="A3801" s="7" t="s">
        <v>33239</v>
      </c>
      <c r="B3801" s="8">
        <v>400</v>
      </c>
      <c r="C3801" s="8">
        <v>20.584240000000001</v>
      </c>
      <c r="D3801" s="8">
        <v>70</v>
      </c>
      <c r="E3801" s="8">
        <v>0</v>
      </c>
      <c r="F3801" s="8">
        <v>0</v>
      </c>
      <c r="G3801" s="8">
        <v>13</v>
      </c>
      <c r="H3801" s="8" t="s">
        <v>33240</v>
      </c>
      <c r="I3801" s="8">
        <v>528.1875</v>
      </c>
      <c r="J3801" s="3">
        <f t="shared" si="59"/>
        <v>43748.72915136574</v>
      </c>
    </row>
    <row r="3802" spans="1:10" x14ac:dyDescent="0.25">
      <c r="A3802" s="5" t="s">
        <v>33241</v>
      </c>
      <c r="B3802" s="6">
        <v>400</v>
      </c>
      <c r="C3802" s="6">
        <v>20.531590000000001</v>
      </c>
      <c r="D3802" s="6">
        <v>70</v>
      </c>
      <c r="E3802" s="6">
        <v>0</v>
      </c>
      <c r="F3802" s="6">
        <v>0</v>
      </c>
      <c r="G3802" s="6">
        <v>24</v>
      </c>
      <c r="H3802" s="6" t="s">
        <v>33242</v>
      </c>
      <c r="I3802" s="6">
        <v>528.375</v>
      </c>
      <c r="J3802" s="2">
        <f t="shared" si="59"/>
        <v>43748.729222881942</v>
      </c>
    </row>
    <row r="3803" spans="1:10" x14ac:dyDescent="0.25">
      <c r="A3803" s="7" t="s">
        <v>33243</v>
      </c>
      <c r="B3803" s="8">
        <v>415.625</v>
      </c>
      <c r="C3803" s="8">
        <v>20.531590000000001</v>
      </c>
      <c r="D3803" s="8">
        <v>70</v>
      </c>
      <c r="E3803" s="8">
        <v>0</v>
      </c>
      <c r="F3803" s="8">
        <v>0</v>
      </c>
      <c r="G3803" s="8">
        <v>11</v>
      </c>
      <c r="H3803" s="8" t="s">
        <v>33244</v>
      </c>
      <c r="I3803" s="8">
        <v>533.8125</v>
      </c>
      <c r="J3803" s="3">
        <f t="shared" si="59"/>
        <v>43748.729294247685</v>
      </c>
    </row>
    <row r="3804" spans="1:10" x14ac:dyDescent="0.25">
      <c r="A3804" s="5" t="s">
        <v>33245</v>
      </c>
      <c r="B3804" s="6">
        <v>400</v>
      </c>
      <c r="C3804" s="6">
        <v>20.478950000000001</v>
      </c>
      <c r="D3804" s="6">
        <v>73</v>
      </c>
      <c r="E3804" s="6">
        <v>0</v>
      </c>
      <c r="F3804" s="6">
        <v>0</v>
      </c>
      <c r="G3804" s="6">
        <v>16</v>
      </c>
      <c r="H3804" s="6" t="s">
        <v>33246</v>
      </c>
      <c r="I3804" s="6">
        <v>528.1875</v>
      </c>
      <c r="J3804" s="2">
        <f t="shared" si="59"/>
        <v>43748.729366458334</v>
      </c>
    </row>
    <row r="3805" spans="1:10" x14ac:dyDescent="0.25">
      <c r="A3805" s="7" t="s">
        <v>33247</v>
      </c>
      <c r="B3805" s="8">
        <v>400</v>
      </c>
      <c r="C3805" s="8">
        <v>20.478950000000001</v>
      </c>
      <c r="D3805" s="8">
        <v>72</v>
      </c>
      <c r="E3805" s="8">
        <v>0</v>
      </c>
      <c r="F3805" s="8">
        <v>0</v>
      </c>
      <c r="G3805" s="8">
        <v>17</v>
      </c>
      <c r="H3805" s="8" t="s">
        <v>33248</v>
      </c>
      <c r="I3805" s="8">
        <v>528.1875</v>
      </c>
      <c r="J3805" s="3">
        <f t="shared" si="59"/>
        <v>43748.729437754628</v>
      </c>
    </row>
    <row r="3806" spans="1:10" x14ac:dyDescent="0.25">
      <c r="A3806" s="5" t="s">
        <v>33249</v>
      </c>
      <c r="B3806" s="6">
        <v>396.875</v>
      </c>
      <c r="C3806" s="6">
        <v>20.531590000000001</v>
      </c>
      <c r="D3806" s="6">
        <v>72</v>
      </c>
      <c r="E3806" s="6">
        <v>0</v>
      </c>
      <c r="F3806" s="6">
        <v>0</v>
      </c>
      <c r="G3806" s="6">
        <v>18</v>
      </c>
      <c r="H3806" s="6" t="s">
        <v>33250</v>
      </c>
      <c r="I3806" s="6">
        <v>527.4375</v>
      </c>
      <c r="J3806" s="2">
        <f t="shared" si="59"/>
        <v>43748.729509062498</v>
      </c>
    </row>
    <row r="3807" spans="1:10" x14ac:dyDescent="0.25">
      <c r="A3807" s="7" t="s">
        <v>33251</v>
      </c>
      <c r="B3807" s="8">
        <v>443.75</v>
      </c>
      <c r="C3807" s="8">
        <v>20.531590000000001</v>
      </c>
      <c r="D3807" s="8">
        <v>72</v>
      </c>
      <c r="E3807" s="8">
        <v>0</v>
      </c>
      <c r="F3807" s="8">
        <v>0</v>
      </c>
      <c r="G3807" s="8">
        <v>8</v>
      </c>
      <c r="H3807" s="8" t="s">
        <v>33252</v>
      </c>
      <c r="I3807" s="8">
        <v>542.0625</v>
      </c>
      <c r="J3807" s="3">
        <f t="shared" si="59"/>
        <v>43748.729580983789</v>
      </c>
    </row>
    <row r="3808" spans="1:10" x14ac:dyDescent="0.25">
      <c r="A3808" s="5" t="s">
        <v>33253</v>
      </c>
      <c r="B3808" s="6">
        <v>393.75</v>
      </c>
      <c r="C3808" s="6">
        <v>20.478950000000001</v>
      </c>
      <c r="D3808" s="6">
        <v>71</v>
      </c>
      <c r="E3808" s="6">
        <v>0</v>
      </c>
      <c r="F3808" s="6">
        <v>0</v>
      </c>
      <c r="G3808" s="6">
        <v>11</v>
      </c>
      <c r="H3808" s="6" t="s">
        <v>33254</v>
      </c>
      <c r="I3808" s="6">
        <v>526.6875</v>
      </c>
      <c r="J3808" s="2">
        <f t="shared" si="59"/>
        <v>43748.729652060181</v>
      </c>
    </row>
    <row r="3809" spans="1:10" x14ac:dyDescent="0.25">
      <c r="A3809" s="7" t="s">
        <v>33255</v>
      </c>
      <c r="B3809" s="8">
        <v>393.75</v>
      </c>
      <c r="C3809" s="8">
        <v>20.478950000000001</v>
      </c>
      <c r="D3809" s="8">
        <v>71</v>
      </c>
      <c r="E3809" s="8">
        <v>0</v>
      </c>
      <c r="F3809" s="8">
        <v>0</v>
      </c>
      <c r="G3809" s="8">
        <v>9</v>
      </c>
      <c r="H3809" s="8" t="s">
        <v>33256</v>
      </c>
      <c r="I3809" s="8">
        <v>526.6875</v>
      </c>
      <c r="J3809" s="3">
        <f t="shared" si="59"/>
        <v>43748.729723807868</v>
      </c>
    </row>
    <row r="3810" spans="1:10" x14ac:dyDescent="0.25">
      <c r="A3810" s="5" t="s">
        <v>33257</v>
      </c>
      <c r="B3810" s="6">
        <v>393.75</v>
      </c>
      <c r="C3810" s="6">
        <v>20.531590000000001</v>
      </c>
      <c r="D3810" s="6">
        <v>72</v>
      </c>
      <c r="E3810" s="6">
        <v>0</v>
      </c>
      <c r="F3810" s="6">
        <v>0</v>
      </c>
      <c r="G3810" s="6">
        <v>13</v>
      </c>
      <c r="H3810" s="6" t="s">
        <v>33258</v>
      </c>
      <c r="I3810" s="6">
        <v>526.6875</v>
      </c>
      <c r="J3810" s="2">
        <f t="shared" si="59"/>
        <v>43748.729795231477</v>
      </c>
    </row>
    <row r="3811" spans="1:10" x14ac:dyDescent="0.25">
      <c r="A3811" s="7" t="s">
        <v>33259</v>
      </c>
      <c r="B3811" s="8">
        <v>396.875</v>
      </c>
      <c r="C3811" s="8">
        <v>20.478950000000001</v>
      </c>
      <c r="D3811" s="8">
        <v>72</v>
      </c>
      <c r="E3811" s="8">
        <v>0</v>
      </c>
      <c r="F3811" s="8">
        <v>0</v>
      </c>
      <c r="G3811" s="8">
        <v>20</v>
      </c>
      <c r="H3811" s="8" t="s">
        <v>33260</v>
      </c>
      <c r="I3811" s="8">
        <v>527.4375</v>
      </c>
      <c r="J3811" s="3">
        <f t="shared" si="59"/>
        <v>43748.729867453701</v>
      </c>
    </row>
    <row r="3812" spans="1:10" x14ac:dyDescent="0.25">
      <c r="A3812" s="5" t="s">
        <v>33261</v>
      </c>
      <c r="B3812" s="6">
        <v>396.875</v>
      </c>
      <c r="C3812" s="6">
        <v>20.478950000000001</v>
      </c>
      <c r="D3812" s="6">
        <v>71</v>
      </c>
      <c r="E3812" s="6">
        <v>0</v>
      </c>
      <c r="F3812" s="6">
        <v>0</v>
      </c>
      <c r="G3812" s="6">
        <v>18</v>
      </c>
      <c r="H3812" s="6" t="s">
        <v>33262</v>
      </c>
      <c r="I3812" s="6">
        <v>527.625</v>
      </c>
      <c r="J3812" s="2">
        <f t="shared" si="59"/>
        <v>43748.729938703698</v>
      </c>
    </row>
    <row r="3813" spans="1:10" x14ac:dyDescent="0.25">
      <c r="A3813" s="7" t="s">
        <v>33263</v>
      </c>
      <c r="B3813" s="8">
        <v>396.875</v>
      </c>
      <c r="C3813" s="8">
        <v>20.478950000000001</v>
      </c>
      <c r="D3813" s="8">
        <v>71</v>
      </c>
      <c r="E3813" s="8">
        <v>0</v>
      </c>
      <c r="F3813" s="8">
        <v>0</v>
      </c>
      <c r="G3813" s="8">
        <v>13</v>
      </c>
      <c r="H3813" s="8" t="s">
        <v>33264</v>
      </c>
      <c r="I3813" s="8">
        <v>527.4375</v>
      </c>
      <c r="J3813" s="3">
        <f t="shared" si="59"/>
        <v>43748.730012523149</v>
      </c>
    </row>
    <row r="3814" spans="1:10" x14ac:dyDescent="0.25">
      <c r="A3814" s="5" t="s">
        <v>33265</v>
      </c>
      <c r="B3814" s="6">
        <v>396.875</v>
      </c>
      <c r="C3814" s="6">
        <v>20.478950000000001</v>
      </c>
      <c r="D3814" s="6">
        <v>71</v>
      </c>
      <c r="E3814" s="6">
        <v>0</v>
      </c>
      <c r="F3814" s="6">
        <v>0</v>
      </c>
      <c r="G3814" s="6">
        <v>14</v>
      </c>
      <c r="H3814" s="6" t="s">
        <v>33266</v>
      </c>
      <c r="I3814" s="6">
        <v>527.4375</v>
      </c>
      <c r="J3814" s="2">
        <f t="shared" si="59"/>
        <v>43748.730093321756</v>
      </c>
    </row>
    <row r="3815" spans="1:10" x14ac:dyDescent="0.25">
      <c r="A3815" s="7" t="s">
        <v>33267</v>
      </c>
      <c r="B3815" s="8">
        <v>415.625</v>
      </c>
      <c r="C3815" s="8">
        <v>20.478950000000001</v>
      </c>
      <c r="D3815" s="8">
        <v>74</v>
      </c>
      <c r="E3815" s="8">
        <v>0</v>
      </c>
      <c r="F3815" s="8">
        <v>0</v>
      </c>
      <c r="G3815" s="8">
        <v>15</v>
      </c>
      <c r="H3815" s="8" t="s">
        <v>33268</v>
      </c>
      <c r="I3815" s="8">
        <v>533.25</v>
      </c>
      <c r="J3815" s="3">
        <f t="shared" si="59"/>
        <v>43748.730165532404</v>
      </c>
    </row>
    <row r="3816" spans="1:10" x14ac:dyDescent="0.25">
      <c r="A3816" s="5" t="s">
        <v>33269</v>
      </c>
      <c r="B3816" s="6">
        <v>400</v>
      </c>
      <c r="C3816" s="6">
        <v>20.478950000000001</v>
      </c>
      <c r="D3816" s="6">
        <v>74</v>
      </c>
      <c r="E3816" s="6">
        <v>0</v>
      </c>
      <c r="F3816" s="6">
        <v>0</v>
      </c>
      <c r="G3816" s="6">
        <v>17</v>
      </c>
      <c r="H3816" s="6" t="s">
        <v>33270</v>
      </c>
      <c r="I3816" s="6">
        <v>528.1875</v>
      </c>
      <c r="J3816" s="2">
        <f t="shared" si="59"/>
        <v>43748.73024128472</v>
      </c>
    </row>
    <row r="3817" spans="1:10" x14ac:dyDescent="0.25">
      <c r="A3817" s="7" t="s">
        <v>33271</v>
      </c>
      <c r="B3817" s="8">
        <v>400</v>
      </c>
      <c r="C3817" s="8">
        <v>20.531590000000001</v>
      </c>
      <c r="D3817" s="8">
        <v>73</v>
      </c>
      <c r="E3817" s="8">
        <v>0</v>
      </c>
      <c r="F3817" s="8">
        <v>0</v>
      </c>
      <c r="G3817" s="8">
        <v>18</v>
      </c>
      <c r="H3817" s="8" t="s">
        <v>33272</v>
      </c>
      <c r="I3817" s="8">
        <v>528.375</v>
      </c>
      <c r="J3817" s="3">
        <f t="shared" si="59"/>
        <v>43748.730320046299</v>
      </c>
    </row>
    <row r="3818" spans="1:10" x14ac:dyDescent="0.25">
      <c r="A3818" s="5" t="s">
        <v>33273</v>
      </c>
      <c r="B3818" s="6">
        <v>400</v>
      </c>
      <c r="C3818" s="6">
        <v>20.531590000000001</v>
      </c>
      <c r="D3818" s="6">
        <v>73</v>
      </c>
      <c r="E3818" s="6">
        <v>0</v>
      </c>
      <c r="F3818" s="6">
        <v>0</v>
      </c>
      <c r="G3818" s="6">
        <v>12</v>
      </c>
      <c r="H3818" s="6" t="s">
        <v>33274</v>
      </c>
      <c r="I3818" s="6">
        <v>528.1875</v>
      </c>
      <c r="J3818" s="2">
        <f t="shared" si="59"/>
        <v>43748.730404745373</v>
      </c>
    </row>
    <row r="3819" spans="1:10" x14ac:dyDescent="0.25">
      <c r="A3819" s="7" t="s">
        <v>33275</v>
      </c>
      <c r="B3819" s="8">
        <v>400</v>
      </c>
      <c r="C3819" s="8">
        <v>20.478950000000001</v>
      </c>
      <c r="D3819" s="8">
        <v>70</v>
      </c>
      <c r="E3819" s="8">
        <v>0</v>
      </c>
      <c r="F3819" s="8">
        <v>0</v>
      </c>
      <c r="G3819" s="8">
        <v>11</v>
      </c>
      <c r="H3819" s="8" t="s">
        <v>33276</v>
      </c>
      <c r="I3819" s="8">
        <v>528.375</v>
      </c>
      <c r="J3819" s="3">
        <f t="shared" si="59"/>
        <v>43748.730487037035</v>
      </c>
    </row>
    <row r="3820" spans="1:10" x14ac:dyDescent="0.25">
      <c r="A3820" s="5" t="s">
        <v>33277</v>
      </c>
      <c r="B3820" s="6">
        <v>403.125</v>
      </c>
      <c r="C3820" s="6">
        <v>20.531590000000001</v>
      </c>
      <c r="D3820" s="6">
        <v>69</v>
      </c>
      <c r="E3820" s="6">
        <v>0</v>
      </c>
      <c r="F3820" s="6">
        <v>0</v>
      </c>
      <c r="G3820" s="6">
        <v>28</v>
      </c>
      <c r="H3820" s="6" t="s">
        <v>33278</v>
      </c>
      <c r="I3820" s="6">
        <v>529.125</v>
      </c>
      <c r="J3820" s="2">
        <f t="shared" si="59"/>
        <v>43748.730558634255</v>
      </c>
    </row>
    <row r="3821" spans="1:10" x14ac:dyDescent="0.25">
      <c r="A3821" s="7" t="s">
        <v>33279</v>
      </c>
      <c r="B3821" s="8">
        <v>428.125</v>
      </c>
      <c r="C3821" s="8">
        <v>20.531590000000001</v>
      </c>
      <c r="D3821" s="8">
        <v>69</v>
      </c>
      <c r="E3821" s="8">
        <v>0</v>
      </c>
      <c r="F3821" s="8">
        <v>0</v>
      </c>
      <c r="G3821" s="8">
        <v>10</v>
      </c>
      <c r="H3821" s="8" t="s">
        <v>33280</v>
      </c>
      <c r="I3821" s="8">
        <v>537.1875</v>
      </c>
      <c r="J3821" s="3">
        <f t="shared" si="59"/>
        <v>43748.730630659724</v>
      </c>
    </row>
    <row r="3822" spans="1:10" x14ac:dyDescent="0.25">
      <c r="A3822" s="5" t="s">
        <v>33281</v>
      </c>
      <c r="B3822" s="6">
        <v>403.125</v>
      </c>
      <c r="C3822" s="6">
        <v>20.478950000000001</v>
      </c>
      <c r="D3822" s="6">
        <v>69</v>
      </c>
      <c r="E3822" s="6">
        <v>0</v>
      </c>
      <c r="F3822" s="6">
        <v>0</v>
      </c>
      <c r="G3822" s="6">
        <v>20</v>
      </c>
      <c r="H3822" s="6" t="s">
        <v>33282</v>
      </c>
      <c r="I3822" s="6">
        <v>529.125</v>
      </c>
      <c r="J3822" s="2">
        <f t="shared" si="59"/>
        <v>43748.730701851848</v>
      </c>
    </row>
    <row r="3823" spans="1:10" x14ac:dyDescent="0.25">
      <c r="A3823" s="7" t="s">
        <v>33283</v>
      </c>
      <c r="B3823" s="8">
        <v>403.125</v>
      </c>
      <c r="C3823" s="8">
        <v>20.478950000000001</v>
      </c>
      <c r="D3823" s="8">
        <v>69</v>
      </c>
      <c r="E3823" s="8">
        <v>0</v>
      </c>
      <c r="F3823" s="8">
        <v>0</v>
      </c>
      <c r="G3823" s="8">
        <v>22</v>
      </c>
      <c r="H3823" s="8" t="s">
        <v>33284</v>
      </c>
      <c r="I3823" s="8">
        <v>529.125</v>
      </c>
      <c r="J3823" s="3">
        <f t="shared" si="59"/>
        <v>43748.730773136573</v>
      </c>
    </row>
    <row r="3824" spans="1:10" x14ac:dyDescent="0.25">
      <c r="A3824" s="5" t="s">
        <v>33285</v>
      </c>
      <c r="B3824" s="6">
        <v>403.125</v>
      </c>
      <c r="C3824" s="6">
        <v>20.531590000000001</v>
      </c>
      <c r="D3824" s="6">
        <v>69</v>
      </c>
      <c r="E3824" s="6">
        <v>0</v>
      </c>
      <c r="F3824" s="6">
        <v>0</v>
      </c>
      <c r="G3824" s="6">
        <v>18</v>
      </c>
      <c r="H3824" s="6" t="s">
        <v>33286</v>
      </c>
      <c r="I3824" s="6">
        <v>529.125</v>
      </c>
      <c r="J3824" s="2">
        <f t="shared" si="59"/>
        <v>43748.730844548605</v>
      </c>
    </row>
    <row r="3825" spans="1:10" x14ac:dyDescent="0.25">
      <c r="A3825" s="7" t="s">
        <v>33287</v>
      </c>
      <c r="B3825" s="8">
        <v>403.125</v>
      </c>
      <c r="C3825" s="8">
        <v>20.531590000000001</v>
      </c>
      <c r="D3825" s="8">
        <v>71</v>
      </c>
      <c r="E3825" s="8">
        <v>0</v>
      </c>
      <c r="F3825" s="8">
        <v>0</v>
      </c>
      <c r="G3825" s="8">
        <v>17</v>
      </c>
      <c r="H3825" s="8" t="s">
        <v>33288</v>
      </c>
      <c r="I3825" s="8">
        <v>529.125</v>
      </c>
      <c r="J3825" s="3">
        <f t="shared" si="59"/>
        <v>43748.73091666666</v>
      </c>
    </row>
    <row r="3826" spans="1:10" x14ac:dyDescent="0.25">
      <c r="A3826" s="5" t="s">
        <v>33289</v>
      </c>
      <c r="B3826" s="6">
        <v>403.125</v>
      </c>
      <c r="C3826" s="6">
        <v>20.478950000000001</v>
      </c>
      <c r="D3826" s="6">
        <v>71</v>
      </c>
      <c r="E3826" s="6">
        <v>0</v>
      </c>
      <c r="F3826" s="6">
        <v>0</v>
      </c>
      <c r="G3826" s="6">
        <v>23</v>
      </c>
      <c r="H3826" s="6" t="s">
        <v>33290</v>
      </c>
      <c r="I3826" s="6">
        <v>529.125</v>
      </c>
      <c r="J3826" s="2">
        <f t="shared" si="59"/>
        <v>43748.73098803241</v>
      </c>
    </row>
    <row r="3827" spans="1:10" x14ac:dyDescent="0.25">
      <c r="A3827" s="7" t="s">
        <v>33291</v>
      </c>
      <c r="B3827" s="8">
        <v>403.125</v>
      </c>
      <c r="C3827" s="8">
        <v>20.478950000000001</v>
      </c>
      <c r="D3827" s="8">
        <v>70</v>
      </c>
      <c r="E3827" s="8">
        <v>0</v>
      </c>
      <c r="F3827" s="8">
        <v>0</v>
      </c>
      <c r="G3827" s="8">
        <v>16</v>
      </c>
      <c r="H3827" s="8" t="s">
        <v>33292</v>
      </c>
      <c r="I3827" s="8">
        <v>529.125</v>
      </c>
      <c r="J3827" s="3">
        <f t="shared" si="59"/>
        <v>43748.731059826387</v>
      </c>
    </row>
    <row r="3828" spans="1:10" x14ac:dyDescent="0.25">
      <c r="A3828" s="5" t="s">
        <v>33293</v>
      </c>
      <c r="B3828" s="6">
        <v>403.125</v>
      </c>
      <c r="C3828" s="6">
        <v>20.531590000000001</v>
      </c>
      <c r="D3828" s="6">
        <v>69</v>
      </c>
      <c r="E3828" s="6">
        <v>0</v>
      </c>
      <c r="F3828" s="6">
        <v>0</v>
      </c>
      <c r="G3828" s="6">
        <v>20</v>
      </c>
      <c r="H3828" s="6" t="s">
        <v>33294</v>
      </c>
      <c r="I3828" s="6">
        <v>529.125</v>
      </c>
      <c r="J3828" s="2">
        <f t="shared" si="59"/>
        <v>43748.731130891203</v>
      </c>
    </row>
    <row r="3829" spans="1:10" x14ac:dyDescent="0.25">
      <c r="A3829" s="7" t="s">
        <v>33295</v>
      </c>
      <c r="B3829" s="8">
        <v>421.875</v>
      </c>
      <c r="C3829" s="8">
        <v>20.478950000000001</v>
      </c>
      <c r="D3829" s="8">
        <v>69</v>
      </c>
      <c r="E3829" s="8">
        <v>0</v>
      </c>
      <c r="F3829" s="8">
        <v>0</v>
      </c>
      <c r="G3829" s="8">
        <v>16</v>
      </c>
      <c r="H3829" s="8" t="s">
        <v>33296</v>
      </c>
      <c r="I3829" s="8">
        <v>535.5</v>
      </c>
      <c r="J3829" s="3">
        <f t="shared" si="59"/>
        <v>43748.73121460648</v>
      </c>
    </row>
    <row r="3830" spans="1:10" x14ac:dyDescent="0.25">
      <c r="A3830" s="5" t="s">
        <v>33297</v>
      </c>
      <c r="B3830" s="6">
        <v>403.125</v>
      </c>
      <c r="C3830" s="6">
        <v>20.478950000000001</v>
      </c>
      <c r="D3830" s="6">
        <v>70</v>
      </c>
      <c r="E3830" s="6">
        <v>0</v>
      </c>
      <c r="F3830" s="6">
        <v>0</v>
      </c>
      <c r="G3830" s="6">
        <v>9</v>
      </c>
      <c r="H3830" s="6" t="s">
        <v>33298</v>
      </c>
      <c r="I3830" s="6">
        <v>529.125</v>
      </c>
      <c r="J3830" s="2">
        <f t="shared" si="59"/>
        <v>43748.731298032406</v>
      </c>
    </row>
    <row r="3831" spans="1:10" x14ac:dyDescent="0.25">
      <c r="A3831" s="7" t="s">
        <v>33299</v>
      </c>
      <c r="B3831" s="8">
        <v>403.125</v>
      </c>
      <c r="C3831" s="8">
        <v>20.531590000000001</v>
      </c>
      <c r="D3831" s="8">
        <v>70</v>
      </c>
      <c r="E3831" s="8">
        <v>0</v>
      </c>
      <c r="F3831" s="8">
        <v>0</v>
      </c>
      <c r="G3831" s="8">
        <v>24</v>
      </c>
      <c r="H3831" s="8" t="s">
        <v>33300</v>
      </c>
      <c r="I3831" s="8">
        <v>529.125</v>
      </c>
      <c r="J3831" s="3">
        <f t="shared" si="59"/>
        <v>43748.731369675923</v>
      </c>
    </row>
    <row r="3832" spans="1:10" x14ac:dyDescent="0.25">
      <c r="A3832" s="5" t="s">
        <v>33301</v>
      </c>
      <c r="B3832" s="6">
        <v>425</v>
      </c>
      <c r="C3832" s="6">
        <v>20.478950000000001</v>
      </c>
      <c r="D3832" s="6">
        <v>72</v>
      </c>
      <c r="E3832" s="6">
        <v>0</v>
      </c>
      <c r="F3832" s="6">
        <v>0</v>
      </c>
      <c r="G3832" s="6">
        <v>13</v>
      </c>
      <c r="H3832" s="6" t="s">
        <v>33302</v>
      </c>
      <c r="I3832" s="6">
        <v>536.0625</v>
      </c>
      <c r="J3832" s="2">
        <f t="shared" si="59"/>
        <v>43748.731452789354</v>
      </c>
    </row>
    <row r="3833" spans="1:10" x14ac:dyDescent="0.25">
      <c r="A3833" s="7" t="s">
        <v>33303</v>
      </c>
      <c r="B3833" s="8">
        <v>400</v>
      </c>
      <c r="C3833" s="8">
        <v>20.478950000000001</v>
      </c>
      <c r="D3833" s="8">
        <v>72</v>
      </c>
      <c r="E3833" s="8">
        <v>0</v>
      </c>
      <c r="F3833" s="8">
        <v>0</v>
      </c>
      <c r="G3833" s="8">
        <v>19</v>
      </c>
      <c r="H3833" s="8" t="s">
        <v>33304</v>
      </c>
      <c r="I3833" s="8">
        <v>528.375</v>
      </c>
      <c r="J3833" s="3">
        <f t="shared" si="59"/>
        <v>43748.731524513882</v>
      </c>
    </row>
    <row r="3834" spans="1:10" x14ac:dyDescent="0.25">
      <c r="A3834" s="5" t="s">
        <v>33305</v>
      </c>
      <c r="B3834" s="6">
        <v>396.875</v>
      </c>
      <c r="C3834" s="6">
        <v>20.478950000000001</v>
      </c>
      <c r="D3834" s="6">
        <v>72</v>
      </c>
      <c r="E3834" s="6">
        <v>0</v>
      </c>
      <c r="F3834" s="6">
        <v>0</v>
      </c>
      <c r="G3834" s="6">
        <v>29</v>
      </c>
      <c r="H3834" s="6" t="s">
        <v>33306</v>
      </c>
      <c r="I3834" s="6">
        <v>527.4375</v>
      </c>
      <c r="J3834" s="2">
        <f t="shared" si="59"/>
        <v>43748.731608368056</v>
      </c>
    </row>
    <row r="3835" spans="1:10" x14ac:dyDescent="0.25">
      <c r="A3835" s="7" t="s">
        <v>33307</v>
      </c>
      <c r="B3835" s="8">
        <v>409.375</v>
      </c>
      <c r="C3835" s="8">
        <v>20.478950000000001</v>
      </c>
      <c r="D3835" s="8">
        <v>70</v>
      </c>
      <c r="E3835" s="8">
        <v>0</v>
      </c>
      <c r="F3835" s="8">
        <v>0</v>
      </c>
      <c r="G3835" s="8">
        <v>17</v>
      </c>
      <c r="H3835" s="8" t="s">
        <v>33308</v>
      </c>
      <c r="I3835" s="8">
        <v>531.5625</v>
      </c>
      <c r="J3835" s="3">
        <f t="shared" si="59"/>
        <v>43748.731691666668</v>
      </c>
    </row>
    <row r="3836" spans="1:10" x14ac:dyDescent="0.25">
      <c r="A3836" s="5" t="s">
        <v>33309</v>
      </c>
      <c r="B3836" s="6">
        <v>393.75</v>
      </c>
      <c r="C3836" s="6">
        <v>20.478950000000001</v>
      </c>
      <c r="D3836" s="6">
        <v>72</v>
      </c>
      <c r="E3836" s="6">
        <v>0</v>
      </c>
      <c r="F3836" s="6">
        <v>0</v>
      </c>
      <c r="G3836" s="6">
        <v>25</v>
      </c>
      <c r="H3836" s="6" t="s">
        <v>33310</v>
      </c>
      <c r="I3836" s="6">
        <v>526.6875</v>
      </c>
      <c r="J3836" s="2">
        <f t="shared" si="59"/>
        <v>43748.731775462962</v>
      </c>
    </row>
    <row r="3837" spans="1:10" x14ac:dyDescent="0.25">
      <c r="A3837" s="7" t="s">
        <v>33311</v>
      </c>
      <c r="B3837" s="8">
        <v>393.75</v>
      </c>
      <c r="C3837" s="8">
        <v>20.478950000000001</v>
      </c>
      <c r="D3837" s="8">
        <v>72</v>
      </c>
      <c r="E3837" s="8">
        <v>0</v>
      </c>
      <c r="F3837" s="8">
        <v>0</v>
      </c>
      <c r="G3837" s="8">
        <v>21</v>
      </c>
      <c r="H3837" s="8" t="s">
        <v>33312</v>
      </c>
      <c r="I3837" s="8">
        <v>526.6875</v>
      </c>
      <c r="J3837" s="3">
        <f t="shared" si="59"/>
        <v>43748.731846759256</v>
      </c>
    </row>
    <row r="3838" spans="1:10" x14ac:dyDescent="0.25">
      <c r="A3838" s="5" t="s">
        <v>33313</v>
      </c>
      <c r="B3838" s="6">
        <v>393.75</v>
      </c>
      <c r="C3838" s="6">
        <v>20.531590000000001</v>
      </c>
      <c r="D3838" s="6">
        <v>72</v>
      </c>
      <c r="E3838" s="6">
        <v>0</v>
      </c>
      <c r="F3838" s="6">
        <v>0</v>
      </c>
      <c r="G3838" s="6">
        <v>23</v>
      </c>
      <c r="H3838" s="6" t="s">
        <v>33314</v>
      </c>
      <c r="I3838" s="6">
        <v>526.6875</v>
      </c>
      <c r="J3838" s="2">
        <f t="shared" si="59"/>
        <v>43748.731918113423</v>
      </c>
    </row>
    <row r="3839" spans="1:10" x14ac:dyDescent="0.25">
      <c r="A3839" s="7" t="s">
        <v>33315</v>
      </c>
      <c r="B3839" s="8">
        <v>393.75</v>
      </c>
      <c r="C3839" s="8">
        <v>20.531590000000001</v>
      </c>
      <c r="D3839" s="8">
        <v>72</v>
      </c>
      <c r="E3839" s="8">
        <v>0</v>
      </c>
      <c r="F3839" s="8">
        <v>0</v>
      </c>
      <c r="G3839" s="8">
        <v>23</v>
      </c>
      <c r="H3839" s="8" t="s">
        <v>33316</v>
      </c>
      <c r="I3839" s="8">
        <v>526.6875</v>
      </c>
      <c r="J3839" s="3">
        <f t="shared" si="59"/>
        <v>43748.731990162036</v>
      </c>
    </row>
    <row r="3840" spans="1:10" x14ac:dyDescent="0.25">
      <c r="A3840" s="5" t="s">
        <v>33317</v>
      </c>
      <c r="B3840" s="6">
        <v>393.75</v>
      </c>
      <c r="C3840" s="6">
        <v>20.478950000000001</v>
      </c>
      <c r="D3840" s="6">
        <v>72</v>
      </c>
      <c r="E3840" s="6">
        <v>0</v>
      </c>
      <c r="F3840" s="6">
        <v>0</v>
      </c>
      <c r="G3840" s="6">
        <v>20</v>
      </c>
      <c r="H3840" s="6" t="s">
        <v>33318</v>
      </c>
      <c r="I3840" s="6">
        <v>526.6875</v>
      </c>
      <c r="J3840" s="2">
        <f t="shared" si="59"/>
        <v>43748.732061342591</v>
      </c>
    </row>
    <row r="3841" spans="1:10" x14ac:dyDescent="0.25">
      <c r="A3841" s="7" t="s">
        <v>33319</v>
      </c>
      <c r="B3841" s="8">
        <v>393.75</v>
      </c>
      <c r="C3841" s="8">
        <v>20.478950000000001</v>
      </c>
      <c r="D3841" s="8">
        <v>72</v>
      </c>
      <c r="E3841" s="8">
        <v>0</v>
      </c>
      <c r="F3841" s="8">
        <v>0</v>
      </c>
      <c r="G3841" s="8">
        <v>14</v>
      </c>
      <c r="H3841" s="8" t="s">
        <v>33320</v>
      </c>
      <c r="I3841" s="8">
        <v>526.6875</v>
      </c>
      <c r="J3841" s="3">
        <f t="shared" si="59"/>
        <v>43748.732132974539</v>
      </c>
    </row>
    <row r="3842" spans="1:10" x14ac:dyDescent="0.25">
      <c r="A3842" s="5" t="s">
        <v>33321</v>
      </c>
      <c r="B3842" s="6">
        <v>412.5</v>
      </c>
      <c r="C3842" s="6">
        <v>20.478950000000001</v>
      </c>
      <c r="D3842" s="6">
        <v>72</v>
      </c>
      <c r="E3842" s="6">
        <v>0</v>
      </c>
      <c r="F3842" s="6">
        <v>0</v>
      </c>
      <c r="G3842" s="6">
        <v>14</v>
      </c>
      <c r="H3842" s="6" t="s">
        <v>33322</v>
      </c>
      <c r="I3842" s="6">
        <v>532.3125</v>
      </c>
      <c r="J3842" s="2">
        <f t="shared" ref="J3842:J3905" si="60">(H3842/86400000)+25569+(7/24)</f>
        <v>43748.732204675922</v>
      </c>
    </row>
    <row r="3843" spans="1:10" x14ac:dyDescent="0.25">
      <c r="A3843" s="7" t="s">
        <v>33323</v>
      </c>
      <c r="B3843" s="8">
        <v>393.75</v>
      </c>
      <c r="C3843" s="8">
        <v>20.531590000000001</v>
      </c>
      <c r="D3843" s="8">
        <v>72</v>
      </c>
      <c r="E3843" s="8">
        <v>0</v>
      </c>
      <c r="F3843" s="8">
        <v>0</v>
      </c>
      <c r="G3843" s="8">
        <v>17</v>
      </c>
      <c r="H3843" s="8" t="s">
        <v>33324</v>
      </c>
      <c r="I3843" s="8">
        <v>526.6875</v>
      </c>
      <c r="J3843" s="3">
        <f t="shared" si="60"/>
        <v>43748.732276226852</v>
      </c>
    </row>
    <row r="3844" spans="1:10" x14ac:dyDescent="0.25">
      <c r="A3844" s="5" t="s">
        <v>33325</v>
      </c>
      <c r="B3844" s="6">
        <v>393.75</v>
      </c>
      <c r="C3844" s="6">
        <v>20.531590000000001</v>
      </c>
      <c r="D3844" s="6">
        <v>72</v>
      </c>
      <c r="E3844" s="6">
        <v>0</v>
      </c>
      <c r="F3844" s="6">
        <v>0</v>
      </c>
      <c r="G3844" s="6">
        <v>18</v>
      </c>
      <c r="H3844" s="6" t="s">
        <v>33326</v>
      </c>
      <c r="I3844" s="6">
        <v>526.6875</v>
      </c>
      <c r="J3844" s="2">
        <f t="shared" si="60"/>
        <v>43748.73234819444</v>
      </c>
    </row>
    <row r="3845" spans="1:10" x14ac:dyDescent="0.25">
      <c r="A3845" s="7" t="s">
        <v>33327</v>
      </c>
      <c r="B3845" s="8">
        <v>393.75</v>
      </c>
      <c r="C3845" s="8">
        <v>20.531590000000001</v>
      </c>
      <c r="D3845" s="8">
        <v>72</v>
      </c>
      <c r="E3845" s="8">
        <v>0</v>
      </c>
      <c r="F3845" s="8">
        <v>0</v>
      </c>
      <c r="G3845" s="8">
        <v>21</v>
      </c>
      <c r="H3845" s="8" t="s">
        <v>33328</v>
      </c>
      <c r="I3845" s="8">
        <v>526.5</v>
      </c>
      <c r="J3845" s="3">
        <f t="shared" si="60"/>
        <v>43748.732419733795</v>
      </c>
    </row>
    <row r="3846" spans="1:10" x14ac:dyDescent="0.25">
      <c r="A3846" s="5" t="s">
        <v>33329</v>
      </c>
      <c r="B3846" s="6">
        <v>415.625</v>
      </c>
      <c r="C3846" s="6">
        <v>20.584240000000001</v>
      </c>
      <c r="D3846" s="6">
        <v>72</v>
      </c>
      <c r="E3846" s="6">
        <v>0</v>
      </c>
      <c r="F3846" s="6">
        <v>0</v>
      </c>
      <c r="G3846" s="6">
        <v>15</v>
      </c>
      <c r="H3846" s="6" t="s">
        <v>33330</v>
      </c>
      <c r="I3846" s="6">
        <v>533.625</v>
      </c>
      <c r="J3846" s="2">
        <f t="shared" si="60"/>
        <v>43748.732491030089</v>
      </c>
    </row>
    <row r="3847" spans="1:10" x14ac:dyDescent="0.25">
      <c r="A3847" s="7" t="s">
        <v>33331</v>
      </c>
      <c r="B3847" s="8">
        <v>393.75</v>
      </c>
      <c r="C3847" s="8">
        <v>20.531590000000001</v>
      </c>
      <c r="D3847" s="8">
        <v>72</v>
      </c>
      <c r="E3847" s="8">
        <v>0</v>
      </c>
      <c r="F3847" s="8">
        <v>0</v>
      </c>
      <c r="G3847" s="8">
        <v>9</v>
      </c>
      <c r="H3847" s="8" t="s">
        <v>33332</v>
      </c>
      <c r="I3847" s="8">
        <v>526.6875</v>
      </c>
      <c r="J3847" s="3">
        <f t="shared" si="60"/>
        <v>43748.732562326382</v>
      </c>
    </row>
    <row r="3848" spans="1:10" x14ac:dyDescent="0.25">
      <c r="A3848" s="5" t="s">
        <v>33333</v>
      </c>
      <c r="B3848" s="6">
        <v>393.75</v>
      </c>
      <c r="C3848" s="6">
        <v>20.531590000000001</v>
      </c>
      <c r="D3848" s="6">
        <v>71</v>
      </c>
      <c r="E3848" s="6">
        <v>0</v>
      </c>
      <c r="F3848" s="6">
        <v>0</v>
      </c>
      <c r="G3848" s="6">
        <v>18</v>
      </c>
      <c r="H3848" s="6" t="s">
        <v>33334</v>
      </c>
      <c r="I3848" s="6">
        <v>526.6875</v>
      </c>
      <c r="J3848" s="2">
        <f t="shared" si="60"/>
        <v>43748.732634328706</v>
      </c>
    </row>
    <row r="3849" spans="1:10" x14ac:dyDescent="0.25">
      <c r="A3849" s="7" t="s">
        <v>33335</v>
      </c>
      <c r="B3849" s="8">
        <v>393.75</v>
      </c>
      <c r="C3849" s="8">
        <v>20.478950000000001</v>
      </c>
      <c r="D3849" s="8">
        <v>72</v>
      </c>
      <c r="E3849" s="8">
        <v>0</v>
      </c>
      <c r="F3849" s="8">
        <v>0</v>
      </c>
      <c r="G3849" s="8">
        <v>21</v>
      </c>
      <c r="H3849" s="8" t="s">
        <v>33336</v>
      </c>
      <c r="I3849" s="8">
        <v>526.6875</v>
      </c>
      <c r="J3849" s="3">
        <f t="shared" si="60"/>
        <v>43748.732705601848</v>
      </c>
    </row>
    <row r="3850" spans="1:10" x14ac:dyDescent="0.25">
      <c r="A3850" s="5" t="s">
        <v>33337</v>
      </c>
      <c r="B3850" s="6">
        <v>393.75</v>
      </c>
      <c r="C3850" s="6">
        <v>20.478950000000001</v>
      </c>
      <c r="D3850" s="6">
        <v>72</v>
      </c>
      <c r="E3850" s="6">
        <v>0</v>
      </c>
      <c r="F3850" s="6">
        <v>0</v>
      </c>
      <c r="G3850" s="6">
        <v>23</v>
      </c>
      <c r="H3850" s="6" t="s">
        <v>33338</v>
      </c>
      <c r="I3850" s="6">
        <v>526.6875</v>
      </c>
      <c r="J3850" s="2">
        <f t="shared" si="60"/>
        <v>43748.732777141202</v>
      </c>
    </row>
    <row r="3851" spans="1:10" x14ac:dyDescent="0.25">
      <c r="A3851" s="7" t="s">
        <v>33339</v>
      </c>
      <c r="B3851" s="8">
        <v>393.75</v>
      </c>
      <c r="C3851" s="8">
        <v>20.531590000000001</v>
      </c>
      <c r="D3851" s="8">
        <v>71</v>
      </c>
      <c r="E3851" s="8">
        <v>0</v>
      </c>
      <c r="F3851" s="8">
        <v>0</v>
      </c>
      <c r="G3851" s="8">
        <v>24</v>
      </c>
      <c r="H3851" s="8" t="s">
        <v>33340</v>
      </c>
      <c r="I3851" s="8">
        <v>526.6875</v>
      </c>
      <c r="J3851" s="3">
        <f t="shared" si="60"/>
        <v>43748.732849120366</v>
      </c>
    </row>
    <row r="3852" spans="1:10" x14ac:dyDescent="0.25">
      <c r="A3852" s="5" t="s">
        <v>33341</v>
      </c>
      <c r="B3852" s="6">
        <v>393.75</v>
      </c>
      <c r="C3852" s="6">
        <v>20.478950000000001</v>
      </c>
      <c r="D3852" s="6">
        <v>71</v>
      </c>
      <c r="E3852" s="6">
        <v>0</v>
      </c>
      <c r="F3852" s="6">
        <v>0</v>
      </c>
      <c r="G3852" s="6">
        <v>22</v>
      </c>
      <c r="H3852" s="6" t="s">
        <v>33342</v>
      </c>
      <c r="I3852" s="6">
        <v>526.6875</v>
      </c>
      <c r="J3852" s="2">
        <f t="shared" si="60"/>
        <v>43748.732944768512</v>
      </c>
    </row>
    <row r="3853" spans="1:10" x14ac:dyDescent="0.25">
      <c r="A3853" s="7" t="s">
        <v>33343</v>
      </c>
      <c r="B3853" s="8">
        <v>412.5</v>
      </c>
      <c r="C3853" s="8">
        <v>20.478950000000001</v>
      </c>
      <c r="D3853" s="8">
        <v>71</v>
      </c>
      <c r="E3853" s="8">
        <v>0</v>
      </c>
      <c r="F3853" s="8">
        <v>0</v>
      </c>
      <c r="G3853" s="8">
        <v>13</v>
      </c>
      <c r="H3853" s="8" t="s">
        <v>33344</v>
      </c>
      <c r="I3853" s="8">
        <v>532.5</v>
      </c>
      <c r="J3853" s="3">
        <f t="shared" si="60"/>
        <v>43748.733015694444</v>
      </c>
    </row>
    <row r="3854" spans="1:10" x14ac:dyDescent="0.25">
      <c r="A3854" s="5" t="s">
        <v>33345</v>
      </c>
      <c r="B3854" s="6">
        <v>393.75</v>
      </c>
      <c r="C3854" s="6">
        <v>20.478950000000001</v>
      </c>
      <c r="D3854" s="6">
        <v>71</v>
      </c>
      <c r="E3854" s="6">
        <v>0</v>
      </c>
      <c r="F3854" s="6">
        <v>0</v>
      </c>
      <c r="G3854" s="6">
        <v>21</v>
      </c>
      <c r="H3854" s="6" t="s">
        <v>33346</v>
      </c>
      <c r="I3854" s="6">
        <v>526.6875</v>
      </c>
      <c r="J3854" s="2">
        <f t="shared" si="60"/>
        <v>43748.733087337961</v>
      </c>
    </row>
    <row r="3855" spans="1:10" x14ac:dyDescent="0.25">
      <c r="A3855" s="7" t="s">
        <v>33347</v>
      </c>
      <c r="B3855" s="8">
        <v>393.75</v>
      </c>
      <c r="C3855" s="8">
        <v>20.531590000000001</v>
      </c>
      <c r="D3855" s="8">
        <v>71</v>
      </c>
      <c r="E3855" s="8">
        <v>0</v>
      </c>
      <c r="F3855" s="8">
        <v>0</v>
      </c>
      <c r="G3855" s="8">
        <v>25</v>
      </c>
      <c r="H3855" s="8" t="s">
        <v>33348</v>
      </c>
      <c r="I3855" s="8">
        <v>526.6875</v>
      </c>
      <c r="J3855" s="3">
        <f t="shared" si="60"/>
        <v>43748.733158622686</v>
      </c>
    </row>
    <row r="3856" spans="1:10" x14ac:dyDescent="0.25">
      <c r="A3856" s="5" t="s">
        <v>33349</v>
      </c>
      <c r="B3856" s="6">
        <v>393.75</v>
      </c>
      <c r="C3856" s="6">
        <v>20.531590000000001</v>
      </c>
      <c r="D3856" s="6">
        <v>69</v>
      </c>
      <c r="E3856" s="6">
        <v>0</v>
      </c>
      <c r="F3856" s="6">
        <v>0</v>
      </c>
      <c r="G3856" s="6">
        <v>19</v>
      </c>
      <c r="H3856" s="6" t="s">
        <v>33350</v>
      </c>
      <c r="I3856" s="6">
        <v>526.6875</v>
      </c>
      <c r="J3856" s="2">
        <f t="shared" si="60"/>
        <v>43748.733230428239</v>
      </c>
    </row>
    <row r="3857" spans="1:10" x14ac:dyDescent="0.25">
      <c r="A3857" s="7" t="s">
        <v>33351</v>
      </c>
      <c r="B3857" s="8">
        <v>393.75</v>
      </c>
      <c r="C3857" s="8">
        <v>20.531590000000001</v>
      </c>
      <c r="D3857" s="8">
        <v>70</v>
      </c>
      <c r="E3857" s="8">
        <v>0</v>
      </c>
      <c r="F3857" s="8">
        <v>0</v>
      </c>
      <c r="G3857" s="8">
        <v>20</v>
      </c>
      <c r="H3857" s="8" t="s">
        <v>33352</v>
      </c>
      <c r="I3857" s="8">
        <v>526.6875</v>
      </c>
      <c r="J3857" s="3">
        <f t="shared" si="60"/>
        <v>43748.733302442131</v>
      </c>
    </row>
    <row r="3858" spans="1:10" x14ac:dyDescent="0.25">
      <c r="A3858" s="5" t="s">
        <v>33353</v>
      </c>
      <c r="B3858" s="6">
        <v>393.75</v>
      </c>
      <c r="C3858" s="6">
        <v>20.478950000000001</v>
      </c>
      <c r="D3858" s="6">
        <v>70</v>
      </c>
      <c r="E3858" s="6">
        <v>0</v>
      </c>
      <c r="F3858" s="6">
        <v>0</v>
      </c>
      <c r="G3858" s="6">
        <v>18</v>
      </c>
      <c r="H3858" s="6" t="s">
        <v>33354</v>
      </c>
      <c r="I3858" s="6">
        <v>526.6875</v>
      </c>
      <c r="J3858" s="2">
        <f t="shared" si="60"/>
        <v>43748.733373090276</v>
      </c>
    </row>
    <row r="3859" spans="1:10" x14ac:dyDescent="0.25">
      <c r="A3859" s="7" t="s">
        <v>33355</v>
      </c>
      <c r="B3859" s="8">
        <v>393.75</v>
      </c>
      <c r="C3859" s="8">
        <v>20.531590000000001</v>
      </c>
      <c r="D3859" s="8">
        <v>71</v>
      </c>
      <c r="E3859" s="8">
        <v>0</v>
      </c>
      <c r="F3859" s="8">
        <v>0</v>
      </c>
      <c r="G3859" s="8">
        <v>19</v>
      </c>
      <c r="H3859" s="8" t="s">
        <v>33356</v>
      </c>
      <c r="I3859" s="8">
        <v>526.6875</v>
      </c>
      <c r="J3859" s="3">
        <f t="shared" si="60"/>
        <v>43748.733445254627</v>
      </c>
    </row>
    <row r="3860" spans="1:10" x14ac:dyDescent="0.25">
      <c r="A3860" s="5" t="s">
        <v>33357</v>
      </c>
      <c r="B3860" s="6">
        <v>393.75</v>
      </c>
      <c r="C3860" s="6">
        <v>20.584240000000001</v>
      </c>
      <c r="D3860" s="6">
        <v>71</v>
      </c>
      <c r="E3860" s="6">
        <v>0</v>
      </c>
      <c r="F3860" s="6">
        <v>0</v>
      </c>
      <c r="G3860" s="6">
        <v>6</v>
      </c>
      <c r="H3860" s="6" t="s">
        <v>33358</v>
      </c>
      <c r="I3860" s="6">
        <v>526.6875</v>
      </c>
      <c r="J3860" s="2">
        <f t="shared" si="60"/>
        <v>43748.733516840271</v>
      </c>
    </row>
    <row r="3861" spans="1:10" x14ac:dyDescent="0.25">
      <c r="A3861" s="7" t="s">
        <v>33359</v>
      </c>
      <c r="B3861" s="8">
        <v>393.75</v>
      </c>
      <c r="C3861" s="8">
        <v>20.478950000000001</v>
      </c>
      <c r="D3861" s="8">
        <v>71</v>
      </c>
      <c r="E3861" s="8">
        <v>0</v>
      </c>
      <c r="F3861" s="8">
        <v>0</v>
      </c>
      <c r="G3861" s="8">
        <v>23</v>
      </c>
      <c r="H3861" s="8" t="s">
        <v>33360</v>
      </c>
      <c r="I3861" s="8">
        <v>526.6875</v>
      </c>
      <c r="J3861" s="3">
        <f t="shared" si="60"/>
        <v>43748.733588553237</v>
      </c>
    </row>
    <row r="3862" spans="1:10" x14ac:dyDescent="0.25">
      <c r="A3862" s="5" t="s">
        <v>33361</v>
      </c>
      <c r="B3862" s="6">
        <v>393.75</v>
      </c>
      <c r="C3862" s="6">
        <v>20.478950000000001</v>
      </c>
      <c r="D3862" s="6">
        <v>74</v>
      </c>
      <c r="E3862" s="6">
        <v>0</v>
      </c>
      <c r="F3862" s="6">
        <v>0</v>
      </c>
      <c r="G3862" s="6">
        <v>16</v>
      </c>
      <c r="H3862" s="6" t="s">
        <v>33362</v>
      </c>
      <c r="I3862" s="6">
        <v>526.6875</v>
      </c>
      <c r="J3862" s="2">
        <f t="shared" si="60"/>
        <v>43748.733659849539</v>
      </c>
    </row>
    <row r="3863" spans="1:10" x14ac:dyDescent="0.25">
      <c r="A3863" s="7" t="s">
        <v>33363</v>
      </c>
      <c r="B3863" s="8">
        <v>393.75</v>
      </c>
      <c r="C3863" s="8">
        <v>20.478950000000001</v>
      </c>
      <c r="D3863" s="8">
        <v>74</v>
      </c>
      <c r="E3863" s="8">
        <v>0</v>
      </c>
      <c r="F3863" s="8">
        <v>0</v>
      </c>
      <c r="G3863" s="8">
        <v>10</v>
      </c>
      <c r="H3863" s="8" t="s">
        <v>33364</v>
      </c>
      <c r="I3863" s="8">
        <v>526.6875</v>
      </c>
      <c r="J3863" s="3">
        <f t="shared" si="60"/>
        <v>43748.733731296299</v>
      </c>
    </row>
    <row r="3864" spans="1:10" x14ac:dyDescent="0.25">
      <c r="A3864" s="5" t="s">
        <v>33365</v>
      </c>
      <c r="B3864" s="6">
        <v>393.75</v>
      </c>
      <c r="C3864" s="6">
        <v>20.531590000000001</v>
      </c>
      <c r="D3864" s="6">
        <v>73</v>
      </c>
      <c r="E3864" s="6">
        <v>0</v>
      </c>
      <c r="F3864" s="6">
        <v>0</v>
      </c>
      <c r="G3864" s="6">
        <v>22</v>
      </c>
      <c r="H3864" s="6" t="s">
        <v>33366</v>
      </c>
      <c r="I3864" s="6">
        <v>526.6875</v>
      </c>
      <c r="J3864" s="2">
        <f t="shared" si="60"/>
        <v>43748.733814652776</v>
      </c>
    </row>
    <row r="3865" spans="1:10" x14ac:dyDescent="0.25">
      <c r="A3865" s="7" t="s">
        <v>33367</v>
      </c>
      <c r="B3865" s="8">
        <v>400</v>
      </c>
      <c r="C3865" s="8">
        <v>20.531590000000001</v>
      </c>
      <c r="D3865" s="8">
        <v>71</v>
      </c>
      <c r="E3865" s="8">
        <v>0</v>
      </c>
      <c r="F3865" s="8">
        <v>0</v>
      </c>
      <c r="G3865" s="8">
        <v>18</v>
      </c>
      <c r="H3865" s="8" t="s">
        <v>33368</v>
      </c>
      <c r="I3865" s="8">
        <v>528.75</v>
      </c>
      <c r="J3865" s="3">
        <f t="shared" si="60"/>
        <v>43748.733886631941</v>
      </c>
    </row>
    <row r="3866" spans="1:10" x14ac:dyDescent="0.25">
      <c r="A3866" s="5" t="s">
        <v>33369</v>
      </c>
      <c r="B3866" s="6">
        <v>393.75</v>
      </c>
      <c r="C3866" s="6">
        <v>20.531590000000001</v>
      </c>
      <c r="D3866" s="6">
        <v>71</v>
      </c>
      <c r="E3866" s="6">
        <v>0</v>
      </c>
      <c r="F3866" s="6">
        <v>0</v>
      </c>
      <c r="G3866" s="6">
        <v>23</v>
      </c>
      <c r="H3866" s="6" t="s">
        <v>33370</v>
      </c>
      <c r="I3866" s="6">
        <v>526.6875</v>
      </c>
      <c r="J3866" s="2">
        <f t="shared" si="60"/>
        <v>43748.733957916666</v>
      </c>
    </row>
    <row r="3867" spans="1:10" x14ac:dyDescent="0.25">
      <c r="A3867" s="7" t="s">
        <v>33371</v>
      </c>
      <c r="B3867" s="8">
        <v>396.875</v>
      </c>
      <c r="C3867" s="8">
        <v>20.478950000000001</v>
      </c>
      <c r="D3867" s="8">
        <v>71</v>
      </c>
      <c r="E3867" s="8">
        <v>0</v>
      </c>
      <c r="F3867" s="8">
        <v>0</v>
      </c>
      <c r="G3867" s="8">
        <v>19</v>
      </c>
      <c r="H3867" s="8" t="s">
        <v>33372</v>
      </c>
      <c r="I3867" s="8">
        <v>527.4375</v>
      </c>
      <c r="J3867" s="3">
        <f t="shared" si="60"/>
        <v>43748.734029236111</v>
      </c>
    </row>
    <row r="3868" spans="1:10" x14ac:dyDescent="0.25">
      <c r="A3868" s="5" t="s">
        <v>33373</v>
      </c>
      <c r="B3868" s="6">
        <v>396.875</v>
      </c>
      <c r="C3868" s="6">
        <v>20.478950000000001</v>
      </c>
      <c r="D3868" s="6">
        <v>71</v>
      </c>
      <c r="E3868" s="6">
        <v>0</v>
      </c>
      <c r="F3868" s="6">
        <v>0</v>
      </c>
      <c r="G3868" s="6">
        <v>13</v>
      </c>
      <c r="H3868" s="6" t="s">
        <v>33374</v>
      </c>
      <c r="I3868" s="6">
        <v>527.4375</v>
      </c>
      <c r="J3868" s="2">
        <f t="shared" si="60"/>
        <v>43748.734100821755</v>
      </c>
    </row>
    <row r="3869" spans="1:10" x14ac:dyDescent="0.25">
      <c r="A3869" s="7" t="s">
        <v>33375</v>
      </c>
      <c r="B3869" s="8">
        <v>396.875</v>
      </c>
      <c r="C3869" s="8">
        <v>20.478950000000001</v>
      </c>
      <c r="D3869" s="8">
        <v>72</v>
      </c>
      <c r="E3869" s="8">
        <v>0</v>
      </c>
      <c r="F3869" s="8">
        <v>0</v>
      </c>
      <c r="G3869" s="8">
        <v>18</v>
      </c>
      <c r="H3869" s="8" t="s">
        <v>33376</v>
      </c>
      <c r="I3869" s="8">
        <v>527.25</v>
      </c>
      <c r="J3869" s="3">
        <f t="shared" si="60"/>
        <v>43748.734172800927</v>
      </c>
    </row>
    <row r="3870" spans="1:10" x14ac:dyDescent="0.25">
      <c r="A3870" s="5" t="s">
        <v>33377</v>
      </c>
      <c r="B3870" s="6">
        <v>396.875</v>
      </c>
      <c r="C3870" s="6">
        <v>20.478950000000001</v>
      </c>
      <c r="D3870" s="6">
        <v>71</v>
      </c>
      <c r="E3870" s="6">
        <v>0</v>
      </c>
      <c r="F3870" s="6">
        <v>0</v>
      </c>
      <c r="G3870" s="6">
        <v>23</v>
      </c>
      <c r="H3870" s="6" t="s">
        <v>33378</v>
      </c>
      <c r="I3870" s="6">
        <v>527.4375</v>
      </c>
      <c r="J3870" s="2">
        <f t="shared" si="60"/>
        <v>43748.734261388883</v>
      </c>
    </row>
    <row r="3871" spans="1:10" x14ac:dyDescent="0.25">
      <c r="A3871" s="7" t="s">
        <v>33379</v>
      </c>
      <c r="B3871" s="8">
        <v>396.875</v>
      </c>
      <c r="C3871" s="8">
        <v>20.531590000000001</v>
      </c>
      <c r="D3871" s="8">
        <v>70</v>
      </c>
      <c r="E3871" s="8">
        <v>0</v>
      </c>
      <c r="F3871" s="8">
        <v>0</v>
      </c>
      <c r="G3871" s="8">
        <v>31</v>
      </c>
      <c r="H3871" s="8" t="s">
        <v>33380</v>
      </c>
      <c r="I3871" s="8">
        <v>527.625</v>
      </c>
      <c r="J3871" s="3">
        <f t="shared" si="60"/>
        <v>43748.734339826384</v>
      </c>
    </row>
    <row r="3872" spans="1:10" x14ac:dyDescent="0.25">
      <c r="A3872" s="5" t="s">
        <v>33381</v>
      </c>
      <c r="B3872" s="6">
        <v>418.75</v>
      </c>
      <c r="C3872" s="6">
        <v>20.478950000000001</v>
      </c>
      <c r="D3872" s="6">
        <v>71</v>
      </c>
      <c r="E3872" s="6">
        <v>0</v>
      </c>
      <c r="F3872" s="6">
        <v>0</v>
      </c>
      <c r="G3872" s="6">
        <v>20</v>
      </c>
      <c r="H3872" s="6" t="s">
        <v>33382</v>
      </c>
      <c r="I3872" s="6">
        <v>534.5625</v>
      </c>
      <c r="J3872" s="2">
        <f t="shared" si="60"/>
        <v>43748.734411006946</v>
      </c>
    </row>
    <row r="3873" spans="1:10" x14ac:dyDescent="0.25">
      <c r="A3873" s="7" t="s">
        <v>33383</v>
      </c>
      <c r="B3873" s="8">
        <v>396.875</v>
      </c>
      <c r="C3873" s="8">
        <v>20.478950000000001</v>
      </c>
      <c r="D3873" s="8">
        <v>72</v>
      </c>
      <c r="E3873" s="8">
        <v>0</v>
      </c>
      <c r="F3873" s="8">
        <v>0</v>
      </c>
      <c r="G3873" s="8">
        <v>25</v>
      </c>
      <c r="H3873" s="8" t="s">
        <v>33384</v>
      </c>
      <c r="I3873" s="8">
        <v>527.4375</v>
      </c>
      <c r="J3873" s="3">
        <f t="shared" si="60"/>
        <v>43748.73448298611</v>
      </c>
    </row>
    <row r="3874" spans="1:10" x14ac:dyDescent="0.25">
      <c r="A3874" s="5" t="s">
        <v>33385</v>
      </c>
      <c r="B3874" s="6">
        <v>396.875</v>
      </c>
      <c r="C3874" s="6">
        <v>20.531590000000001</v>
      </c>
      <c r="D3874" s="6">
        <v>72</v>
      </c>
      <c r="E3874" s="6">
        <v>0</v>
      </c>
      <c r="F3874" s="6">
        <v>0</v>
      </c>
      <c r="G3874" s="6">
        <v>23</v>
      </c>
      <c r="H3874" s="6" t="s">
        <v>33386</v>
      </c>
      <c r="I3874" s="6">
        <v>527.4375</v>
      </c>
      <c r="J3874" s="2">
        <f t="shared" si="60"/>
        <v>43748.73455429398</v>
      </c>
    </row>
    <row r="3875" spans="1:10" x14ac:dyDescent="0.25">
      <c r="A3875" s="7" t="s">
        <v>33387</v>
      </c>
      <c r="B3875" s="8">
        <v>393.75</v>
      </c>
      <c r="C3875" s="8">
        <v>20.478950000000001</v>
      </c>
      <c r="D3875" s="8">
        <v>73</v>
      </c>
      <c r="E3875" s="8">
        <v>0</v>
      </c>
      <c r="F3875" s="8">
        <v>0</v>
      </c>
      <c r="G3875" s="8">
        <v>20</v>
      </c>
      <c r="H3875" s="8" t="s">
        <v>33388</v>
      </c>
      <c r="I3875" s="8">
        <v>526.6875</v>
      </c>
      <c r="J3875" s="3">
        <f t="shared" si="60"/>
        <v>43748.73463785879</v>
      </c>
    </row>
    <row r="3876" spans="1:10" x14ac:dyDescent="0.25">
      <c r="A3876" s="5" t="s">
        <v>33389</v>
      </c>
      <c r="B3876" s="6">
        <v>393.75</v>
      </c>
      <c r="C3876" s="6">
        <v>20.478950000000001</v>
      </c>
      <c r="D3876" s="6">
        <v>73</v>
      </c>
      <c r="E3876" s="6">
        <v>0</v>
      </c>
      <c r="F3876" s="6">
        <v>0</v>
      </c>
      <c r="G3876" s="6">
        <v>19</v>
      </c>
      <c r="H3876" s="6" t="s">
        <v>33390</v>
      </c>
      <c r="I3876" s="6">
        <v>526.6875</v>
      </c>
      <c r="J3876" s="2">
        <f t="shared" si="60"/>
        <v>43748.734709212957</v>
      </c>
    </row>
    <row r="3877" spans="1:10" x14ac:dyDescent="0.25">
      <c r="A3877" s="7" t="s">
        <v>33391</v>
      </c>
      <c r="B3877" s="8">
        <v>393.75</v>
      </c>
      <c r="C3877" s="8">
        <v>20.478950000000001</v>
      </c>
      <c r="D3877" s="8">
        <v>73</v>
      </c>
      <c r="E3877" s="8">
        <v>0</v>
      </c>
      <c r="F3877" s="8">
        <v>0</v>
      </c>
      <c r="G3877" s="8">
        <v>15</v>
      </c>
      <c r="H3877" s="8" t="s">
        <v>33392</v>
      </c>
      <c r="I3877" s="8">
        <v>526.6875</v>
      </c>
      <c r="J3877" s="3">
        <f t="shared" si="60"/>
        <v>43748.734781145831</v>
      </c>
    </row>
    <row r="3878" spans="1:10" x14ac:dyDescent="0.25">
      <c r="A3878" s="5" t="s">
        <v>33393</v>
      </c>
      <c r="B3878" s="6">
        <v>393.75</v>
      </c>
      <c r="C3878" s="6">
        <v>20.531590000000001</v>
      </c>
      <c r="D3878" s="6">
        <v>73</v>
      </c>
      <c r="E3878" s="6">
        <v>0</v>
      </c>
      <c r="F3878" s="6">
        <v>0</v>
      </c>
      <c r="G3878" s="6">
        <v>19</v>
      </c>
      <c r="H3878" s="6" t="s">
        <v>33394</v>
      </c>
      <c r="I3878" s="6">
        <v>526.6875</v>
      </c>
      <c r="J3878" s="2">
        <f t="shared" si="60"/>
        <v>43748.734852499998</v>
      </c>
    </row>
    <row r="3879" spans="1:10" x14ac:dyDescent="0.25">
      <c r="A3879" s="7" t="s">
        <v>33395</v>
      </c>
      <c r="B3879" s="8">
        <v>393.75</v>
      </c>
      <c r="C3879" s="8">
        <v>20.531590000000001</v>
      </c>
      <c r="D3879" s="8">
        <v>73</v>
      </c>
      <c r="E3879" s="8">
        <v>0</v>
      </c>
      <c r="F3879" s="8">
        <v>0</v>
      </c>
      <c r="G3879" s="8">
        <v>19</v>
      </c>
      <c r="H3879" s="8" t="s">
        <v>33396</v>
      </c>
      <c r="I3879" s="8">
        <v>526.5</v>
      </c>
      <c r="J3879" s="3">
        <f t="shared" si="60"/>
        <v>43748.734926585646</v>
      </c>
    </row>
    <row r="3880" spans="1:10" x14ac:dyDescent="0.25">
      <c r="A3880" s="5" t="s">
        <v>33397</v>
      </c>
      <c r="B3880" s="6">
        <v>393.75</v>
      </c>
      <c r="C3880" s="6">
        <v>20.478950000000001</v>
      </c>
      <c r="D3880" s="6">
        <v>74</v>
      </c>
      <c r="E3880" s="6">
        <v>0</v>
      </c>
      <c r="F3880" s="6">
        <v>0</v>
      </c>
      <c r="G3880" s="6">
        <v>17</v>
      </c>
      <c r="H3880" s="6" t="s">
        <v>33398</v>
      </c>
      <c r="I3880" s="6">
        <v>526.6875</v>
      </c>
      <c r="J3880" s="2">
        <f t="shared" si="60"/>
        <v>43748.735007303236</v>
      </c>
    </row>
    <row r="3881" spans="1:10" x14ac:dyDescent="0.25">
      <c r="A3881" s="7" t="s">
        <v>33399</v>
      </c>
      <c r="B3881" s="8">
        <v>393.75</v>
      </c>
      <c r="C3881" s="8">
        <v>20.478950000000001</v>
      </c>
      <c r="D3881" s="8">
        <v>75</v>
      </c>
      <c r="E3881" s="8">
        <v>0</v>
      </c>
      <c r="F3881" s="8">
        <v>0</v>
      </c>
      <c r="G3881" s="8">
        <v>20</v>
      </c>
      <c r="H3881" s="8" t="s">
        <v>33400</v>
      </c>
      <c r="I3881" s="8">
        <v>526.6875</v>
      </c>
      <c r="J3881" s="3">
        <f t="shared" si="60"/>
        <v>43748.735079201382</v>
      </c>
    </row>
    <row r="3882" spans="1:10" x14ac:dyDescent="0.25">
      <c r="A3882" s="5" t="s">
        <v>33401</v>
      </c>
      <c r="B3882" s="6">
        <v>393.75</v>
      </c>
      <c r="C3882" s="6">
        <v>20.531590000000001</v>
      </c>
      <c r="D3882" s="6">
        <v>75</v>
      </c>
      <c r="E3882" s="6">
        <v>0</v>
      </c>
      <c r="F3882" s="6">
        <v>0</v>
      </c>
      <c r="G3882" s="6">
        <v>15</v>
      </c>
      <c r="H3882" s="6" t="s">
        <v>33402</v>
      </c>
      <c r="I3882" s="6">
        <v>526.6875</v>
      </c>
      <c r="J3882" s="2">
        <f t="shared" si="60"/>
        <v>43748.735162430552</v>
      </c>
    </row>
    <row r="3883" spans="1:10" x14ac:dyDescent="0.25">
      <c r="A3883" s="7" t="s">
        <v>33403</v>
      </c>
      <c r="B3883" s="8">
        <v>393.75</v>
      </c>
      <c r="C3883" s="8">
        <v>20.531590000000001</v>
      </c>
      <c r="D3883" s="8">
        <v>75</v>
      </c>
      <c r="E3883" s="8">
        <v>0</v>
      </c>
      <c r="F3883" s="8">
        <v>0</v>
      </c>
      <c r="G3883" s="8">
        <v>21</v>
      </c>
      <c r="H3883" s="8" t="s">
        <v>33404</v>
      </c>
      <c r="I3883" s="8">
        <v>526.6875</v>
      </c>
      <c r="J3883" s="3">
        <f t="shared" si="60"/>
        <v>43748.735245648146</v>
      </c>
    </row>
    <row r="3884" spans="1:10" x14ac:dyDescent="0.25">
      <c r="A3884" s="5" t="s">
        <v>33405</v>
      </c>
      <c r="B3884" s="6">
        <v>393.75</v>
      </c>
      <c r="C3884" s="6">
        <v>20.584240000000001</v>
      </c>
      <c r="D3884" s="6">
        <v>74</v>
      </c>
      <c r="E3884" s="6">
        <v>0</v>
      </c>
      <c r="F3884" s="6">
        <v>0</v>
      </c>
      <c r="G3884" s="6">
        <v>32</v>
      </c>
      <c r="H3884" s="6" t="s">
        <v>33406</v>
      </c>
      <c r="I3884" s="6">
        <v>526.6875</v>
      </c>
      <c r="J3884" s="2">
        <f t="shared" si="60"/>
        <v>43748.735317418978</v>
      </c>
    </row>
    <row r="3885" spans="1:10" x14ac:dyDescent="0.25">
      <c r="A3885" s="7" t="s">
        <v>33407</v>
      </c>
      <c r="B3885" s="8">
        <v>393.75</v>
      </c>
      <c r="C3885" s="8">
        <v>20.478950000000001</v>
      </c>
      <c r="D3885" s="8">
        <v>74</v>
      </c>
      <c r="E3885" s="8">
        <v>0</v>
      </c>
      <c r="F3885" s="8">
        <v>0</v>
      </c>
      <c r="G3885" s="8">
        <v>19</v>
      </c>
      <c r="H3885" s="8" t="s">
        <v>33408</v>
      </c>
      <c r="I3885" s="8">
        <v>526.6875</v>
      </c>
      <c r="J3885" s="3">
        <f t="shared" si="60"/>
        <v>43748.735412847222</v>
      </c>
    </row>
    <row r="3886" spans="1:10" x14ac:dyDescent="0.25">
      <c r="A3886" s="5" t="s">
        <v>33409</v>
      </c>
      <c r="B3886" s="6">
        <v>393.75</v>
      </c>
      <c r="C3886" s="6">
        <v>20.584240000000001</v>
      </c>
      <c r="D3886" s="6">
        <v>74</v>
      </c>
      <c r="E3886" s="6">
        <v>0</v>
      </c>
      <c r="F3886" s="6">
        <v>0</v>
      </c>
      <c r="G3886" s="6">
        <v>24</v>
      </c>
      <c r="H3886" s="6" t="s">
        <v>33410</v>
      </c>
      <c r="I3886" s="6">
        <v>526.6875</v>
      </c>
      <c r="J3886" s="2">
        <f t="shared" si="60"/>
        <v>43748.735496284724</v>
      </c>
    </row>
    <row r="3887" spans="1:10" x14ac:dyDescent="0.25">
      <c r="A3887" s="7" t="s">
        <v>33411</v>
      </c>
      <c r="B3887" s="8">
        <v>393.75</v>
      </c>
      <c r="C3887" s="8">
        <v>20.531590000000001</v>
      </c>
      <c r="D3887" s="8">
        <v>74</v>
      </c>
      <c r="E3887" s="8">
        <v>0</v>
      </c>
      <c r="F3887" s="8">
        <v>0</v>
      </c>
      <c r="G3887" s="8">
        <v>18</v>
      </c>
      <c r="H3887" s="8" t="s">
        <v>33412</v>
      </c>
      <c r="I3887" s="8">
        <v>526.6875</v>
      </c>
      <c r="J3887" s="3">
        <f t="shared" si="60"/>
        <v>43748.73556804398</v>
      </c>
    </row>
    <row r="3888" spans="1:10" x14ac:dyDescent="0.25">
      <c r="A3888" s="5" t="s">
        <v>33413</v>
      </c>
      <c r="B3888" s="6">
        <v>393.75</v>
      </c>
      <c r="C3888" s="6">
        <v>20.531590000000001</v>
      </c>
      <c r="D3888" s="6">
        <v>73</v>
      </c>
      <c r="E3888" s="6">
        <v>0</v>
      </c>
      <c r="F3888" s="6">
        <v>0</v>
      </c>
      <c r="G3888" s="6">
        <v>20</v>
      </c>
      <c r="H3888" s="6" t="s">
        <v>33414</v>
      </c>
      <c r="I3888" s="6">
        <v>526.6875</v>
      </c>
      <c r="J3888" s="2">
        <f t="shared" si="60"/>
        <v>43748.735639479164</v>
      </c>
    </row>
    <row r="3889" spans="1:10" x14ac:dyDescent="0.25">
      <c r="A3889" s="7" t="s">
        <v>33415</v>
      </c>
      <c r="B3889" s="8">
        <v>393.75</v>
      </c>
      <c r="C3889" s="8">
        <v>20.531590000000001</v>
      </c>
      <c r="D3889" s="8">
        <v>75</v>
      </c>
      <c r="E3889" s="8">
        <v>0</v>
      </c>
      <c r="F3889" s="8">
        <v>0</v>
      </c>
      <c r="G3889" s="8">
        <v>28</v>
      </c>
      <c r="H3889" s="8" t="s">
        <v>33416</v>
      </c>
      <c r="I3889" s="8">
        <v>526.6875</v>
      </c>
      <c r="J3889" s="3">
        <f t="shared" si="60"/>
        <v>43748.735722800928</v>
      </c>
    </row>
    <row r="3890" spans="1:10" x14ac:dyDescent="0.25">
      <c r="A3890" s="5" t="s">
        <v>33417</v>
      </c>
      <c r="B3890" s="6">
        <v>393.75</v>
      </c>
      <c r="C3890" s="6">
        <v>20.478950000000001</v>
      </c>
      <c r="D3890" s="6">
        <v>74</v>
      </c>
      <c r="E3890" s="6">
        <v>0</v>
      </c>
      <c r="F3890" s="6">
        <v>0</v>
      </c>
      <c r="G3890" s="6">
        <v>22</v>
      </c>
      <c r="H3890" s="6" t="s">
        <v>33418</v>
      </c>
      <c r="I3890" s="6">
        <v>526.6875</v>
      </c>
      <c r="J3890" s="2">
        <f t="shared" si="60"/>
        <v>43748.735806365738</v>
      </c>
    </row>
    <row r="3891" spans="1:10" x14ac:dyDescent="0.25">
      <c r="A3891" s="7" t="s">
        <v>33419</v>
      </c>
      <c r="B3891" s="8">
        <v>393.75</v>
      </c>
      <c r="C3891" s="8">
        <v>20.531590000000001</v>
      </c>
      <c r="D3891" s="8">
        <v>72</v>
      </c>
      <c r="E3891" s="8">
        <v>0</v>
      </c>
      <c r="F3891" s="8">
        <v>0</v>
      </c>
      <c r="G3891" s="8">
        <v>20</v>
      </c>
      <c r="H3891" s="8" t="s">
        <v>33420</v>
      </c>
      <c r="I3891" s="8">
        <v>526.6875</v>
      </c>
      <c r="J3891" s="3">
        <f t="shared" si="60"/>
        <v>43748.735878009255</v>
      </c>
    </row>
    <row r="3892" spans="1:10" x14ac:dyDescent="0.25">
      <c r="A3892" s="5" t="s">
        <v>33421</v>
      </c>
      <c r="B3892" s="6">
        <v>393.75</v>
      </c>
      <c r="C3892" s="6">
        <v>20.531590000000001</v>
      </c>
      <c r="D3892" s="6">
        <v>73</v>
      </c>
      <c r="E3892" s="6">
        <v>0</v>
      </c>
      <c r="F3892" s="6">
        <v>0</v>
      </c>
      <c r="G3892" s="6">
        <v>26</v>
      </c>
      <c r="H3892" s="6" t="s">
        <v>33422</v>
      </c>
      <c r="I3892" s="6">
        <v>526.6875</v>
      </c>
      <c r="J3892" s="2">
        <f t="shared" si="60"/>
        <v>43748.735961458333</v>
      </c>
    </row>
    <row r="3893" spans="1:10" x14ac:dyDescent="0.25">
      <c r="A3893" s="7" t="s">
        <v>33423</v>
      </c>
      <c r="B3893" s="8">
        <v>393.75</v>
      </c>
      <c r="C3893" s="8">
        <v>20.584240000000001</v>
      </c>
      <c r="D3893" s="8">
        <v>73</v>
      </c>
      <c r="E3893" s="8">
        <v>0</v>
      </c>
      <c r="F3893" s="8">
        <v>0</v>
      </c>
      <c r="G3893" s="8">
        <v>23</v>
      </c>
      <c r="H3893" s="8" t="s">
        <v>33424</v>
      </c>
      <c r="I3893" s="8">
        <v>526.6875</v>
      </c>
      <c r="J3893" s="3">
        <f t="shared" si="60"/>
        <v>43748.736045034719</v>
      </c>
    </row>
    <row r="3894" spans="1:10" x14ac:dyDescent="0.25">
      <c r="A3894" s="5" t="s">
        <v>33425</v>
      </c>
      <c r="B3894" s="6">
        <v>393.75</v>
      </c>
      <c r="C3894" s="6">
        <v>20.478950000000001</v>
      </c>
      <c r="D3894" s="6">
        <v>73</v>
      </c>
      <c r="E3894" s="6">
        <v>0</v>
      </c>
      <c r="F3894" s="6">
        <v>0</v>
      </c>
      <c r="G3894" s="6">
        <v>29</v>
      </c>
      <c r="H3894" s="6" t="s">
        <v>33426</v>
      </c>
      <c r="I3894" s="6">
        <v>526.6875</v>
      </c>
      <c r="J3894" s="2">
        <f t="shared" si="60"/>
        <v>43748.736128368058</v>
      </c>
    </row>
    <row r="3895" spans="1:10" x14ac:dyDescent="0.25">
      <c r="A3895" s="7" t="s">
        <v>33427</v>
      </c>
      <c r="B3895" s="8">
        <v>393.75</v>
      </c>
      <c r="C3895" s="8">
        <v>20.478950000000001</v>
      </c>
      <c r="D3895" s="8">
        <v>73</v>
      </c>
      <c r="E3895" s="8">
        <v>0</v>
      </c>
      <c r="F3895" s="8">
        <v>0</v>
      </c>
      <c r="G3895" s="8">
        <v>28</v>
      </c>
      <c r="H3895" s="8" t="s">
        <v>33428</v>
      </c>
      <c r="I3895" s="8">
        <v>526.6875</v>
      </c>
      <c r="J3895" s="3">
        <f t="shared" si="60"/>
        <v>43748.736211689808</v>
      </c>
    </row>
    <row r="3896" spans="1:10" x14ac:dyDescent="0.25">
      <c r="A3896" s="5" t="s">
        <v>33429</v>
      </c>
      <c r="B3896" s="6">
        <v>393.75</v>
      </c>
      <c r="C3896" s="6">
        <v>20.478950000000001</v>
      </c>
      <c r="D3896" s="6">
        <v>73</v>
      </c>
      <c r="E3896" s="6">
        <v>0</v>
      </c>
      <c r="F3896" s="6">
        <v>0</v>
      </c>
      <c r="G3896" s="6">
        <v>20</v>
      </c>
      <c r="H3896" s="6" t="s">
        <v>33430</v>
      </c>
      <c r="I3896" s="6">
        <v>526.6875</v>
      </c>
      <c r="J3896" s="2">
        <f t="shared" si="60"/>
        <v>43748.736295428236</v>
      </c>
    </row>
    <row r="3897" spans="1:10" x14ac:dyDescent="0.25">
      <c r="A3897" s="7" t="s">
        <v>33431</v>
      </c>
      <c r="B3897" s="8">
        <v>393.75</v>
      </c>
      <c r="C3897" s="8">
        <v>20.478950000000001</v>
      </c>
      <c r="D3897" s="8">
        <v>72</v>
      </c>
      <c r="E3897" s="8">
        <v>0</v>
      </c>
      <c r="F3897" s="8">
        <v>0</v>
      </c>
      <c r="G3897" s="8">
        <v>19</v>
      </c>
      <c r="H3897" s="8" t="s">
        <v>33432</v>
      </c>
      <c r="I3897" s="8">
        <v>526.5</v>
      </c>
      <c r="J3897" s="3">
        <f t="shared" si="60"/>
        <v>43748.736379050919</v>
      </c>
    </row>
    <row r="3898" spans="1:10" x14ac:dyDescent="0.25">
      <c r="A3898" s="5" t="s">
        <v>33433</v>
      </c>
      <c r="B3898" s="6">
        <v>415.625</v>
      </c>
      <c r="C3898" s="6">
        <v>20.531590000000001</v>
      </c>
      <c r="D3898" s="6">
        <v>73</v>
      </c>
      <c r="E3898" s="6">
        <v>0</v>
      </c>
      <c r="F3898" s="6">
        <v>0</v>
      </c>
      <c r="G3898" s="6">
        <v>20</v>
      </c>
      <c r="H3898" s="6" t="s">
        <v>33434</v>
      </c>
      <c r="I3898" s="6">
        <v>533.0625</v>
      </c>
      <c r="J3898" s="2">
        <f t="shared" si="60"/>
        <v>43748.736450462959</v>
      </c>
    </row>
    <row r="3899" spans="1:10" x14ac:dyDescent="0.25">
      <c r="A3899" s="7" t="s">
        <v>33435</v>
      </c>
      <c r="B3899" s="8">
        <v>396.875</v>
      </c>
      <c r="C3899" s="8">
        <v>20.584240000000001</v>
      </c>
      <c r="D3899" s="8">
        <v>73</v>
      </c>
      <c r="E3899" s="8">
        <v>0</v>
      </c>
      <c r="F3899" s="8">
        <v>0</v>
      </c>
      <c r="G3899" s="8">
        <v>28</v>
      </c>
      <c r="H3899" s="8" t="s">
        <v>33436</v>
      </c>
      <c r="I3899" s="8">
        <v>527.4375</v>
      </c>
      <c r="J3899" s="3">
        <f t="shared" si="60"/>
        <v>43748.736533900461</v>
      </c>
    </row>
    <row r="3900" spans="1:10" x14ac:dyDescent="0.25">
      <c r="A3900" s="5" t="s">
        <v>33437</v>
      </c>
      <c r="B3900" s="6">
        <v>396.875</v>
      </c>
      <c r="C3900" s="6">
        <v>20.478950000000001</v>
      </c>
      <c r="D3900" s="6">
        <v>73</v>
      </c>
      <c r="E3900" s="6">
        <v>0</v>
      </c>
      <c r="F3900" s="6">
        <v>0</v>
      </c>
      <c r="G3900" s="6">
        <v>21</v>
      </c>
      <c r="H3900" s="6" t="s">
        <v>33438</v>
      </c>
      <c r="I3900" s="6">
        <v>527.4375</v>
      </c>
      <c r="J3900" s="2">
        <f t="shared" si="60"/>
        <v>43748.736617372684</v>
      </c>
    </row>
    <row r="3901" spans="1:10" x14ac:dyDescent="0.25">
      <c r="A3901" s="7" t="s">
        <v>33439</v>
      </c>
      <c r="B3901" s="8">
        <v>393.75</v>
      </c>
      <c r="C3901" s="8">
        <v>20.478950000000001</v>
      </c>
      <c r="D3901" s="8">
        <v>73</v>
      </c>
      <c r="E3901" s="8">
        <v>0</v>
      </c>
      <c r="F3901" s="8">
        <v>0</v>
      </c>
      <c r="G3901" s="8">
        <v>16</v>
      </c>
      <c r="H3901" s="8" t="s">
        <v>33440</v>
      </c>
      <c r="I3901" s="8">
        <v>526.6875</v>
      </c>
      <c r="J3901" s="3">
        <f t="shared" si="60"/>
        <v>43748.736688796293</v>
      </c>
    </row>
    <row r="3902" spans="1:10" x14ac:dyDescent="0.25">
      <c r="A3902" s="5" t="s">
        <v>33441</v>
      </c>
      <c r="B3902" s="6">
        <v>396.875</v>
      </c>
      <c r="C3902" s="6">
        <v>20.478950000000001</v>
      </c>
      <c r="D3902" s="6">
        <v>71</v>
      </c>
      <c r="E3902" s="6">
        <v>0</v>
      </c>
      <c r="F3902" s="6">
        <v>0</v>
      </c>
      <c r="G3902" s="6">
        <v>19</v>
      </c>
      <c r="H3902" s="6" t="s">
        <v>33442</v>
      </c>
      <c r="I3902" s="6">
        <v>527.4375</v>
      </c>
      <c r="J3902" s="2">
        <f t="shared" si="60"/>
        <v>43748.736772442127</v>
      </c>
    </row>
    <row r="3903" spans="1:10" x14ac:dyDescent="0.25">
      <c r="A3903" s="7" t="s">
        <v>33443</v>
      </c>
      <c r="B3903" s="8">
        <v>393.75</v>
      </c>
      <c r="C3903" s="8">
        <v>20.478950000000001</v>
      </c>
      <c r="D3903" s="8">
        <v>72</v>
      </c>
      <c r="E3903" s="8">
        <v>0</v>
      </c>
      <c r="F3903" s="8">
        <v>0</v>
      </c>
      <c r="G3903" s="8">
        <v>17</v>
      </c>
      <c r="H3903" s="8" t="s">
        <v>33444</v>
      </c>
      <c r="I3903" s="8">
        <v>526.6875</v>
      </c>
      <c r="J3903" s="3">
        <f t="shared" si="60"/>
        <v>43748.736843981482</v>
      </c>
    </row>
    <row r="3904" spans="1:10" x14ac:dyDescent="0.25">
      <c r="A3904" s="5" t="s">
        <v>33445</v>
      </c>
      <c r="B3904" s="6">
        <v>412.5</v>
      </c>
      <c r="C3904" s="6">
        <v>20.531590000000001</v>
      </c>
      <c r="D3904" s="6">
        <v>71</v>
      </c>
      <c r="E3904" s="6">
        <v>0</v>
      </c>
      <c r="F3904" s="6">
        <v>0</v>
      </c>
      <c r="G3904" s="6">
        <v>19</v>
      </c>
      <c r="H3904" s="6" t="s">
        <v>33446</v>
      </c>
      <c r="I3904" s="6">
        <v>532.3125</v>
      </c>
      <c r="J3904" s="2">
        <f t="shared" si="60"/>
        <v>43748.73691540509</v>
      </c>
    </row>
    <row r="3905" spans="1:10" x14ac:dyDescent="0.25">
      <c r="A3905" s="7" t="s">
        <v>33447</v>
      </c>
      <c r="B3905" s="8">
        <v>393.75</v>
      </c>
      <c r="C3905" s="8">
        <v>20.478950000000001</v>
      </c>
      <c r="D3905" s="8">
        <v>70</v>
      </c>
      <c r="E3905" s="8">
        <v>0</v>
      </c>
      <c r="F3905" s="8">
        <v>0</v>
      </c>
      <c r="G3905" s="8">
        <v>12</v>
      </c>
      <c r="H3905" s="8" t="s">
        <v>33448</v>
      </c>
      <c r="I3905" s="8">
        <v>526.6875</v>
      </c>
      <c r="J3905" s="3">
        <f t="shared" si="60"/>
        <v>43748.736987175922</v>
      </c>
    </row>
    <row r="3906" spans="1:10" x14ac:dyDescent="0.25">
      <c r="A3906" s="5" t="s">
        <v>33449</v>
      </c>
      <c r="B3906" s="6">
        <v>393.75</v>
      </c>
      <c r="C3906" s="6">
        <v>20.531590000000001</v>
      </c>
      <c r="D3906" s="6">
        <v>70</v>
      </c>
      <c r="E3906" s="6">
        <v>0</v>
      </c>
      <c r="F3906" s="6">
        <v>0</v>
      </c>
      <c r="G3906" s="6">
        <v>21</v>
      </c>
      <c r="H3906" s="6" t="s">
        <v>33450</v>
      </c>
      <c r="I3906" s="6">
        <v>526.6875</v>
      </c>
      <c r="J3906" s="2">
        <f t="shared" ref="J3906:J3969" si="61">(H3906/86400000)+25569+(7/24)</f>
        <v>43748.737070590279</v>
      </c>
    </row>
    <row r="3907" spans="1:10" x14ac:dyDescent="0.25">
      <c r="A3907" s="7" t="s">
        <v>33451</v>
      </c>
      <c r="B3907" s="8">
        <v>393.75</v>
      </c>
      <c r="C3907" s="8">
        <v>20.478950000000001</v>
      </c>
      <c r="D3907" s="8">
        <v>70</v>
      </c>
      <c r="E3907" s="8">
        <v>0</v>
      </c>
      <c r="F3907" s="8">
        <v>0</v>
      </c>
      <c r="G3907" s="8">
        <v>17</v>
      </c>
      <c r="H3907" s="8" t="s">
        <v>33452</v>
      </c>
      <c r="I3907" s="8">
        <v>526.6875</v>
      </c>
      <c r="J3907" s="3">
        <f t="shared" si="61"/>
        <v>43748.737154131937</v>
      </c>
    </row>
    <row r="3908" spans="1:10" x14ac:dyDescent="0.25">
      <c r="A3908" s="5" t="s">
        <v>33453</v>
      </c>
      <c r="B3908" s="6">
        <v>396.875</v>
      </c>
      <c r="C3908" s="6">
        <v>20.478950000000001</v>
      </c>
      <c r="D3908" s="6">
        <v>70</v>
      </c>
      <c r="E3908" s="6">
        <v>0</v>
      </c>
      <c r="F3908" s="6">
        <v>0</v>
      </c>
      <c r="G3908" s="6">
        <v>14</v>
      </c>
      <c r="H3908" s="6" t="s">
        <v>33454</v>
      </c>
      <c r="I3908" s="6">
        <v>527.4375</v>
      </c>
      <c r="J3908" s="2">
        <f t="shared" si="61"/>
        <v>43748.737237604168</v>
      </c>
    </row>
    <row r="3909" spans="1:10" x14ac:dyDescent="0.25">
      <c r="A3909" s="7" t="s">
        <v>33455</v>
      </c>
      <c r="B3909" s="8">
        <v>400</v>
      </c>
      <c r="C3909" s="8">
        <v>20.531590000000001</v>
      </c>
      <c r="D3909" s="8">
        <v>69</v>
      </c>
      <c r="E3909" s="8">
        <v>0</v>
      </c>
      <c r="F3909" s="8">
        <v>0</v>
      </c>
      <c r="G3909" s="8">
        <v>22</v>
      </c>
      <c r="H3909" s="8" t="s">
        <v>33456</v>
      </c>
      <c r="I3909" s="8">
        <v>528.1875</v>
      </c>
      <c r="J3909" s="3">
        <f t="shared" si="61"/>
        <v>43748.737321064815</v>
      </c>
    </row>
    <row r="3910" spans="1:10" x14ac:dyDescent="0.25">
      <c r="A3910" s="5" t="s">
        <v>33457</v>
      </c>
      <c r="B3910" s="6">
        <v>400</v>
      </c>
      <c r="C3910" s="6">
        <v>20.531590000000001</v>
      </c>
      <c r="D3910" s="6">
        <v>69</v>
      </c>
      <c r="E3910" s="6">
        <v>0</v>
      </c>
      <c r="F3910" s="6">
        <v>0</v>
      </c>
      <c r="G3910" s="6">
        <v>20</v>
      </c>
      <c r="H3910" s="6" t="s">
        <v>33458</v>
      </c>
      <c r="I3910" s="6">
        <v>528.1875</v>
      </c>
      <c r="J3910" s="2">
        <f t="shared" si="61"/>
        <v>43748.737405532403</v>
      </c>
    </row>
    <row r="3911" spans="1:10" x14ac:dyDescent="0.25">
      <c r="A3911" s="7" t="s">
        <v>33459</v>
      </c>
      <c r="B3911" s="8">
        <v>400</v>
      </c>
      <c r="C3911" s="8">
        <v>20.478950000000001</v>
      </c>
      <c r="D3911" s="8">
        <v>69</v>
      </c>
      <c r="E3911" s="8">
        <v>0</v>
      </c>
      <c r="F3911" s="8">
        <v>0</v>
      </c>
      <c r="G3911" s="8">
        <v>23</v>
      </c>
      <c r="H3911" s="8" t="s">
        <v>33460</v>
      </c>
      <c r="I3911" s="8">
        <v>528.375</v>
      </c>
      <c r="J3911" s="3">
        <f t="shared" si="61"/>
        <v>43748.737487962957</v>
      </c>
    </row>
    <row r="3912" spans="1:10" x14ac:dyDescent="0.25">
      <c r="A3912" s="5" t="s">
        <v>33461</v>
      </c>
      <c r="B3912" s="6">
        <v>400</v>
      </c>
      <c r="C3912" s="6">
        <v>20.478950000000001</v>
      </c>
      <c r="D3912" s="6">
        <v>72</v>
      </c>
      <c r="E3912" s="6">
        <v>0</v>
      </c>
      <c r="F3912" s="6">
        <v>0</v>
      </c>
      <c r="G3912" s="6">
        <v>18</v>
      </c>
      <c r="H3912" s="6" t="s">
        <v>33462</v>
      </c>
      <c r="I3912" s="6">
        <v>528.1875</v>
      </c>
      <c r="J3912" s="2">
        <f t="shared" si="61"/>
        <v>43748.737571284721</v>
      </c>
    </row>
    <row r="3913" spans="1:10" x14ac:dyDescent="0.25">
      <c r="A3913" s="7" t="s">
        <v>33463</v>
      </c>
      <c r="B3913" s="8">
        <v>400</v>
      </c>
      <c r="C3913" s="8">
        <v>20.478950000000001</v>
      </c>
      <c r="D3913" s="8">
        <v>73</v>
      </c>
      <c r="E3913" s="8">
        <v>0</v>
      </c>
      <c r="F3913" s="8">
        <v>0</v>
      </c>
      <c r="G3913" s="8">
        <v>15</v>
      </c>
      <c r="H3913" s="8" t="s">
        <v>33464</v>
      </c>
      <c r="I3913" s="8">
        <v>528.1875</v>
      </c>
      <c r="J3913" s="3">
        <f t="shared" si="61"/>
        <v>43748.737643067128</v>
      </c>
    </row>
    <row r="3914" spans="1:10" x14ac:dyDescent="0.25">
      <c r="A3914" s="5" t="s">
        <v>33465</v>
      </c>
      <c r="B3914" s="6">
        <v>403.125</v>
      </c>
      <c r="C3914" s="6">
        <v>20.531590000000001</v>
      </c>
      <c r="D3914" s="6">
        <v>74</v>
      </c>
      <c r="E3914" s="6">
        <v>0</v>
      </c>
      <c r="F3914" s="6">
        <v>0</v>
      </c>
      <c r="G3914" s="6">
        <v>26</v>
      </c>
      <c r="H3914" s="6" t="s">
        <v>33466</v>
      </c>
      <c r="I3914" s="6">
        <v>529.125</v>
      </c>
      <c r="J3914" s="2">
        <f t="shared" si="61"/>
        <v>43748.737726493055</v>
      </c>
    </row>
    <row r="3915" spans="1:10" x14ac:dyDescent="0.25">
      <c r="A3915" s="7" t="s">
        <v>33467</v>
      </c>
      <c r="B3915" s="8">
        <v>403.125</v>
      </c>
      <c r="C3915" s="8">
        <v>20.478950000000001</v>
      </c>
      <c r="D3915" s="8">
        <v>71</v>
      </c>
      <c r="E3915" s="8">
        <v>0</v>
      </c>
      <c r="F3915" s="8">
        <v>0</v>
      </c>
      <c r="G3915" s="8">
        <v>20</v>
      </c>
      <c r="H3915" s="8" t="s">
        <v>33468</v>
      </c>
      <c r="I3915" s="8">
        <v>529.125</v>
      </c>
      <c r="J3915" s="3">
        <f t="shared" si="61"/>
        <v>43748.737810081017</v>
      </c>
    </row>
    <row r="3916" spans="1:10" x14ac:dyDescent="0.25">
      <c r="A3916" s="5" t="s">
        <v>33469</v>
      </c>
      <c r="B3916" s="6">
        <v>403.125</v>
      </c>
      <c r="C3916" s="6">
        <v>20.478950000000001</v>
      </c>
      <c r="D3916" s="6">
        <v>71</v>
      </c>
      <c r="E3916" s="6">
        <v>0</v>
      </c>
      <c r="F3916" s="6">
        <v>0</v>
      </c>
      <c r="G3916" s="6">
        <v>20</v>
      </c>
      <c r="H3916" s="6" t="s">
        <v>33470</v>
      </c>
      <c r="I3916" s="6">
        <v>529.125</v>
      </c>
      <c r="J3916" s="2">
        <f t="shared" si="61"/>
        <v>43748.737893287034</v>
      </c>
    </row>
    <row r="3917" spans="1:10" x14ac:dyDescent="0.25">
      <c r="A3917" s="7" t="s">
        <v>33471</v>
      </c>
      <c r="B3917" s="8">
        <v>403.125</v>
      </c>
      <c r="C3917" s="8">
        <v>20.478950000000001</v>
      </c>
      <c r="D3917" s="8">
        <v>71</v>
      </c>
      <c r="E3917" s="8">
        <v>0</v>
      </c>
      <c r="F3917" s="8">
        <v>0</v>
      </c>
      <c r="G3917" s="8">
        <v>18</v>
      </c>
      <c r="H3917" s="8" t="s">
        <v>33472</v>
      </c>
      <c r="I3917" s="8">
        <v>529.125</v>
      </c>
      <c r="J3917" s="3">
        <f t="shared" si="61"/>
        <v>43748.737964930559</v>
      </c>
    </row>
    <row r="3918" spans="1:10" x14ac:dyDescent="0.25">
      <c r="A3918" s="5" t="s">
        <v>33473</v>
      </c>
      <c r="B3918" s="6">
        <v>403.125</v>
      </c>
      <c r="C3918" s="6">
        <v>20.478950000000001</v>
      </c>
      <c r="D3918" s="6">
        <v>69</v>
      </c>
      <c r="E3918" s="6">
        <v>0</v>
      </c>
      <c r="F3918" s="6">
        <v>0</v>
      </c>
      <c r="G3918" s="6">
        <v>15</v>
      </c>
      <c r="H3918" s="6" t="s">
        <v>33474</v>
      </c>
      <c r="I3918" s="6">
        <v>529.125</v>
      </c>
      <c r="J3918" s="2">
        <f t="shared" si="61"/>
        <v>43748.738062523145</v>
      </c>
    </row>
    <row r="3919" spans="1:10" x14ac:dyDescent="0.25">
      <c r="A3919" s="7" t="s">
        <v>33475</v>
      </c>
      <c r="B3919" s="8">
        <v>418.75</v>
      </c>
      <c r="C3919" s="8">
        <v>20.478950000000001</v>
      </c>
      <c r="D3919" s="8">
        <v>68</v>
      </c>
      <c r="E3919" s="8">
        <v>0</v>
      </c>
      <c r="F3919" s="8">
        <v>0</v>
      </c>
      <c r="G3919" s="8">
        <v>21</v>
      </c>
      <c r="H3919" s="8" t="s">
        <v>33476</v>
      </c>
      <c r="I3919" s="8">
        <v>534</v>
      </c>
      <c r="J3919" s="3">
        <f t="shared" si="61"/>
        <v>43748.738144131938</v>
      </c>
    </row>
    <row r="3920" spans="1:10" x14ac:dyDescent="0.25">
      <c r="A3920" s="5" t="s">
        <v>33477</v>
      </c>
      <c r="B3920" s="6">
        <v>400</v>
      </c>
      <c r="C3920" s="6">
        <v>20.531590000000001</v>
      </c>
      <c r="D3920" s="6">
        <v>69</v>
      </c>
      <c r="E3920" s="6">
        <v>0</v>
      </c>
      <c r="F3920" s="6">
        <v>0</v>
      </c>
      <c r="G3920" s="6">
        <v>25</v>
      </c>
      <c r="H3920" s="6" t="s">
        <v>33478</v>
      </c>
      <c r="I3920" s="6">
        <v>528.375</v>
      </c>
      <c r="J3920" s="2">
        <f t="shared" si="61"/>
        <v>43748.738227581016</v>
      </c>
    </row>
    <row r="3921" spans="1:10" x14ac:dyDescent="0.25">
      <c r="A3921" s="7" t="s">
        <v>33479</v>
      </c>
      <c r="B3921" s="8">
        <v>400</v>
      </c>
      <c r="C3921" s="8">
        <v>20.478950000000001</v>
      </c>
      <c r="D3921" s="8">
        <v>69</v>
      </c>
      <c r="E3921" s="8">
        <v>0</v>
      </c>
      <c r="F3921" s="8">
        <v>0</v>
      </c>
      <c r="G3921" s="8">
        <v>17</v>
      </c>
      <c r="H3921" s="8" t="s">
        <v>33480</v>
      </c>
      <c r="I3921" s="8">
        <v>528.1875</v>
      </c>
      <c r="J3921" s="3">
        <f t="shared" si="61"/>
        <v>43748.738299108794</v>
      </c>
    </row>
    <row r="3922" spans="1:10" x14ac:dyDescent="0.25">
      <c r="A3922" s="5" t="s">
        <v>33481</v>
      </c>
      <c r="B3922" s="6">
        <v>403.125</v>
      </c>
      <c r="C3922" s="6">
        <v>20.478950000000001</v>
      </c>
      <c r="D3922" s="6">
        <v>69</v>
      </c>
      <c r="E3922" s="6">
        <v>0</v>
      </c>
      <c r="F3922" s="6">
        <v>0</v>
      </c>
      <c r="G3922" s="6">
        <v>20</v>
      </c>
      <c r="H3922" s="6" t="s">
        <v>33482</v>
      </c>
      <c r="I3922" s="6">
        <v>529.125</v>
      </c>
      <c r="J3922" s="2">
        <f t="shared" si="61"/>
        <v>43748.738382233794</v>
      </c>
    </row>
    <row r="3923" spans="1:10" x14ac:dyDescent="0.25">
      <c r="A3923" s="7" t="s">
        <v>33483</v>
      </c>
      <c r="B3923" s="8">
        <v>403.125</v>
      </c>
      <c r="C3923" s="8">
        <v>20.531590000000001</v>
      </c>
      <c r="D3923" s="8">
        <v>69</v>
      </c>
      <c r="E3923" s="8">
        <v>0</v>
      </c>
      <c r="F3923" s="8">
        <v>0</v>
      </c>
      <c r="G3923" s="8">
        <v>17</v>
      </c>
      <c r="H3923" s="8" t="s">
        <v>33484</v>
      </c>
      <c r="I3923" s="8">
        <v>529.125</v>
      </c>
      <c r="J3923" s="3">
        <f t="shared" si="61"/>
        <v>43748.738453854159</v>
      </c>
    </row>
    <row r="3924" spans="1:10" x14ac:dyDescent="0.25">
      <c r="A3924" s="5" t="s">
        <v>33485</v>
      </c>
      <c r="B3924" s="6">
        <v>403.125</v>
      </c>
      <c r="C3924" s="6">
        <v>20.478950000000001</v>
      </c>
      <c r="D3924" s="6">
        <v>69</v>
      </c>
      <c r="E3924" s="6">
        <v>0</v>
      </c>
      <c r="F3924" s="6">
        <v>0</v>
      </c>
      <c r="G3924" s="6">
        <v>18</v>
      </c>
      <c r="H3924" s="6" t="s">
        <v>33486</v>
      </c>
      <c r="I3924" s="6">
        <v>529.125</v>
      </c>
      <c r="J3924" s="2">
        <f t="shared" si="61"/>
        <v>43748.738537650461</v>
      </c>
    </row>
    <row r="3925" spans="1:10" x14ac:dyDescent="0.25">
      <c r="A3925" s="7" t="s">
        <v>33487</v>
      </c>
      <c r="B3925" s="8">
        <v>403.125</v>
      </c>
      <c r="C3925" s="8">
        <v>20.531590000000001</v>
      </c>
      <c r="D3925" s="8">
        <v>70</v>
      </c>
      <c r="E3925" s="8">
        <v>0</v>
      </c>
      <c r="F3925" s="8">
        <v>0</v>
      </c>
      <c r="G3925" s="8">
        <v>28</v>
      </c>
      <c r="H3925" s="8" t="s">
        <v>33488</v>
      </c>
      <c r="I3925" s="8">
        <v>529.875</v>
      </c>
      <c r="J3925" s="3">
        <f t="shared" si="61"/>
        <v>43748.738621099539</v>
      </c>
    </row>
    <row r="3926" spans="1:10" x14ac:dyDescent="0.25">
      <c r="A3926" s="5" t="s">
        <v>33489</v>
      </c>
      <c r="B3926" s="6">
        <v>403.125</v>
      </c>
      <c r="C3926" s="6">
        <v>20.478950000000001</v>
      </c>
      <c r="D3926" s="6">
        <v>71</v>
      </c>
      <c r="E3926" s="6">
        <v>0</v>
      </c>
      <c r="F3926" s="6">
        <v>0</v>
      </c>
      <c r="G3926" s="6">
        <v>20</v>
      </c>
      <c r="H3926" s="6" t="s">
        <v>33490</v>
      </c>
      <c r="I3926" s="6">
        <v>529.875</v>
      </c>
      <c r="J3926" s="2">
        <f t="shared" si="61"/>
        <v>43748.738704317126</v>
      </c>
    </row>
    <row r="3927" spans="1:10" x14ac:dyDescent="0.25">
      <c r="A3927" s="7" t="s">
        <v>33491</v>
      </c>
      <c r="B3927" s="8">
        <v>421.875</v>
      </c>
      <c r="C3927" s="8">
        <v>20.478950000000001</v>
      </c>
      <c r="D3927" s="8">
        <v>71</v>
      </c>
      <c r="E3927" s="8">
        <v>0</v>
      </c>
      <c r="F3927" s="8">
        <v>0</v>
      </c>
      <c r="G3927" s="8">
        <v>24</v>
      </c>
      <c r="H3927" s="8" t="s">
        <v>33492</v>
      </c>
      <c r="I3927" s="8">
        <v>535.6875</v>
      </c>
      <c r="J3927" s="3">
        <f t="shared" si="61"/>
        <v>43748.738776087957</v>
      </c>
    </row>
    <row r="3928" spans="1:10" x14ac:dyDescent="0.25">
      <c r="A3928" s="5" t="s">
        <v>33493</v>
      </c>
      <c r="B3928" s="6">
        <v>403.125</v>
      </c>
      <c r="C3928" s="6">
        <v>20.478950000000001</v>
      </c>
      <c r="D3928" s="6">
        <v>71</v>
      </c>
      <c r="E3928" s="6">
        <v>0</v>
      </c>
      <c r="F3928" s="6">
        <v>0</v>
      </c>
      <c r="G3928" s="6">
        <v>31</v>
      </c>
      <c r="H3928" s="6" t="s">
        <v>33494</v>
      </c>
      <c r="I3928" s="6">
        <v>529.125</v>
      </c>
      <c r="J3928" s="2">
        <f t="shared" si="61"/>
        <v>43748.738859722223</v>
      </c>
    </row>
    <row r="3929" spans="1:10" x14ac:dyDescent="0.25">
      <c r="A3929" s="7" t="s">
        <v>33495</v>
      </c>
      <c r="B3929" s="8">
        <v>403.125</v>
      </c>
      <c r="C3929" s="8">
        <v>20.478950000000001</v>
      </c>
      <c r="D3929" s="8">
        <v>73</v>
      </c>
      <c r="E3929" s="8">
        <v>0</v>
      </c>
      <c r="F3929" s="8">
        <v>0</v>
      </c>
      <c r="G3929" s="8">
        <v>23</v>
      </c>
      <c r="H3929" s="8" t="s">
        <v>33496</v>
      </c>
      <c r="I3929" s="8">
        <v>529.125</v>
      </c>
      <c r="J3929" s="3">
        <f t="shared" si="61"/>
        <v>43748.738943090277</v>
      </c>
    </row>
    <row r="3930" spans="1:10" x14ac:dyDescent="0.25">
      <c r="A3930" s="5" t="s">
        <v>33497</v>
      </c>
      <c r="B3930" s="6">
        <v>403.125</v>
      </c>
      <c r="C3930" s="6">
        <v>20.478950000000001</v>
      </c>
      <c r="D3930" s="6">
        <v>72</v>
      </c>
      <c r="E3930" s="6">
        <v>0</v>
      </c>
      <c r="F3930" s="6">
        <v>0</v>
      </c>
      <c r="G3930" s="6">
        <v>29</v>
      </c>
      <c r="H3930" s="6" t="s">
        <v>33498</v>
      </c>
      <c r="I3930" s="6">
        <v>529.125</v>
      </c>
      <c r="J3930" s="2">
        <f t="shared" si="61"/>
        <v>43748.739026550924</v>
      </c>
    </row>
    <row r="3931" spans="1:10" x14ac:dyDescent="0.25">
      <c r="A3931" s="7" t="s">
        <v>33499</v>
      </c>
      <c r="B3931" s="8">
        <v>403.125</v>
      </c>
      <c r="C3931" s="8">
        <v>20.478950000000001</v>
      </c>
      <c r="D3931" s="8">
        <v>71</v>
      </c>
      <c r="E3931" s="8">
        <v>0</v>
      </c>
      <c r="F3931" s="8">
        <v>0</v>
      </c>
      <c r="G3931" s="8">
        <v>23</v>
      </c>
      <c r="H3931" s="8" t="s">
        <v>33500</v>
      </c>
      <c r="I3931" s="8">
        <v>529.125</v>
      </c>
      <c r="J3931" s="3">
        <f t="shared" si="61"/>
        <v>43748.739110104165</v>
      </c>
    </row>
    <row r="3932" spans="1:10" x14ac:dyDescent="0.25">
      <c r="A3932" s="5" t="s">
        <v>33501</v>
      </c>
      <c r="B3932" s="6">
        <v>415.625</v>
      </c>
      <c r="C3932" s="6">
        <v>20.478950000000001</v>
      </c>
      <c r="D3932" s="6">
        <v>70</v>
      </c>
      <c r="E3932" s="6">
        <v>0</v>
      </c>
      <c r="F3932" s="6">
        <v>0</v>
      </c>
      <c r="G3932" s="6">
        <v>17</v>
      </c>
      <c r="H3932" s="6" t="s">
        <v>33502</v>
      </c>
      <c r="I3932" s="6">
        <v>533.8125</v>
      </c>
      <c r="J3932" s="2">
        <f t="shared" si="61"/>
        <v>43748.739193321759</v>
      </c>
    </row>
    <row r="3933" spans="1:10" x14ac:dyDescent="0.25">
      <c r="A3933" s="7" t="s">
        <v>33503</v>
      </c>
      <c r="B3933" s="8">
        <v>400</v>
      </c>
      <c r="C3933" s="8">
        <v>20.478950000000001</v>
      </c>
      <c r="D3933" s="8">
        <v>70</v>
      </c>
      <c r="E3933" s="8">
        <v>0</v>
      </c>
      <c r="F3933" s="8">
        <v>0</v>
      </c>
      <c r="G3933" s="8">
        <v>31</v>
      </c>
      <c r="H3933" s="8" t="s">
        <v>33504</v>
      </c>
      <c r="I3933" s="8">
        <v>528.375</v>
      </c>
      <c r="J3933" s="3">
        <f t="shared" si="61"/>
        <v>43748.739277187495</v>
      </c>
    </row>
    <row r="3934" spans="1:10" x14ac:dyDescent="0.25">
      <c r="A3934" s="5" t="s">
        <v>33505</v>
      </c>
      <c r="B3934" s="6">
        <v>400</v>
      </c>
      <c r="C3934" s="6">
        <v>20.478950000000001</v>
      </c>
      <c r="D3934" s="6">
        <v>70</v>
      </c>
      <c r="E3934" s="6">
        <v>0</v>
      </c>
      <c r="F3934" s="6">
        <v>0</v>
      </c>
      <c r="G3934" s="6">
        <v>28</v>
      </c>
      <c r="H3934" s="6" t="s">
        <v>33506</v>
      </c>
      <c r="I3934" s="6">
        <v>528.375</v>
      </c>
      <c r="J3934" s="2">
        <f t="shared" si="61"/>
        <v>43748.739360567131</v>
      </c>
    </row>
    <row r="3935" spans="1:10" x14ac:dyDescent="0.25">
      <c r="A3935" s="7" t="s">
        <v>33507</v>
      </c>
      <c r="B3935" s="8">
        <v>403.125</v>
      </c>
      <c r="C3935" s="8">
        <v>20.478950000000001</v>
      </c>
      <c r="D3935" s="8">
        <v>70</v>
      </c>
      <c r="E3935" s="8">
        <v>0</v>
      </c>
      <c r="F3935" s="8">
        <v>0</v>
      </c>
      <c r="G3935" s="8">
        <v>27</v>
      </c>
      <c r="H3935" s="8" t="s">
        <v>33508</v>
      </c>
      <c r="I3935" s="8">
        <v>529.125</v>
      </c>
      <c r="J3935" s="3">
        <f t="shared" si="61"/>
        <v>43748.739444143517</v>
      </c>
    </row>
    <row r="3936" spans="1:10" x14ac:dyDescent="0.25">
      <c r="A3936" s="5" t="s">
        <v>33509</v>
      </c>
      <c r="B3936" s="6">
        <v>403.125</v>
      </c>
      <c r="C3936" s="6">
        <v>20.478950000000001</v>
      </c>
      <c r="D3936" s="6">
        <v>70</v>
      </c>
      <c r="E3936" s="6">
        <v>0</v>
      </c>
      <c r="F3936" s="6">
        <v>0</v>
      </c>
      <c r="G3936" s="6">
        <v>25</v>
      </c>
      <c r="H3936" s="6" t="s">
        <v>33510</v>
      </c>
      <c r="I3936" s="6">
        <v>529.875</v>
      </c>
      <c r="J3936" s="2">
        <f t="shared" si="61"/>
        <v>43748.739527812497</v>
      </c>
    </row>
    <row r="3937" spans="1:10" x14ac:dyDescent="0.25">
      <c r="A3937" s="7" t="s">
        <v>33511</v>
      </c>
      <c r="B3937" s="8">
        <v>406.25</v>
      </c>
      <c r="C3937" s="8">
        <v>20.478950000000001</v>
      </c>
      <c r="D3937" s="8">
        <v>71</v>
      </c>
      <c r="E3937" s="8">
        <v>0</v>
      </c>
      <c r="F3937" s="8">
        <v>0</v>
      </c>
      <c r="G3937" s="8">
        <v>19</v>
      </c>
      <c r="H3937" s="8" t="s">
        <v>33512</v>
      </c>
      <c r="I3937" s="8">
        <v>530.625</v>
      </c>
      <c r="J3937" s="3">
        <f t="shared" si="61"/>
        <v>43748.739611030091</v>
      </c>
    </row>
    <row r="3938" spans="1:10" x14ac:dyDescent="0.25">
      <c r="A3938" s="5" t="s">
        <v>33513</v>
      </c>
      <c r="B3938" s="6">
        <v>406.25</v>
      </c>
      <c r="C3938" s="6">
        <v>20.478950000000001</v>
      </c>
      <c r="D3938" s="6">
        <v>69</v>
      </c>
      <c r="E3938" s="6">
        <v>0</v>
      </c>
      <c r="F3938" s="6">
        <v>0</v>
      </c>
      <c r="G3938" s="6">
        <v>20</v>
      </c>
      <c r="H3938" s="6" t="s">
        <v>33514</v>
      </c>
      <c r="I3938" s="6">
        <v>530.625</v>
      </c>
      <c r="J3938" s="2">
        <f t="shared" si="61"/>
        <v>43748.739694606476</v>
      </c>
    </row>
    <row r="3939" spans="1:10" x14ac:dyDescent="0.25">
      <c r="A3939" s="7" t="s">
        <v>33515</v>
      </c>
      <c r="B3939" s="8">
        <v>406.25</v>
      </c>
      <c r="C3939" s="8">
        <v>20.478950000000001</v>
      </c>
      <c r="D3939" s="8">
        <v>68</v>
      </c>
      <c r="E3939" s="8">
        <v>0</v>
      </c>
      <c r="F3939" s="8">
        <v>0</v>
      </c>
      <c r="G3939" s="8">
        <v>25</v>
      </c>
      <c r="H3939" s="8" t="s">
        <v>33516</v>
      </c>
      <c r="I3939" s="8">
        <v>530.625</v>
      </c>
      <c r="J3939" s="3">
        <f t="shared" si="61"/>
        <v>43748.739778043979</v>
      </c>
    </row>
    <row r="3940" spans="1:10" x14ac:dyDescent="0.25">
      <c r="A3940" s="5" t="s">
        <v>33517</v>
      </c>
      <c r="B3940" s="6">
        <v>403.125</v>
      </c>
      <c r="C3940" s="6">
        <v>20.478950000000001</v>
      </c>
      <c r="D3940" s="6">
        <v>68</v>
      </c>
      <c r="E3940" s="6">
        <v>0</v>
      </c>
      <c r="F3940" s="6">
        <v>0</v>
      </c>
      <c r="G3940" s="6">
        <v>19</v>
      </c>
      <c r="H3940" s="6" t="s">
        <v>33518</v>
      </c>
      <c r="I3940" s="6">
        <v>529.125</v>
      </c>
      <c r="J3940" s="2">
        <f t="shared" si="61"/>
        <v>43748.73986149305</v>
      </c>
    </row>
    <row r="3941" spans="1:10" x14ac:dyDescent="0.25">
      <c r="A3941" s="7" t="s">
        <v>33519</v>
      </c>
      <c r="B3941" s="8">
        <v>403.125</v>
      </c>
      <c r="C3941" s="8">
        <v>20.478950000000001</v>
      </c>
      <c r="D3941" s="8">
        <v>69</v>
      </c>
      <c r="E3941" s="8">
        <v>0</v>
      </c>
      <c r="F3941" s="8">
        <v>0</v>
      </c>
      <c r="G3941" s="8">
        <v>24</v>
      </c>
      <c r="H3941" s="8" t="s">
        <v>33520</v>
      </c>
      <c r="I3941" s="8">
        <v>529.125</v>
      </c>
      <c r="J3941" s="3">
        <f t="shared" si="61"/>
        <v>43748.739945081012</v>
      </c>
    </row>
    <row r="3942" spans="1:10" x14ac:dyDescent="0.25">
      <c r="A3942" s="5" t="s">
        <v>33521</v>
      </c>
      <c r="B3942" s="6">
        <v>403.125</v>
      </c>
      <c r="C3942" s="6">
        <v>20.478950000000001</v>
      </c>
      <c r="D3942" s="6">
        <v>74</v>
      </c>
      <c r="E3942" s="6">
        <v>0</v>
      </c>
      <c r="F3942" s="6">
        <v>0</v>
      </c>
      <c r="G3942" s="6">
        <v>18</v>
      </c>
      <c r="H3942" s="6" t="s">
        <v>33522</v>
      </c>
      <c r="I3942" s="6">
        <v>529.125</v>
      </c>
      <c r="J3942" s="2">
        <f t="shared" si="61"/>
        <v>43748.740028518521</v>
      </c>
    </row>
    <row r="3943" spans="1:10" x14ac:dyDescent="0.25">
      <c r="A3943" s="7" t="s">
        <v>33523</v>
      </c>
      <c r="B3943" s="8">
        <v>403.125</v>
      </c>
      <c r="C3943" s="8">
        <v>20.478950000000001</v>
      </c>
      <c r="D3943" s="8">
        <v>73</v>
      </c>
      <c r="E3943" s="8">
        <v>0</v>
      </c>
      <c r="F3943" s="8">
        <v>0</v>
      </c>
      <c r="G3943" s="8">
        <v>16</v>
      </c>
      <c r="H3943" s="8" t="s">
        <v>33524</v>
      </c>
      <c r="I3943" s="8">
        <v>529.125</v>
      </c>
      <c r="J3943" s="3">
        <f t="shared" si="61"/>
        <v>43748.740111747684</v>
      </c>
    </row>
    <row r="3944" spans="1:10" x14ac:dyDescent="0.25">
      <c r="A3944" s="5" t="s">
        <v>33525</v>
      </c>
      <c r="B3944" s="6">
        <v>403.125</v>
      </c>
      <c r="C3944" s="6">
        <v>20.478950000000001</v>
      </c>
      <c r="D3944" s="6">
        <v>73</v>
      </c>
      <c r="E3944" s="6">
        <v>0</v>
      </c>
      <c r="F3944" s="6">
        <v>0</v>
      </c>
      <c r="G3944" s="6">
        <v>25</v>
      </c>
      <c r="H3944" s="6" t="s">
        <v>33526</v>
      </c>
      <c r="I3944" s="6">
        <v>529.125</v>
      </c>
      <c r="J3944" s="2">
        <f t="shared" si="61"/>
        <v>43748.740183587965</v>
      </c>
    </row>
    <row r="3945" spans="1:10" x14ac:dyDescent="0.25">
      <c r="A3945" s="7" t="s">
        <v>33527</v>
      </c>
      <c r="B3945" s="8">
        <v>403.125</v>
      </c>
      <c r="C3945" s="8">
        <v>20.531590000000001</v>
      </c>
      <c r="D3945" s="8">
        <v>74</v>
      </c>
      <c r="E3945" s="8">
        <v>0</v>
      </c>
      <c r="F3945" s="8">
        <v>0</v>
      </c>
      <c r="G3945" s="8">
        <v>21</v>
      </c>
      <c r="H3945" s="8" t="s">
        <v>33528</v>
      </c>
      <c r="I3945" s="8">
        <v>529.125</v>
      </c>
      <c r="J3945" s="3">
        <f t="shared" si="61"/>
        <v>43748.740267048612</v>
      </c>
    </row>
    <row r="3946" spans="1:10" x14ac:dyDescent="0.25">
      <c r="A3946" s="5" t="s">
        <v>33529</v>
      </c>
      <c r="B3946" s="6">
        <v>403.125</v>
      </c>
      <c r="C3946" s="6">
        <v>20.531590000000001</v>
      </c>
      <c r="D3946" s="6">
        <v>78</v>
      </c>
      <c r="E3946" s="6">
        <v>0</v>
      </c>
      <c r="F3946" s="6">
        <v>0</v>
      </c>
      <c r="G3946" s="6">
        <v>13</v>
      </c>
      <c r="H3946" s="6" t="s">
        <v>33530</v>
      </c>
      <c r="I3946" s="6">
        <v>529.125</v>
      </c>
      <c r="J3946" s="2">
        <f t="shared" si="61"/>
        <v>43748.740350624998</v>
      </c>
    </row>
    <row r="3947" spans="1:10" x14ac:dyDescent="0.25">
      <c r="A3947" s="7" t="s">
        <v>33531</v>
      </c>
      <c r="B3947" s="8">
        <v>403.125</v>
      </c>
      <c r="C3947" s="8">
        <v>20.478950000000001</v>
      </c>
      <c r="D3947" s="8">
        <v>77</v>
      </c>
      <c r="E3947" s="8">
        <v>0</v>
      </c>
      <c r="F3947" s="8">
        <v>0</v>
      </c>
      <c r="G3947" s="8">
        <v>14</v>
      </c>
      <c r="H3947" s="8" t="s">
        <v>33532</v>
      </c>
      <c r="I3947" s="8">
        <v>529.125</v>
      </c>
      <c r="J3947" s="3">
        <f t="shared" si="61"/>
        <v>43748.740433946754</v>
      </c>
    </row>
    <row r="3948" spans="1:10" x14ac:dyDescent="0.25">
      <c r="A3948" s="5" t="s">
        <v>33533</v>
      </c>
      <c r="B3948" s="6">
        <v>400</v>
      </c>
      <c r="C3948" s="6">
        <v>20.478950000000001</v>
      </c>
      <c r="D3948" s="6">
        <v>76</v>
      </c>
      <c r="E3948" s="6">
        <v>0</v>
      </c>
      <c r="F3948" s="6">
        <v>0</v>
      </c>
      <c r="G3948" s="6">
        <v>20</v>
      </c>
      <c r="H3948" s="6" t="s">
        <v>33534</v>
      </c>
      <c r="I3948" s="6">
        <v>528.1875</v>
      </c>
      <c r="J3948" s="2">
        <f t="shared" si="61"/>
        <v>43748.740517499995</v>
      </c>
    </row>
    <row r="3949" spans="1:10" x14ac:dyDescent="0.25">
      <c r="A3949" s="7" t="s">
        <v>33535</v>
      </c>
      <c r="B3949" s="8">
        <v>400</v>
      </c>
      <c r="C3949" s="8">
        <v>20.531590000000001</v>
      </c>
      <c r="D3949" s="8">
        <v>76</v>
      </c>
      <c r="E3949" s="8">
        <v>0</v>
      </c>
      <c r="F3949" s="8">
        <v>0</v>
      </c>
      <c r="G3949" s="8">
        <v>19</v>
      </c>
      <c r="H3949" s="8" t="s">
        <v>33536</v>
      </c>
      <c r="I3949" s="8">
        <v>528.375</v>
      </c>
      <c r="J3949" s="3">
        <f t="shared" si="61"/>
        <v>43748.740600625002</v>
      </c>
    </row>
    <row r="3950" spans="1:10" x14ac:dyDescent="0.25">
      <c r="A3950" s="5" t="s">
        <v>33537</v>
      </c>
      <c r="B3950" s="6">
        <v>400</v>
      </c>
      <c r="C3950" s="6">
        <v>20.478950000000001</v>
      </c>
      <c r="D3950" s="6">
        <v>76</v>
      </c>
      <c r="E3950" s="6">
        <v>0</v>
      </c>
      <c r="F3950" s="6">
        <v>0</v>
      </c>
      <c r="G3950" s="6">
        <v>23</v>
      </c>
      <c r="H3950" s="6" t="s">
        <v>33538</v>
      </c>
      <c r="I3950" s="6">
        <v>528.375</v>
      </c>
      <c r="J3950" s="2">
        <f t="shared" si="61"/>
        <v>43748.740672442123</v>
      </c>
    </row>
    <row r="3951" spans="1:10" x14ac:dyDescent="0.25">
      <c r="A3951" s="7" t="s">
        <v>33539</v>
      </c>
      <c r="B3951" s="8">
        <v>400</v>
      </c>
      <c r="C3951" s="8">
        <v>20.531590000000001</v>
      </c>
      <c r="D3951" s="8">
        <v>75</v>
      </c>
      <c r="E3951" s="8">
        <v>0</v>
      </c>
      <c r="F3951" s="8">
        <v>0</v>
      </c>
      <c r="G3951" s="8">
        <v>22</v>
      </c>
      <c r="H3951" s="8" t="s">
        <v>33540</v>
      </c>
      <c r="I3951" s="8">
        <v>528.1875</v>
      </c>
      <c r="J3951" s="3">
        <f t="shared" si="61"/>
        <v>43748.740756180552</v>
      </c>
    </row>
    <row r="3952" spans="1:10" x14ac:dyDescent="0.25">
      <c r="A3952" s="5" t="s">
        <v>33541</v>
      </c>
      <c r="B3952" s="6">
        <v>403.125</v>
      </c>
      <c r="C3952" s="6">
        <v>20.478950000000001</v>
      </c>
      <c r="D3952" s="6">
        <v>75</v>
      </c>
      <c r="E3952" s="6">
        <v>0</v>
      </c>
      <c r="F3952" s="6">
        <v>0</v>
      </c>
      <c r="G3952" s="6">
        <v>19</v>
      </c>
      <c r="H3952" s="6" t="s">
        <v>33542</v>
      </c>
      <c r="I3952" s="6">
        <v>529.125</v>
      </c>
      <c r="J3952" s="2">
        <f t="shared" si="61"/>
        <v>43748.740851400456</v>
      </c>
    </row>
    <row r="3953" spans="1:10" x14ac:dyDescent="0.25">
      <c r="A3953" s="7" t="s">
        <v>33543</v>
      </c>
      <c r="B3953" s="8">
        <v>403.125</v>
      </c>
      <c r="C3953" s="8">
        <v>20.478950000000001</v>
      </c>
      <c r="D3953" s="8">
        <v>75</v>
      </c>
      <c r="E3953" s="8">
        <v>0</v>
      </c>
      <c r="F3953" s="8">
        <v>0</v>
      </c>
      <c r="G3953" s="8">
        <v>15</v>
      </c>
      <c r="H3953" s="8" t="s">
        <v>33544</v>
      </c>
      <c r="I3953" s="8">
        <v>529.125</v>
      </c>
      <c r="J3953" s="3">
        <f t="shared" si="61"/>
        <v>43748.740935092595</v>
      </c>
    </row>
    <row r="3954" spans="1:10" x14ac:dyDescent="0.25">
      <c r="A3954" s="5" t="s">
        <v>33545</v>
      </c>
      <c r="B3954" s="6">
        <v>403.125</v>
      </c>
      <c r="C3954" s="6">
        <v>20.478950000000001</v>
      </c>
      <c r="D3954" s="6">
        <v>74</v>
      </c>
      <c r="E3954" s="6">
        <v>0</v>
      </c>
      <c r="F3954" s="6">
        <v>0</v>
      </c>
      <c r="G3954" s="6">
        <v>19</v>
      </c>
      <c r="H3954" s="6" t="s">
        <v>33546</v>
      </c>
      <c r="I3954" s="6">
        <v>529.875</v>
      </c>
      <c r="J3954" s="2">
        <f t="shared" si="61"/>
        <v>43748.741018402776</v>
      </c>
    </row>
    <row r="3955" spans="1:10" x14ac:dyDescent="0.25">
      <c r="A3955" s="7" t="s">
        <v>33547</v>
      </c>
      <c r="B3955" s="8">
        <v>403.125</v>
      </c>
      <c r="C3955" s="8">
        <v>20.478950000000001</v>
      </c>
      <c r="D3955" s="8">
        <v>74</v>
      </c>
      <c r="E3955" s="8">
        <v>0</v>
      </c>
      <c r="F3955" s="8">
        <v>0</v>
      </c>
      <c r="G3955" s="8">
        <v>21</v>
      </c>
      <c r="H3955" s="8" t="s">
        <v>33548</v>
      </c>
      <c r="I3955" s="8">
        <v>529.125</v>
      </c>
      <c r="J3955" s="3">
        <f t="shared" si="61"/>
        <v>43748.741101874999</v>
      </c>
    </row>
    <row r="3956" spans="1:10" x14ac:dyDescent="0.25">
      <c r="A3956" s="5" t="s">
        <v>33549</v>
      </c>
      <c r="B3956" s="6">
        <v>403.125</v>
      </c>
      <c r="C3956" s="6">
        <v>20.478950000000001</v>
      </c>
      <c r="D3956" s="6">
        <v>74</v>
      </c>
      <c r="E3956" s="6">
        <v>0</v>
      </c>
      <c r="F3956" s="6">
        <v>0</v>
      </c>
      <c r="G3956" s="6">
        <v>20</v>
      </c>
      <c r="H3956" s="6" t="s">
        <v>33550</v>
      </c>
      <c r="I3956" s="6">
        <v>529.125</v>
      </c>
      <c r="J3956" s="2">
        <f t="shared" si="61"/>
        <v>43748.74118542824</v>
      </c>
    </row>
    <row r="3957" spans="1:10" x14ac:dyDescent="0.25">
      <c r="A3957" s="7" t="s">
        <v>33551</v>
      </c>
      <c r="B3957" s="8">
        <v>400</v>
      </c>
      <c r="C3957" s="8">
        <v>20.478950000000001</v>
      </c>
      <c r="D3957" s="8">
        <v>74</v>
      </c>
      <c r="E3957" s="8">
        <v>0</v>
      </c>
      <c r="F3957" s="8">
        <v>0</v>
      </c>
      <c r="G3957" s="8">
        <v>18</v>
      </c>
      <c r="H3957" s="8" t="s">
        <v>33552</v>
      </c>
      <c r="I3957" s="8">
        <v>528.9375</v>
      </c>
      <c r="J3957" s="3">
        <f t="shared" si="61"/>
        <v>43748.741281550923</v>
      </c>
    </row>
    <row r="3958" spans="1:10" x14ac:dyDescent="0.25">
      <c r="A3958" s="5" t="s">
        <v>33553</v>
      </c>
      <c r="B3958" s="6">
        <v>400</v>
      </c>
      <c r="C3958" s="6">
        <v>20.478950000000001</v>
      </c>
      <c r="D3958" s="6">
        <v>73</v>
      </c>
      <c r="E3958" s="6">
        <v>0</v>
      </c>
      <c r="F3958" s="6">
        <v>0</v>
      </c>
      <c r="G3958" s="6">
        <v>23</v>
      </c>
      <c r="H3958" s="6" t="s">
        <v>33554</v>
      </c>
      <c r="I3958" s="6">
        <v>528.375</v>
      </c>
      <c r="J3958" s="2">
        <f t="shared" si="61"/>
        <v>43748.741364027774</v>
      </c>
    </row>
    <row r="3959" spans="1:10" x14ac:dyDescent="0.25">
      <c r="A3959" s="7" t="s">
        <v>33555</v>
      </c>
      <c r="B3959" s="8">
        <v>400</v>
      </c>
      <c r="C3959" s="8">
        <v>20.478950000000001</v>
      </c>
      <c r="D3959" s="8">
        <v>73</v>
      </c>
      <c r="E3959" s="8">
        <v>0</v>
      </c>
      <c r="F3959" s="8">
        <v>0</v>
      </c>
      <c r="G3959" s="8">
        <v>20</v>
      </c>
      <c r="H3959" s="8" t="s">
        <v>33556</v>
      </c>
      <c r="I3959" s="8">
        <v>528.1875</v>
      </c>
      <c r="J3959" s="3">
        <f t="shared" si="61"/>
        <v>43748.741435787037</v>
      </c>
    </row>
    <row r="3960" spans="1:10" x14ac:dyDescent="0.25">
      <c r="A3960" s="5" t="s">
        <v>33557</v>
      </c>
      <c r="B3960" s="6">
        <v>418.75</v>
      </c>
      <c r="C3960" s="6">
        <v>20.531590000000001</v>
      </c>
      <c r="D3960" s="6">
        <v>73</v>
      </c>
      <c r="E3960" s="6">
        <v>0</v>
      </c>
      <c r="F3960" s="6">
        <v>0</v>
      </c>
      <c r="G3960" s="6">
        <v>23</v>
      </c>
      <c r="H3960" s="6" t="s">
        <v>33558</v>
      </c>
      <c r="I3960" s="6">
        <v>534.1875</v>
      </c>
      <c r="J3960" s="2">
        <f t="shared" si="61"/>
        <v>43748.741519120369</v>
      </c>
    </row>
    <row r="3961" spans="1:10" x14ac:dyDescent="0.25">
      <c r="A3961" s="7" t="s">
        <v>33559</v>
      </c>
      <c r="B3961" s="8">
        <v>400</v>
      </c>
      <c r="C3961" s="8">
        <v>20.478950000000001</v>
      </c>
      <c r="D3961" s="8">
        <v>73</v>
      </c>
      <c r="E3961" s="8">
        <v>0</v>
      </c>
      <c r="F3961" s="8">
        <v>0</v>
      </c>
      <c r="G3961" s="8">
        <v>28</v>
      </c>
      <c r="H3961" s="8" t="s">
        <v>33560</v>
      </c>
      <c r="I3961" s="8">
        <v>528.375</v>
      </c>
      <c r="J3961" s="3">
        <f t="shared" si="61"/>
        <v>43748.741590763886</v>
      </c>
    </row>
    <row r="3962" spans="1:10" x14ac:dyDescent="0.25">
      <c r="A3962" s="5" t="s">
        <v>33561</v>
      </c>
      <c r="B3962" s="6">
        <v>403.125</v>
      </c>
      <c r="C3962" s="6">
        <v>20.478950000000001</v>
      </c>
      <c r="D3962" s="6">
        <v>73</v>
      </c>
      <c r="E3962" s="6">
        <v>0</v>
      </c>
      <c r="F3962" s="6">
        <v>0</v>
      </c>
      <c r="G3962" s="6">
        <v>20</v>
      </c>
      <c r="H3962" s="6" t="s">
        <v>33562</v>
      </c>
      <c r="I3962" s="6">
        <v>529.125</v>
      </c>
      <c r="J3962" s="2">
        <f t="shared" si="61"/>
        <v>43748.741674317127</v>
      </c>
    </row>
    <row r="3963" spans="1:10" x14ac:dyDescent="0.25">
      <c r="A3963" s="7" t="s">
        <v>33563</v>
      </c>
      <c r="B3963" s="8">
        <v>400</v>
      </c>
      <c r="C3963" s="8">
        <v>20.478950000000001</v>
      </c>
      <c r="D3963" s="8">
        <v>73</v>
      </c>
      <c r="E3963" s="8">
        <v>0</v>
      </c>
      <c r="F3963" s="8">
        <v>0</v>
      </c>
      <c r="G3963" s="8">
        <v>22</v>
      </c>
      <c r="H3963" s="8" t="s">
        <v>33564</v>
      </c>
      <c r="I3963" s="8">
        <v>528.375</v>
      </c>
      <c r="J3963" s="3">
        <f t="shared" si="61"/>
        <v>43748.74175789352</v>
      </c>
    </row>
    <row r="3964" spans="1:10" x14ac:dyDescent="0.25">
      <c r="A3964" s="5" t="s">
        <v>33565</v>
      </c>
      <c r="B3964" s="6">
        <v>400</v>
      </c>
      <c r="C3964" s="6">
        <v>20.478950000000001</v>
      </c>
      <c r="D3964" s="6">
        <v>73</v>
      </c>
      <c r="E3964" s="6">
        <v>0</v>
      </c>
      <c r="F3964" s="6">
        <v>0</v>
      </c>
      <c r="G3964" s="6">
        <v>16</v>
      </c>
      <c r="H3964" s="6" t="s">
        <v>33566</v>
      </c>
      <c r="I3964" s="6">
        <v>528.375</v>
      </c>
      <c r="J3964" s="2">
        <f t="shared" si="61"/>
        <v>43748.741841331015</v>
      </c>
    </row>
    <row r="3965" spans="1:10" x14ac:dyDescent="0.25">
      <c r="A3965" s="7" t="s">
        <v>33567</v>
      </c>
      <c r="B3965" s="8">
        <v>400</v>
      </c>
      <c r="C3965" s="8">
        <v>20.478950000000001</v>
      </c>
      <c r="D3965" s="8">
        <v>72</v>
      </c>
      <c r="E3965" s="8">
        <v>0</v>
      </c>
      <c r="F3965" s="8">
        <v>0</v>
      </c>
      <c r="G3965" s="8">
        <v>16</v>
      </c>
      <c r="H3965" s="8" t="s">
        <v>33568</v>
      </c>
      <c r="I3965" s="8">
        <v>528.375</v>
      </c>
      <c r="J3965" s="3">
        <f t="shared" si="61"/>
        <v>43748.741924814814</v>
      </c>
    </row>
    <row r="3966" spans="1:10" x14ac:dyDescent="0.25">
      <c r="A3966" s="5" t="s">
        <v>33569</v>
      </c>
      <c r="B3966" s="6">
        <v>400</v>
      </c>
      <c r="C3966" s="6">
        <v>20.478950000000001</v>
      </c>
      <c r="D3966" s="6">
        <v>72</v>
      </c>
      <c r="E3966" s="6">
        <v>0</v>
      </c>
      <c r="F3966" s="6">
        <v>0</v>
      </c>
      <c r="G3966" s="6">
        <v>19</v>
      </c>
      <c r="H3966" s="6" t="s">
        <v>33570</v>
      </c>
      <c r="I3966" s="6">
        <v>528.375</v>
      </c>
      <c r="J3966" s="2">
        <f t="shared" si="61"/>
        <v>43748.742008020832</v>
      </c>
    </row>
    <row r="3967" spans="1:10" x14ac:dyDescent="0.25">
      <c r="A3967" s="7" t="s">
        <v>33571</v>
      </c>
      <c r="B3967" s="8">
        <v>396.875</v>
      </c>
      <c r="C3967" s="8">
        <v>20.478950000000001</v>
      </c>
      <c r="D3967" s="8">
        <v>72</v>
      </c>
      <c r="E3967" s="8">
        <v>0</v>
      </c>
      <c r="F3967" s="8">
        <v>0</v>
      </c>
      <c r="G3967" s="8">
        <v>21</v>
      </c>
      <c r="H3967" s="8" t="s">
        <v>33572</v>
      </c>
      <c r="I3967" s="8">
        <v>527.4375</v>
      </c>
      <c r="J3967" s="3">
        <f t="shared" si="61"/>
        <v>43748.742079837961</v>
      </c>
    </row>
    <row r="3968" spans="1:10" x14ac:dyDescent="0.25">
      <c r="A3968" s="5" t="s">
        <v>33573</v>
      </c>
      <c r="B3968" s="6">
        <v>396.875</v>
      </c>
      <c r="C3968" s="6">
        <v>20.478950000000001</v>
      </c>
      <c r="D3968" s="6">
        <v>71</v>
      </c>
      <c r="E3968" s="6">
        <v>0</v>
      </c>
      <c r="F3968" s="6">
        <v>0</v>
      </c>
      <c r="G3968" s="6">
        <v>17</v>
      </c>
      <c r="H3968" s="6" t="s">
        <v>33574</v>
      </c>
      <c r="I3968" s="6">
        <v>527.4375</v>
      </c>
      <c r="J3968" s="2">
        <f t="shared" si="61"/>
        <v>43748.742163321753</v>
      </c>
    </row>
    <row r="3969" spans="1:10" x14ac:dyDescent="0.25">
      <c r="A3969" s="7" t="s">
        <v>33575</v>
      </c>
      <c r="B3969" s="8">
        <v>393.75</v>
      </c>
      <c r="C3969" s="8">
        <v>20.478950000000001</v>
      </c>
      <c r="D3969" s="8">
        <v>71</v>
      </c>
      <c r="E3969" s="8">
        <v>0</v>
      </c>
      <c r="F3969" s="8">
        <v>0</v>
      </c>
      <c r="G3969" s="8">
        <v>16</v>
      </c>
      <c r="H3969" s="8" t="s">
        <v>33576</v>
      </c>
      <c r="I3969" s="8">
        <v>526.6875</v>
      </c>
      <c r="J3969" s="3">
        <f t="shared" si="61"/>
        <v>43748.7422467824</v>
      </c>
    </row>
    <row r="3970" spans="1:10" x14ac:dyDescent="0.25">
      <c r="A3970" s="5" t="s">
        <v>33577</v>
      </c>
      <c r="B3970" s="6">
        <v>393.75</v>
      </c>
      <c r="C3970" s="6">
        <v>20.478950000000001</v>
      </c>
      <c r="D3970" s="6">
        <v>72</v>
      </c>
      <c r="E3970" s="6">
        <v>0</v>
      </c>
      <c r="F3970" s="6">
        <v>0</v>
      </c>
      <c r="G3970" s="6">
        <v>19</v>
      </c>
      <c r="H3970" s="6" t="s">
        <v>33578</v>
      </c>
      <c r="I3970" s="6">
        <v>526.6875</v>
      </c>
      <c r="J3970" s="2">
        <f t="shared" ref="J3970:J4033" si="62">(H3970/86400000)+25569+(7/24)</f>
        <v>43748.742330324072</v>
      </c>
    </row>
    <row r="3971" spans="1:10" x14ac:dyDescent="0.25">
      <c r="A3971" s="7" t="s">
        <v>33579</v>
      </c>
      <c r="B3971" s="8">
        <v>393.75</v>
      </c>
      <c r="C3971" s="8">
        <v>20.478950000000001</v>
      </c>
      <c r="D3971" s="8">
        <v>72</v>
      </c>
      <c r="E3971" s="8">
        <v>0</v>
      </c>
      <c r="F3971" s="8">
        <v>0</v>
      </c>
      <c r="G3971" s="8">
        <v>15</v>
      </c>
      <c r="H3971" s="8" t="s">
        <v>33580</v>
      </c>
      <c r="I3971" s="8">
        <v>526.6875</v>
      </c>
      <c r="J3971" s="3">
        <f t="shared" si="62"/>
        <v>43748.742413680557</v>
      </c>
    </row>
    <row r="3972" spans="1:10" x14ac:dyDescent="0.25">
      <c r="A3972" s="5" t="s">
        <v>33581</v>
      </c>
      <c r="B3972" s="6">
        <v>393.75</v>
      </c>
      <c r="C3972" s="6">
        <v>20.478950000000001</v>
      </c>
      <c r="D3972" s="6">
        <v>71</v>
      </c>
      <c r="E3972" s="6">
        <v>0</v>
      </c>
      <c r="F3972" s="6">
        <v>0</v>
      </c>
      <c r="G3972" s="6">
        <v>24</v>
      </c>
      <c r="H3972" s="6" t="s">
        <v>33582</v>
      </c>
      <c r="I3972" s="6">
        <v>526.6875</v>
      </c>
      <c r="J3972" s="2">
        <f t="shared" si="62"/>
        <v>43748.742496898143</v>
      </c>
    </row>
    <row r="3973" spans="1:10" x14ac:dyDescent="0.25">
      <c r="A3973" s="7" t="s">
        <v>33583</v>
      </c>
      <c r="B3973" s="8">
        <v>393.75</v>
      </c>
      <c r="C3973" s="8">
        <v>20.478950000000001</v>
      </c>
      <c r="D3973" s="8">
        <v>71</v>
      </c>
      <c r="E3973" s="8">
        <v>0</v>
      </c>
      <c r="F3973" s="8">
        <v>0</v>
      </c>
      <c r="G3973" s="8">
        <v>33</v>
      </c>
      <c r="H3973" s="8" t="s">
        <v>33584</v>
      </c>
      <c r="I3973" s="8">
        <v>526.6875</v>
      </c>
      <c r="J3973" s="3">
        <f t="shared" si="62"/>
        <v>43748.742568530091</v>
      </c>
    </row>
    <row r="3974" spans="1:10" x14ac:dyDescent="0.25">
      <c r="A3974" s="5" t="s">
        <v>33585</v>
      </c>
      <c r="B3974" s="6">
        <v>393.75</v>
      </c>
      <c r="C3974" s="6">
        <v>20.531590000000001</v>
      </c>
      <c r="D3974" s="6">
        <v>72</v>
      </c>
      <c r="E3974" s="6">
        <v>0</v>
      </c>
      <c r="F3974" s="6">
        <v>0</v>
      </c>
      <c r="G3974" s="6">
        <v>18</v>
      </c>
      <c r="H3974" s="6" t="s">
        <v>33586</v>
      </c>
      <c r="I3974" s="6">
        <v>526.6875</v>
      </c>
      <c r="J3974" s="2">
        <f t="shared" si="62"/>
        <v>43748.742652210647</v>
      </c>
    </row>
    <row r="3975" spans="1:10" x14ac:dyDescent="0.25">
      <c r="A3975" s="7" t="s">
        <v>33587</v>
      </c>
      <c r="B3975" s="8">
        <v>393.75</v>
      </c>
      <c r="C3975" s="8">
        <v>20.478950000000001</v>
      </c>
      <c r="D3975" s="8">
        <v>72</v>
      </c>
      <c r="E3975" s="8">
        <v>0</v>
      </c>
      <c r="F3975" s="8">
        <v>0</v>
      </c>
      <c r="G3975" s="8">
        <v>12</v>
      </c>
      <c r="H3975" s="8" t="s">
        <v>33588</v>
      </c>
      <c r="I3975" s="8">
        <v>526.6875</v>
      </c>
      <c r="J3975" s="3">
        <f t="shared" si="62"/>
        <v>43748.742735787033</v>
      </c>
    </row>
    <row r="3976" spans="1:10" x14ac:dyDescent="0.25">
      <c r="A3976" s="5" t="s">
        <v>33589</v>
      </c>
      <c r="B3976" s="6">
        <v>393.75</v>
      </c>
      <c r="C3976" s="6">
        <v>20.531590000000001</v>
      </c>
      <c r="D3976" s="6">
        <v>71</v>
      </c>
      <c r="E3976" s="6">
        <v>0</v>
      </c>
      <c r="F3976" s="6">
        <v>0</v>
      </c>
      <c r="G3976" s="6">
        <v>25</v>
      </c>
      <c r="H3976" s="6" t="s">
        <v>33590</v>
      </c>
      <c r="I3976" s="6">
        <v>526.6875</v>
      </c>
      <c r="J3976" s="2">
        <f t="shared" si="62"/>
        <v>43748.742819143517</v>
      </c>
    </row>
    <row r="3977" spans="1:10" x14ac:dyDescent="0.25">
      <c r="A3977" s="7" t="s">
        <v>33591</v>
      </c>
      <c r="B3977" s="8">
        <v>393.75</v>
      </c>
      <c r="C3977" s="8">
        <v>20.478950000000001</v>
      </c>
      <c r="D3977" s="8">
        <v>71</v>
      </c>
      <c r="E3977" s="8">
        <v>0</v>
      </c>
      <c r="F3977" s="8">
        <v>0</v>
      </c>
      <c r="G3977" s="8">
        <v>20</v>
      </c>
      <c r="H3977" s="8" t="s">
        <v>33592</v>
      </c>
      <c r="I3977" s="8">
        <v>526.6875</v>
      </c>
      <c r="J3977" s="3">
        <f t="shared" si="62"/>
        <v>43748.742890752314</v>
      </c>
    </row>
    <row r="3978" spans="1:10" x14ac:dyDescent="0.25">
      <c r="A3978" s="5" t="s">
        <v>33593</v>
      </c>
      <c r="B3978" s="6">
        <v>412.5</v>
      </c>
      <c r="C3978" s="6">
        <v>20.478950000000001</v>
      </c>
      <c r="D3978" s="6">
        <v>72</v>
      </c>
      <c r="E3978" s="6">
        <v>0</v>
      </c>
      <c r="F3978" s="6">
        <v>0</v>
      </c>
      <c r="G3978" s="6">
        <v>18</v>
      </c>
      <c r="H3978" s="6" t="s">
        <v>33594</v>
      </c>
      <c r="I3978" s="6">
        <v>532.3125</v>
      </c>
      <c r="J3978" s="2">
        <f t="shared" si="62"/>
        <v>43748.742974201385</v>
      </c>
    </row>
    <row r="3979" spans="1:10" x14ac:dyDescent="0.25">
      <c r="A3979" s="7" t="s">
        <v>33595</v>
      </c>
      <c r="B3979" s="8">
        <v>393.75</v>
      </c>
      <c r="C3979" s="8">
        <v>20.478950000000001</v>
      </c>
      <c r="D3979" s="8">
        <v>74</v>
      </c>
      <c r="E3979" s="8">
        <v>0</v>
      </c>
      <c r="F3979" s="8">
        <v>0</v>
      </c>
      <c r="G3979" s="8">
        <v>22</v>
      </c>
      <c r="H3979" s="8" t="s">
        <v>33596</v>
      </c>
      <c r="I3979" s="8">
        <v>526.6875</v>
      </c>
      <c r="J3979" s="3">
        <f t="shared" si="62"/>
        <v>43748.743057754626</v>
      </c>
    </row>
    <row r="3980" spans="1:10" x14ac:dyDescent="0.25">
      <c r="A3980" s="5" t="s">
        <v>33597</v>
      </c>
      <c r="B3980" s="6">
        <v>393.75</v>
      </c>
      <c r="C3980" s="6">
        <v>20.478950000000001</v>
      </c>
      <c r="D3980" s="6">
        <v>74</v>
      </c>
      <c r="E3980" s="6">
        <v>0</v>
      </c>
      <c r="F3980" s="6">
        <v>0</v>
      </c>
      <c r="G3980" s="6">
        <v>20</v>
      </c>
      <c r="H3980" s="6" t="s">
        <v>33598</v>
      </c>
      <c r="I3980" s="6">
        <v>526.6875</v>
      </c>
      <c r="J3980" s="2">
        <f t="shared" si="62"/>
        <v>43748.743141331019</v>
      </c>
    </row>
    <row r="3981" spans="1:10" x14ac:dyDescent="0.25">
      <c r="A3981" s="7" t="s">
        <v>33599</v>
      </c>
      <c r="B3981" s="8">
        <v>393.75</v>
      </c>
      <c r="C3981" s="8">
        <v>20.478950000000001</v>
      </c>
      <c r="D3981" s="8">
        <v>74</v>
      </c>
      <c r="E3981" s="8">
        <v>0</v>
      </c>
      <c r="F3981" s="8">
        <v>0</v>
      </c>
      <c r="G3981" s="8">
        <v>23</v>
      </c>
      <c r="H3981" s="8" t="s">
        <v>33600</v>
      </c>
      <c r="I3981" s="8">
        <v>526.6875</v>
      </c>
      <c r="J3981" s="3">
        <f t="shared" si="62"/>
        <v>43748.74322467592</v>
      </c>
    </row>
    <row r="3982" spans="1:10" x14ac:dyDescent="0.25">
      <c r="A3982" s="5" t="s">
        <v>33601</v>
      </c>
      <c r="B3982" s="6">
        <v>393.75</v>
      </c>
      <c r="C3982" s="6">
        <v>20.478950000000001</v>
      </c>
      <c r="D3982" s="6">
        <v>74</v>
      </c>
      <c r="E3982" s="6">
        <v>0</v>
      </c>
      <c r="F3982" s="6">
        <v>0</v>
      </c>
      <c r="G3982" s="6">
        <v>26</v>
      </c>
      <c r="H3982" s="6" t="s">
        <v>33602</v>
      </c>
      <c r="I3982" s="6">
        <v>526.6875</v>
      </c>
      <c r="J3982" s="2">
        <f t="shared" si="62"/>
        <v>43748.743307997684</v>
      </c>
    </row>
    <row r="3983" spans="1:10" x14ac:dyDescent="0.25">
      <c r="A3983" s="7" t="s">
        <v>33603</v>
      </c>
      <c r="B3983" s="8">
        <v>393.75</v>
      </c>
      <c r="C3983" s="8">
        <v>20.531590000000001</v>
      </c>
      <c r="D3983" s="8">
        <v>74</v>
      </c>
      <c r="E3983" s="8">
        <v>0</v>
      </c>
      <c r="F3983" s="8">
        <v>0</v>
      </c>
      <c r="G3983" s="8">
        <v>20</v>
      </c>
      <c r="H3983" s="8" t="s">
        <v>33604</v>
      </c>
      <c r="I3983" s="8">
        <v>526.6875</v>
      </c>
      <c r="J3983" s="3">
        <f t="shared" si="62"/>
        <v>43748.743379641201</v>
      </c>
    </row>
    <row r="3984" spans="1:10" x14ac:dyDescent="0.25">
      <c r="A3984" s="5" t="s">
        <v>33605</v>
      </c>
      <c r="B3984" s="6">
        <v>393.75</v>
      </c>
      <c r="C3984" s="6">
        <v>20.478950000000001</v>
      </c>
      <c r="D3984" s="6">
        <v>72</v>
      </c>
      <c r="E3984" s="6">
        <v>0</v>
      </c>
      <c r="F3984" s="6">
        <v>0</v>
      </c>
      <c r="G3984" s="6">
        <v>18</v>
      </c>
      <c r="H3984" s="6" t="s">
        <v>33606</v>
      </c>
      <c r="I3984" s="6">
        <v>526.6875</v>
      </c>
      <c r="J3984" s="2">
        <f t="shared" si="62"/>
        <v>43748.743463206018</v>
      </c>
    </row>
    <row r="3985" spans="1:10" x14ac:dyDescent="0.25">
      <c r="A3985" s="7" t="s">
        <v>33607</v>
      </c>
      <c r="B3985" s="8">
        <v>393.75</v>
      </c>
      <c r="C3985" s="8">
        <v>20.478950000000001</v>
      </c>
      <c r="D3985" s="8">
        <v>74</v>
      </c>
      <c r="E3985" s="8">
        <v>0</v>
      </c>
      <c r="F3985" s="8">
        <v>0</v>
      </c>
      <c r="G3985" s="8">
        <v>25</v>
      </c>
      <c r="H3985" s="8" t="s">
        <v>33608</v>
      </c>
      <c r="I3985" s="8">
        <v>526.6875</v>
      </c>
      <c r="J3985" s="3">
        <f t="shared" si="62"/>
        <v>43748.743558726848</v>
      </c>
    </row>
    <row r="3986" spans="1:10" x14ac:dyDescent="0.25">
      <c r="A3986" s="5" t="s">
        <v>33609</v>
      </c>
      <c r="B3986" s="6">
        <v>393.75</v>
      </c>
      <c r="C3986" s="6">
        <v>20.478950000000001</v>
      </c>
      <c r="D3986" s="6">
        <v>71</v>
      </c>
      <c r="E3986" s="6">
        <v>0</v>
      </c>
      <c r="F3986" s="6">
        <v>0</v>
      </c>
      <c r="G3986" s="6">
        <v>20</v>
      </c>
      <c r="H3986" s="6" t="s">
        <v>33610</v>
      </c>
      <c r="I3986" s="6">
        <v>526.6875</v>
      </c>
      <c r="J3986" s="2">
        <f t="shared" si="62"/>
        <v>43748.743642164351</v>
      </c>
    </row>
    <row r="3987" spans="1:10" x14ac:dyDescent="0.25">
      <c r="A3987" s="7" t="s">
        <v>33611</v>
      </c>
      <c r="B3987" s="8">
        <v>393.75</v>
      </c>
      <c r="C3987" s="8">
        <v>20.478950000000001</v>
      </c>
      <c r="D3987" s="8">
        <v>72</v>
      </c>
      <c r="E3987" s="8">
        <v>0</v>
      </c>
      <c r="F3987" s="8">
        <v>0</v>
      </c>
      <c r="G3987" s="8">
        <v>24</v>
      </c>
      <c r="H3987" s="8" t="s">
        <v>33612</v>
      </c>
      <c r="I3987" s="8">
        <v>526.6875</v>
      </c>
      <c r="J3987" s="3">
        <f t="shared" si="62"/>
        <v>43748.743713692129</v>
      </c>
    </row>
    <row r="3988" spans="1:10" x14ac:dyDescent="0.25">
      <c r="A3988" s="5" t="s">
        <v>33613</v>
      </c>
      <c r="B3988" s="6">
        <v>393.75</v>
      </c>
      <c r="C3988" s="6">
        <v>20.478950000000001</v>
      </c>
      <c r="D3988" s="6">
        <v>71</v>
      </c>
      <c r="E3988" s="6">
        <v>0</v>
      </c>
      <c r="F3988" s="6">
        <v>0</v>
      </c>
      <c r="G3988" s="6">
        <v>25</v>
      </c>
      <c r="H3988" s="6" t="s">
        <v>33614</v>
      </c>
      <c r="I3988" s="6">
        <v>526.6875</v>
      </c>
      <c r="J3988" s="2">
        <f t="shared" si="62"/>
        <v>43748.743785648148</v>
      </c>
    </row>
    <row r="3989" spans="1:10" x14ac:dyDescent="0.25">
      <c r="A3989" s="7" t="s">
        <v>33615</v>
      </c>
      <c r="B3989" s="8">
        <v>393.75</v>
      </c>
      <c r="C3989" s="8">
        <v>20.478950000000001</v>
      </c>
      <c r="D3989" s="8">
        <v>71</v>
      </c>
      <c r="E3989" s="8">
        <v>0</v>
      </c>
      <c r="F3989" s="8">
        <v>0</v>
      </c>
      <c r="G3989" s="8">
        <v>28</v>
      </c>
      <c r="H3989" s="8" t="s">
        <v>33616</v>
      </c>
      <c r="I3989" s="8">
        <v>526.5</v>
      </c>
      <c r="J3989" s="3">
        <f t="shared" si="62"/>
        <v>43748.743856875</v>
      </c>
    </row>
    <row r="3990" spans="1:10" x14ac:dyDescent="0.25">
      <c r="A3990" s="5" t="s">
        <v>33617</v>
      </c>
      <c r="B3990" s="6">
        <v>393.75</v>
      </c>
      <c r="C3990" s="6">
        <v>20.478950000000001</v>
      </c>
      <c r="D3990" s="6">
        <v>71</v>
      </c>
      <c r="E3990" s="6">
        <v>0</v>
      </c>
      <c r="F3990" s="6">
        <v>0</v>
      </c>
      <c r="G3990" s="6">
        <v>24</v>
      </c>
      <c r="H3990" s="6" t="s">
        <v>33618</v>
      </c>
      <c r="I3990" s="6">
        <v>526.6875</v>
      </c>
      <c r="J3990" s="2">
        <f t="shared" si="62"/>
        <v>43748.743928460644</v>
      </c>
    </row>
    <row r="3991" spans="1:10" x14ac:dyDescent="0.25">
      <c r="A3991" s="7" t="s">
        <v>33619</v>
      </c>
      <c r="B3991" s="8">
        <v>393.75</v>
      </c>
      <c r="C3991" s="8">
        <v>20.531590000000001</v>
      </c>
      <c r="D3991" s="8">
        <v>71</v>
      </c>
      <c r="E3991" s="8">
        <v>0</v>
      </c>
      <c r="F3991" s="8">
        <v>0</v>
      </c>
      <c r="G3991" s="8">
        <v>26</v>
      </c>
      <c r="H3991" s="8" t="s">
        <v>33620</v>
      </c>
      <c r="I3991" s="8">
        <v>526.6875</v>
      </c>
      <c r="J3991" s="3">
        <f t="shared" si="62"/>
        <v>43748.744015555552</v>
      </c>
    </row>
    <row r="3992" spans="1:10" x14ac:dyDescent="0.25">
      <c r="A3992" s="5" t="s">
        <v>33621</v>
      </c>
      <c r="B3992" s="6">
        <v>393.75</v>
      </c>
      <c r="C3992" s="6">
        <v>20.478950000000001</v>
      </c>
      <c r="D3992" s="6">
        <v>71</v>
      </c>
      <c r="E3992" s="6">
        <v>0</v>
      </c>
      <c r="F3992" s="6">
        <v>0</v>
      </c>
      <c r="G3992" s="6">
        <v>23</v>
      </c>
      <c r="H3992" s="6" t="s">
        <v>33622</v>
      </c>
      <c r="I3992" s="6">
        <v>526.6875</v>
      </c>
      <c r="J3992" s="2">
        <f t="shared" si="62"/>
        <v>43748.744095381939</v>
      </c>
    </row>
    <row r="3993" spans="1:10" x14ac:dyDescent="0.25">
      <c r="A3993" s="7" t="s">
        <v>33623</v>
      </c>
      <c r="B3993" s="8">
        <v>393.75</v>
      </c>
      <c r="C3993" s="8">
        <v>20.531590000000001</v>
      </c>
      <c r="D3993" s="8">
        <v>71</v>
      </c>
      <c r="E3993" s="8">
        <v>0</v>
      </c>
      <c r="F3993" s="8">
        <v>0</v>
      </c>
      <c r="G3993" s="8">
        <v>18</v>
      </c>
      <c r="H3993" s="8" t="s">
        <v>33624</v>
      </c>
      <c r="I3993" s="8">
        <v>526.6875</v>
      </c>
      <c r="J3993" s="3">
        <f t="shared" si="62"/>
        <v>43748.744178715271</v>
      </c>
    </row>
    <row r="3994" spans="1:10" x14ac:dyDescent="0.25">
      <c r="A3994" s="5" t="s">
        <v>33625</v>
      </c>
      <c r="B3994" s="6">
        <v>393.75</v>
      </c>
      <c r="C3994" s="6">
        <v>20.478950000000001</v>
      </c>
      <c r="D3994" s="6">
        <v>71</v>
      </c>
      <c r="E3994" s="6">
        <v>0</v>
      </c>
      <c r="F3994" s="6">
        <v>0</v>
      </c>
      <c r="G3994" s="6">
        <v>20</v>
      </c>
      <c r="H3994" s="6" t="s">
        <v>33626</v>
      </c>
      <c r="I3994" s="6">
        <v>526.6875</v>
      </c>
      <c r="J3994" s="2">
        <f t="shared" si="62"/>
        <v>43748.744262280095</v>
      </c>
    </row>
    <row r="3995" spans="1:10" x14ac:dyDescent="0.25">
      <c r="A3995" s="7" t="s">
        <v>33627</v>
      </c>
      <c r="B3995" s="8">
        <v>393.75</v>
      </c>
      <c r="C3995" s="8">
        <v>20.478950000000001</v>
      </c>
      <c r="D3995" s="8">
        <v>71</v>
      </c>
      <c r="E3995" s="8">
        <v>0</v>
      </c>
      <c r="F3995" s="8">
        <v>0</v>
      </c>
      <c r="G3995" s="8">
        <v>20</v>
      </c>
      <c r="H3995" s="8" t="s">
        <v>33628</v>
      </c>
      <c r="I3995" s="8">
        <v>526.6875</v>
      </c>
      <c r="J3995" s="3">
        <f t="shared" si="62"/>
        <v>43748.744345509258</v>
      </c>
    </row>
    <row r="3996" spans="1:10" x14ac:dyDescent="0.25">
      <c r="A3996" s="5" t="s">
        <v>33629</v>
      </c>
      <c r="B3996" s="6">
        <v>418.75</v>
      </c>
      <c r="C3996" s="6">
        <v>20.478950000000001</v>
      </c>
      <c r="D3996" s="6">
        <v>71</v>
      </c>
      <c r="E3996" s="6">
        <v>0</v>
      </c>
      <c r="F3996" s="6">
        <v>0</v>
      </c>
      <c r="G3996" s="6">
        <v>23</v>
      </c>
      <c r="H3996" s="6" t="s">
        <v>33630</v>
      </c>
      <c r="I3996" s="6">
        <v>534</v>
      </c>
      <c r="J3996" s="2">
        <f t="shared" si="62"/>
        <v>43748.744417141199</v>
      </c>
    </row>
    <row r="3997" spans="1:10" x14ac:dyDescent="0.25">
      <c r="A3997" s="7" t="s">
        <v>33631</v>
      </c>
      <c r="B3997" s="8">
        <v>393.75</v>
      </c>
      <c r="C3997" s="8">
        <v>20.478950000000001</v>
      </c>
      <c r="D3997" s="8">
        <v>70</v>
      </c>
      <c r="E3997" s="8">
        <v>0</v>
      </c>
      <c r="F3997" s="8">
        <v>0</v>
      </c>
      <c r="G3997" s="8">
        <v>22</v>
      </c>
      <c r="H3997" s="8" t="s">
        <v>33632</v>
      </c>
      <c r="I3997" s="8">
        <v>526.6875</v>
      </c>
      <c r="J3997" s="3">
        <f t="shared" si="62"/>
        <v>43748.744500925925</v>
      </c>
    </row>
    <row r="3998" spans="1:10" x14ac:dyDescent="0.25">
      <c r="A3998" s="5" t="s">
        <v>33633</v>
      </c>
      <c r="B3998" s="6">
        <v>393.75</v>
      </c>
      <c r="C3998" s="6">
        <v>20.478950000000001</v>
      </c>
      <c r="D3998" s="6">
        <v>70</v>
      </c>
      <c r="E3998" s="6">
        <v>0</v>
      </c>
      <c r="F3998" s="6">
        <v>0</v>
      </c>
      <c r="G3998" s="6">
        <v>34</v>
      </c>
      <c r="H3998" s="6" t="s">
        <v>33634</v>
      </c>
      <c r="I3998" s="6">
        <v>526.6875</v>
      </c>
      <c r="J3998" s="2">
        <f t="shared" si="62"/>
        <v>43748.744584270833</v>
      </c>
    </row>
    <row r="3999" spans="1:10" x14ac:dyDescent="0.25">
      <c r="A3999" s="7" t="s">
        <v>33635</v>
      </c>
      <c r="B3999" s="8">
        <v>412.5</v>
      </c>
      <c r="C3999" s="8">
        <v>20.478950000000001</v>
      </c>
      <c r="D3999" s="8">
        <v>70</v>
      </c>
      <c r="E3999" s="8">
        <v>0</v>
      </c>
      <c r="F3999" s="8">
        <v>0</v>
      </c>
      <c r="G3999" s="8">
        <v>25</v>
      </c>
      <c r="H3999" s="8" t="s">
        <v>33636</v>
      </c>
      <c r="I3999" s="8">
        <v>532.3125</v>
      </c>
      <c r="J3999" s="3">
        <f t="shared" si="62"/>
        <v>43748.744655937502</v>
      </c>
    </row>
    <row r="4000" spans="1:10" x14ac:dyDescent="0.25">
      <c r="A4000" s="5" t="s">
        <v>33637</v>
      </c>
      <c r="B4000" s="6">
        <v>393.75</v>
      </c>
      <c r="C4000" s="6">
        <v>20.478950000000001</v>
      </c>
      <c r="D4000" s="6">
        <v>70</v>
      </c>
      <c r="E4000" s="6">
        <v>0</v>
      </c>
      <c r="F4000" s="6">
        <v>0</v>
      </c>
      <c r="G4000" s="6">
        <v>21</v>
      </c>
      <c r="H4000" s="6" t="s">
        <v>33638</v>
      </c>
      <c r="I4000" s="6">
        <v>526.6875</v>
      </c>
      <c r="J4000" s="2">
        <f t="shared" si="62"/>
        <v>43748.744739351845</v>
      </c>
    </row>
    <row r="4001" spans="1:10" x14ac:dyDescent="0.25">
      <c r="A4001" s="7" t="s">
        <v>33639</v>
      </c>
      <c r="B4001" s="8">
        <v>393.75</v>
      </c>
      <c r="C4001" s="8">
        <v>20.478950000000001</v>
      </c>
      <c r="D4001" s="8">
        <v>70</v>
      </c>
      <c r="E4001" s="8">
        <v>0</v>
      </c>
      <c r="F4001" s="8">
        <v>0</v>
      </c>
      <c r="G4001" s="8">
        <v>24</v>
      </c>
      <c r="H4001" s="8" t="s">
        <v>33640</v>
      </c>
      <c r="I4001" s="8">
        <v>526.6875</v>
      </c>
      <c r="J4001" s="3">
        <f t="shared" si="62"/>
        <v>43748.744822800923</v>
      </c>
    </row>
    <row r="4002" spans="1:10" x14ac:dyDescent="0.25">
      <c r="A4002" s="5" t="s">
        <v>33641</v>
      </c>
      <c r="B4002" s="6">
        <v>393.75</v>
      </c>
      <c r="C4002" s="6">
        <v>20.478950000000001</v>
      </c>
      <c r="D4002" s="6">
        <v>70</v>
      </c>
      <c r="E4002" s="6">
        <v>0</v>
      </c>
      <c r="F4002" s="6">
        <v>0</v>
      </c>
      <c r="G4002" s="6">
        <v>17</v>
      </c>
      <c r="H4002" s="6" t="s">
        <v>33642</v>
      </c>
      <c r="I4002" s="6">
        <v>526.6875</v>
      </c>
      <c r="J4002" s="2">
        <f t="shared" si="62"/>
        <v>43748.744906365733</v>
      </c>
    </row>
    <row r="4003" spans="1:10" x14ac:dyDescent="0.25">
      <c r="A4003" s="7" t="s">
        <v>33643</v>
      </c>
      <c r="B4003" s="8">
        <v>393.75</v>
      </c>
      <c r="C4003" s="8">
        <v>20.478950000000001</v>
      </c>
      <c r="D4003" s="8">
        <v>72</v>
      </c>
      <c r="E4003" s="8">
        <v>0</v>
      </c>
      <c r="F4003" s="8">
        <v>0</v>
      </c>
      <c r="G4003" s="8">
        <v>16</v>
      </c>
      <c r="H4003" s="8" t="s">
        <v>33644</v>
      </c>
      <c r="I4003" s="8">
        <v>526.5</v>
      </c>
      <c r="J4003" s="3">
        <f t="shared" si="62"/>
        <v>43748.744989930557</v>
      </c>
    </row>
    <row r="4004" spans="1:10" x14ac:dyDescent="0.25">
      <c r="A4004" s="5" t="s">
        <v>33645</v>
      </c>
      <c r="B4004" s="6">
        <v>412.5</v>
      </c>
      <c r="C4004" s="6">
        <v>20.531590000000001</v>
      </c>
      <c r="D4004" s="6">
        <v>71</v>
      </c>
      <c r="E4004" s="6">
        <v>0</v>
      </c>
      <c r="F4004" s="6">
        <v>0</v>
      </c>
      <c r="G4004" s="6">
        <v>16</v>
      </c>
      <c r="H4004" s="6" t="s">
        <v>33646</v>
      </c>
      <c r="I4004" s="6">
        <v>532.3125</v>
      </c>
      <c r="J4004" s="2">
        <f t="shared" si="62"/>
        <v>43748.745073287035</v>
      </c>
    </row>
    <row r="4005" spans="1:10" x14ac:dyDescent="0.25">
      <c r="A4005" s="7" t="s">
        <v>33647</v>
      </c>
      <c r="B4005" s="8">
        <v>393.75</v>
      </c>
      <c r="C4005" s="8">
        <v>20.531590000000001</v>
      </c>
      <c r="D4005" s="8">
        <v>67</v>
      </c>
      <c r="E4005" s="8">
        <v>0</v>
      </c>
      <c r="F4005" s="8">
        <v>0</v>
      </c>
      <c r="G4005" s="8">
        <v>12</v>
      </c>
      <c r="H4005" s="8" t="s">
        <v>33648</v>
      </c>
      <c r="I4005" s="8">
        <v>526.6875</v>
      </c>
      <c r="J4005" s="3">
        <f t="shared" si="62"/>
        <v>43748.745156493052</v>
      </c>
    </row>
    <row r="4006" spans="1:10" x14ac:dyDescent="0.25">
      <c r="A4006" s="5" t="s">
        <v>33649</v>
      </c>
      <c r="B4006" s="6">
        <v>393.75</v>
      </c>
      <c r="C4006" s="6">
        <v>20.478950000000001</v>
      </c>
      <c r="D4006" s="6">
        <v>67</v>
      </c>
      <c r="E4006" s="6">
        <v>0</v>
      </c>
      <c r="F4006" s="6">
        <v>0</v>
      </c>
      <c r="G4006" s="6">
        <v>19</v>
      </c>
      <c r="H4006" s="6" t="s">
        <v>33650</v>
      </c>
      <c r="I4006" s="6">
        <v>526.6875</v>
      </c>
      <c r="J4006" s="2">
        <f t="shared" si="62"/>
        <v>43748.745228263891</v>
      </c>
    </row>
    <row r="4007" spans="1:10" x14ac:dyDescent="0.25">
      <c r="A4007" s="7" t="s">
        <v>33651</v>
      </c>
      <c r="B4007" s="8">
        <v>393.75</v>
      </c>
      <c r="C4007" s="8">
        <v>20.478950000000001</v>
      </c>
      <c r="D4007" s="8">
        <v>65</v>
      </c>
      <c r="E4007" s="8">
        <v>0</v>
      </c>
      <c r="F4007" s="8">
        <v>0</v>
      </c>
      <c r="G4007" s="8">
        <v>18</v>
      </c>
      <c r="H4007" s="8" t="s">
        <v>33652</v>
      </c>
      <c r="I4007" s="8">
        <v>526.6875</v>
      </c>
      <c r="J4007" s="3">
        <f t="shared" si="62"/>
        <v>43748.745311817132</v>
      </c>
    </row>
    <row r="4008" spans="1:10" x14ac:dyDescent="0.25">
      <c r="A4008" s="5" t="s">
        <v>33653</v>
      </c>
      <c r="B4008" s="6">
        <v>393.75</v>
      </c>
      <c r="C4008" s="6">
        <v>20.478950000000001</v>
      </c>
      <c r="D4008" s="6">
        <v>65</v>
      </c>
      <c r="E4008" s="6">
        <v>0</v>
      </c>
      <c r="F4008" s="6">
        <v>0</v>
      </c>
      <c r="G4008" s="6">
        <v>17</v>
      </c>
      <c r="H4008" s="6" t="s">
        <v>33654</v>
      </c>
      <c r="I4008" s="6">
        <v>526.6875</v>
      </c>
      <c r="J4008" s="2">
        <f t="shared" si="62"/>
        <v>43748.745395266196</v>
      </c>
    </row>
    <row r="4009" spans="1:10" x14ac:dyDescent="0.25">
      <c r="A4009" s="7" t="s">
        <v>33655</v>
      </c>
      <c r="B4009" s="8">
        <v>393.75</v>
      </c>
      <c r="C4009" s="8">
        <v>20.531590000000001</v>
      </c>
      <c r="D4009" s="8">
        <v>66</v>
      </c>
      <c r="E4009" s="8">
        <v>0</v>
      </c>
      <c r="F4009" s="8">
        <v>0</v>
      </c>
      <c r="G4009" s="8">
        <v>12</v>
      </c>
      <c r="H4009" s="8" t="s">
        <v>33656</v>
      </c>
      <c r="I4009" s="8">
        <v>526.6875</v>
      </c>
      <c r="J4009" s="3">
        <f t="shared" si="62"/>
        <v>43748.745478842589</v>
      </c>
    </row>
    <row r="4010" spans="1:10" x14ac:dyDescent="0.25">
      <c r="A4010" s="5" t="s">
        <v>33657</v>
      </c>
      <c r="B4010" s="6">
        <v>393.75</v>
      </c>
      <c r="C4010" s="6">
        <v>20.531590000000001</v>
      </c>
      <c r="D4010" s="6">
        <v>66</v>
      </c>
      <c r="E4010" s="6">
        <v>0</v>
      </c>
      <c r="F4010" s="6">
        <v>0</v>
      </c>
      <c r="G4010" s="6">
        <v>12</v>
      </c>
      <c r="H4010" s="6" t="s">
        <v>33658</v>
      </c>
      <c r="I4010" s="6">
        <v>526.6875</v>
      </c>
      <c r="J4010" s="2">
        <f t="shared" si="62"/>
        <v>43748.745562280092</v>
      </c>
    </row>
    <row r="4011" spans="1:10" x14ac:dyDescent="0.25">
      <c r="A4011" s="7" t="s">
        <v>33659</v>
      </c>
      <c r="B4011" s="8">
        <v>393.75</v>
      </c>
      <c r="C4011" s="8">
        <v>20.478950000000001</v>
      </c>
      <c r="D4011" s="8">
        <v>66</v>
      </c>
      <c r="E4011" s="8">
        <v>0</v>
      </c>
      <c r="F4011" s="8">
        <v>0</v>
      </c>
      <c r="G4011" s="8">
        <v>18</v>
      </c>
      <c r="H4011" s="8" t="s">
        <v>33660</v>
      </c>
      <c r="I4011" s="8">
        <v>526.6875</v>
      </c>
      <c r="J4011" s="3">
        <f t="shared" si="62"/>
        <v>43748.745645509254</v>
      </c>
    </row>
    <row r="4012" spans="1:10" x14ac:dyDescent="0.25">
      <c r="A4012" s="5" t="s">
        <v>33661</v>
      </c>
      <c r="B4012" s="6">
        <v>393.75</v>
      </c>
      <c r="C4012" s="6">
        <v>20.478950000000001</v>
      </c>
      <c r="D4012" s="6">
        <v>66</v>
      </c>
      <c r="E4012" s="6">
        <v>0</v>
      </c>
      <c r="F4012" s="6">
        <v>0</v>
      </c>
      <c r="G4012" s="6">
        <v>17</v>
      </c>
      <c r="H4012" s="6" t="s">
        <v>33662</v>
      </c>
      <c r="I4012" s="6">
        <v>526.6875</v>
      </c>
      <c r="J4012" s="2">
        <f t="shared" si="62"/>
        <v>43748.745717141202</v>
      </c>
    </row>
    <row r="4013" spans="1:10" x14ac:dyDescent="0.25">
      <c r="A4013" s="7" t="s">
        <v>33663</v>
      </c>
      <c r="B4013" s="8">
        <v>393.75</v>
      </c>
      <c r="C4013" s="8">
        <v>20.478950000000001</v>
      </c>
      <c r="D4013" s="8">
        <v>67</v>
      </c>
      <c r="E4013" s="8">
        <v>0</v>
      </c>
      <c r="F4013" s="8">
        <v>0</v>
      </c>
      <c r="G4013" s="8">
        <v>20</v>
      </c>
      <c r="H4013" s="8" t="s">
        <v>33664</v>
      </c>
      <c r="I4013" s="8">
        <v>526.6875</v>
      </c>
      <c r="J4013" s="3">
        <f t="shared" si="62"/>
        <v>43748.745800949073</v>
      </c>
    </row>
    <row r="4014" spans="1:10" x14ac:dyDescent="0.25">
      <c r="A4014" s="5" t="s">
        <v>33665</v>
      </c>
      <c r="B4014" s="6">
        <v>412.5</v>
      </c>
      <c r="C4014" s="6">
        <v>20.478950000000001</v>
      </c>
      <c r="D4014" s="6">
        <v>69</v>
      </c>
      <c r="E4014" s="6">
        <v>0</v>
      </c>
      <c r="F4014" s="6">
        <v>0</v>
      </c>
      <c r="G4014" s="6">
        <v>20</v>
      </c>
      <c r="H4014" s="6" t="s">
        <v>33666</v>
      </c>
      <c r="I4014" s="6">
        <v>532.6875</v>
      </c>
      <c r="J4014" s="2">
        <f t="shared" si="62"/>
        <v>43748.745884282405</v>
      </c>
    </row>
    <row r="4015" spans="1:10" x14ac:dyDescent="0.25">
      <c r="A4015" s="7" t="s">
        <v>33667</v>
      </c>
      <c r="B4015" s="8">
        <v>393.75</v>
      </c>
      <c r="C4015" s="8">
        <v>20.478950000000001</v>
      </c>
      <c r="D4015" s="8">
        <v>69</v>
      </c>
      <c r="E4015" s="8">
        <v>0</v>
      </c>
      <c r="F4015" s="8">
        <v>0</v>
      </c>
      <c r="G4015" s="8">
        <v>14</v>
      </c>
      <c r="H4015" s="8" t="s">
        <v>33668</v>
      </c>
      <c r="I4015" s="8">
        <v>526.6875</v>
      </c>
      <c r="J4015" s="3">
        <f t="shared" si="62"/>
        <v>43748.745967604169</v>
      </c>
    </row>
    <row r="4016" spans="1:10" x14ac:dyDescent="0.25">
      <c r="A4016" s="5" t="s">
        <v>33669</v>
      </c>
      <c r="B4016" s="6">
        <v>393.75</v>
      </c>
      <c r="C4016" s="6">
        <v>20.478950000000001</v>
      </c>
      <c r="D4016" s="6">
        <v>69</v>
      </c>
      <c r="E4016" s="6">
        <v>0</v>
      </c>
      <c r="F4016" s="6">
        <v>0</v>
      </c>
      <c r="G4016" s="6">
        <v>11</v>
      </c>
      <c r="H4016" s="6" t="s">
        <v>33670</v>
      </c>
      <c r="I4016" s="6">
        <v>526.6875</v>
      </c>
      <c r="J4016" s="2">
        <f t="shared" si="62"/>
        <v>43748.746051284725</v>
      </c>
    </row>
    <row r="4017" spans="1:10" x14ac:dyDescent="0.25">
      <c r="A4017" s="7" t="s">
        <v>33671</v>
      </c>
      <c r="B4017" s="8">
        <v>393.75</v>
      </c>
      <c r="C4017" s="8">
        <v>20.478950000000001</v>
      </c>
      <c r="D4017" s="8">
        <v>67</v>
      </c>
      <c r="E4017" s="8">
        <v>0</v>
      </c>
      <c r="F4017" s="8">
        <v>0</v>
      </c>
      <c r="G4017" s="8">
        <v>26</v>
      </c>
      <c r="H4017" s="8" t="s">
        <v>33672</v>
      </c>
      <c r="I4017" s="8">
        <v>526.6875</v>
      </c>
      <c r="J4017" s="3">
        <f t="shared" si="62"/>
        <v>43748.746134374996</v>
      </c>
    </row>
    <row r="4018" spans="1:10" x14ac:dyDescent="0.25">
      <c r="A4018" s="5" t="s">
        <v>33673</v>
      </c>
      <c r="B4018" s="6">
        <v>393.75</v>
      </c>
      <c r="C4018" s="6">
        <v>20.478950000000001</v>
      </c>
      <c r="D4018" s="6">
        <v>67</v>
      </c>
      <c r="E4018" s="6">
        <v>0</v>
      </c>
      <c r="F4018" s="6">
        <v>0</v>
      </c>
      <c r="G4018" s="6">
        <v>25</v>
      </c>
      <c r="H4018" s="6" t="s">
        <v>33674</v>
      </c>
      <c r="I4018" s="6">
        <v>526.6875</v>
      </c>
      <c r="J4018" s="2">
        <f t="shared" si="62"/>
        <v>43748.746218379623</v>
      </c>
    </row>
    <row r="4019" spans="1:10" x14ac:dyDescent="0.25">
      <c r="A4019" s="7" t="s">
        <v>33675</v>
      </c>
      <c r="B4019" s="8">
        <v>393.75</v>
      </c>
      <c r="C4019" s="8">
        <v>20.478950000000001</v>
      </c>
      <c r="D4019" s="8">
        <v>68</v>
      </c>
      <c r="E4019" s="8">
        <v>0</v>
      </c>
      <c r="F4019" s="8">
        <v>0</v>
      </c>
      <c r="G4019" s="8">
        <v>18</v>
      </c>
      <c r="H4019" s="8" t="s">
        <v>33676</v>
      </c>
      <c r="I4019" s="8">
        <v>526.6875</v>
      </c>
      <c r="J4019" s="3">
        <f t="shared" si="62"/>
        <v>43748.74630175926</v>
      </c>
    </row>
    <row r="4020" spans="1:10" x14ac:dyDescent="0.25">
      <c r="A4020" s="5" t="s">
        <v>33677</v>
      </c>
      <c r="B4020" s="6">
        <v>393.75</v>
      </c>
      <c r="C4020" s="6">
        <v>20.478950000000001</v>
      </c>
      <c r="D4020" s="6">
        <v>67</v>
      </c>
      <c r="E4020" s="6">
        <v>0</v>
      </c>
      <c r="F4020" s="6">
        <v>0</v>
      </c>
      <c r="G4020" s="6">
        <v>15</v>
      </c>
      <c r="H4020" s="6" t="s">
        <v>33678</v>
      </c>
      <c r="I4020" s="6">
        <v>526.6875</v>
      </c>
      <c r="J4020" s="2">
        <f t="shared" si="62"/>
        <v>43748.746373310183</v>
      </c>
    </row>
    <row r="4021" spans="1:10" x14ac:dyDescent="0.25">
      <c r="A4021" s="7" t="s">
        <v>33679</v>
      </c>
      <c r="B4021" s="8">
        <v>393.75</v>
      </c>
      <c r="C4021" s="8">
        <v>20.478950000000001</v>
      </c>
      <c r="D4021" s="8">
        <v>68</v>
      </c>
      <c r="E4021" s="8">
        <v>0</v>
      </c>
      <c r="F4021" s="8">
        <v>0</v>
      </c>
      <c r="G4021" s="8">
        <v>16</v>
      </c>
      <c r="H4021" s="8" t="s">
        <v>33680</v>
      </c>
      <c r="I4021" s="8">
        <v>526.6875</v>
      </c>
      <c r="J4021" s="3">
        <f t="shared" si="62"/>
        <v>43748.74645648148</v>
      </c>
    </row>
    <row r="4022" spans="1:10" x14ac:dyDescent="0.25">
      <c r="A4022" s="5" t="s">
        <v>33681</v>
      </c>
      <c r="B4022" s="6">
        <v>396.875</v>
      </c>
      <c r="C4022" s="6">
        <v>20.478950000000001</v>
      </c>
      <c r="D4022" s="6">
        <v>68</v>
      </c>
      <c r="E4022" s="6">
        <v>0</v>
      </c>
      <c r="F4022" s="6">
        <v>0</v>
      </c>
      <c r="G4022" s="6">
        <v>22</v>
      </c>
      <c r="H4022" s="6" t="s">
        <v>33682</v>
      </c>
      <c r="I4022" s="6">
        <v>527.625</v>
      </c>
      <c r="J4022" s="2">
        <f t="shared" si="62"/>
        <v>43748.746528252312</v>
      </c>
    </row>
    <row r="4023" spans="1:10" x14ac:dyDescent="0.25">
      <c r="A4023" s="7" t="s">
        <v>33683</v>
      </c>
      <c r="B4023" s="8">
        <v>396.875</v>
      </c>
      <c r="C4023" s="8">
        <v>20.478950000000001</v>
      </c>
      <c r="D4023" s="8">
        <v>67</v>
      </c>
      <c r="E4023" s="8">
        <v>0</v>
      </c>
      <c r="F4023" s="8">
        <v>0</v>
      </c>
      <c r="G4023" s="8">
        <v>17</v>
      </c>
      <c r="H4023" s="8" t="s">
        <v>33684</v>
      </c>
      <c r="I4023" s="8">
        <v>527.4375</v>
      </c>
      <c r="J4023" s="3">
        <f t="shared" si="62"/>
        <v>43748.746611782401</v>
      </c>
    </row>
    <row r="4024" spans="1:10" x14ac:dyDescent="0.25">
      <c r="A4024" s="5" t="s">
        <v>33685</v>
      </c>
      <c r="B4024" s="6">
        <v>396.875</v>
      </c>
      <c r="C4024" s="6">
        <v>20.478950000000001</v>
      </c>
      <c r="D4024" s="6">
        <v>68</v>
      </c>
      <c r="E4024" s="6">
        <v>0</v>
      </c>
      <c r="F4024" s="6">
        <v>0</v>
      </c>
      <c r="G4024" s="6">
        <v>10</v>
      </c>
      <c r="H4024" s="6" t="s">
        <v>33686</v>
      </c>
      <c r="I4024" s="6">
        <v>527.4375</v>
      </c>
      <c r="J4024" s="2">
        <f t="shared" si="62"/>
        <v>43748.746694907408</v>
      </c>
    </row>
    <row r="4025" spans="1:10" x14ac:dyDescent="0.25">
      <c r="A4025" s="7" t="s">
        <v>33687</v>
      </c>
      <c r="B4025" s="8">
        <v>396.875</v>
      </c>
      <c r="C4025" s="8">
        <v>20.478950000000001</v>
      </c>
      <c r="D4025" s="8">
        <v>68</v>
      </c>
      <c r="E4025" s="8">
        <v>0</v>
      </c>
      <c r="F4025" s="8">
        <v>0</v>
      </c>
      <c r="G4025" s="8">
        <v>20</v>
      </c>
      <c r="H4025" s="8" t="s">
        <v>33688</v>
      </c>
      <c r="I4025" s="8">
        <v>527.4375</v>
      </c>
      <c r="J4025" s="3">
        <f t="shared" si="62"/>
        <v>43748.746778715278</v>
      </c>
    </row>
    <row r="4026" spans="1:10" x14ac:dyDescent="0.25">
      <c r="A4026" s="5" t="s">
        <v>33689</v>
      </c>
      <c r="B4026" s="6">
        <v>400</v>
      </c>
      <c r="C4026" s="6">
        <v>20.478950000000001</v>
      </c>
      <c r="D4026" s="6">
        <v>67</v>
      </c>
      <c r="E4026" s="6">
        <v>0</v>
      </c>
      <c r="F4026" s="6">
        <v>0</v>
      </c>
      <c r="G4026" s="6">
        <v>15</v>
      </c>
      <c r="H4026" s="6" t="s">
        <v>33690</v>
      </c>
      <c r="I4026" s="6">
        <v>528.375</v>
      </c>
      <c r="J4026" s="2">
        <f t="shared" si="62"/>
        <v>43748.746874097218</v>
      </c>
    </row>
    <row r="4027" spans="1:10" x14ac:dyDescent="0.25">
      <c r="A4027" s="7" t="s">
        <v>33691</v>
      </c>
      <c r="B4027" s="8">
        <v>396.875</v>
      </c>
      <c r="C4027" s="8">
        <v>20.478950000000001</v>
      </c>
      <c r="D4027" s="8">
        <v>68</v>
      </c>
      <c r="E4027" s="8">
        <v>0</v>
      </c>
      <c r="F4027" s="8">
        <v>0</v>
      </c>
      <c r="G4027" s="8">
        <v>20</v>
      </c>
      <c r="H4027" s="8" t="s">
        <v>33692</v>
      </c>
      <c r="I4027" s="8">
        <v>527.4375</v>
      </c>
      <c r="J4027" s="3">
        <f t="shared" si="62"/>
        <v>43748.74695753472</v>
      </c>
    </row>
    <row r="4028" spans="1:10" x14ac:dyDescent="0.25">
      <c r="A4028" s="5" t="s">
        <v>33693</v>
      </c>
      <c r="B4028" s="6">
        <v>396.875</v>
      </c>
      <c r="C4028" s="6">
        <v>20.531590000000001</v>
      </c>
      <c r="D4028" s="6">
        <v>68</v>
      </c>
      <c r="E4028" s="6">
        <v>0</v>
      </c>
      <c r="F4028" s="6">
        <v>0</v>
      </c>
      <c r="G4028" s="6">
        <v>26</v>
      </c>
      <c r="H4028" s="6" t="s">
        <v>33694</v>
      </c>
      <c r="I4028" s="6">
        <v>527.4375</v>
      </c>
      <c r="J4028" s="2">
        <f t="shared" si="62"/>
        <v>43748.747029074068</v>
      </c>
    </row>
    <row r="4029" spans="1:10" x14ac:dyDescent="0.25">
      <c r="A4029" s="7" t="s">
        <v>33695</v>
      </c>
      <c r="B4029" s="8">
        <v>396.875</v>
      </c>
      <c r="C4029" s="8">
        <v>20.478950000000001</v>
      </c>
      <c r="D4029" s="8">
        <v>69</v>
      </c>
      <c r="E4029" s="8">
        <v>0</v>
      </c>
      <c r="F4029" s="8">
        <v>0</v>
      </c>
      <c r="G4029" s="8">
        <v>17</v>
      </c>
      <c r="H4029" s="8" t="s">
        <v>33696</v>
      </c>
      <c r="I4029" s="8">
        <v>527.4375</v>
      </c>
      <c r="J4029" s="3">
        <f t="shared" si="62"/>
        <v>43748.747124664347</v>
      </c>
    </row>
    <row r="4030" spans="1:10" x14ac:dyDescent="0.25">
      <c r="A4030" s="5" t="s">
        <v>33697</v>
      </c>
      <c r="B4030" s="6">
        <v>396.875</v>
      </c>
      <c r="C4030" s="6">
        <v>20.531590000000001</v>
      </c>
      <c r="D4030" s="6">
        <v>70</v>
      </c>
      <c r="E4030" s="6">
        <v>0</v>
      </c>
      <c r="F4030" s="6">
        <v>0</v>
      </c>
      <c r="G4030" s="6">
        <v>14</v>
      </c>
      <c r="H4030" s="6" t="s">
        <v>33698</v>
      </c>
      <c r="I4030" s="6">
        <v>527.4375</v>
      </c>
      <c r="J4030" s="2">
        <f t="shared" si="62"/>
        <v>43748.747208124994</v>
      </c>
    </row>
    <row r="4031" spans="1:10" x14ac:dyDescent="0.25">
      <c r="A4031" s="7" t="s">
        <v>33699</v>
      </c>
      <c r="B4031" s="8">
        <v>400</v>
      </c>
      <c r="C4031" s="8">
        <v>20.478950000000001</v>
      </c>
      <c r="D4031" s="8">
        <v>69</v>
      </c>
      <c r="E4031" s="8">
        <v>0</v>
      </c>
      <c r="F4031" s="8">
        <v>0</v>
      </c>
      <c r="G4031" s="8">
        <v>23</v>
      </c>
      <c r="H4031" s="8" t="s">
        <v>33700</v>
      </c>
      <c r="I4031" s="8">
        <v>528.1875</v>
      </c>
      <c r="J4031" s="3">
        <f t="shared" si="62"/>
        <v>43748.747291550921</v>
      </c>
    </row>
    <row r="4032" spans="1:10" x14ac:dyDescent="0.25">
      <c r="A4032" s="5" t="s">
        <v>33701</v>
      </c>
      <c r="B4032" s="6">
        <v>400</v>
      </c>
      <c r="C4032" s="6">
        <v>20.584240000000001</v>
      </c>
      <c r="D4032" s="6">
        <v>68</v>
      </c>
      <c r="E4032" s="6">
        <v>0</v>
      </c>
      <c r="F4032" s="6">
        <v>0</v>
      </c>
      <c r="G4032" s="6">
        <v>18</v>
      </c>
      <c r="H4032" s="6" t="s">
        <v>33702</v>
      </c>
      <c r="I4032" s="6">
        <v>528.375</v>
      </c>
      <c r="J4032" s="2">
        <f t="shared" si="62"/>
        <v>43748.747375011568</v>
      </c>
    </row>
    <row r="4033" spans="1:10" x14ac:dyDescent="0.25">
      <c r="A4033" s="7" t="s">
        <v>33703</v>
      </c>
      <c r="B4033" s="8">
        <v>418.75</v>
      </c>
      <c r="C4033" s="8">
        <v>20.584240000000001</v>
      </c>
      <c r="D4033" s="8">
        <v>67</v>
      </c>
      <c r="E4033" s="8">
        <v>0</v>
      </c>
      <c r="F4033" s="8">
        <v>0</v>
      </c>
      <c r="G4033" s="8">
        <v>19</v>
      </c>
      <c r="H4033" s="8" t="s">
        <v>33704</v>
      </c>
      <c r="I4033" s="8">
        <v>534.75</v>
      </c>
      <c r="J4033" s="3">
        <f t="shared" si="62"/>
        <v>43748.747463032407</v>
      </c>
    </row>
    <row r="4034" spans="1:10" x14ac:dyDescent="0.25">
      <c r="A4034" s="5" t="s">
        <v>33705</v>
      </c>
      <c r="B4034" s="6">
        <v>400</v>
      </c>
      <c r="C4034" s="6">
        <v>20.531590000000001</v>
      </c>
      <c r="D4034" s="6">
        <v>68</v>
      </c>
      <c r="E4034" s="6">
        <v>0</v>
      </c>
      <c r="F4034" s="6">
        <v>0</v>
      </c>
      <c r="G4034" s="6">
        <v>17</v>
      </c>
      <c r="H4034" s="6" t="s">
        <v>33706</v>
      </c>
      <c r="I4034" s="6">
        <v>528.1875</v>
      </c>
      <c r="J4034" s="2">
        <f t="shared" ref="J4034:J4097" si="63">(H4034/86400000)+25569+(7/24)</f>
        <v>43748.74754178241</v>
      </c>
    </row>
    <row r="4035" spans="1:10" x14ac:dyDescent="0.25">
      <c r="A4035" s="7" t="s">
        <v>33707</v>
      </c>
      <c r="B4035" s="8">
        <v>400</v>
      </c>
      <c r="C4035" s="8">
        <v>20.478950000000001</v>
      </c>
      <c r="D4035" s="8">
        <v>68</v>
      </c>
      <c r="E4035" s="8">
        <v>0</v>
      </c>
      <c r="F4035" s="8">
        <v>0</v>
      </c>
      <c r="G4035" s="8">
        <v>16</v>
      </c>
      <c r="H4035" s="8" t="s">
        <v>33708</v>
      </c>
      <c r="I4035" s="8">
        <v>528.1875</v>
      </c>
      <c r="J4035" s="3">
        <f t="shared" si="63"/>
        <v>43748.747613449072</v>
      </c>
    </row>
    <row r="4036" spans="1:10" x14ac:dyDescent="0.25">
      <c r="A4036" s="5" t="s">
        <v>33709</v>
      </c>
      <c r="B4036" s="6">
        <v>396.875</v>
      </c>
      <c r="C4036" s="6">
        <v>20.478950000000001</v>
      </c>
      <c r="D4036" s="6">
        <v>68</v>
      </c>
      <c r="E4036" s="6">
        <v>0</v>
      </c>
      <c r="F4036" s="6">
        <v>0</v>
      </c>
      <c r="G4036" s="6">
        <v>14</v>
      </c>
      <c r="H4036" s="6" t="s">
        <v>33710</v>
      </c>
      <c r="I4036" s="6">
        <v>527.4375</v>
      </c>
      <c r="J4036" s="2">
        <f t="shared" si="63"/>
        <v>43748.747697349536</v>
      </c>
    </row>
    <row r="4037" spans="1:10" x14ac:dyDescent="0.25">
      <c r="A4037" s="7" t="s">
        <v>33711</v>
      </c>
      <c r="B4037" s="8">
        <v>396.875</v>
      </c>
      <c r="C4037" s="8">
        <v>20.478950000000001</v>
      </c>
      <c r="D4037" s="8">
        <v>69</v>
      </c>
      <c r="E4037" s="8">
        <v>0</v>
      </c>
      <c r="F4037" s="8">
        <v>0</v>
      </c>
      <c r="G4037" s="8">
        <v>24</v>
      </c>
      <c r="H4037" s="8" t="s">
        <v>33712</v>
      </c>
      <c r="I4037" s="8">
        <v>527.4375</v>
      </c>
      <c r="J4037" s="3">
        <f t="shared" si="63"/>
        <v>43748.74778056713</v>
      </c>
    </row>
    <row r="4038" spans="1:10" x14ac:dyDescent="0.25">
      <c r="A4038" s="5" t="s">
        <v>33713</v>
      </c>
      <c r="B4038" s="6">
        <v>415.625</v>
      </c>
      <c r="C4038" s="6">
        <v>20.478950000000001</v>
      </c>
      <c r="D4038" s="6">
        <v>69</v>
      </c>
      <c r="E4038" s="6">
        <v>0</v>
      </c>
      <c r="F4038" s="6">
        <v>0</v>
      </c>
      <c r="G4038" s="6">
        <v>12</v>
      </c>
      <c r="H4038" s="6" t="s">
        <v>33714</v>
      </c>
      <c r="I4038" s="6">
        <v>533.0625</v>
      </c>
      <c r="J4038" s="2">
        <f t="shared" si="63"/>
        <v>43748.74786398148</v>
      </c>
    </row>
    <row r="4039" spans="1:10" x14ac:dyDescent="0.25">
      <c r="A4039" s="7" t="s">
        <v>33715</v>
      </c>
      <c r="B4039" s="8">
        <v>396.875</v>
      </c>
      <c r="C4039" s="8">
        <v>20.478950000000001</v>
      </c>
      <c r="D4039" s="8">
        <v>69</v>
      </c>
      <c r="E4039" s="8">
        <v>0</v>
      </c>
      <c r="F4039" s="8">
        <v>0</v>
      </c>
      <c r="G4039" s="8">
        <v>20</v>
      </c>
      <c r="H4039" s="8" t="s">
        <v>33716</v>
      </c>
      <c r="I4039" s="8">
        <v>527.4375</v>
      </c>
      <c r="J4039" s="3">
        <f t="shared" si="63"/>
        <v>43748.747947569442</v>
      </c>
    </row>
    <row r="4040" spans="1:10" x14ac:dyDescent="0.25">
      <c r="A4040" s="5" t="s">
        <v>33717</v>
      </c>
      <c r="B4040" s="6">
        <v>396.875</v>
      </c>
      <c r="C4040" s="6">
        <v>20.478950000000001</v>
      </c>
      <c r="D4040" s="6">
        <v>69</v>
      </c>
      <c r="E4040" s="6">
        <v>0</v>
      </c>
      <c r="F4040" s="6">
        <v>0</v>
      </c>
      <c r="G4040" s="6">
        <v>19</v>
      </c>
      <c r="H4040" s="6" t="s">
        <v>33718</v>
      </c>
      <c r="I4040" s="6">
        <v>527.4375</v>
      </c>
      <c r="J4040" s="2">
        <f t="shared" si="63"/>
        <v>43748.748030694442</v>
      </c>
    </row>
    <row r="4041" spans="1:10" x14ac:dyDescent="0.25">
      <c r="A4041" s="7" t="s">
        <v>33719</v>
      </c>
      <c r="B4041" s="8">
        <v>400</v>
      </c>
      <c r="C4041" s="8">
        <v>20.478950000000001</v>
      </c>
      <c r="D4041" s="8">
        <v>68</v>
      </c>
      <c r="E4041" s="8">
        <v>0</v>
      </c>
      <c r="F4041" s="8">
        <v>0</v>
      </c>
      <c r="G4041" s="8">
        <v>20</v>
      </c>
      <c r="H4041" s="8" t="s">
        <v>33720</v>
      </c>
      <c r="I4041" s="8">
        <v>528.1875</v>
      </c>
      <c r="J4041" s="3">
        <f t="shared" si="63"/>
        <v>43748.748115717586</v>
      </c>
    </row>
    <row r="4042" spans="1:10" x14ac:dyDescent="0.25">
      <c r="A4042" s="5" t="s">
        <v>33721</v>
      </c>
      <c r="B4042" s="6">
        <v>403.125</v>
      </c>
      <c r="C4042" s="6">
        <v>20.478950000000001</v>
      </c>
      <c r="D4042" s="6">
        <v>68</v>
      </c>
      <c r="E4042" s="6">
        <v>0</v>
      </c>
      <c r="F4042" s="6">
        <v>0</v>
      </c>
      <c r="G4042" s="6">
        <v>16</v>
      </c>
      <c r="H4042" s="6" t="s">
        <v>33722</v>
      </c>
      <c r="I4042" s="6">
        <v>529.125</v>
      </c>
      <c r="J4042" s="2">
        <f t="shared" si="63"/>
        <v>43748.748198171299</v>
      </c>
    </row>
    <row r="4043" spans="1:10" x14ac:dyDescent="0.25">
      <c r="A4043" s="7" t="s">
        <v>33723</v>
      </c>
      <c r="B4043" s="8">
        <v>403.125</v>
      </c>
      <c r="C4043" s="8">
        <v>20.478950000000001</v>
      </c>
      <c r="D4043" s="8">
        <v>71</v>
      </c>
      <c r="E4043" s="8">
        <v>0</v>
      </c>
      <c r="F4043" s="8">
        <v>0</v>
      </c>
      <c r="G4043" s="8">
        <v>14</v>
      </c>
      <c r="H4043" s="8" t="s">
        <v>33724</v>
      </c>
      <c r="I4043" s="8">
        <v>529.125</v>
      </c>
      <c r="J4043" s="3">
        <f t="shared" si="63"/>
        <v>43748.748269594907</v>
      </c>
    </row>
    <row r="4044" spans="1:10" x14ac:dyDescent="0.25">
      <c r="A4044" s="5" t="s">
        <v>33725</v>
      </c>
      <c r="B4044" s="6">
        <v>400</v>
      </c>
      <c r="C4044" s="6">
        <v>20.478950000000001</v>
      </c>
      <c r="D4044" s="6">
        <v>71</v>
      </c>
      <c r="E4044" s="6">
        <v>0</v>
      </c>
      <c r="F4044" s="6">
        <v>0</v>
      </c>
      <c r="G4044" s="6">
        <v>17</v>
      </c>
      <c r="H4044" s="6" t="s">
        <v>33726</v>
      </c>
      <c r="I4044" s="6">
        <v>528.375</v>
      </c>
      <c r="J4044" s="2">
        <f t="shared" si="63"/>
        <v>43748.748352777773</v>
      </c>
    </row>
    <row r="4045" spans="1:10" x14ac:dyDescent="0.25">
      <c r="A4045" s="7" t="s">
        <v>33727</v>
      </c>
      <c r="B4045" s="8">
        <v>396.875</v>
      </c>
      <c r="C4045" s="8">
        <v>20.478950000000001</v>
      </c>
      <c r="D4045" s="8">
        <v>71</v>
      </c>
      <c r="E4045" s="8">
        <v>0</v>
      </c>
      <c r="F4045" s="8">
        <v>0</v>
      </c>
      <c r="G4045" s="8">
        <v>11</v>
      </c>
      <c r="H4045" s="8" t="s">
        <v>33728</v>
      </c>
      <c r="I4045" s="8">
        <v>527.4375</v>
      </c>
      <c r="J4045" s="3">
        <f t="shared" si="63"/>
        <v>43748.748430729167</v>
      </c>
    </row>
    <row r="4046" spans="1:10" x14ac:dyDescent="0.25">
      <c r="A4046" s="5" t="s">
        <v>33729</v>
      </c>
      <c r="B4046" s="6">
        <v>393.75</v>
      </c>
      <c r="C4046" s="6">
        <v>20.531590000000001</v>
      </c>
      <c r="D4046" s="6">
        <v>71</v>
      </c>
      <c r="E4046" s="6">
        <v>0</v>
      </c>
      <c r="F4046" s="6">
        <v>0</v>
      </c>
      <c r="G4046" s="6">
        <v>25</v>
      </c>
      <c r="H4046" s="6" t="s">
        <v>33730</v>
      </c>
      <c r="I4046" s="6">
        <v>526.6875</v>
      </c>
      <c r="J4046" s="2">
        <f t="shared" si="63"/>
        <v>43748.748507997683</v>
      </c>
    </row>
    <row r="4047" spans="1:10" x14ac:dyDescent="0.25">
      <c r="A4047" s="7" t="s">
        <v>33731</v>
      </c>
      <c r="B4047" s="8">
        <v>393.75</v>
      </c>
      <c r="C4047" s="8">
        <v>20.478950000000001</v>
      </c>
      <c r="D4047" s="8">
        <v>70</v>
      </c>
      <c r="E4047" s="8">
        <v>0</v>
      </c>
      <c r="F4047" s="8">
        <v>0</v>
      </c>
      <c r="G4047" s="8">
        <v>26</v>
      </c>
      <c r="H4047" s="8" t="s">
        <v>33732</v>
      </c>
      <c r="I4047" s="8">
        <v>526.6875</v>
      </c>
      <c r="J4047" s="3">
        <f t="shared" si="63"/>
        <v>43748.748591261574</v>
      </c>
    </row>
    <row r="4048" spans="1:10" x14ac:dyDescent="0.25">
      <c r="A4048" s="5" t="s">
        <v>33733</v>
      </c>
      <c r="B4048" s="6">
        <v>393.75</v>
      </c>
      <c r="C4048" s="6">
        <v>20.531590000000001</v>
      </c>
      <c r="D4048" s="6">
        <v>69</v>
      </c>
      <c r="E4048" s="6">
        <v>0</v>
      </c>
      <c r="F4048" s="6">
        <v>0</v>
      </c>
      <c r="G4048" s="6">
        <v>13</v>
      </c>
      <c r="H4048" s="6" t="s">
        <v>33734</v>
      </c>
      <c r="I4048" s="6">
        <v>526.6875</v>
      </c>
      <c r="J4048" s="2">
        <f t="shared" si="63"/>
        <v>43748.74866291666</v>
      </c>
    </row>
    <row r="4049" spans="1:10" x14ac:dyDescent="0.25">
      <c r="A4049" s="7" t="s">
        <v>33735</v>
      </c>
      <c r="B4049" s="8">
        <v>393.75</v>
      </c>
      <c r="C4049" s="8">
        <v>20.478950000000001</v>
      </c>
      <c r="D4049" s="8">
        <v>68</v>
      </c>
      <c r="E4049" s="8">
        <v>0</v>
      </c>
      <c r="F4049" s="8">
        <v>0</v>
      </c>
      <c r="G4049" s="8">
        <v>32</v>
      </c>
      <c r="H4049" s="8" t="s">
        <v>33736</v>
      </c>
      <c r="I4049" s="8">
        <v>526.6875</v>
      </c>
      <c r="J4049" s="3">
        <f t="shared" si="63"/>
        <v>43748.748734895831</v>
      </c>
    </row>
    <row r="4050" spans="1:10" x14ac:dyDescent="0.25">
      <c r="A4050" s="5" t="s">
        <v>33737</v>
      </c>
      <c r="B4050" s="6">
        <v>393.75</v>
      </c>
      <c r="C4050" s="6">
        <v>20.478950000000001</v>
      </c>
      <c r="D4050" s="6">
        <v>68</v>
      </c>
      <c r="E4050" s="6">
        <v>0</v>
      </c>
      <c r="F4050" s="6">
        <v>0</v>
      </c>
      <c r="G4050" s="6">
        <v>20</v>
      </c>
      <c r="H4050" s="6" t="s">
        <v>33738</v>
      </c>
      <c r="I4050" s="6">
        <v>526.6875</v>
      </c>
      <c r="J4050" s="2">
        <f t="shared" si="63"/>
        <v>43748.748806192125</v>
      </c>
    </row>
    <row r="4051" spans="1:10" x14ac:dyDescent="0.25">
      <c r="A4051" s="7" t="s">
        <v>33739</v>
      </c>
      <c r="B4051" s="8">
        <v>393.75</v>
      </c>
      <c r="C4051" s="8">
        <v>20.531590000000001</v>
      </c>
      <c r="D4051" s="8">
        <v>67</v>
      </c>
      <c r="E4051" s="8">
        <v>0</v>
      </c>
      <c r="F4051" s="8">
        <v>0</v>
      </c>
      <c r="G4051" s="8">
        <v>17</v>
      </c>
      <c r="H4051" s="8" t="s">
        <v>33740</v>
      </c>
      <c r="I4051" s="8">
        <v>526.6875</v>
      </c>
      <c r="J4051" s="3">
        <f t="shared" si="63"/>
        <v>43748.748877708327</v>
      </c>
    </row>
    <row r="4052" spans="1:10" x14ac:dyDescent="0.25">
      <c r="A4052" s="5" t="s">
        <v>33741</v>
      </c>
      <c r="B4052" s="6">
        <v>393.75</v>
      </c>
      <c r="C4052" s="6">
        <v>20.478950000000001</v>
      </c>
      <c r="D4052" s="6">
        <v>67</v>
      </c>
      <c r="E4052" s="6">
        <v>0</v>
      </c>
      <c r="F4052" s="6">
        <v>0</v>
      </c>
      <c r="G4052" s="6">
        <v>22</v>
      </c>
      <c r="H4052" s="6" t="s">
        <v>33742</v>
      </c>
      <c r="I4052" s="6">
        <v>526.6875</v>
      </c>
      <c r="J4052" s="2">
        <f t="shared" si="63"/>
        <v>43748.74896114583</v>
      </c>
    </row>
    <row r="4053" spans="1:10" x14ac:dyDescent="0.25">
      <c r="A4053" s="7" t="s">
        <v>33743</v>
      </c>
      <c r="B4053" s="8">
        <v>393.75</v>
      </c>
      <c r="C4053" s="8">
        <v>20.478950000000001</v>
      </c>
      <c r="D4053" s="8">
        <v>67</v>
      </c>
      <c r="E4053" s="8">
        <v>0</v>
      </c>
      <c r="F4053" s="8">
        <v>0</v>
      </c>
      <c r="G4053" s="8">
        <v>21</v>
      </c>
      <c r="H4053" s="8" t="s">
        <v>33744</v>
      </c>
      <c r="I4053" s="8">
        <v>526.6875</v>
      </c>
      <c r="J4053" s="3">
        <f t="shared" si="63"/>
        <v>43748.74904484953</v>
      </c>
    </row>
    <row r="4054" spans="1:10" x14ac:dyDescent="0.25">
      <c r="A4054" s="5" t="s">
        <v>33745</v>
      </c>
      <c r="B4054" s="6">
        <v>393.75</v>
      </c>
      <c r="C4054" s="6">
        <v>20.478950000000001</v>
      </c>
      <c r="D4054" s="6">
        <v>67</v>
      </c>
      <c r="E4054" s="6">
        <v>0</v>
      </c>
      <c r="F4054" s="6">
        <v>0</v>
      </c>
      <c r="G4054" s="6">
        <v>18</v>
      </c>
      <c r="H4054" s="6" t="s">
        <v>33746</v>
      </c>
      <c r="I4054" s="6">
        <v>526.6875</v>
      </c>
      <c r="J4054" s="2">
        <f t="shared" si="63"/>
        <v>43748.74912828704</v>
      </c>
    </row>
    <row r="4055" spans="1:10" x14ac:dyDescent="0.25">
      <c r="A4055" s="7" t="s">
        <v>33747</v>
      </c>
      <c r="B4055" s="8">
        <v>393.75</v>
      </c>
      <c r="C4055" s="8">
        <v>20.531590000000001</v>
      </c>
      <c r="D4055" s="8">
        <v>68</v>
      </c>
      <c r="E4055" s="8">
        <v>0</v>
      </c>
      <c r="F4055" s="8">
        <v>0</v>
      </c>
      <c r="G4055" s="8">
        <v>21</v>
      </c>
      <c r="H4055" s="8" t="s">
        <v>33748</v>
      </c>
      <c r="I4055" s="8">
        <v>526.6875</v>
      </c>
      <c r="J4055" s="3">
        <f t="shared" si="63"/>
        <v>43748.749211967595</v>
      </c>
    </row>
    <row r="4056" spans="1:10" x14ac:dyDescent="0.25">
      <c r="A4056" s="5" t="s">
        <v>33749</v>
      </c>
      <c r="B4056" s="6">
        <v>393.75</v>
      </c>
      <c r="C4056" s="6">
        <v>20.478950000000001</v>
      </c>
      <c r="D4056" s="6">
        <v>76</v>
      </c>
      <c r="E4056" s="6">
        <v>0</v>
      </c>
      <c r="F4056" s="6">
        <v>0</v>
      </c>
      <c r="G4056" s="6">
        <v>15</v>
      </c>
      <c r="H4056" s="6" t="s">
        <v>33750</v>
      </c>
      <c r="I4056" s="6">
        <v>526.6875</v>
      </c>
      <c r="J4056" s="2">
        <f t="shared" si="63"/>
        <v>43748.749301076386</v>
      </c>
    </row>
    <row r="4057" spans="1:10" x14ac:dyDescent="0.25">
      <c r="A4057" s="7" t="s">
        <v>33751</v>
      </c>
      <c r="B4057" s="8">
        <v>393.75</v>
      </c>
      <c r="C4057" s="8">
        <v>20.478950000000001</v>
      </c>
      <c r="D4057" s="8">
        <v>72</v>
      </c>
      <c r="E4057" s="8">
        <v>0</v>
      </c>
      <c r="F4057" s="8">
        <v>0</v>
      </c>
      <c r="G4057" s="8">
        <v>9</v>
      </c>
      <c r="H4057" s="8" t="s">
        <v>33752</v>
      </c>
      <c r="I4057" s="8">
        <v>526.6875</v>
      </c>
      <c r="J4057" s="3">
        <f t="shared" si="63"/>
        <v>43748.749378518514</v>
      </c>
    </row>
    <row r="4058" spans="1:10" x14ac:dyDescent="0.25">
      <c r="A4058" s="5" t="s">
        <v>33753</v>
      </c>
      <c r="B4058" s="6">
        <v>393.75</v>
      </c>
      <c r="C4058" s="6">
        <v>20.531590000000001</v>
      </c>
      <c r="D4058" s="6">
        <v>72</v>
      </c>
      <c r="E4058" s="6">
        <v>0</v>
      </c>
      <c r="F4058" s="6">
        <v>0</v>
      </c>
      <c r="G4058" s="6">
        <v>16</v>
      </c>
      <c r="H4058" s="6" t="s">
        <v>33754</v>
      </c>
      <c r="I4058" s="6">
        <v>526.6875</v>
      </c>
      <c r="J4058" s="2">
        <f t="shared" si="63"/>
        <v>43748.749462222222</v>
      </c>
    </row>
    <row r="4059" spans="1:10" x14ac:dyDescent="0.25">
      <c r="A4059" s="7" t="s">
        <v>33755</v>
      </c>
      <c r="B4059" s="8">
        <v>393.75</v>
      </c>
      <c r="C4059" s="8">
        <v>20.478950000000001</v>
      </c>
      <c r="D4059" s="8">
        <v>72</v>
      </c>
      <c r="E4059" s="8">
        <v>0</v>
      </c>
      <c r="F4059" s="8">
        <v>0</v>
      </c>
      <c r="G4059" s="8">
        <v>10</v>
      </c>
      <c r="H4059" s="8" t="s">
        <v>33756</v>
      </c>
      <c r="I4059" s="8">
        <v>526.6875</v>
      </c>
      <c r="J4059" s="3">
        <f t="shared" si="63"/>
        <v>43748.749545300925</v>
      </c>
    </row>
    <row r="4060" spans="1:10" x14ac:dyDescent="0.25">
      <c r="A4060" s="5" t="s">
        <v>33757</v>
      </c>
      <c r="B4060" s="6">
        <v>393.75</v>
      </c>
      <c r="C4060" s="6">
        <v>20.478950000000001</v>
      </c>
      <c r="D4060" s="6">
        <v>72</v>
      </c>
      <c r="E4060" s="6">
        <v>0</v>
      </c>
      <c r="F4060" s="6">
        <v>0</v>
      </c>
      <c r="G4060" s="6">
        <v>14</v>
      </c>
      <c r="H4060" s="6" t="s">
        <v>33758</v>
      </c>
      <c r="I4060" s="6">
        <v>526.6875</v>
      </c>
      <c r="J4060" s="2">
        <f t="shared" si="63"/>
        <v>43748.749616944442</v>
      </c>
    </row>
    <row r="4061" spans="1:10" x14ac:dyDescent="0.25">
      <c r="A4061" s="7" t="s">
        <v>33759</v>
      </c>
      <c r="B4061" s="8">
        <v>393.75</v>
      </c>
      <c r="C4061" s="8">
        <v>20.478950000000001</v>
      </c>
      <c r="D4061" s="8">
        <v>65</v>
      </c>
      <c r="E4061" s="8">
        <v>0</v>
      </c>
      <c r="F4061" s="8">
        <v>0</v>
      </c>
      <c r="G4061" s="8">
        <v>16</v>
      </c>
      <c r="H4061" s="8" t="s">
        <v>33760</v>
      </c>
      <c r="I4061" s="8">
        <v>526.6875</v>
      </c>
      <c r="J4061" s="3">
        <f t="shared" si="63"/>
        <v>43748.749700752312</v>
      </c>
    </row>
    <row r="4062" spans="1:10" x14ac:dyDescent="0.25">
      <c r="A4062" s="5" t="s">
        <v>33761</v>
      </c>
      <c r="B4062" s="6">
        <v>393.75</v>
      </c>
      <c r="C4062" s="6">
        <v>20.478950000000001</v>
      </c>
      <c r="D4062" s="6">
        <v>67</v>
      </c>
      <c r="E4062" s="6">
        <v>0</v>
      </c>
      <c r="F4062" s="6">
        <v>0</v>
      </c>
      <c r="G4062" s="6">
        <v>11</v>
      </c>
      <c r="H4062" s="6" t="s">
        <v>33762</v>
      </c>
      <c r="I4062" s="6">
        <v>526.6875</v>
      </c>
      <c r="J4062" s="2">
        <f t="shared" si="63"/>
        <v>43748.749784189808</v>
      </c>
    </row>
    <row r="4063" spans="1:10" x14ac:dyDescent="0.25">
      <c r="A4063" s="7" t="s">
        <v>33763</v>
      </c>
      <c r="B4063" s="8">
        <v>393.75</v>
      </c>
      <c r="C4063" s="8">
        <v>20.478950000000001</v>
      </c>
      <c r="D4063" s="8">
        <v>67</v>
      </c>
      <c r="E4063" s="8">
        <v>0</v>
      </c>
      <c r="F4063" s="8">
        <v>0</v>
      </c>
      <c r="G4063" s="8">
        <v>18</v>
      </c>
      <c r="H4063" s="8" t="s">
        <v>33764</v>
      </c>
      <c r="I4063" s="8">
        <v>526.6875</v>
      </c>
      <c r="J4063" s="3">
        <f t="shared" si="63"/>
        <v>43748.749867407409</v>
      </c>
    </row>
    <row r="4064" spans="1:10" x14ac:dyDescent="0.25">
      <c r="A4064" s="5" t="s">
        <v>33765</v>
      </c>
      <c r="B4064" s="6">
        <v>393.75</v>
      </c>
      <c r="C4064" s="6">
        <v>20.478950000000001</v>
      </c>
      <c r="D4064" s="6">
        <v>67</v>
      </c>
      <c r="E4064" s="6">
        <v>0</v>
      </c>
      <c r="F4064" s="6">
        <v>0</v>
      </c>
      <c r="G4064" s="6">
        <v>16</v>
      </c>
      <c r="H4064" s="6" t="s">
        <v>33766</v>
      </c>
      <c r="I4064" s="6">
        <v>526.6875</v>
      </c>
      <c r="J4064" s="2">
        <f t="shared" si="63"/>
        <v>43748.749939201385</v>
      </c>
    </row>
    <row r="4065" spans="1:10" x14ac:dyDescent="0.25">
      <c r="A4065" s="7" t="s">
        <v>33767</v>
      </c>
      <c r="B4065" s="8">
        <v>393.75</v>
      </c>
      <c r="C4065" s="8">
        <v>20.478950000000001</v>
      </c>
      <c r="D4065" s="8">
        <v>69</v>
      </c>
      <c r="E4065" s="8">
        <v>0</v>
      </c>
      <c r="F4065" s="8">
        <v>0</v>
      </c>
      <c r="G4065" s="8">
        <v>19</v>
      </c>
      <c r="H4065" s="8" t="s">
        <v>33768</v>
      </c>
      <c r="I4065" s="8">
        <v>526.6875</v>
      </c>
      <c r="J4065" s="3">
        <f t="shared" si="63"/>
        <v>43748.75002274305</v>
      </c>
    </row>
    <row r="4066" spans="1:10" x14ac:dyDescent="0.25">
      <c r="A4066" s="5" t="s">
        <v>33769</v>
      </c>
      <c r="B4066" s="6">
        <v>393.75</v>
      </c>
      <c r="C4066" s="6">
        <v>20.478950000000001</v>
      </c>
      <c r="D4066" s="6">
        <v>70</v>
      </c>
      <c r="E4066" s="6">
        <v>0</v>
      </c>
      <c r="F4066" s="6">
        <v>0</v>
      </c>
      <c r="G4066" s="6">
        <v>20</v>
      </c>
      <c r="H4066" s="6" t="s">
        <v>33770</v>
      </c>
      <c r="I4066" s="6">
        <v>526.6875</v>
      </c>
      <c r="J4066" s="2">
        <f t="shared" si="63"/>
        <v>43748.750106215281</v>
      </c>
    </row>
    <row r="4067" spans="1:10" x14ac:dyDescent="0.25">
      <c r="A4067" s="7" t="s">
        <v>33771</v>
      </c>
      <c r="B4067" s="8">
        <v>412.5</v>
      </c>
      <c r="C4067" s="8">
        <v>20.478950000000001</v>
      </c>
      <c r="D4067" s="8">
        <v>70</v>
      </c>
      <c r="E4067" s="8">
        <v>0</v>
      </c>
      <c r="F4067" s="8">
        <v>0</v>
      </c>
      <c r="G4067" s="8">
        <v>16</v>
      </c>
      <c r="H4067" s="8" t="s">
        <v>33772</v>
      </c>
      <c r="I4067" s="8">
        <v>532.3125</v>
      </c>
      <c r="J4067" s="3">
        <f t="shared" si="63"/>
        <v>43748.750189629623</v>
      </c>
    </row>
    <row r="4068" spans="1:10" x14ac:dyDescent="0.25">
      <c r="A4068" s="5" t="s">
        <v>33773</v>
      </c>
      <c r="B4068" s="6">
        <v>393.75</v>
      </c>
      <c r="C4068" s="6">
        <v>20.478950000000001</v>
      </c>
      <c r="D4068" s="6">
        <v>71</v>
      </c>
      <c r="E4068" s="6">
        <v>0</v>
      </c>
      <c r="F4068" s="6">
        <v>0</v>
      </c>
      <c r="G4068" s="6">
        <v>7</v>
      </c>
      <c r="H4068" s="6" t="s">
        <v>33774</v>
      </c>
      <c r="I4068" s="6">
        <v>526.6875</v>
      </c>
      <c r="J4068" s="2">
        <f t="shared" si="63"/>
        <v>43748.750273194441</v>
      </c>
    </row>
    <row r="4069" spans="1:10" x14ac:dyDescent="0.25">
      <c r="A4069" s="7" t="s">
        <v>33775</v>
      </c>
      <c r="B4069" s="8">
        <v>393.75</v>
      </c>
      <c r="C4069" s="8">
        <v>20.478950000000001</v>
      </c>
      <c r="D4069" s="8">
        <v>72</v>
      </c>
      <c r="E4069" s="8">
        <v>0</v>
      </c>
      <c r="F4069" s="8">
        <v>0</v>
      </c>
      <c r="G4069" s="8">
        <v>15</v>
      </c>
      <c r="H4069" s="8" t="s">
        <v>33776</v>
      </c>
      <c r="I4069" s="8">
        <v>526.6875</v>
      </c>
      <c r="J4069" s="3">
        <f t="shared" si="63"/>
        <v>43748.750356365737</v>
      </c>
    </row>
    <row r="4070" spans="1:10" x14ac:dyDescent="0.25">
      <c r="A4070" s="5" t="s">
        <v>33777</v>
      </c>
      <c r="B4070" s="6">
        <v>393.75</v>
      </c>
      <c r="C4070" s="6">
        <v>20.478950000000001</v>
      </c>
      <c r="D4070" s="6">
        <v>72</v>
      </c>
      <c r="E4070" s="6">
        <v>0</v>
      </c>
      <c r="F4070" s="6">
        <v>0</v>
      </c>
      <c r="G4070" s="6">
        <v>10</v>
      </c>
      <c r="H4070" s="6" t="s">
        <v>33778</v>
      </c>
      <c r="I4070" s="6">
        <v>526.6875</v>
      </c>
      <c r="J4070" s="2">
        <f t="shared" si="63"/>
        <v>43748.750427696759</v>
      </c>
    </row>
    <row r="4071" spans="1:10" x14ac:dyDescent="0.25">
      <c r="A4071" s="7" t="s">
        <v>33779</v>
      </c>
      <c r="B4071" s="8">
        <v>393.75</v>
      </c>
      <c r="C4071" s="8">
        <v>20.478950000000001</v>
      </c>
      <c r="D4071" s="8">
        <v>72</v>
      </c>
      <c r="E4071" s="8">
        <v>0</v>
      </c>
      <c r="F4071" s="8">
        <v>0</v>
      </c>
      <c r="G4071" s="8">
        <v>17</v>
      </c>
      <c r="H4071" s="8" t="s">
        <v>33780</v>
      </c>
      <c r="I4071" s="8">
        <v>526.6875</v>
      </c>
      <c r="J4071" s="3">
        <f t="shared" si="63"/>
        <v>43748.750499710644</v>
      </c>
    </row>
    <row r="4072" spans="1:10" x14ac:dyDescent="0.25">
      <c r="A4072" s="5" t="s">
        <v>33781</v>
      </c>
      <c r="B4072" s="6">
        <v>393.75</v>
      </c>
      <c r="C4072" s="6">
        <v>20.478950000000001</v>
      </c>
      <c r="D4072" s="6">
        <v>71</v>
      </c>
      <c r="E4072" s="6">
        <v>0</v>
      </c>
      <c r="F4072" s="6">
        <v>0</v>
      </c>
      <c r="G4072" s="6">
        <v>17</v>
      </c>
      <c r="H4072" s="6" t="s">
        <v>33782</v>
      </c>
      <c r="I4072" s="6">
        <v>526.6875</v>
      </c>
      <c r="J4072" s="2">
        <f t="shared" si="63"/>
        <v>43748.7505833912</v>
      </c>
    </row>
    <row r="4073" spans="1:10" x14ac:dyDescent="0.25">
      <c r="A4073" s="7" t="s">
        <v>33783</v>
      </c>
      <c r="B4073" s="8">
        <v>393.75</v>
      </c>
      <c r="C4073" s="8">
        <v>20.531590000000001</v>
      </c>
      <c r="D4073" s="8">
        <v>70</v>
      </c>
      <c r="E4073" s="8">
        <v>0</v>
      </c>
      <c r="F4073" s="8">
        <v>0</v>
      </c>
      <c r="G4073" s="8">
        <v>13</v>
      </c>
      <c r="H4073" s="8" t="s">
        <v>33784</v>
      </c>
      <c r="I4073" s="8">
        <v>526.6875</v>
      </c>
      <c r="J4073" s="3">
        <f t="shared" si="63"/>
        <v>43748.750666712956</v>
      </c>
    </row>
    <row r="4074" spans="1:10" x14ac:dyDescent="0.25">
      <c r="A4074" s="5" t="s">
        <v>33785</v>
      </c>
      <c r="B4074" s="6">
        <v>396.875</v>
      </c>
      <c r="C4074" s="6">
        <v>20.478950000000001</v>
      </c>
      <c r="D4074" s="6">
        <v>69</v>
      </c>
      <c r="E4074" s="6">
        <v>0</v>
      </c>
      <c r="F4074" s="6">
        <v>0</v>
      </c>
      <c r="G4074" s="6">
        <v>23</v>
      </c>
      <c r="H4074" s="6" t="s">
        <v>33786</v>
      </c>
      <c r="I4074" s="6">
        <v>527.4375</v>
      </c>
      <c r="J4074" s="2">
        <f t="shared" si="63"/>
        <v>43748.750750162035</v>
      </c>
    </row>
    <row r="4075" spans="1:10" x14ac:dyDescent="0.25">
      <c r="A4075" s="7" t="s">
        <v>33787</v>
      </c>
      <c r="B4075" s="8">
        <v>393.75</v>
      </c>
      <c r="C4075" s="8">
        <v>20.478950000000001</v>
      </c>
      <c r="D4075" s="8">
        <v>69</v>
      </c>
      <c r="E4075" s="8">
        <v>0</v>
      </c>
      <c r="F4075" s="8">
        <v>0</v>
      </c>
      <c r="G4075" s="8">
        <v>11</v>
      </c>
      <c r="H4075" s="8" t="s">
        <v>33788</v>
      </c>
      <c r="I4075" s="8">
        <v>526.6875</v>
      </c>
      <c r="J4075" s="3">
        <f t="shared" si="63"/>
        <v>43748.750833726845</v>
      </c>
    </row>
    <row r="4076" spans="1:10" x14ac:dyDescent="0.25">
      <c r="A4076" s="5" t="s">
        <v>33789</v>
      </c>
      <c r="B4076" s="6">
        <v>393.75</v>
      </c>
      <c r="C4076" s="6">
        <v>20.478950000000001</v>
      </c>
      <c r="D4076" s="6">
        <v>70</v>
      </c>
      <c r="E4076" s="6">
        <v>0</v>
      </c>
      <c r="F4076" s="6">
        <v>0</v>
      </c>
      <c r="G4076" s="6">
        <v>18</v>
      </c>
      <c r="H4076" s="6" t="s">
        <v>33790</v>
      </c>
      <c r="I4076" s="6">
        <v>526.6875</v>
      </c>
      <c r="J4076" s="2">
        <f t="shared" si="63"/>
        <v>43748.750917210644</v>
      </c>
    </row>
    <row r="4077" spans="1:10" x14ac:dyDescent="0.25">
      <c r="A4077" s="7" t="s">
        <v>33791</v>
      </c>
      <c r="B4077" s="8">
        <v>421.875</v>
      </c>
      <c r="C4077" s="8">
        <v>20.478950000000001</v>
      </c>
      <c r="D4077" s="8">
        <v>69</v>
      </c>
      <c r="E4077" s="8">
        <v>0</v>
      </c>
      <c r="F4077" s="8">
        <v>0</v>
      </c>
      <c r="G4077" s="8">
        <v>15</v>
      </c>
      <c r="H4077" s="8" t="s">
        <v>33792</v>
      </c>
      <c r="I4077" s="8">
        <v>535.6875</v>
      </c>
      <c r="J4077" s="3">
        <f t="shared" si="63"/>
        <v>43748.75100074074</v>
      </c>
    </row>
    <row r="4078" spans="1:10" x14ac:dyDescent="0.25">
      <c r="A4078" s="5" t="s">
        <v>33793</v>
      </c>
      <c r="B4078" s="6">
        <v>393.75</v>
      </c>
      <c r="C4078" s="6">
        <v>20.478950000000001</v>
      </c>
      <c r="D4078" s="6">
        <v>68</v>
      </c>
      <c r="E4078" s="6">
        <v>0</v>
      </c>
      <c r="F4078" s="6">
        <v>0</v>
      </c>
      <c r="G4078" s="6">
        <v>10</v>
      </c>
      <c r="H4078" s="6" t="s">
        <v>33794</v>
      </c>
      <c r="I4078" s="6">
        <v>526.6875</v>
      </c>
      <c r="J4078" s="2">
        <f t="shared" si="63"/>
        <v>43748.751084166659</v>
      </c>
    </row>
    <row r="4079" spans="1:10" x14ac:dyDescent="0.25">
      <c r="A4079" s="7" t="s">
        <v>33795</v>
      </c>
      <c r="B4079" s="8">
        <v>393.75</v>
      </c>
      <c r="C4079" s="8">
        <v>20.478950000000001</v>
      </c>
      <c r="D4079" s="8">
        <v>67</v>
      </c>
      <c r="E4079" s="8">
        <v>0</v>
      </c>
      <c r="F4079" s="8">
        <v>0</v>
      </c>
      <c r="G4079" s="8">
        <v>9</v>
      </c>
      <c r="H4079" s="8" t="s">
        <v>33796</v>
      </c>
      <c r="I4079" s="8">
        <v>526.6875</v>
      </c>
      <c r="J4079" s="3">
        <f t="shared" si="63"/>
        <v>43748.751167407405</v>
      </c>
    </row>
    <row r="4080" spans="1:10" x14ac:dyDescent="0.25">
      <c r="A4080" s="5" t="s">
        <v>33797</v>
      </c>
      <c r="B4080" s="6">
        <v>393.75</v>
      </c>
      <c r="C4080" s="6">
        <v>20.478950000000001</v>
      </c>
      <c r="D4080" s="6">
        <v>67</v>
      </c>
      <c r="E4080" s="6">
        <v>0</v>
      </c>
      <c r="F4080" s="6">
        <v>0</v>
      </c>
      <c r="G4080" s="6">
        <v>22</v>
      </c>
      <c r="H4080" s="6" t="s">
        <v>33798</v>
      </c>
      <c r="I4080" s="6">
        <v>526.6875</v>
      </c>
      <c r="J4080" s="2">
        <f t="shared" si="63"/>
        <v>43748.75123908565</v>
      </c>
    </row>
    <row r="4081" spans="1:10" x14ac:dyDescent="0.25">
      <c r="A4081" s="7" t="s">
        <v>33799</v>
      </c>
      <c r="B4081" s="8">
        <v>393.75</v>
      </c>
      <c r="C4081" s="8">
        <v>20.478950000000001</v>
      </c>
      <c r="D4081" s="8">
        <v>68</v>
      </c>
      <c r="E4081" s="8">
        <v>0</v>
      </c>
      <c r="F4081" s="8">
        <v>0</v>
      </c>
      <c r="G4081" s="8">
        <v>14</v>
      </c>
      <c r="H4081" s="8" t="s">
        <v>33800</v>
      </c>
      <c r="I4081" s="8">
        <v>526.6875</v>
      </c>
      <c r="J4081" s="3">
        <f t="shared" si="63"/>
        <v>43748.751322627308</v>
      </c>
    </row>
    <row r="4082" spans="1:10" x14ac:dyDescent="0.25">
      <c r="A4082" s="5" t="s">
        <v>33801</v>
      </c>
      <c r="B4082" s="6">
        <v>393.75</v>
      </c>
      <c r="C4082" s="6">
        <v>20.531590000000001</v>
      </c>
      <c r="D4082" s="6">
        <v>67</v>
      </c>
      <c r="E4082" s="6">
        <v>0</v>
      </c>
      <c r="F4082" s="6">
        <v>0</v>
      </c>
      <c r="G4082" s="6">
        <v>17</v>
      </c>
      <c r="H4082" s="6" t="s">
        <v>33802</v>
      </c>
      <c r="I4082" s="6">
        <v>526.6875</v>
      </c>
      <c r="J4082" s="2">
        <f t="shared" si="63"/>
        <v>43748.751406192132</v>
      </c>
    </row>
    <row r="4083" spans="1:10" x14ac:dyDescent="0.25">
      <c r="A4083" s="7" t="s">
        <v>33803</v>
      </c>
      <c r="B4083" s="8">
        <v>396.875</v>
      </c>
      <c r="C4083" s="8">
        <v>20.478950000000001</v>
      </c>
      <c r="D4083" s="8">
        <v>67</v>
      </c>
      <c r="E4083" s="8">
        <v>0</v>
      </c>
      <c r="F4083" s="8">
        <v>0</v>
      </c>
      <c r="G4083" s="8">
        <v>18</v>
      </c>
      <c r="H4083" s="8" t="s">
        <v>33804</v>
      </c>
      <c r="I4083" s="8">
        <v>527.625</v>
      </c>
      <c r="J4083" s="3">
        <f t="shared" si="63"/>
        <v>43748.751489641203</v>
      </c>
    </row>
    <row r="4084" spans="1:10" x14ac:dyDescent="0.25">
      <c r="A4084" s="5" t="s">
        <v>33805</v>
      </c>
      <c r="B4084" s="6">
        <v>396.875</v>
      </c>
      <c r="C4084" s="6">
        <v>20.478950000000001</v>
      </c>
      <c r="D4084" s="6">
        <v>68</v>
      </c>
      <c r="E4084" s="6">
        <v>0</v>
      </c>
      <c r="F4084" s="6">
        <v>0</v>
      </c>
      <c r="G4084" s="6">
        <v>21</v>
      </c>
      <c r="H4084" s="6" t="s">
        <v>33806</v>
      </c>
      <c r="I4084" s="6">
        <v>527.4375</v>
      </c>
      <c r="J4084" s="2">
        <f t="shared" si="63"/>
        <v>43748.751572974536</v>
      </c>
    </row>
    <row r="4085" spans="1:10" x14ac:dyDescent="0.25">
      <c r="A4085" s="7" t="s">
        <v>33807</v>
      </c>
      <c r="B4085" s="8">
        <v>396.875</v>
      </c>
      <c r="C4085" s="8">
        <v>20.478950000000001</v>
      </c>
      <c r="D4085" s="8">
        <v>69</v>
      </c>
      <c r="E4085" s="8">
        <v>0</v>
      </c>
      <c r="F4085" s="8">
        <v>0</v>
      </c>
      <c r="G4085" s="8">
        <v>19</v>
      </c>
      <c r="H4085" s="8" t="s">
        <v>33808</v>
      </c>
      <c r="I4085" s="8">
        <v>527.4375</v>
      </c>
      <c r="J4085" s="3">
        <f t="shared" si="63"/>
        <v>43748.751668564808</v>
      </c>
    </row>
    <row r="4086" spans="1:10" x14ac:dyDescent="0.25">
      <c r="A4086" s="5" t="s">
        <v>33809</v>
      </c>
      <c r="B4086" s="6">
        <v>396.875</v>
      </c>
      <c r="C4086" s="6">
        <v>20.478950000000001</v>
      </c>
      <c r="D4086" s="6">
        <v>68</v>
      </c>
      <c r="E4086" s="6">
        <v>0</v>
      </c>
      <c r="F4086" s="6">
        <v>0</v>
      </c>
      <c r="G4086" s="6">
        <v>30</v>
      </c>
      <c r="H4086" s="6" t="s">
        <v>33810</v>
      </c>
      <c r="I4086" s="6">
        <v>527.4375</v>
      </c>
      <c r="J4086" s="2">
        <f t="shared" si="63"/>
        <v>43748.751740104162</v>
      </c>
    </row>
    <row r="4087" spans="1:10" x14ac:dyDescent="0.25">
      <c r="A4087" s="7" t="s">
        <v>33811</v>
      </c>
      <c r="B4087" s="8">
        <v>396.875</v>
      </c>
      <c r="C4087" s="8">
        <v>20.478950000000001</v>
      </c>
      <c r="D4087" s="8">
        <v>69</v>
      </c>
      <c r="E4087" s="8">
        <v>0</v>
      </c>
      <c r="F4087" s="8">
        <v>0</v>
      </c>
      <c r="G4087" s="8">
        <v>18</v>
      </c>
      <c r="H4087" s="8" t="s">
        <v>33812</v>
      </c>
      <c r="I4087" s="8">
        <v>527.4375</v>
      </c>
      <c r="J4087" s="3">
        <f t="shared" si="63"/>
        <v>43748.751823333332</v>
      </c>
    </row>
    <row r="4088" spans="1:10" x14ac:dyDescent="0.25">
      <c r="A4088" s="5" t="s">
        <v>33813</v>
      </c>
      <c r="B4088" s="6">
        <v>396.875</v>
      </c>
      <c r="C4088" s="6">
        <v>20.531590000000001</v>
      </c>
      <c r="D4088" s="6">
        <v>69</v>
      </c>
      <c r="E4088" s="6">
        <v>0</v>
      </c>
      <c r="F4088" s="6">
        <v>0</v>
      </c>
      <c r="G4088" s="6">
        <v>16</v>
      </c>
      <c r="H4088" s="6" t="s">
        <v>33814</v>
      </c>
      <c r="I4088" s="6">
        <v>527.4375</v>
      </c>
      <c r="J4088" s="2">
        <f t="shared" si="63"/>
        <v>43748.751906990736</v>
      </c>
    </row>
    <row r="4089" spans="1:10" x14ac:dyDescent="0.25">
      <c r="A4089" s="7" t="s">
        <v>33815</v>
      </c>
      <c r="B4089" s="8">
        <v>428.125</v>
      </c>
      <c r="C4089" s="8">
        <v>20.478950000000001</v>
      </c>
      <c r="D4089" s="8">
        <v>70</v>
      </c>
      <c r="E4089" s="8">
        <v>0</v>
      </c>
      <c r="F4089" s="8">
        <v>0</v>
      </c>
      <c r="G4089" s="8">
        <v>21</v>
      </c>
      <c r="H4089" s="8" t="s">
        <v>33816</v>
      </c>
      <c r="I4089" s="8">
        <v>537.75</v>
      </c>
      <c r="J4089" s="3">
        <f t="shared" si="63"/>
        <v>43748.751990567129</v>
      </c>
    </row>
    <row r="4090" spans="1:10" x14ac:dyDescent="0.25">
      <c r="A4090" s="5" t="s">
        <v>33817</v>
      </c>
      <c r="B4090" s="6">
        <v>396.875</v>
      </c>
      <c r="C4090" s="6">
        <v>20.478950000000001</v>
      </c>
      <c r="D4090" s="6">
        <v>70</v>
      </c>
      <c r="E4090" s="6">
        <v>0</v>
      </c>
      <c r="F4090" s="6">
        <v>0</v>
      </c>
      <c r="G4090" s="6">
        <v>13</v>
      </c>
      <c r="H4090" s="6" t="s">
        <v>33818</v>
      </c>
      <c r="I4090" s="6">
        <v>527.4375</v>
      </c>
      <c r="J4090" s="2">
        <f t="shared" si="63"/>
        <v>43748.752062187494</v>
      </c>
    </row>
    <row r="4091" spans="1:10" x14ac:dyDescent="0.25">
      <c r="A4091" s="7" t="s">
        <v>33819</v>
      </c>
      <c r="B4091" s="8">
        <v>396.875</v>
      </c>
      <c r="C4091" s="8">
        <v>20.531590000000001</v>
      </c>
      <c r="D4091" s="8">
        <v>69</v>
      </c>
      <c r="E4091" s="8">
        <v>0</v>
      </c>
      <c r="F4091" s="8">
        <v>0</v>
      </c>
      <c r="G4091" s="8">
        <v>17</v>
      </c>
      <c r="H4091" s="8" t="s">
        <v>33820</v>
      </c>
      <c r="I4091" s="8">
        <v>527.4375</v>
      </c>
      <c r="J4091" s="3">
        <f t="shared" si="63"/>
        <v>43748.752145185186</v>
      </c>
    </row>
    <row r="4092" spans="1:10" x14ac:dyDescent="0.25">
      <c r="A4092" s="5" t="s">
        <v>33821</v>
      </c>
      <c r="B4092" s="6">
        <v>415.625</v>
      </c>
      <c r="C4092" s="6">
        <v>20.478950000000001</v>
      </c>
      <c r="D4092" s="6">
        <v>69</v>
      </c>
      <c r="E4092" s="6">
        <v>0</v>
      </c>
      <c r="F4092" s="6">
        <v>0</v>
      </c>
      <c r="G4092" s="6">
        <v>18</v>
      </c>
      <c r="H4092" s="6" t="s">
        <v>33822</v>
      </c>
      <c r="I4092" s="6">
        <v>533.0625</v>
      </c>
      <c r="J4092" s="2">
        <f t="shared" si="63"/>
        <v>43748.752216874993</v>
      </c>
    </row>
    <row r="4093" spans="1:10" x14ac:dyDescent="0.25">
      <c r="A4093" s="7" t="s">
        <v>33823</v>
      </c>
      <c r="B4093" s="8">
        <v>400</v>
      </c>
      <c r="C4093" s="8">
        <v>20.478950000000001</v>
      </c>
      <c r="D4093" s="8">
        <v>70</v>
      </c>
      <c r="E4093" s="8">
        <v>0</v>
      </c>
      <c r="F4093" s="8">
        <v>0</v>
      </c>
      <c r="G4093" s="8">
        <v>17</v>
      </c>
      <c r="H4093" s="8" t="s">
        <v>33824</v>
      </c>
      <c r="I4093" s="8">
        <v>528.375</v>
      </c>
      <c r="J4093" s="3">
        <f t="shared" si="63"/>
        <v>43748.752300763888</v>
      </c>
    </row>
    <row r="4094" spans="1:10" x14ac:dyDescent="0.25">
      <c r="A4094" s="5" t="s">
        <v>33825</v>
      </c>
      <c r="B4094" s="6">
        <v>400</v>
      </c>
      <c r="C4094" s="6">
        <v>20.478950000000001</v>
      </c>
      <c r="D4094" s="6">
        <v>70</v>
      </c>
      <c r="E4094" s="6">
        <v>0</v>
      </c>
      <c r="F4094" s="6">
        <v>0</v>
      </c>
      <c r="G4094" s="6">
        <v>19</v>
      </c>
      <c r="H4094" s="6" t="s">
        <v>33826</v>
      </c>
      <c r="I4094" s="6">
        <v>528.375</v>
      </c>
      <c r="J4094" s="2">
        <f t="shared" si="63"/>
        <v>43748.752384097221</v>
      </c>
    </row>
    <row r="4095" spans="1:10" x14ac:dyDescent="0.25">
      <c r="A4095" s="7" t="s">
        <v>33827</v>
      </c>
      <c r="B4095" s="8">
        <v>396.875</v>
      </c>
      <c r="C4095" s="8">
        <v>20.478950000000001</v>
      </c>
      <c r="D4095" s="8">
        <v>70</v>
      </c>
      <c r="E4095" s="8">
        <v>0</v>
      </c>
      <c r="F4095" s="8">
        <v>0</v>
      </c>
      <c r="G4095" s="8">
        <v>12</v>
      </c>
      <c r="H4095" s="8" t="s">
        <v>33828</v>
      </c>
      <c r="I4095" s="8">
        <v>527.4375</v>
      </c>
      <c r="J4095" s="3">
        <f t="shared" si="63"/>
        <v>43748.752467534716</v>
      </c>
    </row>
    <row r="4096" spans="1:10" x14ac:dyDescent="0.25">
      <c r="A4096" s="5" t="s">
        <v>33829</v>
      </c>
      <c r="B4096" s="6">
        <v>393.75</v>
      </c>
      <c r="C4096" s="6">
        <v>20.478950000000001</v>
      </c>
      <c r="D4096" s="6">
        <v>71</v>
      </c>
      <c r="E4096" s="6">
        <v>0</v>
      </c>
      <c r="F4096" s="6">
        <v>0</v>
      </c>
      <c r="G4096" s="6">
        <v>13</v>
      </c>
      <c r="H4096" s="6" t="s">
        <v>33830</v>
      </c>
      <c r="I4096" s="6">
        <v>526.6875</v>
      </c>
      <c r="J4096" s="2">
        <f t="shared" si="63"/>
        <v>43748.752551099533</v>
      </c>
    </row>
    <row r="4097" spans="1:10" x14ac:dyDescent="0.25">
      <c r="A4097" s="7" t="s">
        <v>33831</v>
      </c>
      <c r="B4097" s="8">
        <v>409.375</v>
      </c>
      <c r="C4097" s="8">
        <v>20.478950000000001</v>
      </c>
      <c r="D4097" s="8">
        <v>70</v>
      </c>
      <c r="E4097" s="8">
        <v>0</v>
      </c>
      <c r="F4097" s="8">
        <v>0</v>
      </c>
      <c r="G4097" s="8">
        <v>17</v>
      </c>
      <c r="H4097" s="8" t="s">
        <v>33832</v>
      </c>
      <c r="I4097" s="8">
        <v>531.5625</v>
      </c>
      <c r="J4097" s="3">
        <f t="shared" si="63"/>
        <v>43748.752634189812</v>
      </c>
    </row>
    <row r="4098" spans="1:10" x14ac:dyDescent="0.25">
      <c r="A4098" s="5" t="s">
        <v>33833</v>
      </c>
      <c r="B4098" s="6">
        <v>393.75</v>
      </c>
      <c r="C4098" s="6">
        <v>20.531590000000001</v>
      </c>
      <c r="D4098" s="6">
        <v>70</v>
      </c>
      <c r="E4098" s="6">
        <v>0</v>
      </c>
      <c r="F4098" s="6">
        <v>0</v>
      </c>
      <c r="G4098" s="6">
        <v>20</v>
      </c>
      <c r="H4098" s="6" t="s">
        <v>33834</v>
      </c>
      <c r="I4098" s="6">
        <v>526.6875</v>
      </c>
      <c r="J4098" s="2">
        <f t="shared" ref="J4098:J4161" si="64">(H4098/86400000)+25569+(7/24)</f>
        <v>43748.752705740735</v>
      </c>
    </row>
    <row r="4099" spans="1:10" x14ac:dyDescent="0.25">
      <c r="A4099" s="7" t="s">
        <v>33835</v>
      </c>
      <c r="B4099" s="8">
        <v>393.75</v>
      </c>
      <c r="C4099" s="8">
        <v>20.478950000000001</v>
      </c>
      <c r="D4099" s="8">
        <v>68</v>
      </c>
      <c r="E4099" s="8">
        <v>0</v>
      </c>
      <c r="F4099" s="8">
        <v>0</v>
      </c>
      <c r="G4099" s="8">
        <v>21</v>
      </c>
      <c r="H4099" s="8" t="s">
        <v>33836</v>
      </c>
      <c r="I4099" s="8">
        <v>526.5</v>
      </c>
      <c r="J4099" s="3">
        <f t="shared" si="64"/>
        <v>43748.752789641199</v>
      </c>
    </row>
    <row r="4100" spans="1:10" x14ac:dyDescent="0.25">
      <c r="A4100" s="5" t="s">
        <v>33837</v>
      </c>
      <c r="B4100" s="6">
        <v>393.75</v>
      </c>
      <c r="C4100" s="6">
        <v>20.478950000000001</v>
      </c>
      <c r="D4100" s="6">
        <v>70</v>
      </c>
      <c r="E4100" s="6">
        <v>0</v>
      </c>
      <c r="F4100" s="6">
        <v>0</v>
      </c>
      <c r="G4100" s="6">
        <v>13</v>
      </c>
      <c r="H4100" s="6" t="s">
        <v>33838</v>
      </c>
      <c r="I4100" s="6">
        <v>526.6875</v>
      </c>
      <c r="J4100" s="2">
        <f t="shared" si="64"/>
        <v>43748.75288472222</v>
      </c>
    </row>
    <row r="4101" spans="1:10" x14ac:dyDescent="0.25">
      <c r="A4101" s="7" t="s">
        <v>33839</v>
      </c>
      <c r="B4101" s="8">
        <v>393.75</v>
      </c>
      <c r="C4101" s="8">
        <v>20.478950000000001</v>
      </c>
      <c r="D4101" s="8">
        <v>71</v>
      </c>
      <c r="E4101" s="8">
        <v>0</v>
      </c>
      <c r="F4101" s="8">
        <v>0</v>
      </c>
      <c r="G4101" s="8">
        <v>18</v>
      </c>
      <c r="H4101" s="8" t="s">
        <v>33840</v>
      </c>
      <c r="I4101" s="8">
        <v>526.6875</v>
      </c>
      <c r="J4101" s="3">
        <f t="shared" si="64"/>
        <v>43748.752968472218</v>
      </c>
    </row>
    <row r="4102" spans="1:10" x14ac:dyDescent="0.25">
      <c r="A4102" s="5" t="s">
        <v>33841</v>
      </c>
      <c r="B4102" s="6">
        <v>393.75</v>
      </c>
      <c r="C4102" s="6">
        <v>20.478950000000001</v>
      </c>
      <c r="D4102" s="6">
        <v>71</v>
      </c>
      <c r="E4102" s="6">
        <v>0</v>
      </c>
      <c r="F4102" s="6">
        <v>0</v>
      </c>
      <c r="G4102" s="6">
        <v>13</v>
      </c>
      <c r="H4102" s="6" t="s">
        <v>33842</v>
      </c>
      <c r="I4102" s="6">
        <v>526.6875</v>
      </c>
      <c r="J4102" s="2">
        <f t="shared" si="64"/>
        <v>43748.75303998842</v>
      </c>
    </row>
    <row r="4103" spans="1:10" x14ac:dyDescent="0.25">
      <c r="A4103" s="7" t="s">
        <v>33843</v>
      </c>
      <c r="B4103" s="8">
        <v>393.75</v>
      </c>
      <c r="C4103" s="8">
        <v>20.478950000000001</v>
      </c>
      <c r="D4103" s="8">
        <v>70</v>
      </c>
      <c r="E4103" s="8">
        <v>0</v>
      </c>
      <c r="F4103" s="8">
        <v>0</v>
      </c>
      <c r="G4103" s="8">
        <v>17</v>
      </c>
      <c r="H4103" s="8" t="s">
        <v>33844</v>
      </c>
      <c r="I4103" s="8">
        <v>526.6875</v>
      </c>
      <c r="J4103" s="3">
        <f t="shared" si="64"/>
        <v>43748.753123171293</v>
      </c>
    </row>
    <row r="4104" spans="1:10" x14ac:dyDescent="0.25">
      <c r="A4104" s="5" t="s">
        <v>33845</v>
      </c>
      <c r="B4104" s="6">
        <v>393.75</v>
      </c>
      <c r="C4104" s="6">
        <v>20.478950000000001</v>
      </c>
      <c r="D4104" s="6">
        <v>69</v>
      </c>
      <c r="E4104" s="6">
        <v>0</v>
      </c>
      <c r="F4104" s="6">
        <v>0</v>
      </c>
      <c r="G4104" s="6">
        <v>20</v>
      </c>
      <c r="H4104" s="6" t="s">
        <v>33846</v>
      </c>
      <c r="I4104" s="6">
        <v>526.6875</v>
      </c>
      <c r="J4104" s="2">
        <f t="shared" si="64"/>
        <v>43748.753206898145</v>
      </c>
    </row>
    <row r="4105" spans="1:10" x14ac:dyDescent="0.25">
      <c r="A4105" s="7" t="s">
        <v>33847</v>
      </c>
      <c r="B4105" s="8">
        <v>393.75</v>
      </c>
      <c r="C4105" s="8">
        <v>20.478950000000001</v>
      </c>
      <c r="D4105" s="8">
        <v>69</v>
      </c>
      <c r="E4105" s="8">
        <v>0</v>
      </c>
      <c r="F4105" s="8">
        <v>0</v>
      </c>
      <c r="G4105" s="8">
        <v>22</v>
      </c>
      <c r="H4105" s="8" t="s">
        <v>33848</v>
      </c>
      <c r="I4105" s="8">
        <v>526.6875</v>
      </c>
      <c r="J4105" s="3">
        <f t="shared" si="64"/>
        <v>43748.753278171294</v>
      </c>
    </row>
    <row r="4106" spans="1:10" x14ac:dyDescent="0.25">
      <c r="A4106" s="5" t="s">
        <v>33849</v>
      </c>
      <c r="B4106" s="6">
        <v>393.75</v>
      </c>
      <c r="C4106" s="6">
        <v>20.478950000000001</v>
      </c>
      <c r="D4106" s="6">
        <v>69</v>
      </c>
      <c r="E4106" s="6">
        <v>0</v>
      </c>
      <c r="F4106" s="6">
        <v>0</v>
      </c>
      <c r="G4106" s="6">
        <v>22</v>
      </c>
      <c r="H4106" s="6" t="s">
        <v>33850</v>
      </c>
      <c r="I4106" s="6">
        <v>526.6875</v>
      </c>
      <c r="J4106" s="2">
        <f t="shared" si="64"/>
        <v>43748.75336200231</v>
      </c>
    </row>
    <row r="4107" spans="1:10" x14ac:dyDescent="0.25">
      <c r="A4107" s="7" t="s">
        <v>33851</v>
      </c>
      <c r="B4107" s="8">
        <v>418.75</v>
      </c>
      <c r="C4107" s="8">
        <v>20.478950000000001</v>
      </c>
      <c r="D4107" s="8">
        <v>70</v>
      </c>
      <c r="E4107" s="8">
        <v>0</v>
      </c>
      <c r="F4107" s="8">
        <v>0</v>
      </c>
      <c r="G4107" s="8">
        <v>2</v>
      </c>
      <c r="H4107" s="8" t="s">
        <v>33852</v>
      </c>
      <c r="I4107" s="8">
        <v>534</v>
      </c>
      <c r="J4107" s="3">
        <f t="shared" si="64"/>
        <v>43748.753445185182</v>
      </c>
    </row>
    <row r="4108" spans="1:10" x14ac:dyDescent="0.25">
      <c r="A4108" s="5" t="s">
        <v>33853</v>
      </c>
      <c r="B4108" s="6">
        <v>396.875</v>
      </c>
      <c r="C4108" s="6">
        <v>20.478950000000001</v>
      </c>
      <c r="D4108" s="6">
        <v>70</v>
      </c>
      <c r="E4108" s="6">
        <v>0</v>
      </c>
      <c r="F4108" s="6">
        <v>0</v>
      </c>
      <c r="G4108" s="6">
        <v>13</v>
      </c>
      <c r="H4108" s="6" t="s">
        <v>33854</v>
      </c>
      <c r="I4108" s="6">
        <v>527.4375</v>
      </c>
      <c r="J4108" s="2">
        <f t="shared" si="64"/>
        <v>43748.753528865738</v>
      </c>
    </row>
    <row r="4109" spans="1:10" x14ac:dyDescent="0.25">
      <c r="A4109" s="7" t="s">
        <v>33855</v>
      </c>
      <c r="B4109" s="8">
        <v>396.875</v>
      </c>
      <c r="C4109" s="8">
        <v>20.531590000000001</v>
      </c>
      <c r="D4109" s="8">
        <v>70</v>
      </c>
      <c r="E4109" s="8">
        <v>0</v>
      </c>
      <c r="F4109" s="8">
        <v>0</v>
      </c>
      <c r="G4109" s="8">
        <v>16</v>
      </c>
      <c r="H4109" s="8" t="s">
        <v>33856</v>
      </c>
      <c r="I4109" s="8">
        <v>527.4375</v>
      </c>
      <c r="J4109" s="3">
        <f t="shared" si="64"/>
        <v>43748.75361255787</v>
      </c>
    </row>
    <row r="4110" spans="1:10" x14ac:dyDescent="0.25">
      <c r="A4110" s="5" t="s">
        <v>33857</v>
      </c>
      <c r="B4110" s="6">
        <v>393.75</v>
      </c>
      <c r="C4110" s="6">
        <v>20.531590000000001</v>
      </c>
      <c r="D4110" s="6">
        <v>70</v>
      </c>
      <c r="E4110" s="6">
        <v>0</v>
      </c>
      <c r="F4110" s="6">
        <v>0</v>
      </c>
      <c r="G4110" s="6">
        <v>18</v>
      </c>
      <c r="H4110" s="6" t="s">
        <v>33858</v>
      </c>
      <c r="I4110" s="6">
        <v>526.6875</v>
      </c>
      <c r="J4110" s="2">
        <f t="shared" si="64"/>
        <v>43748.753683958326</v>
      </c>
    </row>
    <row r="4111" spans="1:10" x14ac:dyDescent="0.25">
      <c r="A4111" s="7" t="s">
        <v>33859</v>
      </c>
      <c r="B4111" s="8">
        <v>393.75</v>
      </c>
      <c r="C4111" s="8">
        <v>20.478950000000001</v>
      </c>
      <c r="D4111" s="8">
        <v>71</v>
      </c>
      <c r="E4111" s="8">
        <v>0</v>
      </c>
      <c r="F4111" s="8">
        <v>0</v>
      </c>
      <c r="G4111" s="8">
        <v>19</v>
      </c>
      <c r="H4111" s="8" t="s">
        <v>33860</v>
      </c>
      <c r="I4111" s="8">
        <v>526.5</v>
      </c>
      <c r="J4111" s="3">
        <f t="shared" si="64"/>
        <v>43748.753767407405</v>
      </c>
    </row>
    <row r="4112" spans="1:10" x14ac:dyDescent="0.25">
      <c r="A4112" s="5" t="s">
        <v>33861</v>
      </c>
      <c r="B4112" s="6">
        <v>393.75</v>
      </c>
      <c r="C4112" s="6">
        <v>20.478950000000001</v>
      </c>
      <c r="D4112" s="6">
        <v>71</v>
      </c>
      <c r="E4112" s="6">
        <v>0</v>
      </c>
      <c r="F4112" s="6">
        <v>0</v>
      </c>
      <c r="G4112" s="6">
        <v>19</v>
      </c>
      <c r="H4112" s="6" t="s">
        <v>33862</v>
      </c>
      <c r="I4112" s="6">
        <v>526.6875</v>
      </c>
      <c r="J4112" s="2">
        <f t="shared" si="64"/>
        <v>43748.753850868052</v>
      </c>
    </row>
    <row r="4113" spans="1:10" x14ac:dyDescent="0.25">
      <c r="A4113" s="7" t="s">
        <v>33863</v>
      </c>
      <c r="B4113" s="8">
        <v>393.75</v>
      </c>
      <c r="C4113" s="8">
        <v>20.478950000000001</v>
      </c>
      <c r="D4113" s="8">
        <v>71</v>
      </c>
      <c r="E4113" s="8">
        <v>0</v>
      </c>
      <c r="F4113" s="8">
        <v>0</v>
      </c>
      <c r="G4113" s="8">
        <v>21</v>
      </c>
      <c r="H4113" s="8" t="s">
        <v>33864</v>
      </c>
      <c r="I4113" s="8">
        <v>526.6875</v>
      </c>
      <c r="J4113" s="3">
        <f t="shared" si="64"/>
        <v>43748.753934085646</v>
      </c>
    </row>
    <row r="4114" spans="1:10" x14ac:dyDescent="0.25">
      <c r="A4114" s="5" t="s">
        <v>33865</v>
      </c>
      <c r="B4114" s="6">
        <v>393.75</v>
      </c>
      <c r="C4114" s="6">
        <v>20.478950000000001</v>
      </c>
      <c r="D4114" s="6">
        <v>71</v>
      </c>
      <c r="E4114" s="6">
        <v>0</v>
      </c>
      <c r="F4114" s="6">
        <v>0</v>
      </c>
      <c r="G4114" s="6">
        <v>25</v>
      </c>
      <c r="H4114" s="6" t="s">
        <v>33866</v>
      </c>
      <c r="I4114" s="6">
        <v>526.6875</v>
      </c>
      <c r="J4114" s="2">
        <f t="shared" si="64"/>
        <v>43748.754005844901</v>
      </c>
    </row>
    <row r="4115" spans="1:10" x14ac:dyDescent="0.25">
      <c r="A4115" s="7" t="s">
        <v>33867</v>
      </c>
      <c r="B4115" s="8">
        <v>412.5</v>
      </c>
      <c r="C4115" s="8">
        <v>20.478950000000001</v>
      </c>
      <c r="D4115" s="8">
        <v>70</v>
      </c>
      <c r="E4115" s="8">
        <v>0</v>
      </c>
      <c r="F4115" s="8">
        <v>0</v>
      </c>
      <c r="G4115" s="8">
        <v>21</v>
      </c>
      <c r="H4115" s="8" t="s">
        <v>33868</v>
      </c>
      <c r="I4115" s="8">
        <v>532.5</v>
      </c>
      <c r="J4115" s="3">
        <f t="shared" si="64"/>
        <v>43748.754077569443</v>
      </c>
    </row>
    <row r="4116" spans="1:10" x14ac:dyDescent="0.25">
      <c r="A4116" s="5" t="s">
        <v>33869</v>
      </c>
      <c r="B4116" s="6">
        <v>393.75</v>
      </c>
      <c r="C4116" s="6">
        <v>20.478950000000001</v>
      </c>
      <c r="D4116" s="6">
        <v>69</v>
      </c>
      <c r="E4116" s="6">
        <v>0</v>
      </c>
      <c r="F4116" s="6">
        <v>0</v>
      </c>
      <c r="G4116" s="6">
        <v>21</v>
      </c>
      <c r="H4116" s="6" t="s">
        <v>33870</v>
      </c>
      <c r="I4116" s="6">
        <v>526.6875</v>
      </c>
      <c r="J4116" s="2">
        <f t="shared" si="64"/>
        <v>43748.754160925928</v>
      </c>
    </row>
    <row r="4117" spans="1:10" x14ac:dyDescent="0.25">
      <c r="A4117" s="7" t="s">
        <v>33871</v>
      </c>
      <c r="B4117" s="8">
        <v>393.75</v>
      </c>
      <c r="C4117" s="8">
        <v>20.478950000000001</v>
      </c>
      <c r="D4117" s="8">
        <v>70</v>
      </c>
      <c r="E4117" s="8">
        <v>0</v>
      </c>
      <c r="F4117" s="8">
        <v>0</v>
      </c>
      <c r="G4117" s="8">
        <v>17</v>
      </c>
      <c r="H4117" s="8" t="s">
        <v>33872</v>
      </c>
      <c r="I4117" s="8">
        <v>526.6875</v>
      </c>
      <c r="J4117" s="3">
        <f t="shared" si="64"/>
        <v>43748.75424081018</v>
      </c>
    </row>
    <row r="4118" spans="1:10" x14ac:dyDescent="0.25">
      <c r="A4118" s="5" t="s">
        <v>33873</v>
      </c>
      <c r="B4118" s="6">
        <v>393.75</v>
      </c>
      <c r="C4118" s="6">
        <v>20.478950000000001</v>
      </c>
      <c r="D4118" s="6">
        <v>68</v>
      </c>
      <c r="E4118" s="6">
        <v>0</v>
      </c>
      <c r="F4118" s="6">
        <v>0</v>
      </c>
      <c r="G4118" s="6">
        <v>24</v>
      </c>
      <c r="H4118" s="6" t="s">
        <v>33874</v>
      </c>
      <c r="I4118" s="6">
        <v>526.6875</v>
      </c>
      <c r="J4118" s="2">
        <f t="shared" si="64"/>
        <v>43748.754329340278</v>
      </c>
    </row>
    <row r="4119" spans="1:10" x14ac:dyDescent="0.25">
      <c r="A4119" s="7" t="s">
        <v>33875</v>
      </c>
      <c r="B4119" s="8">
        <v>393.75</v>
      </c>
      <c r="C4119" s="8">
        <v>20.478950000000001</v>
      </c>
      <c r="D4119" s="8">
        <v>69</v>
      </c>
      <c r="E4119" s="8">
        <v>0</v>
      </c>
      <c r="F4119" s="8">
        <v>0</v>
      </c>
      <c r="G4119" s="8">
        <v>25</v>
      </c>
      <c r="H4119" s="8" t="s">
        <v>33876</v>
      </c>
      <c r="I4119" s="8">
        <v>526.6875</v>
      </c>
      <c r="J4119" s="3">
        <f t="shared" si="64"/>
        <v>43748.754411412032</v>
      </c>
    </row>
    <row r="4120" spans="1:10" x14ac:dyDescent="0.25">
      <c r="A4120" s="5" t="s">
        <v>33877</v>
      </c>
      <c r="B4120" s="6">
        <v>412.5</v>
      </c>
      <c r="C4120" s="6">
        <v>20.478950000000001</v>
      </c>
      <c r="D4120" s="6">
        <v>68</v>
      </c>
      <c r="E4120" s="6">
        <v>0</v>
      </c>
      <c r="F4120" s="6">
        <v>0</v>
      </c>
      <c r="G4120" s="6">
        <v>16</v>
      </c>
      <c r="H4120" s="6" t="s">
        <v>33878</v>
      </c>
      <c r="I4120" s="6">
        <v>532.5</v>
      </c>
      <c r="J4120" s="2">
        <f t="shared" si="64"/>
        <v>43748.754494872679</v>
      </c>
    </row>
    <row r="4121" spans="1:10" x14ac:dyDescent="0.25">
      <c r="A4121" s="7" t="s">
        <v>33879</v>
      </c>
      <c r="B4121" s="8">
        <v>393.75</v>
      </c>
      <c r="C4121" s="8">
        <v>20.531590000000001</v>
      </c>
      <c r="D4121" s="8">
        <v>69</v>
      </c>
      <c r="E4121" s="8">
        <v>0</v>
      </c>
      <c r="F4121" s="8">
        <v>0</v>
      </c>
      <c r="G4121" s="8">
        <v>24</v>
      </c>
      <c r="H4121" s="8" t="s">
        <v>33880</v>
      </c>
      <c r="I4121" s="8">
        <v>526.5</v>
      </c>
      <c r="J4121" s="3">
        <f t="shared" si="64"/>
        <v>43748.75457853009</v>
      </c>
    </row>
    <row r="4122" spans="1:10" x14ac:dyDescent="0.25">
      <c r="A4122" s="5" t="s">
        <v>33881</v>
      </c>
      <c r="B4122" s="6">
        <v>393.75</v>
      </c>
      <c r="C4122" s="6">
        <v>20.478950000000001</v>
      </c>
      <c r="D4122" s="6">
        <v>67</v>
      </c>
      <c r="E4122" s="6">
        <v>0</v>
      </c>
      <c r="F4122" s="6">
        <v>0</v>
      </c>
      <c r="G4122" s="6">
        <v>15</v>
      </c>
      <c r="H4122" s="6" t="s">
        <v>33882</v>
      </c>
      <c r="I4122" s="6">
        <v>526.6875</v>
      </c>
      <c r="J4122" s="2">
        <f t="shared" si="64"/>
        <v>43748.754661863422</v>
      </c>
    </row>
    <row r="4123" spans="1:10" x14ac:dyDescent="0.25">
      <c r="A4123" s="7" t="s">
        <v>33883</v>
      </c>
      <c r="B4123" s="8">
        <v>393.75</v>
      </c>
      <c r="C4123" s="8">
        <v>20.478950000000001</v>
      </c>
      <c r="D4123" s="8">
        <v>67</v>
      </c>
      <c r="E4123" s="8">
        <v>0</v>
      </c>
      <c r="F4123" s="8">
        <v>0</v>
      </c>
      <c r="G4123" s="8">
        <v>23</v>
      </c>
      <c r="H4123" s="8" t="s">
        <v>33884</v>
      </c>
      <c r="I4123" s="8">
        <v>526.5</v>
      </c>
      <c r="J4123" s="3">
        <f t="shared" si="64"/>
        <v>43748.754745196762</v>
      </c>
    </row>
    <row r="4124" spans="1:10" x14ac:dyDescent="0.25">
      <c r="A4124" s="5" t="s">
        <v>33885</v>
      </c>
      <c r="B4124" s="6">
        <v>393.75</v>
      </c>
      <c r="C4124" s="6">
        <v>20.478950000000001</v>
      </c>
      <c r="D4124" s="6">
        <v>67</v>
      </c>
      <c r="E4124" s="6">
        <v>0</v>
      </c>
      <c r="F4124" s="6">
        <v>0</v>
      </c>
      <c r="G4124" s="6">
        <v>13</v>
      </c>
      <c r="H4124" s="6" t="s">
        <v>33886</v>
      </c>
      <c r="I4124" s="6">
        <v>526.6875</v>
      </c>
      <c r="J4124" s="2">
        <f t="shared" si="64"/>
        <v>43748.754828877318</v>
      </c>
    </row>
    <row r="4125" spans="1:10" x14ac:dyDescent="0.25">
      <c r="A4125" s="7" t="s">
        <v>33887</v>
      </c>
      <c r="B4125" s="8">
        <v>400</v>
      </c>
      <c r="C4125" s="8">
        <v>20.478950000000001</v>
      </c>
      <c r="D4125" s="8">
        <v>68</v>
      </c>
      <c r="E4125" s="8">
        <v>0</v>
      </c>
      <c r="F4125" s="8">
        <v>0</v>
      </c>
      <c r="G4125" s="8">
        <v>13</v>
      </c>
      <c r="H4125" s="8" t="s">
        <v>33888</v>
      </c>
      <c r="I4125" s="8">
        <v>528.375</v>
      </c>
      <c r="J4125" s="3">
        <f t="shared" si="64"/>
        <v>43748.754911979166</v>
      </c>
    </row>
    <row r="4126" spans="1:10" x14ac:dyDescent="0.25">
      <c r="A4126" s="5" t="s">
        <v>33889</v>
      </c>
      <c r="B4126" s="6">
        <v>400</v>
      </c>
      <c r="C4126" s="6">
        <v>20.531590000000001</v>
      </c>
      <c r="D4126" s="6">
        <v>67</v>
      </c>
      <c r="E4126" s="6">
        <v>0</v>
      </c>
      <c r="F4126" s="6">
        <v>0</v>
      </c>
      <c r="G4126" s="6">
        <v>11</v>
      </c>
      <c r="H4126" s="6" t="s">
        <v>33890</v>
      </c>
      <c r="I4126" s="6">
        <v>528.375</v>
      </c>
      <c r="J4126" s="2">
        <f t="shared" si="64"/>
        <v>43748.754995787036</v>
      </c>
    </row>
    <row r="4127" spans="1:10" x14ac:dyDescent="0.25">
      <c r="A4127" s="7" t="s">
        <v>33891</v>
      </c>
      <c r="B4127" s="8">
        <v>400</v>
      </c>
      <c r="C4127" s="8">
        <v>20.531590000000001</v>
      </c>
      <c r="D4127" s="8">
        <v>67</v>
      </c>
      <c r="E4127" s="8">
        <v>0</v>
      </c>
      <c r="F4127" s="8">
        <v>0</v>
      </c>
      <c r="G4127" s="8">
        <v>18</v>
      </c>
      <c r="H4127" s="8" t="s">
        <v>33892</v>
      </c>
      <c r="I4127" s="8">
        <v>528.375</v>
      </c>
      <c r="J4127" s="3">
        <f t="shared" si="64"/>
        <v>43748.755079236107</v>
      </c>
    </row>
    <row r="4128" spans="1:10" x14ac:dyDescent="0.25">
      <c r="A4128" s="5" t="s">
        <v>33893</v>
      </c>
      <c r="B4128" s="6">
        <v>400</v>
      </c>
      <c r="C4128" s="6">
        <v>20.531590000000001</v>
      </c>
      <c r="D4128" s="6">
        <v>68</v>
      </c>
      <c r="E4128" s="6">
        <v>0</v>
      </c>
      <c r="F4128" s="6">
        <v>0</v>
      </c>
      <c r="G4128" s="6">
        <v>16</v>
      </c>
      <c r="H4128" s="6" t="s">
        <v>33894</v>
      </c>
      <c r="I4128" s="6">
        <v>528.375</v>
      </c>
      <c r="J4128" s="2">
        <f t="shared" si="64"/>
        <v>43748.7551508912</v>
      </c>
    </row>
    <row r="4129" spans="1:10" x14ac:dyDescent="0.25">
      <c r="A4129" s="7" t="s">
        <v>33895</v>
      </c>
      <c r="B4129" s="8">
        <v>400</v>
      </c>
      <c r="C4129" s="8">
        <v>20.478950000000001</v>
      </c>
      <c r="D4129" s="8">
        <v>69</v>
      </c>
      <c r="E4129" s="8">
        <v>0</v>
      </c>
      <c r="F4129" s="8">
        <v>0</v>
      </c>
      <c r="G4129" s="8">
        <v>20</v>
      </c>
      <c r="H4129" s="8" t="s">
        <v>33896</v>
      </c>
      <c r="I4129" s="8">
        <v>528.375</v>
      </c>
      <c r="J4129" s="3">
        <f t="shared" si="64"/>
        <v>43748.755234108794</v>
      </c>
    </row>
    <row r="4130" spans="1:10" x14ac:dyDescent="0.25">
      <c r="A4130" s="5" t="s">
        <v>33897</v>
      </c>
      <c r="B4130" s="6">
        <v>400</v>
      </c>
      <c r="C4130" s="6">
        <v>20.478950000000001</v>
      </c>
      <c r="D4130" s="6">
        <v>69</v>
      </c>
      <c r="E4130" s="6">
        <v>0</v>
      </c>
      <c r="F4130" s="6">
        <v>0</v>
      </c>
      <c r="G4130" s="6">
        <v>10</v>
      </c>
      <c r="H4130" s="6" t="s">
        <v>33898</v>
      </c>
      <c r="I4130" s="6">
        <v>528.375</v>
      </c>
      <c r="J4130" s="2">
        <f t="shared" si="64"/>
        <v>43748.755305740742</v>
      </c>
    </row>
    <row r="4131" spans="1:10" x14ac:dyDescent="0.25">
      <c r="A4131" s="7" t="s">
        <v>33899</v>
      </c>
      <c r="B4131" s="8">
        <v>400</v>
      </c>
      <c r="C4131" s="8">
        <v>20.478950000000001</v>
      </c>
      <c r="D4131" s="8">
        <v>68</v>
      </c>
      <c r="E4131" s="8">
        <v>0</v>
      </c>
      <c r="F4131" s="8">
        <v>0</v>
      </c>
      <c r="G4131" s="8">
        <v>18</v>
      </c>
      <c r="H4131" s="8" t="s">
        <v>33900</v>
      </c>
      <c r="I4131" s="8">
        <v>528.1875</v>
      </c>
      <c r="J4131" s="3">
        <f t="shared" si="64"/>
        <v>43748.755389305552</v>
      </c>
    </row>
    <row r="4132" spans="1:10" x14ac:dyDescent="0.25">
      <c r="A4132" s="5" t="s">
        <v>33901</v>
      </c>
      <c r="B4132" s="6">
        <v>396.875</v>
      </c>
      <c r="C4132" s="6">
        <v>20.478950000000001</v>
      </c>
      <c r="D4132" s="6">
        <v>69</v>
      </c>
      <c r="E4132" s="6">
        <v>0</v>
      </c>
      <c r="F4132" s="6">
        <v>0</v>
      </c>
      <c r="G4132" s="6">
        <v>14</v>
      </c>
      <c r="H4132" s="6" t="s">
        <v>33902</v>
      </c>
      <c r="I4132" s="6">
        <v>527.4375</v>
      </c>
      <c r="J4132" s="2">
        <f t="shared" si="64"/>
        <v>43748.755472870369</v>
      </c>
    </row>
    <row r="4133" spans="1:10" x14ac:dyDescent="0.25">
      <c r="A4133" s="7" t="s">
        <v>33903</v>
      </c>
      <c r="B4133" s="8">
        <v>396.875</v>
      </c>
      <c r="C4133" s="8">
        <v>20.478950000000001</v>
      </c>
      <c r="D4133" s="8">
        <v>69</v>
      </c>
      <c r="E4133" s="8">
        <v>0</v>
      </c>
      <c r="F4133" s="8">
        <v>0</v>
      </c>
      <c r="G4133" s="8">
        <v>21</v>
      </c>
      <c r="H4133" s="8" t="s">
        <v>33904</v>
      </c>
      <c r="I4133" s="8">
        <v>527.4375</v>
      </c>
      <c r="J4133" s="3">
        <f t="shared" si="64"/>
        <v>43748.755556307871</v>
      </c>
    </row>
    <row r="4134" spans="1:10" x14ac:dyDescent="0.25">
      <c r="A4134" s="5" t="s">
        <v>33905</v>
      </c>
      <c r="B4134" s="6">
        <v>396.875</v>
      </c>
      <c r="C4134" s="6">
        <v>20.478950000000001</v>
      </c>
      <c r="D4134" s="6">
        <v>69</v>
      </c>
      <c r="E4134" s="6">
        <v>0</v>
      </c>
      <c r="F4134" s="6">
        <v>0</v>
      </c>
      <c r="G4134" s="6">
        <v>23</v>
      </c>
      <c r="H4134" s="6" t="s">
        <v>33906</v>
      </c>
      <c r="I4134" s="6">
        <v>527.4375</v>
      </c>
      <c r="J4134" s="2">
        <f t="shared" si="64"/>
        <v>43748.755639768518</v>
      </c>
    </row>
    <row r="4135" spans="1:10" x14ac:dyDescent="0.25">
      <c r="A4135" s="7" t="s">
        <v>33907</v>
      </c>
      <c r="B4135" s="8">
        <v>396.875</v>
      </c>
      <c r="C4135" s="8">
        <v>20.478950000000001</v>
      </c>
      <c r="D4135" s="8">
        <v>69</v>
      </c>
      <c r="E4135" s="8">
        <v>0</v>
      </c>
      <c r="F4135" s="8">
        <v>0</v>
      </c>
      <c r="G4135" s="8">
        <v>12</v>
      </c>
      <c r="H4135" s="8" t="s">
        <v>33908</v>
      </c>
      <c r="I4135" s="8">
        <v>527.4375</v>
      </c>
      <c r="J4135" s="3">
        <f t="shared" si="64"/>
        <v>43748.755722986105</v>
      </c>
    </row>
    <row r="4136" spans="1:10" x14ac:dyDescent="0.25">
      <c r="A4136" s="5" t="s">
        <v>33909</v>
      </c>
      <c r="B4136" s="6">
        <v>393.75</v>
      </c>
      <c r="C4136" s="6">
        <v>20.478950000000001</v>
      </c>
      <c r="D4136" s="6">
        <v>69</v>
      </c>
      <c r="E4136" s="6">
        <v>0</v>
      </c>
      <c r="F4136" s="6">
        <v>0</v>
      </c>
      <c r="G4136" s="6">
        <v>16</v>
      </c>
      <c r="H4136" s="6" t="s">
        <v>33910</v>
      </c>
      <c r="I4136" s="6">
        <v>526.6875</v>
      </c>
      <c r="J4136" s="2">
        <f t="shared" si="64"/>
        <v>43748.755794618053</v>
      </c>
    </row>
    <row r="4137" spans="1:10" x14ac:dyDescent="0.25">
      <c r="A4137" s="7" t="s">
        <v>33911</v>
      </c>
      <c r="B4137" s="8">
        <v>393.75</v>
      </c>
      <c r="C4137" s="8">
        <v>20.478950000000001</v>
      </c>
      <c r="D4137" s="8">
        <v>69</v>
      </c>
      <c r="E4137" s="8">
        <v>0</v>
      </c>
      <c r="F4137" s="8">
        <v>0</v>
      </c>
      <c r="G4137" s="8">
        <v>16</v>
      </c>
      <c r="H4137" s="8" t="s">
        <v>33912</v>
      </c>
      <c r="I4137" s="8">
        <v>526.6875</v>
      </c>
      <c r="J4137" s="3">
        <f t="shared" si="64"/>
        <v>43748.755878553238</v>
      </c>
    </row>
    <row r="4138" spans="1:10" x14ac:dyDescent="0.25">
      <c r="A4138" s="5" t="s">
        <v>33913</v>
      </c>
      <c r="B4138" s="6">
        <v>393.75</v>
      </c>
      <c r="C4138" s="6">
        <v>20.478950000000001</v>
      </c>
      <c r="D4138" s="6">
        <v>69</v>
      </c>
      <c r="E4138" s="6">
        <v>0</v>
      </c>
      <c r="F4138" s="6">
        <v>0</v>
      </c>
      <c r="G4138" s="6">
        <v>10</v>
      </c>
      <c r="H4138" s="6" t="s">
        <v>33914</v>
      </c>
      <c r="I4138" s="6">
        <v>526.6875</v>
      </c>
      <c r="J4138" s="2">
        <f t="shared" si="64"/>
        <v>43748.755961875002</v>
      </c>
    </row>
    <row r="4139" spans="1:10" x14ac:dyDescent="0.25">
      <c r="A4139" s="7" t="s">
        <v>33915</v>
      </c>
      <c r="B4139" s="8">
        <v>393.75</v>
      </c>
      <c r="C4139" s="8">
        <v>20.478950000000001</v>
      </c>
      <c r="D4139" s="8">
        <v>69</v>
      </c>
      <c r="E4139" s="8">
        <v>0</v>
      </c>
      <c r="F4139" s="8">
        <v>0</v>
      </c>
      <c r="G4139" s="8">
        <v>18</v>
      </c>
      <c r="H4139" s="8" t="s">
        <v>33916</v>
      </c>
      <c r="I4139" s="8">
        <v>526.6875</v>
      </c>
      <c r="J4139" s="3">
        <f t="shared" si="64"/>
        <v>43748.756045208334</v>
      </c>
    </row>
    <row r="4140" spans="1:10" x14ac:dyDescent="0.25">
      <c r="A4140" s="5" t="s">
        <v>33917</v>
      </c>
      <c r="B4140" s="6">
        <v>393.75</v>
      </c>
      <c r="C4140" s="6">
        <v>20.478950000000001</v>
      </c>
      <c r="D4140" s="6">
        <v>69</v>
      </c>
      <c r="E4140" s="6">
        <v>0</v>
      </c>
      <c r="F4140" s="6">
        <v>0</v>
      </c>
      <c r="G4140" s="6">
        <v>24</v>
      </c>
      <c r="H4140" s="6" t="s">
        <v>33918</v>
      </c>
      <c r="I4140" s="6">
        <v>526.6875</v>
      </c>
      <c r="J4140" s="2">
        <f t="shared" si="64"/>
        <v>43748.756116840275</v>
      </c>
    </row>
    <row r="4141" spans="1:10" x14ac:dyDescent="0.25">
      <c r="A4141" s="7" t="s">
        <v>33919</v>
      </c>
      <c r="B4141" s="8">
        <v>393.75</v>
      </c>
      <c r="C4141" s="8">
        <v>20.478950000000001</v>
      </c>
      <c r="D4141" s="8">
        <v>69</v>
      </c>
      <c r="E4141" s="8">
        <v>0</v>
      </c>
      <c r="F4141" s="8">
        <v>0</v>
      </c>
      <c r="G4141" s="8">
        <v>15</v>
      </c>
      <c r="H4141" s="8" t="s">
        <v>33920</v>
      </c>
      <c r="I4141" s="8">
        <v>526.6875</v>
      </c>
      <c r="J4141" s="3">
        <f t="shared" si="64"/>
        <v>43748.756200428237</v>
      </c>
    </row>
    <row r="4142" spans="1:10" x14ac:dyDescent="0.25">
      <c r="A4142" s="5" t="s">
        <v>33921</v>
      </c>
      <c r="B4142" s="6">
        <v>393.75</v>
      </c>
      <c r="C4142" s="6">
        <v>20.478950000000001</v>
      </c>
      <c r="D4142" s="6">
        <v>69</v>
      </c>
      <c r="E4142" s="6">
        <v>0</v>
      </c>
      <c r="F4142" s="6">
        <v>0</v>
      </c>
      <c r="G4142" s="6">
        <v>21</v>
      </c>
      <c r="H4142" s="6" t="s">
        <v>33922</v>
      </c>
      <c r="I4142" s="6">
        <v>526.6875</v>
      </c>
      <c r="J4142" s="2">
        <f t="shared" si="64"/>
        <v>43748.75628386574</v>
      </c>
    </row>
    <row r="4143" spans="1:10" x14ac:dyDescent="0.25">
      <c r="A4143" s="7" t="s">
        <v>33923</v>
      </c>
      <c r="B4143" s="8">
        <v>393.75</v>
      </c>
      <c r="C4143" s="8">
        <v>20.478950000000001</v>
      </c>
      <c r="D4143" s="8">
        <v>69</v>
      </c>
      <c r="E4143" s="8">
        <v>0</v>
      </c>
      <c r="F4143" s="8">
        <v>0</v>
      </c>
      <c r="G4143" s="8">
        <v>23</v>
      </c>
      <c r="H4143" s="8" t="s">
        <v>33924</v>
      </c>
      <c r="I4143" s="8">
        <v>526.6875</v>
      </c>
      <c r="J4143" s="3">
        <f t="shared" si="64"/>
        <v>43748.756367430549</v>
      </c>
    </row>
    <row r="4144" spans="1:10" x14ac:dyDescent="0.25">
      <c r="A4144" s="5" t="s">
        <v>33925</v>
      </c>
      <c r="B4144" s="6">
        <v>393.75</v>
      </c>
      <c r="C4144" s="6">
        <v>20.478950000000001</v>
      </c>
      <c r="D4144" s="6">
        <v>69</v>
      </c>
      <c r="E4144" s="6">
        <v>0</v>
      </c>
      <c r="F4144" s="6">
        <v>0</v>
      </c>
      <c r="G4144" s="6">
        <v>13</v>
      </c>
      <c r="H4144" s="6" t="s">
        <v>33926</v>
      </c>
      <c r="I4144" s="6">
        <v>526.6875</v>
      </c>
      <c r="J4144" s="2">
        <f t="shared" si="64"/>
        <v>43748.756450891196</v>
      </c>
    </row>
    <row r="4145" spans="1:10" x14ac:dyDescent="0.25">
      <c r="A4145" s="7" t="s">
        <v>33927</v>
      </c>
      <c r="B4145" s="8">
        <v>412.5</v>
      </c>
      <c r="C4145" s="8">
        <v>20.478950000000001</v>
      </c>
      <c r="D4145" s="8">
        <v>69</v>
      </c>
      <c r="E4145" s="8">
        <v>0</v>
      </c>
      <c r="F4145" s="8">
        <v>0</v>
      </c>
      <c r="G4145" s="8">
        <v>18</v>
      </c>
      <c r="H4145" s="8" t="s">
        <v>33928</v>
      </c>
      <c r="I4145" s="8">
        <v>532.3125</v>
      </c>
      <c r="J4145" s="3">
        <f t="shared" si="64"/>
        <v>43748.756522233794</v>
      </c>
    </row>
    <row r="4146" spans="1:10" x14ac:dyDescent="0.25">
      <c r="A4146" s="5" t="s">
        <v>33929</v>
      </c>
      <c r="B4146" s="6">
        <v>396.875</v>
      </c>
      <c r="C4146" s="6">
        <v>20.478950000000001</v>
      </c>
      <c r="D4146" s="6">
        <v>67</v>
      </c>
      <c r="E4146" s="6">
        <v>0</v>
      </c>
      <c r="F4146" s="6">
        <v>0</v>
      </c>
      <c r="G4146" s="6">
        <v>14</v>
      </c>
      <c r="H4146" s="6" t="s">
        <v>33930</v>
      </c>
      <c r="I4146" s="6">
        <v>527.4375</v>
      </c>
      <c r="J4146" s="2">
        <f t="shared" si="64"/>
        <v>43748.756593946753</v>
      </c>
    </row>
    <row r="4147" spans="1:10" x14ac:dyDescent="0.25">
      <c r="A4147" s="7" t="s">
        <v>33931</v>
      </c>
      <c r="B4147" s="8">
        <v>396.875</v>
      </c>
      <c r="C4147" s="8">
        <v>20.478950000000001</v>
      </c>
      <c r="D4147" s="8">
        <v>67</v>
      </c>
      <c r="E4147" s="8">
        <v>0</v>
      </c>
      <c r="F4147" s="8">
        <v>0</v>
      </c>
      <c r="G4147" s="8">
        <v>25</v>
      </c>
      <c r="H4147" s="8" t="s">
        <v>33932</v>
      </c>
      <c r="I4147" s="8">
        <v>527.4375</v>
      </c>
      <c r="J4147" s="3">
        <f t="shared" si="64"/>
        <v>43748.756666157402</v>
      </c>
    </row>
    <row r="4148" spans="1:10" x14ac:dyDescent="0.25">
      <c r="A4148" s="5" t="s">
        <v>33933</v>
      </c>
      <c r="B4148" s="6">
        <v>396.875</v>
      </c>
      <c r="C4148" s="6">
        <v>20.478950000000001</v>
      </c>
      <c r="D4148" s="6">
        <v>68</v>
      </c>
      <c r="E4148" s="6">
        <v>0</v>
      </c>
      <c r="F4148" s="6">
        <v>0</v>
      </c>
      <c r="G4148" s="6">
        <v>10</v>
      </c>
      <c r="H4148" s="6" t="s">
        <v>33934</v>
      </c>
      <c r="I4148" s="6">
        <v>527.4375</v>
      </c>
      <c r="J4148" s="2">
        <f t="shared" si="64"/>
        <v>43748.756737349533</v>
      </c>
    </row>
    <row r="4149" spans="1:10" x14ac:dyDescent="0.25">
      <c r="A4149" s="7" t="s">
        <v>33935</v>
      </c>
      <c r="B4149" s="8">
        <v>396.875</v>
      </c>
      <c r="C4149" s="8">
        <v>20.478950000000001</v>
      </c>
      <c r="D4149" s="8">
        <v>68</v>
      </c>
      <c r="E4149" s="8">
        <v>0</v>
      </c>
      <c r="F4149" s="8">
        <v>0</v>
      </c>
      <c r="G4149" s="8">
        <v>21</v>
      </c>
      <c r="H4149" s="8" t="s">
        <v>33936</v>
      </c>
      <c r="I4149" s="8">
        <v>527.4375</v>
      </c>
      <c r="J4149" s="3">
        <f t="shared" si="64"/>
        <v>43748.756808599537</v>
      </c>
    </row>
    <row r="4150" spans="1:10" x14ac:dyDescent="0.25">
      <c r="A4150" s="5" t="s">
        <v>33937</v>
      </c>
      <c r="B4150" s="6">
        <v>396.875</v>
      </c>
      <c r="C4150" s="6">
        <v>20.478950000000001</v>
      </c>
      <c r="D4150" s="6">
        <v>68</v>
      </c>
      <c r="E4150" s="6">
        <v>0</v>
      </c>
      <c r="F4150" s="6">
        <v>0</v>
      </c>
      <c r="G4150" s="6">
        <v>19</v>
      </c>
      <c r="H4150" s="6" t="s">
        <v>33938</v>
      </c>
      <c r="I4150" s="6">
        <v>527.4375</v>
      </c>
      <c r="J4150" s="2">
        <f t="shared" si="64"/>
        <v>43748.756880636567</v>
      </c>
    </row>
    <row r="4151" spans="1:10" x14ac:dyDescent="0.25">
      <c r="A4151" s="7" t="s">
        <v>33939</v>
      </c>
      <c r="B4151" s="8">
        <v>393.75</v>
      </c>
      <c r="C4151" s="8">
        <v>20.478950000000001</v>
      </c>
      <c r="D4151" s="8">
        <v>70</v>
      </c>
      <c r="E4151" s="8">
        <v>0</v>
      </c>
      <c r="F4151" s="8">
        <v>0</v>
      </c>
      <c r="G4151" s="8">
        <v>25</v>
      </c>
      <c r="H4151" s="8" t="s">
        <v>33940</v>
      </c>
      <c r="I4151" s="8">
        <v>526.6875</v>
      </c>
      <c r="J4151" s="3">
        <f t="shared" si="64"/>
        <v>43748.756952222218</v>
      </c>
    </row>
    <row r="4152" spans="1:10" x14ac:dyDescent="0.25">
      <c r="A4152" s="5" t="s">
        <v>33941</v>
      </c>
      <c r="B4152" s="6">
        <v>393.75</v>
      </c>
      <c r="C4152" s="6">
        <v>20.478950000000001</v>
      </c>
      <c r="D4152" s="6">
        <v>69</v>
      </c>
      <c r="E4152" s="6">
        <v>0</v>
      </c>
      <c r="F4152" s="6">
        <v>0</v>
      </c>
      <c r="G4152" s="6">
        <v>25</v>
      </c>
      <c r="H4152" s="6" t="s">
        <v>33942</v>
      </c>
      <c r="I4152" s="6">
        <v>526.5</v>
      </c>
      <c r="J4152" s="2">
        <f t="shared" si="64"/>
        <v>43748.757049143511</v>
      </c>
    </row>
    <row r="4153" spans="1:10" x14ac:dyDescent="0.25">
      <c r="A4153" s="7" t="s">
        <v>33943</v>
      </c>
      <c r="B4153" s="8">
        <v>393.75</v>
      </c>
      <c r="C4153" s="8">
        <v>20.478950000000001</v>
      </c>
      <c r="D4153" s="8">
        <v>66</v>
      </c>
      <c r="E4153" s="8">
        <v>0</v>
      </c>
      <c r="F4153" s="8">
        <v>0</v>
      </c>
      <c r="G4153" s="8">
        <v>24</v>
      </c>
      <c r="H4153" s="8" t="s">
        <v>33944</v>
      </c>
      <c r="I4153" s="8">
        <v>526.6875</v>
      </c>
      <c r="J4153" s="3">
        <f t="shared" si="64"/>
        <v>43748.757130844904</v>
      </c>
    </row>
    <row r="4154" spans="1:10" x14ac:dyDescent="0.25">
      <c r="A4154" s="5" t="s">
        <v>33945</v>
      </c>
      <c r="B4154" s="6">
        <v>396.875</v>
      </c>
      <c r="C4154" s="6">
        <v>20.478950000000001</v>
      </c>
      <c r="D4154" s="6">
        <v>66</v>
      </c>
      <c r="E4154" s="6">
        <v>0</v>
      </c>
      <c r="F4154" s="6">
        <v>0</v>
      </c>
      <c r="G4154" s="6">
        <v>28</v>
      </c>
      <c r="H4154" s="6" t="s">
        <v>33946</v>
      </c>
      <c r="I4154" s="6">
        <v>527.4375</v>
      </c>
      <c r="J4154" s="2">
        <f t="shared" si="64"/>
        <v>43748.757214178237</v>
      </c>
    </row>
    <row r="4155" spans="1:10" x14ac:dyDescent="0.25">
      <c r="A4155" s="7" t="s">
        <v>33947</v>
      </c>
      <c r="B4155" s="8">
        <v>396.875</v>
      </c>
      <c r="C4155" s="8">
        <v>20.478950000000001</v>
      </c>
      <c r="D4155" s="8">
        <v>67</v>
      </c>
      <c r="E4155" s="8">
        <v>0</v>
      </c>
      <c r="F4155" s="8">
        <v>0</v>
      </c>
      <c r="G4155" s="8">
        <v>20</v>
      </c>
      <c r="H4155" s="8" t="s">
        <v>33948</v>
      </c>
      <c r="I4155" s="8">
        <v>527.625</v>
      </c>
      <c r="J4155" s="3">
        <f t="shared" si="64"/>
        <v>43748.757285555555</v>
      </c>
    </row>
    <row r="4156" spans="1:10" x14ac:dyDescent="0.25">
      <c r="A4156" s="5" t="s">
        <v>33949</v>
      </c>
      <c r="B4156" s="6">
        <v>396.875</v>
      </c>
      <c r="C4156" s="6">
        <v>20.478950000000001</v>
      </c>
      <c r="D4156" s="6">
        <v>68</v>
      </c>
      <c r="E4156" s="6">
        <v>0</v>
      </c>
      <c r="F4156" s="6">
        <v>0</v>
      </c>
      <c r="G4156" s="6">
        <v>22</v>
      </c>
      <c r="H4156" s="6" t="s">
        <v>33950</v>
      </c>
      <c r="I4156" s="6">
        <v>527.4375</v>
      </c>
      <c r="J4156" s="2">
        <f t="shared" si="64"/>
        <v>43748.757357696755</v>
      </c>
    </row>
    <row r="4157" spans="1:10" x14ac:dyDescent="0.25">
      <c r="A4157" s="7" t="s">
        <v>33951</v>
      </c>
      <c r="B4157" s="8">
        <v>396.875</v>
      </c>
      <c r="C4157" s="8">
        <v>20.478950000000001</v>
      </c>
      <c r="D4157" s="8">
        <v>67</v>
      </c>
      <c r="E4157" s="8">
        <v>0</v>
      </c>
      <c r="F4157" s="8">
        <v>0</v>
      </c>
      <c r="G4157" s="8">
        <v>24</v>
      </c>
      <c r="H4157" s="8" t="s">
        <v>33952</v>
      </c>
      <c r="I4157" s="8">
        <v>527.4375</v>
      </c>
      <c r="J4157" s="3">
        <f t="shared" si="64"/>
        <v>43748.757428993056</v>
      </c>
    </row>
    <row r="4158" spans="1:10" x14ac:dyDescent="0.25">
      <c r="A4158" s="5" t="s">
        <v>33953</v>
      </c>
      <c r="B4158" s="6">
        <v>400</v>
      </c>
      <c r="C4158" s="6">
        <v>20.478950000000001</v>
      </c>
      <c r="D4158" s="6">
        <v>66</v>
      </c>
      <c r="E4158" s="6">
        <v>0</v>
      </c>
      <c r="F4158" s="6">
        <v>0</v>
      </c>
      <c r="G4158" s="6">
        <v>28</v>
      </c>
      <c r="H4158" s="6" t="s">
        <v>33954</v>
      </c>
      <c r="I4158" s="6">
        <v>528.1875</v>
      </c>
      <c r="J4158" s="2">
        <f t="shared" si="64"/>
        <v>43748.75750028935</v>
      </c>
    </row>
    <row r="4159" spans="1:10" x14ac:dyDescent="0.25">
      <c r="A4159" s="7" t="s">
        <v>33955</v>
      </c>
      <c r="B4159" s="8">
        <v>400</v>
      </c>
      <c r="C4159" s="8">
        <v>20.531590000000001</v>
      </c>
      <c r="D4159" s="8">
        <v>66</v>
      </c>
      <c r="E4159" s="8">
        <v>0</v>
      </c>
      <c r="F4159" s="8">
        <v>0</v>
      </c>
      <c r="G4159" s="8">
        <v>30</v>
      </c>
      <c r="H4159" s="8" t="s">
        <v>33956</v>
      </c>
      <c r="I4159" s="8">
        <v>528.375</v>
      </c>
      <c r="J4159" s="3">
        <f t="shared" si="64"/>
        <v>43748.757583634258</v>
      </c>
    </row>
    <row r="4160" spans="1:10" x14ac:dyDescent="0.25">
      <c r="A4160" s="5" t="s">
        <v>33957</v>
      </c>
      <c r="B4160" s="6">
        <v>400</v>
      </c>
      <c r="C4160" s="6">
        <v>20.478950000000001</v>
      </c>
      <c r="D4160" s="6">
        <v>67</v>
      </c>
      <c r="E4160" s="6">
        <v>0</v>
      </c>
      <c r="F4160" s="6">
        <v>0</v>
      </c>
      <c r="G4160" s="6">
        <v>38</v>
      </c>
      <c r="H4160" s="6" t="s">
        <v>33958</v>
      </c>
      <c r="I4160" s="6">
        <v>528.1875</v>
      </c>
      <c r="J4160" s="2">
        <f t="shared" si="64"/>
        <v>43748.75765594907</v>
      </c>
    </row>
    <row r="4161" spans="1:10" x14ac:dyDescent="0.25">
      <c r="A4161" s="7" t="s">
        <v>33959</v>
      </c>
      <c r="B4161" s="8">
        <v>400</v>
      </c>
      <c r="C4161" s="8">
        <v>20.478950000000001</v>
      </c>
      <c r="D4161" s="8">
        <v>67</v>
      </c>
      <c r="E4161" s="8">
        <v>0</v>
      </c>
      <c r="F4161" s="8">
        <v>0</v>
      </c>
      <c r="G4161" s="8">
        <v>18</v>
      </c>
      <c r="H4161" s="8" t="s">
        <v>33960</v>
      </c>
      <c r="I4161" s="8">
        <v>528.375</v>
      </c>
      <c r="J4161" s="3">
        <f t="shared" si="64"/>
        <v>43748.757727037031</v>
      </c>
    </row>
    <row r="4162" spans="1:10" x14ac:dyDescent="0.25">
      <c r="A4162" s="5" t="s">
        <v>33961</v>
      </c>
      <c r="B4162" s="6">
        <v>400</v>
      </c>
      <c r="C4162" s="6">
        <v>20.478950000000001</v>
      </c>
      <c r="D4162" s="6">
        <v>67</v>
      </c>
      <c r="E4162" s="6">
        <v>0</v>
      </c>
      <c r="F4162" s="6">
        <v>0</v>
      </c>
      <c r="G4162" s="6">
        <v>26</v>
      </c>
      <c r="H4162" s="6" t="s">
        <v>33962</v>
      </c>
      <c r="I4162" s="6">
        <v>528.375</v>
      </c>
      <c r="J4162" s="2">
        <f t="shared" ref="J4162:J4225" si="65">(H4162/86400000)+25569+(7/24)</f>
        <v>43748.75779841435</v>
      </c>
    </row>
    <row r="4163" spans="1:10" x14ac:dyDescent="0.25">
      <c r="A4163" s="7" t="s">
        <v>33963</v>
      </c>
      <c r="B4163" s="8">
        <v>400</v>
      </c>
      <c r="C4163" s="8">
        <v>20.478950000000001</v>
      </c>
      <c r="D4163" s="8">
        <v>68</v>
      </c>
      <c r="E4163" s="8">
        <v>0</v>
      </c>
      <c r="F4163" s="8">
        <v>0</v>
      </c>
      <c r="G4163" s="8">
        <v>28</v>
      </c>
      <c r="H4163" s="8" t="s">
        <v>33964</v>
      </c>
      <c r="I4163" s="8">
        <v>528.375</v>
      </c>
      <c r="J4163" s="3">
        <f t="shared" si="65"/>
        <v>43748.757870613423</v>
      </c>
    </row>
    <row r="4164" spans="1:10" x14ac:dyDescent="0.25">
      <c r="A4164" s="5" t="s">
        <v>33965</v>
      </c>
      <c r="B4164" s="6">
        <v>400</v>
      </c>
      <c r="C4164" s="6">
        <v>20.478950000000001</v>
      </c>
      <c r="D4164" s="6">
        <v>67</v>
      </c>
      <c r="E4164" s="6">
        <v>0</v>
      </c>
      <c r="F4164" s="6">
        <v>0</v>
      </c>
      <c r="G4164" s="6">
        <v>15</v>
      </c>
      <c r="H4164" s="6" t="s">
        <v>33966</v>
      </c>
      <c r="I4164" s="6">
        <v>528.1875</v>
      </c>
      <c r="J4164" s="2">
        <f t="shared" si="65"/>
        <v>43748.757953946755</v>
      </c>
    </row>
    <row r="4165" spans="1:10" x14ac:dyDescent="0.25">
      <c r="A4165" s="7" t="s">
        <v>33967</v>
      </c>
      <c r="B4165" s="8">
        <v>396.875</v>
      </c>
      <c r="C4165" s="8">
        <v>20.478950000000001</v>
      </c>
      <c r="D4165" s="8">
        <v>66</v>
      </c>
      <c r="E4165" s="8">
        <v>0</v>
      </c>
      <c r="F4165" s="8">
        <v>0</v>
      </c>
      <c r="G4165" s="8">
        <v>24</v>
      </c>
      <c r="H4165" s="8" t="s">
        <v>33968</v>
      </c>
      <c r="I4165" s="8">
        <v>527.4375</v>
      </c>
      <c r="J4165" s="3">
        <f t="shared" si="65"/>
        <v>43748.75802523148</v>
      </c>
    </row>
    <row r="4166" spans="1:10" x14ac:dyDescent="0.25">
      <c r="A4166" s="5" t="s">
        <v>33969</v>
      </c>
      <c r="B4166" s="6">
        <v>396.875</v>
      </c>
      <c r="C4166" s="6">
        <v>20.531590000000001</v>
      </c>
      <c r="D4166" s="6">
        <v>70</v>
      </c>
      <c r="E4166" s="6">
        <v>0</v>
      </c>
      <c r="F4166" s="6">
        <v>0</v>
      </c>
      <c r="G4166" s="6">
        <v>20</v>
      </c>
      <c r="H4166" s="6" t="s">
        <v>33970</v>
      </c>
      <c r="I4166" s="6">
        <v>527.4375</v>
      </c>
      <c r="J4166" s="2">
        <f t="shared" si="65"/>
        <v>43748.758097060178</v>
      </c>
    </row>
    <row r="4167" spans="1:10" x14ac:dyDescent="0.25">
      <c r="A4167" s="7" t="s">
        <v>33971</v>
      </c>
      <c r="B4167" s="8">
        <v>393.75</v>
      </c>
      <c r="C4167" s="8">
        <v>20.478950000000001</v>
      </c>
      <c r="D4167" s="8">
        <v>70</v>
      </c>
      <c r="E4167" s="8">
        <v>0</v>
      </c>
      <c r="F4167" s="8">
        <v>0</v>
      </c>
      <c r="G4167" s="8">
        <v>23</v>
      </c>
      <c r="H4167" s="8" t="s">
        <v>33972</v>
      </c>
      <c r="I4167" s="8">
        <v>526.6875</v>
      </c>
      <c r="J4167" s="3">
        <f t="shared" si="65"/>
        <v>43748.758180555553</v>
      </c>
    </row>
    <row r="4168" spans="1:10" x14ac:dyDescent="0.25">
      <c r="A4168" s="5" t="s">
        <v>33973</v>
      </c>
      <c r="B4168" s="6">
        <v>393.75</v>
      </c>
      <c r="C4168" s="6">
        <v>20.478950000000001</v>
      </c>
      <c r="D4168" s="6">
        <v>68</v>
      </c>
      <c r="E4168" s="6">
        <v>0</v>
      </c>
      <c r="F4168" s="6">
        <v>0</v>
      </c>
      <c r="G4168" s="6">
        <v>17</v>
      </c>
      <c r="H4168" s="6" t="s">
        <v>33974</v>
      </c>
      <c r="I4168" s="6">
        <v>526.6875</v>
      </c>
      <c r="J4168" s="2">
        <f t="shared" si="65"/>
        <v>43748.758251863423</v>
      </c>
    </row>
    <row r="4169" spans="1:10" x14ac:dyDescent="0.25">
      <c r="A4169" s="7" t="s">
        <v>33975</v>
      </c>
      <c r="B4169" s="8">
        <v>415.625</v>
      </c>
      <c r="C4169" s="8">
        <v>20.478950000000001</v>
      </c>
      <c r="D4169" s="8">
        <v>69</v>
      </c>
      <c r="E4169" s="8">
        <v>0</v>
      </c>
      <c r="F4169" s="8">
        <v>0</v>
      </c>
      <c r="G4169" s="8">
        <v>16</v>
      </c>
      <c r="H4169" s="8" t="s">
        <v>33976</v>
      </c>
      <c r="I4169" s="8">
        <v>533.0625</v>
      </c>
      <c r="J4169" s="3">
        <f t="shared" si="65"/>
        <v>43748.758323171292</v>
      </c>
    </row>
    <row r="4170" spans="1:10" x14ac:dyDescent="0.25">
      <c r="A4170" s="5" t="s">
        <v>33977</v>
      </c>
      <c r="B4170" s="6">
        <v>396.875</v>
      </c>
      <c r="C4170" s="6">
        <v>20.531590000000001</v>
      </c>
      <c r="D4170" s="6">
        <v>69</v>
      </c>
      <c r="E4170" s="6">
        <v>0</v>
      </c>
      <c r="F4170" s="6">
        <v>0</v>
      </c>
      <c r="G4170" s="6">
        <v>23</v>
      </c>
      <c r="H4170" s="6" t="s">
        <v>33978</v>
      </c>
      <c r="I4170" s="6">
        <v>527.4375</v>
      </c>
      <c r="J4170" s="2">
        <f t="shared" si="65"/>
        <v>43748.758407349531</v>
      </c>
    </row>
    <row r="4171" spans="1:10" x14ac:dyDescent="0.25">
      <c r="A4171" s="7" t="s">
        <v>33979</v>
      </c>
      <c r="B4171" s="8">
        <v>396.875</v>
      </c>
      <c r="C4171" s="8">
        <v>20.478950000000001</v>
      </c>
      <c r="D4171" s="8">
        <v>69</v>
      </c>
      <c r="E4171" s="8">
        <v>0</v>
      </c>
      <c r="F4171" s="8">
        <v>0</v>
      </c>
      <c r="G4171" s="8">
        <v>19</v>
      </c>
      <c r="H4171" s="8" t="s">
        <v>33980</v>
      </c>
      <c r="I4171" s="8">
        <v>527.4375</v>
      </c>
      <c r="J4171" s="3">
        <f t="shared" si="65"/>
        <v>43748.758478634256</v>
      </c>
    </row>
    <row r="4172" spans="1:10" x14ac:dyDescent="0.25">
      <c r="A4172" s="5" t="s">
        <v>33981</v>
      </c>
      <c r="B4172" s="6">
        <v>396.875</v>
      </c>
      <c r="C4172" s="6">
        <v>20.478950000000001</v>
      </c>
      <c r="D4172" s="6">
        <v>71</v>
      </c>
      <c r="E4172" s="6">
        <v>0</v>
      </c>
      <c r="F4172" s="6">
        <v>0</v>
      </c>
      <c r="G4172" s="6">
        <v>20</v>
      </c>
      <c r="H4172" s="6" t="s">
        <v>33982</v>
      </c>
      <c r="I4172" s="6">
        <v>527.4375</v>
      </c>
      <c r="J4172" s="2">
        <f t="shared" si="65"/>
        <v>43748.758549814811</v>
      </c>
    </row>
    <row r="4173" spans="1:10" x14ac:dyDescent="0.25">
      <c r="A4173" s="7" t="s">
        <v>33983</v>
      </c>
      <c r="B4173" s="8">
        <v>396.875</v>
      </c>
      <c r="C4173" s="8">
        <v>20.531590000000001</v>
      </c>
      <c r="D4173" s="8">
        <v>73</v>
      </c>
      <c r="E4173" s="8">
        <v>0</v>
      </c>
      <c r="F4173" s="8">
        <v>0</v>
      </c>
      <c r="G4173" s="8">
        <v>23</v>
      </c>
      <c r="H4173" s="8" t="s">
        <v>33984</v>
      </c>
      <c r="I4173" s="8">
        <v>527.4375</v>
      </c>
      <c r="J4173" s="3">
        <f t="shared" si="65"/>
        <v>43748.758621932873</v>
      </c>
    </row>
    <row r="4174" spans="1:10" x14ac:dyDescent="0.25">
      <c r="A4174" s="5" t="s">
        <v>33985</v>
      </c>
      <c r="B4174" s="6">
        <v>400</v>
      </c>
      <c r="C4174" s="6">
        <v>20.478950000000001</v>
      </c>
      <c r="D4174" s="6">
        <v>73</v>
      </c>
      <c r="E4174" s="6">
        <v>0</v>
      </c>
      <c r="F4174" s="6">
        <v>0</v>
      </c>
      <c r="G4174" s="6">
        <v>19</v>
      </c>
      <c r="H4174" s="6" t="s">
        <v>33986</v>
      </c>
      <c r="I4174" s="6">
        <v>528.1875</v>
      </c>
      <c r="J4174" s="2">
        <f t="shared" si="65"/>
        <v>43748.758693356482</v>
      </c>
    </row>
    <row r="4175" spans="1:10" x14ac:dyDescent="0.25">
      <c r="A4175" s="7" t="s">
        <v>33987</v>
      </c>
      <c r="B4175" s="8">
        <v>396.875</v>
      </c>
      <c r="C4175" s="8">
        <v>20.478950000000001</v>
      </c>
      <c r="D4175" s="8">
        <v>73</v>
      </c>
      <c r="E4175" s="8">
        <v>0</v>
      </c>
      <c r="F4175" s="8">
        <v>0</v>
      </c>
      <c r="G4175" s="8">
        <v>17</v>
      </c>
      <c r="H4175" s="8" t="s">
        <v>33988</v>
      </c>
      <c r="I4175" s="8">
        <v>527.4375</v>
      </c>
      <c r="J4175" s="3">
        <f t="shared" si="65"/>
        <v>43748.758764710648</v>
      </c>
    </row>
    <row r="4176" spans="1:10" x14ac:dyDescent="0.25">
      <c r="A4176" s="5" t="s">
        <v>33989</v>
      </c>
      <c r="B4176" s="6">
        <v>396.875</v>
      </c>
      <c r="C4176" s="6">
        <v>20.478950000000001</v>
      </c>
      <c r="D4176" s="6">
        <v>73</v>
      </c>
      <c r="E4176" s="6">
        <v>0</v>
      </c>
      <c r="F4176" s="6">
        <v>0</v>
      </c>
      <c r="G4176" s="6">
        <v>28</v>
      </c>
      <c r="H4176" s="6" t="s">
        <v>33990</v>
      </c>
      <c r="I4176" s="6">
        <v>527.4375</v>
      </c>
      <c r="J4176" s="2">
        <f t="shared" si="65"/>
        <v>43748.75884469907</v>
      </c>
    </row>
    <row r="4177" spans="1:10" x14ac:dyDescent="0.25">
      <c r="A4177" s="7" t="s">
        <v>33991</v>
      </c>
      <c r="B4177" s="8">
        <v>396.875</v>
      </c>
      <c r="C4177" s="8">
        <v>20.478950000000001</v>
      </c>
      <c r="D4177" s="8">
        <v>72</v>
      </c>
      <c r="E4177" s="8">
        <v>0</v>
      </c>
      <c r="F4177" s="8">
        <v>0</v>
      </c>
      <c r="G4177" s="8">
        <v>22</v>
      </c>
      <c r="H4177" s="8" t="s">
        <v>33992</v>
      </c>
      <c r="I4177" s="8">
        <v>527.4375</v>
      </c>
      <c r="J4177" s="3">
        <f t="shared" si="65"/>
        <v>43748.758919560183</v>
      </c>
    </row>
    <row r="4178" spans="1:10" x14ac:dyDescent="0.25">
      <c r="A4178" s="5" t="s">
        <v>33993</v>
      </c>
      <c r="B4178" s="6">
        <v>393.75</v>
      </c>
      <c r="C4178" s="6">
        <v>20.478950000000001</v>
      </c>
      <c r="D4178" s="6">
        <v>71</v>
      </c>
      <c r="E4178" s="6">
        <v>0</v>
      </c>
      <c r="F4178" s="6">
        <v>0</v>
      </c>
      <c r="G4178" s="6">
        <v>18</v>
      </c>
      <c r="H4178" s="6" t="s">
        <v>33994</v>
      </c>
      <c r="I4178" s="6">
        <v>526.6875</v>
      </c>
      <c r="J4178" s="2">
        <f t="shared" si="65"/>
        <v>43748.759003541665</v>
      </c>
    </row>
    <row r="4179" spans="1:10" x14ac:dyDescent="0.25">
      <c r="A4179" s="7" t="s">
        <v>33995</v>
      </c>
      <c r="B4179" s="8">
        <v>393.75</v>
      </c>
      <c r="C4179" s="8">
        <v>20.478950000000001</v>
      </c>
      <c r="D4179" s="8">
        <v>71</v>
      </c>
      <c r="E4179" s="8">
        <v>0</v>
      </c>
      <c r="F4179" s="8">
        <v>0</v>
      </c>
      <c r="G4179" s="8">
        <v>13</v>
      </c>
      <c r="H4179" s="8" t="s">
        <v>33996</v>
      </c>
      <c r="I4179" s="8">
        <v>526.6875</v>
      </c>
      <c r="J4179" s="3">
        <f t="shared" si="65"/>
        <v>43748.759074953698</v>
      </c>
    </row>
    <row r="4180" spans="1:10" x14ac:dyDescent="0.25">
      <c r="A4180" s="5" t="s">
        <v>33997</v>
      </c>
      <c r="B4180" s="6">
        <v>393.75</v>
      </c>
      <c r="C4180" s="6">
        <v>20.478950000000001</v>
      </c>
      <c r="D4180" s="6">
        <v>71</v>
      </c>
      <c r="E4180" s="6">
        <v>0</v>
      </c>
      <c r="F4180" s="6">
        <v>0</v>
      </c>
      <c r="G4180" s="6">
        <v>12</v>
      </c>
      <c r="H4180" s="6" t="s">
        <v>33998</v>
      </c>
      <c r="I4180" s="6">
        <v>526.6875</v>
      </c>
      <c r="J4180" s="2">
        <f t="shared" si="65"/>
        <v>43748.759146192126</v>
      </c>
    </row>
    <row r="4181" spans="1:10" x14ac:dyDescent="0.25">
      <c r="A4181" s="7" t="s">
        <v>33999</v>
      </c>
      <c r="B4181" s="8">
        <v>396.875</v>
      </c>
      <c r="C4181" s="8">
        <v>20.478950000000001</v>
      </c>
      <c r="D4181" s="8">
        <v>71</v>
      </c>
      <c r="E4181" s="8">
        <v>0</v>
      </c>
      <c r="F4181" s="8">
        <v>0</v>
      </c>
      <c r="G4181" s="8">
        <v>16</v>
      </c>
      <c r="H4181" s="8" t="s">
        <v>34000</v>
      </c>
      <c r="I4181" s="8">
        <v>527.4375</v>
      </c>
      <c r="J4181" s="3">
        <f t="shared" si="65"/>
        <v>43748.759217662031</v>
      </c>
    </row>
    <row r="4182" spans="1:10" x14ac:dyDescent="0.25">
      <c r="A4182" s="5" t="s">
        <v>34001</v>
      </c>
      <c r="B4182" s="6">
        <v>396.875</v>
      </c>
      <c r="C4182" s="6">
        <v>20.478950000000001</v>
      </c>
      <c r="D4182" s="6">
        <v>71</v>
      </c>
      <c r="E4182" s="6">
        <v>0</v>
      </c>
      <c r="F4182" s="6">
        <v>0</v>
      </c>
      <c r="G4182" s="6">
        <v>16</v>
      </c>
      <c r="H4182" s="6" t="s">
        <v>34002</v>
      </c>
      <c r="I4182" s="6">
        <v>527.625</v>
      </c>
      <c r="J4182" s="2">
        <f t="shared" si="65"/>
        <v>43748.759289699075</v>
      </c>
    </row>
    <row r="4183" spans="1:10" x14ac:dyDescent="0.25">
      <c r="A4183" s="7" t="s">
        <v>34003</v>
      </c>
      <c r="B4183" s="8">
        <v>396.875</v>
      </c>
      <c r="C4183" s="8">
        <v>20.478950000000001</v>
      </c>
      <c r="D4183" s="8">
        <v>68</v>
      </c>
      <c r="E4183" s="8">
        <v>0</v>
      </c>
      <c r="F4183" s="8">
        <v>0</v>
      </c>
      <c r="G4183" s="8">
        <v>26</v>
      </c>
      <c r="H4183" s="8" t="s">
        <v>34004</v>
      </c>
      <c r="I4183" s="8">
        <v>527.625</v>
      </c>
      <c r="J4183" s="3">
        <f t="shared" si="65"/>
        <v>43748.759360844902</v>
      </c>
    </row>
    <row r="4184" spans="1:10" x14ac:dyDescent="0.25">
      <c r="A4184" s="5" t="s">
        <v>34005</v>
      </c>
      <c r="B4184" s="6">
        <v>415.625</v>
      </c>
      <c r="C4184" s="6">
        <v>20.478950000000001</v>
      </c>
      <c r="D4184" s="6">
        <v>69</v>
      </c>
      <c r="E4184" s="6">
        <v>0</v>
      </c>
      <c r="F4184" s="6">
        <v>0</v>
      </c>
      <c r="G4184" s="6">
        <v>21</v>
      </c>
      <c r="H4184" s="6" t="s">
        <v>34006</v>
      </c>
      <c r="I4184" s="6">
        <v>533.0625</v>
      </c>
      <c r="J4184" s="2">
        <f t="shared" si="65"/>
        <v>43748.759432638886</v>
      </c>
    </row>
    <row r="4185" spans="1:10" x14ac:dyDescent="0.25">
      <c r="A4185" s="7" t="s">
        <v>34007</v>
      </c>
      <c r="B4185" s="8">
        <v>393.75</v>
      </c>
      <c r="C4185" s="8">
        <v>20.478950000000001</v>
      </c>
      <c r="D4185" s="8">
        <v>69</v>
      </c>
      <c r="E4185" s="8">
        <v>0</v>
      </c>
      <c r="F4185" s="8">
        <v>0</v>
      </c>
      <c r="G4185" s="8">
        <v>25</v>
      </c>
      <c r="H4185" s="8" t="s">
        <v>34008</v>
      </c>
      <c r="I4185" s="8">
        <v>526.6875</v>
      </c>
      <c r="J4185" s="3">
        <f t="shared" si="65"/>
        <v>43748.759527800925</v>
      </c>
    </row>
    <row r="4186" spans="1:10" x14ac:dyDescent="0.25">
      <c r="A4186" s="5" t="s">
        <v>34009</v>
      </c>
      <c r="B4186" s="6">
        <v>396.875</v>
      </c>
      <c r="C4186" s="6">
        <v>20.478950000000001</v>
      </c>
      <c r="D4186" s="6">
        <v>68</v>
      </c>
      <c r="E4186" s="6">
        <v>0</v>
      </c>
      <c r="F4186" s="6">
        <v>0</v>
      </c>
      <c r="G4186" s="6">
        <v>19</v>
      </c>
      <c r="H4186" s="6" t="s">
        <v>34010</v>
      </c>
      <c r="I4186" s="6">
        <v>527.4375</v>
      </c>
      <c r="J4186" s="2">
        <f t="shared" si="65"/>
        <v>43748.759599490739</v>
      </c>
    </row>
    <row r="4187" spans="1:10" x14ac:dyDescent="0.25">
      <c r="A4187" s="7" t="s">
        <v>34011</v>
      </c>
      <c r="B4187" s="8">
        <v>393.75</v>
      </c>
      <c r="C4187" s="8">
        <v>20.478950000000001</v>
      </c>
      <c r="D4187" s="8">
        <v>68</v>
      </c>
      <c r="E4187" s="8">
        <v>0</v>
      </c>
      <c r="F4187" s="8">
        <v>0</v>
      </c>
      <c r="G4187" s="8">
        <v>18</v>
      </c>
      <c r="H4187" s="8" t="s">
        <v>34012</v>
      </c>
      <c r="I4187" s="8">
        <v>526.6875</v>
      </c>
      <c r="J4187" s="3">
        <f t="shared" si="65"/>
        <v>43748.759670844905</v>
      </c>
    </row>
    <row r="4188" spans="1:10" x14ac:dyDescent="0.25">
      <c r="A4188" s="5" t="s">
        <v>34013</v>
      </c>
      <c r="B4188" s="6">
        <v>393.75</v>
      </c>
      <c r="C4188" s="6">
        <v>20.478950000000001</v>
      </c>
      <c r="D4188" s="6">
        <v>68</v>
      </c>
      <c r="E4188" s="6">
        <v>0</v>
      </c>
      <c r="F4188" s="6">
        <v>0</v>
      </c>
      <c r="G4188" s="6">
        <v>22</v>
      </c>
      <c r="H4188" s="6" t="s">
        <v>34014</v>
      </c>
      <c r="I4188" s="6">
        <v>526.6875</v>
      </c>
      <c r="J4188" s="2">
        <f t="shared" si="65"/>
        <v>43748.759755092593</v>
      </c>
    </row>
    <row r="4189" spans="1:10" x14ac:dyDescent="0.25">
      <c r="A4189" s="7" t="s">
        <v>34015</v>
      </c>
      <c r="B4189" s="8">
        <v>393.75</v>
      </c>
      <c r="C4189" s="8">
        <v>20.478950000000001</v>
      </c>
      <c r="D4189" s="8">
        <v>68</v>
      </c>
      <c r="E4189" s="8">
        <v>0</v>
      </c>
      <c r="F4189" s="8">
        <v>0</v>
      </c>
      <c r="G4189" s="8">
        <v>16</v>
      </c>
      <c r="H4189" s="8" t="s">
        <v>34016</v>
      </c>
      <c r="I4189" s="8">
        <v>526.6875</v>
      </c>
      <c r="J4189" s="3">
        <f t="shared" si="65"/>
        <v>43748.759827106478</v>
      </c>
    </row>
    <row r="4190" spans="1:10" x14ac:dyDescent="0.25">
      <c r="A4190" s="5" t="s">
        <v>34017</v>
      </c>
      <c r="B4190" s="6">
        <v>412.5</v>
      </c>
      <c r="C4190" s="6">
        <v>20.478950000000001</v>
      </c>
      <c r="D4190" s="6">
        <v>69</v>
      </c>
      <c r="E4190" s="6">
        <v>0</v>
      </c>
      <c r="F4190" s="6">
        <v>0</v>
      </c>
      <c r="G4190" s="6">
        <v>18</v>
      </c>
      <c r="H4190" s="6" t="s">
        <v>34018</v>
      </c>
      <c r="I4190" s="6">
        <v>532.3125</v>
      </c>
      <c r="J4190" s="2">
        <f t="shared" si="65"/>
        <v>43748.759897581018</v>
      </c>
    </row>
    <row r="4191" spans="1:10" x14ac:dyDescent="0.25">
      <c r="A4191" s="7" t="s">
        <v>34019</v>
      </c>
      <c r="B4191" s="8">
        <v>393.75</v>
      </c>
      <c r="C4191" s="8">
        <v>20.478950000000001</v>
      </c>
      <c r="D4191" s="8">
        <v>69</v>
      </c>
      <c r="E4191" s="8">
        <v>0</v>
      </c>
      <c r="F4191" s="8">
        <v>0</v>
      </c>
      <c r="G4191" s="8">
        <v>19</v>
      </c>
      <c r="H4191" s="8" t="s">
        <v>34020</v>
      </c>
      <c r="I4191" s="8">
        <v>526.6875</v>
      </c>
      <c r="J4191" s="3">
        <f t="shared" si="65"/>
        <v>43748.759968993058</v>
      </c>
    </row>
    <row r="4192" spans="1:10" x14ac:dyDescent="0.25">
      <c r="A4192" s="5" t="s">
        <v>34021</v>
      </c>
      <c r="B4192" s="6">
        <v>393.75</v>
      </c>
      <c r="C4192" s="6">
        <v>20.478950000000001</v>
      </c>
      <c r="D4192" s="6">
        <v>68</v>
      </c>
      <c r="E4192" s="6">
        <v>0</v>
      </c>
      <c r="F4192" s="6">
        <v>0</v>
      </c>
      <c r="G4192" s="6">
        <v>20</v>
      </c>
      <c r="H4192" s="6" t="s">
        <v>34022</v>
      </c>
      <c r="I4192" s="6">
        <v>526.6875</v>
      </c>
      <c r="J4192" s="2">
        <f t="shared" si="65"/>
        <v>43748.760053136568</v>
      </c>
    </row>
    <row r="4193" spans="1:10" x14ac:dyDescent="0.25">
      <c r="A4193" s="7" t="s">
        <v>34023</v>
      </c>
      <c r="B4193" s="8">
        <v>393.75</v>
      </c>
      <c r="C4193" s="8">
        <v>20.478950000000001</v>
      </c>
      <c r="D4193" s="8">
        <v>68</v>
      </c>
      <c r="E4193" s="8">
        <v>0</v>
      </c>
      <c r="F4193" s="8">
        <v>0</v>
      </c>
      <c r="G4193" s="8">
        <v>26</v>
      </c>
      <c r="H4193" s="8" t="s">
        <v>34024</v>
      </c>
      <c r="I4193" s="8">
        <v>526.6875</v>
      </c>
      <c r="J4193" s="3">
        <f t="shared" si="65"/>
        <v>43748.760136585646</v>
      </c>
    </row>
    <row r="4194" spans="1:10" x14ac:dyDescent="0.25">
      <c r="A4194" s="5" t="s">
        <v>34025</v>
      </c>
      <c r="B4194" s="6">
        <v>393.75</v>
      </c>
      <c r="C4194" s="6">
        <v>20.478950000000001</v>
      </c>
      <c r="D4194" s="6">
        <v>66</v>
      </c>
      <c r="E4194" s="6">
        <v>0</v>
      </c>
      <c r="F4194" s="6">
        <v>0</v>
      </c>
      <c r="G4194" s="6">
        <v>24</v>
      </c>
      <c r="H4194" s="6" t="s">
        <v>34026</v>
      </c>
      <c r="I4194" s="6">
        <v>526.6875</v>
      </c>
      <c r="J4194" s="2">
        <f t="shared" si="65"/>
        <v>43748.760207766201</v>
      </c>
    </row>
    <row r="4195" spans="1:10" x14ac:dyDescent="0.25">
      <c r="A4195" s="7" t="s">
        <v>34027</v>
      </c>
      <c r="B4195" s="8">
        <v>393.75</v>
      </c>
      <c r="C4195" s="8">
        <v>20.478950000000001</v>
      </c>
      <c r="D4195" s="8">
        <v>65</v>
      </c>
      <c r="E4195" s="8">
        <v>0</v>
      </c>
      <c r="F4195" s="8">
        <v>0</v>
      </c>
      <c r="G4195" s="8">
        <v>20</v>
      </c>
      <c r="H4195" s="8" t="s">
        <v>34028</v>
      </c>
      <c r="I4195" s="8">
        <v>526.6875</v>
      </c>
      <c r="J4195" s="3">
        <f t="shared" si="65"/>
        <v>43748.760279131944</v>
      </c>
    </row>
    <row r="4196" spans="1:10" x14ac:dyDescent="0.25">
      <c r="A4196" s="5" t="s">
        <v>34029</v>
      </c>
      <c r="B4196" s="6">
        <v>393.75</v>
      </c>
      <c r="C4196" s="6">
        <v>20.478950000000001</v>
      </c>
      <c r="D4196" s="6">
        <v>65</v>
      </c>
      <c r="E4196" s="6">
        <v>0</v>
      </c>
      <c r="F4196" s="6">
        <v>0</v>
      </c>
      <c r="G4196" s="6">
        <v>21</v>
      </c>
      <c r="H4196" s="6" t="s">
        <v>34030</v>
      </c>
      <c r="I4196" s="6">
        <v>526.5</v>
      </c>
      <c r="J4196" s="2">
        <f t="shared" si="65"/>
        <v>43748.760350474535</v>
      </c>
    </row>
    <row r="4197" spans="1:10" x14ac:dyDescent="0.25">
      <c r="A4197" s="7" t="s">
        <v>34031</v>
      </c>
      <c r="B4197" s="8">
        <v>393.75</v>
      </c>
      <c r="C4197" s="8">
        <v>20.478950000000001</v>
      </c>
      <c r="D4197" s="8">
        <v>65</v>
      </c>
      <c r="E4197" s="8">
        <v>0</v>
      </c>
      <c r="F4197" s="8">
        <v>0</v>
      </c>
      <c r="G4197" s="8">
        <v>21</v>
      </c>
      <c r="H4197" s="8" t="s">
        <v>34032</v>
      </c>
      <c r="I4197" s="8">
        <v>526.6875</v>
      </c>
      <c r="J4197" s="3">
        <f t="shared" si="65"/>
        <v>43748.760422013882</v>
      </c>
    </row>
    <row r="4198" spans="1:10" x14ac:dyDescent="0.25">
      <c r="A4198" s="5" t="s">
        <v>34033</v>
      </c>
      <c r="B4198" s="6">
        <v>393.75</v>
      </c>
      <c r="C4198" s="6">
        <v>20.478950000000001</v>
      </c>
      <c r="D4198" s="6">
        <v>69</v>
      </c>
      <c r="E4198" s="6">
        <v>0</v>
      </c>
      <c r="F4198" s="6">
        <v>0</v>
      </c>
      <c r="G4198" s="6">
        <v>21</v>
      </c>
      <c r="H4198" s="6" t="s">
        <v>34034</v>
      </c>
      <c r="I4198" s="6">
        <v>526.6875</v>
      </c>
      <c r="J4198" s="2">
        <f t="shared" si="65"/>
        <v>43748.760505682869</v>
      </c>
    </row>
    <row r="4199" spans="1:10" x14ac:dyDescent="0.25">
      <c r="A4199" s="7" t="s">
        <v>34035</v>
      </c>
      <c r="B4199" s="8">
        <v>393.75</v>
      </c>
      <c r="C4199" s="8">
        <v>20.478950000000001</v>
      </c>
      <c r="D4199" s="8">
        <v>68</v>
      </c>
      <c r="E4199" s="8">
        <v>0</v>
      </c>
      <c r="F4199" s="8">
        <v>0</v>
      </c>
      <c r="G4199" s="8">
        <v>19</v>
      </c>
      <c r="H4199" s="8" t="s">
        <v>34036</v>
      </c>
      <c r="I4199" s="8">
        <v>526.6875</v>
      </c>
      <c r="J4199" s="3">
        <f t="shared" si="65"/>
        <v>43748.760578090274</v>
      </c>
    </row>
    <row r="4200" spans="1:10" x14ac:dyDescent="0.25">
      <c r="A4200" s="5" t="s">
        <v>34037</v>
      </c>
      <c r="B4200" s="6">
        <v>421.875</v>
      </c>
      <c r="C4200" s="6">
        <v>20.478950000000001</v>
      </c>
      <c r="D4200" s="6">
        <v>68</v>
      </c>
      <c r="E4200" s="6">
        <v>0</v>
      </c>
      <c r="F4200" s="6">
        <v>0</v>
      </c>
      <c r="G4200" s="6">
        <v>24</v>
      </c>
      <c r="H4200" s="6" t="s">
        <v>34038</v>
      </c>
      <c r="I4200" s="6">
        <v>535.3125</v>
      </c>
      <c r="J4200" s="2">
        <f t="shared" si="65"/>
        <v>43748.760649212963</v>
      </c>
    </row>
    <row r="4201" spans="1:10" x14ac:dyDescent="0.25">
      <c r="A4201" s="7" t="s">
        <v>34039</v>
      </c>
      <c r="B4201" s="8">
        <v>393.75</v>
      </c>
      <c r="C4201" s="8">
        <v>20.478950000000001</v>
      </c>
      <c r="D4201" s="8">
        <v>69</v>
      </c>
      <c r="E4201" s="8">
        <v>0</v>
      </c>
      <c r="F4201" s="8">
        <v>0</v>
      </c>
      <c r="G4201" s="8">
        <v>22</v>
      </c>
      <c r="H4201" s="8" t="s">
        <v>34040</v>
      </c>
      <c r="I4201" s="8">
        <v>526.6875</v>
      </c>
      <c r="J4201" s="3">
        <f t="shared" si="65"/>
        <v>43748.76072056713</v>
      </c>
    </row>
    <row r="4202" spans="1:10" x14ac:dyDescent="0.25">
      <c r="A4202" s="5" t="s">
        <v>34041</v>
      </c>
      <c r="B4202" s="6">
        <v>393.75</v>
      </c>
      <c r="C4202" s="6">
        <v>20.478950000000001</v>
      </c>
      <c r="D4202" s="6">
        <v>69</v>
      </c>
      <c r="E4202" s="6">
        <v>0</v>
      </c>
      <c r="F4202" s="6">
        <v>0</v>
      </c>
      <c r="G4202" s="6">
        <v>21</v>
      </c>
      <c r="H4202" s="6" t="s">
        <v>34042</v>
      </c>
      <c r="I4202" s="6">
        <v>526.6875</v>
      </c>
      <c r="J4202" s="2">
        <f t="shared" si="65"/>
        <v>43748.76080384259</v>
      </c>
    </row>
    <row r="4203" spans="1:10" x14ac:dyDescent="0.25">
      <c r="A4203" s="7" t="s">
        <v>34043</v>
      </c>
      <c r="B4203" s="8">
        <v>393.75</v>
      </c>
      <c r="C4203" s="8">
        <v>20.478950000000001</v>
      </c>
      <c r="D4203" s="8">
        <v>69</v>
      </c>
      <c r="E4203" s="8">
        <v>0</v>
      </c>
      <c r="F4203" s="8">
        <v>0</v>
      </c>
      <c r="G4203" s="8">
        <v>22</v>
      </c>
      <c r="H4203" s="8" t="s">
        <v>34044</v>
      </c>
      <c r="I4203" s="8">
        <v>526.6875</v>
      </c>
      <c r="J4203" s="3">
        <f t="shared" si="65"/>
        <v>43748.760875439817</v>
      </c>
    </row>
    <row r="4204" spans="1:10" x14ac:dyDescent="0.25">
      <c r="A4204" s="5" t="s">
        <v>34045</v>
      </c>
      <c r="B4204" s="6">
        <v>393.75</v>
      </c>
      <c r="C4204" s="6">
        <v>20.478950000000001</v>
      </c>
      <c r="D4204" s="6">
        <v>69</v>
      </c>
      <c r="E4204" s="6">
        <v>0</v>
      </c>
      <c r="F4204" s="6">
        <v>0</v>
      </c>
      <c r="G4204" s="6">
        <v>13</v>
      </c>
      <c r="H4204" s="6" t="s">
        <v>34046</v>
      </c>
      <c r="I4204" s="6">
        <v>526.6875</v>
      </c>
      <c r="J4204" s="2">
        <f t="shared" si="65"/>
        <v>43748.76097229166</v>
      </c>
    </row>
    <row r="4205" spans="1:10" x14ac:dyDescent="0.25">
      <c r="A4205" s="7" t="s">
        <v>34047</v>
      </c>
      <c r="B4205" s="8">
        <v>393.75</v>
      </c>
      <c r="C4205" s="8">
        <v>20.478950000000001</v>
      </c>
      <c r="D4205" s="8">
        <v>69</v>
      </c>
      <c r="E4205" s="8">
        <v>0</v>
      </c>
      <c r="F4205" s="8">
        <v>0</v>
      </c>
      <c r="G4205" s="8">
        <v>11</v>
      </c>
      <c r="H4205" s="8" t="s">
        <v>34048</v>
      </c>
      <c r="I4205" s="8">
        <v>526.6875</v>
      </c>
      <c r="J4205" s="3">
        <f t="shared" si="65"/>
        <v>43748.761042025457</v>
      </c>
    </row>
    <row r="4206" spans="1:10" x14ac:dyDescent="0.25">
      <c r="A4206" s="5" t="s">
        <v>34049</v>
      </c>
      <c r="B4206" s="6">
        <v>431.25</v>
      </c>
      <c r="C4206" s="6">
        <v>20.478950000000001</v>
      </c>
      <c r="D4206" s="6">
        <v>68</v>
      </c>
      <c r="E4206" s="6">
        <v>0</v>
      </c>
      <c r="F4206" s="6">
        <v>0</v>
      </c>
      <c r="G4206" s="6">
        <v>18</v>
      </c>
      <c r="H4206" s="6" t="s">
        <v>34050</v>
      </c>
      <c r="I4206" s="6">
        <v>538.125</v>
      </c>
      <c r="J4206" s="2">
        <f t="shared" si="65"/>
        <v>43748.761114224537</v>
      </c>
    </row>
    <row r="4207" spans="1:10" x14ac:dyDescent="0.25">
      <c r="A4207" s="7" t="s">
        <v>34051</v>
      </c>
      <c r="B4207" s="8">
        <v>393.75</v>
      </c>
      <c r="C4207" s="8">
        <v>20.478950000000001</v>
      </c>
      <c r="D4207" s="8">
        <v>68</v>
      </c>
      <c r="E4207" s="8">
        <v>0</v>
      </c>
      <c r="F4207" s="8">
        <v>0</v>
      </c>
      <c r="G4207" s="8">
        <v>23</v>
      </c>
      <c r="H4207" s="8" t="s">
        <v>34052</v>
      </c>
      <c r="I4207" s="8">
        <v>526.6875</v>
      </c>
      <c r="J4207" s="3">
        <f t="shared" si="65"/>
        <v>43748.761197638887</v>
      </c>
    </row>
    <row r="4208" spans="1:10" x14ac:dyDescent="0.25">
      <c r="A4208" s="5" t="s">
        <v>34053</v>
      </c>
      <c r="B4208" s="6">
        <v>393.75</v>
      </c>
      <c r="C4208" s="6">
        <v>20.478950000000001</v>
      </c>
      <c r="D4208" s="6">
        <v>69</v>
      </c>
      <c r="E4208" s="6">
        <v>0</v>
      </c>
      <c r="F4208" s="6">
        <v>0</v>
      </c>
      <c r="G4208" s="6">
        <v>12</v>
      </c>
      <c r="H4208" s="6" t="s">
        <v>34054</v>
      </c>
      <c r="I4208" s="6">
        <v>526.6875</v>
      </c>
      <c r="J4208" s="2">
        <f t="shared" si="65"/>
        <v>43748.761269513889</v>
      </c>
    </row>
    <row r="4209" spans="1:10" x14ac:dyDescent="0.25">
      <c r="A4209" s="7" t="s">
        <v>34055</v>
      </c>
      <c r="B4209" s="8">
        <v>393.75</v>
      </c>
      <c r="C4209" s="8">
        <v>20.478950000000001</v>
      </c>
      <c r="D4209" s="8">
        <v>70</v>
      </c>
      <c r="E4209" s="8">
        <v>0</v>
      </c>
      <c r="F4209" s="8">
        <v>0</v>
      </c>
      <c r="G4209" s="8">
        <v>12</v>
      </c>
      <c r="H4209" s="8" t="s">
        <v>34056</v>
      </c>
      <c r="I4209" s="8">
        <v>526.6875</v>
      </c>
      <c r="J4209" s="3">
        <f t="shared" si="65"/>
        <v>43748.76134099537</v>
      </c>
    </row>
    <row r="4210" spans="1:10" x14ac:dyDescent="0.25">
      <c r="A4210" s="5" t="s">
        <v>34057</v>
      </c>
      <c r="B4210" s="6">
        <v>393.75</v>
      </c>
      <c r="C4210" s="6">
        <v>20.478950000000001</v>
      </c>
      <c r="D4210" s="6">
        <v>70</v>
      </c>
      <c r="E4210" s="6">
        <v>0</v>
      </c>
      <c r="F4210" s="6">
        <v>0</v>
      </c>
      <c r="G4210" s="6">
        <v>15</v>
      </c>
      <c r="H4210" s="6" t="s">
        <v>34058</v>
      </c>
      <c r="I4210" s="6">
        <v>526.6875</v>
      </c>
      <c r="J4210" s="2">
        <f t="shared" si="65"/>
        <v>43748.761411990738</v>
      </c>
    </row>
    <row r="4211" spans="1:10" x14ac:dyDescent="0.25">
      <c r="A4211" s="7" t="s">
        <v>34059</v>
      </c>
      <c r="B4211" s="8">
        <v>396.875</v>
      </c>
      <c r="C4211" s="8">
        <v>20.531590000000001</v>
      </c>
      <c r="D4211" s="8">
        <v>69</v>
      </c>
      <c r="E4211" s="8">
        <v>0</v>
      </c>
      <c r="F4211" s="8">
        <v>0</v>
      </c>
      <c r="G4211" s="8">
        <v>14</v>
      </c>
      <c r="H4211" s="8" t="s">
        <v>34060</v>
      </c>
      <c r="I4211" s="8">
        <v>527.4375</v>
      </c>
      <c r="J4211" s="3">
        <f t="shared" si="65"/>
        <v>43748.761483634262</v>
      </c>
    </row>
    <row r="4212" spans="1:10" x14ac:dyDescent="0.25">
      <c r="A4212" s="5" t="s">
        <v>34061</v>
      </c>
      <c r="B4212" s="6">
        <v>396.875</v>
      </c>
      <c r="C4212" s="6">
        <v>20.478950000000001</v>
      </c>
      <c r="D4212" s="6">
        <v>69</v>
      </c>
      <c r="E4212" s="6">
        <v>0</v>
      </c>
      <c r="F4212" s="6">
        <v>0</v>
      </c>
      <c r="G4212" s="6">
        <v>19</v>
      </c>
      <c r="H4212" s="6" t="s">
        <v>34062</v>
      </c>
      <c r="I4212" s="6">
        <v>527.4375</v>
      </c>
      <c r="J4212" s="2">
        <f t="shared" si="65"/>
        <v>43748.761555810182</v>
      </c>
    </row>
    <row r="4213" spans="1:10" x14ac:dyDescent="0.25">
      <c r="A4213" s="7" t="s">
        <v>34063</v>
      </c>
      <c r="B4213" s="8">
        <v>396.875</v>
      </c>
      <c r="C4213" s="8">
        <v>20.478950000000001</v>
      </c>
      <c r="D4213" s="8">
        <v>69</v>
      </c>
      <c r="E4213" s="8">
        <v>0</v>
      </c>
      <c r="F4213" s="8">
        <v>0</v>
      </c>
      <c r="G4213" s="8">
        <v>19</v>
      </c>
      <c r="H4213" s="8" t="s">
        <v>34064</v>
      </c>
      <c r="I4213" s="8">
        <v>527.625</v>
      </c>
      <c r="J4213" s="3">
        <f t="shared" si="65"/>
        <v>43748.76162784722</v>
      </c>
    </row>
    <row r="4214" spans="1:10" x14ac:dyDescent="0.25">
      <c r="A4214" s="5" t="s">
        <v>34065</v>
      </c>
      <c r="B4214" s="6">
        <v>412.5</v>
      </c>
      <c r="C4214" s="6">
        <v>20.531590000000001</v>
      </c>
      <c r="D4214" s="6">
        <v>69</v>
      </c>
      <c r="E4214" s="6">
        <v>0</v>
      </c>
      <c r="F4214" s="6">
        <v>0</v>
      </c>
      <c r="G4214" s="6">
        <v>14</v>
      </c>
      <c r="H4214" s="6" t="s">
        <v>34066</v>
      </c>
      <c r="I4214" s="6">
        <v>532.5</v>
      </c>
      <c r="J4214" s="2">
        <f t="shared" si="65"/>
        <v>43748.761698692128</v>
      </c>
    </row>
    <row r="4215" spans="1:10" x14ac:dyDescent="0.25">
      <c r="A4215" s="7" t="s">
        <v>34067</v>
      </c>
      <c r="B4215" s="8">
        <v>396.875</v>
      </c>
      <c r="C4215" s="8">
        <v>20.478950000000001</v>
      </c>
      <c r="D4215" s="8">
        <v>68</v>
      </c>
      <c r="E4215" s="8">
        <v>0</v>
      </c>
      <c r="F4215" s="8">
        <v>0</v>
      </c>
      <c r="G4215" s="8">
        <v>23</v>
      </c>
      <c r="H4215" s="8" t="s">
        <v>34068</v>
      </c>
      <c r="I4215" s="8">
        <v>527.4375</v>
      </c>
      <c r="J4215" s="3">
        <f t="shared" si="65"/>
        <v>43748.761770127312</v>
      </c>
    </row>
    <row r="4216" spans="1:10" x14ac:dyDescent="0.25">
      <c r="A4216" s="5" t="s">
        <v>34069</v>
      </c>
      <c r="B4216" s="6">
        <v>396.875</v>
      </c>
      <c r="C4216" s="6">
        <v>20.478950000000001</v>
      </c>
      <c r="D4216" s="6">
        <v>69</v>
      </c>
      <c r="E4216" s="6">
        <v>0</v>
      </c>
      <c r="F4216" s="6">
        <v>0</v>
      </c>
      <c r="G4216" s="6">
        <v>16</v>
      </c>
      <c r="H4216" s="6" t="s">
        <v>34070</v>
      </c>
      <c r="I4216" s="6">
        <v>527.4375</v>
      </c>
      <c r="J4216" s="2">
        <f t="shared" si="65"/>
        <v>43748.761853483789</v>
      </c>
    </row>
    <row r="4217" spans="1:10" x14ac:dyDescent="0.25">
      <c r="A4217" s="7" t="s">
        <v>34071</v>
      </c>
      <c r="B4217" s="8">
        <v>393.75</v>
      </c>
      <c r="C4217" s="8">
        <v>20.478950000000001</v>
      </c>
      <c r="D4217" s="8">
        <v>66</v>
      </c>
      <c r="E4217" s="8">
        <v>0</v>
      </c>
      <c r="F4217" s="8">
        <v>0</v>
      </c>
      <c r="G4217" s="8">
        <v>10</v>
      </c>
      <c r="H4217" s="8" t="s">
        <v>34072</v>
      </c>
      <c r="I4217" s="8">
        <v>526.6875</v>
      </c>
      <c r="J4217" s="3">
        <f t="shared" si="65"/>
        <v>43748.761924965271</v>
      </c>
    </row>
    <row r="4218" spans="1:10" x14ac:dyDescent="0.25">
      <c r="A4218" s="5" t="s">
        <v>34073</v>
      </c>
      <c r="B4218" s="6">
        <v>393.75</v>
      </c>
      <c r="C4218" s="6">
        <v>20.478950000000001</v>
      </c>
      <c r="D4218" s="6">
        <v>67</v>
      </c>
      <c r="E4218" s="6">
        <v>0</v>
      </c>
      <c r="F4218" s="6">
        <v>0</v>
      </c>
      <c r="G4218" s="6">
        <v>20</v>
      </c>
      <c r="H4218" s="6" t="s">
        <v>34074</v>
      </c>
      <c r="I4218" s="6">
        <v>526.6875</v>
      </c>
      <c r="J4218" s="2">
        <f t="shared" si="65"/>
        <v>43748.762009918981</v>
      </c>
    </row>
    <row r="4219" spans="1:10" x14ac:dyDescent="0.25">
      <c r="A4219" s="7" t="s">
        <v>34075</v>
      </c>
      <c r="B4219" s="8">
        <v>393.75</v>
      </c>
      <c r="C4219" s="8">
        <v>20.531590000000001</v>
      </c>
      <c r="D4219" s="8">
        <v>68</v>
      </c>
      <c r="E4219" s="8">
        <v>0</v>
      </c>
      <c r="F4219" s="8">
        <v>0</v>
      </c>
      <c r="G4219" s="8">
        <v>32</v>
      </c>
      <c r="H4219" s="8" t="s">
        <v>34076</v>
      </c>
      <c r="I4219" s="8">
        <v>526.6875</v>
      </c>
      <c r="J4219" s="3">
        <f t="shared" si="65"/>
        <v>43748.762092048608</v>
      </c>
    </row>
    <row r="4220" spans="1:10" x14ac:dyDescent="0.25">
      <c r="A4220" s="5" t="s">
        <v>34077</v>
      </c>
      <c r="B4220" s="6">
        <v>412.5</v>
      </c>
      <c r="C4220" s="6">
        <v>20.478950000000001</v>
      </c>
      <c r="D4220" s="6">
        <v>69</v>
      </c>
      <c r="E4220" s="6">
        <v>0</v>
      </c>
      <c r="F4220" s="6">
        <v>0</v>
      </c>
      <c r="G4220" s="6">
        <v>22</v>
      </c>
      <c r="H4220" s="6" t="s">
        <v>34078</v>
      </c>
      <c r="I4220" s="6">
        <v>532.6875</v>
      </c>
      <c r="J4220" s="2">
        <f t="shared" si="65"/>
        <v>43748.762169224538</v>
      </c>
    </row>
    <row r="4221" spans="1:10" x14ac:dyDescent="0.25">
      <c r="A4221" s="7" t="s">
        <v>34079</v>
      </c>
      <c r="B4221" s="8">
        <v>393.75</v>
      </c>
      <c r="C4221" s="8">
        <v>20.478950000000001</v>
      </c>
      <c r="D4221" s="8">
        <v>69</v>
      </c>
      <c r="E4221" s="8">
        <v>0</v>
      </c>
      <c r="F4221" s="8">
        <v>0</v>
      </c>
      <c r="G4221" s="8">
        <v>24</v>
      </c>
      <c r="H4221" s="8" t="s">
        <v>34080</v>
      </c>
      <c r="I4221" s="8">
        <v>526.6875</v>
      </c>
      <c r="J4221" s="3">
        <f t="shared" si="65"/>
        <v>43748.762247592589</v>
      </c>
    </row>
    <row r="4222" spans="1:10" x14ac:dyDescent="0.25">
      <c r="A4222" s="5" t="s">
        <v>34081</v>
      </c>
      <c r="B4222" s="6">
        <v>393.75</v>
      </c>
      <c r="C4222" s="6">
        <v>20.478950000000001</v>
      </c>
      <c r="D4222" s="6">
        <v>69</v>
      </c>
      <c r="E4222" s="6">
        <v>0</v>
      </c>
      <c r="F4222" s="6">
        <v>0</v>
      </c>
      <c r="G4222" s="6">
        <v>18</v>
      </c>
      <c r="H4222" s="6" t="s">
        <v>34082</v>
      </c>
      <c r="I4222" s="6">
        <v>526.6875</v>
      </c>
      <c r="J4222" s="2">
        <f t="shared" si="65"/>
        <v>43748.762318009256</v>
      </c>
    </row>
    <row r="4223" spans="1:10" x14ac:dyDescent="0.25">
      <c r="A4223" s="7" t="s">
        <v>34083</v>
      </c>
      <c r="B4223" s="8">
        <v>393.75</v>
      </c>
      <c r="C4223" s="8">
        <v>20.478950000000001</v>
      </c>
      <c r="D4223" s="8">
        <v>69</v>
      </c>
      <c r="E4223" s="8">
        <v>0</v>
      </c>
      <c r="F4223" s="8">
        <v>0</v>
      </c>
      <c r="G4223" s="8">
        <v>27</v>
      </c>
      <c r="H4223" s="8" t="s">
        <v>34084</v>
      </c>
      <c r="I4223" s="8">
        <v>526.6875</v>
      </c>
      <c r="J4223" s="3">
        <f t="shared" si="65"/>
        <v>43748.762389965275</v>
      </c>
    </row>
    <row r="4224" spans="1:10" x14ac:dyDescent="0.25">
      <c r="A4224" s="5" t="s">
        <v>34085</v>
      </c>
      <c r="B4224" s="6">
        <v>396.875</v>
      </c>
      <c r="C4224" s="6">
        <v>20.478950000000001</v>
      </c>
      <c r="D4224" s="6">
        <v>69</v>
      </c>
      <c r="E4224" s="6">
        <v>0</v>
      </c>
      <c r="F4224" s="6">
        <v>0</v>
      </c>
      <c r="G4224" s="6">
        <v>23</v>
      </c>
      <c r="H4224" s="6" t="s">
        <v>34086</v>
      </c>
      <c r="I4224" s="6">
        <v>527.4375</v>
      </c>
      <c r="J4224" s="2">
        <f t="shared" si="65"/>
        <v>43748.762462187493</v>
      </c>
    </row>
    <row r="4225" spans="1:10" x14ac:dyDescent="0.25">
      <c r="A4225" s="7" t="s">
        <v>34087</v>
      </c>
      <c r="B4225" s="8">
        <v>396.875</v>
      </c>
      <c r="C4225" s="8">
        <v>20.478950000000001</v>
      </c>
      <c r="D4225" s="8">
        <v>69</v>
      </c>
      <c r="E4225" s="8">
        <v>0</v>
      </c>
      <c r="F4225" s="8">
        <v>0</v>
      </c>
      <c r="G4225" s="8">
        <v>20</v>
      </c>
      <c r="H4225" s="8" t="s">
        <v>34088</v>
      </c>
      <c r="I4225" s="8">
        <v>527.4375</v>
      </c>
      <c r="J4225" s="3">
        <f t="shared" si="65"/>
        <v>43748.762545509257</v>
      </c>
    </row>
    <row r="4226" spans="1:10" x14ac:dyDescent="0.25">
      <c r="A4226" s="5" t="s">
        <v>34089</v>
      </c>
      <c r="B4226" s="6">
        <v>396.875</v>
      </c>
      <c r="C4226" s="6">
        <v>20.478950000000001</v>
      </c>
      <c r="D4226" s="6">
        <v>69</v>
      </c>
      <c r="E4226" s="6">
        <v>0</v>
      </c>
      <c r="F4226" s="6">
        <v>0</v>
      </c>
      <c r="G4226" s="6">
        <v>15</v>
      </c>
      <c r="H4226" s="6" t="s">
        <v>34090</v>
      </c>
      <c r="I4226" s="6">
        <v>527.4375</v>
      </c>
      <c r="J4226" s="2">
        <f t="shared" ref="J4226:J4289" si="66">(H4226/86400000)+25569+(7/24)</f>
        <v>43748.762616817126</v>
      </c>
    </row>
    <row r="4227" spans="1:10" x14ac:dyDescent="0.25">
      <c r="A4227" s="7" t="s">
        <v>34091</v>
      </c>
      <c r="B4227" s="8">
        <v>415.625</v>
      </c>
      <c r="C4227" s="8">
        <v>20.478950000000001</v>
      </c>
      <c r="D4227" s="8">
        <v>68</v>
      </c>
      <c r="E4227" s="8">
        <v>0</v>
      </c>
      <c r="F4227" s="8">
        <v>0</v>
      </c>
      <c r="G4227" s="8">
        <v>10</v>
      </c>
      <c r="H4227" s="8" t="s">
        <v>34092</v>
      </c>
      <c r="I4227" s="8">
        <v>533.25</v>
      </c>
      <c r="J4227" s="3">
        <f t="shared" si="66"/>
        <v>43748.762688113427</v>
      </c>
    </row>
    <row r="4228" spans="1:10" x14ac:dyDescent="0.25">
      <c r="A4228" s="5" t="s">
        <v>34093</v>
      </c>
      <c r="B4228" s="6">
        <v>396.875</v>
      </c>
      <c r="C4228" s="6">
        <v>20.478950000000001</v>
      </c>
      <c r="D4228" s="6">
        <v>68</v>
      </c>
      <c r="E4228" s="6">
        <v>0</v>
      </c>
      <c r="F4228" s="6">
        <v>0</v>
      </c>
      <c r="G4228" s="6">
        <v>17</v>
      </c>
      <c r="H4228" s="6" t="s">
        <v>34094</v>
      </c>
      <c r="I4228" s="6">
        <v>527.4375</v>
      </c>
      <c r="J4228" s="2">
        <f t="shared" si="66"/>
        <v>43748.762771504626</v>
      </c>
    </row>
    <row r="4229" spans="1:10" x14ac:dyDescent="0.25">
      <c r="A4229" s="7" t="s">
        <v>34095</v>
      </c>
      <c r="B4229" s="8">
        <v>396.875</v>
      </c>
      <c r="C4229" s="8">
        <v>20.478950000000001</v>
      </c>
      <c r="D4229" s="8">
        <v>68</v>
      </c>
      <c r="E4229" s="8">
        <v>0</v>
      </c>
      <c r="F4229" s="8">
        <v>0</v>
      </c>
      <c r="G4229" s="8">
        <v>19</v>
      </c>
      <c r="H4229" s="8" t="s">
        <v>34096</v>
      </c>
      <c r="I4229" s="8">
        <v>527.4375</v>
      </c>
      <c r="J4229" s="3">
        <f t="shared" si="66"/>
        <v>43748.76284372685</v>
      </c>
    </row>
    <row r="4230" spans="1:10" x14ac:dyDescent="0.25">
      <c r="A4230" s="5" t="s">
        <v>34097</v>
      </c>
      <c r="B4230" s="6">
        <v>396.875</v>
      </c>
      <c r="C4230" s="6">
        <v>20.478950000000001</v>
      </c>
      <c r="D4230" s="6">
        <v>68</v>
      </c>
      <c r="E4230" s="6">
        <v>0</v>
      </c>
      <c r="F4230" s="6">
        <v>0</v>
      </c>
      <c r="G4230" s="6">
        <v>20</v>
      </c>
      <c r="H4230" s="6" t="s">
        <v>34098</v>
      </c>
      <c r="I4230" s="6">
        <v>527.4375</v>
      </c>
      <c r="J4230" s="2">
        <f t="shared" si="66"/>
        <v>43748.762915023144</v>
      </c>
    </row>
    <row r="4231" spans="1:10" x14ac:dyDescent="0.25">
      <c r="A4231" s="7" t="s">
        <v>34099</v>
      </c>
      <c r="B4231" s="8">
        <v>393.75</v>
      </c>
      <c r="C4231" s="8">
        <v>20.478950000000001</v>
      </c>
      <c r="D4231" s="8">
        <v>68</v>
      </c>
      <c r="E4231" s="8">
        <v>0</v>
      </c>
      <c r="F4231" s="8">
        <v>0</v>
      </c>
      <c r="G4231" s="8">
        <v>17</v>
      </c>
      <c r="H4231" s="8" t="s">
        <v>34100</v>
      </c>
      <c r="I4231" s="8">
        <v>526.6875</v>
      </c>
      <c r="J4231" s="3">
        <f t="shared" si="66"/>
        <v>43748.762986273148</v>
      </c>
    </row>
    <row r="4232" spans="1:10" x14ac:dyDescent="0.25">
      <c r="A4232" s="5" t="s">
        <v>34101</v>
      </c>
      <c r="B4232" s="6">
        <v>393.75</v>
      </c>
      <c r="C4232" s="6">
        <v>20.478950000000001</v>
      </c>
      <c r="D4232" s="6">
        <v>68</v>
      </c>
      <c r="E4232" s="6">
        <v>0</v>
      </c>
      <c r="F4232" s="6">
        <v>0</v>
      </c>
      <c r="G4232" s="6">
        <v>26</v>
      </c>
      <c r="H4232" s="6" t="s">
        <v>34102</v>
      </c>
      <c r="I4232" s="6">
        <v>526.6875</v>
      </c>
      <c r="J4232" s="2">
        <f t="shared" si="66"/>
        <v>43748.76306965277</v>
      </c>
    </row>
    <row r="4233" spans="1:10" x14ac:dyDescent="0.25">
      <c r="A4233" s="7" t="s">
        <v>34103</v>
      </c>
      <c r="B4233" s="8">
        <v>393.75</v>
      </c>
      <c r="C4233" s="8">
        <v>20.478950000000001</v>
      </c>
      <c r="D4233" s="8">
        <v>68</v>
      </c>
      <c r="E4233" s="8">
        <v>0</v>
      </c>
      <c r="F4233" s="8">
        <v>0</v>
      </c>
      <c r="G4233" s="8">
        <v>23</v>
      </c>
      <c r="H4233" s="8" t="s">
        <v>34104</v>
      </c>
      <c r="I4233" s="8">
        <v>526.6875</v>
      </c>
      <c r="J4233" s="3">
        <f t="shared" si="66"/>
        <v>43748.763141805553</v>
      </c>
    </row>
    <row r="4234" spans="1:10" x14ac:dyDescent="0.25">
      <c r="A4234" s="5" t="s">
        <v>34105</v>
      </c>
      <c r="B4234" s="6">
        <v>412.5</v>
      </c>
      <c r="C4234" s="6">
        <v>20.478950000000001</v>
      </c>
      <c r="D4234" s="6">
        <v>68</v>
      </c>
      <c r="E4234" s="6">
        <v>0</v>
      </c>
      <c r="F4234" s="6">
        <v>0</v>
      </c>
      <c r="G4234" s="6">
        <v>22</v>
      </c>
      <c r="H4234" s="6" t="s">
        <v>34106</v>
      </c>
      <c r="I4234" s="6">
        <v>532.3125</v>
      </c>
      <c r="J4234" s="2">
        <f t="shared" si="66"/>
        <v>43748.76321315972</v>
      </c>
    </row>
    <row r="4235" spans="1:10" x14ac:dyDescent="0.25">
      <c r="A4235" s="7" t="s">
        <v>34107</v>
      </c>
      <c r="B4235" s="8">
        <v>393.75</v>
      </c>
      <c r="C4235" s="8">
        <v>20.478950000000001</v>
      </c>
      <c r="D4235" s="8">
        <v>66</v>
      </c>
      <c r="E4235" s="8">
        <v>0</v>
      </c>
      <c r="F4235" s="8">
        <v>0</v>
      </c>
      <c r="G4235" s="8">
        <v>28</v>
      </c>
      <c r="H4235" s="8" t="s">
        <v>34108</v>
      </c>
      <c r="I4235" s="8">
        <v>526.6875</v>
      </c>
      <c r="J4235" s="3">
        <f t="shared" si="66"/>
        <v>43748.763284409717</v>
      </c>
    </row>
    <row r="4236" spans="1:10" x14ac:dyDescent="0.25">
      <c r="A4236" s="5" t="s">
        <v>34109</v>
      </c>
      <c r="B4236" s="6">
        <v>393.75</v>
      </c>
      <c r="C4236" s="6">
        <v>20.478950000000001</v>
      </c>
      <c r="D4236" s="6">
        <v>67</v>
      </c>
      <c r="E4236" s="6">
        <v>0</v>
      </c>
      <c r="F4236" s="6">
        <v>0</v>
      </c>
      <c r="G4236" s="6">
        <v>21</v>
      </c>
      <c r="H4236" s="6" t="s">
        <v>34110</v>
      </c>
      <c r="I4236" s="6">
        <v>526.6875</v>
      </c>
      <c r="J4236" s="2">
        <f t="shared" si="66"/>
        <v>43748.763356631942</v>
      </c>
    </row>
    <row r="4237" spans="1:10" x14ac:dyDescent="0.25">
      <c r="A4237" s="7" t="s">
        <v>34111</v>
      </c>
      <c r="B4237" s="8">
        <v>393.75</v>
      </c>
      <c r="C4237" s="8">
        <v>20.478950000000001</v>
      </c>
      <c r="D4237" s="8">
        <v>66</v>
      </c>
      <c r="E4237" s="8">
        <v>0</v>
      </c>
      <c r="F4237" s="8">
        <v>0</v>
      </c>
      <c r="G4237" s="8">
        <v>25</v>
      </c>
      <c r="H4237" s="8" t="s">
        <v>34112</v>
      </c>
      <c r="I4237" s="8">
        <v>526.6875</v>
      </c>
      <c r="J4237" s="3">
        <f t="shared" si="66"/>
        <v>43748.763427511571</v>
      </c>
    </row>
    <row r="4238" spans="1:10" x14ac:dyDescent="0.25">
      <c r="A4238" s="5" t="s">
        <v>34113</v>
      </c>
      <c r="B4238" s="6">
        <v>393.75</v>
      </c>
      <c r="C4238" s="6">
        <v>20.478950000000001</v>
      </c>
      <c r="D4238" s="6">
        <v>66</v>
      </c>
      <c r="E4238" s="6">
        <v>0</v>
      </c>
      <c r="F4238" s="6">
        <v>0</v>
      </c>
      <c r="G4238" s="6">
        <v>18</v>
      </c>
      <c r="H4238" s="6" t="s">
        <v>34114</v>
      </c>
      <c r="I4238" s="6">
        <v>526.6875</v>
      </c>
      <c r="J4238" s="2">
        <f t="shared" si="66"/>
        <v>43748.763499293978</v>
      </c>
    </row>
    <row r="4239" spans="1:10" x14ac:dyDescent="0.25">
      <c r="A4239" s="7" t="s">
        <v>34115</v>
      </c>
      <c r="B4239" s="8">
        <v>393.75</v>
      </c>
      <c r="C4239" s="8">
        <v>20.478950000000001</v>
      </c>
      <c r="D4239" s="8">
        <v>68</v>
      </c>
      <c r="E4239" s="8">
        <v>0</v>
      </c>
      <c r="F4239" s="8">
        <v>0</v>
      </c>
      <c r="G4239" s="8">
        <v>17</v>
      </c>
      <c r="H4239" s="8" t="s">
        <v>34116</v>
      </c>
      <c r="I4239" s="8">
        <v>526.6875</v>
      </c>
      <c r="J4239" s="3">
        <f t="shared" si="66"/>
        <v>43748.763598865735</v>
      </c>
    </row>
    <row r="4240" spans="1:10" x14ac:dyDescent="0.25">
      <c r="A4240" s="5" t="s">
        <v>34117</v>
      </c>
      <c r="B4240" s="6">
        <v>393.75</v>
      </c>
      <c r="C4240" s="6">
        <v>20.478950000000001</v>
      </c>
      <c r="D4240" s="6">
        <v>68</v>
      </c>
      <c r="E4240" s="6">
        <v>0</v>
      </c>
      <c r="F4240" s="6">
        <v>0</v>
      </c>
      <c r="G4240" s="6">
        <v>24</v>
      </c>
      <c r="H4240" s="6" t="s">
        <v>34118</v>
      </c>
      <c r="I4240" s="6">
        <v>526.6875</v>
      </c>
      <c r="J4240" s="2">
        <f t="shared" si="66"/>
        <v>43748.763678124997</v>
      </c>
    </row>
    <row r="4241" spans="1:10" x14ac:dyDescent="0.25">
      <c r="A4241" s="7" t="s">
        <v>34119</v>
      </c>
      <c r="B4241" s="8">
        <v>393.75</v>
      </c>
      <c r="C4241" s="8">
        <v>20.478950000000001</v>
      </c>
      <c r="D4241" s="8">
        <v>68</v>
      </c>
      <c r="E4241" s="8">
        <v>0</v>
      </c>
      <c r="F4241" s="8">
        <v>0</v>
      </c>
      <c r="G4241" s="8">
        <v>26</v>
      </c>
      <c r="H4241" s="8" t="s">
        <v>34120</v>
      </c>
      <c r="I4241" s="8">
        <v>526.6875</v>
      </c>
      <c r="J4241" s="3">
        <f t="shared" si="66"/>
        <v>43748.763761608796</v>
      </c>
    </row>
    <row r="4242" spans="1:10" x14ac:dyDescent="0.25">
      <c r="A4242" s="5" t="s">
        <v>34121</v>
      </c>
      <c r="B4242" s="6">
        <v>393.75</v>
      </c>
      <c r="C4242" s="6">
        <v>20.478950000000001</v>
      </c>
      <c r="D4242" s="6">
        <v>67</v>
      </c>
      <c r="E4242" s="6">
        <v>0</v>
      </c>
      <c r="F4242" s="6">
        <v>0</v>
      </c>
      <c r="G4242" s="6">
        <v>19</v>
      </c>
      <c r="H4242" s="6" t="s">
        <v>34122</v>
      </c>
      <c r="I4242" s="6">
        <v>526.5</v>
      </c>
      <c r="J4242" s="2">
        <f t="shared" si="66"/>
        <v>43748.763845046291</v>
      </c>
    </row>
    <row r="4243" spans="1:10" x14ac:dyDescent="0.25">
      <c r="A4243" s="7" t="s">
        <v>34123</v>
      </c>
      <c r="B4243" s="8">
        <v>393.75</v>
      </c>
      <c r="C4243" s="8">
        <v>20.478950000000001</v>
      </c>
      <c r="D4243" s="8">
        <v>67</v>
      </c>
      <c r="E4243" s="8">
        <v>0</v>
      </c>
      <c r="F4243" s="8">
        <v>0</v>
      </c>
      <c r="G4243" s="8">
        <v>19</v>
      </c>
      <c r="H4243" s="8" t="s">
        <v>34124</v>
      </c>
      <c r="I4243" s="8">
        <v>526.6875</v>
      </c>
      <c r="J4243" s="3">
        <f t="shared" si="66"/>
        <v>43748.763932476846</v>
      </c>
    </row>
    <row r="4244" spans="1:10" x14ac:dyDescent="0.25">
      <c r="A4244" s="5" t="s">
        <v>34125</v>
      </c>
      <c r="B4244" s="6">
        <v>393.75</v>
      </c>
      <c r="C4244" s="6">
        <v>20.478950000000001</v>
      </c>
      <c r="D4244" s="6">
        <v>68</v>
      </c>
      <c r="E4244" s="6">
        <v>0</v>
      </c>
      <c r="F4244" s="6">
        <v>0</v>
      </c>
      <c r="G4244" s="6">
        <v>16</v>
      </c>
      <c r="H4244" s="6" t="s">
        <v>34126</v>
      </c>
      <c r="I4244" s="6">
        <v>526.6875</v>
      </c>
      <c r="J4244" s="2">
        <f t="shared" si="66"/>
        <v>43748.764012407402</v>
      </c>
    </row>
    <row r="4245" spans="1:10" x14ac:dyDescent="0.25">
      <c r="A4245" s="7" t="s">
        <v>34127</v>
      </c>
      <c r="B4245" s="8">
        <v>415.625</v>
      </c>
      <c r="C4245" s="8">
        <v>20.478950000000001</v>
      </c>
      <c r="D4245" s="8">
        <v>68</v>
      </c>
      <c r="E4245" s="8">
        <v>0</v>
      </c>
      <c r="F4245" s="8">
        <v>0</v>
      </c>
      <c r="G4245" s="8">
        <v>18</v>
      </c>
      <c r="H4245" s="8" t="s">
        <v>34128</v>
      </c>
      <c r="I4245" s="8">
        <v>533.25</v>
      </c>
      <c r="J4245" s="3">
        <f t="shared" si="66"/>
        <v>43748.764083692127</v>
      </c>
    </row>
    <row r="4246" spans="1:10" x14ac:dyDescent="0.25">
      <c r="A4246" s="5" t="s">
        <v>34129</v>
      </c>
      <c r="B4246" s="6">
        <v>396.875</v>
      </c>
      <c r="C4246" s="6">
        <v>20.478950000000001</v>
      </c>
      <c r="D4246" s="6">
        <v>67</v>
      </c>
      <c r="E4246" s="6">
        <v>0</v>
      </c>
      <c r="F4246" s="6">
        <v>0</v>
      </c>
      <c r="G4246" s="6">
        <v>18</v>
      </c>
      <c r="H4246" s="6" t="s">
        <v>34130</v>
      </c>
      <c r="I4246" s="6">
        <v>527.4375</v>
      </c>
      <c r="J4246" s="2">
        <f t="shared" si="66"/>
        <v>43748.764155069446</v>
      </c>
    </row>
    <row r="4247" spans="1:10" x14ac:dyDescent="0.25">
      <c r="A4247" s="7" t="s">
        <v>34131</v>
      </c>
      <c r="B4247" s="8">
        <v>396.875</v>
      </c>
      <c r="C4247" s="8">
        <v>20.478950000000001</v>
      </c>
      <c r="D4247" s="8">
        <v>67</v>
      </c>
      <c r="E4247" s="8">
        <v>0</v>
      </c>
      <c r="F4247" s="8">
        <v>0</v>
      </c>
      <c r="G4247" s="8">
        <v>22</v>
      </c>
      <c r="H4247" s="8" t="s">
        <v>34132</v>
      </c>
      <c r="I4247" s="8">
        <v>527.4375</v>
      </c>
      <c r="J4247" s="3">
        <f t="shared" si="66"/>
        <v>43748.76422704861</v>
      </c>
    </row>
    <row r="4248" spans="1:10" x14ac:dyDescent="0.25">
      <c r="A4248" s="5" t="s">
        <v>34133</v>
      </c>
      <c r="B4248" s="6">
        <v>396.875</v>
      </c>
      <c r="C4248" s="6">
        <v>20.478950000000001</v>
      </c>
      <c r="D4248" s="6">
        <v>68</v>
      </c>
      <c r="E4248" s="6">
        <v>0</v>
      </c>
      <c r="F4248" s="6">
        <v>0</v>
      </c>
      <c r="G4248" s="6">
        <v>16</v>
      </c>
      <c r="H4248" s="6" t="s">
        <v>34134</v>
      </c>
      <c r="I4248" s="6">
        <v>527.4375</v>
      </c>
      <c r="J4248" s="2">
        <f t="shared" si="66"/>
        <v>43748.764298391201</v>
      </c>
    </row>
    <row r="4249" spans="1:10" x14ac:dyDescent="0.25">
      <c r="A4249" s="7" t="s">
        <v>34135</v>
      </c>
      <c r="B4249" s="8">
        <v>396.875</v>
      </c>
      <c r="C4249" s="8">
        <v>20.478950000000001</v>
      </c>
      <c r="D4249" s="8">
        <v>68</v>
      </c>
      <c r="E4249" s="8">
        <v>0</v>
      </c>
      <c r="F4249" s="8">
        <v>0</v>
      </c>
      <c r="G4249" s="8">
        <v>32</v>
      </c>
      <c r="H4249" s="8" t="s">
        <v>34136</v>
      </c>
      <c r="I4249" s="8">
        <v>527.4375</v>
      </c>
      <c r="J4249" s="3">
        <f t="shared" si="66"/>
        <v>43748.764369710647</v>
      </c>
    </row>
    <row r="4250" spans="1:10" x14ac:dyDescent="0.25">
      <c r="A4250" s="5" t="s">
        <v>34137</v>
      </c>
      <c r="B4250" s="6">
        <v>393.75</v>
      </c>
      <c r="C4250" s="6">
        <v>20.478950000000001</v>
      </c>
      <c r="D4250" s="6">
        <v>68</v>
      </c>
      <c r="E4250" s="6">
        <v>0</v>
      </c>
      <c r="F4250" s="6">
        <v>0</v>
      </c>
      <c r="G4250" s="6">
        <v>32</v>
      </c>
      <c r="H4250" s="6" t="s">
        <v>34138</v>
      </c>
      <c r="I4250" s="6">
        <v>526.6875</v>
      </c>
      <c r="J4250" s="2">
        <f t="shared" si="66"/>
        <v>43748.764440914347</v>
      </c>
    </row>
    <row r="4251" spans="1:10" x14ac:dyDescent="0.25">
      <c r="A4251" s="7" t="s">
        <v>34139</v>
      </c>
      <c r="B4251" s="8">
        <v>393.75</v>
      </c>
      <c r="C4251" s="8">
        <v>20.478950000000001</v>
      </c>
      <c r="D4251" s="8">
        <v>67</v>
      </c>
      <c r="E4251" s="8">
        <v>0</v>
      </c>
      <c r="F4251" s="8">
        <v>0</v>
      </c>
      <c r="G4251" s="8">
        <v>33</v>
      </c>
      <c r="H4251" s="8" t="s">
        <v>34140</v>
      </c>
      <c r="I4251" s="8">
        <v>526.6875</v>
      </c>
      <c r="J4251" s="3">
        <f t="shared" si="66"/>
        <v>43748.764512662034</v>
      </c>
    </row>
    <row r="4252" spans="1:10" x14ac:dyDescent="0.25">
      <c r="A4252" s="5" t="s">
        <v>34141</v>
      </c>
      <c r="B4252" s="6">
        <v>393.75</v>
      </c>
      <c r="C4252" s="6">
        <v>20.478950000000001</v>
      </c>
      <c r="D4252" s="6">
        <v>68</v>
      </c>
      <c r="E4252" s="6">
        <v>0</v>
      </c>
      <c r="F4252" s="6">
        <v>0</v>
      </c>
      <c r="G4252" s="6">
        <v>20</v>
      </c>
      <c r="H4252" s="6" t="s">
        <v>34142</v>
      </c>
      <c r="I4252" s="6">
        <v>526.5</v>
      </c>
      <c r="J4252" s="2">
        <f t="shared" si="66"/>
        <v>43748.764608495367</v>
      </c>
    </row>
    <row r="4253" spans="1:10" x14ac:dyDescent="0.25">
      <c r="A4253" s="7" t="s">
        <v>34143</v>
      </c>
      <c r="B4253" s="8">
        <v>393.75</v>
      </c>
      <c r="C4253" s="8">
        <v>20.478950000000001</v>
      </c>
      <c r="D4253" s="8">
        <v>69</v>
      </c>
      <c r="E4253" s="8">
        <v>0</v>
      </c>
      <c r="F4253" s="8">
        <v>0</v>
      </c>
      <c r="G4253" s="8">
        <v>17</v>
      </c>
      <c r="H4253" s="8" t="s">
        <v>34144</v>
      </c>
      <c r="I4253" s="8">
        <v>526.6875</v>
      </c>
      <c r="J4253" s="3">
        <f t="shared" si="66"/>
        <v>43748.764679687498</v>
      </c>
    </row>
    <row r="4254" spans="1:10" x14ac:dyDescent="0.25">
      <c r="A4254" s="5" t="s">
        <v>34145</v>
      </c>
      <c r="B4254" s="6">
        <v>393.75</v>
      </c>
      <c r="C4254" s="6">
        <v>20.478950000000001</v>
      </c>
      <c r="D4254" s="6">
        <v>68</v>
      </c>
      <c r="E4254" s="6">
        <v>0</v>
      </c>
      <c r="F4254" s="6">
        <v>0</v>
      </c>
      <c r="G4254" s="6">
        <v>25</v>
      </c>
      <c r="H4254" s="6" t="s">
        <v>34146</v>
      </c>
      <c r="I4254" s="6">
        <v>526.6875</v>
      </c>
      <c r="J4254" s="2">
        <f t="shared" si="66"/>
        <v>43748.764751898147</v>
      </c>
    </row>
    <row r="4255" spans="1:10" x14ac:dyDescent="0.25">
      <c r="A4255" s="7" t="s">
        <v>34147</v>
      </c>
      <c r="B4255" s="8">
        <v>393.75</v>
      </c>
      <c r="C4255" s="8">
        <v>20.478950000000001</v>
      </c>
      <c r="D4255" s="8">
        <v>67</v>
      </c>
      <c r="E4255" s="8">
        <v>0</v>
      </c>
      <c r="F4255" s="8">
        <v>0</v>
      </c>
      <c r="G4255" s="8">
        <v>19</v>
      </c>
      <c r="H4255" s="8" t="s">
        <v>34148</v>
      </c>
      <c r="I4255" s="8">
        <v>526.6875</v>
      </c>
      <c r="J4255" s="3">
        <f t="shared" si="66"/>
        <v>43748.764823206016</v>
      </c>
    </row>
    <row r="4256" spans="1:10" x14ac:dyDescent="0.25">
      <c r="A4256" s="5" t="s">
        <v>34149</v>
      </c>
      <c r="B4256" s="6">
        <v>393.75</v>
      </c>
      <c r="C4256" s="6">
        <v>20.478950000000001</v>
      </c>
      <c r="D4256" s="6">
        <v>69</v>
      </c>
      <c r="E4256" s="6">
        <v>0</v>
      </c>
      <c r="F4256" s="6">
        <v>0</v>
      </c>
      <c r="G4256" s="6">
        <v>23</v>
      </c>
      <c r="H4256" s="6" t="s">
        <v>34150</v>
      </c>
      <c r="I4256" s="6">
        <v>526.6875</v>
      </c>
      <c r="J4256" s="2">
        <f t="shared" si="66"/>
        <v>43748.764894791668</v>
      </c>
    </row>
    <row r="4257" spans="1:10" x14ac:dyDescent="0.25">
      <c r="A4257" s="7" t="s">
        <v>34151</v>
      </c>
      <c r="B4257" s="8">
        <v>393.75</v>
      </c>
      <c r="C4257" s="8">
        <v>20.478950000000001</v>
      </c>
      <c r="D4257" s="8">
        <v>68</v>
      </c>
      <c r="E4257" s="8">
        <v>0</v>
      </c>
      <c r="F4257" s="8">
        <v>0</v>
      </c>
      <c r="G4257" s="8">
        <v>22</v>
      </c>
      <c r="H4257" s="8" t="s">
        <v>34152</v>
      </c>
      <c r="I4257" s="8">
        <v>526.6875</v>
      </c>
      <c r="J4257" s="3">
        <f t="shared" si="66"/>
        <v>43748.764978125</v>
      </c>
    </row>
    <row r="4258" spans="1:10" x14ac:dyDescent="0.25">
      <c r="A4258" s="5" t="s">
        <v>34153</v>
      </c>
      <c r="B4258" s="6">
        <v>393.75</v>
      </c>
      <c r="C4258" s="6">
        <v>20.478950000000001</v>
      </c>
      <c r="D4258" s="6">
        <v>69</v>
      </c>
      <c r="E4258" s="6">
        <v>0</v>
      </c>
      <c r="F4258" s="6">
        <v>0</v>
      </c>
      <c r="G4258" s="6">
        <v>17</v>
      </c>
      <c r="H4258" s="6" t="s">
        <v>34154</v>
      </c>
      <c r="I4258" s="6">
        <v>526.6875</v>
      </c>
      <c r="J4258" s="2">
        <f t="shared" si="66"/>
        <v>43748.765055752308</v>
      </c>
    </row>
    <row r="4259" spans="1:10" x14ac:dyDescent="0.25">
      <c r="A4259" s="7" t="s">
        <v>34155</v>
      </c>
      <c r="B4259" s="8">
        <v>393.75</v>
      </c>
      <c r="C4259" s="8">
        <v>20.478950000000001</v>
      </c>
      <c r="D4259" s="8">
        <v>69</v>
      </c>
      <c r="E4259" s="8">
        <v>0</v>
      </c>
      <c r="F4259" s="8">
        <v>0</v>
      </c>
      <c r="G4259" s="8">
        <v>26</v>
      </c>
      <c r="H4259" s="8" t="s">
        <v>34156</v>
      </c>
      <c r="I4259" s="8">
        <v>526.6875</v>
      </c>
      <c r="J4259" s="3">
        <f t="shared" si="66"/>
        <v>43748.765132986104</v>
      </c>
    </row>
    <row r="4260" spans="1:10" x14ac:dyDescent="0.25">
      <c r="A4260" s="5" t="s">
        <v>34157</v>
      </c>
      <c r="B4260" s="6">
        <v>396.875</v>
      </c>
      <c r="C4260" s="6">
        <v>20.478950000000001</v>
      </c>
      <c r="D4260" s="6">
        <v>68</v>
      </c>
      <c r="E4260" s="6">
        <v>0</v>
      </c>
      <c r="F4260" s="6">
        <v>0</v>
      </c>
      <c r="G4260" s="6">
        <v>16</v>
      </c>
      <c r="H4260" s="6" t="s">
        <v>34158</v>
      </c>
      <c r="I4260" s="6">
        <v>527.625</v>
      </c>
      <c r="J4260" s="2">
        <f t="shared" si="66"/>
        <v>43748.765204849529</v>
      </c>
    </row>
    <row r="4261" spans="1:10" x14ac:dyDescent="0.25">
      <c r="A4261" s="7" t="s">
        <v>34159</v>
      </c>
      <c r="B4261" s="8">
        <v>396.875</v>
      </c>
      <c r="C4261" s="8">
        <v>20.478950000000001</v>
      </c>
      <c r="D4261" s="8">
        <v>69</v>
      </c>
      <c r="E4261" s="8">
        <v>0</v>
      </c>
      <c r="F4261" s="8">
        <v>0</v>
      </c>
      <c r="G4261" s="8">
        <v>25</v>
      </c>
      <c r="H4261" s="8" t="s">
        <v>34160</v>
      </c>
      <c r="I4261" s="8">
        <v>527.4375</v>
      </c>
      <c r="J4261" s="3">
        <f t="shared" si="66"/>
        <v>43748.765276203696</v>
      </c>
    </row>
    <row r="4262" spans="1:10" x14ac:dyDescent="0.25">
      <c r="A4262" s="5" t="s">
        <v>34161</v>
      </c>
      <c r="B4262" s="6">
        <v>396.875</v>
      </c>
      <c r="C4262" s="6">
        <v>20.478950000000001</v>
      </c>
      <c r="D4262" s="6">
        <v>68</v>
      </c>
      <c r="E4262" s="6">
        <v>0</v>
      </c>
      <c r="F4262" s="6">
        <v>0</v>
      </c>
      <c r="G4262" s="6">
        <v>15</v>
      </c>
      <c r="H4262" s="6" t="s">
        <v>34162</v>
      </c>
      <c r="I4262" s="6">
        <v>527.4375</v>
      </c>
      <c r="J4262" s="2">
        <f t="shared" si="66"/>
        <v>43748.765359837962</v>
      </c>
    </row>
    <row r="4263" spans="1:10" x14ac:dyDescent="0.25">
      <c r="A4263" s="7" t="s">
        <v>34163</v>
      </c>
      <c r="B4263" s="8">
        <v>396.875</v>
      </c>
      <c r="C4263" s="8">
        <v>20.478950000000001</v>
      </c>
      <c r="D4263" s="8">
        <v>67</v>
      </c>
      <c r="E4263" s="8">
        <v>0</v>
      </c>
      <c r="F4263" s="8">
        <v>0</v>
      </c>
      <c r="G4263" s="8">
        <v>22</v>
      </c>
      <c r="H4263" s="8" t="s">
        <v>34164</v>
      </c>
      <c r="I4263" s="8">
        <v>527.4375</v>
      </c>
      <c r="J4263" s="3">
        <f t="shared" si="66"/>
        <v>43748.765443483797</v>
      </c>
    </row>
    <row r="4264" spans="1:10" x14ac:dyDescent="0.25">
      <c r="A4264" s="5" t="s">
        <v>34165</v>
      </c>
      <c r="B4264" s="6">
        <v>396.875</v>
      </c>
      <c r="C4264" s="6">
        <v>20.478950000000001</v>
      </c>
      <c r="D4264" s="6">
        <v>67</v>
      </c>
      <c r="E4264" s="6">
        <v>0</v>
      </c>
      <c r="F4264" s="6">
        <v>0</v>
      </c>
      <c r="G4264" s="6">
        <v>23</v>
      </c>
      <c r="H4264" s="6" t="s">
        <v>34166</v>
      </c>
      <c r="I4264" s="6">
        <v>527.4375</v>
      </c>
      <c r="J4264" s="2">
        <f t="shared" si="66"/>
        <v>43748.765527418982</v>
      </c>
    </row>
    <row r="4265" spans="1:10" x14ac:dyDescent="0.25">
      <c r="A4265" s="7" t="s">
        <v>34167</v>
      </c>
      <c r="B4265" s="8">
        <v>415.625</v>
      </c>
      <c r="C4265" s="8">
        <v>20.478950000000001</v>
      </c>
      <c r="D4265" s="8">
        <v>66</v>
      </c>
      <c r="E4265" s="8">
        <v>0</v>
      </c>
      <c r="F4265" s="8">
        <v>0</v>
      </c>
      <c r="G4265" s="8">
        <v>11</v>
      </c>
      <c r="H4265" s="8" t="s">
        <v>34168</v>
      </c>
      <c r="I4265" s="8">
        <v>533.0625</v>
      </c>
      <c r="J4265" s="3">
        <f t="shared" si="66"/>
        <v>43748.76559826389</v>
      </c>
    </row>
    <row r="4266" spans="1:10" x14ac:dyDescent="0.25">
      <c r="A4266" s="5" t="s">
        <v>34169</v>
      </c>
      <c r="B4266" s="6">
        <v>396.875</v>
      </c>
      <c r="C4266" s="6">
        <v>20.478950000000001</v>
      </c>
      <c r="D4266" s="6">
        <v>66</v>
      </c>
      <c r="E4266" s="6">
        <v>0</v>
      </c>
      <c r="F4266" s="6">
        <v>0</v>
      </c>
      <c r="G4266" s="6">
        <v>16</v>
      </c>
      <c r="H4266" s="6" t="s">
        <v>34170</v>
      </c>
      <c r="I4266" s="6">
        <v>527.4375</v>
      </c>
      <c r="J4266" s="2">
        <f t="shared" si="66"/>
        <v>43748.76567379629</v>
      </c>
    </row>
    <row r="4267" spans="1:10" x14ac:dyDescent="0.25">
      <c r="A4267" s="7" t="s">
        <v>34171</v>
      </c>
      <c r="B4267" s="8">
        <v>396.875</v>
      </c>
      <c r="C4267" s="8">
        <v>20.478950000000001</v>
      </c>
      <c r="D4267" s="8">
        <v>66</v>
      </c>
      <c r="E4267" s="8">
        <v>0</v>
      </c>
      <c r="F4267" s="8">
        <v>0</v>
      </c>
      <c r="G4267" s="8">
        <v>18</v>
      </c>
      <c r="H4267" s="8" t="s">
        <v>34172</v>
      </c>
      <c r="I4267" s="8">
        <v>527.4375</v>
      </c>
      <c r="J4267" s="3">
        <f t="shared" si="66"/>
        <v>43748.765753576386</v>
      </c>
    </row>
    <row r="4268" spans="1:10" x14ac:dyDescent="0.25">
      <c r="A4268" s="5" t="s">
        <v>34173</v>
      </c>
      <c r="B4268" s="6">
        <v>396.875</v>
      </c>
      <c r="C4268" s="6">
        <v>20.478950000000001</v>
      </c>
      <c r="D4268" s="6">
        <v>66</v>
      </c>
      <c r="E4268" s="6">
        <v>0</v>
      </c>
      <c r="F4268" s="6">
        <v>0</v>
      </c>
      <c r="G4268" s="6">
        <v>17</v>
      </c>
      <c r="H4268" s="6" t="s">
        <v>34174</v>
      </c>
      <c r="I4268" s="6">
        <v>527.4375</v>
      </c>
      <c r="J4268" s="2">
        <f t="shared" si="66"/>
        <v>43748.765824837959</v>
      </c>
    </row>
    <row r="4269" spans="1:10" x14ac:dyDescent="0.25">
      <c r="A4269" s="7" t="s">
        <v>34175</v>
      </c>
      <c r="B4269" s="8">
        <v>393.75</v>
      </c>
      <c r="C4269" s="8">
        <v>20.478950000000001</v>
      </c>
      <c r="D4269" s="8">
        <v>66</v>
      </c>
      <c r="E4269" s="8">
        <v>0</v>
      </c>
      <c r="F4269" s="8">
        <v>0</v>
      </c>
      <c r="G4269" s="8">
        <v>14</v>
      </c>
      <c r="H4269" s="8" t="s">
        <v>34176</v>
      </c>
      <c r="I4269" s="8">
        <v>526.6875</v>
      </c>
      <c r="J4269" s="3">
        <f t="shared" si="66"/>
        <v>43748.765896261575</v>
      </c>
    </row>
    <row r="4270" spans="1:10" x14ac:dyDescent="0.25">
      <c r="A4270" s="5" t="s">
        <v>34177</v>
      </c>
      <c r="B4270" s="6">
        <v>393.75</v>
      </c>
      <c r="C4270" s="6">
        <v>20.478950000000001</v>
      </c>
      <c r="D4270" s="6">
        <v>67</v>
      </c>
      <c r="E4270" s="6">
        <v>0</v>
      </c>
      <c r="F4270" s="6">
        <v>0</v>
      </c>
      <c r="G4270" s="6">
        <v>15</v>
      </c>
      <c r="H4270" s="6" t="s">
        <v>34178</v>
      </c>
      <c r="I4270" s="6">
        <v>526.6875</v>
      </c>
      <c r="J4270" s="2">
        <f t="shared" si="66"/>
        <v>43748.765968356478</v>
      </c>
    </row>
    <row r="4271" spans="1:10" x14ac:dyDescent="0.25">
      <c r="A4271" s="7" t="s">
        <v>34179</v>
      </c>
      <c r="B4271" s="8">
        <v>393.75</v>
      </c>
      <c r="C4271" s="8">
        <v>20.478950000000001</v>
      </c>
      <c r="D4271" s="8">
        <v>67</v>
      </c>
      <c r="E4271" s="8">
        <v>0</v>
      </c>
      <c r="F4271" s="8">
        <v>0</v>
      </c>
      <c r="G4271" s="8">
        <v>16</v>
      </c>
      <c r="H4271" s="8" t="s">
        <v>34180</v>
      </c>
      <c r="I4271" s="8">
        <v>526.6875</v>
      </c>
      <c r="J4271" s="3">
        <f t="shared" si="66"/>
        <v>43748.766039710645</v>
      </c>
    </row>
    <row r="4272" spans="1:10" x14ac:dyDescent="0.25">
      <c r="A4272" s="5" t="s">
        <v>34181</v>
      </c>
      <c r="B4272" s="6">
        <v>393.75</v>
      </c>
      <c r="C4272" s="6">
        <v>20.478950000000001</v>
      </c>
      <c r="D4272" s="6">
        <v>68</v>
      </c>
      <c r="E4272" s="6">
        <v>0</v>
      </c>
      <c r="F4272" s="6">
        <v>0</v>
      </c>
      <c r="G4272" s="6">
        <v>18</v>
      </c>
      <c r="H4272" s="6" t="s">
        <v>34182</v>
      </c>
      <c r="I4272" s="6">
        <v>526.6875</v>
      </c>
      <c r="J4272" s="2">
        <f t="shared" si="66"/>
        <v>43748.766110983794</v>
      </c>
    </row>
    <row r="4273" spans="1:10" x14ac:dyDescent="0.25">
      <c r="A4273" s="7" t="s">
        <v>34183</v>
      </c>
      <c r="B4273" s="8">
        <v>393.75</v>
      </c>
      <c r="C4273" s="8">
        <v>20.478950000000001</v>
      </c>
      <c r="D4273" s="8">
        <v>70</v>
      </c>
      <c r="E4273" s="8">
        <v>0</v>
      </c>
      <c r="F4273" s="8">
        <v>0</v>
      </c>
      <c r="G4273" s="8">
        <v>14</v>
      </c>
      <c r="H4273" s="8" t="s">
        <v>34184</v>
      </c>
      <c r="I4273" s="8">
        <v>526.6875</v>
      </c>
      <c r="J4273" s="3">
        <f t="shared" si="66"/>
        <v>43748.76619780092</v>
      </c>
    </row>
    <row r="4274" spans="1:10" x14ac:dyDescent="0.25">
      <c r="A4274" s="5" t="s">
        <v>34185</v>
      </c>
      <c r="B4274" s="6">
        <v>393.75</v>
      </c>
      <c r="C4274" s="6">
        <v>20.478950000000001</v>
      </c>
      <c r="D4274" s="6">
        <v>70</v>
      </c>
      <c r="E4274" s="6">
        <v>0</v>
      </c>
      <c r="F4274" s="6">
        <v>0</v>
      </c>
      <c r="G4274" s="6">
        <v>17</v>
      </c>
      <c r="H4274" s="6" t="s">
        <v>34186</v>
      </c>
      <c r="I4274" s="6">
        <v>526.6875</v>
      </c>
      <c r="J4274" s="2">
        <f t="shared" si="66"/>
        <v>43748.766278587958</v>
      </c>
    </row>
    <row r="4275" spans="1:10" x14ac:dyDescent="0.25">
      <c r="A4275" s="7" t="s">
        <v>34187</v>
      </c>
      <c r="B4275" s="8">
        <v>434.375</v>
      </c>
      <c r="C4275" s="8">
        <v>20.478950000000001</v>
      </c>
      <c r="D4275" s="8">
        <v>70</v>
      </c>
      <c r="E4275" s="8">
        <v>0</v>
      </c>
      <c r="F4275" s="8">
        <v>0</v>
      </c>
      <c r="G4275" s="8">
        <v>12</v>
      </c>
      <c r="H4275" s="8" t="s">
        <v>34188</v>
      </c>
      <c r="I4275" s="8">
        <v>539.625</v>
      </c>
      <c r="J4275" s="3">
        <f t="shared" si="66"/>
        <v>43748.766349953701</v>
      </c>
    </row>
    <row r="4276" spans="1:10" x14ac:dyDescent="0.25">
      <c r="A4276" s="5" t="s">
        <v>34189</v>
      </c>
      <c r="B4276" s="6">
        <v>393.75</v>
      </c>
      <c r="C4276" s="6">
        <v>20.478950000000001</v>
      </c>
      <c r="D4276" s="6">
        <v>70</v>
      </c>
      <c r="E4276" s="6">
        <v>0</v>
      </c>
      <c r="F4276" s="6">
        <v>0</v>
      </c>
      <c r="G4276" s="6">
        <v>15</v>
      </c>
      <c r="H4276" s="6" t="s">
        <v>34190</v>
      </c>
      <c r="I4276" s="6">
        <v>526.6875</v>
      </c>
      <c r="J4276" s="2">
        <f t="shared" si="66"/>
        <v>43748.766421296292</v>
      </c>
    </row>
    <row r="4277" spans="1:10" x14ac:dyDescent="0.25">
      <c r="A4277" s="7" t="s">
        <v>34191</v>
      </c>
      <c r="B4277" s="8">
        <v>393.75</v>
      </c>
      <c r="C4277" s="8">
        <v>20.478950000000001</v>
      </c>
      <c r="D4277" s="8">
        <v>70</v>
      </c>
      <c r="E4277" s="8">
        <v>0</v>
      </c>
      <c r="F4277" s="8">
        <v>0</v>
      </c>
      <c r="G4277" s="8">
        <v>9</v>
      </c>
      <c r="H4277" s="8" t="s">
        <v>34192</v>
      </c>
      <c r="I4277" s="8">
        <v>526.5</v>
      </c>
      <c r="J4277" s="3">
        <f t="shared" si="66"/>
        <v>43748.766493275463</v>
      </c>
    </row>
    <row r="4278" spans="1:10" x14ac:dyDescent="0.25">
      <c r="A4278" s="5" t="s">
        <v>34193</v>
      </c>
      <c r="B4278" s="6">
        <v>393.75</v>
      </c>
      <c r="C4278" s="6">
        <v>20.478950000000001</v>
      </c>
      <c r="D4278" s="6">
        <v>70</v>
      </c>
      <c r="E4278" s="6">
        <v>0</v>
      </c>
      <c r="F4278" s="6">
        <v>0</v>
      </c>
      <c r="G4278" s="6">
        <v>9</v>
      </c>
      <c r="H4278" s="6" t="s">
        <v>34194</v>
      </c>
      <c r="I4278" s="6">
        <v>526.6875</v>
      </c>
      <c r="J4278" s="2">
        <f t="shared" si="66"/>
        <v>43748.76656423611</v>
      </c>
    </row>
    <row r="4279" spans="1:10" x14ac:dyDescent="0.25">
      <c r="A4279" s="7" t="s">
        <v>34195</v>
      </c>
      <c r="B4279" s="8">
        <v>393.75</v>
      </c>
      <c r="C4279" s="8">
        <v>20.478950000000001</v>
      </c>
      <c r="D4279" s="8">
        <v>70</v>
      </c>
      <c r="E4279" s="8">
        <v>0</v>
      </c>
      <c r="F4279" s="8">
        <v>0</v>
      </c>
      <c r="G4279" s="8">
        <v>18</v>
      </c>
      <c r="H4279" s="8" t="s">
        <v>34196</v>
      </c>
      <c r="I4279" s="8">
        <v>526.6875</v>
      </c>
      <c r="J4279" s="3">
        <f t="shared" si="66"/>
        <v>43748.766636111111</v>
      </c>
    </row>
    <row r="4280" spans="1:10" x14ac:dyDescent="0.25">
      <c r="A4280" s="5" t="s">
        <v>34197</v>
      </c>
      <c r="B4280" s="6">
        <v>396.875</v>
      </c>
      <c r="C4280" s="6">
        <v>20.478950000000001</v>
      </c>
      <c r="D4280" s="6">
        <v>70</v>
      </c>
      <c r="E4280" s="6">
        <v>0</v>
      </c>
      <c r="F4280" s="6">
        <v>0</v>
      </c>
      <c r="G4280" s="6">
        <v>18</v>
      </c>
      <c r="H4280" s="6" t="s">
        <v>34198</v>
      </c>
      <c r="I4280" s="6">
        <v>527.4375</v>
      </c>
      <c r="J4280" s="2">
        <f t="shared" si="66"/>
        <v>43748.766713252313</v>
      </c>
    </row>
    <row r="4281" spans="1:10" x14ac:dyDescent="0.25">
      <c r="A4281" s="7" t="s">
        <v>34199</v>
      </c>
      <c r="B4281" s="8">
        <v>393.75</v>
      </c>
      <c r="C4281" s="8">
        <v>20.478950000000001</v>
      </c>
      <c r="D4281" s="8">
        <v>68</v>
      </c>
      <c r="E4281" s="8">
        <v>0</v>
      </c>
      <c r="F4281" s="8">
        <v>0</v>
      </c>
      <c r="G4281" s="8">
        <v>24</v>
      </c>
      <c r="H4281" s="8" t="s">
        <v>34200</v>
      </c>
      <c r="I4281" s="8">
        <v>526.6875</v>
      </c>
      <c r="J4281" s="3">
        <f t="shared" si="66"/>
        <v>43748.766791550923</v>
      </c>
    </row>
    <row r="4282" spans="1:10" x14ac:dyDescent="0.25">
      <c r="A4282" s="5" t="s">
        <v>34201</v>
      </c>
      <c r="B4282" s="6">
        <v>393.75</v>
      </c>
      <c r="C4282" s="6">
        <v>20.478950000000001</v>
      </c>
      <c r="D4282" s="6">
        <v>68</v>
      </c>
      <c r="E4282" s="6">
        <v>0</v>
      </c>
      <c r="F4282" s="6">
        <v>0</v>
      </c>
      <c r="G4282" s="6">
        <v>18</v>
      </c>
      <c r="H4282" s="6" t="s">
        <v>34202</v>
      </c>
      <c r="I4282" s="6">
        <v>526.6875</v>
      </c>
      <c r="J4282" s="2">
        <f t="shared" si="66"/>
        <v>43748.76686225694</v>
      </c>
    </row>
    <row r="4283" spans="1:10" x14ac:dyDescent="0.25">
      <c r="A4283" s="7" t="s">
        <v>34203</v>
      </c>
      <c r="B4283" s="8">
        <v>421.875</v>
      </c>
      <c r="C4283" s="8">
        <v>20.478950000000001</v>
      </c>
      <c r="D4283" s="8">
        <v>69</v>
      </c>
      <c r="E4283" s="8">
        <v>0</v>
      </c>
      <c r="F4283" s="8">
        <v>0</v>
      </c>
      <c r="G4283" s="8">
        <v>15</v>
      </c>
      <c r="H4283" s="8" t="s">
        <v>34204</v>
      </c>
      <c r="I4283" s="8">
        <v>535.3125</v>
      </c>
      <c r="J4283" s="3">
        <f t="shared" si="66"/>
        <v>43748.766934131942</v>
      </c>
    </row>
    <row r="4284" spans="1:10" x14ac:dyDescent="0.25">
      <c r="A4284" s="5" t="s">
        <v>34205</v>
      </c>
      <c r="B4284" s="6">
        <v>393.75</v>
      </c>
      <c r="C4284" s="6">
        <v>20.478950000000001</v>
      </c>
      <c r="D4284" s="6">
        <v>66</v>
      </c>
      <c r="E4284" s="6">
        <v>0</v>
      </c>
      <c r="F4284" s="6">
        <v>0</v>
      </c>
      <c r="G4284" s="6">
        <v>15</v>
      </c>
      <c r="H4284" s="6" t="s">
        <v>34206</v>
      </c>
      <c r="I4284" s="6">
        <v>526.6875</v>
      </c>
      <c r="J4284" s="2">
        <f t="shared" si="66"/>
        <v>43748.767006134258</v>
      </c>
    </row>
    <row r="4285" spans="1:10" x14ac:dyDescent="0.25">
      <c r="A4285" s="7" t="s">
        <v>34207</v>
      </c>
      <c r="B4285" s="8">
        <v>393.75</v>
      </c>
      <c r="C4285" s="8">
        <v>20.478950000000001</v>
      </c>
      <c r="D4285" s="8">
        <v>66</v>
      </c>
      <c r="E4285" s="8">
        <v>0</v>
      </c>
      <c r="F4285" s="8">
        <v>0</v>
      </c>
      <c r="G4285" s="8">
        <v>19</v>
      </c>
      <c r="H4285" s="8" t="s">
        <v>34208</v>
      </c>
      <c r="I4285" s="8">
        <v>526.6875</v>
      </c>
      <c r="J4285" s="3">
        <f t="shared" si="66"/>
        <v>43748.767101493053</v>
      </c>
    </row>
    <row r="4286" spans="1:10" x14ac:dyDescent="0.25">
      <c r="A4286" s="5" t="s">
        <v>34209</v>
      </c>
      <c r="B4286" s="6">
        <v>393.75</v>
      </c>
      <c r="C4286" s="6">
        <v>20.478950000000001</v>
      </c>
      <c r="D4286" s="6">
        <v>67</v>
      </c>
      <c r="E4286" s="6">
        <v>0</v>
      </c>
      <c r="F4286" s="6">
        <v>0</v>
      </c>
      <c r="G4286" s="6">
        <v>16</v>
      </c>
      <c r="H4286" s="6" t="s">
        <v>34210</v>
      </c>
      <c r="I4286" s="6">
        <v>526.6875</v>
      </c>
      <c r="J4286" s="2">
        <f t="shared" si="66"/>
        <v>43748.767172835644</v>
      </c>
    </row>
    <row r="4287" spans="1:10" x14ac:dyDescent="0.25">
      <c r="A4287" s="7" t="s">
        <v>34211</v>
      </c>
      <c r="B4287" s="8">
        <v>393.75</v>
      </c>
      <c r="C4287" s="8">
        <v>20.478950000000001</v>
      </c>
      <c r="D4287" s="8">
        <v>67</v>
      </c>
      <c r="E4287" s="8">
        <v>0</v>
      </c>
      <c r="F4287" s="8">
        <v>0</v>
      </c>
      <c r="G4287" s="8">
        <v>12</v>
      </c>
      <c r="H4287" s="8" t="s">
        <v>34212</v>
      </c>
      <c r="I4287" s="8">
        <v>526.6875</v>
      </c>
      <c r="J4287" s="3">
        <f t="shared" si="66"/>
        <v>43748.767256168976</v>
      </c>
    </row>
    <row r="4288" spans="1:10" x14ac:dyDescent="0.25">
      <c r="A4288" s="5" t="s">
        <v>34213</v>
      </c>
      <c r="B4288" s="6">
        <v>393.75</v>
      </c>
      <c r="C4288" s="6">
        <v>20.478950000000001</v>
      </c>
      <c r="D4288" s="6">
        <v>67</v>
      </c>
      <c r="E4288" s="6">
        <v>0</v>
      </c>
      <c r="F4288" s="6">
        <v>0</v>
      </c>
      <c r="G4288" s="6">
        <v>14</v>
      </c>
      <c r="H4288" s="6" t="s">
        <v>34214</v>
      </c>
      <c r="I4288" s="6">
        <v>526.6875</v>
      </c>
      <c r="J4288" s="2">
        <f t="shared" si="66"/>
        <v>43748.767327453701</v>
      </c>
    </row>
    <row r="4289" spans="1:10" x14ac:dyDescent="0.25">
      <c r="A4289" s="7" t="s">
        <v>34215</v>
      </c>
      <c r="B4289" s="8">
        <v>415.625</v>
      </c>
      <c r="C4289" s="8">
        <v>20.478950000000001</v>
      </c>
      <c r="D4289" s="8">
        <v>67</v>
      </c>
      <c r="E4289" s="8">
        <v>0</v>
      </c>
      <c r="F4289" s="8">
        <v>0</v>
      </c>
      <c r="G4289" s="8">
        <v>19</v>
      </c>
      <c r="H4289" s="8" t="s">
        <v>34216</v>
      </c>
      <c r="I4289" s="8">
        <v>533.0625</v>
      </c>
      <c r="J4289" s="3">
        <f t="shared" si="66"/>
        <v>43748.767399560187</v>
      </c>
    </row>
    <row r="4290" spans="1:10" x14ac:dyDescent="0.25">
      <c r="A4290" s="5" t="s">
        <v>34217</v>
      </c>
      <c r="B4290" s="6">
        <v>393.75</v>
      </c>
      <c r="C4290" s="6">
        <v>20.478950000000001</v>
      </c>
      <c r="D4290" s="6">
        <v>67</v>
      </c>
      <c r="E4290" s="6">
        <v>0</v>
      </c>
      <c r="F4290" s="6">
        <v>0</v>
      </c>
      <c r="G4290" s="6">
        <v>19</v>
      </c>
      <c r="H4290" s="6" t="s">
        <v>34218</v>
      </c>
      <c r="I4290" s="6">
        <v>526.6875</v>
      </c>
      <c r="J4290" s="2">
        <f t="shared" ref="J4290:J4353" si="67">(H4290/86400000)+25569+(7/24)</f>
        <v>43748.767497604167</v>
      </c>
    </row>
    <row r="4291" spans="1:10" x14ac:dyDescent="0.25">
      <c r="A4291" s="7" t="s">
        <v>34219</v>
      </c>
      <c r="B4291" s="8">
        <v>393.75</v>
      </c>
      <c r="C4291" s="8">
        <v>20.478950000000001</v>
      </c>
      <c r="D4291" s="8">
        <v>67</v>
      </c>
      <c r="E4291" s="8">
        <v>0</v>
      </c>
      <c r="F4291" s="8">
        <v>0</v>
      </c>
      <c r="G4291" s="8">
        <v>22</v>
      </c>
      <c r="H4291" s="8" t="s">
        <v>34220</v>
      </c>
      <c r="I4291" s="8">
        <v>526.6875</v>
      </c>
      <c r="J4291" s="3">
        <f t="shared" si="67"/>
        <v>43748.767578460647</v>
      </c>
    </row>
    <row r="4292" spans="1:10" x14ac:dyDescent="0.25">
      <c r="A4292" s="5" t="s">
        <v>34221</v>
      </c>
      <c r="B4292" s="6">
        <v>393.75</v>
      </c>
      <c r="C4292" s="6">
        <v>20.478950000000001</v>
      </c>
      <c r="D4292" s="6">
        <v>68</v>
      </c>
      <c r="E4292" s="6">
        <v>0</v>
      </c>
      <c r="F4292" s="6">
        <v>0</v>
      </c>
      <c r="G4292" s="6">
        <v>13</v>
      </c>
      <c r="H4292" s="6" t="s">
        <v>34222</v>
      </c>
      <c r="I4292" s="6">
        <v>526.6875</v>
      </c>
      <c r="J4292" s="2">
        <f t="shared" si="67"/>
        <v>43748.76765037037</v>
      </c>
    </row>
    <row r="4293" spans="1:10" x14ac:dyDescent="0.25">
      <c r="A4293" s="7" t="s">
        <v>34223</v>
      </c>
      <c r="B4293" s="8">
        <v>393.75</v>
      </c>
      <c r="C4293" s="8">
        <v>20.478950000000001</v>
      </c>
      <c r="D4293" s="8">
        <v>68</v>
      </c>
      <c r="E4293" s="8">
        <v>0</v>
      </c>
      <c r="F4293" s="8">
        <v>0</v>
      </c>
      <c r="G4293" s="8">
        <v>13</v>
      </c>
      <c r="H4293" s="8" t="s">
        <v>34224</v>
      </c>
      <c r="I4293" s="8">
        <v>526.6875</v>
      </c>
      <c r="J4293" s="3">
        <f t="shared" si="67"/>
        <v>43748.767753657405</v>
      </c>
    </row>
    <row r="4294" spans="1:10" x14ac:dyDescent="0.25">
      <c r="A4294" s="5" t="s">
        <v>34225</v>
      </c>
      <c r="B4294" s="6">
        <v>393.75</v>
      </c>
      <c r="C4294" s="6">
        <v>20.478950000000001</v>
      </c>
      <c r="D4294" s="6">
        <v>68</v>
      </c>
      <c r="E4294" s="6">
        <v>0</v>
      </c>
      <c r="F4294" s="6">
        <v>0</v>
      </c>
      <c r="G4294" s="6">
        <v>24</v>
      </c>
      <c r="H4294" s="6" t="s">
        <v>34226</v>
      </c>
      <c r="I4294" s="6">
        <v>526.6875</v>
      </c>
      <c r="J4294" s="2">
        <f t="shared" si="67"/>
        <v>43748.767828379627</v>
      </c>
    </row>
    <row r="4295" spans="1:10" x14ac:dyDescent="0.25">
      <c r="A4295" s="7" t="s">
        <v>34227</v>
      </c>
      <c r="B4295" s="8">
        <v>396.875</v>
      </c>
      <c r="C4295" s="8">
        <v>20.478950000000001</v>
      </c>
      <c r="D4295" s="8">
        <v>68</v>
      </c>
      <c r="E4295" s="8">
        <v>0</v>
      </c>
      <c r="F4295" s="8">
        <v>0</v>
      </c>
      <c r="G4295" s="8">
        <v>24</v>
      </c>
      <c r="H4295" s="8" t="s">
        <v>34228</v>
      </c>
      <c r="I4295" s="8">
        <v>527.4375</v>
      </c>
      <c r="J4295" s="3">
        <f t="shared" si="67"/>
        <v>43748.767899699073</v>
      </c>
    </row>
    <row r="4296" spans="1:10" x14ac:dyDescent="0.25">
      <c r="A4296" s="5" t="s">
        <v>34229</v>
      </c>
      <c r="B4296" s="6">
        <v>396.875</v>
      </c>
      <c r="C4296" s="6">
        <v>20.478950000000001</v>
      </c>
      <c r="D4296" s="6">
        <v>69</v>
      </c>
      <c r="E4296" s="6">
        <v>0</v>
      </c>
      <c r="F4296" s="6">
        <v>0</v>
      </c>
      <c r="G4296" s="6">
        <v>11</v>
      </c>
      <c r="H4296" s="6" t="s">
        <v>34230</v>
      </c>
      <c r="I4296" s="6">
        <v>527.4375</v>
      </c>
      <c r="J4296" s="2">
        <f t="shared" si="67"/>
        <v>43748.767971770831</v>
      </c>
    </row>
    <row r="4297" spans="1:10" x14ac:dyDescent="0.25">
      <c r="A4297" s="7" t="s">
        <v>34231</v>
      </c>
      <c r="B4297" s="8">
        <v>396.875</v>
      </c>
      <c r="C4297" s="8">
        <v>20.478950000000001</v>
      </c>
      <c r="D4297" s="8">
        <v>69</v>
      </c>
      <c r="E4297" s="8">
        <v>0</v>
      </c>
      <c r="F4297" s="8">
        <v>0</v>
      </c>
      <c r="G4297" s="8">
        <v>19</v>
      </c>
      <c r="H4297" s="8" t="s">
        <v>34232</v>
      </c>
      <c r="I4297" s="8">
        <v>527.4375</v>
      </c>
      <c r="J4297" s="3">
        <f t="shared" si="67"/>
        <v>43748.768043657408</v>
      </c>
    </row>
    <row r="4298" spans="1:10" x14ac:dyDescent="0.25">
      <c r="A4298" s="5" t="s">
        <v>34233</v>
      </c>
      <c r="B4298" s="6">
        <v>393.75</v>
      </c>
      <c r="C4298" s="6">
        <v>20.478950000000001</v>
      </c>
      <c r="D4298" s="6">
        <v>69</v>
      </c>
      <c r="E4298" s="6">
        <v>0</v>
      </c>
      <c r="F4298" s="6">
        <v>0</v>
      </c>
      <c r="G4298" s="6">
        <v>15</v>
      </c>
      <c r="H4298" s="6" t="s">
        <v>34234</v>
      </c>
      <c r="I4298" s="6">
        <v>526.6875</v>
      </c>
      <c r="J4298" s="2">
        <f t="shared" si="67"/>
        <v>43748.768114525461</v>
      </c>
    </row>
    <row r="4299" spans="1:10" x14ac:dyDescent="0.25">
      <c r="A4299" s="7" t="s">
        <v>34235</v>
      </c>
      <c r="B4299" s="8">
        <v>396.875</v>
      </c>
      <c r="C4299" s="8">
        <v>20.478950000000001</v>
      </c>
      <c r="D4299" s="8">
        <v>69</v>
      </c>
      <c r="E4299" s="8">
        <v>0</v>
      </c>
      <c r="F4299" s="8">
        <v>0</v>
      </c>
      <c r="G4299" s="8">
        <v>25</v>
      </c>
      <c r="H4299" s="8" t="s">
        <v>34236</v>
      </c>
      <c r="I4299" s="8">
        <v>527.4375</v>
      </c>
      <c r="J4299" s="3">
        <f t="shared" si="67"/>
        <v>43748.768186828696</v>
      </c>
    </row>
    <row r="4300" spans="1:10" x14ac:dyDescent="0.25">
      <c r="A4300" s="5" t="s">
        <v>34237</v>
      </c>
      <c r="B4300" s="6">
        <v>396.875</v>
      </c>
      <c r="C4300" s="6">
        <v>20.478950000000001</v>
      </c>
      <c r="D4300" s="6">
        <v>69</v>
      </c>
      <c r="E4300" s="6">
        <v>0</v>
      </c>
      <c r="F4300" s="6">
        <v>0</v>
      </c>
      <c r="G4300" s="6">
        <v>13</v>
      </c>
      <c r="H4300" s="6" t="s">
        <v>34238</v>
      </c>
      <c r="I4300" s="6">
        <v>527.4375</v>
      </c>
      <c r="J4300" s="2">
        <f t="shared" si="67"/>
        <v>43748.768257893513</v>
      </c>
    </row>
    <row r="4301" spans="1:10" x14ac:dyDescent="0.25">
      <c r="A4301" s="7" t="s">
        <v>34239</v>
      </c>
      <c r="B4301" s="8">
        <v>418.75</v>
      </c>
      <c r="C4301" s="8">
        <v>20.478950000000001</v>
      </c>
      <c r="D4301" s="8">
        <v>69</v>
      </c>
      <c r="E4301" s="8">
        <v>0</v>
      </c>
      <c r="F4301" s="8">
        <v>0</v>
      </c>
      <c r="G4301" s="8">
        <v>14</v>
      </c>
      <c r="H4301" s="8" t="s">
        <v>34240</v>
      </c>
      <c r="I4301" s="8">
        <v>534</v>
      </c>
      <c r="J4301" s="3">
        <f t="shared" si="67"/>
        <v>43748.768329259256</v>
      </c>
    </row>
    <row r="4302" spans="1:10" x14ac:dyDescent="0.25">
      <c r="A4302" s="5" t="s">
        <v>34241</v>
      </c>
      <c r="B4302" s="6">
        <v>396.875</v>
      </c>
      <c r="C4302" s="6">
        <v>20.478950000000001</v>
      </c>
      <c r="D4302" s="6">
        <v>69</v>
      </c>
      <c r="E4302" s="6">
        <v>0</v>
      </c>
      <c r="F4302" s="6">
        <v>0</v>
      </c>
      <c r="G4302" s="6">
        <v>10</v>
      </c>
      <c r="H4302" s="6" t="s">
        <v>34242</v>
      </c>
      <c r="I4302" s="6">
        <v>527.625</v>
      </c>
      <c r="J4302" s="2">
        <f t="shared" si="67"/>
        <v>43748.768401493049</v>
      </c>
    </row>
    <row r="4303" spans="1:10" x14ac:dyDescent="0.25">
      <c r="A4303" s="7" t="s">
        <v>34243</v>
      </c>
      <c r="B4303" s="8">
        <v>396.875</v>
      </c>
      <c r="C4303" s="8">
        <v>20.478950000000001</v>
      </c>
      <c r="D4303" s="8">
        <v>68</v>
      </c>
      <c r="E4303" s="8">
        <v>0</v>
      </c>
      <c r="F4303" s="8">
        <v>0</v>
      </c>
      <c r="G4303" s="8">
        <v>21</v>
      </c>
      <c r="H4303" s="8" t="s">
        <v>34244</v>
      </c>
      <c r="I4303" s="8">
        <v>527.4375</v>
      </c>
      <c r="J4303" s="3">
        <f t="shared" si="67"/>
        <v>43748.768472905089</v>
      </c>
    </row>
    <row r="4304" spans="1:10" x14ac:dyDescent="0.25">
      <c r="A4304" s="5" t="s">
        <v>34245</v>
      </c>
      <c r="B4304" s="6">
        <v>396.875</v>
      </c>
      <c r="C4304" s="6">
        <v>20.478950000000001</v>
      </c>
      <c r="D4304" s="6">
        <v>69</v>
      </c>
      <c r="E4304" s="6">
        <v>0</v>
      </c>
      <c r="F4304" s="6">
        <v>0</v>
      </c>
      <c r="G4304" s="6">
        <v>6</v>
      </c>
      <c r="H4304" s="6" t="s">
        <v>34246</v>
      </c>
      <c r="I4304" s="6">
        <v>527.4375</v>
      </c>
      <c r="J4304" s="2">
        <f t="shared" si="67"/>
        <v>43748.768544178238</v>
      </c>
    </row>
    <row r="4305" spans="1:10" x14ac:dyDescent="0.25">
      <c r="A4305" s="7" t="s">
        <v>34247</v>
      </c>
      <c r="B4305" s="8">
        <v>393.75</v>
      </c>
      <c r="C4305" s="8">
        <v>20.478950000000001</v>
      </c>
      <c r="D4305" s="8">
        <v>71</v>
      </c>
      <c r="E4305" s="8">
        <v>0</v>
      </c>
      <c r="F4305" s="8">
        <v>0</v>
      </c>
      <c r="G4305" s="8">
        <v>14</v>
      </c>
      <c r="H4305" s="8" t="s">
        <v>34248</v>
      </c>
      <c r="I4305" s="8">
        <v>526.6875</v>
      </c>
      <c r="J4305" s="3">
        <f t="shared" si="67"/>
        <v>43748.768615474539</v>
      </c>
    </row>
    <row r="4306" spans="1:10" x14ac:dyDescent="0.25">
      <c r="A4306" s="5" t="s">
        <v>34249</v>
      </c>
      <c r="B4306" s="6">
        <v>393.75</v>
      </c>
      <c r="C4306" s="6">
        <v>20.478950000000001</v>
      </c>
      <c r="D4306" s="6">
        <v>70</v>
      </c>
      <c r="E4306" s="6">
        <v>0</v>
      </c>
      <c r="F4306" s="6">
        <v>0</v>
      </c>
      <c r="G4306" s="6">
        <v>17</v>
      </c>
      <c r="H4306" s="6" t="s">
        <v>34250</v>
      </c>
      <c r="I4306" s="6">
        <v>526.6875</v>
      </c>
      <c r="J4306" s="2">
        <f t="shared" si="67"/>
        <v>43748.768687650459</v>
      </c>
    </row>
    <row r="4307" spans="1:10" x14ac:dyDescent="0.25">
      <c r="A4307" s="7" t="s">
        <v>34251</v>
      </c>
      <c r="B4307" s="8">
        <v>393.75</v>
      </c>
      <c r="C4307" s="8">
        <v>20.478950000000001</v>
      </c>
      <c r="D4307" s="8">
        <v>69</v>
      </c>
      <c r="E4307" s="8">
        <v>0</v>
      </c>
      <c r="F4307" s="8">
        <v>0</v>
      </c>
      <c r="G4307" s="8">
        <v>14</v>
      </c>
      <c r="H4307" s="8" t="s">
        <v>34252</v>
      </c>
      <c r="I4307" s="8">
        <v>526.6875</v>
      </c>
      <c r="J4307" s="3">
        <f t="shared" si="67"/>
        <v>43748.768758831015</v>
      </c>
    </row>
    <row r="4308" spans="1:10" x14ac:dyDescent="0.25">
      <c r="A4308" s="5" t="s">
        <v>34253</v>
      </c>
      <c r="B4308" s="6">
        <v>393.75</v>
      </c>
      <c r="C4308" s="6">
        <v>20.478950000000001</v>
      </c>
      <c r="D4308" s="6">
        <v>69</v>
      </c>
      <c r="E4308" s="6">
        <v>0</v>
      </c>
      <c r="F4308" s="6">
        <v>0</v>
      </c>
      <c r="G4308" s="6">
        <v>22</v>
      </c>
      <c r="H4308" s="6" t="s">
        <v>34254</v>
      </c>
      <c r="I4308" s="6">
        <v>526.6875</v>
      </c>
      <c r="J4308" s="2">
        <f t="shared" si="67"/>
        <v>43748.768842280093</v>
      </c>
    </row>
    <row r="4309" spans="1:10" x14ac:dyDescent="0.25">
      <c r="A4309" s="7" t="s">
        <v>34255</v>
      </c>
      <c r="B4309" s="8">
        <v>412.5</v>
      </c>
      <c r="C4309" s="8">
        <v>20.478950000000001</v>
      </c>
      <c r="D4309" s="8">
        <v>68</v>
      </c>
      <c r="E4309" s="8">
        <v>0</v>
      </c>
      <c r="F4309" s="8">
        <v>0</v>
      </c>
      <c r="G4309" s="8">
        <v>16</v>
      </c>
      <c r="H4309" s="8" t="s">
        <v>34256</v>
      </c>
      <c r="I4309" s="8">
        <v>532.3125</v>
      </c>
      <c r="J4309" s="3">
        <f t="shared" si="67"/>
        <v>43748.768913564811</v>
      </c>
    </row>
    <row r="4310" spans="1:10" x14ac:dyDescent="0.25">
      <c r="A4310" s="5" t="s">
        <v>34257</v>
      </c>
      <c r="B4310" s="6">
        <v>396.875</v>
      </c>
      <c r="C4310" s="6">
        <v>20.478950000000001</v>
      </c>
      <c r="D4310" s="6">
        <v>68</v>
      </c>
      <c r="E4310" s="6">
        <v>0</v>
      </c>
      <c r="F4310" s="6">
        <v>0</v>
      </c>
      <c r="G4310" s="6">
        <v>19</v>
      </c>
      <c r="H4310" s="6" t="s">
        <v>34258</v>
      </c>
      <c r="I4310" s="6">
        <v>527.4375</v>
      </c>
      <c r="J4310" s="2">
        <f t="shared" si="67"/>
        <v>43748.768985046292</v>
      </c>
    </row>
    <row r="4311" spans="1:10" x14ac:dyDescent="0.25">
      <c r="A4311" s="7" t="s">
        <v>34259</v>
      </c>
      <c r="B4311" s="8">
        <v>396.875</v>
      </c>
      <c r="C4311" s="8">
        <v>20.478950000000001</v>
      </c>
      <c r="D4311" s="8">
        <v>68</v>
      </c>
      <c r="E4311" s="8">
        <v>0</v>
      </c>
      <c r="F4311" s="8">
        <v>0</v>
      </c>
      <c r="G4311" s="8">
        <v>28</v>
      </c>
      <c r="H4311" s="8" t="s">
        <v>34260</v>
      </c>
      <c r="I4311" s="8">
        <v>527.4375</v>
      </c>
      <c r="J4311" s="3">
        <f t="shared" si="67"/>
        <v>43748.769057210644</v>
      </c>
    </row>
    <row r="4312" spans="1:10" x14ac:dyDescent="0.25">
      <c r="A4312" s="5" t="s">
        <v>34261</v>
      </c>
      <c r="B4312" s="6">
        <v>396.875</v>
      </c>
      <c r="C4312" s="6">
        <v>20.478950000000001</v>
      </c>
      <c r="D4312" s="6">
        <v>68</v>
      </c>
      <c r="E4312" s="6">
        <v>0</v>
      </c>
      <c r="F4312" s="6">
        <v>0</v>
      </c>
      <c r="G4312" s="6">
        <v>30</v>
      </c>
      <c r="H4312" s="6" t="s">
        <v>34262</v>
      </c>
      <c r="I4312" s="6">
        <v>527.4375</v>
      </c>
      <c r="J4312" s="2">
        <f t="shared" si="67"/>
        <v>43748.769128449072</v>
      </c>
    </row>
    <row r="4313" spans="1:10" x14ac:dyDescent="0.25">
      <c r="A4313" s="7" t="s">
        <v>34263</v>
      </c>
      <c r="B4313" s="8">
        <v>396.875</v>
      </c>
      <c r="C4313" s="8">
        <v>20.478950000000001</v>
      </c>
      <c r="D4313" s="8">
        <v>68</v>
      </c>
      <c r="E4313" s="8">
        <v>0</v>
      </c>
      <c r="F4313" s="8">
        <v>0</v>
      </c>
      <c r="G4313" s="8">
        <v>16</v>
      </c>
      <c r="H4313" s="8" t="s">
        <v>34264</v>
      </c>
      <c r="I4313" s="8">
        <v>527.4375</v>
      </c>
      <c r="J4313" s="3">
        <f t="shared" si="67"/>
        <v>43748.769200486109</v>
      </c>
    </row>
    <row r="4314" spans="1:10" x14ac:dyDescent="0.25">
      <c r="A4314" s="5" t="s">
        <v>34265</v>
      </c>
      <c r="B4314" s="6">
        <v>396.875</v>
      </c>
      <c r="C4314" s="6">
        <v>20.478950000000001</v>
      </c>
      <c r="D4314" s="6">
        <v>67</v>
      </c>
      <c r="E4314" s="6">
        <v>0</v>
      </c>
      <c r="F4314" s="6">
        <v>0</v>
      </c>
      <c r="G4314" s="6">
        <v>15</v>
      </c>
      <c r="H4314" s="6" t="s">
        <v>34266</v>
      </c>
      <c r="I4314" s="6">
        <v>527.4375</v>
      </c>
      <c r="J4314" s="2">
        <f t="shared" si="67"/>
        <v>43748.769271550926</v>
      </c>
    </row>
    <row r="4315" spans="1:10" x14ac:dyDescent="0.25">
      <c r="A4315" s="7" t="s">
        <v>34267</v>
      </c>
      <c r="B4315" s="8">
        <v>396.875</v>
      </c>
      <c r="C4315" s="8">
        <v>20.478950000000001</v>
      </c>
      <c r="D4315" s="8">
        <v>67</v>
      </c>
      <c r="E4315" s="8">
        <v>0</v>
      </c>
      <c r="F4315" s="8">
        <v>0</v>
      </c>
      <c r="G4315" s="8">
        <v>14</v>
      </c>
      <c r="H4315" s="8" t="s">
        <v>34268</v>
      </c>
      <c r="I4315" s="8">
        <v>527.4375</v>
      </c>
      <c r="J4315" s="3">
        <f t="shared" si="67"/>
        <v>43748.769343020831</v>
      </c>
    </row>
    <row r="4316" spans="1:10" x14ac:dyDescent="0.25">
      <c r="A4316" s="5" t="s">
        <v>34269</v>
      </c>
      <c r="B4316" s="6">
        <v>396.875</v>
      </c>
      <c r="C4316" s="6">
        <v>20.478950000000001</v>
      </c>
      <c r="D4316" s="6">
        <v>68</v>
      </c>
      <c r="E4316" s="6">
        <v>0</v>
      </c>
      <c r="F4316" s="6">
        <v>0</v>
      </c>
      <c r="G4316" s="6">
        <v>25</v>
      </c>
      <c r="H4316" s="6" t="s">
        <v>34270</v>
      </c>
      <c r="I4316" s="6">
        <v>527.4375</v>
      </c>
      <c r="J4316" s="2">
        <f t="shared" si="67"/>
        <v>43748.769414849536</v>
      </c>
    </row>
    <row r="4317" spans="1:10" x14ac:dyDescent="0.25">
      <c r="A4317" s="7" t="s">
        <v>34271</v>
      </c>
      <c r="B4317" s="8">
        <v>396.875</v>
      </c>
      <c r="C4317" s="8">
        <v>20.478950000000001</v>
      </c>
      <c r="D4317" s="8">
        <v>68</v>
      </c>
      <c r="E4317" s="8">
        <v>0</v>
      </c>
      <c r="F4317" s="8">
        <v>0</v>
      </c>
      <c r="G4317" s="8">
        <v>18</v>
      </c>
      <c r="H4317" s="8" t="s">
        <v>34272</v>
      </c>
      <c r="I4317" s="8">
        <v>527.4375</v>
      </c>
      <c r="J4317" s="3">
        <f t="shared" si="67"/>
        <v>43748.769486273144</v>
      </c>
    </row>
    <row r="4318" spans="1:10" x14ac:dyDescent="0.25">
      <c r="A4318" s="5" t="s">
        <v>34273</v>
      </c>
      <c r="B4318" s="6">
        <v>393.75</v>
      </c>
      <c r="C4318" s="6">
        <v>20.478950000000001</v>
      </c>
      <c r="D4318" s="6">
        <v>67</v>
      </c>
      <c r="E4318" s="6">
        <v>0</v>
      </c>
      <c r="F4318" s="6">
        <v>0</v>
      </c>
      <c r="G4318" s="6">
        <v>16</v>
      </c>
      <c r="H4318" s="6" t="s">
        <v>34274</v>
      </c>
      <c r="I4318" s="6">
        <v>526.6875</v>
      </c>
      <c r="J4318" s="2">
        <f t="shared" si="67"/>
        <v>43748.769571516204</v>
      </c>
    </row>
    <row r="4319" spans="1:10" x14ac:dyDescent="0.25">
      <c r="A4319" s="7" t="s">
        <v>34275</v>
      </c>
      <c r="B4319" s="8">
        <v>393.75</v>
      </c>
      <c r="C4319" s="8">
        <v>20.478950000000001</v>
      </c>
      <c r="D4319" s="8">
        <v>67</v>
      </c>
      <c r="E4319" s="8">
        <v>0</v>
      </c>
      <c r="F4319" s="8">
        <v>0</v>
      </c>
      <c r="G4319" s="8">
        <v>21</v>
      </c>
      <c r="H4319" s="8" t="s">
        <v>34276</v>
      </c>
      <c r="I4319" s="8">
        <v>526.6875</v>
      </c>
      <c r="J4319" s="3">
        <f t="shared" si="67"/>
        <v>43748.76965357639</v>
      </c>
    </row>
    <row r="4320" spans="1:10" x14ac:dyDescent="0.25">
      <c r="A4320" s="5" t="s">
        <v>34277</v>
      </c>
      <c r="B4320" s="6">
        <v>431.25</v>
      </c>
      <c r="C4320" s="6">
        <v>20.478950000000001</v>
      </c>
      <c r="D4320" s="6">
        <v>68</v>
      </c>
      <c r="E4320" s="6">
        <v>0</v>
      </c>
      <c r="F4320" s="6">
        <v>0</v>
      </c>
      <c r="G4320" s="6">
        <v>17</v>
      </c>
      <c r="H4320" s="6" t="s">
        <v>34278</v>
      </c>
      <c r="I4320" s="6">
        <v>538.125</v>
      </c>
      <c r="J4320" s="2">
        <f t="shared" si="67"/>
        <v>43748.769724988422</v>
      </c>
    </row>
    <row r="4321" spans="1:10" x14ac:dyDescent="0.25">
      <c r="A4321" s="7" t="s">
        <v>34279</v>
      </c>
      <c r="B4321" s="8">
        <v>393.75</v>
      </c>
      <c r="C4321" s="8">
        <v>20.478950000000001</v>
      </c>
      <c r="D4321" s="8">
        <v>68</v>
      </c>
      <c r="E4321" s="8">
        <v>0</v>
      </c>
      <c r="F4321" s="8">
        <v>0</v>
      </c>
      <c r="G4321" s="8">
        <v>19</v>
      </c>
      <c r="H4321" s="8" t="s">
        <v>34280</v>
      </c>
      <c r="I4321" s="8">
        <v>526.6875</v>
      </c>
      <c r="J4321" s="3">
        <f t="shared" si="67"/>
        <v>43748.769796400462</v>
      </c>
    </row>
    <row r="4322" spans="1:10" x14ac:dyDescent="0.25">
      <c r="A4322" s="5" t="s">
        <v>34281</v>
      </c>
      <c r="B4322" s="6">
        <v>393.75</v>
      </c>
      <c r="C4322" s="6">
        <v>20.478950000000001</v>
      </c>
      <c r="D4322" s="6">
        <v>68</v>
      </c>
      <c r="E4322" s="6">
        <v>0</v>
      </c>
      <c r="F4322" s="6">
        <v>0</v>
      </c>
      <c r="G4322" s="6">
        <v>23</v>
      </c>
      <c r="H4322" s="6" t="s">
        <v>34282</v>
      </c>
      <c r="I4322" s="6">
        <v>526.6875</v>
      </c>
      <c r="J4322" s="2">
        <f t="shared" si="67"/>
        <v>43748.769867696756</v>
      </c>
    </row>
    <row r="4323" spans="1:10" x14ac:dyDescent="0.25">
      <c r="A4323" s="7" t="s">
        <v>34283</v>
      </c>
      <c r="B4323" s="8">
        <v>393.75</v>
      </c>
      <c r="C4323" s="8">
        <v>20.478950000000001</v>
      </c>
      <c r="D4323" s="8">
        <v>68</v>
      </c>
      <c r="E4323" s="8">
        <v>0</v>
      </c>
      <c r="F4323" s="8">
        <v>0</v>
      </c>
      <c r="G4323" s="8">
        <v>14</v>
      </c>
      <c r="H4323" s="8" t="s">
        <v>34284</v>
      </c>
      <c r="I4323" s="8">
        <v>526.5</v>
      </c>
      <c r="J4323" s="3">
        <f t="shared" si="67"/>
        <v>43748.769939918981</v>
      </c>
    </row>
    <row r="4324" spans="1:10" x14ac:dyDescent="0.25">
      <c r="A4324" s="5" t="s">
        <v>34285</v>
      </c>
      <c r="B4324" s="6">
        <v>396.875</v>
      </c>
      <c r="C4324" s="6">
        <v>20.478950000000001</v>
      </c>
      <c r="D4324" s="6">
        <v>69</v>
      </c>
      <c r="E4324" s="6">
        <v>0</v>
      </c>
      <c r="F4324" s="6">
        <v>0</v>
      </c>
      <c r="G4324" s="6">
        <v>9</v>
      </c>
      <c r="H4324" s="6" t="s">
        <v>34286</v>
      </c>
      <c r="I4324" s="6">
        <v>527.4375</v>
      </c>
      <c r="J4324" s="2">
        <f t="shared" si="67"/>
        <v>43748.770011909721</v>
      </c>
    </row>
    <row r="4325" spans="1:10" x14ac:dyDescent="0.25">
      <c r="A4325" s="7" t="s">
        <v>34287</v>
      </c>
      <c r="B4325" s="8">
        <v>396.875</v>
      </c>
      <c r="C4325" s="8">
        <v>20.478950000000001</v>
      </c>
      <c r="D4325" s="8">
        <v>68</v>
      </c>
      <c r="E4325" s="8">
        <v>0</v>
      </c>
      <c r="F4325" s="8">
        <v>0</v>
      </c>
      <c r="G4325" s="8">
        <v>5</v>
      </c>
      <c r="H4325" s="8" t="s">
        <v>34288</v>
      </c>
      <c r="I4325" s="8">
        <v>527.4375</v>
      </c>
      <c r="J4325" s="3">
        <f t="shared" si="67"/>
        <v>43748.770094479165</v>
      </c>
    </row>
    <row r="4326" spans="1:10" x14ac:dyDescent="0.25">
      <c r="A4326" s="5" t="s">
        <v>34289</v>
      </c>
      <c r="B4326" s="6">
        <v>400</v>
      </c>
      <c r="C4326" s="6">
        <v>20.478950000000001</v>
      </c>
      <c r="D4326" s="6">
        <v>69</v>
      </c>
      <c r="E4326" s="6">
        <v>0</v>
      </c>
      <c r="F4326" s="6">
        <v>0</v>
      </c>
      <c r="G4326" s="6">
        <v>23</v>
      </c>
      <c r="H4326" s="6" t="s">
        <v>34290</v>
      </c>
      <c r="I4326" s="6">
        <v>528.1875</v>
      </c>
      <c r="J4326" s="2">
        <f t="shared" si="67"/>
        <v>43748.770165856484</v>
      </c>
    </row>
    <row r="4327" spans="1:10" x14ac:dyDescent="0.25">
      <c r="A4327" s="7" t="s">
        <v>34291</v>
      </c>
      <c r="B4327" s="8">
        <v>400</v>
      </c>
      <c r="C4327" s="8">
        <v>20.478950000000001</v>
      </c>
      <c r="D4327" s="8">
        <v>68</v>
      </c>
      <c r="E4327" s="8">
        <v>0</v>
      </c>
      <c r="F4327" s="8">
        <v>0</v>
      </c>
      <c r="G4327" s="8">
        <v>13</v>
      </c>
      <c r="H4327" s="8" t="s">
        <v>34292</v>
      </c>
      <c r="I4327" s="8">
        <v>528.1875</v>
      </c>
      <c r="J4327" s="3">
        <f t="shared" si="67"/>
        <v>43748.770238124998</v>
      </c>
    </row>
    <row r="4328" spans="1:10" x14ac:dyDescent="0.25">
      <c r="A4328" s="5" t="s">
        <v>34293</v>
      </c>
      <c r="B4328" s="6">
        <v>418.75</v>
      </c>
      <c r="C4328" s="6">
        <v>20.478950000000001</v>
      </c>
      <c r="D4328" s="6">
        <v>68</v>
      </c>
      <c r="E4328" s="6">
        <v>0</v>
      </c>
      <c r="F4328" s="6">
        <v>0</v>
      </c>
      <c r="G4328" s="6">
        <v>18</v>
      </c>
      <c r="H4328" s="6" t="s">
        <v>34294</v>
      </c>
      <c r="I4328" s="6">
        <v>534.75</v>
      </c>
      <c r="J4328" s="2">
        <f t="shared" si="67"/>
        <v>43748.77030935185</v>
      </c>
    </row>
    <row r="4329" spans="1:10" x14ac:dyDescent="0.25">
      <c r="A4329" s="7" t="s">
        <v>34295</v>
      </c>
      <c r="B4329" s="8">
        <v>403.125</v>
      </c>
      <c r="C4329" s="8">
        <v>20.478950000000001</v>
      </c>
      <c r="D4329" s="8">
        <v>68</v>
      </c>
      <c r="E4329" s="8">
        <v>0</v>
      </c>
      <c r="F4329" s="8">
        <v>0</v>
      </c>
      <c r="G4329" s="8">
        <v>13</v>
      </c>
      <c r="H4329" s="8" t="s">
        <v>34296</v>
      </c>
      <c r="I4329" s="8">
        <v>529.875</v>
      </c>
      <c r="J4329" s="3">
        <f t="shared" si="67"/>
        <v>43748.770392685183</v>
      </c>
    </row>
    <row r="4330" spans="1:10" x14ac:dyDescent="0.25">
      <c r="A4330" s="5" t="s">
        <v>34297</v>
      </c>
      <c r="B4330" s="6">
        <v>403.125</v>
      </c>
      <c r="C4330" s="6">
        <v>20.478950000000001</v>
      </c>
      <c r="D4330" s="6">
        <v>69</v>
      </c>
      <c r="E4330" s="6">
        <v>0</v>
      </c>
      <c r="F4330" s="6">
        <v>0</v>
      </c>
      <c r="G4330" s="6">
        <v>11</v>
      </c>
      <c r="H4330" s="6" t="s">
        <v>34298</v>
      </c>
      <c r="I4330" s="6">
        <v>529.875</v>
      </c>
      <c r="J4330" s="2">
        <f t="shared" si="67"/>
        <v>43748.770464016205</v>
      </c>
    </row>
    <row r="4331" spans="1:10" x14ac:dyDescent="0.25">
      <c r="A4331" s="7" t="s">
        <v>34299</v>
      </c>
      <c r="B4331" s="8">
        <v>403.125</v>
      </c>
      <c r="C4331" s="8">
        <v>20.478950000000001</v>
      </c>
      <c r="D4331" s="8">
        <v>69</v>
      </c>
      <c r="E4331" s="8">
        <v>0</v>
      </c>
      <c r="F4331" s="8">
        <v>0</v>
      </c>
      <c r="G4331" s="8">
        <v>11</v>
      </c>
      <c r="H4331" s="8" t="s">
        <v>34300</v>
      </c>
      <c r="I4331" s="8">
        <v>529.875</v>
      </c>
      <c r="J4331" s="3">
        <f t="shared" si="67"/>
        <v>43748.770536226853</v>
      </c>
    </row>
    <row r="4332" spans="1:10" x14ac:dyDescent="0.25">
      <c r="A4332" s="5" t="s">
        <v>34301</v>
      </c>
      <c r="B4332" s="6">
        <v>403.125</v>
      </c>
      <c r="C4332" s="6">
        <v>20.478950000000001</v>
      </c>
      <c r="D4332" s="6">
        <v>69</v>
      </c>
      <c r="E4332" s="6">
        <v>0</v>
      </c>
      <c r="F4332" s="6">
        <v>0</v>
      </c>
      <c r="G4332" s="6">
        <v>28</v>
      </c>
      <c r="H4332" s="6" t="s">
        <v>34302</v>
      </c>
      <c r="I4332" s="6">
        <v>529.875</v>
      </c>
      <c r="J4332" s="2">
        <f t="shared" si="67"/>
        <v>43748.770607395832</v>
      </c>
    </row>
    <row r="4333" spans="1:10" x14ac:dyDescent="0.25">
      <c r="A4333" s="7" t="s">
        <v>34303</v>
      </c>
      <c r="B4333" s="8">
        <v>403.125</v>
      </c>
      <c r="C4333" s="8">
        <v>20.478950000000001</v>
      </c>
      <c r="D4333" s="8">
        <v>69</v>
      </c>
      <c r="E4333" s="8">
        <v>0</v>
      </c>
      <c r="F4333" s="8">
        <v>0</v>
      </c>
      <c r="G4333" s="8">
        <v>12</v>
      </c>
      <c r="H4333" s="8" t="s">
        <v>34304</v>
      </c>
      <c r="I4333" s="8">
        <v>529.875</v>
      </c>
      <c r="J4333" s="3">
        <f t="shared" si="67"/>
        <v>43748.770678865738</v>
      </c>
    </row>
    <row r="4334" spans="1:10" x14ac:dyDescent="0.25">
      <c r="A4334" s="5" t="s">
        <v>34305</v>
      </c>
      <c r="B4334" s="6">
        <v>403.125</v>
      </c>
      <c r="C4334" s="6">
        <v>20.478950000000001</v>
      </c>
      <c r="D4334" s="6">
        <v>71</v>
      </c>
      <c r="E4334" s="6">
        <v>0</v>
      </c>
      <c r="F4334" s="6">
        <v>0</v>
      </c>
      <c r="G4334" s="6">
        <v>23</v>
      </c>
      <c r="H4334" s="6" t="s">
        <v>34306</v>
      </c>
      <c r="I4334" s="6">
        <v>529.875</v>
      </c>
      <c r="J4334" s="2">
        <f t="shared" si="67"/>
        <v>43748.770750868054</v>
      </c>
    </row>
    <row r="4335" spans="1:10" x14ac:dyDescent="0.25">
      <c r="A4335" s="7" t="s">
        <v>34307</v>
      </c>
      <c r="B4335" s="8">
        <v>418.75</v>
      </c>
      <c r="C4335" s="8">
        <v>20.478950000000001</v>
      </c>
      <c r="D4335" s="8">
        <v>69</v>
      </c>
      <c r="E4335" s="8">
        <v>0</v>
      </c>
      <c r="F4335" s="8">
        <v>0</v>
      </c>
      <c r="G4335" s="8">
        <v>16</v>
      </c>
      <c r="H4335" s="8" t="s">
        <v>34308</v>
      </c>
      <c r="I4335" s="8">
        <v>534.9375</v>
      </c>
      <c r="J4335" s="3">
        <f t="shared" si="67"/>
        <v>43748.770833831011</v>
      </c>
    </row>
    <row r="4336" spans="1:10" x14ac:dyDescent="0.25">
      <c r="A4336" s="5" t="s">
        <v>34309</v>
      </c>
      <c r="B4336" s="6">
        <v>403.125</v>
      </c>
      <c r="C4336" s="6">
        <v>20.478950000000001</v>
      </c>
      <c r="D4336" s="6">
        <v>69</v>
      </c>
      <c r="E4336" s="6">
        <v>0</v>
      </c>
      <c r="F4336" s="6">
        <v>0</v>
      </c>
      <c r="G4336" s="6">
        <v>16</v>
      </c>
      <c r="H4336" s="6" t="s">
        <v>34310</v>
      </c>
      <c r="I4336" s="6">
        <v>529.125</v>
      </c>
      <c r="J4336" s="2">
        <f t="shared" si="67"/>
        <v>43748.770917349531</v>
      </c>
    </row>
    <row r="4337" spans="1:10" x14ac:dyDescent="0.25">
      <c r="A4337" s="7" t="s">
        <v>34311</v>
      </c>
      <c r="B4337" s="8">
        <v>403.125</v>
      </c>
      <c r="C4337" s="8">
        <v>20.478950000000001</v>
      </c>
      <c r="D4337" s="8">
        <v>68</v>
      </c>
      <c r="E4337" s="8">
        <v>0</v>
      </c>
      <c r="F4337" s="8">
        <v>0</v>
      </c>
      <c r="G4337" s="8">
        <v>18</v>
      </c>
      <c r="H4337" s="8" t="s">
        <v>34312</v>
      </c>
      <c r="I4337" s="8">
        <v>529.125</v>
      </c>
      <c r="J4337" s="3">
        <f t="shared" si="67"/>
        <v>43748.771001018518</v>
      </c>
    </row>
    <row r="4338" spans="1:10" x14ac:dyDescent="0.25">
      <c r="A4338" s="5" t="s">
        <v>34313</v>
      </c>
      <c r="B4338" s="6">
        <v>403.125</v>
      </c>
      <c r="C4338" s="6">
        <v>20.478950000000001</v>
      </c>
      <c r="D4338" s="6">
        <v>67</v>
      </c>
      <c r="E4338" s="6">
        <v>0</v>
      </c>
      <c r="F4338" s="6">
        <v>0</v>
      </c>
      <c r="G4338" s="6">
        <v>10</v>
      </c>
      <c r="H4338" s="6" t="s">
        <v>34314</v>
      </c>
      <c r="I4338" s="6">
        <v>529.875</v>
      </c>
      <c r="J4338" s="2">
        <f t="shared" si="67"/>
        <v>43748.77108436342</v>
      </c>
    </row>
    <row r="4339" spans="1:10" x14ac:dyDescent="0.25">
      <c r="A4339" s="7" t="s">
        <v>34315</v>
      </c>
      <c r="B4339" s="8">
        <v>403.125</v>
      </c>
      <c r="C4339" s="8">
        <v>20.478950000000001</v>
      </c>
      <c r="D4339" s="8">
        <v>67</v>
      </c>
      <c r="E4339" s="8">
        <v>0</v>
      </c>
      <c r="F4339" s="8">
        <v>0</v>
      </c>
      <c r="G4339" s="8">
        <v>22</v>
      </c>
      <c r="H4339" s="8" t="s">
        <v>34316</v>
      </c>
      <c r="I4339" s="8">
        <v>529.875</v>
      </c>
      <c r="J4339" s="3">
        <f t="shared" si="67"/>
        <v>43748.771168043975</v>
      </c>
    </row>
    <row r="4340" spans="1:10" x14ac:dyDescent="0.25">
      <c r="A4340" s="5" t="s">
        <v>34317</v>
      </c>
      <c r="B4340" s="6">
        <v>421.875</v>
      </c>
      <c r="C4340" s="6">
        <v>20.478950000000001</v>
      </c>
      <c r="D4340" s="6">
        <v>67</v>
      </c>
      <c r="E4340" s="6">
        <v>0</v>
      </c>
      <c r="F4340" s="6">
        <v>0</v>
      </c>
      <c r="G4340" s="6">
        <v>13</v>
      </c>
      <c r="H4340" s="6" t="s">
        <v>34318</v>
      </c>
      <c r="I4340" s="6">
        <v>535.5</v>
      </c>
      <c r="J4340" s="2">
        <f t="shared" si="67"/>
        <v>43748.771239456015</v>
      </c>
    </row>
    <row r="4341" spans="1:10" x14ac:dyDescent="0.25">
      <c r="A4341" s="7" t="s">
        <v>34319</v>
      </c>
      <c r="B4341" s="8">
        <v>403.125</v>
      </c>
      <c r="C4341" s="8">
        <v>20.478950000000001</v>
      </c>
      <c r="D4341" s="8">
        <v>67</v>
      </c>
      <c r="E4341" s="8">
        <v>0</v>
      </c>
      <c r="F4341" s="8">
        <v>0</v>
      </c>
      <c r="G4341" s="8">
        <v>19</v>
      </c>
      <c r="H4341" s="8" t="s">
        <v>34320</v>
      </c>
      <c r="I4341" s="8">
        <v>529.125</v>
      </c>
      <c r="J4341" s="3">
        <f t="shared" si="67"/>
        <v>43748.771310995369</v>
      </c>
    </row>
    <row r="4342" spans="1:10" x14ac:dyDescent="0.25">
      <c r="A4342" s="5" t="s">
        <v>34321</v>
      </c>
      <c r="B4342" s="6">
        <v>403.125</v>
      </c>
      <c r="C4342" s="6">
        <v>20.478950000000001</v>
      </c>
      <c r="D4342" s="6">
        <v>66</v>
      </c>
      <c r="E4342" s="6">
        <v>0</v>
      </c>
      <c r="F4342" s="6">
        <v>0</v>
      </c>
      <c r="G4342" s="6">
        <v>15</v>
      </c>
      <c r="H4342" s="6" t="s">
        <v>34322</v>
      </c>
      <c r="I4342" s="6">
        <v>529.125</v>
      </c>
      <c r="J4342" s="2">
        <f t="shared" si="67"/>
        <v>43748.771382905092</v>
      </c>
    </row>
    <row r="4343" spans="1:10" x14ac:dyDescent="0.25">
      <c r="A4343" s="7" t="s">
        <v>34323</v>
      </c>
      <c r="B4343" s="8">
        <v>400</v>
      </c>
      <c r="C4343" s="8">
        <v>20.478950000000001</v>
      </c>
      <c r="D4343" s="8">
        <v>66</v>
      </c>
      <c r="E4343" s="8">
        <v>0</v>
      </c>
      <c r="F4343" s="8">
        <v>0</v>
      </c>
      <c r="G4343" s="8">
        <v>18</v>
      </c>
      <c r="H4343" s="8" t="s">
        <v>34324</v>
      </c>
      <c r="I4343" s="8">
        <v>528.9375</v>
      </c>
      <c r="J4343" s="3">
        <f t="shared" si="67"/>
        <v>43748.771454166665</v>
      </c>
    </row>
    <row r="4344" spans="1:10" x14ac:dyDescent="0.25">
      <c r="A4344" s="5" t="s">
        <v>34325</v>
      </c>
      <c r="B4344" s="6">
        <v>403.125</v>
      </c>
      <c r="C4344" s="6">
        <v>20.478950000000001</v>
      </c>
      <c r="D4344" s="6">
        <v>66</v>
      </c>
      <c r="E4344" s="6">
        <v>0</v>
      </c>
      <c r="F4344" s="6">
        <v>0</v>
      </c>
      <c r="G4344" s="6">
        <v>16</v>
      </c>
      <c r="H4344" s="6" t="s">
        <v>34326</v>
      </c>
      <c r="I4344" s="6">
        <v>529.125</v>
      </c>
      <c r="J4344" s="2">
        <f t="shared" si="67"/>
        <v>43748.771525439814</v>
      </c>
    </row>
    <row r="4345" spans="1:10" x14ac:dyDescent="0.25">
      <c r="A4345" s="7" t="s">
        <v>34327</v>
      </c>
      <c r="B4345" s="8">
        <v>400</v>
      </c>
      <c r="C4345" s="8">
        <v>20.478950000000001</v>
      </c>
      <c r="D4345" s="8">
        <v>66</v>
      </c>
      <c r="E4345" s="8">
        <v>0</v>
      </c>
      <c r="F4345" s="8">
        <v>0</v>
      </c>
      <c r="G4345" s="8">
        <v>15</v>
      </c>
      <c r="H4345" s="8" t="s">
        <v>34328</v>
      </c>
      <c r="I4345" s="8">
        <v>528.9375</v>
      </c>
      <c r="J4345" s="3">
        <f t="shared" si="67"/>
        <v>43748.771599282401</v>
      </c>
    </row>
    <row r="4346" spans="1:10" x14ac:dyDescent="0.25">
      <c r="A4346" s="5" t="s">
        <v>34329</v>
      </c>
      <c r="B4346" s="6">
        <v>403.125</v>
      </c>
      <c r="C4346" s="6">
        <v>20.478950000000001</v>
      </c>
      <c r="D4346" s="6">
        <v>65</v>
      </c>
      <c r="E4346" s="6">
        <v>0</v>
      </c>
      <c r="F4346" s="6">
        <v>0</v>
      </c>
      <c r="G4346" s="6">
        <v>12</v>
      </c>
      <c r="H4346" s="6" t="s">
        <v>34330</v>
      </c>
      <c r="I4346" s="6">
        <v>529.125</v>
      </c>
      <c r="J4346" s="2">
        <f t="shared" si="67"/>
        <v>43748.77168064814</v>
      </c>
    </row>
    <row r="4347" spans="1:10" x14ac:dyDescent="0.25">
      <c r="A4347" s="7" t="s">
        <v>34331</v>
      </c>
      <c r="B4347" s="8">
        <v>403.125</v>
      </c>
      <c r="C4347" s="8">
        <v>20.478950000000001</v>
      </c>
      <c r="D4347" s="8">
        <v>65</v>
      </c>
      <c r="E4347" s="8">
        <v>0</v>
      </c>
      <c r="F4347" s="8">
        <v>0</v>
      </c>
      <c r="G4347" s="8">
        <v>21</v>
      </c>
      <c r="H4347" s="8" t="s">
        <v>34332</v>
      </c>
      <c r="I4347" s="8">
        <v>529.125</v>
      </c>
      <c r="J4347" s="3">
        <f t="shared" si="67"/>
        <v>43748.771752256944</v>
      </c>
    </row>
    <row r="4348" spans="1:10" x14ac:dyDescent="0.25">
      <c r="A4348" s="5" t="s">
        <v>34333</v>
      </c>
      <c r="B4348" s="6">
        <v>418.75</v>
      </c>
      <c r="C4348" s="6">
        <v>20.478950000000001</v>
      </c>
      <c r="D4348" s="6">
        <v>65</v>
      </c>
      <c r="E4348" s="6">
        <v>0</v>
      </c>
      <c r="F4348" s="6">
        <v>0</v>
      </c>
      <c r="G4348" s="6">
        <v>16</v>
      </c>
      <c r="H4348" s="6" t="s">
        <v>34334</v>
      </c>
      <c r="I4348" s="6">
        <v>534.5625</v>
      </c>
      <c r="J4348" s="2">
        <f t="shared" si="67"/>
        <v>43748.771824062496</v>
      </c>
    </row>
    <row r="4349" spans="1:10" x14ac:dyDescent="0.25">
      <c r="A4349" s="7" t="s">
        <v>34335</v>
      </c>
      <c r="B4349" s="8">
        <v>403.125</v>
      </c>
      <c r="C4349" s="8">
        <v>20.478950000000001</v>
      </c>
      <c r="D4349" s="8">
        <v>66</v>
      </c>
      <c r="E4349" s="8">
        <v>0</v>
      </c>
      <c r="F4349" s="8">
        <v>0</v>
      </c>
      <c r="G4349" s="8">
        <v>20</v>
      </c>
      <c r="H4349" s="8" t="s">
        <v>34336</v>
      </c>
      <c r="I4349" s="8">
        <v>529.875</v>
      </c>
      <c r="J4349" s="3">
        <f t="shared" si="67"/>
        <v>43748.771907175927</v>
      </c>
    </row>
    <row r="4350" spans="1:10" x14ac:dyDescent="0.25">
      <c r="A4350" s="5" t="s">
        <v>34337</v>
      </c>
      <c r="B4350" s="6">
        <v>403.125</v>
      </c>
      <c r="C4350" s="6">
        <v>20.478950000000001</v>
      </c>
      <c r="D4350" s="6">
        <v>67</v>
      </c>
      <c r="E4350" s="6">
        <v>0</v>
      </c>
      <c r="F4350" s="6">
        <v>0</v>
      </c>
      <c r="G4350" s="6">
        <v>16</v>
      </c>
      <c r="H4350" s="6" t="s">
        <v>34338</v>
      </c>
      <c r="I4350" s="6">
        <v>529.125</v>
      </c>
      <c r="J4350" s="2">
        <f t="shared" si="67"/>
        <v>43748.771993634255</v>
      </c>
    </row>
    <row r="4351" spans="1:10" x14ac:dyDescent="0.25">
      <c r="A4351" s="7" t="s">
        <v>34339</v>
      </c>
      <c r="B4351" s="8">
        <v>400</v>
      </c>
      <c r="C4351" s="8">
        <v>20.478950000000001</v>
      </c>
      <c r="D4351" s="8">
        <v>67</v>
      </c>
      <c r="E4351" s="8">
        <v>0</v>
      </c>
      <c r="F4351" s="8">
        <v>0</v>
      </c>
      <c r="G4351" s="8">
        <v>13</v>
      </c>
      <c r="H4351" s="8" t="s">
        <v>34340</v>
      </c>
      <c r="I4351" s="8">
        <v>528.1875</v>
      </c>
      <c r="J4351" s="3">
        <f t="shared" si="67"/>
        <v>43748.772062268516</v>
      </c>
    </row>
    <row r="4352" spans="1:10" x14ac:dyDescent="0.25">
      <c r="A4352" s="5" t="s">
        <v>34341</v>
      </c>
      <c r="B4352" s="6">
        <v>400</v>
      </c>
      <c r="C4352" s="6">
        <v>20.478950000000001</v>
      </c>
      <c r="D4352" s="6">
        <v>67</v>
      </c>
      <c r="E4352" s="6">
        <v>0</v>
      </c>
      <c r="F4352" s="6">
        <v>0</v>
      </c>
      <c r="G4352" s="6">
        <v>12</v>
      </c>
      <c r="H4352" s="6" t="s">
        <v>34342</v>
      </c>
      <c r="I4352" s="6">
        <v>528.1875</v>
      </c>
      <c r="J4352" s="2">
        <f t="shared" si="67"/>
        <v>43748.772157719904</v>
      </c>
    </row>
    <row r="4353" spans="1:10" x14ac:dyDescent="0.25">
      <c r="A4353" s="7" t="s">
        <v>34343</v>
      </c>
      <c r="B4353" s="8">
        <v>415.625</v>
      </c>
      <c r="C4353" s="8">
        <v>20.478950000000001</v>
      </c>
      <c r="D4353" s="8">
        <v>71</v>
      </c>
      <c r="E4353" s="8">
        <v>0</v>
      </c>
      <c r="F4353" s="8">
        <v>0</v>
      </c>
      <c r="G4353" s="8">
        <v>14</v>
      </c>
      <c r="H4353" s="8" t="s">
        <v>34344</v>
      </c>
      <c r="I4353" s="8">
        <v>533.25</v>
      </c>
      <c r="J4353" s="3">
        <f t="shared" si="67"/>
        <v>43748.772229398142</v>
      </c>
    </row>
    <row r="4354" spans="1:10" x14ac:dyDescent="0.25">
      <c r="A4354" s="5" t="s">
        <v>34345</v>
      </c>
      <c r="B4354" s="6">
        <v>396.875</v>
      </c>
      <c r="C4354" s="6">
        <v>20.478950000000001</v>
      </c>
      <c r="D4354" s="6">
        <v>70</v>
      </c>
      <c r="E4354" s="6">
        <v>0</v>
      </c>
      <c r="F4354" s="6">
        <v>0</v>
      </c>
      <c r="G4354" s="6">
        <v>18</v>
      </c>
      <c r="H4354" s="6" t="s">
        <v>34346</v>
      </c>
      <c r="I4354" s="6">
        <v>527.4375</v>
      </c>
      <c r="J4354" s="2">
        <f t="shared" ref="J4354:J4417" si="68">(H4354/86400000)+25569+(7/24)</f>
        <v>43748.772313009256</v>
      </c>
    </row>
    <row r="4355" spans="1:10" x14ac:dyDescent="0.25">
      <c r="A4355" s="7" t="s">
        <v>34347</v>
      </c>
      <c r="B4355" s="8">
        <v>396.875</v>
      </c>
      <c r="C4355" s="8">
        <v>20.478950000000001</v>
      </c>
      <c r="D4355" s="8">
        <v>69</v>
      </c>
      <c r="E4355" s="8">
        <v>0</v>
      </c>
      <c r="F4355" s="8">
        <v>0</v>
      </c>
      <c r="G4355" s="8">
        <v>17</v>
      </c>
      <c r="H4355" s="8" t="s">
        <v>34348</v>
      </c>
      <c r="I4355" s="8">
        <v>527.4375</v>
      </c>
      <c r="J4355" s="3">
        <f t="shared" si="68"/>
        <v>43748.772396261571</v>
      </c>
    </row>
    <row r="4356" spans="1:10" x14ac:dyDescent="0.25">
      <c r="A4356" s="5" t="s">
        <v>34349</v>
      </c>
      <c r="B4356" s="6">
        <v>396.875</v>
      </c>
      <c r="C4356" s="6">
        <v>20.478950000000001</v>
      </c>
      <c r="D4356" s="6">
        <v>69</v>
      </c>
      <c r="E4356" s="6">
        <v>0</v>
      </c>
      <c r="F4356" s="6">
        <v>0</v>
      </c>
      <c r="G4356" s="6">
        <v>10</v>
      </c>
      <c r="H4356" s="6" t="s">
        <v>34350</v>
      </c>
      <c r="I4356" s="6">
        <v>527.4375</v>
      </c>
      <c r="J4356" s="2">
        <f t="shared" si="68"/>
        <v>43748.772479525462</v>
      </c>
    </row>
    <row r="4357" spans="1:10" x14ac:dyDescent="0.25">
      <c r="A4357" s="7" t="s">
        <v>34351</v>
      </c>
      <c r="B4357" s="8">
        <v>396.875</v>
      </c>
      <c r="C4357" s="8">
        <v>20.426300000000001</v>
      </c>
      <c r="D4357" s="8">
        <v>68</v>
      </c>
      <c r="E4357" s="8">
        <v>0</v>
      </c>
      <c r="F4357" s="8">
        <v>0</v>
      </c>
      <c r="G4357" s="8">
        <v>22</v>
      </c>
      <c r="H4357" s="8" t="s">
        <v>34352</v>
      </c>
      <c r="I4357" s="8">
        <v>527.4375</v>
      </c>
      <c r="J4357" s="3">
        <f t="shared" si="68"/>
        <v>43748.772551273149</v>
      </c>
    </row>
    <row r="4358" spans="1:10" x14ac:dyDescent="0.25">
      <c r="A4358" s="5" t="s">
        <v>34353</v>
      </c>
      <c r="B4358" s="6">
        <v>396.875</v>
      </c>
      <c r="C4358" s="6">
        <v>20.478950000000001</v>
      </c>
      <c r="D4358" s="6">
        <v>68</v>
      </c>
      <c r="E4358" s="6">
        <v>0</v>
      </c>
      <c r="F4358" s="6">
        <v>0</v>
      </c>
      <c r="G4358" s="6">
        <v>25</v>
      </c>
      <c r="H4358" s="6" t="s">
        <v>34354</v>
      </c>
      <c r="I4358" s="6">
        <v>527.4375</v>
      </c>
      <c r="J4358" s="2">
        <f t="shared" si="68"/>
        <v>43748.772623101853</v>
      </c>
    </row>
    <row r="4359" spans="1:10" x14ac:dyDescent="0.25">
      <c r="A4359" s="7" t="s">
        <v>34355</v>
      </c>
      <c r="B4359" s="8">
        <v>415.625</v>
      </c>
      <c r="C4359" s="8">
        <v>20.478950000000001</v>
      </c>
      <c r="D4359" s="8">
        <v>68</v>
      </c>
      <c r="E4359" s="8">
        <v>0</v>
      </c>
      <c r="F4359" s="8">
        <v>0</v>
      </c>
      <c r="G4359" s="8">
        <v>15</v>
      </c>
      <c r="H4359" s="8" t="s">
        <v>34356</v>
      </c>
      <c r="I4359" s="8">
        <v>533.0625</v>
      </c>
      <c r="J4359" s="3">
        <f t="shared" si="68"/>
        <v>43748.772700069443</v>
      </c>
    </row>
    <row r="4360" spans="1:10" x14ac:dyDescent="0.25">
      <c r="A4360" s="5" t="s">
        <v>34357</v>
      </c>
      <c r="B4360" s="6">
        <v>396.875</v>
      </c>
      <c r="C4360" s="6">
        <v>20.478950000000001</v>
      </c>
      <c r="D4360" s="6">
        <v>68</v>
      </c>
      <c r="E4360" s="6">
        <v>0</v>
      </c>
      <c r="F4360" s="6">
        <v>0</v>
      </c>
      <c r="G4360" s="6">
        <v>10</v>
      </c>
      <c r="H4360" s="6" t="s">
        <v>34358</v>
      </c>
      <c r="I4360" s="6">
        <v>527.625</v>
      </c>
      <c r="J4360" s="2">
        <f t="shared" si="68"/>
        <v>43748.772778136576</v>
      </c>
    </row>
    <row r="4361" spans="1:10" x14ac:dyDescent="0.25">
      <c r="A4361" s="7" t="s">
        <v>34359</v>
      </c>
      <c r="B4361" s="8">
        <v>396.875</v>
      </c>
      <c r="C4361" s="8">
        <v>20.478950000000001</v>
      </c>
      <c r="D4361" s="8">
        <v>68</v>
      </c>
      <c r="E4361" s="8">
        <v>0</v>
      </c>
      <c r="F4361" s="8">
        <v>0</v>
      </c>
      <c r="G4361" s="8">
        <v>21</v>
      </c>
      <c r="H4361" s="8" t="s">
        <v>34360</v>
      </c>
      <c r="I4361" s="8">
        <v>527.4375</v>
      </c>
      <c r="J4361" s="3">
        <f t="shared" si="68"/>
        <v>43748.772849490742</v>
      </c>
    </row>
    <row r="4362" spans="1:10" x14ac:dyDescent="0.25">
      <c r="A4362" s="5" t="s">
        <v>34361</v>
      </c>
      <c r="B4362" s="6">
        <v>396.875</v>
      </c>
      <c r="C4362" s="6">
        <v>20.478950000000001</v>
      </c>
      <c r="D4362" s="6">
        <v>68</v>
      </c>
      <c r="E4362" s="6">
        <v>0</v>
      </c>
      <c r="F4362" s="6">
        <v>0</v>
      </c>
      <c r="G4362" s="6">
        <v>17</v>
      </c>
      <c r="H4362" s="6" t="s">
        <v>34362</v>
      </c>
      <c r="I4362" s="6">
        <v>527.4375</v>
      </c>
      <c r="J4362" s="2">
        <f t="shared" si="68"/>
        <v>43748.772944872682</v>
      </c>
    </row>
    <row r="4363" spans="1:10" x14ac:dyDescent="0.25">
      <c r="A4363" s="7" t="s">
        <v>34363</v>
      </c>
      <c r="B4363" s="8">
        <v>400</v>
      </c>
      <c r="C4363" s="8">
        <v>20.478950000000001</v>
      </c>
      <c r="D4363" s="8">
        <v>68</v>
      </c>
      <c r="E4363" s="8">
        <v>0</v>
      </c>
      <c r="F4363" s="8">
        <v>0</v>
      </c>
      <c r="G4363" s="8">
        <v>21</v>
      </c>
      <c r="H4363" s="8" t="s">
        <v>34364</v>
      </c>
      <c r="I4363" s="8">
        <v>528.1875</v>
      </c>
      <c r="J4363" s="3">
        <f t="shared" si="68"/>
        <v>43748.773016377316</v>
      </c>
    </row>
    <row r="4364" spans="1:10" x14ac:dyDescent="0.25">
      <c r="A4364" s="5" t="s">
        <v>34365</v>
      </c>
      <c r="B4364" s="6">
        <v>400</v>
      </c>
      <c r="C4364" s="6">
        <v>20.478950000000001</v>
      </c>
      <c r="D4364" s="6">
        <v>67</v>
      </c>
      <c r="E4364" s="6">
        <v>0</v>
      </c>
      <c r="F4364" s="6">
        <v>0</v>
      </c>
      <c r="G4364" s="6">
        <v>17</v>
      </c>
      <c r="H4364" s="6" t="s">
        <v>34366</v>
      </c>
      <c r="I4364" s="6">
        <v>528.375</v>
      </c>
      <c r="J4364" s="2">
        <f t="shared" si="68"/>
        <v>43748.773099953702</v>
      </c>
    </row>
    <row r="4365" spans="1:10" x14ac:dyDescent="0.25">
      <c r="A4365" s="7" t="s">
        <v>34367</v>
      </c>
      <c r="B4365" s="8">
        <v>396.875</v>
      </c>
      <c r="C4365" s="8">
        <v>20.478950000000001</v>
      </c>
      <c r="D4365" s="8">
        <v>67</v>
      </c>
      <c r="E4365" s="8">
        <v>0</v>
      </c>
      <c r="F4365" s="8">
        <v>0</v>
      </c>
      <c r="G4365" s="8">
        <v>15</v>
      </c>
      <c r="H4365" s="8" t="s">
        <v>34368</v>
      </c>
      <c r="I4365" s="8">
        <v>527.4375</v>
      </c>
      <c r="J4365" s="3">
        <f t="shared" si="68"/>
        <v>43748.773171724533</v>
      </c>
    </row>
    <row r="4366" spans="1:10" x14ac:dyDescent="0.25">
      <c r="A4366" s="5" t="s">
        <v>34369</v>
      </c>
      <c r="B4366" s="6">
        <v>396.875</v>
      </c>
      <c r="C4366" s="6">
        <v>20.478950000000001</v>
      </c>
      <c r="D4366" s="6">
        <v>67</v>
      </c>
      <c r="E4366" s="6">
        <v>0</v>
      </c>
      <c r="F4366" s="6">
        <v>0</v>
      </c>
      <c r="G4366" s="6">
        <v>11</v>
      </c>
      <c r="H4366" s="6" t="s">
        <v>34370</v>
      </c>
      <c r="I4366" s="6">
        <v>527.4375</v>
      </c>
      <c r="J4366" s="2">
        <f t="shared" si="68"/>
        <v>43748.773243009258</v>
      </c>
    </row>
    <row r="4367" spans="1:10" x14ac:dyDescent="0.25">
      <c r="A4367" s="7" t="s">
        <v>34371</v>
      </c>
      <c r="B4367" s="8">
        <v>396.875</v>
      </c>
      <c r="C4367" s="8">
        <v>20.478950000000001</v>
      </c>
      <c r="D4367" s="8">
        <v>66</v>
      </c>
      <c r="E4367" s="8">
        <v>0</v>
      </c>
      <c r="F4367" s="8">
        <v>0</v>
      </c>
      <c r="G4367" s="8">
        <v>24</v>
      </c>
      <c r="H4367" s="8" t="s">
        <v>34372</v>
      </c>
      <c r="I4367" s="8">
        <v>527.4375</v>
      </c>
      <c r="J4367" s="3">
        <f t="shared" si="68"/>
        <v>43748.773314525461</v>
      </c>
    </row>
    <row r="4368" spans="1:10" x14ac:dyDescent="0.25">
      <c r="A4368" s="5" t="s">
        <v>34373</v>
      </c>
      <c r="B4368" s="6">
        <v>396.875</v>
      </c>
      <c r="C4368" s="6">
        <v>20.478950000000001</v>
      </c>
      <c r="D4368" s="6">
        <v>66</v>
      </c>
      <c r="E4368" s="6">
        <v>0</v>
      </c>
      <c r="F4368" s="6">
        <v>0</v>
      </c>
      <c r="G4368" s="6">
        <v>25</v>
      </c>
      <c r="H4368" s="6" t="s">
        <v>34374</v>
      </c>
      <c r="I4368" s="6">
        <v>527.4375</v>
      </c>
      <c r="J4368" s="2">
        <f t="shared" si="68"/>
        <v>43748.773386516201</v>
      </c>
    </row>
    <row r="4369" spans="1:10" x14ac:dyDescent="0.25">
      <c r="A4369" s="7" t="s">
        <v>34375</v>
      </c>
      <c r="B4369" s="8">
        <v>396.875</v>
      </c>
      <c r="C4369" s="8">
        <v>20.478950000000001</v>
      </c>
      <c r="D4369" s="8">
        <v>68</v>
      </c>
      <c r="E4369" s="8">
        <v>0</v>
      </c>
      <c r="F4369" s="8">
        <v>0</v>
      </c>
      <c r="G4369" s="8">
        <v>18</v>
      </c>
      <c r="H4369" s="8" t="s">
        <v>34376</v>
      </c>
      <c r="I4369" s="8">
        <v>527.625</v>
      </c>
      <c r="J4369" s="3">
        <f t="shared" si="68"/>
        <v>43748.773457824071</v>
      </c>
    </row>
    <row r="4370" spans="1:10" x14ac:dyDescent="0.25">
      <c r="A4370" s="5" t="s">
        <v>34377</v>
      </c>
      <c r="B4370" s="6">
        <v>396.875</v>
      </c>
      <c r="C4370" s="6">
        <v>20.478950000000001</v>
      </c>
      <c r="D4370" s="6">
        <v>66</v>
      </c>
      <c r="E4370" s="6">
        <v>0</v>
      </c>
      <c r="F4370" s="6">
        <v>0</v>
      </c>
      <c r="G4370" s="6">
        <v>26</v>
      </c>
      <c r="H4370" s="6" t="s">
        <v>34378</v>
      </c>
      <c r="I4370" s="6">
        <v>527.4375</v>
      </c>
      <c r="J4370" s="2">
        <f t="shared" si="68"/>
        <v>43748.773529108796</v>
      </c>
    </row>
    <row r="4371" spans="1:10" x14ac:dyDescent="0.25">
      <c r="A4371" s="7" t="s">
        <v>34379</v>
      </c>
      <c r="B4371" s="8">
        <v>400</v>
      </c>
      <c r="C4371" s="8">
        <v>20.478950000000001</v>
      </c>
      <c r="D4371" s="8">
        <v>67</v>
      </c>
      <c r="E4371" s="8">
        <v>0</v>
      </c>
      <c r="F4371" s="8">
        <v>0</v>
      </c>
      <c r="G4371" s="8">
        <v>14</v>
      </c>
      <c r="H4371" s="8" t="s">
        <v>34380</v>
      </c>
      <c r="I4371" s="8">
        <v>528.1875</v>
      </c>
      <c r="J4371" s="3">
        <f t="shared" si="68"/>
        <v>43748.773600868059</v>
      </c>
    </row>
    <row r="4372" spans="1:10" x14ac:dyDescent="0.25">
      <c r="A4372" s="5" t="s">
        <v>34381</v>
      </c>
      <c r="B4372" s="6">
        <v>400</v>
      </c>
      <c r="C4372" s="6">
        <v>20.478950000000001</v>
      </c>
      <c r="D4372" s="6">
        <v>67</v>
      </c>
      <c r="E4372" s="6">
        <v>0</v>
      </c>
      <c r="F4372" s="6">
        <v>0</v>
      </c>
      <c r="G4372" s="6">
        <v>21</v>
      </c>
      <c r="H4372" s="6" t="s">
        <v>34382</v>
      </c>
      <c r="I4372" s="6">
        <v>528.1875</v>
      </c>
      <c r="J4372" s="2">
        <f t="shared" si="68"/>
        <v>43748.773672407406</v>
      </c>
    </row>
    <row r="4373" spans="1:10" x14ac:dyDescent="0.25">
      <c r="A4373" s="7" t="s">
        <v>34383</v>
      </c>
      <c r="B4373" s="8">
        <v>400</v>
      </c>
      <c r="C4373" s="8">
        <v>20.478950000000001</v>
      </c>
      <c r="D4373" s="8">
        <v>67</v>
      </c>
      <c r="E4373" s="8">
        <v>0</v>
      </c>
      <c r="F4373" s="8">
        <v>0</v>
      </c>
      <c r="G4373" s="8">
        <v>21</v>
      </c>
      <c r="H4373" s="8" t="s">
        <v>34384</v>
      </c>
      <c r="I4373" s="8">
        <v>528.375</v>
      </c>
      <c r="J4373" s="3">
        <f t="shared" si="68"/>
        <v>43748.773745324077</v>
      </c>
    </row>
    <row r="4374" spans="1:10" x14ac:dyDescent="0.25">
      <c r="A4374" s="5" t="s">
        <v>34385</v>
      </c>
      <c r="B4374" s="6">
        <v>403.125</v>
      </c>
      <c r="C4374" s="6">
        <v>20.478950000000001</v>
      </c>
      <c r="D4374" s="6">
        <v>67</v>
      </c>
      <c r="E4374" s="6">
        <v>0</v>
      </c>
      <c r="F4374" s="6">
        <v>0</v>
      </c>
      <c r="G4374" s="6">
        <v>23</v>
      </c>
      <c r="H4374" s="6" t="s">
        <v>34386</v>
      </c>
      <c r="I4374" s="6">
        <v>529.125</v>
      </c>
      <c r="J4374" s="2">
        <f t="shared" si="68"/>
        <v>43748.773815451386</v>
      </c>
    </row>
    <row r="4375" spans="1:10" x14ac:dyDescent="0.25">
      <c r="A4375" s="7" t="s">
        <v>34387</v>
      </c>
      <c r="B4375" s="8">
        <v>403.125</v>
      </c>
      <c r="C4375" s="8">
        <v>20.478950000000001</v>
      </c>
      <c r="D4375" s="8">
        <v>66</v>
      </c>
      <c r="E4375" s="8">
        <v>0</v>
      </c>
      <c r="F4375" s="8">
        <v>0</v>
      </c>
      <c r="G4375" s="8">
        <v>17</v>
      </c>
      <c r="H4375" s="8" t="s">
        <v>34388</v>
      </c>
      <c r="I4375" s="8">
        <v>529.125</v>
      </c>
      <c r="J4375" s="3">
        <f t="shared" si="68"/>
        <v>43748.773887280091</v>
      </c>
    </row>
    <row r="4376" spans="1:10" x14ac:dyDescent="0.25">
      <c r="A4376" s="5" t="s">
        <v>34389</v>
      </c>
      <c r="B4376" s="6">
        <v>403.125</v>
      </c>
      <c r="C4376" s="6">
        <v>20.478950000000001</v>
      </c>
      <c r="D4376" s="6">
        <v>66</v>
      </c>
      <c r="E4376" s="6">
        <v>0</v>
      </c>
      <c r="F4376" s="6">
        <v>0</v>
      </c>
      <c r="G4376" s="6">
        <v>23</v>
      </c>
      <c r="H4376" s="6" t="s">
        <v>34390</v>
      </c>
      <c r="I4376" s="6">
        <v>529.125</v>
      </c>
      <c r="J4376" s="2">
        <f t="shared" si="68"/>
        <v>43748.773958506943</v>
      </c>
    </row>
    <row r="4377" spans="1:10" x14ac:dyDescent="0.25">
      <c r="A4377" s="7" t="s">
        <v>34391</v>
      </c>
      <c r="B4377" s="8">
        <v>425</v>
      </c>
      <c r="C4377" s="8">
        <v>20.478950000000001</v>
      </c>
      <c r="D4377" s="8">
        <v>66</v>
      </c>
      <c r="E4377" s="8">
        <v>0</v>
      </c>
      <c r="F4377" s="8">
        <v>0</v>
      </c>
      <c r="G4377" s="8">
        <v>16</v>
      </c>
      <c r="H4377" s="8" t="s">
        <v>34392</v>
      </c>
      <c r="I4377" s="8">
        <v>536.8125</v>
      </c>
      <c r="J4377" s="3">
        <f t="shared" si="68"/>
        <v>43748.774030219902</v>
      </c>
    </row>
    <row r="4378" spans="1:10" x14ac:dyDescent="0.25">
      <c r="A4378" s="5" t="s">
        <v>34393</v>
      </c>
      <c r="B4378" s="6">
        <v>403.125</v>
      </c>
      <c r="C4378" s="6">
        <v>20.478950000000001</v>
      </c>
      <c r="D4378" s="6">
        <v>66</v>
      </c>
      <c r="E4378" s="6">
        <v>0</v>
      </c>
      <c r="F4378" s="6">
        <v>0</v>
      </c>
      <c r="G4378" s="6">
        <v>11</v>
      </c>
      <c r="H4378" s="6" t="s">
        <v>34394</v>
      </c>
      <c r="I4378" s="6">
        <v>529.3125</v>
      </c>
      <c r="J4378" s="2">
        <f t="shared" si="68"/>
        <v>43748.774113553234</v>
      </c>
    </row>
    <row r="4379" spans="1:10" x14ac:dyDescent="0.25">
      <c r="A4379" s="7" t="s">
        <v>34395</v>
      </c>
      <c r="B4379" s="8">
        <v>403.125</v>
      </c>
      <c r="C4379" s="8">
        <v>20.478950000000001</v>
      </c>
      <c r="D4379" s="8">
        <v>65</v>
      </c>
      <c r="E4379" s="8">
        <v>0</v>
      </c>
      <c r="F4379" s="8">
        <v>0</v>
      </c>
      <c r="G4379" s="8">
        <v>15</v>
      </c>
      <c r="H4379" s="8" t="s">
        <v>34396</v>
      </c>
      <c r="I4379" s="8">
        <v>529.125</v>
      </c>
      <c r="J4379" s="3">
        <f t="shared" si="68"/>
        <v>43748.774185324073</v>
      </c>
    </row>
    <row r="4380" spans="1:10" x14ac:dyDescent="0.25">
      <c r="A4380" s="5" t="s">
        <v>34397</v>
      </c>
      <c r="B4380" s="6">
        <v>403.125</v>
      </c>
      <c r="C4380" s="6">
        <v>20.478950000000001</v>
      </c>
      <c r="D4380" s="6">
        <v>63</v>
      </c>
      <c r="E4380" s="6">
        <v>0</v>
      </c>
      <c r="F4380" s="6">
        <v>0</v>
      </c>
      <c r="G4380" s="6">
        <v>12</v>
      </c>
      <c r="H4380" s="6" t="s">
        <v>34398</v>
      </c>
      <c r="I4380" s="6">
        <v>529.125</v>
      </c>
      <c r="J4380" s="2">
        <f t="shared" si="68"/>
        <v>43748.774256597222</v>
      </c>
    </row>
    <row r="4381" spans="1:10" x14ac:dyDescent="0.25">
      <c r="A4381" s="7" t="s">
        <v>34399</v>
      </c>
      <c r="B4381" s="8">
        <v>403.125</v>
      </c>
      <c r="C4381" s="8">
        <v>20.478950000000001</v>
      </c>
      <c r="D4381" s="8">
        <v>64</v>
      </c>
      <c r="E4381" s="8">
        <v>0</v>
      </c>
      <c r="F4381" s="8">
        <v>0</v>
      </c>
      <c r="G4381" s="8">
        <v>15</v>
      </c>
      <c r="H4381" s="8" t="s">
        <v>34400</v>
      </c>
      <c r="I4381" s="8">
        <v>529.125</v>
      </c>
      <c r="J4381" s="3">
        <f t="shared" si="68"/>
        <v>43748.774328368054</v>
      </c>
    </row>
    <row r="4382" spans="1:10" x14ac:dyDescent="0.25">
      <c r="A4382" s="5" t="s">
        <v>34401</v>
      </c>
      <c r="B4382" s="6">
        <v>400</v>
      </c>
      <c r="C4382" s="6">
        <v>20.478950000000001</v>
      </c>
      <c r="D4382" s="6">
        <v>64</v>
      </c>
      <c r="E4382" s="6">
        <v>0</v>
      </c>
      <c r="F4382" s="6">
        <v>0</v>
      </c>
      <c r="G4382" s="6">
        <v>11</v>
      </c>
      <c r="H4382" s="6" t="s">
        <v>34402</v>
      </c>
      <c r="I4382" s="6">
        <v>528.375</v>
      </c>
      <c r="J4382" s="2">
        <f t="shared" si="68"/>
        <v>43748.774409467595</v>
      </c>
    </row>
    <row r="4383" spans="1:10" x14ac:dyDescent="0.25">
      <c r="A4383" s="7" t="s">
        <v>34403</v>
      </c>
      <c r="B4383" s="8">
        <v>396.875</v>
      </c>
      <c r="C4383" s="8">
        <v>20.478950000000001</v>
      </c>
      <c r="D4383" s="8">
        <v>67</v>
      </c>
      <c r="E4383" s="8">
        <v>0</v>
      </c>
      <c r="F4383" s="8">
        <v>0</v>
      </c>
      <c r="G4383" s="8">
        <v>20</v>
      </c>
      <c r="H4383" s="8" t="s">
        <v>34404</v>
      </c>
      <c r="I4383" s="8">
        <v>527.4375</v>
      </c>
      <c r="J4383" s="3">
        <f t="shared" si="68"/>
        <v>43748.774483460649</v>
      </c>
    </row>
    <row r="4384" spans="1:10" x14ac:dyDescent="0.25">
      <c r="A4384" s="5" t="s">
        <v>34405</v>
      </c>
      <c r="B4384" s="6">
        <v>415.625</v>
      </c>
      <c r="C4384" s="6">
        <v>20.478950000000001</v>
      </c>
      <c r="D4384" s="6">
        <v>68</v>
      </c>
      <c r="E4384" s="6">
        <v>0</v>
      </c>
      <c r="F4384" s="6">
        <v>0</v>
      </c>
      <c r="G4384" s="6">
        <v>17</v>
      </c>
      <c r="H4384" s="6" t="s">
        <v>34406</v>
      </c>
      <c r="I4384" s="6">
        <v>533.4375</v>
      </c>
      <c r="J4384" s="2">
        <f t="shared" si="68"/>
        <v>43748.774554745367</v>
      </c>
    </row>
    <row r="4385" spans="1:10" x14ac:dyDescent="0.25">
      <c r="A4385" s="7" t="s">
        <v>34407</v>
      </c>
      <c r="B4385" s="8">
        <v>396.875</v>
      </c>
      <c r="C4385" s="8">
        <v>20.478950000000001</v>
      </c>
      <c r="D4385" s="8">
        <v>68</v>
      </c>
      <c r="E4385" s="8">
        <v>0</v>
      </c>
      <c r="F4385" s="8">
        <v>0</v>
      </c>
      <c r="G4385" s="8">
        <v>17</v>
      </c>
      <c r="H4385" s="8" t="s">
        <v>34408</v>
      </c>
      <c r="I4385" s="8">
        <v>527.4375</v>
      </c>
      <c r="J4385" s="3">
        <f t="shared" si="68"/>
        <v>43748.774638113427</v>
      </c>
    </row>
    <row r="4386" spans="1:10" x14ac:dyDescent="0.25">
      <c r="A4386" s="5" t="s">
        <v>34409</v>
      </c>
      <c r="B4386" s="6">
        <v>396.875</v>
      </c>
      <c r="C4386" s="6">
        <v>20.478950000000001</v>
      </c>
      <c r="D4386" s="6">
        <v>68</v>
      </c>
      <c r="E4386" s="6">
        <v>0</v>
      </c>
      <c r="F4386" s="6">
        <v>0</v>
      </c>
      <c r="G4386" s="6">
        <v>19</v>
      </c>
      <c r="H4386" s="6" t="s">
        <v>34410</v>
      </c>
      <c r="I4386" s="6">
        <v>527.4375</v>
      </c>
      <c r="J4386" s="2">
        <f t="shared" si="68"/>
        <v>43748.774709618054</v>
      </c>
    </row>
    <row r="4387" spans="1:10" x14ac:dyDescent="0.25">
      <c r="A4387" s="7" t="s">
        <v>34411</v>
      </c>
      <c r="B4387" s="8">
        <v>393.75</v>
      </c>
      <c r="C4387" s="8">
        <v>20.478950000000001</v>
      </c>
      <c r="D4387" s="8">
        <v>68</v>
      </c>
      <c r="E4387" s="8">
        <v>0</v>
      </c>
      <c r="F4387" s="8">
        <v>0</v>
      </c>
      <c r="G4387" s="8">
        <v>10</v>
      </c>
      <c r="H4387" s="8" t="s">
        <v>34412</v>
      </c>
      <c r="I4387" s="8">
        <v>526.6875</v>
      </c>
      <c r="J4387" s="3">
        <f t="shared" si="68"/>
        <v>43748.77478162037</v>
      </c>
    </row>
    <row r="4388" spans="1:10" x14ac:dyDescent="0.25">
      <c r="A4388" s="5" t="s">
        <v>34413</v>
      </c>
      <c r="B4388" s="6">
        <v>393.75</v>
      </c>
      <c r="C4388" s="6">
        <v>20.531590000000001</v>
      </c>
      <c r="D4388" s="6">
        <v>68</v>
      </c>
      <c r="E4388" s="6">
        <v>0</v>
      </c>
      <c r="F4388" s="6">
        <v>0</v>
      </c>
      <c r="G4388" s="6">
        <v>19</v>
      </c>
      <c r="H4388" s="6" t="s">
        <v>34414</v>
      </c>
      <c r="I4388" s="6">
        <v>526.6875</v>
      </c>
      <c r="J4388" s="2">
        <f t="shared" si="68"/>
        <v>43748.774865196756</v>
      </c>
    </row>
    <row r="4389" spans="1:10" x14ac:dyDescent="0.25">
      <c r="A4389" s="7" t="s">
        <v>34415</v>
      </c>
      <c r="B4389" s="8">
        <v>393.75</v>
      </c>
      <c r="C4389" s="8">
        <v>20.478950000000001</v>
      </c>
      <c r="D4389" s="8">
        <v>68</v>
      </c>
      <c r="E4389" s="8">
        <v>0</v>
      </c>
      <c r="F4389" s="8">
        <v>0</v>
      </c>
      <c r="G4389" s="8">
        <v>15</v>
      </c>
      <c r="H4389" s="8" t="s">
        <v>34416</v>
      </c>
      <c r="I4389" s="8">
        <v>526.6875</v>
      </c>
      <c r="J4389" s="3">
        <f t="shared" si="68"/>
        <v>43748.774936655092</v>
      </c>
    </row>
    <row r="4390" spans="1:10" x14ac:dyDescent="0.25">
      <c r="A4390" s="5" t="s">
        <v>34417</v>
      </c>
      <c r="B4390" s="6">
        <v>393.75</v>
      </c>
      <c r="C4390" s="6">
        <v>20.478950000000001</v>
      </c>
      <c r="D4390" s="6">
        <v>68</v>
      </c>
      <c r="E4390" s="6">
        <v>0</v>
      </c>
      <c r="F4390" s="6">
        <v>0</v>
      </c>
      <c r="G4390" s="6">
        <v>14</v>
      </c>
      <c r="H4390" s="6" t="s">
        <v>34418</v>
      </c>
      <c r="I4390" s="6">
        <v>526.6875</v>
      </c>
      <c r="J4390" s="2">
        <f t="shared" si="68"/>
        <v>43748.775008124998</v>
      </c>
    </row>
    <row r="4391" spans="1:10" x14ac:dyDescent="0.25">
      <c r="A4391" s="7" t="s">
        <v>34419</v>
      </c>
      <c r="B4391" s="8">
        <v>412.5</v>
      </c>
      <c r="C4391" s="8">
        <v>20.478950000000001</v>
      </c>
      <c r="D4391" s="8">
        <v>67</v>
      </c>
      <c r="E4391" s="8">
        <v>0</v>
      </c>
      <c r="F4391" s="8">
        <v>0</v>
      </c>
      <c r="G4391" s="8">
        <v>24</v>
      </c>
      <c r="H4391" s="8" t="s">
        <v>34420</v>
      </c>
      <c r="I4391" s="8">
        <v>532.5</v>
      </c>
      <c r="J4391" s="3">
        <f t="shared" si="68"/>
        <v>43748.775080081017</v>
      </c>
    </row>
    <row r="4392" spans="1:10" x14ac:dyDescent="0.25">
      <c r="A4392" s="5" t="s">
        <v>34421</v>
      </c>
      <c r="B4392" s="6">
        <v>396.875</v>
      </c>
      <c r="C4392" s="6">
        <v>20.531590000000001</v>
      </c>
      <c r="D4392" s="6">
        <v>67</v>
      </c>
      <c r="E4392" s="6">
        <v>0</v>
      </c>
      <c r="F4392" s="6">
        <v>0</v>
      </c>
      <c r="G4392" s="6">
        <v>18</v>
      </c>
      <c r="H4392" s="6" t="s">
        <v>34422</v>
      </c>
      <c r="I4392" s="6">
        <v>527.4375</v>
      </c>
      <c r="J4392" s="2">
        <f t="shared" si="68"/>
        <v>43748.775151064816</v>
      </c>
    </row>
    <row r="4393" spans="1:10" x14ac:dyDescent="0.25">
      <c r="A4393" s="7" t="s">
        <v>34423</v>
      </c>
      <c r="B4393" s="8">
        <v>393.75</v>
      </c>
      <c r="C4393" s="8">
        <v>20.478950000000001</v>
      </c>
      <c r="D4393" s="8">
        <v>67</v>
      </c>
      <c r="E4393" s="8">
        <v>0</v>
      </c>
      <c r="F4393" s="8">
        <v>0</v>
      </c>
      <c r="G4393" s="8">
        <v>18</v>
      </c>
      <c r="H4393" s="8" t="s">
        <v>34424</v>
      </c>
      <c r="I4393" s="8">
        <v>526.5</v>
      </c>
      <c r="J4393" s="3">
        <f t="shared" si="68"/>
        <v>43748.775222824072</v>
      </c>
    </row>
    <row r="4394" spans="1:10" x14ac:dyDescent="0.25">
      <c r="A4394" s="5" t="s">
        <v>34425</v>
      </c>
      <c r="B4394" s="6">
        <v>393.75</v>
      </c>
      <c r="C4394" s="6">
        <v>20.478950000000001</v>
      </c>
      <c r="D4394" s="6">
        <v>67</v>
      </c>
      <c r="E4394" s="6">
        <v>0</v>
      </c>
      <c r="F4394" s="6">
        <v>0</v>
      </c>
      <c r="G4394" s="6">
        <v>18</v>
      </c>
      <c r="H4394" s="6" t="s">
        <v>34426</v>
      </c>
      <c r="I4394" s="6">
        <v>526.6875</v>
      </c>
      <c r="J4394" s="2">
        <f t="shared" si="68"/>
        <v>43748.775294340274</v>
      </c>
    </row>
    <row r="4395" spans="1:10" x14ac:dyDescent="0.25">
      <c r="A4395" s="7" t="s">
        <v>34427</v>
      </c>
      <c r="B4395" s="8">
        <v>393.75</v>
      </c>
      <c r="C4395" s="8">
        <v>20.478950000000001</v>
      </c>
      <c r="D4395" s="8">
        <v>67</v>
      </c>
      <c r="E4395" s="8">
        <v>0</v>
      </c>
      <c r="F4395" s="8">
        <v>0</v>
      </c>
      <c r="G4395" s="8">
        <v>15</v>
      </c>
      <c r="H4395" s="8" t="s">
        <v>34428</v>
      </c>
      <c r="I4395" s="8">
        <v>526.6875</v>
      </c>
      <c r="J4395" s="3">
        <f t="shared" si="68"/>
        <v>43748.775365891204</v>
      </c>
    </row>
    <row r="4396" spans="1:10" x14ac:dyDescent="0.25">
      <c r="A4396" s="5" t="s">
        <v>34429</v>
      </c>
      <c r="B4396" s="6">
        <v>396.875</v>
      </c>
      <c r="C4396" s="6">
        <v>20.478950000000001</v>
      </c>
      <c r="D4396" s="6">
        <v>67</v>
      </c>
      <c r="E4396" s="6">
        <v>0</v>
      </c>
      <c r="F4396" s="6">
        <v>0</v>
      </c>
      <c r="G4396" s="6">
        <v>18</v>
      </c>
      <c r="H4396" s="6" t="s">
        <v>34430</v>
      </c>
      <c r="I4396" s="6">
        <v>527.4375</v>
      </c>
      <c r="J4396" s="2">
        <f t="shared" si="68"/>
        <v>43748.775443240738</v>
      </c>
    </row>
    <row r="4397" spans="1:10" x14ac:dyDescent="0.25">
      <c r="A4397" s="7" t="s">
        <v>34431</v>
      </c>
      <c r="B4397" s="8">
        <v>396.875</v>
      </c>
      <c r="C4397" s="8">
        <v>20.478950000000001</v>
      </c>
      <c r="D4397" s="8">
        <v>67</v>
      </c>
      <c r="E4397" s="8">
        <v>0</v>
      </c>
      <c r="F4397" s="8">
        <v>0</v>
      </c>
      <c r="G4397" s="8">
        <v>18</v>
      </c>
      <c r="H4397" s="8" t="s">
        <v>34432</v>
      </c>
      <c r="I4397" s="8">
        <v>527.4375</v>
      </c>
      <c r="J4397" s="3">
        <f t="shared" si="68"/>
        <v>43748.775520856478</v>
      </c>
    </row>
    <row r="4398" spans="1:10" x14ac:dyDescent="0.25">
      <c r="A4398" s="5" t="s">
        <v>34433</v>
      </c>
      <c r="B4398" s="6">
        <v>396.875</v>
      </c>
      <c r="C4398" s="6">
        <v>20.478950000000001</v>
      </c>
      <c r="D4398" s="6">
        <v>66</v>
      </c>
      <c r="E4398" s="6">
        <v>0</v>
      </c>
      <c r="F4398" s="6">
        <v>0</v>
      </c>
      <c r="G4398" s="6">
        <v>19</v>
      </c>
      <c r="H4398" s="6" t="s">
        <v>34434</v>
      </c>
      <c r="I4398" s="6">
        <v>527.4375</v>
      </c>
      <c r="J4398" s="2">
        <f t="shared" si="68"/>
        <v>43748.775604374998</v>
      </c>
    </row>
    <row r="4399" spans="1:10" x14ac:dyDescent="0.25">
      <c r="A4399" s="7" t="s">
        <v>34435</v>
      </c>
      <c r="B4399" s="8">
        <v>396.875</v>
      </c>
      <c r="C4399" s="8">
        <v>20.478950000000001</v>
      </c>
      <c r="D4399" s="8">
        <v>67</v>
      </c>
      <c r="E4399" s="8">
        <v>0</v>
      </c>
      <c r="F4399" s="8">
        <v>0</v>
      </c>
      <c r="G4399" s="8">
        <v>17</v>
      </c>
      <c r="H4399" s="8" t="s">
        <v>34436</v>
      </c>
      <c r="I4399" s="8">
        <v>527.4375</v>
      </c>
      <c r="J4399" s="3">
        <f t="shared" si="68"/>
        <v>43748.775676296289</v>
      </c>
    </row>
    <row r="4400" spans="1:10" x14ac:dyDescent="0.25">
      <c r="A4400" s="5" t="s">
        <v>34437</v>
      </c>
      <c r="B4400" s="6">
        <v>396.875</v>
      </c>
      <c r="C4400" s="6">
        <v>20.478950000000001</v>
      </c>
      <c r="D4400" s="6">
        <v>67</v>
      </c>
      <c r="E4400" s="6">
        <v>0</v>
      </c>
      <c r="F4400" s="6">
        <v>0</v>
      </c>
      <c r="G4400" s="6">
        <v>17</v>
      </c>
      <c r="H4400" s="6" t="s">
        <v>34438</v>
      </c>
      <c r="I4400" s="6">
        <v>527.4375</v>
      </c>
      <c r="J4400" s="2">
        <f t="shared" si="68"/>
        <v>43748.77574759259</v>
      </c>
    </row>
    <row r="4401" spans="1:10" x14ac:dyDescent="0.25">
      <c r="A4401" s="7" t="s">
        <v>34439</v>
      </c>
      <c r="B4401" s="8">
        <v>396.875</v>
      </c>
      <c r="C4401" s="8">
        <v>20.478950000000001</v>
      </c>
      <c r="D4401" s="8">
        <v>68</v>
      </c>
      <c r="E4401" s="8">
        <v>0</v>
      </c>
      <c r="F4401" s="8">
        <v>0</v>
      </c>
      <c r="G4401" s="8">
        <v>17</v>
      </c>
      <c r="H4401" s="8" t="s">
        <v>34440</v>
      </c>
      <c r="I4401" s="8">
        <v>527.625</v>
      </c>
      <c r="J4401" s="3">
        <f t="shared" si="68"/>
        <v>43748.775819097216</v>
      </c>
    </row>
    <row r="4402" spans="1:10" x14ac:dyDescent="0.25">
      <c r="A4402" s="5" t="s">
        <v>34441</v>
      </c>
      <c r="B4402" s="6">
        <v>418.75</v>
      </c>
      <c r="C4402" s="6">
        <v>20.478950000000001</v>
      </c>
      <c r="D4402" s="6">
        <v>69</v>
      </c>
      <c r="E4402" s="6">
        <v>0</v>
      </c>
      <c r="F4402" s="6">
        <v>0</v>
      </c>
      <c r="G4402" s="6">
        <v>22</v>
      </c>
      <c r="H4402" s="6" t="s">
        <v>34442</v>
      </c>
      <c r="I4402" s="6">
        <v>534</v>
      </c>
      <c r="J4402" s="2">
        <f t="shared" si="68"/>
        <v>43748.775902511574</v>
      </c>
    </row>
    <row r="4403" spans="1:10" x14ac:dyDescent="0.25">
      <c r="A4403" s="7" t="s">
        <v>34443</v>
      </c>
      <c r="B4403" s="8">
        <v>396.875</v>
      </c>
      <c r="C4403" s="8">
        <v>20.478950000000001</v>
      </c>
      <c r="D4403" s="8">
        <v>69</v>
      </c>
      <c r="E4403" s="8">
        <v>0</v>
      </c>
      <c r="F4403" s="8">
        <v>0</v>
      </c>
      <c r="G4403" s="8">
        <v>13</v>
      </c>
      <c r="H4403" s="8" t="s">
        <v>34444</v>
      </c>
      <c r="I4403" s="8">
        <v>527.4375</v>
      </c>
      <c r="J4403" s="3">
        <f t="shared" si="68"/>
        <v>43748.775974513883</v>
      </c>
    </row>
    <row r="4404" spans="1:10" x14ac:dyDescent="0.25">
      <c r="A4404" s="5" t="s">
        <v>34445</v>
      </c>
      <c r="B4404" s="6">
        <v>400</v>
      </c>
      <c r="C4404" s="6">
        <v>20.478950000000001</v>
      </c>
      <c r="D4404" s="6">
        <v>69</v>
      </c>
      <c r="E4404" s="6">
        <v>0</v>
      </c>
      <c r="F4404" s="6">
        <v>0</v>
      </c>
      <c r="G4404" s="6">
        <v>15</v>
      </c>
      <c r="H4404" s="6" t="s">
        <v>34446</v>
      </c>
      <c r="I4404" s="6">
        <v>528.1875</v>
      </c>
      <c r="J4404" s="2">
        <f t="shared" si="68"/>
        <v>43748.776045752311</v>
      </c>
    </row>
    <row r="4405" spans="1:10" x14ac:dyDescent="0.25">
      <c r="A4405" s="7" t="s">
        <v>34447</v>
      </c>
      <c r="B4405" s="8">
        <v>400</v>
      </c>
      <c r="C4405" s="8">
        <v>20.478950000000001</v>
      </c>
      <c r="D4405" s="8">
        <v>69</v>
      </c>
      <c r="E4405" s="8">
        <v>0</v>
      </c>
      <c r="F4405" s="8">
        <v>0</v>
      </c>
      <c r="G4405" s="8">
        <v>14</v>
      </c>
      <c r="H4405" s="8" t="s">
        <v>34448</v>
      </c>
      <c r="I4405" s="8">
        <v>528.1875</v>
      </c>
      <c r="J4405" s="3">
        <f t="shared" si="68"/>
        <v>43748.776117083333</v>
      </c>
    </row>
    <row r="4406" spans="1:10" x14ac:dyDescent="0.25">
      <c r="A4406" s="5" t="s">
        <v>34449</v>
      </c>
      <c r="B4406" s="6">
        <v>403.125</v>
      </c>
      <c r="C4406" s="6">
        <v>20.478950000000001</v>
      </c>
      <c r="D4406" s="6">
        <v>69</v>
      </c>
      <c r="E4406" s="6">
        <v>0</v>
      </c>
      <c r="F4406" s="6">
        <v>0</v>
      </c>
      <c r="G4406" s="6">
        <v>13</v>
      </c>
      <c r="H4406" s="6" t="s">
        <v>34450</v>
      </c>
      <c r="I4406" s="6">
        <v>529.125</v>
      </c>
      <c r="J4406" s="2">
        <f t="shared" si="68"/>
        <v>43748.776188981479</v>
      </c>
    </row>
    <row r="4407" spans="1:10" x14ac:dyDescent="0.25">
      <c r="A4407" s="7" t="s">
        <v>34451</v>
      </c>
      <c r="B4407" s="8">
        <v>403.125</v>
      </c>
      <c r="C4407" s="8">
        <v>20.478950000000001</v>
      </c>
      <c r="D4407" s="8">
        <v>70</v>
      </c>
      <c r="E4407" s="8">
        <v>0</v>
      </c>
      <c r="F4407" s="8">
        <v>0</v>
      </c>
      <c r="G4407" s="8">
        <v>11</v>
      </c>
      <c r="H4407" s="8" t="s">
        <v>34452</v>
      </c>
      <c r="I4407" s="8">
        <v>529.875</v>
      </c>
      <c r="J4407" s="3">
        <f t="shared" si="68"/>
        <v>43748.776260439809</v>
      </c>
    </row>
    <row r="4408" spans="1:10" x14ac:dyDescent="0.25">
      <c r="A4408" s="5" t="s">
        <v>34453</v>
      </c>
      <c r="B4408" s="6">
        <v>403.125</v>
      </c>
      <c r="C4408" s="6">
        <v>20.478950000000001</v>
      </c>
      <c r="D4408" s="6">
        <v>69</v>
      </c>
      <c r="E4408" s="6">
        <v>0</v>
      </c>
      <c r="F4408" s="6">
        <v>0</v>
      </c>
      <c r="G4408" s="6">
        <v>9</v>
      </c>
      <c r="H4408" s="6" t="s">
        <v>34454</v>
      </c>
      <c r="I4408" s="6">
        <v>529.875</v>
      </c>
      <c r="J4408" s="2">
        <f t="shared" si="68"/>
        <v>43748.776332013884</v>
      </c>
    </row>
    <row r="4409" spans="1:10" x14ac:dyDescent="0.25">
      <c r="A4409" s="7" t="s">
        <v>34455</v>
      </c>
      <c r="B4409" s="8">
        <v>406.25</v>
      </c>
      <c r="C4409" s="8">
        <v>20.478950000000001</v>
      </c>
      <c r="D4409" s="8">
        <v>68</v>
      </c>
      <c r="E4409" s="8">
        <v>0</v>
      </c>
      <c r="F4409" s="8">
        <v>0</v>
      </c>
      <c r="G4409" s="8">
        <v>11</v>
      </c>
      <c r="H4409" s="8" t="s">
        <v>34456</v>
      </c>
      <c r="I4409" s="8">
        <v>530.625</v>
      </c>
      <c r="J4409" s="3">
        <f t="shared" si="68"/>
        <v>43748.776415289351</v>
      </c>
    </row>
    <row r="4410" spans="1:10" x14ac:dyDescent="0.25">
      <c r="A4410" s="5" t="s">
        <v>34457</v>
      </c>
      <c r="B4410" s="6">
        <v>406.25</v>
      </c>
      <c r="C4410" s="6">
        <v>20.478950000000001</v>
      </c>
      <c r="D4410" s="6">
        <v>69</v>
      </c>
      <c r="E4410" s="6">
        <v>0</v>
      </c>
      <c r="F4410" s="6">
        <v>0</v>
      </c>
      <c r="G4410" s="6">
        <v>10</v>
      </c>
      <c r="H4410" s="6" t="s">
        <v>34458</v>
      </c>
      <c r="I4410" s="6">
        <v>530.8125</v>
      </c>
      <c r="J4410" s="2">
        <f t="shared" si="68"/>
        <v>43748.776486956012</v>
      </c>
    </row>
    <row r="4411" spans="1:10" x14ac:dyDescent="0.25">
      <c r="A4411" s="7" t="s">
        <v>34459</v>
      </c>
      <c r="B4411" s="8">
        <v>406.25</v>
      </c>
      <c r="C4411" s="8">
        <v>20.531590000000001</v>
      </c>
      <c r="D4411" s="8">
        <v>69</v>
      </c>
      <c r="E4411" s="8">
        <v>0</v>
      </c>
      <c r="F4411" s="8">
        <v>0</v>
      </c>
      <c r="G4411" s="8">
        <v>16</v>
      </c>
      <c r="H4411" s="8" t="s">
        <v>34460</v>
      </c>
      <c r="I4411" s="8">
        <v>530.625</v>
      </c>
      <c r="J4411" s="3">
        <f t="shared" si="68"/>
        <v>43748.776558715275</v>
      </c>
    </row>
    <row r="4412" spans="1:10" x14ac:dyDescent="0.25">
      <c r="A4412" s="5" t="s">
        <v>34461</v>
      </c>
      <c r="B4412" s="6">
        <v>403.125</v>
      </c>
      <c r="C4412" s="6">
        <v>20.478950000000001</v>
      </c>
      <c r="D4412" s="6">
        <v>70</v>
      </c>
      <c r="E4412" s="6">
        <v>0</v>
      </c>
      <c r="F4412" s="6">
        <v>0</v>
      </c>
      <c r="G4412" s="6">
        <v>19</v>
      </c>
      <c r="H4412" s="6" t="s">
        <v>34462</v>
      </c>
      <c r="I4412" s="6">
        <v>529.875</v>
      </c>
      <c r="J4412" s="2">
        <f t="shared" si="68"/>
        <v>43748.776629988424</v>
      </c>
    </row>
    <row r="4413" spans="1:10" x14ac:dyDescent="0.25">
      <c r="A4413" s="7" t="s">
        <v>34463</v>
      </c>
      <c r="B4413" s="8">
        <v>403.125</v>
      </c>
      <c r="C4413" s="8">
        <v>20.478950000000001</v>
      </c>
      <c r="D4413" s="8">
        <v>70</v>
      </c>
      <c r="E4413" s="8">
        <v>0</v>
      </c>
      <c r="F4413" s="8">
        <v>0</v>
      </c>
      <c r="G4413" s="8">
        <v>23</v>
      </c>
      <c r="H4413" s="8" t="s">
        <v>34464</v>
      </c>
      <c r="I4413" s="8">
        <v>529.125</v>
      </c>
      <c r="J4413" s="3">
        <f t="shared" si="68"/>
        <v>43748.776701631941</v>
      </c>
    </row>
    <row r="4414" spans="1:10" x14ac:dyDescent="0.25">
      <c r="A4414" s="5" t="s">
        <v>34465</v>
      </c>
      <c r="B4414" s="6">
        <v>403.125</v>
      </c>
      <c r="C4414" s="6">
        <v>20.478950000000001</v>
      </c>
      <c r="D4414" s="6">
        <v>69</v>
      </c>
      <c r="E4414" s="6">
        <v>0</v>
      </c>
      <c r="F4414" s="6">
        <v>0</v>
      </c>
      <c r="G4414" s="6">
        <v>20</v>
      </c>
      <c r="H4414" s="6" t="s">
        <v>34466</v>
      </c>
      <c r="I4414" s="6">
        <v>529.125</v>
      </c>
      <c r="J4414" s="2">
        <f t="shared" si="68"/>
        <v>43748.776772997684</v>
      </c>
    </row>
    <row r="4415" spans="1:10" x14ac:dyDescent="0.25">
      <c r="A4415" s="7" t="s">
        <v>34467</v>
      </c>
      <c r="B4415" s="8">
        <v>396.875</v>
      </c>
      <c r="C4415" s="8">
        <v>20.478950000000001</v>
      </c>
      <c r="D4415" s="8">
        <v>70</v>
      </c>
      <c r="E4415" s="8">
        <v>0</v>
      </c>
      <c r="F4415" s="8">
        <v>0</v>
      </c>
      <c r="G4415" s="8">
        <v>20</v>
      </c>
      <c r="H4415" s="8" t="s">
        <v>34468</v>
      </c>
      <c r="I4415" s="8">
        <v>527.4375</v>
      </c>
      <c r="J4415" s="3">
        <f t="shared" si="68"/>
        <v>43748.776844571759</v>
      </c>
    </row>
    <row r="4416" spans="1:10" x14ac:dyDescent="0.25">
      <c r="A4416" s="5" t="s">
        <v>34469</v>
      </c>
      <c r="B4416" s="6">
        <v>396.875</v>
      </c>
      <c r="C4416" s="6">
        <v>20.478950000000001</v>
      </c>
      <c r="D4416" s="6">
        <v>67</v>
      </c>
      <c r="E4416" s="6">
        <v>0</v>
      </c>
      <c r="F4416" s="6">
        <v>0</v>
      </c>
      <c r="G4416" s="6">
        <v>22</v>
      </c>
      <c r="H4416" s="6" t="s">
        <v>34470</v>
      </c>
      <c r="I4416" s="6">
        <v>527.4375</v>
      </c>
      <c r="J4416" s="2">
        <f t="shared" si="68"/>
        <v>43748.776916296294</v>
      </c>
    </row>
    <row r="4417" spans="1:10" x14ac:dyDescent="0.25">
      <c r="A4417" s="7" t="s">
        <v>34471</v>
      </c>
      <c r="B4417" s="8">
        <v>396.875</v>
      </c>
      <c r="C4417" s="8">
        <v>20.531590000000001</v>
      </c>
      <c r="D4417" s="8">
        <v>67</v>
      </c>
      <c r="E4417" s="8">
        <v>0</v>
      </c>
      <c r="F4417" s="8">
        <v>0</v>
      </c>
      <c r="G4417" s="8">
        <v>13</v>
      </c>
      <c r="H4417" s="8" t="s">
        <v>34472</v>
      </c>
      <c r="I4417" s="8">
        <v>527.4375</v>
      </c>
      <c r="J4417" s="3">
        <f t="shared" si="68"/>
        <v>43748.776988287034</v>
      </c>
    </row>
    <row r="4418" spans="1:10" x14ac:dyDescent="0.25">
      <c r="A4418" s="5" t="s">
        <v>34473</v>
      </c>
      <c r="B4418" s="6">
        <v>415.625</v>
      </c>
      <c r="C4418" s="6">
        <v>20.478950000000001</v>
      </c>
      <c r="D4418" s="6">
        <v>68</v>
      </c>
      <c r="E4418" s="6">
        <v>0</v>
      </c>
      <c r="F4418" s="6">
        <v>0</v>
      </c>
      <c r="G4418" s="6">
        <v>18</v>
      </c>
      <c r="H4418" s="6" t="s">
        <v>34474</v>
      </c>
      <c r="I4418" s="6">
        <v>533.0625</v>
      </c>
      <c r="J4418" s="2">
        <f t="shared" ref="J4418:J4481" si="69">(H4418/86400000)+25569+(7/24)</f>
        <v>43748.777073148151</v>
      </c>
    </row>
    <row r="4419" spans="1:10" x14ac:dyDescent="0.25">
      <c r="A4419" s="7" t="s">
        <v>34475</v>
      </c>
      <c r="B4419" s="8">
        <v>396.875</v>
      </c>
      <c r="C4419" s="8">
        <v>20.478950000000001</v>
      </c>
      <c r="D4419" s="8">
        <v>68</v>
      </c>
      <c r="E4419" s="8">
        <v>0</v>
      </c>
      <c r="F4419" s="8">
        <v>0</v>
      </c>
      <c r="G4419" s="8">
        <v>17</v>
      </c>
      <c r="H4419" s="8" t="s">
        <v>34476</v>
      </c>
      <c r="I4419" s="8">
        <v>527.4375</v>
      </c>
      <c r="J4419" s="3">
        <f t="shared" si="69"/>
        <v>43748.777142824074</v>
      </c>
    </row>
    <row r="4420" spans="1:10" x14ac:dyDescent="0.25">
      <c r="A4420" s="5" t="s">
        <v>34477</v>
      </c>
      <c r="B4420" s="6">
        <v>396.875</v>
      </c>
      <c r="C4420" s="6">
        <v>20.478950000000001</v>
      </c>
      <c r="D4420" s="6">
        <v>68</v>
      </c>
      <c r="E4420" s="6">
        <v>0</v>
      </c>
      <c r="F4420" s="6">
        <v>0</v>
      </c>
      <c r="G4420" s="6">
        <v>10</v>
      </c>
      <c r="H4420" s="6" t="s">
        <v>34478</v>
      </c>
      <c r="I4420" s="6">
        <v>527.4375</v>
      </c>
      <c r="J4420" s="2">
        <f t="shared" si="69"/>
        <v>43748.777214004622</v>
      </c>
    </row>
    <row r="4421" spans="1:10" x14ac:dyDescent="0.25">
      <c r="A4421" s="7" t="s">
        <v>34479</v>
      </c>
      <c r="B4421" s="8">
        <v>396.875</v>
      </c>
      <c r="C4421" s="8">
        <v>20.478950000000001</v>
      </c>
      <c r="D4421" s="8">
        <v>69</v>
      </c>
      <c r="E4421" s="8">
        <v>0</v>
      </c>
      <c r="F4421" s="8">
        <v>0</v>
      </c>
      <c r="G4421" s="8">
        <v>17</v>
      </c>
      <c r="H4421" s="8" t="s">
        <v>34480</v>
      </c>
      <c r="I4421" s="8">
        <v>527.4375</v>
      </c>
      <c r="J4421" s="3">
        <f t="shared" si="69"/>
        <v>43748.77728628472</v>
      </c>
    </row>
    <row r="4422" spans="1:10" x14ac:dyDescent="0.25">
      <c r="A4422" s="5" t="s">
        <v>34481</v>
      </c>
      <c r="B4422" s="6">
        <v>393.75</v>
      </c>
      <c r="C4422" s="6">
        <v>20.478950000000001</v>
      </c>
      <c r="D4422" s="6">
        <v>68</v>
      </c>
      <c r="E4422" s="6">
        <v>0</v>
      </c>
      <c r="F4422" s="6">
        <v>0</v>
      </c>
      <c r="G4422" s="6">
        <v>25</v>
      </c>
      <c r="H4422" s="6" t="s">
        <v>34482</v>
      </c>
      <c r="I4422" s="6">
        <v>526.5</v>
      </c>
      <c r="J4422" s="2">
        <f t="shared" si="69"/>
        <v>43748.777357523148</v>
      </c>
    </row>
    <row r="4423" spans="1:10" x14ac:dyDescent="0.25">
      <c r="A4423" s="7" t="s">
        <v>34483</v>
      </c>
      <c r="B4423" s="8">
        <v>393.75</v>
      </c>
      <c r="C4423" s="8">
        <v>20.478950000000001</v>
      </c>
      <c r="D4423" s="8">
        <v>68</v>
      </c>
      <c r="E4423" s="8">
        <v>0</v>
      </c>
      <c r="F4423" s="8">
        <v>0</v>
      </c>
      <c r="G4423" s="8">
        <v>11</v>
      </c>
      <c r="H4423" s="8" t="s">
        <v>34484</v>
      </c>
      <c r="I4423" s="8">
        <v>526.6875</v>
      </c>
      <c r="J4423" s="3">
        <f t="shared" si="69"/>
        <v>43748.777429282403</v>
      </c>
    </row>
    <row r="4424" spans="1:10" x14ac:dyDescent="0.25">
      <c r="A4424" s="5" t="s">
        <v>34485</v>
      </c>
      <c r="B4424" s="6">
        <v>393.75</v>
      </c>
      <c r="C4424" s="6">
        <v>20.478950000000001</v>
      </c>
      <c r="D4424" s="6">
        <v>69</v>
      </c>
      <c r="E4424" s="6">
        <v>0</v>
      </c>
      <c r="F4424" s="6">
        <v>0</v>
      </c>
      <c r="G4424" s="6">
        <v>14</v>
      </c>
      <c r="H4424" s="6" t="s">
        <v>34486</v>
      </c>
      <c r="I4424" s="6">
        <v>526.6875</v>
      </c>
      <c r="J4424" s="2">
        <f t="shared" si="69"/>
        <v>43748.777500995369</v>
      </c>
    </row>
    <row r="4425" spans="1:10" x14ac:dyDescent="0.25">
      <c r="A4425" s="7" t="s">
        <v>34487</v>
      </c>
      <c r="B4425" s="8">
        <v>393.75</v>
      </c>
      <c r="C4425" s="8">
        <v>20.478950000000001</v>
      </c>
      <c r="D4425" s="8">
        <v>69</v>
      </c>
      <c r="E4425" s="8">
        <v>0</v>
      </c>
      <c r="F4425" s="8">
        <v>0</v>
      </c>
      <c r="G4425" s="8">
        <v>13</v>
      </c>
      <c r="H4425" s="8" t="s">
        <v>34488</v>
      </c>
      <c r="I4425" s="8">
        <v>526.6875</v>
      </c>
      <c r="J4425" s="3">
        <f t="shared" si="69"/>
        <v>43748.77757233796</v>
      </c>
    </row>
    <row r="4426" spans="1:10" x14ac:dyDescent="0.25">
      <c r="A4426" s="5" t="s">
        <v>34489</v>
      </c>
      <c r="B4426" s="6">
        <v>393.75</v>
      </c>
      <c r="C4426" s="6">
        <v>20.478950000000001</v>
      </c>
      <c r="D4426" s="6">
        <v>69</v>
      </c>
      <c r="E4426" s="6">
        <v>0</v>
      </c>
      <c r="F4426" s="6">
        <v>0</v>
      </c>
      <c r="G4426" s="6">
        <v>20</v>
      </c>
      <c r="H4426" s="6" t="s">
        <v>34490</v>
      </c>
      <c r="I4426" s="6">
        <v>526.6875</v>
      </c>
      <c r="J4426" s="2">
        <f t="shared" si="69"/>
        <v>43748.777643692127</v>
      </c>
    </row>
    <row r="4427" spans="1:10" x14ac:dyDescent="0.25">
      <c r="A4427" s="7" t="s">
        <v>34491</v>
      </c>
      <c r="B4427" s="8">
        <v>393.75</v>
      </c>
      <c r="C4427" s="8">
        <v>20.478950000000001</v>
      </c>
      <c r="D4427" s="8">
        <v>69</v>
      </c>
      <c r="E4427" s="8">
        <v>0</v>
      </c>
      <c r="F4427" s="8">
        <v>0</v>
      </c>
      <c r="G4427" s="8">
        <v>9</v>
      </c>
      <c r="H4427" s="8" t="s">
        <v>34492</v>
      </c>
      <c r="I4427" s="8">
        <v>526.6875</v>
      </c>
      <c r="J4427" s="3">
        <f t="shared" si="69"/>
        <v>43748.777715462966</v>
      </c>
    </row>
    <row r="4428" spans="1:10" x14ac:dyDescent="0.25">
      <c r="A4428" s="5" t="s">
        <v>34493</v>
      </c>
      <c r="B4428" s="6">
        <v>393.75</v>
      </c>
      <c r="C4428" s="6">
        <v>20.478950000000001</v>
      </c>
      <c r="D4428" s="6">
        <v>70</v>
      </c>
      <c r="E4428" s="6">
        <v>0</v>
      </c>
      <c r="F4428" s="6">
        <v>0</v>
      </c>
      <c r="G4428" s="6">
        <v>16</v>
      </c>
      <c r="H4428" s="6" t="s">
        <v>34494</v>
      </c>
      <c r="I4428" s="6">
        <v>526.6875</v>
      </c>
      <c r="J4428" s="2">
        <f t="shared" si="69"/>
        <v>43748.777787222221</v>
      </c>
    </row>
    <row r="4429" spans="1:10" x14ac:dyDescent="0.25">
      <c r="A4429" s="7" t="s">
        <v>34495</v>
      </c>
      <c r="B4429" s="8">
        <v>393.75</v>
      </c>
      <c r="C4429" s="8">
        <v>20.478950000000001</v>
      </c>
      <c r="D4429" s="8">
        <v>70</v>
      </c>
      <c r="E4429" s="8">
        <v>0</v>
      </c>
      <c r="F4429" s="8">
        <v>0</v>
      </c>
      <c r="G4429" s="8">
        <v>20</v>
      </c>
      <c r="H4429" s="8" t="s">
        <v>34496</v>
      </c>
      <c r="I4429" s="8">
        <v>526.6875</v>
      </c>
      <c r="J4429" s="3">
        <f t="shared" si="69"/>
        <v>43748.777858564812</v>
      </c>
    </row>
    <row r="4430" spans="1:10" x14ac:dyDescent="0.25">
      <c r="A4430" s="5" t="s">
        <v>34497</v>
      </c>
      <c r="B4430" s="6">
        <v>412.5</v>
      </c>
      <c r="C4430" s="6">
        <v>20.478950000000001</v>
      </c>
      <c r="D4430" s="6">
        <v>70</v>
      </c>
      <c r="E4430" s="6">
        <v>0</v>
      </c>
      <c r="F4430" s="6">
        <v>0</v>
      </c>
      <c r="G4430" s="6">
        <v>11</v>
      </c>
      <c r="H4430" s="6" t="s">
        <v>34498</v>
      </c>
      <c r="I4430" s="6">
        <v>532.3125</v>
      </c>
      <c r="J4430" s="2">
        <f t="shared" si="69"/>
        <v>43748.77793005787</v>
      </c>
    </row>
    <row r="4431" spans="1:10" x14ac:dyDescent="0.25">
      <c r="A4431" s="7" t="s">
        <v>34499</v>
      </c>
      <c r="B4431" s="8">
        <v>393.75</v>
      </c>
      <c r="C4431" s="8">
        <v>20.478950000000001</v>
      </c>
      <c r="D4431" s="8">
        <v>70</v>
      </c>
      <c r="E4431" s="8">
        <v>0</v>
      </c>
      <c r="F4431" s="8">
        <v>0</v>
      </c>
      <c r="G4431" s="8">
        <v>5</v>
      </c>
      <c r="H4431" s="8" t="s">
        <v>34500</v>
      </c>
      <c r="I4431" s="8">
        <v>526.6875</v>
      </c>
      <c r="J4431" s="3">
        <f t="shared" si="69"/>
        <v>43748.778001215273</v>
      </c>
    </row>
    <row r="4432" spans="1:10" x14ac:dyDescent="0.25">
      <c r="A4432" s="5" t="s">
        <v>34501</v>
      </c>
      <c r="B4432" s="6">
        <v>393.75</v>
      </c>
      <c r="C4432" s="6">
        <v>20.478950000000001</v>
      </c>
      <c r="D4432" s="6">
        <v>70</v>
      </c>
      <c r="E4432" s="6">
        <v>0</v>
      </c>
      <c r="F4432" s="6">
        <v>0</v>
      </c>
      <c r="G4432" s="6">
        <v>17</v>
      </c>
      <c r="H4432" s="6" t="s">
        <v>34502</v>
      </c>
      <c r="I4432" s="6">
        <v>526.5</v>
      </c>
      <c r="J4432" s="2">
        <f t="shared" si="69"/>
        <v>43748.778073217589</v>
      </c>
    </row>
    <row r="4433" spans="1:10" x14ac:dyDescent="0.25">
      <c r="A4433" s="7" t="s">
        <v>34503</v>
      </c>
      <c r="B4433" s="8">
        <v>393.75</v>
      </c>
      <c r="C4433" s="8">
        <v>20.478950000000001</v>
      </c>
      <c r="D4433" s="8">
        <v>70</v>
      </c>
      <c r="E4433" s="8">
        <v>0</v>
      </c>
      <c r="F4433" s="8">
        <v>0</v>
      </c>
      <c r="G4433" s="8">
        <v>20</v>
      </c>
      <c r="H4433" s="8" t="s">
        <v>34504</v>
      </c>
      <c r="I4433" s="8">
        <v>526.6875</v>
      </c>
      <c r="J4433" s="3">
        <f t="shared" si="69"/>
        <v>43748.778144733798</v>
      </c>
    </row>
    <row r="4434" spans="1:10" x14ac:dyDescent="0.25">
      <c r="A4434" s="5" t="s">
        <v>34505</v>
      </c>
      <c r="B4434" s="6">
        <v>437.5</v>
      </c>
      <c r="C4434" s="6">
        <v>20.478950000000001</v>
      </c>
      <c r="D4434" s="6">
        <v>70</v>
      </c>
      <c r="E4434" s="6">
        <v>0</v>
      </c>
      <c r="F4434" s="6">
        <v>0</v>
      </c>
      <c r="G4434" s="6">
        <v>14</v>
      </c>
      <c r="H4434" s="6" t="s">
        <v>34506</v>
      </c>
      <c r="I4434" s="6">
        <v>540.75</v>
      </c>
      <c r="J4434" s="2">
        <f t="shared" si="69"/>
        <v>43748.77822821759</v>
      </c>
    </row>
    <row r="4435" spans="1:10" x14ac:dyDescent="0.25">
      <c r="A4435" s="7" t="s">
        <v>34507</v>
      </c>
      <c r="B4435" s="8">
        <v>393.75</v>
      </c>
      <c r="C4435" s="8">
        <v>20.478950000000001</v>
      </c>
      <c r="D4435" s="8">
        <v>71</v>
      </c>
      <c r="E4435" s="8">
        <v>0</v>
      </c>
      <c r="F4435" s="8">
        <v>0</v>
      </c>
      <c r="G4435" s="8">
        <v>13</v>
      </c>
      <c r="H4435" s="8" t="s">
        <v>34508</v>
      </c>
      <c r="I4435" s="8">
        <v>526.6875</v>
      </c>
      <c r="J4435" s="3">
        <f t="shared" si="69"/>
        <v>43748.778311759255</v>
      </c>
    </row>
    <row r="4436" spans="1:10" x14ac:dyDescent="0.25">
      <c r="A4436" s="5" t="s">
        <v>34509</v>
      </c>
      <c r="B4436" s="6">
        <v>396.875</v>
      </c>
      <c r="C4436" s="6">
        <v>20.478950000000001</v>
      </c>
      <c r="D4436" s="6">
        <v>72</v>
      </c>
      <c r="E4436" s="6">
        <v>0</v>
      </c>
      <c r="F4436" s="6">
        <v>0</v>
      </c>
      <c r="G4436" s="6">
        <v>23</v>
      </c>
      <c r="H4436" s="6" t="s">
        <v>34510</v>
      </c>
      <c r="I4436" s="6">
        <v>527.625</v>
      </c>
      <c r="J4436" s="2">
        <f t="shared" si="69"/>
        <v>43748.778407141202</v>
      </c>
    </row>
    <row r="4437" spans="1:10" x14ac:dyDescent="0.25">
      <c r="A4437" s="7" t="s">
        <v>34511</v>
      </c>
      <c r="B4437" s="8">
        <v>396.875</v>
      </c>
      <c r="C4437" s="8">
        <v>20.478950000000001</v>
      </c>
      <c r="D4437" s="8">
        <v>71</v>
      </c>
      <c r="E4437" s="8">
        <v>0</v>
      </c>
      <c r="F4437" s="8">
        <v>0</v>
      </c>
      <c r="G4437" s="8">
        <v>22</v>
      </c>
      <c r="H4437" s="8" t="s">
        <v>34512</v>
      </c>
      <c r="I4437" s="8">
        <v>527.625</v>
      </c>
      <c r="J4437" s="3">
        <f t="shared" si="69"/>
        <v>43748.778490682867</v>
      </c>
    </row>
    <row r="4438" spans="1:10" x14ac:dyDescent="0.25">
      <c r="A4438" s="5" t="s">
        <v>34513</v>
      </c>
      <c r="B4438" s="6">
        <v>393.75</v>
      </c>
      <c r="C4438" s="6">
        <v>20.478950000000001</v>
      </c>
      <c r="D4438" s="6">
        <v>71</v>
      </c>
      <c r="E4438" s="6">
        <v>0</v>
      </c>
      <c r="F4438" s="6">
        <v>0</v>
      </c>
      <c r="G4438" s="6">
        <v>16</v>
      </c>
      <c r="H4438" s="6" t="s">
        <v>34514</v>
      </c>
      <c r="I4438" s="6">
        <v>526.5</v>
      </c>
      <c r="J4438" s="2">
        <f t="shared" si="69"/>
        <v>43748.778562164349</v>
      </c>
    </row>
    <row r="4439" spans="1:10" x14ac:dyDescent="0.25">
      <c r="A4439" s="7" t="s">
        <v>34515</v>
      </c>
      <c r="B4439" s="8">
        <v>396.875</v>
      </c>
      <c r="C4439" s="8">
        <v>20.478950000000001</v>
      </c>
      <c r="D4439" s="8">
        <v>71</v>
      </c>
      <c r="E4439" s="8">
        <v>0</v>
      </c>
      <c r="F4439" s="8">
        <v>0</v>
      </c>
      <c r="G4439" s="8">
        <v>23</v>
      </c>
      <c r="H4439" s="8" t="s">
        <v>34516</v>
      </c>
      <c r="I4439" s="8">
        <v>527.4375</v>
      </c>
      <c r="J4439" s="3">
        <f t="shared" si="69"/>
        <v>43748.778645787032</v>
      </c>
    </row>
    <row r="4440" spans="1:10" x14ac:dyDescent="0.25">
      <c r="A4440" s="5" t="s">
        <v>34517</v>
      </c>
      <c r="B4440" s="6">
        <v>396.875</v>
      </c>
      <c r="C4440" s="6">
        <v>20.478950000000001</v>
      </c>
      <c r="D4440" s="6">
        <v>70</v>
      </c>
      <c r="E4440" s="6">
        <v>0</v>
      </c>
      <c r="F4440" s="6">
        <v>0</v>
      </c>
      <c r="G4440" s="6">
        <v>11</v>
      </c>
      <c r="H4440" s="6" t="s">
        <v>34518</v>
      </c>
      <c r="I4440" s="6">
        <v>527.4375</v>
      </c>
      <c r="J4440" s="2">
        <f t="shared" si="69"/>
        <v>43748.778717210647</v>
      </c>
    </row>
    <row r="4441" spans="1:10" x14ac:dyDescent="0.25">
      <c r="A4441" s="7" t="s">
        <v>34519</v>
      </c>
      <c r="B4441" s="8">
        <v>396.875</v>
      </c>
      <c r="C4441" s="8">
        <v>20.478950000000001</v>
      </c>
      <c r="D4441" s="8">
        <v>71</v>
      </c>
      <c r="E4441" s="8">
        <v>0</v>
      </c>
      <c r="F4441" s="8">
        <v>0</v>
      </c>
      <c r="G4441" s="8">
        <v>13</v>
      </c>
      <c r="H4441" s="8" t="s">
        <v>34520</v>
      </c>
      <c r="I4441" s="8">
        <v>527.4375</v>
      </c>
      <c r="J4441" s="3">
        <f t="shared" si="69"/>
        <v>43748.778800659718</v>
      </c>
    </row>
    <row r="4442" spans="1:10" x14ac:dyDescent="0.25">
      <c r="A4442" s="5" t="s">
        <v>34521</v>
      </c>
      <c r="B4442" s="6">
        <v>396.875</v>
      </c>
      <c r="C4442" s="6">
        <v>20.478950000000001</v>
      </c>
      <c r="D4442" s="6">
        <v>71</v>
      </c>
      <c r="E4442" s="6">
        <v>0</v>
      </c>
      <c r="F4442" s="6">
        <v>0</v>
      </c>
      <c r="G4442" s="6">
        <v>16</v>
      </c>
      <c r="H4442" s="6" t="s">
        <v>34522</v>
      </c>
      <c r="I4442" s="6">
        <v>527.4375</v>
      </c>
      <c r="J4442" s="2">
        <f t="shared" si="69"/>
        <v>43748.778884085645</v>
      </c>
    </row>
    <row r="4443" spans="1:10" x14ac:dyDescent="0.25">
      <c r="A4443" s="7" t="s">
        <v>34523</v>
      </c>
      <c r="B4443" s="8">
        <v>396.875</v>
      </c>
      <c r="C4443" s="8">
        <v>20.478950000000001</v>
      </c>
      <c r="D4443" s="8">
        <v>71</v>
      </c>
      <c r="E4443" s="8">
        <v>0</v>
      </c>
      <c r="F4443" s="8">
        <v>0</v>
      </c>
      <c r="G4443" s="8">
        <v>25</v>
      </c>
      <c r="H4443" s="8" t="s">
        <v>34524</v>
      </c>
      <c r="I4443" s="8">
        <v>527.4375</v>
      </c>
      <c r="J4443" s="3">
        <f t="shared" si="69"/>
        <v>43748.778967303238</v>
      </c>
    </row>
    <row r="4444" spans="1:10" x14ac:dyDescent="0.25">
      <c r="A4444" s="5" t="s">
        <v>34525</v>
      </c>
      <c r="B4444" s="6">
        <v>396.875</v>
      </c>
      <c r="C4444" s="6">
        <v>20.478950000000001</v>
      </c>
      <c r="D4444" s="6">
        <v>71</v>
      </c>
      <c r="E4444" s="6">
        <v>0</v>
      </c>
      <c r="F4444" s="6">
        <v>0</v>
      </c>
      <c r="G4444" s="6">
        <v>21</v>
      </c>
      <c r="H4444" s="6" t="s">
        <v>34526</v>
      </c>
      <c r="I4444" s="6">
        <v>527.4375</v>
      </c>
      <c r="J4444" s="2">
        <f t="shared" si="69"/>
        <v>43748.779039085646</v>
      </c>
    </row>
    <row r="4445" spans="1:10" x14ac:dyDescent="0.25">
      <c r="A4445" s="7" t="s">
        <v>34527</v>
      </c>
      <c r="B4445" s="8">
        <v>396.875</v>
      </c>
      <c r="C4445" s="8">
        <v>20.478950000000001</v>
      </c>
      <c r="D4445" s="8">
        <v>71</v>
      </c>
      <c r="E4445" s="8">
        <v>0</v>
      </c>
      <c r="F4445" s="8">
        <v>0</v>
      </c>
      <c r="G4445" s="8">
        <v>17</v>
      </c>
      <c r="H4445" s="8" t="s">
        <v>34528</v>
      </c>
      <c r="I4445" s="8">
        <v>527.4375</v>
      </c>
      <c r="J4445" s="3">
        <f t="shared" si="69"/>
        <v>43748.779122638887</v>
      </c>
    </row>
    <row r="4446" spans="1:10" x14ac:dyDescent="0.25">
      <c r="A4446" s="5" t="s">
        <v>34529</v>
      </c>
      <c r="B4446" s="6">
        <v>396.875</v>
      </c>
      <c r="C4446" s="6">
        <v>20.478950000000001</v>
      </c>
      <c r="D4446" s="6">
        <v>70</v>
      </c>
      <c r="E4446" s="6">
        <v>0</v>
      </c>
      <c r="F4446" s="6">
        <v>0</v>
      </c>
      <c r="G4446" s="6">
        <v>18</v>
      </c>
      <c r="H4446" s="6" t="s">
        <v>34530</v>
      </c>
      <c r="I4446" s="6">
        <v>527.4375</v>
      </c>
      <c r="J4446" s="2">
        <f t="shared" si="69"/>
        <v>43748.779206087966</v>
      </c>
    </row>
    <row r="4447" spans="1:10" x14ac:dyDescent="0.25">
      <c r="A4447" s="7" t="s">
        <v>34531</v>
      </c>
      <c r="B4447" s="8">
        <v>396.875</v>
      </c>
      <c r="C4447" s="8">
        <v>20.478950000000001</v>
      </c>
      <c r="D4447" s="8">
        <v>70</v>
      </c>
      <c r="E4447" s="8">
        <v>0</v>
      </c>
      <c r="F4447" s="8">
        <v>0</v>
      </c>
      <c r="G4447" s="8">
        <v>19</v>
      </c>
      <c r="H4447" s="8" t="s">
        <v>34532</v>
      </c>
      <c r="I4447" s="8">
        <v>527.4375</v>
      </c>
      <c r="J4447" s="3">
        <f t="shared" si="69"/>
        <v>43748.779293148145</v>
      </c>
    </row>
    <row r="4448" spans="1:10" x14ac:dyDescent="0.25">
      <c r="A4448" s="5" t="s">
        <v>34533</v>
      </c>
      <c r="B4448" s="6">
        <v>400</v>
      </c>
      <c r="C4448" s="6">
        <v>20.478950000000001</v>
      </c>
      <c r="D4448" s="6">
        <v>70</v>
      </c>
      <c r="E4448" s="6">
        <v>0</v>
      </c>
      <c r="F4448" s="6">
        <v>0</v>
      </c>
      <c r="G4448" s="6">
        <v>17</v>
      </c>
      <c r="H4448" s="6" t="s">
        <v>34534</v>
      </c>
      <c r="I4448" s="6">
        <v>528.1875</v>
      </c>
      <c r="J4448" s="2">
        <f t="shared" si="69"/>
        <v>43748.77937309027</v>
      </c>
    </row>
    <row r="4449" spans="1:10" x14ac:dyDescent="0.25">
      <c r="A4449" s="7" t="s">
        <v>34535</v>
      </c>
      <c r="B4449" s="8">
        <v>400</v>
      </c>
      <c r="C4449" s="8">
        <v>20.478950000000001</v>
      </c>
      <c r="D4449" s="8">
        <v>70</v>
      </c>
      <c r="E4449" s="8">
        <v>0</v>
      </c>
      <c r="F4449" s="8">
        <v>0</v>
      </c>
      <c r="G4449" s="8">
        <v>15</v>
      </c>
      <c r="H4449" s="8" t="s">
        <v>34536</v>
      </c>
      <c r="I4449" s="8">
        <v>528.375</v>
      </c>
      <c r="J4449" s="3">
        <f t="shared" si="69"/>
        <v>43748.779456307871</v>
      </c>
    </row>
    <row r="4450" spans="1:10" x14ac:dyDescent="0.25">
      <c r="A4450" s="5" t="s">
        <v>34537</v>
      </c>
      <c r="B4450" s="6">
        <v>400</v>
      </c>
      <c r="C4450" s="6">
        <v>20.478950000000001</v>
      </c>
      <c r="D4450" s="6">
        <v>70</v>
      </c>
      <c r="E4450" s="6">
        <v>0</v>
      </c>
      <c r="F4450" s="6">
        <v>0</v>
      </c>
      <c r="G4450" s="6">
        <v>12</v>
      </c>
      <c r="H4450" s="6" t="s">
        <v>34538</v>
      </c>
      <c r="I4450" s="6">
        <v>528.375</v>
      </c>
      <c r="J4450" s="2">
        <f t="shared" si="69"/>
        <v>43748.779527951388</v>
      </c>
    </row>
    <row r="4451" spans="1:10" x14ac:dyDescent="0.25">
      <c r="A4451" s="7" t="s">
        <v>34539</v>
      </c>
      <c r="B4451" s="8">
        <v>400</v>
      </c>
      <c r="C4451" s="8">
        <v>20.478950000000001</v>
      </c>
      <c r="D4451" s="8">
        <v>70</v>
      </c>
      <c r="E4451" s="8">
        <v>0</v>
      </c>
      <c r="F4451" s="8">
        <v>0</v>
      </c>
      <c r="G4451" s="8">
        <v>12</v>
      </c>
      <c r="H4451" s="8" t="s">
        <v>34540</v>
      </c>
      <c r="I4451" s="8">
        <v>528.375</v>
      </c>
      <c r="J4451" s="3">
        <f t="shared" si="69"/>
        <v>43748.779611759259</v>
      </c>
    </row>
    <row r="4452" spans="1:10" x14ac:dyDescent="0.25">
      <c r="A4452" s="5" t="s">
        <v>34541</v>
      </c>
      <c r="B4452" s="6">
        <v>396.875</v>
      </c>
      <c r="C4452" s="6">
        <v>20.478950000000001</v>
      </c>
      <c r="D4452" s="6">
        <v>69</v>
      </c>
      <c r="E4452" s="6">
        <v>0</v>
      </c>
      <c r="F4452" s="6">
        <v>0</v>
      </c>
      <c r="G4452" s="6">
        <v>13</v>
      </c>
      <c r="H4452" s="6" t="s">
        <v>34542</v>
      </c>
      <c r="I4452" s="6">
        <v>527.4375</v>
      </c>
      <c r="J4452" s="2">
        <f t="shared" si="69"/>
        <v>43748.77970692129</v>
      </c>
    </row>
    <row r="4453" spans="1:10" x14ac:dyDescent="0.25">
      <c r="A4453" s="7" t="s">
        <v>34543</v>
      </c>
      <c r="B4453" s="8">
        <v>396.875</v>
      </c>
      <c r="C4453" s="8">
        <v>20.478950000000001</v>
      </c>
      <c r="D4453" s="8">
        <v>68</v>
      </c>
      <c r="E4453" s="8">
        <v>0</v>
      </c>
      <c r="F4453" s="8">
        <v>0</v>
      </c>
      <c r="G4453" s="8">
        <v>11</v>
      </c>
      <c r="H4453" s="8" t="s">
        <v>34544</v>
      </c>
      <c r="I4453" s="8">
        <v>527.4375</v>
      </c>
      <c r="J4453" s="3">
        <f t="shared" si="69"/>
        <v>43748.779790497683</v>
      </c>
    </row>
    <row r="4454" spans="1:10" x14ac:dyDescent="0.25">
      <c r="A4454" s="5" t="s">
        <v>34545</v>
      </c>
      <c r="B4454" s="6">
        <v>396.875</v>
      </c>
      <c r="C4454" s="6">
        <v>20.478950000000001</v>
      </c>
      <c r="D4454" s="6">
        <v>68</v>
      </c>
      <c r="E4454" s="6">
        <v>0</v>
      </c>
      <c r="F4454" s="6">
        <v>0</v>
      </c>
      <c r="G4454" s="6">
        <v>11</v>
      </c>
      <c r="H4454" s="6" t="s">
        <v>34546</v>
      </c>
      <c r="I4454" s="6">
        <v>527.4375</v>
      </c>
      <c r="J4454" s="2">
        <f t="shared" si="69"/>
        <v>43748.779862013886</v>
      </c>
    </row>
    <row r="4455" spans="1:10" x14ac:dyDescent="0.25">
      <c r="A4455" s="7" t="s">
        <v>34547</v>
      </c>
      <c r="B4455" s="8">
        <v>396.875</v>
      </c>
      <c r="C4455" s="8">
        <v>20.478950000000001</v>
      </c>
      <c r="D4455" s="8">
        <v>68</v>
      </c>
      <c r="E4455" s="8">
        <v>0</v>
      </c>
      <c r="F4455" s="8">
        <v>0</v>
      </c>
      <c r="G4455" s="8">
        <v>17</v>
      </c>
      <c r="H4455" s="8" t="s">
        <v>34548</v>
      </c>
      <c r="I4455" s="8">
        <v>527.4375</v>
      </c>
      <c r="J4455" s="3">
        <f t="shared" si="69"/>
        <v>43748.779945231479</v>
      </c>
    </row>
    <row r="4456" spans="1:10" x14ac:dyDescent="0.25">
      <c r="A4456" s="5" t="s">
        <v>34549</v>
      </c>
      <c r="B4456" s="6">
        <v>396.875</v>
      </c>
      <c r="C4456" s="6">
        <v>20.478950000000001</v>
      </c>
      <c r="D4456" s="6">
        <v>68</v>
      </c>
      <c r="E4456" s="6">
        <v>0</v>
      </c>
      <c r="F4456" s="6">
        <v>0</v>
      </c>
      <c r="G4456" s="6">
        <v>18</v>
      </c>
      <c r="H4456" s="6" t="s">
        <v>34550</v>
      </c>
      <c r="I4456" s="6">
        <v>527.4375</v>
      </c>
      <c r="J4456" s="2">
        <f t="shared" si="69"/>
        <v>43748.780016747682</v>
      </c>
    </row>
    <row r="4457" spans="1:10" x14ac:dyDescent="0.25">
      <c r="A4457" s="7" t="s">
        <v>34551</v>
      </c>
      <c r="B4457" s="8">
        <v>396.875</v>
      </c>
      <c r="C4457" s="8">
        <v>20.478950000000001</v>
      </c>
      <c r="D4457" s="8">
        <v>68</v>
      </c>
      <c r="E4457" s="8">
        <v>0</v>
      </c>
      <c r="F4457" s="8">
        <v>0</v>
      </c>
      <c r="G4457" s="8">
        <v>16</v>
      </c>
      <c r="H4457" s="8" t="s">
        <v>34552</v>
      </c>
      <c r="I4457" s="8">
        <v>527.4375</v>
      </c>
      <c r="J4457" s="3">
        <f t="shared" si="69"/>
        <v>43748.780100775461</v>
      </c>
    </row>
    <row r="4458" spans="1:10" x14ac:dyDescent="0.25">
      <c r="A4458" s="5" t="s">
        <v>34553</v>
      </c>
      <c r="B4458" s="6">
        <v>393.75</v>
      </c>
      <c r="C4458" s="6">
        <v>20.478950000000001</v>
      </c>
      <c r="D4458" s="6">
        <v>69</v>
      </c>
      <c r="E4458" s="6">
        <v>0</v>
      </c>
      <c r="F4458" s="6">
        <v>0</v>
      </c>
      <c r="G4458" s="6">
        <v>23</v>
      </c>
      <c r="H4458" s="6" t="s">
        <v>34554</v>
      </c>
      <c r="I4458" s="6">
        <v>526.6875</v>
      </c>
      <c r="J4458" s="2">
        <f t="shared" si="69"/>
        <v>43748.780183993054</v>
      </c>
    </row>
    <row r="4459" spans="1:10" x14ac:dyDescent="0.25">
      <c r="A4459" s="7" t="s">
        <v>34555</v>
      </c>
      <c r="B4459" s="8">
        <v>412.5</v>
      </c>
      <c r="C4459" s="8">
        <v>20.531590000000001</v>
      </c>
      <c r="D4459" s="8">
        <v>69</v>
      </c>
      <c r="E4459" s="8">
        <v>0</v>
      </c>
      <c r="F4459" s="8">
        <v>0</v>
      </c>
      <c r="G4459" s="8">
        <v>23</v>
      </c>
      <c r="H4459" s="8" t="s">
        <v>34556</v>
      </c>
      <c r="I4459" s="8">
        <v>532.125</v>
      </c>
      <c r="J4459" s="3">
        <f t="shared" si="69"/>
        <v>43748.780267337956</v>
      </c>
    </row>
    <row r="4460" spans="1:10" x14ac:dyDescent="0.25">
      <c r="A4460" s="5" t="s">
        <v>34557</v>
      </c>
      <c r="B4460" s="6">
        <v>393.75</v>
      </c>
      <c r="C4460" s="6">
        <v>20.478950000000001</v>
      </c>
      <c r="D4460" s="6">
        <v>68</v>
      </c>
      <c r="E4460" s="6">
        <v>0</v>
      </c>
      <c r="F4460" s="6">
        <v>0</v>
      </c>
      <c r="G4460" s="6">
        <v>11</v>
      </c>
      <c r="H4460" s="6" t="s">
        <v>34558</v>
      </c>
      <c r="I4460" s="6">
        <v>526.6875</v>
      </c>
      <c r="J4460" s="2">
        <f t="shared" si="69"/>
        <v>43748.780339108795</v>
      </c>
    </row>
    <row r="4461" spans="1:10" x14ac:dyDescent="0.25">
      <c r="A4461" s="7" t="s">
        <v>34559</v>
      </c>
      <c r="B4461" s="8">
        <v>393.75</v>
      </c>
      <c r="C4461" s="8">
        <v>20.478950000000001</v>
      </c>
      <c r="D4461" s="8">
        <v>65</v>
      </c>
      <c r="E4461" s="8">
        <v>0</v>
      </c>
      <c r="F4461" s="8">
        <v>0</v>
      </c>
      <c r="G4461" s="8">
        <v>29</v>
      </c>
      <c r="H4461" s="8" t="s">
        <v>34560</v>
      </c>
      <c r="I4461" s="8">
        <v>526.6875</v>
      </c>
      <c r="J4461" s="3">
        <f t="shared" si="69"/>
        <v>43748.780422314812</v>
      </c>
    </row>
    <row r="4462" spans="1:10" x14ac:dyDescent="0.25">
      <c r="A4462" s="5" t="s">
        <v>34561</v>
      </c>
      <c r="B4462" s="6">
        <v>393.75</v>
      </c>
      <c r="C4462" s="6">
        <v>20.478950000000001</v>
      </c>
      <c r="D4462" s="6">
        <v>64</v>
      </c>
      <c r="E4462" s="6">
        <v>0</v>
      </c>
      <c r="F4462" s="6">
        <v>0</v>
      </c>
      <c r="G4462" s="6">
        <v>23</v>
      </c>
      <c r="H4462" s="6" t="s">
        <v>34562</v>
      </c>
      <c r="I4462" s="6">
        <v>526.6875</v>
      </c>
      <c r="J4462" s="2">
        <f t="shared" si="69"/>
        <v>43748.780493958329</v>
      </c>
    </row>
    <row r="4463" spans="1:10" x14ac:dyDescent="0.25">
      <c r="A4463" s="7" t="s">
        <v>34563</v>
      </c>
      <c r="B4463" s="8">
        <v>396.875</v>
      </c>
      <c r="C4463" s="8">
        <v>20.478950000000001</v>
      </c>
      <c r="D4463" s="8">
        <v>65</v>
      </c>
      <c r="E4463" s="8">
        <v>0</v>
      </c>
      <c r="F4463" s="8">
        <v>0</v>
      </c>
      <c r="G4463" s="8">
        <v>23</v>
      </c>
      <c r="H4463" s="8" t="s">
        <v>34564</v>
      </c>
      <c r="I4463" s="8">
        <v>527.4375</v>
      </c>
      <c r="J4463" s="3">
        <f t="shared" si="69"/>
        <v>43748.780565474539</v>
      </c>
    </row>
    <row r="4464" spans="1:10" x14ac:dyDescent="0.25">
      <c r="A4464" s="5" t="s">
        <v>34565</v>
      </c>
      <c r="B4464" s="6">
        <v>396.875</v>
      </c>
      <c r="C4464" s="6">
        <v>20.478950000000001</v>
      </c>
      <c r="D4464" s="6">
        <v>65</v>
      </c>
      <c r="E4464" s="6">
        <v>0</v>
      </c>
      <c r="F4464" s="6">
        <v>0</v>
      </c>
      <c r="G4464" s="6">
        <v>21</v>
      </c>
      <c r="H4464" s="6" t="s">
        <v>34566</v>
      </c>
      <c r="I4464" s="6">
        <v>527.4375</v>
      </c>
      <c r="J4464" s="2">
        <f t="shared" si="69"/>
        <v>43748.780637488424</v>
      </c>
    </row>
    <row r="4465" spans="1:10" x14ac:dyDescent="0.25">
      <c r="A4465" s="7" t="s">
        <v>34567</v>
      </c>
      <c r="B4465" s="8">
        <v>396.875</v>
      </c>
      <c r="C4465" s="8">
        <v>20.478950000000001</v>
      </c>
      <c r="D4465" s="8">
        <v>66</v>
      </c>
      <c r="E4465" s="8">
        <v>0</v>
      </c>
      <c r="F4465" s="8">
        <v>0</v>
      </c>
      <c r="G4465" s="8">
        <v>13</v>
      </c>
      <c r="H4465" s="8" t="s">
        <v>34568</v>
      </c>
      <c r="I4465" s="8">
        <v>527.4375</v>
      </c>
      <c r="J4465" s="3">
        <f t="shared" si="69"/>
        <v>43748.780708831015</v>
      </c>
    </row>
    <row r="4466" spans="1:10" x14ac:dyDescent="0.25">
      <c r="A4466" s="5" t="s">
        <v>34569</v>
      </c>
      <c r="B4466" s="6">
        <v>415.625</v>
      </c>
      <c r="C4466" s="6">
        <v>20.478950000000001</v>
      </c>
      <c r="D4466" s="6">
        <v>66</v>
      </c>
      <c r="E4466" s="6">
        <v>0</v>
      </c>
      <c r="F4466" s="6">
        <v>0</v>
      </c>
      <c r="G4466" s="6">
        <v>24</v>
      </c>
      <c r="H4466" s="6" t="s">
        <v>34570</v>
      </c>
      <c r="I4466" s="6">
        <v>533.25</v>
      </c>
      <c r="J4466" s="2">
        <f t="shared" si="69"/>
        <v>43748.780780821755</v>
      </c>
    </row>
    <row r="4467" spans="1:10" x14ac:dyDescent="0.25">
      <c r="A4467" s="7" t="s">
        <v>34571</v>
      </c>
      <c r="B4467" s="8">
        <v>393.75</v>
      </c>
      <c r="C4467" s="8">
        <v>20.478950000000001</v>
      </c>
      <c r="D4467" s="8">
        <v>64</v>
      </c>
      <c r="E4467" s="8">
        <v>0</v>
      </c>
      <c r="F4467" s="8">
        <v>0</v>
      </c>
      <c r="G4467" s="8">
        <v>17</v>
      </c>
      <c r="H4467" s="8" t="s">
        <v>34572</v>
      </c>
      <c r="I4467" s="8">
        <v>526.6875</v>
      </c>
      <c r="J4467" s="3">
        <f t="shared" si="69"/>
        <v>43748.78085239583</v>
      </c>
    </row>
    <row r="4468" spans="1:10" x14ac:dyDescent="0.25">
      <c r="A4468" s="5" t="s">
        <v>34573</v>
      </c>
      <c r="B4468" s="6">
        <v>393.75</v>
      </c>
      <c r="C4468" s="6">
        <v>20.478950000000001</v>
      </c>
      <c r="D4468" s="6">
        <v>65</v>
      </c>
      <c r="E4468" s="6">
        <v>0</v>
      </c>
      <c r="F4468" s="6">
        <v>0</v>
      </c>
      <c r="G4468" s="6">
        <v>19</v>
      </c>
      <c r="H4468" s="6" t="s">
        <v>34574</v>
      </c>
      <c r="I4468" s="6">
        <v>526.6875</v>
      </c>
      <c r="J4468" s="2">
        <f t="shared" si="69"/>
        <v>43748.780923865743</v>
      </c>
    </row>
    <row r="4469" spans="1:10" x14ac:dyDescent="0.25">
      <c r="A4469" s="7" t="s">
        <v>34575</v>
      </c>
      <c r="B4469" s="8">
        <v>393.75</v>
      </c>
      <c r="C4469" s="8">
        <v>20.478950000000001</v>
      </c>
      <c r="D4469" s="8">
        <v>65</v>
      </c>
      <c r="E4469" s="8">
        <v>0</v>
      </c>
      <c r="F4469" s="8">
        <v>0</v>
      </c>
      <c r="G4469" s="8">
        <v>15</v>
      </c>
      <c r="H4469" s="8" t="s">
        <v>34576</v>
      </c>
      <c r="I4469" s="8">
        <v>526.6875</v>
      </c>
      <c r="J4469" s="3">
        <f t="shared" si="69"/>
        <v>43748.780994988425</v>
      </c>
    </row>
    <row r="4470" spans="1:10" x14ac:dyDescent="0.25">
      <c r="A4470" s="5" t="s">
        <v>34577</v>
      </c>
      <c r="B4470" s="6">
        <v>393.75</v>
      </c>
      <c r="C4470" s="6">
        <v>20.478950000000001</v>
      </c>
      <c r="D4470" s="6">
        <v>66</v>
      </c>
      <c r="E4470" s="6">
        <v>0</v>
      </c>
      <c r="F4470" s="6">
        <v>0</v>
      </c>
      <c r="G4470" s="6">
        <v>18</v>
      </c>
      <c r="H4470" s="6" t="s">
        <v>34578</v>
      </c>
      <c r="I4470" s="6">
        <v>526.6875</v>
      </c>
      <c r="J4470" s="2">
        <f t="shared" si="69"/>
        <v>43748.781067175929</v>
      </c>
    </row>
    <row r="4471" spans="1:10" x14ac:dyDescent="0.25">
      <c r="A4471" s="7" t="s">
        <v>34579</v>
      </c>
      <c r="B4471" s="8">
        <v>396.875</v>
      </c>
      <c r="C4471" s="8">
        <v>20.478950000000001</v>
      </c>
      <c r="D4471" s="8">
        <v>66</v>
      </c>
      <c r="E4471" s="8">
        <v>0</v>
      </c>
      <c r="F4471" s="8">
        <v>0</v>
      </c>
      <c r="G4471" s="8">
        <v>18</v>
      </c>
      <c r="H4471" s="8" t="s">
        <v>34580</v>
      </c>
      <c r="I4471" s="8">
        <v>527.4375</v>
      </c>
      <c r="J4471" s="3">
        <f t="shared" si="69"/>
        <v>43748.781138460647</v>
      </c>
    </row>
    <row r="4472" spans="1:10" x14ac:dyDescent="0.25">
      <c r="A4472" s="5" t="s">
        <v>34581</v>
      </c>
      <c r="B4472" s="6">
        <v>396.875</v>
      </c>
      <c r="C4472" s="6">
        <v>20.478950000000001</v>
      </c>
      <c r="D4472" s="6">
        <v>63</v>
      </c>
      <c r="E4472" s="6">
        <v>0</v>
      </c>
      <c r="F4472" s="6">
        <v>0</v>
      </c>
      <c r="G4472" s="6">
        <v>21</v>
      </c>
      <c r="H4472" s="6" t="s">
        <v>34582</v>
      </c>
      <c r="I4472" s="6">
        <v>527.625</v>
      </c>
      <c r="J4472" s="2">
        <f t="shared" si="69"/>
        <v>43748.781229398148</v>
      </c>
    </row>
    <row r="4473" spans="1:10" x14ac:dyDescent="0.25">
      <c r="A4473" s="7" t="s">
        <v>34583</v>
      </c>
      <c r="B4473" s="8">
        <v>428.125</v>
      </c>
      <c r="C4473" s="8">
        <v>20.478950000000001</v>
      </c>
      <c r="D4473" s="8">
        <v>64</v>
      </c>
      <c r="E4473" s="8">
        <v>0</v>
      </c>
      <c r="F4473" s="8">
        <v>0</v>
      </c>
      <c r="G4473" s="8">
        <v>9</v>
      </c>
      <c r="H4473" s="8" t="s">
        <v>34584</v>
      </c>
      <c r="I4473" s="8">
        <v>537.75</v>
      </c>
      <c r="J4473" s="3">
        <f t="shared" si="69"/>
        <v>43748.781305138888</v>
      </c>
    </row>
    <row r="4474" spans="1:10" x14ac:dyDescent="0.25">
      <c r="A4474" s="5" t="s">
        <v>34585</v>
      </c>
      <c r="B4474" s="6">
        <v>403.125</v>
      </c>
      <c r="C4474" s="6">
        <v>20.478950000000001</v>
      </c>
      <c r="D4474" s="6">
        <v>64</v>
      </c>
      <c r="E4474" s="6">
        <v>0</v>
      </c>
      <c r="F4474" s="6">
        <v>0</v>
      </c>
      <c r="G4474" s="6">
        <v>9</v>
      </c>
      <c r="H4474" s="6" t="s">
        <v>34586</v>
      </c>
      <c r="I4474" s="6">
        <v>529.125</v>
      </c>
      <c r="J4474" s="2">
        <f t="shared" si="69"/>
        <v>43748.78137719907</v>
      </c>
    </row>
    <row r="4475" spans="1:10" x14ac:dyDescent="0.25">
      <c r="A4475" s="7" t="s">
        <v>34587</v>
      </c>
      <c r="B4475" s="8">
        <v>403.125</v>
      </c>
      <c r="C4475" s="8">
        <v>20.478950000000001</v>
      </c>
      <c r="D4475" s="8">
        <v>64</v>
      </c>
      <c r="E4475" s="8">
        <v>0</v>
      </c>
      <c r="F4475" s="8">
        <v>0</v>
      </c>
      <c r="G4475" s="8">
        <v>23</v>
      </c>
      <c r="H4475" s="8" t="s">
        <v>34588</v>
      </c>
      <c r="I4475" s="8">
        <v>529.125</v>
      </c>
      <c r="J4475" s="3">
        <f t="shared" si="69"/>
        <v>43748.781460555554</v>
      </c>
    </row>
    <row r="4476" spans="1:10" x14ac:dyDescent="0.25">
      <c r="A4476" s="5" t="s">
        <v>34589</v>
      </c>
      <c r="B4476" s="6">
        <v>403.125</v>
      </c>
      <c r="C4476" s="6">
        <v>20.478950000000001</v>
      </c>
      <c r="D4476" s="6">
        <v>65</v>
      </c>
      <c r="E4476" s="6">
        <v>0</v>
      </c>
      <c r="F4476" s="6">
        <v>0</v>
      </c>
      <c r="G4476" s="6">
        <v>10</v>
      </c>
      <c r="H4476" s="6" t="s">
        <v>34590</v>
      </c>
      <c r="I4476" s="6">
        <v>529.125</v>
      </c>
      <c r="J4476" s="2">
        <f t="shared" si="69"/>
        <v>43748.781531678243</v>
      </c>
    </row>
    <row r="4477" spans="1:10" x14ac:dyDescent="0.25">
      <c r="A4477" s="7" t="s">
        <v>34591</v>
      </c>
      <c r="B4477" s="8">
        <v>403.125</v>
      </c>
      <c r="C4477" s="8">
        <v>20.478950000000001</v>
      </c>
      <c r="D4477" s="8">
        <v>66</v>
      </c>
      <c r="E4477" s="8">
        <v>0</v>
      </c>
      <c r="F4477" s="8">
        <v>0</v>
      </c>
      <c r="G4477" s="8">
        <v>22</v>
      </c>
      <c r="H4477" s="8" t="s">
        <v>34592</v>
      </c>
      <c r="I4477" s="8">
        <v>529.125</v>
      </c>
      <c r="J4477" s="3">
        <f t="shared" si="69"/>
        <v>43748.781603333329</v>
      </c>
    </row>
    <row r="4478" spans="1:10" x14ac:dyDescent="0.25">
      <c r="A4478" s="5" t="s">
        <v>34593</v>
      </c>
      <c r="B4478" s="6">
        <v>403.125</v>
      </c>
      <c r="C4478" s="6">
        <v>20.478950000000001</v>
      </c>
      <c r="D4478" s="6">
        <v>66</v>
      </c>
      <c r="E4478" s="6">
        <v>0</v>
      </c>
      <c r="F4478" s="6">
        <v>0</v>
      </c>
      <c r="G4478" s="6">
        <v>16</v>
      </c>
      <c r="H4478" s="6" t="s">
        <v>34594</v>
      </c>
      <c r="I4478" s="6">
        <v>529.125</v>
      </c>
      <c r="J4478" s="2">
        <f t="shared" si="69"/>
        <v>43748.781675312501</v>
      </c>
    </row>
    <row r="4479" spans="1:10" x14ac:dyDescent="0.25">
      <c r="A4479" s="7" t="s">
        <v>34595</v>
      </c>
      <c r="B4479" s="8">
        <v>403.125</v>
      </c>
      <c r="C4479" s="8">
        <v>20.478950000000001</v>
      </c>
      <c r="D4479" s="8">
        <v>65</v>
      </c>
      <c r="E4479" s="8">
        <v>0</v>
      </c>
      <c r="F4479" s="8">
        <v>0</v>
      </c>
      <c r="G4479" s="8">
        <v>17</v>
      </c>
      <c r="H4479" s="8" t="s">
        <v>34596</v>
      </c>
      <c r="I4479" s="8">
        <v>529.125</v>
      </c>
      <c r="J4479" s="3">
        <f t="shared" si="69"/>
        <v>43748.781746840272</v>
      </c>
    </row>
    <row r="4480" spans="1:10" x14ac:dyDescent="0.25">
      <c r="A4480" s="5" t="s">
        <v>34597</v>
      </c>
      <c r="B4480" s="6">
        <v>403.125</v>
      </c>
      <c r="C4480" s="6">
        <v>20.478950000000001</v>
      </c>
      <c r="D4480" s="6">
        <v>65</v>
      </c>
      <c r="E4480" s="6">
        <v>0</v>
      </c>
      <c r="F4480" s="6">
        <v>0</v>
      </c>
      <c r="G4480" s="6">
        <v>20</v>
      </c>
      <c r="H4480" s="6" t="s">
        <v>34598</v>
      </c>
      <c r="I4480" s="6">
        <v>529.125</v>
      </c>
      <c r="J4480" s="2">
        <f t="shared" si="69"/>
        <v>43748.781818136573</v>
      </c>
    </row>
    <row r="4481" spans="1:10" x14ac:dyDescent="0.25">
      <c r="A4481" s="7" t="s">
        <v>34599</v>
      </c>
      <c r="B4481" s="8">
        <v>403.125</v>
      </c>
      <c r="C4481" s="8">
        <v>20.478950000000001</v>
      </c>
      <c r="D4481" s="8">
        <v>65</v>
      </c>
      <c r="E4481" s="8">
        <v>0</v>
      </c>
      <c r="F4481" s="8">
        <v>0</v>
      </c>
      <c r="G4481" s="8">
        <v>22</v>
      </c>
      <c r="H4481" s="8" t="s">
        <v>34600</v>
      </c>
      <c r="I4481" s="8">
        <v>529.125</v>
      </c>
      <c r="J4481" s="3">
        <f t="shared" si="69"/>
        <v>43748.781901527771</v>
      </c>
    </row>
    <row r="4482" spans="1:10" x14ac:dyDescent="0.25">
      <c r="A4482" s="5" t="s">
        <v>34601</v>
      </c>
      <c r="B4482" s="6">
        <v>403.125</v>
      </c>
      <c r="C4482" s="6">
        <v>20.478950000000001</v>
      </c>
      <c r="D4482" s="6">
        <v>65</v>
      </c>
      <c r="E4482" s="6">
        <v>0</v>
      </c>
      <c r="F4482" s="6">
        <v>0</v>
      </c>
      <c r="G4482" s="6">
        <v>12</v>
      </c>
      <c r="H4482" s="6" t="s">
        <v>34602</v>
      </c>
      <c r="I4482" s="6">
        <v>529.125</v>
      </c>
      <c r="J4482" s="2">
        <f t="shared" ref="J4482:J4545" si="70">(H4482/86400000)+25569+(7/24)</f>
        <v>43748.781972893521</v>
      </c>
    </row>
    <row r="4483" spans="1:10" x14ac:dyDescent="0.25">
      <c r="A4483" s="7" t="s">
        <v>34603</v>
      </c>
      <c r="B4483" s="8">
        <v>403.125</v>
      </c>
      <c r="C4483" s="8">
        <v>20.478950000000001</v>
      </c>
      <c r="D4483" s="8">
        <v>64</v>
      </c>
      <c r="E4483" s="8">
        <v>0</v>
      </c>
      <c r="F4483" s="8">
        <v>0</v>
      </c>
      <c r="G4483" s="8">
        <v>17</v>
      </c>
      <c r="H4483" s="8" t="s">
        <v>34604</v>
      </c>
      <c r="I4483" s="8">
        <v>529.125</v>
      </c>
      <c r="J4483" s="3">
        <f t="shared" si="70"/>
        <v>43748.782044409723</v>
      </c>
    </row>
    <row r="4484" spans="1:10" x14ac:dyDescent="0.25">
      <c r="A4484" s="5" t="s">
        <v>34605</v>
      </c>
      <c r="B4484" s="6">
        <v>437.5</v>
      </c>
      <c r="C4484" s="6">
        <v>20.478950000000001</v>
      </c>
      <c r="D4484" s="6">
        <v>65</v>
      </c>
      <c r="E4484" s="6">
        <v>0</v>
      </c>
      <c r="F4484" s="6">
        <v>0</v>
      </c>
      <c r="G4484" s="6">
        <v>17</v>
      </c>
      <c r="H4484" s="6" t="s">
        <v>34606</v>
      </c>
      <c r="I4484" s="6">
        <v>540.1875</v>
      </c>
      <c r="J4484" s="2">
        <f t="shared" si="70"/>
        <v>43748.782116701383</v>
      </c>
    </row>
    <row r="4485" spans="1:10" x14ac:dyDescent="0.25">
      <c r="A4485" s="7" t="s">
        <v>34607</v>
      </c>
      <c r="B4485" s="8">
        <v>403.125</v>
      </c>
      <c r="C4485" s="8">
        <v>20.478950000000001</v>
      </c>
      <c r="D4485" s="8">
        <v>65</v>
      </c>
      <c r="E4485" s="8">
        <v>0</v>
      </c>
      <c r="F4485" s="8">
        <v>0</v>
      </c>
      <c r="G4485" s="8">
        <v>15</v>
      </c>
      <c r="H4485" s="8" t="s">
        <v>34608</v>
      </c>
      <c r="I4485" s="8">
        <v>529.125</v>
      </c>
      <c r="J4485" s="3">
        <f t="shared" si="70"/>
        <v>43748.782223472219</v>
      </c>
    </row>
    <row r="4486" spans="1:10" x14ac:dyDescent="0.25">
      <c r="A4486" s="5" t="s">
        <v>34609</v>
      </c>
      <c r="B4486" s="6">
        <v>421.875</v>
      </c>
      <c r="C4486" s="6">
        <v>20.478950000000001</v>
      </c>
      <c r="D4486" s="6">
        <v>66</v>
      </c>
      <c r="E4486" s="6">
        <v>0</v>
      </c>
      <c r="F4486" s="6">
        <v>0</v>
      </c>
      <c r="G4486" s="6">
        <v>19</v>
      </c>
      <c r="H4486" s="6" t="s">
        <v>34610</v>
      </c>
      <c r="I4486" s="6">
        <v>535.5</v>
      </c>
      <c r="J4486" s="2">
        <f t="shared" si="70"/>
        <v>43748.782295081015</v>
      </c>
    </row>
    <row r="4487" spans="1:10" x14ac:dyDescent="0.25">
      <c r="A4487" s="7" t="s">
        <v>34611</v>
      </c>
      <c r="B4487" s="8">
        <v>403.125</v>
      </c>
      <c r="C4487" s="8">
        <v>20.478950000000001</v>
      </c>
      <c r="D4487" s="8">
        <v>66</v>
      </c>
      <c r="E4487" s="8">
        <v>0</v>
      </c>
      <c r="F4487" s="8">
        <v>0</v>
      </c>
      <c r="G4487" s="8">
        <v>17</v>
      </c>
      <c r="H4487" s="8" t="s">
        <v>34612</v>
      </c>
      <c r="I4487" s="8">
        <v>529.125</v>
      </c>
      <c r="J4487" s="3">
        <f t="shared" si="70"/>
        <v>43748.782367060187</v>
      </c>
    </row>
    <row r="4488" spans="1:10" x14ac:dyDescent="0.25">
      <c r="A4488" s="5" t="s">
        <v>34613</v>
      </c>
      <c r="B4488" s="6">
        <v>403.125</v>
      </c>
      <c r="C4488" s="6">
        <v>20.478950000000001</v>
      </c>
      <c r="D4488" s="6">
        <v>67</v>
      </c>
      <c r="E4488" s="6">
        <v>0</v>
      </c>
      <c r="F4488" s="6">
        <v>0</v>
      </c>
      <c r="G4488" s="6">
        <v>23</v>
      </c>
      <c r="H4488" s="6" t="s">
        <v>34614</v>
      </c>
      <c r="I4488" s="6">
        <v>529.125</v>
      </c>
      <c r="J4488" s="2">
        <f t="shared" si="70"/>
        <v>43748.782450057864</v>
      </c>
    </row>
    <row r="4489" spans="1:10" x14ac:dyDescent="0.25">
      <c r="A4489" s="7" t="s">
        <v>34615</v>
      </c>
      <c r="B4489" s="8">
        <v>403.125</v>
      </c>
      <c r="C4489" s="8">
        <v>20.478950000000001</v>
      </c>
      <c r="D4489" s="8">
        <v>67</v>
      </c>
      <c r="E4489" s="8">
        <v>0</v>
      </c>
      <c r="F4489" s="8">
        <v>0</v>
      </c>
      <c r="G4489" s="8">
        <v>14</v>
      </c>
      <c r="H4489" s="8" t="s">
        <v>34616</v>
      </c>
      <c r="I4489" s="8">
        <v>529.125</v>
      </c>
      <c r="J4489" s="3">
        <f t="shared" si="70"/>
        <v>43748.78252173611</v>
      </c>
    </row>
    <row r="4490" spans="1:10" x14ac:dyDescent="0.25">
      <c r="A4490" s="5" t="s">
        <v>34617</v>
      </c>
      <c r="B4490" s="6">
        <v>403.125</v>
      </c>
      <c r="C4490" s="6">
        <v>20.478950000000001</v>
      </c>
      <c r="D4490" s="6">
        <v>66</v>
      </c>
      <c r="E4490" s="6">
        <v>0</v>
      </c>
      <c r="F4490" s="6">
        <v>0</v>
      </c>
      <c r="G4490" s="6">
        <v>17</v>
      </c>
      <c r="H4490" s="6" t="s">
        <v>34618</v>
      </c>
      <c r="I4490" s="6">
        <v>529.125</v>
      </c>
      <c r="J4490" s="2">
        <f t="shared" si="70"/>
        <v>43748.782605034721</v>
      </c>
    </row>
    <row r="4491" spans="1:10" x14ac:dyDescent="0.25">
      <c r="A4491" s="7" t="s">
        <v>34619</v>
      </c>
      <c r="B4491" s="8">
        <v>400</v>
      </c>
      <c r="C4491" s="8">
        <v>20.478950000000001</v>
      </c>
      <c r="D4491" s="8">
        <v>66</v>
      </c>
      <c r="E4491" s="8">
        <v>0</v>
      </c>
      <c r="F4491" s="8">
        <v>0</v>
      </c>
      <c r="G4491" s="8">
        <v>16</v>
      </c>
      <c r="H4491" s="8" t="s">
        <v>34620</v>
      </c>
      <c r="I4491" s="8">
        <v>528.1875</v>
      </c>
      <c r="J4491" s="3">
        <f t="shared" si="70"/>
        <v>43748.782676724535</v>
      </c>
    </row>
    <row r="4492" spans="1:10" x14ac:dyDescent="0.25">
      <c r="A4492" s="5" t="s">
        <v>34621</v>
      </c>
      <c r="B4492" s="6">
        <v>400</v>
      </c>
      <c r="C4492" s="6">
        <v>20.478950000000001</v>
      </c>
      <c r="D4492" s="6">
        <v>67</v>
      </c>
      <c r="E4492" s="6">
        <v>0</v>
      </c>
      <c r="F4492" s="6">
        <v>0</v>
      </c>
      <c r="G4492" s="6">
        <v>16</v>
      </c>
      <c r="H4492" s="6" t="s">
        <v>34622</v>
      </c>
      <c r="I4492" s="6">
        <v>528.375</v>
      </c>
      <c r="J4492" s="2">
        <f t="shared" si="70"/>
        <v>43748.78274815972</v>
      </c>
    </row>
    <row r="4493" spans="1:10" x14ac:dyDescent="0.25">
      <c r="A4493" s="7" t="s">
        <v>34623</v>
      </c>
      <c r="B4493" s="8">
        <v>403.125</v>
      </c>
      <c r="C4493" s="8">
        <v>20.478950000000001</v>
      </c>
      <c r="D4493" s="8">
        <v>67</v>
      </c>
      <c r="E4493" s="8">
        <v>0</v>
      </c>
      <c r="F4493" s="8">
        <v>0</v>
      </c>
      <c r="G4493" s="8">
        <v>19</v>
      </c>
      <c r="H4493" s="8" t="s">
        <v>34624</v>
      </c>
      <c r="I4493" s="8">
        <v>529.125</v>
      </c>
      <c r="J4493" s="3">
        <f t="shared" si="70"/>
        <v>43748.782831597222</v>
      </c>
    </row>
    <row r="4494" spans="1:10" x14ac:dyDescent="0.25">
      <c r="A4494" s="5" t="s">
        <v>34625</v>
      </c>
      <c r="B4494" s="6">
        <v>400</v>
      </c>
      <c r="C4494" s="6">
        <v>20.478950000000001</v>
      </c>
      <c r="D4494" s="6">
        <v>67</v>
      </c>
      <c r="E4494" s="6">
        <v>0</v>
      </c>
      <c r="F4494" s="6">
        <v>0</v>
      </c>
      <c r="G4494" s="6">
        <v>23</v>
      </c>
      <c r="H4494" s="6" t="s">
        <v>34626</v>
      </c>
      <c r="I4494" s="6">
        <v>528.375</v>
      </c>
      <c r="J4494" s="2">
        <f t="shared" si="70"/>
        <v>43748.782915150463</v>
      </c>
    </row>
    <row r="4495" spans="1:10" x14ac:dyDescent="0.25">
      <c r="A4495" s="7" t="s">
        <v>34627</v>
      </c>
      <c r="B4495" s="8">
        <v>400</v>
      </c>
      <c r="C4495" s="8">
        <v>20.478950000000001</v>
      </c>
      <c r="D4495" s="8">
        <v>67</v>
      </c>
      <c r="E4495" s="8">
        <v>0</v>
      </c>
      <c r="F4495" s="8">
        <v>0</v>
      </c>
      <c r="G4495" s="8">
        <v>25</v>
      </c>
      <c r="H4495" s="8" t="s">
        <v>34628</v>
      </c>
      <c r="I4495" s="8">
        <v>528.375</v>
      </c>
      <c r="J4495" s="3">
        <f t="shared" si="70"/>
        <v>43748.78302653935</v>
      </c>
    </row>
    <row r="4496" spans="1:10" x14ac:dyDescent="0.25">
      <c r="A4496" s="5" t="s">
        <v>34629</v>
      </c>
      <c r="B4496" s="6">
        <v>400</v>
      </c>
      <c r="C4496" s="6">
        <v>20.478950000000001</v>
      </c>
      <c r="D4496" s="6">
        <v>65</v>
      </c>
      <c r="E4496" s="6">
        <v>0</v>
      </c>
      <c r="F4496" s="6">
        <v>0</v>
      </c>
      <c r="G4496" s="6">
        <v>11</v>
      </c>
      <c r="H4496" s="6" t="s">
        <v>34630</v>
      </c>
      <c r="I4496" s="6">
        <v>528.375</v>
      </c>
      <c r="J4496" s="2">
        <f t="shared" si="70"/>
        <v>43748.783105925926</v>
      </c>
    </row>
    <row r="4497" spans="1:10" x14ac:dyDescent="0.25">
      <c r="A4497" s="7" t="s">
        <v>34631</v>
      </c>
      <c r="B4497" s="8">
        <v>396.875</v>
      </c>
      <c r="C4497" s="8">
        <v>20.478950000000001</v>
      </c>
      <c r="D4497" s="8">
        <v>66</v>
      </c>
      <c r="E4497" s="8">
        <v>0</v>
      </c>
      <c r="F4497" s="8">
        <v>0</v>
      </c>
      <c r="G4497" s="8">
        <v>16</v>
      </c>
      <c r="H4497" s="8" t="s">
        <v>34632</v>
      </c>
      <c r="I4497" s="8">
        <v>527.4375</v>
      </c>
      <c r="J4497" s="3">
        <f t="shared" si="70"/>
        <v>43748.783189363421</v>
      </c>
    </row>
    <row r="4498" spans="1:10" x14ac:dyDescent="0.25">
      <c r="A4498" s="5" t="s">
        <v>34633</v>
      </c>
      <c r="B4498" s="6">
        <v>396.875</v>
      </c>
      <c r="C4498" s="6">
        <v>20.478950000000001</v>
      </c>
      <c r="D4498" s="6">
        <v>67</v>
      </c>
      <c r="E4498" s="6">
        <v>0</v>
      </c>
      <c r="F4498" s="6">
        <v>0</v>
      </c>
      <c r="G4498" s="6">
        <v>19</v>
      </c>
      <c r="H4498" s="6" t="s">
        <v>34634</v>
      </c>
      <c r="I4498" s="6">
        <v>527.4375</v>
      </c>
      <c r="J4498" s="2">
        <f t="shared" si="70"/>
        <v>43748.783272928238</v>
      </c>
    </row>
    <row r="4499" spans="1:10" x14ac:dyDescent="0.25">
      <c r="A4499" s="7" t="s">
        <v>34635</v>
      </c>
      <c r="B4499" s="8">
        <v>393.75</v>
      </c>
      <c r="C4499" s="8">
        <v>20.478950000000001</v>
      </c>
      <c r="D4499" s="8">
        <v>67</v>
      </c>
      <c r="E4499" s="8">
        <v>0</v>
      </c>
      <c r="F4499" s="8">
        <v>0</v>
      </c>
      <c r="G4499" s="8">
        <v>9</v>
      </c>
      <c r="H4499" s="8" t="s">
        <v>34636</v>
      </c>
      <c r="I4499" s="8">
        <v>526.6875</v>
      </c>
      <c r="J4499" s="3">
        <f t="shared" si="70"/>
        <v>43748.78335636574</v>
      </c>
    </row>
    <row r="4500" spans="1:10" x14ac:dyDescent="0.25">
      <c r="A4500" s="5" t="s">
        <v>34637</v>
      </c>
      <c r="B4500" s="6">
        <v>393.75</v>
      </c>
      <c r="C4500" s="6">
        <v>20.478950000000001</v>
      </c>
      <c r="D4500" s="6">
        <v>68</v>
      </c>
      <c r="E4500" s="6">
        <v>0</v>
      </c>
      <c r="F4500" s="6">
        <v>0</v>
      </c>
      <c r="G4500" s="6">
        <v>23</v>
      </c>
      <c r="H4500" s="6" t="s">
        <v>34638</v>
      </c>
      <c r="I4500" s="6">
        <v>526.6875</v>
      </c>
      <c r="J4500" s="2">
        <f t="shared" si="70"/>
        <v>43748.783439907405</v>
      </c>
    </row>
    <row r="4501" spans="1:10" x14ac:dyDescent="0.25">
      <c r="A4501" s="7" t="s">
        <v>34639</v>
      </c>
      <c r="B4501" s="8">
        <v>412.5</v>
      </c>
      <c r="C4501" s="8">
        <v>20.478950000000001</v>
      </c>
      <c r="D4501" s="8">
        <v>68</v>
      </c>
      <c r="E4501" s="8">
        <v>0</v>
      </c>
      <c r="F4501" s="8">
        <v>0</v>
      </c>
      <c r="G4501" s="8">
        <v>21</v>
      </c>
      <c r="H4501" s="8" t="s">
        <v>34640</v>
      </c>
      <c r="I4501" s="8">
        <v>532.3125</v>
      </c>
      <c r="J4501" s="3">
        <f t="shared" si="70"/>
        <v>43748.783523067126</v>
      </c>
    </row>
    <row r="4502" spans="1:10" x14ac:dyDescent="0.25">
      <c r="A4502" s="5" t="s">
        <v>34641</v>
      </c>
      <c r="B4502" s="6">
        <v>393.75</v>
      </c>
      <c r="C4502" s="6">
        <v>20.478950000000001</v>
      </c>
      <c r="D4502" s="6">
        <v>70</v>
      </c>
      <c r="E4502" s="6">
        <v>0</v>
      </c>
      <c r="F4502" s="6">
        <v>0</v>
      </c>
      <c r="G4502" s="6">
        <v>17</v>
      </c>
      <c r="H4502" s="6" t="s">
        <v>34642</v>
      </c>
      <c r="I4502" s="6">
        <v>526.6875</v>
      </c>
      <c r="J4502" s="2">
        <f t="shared" si="70"/>
        <v>43748.783606840276</v>
      </c>
    </row>
    <row r="4503" spans="1:10" x14ac:dyDescent="0.25">
      <c r="A4503" s="7" t="s">
        <v>34643</v>
      </c>
      <c r="B4503" s="8">
        <v>393.75</v>
      </c>
      <c r="C4503" s="8">
        <v>20.478950000000001</v>
      </c>
      <c r="D4503" s="8">
        <v>68</v>
      </c>
      <c r="E4503" s="8">
        <v>0</v>
      </c>
      <c r="F4503" s="8">
        <v>0</v>
      </c>
      <c r="G4503" s="8">
        <v>10</v>
      </c>
      <c r="H4503" s="8" t="s">
        <v>34644</v>
      </c>
      <c r="I4503" s="8">
        <v>526.6875</v>
      </c>
      <c r="J4503" s="3">
        <f t="shared" si="70"/>
        <v>43748.783690162039</v>
      </c>
    </row>
    <row r="4504" spans="1:10" x14ac:dyDescent="0.25">
      <c r="A4504" s="5" t="s">
        <v>34645</v>
      </c>
      <c r="B4504" s="6">
        <v>393.75</v>
      </c>
      <c r="C4504" s="6">
        <v>20.478950000000001</v>
      </c>
      <c r="D4504" s="6">
        <v>70</v>
      </c>
      <c r="E4504" s="6">
        <v>0</v>
      </c>
      <c r="F4504" s="6">
        <v>0</v>
      </c>
      <c r="G4504" s="6">
        <v>16</v>
      </c>
      <c r="H4504" s="6" t="s">
        <v>34646</v>
      </c>
      <c r="I4504" s="6">
        <v>526.6875</v>
      </c>
      <c r="J4504" s="2">
        <f t="shared" si="70"/>
        <v>43748.783761921295</v>
      </c>
    </row>
    <row r="4505" spans="1:10" x14ac:dyDescent="0.25">
      <c r="A4505" s="7" t="s">
        <v>34647</v>
      </c>
      <c r="B4505" s="8">
        <v>393.75</v>
      </c>
      <c r="C4505" s="8">
        <v>20.478950000000001</v>
      </c>
      <c r="D4505" s="8">
        <v>70</v>
      </c>
      <c r="E4505" s="8">
        <v>0</v>
      </c>
      <c r="F4505" s="8">
        <v>0</v>
      </c>
      <c r="G4505" s="8">
        <v>29</v>
      </c>
      <c r="H4505" s="8" t="s">
        <v>34648</v>
      </c>
      <c r="I4505" s="8">
        <v>526.6875</v>
      </c>
      <c r="J4505" s="3">
        <f t="shared" si="70"/>
        <v>43748.783845138889</v>
      </c>
    </row>
    <row r="4506" spans="1:10" x14ac:dyDescent="0.25">
      <c r="A4506" s="5" t="s">
        <v>34649</v>
      </c>
      <c r="B4506" s="6">
        <v>396.875</v>
      </c>
      <c r="C4506" s="6">
        <v>20.478950000000001</v>
      </c>
      <c r="D4506" s="6">
        <v>70</v>
      </c>
      <c r="E4506" s="6">
        <v>0</v>
      </c>
      <c r="F4506" s="6">
        <v>0</v>
      </c>
      <c r="G4506" s="6">
        <v>21</v>
      </c>
      <c r="H4506" s="6" t="s">
        <v>34650</v>
      </c>
      <c r="I4506" s="6">
        <v>527.4375</v>
      </c>
      <c r="J4506" s="2">
        <f t="shared" si="70"/>
        <v>43748.783916886568</v>
      </c>
    </row>
    <row r="4507" spans="1:10" x14ac:dyDescent="0.25">
      <c r="A4507" s="7" t="s">
        <v>34651</v>
      </c>
      <c r="B4507" s="8">
        <v>396.875</v>
      </c>
      <c r="C4507" s="8">
        <v>20.478950000000001</v>
      </c>
      <c r="D4507" s="8">
        <v>68</v>
      </c>
      <c r="E4507" s="8">
        <v>0</v>
      </c>
      <c r="F4507" s="8">
        <v>0</v>
      </c>
      <c r="G4507" s="8">
        <v>24</v>
      </c>
      <c r="H4507" s="8" t="s">
        <v>34652</v>
      </c>
      <c r="I4507" s="8">
        <v>527.4375</v>
      </c>
      <c r="J4507" s="3">
        <f t="shared" si="70"/>
        <v>43748.78400047453</v>
      </c>
    </row>
    <row r="4508" spans="1:10" x14ac:dyDescent="0.25">
      <c r="A4508" s="5" t="s">
        <v>34653</v>
      </c>
      <c r="B4508" s="6">
        <v>396.875</v>
      </c>
      <c r="C4508" s="6">
        <v>20.478950000000001</v>
      </c>
      <c r="D4508" s="6">
        <v>68</v>
      </c>
      <c r="E4508" s="6">
        <v>0</v>
      </c>
      <c r="F4508" s="6">
        <v>0</v>
      </c>
      <c r="G4508" s="6">
        <v>17</v>
      </c>
      <c r="H4508" s="6" t="s">
        <v>34654</v>
      </c>
      <c r="I4508" s="6">
        <v>527.4375</v>
      </c>
      <c r="J4508" s="2">
        <f t="shared" si="70"/>
        <v>43748.78408391204</v>
      </c>
    </row>
    <row r="4509" spans="1:10" x14ac:dyDescent="0.25">
      <c r="A4509" s="7" t="s">
        <v>34655</v>
      </c>
      <c r="B4509" s="8">
        <v>396.875</v>
      </c>
      <c r="C4509" s="8">
        <v>20.478950000000001</v>
      </c>
      <c r="D4509" s="8">
        <v>67</v>
      </c>
      <c r="E4509" s="8">
        <v>0</v>
      </c>
      <c r="F4509" s="8">
        <v>0</v>
      </c>
      <c r="G4509" s="8">
        <v>24</v>
      </c>
      <c r="H4509" s="8" t="s">
        <v>34656</v>
      </c>
      <c r="I4509" s="8">
        <v>527.4375</v>
      </c>
      <c r="J4509" s="3">
        <f t="shared" si="70"/>
        <v>43748.784167372687</v>
      </c>
    </row>
    <row r="4510" spans="1:10" x14ac:dyDescent="0.25">
      <c r="A4510" s="5" t="s">
        <v>34657</v>
      </c>
      <c r="B4510" s="6">
        <v>393.75</v>
      </c>
      <c r="C4510" s="6">
        <v>20.478950000000001</v>
      </c>
      <c r="D4510" s="6">
        <v>68</v>
      </c>
      <c r="E4510" s="6">
        <v>0</v>
      </c>
      <c r="F4510" s="6">
        <v>0</v>
      </c>
      <c r="G4510" s="6">
        <v>22</v>
      </c>
      <c r="H4510" s="6" t="s">
        <v>34658</v>
      </c>
      <c r="I4510" s="6">
        <v>526.6875</v>
      </c>
      <c r="J4510" s="2">
        <f t="shared" si="70"/>
        <v>43748.784251388883</v>
      </c>
    </row>
    <row r="4511" spans="1:10" x14ac:dyDescent="0.25">
      <c r="A4511" s="7" t="s">
        <v>34659</v>
      </c>
      <c r="B4511" s="8">
        <v>396.875</v>
      </c>
      <c r="C4511" s="8">
        <v>20.478950000000001</v>
      </c>
      <c r="D4511" s="8">
        <v>68</v>
      </c>
      <c r="E4511" s="8">
        <v>0</v>
      </c>
      <c r="F4511" s="8">
        <v>0</v>
      </c>
      <c r="G4511" s="8">
        <v>25</v>
      </c>
      <c r="H4511" s="8" t="s">
        <v>34660</v>
      </c>
      <c r="I4511" s="8">
        <v>527.4375</v>
      </c>
      <c r="J4511" s="3">
        <f t="shared" si="70"/>
        <v>43748.784334039352</v>
      </c>
    </row>
    <row r="4512" spans="1:10" x14ac:dyDescent="0.25">
      <c r="A4512" s="5" t="s">
        <v>34661</v>
      </c>
      <c r="B4512" s="6">
        <v>396.875</v>
      </c>
      <c r="C4512" s="6">
        <v>20.478950000000001</v>
      </c>
      <c r="D4512" s="6">
        <v>68</v>
      </c>
      <c r="E4512" s="6">
        <v>0</v>
      </c>
      <c r="F4512" s="6">
        <v>0</v>
      </c>
      <c r="G4512" s="6">
        <v>18</v>
      </c>
      <c r="H4512" s="6" t="s">
        <v>34662</v>
      </c>
      <c r="I4512" s="6">
        <v>527.625</v>
      </c>
      <c r="J4512" s="2">
        <f t="shared" si="70"/>
        <v>43748.784405439808</v>
      </c>
    </row>
    <row r="4513" spans="1:10" x14ac:dyDescent="0.25">
      <c r="A4513" s="7" t="s">
        <v>34663</v>
      </c>
      <c r="B4513" s="8">
        <v>400</v>
      </c>
      <c r="C4513" s="8">
        <v>20.478950000000001</v>
      </c>
      <c r="D4513" s="8">
        <v>68</v>
      </c>
      <c r="E4513" s="8">
        <v>0</v>
      </c>
      <c r="F4513" s="8">
        <v>0</v>
      </c>
      <c r="G4513" s="8">
        <v>22</v>
      </c>
      <c r="H4513" s="8" t="s">
        <v>34664</v>
      </c>
      <c r="I4513" s="8">
        <v>528.1875</v>
      </c>
      <c r="J4513" s="3">
        <f t="shared" si="70"/>
        <v>43748.784477430549</v>
      </c>
    </row>
    <row r="4514" spans="1:10" x14ac:dyDescent="0.25">
      <c r="A4514" s="5" t="s">
        <v>34665</v>
      </c>
      <c r="B4514" s="6">
        <v>403.125</v>
      </c>
      <c r="C4514" s="6">
        <v>20.478950000000001</v>
      </c>
      <c r="D4514" s="6">
        <v>67</v>
      </c>
      <c r="E4514" s="6">
        <v>0</v>
      </c>
      <c r="F4514" s="6">
        <v>0</v>
      </c>
      <c r="G4514" s="6">
        <v>23</v>
      </c>
      <c r="H4514" s="6" t="s">
        <v>34666</v>
      </c>
      <c r="I4514" s="6">
        <v>529.125</v>
      </c>
      <c r="J4514" s="2">
        <f t="shared" si="70"/>
        <v>43748.784560891203</v>
      </c>
    </row>
    <row r="4515" spans="1:10" x14ac:dyDescent="0.25">
      <c r="A4515" s="7" t="s">
        <v>34667</v>
      </c>
      <c r="B4515" s="8">
        <v>403.125</v>
      </c>
      <c r="C4515" s="8">
        <v>20.478950000000001</v>
      </c>
      <c r="D4515" s="8">
        <v>66</v>
      </c>
      <c r="E4515" s="8">
        <v>0</v>
      </c>
      <c r="F4515" s="8">
        <v>0</v>
      </c>
      <c r="G4515" s="8">
        <v>25</v>
      </c>
      <c r="H4515" s="8" t="s">
        <v>34668</v>
      </c>
      <c r="I4515" s="8">
        <v>529.875</v>
      </c>
      <c r="J4515" s="3">
        <f t="shared" si="70"/>
        <v>43748.784632418981</v>
      </c>
    </row>
    <row r="4516" spans="1:10" x14ac:dyDescent="0.25">
      <c r="A4516" s="5" t="s">
        <v>34669</v>
      </c>
      <c r="B4516" s="6">
        <v>403.125</v>
      </c>
      <c r="C4516" s="6">
        <v>20.478950000000001</v>
      </c>
      <c r="D4516" s="6">
        <v>66</v>
      </c>
      <c r="E4516" s="6">
        <v>0</v>
      </c>
      <c r="F4516" s="6">
        <v>0</v>
      </c>
      <c r="G4516" s="6">
        <v>23</v>
      </c>
      <c r="H4516" s="6" t="s">
        <v>34670</v>
      </c>
      <c r="I4516" s="6">
        <v>529.125</v>
      </c>
      <c r="J4516" s="2">
        <f t="shared" si="70"/>
        <v>43748.784715636568</v>
      </c>
    </row>
    <row r="4517" spans="1:10" x14ac:dyDescent="0.25">
      <c r="A4517" s="7" t="s">
        <v>34671</v>
      </c>
      <c r="B4517" s="8">
        <v>403.125</v>
      </c>
      <c r="C4517" s="8">
        <v>20.478950000000001</v>
      </c>
      <c r="D4517" s="8">
        <v>66</v>
      </c>
      <c r="E4517" s="8">
        <v>0</v>
      </c>
      <c r="F4517" s="8">
        <v>0</v>
      </c>
      <c r="G4517" s="8">
        <v>25</v>
      </c>
      <c r="H4517" s="8" t="s">
        <v>34672</v>
      </c>
      <c r="I4517" s="8">
        <v>529.125</v>
      </c>
      <c r="J4517" s="3">
        <f t="shared" si="70"/>
        <v>43748.784787280085</v>
      </c>
    </row>
    <row r="4518" spans="1:10" x14ac:dyDescent="0.25">
      <c r="A4518" s="5" t="s">
        <v>34673</v>
      </c>
      <c r="B4518" s="6">
        <v>400</v>
      </c>
      <c r="C4518" s="6">
        <v>20.478950000000001</v>
      </c>
      <c r="D4518" s="6">
        <v>66</v>
      </c>
      <c r="E4518" s="6">
        <v>0</v>
      </c>
      <c r="F4518" s="6">
        <v>0</v>
      </c>
      <c r="G4518" s="6">
        <v>13</v>
      </c>
      <c r="H4518" s="6" t="s">
        <v>34674</v>
      </c>
      <c r="I4518" s="6">
        <v>528.9375</v>
      </c>
      <c r="J4518" s="2">
        <f t="shared" si="70"/>
        <v>43748.784886319445</v>
      </c>
    </row>
    <row r="4519" spans="1:10" x14ac:dyDescent="0.25">
      <c r="A4519" s="7" t="s">
        <v>34675</v>
      </c>
      <c r="B4519" s="8">
        <v>403.125</v>
      </c>
      <c r="C4519" s="8">
        <v>20.478950000000001</v>
      </c>
      <c r="D4519" s="8">
        <v>66</v>
      </c>
      <c r="E4519" s="8">
        <v>0</v>
      </c>
      <c r="F4519" s="8">
        <v>0</v>
      </c>
      <c r="G4519" s="8">
        <v>17</v>
      </c>
      <c r="H4519" s="8" t="s">
        <v>34676</v>
      </c>
      <c r="I4519" s="8">
        <v>529.125</v>
      </c>
      <c r="J4519" s="3">
        <f t="shared" si="70"/>
        <v>43748.784966446758</v>
      </c>
    </row>
    <row r="4520" spans="1:10" x14ac:dyDescent="0.25">
      <c r="A4520" s="5" t="s">
        <v>34677</v>
      </c>
      <c r="B4520" s="6">
        <v>403.125</v>
      </c>
      <c r="C4520" s="6">
        <v>20.478950000000001</v>
      </c>
      <c r="D4520" s="6">
        <v>66</v>
      </c>
      <c r="E4520" s="6">
        <v>0</v>
      </c>
      <c r="F4520" s="6">
        <v>0</v>
      </c>
      <c r="G4520" s="6">
        <v>17</v>
      </c>
      <c r="H4520" s="6" t="s">
        <v>34678</v>
      </c>
      <c r="I4520" s="6">
        <v>529.125</v>
      </c>
      <c r="J4520" s="2">
        <f t="shared" si="70"/>
        <v>43748.785049907405</v>
      </c>
    </row>
    <row r="4521" spans="1:10" x14ac:dyDescent="0.25">
      <c r="A4521" s="7" t="s">
        <v>34679</v>
      </c>
      <c r="B4521" s="8">
        <v>403.125</v>
      </c>
      <c r="C4521" s="8">
        <v>20.478950000000001</v>
      </c>
      <c r="D4521" s="8">
        <v>67</v>
      </c>
      <c r="E4521" s="8">
        <v>0</v>
      </c>
      <c r="F4521" s="8">
        <v>0</v>
      </c>
      <c r="G4521" s="8">
        <v>20</v>
      </c>
      <c r="H4521" s="8" t="s">
        <v>34680</v>
      </c>
      <c r="I4521" s="8">
        <v>529.125</v>
      </c>
      <c r="J4521" s="3">
        <f t="shared" si="70"/>
        <v>43748.785133333331</v>
      </c>
    </row>
    <row r="4522" spans="1:10" x14ac:dyDescent="0.25">
      <c r="A4522" s="5" t="s">
        <v>34681</v>
      </c>
      <c r="B4522" s="6">
        <v>403.125</v>
      </c>
      <c r="C4522" s="6">
        <v>20.478950000000001</v>
      </c>
      <c r="D4522" s="6">
        <v>66</v>
      </c>
      <c r="E4522" s="6">
        <v>0</v>
      </c>
      <c r="F4522" s="6">
        <v>0</v>
      </c>
      <c r="G4522" s="6">
        <v>22</v>
      </c>
      <c r="H4522" s="6" t="s">
        <v>34682</v>
      </c>
      <c r="I4522" s="6">
        <v>529.125</v>
      </c>
      <c r="J4522" s="2">
        <f t="shared" si="70"/>
        <v>43748.785216898141</v>
      </c>
    </row>
    <row r="4523" spans="1:10" x14ac:dyDescent="0.25">
      <c r="A4523" s="7" t="s">
        <v>34683</v>
      </c>
      <c r="B4523" s="8">
        <v>403.125</v>
      </c>
      <c r="C4523" s="8">
        <v>20.478950000000001</v>
      </c>
      <c r="D4523" s="8">
        <v>65</v>
      </c>
      <c r="E4523" s="8">
        <v>0</v>
      </c>
      <c r="F4523" s="8">
        <v>0</v>
      </c>
      <c r="G4523" s="8">
        <v>19</v>
      </c>
      <c r="H4523" s="8" t="s">
        <v>34684</v>
      </c>
      <c r="I4523" s="8">
        <v>529.125</v>
      </c>
      <c r="J4523" s="3">
        <f t="shared" si="70"/>
        <v>43748.785300347219</v>
      </c>
    </row>
    <row r="4524" spans="1:10" x14ac:dyDescent="0.25">
      <c r="A4524" s="5" t="s">
        <v>34685</v>
      </c>
      <c r="B4524" s="6">
        <v>443.75</v>
      </c>
      <c r="C4524" s="6">
        <v>20.478950000000001</v>
      </c>
      <c r="D4524" s="6">
        <v>65</v>
      </c>
      <c r="E4524" s="6">
        <v>0</v>
      </c>
      <c r="F4524" s="6">
        <v>0</v>
      </c>
      <c r="G4524" s="6">
        <v>11</v>
      </c>
      <c r="H4524" s="6" t="s">
        <v>34686</v>
      </c>
      <c r="I4524" s="6">
        <v>542.25</v>
      </c>
      <c r="J4524" s="2">
        <f t="shared" si="70"/>
        <v>43748.785383819442</v>
      </c>
    </row>
    <row r="4525" spans="1:10" x14ac:dyDescent="0.25">
      <c r="A4525" s="7" t="s">
        <v>34687</v>
      </c>
      <c r="B4525" s="8">
        <v>396.875</v>
      </c>
      <c r="C4525" s="8">
        <v>20.478950000000001</v>
      </c>
      <c r="D4525" s="8">
        <v>65</v>
      </c>
      <c r="E4525" s="8">
        <v>0</v>
      </c>
      <c r="F4525" s="8">
        <v>0</v>
      </c>
      <c r="G4525" s="8">
        <v>22</v>
      </c>
      <c r="H4525" s="8" t="s">
        <v>34688</v>
      </c>
      <c r="I4525" s="8">
        <v>527.4375</v>
      </c>
      <c r="J4525" s="3">
        <f t="shared" si="70"/>
        <v>43748.785467361107</v>
      </c>
    </row>
    <row r="4526" spans="1:10" x14ac:dyDescent="0.25">
      <c r="A4526" s="5" t="s">
        <v>34689</v>
      </c>
      <c r="B4526" s="6">
        <v>396.875</v>
      </c>
      <c r="C4526" s="6">
        <v>20.478950000000001</v>
      </c>
      <c r="D4526" s="6">
        <v>66</v>
      </c>
      <c r="E4526" s="6">
        <v>0</v>
      </c>
      <c r="F4526" s="6">
        <v>0</v>
      </c>
      <c r="G4526" s="6">
        <v>15</v>
      </c>
      <c r="H4526" s="6" t="s">
        <v>34690</v>
      </c>
      <c r="I4526" s="6">
        <v>527.4375</v>
      </c>
      <c r="J4526" s="2">
        <f t="shared" si="70"/>
        <v>43748.78555083333</v>
      </c>
    </row>
    <row r="4527" spans="1:10" x14ac:dyDescent="0.25">
      <c r="A4527" s="7" t="s">
        <v>34691</v>
      </c>
      <c r="B4527" s="8">
        <v>396.875</v>
      </c>
      <c r="C4527" s="8">
        <v>20.478950000000001</v>
      </c>
      <c r="D4527" s="8">
        <v>66</v>
      </c>
      <c r="E4527" s="8">
        <v>0</v>
      </c>
      <c r="F4527" s="8">
        <v>0</v>
      </c>
      <c r="G4527" s="8">
        <v>20</v>
      </c>
      <c r="H4527" s="8" t="s">
        <v>34692</v>
      </c>
      <c r="I4527" s="8">
        <v>527.4375</v>
      </c>
      <c r="J4527" s="3">
        <f t="shared" si="70"/>
        <v>43748.785634050924</v>
      </c>
    </row>
    <row r="4528" spans="1:10" x14ac:dyDescent="0.25">
      <c r="A4528" s="5" t="s">
        <v>34693</v>
      </c>
      <c r="B4528" s="6">
        <v>396.875</v>
      </c>
      <c r="C4528" s="6">
        <v>20.478950000000001</v>
      </c>
      <c r="D4528" s="6">
        <v>66</v>
      </c>
      <c r="E4528" s="6">
        <v>0</v>
      </c>
      <c r="F4528" s="6">
        <v>0</v>
      </c>
      <c r="G4528" s="6">
        <v>20</v>
      </c>
      <c r="H4528" s="6" t="s">
        <v>34694</v>
      </c>
      <c r="I4528" s="6">
        <v>527.4375</v>
      </c>
      <c r="J4528" s="2">
        <f t="shared" si="70"/>
        <v>43748.78570591435</v>
      </c>
    </row>
    <row r="4529" spans="1:10" x14ac:dyDescent="0.25">
      <c r="A4529" s="7" t="s">
        <v>34695</v>
      </c>
      <c r="B4529" s="8">
        <v>437.5</v>
      </c>
      <c r="C4529" s="8">
        <v>20.478950000000001</v>
      </c>
      <c r="D4529" s="8">
        <v>66</v>
      </c>
      <c r="E4529" s="8">
        <v>0</v>
      </c>
      <c r="F4529" s="8">
        <v>0</v>
      </c>
      <c r="G4529" s="8">
        <v>17</v>
      </c>
      <c r="H4529" s="8" t="s">
        <v>34696</v>
      </c>
      <c r="I4529" s="8">
        <v>540</v>
      </c>
      <c r="J4529" s="3">
        <f t="shared" si="70"/>
        <v>43748.785789374997</v>
      </c>
    </row>
    <row r="4530" spans="1:10" x14ac:dyDescent="0.25">
      <c r="A4530" s="5" t="s">
        <v>34697</v>
      </c>
      <c r="B4530" s="6">
        <v>400</v>
      </c>
      <c r="C4530" s="6">
        <v>20.478950000000001</v>
      </c>
      <c r="D4530" s="6">
        <v>66</v>
      </c>
      <c r="E4530" s="6">
        <v>0</v>
      </c>
      <c r="F4530" s="6">
        <v>0</v>
      </c>
      <c r="G4530" s="6">
        <v>21</v>
      </c>
      <c r="H4530" s="6" t="s">
        <v>34698</v>
      </c>
      <c r="I4530" s="6">
        <v>528.375</v>
      </c>
      <c r="J4530" s="2">
        <f t="shared" si="70"/>
        <v>43748.78586087963</v>
      </c>
    </row>
    <row r="4531" spans="1:10" x14ac:dyDescent="0.25">
      <c r="A4531" s="7" t="s">
        <v>34699</v>
      </c>
      <c r="B4531" s="8">
        <v>400</v>
      </c>
      <c r="C4531" s="8">
        <v>20.478950000000001</v>
      </c>
      <c r="D4531" s="8">
        <v>66</v>
      </c>
      <c r="E4531" s="8">
        <v>0</v>
      </c>
      <c r="F4531" s="8">
        <v>0</v>
      </c>
      <c r="G4531" s="8">
        <v>20</v>
      </c>
      <c r="H4531" s="8" t="s">
        <v>34700</v>
      </c>
      <c r="I4531" s="8">
        <v>528.375</v>
      </c>
      <c r="J4531" s="3">
        <f t="shared" si="70"/>
        <v>43748.785932511571</v>
      </c>
    </row>
    <row r="4532" spans="1:10" x14ac:dyDescent="0.25">
      <c r="A4532" s="5" t="s">
        <v>34701</v>
      </c>
      <c r="B4532" s="6">
        <v>403.125</v>
      </c>
      <c r="C4532" s="6">
        <v>20.478950000000001</v>
      </c>
      <c r="D4532" s="6">
        <v>66</v>
      </c>
      <c r="E4532" s="6">
        <v>0</v>
      </c>
      <c r="F4532" s="6">
        <v>0</v>
      </c>
      <c r="G4532" s="6">
        <v>18</v>
      </c>
      <c r="H4532" s="6" t="s">
        <v>34702</v>
      </c>
      <c r="I4532" s="6">
        <v>529.125</v>
      </c>
      <c r="J4532" s="2">
        <f t="shared" si="70"/>
        <v>43748.786015648147</v>
      </c>
    </row>
    <row r="4533" spans="1:10" x14ac:dyDescent="0.25">
      <c r="A4533" s="7" t="s">
        <v>34703</v>
      </c>
      <c r="B4533" s="8">
        <v>403.125</v>
      </c>
      <c r="C4533" s="8">
        <v>20.478950000000001</v>
      </c>
      <c r="D4533" s="8">
        <v>66</v>
      </c>
      <c r="E4533" s="8">
        <v>0</v>
      </c>
      <c r="F4533" s="8">
        <v>0</v>
      </c>
      <c r="G4533" s="8">
        <v>23</v>
      </c>
      <c r="H4533" s="8" t="s">
        <v>34704</v>
      </c>
      <c r="I4533" s="8">
        <v>529.125</v>
      </c>
      <c r="J4533" s="3">
        <f t="shared" si="70"/>
        <v>43748.78608730324</v>
      </c>
    </row>
    <row r="4534" spans="1:10" x14ac:dyDescent="0.25">
      <c r="A4534" s="5" t="s">
        <v>34705</v>
      </c>
      <c r="B4534" s="6">
        <v>403.125</v>
      </c>
      <c r="C4534" s="6">
        <v>20.478950000000001</v>
      </c>
      <c r="D4534" s="6">
        <v>71</v>
      </c>
      <c r="E4534" s="6">
        <v>0</v>
      </c>
      <c r="F4534" s="6">
        <v>0</v>
      </c>
      <c r="G4534" s="6">
        <v>19</v>
      </c>
      <c r="H4534" s="6" t="s">
        <v>34706</v>
      </c>
      <c r="I4534" s="6">
        <v>529.125</v>
      </c>
      <c r="J4534" s="2">
        <f t="shared" si="70"/>
        <v>43748.78617107639</v>
      </c>
    </row>
    <row r="4535" spans="1:10" x14ac:dyDescent="0.25">
      <c r="A4535" s="7" t="s">
        <v>34707</v>
      </c>
      <c r="B4535" s="8">
        <v>403.125</v>
      </c>
      <c r="C4535" s="8">
        <v>20.478950000000001</v>
      </c>
      <c r="D4535" s="8">
        <v>69</v>
      </c>
      <c r="E4535" s="8">
        <v>0</v>
      </c>
      <c r="F4535" s="8">
        <v>0</v>
      </c>
      <c r="G4535" s="8">
        <v>20</v>
      </c>
      <c r="H4535" s="8" t="s">
        <v>34708</v>
      </c>
      <c r="I4535" s="8">
        <v>529.125</v>
      </c>
      <c r="J4535" s="3">
        <f t="shared" si="70"/>
        <v>43748.786254525461</v>
      </c>
    </row>
    <row r="4536" spans="1:10" x14ac:dyDescent="0.25">
      <c r="A4536" s="5" t="s">
        <v>34709</v>
      </c>
      <c r="B4536" s="6">
        <v>403.125</v>
      </c>
      <c r="C4536" s="6">
        <v>20.478950000000001</v>
      </c>
      <c r="D4536" s="6">
        <v>64</v>
      </c>
      <c r="E4536" s="6">
        <v>0</v>
      </c>
      <c r="F4536" s="6">
        <v>0</v>
      </c>
      <c r="G4536" s="6">
        <v>20</v>
      </c>
      <c r="H4536" s="6" t="s">
        <v>34710</v>
      </c>
      <c r="I4536" s="6">
        <v>529.875</v>
      </c>
      <c r="J4536" s="2">
        <f t="shared" si="70"/>
        <v>43748.786326099536</v>
      </c>
    </row>
    <row r="4537" spans="1:10" x14ac:dyDescent="0.25">
      <c r="A4537" s="7" t="s">
        <v>34711</v>
      </c>
      <c r="B4537" s="8">
        <v>403.125</v>
      </c>
      <c r="C4537" s="8">
        <v>20.478950000000001</v>
      </c>
      <c r="D4537" s="8">
        <v>68</v>
      </c>
      <c r="E4537" s="8">
        <v>0</v>
      </c>
      <c r="F4537" s="8">
        <v>0</v>
      </c>
      <c r="G4537" s="8">
        <v>14</v>
      </c>
      <c r="H4537" s="8" t="s">
        <v>34712</v>
      </c>
      <c r="I4537" s="8">
        <v>529.875</v>
      </c>
      <c r="J4537" s="3">
        <f t="shared" si="70"/>
        <v>43748.786409502318</v>
      </c>
    </row>
    <row r="4538" spans="1:10" x14ac:dyDescent="0.25">
      <c r="A4538" s="5" t="s">
        <v>34713</v>
      </c>
      <c r="B4538" s="6">
        <v>406.25</v>
      </c>
      <c r="C4538" s="6">
        <v>20.478950000000001</v>
      </c>
      <c r="D4538" s="6">
        <v>68</v>
      </c>
      <c r="E4538" s="6">
        <v>0</v>
      </c>
      <c r="F4538" s="6">
        <v>0</v>
      </c>
      <c r="G4538" s="6">
        <v>14</v>
      </c>
      <c r="H4538" s="6" t="s">
        <v>34714</v>
      </c>
      <c r="I4538" s="6">
        <v>530.625</v>
      </c>
      <c r="J4538" s="2">
        <f t="shared" si="70"/>
        <v>43748.786493067128</v>
      </c>
    </row>
    <row r="4539" spans="1:10" x14ac:dyDescent="0.25">
      <c r="A4539" s="7" t="s">
        <v>34715</v>
      </c>
      <c r="B4539" s="8">
        <v>406.25</v>
      </c>
      <c r="C4539" s="8">
        <v>20.478950000000001</v>
      </c>
      <c r="D4539" s="8">
        <v>68</v>
      </c>
      <c r="E4539" s="8">
        <v>0</v>
      </c>
      <c r="F4539" s="8">
        <v>0</v>
      </c>
      <c r="G4539" s="8">
        <v>18</v>
      </c>
      <c r="H4539" s="8" t="s">
        <v>34716</v>
      </c>
      <c r="I4539" s="8">
        <v>530.625</v>
      </c>
      <c r="J4539" s="3">
        <f t="shared" si="70"/>
        <v>43748.786576504623</v>
      </c>
    </row>
    <row r="4540" spans="1:10" x14ac:dyDescent="0.25">
      <c r="A4540" s="5" t="s">
        <v>34717</v>
      </c>
      <c r="B4540" s="6">
        <v>406.25</v>
      </c>
      <c r="C4540" s="6">
        <v>20.478950000000001</v>
      </c>
      <c r="D4540" s="6">
        <v>68</v>
      </c>
      <c r="E4540" s="6">
        <v>0</v>
      </c>
      <c r="F4540" s="6">
        <v>0</v>
      </c>
      <c r="G4540" s="6">
        <v>12</v>
      </c>
      <c r="H4540" s="6" t="s">
        <v>34718</v>
      </c>
      <c r="I4540" s="6">
        <v>530.625</v>
      </c>
      <c r="J4540" s="2">
        <f t="shared" si="70"/>
        <v>43748.786659976853</v>
      </c>
    </row>
    <row r="4541" spans="1:10" x14ac:dyDescent="0.25">
      <c r="A4541" s="7" t="s">
        <v>34719</v>
      </c>
      <c r="B4541" s="8">
        <v>406.25</v>
      </c>
      <c r="C4541" s="8">
        <v>20.478950000000001</v>
      </c>
      <c r="D4541" s="8">
        <v>69</v>
      </c>
      <c r="E4541" s="8">
        <v>0</v>
      </c>
      <c r="F4541" s="8">
        <v>0</v>
      </c>
      <c r="G4541" s="8">
        <v>12</v>
      </c>
      <c r="H4541" s="8" t="s">
        <v>34720</v>
      </c>
      <c r="I4541" s="8">
        <v>530.625</v>
      </c>
      <c r="J4541" s="3">
        <f t="shared" si="70"/>
        <v>43748.786743518511</v>
      </c>
    </row>
    <row r="4542" spans="1:10" x14ac:dyDescent="0.25">
      <c r="A4542" s="5" t="s">
        <v>34721</v>
      </c>
      <c r="B4542" s="6">
        <v>406.25</v>
      </c>
      <c r="C4542" s="6">
        <v>20.478950000000001</v>
      </c>
      <c r="D4542" s="6">
        <v>69</v>
      </c>
      <c r="E4542" s="6">
        <v>0</v>
      </c>
      <c r="F4542" s="6">
        <v>0</v>
      </c>
      <c r="G4542" s="6">
        <v>22</v>
      </c>
      <c r="H4542" s="6" t="s">
        <v>34722</v>
      </c>
      <c r="I4542" s="6">
        <v>530.625</v>
      </c>
      <c r="J4542" s="2">
        <f t="shared" si="70"/>
        <v>43748.786826747681</v>
      </c>
    </row>
    <row r="4543" spans="1:10" x14ac:dyDescent="0.25">
      <c r="A4543" s="7" t="s">
        <v>34723</v>
      </c>
      <c r="B4543" s="8">
        <v>406.25</v>
      </c>
      <c r="C4543" s="8">
        <v>20.478950000000001</v>
      </c>
      <c r="D4543" s="8">
        <v>69</v>
      </c>
      <c r="E4543" s="8">
        <v>0</v>
      </c>
      <c r="F4543" s="8">
        <v>0</v>
      </c>
      <c r="G4543" s="8">
        <v>16</v>
      </c>
      <c r="H4543" s="8" t="s">
        <v>34724</v>
      </c>
      <c r="I4543" s="8">
        <v>530.625</v>
      </c>
      <c r="J4543" s="3">
        <f t="shared" si="70"/>
        <v>43748.786898379629</v>
      </c>
    </row>
    <row r="4544" spans="1:10" x14ac:dyDescent="0.25">
      <c r="A4544" s="5" t="s">
        <v>34725</v>
      </c>
      <c r="B4544" s="6">
        <v>406.25</v>
      </c>
      <c r="C4544" s="6">
        <v>20.478950000000001</v>
      </c>
      <c r="D4544" s="6">
        <v>68</v>
      </c>
      <c r="E4544" s="6">
        <v>0</v>
      </c>
      <c r="F4544" s="6">
        <v>0</v>
      </c>
      <c r="G4544" s="6">
        <v>14</v>
      </c>
      <c r="H4544" s="6" t="s">
        <v>34726</v>
      </c>
      <c r="I4544" s="6">
        <v>530.625</v>
      </c>
      <c r="J4544" s="2">
        <f t="shared" si="70"/>
        <v>43748.786982187499</v>
      </c>
    </row>
    <row r="4545" spans="1:10" x14ac:dyDescent="0.25">
      <c r="A4545" s="7" t="s">
        <v>34727</v>
      </c>
      <c r="B4545" s="8">
        <v>403.125</v>
      </c>
      <c r="C4545" s="8">
        <v>20.478950000000001</v>
      </c>
      <c r="D4545" s="8">
        <v>69</v>
      </c>
      <c r="E4545" s="8">
        <v>0</v>
      </c>
      <c r="F4545" s="8">
        <v>0</v>
      </c>
      <c r="G4545" s="8">
        <v>16</v>
      </c>
      <c r="H4545" s="8" t="s">
        <v>34728</v>
      </c>
      <c r="I4545" s="8">
        <v>529.875</v>
      </c>
      <c r="J4545" s="3">
        <f t="shared" si="70"/>
        <v>43748.787053842585</v>
      </c>
    </row>
    <row r="4546" spans="1:10" x14ac:dyDescent="0.25">
      <c r="A4546" s="5" t="s">
        <v>34729</v>
      </c>
      <c r="B4546" s="6">
        <v>403.125</v>
      </c>
      <c r="C4546" s="6">
        <v>20.478950000000001</v>
      </c>
      <c r="D4546" s="6">
        <v>69</v>
      </c>
      <c r="E4546" s="6">
        <v>0</v>
      </c>
      <c r="F4546" s="6">
        <v>0</v>
      </c>
      <c r="G4546" s="6">
        <v>16</v>
      </c>
      <c r="H4546" s="6" t="s">
        <v>34730</v>
      </c>
      <c r="I4546" s="6">
        <v>529.125</v>
      </c>
      <c r="J4546" s="2">
        <f t="shared" ref="J4546:J4609" si="71">(H4546/86400000)+25569+(7/24)</f>
        <v>43748.787137164349</v>
      </c>
    </row>
    <row r="4547" spans="1:10" x14ac:dyDescent="0.25">
      <c r="A4547" s="7" t="s">
        <v>34731</v>
      </c>
      <c r="B4547" s="8">
        <v>403.125</v>
      </c>
      <c r="C4547" s="8">
        <v>20.478950000000001</v>
      </c>
      <c r="D4547" s="8">
        <v>68</v>
      </c>
      <c r="E4547" s="8">
        <v>0</v>
      </c>
      <c r="F4547" s="8">
        <v>0</v>
      </c>
      <c r="G4547" s="8">
        <v>24</v>
      </c>
      <c r="H4547" s="8" t="s">
        <v>34732</v>
      </c>
      <c r="I4547" s="8">
        <v>529.125</v>
      </c>
      <c r="J4547" s="3">
        <f t="shared" si="71"/>
        <v>43748.787220601851</v>
      </c>
    </row>
    <row r="4548" spans="1:10" x14ac:dyDescent="0.25">
      <c r="A4548" s="5" t="s">
        <v>34733</v>
      </c>
      <c r="B4548" s="6">
        <v>421.875</v>
      </c>
      <c r="C4548" s="6">
        <v>20.478950000000001</v>
      </c>
      <c r="D4548" s="6">
        <v>68</v>
      </c>
      <c r="E4548" s="6">
        <v>0</v>
      </c>
      <c r="F4548" s="6">
        <v>0</v>
      </c>
      <c r="G4548" s="6">
        <v>17</v>
      </c>
      <c r="H4548" s="6" t="s">
        <v>34734</v>
      </c>
      <c r="I4548" s="6">
        <v>535.125</v>
      </c>
      <c r="J4548" s="2">
        <f t="shared" si="71"/>
        <v>43748.787304166668</v>
      </c>
    </row>
    <row r="4549" spans="1:10" x14ac:dyDescent="0.25">
      <c r="A4549" s="7" t="s">
        <v>34735</v>
      </c>
      <c r="B4549" s="8">
        <v>403.125</v>
      </c>
      <c r="C4549" s="8">
        <v>20.478950000000001</v>
      </c>
      <c r="D4549" s="8">
        <v>67</v>
      </c>
      <c r="E4549" s="8">
        <v>0</v>
      </c>
      <c r="F4549" s="8">
        <v>0</v>
      </c>
      <c r="G4549" s="8">
        <v>29</v>
      </c>
      <c r="H4549" s="8" t="s">
        <v>34736</v>
      </c>
      <c r="I4549" s="8">
        <v>529.125</v>
      </c>
      <c r="J4549" s="3">
        <f t="shared" si="71"/>
        <v>43748.787387627315</v>
      </c>
    </row>
    <row r="4550" spans="1:10" x14ac:dyDescent="0.25">
      <c r="A4550" s="5" t="s">
        <v>34737</v>
      </c>
      <c r="B4550" s="6">
        <v>400</v>
      </c>
      <c r="C4550" s="6">
        <v>20.478950000000001</v>
      </c>
      <c r="D4550" s="6">
        <v>68</v>
      </c>
      <c r="E4550" s="6">
        <v>0</v>
      </c>
      <c r="F4550" s="6">
        <v>0</v>
      </c>
      <c r="G4550" s="6">
        <v>23</v>
      </c>
      <c r="H4550" s="6" t="s">
        <v>34738</v>
      </c>
      <c r="I4550" s="6">
        <v>528.9375</v>
      </c>
      <c r="J4550" s="2">
        <f t="shared" si="71"/>
        <v>43748.787471087962</v>
      </c>
    </row>
    <row r="4551" spans="1:10" x14ac:dyDescent="0.25">
      <c r="A4551" s="7" t="s">
        <v>34739</v>
      </c>
      <c r="B4551" s="8">
        <v>400</v>
      </c>
      <c r="C4551" s="8">
        <v>20.478950000000001</v>
      </c>
      <c r="D4551" s="8">
        <v>67</v>
      </c>
      <c r="E4551" s="8">
        <v>0</v>
      </c>
      <c r="F4551" s="8">
        <v>0</v>
      </c>
      <c r="G4551" s="8">
        <v>9</v>
      </c>
      <c r="H4551" s="8" t="s">
        <v>34740</v>
      </c>
      <c r="I4551" s="8">
        <v>528.1875</v>
      </c>
      <c r="J4551" s="3">
        <f t="shared" si="71"/>
        <v>43748.787554525457</v>
      </c>
    </row>
    <row r="4552" spans="1:10" x14ac:dyDescent="0.25">
      <c r="A4552" s="5" t="s">
        <v>34741</v>
      </c>
      <c r="B4552" s="6">
        <v>418.75</v>
      </c>
      <c r="C4552" s="6">
        <v>20.478950000000001</v>
      </c>
      <c r="D4552" s="6">
        <v>68</v>
      </c>
      <c r="E4552" s="6">
        <v>0</v>
      </c>
      <c r="F4552" s="6">
        <v>0</v>
      </c>
      <c r="G4552" s="6">
        <v>7</v>
      </c>
      <c r="H4552" s="6" t="s">
        <v>34742</v>
      </c>
      <c r="I4552" s="6">
        <v>534.1875</v>
      </c>
      <c r="J4552" s="2">
        <f t="shared" si="71"/>
        <v>43748.787650057864</v>
      </c>
    </row>
    <row r="4553" spans="1:10" x14ac:dyDescent="0.25">
      <c r="A4553" s="7" t="s">
        <v>34743</v>
      </c>
      <c r="B4553" s="8">
        <v>396.875</v>
      </c>
      <c r="C4553" s="8">
        <v>20.478950000000001</v>
      </c>
      <c r="D4553" s="8">
        <v>68</v>
      </c>
      <c r="E4553" s="8">
        <v>0</v>
      </c>
      <c r="F4553" s="8">
        <v>0</v>
      </c>
      <c r="G4553" s="8">
        <v>19</v>
      </c>
      <c r="H4553" s="8" t="s">
        <v>34744</v>
      </c>
      <c r="I4553" s="8">
        <v>527.4375</v>
      </c>
      <c r="J4553" s="3">
        <f t="shared" si="71"/>
        <v>43748.787733506942</v>
      </c>
    </row>
    <row r="4554" spans="1:10" x14ac:dyDescent="0.25">
      <c r="A4554" s="5" t="s">
        <v>34745</v>
      </c>
      <c r="B4554" s="6">
        <v>393.75</v>
      </c>
      <c r="C4554" s="6">
        <v>20.478950000000001</v>
      </c>
      <c r="D4554" s="6">
        <v>68</v>
      </c>
      <c r="E4554" s="6">
        <v>0</v>
      </c>
      <c r="F4554" s="6">
        <v>0</v>
      </c>
      <c r="G4554" s="6">
        <v>15</v>
      </c>
      <c r="H4554" s="6" t="s">
        <v>34746</v>
      </c>
      <c r="I4554" s="6">
        <v>526.6875</v>
      </c>
      <c r="J4554" s="2">
        <f t="shared" si="71"/>
        <v>43748.787817037031</v>
      </c>
    </row>
    <row r="4555" spans="1:10" x14ac:dyDescent="0.25">
      <c r="A4555" s="7" t="s">
        <v>34747</v>
      </c>
      <c r="B4555" s="8">
        <v>393.75</v>
      </c>
      <c r="C4555" s="8">
        <v>20.478950000000001</v>
      </c>
      <c r="D4555" s="8">
        <v>67</v>
      </c>
      <c r="E4555" s="8">
        <v>0</v>
      </c>
      <c r="F4555" s="8">
        <v>0</v>
      </c>
      <c r="G4555" s="8">
        <v>21</v>
      </c>
      <c r="H4555" s="8" t="s">
        <v>34748</v>
      </c>
      <c r="I4555" s="8">
        <v>526.6875</v>
      </c>
      <c r="J4555" s="3">
        <f t="shared" si="71"/>
        <v>43748.787900497678</v>
      </c>
    </row>
    <row r="4556" spans="1:10" x14ac:dyDescent="0.25">
      <c r="A4556" s="5" t="s">
        <v>34749</v>
      </c>
      <c r="B4556" s="6">
        <v>393.75</v>
      </c>
      <c r="C4556" s="6">
        <v>20.478950000000001</v>
      </c>
      <c r="D4556" s="6">
        <v>66</v>
      </c>
      <c r="E4556" s="6">
        <v>0</v>
      </c>
      <c r="F4556" s="6">
        <v>0</v>
      </c>
      <c r="G4556" s="6">
        <v>21</v>
      </c>
      <c r="H4556" s="6" t="s">
        <v>34750</v>
      </c>
      <c r="I4556" s="6">
        <v>526.5</v>
      </c>
      <c r="J4556" s="2">
        <f t="shared" si="71"/>
        <v>43748.787983958326</v>
      </c>
    </row>
    <row r="4557" spans="1:10" x14ac:dyDescent="0.25">
      <c r="A4557" s="7" t="s">
        <v>34751</v>
      </c>
      <c r="B4557" s="8">
        <v>393.75</v>
      </c>
      <c r="C4557" s="8">
        <v>20.478950000000001</v>
      </c>
      <c r="D4557" s="8">
        <v>67</v>
      </c>
      <c r="E4557" s="8">
        <v>0</v>
      </c>
      <c r="F4557" s="8">
        <v>0</v>
      </c>
      <c r="G4557" s="8">
        <v>19</v>
      </c>
      <c r="H4557" s="8" t="s">
        <v>34752</v>
      </c>
      <c r="I4557" s="8">
        <v>526.6875</v>
      </c>
      <c r="J4557" s="3">
        <f t="shared" si="71"/>
        <v>43748.788067395835</v>
      </c>
    </row>
    <row r="4558" spans="1:10" x14ac:dyDescent="0.25">
      <c r="A4558" s="5" t="s">
        <v>34753</v>
      </c>
      <c r="B4558" s="6">
        <v>393.75</v>
      </c>
      <c r="C4558" s="6">
        <v>20.478950000000001</v>
      </c>
      <c r="D4558" s="6">
        <v>68</v>
      </c>
      <c r="E4558" s="6">
        <v>0</v>
      </c>
      <c r="F4558" s="6">
        <v>0</v>
      </c>
      <c r="G4558" s="6">
        <v>18</v>
      </c>
      <c r="H4558" s="6" t="s">
        <v>34754</v>
      </c>
      <c r="I4558" s="6">
        <v>526.6875</v>
      </c>
      <c r="J4558" s="2">
        <f t="shared" si="71"/>
        <v>43748.788150972221</v>
      </c>
    </row>
    <row r="4559" spans="1:10" x14ac:dyDescent="0.25">
      <c r="A4559" s="7" t="s">
        <v>34755</v>
      </c>
      <c r="B4559" s="8">
        <v>412.5</v>
      </c>
      <c r="C4559" s="8">
        <v>20.478950000000001</v>
      </c>
      <c r="D4559" s="8">
        <v>68</v>
      </c>
      <c r="E4559" s="8">
        <v>0</v>
      </c>
      <c r="F4559" s="8">
        <v>0</v>
      </c>
      <c r="G4559" s="8">
        <v>23</v>
      </c>
      <c r="H4559" s="8" t="s">
        <v>34756</v>
      </c>
      <c r="I4559" s="8">
        <v>532.875</v>
      </c>
      <c r="J4559" s="3">
        <f t="shared" si="71"/>
        <v>43748.7882340625</v>
      </c>
    </row>
    <row r="4560" spans="1:10" x14ac:dyDescent="0.25">
      <c r="A4560" s="5" t="s">
        <v>34757</v>
      </c>
      <c r="B4560" s="6">
        <v>393.75</v>
      </c>
      <c r="C4560" s="6">
        <v>20.478950000000001</v>
      </c>
      <c r="D4560" s="6">
        <v>68</v>
      </c>
      <c r="E4560" s="6">
        <v>0</v>
      </c>
      <c r="F4560" s="6">
        <v>0</v>
      </c>
      <c r="G4560" s="6">
        <v>15</v>
      </c>
      <c r="H4560" s="6" t="s">
        <v>34758</v>
      </c>
      <c r="I4560" s="6">
        <v>526.5</v>
      </c>
      <c r="J4560" s="2">
        <f t="shared" si="71"/>
        <v>43748.788305706017</v>
      </c>
    </row>
    <row r="4561" spans="1:10" x14ac:dyDescent="0.25">
      <c r="A4561" s="7" t="s">
        <v>34759</v>
      </c>
      <c r="B4561" s="8">
        <v>393.75</v>
      </c>
      <c r="C4561" s="8">
        <v>20.478950000000001</v>
      </c>
      <c r="D4561" s="8">
        <v>69</v>
      </c>
      <c r="E4561" s="8">
        <v>0</v>
      </c>
      <c r="F4561" s="8">
        <v>0</v>
      </c>
      <c r="G4561" s="8">
        <v>20</v>
      </c>
      <c r="H4561" s="8" t="s">
        <v>34760</v>
      </c>
      <c r="I4561" s="8">
        <v>526.6875</v>
      </c>
      <c r="J4561" s="3">
        <f t="shared" si="71"/>
        <v>43748.78838961805</v>
      </c>
    </row>
    <row r="4562" spans="1:10" x14ac:dyDescent="0.25">
      <c r="A4562" s="5" t="s">
        <v>34761</v>
      </c>
      <c r="B4562" s="6">
        <v>412.5</v>
      </c>
      <c r="C4562" s="6">
        <v>20.478950000000001</v>
      </c>
      <c r="D4562" s="6">
        <v>70</v>
      </c>
      <c r="E4562" s="6">
        <v>0</v>
      </c>
      <c r="F4562" s="6">
        <v>0</v>
      </c>
      <c r="G4562" s="6">
        <v>20</v>
      </c>
      <c r="H4562" s="6" t="s">
        <v>34762</v>
      </c>
      <c r="I4562" s="6">
        <v>532.3125</v>
      </c>
      <c r="J4562" s="2">
        <f t="shared" si="71"/>
        <v>43748.788472962966</v>
      </c>
    </row>
    <row r="4563" spans="1:10" x14ac:dyDescent="0.25">
      <c r="A4563" s="7" t="s">
        <v>34763</v>
      </c>
      <c r="B4563" s="8">
        <v>393.75</v>
      </c>
      <c r="C4563" s="8">
        <v>20.478950000000001</v>
      </c>
      <c r="D4563" s="8">
        <v>69</v>
      </c>
      <c r="E4563" s="8">
        <v>0</v>
      </c>
      <c r="F4563" s="8">
        <v>0</v>
      </c>
      <c r="G4563" s="8">
        <v>23</v>
      </c>
      <c r="H4563" s="8" t="s">
        <v>34764</v>
      </c>
      <c r="I4563" s="8">
        <v>526.6875</v>
      </c>
      <c r="J4563" s="3">
        <f t="shared" si="71"/>
        <v>43748.788556284715</v>
      </c>
    </row>
    <row r="4564" spans="1:10" x14ac:dyDescent="0.25">
      <c r="A4564" s="5" t="s">
        <v>34765</v>
      </c>
      <c r="B4564" s="6">
        <v>393.75</v>
      </c>
      <c r="C4564" s="6">
        <v>20.478950000000001</v>
      </c>
      <c r="D4564" s="6">
        <v>67</v>
      </c>
      <c r="E4564" s="6">
        <v>0</v>
      </c>
      <c r="F4564" s="6">
        <v>0</v>
      </c>
      <c r="G4564" s="6">
        <v>14</v>
      </c>
      <c r="H4564" s="6" t="s">
        <v>34766</v>
      </c>
      <c r="I4564" s="6">
        <v>526.6875</v>
      </c>
      <c r="J4564" s="2">
        <f t="shared" si="71"/>
        <v>43748.788639849539</v>
      </c>
    </row>
    <row r="4565" spans="1:10" x14ac:dyDescent="0.25">
      <c r="A4565" s="7" t="s">
        <v>34767</v>
      </c>
      <c r="B4565" s="8">
        <v>393.75</v>
      </c>
      <c r="C4565" s="8">
        <v>20.478950000000001</v>
      </c>
      <c r="D4565" s="8">
        <v>67</v>
      </c>
      <c r="E4565" s="8">
        <v>0</v>
      </c>
      <c r="F4565" s="8">
        <v>0</v>
      </c>
      <c r="G4565" s="8">
        <v>16</v>
      </c>
      <c r="H4565" s="8" t="s">
        <v>34768</v>
      </c>
      <c r="I4565" s="8">
        <v>526.6875</v>
      </c>
      <c r="J4565" s="3">
        <f t="shared" si="71"/>
        <v>43748.788723078702</v>
      </c>
    </row>
    <row r="4566" spans="1:10" x14ac:dyDescent="0.25">
      <c r="A4566" s="5" t="s">
        <v>34769</v>
      </c>
      <c r="B4566" s="6">
        <v>393.75</v>
      </c>
      <c r="C4566" s="6">
        <v>20.478950000000001</v>
      </c>
      <c r="D4566" s="6">
        <v>67</v>
      </c>
      <c r="E4566" s="6">
        <v>0</v>
      </c>
      <c r="F4566" s="6">
        <v>0</v>
      </c>
      <c r="G4566" s="6">
        <v>14</v>
      </c>
      <c r="H4566" s="6" t="s">
        <v>34770</v>
      </c>
      <c r="I4566" s="6">
        <v>526.6875</v>
      </c>
      <c r="J4566" s="2">
        <f t="shared" si="71"/>
        <v>43748.788794710643</v>
      </c>
    </row>
    <row r="4567" spans="1:10" x14ac:dyDescent="0.25">
      <c r="A4567" s="7" t="s">
        <v>34771</v>
      </c>
      <c r="B4567" s="8">
        <v>396.875</v>
      </c>
      <c r="C4567" s="8">
        <v>20.478950000000001</v>
      </c>
      <c r="D4567" s="8">
        <v>66</v>
      </c>
      <c r="E4567" s="8">
        <v>0</v>
      </c>
      <c r="F4567" s="8">
        <v>0</v>
      </c>
      <c r="G4567" s="8">
        <v>23</v>
      </c>
      <c r="H4567" s="8" t="s">
        <v>34772</v>
      </c>
      <c r="I4567" s="8">
        <v>527.4375</v>
      </c>
      <c r="J4567" s="3">
        <f t="shared" si="71"/>
        <v>43748.788878518513</v>
      </c>
    </row>
    <row r="4568" spans="1:10" x14ac:dyDescent="0.25">
      <c r="A4568" s="5" t="s">
        <v>34773</v>
      </c>
      <c r="B4568" s="6">
        <v>396.875</v>
      </c>
      <c r="C4568" s="6">
        <v>20.478950000000001</v>
      </c>
      <c r="D4568" s="6">
        <v>66</v>
      </c>
      <c r="E4568" s="6">
        <v>0</v>
      </c>
      <c r="F4568" s="6">
        <v>0</v>
      </c>
      <c r="G4568" s="6">
        <v>22</v>
      </c>
      <c r="H4568" s="6" t="s">
        <v>34774</v>
      </c>
      <c r="I4568" s="6">
        <v>527.4375</v>
      </c>
      <c r="J4568" s="2">
        <f t="shared" si="71"/>
        <v>43748.788961956016</v>
      </c>
    </row>
    <row r="4569" spans="1:10" x14ac:dyDescent="0.25">
      <c r="A4569" s="7" t="s">
        <v>34775</v>
      </c>
      <c r="B4569" s="8">
        <v>396.875</v>
      </c>
      <c r="C4569" s="8">
        <v>20.478950000000001</v>
      </c>
      <c r="D4569" s="8">
        <v>64</v>
      </c>
      <c r="E4569" s="8">
        <v>0</v>
      </c>
      <c r="F4569" s="8">
        <v>0</v>
      </c>
      <c r="G4569" s="8">
        <v>22</v>
      </c>
      <c r="H4569" s="8" t="s">
        <v>34776</v>
      </c>
      <c r="I4569" s="8">
        <v>527.4375</v>
      </c>
      <c r="J4569" s="3">
        <f t="shared" si="71"/>
        <v>43748.789045185178</v>
      </c>
    </row>
    <row r="4570" spans="1:10" x14ac:dyDescent="0.25">
      <c r="A4570" s="5" t="s">
        <v>34777</v>
      </c>
      <c r="B4570" s="6">
        <v>400</v>
      </c>
      <c r="C4570" s="6">
        <v>20.478950000000001</v>
      </c>
      <c r="D4570" s="6">
        <v>64</v>
      </c>
      <c r="E4570" s="6">
        <v>0</v>
      </c>
      <c r="F4570" s="6">
        <v>0</v>
      </c>
      <c r="G4570" s="6">
        <v>23</v>
      </c>
      <c r="H4570" s="6" t="s">
        <v>34778</v>
      </c>
      <c r="I4570" s="6">
        <v>528.1875</v>
      </c>
      <c r="J4570" s="2">
        <f t="shared" si="71"/>
        <v>43748.789116944441</v>
      </c>
    </row>
    <row r="4571" spans="1:10" x14ac:dyDescent="0.25">
      <c r="A4571" s="7" t="s">
        <v>34779</v>
      </c>
      <c r="B4571" s="8">
        <v>400</v>
      </c>
      <c r="C4571" s="8">
        <v>20.478950000000001</v>
      </c>
      <c r="D4571" s="8">
        <v>63</v>
      </c>
      <c r="E4571" s="8">
        <v>0</v>
      </c>
      <c r="F4571" s="8">
        <v>0</v>
      </c>
      <c r="G4571" s="8">
        <v>20</v>
      </c>
      <c r="H4571" s="8" t="s">
        <v>34780</v>
      </c>
      <c r="I4571" s="8">
        <v>528.1875</v>
      </c>
      <c r="J4571" s="3">
        <f t="shared" si="71"/>
        <v>43748.789200486113</v>
      </c>
    </row>
    <row r="4572" spans="1:10" x14ac:dyDescent="0.25">
      <c r="A4572" s="5" t="s">
        <v>34781</v>
      </c>
      <c r="B4572" s="6">
        <v>418.75</v>
      </c>
      <c r="C4572" s="6">
        <v>20.478950000000001</v>
      </c>
      <c r="D4572" s="6">
        <v>63</v>
      </c>
      <c r="E4572" s="6">
        <v>0</v>
      </c>
      <c r="F4572" s="6">
        <v>0</v>
      </c>
      <c r="G4572" s="6">
        <v>20</v>
      </c>
      <c r="H4572" s="6" t="s">
        <v>34782</v>
      </c>
      <c r="I4572" s="6">
        <v>534.375</v>
      </c>
      <c r="J4572" s="2">
        <f t="shared" si="71"/>
        <v>43748.789283969905</v>
      </c>
    </row>
    <row r="4573" spans="1:10" x14ac:dyDescent="0.25">
      <c r="A4573" s="7" t="s">
        <v>34783</v>
      </c>
      <c r="B4573" s="8">
        <v>400</v>
      </c>
      <c r="C4573" s="8">
        <v>20.478950000000001</v>
      </c>
      <c r="D4573" s="8">
        <v>63</v>
      </c>
      <c r="E4573" s="8">
        <v>0</v>
      </c>
      <c r="F4573" s="8">
        <v>0</v>
      </c>
      <c r="G4573" s="8">
        <v>17</v>
      </c>
      <c r="H4573" s="8" t="s">
        <v>34784</v>
      </c>
      <c r="I4573" s="8">
        <v>528.375</v>
      </c>
      <c r="J4573" s="3">
        <f t="shared" si="71"/>
        <v>43748.789367395832</v>
      </c>
    </row>
    <row r="4574" spans="1:10" x14ac:dyDescent="0.25">
      <c r="A4574" s="5" t="s">
        <v>34785</v>
      </c>
      <c r="B4574" s="6">
        <v>400</v>
      </c>
      <c r="C4574" s="6">
        <v>20.478950000000001</v>
      </c>
      <c r="D4574" s="6">
        <v>65</v>
      </c>
      <c r="E4574" s="6">
        <v>0</v>
      </c>
      <c r="F4574" s="6">
        <v>0</v>
      </c>
      <c r="G4574" s="6">
        <v>18</v>
      </c>
      <c r="H4574" s="6" t="s">
        <v>34786</v>
      </c>
      <c r="I4574" s="6">
        <v>528.9375</v>
      </c>
      <c r="J4574" s="2">
        <f t="shared" si="71"/>
        <v>43748.789450960649</v>
      </c>
    </row>
    <row r="4575" spans="1:10" x14ac:dyDescent="0.25">
      <c r="A4575" s="7" t="s">
        <v>34787</v>
      </c>
      <c r="B4575" s="8">
        <v>400</v>
      </c>
      <c r="C4575" s="8">
        <v>20.478950000000001</v>
      </c>
      <c r="D4575" s="8">
        <v>65</v>
      </c>
      <c r="E4575" s="8">
        <v>0</v>
      </c>
      <c r="F4575" s="8">
        <v>0</v>
      </c>
      <c r="G4575" s="8">
        <v>20</v>
      </c>
      <c r="H4575" s="8" t="s">
        <v>34788</v>
      </c>
      <c r="I4575" s="8">
        <v>528.9375</v>
      </c>
      <c r="J4575" s="3">
        <f t="shared" si="71"/>
        <v>43748.789534201387</v>
      </c>
    </row>
    <row r="4576" spans="1:10" x14ac:dyDescent="0.25">
      <c r="A4576" s="5" t="s">
        <v>34789</v>
      </c>
      <c r="B4576" s="6">
        <v>403.125</v>
      </c>
      <c r="C4576" s="6">
        <v>20.478950000000001</v>
      </c>
      <c r="D4576" s="6">
        <v>65</v>
      </c>
      <c r="E4576" s="6">
        <v>0</v>
      </c>
      <c r="F4576" s="6">
        <v>0</v>
      </c>
      <c r="G4576" s="6">
        <v>25</v>
      </c>
      <c r="H4576" s="6" t="s">
        <v>34790</v>
      </c>
      <c r="I4576" s="6">
        <v>529.125</v>
      </c>
      <c r="J4576" s="2">
        <f t="shared" si="71"/>
        <v>43748.789605844904</v>
      </c>
    </row>
    <row r="4577" spans="1:10" x14ac:dyDescent="0.25">
      <c r="A4577" s="7" t="s">
        <v>34791</v>
      </c>
      <c r="B4577" s="8">
        <v>418.75</v>
      </c>
      <c r="C4577" s="8">
        <v>20.478950000000001</v>
      </c>
      <c r="D4577" s="8">
        <v>64</v>
      </c>
      <c r="E4577" s="8">
        <v>0</v>
      </c>
      <c r="F4577" s="8">
        <v>0</v>
      </c>
      <c r="G4577" s="8">
        <v>19</v>
      </c>
      <c r="H4577" s="8" t="s">
        <v>34792</v>
      </c>
      <c r="I4577" s="8">
        <v>534.375</v>
      </c>
      <c r="J4577" s="3">
        <f t="shared" si="71"/>
        <v>43748.789689641206</v>
      </c>
    </row>
    <row r="4578" spans="1:10" x14ac:dyDescent="0.25">
      <c r="A4578" s="5" t="s">
        <v>34793</v>
      </c>
      <c r="B4578" s="6">
        <v>400</v>
      </c>
      <c r="C4578" s="6">
        <v>20.478950000000001</v>
      </c>
      <c r="D4578" s="6">
        <v>65</v>
      </c>
      <c r="E4578" s="6">
        <v>0</v>
      </c>
      <c r="F4578" s="6">
        <v>0</v>
      </c>
      <c r="G4578" s="6">
        <v>25</v>
      </c>
      <c r="H4578" s="6" t="s">
        <v>34794</v>
      </c>
      <c r="I4578" s="6">
        <v>528.1875</v>
      </c>
      <c r="J4578" s="2">
        <f t="shared" si="71"/>
        <v>43748.789772974538</v>
      </c>
    </row>
    <row r="4579" spans="1:10" x14ac:dyDescent="0.25">
      <c r="A4579" s="7" t="s">
        <v>34795</v>
      </c>
      <c r="B4579" s="8">
        <v>400</v>
      </c>
      <c r="C4579" s="8">
        <v>20.478950000000001</v>
      </c>
      <c r="D4579" s="8">
        <v>64</v>
      </c>
      <c r="E4579" s="8">
        <v>0</v>
      </c>
      <c r="F4579" s="8">
        <v>0</v>
      </c>
      <c r="G4579" s="8">
        <v>20</v>
      </c>
      <c r="H4579" s="8" t="s">
        <v>34796</v>
      </c>
      <c r="I4579" s="8">
        <v>528.1875</v>
      </c>
      <c r="J4579" s="3">
        <f t="shared" si="71"/>
        <v>43748.789856377312</v>
      </c>
    </row>
    <row r="4580" spans="1:10" x14ac:dyDescent="0.25">
      <c r="A4580" s="5" t="s">
        <v>34797</v>
      </c>
      <c r="B4580" s="6">
        <v>396.875</v>
      </c>
      <c r="C4580" s="6">
        <v>20.478950000000001</v>
      </c>
      <c r="D4580" s="6">
        <v>64</v>
      </c>
      <c r="E4580" s="6">
        <v>0</v>
      </c>
      <c r="F4580" s="6">
        <v>0</v>
      </c>
      <c r="G4580" s="6">
        <v>14</v>
      </c>
      <c r="H4580" s="6" t="s">
        <v>34798</v>
      </c>
      <c r="I4580" s="6">
        <v>527.4375</v>
      </c>
      <c r="J4580" s="2">
        <f t="shared" si="71"/>
        <v>43748.78992805555</v>
      </c>
    </row>
    <row r="4581" spans="1:10" x14ac:dyDescent="0.25">
      <c r="A4581" s="7" t="s">
        <v>34799</v>
      </c>
      <c r="B4581" s="8">
        <v>396.875</v>
      </c>
      <c r="C4581" s="8">
        <v>20.478950000000001</v>
      </c>
      <c r="D4581" s="8">
        <v>65</v>
      </c>
      <c r="E4581" s="8">
        <v>0</v>
      </c>
      <c r="F4581" s="8">
        <v>0</v>
      </c>
      <c r="G4581" s="8">
        <v>11</v>
      </c>
      <c r="H4581" s="8" t="s">
        <v>34800</v>
      </c>
      <c r="I4581" s="8">
        <v>527.25</v>
      </c>
      <c r="J4581" s="3">
        <f t="shared" si="71"/>
        <v>43748.790011643512</v>
      </c>
    </row>
    <row r="4582" spans="1:10" x14ac:dyDescent="0.25">
      <c r="A4582" s="5" t="s">
        <v>34801</v>
      </c>
      <c r="B4582" s="6">
        <v>396.875</v>
      </c>
      <c r="C4582" s="6">
        <v>20.478950000000001</v>
      </c>
      <c r="D4582" s="6">
        <v>65</v>
      </c>
      <c r="E4582" s="6">
        <v>0</v>
      </c>
      <c r="F4582" s="6">
        <v>0</v>
      </c>
      <c r="G4582" s="6">
        <v>21</v>
      </c>
      <c r="H4582" s="6" t="s">
        <v>34802</v>
      </c>
      <c r="I4582" s="6">
        <v>527.4375</v>
      </c>
      <c r="J4582" s="2">
        <f t="shared" si="71"/>
        <v>43748.79009505787</v>
      </c>
    </row>
    <row r="4583" spans="1:10" x14ac:dyDescent="0.25">
      <c r="A4583" s="7" t="s">
        <v>34803</v>
      </c>
      <c r="B4583" s="8">
        <v>393.75</v>
      </c>
      <c r="C4583" s="8">
        <v>20.478950000000001</v>
      </c>
      <c r="D4583" s="8">
        <v>66</v>
      </c>
      <c r="E4583" s="8">
        <v>0</v>
      </c>
      <c r="F4583" s="8">
        <v>0</v>
      </c>
      <c r="G4583" s="8">
        <v>20</v>
      </c>
      <c r="H4583" s="8" t="s">
        <v>34804</v>
      </c>
      <c r="I4583" s="8">
        <v>526.5</v>
      </c>
      <c r="J4583" s="3">
        <f t="shared" si="71"/>
        <v>43748.790178495365</v>
      </c>
    </row>
    <row r="4584" spans="1:10" x14ac:dyDescent="0.25">
      <c r="A4584" s="5" t="s">
        <v>34805</v>
      </c>
      <c r="B4584" s="6">
        <v>393.75</v>
      </c>
      <c r="C4584" s="6">
        <v>20.478950000000001</v>
      </c>
      <c r="D4584" s="6">
        <v>68</v>
      </c>
      <c r="E4584" s="6">
        <v>0</v>
      </c>
      <c r="F4584" s="6">
        <v>0</v>
      </c>
      <c r="G4584" s="6">
        <v>14</v>
      </c>
      <c r="H4584" s="6" t="s">
        <v>34806</v>
      </c>
      <c r="I4584" s="6">
        <v>526.6875</v>
      </c>
      <c r="J4584" s="2">
        <f t="shared" si="71"/>
        <v>43748.790262083327</v>
      </c>
    </row>
    <row r="4585" spans="1:10" x14ac:dyDescent="0.25">
      <c r="A4585" s="7" t="s">
        <v>34807</v>
      </c>
      <c r="B4585" s="8">
        <v>396.875</v>
      </c>
      <c r="C4585" s="8">
        <v>20.478950000000001</v>
      </c>
      <c r="D4585" s="8">
        <v>67</v>
      </c>
      <c r="E4585" s="8">
        <v>0</v>
      </c>
      <c r="F4585" s="8">
        <v>0</v>
      </c>
      <c r="G4585" s="8">
        <v>24</v>
      </c>
      <c r="H4585" s="8" t="s">
        <v>34808</v>
      </c>
      <c r="I4585" s="8">
        <v>527.4375</v>
      </c>
      <c r="J4585" s="3">
        <f t="shared" si="71"/>
        <v>43748.790357395832</v>
      </c>
    </row>
    <row r="4586" spans="1:10" x14ac:dyDescent="0.25">
      <c r="A4586" s="5" t="s">
        <v>34809</v>
      </c>
      <c r="B4586" s="6">
        <v>396.875</v>
      </c>
      <c r="C4586" s="6">
        <v>20.478950000000001</v>
      </c>
      <c r="D4586" s="6">
        <v>66</v>
      </c>
      <c r="E4586" s="6">
        <v>0</v>
      </c>
      <c r="F4586" s="6">
        <v>0</v>
      </c>
      <c r="G4586" s="6">
        <v>14</v>
      </c>
      <c r="H4586" s="6" t="s">
        <v>34810</v>
      </c>
      <c r="I4586" s="6">
        <v>527.4375</v>
      </c>
      <c r="J4586" s="2">
        <f t="shared" si="71"/>
        <v>43748.790440937497</v>
      </c>
    </row>
    <row r="4587" spans="1:10" x14ac:dyDescent="0.25">
      <c r="A4587" s="7" t="s">
        <v>34811</v>
      </c>
      <c r="B4587" s="8">
        <v>393.75</v>
      </c>
      <c r="C4587" s="8">
        <v>20.478950000000001</v>
      </c>
      <c r="D4587" s="8">
        <v>66</v>
      </c>
      <c r="E4587" s="8">
        <v>0</v>
      </c>
      <c r="F4587" s="8">
        <v>0</v>
      </c>
      <c r="G4587" s="8">
        <v>22</v>
      </c>
      <c r="H4587" s="8" t="s">
        <v>34812</v>
      </c>
      <c r="I4587" s="8">
        <v>526.6875</v>
      </c>
      <c r="J4587" s="3">
        <f t="shared" si="71"/>
        <v>43748.79052440972</v>
      </c>
    </row>
    <row r="4588" spans="1:10" x14ac:dyDescent="0.25">
      <c r="A4588" s="5" t="s">
        <v>34813</v>
      </c>
      <c r="B4588" s="6">
        <v>393.75</v>
      </c>
      <c r="C4588" s="6">
        <v>20.478950000000001</v>
      </c>
      <c r="D4588" s="6">
        <v>67</v>
      </c>
      <c r="E4588" s="6">
        <v>0</v>
      </c>
      <c r="F4588" s="6">
        <v>0</v>
      </c>
      <c r="G4588" s="6">
        <v>19</v>
      </c>
      <c r="H4588" s="6" t="s">
        <v>34814</v>
      </c>
      <c r="I4588" s="6">
        <v>526.6875</v>
      </c>
      <c r="J4588" s="2">
        <f t="shared" si="71"/>
        <v>43748.790607870367</v>
      </c>
    </row>
    <row r="4589" spans="1:10" x14ac:dyDescent="0.25">
      <c r="A4589" s="7" t="s">
        <v>34815</v>
      </c>
      <c r="B4589" s="8">
        <v>393.75</v>
      </c>
      <c r="C4589" s="8">
        <v>20.478950000000001</v>
      </c>
      <c r="D4589" s="8">
        <v>66</v>
      </c>
      <c r="E4589" s="8">
        <v>0</v>
      </c>
      <c r="F4589" s="8">
        <v>0</v>
      </c>
      <c r="G4589" s="8">
        <v>17</v>
      </c>
      <c r="H4589" s="8" t="s">
        <v>34816</v>
      </c>
      <c r="I4589" s="8">
        <v>526.6875</v>
      </c>
      <c r="J4589" s="3">
        <f t="shared" si="71"/>
        <v>43748.790691319438</v>
      </c>
    </row>
    <row r="4590" spans="1:10" x14ac:dyDescent="0.25">
      <c r="A4590" s="5" t="s">
        <v>34817</v>
      </c>
      <c r="B4590" s="6">
        <v>393.75</v>
      </c>
      <c r="C4590" s="6">
        <v>20.478950000000001</v>
      </c>
      <c r="D4590" s="6">
        <v>65</v>
      </c>
      <c r="E4590" s="6">
        <v>0</v>
      </c>
      <c r="F4590" s="6">
        <v>0</v>
      </c>
      <c r="G4590" s="6">
        <v>21</v>
      </c>
      <c r="H4590" s="6" t="s">
        <v>34818</v>
      </c>
      <c r="I4590" s="6">
        <v>526.6875</v>
      </c>
      <c r="J4590" s="2">
        <f t="shared" si="71"/>
        <v>43748.790774768517</v>
      </c>
    </row>
    <row r="4591" spans="1:10" x14ac:dyDescent="0.25">
      <c r="A4591" s="7" t="s">
        <v>34819</v>
      </c>
      <c r="B4591" s="8">
        <v>412.5</v>
      </c>
      <c r="C4591" s="8">
        <v>20.478950000000001</v>
      </c>
      <c r="D4591" s="8">
        <v>65</v>
      </c>
      <c r="E4591" s="8">
        <v>0</v>
      </c>
      <c r="F4591" s="8">
        <v>0</v>
      </c>
      <c r="G4591" s="8">
        <v>15</v>
      </c>
      <c r="H4591" s="8" t="s">
        <v>34820</v>
      </c>
      <c r="I4591" s="8">
        <v>532.125</v>
      </c>
      <c r="J4591" s="3">
        <f t="shared" si="71"/>
        <v>43748.790858113425</v>
      </c>
    </row>
    <row r="4592" spans="1:10" x14ac:dyDescent="0.25">
      <c r="A4592" s="5" t="s">
        <v>34821</v>
      </c>
      <c r="B4592" s="6">
        <v>393.75</v>
      </c>
      <c r="C4592" s="6">
        <v>20.478950000000001</v>
      </c>
      <c r="D4592" s="6">
        <v>65</v>
      </c>
      <c r="E4592" s="6">
        <v>0</v>
      </c>
      <c r="F4592" s="6">
        <v>0</v>
      </c>
      <c r="G4592" s="6">
        <v>19</v>
      </c>
      <c r="H4592" s="6" t="s">
        <v>34822</v>
      </c>
      <c r="I4592" s="6">
        <v>526.5</v>
      </c>
      <c r="J4592" s="2">
        <f t="shared" si="71"/>
        <v>43748.790941423613</v>
      </c>
    </row>
    <row r="4593" spans="1:10" x14ac:dyDescent="0.25">
      <c r="A4593" s="7" t="s">
        <v>34823</v>
      </c>
      <c r="B4593" s="8">
        <v>393.75</v>
      </c>
      <c r="C4593" s="8">
        <v>20.478950000000001</v>
      </c>
      <c r="D4593" s="8">
        <v>65</v>
      </c>
      <c r="E4593" s="8">
        <v>0</v>
      </c>
      <c r="F4593" s="8">
        <v>0</v>
      </c>
      <c r="G4593" s="8">
        <v>18</v>
      </c>
      <c r="H4593" s="8" t="s">
        <v>34824</v>
      </c>
      <c r="I4593" s="8">
        <v>526.6875</v>
      </c>
      <c r="J4593" s="3">
        <f t="shared" si="71"/>
        <v>43748.791013194445</v>
      </c>
    </row>
    <row r="4594" spans="1:10" x14ac:dyDescent="0.25">
      <c r="A4594" s="5" t="s">
        <v>34825</v>
      </c>
      <c r="B4594" s="6">
        <v>393.75</v>
      </c>
      <c r="C4594" s="6">
        <v>20.478950000000001</v>
      </c>
      <c r="D4594" s="6">
        <v>66</v>
      </c>
      <c r="E4594" s="6">
        <v>0</v>
      </c>
      <c r="F4594" s="6">
        <v>0</v>
      </c>
      <c r="G4594" s="6">
        <v>24</v>
      </c>
      <c r="H4594" s="6" t="s">
        <v>34826</v>
      </c>
      <c r="I4594" s="6">
        <v>526.6875</v>
      </c>
      <c r="J4594" s="2">
        <f t="shared" si="71"/>
        <v>43748.791096979163</v>
      </c>
    </row>
    <row r="4595" spans="1:10" x14ac:dyDescent="0.25">
      <c r="A4595" s="7" t="s">
        <v>34827</v>
      </c>
      <c r="B4595" s="8">
        <v>393.75</v>
      </c>
      <c r="C4595" s="8">
        <v>20.478950000000001</v>
      </c>
      <c r="D4595" s="8">
        <v>66</v>
      </c>
      <c r="E4595" s="8">
        <v>0</v>
      </c>
      <c r="F4595" s="8">
        <v>0</v>
      </c>
      <c r="G4595" s="8">
        <v>16</v>
      </c>
      <c r="H4595" s="8" t="s">
        <v>34828</v>
      </c>
      <c r="I4595" s="8">
        <v>526.5</v>
      </c>
      <c r="J4595" s="3">
        <f t="shared" si="71"/>
        <v>43748.791192245371</v>
      </c>
    </row>
    <row r="4596" spans="1:10" x14ac:dyDescent="0.25">
      <c r="A4596" s="5" t="s">
        <v>34829</v>
      </c>
      <c r="B4596" s="6">
        <v>393.75</v>
      </c>
      <c r="C4596" s="6">
        <v>20.478950000000001</v>
      </c>
      <c r="D4596" s="6">
        <v>66</v>
      </c>
      <c r="E4596" s="6">
        <v>0</v>
      </c>
      <c r="F4596" s="6">
        <v>0</v>
      </c>
      <c r="G4596" s="6">
        <v>16</v>
      </c>
      <c r="H4596" s="6" t="s">
        <v>34830</v>
      </c>
      <c r="I4596" s="6">
        <v>526.6875</v>
      </c>
      <c r="J4596" s="2">
        <f t="shared" si="71"/>
        <v>43748.791275925927</v>
      </c>
    </row>
    <row r="4597" spans="1:10" x14ac:dyDescent="0.25">
      <c r="A4597" s="7" t="s">
        <v>34831</v>
      </c>
      <c r="B4597" s="8">
        <v>393.75</v>
      </c>
      <c r="C4597" s="8">
        <v>20.478950000000001</v>
      </c>
      <c r="D4597" s="8">
        <v>66</v>
      </c>
      <c r="E4597" s="8">
        <v>0</v>
      </c>
      <c r="F4597" s="8">
        <v>0</v>
      </c>
      <c r="G4597" s="8">
        <v>17</v>
      </c>
      <c r="H4597" s="8" t="s">
        <v>34832</v>
      </c>
      <c r="I4597" s="8">
        <v>526.6875</v>
      </c>
      <c r="J4597" s="3">
        <f t="shared" si="71"/>
        <v>43748.791359247683</v>
      </c>
    </row>
    <row r="4598" spans="1:10" x14ac:dyDescent="0.25">
      <c r="A4598" s="5" t="s">
        <v>34833</v>
      </c>
      <c r="B4598" s="6">
        <v>393.75</v>
      </c>
      <c r="C4598" s="6">
        <v>20.478950000000001</v>
      </c>
      <c r="D4598" s="6">
        <v>65</v>
      </c>
      <c r="E4598" s="6">
        <v>0</v>
      </c>
      <c r="F4598" s="6">
        <v>0</v>
      </c>
      <c r="G4598" s="6">
        <v>18</v>
      </c>
      <c r="H4598" s="6" t="s">
        <v>34834</v>
      </c>
      <c r="I4598" s="6">
        <v>526.6875</v>
      </c>
      <c r="J4598" s="2">
        <f t="shared" si="71"/>
        <v>43748.791442893511</v>
      </c>
    </row>
    <row r="4599" spans="1:10" x14ac:dyDescent="0.25">
      <c r="A4599" s="7" t="s">
        <v>34835</v>
      </c>
      <c r="B4599" s="8">
        <v>393.75</v>
      </c>
      <c r="C4599" s="8">
        <v>20.478950000000001</v>
      </c>
      <c r="D4599" s="8">
        <v>65</v>
      </c>
      <c r="E4599" s="8">
        <v>0</v>
      </c>
      <c r="F4599" s="8">
        <v>0</v>
      </c>
      <c r="G4599" s="8">
        <v>19</v>
      </c>
      <c r="H4599" s="8" t="s">
        <v>34836</v>
      </c>
      <c r="I4599" s="8">
        <v>526.6875</v>
      </c>
      <c r="J4599" s="3">
        <f t="shared" si="71"/>
        <v>43748.791526145833</v>
      </c>
    </row>
    <row r="4600" spans="1:10" x14ac:dyDescent="0.25">
      <c r="A4600" s="5" t="s">
        <v>34837</v>
      </c>
      <c r="B4600" s="6">
        <v>421.875</v>
      </c>
      <c r="C4600" s="6">
        <v>20.478950000000001</v>
      </c>
      <c r="D4600" s="6">
        <v>66</v>
      </c>
      <c r="E4600" s="6">
        <v>0</v>
      </c>
      <c r="F4600" s="6">
        <v>0</v>
      </c>
      <c r="G4600" s="6">
        <v>20</v>
      </c>
      <c r="H4600" s="6" t="s">
        <v>34838</v>
      </c>
      <c r="I4600" s="6">
        <v>535.5</v>
      </c>
      <c r="J4600" s="2">
        <f t="shared" si="71"/>
        <v>43748.791609710643</v>
      </c>
    </row>
    <row r="4601" spans="1:10" x14ac:dyDescent="0.25">
      <c r="A4601" s="7" t="s">
        <v>34839</v>
      </c>
      <c r="B4601" s="8">
        <v>393.75</v>
      </c>
      <c r="C4601" s="8">
        <v>20.478950000000001</v>
      </c>
      <c r="D4601" s="8">
        <v>65</v>
      </c>
      <c r="E4601" s="8">
        <v>0</v>
      </c>
      <c r="F4601" s="8">
        <v>0</v>
      </c>
      <c r="G4601" s="8">
        <v>25</v>
      </c>
      <c r="H4601" s="8" t="s">
        <v>34840</v>
      </c>
      <c r="I4601" s="8">
        <v>526.6875</v>
      </c>
      <c r="J4601" s="3">
        <f t="shared" si="71"/>
        <v>43748.791697326385</v>
      </c>
    </row>
    <row r="4602" spans="1:10" x14ac:dyDescent="0.25">
      <c r="A4602" s="5" t="s">
        <v>34841</v>
      </c>
      <c r="B4602" s="6">
        <v>393.75</v>
      </c>
      <c r="C4602" s="6">
        <v>20.478950000000001</v>
      </c>
      <c r="D4602" s="6">
        <v>65</v>
      </c>
      <c r="E4602" s="6">
        <v>0</v>
      </c>
      <c r="F4602" s="6">
        <v>0</v>
      </c>
      <c r="G4602" s="6">
        <v>18</v>
      </c>
      <c r="H4602" s="6" t="s">
        <v>34842</v>
      </c>
      <c r="I4602" s="6">
        <v>526.6875</v>
      </c>
      <c r="J4602" s="2">
        <f t="shared" si="71"/>
        <v>43748.791776608792</v>
      </c>
    </row>
    <row r="4603" spans="1:10" x14ac:dyDescent="0.25">
      <c r="A4603" s="7" t="s">
        <v>34843</v>
      </c>
      <c r="B4603" s="8">
        <v>393.75</v>
      </c>
      <c r="C4603" s="8">
        <v>20.478950000000001</v>
      </c>
      <c r="D4603" s="8">
        <v>64</v>
      </c>
      <c r="E4603" s="8">
        <v>0</v>
      </c>
      <c r="F4603" s="8">
        <v>0</v>
      </c>
      <c r="G4603" s="8">
        <v>10</v>
      </c>
      <c r="H4603" s="8" t="s">
        <v>34844</v>
      </c>
      <c r="I4603" s="8">
        <v>526.6875</v>
      </c>
      <c r="J4603" s="3">
        <f t="shared" si="71"/>
        <v>43748.791859942132</v>
      </c>
    </row>
    <row r="4604" spans="1:10" x14ac:dyDescent="0.25">
      <c r="A4604" s="5" t="s">
        <v>34845</v>
      </c>
      <c r="B4604" s="6">
        <v>393.75</v>
      </c>
      <c r="C4604" s="6">
        <v>20.478950000000001</v>
      </c>
      <c r="D4604" s="6">
        <v>64</v>
      </c>
      <c r="E4604" s="6">
        <v>0</v>
      </c>
      <c r="F4604" s="6">
        <v>0</v>
      </c>
      <c r="G4604" s="6">
        <v>17</v>
      </c>
      <c r="H4604" s="6" t="s">
        <v>34846</v>
      </c>
      <c r="I4604" s="6">
        <v>526.6875</v>
      </c>
      <c r="J4604" s="2">
        <f t="shared" si="71"/>
        <v>43748.791931724532</v>
      </c>
    </row>
    <row r="4605" spans="1:10" x14ac:dyDescent="0.25">
      <c r="A4605" s="7" t="s">
        <v>34847</v>
      </c>
      <c r="B4605" s="8">
        <v>393.75</v>
      </c>
      <c r="C4605" s="8">
        <v>20.478950000000001</v>
      </c>
      <c r="D4605" s="8">
        <v>63</v>
      </c>
      <c r="E4605" s="8">
        <v>0</v>
      </c>
      <c r="F4605" s="8">
        <v>0</v>
      </c>
      <c r="G4605" s="8">
        <v>21</v>
      </c>
      <c r="H4605" s="8" t="s">
        <v>34848</v>
      </c>
      <c r="I4605" s="8">
        <v>526.6875</v>
      </c>
      <c r="J4605" s="3">
        <f t="shared" si="71"/>
        <v>43748.792026724535</v>
      </c>
    </row>
    <row r="4606" spans="1:10" x14ac:dyDescent="0.25">
      <c r="A4606" s="5" t="s">
        <v>34849</v>
      </c>
      <c r="B4606" s="6">
        <v>393.75</v>
      </c>
      <c r="C4606" s="6">
        <v>20.478950000000001</v>
      </c>
      <c r="D4606" s="6">
        <v>64</v>
      </c>
      <c r="E4606" s="6">
        <v>0</v>
      </c>
      <c r="F4606" s="6">
        <v>0</v>
      </c>
      <c r="G4606" s="6">
        <v>20</v>
      </c>
      <c r="H4606" s="6" t="s">
        <v>34850</v>
      </c>
      <c r="I4606" s="6">
        <v>526.6875</v>
      </c>
      <c r="J4606" s="2">
        <f t="shared" si="71"/>
        <v>43748.792098819446</v>
      </c>
    </row>
    <row r="4607" spans="1:10" x14ac:dyDescent="0.25">
      <c r="A4607" s="7" t="s">
        <v>34851</v>
      </c>
      <c r="B4607" s="8">
        <v>393.75</v>
      </c>
      <c r="C4607" s="8">
        <v>20.478950000000001</v>
      </c>
      <c r="D4607" s="8">
        <v>64</v>
      </c>
      <c r="E4607" s="8">
        <v>0</v>
      </c>
      <c r="F4607" s="8">
        <v>0</v>
      </c>
      <c r="G4607" s="8">
        <v>17</v>
      </c>
      <c r="H4607" s="8" t="s">
        <v>34852</v>
      </c>
      <c r="I4607" s="8">
        <v>526.6875</v>
      </c>
      <c r="J4607" s="3">
        <f t="shared" si="71"/>
        <v>43748.792182187499</v>
      </c>
    </row>
    <row r="4608" spans="1:10" x14ac:dyDescent="0.25">
      <c r="A4608" s="5" t="s">
        <v>34853</v>
      </c>
      <c r="B4608" s="6">
        <v>393.75</v>
      </c>
      <c r="C4608" s="6">
        <v>20.478950000000001</v>
      </c>
      <c r="D4608" s="6">
        <v>64</v>
      </c>
      <c r="E4608" s="6">
        <v>0</v>
      </c>
      <c r="F4608" s="6">
        <v>0</v>
      </c>
      <c r="G4608" s="6">
        <v>15</v>
      </c>
      <c r="H4608" s="6" t="s">
        <v>34854</v>
      </c>
      <c r="I4608" s="6">
        <v>526.6875</v>
      </c>
      <c r="J4608" s="2">
        <f t="shared" si="71"/>
        <v>43748.792265624994</v>
      </c>
    </row>
    <row r="4609" spans="1:10" x14ac:dyDescent="0.25">
      <c r="A4609" s="7" t="s">
        <v>34855</v>
      </c>
      <c r="B4609" s="8">
        <v>393.75</v>
      </c>
      <c r="C4609" s="8">
        <v>20.478950000000001</v>
      </c>
      <c r="D4609" s="8">
        <v>67</v>
      </c>
      <c r="E4609" s="8">
        <v>0</v>
      </c>
      <c r="F4609" s="8">
        <v>0</v>
      </c>
      <c r="G4609" s="8">
        <v>30</v>
      </c>
      <c r="H4609" s="8" t="s">
        <v>34856</v>
      </c>
      <c r="I4609" s="8">
        <v>526.6875</v>
      </c>
      <c r="J4609" s="3">
        <f t="shared" si="71"/>
        <v>43748.792348831012</v>
      </c>
    </row>
    <row r="4610" spans="1:10" x14ac:dyDescent="0.25">
      <c r="A4610" s="5" t="s">
        <v>34857</v>
      </c>
      <c r="B4610" s="6">
        <v>393.75</v>
      </c>
      <c r="C4610" s="6">
        <v>20.478950000000001</v>
      </c>
      <c r="D4610" s="6">
        <v>67</v>
      </c>
      <c r="E4610" s="6">
        <v>0</v>
      </c>
      <c r="F4610" s="6">
        <v>0</v>
      </c>
      <c r="G4610" s="6">
        <v>23</v>
      </c>
      <c r="H4610" s="6" t="s">
        <v>34858</v>
      </c>
      <c r="I4610" s="6">
        <v>526.6875</v>
      </c>
      <c r="J4610" s="2">
        <f t="shared" ref="J4610:J4673" si="72">(H4610/86400000)+25569+(7/24)</f>
        <v>43748.792420601851</v>
      </c>
    </row>
    <row r="4611" spans="1:10" x14ac:dyDescent="0.25">
      <c r="A4611" s="7" t="s">
        <v>34859</v>
      </c>
      <c r="B4611" s="8">
        <v>393.75</v>
      </c>
      <c r="C4611" s="8">
        <v>20.478950000000001</v>
      </c>
      <c r="D4611" s="8">
        <v>69</v>
      </c>
      <c r="E4611" s="8">
        <v>0</v>
      </c>
      <c r="F4611" s="8">
        <v>0</v>
      </c>
      <c r="G4611" s="8">
        <v>19</v>
      </c>
      <c r="H4611" s="8" t="s">
        <v>34860</v>
      </c>
      <c r="I4611" s="8">
        <v>526.6875</v>
      </c>
      <c r="J4611" s="3">
        <f t="shared" si="72"/>
        <v>43748.792504155092</v>
      </c>
    </row>
    <row r="4612" spans="1:10" x14ac:dyDescent="0.25">
      <c r="A4612" s="5" t="s">
        <v>34861</v>
      </c>
      <c r="B4612" s="6">
        <v>393.75</v>
      </c>
      <c r="C4612" s="6">
        <v>20.478950000000001</v>
      </c>
      <c r="D4612" s="6">
        <v>68</v>
      </c>
      <c r="E4612" s="6">
        <v>0</v>
      </c>
      <c r="F4612" s="6">
        <v>0</v>
      </c>
      <c r="G4612" s="6">
        <v>14</v>
      </c>
      <c r="H4612" s="6" t="s">
        <v>34862</v>
      </c>
      <c r="I4612" s="6">
        <v>526.6875</v>
      </c>
      <c r="J4612" s="2">
        <f t="shared" si="72"/>
        <v>43748.792587719909</v>
      </c>
    </row>
    <row r="4613" spans="1:10" x14ac:dyDescent="0.25">
      <c r="A4613" s="7" t="s">
        <v>34863</v>
      </c>
      <c r="B4613" s="8">
        <v>393.75</v>
      </c>
      <c r="C4613" s="8">
        <v>20.478950000000001</v>
      </c>
      <c r="D4613" s="8">
        <v>67</v>
      </c>
      <c r="E4613" s="8">
        <v>0</v>
      </c>
      <c r="F4613" s="8">
        <v>0</v>
      </c>
      <c r="G4613" s="8">
        <v>23</v>
      </c>
      <c r="H4613" s="8" t="s">
        <v>34864</v>
      </c>
      <c r="I4613" s="8">
        <v>526.6875</v>
      </c>
      <c r="J4613" s="3">
        <f t="shared" si="72"/>
        <v>43748.792671053241</v>
      </c>
    </row>
    <row r="4614" spans="1:10" x14ac:dyDescent="0.25">
      <c r="A4614" s="5" t="s">
        <v>34865</v>
      </c>
      <c r="B4614" s="6">
        <v>393.75</v>
      </c>
      <c r="C4614" s="6">
        <v>20.478950000000001</v>
      </c>
      <c r="D4614" s="6">
        <v>67</v>
      </c>
      <c r="E4614" s="6">
        <v>0</v>
      </c>
      <c r="F4614" s="6">
        <v>0</v>
      </c>
      <c r="G4614" s="6">
        <v>20</v>
      </c>
      <c r="H4614" s="6" t="s">
        <v>34866</v>
      </c>
      <c r="I4614" s="6">
        <v>526.5</v>
      </c>
      <c r="J4614" s="2">
        <f t="shared" si="72"/>
        <v>43748.792754641203</v>
      </c>
    </row>
    <row r="4615" spans="1:10" x14ac:dyDescent="0.25">
      <c r="A4615" s="7" t="s">
        <v>34867</v>
      </c>
      <c r="B4615" s="8">
        <v>393.75</v>
      </c>
      <c r="C4615" s="8">
        <v>20.478950000000001</v>
      </c>
      <c r="D4615" s="8">
        <v>67</v>
      </c>
      <c r="E4615" s="8">
        <v>0</v>
      </c>
      <c r="F4615" s="8">
        <v>0</v>
      </c>
      <c r="G4615" s="8">
        <v>10</v>
      </c>
      <c r="H4615" s="8" t="s">
        <v>34868</v>
      </c>
      <c r="I4615" s="8">
        <v>526.6875</v>
      </c>
      <c r="J4615" s="3">
        <f t="shared" si="72"/>
        <v>43748.792837858789</v>
      </c>
    </row>
    <row r="4616" spans="1:10" x14ac:dyDescent="0.25">
      <c r="A4616" s="5" t="s">
        <v>34869</v>
      </c>
      <c r="B4616" s="6">
        <v>393.75</v>
      </c>
      <c r="C4616" s="6">
        <v>20.478950000000001</v>
      </c>
      <c r="D4616" s="6">
        <v>67</v>
      </c>
      <c r="E4616" s="6">
        <v>0</v>
      </c>
      <c r="F4616" s="6">
        <v>0</v>
      </c>
      <c r="G4616" s="6">
        <v>17</v>
      </c>
      <c r="H4616" s="6" t="s">
        <v>34870</v>
      </c>
      <c r="I4616" s="6">
        <v>526.6875</v>
      </c>
      <c r="J4616" s="2">
        <f t="shared" si="72"/>
        <v>43748.792925914349</v>
      </c>
    </row>
    <row r="4617" spans="1:10" x14ac:dyDescent="0.25">
      <c r="A4617" s="7" t="s">
        <v>34871</v>
      </c>
      <c r="B4617" s="8">
        <v>412.5</v>
      </c>
      <c r="C4617" s="8">
        <v>20.478950000000001</v>
      </c>
      <c r="D4617" s="8">
        <v>67</v>
      </c>
      <c r="E4617" s="8">
        <v>0</v>
      </c>
      <c r="F4617" s="8">
        <v>0</v>
      </c>
      <c r="G4617" s="8">
        <v>17</v>
      </c>
      <c r="H4617" s="8" t="s">
        <v>34872</v>
      </c>
      <c r="I4617" s="8">
        <v>532.3125</v>
      </c>
      <c r="J4617" s="3">
        <f t="shared" si="72"/>
        <v>43748.793005312495</v>
      </c>
    </row>
    <row r="4618" spans="1:10" x14ac:dyDescent="0.25">
      <c r="A4618" s="5" t="s">
        <v>34873</v>
      </c>
      <c r="B4618" s="6">
        <v>393.75</v>
      </c>
      <c r="C4618" s="6">
        <v>20.478950000000001</v>
      </c>
      <c r="D4618" s="6">
        <v>68</v>
      </c>
      <c r="E4618" s="6">
        <v>0</v>
      </c>
      <c r="F4618" s="6">
        <v>0</v>
      </c>
      <c r="G4618" s="6">
        <v>28</v>
      </c>
      <c r="H4618" s="6" t="s">
        <v>34874</v>
      </c>
      <c r="I4618" s="6">
        <v>526.6875</v>
      </c>
      <c r="J4618" s="2">
        <f t="shared" si="72"/>
        <v>43748.793115266199</v>
      </c>
    </row>
    <row r="4619" spans="1:10" x14ac:dyDescent="0.25">
      <c r="A4619" s="7" t="s">
        <v>34875</v>
      </c>
      <c r="B4619" s="8">
        <v>393.75</v>
      </c>
      <c r="C4619" s="8">
        <v>20.478950000000001</v>
      </c>
      <c r="D4619" s="8">
        <v>67</v>
      </c>
      <c r="E4619" s="8">
        <v>0</v>
      </c>
      <c r="F4619" s="8">
        <v>0</v>
      </c>
      <c r="G4619" s="8">
        <v>18</v>
      </c>
      <c r="H4619" s="8" t="s">
        <v>34876</v>
      </c>
      <c r="I4619" s="8">
        <v>526.6875</v>
      </c>
      <c r="J4619" s="3">
        <f t="shared" si="72"/>
        <v>43748.793195960643</v>
      </c>
    </row>
    <row r="4620" spans="1:10" x14ac:dyDescent="0.25">
      <c r="A4620" s="5" t="s">
        <v>34877</v>
      </c>
      <c r="B4620" s="6">
        <v>393.75</v>
      </c>
      <c r="C4620" s="6">
        <v>20.478950000000001</v>
      </c>
      <c r="D4620" s="6">
        <v>68</v>
      </c>
      <c r="E4620" s="6">
        <v>0</v>
      </c>
      <c r="F4620" s="6">
        <v>0</v>
      </c>
      <c r="G4620" s="6">
        <v>16</v>
      </c>
      <c r="H4620" s="6" t="s">
        <v>34878</v>
      </c>
      <c r="I4620" s="6">
        <v>526.6875</v>
      </c>
      <c r="J4620" s="2">
        <f t="shared" si="72"/>
        <v>43748.793279432866</v>
      </c>
    </row>
    <row r="4621" spans="1:10" x14ac:dyDescent="0.25">
      <c r="A4621" s="7" t="s">
        <v>34879</v>
      </c>
      <c r="B4621" s="8">
        <v>393.75</v>
      </c>
      <c r="C4621" s="8">
        <v>20.478950000000001</v>
      </c>
      <c r="D4621" s="8">
        <v>68</v>
      </c>
      <c r="E4621" s="8">
        <v>0</v>
      </c>
      <c r="F4621" s="8">
        <v>0</v>
      </c>
      <c r="G4621" s="8">
        <v>15</v>
      </c>
      <c r="H4621" s="8" t="s">
        <v>34880</v>
      </c>
      <c r="I4621" s="8">
        <v>526.6875</v>
      </c>
      <c r="J4621" s="3">
        <f t="shared" si="72"/>
        <v>43748.793350729167</v>
      </c>
    </row>
    <row r="4622" spans="1:10" x14ac:dyDescent="0.25">
      <c r="A4622" s="5" t="s">
        <v>34881</v>
      </c>
      <c r="B4622" s="6">
        <v>393.75</v>
      </c>
      <c r="C4622" s="6">
        <v>20.478950000000001</v>
      </c>
      <c r="D4622" s="6">
        <v>68</v>
      </c>
      <c r="E4622" s="6">
        <v>0</v>
      </c>
      <c r="F4622" s="6">
        <v>0</v>
      </c>
      <c r="G4622" s="6">
        <v>15</v>
      </c>
      <c r="H4622" s="6" t="s">
        <v>34882</v>
      </c>
      <c r="I4622" s="6">
        <v>526.6875</v>
      </c>
      <c r="J4622" s="2">
        <f t="shared" si="72"/>
        <v>43748.793434189814</v>
      </c>
    </row>
    <row r="4623" spans="1:10" x14ac:dyDescent="0.25">
      <c r="A4623" s="7" t="s">
        <v>34883</v>
      </c>
      <c r="B4623" s="8">
        <v>396.875</v>
      </c>
      <c r="C4623" s="8">
        <v>20.478950000000001</v>
      </c>
      <c r="D4623" s="8">
        <v>68</v>
      </c>
      <c r="E4623" s="8">
        <v>0</v>
      </c>
      <c r="F4623" s="8">
        <v>0</v>
      </c>
      <c r="G4623" s="8">
        <v>25</v>
      </c>
      <c r="H4623" s="8" t="s">
        <v>34884</v>
      </c>
      <c r="I4623" s="8">
        <v>527.625</v>
      </c>
      <c r="J4623" s="3">
        <f t="shared" si="72"/>
        <v>43748.793505810179</v>
      </c>
    </row>
    <row r="4624" spans="1:10" x14ac:dyDescent="0.25">
      <c r="A4624" s="5" t="s">
        <v>34885</v>
      </c>
      <c r="B4624" s="6">
        <v>412.5</v>
      </c>
      <c r="C4624" s="6">
        <v>20.478950000000001</v>
      </c>
      <c r="D4624" s="6">
        <v>67</v>
      </c>
      <c r="E4624" s="6">
        <v>0</v>
      </c>
      <c r="F4624" s="6">
        <v>0</v>
      </c>
      <c r="G4624" s="6">
        <v>16</v>
      </c>
      <c r="H4624" s="6" t="s">
        <v>34886</v>
      </c>
      <c r="I4624" s="6">
        <v>532.3125</v>
      </c>
      <c r="J4624" s="2">
        <f t="shared" si="72"/>
        <v>43748.79358961805</v>
      </c>
    </row>
    <row r="4625" spans="1:10" x14ac:dyDescent="0.25">
      <c r="A4625" s="7" t="s">
        <v>34887</v>
      </c>
      <c r="B4625" s="8">
        <v>393.75</v>
      </c>
      <c r="C4625" s="8">
        <v>20.478950000000001</v>
      </c>
      <c r="D4625" s="8">
        <v>68</v>
      </c>
      <c r="E4625" s="8">
        <v>0</v>
      </c>
      <c r="F4625" s="8">
        <v>0</v>
      </c>
      <c r="G4625" s="8">
        <v>17</v>
      </c>
      <c r="H4625" s="8" t="s">
        <v>34888</v>
      </c>
      <c r="I4625" s="8">
        <v>526.6875</v>
      </c>
      <c r="J4625" s="3">
        <f t="shared" si="72"/>
        <v>43748.793673067128</v>
      </c>
    </row>
    <row r="4626" spans="1:10" x14ac:dyDescent="0.25">
      <c r="A4626" s="5" t="s">
        <v>34889</v>
      </c>
      <c r="B4626" s="6">
        <v>393.75</v>
      </c>
      <c r="C4626" s="6">
        <v>20.478950000000001</v>
      </c>
      <c r="D4626" s="6">
        <v>69</v>
      </c>
      <c r="E4626" s="6">
        <v>0</v>
      </c>
      <c r="F4626" s="6">
        <v>0</v>
      </c>
      <c r="G4626" s="6">
        <v>21</v>
      </c>
      <c r="H4626" s="6" t="s">
        <v>34890</v>
      </c>
      <c r="I4626" s="6">
        <v>526.6875</v>
      </c>
      <c r="J4626" s="2">
        <f t="shared" si="72"/>
        <v>43748.793756273146</v>
      </c>
    </row>
    <row r="4627" spans="1:10" x14ac:dyDescent="0.25">
      <c r="A4627" s="7" t="s">
        <v>34891</v>
      </c>
      <c r="B4627" s="8">
        <v>393.75</v>
      </c>
      <c r="C4627" s="8">
        <v>20.478950000000001</v>
      </c>
      <c r="D4627" s="8">
        <v>69</v>
      </c>
      <c r="E4627" s="8">
        <v>0</v>
      </c>
      <c r="F4627" s="8">
        <v>0</v>
      </c>
      <c r="G4627" s="8">
        <v>25</v>
      </c>
      <c r="H4627" s="8" t="s">
        <v>34892</v>
      </c>
      <c r="I4627" s="8">
        <v>526.6875</v>
      </c>
      <c r="J4627" s="3">
        <f t="shared" si="72"/>
        <v>43748.793828043978</v>
      </c>
    </row>
    <row r="4628" spans="1:10" x14ac:dyDescent="0.25">
      <c r="A4628" s="5" t="s">
        <v>34893</v>
      </c>
      <c r="B4628" s="6">
        <v>393.75</v>
      </c>
      <c r="C4628" s="6">
        <v>20.478950000000001</v>
      </c>
      <c r="D4628" s="6">
        <v>67</v>
      </c>
      <c r="E4628" s="6">
        <v>0</v>
      </c>
      <c r="F4628" s="6">
        <v>0</v>
      </c>
      <c r="G4628" s="6">
        <v>16</v>
      </c>
      <c r="H4628" s="6" t="s">
        <v>34894</v>
      </c>
      <c r="I4628" s="6">
        <v>526.6875</v>
      </c>
      <c r="J4628" s="2">
        <f t="shared" si="72"/>
        <v>43748.79391158565</v>
      </c>
    </row>
    <row r="4629" spans="1:10" x14ac:dyDescent="0.25">
      <c r="A4629" s="7" t="s">
        <v>34895</v>
      </c>
      <c r="B4629" s="8">
        <v>393.75</v>
      </c>
      <c r="C4629" s="8">
        <v>20.478950000000001</v>
      </c>
      <c r="D4629" s="8">
        <v>67</v>
      </c>
      <c r="E4629" s="8">
        <v>0</v>
      </c>
      <c r="F4629" s="8">
        <v>0</v>
      </c>
      <c r="G4629" s="8">
        <v>20</v>
      </c>
      <c r="H4629" s="8" t="s">
        <v>34896</v>
      </c>
      <c r="I4629" s="8">
        <v>526.6875</v>
      </c>
      <c r="J4629" s="3">
        <f t="shared" si="72"/>
        <v>43748.793982800918</v>
      </c>
    </row>
    <row r="4630" spans="1:10" x14ac:dyDescent="0.25">
      <c r="A4630" s="5" t="s">
        <v>34897</v>
      </c>
      <c r="B4630" s="6">
        <v>396.875</v>
      </c>
      <c r="C4630" s="6">
        <v>20.478950000000001</v>
      </c>
      <c r="D4630" s="6">
        <v>64</v>
      </c>
      <c r="E4630" s="6">
        <v>0</v>
      </c>
      <c r="F4630" s="6">
        <v>0</v>
      </c>
      <c r="G4630" s="6">
        <v>18</v>
      </c>
      <c r="H4630" s="6" t="s">
        <v>34898</v>
      </c>
      <c r="I4630" s="6">
        <v>527.4375</v>
      </c>
      <c r="J4630" s="2">
        <f t="shared" si="72"/>
        <v>43748.794066678238</v>
      </c>
    </row>
    <row r="4631" spans="1:10" x14ac:dyDescent="0.25">
      <c r="A4631" s="7" t="s">
        <v>34899</v>
      </c>
      <c r="B4631" s="8">
        <v>396.875</v>
      </c>
      <c r="C4631" s="8">
        <v>20.478950000000001</v>
      </c>
      <c r="D4631" s="8">
        <v>63</v>
      </c>
      <c r="E4631" s="8">
        <v>0</v>
      </c>
      <c r="F4631" s="8">
        <v>0</v>
      </c>
      <c r="G4631" s="8">
        <v>16</v>
      </c>
      <c r="H4631" s="8" t="s">
        <v>34900</v>
      </c>
      <c r="I4631" s="8">
        <v>527.4375</v>
      </c>
      <c r="J4631" s="3">
        <f t="shared" si="72"/>
        <v>43748.794150150461</v>
      </c>
    </row>
    <row r="4632" spans="1:10" x14ac:dyDescent="0.25">
      <c r="A4632" s="5" t="s">
        <v>34901</v>
      </c>
      <c r="B4632" s="6">
        <v>396.875</v>
      </c>
      <c r="C4632" s="6">
        <v>20.478950000000001</v>
      </c>
      <c r="D4632" s="6">
        <v>63</v>
      </c>
      <c r="E4632" s="6">
        <v>0</v>
      </c>
      <c r="F4632" s="6">
        <v>0</v>
      </c>
      <c r="G4632" s="6">
        <v>19</v>
      </c>
      <c r="H4632" s="6" t="s">
        <v>34902</v>
      </c>
      <c r="I4632" s="6">
        <v>527.4375</v>
      </c>
      <c r="J4632" s="2">
        <f t="shared" si="72"/>
        <v>43748.794233599539</v>
      </c>
    </row>
    <row r="4633" spans="1:10" x14ac:dyDescent="0.25">
      <c r="A4633" s="7" t="s">
        <v>34903</v>
      </c>
      <c r="B4633" s="8">
        <v>396.875</v>
      </c>
      <c r="C4633" s="8">
        <v>20.478950000000001</v>
      </c>
      <c r="D4633" s="8">
        <v>63</v>
      </c>
      <c r="E4633" s="8">
        <v>0</v>
      </c>
      <c r="F4633" s="8">
        <v>0</v>
      </c>
      <c r="G4633" s="8">
        <v>16</v>
      </c>
      <c r="H4633" s="8" t="s">
        <v>34904</v>
      </c>
      <c r="I4633" s="8">
        <v>527.4375</v>
      </c>
      <c r="J4633" s="3">
        <f t="shared" si="72"/>
        <v>43748.794317141197</v>
      </c>
    </row>
    <row r="4634" spans="1:10" x14ac:dyDescent="0.25">
      <c r="A4634" s="5" t="s">
        <v>34905</v>
      </c>
      <c r="B4634" s="6">
        <v>425</v>
      </c>
      <c r="C4634" s="6">
        <v>20.478950000000001</v>
      </c>
      <c r="D4634" s="6">
        <v>63</v>
      </c>
      <c r="E4634" s="6">
        <v>0</v>
      </c>
      <c r="F4634" s="6">
        <v>0</v>
      </c>
      <c r="G4634" s="6">
        <v>19</v>
      </c>
      <c r="H4634" s="6" t="s">
        <v>34906</v>
      </c>
      <c r="I4634" s="6">
        <v>536.4375</v>
      </c>
      <c r="J4634" s="2">
        <f t="shared" si="72"/>
        <v>43748.794400729159</v>
      </c>
    </row>
    <row r="4635" spans="1:10" x14ac:dyDescent="0.25">
      <c r="A4635" s="7" t="s">
        <v>34907</v>
      </c>
      <c r="B4635" s="8">
        <v>396.875</v>
      </c>
      <c r="C4635" s="8">
        <v>20.478950000000001</v>
      </c>
      <c r="D4635" s="8">
        <v>64</v>
      </c>
      <c r="E4635" s="8">
        <v>0</v>
      </c>
      <c r="F4635" s="8">
        <v>0</v>
      </c>
      <c r="G4635" s="8">
        <v>17</v>
      </c>
      <c r="H4635" s="8" t="s">
        <v>34908</v>
      </c>
      <c r="I4635" s="8">
        <v>527.4375</v>
      </c>
      <c r="J4635" s="3">
        <f t="shared" si="72"/>
        <v>43748.794484062499</v>
      </c>
    </row>
    <row r="4636" spans="1:10" x14ac:dyDescent="0.25">
      <c r="A4636" s="5" t="s">
        <v>34909</v>
      </c>
      <c r="B4636" s="6">
        <v>396.875</v>
      </c>
      <c r="C4636" s="6">
        <v>20.478950000000001</v>
      </c>
      <c r="D4636" s="6">
        <v>64</v>
      </c>
      <c r="E4636" s="6">
        <v>0</v>
      </c>
      <c r="F4636" s="6">
        <v>0</v>
      </c>
      <c r="G4636" s="6">
        <v>25</v>
      </c>
      <c r="H4636" s="6" t="s">
        <v>34910</v>
      </c>
      <c r="I4636" s="6">
        <v>527.4375</v>
      </c>
      <c r="J4636" s="2">
        <f t="shared" si="72"/>
        <v>43748.794567384255</v>
      </c>
    </row>
    <row r="4637" spans="1:10" x14ac:dyDescent="0.25">
      <c r="A4637" s="7" t="s">
        <v>34911</v>
      </c>
      <c r="B4637" s="8">
        <v>396.875</v>
      </c>
      <c r="C4637" s="8">
        <v>20.478950000000001</v>
      </c>
      <c r="D4637" s="8">
        <v>69</v>
      </c>
      <c r="E4637" s="8">
        <v>0</v>
      </c>
      <c r="F4637" s="8">
        <v>0</v>
      </c>
      <c r="G4637" s="8">
        <v>22</v>
      </c>
      <c r="H4637" s="8" t="s">
        <v>34912</v>
      </c>
      <c r="I4637" s="8">
        <v>527.4375</v>
      </c>
      <c r="J4637" s="3">
        <f t="shared" si="72"/>
        <v>43748.794651087963</v>
      </c>
    </row>
    <row r="4638" spans="1:10" x14ac:dyDescent="0.25">
      <c r="A4638" s="5" t="s">
        <v>34913</v>
      </c>
      <c r="B4638" s="6">
        <v>396.875</v>
      </c>
      <c r="C4638" s="6">
        <v>20.478950000000001</v>
      </c>
      <c r="D4638" s="6">
        <v>70</v>
      </c>
      <c r="E4638" s="6">
        <v>0</v>
      </c>
      <c r="F4638" s="6">
        <v>0</v>
      </c>
      <c r="G4638" s="6">
        <v>18</v>
      </c>
      <c r="H4638" s="6" t="s">
        <v>34914</v>
      </c>
      <c r="I4638" s="6">
        <v>527.4375</v>
      </c>
      <c r="J4638" s="2">
        <f t="shared" si="72"/>
        <v>43748.794746423613</v>
      </c>
    </row>
    <row r="4639" spans="1:10" x14ac:dyDescent="0.25">
      <c r="A4639" s="7" t="s">
        <v>34915</v>
      </c>
      <c r="B4639" s="8">
        <v>396.875</v>
      </c>
      <c r="C4639" s="8">
        <v>20.478950000000001</v>
      </c>
      <c r="D4639" s="8">
        <v>69</v>
      </c>
      <c r="E4639" s="8">
        <v>0</v>
      </c>
      <c r="F4639" s="8">
        <v>0</v>
      </c>
      <c r="G4639" s="8">
        <v>19</v>
      </c>
      <c r="H4639" s="8" t="s">
        <v>34916</v>
      </c>
      <c r="I4639" s="8">
        <v>527.4375</v>
      </c>
      <c r="J4639" s="3">
        <f t="shared" si="72"/>
        <v>43748.79482988426</v>
      </c>
    </row>
    <row r="4640" spans="1:10" x14ac:dyDescent="0.25">
      <c r="A4640" s="5" t="s">
        <v>34917</v>
      </c>
      <c r="B4640" s="6">
        <v>396.875</v>
      </c>
      <c r="C4640" s="6">
        <v>20.478950000000001</v>
      </c>
      <c r="D4640" s="6">
        <v>70</v>
      </c>
      <c r="E4640" s="6">
        <v>0</v>
      </c>
      <c r="F4640" s="6">
        <v>0</v>
      </c>
      <c r="G4640" s="6">
        <v>21</v>
      </c>
      <c r="H4640" s="6" t="s">
        <v>34918</v>
      </c>
      <c r="I4640" s="6">
        <v>527.625</v>
      </c>
      <c r="J4640" s="2">
        <f t="shared" si="72"/>
        <v>43748.794913460646</v>
      </c>
    </row>
    <row r="4641" spans="1:10" x14ac:dyDescent="0.25">
      <c r="A4641" s="7" t="s">
        <v>34919</v>
      </c>
      <c r="B4641" s="8">
        <v>393.75</v>
      </c>
      <c r="C4641" s="8">
        <v>20.478950000000001</v>
      </c>
      <c r="D4641" s="8">
        <v>69</v>
      </c>
      <c r="E4641" s="8">
        <v>0</v>
      </c>
      <c r="F4641" s="8">
        <v>0</v>
      </c>
      <c r="G4641" s="8">
        <v>13</v>
      </c>
      <c r="H4641" s="8" t="s">
        <v>34920</v>
      </c>
      <c r="I4641" s="8">
        <v>526.6875</v>
      </c>
      <c r="J4641" s="3">
        <f t="shared" si="72"/>
        <v>43748.795008587964</v>
      </c>
    </row>
    <row r="4642" spans="1:10" x14ac:dyDescent="0.25">
      <c r="A4642" s="5" t="s">
        <v>34921</v>
      </c>
      <c r="B4642" s="6">
        <v>396.875</v>
      </c>
      <c r="C4642" s="6">
        <v>20.478950000000001</v>
      </c>
      <c r="D4642" s="6">
        <v>69</v>
      </c>
      <c r="E4642" s="6">
        <v>0</v>
      </c>
      <c r="F4642" s="6">
        <v>0</v>
      </c>
      <c r="G4642" s="6">
        <v>27</v>
      </c>
      <c r="H4642" s="6" t="s">
        <v>34922</v>
      </c>
      <c r="I4642" s="6">
        <v>527.4375</v>
      </c>
      <c r="J4642" s="2">
        <f t="shared" si="72"/>
        <v>43748.79508038194</v>
      </c>
    </row>
    <row r="4643" spans="1:10" x14ac:dyDescent="0.25">
      <c r="A4643" s="7" t="s">
        <v>34923</v>
      </c>
      <c r="B4643" s="8">
        <v>393.75</v>
      </c>
      <c r="C4643" s="8">
        <v>20.478950000000001</v>
      </c>
      <c r="D4643" s="8">
        <v>69</v>
      </c>
      <c r="E4643" s="8">
        <v>0</v>
      </c>
      <c r="F4643" s="8">
        <v>0</v>
      </c>
      <c r="G4643" s="8">
        <v>23</v>
      </c>
      <c r="H4643" s="8" t="s">
        <v>34924</v>
      </c>
      <c r="I4643" s="8">
        <v>526.6875</v>
      </c>
      <c r="J4643" s="3">
        <f t="shared" si="72"/>
        <v>43748.795163703697</v>
      </c>
    </row>
    <row r="4644" spans="1:10" x14ac:dyDescent="0.25">
      <c r="A4644" s="5" t="s">
        <v>34925</v>
      </c>
      <c r="B4644" s="6">
        <v>393.75</v>
      </c>
      <c r="C4644" s="6">
        <v>20.478950000000001</v>
      </c>
      <c r="D4644" s="6">
        <v>68</v>
      </c>
      <c r="E4644" s="6">
        <v>0</v>
      </c>
      <c r="F4644" s="6">
        <v>0</v>
      </c>
      <c r="G4644" s="6">
        <v>23</v>
      </c>
      <c r="H4644" s="6" t="s">
        <v>34926</v>
      </c>
      <c r="I4644" s="6">
        <v>526.6875</v>
      </c>
      <c r="J4644" s="2">
        <f t="shared" si="72"/>
        <v>43748.795247349532</v>
      </c>
    </row>
    <row r="4645" spans="1:10" x14ac:dyDescent="0.25">
      <c r="A4645" s="7" t="s">
        <v>34927</v>
      </c>
      <c r="B4645" s="8">
        <v>393.75</v>
      </c>
      <c r="C4645" s="8">
        <v>20.478950000000001</v>
      </c>
      <c r="D4645" s="8">
        <v>68</v>
      </c>
      <c r="E4645" s="8">
        <v>0</v>
      </c>
      <c r="F4645" s="8">
        <v>0</v>
      </c>
      <c r="G4645" s="8">
        <v>20</v>
      </c>
      <c r="H4645" s="8" t="s">
        <v>34928</v>
      </c>
      <c r="I4645" s="8">
        <v>526.6875</v>
      </c>
      <c r="J4645" s="3">
        <f t="shared" si="72"/>
        <v>43748.795330474539</v>
      </c>
    </row>
    <row r="4646" spans="1:10" x14ac:dyDescent="0.25">
      <c r="A4646" s="5" t="s">
        <v>34929</v>
      </c>
      <c r="B4646" s="6">
        <v>393.75</v>
      </c>
      <c r="C4646" s="6">
        <v>20.478950000000001</v>
      </c>
      <c r="D4646" s="6">
        <v>68</v>
      </c>
      <c r="E4646" s="6">
        <v>0</v>
      </c>
      <c r="F4646" s="6">
        <v>0</v>
      </c>
      <c r="G4646" s="6">
        <v>24</v>
      </c>
      <c r="H4646" s="6" t="s">
        <v>34930</v>
      </c>
      <c r="I4646" s="6">
        <v>526.6875</v>
      </c>
      <c r="J4646" s="2">
        <f t="shared" si="72"/>
        <v>43748.795402118056</v>
      </c>
    </row>
    <row r="4647" spans="1:10" x14ac:dyDescent="0.25">
      <c r="A4647" s="7" t="s">
        <v>34931</v>
      </c>
      <c r="B4647" s="8">
        <v>393.75</v>
      </c>
      <c r="C4647" s="8">
        <v>20.478950000000001</v>
      </c>
      <c r="D4647" s="8">
        <v>69</v>
      </c>
      <c r="E4647" s="8">
        <v>0</v>
      </c>
      <c r="F4647" s="8">
        <v>0</v>
      </c>
      <c r="G4647" s="8">
        <v>18</v>
      </c>
      <c r="H4647" s="8" t="s">
        <v>34932</v>
      </c>
      <c r="I4647" s="8">
        <v>526.6875</v>
      </c>
      <c r="J4647" s="3">
        <f t="shared" si="72"/>
        <v>43748.79548591435</v>
      </c>
    </row>
    <row r="4648" spans="1:10" x14ac:dyDescent="0.25">
      <c r="A4648" s="5" t="s">
        <v>34933</v>
      </c>
      <c r="B4648" s="6">
        <v>412.5</v>
      </c>
      <c r="C4648" s="6">
        <v>20.478950000000001</v>
      </c>
      <c r="D4648" s="6">
        <v>69</v>
      </c>
      <c r="E4648" s="6">
        <v>0</v>
      </c>
      <c r="F4648" s="6">
        <v>0</v>
      </c>
      <c r="G4648" s="6">
        <v>22</v>
      </c>
      <c r="H4648" s="6" t="s">
        <v>34934</v>
      </c>
      <c r="I4648" s="6">
        <v>532.3125</v>
      </c>
      <c r="J4648" s="2">
        <f t="shared" si="72"/>
        <v>43748.795569479167</v>
      </c>
    </row>
    <row r="4649" spans="1:10" x14ac:dyDescent="0.25">
      <c r="A4649" s="7" t="s">
        <v>34935</v>
      </c>
      <c r="B4649" s="8">
        <v>393.75</v>
      </c>
      <c r="C4649" s="8">
        <v>20.478950000000001</v>
      </c>
      <c r="D4649" s="8">
        <v>68</v>
      </c>
      <c r="E4649" s="8">
        <v>0</v>
      </c>
      <c r="F4649" s="8">
        <v>0</v>
      </c>
      <c r="G4649" s="8">
        <v>19</v>
      </c>
      <c r="H4649" s="8" t="s">
        <v>34936</v>
      </c>
      <c r="I4649" s="8">
        <v>526.6875</v>
      </c>
      <c r="J4649" s="3">
        <f t="shared" si="72"/>
        <v>43748.795652569439</v>
      </c>
    </row>
    <row r="4650" spans="1:10" x14ac:dyDescent="0.25">
      <c r="A4650" s="5" t="s">
        <v>34937</v>
      </c>
      <c r="B4650" s="6">
        <v>393.75</v>
      </c>
      <c r="C4650" s="6">
        <v>20.478950000000001</v>
      </c>
      <c r="D4650" s="6">
        <v>68</v>
      </c>
      <c r="E4650" s="6">
        <v>0</v>
      </c>
      <c r="F4650" s="6">
        <v>0</v>
      </c>
      <c r="G4650" s="6">
        <v>29</v>
      </c>
      <c r="H4650" s="6" t="s">
        <v>34938</v>
      </c>
      <c r="I4650" s="6">
        <v>526.6875</v>
      </c>
      <c r="J4650" s="2">
        <f t="shared" si="72"/>
        <v>43748.795736469903</v>
      </c>
    </row>
    <row r="4651" spans="1:10" x14ac:dyDescent="0.25">
      <c r="A4651" s="7" t="s">
        <v>34939</v>
      </c>
      <c r="B4651" s="8">
        <v>393.75</v>
      </c>
      <c r="C4651" s="8">
        <v>20.478950000000001</v>
      </c>
      <c r="D4651" s="8">
        <v>66</v>
      </c>
      <c r="E4651" s="8">
        <v>0</v>
      </c>
      <c r="F4651" s="8">
        <v>0</v>
      </c>
      <c r="G4651" s="8">
        <v>24</v>
      </c>
      <c r="H4651" s="8" t="s">
        <v>34940</v>
      </c>
      <c r="I4651" s="8">
        <v>526.6875</v>
      </c>
      <c r="J4651" s="3">
        <f t="shared" si="72"/>
        <v>43748.795820057865</v>
      </c>
    </row>
    <row r="4652" spans="1:10" x14ac:dyDescent="0.25">
      <c r="A4652" s="5" t="s">
        <v>34941</v>
      </c>
      <c r="B4652" s="6">
        <v>412.5</v>
      </c>
      <c r="C4652" s="6">
        <v>20.478950000000001</v>
      </c>
      <c r="D4652" s="6">
        <v>66</v>
      </c>
      <c r="E4652" s="6">
        <v>0</v>
      </c>
      <c r="F4652" s="6">
        <v>0</v>
      </c>
      <c r="G4652" s="6">
        <v>17</v>
      </c>
      <c r="H4652" s="6" t="s">
        <v>34942</v>
      </c>
      <c r="I4652" s="6">
        <v>532.3125</v>
      </c>
      <c r="J4652" s="2">
        <f t="shared" si="72"/>
        <v>43748.795915289353</v>
      </c>
    </row>
    <row r="4653" spans="1:10" x14ac:dyDescent="0.25">
      <c r="A4653" s="7" t="s">
        <v>34943</v>
      </c>
      <c r="B4653" s="8">
        <v>393.75</v>
      </c>
      <c r="C4653" s="8">
        <v>20.478950000000001</v>
      </c>
      <c r="D4653" s="8">
        <v>66</v>
      </c>
      <c r="E4653" s="8">
        <v>0</v>
      </c>
      <c r="F4653" s="8">
        <v>0</v>
      </c>
      <c r="G4653" s="8">
        <v>21</v>
      </c>
      <c r="H4653" s="8" t="s">
        <v>34944</v>
      </c>
      <c r="I4653" s="8">
        <v>526.6875</v>
      </c>
      <c r="J4653" s="3">
        <f t="shared" si="72"/>
        <v>43748.795998761569</v>
      </c>
    </row>
    <row r="4654" spans="1:10" x14ac:dyDescent="0.25">
      <c r="A4654" s="5" t="s">
        <v>34945</v>
      </c>
      <c r="B4654" s="6">
        <v>396.875</v>
      </c>
      <c r="C4654" s="6">
        <v>20.478950000000001</v>
      </c>
      <c r="D4654" s="6">
        <v>67</v>
      </c>
      <c r="E4654" s="6">
        <v>0</v>
      </c>
      <c r="F4654" s="6">
        <v>0</v>
      </c>
      <c r="G4654" s="6">
        <v>22</v>
      </c>
      <c r="H4654" s="6" t="s">
        <v>34946</v>
      </c>
      <c r="I4654" s="6">
        <v>527.4375</v>
      </c>
      <c r="J4654" s="2">
        <f t="shared" si="72"/>
        <v>43748.796082175926</v>
      </c>
    </row>
    <row r="4655" spans="1:10" x14ac:dyDescent="0.25">
      <c r="A4655" s="7" t="s">
        <v>34947</v>
      </c>
      <c r="B4655" s="8">
        <v>396.875</v>
      </c>
      <c r="C4655" s="8">
        <v>20.478950000000001</v>
      </c>
      <c r="D4655" s="8">
        <v>68</v>
      </c>
      <c r="E4655" s="8">
        <v>0</v>
      </c>
      <c r="F4655" s="8">
        <v>0</v>
      </c>
      <c r="G4655" s="8">
        <v>15</v>
      </c>
      <c r="H4655" s="8" t="s">
        <v>34948</v>
      </c>
      <c r="I4655" s="8">
        <v>527.4375</v>
      </c>
      <c r="J4655" s="3">
        <f t="shared" si="72"/>
        <v>43748.796165729167</v>
      </c>
    </row>
    <row r="4656" spans="1:10" x14ac:dyDescent="0.25">
      <c r="A4656" s="5" t="s">
        <v>34949</v>
      </c>
      <c r="B4656" s="6">
        <v>396.875</v>
      </c>
      <c r="C4656" s="6">
        <v>20.478950000000001</v>
      </c>
      <c r="D4656" s="6">
        <v>67</v>
      </c>
      <c r="E4656" s="6">
        <v>0</v>
      </c>
      <c r="F4656" s="6">
        <v>0</v>
      </c>
      <c r="G4656" s="6">
        <v>22</v>
      </c>
      <c r="H4656" s="6" t="s">
        <v>34950</v>
      </c>
      <c r="I4656" s="6">
        <v>527.4375</v>
      </c>
      <c r="J4656" s="2">
        <f t="shared" si="72"/>
        <v>43748.796256446753</v>
      </c>
    </row>
    <row r="4657" spans="1:10" x14ac:dyDescent="0.25">
      <c r="A4657" s="7" t="s">
        <v>34951</v>
      </c>
      <c r="B4657" s="8">
        <v>400</v>
      </c>
      <c r="C4657" s="8">
        <v>20.478950000000001</v>
      </c>
      <c r="D4657" s="8">
        <v>67</v>
      </c>
      <c r="E4657" s="8">
        <v>0</v>
      </c>
      <c r="F4657" s="8">
        <v>0</v>
      </c>
      <c r="G4657" s="8">
        <v>19</v>
      </c>
      <c r="H4657" s="8" t="s">
        <v>34952</v>
      </c>
      <c r="I4657" s="8">
        <v>528.1875</v>
      </c>
      <c r="J4657" s="3">
        <f t="shared" si="72"/>
        <v>43748.796332650461</v>
      </c>
    </row>
    <row r="4658" spans="1:10" x14ac:dyDescent="0.25">
      <c r="A4658" s="5" t="s">
        <v>34953</v>
      </c>
      <c r="B4658" s="6">
        <v>400</v>
      </c>
      <c r="C4658" s="6">
        <v>20.478950000000001</v>
      </c>
      <c r="D4658" s="6">
        <v>65</v>
      </c>
      <c r="E4658" s="6">
        <v>0</v>
      </c>
      <c r="F4658" s="6">
        <v>0</v>
      </c>
      <c r="G4658" s="6">
        <v>13</v>
      </c>
      <c r="H4658" s="6" t="s">
        <v>34954</v>
      </c>
      <c r="I4658" s="6">
        <v>528.1875</v>
      </c>
      <c r="J4658" s="2">
        <f t="shared" si="72"/>
        <v>43748.796415972225</v>
      </c>
    </row>
    <row r="4659" spans="1:10" x14ac:dyDescent="0.25">
      <c r="A4659" s="7" t="s">
        <v>34955</v>
      </c>
      <c r="B4659" s="8">
        <v>418.75</v>
      </c>
      <c r="C4659" s="8">
        <v>20.478950000000001</v>
      </c>
      <c r="D4659" s="8">
        <v>66</v>
      </c>
      <c r="E4659" s="8">
        <v>0</v>
      </c>
      <c r="F4659" s="8">
        <v>0</v>
      </c>
      <c r="G4659" s="8">
        <v>14</v>
      </c>
      <c r="H4659" s="8" t="s">
        <v>34956</v>
      </c>
      <c r="I4659" s="8">
        <v>534.1875</v>
      </c>
      <c r="J4659" s="3">
        <f t="shared" si="72"/>
        <v>43748.796487731481</v>
      </c>
    </row>
    <row r="4660" spans="1:10" x14ac:dyDescent="0.25">
      <c r="A4660" s="5" t="s">
        <v>34957</v>
      </c>
      <c r="B4660" s="6">
        <v>400</v>
      </c>
      <c r="C4660" s="6">
        <v>20.478950000000001</v>
      </c>
      <c r="D4660" s="6">
        <v>70</v>
      </c>
      <c r="E4660" s="6">
        <v>0</v>
      </c>
      <c r="F4660" s="6">
        <v>0</v>
      </c>
      <c r="G4660" s="6">
        <v>12</v>
      </c>
      <c r="H4660" s="6" t="s">
        <v>34958</v>
      </c>
      <c r="I4660" s="6">
        <v>528.1875</v>
      </c>
      <c r="J4660" s="2">
        <f t="shared" si="72"/>
        <v>43748.796571053237</v>
      </c>
    </row>
    <row r="4661" spans="1:10" x14ac:dyDescent="0.25">
      <c r="A4661" s="7" t="s">
        <v>34959</v>
      </c>
      <c r="B4661" s="8">
        <v>400</v>
      </c>
      <c r="C4661" s="8">
        <v>20.478950000000001</v>
      </c>
      <c r="D4661" s="8">
        <v>70</v>
      </c>
      <c r="E4661" s="8">
        <v>0</v>
      </c>
      <c r="F4661" s="8">
        <v>0</v>
      </c>
      <c r="G4661" s="8">
        <v>17</v>
      </c>
      <c r="H4661" s="8" t="s">
        <v>34960</v>
      </c>
      <c r="I4661" s="8">
        <v>528.375</v>
      </c>
      <c r="J4661" s="3">
        <f t="shared" si="72"/>
        <v>43748.796642696754</v>
      </c>
    </row>
    <row r="4662" spans="1:10" x14ac:dyDescent="0.25">
      <c r="A4662" s="5" t="s">
        <v>34961</v>
      </c>
      <c r="B4662" s="6">
        <v>400</v>
      </c>
      <c r="C4662" s="6">
        <v>20.478950000000001</v>
      </c>
      <c r="D4662" s="6">
        <v>71</v>
      </c>
      <c r="E4662" s="6">
        <v>0</v>
      </c>
      <c r="F4662" s="6">
        <v>0</v>
      </c>
      <c r="G4662" s="6">
        <v>20</v>
      </c>
      <c r="H4662" s="6" t="s">
        <v>34962</v>
      </c>
      <c r="I4662" s="6">
        <v>528.375</v>
      </c>
      <c r="J4662" s="2">
        <f t="shared" si="72"/>
        <v>43748.796726261571</v>
      </c>
    </row>
    <row r="4663" spans="1:10" x14ac:dyDescent="0.25">
      <c r="A4663" s="7" t="s">
        <v>34963</v>
      </c>
      <c r="B4663" s="8">
        <v>400</v>
      </c>
      <c r="C4663" s="8">
        <v>20.478950000000001</v>
      </c>
      <c r="D4663" s="8">
        <v>69</v>
      </c>
      <c r="E4663" s="8">
        <v>0</v>
      </c>
      <c r="F4663" s="8">
        <v>0</v>
      </c>
      <c r="G4663" s="8">
        <v>18</v>
      </c>
      <c r="H4663" s="8" t="s">
        <v>34964</v>
      </c>
      <c r="I4663" s="8">
        <v>528.9375</v>
      </c>
      <c r="J4663" s="3">
        <f t="shared" si="72"/>
        <v>43748.796809733794</v>
      </c>
    </row>
    <row r="4664" spans="1:10" x14ac:dyDescent="0.25">
      <c r="A4664" s="5" t="s">
        <v>34965</v>
      </c>
      <c r="B4664" s="6">
        <v>403.125</v>
      </c>
      <c r="C4664" s="6">
        <v>20.478950000000001</v>
      </c>
      <c r="D4664" s="6">
        <v>67</v>
      </c>
      <c r="E4664" s="6">
        <v>0</v>
      </c>
      <c r="F4664" s="6">
        <v>0</v>
      </c>
      <c r="G4664" s="6">
        <v>29</v>
      </c>
      <c r="H4664" s="6" t="s">
        <v>34966</v>
      </c>
      <c r="I4664" s="6">
        <v>529.125</v>
      </c>
      <c r="J4664" s="2">
        <f t="shared" si="72"/>
        <v>43748.796893275459</v>
      </c>
    </row>
    <row r="4665" spans="1:10" x14ac:dyDescent="0.25">
      <c r="A4665" s="7" t="s">
        <v>34967</v>
      </c>
      <c r="B4665" s="8">
        <v>403.125</v>
      </c>
      <c r="C4665" s="8">
        <v>20.478950000000001</v>
      </c>
      <c r="D4665" s="8">
        <v>67</v>
      </c>
      <c r="E4665" s="8">
        <v>0</v>
      </c>
      <c r="F4665" s="8">
        <v>0</v>
      </c>
      <c r="G4665" s="8">
        <v>18</v>
      </c>
      <c r="H4665" s="8" t="s">
        <v>34968</v>
      </c>
      <c r="I4665" s="8">
        <v>529.875</v>
      </c>
      <c r="J4665" s="3">
        <f t="shared" si="72"/>
        <v>43748.79697672453</v>
      </c>
    </row>
    <row r="4666" spans="1:10" x14ac:dyDescent="0.25">
      <c r="A4666" s="5" t="s">
        <v>34969</v>
      </c>
      <c r="B4666" s="6">
        <v>403.125</v>
      </c>
      <c r="C4666" s="6">
        <v>20.478950000000001</v>
      </c>
      <c r="D4666" s="6">
        <v>67</v>
      </c>
      <c r="E4666" s="6">
        <v>0</v>
      </c>
      <c r="F4666" s="6">
        <v>0</v>
      </c>
      <c r="G4666" s="6">
        <v>16</v>
      </c>
      <c r="H4666" s="6" t="s">
        <v>34970</v>
      </c>
      <c r="I4666" s="6">
        <v>529.875</v>
      </c>
      <c r="J4666" s="2">
        <f t="shared" si="72"/>
        <v>43748.797059965276</v>
      </c>
    </row>
    <row r="4667" spans="1:10" x14ac:dyDescent="0.25">
      <c r="A4667" s="7" t="s">
        <v>34971</v>
      </c>
      <c r="B4667" s="8">
        <v>406.25</v>
      </c>
      <c r="C4667" s="8">
        <v>20.478950000000001</v>
      </c>
      <c r="D4667" s="8">
        <v>67</v>
      </c>
      <c r="E4667" s="8">
        <v>0</v>
      </c>
      <c r="F4667" s="8">
        <v>0</v>
      </c>
      <c r="G4667" s="8">
        <v>24</v>
      </c>
      <c r="H4667" s="8" t="s">
        <v>34972</v>
      </c>
      <c r="I4667" s="8">
        <v>530.8125</v>
      </c>
      <c r="J4667" s="3">
        <f t="shared" si="72"/>
        <v>43748.797131701387</v>
      </c>
    </row>
    <row r="4668" spans="1:10" x14ac:dyDescent="0.25">
      <c r="A4668" s="5" t="s">
        <v>34973</v>
      </c>
      <c r="B4668" s="6">
        <v>406.25</v>
      </c>
      <c r="C4668" s="6">
        <v>20.478950000000001</v>
      </c>
      <c r="D4668" s="6">
        <v>68</v>
      </c>
      <c r="E4668" s="6">
        <v>0</v>
      </c>
      <c r="F4668" s="6">
        <v>0</v>
      </c>
      <c r="G4668" s="6">
        <v>11</v>
      </c>
      <c r="H4668" s="6" t="s">
        <v>34974</v>
      </c>
      <c r="I4668" s="6">
        <v>530.8125</v>
      </c>
      <c r="J4668" s="2">
        <f t="shared" si="72"/>
        <v>43748.797215266204</v>
      </c>
    </row>
    <row r="4669" spans="1:10" x14ac:dyDescent="0.25">
      <c r="A4669" s="7" t="s">
        <v>34975</v>
      </c>
      <c r="B4669" s="8">
        <v>406.25</v>
      </c>
      <c r="C4669" s="8">
        <v>20.478950000000001</v>
      </c>
      <c r="D4669" s="8">
        <v>67</v>
      </c>
      <c r="E4669" s="8">
        <v>0</v>
      </c>
      <c r="F4669" s="8">
        <v>0</v>
      </c>
      <c r="G4669" s="8">
        <v>19</v>
      </c>
      <c r="H4669" s="8" t="s">
        <v>34976</v>
      </c>
      <c r="I4669" s="8">
        <v>530.625</v>
      </c>
      <c r="J4669" s="3">
        <f t="shared" si="72"/>
        <v>43748.797298715275</v>
      </c>
    </row>
    <row r="4670" spans="1:10" x14ac:dyDescent="0.25">
      <c r="A4670" s="5" t="s">
        <v>34977</v>
      </c>
      <c r="B4670" s="6">
        <v>406.25</v>
      </c>
      <c r="C4670" s="6">
        <v>20.478950000000001</v>
      </c>
      <c r="D4670" s="6">
        <v>67</v>
      </c>
      <c r="E4670" s="6">
        <v>0</v>
      </c>
      <c r="F4670" s="6">
        <v>0</v>
      </c>
      <c r="G4670" s="6">
        <v>17</v>
      </c>
      <c r="H4670" s="6" t="s">
        <v>34978</v>
      </c>
      <c r="I4670" s="6">
        <v>530.8125</v>
      </c>
      <c r="J4670" s="2">
        <f t="shared" si="72"/>
        <v>43748.797382175922</v>
      </c>
    </row>
    <row r="4671" spans="1:10" x14ac:dyDescent="0.25">
      <c r="A4671" s="7" t="s">
        <v>34979</v>
      </c>
      <c r="B4671" s="8">
        <v>406.25</v>
      </c>
      <c r="C4671" s="8">
        <v>20.478950000000001</v>
      </c>
      <c r="D4671" s="8">
        <v>66</v>
      </c>
      <c r="E4671" s="8">
        <v>0</v>
      </c>
      <c r="F4671" s="8">
        <v>0</v>
      </c>
      <c r="G4671" s="8">
        <v>18</v>
      </c>
      <c r="H4671" s="8" t="s">
        <v>34980</v>
      </c>
      <c r="I4671" s="8">
        <v>530.625</v>
      </c>
      <c r="J4671" s="3">
        <f t="shared" si="72"/>
        <v>43748.797465752308</v>
      </c>
    </row>
    <row r="4672" spans="1:10" x14ac:dyDescent="0.25">
      <c r="A4672" s="5" t="s">
        <v>34981</v>
      </c>
      <c r="B4672" s="6">
        <v>403.125</v>
      </c>
      <c r="C4672" s="6">
        <v>20.478950000000001</v>
      </c>
      <c r="D4672" s="6">
        <v>66</v>
      </c>
      <c r="E4672" s="6">
        <v>0</v>
      </c>
      <c r="F4672" s="6">
        <v>0</v>
      </c>
      <c r="G4672" s="6">
        <v>20</v>
      </c>
      <c r="H4672" s="6" t="s">
        <v>34982</v>
      </c>
      <c r="I4672" s="6">
        <v>529.875</v>
      </c>
      <c r="J4672" s="2">
        <f t="shared" si="72"/>
        <v>43748.797548969909</v>
      </c>
    </row>
    <row r="4673" spans="1:10" x14ac:dyDescent="0.25">
      <c r="A4673" s="7" t="s">
        <v>34983</v>
      </c>
      <c r="B4673" s="8">
        <v>403.125</v>
      </c>
      <c r="C4673" s="8">
        <v>20.478950000000001</v>
      </c>
      <c r="D4673" s="8">
        <v>66</v>
      </c>
      <c r="E4673" s="8">
        <v>0</v>
      </c>
      <c r="F4673" s="8">
        <v>0</v>
      </c>
      <c r="G4673" s="8">
        <v>18</v>
      </c>
      <c r="H4673" s="8" t="s">
        <v>34984</v>
      </c>
      <c r="I4673" s="8">
        <v>529.875</v>
      </c>
      <c r="J4673" s="3">
        <f t="shared" si="72"/>
        <v>43748.797620590274</v>
      </c>
    </row>
    <row r="4674" spans="1:10" x14ac:dyDescent="0.25">
      <c r="A4674" s="5" t="s">
        <v>34985</v>
      </c>
      <c r="B4674" s="6">
        <v>403.125</v>
      </c>
      <c r="C4674" s="6">
        <v>20.478950000000001</v>
      </c>
      <c r="D4674" s="6">
        <v>65</v>
      </c>
      <c r="E4674" s="6">
        <v>0</v>
      </c>
      <c r="F4674" s="6">
        <v>0</v>
      </c>
      <c r="G4674" s="6">
        <v>14</v>
      </c>
      <c r="H4674" s="6" t="s">
        <v>34986</v>
      </c>
      <c r="I4674" s="6">
        <v>529.875</v>
      </c>
      <c r="J4674" s="2">
        <f t="shared" ref="J4674:J4737" si="73">(H4674/86400000)+25569+(7/24)</f>
        <v>43748.797704490738</v>
      </c>
    </row>
    <row r="4675" spans="1:10" x14ac:dyDescent="0.25">
      <c r="A4675" s="7" t="s">
        <v>34987</v>
      </c>
      <c r="B4675" s="8">
        <v>406.25</v>
      </c>
      <c r="C4675" s="8">
        <v>20.478950000000001</v>
      </c>
      <c r="D4675" s="8">
        <v>66</v>
      </c>
      <c r="E4675" s="8">
        <v>0</v>
      </c>
      <c r="F4675" s="8">
        <v>0</v>
      </c>
      <c r="G4675" s="8">
        <v>21</v>
      </c>
      <c r="H4675" s="8" t="s">
        <v>34988</v>
      </c>
      <c r="I4675" s="8">
        <v>530.8125</v>
      </c>
      <c r="J4675" s="3">
        <f t="shared" si="73"/>
        <v>43748.797787719908</v>
      </c>
    </row>
    <row r="4676" spans="1:10" x14ac:dyDescent="0.25">
      <c r="A4676" s="5" t="s">
        <v>34989</v>
      </c>
      <c r="B4676" s="6">
        <v>406.25</v>
      </c>
      <c r="C4676" s="6">
        <v>20.478950000000001</v>
      </c>
      <c r="D4676" s="6">
        <v>66</v>
      </c>
      <c r="E4676" s="6">
        <v>0</v>
      </c>
      <c r="F4676" s="6">
        <v>0</v>
      </c>
      <c r="G4676" s="6">
        <v>19</v>
      </c>
      <c r="H4676" s="6" t="s">
        <v>34990</v>
      </c>
      <c r="I4676" s="6">
        <v>530.8125</v>
      </c>
      <c r="J4676" s="2">
        <f t="shared" si="73"/>
        <v>43748.797871064809</v>
      </c>
    </row>
    <row r="4677" spans="1:10" x14ac:dyDescent="0.25">
      <c r="A4677" s="7" t="s">
        <v>34991</v>
      </c>
      <c r="B4677" s="8">
        <v>425</v>
      </c>
      <c r="C4677" s="8">
        <v>20.478950000000001</v>
      </c>
      <c r="D4677" s="8">
        <v>66</v>
      </c>
      <c r="E4677" s="8">
        <v>0</v>
      </c>
      <c r="F4677" s="8">
        <v>0</v>
      </c>
      <c r="G4677" s="8">
        <v>26</v>
      </c>
      <c r="H4677" s="8" t="s">
        <v>34992</v>
      </c>
      <c r="I4677" s="8">
        <v>536.4375</v>
      </c>
      <c r="J4677" s="3">
        <f t="shared" si="73"/>
        <v>43748.797954733796</v>
      </c>
    </row>
    <row r="4678" spans="1:10" x14ac:dyDescent="0.25">
      <c r="A4678" s="5" t="s">
        <v>34993</v>
      </c>
      <c r="B4678" s="6">
        <v>406.25</v>
      </c>
      <c r="C4678" s="6">
        <v>20.478950000000001</v>
      </c>
      <c r="D4678" s="6">
        <v>65</v>
      </c>
      <c r="E4678" s="6">
        <v>0</v>
      </c>
      <c r="F4678" s="6">
        <v>0</v>
      </c>
      <c r="G4678" s="6">
        <v>16</v>
      </c>
      <c r="H4678" s="6" t="s">
        <v>34994</v>
      </c>
      <c r="I4678" s="6">
        <v>530.625</v>
      </c>
      <c r="J4678" s="2">
        <f t="shared" si="73"/>
        <v>43748.798050104167</v>
      </c>
    </row>
    <row r="4679" spans="1:10" x14ac:dyDescent="0.25">
      <c r="A4679" s="7" t="s">
        <v>34995</v>
      </c>
      <c r="B4679" s="8">
        <v>406.25</v>
      </c>
      <c r="C4679" s="8">
        <v>20.478950000000001</v>
      </c>
      <c r="D4679" s="8">
        <v>63</v>
      </c>
      <c r="E4679" s="8">
        <v>0</v>
      </c>
      <c r="F4679" s="8">
        <v>0</v>
      </c>
      <c r="G4679" s="8">
        <v>12</v>
      </c>
      <c r="H4679" s="8" t="s">
        <v>34996</v>
      </c>
      <c r="I4679" s="8">
        <v>530.625</v>
      </c>
      <c r="J4679" s="3">
        <f t="shared" si="73"/>
        <v>43748.798133680553</v>
      </c>
    </row>
    <row r="4680" spans="1:10" x14ac:dyDescent="0.25">
      <c r="A4680" s="5" t="s">
        <v>34997</v>
      </c>
      <c r="B4680" s="6">
        <v>406.25</v>
      </c>
      <c r="C4680" s="6">
        <v>20.478950000000001</v>
      </c>
      <c r="D4680" s="6">
        <v>62</v>
      </c>
      <c r="E4680" s="6">
        <v>0</v>
      </c>
      <c r="F4680" s="6">
        <v>0</v>
      </c>
      <c r="G4680" s="6">
        <v>14</v>
      </c>
      <c r="H4680" s="6" t="s">
        <v>34998</v>
      </c>
      <c r="I4680" s="6">
        <v>530.625</v>
      </c>
      <c r="J4680" s="2">
        <f t="shared" si="73"/>
        <v>43748.798217118056</v>
      </c>
    </row>
    <row r="4681" spans="1:10" x14ac:dyDescent="0.25">
      <c r="A4681" s="7" t="s">
        <v>34999</v>
      </c>
      <c r="B4681" s="8">
        <v>421.875</v>
      </c>
      <c r="C4681" s="8">
        <v>20.478950000000001</v>
      </c>
      <c r="D4681" s="8">
        <v>64</v>
      </c>
      <c r="E4681" s="8">
        <v>0</v>
      </c>
      <c r="F4681" s="8">
        <v>0</v>
      </c>
      <c r="G4681" s="8">
        <v>23</v>
      </c>
      <c r="H4681" s="8" t="s">
        <v>35000</v>
      </c>
      <c r="I4681" s="8">
        <v>535.6875</v>
      </c>
      <c r="J4681" s="3">
        <f t="shared" si="73"/>
        <v>43748.798300682865</v>
      </c>
    </row>
    <row r="4682" spans="1:10" x14ac:dyDescent="0.25">
      <c r="A4682" s="5" t="s">
        <v>35001</v>
      </c>
      <c r="B4682" s="6">
        <v>403.125</v>
      </c>
      <c r="C4682" s="6">
        <v>20.478950000000001</v>
      </c>
      <c r="D4682" s="6">
        <v>64</v>
      </c>
      <c r="E4682" s="6">
        <v>0</v>
      </c>
      <c r="F4682" s="6">
        <v>0</v>
      </c>
      <c r="G4682" s="6">
        <v>18</v>
      </c>
      <c r="H4682" s="6" t="s">
        <v>35002</v>
      </c>
      <c r="I4682" s="6">
        <v>529.875</v>
      </c>
      <c r="J4682" s="2">
        <f t="shared" si="73"/>
        <v>43748.798384131944</v>
      </c>
    </row>
    <row r="4683" spans="1:10" x14ac:dyDescent="0.25">
      <c r="A4683" s="7" t="s">
        <v>35003</v>
      </c>
      <c r="B4683" s="8">
        <v>403.125</v>
      </c>
      <c r="C4683" s="8">
        <v>20.478950000000001</v>
      </c>
      <c r="D4683" s="8">
        <v>64</v>
      </c>
      <c r="E4683" s="8">
        <v>0</v>
      </c>
      <c r="F4683" s="8">
        <v>0</v>
      </c>
      <c r="G4683" s="8">
        <v>26</v>
      </c>
      <c r="H4683" s="8" t="s">
        <v>35004</v>
      </c>
      <c r="I4683" s="8">
        <v>529.875</v>
      </c>
      <c r="J4683" s="3">
        <f t="shared" si="73"/>
        <v>43748.798467361114</v>
      </c>
    </row>
    <row r="4684" spans="1:10" x14ac:dyDescent="0.25">
      <c r="A4684" s="5" t="s">
        <v>35005</v>
      </c>
      <c r="B4684" s="6">
        <v>406.25</v>
      </c>
      <c r="C4684" s="6">
        <v>20.478950000000001</v>
      </c>
      <c r="D4684" s="6">
        <v>64</v>
      </c>
      <c r="E4684" s="6">
        <v>0</v>
      </c>
      <c r="F4684" s="6">
        <v>0</v>
      </c>
      <c r="G4684" s="6">
        <v>14</v>
      </c>
      <c r="H4684" s="6" t="s">
        <v>35006</v>
      </c>
      <c r="I4684" s="6">
        <v>530.0625</v>
      </c>
      <c r="J4684" s="2">
        <f t="shared" si="73"/>
        <v>43748.798539120369</v>
      </c>
    </row>
    <row r="4685" spans="1:10" x14ac:dyDescent="0.25">
      <c r="A4685" s="7" t="s">
        <v>35007</v>
      </c>
      <c r="B4685" s="8">
        <v>403.125</v>
      </c>
      <c r="C4685" s="8">
        <v>20.478950000000001</v>
      </c>
      <c r="D4685" s="8">
        <v>65</v>
      </c>
      <c r="E4685" s="8">
        <v>0</v>
      </c>
      <c r="F4685" s="8">
        <v>0</v>
      </c>
      <c r="G4685" s="8">
        <v>14</v>
      </c>
      <c r="H4685" s="8" t="s">
        <v>35008</v>
      </c>
      <c r="I4685" s="8">
        <v>529.125</v>
      </c>
      <c r="J4685" s="3">
        <f t="shared" si="73"/>
        <v>43748.798634826388</v>
      </c>
    </row>
    <row r="4686" spans="1:10" x14ac:dyDescent="0.25">
      <c r="A4686" s="5" t="s">
        <v>35009</v>
      </c>
      <c r="B4686" s="6">
        <v>403.125</v>
      </c>
      <c r="C4686" s="6">
        <v>20.478950000000001</v>
      </c>
      <c r="D4686" s="6">
        <v>70</v>
      </c>
      <c r="E4686" s="6">
        <v>0</v>
      </c>
      <c r="F4686" s="6">
        <v>0</v>
      </c>
      <c r="G4686" s="6">
        <v>13</v>
      </c>
      <c r="H4686" s="6" t="s">
        <v>35010</v>
      </c>
      <c r="I4686" s="6">
        <v>529.125</v>
      </c>
      <c r="J4686" s="2">
        <f t="shared" si="73"/>
        <v>43748.798706099529</v>
      </c>
    </row>
    <row r="4687" spans="1:10" x14ac:dyDescent="0.25">
      <c r="A4687" s="7" t="s">
        <v>35011</v>
      </c>
      <c r="B4687" s="8">
        <v>403.125</v>
      </c>
      <c r="C4687" s="8">
        <v>20.478950000000001</v>
      </c>
      <c r="D4687" s="8">
        <v>70</v>
      </c>
      <c r="E4687" s="8">
        <v>0</v>
      </c>
      <c r="F4687" s="8">
        <v>0</v>
      </c>
      <c r="G4687" s="8">
        <v>9</v>
      </c>
      <c r="H4687" s="8" t="s">
        <v>35012</v>
      </c>
      <c r="I4687" s="8">
        <v>529.125</v>
      </c>
      <c r="J4687" s="3">
        <f t="shared" si="73"/>
        <v>43748.798777812503</v>
      </c>
    </row>
    <row r="4688" spans="1:10" x14ac:dyDescent="0.25">
      <c r="A4688" s="5" t="s">
        <v>35013</v>
      </c>
      <c r="B4688" s="6">
        <v>403.125</v>
      </c>
      <c r="C4688" s="6">
        <v>20.478950000000001</v>
      </c>
      <c r="D4688" s="6">
        <v>69</v>
      </c>
      <c r="E4688" s="6">
        <v>0</v>
      </c>
      <c r="F4688" s="6">
        <v>0</v>
      </c>
      <c r="G4688" s="6">
        <v>11</v>
      </c>
      <c r="H4688" s="6" t="s">
        <v>35014</v>
      </c>
      <c r="I4688" s="6">
        <v>529.125</v>
      </c>
      <c r="J4688" s="2">
        <f t="shared" si="73"/>
        <v>43748.798849340274</v>
      </c>
    </row>
    <row r="4689" spans="1:10" x14ac:dyDescent="0.25">
      <c r="A4689" s="7" t="s">
        <v>35015</v>
      </c>
      <c r="B4689" s="8">
        <v>403.125</v>
      </c>
      <c r="C4689" s="8">
        <v>20.478950000000001</v>
      </c>
      <c r="D4689" s="8">
        <v>69</v>
      </c>
      <c r="E4689" s="8">
        <v>0</v>
      </c>
      <c r="F4689" s="8">
        <v>0</v>
      </c>
      <c r="G4689" s="8">
        <v>18</v>
      </c>
      <c r="H4689" s="8" t="s">
        <v>35016</v>
      </c>
      <c r="I4689" s="8">
        <v>529.125</v>
      </c>
      <c r="J4689" s="3">
        <f t="shared" si="73"/>
        <v>43748.79892134259</v>
      </c>
    </row>
    <row r="4690" spans="1:10" x14ac:dyDescent="0.25">
      <c r="A4690" s="5" t="s">
        <v>35017</v>
      </c>
      <c r="B4690" s="6">
        <v>418.75</v>
      </c>
      <c r="C4690" s="6">
        <v>20.478950000000001</v>
      </c>
      <c r="D4690" s="6">
        <v>64</v>
      </c>
      <c r="E4690" s="6">
        <v>0</v>
      </c>
      <c r="F4690" s="6">
        <v>0</v>
      </c>
      <c r="G4690" s="6">
        <v>18</v>
      </c>
      <c r="H4690" s="6" t="s">
        <v>35018</v>
      </c>
      <c r="I4690" s="6">
        <v>534.75</v>
      </c>
      <c r="J4690" s="2">
        <f t="shared" si="73"/>
        <v>43748.798992638891</v>
      </c>
    </row>
    <row r="4691" spans="1:10" x14ac:dyDescent="0.25">
      <c r="A4691" s="7" t="s">
        <v>35019</v>
      </c>
      <c r="B4691" s="8">
        <v>400</v>
      </c>
      <c r="C4691" s="8">
        <v>20.478950000000001</v>
      </c>
      <c r="D4691" s="8">
        <v>64</v>
      </c>
      <c r="E4691" s="8">
        <v>0</v>
      </c>
      <c r="F4691" s="8">
        <v>0</v>
      </c>
      <c r="G4691" s="8">
        <v>15</v>
      </c>
      <c r="H4691" s="8" t="s">
        <v>35020</v>
      </c>
      <c r="I4691" s="8">
        <v>528.1875</v>
      </c>
      <c r="J4691" s="3">
        <f t="shared" si="73"/>
        <v>43748.799063923609</v>
      </c>
    </row>
    <row r="4692" spans="1:10" x14ac:dyDescent="0.25">
      <c r="A4692" s="5" t="s">
        <v>35021</v>
      </c>
      <c r="B4692" s="6">
        <v>400</v>
      </c>
      <c r="C4692" s="6">
        <v>20.478950000000001</v>
      </c>
      <c r="D4692" s="6">
        <v>64</v>
      </c>
      <c r="E4692" s="6">
        <v>0</v>
      </c>
      <c r="F4692" s="6">
        <v>0</v>
      </c>
      <c r="G4692" s="6">
        <v>18</v>
      </c>
      <c r="H4692" s="6" t="s">
        <v>35022</v>
      </c>
      <c r="I4692" s="6">
        <v>528.375</v>
      </c>
      <c r="J4692" s="2">
        <f t="shared" si="73"/>
        <v>43748.799135740737</v>
      </c>
    </row>
    <row r="4693" spans="1:10" x14ac:dyDescent="0.25">
      <c r="A4693" s="7" t="s">
        <v>35023</v>
      </c>
      <c r="B4693" s="8">
        <v>400</v>
      </c>
      <c r="C4693" s="8">
        <v>20.478950000000001</v>
      </c>
      <c r="D4693" s="8">
        <v>64</v>
      </c>
      <c r="E4693" s="8">
        <v>0</v>
      </c>
      <c r="F4693" s="8">
        <v>0</v>
      </c>
      <c r="G4693" s="8">
        <v>23</v>
      </c>
      <c r="H4693" s="8" t="s">
        <v>35024</v>
      </c>
      <c r="I4693" s="8">
        <v>528.1875</v>
      </c>
      <c r="J4693" s="3">
        <f t="shared" si="73"/>
        <v>43748.79920725694</v>
      </c>
    </row>
    <row r="4694" spans="1:10" x14ac:dyDescent="0.25">
      <c r="A4694" s="5" t="s">
        <v>35025</v>
      </c>
      <c r="B4694" s="6">
        <v>428.125</v>
      </c>
      <c r="C4694" s="6">
        <v>20.478950000000001</v>
      </c>
      <c r="D4694" s="6">
        <v>64</v>
      </c>
      <c r="E4694" s="6">
        <v>0</v>
      </c>
      <c r="F4694" s="6">
        <v>0</v>
      </c>
      <c r="G4694" s="6">
        <v>17</v>
      </c>
      <c r="H4694" s="6" t="s">
        <v>35026</v>
      </c>
      <c r="I4694" s="6">
        <v>537.375</v>
      </c>
      <c r="J4694" s="2">
        <f t="shared" si="73"/>
        <v>43748.799278796294</v>
      </c>
    </row>
    <row r="4695" spans="1:10" x14ac:dyDescent="0.25">
      <c r="A4695" s="7" t="s">
        <v>35027</v>
      </c>
      <c r="B4695" s="8">
        <v>396.875</v>
      </c>
      <c r="C4695" s="8">
        <v>20.478950000000001</v>
      </c>
      <c r="D4695" s="8">
        <v>64</v>
      </c>
      <c r="E4695" s="8">
        <v>0</v>
      </c>
      <c r="F4695" s="8">
        <v>0</v>
      </c>
      <c r="G4695" s="8">
        <v>16</v>
      </c>
      <c r="H4695" s="8" t="s">
        <v>35028</v>
      </c>
      <c r="I4695" s="8">
        <v>527.4375</v>
      </c>
      <c r="J4695" s="3">
        <f t="shared" si="73"/>
        <v>43748.799350856476</v>
      </c>
    </row>
    <row r="4696" spans="1:10" x14ac:dyDescent="0.25">
      <c r="A4696" s="5" t="s">
        <v>35029</v>
      </c>
      <c r="B4696" s="6">
        <v>396.875</v>
      </c>
      <c r="C4696" s="6">
        <v>20.531590000000001</v>
      </c>
      <c r="D4696" s="6">
        <v>63</v>
      </c>
      <c r="E4696" s="6">
        <v>0</v>
      </c>
      <c r="F4696" s="6">
        <v>0</v>
      </c>
      <c r="G4696" s="6">
        <v>14</v>
      </c>
      <c r="H4696" s="6" t="s">
        <v>35030</v>
      </c>
      <c r="I4696" s="6">
        <v>527.4375</v>
      </c>
      <c r="J4696" s="2">
        <f t="shared" si="73"/>
        <v>43748.799421620373</v>
      </c>
    </row>
    <row r="4697" spans="1:10" x14ac:dyDescent="0.25">
      <c r="A4697" s="7" t="s">
        <v>35031</v>
      </c>
      <c r="B4697" s="8">
        <v>396.875</v>
      </c>
      <c r="C4697" s="8">
        <v>20.478950000000001</v>
      </c>
      <c r="D4697" s="8">
        <v>63</v>
      </c>
      <c r="E4697" s="8">
        <v>0</v>
      </c>
      <c r="F4697" s="8">
        <v>0</v>
      </c>
      <c r="G4697" s="8">
        <v>17</v>
      </c>
      <c r="H4697" s="8" t="s">
        <v>35032</v>
      </c>
      <c r="I4697" s="8">
        <v>527.4375</v>
      </c>
      <c r="J4697" s="3">
        <f t="shared" si="73"/>
        <v>43748.799505312498</v>
      </c>
    </row>
    <row r="4698" spans="1:10" x14ac:dyDescent="0.25">
      <c r="A4698" s="5" t="s">
        <v>35033</v>
      </c>
      <c r="B4698" s="6">
        <v>396.875</v>
      </c>
      <c r="C4698" s="6">
        <v>20.478950000000001</v>
      </c>
      <c r="D4698" s="6">
        <v>63</v>
      </c>
      <c r="E4698" s="6">
        <v>0</v>
      </c>
      <c r="F4698" s="6">
        <v>0</v>
      </c>
      <c r="G4698" s="6">
        <v>26</v>
      </c>
      <c r="H4698" s="6" t="s">
        <v>35034</v>
      </c>
      <c r="I4698" s="6">
        <v>527.4375</v>
      </c>
      <c r="J4698" s="2">
        <f t="shared" si="73"/>
        <v>43748.799576979167</v>
      </c>
    </row>
    <row r="4699" spans="1:10" x14ac:dyDescent="0.25">
      <c r="A4699" s="7" t="s">
        <v>35035</v>
      </c>
      <c r="B4699" s="8">
        <v>396.875</v>
      </c>
      <c r="C4699" s="8">
        <v>20.478950000000001</v>
      </c>
      <c r="D4699" s="8">
        <v>63</v>
      </c>
      <c r="E4699" s="8">
        <v>0</v>
      </c>
      <c r="F4699" s="8">
        <v>0</v>
      </c>
      <c r="G4699" s="8">
        <v>21</v>
      </c>
      <c r="H4699" s="8" t="s">
        <v>35036</v>
      </c>
      <c r="I4699" s="8">
        <v>527.4375</v>
      </c>
      <c r="J4699" s="3">
        <f t="shared" si="73"/>
        <v>43748.799660069439</v>
      </c>
    </row>
    <row r="4700" spans="1:10" x14ac:dyDescent="0.25">
      <c r="A4700" s="5" t="s">
        <v>35037</v>
      </c>
      <c r="B4700" s="6">
        <v>400</v>
      </c>
      <c r="C4700" s="6">
        <v>20.478950000000001</v>
      </c>
      <c r="D4700" s="6">
        <v>63</v>
      </c>
      <c r="E4700" s="6">
        <v>0</v>
      </c>
      <c r="F4700" s="6">
        <v>0</v>
      </c>
      <c r="G4700" s="6">
        <v>23</v>
      </c>
      <c r="H4700" s="6" t="s">
        <v>35038</v>
      </c>
      <c r="I4700" s="6">
        <v>528.1875</v>
      </c>
      <c r="J4700" s="2">
        <f t="shared" si="73"/>
        <v>43748.799731712956</v>
      </c>
    </row>
    <row r="4701" spans="1:10" x14ac:dyDescent="0.25">
      <c r="A4701" s="7" t="s">
        <v>35039</v>
      </c>
      <c r="B4701" s="8">
        <v>415.625</v>
      </c>
      <c r="C4701" s="8">
        <v>20.478950000000001</v>
      </c>
      <c r="D4701" s="8">
        <v>63</v>
      </c>
      <c r="E4701" s="8">
        <v>0</v>
      </c>
      <c r="F4701" s="8">
        <v>0</v>
      </c>
      <c r="G4701" s="8">
        <v>17</v>
      </c>
      <c r="H4701" s="8" t="s">
        <v>35040</v>
      </c>
      <c r="I4701" s="8">
        <v>533.8125</v>
      </c>
      <c r="J4701" s="3">
        <f t="shared" si="73"/>
        <v>43748.79981561342</v>
      </c>
    </row>
    <row r="4702" spans="1:10" x14ac:dyDescent="0.25">
      <c r="A4702" s="5" t="s">
        <v>35041</v>
      </c>
      <c r="B4702" s="6">
        <v>403.125</v>
      </c>
      <c r="C4702" s="6">
        <v>20.478950000000001</v>
      </c>
      <c r="D4702" s="6">
        <v>65</v>
      </c>
      <c r="E4702" s="6">
        <v>0</v>
      </c>
      <c r="F4702" s="6">
        <v>0</v>
      </c>
      <c r="G4702" s="6">
        <v>19</v>
      </c>
      <c r="H4702" s="6" t="s">
        <v>35042</v>
      </c>
      <c r="I4702" s="6">
        <v>529.125</v>
      </c>
      <c r="J4702" s="2">
        <f t="shared" si="73"/>
        <v>43748.799898958336</v>
      </c>
    </row>
    <row r="4703" spans="1:10" x14ac:dyDescent="0.25">
      <c r="A4703" s="7" t="s">
        <v>35043</v>
      </c>
      <c r="B4703" s="8">
        <v>403.125</v>
      </c>
      <c r="C4703" s="8">
        <v>20.478950000000001</v>
      </c>
      <c r="D4703" s="8">
        <v>66</v>
      </c>
      <c r="E4703" s="8">
        <v>0</v>
      </c>
      <c r="F4703" s="8">
        <v>0</v>
      </c>
      <c r="G4703" s="8">
        <v>21</v>
      </c>
      <c r="H4703" s="8" t="s">
        <v>35044</v>
      </c>
      <c r="I4703" s="8">
        <v>529.125</v>
      </c>
      <c r="J4703" s="3">
        <f t="shared" si="73"/>
        <v>43748.799982291668</v>
      </c>
    </row>
    <row r="4704" spans="1:10" x14ac:dyDescent="0.25">
      <c r="A4704" s="5" t="s">
        <v>35045</v>
      </c>
      <c r="B4704" s="6">
        <v>400</v>
      </c>
      <c r="C4704" s="6">
        <v>20.478950000000001</v>
      </c>
      <c r="D4704" s="6">
        <v>66</v>
      </c>
      <c r="E4704" s="6">
        <v>0</v>
      </c>
      <c r="F4704" s="6">
        <v>0</v>
      </c>
      <c r="G4704" s="6">
        <v>19</v>
      </c>
      <c r="H4704" s="6" t="s">
        <v>35046</v>
      </c>
      <c r="I4704" s="6">
        <v>528.1875</v>
      </c>
      <c r="J4704" s="2">
        <f t="shared" si="73"/>
        <v>43748.800053935185</v>
      </c>
    </row>
    <row r="4705" spans="1:10" x14ac:dyDescent="0.25">
      <c r="A4705" s="7" t="s">
        <v>35047</v>
      </c>
      <c r="B4705" s="8">
        <v>396.875</v>
      </c>
      <c r="C4705" s="8">
        <v>20.478950000000001</v>
      </c>
      <c r="D4705" s="8">
        <v>66</v>
      </c>
      <c r="E4705" s="8">
        <v>0</v>
      </c>
      <c r="F4705" s="8">
        <v>0</v>
      </c>
      <c r="G4705" s="8">
        <v>13</v>
      </c>
      <c r="H4705" s="8" t="s">
        <v>35048</v>
      </c>
      <c r="I4705" s="8">
        <v>527.4375</v>
      </c>
      <c r="J4705" s="3">
        <f t="shared" si="73"/>
        <v>43748.800137499995</v>
      </c>
    </row>
    <row r="4706" spans="1:10" x14ac:dyDescent="0.25">
      <c r="A4706" s="5" t="s">
        <v>35049</v>
      </c>
      <c r="B4706" s="6">
        <v>418.75</v>
      </c>
      <c r="C4706" s="6">
        <v>20.426300000000001</v>
      </c>
      <c r="D4706" s="6">
        <v>67</v>
      </c>
      <c r="E4706" s="6">
        <v>0</v>
      </c>
      <c r="F4706" s="6">
        <v>0</v>
      </c>
      <c r="G4706" s="6">
        <v>19</v>
      </c>
      <c r="H4706" s="6" t="s">
        <v>35050</v>
      </c>
      <c r="I4706" s="6">
        <v>534.375</v>
      </c>
      <c r="J4706" s="2">
        <f t="shared" si="73"/>
        <v>43748.800220960642</v>
      </c>
    </row>
    <row r="4707" spans="1:10" x14ac:dyDescent="0.25">
      <c r="A4707" s="7" t="s">
        <v>35051</v>
      </c>
      <c r="B4707" s="8">
        <v>396.875</v>
      </c>
      <c r="C4707" s="8">
        <v>20.478950000000001</v>
      </c>
      <c r="D4707" s="8">
        <v>67</v>
      </c>
      <c r="E4707" s="8">
        <v>0</v>
      </c>
      <c r="F4707" s="8">
        <v>0</v>
      </c>
      <c r="G4707" s="8">
        <v>22</v>
      </c>
      <c r="H4707" s="8" t="s">
        <v>35052</v>
      </c>
      <c r="I4707" s="8">
        <v>527.4375</v>
      </c>
      <c r="J4707" s="3">
        <f t="shared" si="73"/>
        <v>43748.800304513883</v>
      </c>
    </row>
    <row r="4708" spans="1:10" x14ac:dyDescent="0.25">
      <c r="A4708" s="5" t="s">
        <v>35053</v>
      </c>
      <c r="B4708" s="6">
        <v>396.875</v>
      </c>
      <c r="C4708" s="6">
        <v>20.478950000000001</v>
      </c>
      <c r="D4708" s="6">
        <v>66</v>
      </c>
      <c r="E4708" s="6">
        <v>0</v>
      </c>
      <c r="F4708" s="6">
        <v>0</v>
      </c>
      <c r="G4708" s="6">
        <v>18</v>
      </c>
      <c r="H4708" s="6" t="s">
        <v>35054</v>
      </c>
      <c r="I4708" s="6">
        <v>527.4375</v>
      </c>
      <c r="J4708" s="2">
        <f t="shared" si="73"/>
        <v>43748.800387939809</v>
      </c>
    </row>
    <row r="4709" spans="1:10" x14ac:dyDescent="0.25">
      <c r="A4709" s="7" t="s">
        <v>35055</v>
      </c>
      <c r="B4709" s="8">
        <v>396.875</v>
      </c>
      <c r="C4709" s="8">
        <v>20.478950000000001</v>
      </c>
      <c r="D4709" s="8">
        <v>65</v>
      </c>
      <c r="E4709" s="8">
        <v>0</v>
      </c>
      <c r="F4709" s="8">
        <v>0</v>
      </c>
      <c r="G4709" s="8">
        <v>21</v>
      </c>
      <c r="H4709" s="8" t="s">
        <v>35056</v>
      </c>
      <c r="I4709" s="8">
        <v>527.4375</v>
      </c>
      <c r="J4709" s="3">
        <f t="shared" si="73"/>
        <v>43748.800471180548</v>
      </c>
    </row>
    <row r="4710" spans="1:10" x14ac:dyDescent="0.25">
      <c r="A4710" s="5" t="s">
        <v>35057</v>
      </c>
      <c r="B4710" s="6">
        <v>400</v>
      </c>
      <c r="C4710" s="6">
        <v>20.478950000000001</v>
      </c>
      <c r="D4710" s="6">
        <v>65</v>
      </c>
      <c r="E4710" s="6">
        <v>0</v>
      </c>
      <c r="F4710" s="6">
        <v>0</v>
      </c>
      <c r="G4710" s="6">
        <v>15</v>
      </c>
      <c r="H4710" s="6" t="s">
        <v>35058</v>
      </c>
      <c r="I4710" s="6">
        <v>528.375</v>
      </c>
      <c r="J4710" s="2">
        <f t="shared" si="73"/>
        <v>43748.800542939811</v>
      </c>
    </row>
    <row r="4711" spans="1:10" x14ac:dyDescent="0.25">
      <c r="A4711" s="7" t="s">
        <v>35059</v>
      </c>
      <c r="B4711" s="8">
        <v>418.75</v>
      </c>
      <c r="C4711" s="8">
        <v>20.478950000000001</v>
      </c>
      <c r="D4711" s="8">
        <v>64</v>
      </c>
      <c r="E4711" s="8">
        <v>0</v>
      </c>
      <c r="F4711" s="8">
        <v>0</v>
      </c>
      <c r="G4711" s="8">
        <v>10</v>
      </c>
      <c r="H4711" s="8" t="s">
        <v>35060</v>
      </c>
      <c r="I4711" s="8">
        <v>534.1875</v>
      </c>
      <c r="J4711" s="3">
        <f t="shared" si="73"/>
        <v>43748.800626759257</v>
      </c>
    </row>
    <row r="4712" spans="1:10" x14ac:dyDescent="0.25">
      <c r="A4712" s="5" t="s">
        <v>35061</v>
      </c>
      <c r="B4712" s="6">
        <v>396.875</v>
      </c>
      <c r="C4712" s="6">
        <v>20.478950000000001</v>
      </c>
      <c r="D4712" s="6">
        <v>63</v>
      </c>
      <c r="E4712" s="6">
        <v>0</v>
      </c>
      <c r="F4712" s="6">
        <v>0</v>
      </c>
      <c r="G4712" s="6">
        <v>26</v>
      </c>
      <c r="H4712" s="6" t="s">
        <v>35062</v>
      </c>
      <c r="I4712" s="6">
        <v>527.4375</v>
      </c>
      <c r="J4712" s="2">
        <f t="shared" si="73"/>
        <v>43748.800710150455</v>
      </c>
    </row>
    <row r="4713" spans="1:10" x14ac:dyDescent="0.25">
      <c r="A4713" s="7" t="s">
        <v>35063</v>
      </c>
      <c r="B4713" s="8">
        <v>396.875</v>
      </c>
      <c r="C4713" s="8">
        <v>20.478950000000001</v>
      </c>
      <c r="D4713" s="8">
        <v>66</v>
      </c>
      <c r="E4713" s="8">
        <v>0</v>
      </c>
      <c r="F4713" s="8">
        <v>0</v>
      </c>
      <c r="G4713" s="8">
        <v>14</v>
      </c>
      <c r="H4713" s="8" t="s">
        <v>35064</v>
      </c>
      <c r="I4713" s="8">
        <v>527.4375</v>
      </c>
      <c r="J4713" s="3">
        <f t="shared" si="73"/>
        <v>43748.800793414346</v>
      </c>
    </row>
    <row r="4714" spans="1:10" x14ac:dyDescent="0.25">
      <c r="A4714" s="5" t="s">
        <v>35065</v>
      </c>
      <c r="B4714" s="6">
        <v>393.75</v>
      </c>
      <c r="C4714" s="6">
        <v>20.478950000000001</v>
      </c>
      <c r="D4714" s="6">
        <v>67</v>
      </c>
      <c r="E4714" s="6">
        <v>0</v>
      </c>
      <c r="F4714" s="6">
        <v>0</v>
      </c>
      <c r="G4714" s="6">
        <v>24</v>
      </c>
      <c r="H4714" s="6" t="s">
        <v>35066</v>
      </c>
      <c r="I4714" s="6">
        <v>526.6875</v>
      </c>
      <c r="J4714" s="2">
        <f t="shared" si="73"/>
        <v>43748.800876967587</v>
      </c>
    </row>
    <row r="4715" spans="1:10" x14ac:dyDescent="0.25">
      <c r="A4715" s="7" t="s">
        <v>35067</v>
      </c>
      <c r="B4715" s="8">
        <v>393.75</v>
      </c>
      <c r="C4715" s="8">
        <v>20.478950000000001</v>
      </c>
      <c r="D4715" s="8">
        <v>69</v>
      </c>
      <c r="E4715" s="8">
        <v>0</v>
      </c>
      <c r="F4715" s="8">
        <v>0</v>
      </c>
      <c r="G4715" s="8">
        <v>16</v>
      </c>
      <c r="H4715" s="8" t="s">
        <v>35068</v>
      </c>
      <c r="I4715" s="8">
        <v>526.6875</v>
      </c>
      <c r="J4715" s="3">
        <f t="shared" si="73"/>
        <v>43748.800960185188</v>
      </c>
    </row>
    <row r="4716" spans="1:10" x14ac:dyDescent="0.25">
      <c r="A4716" s="5" t="s">
        <v>35069</v>
      </c>
      <c r="B4716" s="6">
        <v>393.75</v>
      </c>
      <c r="C4716" s="6">
        <v>20.478950000000001</v>
      </c>
      <c r="D4716" s="6">
        <v>67</v>
      </c>
      <c r="E4716" s="6">
        <v>0</v>
      </c>
      <c r="F4716" s="6">
        <v>0</v>
      </c>
      <c r="G4716" s="6">
        <v>27</v>
      </c>
      <c r="H4716" s="6" t="s">
        <v>35070</v>
      </c>
      <c r="I4716" s="6">
        <v>526.6875</v>
      </c>
      <c r="J4716" s="2">
        <f t="shared" si="73"/>
        <v>43748.80104395833</v>
      </c>
    </row>
    <row r="4717" spans="1:10" x14ac:dyDescent="0.25">
      <c r="A4717" s="7" t="s">
        <v>35071</v>
      </c>
      <c r="B4717" s="8">
        <v>393.75</v>
      </c>
      <c r="C4717" s="8">
        <v>20.478950000000001</v>
      </c>
      <c r="D4717" s="8">
        <v>65</v>
      </c>
      <c r="E4717" s="8">
        <v>0</v>
      </c>
      <c r="F4717" s="8">
        <v>0</v>
      </c>
      <c r="G4717" s="8">
        <v>15</v>
      </c>
      <c r="H4717" s="8" t="s">
        <v>35072</v>
      </c>
      <c r="I4717" s="8">
        <v>526.6875</v>
      </c>
      <c r="J4717" s="3">
        <f t="shared" si="73"/>
        <v>43748.801127199076</v>
      </c>
    </row>
    <row r="4718" spans="1:10" x14ac:dyDescent="0.25">
      <c r="A4718" s="5" t="s">
        <v>35073</v>
      </c>
      <c r="B4718" s="6">
        <v>396.875</v>
      </c>
      <c r="C4718" s="6">
        <v>20.478950000000001</v>
      </c>
      <c r="D4718" s="6">
        <v>58</v>
      </c>
      <c r="E4718" s="6">
        <v>0</v>
      </c>
      <c r="F4718" s="6">
        <v>0</v>
      </c>
      <c r="G4718" s="6">
        <v>0</v>
      </c>
      <c r="H4718" s="6" t="s">
        <v>35074</v>
      </c>
      <c r="I4718" s="6">
        <v>527.4375</v>
      </c>
      <c r="J4718" s="2">
        <f t="shared" si="73"/>
        <v>43748.801418645831</v>
      </c>
    </row>
    <row r="4719" spans="1:10" x14ac:dyDescent="0.25">
      <c r="A4719" s="7" t="s">
        <v>35075</v>
      </c>
      <c r="B4719" s="8">
        <v>421.875</v>
      </c>
      <c r="C4719" s="8">
        <v>20.478950000000001</v>
      </c>
      <c r="D4719" s="8">
        <v>61</v>
      </c>
      <c r="E4719" s="8">
        <v>0</v>
      </c>
      <c r="F4719" s="8">
        <v>0</v>
      </c>
      <c r="G4719" s="8">
        <v>0</v>
      </c>
      <c r="H4719" s="8" t="s">
        <v>35076</v>
      </c>
      <c r="I4719" s="8">
        <v>535.125</v>
      </c>
      <c r="J4719" s="3">
        <f t="shared" si="73"/>
        <v>43748.801499606481</v>
      </c>
    </row>
    <row r="4720" spans="1:10" x14ac:dyDescent="0.25">
      <c r="A4720" s="5" t="s">
        <v>35077</v>
      </c>
      <c r="B4720" s="6">
        <v>396.875</v>
      </c>
      <c r="C4720" s="6">
        <v>20.478950000000001</v>
      </c>
      <c r="D4720" s="6">
        <v>65</v>
      </c>
      <c r="E4720" s="6">
        <v>0</v>
      </c>
      <c r="F4720" s="6">
        <v>0</v>
      </c>
      <c r="G4720" s="6">
        <v>0</v>
      </c>
      <c r="H4720" s="6" t="s">
        <v>35078</v>
      </c>
      <c r="I4720" s="6">
        <v>527.4375</v>
      </c>
      <c r="J4720" s="2">
        <f t="shared" si="73"/>
        <v>43748.801570856478</v>
      </c>
    </row>
    <row r="4721" spans="1:10" x14ac:dyDescent="0.25">
      <c r="A4721" s="7" t="s">
        <v>35079</v>
      </c>
      <c r="B4721" s="8">
        <v>396.875</v>
      </c>
      <c r="C4721" s="8">
        <v>20.478950000000001</v>
      </c>
      <c r="D4721" s="8">
        <v>66</v>
      </c>
      <c r="E4721" s="8">
        <v>0</v>
      </c>
      <c r="F4721" s="8">
        <v>0</v>
      </c>
      <c r="G4721" s="8">
        <v>0</v>
      </c>
      <c r="H4721" s="8" t="s">
        <v>35080</v>
      </c>
      <c r="I4721" s="8">
        <v>527.625</v>
      </c>
      <c r="J4721" s="3">
        <f t="shared" si="73"/>
        <v>43748.801642384256</v>
      </c>
    </row>
    <row r="4722" spans="1:10" x14ac:dyDescent="0.25">
      <c r="A4722" s="5" t="s">
        <v>35081</v>
      </c>
      <c r="B4722" s="6">
        <v>396.875</v>
      </c>
      <c r="C4722" s="6">
        <v>20.478950000000001</v>
      </c>
      <c r="D4722" s="6">
        <v>66</v>
      </c>
      <c r="E4722" s="6">
        <v>0</v>
      </c>
      <c r="F4722" s="6">
        <v>0</v>
      </c>
      <c r="G4722" s="6">
        <v>3</v>
      </c>
      <c r="H4722" s="6" t="s">
        <v>35082</v>
      </c>
      <c r="I4722" s="6">
        <v>527.4375</v>
      </c>
      <c r="J4722" s="2">
        <f t="shared" si="73"/>
        <v>43748.801714374997</v>
      </c>
    </row>
    <row r="4723" spans="1:10" x14ac:dyDescent="0.25">
      <c r="A4723" s="7" t="s">
        <v>35083</v>
      </c>
      <c r="B4723" s="8">
        <v>415.625</v>
      </c>
      <c r="C4723" s="8">
        <v>20.478950000000001</v>
      </c>
      <c r="D4723" s="8">
        <v>66</v>
      </c>
      <c r="E4723" s="8">
        <v>0</v>
      </c>
      <c r="F4723" s="8">
        <v>0</v>
      </c>
      <c r="G4723" s="8">
        <v>2</v>
      </c>
      <c r="H4723" s="8" t="s">
        <v>35084</v>
      </c>
      <c r="I4723" s="8">
        <v>533.0625</v>
      </c>
      <c r="J4723" s="3">
        <f t="shared" si="73"/>
        <v>43748.801785787036</v>
      </c>
    </row>
    <row r="4724" spans="1:10" x14ac:dyDescent="0.25">
      <c r="A4724" s="5" t="s">
        <v>35085</v>
      </c>
      <c r="B4724" s="6">
        <v>396.875</v>
      </c>
      <c r="C4724" s="6">
        <v>20.478950000000001</v>
      </c>
      <c r="D4724" s="6">
        <v>66</v>
      </c>
      <c r="E4724" s="6">
        <v>0</v>
      </c>
      <c r="F4724" s="6">
        <v>0</v>
      </c>
      <c r="G4724" s="6">
        <v>10</v>
      </c>
      <c r="H4724" s="6" t="s">
        <v>35086</v>
      </c>
      <c r="I4724" s="6">
        <v>527.4375</v>
      </c>
      <c r="J4724" s="2">
        <f t="shared" si="73"/>
        <v>43748.801856979167</v>
      </c>
    </row>
    <row r="4725" spans="1:10" x14ac:dyDescent="0.25">
      <c r="A4725" s="7" t="s">
        <v>35087</v>
      </c>
      <c r="B4725" s="8">
        <v>396.875</v>
      </c>
      <c r="C4725" s="8">
        <v>20.478950000000001</v>
      </c>
      <c r="D4725" s="8">
        <v>66</v>
      </c>
      <c r="E4725" s="8">
        <v>0</v>
      </c>
      <c r="F4725" s="8">
        <v>0</v>
      </c>
      <c r="G4725" s="8">
        <v>5</v>
      </c>
      <c r="H4725" s="8" t="s">
        <v>35088</v>
      </c>
      <c r="I4725" s="8">
        <v>527.4375</v>
      </c>
      <c r="J4725" s="3">
        <f t="shared" si="73"/>
        <v>43748.801929247682</v>
      </c>
    </row>
    <row r="4726" spans="1:10" x14ac:dyDescent="0.25">
      <c r="A4726" s="5" t="s">
        <v>35089</v>
      </c>
      <c r="B4726" s="6">
        <v>396.875</v>
      </c>
      <c r="C4726" s="6">
        <v>20.478950000000001</v>
      </c>
      <c r="D4726" s="6">
        <v>66</v>
      </c>
      <c r="E4726" s="6">
        <v>0</v>
      </c>
      <c r="F4726" s="6">
        <v>0</v>
      </c>
      <c r="G4726" s="6">
        <v>8</v>
      </c>
      <c r="H4726" s="6" t="s">
        <v>35090</v>
      </c>
      <c r="I4726" s="6">
        <v>527.625</v>
      </c>
      <c r="J4726" s="2">
        <f t="shared" si="73"/>
        <v>43748.802000474534</v>
      </c>
    </row>
    <row r="4727" spans="1:10" x14ac:dyDescent="0.25">
      <c r="A4727" s="7" t="s">
        <v>35091</v>
      </c>
      <c r="B4727" s="8">
        <v>431.25</v>
      </c>
      <c r="C4727" s="8">
        <v>20.478950000000001</v>
      </c>
      <c r="D4727" s="8">
        <v>66</v>
      </c>
      <c r="E4727" s="8">
        <v>0</v>
      </c>
      <c r="F4727" s="8">
        <v>0</v>
      </c>
      <c r="G4727" s="8">
        <v>0</v>
      </c>
      <c r="H4727" s="8" t="s">
        <v>35092</v>
      </c>
      <c r="I4727" s="8">
        <v>538.3125</v>
      </c>
      <c r="J4727" s="3">
        <f t="shared" si="73"/>
        <v>43748.802072569444</v>
      </c>
    </row>
    <row r="4728" spans="1:10" x14ac:dyDescent="0.25">
      <c r="A4728" s="5" t="s">
        <v>35093</v>
      </c>
      <c r="B4728" s="6">
        <v>396.875</v>
      </c>
      <c r="C4728" s="6">
        <v>20.478950000000001</v>
      </c>
      <c r="D4728" s="6">
        <v>65</v>
      </c>
      <c r="E4728" s="6">
        <v>0</v>
      </c>
      <c r="F4728" s="6">
        <v>0</v>
      </c>
      <c r="G4728" s="6">
        <v>4</v>
      </c>
      <c r="H4728" s="6" t="s">
        <v>35094</v>
      </c>
      <c r="I4728" s="6">
        <v>527.4375</v>
      </c>
      <c r="J4728" s="2">
        <f t="shared" si="73"/>
        <v>43748.802143136571</v>
      </c>
    </row>
    <row r="4729" spans="1:10" x14ac:dyDescent="0.25">
      <c r="A4729" s="7" t="s">
        <v>35095</v>
      </c>
      <c r="B4729" s="8">
        <v>396.875</v>
      </c>
      <c r="C4729" s="8">
        <v>20.478950000000001</v>
      </c>
      <c r="D4729" s="8">
        <v>65</v>
      </c>
      <c r="E4729" s="8">
        <v>0</v>
      </c>
      <c r="F4729" s="8">
        <v>0</v>
      </c>
      <c r="G4729" s="8">
        <v>5</v>
      </c>
      <c r="H4729" s="8" t="s">
        <v>35096</v>
      </c>
      <c r="I4729" s="8">
        <v>527.4375</v>
      </c>
      <c r="J4729" s="3">
        <f t="shared" si="73"/>
        <v>43748.80221577546</v>
      </c>
    </row>
    <row r="4730" spans="1:10" x14ac:dyDescent="0.25">
      <c r="A4730" s="5" t="s">
        <v>35097</v>
      </c>
      <c r="B4730" s="6">
        <v>396.875</v>
      </c>
      <c r="C4730" s="6">
        <v>20.478950000000001</v>
      </c>
      <c r="D4730" s="6">
        <v>63</v>
      </c>
      <c r="E4730" s="6">
        <v>0</v>
      </c>
      <c r="F4730" s="6">
        <v>0</v>
      </c>
      <c r="G4730" s="6">
        <v>1</v>
      </c>
      <c r="H4730" s="6" t="s">
        <v>35098</v>
      </c>
      <c r="I4730" s="6">
        <v>527.4375</v>
      </c>
      <c r="J4730" s="2">
        <f t="shared" si="73"/>
        <v>43748.802286608792</v>
      </c>
    </row>
    <row r="4731" spans="1:10" x14ac:dyDescent="0.25">
      <c r="A4731" s="7" t="s">
        <v>35099</v>
      </c>
      <c r="B4731" s="8">
        <v>396.875</v>
      </c>
      <c r="C4731" s="8">
        <v>20.478950000000001</v>
      </c>
      <c r="D4731" s="8">
        <v>64</v>
      </c>
      <c r="E4731" s="8">
        <v>0</v>
      </c>
      <c r="F4731" s="8">
        <v>0</v>
      </c>
      <c r="G4731" s="8">
        <v>10</v>
      </c>
      <c r="H4731" s="8" t="s">
        <v>35100</v>
      </c>
      <c r="I4731" s="8">
        <v>527.4375</v>
      </c>
      <c r="J4731" s="3">
        <f t="shared" si="73"/>
        <v>43748.802362870367</v>
      </c>
    </row>
    <row r="4732" spans="1:10" x14ac:dyDescent="0.25">
      <c r="A4732" s="5" t="s">
        <v>35101</v>
      </c>
      <c r="B4732" s="6">
        <v>396.875</v>
      </c>
      <c r="C4732" s="6">
        <v>20.478950000000001</v>
      </c>
      <c r="D4732" s="6">
        <v>67</v>
      </c>
      <c r="E4732" s="6">
        <v>0</v>
      </c>
      <c r="F4732" s="6">
        <v>0</v>
      </c>
      <c r="G4732" s="6">
        <v>2</v>
      </c>
      <c r="H4732" s="6" t="s">
        <v>35102</v>
      </c>
      <c r="I4732" s="6">
        <v>527.4375</v>
      </c>
      <c r="J4732" s="2">
        <f t="shared" si="73"/>
        <v>43748.802441458327</v>
      </c>
    </row>
    <row r="4733" spans="1:10" x14ac:dyDescent="0.25">
      <c r="A4733" s="7" t="s">
        <v>35103</v>
      </c>
      <c r="B4733" s="8">
        <v>396.875</v>
      </c>
      <c r="C4733" s="8">
        <v>20.478950000000001</v>
      </c>
      <c r="D4733" s="8">
        <v>68</v>
      </c>
      <c r="E4733" s="8">
        <v>0</v>
      </c>
      <c r="F4733" s="8">
        <v>0</v>
      </c>
      <c r="G4733" s="8">
        <v>2</v>
      </c>
      <c r="H4733" s="8" t="s">
        <v>35104</v>
      </c>
      <c r="I4733" s="8">
        <v>527.4375</v>
      </c>
      <c r="J4733" s="3">
        <f t="shared" si="73"/>
        <v>43748.802512974529</v>
      </c>
    </row>
    <row r="4734" spans="1:10" x14ac:dyDescent="0.25">
      <c r="A4734" s="5" t="s">
        <v>35105</v>
      </c>
      <c r="B4734" s="6">
        <v>396.875</v>
      </c>
      <c r="C4734" s="6">
        <v>20.478950000000001</v>
      </c>
      <c r="D4734" s="6">
        <v>67</v>
      </c>
      <c r="E4734" s="6">
        <v>0</v>
      </c>
      <c r="F4734" s="6">
        <v>0</v>
      </c>
      <c r="G4734" s="6">
        <v>10</v>
      </c>
      <c r="H4734" s="6" t="s">
        <v>35106</v>
      </c>
      <c r="I4734" s="6">
        <v>527.4375</v>
      </c>
      <c r="J4734" s="2">
        <f t="shared" si="73"/>
        <v>43748.802584745368</v>
      </c>
    </row>
    <row r="4735" spans="1:10" x14ac:dyDescent="0.25">
      <c r="A4735" s="7" t="s">
        <v>35107</v>
      </c>
      <c r="B4735" s="8">
        <v>412.5</v>
      </c>
      <c r="C4735" s="8">
        <v>20.478950000000001</v>
      </c>
      <c r="D4735" s="8">
        <v>66</v>
      </c>
      <c r="E4735" s="8">
        <v>0</v>
      </c>
      <c r="F4735" s="8">
        <v>0</v>
      </c>
      <c r="G4735" s="8">
        <v>11</v>
      </c>
      <c r="H4735" s="8" t="s">
        <v>35108</v>
      </c>
      <c r="I4735" s="8">
        <v>532.5</v>
      </c>
      <c r="J4735" s="3">
        <f t="shared" si="73"/>
        <v>43748.802656041669</v>
      </c>
    </row>
    <row r="4736" spans="1:10" x14ac:dyDescent="0.25">
      <c r="A4736" s="5" t="s">
        <v>35109</v>
      </c>
      <c r="B4736" s="6">
        <v>393.75</v>
      </c>
      <c r="C4736" s="6">
        <v>20.478950000000001</v>
      </c>
      <c r="D4736" s="6">
        <v>67</v>
      </c>
      <c r="E4736" s="6">
        <v>0</v>
      </c>
      <c r="F4736" s="6">
        <v>0</v>
      </c>
      <c r="G4736" s="6">
        <v>0</v>
      </c>
      <c r="H4736" s="6" t="s">
        <v>35110</v>
      </c>
      <c r="I4736" s="6">
        <v>526.6875</v>
      </c>
      <c r="J4736" s="2">
        <f t="shared" si="73"/>
        <v>43748.802728379625</v>
      </c>
    </row>
    <row r="4737" spans="1:10" x14ac:dyDescent="0.25">
      <c r="A4737" s="7" t="s">
        <v>35111</v>
      </c>
      <c r="B4737" s="8">
        <v>393.75</v>
      </c>
      <c r="C4737" s="8">
        <v>20.478950000000001</v>
      </c>
      <c r="D4737" s="8">
        <v>66</v>
      </c>
      <c r="E4737" s="8">
        <v>0</v>
      </c>
      <c r="F4737" s="8">
        <v>0</v>
      </c>
      <c r="G4737" s="8">
        <v>8</v>
      </c>
      <c r="H4737" s="8" t="s">
        <v>35112</v>
      </c>
      <c r="I4737" s="8">
        <v>526.6875</v>
      </c>
      <c r="J4737" s="3">
        <f t="shared" si="73"/>
        <v>43748.802799652774</v>
      </c>
    </row>
    <row r="4738" spans="1:10" x14ac:dyDescent="0.25">
      <c r="A4738" s="5" t="s">
        <v>35113</v>
      </c>
      <c r="B4738" s="6">
        <v>393.75</v>
      </c>
      <c r="C4738" s="6">
        <v>20.478950000000001</v>
      </c>
      <c r="D4738" s="6">
        <v>67</v>
      </c>
      <c r="E4738" s="6">
        <v>0</v>
      </c>
      <c r="F4738" s="6">
        <v>0</v>
      </c>
      <c r="G4738" s="6">
        <v>6</v>
      </c>
      <c r="H4738" s="6" t="s">
        <v>35114</v>
      </c>
      <c r="I4738" s="6">
        <v>526.6875</v>
      </c>
      <c r="J4738" s="2">
        <f t="shared" ref="J4738:J4801" si="74">(H4738/86400000)+25569+(7/24)</f>
        <v>43748.802870856474</v>
      </c>
    </row>
    <row r="4739" spans="1:10" x14ac:dyDescent="0.25">
      <c r="A4739" s="7" t="s">
        <v>35115</v>
      </c>
      <c r="B4739" s="8">
        <v>393.75</v>
      </c>
      <c r="C4739" s="8">
        <v>20.478950000000001</v>
      </c>
      <c r="D4739" s="8">
        <v>67</v>
      </c>
      <c r="E4739" s="8">
        <v>0</v>
      </c>
      <c r="F4739" s="8">
        <v>0</v>
      </c>
      <c r="G4739" s="8">
        <v>6</v>
      </c>
      <c r="H4739" s="8" t="s">
        <v>35116</v>
      </c>
      <c r="I4739" s="8">
        <v>526.6875</v>
      </c>
      <c r="J4739" s="3">
        <f t="shared" si="74"/>
        <v>43748.80294238426</v>
      </c>
    </row>
    <row r="4740" spans="1:10" x14ac:dyDescent="0.25">
      <c r="A4740" s="5" t="s">
        <v>35117</v>
      </c>
      <c r="B4740" s="6">
        <v>393.75</v>
      </c>
      <c r="C4740" s="6">
        <v>20.478950000000001</v>
      </c>
      <c r="D4740" s="6">
        <v>67</v>
      </c>
      <c r="E4740" s="6">
        <v>0</v>
      </c>
      <c r="F4740" s="6">
        <v>0</v>
      </c>
      <c r="G4740" s="6">
        <v>6</v>
      </c>
      <c r="H4740" s="6" t="s">
        <v>35118</v>
      </c>
      <c r="I4740" s="6">
        <v>526.875</v>
      </c>
      <c r="J4740" s="2">
        <f t="shared" si="74"/>
        <v>43748.803014363424</v>
      </c>
    </row>
    <row r="4741" spans="1:10" x14ac:dyDescent="0.25">
      <c r="A4741" s="7" t="s">
        <v>35119</v>
      </c>
      <c r="B4741" s="8">
        <v>393.75</v>
      </c>
      <c r="C4741" s="8">
        <v>20.478950000000001</v>
      </c>
      <c r="D4741" s="8">
        <v>66</v>
      </c>
      <c r="E4741" s="8">
        <v>0</v>
      </c>
      <c r="F4741" s="8">
        <v>0</v>
      </c>
      <c r="G4741" s="8">
        <v>12</v>
      </c>
      <c r="H4741" s="8" t="s">
        <v>35120</v>
      </c>
      <c r="I4741" s="8">
        <v>526.6875</v>
      </c>
      <c r="J4741" s="3">
        <f t="shared" si="74"/>
        <v>43748.803085671294</v>
      </c>
    </row>
    <row r="4742" spans="1:10" x14ac:dyDescent="0.25">
      <c r="A4742" s="5" t="s">
        <v>35121</v>
      </c>
      <c r="B4742" s="6">
        <v>393.75</v>
      </c>
      <c r="C4742" s="6">
        <v>20.478950000000001</v>
      </c>
      <c r="D4742" s="6">
        <v>67</v>
      </c>
      <c r="E4742" s="6">
        <v>0</v>
      </c>
      <c r="F4742" s="6">
        <v>0</v>
      </c>
      <c r="G4742" s="6">
        <v>3</v>
      </c>
      <c r="H4742" s="6" t="s">
        <v>35122</v>
      </c>
      <c r="I4742" s="6">
        <v>526.6875</v>
      </c>
      <c r="J4742" s="2">
        <f t="shared" si="74"/>
        <v>43748.803156979164</v>
      </c>
    </row>
    <row r="4743" spans="1:10" x14ac:dyDescent="0.25">
      <c r="A4743" s="7" t="s">
        <v>35123</v>
      </c>
      <c r="B4743" s="8">
        <v>393.75</v>
      </c>
      <c r="C4743" s="8">
        <v>20.478950000000001</v>
      </c>
      <c r="D4743" s="8">
        <v>68</v>
      </c>
      <c r="E4743" s="8">
        <v>0</v>
      </c>
      <c r="F4743" s="8">
        <v>0</v>
      </c>
      <c r="G4743" s="8">
        <v>9</v>
      </c>
      <c r="H4743" s="8" t="s">
        <v>35124</v>
      </c>
      <c r="I4743" s="8">
        <v>526.6875</v>
      </c>
      <c r="J4743" s="3">
        <f t="shared" si="74"/>
        <v>43748.803229189813</v>
      </c>
    </row>
    <row r="4744" spans="1:10" x14ac:dyDescent="0.25">
      <c r="A4744" s="5" t="s">
        <v>35125</v>
      </c>
      <c r="B4744" s="6">
        <v>393.75</v>
      </c>
      <c r="C4744" s="6">
        <v>20.478950000000001</v>
      </c>
      <c r="D4744" s="6">
        <v>68</v>
      </c>
      <c r="E4744" s="6">
        <v>0</v>
      </c>
      <c r="F4744" s="6">
        <v>0</v>
      </c>
      <c r="G4744" s="6">
        <v>5</v>
      </c>
      <c r="H4744" s="6" t="s">
        <v>35126</v>
      </c>
      <c r="I4744" s="6">
        <v>526.6875</v>
      </c>
      <c r="J4744" s="2">
        <f t="shared" si="74"/>
        <v>43748.803311840275</v>
      </c>
    </row>
    <row r="4745" spans="1:10" x14ac:dyDescent="0.25">
      <c r="A4745" s="7" t="s">
        <v>35127</v>
      </c>
      <c r="B4745" s="8">
        <v>393.75</v>
      </c>
      <c r="C4745" s="8">
        <v>20.478950000000001</v>
      </c>
      <c r="D4745" s="8">
        <v>68</v>
      </c>
      <c r="E4745" s="8">
        <v>0</v>
      </c>
      <c r="F4745" s="8">
        <v>0</v>
      </c>
      <c r="G4745" s="8">
        <v>1</v>
      </c>
      <c r="H4745" s="8" t="s">
        <v>35128</v>
      </c>
      <c r="I4745" s="8">
        <v>526.6875</v>
      </c>
      <c r="J4745" s="3">
        <f t="shared" si="74"/>
        <v>43748.803383819446</v>
      </c>
    </row>
    <row r="4746" spans="1:10" x14ac:dyDescent="0.25">
      <c r="A4746" s="5" t="s">
        <v>35129</v>
      </c>
      <c r="B4746" s="6">
        <v>393.75</v>
      </c>
      <c r="C4746" s="6">
        <v>20.478950000000001</v>
      </c>
      <c r="D4746" s="6">
        <v>68</v>
      </c>
      <c r="E4746" s="6">
        <v>0</v>
      </c>
      <c r="F4746" s="6">
        <v>0</v>
      </c>
      <c r="G4746" s="6">
        <v>9</v>
      </c>
      <c r="H4746" s="6" t="s">
        <v>35130</v>
      </c>
      <c r="I4746" s="6">
        <v>526.6875</v>
      </c>
      <c r="J4746" s="2">
        <f t="shared" si="74"/>
        <v>43748.803455127309</v>
      </c>
    </row>
    <row r="4747" spans="1:10" x14ac:dyDescent="0.25">
      <c r="A4747" s="7" t="s">
        <v>35131</v>
      </c>
      <c r="B4747" s="8">
        <v>415.625</v>
      </c>
      <c r="C4747" s="8">
        <v>20.478950000000001</v>
      </c>
      <c r="D4747" s="8">
        <v>68</v>
      </c>
      <c r="E4747" s="8">
        <v>0</v>
      </c>
      <c r="F4747" s="8">
        <v>0</v>
      </c>
      <c r="G4747" s="8">
        <v>10</v>
      </c>
      <c r="H4747" s="8" t="s">
        <v>35132</v>
      </c>
      <c r="I4747" s="8">
        <v>533.25</v>
      </c>
      <c r="J4747" s="3">
        <f t="shared" si="74"/>
        <v>43748.803527094904</v>
      </c>
    </row>
    <row r="4748" spans="1:10" x14ac:dyDescent="0.25">
      <c r="A4748" s="5" t="s">
        <v>35133</v>
      </c>
      <c r="B4748" s="6">
        <v>393.75</v>
      </c>
      <c r="C4748" s="6">
        <v>20.478950000000001</v>
      </c>
      <c r="D4748" s="6">
        <v>68</v>
      </c>
      <c r="E4748" s="6">
        <v>0</v>
      </c>
      <c r="F4748" s="6">
        <v>0</v>
      </c>
      <c r="G4748" s="6">
        <v>0</v>
      </c>
      <c r="H4748" s="6" t="s">
        <v>35134</v>
      </c>
      <c r="I4748" s="6">
        <v>526.6875</v>
      </c>
      <c r="J4748" s="2">
        <f t="shared" si="74"/>
        <v>43748.803599085644</v>
      </c>
    </row>
    <row r="4749" spans="1:10" x14ac:dyDescent="0.25">
      <c r="A4749" s="7" t="s">
        <v>35135</v>
      </c>
      <c r="B4749" s="8">
        <v>393.75</v>
      </c>
      <c r="C4749" s="8">
        <v>20.478950000000001</v>
      </c>
      <c r="D4749" s="8">
        <v>68</v>
      </c>
      <c r="E4749" s="8">
        <v>0</v>
      </c>
      <c r="F4749" s="8">
        <v>0</v>
      </c>
      <c r="G4749" s="8">
        <v>5</v>
      </c>
      <c r="H4749" s="8" t="s">
        <v>35136</v>
      </c>
      <c r="I4749" s="8">
        <v>526.6875</v>
      </c>
      <c r="J4749" s="3">
        <f t="shared" si="74"/>
        <v>43748.803669976849</v>
      </c>
    </row>
    <row r="4750" spans="1:10" x14ac:dyDescent="0.25">
      <c r="A4750" s="5" t="s">
        <v>35137</v>
      </c>
      <c r="B4750" s="6">
        <v>393.75</v>
      </c>
      <c r="C4750" s="6">
        <v>20.478950000000001</v>
      </c>
      <c r="D4750" s="6">
        <v>67</v>
      </c>
      <c r="E4750" s="6">
        <v>0</v>
      </c>
      <c r="F4750" s="6">
        <v>0</v>
      </c>
      <c r="G4750" s="6">
        <v>2</v>
      </c>
      <c r="H4750" s="6" t="s">
        <v>35138</v>
      </c>
      <c r="I4750" s="6">
        <v>526.6875</v>
      </c>
      <c r="J4750" s="2">
        <f t="shared" si="74"/>
        <v>43748.80374145833</v>
      </c>
    </row>
    <row r="4751" spans="1:10" x14ac:dyDescent="0.25">
      <c r="A4751" s="7" t="s">
        <v>35139</v>
      </c>
      <c r="B4751" s="8">
        <v>393.75</v>
      </c>
      <c r="C4751" s="8">
        <v>20.478950000000001</v>
      </c>
      <c r="D4751" s="8">
        <v>67</v>
      </c>
      <c r="E4751" s="8">
        <v>0</v>
      </c>
      <c r="F4751" s="8">
        <v>0</v>
      </c>
      <c r="G4751" s="8">
        <v>5</v>
      </c>
      <c r="H4751" s="8" t="s">
        <v>35140</v>
      </c>
      <c r="I4751" s="8">
        <v>526.6875</v>
      </c>
      <c r="J4751" s="3">
        <f t="shared" si="74"/>
        <v>43748.803813541665</v>
      </c>
    </row>
    <row r="4752" spans="1:10" x14ac:dyDescent="0.25">
      <c r="A4752" s="5" t="s">
        <v>35141</v>
      </c>
      <c r="B4752" s="6">
        <v>393.75</v>
      </c>
      <c r="C4752" s="6">
        <v>20.478950000000001</v>
      </c>
      <c r="D4752" s="6">
        <v>66</v>
      </c>
      <c r="E4752" s="6">
        <v>0</v>
      </c>
      <c r="F4752" s="6">
        <v>0</v>
      </c>
      <c r="G4752" s="6">
        <v>0</v>
      </c>
      <c r="H4752" s="6" t="s">
        <v>35142</v>
      </c>
      <c r="I4752" s="6">
        <v>526.6875</v>
      </c>
      <c r="J4752" s="2">
        <f t="shared" si="74"/>
        <v>43748.803897534723</v>
      </c>
    </row>
    <row r="4753" spans="1:10" x14ac:dyDescent="0.25">
      <c r="A4753" s="7" t="s">
        <v>35143</v>
      </c>
      <c r="B4753" s="8">
        <v>393.75</v>
      </c>
      <c r="C4753" s="8">
        <v>20.478950000000001</v>
      </c>
      <c r="D4753" s="8">
        <v>66</v>
      </c>
      <c r="E4753" s="8">
        <v>0</v>
      </c>
      <c r="F4753" s="8">
        <v>0</v>
      </c>
      <c r="G4753" s="8">
        <v>9</v>
      </c>
      <c r="H4753" s="8" t="s">
        <v>35144</v>
      </c>
      <c r="I4753" s="8">
        <v>526.6875</v>
      </c>
      <c r="J4753" s="3">
        <f t="shared" si="74"/>
        <v>43748.803968194443</v>
      </c>
    </row>
    <row r="4754" spans="1:10" x14ac:dyDescent="0.25">
      <c r="A4754" s="5" t="s">
        <v>35145</v>
      </c>
      <c r="B4754" s="6">
        <v>393.75</v>
      </c>
      <c r="C4754" s="6">
        <v>20.478950000000001</v>
      </c>
      <c r="D4754" s="6">
        <v>67</v>
      </c>
      <c r="E4754" s="6">
        <v>0</v>
      </c>
      <c r="F4754" s="6">
        <v>0</v>
      </c>
      <c r="G4754" s="6">
        <v>3</v>
      </c>
      <c r="H4754" s="6" t="s">
        <v>35146</v>
      </c>
      <c r="I4754" s="6">
        <v>526.6875</v>
      </c>
      <c r="J4754" s="2">
        <f t="shared" si="74"/>
        <v>43748.804040289346</v>
      </c>
    </row>
    <row r="4755" spans="1:10" x14ac:dyDescent="0.25">
      <c r="A4755" s="7" t="s">
        <v>35147</v>
      </c>
      <c r="B4755" s="8">
        <v>412.5</v>
      </c>
      <c r="C4755" s="8">
        <v>20.478950000000001</v>
      </c>
      <c r="D4755" s="8">
        <v>67</v>
      </c>
      <c r="E4755" s="8">
        <v>0</v>
      </c>
      <c r="F4755" s="8">
        <v>0</v>
      </c>
      <c r="G4755" s="8">
        <v>5</v>
      </c>
      <c r="H4755" s="8" t="s">
        <v>35148</v>
      </c>
      <c r="I4755" s="8">
        <v>532.3125</v>
      </c>
      <c r="J4755" s="3">
        <f t="shared" si="74"/>
        <v>43748.804111932863</v>
      </c>
    </row>
    <row r="4756" spans="1:10" x14ac:dyDescent="0.25">
      <c r="A4756" s="5" t="s">
        <v>35149</v>
      </c>
      <c r="B4756" s="6">
        <v>393.75</v>
      </c>
      <c r="C4756" s="6">
        <v>20.478950000000001</v>
      </c>
      <c r="D4756" s="6">
        <v>67</v>
      </c>
      <c r="E4756" s="6">
        <v>0</v>
      </c>
      <c r="F4756" s="6">
        <v>0</v>
      </c>
      <c r="G4756" s="6">
        <v>2</v>
      </c>
      <c r="H4756" s="6" t="s">
        <v>35150</v>
      </c>
      <c r="I4756" s="6">
        <v>526.6875</v>
      </c>
      <c r="J4756" s="2">
        <f t="shared" si="74"/>
        <v>43748.804182893517</v>
      </c>
    </row>
    <row r="4757" spans="1:10" x14ac:dyDescent="0.25">
      <c r="A4757" s="7" t="s">
        <v>35151</v>
      </c>
      <c r="B4757" s="8">
        <v>393.75</v>
      </c>
      <c r="C4757" s="8">
        <v>20.478950000000001</v>
      </c>
      <c r="D4757" s="8">
        <v>68</v>
      </c>
      <c r="E4757" s="8">
        <v>0</v>
      </c>
      <c r="F4757" s="8">
        <v>0</v>
      </c>
      <c r="G4757" s="8">
        <v>4</v>
      </c>
      <c r="H4757" s="8" t="s">
        <v>35152</v>
      </c>
      <c r="I4757" s="8">
        <v>526.6875</v>
      </c>
      <c r="J4757" s="3">
        <f t="shared" si="74"/>
        <v>43748.804254467592</v>
      </c>
    </row>
    <row r="4758" spans="1:10" x14ac:dyDescent="0.25">
      <c r="A4758" s="5" t="s">
        <v>35153</v>
      </c>
      <c r="B4758" s="6">
        <v>393.75</v>
      </c>
      <c r="C4758" s="6">
        <v>20.478950000000001</v>
      </c>
      <c r="D4758" s="6">
        <v>67</v>
      </c>
      <c r="E4758" s="6">
        <v>0</v>
      </c>
      <c r="F4758" s="6">
        <v>0</v>
      </c>
      <c r="G4758" s="6">
        <v>7</v>
      </c>
      <c r="H4758" s="6" t="s">
        <v>35154</v>
      </c>
      <c r="I4758" s="6">
        <v>526.6875</v>
      </c>
      <c r="J4758" s="2">
        <f t="shared" si="74"/>
        <v>43748.804326400459</v>
      </c>
    </row>
    <row r="4759" spans="1:10" x14ac:dyDescent="0.25">
      <c r="A4759" s="7" t="s">
        <v>35155</v>
      </c>
      <c r="B4759" s="8">
        <v>431.25</v>
      </c>
      <c r="C4759" s="8">
        <v>20.478950000000001</v>
      </c>
      <c r="D4759" s="8">
        <v>68</v>
      </c>
      <c r="E4759" s="8">
        <v>0</v>
      </c>
      <c r="F4759" s="8">
        <v>0</v>
      </c>
      <c r="G4759" s="8">
        <v>12</v>
      </c>
      <c r="H4759" s="8" t="s">
        <v>35156</v>
      </c>
      <c r="I4759" s="8">
        <v>538.5</v>
      </c>
      <c r="J4759" s="3">
        <f t="shared" si="74"/>
        <v>43748.804397696753</v>
      </c>
    </row>
    <row r="4760" spans="1:10" x14ac:dyDescent="0.25">
      <c r="A4760" s="5" t="s">
        <v>35157</v>
      </c>
      <c r="B4760" s="6">
        <v>393.75</v>
      </c>
      <c r="C4760" s="6">
        <v>20.478950000000001</v>
      </c>
      <c r="D4760" s="6">
        <v>69</v>
      </c>
      <c r="E4760" s="6">
        <v>0</v>
      </c>
      <c r="F4760" s="6">
        <v>0</v>
      </c>
      <c r="G4760" s="6">
        <v>19</v>
      </c>
      <c r="H4760" s="6" t="s">
        <v>35158</v>
      </c>
      <c r="I4760" s="6">
        <v>526.6875</v>
      </c>
      <c r="J4760" s="2">
        <f t="shared" si="74"/>
        <v>43748.804469062503</v>
      </c>
    </row>
    <row r="4761" spans="1:10" x14ac:dyDescent="0.25">
      <c r="A4761" s="7" t="s">
        <v>35159</v>
      </c>
      <c r="B4761" s="8">
        <v>393.75</v>
      </c>
      <c r="C4761" s="8">
        <v>20.478950000000001</v>
      </c>
      <c r="D4761" s="8">
        <v>69</v>
      </c>
      <c r="E4761" s="8">
        <v>0</v>
      </c>
      <c r="F4761" s="8">
        <v>0</v>
      </c>
      <c r="G4761" s="8">
        <v>9</v>
      </c>
      <c r="H4761" s="8" t="s">
        <v>35160</v>
      </c>
      <c r="I4761" s="8">
        <v>526.6875</v>
      </c>
      <c r="J4761" s="3">
        <f t="shared" si="74"/>
        <v>43748.80455473379</v>
      </c>
    </row>
    <row r="4762" spans="1:10" x14ac:dyDescent="0.25">
      <c r="A4762" s="5" t="s">
        <v>35161</v>
      </c>
      <c r="B4762" s="6">
        <v>393.75</v>
      </c>
      <c r="C4762" s="6">
        <v>20.478950000000001</v>
      </c>
      <c r="D4762" s="6">
        <v>69</v>
      </c>
      <c r="E4762" s="6">
        <v>0</v>
      </c>
      <c r="F4762" s="6">
        <v>0</v>
      </c>
      <c r="G4762" s="6">
        <v>13</v>
      </c>
      <c r="H4762" s="6" t="s">
        <v>35162</v>
      </c>
      <c r="I4762" s="6">
        <v>526.6875</v>
      </c>
      <c r="J4762" s="2">
        <f t="shared" si="74"/>
        <v>43748.804636597219</v>
      </c>
    </row>
    <row r="4763" spans="1:10" x14ac:dyDescent="0.25">
      <c r="A4763" s="7" t="s">
        <v>35163</v>
      </c>
      <c r="B4763" s="8">
        <v>393.75</v>
      </c>
      <c r="C4763" s="8">
        <v>20.478950000000001</v>
      </c>
      <c r="D4763" s="8">
        <v>69</v>
      </c>
      <c r="E4763" s="8">
        <v>0</v>
      </c>
      <c r="F4763" s="8">
        <v>0</v>
      </c>
      <c r="G4763" s="8">
        <v>9</v>
      </c>
      <c r="H4763" s="8" t="s">
        <v>35164</v>
      </c>
      <c r="I4763" s="8">
        <v>526.6875</v>
      </c>
      <c r="J4763" s="3">
        <f t="shared" si="74"/>
        <v>43748.804708020827</v>
      </c>
    </row>
    <row r="4764" spans="1:10" x14ac:dyDescent="0.25">
      <c r="A4764" s="5" t="s">
        <v>35165</v>
      </c>
      <c r="B4764" s="6">
        <v>393.75</v>
      </c>
      <c r="C4764" s="6">
        <v>20.478950000000001</v>
      </c>
      <c r="D4764" s="6">
        <v>68</v>
      </c>
      <c r="E4764" s="6">
        <v>0</v>
      </c>
      <c r="F4764" s="6">
        <v>0</v>
      </c>
      <c r="G4764" s="6">
        <v>3</v>
      </c>
      <c r="H4764" s="6" t="s">
        <v>35166</v>
      </c>
      <c r="I4764" s="6">
        <v>526.6875</v>
      </c>
      <c r="J4764" s="2">
        <f t="shared" si="74"/>
        <v>43748.804780405095</v>
      </c>
    </row>
    <row r="4765" spans="1:10" x14ac:dyDescent="0.25">
      <c r="A4765" s="7" t="s">
        <v>35167</v>
      </c>
      <c r="B4765" s="8">
        <v>393.75</v>
      </c>
      <c r="C4765" s="8">
        <v>20.478950000000001</v>
      </c>
      <c r="D4765" s="8">
        <v>68</v>
      </c>
      <c r="E4765" s="8">
        <v>0</v>
      </c>
      <c r="F4765" s="8">
        <v>0</v>
      </c>
      <c r="G4765" s="8">
        <v>4</v>
      </c>
      <c r="H4765" s="8" t="s">
        <v>35168</v>
      </c>
      <c r="I4765" s="8">
        <v>526.5</v>
      </c>
      <c r="J4765" s="3">
        <f t="shared" si="74"/>
        <v>43748.80485069444</v>
      </c>
    </row>
    <row r="4766" spans="1:10" x14ac:dyDescent="0.25">
      <c r="A4766" s="5" t="s">
        <v>35169</v>
      </c>
      <c r="B4766" s="6">
        <v>412.5</v>
      </c>
      <c r="C4766" s="6">
        <v>20.478950000000001</v>
      </c>
      <c r="D4766" s="6">
        <v>68</v>
      </c>
      <c r="E4766" s="6">
        <v>0</v>
      </c>
      <c r="F4766" s="6">
        <v>0</v>
      </c>
      <c r="G4766" s="6">
        <v>5</v>
      </c>
      <c r="H4766" s="6" t="s">
        <v>35170</v>
      </c>
      <c r="I4766" s="6">
        <v>532.3125</v>
      </c>
      <c r="J4766" s="2">
        <f t="shared" si="74"/>
        <v>43748.804934571752</v>
      </c>
    </row>
    <row r="4767" spans="1:10" x14ac:dyDescent="0.25">
      <c r="A4767" s="7" t="s">
        <v>35171</v>
      </c>
      <c r="B4767" s="8">
        <v>393.75</v>
      </c>
      <c r="C4767" s="8">
        <v>20.478950000000001</v>
      </c>
      <c r="D4767" s="8">
        <v>67</v>
      </c>
      <c r="E4767" s="8">
        <v>0</v>
      </c>
      <c r="F4767" s="8">
        <v>0</v>
      </c>
      <c r="G4767" s="8">
        <v>19</v>
      </c>
      <c r="H4767" s="8" t="s">
        <v>35172</v>
      </c>
      <c r="I4767" s="8">
        <v>526.5</v>
      </c>
      <c r="J4767" s="3">
        <f t="shared" si="74"/>
        <v>43748.805006030088</v>
      </c>
    </row>
    <row r="4768" spans="1:10" x14ac:dyDescent="0.25">
      <c r="A4768" s="5" t="s">
        <v>35173</v>
      </c>
      <c r="B4768" s="6">
        <v>393.75</v>
      </c>
      <c r="C4768" s="6">
        <v>20.478950000000001</v>
      </c>
      <c r="D4768" s="6">
        <v>68</v>
      </c>
      <c r="E4768" s="6">
        <v>0</v>
      </c>
      <c r="F4768" s="6">
        <v>0</v>
      </c>
      <c r="G4768" s="6">
        <v>14</v>
      </c>
      <c r="H4768" s="6" t="s">
        <v>35174</v>
      </c>
      <c r="I4768" s="6">
        <v>526.6875</v>
      </c>
      <c r="J4768" s="2">
        <f t="shared" si="74"/>
        <v>43748.8050774074</v>
      </c>
    </row>
    <row r="4769" spans="1:10" x14ac:dyDescent="0.25">
      <c r="A4769" s="7" t="s">
        <v>35175</v>
      </c>
      <c r="B4769" s="8">
        <v>393.75</v>
      </c>
      <c r="C4769" s="8">
        <v>20.478950000000001</v>
      </c>
      <c r="D4769" s="8">
        <v>69</v>
      </c>
      <c r="E4769" s="8">
        <v>0</v>
      </c>
      <c r="F4769" s="8">
        <v>0</v>
      </c>
      <c r="G4769" s="8">
        <v>13</v>
      </c>
      <c r="H4769" s="8" t="s">
        <v>35176</v>
      </c>
      <c r="I4769" s="8">
        <v>526.6875</v>
      </c>
      <c r="J4769" s="3">
        <f t="shared" si="74"/>
        <v>43748.805149560183</v>
      </c>
    </row>
    <row r="4770" spans="1:10" x14ac:dyDescent="0.25">
      <c r="A4770" s="5" t="s">
        <v>35177</v>
      </c>
      <c r="B4770" s="6">
        <v>393.75</v>
      </c>
      <c r="C4770" s="6">
        <v>20.478950000000001</v>
      </c>
      <c r="D4770" s="6">
        <v>69</v>
      </c>
      <c r="E4770" s="6">
        <v>0</v>
      </c>
      <c r="F4770" s="6">
        <v>0</v>
      </c>
      <c r="G4770" s="6">
        <v>2</v>
      </c>
      <c r="H4770" s="6" t="s">
        <v>35178</v>
      </c>
      <c r="I4770" s="6">
        <v>526.6875</v>
      </c>
      <c r="J4770" s="2">
        <f t="shared" si="74"/>
        <v>43748.805220844901</v>
      </c>
    </row>
    <row r="4771" spans="1:10" x14ac:dyDescent="0.25">
      <c r="A4771" s="7" t="s">
        <v>35179</v>
      </c>
      <c r="B4771" s="8">
        <v>393.75</v>
      </c>
      <c r="C4771" s="8">
        <v>20.478950000000001</v>
      </c>
      <c r="D4771" s="8">
        <v>71</v>
      </c>
      <c r="E4771" s="8">
        <v>0</v>
      </c>
      <c r="F4771" s="8">
        <v>0</v>
      </c>
      <c r="G4771" s="8">
        <v>15</v>
      </c>
      <c r="H4771" s="8" t="s">
        <v>35180</v>
      </c>
      <c r="I4771" s="8">
        <v>526.6875</v>
      </c>
      <c r="J4771" s="3">
        <f t="shared" si="74"/>
        <v>43748.805291921293</v>
      </c>
    </row>
    <row r="4772" spans="1:10" x14ac:dyDescent="0.25">
      <c r="A4772" s="5" t="s">
        <v>35181</v>
      </c>
      <c r="B4772" s="6">
        <v>393.75</v>
      </c>
      <c r="C4772" s="6">
        <v>20.478950000000001</v>
      </c>
      <c r="D4772" s="6">
        <v>67</v>
      </c>
      <c r="E4772" s="6">
        <v>0</v>
      </c>
      <c r="F4772" s="6">
        <v>0</v>
      </c>
      <c r="G4772" s="6">
        <v>7</v>
      </c>
      <c r="H4772" s="6" t="s">
        <v>35182</v>
      </c>
      <c r="I4772" s="6">
        <v>526.6875</v>
      </c>
      <c r="J4772" s="2">
        <f t="shared" si="74"/>
        <v>43748.805364131942</v>
      </c>
    </row>
    <row r="4773" spans="1:10" x14ac:dyDescent="0.25">
      <c r="A4773" s="7" t="s">
        <v>35183</v>
      </c>
      <c r="B4773" s="8">
        <v>393.75</v>
      </c>
      <c r="C4773" s="8">
        <v>20.478950000000001</v>
      </c>
      <c r="D4773" s="8">
        <v>66</v>
      </c>
      <c r="E4773" s="8">
        <v>0</v>
      </c>
      <c r="F4773" s="8">
        <v>0</v>
      </c>
      <c r="G4773" s="8">
        <v>9</v>
      </c>
      <c r="H4773" s="8" t="s">
        <v>35184</v>
      </c>
      <c r="I4773" s="8">
        <v>526.5</v>
      </c>
      <c r="J4773" s="3">
        <f t="shared" si="74"/>
        <v>43748.80543591435</v>
      </c>
    </row>
    <row r="4774" spans="1:10" x14ac:dyDescent="0.25">
      <c r="A4774" s="5" t="s">
        <v>35185</v>
      </c>
      <c r="B4774" s="6">
        <v>412.5</v>
      </c>
      <c r="C4774" s="6">
        <v>20.478950000000001</v>
      </c>
      <c r="D4774" s="6">
        <v>65</v>
      </c>
      <c r="E4774" s="6">
        <v>0</v>
      </c>
      <c r="F4774" s="6">
        <v>0</v>
      </c>
      <c r="G4774" s="6">
        <v>14</v>
      </c>
      <c r="H4774" s="6" t="s">
        <v>35186</v>
      </c>
      <c r="I4774" s="6">
        <v>532.3125</v>
      </c>
      <c r="J4774" s="2">
        <f t="shared" si="74"/>
        <v>43748.80550696759</v>
      </c>
    </row>
    <row r="4775" spans="1:10" x14ac:dyDescent="0.25">
      <c r="A4775" s="7" t="s">
        <v>35187</v>
      </c>
      <c r="B4775" s="8">
        <v>393.75</v>
      </c>
      <c r="C4775" s="8">
        <v>20.478950000000001</v>
      </c>
      <c r="D4775" s="8">
        <v>65</v>
      </c>
      <c r="E4775" s="8">
        <v>0</v>
      </c>
      <c r="F4775" s="8">
        <v>0</v>
      </c>
      <c r="G4775" s="8">
        <v>6</v>
      </c>
      <c r="H4775" s="8" t="s">
        <v>35188</v>
      </c>
      <c r="I4775" s="8">
        <v>526.6875</v>
      </c>
      <c r="J4775" s="3">
        <f t="shared" si="74"/>
        <v>43748.805589351854</v>
      </c>
    </row>
    <row r="4776" spans="1:10" x14ac:dyDescent="0.25">
      <c r="A4776" s="5" t="s">
        <v>35189</v>
      </c>
      <c r="B4776" s="6">
        <v>393.75</v>
      </c>
      <c r="C4776" s="6">
        <v>20.478950000000001</v>
      </c>
      <c r="D4776" s="6">
        <v>66</v>
      </c>
      <c r="E4776" s="6">
        <v>0</v>
      </c>
      <c r="F4776" s="6">
        <v>0</v>
      </c>
      <c r="G4776" s="6">
        <v>8</v>
      </c>
      <c r="H4776" s="6" t="s">
        <v>35190</v>
      </c>
      <c r="I4776" s="6">
        <v>526.6875</v>
      </c>
      <c r="J4776" s="2">
        <f t="shared" si="74"/>
        <v>43748.805662349536</v>
      </c>
    </row>
    <row r="4777" spans="1:10" x14ac:dyDescent="0.25">
      <c r="A4777" s="7" t="s">
        <v>35191</v>
      </c>
      <c r="B4777" s="8">
        <v>393.75</v>
      </c>
      <c r="C4777" s="8">
        <v>20.478950000000001</v>
      </c>
      <c r="D4777" s="8">
        <v>66</v>
      </c>
      <c r="E4777" s="8">
        <v>0</v>
      </c>
      <c r="F4777" s="8">
        <v>0</v>
      </c>
      <c r="G4777" s="8">
        <v>8</v>
      </c>
      <c r="H4777" s="8" t="s">
        <v>35192</v>
      </c>
      <c r="I4777" s="8">
        <v>526.6875</v>
      </c>
      <c r="J4777" s="3">
        <f t="shared" si="74"/>
        <v>43748.805733703703</v>
      </c>
    </row>
    <row r="4778" spans="1:10" x14ac:dyDescent="0.25">
      <c r="A4778" s="5" t="s">
        <v>35193</v>
      </c>
      <c r="B4778" s="6">
        <v>393.75</v>
      </c>
      <c r="C4778" s="6">
        <v>20.478950000000001</v>
      </c>
      <c r="D4778" s="6">
        <v>66</v>
      </c>
      <c r="E4778" s="6">
        <v>0</v>
      </c>
      <c r="F4778" s="6">
        <v>0</v>
      </c>
      <c r="G4778" s="6">
        <v>2</v>
      </c>
      <c r="H4778" s="6" t="s">
        <v>35194</v>
      </c>
      <c r="I4778" s="6">
        <v>526.6875</v>
      </c>
      <c r="J4778" s="2">
        <f t="shared" si="74"/>
        <v>43748.805805520831</v>
      </c>
    </row>
    <row r="4779" spans="1:10" x14ac:dyDescent="0.25">
      <c r="A4779" s="7" t="s">
        <v>35195</v>
      </c>
      <c r="B4779" s="8">
        <v>393.75</v>
      </c>
      <c r="C4779" s="8">
        <v>20.478950000000001</v>
      </c>
      <c r="D4779" s="8">
        <v>66</v>
      </c>
      <c r="E4779" s="8">
        <v>0</v>
      </c>
      <c r="F4779" s="8">
        <v>0</v>
      </c>
      <c r="G4779" s="8">
        <v>7</v>
      </c>
      <c r="H4779" s="8" t="s">
        <v>35196</v>
      </c>
      <c r="I4779" s="8">
        <v>526.6875</v>
      </c>
      <c r="J4779" s="3">
        <f t="shared" si="74"/>
        <v>43748.805877037033</v>
      </c>
    </row>
    <row r="4780" spans="1:10" x14ac:dyDescent="0.25">
      <c r="A4780" s="5" t="s">
        <v>35197</v>
      </c>
      <c r="B4780" s="6">
        <v>393.75</v>
      </c>
      <c r="C4780" s="6">
        <v>20.478950000000001</v>
      </c>
      <c r="D4780" s="6">
        <v>65</v>
      </c>
      <c r="E4780" s="6">
        <v>0</v>
      </c>
      <c r="F4780" s="6">
        <v>0</v>
      </c>
      <c r="G4780" s="6">
        <v>9</v>
      </c>
      <c r="H4780" s="6" t="s">
        <v>35198</v>
      </c>
      <c r="I4780" s="6">
        <v>526.6875</v>
      </c>
      <c r="J4780" s="2">
        <f t="shared" si="74"/>
        <v>43748.805948344903</v>
      </c>
    </row>
    <row r="4781" spans="1:10" x14ac:dyDescent="0.25">
      <c r="A4781" s="7" t="s">
        <v>35199</v>
      </c>
      <c r="B4781" s="8">
        <v>393.75</v>
      </c>
      <c r="C4781" s="8">
        <v>20.478950000000001</v>
      </c>
      <c r="D4781" s="8">
        <v>66</v>
      </c>
      <c r="E4781" s="8">
        <v>0</v>
      </c>
      <c r="F4781" s="8">
        <v>0</v>
      </c>
      <c r="G4781" s="8">
        <v>4</v>
      </c>
      <c r="H4781" s="8" t="s">
        <v>35200</v>
      </c>
      <c r="I4781" s="8">
        <v>526.6875</v>
      </c>
      <c r="J4781" s="3">
        <f t="shared" si="74"/>
        <v>43748.806019872682</v>
      </c>
    </row>
    <row r="4782" spans="1:10" x14ac:dyDescent="0.25">
      <c r="A4782" s="5" t="s">
        <v>35201</v>
      </c>
      <c r="B4782" s="6">
        <v>393.75</v>
      </c>
      <c r="C4782" s="6">
        <v>20.478950000000001</v>
      </c>
      <c r="D4782" s="6">
        <v>67</v>
      </c>
      <c r="E4782" s="6">
        <v>0</v>
      </c>
      <c r="F4782" s="6">
        <v>0</v>
      </c>
      <c r="G4782" s="6">
        <v>13</v>
      </c>
      <c r="H4782" s="6" t="s">
        <v>35202</v>
      </c>
      <c r="I4782" s="6">
        <v>526.6875</v>
      </c>
      <c r="J4782" s="2">
        <f t="shared" si="74"/>
        <v>43748.806091226848</v>
      </c>
    </row>
    <row r="4783" spans="1:10" x14ac:dyDescent="0.25">
      <c r="A4783" s="7" t="s">
        <v>35203</v>
      </c>
      <c r="B4783" s="8">
        <v>393.75</v>
      </c>
      <c r="C4783" s="8">
        <v>20.478950000000001</v>
      </c>
      <c r="D4783" s="8">
        <v>67</v>
      </c>
      <c r="E4783" s="8">
        <v>0</v>
      </c>
      <c r="F4783" s="8">
        <v>0</v>
      </c>
      <c r="G4783" s="8">
        <v>2</v>
      </c>
      <c r="H4783" s="8" t="s">
        <v>35204</v>
      </c>
      <c r="I4783" s="8">
        <v>526.6875</v>
      </c>
      <c r="J4783" s="3">
        <f t="shared" si="74"/>
        <v>43748.806162465276</v>
      </c>
    </row>
    <row r="4784" spans="1:10" x14ac:dyDescent="0.25">
      <c r="A4784" s="5" t="s">
        <v>35205</v>
      </c>
      <c r="B4784" s="6">
        <v>393.75</v>
      </c>
      <c r="C4784" s="6">
        <v>20.478950000000001</v>
      </c>
      <c r="D4784" s="6">
        <v>67</v>
      </c>
      <c r="E4784" s="6">
        <v>0</v>
      </c>
      <c r="F4784" s="6">
        <v>0</v>
      </c>
      <c r="G4784" s="6">
        <v>10</v>
      </c>
      <c r="H4784" s="6" t="s">
        <v>35206</v>
      </c>
      <c r="I4784" s="6">
        <v>526.6875</v>
      </c>
      <c r="J4784" s="2">
        <f t="shared" si="74"/>
        <v>43748.806244004627</v>
      </c>
    </row>
    <row r="4785" spans="1:10" x14ac:dyDescent="0.25">
      <c r="A4785" s="7" t="s">
        <v>35207</v>
      </c>
      <c r="B4785" s="8">
        <v>393.75</v>
      </c>
      <c r="C4785" s="8">
        <v>20.478950000000001</v>
      </c>
      <c r="D4785" s="8">
        <v>67</v>
      </c>
      <c r="E4785" s="8">
        <v>0</v>
      </c>
      <c r="F4785" s="8">
        <v>0</v>
      </c>
      <c r="G4785" s="8">
        <v>10</v>
      </c>
      <c r="H4785" s="8" t="s">
        <v>35208</v>
      </c>
      <c r="I4785" s="8">
        <v>526.6875</v>
      </c>
      <c r="J4785" s="3">
        <f t="shared" si="74"/>
        <v>43748.806353495369</v>
      </c>
    </row>
    <row r="4786" spans="1:10" x14ac:dyDescent="0.25">
      <c r="A4786" s="5" t="s">
        <v>35209</v>
      </c>
      <c r="B4786" s="6">
        <v>393.75</v>
      </c>
      <c r="C4786" s="6">
        <v>20.478950000000001</v>
      </c>
      <c r="D4786" s="6">
        <v>67</v>
      </c>
      <c r="E4786" s="6">
        <v>0</v>
      </c>
      <c r="F4786" s="6">
        <v>0</v>
      </c>
      <c r="G4786" s="6">
        <v>3</v>
      </c>
      <c r="H4786" s="6" t="s">
        <v>35210</v>
      </c>
      <c r="I4786" s="6">
        <v>526.6875</v>
      </c>
      <c r="J4786" s="2">
        <f t="shared" si="74"/>
        <v>43748.806425405091</v>
      </c>
    </row>
    <row r="4787" spans="1:10" x14ac:dyDescent="0.25">
      <c r="A4787" s="7" t="s">
        <v>35211</v>
      </c>
      <c r="B4787" s="8">
        <v>412.5</v>
      </c>
      <c r="C4787" s="8">
        <v>20.478950000000001</v>
      </c>
      <c r="D4787" s="8">
        <v>67</v>
      </c>
      <c r="E4787" s="8">
        <v>0</v>
      </c>
      <c r="F4787" s="8">
        <v>0</v>
      </c>
      <c r="G4787" s="8">
        <v>6</v>
      </c>
      <c r="H4787" s="8" t="s">
        <v>35212</v>
      </c>
      <c r="I4787" s="8">
        <v>532.3125</v>
      </c>
      <c r="J4787" s="3">
        <f t="shared" si="74"/>
        <v>43748.806496886573</v>
      </c>
    </row>
    <row r="4788" spans="1:10" x14ac:dyDescent="0.25">
      <c r="A4788" s="5" t="s">
        <v>35213</v>
      </c>
      <c r="B4788" s="6">
        <v>393.75</v>
      </c>
      <c r="C4788" s="6">
        <v>20.478950000000001</v>
      </c>
      <c r="D4788" s="6">
        <v>69</v>
      </c>
      <c r="E4788" s="6">
        <v>0</v>
      </c>
      <c r="F4788" s="6">
        <v>0</v>
      </c>
      <c r="G4788" s="6">
        <v>3</v>
      </c>
      <c r="H4788" s="6" t="s">
        <v>35214</v>
      </c>
      <c r="I4788" s="6">
        <v>526.6875</v>
      </c>
      <c r="J4788" s="2">
        <f t="shared" si="74"/>
        <v>43748.806580162032</v>
      </c>
    </row>
    <row r="4789" spans="1:10" x14ac:dyDescent="0.25">
      <c r="A4789" s="7" t="s">
        <v>35215</v>
      </c>
      <c r="B4789" s="8">
        <v>393.75</v>
      </c>
      <c r="C4789" s="8">
        <v>20.478950000000001</v>
      </c>
      <c r="D4789" s="8">
        <v>70</v>
      </c>
      <c r="E4789" s="8">
        <v>0</v>
      </c>
      <c r="F4789" s="8">
        <v>0</v>
      </c>
      <c r="G4789" s="8">
        <v>12</v>
      </c>
      <c r="H4789" s="8" t="s">
        <v>35216</v>
      </c>
      <c r="I4789" s="8">
        <v>526.6875</v>
      </c>
      <c r="J4789" s="3">
        <f t="shared" si="74"/>
        <v>43748.806664317126</v>
      </c>
    </row>
    <row r="4790" spans="1:10" x14ac:dyDescent="0.25">
      <c r="A4790" s="5" t="s">
        <v>35217</v>
      </c>
      <c r="B4790" s="6">
        <v>396.875</v>
      </c>
      <c r="C4790" s="6">
        <v>20.478950000000001</v>
      </c>
      <c r="D4790" s="6">
        <v>70</v>
      </c>
      <c r="E4790" s="6">
        <v>0</v>
      </c>
      <c r="F4790" s="6">
        <v>0</v>
      </c>
      <c r="G4790" s="6">
        <v>14</v>
      </c>
      <c r="H4790" s="6" t="s">
        <v>35218</v>
      </c>
      <c r="I4790" s="6">
        <v>527.4375</v>
      </c>
      <c r="J4790" s="2">
        <f t="shared" si="74"/>
        <v>43748.806747627314</v>
      </c>
    </row>
    <row r="4791" spans="1:10" x14ac:dyDescent="0.25">
      <c r="A4791" s="7" t="s">
        <v>35219</v>
      </c>
      <c r="B4791" s="8">
        <v>396.875</v>
      </c>
      <c r="C4791" s="8">
        <v>20.478950000000001</v>
      </c>
      <c r="D4791" s="8">
        <v>70</v>
      </c>
      <c r="E4791" s="8">
        <v>0</v>
      </c>
      <c r="F4791" s="8">
        <v>0</v>
      </c>
      <c r="G4791" s="8">
        <v>9</v>
      </c>
      <c r="H4791" s="8" t="s">
        <v>35220</v>
      </c>
      <c r="I4791" s="8">
        <v>527.4375</v>
      </c>
      <c r="J4791" s="3">
        <f t="shared" si="74"/>
        <v>43748.806819178237</v>
      </c>
    </row>
    <row r="4792" spans="1:10" x14ac:dyDescent="0.25">
      <c r="A4792" s="5" t="s">
        <v>35221</v>
      </c>
      <c r="B4792" s="6">
        <v>400</v>
      </c>
      <c r="C4792" s="6">
        <v>20.478950000000001</v>
      </c>
      <c r="D4792" s="6">
        <v>69</v>
      </c>
      <c r="E4792" s="6">
        <v>0</v>
      </c>
      <c r="F4792" s="6">
        <v>0</v>
      </c>
      <c r="G4792" s="6">
        <v>12</v>
      </c>
      <c r="H4792" s="6" t="s">
        <v>35222</v>
      </c>
      <c r="I4792" s="6">
        <v>528.375</v>
      </c>
      <c r="J4792" s="2">
        <f t="shared" si="74"/>
        <v>43748.806890104162</v>
      </c>
    </row>
    <row r="4793" spans="1:10" x14ac:dyDescent="0.25">
      <c r="A4793" s="7" t="s">
        <v>35223</v>
      </c>
      <c r="B4793" s="8">
        <v>418.75</v>
      </c>
      <c r="C4793" s="8">
        <v>20.478950000000001</v>
      </c>
      <c r="D4793" s="8">
        <v>69</v>
      </c>
      <c r="E4793" s="8">
        <v>0</v>
      </c>
      <c r="F4793" s="8">
        <v>0</v>
      </c>
      <c r="G4793" s="8">
        <v>14</v>
      </c>
      <c r="H4793" s="8" t="s">
        <v>35224</v>
      </c>
      <c r="I4793" s="8">
        <v>534</v>
      </c>
      <c r="J4793" s="3">
        <f t="shared" si="74"/>
        <v>43748.806962222217</v>
      </c>
    </row>
    <row r="4794" spans="1:10" x14ac:dyDescent="0.25">
      <c r="A4794" s="5" t="s">
        <v>35225</v>
      </c>
      <c r="B4794" s="6">
        <v>400</v>
      </c>
      <c r="C4794" s="6">
        <v>20.478950000000001</v>
      </c>
      <c r="D4794" s="6">
        <v>68</v>
      </c>
      <c r="E4794" s="6">
        <v>0</v>
      </c>
      <c r="F4794" s="6">
        <v>0</v>
      </c>
      <c r="G4794" s="6">
        <v>4</v>
      </c>
      <c r="H4794" s="6" t="s">
        <v>35226</v>
      </c>
      <c r="I4794" s="6">
        <v>528.1875</v>
      </c>
      <c r="J4794" s="2">
        <f t="shared" si="74"/>
        <v>43748.807039375002</v>
      </c>
    </row>
    <row r="4795" spans="1:10" x14ac:dyDescent="0.25">
      <c r="A4795" s="7" t="s">
        <v>35227</v>
      </c>
      <c r="B4795" s="8">
        <v>400</v>
      </c>
      <c r="C4795" s="8">
        <v>20.478950000000001</v>
      </c>
      <c r="D4795" s="8">
        <v>68</v>
      </c>
      <c r="E4795" s="8">
        <v>0</v>
      </c>
      <c r="F4795" s="8">
        <v>0</v>
      </c>
      <c r="G4795" s="8">
        <v>9</v>
      </c>
      <c r="H4795" s="8" t="s">
        <v>35228</v>
      </c>
      <c r="I4795" s="8">
        <v>528.375</v>
      </c>
      <c r="J4795" s="3">
        <f t="shared" si="74"/>
        <v>43748.80711696759</v>
      </c>
    </row>
    <row r="4796" spans="1:10" x14ac:dyDescent="0.25">
      <c r="A4796" s="5" t="s">
        <v>35229</v>
      </c>
      <c r="B4796" s="6">
        <v>400</v>
      </c>
      <c r="C4796" s="6">
        <v>20.478950000000001</v>
      </c>
      <c r="D4796" s="6">
        <v>67</v>
      </c>
      <c r="E4796" s="6">
        <v>0</v>
      </c>
      <c r="F4796" s="6">
        <v>0</v>
      </c>
      <c r="G4796" s="6">
        <v>7</v>
      </c>
      <c r="H4796" s="6" t="s">
        <v>35230</v>
      </c>
      <c r="I4796" s="6">
        <v>528.1875</v>
      </c>
      <c r="J4796" s="2">
        <f t="shared" si="74"/>
        <v>43748.807188680548</v>
      </c>
    </row>
    <row r="4797" spans="1:10" x14ac:dyDescent="0.25">
      <c r="A4797" s="7" t="s">
        <v>35231</v>
      </c>
      <c r="B4797" s="8">
        <v>396.875</v>
      </c>
      <c r="C4797" s="8">
        <v>20.478950000000001</v>
      </c>
      <c r="D4797" s="8">
        <v>69</v>
      </c>
      <c r="E4797" s="8">
        <v>0</v>
      </c>
      <c r="F4797" s="8">
        <v>0</v>
      </c>
      <c r="G4797" s="8">
        <v>12</v>
      </c>
      <c r="H4797" s="8" t="s">
        <v>35232</v>
      </c>
      <c r="I4797" s="8">
        <v>527.4375</v>
      </c>
      <c r="J4797" s="3">
        <f t="shared" si="74"/>
        <v>43748.807260081019</v>
      </c>
    </row>
    <row r="4798" spans="1:10" x14ac:dyDescent="0.25">
      <c r="A4798" s="5" t="s">
        <v>35233</v>
      </c>
      <c r="B4798" s="6">
        <v>396.875</v>
      </c>
      <c r="C4798" s="6">
        <v>20.478950000000001</v>
      </c>
      <c r="D4798" s="6">
        <v>70</v>
      </c>
      <c r="E4798" s="6">
        <v>0</v>
      </c>
      <c r="F4798" s="6">
        <v>0</v>
      </c>
      <c r="G4798" s="6">
        <v>9</v>
      </c>
      <c r="H4798" s="6" t="s">
        <v>35234</v>
      </c>
      <c r="I4798" s="6">
        <v>527.4375</v>
      </c>
      <c r="J4798" s="2">
        <f t="shared" si="74"/>
        <v>43748.807332083328</v>
      </c>
    </row>
    <row r="4799" spans="1:10" x14ac:dyDescent="0.25">
      <c r="A4799" s="7" t="s">
        <v>35235</v>
      </c>
      <c r="B4799" s="8">
        <v>396.875</v>
      </c>
      <c r="C4799" s="8">
        <v>20.478950000000001</v>
      </c>
      <c r="D4799" s="8">
        <v>70</v>
      </c>
      <c r="E4799" s="8">
        <v>0</v>
      </c>
      <c r="F4799" s="8">
        <v>0</v>
      </c>
      <c r="G4799" s="8">
        <v>10</v>
      </c>
      <c r="H4799" s="8" t="s">
        <v>35236</v>
      </c>
      <c r="I4799" s="8">
        <v>527.4375</v>
      </c>
      <c r="J4799" s="3">
        <f t="shared" si="74"/>
        <v>43748.807403495368</v>
      </c>
    </row>
    <row r="4800" spans="1:10" x14ac:dyDescent="0.25">
      <c r="A4800" s="5" t="s">
        <v>35237</v>
      </c>
      <c r="B4800" s="6">
        <v>396.875</v>
      </c>
      <c r="C4800" s="6">
        <v>20.478950000000001</v>
      </c>
      <c r="D4800" s="6">
        <v>70</v>
      </c>
      <c r="E4800" s="6">
        <v>0</v>
      </c>
      <c r="F4800" s="6">
        <v>0</v>
      </c>
      <c r="G4800" s="6">
        <v>1</v>
      </c>
      <c r="H4800" s="6" t="s">
        <v>35238</v>
      </c>
      <c r="I4800" s="6">
        <v>527.4375</v>
      </c>
      <c r="J4800" s="2">
        <f t="shared" si="74"/>
        <v>43748.807486747683</v>
      </c>
    </row>
    <row r="4801" spans="1:10" x14ac:dyDescent="0.25">
      <c r="A4801" s="7" t="s">
        <v>35239</v>
      </c>
      <c r="B4801" s="8">
        <v>393.75</v>
      </c>
      <c r="C4801" s="8">
        <v>20.478950000000001</v>
      </c>
      <c r="D4801" s="8">
        <v>70</v>
      </c>
      <c r="E4801" s="8">
        <v>0</v>
      </c>
      <c r="F4801" s="8">
        <v>0</v>
      </c>
      <c r="G4801" s="8">
        <v>8</v>
      </c>
      <c r="H4801" s="8" t="s">
        <v>35240</v>
      </c>
      <c r="I4801" s="8">
        <v>526.6875</v>
      </c>
      <c r="J4801" s="3">
        <f t="shared" si="74"/>
        <v>43748.807558275461</v>
      </c>
    </row>
    <row r="4802" spans="1:10" x14ac:dyDescent="0.25">
      <c r="A4802" s="5" t="s">
        <v>35241</v>
      </c>
      <c r="B4802" s="6">
        <v>393.75</v>
      </c>
      <c r="C4802" s="6">
        <v>20.478950000000001</v>
      </c>
      <c r="D4802" s="6">
        <v>70</v>
      </c>
      <c r="E4802" s="6">
        <v>0</v>
      </c>
      <c r="F4802" s="6">
        <v>0</v>
      </c>
      <c r="G4802" s="6">
        <v>2</v>
      </c>
      <c r="H4802" s="6" t="s">
        <v>35242</v>
      </c>
      <c r="I4802" s="6">
        <v>526.6875</v>
      </c>
      <c r="J4802" s="2">
        <f t="shared" ref="J4802:J4865" si="75">(H4802/86400000)+25569+(7/24)</f>
        <v>43748.807651863426</v>
      </c>
    </row>
    <row r="4803" spans="1:10" x14ac:dyDescent="0.25">
      <c r="A4803" s="7" t="s">
        <v>35243</v>
      </c>
      <c r="B4803" s="8">
        <v>393.75</v>
      </c>
      <c r="C4803" s="8">
        <v>20.478950000000001</v>
      </c>
      <c r="D4803" s="8">
        <v>70</v>
      </c>
      <c r="E4803" s="8">
        <v>0</v>
      </c>
      <c r="F4803" s="8">
        <v>0</v>
      </c>
      <c r="G4803" s="8">
        <v>8</v>
      </c>
      <c r="H4803" s="8" t="s">
        <v>35244</v>
      </c>
      <c r="I4803" s="8">
        <v>526.5</v>
      </c>
      <c r="J4803" s="3">
        <f t="shared" si="75"/>
        <v>43748.807724953702</v>
      </c>
    </row>
    <row r="4804" spans="1:10" x14ac:dyDescent="0.25">
      <c r="A4804" s="5" t="s">
        <v>35245</v>
      </c>
      <c r="B4804" s="6">
        <v>393.75</v>
      </c>
      <c r="C4804" s="6">
        <v>20.478950000000001</v>
      </c>
      <c r="D4804" s="6">
        <v>67</v>
      </c>
      <c r="E4804" s="6">
        <v>0</v>
      </c>
      <c r="F4804" s="6">
        <v>0</v>
      </c>
      <c r="G4804" s="6">
        <v>2</v>
      </c>
      <c r="H4804" s="6" t="s">
        <v>35246</v>
      </c>
      <c r="I4804" s="6">
        <v>526.6875</v>
      </c>
      <c r="J4804" s="2">
        <f t="shared" si="75"/>
        <v>43748.807808518519</v>
      </c>
    </row>
    <row r="4805" spans="1:10" x14ac:dyDescent="0.25">
      <c r="A4805" s="7" t="s">
        <v>35247</v>
      </c>
      <c r="B4805" s="8">
        <v>393.75</v>
      </c>
      <c r="C4805" s="8">
        <v>20.478950000000001</v>
      </c>
      <c r="D4805" s="8">
        <v>67</v>
      </c>
      <c r="E4805" s="8">
        <v>0</v>
      </c>
      <c r="F4805" s="8">
        <v>0</v>
      </c>
      <c r="G4805" s="8">
        <v>3</v>
      </c>
      <c r="H4805" s="8" t="s">
        <v>35248</v>
      </c>
      <c r="I4805" s="8">
        <v>526.6875</v>
      </c>
      <c r="J4805" s="3">
        <f t="shared" si="75"/>
        <v>43748.807880277775</v>
      </c>
    </row>
    <row r="4806" spans="1:10" x14ac:dyDescent="0.25">
      <c r="A4806" s="5" t="s">
        <v>35249</v>
      </c>
      <c r="B4806" s="6">
        <v>393.75</v>
      </c>
      <c r="C4806" s="6">
        <v>20.478950000000001</v>
      </c>
      <c r="D4806" s="6">
        <v>67</v>
      </c>
      <c r="E4806" s="6">
        <v>0</v>
      </c>
      <c r="F4806" s="6">
        <v>0</v>
      </c>
      <c r="G4806" s="6">
        <v>9</v>
      </c>
      <c r="H4806" s="6" t="s">
        <v>35250</v>
      </c>
      <c r="I4806" s="6">
        <v>526.6875</v>
      </c>
      <c r="J4806" s="2">
        <f t="shared" si="75"/>
        <v>43748.807963784719</v>
      </c>
    </row>
    <row r="4807" spans="1:10" x14ac:dyDescent="0.25">
      <c r="A4807" s="7" t="s">
        <v>35251</v>
      </c>
      <c r="B4807" s="8">
        <v>393.75</v>
      </c>
      <c r="C4807" s="8">
        <v>20.478950000000001</v>
      </c>
      <c r="D4807" s="8">
        <v>68</v>
      </c>
      <c r="E4807" s="8">
        <v>0</v>
      </c>
      <c r="F4807" s="8">
        <v>0</v>
      </c>
      <c r="G4807" s="8">
        <v>0</v>
      </c>
      <c r="H4807" s="8" t="s">
        <v>35252</v>
      </c>
      <c r="I4807" s="8">
        <v>526.6875</v>
      </c>
      <c r="J4807" s="3">
        <f t="shared" si="75"/>
        <v>43748.808047291663</v>
      </c>
    </row>
    <row r="4808" spans="1:10" x14ac:dyDescent="0.25">
      <c r="A4808" s="5" t="s">
        <v>35253</v>
      </c>
      <c r="B4808" s="6">
        <v>431.25</v>
      </c>
      <c r="C4808" s="6">
        <v>20.478950000000001</v>
      </c>
      <c r="D4808" s="6">
        <v>67</v>
      </c>
      <c r="E4808" s="6">
        <v>0</v>
      </c>
      <c r="F4808" s="6">
        <v>0</v>
      </c>
      <c r="G4808" s="6">
        <v>4</v>
      </c>
      <c r="H4808" s="6" t="s">
        <v>35254</v>
      </c>
      <c r="I4808" s="6">
        <v>538.6875</v>
      </c>
      <c r="J4808" s="2">
        <f t="shared" si="75"/>
        <v>43748.808130393518</v>
      </c>
    </row>
    <row r="4809" spans="1:10" x14ac:dyDescent="0.25">
      <c r="A4809" s="7" t="s">
        <v>35255</v>
      </c>
      <c r="B4809" s="8">
        <v>393.75</v>
      </c>
      <c r="C4809" s="8">
        <v>20.478950000000001</v>
      </c>
      <c r="D4809" s="8">
        <v>67</v>
      </c>
      <c r="E4809" s="8">
        <v>0</v>
      </c>
      <c r="F4809" s="8">
        <v>0</v>
      </c>
      <c r="G4809" s="8">
        <v>11</v>
      </c>
      <c r="H4809" s="8" t="s">
        <v>35256</v>
      </c>
      <c r="I4809" s="8">
        <v>526.6875</v>
      </c>
      <c r="J4809" s="3">
        <f t="shared" si="75"/>
        <v>43748.808202152773</v>
      </c>
    </row>
    <row r="4810" spans="1:10" x14ac:dyDescent="0.25">
      <c r="A4810" s="5" t="s">
        <v>35257</v>
      </c>
      <c r="B4810" s="6">
        <v>393.75</v>
      </c>
      <c r="C4810" s="6">
        <v>20.478950000000001</v>
      </c>
      <c r="D4810" s="6">
        <v>66</v>
      </c>
      <c r="E4810" s="6">
        <v>0</v>
      </c>
      <c r="F4810" s="6">
        <v>0</v>
      </c>
      <c r="G4810" s="6">
        <v>0</v>
      </c>
      <c r="H4810" s="6" t="s">
        <v>35258</v>
      </c>
      <c r="I4810" s="6">
        <v>526.6875</v>
      </c>
      <c r="J4810" s="2">
        <f t="shared" si="75"/>
        <v>43748.808299490738</v>
      </c>
    </row>
    <row r="4811" spans="1:10" x14ac:dyDescent="0.25">
      <c r="A4811" s="7" t="s">
        <v>35259</v>
      </c>
      <c r="B4811" s="8">
        <v>393.75</v>
      </c>
      <c r="C4811" s="8">
        <v>20.478950000000001</v>
      </c>
      <c r="D4811" s="8">
        <v>65</v>
      </c>
      <c r="E4811" s="8">
        <v>0</v>
      </c>
      <c r="F4811" s="8">
        <v>0</v>
      </c>
      <c r="G4811" s="8">
        <v>11</v>
      </c>
      <c r="H4811" s="8" t="s">
        <v>35260</v>
      </c>
      <c r="I4811" s="8">
        <v>526.6875</v>
      </c>
      <c r="J4811" s="3">
        <f t="shared" si="75"/>
        <v>43748.8083812037</v>
      </c>
    </row>
    <row r="4812" spans="1:10" x14ac:dyDescent="0.25">
      <c r="A4812" s="5" t="s">
        <v>35261</v>
      </c>
      <c r="B4812" s="6">
        <v>393.75</v>
      </c>
      <c r="C4812" s="6">
        <v>20.478950000000001</v>
      </c>
      <c r="D4812" s="6">
        <v>64</v>
      </c>
      <c r="E4812" s="6">
        <v>0</v>
      </c>
      <c r="F4812" s="6">
        <v>0</v>
      </c>
      <c r="G4812" s="6">
        <v>15</v>
      </c>
      <c r="H4812" s="6" t="s">
        <v>35262</v>
      </c>
      <c r="I4812" s="6">
        <v>526.6875</v>
      </c>
      <c r="J4812" s="2">
        <f t="shared" si="75"/>
        <v>43748.808464652779</v>
      </c>
    </row>
    <row r="4813" spans="1:10" x14ac:dyDescent="0.25">
      <c r="A4813" s="7" t="s">
        <v>35263</v>
      </c>
      <c r="B4813" s="8">
        <v>393.75</v>
      </c>
      <c r="C4813" s="8">
        <v>20.478950000000001</v>
      </c>
      <c r="D4813" s="8">
        <v>65</v>
      </c>
      <c r="E4813" s="8">
        <v>0</v>
      </c>
      <c r="F4813" s="8">
        <v>0</v>
      </c>
      <c r="G4813" s="8">
        <v>15</v>
      </c>
      <c r="H4813" s="8" t="s">
        <v>35264</v>
      </c>
      <c r="I4813" s="8">
        <v>526.6875</v>
      </c>
      <c r="J4813" s="3">
        <f t="shared" si="75"/>
        <v>43748.80853657407</v>
      </c>
    </row>
    <row r="4814" spans="1:10" x14ac:dyDescent="0.25">
      <c r="A4814" s="5" t="s">
        <v>35265</v>
      </c>
      <c r="B4814" s="6">
        <v>393.75</v>
      </c>
      <c r="C4814" s="6">
        <v>20.478950000000001</v>
      </c>
      <c r="D4814" s="6">
        <v>65</v>
      </c>
      <c r="E4814" s="6">
        <v>0</v>
      </c>
      <c r="F4814" s="6">
        <v>0</v>
      </c>
      <c r="G4814" s="6">
        <v>12</v>
      </c>
      <c r="H4814" s="6" t="s">
        <v>35266</v>
      </c>
      <c r="I4814" s="6">
        <v>526.6875</v>
      </c>
      <c r="J4814" s="2">
        <f t="shared" si="75"/>
        <v>43748.808619386567</v>
      </c>
    </row>
    <row r="4815" spans="1:10" x14ac:dyDescent="0.25">
      <c r="A4815" s="7" t="s">
        <v>35267</v>
      </c>
      <c r="B4815" s="8">
        <v>393.75</v>
      </c>
      <c r="C4815" s="8">
        <v>20.478950000000001</v>
      </c>
      <c r="D4815" s="8">
        <v>65</v>
      </c>
      <c r="E4815" s="8">
        <v>0</v>
      </c>
      <c r="F4815" s="8">
        <v>0</v>
      </c>
      <c r="G4815" s="8">
        <v>13</v>
      </c>
      <c r="H4815" s="8" t="s">
        <v>35268</v>
      </c>
      <c r="I4815" s="8">
        <v>526.6875</v>
      </c>
      <c r="J4815" s="3">
        <f t="shared" si="75"/>
        <v>43748.808690914353</v>
      </c>
    </row>
    <row r="4816" spans="1:10" x14ac:dyDescent="0.25">
      <c r="A4816" s="5" t="s">
        <v>35269</v>
      </c>
      <c r="B4816" s="6">
        <v>412.5</v>
      </c>
      <c r="C4816" s="6">
        <v>20.478950000000001</v>
      </c>
      <c r="D4816" s="6">
        <v>65</v>
      </c>
      <c r="E4816" s="6">
        <v>0</v>
      </c>
      <c r="F4816" s="6">
        <v>0</v>
      </c>
      <c r="G4816" s="6">
        <v>11</v>
      </c>
      <c r="H4816" s="6" t="s">
        <v>35270</v>
      </c>
      <c r="I4816" s="6">
        <v>532.125</v>
      </c>
      <c r="J4816" s="2">
        <f t="shared" si="75"/>
        <v>43748.808774826386</v>
      </c>
    </row>
    <row r="4817" spans="1:10" x14ac:dyDescent="0.25">
      <c r="A4817" s="7" t="s">
        <v>35271</v>
      </c>
      <c r="B4817" s="8">
        <v>393.75</v>
      </c>
      <c r="C4817" s="8">
        <v>20.478950000000001</v>
      </c>
      <c r="D4817" s="8">
        <v>67</v>
      </c>
      <c r="E4817" s="8">
        <v>0</v>
      </c>
      <c r="F4817" s="8">
        <v>0</v>
      </c>
      <c r="G4817" s="8">
        <v>6</v>
      </c>
      <c r="H4817" s="8" t="s">
        <v>35272</v>
      </c>
      <c r="I4817" s="8">
        <v>526.6875</v>
      </c>
      <c r="J4817" s="3">
        <f t="shared" si="75"/>
        <v>43748.808858287033</v>
      </c>
    </row>
    <row r="4818" spans="1:10" x14ac:dyDescent="0.25">
      <c r="A4818" s="5" t="s">
        <v>35273</v>
      </c>
      <c r="B4818" s="6">
        <v>393.75</v>
      </c>
      <c r="C4818" s="6">
        <v>20.478950000000001</v>
      </c>
      <c r="D4818" s="6">
        <v>65</v>
      </c>
      <c r="E4818" s="6">
        <v>0</v>
      </c>
      <c r="F4818" s="6">
        <v>0</v>
      </c>
      <c r="G4818" s="6">
        <v>17</v>
      </c>
      <c r="H4818" s="6" t="s">
        <v>35274</v>
      </c>
      <c r="I4818" s="6">
        <v>526.6875</v>
      </c>
      <c r="J4818" s="2">
        <f t="shared" si="75"/>
        <v>43748.808966631943</v>
      </c>
    </row>
    <row r="4819" spans="1:10" x14ac:dyDescent="0.25">
      <c r="A4819" s="7" t="s">
        <v>35275</v>
      </c>
      <c r="B4819" s="8">
        <v>393.75</v>
      </c>
      <c r="C4819" s="8">
        <v>20.478950000000001</v>
      </c>
      <c r="D4819" s="8">
        <v>68</v>
      </c>
      <c r="E4819" s="8">
        <v>0</v>
      </c>
      <c r="F4819" s="8">
        <v>0</v>
      </c>
      <c r="G4819" s="8">
        <v>10</v>
      </c>
      <c r="H4819" s="8" t="s">
        <v>35276</v>
      </c>
      <c r="I4819" s="8">
        <v>526.6875</v>
      </c>
      <c r="J4819" s="3">
        <f t="shared" si="75"/>
        <v>43748.80904915509</v>
      </c>
    </row>
    <row r="4820" spans="1:10" x14ac:dyDescent="0.25">
      <c r="A4820" s="5" t="s">
        <v>35277</v>
      </c>
      <c r="B4820" s="6">
        <v>393.75</v>
      </c>
      <c r="C4820" s="6">
        <v>20.478950000000001</v>
      </c>
      <c r="D4820" s="6">
        <v>68</v>
      </c>
      <c r="E4820" s="6">
        <v>0</v>
      </c>
      <c r="F4820" s="6">
        <v>0</v>
      </c>
      <c r="G4820" s="6">
        <v>16</v>
      </c>
      <c r="H4820" s="6" t="s">
        <v>35278</v>
      </c>
      <c r="I4820" s="6">
        <v>526.6875</v>
      </c>
      <c r="J4820" s="2">
        <f t="shared" si="75"/>
        <v>43748.809120821759</v>
      </c>
    </row>
    <row r="4821" spans="1:10" x14ac:dyDescent="0.25">
      <c r="A4821" s="7" t="s">
        <v>35279</v>
      </c>
      <c r="B4821" s="8">
        <v>393.75</v>
      </c>
      <c r="C4821" s="8">
        <v>20.478950000000001</v>
      </c>
      <c r="D4821" s="8">
        <v>64</v>
      </c>
      <c r="E4821" s="8">
        <v>0</v>
      </c>
      <c r="F4821" s="8">
        <v>0</v>
      </c>
      <c r="G4821" s="8">
        <v>14</v>
      </c>
      <c r="H4821" s="8" t="s">
        <v>35280</v>
      </c>
      <c r="I4821" s="8">
        <v>526.6875</v>
      </c>
      <c r="J4821" s="3">
        <f t="shared" si="75"/>
        <v>43748.809204155092</v>
      </c>
    </row>
    <row r="4822" spans="1:10" x14ac:dyDescent="0.25">
      <c r="A4822" s="5" t="s">
        <v>35281</v>
      </c>
      <c r="B4822" s="6">
        <v>393.75</v>
      </c>
      <c r="C4822" s="6">
        <v>20.478950000000001</v>
      </c>
      <c r="D4822" s="6">
        <v>65</v>
      </c>
      <c r="E4822" s="6">
        <v>0</v>
      </c>
      <c r="F4822" s="6">
        <v>0</v>
      </c>
      <c r="G4822" s="6">
        <v>14</v>
      </c>
      <c r="H4822" s="6" t="s">
        <v>35282</v>
      </c>
      <c r="I4822" s="6">
        <v>526.6875</v>
      </c>
      <c r="J4822" s="2">
        <f t="shared" si="75"/>
        <v>43748.809287719901</v>
      </c>
    </row>
    <row r="4823" spans="1:10" x14ac:dyDescent="0.25">
      <c r="A4823" s="7" t="s">
        <v>35283</v>
      </c>
      <c r="B4823" s="8">
        <v>393.75</v>
      </c>
      <c r="C4823" s="8">
        <v>20.478950000000001</v>
      </c>
      <c r="D4823" s="8">
        <v>65</v>
      </c>
      <c r="E4823" s="8">
        <v>0</v>
      </c>
      <c r="F4823" s="8">
        <v>0</v>
      </c>
      <c r="G4823" s="8">
        <v>10</v>
      </c>
      <c r="H4823" s="8" t="s">
        <v>35284</v>
      </c>
      <c r="I4823" s="8">
        <v>526.6875</v>
      </c>
      <c r="J4823" s="3">
        <f t="shared" si="75"/>
        <v>43748.809371157404</v>
      </c>
    </row>
    <row r="4824" spans="1:10" x14ac:dyDescent="0.25">
      <c r="A4824" s="5" t="s">
        <v>35285</v>
      </c>
      <c r="B4824" s="6">
        <v>393.75</v>
      </c>
      <c r="C4824" s="6">
        <v>20.478950000000001</v>
      </c>
      <c r="D4824" s="6">
        <v>65</v>
      </c>
      <c r="E4824" s="6">
        <v>0</v>
      </c>
      <c r="F4824" s="6">
        <v>0</v>
      </c>
      <c r="G4824" s="6">
        <v>21</v>
      </c>
      <c r="H4824" s="6" t="s">
        <v>35286</v>
      </c>
      <c r="I4824" s="6">
        <v>526.6875</v>
      </c>
      <c r="J4824" s="2">
        <f t="shared" si="75"/>
        <v>43748.809454502312</v>
      </c>
    </row>
    <row r="4825" spans="1:10" x14ac:dyDescent="0.25">
      <c r="A4825" s="7" t="s">
        <v>35287</v>
      </c>
      <c r="B4825" s="8">
        <v>393.75</v>
      </c>
      <c r="C4825" s="8">
        <v>20.478950000000001</v>
      </c>
      <c r="D4825" s="8">
        <v>65</v>
      </c>
      <c r="E4825" s="8">
        <v>0</v>
      </c>
      <c r="F4825" s="8">
        <v>0</v>
      </c>
      <c r="G4825" s="8">
        <v>6</v>
      </c>
      <c r="H4825" s="8" t="s">
        <v>35288</v>
      </c>
      <c r="I4825" s="8">
        <v>526.6875</v>
      </c>
      <c r="J4825" s="3">
        <f t="shared" si="75"/>
        <v>43748.809537835645</v>
      </c>
    </row>
    <row r="4826" spans="1:10" x14ac:dyDescent="0.25">
      <c r="A4826" s="5" t="s">
        <v>35289</v>
      </c>
      <c r="B4826" s="6">
        <v>393.75</v>
      </c>
      <c r="C4826" s="6">
        <v>20.478950000000001</v>
      </c>
      <c r="D4826" s="6">
        <v>65</v>
      </c>
      <c r="E4826" s="6">
        <v>0</v>
      </c>
      <c r="F4826" s="6">
        <v>0</v>
      </c>
      <c r="G4826" s="6">
        <v>11</v>
      </c>
      <c r="H4826" s="6" t="s">
        <v>35290</v>
      </c>
      <c r="I4826" s="6">
        <v>526.6875</v>
      </c>
      <c r="J4826" s="2">
        <f t="shared" si="75"/>
        <v>43748.809609606476</v>
      </c>
    </row>
    <row r="4827" spans="1:10" x14ac:dyDescent="0.25">
      <c r="A4827" s="7" t="s">
        <v>35291</v>
      </c>
      <c r="B4827" s="8">
        <v>393.75</v>
      </c>
      <c r="C4827" s="8">
        <v>20.478950000000001</v>
      </c>
      <c r="D4827" s="8">
        <v>66</v>
      </c>
      <c r="E4827" s="8">
        <v>0</v>
      </c>
      <c r="F4827" s="8">
        <v>0</v>
      </c>
      <c r="G4827" s="8">
        <v>11</v>
      </c>
      <c r="H4827" s="8" t="s">
        <v>35292</v>
      </c>
      <c r="I4827" s="8">
        <v>526.6875</v>
      </c>
      <c r="J4827" s="3">
        <f t="shared" si="75"/>
        <v>43748.809693148149</v>
      </c>
    </row>
    <row r="4828" spans="1:10" x14ac:dyDescent="0.25">
      <c r="A4828" s="5" t="s">
        <v>35293</v>
      </c>
      <c r="B4828" s="6">
        <v>393.75</v>
      </c>
      <c r="C4828" s="6">
        <v>20.478950000000001</v>
      </c>
      <c r="D4828" s="6">
        <v>65</v>
      </c>
      <c r="E4828" s="6">
        <v>0</v>
      </c>
      <c r="F4828" s="6">
        <v>0</v>
      </c>
      <c r="G4828" s="6">
        <v>10</v>
      </c>
      <c r="H4828" s="6" t="s">
        <v>35294</v>
      </c>
      <c r="I4828" s="6">
        <v>526.6875</v>
      </c>
      <c r="J4828" s="2">
        <f t="shared" si="75"/>
        <v>43748.80977659722</v>
      </c>
    </row>
    <row r="4829" spans="1:10" x14ac:dyDescent="0.25">
      <c r="A4829" s="7" t="s">
        <v>35295</v>
      </c>
      <c r="B4829" s="8">
        <v>396.875</v>
      </c>
      <c r="C4829" s="8">
        <v>20.478950000000001</v>
      </c>
      <c r="D4829" s="8">
        <v>65</v>
      </c>
      <c r="E4829" s="8">
        <v>0</v>
      </c>
      <c r="F4829" s="8">
        <v>0</v>
      </c>
      <c r="G4829" s="8">
        <v>11</v>
      </c>
      <c r="H4829" s="8" t="s">
        <v>35296</v>
      </c>
      <c r="I4829" s="8">
        <v>527.4375</v>
      </c>
      <c r="J4829" s="3">
        <f t="shared" si="75"/>
        <v>43748.809860069443</v>
      </c>
    </row>
    <row r="4830" spans="1:10" x14ac:dyDescent="0.25">
      <c r="A4830" s="5" t="s">
        <v>35297</v>
      </c>
      <c r="B4830" s="6">
        <v>396.875</v>
      </c>
      <c r="C4830" s="6">
        <v>20.478950000000001</v>
      </c>
      <c r="D4830" s="6">
        <v>65</v>
      </c>
      <c r="E4830" s="6">
        <v>0</v>
      </c>
      <c r="F4830" s="6">
        <v>0</v>
      </c>
      <c r="G4830" s="6">
        <v>11</v>
      </c>
      <c r="H4830" s="6" t="s">
        <v>35298</v>
      </c>
      <c r="I4830" s="6">
        <v>527.625</v>
      </c>
      <c r="J4830" s="2">
        <f t="shared" si="75"/>
        <v>43748.809943611108</v>
      </c>
    </row>
    <row r="4831" spans="1:10" x14ac:dyDescent="0.25">
      <c r="A4831" s="7" t="s">
        <v>35299</v>
      </c>
      <c r="B4831" s="8">
        <v>396.875</v>
      </c>
      <c r="C4831" s="8">
        <v>20.478950000000001</v>
      </c>
      <c r="D4831" s="8">
        <v>64</v>
      </c>
      <c r="E4831" s="8">
        <v>0</v>
      </c>
      <c r="F4831" s="8">
        <v>0</v>
      </c>
      <c r="G4831" s="8">
        <v>13</v>
      </c>
      <c r="H4831" s="8" t="s">
        <v>35300</v>
      </c>
      <c r="I4831" s="8">
        <v>527.625</v>
      </c>
      <c r="J4831" s="3">
        <f t="shared" si="75"/>
        <v>43748.810039108794</v>
      </c>
    </row>
    <row r="4832" spans="1:10" x14ac:dyDescent="0.25">
      <c r="A4832" s="5" t="s">
        <v>35301</v>
      </c>
      <c r="B4832" s="6">
        <v>393.75</v>
      </c>
      <c r="C4832" s="6">
        <v>20.478950000000001</v>
      </c>
      <c r="D4832" s="6">
        <v>64</v>
      </c>
      <c r="E4832" s="6">
        <v>0</v>
      </c>
      <c r="F4832" s="6">
        <v>0</v>
      </c>
      <c r="G4832" s="6">
        <v>22</v>
      </c>
      <c r="H4832" s="6" t="s">
        <v>35302</v>
      </c>
      <c r="I4832" s="6">
        <v>526.6875</v>
      </c>
      <c r="J4832" s="2">
        <f t="shared" si="75"/>
        <v>43748.810122546296</v>
      </c>
    </row>
    <row r="4833" spans="1:10" x14ac:dyDescent="0.25">
      <c r="A4833" s="7" t="s">
        <v>35303</v>
      </c>
      <c r="B4833" s="8">
        <v>393.75</v>
      </c>
      <c r="C4833" s="8">
        <v>20.478950000000001</v>
      </c>
      <c r="D4833" s="8">
        <v>64</v>
      </c>
      <c r="E4833" s="8">
        <v>0</v>
      </c>
      <c r="F4833" s="8">
        <v>0</v>
      </c>
      <c r="G4833" s="8">
        <v>11</v>
      </c>
      <c r="H4833" s="8" t="s">
        <v>35304</v>
      </c>
      <c r="I4833" s="8">
        <v>526.6875</v>
      </c>
      <c r="J4833" s="3">
        <f t="shared" si="75"/>
        <v>43748.810205995367</v>
      </c>
    </row>
    <row r="4834" spans="1:10" x14ac:dyDescent="0.25">
      <c r="A4834" s="5" t="s">
        <v>35305</v>
      </c>
      <c r="B4834" s="6">
        <v>393.75</v>
      </c>
      <c r="C4834" s="6">
        <v>20.478950000000001</v>
      </c>
      <c r="D4834" s="6">
        <v>65</v>
      </c>
      <c r="E4834" s="6">
        <v>0</v>
      </c>
      <c r="F4834" s="6">
        <v>0</v>
      </c>
      <c r="G4834" s="6">
        <v>18</v>
      </c>
      <c r="H4834" s="6" t="s">
        <v>35306</v>
      </c>
      <c r="I4834" s="6">
        <v>526.6875</v>
      </c>
      <c r="J4834" s="2">
        <f t="shared" si="75"/>
        <v>43748.810289456014</v>
      </c>
    </row>
    <row r="4835" spans="1:10" x14ac:dyDescent="0.25">
      <c r="A4835" s="7" t="s">
        <v>35307</v>
      </c>
      <c r="B4835" s="8">
        <v>396.875</v>
      </c>
      <c r="C4835" s="8">
        <v>20.478950000000001</v>
      </c>
      <c r="D4835" s="8">
        <v>65</v>
      </c>
      <c r="E4835" s="8">
        <v>0</v>
      </c>
      <c r="F4835" s="8">
        <v>0</v>
      </c>
      <c r="G4835" s="8">
        <v>11</v>
      </c>
      <c r="H4835" s="8" t="s">
        <v>35308</v>
      </c>
      <c r="I4835" s="8">
        <v>527.4375</v>
      </c>
      <c r="J4835" s="3">
        <f t="shared" si="75"/>
        <v>43748.810372916669</v>
      </c>
    </row>
    <row r="4836" spans="1:10" x14ac:dyDescent="0.25">
      <c r="A4836" s="5" t="s">
        <v>35309</v>
      </c>
      <c r="B4836" s="6">
        <v>396.875</v>
      </c>
      <c r="C4836" s="6">
        <v>20.478950000000001</v>
      </c>
      <c r="D4836" s="6">
        <v>65</v>
      </c>
      <c r="E4836" s="6">
        <v>0</v>
      </c>
      <c r="F4836" s="6">
        <v>0</v>
      </c>
      <c r="G4836" s="6">
        <v>12</v>
      </c>
      <c r="H4836" s="6" t="s">
        <v>35310</v>
      </c>
      <c r="I4836" s="6">
        <v>527.4375</v>
      </c>
      <c r="J4836" s="2">
        <f t="shared" si="75"/>
        <v>43748.810456354164</v>
      </c>
    </row>
    <row r="4837" spans="1:10" x14ac:dyDescent="0.25">
      <c r="A4837" s="7" t="s">
        <v>35311</v>
      </c>
      <c r="B4837" s="8">
        <v>396.875</v>
      </c>
      <c r="C4837" s="8">
        <v>20.478950000000001</v>
      </c>
      <c r="D4837" s="8">
        <v>65</v>
      </c>
      <c r="E4837" s="8">
        <v>0</v>
      </c>
      <c r="F4837" s="8">
        <v>0</v>
      </c>
      <c r="G4837" s="8">
        <v>11</v>
      </c>
      <c r="H4837" s="8" t="s">
        <v>35312</v>
      </c>
      <c r="I4837" s="8">
        <v>527.4375</v>
      </c>
      <c r="J4837" s="3">
        <f t="shared" si="75"/>
        <v>43748.810539907405</v>
      </c>
    </row>
    <row r="4838" spans="1:10" x14ac:dyDescent="0.25">
      <c r="A4838" s="5" t="s">
        <v>35313</v>
      </c>
      <c r="B4838" s="6">
        <v>396.875</v>
      </c>
      <c r="C4838" s="6">
        <v>20.478950000000001</v>
      </c>
      <c r="D4838" s="6">
        <v>67</v>
      </c>
      <c r="E4838" s="6">
        <v>0</v>
      </c>
      <c r="F4838" s="6">
        <v>0</v>
      </c>
      <c r="G4838" s="6">
        <v>7</v>
      </c>
      <c r="H4838" s="6" t="s">
        <v>35314</v>
      </c>
      <c r="I4838" s="6">
        <v>527.4375</v>
      </c>
      <c r="J4838" s="2">
        <f t="shared" si="75"/>
        <v>43748.810623020829</v>
      </c>
    </row>
    <row r="4839" spans="1:10" x14ac:dyDescent="0.25">
      <c r="A4839" s="7" t="s">
        <v>35315</v>
      </c>
      <c r="B4839" s="8">
        <v>396.875</v>
      </c>
      <c r="C4839" s="8">
        <v>20.478950000000001</v>
      </c>
      <c r="D4839" s="8">
        <v>67</v>
      </c>
      <c r="E4839" s="8">
        <v>0</v>
      </c>
      <c r="F4839" s="8">
        <v>0</v>
      </c>
      <c r="G4839" s="8">
        <v>6</v>
      </c>
      <c r="H4839" s="8" t="s">
        <v>35316</v>
      </c>
      <c r="I4839" s="8">
        <v>527.4375</v>
      </c>
      <c r="J4839" s="3">
        <f t="shared" si="75"/>
        <v>43748.810694780092</v>
      </c>
    </row>
    <row r="4840" spans="1:10" x14ac:dyDescent="0.25">
      <c r="A4840" s="5" t="s">
        <v>35317</v>
      </c>
      <c r="B4840" s="6">
        <v>396.875</v>
      </c>
      <c r="C4840" s="6">
        <v>20.478950000000001</v>
      </c>
      <c r="D4840" s="6">
        <v>65</v>
      </c>
      <c r="E4840" s="6">
        <v>0</v>
      </c>
      <c r="F4840" s="6">
        <v>0</v>
      </c>
      <c r="G4840" s="6">
        <v>16</v>
      </c>
      <c r="H4840" s="6" t="s">
        <v>35318</v>
      </c>
      <c r="I4840" s="6">
        <v>527.4375</v>
      </c>
      <c r="J4840" s="2">
        <f t="shared" si="75"/>
        <v>43748.810778587962</v>
      </c>
    </row>
    <row r="4841" spans="1:10" x14ac:dyDescent="0.25">
      <c r="A4841" s="7" t="s">
        <v>35319</v>
      </c>
      <c r="B4841" s="8">
        <v>396.875</v>
      </c>
      <c r="C4841" s="8">
        <v>20.478950000000001</v>
      </c>
      <c r="D4841" s="8">
        <v>65</v>
      </c>
      <c r="E4841" s="8">
        <v>0</v>
      </c>
      <c r="F4841" s="8">
        <v>0</v>
      </c>
      <c r="G4841" s="8">
        <v>6</v>
      </c>
      <c r="H4841" s="8" t="s">
        <v>35320</v>
      </c>
      <c r="I4841" s="8">
        <v>527.4375</v>
      </c>
      <c r="J4841" s="3">
        <f t="shared" si="75"/>
        <v>43748.810861898142</v>
      </c>
    </row>
    <row r="4842" spans="1:10" x14ac:dyDescent="0.25">
      <c r="A4842" s="5" t="s">
        <v>35321</v>
      </c>
      <c r="B4842" s="6">
        <v>396.875</v>
      </c>
      <c r="C4842" s="6">
        <v>20.478950000000001</v>
      </c>
      <c r="D4842" s="6">
        <v>66</v>
      </c>
      <c r="E4842" s="6">
        <v>0</v>
      </c>
      <c r="F4842" s="6">
        <v>0</v>
      </c>
      <c r="G4842" s="6">
        <v>8</v>
      </c>
      <c r="H4842" s="6" t="s">
        <v>35322</v>
      </c>
      <c r="I4842" s="6">
        <v>527.4375</v>
      </c>
      <c r="J4842" s="2">
        <f t="shared" si="75"/>
        <v>43748.810945231475</v>
      </c>
    </row>
    <row r="4843" spans="1:10" x14ac:dyDescent="0.25">
      <c r="A4843" s="7" t="s">
        <v>35323</v>
      </c>
      <c r="B4843" s="8">
        <v>396.875</v>
      </c>
      <c r="C4843" s="8">
        <v>20.478950000000001</v>
      </c>
      <c r="D4843" s="8">
        <v>66</v>
      </c>
      <c r="E4843" s="8">
        <v>0</v>
      </c>
      <c r="F4843" s="8">
        <v>0</v>
      </c>
      <c r="G4843" s="8">
        <v>13</v>
      </c>
      <c r="H4843" s="8" t="s">
        <v>35324</v>
      </c>
      <c r="I4843" s="8">
        <v>527.4375</v>
      </c>
      <c r="J4843" s="3">
        <f t="shared" si="75"/>
        <v>43748.811016990738</v>
      </c>
    </row>
    <row r="4844" spans="1:10" x14ac:dyDescent="0.25">
      <c r="A4844" s="5" t="s">
        <v>35325</v>
      </c>
      <c r="B4844" s="6">
        <v>415.625</v>
      </c>
      <c r="C4844" s="6">
        <v>20.478950000000001</v>
      </c>
      <c r="D4844" s="6">
        <v>68</v>
      </c>
      <c r="E4844" s="6">
        <v>0</v>
      </c>
      <c r="F4844" s="6">
        <v>0</v>
      </c>
      <c r="G4844" s="6">
        <v>12</v>
      </c>
      <c r="H4844" s="6" t="s">
        <v>35326</v>
      </c>
      <c r="I4844" s="6">
        <v>533.0625</v>
      </c>
      <c r="J4844" s="2">
        <f t="shared" si="75"/>
        <v>43748.811100462961</v>
      </c>
    </row>
    <row r="4845" spans="1:10" x14ac:dyDescent="0.25">
      <c r="A4845" s="7" t="s">
        <v>35327</v>
      </c>
      <c r="B4845" s="8">
        <v>396.875</v>
      </c>
      <c r="C4845" s="8">
        <v>20.478950000000001</v>
      </c>
      <c r="D4845" s="8">
        <v>68</v>
      </c>
      <c r="E4845" s="8">
        <v>0</v>
      </c>
      <c r="F4845" s="8">
        <v>0</v>
      </c>
      <c r="G4845" s="8">
        <v>14</v>
      </c>
      <c r="H4845" s="8" t="s">
        <v>35328</v>
      </c>
      <c r="I4845" s="8">
        <v>527.4375</v>
      </c>
      <c r="J4845" s="3">
        <f t="shared" si="75"/>
        <v>43748.81117173611</v>
      </c>
    </row>
    <row r="4846" spans="1:10" x14ac:dyDescent="0.25">
      <c r="A4846" s="5" t="s">
        <v>35329</v>
      </c>
      <c r="B4846" s="6">
        <v>396.875</v>
      </c>
      <c r="C4846" s="6">
        <v>20.478950000000001</v>
      </c>
      <c r="D4846" s="6">
        <v>68</v>
      </c>
      <c r="E4846" s="6">
        <v>0</v>
      </c>
      <c r="F4846" s="6">
        <v>0</v>
      </c>
      <c r="G4846" s="6">
        <v>1</v>
      </c>
      <c r="H4846" s="6" t="s">
        <v>35330</v>
      </c>
      <c r="I4846" s="6">
        <v>527.4375</v>
      </c>
      <c r="J4846" s="2">
        <f t="shared" si="75"/>
        <v>43748.811266886572</v>
      </c>
    </row>
    <row r="4847" spans="1:10" x14ac:dyDescent="0.25">
      <c r="A4847" s="7" t="s">
        <v>35331</v>
      </c>
      <c r="B4847" s="8">
        <v>396.875</v>
      </c>
      <c r="C4847" s="8">
        <v>20.478950000000001</v>
      </c>
      <c r="D4847" s="8">
        <v>68</v>
      </c>
      <c r="E4847" s="8">
        <v>0</v>
      </c>
      <c r="F4847" s="8">
        <v>0</v>
      </c>
      <c r="G4847" s="8">
        <v>11</v>
      </c>
      <c r="H4847" s="8" t="s">
        <v>35332</v>
      </c>
      <c r="I4847" s="8">
        <v>527.4375</v>
      </c>
      <c r="J4847" s="3">
        <f t="shared" si="75"/>
        <v>43748.811350914351</v>
      </c>
    </row>
    <row r="4848" spans="1:10" x14ac:dyDescent="0.25">
      <c r="A4848" s="5" t="s">
        <v>35333</v>
      </c>
      <c r="B4848" s="6">
        <v>396.875</v>
      </c>
      <c r="C4848" s="6">
        <v>20.478950000000001</v>
      </c>
      <c r="D4848" s="6">
        <v>68</v>
      </c>
      <c r="E4848" s="6">
        <v>0</v>
      </c>
      <c r="F4848" s="6">
        <v>0</v>
      </c>
      <c r="G4848" s="6">
        <v>9</v>
      </c>
      <c r="H4848" s="6" t="s">
        <v>35334</v>
      </c>
      <c r="I4848" s="6">
        <v>527.4375</v>
      </c>
      <c r="J4848" s="2">
        <f t="shared" si="75"/>
        <v>43748.811434120369</v>
      </c>
    </row>
    <row r="4849" spans="1:10" x14ac:dyDescent="0.25">
      <c r="A4849" s="7" t="s">
        <v>35335</v>
      </c>
      <c r="B4849" s="8">
        <v>393.75</v>
      </c>
      <c r="C4849" s="8">
        <v>20.478950000000001</v>
      </c>
      <c r="D4849" s="8">
        <v>68</v>
      </c>
      <c r="E4849" s="8">
        <v>0</v>
      </c>
      <c r="F4849" s="8">
        <v>0</v>
      </c>
      <c r="G4849" s="8">
        <v>11</v>
      </c>
      <c r="H4849" s="8" t="s">
        <v>35336</v>
      </c>
      <c r="I4849" s="8">
        <v>526.6875</v>
      </c>
      <c r="J4849" s="3">
        <f t="shared" si="75"/>
        <v>43748.811505879632</v>
      </c>
    </row>
    <row r="4850" spans="1:10" x14ac:dyDescent="0.25">
      <c r="A4850" s="5" t="s">
        <v>35337</v>
      </c>
      <c r="B4850" s="6">
        <v>393.75</v>
      </c>
      <c r="C4850" s="6">
        <v>20.478950000000001</v>
      </c>
      <c r="D4850" s="6">
        <v>68</v>
      </c>
      <c r="E4850" s="6">
        <v>0</v>
      </c>
      <c r="F4850" s="6">
        <v>0</v>
      </c>
      <c r="G4850" s="6">
        <v>5</v>
      </c>
      <c r="H4850" s="6" t="s">
        <v>35338</v>
      </c>
      <c r="I4850" s="6">
        <v>526.6875</v>
      </c>
      <c r="J4850" s="2">
        <f t="shared" si="75"/>
        <v>43748.811589444442</v>
      </c>
    </row>
    <row r="4851" spans="1:10" x14ac:dyDescent="0.25">
      <c r="A4851" s="7" t="s">
        <v>35339</v>
      </c>
      <c r="B4851" s="8">
        <v>393.75</v>
      </c>
      <c r="C4851" s="8">
        <v>20.478950000000001</v>
      </c>
      <c r="D4851" s="8">
        <v>67</v>
      </c>
      <c r="E4851" s="8">
        <v>0</v>
      </c>
      <c r="F4851" s="8">
        <v>0</v>
      </c>
      <c r="G4851" s="8">
        <v>9</v>
      </c>
      <c r="H4851" s="8" t="s">
        <v>35340</v>
      </c>
      <c r="I4851" s="8">
        <v>526.6875</v>
      </c>
      <c r="J4851" s="3">
        <f t="shared" si="75"/>
        <v>43748.811672905089</v>
      </c>
    </row>
    <row r="4852" spans="1:10" x14ac:dyDescent="0.25">
      <c r="A4852" s="5" t="s">
        <v>35341</v>
      </c>
      <c r="B4852" s="6">
        <v>393.75</v>
      </c>
      <c r="C4852" s="6">
        <v>20.478950000000001</v>
      </c>
      <c r="D4852" s="6">
        <v>67</v>
      </c>
      <c r="E4852" s="6">
        <v>0</v>
      </c>
      <c r="F4852" s="6">
        <v>0</v>
      </c>
      <c r="G4852" s="6">
        <v>15</v>
      </c>
      <c r="H4852" s="6" t="s">
        <v>35342</v>
      </c>
      <c r="I4852" s="6">
        <v>526.6875</v>
      </c>
      <c r="J4852" s="2">
        <f t="shared" si="75"/>
        <v>43748.811768344902</v>
      </c>
    </row>
    <row r="4853" spans="1:10" x14ac:dyDescent="0.25">
      <c r="A4853" s="7" t="s">
        <v>35343</v>
      </c>
      <c r="B4853" s="8">
        <v>393.75</v>
      </c>
      <c r="C4853" s="8">
        <v>20.478950000000001</v>
      </c>
      <c r="D4853" s="8">
        <v>68</v>
      </c>
      <c r="E4853" s="8">
        <v>0</v>
      </c>
      <c r="F4853" s="8">
        <v>0</v>
      </c>
      <c r="G4853" s="8">
        <v>11</v>
      </c>
      <c r="H4853" s="8" t="s">
        <v>35344</v>
      </c>
      <c r="I4853" s="8">
        <v>526.6875</v>
      </c>
      <c r="J4853" s="3">
        <f t="shared" si="75"/>
        <v>43748.811839895832</v>
      </c>
    </row>
    <row r="4854" spans="1:10" x14ac:dyDescent="0.25">
      <c r="A4854" s="5" t="s">
        <v>35345</v>
      </c>
      <c r="B4854" s="6">
        <v>393.75</v>
      </c>
      <c r="C4854" s="6">
        <v>20.478950000000001</v>
      </c>
      <c r="D4854" s="6">
        <v>67</v>
      </c>
      <c r="E4854" s="6">
        <v>0</v>
      </c>
      <c r="F4854" s="6">
        <v>0</v>
      </c>
      <c r="G4854" s="6">
        <v>16</v>
      </c>
      <c r="H4854" s="6" t="s">
        <v>35346</v>
      </c>
      <c r="I4854" s="6">
        <v>526.6875</v>
      </c>
      <c r="J4854" s="2">
        <f t="shared" si="75"/>
        <v>43748.811923148147</v>
      </c>
    </row>
    <row r="4855" spans="1:10" x14ac:dyDescent="0.25">
      <c r="A4855" s="7" t="s">
        <v>35347</v>
      </c>
      <c r="B4855" s="8">
        <v>393.75</v>
      </c>
      <c r="C4855" s="8">
        <v>20.478950000000001</v>
      </c>
      <c r="D4855" s="8">
        <v>67</v>
      </c>
      <c r="E4855" s="8">
        <v>0</v>
      </c>
      <c r="F4855" s="8">
        <v>0</v>
      </c>
      <c r="G4855" s="8">
        <v>10</v>
      </c>
      <c r="H4855" s="8" t="s">
        <v>35348</v>
      </c>
      <c r="I4855" s="8">
        <v>526.6875</v>
      </c>
      <c r="J4855" s="3">
        <f t="shared" si="75"/>
        <v>43748.811994733791</v>
      </c>
    </row>
    <row r="4856" spans="1:10" x14ac:dyDescent="0.25">
      <c r="A4856" s="5" t="s">
        <v>35349</v>
      </c>
      <c r="B4856" s="6">
        <v>393.75</v>
      </c>
      <c r="C4856" s="6">
        <v>20.478950000000001</v>
      </c>
      <c r="D4856" s="6">
        <v>68</v>
      </c>
      <c r="E4856" s="6">
        <v>0</v>
      </c>
      <c r="F4856" s="6">
        <v>0</v>
      </c>
      <c r="G4856" s="6">
        <v>13</v>
      </c>
      <c r="H4856" s="6" t="s">
        <v>35350</v>
      </c>
      <c r="I4856" s="6">
        <v>526.6875</v>
      </c>
      <c r="J4856" s="2">
        <f t="shared" si="75"/>
        <v>43748.812078553237</v>
      </c>
    </row>
    <row r="4857" spans="1:10" x14ac:dyDescent="0.25">
      <c r="A4857" s="7" t="s">
        <v>35351</v>
      </c>
      <c r="B4857" s="8">
        <v>393.75</v>
      </c>
      <c r="C4857" s="8">
        <v>20.478950000000001</v>
      </c>
      <c r="D4857" s="8">
        <v>67</v>
      </c>
      <c r="E4857" s="8">
        <v>0</v>
      </c>
      <c r="F4857" s="8">
        <v>0</v>
      </c>
      <c r="G4857" s="8">
        <v>4</v>
      </c>
      <c r="H4857" s="8" t="s">
        <v>35352</v>
      </c>
      <c r="I4857" s="8">
        <v>526.6875</v>
      </c>
      <c r="J4857" s="3">
        <f t="shared" si="75"/>
        <v>43748.812172743048</v>
      </c>
    </row>
    <row r="4858" spans="1:10" x14ac:dyDescent="0.25">
      <c r="A4858" s="5" t="s">
        <v>35353</v>
      </c>
      <c r="B4858" s="6">
        <v>393.75</v>
      </c>
      <c r="C4858" s="6">
        <v>20.478950000000001</v>
      </c>
      <c r="D4858" s="6">
        <v>67</v>
      </c>
      <c r="E4858" s="6">
        <v>0</v>
      </c>
      <c r="F4858" s="6">
        <v>0</v>
      </c>
      <c r="G4858" s="6">
        <v>10</v>
      </c>
      <c r="H4858" s="6" t="s">
        <v>35354</v>
      </c>
      <c r="I4858" s="6">
        <v>526.6875</v>
      </c>
      <c r="J4858" s="2">
        <f t="shared" si="75"/>
        <v>43748.812257245365</v>
      </c>
    </row>
    <row r="4859" spans="1:10" x14ac:dyDescent="0.25">
      <c r="A4859" s="7" t="s">
        <v>35355</v>
      </c>
      <c r="B4859" s="8">
        <v>393.75</v>
      </c>
      <c r="C4859" s="8">
        <v>20.478950000000001</v>
      </c>
      <c r="D4859" s="8">
        <v>67</v>
      </c>
      <c r="E4859" s="8">
        <v>0</v>
      </c>
      <c r="F4859" s="8">
        <v>0</v>
      </c>
      <c r="G4859" s="8">
        <v>10</v>
      </c>
      <c r="H4859" s="8" t="s">
        <v>35356</v>
      </c>
      <c r="I4859" s="8">
        <v>526.6875</v>
      </c>
      <c r="J4859" s="3">
        <f t="shared" si="75"/>
        <v>43748.812352627312</v>
      </c>
    </row>
    <row r="4860" spans="1:10" x14ac:dyDescent="0.25">
      <c r="A4860" s="5" t="s">
        <v>35357</v>
      </c>
      <c r="B4860" s="6">
        <v>393.75</v>
      </c>
      <c r="C4860" s="6">
        <v>20.478950000000001</v>
      </c>
      <c r="D4860" s="6">
        <v>68</v>
      </c>
      <c r="E4860" s="6">
        <v>0</v>
      </c>
      <c r="F4860" s="6">
        <v>0</v>
      </c>
      <c r="G4860" s="6">
        <v>7</v>
      </c>
      <c r="H4860" s="6" t="s">
        <v>35358</v>
      </c>
      <c r="I4860" s="6">
        <v>526.6875</v>
      </c>
      <c r="J4860" s="2">
        <f t="shared" si="75"/>
        <v>43748.812436180553</v>
      </c>
    </row>
    <row r="4861" spans="1:10" x14ac:dyDescent="0.25">
      <c r="A4861" s="7" t="s">
        <v>35359</v>
      </c>
      <c r="B4861" s="8">
        <v>393.75</v>
      </c>
      <c r="C4861" s="8">
        <v>20.478950000000001</v>
      </c>
      <c r="D4861" s="8">
        <v>67</v>
      </c>
      <c r="E4861" s="8">
        <v>0</v>
      </c>
      <c r="F4861" s="8">
        <v>0</v>
      </c>
      <c r="G4861" s="8">
        <v>10</v>
      </c>
      <c r="H4861" s="8" t="s">
        <v>35360</v>
      </c>
      <c r="I4861" s="8">
        <v>526.6875</v>
      </c>
      <c r="J4861" s="3">
        <f t="shared" si="75"/>
        <v>43748.812519421299</v>
      </c>
    </row>
    <row r="4862" spans="1:10" x14ac:dyDescent="0.25">
      <c r="A4862" s="5" t="s">
        <v>35361</v>
      </c>
      <c r="B4862" s="6">
        <v>393.75</v>
      </c>
      <c r="C4862" s="6">
        <v>20.478950000000001</v>
      </c>
      <c r="D4862" s="6">
        <v>67</v>
      </c>
      <c r="E4862" s="6">
        <v>0</v>
      </c>
      <c r="F4862" s="6">
        <v>0</v>
      </c>
      <c r="G4862" s="6">
        <v>9</v>
      </c>
      <c r="H4862" s="6" t="s">
        <v>35362</v>
      </c>
      <c r="I4862" s="6">
        <v>526.6875</v>
      </c>
      <c r="J4862" s="2">
        <f t="shared" si="75"/>
        <v>43748.812590925925</v>
      </c>
    </row>
    <row r="4863" spans="1:10" x14ac:dyDescent="0.25">
      <c r="A4863" s="7" t="s">
        <v>35363</v>
      </c>
      <c r="B4863" s="8">
        <v>393.75</v>
      </c>
      <c r="C4863" s="8">
        <v>20.478950000000001</v>
      </c>
      <c r="D4863" s="8">
        <v>69</v>
      </c>
      <c r="E4863" s="8">
        <v>0</v>
      </c>
      <c r="F4863" s="8">
        <v>0</v>
      </c>
      <c r="G4863" s="8">
        <v>6</v>
      </c>
      <c r="H4863" s="8" t="s">
        <v>35364</v>
      </c>
      <c r="I4863" s="8">
        <v>526.6875</v>
      </c>
      <c r="J4863" s="3">
        <f t="shared" si="75"/>
        <v>43748.812674953697</v>
      </c>
    </row>
    <row r="4864" spans="1:10" x14ac:dyDescent="0.25">
      <c r="A4864" s="5" t="s">
        <v>35365</v>
      </c>
      <c r="B4864" s="6">
        <v>393.75</v>
      </c>
      <c r="C4864" s="6">
        <v>20.478950000000001</v>
      </c>
      <c r="D4864" s="6">
        <v>68</v>
      </c>
      <c r="E4864" s="6">
        <v>0</v>
      </c>
      <c r="F4864" s="6">
        <v>0</v>
      </c>
      <c r="G4864" s="6">
        <v>7</v>
      </c>
      <c r="H4864" s="6" t="s">
        <v>35366</v>
      </c>
      <c r="I4864" s="6">
        <v>526.6875</v>
      </c>
      <c r="J4864" s="2">
        <f t="shared" si="75"/>
        <v>43748.812758344902</v>
      </c>
    </row>
    <row r="4865" spans="1:10" x14ac:dyDescent="0.25">
      <c r="A4865" s="7" t="s">
        <v>35367</v>
      </c>
      <c r="B4865" s="8">
        <v>393.75</v>
      </c>
      <c r="C4865" s="8">
        <v>20.478950000000001</v>
      </c>
      <c r="D4865" s="8">
        <v>69</v>
      </c>
      <c r="E4865" s="8">
        <v>0</v>
      </c>
      <c r="F4865" s="8">
        <v>0</v>
      </c>
      <c r="G4865" s="8">
        <v>8</v>
      </c>
      <c r="H4865" s="8" t="s">
        <v>35368</v>
      </c>
      <c r="I4865" s="8">
        <v>526.6875</v>
      </c>
      <c r="J4865" s="3">
        <f t="shared" si="75"/>
        <v>43748.812841493054</v>
      </c>
    </row>
    <row r="4866" spans="1:10" x14ac:dyDescent="0.25">
      <c r="A4866" s="5" t="s">
        <v>35369</v>
      </c>
      <c r="B4866" s="6">
        <v>393.75</v>
      </c>
      <c r="C4866" s="6">
        <v>20.478950000000001</v>
      </c>
      <c r="D4866" s="6">
        <v>69</v>
      </c>
      <c r="E4866" s="6">
        <v>0</v>
      </c>
      <c r="F4866" s="6">
        <v>0</v>
      </c>
      <c r="G4866" s="6">
        <v>8</v>
      </c>
      <c r="H4866" s="6" t="s">
        <v>35370</v>
      </c>
      <c r="I4866" s="6">
        <v>526.6875</v>
      </c>
      <c r="J4866" s="2">
        <f t="shared" ref="J4866:J4929" si="76">(H4866/86400000)+25569+(7/24)</f>
        <v>43748.81291325231</v>
      </c>
    </row>
    <row r="4867" spans="1:10" x14ac:dyDescent="0.25">
      <c r="A4867" s="7" t="s">
        <v>35371</v>
      </c>
      <c r="B4867" s="8">
        <v>393.75</v>
      </c>
      <c r="C4867" s="8">
        <v>20.531590000000001</v>
      </c>
      <c r="D4867" s="8">
        <v>70</v>
      </c>
      <c r="E4867" s="8">
        <v>0</v>
      </c>
      <c r="F4867" s="8">
        <v>0</v>
      </c>
      <c r="G4867" s="8">
        <v>5</v>
      </c>
      <c r="H4867" s="8" t="s">
        <v>35372</v>
      </c>
      <c r="I4867" s="8">
        <v>526.6875</v>
      </c>
      <c r="J4867" s="3">
        <f t="shared" si="76"/>
        <v>43748.812996851848</v>
      </c>
    </row>
    <row r="4868" spans="1:10" x14ac:dyDescent="0.25">
      <c r="A4868" s="5" t="s">
        <v>35373</v>
      </c>
      <c r="B4868" s="6">
        <v>412.5</v>
      </c>
      <c r="C4868" s="6">
        <v>20.478950000000001</v>
      </c>
      <c r="D4868" s="6">
        <v>70</v>
      </c>
      <c r="E4868" s="6">
        <v>0</v>
      </c>
      <c r="F4868" s="6">
        <v>0</v>
      </c>
      <c r="G4868" s="6">
        <v>7</v>
      </c>
      <c r="H4868" s="6" t="s">
        <v>35374</v>
      </c>
      <c r="I4868" s="6">
        <v>532.3125</v>
      </c>
      <c r="J4868" s="2">
        <f t="shared" si="76"/>
        <v>43748.81308028935</v>
      </c>
    </row>
    <row r="4869" spans="1:10" x14ac:dyDescent="0.25">
      <c r="A4869" s="7" t="s">
        <v>35375</v>
      </c>
      <c r="B4869" s="8">
        <v>393.75</v>
      </c>
      <c r="C4869" s="8">
        <v>20.478950000000001</v>
      </c>
      <c r="D4869" s="8">
        <v>66</v>
      </c>
      <c r="E4869" s="8">
        <v>0</v>
      </c>
      <c r="F4869" s="8">
        <v>0</v>
      </c>
      <c r="G4869" s="8">
        <v>8</v>
      </c>
      <c r="H4869" s="8" t="s">
        <v>35376</v>
      </c>
      <c r="I4869" s="8">
        <v>526.5</v>
      </c>
      <c r="J4869" s="3">
        <f t="shared" si="76"/>
        <v>43748.813163842591</v>
      </c>
    </row>
    <row r="4870" spans="1:10" x14ac:dyDescent="0.25">
      <c r="A4870" s="5" t="s">
        <v>35377</v>
      </c>
      <c r="B4870" s="6">
        <v>393.75</v>
      </c>
      <c r="C4870" s="6">
        <v>20.478950000000001</v>
      </c>
      <c r="D4870" s="6">
        <v>67</v>
      </c>
      <c r="E4870" s="6">
        <v>0</v>
      </c>
      <c r="F4870" s="6">
        <v>0</v>
      </c>
      <c r="G4870" s="6">
        <v>9</v>
      </c>
      <c r="H4870" s="6" t="s">
        <v>35378</v>
      </c>
      <c r="I4870" s="6">
        <v>526.6875</v>
      </c>
      <c r="J4870" s="2">
        <f t="shared" si="76"/>
        <v>43748.813247280086</v>
      </c>
    </row>
    <row r="4871" spans="1:10" x14ac:dyDescent="0.25">
      <c r="A4871" s="7" t="s">
        <v>35379</v>
      </c>
      <c r="B4871" s="8">
        <v>393.75</v>
      </c>
      <c r="C4871" s="8">
        <v>20.478950000000001</v>
      </c>
      <c r="D4871" s="8">
        <v>67</v>
      </c>
      <c r="E4871" s="8">
        <v>0</v>
      </c>
      <c r="F4871" s="8">
        <v>0</v>
      </c>
      <c r="G4871" s="8">
        <v>6</v>
      </c>
      <c r="H4871" s="8" t="s">
        <v>35380</v>
      </c>
      <c r="I4871" s="8">
        <v>526.6875</v>
      </c>
      <c r="J4871" s="3">
        <f t="shared" si="76"/>
        <v>43748.813330381941</v>
      </c>
    </row>
    <row r="4872" spans="1:10" x14ac:dyDescent="0.25">
      <c r="A4872" s="5" t="s">
        <v>35381</v>
      </c>
      <c r="B4872" s="6">
        <v>393.75</v>
      </c>
      <c r="C4872" s="6">
        <v>20.478950000000001</v>
      </c>
      <c r="D4872" s="6">
        <v>67</v>
      </c>
      <c r="E4872" s="6">
        <v>0</v>
      </c>
      <c r="F4872" s="6">
        <v>0</v>
      </c>
      <c r="G4872" s="6">
        <v>7</v>
      </c>
      <c r="H4872" s="6" t="s">
        <v>35382</v>
      </c>
      <c r="I4872" s="6">
        <v>526.6875</v>
      </c>
      <c r="J4872" s="2">
        <f t="shared" si="76"/>
        <v>43748.813402164349</v>
      </c>
    </row>
    <row r="4873" spans="1:10" x14ac:dyDescent="0.25">
      <c r="A4873" s="7" t="s">
        <v>35383</v>
      </c>
      <c r="B4873" s="8">
        <v>412.5</v>
      </c>
      <c r="C4873" s="8">
        <v>20.478950000000001</v>
      </c>
      <c r="D4873" s="8">
        <v>68</v>
      </c>
      <c r="E4873" s="8">
        <v>0</v>
      </c>
      <c r="F4873" s="8">
        <v>0</v>
      </c>
      <c r="G4873" s="8">
        <v>5</v>
      </c>
      <c r="H4873" s="8" t="s">
        <v>35384</v>
      </c>
      <c r="I4873" s="8">
        <v>532.3125</v>
      </c>
      <c r="J4873" s="3">
        <f t="shared" si="76"/>
        <v>43748.813485706014</v>
      </c>
    </row>
    <row r="4874" spans="1:10" x14ac:dyDescent="0.25">
      <c r="A4874" s="5" t="s">
        <v>35385</v>
      </c>
      <c r="B4874" s="6">
        <v>396.875</v>
      </c>
      <c r="C4874" s="6">
        <v>20.478950000000001</v>
      </c>
      <c r="D4874" s="6">
        <v>69</v>
      </c>
      <c r="E4874" s="6">
        <v>0</v>
      </c>
      <c r="F4874" s="6">
        <v>0</v>
      </c>
      <c r="G4874" s="6">
        <v>7</v>
      </c>
      <c r="H4874" s="6" t="s">
        <v>35386</v>
      </c>
      <c r="I4874" s="6">
        <v>527.4375</v>
      </c>
      <c r="J4874" s="2">
        <f t="shared" si="76"/>
        <v>43748.813569270831</v>
      </c>
    </row>
    <row r="4875" spans="1:10" x14ac:dyDescent="0.25">
      <c r="A4875" s="7" t="s">
        <v>35387</v>
      </c>
      <c r="B4875" s="8">
        <v>396.875</v>
      </c>
      <c r="C4875" s="8">
        <v>20.478950000000001</v>
      </c>
      <c r="D4875" s="8">
        <v>69</v>
      </c>
      <c r="E4875" s="8">
        <v>0</v>
      </c>
      <c r="F4875" s="8">
        <v>0</v>
      </c>
      <c r="G4875" s="8">
        <v>12</v>
      </c>
      <c r="H4875" s="8" t="s">
        <v>35388</v>
      </c>
      <c r="I4875" s="8">
        <v>527.4375</v>
      </c>
      <c r="J4875" s="3">
        <f t="shared" si="76"/>
        <v>43748.813652800927</v>
      </c>
    </row>
    <row r="4876" spans="1:10" x14ac:dyDescent="0.25">
      <c r="A4876" s="5" t="s">
        <v>35389</v>
      </c>
      <c r="B4876" s="6">
        <v>396.875</v>
      </c>
      <c r="C4876" s="6">
        <v>20.478950000000001</v>
      </c>
      <c r="D4876" s="6">
        <v>69</v>
      </c>
      <c r="E4876" s="6">
        <v>0</v>
      </c>
      <c r="F4876" s="6">
        <v>0</v>
      </c>
      <c r="G4876" s="6">
        <v>9</v>
      </c>
      <c r="H4876" s="6" t="s">
        <v>35390</v>
      </c>
      <c r="I4876" s="6">
        <v>527.4375</v>
      </c>
      <c r="J4876" s="2">
        <f t="shared" si="76"/>
        <v>43748.813736180549</v>
      </c>
    </row>
    <row r="4877" spans="1:10" x14ac:dyDescent="0.25">
      <c r="A4877" s="7" t="s">
        <v>35391</v>
      </c>
      <c r="B4877" s="8">
        <v>396.875</v>
      </c>
      <c r="C4877" s="8">
        <v>20.478950000000001</v>
      </c>
      <c r="D4877" s="8">
        <v>68</v>
      </c>
      <c r="E4877" s="8">
        <v>0</v>
      </c>
      <c r="F4877" s="8">
        <v>0</v>
      </c>
      <c r="G4877" s="8">
        <v>11</v>
      </c>
      <c r="H4877" s="8" t="s">
        <v>35392</v>
      </c>
      <c r="I4877" s="8">
        <v>527.4375</v>
      </c>
      <c r="J4877" s="3">
        <f t="shared" si="76"/>
        <v>43748.81381929398</v>
      </c>
    </row>
    <row r="4878" spans="1:10" x14ac:dyDescent="0.25">
      <c r="A4878" s="5" t="s">
        <v>35393</v>
      </c>
      <c r="B4878" s="6">
        <v>396.875</v>
      </c>
      <c r="C4878" s="6">
        <v>20.478950000000001</v>
      </c>
      <c r="D4878" s="6">
        <v>68</v>
      </c>
      <c r="E4878" s="6">
        <v>0</v>
      </c>
      <c r="F4878" s="6">
        <v>0</v>
      </c>
      <c r="G4878" s="6">
        <v>0</v>
      </c>
      <c r="H4878" s="6" t="s">
        <v>35394</v>
      </c>
      <c r="I4878" s="6">
        <v>527.4375</v>
      </c>
      <c r="J4878" s="2">
        <f t="shared" si="76"/>
        <v>43748.813890914353</v>
      </c>
    </row>
    <row r="4879" spans="1:10" x14ac:dyDescent="0.25">
      <c r="A4879" s="7" t="s">
        <v>35395</v>
      </c>
      <c r="B4879" s="8">
        <v>396.875</v>
      </c>
      <c r="C4879" s="8">
        <v>20.478950000000001</v>
      </c>
      <c r="D4879" s="8">
        <v>68</v>
      </c>
      <c r="E4879" s="8">
        <v>0</v>
      </c>
      <c r="F4879" s="8">
        <v>0</v>
      </c>
      <c r="G4879" s="8">
        <v>15</v>
      </c>
      <c r="H4879" s="8" t="s">
        <v>35396</v>
      </c>
      <c r="I4879" s="8">
        <v>527.4375</v>
      </c>
      <c r="J4879" s="3">
        <f t="shared" si="76"/>
        <v>43748.813974942132</v>
      </c>
    </row>
    <row r="4880" spans="1:10" x14ac:dyDescent="0.25">
      <c r="A4880" s="5" t="s">
        <v>35397</v>
      </c>
      <c r="B4880" s="6">
        <v>396.875</v>
      </c>
      <c r="C4880" s="6">
        <v>20.478950000000001</v>
      </c>
      <c r="D4880" s="6">
        <v>68</v>
      </c>
      <c r="E4880" s="6">
        <v>0</v>
      </c>
      <c r="F4880" s="6">
        <v>0</v>
      </c>
      <c r="G4880" s="6">
        <v>11</v>
      </c>
      <c r="H4880" s="6" t="s">
        <v>35398</v>
      </c>
      <c r="I4880" s="6">
        <v>527.4375</v>
      </c>
      <c r="J4880" s="2">
        <f t="shared" si="76"/>
        <v>43748.814058194439</v>
      </c>
    </row>
    <row r="4881" spans="1:10" x14ac:dyDescent="0.25">
      <c r="A4881" s="7" t="s">
        <v>35399</v>
      </c>
      <c r="B4881" s="8">
        <v>396.875</v>
      </c>
      <c r="C4881" s="8">
        <v>20.478950000000001</v>
      </c>
      <c r="D4881" s="8">
        <v>69</v>
      </c>
      <c r="E4881" s="8">
        <v>0</v>
      </c>
      <c r="F4881" s="8">
        <v>0</v>
      </c>
      <c r="G4881" s="8">
        <v>12</v>
      </c>
      <c r="H4881" s="8" t="s">
        <v>35400</v>
      </c>
      <c r="I4881" s="8">
        <v>527.4375</v>
      </c>
      <c r="J4881" s="3">
        <f t="shared" si="76"/>
        <v>43748.81414159722</v>
      </c>
    </row>
    <row r="4882" spans="1:10" x14ac:dyDescent="0.25">
      <c r="A4882" s="5" t="s">
        <v>35401</v>
      </c>
      <c r="B4882" s="6">
        <v>396.875</v>
      </c>
      <c r="C4882" s="6">
        <v>20.478950000000001</v>
      </c>
      <c r="D4882" s="6">
        <v>69</v>
      </c>
      <c r="E4882" s="6">
        <v>0</v>
      </c>
      <c r="F4882" s="6">
        <v>0</v>
      </c>
      <c r="G4882" s="6">
        <v>21</v>
      </c>
      <c r="H4882" s="6" t="s">
        <v>35402</v>
      </c>
      <c r="I4882" s="6">
        <v>527.4375</v>
      </c>
      <c r="J4882" s="2">
        <f t="shared" si="76"/>
        <v>43748.814225185182</v>
      </c>
    </row>
    <row r="4883" spans="1:10" x14ac:dyDescent="0.25">
      <c r="A4883" s="7" t="s">
        <v>35403</v>
      </c>
      <c r="B4883" s="8">
        <v>396.875</v>
      </c>
      <c r="C4883" s="8">
        <v>20.478950000000001</v>
      </c>
      <c r="D4883" s="8">
        <v>70</v>
      </c>
      <c r="E4883" s="8">
        <v>0</v>
      </c>
      <c r="F4883" s="8">
        <v>0</v>
      </c>
      <c r="G4883" s="8">
        <v>8</v>
      </c>
      <c r="H4883" s="8" t="s">
        <v>35404</v>
      </c>
      <c r="I4883" s="8">
        <v>527.4375</v>
      </c>
      <c r="J4883" s="3">
        <f t="shared" si="76"/>
        <v>43748.81430828703</v>
      </c>
    </row>
    <row r="4884" spans="1:10" x14ac:dyDescent="0.25">
      <c r="A4884" s="5" t="s">
        <v>35405</v>
      </c>
      <c r="B4884" s="6">
        <v>396.875</v>
      </c>
      <c r="C4884" s="6">
        <v>20.478950000000001</v>
      </c>
      <c r="D4884" s="6">
        <v>70</v>
      </c>
      <c r="E4884" s="6">
        <v>0</v>
      </c>
      <c r="F4884" s="6">
        <v>0</v>
      </c>
      <c r="G4884" s="6">
        <v>13</v>
      </c>
      <c r="H4884" s="6" t="s">
        <v>35406</v>
      </c>
      <c r="I4884" s="6">
        <v>527.4375</v>
      </c>
      <c r="J4884" s="2">
        <f t="shared" si="76"/>
        <v>43748.814379918978</v>
      </c>
    </row>
    <row r="4885" spans="1:10" x14ac:dyDescent="0.25">
      <c r="A4885" s="7" t="s">
        <v>35407</v>
      </c>
      <c r="B4885" s="8">
        <v>396.875</v>
      </c>
      <c r="C4885" s="8">
        <v>20.478950000000001</v>
      </c>
      <c r="D4885" s="8">
        <v>70</v>
      </c>
      <c r="E4885" s="8">
        <v>0</v>
      </c>
      <c r="F4885" s="8">
        <v>0</v>
      </c>
      <c r="G4885" s="8">
        <v>11</v>
      </c>
      <c r="H4885" s="8" t="s">
        <v>35408</v>
      </c>
      <c r="I4885" s="8">
        <v>527.4375</v>
      </c>
      <c r="J4885" s="3">
        <f t="shared" si="76"/>
        <v>43748.814475266197</v>
      </c>
    </row>
    <row r="4886" spans="1:10" x14ac:dyDescent="0.25">
      <c r="A4886" s="5" t="s">
        <v>35409</v>
      </c>
      <c r="B4886" s="6">
        <v>396.875</v>
      </c>
      <c r="C4886" s="6">
        <v>20.478950000000001</v>
      </c>
      <c r="D4886" s="6">
        <v>69</v>
      </c>
      <c r="E4886" s="6">
        <v>0</v>
      </c>
      <c r="F4886" s="6">
        <v>0</v>
      </c>
      <c r="G4886" s="6">
        <v>14</v>
      </c>
      <c r="H4886" s="6" t="s">
        <v>35410</v>
      </c>
      <c r="I4886" s="6">
        <v>527.4375</v>
      </c>
      <c r="J4886" s="2">
        <f t="shared" si="76"/>
        <v>43748.814559155093</v>
      </c>
    </row>
    <row r="4887" spans="1:10" x14ac:dyDescent="0.25">
      <c r="A4887" s="7" t="s">
        <v>35411</v>
      </c>
      <c r="B4887" s="8">
        <v>396.875</v>
      </c>
      <c r="C4887" s="8">
        <v>20.478950000000001</v>
      </c>
      <c r="D4887" s="8">
        <v>70</v>
      </c>
      <c r="E4887" s="8">
        <v>0</v>
      </c>
      <c r="F4887" s="8">
        <v>0</v>
      </c>
      <c r="G4887" s="8">
        <v>24</v>
      </c>
      <c r="H4887" s="8" t="s">
        <v>35412</v>
      </c>
      <c r="I4887" s="8">
        <v>527.625</v>
      </c>
      <c r="J4887" s="3">
        <f t="shared" si="76"/>
        <v>43748.814642534715</v>
      </c>
    </row>
    <row r="4888" spans="1:10" x14ac:dyDescent="0.25">
      <c r="A4888" s="5" t="s">
        <v>35413</v>
      </c>
      <c r="B4888" s="6">
        <v>400</v>
      </c>
      <c r="C4888" s="6">
        <v>20.478950000000001</v>
      </c>
      <c r="D4888" s="6">
        <v>70</v>
      </c>
      <c r="E4888" s="6">
        <v>0</v>
      </c>
      <c r="F4888" s="6">
        <v>0</v>
      </c>
      <c r="G4888" s="6">
        <v>17</v>
      </c>
      <c r="H4888" s="6" t="s">
        <v>35414</v>
      </c>
      <c r="I4888" s="6">
        <v>528.1875</v>
      </c>
      <c r="J4888" s="2">
        <f t="shared" si="76"/>
        <v>43748.814714178239</v>
      </c>
    </row>
    <row r="4889" spans="1:10" x14ac:dyDescent="0.25">
      <c r="A4889" s="7" t="s">
        <v>35415</v>
      </c>
      <c r="B4889" s="8">
        <v>400</v>
      </c>
      <c r="C4889" s="8">
        <v>20.478950000000001</v>
      </c>
      <c r="D4889" s="8">
        <v>70</v>
      </c>
      <c r="E4889" s="8">
        <v>0</v>
      </c>
      <c r="F4889" s="8">
        <v>0</v>
      </c>
      <c r="G4889" s="8">
        <v>15</v>
      </c>
      <c r="H4889" s="8" t="s">
        <v>35416</v>
      </c>
      <c r="I4889" s="8">
        <v>528.1875</v>
      </c>
      <c r="J4889" s="3">
        <f t="shared" si="76"/>
        <v>43748.814785451388</v>
      </c>
    </row>
    <row r="4890" spans="1:10" x14ac:dyDescent="0.25">
      <c r="A4890" s="5" t="s">
        <v>35417</v>
      </c>
      <c r="B4890" s="6">
        <v>400</v>
      </c>
      <c r="C4890" s="6">
        <v>20.478950000000001</v>
      </c>
      <c r="D4890" s="6">
        <v>69</v>
      </c>
      <c r="E4890" s="6">
        <v>0</v>
      </c>
      <c r="F4890" s="6">
        <v>0</v>
      </c>
      <c r="G4890" s="6">
        <v>12</v>
      </c>
      <c r="H4890" s="6" t="s">
        <v>35418</v>
      </c>
      <c r="I4890" s="6">
        <v>528.375</v>
      </c>
      <c r="J4890" s="2">
        <f t="shared" si="76"/>
        <v>43748.814869131944</v>
      </c>
    </row>
    <row r="4891" spans="1:10" x14ac:dyDescent="0.25">
      <c r="A4891" s="7" t="s">
        <v>35419</v>
      </c>
      <c r="B4891" s="8">
        <v>400</v>
      </c>
      <c r="C4891" s="8">
        <v>20.478950000000001</v>
      </c>
      <c r="D4891" s="8">
        <v>70</v>
      </c>
      <c r="E4891" s="8">
        <v>0</v>
      </c>
      <c r="F4891" s="8">
        <v>0</v>
      </c>
      <c r="G4891" s="8">
        <v>14</v>
      </c>
      <c r="H4891" s="8" t="s">
        <v>35420</v>
      </c>
      <c r="I4891" s="8">
        <v>528.1875</v>
      </c>
      <c r="J4891" s="3">
        <f t="shared" si="76"/>
        <v>43748.814952696754</v>
      </c>
    </row>
    <row r="4892" spans="1:10" x14ac:dyDescent="0.25">
      <c r="A4892" s="5" t="s">
        <v>35421</v>
      </c>
      <c r="B4892" s="6">
        <v>400</v>
      </c>
      <c r="C4892" s="6">
        <v>20.478950000000001</v>
      </c>
      <c r="D4892" s="6">
        <v>68</v>
      </c>
      <c r="E4892" s="6">
        <v>0</v>
      </c>
      <c r="F4892" s="6">
        <v>0</v>
      </c>
      <c r="G4892" s="6">
        <v>13</v>
      </c>
      <c r="H4892" s="6" t="s">
        <v>35422</v>
      </c>
      <c r="I4892" s="6">
        <v>528.1875</v>
      </c>
      <c r="J4892" s="2">
        <f t="shared" si="76"/>
        <v>43748.815036157401</v>
      </c>
    </row>
    <row r="4893" spans="1:10" x14ac:dyDescent="0.25">
      <c r="A4893" s="7" t="s">
        <v>35423</v>
      </c>
      <c r="B4893" s="8">
        <v>400</v>
      </c>
      <c r="C4893" s="8">
        <v>20.478950000000001</v>
      </c>
      <c r="D4893" s="8">
        <v>68</v>
      </c>
      <c r="E4893" s="8">
        <v>0</v>
      </c>
      <c r="F4893" s="8">
        <v>0</v>
      </c>
      <c r="G4893" s="8">
        <v>15</v>
      </c>
      <c r="H4893" s="8" t="s">
        <v>35424</v>
      </c>
      <c r="I4893" s="8">
        <v>528.1875</v>
      </c>
      <c r="J4893" s="3">
        <f t="shared" si="76"/>
        <v>43748.81510767361</v>
      </c>
    </row>
    <row r="4894" spans="1:10" x14ac:dyDescent="0.25">
      <c r="A4894" s="5" t="s">
        <v>35425</v>
      </c>
      <c r="B4894" s="6">
        <v>396.875</v>
      </c>
      <c r="C4894" s="6">
        <v>20.478950000000001</v>
      </c>
      <c r="D4894" s="6">
        <v>66</v>
      </c>
      <c r="E4894" s="6">
        <v>0</v>
      </c>
      <c r="F4894" s="6">
        <v>0</v>
      </c>
      <c r="G4894" s="6">
        <v>18</v>
      </c>
      <c r="H4894" s="6" t="s">
        <v>35426</v>
      </c>
      <c r="I4894" s="6">
        <v>527.4375</v>
      </c>
      <c r="J4894" s="2">
        <f t="shared" si="76"/>
        <v>43748.815191145834</v>
      </c>
    </row>
    <row r="4895" spans="1:10" x14ac:dyDescent="0.25">
      <c r="A4895" s="7" t="s">
        <v>35427</v>
      </c>
      <c r="B4895" s="8">
        <v>396.875</v>
      </c>
      <c r="C4895" s="8">
        <v>20.478950000000001</v>
      </c>
      <c r="D4895" s="8">
        <v>70</v>
      </c>
      <c r="E4895" s="8">
        <v>0</v>
      </c>
      <c r="F4895" s="8">
        <v>0</v>
      </c>
      <c r="G4895" s="8">
        <v>9</v>
      </c>
      <c r="H4895" s="8" t="s">
        <v>35428</v>
      </c>
      <c r="I4895" s="8">
        <v>527.4375</v>
      </c>
      <c r="J4895" s="3">
        <f t="shared" si="76"/>
        <v>43748.815286863428</v>
      </c>
    </row>
    <row r="4896" spans="1:10" x14ac:dyDescent="0.25">
      <c r="A4896" s="5" t="s">
        <v>35429</v>
      </c>
      <c r="B4896" s="6">
        <v>396.875</v>
      </c>
      <c r="C4896" s="6">
        <v>20.478950000000001</v>
      </c>
      <c r="D4896" s="6">
        <v>70</v>
      </c>
      <c r="E4896" s="6">
        <v>0</v>
      </c>
      <c r="F4896" s="6">
        <v>0</v>
      </c>
      <c r="G4896" s="6">
        <v>7</v>
      </c>
      <c r="H4896" s="6" t="s">
        <v>35430</v>
      </c>
      <c r="I4896" s="6">
        <v>527.4375</v>
      </c>
      <c r="J4896" s="2">
        <f t="shared" si="76"/>
        <v>43748.81535813657</v>
      </c>
    </row>
    <row r="4897" spans="1:10" x14ac:dyDescent="0.25">
      <c r="A4897" s="7" t="s">
        <v>35431</v>
      </c>
      <c r="B4897" s="8">
        <v>396.875</v>
      </c>
      <c r="C4897" s="8">
        <v>20.478950000000001</v>
      </c>
      <c r="D4897" s="8">
        <v>68</v>
      </c>
      <c r="E4897" s="8">
        <v>0</v>
      </c>
      <c r="F4897" s="8">
        <v>0</v>
      </c>
      <c r="G4897" s="8">
        <v>5</v>
      </c>
      <c r="H4897" s="8" t="s">
        <v>35432</v>
      </c>
      <c r="I4897" s="8">
        <v>527.4375</v>
      </c>
      <c r="J4897" s="3">
        <f t="shared" si="76"/>
        <v>43748.815441608793</v>
      </c>
    </row>
    <row r="4898" spans="1:10" x14ac:dyDescent="0.25">
      <c r="A4898" s="5" t="s">
        <v>35433</v>
      </c>
      <c r="B4898" s="6">
        <v>415.625</v>
      </c>
      <c r="C4898" s="6">
        <v>20.478950000000001</v>
      </c>
      <c r="D4898" s="6">
        <v>68</v>
      </c>
      <c r="E4898" s="6">
        <v>0</v>
      </c>
      <c r="F4898" s="6">
        <v>0</v>
      </c>
      <c r="G4898" s="6">
        <v>11</v>
      </c>
      <c r="H4898" s="6" t="s">
        <v>35434</v>
      </c>
      <c r="I4898" s="6">
        <v>533.25</v>
      </c>
      <c r="J4898" s="2">
        <f t="shared" si="76"/>
        <v>43748.815513136571</v>
      </c>
    </row>
    <row r="4899" spans="1:10" x14ac:dyDescent="0.25">
      <c r="A4899" s="7" t="s">
        <v>35435</v>
      </c>
      <c r="B4899" s="8">
        <v>393.75</v>
      </c>
      <c r="C4899" s="8">
        <v>20.478950000000001</v>
      </c>
      <c r="D4899" s="8">
        <v>66</v>
      </c>
      <c r="E4899" s="8">
        <v>0</v>
      </c>
      <c r="F4899" s="8">
        <v>0</v>
      </c>
      <c r="G4899" s="8">
        <v>10</v>
      </c>
      <c r="H4899" s="8" t="s">
        <v>35436</v>
      </c>
      <c r="I4899" s="8">
        <v>526.6875</v>
      </c>
      <c r="J4899" s="3">
        <f t="shared" si="76"/>
        <v>43748.815596701388</v>
      </c>
    </row>
    <row r="4900" spans="1:10" x14ac:dyDescent="0.25">
      <c r="A4900" s="5" t="s">
        <v>35437</v>
      </c>
      <c r="B4900" s="6">
        <v>393.75</v>
      </c>
      <c r="C4900" s="6">
        <v>20.478950000000001</v>
      </c>
      <c r="D4900" s="6">
        <v>63</v>
      </c>
      <c r="E4900" s="6">
        <v>0</v>
      </c>
      <c r="F4900" s="6">
        <v>0</v>
      </c>
      <c r="G4900" s="6">
        <v>10</v>
      </c>
      <c r="H4900" s="6" t="s">
        <v>35438</v>
      </c>
      <c r="I4900" s="6">
        <v>526.6875</v>
      </c>
      <c r="J4900" s="2">
        <f t="shared" si="76"/>
        <v>43748.81566821759</v>
      </c>
    </row>
    <row r="4901" spans="1:10" x14ac:dyDescent="0.25">
      <c r="A4901" s="7" t="s">
        <v>35439</v>
      </c>
      <c r="B4901" s="8">
        <v>396.875</v>
      </c>
      <c r="C4901" s="8">
        <v>20.478950000000001</v>
      </c>
      <c r="D4901" s="8">
        <v>63</v>
      </c>
      <c r="E4901" s="8">
        <v>0</v>
      </c>
      <c r="F4901" s="8">
        <v>0</v>
      </c>
      <c r="G4901" s="8">
        <v>7</v>
      </c>
      <c r="H4901" s="8" t="s">
        <v>35440</v>
      </c>
      <c r="I4901" s="8">
        <v>527.4375</v>
      </c>
      <c r="J4901" s="3">
        <f t="shared" si="76"/>
        <v>43748.815739872683</v>
      </c>
    </row>
    <row r="4902" spans="1:10" x14ac:dyDescent="0.25">
      <c r="A4902" s="5" t="s">
        <v>35441</v>
      </c>
      <c r="B4902" s="6">
        <v>393.75</v>
      </c>
      <c r="C4902" s="6">
        <v>20.478950000000001</v>
      </c>
      <c r="D4902" s="6">
        <v>65</v>
      </c>
      <c r="E4902" s="6">
        <v>0</v>
      </c>
      <c r="F4902" s="6">
        <v>0</v>
      </c>
      <c r="G4902" s="6">
        <v>5</v>
      </c>
      <c r="H4902" s="6" t="s">
        <v>35442</v>
      </c>
      <c r="I4902" s="6">
        <v>526.6875</v>
      </c>
      <c r="J4902" s="2">
        <f t="shared" si="76"/>
        <v>43748.815822962955</v>
      </c>
    </row>
    <row r="4903" spans="1:10" x14ac:dyDescent="0.25">
      <c r="A4903" s="7" t="s">
        <v>35443</v>
      </c>
      <c r="B4903" s="8">
        <v>393.75</v>
      </c>
      <c r="C4903" s="8">
        <v>20.478950000000001</v>
      </c>
      <c r="D4903" s="8">
        <v>65</v>
      </c>
      <c r="E4903" s="8">
        <v>0</v>
      </c>
      <c r="F4903" s="8">
        <v>0</v>
      </c>
      <c r="G4903" s="8">
        <v>3</v>
      </c>
      <c r="H4903" s="8" t="s">
        <v>35444</v>
      </c>
      <c r="I4903" s="8">
        <v>526.6875</v>
      </c>
      <c r="J4903" s="3">
        <f t="shared" si="76"/>
        <v>43748.815894756939</v>
      </c>
    </row>
    <row r="4904" spans="1:10" x14ac:dyDescent="0.25">
      <c r="A4904" s="5" t="s">
        <v>35445</v>
      </c>
      <c r="B4904" s="6">
        <v>393.75</v>
      </c>
      <c r="C4904" s="6">
        <v>20.478950000000001</v>
      </c>
      <c r="D4904" s="6">
        <v>66</v>
      </c>
      <c r="E4904" s="6">
        <v>0</v>
      </c>
      <c r="F4904" s="6">
        <v>0</v>
      </c>
      <c r="G4904" s="6">
        <v>11</v>
      </c>
      <c r="H4904" s="6" t="s">
        <v>35446</v>
      </c>
      <c r="I4904" s="6">
        <v>526.6875</v>
      </c>
      <c r="J4904" s="2">
        <f t="shared" si="76"/>
        <v>43748.815978530089</v>
      </c>
    </row>
    <row r="4905" spans="1:10" x14ac:dyDescent="0.25">
      <c r="A4905" s="7" t="s">
        <v>35447</v>
      </c>
      <c r="B4905" s="8">
        <v>396.875</v>
      </c>
      <c r="C4905" s="8">
        <v>20.478950000000001</v>
      </c>
      <c r="D4905" s="8">
        <v>66</v>
      </c>
      <c r="E4905" s="8">
        <v>0</v>
      </c>
      <c r="F4905" s="8">
        <v>0</v>
      </c>
      <c r="G4905" s="8">
        <v>15</v>
      </c>
      <c r="H4905" s="8" t="s">
        <v>35448</v>
      </c>
      <c r="I4905" s="8">
        <v>527.4375</v>
      </c>
      <c r="J4905" s="3">
        <f t="shared" si="76"/>
        <v>43748.816061840276</v>
      </c>
    </row>
    <row r="4906" spans="1:10" x14ac:dyDescent="0.25">
      <c r="A4906" s="5" t="s">
        <v>35449</v>
      </c>
      <c r="B4906" s="6">
        <v>396.875</v>
      </c>
      <c r="C4906" s="6">
        <v>20.478950000000001</v>
      </c>
      <c r="D4906" s="6">
        <v>61</v>
      </c>
      <c r="E4906" s="6">
        <v>0</v>
      </c>
      <c r="F4906" s="6">
        <v>0</v>
      </c>
      <c r="G4906" s="6">
        <v>13</v>
      </c>
      <c r="H4906" s="6" t="s">
        <v>35450</v>
      </c>
      <c r="I4906" s="6">
        <v>527.4375</v>
      </c>
      <c r="J4906" s="2">
        <f t="shared" si="76"/>
        <v>43748.816145185185</v>
      </c>
    </row>
    <row r="4907" spans="1:10" x14ac:dyDescent="0.25">
      <c r="A4907" s="7" t="s">
        <v>35451</v>
      </c>
      <c r="B4907" s="8">
        <v>396.875</v>
      </c>
      <c r="C4907" s="8">
        <v>20.478950000000001</v>
      </c>
      <c r="D4907" s="8">
        <v>67</v>
      </c>
      <c r="E4907" s="8">
        <v>0</v>
      </c>
      <c r="F4907" s="8">
        <v>0</v>
      </c>
      <c r="G4907" s="8">
        <v>14</v>
      </c>
      <c r="H4907" s="8" t="s">
        <v>35452</v>
      </c>
      <c r="I4907" s="8">
        <v>527.4375</v>
      </c>
      <c r="J4907" s="3">
        <f t="shared" si="76"/>
        <v>43748.81621684027</v>
      </c>
    </row>
    <row r="4908" spans="1:10" x14ac:dyDescent="0.25">
      <c r="A4908" s="5" t="s">
        <v>35453</v>
      </c>
      <c r="B4908" s="6">
        <v>396.875</v>
      </c>
      <c r="C4908" s="6">
        <v>20.478950000000001</v>
      </c>
      <c r="D4908" s="6">
        <v>67</v>
      </c>
      <c r="E4908" s="6">
        <v>0</v>
      </c>
      <c r="F4908" s="6">
        <v>0</v>
      </c>
      <c r="G4908" s="6">
        <v>15</v>
      </c>
      <c r="H4908" s="6" t="s">
        <v>35454</v>
      </c>
      <c r="I4908" s="6">
        <v>527.4375</v>
      </c>
      <c r="J4908" s="2">
        <f t="shared" si="76"/>
        <v>43748.816300266197</v>
      </c>
    </row>
    <row r="4909" spans="1:10" x14ac:dyDescent="0.25">
      <c r="A4909" s="7" t="s">
        <v>35455</v>
      </c>
      <c r="B4909" s="8">
        <v>396.875</v>
      </c>
      <c r="C4909" s="8">
        <v>20.478950000000001</v>
      </c>
      <c r="D4909" s="8">
        <v>68</v>
      </c>
      <c r="E4909" s="8">
        <v>0</v>
      </c>
      <c r="F4909" s="8">
        <v>0</v>
      </c>
      <c r="G4909" s="8">
        <v>12</v>
      </c>
      <c r="H4909" s="8" t="s">
        <v>35456</v>
      </c>
      <c r="I4909" s="8">
        <v>527.4375</v>
      </c>
      <c r="J4909" s="3">
        <f t="shared" si="76"/>
        <v>43748.816383854166</v>
      </c>
    </row>
    <row r="4910" spans="1:10" x14ac:dyDescent="0.25">
      <c r="A4910" s="5" t="s">
        <v>35457</v>
      </c>
      <c r="B4910" s="6">
        <v>396.875</v>
      </c>
      <c r="C4910" s="6">
        <v>20.478950000000001</v>
      </c>
      <c r="D4910" s="6">
        <v>68</v>
      </c>
      <c r="E4910" s="6">
        <v>0</v>
      </c>
      <c r="F4910" s="6">
        <v>0</v>
      </c>
      <c r="G4910" s="6">
        <v>11</v>
      </c>
      <c r="H4910" s="6" t="s">
        <v>35458</v>
      </c>
      <c r="I4910" s="6">
        <v>527.4375</v>
      </c>
      <c r="J4910" s="2">
        <f t="shared" si="76"/>
        <v>43748.816467395831</v>
      </c>
    </row>
    <row r="4911" spans="1:10" x14ac:dyDescent="0.25">
      <c r="A4911" s="7" t="s">
        <v>35459</v>
      </c>
      <c r="B4911" s="8">
        <v>396.875</v>
      </c>
      <c r="C4911" s="8">
        <v>20.478950000000001</v>
      </c>
      <c r="D4911" s="8">
        <v>68</v>
      </c>
      <c r="E4911" s="8">
        <v>0</v>
      </c>
      <c r="F4911" s="8">
        <v>0</v>
      </c>
      <c r="G4911" s="8">
        <v>23</v>
      </c>
      <c r="H4911" s="8" t="s">
        <v>35460</v>
      </c>
      <c r="I4911" s="8">
        <v>527.4375</v>
      </c>
      <c r="J4911" s="3">
        <f t="shared" si="76"/>
        <v>43748.816538819439</v>
      </c>
    </row>
    <row r="4912" spans="1:10" x14ac:dyDescent="0.25">
      <c r="A4912" s="5" t="s">
        <v>35461</v>
      </c>
      <c r="B4912" s="6">
        <v>396.875</v>
      </c>
      <c r="C4912" s="6">
        <v>20.478950000000001</v>
      </c>
      <c r="D4912" s="6">
        <v>69</v>
      </c>
      <c r="E4912" s="6">
        <v>0</v>
      </c>
      <c r="F4912" s="6">
        <v>0</v>
      </c>
      <c r="G4912" s="6">
        <v>9</v>
      </c>
      <c r="H4912" s="6" t="s">
        <v>35462</v>
      </c>
      <c r="I4912" s="6">
        <v>527.4375</v>
      </c>
      <c r="J4912" s="2">
        <f t="shared" si="76"/>
        <v>43748.816625358791</v>
      </c>
    </row>
    <row r="4913" spans="1:10" x14ac:dyDescent="0.25">
      <c r="A4913" s="7" t="s">
        <v>35463</v>
      </c>
      <c r="B4913" s="8">
        <v>396.875</v>
      </c>
      <c r="C4913" s="8">
        <v>20.478950000000001</v>
      </c>
      <c r="D4913" s="8">
        <v>67</v>
      </c>
      <c r="E4913" s="8">
        <v>0</v>
      </c>
      <c r="F4913" s="8">
        <v>0</v>
      </c>
      <c r="G4913" s="8">
        <v>15</v>
      </c>
      <c r="H4913" s="8" t="s">
        <v>35464</v>
      </c>
      <c r="I4913" s="8">
        <v>527.4375</v>
      </c>
      <c r="J4913" s="3">
        <f t="shared" si="76"/>
        <v>43748.816705833327</v>
      </c>
    </row>
    <row r="4914" spans="1:10" x14ac:dyDescent="0.25">
      <c r="A4914" s="5" t="s">
        <v>35465</v>
      </c>
      <c r="B4914" s="6">
        <v>396.875</v>
      </c>
      <c r="C4914" s="6">
        <v>20.478950000000001</v>
      </c>
      <c r="D4914" s="6">
        <v>67</v>
      </c>
      <c r="E4914" s="6">
        <v>0</v>
      </c>
      <c r="F4914" s="6">
        <v>0</v>
      </c>
      <c r="G4914" s="6">
        <v>11</v>
      </c>
      <c r="H4914" s="6" t="s">
        <v>35466</v>
      </c>
      <c r="I4914" s="6">
        <v>527.4375</v>
      </c>
      <c r="J4914" s="2">
        <f t="shared" si="76"/>
        <v>43748.81678927083</v>
      </c>
    </row>
    <row r="4915" spans="1:10" x14ac:dyDescent="0.25">
      <c r="A4915" s="7" t="s">
        <v>35467</v>
      </c>
      <c r="B4915" s="8">
        <v>393.75</v>
      </c>
      <c r="C4915" s="8">
        <v>20.478950000000001</v>
      </c>
      <c r="D4915" s="8">
        <v>70</v>
      </c>
      <c r="E4915" s="8">
        <v>0</v>
      </c>
      <c r="F4915" s="8">
        <v>0</v>
      </c>
      <c r="G4915" s="8">
        <v>4</v>
      </c>
      <c r="H4915" s="8" t="s">
        <v>35468</v>
      </c>
      <c r="I4915" s="8">
        <v>526.6875</v>
      </c>
      <c r="J4915" s="3">
        <f t="shared" si="76"/>
        <v>43748.816861053238</v>
      </c>
    </row>
    <row r="4916" spans="1:10" x14ac:dyDescent="0.25">
      <c r="A4916" s="5" t="s">
        <v>35469</v>
      </c>
      <c r="B4916" s="6">
        <v>393.75</v>
      </c>
      <c r="C4916" s="6">
        <v>20.478950000000001</v>
      </c>
      <c r="D4916" s="6">
        <v>70</v>
      </c>
      <c r="E4916" s="6">
        <v>0</v>
      </c>
      <c r="F4916" s="6">
        <v>0</v>
      </c>
      <c r="G4916" s="6">
        <v>20</v>
      </c>
      <c r="H4916" s="6" t="s">
        <v>35470</v>
      </c>
      <c r="I4916" s="6">
        <v>526.6875</v>
      </c>
      <c r="J4916" s="2">
        <f t="shared" si="76"/>
        <v>43748.816944375001</v>
      </c>
    </row>
    <row r="4917" spans="1:10" x14ac:dyDescent="0.25">
      <c r="A4917" s="7" t="s">
        <v>35471</v>
      </c>
      <c r="B4917" s="8">
        <v>393.75</v>
      </c>
      <c r="C4917" s="8">
        <v>20.478950000000001</v>
      </c>
      <c r="D4917" s="8">
        <v>70</v>
      </c>
      <c r="E4917" s="8">
        <v>0</v>
      </c>
      <c r="F4917" s="8">
        <v>0</v>
      </c>
      <c r="G4917" s="8">
        <v>25</v>
      </c>
      <c r="H4917" s="8" t="s">
        <v>35472</v>
      </c>
      <c r="I4917" s="8">
        <v>526.6875</v>
      </c>
      <c r="J4917" s="3">
        <f t="shared" si="76"/>
        <v>43748.817039745372</v>
      </c>
    </row>
    <row r="4918" spans="1:10" x14ac:dyDescent="0.25">
      <c r="A4918" s="5" t="s">
        <v>35473</v>
      </c>
      <c r="B4918" s="6">
        <v>412.5</v>
      </c>
      <c r="C4918" s="6">
        <v>20.478950000000001</v>
      </c>
      <c r="D4918" s="6">
        <v>70</v>
      </c>
      <c r="E4918" s="6">
        <v>0</v>
      </c>
      <c r="F4918" s="6">
        <v>0</v>
      </c>
      <c r="G4918" s="6">
        <v>0</v>
      </c>
      <c r="H4918" s="6" t="s">
        <v>35474</v>
      </c>
      <c r="I4918" s="6">
        <v>532.3125</v>
      </c>
      <c r="J4918" s="2">
        <f t="shared" si="76"/>
        <v>43748.817333726845</v>
      </c>
    </row>
    <row r="4919" spans="1:10" x14ac:dyDescent="0.25">
      <c r="A4919" s="7" t="s">
        <v>35475</v>
      </c>
      <c r="B4919" s="8">
        <v>393.75</v>
      </c>
      <c r="C4919" s="8">
        <v>20.478950000000001</v>
      </c>
      <c r="D4919" s="8">
        <v>68</v>
      </c>
      <c r="E4919" s="8">
        <v>0</v>
      </c>
      <c r="F4919" s="8">
        <v>0</v>
      </c>
      <c r="G4919" s="8">
        <v>0</v>
      </c>
      <c r="H4919" s="8" t="s">
        <v>35476</v>
      </c>
      <c r="I4919" s="8">
        <v>526.6875</v>
      </c>
      <c r="J4919" s="3">
        <f t="shared" si="76"/>
        <v>43748.81741462963</v>
      </c>
    </row>
    <row r="4920" spans="1:10" x14ac:dyDescent="0.25">
      <c r="A4920" s="5" t="s">
        <v>35477</v>
      </c>
      <c r="B4920" s="6">
        <v>434.375</v>
      </c>
      <c r="C4920" s="6">
        <v>20.478950000000001</v>
      </c>
      <c r="D4920" s="6">
        <v>69</v>
      </c>
      <c r="E4920" s="6">
        <v>0</v>
      </c>
      <c r="F4920" s="6">
        <v>0</v>
      </c>
      <c r="G4920" s="6">
        <v>0</v>
      </c>
      <c r="H4920" s="6" t="s">
        <v>35478</v>
      </c>
      <c r="I4920" s="6">
        <v>539.25</v>
      </c>
      <c r="J4920" s="2">
        <f t="shared" si="76"/>
        <v>43748.817498090277</v>
      </c>
    </row>
    <row r="4921" spans="1:10" x14ac:dyDescent="0.25">
      <c r="A4921" s="7" t="s">
        <v>35479</v>
      </c>
      <c r="B4921" s="8">
        <v>393.75</v>
      </c>
      <c r="C4921" s="8">
        <v>20.478950000000001</v>
      </c>
      <c r="D4921" s="8">
        <v>68</v>
      </c>
      <c r="E4921" s="8">
        <v>0</v>
      </c>
      <c r="F4921" s="8">
        <v>0</v>
      </c>
      <c r="G4921" s="8">
        <v>0</v>
      </c>
      <c r="H4921" s="8" t="s">
        <v>35480</v>
      </c>
      <c r="I4921" s="8">
        <v>526.6875</v>
      </c>
      <c r="J4921" s="3">
        <f t="shared" si="76"/>
        <v>43748.81756984954</v>
      </c>
    </row>
    <row r="4922" spans="1:10" x14ac:dyDescent="0.25">
      <c r="A4922" s="5" t="s">
        <v>35481</v>
      </c>
      <c r="B4922" s="6">
        <v>393.75</v>
      </c>
      <c r="C4922" s="6">
        <v>20.478950000000001</v>
      </c>
      <c r="D4922" s="6">
        <v>62</v>
      </c>
      <c r="E4922" s="6">
        <v>0</v>
      </c>
      <c r="F4922" s="6">
        <v>0</v>
      </c>
      <c r="G4922" s="6">
        <v>0</v>
      </c>
      <c r="H4922" s="6" t="s">
        <v>35482</v>
      </c>
      <c r="I4922" s="6">
        <v>526.6875</v>
      </c>
      <c r="J4922" s="2">
        <f t="shared" si="76"/>
        <v>43748.817653518512</v>
      </c>
    </row>
    <row r="4923" spans="1:10" x14ac:dyDescent="0.25">
      <c r="A4923" s="7" t="s">
        <v>35483</v>
      </c>
      <c r="B4923" s="8">
        <v>415.625</v>
      </c>
      <c r="C4923" s="8">
        <v>20.478950000000001</v>
      </c>
      <c r="D4923" s="8">
        <v>63</v>
      </c>
      <c r="E4923" s="8">
        <v>0</v>
      </c>
      <c r="F4923" s="8">
        <v>0</v>
      </c>
      <c r="G4923" s="8">
        <v>4</v>
      </c>
      <c r="H4923" s="8" t="s">
        <v>35484</v>
      </c>
      <c r="I4923" s="8">
        <v>533.0625</v>
      </c>
      <c r="J4923" s="3">
        <f t="shared" si="76"/>
        <v>43748.817724699074</v>
      </c>
    </row>
    <row r="4924" spans="1:10" x14ac:dyDescent="0.25">
      <c r="A4924" s="5" t="s">
        <v>35485</v>
      </c>
      <c r="B4924" s="6">
        <v>396.875</v>
      </c>
      <c r="C4924" s="6">
        <v>20.478950000000001</v>
      </c>
      <c r="D4924" s="6">
        <v>64</v>
      </c>
      <c r="E4924" s="6">
        <v>0</v>
      </c>
      <c r="F4924" s="6">
        <v>0</v>
      </c>
      <c r="G4924" s="6">
        <v>7</v>
      </c>
      <c r="H4924" s="6" t="s">
        <v>35486</v>
      </c>
      <c r="I4924" s="6">
        <v>527.4375</v>
      </c>
      <c r="J4924" s="2">
        <f t="shared" si="76"/>
        <v>43748.81782009259</v>
      </c>
    </row>
    <row r="4925" spans="1:10" x14ac:dyDescent="0.25">
      <c r="A4925" s="7" t="s">
        <v>35487</v>
      </c>
      <c r="B4925" s="8">
        <v>396.875</v>
      </c>
      <c r="C4925" s="8">
        <v>20.478950000000001</v>
      </c>
      <c r="D4925" s="8">
        <v>65</v>
      </c>
      <c r="E4925" s="8">
        <v>0</v>
      </c>
      <c r="F4925" s="8">
        <v>0</v>
      </c>
      <c r="G4925" s="8">
        <v>11</v>
      </c>
      <c r="H4925" s="8" t="s">
        <v>35488</v>
      </c>
      <c r="I4925" s="8">
        <v>527.4375</v>
      </c>
      <c r="J4925" s="3">
        <f t="shared" si="76"/>
        <v>43748.817891736107</v>
      </c>
    </row>
    <row r="4926" spans="1:10" x14ac:dyDescent="0.25">
      <c r="A4926" s="5" t="s">
        <v>35489</v>
      </c>
      <c r="B4926" s="6">
        <v>393.75</v>
      </c>
      <c r="C4926" s="6">
        <v>20.478950000000001</v>
      </c>
      <c r="D4926" s="6">
        <v>66</v>
      </c>
      <c r="E4926" s="6">
        <v>0</v>
      </c>
      <c r="F4926" s="6">
        <v>0</v>
      </c>
      <c r="G4926" s="6">
        <v>8</v>
      </c>
      <c r="H4926" s="6" t="s">
        <v>35490</v>
      </c>
      <c r="I4926" s="6">
        <v>526.6875</v>
      </c>
      <c r="J4926" s="2">
        <f t="shared" si="76"/>
        <v>43748.817974826386</v>
      </c>
    </row>
    <row r="4927" spans="1:10" x14ac:dyDescent="0.25">
      <c r="A4927" s="7" t="s">
        <v>35491</v>
      </c>
      <c r="B4927" s="8">
        <v>393.75</v>
      </c>
      <c r="C4927" s="8">
        <v>20.478950000000001</v>
      </c>
      <c r="D4927" s="8">
        <v>68</v>
      </c>
      <c r="E4927" s="8">
        <v>0</v>
      </c>
      <c r="F4927" s="8">
        <v>0</v>
      </c>
      <c r="G4927" s="8">
        <v>6</v>
      </c>
      <c r="H4927" s="8" t="s">
        <v>35492</v>
      </c>
      <c r="I4927" s="8">
        <v>526.6875</v>
      </c>
      <c r="J4927" s="3">
        <f t="shared" si="76"/>
        <v>43748.818058611105</v>
      </c>
    </row>
    <row r="4928" spans="1:10" x14ac:dyDescent="0.25">
      <c r="A4928" s="5" t="s">
        <v>35493</v>
      </c>
      <c r="B4928" s="6">
        <v>412.5</v>
      </c>
      <c r="C4928" s="6">
        <v>20.478950000000001</v>
      </c>
      <c r="D4928" s="6">
        <v>69</v>
      </c>
      <c r="E4928" s="6">
        <v>0</v>
      </c>
      <c r="F4928" s="6">
        <v>0</v>
      </c>
      <c r="G4928" s="6">
        <v>9</v>
      </c>
      <c r="H4928" s="6" t="s">
        <v>35494</v>
      </c>
      <c r="I4928" s="6">
        <v>532.3125</v>
      </c>
      <c r="J4928" s="2">
        <f t="shared" si="76"/>
        <v>43748.818142303237</v>
      </c>
    </row>
    <row r="4929" spans="1:10" x14ac:dyDescent="0.25">
      <c r="A4929" s="7" t="s">
        <v>35495</v>
      </c>
      <c r="B4929" s="8">
        <v>393.75</v>
      </c>
      <c r="C4929" s="8">
        <v>20.478950000000001</v>
      </c>
      <c r="D4929" s="8">
        <v>67</v>
      </c>
      <c r="E4929" s="8">
        <v>0</v>
      </c>
      <c r="F4929" s="8">
        <v>0</v>
      </c>
      <c r="G4929" s="8">
        <v>4</v>
      </c>
      <c r="H4929" s="8" t="s">
        <v>35496</v>
      </c>
      <c r="I4929" s="8">
        <v>526.6875</v>
      </c>
      <c r="J4929" s="3">
        <f t="shared" si="76"/>
        <v>43748.818225636576</v>
      </c>
    </row>
    <row r="4930" spans="1:10" x14ac:dyDescent="0.25">
      <c r="A4930" s="5" t="s">
        <v>35497</v>
      </c>
      <c r="B4930" s="6">
        <v>393.75</v>
      </c>
      <c r="C4930" s="6">
        <v>20.478950000000001</v>
      </c>
      <c r="D4930" s="6">
        <v>67</v>
      </c>
      <c r="E4930" s="6">
        <v>0</v>
      </c>
      <c r="F4930" s="6">
        <v>0</v>
      </c>
      <c r="G4930" s="6">
        <v>16</v>
      </c>
      <c r="H4930" s="6" t="s">
        <v>35498</v>
      </c>
      <c r="I4930" s="6">
        <v>526.6875</v>
      </c>
      <c r="J4930" s="2">
        <f t="shared" ref="J4930:J4993" si="77">(H4930/86400000)+25569+(7/24)</f>
        <v>43748.818321076389</v>
      </c>
    </row>
    <row r="4931" spans="1:10" x14ac:dyDescent="0.25">
      <c r="A4931" s="7" t="s">
        <v>35499</v>
      </c>
      <c r="B4931" s="8">
        <v>393.75</v>
      </c>
      <c r="C4931" s="8">
        <v>20.478950000000001</v>
      </c>
      <c r="D4931" s="8">
        <v>67</v>
      </c>
      <c r="E4931" s="8">
        <v>0</v>
      </c>
      <c r="F4931" s="8">
        <v>0</v>
      </c>
      <c r="G4931" s="8">
        <v>14</v>
      </c>
      <c r="H4931" s="8" t="s">
        <v>35500</v>
      </c>
      <c r="I4931" s="8">
        <v>526.6875</v>
      </c>
      <c r="J4931" s="3">
        <f t="shared" si="77"/>
        <v>43748.818404583326</v>
      </c>
    </row>
    <row r="4932" spans="1:10" x14ac:dyDescent="0.25">
      <c r="A4932" s="5" t="s">
        <v>35501</v>
      </c>
      <c r="B4932" s="6">
        <v>437.5</v>
      </c>
      <c r="C4932" s="6">
        <v>20.478950000000001</v>
      </c>
      <c r="D4932" s="6">
        <v>67</v>
      </c>
      <c r="E4932" s="6">
        <v>0</v>
      </c>
      <c r="F4932" s="6">
        <v>0</v>
      </c>
      <c r="G4932" s="6">
        <v>2</v>
      </c>
      <c r="H4932" s="6" t="s">
        <v>35502</v>
      </c>
      <c r="I4932" s="6">
        <v>540.75</v>
      </c>
      <c r="J4932" s="2">
        <f t="shared" si="77"/>
        <v>43748.818488020836</v>
      </c>
    </row>
    <row r="4933" spans="1:10" x14ac:dyDescent="0.25">
      <c r="A4933" s="7" t="s">
        <v>35503</v>
      </c>
      <c r="B4933" s="8">
        <v>393.75</v>
      </c>
      <c r="C4933" s="8">
        <v>20.478950000000001</v>
      </c>
      <c r="D4933" s="8">
        <v>65</v>
      </c>
      <c r="E4933" s="8">
        <v>0</v>
      </c>
      <c r="F4933" s="8">
        <v>0</v>
      </c>
      <c r="G4933" s="8">
        <v>1</v>
      </c>
      <c r="H4933" s="8" t="s">
        <v>35504</v>
      </c>
      <c r="I4933" s="8">
        <v>526.6875</v>
      </c>
      <c r="J4933" s="3">
        <f t="shared" si="77"/>
        <v>43748.818571122683</v>
      </c>
    </row>
    <row r="4934" spans="1:10" x14ac:dyDescent="0.25">
      <c r="A4934" s="5" t="s">
        <v>35505</v>
      </c>
      <c r="B4934" s="6">
        <v>393.75</v>
      </c>
      <c r="C4934" s="6">
        <v>20.478950000000001</v>
      </c>
      <c r="D4934" s="6">
        <v>64</v>
      </c>
      <c r="E4934" s="6">
        <v>0</v>
      </c>
      <c r="F4934" s="6">
        <v>0</v>
      </c>
      <c r="G4934" s="6">
        <v>10</v>
      </c>
      <c r="H4934" s="6" t="s">
        <v>35506</v>
      </c>
      <c r="I4934" s="6">
        <v>526.6875</v>
      </c>
      <c r="J4934" s="2">
        <f t="shared" si="77"/>
        <v>43748.818655034724</v>
      </c>
    </row>
    <row r="4935" spans="1:10" x14ac:dyDescent="0.25">
      <c r="A4935" s="7" t="s">
        <v>35507</v>
      </c>
      <c r="B4935" s="8">
        <v>393.75</v>
      </c>
      <c r="C4935" s="8">
        <v>20.478950000000001</v>
      </c>
      <c r="D4935" s="8">
        <v>65</v>
      </c>
      <c r="E4935" s="8">
        <v>0</v>
      </c>
      <c r="F4935" s="8">
        <v>0</v>
      </c>
      <c r="G4935" s="8">
        <v>3</v>
      </c>
      <c r="H4935" s="8" t="s">
        <v>35508</v>
      </c>
      <c r="I4935" s="8">
        <v>526.6875</v>
      </c>
      <c r="J4935" s="3">
        <f t="shared" si="77"/>
        <v>43748.818738483795</v>
      </c>
    </row>
    <row r="4936" spans="1:10" x14ac:dyDescent="0.25">
      <c r="A4936" s="5" t="s">
        <v>35509</v>
      </c>
      <c r="B4936" s="6">
        <v>396.875</v>
      </c>
      <c r="C4936" s="6">
        <v>20.478950000000001</v>
      </c>
      <c r="D4936" s="6">
        <v>73</v>
      </c>
      <c r="E4936" s="6">
        <v>0</v>
      </c>
      <c r="F4936" s="6">
        <v>0</v>
      </c>
      <c r="G4936" s="6">
        <v>6</v>
      </c>
      <c r="H4936" s="6" t="s">
        <v>35510</v>
      </c>
      <c r="I4936" s="6">
        <v>527.4375</v>
      </c>
      <c r="J4936" s="2">
        <f t="shared" si="77"/>
        <v>43748.818809999997</v>
      </c>
    </row>
    <row r="4937" spans="1:10" x14ac:dyDescent="0.25">
      <c r="A4937" s="7" t="s">
        <v>35511</v>
      </c>
      <c r="B4937" s="8">
        <v>421.875</v>
      </c>
      <c r="C4937" s="8">
        <v>20.478950000000001</v>
      </c>
      <c r="D4937" s="8">
        <v>72</v>
      </c>
      <c r="E4937" s="8">
        <v>0</v>
      </c>
      <c r="F4937" s="8">
        <v>0</v>
      </c>
      <c r="G4937" s="8">
        <v>5</v>
      </c>
      <c r="H4937" s="8" t="s">
        <v>35512</v>
      </c>
      <c r="I4937" s="8">
        <v>535.125</v>
      </c>
      <c r="J4937" s="3">
        <f t="shared" si="77"/>
        <v>43748.818893344906</v>
      </c>
    </row>
    <row r="4938" spans="1:10" x14ac:dyDescent="0.25">
      <c r="A4938" s="5" t="s">
        <v>35513</v>
      </c>
      <c r="B4938" s="6">
        <v>396.875</v>
      </c>
      <c r="C4938" s="6">
        <v>20.478950000000001</v>
      </c>
      <c r="D4938" s="6">
        <v>72</v>
      </c>
      <c r="E4938" s="6">
        <v>0</v>
      </c>
      <c r="F4938" s="6">
        <v>0</v>
      </c>
      <c r="G4938" s="6">
        <v>6</v>
      </c>
      <c r="H4938" s="6" t="s">
        <v>35514</v>
      </c>
      <c r="I4938" s="6">
        <v>527.4375</v>
      </c>
      <c r="J4938" s="2">
        <f t="shared" si="77"/>
        <v>43748.81897703703</v>
      </c>
    </row>
    <row r="4939" spans="1:10" x14ac:dyDescent="0.25">
      <c r="A4939" s="7" t="s">
        <v>35515</v>
      </c>
      <c r="B4939" s="8">
        <v>396.875</v>
      </c>
      <c r="C4939" s="8">
        <v>20.478950000000001</v>
      </c>
      <c r="D4939" s="8">
        <v>72</v>
      </c>
      <c r="E4939" s="8">
        <v>0</v>
      </c>
      <c r="F4939" s="8">
        <v>0</v>
      </c>
      <c r="G4939" s="8">
        <v>3</v>
      </c>
      <c r="H4939" s="8" t="s">
        <v>35516</v>
      </c>
      <c r="I4939" s="8">
        <v>527.4375</v>
      </c>
      <c r="J4939" s="3">
        <f t="shared" si="77"/>
        <v>43748.819060694441</v>
      </c>
    </row>
    <row r="4940" spans="1:10" x14ac:dyDescent="0.25">
      <c r="A4940" s="5" t="s">
        <v>35517</v>
      </c>
      <c r="B4940" s="6">
        <v>396.875</v>
      </c>
      <c r="C4940" s="6">
        <v>20.478950000000001</v>
      </c>
      <c r="D4940" s="6">
        <v>71</v>
      </c>
      <c r="E4940" s="6">
        <v>0</v>
      </c>
      <c r="F4940" s="6">
        <v>0</v>
      </c>
      <c r="G4940" s="6">
        <v>7</v>
      </c>
      <c r="H4940" s="6" t="s">
        <v>35518</v>
      </c>
      <c r="I4940" s="6">
        <v>527.4375</v>
      </c>
      <c r="J4940" s="2">
        <f t="shared" si="77"/>
        <v>43748.819144039349</v>
      </c>
    </row>
    <row r="4941" spans="1:10" x14ac:dyDescent="0.25">
      <c r="A4941" s="7" t="s">
        <v>35519</v>
      </c>
      <c r="B4941" s="8">
        <v>396.875</v>
      </c>
      <c r="C4941" s="8">
        <v>20.478950000000001</v>
      </c>
      <c r="D4941" s="8">
        <v>70</v>
      </c>
      <c r="E4941" s="8">
        <v>0</v>
      </c>
      <c r="F4941" s="8">
        <v>0</v>
      </c>
      <c r="G4941" s="8">
        <v>11</v>
      </c>
      <c r="H4941" s="8" t="s">
        <v>35520</v>
      </c>
      <c r="I4941" s="8">
        <v>527.4375</v>
      </c>
      <c r="J4941" s="3">
        <f t="shared" si="77"/>
        <v>43748.819227488428</v>
      </c>
    </row>
    <row r="4942" spans="1:10" x14ac:dyDescent="0.25">
      <c r="A4942" s="5" t="s">
        <v>35521</v>
      </c>
      <c r="B4942" s="6">
        <v>393.75</v>
      </c>
      <c r="C4942" s="6">
        <v>20.478950000000001</v>
      </c>
      <c r="D4942" s="6">
        <v>67</v>
      </c>
      <c r="E4942" s="6">
        <v>0</v>
      </c>
      <c r="F4942" s="6">
        <v>0</v>
      </c>
      <c r="G4942" s="6">
        <v>12</v>
      </c>
      <c r="H4942" s="6" t="s">
        <v>35522</v>
      </c>
      <c r="I4942" s="6">
        <v>526.6875</v>
      </c>
      <c r="J4942" s="2">
        <f t="shared" si="77"/>
        <v>43748.819299016199</v>
      </c>
    </row>
    <row r="4943" spans="1:10" x14ac:dyDescent="0.25">
      <c r="A4943" s="7" t="s">
        <v>35523</v>
      </c>
      <c r="B4943" s="8">
        <v>393.75</v>
      </c>
      <c r="C4943" s="8">
        <v>20.478950000000001</v>
      </c>
      <c r="D4943" s="8">
        <v>67</v>
      </c>
      <c r="E4943" s="8">
        <v>0</v>
      </c>
      <c r="F4943" s="8">
        <v>0</v>
      </c>
      <c r="G4943" s="8">
        <v>12</v>
      </c>
      <c r="H4943" s="8" t="s">
        <v>35524</v>
      </c>
      <c r="I4943" s="8">
        <v>526.6875</v>
      </c>
      <c r="J4943" s="3">
        <f t="shared" si="77"/>
        <v>43748.819382256937</v>
      </c>
    </row>
    <row r="4944" spans="1:10" x14ac:dyDescent="0.25">
      <c r="A4944" s="5" t="s">
        <v>35525</v>
      </c>
      <c r="B4944" s="6">
        <v>393.75</v>
      </c>
      <c r="C4944" s="6">
        <v>20.478950000000001</v>
      </c>
      <c r="D4944" s="6">
        <v>67</v>
      </c>
      <c r="E4944" s="6">
        <v>0</v>
      </c>
      <c r="F4944" s="6">
        <v>0</v>
      </c>
      <c r="G4944" s="6">
        <v>4</v>
      </c>
      <c r="H4944" s="6" t="s">
        <v>35526</v>
      </c>
      <c r="I4944" s="6">
        <v>526.6875</v>
      </c>
      <c r="J4944" s="2">
        <f t="shared" si="77"/>
        <v>43748.819453993048</v>
      </c>
    </row>
    <row r="4945" spans="1:10" x14ac:dyDescent="0.25">
      <c r="A4945" s="7" t="s">
        <v>35527</v>
      </c>
      <c r="B4945" s="8">
        <v>412.5</v>
      </c>
      <c r="C4945" s="8">
        <v>20.478950000000001</v>
      </c>
      <c r="D4945" s="8">
        <v>68</v>
      </c>
      <c r="E4945" s="8">
        <v>0</v>
      </c>
      <c r="F4945" s="8">
        <v>0</v>
      </c>
      <c r="G4945" s="8">
        <v>6</v>
      </c>
      <c r="H4945" s="8" t="s">
        <v>35528</v>
      </c>
      <c r="I4945" s="8">
        <v>532.125</v>
      </c>
      <c r="J4945" s="3">
        <f t="shared" si="77"/>
        <v>43748.819537557873</v>
      </c>
    </row>
    <row r="4946" spans="1:10" x14ac:dyDescent="0.25">
      <c r="A4946" s="5" t="s">
        <v>35529</v>
      </c>
      <c r="B4946" s="6">
        <v>393.75</v>
      </c>
      <c r="C4946" s="6">
        <v>20.478950000000001</v>
      </c>
      <c r="D4946" s="6">
        <v>68</v>
      </c>
      <c r="E4946" s="6">
        <v>0</v>
      </c>
      <c r="F4946" s="6">
        <v>0</v>
      </c>
      <c r="G4946" s="6">
        <v>7</v>
      </c>
      <c r="H4946" s="6" t="s">
        <v>35530</v>
      </c>
      <c r="I4946" s="6">
        <v>526.6875</v>
      </c>
      <c r="J4946" s="2">
        <f t="shared" si="77"/>
        <v>43748.819620995368</v>
      </c>
    </row>
    <row r="4947" spans="1:10" x14ac:dyDescent="0.25">
      <c r="A4947" s="7" t="s">
        <v>35531</v>
      </c>
      <c r="B4947" s="8">
        <v>393.75</v>
      </c>
      <c r="C4947" s="8">
        <v>20.478950000000001</v>
      </c>
      <c r="D4947" s="8">
        <v>73</v>
      </c>
      <c r="E4947" s="8">
        <v>0</v>
      </c>
      <c r="F4947" s="8">
        <v>0</v>
      </c>
      <c r="G4947" s="8">
        <v>11</v>
      </c>
      <c r="H4947" s="8" t="s">
        <v>35532</v>
      </c>
      <c r="I4947" s="8">
        <v>526.6875</v>
      </c>
      <c r="J4947" s="3">
        <f t="shared" si="77"/>
        <v>43748.819704444446</v>
      </c>
    </row>
    <row r="4948" spans="1:10" x14ac:dyDescent="0.25">
      <c r="A4948" s="5" t="s">
        <v>35533</v>
      </c>
      <c r="B4948" s="6">
        <v>393.75</v>
      </c>
      <c r="C4948" s="6">
        <v>20.478950000000001</v>
      </c>
      <c r="D4948" s="6">
        <v>72</v>
      </c>
      <c r="E4948" s="6">
        <v>0</v>
      </c>
      <c r="F4948" s="6">
        <v>0</v>
      </c>
      <c r="G4948" s="6">
        <v>4</v>
      </c>
      <c r="H4948" s="6" t="s">
        <v>35534</v>
      </c>
      <c r="I4948" s="6">
        <v>526.6875</v>
      </c>
      <c r="J4948" s="2">
        <f t="shared" si="77"/>
        <v>43748.819788009256</v>
      </c>
    </row>
    <row r="4949" spans="1:10" x14ac:dyDescent="0.25">
      <c r="A4949" s="7" t="s">
        <v>35535</v>
      </c>
      <c r="B4949" s="8">
        <v>393.75</v>
      </c>
      <c r="C4949" s="8">
        <v>20.478950000000001</v>
      </c>
      <c r="D4949" s="8">
        <v>73</v>
      </c>
      <c r="E4949" s="8">
        <v>0</v>
      </c>
      <c r="F4949" s="8">
        <v>0</v>
      </c>
      <c r="G4949" s="8">
        <v>10</v>
      </c>
      <c r="H4949" s="8" t="s">
        <v>35536</v>
      </c>
      <c r="I4949" s="8">
        <v>526.6875</v>
      </c>
      <c r="J4949" s="3">
        <f t="shared" si="77"/>
        <v>43748.819871111111</v>
      </c>
    </row>
    <row r="4950" spans="1:10" x14ac:dyDescent="0.25">
      <c r="A4950" s="5" t="s">
        <v>35537</v>
      </c>
      <c r="B4950" s="6">
        <v>393.75</v>
      </c>
      <c r="C4950" s="6">
        <v>20.478950000000001</v>
      </c>
      <c r="D4950" s="6">
        <v>73</v>
      </c>
      <c r="E4950" s="6">
        <v>0</v>
      </c>
      <c r="F4950" s="6">
        <v>0</v>
      </c>
      <c r="G4950" s="6">
        <v>1</v>
      </c>
      <c r="H4950" s="6" t="s">
        <v>35538</v>
      </c>
      <c r="I4950" s="6">
        <v>526.6875</v>
      </c>
      <c r="J4950" s="2">
        <f t="shared" si="77"/>
        <v>43748.81994277778</v>
      </c>
    </row>
    <row r="4951" spans="1:10" x14ac:dyDescent="0.25">
      <c r="A4951" s="7" t="s">
        <v>35539</v>
      </c>
      <c r="B4951" s="8">
        <v>393.75</v>
      </c>
      <c r="C4951" s="8">
        <v>20.478950000000001</v>
      </c>
      <c r="D4951" s="8">
        <v>71</v>
      </c>
      <c r="E4951" s="8">
        <v>0</v>
      </c>
      <c r="F4951" s="8">
        <v>0</v>
      </c>
      <c r="G4951" s="8">
        <v>4</v>
      </c>
      <c r="H4951" s="8" t="s">
        <v>35540</v>
      </c>
      <c r="I4951" s="8">
        <v>526.6875</v>
      </c>
      <c r="J4951" s="3">
        <f t="shared" si="77"/>
        <v>43748.820026689813</v>
      </c>
    </row>
    <row r="4952" spans="1:10" x14ac:dyDescent="0.25">
      <c r="A4952" s="5" t="s">
        <v>35541</v>
      </c>
      <c r="B4952" s="6">
        <v>393.75</v>
      </c>
      <c r="C4952" s="6">
        <v>20.478950000000001</v>
      </c>
      <c r="D4952" s="6">
        <v>69</v>
      </c>
      <c r="E4952" s="6">
        <v>0</v>
      </c>
      <c r="F4952" s="6">
        <v>0</v>
      </c>
      <c r="G4952" s="6">
        <v>16</v>
      </c>
      <c r="H4952" s="6" t="s">
        <v>35542</v>
      </c>
      <c r="I4952" s="6">
        <v>526.6875</v>
      </c>
      <c r="J4952" s="2">
        <f t="shared" si="77"/>
        <v>43748.820122268517</v>
      </c>
    </row>
    <row r="4953" spans="1:10" x14ac:dyDescent="0.25">
      <c r="A4953" s="7" t="s">
        <v>35543</v>
      </c>
      <c r="B4953" s="8">
        <v>393.75</v>
      </c>
      <c r="C4953" s="8">
        <v>20.478950000000001</v>
      </c>
      <c r="D4953" s="8">
        <v>63</v>
      </c>
      <c r="E4953" s="8">
        <v>0</v>
      </c>
      <c r="F4953" s="8">
        <v>0</v>
      </c>
      <c r="G4953" s="8">
        <v>17</v>
      </c>
      <c r="H4953" s="8" t="s">
        <v>35544</v>
      </c>
      <c r="I4953" s="8">
        <v>526.6875</v>
      </c>
      <c r="J4953" s="3">
        <f t="shared" si="77"/>
        <v>43748.820206273151</v>
      </c>
    </row>
    <row r="4954" spans="1:10" x14ac:dyDescent="0.25">
      <c r="A4954" s="5" t="s">
        <v>35545</v>
      </c>
      <c r="B4954" s="6">
        <v>437.5</v>
      </c>
      <c r="C4954" s="6">
        <v>20.478950000000001</v>
      </c>
      <c r="D4954" s="6">
        <v>63</v>
      </c>
      <c r="E4954" s="6">
        <v>0</v>
      </c>
      <c r="F4954" s="6">
        <v>0</v>
      </c>
      <c r="G4954" s="6">
        <v>8</v>
      </c>
      <c r="H4954" s="6" t="s">
        <v>35546</v>
      </c>
      <c r="I4954" s="6">
        <v>540.1875</v>
      </c>
      <c r="J4954" s="2">
        <f t="shared" si="77"/>
        <v>43748.82028930555</v>
      </c>
    </row>
    <row r="4955" spans="1:10" x14ac:dyDescent="0.25">
      <c r="A4955" s="7" t="s">
        <v>35547</v>
      </c>
      <c r="B4955" s="8">
        <v>396.875</v>
      </c>
      <c r="C4955" s="8">
        <v>20.478950000000001</v>
      </c>
      <c r="D4955" s="8">
        <v>64</v>
      </c>
      <c r="E4955" s="8">
        <v>0</v>
      </c>
      <c r="F4955" s="8">
        <v>0</v>
      </c>
      <c r="G4955" s="8">
        <v>6</v>
      </c>
      <c r="H4955" s="8" t="s">
        <v>35548</v>
      </c>
      <c r="I4955" s="8">
        <v>527.4375</v>
      </c>
      <c r="J4955" s="3">
        <f t="shared" si="77"/>
        <v>43748.82037277778</v>
      </c>
    </row>
    <row r="4956" spans="1:10" x14ac:dyDescent="0.25">
      <c r="A4956" s="5" t="s">
        <v>35549</v>
      </c>
      <c r="B4956" s="6">
        <v>415.625</v>
      </c>
      <c r="C4956" s="6">
        <v>20.478950000000001</v>
      </c>
      <c r="D4956" s="6">
        <v>64</v>
      </c>
      <c r="E4956" s="6">
        <v>0</v>
      </c>
      <c r="F4956" s="6">
        <v>0</v>
      </c>
      <c r="G4956" s="6">
        <v>1</v>
      </c>
      <c r="H4956" s="6" t="s">
        <v>35550</v>
      </c>
      <c r="I4956" s="6">
        <v>533.0625</v>
      </c>
      <c r="J4956" s="2">
        <f t="shared" si="77"/>
        <v>43748.820467812497</v>
      </c>
    </row>
    <row r="4957" spans="1:10" x14ac:dyDescent="0.25">
      <c r="A4957" s="7" t="s">
        <v>35551</v>
      </c>
      <c r="B4957" s="8">
        <v>396.875</v>
      </c>
      <c r="C4957" s="8">
        <v>20.478950000000001</v>
      </c>
      <c r="D4957" s="8">
        <v>64</v>
      </c>
      <c r="E4957" s="8">
        <v>0</v>
      </c>
      <c r="F4957" s="8">
        <v>0</v>
      </c>
      <c r="G4957" s="8">
        <v>1</v>
      </c>
      <c r="H4957" s="8" t="s">
        <v>35552</v>
      </c>
      <c r="I4957" s="8">
        <v>527.4375</v>
      </c>
      <c r="J4957" s="3">
        <f t="shared" si="77"/>
        <v>43748.820539525455</v>
      </c>
    </row>
    <row r="4958" spans="1:10" x14ac:dyDescent="0.25">
      <c r="A4958" s="5" t="s">
        <v>35553</v>
      </c>
      <c r="B4958" s="6">
        <v>396.875</v>
      </c>
      <c r="C4958" s="6">
        <v>20.426300000000001</v>
      </c>
      <c r="D4958" s="6">
        <v>67</v>
      </c>
      <c r="E4958" s="6">
        <v>0</v>
      </c>
      <c r="F4958" s="6">
        <v>0</v>
      </c>
      <c r="G4958" s="6">
        <v>0</v>
      </c>
      <c r="H4958" s="6" t="s">
        <v>35554</v>
      </c>
      <c r="I4958" s="6">
        <v>527.4375</v>
      </c>
      <c r="J4958" s="2">
        <f t="shared" si="77"/>
        <v>43748.82062337963</v>
      </c>
    </row>
    <row r="4959" spans="1:10" x14ac:dyDescent="0.25">
      <c r="A4959" s="7" t="s">
        <v>35555</v>
      </c>
      <c r="B4959" s="8">
        <v>393.75</v>
      </c>
      <c r="C4959" s="8">
        <v>20.478950000000001</v>
      </c>
      <c r="D4959" s="8">
        <v>67</v>
      </c>
      <c r="E4959" s="8">
        <v>0</v>
      </c>
      <c r="F4959" s="8">
        <v>0</v>
      </c>
      <c r="G4959" s="8">
        <v>4</v>
      </c>
      <c r="H4959" s="8" t="s">
        <v>35556</v>
      </c>
      <c r="I4959" s="8">
        <v>526.6875</v>
      </c>
      <c r="J4959" s="3">
        <f t="shared" si="77"/>
        <v>43748.820710324071</v>
      </c>
    </row>
    <row r="4960" spans="1:10" x14ac:dyDescent="0.25">
      <c r="A4960" s="5" t="s">
        <v>35557</v>
      </c>
      <c r="B4960" s="6">
        <v>393.75</v>
      </c>
      <c r="C4960" s="6">
        <v>20.478950000000001</v>
      </c>
      <c r="D4960" s="6">
        <v>67</v>
      </c>
      <c r="E4960" s="6">
        <v>0</v>
      </c>
      <c r="F4960" s="6">
        <v>0</v>
      </c>
      <c r="G4960" s="6">
        <v>2</v>
      </c>
      <c r="H4960" s="6" t="s">
        <v>35558</v>
      </c>
      <c r="I4960" s="6">
        <v>526.6875</v>
      </c>
      <c r="J4960" s="2">
        <f t="shared" si="77"/>
        <v>43748.820790196762</v>
      </c>
    </row>
    <row r="4961" spans="1:10" x14ac:dyDescent="0.25">
      <c r="A4961" s="7" t="s">
        <v>35559</v>
      </c>
      <c r="B4961" s="8">
        <v>412.5</v>
      </c>
      <c r="C4961" s="8">
        <v>20.478950000000001</v>
      </c>
      <c r="D4961" s="8">
        <v>67</v>
      </c>
      <c r="E4961" s="8">
        <v>0</v>
      </c>
      <c r="F4961" s="8">
        <v>0</v>
      </c>
      <c r="G4961" s="8">
        <v>9</v>
      </c>
      <c r="H4961" s="8" t="s">
        <v>35560</v>
      </c>
      <c r="I4961" s="8">
        <v>532.3125</v>
      </c>
      <c r="J4961" s="3">
        <f t="shared" si="77"/>
        <v>43748.820873784724</v>
      </c>
    </row>
    <row r="4962" spans="1:10" x14ac:dyDescent="0.25">
      <c r="A4962" s="5" t="s">
        <v>35561</v>
      </c>
      <c r="B4962" s="6">
        <v>393.75</v>
      </c>
      <c r="C4962" s="6">
        <v>20.478950000000001</v>
      </c>
      <c r="D4962" s="6">
        <v>71</v>
      </c>
      <c r="E4962" s="6">
        <v>0</v>
      </c>
      <c r="F4962" s="6">
        <v>0</v>
      </c>
      <c r="G4962" s="6">
        <v>6</v>
      </c>
      <c r="H4962" s="6" t="s">
        <v>35562</v>
      </c>
      <c r="I4962" s="6">
        <v>526.6875</v>
      </c>
      <c r="J4962" s="2">
        <f t="shared" si="77"/>
        <v>43748.820957407406</v>
      </c>
    </row>
    <row r="4963" spans="1:10" x14ac:dyDescent="0.25">
      <c r="A4963" s="7" t="s">
        <v>35563</v>
      </c>
      <c r="B4963" s="8">
        <v>393.75</v>
      </c>
      <c r="C4963" s="8">
        <v>20.478950000000001</v>
      </c>
      <c r="D4963" s="8">
        <v>71</v>
      </c>
      <c r="E4963" s="8">
        <v>0</v>
      </c>
      <c r="F4963" s="8">
        <v>0</v>
      </c>
      <c r="G4963" s="8">
        <v>7</v>
      </c>
      <c r="H4963" s="8" t="s">
        <v>35564</v>
      </c>
      <c r="I4963" s="8">
        <v>526.6875</v>
      </c>
      <c r="J4963" s="3">
        <f t="shared" si="77"/>
        <v>43748.821040347219</v>
      </c>
    </row>
    <row r="4964" spans="1:10" x14ac:dyDescent="0.25">
      <c r="A4964" s="5" t="s">
        <v>35565</v>
      </c>
      <c r="B4964" s="6">
        <v>393.75</v>
      </c>
      <c r="C4964" s="6">
        <v>20.478950000000001</v>
      </c>
      <c r="D4964" s="6">
        <v>74</v>
      </c>
      <c r="E4964" s="6">
        <v>0</v>
      </c>
      <c r="F4964" s="6">
        <v>0</v>
      </c>
      <c r="G4964" s="6">
        <v>4</v>
      </c>
      <c r="H4964" s="6" t="s">
        <v>35566</v>
      </c>
      <c r="I4964" s="6">
        <v>526.6875</v>
      </c>
      <c r="J4964" s="2">
        <f t="shared" si="77"/>
        <v>43748.821136273145</v>
      </c>
    </row>
    <row r="4965" spans="1:10" x14ac:dyDescent="0.25">
      <c r="A4965" s="7" t="s">
        <v>35567</v>
      </c>
      <c r="B4965" s="8">
        <v>393.75</v>
      </c>
      <c r="C4965" s="8">
        <v>20.478950000000001</v>
      </c>
      <c r="D4965" s="8">
        <v>74</v>
      </c>
      <c r="E4965" s="8">
        <v>0</v>
      </c>
      <c r="F4965" s="8">
        <v>0</v>
      </c>
      <c r="G4965" s="8">
        <v>6</v>
      </c>
      <c r="H4965" s="8" t="s">
        <v>35568</v>
      </c>
      <c r="I4965" s="8">
        <v>526.5</v>
      </c>
      <c r="J4965" s="3">
        <f t="shared" si="77"/>
        <v>43748.821219826386</v>
      </c>
    </row>
    <row r="4966" spans="1:10" x14ac:dyDescent="0.25">
      <c r="A4966" s="5" t="s">
        <v>35569</v>
      </c>
      <c r="B4966" s="6">
        <v>393.75</v>
      </c>
      <c r="C4966" s="6">
        <v>20.478950000000001</v>
      </c>
      <c r="D4966" s="6">
        <v>74</v>
      </c>
      <c r="E4966" s="6">
        <v>0</v>
      </c>
      <c r="F4966" s="6">
        <v>0</v>
      </c>
      <c r="G4966" s="6">
        <v>2</v>
      </c>
      <c r="H4966" s="6" t="s">
        <v>35570</v>
      </c>
      <c r="I4966" s="6">
        <v>526.6875</v>
      </c>
      <c r="J4966" s="2">
        <f t="shared" si="77"/>
        <v>43748.821302951386</v>
      </c>
    </row>
    <row r="4967" spans="1:10" x14ac:dyDescent="0.25">
      <c r="A4967" s="7" t="s">
        <v>35571</v>
      </c>
      <c r="B4967" s="8">
        <v>393.75</v>
      </c>
      <c r="C4967" s="8">
        <v>20.426300000000001</v>
      </c>
      <c r="D4967" s="8">
        <v>74</v>
      </c>
      <c r="E4967" s="8">
        <v>0</v>
      </c>
      <c r="F4967" s="8">
        <v>0</v>
      </c>
      <c r="G4967" s="8">
        <v>6</v>
      </c>
      <c r="H4967" s="8" t="s">
        <v>35572</v>
      </c>
      <c r="I4967" s="8">
        <v>526.5</v>
      </c>
      <c r="J4967" s="3">
        <f t="shared" si="77"/>
        <v>43748.82138645833</v>
      </c>
    </row>
    <row r="4968" spans="1:10" x14ac:dyDescent="0.25">
      <c r="A4968" s="5" t="s">
        <v>35573</v>
      </c>
      <c r="B4968" s="6">
        <v>393.75</v>
      </c>
      <c r="C4968" s="6">
        <v>20.478950000000001</v>
      </c>
      <c r="D4968" s="6">
        <v>74</v>
      </c>
      <c r="E4968" s="6">
        <v>0</v>
      </c>
      <c r="F4968" s="6">
        <v>0</v>
      </c>
      <c r="G4968" s="6">
        <v>9</v>
      </c>
      <c r="H4968" s="6" t="s">
        <v>35574</v>
      </c>
      <c r="I4968" s="6">
        <v>526.6875</v>
      </c>
      <c r="J4968" s="2">
        <f t="shared" si="77"/>
        <v>43748.821470115734</v>
      </c>
    </row>
    <row r="4969" spans="1:10" x14ac:dyDescent="0.25">
      <c r="A4969" s="7" t="s">
        <v>35575</v>
      </c>
      <c r="B4969" s="8">
        <v>393.75</v>
      </c>
      <c r="C4969" s="8">
        <v>20.478950000000001</v>
      </c>
      <c r="D4969" s="8">
        <v>73</v>
      </c>
      <c r="E4969" s="8">
        <v>0</v>
      </c>
      <c r="F4969" s="8">
        <v>0</v>
      </c>
      <c r="G4969" s="8">
        <v>0</v>
      </c>
      <c r="H4969" s="8" t="s">
        <v>35576</v>
      </c>
      <c r="I4969" s="8">
        <v>526.6875</v>
      </c>
      <c r="J4969" s="3">
        <f t="shared" si="77"/>
        <v>43748.82155375</v>
      </c>
    </row>
    <row r="4970" spans="1:10" x14ac:dyDescent="0.25">
      <c r="A4970" s="5" t="s">
        <v>35577</v>
      </c>
      <c r="B4970" s="6">
        <v>393.75</v>
      </c>
      <c r="C4970" s="6">
        <v>20.478950000000001</v>
      </c>
      <c r="D4970" s="6">
        <v>71</v>
      </c>
      <c r="E4970" s="6">
        <v>0</v>
      </c>
      <c r="F4970" s="6">
        <v>0</v>
      </c>
      <c r="G4970" s="6">
        <v>0</v>
      </c>
      <c r="H4970" s="6" t="s">
        <v>35578</v>
      </c>
      <c r="I4970" s="6">
        <v>526.6875</v>
      </c>
      <c r="J4970" s="2">
        <f t="shared" si="77"/>
        <v>43748.821637152774</v>
      </c>
    </row>
    <row r="4971" spans="1:10" x14ac:dyDescent="0.25">
      <c r="A4971" s="7" t="s">
        <v>35579</v>
      </c>
      <c r="B4971" s="8">
        <v>393.75</v>
      </c>
      <c r="C4971" s="8">
        <v>20.478950000000001</v>
      </c>
      <c r="D4971" s="8">
        <v>70</v>
      </c>
      <c r="E4971" s="8">
        <v>0</v>
      </c>
      <c r="F4971" s="8">
        <v>0</v>
      </c>
      <c r="G4971" s="8">
        <v>8</v>
      </c>
      <c r="H4971" s="8" t="s">
        <v>35580</v>
      </c>
      <c r="I4971" s="8">
        <v>526.6875</v>
      </c>
      <c r="J4971" s="3">
        <f t="shared" si="77"/>
        <v>43748.821731134252</v>
      </c>
    </row>
    <row r="4972" spans="1:10" x14ac:dyDescent="0.25">
      <c r="A4972" s="5" t="s">
        <v>35581</v>
      </c>
      <c r="B4972" s="6">
        <v>393.75</v>
      </c>
      <c r="C4972" s="6">
        <v>20.478950000000001</v>
      </c>
      <c r="D4972" s="6">
        <v>68</v>
      </c>
      <c r="E4972" s="6">
        <v>0</v>
      </c>
      <c r="F4972" s="6">
        <v>0</v>
      </c>
      <c r="G4972" s="6">
        <v>5</v>
      </c>
      <c r="H4972" s="6" t="s">
        <v>35582</v>
      </c>
      <c r="I4972" s="6">
        <v>526.6875</v>
      </c>
      <c r="J4972" s="2">
        <f t="shared" si="77"/>
        <v>43748.821816192132</v>
      </c>
    </row>
    <row r="4973" spans="1:10" x14ac:dyDescent="0.25">
      <c r="A4973" s="7" t="s">
        <v>35583</v>
      </c>
      <c r="B4973" s="8">
        <v>393.75</v>
      </c>
      <c r="C4973" s="8">
        <v>20.478950000000001</v>
      </c>
      <c r="D4973" s="8">
        <v>69</v>
      </c>
      <c r="E4973" s="8">
        <v>0</v>
      </c>
      <c r="F4973" s="8">
        <v>0</v>
      </c>
      <c r="G4973" s="8">
        <v>2</v>
      </c>
      <c r="H4973" s="8" t="s">
        <v>35584</v>
      </c>
      <c r="I4973" s="8">
        <v>526.6875</v>
      </c>
      <c r="J4973" s="3">
        <f t="shared" si="77"/>
        <v>43748.821899456016</v>
      </c>
    </row>
    <row r="4974" spans="1:10" x14ac:dyDescent="0.25">
      <c r="A4974" s="5" t="s">
        <v>35585</v>
      </c>
      <c r="B4974" s="6">
        <v>412.5</v>
      </c>
      <c r="C4974" s="6">
        <v>20.478950000000001</v>
      </c>
      <c r="D4974" s="6">
        <v>69</v>
      </c>
      <c r="E4974" s="6">
        <v>0</v>
      </c>
      <c r="F4974" s="6">
        <v>0</v>
      </c>
      <c r="G4974" s="6">
        <v>7</v>
      </c>
      <c r="H4974" s="6" t="s">
        <v>35586</v>
      </c>
      <c r="I4974" s="6">
        <v>532.3125</v>
      </c>
      <c r="J4974" s="2">
        <f t="shared" si="77"/>
        <v>43748.821982870366</v>
      </c>
    </row>
    <row r="4975" spans="1:10" x14ac:dyDescent="0.25">
      <c r="A4975" s="7" t="s">
        <v>35587</v>
      </c>
      <c r="B4975" s="8">
        <v>396.875</v>
      </c>
      <c r="C4975" s="8">
        <v>20.478950000000001</v>
      </c>
      <c r="D4975" s="8">
        <v>70</v>
      </c>
      <c r="E4975" s="8">
        <v>0</v>
      </c>
      <c r="F4975" s="8">
        <v>0</v>
      </c>
      <c r="G4975" s="8">
        <v>0</v>
      </c>
      <c r="H4975" s="8" t="s">
        <v>35588</v>
      </c>
      <c r="I4975" s="8">
        <v>527.4375</v>
      </c>
      <c r="J4975" s="3">
        <f t="shared" si="77"/>
        <v>43748.822066574074</v>
      </c>
    </row>
    <row r="4976" spans="1:10" x14ac:dyDescent="0.25">
      <c r="A4976" s="5" t="s">
        <v>35589</v>
      </c>
      <c r="B4976" s="6">
        <v>396.875</v>
      </c>
      <c r="C4976" s="6">
        <v>20.478950000000001</v>
      </c>
      <c r="D4976" s="6">
        <v>69</v>
      </c>
      <c r="E4976" s="6">
        <v>0</v>
      </c>
      <c r="F4976" s="6">
        <v>0</v>
      </c>
      <c r="G4976" s="6">
        <v>6</v>
      </c>
      <c r="H4976" s="6" t="s">
        <v>35590</v>
      </c>
      <c r="I4976" s="6">
        <v>527.4375</v>
      </c>
      <c r="J4976" s="2">
        <f t="shared" si="77"/>
        <v>43748.822149675929</v>
      </c>
    </row>
    <row r="4977" spans="1:10" x14ac:dyDescent="0.25">
      <c r="A4977" s="7" t="s">
        <v>35591</v>
      </c>
      <c r="B4977" s="8">
        <v>396.875</v>
      </c>
      <c r="C4977" s="8">
        <v>20.478950000000001</v>
      </c>
      <c r="D4977" s="8">
        <v>69</v>
      </c>
      <c r="E4977" s="8">
        <v>0</v>
      </c>
      <c r="F4977" s="8">
        <v>0</v>
      </c>
      <c r="G4977" s="8">
        <v>4</v>
      </c>
      <c r="H4977" s="8" t="s">
        <v>35592</v>
      </c>
      <c r="I4977" s="8">
        <v>527.4375</v>
      </c>
      <c r="J4977" s="3">
        <f t="shared" si="77"/>
        <v>43748.822233611114</v>
      </c>
    </row>
    <row r="4978" spans="1:10" x14ac:dyDescent="0.25">
      <c r="A4978" s="5" t="s">
        <v>35593</v>
      </c>
      <c r="B4978" s="6">
        <v>396.875</v>
      </c>
      <c r="C4978" s="6">
        <v>20.426300000000001</v>
      </c>
      <c r="D4978" s="6">
        <v>68</v>
      </c>
      <c r="E4978" s="6">
        <v>0</v>
      </c>
      <c r="F4978" s="6">
        <v>0</v>
      </c>
      <c r="G4978" s="6">
        <v>11</v>
      </c>
      <c r="H4978" s="6" t="s">
        <v>35594</v>
      </c>
      <c r="I4978" s="6">
        <v>527.4375</v>
      </c>
      <c r="J4978" s="2">
        <f t="shared" si="77"/>
        <v>43748.822317048609</v>
      </c>
    </row>
    <row r="4979" spans="1:10" x14ac:dyDescent="0.25">
      <c r="A4979" s="7" t="s">
        <v>35595</v>
      </c>
      <c r="B4979" s="8">
        <v>396.875</v>
      </c>
      <c r="C4979" s="8">
        <v>20.478950000000001</v>
      </c>
      <c r="D4979" s="8">
        <v>66</v>
      </c>
      <c r="E4979" s="8">
        <v>0</v>
      </c>
      <c r="F4979" s="8">
        <v>0</v>
      </c>
      <c r="G4979" s="8">
        <v>16</v>
      </c>
      <c r="H4979" s="8" t="s">
        <v>35596</v>
      </c>
      <c r="I4979" s="8">
        <v>527.4375</v>
      </c>
      <c r="J4979" s="3">
        <f t="shared" si="77"/>
        <v>43748.822400509256</v>
      </c>
    </row>
    <row r="4980" spans="1:10" x14ac:dyDescent="0.25">
      <c r="A4980" s="5" t="s">
        <v>35597</v>
      </c>
      <c r="B4980" s="6">
        <v>396.875</v>
      </c>
      <c r="C4980" s="6">
        <v>20.478950000000001</v>
      </c>
      <c r="D4980" s="6">
        <v>67</v>
      </c>
      <c r="E4980" s="6">
        <v>0</v>
      </c>
      <c r="F4980" s="6">
        <v>0</v>
      </c>
      <c r="G4980" s="6">
        <v>10</v>
      </c>
      <c r="H4980" s="6" t="s">
        <v>35598</v>
      </c>
      <c r="I4980" s="6">
        <v>527.4375</v>
      </c>
      <c r="J4980" s="2">
        <f t="shared" si="77"/>
        <v>43748.822483935182</v>
      </c>
    </row>
    <row r="4981" spans="1:10" x14ac:dyDescent="0.25">
      <c r="A4981" s="7" t="s">
        <v>35599</v>
      </c>
      <c r="B4981" s="8">
        <v>396.875</v>
      </c>
      <c r="C4981" s="8">
        <v>20.478950000000001</v>
      </c>
      <c r="D4981" s="8">
        <v>68</v>
      </c>
      <c r="E4981" s="8">
        <v>0</v>
      </c>
      <c r="F4981" s="8">
        <v>0</v>
      </c>
      <c r="G4981" s="8">
        <v>18</v>
      </c>
      <c r="H4981" s="8" t="s">
        <v>35600</v>
      </c>
      <c r="I4981" s="8">
        <v>527.4375</v>
      </c>
      <c r="J4981" s="3">
        <f t="shared" si="77"/>
        <v>43748.822567511575</v>
      </c>
    </row>
    <row r="4982" spans="1:10" x14ac:dyDescent="0.25">
      <c r="A4982" s="5" t="s">
        <v>35601</v>
      </c>
      <c r="B4982" s="6">
        <v>396.875</v>
      </c>
      <c r="C4982" s="6">
        <v>20.478950000000001</v>
      </c>
      <c r="D4982" s="6">
        <v>68</v>
      </c>
      <c r="E4982" s="6">
        <v>0</v>
      </c>
      <c r="F4982" s="6">
        <v>0</v>
      </c>
      <c r="G4982" s="6">
        <v>7</v>
      </c>
      <c r="H4982" s="6" t="s">
        <v>35602</v>
      </c>
      <c r="I4982" s="6">
        <v>527.625</v>
      </c>
      <c r="J4982" s="2">
        <f t="shared" si="77"/>
        <v>43748.822650983791</v>
      </c>
    </row>
    <row r="4983" spans="1:10" x14ac:dyDescent="0.25">
      <c r="A4983" s="7" t="s">
        <v>35603</v>
      </c>
      <c r="B4983" s="8">
        <v>412.5</v>
      </c>
      <c r="C4983" s="8">
        <v>20.478950000000001</v>
      </c>
      <c r="D4983" s="8">
        <v>68</v>
      </c>
      <c r="E4983" s="8">
        <v>0</v>
      </c>
      <c r="F4983" s="8">
        <v>0</v>
      </c>
      <c r="G4983" s="8">
        <v>2</v>
      </c>
      <c r="H4983" s="8" t="s">
        <v>35604</v>
      </c>
      <c r="I4983" s="8">
        <v>532.3125</v>
      </c>
      <c r="J4983" s="3">
        <f t="shared" si="77"/>
        <v>43748.822734664347</v>
      </c>
    </row>
    <row r="4984" spans="1:10" x14ac:dyDescent="0.25">
      <c r="A4984" s="5" t="s">
        <v>35605</v>
      </c>
      <c r="B4984" s="6">
        <v>393.75</v>
      </c>
      <c r="C4984" s="6">
        <v>20.478950000000001</v>
      </c>
      <c r="D4984" s="6">
        <v>68</v>
      </c>
      <c r="E4984" s="6">
        <v>0</v>
      </c>
      <c r="F4984" s="6">
        <v>0</v>
      </c>
      <c r="G4984" s="6">
        <v>5</v>
      </c>
      <c r="H4984" s="6" t="s">
        <v>35606</v>
      </c>
      <c r="I4984" s="6">
        <v>526.6875</v>
      </c>
      <c r="J4984" s="2">
        <f t="shared" si="77"/>
        <v>43748.822818067129</v>
      </c>
    </row>
    <row r="4985" spans="1:10" x14ac:dyDescent="0.25">
      <c r="A4985" s="7" t="s">
        <v>35607</v>
      </c>
      <c r="B4985" s="8">
        <v>393.75</v>
      </c>
      <c r="C4985" s="8">
        <v>20.478950000000001</v>
      </c>
      <c r="D4985" s="8">
        <v>70</v>
      </c>
      <c r="E4985" s="8">
        <v>0</v>
      </c>
      <c r="F4985" s="8">
        <v>0</v>
      </c>
      <c r="G4985" s="8">
        <v>6</v>
      </c>
      <c r="H4985" s="8" t="s">
        <v>35608</v>
      </c>
      <c r="I4985" s="8">
        <v>526.6875</v>
      </c>
      <c r="J4985" s="3">
        <f t="shared" si="77"/>
        <v>43748.822912754629</v>
      </c>
    </row>
    <row r="4986" spans="1:10" x14ac:dyDescent="0.25">
      <c r="A4986" s="5" t="s">
        <v>35609</v>
      </c>
      <c r="B4986" s="6">
        <v>393.75</v>
      </c>
      <c r="C4986" s="6">
        <v>20.478950000000001</v>
      </c>
      <c r="D4986" s="6">
        <v>71</v>
      </c>
      <c r="E4986" s="6">
        <v>0</v>
      </c>
      <c r="F4986" s="6">
        <v>0</v>
      </c>
      <c r="G4986" s="6">
        <v>4</v>
      </c>
      <c r="H4986" s="6" t="s">
        <v>35610</v>
      </c>
      <c r="I4986" s="6">
        <v>526.6875</v>
      </c>
      <c r="J4986" s="2">
        <f t="shared" si="77"/>
        <v>43748.822984328704</v>
      </c>
    </row>
    <row r="4987" spans="1:10" x14ac:dyDescent="0.25">
      <c r="A4987" s="7" t="s">
        <v>35611</v>
      </c>
      <c r="B4987" s="8">
        <v>393.75</v>
      </c>
      <c r="C4987" s="8">
        <v>20.478950000000001</v>
      </c>
      <c r="D4987" s="8">
        <v>71</v>
      </c>
      <c r="E4987" s="8">
        <v>0</v>
      </c>
      <c r="F4987" s="8">
        <v>0</v>
      </c>
      <c r="G4987" s="8">
        <v>7</v>
      </c>
      <c r="H4987" s="8" t="s">
        <v>35612</v>
      </c>
      <c r="I4987" s="8">
        <v>526.6875</v>
      </c>
      <c r="J4987" s="3">
        <f t="shared" si="77"/>
        <v>43748.82306761574</v>
      </c>
    </row>
    <row r="4988" spans="1:10" x14ac:dyDescent="0.25">
      <c r="A4988" s="5" t="s">
        <v>35613</v>
      </c>
      <c r="B4988" s="6">
        <v>393.75</v>
      </c>
      <c r="C4988" s="6">
        <v>20.478950000000001</v>
      </c>
      <c r="D4988" s="6">
        <v>71</v>
      </c>
      <c r="E4988" s="6">
        <v>0</v>
      </c>
      <c r="F4988" s="6">
        <v>0</v>
      </c>
      <c r="G4988" s="6">
        <v>7</v>
      </c>
      <c r="H4988" s="6" t="s">
        <v>35614</v>
      </c>
      <c r="I4988" s="6">
        <v>526.5</v>
      </c>
      <c r="J4988" s="2">
        <f t="shared" si="77"/>
        <v>43748.823151331017</v>
      </c>
    </row>
    <row r="4989" spans="1:10" x14ac:dyDescent="0.25">
      <c r="A4989" s="7" t="s">
        <v>35615</v>
      </c>
      <c r="B4989" s="8">
        <v>393.75</v>
      </c>
      <c r="C4989" s="8">
        <v>20.478950000000001</v>
      </c>
      <c r="D4989" s="8">
        <v>71</v>
      </c>
      <c r="E4989" s="8">
        <v>0</v>
      </c>
      <c r="F4989" s="8">
        <v>0</v>
      </c>
      <c r="G4989" s="8">
        <v>4</v>
      </c>
      <c r="H4989" s="8" t="s">
        <v>35616</v>
      </c>
      <c r="I4989" s="8">
        <v>526.6875</v>
      </c>
      <c r="J4989" s="3">
        <f t="shared" si="77"/>
        <v>43748.823234814809</v>
      </c>
    </row>
    <row r="4990" spans="1:10" x14ac:dyDescent="0.25">
      <c r="A4990" s="5" t="s">
        <v>35617</v>
      </c>
      <c r="B4990" s="6">
        <v>393.75</v>
      </c>
      <c r="C4990" s="6">
        <v>20.478950000000001</v>
      </c>
      <c r="D4990" s="6">
        <v>71</v>
      </c>
      <c r="E4990" s="6">
        <v>0</v>
      </c>
      <c r="F4990" s="6">
        <v>0</v>
      </c>
      <c r="G4990" s="6">
        <v>0</v>
      </c>
      <c r="H4990" s="6" t="s">
        <v>35618</v>
      </c>
      <c r="I4990" s="6">
        <v>526.6875</v>
      </c>
      <c r="J4990" s="2">
        <f t="shared" si="77"/>
        <v>43748.823318333329</v>
      </c>
    </row>
    <row r="4991" spans="1:10" x14ac:dyDescent="0.25">
      <c r="A4991" s="7" t="s">
        <v>35619</v>
      </c>
      <c r="B4991" s="8">
        <v>393.75</v>
      </c>
      <c r="C4991" s="8">
        <v>20.478950000000001</v>
      </c>
      <c r="D4991" s="8">
        <v>71</v>
      </c>
      <c r="E4991" s="8">
        <v>0</v>
      </c>
      <c r="F4991" s="8">
        <v>0</v>
      </c>
      <c r="G4991" s="8">
        <v>7</v>
      </c>
      <c r="H4991" s="8" t="s">
        <v>35620</v>
      </c>
      <c r="I4991" s="8">
        <v>526.6875</v>
      </c>
      <c r="J4991" s="3">
        <f t="shared" si="77"/>
        <v>43748.82340184028</v>
      </c>
    </row>
    <row r="4992" spans="1:10" x14ac:dyDescent="0.25">
      <c r="A4992" s="5" t="s">
        <v>35621</v>
      </c>
      <c r="B4992" s="6">
        <v>393.75</v>
      </c>
      <c r="C4992" s="6">
        <v>20.478950000000001</v>
      </c>
      <c r="D4992" s="6">
        <v>71</v>
      </c>
      <c r="E4992" s="6">
        <v>0</v>
      </c>
      <c r="F4992" s="6">
        <v>0</v>
      </c>
      <c r="G4992" s="6">
        <v>2</v>
      </c>
      <c r="H4992" s="6" t="s">
        <v>35622</v>
      </c>
      <c r="I4992" s="6">
        <v>526.5</v>
      </c>
      <c r="J4992" s="2">
        <f t="shared" si="77"/>
        <v>43748.823485254623</v>
      </c>
    </row>
    <row r="4993" spans="1:10" x14ac:dyDescent="0.25">
      <c r="A4993" s="7" t="s">
        <v>35623</v>
      </c>
      <c r="B4993" s="8">
        <v>393.75</v>
      </c>
      <c r="C4993" s="8">
        <v>20.478950000000001</v>
      </c>
      <c r="D4993" s="8">
        <v>71</v>
      </c>
      <c r="E4993" s="8">
        <v>0</v>
      </c>
      <c r="F4993" s="8">
        <v>0</v>
      </c>
      <c r="G4993" s="8">
        <v>0</v>
      </c>
      <c r="H4993" s="8" t="s">
        <v>35624</v>
      </c>
      <c r="I4993" s="8">
        <v>526.6875</v>
      </c>
      <c r="J4993" s="3">
        <f t="shared" si="77"/>
        <v>43748.823568807864</v>
      </c>
    </row>
    <row r="4994" spans="1:10" x14ac:dyDescent="0.25">
      <c r="A4994" s="5" t="s">
        <v>35625</v>
      </c>
      <c r="B4994" s="6">
        <v>393.75</v>
      </c>
      <c r="C4994" s="6">
        <v>20.478950000000001</v>
      </c>
      <c r="D4994" s="6">
        <v>71</v>
      </c>
      <c r="E4994" s="6">
        <v>0</v>
      </c>
      <c r="F4994" s="6">
        <v>0</v>
      </c>
      <c r="G4994" s="6">
        <v>3</v>
      </c>
      <c r="H4994" s="6" t="s">
        <v>35626</v>
      </c>
      <c r="I4994" s="6">
        <v>526.6875</v>
      </c>
      <c r="J4994" s="2">
        <f t="shared" ref="J4994:J5057" si="78">(H4994/86400000)+25569+(7/24)</f>
        <v>43748.82365223379</v>
      </c>
    </row>
    <row r="4995" spans="1:10" x14ac:dyDescent="0.25">
      <c r="A4995" s="7" t="s">
        <v>35627</v>
      </c>
      <c r="B4995" s="8">
        <v>393.75</v>
      </c>
      <c r="C4995" s="8">
        <v>20.478950000000001</v>
      </c>
      <c r="D4995" s="8">
        <v>70</v>
      </c>
      <c r="E4995" s="8">
        <v>0</v>
      </c>
      <c r="F4995" s="8">
        <v>0</v>
      </c>
      <c r="G4995" s="8">
        <v>13</v>
      </c>
      <c r="H4995" s="8" t="s">
        <v>35628</v>
      </c>
      <c r="I4995" s="8">
        <v>526.6875</v>
      </c>
      <c r="J4995" s="3">
        <f t="shared" si="78"/>
        <v>43748.823735787031</v>
      </c>
    </row>
    <row r="4996" spans="1:10" x14ac:dyDescent="0.25">
      <c r="A4996" s="5" t="s">
        <v>35629</v>
      </c>
      <c r="B4996" s="6">
        <v>393.75</v>
      </c>
      <c r="C4996" s="6">
        <v>20.478950000000001</v>
      </c>
      <c r="D4996" s="6">
        <v>72</v>
      </c>
      <c r="E4996" s="6">
        <v>0</v>
      </c>
      <c r="F4996" s="6">
        <v>0</v>
      </c>
      <c r="G4996" s="6">
        <v>8</v>
      </c>
      <c r="H4996" s="6" t="s">
        <v>35630</v>
      </c>
      <c r="I4996" s="6">
        <v>526.5</v>
      </c>
      <c r="J4996" s="2">
        <f t="shared" si="78"/>
        <v>43748.823818807869</v>
      </c>
    </row>
    <row r="4997" spans="1:10" x14ac:dyDescent="0.25">
      <c r="A4997" s="7" t="s">
        <v>35631</v>
      </c>
      <c r="B4997" s="8">
        <v>412.5</v>
      </c>
      <c r="C4997" s="8">
        <v>20.478950000000001</v>
      </c>
      <c r="D4997" s="8">
        <v>70</v>
      </c>
      <c r="E4997" s="8">
        <v>0</v>
      </c>
      <c r="F4997" s="8">
        <v>0</v>
      </c>
      <c r="G4997" s="8">
        <v>10</v>
      </c>
      <c r="H4997" s="8" t="s">
        <v>35632</v>
      </c>
      <c r="I4997" s="8">
        <v>532.3125</v>
      </c>
      <c r="J4997" s="3">
        <f t="shared" si="78"/>
        <v>43748.823902696757</v>
      </c>
    </row>
    <row r="4998" spans="1:10" x14ac:dyDescent="0.25">
      <c r="A4998" s="5" t="s">
        <v>35633</v>
      </c>
      <c r="B4998" s="6">
        <v>393.75</v>
      </c>
      <c r="C4998" s="6">
        <v>20.478950000000001</v>
      </c>
      <c r="D4998" s="6">
        <v>70</v>
      </c>
      <c r="E4998" s="6">
        <v>0</v>
      </c>
      <c r="F4998" s="6">
        <v>0</v>
      </c>
      <c r="G4998" s="6">
        <v>10</v>
      </c>
      <c r="H4998" s="6" t="s">
        <v>35634</v>
      </c>
      <c r="I4998" s="6">
        <v>526.6875</v>
      </c>
      <c r="J4998" s="2">
        <f t="shared" si="78"/>
        <v>43748.82398591435</v>
      </c>
    </row>
    <row r="4999" spans="1:10" x14ac:dyDescent="0.25">
      <c r="A4999" s="7" t="s">
        <v>35635</v>
      </c>
      <c r="B4999" s="8">
        <v>393.75</v>
      </c>
      <c r="C4999" s="8">
        <v>20.478950000000001</v>
      </c>
      <c r="D4999" s="8">
        <v>70</v>
      </c>
      <c r="E4999" s="8">
        <v>0</v>
      </c>
      <c r="F4999" s="8">
        <v>0</v>
      </c>
      <c r="G4999" s="8">
        <v>6</v>
      </c>
      <c r="H4999" s="8" t="s">
        <v>35636</v>
      </c>
      <c r="I4999" s="8">
        <v>526.6875</v>
      </c>
      <c r="J4999" s="3">
        <f t="shared" si="78"/>
        <v>43748.82405771991</v>
      </c>
    </row>
    <row r="5000" spans="1:10" x14ac:dyDescent="0.25">
      <c r="A5000" s="5" t="s">
        <v>35637</v>
      </c>
      <c r="B5000" s="6">
        <v>393.75</v>
      </c>
      <c r="C5000" s="6">
        <v>20.478950000000001</v>
      </c>
      <c r="D5000" s="6">
        <v>71</v>
      </c>
      <c r="E5000" s="6">
        <v>0</v>
      </c>
      <c r="F5000" s="6">
        <v>0</v>
      </c>
      <c r="G5000" s="6">
        <v>9</v>
      </c>
      <c r="H5000" s="6" t="s">
        <v>35638</v>
      </c>
      <c r="I5000" s="6">
        <v>526.6875</v>
      </c>
      <c r="J5000" s="2">
        <f t="shared" si="78"/>
        <v>43748.824161620367</v>
      </c>
    </row>
    <row r="5001" spans="1:10" x14ac:dyDescent="0.25">
      <c r="A5001" s="7" t="s">
        <v>35639</v>
      </c>
      <c r="B5001" s="8">
        <v>412.5</v>
      </c>
      <c r="C5001" s="8">
        <v>20.478950000000001</v>
      </c>
      <c r="D5001" s="8">
        <v>75</v>
      </c>
      <c r="E5001" s="8">
        <v>0</v>
      </c>
      <c r="F5001" s="8">
        <v>0</v>
      </c>
      <c r="G5001" s="8">
        <v>3</v>
      </c>
      <c r="H5001" s="8" t="s">
        <v>35640</v>
      </c>
      <c r="I5001" s="8">
        <v>532.5</v>
      </c>
      <c r="J5001" s="3">
        <f t="shared" si="78"/>
        <v>43748.824248645826</v>
      </c>
    </row>
    <row r="5002" spans="1:10" x14ac:dyDescent="0.25">
      <c r="A5002" s="5" t="s">
        <v>35641</v>
      </c>
      <c r="B5002" s="6">
        <v>396.875</v>
      </c>
      <c r="C5002" s="6">
        <v>20.478950000000001</v>
      </c>
      <c r="D5002" s="6">
        <v>73</v>
      </c>
      <c r="E5002" s="6">
        <v>0</v>
      </c>
      <c r="F5002" s="6">
        <v>0</v>
      </c>
      <c r="G5002" s="6">
        <v>6</v>
      </c>
      <c r="H5002" s="6" t="s">
        <v>35642</v>
      </c>
      <c r="I5002" s="6">
        <v>527.4375</v>
      </c>
      <c r="J5002" s="2">
        <f t="shared" si="78"/>
        <v>43748.824332037031</v>
      </c>
    </row>
    <row r="5003" spans="1:10" x14ac:dyDescent="0.25">
      <c r="A5003" s="7" t="s">
        <v>35643</v>
      </c>
      <c r="B5003" s="8">
        <v>396.875</v>
      </c>
      <c r="C5003" s="8">
        <v>20.478950000000001</v>
      </c>
      <c r="D5003" s="8">
        <v>69</v>
      </c>
      <c r="E5003" s="8">
        <v>0</v>
      </c>
      <c r="F5003" s="8">
        <v>0</v>
      </c>
      <c r="G5003" s="8">
        <v>16</v>
      </c>
      <c r="H5003" s="8" t="s">
        <v>35644</v>
      </c>
      <c r="I5003" s="8">
        <v>527.4375</v>
      </c>
      <c r="J5003" s="3">
        <f t="shared" si="78"/>
        <v>43748.824415555551</v>
      </c>
    </row>
    <row r="5004" spans="1:10" x14ac:dyDescent="0.25">
      <c r="A5004" s="5" t="s">
        <v>35645</v>
      </c>
      <c r="B5004" s="6">
        <v>393.75</v>
      </c>
      <c r="C5004" s="6">
        <v>20.478950000000001</v>
      </c>
      <c r="D5004" s="6">
        <v>70</v>
      </c>
      <c r="E5004" s="6">
        <v>0</v>
      </c>
      <c r="F5004" s="6">
        <v>0</v>
      </c>
      <c r="G5004" s="6">
        <v>10</v>
      </c>
      <c r="H5004" s="6" t="s">
        <v>35646</v>
      </c>
      <c r="I5004" s="6">
        <v>526.5</v>
      </c>
      <c r="J5004" s="2">
        <f t="shared" si="78"/>
        <v>43748.824498912036</v>
      </c>
    </row>
    <row r="5005" spans="1:10" x14ac:dyDescent="0.25">
      <c r="A5005" s="7" t="s">
        <v>35647</v>
      </c>
      <c r="B5005" s="8">
        <v>393.75</v>
      </c>
      <c r="C5005" s="8">
        <v>20.478950000000001</v>
      </c>
      <c r="D5005" s="8">
        <v>70</v>
      </c>
      <c r="E5005" s="8">
        <v>0</v>
      </c>
      <c r="F5005" s="8">
        <v>0</v>
      </c>
      <c r="G5005" s="8">
        <v>9</v>
      </c>
      <c r="H5005" s="8" t="s">
        <v>35648</v>
      </c>
      <c r="I5005" s="8">
        <v>526.5</v>
      </c>
      <c r="J5005" s="3">
        <f t="shared" si="78"/>
        <v>43748.824582245368</v>
      </c>
    </row>
    <row r="5006" spans="1:10" x14ac:dyDescent="0.25">
      <c r="A5006" s="5" t="s">
        <v>35649</v>
      </c>
      <c r="B5006" s="6">
        <v>393.75</v>
      </c>
      <c r="C5006" s="6">
        <v>20.478950000000001</v>
      </c>
      <c r="D5006" s="6">
        <v>70</v>
      </c>
      <c r="E5006" s="6">
        <v>0</v>
      </c>
      <c r="F5006" s="6">
        <v>0</v>
      </c>
      <c r="G5006" s="6">
        <v>10</v>
      </c>
      <c r="H5006" s="6" t="s">
        <v>35650</v>
      </c>
      <c r="I5006" s="6">
        <v>526.6875</v>
      </c>
      <c r="J5006" s="2">
        <f t="shared" si="78"/>
        <v>43748.824653865733</v>
      </c>
    </row>
    <row r="5007" spans="1:10" x14ac:dyDescent="0.25">
      <c r="A5007" s="7" t="s">
        <v>35651</v>
      </c>
      <c r="B5007" s="8">
        <v>393.75</v>
      </c>
      <c r="C5007" s="8">
        <v>20.478950000000001</v>
      </c>
      <c r="D5007" s="8">
        <v>65</v>
      </c>
      <c r="E5007" s="8">
        <v>0</v>
      </c>
      <c r="F5007" s="8">
        <v>0</v>
      </c>
      <c r="G5007" s="8">
        <v>11</v>
      </c>
      <c r="H5007" s="8" t="s">
        <v>35652</v>
      </c>
      <c r="I5007" s="8">
        <v>526.5</v>
      </c>
      <c r="J5007" s="3">
        <f t="shared" si="78"/>
        <v>43748.824737777781</v>
      </c>
    </row>
    <row r="5008" spans="1:10" x14ac:dyDescent="0.25">
      <c r="A5008" s="5" t="s">
        <v>35653</v>
      </c>
      <c r="B5008" s="6">
        <v>393.75</v>
      </c>
      <c r="C5008" s="6">
        <v>20.478950000000001</v>
      </c>
      <c r="D5008" s="6">
        <v>66</v>
      </c>
      <c r="E5008" s="6">
        <v>0</v>
      </c>
      <c r="F5008" s="6">
        <v>0</v>
      </c>
      <c r="G5008" s="6">
        <v>7</v>
      </c>
      <c r="H5008" s="6" t="s">
        <v>35654</v>
      </c>
      <c r="I5008" s="6">
        <v>526.6875</v>
      </c>
      <c r="J5008" s="2">
        <f t="shared" si="78"/>
        <v>43748.824830787031</v>
      </c>
    </row>
    <row r="5009" spans="1:10" x14ac:dyDescent="0.25">
      <c r="A5009" s="7" t="s">
        <v>35655</v>
      </c>
      <c r="B5009" s="8">
        <v>393.75</v>
      </c>
      <c r="C5009" s="8">
        <v>20.478950000000001</v>
      </c>
      <c r="D5009" s="8">
        <v>68</v>
      </c>
      <c r="E5009" s="8">
        <v>0</v>
      </c>
      <c r="F5009" s="8">
        <v>0</v>
      </c>
      <c r="G5009" s="8">
        <v>14</v>
      </c>
      <c r="H5009" s="8" t="s">
        <v>35656</v>
      </c>
      <c r="I5009" s="8">
        <v>526.6875</v>
      </c>
      <c r="J5009" s="3">
        <f t="shared" si="78"/>
        <v>43748.824904444446</v>
      </c>
    </row>
    <row r="5010" spans="1:10" x14ac:dyDescent="0.25">
      <c r="A5010" s="5" t="s">
        <v>35657</v>
      </c>
      <c r="B5010" s="6">
        <v>393.75</v>
      </c>
      <c r="C5010" s="6">
        <v>20.478950000000001</v>
      </c>
      <c r="D5010" s="6">
        <v>69</v>
      </c>
      <c r="E5010" s="6">
        <v>0</v>
      </c>
      <c r="F5010" s="6">
        <v>0</v>
      </c>
      <c r="G5010" s="6">
        <v>5</v>
      </c>
      <c r="H5010" s="6" t="s">
        <v>35658</v>
      </c>
      <c r="I5010" s="6">
        <v>526.6875</v>
      </c>
      <c r="J5010" s="2">
        <f t="shared" si="78"/>
        <v>43748.824988206012</v>
      </c>
    </row>
    <row r="5011" spans="1:10" x14ac:dyDescent="0.25">
      <c r="A5011" s="7" t="s">
        <v>35659</v>
      </c>
      <c r="B5011" s="8">
        <v>393.75</v>
      </c>
      <c r="C5011" s="8">
        <v>20.478950000000001</v>
      </c>
      <c r="D5011" s="8">
        <v>69</v>
      </c>
      <c r="E5011" s="8">
        <v>0</v>
      </c>
      <c r="F5011" s="8">
        <v>0</v>
      </c>
      <c r="G5011" s="8">
        <v>13</v>
      </c>
      <c r="H5011" s="8" t="s">
        <v>35660</v>
      </c>
      <c r="I5011" s="8">
        <v>526.6875</v>
      </c>
      <c r="J5011" s="3">
        <f t="shared" si="78"/>
        <v>43748.825059664348</v>
      </c>
    </row>
    <row r="5012" spans="1:10" x14ac:dyDescent="0.25">
      <c r="A5012" s="5" t="s">
        <v>35661</v>
      </c>
      <c r="B5012" s="6">
        <v>393.75</v>
      </c>
      <c r="C5012" s="6">
        <v>20.478950000000001</v>
      </c>
      <c r="D5012" s="6">
        <v>69</v>
      </c>
      <c r="E5012" s="6">
        <v>0</v>
      </c>
      <c r="F5012" s="6">
        <v>0</v>
      </c>
      <c r="G5012" s="6">
        <v>12</v>
      </c>
      <c r="H5012" s="6" t="s">
        <v>35662</v>
      </c>
      <c r="I5012" s="6">
        <v>526.6875</v>
      </c>
      <c r="J5012" s="2">
        <f t="shared" si="78"/>
        <v>43748.825143217589</v>
      </c>
    </row>
    <row r="5013" spans="1:10" x14ac:dyDescent="0.25">
      <c r="A5013" s="7" t="s">
        <v>35663</v>
      </c>
      <c r="B5013" s="8">
        <v>393.75</v>
      </c>
      <c r="C5013" s="8">
        <v>20.478950000000001</v>
      </c>
      <c r="D5013" s="8">
        <v>69</v>
      </c>
      <c r="E5013" s="8">
        <v>0</v>
      </c>
      <c r="F5013" s="8">
        <v>0</v>
      </c>
      <c r="G5013" s="8">
        <v>15</v>
      </c>
      <c r="H5013" s="8" t="s">
        <v>35664</v>
      </c>
      <c r="I5013" s="8">
        <v>526.6875</v>
      </c>
      <c r="J5013" s="3">
        <f t="shared" si="78"/>
        <v>43748.825226655092</v>
      </c>
    </row>
    <row r="5014" spans="1:10" x14ac:dyDescent="0.25">
      <c r="A5014" s="5" t="s">
        <v>35665</v>
      </c>
      <c r="B5014" s="6">
        <v>393.75</v>
      </c>
      <c r="C5014" s="6">
        <v>20.478950000000001</v>
      </c>
      <c r="D5014" s="6">
        <v>66</v>
      </c>
      <c r="E5014" s="6">
        <v>0</v>
      </c>
      <c r="F5014" s="6">
        <v>0</v>
      </c>
      <c r="G5014" s="6">
        <v>6</v>
      </c>
      <c r="H5014" s="6" t="s">
        <v>35666</v>
      </c>
      <c r="I5014" s="6">
        <v>526.6875</v>
      </c>
      <c r="J5014" s="2">
        <f t="shared" si="78"/>
        <v>43748.825310127308</v>
      </c>
    </row>
    <row r="5015" spans="1:10" x14ac:dyDescent="0.25">
      <c r="A5015" s="7" t="s">
        <v>35667</v>
      </c>
      <c r="B5015" s="8">
        <v>393.75</v>
      </c>
      <c r="C5015" s="8">
        <v>20.478950000000001</v>
      </c>
      <c r="D5015" s="8">
        <v>67</v>
      </c>
      <c r="E5015" s="8">
        <v>0</v>
      </c>
      <c r="F5015" s="8">
        <v>0</v>
      </c>
      <c r="G5015" s="8">
        <v>9</v>
      </c>
      <c r="H5015" s="8" t="s">
        <v>35668</v>
      </c>
      <c r="I5015" s="8">
        <v>526.6875</v>
      </c>
      <c r="J5015" s="3">
        <f t="shared" si="78"/>
        <v>43748.825393344909</v>
      </c>
    </row>
    <row r="5016" spans="1:10" x14ac:dyDescent="0.25">
      <c r="A5016" s="5" t="s">
        <v>35669</v>
      </c>
      <c r="B5016" s="6">
        <v>393.75</v>
      </c>
      <c r="C5016" s="6">
        <v>20.478950000000001</v>
      </c>
      <c r="D5016" s="6">
        <v>67</v>
      </c>
      <c r="E5016" s="6">
        <v>0</v>
      </c>
      <c r="F5016" s="6">
        <v>0</v>
      </c>
      <c r="G5016" s="6">
        <v>10</v>
      </c>
      <c r="H5016" s="6" t="s">
        <v>35670</v>
      </c>
      <c r="I5016" s="6">
        <v>526.6875</v>
      </c>
      <c r="J5016" s="2">
        <f t="shared" si="78"/>
        <v>43748.825465092588</v>
      </c>
    </row>
    <row r="5017" spans="1:10" x14ac:dyDescent="0.25">
      <c r="A5017" s="7" t="s">
        <v>35671</v>
      </c>
      <c r="B5017" s="8">
        <v>393.75</v>
      </c>
      <c r="C5017" s="8">
        <v>20.478950000000001</v>
      </c>
      <c r="D5017" s="8">
        <v>69</v>
      </c>
      <c r="E5017" s="8">
        <v>0</v>
      </c>
      <c r="F5017" s="8">
        <v>0</v>
      </c>
      <c r="G5017" s="8">
        <v>5</v>
      </c>
      <c r="H5017" s="8" t="s">
        <v>35672</v>
      </c>
      <c r="I5017" s="8">
        <v>526.6875</v>
      </c>
      <c r="J5017" s="3">
        <f t="shared" si="78"/>
        <v>43748.82554863426</v>
      </c>
    </row>
    <row r="5018" spans="1:10" x14ac:dyDescent="0.25">
      <c r="A5018" s="5" t="s">
        <v>35673</v>
      </c>
      <c r="B5018" s="6">
        <v>393.75</v>
      </c>
      <c r="C5018" s="6">
        <v>20.478950000000001</v>
      </c>
      <c r="D5018" s="6">
        <v>70</v>
      </c>
      <c r="E5018" s="6">
        <v>0</v>
      </c>
      <c r="F5018" s="6">
        <v>0</v>
      </c>
      <c r="G5018" s="6">
        <v>10</v>
      </c>
      <c r="H5018" s="6" t="s">
        <v>35674</v>
      </c>
      <c r="I5018" s="6">
        <v>526.6875</v>
      </c>
      <c r="J5018" s="2">
        <f t="shared" si="78"/>
        <v>43748.825644120363</v>
      </c>
    </row>
    <row r="5019" spans="1:10" x14ac:dyDescent="0.25">
      <c r="A5019" s="7" t="s">
        <v>35675</v>
      </c>
      <c r="B5019" s="8">
        <v>393.75</v>
      </c>
      <c r="C5019" s="8">
        <v>20.478950000000001</v>
      </c>
      <c r="D5019" s="8">
        <v>73</v>
      </c>
      <c r="E5019" s="8">
        <v>0</v>
      </c>
      <c r="F5019" s="8">
        <v>0</v>
      </c>
      <c r="G5019" s="8">
        <v>8</v>
      </c>
      <c r="H5019" s="8" t="s">
        <v>35676</v>
      </c>
      <c r="I5019" s="8">
        <v>526.6875</v>
      </c>
      <c r="J5019" s="3">
        <f t="shared" si="78"/>
        <v>43748.825727453703</v>
      </c>
    </row>
    <row r="5020" spans="1:10" x14ac:dyDescent="0.25">
      <c r="A5020" s="5" t="s">
        <v>35677</v>
      </c>
      <c r="B5020" s="6">
        <v>393.75</v>
      </c>
      <c r="C5020" s="6">
        <v>20.478950000000001</v>
      </c>
      <c r="D5020" s="6">
        <v>72</v>
      </c>
      <c r="E5020" s="6">
        <v>0</v>
      </c>
      <c r="F5020" s="6">
        <v>0</v>
      </c>
      <c r="G5020" s="6">
        <v>3</v>
      </c>
      <c r="H5020" s="6" t="s">
        <v>35678</v>
      </c>
      <c r="I5020" s="6">
        <v>526.6875</v>
      </c>
      <c r="J5020" s="2">
        <f t="shared" si="78"/>
        <v>43748.82579909722</v>
      </c>
    </row>
    <row r="5021" spans="1:10" x14ac:dyDescent="0.25">
      <c r="A5021" s="7" t="s">
        <v>35679</v>
      </c>
      <c r="B5021" s="8">
        <v>393.75</v>
      </c>
      <c r="C5021" s="8">
        <v>20.478950000000001</v>
      </c>
      <c r="D5021" s="8">
        <v>72</v>
      </c>
      <c r="E5021" s="8">
        <v>0</v>
      </c>
      <c r="F5021" s="8">
        <v>0</v>
      </c>
      <c r="G5021" s="8">
        <v>5</v>
      </c>
      <c r="H5021" s="8" t="s">
        <v>35680</v>
      </c>
      <c r="I5021" s="8">
        <v>526.6875</v>
      </c>
      <c r="J5021" s="3">
        <f t="shared" si="78"/>
        <v>43748.825891249995</v>
      </c>
    </row>
    <row r="5022" spans="1:10" x14ac:dyDescent="0.25">
      <c r="A5022" s="5" t="s">
        <v>35681</v>
      </c>
      <c r="B5022" s="6">
        <v>393.75</v>
      </c>
      <c r="C5022" s="6">
        <v>20.478950000000001</v>
      </c>
      <c r="D5022" s="6">
        <v>72</v>
      </c>
      <c r="E5022" s="6">
        <v>0</v>
      </c>
      <c r="F5022" s="6">
        <v>0</v>
      </c>
      <c r="G5022" s="6">
        <v>14</v>
      </c>
      <c r="H5022" s="6" t="s">
        <v>35682</v>
      </c>
      <c r="I5022" s="6">
        <v>526.6875</v>
      </c>
      <c r="J5022" s="2">
        <f t="shared" si="78"/>
        <v>43748.825965995369</v>
      </c>
    </row>
    <row r="5023" spans="1:10" x14ac:dyDescent="0.25">
      <c r="A5023" s="7" t="s">
        <v>35683</v>
      </c>
      <c r="B5023" s="8">
        <v>428.125</v>
      </c>
      <c r="C5023" s="8">
        <v>20.426300000000001</v>
      </c>
      <c r="D5023" s="8">
        <v>71</v>
      </c>
      <c r="E5023" s="8">
        <v>0</v>
      </c>
      <c r="F5023" s="8">
        <v>0</v>
      </c>
      <c r="G5023" s="8">
        <v>4</v>
      </c>
      <c r="H5023" s="8" t="s">
        <v>35684</v>
      </c>
      <c r="I5023" s="8">
        <v>537.75</v>
      </c>
      <c r="J5023" s="3">
        <f t="shared" si="78"/>
        <v>43748.826049687494</v>
      </c>
    </row>
    <row r="5024" spans="1:10" x14ac:dyDescent="0.25">
      <c r="A5024" s="5" t="s">
        <v>35685</v>
      </c>
      <c r="B5024" s="6">
        <v>393.75</v>
      </c>
      <c r="C5024" s="6">
        <v>20.478950000000001</v>
      </c>
      <c r="D5024" s="6">
        <v>71</v>
      </c>
      <c r="E5024" s="6">
        <v>0</v>
      </c>
      <c r="F5024" s="6">
        <v>0</v>
      </c>
      <c r="G5024" s="6">
        <v>11</v>
      </c>
      <c r="H5024" s="6" t="s">
        <v>35686</v>
      </c>
      <c r="I5024" s="6">
        <v>526.6875</v>
      </c>
      <c r="J5024" s="2">
        <f t="shared" si="78"/>
        <v>43748.826121099533</v>
      </c>
    </row>
    <row r="5025" spans="1:10" x14ac:dyDescent="0.25">
      <c r="A5025" s="7" t="s">
        <v>35687</v>
      </c>
      <c r="B5025" s="8">
        <v>393.75</v>
      </c>
      <c r="C5025" s="8">
        <v>20.478950000000001</v>
      </c>
      <c r="D5025" s="8">
        <v>70</v>
      </c>
      <c r="E5025" s="8">
        <v>0</v>
      </c>
      <c r="F5025" s="8">
        <v>0</v>
      </c>
      <c r="G5025" s="8">
        <v>14</v>
      </c>
      <c r="H5025" s="8" t="s">
        <v>35688</v>
      </c>
      <c r="I5025" s="8">
        <v>526.6875</v>
      </c>
      <c r="J5025" s="3">
        <f t="shared" si="78"/>
        <v>43748.826204432866</v>
      </c>
    </row>
    <row r="5026" spans="1:10" x14ac:dyDescent="0.25">
      <c r="A5026" s="5" t="s">
        <v>35689</v>
      </c>
      <c r="B5026" s="6">
        <v>412.5</v>
      </c>
      <c r="C5026" s="6">
        <v>20.426300000000001</v>
      </c>
      <c r="D5026" s="6">
        <v>70</v>
      </c>
      <c r="E5026" s="6">
        <v>0</v>
      </c>
      <c r="F5026" s="6">
        <v>0</v>
      </c>
      <c r="G5026" s="6">
        <v>5</v>
      </c>
      <c r="H5026" s="6" t="s">
        <v>35690</v>
      </c>
      <c r="I5026" s="6">
        <v>532.3125</v>
      </c>
      <c r="J5026" s="2">
        <f t="shared" si="78"/>
        <v>43748.826276076383</v>
      </c>
    </row>
    <row r="5027" spans="1:10" x14ac:dyDescent="0.25">
      <c r="A5027" s="7" t="s">
        <v>35691</v>
      </c>
      <c r="B5027" s="8">
        <v>393.75</v>
      </c>
      <c r="C5027" s="8">
        <v>20.478950000000001</v>
      </c>
      <c r="D5027" s="8">
        <v>69</v>
      </c>
      <c r="E5027" s="8">
        <v>0</v>
      </c>
      <c r="F5027" s="8">
        <v>0</v>
      </c>
      <c r="G5027" s="8">
        <v>6</v>
      </c>
      <c r="H5027" s="8" t="s">
        <v>35692</v>
      </c>
      <c r="I5027" s="8">
        <v>526.6875</v>
      </c>
      <c r="J5027" s="3">
        <f t="shared" si="78"/>
        <v>43748.826359722218</v>
      </c>
    </row>
    <row r="5028" spans="1:10" x14ac:dyDescent="0.25">
      <c r="A5028" s="5" t="s">
        <v>35693</v>
      </c>
      <c r="B5028" s="6">
        <v>393.75</v>
      </c>
      <c r="C5028" s="6">
        <v>20.478950000000001</v>
      </c>
      <c r="D5028" s="6">
        <v>68</v>
      </c>
      <c r="E5028" s="6">
        <v>0</v>
      </c>
      <c r="F5028" s="6">
        <v>0</v>
      </c>
      <c r="G5028" s="6">
        <v>8</v>
      </c>
      <c r="H5028" s="6" t="s">
        <v>35694</v>
      </c>
      <c r="I5028" s="6">
        <v>526.5</v>
      </c>
      <c r="J5028" s="2">
        <f t="shared" si="78"/>
        <v>43748.826453368056</v>
      </c>
    </row>
    <row r="5029" spans="1:10" x14ac:dyDescent="0.25">
      <c r="A5029" s="7" t="s">
        <v>35695</v>
      </c>
      <c r="B5029" s="8">
        <v>393.75</v>
      </c>
      <c r="C5029" s="8">
        <v>20.478950000000001</v>
      </c>
      <c r="D5029" s="8">
        <v>68</v>
      </c>
      <c r="E5029" s="8">
        <v>0</v>
      </c>
      <c r="F5029" s="8">
        <v>0</v>
      </c>
      <c r="G5029" s="8">
        <v>8</v>
      </c>
      <c r="H5029" s="8" t="s">
        <v>35696</v>
      </c>
      <c r="I5029" s="8">
        <v>526.6875</v>
      </c>
      <c r="J5029" s="3">
        <f t="shared" si="78"/>
        <v>43748.826526874996</v>
      </c>
    </row>
    <row r="5030" spans="1:10" x14ac:dyDescent="0.25">
      <c r="A5030" s="5" t="s">
        <v>35697</v>
      </c>
      <c r="B5030" s="6">
        <v>393.75</v>
      </c>
      <c r="C5030" s="6">
        <v>20.478950000000001</v>
      </c>
      <c r="D5030" s="6">
        <v>68</v>
      </c>
      <c r="E5030" s="6">
        <v>0</v>
      </c>
      <c r="F5030" s="6">
        <v>0</v>
      </c>
      <c r="G5030" s="6">
        <v>0</v>
      </c>
      <c r="H5030" s="6" t="s">
        <v>35698</v>
      </c>
      <c r="I5030" s="6">
        <v>526.6875</v>
      </c>
      <c r="J5030" s="2">
        <f t="shared" si="78"/>
        <v>43748.82661009259</v>
      </c>
    </row>
    <row r="5031" spans="1:10" x14ac:dyDescent="0.25">
      <c r="A5031" s="7" t="s">
        <v>35699</v>
      </c>
      <c r="B5031" s="8">
        <v>393.75</v>
      </c>
      <c r="C5031" s="8">
        <v>20.478950000000001</v>
      </c>
      <c r="D5031" s="8">
        <v>72</v>
      </c>
      <c r="E5031" s="8">
        <v>0</v>
      </c>
      <c r="F5031" s="8">
        <v>0</v>
      </c>
      <c r="G5031" s="8">
        <v>15</v>
      </c>
      <c r="H5031" s="8" t="s">
        <v>35700</v>
      </c>
      <c r="I5031" s="8">
        <v>526.6875</v>
      </c>
      <c r="J5031" s="3">
        <f t="shared" si="78"/>
        <v>43748.82669332176</v>
      </c>
    </row>
    <row r="5032" spans="1:10" x14ac:dyDescent="0.25">
      <c r="A5032" s="5" t="s">
        <v>35701</v>
      </c>
      <c r="B5032" s="6">
        <v>393.75</v>
      </c>
      <c r="C5032" s="6">
        <v>20.478950000000001</v>
      </c>
      <c r="D5032" s="6">
        <v>72</v>
      </c>
      <c r="E5032" s="6">
        <v>0</v>
      </c>
      <c r="F5032" s="6">
        <v>0</v>
      </c>
      <c r="G5032" s="6">
        <v>5</v>
      </c>
      <c r="H5032" s="6" t="s">
        <v>35702</v>
      </c>
      <c r="I5032" s="6">
        <v>526.6875</v>
      </c>
      <c r="J5032" s="2">
        <f t="shared" si="78"/>
        <v>43748.82676506944</v>
      </c>
    </row>
    <row r="5033" spans="1:10" x14ac:dyDescent="0.25">
      <c r="A5033" s="7" t="s">
        <v>35703</v>
      </c>
      <c r="B5033" s="8">
        <v>393.75</v>
      </c>
      <c r="C5033" s="8">
        <v>20.478950000000001</v>
      </c>
      <c r="D5033" s="8">
        <v>71</v>
      </c>
      <c r="E5033" s="8">
        <v>0</v>
      </c>
      <c r="F5033" s="8">
        <v>0</v>
      </c>
      <c r="G5033" s="8">
        <v>8</v>
      </c>
      <c r="H5033" s="8" t="s">
        <v>35704</v>
      </c>
      <c r="I5033" s="8">
        <v>526.6875</v>
      </c>
      <c r="J5033" s="3">
        <f t="shared" si="78"/>
        <v>43748.82684887731</v>
      </c>
    </row>
    <row r="5034" spans="1:10" x14ac:dyDescent="0.25">
      <c r="A5034" s="5" t="s">
        <v>35705</v>
      </c>
      <c r="B5034" s="6">
        <v>393.75</v>
      </c>
      <c r="C5034" s="6">
        <v>20.478950000000001</v>
      </c>
      <c r="D5034" s="6">
        <v>69</v>
      </c>
      <c r="E5034" s="6">
        <v>0</v>
      </c>
      <c r="F5034" s="6">
        <v>0</v>
      </c>
      <c r="G5034" s="6">
        <v>3</v>
      </c>
      <c r="H5034" s="6" t="s">
        <v>35706</v>
      </c>
      <c r="I5034" s="6">
        <v>526.6875</v>
      </c>
      <c r="J5034" s="2">
        <f t="shared" si="78"/>
        <v>43748.826932199074</v>
      </c>
    </row>
    <row r="5035" spans="1:10" x14ac:dyDescent="0.25">
      <c r="A5035" s="7" t="s">
        <v>35707</v>
      </c>
      <c r="B5035" s="8">
        <v>393.75</v>
      </c>
      <c r="C5035" s="8">
        <v>20.478950000000001</v>
      </c>
      <c r="D5035" s="8">
        <v>69</v>
      </c>
      <c r="E5035" s="8">
        <v>0</v>
      </c>
      <c r="F5035" s="8">
        <v>0</v>
      </c>
      <c r="G5035" s="8">
        <v>3</v>
      </c>
      <c r="H5035" s="8" t="s">
        <v>35708</v>
      </c>
      <c r="I5035" s="8">
        <v>526.6875</v>
      </c>
      <c r="J5035" s="3">
        <f t="shared" si="78"/>
        <v>43748.827015648145</v>
      </c>
    </row>
    <row r="5036" spans="1:10" x14ac:dyDescent="0.25">
      <c r="A5036" s="5" t="s">
        <v>35709</v>
      </c>
      <c r="B5036" s="6">
        <v>431.25</v>
      </c>
      <c r="C5036" s="6">
        <v>20.478950000000001</v>
      </c>
      <c r="D5036" s="6">
        <v>69</v>
      </c>
      <c r="E5036" s="6">
        <v>0</v>
      </c>
      <c r="F5036" s="6">
        <v>0</v>
      </c>
      <c r="G5036" s="6">
        <v>9</v>
      </c>
      <c r="H5036" s="6" t="s">
        <v>35710</v>
      </c>
      <c r="I5036" s="6">
        <v>538.5</v>
      </c>
      <c r="J5036" s="2">
        <f t="shared" si="78"/>
        <v>43748.827099097216</v>
      </c>
    </row>
    <row r="5037" spans="1:10" x14ac:dyDescent="0.25">
      <c r="A5037" s="7" t="s">
        <v>35711</v>
      </c>
      <c r="B5037" s="8">
        <v>393.75</v>
      </c>
      <c r="C5037" s="8">
        <v>20.478950000000001</v>
      </c>
      <c r="D5037" s="8">
        <v>71</v>
      </c>
      <c r="E5037" s="8">
        <v>0</v>
      </c>
      <c r="F5037" s="8">
        <v>0</v>
      </c>
      <c r="G5037" s="8">
        <v>3</v>
      </c>
      <c r="H5037" s="8" t="s">
        <v>35712</v>
      </c>
      <c r="I5037" s="8">
        <v>526.6875</v>
      </c>
      <c r="J5037" s="3">
        <f t="shared" si="78"/>
        <v>43748.827182442132</v>
      </c>
    </row>
    <row r="5038" spans="1:10" x14ac:dyDescent="0.25">
      <c r="A5038" s="5" t="s">
        <v>35713</v>
      </c>
      <c r="B5038" s="6">
        <v>393.75</v>
      </c>
      <c r="C5038" s="6">
        <v>20.478950000000001</v>
      </c>
      <c r="D5038" s="6">
        <v>71</v>
      </c>
      <c r="E5038" s="6">
        <v>0</v>
      </c>
      <c r="F5038" s="6">
        <v>0</v>
      </c>
      <c r="G5038" s="6">
        <v>9</v>
      </c>
      <c r="H5038" s="6" t="s">
        <v>35714</v>
      </c>
      <c r="I5038" s="6">
        <v>526.6875</v>
      </c>
      <c r="J5038" s="2">
        <f t="shared" si="78"/>
        <v>43748.827253842588</v>
      </c>
    </row>
    <row r="5039" spans="1:10" x14ac:dyDescent="0.25">
      <c r="A5039" s="7" t="s">
        <v>35715</v>
      </c>
      <c r="B5039" s="8">
        <v>393.75</v>
      </c>
      <c r="C5039" s="8">
        <v>20.478950000000001</v>
      </c>
      <c r="D5039" s="8">
        <v>71</v>
      </c>
      <c r="E5039" s="8">
        <v>0</v>
      </c>
      <c r="F5039" s="8">
        <v>0</v>
      </c>
      <c r="G5039" s="8">
        <v>9</v>
      </c>
      <c r="H5039" s="8" t="s">
        <v>35716</v>
      </c>
      <c r="I5039" s="8">
        <v>526.6875</v>
      </c>
      <c r="J5039" s="3">
        <f t="shared" si="78"/>
        <v>43748.827337789349</v>
      </c>
    </row>
    <row r="5040" spans="1:10" x14ac:dyDescent="0.25">
      <c r="A5040" s="5" t="s">
        <v>35717</v>
      </c>
      <c r="B5040" s="6">
        <v>393.75</v>
      </c>
      <c r="C5040" s="6">
        <v>20.478950000000001</v>
      </c>
      <c r="D5040" s="6">
        <v>70</v>
      </c>
      <c r="E5040" s="6">
        <v>0</v>
      </c>
      <c r="F5040" s="6">
        <v>0</v>
      </c>
      <c r="G5040" s="6">
        <v>19</v>
      </c>
      <c r="H5040" s="6" t="s">
        <v>35718</v>
      </c>
      <c r="I5040" s="6">
        <v>526.6875</v>
      </c>
      <c r="J5040" s="2">
        <f t="shared" si="78"/>
        <v>43748.827421087961</v>
      </c>
    </row>
    <row r="5041" spans="1:10" x14ac:dyDescent="0.25">
      <c r="A5041" s="7" t="s">
        <v>35719</v>
      </c>
      <c r="B5041" s="8">
        <v>428.125</v>
      </c>
      <c r="C5041" s="8">
        <v>20.478950000000001</v>
      </c>
      <c r="D5041" s="8">
        <v>69</v>
      </c>
      <c r="E5041" s="8">
        <v>0</v>
      </c>
      <c r="F5041" s="8">
        <v>0</v>
      </c>
      <c r="G5041" s="8">
        <v>6</v>
      </c>
      <c r="H5041" s="8" t="s">
        <v>35720</v>
      </c>
      <c r="I5041" s="8">
        <v>537.1875</v>
      </c>
      <c r="J5041" s="3">
        <f t="shared" si="78"/>
        <v>43748.827504432869</v>
      </c>
    </row>
    <row r="5042" spans="1:10" x14ac:dyDescent="0.25">
      <c r="A5042" s="5" t="s">
        <v>35721</v>
      </c>
      <c r="B5042" s="6">
        <v>393.75</v>
      </c>
      <c r="C5042" s="6">
        <v>20.478950000000001</v>
      </c>
      <c r="D5042" s="6">
        <v>69</v>
      </c>
      <c r="E5042" s="6">
        <v>0</v>
      </c>
      <c r="F5042" s="6">
        <v>0</v>
      </c>
      <c r="G5042" s="6">
        <v>4</v>
      </c>
      <c r="H5042" s="6" t="s">
        <v>35722</v>
      </c>
      <c r="I5042" s="6">
        <v>526.6875</v>
      </c>
      <c r="J5042" s="2">
        <f t="shared" si="78"/>
        <v>43748.827578530087</v>
      </c>
    </row>
    <row r="5043" spans="1:10" x14ac:dyDescent="0.25">
      <c r="A5043" s="7" t="s">
        <v>35723</v>
      </c>
      <c r="B5043" s="8">
        <v>393.75</v>
      </c>
      <c r="C5043" s="8">
        <v>20.478950000000001</v>
      </c>
      <c r="D5043" s="8">
        <v>69</v>
      </c>
      <c r="E5043" s="8">
        <v>0</v>
      </c>
      <c r="F5043" s="8">
        <v>0</v>
      </c>
      <c r="G5043" s="8">
        <v>4</v>
      </c>
      <c r="H5043" s="8" t="s">
        <v>35724</v>
      </c>
      <c r="I5043" s="8">
        <v>526.6875</v>
      </c>
      <c r="J5043" s="3">
        <f t="shared" si="78"/>
        <v>43748.827659629627</v>
      </c>
    </row>
    <row r="5044" spans="1:10" x14ac:dyDescent="0.25">
      <c r="A5044" s="5" t="s">
        <v>35725</v>
      </c>
      <c r="B5044" s="6">
        <v>412.5</v>
      </c>
      <c r="C5044" s="6">
        <v>20.478950000000001</v>
      </c>
      <c r="D5044" s="6">
        <v>67</v>
      </c>
      <c r="E5044" s="6">
        <v>0</v>
      </c>
      <c r="F5044" s="6">
        <v>0</v>
      </c>
      <c r="G5044" s="6">
        <v>6</v>
      </c>
      <c r="H5044" s="6" t="s">
        <v>35726</v>
      </c>
      <c r="I5044" s="6">
        <v>532.3125</v>
      </c>
      <c r="J5044" s="2">
        <f t="shared" si="78"/>
        <v>43748.82774320602</v>
      </c>
    </row>
    <row r="5045" spans="1:10" x14ac:dyDescent="0.25">
      <c r="A5045" s="7" t="s">
        <v>35727</v>
      </c>
      <c r="B5045" s="8">
        <v>393.75</v>
      </c>
      <c r="C5045" s="8">
        <v>20.478950000000001</v>
      </c>
      <c r="D5045" s="8">
        <v>67</v>
      </c>
      <c r="E5045" s="8">
        <v>0</v>
      </c>
      <c r="F5045" s="8">
        <v>0</v>
      </c>
      <c r="G5045" s="8">
        <v>6</v>
      </c>
      <c r="H5045" s="8" t="s">
        <v>35728</v>
      </c>
      <c r="I5045" s="8">
        <v>526.6875</v>
      </c>
      <c r="J5045" s="3">
        <f t="shared" si="78"/>
        <v>43748.827826666668</v>
      </c>
    </row>
    <row r="5046" spans="1:10" x14ac:dyDescent="0.25">
      <c r="A5046" s="5" t="s">
        <v>35729</v>
      </c>
      <c r="B5046" s="6">
        <v>393.75</v>
      </c>
      <c r="C5046" s="6">
        <v>20.478950000000001</v>
      </c>
      <c r="D5046" s="6">
        <v>67</v>
      </c>
      <c r="E5046" s="6">
        <v>0</v>
      </c>
      <c r="F5046" s="6">
        <v>0</v>
      </c>
      <c r="G5046" s="6">
        <v>9</v>
      </c>
      <c r="H5046" s="6" t="s">
        <v>35730</v>
      </c>
      <c r="I5046" s="6">
        <v>526.5</v>
      </c>
      <c r="J5046" s="2">
        <f t="shared" si="78"/>
        <v>43748.827910231477</v>
      </c>
    </row>
    <row r="5047" spans="1:10" x14ac:dyDescent="0.25">
      <c r="A5047" s="7" t="s">
        <v>35731</v>
      </c>
      <c r="B5047" s="8">
        <v>393.75</v>
      </c>
      <c r="C5047" s="8">
        <v>20.478950000000001</v>
      </c>
      <c r="D5047" s="8">
        <v>68</v>
      </c>
      <c r="E5047" s="8">
        <v>0</v>
      </c>
      <c r="F5047" s="8">
        <v>0</v>
      </c>
      <c r="G5047" s="8">
        <v>2</v>
      </c>
      <c r="H5047" s="8" t="s">
        <v>35732</v>
      </c>
      <c r="I5047" s="8">
        <v>526.6875</v>
      </c>
      <c r="J5047" s="3">
        <f t="shared" si="78"/>
        <v>43748.82799331018</v>
      </c>
    </row>
    <row r="5048" spans="1:10" x14ac:dyDescent="0.25">
      <c r="A5048" s="5" t="s">
        <v>35733</v>
      </c>
      <c r="B5048" s="6">
        <v>393.75</v>
      </c>
      <c r="C5048" s="6">
        <v>20.478950000000001</v>
      </c>
      <c r="D5048" s="6">
        <v>68</v>
      </c>
      <c r="E5048" s="6">
        <v>0</v>
      </c>
      <c r="F5048" s="6">
        <v>0</v>
      </c>
      <c r="G5048" s="6">
        <v>0</v>
      </c>
      <c r="H5048" s="6" t="s">
        <v>35734</v>
      </c>
      <c r="I5048" s="6">
        <v>526.6875</v>
      </c>
      <c r="J5048" s="2">
        <f t="shared" si="78"/>
        <v>43748.828064976849</v>
      </c>
    </row>
    <row r="5049" spans="1:10" x14ac:dyDescent="0.25">
      <c r="A5049" s="7" t="s">
        <v>35735</v>
      </c>
      <c r="B5049" s="8">
        <v>418.75</v>
      </c>
      <c r="C5049" s="8">
        <v>20.478950000000001</v>
      </c>
      <c r="D5049" s="8">
        <v>67</v>
      </c>
      <c r="E5049" s="8">
        <v>0</v>
      </c>
      <c r="F5049" s="8">
        <v>0</v>
      </c>
      <c r="G5049" s="8">
        <v>12</v>
      </c>
      <c r="H5049" s="8" t="s">
        <v>35736</v>
      </c>
      <c r="I5049" s="8">
        <v>534</v>
      </c>
      <c r="J5049" s="3">
        <f t="shared" si="78"/>
        <v>43748.828136840275</v>
      </c>
    </row>
    <row r="5050" spans="1:10" x14ac:dyDescent="0.25">
      <c r="A5050" s="5" t="s">
        <v>35737</v>
      </c>
      <c r="B5050" s="6">
        <v>393.75</v>
      </c>
      <c r="C5050" s="6">
        <v>20.478950000000001</v>
      </c>
      <c r="D5050" s="6">
        <v>68</v>
      </c>
      <c r="E5050" s="6">
        <v>0</v>
      </c>
      <c r="F5050" s="6">
        <v>0</v>
      </c>
      <c r="G5050" s="6">
        <v>12</v>
      </c>
      <c r="H5050" s="6" t="s">
        <v>35738</v>
      </c>
      <c r="I5050" s="6">
        <v>526.6875</v>
      </c>
      <c r="J5050" s="2">
        <f t="shared" si="78"/>
        <v>43748.828220266201</v>
      </c>
    </row>
    <row r="5051" spans="1:10" x14ac:dyDescent="0.25">
      <c r="A5051" s="7" t="s">
        <v>35739</v>
      </c>
      <c r="B5051" s="8">
        <v>393.75</v>
      </c>
      <c r="C5051" s="8">
        <v>20.478950000000001</v>
      </c>
      <c r="D5051" s="8">
        <v>68</v>
      </c>
      <c r="E5051" s="8">
        <v>0</v>
      </c>
      <c r="F5051" s="8">
        <v>0</v>
      </c>
      <c r="G5051" s="8">
        <v>11</v>
      </c>
      <c r="H5051" s="8" t="s">
        <v>35740</v>
      </c>
      <c r="I5051" s="8">
        <v>526.6875</v>
      </c>
      <c r="J5051" s="3">
        <f t="shared" si="78"/>
        <v>43748.828291805556</v>
      </c>
    </row>
    <row r="5052" spans="1:10" x14ac:dyDescent="0.25">
      <c r="A5052" s="5" t="s">
        <v>35741</v>
      </c>
      <c r="B5052" s="6">
        <v>393.75</v>
      </c>
      <c r="C5052" s="6">
        <v>20.478950000000001</v>
      </c>
      <c r="D5052" s="6">
        <v>67</v>
      </c>
      <c r="E5052" s="6">
        <v>0</v>
      </c>
      <c r="F5052" s="6">
        <v>0</v>
      </c>
      <c r="G5052" s="6">
        <v>10</v>
      </c>
      <c r="H5052" s="6" t="s">
        <v>35742</v>
      </c>
      <c r="I5052" s="6">
        <v>526.6875</v>
      </c>
      <c r="J5052" s="2">
        <f t="shared" si="78"/>
        <v>43748.828387326386</v>
      </c>
    </row>
    <row r="5053" spans="1:10" x14ac:dyDescent="0.25">
      <c r="A5053" s="7" t="s">
        <v>35743</v>
      </c>
      <c r="B5053" s="8">
        <v>393.75</v>
      </c>
      <c r="C5053" s="8">
        <v>20.478950000000001</v>
      </c>
      <c r="D5053" s="8">
        <v>66</v>
      </c>
      <c r="E5053" s="8">
        <v>0</v>
      </c>
      <c r="F5053" s="8">
        <v>0</v>
      </c>
      <c r="G5053" s="8">
        <v>9</v>
      </c>
      <c r="H5053" s="8" t="s">
        <v>35744</v>
      </c>
      <c r="I5053" s="8">
        <v>526.6875</v>
      </c>
      <c r="J5053" s="3">
        <f t="shared" si="78"/>
        <v>43748.828470798609</v>
      </c>
    </row>
    <row r="5054" spans="1:10" x14ac:dyDescent="0.25">
      <c r="A5054" s="5" t="s">
        <v>35745</v>
      </c>
      <c r="B5054" s="6">
        <v>415.625</v>
      </c>
      <c r="C5054" s="6">
        <v>20.478950000000001</v>
      </c>
      <c r="D5054" s="6">
        <v>68</v>
      </c>
      <c r="E5054" s="6">
        <v>0</v>
      </c>
      <c r="F5054" s="6">
        <v>0</v>
      </c>
      <c r="G5054" s="6">
        <v>3</v>
      </c>
      <c r="H5054" s="6" t="s">
        <v>35746</v>
      </c>
      <c r="I5054" s="6">
        <v>533.625</v>
      </c>
      <c r="J5054" s="2">
        <f t="shared" si="78"/>
        <v>43748.828554224536</v>
      </c>
    </row>
    <row r="5055" spans="1:10" x14ac:dyDescent="0.25">
      <c r="A5055" s="7" t="s">
        <v>35747</v>
      </c>
      <c r="B5055" s="8">
        <v>393.75</v>
      </c>
      <c r="C5055" s="8">
        <v>20.478950000000001</v>
      </c>
      <c r="D5055" s="8">
        <v>68</v>
      </c>
      <c r="E5055" s="8">
        <v>0</v>
      </c>
      <c r="F5055" s="8">
        <v>0</v>
      </c>
      <c r="G5055" s="8">
        <v>2</v>
      </c>
      <c r="H5055" s="8" t="s">
        <v>35748</v>
      </c>
      <c r="I5055" s="8">
        <v>526.6875</v>
      </c>
      <c r="J5055" s="3">
        <f t="shared" si="78"/>
        <v>43748.828637800929</v>
      </c>
    </row>
    <row r="5056" spans="1:10" x14ac:dyDescent="0.25">
      <c r="A5056" s="5" t="s">
        <v>35749</v>
      </c>
      <c r="B5056" s="6">
        <v>393.75</v>
      </c>
      <c r="C5056" s="6">
        <v>20.478950000000001</v>
      </c>
      <c r="D5056" s="6">
        <v>68</v>
      </c>
      <c r="E5056" s="6">
        <v>0</v>
      </c>
      <c r="F5056" s="6">
        <v>0</v>
      </c>
      <c r="G5056" s="6">
        <v>0</v>
      </c>
      <c r="H5056" s="6" t="s">
        <v>35750</v>
      </c>
      <c r="I5056" s="6">
        <v>526.6875</v>
      </c>
      <c r="J5056" s="2">
        <f t="shared" si="78"/>
        <v>43748.828721226848</v>
      </c>
    </row>
    <row r="5057" spans="1:10" x14ac:dyDescent="0.25">
      <c r="A5057" s="7" t="s">
        <v>35751</v>
      </c>
      <c r="B5057" s="8">
        <v>393.75</v>
      </c>
      <c r="C5057" s="8">
        <v>20.478950000000001</v>
      </c>
      <c r="D5057" s="8">
        <v>67</v>
      </c>
      <c r="E5057" s="8">
        <v>0</v>
      </c>
      <c r="F5057" s="8">
        <v>0</v>
      </c>
      <c r="G5057" s="8">
        <v>11</v>
      </c>
      <c r="H5057" s="8" t="s">
        <v>35752</v>
      </c>
      <c r="I5057" s="8">
        <v>526.6875</v>
      </c>
      <c r="J5057" s="3">
        <f t="shared" si="78"/>
        <v>43748.828816817128</v>
      </c>
    </row>
    <row r="5058" spans="1:10" x14ac:dyDescent="0.25">
      <c r="A5058" s="5" t="s">
        <v>35753</v>
      </c>
      <c r="B5058" s="6">
        <v>428.125</v>
      </c>
      <c r="C5058" s="6">
        <v>20.478950000000001</v>
      </c>
      <c r="D5058" s="6">
        <v>67</v>
      </c>
      <c r="E5058" s="6">
        <v>0</v>
      </c>
      <c r="F5058" s="6">
        <v>0</v>
      </c>
      <c r="G5058" s="6">
        <v>11</v>
      </c>
      <c r="H5058" s="6" t="s">
        <v>35754</v>
      </c>
      <c r="I5058" s="6">
        <v>537.1875</v>
      </c>
      <c r="J5058" s="2">
        <f t="shared" ref="J5058:J5121" si="79">(H5058/86400000)+25569+(7/24)</f>
        <v>43748.828900173605</v>
      </c>
    </row>
    <row r="5059" spans="1:10" x14ac:dyDescent="0.25">
      <c r="A5059" s="7" t="s">
        <v>35755</v>
      </c>
      <c r="B5059" s="8">
        <v>396.875</v>
      </c>
      <c r="C5059" s="8">
        <v>20.478950000000001</v>
      </c>
      <c r="D5059" s="8">
        <v>68</v>
      </c>
      <c r="E5059" s="8">
        <v>0</v>
      </c>
      <c r="F5059" s="8">
        <v>0</v>
      </c>
      <c r="G5059" s="8">
        <v>10</v>
      </c>
      <c r="H5059" s="8" t="s">
        <v>35756</v>
      </c>
      <c r="I5059" s="8">
        <v>527.4375</v>
      </c>
      <c r="J5059" s="3">
        <f t="shared" si="79"/>
        <v>43748.828983634252</v>
      </c>
    </row>
    <row r="5060" spans="1:10" x14ac:dyDescent="0.25">
      <c r="A5060" s="5" t="s">
        <v>35757</v>
      </c>
      <c r="B5060" s="6">
        <v>396.875</v>
      </c>
      <c r="C5060" s="6">
        <v>20.478950000000001</v>
      </c>
      <c r="D5060" s="6">
        <v>68</v>
      </c>
      <c r="E5060" s="6">
        <v>0</v>
      </c>
      <c r="F5060" s="6">
        <v>0</v>
      </c>
      <c r="G5060" s="6">
        <v>10</v>
      </c>
      <c r="H5060" s="6" t="s">
        <v>35758</v>
      </c>
      <c r="I5060" s="6">
        <v>527.4375</v>
      </c>
      <c r="J5060" s="2">
        <f t="shared" si="79"/>
        <v>43748.829067060178</v>
      </c>
    </row>
    <row r="5061" spans="1:10" x14ac:dyDescent="0.25">
      <c r="A5061" s="7" t="s">
        <v>35759</v>
      </c>
      <c r="B5061" s="8">
        <v>396.875</v>
      </c>
      <c r="C5061" s="8">
        <v>20.478950000000001</v>
      </c>
      <c r="D5061" s="8">
        <v>69</v>
      </c>
      <c r="E5061" s="8">
        <v>0</v>
      </c>
      <c r="F5061" s="8">
        <v>0</v>
      </c>
      <c r="G5061" s="8">
        <v>8</v>
      </c>
      <c r="H5061" s="8" t="s">
        <v>35760</v>
      </c>
      <c r="I5061" s="8">
        <v>527.4375</v>
      </c>
      <c r="J5061" s="3">
        <f t="shared" si="79"/>
        <v>43748.829150648147</v>
      </c>
    </row>
    <row r="5062" spans="1:10" x14ac:dyDescent="0.25">
      <c r="A5062" s="5" t="s">
        <v>35761</v>
      </c>
      <c r="B5062" s="6">
        <v>393.75</v>
      </c>
      <c r="C5062" s="6">
        <v>20.478950000000001</v>
      </c>
      <c r="D5062" s="6">
        <v>71</v>
      </c>
      <c r="E5062" s="6">
        <v>0</v>
      </c>
      <c r="F5062" s="6">
        <v>0</v>
      </c>
      <c r="G5062" s="6">
        <v>6</v>
      </c>
      <c r="H5062" s="6" t="s">
        <v>35762</v>
      </c>
      <c r="I5062" s="6">
        <v>526.6875</v>
      </c>
      <c r="J5062" s="2">
        <f t="shared" si="79"/>
        <v>43748.829234074066</v>
      </c>
    </row>
    <row r="5063" spans="1:10" x14ac:dyDescent="0.25">
      <c r="A5063" s="7" t="s">
        <v>35763</v>
      </c>
      <c r="B5063" s="8">
        <v>393.75</v>
      </c>
      <c r="C5063" s="8">
        <v>20.478950000000001</v>
      </c>
      <c r="D5063" s="8">
        <v>70</v>
      </c>
      <c r="E5063" s="8">
        <v>0</v>
      </c>
      <c r="F5063" s="8">
        <v>0</v>
      </c>
      <c r="G5063" s="8">
        <v>6</v>
      </c>
      <c r="H5063" s="8" t="s">
        <v>35764</v>
      </c>
      <c r="I5063" s="8">
        <v>526.6875</v>
      </c>
      <c r="J5063" s="3">
        <f t="shared" si="79"/>
        <v>43748.829317523145</v>
      </c>
    </row>
    <row r="5064" spans="1:10" x14ac:dyDescent="0.25">
      <c r="A5064" s="5" t="s">
        <v>35765</v>
      </c>
      <c r="B5064" s="6">
        <v>393.75</v>
      </c>
      <c r="C5064" s="6">
        <v>20.478950000000001</v>
      </c>
      <c r="D5064" s="6">
        <v>70</v>
      </c>
      <c r="E5064" s="6">
        <v>0</v>
      </c>
      <c r="F5064" s="6">
        <v>0</v>
      </c>
      <c r="G5064" s="6">
        <v>6</v>
      </c>
      <c r="H5064" s="6" t="s">
        <v>35766</v>
      </c>
      <c r="I5064" s="6">
        <v>526.6875</v>
      </c>
      <c r="J5064" s="2">
        <f t="shared" si="79"/>
        <v>43748.829400868053</v>
      </c>
    </row>
    <row r="5065" spans="1:10" x14ac:dyDescent="0.25">
      <c r="A5065" s="7" t="s">
        <v>35767</v>
      </c>
      <c r="B5065" s="8">
        <v>434.375</v>
      </c>
      <c r="C5065" s="8">
        <v>20.478950000000001</v>
      </c>
      <c r="D5065" s="8">
        <v>70</v>
      </c>
      <c r="E5065" s="8">
        <v>0</v>
      </c>
      <c r="F5065" s="8">
        <v>0</v>
      </c>
      <c r="G5065" s="8">
        <v>5</v>
      </c>
      <c r="H5065" s="8" t="s">
        <v>35768</v>
      </c>
      <c r="I5065" s="8">
        <v>539.25</v>
      </c>
      <c r="J5065" s="3">
        <f t="shared" si="79"/>
        <v>43748.829472384255</v>
      </c>
    </row>
    <row r="5066" spans="1:10" x14ac:dyDescent="0.25">
      <c r="A5066" s="5" t="s">
        <v>35769</v>
      </c>
      <c r="B5066" s="6">
        <v>393.75</v>
      </c>
      <c r="C5066" s="6">
        <v>20.478950000000001</v>
      </c>
      <c r="D5066" s="6">
        <v>70</v>
      </c>
      <c r="E5066" s="6">
        <v>0</v>
      </c>
      <c r="F5066" s="6">
        <v>0</v>
      </c>
      <c r="G5066" s="6">
        <v>9</v>
      </c>
      <c r="H5066" s="6" t="s">
        <v>35770</v>
      </c>
      <c r="I5066" s="6">
        <v>526.6875</v>
      </c>
      <c r="J5066" s="2">
        <f t="shared" si="79"/>
        <v>43748.829556307865</v>
      </c>
    </row>
    <row r="5067" spans="1:10" x14ac:dyDescent="0.25">
      <c r="A5067" s="7" t="s">
        <v>35771</v>
      </c>
      <c r="B5067" s="8">
        <v>393.75</v>
      </c>
      <c r="C5067" s="8">
        <v>20.478950000000001</v>
      </c>
      <c r="D5067" s="8">
        <v>70</v>
      </c>
      <c r="E5067" s="8">
        <v>0</v>
      </c>
      <c r="F5067" s="8">
        <v>0</v>
      </c>
      <c r="G5067" s="8">
        <v>8</v>
      </c>
      <c r="H5067" s="8" t="s">
        <v>35772</v>
      </c>
      <c r="I5067" s="8">
        <v>526.6875</v>
      </c>
      <c r="J5067" s="3">
        <f t="shared" si="79"/>
        <v>43748.829639629628</v>
      </c>
    </row>
    <row r="5068" spans="1:10" x14ac:dyDescent="0.25">
      <c r="A5068" s="5" t="s">
        <v>35773</v>
      </c>
      <c r="B5068" s="6">
        <v>396.875</v>
      </c>
      <c r="C5068" s="6">
        <v>20.478950000000001</v>
      </c>
      <c r="D5068" s="6">
        <v>70</v>
      </c>
      <c r="E5068" s="6">
        <v>0</v>
      </c>
      <c r="F5068" s="6">
        <v>0</v>
      </c>
      <c r="G5068" s="6">
        <v>5</v>
      </c>
      <c r="H5068" s="6" t="s">
        <v>35774</v>
      </c>
      <c r="I5068" s="6">
        <v>527.4375</v>
      </c>
      <c r="J5068" s="2">
        <f t="shared" si="79"/>
        <v>43748.829722986113</v>
      </c>
    </row>
    <row r="5069" spans="1:10" x14ac:dyDescent="0.25">
      <c r="A5069" s="7" t="s">
        <v>35775</v>
      </c>
      <c r="B5069" s="8">
        <v>393.75</v>
      </c>
      <c r="C5069" s="8">
        <v>20.478950000000001</v>
      </c>
      <c r="D5069" s="8">
        <v>70</v>
      </c>
      <c r="E5069" s="8">
        <v>0</v>
      </c>
      <c r="F5069" s="8">
        <v>0</v>
      </c>
      <c r="G5069" s="8">
        <v>14</v>
      </c>
      <c r="H5069" s="8" t="s">
        <v>35776</v>
      </c>
      <c r="I5069" s="8">
        <v>526.6875</v>
      </c>
      <c r="J5069" s="3">
        <f t="shared" si="79"/>
        <v>43748.829794618054</v>
      </c>
    </row>
    <row r="5070" spans="1:10" x14ac:dyDescent="0.25">
      <c r="A5070" s="5" t="s">
        <v>35777</v>
      </c>
      <c r="B5070" s="6">
        <v>396.875</v>
      </c>
      <c r="C5070" s="6">
        <v>20.478950000000001</v>
      </c>
      <c r="D5070" s="6">
        <v>70</v>
      </c>
      <c r="E5070" s="6">
        <v>0</v>
      </c>
      <c r="F5070" s="6">
        <v>0</v>
      </c>
      <c r="G5070" s="6">
        <v>8</v>
      </c>
      <c r="H5070" s="6" t="s">
        <v>35778</v>
      </c>
      <c r="I5070" s="6">
        <v>527.4375</v>
      </c>
      <c r="J5070" s="2">
        <f t="shared" si="79"/>
        <v>43748.829878182871</v>
      </c>
    </row>
    <row r="5071" spans="1:10" x14ac:dyDescent="0.25">
      <c r="A5071" s="7" t="s">
        <v>35779</v>
      </c>
      <c r="B5071" s="8">
        <v>396.875</v>
      </c>
      <c r="C5071" s="8">
        <v>20.478950000000001</v>
      </c>
      <c r="D5071" s="8">
        <v>71</v>
      </c>
      <c r="E5071" s="8">
        <v>0</v>
      </c>
      <c r="F5071" s="8">
        <v>0</v>
      </c>
      <c r="G5071" s="8">
        <v>3</v>
      </c>
      <c r="H5071" s="8" t="s">
        <v>35780</v>
      </c>
      <c r="I5071" s="8">
        <v>527.4375</v>
      </c>
      <c r="J5071" s="3">
        <f t="shared" si="79"/>
        <v>43748.829973657404</v>
      </c>
    </row>
    <row r="5072" spans="1:10" x14ac:dyDescent="0.25">
      <c r="A5072" s="5" t="s">
        <v>35781</v>
      </c>
      <c r="B5072" s="6">
        <v>396.875</v>
      </c>
      <c r="C5072" s="6">
        <v>20.478950000000001</v>
      </c>
      <c r="D5072" s="6">
        <v>71</v>
      </c>
      <c r="E5072" s="6">
        <v>0</v>
      </c>
      <c r="F5072" s="6">
        <v>0</v>
      </c>
      <c r="G5072" s="6">
        <v>0</v>
      </c>
      <c r="H5072" s="6" t="s">
        <v>35782</v>
      </c>
      <c r="I5072" s="6">
        <v>527.4375</v>
      </c>
      <c r="J5072" s="2">
        <f t="shared" si="79"/>
        <v>43748.830057129628</v>
      </c>
    </row>
    <row r="5073" spans="1:10" x14ac:dyDescent="0.25">
      <c r="A5073" s="7" t="s">
        <v>35783</v>
      </c>
      <c r="B5073" s="8">
        <v>396.875</v>
      </c>
      <c r="C5073" s="8">
        <v>20.478950000000001</v>
      </c>
      <c r="D5073" s="8">
        <v>71</v>
      </c>
      <c r="E5073" s="8">
        <v>0</v>
      </c>
      <c r="F5073" s="8">
        <v>0</v>
      </c>
      <c r="G5073" s="8">
        <v>13</v>
      </c>
      <c r="H5073" s="8" t="s">
        <v>35784</v>
      </c>
      <c r="I5073" s="8">
        <v>527.625</v>
      </c>
      <c r="J5073" s="3">
        <f t="shared" si="79"/>
        <v>43748.830128657406</v>
      </c>
    </row>
    <row r="5074" spans="1:10" x14ac:dyDescent="0.25">
      <c r="A5074" s="5" t="s">
        <v>35785</v>
      </c>
      <c r="B5074" s="6">
        <v>396.875</v>
      </c>
      <c r="C5074" s="6">
        <v>20.478950000000001</v>
      </c>
      <c r="D5074" s="6">
        <v>69</v>
      </c>
      <c r="E5074" s="6">
        <v>0</v>
      </c>
      <c r="F5074" s="6">
        <v>0</v>
      </c>
      <c r="G5074" s="6">
        <v>1</v>
      </c>
      <c r="H5074" s="6" t="s">
        <v>35786</v>
      </c>
      <c r="I5074" s="6">
        <v>527.4375</v>
      </c>
      <c r="J5074" s="2">
        <f t="shared" si="79"/>
        <v>43748.830211863424</v>
      </c>
    </row>
    <row r="5075" spans="1:10" x14ac:dyDescent="0.25">
      <c r="A5075" s="7" t="s">
        <v>35787</v>
      </c>
      <c r="B5075" s="8">
        <v>396.875</v>
      </c>
      <c r="C5075" s="8">
        <v>20.478950000000001</v>
      </c>
      <c r="D5075" s="8">
        <v>69</v>
      </c>
      <c r="E5075" s="8">
        <v>0</v>
      </c>
      <c r="F5075" s="8">
        <v>0</v>
      </c>
      <c r="G5075" s="8">
        <v>4</v>
      </c>
      <c r="H5075" s="8" t="s">
        <v>35788</v>
      </c>
      <c r="I5075" s="8">
        <v>527.4375</v>
      </c>
      <c r="J5075" s="3">
        <f t="shared" si="79"/>
        <v>43748.830283518517</v>
      </c>
    </row>
    <row r="5076" spans="1:10" x14ac:dyDescent="0.25">
      <c r="A5076" s="5" t="s">
        <v>35789</v>
      </c>
      <c r="B5076" s="6">
        <v>396.875</v>
      </c>
      <c r="C5076" s="6">
        <v>20.478950000000001</v>
      </c>
      <c r="D5076" s="6">
        <v>70</v>
      </c>
      <c r="E5076" s="6">
        <v>0</v>
      </c>
      <c r="F5076" s="6">
        <v>0</v>
      </c>
      <c r="G5076" s="6">
        <v>6</v>
      </c>
      <c r="H5076" s="6" t="s">
        <v>35790</v>
      </c>
      <c r="I5076" s="6">
        <v>527.4375</v>
      </c>
      <c r="J5076" s="2">
        <f t="shared" si="79"/>
        <v>43748.830367418974</v>
      </c>
    </row>
    <row r="5077" spans="1:10" x14ac:dyDescent="0.25">
      <c r="A5077" s="7" t="s">
        <v>35791</v>
      </c>
      <c r="B5077" s="8">
        <v>396.875</v>
      </c>
      <c r="C5077" s="8">
        <v>20.478950000000001</v>
      </c>
      <c r="D5077" s="8">
        <v>71</v>
      </c>
      <c r="E5077" s="8">
        <v>0</v>
      </c>
      <c r="F5077" s="8">
        <v>0</v>
      </c>
      <c r="G5077" s="8">
        <v>5</v>
      </c>
      <c r="H5077" s="8" t="s">
        <v>35792</v>
      </c>
      <c r="I5077" s="8">
        <v>527.4375</v>
      </c>
      <c r="J5077" s="3">
        <f t="shared" si="79"/>
        <v>43748.830450752313</v>
      </c>
    </row>
    <row r="5078" spans="1:10" x14ac:dyDescent="0.25">
      <c r="A5078" s="5" t="s">
        <v>35793</v>
      </c>
      <c r="B5078" s="6">
        <v>396.875</v>
      </c>
      <c r="C5078" s="6">
        <v>20.478950000000001</v>
      </c>
      <c r="D5078" s="6">
        <v>71</v>
      </c>
      <c r="E5078" s="6">
        <v>0</v>
      </c>
      <c r="F5078" s="6">
        <v>0</v>
      </c>
      <c r="G5078" s="6">
        <v>0</v>
      </c>
      <c r="H5078" s="6" t="s">
        <v>35794</v>
      </c>
      <c r="I5078" s="6">
        <v>527.4375</v>
      </c>
      <c r="J5078" s="2">
        <f t="shared" si="79"/>
        <v>43748.830534097222</v>
      </c>
    </row>
    <row r="5079" spans="1:10" x14ac:dyDescent="0.25">
      <c r="A5079" s="7" t="s">
        <v>35795</v>
      </c>
      <c r="B5079" s="8">
        <v>393.75</v>
      </c>
      <c r="C5079" s="8">
        <v>20.478950000000001</v>
      </c>
      <c r="D5079" s="8">
        <v>71</v>
      </c>
      <c r="E5079" s="8">
        <v>0</v>
      </c>
      <c r="F5079" s="8">
        <v>0</v>
      </c>
      <c r="G5079" s="8">
        <v>0</v>
      </c>
      <c r="H5079" s="8" t="s">
        <v>35796</v>
      </c>
      <c r="I5079" s="8">
        <v>526.5</v>
      </c>
      <c r="J5079" s="3">
        <f t="shared" si="79"/>
        <v>43748.830605729163</v>
      </c>
    </row>
    <row r="5080" spans="1:10" x14ac:dyDescent="0.25">
      <c r="A5080" s="5" t="s">
        <v>35797</v>
      </c>
      <c r="B5080" s="6">
        <v>393.75</v>
      </c>
      <c r="C5080" s="6">
        <v>20.478950000000001</v>
      </c>
      <c r="D5080" s="6">
        <v>71</v>
      </c>
      <c r="E5080" s="6">
        <v>0</v>
      </c>
      <c r="F5080" s="6">
        <v>0</v>
      </c>
      <c r="G5080" s="6">
        <v>8</v>
      </c>
      <c r="H5080" s="6" t="s">
        <v>35798</v>
      </c>
      <c r="I5080" s="6">
        <v>526.6875</v>
      </c>
      <c r="J5080" s="2">
        <f t="shared" si="79"/>
        <v>43748.830689282404</v>
      </c>
    </row>
    <row r="5081" spans="1:10" x14ac:dyDescent="0.25">
      <c r="A5081" s="7" t="s">
        <v>35799</v>
      </c>
      <c r="B5081" s="8">
        <v>393.75</v>
      </c>
      <c r="C5081" s="8">
        <v>20.478950000000001</v>
      </c>
      <c r="D5081" s="8">
        <v>71</v>
      </c>
      <c r="E5081" s="8">
        <v>0</v>
      </c>
      <c r="F5081" s="8">
        <v>0</v>
      </c>
      <c r="G5081" s="8">
        <v>7</v>
      </c>
      <c r="H5081" s="8" t="s">
        <v>35800</v>
      </c>
      <c r="I5081" s="8">
        <v>526.6875</v>
      </c>
      <c r="J5081" s="3">
        <f t="shared" si="79"/>
        <v>43748.830772743058</v>
      </c>
    </row>
    <row r="5082" spans="1:10" x14ac:dyDescent="0.25">
      <c r="A5082" s="5" t="s">
        <v>35801</v>
      </c>
      <c r="B5082" s="6">
        <v>393.75</v>
      </c>
      <c r="C5082" s="6">
        <v>20.478950000000001</v>
      </c>
      <c r="D5082" s="6">
        <v>70</v>
      </c>
      <c r="E5082" s="6">
        <v>0</v>
      </c>
      <c r="F5082" s="6">
        <v>0</v>
      </c>
      <c r="G5082" s="6">
        <v>4</v>
      </c>
      <c r="H5082" s="6" t="s">
        <v>35802</v>
      </c>
      <c r="I5082" s="6">
        <v>526.6875</v>
      </c>
      <c r="J5082" s="2">
        <f t="shared" si="79"/>
        <v>43748.830856307868</v>
      </c>
    </row>
    <row r="5083" spans="1:10" x14ac:dyDescent="0.25">
      <c r="A5083" s="7" t="s">
        <v>35803</v>
      </c>
      <c r="B5083" s="8">
        <v>415.625</v>
      </c>
      <c r="C5083" s="8">
        <v>20.478950000000001</v>
      </c>
      <c r="D5083" s="8">
        <v>71</v>
      </c>
      <c r="E5083" s="8">
        <v>0</v>
      </c>
      <c r="F5083" s="8">
        <v>0</v>
      </c>
      <c r="G5083" s="8">
        <v>9</v>
      </c>
      <c r="H5083" s="8" t="s">
        <v>35804</v>
      </c>
      <c r="I5083" s="8">
        <v>533.8125</v>
      </c>
      <c r="J5083" s="3">
        <f t="shared" si="79"/>
        <v>43748.830939780091</v>
      </c>
    </row>
    <row r="5084" spans="1:10" x14ac:dyDescent="0.25">
      <c r="A5084" s="5" t="s">
        <v>35805</v>
      </c>
      <c r="B5084" s="6">
        <v>393.75</v>
      </c>
      <c r="C5084" s="6">
        <v>20.478950000000001</v>
      </c>
      <c r="D5084" s="6">
        <v>69</v>
      </c>
      <c r="E5084" s="6">
        <v>0</v>
      </c>
      <c r="F5084" s="6">
        <v>0</v>
      </c>
      <c r="G5084" s="6">
        <v>18</v>
      </c>
      <c r="H5084" s="6" t="s">
        <v>35806</v>
      </c>
      <c r="I5084" s="6">
        <v>526.6875</v>
      </c>
      <c r="J5084" s="2">
        <f t="shared" si="79"/>
        <v>43748.831023067127</v>
      </c>
    </row>
    <row r="5085" spans="1:10" x14ac:dyDescent="0.25">
      <c r="A5085" s="7" t="s">
        <v>35807</v>
      </c>
      <c r="B5085" s="8">
        <v>393.75</v>
      </c>
      <c r="C5085" s="8">
        <v>20.478950000000001</v>
      </c>
      <c r="D5085" s="8">
        <v>68</v>
      </c>
      <c r="E5085" s="8">
        <v>0</v>
      </c>
      <c r="F5085" s="8">
        <v>0</v>
      </c>
      <c r="G5085" s="8">
        <v>11</v>
      </c>
      <c r="H5085" s="8" t="s">
        <v>35808</v>
      </c>
      <c r="I5085" s="8">
        <v>526.6875</v>
      </c>
      <c r="J5085" s="3">
        <f t="shared" si="79"/>
        <v>43748.831119259259</v>
      </c>
    </row>
    <row r="5086" spans="1:10" x14ac:dyDescent="0.25">
      <c r="A5086" s="5" t="s">
        <v>35809</v>
      </c>
      <c r="B5086" s="6">
        <v>393.75</v>
      </c>
      <c r="C5086" s="6">
        <v>20.478950000000001</v>
      </c>
      <c r="D5086" s="6">
        <v>69</v>
      </c>
      <c r="E5086" s="6">
        <v>0</v>
      </c>
      <c r="F5086" s="6">
        <v>0</v>
      </c>
      <c r="G5086" s="6">
        <v>7</v>
      </c>
      <c r="H5086" s="6" t="s">
        <v>35810</v>
      </c>
      <c r="I5086" s="6">
        <v>526.6875</v>
      </c>
      <c r="J5086" s="2">
        <f t="shared" si="79"/>
        <v>43748.831202754627</v>
      </c>
    </row>
    <row r="5087" spans="1:10" x14ac:dyDescent="0.25">
      <c r="A5087" s="7" t="s">
        <v>35811</v>
      </c>
      <c r="B5087" s="8">
        <v>434.375</v>
      </c>
      <c r="C5087" s="8">
        <v>20.478950000000001</v>
      </c>
      <c r="D5087" s="8">
        <v>69</v>
      </c>
      <c r="E5087" s="8">
        <v>0</v>
      </c>
      <c r="F5087" s="8">
        <v>0</v>
      </c>
      <c r="G5087" s="8">
        <v>9</v>
      </c>
      <c r="H5087" s="8" t="s">
        <v>35812</v>
      </c>
      <c r="I5087" s="8">
        <v>539.0625</v>
      </c>
      <c r="J5087" s="3">
        <f t="shared" si="79"/>
        <v>43748.831286319437</v>
      </c>
    </row>
    <row r="5088" spans="1:10" x14ac:dyDescent="0.25">
      <c r="A5088" s="5" t="s">
        <v>35813</v>
      </c>
      <c r="B5088" s="6">
        <v>393.75</v>
      </c>
      <c r="C5088" s="6">
        <v>20.478950000000001</v>
      </c>
      <c r="D5088" s="6">
        <v>69</v>
      </c>
      <c r="E5088" s="6">
        <v>0</v>
      </c>
      <c r="F5088" s="6">
        <v>0</v>
      </c>
      <c r="G5088" s="6">
        <v>14</v>
      </c>
      <c r="H5088" s="6" t="s">
        <v>35814</v>
      </c>
      <c r="I5088" s="6">
        <v>526.6875</v>
      </c>
      <c r="J5088" s="2">
        <f t="shared" si="79"/>
        <v>43748.831369780091</v>
      </c>
    </row>
    <row r="5089" spans="1:10" x14ac:dyDescent="0.25">
      <c r="A5089" s="7" t="s">
        <v>35815</v>
      </c>
      <c r="B5089" s="8">
        <v>393.75</v>
      </c>
      <c r="C5089" s="8">
        <v>20.478950000000001</v>
      </c>
      <c r="D5089" s="8">
        <v>69</v>
      </c>
      <c r="E5089" s="8">
        <v>0</v>
      </c>
      <c r="F5089" s="8">
        <v>0</v>
      </c>
      <c r="G5089" s="8">
        <v>16</v>
      </c>
      <c r="H5089" s="8" t="s">
        <v>35816</v>
      </c>
      <c r="I5089" s="8">
        <v>526.6875</v>
      </c>
      <c r="J5089" s="3">
        <f t="shared" si="79"/>
        <v>43748.831464768511</v>
      </c>
    </row>
    <row r="5090" spans="1:10" x14ac:dyDescent="0.25">
      <c r="A5090" s="5" t="s">
        <v>35817</v>
      </c>
      <c r="B5090" s="6">
        <v>393.75</v>
      </c>
      <c r="C5090" s="6">
        <v>20.478950000000001</v>
      </c>
      <c r="D5090" s="6">
        <v>70</v>
      </c>
      <c r="E5090" s="6">
        <v>0</v>
      </c>
      <c r="F5090" s="6">
        <v>0</v>
      </c>
      <c r="G5090" s="6">
        <v>7</v>
      </c>
      <c r="H5090" s="6" t="s">
        <v>35818</v>
      </c>
      <c r="I5090" s="6">
        <v>526.6875</v>
      </c>
      <c r="J5090" s="2">
        <f t="shared" si="79"/>
        <v>43748.83156061342</v>
      </c>
    </row>
    <row r="5091" spans="1:10" x14ac:dyDescent="0.25">
      <c r="A5091" s="7" t="s">
        <v>35819</v>
      </c>
      <c r="B5091" s="8">
        <v>393.75</v>
      </c>
      <c r="C5091" s="8">
        <v>20.478950000000001</v>
      </c>
      <c r="D5091" s="8">
        <v>71</v>
      </c>
      <c r="E5091" s="8">
        <v>0</v>
      </c>
      <c r="F5091" s="8">
        <v>0</v>
      </c>
      <c r="G5091" s="8">
        <v>11</v>
      </c>
      <c r="H5091" s="8" t="s">
        <v>35820</v>
      </c>
      <c r="I5091" s="8">
        <v>526.6875</v>
      </c>
      <c r="J5091" s="3">
        <f t="shared" si="79"/>
        <v>43748.831644062499</v>
      </c>
    </row>
    <row r="5092" spans="1:10" x14ac:dyDescent="0.25">
      <c r="A5092" s="5" t="s">
        <v>35821</v>
      </c>
      <c r="B5092" s="6">
        <v>393.75</v>
      </c>
      <c r="C5092" s="6">
        <v>20.478950000000001</v>
      </c>
      <c r="D5092" s="6">
        <v>71</v>
      </c>
      <c r="E5092" s="6">
        <v>0</v>
      </c>
      <c r="F5092" s="6">
        <v>0</v>
      </c>
      <c r="G5092" s="6">
        <v>12</v>
      </c>
      <c r="H5092" s="6" t="s">
        <v>35822</v>
      </c>
      <c r="I5092" s="6">
        <v>526.5</v>
      </c>
      <c r="J5092" s="2">
        <f t="shared" si="79"/>
        <v>43748.831727291668</v>
      </c>
    </row>
    <row r="5093" spans="1:10" x14ac:dyDescent="0.25">
      <c r="A5093" s="7" t="s">
        <v>35823</v>
      </c>
      <c r="B5093" s="8">
        <v>412.5</v>
      </c>
      <c r="C5093" s="8">
        <v>20.478950000000001</v>
      </c>
      <c r="D5093" s="8">
        <v>70</v>
      </c>
      <c r="E5093" s="8">
        <v>0</v>
      </c>
      <c r="F5093" s="8">
        <v>0</v>
      </c>
      <c r="G5093" s="8">
        <v>4</v>
      </c>
      <c r="H5093" s="8" t="s">
        <v>35824</v>
      </c>
      <c r="I5093" s="8">
        <v>532.6875</v>
      </c>
      <c r="J5093" s="3">
        <f t="shared" si="79"/>
        <v>43748.831811064811</v>
      </c>
    </row>
    <row r="5094" spans="1:10" x14ac:dyDescent="0.25">
      <c r="A5094" s="5" t="s">
        <v>35825</v>
      </c>
      <c r="B5094" s="6">
        <v>393.75</v>
      </c>
      <c r="C5094" s="6">
        <v>20.478950000000001</v>
      </c>
      <c r="D5094" s="6">
        <v>70</v>
      </c>
      <c r="E5094" s="6">
        <v>0</v>
      </c>
      <c r="F5094" s="6">
        <v>0</v>
      </c>
      <c r="G5094" s="6">
        <v>13</v>
      </c>
      <c r="H5094" s="6" t="s">
        <v>35826</v>
      </c>
      <c r="I5094" s="6">
        <v>526.5</v>
      </c>
      <c r="J5094" s="2">
        <f t="shared" si="79"/>
        <v>43748.831894641196</v>
      </c>
    </row>
    <row r="5095" spans="1:10" x14ac:dyDescent="0.25">
      <c r="A5095" s="7" t="s">
        <v>35827</v>
      </c>
      <c r="B5095" s="8">
        <v>393.75</v>
      </c>
      <c r="C5095" s="8">
        <v>20.478950000000001</v>
      </c>
      <c r="D5095" s="8">
        <v>71</v>
      </c>
      <c r="E5095" s="8">
        <v>0</v>
      </c>
      <c r="F5095" s="8">
        <v>0</v>
      </c>
      <c r="G5095" s="8">
        <v>5</v>
      </c>
      <c r="H5095" s="8" t="s">
        <v>35828</v>
      </c>
      <c r="I5095" s="8">
        <v>526.5</v>
      </c>
      <c r="J5095" s="3">
        <f t="shared" si="79"/>
        <v>43748.831991469902</v>
      </c>
    </row>
    <row r="5096" spans="1:10" x14ac:dyDescent="0.25">
      <c r="A5096" s="5" t="s">
        <v>35829</v>
      </c>
      <c r="B5096" s="6">
        <v>393.75</v>
      </c>
      <c r="C5096" s="6">
        <v>20.478950000000001</v>
      </c>
      <c r="D5096" s="6">
        <v>70</v>
      </c>
      <c r="E5096" s="6">
        <v>0</v>
      </c>
      <c r="F5096" s="6">
        <v>0</v>
      </c>
      <c r="G5096" s="6">
        <v>7</v>
      </c>
      <c r="H5096" s="6" t="s">
        <v>35830</v>
      </c>
      <c r="I5096" s="6">
        <v>526.5</v>
      </c>
      <c r="J5096" s="2">
        <f t="shared" si="79"/>
        <v>43748.832073472215</v>
      </c>
    </row>
    <row r="5097" spans="1:10" x14ac:dyDescent="0.25">
      <c r="A5097" s="7" t="s">
        <v>35831</v>
      </c>
      <c r="B5097" s="8">
        <v>393.75</v>
      </c>
      <c r="C5097" s="8">
        <v>20.478950000000001</v>
      </c>
      <c r="D5097" s="8">
        <v>70</v>
      </c>
      <c r="E5097" s="8">
        <v>0</v>
      </c>
      <c r="F5097" s="8">
        <v>0</v>
      </c>
      <c r="G5097" s="8">
        <v>2</v>
      </c>
      <c r="H5097" s="8" t="s">
        <v>35832</v>
      </c>
      <c r="I5097" s="8">
        <v>526.5</v>
      </c>
      <c r="J5097" s="3">
        <f t="shared" si="79"/>
        <v>43748.83215657407</v>
      </c>
    </row>
    <row r="5098" spans="1:10" x14ac:dyDescent="0.25">
      <c r="A5098" s="5" t="s">
        <v>35833</v>
      </c>
      <c r="B5098" s="6">
        <v>393.75</v>
      </c>
      <c r="C5098" s="6">
        <v>20.478950000000001</v>
      </c>
      <c r="D5098" s="6">
        <v>69</v>
      </c>
      <c r="E5098" s="6">
        <v>0</v>
      </c>
      <c r="F5098" s="6">
        <v>0</v>
      </c>
      <c r="G5098" s="6">
        <v>16</v>
      </c>
      <c r="H5098" s="6" t="s">
        <v>35834</v>
      </c>
      <c r="I5098" s="6">
        <v>526.6875</v>
      </c>
      <c r="J5098" s="2">
        <f t="shared" si="79"/>
        <v>43748.83224048611</v>
      </c>
    </row>
    <row r="5099" spans="1:10" x14ac:dyDescent="0.25">
      <c r="A5099" s="7" t="s">
        <v>35835</v>
      </c>
      <c r="B5099" s="8">
        <v>393.75</v>
      </c>
      <c r="C5099" s="8">
        <v>20.478950000000001</v>
      </c>
      <c r="D5099" s="8">
        <v>65</v>
      </c>
      <c r="E5099" s="8">
        <v>0</v>
      </c>
      <c r="F5099" s="8">
        <v>0</v>
      </c>
      <c r="G5099" s="8">
        <v>10</v>
      </c>
      <c r="H5099" s="8" t="s">
        <v>35836</v>
      </c>
      <c r="I5099" s="8">
        <v>526.6875</v>
      </c>
      <c r="J5099" s="3">
        <f t="shared" si="79"/>
        <v>43748.832323587958</v>
      </c>
    </row>
    <row r="5100" spans="1:10" x14ac:dyDescent="0.25">
      <c r="A5100" s="5" t="s">
        <v>35837</v>
      </c>
      <c r="B5100" s="6">
        <v>393.75</v>
      </c>
      <c r="C5100" s="6">
        <v>20.478950000000001</v>
      </c>
      <c r="D5100" s="6">
        <v>66</v>
      </c>
      <c r="E5100" s="6">
        <v>0</v>
      </c>
      <c r="F5100" s="6">
        <v>0</v>
      </c>
      <c r="G5100" s="6">
        <v>10</v>
      </c>
      <c r="H5100" s="6" t="s">
        <v>35838</v>
      </c>
      <c r="I5100" s="6">
        <v>526.6875</v>
      </c>
      <c r="J5100" s="2">
        <f t="shared" si="79"/>
        <v>43748.832407361107</v>
      </c>
    </row>
    <row r="5101" spans="1:10" x14ac:dyDescent="0.25">
      <c r="A5101" s="7" t="s">
        <v>35839</v>
      </c>
      <c r="B5101" s="8">
        <v>393.75</v>
      </c>
      <c r="C5101" s="8">
        <v>20.478950000000001</v>
      </c>
      <c r="D5101" s="8">
        <v>66</v>
      </c>
      <c r="E5101" s="8">
        <v>0</v>
      </c>
      <c r="F5101" s="8">
        <v>0</v>
      </c>
      <c r="G5101" s="8">
        <v>13</v>
      </c>
      <c r="H5101" s="8" t="s">
        <v>35840</v>
      </c>
      <c r="I5101" s="8">
        <v>526.6875</v>
      </c>
      <c r="J5101" s="3">
        <f t="shared" si="79"/>
        <v>43748.832490810186</v>
      </c>
    </row>
    <row r="5102" spans="1:10" x14ac:dyDescent="0.25">
      <c r="A5102" s="5" t="s">
        <v>35841</v>
      </c>
      <c r="B5102" s="6">
        <v>393.75</v>
      </c>
      <c r="C5102" s="6">
        <v>20.478950000000001</v>
      </c>
      <c r="D5102" s="6">
        <v>67</v>
      </c>
      <c r="E5102" s="6">
        <v>0</v>
      </c>
      <c r="F5102" s="6">
        <v>0</v>
      </c>
      <c r="G5102" s="6">
        <v>5</v>
      </c>
      <c r="H5102" s="6" t="s">
        <v>35842</v>
      </c>
      <c r="I5102" s="6">
        <v>526.6875</v>
      </c>
      <c r="J5102" s="2">
        <f t="shared" si="79"/>
        <v>43748.832574386572</v>
      </c>
    </row>
    <row r="5103" spans="1:10" x14ac:dyDescent="0.25">
      <c r="A5103" s="7" t="s">
        <v>35843</v>
      </c>
      <c r="B5103" s="8">
        <v>393.75</v>
      </c>
      <c r="C5103" s="8">
        <v>20.478950000000001</v>
      </c>
      <c r="D5103" s="8">
        <v>67</v>
      </c>
      <c r="E5103" s="8">
        <v>0</v>
      </c>
      <c r="F5103" s="8">
        <v>0</v>
      </c>
      <c r="G5103" s="8">
        <v>14</v>
      </c>
      <c r="H5103" s="8" t="s">
        <v>35844</v>
      </c>
      <c r="I5103" s="8">
        <v>526.6875</v>
      </c>
      <c r="J5103" s="3">
        <f t="shared" si="79"/>
        <v>43748.832657858795</v>
      </c>
    </row>
    <row r="5104" spans="1:10" x14ac:dyDescent="0.25">
      <c r="A5104" s="5" t="s">
        <v>35845</v>
      </c>
      <c r="B5104" s="6">
        <v>412.5</v>
      </c>
      <c r="C5104" s="6">
        <v>20.478950000000001</v>
      </c>
      <c r="D5104" s="6">
        <v>68</v>
      </c>
      <c r="E5104" s="6">
        <v>0</v>
      </c>
      <c r="F5104" s="6">
        <v>0</v>
      </c>
      <c r="G5104" s="6">
        <v>4</v>
      </c>
      <c r="H5104" s="6" t="s">
        <v>35846</v>
      </c>
      <c r="I5104" s="6">
        <v>532.3125</v>
      </c>
      <c r="J5104" s="2">
        <f t="shared" si="79"/>
        <v>43748.832741493054</v>
      </c>
    </row>
    <row r="5105" spans="1:10" x14ac:dyDescent="0.25">
      <c r="A5105" s="7" t="s">
        <v>35847</v>
      </c>
      <c r="B5105" s="8">
        <v>393.75</v>
      </c>
      <c r="C5105" s="8">
        <v>20.478950000000001</v>
      </c>
      <c r="D5105" s="8">
        <v>67</v>
      </c>
      <c r="E5105" s="8">
        <v>0</v>
      </c>
      <c r="F5105" s="8">
        <v>0</v>
      </c>
      <c r="G5105" s="8">
        <v>4</v>
      </c>
      <c r="H5105" s="8" t="s">
        <v>35848</v>
      </c>
      <c r="I5105" s="8">
        <v>526.6875</v>
      </c>
      <c r="J5105" s="3">
        <f t="shared" si="79"/>
        <v>43748.832824861107</v>
      </c>
    </row>
    <row r="5106" spans="1:10" x14ac:dyDescent="0.25">
      <c r="A5106" s="5" t="s">
        <v>35849</v>
      </c>
      <c r="B5106" s="6">
        <v>396.875</v>
      </c>
      <c r="C5106" s="6">
        <v>20.478950000000001</v>
      </c>
      <c r="D5106" s="6">
        <v>70</v>
      </c>
      <c r="E5106" s="6">
        <v>0</v>
      </c>
      <c r="F5106" s="6">
        <v>0</v>
      </c>
      <c r="G5106" s="6">
        <v>5</v>
      </c>
      <c r="H5106" s="6" t="s">
        <v>35850</v>
      </c>
      <c r="I5106" s="6">
        <v>527.4375</v>
      </c>
      <c r="J5106" s="2">
        <f t="shared" si="79"/>
        <v>43748.832908530087</v>
      </c>
    </row>
    <row r="5107" spans="1:10" x14ac:dyDescent="0.25">
      <c r="A5107" s="7" t="s">
        <v>35851</v>
      </c>
      <c r="B5107" s="8">
        <v>396.875</v>
      </c>
      <c r="C5107" s="8">
        <v>20.478950000000001</v>
      </c>
      <c r="D5107" s="8">
        <v>71</v>
      </c>
      <c r="E5107" s="8">
        <v>0</v>
      </c>
      <c r="F5107" s="8">
        <v>0</v>
      </c>
      <c r="G5107" s="8">
        <v>14</v>
      </c>
      <c r="H5107" s="8" t="s">
        <v>35852</v>
      </c>
      <c r="I5107" s="8">
        <v>527.4375</v>
      </c>
      <c r="J5107" s="3">
        <f t="shared" si="79"/>
        <v>43748.832991863419</v>
      </c>
    </row>
    <row r="5108" spans="1:10" x14ac:dyDescent="0.25">
      <c r="A5108" s="5" t="s">
        <v>35853</v>
      </c>
      <c r="B5108" s="6">
        <v>431.25</v>
      </c>
      <c r="C5108" s="6">
        <v>20.478950000000001</v>
      </c>
      <c r="D5108" s="6">
        <v>72</v>
      </c>
      <c r="E5108" s="6">
        <v>0</v>
      </c>
      <c r="F5108" s="6">
        <v>0</v>
      </c>
      <c r="G5108" s="6">
        <v>10</v>
      </c>
      <c r="H5108" s="6" t="s">
        <v>35854</v>
      </c>
      <c r="I5108" s="6">
        <v>538.6875</v>
      </c>
      <c r="J5108" s="2">
        <f t="shared" si="79"/>
        <v>43748.833087245366</v>
      </c>
    </row>
    <row r="5109" spans="1:10" x14ac:dyDescent="0.25">
      <c r="A5109" s="7" t="s">
        <v>35855</v>
      </c>
      <c r="B5109" s="8">
        <v>400</v>
      </c>
      <c r="C5109" s="8">
        <v>20.478950000000001</v>
      </c>
      <c r="D5109" s="8">
        <v>73</v>
      </c>
      <c r="E5109" s="8">
        <v>0</v>
      </c>
      <c r="F5109" s="8">
        <v>0</v>
      </c>
      <c r="G5109" s="8">
        <v>7</v>
      </c>
      <c r="H5109" s="8" t="s">
        <v>35856</v>
      </c>
      <c r="I5109" s="8">
        <v>528.1875</v>
      </c>
      <c r="J5109" s="3">
        <f t="shared" si="79"/>
        <v>43748.833170810183</v>
      </c>
    </row>
    <row r="5110" spans="1:10" x14ac:dyDescent="0.25">
      <c r="A5110" s="5" t="s">
        <v>35857</v>
      </c>
      <c r="B5110" s="6">
        <v>400</v>
      </c>
      <c r="C5110" s="6">
        <v>20.478950000000001</v>
      </c>
      <c r="D5110" s="6">
        <v>73</v>
      </c>
      <c r="E5110" s="6">
        <v>0</v>
      </c>
      <c r="F5110" s="6">
        <v>0</v>
      </c>
      <c r="G5110" s="6">
        <v>7</v>
      </c>
      <c r="H5110" s="6" t="s">
        <v>35858</v>
      </c>
      <c r="I5110" s="6">
        <v>528.375</v>
      </c>
      <c r="J5110" s="2">
        <f t="shared" si="79"/>
        <v>43748.833254236109</v>
      </c>
    </row>
    <row r="5111" spans="1:10" x14ac:dyDescent="0.25">
      <c r="A5111" s="7" t="s">
        <v>35859</v>
      </c>
      <c r="B5111" s="8">
        <v>400</v>
      </c>
      <c r="C5111" s="8">
        <v>20.478950000000001</v>
      </c>
      <c r="D5111" s="8">
        <v>73</v>
      </c>
      <c r="E5111" s="8">
        <v>0</v>
      </c>
      <c r="F5111" s="8">
        <v>0</v>
      </c>
      <c r="G5111" s="8">
        <v>7</v>
      </c>
      <c r="H5111" s="8" t="s">
        <v>35860</v>
      </c>
      <c r="I5111" s="8">
        <v>528.375</v>
      </c>
      <c r="J5111" s="3">
        <f t="shared" si="79"/>
        <v>43748.833337708333</v>
      </c>
    </row>
    <row r="5112" spans="1:10" x14ac:dyDescent="0.25">
      <c r="A5112" s="5" t="s">
        <v>35861</v>
      </c>
      <c r="B5112" s="6">
        <v>400</v>
      </c>
      <c r="C5112" s="6">
        <v>20.478950000000001</v>
      </c>
      <c r="D5112" s="6">
        <v>73</v>
      </c>
      <c r="E5112" s="6">
        <v>0</v>
      </c>
      <c r="F5112" s="6">
        <v>0</v>
      </c>
      <c r="G5112" s="6">
        <v>17</v>
      </c>
      <c r="H5112" s="6" t="s">
        <v>35862</v>
      </c>
      <c r="I5112" s="6">
        <v>528.1875</v>
      </c>
      <c r="J5112" s="2">
        <f t="shared" si="79"/>
        <v>43748.833421261566</v>
      </c>
    </row>
    <row r="5113" spans="1:10" x14ac:dyDescent="0.25">
      <c r="A5113" s="7" t="s">
        <v>35863</v>
      </c>
      <c r="B5113" s="8">
        <v>396.875</v>
      </c>
      <c r="C5113" s="8">
        <v>20.478950000000001</v>
      </c>
      <c r="D5113" s="8">
        <v>73</v>
      </c>
      <c r="E5113" s="8">
        <v>0</v>
      </c>
      <c r="F5113" s="8">
        <v>0</v>
      </c>
      <c r="G5113" s="8">
        <v>10</v>
      </c>
      <c r="H5113" s="8" t="s">
        <v>35864</v>
      </c>
      <c r="I5113" s="8">
        <v>527.4375</v>
      </c>
      <c r="J5113" s="3">
        <f t="shared" si="79"/>
        <v>43748.833504791663</v>
      </c>
    </row>
    <row r="5114" spans="1:10" x14ac:dyDescent="0.25">
      <c r="A5114" s="5" t="s">
        <v>35865</v>
      </c>
      <c r="B5114" s="6">
        <v>396.875</v>
      </c>
      <c r="C5114" s="6">
        <v>20.478950000000001</v>
      </c>
      <c r="D5114" s="6">
        <v>72</v>
      </c>
      <c r="E5114" s="6">
        <v>0</v>
      </c>
      <c r="F5114" s="6">
        <v>0</v>
      </c>
      <c r="G5114" s="6">
        <v>9</v>
      </c>
      <c r="H5114" s="6" t="s">
        <v>35866</v>
      </c>
      <c r="I5114" s="6">
        <v>527.4375</v>
      </c>
      <c r="J5114" s="2">
        <f t="shared" si="79"/>
        <v>43748.833588263886</v>
      </c>
    </row>
    <row r="5115" spans="1:10" x14ac:dyDescent="0.25">
      <c r="A5115" s="7" t="s">
        <v>35867</v>
      </c>
      <c r="B5115" s="8">
        <v>437.5</v>
      </c>
      <c r="C5115" s="8">
        <v>20.478950000000001</v>
      </c>
      <c r="D5115" s="8">
        <v>72</v>
      </c>
      <c r="E5115" s="8">
        <v>0</v>
      </c>
      <c r="F5115" s="8">
        <v>0</v>
      </c>
      <c r="G5115" s="8">
        <v>5</v>
      </c>
      <c r="H5115" s="8" t="s">
        <v>35868</v>
      </c>
      <c r="I5115" s="8">
        <v>540</v>
      </c>
      <c r="J5115" s="3">
        <f t="shared" si="79"/>
        <v>43748.833671712964</v>
      </c>
    </row>
    <row r="5116" spans="1:10" x14ac:dyDescent="0.25">
      <c r="A5116" s="5" t="s">
        <v>35869</v>
      </c>
      <c r="B5116" s="6">
        <v>396.875</v>
      </c>
      <c r="C5116" s="6">
        <v>20.478950000000001</v>
      </c>
      <c r="D5116" s="6">
        <v>71</v>
      </c>
      <c r="E5116" s="6">
        <v>0</v>
      </c>
      <c r="F5116" s="6">
        <v>0</v>
      </c>
      <c r="G5116" s="6">
        <v>7</v>
      </c>
      <c r="H5116" s="6" t="s">
        <v>35870</v>
      </c>
      <c r="I5116" s="6">
        <v>527.4375</v>
      </c>
      <c r="J5116" s="2">
        <f t="shared" si="79"/>
        <v>43748.833755300926</v>
      </c>
    </row>
    <row r="5117" spans="1:10" x14ac:dyDescent="0.25">
      <c r="A5117" s="7" t="s">
        <v>35871</v>
      </c>
      <c r="B5117" s="8">
        <v>396.875</v>
      </c>
      <c r="C5117" s="8">
        <v>20.478950000000001</v>
      </c>
      <c r="D5117" s="8">
        <v>71</v>
      </c>
      <c r="E5117" s="8">
        <v>0</v>
      </c>
      <c r="F5117" s="8">
        <v>0</v>
      </c>
      <c r="G5117" s="8">
        <v>7</v>
      </c>
      <c r="H5117" s="8" t="s">
        <v>35872</v>
      </c>
      <c r="I5117" s="8">
        <v>527.4375</v>
      </c>
      <c r="J5117" s="3">
        <f t="shared" si="79"/>
        <v>43748.833838391198</v>
      </c>
    </row>
    <row r="5118" spans="1:10" x14ac:dyDescent="0.25">
      <c r="A5118" s="5" t="s">
        <v>35873</v>
      </c>
      <c r="B5118" s="6">
        <v>393.75</v>
      </c>
      <c r="C5118" s="6">
        <v>20.478950000000001</v>
      </c>
      <c r="D5118" s="6">
        <v>73</v>
      </c>
      <c r="E5118" s="6">
        <v>0</v>
      </c>
      <c r="F5118" s="6">
        <v>0</v>
      </c>
      <c r="G5118" s="6">
        <v>0</v>
      </c>
      <c r="H5118" s="6" t="s">
        <v>35874</v>
      </c>
      <c r="I5118" s="6">
        <v>526.6875</v>
      </c>
      <c r="J5118" s="2">
        <f t="shared" si="79"/>
        <v>43748.833937175928</v>
      </c>
    </row>
    <row r="5119" spans="1:10" x14ac:dyDescent="0.25">
      <c r="A5119" s="7" t="s">
        <v>35875</v>
      </c>
      <c r="B5119" s="8">
        <v>393.75</v>
      </c>
      <c r="C5119" s="8">
        <v>20.478950000000001</v>
      </c>
      <c r="D5119" s="8">
        <v>73</v>
      </c>
      <c r="E5119" s="8">
        <v>0</v>
      </c>
      <c r="F5119" s="8">
        <v>0</v>
      </c>
      <c r="G5119" s="8">
        <v>9</v>
      </c>
      <c r="H5119" s="8" t="s">
        <v>35876</v>
      </c>
      <c r="I5119" s="8">
        <v>526.5</v>
      </c>
      <c r="J5119" s="3">
        <f t="shared" si="79"/>
        <v>43748.83401702546</v>
      </c>
    </row>
    <row r="5120" spans="1:10" x14ac:dyDescent="0.25">
      <c r="A5120" s="5" t="s">
        <v>35877</v>
      </c>
      <c r="B5120" s="6">
        <v>393.75</v>
      </c>
      <c r="C5120" s="6">
        <v>20.478950000000001</v>
      </c>
      <c r="D5120" s="6">
        <v>73</v>
      </c>
      <c r="E5120" s="6">
        <v>0</v>
      </c>
      <c r="F5120" s="6">
        <v>0</v>
      </c>
      <c r="G5120" s="6">
        <v>10</v>
      </c>
      <c r="H5120" s="6" t="s">
        <v>35878</v>
      </c>
      <c r="I5120" s="6">
        <v>526.6875</v>
      </c>
      <c r="J5120" s="2">
        <f t="shared" si="79"/>
        <v>43748.834100717591</v>
      </c>
    </row>
    <row r="5121" spans="1:10" x14ac:dyDescent="0.25">
      <c r="A5121" s="7" t="s">
        <v>35879</v>
      </c>
      <c r="B5121" s="8">
        <v>393.75</v>
      </c>
      <c r="C5121" s="8">
        <v>20.478950000000001</v>
      </c>
      <c r="D5121" s="8">
        <v>72</v>
      </c>
      <c r="E5121" s="8">
        <v>0</v>
      </c>
      <c r="F5121" s="8">
        <v>0</v>
      </c>
      <c r="G5121" s="8">
        <v>3</v>
      </c>
      <c r="H5121" s="8" t="s">
        <v>35880</v>
      </c>
      <c r="I5121" s="8">
        <v>526.6875</v>
      </c>
      <c r="J5121" s="3">
        <f t="shared" si="79"/>
        <v>43748.8341840625</v>
      </c>
    </row>
    <row r="5122" spans="1:10" x14ac:dyDescent="0.25">
      <c r="A5122" s="5" t="s">
        <v>35881</v>
      </c>
      <c r="B5122" s="6">
        <v>393.75</v>
      </c>
      <c r="C5122" s="6">
        <v>20.478950000000001</v>
      </c>
      <c r="D5122" s="6">
        <v>71</v>
      </c>
      <c r="E5122" s="6">
        <v>0</v>
      </c>
      <c r="F5122" s="6">
        <v>0</v>
      </c>
      <c r="G5122" s="6">
        <v>12</v>
      </c>
      <c r="H5122" s="6" t="s">
        <v>35882</v>
      </c>
      <c r="I5122" s="6">
        <v>526.6875</v>
      </c>
      <c r="J5122" s="2">
        <f t="shared" ref="J5122:J5185" si="80">(H5122/86400000)+25569+(7/24)</f>
        <v>43748.834267384256</v>
      </c>
    </row>
    <row r="5123" spans="1:10" x14ac:dyDescent="0.25">
      <c r="A5123" s="7" t="s">
        <v>35883</v>
      </c>
      <c r="B5123" s="8">
        <v>396.875</v>
      </c>
      <c r="C5123" s="8">
        <v>20.478950000000001</v>
      </c>
      <c r="D5123" s="8">
        <v>71</v>
      </c>
      <c r="E5123" s="8">
        <v>0</v>
      </c>
      <c r="F5123" s="8">
        <v>0</v>
      </c>
      <c r="G5123" s="8">
        <v>7</v>
      </c>
      <c r="H5123" s="8" t="s">
        <v>35884</v>
      </c>
      <c r="I5123" s="8">
        <v>527.4375</v>
      </c>
      <c r="J5123" s="3">
        <f t="shared" si="80"/>
        <v>43748.834350451383</v>
      </c>
    </row>
    <row r="5124" spans="1:10" x14ac:dyDescent="0.25">
      <c r="A5124" s="5" t="s">
        <v>35885</v>
      </c>
      <c r="B5124" s="6">
        <v>393.75</v>
      </c>
      <c r="C5124" s="6">
        <v>20.478950000000001</v>
      </c>
      <c r="D5124" s="6">
        <v>68</v>
      </c>
      <c r="E5124" s="6">
        <v>0</v>
      </c>
      <c r="F5124" s="6">
        <v>0</v>
      </c>
      <c r="G5124" s="6">
        <v>6</v>
      </c>
      <c r="H5124" s="6" t="s">
        <v>35886</v>
      </c>
      <c r="I5124" s="6">
        <v>526.6875</v>
      </c>
      <c r="J5124" s="2">
        <f t="shared" si="80"/>
        <v>43748.834434155091</v>
      </c>
    </row>
    <row r="5125" spans="1:10" x14ac:dyDescent="0.25">
      <c r="A5125" s="7" t="s">
        <v>35887</v>
      </c>
      <c r="B5125" s="8">
        <v>393.75</v>
      </c>
      <c r="C5125" s="8">
        <v>20.478950000000001</v>
      </c>
      <c r="D5125" s="8">
        <v>68</v>
      </c>
      <c r="E5125" s="8">
        <v>0</v>
      </c>
      <c r="F5125" s="8">
        <v>0</v>
      </c>
      <c r="G5125" s="8">
        <v>3</v>
      </c>
      <c r="H5125" s="8" t="s">
        <v>35888</v>
      </c>
      <c r="I5125" s="8">
        <v>526.6875</v>
      </c>
      <c r="J5125" s="3">
        <f t="shared" si="80"/>
        <v>43748.834505706014</v>
      </c>
    </row>
    <row r="5126" spans="1:10" x14ac:dyDescent="0.25">
      <c r="A5126" s="5" t="s">
        <v>35889</v>
      </c>
      <c r="B5126" s="6">
        <v>393.75</v>
      </c>
      <c r="C5126" s="6">
        <v>20.478950000000001</v>
      </c>
      <c r="D5126" s="6">
        <v>66</v>
      </c>
      <c r="E5126" s="6">
        <v>0</v>
      </c>
      <c r="F5126" s="6">
        <v>0</v>
      </c>
      <c r="G5126" s="6">
        <v>1</v>
      </c>
      <c r="H5126" s="6" t="s">
        <v>35890</v>
      </c>
      <c r="I5126" s="6">
        <v>526.6875</v>
      </c>
      <c r="J5126" s="2">
        <f t="shared" si="80"/>
        <v>43748.834601539354</v>
      </c>
    </row>
    <row r="5127" spans="1:10" x14ac:dyDescent="0.25">
      <c r="A5127" s="7" t="s">
        <v>35891</v>
      </c>
      <c r="B5127" s="8">
        <v>393.75</v>
      </c>
      <c r="C5127" s="8">
        <v>20.478950000000001</v>
      </c>
      <c r="D5127" s="8">
        <v>66</v>
      </c>
      <c r="E5127" s="8">
        <v>0</v>
      </c>
      <c r="F5127" s="8">
        <v>0</v>
      </c>
      <c r="G5127" s="8">
        <v>9</v>
      </c>
      <c r="H5127" s="8" t="s">
        <v>35892</v>
      </c>
      <c r="I5127" s="8">
        <v>526.6875</v>
      </c>
      <c r="J5127" s="3">
        <f t="shared" si="80"/>
        <v>43748.834673055557</v>
      </c>
    </row>
    <row r="5128" spans="1:10" x14ac:dyDescent="0.25">
      <c r="A5128" s="5" t="s">
        <v>35893</v>
      </c>
      <c r="B5128" s="6">
        <v>396.875</v>
      </c>
      <c r="C5128" s="6">
        <v>20.478950000000001</v>
      </c>
      <c r="D5128" s="6">
        <v>67</v>
      </c>
      <c r="E5128" s="6">
        <v>0</v>
      </c>
      <c r="F5128" s="6">
        <v>0</v>
      </c>
      <c r="G5128" s="6">
        <v>1</v>
      </c>
      <c r="H5128" s="6" t="s">
        <v>35894</v>
      </c>
      <c r="I5128" s="6">
        <v>527.4375</v>
      </c>
      <c r="J5128" s="2">
        <f t="shared" si="80"/>
        <v>43748.834756273143</v>
      </c>
    </row>
    <row r="5129" spans="1:10" x14ac:dyDescent="0.25">
      <c r="A5129" s="7" t="s">
        <v>35895</v>
      </c>
      <c r="B5129" s="8">
        <v>396.875</v>
      </c>
      <c r="C5129" s="8">
        <v>20.478950000000001</v>
      </c>
      <c r="D5129" s="8">
        <v>69</v>
      </c>
      <c r="E5129" s="8">
        <v>0</v>
      </c>
      <c r="F5129" s="8">
        <v>0</v>
      </c>
      <c r="G5129" s="8">
        <v>6</v>
      </c>
      <c r="H5129" s="8" t="s">
        <v>35896</v>
      </c>
      <c r="I5129" s="8">
        <v>527.4375</v>
      </c>
      <c r="J5129" s="3">
        <f t="shared" si="80"/>
        <v>43748.834840069445</v>
      </c>
    </row>
    <row r="5130" spans="1:10" x14ac:dyDescent="0.25">
      <c r="A5130" s="5" t="s">
        <v>35897</v>
      </c>
      <c r="B5130" s="6">
        <v>396.875</v>
      </c>
      <c r="C5130" s="6">
        <v>20.478950000000001</v>
      </c>
      <c r="D5130" s="6">
        <v>69</v>
      </c>
      <c r="E5130" s="6">
        <v>0</v>
      </c>
      <c r="F5130" s="6">
        <v>0</v>
      </c>
      <c r="G5130" s="6">
        <v>0</v>
      </c>
      <c r="H5130" s="6" t="s">
        <v>35898</v>
      </c>
      <c r="I5130" s="6">
        <v>527.4375</v>
      </c>
      <c r="J5130" s="2">
        <f t="shared" si="80"/>
        <v>43748.834923622686</v>
      </c>
    </row>
    <row r="5131" spans="1:10" x14ac:dyDescent="0.25">
      <c r="A5131" s="7" t="s">
        <v>35899</v>
      </c>
      <c r="B5131" s="8">
        <v>396.875</v>
      </c>
      <c r="C5131" s="8">
        <v>20.478950000000001</v>
      </c>
      <c r="D5131" s="8">
        <v>69</v>
      </c>
      <c r="E5131" s="8">
        <v>0</v>
      </c>
      <c r="F5131" s="8">
        <v>0</v>
      </c>
      <c r="G5131" s="8">
        <v>7</v>
      </c>
      <c r="H5131" s="8" t="s">
        <v>35900</v>
      </c>
      <c r="I5131" s="8">
        <v>527.4375</v>
      </c>
      <c r="J5131" s="3">
        <f t="shared" si="80"/>
        <v>43748.834995266203</v>
      </c>
    </row>
    <row r="5132" spans="1:10" x14ac:dyDescent="0.25">
      <c r="A5132" s="5" t="s">
        <v>35901</v>
      </c>
      <c r="B5132" s="6">
        <v>396.875</v>
      </c>
      <c r="C5132" s="6">
        <v>20.478950000000001</v>
      </c>
      <c r="D5132" s="6">
        <v>69</v>
      </c>
      <c r="E5132" s="6">
        <v>0</v>
      </c>
      <c r="F5132" s="6">
        <v>0</v>
      </c>
      <c r="G5132" s="6">
        <v>1</v>
      </c>
      <c r="H5132" s="6" t="s">
        <v>35902</v>
      </c>
      <c r="I5132" s="6">
        <v>527.4375</v>
      </c>
      <c r="J5132" s="2">
        <f t="shared" si="80"/>
        <v>43748.835078506941</v>
      </c>
    </row>
    <row r="5133" spans="1:10" x14ac:dyDescent="0.25">
      <c r="A5133" s="7" t="s">
        <v>35903</v>
      </c>
      <c r="B5133" s="8">
        <v>393.75</v>
      </c>
      <c r="C5133" s="8">
        <v>20.478950000000001</v>
      </c>
      <c r="D5133" s="8">
        <v>69</v>
      </c>
      <c r="E5133" s="8">
        <v>0</v>
      </c>
      <c r="F5133" s="8">
        <v>0</v>
      </c>
      <c r="G5133" s="8">
        <v>9</v>
      </c>
      <c r="H5133" s="8" t="s">
        <v>35904</v>
      </c>
      <c r="I5133" s="8">
        <v>526.5</v>
      </c>
      <c r="J5133" s="3">
        <f t="shared" si="80"/>
        <v>43748.835174004627</v>
      </c>
    </row>
    <row r="5134" spans="1:10" x14ac:dyDescent="0.25">
      <c r="A5134" s="5" t="s">
        <v>35905</v>
      </c>
      <c r="B5134" s="6">
        <v>393.75</v>
      </c>
      <c r="C5134" s="6">
        <v>20.478950000000001</v>
      </c>
      <c r="D5134" s="6">
        <v>68</v>
      </c>
      <c r="E5134" s="6">
        <v>0</v>
      </c>
      <c r="F5134" s="6">
        <v>0</v>
      </c>
      <c r="G5134" s="6">
        <v>11</v>
      </c>
      <c r="H5134" s="6" t="s">
        <v>35906</v>
      </c>
      <c r="I5134" s="6">
        <v>526.5</v>
      </c>
      <c r="J5134" s="2">
        <f t="shared" si="80"/>
        <v>43748.835257430554</v>
      </c>
    </row>
    <row r="5135" spans="1:10" x14ac:dyDescent="0.25">
      <c r="A5135" s="7" t="s">
        <v>35907</v>
      </c>
      <c r="B5135" s="8">
        <v>393.75</v>
      </c>
      <c r="C5135" s="8">
        <v>20.478950000000001</v>
      </c>
      <c r="D5135" s="8">
        <v>67</v>
      </c>
      <c r="E5135" s="8">
        <v>0</v>
      </c>
      <c r="F5135" s="8">
        <v>0</v>
      </c>
      <c r="G5135" s="8">
        <v>7</v>
      </c>
      <c r="H5135" s="8" t="s">
        <v>35908</v>
      </c>
      <c r="I5135" s="8">
        <v>526.6875</v>
      </c>
      <c r="J5135" s="3">
        <f t="shared" si="80"/>
        <v>43748.835352557864</v>
      </c>
    </row>
    <row r="5136" spans="1:10" x14ac:dyDescent="0.25">
      <c r="A5136" s="5" t="s">
        <v>35909</v>
      </c>
      <c r="B5136" s="6">
        <v>396.875</v>
      </c>
      <c r="C5136" s="6">
        <v>20.478950000000001</v>
      </c>
      <c r="D5136" s="6">
        <v>67</v>
      </c>
      <c r="E5136" s="6">
        <v>0</v>
      </c>
      <c r="F5136" s="6">
        <v>0</v>
      </c>
      <c r="G5136" s="6">
        <v>6</v>
      </c>
      <c r="H5136" s="6" t="s">
        <v>35910</v>
      </c>
      <c r="I5136" s="6">
        <v>527.4375</v>
      </c>
      <c r="J5136" s="2">
        <f t="shared" si="80"/>
        <v>43748.835424236109</v>
      </c>
    </row>
    <row r="5137" spans="1:10" x14ac:dyDescent="0.25">
      <c r="A5137" s="7" t="s">
        <v>35911</v>
      </c>
      <c r="B5137" s="8">
        <v>396.875</v>
      </c>
      <c r="C5137" s="8">
        <v>20.478950000000001</v>
      </c>
      <c r="D5137" s="8">
        <v>67</v>
      </c>
      <c r="E5137" s="8">
        <v>0</v>
      </c>
      <c r="F5137" s="8">
        <v>0</v>
      </c>
      <c r="G5137" s="8">
        <v>3</v>
      </c>
      <c r="H5137" s="8" t="s">
        <v>35912</v>
      </c>
      <c r="I5137" s="8">
        <v>527.4375</v>
      </c>
      <c r="J5137" s="3">
        <f t="shared" si="80"/>
        <v>43748.835508124997</v>
      </c>
    </row>
    <row r="5138" spans="1:10" x14ac:dyDescent="0.25">
      <c r="A5138" s="5" t="s">
        <v>35913</v>
      </c>
      <c r="B5138" s="6">
        <v>396.875</v>
      </c>
      <c r="C5138" s="6">
        <v>20.478950000000001</v>
      </c>
      <c r="D5138" s="6">
        <v>67</v>
      </c>
      <c r="E5138" s="6">
        <v>0</v>
      </c>
      <c r="F5138" s="6">
        <v>0</v>
      </c>
      <c r="G5138" s="6">
        <v>9</v>
      </c>
      <c r="H5138" s="6" t="s">
        <v>35914</v>
      </c>
      <c r="I5138" s="6">
        <v>527.4375</v>
      </c>
      <c r="J5138" s="2">
        <f t="shared" si="80"/>
        <v>43748.835591342591</v>
      </c>
    </row>
    <row r="5139" spans="1:10" x14ac:dyDescent="0.25">
      <c r="A5139" s="7" t="s">
        <v>35915</v>
      </c>
      <c r="B5139" s="8">
        <v>396.875</v>
      </c>
      <c r="C5139" s="8">
        <v>20.478950000000001</v>
      </c>
      <c r="D5139" s="8">
        <v>68</v>
      </c>
      <c r="E5139" s="8">
        <v>0</v>
      </c>
      <c r="F5139" s="8">
        <v>0</v>
      </c>
      <c r="G5139" s="8">
        <v>14</v>
      </c>
      <c r="H5139" s="8" t="s">
        <v>35916</v>
      </c>
      <c r="I5139" s="8">
        <v>527.4375</v>
      </c>
      <c r="J5139" s="3">
        <f t="shared" si="80"/>
        <v>43748.835662974532</v>
      </c>
    </row>
    <row r="5140" spans="1:10" x14ac:dyDescent="0.25">
      <c r="A5140" s="5" t="s">
        <v>35917</v>
      </c>
      <c r="B5140" s="6">
        <v>396.875</v>
      </c>
      <c r="C5140" s="6">
        <v>20.478950000000001</v>
      </c>
      <c r="D5140" s="6">
        <v>69</v>
      </c>
      <c r="E5140" s="6">
        <v>0</v>
      </c>
      <c r="F5140" s="6">
        <v>0</v>
      </c>
      <c r="G5140" s="6">
        <v>2</v>
      </c>
      <c r="H5140" s="6" t="s">
        <v>35918</v>
      </c>
      <c r="I5140" s="6">
        <v>527.625</v>
      </c>
      <c r="J5140" s="2">
        <f t="shared" si="80"/>
        <v>43748.835746423611</v>
      </c>
    </row>
    <row r="5141" spans="1:10" x14ac:dyDescent="0.25">
      <c r="A5141" s="7" t="s">
        <v>35919</v>
      </c>
      <c r="B5141" s="8">
        <v>396.875</v>
      </c>
      <c r="C5141" s="8">
        <v>20.478950000000001</v>
      </c>
      <c r="D5141" s="8">
        <v>69</v>
      </c>
      <c r="E5141" s="8">
        <v>0</v>
      </c>
      <c r="F5141" s="8">
        <v>0</v>
      </c>
      <c r="G5141" s="8">
        <v>18</v>
      </c>
      <c r="H5141" s="8" t="s">
        <v>35920</v>
      </c>
      <c r="I5141" s="8">
        <v>527.625</v>
      </c>
      <c r="J5141" s="3">
        <f t="shared" si="80"/>
        <v>43748.835829872682</v>
      </c>
    </row>
    <row r="5142" spans="1:10" x14ac:dyDescent="0.25">
      <c r="A5142" s="5" t="s">
        <v>35921</v>
      </c>
      <c r="B5142" s="6">
        <v>400</v>
      </c>
      <c r="C5142" s="6">
        <v>20.478950000000001</v>
      </c>
      <c r="D5142" s="6">
        <v>69</v>
      </c>
      <c r="E5142" s="6">
        <v>0</v>
      </c>
      <c r="F5142" s="6">
        <v>0</v>
      </c>
      <c r="G5142" s="6">
        <v>6</v>
      </c>
      <c r="H5142" s="6" t="s">
        <v>35922</v>
      </c>
      <c r="I5142" s="6">
        <v>528.1875</v>
      </c>
      <c r="J5142" s="2">
        <f t="shared" si="80"/>
        <v>43748.835928159715</v>
      </c>
    </row>
    <row r="5143" spans="1:10" x14ac:dyDescent="0.25">
      <c r="A5143" s="7" t="s">
        <v>35923</v>
      </c>
      <c r="B5143" s="8">
        <v>403.125</v>
      </c>
      <c r="C5143" s="8">
        <v>20.478950000000001</v>
      </c>
      <c r="D5143" s="8">
        <v>69</v>
      </c>
      <c r="E5143" s="8">
        <v>0</v>
      </c>
      <c r="F5143" s="8">
        <v>0</v>
      </c>
      <c r="G5143" s="8">
        <v>18</v>
      </c>
      <c r="H5143" s="8" t="s">
        <v>35924</v>
      </c>
      <c r="I5143" s="8">
        <v>529.125</v>
      </c>
      <c r="J5143" s="3">
        <f t="shared" si="80"/>
        <v>43748.836008819439</v>
      </c>
    </row>
    <row r="5144" spans="1:10" x14ac:dyDescent="0.25">
      <c r="A5144" s="5" t="s">
        <v>35925</v>
      </c>
      <c r="B5144" s="6">
        <v>403.125</v>
      </c>
      <c r="C5144" s="6">
        <v>20.478950000000001</v>
      </c>
      <c r="D5144" s="6">
        <v>70</v>
      </c>
      <c r="E5144" s="6">
        <v>0</v>
      </c>
      <c r="F5144" s="6">
        <v>0</v>
      </c>
      <c r="G5144" s="6">
        <v>8</v>
      </c>
      <c r="H5144" s="6" t="s">
        <v>35926</v>
      </c>
      <c r="I5144" s="6">
        <v>529.125</v>
      </c>
      <c r="J5144" s="2">
        <f t="shared" si="80"/>
        <v>43748.836080462956</v>
      </c>
    </row>
    <row r="5145" spans="1:10" x14ac:dyDescent="0.25">
      <c r="A5145" s="7" t="s">
        <v>35927</v>
      </c>
      <c r="B5145" s="8">
        <v>400</v>
      </c>
      <c r="C5145" s="8">
        <v>20.478950000000001</v>
      </c>
      <c r="D5145" s="8">
        <v>70</v>
      </c>
      <c r="E5145" s="8">
        <v>0</v>
      </c>
      <c r="F5145" s="8">
        <v>0</v>
      </c>
      <c r="G5145" s="8">
        <v>1</v>
      </c>
      <c r="H5145" s="8" t="s">
        <v>35928</v>
      </c>
      <c r="I5145" s="8">
        <v>528.375</v>
      </c>
      <c r="J5145" s="3">
        <f t="shared" si="80"/>
        <v>43748.836151990741</v>
      </c>
    </row>
    <row r="5146" spans="1:10" x14ac:dyDescent="0.25">
      <c r="A5146" s="5" t="s">
        <v>35929</v>
      </c>
      <c r="B5146" s="6">
        <v>418.75</v>
      </c>
      <c r="C5146" s="6">
        <v>20.478950000000001</v>
      </c>
      <c r="D5146" s="6">
        <v>70</v>
      </c>
      <c r="E5146" s="6">
        <v>0</v>
      </c>
      <c r="F5146" s="6">
        <v>0</v>
      </c>
      <c r="G5146" s="6">
        <v>5</v>
      </c>
      <c r="H5146" s="6" t="s">
        <v>35930</v>
      </c>
      <c r="I5146" s="6">
        <v>534</v>
      </c>
      <c r="J5146" s="2">
        <f t="shared" si="80"/>
        <v>43748.836235590272</v>
      </c>
    </row>
    <row r="5147" spans="1:10" x14ac:dyDescent="0.25">
      <c r="A5147" s="7" t="s">
        <v>35931</v>
      </c>
      <c r="B5147" s="8">
        <v>400</v>
      </c>
      <c r="C5147" s="8">
        <v>20.478950000000001</v>
      </c>
      <c r="D5147" s="8">
        <v>66</v>
      </c>
      <c r="E5147" s="8">
        <v>0</v>
      </c>
      <c r="F5147" s="8">
        <v>0</v>
      </c>
      <c r="G5147" s="8">
        <v>3</v>
      </c>
      <c r="H5147" s="8" t="s">
        <v>35932</v>
      </c>
      <c r="I5147" s="8">
        <v>528.375</v>
      </c>
      <c r="J5147" s="3">
        <f t="shared" si="80"/>
        <v>43748.836319016198</v>
      </c>
    </row>
    <row r="5148" spans="1:10" x14ac:dyDescent="0.25">
      <c r="A5148" s="5" t="s">
        <v>35933</v>
      </c>
      <c r="B5148" s="6">
        <v>396.875</v>
      </c>
      <c r="C5148" s="6">
        <v>20.478950000000001</v>
      </c>
      <c r="D5148" s="6">
        <v>67</v>
      </c>
      <c r="E5148" s="6">
        <v>0</v>
      </c>
      <c r="F5148" s="6">
        <v>0</v>
      </c>
      <c r="G5148" s="6">
        <v>4</v>
      </c>
      <c r="H5148" s="6" t="s">
        <v>35934</v>
      </c>
      <c r="I5148" s="6">
        <v>527.4375</v>
      </c>
      <c r="J5148" s="2">
        <f t="shared" si="80"/>
        <v>43748.836402465276</v>
      </c>
    </row>
    <row r="5149" spans="1:10" x14ac:dyDescent="0.25">
      <c r="A5149" s="7" t="s">
        <v>35935</v>
      </c>
      <c r="B5149" s="8">
        <v>396.875</v>
      </c>
      <c r="C5149" s="8">
        <v>20.478950000000001</v>
      </c>
      <c r="D5149" s="8">
        <v>66</v>
      </c>
      <c r="E5149" s="8">
        <v>0</v>
      </c>
      <c r="F5149" s="8">
        <v>0</v>
      </c>
      <c r="G5149" s="8">
        <v>12</v>
      </c>
      <c r="H5149" s="8" t="s">
        <v>35936</v>
      </c>
      <c r="I5149" s="8">
        <v>527.4375</v>
      </c>
      <c r="J5149" s="3">
        <f t="shared" si="80"/>
        <v>43748.836485914355</v>
      </c>
    </row>
    <row r="5150" spans="1:10" x14ac:dyDescent="0.25">
      <c r="A5150" s="5" t="s">
        <v>35937</v>
      </c>
      <c r="B5150" s="6">
        <v>393.75</v>
      </c>
      <c r="C5150" s="6">
        <v>20.478950000000001</v>
      </c>
      <c r="D5150" s="6">
        <v>66</v>
      </c>
      <c r="E5150" s="6">
        <v>0</v>
      </c>
      <c r="F5150" s="6">
        <v>0</v>
      </c>
      <c r="G5150" s="6">
        <v>12</v>
      </c>
      <c r="H5150" s="6" t="s">
        <v>35938</v>
      </c>
      <c r="I5150" s="6">
        <v>526.6875</v>
      </c>
      <c r="J5150" s="2">
        <f t="shared" si="80"/>
        <v>43748.836569467589</v>
      </c>
    </row>
    <row r="5151" spans="1:10" x14ac:dyDescent="0.25">
      <c r="A5151" s="7" t="s">
        <v>35939</v>
      </c>
      <c r="B5151" s="8">
        <v>393.75</v>
      </c>
      <c r="C5151" s="8">
        <v>20.478950000000001</v>
      </c>
      <c r="D5151" s="8">
        <v>67</v>
      </c>
      <c r="E5151" s="8">
        <v>0</v>
      </c>
      <c r="F5151" s="8">
        <v>0</v>
      </c>
      <c r="G5151" s="8">
        <v>8</v>
      </c>
      <c r="H5151" s="8" t="s">
        <v>35940</v>
      </c>
      <c r="I5151" s="8">
        <v>526.6875</v>
      </c>
      <c r="J5151" s="3">
        <f t="shared" si="80"/>
        <v>43748.836652696758</v>
      </c>
    </row>
    <row r="5152" spans="1:10" x14ac:dyDescent="0.25">
      <c r="A5152" s="5" t="s">
        <v>35941</v>
      </c>
      <c r="B5152" s="6">
        <v>393.75</v>
      </c>
      <c r="C5152" s="6">
        <v>20.478950000000001</v>
      </c>
      <c r="D5152" s="6">
        <v>67</v>
      </c>
      <c r="E5152" s="6">
        <v>0</v>
      </c>
      <c r="F5152" s="6">
        <v>0</v>
      </c>
      <c r="G5152" s="6">
        <v>8</v>
      </c>
      <c r="H5152" s="6" t="s">
        <v>35942</v>
      </c>
      <c r="I5152" s="6">
        <v>526.6875</v>
      </c>
      <c r="J5152" s="2">
        <f t="shared" si="80"/>
        <v>43748.83677224537</v>
      </c>
    </row>
    <row r="5153" spans="1:10" x14ac:dyDescent="0.25">
      <c r="A5153" s="7" t="s">
        <v>35943</v>
      </c>
      <c r="B5153" s="8">
        <v>393.75</v>
      </c>
      <c r="C5153" s="8">
        <v>20.478950000000001</v>
      </c>
      <c r="D5153" s="8">
        <v>68</v>
      </c>
      <c r="E5153" s="8">
        <v>0</v>
      </c>
      <c r="F5153" s="8">
        <v>0</v>
      </c>
      <c r="G5153" s="8">
        <v>7</v>
      </c>
      <c r="H5153" s="8" t="s">
        <v>35944</v>
      </c>
      <c r="I5153" s="8">
        <v>526.6875</v>
      </c>
      <c r="J5153" s="3">
        <f t="shared" si="80"/>
        <v>43748.836855821755</v>
      </c>
    </row>
    <row r="5154" spans="1:10" x14ac:dyDescent="0.25">
      <c r="A5154" s="5" t="s">
        <v>35945</v>
      </c>
      <c r="B5154" s="6">
        <v>393.75</v>
      </c>
      <c r="C5154" s="6">
        <v>20.478950000000001</v>
      </c>
      <c r="D5154" s="6">
        <v>68</v>
      </c>
      <c r="E5154" s="6">
        <v>0</v>
      </c>
      <c r="F5154" s="6">
        <v>0</v>
      </c>
      <c r="G5154" s="6">
        <v>3</v>
      </c>
      <c r="H5154" s="6" t="s">
        <v>35946</v>
      </c>
      <c r="I5154" s="6">
        <v>526.6875</v>
      </c>
      <c r="J5154" s="2">
        <f t="shared" si="80"/>
        <v>43748.836939247682</v>
      </c>
    </row>
    <row r="5155" spans="1:10" x14ac:dyDescent="0.25">
      <c r="A5155" s="7" t="s">
        <v>35947</v>
      </c>
      <c r="B5155" s="8">
        <v>393.75</v>
      </c>
      <c r="C5155" s="8">
        <v>20.478950000000001</v>
      </c>
      <c r="D5155" s="8">
        <v>67</v>
      </c>
      <c r="E5155" s="8">
        <v>0</v>
      </c>
      <c r="F5155" s="8">
        <v>0</v>
      </c>
      <c r="G5155" s="8">
        <v>7</v>
      </c>
      <c r="H5155" s="8" t="s">
        <v>35948</v>
      </c>
      <c r="I5155" s="8">
        <v>526.6875</v>
      </c>
      <c r="J5155" s="3">
        <f t="shared" si="80"/>
        <v>43748.837022928237</v>
      </c>
    </row>
    <row r="5156" spans="1:10" x14ac:dyDescent="0.25">
      <c r="A5156" s="5" t="s">
        <v>35949</v>
      </c>
      <c r="B5156" s="6">
        <v>412.5</v>
      </c>
      <c r="C5156" s="6">
        <v>20.478950000000001</v>
      </c>
      <c r="D5156" s="6">
        <v>68</v>
      </c>
      <c r="E5156" s="6">
        <v>0</v>
      </c>
      <c r="F5156" s="6">
        <v>0</v>
      </c>
      <c r="G5156" s="6">
        <v>2</v>
      </c>
      <c r="H5156" s="6" t="s">
        <v>35950</v>
      </c>
      <c r="I5156" s="6">
        <v>532.875</v>
      </c>
      <c r="J5156" s="2">
        <f t="shared" si="80"/>
        <v>43748.83710626157</v>
      </c>
    </row>
    <row r="5157" spans="1:10" x14ac:dyDescent="0.25">
      <c r="A5157" s="7" t="s">
        <v>35951</v>
      </c>
      <c r="B5157" s="8">
        <v>393.75</v>
      </c>
      <c r="C5157" s="8">
        <v>20.478950000000001</v>
      </c>
      <c r="D5157" s="8">
        <v>71</v>
      </c>
      <c r="E5157" s="8">
        <v>0</v>
      </c>
      <c r="F5157" s="8">
        <v>0</v>
      </c>
      <c r="G5157" s="8">
        <v>6</v>
      </c>
      <c r="H5157" s="8" t="s">
        <v>35952</v>
      </c>
      <c r="I5157" s="8">
        <v>526.6875</v>
      </c>
      <c r="J5157" s="3">
        <f t="shared" si="80"/>
        <v>43748.837189606478</v>
      </c>
    </row>
    <row r="5158" spans="1:10" x14ac:dyDescent="0.25">
      <c r="A5158" s="5" t="s">
        <v>35953</v>
      </c>
      <c r="B5158" s="6">
        <v>393.75</v>
      </c>
      <c r="C5158" s="6">
        <v>20.478950000000001</v>
      </c>
      <c r="D5158" s="6">
        <v>68</v>
      </c>
      <c r="E5158" s="6">
        <v>0</v>
      </c>
      <c r="F5158" s="6">
        <v>0</v>
      </c>
      <c r="G5158" s="6">
        <v>14</v>
      </c>
      <c r="H5158" s="6" t="s">
        <v>35954</v>
      </c>
      <c r="I5158" s="6">
        <v>526.6875</v>
      </c>
      <c r="J5158" s="2">
        <f t="shared" si="80"/>
        <v>43748.837282638888</v>
      </c>
    </row>
    <row r="5159" spans="1:10" x14ac:dyDescent="0.25">
      <c r="A5159" s="7" t="s">
        <v>35955</v>
      </c>
      <c r="B5159" s="8">
        <v>393.75</v>
      </c>
      <c r="C5159" s="8">
        <v>20.478950000000001</v>
      </c>
      <c r="D5159" s="8">
        <v>65</v>
      </c>
      <c r="E5159" s="8">
        <v>0</v>
      </c>
      <c r="F5159" s="8">
        <v>0</v>
      </c>
      <c r="G5159" s="8">
        <v>11</v>
      </c>
      <c r="H5159" s="8" t="s">
        <v>35956</v>
      </c>
      <c r="I5159" s="8">
        <v>526.6875</v>
      </c>
      <c r="J5159" s="3">
        <f t="shared" si="80"/>
        <v>43748.837356377313</v>
      </c>
    </row>
    <row r="5160" spans="1:10" x14ac:dyDescent="0.25">
      <c r="A5160" s="5" t="s">
        <v>35957</v>
      </c>
      <c r="B5160" s="6">
        <v>393.75</v>
      </c>
      <c r="C5160" s="6">
        <v>20.478950000000001</v>
      </c>
      <c r="D5160" s="6">
        <v>65</v>
      </c>
      <c r="E5160" s="6">
        <v>0</v>
      </c>
      <c r="F5160" s="6">
        <v>0</v>
      </c>
      <c r="G5160" s="6">
        <v>10</v>
      </c>
      <c r="H5160" s="6" t="s">
        <v>35958</v>
      </c>
      <c r="I5160" s="6">
        <v>526.6875</v>
      </c>
      <c r="J5160" s="2">
        <f t="shared" si="80"/>
        <v>43748.837427939812</v>
      </c>
    </row>
    <row r="5161" spans="1:10" x14ac:dyDescent="0.25">
      <c r="A5161" s="7" t="s">
        <v>35959</v>
      </c>
      <c r="B5161" s="8">
        <v>425</v>
      </c>
      <c r="C5161" s="8">
        <v>20.478950000000001</v>
      </c>
      <c r="D5161" s="8">
        <v>68</v>
      </c>
      <c r="E5161" s="8">
        <v>0</v>
      </c>
      <c r="F5161" s="8">
        <v>0</v>
      </c>
      <c r="G5161" s="8">
        <v>6</v>
      </c>
      <c r="H5161" s="8" t="s">
        <v>35960</v>
      </c>
      <c r="I5161" s="8">
        <v>536.4375</v>
      </c>
      <c r="J5161" s="3">
        <f t="shared" si="80"/>
        <v>43748.837511909718</v>
      </c>
    </row>
    <row r="5162" spans="1:10" x14ac:dyDescent="0.25">
      <c r="A5162" s="5" t="s">
        <v>35961</v>
      </c>
      <c r="B5162" s="6">
        <v>393.75</v>
      </c>
      <c r="C5162" s="6">
        <v>20.478950000000001</v>
      </c>
      <c r="D5162" s="6">
        <v>71</v>
      </c>
      <c r="E5162" s="6">
        <v>0</v>
      </c>
      <c r="F5162" s="6">
        <v>0</v>
      </c>
      <c r="G5162" s="6">
        <v>15</v>
      </c>
      <c r="H5162" s="6" t="s">
        <v>35962</v>
      </c>
      <c r="I5162" s="6">
        <v>526.6875</v>
      </c>
      <c r="J5162" s="2">
        <f t="shared" si="80"/>
        <v>43748.837595486104</v>
      </c>
    </row>
    <row r="5163" spans="1:10" x14ac:dyDescent="0.25">
      <c r="A5163" s="7" t="s">
        <v>35963</v>
      </c>
      <c r="B5163" s="8">
        <v>393.75</v>
      </c>
      <c r="C5163" s="8">
        <v>20.478950000000001</v>
      </c>
      <c r="D5163" s="8">
        <v>70</v>
      </c>
      <c r="E5163" s="8">
        <v>0</v>
      </c>
      <c r="F5163" s="8">
        <v>0</v>
      </c>
      <c r="G5163" s="8">
        <v>10</v>
      </c>
      <c r="H5163" s="8" t="s">
        <v>35964</v>
      </c>
      <c r="I5163" s="8">
        <v>526.6875</v>
      </c>
      <c r="J5163" s="3">
        <f t="shared" si="80"/>
        <v>43748.837678495365</v>
      </c>
    </row>
    <row r="5164" spans="1:10" x14ac:dyDescent="0.25">
      <c r="A5164" s="5" t="s">
        <v>35965</v>
      </c>
      <c r="B5164" s="6">
        <v>393.75</v>
      </c>
      <c r="C5164" s="6">
        <v>20.478950000000001</v>
      </c>
      <c r="D5164" s="6">
        <v>70</v>
      </c>
      <c r="E5164" s="6">
        <v>0</v>
      </c>
      <c r="F5164" s="6">
        <v>0</v>
      </c>
      <c r="G5164" s="6">
        <v>9</v>
      </c>
      <c r="H5164" s="6" t="s">
        <v>35966</v>
      </c>
      <c r="I5164" s="6">
        <v>526.6875</v>
      </c>
      <c r="J5164" s="2">
        <f t="shared" si="80"/>
        <v>43748.837752719905</v>
      </c>
    </row>
    <row r="5165" spans="1:10" x14ac:dyDescent="0.25">
      <c r="A5165" s="7" t="s">
        <v>35967</v>
      </c>
      <c r="B5165" s="8">
        <v>393.75</v>
      </c>
      <c r="C5165" s="8">
        <v>20.478950000000001</v>
      </c>
      <c r="D5165" s="8">
        <v>69</v>
      </c>
      <c r="E5165" s="8">
        <v>0</v>
      </c>
      <c r="F5165" s="8">
        <v>0</v>
      </c>
      <c r="G5165" s="8">
        <v>5</v>
      </c>
      <c r="H5165" s="8" t="s">
        <v>35968</v>
      </c>
      <c r="I5165" s="8">
        <v>526.6875</v>
      </c>
      <c r="J5165" s="3">
        <f t="shared" si="80"/>
        <v>43748.83783384259</v>
      </c>
    </row>
    <row r="5166" spans="1:10" x14ac:dyDescent="0.25">
      <c r="A5166" s="5" t="s">
        <v>35969</v>
      </c>
      <c r="B5166" s="6">
        <v>393.75</v>
      </c>
      <c r="C5166" s="6">
        <v>20.478950000000001</v>
      </c>
      <c r="D5166" s="6">
        <v>69</v>
      </c>
      <c r="E5166" s="6">
        <v>0</v>
      </c>
      <c r="F5166" s="6">
        <v>0</v>
      </c>
      <c r="G5166" s="6">
        <v>12</v>
      </c>
      <c r="H5166" s="6" t="s">
        <v>35970</v>
      </c>
      <c r="I5166" s="6">
        <v>526.6875</v>
      </c>
      <c r="J5166" s="2">
        <f t="shared" si="80"/>
        <v>43748.837917268516</v>
      </c>
    </row>
    <row r="5167" spans="1:10" x14ac:dyDescent="0.25">
      <c r="A5167" s="7" t="s">
        <v>35971</v>
      </c>
      <c r="B5167" s="8">
        <v>393.75</v>
      </c>
      <c r="C5167" s="8">
        <v>20.478950000000001</v>
      </c>
      <c r="D5167" s="8">
        <v>69</v>
      </c>
      <c r="E5167" s="8">
        <v>0</v>
      </c>
      <c r="F5167" s="8">
        <v>0</v>
      </c>
      <c r="G5167" s="8">
        <v>6</v>
      </c>
      <c r="H5167" s="8" t="s">
        <v>35972</v>
      </c>
      <c r="I5167" s="8">
        <v>526.6875</v>
      </c>
      <c r="J5167" s="3">
        <f t="shared" si="80"/>
        <v>43748.837988900465</v>
      </c>
    </row>
    <row r="5168" spans="1:10" x14ac:dyDescent="0.25">
      <c r="A5168" s="5" t="s">
        <v>35973</v>
      </c>
      <c r="B5168" s="6">
        <v>393.75</v>
      </c>
      <c r="C5168" s="6">
        <v>20.478950000000001</v>
      </c>
      <c r="D5168" s="6">
        <v>69</v>
      </c>
      <c r="E5168" s="6">
        <v>0</v>
      </c>
      <c r="F5168" s="6">
        <v>0</v>
      </c>
      <c r="G5168" s="6">
        <v>4</v>
      </c>
      <c r="H5168" s="6" t="s">
        <v>35974</v>
      </c>
      <c r="I5168" s="6">
        <v>526.6875</v>
      </c>
      <c r="J5168" s="2">
        <f t="shared" si="80"/>
        <v>43748.838072361112</v>
      </c>
    </row>
    <row r="5169" spans="1:10" x14ac:dyDescent="0.25">
      <c r="A5169" s="7" t="s">
        <v>35975</v>
      </c>
      <c r="B5169" s="8">
        <v>412.5</v>
      </c>
      <c r="C5169" s="8">
        <v>20.478950000000001</v>
      </c>
      <c r="D5169" s="8">
        <v>70</v>
      </c>
      <c r="E5169" s="8">
        <v>0</v>
      </c>
      <c r="F5169" s="8">
        <v>0</v>
      </c>
      <c r="G5169" s="8">
        <v>10</v>
      </c>
      <c r="H5169" s="8" t="s">
        <v>35976</v>
      </c>
      <c r="I5169" s="8">
        <v>532.3125</v>
      </c>
      <c r="J5169" s="3">
        <f t="shared" si="80"/>
        <v>43748.838155810183</v>
      </c>
    </row>
    <row r="5170" spans="1:10" x14ac:dyDescent="0.25">
      <c r="A5170" s="5" t="s">
        <v>35977</v>
      </c>
      <c r="B5170" s="6">
        <v>393.75</v>
      </c>
      <c r="C5170" s="6">
        <v>20.478950000000001</v>
      </c>
      <c r="D5170" s="6">
        <v>70</v>
      </c>
      <c r="E5170" s="6">
        <v>0</v>
      </c>
      <c r="F5170" s="6">
        <v>0</v>
      </c>
      <c r="G5170" s="6">
        <v>11</v>
      </c>
      <c r="H5170" s="6" t="s">
        <v>35978</v>
      </c>
      <c r="I5170" s="6">
        <v>526.5</v>
      </c>
      <c r="J5170" s="2">
        <f t="shared" si="80"/>
        <v>43748.838252442125</v>
      </c>
    </row>
    <row r="5171" spans="1:10" x14ac:dyDescent="0.25">
      <c r="A5171" s="7" t="s">
        <v>35979</v>
      </c>
      <c r="B5171" s="8">
        <v>393.75</v>
      </c>
      <c r="C5171" s="8">
        <v>20.478950000000001</v>
      </c>
      <c r="D5171" s="8">
        <v>71</v>
      </c>
      <c r="E5171" s="8">
        <v>0</v>
      </c>
      <c r="F5171" s="8">
        <v>0</v>
      </c>
      <c r="G5171" s="8">
        <v>8</v>
      </c>
      <c r="H5171" s="8" t="s">
        <v>35980</v>
      </c>
      <c r="I5171" s="8">
        <v>526.6875</v>
      </c>
      <c r="J5171" s="3">
        <f t="shared" si="80"/>
        <v>43748.838334745371</v>
      </c>
    </row>
    <row r="5172" spans="1:10" x14ac:dyDescent="0.25">
      <c r="A5172" s="5" t="s">
        <v>35981</v>
      </c>
      <c r="B5172" s="6">
        <v>393.75</v>
      </c>
      <c r="C5172" s="6">
        <v>20.478950000000001</v>
      </c>
      <c r="D5172" s="6">
        <v>71</v>
      </c>
      <c r="E5172" s="6">
        <v>0</v>
      </c>
      <c r="F5172" s="6">
        <v>0</v>
      </c>
      <c r="G5172" s="6">
        <v>11</v>
      </c>
      <c r="H5172" s="6" t="s">
        <v>35982</v>
      </c>
      <c r="I5172" s="6">
        <v>526.5</v>
      </c>
      <c r="J5172" s="2">
        <f t="shared" si="80"/>
        <v>43748.838406261573</v>
      </c>
    </row>
    <row r="5173" spans="1:10" x14ac:dyDescent="0.25">
      <c r="A5173" s="7" t="s">
        <v>35983</v>
      </c>
      <c r="B5173" s="8">
        <v>393.75</v>
      </c>
      <c r="C5173" s="8">
        <v>20.478950000000001</v>
      </c>
      <c r="D5173" s="8">
        <v>72</v>
      </c>
      <c r="E5173" s="8">
        <v>0</v>
      </c>
      <c r="F5173" s="8">
        <v>0</v>
      </c>
      <c r="G5173" s="8">
        <v>12</v>
      </c>
      <c r="H5173" s="8" t="s">
        <v>35984</v>
      </c>
      <c r="I5173" s="8">
        <v>526.6875</v>
      </c>
      <c r="J5173" s="3">
        <f t="shared" si="80"/>
        <v>43748.838489606474</v>
      </c>
    </row>
    <row r="5174" spans="1:10" x14ac:dyDescent="0.25">
      <c r="A5174" s="5" t="s">
        <v>35985</v>
      </c>
      <c r="B5174" s="6">
        <v>393.75</v>
      </c>
      <c r="C5174" s="6">
        <v>20.478950000000001</v>
      </c>
      <c r="D5174" s="6">
        <v>72</v>
      </c>
      <c r="E5174" s="6">
        <v>0</v>
      </c>
      <c r="F5174" s="6">
        <v>0</v>
      </c>
      <c r="G5174" s="6">
        <v>0</v>
      </c>
      <c r="H5174" s="6" t="s">
        <v>35986</v>
      </c>
      <c r="I5174" s="6">
        <v>526.6875</v>
      </c>
      <c r="J5174" s="2">
        <f t="shared" si="80"/>
        <v>43748.838561365737</v>
      </c>
    </row>
    <row r="5175" spans="1:10" x14ac:dyDescent="0.25">
      <c r="A5175" s="7" t="s">
        <v>35987</v>
      </c>
      <c r="B5175" s="8">
        <v>393.75</v>
      </c>
      <c r="C5175" s="8">
        <v>20.478950000000001</v>
      </c>
      <c r="D5175" s="8">
        <v>71</v>
      </c>
      <c r="E5175" s="8">
        <v>0</v>
      </c>
      <c r="F5175" s="8">
        <v>0</v>
      </c>
      <c r="G5175" s="8">
        <v>8</v>
      </c>
      <c r="H5175" s="8" t="s">
        <v>35988</v>
      </c>
      <c r="I5175" s="8">
        <v>526.6875</v>
      </c>
      <c r="J5175" s="3">
        <f t="shared" si="80"/>
        <v>43748.838644826385</v>
      </c>
    </row>
    <row r="5176" spans="1:10" x14ac:dyDescent="0.25">
      <c r="A5176" s="5" t="s">
        <v>35989</v>
      </c>
      <c r="B5176" s="6">
        <v>393.75</v>
      </c>
      <c r="C5176" s="6">
        <v>20.478950000000001</v>
      </c>
      <c r="D5176" s="6">
        <v>71</v>
      </c>
      <c r="E5176" s="6">
        <v>0</v>
      </c>
      <c r="F5176" s="6">
        <v>0</v>
      </c>
      <c r="G5176" s="6">
        <v>8</v>
      </c>
      <c r="H5176" s="6" t="s">
        <v>35990</v>
      </c>
      <c r="I5176" s="6">
        <v>526.6875</v>
      </c>
      <c r="J5176" s="2">
        <f t="shared" si="80"/>
        <v>43748.838728379626</v>
      </c>
    </row>
    <row r="5177" spans="1:10" x14ac:dyDescent="0.25">
      <c r="A5177" s="7" t="s">
        <v>35991</v>
      </c>
      <c r="B5177" s="8">
        <v>393.75</v>
      </c>
      <c r="C5177" s="8">
        <v>20.478950000000001</v>
      </c>
      <c r="D5177" s="8">
        <v>71</v>
      </c>
      <c r="E5177" s="8">
        <v>0</v>
      </c>
      <c r="F5177" s="8">
        <v>0</v>
      </c>
      <c r="G5177" s="8">
        <v>9</v>
      </c>
      <c r="H5177" s="8" t="s">
        <v>35992</v>
      </c>
      <c r="I5177" s="8">
        <v>526.6875</v>
      </c>
      <c r="J5177" s="3">
        <f t="shared" si="80"/>
        <v>43748.838811817128</v>
      </c>
    </row>
    <row r="5178" spans="1:10" x14ac:dyDescent="0.25">
      <c r="A5178" s="5" t="s">
        <v>35993</v>
      </c>
      <c r="B5178" s="6">
        <v>393.75</v>
      </c>
      <c r="C5178" s="6">
        <v>20.478950000000001</v>
      </c>
      <c r="D5178" s="6">
        <v>71</v>
      </c>
      <c r="E5178" s="6">
        <v>0</v>
      </c>
      <c r="F5178" s="6">
        <v>0</v>
      </c>
      <c r="G5178" s="6">
        <v>14</v>
      </c>
      <c r="H5178" s="6" t="s">
        <v>35994</v>
      </c>
      <c r="I5178" s="6">
        <v>526.6875</v>
      </c>
      <c r="J5178" s="2">
        <f t="shared" si="80"/>
        <v>43748.838895381945</v>
      </c>
    </row>
    <row r="5179" spans="1:10" x14ac:dyDescent="0.25">
      <c r="A5179" s="7" t="s">
        <v>35995</v>
      </c>
      <c r="B5179" s="8">
        <v>393.75</v>
      </c>
      <c r="C5179" s="8">
        <v>20.478950000000001</v>
      </c>
      <c r="D5179" s="8">
        <v>71</v>
      </c>
      <c r="E5179" s="8">
        <v>0</v>
      </c>
      <c r="F5179" s="8">
        <v>0</v>
      </c>
      <c r="G5179" s="8">
        <v>19</v>
      </c>
      <c r="H5179" s="8" t="s">
        <v>35996</v>
      </c>
      <c r="I5179" s="8">
        <v>526.6875</v>
      </c>
      <c r="J5179" s="3">
        <f t="shared" si="80"/>
        <v>43748.838978576387</v>
      </c>
    </row>
    <row r="5180" spans="1:10" x14ac:dyDescent="0.25">
      <c r="A5180" s="5" t="s">
        <v>35997</v>
      </c>
      <c r="B5180" s="6">
        <v>393.75</v>
      </c>
      <c r="C5180" s="6">
        <v>20.478950000000001</v>
      </c>
      <c r="D5180" s="6">
        <v>71</v>
      </c>
      <c r="E5180" s="6">
        <v>0</v>
      </c>
      <c r="F5180" s="6">
        <v>0</v>
      </c>
      <c r="G5180" s="6">
        <v>15</v>
      </c>
      <c r="H5180" s="6" t="s">
        <v>35998</v>
      </c>
      <c r="I5180" s="6">
        <v>526.6875</v>
      </c>
      <c r="J5180" s="2">
        <f t="shared" si="80"/>
        <v>43748.839050138886</v>
      </c>
    </row>
    <row r="5181" spans="1:10" x14ac:dyDescent="0.25">
      <c r="A5181" s="7" t="s">
        <v>35999</v>
      </c>
      <c r="B5181" s="8">
        <v>393.75</v>
      </c>
      <c r="C5181" s="8">
        <v>20.478950000000001</v>
      </c>
      <c r="D5181" s="8">
        <v>72</v>
      </c>
      <c r="E5181" s="8">
        <v>0</v>
      </c>
      <c r="F5181" s="8">
        <v>0</v>
      </c>
      <c r="G5181" s="8">
        <v>20</v>
      </c>
      <c r="H5181" s="8" t="s">
        <v>36000</v>
      </c>
      <c r="I5181" s="8">
        <v>526.6875</v>
      </c>
      <c r="J5181" s="3">
        <f t="shared" si="80"/>
        <v>43748.839134050919</v>
      </c>
    </row>
    <row r="5182" spans="1:10" x14ac:dyDescent="0.25">
      <c r="A5182" s="5" t="s">
        <v>36001</v>
      </c>
      <c r="B5182" s="6">
        <v>393.75</v>
      </c>
      <c r="C5182" s="6">
        <v>20.478950000000001</v>
      </c>
      <c r="D5182" s="6">
        <v>72</v>
      </c>
      <c r="E5182" s="6">
        <v>0</v>
      </c>
      <c r="F5182" s="6">
        <v>0</v>
      </c>
      <c r="G5182" s="6">
        <v>7</v>
      </c>
      <c r="H5182" s="6" t="s">
        <v>36002</v>
      </c>
      <c r="I5182" s="6">
        <v>526.6875</v>
      </c>
      <c r="J5182" s="2">
        <f t="shared" si="80"/>
        <v>43748.839217372682</v>
      </c>
    </row>
    <row r="5183" spans="1:10" x14ac:dyDescent="0.25">
      <c r="A5183" s="7" t="s">
        <v>36003</v>
      </c>
      <c r="B5183" s="8">
        <v>393.75</v>
      </c>
      <c r="C5183" s="8">
        <v>20.478950000000001</v>
      </c>
      <c r="D5183" s="8">
        <v>71</v>
      </c>
      <c r="E5183" s="8">
        <v>0</v>
      </c>
      <c r="F5183" s="8">
        <v>0</v>
      </c>
      <c r="G5183" s="8">
        <v>9</v>
      </c>
      <c r="H5183" s="8" t="s">
        <v>36004</v>
      </c>
      <c r="I5183" s="8">
        <v>526.6875</v>
      </c>
      <c r="J5183" s="3">
        <f t="shared" si="80"/>
        <v>43748.839300706015</v>
      </c>
    </row>
    <row r="5184" spans="1:10" x14ac:dyDescent="0.25">
      <c r="A5184" s="5" t="s">
        <v>36005</v>
      </c>
      <c r="B5184" s="6">
        <v>393.75</v>
      </c>
      <c r="C5184" s="6">
        <v>20.478950000000001</v>
      </c>
      <c r="D5184" s="6">
        <v>71</v>
      </c>
      <c r="E5184" s="6">
        <v>0</v>
      </c>
      <c r="F5184" s="6">
        <v>0</v>
      </c>
      <c r="G5184" s="6">
        <v>13</v>
      </c>
      <c r="H5184" s="6" t="s">
        <v>36006</v>
      </c>
      <c r="I5184" s="6">
        <v>526.6875</v>
      </c>
      <c r="J5184" s="2">
        <f t="shared" si="80"/>
        <v>43748.839396319447</v>
      </c>
    </row>
    <row r="5185" spans="1:10" x14ac:dyDescent="0.25">
      <c r="A5185" s="7" t="s">
        <v>36007</v>
      </c>
      <c r="B5185" s="8">
        <v>412.5</v>
      </c>
      <c r="C5185" s="8">
        <v>20.478950000000001</v>
      </c>
      <c r="D5185" s="8">
        <v>71</v>
      </c>
      <c r="E5185" s="8">
        <v>0</v>
      </c>
      <c r="F5185" s="8">
        <v>0</v>
      </c>
      <c r="G5185" s="8">
        <v>5</v>
      </c>
      <c r="H5185" s="8" t="s">
        <v>36008</v>
      </c>
      <c r="I5185" s="8">
        <v>532.3125</v>
      </c>
      <c r="J5185" s="3">
        <f t="shared" si="80"/>
        <v>43748.839491689818</v>
      </c>
    </row>
    <row r="5186" spans="1:10" x14ac:dyDescent="0.25">
      <c r="A5186" s="5" t="s">
        <v>36009</v>
      </c>
      <c r="B5186" s="6">
        <v>393.75</v>
      </c>
      <c r="C5186" s="6">
        <v>20.478950000000001</v>
      </c>
      <c r="D5186" s="6">
        <v>71</v>
      </c>
      <c r="E5186" s="6">
        <v>0</v>
      </c>
      <c r="F5186" s="6">
        <v>0</v>
      </c>
      <c r="G5186" s="6">
        <v>11</v>
      </c>
      <c r="H5186" s="6" t="s">
        <v>36010</v>
      </c>
      <c r="I5186" s="6">
        <v>526.6875</v>
      </c>
      <c r="J5186" s="2">
        <f t="shared" ref="J5186:J5249" si="81">(H5186/86400000)+25569+(7/24)</f>
        <v>43748.839587303235</v>
      </c>
    </row>
    <row r="5187" spans="1:10" x14ac:dyDescent="0.25">
      <c r="A5187" s="7" t="s">
        <v>36011</v>
      </c>
      <c r="B5187" s="8">
        <v>393.75</v>
      </c>
      <c r="C5187" s="8">
        <v>20.478950000000001</v>
      </c>
      <c r="D5187" s="8">
        <v>71</v>
      </c>
      <c r="E5187" s="8">
        <v>0</v>
      </c>
      <c r="F5187" s="8">
        <v>0</v>
      </c>
      <c r="G5187" s="8">
        <v>16</v>
      </c>
      <c r="H5187" s="8" t="s">
        <v>36012</v>
      </c>
      <c r="I5187" s="8">
        <v>526.6875</v>
      </c>
      <c r="J5187" s="3">
        <f t="shared" si="81"/>
        <v>43748.839670613423</v>
      </c>
    </row>
    <row r="5188" spans="1:10" x14ac:dyDescent="0.25">
      <c r="A5188" s="5" t="s">
        <v>36013</v>
      </c>
      <c r="B5188" s="6">
        <v>393.75</v>
      </c>
      <c r="C5188" s="6">
        <v>20.478950000000001</v>
      </c>
      <c r="D5188" s="6">
        <v>71</v>
      </c>
      <c r="E5188" s="6">
        <v>0</v>
      </c>
      <c r="F5188" s="6">
        <v>0</v>
      </c>
      <c r="G5188" s="6">
        <v>8</v>
      </c>
      <c r="H5188" s="6" t="s">
        <v>36014</v>
      </c>
      <c r="I5188" s="6">
        <v>526.5</v>
      </c>
      <c r="J5188" s="2">
        <f t="shared" si="81"/>
        <v>43748.839754062494</v>
      </c>
    </row>
    <row r="5189" spans="1:10" x14ac:dyDescent="0.25">
      <c r="A5189" s="7" t="s">
        <v>36015</v>
      </c>
      <c r="B5189" s="8">
        <v>393.75</v>
      </c>
      <c r="C5189" s="8">
        <v>20.478950000000001</v>
      </c>
      <c r="D5189" s="8">
        <v>70</v>
      </c>
      <c r="E5189" s="8">
        <v>0</v>
      </c>
      <c r="F5189" s="8">
        <v>0</v>
      </c>
      <c r="G5189" s="8">
        <v>9</v>
      </c>
      <c r="H5189" s="8" t="s">
        <v>36016</v>
      </c>
      <c r="I5189" s="8">
        <v>526.6875</v>
      </c>
      <c r="J5189" s="3">
        <f t="shared" si="81"/>
        <v>43748.839837766202</v>
      </c>
    </row>
    <row r="5190" spans="1:10" x14ac:dyDescent="0.25">
      <c r="A5190" s="5" t="s">
        <v>36017</v>
      </c>
      <c r="B5190" s="6">
        <v>393.75</v>
      </c>
      <c r="C5190" s="6">
        <v>20.478950000000001</v>
      </c>
      <c r="D5190" s="6">
        <v>70</v>
      </c>
      <c r="E5190" s="6">
        <v>0</v>
      </c>
      <c r="F5190" s="6">
        <v>0</v>
      </c>
      <c r="G5190" s="6">
        <v>5</v>
      </c>
      <c r="H5190" s="6" t="s">
        <v>36018</v>
      </c>
      <c r="I5190" s="6">
        <v>526.6875</v>
      </c>
      <c r="J5190" s="2">
        <f t="shared" si="81"/>
        <v>43748.839955810181</v>
      </c>
    </row>
    <row r="5191" spans="1:10" x14ac:dyDescent="0.25">
      <c r="A5191" s="7" t="s">
        <v>36019</v>
      </c>
      <c r="B5191" s="8">
        <v>393.75</v>
      </c>
      <c r="C5191" s="8">
        <v>20.478950000000001</v>
      </c>
      <c r="D5191" s="8">
        <v>70</v>
      </c>
      <c r="E5191" s="8">
        <v>0</v>
      </c>
      <c r="F5191" s="8">
        <v>0</v>
      </c>
      <c r="G5191" s="8">
        <v>5</v>
      </c>
      <c r="H5191" s="8" t="s">
        <v>36020</v>
      </c>
      <c r="I5191" s="8">
        <v>526.6875</v>
      </c>
      <c r="J5191" s="3">
        <f t="shared" si="81"/>
        <v>43748.840028483792</v>
      </c>
    </row>
    <row r="5192" spans="1:10" x14ac:dyDescent="0.25">
      <c r="A5192" s="5" t="s">
        <v>36021</v>
      </c>
      <c r="B5192" s="6">
        <v>396.875</v>
      </c>
      <c r="C5192" s="6">
        <v>20.478950000000001</v>
      </c>
      <c r="D5192" s="6">
        <v>71</v>
      </c>
      <c r="E5192" s="6">
        <v>0</v>
      </c>
      <c r="F5192" s="6">
        <v>0</v>
      </c>
      <c r="G5192" s="6">
        <v>7</v>
      </c>
      <c r="H5192" s="6" t="s">
        <v>36022</v>
      </c>
      <c r="I5192" s="6">
        <v>527.4375</v>
      </c>
      <c r="J5192" s="2">
        <f t="shared" si="81"/>
        <v>43748.840111851845</v>
      </c>
    </row>
    <row r="5193" spans="1:10" x14ac:dyDescent="0.25">
      <c r="A5193" s="7" t="s">
        <v>36023</v>
      </c>
      <c r="B5193" s="8">
        <v>396.875</v>
      </c>
      <c r="C5193" s="8">
        <v>20.478950000000001</v>
      </c>
      <c r="D5193" s="8">
        <v>70</v>
      </c>
      <c r="E5193" s="8">
        <v>0</v>
      </c>
      <c r="F5193" s="8">
        <v>0</v>
      </c>
      <c r="G5193" s="8">
        <v>11</v>
      </c>
      <c r="H5193" s="8" t="s">
        <v>36024</v>
      </c>
      <c r="I5193" s="8">
        <v>527.625</v>
      </c>
      <c r="J5193" s="3">
        <f t="shared" si="81"/>
        <v>43748.840195393517</v>
      </c>
    </row>
    <row r="5194" spans="1:10" x14ac:dyDescent="0.25">
      <c r="A5194" s="5" t="s">
        <v>36025</v>
      </c>
      <c r="B5194" s="6">
        <v>396.875</v>
      </c>
      <c r="C5194" s="6">
        <v>20.478950000000001</v>
      </c>
      <c r="D5194" s="6">
        <v>69</v>
      </c>
      <c r="E5194" s="6">
        <v>0</v>
      </c>
      <c r="F5194" s="6">
        <v>0</v>
      </c>
      <c r="G5194" s="6">
        <v>1</v>
      </c>
      <c r="H5194" s="6" t="s">
        <v>36026</v>
      </c>
      <c r="I5194" s="6">
        <v>527.4375</v>
      </c>
      <c r="J5194" s="2">
        <f t="shared" si="81"/>
        <v>43748.840278599535</v>
      </c>
    </row>
    <row r="5195" spans="1:10" x14ac:dyDescent="0.25">
      <c r="A5195" s="7" t="s">
        <v>36027</v>
      </c>
      <c r="B5195" s="8">
        <v>396.875</v>
      </c>
      <c r="C5195" s="8">
        <v>20.478950000000001</v>
      </c>
      <c r="D5195" s="8">
        <v>69</v>
      </c>
      <c r="E5195" s="8">
        <v>0</v>
      </c>
      <c r="F5195" s="8">
        <v>0</v>
      </c>
      <c r="G5195" s="8">
        <v>9</v>
      </c>
      <c r="H5195" s="8" t="s">
        <v>36028</v>
      </c>
      <c r="I5195" s="8">
        <v>527.4375</v>
      </c>
      <c r="J5195" s="3">
        <f t="shared" si="81"/>
        <v>43748.840350393519</v>
      </c>
    </row>
    <row r="5196" spans="1:10" x14ac:dyDescent="0.25">
      <c r="A5196" s="5" t="s">
        <v>36029</v>
      </c>
      <c r="B5196" s="6">
        <v>396.875</v>
      </c>
      <c r="C5196" s="6">
        <v>20.478950000000001</v>
      </c>
      <c r="D5196" s="6">
        <v>70</v>
      </c>
      <c r="E5196" s="6">
        <v>0</v>
      </c>
      <c r="F5196" s="6">
        <v>0</v>
      </c>
      <c r="G5196" s="6">
        <v>0</v>
      </c>
      <c r="H5196" s="6" t="s">
        <v>36030</v>
      </c>
      <c r="I5196" s="6">
        <v>527.625</v>
      </c>
      <c r="J5196" s="2">
        <f t="shared" si="81"/>
        <v>43748.840421990739</v>
      </c>
    </row>
    <row r="5197" spans="1:10" x14ac:dyDescent="0.25">
      <c r="A5197" s="7" t="s">
        <v>36031</v>
      </c>
      <c r="B5197" s="8">
        <v>396.875</v>
      </c>
      <c r="C5197" s="8">
        <v>20.478950000000001</v>
      </c>
      <c r="D5197" s="8">
        <v>71</v>
      </c>
      <c r="E5197" s="8">
        <v>0</v>
      </c>
      <c r="F5197" s="8">
        <v>0</v>
      </c>
      <c r="G5197" s="8">
        <v>12</v>
      </c>
      <c r="H5197" s="8" t="s">
        <v>36032</v>
      </c>
      <c r="I5197" s="8">
        <v>527.4375</v>
      </c>
      <c r="J5197" s="3">
        <f t="shared" si="81"/>
        <v>43748.840493321761</v>
      </c>
    </row>
    <row r="5198" spans="1:10" x14ac:dyDescent="0.25">
      <c r="A5198" s="5" t="s">
        <v>36033</v>
      </c>
      <c r="B5198" s="6">
        <v>396.875</v>
      </c>
      <c r="C5198" s="6">
        <v>20.478950000000001</v>
      </c>
      <c r="D5198" s="6">
        <v>74</v>
      </c>
      <c r="E5198" s="6">
        <v>0</v>
      </c>
      <c r="F5198" s="6">
        <v>0</v>
      </c>
      <c r="G5198" s="6">
        <v>0</v>
      </c>
      <c r="H5198" s="6" t="s">
        <v>36034</v>
      </c>
      <c r="I5198" s="6">
        <v>527.4375</v>
      </c>
      <c r="J5198" s="2">
        <f t="shared" si="81"/>
        <v>43748.840577106479</v>
      </c>
    </row>
    <row r="5199" spans="1:10" x14ac:dyDescent="0.25">
      <c r="A5199" s="7" t="s">
        <v>36035</v>
      </c>
      <c r="B5199" s="8">
        <v>396.875</v>
      </c>
      <c r="C5199" s="8">
        <v>20.478950000000001</v>
      </c>
      <c r="D5199" s="8">
        <v>72</v>
      </c>
      <c r="E5199" s="8">
        <v>0</v>
      </c>
      <c r="F5199" s="8">
        <v>0</v>
      </c>
      <c r="G5199" s="8">
        <v>0</v>
      </c>
      <c r="H5199" s="8" t="s">
        <v>36036</v>
      </c>
      <c r="I5199" s="8">
        <v>527.4375</v>
      </c>
      <c r="J5199" s="3">
        <f t="shared" si="81"/>
        <v>43748.840660775466</v>
      </c>
    </row>
    <row r="5200" spans="1:10" x14ac:dyDescent="0.25">
      <c r="A5200" s="5" t="s">
        <v>36037</v>
      </c>
      <c r="B5200" s="6">
        <v>393.75</v>
      </c>
      <c r="C5200" s="6">
        <v>20.478950000000001</v>
      </c>
      <c r="D5200" s="6">
        <v>71</v>
      </c>
      <c r="E5200" s="6">
        <v>0</v>
      </c>
      <c r="F5200" s="6">
        <v>0</v>
      </c>
      <c r="G5200" s="6">
        <v>1</v>
      </c>
      <c r="H5200" s="6" t="s">
        <v>36038</v>
      </c>
      <c r="I5200" s="6">
        <v>526.6875</v>
      </c>
      <c r="J5200" s="2">
        <f t="shared" si="81"/>
        <v>43748.840732268516</v>
      </c>
    </row>
    <row r="5201" spans="1:10" x14ac:dyDescent="0.25">
      <c r="A5201" s="7" t="s">
        <v>36039</v>
      </c>
      <c r="B5201" s="8">
        <v>393.75</v>
      </c>
      <c r="C5201" s="8">
        <v>20.478950000000001</v>
      </c>
      <c r="D5201" s="8">
        <v>70</v>
      </c>
      <c r="E5201" s="8">
        <v>0</v>
      </c>
      <c r="F5201" s="8">
        <v>0</v>
      </c>
      <c r="G5201" s="8">
        <v>10</v>
      </c>
      <c r="H5201" s="8" t="s">
        <v>36040</v>
      </c>
      <c r="I5201" s="8">
        <v>526.6875</v>
      </c>
      <c r="J5201" s="3">
        <f t="shared" si="81"/>
        <v>43748.840815532407</v>
      </c>
    </row>
    <row r="5202" spans="1:10" x14ac:dyDescent="0.25">
      <c r="A5202" s="5" t="s">
        <v>36041</v>
      </c>
      <c r="B5202" s="6">
        <v>393.75</v>
      </c>
      <c r="C5202" s="6">
        <v>20.478950000000001</v>
      </c>
      <c r="D5202" s="6">
        <v>70</v>
      </c>
      <c r="E5202" s="6">
        <v>0</v>
      </c>
      <c r="F5202" s="6">
        <v>0</v>
      </c>
      <c r="G5202" s="6">
        <v>9</v>
      </c>
      <c r="H5202" s="6" t="s">
        <v>36042</v>
      </c>
      <c r="I5202" s="6">
        <v>526.6875</v>
      </c>
      <c r="J5202" s="2">
        <f t="shared" si="81"/>
        <v>43748.840899201386</v>
      </c>
    </row>
    <row r="5203" spans="1:10" x14ac:dyDescent="0.25">
      <c r="A5203" s="7" t="s">
        <v>36043</v>
      </c>
      <c r="B5203" s="8">
        <v>393.75</v>
      </c>
      <c r="C5203" s="8">
        <v>20.478950000000001</v>
      </c>
      <c r="D5203" s="8">
        <v>70</v>
      </c>
      <c r="E5203" s="8">
        <v>0</v>
      </c>
      <c r="F5203" s="8">
        <v>0</v>
      </c>
      <c r="G5203" s="8">
        <v>4</v>
      </c>
      <c r="H5203" s="8" t="s">
        <v>36044</v>
      </c>
      <c r="I5203" s="8">
        <v>526.6875</v>
      </c>
      <c r="J5203" s="3">
        <f t="shared" si="81"/>
        <v>43748.840982291666</v>
      </c>
    </row>
    <row r="5204" spans="1:10" x14ac:dyDescent="0.25">
      <c r="A5204" s="5" t="s">
        <v>36045</v>
      </c>
      <c r="B5204" s="6">
        <v>412.5</v>
      </c>
      <c r="C5204" s="6">
        <v>20.478950000000001</v>
      </c>
      <c r="D5204" s="6">
        <v>70</v>
      </c>
      <c r="E5204" s="6">
        <v>0</v>
      </c>
      <c r="F5204" s="6">
        <v>0</v>
      </c>
      <c r="G5204" s="6">
        <v>13</v>
      </c>
      <c r="H5204" s="6" t="s">
        <v>36046</v>
      </c>
      <c r="I5204" s="6">
        <v>532.3125</v>
      </c>
      <c r="J5204" s="2">
        <f t="shared" si="81"/>
        <v>43748.841053935183</v>
      </c>
    </row>
    <row r="5205" spans="1:10" x14ac:dyDescent="0.25">
      <c r="A5205" s="7" t="s">
        <v>36047</v>
      </c>
      <c r="B5205" s="8">
        <v>393.75</v>
      </c>
      <c r="C5205" s="8">
        <v>20.478950000000001</v>
      </c>
      <c r="D5205" s="8">
        <v>69</v>
      </c>
      <c r="E5205" s="8">
        <v>0</v>
      </c>
      <c r="F5205" s="8">
        <v>0</v>
      </c>
      <c r="G5205" s="8">
        <v>12</v>
      </c>
      <c r="H5205" s="8" t="s">
        <v>36048</v>
      </c>
      <c r="I5205" s="8">
        <v>526.6875</v>
      </c>
      <c r="J5205" s="3">
        <f t="shared" si="81"/>
        <v>43748.841137743053</v>
      </c>
    </row>
    <row r="5206" spans="1:10" x14ac:dyDescent="0.25">
      <c r="A5206" s="5" t="s">
        <v>36049</v>
      </c>
      <c r="B5206" s="6">
        <v>393.75</v>
      </c>
      <c r="C5206" s="6">
        <v>20.478950000000001</v>
      </c>
      <c r="D5206" s="6">
        <v>69</v>
      </c>
      <c r="E5206" s="6">
        <v>0</v>
      </c>
      <c r="F5206" s="6">
        <v>0</v>
      </c>
      <c r="G5206" s="6">
        <v>13</v>
      </c>
      <c r="H5206" s="6" t="s">
        <v>36050</v>
      </c>
      <c r="I5206" s="6">
        <v>526.6875</v>
      </c>
      <c r="J5206" s="2">
        <f t="shared" si="81"/>
        <v>43748.841221192131</v>
      </c>
    </row>
    <row r="5207" spans="1:10" x14ac:dyDescent="0.25">
      <c r="A5207" s="7" t="s">
        <v>36051</v>
      </c>
      <c r="B5207" s="8">
        <v>393.75</v>
      </c>
      <c r="C5207" s="8">
        <v>20.478950000000001</v>
      </c>
      <c r="D5207" s="8">
        <v>70</v>
      </c>
      <c r="E5207" s="8">
        <v>0</v>
      </c>
      <c r="F5207" s="8">
        <v>0</v>
      </c>
      <c r="G5207" s="8">
        <v>9</v>
      </c>
      <c r="H5207" s="8" t="s">
        <v>36052</v>
      </c>
      <c r="I5207" s="8">
        <v>526.6875</v>
      </c>
      <c r="J5207" s="3">
        <f t="shared" si="81"/>
        <v>43748.841300370368</v>
      </c>
    </row>
    <row r="5208" spans="1:10" x14ac:dyDescent="0.25">
      <c r="A5208" s="5" t="s">
        <v>36053</v>
      </c>
      <c r="B5208" s="6">
        <v>396.875</v>
      </c>
      <c r="C5208" s="6">
        <v>20.478950000000001</v>
      </c>
      <c r="D5208" s="6">
        <v>70</v>
      </c>
      <c r="E5208" s="6">
        <v>0</v>
      </c>
      <c r="F5208" s="6">
        <v>0</v>
      </c>
      <c r="G5208" s="6">
        <v>10</v>
      </c>
      <c r="H5208" s="6" t="s">
        <v>36054</v>
      </c>
      <c r="I5208" s="6">
        <v>527.4375</v>
      </c>
      <c r="J5208" s="2">
        <f t="shared" si="81"/>
        <v>43748.841376168981</v>
      </c>
    </row>
    <row r="5209" spans="1:10" x14ac:dyDescent="0.25">
      <c r="A5209" s="7" t="s">
        <v>36055</v>
      </c>
      <c r="B5209" s="8">
        <v>396.875</v>
      </c>
      <c r="C5209" s="8">
        <v>20.478950000000001</v>
      </c>
      <c r="D5209" s="8">
        <v>71</v>
      </c>
      <c r="E5209" s="8">
        <v>0</v>
      </c>
      <c r="F5209" s="8">
        <v>0</v>
      </c>
      <c r="G5209" s="8">
        <v>13</v>
      </c>
      <c r="H5209" s="8" t="s">
        <v>36056</v>
      </c>
      <c r="I5209" s="8">
        <v>527.25</v>
      </c>
      <c r="J5209" s="3">
        <f t="shared" si="81"/>
        <v>43748.841459745367</v>
      </c>
    </row>
    <row r="5210" spans="1:10" x14ac:dyDescent="0.25">
      <c r="A5210" s="5" t="s">
        <v>36057</v>
      </c>
      <c r="B5210" s="6">
        <v>396.875</v>
      </c>
      <c r="C5210" s="6">
        <v>20.478950000000001</v>
      </c>
      <c r="D5210" s="6">
        <v>70</v>
      </c>
      <c r="E5210" s="6">
        <v>0</v>
      </c>
      <c r="F5210" s="6">
        <v>0</v>
      </c>
      <c r="G5210" s="6">
        <v>17</v>
      </c>
      <c r="H5210" s="6" t="s">
        <v>36058</v>
      </c>
      <c r="I5210" s="6">
        <v>527.4375</v>
      </c>
      <c r="J5210" s="2">
        <f t="shared" si="81"/>
        <v>43748.841531365739</v>
      </c>
    </row>
    <row r="5211" spans="1:10" x14ac:dyDescent="0.25">
      <c r="A5211" s="7" t="s">
        <v>36059</v>
      </c>
      <c r="B5211" s="8">
        <v>396.875</v>
      </c>
      <c r="C5211" s="8">
        <v>20.478950000000001</v>
      </c>
      <c r="D5211" s="8">
        <v>71</v>
      </c>
      <c r="E5211" s="8">
        <v>0</v>
      </c>
      <c r="F5211" s="8">
        <v>0</v>
      </c>
      <c r="G5211" s="8">
        <v>13</v>
      </c>
      <c r="H5211" s="8" t="s">
        <v>36060</v>
      </c>
      <c r="I5211" s="8">
        <v>527.4375</v>
      </c>
      <c r="J5211" s="3">
        <f t="shared" si="81"/>
        <v>43748.841614965277</v>
      </c>
    </row>
    <row r="5212" spans="1:10" x14ac:dyDescent="0.25">
      <c r="A5212" s="5" t="s">
        <v>36061</v>
      </c>
      <c r="B5212" s="6">
        <v>396.875</v>
      </c>
      <c r="C5212" s="6">
        <v>20.478950000000001</v>
      </c>
      <c r="D5212" s="6">
        <v>71</v>
      </c>
      <c r="E5212" s="6">
        <v>0</v>
      </c>
      <c r="F5212" s="6">
        <v>0</v>
      </c>
      <c r="G5212" s="6">
        <v>14</v>
      </c>
      <c r="H5212" s="6" t="s">
        <v>36062</v>
      </c>
      <c r="I5212" s="6">
        <v>527.4375</v>
      </c>
      <c r="J5212" s="2">
        <f t="shared" si="81"/>
        <v>43748.841698287033</v>
      </c>
    </row>
    <row r="5213" spans="1:10" x14ac:dyDescent="0.25">
      <c r="A5213" s="7" t="s">
        <v>36063</v>
      </c>
      <c r="B5213" s="8">
        <v>393.75</v>
      </c>
      <c r="C5213" s="8">
        <v>20.478950000000001</v>
      </c>
      <c r="D5213" s="8">
        <v>72</v>
      </c>
      <c r="E5213" s="8">
        <v>0</v>
      </c>
      <c r="F5213" s="8">
        <v>0</v>
      </c>
      <c r="G5213" s="8">
        <v>7</v>
      </c>
      <c r="H5213" s="8" t="s">
        <v>36064</v>
      </c>
      <c r="I5213" s="8">
        <v>526.6875</v>
      </c>
      <c r="J5213" s="3">
        <f t="shared" si="81"/>
        <v>43748.841781817122</v>
      </c>
    </row>
    <row r="5214" spans="1:10" x14ac:dyDescent="0.25">
      <c r="A5214" s="5" t="s">
        <v>36065</v>
      </c>
      <c r="B5214" s="6">
        <v>393.75</v>
      </c>
      <c r="C5214" s="6">
        <v>20.478950000000001</v>
      </c>
      <c r="D5214" s="6">
        <v>71</v>
      </c>
      <c r="E5214" s="6">
        <v>0</v>
      </c>
      <c r="F5214" s="6">
        <v>0</v>
      </c>
      <c r="G5214" s="6">
        <v>5</v>
      </c>
      <c r="H5214" s="6" t="s">
        <v>36066</v>
      </c>
      <c r="I5214" s="6">
        <v>526.6875</v>
      </c>
      <c r="J5214" s="2">
        <f t="shared" si="81"/>
        <v>43748.841865312497</v>
      </c>
    </row>
    <row r="5215" spans="1:10" x14ac:dyDescent="0.25">
      <c r="A5215" s="7" t="s">
        <v>36067</v>
      </c>
      <c r="B5215" s="8">
        <v>393.75</v>
      </c>
      <c r="C5215" s="8">
        <v>20.478950000000001</v>
      </c>
      <c r="D5215" s="8">
        <v>69</v>
      </c>
      <c r="E5215" s="8">
        <v>0</v>
      </c>
      <c r="F5215" s="8">
        <v>0</v>
      </c>
      <c r="G5215" s="8">
        <v>9</v>
      </c>
      <c r="H5215" s="8" t="s">
        <v>36068</v>
      </c>
      <c r="I5215" s="8">
        <v>526.6875</v>
      </c>
      <c r="J5215" s="3">
        <f t="shared" si="81"/>
        <v>43748.841960810183</v>
      </c>
    </row>
    <row r="5216" spans="1:10" x14ac:dyDescent="0.25">
      <c r="A5216" s="5" t="s">
        <v>36069</v>
      </c>
      <c r="B5216" s="6">
        <v>393.75</v>
      </c>
      <c r="C5216" s="6">
        <v>20.478950000000001</v>
      </c>
      <c r="D5216" s="6">
        <v>68</v>
      </c>
      <c r="E5216" s="6">
        <v>0</v>
      </c>
      <c r="F5216" s="6">
        <v>0</v>
      </c>
      <c r="G5216" s="6">
        <v>12</v>
      </c>
      <c r="H5216" s="6" t="s">
        <v>36070</v>
      </c>
      <c r="I5216" s="6">
        <v>526.6875</v>
      </c>
      <c r="J5216" s="2">
        <f t="shared" si="81"/>
        <v>43748.842032175926</v>
      </c>
    </row>
    <row r="5217" spans="1:10" x14ac:dyDescent="0.25">
      <c r="A5217" s="7" t="s">
        <v>36071</v>
      </c>
      <c r="B5217" s="8">
        <v>393.75</v>
      </c>
      <c r="C5217" s="8">
        <v>20.478950000000001</v>
      </c>
      <c r="D5217" s="8">
        <v>68</v>
      </c>
      <c r="E5217" s="8">
        <v>0</v>
      </c>
      <c r="F5217" s="8">
        <v>0</v>
      </c>
      <c r="G5217" s="8">
        <v>12</v>
      </c>
      <c r="H5217" s="8" t="s">
        <v>36072</v>
      </c>
      <c r="I5217" s="8">
        <v>526.6875</v>
      </c>
      <c r="J5217" s="3">
        <f t="shared" si="81"/>
        <v>43748.842115509258</v>
      </c>
    </row>
    <row r="5218" spans="1:10" x14ac:dyDescent="0.25">
      <c r="A5218" s="5" t="s">
        <v>36073</v>
      </c>
      <c r="B5218" s="6">
        <v>393.75</v>
      </c>
      <c r="C5218" s="6">
        <v>20.478950000000001</v>
      </c>
      <c r="D5218" s="6">
        <v>68</v>
      </c>
      <c r="E5218" s="6">
        <v>0</v>
      </c>
      <c r="F5218" s="6">
        <v>0</v>
      </c>
      <c r="G5218" s="6">
        <v>16</v>
      </c>
      <c r="H5218" s="6" t="s">
        <v>36074</v>
      </c>
      <c r="I5218" s="6">
        <v>526.6875</v>
      </c>
      <c r="J5218" s="2">
        <f t="shared" si="81"/>
        <v>43748.842200486113</v>
      </c>
    </row>
    <row r="5219" spans="1:10" x14ac:dyDescent="0.25">
      <c r="A5219" s="7" t="s">
        <v>36075</v>
      </c>
      <c r="B5219" s="8">
        <v>418.75</v>
      </c>
      <c r="C5219" s="8">
        <v>20.426300000000001</v>
      </c>
      <c r="D5219" s="8">
        <v>70</v>
      </c>
      <c r="E5219" s="8">
        <v>0</v>
      </c>
      <c r="F5219" s="8">
        <v>0</v>
      </c>
      <c r="G5219" s="8">
        <v>9</v>
      </c>
      <c r="H5219" s="8" t="s">
        <v>36076</v>
      </c>
      <c r="I5219" s="8">
        <v>534.5625</v>
      </c>
      <c r="J5219" s="3">
        <f t="shared" si="81"/>
        <v>43748.842282303238</v>
      </c>
    </row>
    <row r="5220" spans="1:10" x14ac:dyDescent="0.25">
      <c r="A5220" s="5" t="s">
        <v>36077</v>
      </c>
      <c r="B5220" s="6">
        <v>393.75</v>
      </c>
      <c r="C5220" s="6">
        <v>20.478950000000001</v>
      </c>
      <c r="D5220" s="6">
        <v>71</v>
      </c>
      <c r="E5220" s="6">
        <v>0</v>
      </c>
      <c r="F5220" s="6">
        <v>0</v>
      </c>
      <c r="G5220" s="6">
        <v>6</v>
      </c>
      <c r="H5220" s="6" t="s">
        <v>36078</v>
      </c>
      <c r="I5220" s="6">
        <v>526.5</v>
      </c>
      <c r="J5220" s="2">
        <f t="shared" si="81"/>
        <v>43748.842354178239</v>
      </c>
    </row>
    <row r="5221" spans="1:10" x14ac:dyDescent="0.25">
      <c r="A5221" s="7" t="s">
        <v>36079</v>
      </c>
      <c r="B5221" s="8">
        <v>393.75</v>
      </c>
      <c r="C5221" s="8">
        <v>20.478950000000001</v>
      </c>
      <c r="D5221" s="8">
        <v>73</v>
      </c>
      <c r="E5221" s="8">
        <v>0</v>
      </c>
      <c r="F5221" s="8">
        <v>0</v>
      </c>
      <c r="G5221" s="8">
        <v>19</v>
      </c>
      <c r="H5221" s="8" t="s">
        <v>36080</v>
      </c>
      <c r="I5221" s="8">
        <v>526.6875</v>
      </c>
      <c r="J5221" s="3">
        <f t="shared" si="81"/>
        <v>43748.842437754625</v>
      </c>
    </row>
    <row r="5222" spans="1:10" x14ac:dyDescent="0.25">
      <c r="A5222" s="5" t="s">
        <v>36081</v>
      </c>
      <c r="B5222" s="6">
        <v>415.625</v>
      </c>
      <c r="C5222" s="6">
        <v>20.478950000000001</v>
      </c>
      <c r="D5222" s="6">
        <v>72</v>
      </c>
      <c r="E5222" s="6">
        <v>0</v>
      </c>
      <c r="F5222" s="6">
        <v>0</v>
      </c>
      <c r="G5222" s="6">
        <v>14</v>
      </c>
      <c r="H5222" s="6" t="s">
        <v>36082</v>
      </c>
      <c r="I5222" s="6">
        <v>533.0625</v>
      </c>
      <c r="J5222" s="2">
        <f t="shared" si="81"/>
        <v>43748.842521192128</v>
      </c>
    </row>
    <row r="5223" spans="1:10" x14ac:dyDescent="0.25">
      <c r="A5223" s="7" t="s">
        <v>36083</v>
      </c>
      <c r="B5223" s="8">
        <v>400</v>
      </c>
      <c r="C5223" s="8">
        <v>20.478950000000001</v>
      </c>
      <c r="D5223" s="8">
        <v>73</v>
      </c>
      <c r="E5223" s="8">
        <v>0</v>
      </c>
      <c r="F5223" s="8">
        <v>0</v>
      </c>
      <c r="G5223" s="8">
        <v>21</v>
      </c>
      <c r="H5223" s="8" t="s">
        <v>36084</v>
      </c>
      <c r="I5223" s="8">
        <v>528.375</v>
      </c>
      <c r="J5223" s="3">
        <f t="shared" si="81"/>
        <v>43748.842592847221</v>
      </c>
    </row>
    <row r="5224" spans="1:10" x14ac:dyDescent="0.25">
      <c r="A5224" s="5" t="s">
        <v>36085</v>
      </c>
      <c r="B5224" s="6">
        <v>400</v>
      </c>
      <c r="C5224" s="6">
        <v>20.478950000000001</v>
      </c>
      <c r="D5224" s="6">
        <v>70</v>
      </c>
      <c r="E5224" s="6">
        <v>0</v>
      </c>
      <c r="F5224" s="6">
        <v>0</v>
      </c>
      <c r="G5224" s="6">
        <v>24</v>
      </c>
      <c r="H5224" s="6" t="s">
        <v>36086</v>
      </c>
      <c r="I5224" s="6">
        <v>528.1875</v>
      </c>
      <c r="J5224" s="2">
        <f t="shared" si="81"/>
        <v>43748.842676296299</v>
      </c>
    </row>
    <row r="5225" spans="1:10" x14ac:dyDescent="0.25">
      <c r="A5225" s="7" t="s">
        <v>36087</v>
      </c>
      <c r="B5225" s="8">
        <v>403.125</v>
      </c>
      <c r="C5225" s="8">
        <v>20.478950000000001</v>
      </c>
      <c r="D5225" s="8">
        <v>68</v>
      </c>
      <c r="E5225" s="8">
        <v>0</v>
      </c>
      <c r="F5225" s="8">
        <v>0</v>
      </c>
      <c r="G5225" s="8">
        <v>18</v>
      </c>
      <c r="H5225" s="8" t="s">
        <v>36088</v>
      </c>
      <c r="I5225" s="8">
        <v>529.125</v>
      </c>
      <c r="J5225" s="3">
        <f t="shared" si="81"/>
        <v>43748.842759965271</v>
      </c>
    </row>
    <row r="5226" spans="1:10" x14ac:dyDescent="0.25">
      <c r="A5226" s="5" t="s">
        <v>36089</v>
      </c>
      <c r="B5226" s="6">
        <v>403.125</v>
      </c>
      <c r="C5226" s="6">
        <v>20.478950000000001</v>
      </c>
      <c r="D5226" s="6">
        <v>70</v>
      </c>
      <c r="E5226" s="6">
        <v>0</v>
      </c>
      <c r="F5226" s="6">
        <v>0</v>
      </c>
      <c r="G5226" s="6">
        <v>5</v>
      </c>
      <c r="H5226" s="6" t="s">
        <v>36090</v>
      </c>
      <c r="I5226" s="6">
        <v>529.125</v>
      </c>
      <c r="J5226" s="2">
        <f t="shared" si="81"/>
        <v>43748.842843298604</v>
      </c>
    </row>
    <row r="5227" spans="1:10" x14ac:dyDescent="0.25">
      <c r="A5227" s="7" t="s">
        <v>36091</v>
      </c>
      <c r="B5227" s="8">
        <v>418.75</v>
      </c>
      <c r="C5227" s="8">
        <v>20.478950000000001</v>
      </c>
      <c r="D5227" s="8">
        <v>69</v>
      </c>
      <c r="E5227" s="8">
        <v>0</v>
      </c>
      <c r="F5227" s="8">
        <v>0</v>
      </c>
      <c r="G5227" s="8">
        <v>5</v>
      </c>
      <c r="H5227" s="8" t="s">
        <v>36092</v>
      </c>
      <c r="I5227" s="8">
        <v>534.5625</v>
      </c>
      <c r="J5227" s="3">
        <f t="shared" si="81"/>
        <v>43748.842926631944</v>
      </c>
    </row>
    <row r="5228" spans="1:10" x14ac:dyDescent="0.25">
      <c r="A5228" s="5" t="s">
        <v>36093</v>
      </c>
      <c r="B5228" s="6">
        <v>403.125</v>
      </c>
      <c r="C5228" s="6">
        <v>20.478950000000001</v>
      </c>
      <c r="D5228" s="6">
        <v>69</v>
      </c>
      <c r="E5228" s="6">
        <v>0</v>
      </c>
      <c r="F5228" s="6">
        <v>0</v>
      </c>
      <c r="G5228" s="6">
        <v>13</v>
      </c>
      <c r="H5228" s="6" t="s">
        <v>36094</v>
      </c>
      <c r="I5228" s="6">
        <v>529.125</v>
      </c>
      <c r="J5228" s="2">
        <f t="shared" si="81"/>
        <v>43748.842998287037</v>
      </c>
    </row>
    <row r="5229" spans="1:10" x14ac:dyDescent="0.25">
      <c r="A5229" s="7" t="s">
        <v>36095</v>
      </c>
      <c r="B5229" s="8">
        <v>403.125</v>
      </c>
      <c r="C5229" s="8">
        <v>20.478950000000001</v>
      </c>
      <c r="D5229" s="8">
        <v>70</v>
      </c>
      <c r="E5229" s="8">
        <v>0</v>
      </c>
      <c r="F5229" s="8">
        <v>0</v>
      </c>
      <c r="G5229" s="8">
        <v>6</v>
      </c>
      <c r="H5229" s="8" t="s">
        <v>36096</v>
      </c>
      <c r="I5229" s="8">
        <v>529.125</v>
      </c>
      <c r="J5229" s="3">
        <f t="shared" si="81"/>
        <v>43748.843081840278</v>
      </c>
    </row>
    <row r="5230" spans="1:10" x14ac:dyDescent="0.25">
      <c r="A5230" s="5" t="s">
        <v>36097</v>
      </c>
      <c r="B5230" s="6">
        <v>403.125</v>
      </c>
      <c r="C5230" s="6">
        <v>20.478950000000001</v>
      </c>
      <c r="D5230" s="6">
        <v>70</v>
      </c>
      <c r="E5230" s="6">
        <v>0</v>
      </c>
      <c r="F5230" s="6">
        <v>0</v>
      </c>
      <c r="G5230" s="6">
        <v>10</v>
      </c>
      <c r="H5230" s="6" t="s">
        <v>36098</v>
      </c>
      <c r="I5230" s="6">
        <v>529.125</v>
      </c>
      <c r="J5230" s="2">
        <f t="shared" si="81"/>
        <v>43748.843165289349</v>
      </c>
    </row>
    <row r="5231" spans="1:10" x14ac:dyDescent="0.25">
      <c r="A5231" s="7" t="s">
        <v>36099</v>
      </c>
      <c r="B5231" s="8">
        <v>403.125</v>
      </c>
      <c r="C5231" s="8">
        <v>20.478950000000001</v>
      </c>
      <c r="D5231" s="8">
        <v>70</v>
      </c>
      <c r="E5231" s="8">
        <v>0</v>
      </c>
      <c r="F5231" s="8">
        <v>0</v>
      </c>
      <c r="G5231" s="8">
        <v>5</v>
      </c>
      <c r="H5231" s="8" t="s">
        <v>36100</v>
      </c>
      <c r="I5231" s="8">
        <v>529.125</v>
      </c>
      <c r="J5231" s="3">
        <f t="shared" si="81"/>
        <v>43748.843260451387</v>
      </c>
    </row>
    <row r="5232" spans="1:10" x14ac:dyDescent="0.25">
      <c r="A5232" s="5" t="s">
        <v>36101</v>
      </c>
      <c r="B5232" s="6">
        <v>403.125</v>
      </c>
      <c r="C5232" s="6">
        <v>20.478950000000001</v>
      </c>
      <c r="D5232" s="6">
        <v>68</v>
      </c>
      <c r="E5232" s="6">
        <v>0</v>
      </c>
      <c r="F5232" s="6">
        <v>0</v>
      </c>
      <c r="G5232" s="6">
        <v>0</v>
      </c>
      <c r="H5232" s="6" t="s">
        <v>36102</v>
      </c>
      <c r="I5232" s="6">
        <v>529.125</v>
      </c>
      <c r="J5232" s="2">
        <f t="shared" si="81"/>
        <v>43748.84333221065</v>
      </c>
    </row>
    <row r="5233" spans="1:10" x14ac:dyDescent="0.25">
      <c r="A5233" s="7" t="s">
        <v>36103</v>
      </c>
      <c r="B5233" s="8">
        <v>403.125</v>
      </c>
      <c r="C5233" s="8">
        <v>20.478950000000001</v>
      </c>
      <c r="D5233" s="8">
        <v>68</v>
      </c>
      <c r="E5233" s="8">
        <v>0</v>
      </c>
      <c r="F5233" s="8">
        <v>0</v>
      </c>
      <c r="G5233" s="8">
        <v>7</v>
      </c>
      <c r="H5233" s="8" t="s">
        <v>36104</v>
      </c>
      <c r="I5233" s="8">
        <v>529.125</v>
      </c>
      <c r="J5233" s="3">
        <f t="shared" si="81"/>
        <v>43748.843403969906</v>
      </c>
    </row>
    <row r="5234" spans="1:10" x14ac:dyDescent="0.25">
      <c r="A5234" s="5" t="s">
        <v>36105</v>
      </c>
      <c r="B5234" s="6">
        <v>403.125</v>
      </c>
      <c r="C5234" s="6">
        <v>20.478950000000001</v>
      </c>
      <c r="D5234" s="6">
        <v>68</v>
      </c>
      <c r="E5234" s="6">
        <v>0</v>
      </c>
      <c r="F5234" s="6">
        <v>0</v>
      </c>
      <c r="G5234" s="6">
        <v>5</v>
      </c>
      <c r="H5234" s="6" t="s">
        <v>36106</v>
      </c>
      <c r="I5234" s="6">
        <v>529.125</v>
      </c>
      <c r="J5234" s="2">
        <f t="shared" si="81"/>
        <v>43748.843487395832</v>
      </c>
    </row>
    <row r="5235" spans="1:10" x14ac:dyDescent="0.25">
      <c r="A5235" s="7" t="s">
        <v>36107</v>
      </c>
      <c r="B5235" s="8">
        <v>403.125</v>
      </c>
      <c r="C5235" s="8">
        <v>20.478950000000001</v>
      </c>
      <c r="D5235" s="8">
        <v>69</v>
      </c>
      <c r="E5235" s="8">
        <v>0</v>
      </c>
      <c r="F5235" s="8">
        <v>0</v>
      </c>
      <c r="G5235" s="8">
        <v>12</v>
      </c>
      <c r="H5235" s="8" t="s">
        <v>36108</v>
      </c>
      <c r="I5235" s="8">
        <v>529.125</v>
      </c>
      <c r="J5235" s="3">
        <f t="shared" si="81"/>
        <v>43748.843571087964</v>
      </c>
    </row>
    <row r="5236" spans="1:10" x14ac:dyDescent="0.25">
      <c r="A5236" s="5" t="s">
        <v>36109</v>
      </c>
      <c r="B5236" s="6">
        <v>400</v>
      </c>
      <c r="C5236" s="6">
        <v>20.478950000000001</v>
      </c>
      <c r="D5236" s="6">
        <v>68</v>
      </c>
      <c r="E5236" s="6">
        <v>0</v>
      </c>
      <c r="F5236" s="6">
        <v>0</v>
      </c>
      <c r="G5236" s="6">
        <v>10</v>
      </c>
      <c r="H5236" s="6" t="s">
        <v>36110</v>
      </c>
      <c r="I5236" s="6">
        <v>528.1875</v>
      </c>
      <c r="J5236" s="2">
        <f t="shared" si="81"/>
        <v>43748.84364240741</v>
      </c>
    </row>
    <row r="5237" spans="1:10" x14ac:dyDescent="0.25">
      <c r="A5237" s="7" t="s">
        <v>36111</v>
      </c>
      <c r="B5237" s="8">
        <v>400</v>
      </c>
      <c r="C5237" s="8">
        <v>20.478950000000001</v>
      </c>
      <c r="D5237" s="8">
        <v>68</v>
      </c>
      <c r="E5237" s="8">
        <v>0</v>
      </c>
      <c r="F5237" s="8">
        <v>0</v>
      </c>
      <c r="G5237" s="8">
        <v>4</v>
      </c>
      <c r="H5237" s="8" t="s">
        <v>36112</v>
      </c>
      <c r="I5237" s="8">
        <v>528.1875</v>
      </c>
      <c r="J5237" s="3">
        <f t="shared" si="81"/>
        <v>43748.84371429398</v>
      </c>
    </row>
    <row r="5238" spans="1:10" x14ac:dyDescent="0.25">
      <c r="A5238" s="5" t="s">
        <v>36113</v>
      </c>
      <c r="B5238" s="6">
        <v>418.75</v>
      </c>
      <c r="C5238" s="6">
        <v>20.478950000000001</v>
      </c>
      <c r="D5238" s="6">
        <v>69</v>
      </c>
      <c r="E5238" s="6">
        <v>0</v>
      </c>
      <c r="F5238" s="6">
        <v>0</v>
      </c>
      <c r="G5238" s="6">
        <v>2</v>
      </c>
      <c r="H5238" s="6" t="s">
        <v>36114</v>
      </c>
      <c r="I5238" s="6">
        <v>534.1875</v>
      </c>
      <c r="J5238" s="2">
        <f t="shared" si="81"/>
        <v>43748.843797696762</v>
      </c>
    </row>
    <row r="5239" spans="1:10" x14ac:dyDescent="0.25">
      <c r="A5239" s="7" t="s">
        <v>36115</v>
      </c>
      <c r="B5239" s="8">
        <v>400</v>
      </c>
      <c r="C5239" s="8">
        <v>20.478950000000001</v>
      </c>
      <c r="D5239" s="8">
        <v>70</v>
      </c>
      <c r="E5239" s="8">
        <v>0</v>
      </c>
      <c r="F5239" s="8">
        <v>0</v>
      </c>
      <c r="G5239" s="8">
        <v>10</v>
      </c>
      <c r="H5239" s="8" t="s">
        <v>36116</v>
      </c>
      <c r="I5239" s="8">
        <v>528.1875</v>
      </c>
      <c r="J5239" s="3">
        <f t="shared" si="81"/>
        <v>43748.843868993055</v>
      </c>
    </row>
    <row r="5240" spans="1:10" x14ac:dyDescent="0.25">
      <c r="A5240" s="5" t="s">
        <v>36117</v>
      </c>
      <c r="B5240" s="6">
        <v>400</v>
      </c>
      <c r="C5240" s="6">
        <v>20.478950000000001</v>
      </c>
      <c r="D5240" s="6">
        <v>71</v>
      </c>
      <c r="E5240" s="6">
        <v>0</v>
      </c>
      <c r="F5240" s="6">
        <v>0</v>
      </c>
      <c r="G5240" s="6">
        <v>6</v>
      </c>
      <c r="H5240" s="6" t="s">
        <v>36118</v>
      </c>
      <c r="I5240" s="6">
        <v>528.1875</v>
      </c>
      <c r="J5240" s="2">
        <f t="shared" si="81"/>
        <v>43748.843952569441</v>
      </c>
    </row>
    <row r="5241" spans="1:10" x14ac:dyDescent="0.25">
      <c r="A5241" s="7" t="s">
        <v>36119</v>
      </c>
      <c r="B5241" s="8">
        <v>400</v>
      </c>
      <c r="C5241" s="8">
        <v>20.478950000000001</v>
      </c>
      <c r="D5241" s="8">
        <v>71</v>
      </c>
      <c r="E5241" s="8">
        <v>0</v>
      </c>
      <c r="F5241" s="8">
        <v>0</v>
      </c>
      <c r="G5241" s="8">
        <v>10</v>
      </c>
      <c r="H5241" s="8" t="s">
        <v>36120</v>
      </c>
      <c r="I5241" s="8">
        <v>528.1875</v>
      </c>
      <c r="J5241" s="3">
        <f t="shared" si="81"/>
        <v>43748.844036030096</v>
      </c>
    </row>
    <row r="5242" spans="1:10" x14ac:dyDescent="0.25">
      <c r="A5242" s="5" t="s">
        <v>36121</v>
      </c>
      <c r="B5242" s="6">
        <v>400</v>
      </c>
      <c r="C5242" s="6">
        <v>20.478950000000001</v>
      </c>
      <c r="D5242" s="6">
        <v>71</v>
      </c>
      <c r="E5242" s="6">
        <v>0</v>
      </c>
      <c r="F5242" s="6">
        <v>0</v>
      </c>
      <c r="G5242" s="6">
        <v>7</v>
      </c>
      <c r="H5242" s="6" t="s">
        <v>36122</v>
      </c>
      <c r="I5242" s="6">
        <v>528.1875</v>
      </c>
      <c r="J5242" s="2">
        <f t="shared" si="81"/>
        <v>43748.844119247682</v>
      </c>
    </row>
    <row r="5243" spans="1:10" x14ac:dyDescent="0.25">
      <c r="A5243" s="7" t="s">
        <v>36123</v>
      </c>
      <c r="B5243" s="8">
        <v>400</v>
      </c>
      <c r="C5243" s="8">
        <v>20.478950000000001</v>
      </c>
      <c r="D5243" s="8">
        <v>71</v>
      </c>
      <c r="E5243" s="8">
        <v>0</v>
      </c>
      <c r="F5243" s="8">
        <v>0</v>
      </c>
      <c r="G5243" s="8">
        <v>5</v>
      </c>
      <c r="H5243" s="8" t="s">
        <v>36124</v>
      </c>
      <c r="I5243" s="8">
        <v>528.375</v>
      </c>
      <c r="J5243" s="3">
        <f t="shared" si="81"/>
        <v>43748.84419087963</v>
      </c>
    </row>
    <row r="5244" spans="1:10" x14ac:dyDescent="0.25">
      <c r="A5244" s="5" t="s">
        <v>36125</v>
      </c>
      <c r="B5244" s="6">
        <v>396.875</v>
      </c>
      <c r="C5244" s="6">
        <v>20.478950000000001</v>
      </c>
      <c r="D5244" s="6">
        <v>72</v>
      </c>
      <c r="E5244" s="6">
        <v>0</v>
      </c>
      <c r="F5244" s="6">
        <v>0</v>
      </c>
      <c r="G5244" s="6">
        <v>6</v>
      </c>
      <c r="H5244" s="6" t="s">
        <v>36126</v>
      </c>
      <c r="I5244" s="6">
        <v>527.4375</v>
      </c>
      <c r="J5244" s="2">
        <f t="shared" si="81"/>
        <v>43748.844274803239</v>
      </c>
    </row>
    <row r="5245" spans="1:10" x14ac:dyDescent="0.25">
      <c r="A5245" s="7" t="s">
        <v>36127</v>
      </c>
      <c r="B5245" s="8">
        <v>400</v>
      </c>
      <c r="C5245" s="8">
        <v>20.426300000000001</v>
      </c>
      <c r="D5245" s="8">
        <v>72</v>
      </c>
      <c r="E5245" s="8">
        <v>0</v>
      </c>
      <c r="F5245" s="8">
        <v>0</v>
      </c>
      <c r="G5245" s="8">
        <v>0</v>
      </c>
      <c r="H5245" s="8" t="s">
        <v>36128</v>
      </c>
      <c r="I5245" s="8">
        <v>528.1875</v>
      </c>
      <c r="J5245" s="3">
        <f t="shared" si="81"/>
        <v>43748.844358206021</v>
      </c>
    </row>
    <row r="5246" spans="1:10" x14ac:dyDescent="0.25">
      <c r="A5246" s="5" t="s">
        <v>36129</v>
      </c>
      <c r="B5246" s="6">
        <v>400</v>
      </c>
      <c r="C5246" s="6">
        <v>20.478950000000001</v>
      </c>
      <c r="D5246" s="6">
        <v>72</v>
      </c>
      <c r="E5246" s="6">
        <v>0</v>
      </c>
      <c r="F5246" s="6">
        <v>0</v>
      </c>
      <c r="G5246" s="6">
        <v>8</v>
      </c>
      <c r="H5246" s="6" t="s">
        <v>36130</v>
      </c>
      <c r="I5246" s="6">
        <v>528.1875</v>
      </c>
      <c r="J5246" s="2">
        <f t="shared" si="81"/>
        <v>43748.84444148148</v>
      </c>
    </row>
    <row r="5247" spans="1:10" x14ac:dyDescent="0.25">
      <c r="A5247" s="7" t="s">
        <v>36131</v>
      </c>
      <c r="B5247" s="8">
        <v>400</v>
      </c>
      <c r="C5247" s="8">
        <v>20.478950000000001</v>
      </c>
      <c r="D5247" s="8">
        <v>72</v>
      </c>
      <c r="E5247" s="8">
        <v>0</v>
      </c>
      <c r="F5247" s="8">
        <v>0</v>
      </c>
      <c r="G5247" s="8">
        <v>7</v>
      </c>
      <c r="H5247" s="8" t="s">
        <v>36132</v>
      </c>
      <c r="I5247" s="8">
        <v>528.1875</v>
      </c>
      <c r="J5247" s="3">
        <f t="shared" si="81"/>
        <v>43748.84452515046</v>
      </c>
    </row>
    <row r="5248" spans="1:10" x14ac:dyDescent="0.25">
      <c r="A5248" s="5" t="s">
        <v>36133</v>
      </c>
      <c r="B5248" s="6">
        <v>396.875</v>
      </c>
      <c r="C5248" s="6">
        <v>20.478950000000001</v>
      </c>
      <c r="D5248" s="6">
        <v>71</v>
      </c>
      <c r="E5248" s="6">
        <v>0</v>
      </c>
      <c r="F5248" s="6">
        <v>0</v>
      </c>
      <c r="G5248" s="6">
        <v>3</v>
      </c>
      <c r="H5248" s="6" t="s">
        <v>36134</v>
      </c>
      <c r="I5248" s="6">
        <v>527.4375</v>
      </c>
      <c r="J5248" s="2">
        <f t="shared" si="81"/>
        <v>43748.844608240739</v>
      </c>
    </row>
    <row r="5249" spans="1:10" x14ac:dyDescent="0.25">
      <c r="A5249" s="7" t="s">
        <v>36135</v>
      </c>
      <c r="B5249" s="8">
        <v>396.875</v>
      </c>
      <c r="C5249" s="8">
        <v>20.478950000000001</v>
      </c>
      <c r="D5249" s="8">
        <v>72</v>
      </c>
      <c r="E5249" s="8">
        <v>0</v>
      </c>
      <c r="F5249" s="8">
        <v>0</v>
      </c>
      <c r="G5249" s="8">
        <v>3</v>
      </c>
      <c r="H5249" s="8" t="s">
        <v>36136</v>
      </c>
      <c r="I5249" s="8">
        <v>527.4375</v>
      </c>
      <c r="J5249" s="3">
        <f t="shared" si="81"/>
        <v>43748.844692048609</v>
      </c>
    </row>
    <row r="5250" spans="1:10" x14ac:dyDescent="0.25">
      <c r="A5250" s="5" t="s">
        <v>36137</v>
      </c>
      <c r="B5250" s="6">
        <v>396.875</v>
      </c>
      <c r="C5250" s="6">
        <v>20.478950000000001</v>
      </c>
      <c r="D5250" s="6">
        <v>75</v>
      </c>
      <c r="E5250" s="6">
        <v>0</v>
      </c>
      <c r="F5250" s="6">
        <v>0</v>
      </c>
      <c r="G5250" s="6">
        <v>13</v>
      </c>
      <c r="H5250" s="6" t="s">
        <v>36138</v>
      </c>
      <c r="I5250" s="6">
        <v>527.4375</v>
      </c>
      <c r="J5250" s="2">
        <f t="shared" ref="J5250:J5313" si="82">(H5250/86400000)+25569+(7/24)</f>
        <v>43748.844763680558</v>
      </c>
    </row>
    <row r="5251" spans="1:10" x14ac:dyDescent="0.25">
      <c r="A5251" s="7" t="s">
        <v>36139</v>
      </c>
      <c r="B5251" s="8">
        <v>415.625</v>
      </c>
      <c r="C5251" s="8">
        <v>20.478950000000001</v>
      </c>
      <c r="D5251" s="8">
        <v>74</v>
      </c>
      <c r="E5251" s="8">
        <v>0</v>
      </c>
      <c r="F5251" s="8">
        <v>0</v>
      </c>
      <c r="G5251" s="8">
        <v>12</v>
      </c>
      <c r="H5251" s="8" t="s">
        <v>36140</v>
      </c>
      <c r="I5251" s="8">
        <v>533.25</v>
      </c>
      <c r="J5251" s="3">
        <f t="shared" si="82"/>
        <v>43748.844847129629</v>
      </c>
    </row>
    <row r="5252" spans="1:10" x14ac:dyDescent="0.25">
      <c r="A5252" s="5" t="s">
        <v>36141</v>
      </c>
      <c r="B5252" s="6">
        <v>396.875</v>
      </c>
      <c r="C5252" s="6">
        <v>20.478950000000001</v>
      </c>
      <c r="D5252" s="6">
        <v>70</v>
      </c>
      <c r="E5252" s="6">
        <v>0</v>
      </c>
      <c r="F5252" s="6">
        <v>0</v>
      </c>
      <c r="G5252" s="6">
        <v>0</v>
      </c>
      <c r="H5252" s="6" t="s">
        <v>36142</v>
      </c>
      <c r="I5252" s="6">
        <v>527.4375</v>
      </c>
      <c r="J5252" s="2">
        <f t="shared" si="82"/>
        <v>43748.844954456021</v>
      </c>
    </row>
    <row r="5253" spans="1:10" x14ac:dyDescent="0.25">
      <c r="A5253" s="7" t="s">
        <v>36143</v>
      </c>
      <c r="B5253" s="8">
        <v>396.875</v>
      </c>
      <c r="C5253" s="8">
        <v>20.478950000000001</v>
      </c>
      <c r="D5253" s="8">
        <v>68</v>
      </c>
      <c r="E5253" s="8">
        <v>0</v>
      </c>
      <c r="F5253" s="8">
        <v>0</v>
      </c>
      <c r="G5253" s="8">
        <v>13</v>
      </c>
      <c r="H5253" s="8" t="s">
        <v>36144</v>
      </c>
      <c r="I5253" s="8">
        <v>527.4375</v>
      </c>
      <c r="J5253" s="3">
        <f t="shared" si="82"/>
        <v>43748.845037800922</v>
      </c>
    </row>
    <row r="5254" spans="1:10" x14ac:dyDescent="0.25">
      <c r="A5254" s="5" t="s">
        <v>36145</v>
      </c>
      <c r="B5254" s="6">
        <v>400</v>
      </c>
      <c r="C5254" s="6">
        <v>20.478950000000001</v>
      </c>
      <c r="D5254" s="6">
        <v>68</v>
      </c>
      <c r="E5254" s="6">
        <v>0</v>
      </c>
      <c r="F5254" s="6">
        <v>0</v>
      </c>
      <c r="G5254" s="6">
        <v>14</v>
      </c>
      <c r="H5254" s="6" t="s">
        <v>36146</v>
      </c>
      <c r="I5254" s="6">
        <v>528.1875</v>
      </c>
      <c r="J5254" s="2">
        <f t="shared" si="82"/>
        <v>43748.84510943287</v>
      </c>
    </row>
    <row r="5255" spans="1:10" x14ac:dyDescent="0.25">
      <c r="A5255" s="7" t="s">
        <v>36147</v>
      </c>
      <c r="B5255" s="8">
        <v>418.75</v>
      </c>
      <c r="C5255" s="8">
        <v>20.478950000000001</v>
      </c>
      <c r="D5255" s="8">
        <v>70</v>
      </c>
      <c r="E5255" s="8">
        <v>0</v>
      </c>
      <c r="F5255" s="8">
        <v>0</v>
      </c>
      <c r="G5255" s="8">
        <v>5</v>
      </c>
      <c r="H5255" s="8" t="s">
        <v>36148</v>
      </c>
      <c r="I5255" s="8">
        <v>534.1875</v>
      </c>
      <c r="J5255" s="3">
        <f t="shared" si="82"/>
        <v>43748.845192986111</v>
      </c>
    </row>
    <row r="5256" spans="1:10" x14ac:dyDescent="0.25">
      <c r="A5256" s="5" t="s">
        <v>36149</v>
      </c>
      <c r="B5256" s="6">
        <v>400</v>
      </c>
      <c r="C5256" s="6">
        <v>20.478950000000001</v>
      </c>
      <c r="D5256" s="6">
        <v>69</v>
      </c>
      <c r="E5256" s="6">
        <v>0</v>
      </c>
      <c r="F5256" s="6">
        <v>0</v>
      </c>
      <c r="G5256" s="6">
        <v>17</v>
      </c>
      <c r="H5256" s="6" t="s">
        <v>36150</v>
      </c>
      <c r="I5256" s="6">
        <v>528.375</v>
      </c>
      <c r="J5256" s="2">
        <f t="shared" si="82"/>
        <v>43748.845276689812</v>
      </c>
    </row>
    <row r="5257" spans="1:10" x14ac:dyDescent="0.25">
      <c r="A5257" s="7" t="s">
        <v>36151</v>
      </c>
      <c r="B5257" s="8">
        <v>400</v>
      </c>
      <c r="C5257" s="8">
        <v>20.478950000000001</v>
      </c>
      <c r="D5257" s="8">
        <v>70</v>
      </c>
      <c r="E5257" s="8">
        <v>0</v>
      </c>
      <c r="F5257" s="8">
        <v>0</v>
      </c>
      <c r="G5257" s="8">
        <v>12</v>
      </c>
      <c r="H5257" s="8" t="s">
        <v>36152</v>
      </c>
      <c r="I5257" s="8">
        <v>528.1875</v>
      </c>
      <c r="J5257" s="3">
        <f t="shared" si="82"/>
        <v>43748.845360011568</v>
      </c>
    </row>
    <row r="5258" spans="1:10" x14ac:dyDescent="0.25">
      <c r="A5258" s="5" t="s">
        <v>36153</v>
      </c>
      <c r="B5258" s="6">
        <v>403.125</v>
      </c>
      <c r="C5258" s="6">
        <v>20.478950000000001</v>
      </c>
      <c r="D5258" s="6">
        <v>68</v>
      </c>
      <c r="E5258" s="6">
        <v>0</v>
      </c>
      <c r="F5258" s="6">
        <v>0</v>
      </c>
      <c r="G5258" s="6">
        <v>13</v>
      </c>
      <c r="H5258" s="6" t="s">
        <v>36154</v>
      </c>
      <c r="I5258" s="6">
        <v>529.125</v>
      </c>
      <c r="J5258" s="2">
        <f t="shared" si="82"/>
        <v>43748.845443564809</v>
      </c>
    </row>
    <row r="5259" spans="1:10" x14ac:dyDescent="0.25">
      <c r="A5259" s="7" t="s">
        <v>36155</v>
      </c>
      <c r="B5259" s="8">
        <v>403.125</v>
      </c>
      <c r="C5259" s="8">
        <v>20.478950000000001</v>
      </c>
      <c r="D5259" s="8">
        <v>68</v>
      </c>
      <c r="E5259" s="8">
        <v>0</v>
      </c>
      <c r="F5259" s="8">
        <v>0</v>
      </c>
      <c r="G5259" s="8">
        <v>8</v>
      </c>
      <c r="H5259" s="8" t="s">
        <v>36156</v>
      </c>
      <c r="I5259" s="8">
        <v>529.125</v>
      </c>
      <c r="J5259" s="3">
        <f t="shared" si="82"/>
        <v>43748.845526666664</v>
      </c>
    </row>
    <row r="5260" spans="1:10" x14ac:dyDescent="0.25">
      <c r="A5260" s="5" t="s">
        <v>36157</v>
      </c>
      <c r="B5260" s="6">
        <v>403.125</v>
      </c>
      <c r="C5260" s="6">
        <v>20.478950000000001</v>
      </c>
      <c r="D5260" s="6">
        <v>68</v>
      </c>
      <c r="E5260" s="6">
        <v>0</v>
      </c>
      <c r="F5260" s="6">
        <v>0</v>
      </c>
      <c r="G5260" s="6">
        <v>6</v>
      </c>
      <c r="H5260" s="6" t="s">
        <v>36158</v>
      </c>
      <c r="I5260" s="6">
        <v>529.125</v>
      </c>
      <c r="J5260" s="2">
        <f t="shared" si="82"/>
        <v>43748.845598321757</v>
      </c>
    </row>
    <row r="5261" spans="1:10" x14ac:dyDescent="0.25">
      <c r="A5261" s="7" t="s">
        <v>36159</v>
      </c>
      <c r="B5261" s="8">
        <v>403.125</v>
      </c>
      <c r="C5261" s="8">
        <v>20.478950000000001</v>
      </c>
      <c r="D5261" s="8">
        <v>68</v>
      </c>
      <c r="E5261" s="8">
        <v>0</v>
      </c>
      <c r="F5261" s="8">
        <v>0</v>
      </c>
      <c r="G5261" s="8">
        <v>14</v>
      </c>
      <c r="H5261" s="8" t="s">
        <v>36160</v>
      </c>
      <c r="I5261" s="8">
        <v>529.875</v>
      </c>
      <c r="J5261" s="3">
        <f t="shared" si="82"/>
        <v>43748.845682361112</v>
      </c>
    </row>
    <row r="5262" spans="1:10" x14ac:dyDescent="0.25">
      <c r="A5262" s="5" t="s">
        <v>36161</v>
      </c>
      <c r="B5262" s="6">
        <v>403.125</v>
      </c>
      <c r="C5262" s="6">
        <v>20.478950000000001</v>
      </c>
      <c r="D5262" s="6">
        <v>68</v>
      </c>
      <c r="E5262" s="6">
        <v>0</v>
      </c>
      <c r="F5262" s="6">
        <v>0</v>
      </c>
      <c r="G5262" s="6">
        <v>5</v>
      </c>
      <c r="H5262" s="6" t="s">
        <v>36162</v>
      </c>
      <c r="I5262" s="6">
        <v>529.875</v>
      </c>
      <c r="J5262" s="2">
        <f t="shared" si="82"/>
        <v>43748.845765578699</v>
      </c>
    </row>
    <row r="5263" spans="1:10" x14ac:dyDescent="0.25">
      <c r="A5263" s="7" t="s">
        <v>36163</v>
      </c>
      <c r="B5263" s="8">
        <v>403.125</v>
      </c>
      <c r="C5263" s="8">
        <v>20.478950000000001</v>
      </c>
      <c r="D5263" s="8">
        <v>67</v>
      </c>
      <c r="E5263" s="8">
        <v>0</v>
      </c>
      <c r="F5263" s="8">
        <v>0</v>
      </c>
      <c r="G5263" s="8">
        <v>5</v>
      </c>
      <c r="H5263" s="8" t="s">
        <v>36164</v>
      </c>
      <c r="I5263" s="8">
        <v>529.875</v>
      </c>
      <c r="J5263" s="3">
        <f t="shared" si="82"/>
        <v>43748.845848900462</v>
      </c>
    </row>
    <row r="5264" spans="1:10" x14ac:dyDescent="0.25">
      <c r="A5264" s="5" t="s">
        <v>36165</v>
      </c>
      <c r="B5264" s="6">
        <v>400</v>
      </c>
      <c r="C5264" s="6">
        <v>20.478950000000001</v>
      </c>
      <c r="D5264" s="6">
        <v>66</v>
      </c>
      <c r="E5264" s="6">
        <v>0</v>
      </c>
      <c r="F5264" s="6">
        <v>0</v>
      </c>
      <c r="G5264" s="6">
        <v>11</v>
      </c>
      <c r="H5264" s="6" t="s">
        <v>36166</v>
      </c>
      <c r="I5264" s="6">
        <v>528.9375</v>
      </c>
      <c r="J5264" s="2">
        <f t="shared" si="82"/>
        <v>43748.845932453703</v>
      </c>
    </row>
    <row r="5265" spans="1:10" x14ac:dyDescent="0.25">
      <c r="A5265" s="7" t="s">
        <v>36167</v>
      </c>
      <c r="B5265" s="8">
        <v>403.125</v>
      </c>
      <c r="C5265" s="8">
        <v>20.478950000000001</v>
      </c>
      <c r="D5265" s="8">
        <v>66</v>
      </c>
      <c r="E5265" s="8">
        <v>0</v>
      </c>
      <c r="F5265" s="8">
        <v>0</v>
      </c>
      <c r="G5265" s="8">
        <v>7</v>
      </c>
      <c r="H5265" s="8" t="s">
        <v>36168</v>
      </c>
      <c r="I5265" s="8">
        <v>529.125</v>
      </c>
      <c r="J5265" s="3">
        <f t="shared" si="82"/>
        <v>43748.846004016203</v>
      </c>
    </row>
    <row r="5266" spans="1:10" x14ac:dyDescent="0.25">
      <c r="A5266" s="5" t="s">
        <v>36169</v>
      </c>
      <c r="B5266" s="6">
        <v>403.125</v>
      </c>
      <c r="C5266" s="6">
        <v>20.478950000000001</v>
      </c>
      <c r="D5266" s="6">
        <v>73</v>
      </c>
      <c r="E5266" s="6">
        <v>0</v>
      </c>
      <c r="F5266" s="6">
        <v>0</v>
      </c>
      <c r="G5266" s="6">
        <v>12</v>
      </c>
      <c r="H5266" s="6" t="s">
        <v>36170</v>
      </c>
      <c r="I5266" s="6">
        <v>529.125</v>
      </c>
      <c r="J5266" s="2">
        <f t="shared" si="82"/>
        <v>43748.84607540509</v>
      </c>
    </row>
    <row r="5267" spans="1:10" x14ac:dyDescent="0.25">
      <c r="A5267" s="7" t="s">
        <v>36171</v>
      </c>
      <c r="B5267" s="8">
        <v>403.125</v>
      </c>
      <c r="C5267" s="8">
        <v>20.478950000000001</v>
      </c>
      <c r="D5267" s="8">
        <v>75</v>
      </c>
      <c r="E5267" s="8">
        <v>0</v>
      </c>
      <c r="F5267" s="8">
        <v>0</v>
      </c>
      <c r="G5267" s="8">
        <v>9</v>
      </c>
      <c r="H5267" s="8" t="s">
        <v>36172</v>
      </c>
      <c r="I5267" s="8">
        <v>529.125</v>
      </c>
      <c r="J5267" s="3">
        <f t="shared" si="82"/>
        <v>43748.846147280092</v>
      </c>
    </row>
    <row r="5268" spans="1:10" x14ac:dyDescent="0.25">
      <c r="A5268" s="5" t="s">
        <v>36173</v>
      </c>
      <c r="B5268" s="6">
        <v>400</v>
      </c>
      <c r="C5268" s="6">
        <v>20.478950000000001</v>
      </c>
      <c r="D5268" s="6">
        <v>74</v>
      </c>
      <c r="E5268" s="6">
        <v>0</v>
      </c>
      <c r="F5268" s="6">
        <v>0</v>
      </c>
      <c r="G5268" s="6">
        <v>7</v>
      </c>
      <c r="H5268" s="6" t="s">
        <v>36174</v>
      </c>
      <c r="I5268" s="6">
        <v>528.9375</v>
      </c>
      <c r="J5268" s="2">
        <f t="shared" si="82"/>
        <v>43748.846241956016</v>
      </c>
    </row>
    <row r="5269" spans="1:10" x14ac:dyDescent="0.25">
      <c r="A5269" s="7" t="s">
        <v>36175</v>
      </c>
      <c r="B5269" s="8">
        <v>400</v>
      </c>
      <c r="C5269" s="8">
        <v>20.478950000000001</v>
      </c>
      <c r="D5269" s="8">
        <v>74</v>
      </c>
      <c r="E5269" s="8">
        <v>0</v>
      </c>
      <c r="F5269" s="8">
        <v>0</v>
      </c>
      <c r="G5269" s="8">
        <v>10</v>
      </c>
      <c r="H5269" s="8" t="s">
        <v>36176</v>
      </c>
      <c r="I5269" s="8">
        <v>528.375</v>
      </c>
      <c r="J5269" s="3">
        <f t="shared" si="82"/>
        <v>43748.846326099534</v>
      </c>
    </row>
    <row r="5270" spans="1:10" x14ac:dyDescent="0.25">
      <c r="A5270" s="5" t="s">
        <v>36177</v>
      </c>
      <c r="B5270" s="6">
        <v>400</v>
      </c>
      <c r="C5270" s="6">
        <v>20.478950000000001</v>
      </c>
      <c r="D5270" s="6">
        <v>74</v>
      </c>
      <c r="E5270" s="6">
        <v>0</v>
      </c>
      <c r="F5270" s="6">
        <v>0</v>
      </c>
      <c r="G5270" s="6">
        <v>10</v>
      </c>
      <c r="H5270" s="6" t="s">
        <v>36178</v>
      </c>
      <c r="I5270" s="6">
        <v>528.1875</v>
      </c>
      <c r="J5270" s="2">
        <f t="shared" si="82"/>
        <v>43748.846409537036</v>
      </c>
    </row>
    <row r="5271" spans="1:10" x14ac:dyDescent="0.25">
      <c r="A5271" s="7" t="s">
        <v>36179</v>
      </c>
      <c r="B5271" s="8">
        <v>400</v>
      </c>
      <c r="C5271" s="8">
        <v>20.478950000000001</v>
      </c>
      <c r="D5271" s="8">
        <v>73</v>
      </c>
      <c r="E5271" s="8">
        <v>0</v>
      </c>
      <c r="F5271" s="8">
        <v>0</v>
      </c>
      <c r="G5271" s="8">
        <v>0</v>
      </c>
      <c r="H5271" s="8" t="s">
        <v>36180</v>
      </c>
      <c r="I5271" s="8">
        <v>528.1875</v>
      </c>
      <c r="J5271" s="3">
        <f t="shared" si="82"/>
        <v>43748.846493101846</v>
      </c>
    </row>
    <row r="5272" spans="1:10" x14ac:dyDescent="0.25">
      <c r="A5272" s="5" t="s">
        <v>36181</v>
      </c>
      <c r="B5272" s="6">
        <v>403.125</v>
      </c>
      <c r="C5272" s="6">
        <v>20.478950000000001</v>
      </c>
      <c r="D5272" s="6">
        <v>73</v>
      </c>
      <c r="E5272" s="6">
        <v>0</v>
      </c>
      <c r="F5272" s="6">
        <v>0</v>
      </c>
      <c r="G5272" s="6">
        <v>5</v>
      </c>
      <c r="H5272" s="6" t="s">
        <v>36182</v>
      </c>
      <c r="I5272" s="6">
        <v>529.125</v>
      </c>
      <c r="J5272" s="2">
        <f t="shared" si="82"/>
        <v>43748.846576562493</v>
      </c>
    </row>
    <row r="5273" spans="1:10" x14ac:dyDescent="0.25">
      <c r="A5273" s="7" t="s">
        <v>36183</v>
      </c>
      <c r="B5273" s="8">
        <v>403.125</v>
      </c>
      <c r="C5273" s="8">
        <v>20.478950000000001</v>
      </c>
      <c r="D5273" s="8">
        <v>73</v>
      </c>
      <c r="E5273" s="8">
        <v>0</v>
      </c>
      <c r="F5273" s="8">
        <v>0</v>
      </c>
      <c r="G5273" s="8">
        <v>8</v>
      </c>
      <c r="H5273" s="8" t="s">
        <v>36184</v>
      </c>
      <c r="I5273" s="8">
        <v>529.125</v>
      </c>
      <c r="J5273" s="3">
        <f t="shared" si="82"/>
        <v>43748.846660115734</v>
      </c>
    </row>
    <row r="5274" spans="1:10" x14ac:dyDescent="0.25">
      <c r="A5274" s="5" t="s">
        <v>36185</v>
      </c>
      <c r="B5274" s="6">
        <v>400</v>
      </c>
      <c r="C5274" s="6">
        <v>20.478950000000001</v>
      </c>
      <c r="D5274" s="6">
        <v>72</v>
      </c>
      <c r="E5274" s="6">
        <v>0</v>
      </c>
      <c r="F5274" s="6">
        <v>0</v>
      </c>
      <c r="G5274" s="6">
        <v>13</v>
      </c>
      <c r="H5274" s="6" t="s">
        <v>36186</v>
      </c>
      <c r="I5274" s="6">
        <v>528.375</v>
      </c>
      <c r="J5274" s="2">
        <f t="shared" si="82"/>
        <v>43748.84674346065</v>
      </c>
    </row>
    <row r="5275" spans="1:10" x14ac:dyDescent="0.25">
      <c r="A5275" s="7" t="s">
        <v>36187</v>
      </c>
      <c r="B5275" s="8">
        <v>400</v>
      </c>
      <c r="C5275" s="8">
        <v>20.478950000000001</v>
      </c>
      <c r="D5275" s="8">
        <v>70</v>
      </c>
      <c r="E5275" s="8">
        <v>0</v>
      </c>
      <c r="F5275" s="8">
        <v>0</v>
      </c>
      <c r="G5275" s="8">
        <v>10</v>
      </c>
      <c r="H5275" s="8" t="s">
        <v>36188</v>
      </c>
      <c r="I5275" s="8">
        <v>528.1875</v>
      </c>
      <c r="J5275" s="3">
        <f t="shared" si="82"/>
        <v>43748.846850856477</v>
      </c>
    </row>
    <row r="5276" spans="1:10" x14ac:dyDescent="0.25">
      <c r="A5276" s="5" t="s">
        <v>36189</v>
      </c>
      <c r="B5276" s="6">
        <v>400</v>
      </c>
      <c r="C5276" s="6">
        <v>20.478950000000001</v>
      </c>
      <c r="D5276" s="6">
        <v>69</v>
      </c>
      <c r="E5276" s="6">
        <v>0</v>
      </c>
      <c r="F5276" s="6">
        <v>0</v>
      </c>
      <c r="G5276" s="6">
        <v>10</v>
      </c>
      <c r="H5276" s="6" t="s">
        <v>36190</v>
      </c>
      <c r="I5276" s="6">
        <v>528.1875</v>
      </c>
      <c r="J5276" s="2">
        <f t="shared" si="82"/>
        <v>43748.846934097215</v>
      </c>
    </row>
    <row r="5277" spans="1:10" x14ac:dyDescent="0.25">
      <c r="A5277" s="7" t="s">
        <v>36191</v>
      </c>
      <c r="B5277" s="8">
        <v>400</v>
      </c>
      <c r="C5277" s="8">
        <v>20.478950000000001</v>
      </c>
      <c r="D5277" s="8">
        <v>69</v>
      </c>
      <c r="E5277" s="8">
        <v>0</v>
      </c>
      <c r="F5277" s="8">
        <v>0</v>
      </c>
      <c r="G5277" s="8">
        <v>15</v>
      </c>
      <c r="H5277" s="8" t="s">
        <v>36192</v>
      </c>
      <c r="I5277" s="8">
        <v>528.1875</v>
      </c>
      <c r="J5277" s="3">
        <f t="shared" si="82"/>
        <v>43748.847018055552</v>
      </c>
    </row>
    <row r="5278" spans="1:10" x14ac:dyDescent="0.25">
      <c r="A5278" s="5" t="s">
        <v>36193</v>
      </c>
      <c r="B5278" s="6">
        <v>415.625</v>
      </c>
      <c r="C5278" s="6">
        <v>20.478950000000001</v>
      </c>
      <c r="D5278" s="6">
        <v>69</v>
      </c>
      <c r="E5278" s="6">
        <v>0</v>
      </c>
      <c r="F5278" s="6">
        <v>0</v>
      </c>
      <c r="G5278" s="6">
        <v>5</v>
      </c>
      <c r="H5278" s="6" t="s">
        <v>36194</v>
      </c>
      <c r="I5278" s="6">
        <v>533.8125</v>
      </c>
      <c r="J5278" s="2">
        <f t="shared" si="82"/>
        <v>43748.847113136573</v>
      </c>
    </row>
    <row r="5279" spans="1:10" x14ac:dyDescent="0.25">
      <c r="A5279" s="7" t="s">
        <v>36195</v>
      </c>
      <c r="B5279" s="8">
        <v>400</v>
      </c>
      <c r="C5279" s="8">
        <v>20.478950000000001</v>
      </c>
      <c r="D5279" s="8">
        <v>69</v>
      </c>
      <c r="E5279" s="8">
        <v>0</v>
      </c>
      <c r="F5279" s="8">
        <v>0</v>
      </c>
      <c r="G5279" s="8">
        <v>11</v>
      </c>
      <c r="H5279" s="8" t="s">
        <v>36196</v>
      </c>
      <c r="I5279" s="8">
        <v>528.1875</v>
      </c>
      <c r="J5279" s="3">
        <f t="shared" si="82"/>
        <v>43748.847208298605</v>
      </c>
    </row>
    <row r="5280" spans="1:10" x14ac:dyDescent="0.25">
      <c r="A5280" s="5" t="s">
        <v>36197</v>
      </c>
      <c r="B5280" s="6">
        <v>415.625</v>
      </c>
      <c r="C5280" s="6">
        <v>20.478950000000001</v>
      </c>
      <c r="D5280" s="6">
        <v>69</v>
      </c>
      <c r="E5280" s="6">
        <v>0</v>
      </c>
      <c r="F5280" s="6">
        <v>0</v>
      </c>
      <c r="G5280" s="6">
        <v>13</v>
      </c>
      <c r="H5280" s="6" t="s">
        <v>36198</v>
      </c>
      <c r="I5280" s="6">
        <v>533.8125</v>
      </c>
      <c r="J5280" s="2">
        <f t="shared" si="82"/>
        <v>43748.847279803238</v>
      </c>
    </row>
    <row r="5281" spans="1:10" x14ac:dyDescent="0.25">
      <c r="A5281" s="7" t="s">
        <v>36199</v>
      </c>
      <c r="B5281" s="8">
        <v>400</v>
      </c>
      <c r="C5281" s="8">
        <v>20.478950000000001</v>
      </c>
      <c r="D5281" s="8">
        <v>69</v>
      </c>
      <c r="E5281" s="8">
        <v>0</v>
      </c>
      <c r="F5281" s="8">
        <v>0</v>
      </c>
      <c r="G5281" s="8">
        <v>5</v>
      </c>
      <c r="H5281" s="8" t="s">
        <v>36200</v>
      </c>
      <c r="I5281" s="8">
        <v>528.375</v>
      </c>
      <c r="J5281" s="3">
        <f t="shared" si="82"/>
        <v>43748.847375671299</v>
      </c>
    </row>
    <row r="5282" spans="1:10" x14ac:dyDescent="0.25">
      <c r="A5282" s="5" t="s">
        <v>36201</v>
      </c>
      <c r="B5282" s="6">
        <v>403.125</v>
      </c>
      <c r="C5282" s="6">
        <v>20.478950000000001</v>
      </c>
      <c r="D5282" s="6">
        <v>70</v>
      </c>
      <c r="E5282" s="6">
        <v>0</v>
      </c>
      <c r="F5282" s="6">
        <v>0</v>
      </c>
      <c r="G5282" s="6">
        <v>3</v>
      </c>
      <c r="H5282" s="6" t="s">
        <v>36202</v>
      </c>
      <c r="I5282" s="6">
        <v>529.125</v>
      </c>
      <c r="J5282" s="2">
        <f t="shared" si="82"/>
        <v>43748.847447187502</v>
      </c>
    </row>
    <row r="5283" spans="1:10" x14ac:dyDescent="0.25">
      <c r="A5283" s="7" t="s">
        <v>36203</v>
      </c>
      <c r="B5283" s="8">
        <v>400</v>
      </c>
      <c r="C5283" s="8">
        <v>20.478950000000001</v>
      </c>
      <c r="D5283" s="8">
        <v>70</v>
      </c>
      <c r="E5283" s="8">
        <v>0</v>
      </c>
      <c r="F5283" s="8">
        <v>0</v>
      </c>
      <c r="G5283" s="8">
        <v>6</v>
      </c>
      <c r="H5283" s="8" t="s">
        <v>36204</v>
      </c>
      <c r="I5283" s="8">
        <v>528.1875</v>
      </c>
      <c r="J5283" s="3">
        <f t="shared" si="82"/>
        <v>43748.847530486113</v>
      </c>
    </row>
    <row r="5284" spans="1:10" x14ac:dyDescent="0.25">
      <c r="A5284" s="5" t="s">
        <v>36205</v>
      </c>
      <c r="B5284" s="6">
        <v>396.875</v>
      </c>
      <c r="C5284" s="6">
        <v>20.478950000000001</v>
      </c>
      <c r="D5284" s="6">
        <v>70</v>
      </c>
      <c r="E5284" s="6">
        <v>0</v>
      </c>
      <c r="F5284" s="6">
        <v>0</v>
      </c>
      <c r="G5284" s="6">
        <v>15</v>
      </c>
      <c r="H5284" s="6" t="s">
        <v>36206</v>
      </c>
      <c r="I5284" s="6">
        <v>527.4375</v>
      </c>
      <c r="J5284" s="2">
        <f t="shared" si="82"/>
        <v>43748.84760212963</v>
      </c>
    </row>
    <row r="5285" spans="1:10" x14ac:dyDescent="0.25">
      <c r="A5285" s="7" t="s">
        <v>36207</v>
      </c>
      <c r="B5285" s="8">
        <v>396.875</v>
      </c>
      <c r="C5285" s="8">
        <v>20.478950000000001</v>
      </c>
      <c r="D5285" s="8">
        <v>71</v>
      </c>
      <c r="E5285" s="8">
        <v>0</v>
      </c>
      <c r="F5285" s="8">
        <v>0</v>
      </c>
      <c r="G5285" s="8">
        <v>13</v>
      </c>
      <c r="H5285" s="8" t="s">
        <v>36208</v>
      </c>
      <c r="I5285" s="8">
        <v>527.4375</v>
      </c>
      <c r="J5285" s="3">
        <f t="shared" si="82"/>
        <v>43748.84769771991</v>
      </c>
    </row>
    <row r="5286" spans="1:10" x14ac:dyDescent="0.25">
      <c r="A5286" s="5" t="s">
        <v>36209</v>
      </c>
      <c r="B5286" s="6">
        <v>396.875</v>
      </c>
      <c r="C5286" s="6">
        <v>20.478950000000001</v>
      </c>
      <c r="D5286" s="6">
        <v>71</v>
      </c>
      <c r="E5286" s="6">
        <v>0</v>
      </c>
      <c r="F5286" s="6">
        <v>0</v>
      </c>
      <c r="G5286" s="6">
        <v>14</v>
      </c>
      <c r="H5286" s="6" t="s">
        <v>36210</v>
      </c>
      <c r="I5286" s="6">
        <v>527.4375</v>
      </c>
      <c r="J5286" s="2">
        <f t="shared" si="82"/>
        <v>43748.847769108797</v>
      </c>
    </row>
    <row r="5287" spans="1:10" x14ac:dyDescent="0.25">
      <c r="A5287" s="7" t="s">
        <v>36211</v>
      </c>
      <c r="B5287" s="8">
        <v>396.875</v>
      </c>
      <c r="C5287" s="8">
        <v>20.478950000000001</v>
      </c>
      <c r="D5287" s="8">
        <v>72</v>
      </c>
      <c r="E5287" s="8">
        <v>0</v>
      </c>
      <c r="F5287" s="8">
        <v>0</v>
      </c>
      <c r="G5287" s="8">
        <v>17</v>
      </c>
      <c r="H5287" s="8" t="s">
        <v>36212</v>
      </c>
      <c r="I5287" s="8">
        <v>527.4375</v>
      </c>
      <c r="J5287" s="3">
        <f t="shared" si="82"/>
        <v>43748.847840636568</v>
      </c>
    </row>
    <row r="5288" spans="1:10" x14ac:dyDescent="0.25">
      <c r="A5288" s="5" t="s">
        <v>36213</v>
      </c>
      <c r="B5288" s="6">
        <v>396.875</v>
      </c>
      <c r="C5288" s="6">
        <v>20.478950000000001</v>
      </c>
      <c r="D5288" s="6">
        <v>72</v>
      </c>
      <c r="E5288" s="6">
        <v>0</v>
      </c>
      <c r="F5288" s="6">
        <v>0</v>
      </c>
      <c r="G5288" s="6">
        <v>4</v>
      </c>
      <c r="H5288" s="6" t="s">
        <v>36214</v>
      </c>
      <c r="I5288" s="6">
        <v>527.4375</v>
      </c>
      <c r="J5288" s="2">
        <f t="shared" si="82"/>
        <v>43748.847911817131</v>
      </c>
    </row>
    <row r="5289" spans="1:10" x14ac:dyDescent="0.25">
      <c r="A5289" s="7" t="s">
        <v>36215</v>
      </c>
      <c r="B5289" s="8">
        <v>396.875</v>
      </c>
      <c r="C5289" s="8">
        <v>20.478950000000001</v>
      </c>
      <c r="D5289" s="8">
        <v>72</v>
      </c>
      <c r="E5289" s="8">
        <v>0</v>
      </c>
      <c r="F5289" s="8">
        <v>0</v>
      </c>
      <c r="G5289" s="8">
        <v>9</v>
      </c>
      <c r="H5289" s="8" t="s">
        <v>36216</v>
      </c>
      <c r="I5289" s="8">
        <v>527.4375</v>
      </c>
      <c r="J5289" s="3">
        <f t="shared" si="82"/>
        <v>43748.84798356481</v>
      </c>
    </row>
    <row r="5290" spans="1:10" x14ac:dyDescent="0.25">
      <c r="A5290" s="5" t="s">
        <v>36217</v>
      </c>
      <c r="B5290" s="6">
        <v>396.875</v>
      </c>
      <c r="C5290" s="6">
        <v>20.478950000000001</v>
      </c>
      <c r="D5290" s="6">
        <v>72</v>
      </c>
      <c r="E5290" s="6">
        <v>0</v>
      </c>
      <c r="F5290" s="6">
        <v>0</v>
      </c>
      <c r="G5290" s="6">
        <v>10</v>
      </c>
      <c r="H5290" s="6" t="s">
        <v>36218</v>
      </c>
      <c r="I5290" s="6">
        <v>527.4375</v>
      </c>
      <c r="J5290" s="2">
        <f t="shared" si="82"/>
        <v>43748.848067372681</v>
      </c>
    </row>
    <row r="5291" spans="1:10" x14ac:dyDescent="0.25">
      <c r="A5291" s="7" t="s">
        <v>36219</v>
      </c>
      <c r="B5291" s="8">
        <v>396.875</v>
      </c>
      <c r="C5291" s="8">
        <v>20.478950000000001</v>
      </c>
      <c r="D5291" s="8">
        <v>72</v>
      </c>
      <c r="E5291" s="8">
        <v>0</v>
      </c>
      <c r="F5291" s="8">
        <v>0</v>
      </c>
      <c r="G5291" s="8">
        <v>8</v>
      </c>
      <c r="H5291" s="8" t="s">
        <v>36220</v>
      </c>
      <c r="I5291" s="8">
        <v>527.4375</v>
      </c>
      <c r="J5291" s="3">
        <f t="shared" si="82"/>
        <v>43748.848150706013</v>
      </c>
    </row>
    <row r="5292" spans="1:10" x14ac:dyDescent="0.25">
      <c r="A5292" s="5" t="s">
        <v>36221</v>
      </c>
      <c r="B5292" s="6">
        <v>396.875</v>
      </c>
      <c r="C5292" s="6">
        <v>20.478950000000001</v>
      </c>
      <c r="D5292" s="6">
        <v>72</v>
      </c>
      <c r="E5292" s="6">
        <v>0</v>
      </c>
      <c r="F5292" s="6">
        <v>0</v>
      </c>
      <c r="G5292" s="6">
        <v>8</v>
      </c>
      <c r="H5292" s="6" t="s">
        <v>36222</v>
      </c>
      <c r="I5292" s="6">
        <v>527.4375</v>
      </c>
      <c r="J5292" s="2">
        <f t="shared" si="82"/>
        <v>43748.848246215275</v>
      </c>
    </row>
    <row r="5293" spans="1:10" x14ac:dyDescent="0.25">
      <c r="A5293" s="7" t="s">
        <v>36223</v>
      </c>
      <c r="B5293" s="8">
        <v>393.75</v>
      </c>
      <c r="C5293" s="8">
        <v>20.478950000000001</v>
      </c>
      <c r="D5293" s="8">
        <v>72</v>
      </c>
      <c r="E5293" s="8">
        <v>0</v>
      </c>
      <c r="F5293" s="8">
        <v>0</v>
      </c>
      <c r="G5293" s="8">
        <v>8</v>
      </c>
      <c r="H5293" s="8" t="s">
        <v>36224</v>
      </c>
      <c r="I5293" s="8">
        <v>526.6875</v>
      </c>
      <c r="J5293" s="3">
        <f t="shared" si="82"/>
        <v>43748.848329664346</v>
      </c>
    </row>
    <row r="5294" spans="1:10" x14ac:dyDescent="0.25">
      <c r="A5294" s="5" t="s">
        <v>36225</v>
      </c>
      <c r="B5294" s="6">
        <v>393.75</v>
      </c>
      <c r="C5294" s="6">
        <v>20.478950000000001</v>
      </c>
      <c r="D5294" s="6">
        <v>69</v>
      </c>
      <c r="E5294" s="6">
        <v>0</v>
      </c>
      <c r="F5294" s="6">
        <v>0</v>
      </c>
      <c r="G5294" s="6">
        <v>9</v>
      </c>
      <c r="H5294" s="6" t="s">
        <v>36226</v>
      </c>
      <c r="I5294" s="6">
        <v>526.6875</v>
      </c>
      <c r="J5294" s="2">
        <f t="shared" si="82"/>
        <v>43748.848425034717</v>
      </c>
    </row>
    <row r="5295" spans="1:10" x14ac:dyDescent="0.25">
      <c r="A5295" s="7" t="s">
        <v>36227</v>
      </c>
      <c r="B5295" s="8">
        <v>418.75</v>
      </c>
      <c r="C5295" s="8">
        <v>20.478950000000001</v>
      </c>
      <c r="D5295" s="8">
        <v>69</v>
      </c>
      <c r="E5295" s="8">
        <v>0</v>
      </c>
      <c r="F5295" s="8">
        <v>0</v>
      </c>
      <c r="G5295" s="8">
        <v>0</v>
      </c>
      <c r="H5295" s="8" t="s">
        <v>36228</v>
      </c>
      <c r="I5295" s="8">
        <v>534.375</v>
      </c>
      <c r="J5295" s="3">
        <f t="shared" si="82"/>
        <v>43748.848508240735</v>
      </c>
    </row>
    <row r="5296" spans="1:10" x14ac:dyDescent="0.25">
      <c r="A5296" s="5" t="s">
        <v>36229</v>
      </c>
      <c r="B5296" s="6">
        <v>393.75</v>
      </c>
      <c r="C5296" s="6">
        <v>20.478950000000001</v>
      </c>
      <c r="D5296" s="6">
        <v>68</v>
      </c>
      <c r="E5296" s="6">
        <v>0</v>
      </c>
      <c r="F5296" s="6">
        <v>0</v>
      </c>
      <c r="G5296" s="6">
        <v>9</v>
      </c>
      <c r="H5296" s="6" t="s">
        <v>36230</v>
      </c>
      <c r="I5296" s="6">
        <v>526.6875</v>
      </c>
      <c r="J5296" s="2">
        <f t="shared" si="82"/>
        <v>43748.848580196754</v>
      </c>
    </row>
    <row r="5297" spans="1:10" x14ac:dyDescent="0.25">
      <c r="A5297" s="7" t="s">
        <v>36231</v>
      </c>
      <c r="B5297" s="8">
        <v>393.75</v>
      </c>
      <c r="C5297" s="8">
        <v>20.478950000000001</v>
      </c>
      <c r="D5297" s="8">
        <v>69</v>
      </c>
      <c r="E5297" s="8">
        <v>0</v>
      </c>
      <c r="F5297" s="8">
        <v>0</v>
      </c>
      <c r="G5297" s="8">
        <v>8</v>
      </c>
      <c r="H5297" s="8" t="s">
        <v>36232</v>
      </c>
      <c r="I5297" s="8">
        <v>526.6875</v>
      </c>
      <c r="J5297" s="3">
        <f t="shared" si="82"/>
        <v>43748.848663761572</v>
      </c>
    </row>
    <row r="5298" spans="1:10" x14ac:dyDescent="0.25">
      <c r="A5298" s="5" t="s">
        <v>36233</v>
      </c>
      <c r="B5298" s="6">
        <v>412.5</v>
      </c>
      <c r="C5298" s="6">
        <v>20.478950000000001</v>
      </c>
      <c r="D5298" s="6">
        <v>76</v>
      </c>
      <c r="E5298" s="6">
        <v>0</v>
      </c>
      <c r="F5298" s="6">
        <v>0</v>
      </c>
      <c r="G5298" s="6">
        <v>10</v>
      </c>
      <c r="H5298" s="6" t="s">
        <v>36234</v>
      </c>
      <c r="I5298" s="6">
        <v>532.3125</v>
      </c>
      <c r="J5298" s="2">
        <f t="shared" si="82"/>
        <v>43748.848735312502</v>
      </c>
    </row>
    <row r="5299" spans="1:10" x14ac:dyDescent="0.25">
      <c r="A5299" s="7" t="s">
        <v>36235</v>
      </c>
      <c r="B5299" s="8">
        <v>393.75</v>
      </c>
      <c r="C5299" s="8">
        <v>20.478950000000001</v>
      </c>
      <c r="D5299" s="8">
        <v>74</v>
      </c>
      <c r="E5299" s="8">
        <v>0</v>
      </c>
      <c r="F5299" s="8">
        <v>0</v>
      </c>
      <c r="G5299" s="8">
        <v>2</v>
      </c>
      <c r="H5299" s="8" t="s">
        <v>36236</v>
      </c>
      <c r="I5299" s="8">
        <v>526.6875</v>
      </c>
      <c r="J5299" s="3">
        <f t="shared" si="82"/>
        <v>43748.848818680555</v>
      </c>
    </row>
    <row r="5300" spans="1:10" x14ac:dyDescent="0.25">
      <c r="A5300" s="5" t="s">
        <v>36237</v>
      </c>
      <c r="B5300" s="6">
        <v>393.75</v>
      </c>
      <c r="C5300" s="6">
        <v>20.478950000000001</v>
      </c>
      <c r="D5300" s="6">
        <v>74</v>
      </c>
      <c r="E5300" s="6">
        <v>0</v>
      </c>
      <c r="F5300" s="6">
        <v>0</v>
      </c>
      <c r="G5300" s="6">
        <v>10</v>
      </c>
      <c r="H5300" s="6" t="s">
        <v>36238</v>
      </c>
      <c r="I5300" s="6">
        <v>526.6875</v>
      </c>
      <c r="J5300" s="2">
        <f t="shared" si="82"/>
        <v>43748.848902094905</v>
      </c>
    </row>
    <row r="5301" spans="1:10" x14ac:dyDescent="0.25">
      <c r="A5301" s="7" t="s">
        <v>36239</v>
      </c>
      <c r="B5301" s="8">
        <v>393.75</v>
      </c>
      <c r="C5301" s="8">
        <v>20.478950000000001</v>
      </c>
      <c r="D5301" s="8">
        <v>73</v>
      </c>
      <c r="E5301" s="8">
        <v>0</v>
      </c>
      <c r="F5301" s="8">
        <v>0</v>
      </c>
      <c r="G5301" s="8">
        <v>4</v>
      </c>
      <c r="H5301" s="8" t="s">
        <v>36240</v>
      </c>
      <c r="I5301" s="8">
        <v>526.5</v>
      </c>
      <c r="J5301" s="3">
        <f t="shared" si="82"/>
        <v>43748.849001874994</v>
      </c>
    </row>
    <row r="5302" spans="1:10" x14ac:dyDescent="0.25">
      <c r="A5302" s="5" t="s">
        <v>36241</v>
      </c>
      <c r="B5302" s="6">
        <v>393.75</v>
      </c>
      <c r="C5302" s="6">
        <v>20.478950000000001</v>
      </c>
      <c r="D5302" s="6">
        <v>72</v>
      </c>
      <c r="E5302" s="6">
        <v>0</v>
      </c>
      <c r="F5302" s="6">
        <v>0</v>
      </c>
      <c r="G5302" s="6">
        <v>10</v>
      </c>
      <c r="H5302" s="6" t="s">
        <v>36242</v>
      </c>
      <c r="I5302" s="6">
        <v>526.6875</v>
      </c>
      <c r="J5302" s="2">
        <f t="shared" si="82"/>
        <v>43748.84908068287</v>
      </c>
    </row>
    <row r="5303" spans="1:10" x14ac:dyDescent="0.25">
      <c r="A5303" s="7" t="s">
        <v>36243</v>
      </c>
      <c r="B5303" s="8">
        <v>393.75</v>
      </c>
      <c r="C5303" s="8">
        <v>20.478950000000001</v>
      </c>
      <c r="D5303" s="8">
        <v>70</v>
      </c>
      <c r="E5303" s="8">
        <v>0</v>
      </c>
      <c r="F5303" s="8">
        <v>0</v>
      </c>
      <c r="G5303" s="8">
        <v>15</v>
      </c>
      <c r="H5303" s="8" t="s">
        <v>36244</v>
      </c>
      <c r="I5303" s="8">
        <v>526.6875</v>
      </c>
      <c r="J5303" s="3">
        <f t="shared" si="82"/>
        <v>43748.849164513886</v>
      </c>
    </row>
    <row r="5304" spans="1:10" x14ac:dyDescent="0.25">
      <c r="A5304" s="5" t="s">
        <v>36245</v>
      </c>
      <c r="B5304" s="6">
        <v>393.75</v>
      </c>
      <c r="C5304" s="6">
        <v>20.478950000000001</v>
      </c>
      <c r="D5304" s="6">
        <v>71</v>
      </c>
      <c r="E5304" s="6">
        <v>0</v>
      </c>
      <c r="F5304" s="6">
        <v>0</v>
      </c>
      <c r="G5304" s="6">
        <v>16</v>
      </c>
      <c r="H5304" s="6" t="s">
        <v>36246</v>
      </c>
      <c r="I5304" s="6">
        <v>526.6875</v>
      </c>
      <c r="J5304" s="2">
        <f t="shared" si="82"/>
        <v>43748.849236122682</v>
      </c>
    </row>
    <row r="5305" spans="1:10" x14ac:dyDescent="0.25">
      <c r="A5305" s="7" t="s">
        <v>36247</v>
      </c>
      <c r="B5305" s="8">
        <v>393.75</v>
      </c>
      <c r="C5305" s="8">
        <v>20.478950000000001</v>
      </c>
      <c r="D5305" s="8">
        <v>71</v>
      </c>
      <c r="E5305" s="8">
        <v>0</v>
      </c>
      <c r="F5305" s="8">
        <v>0</v>
      </c>
      <c r="G5305" s="8">
        <v>9</v>
      </c>
      <c r="H5305" s="8" t="s">
        <v>36248</v>
      </c>
      <c r="I5305" s="8">
        <v>526.6875</v>
      </c>
      <c r="J5305" s="3">
        <f t="shared" si="82"/>
        <v>43748.849319247682</v>
      </c>
    </row>
    <row r="5306" spans="1:10" x14ac:dyDescent="0.25">
      <c r="A5306" s="5" t="s">
        <v>36249</v>
      </c>
      <c r="B5306" s="6">
        <v>393.75</v>
      </c>
      <c r="C5306" s="6">
        <v>20.478950000000001</v>
      </c>
      <c r="D5306" s="6">
        <v>71</v>
      </c>
      <c r="E5306" s="6">
        <v>0</v>
      </c>
      <c r="F5306" s="6">
        <v>0</v>
      </c>
      <c r="G5306" s="6">
        <v>12</v>
      </c>
      <c r="H5306" s="6" t="s">
        <v>36250</v>
      </c>
      <c r="I5306" s="6">
        <v>526.6875</v>
      </c>
      <c r="J5306" s="2">
        <f t="shared" si="82"/>
        <v>43748.849390868054</v>
      </c>
    </row>
    <row r="5307" spans="1:10" x14ac:dyDescent="0.25">
      <c r="A5307" s="7" t="s">
        <v>36251</v>
      </c>
      <c r="B5307" s="8">
        <v>393.75</v>
      </c>
      <c r="C5307" s="8">
        <v>20.478950000000001</v>
      </c>
      <c r="D5307" s="8">
        <v>71</v>
      </c>
      <c r="E5307" s="8">
        <v>0</v>
      </c>
      <c r="F5307" s="8">
        <v>0</v>
      </c>
      <c r="G5307" s="8">
        <v>9</v>
      </c>
      <c r="H5307" s="8" t="s">
        <v>36252</v>
      </c>
      <c r="I5307" s="8">
        <v>526.6875</v>
      </c>
      <c r="J5307" s="3">
        <f t="shared" si="82"/>
        <v>43748.849474780094</v>
      </c>
    </row>
    <row r="5308" spans="1:10" x14ac:dyDescent="0.25">
      <c r="A5308" s="5" t="s">
        <v>36253</v>
      </c>
      <c r="B5308" s="6">
        <v>412.5</v>
      </c>
      <c r="C5308" s="6">
        <v>20.478950000000001</v>
      </c>
      <c r="D5308" s="6">
        <v>71</v>
      </c>
      <c r="E5308" s="6">
        <v>0</v>
      </c>
      <c r="F5308" s="6">
        <v>0</v>
      </c>
      <c r="G5308" s="6">
        <v>8</v>
      </c>
      <c r="H5308" s="6" t="s">
        <v>36254</v>
      </c>
      <c r="I5308" s="6">
        <v>532.5</v>
      </c>
      <c r="J5308" s="2">
        <f t="shared" si="82"/>
        <v>43748.84955820602</v>
      </c>
    </row>
    <row r="5309" spans="1:10" x14ac:dyDescent="0.25">
      <c r="A5309" s="7" t="s">
        <v>36255</v>
      </c>
      <c r="B5309" s="8">
        <v>393.75</v>
      </c>
      <c r="C5309" s="8">
        <v>20.478950000000001</v>
      </c>
      <c r="D5309" s="8">
        <v>71</v>
      </c>
      <c r="E5309" s="8">
        <v>0</v>
      </c>
      <c r="F5309" s="8">
        <v>0</v>
      </c>
      <c r="G5309" s="8">
        <v>14</v>
      </c>
      <c r="H5309" s="8" t="s">
        <v>36256</v>
      </c>
      <c r="I5309" s="8">
        <v>526.6875</v>
      </c>
      <c r="J5309" s="3">
        <f t="shared" si="82"/>
        <v>43748.849629687502</v>
      </c>
    </row>
    <row r="5310" spans="1:10" x14ac:dyDescent="0.25">
      <c r="A5310" s="5" t="s">
        <v>36257</v>
      </c>
      <c r="B5310" s="6">
        <v>393.75</v>
      </c>
      <c r="C5310" s="6">
        <v>20.478950000000001</v>
      </c>
      <c r="D5310" s="6">
        <v>71</v>
      </c>
      <c r="E5310" s="6">
        <v>0</v>
      </c>
      <c r="F5310" s="6">
        <v>0</v>
      </c>
      <c r="G5310" s="6">
        <v>14</v>
      </c>
      <c r="H5310" s="6" t="s">
        <v>36258</v>
      </c>
      <c r="I5310" s="6">
        <v>526.6875</v>
      </c>
      <c r="J5310" s="2">
        <f t="shared" si="82"/>
        <v>43748.849713321753</v>
      </c>
    </row>
    <row r="5311" spans="1:10" x14ac:dyDescent="0.25">
      <c r="A5311" s="7" t="s">
        <v>36259</v>
      </c>
      <c r="B5311" s="8">
        <v>393.75</v>
      </c>
      <c r="C5311" s="8">
        <v>20.478950000000001</v>
      </c>
      <c r="D5311" s="8">
        <v>71</v>
      </c>
      <c r="E5311" s="8">
        <v>0</v>
      </c>
      <c r="F5311" s="8">
        <v>0</v>
      </c>
      <c r="G5311" s="8">
        <v>14</v>
      </c>
      <c r="H5311" s="8" t="s">
        <v>36260</v>
      </c>
      <c r="I5311" s="8">
        <v>526.6875</v>
      </c>
      <c r="J5311" s="3">
        <f t="shared" si="82"/>
        <v>43748.849796655086</v>
      </c>
    </row>
    <row r="5312" spans="1:10" x14ac:dyDescent="0.25">
      <c r="A5312" s="5" t="s">
        <v>36261</v>
      </c>
      <c r="B5312" s="6">
        <v>393.75</v>
      </c>
      <c r="C5312" s="6">
        <v>20.478950000000001</v>
      </c>
      <c r="D5312" s="6">
        <v>71</v>
      </c>
      <c r="E5312" s="6">
        <v>0</v>
      </c>
      <c r="F5312" s="6">
        <v>0</v>
      </c>
      <c r="G5312" s="6">
        <v>15</v>
      </c>
      <c r="H5312" s="6" t="s">
        <v>36262</v>
      </c>
      <c r="I5312" s="6">
        <v>526.6875</v>
      </c>
      <c r="J5312" s="2">
        <f t="shared" si="82"/>
        <v>43748.849867731478</v>
      </c>
    </row>
    <row r="5313" spans="1:10" x14ac:dyDescent="0.25">
      <c r="A5313" s="7" t="s">
        <v>36263</v>
      </c>
      <c r="B5313" s="8">
        <v>393.75</v>
      </c>
      <c r="C5313" s="8">
        <v>20.478950000000001</v>
      </c>
      <c r="D5313" s="8">
        <v>73</v>
      </c>
      <c r="E5313" s="8">
        <v>0</v>
      </c>
      <c r="F5313" s="8">
        <v>0</v>
      </c>
      <c r="G5313" s="8">
        <v>4</v>
      </c>
      <c r="H5313" s="8" t="s">
        <v>36264</v>
      </c>
      <c r="I5313" s="8">
        <v>526.6875</v>
      </c>
      <c r="J5313" s="3">
        <f t="shared" si="82"/>
        <v>43748.849951747681</v>
      </c>
    </row>
    <row r="5314" spans="1:10" x14ac:dyDescent="0.25">
      <c r="A5314" s="5" t="s">
        <v>36265</v>
      </c>
      <c r="B5314" s="6">
        <v>393.75</v>
      </c>
      <c r="C5314" s="6">
        <v>20.478950000000001</v>
      </c>
      <c r="D5314" s="6">
        <v>73</v>
      </c>
      <c r="E5314" s="6">
        <v>0</v>
      </c>
      <c r="F5314" s="6">
        <v>0</v>
      </c>
      <c r="G5314" s="6">
        <v>13</v>
      </c>
      <c r="H5314" s="6" t="s">
        <v>36266</v>
      </c>
      <c r="I5314" s="6">
        <v>526.6875</v>
      </c>
      <c r="J5314" s="2">
        <f t="shared" ref="J5314:J5377" si="83">(H5314/86400000)+25569+(7/24)</f>
        <v>43748.850035300922</v>
      </c>
    </row>
    <row r="5315" spans="1:10" x14ac:dyDescent="0.25">
      <c r="A5315" s="7" t="s">
        <v>36267</v>
      </c>
      <c r="B5315" s="8">
        <v>393.75</v>
      </c>
      <c r="C5315" s="8">
        <v>20.478950000000001</v>
      </c>
      <c r="D5315" s="8">
        <v>73</v>
      </c>
      <c r="E5315" s="8">
        <v>0</v>
      </c>
      <c r="F5315" s="8">
        <v>0</v>
      </c>
      <c r="G5315" s="8">
        <v>6</v>
      </c>
      <c r="H5315" s="8" t="s">
        <v>36268</v>
      </c>
      <c r="I5315" s="8">
        <v>526.6875</v>
      </c>
      <c r="J5315" s="3">
        <f t="shared" si="83"/>
        <v>43748.850118738424</v>
      </c>
    </row>
    <row r="5316" spans="1:10" x14ac:dyDescent="0.25">
      <c r="A5316" s="5" t="s">
        <v>36269</v>
      </c>
      <c r="B5316" s="6">
        <v>434.375</v>
      </c>
      <c r="C5316" s="6">
        <v>20.478950000000001</v>
      </c>
      <c r="D5316" s="6">
        <v>73</v>
      </c>
      <c r="E5316" s="6">
        <v>0</v>
      </c>
      <c r="F5316" s="6">
        <v>0</v>
      </c>
      <c r="G5316" s="6">
        <v>6</v>
      </c>
      <c r="H5316" s="6" t="s">
        <v>36270</v>
      </c>
      <c r="I5316" s="6">
        <v>539.25</v>
      </c>
      <c r="J5316" s="2">
        <f t="shared" si="83"/>
        <v>43748.850250243057</v>
      </c>
    </row>
    <row r="5317" spans="1:10" x14ac:dyDescent="0.25">
      <c r="A5317" s="7" t="s">
        <v>36271</v>
      </c>
      <c r="B5317" s="8">
        <v>393.75</v>
      </c>
      <c r="C5317" s="8">
        <v>20.478950000000001</v>
      </c>
      <c r="D5317" s="8">
        <v>73</v>
      </c>
      <c r="E5317" s="8">
        <v>0</v>
      </c>
      <c r="F5317" s="8">
        <v>0</v>
      </c>
      <c r="G5317" s="8">
        <v>5</v>
      </c>
      <c r="H5317" s="8" t="s">
        <v>36272</v>
      </c>
      <c r="I5317" s="8">
        <v>526.6875</v>
      </c>
      <c r="J5317" s="3">
        <f t="shared" si="83"/>
        <v>43748.850321446756</v>
      </c>
    </row>
    <row r="5318" spans="1:10" x14ac:dyDescent="0.25">
      <c r="A5318" s="5" t="s">
        <v>36273</v>
      </c>
      <c r="B5318" s="6">
        <v>393.75</v>
      </c>
      <c r="C5318" s="6">
        <v>20.478950000000001</v>
      </c>
      <c r="D5318" s="6">
        <v>73</v>
      </c>
      <c r="E5318" s="6">
        <v>0</v>
      </c>
      <c r="F5318" s="6">
        <v>0</v>
      </c>
      <c r="G5318" s="6">
        <v>8</v>
      </c>
      <c r="H5318" s="6" t="s">
        <v>36274</v>
      </c>
      <c r="I5318" s="6">
        <v>526.6875</v>
      </c>
      <c r="J5318" s="2">
        <f t="shared" si="83"/>
        <v>43748.850418263886</v>
      </c>
    </row>
    <row r="5319" spans="1:10" x14ac:dyDescent="0.25">
      <c r="A5319" s="7" t="s">
        <v>36275</v>
      </c>
      <c r="B5319" s="8">
        <v>393.75</v>
      </c>
      <c r="C5319" s="8">
        <v>20.478950000000001</v>
      </c>
      <c r="D5319" s="8">
        <v>72</v>
      </c>
      <c r="E5319" s="8">
        <v>0</v>
      </c>
      <c r="F5319" s="8">
        <v>0</v>
      </c>
      <c r="G5319" s="8">
        <v>7</v>
      </c>
      <c r="H5319" s="8" t="s">
        <v>36276</v>
      </c>
      <c r="I5319" s="8">
        <v>526.6875</v>
      </c>
      <c r="J5319" s="3">
        <f t="shared" si="83"/>
        <v>43748.850500266206</v>
      </c>
    </row>
    <row r="5320" spans="1:10" x14ac:dyDescent="0.25">
      <c r="A5320" s="5" t="s">
        <v>36277</v>
      </c>
      <c r="B5320" s="6">
        <v>393.75</v>
      </c>
      <c r="C5320" s="6">
        <v>20.478950000000001</v>
      </c>
      <c r="D5320" s="6">
        <v>72</v>
      </c>
      <c r="E5320" s="6">
        <v>0</v>
      </c>
      <c r="F5320" s="6">
        <v>0</v>
      </c>
      <c r="G5320" s="6">
        <v>9</v>
      </c>
      <c r="H5320" s="6" t="s">
        <v>36278</v>
      </c>
      <c r="I5320" s="6">
        <v>526.6875</v>
      </c>
      <c r="J5320" s="2">
        <f t="shared" si="83"/>
        <v>43748.850583125</v>
      </c>
    </row>
    <row r="5321" spans="1:10" x14ac:dyDescent="0.25">
      <c r="A5321" s="7" t="s">
        <v>36279</v>
      </c>
      <c r="B5321" s="8">
        <v>412.5</v>
      </c>
      <c r="C5321" s="8">
        <v>20.478950000000001</v>
      </c>
      <c r="D5321" s="8">
        <v>70</v>
      </c>
      <c r="E5321" s="8">
        <v>0</v>
      </c>
      <c r="F5321" s="8">
        <v>0</v>
      </c>
      <c r="G5321" s="8">
        <v>13</v>
      </c>
      <c r="H5321" s="8" t="s">
        <v>36280</v>
      </c>
      <c r="I5321" s="8">
        <v>532.3125</v>
      </c>
      <c r="J5321" s="3">
        <f t="shared" si="83"/>
        <v>43748.850655335649</v>
      </c>
    </row>
    <row r="5322" spans="1:10" x14ac:dyDescent="0.25">
      <c r="A5322" s="5" t="s">
        <v>36281</v>
      </c>
      <c r="B5322" s="6">
        <v>393.75</v>
      </c>
      <c r="C5322" s="6">
        <v>20.478950000000001</v>
      </c>
      <c r="D5322" s="6">
        <v>71</v>
      </c>
      <c r="E5322" s="6">
        <v>0</v>
      </c>
      <c r="F5322" s="6">
        <v>0</v>
      </c>
      <c r="G5322" s="6">
        <v>17</v>
      </c>
      <c r="H5322" s="6" t="s">
        <v>36282</v>
      </c>
      <c r="I5322" s="6">
        <v>526.6875</v>
      </c>
      <c r="J5322" s="2">
        <f t="shared" si="83"/>
        <v>43748.850726643512</v>
      </c>
    </row>
    <row r="5323" spans="1:10" x14ac:dyDescent="0.25">
      <c r="A5323" s="7" t="s">
        <v>36283</v>
      </c>
      <c r="B5323" s="8">
        <v>393.75</v>
      </c>
      <c r="C5323" s="8">
        <v>20.478950000000001</v>
      </c>
      <c r="D5323" s="8">
        <v>71</v>
      </c>
      <c r="E5323" s="8">
        <v>0</v>
      </c>
      <c r="F5323" s="8">
        <v>0</v>
      </c>
      <c r="G5323" s="8">
        <v>4</v>
      </c>
      <c r="H5323" s="8" t="s">
        <v>36284</v>
      </c>
      <c r="I5323" s="8">
        <v>526.6875</v>
      </c>
      <c r="J5323" s="3">
        <f t="shared" si="83"/>
        <v>43748.850798402775</v>
      </c>
    </row>
    <row r="5324" spans="1:10" x14ac:dyDescent="0.25">
      <c r="A5324" s="5" t="s">
        <v>36285</v>
      </c>
      <c r="B5324" s="6">
        <v>418.75</v>
      </c>
      <c r="C5324" s="6">
        <v>20.478950000000001</v>
      </c>
      <c r="D5324" s="6">
        <v>72</v>
      </c>
      <c r="E5324" s="6">
        <v>0</v>
      </c>
      <c r="F5324" s="6">
        <v>0</v>
      </c>
      <c r="G5324" s="6">
        <v>0</v>
      </c>
      <c r="H5324" s="6" t="s">
        <v>36286</v>
      </c>
      <c r="I5324" s="6">
        <v>534.75</v>
      </c>
      <c r="J5324" s="2">
        <f t="shared" si="83"/>
        <v>43748.850894027775</v>
      </c>
    </row>
    <row r="5325" spans="1:10" x14ac:dyDescent="0.25">
      <c r="A5325" s="7" t="s">
        <v>36287</v>
      </c>
      <c r="B5325" s="8">
        <v>393.75</v>
      </c>
      <c r="C5325" s="8">
        <v>20.478950000000001</v>
      </c>
      <c r="D5325" s="8">
        <v>73</v>
      </c>
      <c r="E5325" s="8">
        <v>0</v>
      </c>
      <c r="F5325" s="8">
        <v>0</v>
      </c>
      <c r="G5325" s="8">
        <v>3</v>
      </c>
      <c r="H5325" s="8" t="s">
        <v>36288</v>
      </c>
      <c r="I5325" s="8">
        <v>526.6875</v>
      </c>
      <c r="J5325" s="3">
        <f t="shared" si="83"/>
        <v>43748.850989374994</v>
      </c>
    </row>
    <row r="5326" spans="1:10" x14ac:dyDescent="0.25">
      <c r="A5326" s="5" t="s">
        <v>36289</v>
      </c>
      <c r="B5326" s="6">
        <v>412.5</v>
      </c>
      <c r="C5326" s="6">
        <v>20.478950000000001</v>
      </c>
      <c r="D5326" s="6">
        <v>74</v>
      </c>
      <c r="E5326" s="6">
        <v>0</v>
      </c>
      <c r="F5326" s="6">
        <v>0</v>
      </c>
      <c r="G5326" s="6">
        <v>2</v>
      </c>
      <c r="H5326" s="6" t="s">
        <v>36290</v>
      </c>
      <c r="I5326" s="6">
        <v>532.3125</v>
      </c>
      <c r="J5326" s="2">
        <f t="shared" si="83"/>
        <v>43748.851072835641</v>
      </c>
    </row>
    <row r="5327" spans="1:10" x14ac:dyDescent="0.25">
      <c r="A5327" s="7" t="s">
        <v>36291</v>
      </c>
      <c r="B5327" s="8">
        <v>393.75</v>
      </c>
      <c r="C5327" s="8">
        <v>20.478950000000001</v>
      </c>
      <c r="D5327" s="8">
        <v>74</v>
      </c>
      <c r="E5327" s="8">
        <v>0</v>
      </c>
      <c r="F5327" s="8">
        <v>0</v>
      </c>
      <c r="G5327" s="8">
        <v>3</v>
      </c>
      <c r="H5327" s="8" t="s">
        <v>36292</v>
      </c>
      <c r="I5327" s="8">
        <v>526.6875</v>
      </c>
      <c r="J5327" s="3">
        <f t="shared" si="83"/>
        <v>43748.85115628472</v>
      </c>
    </row>
    <row r="5328" spans="1:10" x14ac:dyDescent="0.25">
      <c r="A5328" s="5" t="s">
        <v>36293</v>
      </c>
      <c r="B5328" s="6">
        <v>393.75</v>
      </c>
      <c r="C5328" s="6">
        <v>20.478950000000001</v>
      </c>
      <c r="D5328" s="6">
        <v>73</v>
      </c>
      <c r="E5328" s="6">
        <v>0</v>
      </c>
      <c r="F5328" s="6">
        <v>0</v>
      </c>
      <c r="G5328" s="6">
        <v>8</v>
      </c>
      <c r="H5328" s="6" t="s">
        <v>36294</v>
      </c>
      <c r="I5328" s="6">
        <v>526.6875</v>
      </c>
      <c r="J5328" s="2">
        <f t="shared" si="83"/>
        <v>43748.851239722215</v>
      </c>
    </row>
    <row r="5329" spans="1:10" x14ac:dyDescent="0.25">
      <c r="A5329" s="7" t="s">
        <v>36295</v>
      </c>
      <c r="B5329" s="8">
        <v>396.875</v>
      </c>
      <c r="C5329" s="8">
        <v>20.478950000000001</v>
      </c>
      <c r="D5329" s="8">
        <v>72</v>
      </c>
      <c r="E5329" s="8">
        <v>0</v>
      </c>
      <c r="F5329" s="8">
        <v>0</v>
      </c>
      <c r="G5329" s="8">
        <v>1</v>
      </c>
      <c r="H5329" s="8" t="s">
        <v>36296</v>
      </c>
      <c r="I5329" s="8">
        <v>527.4375</v>
      </c>
      <c r="J5329" s="3">
        <f t="shared" si="83"/>
        <v>43748.851322951385</v>
      </c>
    </row>
    <row r="5330" spans="1:10" x14ac:dyDescent="0.25">
      <c r="A5330" s="5" t="s">
        <v>36297</v>
      </c>
      <c r="B5330" s="6">
        <v>393.75</v>
      </c>
      <c r="C5330" s="6">
        <v>20.478950000000001</v>
      </c>
      <c r="D5330" s="6">
        <v>72</v>
      </c>
      <c r="E5330" s="6">
        <v>0</v>
      </c>
      <c r="F5330" s="6">
        <v>0</v>
      </c>
      <c r="G5330" s="6">
        <v>1</v>
      </c>
      <c r="H5330" s="6" t="s">
        <v>36298</v>
      </c>
      <c r="I5330" s="6">
        <v>526.6875</v>
      </c>
      <c r="J5330" s="2">
        <f t="shared" si="83"/>
        <v>43748.851394583333</v>
      </c>
    </row>
    <row r="5331" spans="1:10" x14ac:dyDescent="0.25">
      <c r="A5331" s="7" t="s">
        <v>36299</v>
      </c>
      <c r="B5331" s="8">
        <v>393.75</v>
      </c>
      <c r="C5331" s="8">
        <v>20.478950000000001</v>
      </c>
      <c r="D5331" s="8">
        <v>73</v>
      </c>
      <c r="E5331" s="8">
        <v>0</v>
      </c>
      <c r="F5331" s="8">
        <v>0</v>
      </c>
      <c r="G5331" s="8">
        <v>9</v>
      </c>
      <c r="H5331" s="8" t="s">
        <v>36300</v>
      </c>
      <c r="I5331" s="8">
        <v>526.6875</v>
      </c>
      <c r="J5331" s="3">
        <f t="shared" si="83"/>
        <v>43748.85147858796</v>
      </c>
    </row>
    <row r="5332" spans="1:10" x14ac:dyDescent="0.25">
      <c r="A5332" s="5" t="s">
        <v>36301</v>
      </c>
      <c r="B5332" s="6">
        <v>393.75</v>
      </c>
      <c r="C5332" s="6">
        <v>20.478950000000001</v>
      </c>
      <c r="D5332" s="6">
        <v>73</v>
      </c>
      <c r="E5332" s="6">
        <v>0</v>
      </c>
      <c r="F5332" s="6">
        <v>0</v>
      </c>
      <c r="G5332" s="6">
        <v>3</v>
      </c>
      <c r="H5332" s="6" t="s">
        <v>36302</v>
      </c>
      <c r="I5332" s="6">
        <v>526.6875</v>
      </c>
      <c r="J5332" s="2">
        <f t="shared" si="83"/>
        <v>43748.851561724536</v>
      </c>
    </row>
    <row r="5333" spans="1:10" x14ac:dyDescent="0.25">
      <c r="A5333" s="7" t="s">
        <v>36303</v>
      </c>
      <c r="B5333" s="8">
        <v>393.75</v>
      </c>
      <c r="C5333" s="8">
        <v>20.478950000000001</v>
      </c>
      <c r="D5333" s="8">
        <v>72</v>
      </c>
      <c r="E5333" s="8">
        <v>0</v>
      </c>
      <c r="F5333" s="8">
        <v>0</v>
      </c>
      <c r="G5333" s="8">
        <v>5</v>
      </c>
      <c r="H5333" s="8" t="s">
        <v>36304</v>
      </c>
      <c r="I5333" s="8">
        <v>526.6875</v>
      </c>
      <c r="J5333" s="3">
        <f t="shared" si="83"/>
        <v>43748.851645162031</v>
      </c>
    </row>
    <row r="5334" spans="1:10" x14ac:dyDescent="0.25">
      <c r="A5334" s="5" t="s">
        <v>36305</v>
      </c>
      <c r="B5334" s="6">
        <v>393.75</v>
      </c>
      <c r="C5334" s="6">
        <v>20.478950000000001</v>
      </c>
      <c r="D5334" s="6">
        <v>72</v>
      </c>
      <c r="E5334" s="6">
        <v>0</v>
      </c>
      <c r="F5334" s="6">
        <v>0</v>
      </c>
      <c r="G5334" s="6">
        <v>9</v>
      </c>
      <c r="H5334" s="6" t="s">
        <v>36306</v>
      </c>
      <c r="I5334" s="6">
        <v>526.5</v>
      </c>
      <c r="J5334" s="2">
        <f t="shared" si="83"/>
        <v>43748.851728379632</v>
      </c>
    </row>
    <row r="5335" spans="1:10" x14ac:dyDescent="0.25">
      <c r="A5335" s="7" t="s">
        <v>36307</v>
      </c>
      <c r="B5335" s="8">
        <v>393.75</v>
      </c>
      <c r="C5335" s="8">
        <v>20.478950000000001</v>
      </c>
      <c r="D5335" s="8">
        <v>72</v>
      </c>
      <c r="E5335" s="8">
        <v>0</v>
      </c>
      <c r="F5335" s="8">
        <v>0</v>
      </c>
      <c r="G5335" s="8">
        <v>5</v>
      </c>
      <c r="H5335" s="8" t="s">
        <v>36308</v>
      </c>
      <c r="I5335" s="8">
        <v>526.5</v>
      </c>
      <c r="J5335" s="3">
        <f t="shared" si="83"/>
        <v>43748.851811921289</v>
      </c>
    </row>
    <row r="5336" spans="1:10" x14ac:dyDescent="0.25">
      <c r="A5336" s="5" t="s">
        <v>36309</v>
      </c>
      <c r="B5336" s="6">
        <v>393.75</v>
      </c>
      <c r="C5336" s="6">
        <v>20.478950000000001</v>
      </c>
      <c r="D5336" s="6">
        <v>72</v>
      </c>
      <c r="E5336" s="6">
        <v>0</v>
      </c>
      <c r="F5336" s="6">
        <v>0</v>
      </c>
      <c r="G5336" s="6">
        <v>14</v>
      </c>
      <c r="H5336" s="6" t="s">
        <v>36310</v>
      </c>
      <c r="I5336" s="6">
        <v>526.6875</v>
      </c>
      <c r="J5336" s="2">
        <f t="shared" si="83"/>
        <v>43748.85188347222</v>
      </c>
    </row>
    <row r="5337" spans="1:10" x14ac:dyDescent="0.25">
      <c r="A5337" s="7" t="s">
        <v>36311</v>
      </c>
      <c r="B5337" s="8">
        <v>393.75</v>
      </c>
      <c r="C5337" s="8">
        <v>20.478950000000001</v>
      </c>
      <c r="D5337" s="8">
        <v>74</v>
      </c>
      <c r="E5337" s="8">
        <v>0</v>
      </c>
      <c r="F5337" s="8">
        <v>0</v>
      </c>
      <c r="G5337" s="8">
        <v>4</v>
      </c>
      <c r="H5337" s="8" t="s">
        <v>36312</v>
      </c>
      <c r="I5337" s="8">
        <v>526.6875</v>
      </c>
      <c r="J5337" s="3">
        <f t="shared" si="83"/>
        <v>43748.851978969906</v>
      </c>
    </row>
    <row r="5338" spans="1:10" x14ac:dyDescent="0.25">
      <c r="A5338" s="5" t="s">
        <v>36313</v>
      </c>
      <c r="B5338" s="6">
        <v>393.75</v>
      </c>
      <c r="C5338" s="6">
        <v>20.478950000000001</v>
      </c>
      <c r="D5338" s="6">
        <v>74</v>
      </c>
      <c r="E5338" s="6">
        <v>0</v>
      </c>
      <c r="F5338" s="6">
        <v>0</v>
      </c>
      <c r="G5338" s="6">
        <v>8</v>
      </c>
      <c r="H5338" s="6" t="s">
        <v>36314</v>
      </c>
      <c r="I5338" s="6">
        <v>526.6875</v>
      </c>
      <c r="J5338" s="2">
        <f t="shared" si="83"/>
        <v>43748.852074803239</v>
      </c>
    </row>
    <row r="5339" spans="1:10" x14ac:dyDescent="0.25">
      <c r="A5339" s="7" t="s">
        <v>36315</v>
      </c>
      <c r="B5339" s="8">
        <v>393.75</v>
      </c>
      <c r="C5339" s="8">
        <v>20.478950000000001</v>
      </c>
      <c r="D5339" s="8">
        <v>73</v>
      </c>
      <c r="E5339" s="8">
        <v>0</v>
      </c>
      <c r="F5339" s="8">
        <v>0</v>
      </c>
      <c r="G5339" s="8">
        <v>6</v>
      </c>
      <c r="H5339" s="8" t="s">
        <v>36316</v>
      </c>
      <c r="I5339" s="8">
        <v>526.6875</v>
      </c>
      <c r="J5339" s="3">
        <f t="shared" si="83"/>
        <v>43748.852158148147</v>
      </c>
    </row>
    <row r="5340" spans="1:10" x14ac:dyDescent="0.25">
      <c r="A5340" s="5" t="s">
        <v>36317</v>
      </c>
      <c r="B5340" s="6">
        <v>393.75</v>
      </c>
      <c r="C5340" s="6">
        <v>20.478950000000001</v>
      </c>
      <c r="D5340" s="6">
        <v>73</v>
      </c>
      <c r="E5340" s="6">
        <v>0</v>
      </c>
      <c r="F5340" s="6">
        <v>0</v>
      </c>
      <c r="G5340" s="6">
        <v>12</v>
      </c>
      <c r="H5340" s="6" t="s">
        <v>36318</v>
      </c>
      <c r="I5340" s="6">
        <v>526.6875</v>
      </c>
      <c r="J5340" s="2">
        <f t="shared" si="83"/>
        <v>43748.852241863424</v>
      </c>
    </row>
    <row r="5341" spans="1:10" x14ac:dyDescent="0.25">
      <c r="A5341" s="7" t="s">
        <v>36319</v>
      </c>
      <c r="B5341" s="8">
        <v>393.75</v>
      </c>
      <c r="C5341" s="8">
        <v>20.478950000000001</v>
      </c>
      <c r="D5341" s="8">
        <v>74</v>
      </c>
      <c r="E5341" s="8">
        <v>0</v>
      </c>
      <c r="F5341" s="8">
        <v>0</v>
      </c>
      <c r="G5341" s="8">
        <v>5</v>
      </c>
      <c r="H5341" s="8" t="s">
        <v>36320</v>
      </c>
      <c r="I5341" s="8">
        <v>526.5</v>
      </c>
      <c r="J5341" s="3">
        <f t="shared" si="83"/>
        <v>43748.852325023145</v>
      </c>
    </row>
    <row r="5342" spans="1:10" x14ac:dyDescent="0.25">
      <c r="A5342" s="5" t="s">
        <v>36321</v>
      </c>
      <c r="B5342" s="6">
        <v>412.5</v>
      </c>
      <c r="C5342" s="6">
        <v>20.478950000000001</v>
      </c>
      <c r="D5342" s="6">
        <v>74</v>
      </c>
      <c r="E5342" s="6">
        <v>0</v>
      </c>
      <c r="F5342" s="6">
        <v>0</v>
      </c>
      <c r="G5342" s="6">
        <v>6</v>
      </c>
      <c r="H5342" s="6" t="s">
        <v>36322</v>
      </c>
      <c r="I5342" s="6">
        <v>532.3125</v>
      </c>
      <c r="J5342" s="2">
        <f t="shared" si="83"/>
        <v>43748.852408125</v>
      </c>
    </row>
    <row r="5343" spans="1:10" x14ac:dyDescent="0.25">
      <c r="A5343" s="7" t="s">
        <v>36323</v>
      </c>
      <c r="B5343" s="8">
        <v>393.75</v>
      </c>
      <c r="C5343" s="8">
        <v>20.478950000000001</v>
      </c>
      <c r="D5343" s="8">
        <v>74</v>
      </c>
      <c r="E5343" s="8">
        <v>0</v>
      </c>
      <c r="F5343" s="8">
        <v>0</v>
      </c>
      <c r="G5343" s="8">
        <v>0</v>
      </c>
      <c r="H5343" s="8" t="s">
        <v>36324</v>
      </c>
      <c r="I5343" s="8">
        <v>526.6875</v>
      </c>
      <c r="J5343" s="3">
        <f t="shared" si="83"/>
        <v>43748.852479768517</v>
      </c>
    </row>
    <row r="5344" spans="1:10" x14ac:dyDescent="0.25">
      <c r="A5344" s="5" t="s">
        <v>36325</v>
      </c>
      <c r="B5344" s="6">
        <v>412.5</v>
      </c>
      <c r="C5344" s="6">
        <v>20.478950000000001</v>
      </c>
      <c r="D5344" s="6">
        <v>73</v>
      </c>
      <c r="E5344" s="6">
        <v>0</v>
      </c>
      <c r="F5344" s="6">
        <v>0</v>
      </c>
      <c r="G5344" s="6">
        <v>0</v>
      </c>
      <c r="H5344" s="6" t="s">
        <v>36326</v>
      </c>
      <c r="I5344" s="6">
        <v>532.5</v>
      </c>
      <c r="J5344" s="2">
        <f t="shared" si="83"/>
        <v>43748.852575613426</v>
      </c>
    </row>
    <row r="5345" spans="1:10" x14ac:dyDescent="0.25">
      <c r="A5345" s="7" t="s">
        <v>36327</v>
      </c>
      <c r="B5345" s="8">
        <v>393.75</v>
      </c>
      <c r="C5345" s="8">
        <v>20.478950000000001</v>
      </c>
      <c r="D5345" s="8">
        <v>73</v>
      </c>
      <c r="E5345" s="8">
        <v>0</v>
      </c>
      <c r="F5345" s="8">
        <v>0</v>
      </c>
      <c r="G5345" s="8">
        <v>4</v>
      </c>
      <c r="H5345" s="8" t="s">
        <v>36328</v>
      </c>
      <c r="I5345" s="8">
        <v>526.6875</v>
      </c>
      <c r="J5345" s="3">
        <f t="shared" si="83"/>
        <v>43748.852647025466</v>
      </c>
    </row>
    <row r="5346" spans="1:10" x14ac:dyDescent="0.25">
      <c r="A5346" s="5" t="s">
        <v>36329</v>
      </c>
      <c r="B5346" s="6">
        <v>393.75</v>
      </c>
      <c r="C5346" s="6">
        <v>20.478950000000001</v>
      </c>
      <c r="D5346" s="6">
        <v>73</v>
      </c>
      <c r="E5346" s="6">
        <v>0</v>
      </c>
      <c r="F5346" s="6">
        <v>0</v>
      </c>
      <c r="G5346" s="6">
        <v>9</v>
      </c>
      <c r="H5346" s="6" t="s">
        <v>36330</v>
      </c>
      <c r="I5346" s="6">
        <v>526.6875</v>
      </c>
      <c r="J5346" s="2">
        <f t="shared" si="83"/>
        <v>43748.852730451392</v>
      </c>
    </row>
    <row r="5347" spans="1:10" x14ac:dyDescent="0.25">
      <c r="A5347" s="7" t="s">
        <v>36331</v>
      </c>
      <c r="B5347" s="8">
        <v>393.75</v>
      </c>
      <c r="C5347" s="8">
        <v>20.478950000000001</v>
      </c>
      <c r="D5347" s="8">
        <v>73</v>
      </c>
      <c r="E5347" s="8">
        <v>0</v>
      </c>
      <c r="F5347" s="8">
        <v>0</v>
      </c>
      <c r="G5347" s="8">
        <v>10</v>
      </c>
      <c r="H5347" s="8" t="s">
        <v>36332</v>
      </c>
      <c r="I5347" s="8">
        <v>526.6875</v>
      </c>
      <c r="J5347" s="3">
        <f t="shared" si="83"/>
        <v>43748.852802106478</v>
      </c>
    </row>
    <row r="5348" spans="1:10" x14ac:dyDescent="0.25">
      <c r="A5348" s="5" t="s">
        <v>36333</v>
      </c>
      <c r="B5348" s="6">
        <v>393.75</v>
      </c>
      <c r="C5348" s="6">
        <v>20.478950000000001</v>
      </c>
      <c r="D5348" s="6">
        <v>74</v>
      </c>
      <c r="E5348" s="6">
        <v>0</v>
      </c>
      <c r="F5348" s="6">
        <v>0</v>
      </c>
      <c r="G5348" s="6">
        <v>5</v>
      </c>
      <c r="H5348" s="6" t="s">
        <v>36334</v>
      </c>
      <c r="I5348" s="6">
        <v>526.6875</v>
      </c>
      <c r="J5348" s="2">
        <f t="shared" si="83"/>
        <v>43748.852885567125</v>
      </c>
    </row>
    <row r="5349" spans="1:10" x14ac:dyDescent="0.25">
      <c r="A5349" s="7" t="s">
        <v>36335</v>
      </c>
      <c r="B5349" s="8">
        <v>393.75</v>
      </c>
      <c r="C5349" s="8">
        <v>20.478950000000001</v>
      </c>
      <c r="D5349" s="8">
        <v>73</v>
      </c>
      <c r="E5349" s="8">
        <v>0</v>
      </c>
      <c r="F5349" s="8">
        <v>0</v>
      </c>
      <c r="G5349" s="8">
        <v>11</v>
      </c>
      <c r="H5349" s="8" t="s">
        <v>36336</v>
      </c>
      <c r="I5349" s="8">
        <v>526.6875</v>
      </c>
      <c r="J5349" s="3">
        <f t="shared" si="83"/>
        <v>43748.852969016203</v>
      </c>
    </row>
    <row r="5350" spans="1:10" x14ac:dyDescent="0.25">
      <c r="A5350" s="5" t="s">
        <v>36337</v>
      </c>
      <c r="B5350" s="6">
        <v>393.75</v>
      </c>
      <c r="C5350" s="6">
        <v>20.478950000000001</v>
      </c>
      <c r="D5350" s="6">
        <v>73</v>
      </c>
      <c r="E5350" s="6">
        <v>0</v>
      </c>
      <c r="F5350" s="6">
        <v>0</v>
      </c>
      <c r="G5350" s="6">
        <v>5</v>
      </c>
      <c r="H5350" s="6" t="s">
        <v>36338</v>
      </c>
      <c r="I5350" s="6">
        <v>526.6875</v>
      </c>
      <c r="J5350" s="2">
        <f t="shared" si="83"/>
        <v>43748.853052569444</v>
      </c>
    </row>
    <row r="5351" spans="1:10" x14ac:dyDescent="0.25">
      <c r="A5351" s="7" t="s">
        <v>36339</v>
      </c>
      <c r="B5351" s="8">
        <v>393.75</v>
      </c>
      <c r="C5351" s="8">
        <v>20.478950000000001</v>
      </c>
      <c r="D5351" s="8">
        <v>72</v>
      </c>
      <c r="E5351" s="8">
        <v>0</v>
      </c>
      <c r="F5351" s="8">
        <v>0</v>
      </c>
      <c r="G5351" s="8">
        <v>2</v>
      </c>
      <c r="H5351" s="8" t="s">
        <v>36340</v>
      </c>
      <c r="I5351" s="8">
        <v>526.6875</v>
      </c>
      <c r="J5351" s="3">
        <f t="shared" si="83"/>
        <v>43748.853148877308</v>
      </c>
    </row>
    <row r="5352" spans="1:10" x14ac:dyDescent="0.25">
      <c r="A5352" s="5" t="s">
        <v>36341</v>
      </c>
      <c r="B5352" s="6">
        <v>393.75</v>
      </c>
      <c r="C5352" s="6">
        <v>20.478950000000001</v>
      </c>
      <c r="D5352" s="6">
        <v>72</v>
      </c>
      <c r="E5352" s="6">
        <v>0</v>
      </c>
      <c r="F5352" s="6">
        <v>0</v>
      </c>
      <c r="G5352" s="6">
        <v>8</v>
      </c>
      <c r="H5352" s="6" t="s">
        <v>36342</v>
      </c>
      <c r="I5352" s="6">
        <v>526.6875</v>
      </c>
      <c r="J5352" s="2">
        <f t="shared" si="83"/>
        <v>43748.85324329861</v>
      </c>
    </row>
    <row r="5353" spans="1:10" x14ac:dyDescent="0.25">
      <c r="A5353" s="7" t="s">
        <v>36343</v>
      </c>
      <c r="B5353" s="8">
        <v>412.5</v>
      </c>
      <c r="C5353" s="8">
        <v>20.478950000000001</v>
      </c>
      <c r="D5353" s="8">
        <v>74</v>
      </c>
      <c r="E5353" s="8">
        <v>0</v>
      </c>
      <c r="F5353" s="8">
        <v>0</v>
      </c>
      <c r="G5353" s="8">
        <v>13</v>
      </c>
      <c r="H5353" s="8" t="s">
        <v>36344</v>
      </c>
      <c r="I5353" s="8">
        <v>532.875</v>
      </c>
      <c r="J5353" s="3">
        <f t="shared" si="83"/>
        <v>43748.853338692126</v>
      </c>
    </row>
    <row r="5354" spans="1:10" x14ac:dyDescent="0.25">
      <c r="A5354" s="5" t="s">
        <v>36345</v>
      </c>
      <c r="B5354" s="6">
        <v>393.75</v>
      </c>
      <c r="C5354" s="6">
        <v>20.478950000000001</v>
      </c>
      <c r="D5354" s="6">
        <v>74</v>
      </c>
      <c r="E5354" s="6">
        <v>0</v>
      </c>
      <c r="F5354" s="6">
        <v>0</v>
      </c>
      <c r="G5354" s="6">
        <v>13</v>
      </c>
      <c r="H5354" s="6" t="s">
        <v>36346</v>
      </c>
      <c r="I5354" s="6">
        <v>526.6875</v>
      </c>
      <c r="J5354" s="2">
        <f t="shared" si="83"/>
        <v>43748.853410590273</v>
      </c>
    </row>
    <row r="5355" spans="1:10" x14ac:dyDescent="0.25">
      <c r="A5355" s="7" t="s">
        <v>36347</v>
      </c>
      <c r="B5355" s="8">
        <v>393.75</v>
      </c>
      <c r="C5355" s="8">
        <v>20.478950000000001</v>
      </c>
      <c r="D5355" s="8">
        <v>72</v>
      </c>
      <c r="E5355" s="8">
        <v>0</v>
      </c>
      <c r="F5355" s="8">
        <v>0</v>
      </c>
      <c r="G5355" s="8">
        <v>3</v>
      </c>
      <c r="H5355" s="8" t="s">
        <v>36348</v>
      </c>
      <c r="I5355" s="8">
        <v>526.6875</v>
      </c>
      <c r="J5355" s="3">
        <f t="shared" si="83"/>
        <v>43748.853493425922</v>
      </c>
    </row>
    <row r="5356" spans="1:10" x14ac:dyDescent="0.25">
      <c r="A5356" s="5" t="s">
        <v>36349</v>
      </c>
      <c r="B5356" s="6">
        <v>393.75</v>
      </c>
      <c r="C5356" s="6">
        <v>20.478950000000001</v>
      </c>
      <c r="D5356" s="6">
        <v>74</v>
      </c>
      <c r="E5356" s="6">
        <v>0</v>
      </c>
      <c r="F5356" s="6">
        <v>0</v>
      </c>
      <c r="G5356" s="6">
        <v>12</v>
      </c>
      <c r="H5356" s="6" t="s">
        <v>36350</v>
      </c>
      <c r="I5356" s="6">
        <v>526.5</v>
      </c>
      <c r="J5356" s="2">
        <f t="shared" si="83"/>
        <v>43748.853577210648</v>
      </c>
    </row>
    <row r="5357" spans="1:10" x14ac:dyDescent="0.25">
      <c r="A5357" s="7" t="s">
        <v>36351</v>
      </c>
      <c r="B5357" s="8">
        <v>393.75</v>
      </c>
      <c r="C5357" s="8">
        <v>20.478950000000001</v>
      </c>
      <c r="D5357" s="8">
        <v>74</v>
      </c>
      <c r="E5357" s="8">
        <v>0</v>
      </c>
      <c r="F5357" s="8">
        <v>0</v>
      </c>
      <c r="G5357" s="8">
        <v>7</v>
      </c>
      <c r="H5357" s="8" t="s">
        <v>36352</v>
      </c>
      <c r="I5357" s="8">
        <v>526.6875</v>
      </c>
      <c r="J5357" s="3">
        <f t="shared" si="83"/>
        <v>43748.853660428234</v>
      </c>
    </row>
    <row r="5358" spans="1:10" x14ac:dyDescent="0.25">
      <c r="A5358" s="5" t="s">
        <v>36353</v>
      </c>
      <c r="B5358" s="6">
        <v>393.75</v>
      </c>
      <c r="C5358" s="6">
        <v>20.478950000000001</v>
      </c>
      <c r="D5358" s="6">
        <v>73</v>
      </c>
      <c r="E5358" s="6">
        <v>0</v>
      </c>
      <c r="F5358" s="6">
        <v>0</v>
      </c>
      <c r="G5358" s="6">
        <v>5</v>
      </c>
      <c r="H5358" s="6" t="s">
        <v>36354</v>
      </c>
      <c r="I5358" s="6">
        <v>526.6875</v>
      </c>
      <c r="J5358" s="2">
        <f t="shared" si="83"/>
        <v>43748.853732303243</v>
      </c>
    </row>
    <row r="5359" spans="1:10" x14ac:dyDescent="0.25">
      <c r="A5359" s="7" t="s">
        <v>36355</v>
      </c>
      <c r="B5359" s="8">
        <v>393.75</v>
      </c>
      <c r="C5359" s="8">
        <v>20.478950000000001</v>
      </c>
      <c r="D5359" s="8">
        <v>71</v>
      </c>
      <c r="E5359" s="8">
        <v>0</v>
      </c>
      <c r="F5359" s="8">
        <v>0</v>
      </c>
      <c r="G5359" s="8">
        <v>7</v>
      </c>
      <c r="H5359" s="8" t="s">
        <v>36356</v>
      </c>
      <c r="I5359" s="8">
        <v>526.6875</v>
      </c>
      <c r="J5359" s="3">
        <f t="shared" si="83"/>
        <v>43748.853825659717</v>
      </c>
    </row>
    <row r="5360" spans="1:10" x14ac:dyDescent="0.25">
      <c r="A5360" s="5" t="s">
        <v>36357</v>
      </c>
      <c r="B5360" s="6">
        <v>393.75</v>
      </c>
      <c r="C5360" s="6">
        <v>20.478950000000001</v>
      </c>
      <c r="D5360" s="6">
        <v>71</v>
      </c>
      <c r="E5360" s="6">
        <v>0</v>
      </c>
      <c r="F5360" s="6">
        <v>0</v>
      </c>
      <c r="G5360" s="6">
        <v>7</v>
      </c>
      <c r="H5360" s="6" t="s">
        <v>36358</v>
      </c>
      <c r="I5360" s="6">
        <v>526.5</v>
      </c>
      <c r="J5360" s="2">
        <f t="shared" si="83"/>
        <v>43748.853899201386</v>
      </c>
    </row>
    <row r="5361" spans="1:10" x14ac:dyDescent="0.25">
      <c r="A5361" s="7" t="s">
        <v>36359</v>
      </c>
      <c r="B5361" s="8">
        <v>393.75</v>
      </c>
      <c r="C5361" s="8">
        <v>20.478950000000001</v>
      </c>
      <c r="D5361" s="8">
        <v>70</v>
      </c>
      <c r="E5361" s="8">
        <v>0</v>
      </c>
      <c r="F5361" s="8">
        <v>0</v>
      </c>
      <c r="G5361" s="8">
        <v>4</v>
      </c>
      <c r="H5361" s="8" t="s">
        <v>36360</v>
      </c>
      <c r="I5361" s="8">
        <v>526.6875</v>
      </c>
      <c r="J5361" s="3">
        <f t="shared" si="83"/>
        <v>43748.853982407403</v>
      </c>
    </row>
    <row r="5362" spans="1:10" x14ac:dyDescent="0.25">
      <c r="A5362" s="5" t="s">
        <v>36361</v>
      </c>
      <c r="B5362" s="6">
        <v>393.75</v>
      </c>
      <c r="C5362" s="6">
        <v>20.478950000000001</v>
      </c>
      <c r="D5362" s="6">
        <v>72</v>
      </c>
      <c r="E5362" s="6">
        <v>0</v>
      </c>
      <c r="F5362" s="6">
        <v>0</v>
      </c>
      <c r="G5362" s="6">
        <v>9</v>
      </c>
      <c r="H5362" s="6" t="s">
        <v>36362</v>
      </c>
      <c r="I5362" s="6">
        <v>526.6875</v>
      </c>
      <c r="J5362" s="2">
        <f t="shared" si="83"/>
        <v>43748.854066099535</v>
      </c>
    </row>
    <row r="5363" spans="1:10" x14ac:dyDescent="0.25">
      <c r="A5363" s="7" t="s">
        <v>36363</v>
      </c>
      <c r="B5363" s="8">
        <v>393.75</v>
      </c>
      <c r="C5363" s="8">
        <v>20.478950000000001</v>
      </c>
      <c r="D5363" s="8">
        <v>73</v>
      </c>
      <c r="E5363" s="8">
        <v>0</v>
      </c>
      <c r="F5363" s="8">
        <v>0</v>
      </c>
      <c r="G5363" s="8">
        <v>11</v>
      </c>
      <c r="H5363" s="8" t="s">
        <v>36364</v>
      </c>
      <c r="I5363" s="8">
        <v>526.6875</v>
      </c>
      <c r="J5363" s="3">
        <f t="shared" si="83"/>
        <v>43748.854163263888</v>
      </c>
    </row>
    <row r="5364" spans="1:10" x14ac:dyDescent="0.25">
      <c r="A5364" s="5" t="s">
        <v>36365</v>
      </c>
      <c r="B5364" s="6">
        <v>393.75</v>
      </c>
      <c r="C5364" s="6">
        <v>20.478950000000001</v>
      </c>
      <c r="D5364" s="6">
        <v>73</v>
      </c>
      <c r="E5364" s="6">
        <v>0</v>
      </c>
      <c r="F5364" s="6">
        <v>0</v>
      </c>
      <c r="G5364" s="6">
        <v>9</v>
      </c>
      <c r="H5364" s="6" t="s">
        <v>36366</v>
      </c>
      <c r="I5364" s="6">
        <v>526.6875</v>
      </c>
      <c r="J5364" s="2">
        <f t="shared" si="83"/>
        <v>43748.854245162038</v>
      </c>
    </row>
    <row r="5365" spans="1:10" x14ac:dyDescent="0.25">
      <c r="A5365" s="7" t="s">
        <v>36367</v>
      </c>
      <c r="B5365" s="8">
        <v>412.5</v>
      </c>
      <c r="C5365" s="8">
        <v>20.478950000000001</v>
      </c>
      <c r="D5365" s="8">
        <v>73</v>
      </c>
      <c r="E5365" s="8">
        <v>0</v>
      </c>
      <c r="F5365" s="8">
        <v>0</v>
      </c>
      <c r="G5365" s="8">
        <v>11</v>
      </c>
      <c r="H5365" s="8" t="s">
        <v>36368</v>
      </c>
      <c r="I5365" s="8">
        <v>532.875</v>
      </c>
      <c r="J5365" s="3">
        <f t="shared" si="83"/>
        <v>43748.854328379624</v>
      </c>
    </row>
    <row r="5366" spans="1:10" x14ac:dyDescent="0.25">
      <c r="A5366" s="5" t="s">
        <v>36369</v>
      </c>
      <c r="B5366" s="6">
        <v>393.75</v>
      </c>
      <c r="C5366" s="6">
        <v>20.478950000000001</v>
      </c>
      <c r="D5366" s="6">
        <v>73</v>
      </c>
      <c r="E5366" s="6">
        <v>0</v>
      </c>
      <c r="F5366" s="6">
        <v>0</v>
      </c>
      <c r="G5366" s="6">
        <v>7</v>
      </c>
      <c r="H5366" s="6" t="s">
        <v>36370</v>
      </c>
      <c r="I5366" s="6">
        <v>526.5</v>
      </c>
      <c r="J5366" s="2">
        <f t="shared" si="83"/>
        <v>43748.854413912035</v>
      </c>
    </row>
    <row r="5367" spans="1:10" x14ac:dyDescent="0.25">
      <c r="A5367" s="7" t="s">
        <v>36371</v>
      </c>
      <c r="B5367" s="8">
        <v>393.75</v>
      </c>
      <c r="C5367" s="8">
        <v>20.478950000000001</v>
      </c>
      <c r="D5367" s="8">
        <v>74</v>
      </c>
      <c r="E5367" s="8">
        <v>0</v>
      </c>
      <c r="F5367" s="8">
        <v>0</v>
      </c>
      <c r="G5367" s="8">
        <v>15</v>
      </c>
      <c r="H5367" s="8" t="s">
        <v>36372</v>
      </c>
      <c r="I5367" s="8">
        <v>526.6875</v>
      </c>
      <c r="J5367" s="3">
        <f t="shared" si="83"/>
        <v>43748.854495185187</v>
      </c>
    </row>
    <row r="5368" spans="1:10" x14ac:dyDescent="0.25">
      <c r="A5368" s="5" t="s">
        <v>36373</v>
      </c>
      <c r="B5368" s="6">
        <v>393.75</v>
      </c>
      <c r="C5368" s="6">
        <v>20.478950000000001</v>
      </c>
      <c r="D5368" s="6">
        <v>74</v>
      </c>
      <c r="E5368" s="6">
        <v>0</v>
      </c>
      <c r="F5368" s="6">
        <v>0</v>
      </c>
      <c r="G5368" s="6">
        <v>9</v>
      </c>
      <c r="H5368" s="6" t="s">
        <v>36374</v>
      </c>
      <c r="I5368" s="6">
        <v>526.6875</v>
      </c>
      <c r="J5368" s="2">
        <f t="shared" si="83"/>
        <v>43748.854578495368</v>
      </c>
    </row>
    <row r="5369" spans="1:10" x14ac:dyDescent="0.25">
      <c r="A5369" s="7" t="s">
        <v>36375</v>
      </c>
      <c r="B5369" s="8">
        <v>393.75</v>
      </c>
      <c r="C5369" s="8">
        <v>20.478950000000001</v>
      </c>
      <c r="D5369" s="8">
        <v>74</v>
      </c>
      <c r="E5369" s="8">
        <v>0</v>
      </c>
      <c r="F5369" s="8">
        <v>0</v>
      </c>
      <c r="G5369" s="8">
        <v>5</v>
      </c>
      <c r="H5369" s="8" t="s">
        <v>36376</v>
      </c>
      <c r="I5369" s="8">
        <v>526.6875</v>
      </c>
      <c r="J5369" s="3">
        <f t="shared" si="83"/>
        <v>43748.854650127316</v>
      </c>
    </row>
    <row r="5370" spans="1:10" x14ac:dyDescent="0.25">
      <c r="A5370" s="5" t="s">
        <v>36377</v>
      </c>
      <c r="B5370" s="6">
        <v>393.75</v>
      </c>
      <c r="C5370" s="6">
        <v>20.478950000000001</v>
      </c>
      <c r="D5370" s="6">
        <v>74</v>
      </c>
      <c r="E5370" s="6">
        <v>0</v>
      </c>
      <c r="F5370" s="6">
        <v>0</v>
      </c>
      <c r="G5370" s="6">
        <v>10</v>
      </c>
      <c r="H5370" s="6" t="s">
        <v>36378</v>
      </c>
      <c r="I5370" s="6">
        <v>526.6875</v>
      </c>
      <c r="J5370" s="2">
        <f t="shared" si="83"/>
        <v>43748.854722013886</v>
      </c>
    </row>
    <row r="5371" spans="1:10" x14ac:dyDescent="0.25">
      <c r="A5371" s="7" t="s">
        <v>36379</v>
      </c>
      <c r="B5371" s="8">
        <v>393.75</v>
      </c>
      <c r="C5371" s="8">
        <v>20.478950000000001</v>
      </c>
      <c r="D5371" s="8">
        <v>72</v>
      </c>
      <c r="E5371" s="8">
        <v>0</v>
      </c>
      <c r="F5371" s="8">
        <v>0</v>
      </c>
      <c r="G5371" s="8">
        <v>6</v>
      </c>
      <c r="H5371" s="8" t="s">
        <v>36380</v>
      </c>
      <c r="I5371" s="8">
        <v>526.6875</v>
      </c>
      <c r="J5371" s="3">
        <f t="shared" si="83"/>
        <v>43748.854805462957</v>
      </c>
    </row>
    <row r="5372" spans="1:10" x14ac:dyDescent="0.25">
      <c r="A5372" s="5" t="s">
        <v>36381</v>
      </c>
      <c r="B5372" s="6">
        <v>393.75</v>
      </c>
      <c r="C5372" s="6">
        <v>20.478950000000001</v>
      </c>
      <c r="D5372" s="6">
        <v>72</v>
      </c>
      <c r="E5372" s="6">
        <v>0</v>
      </c>
      <c r="F5372" s="6">
        <v>0</v>
      </c>
      <c r="G5372" s="6">
        <v>7</v>
      </c>
      <c r="H5372" s="6" t="s">
        <v>36382</v>
      </c>
      <c r="I5372" s="6">
        <v>526.6875</v>
      </c>
      <c r="J5372" s="2">
        <f t="shared" si="83"/>
        <v>43748.854876990743</v>
      </c>
    </row>
    <row r="5373" spans="1:10" x14ac:dyDescent="0.25">
      <c r="A5373" s="7" t="s">
        <v>36383</v>
      </c>
      <c r="B5373" s="8">
        <v>393.75</v>
      </c>
      <c r="C5373" s="8">
        <v>20.478950000000001</v>
      </c>
      <c r="D5373" s="8">
        <v>73</v>
      </c>
      <c r="E5373" s="8">
        <v>0</v>
      </c>
      <c r="F5373" s="8">
        <v>0</v>
      </c>
      <c r="G5373" s="8">
        <v>1</v>
      </c>
      <c r="H5373" s="8" t="s">
        <v>36384</v>
      </c>
      <c r="I5373" s="8">
        <v>526.6875</v>
      </c>
      <c r="J5373" s="3">
        <f t="shared" si="83"/>
        <v>43748.854960671299</v>
      </c>
    </row>
    <row r="5374" spans="1:10" x14ac:dyDescent="0.25">
      <c r="A5374" s="5" t="s">
        <v>36385</v>
      </c>
      <c r="B5374" s="6">
        <v>393.75</v>
      </c>
      <c r="C5374" s="6">
        <v>20.478950000000001</v>
      </c>
      <c r="D5374" s="6">
        <v>73</v>
      </c>
      <c r="E5374" s="6">
        <v>0</v>
      </c>
      <c r="F5374" s="6">
        <v>0</v>
      </c>
      <c r="G5374" s="6">
        <v>10</v>
      </c>
      <c r="H5374" s="6" t="s">
        <v>36386</v>
      </c>
      <c r="I5374" s="6">
        <v>526.6875</v>
      </c>
      <c r="J5374" s="2">
        <f t="shared" si="83"/>
        <v>43748.855031736108</v>
      </c>
    </row>
    <row r="5375" spans="1:10" x14ac:dyDescent="0.25">
      <c r="A5375" s="7" t="s">
        <v>36387</v>
      </c>
      <c r="B5375" s="8">
        <v>393.75</v>
      </c>
      <c r="C5375" s="8">
        <v>20.478950000000001</v>
      </c>
      <c r="D5375" s="8">
        <v>74</v>
      </c>
      <c r="E5375" s="8">
        <v>0</v>
      </c>
      <c r="F5375" s="8">
        <v>0</v>
      </c>
      <c r="G5375" s="8">
        <v>11</v>
      </c>
      <c r="H5375" s="8" t="s">
        <v>36388</v>
      </c>
      <c r="I5375" s="8">
        <v>526.6875</v>
      </c>
      <c r="J5375" s="3">
        <f t="shared" si="83"/>
        <v>43748.855113645834</v>
      </c>
    </row>
    <row r="5376" spans="1:10" x14ac:dyDescent="0.25">
      <c r="A5376" s="5" t="s">
        <v>36389</v>
      </c>
      <c r="B5376" s="6">
        <v>393.75</v>
      </c>
      <c r="C5376" s="6">
        <v>20.478950000000001</v>
      </c>
      <c r="D5376" s="6">
        <v>74</v>
      </c>
      <c r="E5376" s="6">
        <v>0</v>
      </c>
      <c r="F5376" s="6">
        <v>0</v>
      </c>
      <c r="G5376" s="6">
        <v>5</v>
      </c>
      <c r="H5376" s="6" t="s">
        <v>36390</v>
      </c>
      <c r="I5376" s="6">
        <v>526.6875</v>
      </c>
      <c r="J5376" s="2">
        <f t="shared" si="83"/>
        <v>43748.855199178237</v>
      </c>
    </row>
    <row r="5377" spans="1:10" x14ac:dyDescent="0.25">
      <c r="A5377" s="7" t="s">
        <v>36391</v>
      </c>
      <c r="B5377" s="8">
        <v>393.75</v>
      </c>
      <c r="C5377" s="8">
        <v>20.478950000000001</v>
      </c>
      <c r="D5377" s="8">
        <v>71</v>
      </c>
      <c r="E5377" s="8">
        <v>0</v>
      </c>
      <c r="F5377" s="8">
        <v>0</v>
      </c>
      <c r="G5377" s="8">
        <v>7</v>
      </c>
      <c r="H5377" s="8" t="s">
        <v>36392</v>
      </c>
      <c r="I5377" s="8">
        <v>526.6875</v>
      </c>
      <c r="J5377" s="3">
        <f t="shared" si="83"/>
        <v>43748.855282291661</v>
      </c>
    </row>
    <row r="5378" spans="1:10" x14ac:dyDescent="0.25">
      <c r="A5378" s="5" t="s">
        <v>36393</v>
      </c>
      <c r="B5378" s="6">
        <v>393.75</v>
      </c>
      <c r="C5378" s="6">
        <v>20.478950000000001</v>
      </c>
      <c r="D5378" s="6">
        <v>71</v>
      </c>
      <c r="E5378" s="6">
        <v>0</v>
      </c>
      <c r="F5378" s="6">
        <v>0</v>
      </c>
      <c r="G5378" s="6">
        <v>10</v>
      </c>
      <c r="H5378" s="6" t="s">
        <v>36394</v>
      </c>
      <c r="I5378" s="6">
        <v>526.6875</v>
      </c>
      <c r="J5378" s="2">
        <f t="shared" ref="J5378:J5441" si="84">(H5378/86400000)+25569+(7/24)</f>
        <v>43748.855353842591</v>
      </c>
    </row>
    <row r="5379" spans="1:10" x14ac:dyDescent="0.25">
      <c r="A5379" s="7" t="s">
        <v>36395</v>
      </c>
      <c r="B5379" s="8">
        <v>393.75</v>
      </c>
      <c r="C5379" s="8">
        <v>20.478950000000001</v>
      </c>
      <c r="D5379" s="8">
        <v>71</v>
      </c>
      <c r="E5379" s="8">
        <v>0</v>
      </c>
      <c r="F5379" s="8">
        <v>0</v>
      </c>
      <c r="G5379" s="8">
        <v>6</v>
      </c>
      <c r="H5379" s="8" t="s">
        <v>36396</v>
      </c>
      <c r="I5379" s="8">
        <v>526.6875</v>
      </c>
      <c r="J5379" s="3">
        <f t="shared" si="84"/>
        <v>43748.855437754632</v>
      </c>
    </row>
    <row r="5380" spans="1:10" x14ac:dyDescent="0.25">
      <c r="A5380" s="5" t="s">
        <v>36397</v>
      </c>
      <c r="B5380" s="6">
        <v>393.75</v>
      </c>
      <c r="C5380" s="6">
        <v>20.478950000000001</v>
      </c>
      <c r="D5380" s="6">
        <v>71</v>
      </c>
      <c r="E5380" s="6">
        <v>0</v>
      </c>
      <c r="F5380" s="6">
        <v>0</v>
      </c>
      <c r="G5380" s="6">
        <v>2</v>
      </c>
      <c r="H5380" s="6" t="s">
        <v>36398</v>
      </c>
      <c r="I5380" s="6">
        <v>526.5</v>
      </c>
      <c r="J5380" s="2">
        <f t="shared" si="84"/>
        <v>43748.855521099533</v>
      </c>
    </row>
    <row r="5381" spans="1:10" x14ac:dyDescent="0.25">
      <c r="A5381" s="7" t="s">
        <v>36399</v>
      </c>
      <c r="B5381" s="8">
        <v>393.75</v>
      </c>
      <c r="C5381" s="8">
        <v>20.478950000000001</v>
      </c>
      <c r="D5381" s="8">
        <v>73</v>
      </c>
      <c r="E5381" s="8">
        <v>0</v>
      </c>
      <c r="F5381" s="8">
        <v>0</v>
      </c>
      <c r="G5381" s="8">
        <v>5</v>
      </c>
      <c r="H5381" s="8" t="s">
        <v>36400</v>
      </c>
      <c r="I5381" s="8">
        <v>526.6875</v>
      </c>
      <c r="J5381" s="3">
        <f t="shared" si="84"/>
        <v>43748.855604421296</v>
      </c>
    </row>
    <row r="5382" spans="1:10" x14ac:dyDescent="0.25">
      <c r="A5382" s="5" t="s">
        <v>36401</v>
      </c>
      <c r="B5382" s="6">
        <v>393.75</v>
      </c>
      <c r="C5382" s="6">
        <v>20.478950000000001</v>
      </c>
      <c r="D5382" s="6">
        <v>74</v>
      </c>
      <c r="E5382" s="6">
        <v>0</v>
      </c>
      <c r="F5382" s="6">
        <v>0</v>
      </c>
      <c r="G5382" s="6">
        <v>10</v>
      </c>
      <c r="H5382" s="6" t="s">
        <v>36402</v>
      </c>
      <c r="I5382" s="6">
        <v>526.5</v>
      </c>
      <c r="J5382" s="2">
        <f t="shared" si="84"/>
        <v>43748.855688020827</v>
      </c>
    </row>
    <row r="5383" spans="1:10" x14ac:dyDescent="0.25">
      <c r="A5383" s="7" t="s">
        <v>36403</v>
      </c>
      <c r="B5383" s="8">
        <v>393.75</v>
      </c>
      <c r="C5383" s="8">
        <v>20.478950000000001</v>
      </c>
      <c r="D5383" s="8">
        <v>73</v>
      </c>
      <c r="E5383" s="8">
        <v>0</v>
      </c>
      <c r="F5383" s="8">
        <v>0</v>
      </c>
      <c r="G5383" s="8">
        <v>11</v>
      </c>
      <c r="H5383" s="8" t="s">
        <v>36404</v>
      </c>
      <c r="I5383" s="8">
        <v>526.6875</v>
      </c>
      <c r="J5383" s="3">
        <f t="shared" si="84"/>
        <v>43748.85577130787</v>
      </c>
    </row>
    <row r="5384" spans="1:10" x14ac:dyDescent="0.25">
      <c r="A5384" s="5" t="s">
        <v>36405</v>
      </c>
      <c r="B5384" s="6">
        <v>393.75</v>
      </c>
      <c r="C5384" s="6">
        <v>20.478950000000001</v>
      </c>
      <c r="D5384" s="6">
        <v>70</v>
      </c>
      <c r="E5384" s="6">
        <v>0</v>
      </c>
      <c r="F5384" s="6">
        <v>0</v>
      </c>
      <c r="G5384" s="6">
        <v>18</v>
      </c>
      <c r="H5384" s="6" t="s">
        <v>36406</v>
      </c>
      <c r="I5384" s="6">
        <v>526.6875</v>
      </c>
      <c r="J5384" s="2">
        <f t="shared" si="84"/>
        <v>43748.85585501157</v>
      </c>
    </row>
    <row r="5385" spans="1:10" x14ac:dyDescent="0.25">
      <c r="A5385" s="7" t="s">
        <v>36407</v>
      </c>
      <c r="B5385" s="8">
        <v>393.75</v>
      </c>
      <c r="C5385" s="8">
        <v>20.478950000000001</v>
      </c>
      <c r="D5385" s="8">
        <v>72</v>
      </c>
      <c r="E5385" s="8">
        <v>0</v>
      </c>
      <c r="F5385" s="8">
        <v>0</v>
      </c>
      <c r="G5385" s="8">
        <v>16</v>
      </c>
      <c r="H5385" s="8" t="s">
        <v>36408</v>
      </c>
      <c r="I5385" s="8">
        <v>526.5</v>
      </c>
      <c r="J5385" s="3">
        <f t="shared" si="84"/>
        <v>43748.85595049768</v>
      </c>
    </row>
    <row r="5386" spans="1:10" x14ac:dyDescent="0.25">
      <c r="A5386" s="5" t="s">
        <v>36409</v>
      </c>
      <c r="B5386" s="6">
        <v>393.75</v>
      </c>
      <c r="C5386" s="6">
        <v>20.478950000000001</v>
      </c>
      <c r="D5386" s="6">
        <v>72</v>
      </c>
      <c r="E5386" s="6">
        <v>0</v>
      </c>
      <c r="F5386" s="6">
        <v>0</v>
      </c>
      <c r="G5386" s="6">
        <v>7</v>
      </c>
      <c r="H5386" s="6" t="s">
        <v>36410</v>
      </c>
      <c r="I5386" s="6">
        <v>526.6875</v>
      </c>
      <c r="J5386" s="2">
        <f t="shared" si="84"/>
        <v>43748.856034085642</v>
      </c>
    </row>
    <row r="5387" spans="1:10" x14ac:dyDescent="0.25">
      <c r="A5387" s="7" t="s">
        <v>36411</v>
      </c>
      <c r="B5387" s="8">
        <v>393.75</v>
      </c>
      <c r="C5387" s="8">
        <v>20.478950000000001</v>
      </c>
      <c r="D5387" s="8">
        <v>73</v>
      </c>
      <c r="E5387" s="8">
        <v>0</v>
      </c>
      <c r="F5387" s="8">
        <v>0</v>
      </c>
      <c r="G5387" s="8">
        <v>8</v>
      </c>
      <c r="H5387" s="8" t="s">
        <v>36412</v>
      </c>
      <c r="I5387" s="8">
        <v>526.6875</v>
      </c>
      <c r="J5387" s="3">
        <f t="shared" si="84"/>
        <v>43748.856117511568</v>
      </c>
    </row>
    <row r="5388" spans="1:10" x14ac:dyDescent="0.25">
      <c r="A5388" s="5" t="s">
        <v>36413</v>
      </c>
      <c r="B5388" s="6">
        <v>393.75</v>
      </c>
      <c r="C5388" s="6">
        <v>20.478950000000001</v>
      </c>
      <c r="D5388" s="6">
        <v>73</v>
      </c>
      <c r="E5388" s="6">
        <v>0</v>
      </c>
      <c r="F5388" s="6">
        <v>0</v>
      </c>
      <c r="G5388" s="6">
        <v>6</v>
      </c>
      <c r="H5388" s="6" t="s">
        <v>36414</v>
      </c>
      <c r="I5388" s="6">
        <v>526.5</v>
      </c>
      <c r="J5388" s="2">
        <f t="shared" si="84"/>
        <v>43748.856200844901</v>
      </c>
    </row>
    <row r="5389" spans="1:10" x14ac:dyDescent="0.25">
      <c r="A5389" s="7" t="s">
        <v>36415</v>
      </c>
      <c r="B5389" s="8">
        <v>393.75</v>
      </c>
      <c r="C5389" s="8">
        <v>20.478950000000001</v>
      </c>
      <c r="D5389" s="8">
        <v>74</v>
      </c>
      <c r="E5389" s="8">
        <v>0</v>
      </c>
      <c r="F5389" s="8">
        <v>0</v>
      </c>
      <c r="G5389" s="8">
        <v>16</v>
      </c>
      <c r="H5389" s="8" t="s">
        <v>36416</v>
      </c>
      <c r="I5389" s="8">
        <v>526.6875</v>
      </c>
      <c r="J5389" s="3">
        <f t="shared" si="84"/>
        <v>43748.856284421294</v>
      </c>
    </row>
    <row r="5390" spans="1:10" x14ac:dyDescent="0.25">
      <c r="A5390" s="5" t="s">
        <v>36417</v>
      </c>
      <c r="B5390" s="6">
        <v>393.75</v>
      </c>
      <c r="C5390" s="6">
        <v>20.478950000000001</v>
      </c>
      <c r="D5390" s="6">
        <v>74</v>
      </c>
      <c r="E5390" s="6">
        <v>0</v>
      </c>
      <c r="F5390" s="6">
        <v>0</v>
      </c>
      <c r="G5390" s="6">
        <v>0</v>
      </c>
      <c r="H5390" s="6" t="s">
        <v>36418</v>
      </c>
      <c r="I5390" s="6">
        <v>526.5</v>
      </c>
      <c r="J5390" s="2">
        <f t="shared" si="84"/>
        <v>43748.856367638888</v>
      </c>
    </row>
    <row r="5391" spans="1:10" x14ac:dyDescent="0.25">
      <c r="A5391" s="7" t="s">
        <v>36419</v>
      </c>
      <c r="B5391" s="8">
        <v>393.75</v>
      </c>
      <c r="C5391" s="8">
        <v>20.478950000000001</v>
      </c>
      <c r="D5391" s="8">
        <v>74</v>
      </c>
      <c r="E5391" s="8">
        <v>0</v>
      </c>
      <c r="F5391" s="8">
        <v>0</v>
      </c>
      <c r="G5391" s="8">
        <v>9</v>
      </c>
      <c r="H5391" s="8" t="s">
        <v>36420</v>
      </c>
      <c r="I5391" s="8">
        <v>526.5</v>
      </c>
      <c r="J5391" s="3">
        <f t="shared" si="84"/>
        <v>43748.85645219907</v>
      </c>
    </row>
    <row r="5392" spans="1:10" x14ac:dyDescent="0.25">
      <c r="A5392" s="5" t="s">
        <v>36421</v>
      </c>
      <c r="B5392" s="6">
        <v>393.75</v>
      </c>
      <c r="C5392" s="6">
        <v>20.426300000000001</v>
      </c>
      <c r="D5392" s="6">
        <v>75</v>
      </c>
      <c r="E5392" s="6">
        <v>0</v>
      </c>
      <c r="F5392" s="6">
        <v>0</v>
      </c>
      <c r="G5392" s="6">
        <v>9</v>
      </c>
      <c r="H5392" s="6" t="s">
        <v>36422</v>
      </c>
      <c r="I5392" s="6">
        <v>526.6875</v>
      </c>
      <c r="J5392" s="2">
        <f t="shared" si="84"/>
        <v>43748.856534629631</v>
      </c>
    </row>
    <row r="5393" spans="1:10" x14ac:dyDescent="0.25">
      <c r="A5393" s="7" t="s">
        <v>36423</v>
      </c>
      <c r="B5393" s="8">
        <v>393.75</v>
      </c>
      <c r="C5393" s="8">
        <v>20.478950000000001</v>
      </c>
      <c r="D5393" s="8">
        <v>75</v>
      </c>
      <c r="E5393" s="8">
        <v>0</v>
      </c>
      <c r="F5393" s="8">
        <v>0</v>
      </c>
      <c r="G5393" s="8">
        <v>10</v>
      </c>
      <c r="H5393" s="8" t="s">
        <v>36424</v>
      </c>
      <c r="I5393" s="8">
        <v>526.6875</v>
      </c>
      <c r="J5393" s="3">
        <f t="shared" si="84"/>
        <v>43748.856606412031</v>
      </c>
    </row>
    <row r="5394" spans="1:10" x14ac:dyDescent="0.25">
      <c r="A5394" s="5" t="s">
        <v>36425</v>
      </c>
      <c r="B5394" s="6">
        <v>393.75</v>
      </c>
      <c r="C5394" s="6">
        <v>20.478950000000001</v>
      </c>
      <c r="D5394" s="6">
        <v>76</v>
      </c>
      <c r="E5394" s="6">
        <v>0</v>
      </c>
      <c r="F5394" s="6">
        <v>0</v>
      </c>
      <c r="G5394" s="6">
        <v>3</v>
      </c>
      <c r="H5394" s="6" t="s">
        <v>36426</v>
      </c>
      <c r="I5394" s="6">
        <v>526.6875</v>
      </c>
      <c r="J5394" s="2">
        <f t="shared" si="84"/>
        <v>43748.856689629632</v>
      </c>
    </row>
    <row r="5395" spans="1:10" x14ac:dyDescent="0.25">
      <c r="A5395" s="7" t="s">
        <v>36427</v>
      </c>
      <c r="B5395" s="8">
        <v>412.5</v>
      </c>
      <c r="C5395" s="8">
        <v>20.426300000000001</v>
      </c>
      <c r="D5395" s="8">
        <v>76</v>
      </c>
      <c r="E5395" s="8">
        <v>0</v>
      </c>
      <c r="F5395" s="8">
        <v>0</v>
      </c>
      <c r="G5395" s="8">
        <v>9</v>
      </c>
      <c r="H5395" s="8" t="s">
        <v>36428</v>
      </c>
      <c r="I5395" s="8">
        <v>532.5</v>
      </c>
      <c r="J5395" s="3">
        <f t="shared" si="84"/>
        <v>43748.85676135416</v>
      </c>
    </row>
    <row r="5396" spans="1:10" x14ac:dyDescent="0.25">
      <c r="A5396" s="5" t="s">
        <v>36429</v>
      </c>
      <c r="B5396" s="6">
        <v>393.75</v>
      </c>
      <c r="C5396" s="6">
        <v>20.478950000000001</v>
      </c>
      <c r="D5396" s="6">
        <v>73</v>
      </c>
      <c r="E5396" s="6">
        <v>0</v>
      </c>
      <c r="F5396" s="6">
        <v>0</v>
      </c>
      <c r="G5396" s="6">
        <v>16</v>
      </c>
      <c r="H5396" s="6" t="s">
        <v>36430</v>
      </c>
      <c r="I5396" s="6">
        <v>526.6875</v>
      </c>
      <c r="J5396" s="2">
        <f t="shared" si="84"/>
        <v>43748.856844942122</v>
      </c>
    </row>
    <row r="5397" spans="1:10" x14ac:dyDescent="0.25">
      <c r="A5397" s="7" t="s">
        <v>36431</v>
      </c>
      <c r="B5397" s="8">
        <v>393.75</v>
      </c>
      <c r="C5397" s="8">
        <v>20.478950000000001</v>
      </c>
      <c r="D5397" s="8">
        <v>74</v>
      </c>
      <c r="E5397" s="8">
        <v>0</v>
      </c>
      <c r="F5397" s="8">
        <v>0</v>
      </c>
      <c r="G5397" s="8">
        <v>8</v>
      </c>
      <c r="H5397" s="8" t="s">
        <v>36432</v>
      </c>
      <c r="I5397" s="8">
        <v>526.6875</v>
      </c>
      <c r="J5397" s="3">
        <f t="shared" si="84"/>
        <v>43748.856928483794</v>
      </c>
    </row>
    <row r="5398" spans="1:10" x14ac:dyDescent="0.25">
      <c r="A5398" s="5" t="s">
        <v>36433</v>
      </c>
      <c r="B5398" s="6">
        <v>393.75</v>
      </c>
      <c r="C5398" s="6">
        <v>20.478950000000001</v>
      </c>
      <c r="D5398" s="6">
        <v>71</v>
      </c>
      <c r="E5398" s="6">
        <v>0</v>
      </c>
      <c r="F5398" s="6">
        <v>0</v>
      </c>
      <c r="G5398" s="6">
        <v>12</v>
      </c>
      <c r="H5398" s="6" t="s">
        <v>36434</v>
      </c>
      <c r="I5398" s="6">
        <v>526.6875</v>
      </c>
      <c r="J5398" s="2">
        <f t="shared" si="84"/>
        <v>43748.857011967593</v>
      </c>
    </row>
    <row r="5399" spans="1:10" x14ac:dyDescent="0.25">
      <c r="A5399" s="7" t="s">
        <v>36435</v>
      </c>
      <c r="B5399" s="8">
        <v>393.75</v>
      </c>
      <c r="C5399" s="8">
        <v>20.478950000000001</v>
      </c>
      <c r="D5399" s="8">
        <v>70</v>
      </c>
      <c r="E5399" s="8">
        <v>0</v>
      </c>
      <c r="F5399" s="8">
        <v>0</v>
      </c>
      <c r="G5399" s="8">
        <v>3</v>
      </c>
      <c r="H5399" s="8" t="s">
        <v>36436</v>
      </c>
      <c r="I5399" s="8">
        <v>526.6875</v>
      </c>
      <c r="J5399" s="3">
        <f t="shared" si="84"/>
        <v>43748.857095509258</v>
      </c>
    </row>
    <row r="5400" spans="1:10" x14ac:dyDescent="0.25">
      <c r="A5400" s="5" t="s">
        <v>36437</v>
      </c>
      <c r="B5400" s="6">
        <v>412.5</v>
      </c>
      <c r="C5400" s="6">
        <v>20.478950000000001</v>
      </c>
      <c r="D5400" s="6">
        <v>72</v>
      </c>
      <c r="E5400" s="6">
        <v>0</v>
      </c>
      <c r="F5400" s="6">
        <v>0</v>
      </c>
      <c r="G5400" s="6">
        <v>14</v>
      </c>
      <c r="H5400" s="6" t="s">
        <v>36438</v>
      </c>
      <c r="I5400" s="6">
        <v>532.3125</v>
      </c>
      <c r="J5400" s="2">
        <f t="shared" si="84"/>
        <v>43748.857178645827</v>
      </c>
    </row>
    <row r="5401" spans="1:10" x14ac:dyDescent="0.25">
      <c r="A5401" s="7" t="s">
        <v>36439</v>
      </c>
      <c r="B5401" s="8">
        <v>393.75</v>
      </c>
      <c r="C5401" s="8">
        <v>20.478950000000001</v>
      </c>
      <c r="D5401" s="8">
        <v>72</v>
      </c>
      <c r="E5401" s="8">
        <v>0</v>
      </c>
      <c r="F5401" s="8">
        <v>0</v>
      </c>
      <c r="G5401" s="8">
        <v>6</v>
      </c>
      <c r="H5401" s="8" t="s">
        <v>36440</v>
      </c>
      <c r="I5401" s="8">
        <v>526.6875</v>
      </c>
      <c r="J5401" s="3">
        <f t="shared" si="84"/>
        <v>43748.857274270827</v>
      </c>
    </row>
    <row r="5402" spans="1:10" x14ac:dyDescent="0.25">
      <c r="A5402" s="5" t="s">
        <v>36441</v>
      </c>
      <c r="B5402" s="6">
        <v>393.75</v>
      </c>
      <c r="C5402" s="6">
        <v>20.478950000000001</v>
      </c>
      <c r="D5402" s="6">
        <v>72</v>
      </c>
      <c r="E5402" s="6">
        <v>0</v>
      </c>
      <c r="F5402" s="6">
        <v>0</v>
      </c>
      <c r="G5402" s="6">
        <v>17</v>
      </c>
      <c r="H5402" s="6" t="s">
        <v>36442</v>
      </c>
      <c r="I5402" s="6">
        <v>526.6875</v>
      </c>
      <c r="J5402" s="2">
        <f t="shared" si="84"/>
        <v>43748.857357800924</v>
      </c>
    </row>
    <row r="5403" spans="1:10" x14ac:dyDescent="0.25">
      <c r="A5403" s="7" t="s">
        <v>36443</v>
      </c>
      <c r="B5403" s="8">
        <v>393.75</v>
      </c>
      <c r="C5403" s="8">
        <v>20.478950000000001</v>
      </c>
      <c r="D5403" s="8">
        <v>73</v>
      </c>
      <c r="E5403" s="8">
        <v>0</v>
      </c>
      <c r="F5403" s="8">
        <v>0</v>
      </c>
      <c r="G5403" s="8">
        <v>6</v>
      </c>
      <c r="H5403" s="8" t="s">
        <v>36444</v>
      </c>
      <c r="I5403" s="8">
        <v>526.6875</v>
      </c>
      <c r="J5403" s="3">
        <f t="shared" si="84"/>
        <v>43748.857441249995</v>
      </c>
    </row>
    <row r="5404" spans="1:10" x14ac:dyDescent="0.25">
      <c r="A5404" s="5" t="s">
        <v>36445</v>
      </c>
      <c r="B5404" s="6">
        <v>393.75</v>
      </c>
      <c r="C5404" s="6">
        <v>20.478950000000001</v>
      </c>
      <c r="D5404" s="6">
        <v>73</v>
      </c>
      <c r="E5404" s="6">
        <v>0</v>
      </c>
      <c r="F5404" s="6">
        <v>0</v>
      </c>
      <c r="G5404" s="6">
        <v>8</v>
      </c>
      <c r="H5404" s="6" t="s">
        <v>36446</v>
      </c>
      <c r="I5404" s="6">
        <v>526.6875</v>
      </c>
      <c r="J5404" s="2">
        <f t="shared" si="84"/>
        <v>43748.857524687497</v>
      </c>
    </row>
    <row r="5405" spans="1:10" x14ac:dyDescent="0.25">
      <c r="A5405" s="7" t="s">
        <v>36447</v>
      </c>
      <c r="B5405" s="8">
        <v>393.75</v>
      </c>
      <c r="C5405" s="8">
        <v>20.478950000000001</v>
      </c>
      <c r="D5405" s="8">
        <v>72</v>
      </c>
      <c r="E5405" s="8">
        <v>0</v>
      </c>
      <c r="F5405" s="8">
        <v>0</v>
      </c>
      <c r="G5405" s="8">
        <v>12</v>
      </c>
      <c r="H5405" s="8" t="s">
        <v>36448</v>
      </c>
      <c r="I5405" s="8">
        <v>526.6875</v>
      </c>
      <c r="J5405" s="3">
        <f t="shared" si="84"/>
        <v>43748.857596331021</v>
      </c>
    </row>
    <row r="5406" spans="1:10" x14ac:dyDescent="0.25">
      <c r="A5406" s="5" t="s">
        <v>36449</v>
      </c>
      <c r="B5406" s="6">
        <v>393.75</v>
      </c>
      <c r="C5406" s="6">
        <v>20.478950000000001</v>
      </c>
      <c r="D5406" s="6">
        <v>73</v>
      </c>
      <c r="E5406" s="6">
        <v>0</v>
      </c>
      <c r="F5406" s="6">
        <v>0</v>
      </c>
      <c r="G5406" s="6">
        <v>12</v>
      </c>
      <c r="H5406" s="6" t="s">
        <v>36450</v>
      </c>
      <c r="I5406" s="6">
        <v>526.6875</v>
      </c>
      <c r="J5406" s="2">
        <f t="shared" si="84"/>
        <v>43748.857679803237</v>
      </c>
    </row>
    <row r="5407" spans="1:10" x14ac:dyDescent="0.25">
      <c r="A5407" s="7" t="s">
        <v>36451</v>
      </c>
      <c r="B5407" s="8">
        <v>412.5</v>
      </c>
      <c r="C5407" s="8">
        <v>20.478950000000001</v>
      </c>
      <c r="D5407" s="8">
        <v>74</v>
      </c>
      <c r="E5407" s="8">
        <v>0</v>
      </c>
      <c r="F5407" s="8">
        <v>0</v>
      </c>
      <c r="G5407" s="8">
        <v>6</v>
      </c>
      <c r="H5407" s="8" t="s">
        <v>36452</v>
      </c>
      <c r="I5407" s="8">
        <v>532.3125</v>
      </c>
      <c r="J5407" s="3">
        <f t="shared" si="84"/>
        <v>43748.85776298611</v>
      </c>
    </row>
    <row r="5408" spans="1:10" x14ac:dyDescent="0.25">
      <c r="A5408" s="5" t="s">
        <v>36453</v>
      </c>
      <c r="B5408" s="6">
        <v>396.875</v>
      </c>
      <c r="C5408" s="6">
        <v>20.478950000000001</v>
      </c>
      <c r="D5408" s="6">
        <v>74</v>
      </c>
      <c r="E5408" s="6">
        <v>0</v>
      </c>
      <c r="F5408" s="6">
        <v>0</v>
      </c>
      <c r="G5408" s="6">
        <v>7</v>
      </c>
      <c r="H5408" s="6" t="s">
        <v>36454</v>
      </c>
      <c r="I5408" s="6">
        <v>527.4375</v>
      </c>
      <c r="J5408" s="2">
        <f t="shared" si="84"/>
        <v>43748.857858726849</v>
      </c>
    </row>
    <row r="5409" spans="1:10" x14ac:dyDescent="0.25">
      <c r="A5409" s="7" t="s">
        <v>36455</v>
      </c>
      <c r="B5409" s="8">
        <v>396.875</v>
      </c>
      <c r="C5409" s="8">
        <v>20.478950000000001</v>
      </c>
      <c r="D5409" s="8">
        <v>73</v>
      </c>
      <c r="E5409" s="8">
        <v>0</v>
      </c>
      <c r="F5409" s="8">
        <v>0</v>
      </c>
      <c r="G5409" s="8">
        <v>14</v>
      </c>
      <c r="H5409" s="8" t="s">
        <v>36456</v>
      </c>
      <c r="I5409" s="8">
        <v>527.4375</v>
      </c>
      <c r="J5409" s="3">
        <f t="shared" si="84"/>
        <v>43748.857930486112</v>
      </c>
    </row>
    <row r="5410" spans="1:10" x14ac:dyDescent="0.25">
      <c r="A5410" s="5" t="s">
        <v>36457</v>
      </c>
      <c r="B5410" s="6">
        <v>396.875</v>
      </c>
      <c r="C5410" s="6">
        <v>20.478950000000001</v>
      </c>
      <c r="D5410" s="6">
        <v>67</v>
      </c>
      <c r="E5410" s="6">
        <v>0</v>
      </c>
      <c r="F5410" s="6">
        <v>0</v>
      </c>
      <c r="G5410" s="6">
        <v>13</v>
      </c>
      <c r="H5410" s="6" t="s">
        <v>36458</v>
      </c>
      <c r="I5410" s="6">
        <v>527.4375</v>
      </c>
      <c r="J5410" s="2">
        <f t="shared" si="84"/>
        <v>43748.858014189813</v>
      </c>
    </row>
    <row r="5411" spans="1:10" x14ac:dyDescent="0.25">
      <c r="A5411" s="7" t="s">
        <v>36459</v>
      </c>
      <c r="B5411" s="8">
        <v>396.875</v>
      </c>
      <c r="C5411" s="8">
        <v>20.426300000000001</v>
      </c>
      <c r="D5411" s="8">
        <v>74</v>
      </c>
      <c r="E5411" s="8">
        <v>0</v>
      </c>
      <c r="F5411" s="8">
        <v>0</v>
      </c>
      <c r="G5411" s="8">
        <v>16</v>
      </c>
      <c r="H5411" s="8" t="s">
        <v>36460</v>
      </c>
      <c r="I5411" s="8">
        <v>527.4375</v>
      </c>
      <c r="J5411" s="3">
        <f t="shared" si="84"/>
        <v>43748.858097037031</v>
      </c>
    </row>
    <row r="5412" spans="1:10" x14ac:dyDescent="0.25">
      <c r="A5412" s="5" t="s">
        <v>36461</v>
      </c>
      <c r="B5412" s="6">
        <v>400</v>
      </c>
      <c r="C5412" s="6">
        <v>20.478950000000001</v>
      </c>
      <c r="D5412" s="6">
        <v>75</v>
      </c>
      <c r="E5412" s="6">
        <v>0</v>
      </c>
      <c r="F5412" s="6">
        <v>0</v>
      </c>
      <c r="G5412" s="6">
        <v>12</v>
      </c>
      <c r="H5412" s="6" t="s">
        <v>36462</v>
      </c>
      <c r="I5412" s="6">
        <v>528.1875</v>
      </c>
      <c r="J5412" s="2">
        <f t="shared" si="84"/>
        <v>43748.858180613424</v>
      </c>
    </row>
    <row r="5413" spans="1:10" x14ac:dyDescent="0.25">
      <c r="A5413" s="7" t="s">
        <v>36463</v>
      </c>
      <c r="B5413" s="8">
        <v>400</v>
      </c>
      <c r="C5413" s="8">
        <v>20.478950000000001</v>
      </c>
      <c r="D5413" s="8">
        <v>75</v>
      </c>
      <c r="E5413" s="8">
        <v>0</v>
      </c>
      <c r="F5413" s="8">
        <v>0</v>
      </c>
      <c r="G5413" s="8">
        <v>15</v>
      </c>
      <c r="H5413" s="8" t="s">
        <v>36464</v>
      </c>
      <c r="I5413" s="8">
        <v>528.1875</v>
      </c>
      <c r="J5413" s="3">
        <f t="shared" si="84"/>
        <v>43748.858252488419</v>
      </c>
    </row>
    <row r="5414" spans="1:10" x14ac:dyDescent="0.25">
      <c r="A5414" s="5" t="s">
        <v>36465</v>
      </c>
      <c r="B5414" s="6">
        <v>400</v>
      </c>
      <c r="C5414" s="6">
        <v>20.478950000000001</v>
      </c>
      <c r="D5414" s="6">
        <v>74</v>
      </c>
      <c r="E5414" s="6">
        <v>0</v>
      </c>
      <c r="F5414" s="6">
        <v>0</v>
      </c>
      <c r="G5414" s="6">
        <v>15</v>
      </c>
      <c r="H5414" s="6" t="s">
        <v>36466</v>
      </c>
      <c r="I5414" s="6">
        <v>528.1875</v>
      </c>
      <c r="J5414" s="2">
        <f t="shared" si="84"/>
        <v>43748.858335810182</v>
      </c>
    </row>
    <row r="5415" spans="1:10" x14ac:dyDescent="0.25">
      <c r="A5415" s="7" t="s">
        <v>36467</v>
      </c>
      <c r="B5415" s="8">
        <v>396.875</v>
      </c>
      <c r="C5415" s="8">
        <v>20.478950000000001</v>
      </c>
      <c r="D5415" s="8">
        <v>75</v>
      </c>
      <c r="E5415" s="8">
        <v>0</v>
      </c>
      <c r="F5415" s="8">
        <v>0</v>
      </c>
      <c r="G5415" s="8">
        <v>9</v>
      </c>
      <c r="H5415" s="8" t="s">
        <v>36468</v>
      </c>
      <c r="I5415" s="8">
        <v>527.4375</v>
      </c>
      <c r="J5415" s="3">
        <f t="shared" si="84"/>
        <v>43748.858427858795</v>
      </c>
    </row>
    <row r="5416" spans="1:10" x14ac:dyDescent="0.25">
      <c r="A5416" s="5" t="s">
        <v>36469</v>
      </c>
      <c r="B5416" s="6">
        <v>396.875</v>
      </c>
      <c r="C5416" s="6">
        <v>20.478950000000001</v>
      </c>
      <c r="D5416" s="6">
        <v>77</v>
      </c>
      <c r="E5416" s="6">
        <v>0</v>
      </c>
      <c r="F5416" s="6">
        <v>0</v>
      </c>
      <c r="G5416" s="6">
        <v>15</v>
      </c>
      <c r="H5416" s="6" t="s">
        <v>36470</v>
      </c>
      <c r="I5416" s="6">
        <v>527.4375</v>
      </c>
      <c r="J5416" s="2">
        <f t="shared" si="84"/>
        <v>43748.858502696756</v>
      </c>
    </row>
    <row r="5417" spans="1:10" x14ac:dyDescent="0.25">
      <c r="A5417" s="7" t="s">
        <v>36471</v>
      </c>
      <c r="B5417" s="8">
        <v>393.75</v>
      </c>
      <c r="C5417" s="8">
        <v>20.478950000000001</v>
      </c>
      <c r="D5417" s="8">
        <v>77</v>
      </c>
      <c r="E5417" s="8">
        <v>0</v>
      </c>
      <c r="F5417" s="8">
        <v>0</v>
      </c>
      <c r="G5417" s="8">
        <v>9</v>
      </c>
      <c r="H5417" s="8" t="s">
        <v>36472</v>
      </c>
      <c r="I5417" s="8">
        <v>526.5</v>
      </c>
      <c r="J5417" s="3">
        <f t="shared" si="84"/>
        <v>43748.85858591435</v>
      </c>
    </row>
    <row r="5418" spans="1:10" x14ac:dyDescent="0.25">
      <c r="A5418" s="5" t="s">
        <v>36473</v>
      </c>
      <c r="B5418" s="6">
        <v>396.875</v>
      </c>
      <c r="C5418" s="6">
        <v>20.478950000000001</v>
      </c>
      <c r="D5418" s="6">
        <v>65</v>
      </c>
      <c r="E5418" s="6">
        <v>0</v>
      </c>
      <c r="F5418" s="6">
        <v>0</v>
      </c>
      <c r="G5418" s="6">
        <v>0</v>
      </c>
      <c r="H5418" s="6" t="s">
        <v>36474</v>
      </c>
      <c r="I5418" s="6">
        <v>527.4375</v>
      </c>
      <c r="J5418" s="2">
        <f t="shared" si="84"/>
        <v>43748.858897384256</v>
      </c>
    </row>
    <row r="5419" spans="1:10" x14ac:dyDescent="0.25">
      <c r="A5419" s="7" t="s">
        <v>36475</v>
      </c>
      <c r="B5419" s="8">
        <v>396.875</v>
      </c>
      <c r="C5419" s="8">
        <v>20.478950000000001</v>
      </c>
      <c r="D5419" s="8">
        <v>70</v>
      </c>
      <c r="E5419" s="8">
        <v>0</v>
      </c>
      <c r="F5419" s="8">
        <v>0</v>
      </c>
      <c r="G5419" s="8">
        <v>0</v>
      </c>
      <c r="H5419" s="8" t="s">
        <v>36476</v>
      </c>
      <c r="I5419" s="8">
        <v>527.4375</v>
      </c>
      <c r="J5419" s="3">
        <f t="shared" si="84"/>
        <v>43748.858977268515</v>
      </c>
    </row>
    <row r="5420" spans="1:10" x14ac:dyDescent="0.25">
      <c r="A5420" s="5" t="s">
        <v>36477</v>
      </c>
      <c r="B5420" s="6">
        <v>400</v>
      </c>
      <c r="C5420" s="6">
        <v>20.478950000000001</v>
      </c>
      <c r="D5420" s="6">
        <v>70</v>
      </c>
      <c r="E5420" s="6">
        <v>0</v>
      </c>
      <c r="F5420" s="6">
        <v>0</v>
      </c>
      <c r="G5420" s="6">
        <v>0</v>
      </c>
      <c r="H5420" s="6" t="s">
        <v>36478</v>
      </c>
      <c r="I5420" s="6">
        <v>528.1875</v>
      </c>
      <c r="J5420" s="2">
        <f t="shared" si="84"/>
        <v>43748.859073784719</v>
      </c>
    </row>
    <row r="5421" spans="1:10" x14ac:dyDescent="0.25">
      <c r="A5421" s="7" t="s">
        <v>36479</v>
      </c>
      <c r="B5421" s="8">
        <v>418.75</v>
      </c>
      <c r="C5421" s="8">
        <v>20.478950000000001</v>
      </c>
      <c r="D5421" s="8">
        <v>70</v>
      </c>
      <c r="E5421" s="8">
        <v>0</v>
      </c>
      <c r="F5421" s="8">
        <v>0</v>
      </c>
      <c r="G5421" s="8">
        <v>0</v>
      </c>
      <c r="H5421" s="8" t="s">
        <v>36480</v>
      </c>
      <c r="I5421" s="8">
        <v>534</v>
      </c>
      <c r="J5421" s="3">
        <f t="shared" si="84"/>
        <v>43748.859156342594</v>
      </c>
    </row>
    <row r="5422" spans="1:10" x14ac:dyDescent="0.25">
      <c r="A5422" s="5" t="s">
        <v>36481</v>
      </c>
      <c r="B5422" s="6">
        <v>400</v>
      </c>
      <c r="C5422" s="6">
        <v>20.478950000000001</v>
      </c>
      <c r="D5422" s="6">
        <v>71</v>
      </c>
      <c r="E5422" s="6">
        <v>0</v>
      </c>
      <c r="F5422" s="6">
        <v>0</v>
      </c>
      <c r="G5422" s="6">
        <v>0</v>
      </c>
      <c r="H5422" s="6" t="s">
        <v>36482</v>
      </c>
      <c r="I5422" s="6">
        <v>528.1875</v>
      </c>
      <c r="J5422" s="2">
        <f t="shared" si="84"/>
        <v>43748.859239675927</v>
      </c>
    </row>
    <row r="5423" spans="1:10" x14ac:dyDescent="0.25">
      <c r="A5423" s="7" t="s">
        <v>36483</v>
      </c>
      <c r="B5423" s="8">
        <v>400</v>
      </c>
      <c r="C5423" s="8">
        <v>20.478950000000001</v>
      </c>
      <c r="D5423" s="8">
        <v>71</v>
      </c>
      <c r="E5423" s="8">
        <v>0</v>
      </c>
      <c r="F5423" s="8">
        <v>0</v>
      </c>
      <c r="G5423" s="8">
        <v>6</v>
      </c>
      <c r="H5423" s="8" t="s">
        <v>36484</v>
      </c>
      <c r="I5423" s="8">
        <v>528.1875</v>
      </c>
      <c r="J5423" s="3">
        <f t="shared" si="84"/>
        <v>43748.859323078701</v>
      </c>
    </row>
    <row r="5424" spans="1:10" x14ac:dyDescent="0.25">
      <c r="A5424" s="5" t="s">
        <v>36485</v>
      </c>
      <c r="B5424" s="6">
        <v>400</v>
      </c>
      <c r="C5424" s="6">
        <v>20.478950000000001</v>
      </c>
      <c r="D5424" s="6">
        <v>74</v>
      </c>
      <c r="E5424" s="6">
        <v>0</v>
      </c>
      <c r="F5424" s="6">
        <v>0</v>
      </c>
      <c r="G5424" s="6">
        <v>8</v>
      </c>
      <c r="H5424" s="6" t="s">
        <v>36486</v>
      </c>
      <c r="I5424" s="6">
        <v>528.375</v>
      </c>
      <c r="J5424" s="2">
        <f t="shared" si="84"/>
        <v>43748.859406666663</v>
      </c>
    </row>
    <row r="5425" spans="1:10" x14ac:dyDescent="0.25">
      <c r="A5425" s="7" t="s">
        <v>36487</v>
      </c>
      <c r="B5425" s="8">
        <v>400</v>
      </c>
      <c r="C5425" s="8">
        <v>20.478950000000001</v>
      </c>
      <c r="D5425" s="8">
        <v>74</v>
      </c>
      <c r="E5425" s="8">
        <v>0</v>
      </c>
      <c r="F5425" s="8">
        <v>0</v>
      </c>
      <c r="G5425" s="8">
        <v>0</v>
      </c>
      <c r="H5425" s="8" t="s">
        <v>36488</v>
      </c>
      <c r="I5425" s="8">
        <v>528.1875</v>
      </c>
      <c r="J5425" s="3">
        <f t="shared" si="84"/>
        <v>43748.859489768518</v>
      </c>
    </row>
    <row r="5426" spans="1:10" x14ac:dyDescent="0.25">
      <c r="A5426" s="5" t="s">
        <v>36489</v>
      </c>
      <c r="B5426" s="6">
        <v>400</v>
      </c>
      <c r="C5426" s="6">
        <v>20.478950000000001</v>
      </c>
      <c r="D5426" s="6">
        <v>74</v>
      </c>
      <c r="E5426" s="6">
        <v>0</v>
      </c>
      <c r="F5426" s="6">
        <v>0</v>
      </c>
      <c r="G5426" s="6">
        <v>6</v>
      </c>
      <c r="H5426" s="6" t="s">
        <v>36490</v>
      </c>
      <c r="I5426" s="6">
        <v>528.1875</v>
      </c>
      <c r="J5426" s="2">
        <f t="shared" si="84"/>
        <v>43748.859561307872</v>
      </c>
    </row>
    <row r="5427" spans="1:10" x14ac:dyDescent="0.25">
      <c r="A5427" s="7" t="s">
        <v>36491</v>
      </c>
      <c r="B5427" s="8">
        <v>400</v>
      </c>
      <c r="C5427" s="8">
        <v>20.478950000000001</v>
      </c>
      <c r="D5427" s="8">
        <v>74</v>
      </c>
      <c r="E5427" s="8">
        <v>0</v>
      </c>
      <c r="F5427" s="8">
        <v>0</v>
      </c>
      <c r="G5427" s="8">
        <v>5</v>
      </c>
      <c r="H5427" s="8" t="s">
        <v>36492</v>
      </c>
      <c r="I5427" s="8">
        <v>528.1875</v>
      </c>
      <c r="J5427" s="3">
        <f t="shared" si="84"/>
        <v>43748.859645300923</v>
      </c>
    </row>
    <row r="5428" spans="1:10" x14ac:dyDescent="0.25">
      <c r="A5428" s="5" t="s">
        <v>36493</v>
      </c>
      <c r="B5428" s="6">
        <v>400</v>
      </c>
      <c r="C5428" s="6">
        <v>20.478950000000001</v>
      </c>
      <c r="D5428" s="6">
        <v>75</v>
      </c>
      <c r="E5428" s="6">
        <v>0</v>
      </c>
      <c r="F5428" s="6">
        <v>0</v>
      </c>
      <c r="G5428" s="6">
        <v>0</v>
      </c>
      <c r="H5428" s="6" t="s">
        <v>36494</v>
      </c>
      <c r="I5428" s="6">
        <v>528.1875</v>
      </c>
      <c r="J5428" s="2">
        <f t="shared" si="84"/>
        <v>43748.8597286574</v>
      </c>
    </row>
    <row r="5429" spans="1:10" x14ac:dyDescent="0.25">
      <c r="A5429" s="7" t="s">
        <v>36495</v>
      </c>
      <c r="B5429" s="8">
        <v>400</v>
      </c>
      <c r="C5429" s="8">
        <v>20.478950000000001</v>
      </c>
      <c r="D5429" s="8">
        <v>75</v>
      </c>
      <c r="E5429" s="8">
        <v>0</v>
      </c>
      <c r="F5429" s="8">
        <v>0</v>
      </c>
      <c r="G5429" s="8">
        <v>8</v>
      </c>
      <c r="H5429" s="8" t="s">
        <v>36496</v>
      </c>
      <c r="I5429" s="8">
        <v>528.1875</v>
      </c>
      <c r="J5429" s="3">
        <f t="shared" si="84"/>
        <v>43748.859811863418</v>
      </c>
    </row>
    <row r="5430" spans="1:10" x14ac:dyDescent="0.25">
      <c r="A5430" s="5" t="s">
        <v>36497</v>
      </c>
      <c r="B5430" s="6">
        <v>400</v>
      </c>
      <c r="C5430" s="6">
        <v>20.478950000000001</v>
      </c>
      <c r="D5430" s="6">
        <v>75</v>
      </c>
      <c r="E5430" s="6">
        <v>0</v>
      </c>
      <c r="F5430" s="6">
        <v>0</v>
      </c>
      <c r="G5430" s="6">
        <v>9</v>
      </c>
      <c r="H5430" s="6" t="s">
        <v>36498</v>
      </c>
      <c r="I5430" s="6">
        <v>528.1875</v>
      </c>
      <c r="J5430" s="2">
        <f t="shared" si="84"/>
        <v>43748.859883518518</v>
      </c>
    </row>
    <row r="5431" spans="1:10" x14ac:dyDescent="0.25">
      <c r="A5431" s="7" t="s">
        <v>36499</v>
      </c>
      <c r="B5431" s="8">
        <v>400</v>
      </c>
      <c r="C5431" s="8">
        <v>20.478950000000001</v>
      </c>
      <c r="D5431" s="8">
        <v>75</v>
      </c>
      <c r="E5431" s="8">
        <v>0</v>
      </c>
      <c r="F5431" s="8">
        <v>0</v>
      </c>
      <c r="G5431" s="8">
        <v>2</v>
      </c>
      <c r="H5431" s="8" t="s">
        <v>36500</v>
      </c>
      <c r="I5431" s="8">
        <v>528.1875</v>
      </c>
      <c r="J5431" s="3">
        <f t="shared" si="84"/>
        <v>43748.859967210643</v>
      </c>
    </row>
    <row r="5432" spans="1:10" x14ac:dyDescent="0.25">
      <c r="A5432" s="5" t="s">
        <v>36501</v>
      </c>
      <c r="B5432" s="6">
        <v>400</v>
      </c>
      <c r="C5432" s="6">
        <v>20.478950000000001</v>
      </c>
      <c r="D5432" s="6">
        <v>74</v>
      </c>
      <c r="E5432" s="6">
        <v>0</v>
      </c>
      <c r="F5432" s="6">
        <v>0</v>
      </c>
      <c r="G5432" s="6">
        <v>12</v>
      </c>
      <c r="H5432" s="6" t="s">
        <v>36502</v>
      </c>
      <c r="I5432" s="6">
        <v>528.1875</v>
      </c>
      <c r="J5432" s="2">
        <f t="shared" si="84"/>
        <v>43748.860050648145</v>
      </c>
    </row>
    <row r="5433" spans="1:10" x14ac:dyDescent="0.25">
      <c r="A5433" s="7" t="s">
        <v>36503</v>
      </c>
      <c r="B5433" s="8">
        <v>403.125</v>
      </c>
      <c r="C5433" s="8">
        <v>20.478950000000001</v>
      </c>
      <c r="D5433" s="8">
        <v>75</v>
      </c>
      <c r="E5433" s="8">
        <v>0</v>
      </c>
      <c r="F5433" s="8">
        <v>0</v>
      </c>
      <c r="G5433" s="8">
        <v>0</v>
      </c>
      <c r="H5433" s="8" t="s">
        <v>36504</v>
      </c>
      <c r="I5433" s="8">
        <v>529.125</v>
      </c>
      <c r="J5433" s="3">
        <f t="shared" si="84"/>
        <v>43748.860134108792</v>
      </c>
    </row>
    <row r="5434" spans="1:10" x14ac:dyDescent="0.25">
      <c r="A5434" s="5" t="s">
        <v>36505</v>
      </c>
      <c r="B5434" s="6">
        <v>403.125</v>
      </c>
      <c r="C5434" s="6">
        <v>20.478950000000001</v>
      </c>
      <c r="D5434" s="6">
        <v>76</v>
      </c>
      <c r="E5434" s="6">
        <v>0</v>
      </c>
      <c r="F5434" s="6">
        <v>0</v>
      </c>
      <c r="G5434" s="6">
        <v>3</v>
      </c>
      <c r="H5434" s="6" t="s">
        <v>36506</v>
      </c>
      <c r="I5434" s="6">
        <v>529.125</v>
      </c>
      <c r="J5434" s="2">
        <f t="shared" si="84"/>
        <v>43748.860217673609</v>
      </c>
    </row>
    <row r="5435" spans="1:10" x14ac:dyDescent="0.25">
      <c r="A5435" s="7" t="s">
        <v>36507</v>
      </c>
      <c r="B5435" s="8">
        <v>403.125</v>
      </c>
      <c r="C5435" s="8">
        <v>20.478950000000001</v>
      </c>
      <c r="D5435" s="8">
        <v>76</v>
      </c>
      <c r="E5435" s="8">
        <v>0</v>
      </c>
      <c r="F5435" s="8">
        <v>0</v>
      </c>
      <c r="G5435" s="8">
        <v>6</v>
      </c>
      <c r="H5435" s="8" t="s">
        <v>36508</v>
      </c>
      <c r="I5435" s="8">
        <v>529.125</v>
      </c>
      <c r="J5435" s="3">
        <f t="shared" si="84"/>
        <v>43748.860300972221</v>
      </c>
    </row>
    <row r="5436" spans="1:10" x14ac:dyDescent="0.25">
      <c r="A5436" s="5" t="s">
        <v>36509</v>
      </c>
      <c r="B5436" s="6">
        <v>403.125</v>
      </c>
      <c r="C5436" s="6">
        <v>20.478950000000001</v>
      </c>
      <c r="D5436" s="6">
        <v>76</v>
      </c>
      <c r="E5436" s="6">
        <v>0</v>
      </c>
      <c r="F5436" s="6">
        <v>0</v>
      </c>
      <c r="G5436" s="6">
        <v>3</v>
      </c>
      <c r="H5436" s="6" t="s">
        <v>36510</v>
      </c>
      <c r="I5436" s="6">
        <v>529.125</v>
      </c>
      <c r="J5436" s="2">
        <f t="shared" si="84"/>
        <v>43748.860372662035</v>
      </c>
    </row>
    <row r="5437" spans="1:10" x14ac:dyDescent="0.25">
      <c r="A5437" s="7" t="s">
        <v>36511</v>
      </c>
      <c r="B5437" s="8">
        <v>403.125</v>
      </c>
      <c r="C5437" s="8">
        <v>20.478950000000001</v>
      </c>
      <c r="D5437" s="8">
        <v>75</v>
      </c>
      <c r="E5437" s="8">
        <v>0</v>
      </c>
      <c r="F5437" s="8">
        <v>0</v>
      </c>
      <c r="G5437" s="8">
        <v>2</v>
      </c>
      <c r="H5437" s="8" t="s">
        <v>36512</v>
      </c>
      <c r="I5437" s="8">
        <v>529.125</v>
      </c>
      <c r="J5437" s="3">
        <f t="shared" si="84"/>
        <v>43748.860456400456</v>
      </c>
    </row>
    <row r="5438" spans="1:10" x14ac:dyDescent="0.25">
      <c r="A5438" s="5" t="s">
        <v>36513</v>
      </c>
      <c r="B5438" s="6">
        <v>403.125</v>
      </c>
      <c r="C5438" s="6">
        <v>20.478950000000001</v>
      </c>
      <c r="D5438" s="6">
        <v>75</v>
      </c>
      <c r="E5438" s="6">
        <v>0</v>
      </c>
      <c r="F5438" s="6">
        <v>0</v>
      </c>
      <c r="G5438" s="6">
        <v>0</v>
      </c>
      <c r="H5438" s="6" t="s">
        <v>36514</v>
      </c>
      <c r="I5438" s="6">
        <v>529.125</v>
      </c>
      <c r="J5438" s="2">
        <f t="shared" si="84"/>
        <v>43748.860539652778</v>
      </c>
    </row>
    <row r="5439" spans="1:10" x14ac:dyDescent="0.25">
      <c r="A5439" s="7" t="s">
        <v>36515</v>
      </c>
      <c r="B5439" s="8">
        <v>400</v>
      </c>
      <c r="C5439" s="8">
        <v>20.478950000000001</v>
      </c>
      <c r="D5439" s="8">
        <v>75</v>
      </c>
      <c r="E5439" s="8">
        <v>0</v>
      </c>
      <c r="F5439" s="8">
        <v>0</v>
      </c>
      <c r="G5439" s="8">
        <v>4</v>
      </c>
      <c r="H5439" s="8" t="s">
        <v>36516</v>
      </c>
      <c r="I5439" s="8">
        <v>528.1875</v>
      </c>
      <c r="J5439" s="3">
        <f t="shared" si="84"/>
        <v>43748.860622997679</v>
      </c>
    </row>
    <row r="5440" spans="1:10" x14ac:dyDescent="0.25">
      <c r="A5440" s="5" t="s">
        <v>36517</v>
      </c>
      <c r="B5440" s="6">
        <v>396.875</v>
      </c>
      <c r="C5440" s="6">
        <v>20.478950000000001</v>
      </c>
      <c r="D5440" s="6">
        <v>75</v>
      </c>
      <c r="E5440" s="6">
        <v>0</v>
      </c>
      <c r="F5440" s="6">
        <v>0</v>
      </c>
      <c r="G5440" s="6">
        <v>3</v>
      </c>
      <c r="H5440" s="6" t="s">
        <v>36518</v>
      </c>
      <c r="I5440" s="6">
        <v>527.4375</v>
      </c>
      <c r="J5440" s="2">
        <f t="shared" si="84"/>
        <v>43748.860697187498</v>
      </c>
    </row>
    <row r="5441" spans="1:10" x14ac:dyDescent="0.25">
      <c r="A5441" s="7" t="s">
        <v>36519</v>
      </c>
      <c r="B5441" s="8">
        <v>396.875</v>
      </c>
      <c r="C5441" s="8">
        <v>20.478950000000001</v>
      </c>
      <c r="D5441" s="8">
        <v>75</v>
      </c>
      <c r="E5441" s="8">
        <v>0</v>
      </c>
      <c r="F5441" s="8">
        <v>0</v>
      </c>
      <c r="G5441" s="8">
        <v>4</v>
      </c>
      <c r="H5441" s="8" t="s">
        <v>36520</v>
      </c>
      <c r="I5441" s="8">
        <v>527.4375</v>
      </c>
      <c r="J5441" s="3">
        <f t="shared" si="84"/>
        <v>43748.860778206021</v>
      </c>
    </row>
    <row r="5442" spans="1:10" x14ac:dyDescent="0.25">
      <c r="A5442" s="5" t="s">
        <v>36521</v>
      </c>
      <c r="B5442" s="6">
        <v>396.875</v>
      </c>
      <c r="C5442" s="6">
        <v>20.478950000000001</v>
      </c>
      <c r="D5442" s="6">
        <v>75</v>
      </c>
      <c r="E5442" s="6">
        <v>0</v>
      </c>
      <c r="F5442" s="6">
        <v>0</v>
      </c>
      <c r="G5442" s="6">
        <v>9</v>
      </c>
      <c r="H5442" s="6" t="s">
        <v>36522</v>
      </c>
      <c r="I5442" s="6">
        <v>527.4375</v>
      </c>
      <c r="J5442" s="2">
        <f t="shared" ref="J5442:J5505" si="85">(H5442/86400000)+25569+(7/24)</f>
        <v>43748.860861759262</v>
      </c>
    </row>
    <row r="5443" spans="1:10" x14ac:dyDescent="0.25">
      <c r="A5443" s="7" t="s">
        <v>36523</v>
      </c>
      <c r="B5443" s="8">
        <v>396.875</v>
      </c>
      <c r="C5443" s="8">
        <v>20.478950000000001</v>
      </c>
      <c r="D5443" s="8">
        <v>75</v>
      </c>
      <c r="E5443" s="8">
        <v>0</v>
      </c>
      <c r="F5443" s="8">
        <v>0</v>
      </c>
      <c r="G5443" s="8">
        <v>9</v>
      </c>
      <c r="H5443" s="8" t="s">
        <v>36524</v>
      </c>
      <c r="I5443" s="8">
        <v>527.4375</v>
      </c>
      <c r="J5443" s="3">
        <f t="shared" si="85"/>
        <v>43748.860945208326</v>
      </c>
    </row>
    <row r="5444" spans="1:10" x14ac:dyDescent="0.25">
      <c r="A5444" s="5" t="s">
        <v>36525</v>
      </c>
      <c r="B5444" s="6">
        <v>396.875</v>
      </c>
      <c r="C5444" s="6">
        <v>20.478950000000001</v>
      </c>
      <c r="D5444" s="6">
        <v>75</v>
      </c>
      <c r="E5444" s="6">
        <v>0</v>
      </c>
      <c r="F5444" s="6">
        <v>0</v>
      </c>
      <c r="G5444" s="6">
        <v>3</v>
      </c>
      <c r="H5444" s="6" t="s">
        <v>36526</v>
      </c>
      <c r="I5444" s="6">
        <v>527.4375</v>
      </c>
      <c r="J5444" s="2">
        <f t="shared" si="85"/>
        <v>43748.861028645835</v>
      </c>
    </row>
    <row r="5445" spans="1:10" x14ac:dyDescent="0.25">
      <c r="A5445" s="7" t="s">
        <v>36527</v>
      </c>
      <c r="B5445" s="8">
        <v>396.875</v>
      </c>
      <c r="C5445" s="8">
        <v>20.478950000000001</v>
      </c>
      <c r="D5445" s="8">
        <v>74</v>
      </c>
      <c r="E5445" s="8">
        <v>0</v>
      </c>
      <c r="F5445" s="8">
        <v>0</v>
      </c>
      <c r="G5445" s="8">
        <v>8</v>
      </c>
      <c r="H5445" s="8" t="s">
        <v>36528</v>
      </c>
      <c r="I5445" s="8">
        <v>527.4375</v>
      </c>
      <c r="J5445" s="3">
        <f t="shared" si="85"/>
        <v>43748.861100173606</v>
      </c>
    </row>
    <row r="5446" spans="1:10" x14ac:dyDescent="0.25">
      <c r="A5446" s="5" t="s">
        <v>36529</v>
      </c>
      <c r="B5446" s="6">
        <v>396.875</v>
      </c>
      <c r="C5446" s="6">
        <v>20.478950000000001</v>
      </c>
      <c r="D5446" s="6">
        <v>74</v>
      </c>
      <c r="E5446" s="6">
        <v>0</v>
      </c>
      <c r="F5446" s="6">
        <v>0</v>
      </c>
      <c r="G5446" s="6">
        <v>5</v>
      </c>
      <c r="H5446" s="6" t="s">
        <v>36530</v>
      </c>
      <c r="I5446" s="6">
        <v>527.4375</v>
      </c>
      <c r="J5446" s="2">
        <f t="shared" si="85"/>
        <v>43748.861183738423</v>
      </c>
    </row>
    <row r="5447" spans="1:10" x14ac:dyDescent="0.25">
      <c r="A5447" s="7" t="s">
        <v>36531</v>
      </c>
      <c r="B5447" s="8">
        <v>393.75</v>
      </c>
      <c r="C5447" s="8">
        <v>20.478950000000001</v>
      </c>
      <c r="D5447" s="8">
        <v>75</v>
      </c>
      <c r="E5447" s="8">
        <v>0</v>
      </c>
      <c r="F5447" s="8">
        <v>0</v>
      </c>
      <c r="G5447" s="8">
        <v>0</v>
      </c>
      <c r="H5447" s="8" t="s">
        <v>36532</v>
      </c>
      <c r="I5447" s="8">
        <v>526.6875</v>
      </c>
      <c r="J5447" s="3">
        <f t="shared" si="85"/>
        <v>43748.861267523149</v>
      </c>
    </row>
    <row r="5448" spans="1:10" x14ac:dyDescent="0.25">
      <c r="A5448" s="5" t="s">
        <v>36533</v>
      </c>
      <c r="B5448" s="6">
        <v>393.75</v>
      </c>
      <c r="C5448" s="6">
        <v>20.478950000000001</v>
      </c>
      <c r="D5448" s="6">
        <v>75</v>
      </c>
      <c r="E5448" s="6">
        <v>0</v>
      </c>
      <c r="F5448" s="6">
        <v>0</v>
      </c>
      <c r="G5448" s="6">
        <v>9</v>
      </c>
      <c r="H5448" s="6" t="s">
        <v>36534</v>
      </c>
      <c r="I5448" s="6">
        <v>526.6875</v>
      </c>
      <c r="J5448" s="2">
        <f t="shared" si="85"/>
        <v>43748.861350671294</v>
      </c>
    </row>
    <row r="5449" spans="1:10" x14ac:dyDescent="0.25">
      <c r="A5449" s="7" t="s">
        <v>36535</v>
      </c>
      <c r="B5449" s="8">
        <v>393.75</v>
      </c>
      <c r="C5449" s="8">
        <v>20.478950000000001</v>
      </c>
      <c r="D5449" s="8">
        <v>75</v>
      </c>
      <c r="E5449" s="8">
        <v>0</v>
      </c>
      <c r="F5449" s="8">
        <v>0</v>
      </c>
      <c r="G5449" s="8">
        <v>4</v>
      </c>
      <c r="H5449" s="8" t="s">
        <v>36536</v>
      </c>
      <c r="I5449" s="8">
        <v>526.6875</v>
      </c>
      <c r="J5449" s="3">
        <f t="shared" si="85"/>
        <v>43748.861434108789</v>
      </c>
    </row>
    <row r="5450" spans="1:10" x14ac:dyDescent="0.25">
      <c r="A5450" s="5" t="s">
        <v>36537</v>
      </c>
      <c r="B5450" s="6">
        <v>393.75</v>
      </c>
      <c r="C5450" s="6">
        <v>20.478950000000001</v>
      </c>
      <c r="D5450" s="6">
        <v>75</v>
      </c>
      <c r="E5450" s="6">
        <v>0</v>
      </c>
      <c r="F5450" s="6">
        <v>0</v>
      </c>
      <c r="G5450" s="6">
        <v>4</v>
      </c>
      <c r="H5450" s="6" t="s">
        <v>36538</v>
      </c>
      <c r="I5450" s="6">
        <v>526.6875</v>
      </c>
      <c r="J5450" s="2">
        <f t="shared" si="85"/>
        <v>43748.861517673613</v>
      </c>
    </row>
    <row r="5451" spans="1:10" x14ac:dyDescent="0.25">
      <c r="A5451" s="7" t="s">
        <v>36539</v>
      </c>
      <c r="B5451" s="8">
        <v>412.5</v>
      </c>
      <c r="C5451" s="8">
        <v>20.478950000000001</v>
      </c>
      <c r="D5451" s="8">
        <v>74</v>
      </c>
      <c r="E5451" s="8">
        <v>0</v>
      </c>
      <c r="F5451" s="8">
        <v>0</v>
      </c>
      <c r="G5451" s="8">
        <v>1</v>
      </c>
      <c r="H5451" s="8" t="s">
        <v>36540</v>
      </c>
      <c r="I5451" s="8">
        <v>532.3125</v>
      </c>
      <c r="J5451" s="3">
        <f t="shared" si="85"/>
        <v>43748.861600752316</v>
      </c>
    </row>
    <row r="5452" spans="1:10" x14ac:dyDescent="0.25">
      <c r="A5452" s="5" t="s">
        <v>36541</v>
      </c>
      <c r="B5452" s="6">
        <v>393.75</v>
      </c>
      <c r="C5452" s="6">
        <v>20.478950000000001</v>
      </c>
      <c r="D5452" s="6">
        <v>74</v>
      </c>
      <c r="E5452" s="6">
        <v>0</v>
      </c>
      <c r="F5452" s="6">
        <v>0</v>
      </c>
      <c r="G5452" s="6">
        <v>6</v>
      </c>
      <c r="H5452" s="6" t="s">
        <v>36542</v>
      </c>
      <c r="I5452" s="6">
        <v>526.6875</v>
      </c>
      <c r="J5452" s="2">
        <f t="shared" si="85"/>
        <v>43748.86169646991</v>
      </c>
    </row>
    <row r="5453" spans="1:10" x14ac:dyDescent="0.25">
      <c r="A5453" s="7" t="s">
        <v>36543</v>
      </c>
      <c r="B5453" s="8">
        <v>393.75</v>
      </c>
      <c r="C5453" s="8">
        <v>20.478950000000001</v>
      </c>
      <c r="D5453" s="8">
        <v>75</v>
      </c>
      <c r="E5453" s="8">
        <v>0</v>
      </c>
      <c r="F5453" s="8">
        <v>0</v>
      </c>
      <c r="G5453" s="8">
        <v>0</v>
      </c>
      <c r="H5453" s="8" t="s">
        <v>36544</v>
      </c>
      <c r="I5453" s="8">
        <v>526.6875</v>
      </c>
      <c r="J5453" s="3">
        <f t="shared" si="85"/>
        <v>43748.86178003472</v>
      </c>
    </row>
    <row r="5454" spans="1:10" x14ac:dyDescent="0.25">
      <c r="A5454" s="5" t="s">
        <v>36545</v>
      </c>
      <c r="B5454" s="6">
        <v>393.75</v>
      </c>
      <c r="C5454" s="6">
        <v>20.478950000000001</v>
      </c>
      <c r="D5454" s="6">
        <v>75</v>
      </c>
      <c r="E5454" s="6">
        <v>0</v>
      </c>
      <c r="F5454" s="6">
        <v>0</v>
      </c>
      <c r="G5454" s="6">
        <v>8</v>
      </c>
      <c r="H5454" s="6" t="s">
        <v>36546</v>
      </c>
      <c r="I5454" s="6">
        <v>526.6875</v>
      </c>
      <c r="J5454" s="2">
        <f t="shared" si="85"/>
        <v>43748.861863715276</v>
      </c>
    </row>
    <row r="5455" spans="1:10" x14ac:dyDescent="0.25">
      <c r="A5455" s="7" t="s">
        <v>36547</v>
      </c>
      <c r="B5455" s="8">
        <v>393.75</v>
      </c>
      <c r="C5455" s="8">
        <v>20.478950000000001</v>
      </c>
      <c r="D5455" s="8">
        <v>75</v>
      </c>
      <c r="E5455" s="8">
        <v>0</v>
      </c>
      <c r="F5455" s="8">
        <v>0</v>
      </c>
      <c r="G5455" s="8">
        <v>13</v>
      </c>
      <c r="H5455" s="8" t="s">
        <v>36548</v>
      </c>
      <c r="I5455" s="8">
        <v>526.5</v>
      </c>
      <c r="J5455" s="3">
        <f t="shared" si="85"/>
        <v>43748.861946921294</v>
      </c>
    </row>
    <row r="5456" spans="1:10" x14ac:dyDescent="0.25">
      <c r="A5456" s="5" t="s">
        <v>36549</v>
      </c>
      <c r="B5456" s="6">
        <v>393.75</v>
      </c>
      <c r="C5456" s="6">
        <v>20.478950000000001</v>
      </c>
      <c r="D5456" s="6">
        <v>75</v>
      </c>
      <c r="E5456" s="6">
        <v>0</v>
      </c>
      <c r="F5456" s="6">
        <v>0</v>
      </c>
      <c r="G5456" s="6">
        <v>11</v>
      </c>
      <c r="H5456" s="6" t="s">
        <v>36550</v>
      </c>
      <c r="I5456" s="6">
        <v>526.6875</v>
      </c>
      <c r="J5456" s="2">
        <f t="shared" si="85"/>
        <v>43748.862030381941</v>
      </c>
    </row>
    <row r="5457" spans="1:10" x14ac:dyDescent="0.25">
      <c r="A5457" s="7" t="s">
        <v>36551</v>
      </c>
      <c r="B5457" s="8">
        <v>393.75</v>
      </c>
      <c r="C5457" s="8">
        <v>20.478950000000001</v>
      </c>
      <c r="D5457" s="8">
        <v>76</v>
      </c>
      <c r="E5457" s="8">
        <v>0</v>
      </c>
      <c r="F5457" s="8">
        <v>0</v>
      </c>
      <c r="G5457" s="8">
        <v>7</v>
      </c>
      <c r="H5457" s="8" t="s">
        <v>36552</v>
      </c>
      <c r="I5457" s="8">
        <v>526.6875</v>
      </c>
      <c r="J5457" s="3">
        <f t="shared" si="85"/>
        <v>43748.862102094907</v>
      </c>
    </row>
    <row r="5458" spans="1:10" x14ac:dyDescent="0.25">
      <c r="A5458" s="5" t="s">
        <v>36553</v>
      </c>
      <c r="B5458" s="6">
        <v>393.75</v>
      </c>
      <c r="C5458" s="6">
        <v>20.478950000000001</v>
      </c>
      <c r="D5458" s="6">
        <v>76</v>
      </c>
      <c r="E5458" s="6">
        <v>0</v>
      </c>
      <c r="F5458" s="6">
        <v>0</v>
      </c>
      <c r="G5458" s="6">
        <v>5</v>
      </c>
      <c r="H5458" s="6" t="s">
        <v>36554</v>
      </c>
      <c r="I5458" s="6">
        <v>526.6875</v>
      </c>
      <c r="J5458" s="2">
        <f t="shared" si="85"/>
        <v>43748.862185451384</v>
      </c>
    </row>
    <row r="5459" spans="1:10" x14ac:dyDescent="0.25">
      <c r="A5459" s="7" t="s">
        <v>36555</v>
      </c>
      <c r="B5459" s="8">
        <v>393.75</v>
      </c>
      <c r="C5459" s="8">
        <v>20.478950000000001</v>
      </c>
      <c r="D5459" s="8">
        <v>75</v>
      </c>
      <c r="E5459" s="8">
        <v>0</v>
      </c>
      <c r="F5459" s="8">
        <v>0</v>
      </c>
      <c r="G5459" s="8">
        <v>5</v>
      </c>
      <c r="H5459" s="8" t="s">
        <v>36556</v>
      </c>
      <c r="I5459" s="8">
        <v>526.6875</v>
      </c>
      <c r="J5459" s="3">
        <f t="shared" si="85"/>
        <v>43748.862257442124</v>
      </c>
    </row>
    <row r="5460" spans="1:10" x14ac:dyDescent="0.25">
      <c r="A5460" s="5" t="s">
        <v>36557</v>
      </c>
      <c r="B5460" s="6">
        <v>393.75</v>
      </c>
      <c r="C5460" s="6">
        <v>20.478950000000001</v>
      </c>
      <c r="D5460" s="6">
        <v>74</v>
      </c>
      <c r="E5460" s="6">
        <v>0</v>
      </c>
      <c r="F5460" s="6">
        <v>0</v>
      </c>
      <c r="G5460" s="6">
        <v>1</v>
      </c>
      <c r="H5460" s="6" t="s">
        <v>36558</v>
      </c>
      <c r="I5460" s="6">
        <v>526.6875</v>
      </c>
      <c r="J5460" s="2">
        <f t="shared" si="85"/>
        <v>43748.862340648142</v>
      </c>
    </row>
    <row r="5461" spans="1:10" x14ac:dyDescent="0.25">
      <c r="A5461" s="7" t="s">
        <v>36559</v>
      </c>
      <c r="B5461" s="8">
        <v>393.75</v>
      </c>
      <c r="C5461" s="8">
        <v>20.478950000000001</v>
      </c>
      <c r="D5461" s="8">
        <v>74</v>
      </c>
      <c r="E5461" s="8">
        <v>0</v>
      </c>
      <c r="F5461" s="8">
        <v>0</v>
      </c>
      <c r="G5461" s="8">
        <v>2</v>
      </c>
      <c r="H5461" s="8" t="s">
        <v>36560</v>
      </c>
      <c r="I5461" s="8">
        <v>526.5</v>
      </c>
      <c r="J5461" s="3">
        <f t="shared" si="85"/>
        <v>43748.862411851849</v>
      </c>
    </row>
    <row r="5462" spans="1:10" x14ac:dyDescent="0.25">
      <c r="A5462" s="5" t="s">
        <v>36561</v>
      </c>
      <c r="B5462" s="6">
        <v>393.75</v>
      </c>
      <c r="C5462" s="6">
        <v>20.478950000000001</v>
      </c>
      <c r="D5462" s="6">
        <v>74</v>
      </c>
      <c r="E5462" s="6">
        <v>0</v>
      </c>
      <c r="F5462" s="6">
        <v>0</v>
      </c>
      <c r="G5462" s="6">
        <v>9</v>
      </c>
      <c r="H5462" s="6" t="s">
        <v>36562</v>
      </c>
      <c r="I5462" s="6">
        <v>526.6875</v>
      </c>
      <c r="J5462" s="2">
        <f t="shared" si="85"/>
        <v>43748.862483506942</v>
      </c>
    </row>
    <row r="5463" spans="1:10" x14ac:dyDescent="0.25">
      <c r="A5463" s="7" t="s">
        <v>36563</v>
      </c>
      <c r="B5463" s="8">
        <v>393.75</v>
      </c>
      <c r="C5463" s="8">
        <v>20.478950000000001</v>
      </c>
      <c r="D5463" s="8">
        <v>74</v>
      </c>
      <c r="E5463" s="8">
        <v>0</v>
      </c>
      <c r="F5463" s="8">
        <v>0</v>
      </c>
      <c r="G5463" s="8">
        <v>5</v>
      </c>
      <c r="H5463" s="8" t="s">
        <v>36564</v>
      </c>
      <c r="I5463" s="8">
        <v>526.6875</v>
      </c>
      <c r="J5463" s="3">
        <f t="shared" si="85"/>
        <v>43748.862567175922</v>
      </c>
    </row>
    <row r="5464" spans="1:10" x14ac:dyDescent="0.25">
      <c r="A5464" s="5" t="s">
        <v>36565</v>
      </c>
      <c r="B5464" s="6">
        <v>393.75</v>
      </c>
      <c r="C5464" s="6">
        <v>20.478950000000001</v>
      </c>
      <c r="D5464" s="6">
        <v>74</v>
      </c>
      <c r="E5464" s="6">
        <v>0</v>
      </c>
      <c r="F5464" s="6">
        <v>0</v>
      </c>
      <c r="G5464" s="6">
        <v>11</v>
      </c>
      <c r="H5464" s="6" t="s">
        <v>36566</v>
      </c>
      <c r="I5464" s="6">
        <v>526.6875</v>
      </c>
      <c r="J5464" s="2">
        <f t="shared" si="85"/>
        <v>43748.862650624993</v>
      </c>
    </row>
    <row r="5465" spans="1:10" x14ac:dyDescent="0.25">
      <c r="A5465" s="7" t="s">
        <v>36567</v>
      </c>
      <c r="B5465" s="8">
        <v>393.75</v>
      </c>
      <c r="C5465" s="8">
        <v>20.478950000000001</v>
      </c>
      <c r="D5465" s="8">
        <v>74</v>
      </c>
      <c r="E5465" s="8">
        <v>0</v>
      </c>
      <c r="F5465" s="8">
        <v>0</v>
      </c>
      <c r="G5465" s="8">
        <v>7</v>
      </c>
      <c r="H5465" s="8" t="s">
        <v>36568</v>
      </c>
      <c r="I5465" s="8">
        <v>526.6875</v>
      </c>
      <c r="J5465" s="3">
        <f t="shared" si="85"/>
        <v>43748.862734085647</v>
      </c>
    </row>
    <row r="5466" spans="1:10" x14ac:dyDescent="0.25">
      <c r="A5466" s="5" t="s">
        <v>36569</v>
      </c>
      <c r="B5466" s="6">
        <v>393.75</v>
      </c>
      <c r="C5466" s="6">
        <v>20.478950000000001</v>
      </c>
      <c r="D5466" s="6">
        <v>74</v>
      </c>
      <c r="E5466" s="6">
        <v>0</v>
      </c>
      <c r="F5466" s="6">
        <v>0</v>
      </c>
      <c r="G5466" s="6">
        <v>2</v>
      </c>
      <c r="H5466" s="6" t="s">
        <v>36570</v>
      </c>
      <c r="I5466" s="6">
        <v>526.5</v>
      </c>
      <c r="J5466" s="2">
        <f t="shared" si="85"/>
        <v>43748.862805810182</v>
      </c>
    </row>
    <row r="5467" spans="1:10" x14ac:dyDescent="0.25">
      <c r="A5467" s="7" t="s">
        <v>36571</v>
      </c>
      <c r="B5467" s="8">
        <v>393.75</v>
      </c>
      <c r="C5467" s="8">
        <v>20.478950000000001</v>
      </c>
      <c r="D5467" s="8">
        <v>76</v>
      </c>
      <c r="E5467" s="8">
        <v>0</v>
      </c>
      <c r="F5467" s="8">
        <v>0</v>
      </c>
      <c r="G5467" s="8">
        <v>2</v>
      </c>
      <c r="H5467" s="8" t="s">
        <v>36572</v>
      </c>
      <c r="I5467" s="8">
        <v>526.6875</v>
      </c>
      <c r="J5467" s="3">
        <f t="shared" si="85"/>
        <v>43748.862889166667</v>
      </c>
    </row>
    <row r="5468" spans="1:10" x14ac:dyDescent="0.25">
      <c r="A5468" s="5" t="s">
        <v>36573</v>
      </c>
      <c r="B5468" s="6">
        <v>393.75</v>
      </c>
      <c r="C5468" s="6">
        <v>20.478950000000001</v>
      </c>
      <c r="D5468" s="6">
        <v>76</v>
      </c>
      <c r="E5468" s="6">
        <v>0</v>
      </c>
      <c r="F5468" s="6">
        <v>0</v>
      </c>
      <c r="G5468" s="6">
        <v>0</v>
      </c>
      <c r="H5468" s="6" t="s">
        <v>36574</v>
      </c>
      <c r="I5468" s="6">
        <v>526.6875</v>
      </c>
      <c r="J5468" s="2">
        <f t="shared" si="85"/>
        <v>43748.862972604162</v>
      </c>
    </row>
    <row r="5469" spans="1:10" x14ac:dyDescent="0.25">
      <c r="A5469" s="7" t="s">
        <v>36575</v>
      </c>
      <c r="B5469" s="8">
        <v>412.5</v>
      </c>
      <c r="C5469" s="8">
        <v>20.478950000000001</v>
      </c>
      <c r="D5469" s="8">
        <v>77</v>
      </c>
      <c r="E5469" s="8">
        <v>0</v>
      </c>
      <c r="F5469" s="8">
        <v>0</v>
      </c>
      <c r="G5469" s="8">
        <v>0</v>
      </c>
      <c r="H5469" s="8" t="s">
        <v>36576</v>
      </c>
      <c r="I5469" s="8">
        <v>532.3125</v>
      </c>
      <c r="J5469" s="3">
        <f t="shared" si="85"/>
        <v>43748.8630562037</v>
      </c>
    </row>
    <row r="5470" spans="1:10" x14ac:dyDescent="0.25">
      <c r="A5470" s="5" t="s">
        <v>36577</v>
      </c>
      <c r="B5470" s="6">
        <v>393.75</v>
      </c>
      <c r="C5470" s="6">
        <v>20.478950000000001</v>
      </c>
      <c r="D5470" s="6">
        <v>76</v>
      </c>
      <c r="E5470" s="6">
        <v>0</v>
      </c>
      <c r="F5470" s="6">
        <v>0</v>
      </c>
      <c r="G5470" s="6">
        <v>7</v>
      </c>
      <c r="H5470" s="6" t="s">
        <v>36578</v>
      </c>
      <c r="I5470" s="6">
        <v>526.6875</v>
      </c>
      <c r="J5470" s="2">
        <f t="shared" si="85"/>
        <v>43748.863127812496</v>
      </c>
    </row>
    <row r="5471" spans="1:10" x14ac:dyDescent="0.25">
      <c r="A5471" s="7" t="s">
        <v>36579</v>
      </c>
      <c r="B5471" s="8">
        <v>393.75</v>
      </c>
      <c r="C5471" s="8">
        <v>20.478950000000001</v>
      </c>
      <c r="D5471" s="8">
        <v>76</v>
      </c>
      <c r="E5471" s="8">
        <v>0</v>
      </c>
      <c r="F5471" s="8">
        <v>0</v>
      </c>
      <c r="G5471" s="8">
        <v>8</v>
      </c>
      <c r="H5471" s="8" t="s">
        <v>36580</v>
      </c>
      <c r="I5471" s="8">
        <v>526.6875</v>
      </c>
      <c r="J5471" s="3">
        <f t="shared" si="85"/>
        <v>43748.863211157404</v>
      </c>
    </row>
    <row r="5472" spans="1:10" x14ac:dyDescent="0.25">
      <c r="A5472" s="5" t="s">
        <v>36581</v>
      </c>
      <c r="B5472" s="6">
        <v>393.75</v>
      </c>
      <c r="C5472" s="6">
        <v>20.478950000000001</v>
      </c>
      <c r="D5472" s="6">
        <v>78</v>
      </c>
      <c r="E5472" s="6">
        <v>0</v>
      </c>
      <c r="F5472" s="6">
        <v>0</v>
      </c>
      <c r="G5472" s="6">
        <v>12</v>
      </c>
      <c r="H5472" s="6" t="s">
        <v>36582</v>
      </c>
      <c r="I5472" s="6">
        <v>526.6875</v>
      </c>
      <c r="J5472" s="2">
        <f t="shared" si="85"/>
        <v>43748.86328302083</v>
      </c>
    </row>
    <row r="5473" spans="1:10" x14ac:dyDescent="0.25">
      <c r="A5473" s="7" t="s">
        <v>36583</v>
      </c>
      <c r="B5473" s="8">
        <v>393.75</v>
      </c>
      <c r="C5473" s="8">
        <v>20.478950000000001</v>
      </c>
      <c r="D5473" s="8">
        <v>78</v>
      </c>
      <c r="E5473" s="8">
        <v>0</v>
      </c>
      <c r="F5473" s="8">
        <v>0</v>
      </c>
      <c r="G5473" s="8">
        <v>9</v>
      </c>
      <c r="H5473" s="8" t="s">
        <v>36584</v>
      </c>
      <c r="I5473" s="8">
        <v>526.6875</v>
      </c>
      <c r="J5473" s="3">
        <f t="shared" si="85"/>
        <v>43748.863354317124</v>
      </c>
    </row>
    <row r="5474" spans="1:10" x14ac:dyDescent="0.25">
      <c r="A5474" s="5" t="s">
        <v>36585</v>
      </c>
      <c r="B5474" s="6">
        <v>393.75</v>
      </c>
      <c r="C5474" s="6">
        <v>20.478950000000001</v>
      </c>
      <c r="D5474" s="6">
        <v>78</v>
      </c>
      <c r="E5474" s="6">
        <v>0</v>
      </c>
      <c r="F5474" s="6">
        <v>0</v>
      </c>
      <c r="G5474" s="6">
        <v>15</v>
      </c>
      <c r="H5474" s="6" t="s">
        <v>36586</v>
      </c>
      <c r="I5474" s="6">
        <v>526.6875</v>
      </c>
      <c r="J5474" s="2">
        <f t="shared" si="85"/>
        <v>43748.863437777771</v>
      </c>
    </row>
    <row r="5475" spans="1:10" x14ac:dyDescent="0.25">
      <c r="A5475" s="7" t="s">
        <v>36587</v>
      </c>
      <c r="B5475" s="8">
        <v>421.875</v>
      </c>
      <c r="C5475" s="8">
        <v>20.478950000000001</v>
      </c>
      <c r="D5475" s="8">
        <v>78</v>
      </c>
      <c r="E5475" s="8">
        <v>0</v>
      </c>
      <c r="F5475" s="8">
        <v>0</v>
      </c>
      <c r="G5475" s="8">
        <v>7</v>
      </c>
      <c r="H5475" s="8" t="s">
        <v>36588</v>
      </c>
      <c r="I5475" s="8">
        <v>535.3125</v>
      </c>
      <c r="J5475" s="3">
        <f t="shared" si="85"/>
        <v>43748.86350929398</v>
      </c>
    </row>
    <row r="5476" spans="1:10" x14ac:dyDescent="0.25">
      <c r="A5476" s="5" t="s">
        <v>36589</v>
      </c>
      <c r="B5476" s="6">
        <v>393.75</v>
      </c>
      <c r="C5476" s="6">
        <v>20.478950000000001</v>
      </c>
      <c r="D5476" s="6">
        <v>79</v>
      </c>
      <c r="E5476" s="6">
        <v>0</v>
      </c>
      <c r="F5476" s="6">
        <v>0</v>
      </c>
      <c r="G5476" s="6">
        <v>10</v>
      </c>
      <c r="H5476" s="6" t="s">
        <v>36590</v>
      </c>
      <c r="I5476" s="6">
        <v>526.6875</v>
      </c>
      <c r="J5476" s="2">
        <f t="shared" si="85"/>
        <v>43748.863604583334</v>
      </c>
    </row>
    <row r="5477" spans="1:10" x14ac:dyDescent="0.25">
      <c r="A5477" s="7" t="s">
        <v>36591</v>
      </c>
      <c r="B5477" s="8">
        <v>393.75</v>
      </c>
      <c r="C5477" s="8">
        <v>20.478950000000001</v>
      </c>
      <c r="D5477" s="8">
        <v>79</v>
      </c>
      <c r="E5477" s="8">
        <v>0</v>
      </c>
      <c r="F5477" s="8">
        <v>0</v>
      </c>
      <c r="G5477" s="8">
        <v>5</v>
      </c>
      <c r="H5477" s="8" t="s">
        <v>36592</v>
      </c>
      <c r="I5477" s="8">
        <v>526.6875</v>
      </c>
      <c r="J5477" s="3">
        <f t="shared" si="85"/>
        <v>43748.863676099536</v>
      </c>
    </row>
    <row r="5478" spans="1:10" x14ac:dyDescent="0.25">
      <c r="A5478" s="5" t="s">
        <v>36593</v>
      </c>
      <c r="B5478" s="6">
        <v>393.75</v>
      </c>
      <c r="C5478" s="6">
        <v>20.478950000000001</v>
      </c>
      <c r="D5478" s="6">
        <v>76</v>
      </c>
      <c r="E5478" s="6">
        <v>0</v>
      </c>
      <c r="F5478" s="6">
        <v>0</v>
      </c>
      <c r="G5478" s="6">
        <v>9</v>
      </c>
      <c r="H5478" s="6" t="s">
        <v>36594</v>
      </c>
      <c r="I5478" s="6">
        <v>526.6875</v>
      </c>
      <c r="J5478" s="2">
        <f t="shared" si="85"/>
        <v>43748.863771805554</v>
      </c>
    </row>
    <row r="5479" spans="1:10" x14ac:dyDescent="0.25">
      <c r="A5479" s="7" t="s">
        <v>36595</v>
      </c>
      <c r="B5479" s="8">
        <v>393.75</v>
      </c>
      <c r="C5479" s="8">
        <v>20.478950000000001</v>
      </c>
      <c r="D5479" s="8">
        <v>75</v>
      </c>
      <c r="E5479" s="8">
        <v>0</v>
      </c>
      <c r="F5479" s="8">
        <v>0</v>
      </c>
      <c r="G5479" s="8">
        <v>11</v>
      </c>
      <c r="H5479" s="8" t="s">
        <v>36596</v>
      </c>
      <c r="I5479" s="8">
        <v>526.6875</v>
      </c>
      <c r="J5479" s="3">
        <f t="shared" si="85"/>
        <v>43748.863843229163</v>
      </c>
    </row>
    <row r="5480" spans="1:10" x14ac:dyDescent="0.25">
      <c r="A5480" s="5" t="s">
        <v>36597</v>
      </c>
      <c r="B5480" s="6">
        <v>412.5</v>
      </c>
      <c r="C5480" s="6">
        <v>20.478950000000001</v>
      </c>
      <c r="D5480" s="6">
        <v>75</v>
      </c>
      <c r="E5480" s="6">
        <v>0</v>
      </c>
      <c r="F5480" s="6">
        <v>0</v>
      </c>
      <c r="G5480" s="6">
        <v>1</v>
      </c>
      <c r="H5480" s="6" t="s">
        <v>36598</v>
      </c>
      <c r="I5480" s="6">
        <v>532.5</v>
      </c>
      <c r="J5480" s="2">
        <f t="shared" si="85"/>
        <v>43748.863926678234</v>
      </c>
    </row>
    <row r="5481" spans="1:10" x14ac:dyDescent="0.25">
      <c r="A5481" s="7" t="s">
        <v>36599</v>
      </c>
      <c r="B5481" s="8">
        <v>393.75</v>
      </c>
      <c r="C5481" s="8">
        <v>20.478950000000001</v>
      </c>
      <c r="D5481" s="8">
        <v>76</v>
      </c>
      <c r="E5481" s="8">
        <v>0</v>
      </c>
      <c r="F5481" s="8">
        <v>0</v>
      </c>
      <c r="G5481" s="8">
        <v>5</v>
      </c>
      <c r="H5481" s="8" t="s">
        <v>36600</v>
      </c>
      <c r="I5481" s="8">
        <v>526.5</v>
      </c>
      <c r="J5481" s="3">
        <f t="shared" si="85"/>
        <v>43748.864010231475</v>
      </c>
    </row>
    <row r="5482" spans="1:10" x14ac:dyDescent="0.25">
      <c r="A5482" s="5" t="s">
        <v>36601</v>
      </c>
      <c r="B5482" s="6">
        <v>393.75</v>
      </c>
      <c r="C5482" s="6">
        <v>20.478950000000001</v>
      </c>
      <c r="D5482" s="6">
        <v>76</v>
      </c>
      <c r="E5482" s="6">
        <v>0</v>
      </c>
      <c r="F5482" s="6">
        <v>0</v>
      </c>
      <c r="G5482" s="6">
        <v>13</v>
      </c>
      <c r="H5482" s="6" t="s">
        <v>36602</v>
      </c>
      <c r="I5482" s="6">
        <v>526.5</v>
      </c>
      <c r="J5482" s="2">
        <f t="shared" si="85"/>
        <v>43748.864081747684</v>
      </c>
    </row>
    <row r="5483" spans="1:10" x14ac:dyDescent="0.25">
      <c r="A5483" s="7" t="s">
        <v>36603</v>
      </c>
      <c r="B5483" s="8">
        <v>393.75</v>
      </c>
      <c r="C5483" s="8">
        <v>20.478950000000001</v>
      </c>
      <c r="D5483" s="8">
        <v>76</v>
      </c>
      <c r="E5483" s="8">
        <v>0</v>
      </c>
      <c r="F5483" s="8">
        <v>0</v>
      </c>
      <c r="G5483" s="8">
        <v>14</v>
      </c>
      <c r="H5483" s="8" t="s">
        <v>36604</v>
      </c>
      <c r="I5483" s="8">
        <v>526.6875</v>
      </c>
      <c r="J5483" s="3">
        <f t="shared" si="85"/>
        <v>43748.86416532407</v>
      </c>
    </row>
    <row r="5484" spans="1:10" x14ac:dyDescent="0.25">
      <c r="A5484" s="5" t="s">
        <v>36605</v>
      </c>
      <c r="B5484" s="6">
        <v>393.75</v>
      </c>
      <c r="C5484" s="6">
        <v>20.478950000000001</v>
      </c>
      <c r="D5484" s="6">
        <v>76</v>
      </c>
      <c r="E5484" s="6">
        <v>0</v>
      </c>
      <c r="F5484" s="6">
        <v>0</v>
      </c>
      <c r="G5484" s="6">
        <v>0</v>
      </c>
      <c r="H5484" s="6" t="s">
        <v>36606</v>
      </c>
      <c r="I5484" s="6">
        <v>526.6875</v>
      </c>
      <c r="J5484" s="2">
        <f t="shared" si="85"/>
        <v>43748.864248900463</v>
      </c>
    </row>
    <row r="5485" spans="1:10" x14ac:dyDescent="0.25">
      <c r="A5485" s="7" t="s">
        <v>36607</v>
      </c>
      <c r="B5485" s="8">
        <v>393.75</v>
      </c>
      <c r="C5485" s="8">
        <v>20.478950000000001</v>
      </c>
      <c r="D5485" s="8">
        <v>75</v>
      </c>
      <c r="E5485" s="8">
        <v>0</v>
      </c>
      <c r="F5485" s="8">
        <v>0</v>
      </c>
      <c r="G5485" s="8">
        <v>1</v>
      </c>
      <c r="H5485" s="8" t="s">
        <v>36608</v>
      </c>
      <c r="I5485" s="8">
        <v>526.5</v>
      </c>
      <c r="J5485" s="3">
        <f t="shared" si="85"/>
        <v>43748.864344849535</v>
      </c>
    </row>
    <row r="5486" spans="1:10" x14ac:dyDescent="0.25">
      <c r="A5486" s="5" t="s">
        <v>36609</v>
      </c>
      <c r="B5486" s="6">
        <v>393.75</v>
      </c>
      <c r="C5486" s="6">
        <v>20.478950000000001</v>
      </c>
      <c r="D5486" s="6">
        <v>75</v>
      </c>
      <c r="E5486" s="6">
        <v>0</v>
      </c>
      <c r="F5486" s="6">
        <v>0</v>
      </c>
      <c r="G5486" s="6">
        <v>2</v>
      </c>
      <c r="H5486" s="6" t="s">
        <v>36610</v>
      </c>
      <c r="I5486" s="6">
        <v>526.6875</v>
      </c>
      <c r="J5486" s="2">
        <f t="shared" si="85"/>
        <v>43748.86442784722</v>
      </c>
    </row>
    <row r="5487" spans="1:10" x14ac:dyDescent="0.25">
      <c r="A5487" s="7" t="s">
        <v>36611</v>
      </c>
      <c r="B5487" s="8">
        <v>393.75</v>
      </c>
      <c r="C5487" s="8">
        <v>20.478950000000001</v>
      </c>
      <c r="D5487" s="8">
        <v>73</v>
      </c>
      <c r="E5487" s="8">
        <v>0</v>
      </c>
      <c r="F5487" s="8">
        <v>0</v>
      </c>
      <c r="G5487" s="8">
        <v>1</v>
      </c>
      <c r="H5487" s="8" t="s">
        <v>36612</v>
      </c>
      <c r="I5487" s="8">
        <v>526.6875</v>
      </c>
      <c r="J5487" s="3">
        <f t="shared" si="85"/>
        <v>43748.864511354164</v>
      </c>
    </row>
    <row r="5488" spans="1:10" x14ac:dyDescent="0.25">
      <c r="A5488" s="5" t="s">
        <v>36613</v>
      </c>
      <c r="B5488" s="6">
        <v>393.75</v>
      </c>
      <c r="C5488" s="6">
        <v>20.478950000000001</v>
      </c>
      <c r="D5488" s="6">
        <v>71</v>
      </c>
      <c r="E5488" s="6">
        <v>0</v>
      </c>
      <c r="F5488" s="6">
        <v>0</v>
      </c>
      <c r="G5488" s="6">
        <v>5</v>
      </c>
      <c r="H5488" s="6" t="s">
        <v>36614</v>
      </c>
      <c r="I5488" s="6">
        <v>526.6875</v>
      </c>
      <c r="J5488" s="2">
        <f t="shared" si="85"/>
        <v>43748.864594988423</v>
      </c>
    </row>
    <row r="5489" spans="1:10" x14ac:dyDescent="0.25">
      <c r="A5489" s="7" t="s">
        <v>36615</v>
      </c>
      <c r="B5489" s="8">
        <v>393.75</v>
      </c>
      <c r="C5489" s="8">
        <v>20.426300000000001</v>
      </c>
      <c r="D5489" s="8">
        <v>71</v>
      </c>
      <c r="E5489" s="8">
        <v>0</v>
      </c>
      <c r="F5489" s="8">
        <v>0</v>
      </c>
      <c r="G5489" s="8">
        <v>7</v>
      </c>
      <c r="H5489" s="8" t="s">
        <v>36616</v>
      </c>
      <c r="I5489" s="8">
        <v>526.5</v>
      </c>
      <c r="J5489" s="3">
        <f t="shared" si="85"/>
        <v>43748.864678518519</v>
      </c>
    </row>
    <row r="5490" spans="1:10" x14ac:dyDescent="0.25">
      <c r="A5490" s="5" t="s">
        <v>36617</v>
      </c>
      <c r="B5490" s="6">
        <v>393.75</v>
      </c>
      <c r="C5490" s="6">
        <v>20.478950000000001</v>
      </c>
      <c r="D5490" s="6">
        <v>74</v>
      </c>
      <c r="E5490" s="6">
        <v>0</v>
      </c>
      <c r="F5490" s="6">
        <v>0</v>
      </c>
      <c r="G5490" s="6">
        <v>7</v>
      </c>
      <c r="H5490" s="6" t="s">
        <v>36618</v>
      </c>
      <c r="I5490" s="6">
        <v>526.5</v>
      </c>
      <c r="J5490" s="2">
        <f t="shared" si="85"/>
        <v>43748.864761921293</v>
      </c>
    </row>
    <row r="5491" spans="1:10" x14ac:dyDescent="0.25">
      <c r="A5491" s="7" t="s">
        <v>36619</v>
      </c>
      <c r="B5491" s="8">
        <v>393.75</v>
      </c>
      <c r="C5491" s="8">
        <v>20.478950000000001</v>
      </c>
      <c r="D5491" s="8">
        <v>75</v>
      </c>
      <c r="E5491" s="8">
        <v>0</v>
      </c>
      <c r="F5491" s="8">
        <v>0</v>
      </c>
      <c r="G5491" s="8">
        <v>10</v>
      </c>
      <c r="H5491" s="8" t="s">
        <v>36620</v>
      </c>
      <c r="I5491" s="8">
        <v>526.6875</v>
      </c>
      <c r="J5491" s="3">
        <f t="shared" si="85"/>
        <v>43748.864845509255</v>
      </c>
    </row>
    <row r="5492" spans="1:10" x14ac:dyDescent="0.25">
      <c r="A5492" s="5" t="s">
        <v>36621</v>
      </c>
      <c r="B5492" s="6">
        <v>393.75</v>
      </c>
      <c r="C5492" s="6">
        <v>20.478950000000001</v>
      </c>
      <c r="D5492" s="6">
        <v>76</v>
      </c>
      <c r="E5492" s="6">
        <v>0</v>
      </c>
      <c r="F5492" s="6">
        <v>0</v>
      </c>
      <c r="G5492" s="6">
        <v>6</v>
      </c>
      <c r="H5492" s="6" t="s">
        <v>36622</v>
      </c>
      <c r="I5492" s="6">
        <v>526.6875</v>
      </c>
      <c r="J5492" s="2">
        <f t="shared" si="85"/>
        <v>43748.864929166659</v>
      </c>
    </row>
    <row r="5493" spans="1:10" x14ac:dyDescent="0.25">
      <c r="A5493" s="7" t="s">
        <v>36623</v>
      </c>
      <c r="B5493" s="8">
        <v>393.75</v>
      </c>
      <c r="C5493" s="8">
        <v>20.478950000000001</v>
      </c>
      <c r="D5493" s="8">
        <v>76</v>
      </c>
      <c r="E5493" s="8">
        <v>0</v>
      </c>
      <c r="F5493" s="8">
        <v>0</v>
      </c>
      <c r="G5493" s="8">
        <v>11</v>
      </c>
      <c r="H5493" s="8" t="s">
        <v>36624</v>
      </c>
      <c r="I5493" s="8">
        <v>526.6875</v>
      </c>
      <c r="J5493" s="3">
        <f t="shared" si="85"/>
        <v>43748.865012268514</v>
      </c>
    </row>
    <row r="5494" spans="1:10" x14ac:dyDescent="0.25">
      <c r="A5494" s="5" t="s">
        <v>36625</v>
      </c>
      <c r="B5494" s="6">
        <v>396.875</v>
      </c>
      <c r="C5494" s="6">
        <v>20.478950000000001</v>
      </c>
      <c r="D5494" s="6">
        <v>76</v>
      </c>
      <c r="E5494" s="6">
        <v>0</v>
      </c>
      <c r="F5494" s="6">
        <v>0</v>
      </c>
      <c r="G5494" s="6">
        <v>4</v>
      </c>
      <c r="H5494" s="6" t="s">
        <v>36626</v>
      </c>
      <c r="I5494" s="6">
        <v>527.25</v>
      </c>
      <c r="J5494" s="2">
        <f t="shared" si="85"/>
        <v>43748.865083761571</v>
      </c>
    </row>
    <row r="5495" spans="1:10" x14ac:dyDescent="0.25">
      <c r="A5495" s="7" t="s">
        <v>36627</v>
      </c>
      <c r="B5495" s="8">
        <v>393.75</v>
      </c>
      <c r="C5495" s="8">
        <v>20.478950000000001</v>
      </c>
      <c r="D5495" s="8">
        <v>76</v>
      </c>
      <c r="E5495" s="8">
        <v>0</v>
      </c>
      <c r="F5495" s="8">
        <v>0</v>
      </c>
      <c r="G5495" s="8">
        <v>11</v>
      </c>
      <c r="H5495" s="8" t="s">
        <v>36628</v>
      </c>
      <c r="I5495" s="8">
        <v>526.6875</v>
      </c>
      <c r="J5495" s="3">
        <f t="shared" si="85"/>
        <v>43748.86516739583</v>
      </c>
    </row>
    <row r="5496" spans="1:10" x14ac:dyDescent="0.25">
      <c r="A5496" s="5" t="s">
        <v>36629</v>
      </c>
      <c r="B5496" s="6">
        <v>393.75</v>
      </c>
      <c r="C5496" s="6">
        <v>20.478950000000001</v>
      </c>
      <c r="D5496" s="6">
        <v>75</v>
      </c>
      <c r="E5496" s="6">
        <v>0</v>
      </c>
      <c r="F5496" s="6">
        <v>0</v>
      </c>
      <c r="G5496" s="6">
        <v>11</v>
      </c>
      <c r="H5496" s="6" t="s">
        <v>36630</v>
      </c>
      <c r="I5496" s="6">
        <v>526.6875</v>
      </c>
      <c r="J5496" s="2">
        <f t="shared" si="85"/>
        <v>43748.865251006944</v>
      </c>
    </row>
    <row r="5497" spans="1:10" x14ac:dyDescent="0.25">
      <c r="A5497" s="7" t="s">
        <v>36631</v>
      </c>
      <c r="B5497" s="8">
        <v>393.75</v>
      </c>
      <c r="C5497" s="8">
        <v>20.478950000000001</v>
      </c>
      <c r="D5497" s="8">
        <v>75</v>
      </c>
      <c r="E5497" s="8">
        <v>0</v>
      </c>
      <c r="F5497" s="8">
        <v>0</v>
      </c>
      <c r="G5497" s="8">
        <v>3</v>
      </c>
      <c r="H5497" s="8" t="s">
        <v>36632</v>
      </c>
      <c r="I5497" s="8">
        <v>526.6875</v>
      </c>
      <c r="J5497" s="3">
        <f t="shared" si="85"/>
        <v>43748.865334317125</v>
      </c>
    </row>
    <row r="5498" spans="1:10" x14ac:dyDescent="0.25">
      <c r="A5498" s="5" t="s">
        <v>36633</v>
      </c>
      <c r="B5498" s="6">
        <v>393.75</v>
      </c>
      <c r="C5498" s="6">
        <v>20.478950000000001</v>
      </c>
      <c r="D5498" s="6">
        <v>75</v>
      </c>
      <c r="E5498" s="6">
        <v>0</v>
      </c>
      <c r="F5498" s="6">
        <v>0</v>
      </c>
      <c r="G5498" s="6">
        <v>4</v>
      </c>
      <c r="H5498" s="6" t="s">
        <v>36634</v>
      </c>
      <c r="I5498" s="6">
        <v>526.6875</v>
      </c>
      <c r="J5498" s="2">
        <f t="shared" si="85"/>
        <v>43748.865417754627</v>
      </c>
    </row>
    <row r="5499" spans="1:10" x14ac:dyDescent="0.25">
      <c r="A5499" s="7" t="s">
        <v>36635</v>
      </c>
      <c r="B5499" s="8">
        <v>393.75</v>
      </c>
      <c r="C5499" s="8">
        <v>20.478950000000001</v>
      </c>
      <c r="D5499" s="8">
        <v>76</v>
      </c>
      <c r="E5499" s="8">
        <v>0</v>
      </c>
      <c r="F5499" s="8">
        <v>0</v>
      </c>
      <c r="G5499" s="8">
        <v>0</v>
      </c>
      <c r="H5499" s="8" t="s">
        <v>36636</v>
      </c>
      <c r="I5499" s="8">
        <v>526.6875</v>
      </c>
      <c r="J5499" s="3">
        <f t="shared" si="85"/>
        <v>43748.865500949069</v>
      </c>
    </row>
    <row r="5500" spans="1:10" x14ac:dyDescent="0.25">
      <c r="A5500" s="5" t="s">
        <v>36637</v>
      </c>
      <c r="B5500" s="6">
        <v>393.75</v>
      </c>
      <c r="C5500" s="6">
        <v>20.478950000000001</v>
      </c>
      <c r="D5500" s="6">
        <v>76</v>
      </c>
      <c r="E5500" s="6">
        <v>0</v>
      </c>
      <c r="F5500" s="6">
        <v>0</v>
      </c>
      <c r="G5500" s="6">
        <v>0</v>
      </c>
      <c r="H5500" s="6" t="s">
        <v>36638</v>
      </c>
      <c r="I5500" s="6">
        <v>526.6875</v>
      </c>
      <c r="J5500" s="2">
        <f t="shared" si="85"/>
        <v>43748.865572615738</v>
      </c>
    </row>
    <row r="5501" spans="1:10" x14ac:dyDescent="0.25">
      <c r="A5501" s="7" t="s">
        <v>36639</v>
      </c>
      <c r="B5501" s="8">
        <v>393.75</v>
      </c>
      <c r="C5501" s="8">
        <v>20.426300000000001</v>
      </c>
      <c r="D5501" s="8">
        <v>78</v>
      </c>
      <c r="E5501" s="8">
        <v>0</v>
      </c>
      <c r="F5501" s="8">
        <v>0</v>
      </c>
      <c r="G5501" s="8">
        <v>10</v>
      </c>
      <c r="H5501" s="8" t="s">
        <v>36640</v>
      </c>
      <c r="I5501" s="8">
        <v>526.5</v>
      </c>
      <c r="J5501" s="3">
        <f t="shared" si="85"/>
        <v>43748.865656504626</v>
      </c>
    </row>
    <row r="5502" spans="1:10" x14ac:dyDescent="0.25">
      <c r="A5502" s="5" t="s">
        <v>36641</v>
      </c>
      <c r="B5502" s="6">
        <v>393.75</v>
      </c>
      <c r="C5502" s="6">
        <v>20.478950000000001</v>
      </c>
      <c r="D5502" s="6">
        <v>79</v>
      </c>
      <c r="E5502" s="6">
        <v>0</v>
      </c>
      <c r="F5502" s="6">
        <v>0</v>
      </c>
      <c r="G5502" s="6">
        <v>8</v>
      </c>
      <c r="H5502" s="6" t="s">
        <v>36642</v>
      </c>
      <c r="I5502" s="6">
        <v>526.6875</v>
      </c>
      <c r="J5502" s="2">
        <f t="shared" si="85"/>
        <v>43748.865739884255</v>
      </c>
    </row>
    <row r="5503" spans="1:10" x14ac:dyDescent="0.25">
      <c r="A5503" s="7" t="s">
        <v>36643</v>
      </c>
      <c r="B5503" s="8">
        <v>393.75</v>
      </c>
      <c r="C5503" s="8">
        <v>20.478950000000001</v>
      </c>
      <c r="D5503" s="8">
        <v>80</v>
      </c>
      <c r="E5503" s="8">
        <v>0</v>
      </c>
      <c r="F5503" s="8">
        <v>0</v>
      </c>
      <c r="G5503" s="8">
        <v>0</v>
      </c>
      <c r="H5503" s="8" t="s">
        <v>36644</v>
      </c>
      <c r="I5503" s="8">
        <v>526.6875</v>
      </c>
      <c r="J5503" s="3">
        <f t="shared" si="85"/>
        <v>43748.865822997679</v>
      </c>
    </row>
    <row r="5504" spans="1:10" x14ac:dyDescent="0.25">
      <c r="A5504" s="5" t="s">
        <v>36645</v>
      </c>
      <c r="B5504" s="6">
        <v>412.5</v>
      </c>
      <c r="C5504" s="6">
        <v>20.478950000000001</v>
      </c>
      <c r="D5504" s="6">
        <v>80</v>
      </c>
      <c r="E5504" s="6">
        <v>0</v>
      </c>
      <c r="F5504" s="6">
        <v>0</v>
      </c>
      <c r="G5504" s="6">
        <v>3</v>
      </c>
      <c r="H5504" s="6" t="s">
        <v>36646</v>
      </c>
      <c r="I5504" s="6">
        <v>532.5</v>
      </c>
      <c r="J5504" s="2">
        <f t="shared" si="85"/>
        <v>43748.865894803239</v>
      </c>
    </row>
    <row r="5505" spans="1:10" x14ac:dyDescent="0.25">
      <c r="A5505" s="7" t="s">
        <v>36647</v>
      </c>
      <c r="B5505" s="8">
        <v>393.75</v>
      </c>
      <c r="C5505" s="8">
        <v>20.478950000000001</v>
      </c>
      <c r="D5505" s="8">
        <v>81</v>
      </c>
      <c r="E5505" s="8">
        <v>0</v>
      </c>
      <c r="F5505" s="8">
        <v>0</v>
      </c>
      <c r="G5505" s="8">
        <v>8</v>
      </c>
      <c r="H5505" s="8" t="s">
        <v>36648</v>
      </c>
      <c r="I5505" s="8">
        <v>526.6875</v>
      </c>
      <c r="J5505" s="3">
        <f t="shared" si="85"/>
        <v>43748.865978402777</v>
      </c>
    </row>
    <row r="5506" spans="1:10" x14ac:dyDescent="0.25">
      <c r="A5506" s="5" t="s">
        <v>36649</v>
      </c>
      <c r="B5506" s="6">
        <v>393.75</v>
      </c>
      <c r="C5506" s="6">
        <v>20.478950000000001</v>
      </c>
      <c r="D5506" s="6">
        <v>80</v>
      </c>
      <c r="E5506" s="6">
        <v>0</v>
      </c>
      <c r="F5506" s="6">
        <v>0</v>
      </c>
      <c r="G5506" s="6">
        <v>11</v>
      </c>
      <c r="H5506" s="6" t="s">
        <v>36650</v>
      </c>
      <c r="I5506" s="6">
        <v>526.6875</v>
      </c>
      <c r="J5506" s="2">
        <f t="shared" ref="J5506:J5569" si="86">(H5506/86400000)+25569+(7/24)</f>
        <v>43748.866061747678</v>
      </c>
    </row>
    <row r="5507" spans="1:10" x14ac:dyDescent="0.25">
      <c r="A5507" s="7" t="s">
        <v>36651</v>
      </c>
      <c r="B5507" s="8">
        <v>396.875</v>
      </c>
      <c r="C5507" s="8">
        <v>20.478950000000001</v>
      </c>
      <c r="D5507" s="8">
        <v>80</v>
      </c>
      <c r="E5507" s="8">
        <v>0</v>
      </c>
      <c r="F5507" s="8">
        <v>0</v>
      </c>
      <c r="G5507" s="8">
        <v>6</v>
      </c>
      <c r="H5507" s="8" t="s">
        <v>36652</v>
      </c>
      <c r="I5507" s="8">
        <v>527.4375</v>
      </c>
      <c r="J5507" s="3">
        <f t="shared" si="86"/>
        <v>43748.866145509259</v>
      </c>
    </row>
    <row r="5508" spans="1:10" x14ac:dyDescent="0.25">
      <c r="A5508" s="5" t="s">
        <v>36653</v>
      </c>
      <c r="B5508" s="6">
        <v>393.75</v>
      </c>
      <c r="C5508" s="6">
        <v>20.478950000000001</v>
      </c>
      <c r="D5508" s="6">
        <v>78</v>
      </c>
      <c r="E5508" s="6">
        <v>0</v>
      </c>
      <c r="F5508" s="6">
        <v>0</v>
      </c>
      <c r="G5508" s="6">
        <v>8</v>
      </c>
      <c r="H5508" s="6" t="s">
        <v>36654</v>
      </c>
      <c r="I5508" s="6">
        <v>526.6875</v>
      </c>
      <c r="J5508" s="2">
        <f t="shared" si="86"/>
        <v>43748.866228831015</v>
      </c>
    </row>
    <row r="5509" spans="1:10" x14ac:dyDescent="0.25">
      <c r="A5509" s="7" t="s">
        <v>36655</v>
      </c>
      <c r="B5509" s="8">
        <v>393.75</v>
      </c>
      <c r="C5509" s="8">
        <v>20.478950000000001</v>
      </c>
      <c r="D5509" s="8">
        <v>79</v>
      </c>
      <c r="E5509" s="8">
        <v>0</v>
      </c>
      <c r="F5509" s="8">
        <v>0</v>
      </c>
      <c r="G5509" s="8">
        <v>8</v>
      </c>
      <c r="H5509" s="8" t="s">
        <v>36656</v>
      </c>
      <c r="I5509" s="8">
        <v>526.6875</v>
      </c>
      <c r="J5509" s="3">
        <f t="shared" si="86"/>
        <v>43748.866312071761</v>
      </c>
    </row>
    <row r="5510" spans="1:10" x14ac:dyDescent="0.25">
      <c r="A5510" s="5" t="s">
        <v>36657</v>
      </c>
      <c r="B5510" s="6">
        <v>393.75</v>
      </c>
      <c r="C5510" s="6">
        <v>20.478950000000001</v>
      </c>
      <c r="D5510" s="6">
        <v>79</v>
      </c>
      <c r="E5510" s="6">
        <v>0</v>
      </c>
      <c r="F5510" s="6">
        <v>0</v>
      </c>
      <c r="G5510" s="6">
        <v>18</v>
      </c>
      <c r="H5510" s="6" t="s">
        <v>36658</v>
      </c>
      <c r="I5510" s="6">
        <v>526.5</v>
      </c>
      <c r="J5510" s="2">
        <f t="shared" si="86"/>
        <v>43748.866384004628</v>
      </c>
    </row>
    <row r="5511" spans="1:10" x14ac:dyDescent="0.25">
      <c r="A5511" s="7" t="s">
        <v>36659</v>
      </c>
      <c r="B5511" s="8">
        <v>393.75</v>
      </c>
      <c r="C5511" s="8">
        <v>20.478950000000001</v>
      </c>
      <c r="D5511" s="8">
        <v>79</v>
      </c>
      <c r="E5511" s="8">
        <v>0</v>
      </c>
      <c r="F5511" s="8">
        <v>0</v>
      </c>
      <c r="G5511" s="8">
        <v>16</v>
      </c>
      <c r="H5511" s="8" t="s">
        <v>36660</v>
      </c>
      <c r="I5511" s="8">
        <v>526.6875</v>
      </c>
      <c r="J5511" s="3">
        <f t="shared" si="86"/>
        <v>43748.866467638887</v>
      </c>
    </row>
    <row r="5512" spans="1:10" x14ac:dyDescent="0.25">
      <c r="A5512" s="5" t="s">
        <v>36661</v>
      </c>
      <c r="B5512" s="6">
        <v>393.75</v>
      </c>
      <c r="C5512" s="6">
        <v>20.478950000000001</v>
      </c>
      <c r="D5512" s="6">
        <v>79</v>
      </c>
      <c r="E5512" s="6">
        <v>0</v>
      </c>
      <c r="F5512" s="6">
        <v>0</v>
      </c>
      <c r="G5512" s="6">
        <v>9</v>
      </c>
      <c r="H5512" s="6" t="s">
        <v>36662</v>
      </c>
      <c r="I5512" s="6">
        <v>526.6875</v>
      </c>
      <c r="J5512" s="2">
        <f t="shared" si="86"/>
        <v>43748.866550925923</v>
      </c>
    </row>
    <row r="5513" spans="1:10" x14ac:dyDescent="0.25">
      <c r="A5513" s="7" t="s">
        <v>36663</v>
      </c>
      <c r="B5513" s="8">
        <v>393.75</v>
      </c>
      <c r="C5513" s="8">
        <v>20.478950000000001</v>
      </c>
      <c r="D5513" s="8">
        <v>78</v>
      </c>
      <c r="E5513" s="8">
        <v>0</v>
      </c>
      <c r="F5513" s="8">
        <v>0</v>
      </c>
      <c r="G5513" s="8">
        <v>17</v>
      </c>
      <c r="H5513" s="8" t="s">
        <v>36664</v>
      </c>
      <c r="I5513" s="8">
        <v>526.6875</v>
      </c>
      <c r="J5513" s="3">
        <f t="shared" si="86"/>
        <v>43748.866634351849</v>
      </c>
    </row>
    <row r="5514" spans="1:10" x14ac:dyDescent="0.25">
      <c r="A5514" s="5" t="s">
        <v>36665</v>
      </c>
      <c r="B5514" s="6">
        <v>440.625</v>
      </c>
      <c r="C5514" s="6">
        <v>20.478950000000001</v>
      </c>
      <c r="D5514" s="6">
        <v>78</v>
      </c>
      <c r="E5514" s="6">
        <v>0</v>
      </c>
      <c r="F5514" s="6">
        <v>0</v>
      </c>
      <c r="G5514" s="6">
        <v>8</v>
      </c>
      <c r="H5514" s="6" t="s">
        <v>36666</v>
      </c>
      <c r="I5514" s="6">
        <v>541.3125</v>
      </c>
      <c r="J5514" s="2">
        <f t="shared" si="86"/>
        <v>43748.86671790509</v>
      </c>
    </row>
    <row r="5515" spans="1:10" x14ac:dyDescent="0.25">
      <c r="A5515" s="7" t="s">
        <v>36667</v>
      </c>
      <c r="B5515" s="8">
        <v>393.75</v>
      </c>
      <c r="C5515" s="8">
        <v>20.478950000000001</v>
      </c>
      <c r="D5515" s="8">
        <v>76</v>
      </c>
      <c r="E5515" s="8">
        <v>0</v>
      </c>
      <c r="F5515" s="8">
        <v>0</v>
      </c>
      <c r="G5515" s="8">
        <v>8</v>
      </c>
      <c r="H5515" s="8" t="s">
        <v>36668</v>
      </c>
      <c r="I5515" s="8">
        <v>526.6875</v>
      </c>
      <c r="J5515" s="3">
        <f t="shared" si="86"/>
        <v>43748.866800914351</v>
      </c>
    </row>
    <row r="5516" spans="1:10" x14ac:dyDescent="0.25">
      <c r="A5516" s="5" t="s">
        <v>36669</v>
      </c>
      <c r="B5516" s="6">
        <v>393.75</v>
      </c>
      <c r="C5516" s="6">
        <v>20.478950000000001</v>
      </c>
      <c r="D5516" s="6">
        <v>76</v>
      </c>
      <c r="E5516" s="6">
        <v>0</v>
      </c>
      <c r="F5516" s="6">
        <v>0</v>
      </c>
      <c r="G5516" s="6">
        <v>8</v>
      </c>
      <c r="H5516" s="6" t="s">
        <v>36670</v>
      </c>
      <c r="I5516" s="6">
        <v>526.6875</v>
      </c>
      <c r="J5516" s="2">
        <f t="shared" si="86"/>
        <v>43748.866872789346</v>
      </c>
    </row>
    <row r="5517" spans="1:10" x14ac:dyDescent="0.25">
      <c r="A5517" s="7" t="s">
        <v>36671</v>
      </c>
      <c r="B5517" s="8">
        <v>393.75</v>
      </c>
      <c r="C5517" s="8">
        <v>20.478950000000001</v>
      </c>
      <c r="D5517" s="8">
        <v>75</v>
      </c>
      <c r="E5517" s="8">
        <v>0</v>
      </c>
      <c r="F5517" s="8">
        <v>0</v>
      </c>
      <c r="G5517" s="8">
        <v>8</v>
      </c>
      <c r="H5517" s="8" t="s">
        <v>36672</v>
      </c>
      <c r="I5517" s="8">
        <v>526.6875</v>
      </c>
      <c r="J5517" s="3">
        <f t="shared" si="86"/>
        <v>43748.866956724531</v>
      </c>
    </row>
    <row r="5518" spans="1:10" x14ac:dyDescent="0.25">
      <c r="A5518" s="5" t="s">
        <v>36673</v>
      </c>
      <c r="B5518" s="6">
        <v>393.75</v>
      </c>
      <c r="C5518" s="6">
        <v>20.478950000000001</v>
      </c>
      <c r="D5518" s="6">
        <v>75</v>
      </c>
      <c r="E5518" s="6">
        <v>0</v>
      </c>
      <c r="F5518" s="6">
        <v>0</v>
      </c>
      <c r="G5518" s="6">
        <v>2</v>
      </c>
      <c r="H5518" s="6" t="s">
        <v>36674</v>
      </c>
      <c r="I5518" s="6">
        <v>526.6875</v>
      </c>
      <c r="J5518" s="2">
        <f t="shared" si="86"/>
        <v>43748.867055925926</v>
      </c>
    </row>
    <row r="5519" spans="1:10" x14ac:dyDescent="0.25">
      <c r="A5519" s="7" t="s">
        <v>36675</v>
      </c>
      <c r="B5519" s="8">
        <v>393.75</v>
      </c>
      <c r="C5519" s="8">
        <v>20.426300000000001</v>
      </c>
      <c r="D5519" s="8">
        <v>76</v>
      </c>
      <c r="E5519" s="8">
        <v>0</v>
      </c>
      <c r="F5519" s="8">
        <v>0</v>
      </c>
      <c r="G5519" s="8">
        <v>12</v>
      </c>
      <c r="H5519" s="8" t="s">
        <v>36676</v>
      </c>
      <c r="I5519" s="8">
        <v>526.6875</v>
      </c>
      <c r="J5519" s="3">
        <f t="shared" si="86"/>
        <v>43748.867135127315</v>
      </c>
    </row>
    <row r="5520" spans="1:10" x14ac:dyDescent="0.25">
      <c r="A5520" s="5" t="s">
        <v>36677</v>
      </c>
      <c r="B5520" s="6">
        <v>393.75</v>
      </c>
      <c r="C5520" s="6">
        <v>20.478950000000001</v>
      </c>
      <c r="D5520" s="6">
        <v>76</v>
      </c>
      <c r="E5520" s="6">
        <v>0</v>
      </c>
      <c r="F5520" s="6">
        <v>0</v>
      </c>
      <c r="G5520" s="6">
        <v>10</v>
      </c>
      <c r="H5520" s="6" t="s">
        <v>36678</v>
      </c>
      <c r="I5520" s="6">
        <v>526.6875</v>
      </c>
      <c r="J5520" s="2">
        <f t="shared" si="86"/>
        <v>43748.867206678238</v>
      </c>
    </row>
    <row r="5521" spans="1:10" x14ac:dyDescent="0.25">
      <c r="A5521" s="7" t="s">
        <v>36679</v>
      </c>
      <c r="B5521" s="8">
        <v>393.75</v>
      </c>
      <c r="C5521" s="8">
        <v>20.478950000000001</v>
      </c>
      <c r="D5521" s="8">
        <v>77</v>
      </c>
      <c r="E5521" s="8">
        <v>0</v>
      </c>
      <c r="F5521" s="8">
        <v>0</v>
      </c>
      <c r="G5521" s="8">
        <v>11</v>
      </c>
      <c r="H5521" s="8" t="s">
        <v>36680</v>
      </c>
      <c r="I5521" s="8">
        <v>526.6875</v>
      </c>
      <c r="J5521" s="3">
        <f t="shared" si="86"/>
        <v>43748.867302037033</v>
      </c>
    </row>
    <row r="5522" spans="1:10" x14ac:dyDescent="0.25">
      <c r="A5522" s="5" t="s">
        <v>36681</v>
      </c>
      <c r="B5522" s="6">
        <v>393.75</v>
      </c>
      <c r="C5522" s="6">
        <v>20.478950000000001</v>
      </c>
      <c r="D5522" s="6">
        <v>78</v>
      </c>
      <c r="E5522" s="6">
        <v>0</v>
      </c>
      <c r="F5522" s="6">
        <v>0</v>
      </c>
      <c r="G5522" s="6">
        <v>9</v>
      </c>
      <c r="H5522" s="6" t="s">
        <v>36682</v>
      </c>
      <c r="I5522" s="6">
        <v>526.6875</v>
      </c>
      <c r="J5522" s="2">
        <f t="shared" si="86"/>
        <v>43748.86738560185</v>
      </c>
    </row>
    <row r="5523" spans="1:10" x14ac:dyDescent="0.25">
      <c r="A5523" s="7" t="s">
        <v>36683</v>
      </c>
      <c r="B5523" s="8">
        <v>393.75</v>
      </c>
      <c r="C5523" s="8">
        <v>20.478950000000001</v>
      </c>
      <c r="D5523" s="8">
        <v>78</v>
      </c>
      <c r="E5523" s="8">
        <v>0</v>
      </c>
      <c r="F5523" s="8">
        <v>0</v>
      </c>
      <c r="G5523" s="8">
        <v>9</v>
      </c>
      <c r="H5523" s="8" t="s">
        <v>36684</v>
      </c>
      <c r="I5523" s="8">
        <v>526.5</v>
      </c>
      <c r="J5523" s="3">
        <f t="shared" si="86"/>
        <v>43748.867469131939</v>
      </c>
    </row>
    <row r="5524" spans="1:10" x14ac:dyDescent="0.25">
      <c r="A5524" s="5" t="s">
        <v>36685</v>
      </c>
      <c r="B5524" s="6">
        <v>393.75</v>
      </c>
      <c r="C5524" s="6">
        <v>20.478950000000001</v>
      </c>
      <c r="D5524" s="6">
        <v>79</v>
      </c>
      <c r="E5524" s="6">
        <v>0</v>
      </c>
      <c r="F5524" s="6">
        <v>0</v>
      </c>
      <c r="G5524" s="6">
        <v>4</v>
      </c>
      <c r="H5524" s="6" t="s">
        <v>36686</v>
      </c>
      <c r="I5524" s="6">
        <v>526.6875</v>
      </c>
      <c r="J5524" s="2">
        <f t="shared" si="86"/>
        <v>43748.867552708332</v>
      </c>
    </row>
    <row r="5525" spans="1:10" x14ac:dyDescent="0.25">
      <c r="A5525" s="7" t="s">
        <v>36687</v>
      </c>
      <c r="B5525" s="8">
        <v>393.75</v>
      </c>
      <c r="C5525" s="8">
        <v>20.478950000000001</v>
      </c>
      <c r="D5525" s="8">
        <v>79</v>
      </c>
      <c r="E5525" s="8">
        <v>0</v>
      </c>
      <c r="F5525" s="8">
        <v>0</v>
      </c>
      <c r="G5525" s="8">
        <v>0</v>
      </c>
      <c r="H5525" s="8" t="s">
        <v>36688</v>
      </c>
      <c r="I5525" s="8">
        <v>526.6875</v>
      </c>
      <c r="J5525" s="3">
        <f t="shared" si="86"/>
        <v>43748.867624016202</v>
      </c>
    </row>
    <row r="5526" spans="1:10" x14ac:dyDescent="0.25">
      <c r="A5526" s="5" t="s">
        <v>36689</v>
      </c>
      <c r="B5526" s="6">
        <v>393.75</v>
      </c>
      <c r="C5526" s="6">
        <v>20.478950000000001</v>
      </c>
      <c r="D5526" s="6">
        <v>79</v>
      </c>
      <c r="E5526" s="6">
        <v>0</v>
      </c>
      <c r="F5526" s="6">
        <v>0</v>
      </c>
      <c r="G5526" s="6">
        <v>9</v>
      </c>
      <c r="H5526" s="6" t="s">
        <v>36690</v>
      </c>
      <c r="I5526" s="6">
        <v>526.6875</v>
      </c>
      <c r="J5526" s="2">
        <f t="shared" si="86"/>
        <v>43748.867695682864</v>
      </c>
    </row>
    <row r="5527" spans="1:10" x14ac:dyDescent="0.25">
      <c r="A5527" s="7" t="s">
        <v>36691</v>
      </c>
      <c r="B5527" s="8">
        <v>393.75</v>
      </c>
      <c r="C5527" s="8">
        <v>20.478950000000001</v>
      </c>
      <c r="D5527" s="8">
        <v>79</v>
      </c>
      <c r="E5527" s="8">
        <v>0</v>
      </c>
      <c r="F5527" s="8">
        <v>0</v>
      </c>
      <c r="G5527" s="8">
        <v>3</v>
      </c>
      <c r="H5527" s="8" t="s">
        <v>36692</v>
      </c>
      <c r="I5527" s="8">
        <v>526.6875</v>
      </c>
      <c r="J5527" s="3">
        <f t="shared" si="86"/>
        <v>43748.867766863426</v>
      </c>
    </row>
    <row r="5528" spans="1:10" x14ac:dyDescent="0.25">
      <c r="A5528" s="5" t="s">
        <v>36693</v>
      </c>
      <c r="B5528" s="6">
        <v>396.875</v>
      </c>
      <c r="C5528" s="6">
        <v>20.478950000000001</v>
      </c>
      <c r="D5528" s="6">
        <v>79</v>
      </c>
      <c r="E5528" s="6">
        <v>0</v>
      </c>
      <c r="F5528" s="6">
        <v>0</v>
      </c>
      <c r="G5528" s="6">
        <v>3</v>
      </c>
      <c r="H5528" s="6" t="s">
        <v>36694</v>
      </c>
      <c r="I5528" s="6">
        <v>527.4375</v>
      </c>
      <c r="J5528" s="2">
        <f t="shared" si="86"/>
        <v>43748.867850636576</v>
      </c>
    </row>
    <row r="5529" spans="1:10" x14ac:dyDescent="0.25">
      <c r="A5529" s="7" t="s">
        <v>36695</v>
      </c>
      <c r="B5529" s="8">
        <v>396.875</v>
      </c>
      <c r="C5529" s="8">
        <v>20.478950000000001</v>
      </c>
      <c r="D5529" s="8">
        <v>76</v>
      </c>
      <c r="E5529" s="8">
        <v>0</v>
      </c>
      <c r="F5529" s="8">
        <v>0</v>
      </c>
      <c r="G5529" s="8">
        <v>18</v>
      </c>
      <c r="H5529" s="8" t="s">
        <v>36696</v>
      </c>
      <c r="I5529" s="8">
        <v>527.4375</v>
      </c>
      <c r="J5529" s="3">
        <f t="shared" si="86"/>
        <v>43748.867934085647</v>
      </c>
    </row>
    <row r="5530" spans="1:10" x14ac:dyDescent="0.25">
      <c r="A5530" s="5" t="s">
        <v>36697</v>
      </c>
      <c r="B5530" s="6">
        <v>393.75</v>
      </c>
      <c r="C5530" s="6">
        <v>20.478950000000001</v>
      </c>
      <c r="D5530" s="6">
        <v>76</v>
      </c>
      <c r="E5530" s="6">
        <v>0</v>
      </c>
      <c r="F5530" s="6">
        <v>0</v>
      </c>
      <c r="G5530" s="6">
        <v>6</v>
      </c>
      <c r="H5530" s="6" t="s">
        <v>36698</v>
      </c>
      <c r="I5530" s="6">
        <v>526.6875</v>
      </c>
      <c r="J5530" s="2">
        <f t="shared" si="86"/>
        <v>43748.868017650464</v>
      </c>
    </row>
    <row r="5531" spans="1:10" x14ac:dyDescent="0.25">
      <c r="A5531" s="7" t="s">
        <v>36699</v>
      </c>
      <c r="B5531" s="8">
        <v>393.75</v>
      </c>
      <c r="C5531" s="8">
        <v>20.478950000000001</v>
      </c>
      <c r="D5531" s="8">
        <v>77</v>
      </c>
      <c r="E5531" s="8">
        <v>0</v>
      </c>
      <c r="F5531" s="8">
        <v>0</v>
      </c>
      <c r="G5531" s="8">
        <v>5</v>
      </c>
      <c r="H5531" s="8" t="s">
        <v>36700</v>
      </c>
      <c r="I5531" s="8">
        <v>526.6875</v>
      </c>
      <c r="J5531" s="3">
        <f t="shared" si="86"/>
        <v>43748.868100775457</v>
      </c>
    </row>
    <row r="5532" spans="1:10" x14ac:dyDescent="0.25">
      <c r="A5532" s="5" t="s">
        <v>36701</v>
      </c>
      <c r="B5532" s="6">
        <v>393.75</v>
      </c>
      <c r="C5532" s="6">
        <v>20.478950000000001</v>
      </c>
      <c r="D5532" s="6">
        <v>77</v>
      </c>
      <c r="E5532" s="6">
        <v>0</v>
      </c>
      <c r="F5532" s="6">
        <v>0</v>
      </c>
      <c r="G5532" s="6">
        <v>0</v>
      </c>
      <c r="H5532" s="6" t="s">
        <v>36702</v>
      </c>
      <c r="I5532" s="6">
        <v>526.6875</v>
      </c>
      <c r="J5532" s="2">
        <f t="shared" si="86"/>
        <v>43748.868172731476</v>
      </c>
    </row>
    <row r="5533" spans="1:10" x14ac:dyDescent="0.25">
      <c r="A5533" s="7" t="s">
        <v>36703</v>
      </c>
      <c r="B5533" s="8">
        <v>393.75</v>
      </c>
      <c r="C5533" s="8">
        <v>20.478950000000001</v>
      </c>
      <c r="D5533" s="8">
        <v>77</v>
      </c>
      <c r="E5533" s="8">
        <v>0</v>
      </c>
      <c r="F5533" s="8">
        <v>0</v>
      </c>
      <c r="G5533" s="8">
        <v>7</v>
      </c>
      <c r="H5533" s="8" t="s">
        <v>36704</v>
      </c>
      <c r="I5533" s="8">
        <v>526.6875</v>
      </c>
      <c r="J5533" s="3">
        <f t="shared" si="86"/>
        <v>43748.868256412032</v>
      </c>
    </row>
    <row r="5534" spans="1:10" x14ac:dyDescent="0.25">
      <c r="A5534" s="5" t="s">
        <v>36705</v>
      </c>
      <c r="B5534" s="6">
        <v>412.5</v>
      </c>
      <c r="C5534" s="6">
        <v>20.478950000000001</v>
      </c>
      <c r="D5534" s="6">
        <v>77</v>
      </c>
      <c r="E5534" s="6">
        <v>0</v>
      </c>
      <c r="F5534" s="6">
        <v>0</v>
      </c>
      <c r="G5534" s="6">
        <v>12</v>
      </c>
      <c r="H5534" s="6" t="s">
        <v>36706</v>
      </c>
      <c r="I5534" s="6">
        <v>532.3125</v>
      </c>
      <c r="J5534" s="2">
        <f t="shared" si="86"/>
        <v>43748.868351655088</v>
      </c>
    </row>
    <row r="5535" spans="1:10" x14ac:dyDescent="0.25">
      <c r="A5535" s="7" t="s">
        <v>36707</v>
      </c>
      <c r="B5535" s="8">
        <v>393.75</v>
      </c>
      <c r="C5535" s="8">
        <v>20.478950000000001</v>
      </c>
      <c r="D5535" s="8">
        <v>78</v>
      </c>
      <c r="E5535" s="8">
        <v>0</v>
      </c>
      <c r="F5535" s="8">
        <v>0</v>
      </c>
      <c r="G5535" s="8">
        <v>20</v>
      </c>
      <c r="H5535" s="8" t="s">
        <v>36708</v>
      </c>
      <c r="I5535" s="8">
        <v>526.6875</v>
      </c>
      <c r="J5535" s="3">
        <f t="shared" si="86"/>
        <v>43748.868435081014</v>
      </c>
    </row>
    <row r="5536" spans="1:10" x14ac:dyDescent="0.25">
      <c r="A5536" s="5" t="s">
        <v>36709</v>
      </c>
      <c r="B5536" s="6">
        <v>393.75</v>
      </c>
      <c r="C5536" s="6">
        <v>20.478950000000001</v>
      </c>
      <c r="D5536" s="6">
        <v>77</v>
      </c>
      <c r="E5536" s="6">
        <v>0</v>
      </c>
      <c r="F5536" s="6">
        <v>0</v>
      </c>
      <c r="G5536" s="6">
        <v>12</v>
      </c>
      <c r="H5536" s="6" t="s">
        <v>36710</v>
      </c>
      <c r="I5536" s="6">
        <v>526.6875</v>
      </c>
      <c r="J5536" s="2">
        <f t="shared" si="86"/>
        <v>43748.868506666666</v>
      </c>
    </row>
    <row r="5537" spans="1:10" x14ac:dyDescent="0.25">
      <c r="A5537" s="7" t="s">
        <v>36711</v>
      </c>
      <c r="B5537" s="8">
        <v>393.75</v>
      </c>
      <c r="C5537" s="8">
        <v>20.478950000000001</v>
      </c>
      <c r="D5537" s="8">
        <v>76</v>
      </c>
      <c r="E5537" s="8">
        <v>0</v>
      </c>
      <c r="F5537" s="8">
        <v>0</v>
      </c>
      <c r="G5537" s="8">
        <v>9</v>
      </c>
      <c r="H5537" s="8" t="s">
        <v>36712</v>
      </c>
      <c r="I5537" s="8">
        <v>526.6875</v>
      </c>
      <c r="J5537" s="3">
        <f t="shared" si="86"/>
        <v>43748.86858978009</v>
      </c>
    </row>
    <row r="5538" spans="1:10" x14ac:dyDescent="0.25">
      <c r="A5538" s="5" t="s">
        <v>36713</v>
      </c>
      <c r="B5538" s="6">
        <v>393.75</v>
      </c>
      <c r="C5538" s="6">
        <v>20.478950000000001</v>
      </c>
      <c r="D5538" s="6">
        <v>76</v>
      </c>
      <c r="E5538" s="6">
        <v>0</v>
      </c>
      <c r="F5538" s="6">
        <v>0</v>
      </c>
      <c r="G5538" s="6">
        <v>7</v>
      </c>
      <c r="H5538" s="6" t="s">
        <v>36714</v>
      </c>
      <c r="I5538" s="6">
        <v>526.5</v>
      </c>
      <c r="J5538" s="2">
        <f t="shared" si="86"/>
        <v>43748.868685474539</v>
      </c>
    </row>
    <row r="5539" spans="1:10" x14ac:dyDescent="0.25">
      <c r="A5539" s="7" t="s">
        <v>36715</v>
      </c>
      <c r="B5539" s="8">
        <v>393.75</v>
      </c>
      <c r="C5539" s="8">
        <v>20.478950000000001</v>
      </c>
      <c r="D5539" s="8">
        <v>77</v>
      </c>
      <c r="E5539" s="8">
        <v>0</v>
      </c>
      <c r="F5539" s="8">
        <v>0</v>
      </c>
      <c r="G5539" s="8">
        <v>9</v>
      </c>
      <c r="H5539" s="8" t="s">
        <v>36716</v>
      </c>
      <c r="I5539" s="8">
        <v>526.6875</v>
      </c>
      <c r="J5539" s="3">
        <f t="shared" si="86"/>
        <v>43748.868768946755</v>
      </c>
    </row>
    <row r="5540" spans="1:10" x14ac:dyDescent="0.25">
      <c r="A5540" s="5" t="s">
        <v>36717</v>
      </c>
      <c r="B5540" s="6">
        <v>393.75</v>
      </c>
      <c r="C5540" s="6">
        <v>20.478950000000001</v>
      </c>
      <c r="D5540" s="6">
        <v>77</v>
      </c>
      <c r="E5540" s="6">
        <v>0</v>
      </c>
      <c r="F5540" s="6">
        <v>0</v>
      </c>
      <c r="G5540" s="6">
        <v>14</v>
      </c>
      <c r="H5540" s="6" t="s">
        <v>36718</v>
      </c>
      <c r="I5540" s="6">
        <v>526.6875</v>
      </c>
      <c r="J5540" s="2">
        <f t="shared" si="86"/>
        <v>43748.868864525459</v>
      </c>
    </row>
    <row r="5541" spans="1:10" x14ac:dyDescent="0.25">
      <c r="A5541" s="7" t="s">
        <v>36719</v>
      </c>
      <c r="B5541" s="8">
        <v>393.75</v>
      </c>
      <c r="C5541" s="8">
        <v>20.478950000000001</v>
      </c>
      <c r="D5541" s="8">
        <v>76</v>
      </c>
      <c r="E5541" s="8">
        <v>0</v>
      </c>
      <c r="F5541" s="8">
        <v>0</v>
      </c>
      <c r="G5541" s="8">
        <v>14</v>
      </c>
      <c r="H5541" s="8" t="s">
        <v>36720</v>
      </c>
      <c r="I5541" s="8">
        <v>526.6875</v>
      </c>
      <c r="J5541" s="3">
        <f t="shared" si="86"/>
        <v>43748.868935937498</v>
      </c>
    </row>
    <row r="5542" spans="1:10" x14ac:dyDescent="0.25">
      <c r="A5542" s="5" t="s">
        <v>36721</v>
      </c>
      <c r="B5542" s="6">
        <v>393.75</v>
      </c>
      <c r="C5542" s="6">
        <v>20.478950000000001</v>
      </c>
      <c r="D5542" s="6">
        <v>76</v>
      </c>
      <c r="E5542" s="6">
        <v>0</v>
      </c>
      <c r="F5542" s="6">
        <v>0</v>
      </c>
      <c r="G5542" s="6">
        <v>7</v>
      </c>
      <c r="H5542" s="6" t="s">
        <v>36722</v>
      </c>
      <c r="I5542" s="6">
        <v>526.6875</v>
      </c>
      <c r="J5542" s="2">
        <f t="shared" si="86"/>
        <v>43748.869019375001</v>
      </c>
    </row>
    <row r="5543" spans="1:10" x14ac:dyDescent="0.25">
      <c r="A5543" s="7" t="s">
        <v>36723</v>
      </c>
      <c r="B5543" s="8">
        <v>393.75</v>
      </c>
      <c r="C5543" s="8">
        <v>20.478950000000001</v>
      </c>
      <c r="D5543" s="8">
        <v>78</v>
      </c>
      <c r="E5543" s="8">
        <v>0</v>
      </c>
      <c r="F5543" s="8">
        <v>0</v>
      </c>
      <c r="G5543" s="8">
        <v>6</v>
      </c>
      <c r="H5543" s="8" t="s">
        <v>36724</v>
      </c>
      <c r="I5543" s="8">
        <v>526.6875</v>
      </c>
      <c r="J5543" s="3">
        <f t="shared" si="86"/>
        <v>43748.86909108796</v>
      </c>
    </row>
    <row r="5544" spans="1:10" x14ac:dyDescent="0.25">
      <c r="A5544" s="5" t="s">
        <v>36725</v>
      </c>
      <c r="B5544" s="6">
        <v>393.75</v>
      </c>
      <c r="C5544" s="6">
        <v>20.478950000000001</v>
      </c>
      <c r="D5544" s="6">
        <v>78</v>
      </c>
      <c r="E5544" s="6">
        <v>0</v>
      </c>
      <c r="F5544" s="6">
        <v>0</v>
      </c>
      <c r="G5544" s="6">
        <v>6</v>
      </c>
      <c r="H5544" s="6" t="s">
        <v>36726</v>
      </c>
      <c r="I5544" s="6">
        <v>526.6875</v>
      </c>
      <c r="J5544" s="2">
        <f t="shared" si="86"/>
        <v>43748.869174560183</v>
      </c>
    </row>
    <row r="5545" spans="1:10" x14ac:dyDescent="0.25">
      <c r="A5545" s="7" t="s">
        <v>36727</v>
      </c>
      <c r="B5545" s="8">
        <v>393.75</v>
      </c>
      <c r="C5545" s="8">
        <v>20.478950000000001</v>
      </c>
      <c r="D5545" s="8">
        <v>78</v>
      </c>
      <c r="E5545" s="8">
        <v>0</v>
      </c>
      <c r="F5545" s="8">
        <v>0</v>
      </c>
      <c r="G5545" s="8">
        <v>8</v>
      </c>
      <c r="H5545" s="8" t="s">
        <v>36728</v>
      </c>
      <c r="I5545" s="8">
        <v>526.6875</v>
      </c>
      <c r="J5545" s="3">
        <f t="shared" si="86"/>
        <v>43748.869265891197</v>
      </c>
    </row>
    <row r="5546" spans="1:10" x14ac:dyDescent="0.25">
      <c r="A5546" s="5" t="s">
        <v>36729</v>
      </c>
      <c r="B5546" s="6">
        <v>393.75</v>
      </c>
      <c r="C5546" s="6">
        <v>20.478950000000001</v>
      </c>
      <c r="D5546" s="6">
        <v>79</v>
      </c>
      <c r="E5546" s="6">
        <v>0</v>
      </c>
      <c r="F5546" s="6">
        <v>0</v>
      </c>
      <c r="G5546" s="6">
        <v>5</v>
      </c>
      <c r="H5546" s="6" t="s">
        <v>36730</v>
      </c>
      <c r="I5546" s="6">
        <v>526.6875</v>
      </c>
      <c r="J5546" s="2">
        <f t="shared" si="86"/>
        <v>43748.869341562495</v>
      </c>
    </row>
    <row r="5547" spans="1:10" x14ac:dyDescent="0.25">
      <c r="A5547" s="7" t="s">
        <v>36731</v>
      </c>
      <c r="B5547" s="8">
        <v>393.75</v>
      </c>
      <c r="C5547" s="8">
        <v>20.478950000000001</v>
      </c>
      <c r="D5547" s="8">
        <v>78</v>
      </c>
      <c r="E5547" s="8">
        <v>0</v>
      </c>
      <c r="F5547" s="8">
        <v>0</v>
      </c>
      <c r="G5547" s="8">
        <v>1</v>
      </c>
      <c r="H5547" s="8" t="s">
        <v>36732</v>
      </c>
      <c r="I5547" s="8">
        <v>526.5</v>
      </c>
      <c r="J5547" s="3">
        <f t="shared" si="86"/>
        <v>43748.869425393517</v>
      </c>
    </row>
    <row r="5548" spans="1:10" x14ac:dyDescent="0.25">
      <c r="A5548" s="5" t="s">
        <v>36733</v>
      </c>
      <c r="B5548" s="6">
        <v>437.5</v>
      </c>
      <c r="C5548" s="6">
        <v>20.478950000000001</v>
      </c>
      <c r="D5548" s="6">
        <v>77</v>
      </c>
      <c r="E5548" s="6">
        <v>0</v>
      </c>
      <c r="F5548" s="6">
        <v>0</v>
      </c>
      <c r="G5548" s="6">
        <v>3</v>
      </c>
      <c r="H5548" s="6" t="s">
        <v>36734</v>
      </c>
      <c r="I5548" s="6">
        <v>540.9375</v>
      </c>
      <c r="J5548" s="2">
        <f t="shared" si="86"/>
        <v>43748.869508159718</v>
      </c>
    </row>
    <row r="5549" spans="1:10" x14ac:dyDescent="0.25">
      <c r="A5549" s="7" t="s">
        <v>36735</v>
      </c>
      <c r="B5549" s="8">
        <v>393.75</v>
      </c>
      <c r="C5549" s="8">
        <v>20.478950000000001</v>
      </c>
      <c r="D5549" s="8">
        <v>77</v>
      </c>
      <c r="E5549" s="8">
        <v>0</v>
      </c>
      <c r="F5549" s="8">
        <v>0</v>
      </c>
      <c r="G5549" s="8">
        <v>0</v>
      </c>
      <c r="H5549" s="8" t="s">
        <v>36736</v>
      </c>
      <c r="I5549" s="8">
        <v>526.6875</v>
      </c>
      <c r="J5549" s="3">
        <f t="shared" si="86"/>
        <v>43748.869579803235</v>
      </c>
    </row>
    <row r="5550" spans="1:10" x14ac:dyDescent="0.25">
      <c r="A5550" s="5" t="s">
        <v>36737</v>
      </c>
      <c r="B5550" s="6">
        <v>393.75</v>
      </c>
      <c r="C5550" s="6">
        <v>20.478950000000001</v>
      </c>
      <c r="D5550" s="6">
        <v>77</v>
      </c>
      <c r="E5550" s="6">
        <v>0</v>
      </c>
      <c r="F5550" s="6">
        <v>0</v>
      </c>
      <c r="G5550" s="6">
        <v>10</v>
      </c>
      <c r="H5550" s="6" t="s">
        <v>36738</v>
      </c>
      <c r="I5550" s="6">
        <v>526.6875</v>
      </c>
      <c r="J5550" s="2">
        <f t="shared" si="86"/>
        <v>43748.869663368052</v>
      </c>
    </row>
    <row r="5551" spans="1:10" x14ac:dyDescent="0.25">
      <c r="A5551" s="7" t="s">
        <v>36739</v>
      </c>
      <c r="B5551" s="8">
        <v>412.5</v>
      </c>
      <c r="C5551" s="8">
        <v>20.426300000000001</v>
      </c>
      <c r="D5551" s="8">
        <v>77</v>
      </c>
      <c r="E5551" s="8">
        <v>0</v>
      </c>
      <c r="F5551" s="8">
        <v>0</v>
      </c>
      <c r="G5551" s="8">
        <v>0</v>
      </c>
      <c r="H5551" s="8" t="s">
        <v>36740</v>
      </c>
      <c r="I5551" s="8">
        <v>532.3125</v>
      </c>
      <c r="J5551" s="3">
        <f t="shared" si="86"/>
        <v>43748.86975114583</v>
      </c>
    </row>
    <row r="5552" spans="1:10" x14ac:dyDescent="0.25">
      <c r="A5552" s="5" t="s">
        <v>36741</v>
      </c>
      <c r="B5552" s="6">
        <v>393.75</v>
      </c>
      <c r="C5552" s="6">
        <v>20.478950000000001</v>
      </c>
      <c r="D5552" s="6">
        <v>76</v>
      </c>
      <c r="E5552" s="6">
        <v>0</v>
      </c>
      <c r="F5552" s="6">
        <v>0</v>
      </c>
      <c r="G5552" s="6">
        <v>8</v>
      </c>
      <c r="H5552" s="6" t="s">
        <v>36742</v>
      </c>
      <c r="I5552" s="6">
        <v>526.6875</v>
      </c>
      <c r="J5552" s="2">
        <f t="shared" si="86"/>
        <v>43748.869842326385</v>
      </c>
    </row>
    <row r="5553" spans="1:10" x14ac:dyDescent="0.25">
      <c r="A5553" s="7" t="s">
        <v>36743</v>
      </c>
      <c r="B5553" s="8">
        <v>393.75</v>
      </c>
      <c r="C5553" s="8">
        <v>20.478950000000001</v>
      </c>
      <c r="D5553" s="8">
        <v>76</v>
      </c>
      <c r="E5553" s="8">
        <v>0</v>
      </c>
      <c r="F5553" s="8">
        <v>0</v>
      </c>
      <c r="G5553" s="8">
        <v>11</v>
      </c>
      <c r="H5553" s="8" t="s">
        <v>36744</v>
      </c>
      <c r="I5553" s="8">
        <v>526.6875</v>
      </c>
      <c r="J5553" s="3">
        <f t="shared" si="86"/>
        <v>43748.869913946757</v>
      </c>
    </row>
    <row r="5554" spans="1:10" x14ac:dyDescent="0.25">
      <c r="A5554" s="5" t="s">
        <v>36745</v>
      </c>
      <c r="B5554" s="6">
        <v>393.75</v>
      </c>
      <c r="C5554" s="6">
        <v>20.478950000000001</v>
      </c>
      <c r="D5554" s="6">
        <v>75</v>
      </c>
      <c r="E5554" s="6">
        <v>0</v>
      </c>
      <c r="F5554" s="6">
        <v>0</v>
      </c>
      <c r="G5554" s="6">
        <v>5</v>
      </c>
      <c r="H5554" s="6" t="s">
        <v>36746</v>
      </c>
      <c r="I5554" s="6">
        <v>526.6875</v>
      </c>
      <c r="J5554" s="2">
        <f t="shared" si="86"/>
        <v>43748.869997141206</v>
      </c>
    </row>
    <row r="5555" spans="1:10" x14ac:dyDescent="0.25">
      <c r="A5555" s="7" t="s">
        <v>36747</v>
      </c>
      <c r="B5555" s="8">
        <v>412.5</v>
      </c>
      <c r="C5555" s="8">
        <v>20.478950000000001</v>
      </c>
      <c r="D5555" s="8">
        <v>76</v>
      </c>
      <c r="E5555" s="8">
        <v>0</v>
      </c>
      <c r="F5555" s="8">
        <v>0</v>
      </c>
      <c r="G5555" s="8">
        <v>8</v>
      </c>
      <c r="H5555" s="8" t="s">
        <v>36748</v>
      </c>
      <c r="I5555" s="8">
        <v>532.5</v>
      </c>
      <c r="J5555" s="3">
        <f t="shared" si="86"/>
        <v>43748.870093055557</v>
      </c>
    </row>
    <row r="5556" spans="1:10" x14ac:dyDescent="0.25">
      <c r="A5556" s="5" t="s">
        <v>36749</v>
      </c>
      <c r="B5556" s="6">
        <v>393.75</v>
      </c>
      <c r="C5556" s="6">
        <v>20.478950000000001</v>
      </c>
      <c r="D5556" s="6">
        <v>76</v>
      </c>
      <c r="E5556" s="6">
        <v>0</v>
      </c>
      <c r="F5556" s="6">
        <v>0</v>
      </c>
      <c r="G5556" s="6">
        <v>11</v>
      </c>
      <c r="H5556" s="6" t="s">
        <v>36750</v>
      </c>
      <c r="I5556" s="6">
        <v>526.5</v>
      </c>
      <c r="J5556" s="2">
        <f t="shared" si="86"/>
        <v>43748.870164189815</v>
      </c>
    </row>
    <row r="5557" spans="1:10" x14ac:dyDescent="0.25">
      <c r="A5557" s="7" t="s">
        <v>36751</v>
      </c>
      <c r="B5557" s="8">
        <v>393.75</v>
      </c>
      <c r="C5557" s="8">
        <v>20.478950000000001</v>
      </c>
      <c r="D5557" s="8">
        <v>76</v>
      </c>
      <c r="E5557" s="8">
        <v>0</v>
      </c>
      <c r="F5557" s="8">
        <v>0</v>
      </c>
      <c r="G5557" s="8">
        <v>14</v>
      </c>
      <c r="H5557" s="8" t="s">
        <v>36752</v>
      </c>
      <c r="I5557" s="8">
        <v>526.6875</v>
      </c>
      <c r="J5557" s="3">
        <f t="shared" si="86"/>
        <v>43748.870235949071</v>
      </c>
    </row>
    <row r="5558" spans="1:10" x14ac:dyDescent="0.25">
      <c r="A5558" s="5" t="s">
        <v>36753</v>
      </c>
      <c r="B5558" s="6">
        <v>393.75</v>
      </c>
      <c r="C5558" s="6">
        <v>20.478950000000001</v>
      </c>
      <c r="D5558" s="6">
        <v>76</v>
      </c>
      <c r="E5558" s="6">
        <v>0</v>
      </c>
      <c r="F5558" s="6">
        <v>0</v>
      </c>
      <c r="G5558" s="6">
        <v>14</v>
      </c>
      <c r="H5558" s="6" t="s">
        <v>36754</v>
      </c>
      <c r="I5558" s="6">
        <v>526.6875</v>
      </c>
      <c r="J5558" s="2">
        <f t="shared" si="86"/>
        <v>43748.870319282403</v>
      </c>
    </row>
    <row r="5559" spans="1:10" x14ac:dyDescent="0.25">
      <c r="A5559" s="7" t="s">
        <v>36755</v>
      </c>
      <c r="B5559" s="8">
        <v>393.75</v>
      </c>
      <c r="C5559" s="8">
        <v>20.478950000000001</v>
      </c>
      <c r="D5559" s="8">
        <v>76</v>
      </c>
      <c r="E5559" s="8">
        <v>0</v>
      </c>
      <c r="F5559" s="8">
        <v>0</v>
      </c>
      <c r="G5559" s="8">
        <v>15</v>
      </c>
      <c r="H5559" s="8" t="s">
        <v>36756</v>
      </c>
      <c r="I5559" s="8">
        <v>526.6875</v>
      </c>
      <c r="J5559" s="3">
        <f t="shared" si="86"/>
        <v>43748.870390914344</v>
      </c>
    </row>
    <row r="5560" spans="1:10" x14ac:dyDescent="0.25">
      <c r="A5560" s="5" t="s">
        <v>36757</v>
      </c>
      <c r="B5560" s="6">
        <v>393.75</v>
      </c>
      <c r="C5560" s="6">
        <v>20.478950000000001</v>
      </c>
      <c r="D5560" s="6">
        <v>74</v>
      </c>
      <c r="E5560" s="6">
        <v>0</v>
      </c>
      <c r="F5560" s="6">
        <v>0</v>
      </c>
      <c r="G5560" s="6">
        <v>9</v>
      </c>
      <c r="H5560" s="6" t="s">
        <v>36758</v>
      </c>
      <c r="I5560" s="6">
        <v>526.5</v>
      </c>
      <c r="J5560" s="2">
        <f t="shared" si="86"/>
        <v>43748.870474479168</v>
      </c>
    </row>
    <row r="5561" spans="1:10" x14ac:dyDescent="0.25">
      <c r="A5561" s="7" t="s">
        <v>36759</v>
      </c>
      <c r="B5561" s="8">
        <v>393.75</v>
      </c>
      <c r="C5561" s="8">
        <v>20.478950000000001</v>
      </c>
      <c r="D5561" s="8">
        <v>77</v>
      </c>
      <c r="E5561" s="8">
        <v>0</v>
      </c>
      <c r="F5561" s="8">
        <v>0</v>
      </c>
      <c r="G5561" s="8">
        <v>9</v>
      </c>
      <c r="H5561" s="8" t="s">
        <v>36760</v>
      </c>
      <c r="I5561" s="8">
        <v>526.5</v>
      </c>
      <c r="J5561" s="3">
        <f t="shared" si="86"/>
        <v>43748.870546111109</v>
      </c>
    </row>
    <row r="5562" spans="1:10" x14ac:dyDescent="0.25">
      <c r="A5562" s="5" t="s">
        <v>36761</v>
      </c>
      <c r="B5562" s="6">
        <v>393.75</v>
      </c>
      <c r="C5562" s="6">
        <v>20.478950000000001</v>
      </c>
      <c r="D5562" s="6">
        <v>75</v>
      </c>
      <c r="E5562" s="6">
        <v>0</v>
      </c>
      <c r="F5562" s="6">
        <v>0</v>
      </c>
      <c r="G5562" s="6">
        <v>11</v>
      </c>
      <c r="H5562" s="6" t="s">
        <v>36762</v>
      </c>
      <c r="I5562" s="6">
        <v>526.6875</v>
      </c>
      <c r="J5562" s="2">
        <f t="shared" si="86"/>
        <v>43748.870617638888</v>
      </c>
    </row>
    <row r="5563" spans="1:10" x14ac:dyDescent="0.25">
      <c r="A5563" s="7" t="s">
        <v>36763</v>
      </c>
      <c r="B5563" s="8">
        <v>393.75</v>
      </c>
      <c r="C5563" s="8">
        <v>20.478950000000001</v>
      </c>
      <c r="D5563" s="8">
        <v>74</v>
      </c>
      <c r="E5563" s="8">
        <v>0</v>
      </c>
      <c r="F5563" s="8">
        <v>0</v>
      </c>
      <c r="G5563" s="8">
        <v>9</v>
      </c>
      <c r="H5563" s="8" t="s">
        <v>36764</v>
      </c>
      <c r="I5563" s="8">
        <v>526.6875</v>
      </c>
      <c r="J5563" s="3">
        <f t="shared" si="86"/>
        <v>43748.870700856474</v>
      </c>
    </row>
    <row r="5564" spans="1:10" x14ac:dyDescent="0.25">
      <c r="A5564" s="5" t="s">
        <v>36765</v>
      </c>
      <c r="B5564" s="6">
        <v>393.75</v>
      </c>
      <c r="C5564" s="6">
        <v>20.478950000000001</v>
      </c>
      <c r="D5564" s="6">
        <v>74</v>
      </c>
      <c r="E5564" s="6">
        <v>0</v>
      </c>
      <c r="F5564" s="6">
        <v>0</v>
      </c>
      <c r="G5564" s="6">
        <v>11</v>
      </c>
      <c r="H5564" s="6" t="s">
        <v>36766</v>
      </c>
      <c r="I5564" s="6">
        <v>526.6875</v>
      </c>
      <c r="J5564" s="2">
        <f t="shared" si="86"/>
        <v>43748.870772395829</v>
      </c>
    </row>
    <row r="5565" spans="1:10" x14ac:dyDescent="0.25">
      <c r="A5565" s="7" t="s">
        <v>36767</v>
      </c>
      <c r="B5565" s="8">
        <v>393.75</v>
      </c>
      <c r="C5565" s="8">
        <v>20.478950000000001</v>
      </c>
      <c r="D5565" s="8">
        <v>75</v>
      </c>
      <c r="E5565" s="8">
        <v>0</v>
      </c>
      <c r="F5565" s="8">
        <v>0</v>
      </c>
      <c r="G5565" s="8">
        <v>17</v>
      </c>
      <c r="H5565" s="8" t="s">
        <v>36768</v>
      </c>
      <c r="I5565" s="8">
        <v>526.6875</v>
      </c>
      <c r="J5565" s="3">
        <f t="shared" si="86"/>
        <v>43748.870856400456</v>
      </c>
    </row>
    <row r="5566" spans="1:10" x14ac:dyDescent="0.25">
      <c r="A5566" s="5" t="s">
        <v>36769</v>
      </c>
      <c r="B5566" s="6">
        <v>393.75</v>
      </c>
      <c r="C5566" s="6">
        <v>20.478950000000001</v>
      </c>
      <c r="D5566" s="6">
        <v>75</v>
      </c>
      <c r="E5566" s="6">
        <v>0</v>
      </c>
      <c r="F5566" s="6">
        <v>0</v>
      </c>
      <c r="G5566" s="6">
        <v>6</v>
      </c>
      <c r="H5566" s="6" t="s">
        <v>36770</v>
      </c>
      <c r="I5566" s="6">
        <v>526.6875</v>
      </c>
      <c r="J5566" s="2">
        <f t="shared" si="86"/>
        <v>43748.87093971065</v>
      </c>
    </row>
    <row r="5567" spans="1:10" x14ac:dyDescent="0.25">
      <c r="A5567" s="7" t="s">
        <v>36771</v>
      </c>
      <c r="B5567" s="8">
        <v>415.625</v>
      </c>
      <c r="C5567" s="8">
        <v>20.478950000000001</v>
      </c>
      <c r="D5567" s="8">
        <v>76</v>
      </c>
      <c r="E5567" s="8">
        <v>0</v>
      </c>
      <c r="F5567" s="8">
        <v>0</v>
      </c>
      <c r="G5567" s="8">
        <v>8</v>
      </c>
      <c r="H5567" s="8" t="s">
        <v>36772</v>
      </c>
      <c r="I5567" s="8">
        <v>533.8125</v>
      </c>
      <c r="J5567" s="3">
        <f t="shared" si="86"/>
        <v>43748.871022974534</v>
      </c>
    </row>
    <row r="5568" spans="1:10" x14ac:dyDescent="0.25">
      <c r="A5568" s="5" t="s">
        <v>36773</v>
      </c>
      <c r="B5568" s="6">
        <v>393.75</v>
      </c>
      <c r="C5568" s="6">
        <v>20.478950000000001</v>
      </c>
      <c r="D5568" s="6">
        <v>76</v>
      </c>
      <c r="E5568" s="6">
        <v>0</v>
      </c>
      <c r="F5568" s="6">
        <v>0</v>
      </c>
      <c r="G5568" s="6">
        <v>16</v>
      </c>
      <c r="H5568" s="6" t="s">
        <v>36774</v>
      </c>
      <c r="I5568" s="6">
        <v>526.6875</v>
      </c>
      <c r="J5568" s="2">
        <f t="shared" si="86"/>
        <v>43748.871094710645</v>
      </c>
    </row>
    <row r="5569" spans="1:10" x14ac:dyDescent="0.25">
      <c r="A5569" s="7" t="s">
        <v>36775</v>
      </c>
      <c r="B5569" s="8">
        <v>393.75</v>
      </c>
      <c r="C5569" s="8">
        <v>20.478950000000001</v>
      </c>
      <c r="D5569" s="8">
        <v>77</v>
      </c>
      <c r="E5569" s="8">
        <v>0</v>
      </c>
      <c r="F5569" s="8">
        <v>0</v>
      </c>
      <c r="G5569" s="8">
        <v>9</v>
      </c>
      <c r="H5569" s="8" t="s">
        <v>36776</v>
      </c>
      <c r="I5569" s="8">
        <v>526.6875</v>
      </c>
      <c r="J5569" s="3">
        <f t="shared" si="86"/>
        <v>43748.871178182868</v>
      </c>
    </row>
    <row r="5570" spans="1:10" x14ac:dyDescent="0.25">
      <c r="A5570" s="5" t="s">
        <v>36777</v>
      </c>
      <c r="B5570" s="6">
        <v>393.75</v>
      </c>
      <c r="C5570" s="6">
        <v>20.478950000000001</v>
      </c>
      <c r="D5570" s="6">
        <v>74</v>
      </c>
      <c r="E5570" s="6">
        <v>0</v>
      </c>
      <c r="F5570" s="6">
        <v>0</v>
      </c>
      <c r="G5570" s="6">
        <v>12</v>
      </c>
      <c r="H5570" s="6" t="s">
        <v>36778</v>
      </c>
      <c r="I5570" s="6">
        <v>526.6875</v>
      </c>
      <c r="J5570" s="2">
        <f t="shared" ref="J5570:J5633" si="87">(H5570/86400000)+25569+(7/24)</f>
        <v>43748.871261655091</v>
      </c>
    </row>
    <row r="5571" spans="1:10" x14ac:dyDescent="0.25">
      <c r="A5571" s="7" t="s">
        <v>36779</v>
      </c>
      <c r="B5571" s="8">
        <v>393.75</v>
      </c>
      <c r="C5571" s="8">
        <v>20.478950000000001</v>
      </c>
      <c r="D5571" s="8">
        <v>74</v>
      </c>
      <c r="E5571" s="8">
        <v>0</v>
      </c>
      <c r="F5571" s="8">
        <v>0</v>
      </c>
      <c r="G5571" s="8">
        <v>3</v>
      </c>
      <c r="H5571" s="8" t="s">
        <v>36780</v>
      </c>
      <c r="I5571" s="8">
        <v>526.6875</v>
      </c>
      <c r="J5571" s="3">
        <f t="shared" si="87"/>
        <v>43748.871345196756</v>
      </c>
    </row>
    <row r="5572" spans="1:10" x14ac:dyDescent="0.25">
      <c r="A5572" s="5" t="s">
        <v>36781</v>
      </c>
      <c r="B5572" s="6">
        <v>393.75</v>
      </c>
      <c r="C5572" s="6">
        <v>20.478950000000001</v>
      </c>
      <c r="D5572" s="6">
        <v>75</v>
      </c>
      <c r="E5572" s="6">
        <v>0</v>
      </c>
      <c r="F5572" s="6">
        <v>0</v>
      </c>
      <c r="G5572" s="6">
        <v>8</v>
      </c>
      <c r="H5572" s="6" t="s">
        <v>36782</v>
      </c>
      <c r="I5572" s="6">
        <v>526.6875</v>
      </c>
      <c r="J5572" s="2">
        <f t="shared" si="87"/>
        <v>43748.871428657403</v>
      </c>
    </row>
    <row r="5573" spans="1:10" x14ac:dyDescent="0.25">
      <c r="A5573" s="7" t="s">
        <v>36783</v>
      </c>
      <c r="B5573" s="8">
        <v>393.75</v>
      </c>
      <c r="C5573" s="8">
        <v>20.478950000000001</v>
      </c>
      <c r="D5573" s="8">
        <v>75</v>
      </c>
      <c r="E5573" s="8">
        <v>0</v>
      </c>
      <c r="F5573" s="8">
        <v>0</v>
      </c>
      <c r="G5573" s="8">
        <v>6</v>
      </c>
      <c r="H5573" s="8" t="s">
        <v>36784</v>
      </c>
      <c r="I5573" s="8">
        <v>526.6875</v>
      </c>
      <c r="J5573" s="3">
        <f t="shared" si="87"/>
        <v>43748.871511886573</v>
      </c>
    </row>
    <row r="5574" spans="1:10" x14ac:dyDescent="0.25">
      <c r="A5574" s="5" t="s">
        <v>36785</v>
      </c>
      <c r="B5574" s="6">
        <v>393.75</v>
      </c>
      <c r="C5574" s="6">
        <v>20.478950000000001</v>
      </c>
      <c r="D5574" s="6">
        <v>75</v>
      </c>
      <c r="E5574" s="6">
        <v>0</v>
      </c>
      <c r="F5574" s="6">
        <v>0</v>
      </c>
      <c r="G5574" s="6">
        <v>4</v>
      </c>
      <c r="H5574" s="6" t="s">
        <v>36786</v>
      </c>
      <c r="I5574" s="6">
        <v>526.6875</v>
      </c>
      <c r="J5574" s="2">
        <f t="shared" si="87"/>
        <v>43748.871583692126</v>
      </c>
    </row>
    <row r="5575" spans="1:10" x14ac:dyDescent="0.25">
      <c r="A5575" s="7" t="s">
        <v>36787</v>
      </c>
      <c r="B5575" s="8">
        <v>406.25</v>
      </c>
      <c r="C5575" s="8">
        <v>20.478950000000001</v>
      </c>
      <c r="D5575" s="8">
        <v>74</v>
      </c>
      <c r="E5575" s="8">
        <v>0</v>
      </c>
      <c r="F5575" s="8">
        <v>0</v>
      </c>
      <c r="G5575" s="8">
        <v>14</v>
      </c>
      <c r="H5575" s="8" t="s">
        <v>36788</v>
      </c>
      <c r="I5575" s="8">
        <v>530.625</v>
      </c>
      <c r="J5575" s="3">
        <f t="shared" si="87"/>
        <v>43748.871667187494</v>
      </c>
    </row>
    <row r="5576" spans="1:10" x14ac:dyDescent="0.25">
      <c r="A5576" s="5" t="s">
        <v>36789</v>
      </c>
      <c r="B5576" s="6">
        <v>393.75</v>
      </c>
      <c r="C5576" s="6">
        <v>20.478950000000001</v>
      </c>
      <c r="D5576" s="6">
        <v>75</v>
      </c>
      <c r="E5576" s="6">
        <v>0</v>
      </c>
      <c r="F5576" s="6">
        <v>0</v>
      </c>
      <c r="G5576" s="6">
        <v>9</v>
      </c>
      <c r="H5576" s="6" t="s">
        <v>36790</v>
      </c>
      <c r="I5576" s="6">
        <v>526.6875</v>
      </c>
      <c r="J5576" s="2">
        <f t="shared" si="87"/>
        <v>43748.871750648141</v>
      </c>
    </row>
    <row r="5577" spans="1:10" x14ac:dyDescent="0.25">
      <c r="A5577" s="7" t="s">
        <v>36791</v>
      </c>
      <c r="B5577" s="8">
        <v>393.75</v>
      </c>
      <c r="C5577" s="8">
        <v>20.478950000000001</v>
      </c>
      <c r="D5577" s="8">
        <v>75</v>
      </c>
      <c r="E5577" s="8">
        <v>0</v>
      </c>
      <c r="F5577" s="8">
        <v>0</v>
      </c>
      <c r="G5577" s="8">
        <v>11</v>
      </c>
      <c r="H5577" s="8" t="s">
        <v>36792</v>
      </c>
      <c r="I5577" s="8">
        <v>526.6875</v>
      </c>
      <c r="J5577" s="3">
        <f t="shared" si="87"/>
        <v>43748.871834189813</v>
      </c>
    </row>
    <row r="5578" spans="1:10" x14ac:dyDescent="0.25">
      <c r="A5578" s="5" t="s">
        <v>36793</v>
      </c>
      <c r="B5578" s="6">
        <v>393.75</v>
      </c>
      <c r="C5578" s="6">
        <v>20.478950000000001</v>
      </c>
      <c r="D5578" s="6">
        <v>74</v>
      </c>
      <c r="E5578" s="6">
        <v>0</v>
      </c>
      <c r="F5578" s="6">
        <v>0</v>
      </c>
      <c r="G5578" s="6">
        <v>7</v>
      </c>
      <c r="H5578" s="6" t="s">
        <v>36794</v>
      </c>
      <c r="I5578" s="6">
        <v>526.6875</v>
      </c>
      <c r="J5578" s="2">
        <f t="shared" si="87"/>
        <v>43748.87191765046</v>
      </c>
    </row>
    <row r="5579" spans="1:10" x14ac:dyDescent="0.25">
      <c r="A5579" s="7" t="s">
        <v>36795</v>
      </c>
      <c r="B5579" s="8">
        <v>393.75</v>
      </c>
      <c r="C5579" s="8">
        <v>20.478950000000001</v>
      </c>
      <c r="D5579" s="8">
        <v>74</v>
      </c>
      <c r="E5579" s="8">
        <v>0</v>
      </c>
      <c r="F5579" s="8">
        <v>0</v>
      </c>
      <c r="G5579" s="8">
        <v>4</v>
      </c>
      <c r="H5579" s="8" t="s">
        <v>36796</v>
      </c>
      <c r="I5579" s="8">
        <v>526.6875</v>
      </c>
      <c r="J5579" s="3">
        <f t="shared" si="87"/>
        <v>43748.872000752315</v>
      </c>
    </row>
    <row r="5580" spans="1:10" x14ac:dyDescent="0.25">
      <c r="A5580" s="5" t="s">
        <v>36797</v>
      </c>
      <c r="B5580" s="6">
        <v>393.75</v>
      </c>
      <c r="C5580" s="6">
        <v>20.478950000000001</v>
      </c>
      <c r="D5580" s="6">
        <v>74</v>
      </c>
      <c r="E5580" s="6">
        <v>0</v>
      </c>
      <c r="F5580" s="6">
        <v>0</v>
      </c>
      <c r="G5580" s="6">
        <v>14</v>
      </c>
      <c r="H5580" s="6" t="s">
        <v>36798</v>
      </c>
      <c r="I5580" s="6">
        <v>526.6875</v>
      </c>
      <c r="J5580" s="2">
        <f t="shared" si="87"/>
        <v>43748.872072407401</v>
      </c>
    </row>
    <row r="5581" spans="1:10" x14ac:dyDescent="0.25">
      <c r="A5581" s="7" t="s">
        <v>36799</v>
      </c>
      <c r="B5581" s="8">
        <v>393.75</v>
      </c>
      <c r="C5581" s="8">
        <v>20.478950000000001</v>
      </c>
      <c r="D5581" s="8">
        <v>74</v>
      </c>
      <c r="E5581" s="8">
        <v>0</v>
      </c>
      <c r="F5581" s="8">
        <v>0</v>
      </c>
      <c r="G5581" s="8">
        <v>7</v>
      </c>
      <c r="H5581" s="8" t="s">
        <v>36800</v>
      </c>
      <c r="I5581" s="8">
        <v>526.6875</v>
      </c>
      <c r="J5581" s="3">
        <f t="shared" si="87"/>
        <v>43748.87216825231</v>
      </c>
    </row>
    <row r="5582" spans="1:10" x14ac:dyDescent="0.25">
      <c r="A5582" s="5" t="s">
        <v>36801</v>
      </c>
      <c r="B5582" s="6">
        <v>412.5</v>
      </c>
      <c r="C5582" s="6">
        <v>20.478950000000001</v>
      </c>
      <c r="D5582" s="6">
        <v>76</v>
      </c>
      <c r="E5582" s="6">
        <v>0</v>
      </c>
      <c r="F5582" s="6">
        <v>0</v>
      </c>
      <c r="G5582" s="6">
        <v>14</v>
      </c>
      <c r="H5582" s="6" t="s">
        <v>36802</v>
      </c>
      <c r="I5582" s="6">
        <v>532.3125</v>
      </c>
      <c r="J5582" s="2">
        <f t="shared" si="87"/>
        <v>43748.87223966435</v>
      </c>
    </row>
    <row r="5583" spans="1:10" x14ac:dyDescent="0.25">
      <c r="A5583" s="7" t="s">
        <v>36803</v>
      </c>
      <c r="B5583" s="8">
        <v>393.75</v>
      </c>
      <c r="C5583" s="8">
        <v>20.478950000000001</v>
      </c>
      <c r="D5583" s="8">
        <v>77</v>
      </c>
      <c r="E5583" s="8">
        <v>0</v>
      </c>
      <c r="F5583" s="8">
        <v>0</v>
      </c>
      <c r="G5583" s="8">
        <v>0</v>
      </c>
      <c r="H5583" s="8" t="s">
        <v>36804</v>
      </c>
      <c r="I5583" s="8">
        <v>526.6875</v>
      </c>
      <c r="J5583" s="3">
        <f t="shared" si="87"/>
        <v>43748.872323067124</v>
      </c>
    </row>
    <row r="5584" spans="1:10" x14ac:dyDescent="0.25">
      <c r="A5584" s="5" t="s">
        <v>36805</v>
      </c>
      <c r="B5584" s="6">
        <v>393.75</v>
      </c>
      <c r="C5584" s="6">
        <v>20.478950000000001</v>
      </c>
      <c r="D5584" s="6">
        <v>77</v>
      </c>
      <c r="E5584" s="6">
        <v>0</v>
      </c>
      <c r="F5584" s="6">
        <v>0</v>
      </c>
      <c r="G5584" s="6">
        <v>9</v>
      </c>
      <c r="H5584" s="6" t="s">
        <v>36806</v>
      </c>
      <c r="I5584" s="6">
        <v>526.6875</v>
      </c>
      <c r="J5584" s="2">
        <f t="shared" si="87"/>
        <v>43748.872394710641</v>
      </c>
    </row>
    <row r="5585" spans="1:10" x14ac:dyDescent="0.25">
      <c r="A5585" s="7" t="s">
        <v>36807</v>
      </c>
      <c r="B5585" s="8">
        <v>393.75</v>
      </c>
      <c r="C5585" s="8">
        <v>20.478950000000001</v>
      </c>
      <c r="D5585" s="8">
        <v>79</v>
      </c>
      <c r="E5585" s="8">
        <v>0</v>
      </c>
      <c r="F5585" s="8">
        <v>0</v>
      </c>
      <c r="G5585" s="8">
        <v>13</v>
      </c>
      <c r="H5585" s="8" t="s">
        <v>36808</v>
      </c>
      <c r="I5585" s="8">
        <v>526.6875</v>
      </c>
      <c r="J5585" s="3">
        <f t="shared" si="87"/>
        <v>43748.872490208327</v>
      </c>
    </row>
    <row r="5586" spans="1:10" x14ac:dyDescent="0.25">
      <c r="A5586" s="5" t="s">
        <v>36809</v>
      </c>
      <c r="B5586" s="6">
        <v>393.75</v>
      </c>
      <c r="C5586" s="6">
        <v>20.478950000000001</v>
      </c>
      <c r="D5586" s="6">
        <v>79</v>
      </c>
      <c r="E5586" s="6">
        <v>0</v>
      </c>
      <c r="F5586" s="6">
        <v>0</v>
      </c>
      <c r="G5586" s="6">
        <v>13</v>
      </c>
      <c r="H5586" s="6" t="s">
        <v>36810</v>
      </c>
      <c r="I5586" s="6">
        <v>526.6875</v>
      </c>
      <c r="J5586" s="2">
        <f t="shared" si="87"/>
        <v>43748.872585462959</v>
      </c>
    </row>
    <row r="5587" spans="1:10" x14ac:dyDescent="0.25">
      <c r="A5587" s="7" t="s">
        <v>36811</v>
      </c>
      <c r="B5587" s="8">
        <v>393.75</v>
      </c>
      <c r="C5587" s="8">
        <v>20.478950000000001</v>
      </c>
      <c r="D5587" s="8">
        <v>78</v>
      </c>
      <c r="E5587" s="8">
        <v>0</v>
      </c>
      <c r="F5587" s="8">
        <v>0</v>
      </c>
      <c r="G5587" s="8">
        <v>13</v>
      </c>
      <c r="H5587" s="8" t="s">
        <v>36812</v>
      </c>
      <c r="I5587" s="8">
        <v>526.6875</v>
      </c>
      <c r="J5587" s="3">
        <f t="shared" si="87"/>
        <v>43748.872657106484</v>
      </c>
    </row>
    <row r="5588" spans="1:10" x14ac:dyDescent="0.25">
      <c r="A5588" s="5" t="s">
        <v>36813</v>
      </c>
      <c r="B5588" s="6">
        <v>393.75</v>
      </c>
      <c r="C5588" s="6">
        <v>20.478950000000001</v>
      </c>
      <c r="D5588" s="6">
        <v>78</v>
      </c>
      <c r="E5588" s="6">
        <v>0</v>
      </c>
      <c r="F5588" s="6">
        <v>0</v>
      </c>
      <c r="G5588" s="6">
        <v>14</v>
      </c>
      <c r="H5588" s="6" t="s">
        <v>36814</v>
      </c>
      <c r="I5588" s="6">
        <v>526.6875</v>
      </c>
      <c r="J5588" s="2">
        <f t="shared" si="87"/>
        <v>43748.872728634255</v>
      </c>
    </row>
    <row r="5589" spans="1:10" x14ac:dyDescent="0.25">
      <c r="A5589" s="7" t="s">
        <v>36815</v>
      </c>
      <c r="B5589" s="8">
        <v>393.75</v>
      </c>
      <c r="C5589" s="8">
        <v>20.478950000000001</v>
      </c>
      <c r="D5589" s="8">
        <v>78</v>
      </c>
      <c r="E5589" s="8">
        <v>0</v>
      </c>
      <c r="F5589" s="8">
        <v>0</v>
      </c>
      <c r="G5589" s="8">
        <v>8</v>
      </c>
      <c r="H5589" s="8" t="s">
        <v>36816</v>
      </c>
      <c r="I5589" s="8">
        <v>526.6875</v>
      </c>
      <c r="J5589" s="3">
        <f t="shared" si="87"/>
        <v>43748.872800162033</v>
      </c>
    </row>
    <row r="5590" spans="1:10" x14ac:dyDescent="0.25">
      <c r="A5590" s="5" t="s">
        <v>36817</v>
      </c>
      <c r="B5590" s="6">
        <v>393.75</v>
      </c>
      <c r="C5590" s="6">
        <v>20.478950000000001</v>
      </c>
      <c r="D5590" s="6">
        <v>78</v>
      </c>
      <c r="E5590" s="6">
        <v>0</v>
      </c>
      <c r="F5590" s="6">
        <v>0</v>
      </c>
      <c r="G5590" s="6">
        <v>3</v>
      </c>
      <c r="H5590" s="6" t="s">
        <v>36818</v>
      </c>
      <c r="I5590" s="6">
        <v>526.6875</v>
      </c>
      <c r="J5590" s="2">
        <f t="shared" si="87"/>
        <v>43748.872871122679</v>
      </c>
    </row>
    <row r="5591" spans="1:10" x14ac:dyDescent="0.25">
      <c r="A5591" s="7" t="s">
        <v>36819</v>
      </c>
      <c r="B5591" s="8">
        <v>393.75</v>
      </c>
      <c r="C5591" s="8">
        <v>20.478950000000001</v>
      </c>
      <c r="D5591" s="8">
        <v>78</v>
      </c>
      <c r="E5591" s="8">
        <v>0</v>
      </c>
      <c r="F5591" s="8">
        <v>0</v>
      </c>
      <c r="G5591" s="8">
        <v>12</v>
      </c>
      <c r="H5591" s="8" t="s">
        <v>36820</v>
      </c>
      <c r="I5591" s="8">
        <v>526.6875</v>
      </c>
      <c r="J5591" s="3">
        <f t="shared" si="87"/>
        <v>43748.872943229166</v>
      </c>
    </row>
    <row r="5592" spans="1:10" x14ac:dyDescent="0.25">
      <c r="A5592" s="5" t="s">
        <v>36821</v>
      </c>
      <c r="B5592" s="6">
        <v>393.75</v>
      </c>
      <c r="C5592" s="6">
        <v>20.478950000000001</v>
      </c>
      <c r="D5592" s="6">
        <v>78</v>
      </c>
      <c r="E5592" s="6">
        <v>0</v>
      </c>
      <c r="F5592" s="6">
        <v>0</v>
      </c>
      <c r="G5592" s="6">
        <v>8</v>
      </c>
      <c r="H5592" s="6" t="s">
        <v>36822</v>
      </c>
      <c r="I5592" s="6">
        <v>526.6875</v>
      </c>
      <c r="J5592" s="2">
        <f t="shared" si="87"/>
        <v>43748.873026770831</v>
      </c>
    </row>
    <row r="5593" spans="1:10" x14ac:dyDescent="0.25">
      <c r="A5593" s="7" t="s">
        <v>36823</v>
      </c>
      <c r="B5593" s="8">
        <v>393.75</v>
      </c>
      <c r="C5593" s="8">
        <v>20.478950000000001</v>
      </c>
      <c r="D5593" s="8">
        <v>77</v>
      </c>
      <c r="E5593" s="8">
        <v>0</v>
      </c>
      <c r="F5593" s="8">
        <v>0</v>
      </c>
      <c r="G5593" s="8">
        <v>8</v>
      </c>
      <c r="H5593" s="8" t="s">
        <v>36824</v>
      </c>
      <c r="I5593" s="8">
        <v>526.6875</v>
      </c>
      <c r="J5593" s="3">
        <f t="shared" si="87"/>
        <v>43748.873098321761</v>
      </c>
    </row>
    <row r="5594" spans="1:10" x14ac:dyDescent="0.25">
      <c r="A5594" s="5" t="s">
        <v>36825</v>
      </c>
      <c r="B5594" s="6">
        <v>393.75</v>
      </c>
      <c r="C5594" s="6">
        <v>20.478950000000001</v>
      </c>
      <c r="D5594" s="6">
        <v>77</v>
      </c>
      <c r="E5594" s="6">
        <v>0</v>
      </c>
      <c r="F5594" s="6">
        <v>0</v>
      </c>
      <c r="G5594" s="6">
        <v>13</v>
      </c>
      <c r="H5594" s="6" t="s">
        <v>36826</v>
      </c>
      <c r="I5594" s="6">
        <v>526.6875</v>
      </c>
      <c r="J5594" s="2">
        <f t="shared" si="87"/>
        <v>43748.873181759256</v>
      </c>
    </row>
    <row r="5595" spans="1:10" x14ac:dyDescent="0.25">
      <c r="A5595" s="7" t="s">
        <v>36827</v>
      </c>
      <c r="B5595" s="8">
        <v>393.75</v>
      </c>
      <c r="C5595" s="8">
        <v>20.478950000000001</v>
      </c>
      <c r="D5595" s="8">
        <v>77</v>
      </c>
      <c r="E5595" s="8">
        <v>0</v>
      </c>
      <c r="F5595" s="8">
        <v>0</v>
      </c>
      <c r="G5595" s="8">
        <v>20</v>
      </c>
      <c r="H5595" s="8" t="s">
        <v>36828</v>
      </c>
      <c r="I5595" s="8">
        <v>526.6875</v>
      </c>
      <c r="J5595" s="3">
        <f t="shared" si="87"/>
        <v>43748.873253414349</v>
      </c>
    </row>
    <row r="5596" spans="1:10" x14ac:dyDescent="0.25">
      <c r="A5596" s="5" t="s">
        <v>36829</v>
      </c>
      <c r="B5596" s="6">
        <v>393.75</v>
      </c>
      <c r="C5596" s="6">
        <v>20.478950000000001</v>
      </c>
      <c r="D5596" s="6">
        <v>78</v>
      </c>
      <c r="E5596" s="6">
        <v>0</v>
      </c>
      <c r="F5596" s="6">
        <v>0</v>
      </c>
      <c r="G5596" s="6">
        <v>7</v>
      </c>
      <c r="H5596" s="6" t="s">
        <v>36830</v>
      </c>
      <c r="I5596" s="6">
        <v>526.6875</v>
      </c>
      <c r="J5596" s="2">
        <f t="shared" si="87"/>
        <v>43748.873325405089</v>
      </c>
    </row>
    <row r="5597" spans="1:10" x14ac:dyDescent="0.25">
      <c r="A5597" s="7" t="s">
        <v>36831</v>
      </c>
      <c r="B5597" s="8">
        <v>418.75</v>
      </c>
      <c r="C5597" s="8">
        <v>20.478950000000001</v>
      </c>
      <c r="D5597" s="8">
        <v>78</v>
      </c>
      <c r="E5597" s="8">
        <v>0</v>
      </c>
      <c r="F5597" s="8">
        <v>0</v>
      </c>
      <c r="G5597" s="8">
        <v>11</v>
      </c>
      <c r="H5597" s="8" t="s">
        <v>36832</v>
      </c>
      <c r="I5597" s="8">
        <v>534.1875</v>
      </c>
      <c r="J5597" s="3">
        <f t="shared" si="87"/>
        <v>43748.873408159721</v>
      </c>
    </row>
    <row r="5598" spans="1:10" x14ac:dyDescent="0.25">
      <c r="A5598" s="5" t="s">
        <v>36833</v>
      </c>
      <c r="B5598" s="6">
        <v>393.75</v>
      </c>
      <c r="C5598" s="6">
        <v>20.478950000000001</v>
      </c>
      <c r="D5598" s="6">
        <v>78</v>
      </c>
      <c r="E5598" s="6">
        <v>0</v>
      </c>
      <c r="F5598" s="6">
        <v>0</v>
      </c>
      <c r="G5598" s="6">
        <v>9</v>
      </c>
      <c r="H5598" s="6" t="s">
        <v>36834</v>
      </c>
      <c r="I5598" s="6">
        <v>526.6875</v>
      </c>
      <c r="J5598" s="2">
        <f t="shared" si="87"/>
        <v>43748.873479918977</v>
      </c>
    </row>
    <row r="5599" spans="1:10" x14ac:dyDescent="0.25">
      <c r="A5599" s="7" t="s">
        <v>36835</v>
      </c>
      <c r="B5599" s="8">
        <v>393.75</v>
      </c>
      <c r="C5599" s="8">
        <v>20.478950000000001</v>
      </c>
      <c r="D5599" s="8">
        <v>78</v>
      </c>
      <c r="E5599" s="8">
        <v>0</v>
      </c>
      <c r="F5599" s="8">
        <v>0</v>
      </c>
      <c r="G5599" s="8">
        <v>8</v>
      </c>
      <c r="H5599" s="8" t="s">
        <v>36836</v>
      </c>
      <c r="I5599" s="8">
        <v>526.6875</v>
      </c>
      <c r="J5599" s="3">
        <f t="shared" si="87"/>
        <v>43748.873563460649</v>
      </c>
    </row>
    <row r="5600" spans="1:10" x14ac:dyDescent="0.25">
      <c r="A5600" s="5" t="s">
        <v>36837</v>
      </c>
      <c r="B5600" s="6">
        <v>412.5</v>
      </c>
      <c r="C5600" s="6">
        <v>20.478950000000001</v>
      </c>
      <c r="D5600" s="6">
        <v>78</v>
      </c>
      <c r="E5600" s="6">
        <v>0</v>
      </c>
      <c r="F5600" s="6">
        <v>0</v>
      </c>
      <c r="G5600" s="6">
        <v>14</v>
      </c>
      <c r="H5600" s="6" t="s">
        <v>36838</v>
      </c>
      <c r="I5600" s="6">
        <v>532.3125</v>
      </c>
      <c r="J5600" s="2">
        <f t="shared" si="87"/>
        <v>43748.87363509259</v>
      </c>
    </row>
    <row r="5601" spans="1:10" x14ac:dyDescent="0.25">
      <c r="A5601" s="7" t="s">
        <v>36839</v>
      </c>
      <c r="B5601" s="8">
        <v>393.75</v>
      </c>
      <c r="C5601" s="8">
        <v>20.478950000000001</v>
      </c>
      <c r="D5601" s="8">
        <v>77</v>
      </c>
      <c r="E5601" s="8">
        <v>0</v>
      </c>
      <c r="F5601" s="8">
        <v>0</v>
      </c>
      <c r="G5601" s="8">
        <v>9</v>
      </c>
      <c r="H5601" s="8" t="s">
        <v>36840</v>
      </c>
      <c r="I5601" s="8">
        <v>526.6875</v>
      </c>
      <c r="J5601" s="3">
        <f t="shared" si="87"/>
        <v>43748.873706527775</v>
      </c>
    </row>
    <row r="5602" spans="1:10" x14ac:dyDescent="0.25">
      <c r="A5602" s="5" t="s">
        <v>36841</v>
      </c>
      <c r="B5602" s="6">
        <v>393.75</v>
      </c>
      <c r="C5602" s="6">
        <v>20.478950000000001</v>
      </c>
      <c r="D5602" s="6">
        <v>78</v>
      </c>
      <c r="E5602" s="6">
        <v>0</v>
      </c>
      <c r="F5602" s="6">
        <v>0</v>
      </c>
      <c r="G5602" s="6">
        <v>6</v>
      </c>
      <c r="H5602" s="6" t="s">
        <v>36842</v>
      </c>
      <c r="I5602" s="6">
        <v>526.6875</v>
      </c>
      <c r="J5602" s="2">
        <f t="shared" si="87"/>
        <v>43748.873789733792</v>
      </c>
    </row>
    <row r="5603" spans="1:10" x14ac:dyDescent="0.25">
      <c r="A5603" s="7" t="s">
        <v>36843</v>
      </c>
      <c r="B5603" s="8">
        <v>393.75</v>
      </c>
      <c r="C5603" s="8">
        <v>20.478950000000001</v>
      </c>
      <c r="D5603" s="8">
        <v>78</v>
      </c>
      <c r="E5603" s="8">
        <v>0</v>
      </c>
      <c r="F5603" s="8">
        <v>0</v>
      </c>
      <c r="G5603" s="8">
        <v>9</v>
      </c>
      <c r="H5603" s="8" t="s">
        <v>36844</v>
      </c>
      <c r="I5603" s="8">
        <v>526.6875</v>
      </c>
      <c r="J5603" s="3">
        <f t="shared" si="87"/>
        <v>43748.873861562497</v>
      </c>
    </row>
    <row r="5604" spans="1:10" x14ac:dyDescent="0.25">
      <c r="A5604" s="5" t="s">
        <v>36845</v>
      </c>
      <c r="B5604" s="6">
        <v>393.75</v>
      </c>
      <c r="C5604" s="6">
        <v>20.478950000000001</v>
      </c>
      <c r="D5604" s="6">
        <v>77</v>
      </c>
      <c r="E5604" s="6">
        <v>0</v>
      </c>
      <c r="F5604" s="6">
        <v>0</v>
      </c>
      <c r="G5604" s="6">
        <v>8</v>
      </c>
      <c r="H5604" s="6" t="s">
        <v>36846</v>
      </c>
      <c r="I5604" s="6">
        <v>526.6875</v>
      </c>
      <c r="J5604" s="2">
        <f t="shared" si="87"/>
        <v>43748.873945196756</v>
      </c>
    </row>
    <row r="5605" spans="1:10" x14ac:dyDescent="0.25">
      <c r="A5605" s="7" t="s">
        <v>36847</v>
      </c>
      <c r="B5605" s="8">
        <v>393.75</v>
      </c>
      <c r="C5605" s="8">
        <v>20.478950000000001</v>
      </c>
      <c r="D5605" s="8">
        <v>80</v>
      </c>
      <c r="E5605" s="8">
        <v>0</v>
      </c>
      <c r="F5605" s="8">
        <v>0</v>
      </c>
      <c r="G5605" s="8">
        <v>15</v>
      </c>
      <c r="H5605" s="8" t="s">
        <v>36848</v>
      </c>
      <c r="I5605" s="8">
        <v>526.6875</v>
      </c>
      <c r="J5605" s="3">
        <f t="shared" si="87"/>
        <v>43748.874016585651</v>
      </c>
    </row>
    <row r="5606" spans="1:10" x14ac:dyDescent="0.25">
      <c r="A5606" s="5" t="s">
        <v>36849</v>
      </c>
      <c r="B5606" s="6">
        <v>393.75</v>
      </c>
      <c r="C5606" s="6">
        <v>20.478950000000001</v>
      </c>
      <c r="D5606" s="6">
        <v>81</v>
      </c>
      <c r="E5606" s="6">
        <v>0</v>
      </c>
      <c r="F5606" s="6">
        <v>0</v>
      </c>
      <c r="G5606" s="6">
        <v>11</v>
      </c>
      <c r="H5606" s="6" t="s">
        <v>36850</v>
      </c>
      <c r="I5606" s="6">
        <v>526.6875</v>
      </c>
      <c r="J5606" s="2">
        <f t="shared" si="87"/>
        <v>43748.874088229168</v>
      </c>
    </row>
    <row r="5607" spans="1:10" x14ac:dyDescent="0.25">
      <c r="A5607" s="7" t="s">
        <v>36851</v>
      </c>
      <c r="B5607" s="8">
        <v>393.75</v>
      </c>
      <c r="C5607" s="8">
        <v>20.478950000000001</v>
      </c>
      <c r="D5607" s="8">
        <v>81</v>
      </c>
      <c r="E5607" s="8">
        <v>0</v>
      </c>
      <c r="F5607" s="8">
        <v>0</v>
      </c>
      <c r="G5607" s="8">
        <v>11</v>
      </c>
      <c r="H5607" s="8" t="s">
        <v>36852</v>
      </c>
      <c r="I5607" s="8">
        <v>526.6875</v>
      </c>
      <c r="J5607" s="3">
        <f t="shared" si="87"/>
        <v>43748.87415953703</v>
      </c>
    </row>
    <row r="5608" spans="1:10" x14ac:dyDescent="0.25">
      <c r="A5608" s="5" t="s">
        <v>36853</v>
      </c>
      <c r="B5608" s="6">
        <v>393.75</v>
      </c>
      <c r="C5608" s="6">
        <v>20.478950000000001</v>
      </c>
      <c r="D5608" s="6">
        <v>79</v>
      </c>
      <c r="E5608" s="6">
        <v>0</v>
      </c>
      <c r="F5608" s="6">
        <v>0</v>
      </c>
      <c r="G5608" s="6">
        <v>15</v>
      </c>
      <c r="H5608" s="6" t="s">
        <v>36854</v>
      </c>
      <c r="I5608" s="6">
        <v>526.6875</v>
      </c>
      <c r="J5608" s="2">
        <f t="shared" si="87"/>
        <v>43748.874231284724</v>
      </c>
    </row>
    <row r="5609" spans="1:10" x14ac:dyDescent="0.25">
      <c r="A5609" s="7" t="s">
        <v>36855</v>
      </c>
      <c r="B5609" s="8">
        <v>393.75</v>
      </c>
      <c r="C5609" s="8">
        <v>20.478950000000001</v>
      </c>
      <c r="D5609" s="8">
        <v>79</v>
      </c>
      <c r="E5609" s="8">
        <v>0</v>
      </c>
      <c r="F5609" s="8">
        <v>0</v>
      </c>
      <c r="G5609" s="8">
        <v>3</v>
      </c>
      <c r="H5609" s="8" t="s">
        <v>36856</v>
      </c>
      <c r="I5609" s="8">
        <v>526.6875</v>
      </c>
      <c r="J5609" s="3">
        <f t="shared" si="87"/>
        <v>43748.874302870368</v>
      </c>
    </row>
    <row r="5610" spans="1:10" x14ac:dyDescent="0.25">
      <c r="A5610" s="5" t="s">
        <v>36857</v>
      </c>
      <c r="B5610" s="6">
        <v>393.75</v>
      </c>
      <c r="C5610" s="6">
        <v>20.478950000000001</v>
      </c>
      <c r="D5610" s="6">
        <v>79</v>
      </c>
      <c r="E5610" s="6">
        <v>0</v>
      </c>
      <c r="F5610" s="6">
        <v>0</v>
      </c>
      <c r="G5610" s="6">
        <v>14</v>
      </c>
      <c r="H5610" s="6" t="s">
        <v>36858</v>
      </c>
      <c r="I5610" s="6">
        <v>526.6875</v>
      </c>
      <c r="J5610" s="2">
        <f t="shared" si="87"/>
        <v>43748.874374467588</v>
      </c>
    </row>
    <row r="5611" spans="1:10" x14ac:dyDescent="0.25">
      <c r="A5611" s="7" t="s">
        <v>36859</v>
      </c>
      <c r="B5611" s="8">
        <v>425</v>
      </c>
      <c r="C5611" s="8">
        <v>20.478950000000001</v>
      </c>
      <c r="D5611" s="8">
        <v>78</v>
      </c>
      <c r="E5611" s="8">
        <v>0</v>
      </c>
      <c r="F5611" s="8">
        <v>0</v>
      </c>
      <c r="G5611" s="8">
        <v>21</v>
      </c>
      <c r="H5611" s="8" t="s">
        <v>36860</v>
      </c>
      <c r="I5611" s="8">
        <v>536.25</v>
      </c>
      <c r="J5611" s="3">
        <f t="shared" si="87"/>
        <v>43748.874445775458</v>
      </c>
    </row>
    <row r="5612" spans="1:10" x14ac:dyDescent="0.25">
      <c r="A5612" s="5" t="s">
        <v>36861</v>
      </c>
      <c r="B5612" s="6">
        <v>393.75</v>
      </c>
      <c r="C5612" s="6">
        <v>20.478950000000001</v>
      </c>
      <c r="D5612" s="6">
        <v>85</v>
      </c>
      <c r="E5612" s="6">
        <v>0</v>
      </c>
      <c r="F5612" s="6">
        <v>0</v>
      </c>
      <c r="G5612" s="6">
        <v>5</v>
      </c>
      <c r="H5612" s="6" t="s">
        <v>36862</v>
      </c>
      <c r="I5612" s="6">
        <v>526.6875</v>
      </c>
      <c r="J5612" s="2">
        <f t="shared" si="87"/>
        <v>43748.874518009259</v>
      </c>
    </row>
    <row r="5613" spans="1:10" x14ac:dyDescent="0.25">
      <c r="A5613" s="7" t="s">
        <v>36863</v>
      </c>
      <c r="B5613" s="8">
        <v>393.75</v>
      </c>
      <c r="C5613" s="8">
        <v>20.478950000000001</v>
      </c>
      <c r="D5613" s="8">
        <v>84</v>
      </c>
      <c r="E5613" s="8">
        <v>0</v>
      </c>
      <c r="F5613" s="8">
        <v>0</v>
      </c>
      <c r="G5613" s="8">
        <v>13</v>
      </c>
      <c r="H5613" s="8" t="s">
        <v>36864</v>
      </c>
      <c r="I5613" s="8">
        <v>526.6875</v>
      </c>
      <c r="J5613" s="3">
        <f t="shared" si="87"/>
        <v>43748.874589270832</v>
      </c>
    </row>
    <row r="5614" spans="1:10" x14ac:dyDescent="0.25">
      <c r="A5614" s="5" t="s">
        <v>36865</v>
      </c>
      <c r="B5614" s="6">
        <v>393.75</v>
      </c>
      <c r="C5614" s="6">
        <v>20.478950000000001</v>
      </c>
      <c r="D5614" s="6">
        <v>80</v>
      </c>
      <c r="E5614" s="6">
        <v>0</v>
      </c>
      <c r="F5614" s="6">
        <v>0</v>
      </c>
      <c r="G5614" s="6">
        <v>6</v>
      </c>
      <c r="H5614" s="6" t="s">
        <v>36866</v>
      </c>
      <c r="I5614" s="6">
        <v>526.6875</v>
      </c>
      <c r="J5614" s="2">
        <f t="shared" si="87"/>
        <v>43748.874660578702</v>
      </c>
    </row>
    <row r="5615" spans="1:10" x14ac:dyDescent="0.25">
      <c r="A5615" s="7" t="s">
        <v>36867</v>
      </c>
      <c r="B5615" s="8">
        <v>393.75</v>
      </c>
      <c r="C5615" s="8">
        <v>20.478950000000001</v>
      </c>
      <c r="D5615" s="8">
        <v>80</v>
      </c>
      <c r="E5615" s="8">
        <v>0</v>
      </c>
      <c r="F5615" s="8">
        <v>0</v>
      </c>
      <c r="G5615" s="8">
        <v>16</v>
      </c>
      <c r="H5615" s="8" t="s">
        <v>36868</v>
      </c>
      <c r="I5615" s="8">
        <v>526.5</v>
      </c>
      <c r="J5615" s="3">
        <f t="shared" si="87"/>
        <v>43748.874732060183</v>
      </c>
    </row>
    <row r="5616" spans="1:10" x14ac:dyDescent="0.25">
      <c r="A5616" s="5" t="s">
        <v>36869</v>
      </c>
      <c r="B5616" s="6">
        <v>393.75</v>
      </c>
      <c r="C5616" s="6">
        <v>20.478950000000001</v>
      </c>
      <c r="D5616" s="6">
        <v>80</v>
      </c>
      <c r="E5616" s="6">
        <v>0</v>
      </c>
      <c r="F5616" s="6">
        <v>0</v>
      </c>
      <c r="G5616" s="6">
        <v>7</v>
      </c>
      <c r="H5616" s="6" t="s">
        <v>36870</v>
      </c>
      <c r="I5616" s="6">
        <v>526.6875</v>
      </c>
      <c r="J5616" s="2">
        <f t="shared" si="87"/>
        <v>43748.874804039348</v>
      </c>
    </row>
    <row r="5617" spans="1:10" x14ac:dyDescent="0.25">
      <c r="A5617" s="7" t="s">
        <v>36871</v>
      </c>
      <c r="B5617" s="8">
        <v>393.75</v>
      </c>
      <c r="C5617" s="8">
        <v>20.478950000000001</v>
      </c>
      <c r="D5617" s="8">
        <v>78</v>
      </c>
      <c r="E5617" s="8">
        <v>0</v>
      </c>
      <c r="F5617" s="8">
        <v>0</v>
      </c>
      <c r="G5617" s="8">
        <v>11</v>
      </c>
      <c r="H5617" s="8" t="s">
        <v>36872</v>
      </c>
      <c r="I5617" s="8">
        <v>526.6875</v>
      </c>
      <c r="J5617" s="3">
        <f t="shared" si="87"/>
        <v>43748.874875347225</v>
      </c>
    </row>
    <row r="5618" spans="1:10" x14ac:dyDescent="0.25">
      <c r="A5618" s="5" t="s">
        <v>36873</v>
      </c>
      <c r="B5618" s="6">
        <v>393.75</v>
      </c>
      <c r="C5618" s="6">
        <v>20.478950000000001</v>
      </c>
      <c r="D5618" s="6">
        <v>78</v>
      </c>
      <c r="E5618" s="6">
        <v>0</v>
      </c>
      <c r="F5618" s="6">
        <v>0</v>
      </c>
      <c r="G5618" s="6">
        <v>8</v>
      </c>
      <c r="H5618" s="6" t="s">
        <v>36874</v>
      </c>
      <c r="I5618" s="6">
        <v>526.6875</v>
      </c>
      <c r="J5618" s="2">
        <f t="shared" si="87"/>
        <v>43748.8749718287</v>
      </c>
    </row>
    <row r="5619" spans="1:10" x14ac:dyDescent="0.25">
      <c r="A5619" s="7" t="s">
        <v>36875</v>
      </c>
      <c r="B5619" s="8">
        <v>393.75</v>
      </c>
      <c r="C5619" s="8">
        <v>20.478950000000001</v>
      </c>
      <c r="D5619" s="8">
        <v>77</v>
      </c>
      <c r="E5619" s="8">
        <v>0</v>
      </c>
      <c r="F5619" s="8">
        <v>0</v>
      </c>
      <c r="G5619" s="8">
        <v>18</v>
      </c>
      <c r="H5619" s="8" t="s">
        <v>36876</v>
      </c>
      <c r="I5619" s="8">
        <v>526.6875</v>
      </c>
      <c r="J5619" s="3">
        <f t="shared" si="87"/>
        <v>43748.875042025458</v>
      </c>
    </row>
    <row r="5620" spans="1:10" x14ac:dyDescent="0.25">
      <c r="A5620" s="5" t="s">
        <v>36877</v>
      </c>
      <c r="B5620" s="6">
        <v>393.75</v>
      </c>
      <c r="C5620" s="6">
        <v>20.478950000000001</v>
      </c>
      <c r="D5620" s="6">
        <v>77</v>
      </c>
      <c r="E5620" s="6">
        <v>0</v>
      </c>
      <c r="F5620" s="6">
        <v>0</v>
      </c>
      <c r="G5620" s="6">
        <v>22</v>
      </c>
      <c r="H5620" s="6" t="s">
        <v>36878</v>
      </c>
      <c r="I5620" s="6">
        <v>526.6875</v>
      </c>
      <c r="J5620" s="2">
        <f t="shared" si="87"/>
        <v>43748.875114270828</v>
      </c>
    </row>
    <row r="5621" spans="1:10" x14ac:dyDescent="0.25">
      <c r="A5621" s="7" t="s">
        <v>36879</v>
      </c>
      <c r="B5621" s="8">
        <v>393.75</v>
      </c>
      <c r="C5621" s="8">
        <v>20.478950000000001</v>
      </c>
      <c r="D5621" s="8">
        <v>76</v>
      </c>
      <c r="E5621" s="8">
        <v>0</v>
      </c>
      <c r="F5621" s="8">
        <v>0</v>
      </c>
      <c r="G5621" s="8">
        <v>5</v>
      </c>
      <c r="H5621" s="8" t="s">
        <v>36880</v>
      </c>
      <c r="I5621" s="8">
        <v>526.6875</v>
      </c>
      <c r="J5621" s="3">
        <f t="shared" si="87"/>
        <v>43748.875185567129</v>
      </c>
    </row>
    <row r="5622" spans="1:10" x14ac:dyDescent="0.25">
      <c r="A5622" s="5" t="s">
        <v>36881</v>
      </c>
      <c r="B5622" s="6">
        <v>393.75</v>
      </c>
      <c r="C5622" s="6">
        <v>20.478950000000001</v>
      </c>
      <c r="D5622" s="6">
        <v>76</v>
      </c>
      <c r="E5622" s="6">
        <v>0</v>
      </c>
      <c r="F5622" s="6">
        <v>0</v>
      </c>
      <c r="G5622" s="6">
        <v>7</v>
      </c>
      <c r="H5622" s="6" t="s">
        <v>36882</v>
      </c>
      <c r="I5622" s="6">
        <v>526.6875</v>
      </c>
      <c r="J5622" s="2">
        <f t="shared" si="87"/>
        <v>43748.875256863423</v>
      </c>
    </row>
    <row r="5623" spans="1:10" x14ac:dyDescent="0.25">
      <c r="A5623" s="7" t="s">
        <v>36883</v>
      </c>
      <c r="B5623" s="8">
        <v>393.75</v>
      </c>
      <c r="C5623" s="8">
        <v>20.478950000000001</v>
      </c>
      <c r="D5623" s="8">
        <v>76</v>
      </c>
      <c r="E5623" s="8">
        <v>0</v>
      </c>
      <c r="F5623" s="8">
        <v>0</v>
      </c>
      <c r="G5623" s="8">
        <v>12</v>
      </c>
      <c r="H5623" s="8" t="s">
        <v>36884</v>
      </c>
      <c r="I5623" s="8">
        <v>526.6875</v>
      </c>
      <c r="J5623" s="3">
        <f t="shared" si="87"/>
        <v>43748.875328206013</v>
      </c>
    </row>
    <row r="5624" spans="1:10" x14ac:dyDescent="0.25">
      <c r="A5624" s="5" t="s">
        <v>36885</v>
      </c>
      <c r="B5624" s="6">
        <v>393.75</v>
      </c>
      <c r="C5624" s="6">
        <v>20.478950000000001</v>
      </c>
      <c r="D5624" s="6">
        <v>76</v>
      </c>
      <c r="E5624" s="6">
        <v>0</v>
      </c>
      <c r="F5624" s="6">
        <v>0</v>
      </c>
      <c r="G5624" s="6">
        <v>11</v>
      </c>
      <c r="H5624" s="6" t="s">
        <v>36886</v>
      </c>
      <c r="I5624" s="6">
        <v>526.6875</v>
      </c>
      <c r="J5624" s="2">
        <f t="shared" si="87"/>
        <v>43748.875401134261</v>
      </c>
    </row>
    <row r="5625" spans="1:10" x14ac:dyDescent="0.25">
      <c r="A5625" s="7" t="s">
        <v>36887</v>
      </c>
      <c r="B5625" s="8">
        <v>393.75</v>
      </c>
      <c r="C5625" s="8">
        <v>20.478950000000001</v>
      </c>
      <c r="D5625" s="8">
        <v>76</v>
      </c>
      <c r="E5625" s="8">
        <v>0</v>
      </c>
      <c r="F5625" s="8">
        <v>0</v>
      </c>
      <c r="G5625" s="8">
        <v>10</v>
      </c>
      <c r="H5625" s="8" t="s">
        <v>36888</v>
      </c>
      <c r="I5625" s="8">
        <v>526.6875</v>
      </c>
      <c r="J5625" s="3">
        <f t="shared" si="87"/>
        <v>43748.875471608793</v>
      </c>
    </row>
    <row r="5626" spans="1:10" x14ac:dyDescent="0.25">
      <c r="A5626" s="5" t="s">
        <v>36889</v>
      </c>
      <c r="B5626" s="6">
        <v>393.75</v>
      </c>
      <c r="C5626" s="6">
        <v>20.478950000000001</v>
      </c>
      <c r="D5626" s="6">
        <v>76</v>
      </c>
      <c r="E5626" s="6">
        <v>0</v>
      </c>
      <c r="F5626" s="6">
        <v>0</v>
      </c>
      <c r="G5626" s="6">
        <v>8</v>
      </c>
      <c r="H5626" s="6" t="s">
        <v>36890</v>
      </c>
      <c r="I5626" s="6">
        <v>526.6875</v>
      </c>
      <c r="J5626" s="2">
        <f t="shared" si="87"/>
        <v>43748.875543020833</v>
      </c>
    </row>
    <row r="5627" spans="1:10" x14ac:dyDescent="0.25">
      <c r="A5627" s="7" t="s">
        <v>36891</v>
      </c>
      <c r="B5627" s="8">
        <v>412.5</v>
      </c>
      <c r="C5627" s="8">
        <v>20.478950000000001</v>
      </c>
      <c r="D5627" s="8">
        <v>76</v>
      </c>
      <c r="E5627" s="8">
        <v>0</v>
      </c>
      <c r="F5627" s="8">
        <v>0</v>
      </c>
      <c r="G5627" s="8">
        <v>12</v>
      </c>
      <c r="H5627" s="8" t="s">
        <v>36892</v>
      </c>
      <c r="I5627" s="8">
        <v>532.3125</v>
      </c>
      <c r="J5627" s="3">
        <f t="shared" si="87"/>
        <v>43748.875615185178</v>
      </c>
    </row>
    <row r="5628" spans="1:10" x14ac:dyDescent="0.25">
      <c r="A5628" s="5" t="s">
        <v>36893</v>
      </c>
      <c r="B5628" s="6">
        <v>393.75</v>
      </c>
      <c r="C5628" s="6">
        <v>20.478950000000001</v>
      </c>
      <c r="D5628" s="6">
        <v>74</v>
      </c>
      <c r="E5628" s="6">
        <v>0</v>
      </c>
      <c r="F5628" s="6">
        <v>0</v>
      </c>
      <c r="G5628" s="6">
        <v>8</v>
      </c>
      <c r="H5628" s="6" t="s">
        <v>36894</v>
      </c>
      <c r="I5628" s="6">
        <v>526.6875</v>
      </c>
      <c r="J5628" s="2">
        <f t="shared" si="87"/>
        <v>43748.87568641203</v>
      </c>
    </row>
    <row r="5629" spans="1:10" x14ac:dyDescent="0.25">
      <c r="A5629" s="7" t="s">
        <v>36895</v>
      </c>
      <c r="B5629" s="8">
        <v>393.75</v>
      </c>
      <c r="C5629" s="8">
        <v>20.478950000000001</v>
      </c>
      <c r="D5629" s="8">
        <v>77</v>
      </c>
      <c r="E5629" s="8">
        <v>0</v>
      </c>
      <c r="F5629" s="8">
        <v>0</v>
      </c>
      <c r="G5629" s="8">
        <v>7</v>
      </c>
      <c r="H5629" s="8" t="s">
        <v>36896</v>
      </c>
      <c r="I5629" s="8">
        <v>526.6875</v>
      </c>
      <c r="J5629" s="3">
        <f t="shared" si="87"/>
        <v>43748.875757754628</v>
      </c>
    </row>
    <row r="5630" spans="1:10" x14ac:dyDescent="0.25">
      <c r="A5630" s="5" t="s">
        <v>36897</v>
      </c>
      <c r="B5630" s="6">
        <v>393.75</v>
      </c>
      <c r="C5630" s="6">
        <v>20.478950000000001</v>
      </c>
      <c r="D5630" s="6">
        <v>77</v>
      </c>
      <c r="E5630" s="6">
        <v>0</v>
      </c>
      <c r="F5630" s="6">
        <v>0</v>
      </c>
      <c r="G5630" s="6">
        <v>10</v>
      </c>
      <c r="H5630" s="6" t="s">
        <v>36898</v>
      </c>
      <c r="I5630" s="6">
        <v>526.6875</v>
      </c>
      <c r="J5630" s="2">
        <f t="shared" si="87"/>
        <v>43748.875829074073</v>
      </c>
    </row>
    <row r="5631" spans="1:10" x14ac:dyDescent="0.25">
      <c r="A5631" s="7" t="s">
        <v>36899</v>
      </c>
      <c r="B5631" s="8">
        <v>421.875</v>
      </c>
      <c r="C5631" s="8">
        <v>20.478950000000001</v>
      </c>
      <c r="D5631" s="8">
        <v>76</v>
      </c>
      <c r="E5631" s="8">
        <v>0</v>
      </c>
      <c r="F5631" s="8">
        <v>0</v>
      </c>
      <c r="G5631" s="8">
        <v>12</v>
      </c>
      <c r="H5631" s="8" t="s">
        <v>36900</v>
      </c>
      <c r="I5631" s="8">
        <v>535.3125</v>
      </c>
      <c r="J5631" s="3">
        <f t="shared" si="87"/>
        <v>43748.875901307867</v>
      </c>
    </row>
    <row r="5632" spans="1:10" x14ac:dyDescent="0.25">
      <c r="A5632" s="5" t="s">
        <v>36901</v>
      </c>
      <c r="B5632" s="6">
        <v>393.75</v>
      </c>
      <c r="C5632" s="6">
        <v>20.478950000000001</v>
      </c>
      <c r="D5632" s="6">
        <v>77</v>
      </c>
      <c r="E5632" s="6">
        <v>0</v>
      </c>
      <c r="F5632" s="6">
        <v>0</v>
      </c>
      <c r="G5632" s="6">
        <v>10</v>
      </c>
      <c r="H5632" s="6" t="s">
        <v>36902</v>
      </c>
      <c r="I5632" s="6">
        <v>526.6875</v>
      </c>
      <c r="J5632" s="2">
        <f t="shared" si="87"/>
        <v>43748.875972291666</v>
      </c>
    </row>
    <row r="5633" spans="1:10" x14ac:dyDescent="0.25">
      <c r="A5633" s="7" t="s">
        <v>36903</v>
      </c>
      <c r="B5633" s="8">
        <v>393.75</v>
      </c>
      <c r="C5633" s="8">
        <v>20.478950000000001</v>
      </c>
      <c r="D5633" s="8">
        <v>77</v>
      </c>
      <c r="E5633" s="8">
        <v>0</v>
      </c>
      <c r="F5633" s="8">
        <v>0</v>
      </c>
      <c r="G5633" s="8">
        <v>15</v>
      </c>
      <c r="H5633" s="8" t="s">
        <v>36904</v>
      </c>
      <c r="I5633" s="8">
        <v>526.6875</v>
      </c>
      <c r="J5633" s="3">
        <f t="shared" si="87"/>
        <v>43748.876043530086</v>
      </c>
    </row>
    <row r="5634" spans="1:10" x14ac:dyDescent="0.25">
      <c r="A5634" s="5" t="s">
        <v>36905</v>
      </c>
      <c r="B5634" s="6">
        <v>393.75</v>
      </c>
      <c r="C5634" s="6">
        <v>20.478950000000001</v>
      </c>
      <c r="D5634" s="6">
        <v>77</v>
      </c>
      <c r="E5634" s="6">
        <v>0</v>
      </c>
      <c r="F5634" s="6">
        <v>0</v>
      </c>
      <c r="G5634" s="6">
        <v>8</v>
      </c>
      <c r="H5634" s="6" t="s">
        <v>36906</v>
      </c>
      <c r="I5634" s="6">
        <v>526.6875</v>
      </c>
      <c r="J5634" s="2">
        <f t="shared" ref="J5634:J5697" si="88">(H5634/86400000)+25569+(7/24)</f>
        <v>43748.876115694446</v>
      </c>
    </row>
    <row r="5635" spans="1:10" x14ac:dyDescent="0.25">
      <c r="A5635" s="7" t="s">
        <v>36907</v>
      </c>
      <c r="B5635" s="8">
        <v>393.75</v>
      </c>
      <c r="C5635" s="8">
        <v>20.478950000000001</v>
      </c>
      <c r="D5635" s="8">
        <v>77</v>
      </c>
      <c r="E5635" s="8">
        <v>0</v>
      </c>
      <c r="F5635" s="8">
        <v>0</v>
      </c>
      <c r="G5635" s="8">
        <v>6</v>
      </c>
      <c r="H5635" s="8" t="s">
        <v>36908</v>
      </c>
      <c r="I5635" s="8">
        <v>526.6875</v>
      </c>
      <c r="J5635" s="3">
        <f t="shared" si="88"/>
        <v>43748.876187060181</v>
      </c>
    </row>
    <row r="5636" spans="1:10" x14ac:dyDescent="0.25">
      <c r="A5636" s="5" t="s">
        <v>36909</v>
      </c>
      <c r="B5636" s="6">
        <v>393.75</v>
      </c>
      <c r="C5636" s="6">
        <v>20.478950000000001</v>
      </c>
      <c r="D5636" s="6">
        <v>77</v>
      </c>
      <c r="E5636" s="6">
        <v>0</v>
      </c>
      <c r="F5636" s="6">
        <v>0</v>
      </c>
      <c r="G5636" s="6">
        <v>12</v>
      </c>
      <c r="H5636" s="6" t="s">
        <v>36910</v>
      </c>
      <c r="I5636" s="6">
        <v>526.6875</v>
      </c>
      <c r="J5636" s="2">
        <f t="shared" si="88"/>
        <v>43748.876259733799</v>
      </c>
    </row>
    <row r="5637" spans="1:10" x14ac:dyDescent="0.25">
      <c r="A5637" s="7" t="s">
        <v>36911</v>
      </c>
      <c r="B5637" s="8">
        <v>393.75</v>
      </c>
      <c r="C5637" s="8">
        <v>20.478950000000001</v>
      </c>
      <c r="D5637" s="8">
        <v>77</v>
      </c>
      <c r="E5637" s="8">
        <v>0</v>
      </c>
      <c r="F5637" s="8">
        <v>0</v>
      </c>
      <c r="G5637" s="8">
        <v>4</v>
      </c>
      <c r="H5637" s="8" t="s">
        <v>36912</v>
      </c>
      <c r="I5637" s="8">
        <v>526.5</v>
      </c>
      <c r="J5637" s="3">
        <f t="shared" si="88"/>
        <v>43748.876329826388</v>
      </c>
    </row>
    <row r="5638" spans="1:10" x14ac:dyDescent="0.25">
      <c r="A5638" s="5" t="s">
        <v>36913</v>
      </c>
      <c r="B5638" s="6">
        <v>393.75</v>
      </c>
      <c r="C5638" s="6">
        <v>20.478950000000001</v>
      </c>
      <c r="D5638" s="6">
        <v>77</v>
      </c>
      <c r="E5638" s="6">
        <v>0</v>
      </c>
      <c r="F5638" s="6">
        <v>0</v>
      </c>
      <c r="G5638" s="6">
        <v>15</v>
      </c>
      <c r="H5638" s="6" t="s">
        <v>36914</v>
      </c>
      <c r="I5638" s="6">
        <v>526.6875</v>
      </c>
      <c r="J5638" s="2">
        <f t="shared" si="88"/>
        <v>43748.876413912039</v>
      </c>
    </row>
    <row r="5639" spans="1:10" x14ac:dyDescent="0.25">
      <c r="A5639" s="7" t="s">
        <v>36915</v>
      </c>
      <c r="B5639" s="8">
        <v>412.5</v>
      </c>
      <c r="C5639" s="8">
        <v>20.478950000000001</v>
      </c>
      <c r="D5639" s="8">
        <v>77</v>
      </c>
      <c r="E5639" s="8">
        <v>0</v>
      </c>
      <c r="F5639" s="8">
        <v>0</v>
      </c>
      <c r="G5639" s="8">
        <v>12</v>
      </c>
      <c r="H5639" s="8" t="s">
        <v>36916</v>
      </c>
      <c r="I5639" s="8">
        <v>532.125</v>
      </c>
      <c r="J5639" s="3">
        <f t="shared" si="88"/>
        <v>43748.876485219902</v>
      </c>
    </row>
    <row r="5640" spans="1:10" x14ac:dyDescent="0.25">
      <c r="A5640" s="5" t="s">
        <v>36917</v>
      </c>
      <c r="B5640" s="6">
        <v>393.75</v>
      </c>
      <c r="C5640" s="6">
        <v>20.478950000000001</v>
      </c>
      <c r="D5640" s="6">
        <v>77</v>
      </c>
      <c r="E5640" s="6">
        <v>0</v>
      </c>
      <c r="F5640" s="6">
        <v>0</v>
      </c>
      <c r="G5640" s="6">
        <v>7</v>
      </c>
      <c r="H5640" s="6" t="s">
        <v>36918</v>
      </c>
      <c r="I5640" s="6">
        <v>526.6875</v>
      </c>
      <c r="J5640" s="2">
        <f t="shared" si="88"/>
        <v>43748.876556724535</v>
      </c>
    </row>
    <row r="5641" spans="1:10" x14ac:dyDescent="0.25">
      <c r="A5641" s="7" t="s">
        <v>36919</v>
      </c>
      <c r="B5641" s="8">
        <v>393.75</v>
      </c>
      <c r="C5641" s="8">
        <v>20.478950000000001</v>
      </c>
      <c r="D5641" s="8">
        <v>77</v>
      </c>
      <c r="E5641" s="8">
        <v>0</v>
      </c>
      <c r="F5641" s="8">
        <v>0</v>
      </c>
      <c r="G5641" s="8">
        <v>8</v>
      </c>
      <c r="H5641" s="8" t="s">
        <v>36920</v>
      </c>
      <c r="I5641" s="8">
        <v>526.6875</v>
      </c>
      <c r="J5641" s="3">
        <f t="shared" si="88"/>
        <v>43748.876628726845</v>
      </c>
    </row>
    <row r="5642" spans="1:10" x14ac:dyDescent="0.25">
      <c r="A5642" s="5" t="s">
        <v>36921</v>
      </c>
      <c r="B5642" s="6">
        <v>393.75</v>
      </c>
      <c r="C5642" s="6">
        <v>20.478950000000001</v>
      </c>
      <c r="D5642" s="6">
        <v>77</v>
      </c>
      <c r="E5642" s="6">
        <v>0</v>
      </c>
      <c r="F5642" s="6">
        <v>0</v>
      </c>
      <c r="G5642" s="6">
        <v>15</v>
      </c>
      <c r="H5642" s="6" t="s">
        <v>36922</v>
      </c>
      <c r="I5642" s="6">
        <v>526.6875</v>
      </c>
      <c r="J5642" s="2">
        <f t="shared" si="88"/>
        <v>43748.87670004629</v>
      </c>
    </row>
    <row r="5643" spans="1:10" x14ac:dyDescent="0.25">
      <c r="A5643" s="7" t="s">
        <v>36923</v>
      </c>
      <c r="B5643" s="8">
        <v>393.75</v>
      </c>
      <c r="C5643" s="8">
        <v>20.478950000000001</v>
      </c>
      <c r="D5643" s="8">
        <v>79</v>
      </c>
      <c r="E5643" s="8">
        <v>0</v>
      </c>
      <c r="F5643" s="8">
        <v>0</v>
      </c>
      <c r="G5643" s="8">
        <v>8</v>
      </c>
      <c r="H5643" s="8" t="s">
        <v>36924</v>
      </c>
      <c r="I5643" s="8">
        <v>526.6875</v>
      </c>
      <c r="J5643" s="3">
        <f t="shared" si="88"/>
        <v>43748.876771319447</v>
      </c>
    </row>
    <row r="5644" spans="1:10" x14ac:dyDescent="0.25">
      <c r="A5644" s="5" t="s">
        <v>36925</v>
      </c>
      <c r="B5644" s="6">
        <v>393.75</v>
      </c>
      <c r="C5644" s="6">
        <v>20.478950000000001</v>
      </c>
      <c r="D5644" s="6">
        <v>81</v>
      </c>
      <c r="E5644" s="6">
        <v>0</v>
      </c>
      <c r="F5644" s="6">
        <v>0</v>
      </c>
      <c r="G5644" s="6">
        <v>2</v>
      </c>
      <c r="H5644" s="6" t="s">
        <v>36926</v>
      </c>
      <c r="I5644" s="6">
        <v>526.6875</v>
      </c>
      <c r="J5644" s="2">
        <f t="shared" si="88"/>
        <v>43748.876843009253</v>
      </c>
    </row>
    <row r="5645" spans="1:10" x14ac:dyDescent="0.25">
      <c r="A5645" s="7" t="s">
        <v>36927</v>
      </c>
      <c r="B5645" s="8">
        <v>393.75</v>
      </c>
      <c r="C5645" s="8">
        <v>20.478950000000001</v>
      </c>
      <c r="D5645" s="8">
        <v>81</v>
      </c>
      <c r="E5645" s="8">
        <v>0</v>
      </c>
      <c r="F5645" s="8">
        <v>0</v>
      </c>
      <c r="G5645" s="8">
        <v>11</v>
      </c>
      <c r="H5645" s="8" t="s">
        <v>36928</v>
      </c>
      <c r="I5645" s="8">
        <v>526.6875</v>
      </c>
      <c r="J5645" s="3">
        <f t="shared" si="88"/>
        <v>43748.876914826389</v>
      </c>
    </row>
    <row r="5646" spans="1:10" x14ac:dyDescent="0.25">
      <c r="A5646" s="5" t="s">
        <v>36929</v>
      </c>
      <c r="B5646" s="6">
        <v>393.75</v>
      </c>
      <c r="C5646" s="6">
        <v>20.478950000000001</v>
      </c>
      <c r="D5646" s="6">
        <v>79</v>
      </c>
      <c r="E5646" s="6">
        <v>0</v>
      </c>
      <c r="F5646" s="6">
        <v>0</v>
      </c>
      <c r="G5646" s="6">
        <v>4</v>
      </c>
      <c r="H5646" s="6" t="s">
        <v>36930</v>
      </c>
      <c r="I5646" s="6">
        <v>526.5</v>
      </c>
      <c r="J5646" s="2">
        <f t="shared" si="88"/>
        <v>43748.87699817129</v>
      </c>
    </row>
    <row r="5647" spans="1:10" x14ac:dyDescent="0.25">
      <c r="A5647" s="7" t="s">
        <v>36931</v>
      </c>
      <c r="B5647" s="8">
        <v>393.75</v>
      </c>
      <c r="C5647" s="8">
        <v>20.478950000000001</v>
      </c>
      <c r="D5647" s="8">
        <v>80</v>
      </c>
      <c r="E5647" s="8">
        <v>0</v>
      </c>
      <c r="F5647" s="8">
        <v>0</v>
      </c>
      <c r="G5647" s="8">
        <v>14</v>
      </c>
      <c r="H5647" s="8" t="s">
        <v>36932</v>
      </c>
      <c r="I5647" s="8">
        <v>526.6875</v>
      </c>
      <c r="J5647" s="3">
        <f t="shared" si="88"/>
        <v>43748.877069525457</v>
      </c>
    </row>
    <row r="5648" spans="1:10" x14ac:dyDescent="0.25">
      <c r="A5648" s="5" t="s">
        <v>36933</v>
      </c>
      <c r="B5648" s="6">
        <v>393.75</v>
      </c>
      <c r="C5648" s="6">
        <v>20.478950000000001</v>
      </c>
      <c r="D5648" s="6">
        <v>79</v>
      </c>
      <c r="E5648" s="6">
        <v>0</v>
      </c>
      <c r="F5648" s="6">
        <v>0</v>
      </c>
      <c r="G5648" s="6">
        <v>2</v>
      </c>
      <c r="H5648" s="6" t="s">
        <v>36934</v>
      </c>
      <c r="I5648" s="6">
        <v>526.6875</v>
      </c>
      <c r="J5648" s="2">
        <f t="shared" si="88"/>
        <v>43748.877141678233</v>
      </c>
    </row>
    <row r="5649" spans="1:10" x14ac:dyDescent="0.25">
      <c r="A5649" s="7" t="s">
        <v>36935</v>
      </c>
      <c r="B5649" s="8">
        <v>393.75</v>
      </c>
      <c r="C5649" s="8">
        <v>20.478950000000001</v>
      </c>
      <c r="D5649" s="8">
        <v>79</v>
      </c>
      <c r="E5649" s="8">
        <v>0</v>
      </c>
      <c r="F5649" s="8">
        <v>0</v>
      </c>
      <c r="G5649" s="8">
        <v>16</v>
      </c>
      <c r="H5649" s="8" t="s">
        <v>36936</v>
      </c>
      <c r="I5649" s="8">
        <v>526.6875</v>
      </c>
      <c r="J5649" s="3">
        <f t="shared" si="88"/>
        <v>43748.87725010416</v>
      </c>
    </row>
    <row r="5650" spans="1:10" x14ac:dyDescent="0.25">
      <c r="A5650" s="5" t="s">
        <v>36937</v>
      </c>
      <c r="B5650" s="6">
        <v>393.75</v>
      </c>
      <c r="C5650" s="6">
        <v>20.478950000000001</v>
      </c>
      <c r="D5650" s="6">
        <v>80</v>
      </c>
      <c r="E5650" s="6">
        <v>0</v>
      </c>
      <c r="F5650" s="6">
        <v>0</v>
      </c>
      <c r="G5650" s="6">
        <v>13</v>
      </c>
      <c r="H5650" s="6" t="s">
        <v>36938</v>
      </c>
      <c r="I5650" s="6">
        <v>526.6875</v>
      </c>
      <c r="J5650" s="2">
        <f t="shared" si="88"/>
        <v>43748.877332303244</v>
      </c>
    </row>
    <row r="5651" spans="1:10" x14ac:dyDescent="0.25">
      <c r="A5651" s="7" t="s">
        <v>36939</v>
      </c>
      <c r="B5651" s="8">
        <v>393.75</v>
      </c>
      <c r="C5651" s="8">
        <v>20.478950000000001</v>
      </c>
      <c r="D5651" s="8">
        <v>85</v>
      </c>
      <c r="E5651" s="8">
        <v>0</v>
      </c>
      <c r="F5651" s="8">
        <v>0</v>
      </c>
      <c r="G5651" s="8">
        <v>11</v>
      </c>
      <c r="H5651" s="8" t="s">
        <v>36940</v>
      </c>
      <c r="I5651" s="8">
        <v>526.6875</v>
      </c>
      <c r="J5651" s="3">
        <f t="shared" si="88"/>
        <v>43748.877403599538</v>
      </c>
    </row>
    <row r="5652" spans="1:10" x14ac:dyDescent="0.25">
      <c r="A5652" s="5" t="s">
        <v>36941</v>
      </c>
      <c r="B5652" s="6">
        <v>393.75</v>
      </c>
      <c r="C5652" s="6">
        <v>20.478950000000001</v>
      </c>
      <c r="D5652" s="6">
        <v>85</v>
      </c>
      <c r="E5652" s="6">
        <v>0</v>
      </c>
      <c r="F5652" s="6">
        <v>0</v>
      </c>
      <c r="G5652" s="6">
        <v>4</v>
      </c>
      <c r="H5652" s="6" t="s">
        <v>36942</v>
      </c>
      <c r="I5652" s="6">
        <v>526.6875</v>
      </c>
      <c r="J5652" s="2">
        <f t="shared" si="88"/>
        <v>43748.87749903935</v>
      </c>
    </row>
    <row r="5653" spans="1:10" x14ac:dyDescent="0.25">
      <c r="A5653" s="7" t="s">
        <v>36943</v>
      </c>
      <c r="B5653" s="8">
        <v>393.75</v>
      </c>
      <c r="C5653" s="8">
        <v>20.478950000000001</v>
      </c>
      <c r="D5653" s="8">
        <v>81</v>
      </c>
      <c r="E5653" s="8">
        <v>0</v>
      </c>
      <c r="F5653" s="8">
        <v>0</v>
      </c>
      <c r="G5653" s="8">
        <v>13</v>
      </c>
      <c r="H5653" s="8" t="s">
        <v>36944</v>
      </c>
      <c r="I5653" s="8">
        <v>526.6875</v>
      </c>
      <c r="J5653" s="3">
        <f t="shared" si="88"/>
        <v>43748.877570405086</v>
      </c>
    </row>
    <row r="5654" spans="1:10" x14ac:dyDescent="0.25">
      <c r="A5654" s="5" t="s">
        <v>36945</v>
      </c>
      <c r="B5654" s="6">
        <v>393.75</v>
      </c>
      <c r="C5654" s="6">
        <v>20.478950000000001</v>
      </c>
      <c r="D5654" s="6">
        <v>81</v>
      </c>
      <c r="E5654" s="6">
        <v>0</v>
      </c>
      <c r="F5654" s="6">
        <v>0</v>
      </c>
      <c r="G5654" s="6">
        <v>2</v>
      </c>
      <c r="H5654" s="6" t="s">
        <v>36946</v>
      </c>
      <c r="I5654" s="6">
        <v>526.6875</v>
      </c>
      <c r="J5654" s="2">
        <f t="shared" si="88"/>
        <v>43748.87764248842</v>
      </c>
    </row>
    <row r="5655" spans="1:10" x14ac:dyDescent="0.25">
      <c r="A5655" s="7" t="s">
        <v>36947</v>
      </c>
      <c r="B5655" s="8">
        <v>393.75</v>
      </c>
      <c r="C5655" s="8">
        <v>20.478950000000001</v>
      </c>
      <c r="D5655" s="8">
        <v>82</v>
      </c>
      <c r="E5655" s="8">
        <v>0</v>
      </c>
      <c r="F5655" s="8">
        <v>0</v>
      </c>
      <c r="G5655" s="8">
        <v>15</v>
      </c>
      <c r="H5655" s="8" t="s">
        <v>36948</v>
      </c>
      <c r="I5655" s="8">
        <v>526.5</v>
      </c>
      <c r="J5655" s="3">
        <f t="shared" si="88"/>
        <v>43748.877713877308</v>
      </c>
    </row>
    <row r="5656" spans="1:10" x14ac:dyDescent="0.25">
      <c r="A5656" s="5" t="s">
        <v>36949</v>
      </c>
      <c r="B5656" s="6">
        <v>393.75</v>
      </c>
      <c r="C5656" s="6">
        <v>20.478950000000001</v>
      </c>
      <c r="D5656" s="6">
        <v>80</v>
      </c>
      <c r="E5656" s="6">
        <v>0</v>
      </c>
      <c r="F5656" s="6">
        <v>0</v>
      </c>
      <c r="G5656" s="6">
        <v>9</v>
      </c>
      <c r="H5656" s="6" t="s">
        <v>36950</v>
      </c>
      <c r="I5656" s="6">
        <v>526.5</v>
      </c>
      <c r="J5656" s="2">
        <f t="shared" si="88"/>
        <v>43748.877785381941</v>
      </c>
    </row>
    <row r="5657" spans="1:10" x14ac:dyDescent="0.25">
      <c r="A5657" s="7" t="s">
        <v>36951</v>
      </c>
      <c r="B5657" s="8">
        <v>393.75</v>
      </c>
      <c r="C5657" s="8">
        <v>20.478950000000001</v>
      </c>
      <c r="D5657" s="8">
        <v>80</v>
      </c>
      <c r="E5657" s="8">
        <v>0</v>
      </c>
      <c r="F5657" s="8">
        <v>0</v>
      </c>
      <c r="G5657" s="8">
        <v>6</v>
      </c>
      <c r="H5657" s="8" t="s">
        <v>36952</v>
      </c>
      <c r="I5657" s="8">
        <v>526.6875</v>
      </c>
      <c r="J5657" s="3">
        <f t="shared" si="88"/>
        <v>43748.877856666666</v>
      </c>
    </row>
    <row r="5658" spans="1:10" x14ac:dyDescent="0.25">
      <c r="A5658" s="5" t="s">
        <v>36953</v>
      </c>
      <c r="B5658" s="6">
        <v>393.75</v>
      </c>
      <c r="C5658" s="6">
        <v>20.478950000000001</v>
      </c>
      <c r="D5658" s="6">
        <v>81</v>
      </c>
      <c r="E5658" s="6">
        <v>0</v>
      </c>
      <c r="F5658" s="6">
        <v>0</v>
      </c>
      <c r="G5658" s="6">
        <v>16</v>
      </c>
      <c r="H5658" s="6" t="s">
        <v>36954</v>
      </c>
      <c r="I5658" s="6">
        <v>526.6875</v>
      </c>
      <c r="J5658" s="2">
        <f t="shared" si="88"/>
        <v>43748.877928888884</v>
      </c>
    </row>
    <row r="5659" spans="1:10" x14ac:dyDescent="0.25">
      <c r="A5659" s="7" t="s">
        <v>36955</v>
      </c>
      <c r="B5659" s="8">
        <v>412.5</v>
      </c>
      <c r="C5659" s="8">
        <v>20.478950000000001</v>
      </c>
      <c r="D5659" s="8">
        <v>81</v>
      </c>
      <c r="E5659" s="8">
        <v>0</v>
      </c>
      <c r="F5659" s="8">
        <v>0</v>
      </c>
      <c r="G5659" s="8">
        <v>14</v>
      </c>
      <c r="H5659" s="8" t="s">
        <v>36956</v>
      </c>
      <c r="I5659" s="8">
        <v>532.3125</v>
      </c>
      <c r="J5659" s="3">
        <f t="shared" si="88"/>
        <v>43748.878000185177</v>
      </c>
    </row>
    <row r="5660" spans="1:10" x14ac:dyDescent="0.25">
      <c r="A5660" s="5" t="s">
        <v>36957</v>
      </c>
      <c r="B5660" s="6">
        <v>393.75</v>
      </c>
      <c r="C5660" s="6">
        <v>20.478950000000001</v>
      </c>
      <c r="D5660" s="6">
        <v>82</v>
      </c>
      <c r="E5660" s="6">
        <v>0</v>
      </c>
      <c r="F5660" s="6">
        <v>0</v>
      </c>
      <c r="G5660" s="6">
        <v>7</v>
      </c>
      <c r="H5660" s="6" t="s">
        <v>36958</v>
      </c>
      <c r="I5660" s="6">
        <v>526.6875</v>
      </c>
      <c r="J5660" s="2">
        <f t="shared" si="88"/>
        <v>43748.878083530093</v>
      </c>
    </row>
    <row r="5661" spans="1:10" x14ac:dyDescent="0.25">
      <c r="A5661" s="7" t="s">
        <v>36959</v>
      </c>
      <c r="B5661" s="8">
        <v>393.75</v>
      </c>
      <c r="C5661" s="8">
        <v>20.478950000000001</v>
      </c>
      <c r="D5661" s="8">
        <v>81</v>
      </c>
      <c r="E5661" s="8">
        <v>0</v>
      </c>
      <c r="F5661" s="8">
        <v>0</v>
      </c>
      <c r="G5661" s="8">
        <v>8</v>
      </c>
      <c r="H5661" s="8" t="s">
        <v>36960</v>
      </c>
      <c r="I5661" s="8">
        <v>526.6875</v>
      </c>
      <c r="J5661" s="3">
        <f t="shared" si="88"/>
        <v>43748.878166863426</v>
      </c>
    </row>
    <row r="5662" spans="1:10" x14ac:dyDescent="0.25">
      <c r="A5662" s="5" t="s">
        <v>36961</v>
      </c>
      <c r="B5662" s="6">
        <v>393.75</v>
      </c>
      <c r="C5662" s="6">
        <v>20.426300000000001</v>
      </c>
      <c r="D5662" s="6">
        <v>79</v>
      </c>
      <c r="E5662" s="6">
        <v>0</v>
      </c>
      <c r="F5662" s="6">
        <v>0</v>
      </c>
      <c r="G5662" s="6">
        <v>14</v>
      </c>
      <c r="H5662" s="6" t="s">
        <v>36962</v>
      </c>
      <c r="I5662" s="6">
        <v>526.6875</v>
      </c>
      <c r="J5662" s="2">
        <f t="shared" si="88"/>
        <v>43748.878262395832</v>
      </c>
    </row>
    <row r="5663" spans="1:10" x14ac:dyDescent="0.25">
      <c r="A5663" s="7" t="s">
        <v>36963</v>
      </c>
      <c r="B5663" s="8">
        <v>393.75</v>
      </c>
      <c r="C5663" s="8">
        <v>20.478950000000001</v>
      </c>
      <c r="D5663" s="8">
        <v>79</v>
      </c>
      <c r="E5663" s="8">
        <v>0</v>
      </c>
      <c r="F5663" s="8">
        <v>0</v>
      </c>
      <c r="G5663" s="8">
        <v>12</v>
      </c>
      <c r="H5663" s="8" t="s">
        <v>36964</v>
      </c>
      <c r="I5663" s="8">
        <v>526.6875</v>
      </c>
      <c r="J5663" s="3">
        <f t="shared" si="88"/>
        <v>43748.878345567129</v>
      </c>
    </row>
    <row r="5664" spans="1:10" x14ac:dyDescent="0.25">
      <c r="A5664" s="5" t="s">
        <v>36965</v>
      </c>
      <c r="B5664" s="6">
        <v>393.75</v>
      </c>
      <c r="C5664" s="6">
        <v>20.478950000000001</v>
      </c>
      <c r="D5664" s="6">
        <v>79</v>
      </c>
      <c r="E5664" s="6">
        <v>0</v>
      </c>
      <c r="F5664" s="6">
        <v>0</v>
      </c>
      <c r="G5664" s="6">
        <v>7</v>
      </c>
      <c r="H5664" s="6" t="s">
        <v>36966</v>
      </c>
      <c r="I5664" s="6">
        <v>526.6875</v>
      </c>
      <c r="J5664" s="2">
        <f t="shared" si="88"/>
        <v>43748.87841798611</v>
      </c>
    </row>
    <row r="5665" spans="1:10" x14ac:dyDescent="0.25">
      <c r="A5665" s="7" t="s">
        <v>36967</v>
      </c>
      <c r="B5665" s="8">
        <v>393.75</v>
      </c>
      <c r="C5665" s="8">
        <v>20.478950000000001</v>
      </c>
      <c r="D5665" s="8">
        <v>80</v>
      </c>
      <c r="E5665" s="8">
        <v>0</v>
      </c>
      <c r="F5665" s="8">
        <v>0</v>
      </c>
      <c r="G5665" s="8">
        <v>7</v>
      </c>
      <c r="H5665" s="8" t="s">
        <v>36968</v>
      </c>
      <c r="I5665" s="8">
        <v>526.6875</v>
      </c>
      <c r="J5665" s="3">
        <f t="shared" si="88"/>
        <v>43748.878489236107</v>
      </c>
    </row>
    <row r="5666" spans="1:10" x14ac:dyDescent="0.25">
      <c r="A5666" s="5" t="s">
        <v>36969</v>
      </c>
      <c r="B5666" s="6">
        <v>393.75</v>
      </c>
      <c r="C5666" s="6">
        <v>20.478950000000001</v>
      </c>
      <c r="D5666" s="6">
        <v>80</v>
      </c>
      <c r="E5666" s="6">
        <v>0</v>
      </c>
      <c r="F5666" s="6">
        <v>0</v>
      </c>
      <c r="G5666" s="6">
        <v>8</v>
      </c>
      <c r="H5666" s="6" t="s">
        <v>36970</v>
      </c>
      <c r="I5666" s="6">
        <v>526.6875</v>
      </c>
      <c r="J5666" s="2">
        <f t="shared" si="88"/>
        <v>43748.878560370365</v>
      </c>
    </row>
    <row r="5667" spans="1:10" x14ac:dyDescent="0.25">
      <c r="A5667" s="7" t="s">
        <v>36971</v>
      </c>
      <c r="B5667" s="8">
        <v>393.75</v>
      </c>
      <c r="C5667" s="8">
        <v>20.478950000000001</v>
      </c>
      <c r="D5667" s="8">
        <v>80</v>
      </c>
      <c r="E5667" s="8">
        <v>0</v>
      </c>
      <c r="F5667" s="8">
        <v>0</v>
      </c>
      <c r="G5667" s="8">
        <v>14</v>
      </c>
      <c r="H5667" s="8" t="s">
        <v>36972</v>
      </c>
      <c r="I5667" s="8">
        <v>526.6875</v>
      </c>
      <c r="J5667" s="3">
        <f t="shared" si="88"/>
        <v>43748.878632418979</v>
      </c>
    </row>
    <row r="5668" spans="1:10" x14ac:dyDescent="0.25">
      <c r="A5668" s="5" t="s">
        <v>36973</v>
      </c>
      <c r="B5668" s="6">
        <v>393.75</v>
      </c>
      <c r="C5668" s="6">
        <v>20.478950000000001</v>
      </c>
      <c r="D5668" s="6">
        <v>82</v>
      </c>
      <c r="E5668" s="6">
        <v>0</v>
      </c>
      <c r="F5668" s="6">
        <v>0</v>
      </c>
      <c r="G5668" s="6">
        <v>7</v>
      </c>
      <c r="H5668" s="6" t="s">
        <v>36974</v>
      </c>
      <c r="I5668" s="6">
        <v>526.6875</v>
      </c>
      <c r="J5668" s="2">
        <f t="shared" si="88"/>
        <v>43748.878712337959</v>
      </c>
    </row>
    <row r="5669" spans="1:10" x14ac:dyDescent="0.25">
      <c r="A5669" s="7" t="s">
        <v>36975</v>
      </c>
      <c r="B5669" s="8">
        <v>393.75</v>
      </c>
      <c r="C5669" s="8">
        <v>20.478950000000001</v>
      </c>
      <c r="D5669" s="8">
        <v>82</v>
      </c>
      <c r="E5669" s="8">
        <v>0</v>
      </c>
      <c r="F5669" s="8">
        <v>0</v>
      </c>
      <c r="G5669" s="8">
        <v>10</v>
      </c>
      <c r="H5669" s="8" t="s">
        <v>36976</v>
      </c>
      <c r="I5669" s="8">
        <v>526.6875</v>
      </c>
      <c r="J5669" s="3">
        <f t="shared" si="88"/>
        <v>43748.878787222224</v>
      </c>
    </row>
    <row r="5670" spans="1:10" x14ac:dyDescent="0.25">
      <c r="A5670" s="5" t="s">
        <v>36977</v>
      </c>
      <c r="B5670" s="6">
        <v>393.75</v>
      </c>
      <c r="C5670" s="6">
        <v>20.478950000000001</v>
      </c>
      <c r="D5670" s="6">
        <v>81</v>
      </c>
      <c r="E5670" s="6">
        <v>0</v>
      </c>
      <c r="F5670" s="6">
        <v>0</v>
      </c>
      <c r="G5670" s="6">
        <v>9</v>
      </c>
      <c r="H5670" s="6" t="s">
        <v>36978</v>
      </c>
      <c r="I5670" s="6">
        <v>526.6875</v>
      </c>
      <c r="J5670" s="2">
        <f t="shared" si="88"/>
        <v>43748.878858518518</v>
      </c>
    </row>
    <row r="5671" spans="1:10" x14ac:dyDescent="0.25">
      <c r="A5671" s="7" t="s">
        <v>36979</v>
      </c>
      <c r="B5671" s="8">
        <v>412.5</v>
      </c>
      <c r="C5671" s="8">
        <v>20.478950000000001</v>
      </c>
      <c r="D5671" s="8">
        <v>81</v>
      </c>
      <c r="E5671" s="8">
        <v>0</v>
      </c>
      <c r="F5671" s="8">
        <v>0</v>
      </c>
      <c r="G5671" s="8">
        <v>2</v>
      </c>
      <c r="H5671" s="8" t="s">
        <v>36980</v>
      </c>
      <c r="I5671" s="8">
        <v>532.3125</v>
      </c>
      <c r="J5671" s="3">
        <f t="shared" si="88"/>
        <v>43748.87893053241</v>
      </c>
    </row>
    <row r="5672" spans="1:10" x14ac:dyDescent="0.25">
      <c r="A5672" s="5" t="s">
        <v>36981</v>
      </c>
      <c r="B5672" s="6">
        <v>393.75</v>
      </c>
      <c r="C5672" s="6">
        <v>20.478950000000001</v>
      </c>
      <c r="D5672" s="6">
        <v>81</v>
      </c>
      <c r="E5672" s="6">
        <v>0</v>
      </c>
      <c r="F5672" s="6">
        <v>0</v>
      </c>
      <c r="G5672" s="6">
        <v>12</v>
      </c>
      <c r="H5672" s="6" t="s">
        <v>36982</v>
      </c>
      <c r="I5672" s="6">
        <v>526.6875</v>
      </c>
      <c r="J5672" s="2">
        <f t="shared" si="88"/>
        <v>43748.879001423607</v>
      </c>
    </row>
    <row r="5673" spans="1:10" x14ac:dyDescent="0.25">
      <c r="A5673" s="7" t="s">
        <v>36983</v>
      </c>
      <c r="B5673" s="8">
        <v>393.75</v>
      </c>
      <c r="C5673" s="8">
        <v>20.478950000000001</v>
      </c>
      <c r="D5673" s="8">
        <v>81</v>
      </c>
      <c r="E5673" s="8">
        <v>0</v>
      </c>
      <c r="F5673" s="8">
        <v>0</v>
      </c>
      <c r="G5673" s="8">
        <v>21</v>
      </c>
      <c r="H5673" s="8" t="s">
        <v>36984</v>
      </c>
      <c r="I5673" s="8">
        <v>526.6875</v>
      </c>
      <c r="J5673" s="3">
        <f t="shared" si="88"/>
        <v>43748.879073287033</v>
      </c>
    </row>
    <row r="5674" spans="1:10" x14ac:dyDescent="0.25">
      <c r="A5674" s="5" t="s">
        <v>36985</v>
      </c>
      <c r="B5674" s="6">
        <v>393.75</v>
      </c>
      <c r="C5674" s="6">
        <v>20.478950000000001</v>
      </c>
      <c r="D5674" s="6">
        <v>84</v>
      </c>
      <c r="E5674" s="6">
        <v>0</v>
      </c>
      <c r="F5674" s="6">
        <v>0</v>
      </c>
      <c r="G5674" s="6">
        <v>5</v>
      </c>
      <c r="H5674" s="6" t="s">
        <v>36986</v>
      </c>
      <c r="I5674" s="6">
        <v>526.6875</v>
      </c>
      <c r="J5674" s="2">
        <f t="shared" si="88"/>
        <v>43748.8791446412</v>
      </c>
    </row>
    <row r="5675" spans="1:10" x14ac:dyDescent="0.25">
      <c r="A5675" s="7" t="s">
        <v>36987</v>
      </c>
      <c r="B5675" s="8">
        <v>393.75</v>
      </c>
      <c r="C5675" s="8">
        <v>20.478950000000001</v>
      </c>
      <c r="D5675" s="8">
        <v>83</v>
      </c>
      <c r="E5675" s="8">
        <v>0</v>
      </c>
      <c r="F5675" s="8">
        <v>0</v>
      </c>
      <c r="G5675" s="8">
        <v>11</v>
      </c>
      <c r="H5675" s="8" t="s">
        <v>36988</v>
      </c>
      <c r="I5675" s="8">
        <v>526.6875</v>
      </c>
      <c r="J5675" s="3">
        <f t="shared" si="88"/>
        <v>43748.879228888887</v>
      </c>
    </row>
    <row r="5676" spans="1:10" x14ac:dyDescent="0.25">
      <c r="A5676" s="5" t="s">
        <v>36989</v>
      </c>
      <c r="B5676" s="6">
        <v>393.75</v>
      </c>
      <c r="C5676" s="6">
        <v>20.478950000000001</v>
      </c>
      <c r="D5676" s="6">
        <v>83</v>
      </c>
      <c r="E5676" s="6">
        <v>0</v>
      </c>
      <c r="F5676" s="6">
        <v>0</v>
      </c>
      <c r="G5676" s="6">
        <v>12</v>
      </c>
      <c r="H5676" s="6" t="s">
        <v>36990</v>
      </c>
      <c r="I5676" s="6">
        <v>526.6875</v>
      </c>
      <c r="J5676" s="2">
        <f t="shared" si="88"/>
        <v>43748.879312245372</v>
      </c>
    </row>
    <row r="5677" spans="1:10" x14ac:dyDescent="0.25">
      <c r="A5677" s="7" t="s">
        <v>36991</v>
      </c>
      <c r="B5677" s="8">
        <v>393.75</v>
      </c>
      <c r="C5677" s="8">
        <v>20.478950000000001</v>
      </c>
      <c r="D5677" s="8">
        <v>83</v>
      </c>
      <c r="E5677" s="8">
        <v>0</v>
      </c>
      <c r="F5677" s="8">
        <v>0</v>
      </c>
      <c r="G5677" s="8">
        <v>10</v>
      </c>
      <c r="H5677" s="8" t="s">
        <v>36992</v>
      </c>
      <c r="I5677" s="8">
        <v>526.6875</v>
      </c>
      <c r="J5677" s="3">
        <f t="shared" si="88"/>
        <v>43748.87938346064</v>
      </c>
    </row>
    <row r="5678" spans="1:10" x14ac:dyDescent="0.25">
      <c r="A5678" s="5" t="s">
        <v>36993</v>
      </c>
      <c r="B5678" s="6">
        <v>412.5</v>
      </c>
      <c r="C5678" s="6">
        <v>20.478950000000001</v>
      </c>
      <c r="D5678" s="6">
        <v>83</v>
      </c>
      <c r="E5678" s="6">
        <v>0</v>
      </c>
      <c r="F5678" s="6">
        <v>0</v>
      </c>
      <c r="G5678" s="6">
        <v>17</v>
      </c>
      <c r="H5678" s="6" t="s">
        <v>36994</v>
      </c>
      <c r="I5678" s="6">
        <v>532.3125</v>
      </c>
      <c r="J5678" s="2">
        <f t="shared" si="88"/>
        <v>43748.879454837959</v>
      </c>
    </row>
    <row r="5679" spans="1:10" x14ac:dyDescent="0.25">
      <c r="A5679" s="7" t="s">
        <v>36995</v>
      </c>
      <c r="B5679" s="8">
        <v>393.75</v>
      </c>
      <c r="C5679" s="8">
        <v>20.478950000000001</v>
      </c>
      <c r="D5679" s="8">
        <v>82</v>
      </c>
      <c r="E5679" s="8">
        <v>0</v>
      </c>
      <c r="F5679" s="8">
        <v>0</v>
      </c>
      <c r="G5679" s="8">
        <v>11</v>
      </c>
      <c r="H5679" s="8" t="s">
        <v>36996</v>
      </c>
      <c r="I5679" s="8">
        <v>526.6875</v>
      </c>
      <c r="J5679" s="3">
        <f t="shared" si="88"/>
        <v>43748.879526979166</v>
      </c>
    </row>
    <row r="5680" spans="1:10" x14ac:dyDescent="0.25">
      <c r="A5680" s="5" t="s">
        <v>36997</v>
      </c>
      <c r="B5680" s="6">
        <v>393.75</v>
      </c>
      <c r="C5680" s="6">
        <v>20.478950000000001</v>
      </c>
      <c r="D5680" s="6">
        <v>82</v>
      </c>
      <c r="E5680" s="6">
        <v>0</v>
      </c>
      <c r="F5680" s="6">
        <v>0</v>
      </c>
      <c r="G5680" s="6">
        <v>14</v>
      </c>
      <c r="H5680" s="6" t="s">
        <v>36998</v>
      </c>
      <c r="I5680" s="6">
        <v>526.6875</v>
      </c>
      <c r="J5680" s="2">
        <f t="shared" si="88"/>
        <v>43748.879598414351</v>
      </c>
    </row>
    <row r="5681" spans="1:10" x14ac:dyDescent="0.25">
      <c r="A5681" s="7" t="s">
        <v>36999</v>
      </c>
      <c r="B5681" s="8">
        <v>393.75</v>
      </c>
      <c r="C5681" s="8">
        <v>20.478950000000001</v>
      </c>
      <c r="D5681" s="8">
        <v>86</v>
      </c>
      <c r="E5681" s="8">
        <v>0</v>
      </c>
      <c r="F5681" s="8">
        <v>0</v>
      </c>
      <c r="G5681" s="8">
        <v>15</v>
      </c>
      <c r="H5681" s="8" t="s">
        <v>37000</v>
      </c>
      <c r="I5681" s="8">
        <v>526.6875</v>
      </c>
      <c r="J5681" s="3">
        <f t="shared" si="88"/>
        <v>43748.879669641203</v>
      </c>
    </row>
    <row r="5682" spans="1:10" x14ac:dyDescent="0.25">
      <c r="A5682" s="5" t="s">
        <v>37001</v>
      </c>
      <c r="B5682" s="6">
        <v>415.625</v>
      </c>
      <c r="C5682" s="6">
        <v>20.478950000000001</v>
      </c>
      <c r="D5682" s="6">
        <v>82</v>
      </c>
      <c r="E5682" s="6">
        <v>0</v>
      </c>
      <c r="F5682" s="6">
        <v>0</v>
      </c>
      <c r="G5682" s="6">
        <v>8</v>
      </c>
      <c r="H5682" s="6" t="s">
        <v>37002</v>
      </c>
      <c r="I5682" s="6">
        <v>533.4375</v>
      </c>
      <c r="J5682" s="2">
        <f t="shared" si="88"/>
        <v>43748.879740983793</v>
      </c>
    </row>
    <row r="5683" spans="1:10" x14ac:dyDescent="0.25">
      <c r="A5683" s="7" t="s">
        <v>37003</v>
      </c>
      <c r="B5683" s="8">
        <v>393.75</v>
      </c>
      <c r="C5683" s="8">
        <v>20.478950000000001</v>
      </c>
      <c r="D5683" s="8">
        <v>81</v>
      </c>
      <c r="E5683" s="8">
        <v>0</v>
      </c>
      <c r="F5683" s="8">
        <v>0</v>
      </c>
      <c r="G5683" s="8">
        <v>16</v>
      </c>
      <c r="H5683" s="8" t="s">
        <v>37004</v>
      </c>
      <c r="I5683" s="8">
        <v>526.6875</v>
      </c>
      <c r="J5683" s="3">
        <f t="shared" si="88"/>
        <v>43748.879814398148</v>
      </c>
    </row>
    <row r="5684" spans="1:10" x14ac:dyDescent="0.25">
      <c r="A5684" s="5" t="s">
        <v>37005</v>
      </c>
      <c r="B5684" s="6">
        <v>393.75</v>
      </c>
      <c r="C5684" s="6">
        <v>20.478950000000001</v>
      </c>
      <c r="D5684" s="6">
        <v>81</v>
      </c>
      <c r="E5684" s="6">
        <v>0</v>
      </c>
      <c r="F5684" s="6">
        <v>0</v>
      </c>
      <c r="G5684" s="6">
        <v>14</v>
      </c>
      <c r="H5684" s="6" t="s">
        <v>37006</v>
      </c>
      <c r="I5684" s="6">
        <v>526.6875</v>
      </c>
      <c r="J5684" s="2">
        <f t="shared" si="88"/>
        <v>43748.879896157407</v>
      </c>
    </row>
    <row r="5685" spans="1:10" x14ac:dyDescent="0.25">
      <c r="A5685" s="7" t="s">
        <v>37007</v>
      </c>
      <c r="B5685" s="8">
        <v>393.75</v>
      </c>
      <c r="C5685" s="8">
        <v>20.426300000000001</v>
      </c>
      <c r="D5685" s="8">
        <v>81</v>
      </c>
      <c r="E5685" s="8">
        <v>0</v>
      </c>
      <c r="F5685" s="8">
        <v>0</v>
      </c>
      <c r="G5685" s="8">
        <v>14</v>
      </c>
      <c r="H5685" s="8" t="s">
        <v>37008</v>
      </c>
      <c r="I5685" s="8">
        <v>526.6875</v>
      </c>
      <c r="J5685" s="3">
        <f t="shared" si="88"/>
        <v>43748.879991597219</v>
      </c>
    </row>
    <row r="5686" spans="1:10" x14ac:dyDescent="0.25">
      <c r="A5686" s="5" t="s">
        <v>37009</v>
      </c>
      <c r="B5686" s="6">
        <v>393.75</v>
      </c>
      <c r="C5686" s="6">
        <v>20.478950000000001</v>
      </c>
      <c r="D5686" s="6">
        <v>81</v>
      </c>
      <c r="E5686" s="6">
        <v>0</v>
      </c>
      <c r="F5686" s="6">
        <v>0</v>
      </c>
      <c r="G5686" s="6">
        <v>8</v>
      </c>
      <c r="H5686" s="6" t="s">
        <v>37010</v>
      </c>
      <c r="I5686" s="6">
        <v>526.6875</v>
      </c>
      <c r="J5686" s="2">
        <f t="shared" si="88"/>
        <v>43748.880099861104</v>
      </c>
    </row>
    <row r="5687" spans="1:10" x14ac:dyDescent="0.25">
      <c r="A5687" s="7" t="s">
        <v>37011</v>
      </c>
      <c r="B5687" s="8">
        <v>393.75</v>
      </c>
      <c r="C5687" s="8">
        <v>20.478950000000001</v>
      </c>
      <c r="D5687" s="8">
        <v>80</v>
      </c>
      <c r="E5687" s="8">
        <v>0</v>
      </c>
      <c r="F5687" s="8">
        <v>0</v>
      </c>
      <c r="G5687" s="8">
        <v>15</v>
      </c>
      <c r="H5687" s="8" t="s">
        <v>37012</v>
      </c>
      <c r="I5687" s="8">
        <v>526.6875</v>
      </c>
      <c r="J5687" s="3">
        <f t="shared" si="88"/>
        <v>43748.8801824537</v>
      </c>
    </row>
    <row r="5688" spans="1:10" x14ac:dyDescent="0.25">
      <c r="A5688" s="5" t="s">
        <v>37013</v>
      </c>
      <c r="B5688" s="6">
        <v>412.5</v>
      </c>
      <c r="C5688" s="6">
        <v>20.478950000000001</v>
      </c>
      <c r="D5688" s="6">
        <v>80</v>
      </c>
      <c r="E5688" s="6">
        <v>0</v>
      </c>
      <c r="F5688" s="6">
        <v>0</v>
      </c>
      <c r="G5688" s="6">
        <v>9</v>
      </c>
      <c r="H5688" s="6" t="s">
        <v>37014</v>
      </c>
      <c r="I5688" s="6">
        <v>532.3125</v>
      </c>
      <c r="J5688" s="2">
        <f t="shared" si="88"/>
        <v>43748.880277766199</v>
      </c>
    </row>
    <row r="5689" spans="1:10" x14ac:dyDescent="0.25">
      <c r="A5689" s="7" t="s">
        <v>37015</v>
      </c>
      <c r="B5689" s="8">
        <v>393.75</v>
      </c>
      <c r="C5689" s="8">
        <v>20.478950000000001</v>
      </c>
      <c r="D5689" s="8">
        <v>80</v>
      </c>
      <c r="E5689" s="8">
        <v>0</v>
      </c>
      <c r="F5689" s="8">
        <v>0</v>
      </c>
      <c r="G5689" s="8">
        <v>10</v>
      </c>
      <c r="H5689" s="8" t="s">
        <v>37016</v>
      </c>
      <c r="I5689" s="8">
        <v>526.6875</v>
      </c>
      <c r="J5689" s="3">
        <f t="shared" si="88"/>
        <v>43748.880349861109</v>
      </c>
    </row>
    <row r="5690" spans="1:10" x14ac:dyDescent="0.25">
      <c r="A5690" s="5" t="s">
        <v>37017</v>
      </c>
      <c r="B5690" s="6">
        <v>393.75</v>
      </c>
      <c r="C5690" s="6">
        <v>20.478950000000001</v>
      </c>
      <c r="D5690" s="6">
        <v>78</v>
      </c>
      <c r="E5690" s="6">
        <v>0</v>
      </c>
      <c r="F5690" s="6">
        <v>0</v>
      </c>
      <c r="G5690" s="6">
        <v>15</v>
      </c>
      <c r="H5690" s="6" t="s">
        <v>37018</v>
      </c>
      <c r="I5690" s="6">
        <v>526.6875</v>
      </c>
      <c r="J5690" s="2">
        <f t="shared" si="88"/>
        <v>43748.880433460647</v>
      </c>
    </row>
    <row r="5691" spans="1:10" x14ac:dyDescent="0.25">
      <c r="A5691" s="7" t="s">
        <v>37019</v>
      </c>
      <c r="B5691" s="8">
        <v>393.75</v>
      </c>
      <c r="C5691" s="8">
        <v>20.478950000000001</v>
      </c>
      <c r="D5691" s="8">
        <v>78</v>
      </c>
      <c r="E5691" s="8">
        <v>0</v>
      </c>
      <c r="F5691" s="8">
        <v>0</v>
      </c>
      <c r="G5691" s="8">
        <v>15</v>
      </c>
      <c r="H5691" s="8" t="s">
        <v>37020</v>
      </c>
      <c r="I5691" s="8">
        <v>526.6875</v>
      </c>
      <c r="J5691" s="3">
        <f t="shared" si="88"/>
        <v>43748.880516770827</v>
      </c>
    </row>
    <row r="5692" spans="1:10" x14ac:dyDescent="0.25">
      <c r="A5692" s="5" t="s">
        <v>37021</v>
      </c>
      <c r="B5692" s="6">
        <v>393.75</v>
      </c>
      <c r="C5692" s="6">
        <v>20.478950000000001</v>
      </c>
      <c r="D5692" s="6">
        <v>78</v>
      </c>
      <c r="E5692" s="6">
        <v>0</v>
      </c>
      <c r="F5692" s="6">
        <v>0</v>
      </c>
      <c r="G5692" s="6">
        <v>12</v>
      </c>
      <c r="H5692" s="6" t="s">
        <v>37022</v>
      </c>
      <c r="I5692" s="6">
        <v>526.6875</v>
      </c>
      <c r="J5692" s="2">
        <f t="shared" si="88"/>
        <v>43748.880600034718</v>
      </c>
    </row>
    <row r="5693" spans="1:10" x14ac:dyDescent="0.25">
      <c r="A5693" s="7" t="s">
        <v>37023</v>
      </c>
      <c r="B5693" s="8">
        <v>412.5</v>
      </c>
      <c r="C5693" s="8">
        <v>20.478950000000001</v>
      </c>
      <c r="D5693" s="8">
        <v>78</v>
      </c>
      <c r="E5693" s="8">
        <v>0</v>
      </c>
      <c r="F5693" s="8">
        <v>0</v>
      </c>
      <c r="G5693" s="8">
        <v>4</v>
      </c>
      <c r="H5693" s="8" t="s">
        <v>37024</v>
      </c>
      <c r="I5693" s="8">
        <v>532.3125</v>
      </c>
      <c r="J5693" s="3">
        <f t="shared" si="88"/>
        <v>43748.88068332176</v>
      </c>
    </row>
    <row r="5694" spans="1:10" x14ac:dyDescent="0.25">
      <c r="A5694" s="5" t="s">
        <v>37025</v>
      </c>
      <c r="B5694" s="6">
        <v>393.75</v>
      </c>
      <c r="C5694" s="6">
        <v>20.478950000000001</v>
      </c>
      <c r="D5694" s="6">
        <v>81</v>
      </c>
      <c r="E5694" s="6">
        <v>0</v>
      </c>
      <c r="F5694" s="6">
        <v>0</v>
      </c>
      <c r="G5694" s="6">
        <v>2</v>
      </c>
      <c r="H5694" s="6" t="s">
        <v>37026</v>
      </c>
      <c r="I5694" s="6">
        <v>526.6875</v>
      </c>
      <c r="J5694" s="2">
        <f t="shared" si="88"/>
        <v>43748.880754629623</v>
      </c>
    </row>
    <row r="5695" spans="1:10" x14ac:dyDescent="0.25">
      <c r="A5695" s="7" t="s">
        <v>37027</v>
      </c>
      <c r="B5695" s="8">
        <v>393.75</v>
      </c>
      <c r="C5695" s="8">
        <v>20.478950000000001</v>
      </c>
      <c r="D5695" s="8">
        <v>82</v>
      </c>
      <c r="E5695" s="8">
        <v>0</v>
      </c>
      <c r="F5695" s="8">
        <v>0</v>
      </c>
      <c r="G5695" s="8">
        <v>7</v>
      </c>
      <c r="H5695" s="8" t="s">
        <v>37028</v>
      </c>
      <c r="I5695" s="8">
        <v>526.6875</v>
      </c>
      <c r="J5695" s="3">
        <f t="shared" si="88"/>
        <v>43748.880838923607</v>
      </c>
    </row>
    <row r="5696" spans="1:10" x14ac:dyDescent="0.25">
      <c r="A5696" s="5" t="s">
        <v>37029</v>
      </c>
      <c r="B5696" s="6">
        <v>393.75</v>
      </c>
      <c r="C5696" s="6">
        <v>20.478950000000001</v>
      </c>
      <c r="D5696" s="6">
        <v>83</v>
      </c>
      <c r="E5696" s="6">
        <v>0</v>
      </c>
      <c r="F5696" s="6">
        <v>0</v>
      </c>
      <c r="G5696" s="6">
        <v>5</v>
      </c>
      <c r="H5696" s="6" t="s">
        <v>37030</v>
      </c>
      <c r="I5696" s="6">
        <v>526.6875</v>
      </c>
      <c r="J5696" s="2">
        <f t="shared" si="88"/>
        <v>43748.880910219908</v>
      </c>
    </row>
    <row r="5697" spans="1:10" x14ac:dyDescent="0.25">
      <c r="A5697" s="7" t="s">
        <v>37031</v>
      </c>
      <c r="B5697" s="8">
        <v>396.875</v>
      </c>
      <c r="C5697" s="8">
        <v>20.478950000000001</v>
      </c>
      <c r="D5697" s="8">
        <v>83</v>
      </c>
      <c r="E5697" s="8">
        <v>0</v>
      </c>
      <c r="F5697" s="8">
        <v>0</v>
      </c>
      <c r="G5697" s="8">
        <v>7</v>
      </c>
      <c r="H5697" s="8" t="s">
        <v>37032</v>
      </c>
      <c r="I5697" s="8">
        <v>527.4375</v>
      </c>
      <c r="J5697" s="3">
        <f t="shared" si="88"/>
        <v>43748.880981516202</v>
      </c>
    </row>
    <row r="5698" spans="1:10" x14ac:dyDescent="0.25">
      <c r="A5698" s="5" t="s">
        <v>37033</v>
      </c>
      <c r="B5698" s="6">
        <v>393.75</v>
      </c>
      <c r="C5698" s="6">
        <v>20.478950000000001</v>
      </c>
      <c r="D5698" s="6">
        <v>83</v>
      </c>
      <c r="E5698" s="6">
        <v>0</v>
      </c>
      <c r="F5698" s="6">
        <v>0</v>
      </c>
      <c r="G5698" s="6">
        <v>14</v>
      </c>
      <c r="H5698" s="6" t="s">
        <v>37034</v>
      </c>
      <c r="I5698" s="6">
        <v>526.6875</v>
      </c>
      <c r="J5698" s="2">
        <f t="shared" ref="J5698:J5761" si="89">(H5698/86400000)+25569+(7/24)</f>
        <v>43748.881052881938</v>
      </c>
    </row>
    <row r="5699" spans="1:10" x14ac:dyDescent="0.25">
      <c r="A5699" s="7" t="s">
        <v>37035</v>
      </c>
      <c r="B5699" s="8">
        <v>393.75</v>
      </c>
      <c r="C5699" s="8">
        <v>20.478950000000001</v>
      </c>
      <c r="D5699" s="8">
        <v>83</v>
      </c>
      <c r="E5699" s="8">
        <v>0</v>
      </c>
      <c r="F5699" s="8">
        <v>0</v>
      </c>
      <c r="G5699" s="8">
        <v>13</v>
      </c>
      <c r="H5699" s="8" t="s">
        <v>37036</v>
      </c>
      <c r="I5699" s="8">
        <v>526.5</v>
      </c>
      <c r="J5699" s="3">
        <f t="shared" si="89"/>
        <v>43748.881137233795</v>
      </c>
    </row>
    <row r="5700" spans="1:10" x14ac:dyDescent="0.25">
      <c r="A5700" s="5" t="s">
        <v>37037</v>
      </c>
      <c r="B5700" s="6">
        <v>393.75</v>
      </c>
      <c r="C5700" s="6">
        <v>20.478950000000001</v>
      </c>
      <c r="D5700" s="6">
        <v>83</v>
      </c>
      <c r="E5700" s="6">
        <v>0</v>
      </c>
      <c r="F5700" s="6">
        <v>0</v>
      </c>
      <c r="G5700" s="6">
        <v>22</v>
      </c>
      <c r="H5700" s="6" t="s">
        <v>37038</v>
      </c>
      <c r="I5700" s="6">
        <v>526.6875</v>
      </c>
      <c r="J5700" s="2">
        <f t="shared" si="89"/>
        <v>43748.881220451389</v>
      </c>
    </row>
    <row r="5701" spans="1:10" x14ac:dyDescent="0.25">
      <c r="A5701" s="7" t="s">
        <v>37039</v>
      </c>
      <c r="B5701" s="8">
        <v>393.75</v>
      </c>
      <c r="C5701" s="8">
        <v>20.478950000000001</v>
      </c>
      <c r="D5701" s="8">
        <v>83</v>
      </c>
      <c r="E5701" s="8">
        <v>0</v>
      </c>
      <c r="F5701" s="8">
        <v>0</v>
      </c>
      <c r="G5701" s="8">
        <v>8</v>
      </c>
      <c r="H5701" s="8" t="s">
        <v>37040</v>
      </c>
      <c r="I5701" s="8">
        <v>526.6875</v>
      </c>
      <c r="J5701" s="3">
        <f t="shared" si="89"/>
        <v>43748.881291701386</v>
      </c>
    </row>
    <row r="5702" spans="1:10" x14ac:dyDescent="0.25">
      <c r="A5702" s="5" t="s">
        <v>37041</v>
      </c>
      <c r="B5702" s="6">
        <v>393.75</v>
      </c>
      <c r="C5702" s="6">
        <v>20.478950000000001</v>
      </c>
      <c r="D5702" s="6">
        <v>82</v>
      </c>
      <c r="E5702" s="6">
        <v>0</v>
      </c>
      <c r="F5702" s="6">
        <v>0</v>
      </c>
      <c r="G5702" s="6">
        <v>13</v>
      </c>
      <c r="H5702" s="6" t="s">
        <v>37042</v>
      </c>
      <c r="I5702" s="6">
        <v>526.5</v>
      </c>
      <c r="J5702" s="2">
        <f t="shared" si="89"/>
        <v>43748.881362997687</v>
      </c>
    </row>
    <row r="5703" spans="1:10" x14ac:dyDescent="0.25">
      <c r="A5703" s="7" t="s">
        <v>37043</v>
      </c>
      <c r="B5703" s="8">
        <v>393.75</v>
      </c>
      <c r="C5703" s="8">
        <v>20.478950000000001</v>
      </c>
      <c r="D5703" s="8">
        <v>81</v>
      </c>
      <c r="E5703" s="8">
        <v>0</v>
      </c>
      <c r="F5703" s="8">
        <v>0</v>
      </c>
      <c r="G5703" s="8">
        <v>7</v>
      </c>
      <c r="H5703" s="8" t="s">
        <v>37044</v>
      </c>
      <c r="I5703" s="8">
        <v>526.6875</v>
      </c>
      <c r="J5703" s="3">
        <f t="shared" si="89"/>
        <v>43748.881467650463</v>
      </c>
    </row>
    <row r="5704" spans="1:10" x14ac:dyDescent="0.25">
      <c r="A5704" s="5" t="s">
        <v>37045</v>
      </c>
      <c r="B5704" s="6">
        <v>396.875</v>
      </c>
      <c r="C5704" s="6">
        <v>20.478950000000001</v>
      </c>
      <c r="D5704" s="6">
        <v>79</v>
      </c>
      <c r="E5704" s="6">
        <v>0</v>
      </c>
      <c r="F5704" s="6">
        <v>0</v>
      </c>
      <c r="G5704" s="6">
        <v>22</v>
      </c>
      <c r="H5704" s="6" t="s">
        <v>37046</v>
      </c>
      <c r="I5704" s="6">
        <v>527.4375</v>
      </c>
      <c r="J5704" s="2">
        <f t="shared" si="89"/>
        <v>43748.881542048613</v>
      </c>
    </row>
    <row r="5705" spans="1:10" x14ac:dyDescent="0.25">
      <c r="A5705" s="7" t="s">
        <v>37047</v>
      </c>
      <c r="B5705" s="8">
        <v>393.75</v>
      </c>
      <c r="C5705" s="8">
        <v>20.478950000000001</v>
      </c>
      <c r="D5705" s="8">
        <v>80</v>
      </c>
      <c r="E5705" s="8">
        <v>0</v>
      </c>
      <c r="F5705" s="8">
        <v>0</v>
      </c>
      <c r="G5705" s="8">
        <v>3</v>
      </c>
      <c r="H5705" s="8" t="s">
        <v>37048</v>
      </c>
      <c r="I5705" s="8">
        <v>526.6875</v>
      </c>
      <c r="J5705" s="3">
        <f t="shared" si="89"/>
        <v>43748.881613587961</v>
      </c>
    </row>
    <row r="5706" spans="1:10" x14ac:dyDescent="0.25">
      <c r="A5706" s="5" t="s">
        <v>37049</v>
      </c>
      <c r="B5706" s="6">
        <v>396.875</v>
      </c>
      <c r="C5706" s="6">
        <v>20.478950000000001</v>
      </c>
      <c r="D5706" s="6">
        <v>79</v>
      </c>
      <c r="E5706" s="6">
        <v>0</v>
      </c>
      <c r="F5706" s="6">
        <v>0</v>
      </c>
      <c r="G5706" s="6">
        <v>18</v>
      </c>
      <c r="H5706" s="6" t="s">
        <v>37050</v>
      </c>
      <c r="I5706" s="6">
        <v>527.4375</v>
      </c>
      <c r="J5706" s="2">
        <f t="shared" si="89"/>
        <v>43748.881684930551</v>
      </c>
    </row>
    <row r="5707" spans="1:10" x14ac:dyDescent="0.25">
      <c r="A5707" s="7" t="s">
        <v>37051</v>
      </c>
      <c r="B5707" s="8">
        <v>396.875</v>
      </c>
      <c r="C5707" s="8">
        <v>20.478950000000001</v>
      </c>
      <c r="D5707" s="8">
        <v>79</v>
      </c>
      <c r="E5707" s="8">
        <v>0</v>
      </c>
      <c r="F5707" s="8">
        <v>0</v>
      </c>
      <c r="G5707" s="8">
        <v>10</v>
      </c>
      <c r="H5707" s="8" t="s">
        <v>37052</v>
      </c>
      <c r="I5707" s="8">
        <v>527.4375</v>
      </c>
      <c r="J5707" s="3">
        <f t="shared" si="89"/>
        <v>43748.88175709491</v>
      </c>
    </row>
    <row r="5708" spans="1:10" x14ac:dyDescent="0.25">
      <c r="A5708" s="5" t="s">
        <v>37053</v>
      </c>
      <c r="B5708" s="6">
        <v>396.875</v>
      </c>
      <c r="C5708" s="6">
        <v>20.478950000000001</v>
      </c>
      <c r="D5708" s="6">
        <v>79</v>
      </c>
      <c r="E5708" s="6">
        <v>0</v>
      </c>
      <c r="F5708" s="6">
        <v>0</v>
      </c>
      <c r="G5708" s="6">
        <v>1</v>
      </c>
      <c r="H5708" s="6" t="s">
        <v>37054</v>
      </c>
      <c r="I5708" s="6">
        <v>527.4375</v>
      </c>
      <c r="J5708" s="2">
        <f t="shared" si="89"/>
        <v>43748.881828518519</v>
      </c>
    </row>
    <row r="5709" spans="1:10" x14ac:dyDescent="0.25">
      <c r="A5709" s="7" t="s">
        <v>37055</v>
      </c>
      <c r="B5709" s="8">
        <v>400</v>
      </c>
      <c r="C5709" s="8">
        <v>20.478950000000001</v>
      </c>
      <c r="D5709" s="8">
        <v>81</v>
      </c>
      <c r="E5709" s="8">
        <v>0</v>
      </c>
      <c r="F5709" s="8">
        <v>0</v>
      </c>
      <c r="G5709" s="8">
        <v>7</v>
      </c>
      <c r="H5709" s="8" t="s">
        <v>37056</v>
      </c>
      <c r="I5709" s="8">
        <v>528.375</v>
      </c>
      <c r="J5709" s="3">
        <f t="shared" si="89"/>
        <v>43748.881910949072</v>
      </c>
    </row>
    <row r="5710" spans="1:10" x14ac:dyDescent="0.25">
      <c r="A5710" s="5" t="s">
        <v>37057</v>
      </c>
      <c r="B5710" s="6">
        <v>396.875</v>
      </c>
      <c r="C5710" s="6">
        <v>20.478950000000001</v>
      </c>
      <c r="D5710" s="6">
        <v>80</v>
      </c>
      <c r="E5710" s="6">
        <v>0</v>
      </c>
      <c r="F5710" s="6">
        <v>0</v>
      </c>
      <c r="G5710" s="6">
        <v>9</v>
      </c>
      <c r="H5710" s="6" t="s">
        <v>37058</v>
      </c>
      <c r="I5710" s="6">
        <v>527.4375</v>
      </c>
      <c r="J5710" s="2">
        <f t="shared" si="89"/>
        <v>43748.881983101848</v>
      </c>
    </row>
    <row r="5711" spans="1:10" x14ac:dyDescent="0.25">
      <c r="A5711" s="7" t="s">
        <v>37059</v>
      </c>
      <c r="B5711" s="8">
        <v>396.875</v>
      </c>
      <c r="C5711" s="8">
        <v>20.478950000000001</v>
      </c>
      <c r="D5711" s="8">
        <v>79</v>
      </c>
      <c r="E5711" s="8">
        <v>0</v>
      </c>
      <c r="F5711" s="8">
        <v>0</v>
      </c>
      <c r="G5711" s="8">
        <v>11</v>
      </c>
      <c r="H5711" s="8" t="s">
        <v>37060</v>
      </c>
      <c r="I5711" s="8">
        <v>527.4375</v>
      </c>
      <c r="J5711" s="3">
        <f t="shared" si="89"/>
        <v>43748.882067280087</v>
      </c>
    </row>
    <row r="5712" spans="1:10" x14ac:dyDescent="0.25">
      <c r="A5712" s="5" t="s">
        <v>37061</v>
      </c>
      <c r="B5712" s="6">
        <v>400</v>
      </c>
      <c r="C5712" s="6">
        <v>20.478950000000001</v>
      </c>
      <c r="D5712" s="6">
        <v>78</v>
      </c>
      <c r="E5712" s="6">
        <v>0</v>
      </c>
      <c r="F5712" s="6">
        <v>0</v>
      </c>
      <c r="G5712" s="6">
        <v>11</v>
      </c>
      <c r="H5712" s="6" t="s">
        <v>37062</v>
      </c>
      <c r="I5712" s="6">
        <v>528.375</v>
      </c>
      <c r="J5712" s="2">
        <f t="shared" si="89"/>
        <v>43748.882150682868</v>
      </c>
    </row>
    <row r="5713" spans="1:10" x14ac:dyDescent="0.25">
      <c r="A5713" s="7" t="s">
        <v>37063</v>
      </c>
      <c r="B5713" s="8">
        <v>403.125</v>
      </c>
      <c r="C5713" s="8">
        <v>20.478950000000001</v>
      </c>
      <c r="D5713" s="8">
        <v>79</v>
      </c>
      <c r="E5713" s="8">
        <v>0</v>
      </c>
      <c r="F5713" s="8">
        <v>0</v>
      </c>
      <c r="G5713" s="8">
        <v>15</v>
      </c>
      <c r="H5713" s="8" t="s">
        <v>37064</v>
      </c>
      <c r="I5713" s="8">
        <v>529.125</v>
      </c>
      <c r="J5713" s="3">
        <f t="shared" si="89"/>
        <v>43748.882233888886</v>
      </c>
    </row>
    <row r="5714" spans="1:10" x14ac:dyDescent="0.25">
      <c r="A5714" s="5" t="s">
        <v>37065</v>
      </c>
      <c r="B5714" s="6">
        <v>400</v>
      </c>
      <c r="C5714" s="6">
        <v>20.478950000000001</v>
      </c>
      <c r="D5714" s="6">
        <v>78</v>
      </c>
      <c r="E5714" s="6">
        <v>0</v>
      </c>
      <c r="F5714" s="6">
        <v>0</v>
      </c>
      <c r="G5714" s="6">
        <v>10</v>
      </c>
      <c r="H5714" s="6" t="s">
        <v>37066</v>
      </c>
      <c r="I5714" s="6">
        <v>528.375</v>
      </c>
      <c r="J5714" s="2">
        <f t="shared" si="89"/>
        <v>43748.882305173604</v>
      </c>
    </row>
    <row r="5715" spans="1:10" x14ac:dyDescent="0.25">
      <c r="A5715" s="7" t="s">
        <v>37067</v>
      </c>
      <c r="B5715" s="8">
        <v>403.125</v>
      </c>
      <c r="C5715" s="8">
        <v>20.478950000000001</v>
      </c>
      <c r="D5715" s="8">
        <v>77</v>
      </c>
      <c r="E5715" s="8">
        <v>0</v>
      </c>
      <c r="F5715" s="8">
        <v>0</v>
      </c>
      <c r="G5715" s="8">
        <v>12</v>
      </c>
      <c r="H5715" s="8" t="s">
        <v>37068</v>
      </c>
      <c r="I5715" s="8">
        <v>529.125</v>
      </c>
      <c r="J5715" s="3">
        <f t="shared" si="89"/>
        <v>43748.882376944443</v>
      </c>
    </row>
    <row r="5716" spans="1:10" x14ac:dyDescent="0.25">
      <c r="A5716" s="5" t="s">
        <v>37069</v>
      </c>
      <c r="B5716" s="6">
        <v>400</v>
      </c>
      <c r="C5716" s="6">
        <v>20.478950000000001</v>
      </c>
      <c r="D5716" s="6">
        <v>78</v>
      </c>
      <c r="E5716" s="6">
        <v>0</v>
      </c>
      <c r="F5716" s="6">
        <v>0</v>
      </c>
      <c r="G5716" s="6">
        <v>17</v>
      </c>
      <c r="H5716" s="6" t="s">
        <v>37070</v>
      </c>
      <c r="I5716" s="6">
        <v>528.1875</v>
      </c>
      <c r="J5716" s="2">
        <f t="shared" si="89"/>
        <v>43748.882448240744</v>
      </c>
    </row>
    <row r="5717" spans="1:10" x14ac:dyDescent="0.25">
      <c r="A5717" s="7" t="s">
        <v>37071</v>
      </c>
      <c r="B5717" s="8">
        <v>400</v>
      </c>
      <c r="C5717" s="8">
        <v>20.478950000000001</v>
      </c>
      <c r="D5717" s="8">
        <v>79</v>
      </c>
      <c r="E5717" s="8">
        <v>0</v>
      </c>
      <c r="F5717" s="8">
        <v>0</v>
      </c>
      <c r="G5717" s="8">
        <v>14</v>
      </c>
      <c r="H5717" s="8" t="s">
        <v>37072</v>
      </c>
      <c r="I5717" s="8">
        <v>528.1875</v>
      </c>
      <c r="J5717" s="3">
        <f t="shared" si="89"/>
        <v>43748.882531921299</v>
      </c>
    </row>
    <row r="5718" spans="1:10" x14ac:dyDescent="0.25">
      <c r="A5718" s="5" t="s">
        <v>37073</v>
      </c>
      <c r="B5718" s="6">
        <v>396.875</v>
      </c>
      <c r="C5718" s="6">
        <v>20.478950000000001</v>
      </c>
      <c r="D5718" s="6">
        <v>79</v>
      </c>
      <c r="E5718" s="6">
        <v>0</v>
      </c>
      <c r="F5718" s="6">
        <v>0</v>
      </c>
      <c r="G5718" s="6">
        <v>12</v>
      </c>
      <c r="H5718" s="6" t="s">
        <v>37074</v>
      </c>
      <c r="I5718" s="6">
        <v>527.4375</v>
      </c>
      <c r="J5718" s="2">
        <f t="shared" si="89"/>
        <v>43748.882620266202</v>
      </c>
    </row>
    <row r="5719" spans="1:10" x14ac:dyDescent="0.25">
      <c r="A5719" s="7" t="s">
        <v>37075</v>
      </c>
      <c r="B5719" s="8">
        <v>396.875</v>
      </c>
      <c r="C5719" s="8">
        <v>20.478950000000001</v>
      </c>
      <c r="D5719" s="8">
        <v>80</v>
      </c>
      <c r="E5719" s="8">
        <v>0</v>
      </c>
      <c r="F5719" s="8">
        <v>0</v>
      </c>
      <c r="G5719" s="8">
        <v>7</v>
      </c>
      <c r="H5719" s="8" t="s">
        <v>37076</v>
      </c>
      <c r="I5719" s="8">
        <v>527.4375</v>
      </c>
      <c r="J5719" s="3">
        <f t="shared" si="89"/>
        <v>43748.882699317131</v>
      </c>
    </row>
    <row r="5720" spans="1:10" x14ac:dyDescent="0.25">
      <c r="A5720" s="5" t="s">
        <v>37077</v>
      </c>
      <c r="B5720" s="6">
        <v>415.625</v>
      </c>
      <c r="C5720" s="6">
        <v>20.478950000000001</v>
      </c>
      <c r="D5720" s="6">
        <v>80</v>
      </c>
      <c r="E5720" s="6">
        <v>0</v>
      </c>
      <c r="F5720" s="6">
        <v>0</v>
      </c>
      <c r="G5720" s="6">
        <v>13</v>
      </c>
      <c r="H5720" s="6" t="s">
        <v>37078</v>
      </c>
      <c r="I5720" s="6">
        <v>533.0625</v>
      </c>
      <c r="J5720" s="2">
        <f t="shared" si="89"/>
        <v>43748.88277078703</v>
      </c>
    </row>
    <row r="5721" spans="1:10" x14ac:dyDescent="0.25">
      <c r="A5721" s="7" t="s">
        <v>37079</v>
      </c>
      <c r="B5721" s="8">
        <v>400</v>
      </c>
      <c r="C5721" s="8">
        <v>20.478950000000001</v>
      </c>
      <c r="D5721" s="8">
        <v>80</v>
      </c>
      <c r="E5721" s="8">
        <v>0</v>
      </c>
      <c r="F5721" s="8">
        <v>0</v>
      </c>
      <c r="G5721" s="8">
        <v>9</v>
      </c>
      <c r="H5721" s="8" t="s">
        <v>37080</v>
      </c>
      <c r="I5721" s="8">
        <v>528.1875</v>
      </c>
      <c r="J5721" s="3">
        <f t="shared" si="89"/>
        <v>43748.882842037034</v>
      </c>
    </row>
    <row r="5722" spans="1:10" x14ac:dyDescent="0.25">
      <c r="A5722" s="5" t="s">
        <v>37081</v>
      </c>
      <c r="B5722" s="6">
        <v>400</v>
      </c>
      <c r="C5722" s="6">
        <v>20.478950000000001</v>
      </c>
      <c r="D5722" s="6">
        <v>80</v>
      </c>
      <c r="E5722" s="6">
        <v>0</v>
      </c>
      <c r="F5722" s="6">
        <v>0</v>
      </c>
      <c r="G5722" s="6">
        <v>8</v>
      </c>
      <c r="H5722" s="6" t="s">
        <v>37082</v>
      </c>
      <c r="I5722" s="6">
        <v>528.1875</v>
      </c>
      <c r="J5722" s="2">
        <f t="shared" si="89"/>
        <v>43748.882913344903</v>
      </c>
    </row>
    <row r="5723" spans="1:10" x14ac:dyDescent="0.25">
      <c r="A5723" s="7" t="s">
        <v>37083</v>
      </c>
      <c r="B5723" s="8">
        <v>403.125</v>
      </c>
      <c r="C5723" s="8">
        <v>20.478950000000001</v>
      </c>
      <c r="D5723" s="8">
        <v>80</v>
      </c>
      <c r="E5723" s="8">
        <v>0</v>
      </c>
      <c r="F5723" s="8">
        <v>0</v>
      </c>
      <c r="G5723" s="8">
        <v>11</v>
      </c>
      <c r="H5723" s="8" t="s">
        <v>37084</v>
      </c>
      <c r="I5723" s="8">
        <v>529.125</v>
      </c>
      <c r="J5723" s="3">
        <f t="shared" si="89"/>
        <v>43748.882985567128</v>
      </c>
    </row>
    <row r="5724" spans="1:10" x14ac:dyDescent="0.25">
      <c r="A5724" s="5" t="s">
        <v>37085</v>
      </c>
      <c r="B5724" s="6">
        <v>425</v>
      </c>
      <c r="C5724" s="6">
        <v>20.478950000000001</v>
      </c>
      <c r="D5724" s="6">
        <v>79</v>
      </c>
      <c r="E5724" s="6">
        <v>0</v>
      </c>
      <c r="F5724" s="6">
        <v>0</v>
      </c>
      <c r="G5724" s="6">
        <v>7</v>
      </c>
      <c r="H5724" s="6" t="s">
        <v>37086</v>
      </c>
      <c r="I5724" s="6">
        <v>536.25</v>
      </c>
      <c r="J5724" s="2">
        <f t="shared" si="89"/>
        <v>43748.88305684027</v>
      </c>
    </row>
    <row r="5725" spans="1:10" x14ac:dyDescent="0.25">
      <c r="A5725" s="7" t="s">
        <v>37087</v>
      </c>
      <c r="B5725" s="8">
        <v>403.125</v>
      </c>
      <c r="C5725" s="8">
        <v>20.478950000000001</v>
      </c>
      <c r="D5725" s="8">
        <v>79</v>
      </c>
      <c r="E5725" s="8">
        <v>0</v>
      </c>
      <c r="F5725" s="8">
        <v>0</v>
      </c>
      <c r="G5725" s="8">
        <v>8</v>
      </c>
      <c r="H5725" s="8" t="s">
        <v>37088</v>
      </c>
      <c r="I5725" s="8">
        <v>529.875</v>
      </c>
      <c r="J5725" s="3">
        <f t="shared" si="89"/>
        <v>43748.883128159716</v>
      </c>
    </row>
    <row r="5726" spans="1:10" x14ac:dyDescent="0.25">
      <c r="A5726" s="5" t="s">
        <v>37089</v>
      </c>
      <c r="B5726" s="6">
        <v>403.125</v>
      </c>
      <c r="C5726" s="6">
        <v>20.478950000000001</v>
      </c>
      <c r="D5726" s="6">
        <v>82</v>
      </c>
      <c r="E5726" s="6">
        <v>0</v>
      </c>
      <c r="F5726" s="6">
        <v>0</v>
      </c>
      <c r="G5726" s="6">
        <v>4</v>
      </c>
      <c r="H5726" s="6" t="s">
        <v>37090</v>
      </c>
      <c r="I5726" s="6">
        <v>529.875</v>
      </c>
      <c r="J5726" s="2">
        <f t="shared" si="89"/>
        <v>43748.883200150456</v>
      </c>
    </row>
    <row r="5727" spans="1:10" x14ac:dyDescent="0.25">
      <c r="A5727" s="7" t="s">
        <v>37091</v>
      </c>
      <c r="B5727" s="8">
        <v>403.125</v>
      </c>
      <c r="C5727" s="8">
        <v>20.478950000000001</v>
      </c>
      <c r="D5727" s="8">
        <v>83</v>
      </c>
      <c r="E5727" s="8">
        <v>0</v>
      </c>
      <c r="F5727" s="8">
        <v>0</v>
      </c>
      <c r="G5727" s="8">
        <v>2</v>
      </c>
      <c r="H5727" s="8" t="s">
        <v>37092</v>
      </c>
      <c r="I5727" s="8">
        <v>529.125</v>
      </c>
      <c r="J5727" s="3">
        <f t="shared" si="89"/>
        <v>43748.883271678242</v>
      </c>
    </row>
    <row r="5728" spans="1:10" x14ac:dyDescent="0.25">
      <c r="A5728" s="5" t="s">
        <v>37093</v>
      </c>
      <c r="B5728" s="6">
        <v>403.125</v>
      </c>
      <c r="C5728" s="6">
        <v>20.478950000000001</v>
      </c>
      <c r="D5728" s="6">
        <v>82</v>
      </c>
      <c r="E5728" s="6">
        <v>0</v>
      </c>
      <c r="F5728" s="6">
        <v>0</v>
      </c>
      <c r="G5728" s="6">
        <v>10</v>
      </c>
      <c r="H5728" s="6" t="s">
        <v>37094</v>
      </c>
      <c r="I5728" s="6">
        <v>529.125</v>
      </c>
      <c r="J5728" s="2">
        <f t="shared" si="89"/>
        <v>43748.883354988422</v>
      </c>
    </row>
    <row r="5729" spans="1:10" x14ac:dyDescent="0.25">
      <c r="A5729" s="7" t="s">
        <v>37095</v>
      </c>
      <c r="B5729" s="8">
        <v>400</v>
      </c>
      <c r="C5729" s="8">
        <v>20.478950000000001</v>
      </c>
      <c r="D5729" s="8">
        <v>81</v>
      </c>
      <c r="E5729" s="8">
        <v>0</v>
      </c>
      <c r="F5729" s="8">
        <v>0</v>
      </c>
      <c r="G5729" s="8">
        <v>0</v>
      </c>
      <c r="H5729" s="8" t="s">
        <v>37096</v>
      </c>
      <c r="I5729" s="8">
        <v>528.1875</v>
      </c>
      <c r="J5729" s="3">
        <f t="shared" si="89"/>
        <v>43748.883426284716</v>
      </c>
    </row>
    <row r="5730" spans="1:10" x14ac:dyDescent="0.25">
      <c r="A5730" s="5" t="s">
        <v>37097</v>
      </c>
      <c r="B5730" s="6">
        <v>396.875</v>
      </c>
      <c r="C5730" s="6">
        <v>20.478950000000001</v>
      </c>
      <c r="D5730" s="6">
        <v>81</v>
      </c>
      <c r="E5730" s="6">
        <v>0</v>
      </c>
      <c r="F5730" s="6">
        <v>0</v>
      </c>
      <c r="G5730" s="6">
        <v>9</v>
      </c>
      <c r="H5730" s="6" t="s">
        <v>37098</v>
      </c>
      <c r="I5730" s="6">
        <v>527.4375</v>
      </c>
      <c r="J5730" s="2">
        <f t="shared" si="89"/>
        <v>43748.883509629632</v>
      </c>
    </row>
    <row r="5731" spans="1:10" x14ac:dyDescent="0.25">
      <c r="A5731" s="7" t="s">
        <v>37099</v>
      </c>
      <c r="B5731" s="8">
        <v>418.75</v>
      </c>
      <c r="C5731" s="8">
        <v>20.478950000000001</v>
      </c>
      <c r="D5731" s="8">
        <v>81</v>
      </c>
      <c r="E5731" s="8">
        <v>0</v>
      </c>
      <c r="F5731" s="8">
        <v>0</v>
      </c>
      <c r="G5731" s="8">
        <v>11</v>
      </c>
      <c r="H5731" s="8" t="s">
        <v>37100</v>
      </c>
      <c r="I5731" s="8">
        <v>534</v>
      </c>
      <c r="J5731" s="3">
        <f t="shared" si="89"/>
        <v>43748.88358184028</v>
      </c>
    </row>
    <row r="5732" spans="1:10" x14ac:dyDescent="0.25">
      <c r="A5732" s="5" t="s">
        <v>37101</v>
      </c>
      <c r="B5732" s="6">
        <v>396.875</v>
      </c>
      <c r="C5732" s="6">
        <v>20.478950000000001</v>
      </c>
      <c r="D5732" s="6">
        <v>81</v>
      </c>
      <c r="E5732" s="6">
        <v>0</v>
      </c>
      <c r="F5732" s="6">
        <v>0</v>
      </c>
      <c r="G5732" s="6">
        <v>16</v>
      </c>
      <c r="H5732" s="6" t="s">
        <v>37102</v>
      </c>
      <c r="I5732" s="6">
        <v>527.4375</v>
      </c>
      <c r="J5732" s="2">
        <f t="shared" si="89"/>
        <v>43748.883653159719</v>
      </c>
    </row>
    <row r="5733" spans="1:10" x14ac:dyDescent="0.25">
      <c r="A5733" s="7" t="s">
        <v>37103</v>
      </c>
      <c r="B5733" s="8">
        <v>396.875</v>
      </c>
      <c r="C5733" s="8">
        <v>20.478950000000001</v>
      </c>
      <c r="D5733" s="8">
        <v>81</v>
      </c>
      <c r="E5733" s="8">
        <v>0</v>
      </c>
      <c r="F5733" s="8">
        <v>0</v>
      </c>
      <c r="G5733" s="8">
        <v>7</v>
      </c>
      <c r="H5733" s="8" t="s">
        <v>37104</v>
      </c>
      <c r="I5733" s="8">
        <v>527.4375</v>
      </c>
      <c r="J5733" s="3">
        <f t="shared" si="89"/>
        <v>43748.88372445602</v>
      </c>
    </row>
    <row r="5734" spans="1:10" x14ac:dyDescent="0.25">
      <c r="A5734" s="5" t="s">
        <v>37105</v>
      </c>
      <c r="B5734" s="6">
        <v>393.75</v>
      </c>
      <c r="C5734" s="6">
        <v>20.478950000000001</v>
      </c>
      <c r="D5734" s="6">
        <v>81</v>
      </c>
      <c r="E5734" s="6">
        <v>0</v>
      </c>
      <c r="F5734" s="6">
        <v>0</v>
      </c>
      <c r="G5734" s="6">
        <v>16</v>
      </c>
      <c r="H5734" s="6" t="s">
        <v>37106</v>
      </c>
      <c r="I5734" s="6">
        <v>526.6875</v>
      </c>
      <c r="J5734" s="2">
        <f t="shared" si="89"/>
        <v>43748.883796631941</v>
      </c>
    </row>
    <row r="5735" spans="1:10" x14ac:dyDescent="0.25">
      <c r="A5735" s="7" t="s">
        <v>37107</v>
      </c>
      <c r="B5735" s="8">
        <v>393.75</v>
      </c>
      <c r="C5735" s="8">
        <v>20.478950000000001</v>
      </c>
      <c r="D5735" s="8">
        <v>82</v>
      </c>
      <c r="E5735" s="8">
        <v>0</v>
      </c>
      <c r="F5735" s="8">
        <v>0</v>
      </c>
      <c r="G5735" s="8">
        <v>17</v>
      </c>
      <c r="H5735" s="8" t="s">
        <v>37108</v>
      </c>
      <c r="I5735" s="8">
        <v>526.6875</v>
      </c>
      <c r="J5735" s="3">
        <f t="shared" si="89"/>
        <v>43748.883879930552</v>
      </c>
    </row>
    <row r="5736" spans="1:10" x14ac:dyDescent="0.25">
      <c r="A5736" s="5" t="s">
        <v>37109</v>
      </c>
      <c r="B5736" s="6">
        <v>393.75</v>
      </c>
      <c r="C5736" s="6">
        <v>20.478950000000001</v>
      </c>
      <c r="D5736" s="6">
        <v>81</v>
      </c>
      <c r="E5736" s="6">
        <v>0</v>
      </c>
      <c r="F5736" s="6">
        <v>0</v>
      </c>
      <c r="G5736" s="6">
        <v>11</v>
      </c>
      <c r="H5736" s="6" t="s">
        <v>37110</v>
      </c>
      <c r="I5736" s="6">
        <v>526.6875</v>
      </c>
      <c r="J5736" s="2">
        <f t="shared" si="89"/>
        <v>43748.883951284719</v>
      </c>
    </row>
    <row r="5737" spans="1:10" x14ac:dyDescent="0.25">
      <c r="A5737" s="7" t="s">
        <v>37111</v>
      </c>
      <c r="B5737" s="8">
        <v>393.75</v>
      </c>
      <c r="C5737" s="8">
        <v>20.478950000000001</v>
      </c>
      <c r="D5737" s="8">
        <v>81</v>
      </c>
      <c r="E5737" s="8">
        <v>0</v>
      </c>
      <c r="F5737" s="8">
        <v>0</v>
      </c>
      <c r="G5737" s="8">
        <v>10</v>
      </c>
      <c r="H5737" s="8" t="s">
        <v>37112</v>
      </c>
      <c r="I5737" s="8">
        <v>526.6875</v>
      </c>
      <c r="J5737" s="3">
        <f t="shared" si="89"/>
        <v>43748.884022604165</v>
      </c>
    </row>
    <row r="5738" spans="1:10" x14ac:dyDescent="0.25">
      <c r="A5738" s="5" t="s">
        <v>37113</v>
      </c>
      <c r="B5738" s="6">
        <v>393.75</v>
      </c>
      <c r="C5738" s="6">
        <v>20.478950000000001</v>
      </c>
      <c r="D5738" s="6">
        <v>81</v>
      </c>
      <c r="E5738" s="6">
        <v>0</v>
      </c>
      <c r="F5738" s="6">
        <v>0</v>
      </c>
      <c r="G5738" s="6">
        <v>19</v>
      </c>
      <c r="H5738" s="6" t="s">
        <v>37114</v>
      </c>
      <c r="I5738" s="6">
        <v>526.6875</v>
      </c>
      <c r="J5738" s="2">
        <f t="shared" si="89"/>
        <v>43748.884094756941</v>
      </c>
    </row>
    <row r="5739" spans="1:10" x14ac:dyDescent="0.25">
      <c r="A5739" s="7" t="s">
        <v>37115</v>
      </c>
      <c r="B5739" s="8">
        <v>412.5</v>
      </c>
      <c r="C5739" s="8">
        <v>20.478950000000001</v>
      </c>
      <c r="D5739" s="8">
        <v>80</v>
      </c>
      <c r="E5739" s="8">
        <v>0</v>
      </c>
      <c r="F5739" s="8">
        <v>0</v>
      </c>
      <c r="G5739" s="8">
        <v>9</v>
      </c>
      <c r="H5739" s="8" t="s">
        <v>37116</v>
      </c>
      <c r="I5739" s="8">
        <v>532.3125</v>
      </c>
      <c r="J5739" s="3">
        <f t="shared" si="89"/>
        <v>43748.884166099531</v>
      </c>
    </row>
    <row r="5740" spans="1:10" x14ac:dyDescent="0.25">
      <c r="A5740" s="5" t="s">
        <v>37117</v>
      </c>
      <c r="B5740" s="6">
        <v>393.75</v>
      </c>
      <c r="C5740" s="6">
        <v>20.478950000000001</v>
      </c>
      <c r="D5740" s="6">
        <v>80</v>
      </c>
      <c r="E5740" s="6">
        <v>0</v>
      </c>
      <c r="F5740" s="6">
        <v>0</v>
      </c>
      <c r="G5740" s="6">
        <v>15</v>
      </c>
      <c r="H5740" s="6" t="s">
        <v>37118</v>
      </c>
      <c r="I5740" s="6">
        <v>526.6875</v>
      </c>
      <c r="J5740" s="2">
        <f t="shared" si="89"/>
        <v>43748.884237337959</v>
      </c>
    </row>
    <row r="5741" spans="1:10" x14ac:dyDescent="0.25">
      <c r="A5741" s="7" t="s">
        <v>37119</v>
      </c>
      <c r="B5741" s="8">
        <v>393.75</v>
      </c>
      <c r="C5741" s="8">
        <v>20.478950000000001</v>
      </c>
      <c r="D5741" s="8">
        <v>80</v>
      </c>
      <c r="E5741" s="8">
        <v>0</v>
      </c>
      <c r="F5741" s="8">
        <v>0</v>
      </c>
      <c r="G5741" s="8">
        <v>8</v>
      </c>
      <c r="H5741" s="8" t="s">
        <v>37120</v>
      </c>
      <c r="I5741" s="8">
        <v>526.6875</v>
      </c>
      <c r="J5741" s="3">
        <f t="shared" si="89"/>
        <v>43748.884308715271</v>
      </c>
    </row>
    <row r="5742" spans="1:10" x14ac:dyDescent="0.25">
      <c r="A5742" s="5" t="s">
        <v>37121</v>
      </c>
      <c r="B5742" s="6">
        <v>393.75</v>
      </c>
      <c r="C5742" s="6">
        <v>20.478950000000001</v>
      </c>
      <c r="D5742" s="6">
        <v>80</v>
      </c>
      <c r="E5742" s="6">
        <v>0</v>
      </c>
      <c r="F5742" s="6">
        <v>0</v>
      </c>
      <c r="G5742" s="6">
        <v>11</v>
      </c>
      <c r="H5742" s="6" t="s">
        <v>37122</v>
      </c>
      <c r="I5742" s="6">
        <v>526.6875</v>
      </c>
      <c r="J5742" s="2">
        <f t="shared" si="89"/>
        <v>43748.88438087963</v>
      </c>
    </row>
    <row r="5743" spans="1:10" x14ac:dyDescent="0.25">
      <c r="A5743" s="7" t="s">
        <v>37123</v>
      </c>
      <c r="B5743" s="8">
        <v>393.75</v>
      </c>
      <c r="C5743" s="8">
        <v>20.478950000000001</v>
      </c>
      <c r="D5743" s="8">
        <v>80</v>
      </c>
      <c r="E5743" s="8">
        <v>0</v>
      </c>
      <c r="F5743" s="8">
        <v>0</v>
      </c>
      <c r="G5743" s="8">
        <v>14</v>
      </c>
      <c r="H5743" s="8" t="s">
        <v>37124</v>
      </c>
      <c r="I5743" s="8">
        <v>526.6875</v>
      </c>
      <c r="J5743" s="3">
        <f t="shared" si="89"/>
        <v>43748.884452222221</v>
      </c>
    </row>
    <row r="5744" spans="1:10" x14ac:dyDescent="0.25">
      <c r="A5744" s="5" t="s">
        <v>37125</v>
      </c>
      <c r="B5744" s="6">
        <v>393.75</v>
      </c>
      <c r="C5744" s="6">
        <v>20.478950000000001</v>
      </c>
      <c r="D5744" s="6">
        <v>80</v>
      </c>
      <c r="E5744" s="6">
        <v>0</v>
      </c>
      <c r="F5744" s="6">
        <v>0</v>
      </c>
      <c r="G5744" s="6">
        <v>18</v>
      </c>
      <c r="H5744" s="6" t="s">
        <v>37126</v>
      </c>
      <c r="I5744" s="6">
        <v>526.6875</v>
      </c>
      <c r="J5744" s="2">
        <f t="shared" si="89"/>
        <v>43748.884523530091</v>
      </c>
    </row>
    <row r="5745" spans="1:10" x14ac:dyDescent="0.25">
      <c r="A5745" s="7" t="s">
        <v>37127</v>
      </c>
      <c r="B5745" s="8">
        <v>393.75</v>
      </c>
      <c r="C5745" s="8">
        <v>20.478950000000001</v>
      </c>
      <c r="D5745" s="8">
        <v>82</v>
      </c>
      <c r="E5745" s="8">
        <v>0</v>
      </c>
      <c r="F5745" s="8">
        <v>0</v>
      </c>
      <c r="G5745" s="8">
        <v>6</v>
      </c>
      <c r="H5745" s="8" t="s">
        <v>37128</v>
      </c>
      <c r="I5745" s="8">
        <v>526.6875</v>
      </c>
      <c r="J5745" s="3">
        <f t="shared" si="89"/>
        <v>43748.8845955324</v>
      </c>
    </row>
    <row r="5746" spans="1:10" x14ac:dyDescent="0.25">
      <c r="A5746" s="5" t="s">
        <v>37129</v>
      </c>
      <c r="B5746" s="6">
        <v>393.75</v>
      </c>
      <c r="C5746" s="6">
        <v>20.478950000000001</v>
      </c>
      <c r="D5746" s="6">
        <v>82</v>
      </c>
      <c r="E5746" s="6">
        <v>0</v>
      </c>
      <c r="F5746" s="6">
        <v>0</v>
      </c>
      <c r="G5746" s="6">
        <v>7</v>
      </c>
      <c r="H5746" s="6" t="s">
        <v>37130</v>
      </c>
      <c r="I5746" s="6">
        <v>526.6875</v>
      </c>
      <c r="J5746" s="2">
        <f t="shared" si="89"/>
        <v>43748.884666863429</v>
      </c>
    </row>
    <row r="5747" spans="1:10" x14ac:dyDescent="0.25">
      <c r="A5747" s="7" t="s">
        <v>37131</v>
      </c>
      <c r="B5747" s="8">
        <v>393.75</v>
      </c>
      <c r="C5747" s="8">
        <v>20.478950000000001</v>
      </c>
      <c r="D5747" s="8">
        <v>81</v>
      </c>
      <c r="E5747" s="8">
        <v>0</v>
      </c>
      <c r="F5747" s="8">
        <v>0</v>
      </c>
      <c r="G5747" s="8">
        <v>7</v>
      </c>
      <c r="H5747" s="8" t="s">
        <v>37132</v>
      </c>
      <c r="I5747" s="8">
        <v>526.6875</v>
      </c>
      <c r="J5747" s="3">
        <f t="shared" si="89"/>
        <v>43748.884738368048</v>
      </c>
    </row>
    <row r="5748" spans="1:10" x14ac:dyDescent="0.25">
      <c r="A5748" s="5" t="s">
        <v>37133</v>
      </c>
      <c r="B5748" s="6">
        <v>393.75</v>
      </c>
      <c r="C5748" s="6">
        <v>20.478950000000001</v>
      </c>
      <c r="D5748" s="6">
        <v>81</v>
      </c>
      <c r="E5748" s="6">
        <v>0</v>
      </c>
      <c r="F5748" s="6">
        <v>0</v>
      </c>
      <c r="G5748" s="6">
        <v>13</v>
      </c>
      <c r="H5748" s="6" t="s">
        <v>37134</v>
      </c>
      <c r="I5748" s="6">
        <v>526.6875</v>
      </c>
      <c r="J5748" s="2">
        <f t="shared" si="89"/>
        <v>43748.884809618052</v>
      </c>
    </row>
    <row r="5749" spans="1:10" x14ac:dyDescent="0.25">
      <c r="A5749" s="7" t="s">
        <v>37135</v>
      </c>
      <c r="B5749" s="8">
        <v>393.75</v>
      </c>
      <c r="C5749" s="8">
        <v>20.478950000000001</v>
      </c>
      <c r="D5749" s="8">
        <v>81</v>
      </c>
      <c r="E5749" s="8">
        <v>0</v>
      </c>
      <c r="F5749" s="8">
        <v>0</v>
      </c>
      <c r="G5749" s="8">
        <v>9</v>
      </c>
      <c r="H5749" s="8" t="s">
        <v>37136</v>
      </c>
      <c r="I5749" s="8">
        <v>526.6875</v>
      </c>
      <c r="J5749" s="3">
        <f t="shared" si="89"/>
        <v>43748.884881805549</v>
      </c>
    </row>
    <row r="5750" spans="1:10" x14ac:dyDescent="0.25">
      <c r="A5750" s="5" t="s">
        <v>37137</v>
      </c>
      <c r="B5750" s="6">
        <v>393.75</v>
      </c>
      <c r="C5750" s="6">
        <v>20.478950000000001</v>
      </c>
      <c r="D5750" s="6">
        <v>81</v>
      </c>
      <c r="E5750" s="6">
        <v>0</v>
      </c>
      <c r="F5750" s="6">
        <v>0</v>
      </c>
      <c r="G5750" s="6">
        <v>4</v>
      </c>
      <c r="H5750" s="6" t="s">
        <v>37138</v>
      </c>
      <c r="I5750" s="6">
        <v>526.6875</v>
      </c>
      <c r="J5750" s="2">
        <f t="shared" si="89"/>
        <v>43748.884953078705</v>
      </c>
    </row>
    <row r="5751" spans="1:10" x14ac:dyDescent="0.25">
      <c r="A5751" s="7" t="s">
        <v>37139</v>
      </c>
      <c r="B5751" s="8">
        <v>393.75</v>
      </c>
      <c r="C5751" s="8">
        <v>20.478950000000001</v>
      </c>
      <c r="D5751" s="8">
        <v>80</v>
      </c>
      <c r="E5751" s="8">
        <v>0</v>
      </c>
      <c r="F5751" s="8">
        <v>0</v>
      </c>
      <c r="G5751" s="8">
        <v>5</v>
      </c>
      <c r="H5751" s="8" t="s">
        <v>37140</v>
      </c>
      <c r="I5751" s="8">
        <v>526.5</v>
      </c>
      <c r="J5751" s="3">
        <f t="shared" si="89"/>
        <v>43748.88502444444</v>
      </c>
    </row>
    <row r="5752" spans="1:10" x14ac:dyDescent="0.25">
      <c r="A5752" s="5" t="s">
        <v>37141</v>
      </c>
      <c r="B5752" s="6">
        <v>393.75</v>
      </c>
      <c r="C5752" s="6">
        <v>20.478950000000001</v>
      </c>
      <c r="D5752" s="6">
        <v>82</v>
      </c>
      <c r="E5752" s="6">
        <v>0</v>
      </c>
      <c r="F5752" s="6">
        <v>0</v>
      </c>
      <c r="G5752" s="6">
        <v>4</v>
      </c>
      <c r="H5752" s="6" t="s">
        <v>37142</v>
      </c>
      <c r="I5752" s="6">
        <v>526.6875</v>
      </c>
      <c r="J5752" s="2">
        <f t="shared" si="89"/>
        <v>43748.885119814811</v>
      </c>
    </row>
    <row r="5753" spans="1:10" x14ac:dyDescent="0.25">
      <c r="A5753" s="7" t="s">
        <v>37143</v>
      </c>
      <c r="B5753" s="8">
        <v>393.75</v>
      </c>
      <c r="C5753" s="8">
        <v>20.478950000000001</v>
      </c>
      <c r="D5753" s="8">
        <v>82</v>
      </c>
      <c r="E5753" s="8">
        <v>0</v>
      </c>
      <c r="F5753" s="8">
        <v>0</v>
      </c>
      <c r="G5753" s="8">
        <v>6</v>
      </c>
      <c r="H5753" s="8" t="s">
        <v>37144</v>
      </c>
      <c r="I5753" s="8">
        <v>526.6875</v>
      </c>
      <c r="J5753" s="3">
        <f t="shared" si="89"/>
        <v>43748.885191967587</v>
      </c>
    </row>
    <row r="5754" spans="1:10" x14ac:dyDescent="0.25">
      <c r="A5754" s="5" t="s">
        <v>37145</v>
      </c>
      <c r="B5754" s="6">
        <v>393.75</v>
      </c>
      <c r="C5754" s="6">
        <v>20.478950000000001</v>
      </c>
      <c r="D5754" s="6">
        <v>81</v>
      </c>
      <c r="E5754" s="6">
        <v>0</v>
      </c>
      <c r="F5754" s="6">
        <v>0</v>
      </c>
      <c r="G5754" s="6">
        <v>6</v>
      </c>
      <c r="H5754" s="6" t="s">
        <v>37146</v>
      </c>
      <c r="I5754" s="6">
        <v>526.6875</v>
      </c>
      <c r="J5754" s="2">
        <f t="shared" si="89"/>
        <v>43748.885275266199</v>
      </c>
    </row>
    <row r="5755" spans="1:10" x14ac:dyDescent="0.25">
      <c r="A5755" s="7" t="s">
        <v>37147</v>
      </c>
      <c r="B5755" s="8">
        <v>393.75</v>
      </c>
      <c r="C5755" s="8">
        <v>20.478950000000001</v>
      </c>
      <c r="D5755" s="8">
        <v>81</v>
      </c>
      <c r="E5755" s="8">
        <v>0</v>
      </c>
      <c r="F5755" s="8">
        <v>0</v>
      </c>
      <c r="G5755" s="8">
        <v>5</v>
      </c>
      <c r="H5755" s="8" t="s">
        <v>37148</v>
      </c>
      <c r="I5755" s="8">
        <v>526.5</v>
      </c>
      <c r="J5755" s="3">
        <f t="shared" si="89"/>
        <v>43748.885346678238</v>
      </c>
    </row>
    <row r="5756" spans="1:10" x14ac:dyDescent="0.25">
      <c r="A5756" s="5" t="s">
        <v>37149</v>
      </c>
      <c r="B5756" s="6">
        <v>393.75</v>
      </c>
      <c r="C5756" s="6">
        <v>20.478950000000001</v>
      </c>
      <c r="D5756" s="6">
        <v>82</v>
      </c>
      <c r="E5756" s="6">
        <v>0</v>
      </c>
      <c r="F5756" s="6">
        <v>0</v>
      </c>
      <c r="G5756" s="6">
        <v>9</v>
      </c>
      <c r="H5756" s="6" t="s">
        <v>37150</v>
      </c>
      <c r="I5756" s="6">
        <v>526.6875</v>
      </c>
      <c r="J5756" s="2">
        <f t="shared" si="89"/>
        <v>43748.885417986108</v>
      </c>
    </row>
    <row r="5757" spans="1:10" x14ac:dyDescent="0.25">
      <c r="A5757" s="7" t="s">
        <v>37151</v>
      </c>
      <c r="B5757" s="8">
        <v>393.75</v>
      </c>
      <c r="C5757" s="8">
        <v>20.478950000000001</v>
      </c>
      <c r="D5757" s="8">
        <v>85</v>
      </c>
      <c r="E5757" s="8">
        <v>0</v>
      </c>
      <c r="F5757" s="8">
        <v>0</v>
      </c>
      <c r="G5757" s="8">
        <v>13</v>
      </c>
      <c r="H5757" s="8" t="s">
        <v>37152</v>
      </c>
      <c r="I5757" s="8">
        <v>526.6875</v>
      </c>
      <c r="J5757" s="3">
        <f t="shared" si="89"/>
        <v>43748.885490185181</v>
      </c>
    </row>
    <row r="5758" spans="1:10" x14ac:dyDescent="0.25">
      <c r="A5758" s="5" t="s">
        <v>37153</v>
      </c>
      <c r="B5758" s="6">
        <v>412.5</v>
      </c>
      <c r="C5758" s="6">
        <v>20.478950000000001</v>
      </c>
      <c r="D5758" s="6">
        <v>84</v>
      </c>
      <c r="E5758" s="6">
        <v>0</v>
      </c>
      <c r="F5758" s="6">
        <v>0</v>
      </c>
      <c r="G5758" s="6">
        <v>6</v>
      </c>
      <c r="H5758" s="6" t="s">
        <v>37154</v>
      </c>
      <c r="I5758" s="6">
        <v>532.3125</v>
      </c>
      <c r="J5758" s="2">
        <f t="shared" si="89"/>
        <v>43748.885563888885</v>
      </c>
    </row>
    <row r="5759" spans="1:10" x14ac:dyDescent="0.25">
      <c r="A5759" s="7" t="s">
        <v>37155</v>
      </c>
      <c r="B5759" s="8">
        <v>393.75</v>
      </c>
      <c r="C5759" s="8">
        <v>20.478950000000001</v>
      </c>
      <c r="D5759" s="8">
        <v>84</v>
      </c>
      <c r="E5759" s="8">
        <v>0</v>
      </c>
      <c r="F5759" s="8">
        <v>0</v>
      </c>
      <c r="G5759" s="8">
        <v>9</v>
      </c>
      <c r="H5759" s="8" t="s">
        <v>37156</v>
      </c>
      <c r="I5759" s="8">
        <v>526.6875</v>
      </c>
      <c r="J5759" s="3">
        <f t="shared" si="89"/>
        <v>43748.885644814807</v>
      </c>
    </row>
    <row r="5760" spans="1:10" x14ac:dyDescent="0.25">
      <c r="A5760" s="5" t="s">
        <v>37157</v>
      </c>
      <c r="B5760" s="6">
        <v>393.75</v>
      </c>
      <c r="C5760" s="6">
        <v>20.478950000000001</v>
      </c>
      <c r="D5760" s="6">
        <v>85</v>
      </c>
      <c r="E5760" s="6">
        <v>0</v>
      </c>
      <c r="F5760" s="6">
        <v>0</v>
      </c>
      <c r="G5760" s="6">
        <v>1</v>
      </c>
      <c r="H5760" s="6" t="s">
        <v>37158</v>
      </c>
      <c r="I5760" s="6">
        <v>526.5</v>
      </c>
      <c r="J5760" s="2">
        <f t="shared" si="89"/>
        <v>43748.885716111108</v>
      </c>
    </row>
    <row r="5761" spans="1:10" x14ac:dyDescent="0.25">
      <c r="A5761" s="7" t="s">
        <v>37159</v>
      </c>
      <c r="B5761" s="8">
        <v>393.75</v>
      </c>
      <c r="C5761" s="8">
        <v>20.478950000000001</v>
      </c>
      <c r="D5761" s="8">
        <v>84</v>
      </c>
      <c r="E5761" s="8">
        <v>0</v>
      </c>
      <c r="F5761" s="8">
        <v>0</v>
      </c>
      <c r="G5761" s="8">
        <v>9</v>
      </c>
      <c r="H5761" s="8" t="s">
        <v>37160</v>
      </c>
      <c r="I5761" s="8">
        <v>526.6875</v>
      </c>
      <c r="J5761" s="3">
        <f t="shared" si="89"/>
        <v>43748.885788344902</v>
      </c>
    </row>
    <row r="5762" spans="1:10" x14ac:dyDescent="0.25">
      <c r="A5762" s="5" t="s">
        <v>37161</v>
      </c>
      <c r="B5762" s="6">
        <v>393.75</v>
      </c>
      <c r="C5762" s="6">
        <v>20.478950000000001</v>
      </c>
      <c r="D5762" s="6">
        <v>83</v>
      </c>
      <c r="E5762" s="6">
        <v>0</v>
      </c>
      <c r="F5762" s="6">
        <v>0</v>
      </c>
      <c r="G5762" s="6">
        <v>15</v>
      </c>
      <c r="H5762" s="6" t="s">
        <v>37162</v>
      </c>
      <c r="I5762" s="6">
        <v>526.6875</v>
      </c>
      <c r="J5762" s="2">
        <f t="shared" ref="J5762:J5825" si="90">(H5762/86400000)+25569+(7/24)</f>
        <v>43748.885871678234</v>
      </c>
    </row>
    <row r="5763" spans="1:10" x14ac:dyDescent="0.25">
      <c r="A5763" s="7" t="s">
        <v>37163</v>
      </c>
      <c r="B5763" s="8">
        <v>393.75</v>
      </c>
      <c r="C5763" s="8">
        <v>20.478950000000001</v>
      </c>
      <c r="D5763" s="8">
        <v>83</v>
      </c>
      <c r="E5763" s="8">
        <v>0</v>
      </c>
      <c r="F5763" s="8">
        <v>0</v>
      </c>
      <c r="G5763" s="8">
        <v>11</v>
      </c>
      <c r="H5763" s="8" t="s">
        <v>37164</v>
      </c>
      <c r="I5763" s="8">
        <v>526.6875</v>
      </c>
      <c r="J5763" s="3">
        <f t="shared" si="90"/>
        <v>43748.885942962959</v>
      </c>
    </row>
    <row r="5764" spans="1:10" x14ac:dyDescent="0.25">
      <c r="A5764" s="5" t="s">
        <v>37165</v>
      </c>
      <c r="B5764" s="6">
        <v>393.75</v>
      </c>
      <c r="C5764" s="6">
        <v>20.478950000000001</v>
      </c>
      <c r="D5764" s="6">
        <v>83</v>
      </c>
      <c r="E5764" s="6">
        <v>0</v>
      </c>
      <c r="F5764" s="6">
        <v>0</v>
      </c>
      <c r="G5764" s="6">
        <v>11</v>
      </c>
      <c r="H5764" s="6" t="s">
        <v>37166</v>
      </c>
      <c r="I5764" s="6">
        <v>526.6875</v>
      </c>
      <c r="J5764" s="2">
        <f t="shared" si="90"/>
        <v>43748.886014270836</v>
      </c>
    </row>
    <row r="5765" spans="1:10" x14ac:dyDescent="0.25">
      <c r="A5765" s="7" t="s">
        <v>37167</v>
      </c>
      <c r="B5765" s="8">
        <v>412.5</v>
      </c>
      <c r="C5765" s="8">
        <v>20.478950000000001</v>
      </c>
      <c r="D5765" s="8">
        <v>82</v>
      </c>
      <c r="E5765" s="8">
        <v>0</v>
      </c>
      <c r="F5765" s="8">
        <v>0</v>
      </c>
      <c r="G5765" s="8">
        <v>9</v>
      </c>
      <c r="H5765" s="8" t="s">
        <v>37168</v>
      </c>
      <c r="I5765" s="8">
        <v>532.3125</v>
      </c>
      <c r="J5765" s="3">
        <f t="shared" si="90"/>
        <v>43748.88608585648</v>
      </c>
    </row>
    <row r="5766" spans="1:10" x14ac:dyDescent="0.25">
      <c r="A5766" s="5" t="s">
        <v>37169</v>
      </c>
      <c r="B5766" s="6">
        <v>393.75</v>
      </c>
      <c r="C5766" s="6">
        <v>20.478950000000001</v>
      </c>
      <c r="D5766" s="6">
        <v>82</v>
      </c>
      <c r="E5766" s="6">
        <v>0</v>
      </c>
      <c r="F5766" s="6">
        <v>0</v>
      </c>
      <c r="G5766" s="6">
        <v>10</v>
      </c>
      <c r="H5766" s="6" t="s">
        <v>37170</v>
      </c>
      <c r="I5766" s="6">
        <v>526.6875</v>
      </c>
      <c r="J5766" s="2">
        <f t="shared" si="90"/>
        <v>43748.886157766203</v>
      </c>
    </row>
    <row r="5767" spans="1:10" x14ac:dyDescent="0.25">
      <c r="A5767" s="7" t="s">
        <v>37171</v>
      </c>
      <c r="B5767" s="8">
        <v>393.75</v>
      </c>
      <c r="C5767" s="8">
        <v>20.478950000000001</v>
      </c>
      <c r="D5767" s="8">
        <v>80</v>
      </c>
      <c r="E5767" s="8">
        <v>0</v>
      </c>
      <c r="F5767" s="8">
        <v>0</v>
      </c>
      <c r="G5767" s="8">
        <v>10</v>
      </c>
      <c r="H5767" s="8" t="s">
        <v>37172</v>
      </c>
      <c r="I5767" s="8">
        <v>526.6875</v>
      </c>
      <c r="J5767" s="3">
        <f t="shared" si="90"/>
        <v>43748.886229282405</v>
      </c>
    </row>
    <row r="5768" spans="1:10" x14ac:dyDescent="0.25">
      <c r="A5768" s="5" t="s">
        <v>37173</v>
      </c>
      <c r="B5768" s="6">
        <v>393.75</v>
      </c>
      <c r="C5768" s="6">
        <v>20.478950000000001</v>
      </c>
      <c r="D5768" s="6">
        <v>80</v>
      </c>
      <c r="E5768" s="6">
        <v>0</v>
      </c>
      <c r="F5768" s="6">
        <v>0</v>
      </c>
      <c r="G5768" s="6">
        <v>4</v>
      </c>
      <c r="H5768" s="6" t="s">
        <v>37174</v>
      </c>
      <c r="I5768" s="6">
        <v>526.5</v>
      </c>
      <c r="J5768" s="2">
        <f t="shared" si="90"/>
        <v>43748.886301180552</v>
      </c>
    </row>
    <row r="5769" spans="1:10" x14ac:dyDescent="0.25">
      <c r="A5769" s="7" t="s">
        <v>37175</v>
      </c>
      <c r="B5769" s="8">
        <v>393.75</v>
      </c>
      <c r="C5769" s="8">
        <v>20.478950000000001</v>
      </c>
      <c r="D5769" s="8">
        <v>76</v>
      </c>
      <c r="E5769" s="8">
        <v>0</v>
      </c>
      <c r="F5769" s="8">
        <v>0</v>
      </c>
      <c r="G5769" s="8">
        <v>17</v>
      </c>
      <c r="H5769" s="8" t="s">
        <v>37176</v>
      </c>
      <c r="I5769" s="8">
        <v>526.6875</v>
      </c>
      <c r="J5769" s="3">
        <f t="shared" si="90"/>
        <v>43748.886372627312</v>
      </c>
    </row>
    <row r="5770" spans="1:10" x14ac:dyDescent="0.25">
      <c r="A5770" s="5" t="s">
        <v>37177</v>
      </c>
      <c r="B5770" s="6">
        <v>393.75</v>
      </c>
      <c r="C5770" s="6">
        <v>20.478950000000001</v>
      </c>
      <c r="D5770" s="6">
        <v>78</v>
      </c>
      <c r="E5770" s="6">
        <v>0</v>
      </c>
      <c r="F5770" s="6">
        <v>0</v>
      </c>
      <c r="G5770" s="6">
        <v>1</v>
      </c>
      <c r="H5770" s="6" t="s">
        <v>37178</v>
      </c>
      <c r="I5770" s="6">
        <v>526.6875</v>
      </c>
      <c r="J5770" s="2">
        <f t="shared" si="90"/>
        <v>43748.886443900461</v>
      </c>
    </row>
    <row r="5771" spans="1:10" x14ac:dyDescent="0.25">
      <c r="A5771" s="7" t="s">
        <v>37179</v>
      </c>
      <c r="B5771" s="8">
        <v>393.75</v>
      </c>
      <c r="C5771" s="8">
        <v>20.478950000000001</v>
      </c>
      <c r="D5771" s="8">
        <v>78</v>
      </c>
      <c r="E5771" s="8">
        <v>0</v>
      </c>
      <c r="F5771" s="8">
        <v>0</v>
      </c>
      <c r="G5771" s="8">
        <v>8</v>
      </c>
      <c r="H5771" s="8" t="s">
        <v>37180</v>
      </c>
      <c r="I5771" s="8">
        <v>526.6875</v>
      </c>
      <c r="J5771" s="3">
        <f t="shared" si="90"/>
        <v>43748.886515196755</v>
      </c>
    </row>
    <row r="5772" spans="1:10" x14ac:dyDescent="0.25">
      <c r="A5772" s="5" t="s">
        <v>37181</v>
      </c>
      <c r="B5772" s="6">
        <v>393.75</v>
      </c>
      <c r="C5772" s="6">
        <v>20.478950000000001</v>
      </c>
      <c r="D5772" s="6">
        <v>79</v>
      </c>
      <c r="E5772" s="6">
        <v>0</v>
      </c>
      <c r="F5772" s="6">
        <v>0</v>
      </c>
      <c r="G5772" s="6">
        <v>13</v>
      </c>
      <c r="H5772" s="6" t="s">
        <v>37182</v>
      </c>
      <c r="I5772" s="6">
        <v>526.5</v>
      </c>
      <c r="J5772" s="2">
        <f t="shared" si="90"/>
        <v>43748.886587407404</v>
      </c>
    </row>
    <row r="5773" spans="1:10" x14ac:dyDescent="0.25">
      <c r="A5773" s="7" t="s">
        <v>37183</v>
      </c>
      <c r="B5773" s="8">
        <v>393.75</v>
      </c>
      <c r="C5773" s="8">
        <v>20.478950000000001</v>
      </c>
      <c r="D5773" s="8">
        <v>79</v>
      </c>
      <c r="E5773" s="8">
        <v>0</v>
      </c>
      <c r="F5773" s="8">
        <v>0</v>
      </c>
      <c r="G5773" s="8">
        <v>9</v>
      </c>
      <c r="H5773" s="8" t="s">
        <v>37184</v>
      </c>
      <c r="I5773" s="8">
        <v>526.6875</v>
      </c>
      <c r="J5773" s="3">
        <f t="shared" si="90"/>
        <v>43748.886658703697</v>
      </c>
    </row>
    <row r="5774" spans="1:10" x14ac:dyDescent="0.25">
      <c r="A5774" s="5" t="s">
        <v>37185</v>
      </c>
      <c r="B5774" s="6">
        <v>393.75</v>
      </c>
      <c r="C5774" s="6">
        <v>20.478950000000001</v>
      </c>
      <c r="D5774" s="6">
        <v>79</v>
      </c>
      <c r="E5774" s="6">
        <v>0</v>
      </c>
      <c r="F5774" s="6">
        <v>0</v>
      </c>
      <c r="G5774" s="6">
        <v>6</v>
      </c>
      <c r="H5774" s="6" t="s">
        <v>37186</v>
      </c>
      <c r="I5774" s="6">
        <v>526.6875</v>
      </c>
      <c r="J5774" s="2">
        <f t="shared" si="90"/>
        <v>43748.886730057864</v>
      </c>
    </row>
    <row r="5775" spans="1:10" x14ac:dyDescent="0.25">
      <c r="A5775" s="7" t="s">
        <v>37187</v>
      </c>
      <c r="B5775" s="8">
        <v>393.75</v>
      </c>
      <c r="C5775" s="8">
        <v>20.478950000000001</v>
      </c>
      <c r="D5775" s="8">
        <v>80</v>
      </c>
      <c r="E5775" s="8">
        <v>0</v>
      </c>
      <c r="F5775" s="8">
        <v>0</v>
      </c>
      <c r="G5775" s="8">
        <v>9</v>
      </c>
      <c r="H5775" s="8" t="s">
        <v>37188</v>
      </c>
      <c r="I5775" s="8">
        <v>526.6875</v>
      </c>
      <c r="J5775" s="3">
        <f t="shared" si="90"/>
        <v>43748.886813344907</v>
      </c>
    </row>
    <row r="5776" spans="1:10" x14ac:dyDescent="0.25">
      <c r="A5776" s="5" t="s">
        <v>37189</v>
      </c>
      <c r="B5776" s="6">
        <v>393.75</v>
      </c>
      <c r="C5776" s="6">
        <v>20.478950000000001</v>
      </c>
      <c r="D5776" s="6">
        <v>80</v>
      </c>
      <c r="E5776" s="6">
        <v>0</v>
      </c>
      <c r="F5776" s="6">
        <v>0</v>
      </c>
      <c r="G5776" s="6">
        <v>0</v>
      </c>
      <c r="H5776" s="6" t="s">
        <v>37190</v>
      </c>
      <c r="I5776" s="6">
        <v>526.6875</v>
      </c>
      <c r="J5776" s="2">
        <f t="shared" si="90"/>
        <v>43748.886888564812</v>
      </c>
    </row>
    <row r="5777" spans="1:10" x14ac:dyDescent="0.25">
      <c r="A5777" s="7" t="s">
        <v>37191</v>
      </c>
      <c r="B5777" s="8">
        <v>412.5</v>
      </c>
      <c r="C5777" s="8">
        <v>20.478950000000001</v>
      </c>
      <c r="D5777" s="8">
        <v>79</v>
      </c>
      <c r="E5777" s="8">
        <v>0</v>
      </c>
      <c r="F5777" s="8">
        <v>0</v>
      </c>
      <c r="G5777" s="8">
        <v>7</v>
      </c>
      <c r="H5777" s="8" t="s">
        <v>37192</v>
      </c>
      <c r="I5777" s="8">
        <v>532.125</v>
      </c>
      <c r="J5777" s="3">
        <f t="shared" si="90"/>
        <v>43748.886968819446</v>
      </c>
    </row>
    <row r="5778" spans="1:10" x14ac:dyDescent="0.25">
      <c r="A5778" s="5" t="s">
        <v>37193</v>
      </c>
      <c r="B5778" s="6">
        <v>393.75</v>
      </c>
      <c r="C5778" s="6">
        <v>20.478950000000001</v>
      </c>
      <c r="D5778" s="6">
        <v>78</v>
      </c>
      <c r="E5778" s="6">
        <v>0</v>
      </c>
      <c r="F5778" s="6">
        <v>0</v>
      </c>
      <c r="G5778" s="6">
        <v>7</v>
      </c>
      <c r="H5778" s="6" t="s">
        <v>37194</v>
      </c>
      <c r="I5778" s="6">
        <v>526.6875</v>
      </c>
      <c r="J5778" s="2">
        <f t="shared" si="90"/>
        <v>43748.887040185182</v>
      </c>
    </row>
    <row r="5779" spans="1:10" x14ac:dyDescent="0.25">
      <c r="A5779" s="7" t="s">
        <v>37195</v>
      </c>
      <c r="B5779" s="8">
        <v>393.75</v>
      </c>
      <c r="C5779" s="8">
        <v>20.478950000000001</v>
      </c>
      <c r="D5779" s="8">
        <v>78</v>
      </c>
      <c r="E5779" s="8">
        <v>0</v>
      </c>
      <c r="F5779" s="8">
        <v>0</v>
      </c>
      <c r="G5779" s="8">
        <v>0</v>
      </c>
      <c r="H5779" s="8" t="s">
        <v>37196</v>
      </c>
      <c r="I5779" s="8">
        <v>526.6875</v>
      </c>
      <c r="J5779" s="3">
        <f t="shared" si="90"/>
        <v>43748.887111469907</v>
      </c>
    </row>
    <row r="5780" spans="1:10" x14ac:dyDescent="0.25">
      <c r="A5780" s="5" t="s">
        <v>37197</v>
      </c>
      <c r="B5780" s="6">
        <v>393.75</v>
      </c>
      <c r="C5780" s="6">
        <v>20.478950000000001</v>
      </c>
      <c r="D5780" s="6">
        <v>78</v>
      </c>
      <c r="E5780" s="6">
        <v>0</v>
      </c>
      <c r="F5780" s="6">
        <v>0</v>
      </c>
      <c r="G5780" s="6">
        <v>16</v>
      </c>
      <c r="H5780" s="6" t="s">
        <v>37198</v>
      </c>
      <c r="I5780" s="6">
        <v>526.5</v>
      </c>
      <c r="J5780" s="2">
        <f t="shared" si="90"/>
        <v>43748.887182962957</v>
      </c>
    </row>
    <row r="5781" spans="1:10" x14ac:dyDescent="0.25">
      <c r="A5781" s="7" t="s">
        <v>37199</v>
      </c>
      <c r="B5781" s="8">
        <v>393.75</v>
      </c>
      <c r="C5781" s="8">
        <v>20.478950000000001</v>
      </c>
      <c r="D5781" s="8">
        <v>78</v>
      </c>
      <c r="E5781" s="8">
        <v>0</v>
      </c>
      <c r="F5781" s="8">
        <v>0</v>
      </c>
      <c r="G5781" s="8">
        <v>14</v>
      </c>
      <c r="H5781" s="8" t="s">
        <v>37200</v>
      </c>
      <c r="I5781" s="8">
        <v>526.6875</v>
      </c>
      <c r="J5781" s="3">
        <f t="shared" si="90"/>
        <v>43748.887254942128</v>
      </c>
    </row>
    <row r="5782" spans="1:10" x14ac:dyDescent="0.25">
      <c r="A5782" s="5" t="s">
        <v>37201</v>
      </c>
      <c r="B5782" s="6">
        <v>393.75</v>
      </c>
      <c r="C5782" s="6">
        <v>20.478950000000001</v>
      </c>
      <c r="D5782" s="6">
        <v>78</v>
      </c>
      <c r="E5782" s="6">
        <v>0</v>
      </c>
      <c r="F5782" s="6">
        <v>0</v>
      </c>
      <c r="G5782" s="6">
        <v>9</v>
      </c>
      <c r="H5782" s="6" t="s">
        <v>37202</v>
      </c>
      <c r="I5782" s="6">
        <v>526.6875</v>
      </c>
      <c r="J5782" s="2">
        <f t="shared" si="90"/>
        <v>43748.887338761568</v>
      </c>
    </row>
    <row r="5783" spans="1:10" x14ac:dyDescent="0.25">
      <c r="A5783" s="7" t="s">
        <v>37203</v>
      </c>
      <c r="B5783" s="8">
        <v>393.75</v>
      </c>
      <c r="C5783" s="8">
        <v>20.478950000000001</v>
      </c>
      <c r="D5783" s="8">
        <v>78</v>
      </c>
      <c r="E5783" s="8">
        <v>0</v>
      </c>
      <c r="F5783" s="8">
        <v>0</v>
      </c>
      <c r="G5783" s="8">
        <v>8</v>
      </c>
      <c r="H5783" s="8" t="s">
        <v>37204</v>
      </c>
      <c r="I5783" s="8">
        <v>526.6875</v>
      </c>
      <c r="J5783" s="3">
        <f t="shared" si="90"/>
        <v>43748.887410381947</v>
      </c>
    </row>
    <row r="5784" spans="1:10" x14ac:dyDescent="0.25">
      <c r="A5784" s="5" t="s">
        <v>37205</v>
      </c>
      <c r="B5784" s="6">
        <v>412.5</v>
      </c>
      <c r="C5784" s="6">
        <v>20.478950000000001</v>
      </c>
      <c r="D5784" s="6">
        <v>78</v>
      </c>
      <c r="E5784" s="6">
        <v>0</v>
      </c>
      <c r="F5784" s="6">
        <v>0</v>
      </c>
      <c r="G5784" s="6">
        <v>9</v>
      </c>
      <c r="H5784" s="6" t="s">
        <v>37206</v>
      </c>
      <c r="I5784" s="6">
        <v>532.3125</v>
      </c>
      <c r="J5784" s="2">
        <f t="shared" si="90"/>
        <v>43748.887480995363</v>
      </c>
    </row>
    <row r="5785" spans="1:10" x14ac:dyDescent="0.25">
      <c r="A5785" s="7" t="s">
        <v>37207</v>
      </c>
      <c r="B5785" s="8">
        <v>393.75</v>
      </c>
      <c r="C5785" s="8">
        <v>20.478950000000001</v>
      </c>
      <c r="D5785" s="8">
        <v>78</v>
      </c>
      <c r="E5785" s="8">
        <v>0</v>
      </c>
      <c r="F5785" s="8">
        <v>0</v>
      </c>
      <c r="G5785" s="8">
        <v>9</v>
      </c>
      <c r="H5785" s="8" t="s">
        <v>37208</v>
      </c>
      <c r="I5785" s="8">
        <v>526.6875</v>
      </c>
      <c r="J5785" s="3">
        <f t="shared" si="90"/>
        <v>43748.887565011573</v>
      </c>
    </row>
    <row r="5786" spans="1:10" x14ac:dyDescent="0.25">
      <c r="A5786" s="5" t="s">
        <v>37209</v>
      </c>
      <c r="B5786" s="6">
        <v>393.75</v>
      </c>
      <c r="C5786" s="6">
        <v>20.478950000000001</v>
      </c>
      <c r="D5786" s="6">
        <v>79</v>
      </c>
      <c r="E5786" s="6">
        <v>0</v>
      </c>
      <c r="F5786" s="6">
        <v>0</v>
      </c>
      <c r="G5786" s="6">
        <v>0</v>
      </c>
      <c r="H5786" s="6" t="s">
        <v>37210</v>
      </c>
      <c r="I5786" s="6">
        <v>526.6875</v>
      </c>
      <c r="J5786" s="2">
        <f t="shared" si="90"/>
        <v>43748.887636469903</v>
      </c>
    </row>
    <row r="5787" spans="1:10" x14ac:dyDescent="0.25">
      <c r="A5787" s="7" t="s">
        <v>37211</v>
      </c>
      <c r="B5787" s="8">
        <v>393.75</v>
      </c>
      <c r="C5787" s="8">
        <v>20.426300000000001</v>
      </c>
      <c r="D5787" s="8">
        <v>79</v>
      </c>
      <c r="E5787" s="8">
        <v>0</v>
      </c>
      <c r="F5787" s="8">
        <v>0</v>
      </c>
      <c r="G5787" s="8">
        <v>3</v>
      </c>
      <c r="H5787" s="8" t="s">
        <v>37212</v>
      </c>
      <c r="I5787" s="8">
        <v>526.6875</v>
      </c>
      <c r="J5787" s="3">
        <f t="shared" si="90"/>
        <v>43748.887707835645</v>
      </c>
    </row>
    <row r="5788" spans="1:10" x14ac:dyDescent="0.25">
      <c r="A5788" s="5" t="s">
        <v>37213</v>
      </c>
      <c r="B5788" s="6">
        <v>396.875</v>
      </c>
      <c r="C5788" s="6">
        <v>20.478950000000001</v>
      </c>
      <c r="D5788" s="6">
        <v>79</v>
      </c>
      <c r="E5788" s="6">
        <v>0</v>
      </c>
      <c r="F5788" s="6">
        <v>0</v>
      </c>
      <c r="G5788" s="6">
        <v>14</v>
      </c>
      <c r="H5788" s="6" t="s">
        <v>37214</v>
      </c>
      <c r="I5788" s="6">
        <v>527.4375</v>
      </c>
      <c r="J5788" s="2">
        <f t="shared" si="90"/>
        <v>43748.887791979163</v>
      </c>
    </row>
    <row r="5789" spans="1:10" x14ac:dyDescent="0.25">
      <c r="A5789" s="7" t="s">
        <v>37215</v>
      </c>
      <c r="B5789" s="8">
        <v>396.875</v>
      </c>
      <c r="C5789" s="8">
        <v>20.478950000000001</v>
      </c>
      <c r="D5789" s="8">
        <v>79</v>
      </c>
      <c r="E5789" s="8">
        <v>0</v>
      </c>
      <c r="F5789" s="8">
        <v>0</v>
      </c>
      <c r="G5789" s="8">
        <v>7</v>
      </c>
      <c r="H5789" s="8" t="s">
        <v>37216</v>
      </c>
      <c r="I5789" s="8">
        <v>527.4375</v>
      </c>
      <c r="J5789" s="3">
        <f t="shared" si="90"/>
        <v>43748.887875300927</v>
      </c>
    </row>
    <row r="5790" spans="1:10" x14ac:dyDescent="0.25">
      <c r="A5790" s="5" t="s">
        <v>37217</v>
      </c>
      <c r="B5790" s="6">
        <v>415.625</v>
      </c>
      <c r="C5790" s="6">
        <v>20.478950000000001</v>
      </c>
      <c r="D5790" s="6">
        <v>79</v>
      </c>
      <c r="E5790" s="6">
        <v>0</v>
      </c>
      <c r="F5790" s="6">
        <v>0</v>
      </c>
      <c r="G5790" s="6">
        <v>5</v>
      </c>
      <c r="H5790" s="6" t="s">
        <v>37218</v>
      </c>
      <c r="I5790" s="6">
        <v>533.4375</v>
      </c>
      <c r="J5790" s="2">
        <f t="shared" si="90"/>
        <v>43748.887946643517</v>
      </c>
    </row>
    <row r="5791" spans="1:10" x14ac:dyDescent="0.25">
      <c r="A5791" s="7" t="s">
        <v>37219</v>
      </c>
      <c r="B5791" s="8">
        <v>400</v>
      </c>
      <c r="C5791" s="8">
        <v>20.478950000000001</v>
      </c>
      <c r="D5791" s="8">
        <v>80</v>
      </c>
      <c r="E5791" s="8">
        <v>0</v>
      </c>
      <c r="F5791" s="8">
        <v>0</v>
      </c>
      <c r="G5791" s="8">
        <v>4</v>
      </c>
      <c r="H5791" s="8" t="s">
        <v>37220</v>
      </c>
      <c r="I5791" s="8">
        <v>528.1875</v>
      </c>
      <c r="J5791" s="3">
        <f t="shared" si="90"/>
        <v>43748.888017962956</v>
      </c>
    </row>
    <row r="5792" spans="1:10" x14ac:dyDescent="0.25">
      <c r="A5792" s="5" t="s">
        <v>37221</v>
      </c>
      <c r="B5792" s="6">
        <v>400</v>
      </c>
      <c r="C5792" s="6">
        <v>20.478950000000001</v>
      </c>
      <c r="D5792" s="6">
        <v>79</v>
      </c>
      <c r="E5792" s="6">
        <v>0</v>
      </c>
      <c r="F5792" s="6">
        <v>0</v>
      </c>
      <c r="G5792" s="6">
        <v>12</v>
      </c>
      <c r="H5792" s="6" t="s">
        <v>37222</v>
      </c>
      <c r="I5792" s="6">
        <v>528.1875</v>
      </c>
      <c r="J5792" s="2">
        <f t="shared" si="90"/>
        <v>43748.888090115739</v>
      </c>
    </row>
    <row r="5793" spans="1:10" x14ac:dyDescent="0.25">
      <c r="A5793" s="7" t="s">
        <v>37223</v>
      </c>
      <c r="B5793" s="8">
        <v>403.125</v>
      </c>
      <c r="C5793" s="8">
        <v>20.478950000000001</v>
      </c>
      <c r="D5793" s="8">
        <v>79</v>
      </c>
      <c r="E5793" s="8">
        <v>0</v>
      </c>
      <c r="F5793" s="8">
        <v>0</v>
      </c>
      <c r="G5793" s="8">
        <v>6</v>
      </c>
      <c r="H5793" s="8" t="s">
        <v>37224</v>
      </c>
      <c r="I5793" s="8">
        <v>529.125</v>
      </c>
      <c r="J5793" s="3">
        <f t="shared" si="90"/>
        <v>43748.888161481482</v>
      </c>
    </row>
    <row r="5794" spans="1:10" x14ac:dyDescent="0.25">
      <c r="A5794" s="5" t="s">
        <v>37225</v>
      </c>
      <c r="B5794" s="6">
        <v>403.125</v>
      </c>
      <c r="C5794" s="6">
        <v>20.478950000000001</v>
      </c>
      <c r="D5794" s="6">
        <v>79</v>
      </c>
      <c r="E5794" s="6">
        <v>0</v>
      </c>
      <c r="F5794" s="6">
        <v>0</v>
      </c>
      <c r="G5794" s="6">
        <v>2</v>
      </c>
      <c r="H5794" s="6" t="s">
        <v>37226</v>
      </c>
      <c r="I5794" s="6">
        <v>529.125</v>
      </c>
      <c r="J5794" s="2">
        <f t="shared" si="90"/>
        <v>43748.888232789344</v>
      </c>
    </row>
    <row r="5795" spans="1:10" x14ac:dyDescent="0.25">
      <c r="A5795" s="7" t="s">
        <v>37227</v>
      </c>
      <c r="B5795" s="8">
        <v>400</v>
      </c>
      <c r="C5795" s="8">
        <v>20.478950000000001</v>
      </c>
      <c r="D5795" s="8">
        <v>79</v>
      </c>
      <c r="E5795" s="8">
        <v>0</v>
      </c>
      <c r="F5795" s="8">
        <v>0</v>
      </c>
      <c r="G5795" s="8">
        <v>6</v>
      </c>
      <c r="H5795" s="8" t="s">
        <v>37228</v>
      </c>
      <c r="I5795" s="8">
        <v>528.375</v>
      </c>
      <c r="J5795" s="3">
        <f t="shared" si="90"/>
        <v>43748.888304120366</v>
      </c>
    </row>
    <row r="5796" spans="1:10" x14ac:dyDescent="0.25">
      <c r="A5796" s="5" t="s">
        <v>37229</v>
      </c>
      <c r="B5796" s="6">
        <v>400</v>
      </c>
      <c r="C5796" s="6">
        <v>20.478950000000001</v>
      </c>
      <c r="D5796" s="6">
        <v>78</v>
      </c>
      <c r="E5796" s="6">
        <v>0</v>
      </c>
      <c r="F5796" s="6">
        <v>0</v>
      </c>
      <c r="G5796" s="6">
        <v>6</v>
      </c>
      <c r="H5796" s="6" t="s">
        <v>37230</v>
      </c>
      <c r="I5796" s="6">
        <v>528.1875</v>
      </c>
      <c r="J5796" s="2">
        <f t="shared" si="90"/>
        <v>43748.888376273149</v>
      </c>
    </row>
    <row r="5797" spans="1:10" x14ac:dyDescent="0.25">
      <c r="A5797" s="7" t="s">
        <v>37231</v>
      </c>
      <c r="B5797" s="8">
        <v>400</v>
      </c>
      <c r="C5797" s="8">
        <v>20.478950000000001</v>
      </c>
      <c r="D5797" s="8">
        <v>78</v>
      </c>
      <c r="E5797" s="8">
        <v>0</v>
      </c>
      <c r="F5797" s="8">
        <v>0</v>
      </c>
      <c r="G5797" s="8">
        <v>7</v>
      </c>
      <c r="H5797" s="8" t="s">
        <v>37232</v>
      </c>
      <c r="I5797" s="8">
        <v>528.1875</v>
      </c>
      <c r="J5797" s="3">
        <f t="shared" si="90"/>
        <v>43748.888447534722</v>
      </c>
    </row>
    <row r="5798" spans="1:10" x14ac:dyDescent="0.25">
      <c r="A5798" s="5" t="s">
        <v>37233</v>
      </c>
      <c r="B5798" s="6">
        <v>400</v>
      </c>
      <c r="C5798" s="6">
        <v>20.478950000000001</v>
      </c>
      <c r="D5798" s="6">
        <v>78</v>
      </c>
      <c r="E5798" s="6">
        <v>0</v>
      </c>
      <c r="F5798" s="6">
        <v>0</v>
      </c>
      <c r="G5798" s="6">
        <v>9</v>
      </c>
      <c r="H5798" s="6" t="s">
        <v>37234</v>
      </c>
      <c r="I5798" s="6">
        <v>528.375</v>
      </c>
      <c r="J5798" s="2">
        <f t="shared" si="90"/>
        <v>43748.888518877313</v>
      </c>
    </row>
    <row r="5799" spans="1:10" x14ac:dyDescent="0.25">
      <c r="A5799" s="7" t="s">
        <v>37235</v>
      </c>
      <c r="B5799" s="8">
        <v>400</v>
      </c>
      <c r="C5799" s="8">
        <v>20.478950000000001</v>
      </c>
      <c r="D5799" s="8">
        <v>78</v>
      </c>
      <c r="E5799" s="8">
        <v>0</v>
      </c>
      <c r="F5799" s="8">
        <v>0</v>
      </c>
      <c r="G5799" s="8">
        <v>3</v>
      </c>
      <c r="H5799" s="8" t="s">
        <v>37236</v>
      </c>
      <c r="I5799" s="8">
        <v>528.1875</v>
      </c>
      <c r="J5799" s="3">
        <f t="shared" si="90"/>
        <v>43748.888591157403</v>
      </c>
    </row>
    <row r="5800" spans="1:10" x14ac:dyDescent="0.25">
      <c r="A5800" s="5" t="s">
        <v>37237</v>
      </c>
      <c r="B5800" s="6">
        <v>396.875</v>
      </c>
      <c r="C5800" s="6">
        <v>20.478950000000001</v>
      </c>
      <c r="D5800" s="6">
        <v>80</v>
      </c>
      <c r="E5800" s="6">
        <v>0</v>
      </c>
      <c r="F5800" s="6">
        <v>0</v>
      </c>
      <c r="G5800" s="6">
        <v>8</v>
      </c>
      <c r="H5800" s="6" t="s">
        <v>37238</v>
      </c>
      <c r="I5800" s="6">
        <v>527.4375</v>
      </c>
      <c r="J5800" s="2">
        <f t="shared" si="90"/>
        <v>43748.888661909725</v>
      </c>
    </row>
    <row r="5801" spans="1:10" x14ac:dyDescent="0.25">
      <c r="A5801" s="7" t="s">
        <v>37239</v>
      </c>
      <c r="B5801" s="8">
        <v>396.875</v>
      </c>
      <c r="C5801" s="8">
        <v>20.478950000000001</v>
      </c>
      <c r="D5801" s="8">
        <v>81</v>
      </c>
      <c r="E5801" s="8">
        <v>0</v>
      </c>
      <c r="F5801" s="8">
        <v>0</v>
      </c>
      <c r="G5801" s="8">
        <v>14</v>
      </c>
      <c r="H5801" s="8" t="s">
        <v>37240</v>
      </c>
      <c r="I5801" s="8">
        <v>527.4375</v>
      </c>
      <c r="J5801" s="3">
        <f t="shared" si="90"/>
        <v>43748.88873377315</v>
      </c>
    </row>
    <row r="5802" spans="1:10" x14ac:dyDescent="0.25">
      <c r="A5802" s="5" t="s">
        <v>37241</v>
      </c>
      <c r="B5802" s="6">
        <v>396.875</v>
      </c>
      <c r="C5802" s="6">
        <v>20.478950000000001</v>
      </c>
      <c r="D5802" s="6">
        <v>81</v>
      </c>
      <c r="E5802" s="6">
        <v>0</v>
      </c>
      <c r="F5802" s="6">
        <v>0</v>
      </c>
      <c r="G5802" s="6">
        <v>5</v>
      </c>
      <c r="H5802" s="6" t="s">
        <v>37242</v>
      </c>
      <c r="I5802" s="6">
        <v>527.4375</v>
      </c>
      <c r="J5802" s="2">
        <f t="shared" si="90"/>
        <v>43748.888804942129</v>
      </c>
    </row>
    <row r="5803" spans="1:10" x14ac:dyDescent="0.25">
      <c r="A5803" s="7" t="s">
        <v>37243</v>
      </c>
      <c r="B5803" s="8">
        <v>421.875</v>
      </c>
      <c r="C5803" s="8">
        <v>20.478950000000001</v>
      </c>
      <c r="D5803" s="8">
        <v>81</v>
      </c>
      <c r="E5803" s="8">
        <v>0</v>
      </c>
      <c r="F5803" s="8">
        <v>0</v>
      </c>
      <c r="G5803" s="8">
        <v>16</v>
      </c>
      <c r="H5803" s="8" t="s">
        <v>37244</v>
      </c>
      <c r="I5803" s="8">
        <v>535.3125</v>
      </c>
      <c r="J5803" s="3">
        <f t="shared" si="90"/>
        <v>43748.888877256941</v>
      </c>
    </row>
    <row r="5804" spans="1:10" x14ac:dyDescent="0.25">
      <c r="A5804" s="5" t="s">
        <v>37245</v>
      </c>
      <c r="B5804" s="6">
        <v>396.875</v>
      </c>
      <c r="C5804" s="6">
        <v>20.478950000000001</v>
      </c>
      <c r="D5804" s="6">
        <v>77</v>
      </c>
      <c r="E5804" s="6">
        <v>0</v>
      </c>
      <c r="F5804" s="6">
        <v>0</v>
      </c>
      <c r="G5804" s="6">
        <v>16</v>
      </c>
      <c r="H5804" s="6" t="s">
        <v>37246</v>
      </c>
      <c r="I5804" s="6">
        <v>527.4375</v>
      </c>
      <c r="J5804" s="2">
        <f t="shared" si="90"/>
        <v>43748.8889605324</v>
      </c>
    </row>
    <row r="5805" spans="1:10" x14ac:dyDescent="0.25">
      <c r="A5805" s="7" t="s">
        <v>37247</v>
      </c>
      <c r="B5805" s="8">
        <v>396.875</v>
      </c>
      <c r="C5805" s="8">
        <v>20.426300000000001</v>
      </c>
      <c r="D5805" s="8">
        <v>79</v>
      </c>
      <c r="E5805" s="8">
        <v>0</v>
      </c>
      <c r="F5805" s="8">
        <v>0</v>
      </c>
      <c r="G5805" s="8">
        <v>9</v>
      </c>
      <c r="H5805" s="8" t="s">
        <v>37248</v>
      </c>
      <c r="I5805" s="8">
        <v>527.4375</v>
      </c>
      <c r="J5805" s="3">
        <f t="shared" si="90"/>
        <v>43748.889031782404</v>
      </c>
    </row>
    <row r="5806" spans="1:10" x14ac:dyDescent="0.25">
      <c r="A5806" s="5" t="s">
        <v>37249</v>
      </c>
      <c r="B5806" s="6">
        <v>396.875</v>
      </c>
      <c r="C5806" s="6">
        <v>20.478950000000001</v>
      </c>
      <c r="D5806" s="6">
        <v>79</v>
      </c>
      <c r="E5806" s="6">
        <v>0</v>
      </c>
      <c r="F5806" s="6">
        <v>0</v>
      </c>
      <c r="G5806" s="6">
        <v>10</v>
      </c>
      <c r="H5806" s="6" t="s">
        <v>37250</v>
      </c>
      <c r="I5806" s="6">
        <v>527.4375</v>
      </c>
      <c r="J5806" s="2">
        <f t="shared" si="90"/>
        <v>43748.889103136571</v>
      </c>
    </row>
    <row r="5807" spans="1:10" x14ac:dyDescent="0.25">
      <c r="A5807" s="7" t="s">
        <v>37251</v>
      </c>
      <c r="B5807" s="8">
        <v>396.875</v>
      </c>
      <c r="C5807" s="8">
        <v>20.478950000000001</v>
      </c>
      <c r="D5807" s="8">
        <v>81</v>
      </c>
      <c r="E5807" s="8">
        <v>0</v>
      </c>
      <c r="F5807" s="8">
        <v>0</v>
      </c>
      <c r="G5807" s="8">
        <v>15</v>
      </c>
      <c r="H5807" s="8" t="s">
        <v>37252</v>
      </c>
      <c r="I5807" s="8">
        <v>527.4375</v>
      </c>
      <c r="J5807" s="3">
        <f t="shared" si="90"/>
        <v>43748.889175381941</v>
      </c>
    </row>
    <row r="5808" spans="1:10" x14ac:dyDescent="0.25">
      <c r="A5808" s="5" t="s">
        <v>37253</v>
      </c>
      <c r="B5808" s="6">
        <v>396.875</v>
      </c>
      <c r="C5808" s="6">
        <v>20.478950000000001</v>
      </c>
      <c r="D5808" s="6">
        <v>81</v>
      </c>
      <c r="E5808" s="6">
        <v>0</v>
      </c>
      <c r="F5808" s="6">
        <v>0</v>
      </c>
      <c r="G5808" s="6">
        <v>14</v>
      </c>
      <c r="H5808" s="6" t="s">
        <v>37254</v>
      </c>
      <c r="I5808" s="6">
        <v>527.4375</v>
      </c>
      <c r="J5808" s="2">
        <f t="shared" si="90"/>
        <v>43748.889246585641</v>
      </c>
    </row>
    <row r="5809" spans="1:10" x14ac:dyDescent="0.25">
      <c r="A5809" s="7" t="s">
        <v>37255</v>
      </c>
      <c r="B5809" s="8">
        <v>396.875</v>
      </c>
      <c r="C5809" s="8">
        <v>20.478950000000001</v>
      </c>
      <c r="D5809" s="8">
        <v>81</v>
      </c>
      <c r="E5809" s="8">
        <v>0</v>
      </c>
      <c r="F5809" s="8">
        <v>0</v>
      </c>
      <c r="G5809" s="8">
        <v>7</v>
      </c>
      <c r="H5809" s="8" t="s">
        <v>37256</v>
      </c>
      <c r="I5809" s="8">
        <v>527.4375</v>
      </c>
      <c r="J5809" s="3">
        <f t="shared" si="90"/>
        <v>43748.889317951391</v>
      </c>
    </row>
    <row r="5810" spans="1:10" x14ac:dyDescent="0.25">
      <c r="A5810" s="5" t="s">
        <v>37257</v>
      </c>
      <c r="B5810" s="6">
        <v>396.875</v>
      </c>
      <c r="C5810" s="6">
        <v>20.478950000000001</v>
      </c>
      <c r="D5810" s="6">
        <v>80</v>
      </c>
      <c r="E5810" s="6">
        <v>0</v>
      </c>
      <c r="F5810" s="6">
        <v>0</v>
      </c>
      <c r="G5810" s="6">
        <v>4</v>
      </c>
      <c r="H5810" s="6" t="s">
        <v>37258</v>
      </c>
      <c r="I5810" s="6">
        <v>527.4375</v>
      </c>
      <c r="J5810" s="2">
        <f t="shared" si="90"/>
        <v>43748.889389988421</v>
      </c>
    </row>
    <row r="5811" spans="1:10" x14ac:dyDescent="0.25">
      <c r="A5811" s="7" t="s">
        <v>37259</v>
      </c>
      <c r="B5811" s="8">
        <v>415.625</v>
      </c>
      <c r="C5811" s="8">
        <v>20.478950000000001</v>
      </c>
      <c r="D5811" s="8">
        <v>79</v>
      </c>
      <c r="E5811" s="8">
        <v>0</v>
      </c>
      <c r="F5811" s="8">
        <v>0</v>
      </c>
      <c r="G5811" s="8">
        <v>15</v>
      </c>
      <c r="H5811" s="8" t="s">
        <v>37260</v>
      </c>
      <c r="I5811" s="8">
        <v>533.0625</v>
      </c>
      <c r="J5811" s="3">
        <f t="shared" si="90"/>
        <v>43748.889461469902</v>
      </c>
    </row>
    <row r="5812" spans="1:10" x14ac:dyDescent="0.25">
      <c r="A5812" s="5" t="s">
        <v>37261</v>
      </c>
      <c r="B5812" s="6">
        <v>393.75</v>
      </c>
      <c r="C5812" s="6">
        <v>20.478950000000001</v>
      </c>
      <c r="D5812" s="6">
        <v>80</v>
      </c>
      <c r="E5812" s="6">
        <v>0</v>
      </c>
      <c r="F5812" s="6">
        <v>0</v>
      </c>
      <c r="G5812" s="6">
        <v>6</v>
      </c>
      <c r="H5812" s="6" t="s">
        <v>37262</v>
      </c>
      <c r="I5812" s="6">
        <v>526.6875</v>
      </c>
      <c r="J5812" s="2">
        <f t="shared" si="90"/>
        <v>43748.889532650464</v>
      </c>
    </row>
    <row r="5813" spans="1:10" x14ac:dyDescent="0.25">
      <c r="A5813" s="7" t="s">
        <v>37263</v>
      </c>
      <c r="B5813" s="8">
        <v>393.75</v>
      </c>
      <c r="C5813" s="8">
        <v>20.478950000000001</v>
      </c>
      <c r="D5813" s="8">
        <v>80</v>
      </c>
      <c r="E5813" s="8">
        <v>0</v>
      </c>
      <c r="F5813" s="8">
        <v>0</v>
      </c>
      <c r="G5813" s="8">
        <v>9</v>
      </c>
      <c r="H5813" s="8" t="s">
        <v>37264</v>
      </c>
      <c r="I5813" s="8">
        <v>526.6875</v>
      </c>
      <c r="J5813" s="3">
        <f t="shared" si="90"/>
        <v>43748.889604074073</v>
      </c>
    </row>
    <row r="5814" spans="1:10" x14ac:dyDescent="0.25">
      <c r="A5814" s="5" t="s">
        <v>37265</v>
      </c>
      <c r="B5814" s="6">
        <v>393.75</v>
      </c>
      <c r="C5814" s="6">
        <v>20.478950000000001</v>
      </c>
      <c r="D5814" s="6">
        <v>79</v>
      </c>
      <c r="E5814" s="6">
        <v>0</v>
      </c>
      <c r="F5814" s="6">
        <v>0</v>
      </c>
      <c r="G5814" s="6">
        <v>12</v>
      </c>
      <c r="H5814" s="6" t="s">
        <v>37266</v>
      </c>
      <c r="I5814" s="6">
        <v>526.6875</v>
      </c>
      <c r="J5814" s="2">
        <f t="shared" si="90"/>
        <v>43748.88967629629</v>
      </c>
    </row>
    <row r="5815" spans="1:10" x14ac:dyDescent="0.25">
      <c r="A5815" s="7" t="s">
        <v>37267</v>
      </c>
      <c r="B5815" s="8">
        <v>421.875</v>
      </c>
      <c r="C5815" s="8">
        <v>20.478950000000001</v>
      </c>
      <c r="D5815" s="8">
        <v>80</v>
      </c>
      <c r="E5815" s="8">
        <v>0</v>
      </c>
      <c r="F5815" s="8">
        <v>0</v>
      </c>
      <c r="G5815" s="8">
        <v>8</v>
      </c>
      <c r="H5815" s="8" t="s">
        <v>37268</v>
      </c>
      <c r="I5815" s="8">
        <v>535.875</v>
      </c>
      <c r="J5815" s="3">
        <f t="shared" si="90"/>
        <v>43748.889747696761</v>
      </c>
    </row>
    <row r="5816" spans="1:10" x14ac:dyDescent="0.25">
      <c r="A5816" s="5" t="s">
        <v>37269</v>
      </c>
      <c r="B5816" s="6">
        <v>393.75</v>
      </c>
      <c r="C5816" s="6">
        <v>20.478950000000001</v>
      </c>
      <c r="D5816" s="6">
        <v>78</v>
      </c>
      <c r="E5816" s="6">
        <v>0</v>
      </c>
      <c r="F5816" s="6">
        <v>0</v>
      </c>
      <c r="G5816" s="6">
        <v>3</v>
      </c>
      <c r="H5816" s="6" t="s">
        <v>37270</v>
      </c>
      <c r="I5816" s="6">
        <v>526.6875</v>
      </c>
      <c r="J5816" s="2">
        <f t="shared" si="90"/>
        <v>43748.889818877309</v>
      </c>
    </row>
    <row r="5817" spans="1:10" x14ac:dyDescent="0.25">
      <c r="A5817" s="7" t="s">
        <v>37271</v>
      </c>
      <c r="B5817" s="8">
        <v>393.75</v>
      </c>
      <c r="C5817" s="8">
        <v>20.478950000000001</v>
      </c>
      <c r="D5817" s="8">
        <v>78</v>
      </c>
      <c r="E5817" s="8">
        <v>0</v>
      </c>
      <c r="F5817" s="8">
        <v>0</v>
      </c>
      <c r="G5817" s="8">
        <v>8</v>
      </c>
      <c r="H5817" s="8" t="s">
        <v>37272</v>
      </c>
      <c r="I5817" s="8">
        <v>526.6875</v>
      </c>
      <c r="J5817" s="3">
        <f t="shared" si="90"/>
        <v>43748.889890914354</v>
      </c>
    </row>
    <row r="5818" spans="1:10" x14ac:dyDescent="0.25">
      <c r="A5818" s="5" t="s">
        <v>37273</v>
      </c>
      <c r="B5818" s="6">
        <v>393.75</v>
      </c>
      <c r="C5818" s="6">
        <v>20.478950000000001</v>
      </c>
      <c r="D5818" s="6">
        <v>78</v>
      </c>
      <c r="E5818" s="6">
        <v>0</v>
      </c>
      <c r="F5818" s="6">
        <v>0</v>
      </c>
      <c r="G5818" s="6">
        <v>17</v>
      </c>
      <c r="H5818" s="6" t="s">
        <v>37274</v>
      </c>
      <c r="I5818" s="6">
        <v>526.6875</v>
      </c>
      <c r="J5818" s="2">
        <f t="shared" si="90"/>
        <v>43748.889977361112</v>
      </c>
    </row>
    <row r="5819" spans="1:10" x14ac:dyDescent="0.25">
      <c r="A5819" s="7" t="s">
        <v>37275</v>
      </c>
      <c r="B5819" s="8">
        <v>393.75</v>
      </c>
      <c r="C5819" s="8">
        <v>20.478950000000001</v>
      </c>
      <c r="D5819" s="8">
        <v>78</v>
      </c>
      <c r="E5819" s="8">
        <v>0</v>
      </c>
      <c r="F5819" s="8">
        <v>0</v>
      </c>
      <c r="G5819" s="8">
        <v>10</v>
      </c>
      <c r="H5819" s="8" t="s">
        <v>37276</v>
      </c>
      <c r="I5819" s="8">
        <v>526.6875</v>
      </c>
      <c r="J5819" s="3">
        <f t="shared" si="90"/>
        <v>43748.890057789351</v>
      </c>
    </row>
    <row r="5820" spans="1:10" x14ac:dyDescent="0.25">
      <c r="A5820" s="5" t="s">
        <v>37277</v>
      </c>
      <c r="B5820" s="6">
        <v>393.75</v>
      </c>
      <c r="C5820" s="6">
        <v>20.478950000000001</v>
      </c>
      <c r="D5820" s="6">
        <v>78</v>
      </c>
      <c r="E5820" s="6">
        <v>0</v>
      </c>
      <c r="F5820" s="6">
        <v>0</v>
      </c>
      <c r="G5820" s="6">
        <v>9</v>
      </c>
      <c r="H5820" s="6" t="s">
        <v>37278</v>
      </c>
      <c r="I5820" s="6">
        <v>526.6875</v>
      </c>
      <c r="J5820" s="2">
        <f t="shared" si="90"/>
        <v>43748.890129131942</v>
      </c>
    </row>
    <row r="5821" spans="1:10" x14ac:dyDescent="0.25">
      <c r="A5821" s="7" t="s">
        <v>37279</v>
      </c>
      <c r="B5821" s="8">
        <v>393.75</v>
      </c>
      <c r="C5821" s="8">
        <v>20.478950000000001</v>
      </c>
      <c r="D5821" s="8">
        <v>78</v>
      </c>
      <c r="E5821" s="8">
        <v>0</v>
      </c>
      <c r="F5821" s="8">
        <v>0</v>
      </c>
      <c r="G5821" s="8">
        <v>6</v>
      </c>
      <c r="H5821" s="8" t="s">
        <v>37280</v>
      </c>
      <c r="I5821" s="8">
        <v>526.5</v>
      </c>
      <c r="J5821" s="3">
        <f t="shared" si="90"/>
        <v>43748.890200532405</v>
      </c>
    </row>
    <row r="5822" spans="1:10" x14ac:dyDescent="0.25">
      <c r="A5822" s="5" t="s">
        <v>37281</v>
      </c>
      <c r="B5822" s="6">
        <v>431.25</v>
      </c>
      <c r="C5822" s="6">
        <v>20.478950000000001</v>
      </c>
      <c r="D5822" s="6">
        <v>77</v>
      </c>
      <c r="E5822" s="6">
        <v>0</v>
      </c>
      <c r="F5822" s="6">
        <v>0</v>
      </c>
      <c r="G5822" s="6">
        <v>1</v>
      </c>
      <c r="H5822" s="6" t="s">
        <v>37282</v>
      </c>
      <c r="I5822" s="6">
        <v>538.3125</v>
      </c>
      <c r="J5822" s="2">
        <f t="shared" si="90"/>
        <v>43748.890272662036</v>
      </c>
    </row>
    <row r="5823" spans="1:10" x14ac:dyDescent="0.25">
      <c r="A5823" s="7" t="s">
        <v>37283</v>
      </c>
      <c r="B5823" s="8">
        <v>393.75</v>
      </c>
      <c r="C5823" s="8">
        <v>20.478950000000001</v>
      </c>
      <c r="D5823" s="8">
        <v>78</v>
      </c>
      <c r="E5823" s="8">
        <v>0</v>
      </c>
      <c r="F5823" s="8">
        <v>0</v>
      </c>
      <c r="G5823" s="8">
        <v>6</v>
      </c>
      <c r="H5823" s="8" t="s">
        <v>37284</v>
      </c>
      <c r="I5823" s="8">
        <v>526.5</v>
      </c>
      <c r="J5823" s="3">
        <f t="shared" si="90"/>
        <v>43748.890343622683</v>
      </c>
    </row>
    <row r="5824" spans="1:10" x14ac:dyDescent="0.25">
      <c r="A5824" s="5" t="s">
        <v>37285</v>
      </c>
      <c r="B5824" s="6">
        <v>393.75</v>
      </c>
      <c r="C5824" s="6">
        <v>20.478950000000001</v>
      </c>
      <c r="D5824" s="6">
        <v>78</v>
      </c>
      <c r="E5824" s="6">
        <v>0</v>
      </c>
      <c r="F5824" s="6">
        <v>0</v>
      </c>
      <c r="G5824" s="6">
        <v>14</v>
      </c>
      <c r="H5824" s="6" t="s">
        <v>37286</v>
      </c>
      <c r="I5824" s="6">
        <v>526.5</v>
      </c>
      <c r="J5824" s="2">
        <f t="shared" si="90"/>
        <v>43748.890415324073</v>
      </c>
    </row>
    <row r="5825" spans="1:10" x14ac:dyDescent="0.25">
      <c r="A5825" s="7" t="s">
        <v>37287</v>
      </c>
      <c r="B5825" s="8">
        <v>393.75</v>
      </c>
      <c r="C5825" s="8">
        <v>20.478950000000001</v>
      </c>
      <c r="D5825" s="8">
        <v>80</v>
      </c>
      <c r="E5825" s="8">
        <v>0</v>
      </c>
      <c r="F5825" s="8">
        <v>0</v>
      </c>
      <c r="G5825" s="8">
        <v>10</v>
      </c>
      <c r="H5825" s="8" t="s">
        <v>37288</v>
      </c>
      <c r="I5825" s="8">
        <v>526.6875</v>
      </c>
      <c r="J5825" s="3">
        <f t="shared" si="90"/>
        <v>43748.890487511577</v>
      </c>
    </row>
    <row r="5826" spans="1:10" x14ac:dyDescent="0.25">
      <c r="A5826" s="5" t="s">
        <v>37289</v>
      </c>
      <c r="B5826" s="6">
        <v>393.75</v>
      </c>
      <c r="C5826" s="6">
        <v>20.478950000000001</v>
      </c>
      <c r="D5826" s="6">
        <v>80</v>
      </c>
      <c r="E5826" s="6">
        <v>0</v>
      </c>
      <c r="F5826" s="6">
        <v>0</v>
      </c>
      <c r="G5826" s="6">
        <v>7</v>
      </c>
      <c r="H5826" s="6" t="s">
        <v>37290</v>
      </c>
      <c r="I5826" s="6">
        <v>526.5</v>
      </c>
      <c r="J5826" s="2">
        <f t="shared" ref="J5826:J5889" si="91">(H5826/86400000)+25569+(7/24)</f>
        <v>43748.89055877315</v>
      </c>
    </row>
    <row r="5827" spans="1:10" x14ac:dyDescent="0.25">
      <c r="A5827" s="7" t="s">
        <v>37291</v>
      </c>
      <c r="B5827" s="8">
        <v>393.75</v>
      </c>
      <c r="C5827" s="8">
        <v>20.478950000000001</v>
      </c>
      <c r="D5827" s="8">
        <v>80</v>
      </c>
      <c r="E5827" s="8">
        <v>0</v>
      </c>
      <c r="F5827" s="8">
        <v>0</v>
      </c>
      <c r="G5827" s="8">
        <v>8</v>
      </c>
      <c r="H5827" s="8" t="s">
        <v>37292</v>
      </c>
      <c r="I5827" s="8">
        <v>526.6875</v>
      </c>
      <c r="J5827" s="3">
        <f t="shared" si="91"/>
        <v>43748.890630057867</v>
      </c>
    </row>
    <row r="5828" spans="1:10" x14ac:dyDescent="0.25">
      <c r="A5828" s="5" t="s">
        <v>37293</v>
      </c>
      <c r="B5828" s="6">
        <v>393.75</v>
      </c>
      <c r="C5828" s="6">
        <v>20.478950000000001</v>
      </c>
      <c r="D5828" s="6">
        <v>80</v>
      </c>
      <c r="E5828" s="6">
        <v>0</v>
      </c>
      <c r="F5828" s="6">
        <v>0</v>
      </c>
      <c r="G5828" s="6">
        <v>3</v>
      </c>
      <c r="H5828" s="6" t="s">
        <v>37294</v>
      </c>
      <c r="I5828" s="6">
        <v>526.6875</v>
      </c>
      <c r="J5828" s="2">
        <f t="shared" si="91"/>
        <v>43748.890701435179</v>
      </c>
    </row>
    <row r="5829" spans="1:10" x14ac:dyDescent="0.25">
      <c r="A5829" s="7" t="s">
        <v>37295</v>
      </c>
      <c r="B5829" s="8">
        <v>393.75</v>
      </c>
      <c r="C5829" s="8">
        <v>20.478950000000001</v>
      </c>
      <c r="D5829" s="8">
        <v>80</v>
      </c>
      <c r="E5829" s="8">
        <v>0</v>
      </c>
      <c r="F5829" s="8">
        <v>0</v>
      </c>
      <c r="G5829" s="8">
        <v>3</v>
      </c>
      <c r="H5829" s="8" t="s">
        <v>37296</v>
      </c>
      <c r="I5829" s="8">
        <v>526.6875</v>
      </c>
      <c r="J5829" s="3">
        <f t="shared" si="91"/>
        <v>43748.890772719904</v>
      </c>
    </row>
    <row r="5830" spans="1:10" x14ac:dyDescent="0.25">
      <c r="A5830" s="5" t="s">
        <v>37297</v>
      </c>
      <c r="B5830" s="6">
        <v>393.75</v>
      </c>
      <c r="C5830" s="6">
        <v>20.478950000000001</v>
      </c>
      <c r="D5830" s="6">
        <v>79</v>
      </c>
      <c r="E5830" s="6">
        <v>0</v>
      </c>
      <c r="F5830" s="6">
        <v>0</v>
      </c>
      <c r="G5830" s="6">
        <v>3</v>
      </c>
      <c r="H5830" s="6" t="s">
        <v>37298</v>
      </c>
      <c r="I5830" s="6">
        <v>526.6875</v>
      </c>
      <c r="J5830" s="2">
        <f t="shared" si="91"/>
        <v>43748.890844884256</v>
      </c>
    </row>
    <row r="5831" spans="1:10" x14ac:dyDescent="0.25">
      <c r="A5831" s="7" t="s">
        <v>37299</v>
      </c>
      <c r="B5831" s="8">
        <v>393.75</v>
      </c>
      <c r="C5831" s="8">
        <v>20.478950000000001</v>
      </c>
      <c r="D5831" s="8">
        <v>79</v>
      </c>
      <c r="E5831" s="8">
        <v>0</v>
      </c>
      <c r="F5831" s="8">
        <v>0</v>
      </c>
      <c r="G5831" s="8">
        <v>5</v>
      </c>
      <c r="H5831" s="8" t="s">
        <v>37300</v>
      </c>
      <c r="I5831" s="8">
        <v>526.6875</v>
      </c>
      <c r="J5831" s="3">
        <f t="shared" si="91"/>
        <v>43748.890937291661</v>
      </c>
    </row>
    <row r="5832" spans="1:10" x14ac:dyDescent="0.25">
      <c r="A5832" s="5" t="s">
        <v>37301</v>
      </c>
      <c r="B5832" s="6">
        <v>393.75</v>
      </c>
      <c r="C5832" s="6">
        <v>20.478950000000001</v>
      </c>
      <c r="D5832" s="6">
        <v>79</v>
      </c>
      <c r="E5832" s="6">
        <v>0</v>
      </c>
      <c r="F5832" s="6">
        <v>0</v>
      </c>
      <c r="G5832" s="6">
        <v>5</v>
      </c>
      <c r="H5832" s="6" t="s">
        <v>37302</v>
      </c>
      <c r="I5832" s="6">
        <v>526.6875</v>
      </c>
      <c r="J5832" s="2">
        <f t="shared" si="91"/>
        <v>43748.891012314816</v>
      </c>
    </row>
    <row r="5833" spans="1:10" x14ac:dyDescent="0.25">
      <c r="A5833" s="7" t="s">
        <v>37303</v>
      </c>
      <c r="B5833" s="8">
        <v>393.75</v>
      </c>
      <c r="C5833" s="8">
        <v>20.478950000000001</v>
      </c>
      <c r="D5833" s="8">
        <v>77</v>
      </c>
      <c r="E5833" s="8">
        <v>0</v>
      </c>
      <c r="F5833" s="8">
        <v>0</v>
      </c>
      <c r="G5833" s="8">
        <v>10</v>
      </c>
      <c r="H5833" s="8" t="s">
        <v>37304</v>
      </c>
      <c r="I5833" s="8">
        <v>526.5</v>
      </c>
      <c r="J5833" s="3">
        <f t="shared" si="91"/>
        <v>43748.891083622679</v>
      </c>
    </row>
    <row r="5834" spans="1:10" x14ac:dyDescent="0.25">
      <c r="A5834" s="5" t="s">
        <v>37305</v>
      </c>
      <c r="B5834" s="6">
        <v>393.75</v>
      </c>
      <c r="C5834" s="6">
        <v>20.426300000000001</v>
      </c>
      <c r="D5834" s="6">
        <v>78</v>
      </c>
      <c r="E5834" s="6">
        <v>0</v>
      </c>
      <c r="F5834" s="6">
        <v>0</v>
      </c>
      <c r="G5834" s="6">
        <v>4</v>
      </c>
      <c r="H5834" s="6" t="s">
        <v>37306</v>
      </c>
      <c r="I5834" s="6">
        <v>526.6875</v>
      </c>
      <c r="J5834" s="2">
        <f t="shared" si="91"/>
        <v>43748.891166932866</v>
      </c>
    </row>
    <row r="5835" spans="1:10" x14ac:dyDescent="0.25">
      <c r="A5835" s="7" t="s">
        <v>37307</v>
      </c>
      <c r="B5835" s="8">
        <v>393.75</v>
      </c>
      <c r="C5835" s="8">
        <v>20.478950000000001</v>
      </c>
      <c r="D5835" s="8">
        <v>78</v>
      </c>
      <c r="E5835" s="8">
        <v>0</v>
      </c>
      <c r="F5835" s="8">
        <v>0</v>
      </c>
      <c r="G5835" s="8">
        <v>0</v>
      </c>
      <c r="H5835" s="8" t="s">
        <v>37308</v>
      </c>
      <c r="I5835" s="8">
        <v>526.6875</v>
      </c>
      <c r="J5835" s="3">
        <f t="shared" si="91"/>
        <v>43748.891250300927</v>
      </c>
    </row>
    <row r="5836" spans="1:10" x14ac:dyDescent="0.25">
      <c r="A5836" s="5" t="s">
        <v>37309</v>
      </c>
      <c r="B5836" s="6">
        <v>412.5</v>
      </c>
      <c r="C5836" s="6">
        <v>20.478950000000001</v>
      </c>
      <c r="D5836" s="6">
        <v>78</v>
      </c>
      <c r="E5836" s="6">
        <v>0</v>
      </c>
      <c r="F5836" s="6">
        <v>0</v>
      </c>
      <c r="G5836" s="6">
        <v>8</v>
      </c>
      <c r="H5836" s="6" t="s">
        <v>37310</v>
      </c>
      <c r="I5836" s="6">
        <v>532.125</v>
      </c>
      <c r="J5836" s="2">
        <f t="shared" si="91"/>
        <v>43748.8913221412</v>
      </c>
    </row>
    <row r="5837" spans="1:10" x14ac:dyDescent="0.25">
      <c r="A5837" s="7" t="s">
        <v>37311</v>
      </c>
      <c r="B5837" s="8">
        <v>393.75</v>
      </c>
      <c r="C5837" s="8">
        <v>20.478950000000001</v>
      </c>
      <c r="D5837" s="8">
        <v>78</v>
      </c>
      <c r="E5837" s="8">
        <v>0</v>
      </c>
      <c r="F5837" s="8">
        <v>0</v>
      </c>
      <c r="G5837" s="8">
        <v>8</v>
      </c>
      <c r="H5837" s="8" t="s">
        <v>37312</v>
      </c>
      <c r="I5837" s="8">
        <v>526.6875</v>
      </c>
      <c r="J5837" s="3">
        <f t="shared" si="91"/>
        <v>43748.891405775459</v>
      </c>
    </row>
    <row r="5838" spans="1:10" x14ac:dyDescent="0.25">
      <c r="A5838" s="5" t="s">
        <v>37313</v>
      </c>
      <c r="B5838" s="6">
        <v>393.75</v>
      </c>
      <c r="C5838" s="6">
        <v>20.478950000000001</v>
      </c>
      <c r="D5838" s="6">
        <v>78</v>
      </c>
      <c r="E5838" s="6">
        <v>0</v>
      </c>
      <c r="F5838" s="6">
        <v>0</v>
      </c>
      <c r="G5838" s="6">
        <v>9</v>
      </c>
      <c r="H5838" s="6" t="s">
        <v>37314</v>
      </c>
      <c r="I5838" s="6">
        <v>526.6875</v>
      </c>
      <c r="J5838" s="2">
        <f t="shared" si="91"/>
        <v>43748.89147707176</v>
      </c>
    </row>
    <row r="5839" spans="1:10" x14ac:dyDescent="0.25">
      <c r="A5839" s="7" t="s">
        <v>37315</v>
      </c>
      <c r="B5839" s="8">
        <v>393.75</v>
      </c>
      <c r="C5839" s="8">
        <v>20.478950000000001</v>
      </c>
      <c r="D5839" s="8">
        <v>78</v>
      </c>
      <c r="E5839" s="8">
        <v>0</v>
      </c>
      <c r="F5839" s="8">
        <v>0</v>
      </c>
      <c r="G5839" s="8">
        <v>12</v>
      </c>
      <c r="H5839" s="8" t="s">
        <v>37316</v>
      </c>
      <c r="I5839" s="8">
        <v>526.6875</v>
      </c>
      <c r="J5839" s="3">
        <f t="shared" si="91"/>
        <v>43748.891548414351</v>
      </c>
    </row>
    <row r="5840" spans="1:10" x14ac:dyDescent="0.25">
      <c r="A5840" s="5" t="s">
        <v>37317</v>
      </c>
      <c r="B5840" s="6">
        <v>393.75</v>
      </c>
      <c r="C5840" s="6">
        <v>20.478950000000001</v>
      </c>
      <c r="D5840" s="6">
        <v>77</v>
      </c>
      <c r="E5840" s="6">
        <v>0</v>
      </c>
      <c r="F5840" s="6">
        <v>0</v>
      </c>
      <c r="G5840" s="6">
        <v>14</v>
      </c>
      <c r="H5840" s="6" t="s">
        <v>37318</v>
      </c>
      <c r="I5840" s="6">
        <v>526.6875</v>
      </c>
      <c r="J5840" s="2">
        <f t="shared" si="91"/>
        <v>43748.891619768518</v>
      </c>
    </row>
    <row r="5841" spans="1:10" x14ac:dyDescent="0.25">
      <c r="A5841" s="7" t="s">
        <v>37319</v>
      </c>
      <c r="B5841" s="8">
        <v>393.75</v>
      </c>
      <c r="C5841" s="8">
        <v>20.478950000000001</v>
      </c>
      <c r="D5841" s="8">
        <v>79</v>
      </c>
      <c r="E5841" s="8">
        <v>0</v>
      </c>
      <c r="F5841" s="8">
        <v>0</v>
      </c>
      <c r="G5841" s="8">
        <v>13</v>
      </c>
      <c r="H5841" s="8" t="s">
        <v>37320</v>
      </c>
      <c r="I5841" s="8">
        <v>526.6875</v>
      </c>
      <c r="J5841" s="3">
        <f t="shared" si="91"/>
        <v>43748.891692002311</v>
      </c>
    </row>
    <row r="5842" spans="1:10" x14ac:dyDescent="0.25">
      <c r="A5842" s="5" t="s">
        <v>37321</v>
      </c>
      <c r="B5842" s="6">
        <v>393.75</v>
      </c>
      <c r="C5842" s="6">
        <v>20.478950000000001</v>
      </c>
      <c r="D5842" s="6">
        <v>79</v>
      </c>
      <c r="E5842" s="6">
        <v>0</v>
      </c>
      <c r="F5842" s="6">
        <v>0</v>
      </c>
      <c r="G5842" s="6">
        <v>5</v>
      </c>
      <c r="H5842" s="6" t="s">
        <v>37322</v>
      </c>
      <c r="I5842" s="6">
        <v>526.6875</v>
      </c>
      <c r="J5842" s="2">
        <f t="shared" si="91"/>
        <v>43748.891763240739</v>
      </c>
    </row>
    <row r="5843" spans="1:10" x14ac:dyDescent="0.25">
      <c r="A5843" s="7" t="s">
        <v>37323</v>
      </c>
      <c r="B5843" s="8">
        <v>393.75</v>
      </c>
      <c r="C5843" s="8">
        <v>20.478950000000001</v>
      </c>
      <c r="D5843" s="8">
        <v>79</v>
      </c>
      <c r="E5843" s="8">
        <v>0</v>
      </c>
      <c r="F5843" s="8">
        <v>0</v>
      </c>
      <c r="G5843" s="8">
        <v>14</v>
      </c>
      <c r="H5843" s="8" t="s">
        <v>37324</v>
      </c>
      <c r="I5843" s="8">
        <v>526.6875</v>
      </c>
      <c r="J5843" s="3">
        <f t="shared" si="91"/>
        <v>43748.891834537033</v>
      </c>
    </row>
    <row r="5844" spans="1:10" x14ac:dyDescent="0.25">
      <c r="A5844" s="5" t="s">
        <v>37325</v>
      </c>
      <c r="B5844" s="6">
        <v>393.75</v>
      </c>
      <c r="C5844" s="6">
        <v>20.478950000000001</v>
      </c>
      <c r="D5844" s="6">
        <v>80</v>
      </c>
      <c r="E5844" s="6">
        <v>0</v>
      </c>
      <c r="F5844" s="6">
        <v>0</v>
      </c>
      <c r="G5844" s="6">
        <v>9</v>
      </c>
      <c r="H5844" s="6" t="s">
        <v>37326</v>
      </c>
      <c r="I5844" s="6">
        <v>526.6875</v>
      </c>
      <c r="J5844" s="2">
        <f t="shared" si="91"/>
        <v>43748.891906793979</v>
      </c>
    </row>
    <row r="5845" spans="1:10" x14ac:dyDescent="0.25">
      <c r="A5845" s="7" t="s">
        <v>37327</v>
      </c>
      <c r="B5845" s="8">
        <v>393.75</v>
      </c>
      <c r="C5845" s="8">
        <v>20.478950000000001</v>
      </c>
      <c r="D5845" s="8">
        <v>80</v>
      </c>
      <c r="E5845" s="8">
        <v>0</v>
      </c>
      <c r="F5845" s="8">
        <v>0</v>
      </c>
      <c r="G5845" s="8">
        <v>9</v>
      </c>
      <c r="H5845" s="8" t="s">
        <v>37328</v>
      </c>
      <c r="I5845" s="8">
        <v>526.6875</v>
      </c>
      <c r="J5845" s="3">
        <f t="shared" si="91"/>
        <v>43748.891990104159</v>
      </c>
    </row>
    <row r="5846" spans="1:10" x14ac:dyDescent="0.25">
      <c r="A5846" s="5" t="s">
        <v>37329</v>
      </c>
      <c r="B5846" s="6">
        <v>393.75</v>
      </c>
      <c r="C5846" s="6">
        <v>20.478950000000001</v>
      </c>
      <c r="D5846" s="6">
        <v>80</v>
      </c>
      <c r="E5846" s="6">
        <v>0</v>
      </c>
      <c r="F5846" s="6">
        <v>0</v>
      </c>
      <c r="G5846" s="6">
        <v>9</v>
      </c>
      <c r="H5846" s="6" t="s">
        <v>37330</v>
      </c>
      <c r="I5846" s="6">
        <v>526.5</v>
      </c>
      <c r="J5846" s="2">
        <f t="shared" si="91"/>
        <v>43748.892061377315</v>
      </c>
    </row>
    <row r="5847" spans="1:10" x14ac:dyDescent="0.25">
      <c r="A5847" s="7" t="s">
        <v>37331</v>
      </c>
      <c r="B5847" s="8">
        <v>418.75</v>
      </c>
      <c r="C5847" s="8">
        <v>20.478950000000001</v>
      </c>
      <c r="D5847" s="8">
        <v>79</v>
      </c>
      <c r="E5847" s="8">
        <v>0</v>
      </c>
      <c r="F5847" s="8">
        <v>0</v>
      </c>
      <c r="G5847" s="8">
        <v>15</v>
      </c>
      <c r="H5847" s="8" t="s">
        <v>37332</v>
      </c>
      <c r="I5847" s="8">
        <v>534.1875</v>
      </c>
      <c r="J5847" s="3">
        <f t="shared" si="91"/>
        <v>43748.892132685178</v>
      </c>
    </row>
    <row r="5848" spans="1:10" x14ac:dyDescent="0.25">
      <c r="A5848" s="5" t="s">
        <v>37333</v>
      </c>
      <c r="B5848" s="6">
        <v>393.75</v>
      </c>
      <c r="C5848" s="6">
        <v>20.478950000000001</v>
      </c>
      <c r="D5848" s="6">
        <v>79</v>
      </c>
      <c r="E5848" s="6">
        <v>0</v>
      </c>
      <c r="F5848" s="6">
        <v>0</v>
      </c>
      <c r="G5848" s="6">
        <v>12</v>
      </c>
      <c r="H5848" s="6" t="s">
        <v>37334</v>
      </c>
      <c r="I5848" s="6">
        <v>526.6875</v>
      </c>
      <c r="J5848" s="2">
        <f t="shared" si="91"/>
        <v>43748.89220490741</v>
      </c>
    </row>
    <row r="5849" spans="1:10" x14ac:dyDescent="0.25">
      <c r="A5849" s="7" t="s">
        <v>37335</v>
      </c>
      <c r="B5849" s="8">
        <v>393.75</v>
      </c>
      <c r="C5849" s="8">
        <v>20.478950000000001</v>
      </c>
      <c r="D5849" s="8">
        <v>80</v>
      </c>
      <c r="E5849" s="8">
        <v>0</v>
      </c>
      <c r="F5849" s="8">
        <v>0</v>
      </c>
      <c r="G5849" s="8">
        <v>12</v>
      </c>
      <c r="H5849" s="8" t="s">
        <v>37336</v>
      </c>
      <c r="I5849" s="8">
        <v>526.6875</v>
      </c>
      <c r="J5849" s="3">
        <f t="shared" si="91"/>
        <v>43748.89227802083</v>
      </c>
    </row>
    <row r="5850" spans="1:10" x14ac:dyDescent="0.25">
      <c r="A5850" s="5" t="s">
        <v>37337</v>
      </c>
      <c r="B5850" s="6">
        <v>393.75</v>
      </c>
      <c r="C5850" s="6">
        <v>20.478950000000001</v>
      </c>
      <c r="D5850" s="6">
        <v>79</v>
      </c>
      <c r="E5850" s="6">
        <v>0</v>
      </c>
      <c r="F5850" s="6">
        <v>0</v>
      </c>
      <c r="G5850" s="6">
        <v>7</v>
      </c>
      <c r="H5850" s="6" t="s">
        <v>37338</v>
      </c>
      <c r="I5850" s="6">
        <v>526.5</v>
      </c>
      <c r="J5850" s="2">
        <f t="shared" si="91"/>
        <v>43748.892359537036</v>
      </c>
    </row>
    <row r="5851" spans="1:10" x14ac:dyDescent="0.25">
      <c r="A5851" s="7" t="s">
        <v>37339</v>
      </c>
      <c r="B5851" s="8">
        <v>393.75</v>
      </c>
      <c r="C5851" s="8">
        <v>20.478950000000001</v>
      </c>
      <c r="D5851" s="8">
        <v>81</v>
      </c>
      <c r="E5851" s="8">
        <v>0</v>
      </c>
      <c r="F5851" s="8">
        <v>0</v>
      </c>
      <c r="G5851" s="8">
        <v>8</v>
      </c>
      <c r="H5851" s="8" t="s">
        <v>37340</v>
      </c>
      <c r="I5851" s="8">
        <v>526.6875</v>
      </c>
      <c r="J5851" s="3">
        <f t="shared" si="91"/>
        <v>43748.892430949076</v>
      </c>
    </row>
    <row r="5852" spans="1:10" x14ac:dyDescent="0.25">
      <c r="A5852" s="5" t="s">
        <v>37341</v>
      </c>
      <c r="B5852" s="6">
        <v>393.75</v>
      </c>
      <c r="C5852" s="6">
        <v>20.478950000000001</v>
      </c>
      <c r="D5852" s="6">
        <v>82</v>
      </c>
      <c r="E5852" s="6">
        <v>0</v>
      </c>
      <c r="F5852" s="6">
        <v>0</v>
      </c>
      <c r="G5852" s="6">
        <v>7</v>
      </c>
      <c r="H5852" s="6" t="s">
        <v>37342</v>
      </c>
      <c r="I5852" s="6">
        <v>526.6875</v>
      </c>
      <c r="J5852" s="2">
        <f t="shared" si="91"/>
        <v>43748.892526192132</v>
      </c>
    </row>
    <row r="5853" spans="1:10" x14ac:dyDescent="0.25">
      <c r="A5853" s="7" t="s">
        <v>37343</v>
      </c>
      <c r="B5853" s="8">
        <v>428.125</v>
      </c>
      <c r="C5853" s="8">
        <v>20.478950000000001</v>
      </c>
      <c r="D5853" s="8">
        <v>79</v>
      </c>
      <c r="E5853" s="8">
        <v>0</v>
      </c>
      <c r="F5853" s="8">
        <v>0</v>
      </c>
      <c r="G5853" s="8">
        <v>11</v>
      </c>
      <c r="H5853" s="8" t="s">
        <v>37344</v>
      </c>
      <c r="I5853" s="8">
        <v>537.5625</v>
      </c>
      <c r="J5853" s="3">
        <f t="shared" si="91"/>
        <v>43748.892598356477</v>
      </c>
    </row>
    <row r="5854" spans="1:10" x14ac:dyDescent="0.25">
      <c r="A5854" s="5" t="s">
        <v>37345</v>
      </c>
      <c r="B5854" s="6">
        <v>396.875</v>
      </c>
      <c r="C5854" s="6">
        <v>20.478950000000001</v>
      </c>
      <c r="D5854" s="6">
        <v>79</v>
      </c>
      <c r="E5854" s="6">
        <v>0</v>
      </c>
      <c r="F5854" s="6">
        <v>0</v>
      </c>
      <c r="G5854" s="6">
        <v>10</v>
      </c>
      <c r="H5854" s="6" t="s">
        <v>37346</v>
      </c>
      <c r="I5854" s="6">
        <v>527.4375</v>
      </c>
      <c r="J5854" s="2">
        <f t="shared" si="91"/>
        <v>43748.892669699075</v>
      </c>
    </row>
    <row r="5855" spans="1:10" x14ac:dyDescent="0.25">
      <c r="A5855" s="7" t="s">
        <v>37347</v>
      </c>
      <c r="B5855" s="8">
        <v>396.875</v>
      </c>
      <c r="C5855" s="8">
        <v>20.478950000000001</v>
      </c>
      <c r="D5855" s="8">
        <v>79</v>
      </c>
      <c r="E5855" s="8">
        <v>0</v>
      </c>
      <c r="F5855" s="8">
        <v>0</v>
      </c>
      <c r="G5855" s="8">
        <v>18</v>
      </c>
      <c r="H5855" s="8" t="s">
        <v>37348</v>
      </c>
      <c r="I5855" s="8">
        <v>527.4375</v>
      </c>
      <c r="J5855" s="3">
        <f t="shared" si="91"/>
        <v>43748.892740960648</v>
      </c>
    </row>
    <row r="5856" spans="1:10" x14ac:dyDescent="0.25">
      <c r="A5856" s="5" t="s">
        <v>37349</v>
      </c>
      <c r="B5856" s="6">
        <v>393.75</v>
      </c>
      <c r="C5856" s="6">
        <v>20.478950000000001</v>
      </c>
      <c r="D5856" s="6">
        <v>80</v>
      </c>
      <c r="E5856" s="6">
        <v>0</v>
      </c>
      <c r="F5856" s="6">
        <v>0</v>
      </c>
      <c r="G5856" s="6">
        <v>7</v>
      </c>
      <c r="H5856" s="6" t="s">
        <v>37350</v>
      </c>
      <c r="I5856" s="6">
        <v>526.6875</v>
      </c>
      <c r="J5856" s="2">
        <f t="shared" si="91"/>
        <v>43748.892823344904</v>
      </c>
    </row>
    <row r="5857" spans="1:10" x14ac:dyDescent="0.25">
      <c r="A5857" s="7" t="s">
        <v>37351</v>
      </c>
      <c r="B5857" s="8">
        <v>393.75</v>
      </c>
      <c r="C5857" s="8">
        <v>20.478950000000001</v>
      </c>
      <c r="D5857" s="8">
        <v>79</v>
      </c>
      <c r="E5857" s="8">
        <v>0</v>
      </c>
      <c r="F5857" s="8">
        <v>0</v>
      </c>
      <c r="G5857" s="8">
        <v>14</v>
      </c>
      <c r="H5857" s="8" t="s">
        <v>37352</v>
      </c>
      <c r="I5857" s="8">
        <v>526.6875</v>
      </c>
      <c r="J5857" s="3">
        <f t="shared" si="91"/>
        <v>43748.892896516198</v>
      </c>
    </row>
    <row r="5858" spans="1:10" x14ac:dyDescent="0.25">
      <c r="A5858" s="5" t="s">
        <v>37353</v>
      </c>
      <c r="B5858" s="6">
        <v>393.75</v>
      </c>
      <c r="C5858" s="6">
        <v>20.478950000000001</v>
      </c>
      <c r="D5858" s="6">
        <v>79</v>
      </c>
      <c r="E5858" s="6">
        <v>0</v>
      </c>
      <c r="F5858" s="6">
        <v>0</v>
      </c>
      <c r="G5858" s="6">
        <v>12</v>
      </c>
      <c r="H5858" s="6" t="s">
        <v>37354</v>
      </c>
      <c r="I5858" s="6">
        <v>526.6875</v>
      </c>
      <c r="J5858" s="2">
        <f t="shared" si="91"/>
        <v>43748.892967858796</v>
      </c>
    </row>
    <row r="5859" spans="1:10" x14ac:dyDescent="0.25">
      <c r="A5859" s="7" t="s">
        <v>37355</v>
      </c>
      <c r="B5859" s="8">
        <v>393.75</v>
      </c>
      <c r="C5859" s="8">
        <v>20.478950000000001</v>
      </c>
      <c r="D5859" s="8">
        <v>81</v>
      </c>
      <c r="E5859" s="8">
        <v>0</v>
      </c>
      <c r="F5859" s="8">
        <v>0</v>
      </c>
      <c r="G5859" s="8">
        <v>3</v>
      </c>
      <c r="H5859" s="8" t="s">
        <v>37356</v>
      </c>
      <c r="I5859" s="8">
        <v>526.6875</v>
      </c>
      <c r="J5859" s="3">
        <f t="shared" si="91"/>
        <v>43748.893039618059</v>
      </c>
    </row>
    <row r="5860" spans="1:10" x14ac:dyDescent="0.25">
      <c r="A5860" s="5" t="s">
        <v>37357</v>
      </c>
      <c r="B5860" s="6">
        <v>393.75</v>
      </c>
      <c r="C5860" s="6">
        <v>20.478950000000001</v>
      </c>
      <c r="D5860" s="6">
        <v>82</v>
      </c>
      <c r="E5860" s="6">
        <v>0</v>
      </c>
      <c r="F5860" s="6">
        <v>0</v>
      </c>
      <c r="G5860" s="6">
        <v>6</v>
      </c>
      <c r="H5860" s="6" t="s">
        <v>37358</v>
      </c>
      <c r="I5860" s="6">
        <v>526.6875</v>
      </c>
      <c r="J5860" s="2">
        <f t="shared" si="91"/>
        <v>43748.893110902776</v>
      </c>
    </row>
    <row r="5861" spans="1:10" x14ac:dyDescent="0.25">
      <c r="A5861" s="7" t="s">
        <v>37359</v>
      </c>
      <c r="B5861" s="8">
        <v>412.5</v>
      </c>
      <c r="C5861" s="8">
        <v>20.478950000000001</v>
      </c>
      <c r="D5861" s="8">
        <v>82</v>
      </c>
      <c r="E5861" s="8">
        <v>0</v>
      </c>
      <c r="F5861" s="8">
        <v>0</v>
      </c>
      <c r="G5861" s="8">
        <v>9</v>
      </c>
      <c r="H5861" s="8" t="s">
        <v>37360</v>
      </c>
      <c r="I5861" s="8">
        <v>532.3125</v>
      </c>
      <c r="J5861" s="3">
        <f t="shared" si="91"/>
        <v>43748.89318219907</v>
      </c>
    </row>
    <row r="5862" spans="1:10" x14ac:dyDescent="0.25">
      <c r="A5862" s="5" t="s">
        <v>37361</v>
      </c>
      <c r="B5862" s="6">
        <v>393.75</v>
      </c>
      <c r="C5862" s="6">
        <v>20.478950000000001</v>
      </c>
      <c r="D5862" s="6">
        <v>83</v>
      </c>
      <c r="E5862" s="6">
        <v>0</v>
      </c>
      <c r="F5862" s="6">
        <v>0</v>
      </c>
      <c r="G5862" s="6">
        <v>9</v>
      </c>
      <c r="H5862" s="6" t="s">
        <v>37362</v>
      </c>
      <c r="I5862" s="6">
        <v>526.6875</v>
      </c>
      <c r="J5862" s="2">
        <f t="shared" si="91"/>
        <v>43748.893254432864</v>
      </c>
    </row>
    <row r="5863" spans="1:10" x14ac:dyDescent="0.25">
      <c r="A5863" s="7" t="s">
        <v>37363</v>
      </c>
      <c r="B5863" s="8">
        <v>393.75</v>
      </c>
      <c r="C5863" s="8">
        <v>20.478950000000001</v>
      </c>
      <c r="D5863" s="8">
        <v>79</v>
      </c>
      <c r="E5863" s="8">
        <v>0</v>
      </c>
      <c r="F5863" s="8">
        <v>0</v>
      </c>
      <c r="G5863" s="8">
        <v>13</v>
      </c>
      <c r="H5863" s="8" t="s">
        <v>37364</v>
      </c>
      <c r="I5863" s="8">
        <v>526.6875</v>
      </c>
      <c r="J5863" s="3">
        <f t="shared" si="91"/>
        <v>43748.893325717589</v>
      </c>
    </row>
    <row r="5864" spans="1:10" x14ac:dyDescent="0.25">
      <c r="A5864" s="5" t="s">
        <v>37365</v>
      </c>
      <c r="B5864" s="6">
        <v>415.625</v>
      </c>
      <c r="C5864" s="6">
        <v>20.478950000000001</v>
      </c>
      <c r="D5864" s="6">
        <v>80</v>
      </c>
      <c r="E5864" s="6">
        <v>0</v>
      </c>
      <c r="F5864" s="6">
        <v>0</v>
      </c>
      <c r="G5864" s="6">
        <v>8</v>
      </c>
      <c r="H5864" s="6" t="s">
        <v>37366</v>
      </c>
      <c r="I5864" s="6">
        <v>533.4375</v>
      </c>
      <c r="J5864" s="2">
        <f t="shared" si="91"/>
        <v>43748.89342108796</v>
      </c>
    </row>
    <row r="5865" spans="1:10" x14ac:dyDescent="0.25">
      <c r="A5865" s="7" t="s">
        <v>37367</v>
      </c>
      <c r="B5865" s="8">
        <v>393.75</v>
      </c>
      <c r="C5865" s="8">
        <v>20.478950000000001</v>
      </c>
      <c r="D5865" s="8">
        <v>80</v>
      </c>
      <c r="E5865" s="8">
        <v>0</v>
      </c>
      <c r="F5865" s="8">
        <v>0</v>
      </c>
      <c r="G5865" s="8">
        <v>11</v>
      </c>
      <c r="H5865" s="8" t="s">
        <v>37368</v>
      </c>
      <c r="I5865" s="8">
        <v>526.6875</v>
      </c>
      <c r="J5865" s="3">
        <f t="shared" si="91"/>
        <v>43748.893492407406</v>
      </c>
    </row>
    <row r="5866" spans="1:10" x14ac:dyDescent="0.25">
      <c r="A5866" s="5" t="s">
        <v>37369</v>
      </c>
      <c r="B5866" s="6">
        <v>393.75</v>
      </c>
      <c r="C5866" s="6">
        <v>20.478950000000001</v>
      </c>
      <c r="D5866" s="6">
        <v>81</v>
      </c>
      <c r="E5866" s="6">
        <v>0</v>
      </c>
      <c r="F5866" s="6">
        <v>0</v>
      </c>
      <c r="G5866" s="6">
        <v>11</v>
      </c>
      <c r="H5866" s="6" t="s">
        <v>37370</v>
      </c>
      <c r="I5866" s="6">
        <v>526.6875</v>
      </c>
      <c r="J5866" s="2">
        <f t="shared" si="91"/>
        <v>43748.893564386577</v>
      </c>
    </row>
    <row r="5867" spans="1:10" x14ac:dyDescent="0.25">
      <c r="A5867" s="7" t="s">
        <v>37371</v>
      </c>
      <c r="B5867" s="8">
        <v>393.75</v>
      </c>
      <c r="C5867" s="8">
        <v>20.478950000000001</v>
      </c>
      <c r="D5867" s="8">
        <v>81</v>
      </c>
      <c r="E5867" s="8">
        <v>0</v>
      </c>
      <c r="F5867" s="8">
        <v>0</v>
      </c>
      <c r="G5867" s="8">
        <v>13</v>
      </c>
      <c r="H5867" s="8" t="s">
        <v>37372</v>
      </c>
      <c r="I5867" s="8">
        <v>526.6875</v>
      </c>
      <c r="J5867" s="3">
        <f t="shared" si="91"/>
        <v>43748.893635856475</v>
      </c>
    </row>
    <row r="5868" spans="1:10" x14ac:dyDescent="0.25">
      <c r="A5868" s="5" t="s">
        <v>37373</v>
      </c>
      <c r="B5868" s="6">
        <v>412.5</v>
      </c>
      <c r="C5868" s="6">
        <v>20.478950000000001</v>
      </c>
      <c r="D5868" s="6">
        <v>81</v>
      </c>
      <c r="E5868" s="6">
        <v>0</v>
      </c>
      <c r="F5868" s="6">
        <v>0</v>
      </c>
      <c r="G5868" s="6">
        <v>17</v>
      </c>
      <c r="H5868" s="6" t="s">
        <v>37374</v>
      </c>
      <c r="I5868" s="6">
        <v>532.3125</v>
      </c>
      <c r="J5868" s="2">
        <f t="shared" si="91"/>
        <v>43748.893707222225</v>
      </c>
    </row>
    <row r="5869" spans="1:10" x14ac:dyDescent="0.25">
      <c r="A5869" s="7" t="s">
        <v>37375</v>
      </c>
      <c r="B5869" s="8">
        <v>393.75</v>
      </c>
      <c r="C5869" s="8">
        <v>20.478950000000001</v>
      </c>
      <c r="D5869" s="8">
        <v>80</v>
      </c>
      <c r="E5869" s="8">
        <v>0</v>
      </c>
      <c r="F5869" s="8">
        <v>0</v>
      </c>
      <c r="G5869" s="8">
        <v>12</v>
      </c>
      <c r="H5869" s="8" t="s">
        <v>37376</v>
      </c>
      <c r="I5869" s="8">
        <v>526.6875</v>
      </c>
      <c r="J5869" s="3">
        <f t="shared" si="91"/>
        <v>43748.893778749996</v>
      </c>
    </row>
    <row r="5870" spans="1:10" x14ac:dyDescent="0.25">
      <c r="A5870" s="5" t="s">
        <v>37377</v>
      </c>
      <c r="B5870" s="6">
        <v>393.75</v>
      </c>
      <c r="C5870" s="6">
        <v>20.478950000000001</v>
      </c>
      <c r="D5870" s="6">
        <v>81</v>
      </c>
      <c r="E5870" s="6">
        <v>0</v>
      </c>
      <c r="F5870" s="6">
        <v>0</v>
      </c>
      <c r="G5870" s="6">
        <v>8</v>
      </c>
      <c r="H5870" s="6" t="s">
        <v>37378</v>
      </c>
      <c r="I5870" s="6">
        <v>526.6875</v>
      </c>
      <c r="J5870" s="2">
        <f t="shared" si="91"/>
        <v>43748.893862777775</v>
      </c>
    </row>
    <row r="5871" spans="1:10" x14ac:dyDescent="0.25">
      <c r="A5871" s="7" t="s">
        <v>37379</v>
      </c>
      <c r="B5871" s="8">
        <v>393.75</v>
      </c>
      <c r="C5871" s="8">
        <v>20.478950000000001</v>
      </c>
      <c r="D5871" s="8">
        <v>81</v>
      </c>
      <c r="E5871" s="8">
        <v>0</v>
      </c>
      <c r="F5871" s="8">
        <v>0</v>
      </c>
      <c r="G5871" s="8">
        <v>14</v>
      </c>
      <c r="H5871" s="8" t="s">
        <v>37380</v>
      </c>
      <c r="I5871" s="8">
        <v>526.6875</v>
      </c>
      <c r="J5871" s="3">
        <f t="shared" si="91"/>
        <v>43748.893934004627</v>
      </c>
    </row>
    <row r="5872" spans="1:10" x14ac:dyDescent="0.25">
      <c r="A5872" s="5" t="s">
        <v>37381</v>
      </c>
      <c r="B5872" s="6">
        <v>393.75</v>
      </c>
      <c r="C5872" s="6">
        <v>20.478950000000001</v>
      </c>
      <c r="D5872" s="6">
        <v>80</v>
      </c>
      <c r="E5872" s="6">
        <v>0</v>
      </c>
      <c r="F5872" s="6">
        <v>0</v>
      </c>
      <c r="G5872" s="6">
        <v>9</v>
      </c>
      <c r="H5872" s="6" t="s">
        <v>37382</v>
      </c>
      <c r="I5872" s="6">
        <v>526.6875</v>
      </c>
      <c r="J5872" s="2">
        <f t="shared" si="91"/>
        <v>43748.894005358794</v>
      </c>
    </row>
    <row r="5873" spans="1:10" x14ac:dyDescent="0.25">
      <c r="A5873" s="7" t="s">
        <v>37383</v>
      </c>
      <c r="B5873" s="8">
        <v>393.75</v>
      </c>
      <c r="C5873" s="8">
        <v>20.478950000000001</v>
      </c>
      <c r="D5873" s="8">
        <v>82</v>
      </c>
      <c r="E5873" s="8">
        <v>0</v>
      </c>
      <c r="F5873" s="8">
        <v>0</v>
      </c>
      <c r="G5873" s="8">
        <v>21</v>
      </c>
      <c r="H5873" s="8" t="s">
        <v>37384</v>
      </c>
      <c r="I5873" s="8">
        <v>526.6875</v>
      </c>
      <c r="J5873" s="3">
        <f t="shared" si="91"/>
        <v>43748.894076747682</v>
      </c>
    </row>
    <row r="5874" spans="1:10" x14ac:dyDescent="0.25">
      <c r="A5874" s="5" t="s">
        <v>37385</v>
      </c>
      <c r="B5874" s="6">
        <v>393.75</v>
      </c>
      <c r="C5874" s="6">
        <v>20.478950000000001</v>
      </c>
      <c r="D5874" s="6">
        <v>82</v>
      </c>
      <c r="E5874" s="6">
        <v>0</v>
      </c>
      <c r="F5874" s="6">
        <v>0</v>
      </c>
      <c r="G5874" s="6">
        <v>11</v>
      </c>
      <c r="H5874" s="6" t="s">
        <v>37386</v>
      </c>
      <c r="I5874" s="6">
        <v>526.6875</v>
      </c>
      <c r="J5874" s="2">
        <f t="shared" si="91"/>
        <v>43748.894148888889</v>
      </c>
    </row>
    <row r="5875" spans="1:10" x14ac:dyDescent="0.25">
      <c r="A5875" s="7" t="s">
        <v>37387</v>
      </c>
      <c r="B5875" s="8">
        <v>393.75</v>
      </c>
      <c r="C5875" s="8">
        <v>20.478950000000001</v>
      </c>
      <c r="D5875" s="8">
        <v>82</v>
      </c>
      <c r="E5875" s="8">
        <v>0</v>
      </c>
      <c r="F5875" s="8">
        <v>0</v>
      </c>
      <c r="G5875" s="8">
        <v>13</v>
      </c>
      <c r="H5875" s="8" t="s">
        <v>37388</v>
      </c>
      <c r="I5875" s="8">
        <v>526.6875</v>
      </c>
      <c r="J5875" s="3">
        <f t="shared" si="91"/>
        <v>43748.89422091435</v>
      </c>
    </row>
    <row r="5876" spans="1:10" x14ac:dyDescent="0.25">
      <c r="A5876" s="5" t="s">
        <v>37389</v>
      </c>
      <c r="B5876" s="6">
        <v>393.75</v>
      </c>
      <c r="C5876" s="6">
        <v>20.426300000000001</v>
      </c>
      <c r="D5876" s="6">
        <v>82</v>
      </c>
      <c r="E5876" s="6">
        <v>0</v>
      </c>
      <c r="F5876" s="6">
        <v>0</v>
      </c>
      <c r="G5876" s="6">
        <v>10</v>
      </c>
      <c r="H5876" s="6" t="s">
        <v>37390</v>
      </c>
      <c r="I5876" s="6">
        <v>526.6875</v>
      </c>
      <c r="J5876" s="2">
        <f t="shared" si="91"/>
        <v>43748.894303668982</v>
      </c>
    </row>
    <row r="5877" spans="1:10" x14ac:dyDescent="0.25">
      <c r="A5877" s="7" t="s">
        <v>37391</v>
      </c>
      <c r="B5877" s="8">
        <v>393.75</v>
      </c>
      <c r="C5877" s="8">
        <v>20.478950000000001</v>
      </c>
      <c r="D5877" s="8">
        <v>83</v>
      </c>
      <c r="E5877" s="8">
        <v>0</v>
      </c>
      <c r="F5877" s="8">
        <v>0</v>
      </c>
      <c r="G5877" s="8">
        <v>11</v>
      </c>
      <c r="H5877" s="8" t="s">
        <v>37392</v>
      </c>
      <c r="I5877" s="8">
        <v>526.5</v>
      </c>
      <c r="J5877" s="3">
        <f t="shared" si="91"/>
        <v>43748.894374849529</v>
      </c>
    </row>
    <row r="5878" spans="1:10" x14ac:dyDescent="0.25">
      <c r="A5878" s="5" t="s">
        <v>37393</v>
      </c>
      <c r="B5878" s="6">
        <v>396.875</v>
      </c>
      <c r="C5878" s="6">
        <v>20.478950000000001</v>
      </c>
      <c r="D5878" s="6">
        <v>83</v>
      </c>
      <c r="E5878" s="6">
        <v>0</v>
      </c>
      <c r="F5878" s="6">
        <v>0</v>
      </c>
      <c r="G5878" s="6">
        <v>8</v>
      </c>
      <c r="H5878" s="6" t="s">
        <v>37394</v>
      </c>
      <c r="I5878" s="6">
        <v>527.625</v>
      </c>
      <c r="J5878" s="2">
        <f t="shared" si="91"/>
        <v>43748.894447025457</v>
      </c>
    </row>
    <row r="5879" spans="1:10" x14ac:dyDescent="0.25">
      <c r="A5879" s="7" t="s">
        <v>37395</v>
      </c>
      <c r="B5879" s="8">
        <v>428.125</v>
      </c>
      <c r="C5879" s="8">
        <v>20.426300000000001</v>
      </c>
      <c r="D5879" s="8">
        <v>82</v>
      </c>
      <c r="E5879" s="8">
        <v>0</v>
      </c>
      <c r="F5879" s="8">
        <v>0</v>
      </c>
      <c r="G5879" s="8">
        <v>4</v>
      </c>
      <c r="H5879" s="8" t="s">
        <v>37396</v>
      </c>
      <c r="I5879" s="8">
        <v>537.1875</v>
      </c>
      <c r="J5879" s="3">
        <f t="shared" si="91"/>
        <v>43748.894518310182</v>
      </c>
    </row>
    <row r="5880" spans="1:10" x14ac:dyDescent="0.25">
      <c r="A5880" s="5" t="s">
        <v>37397</v>
      </c>
      <c r="B5880" s="6">
        <v>396.875</v>
      </c>
      <c r="C5880" s="6">
        <v>20.478950000000001</v>
      </c>
      <c r="D5880" s="6">
        <v>82</v>
      </c>
      <c r="E5880" s="6">
        <v>0</v>
      </c>
      <c r="F5880" s="6">
        <v>0</v>
      </c>
      <c r="G5880" s="6">
        <v>12</v>
      </c>
      <c r="H5880" s="6" t="s">
        <v>37398</v>
      </c>
      <c r="I5880" s="6">
        <v>527.625</v>
      </c>
      <c r="J5880" s="2">
        <f t="shared" si="91"/>
        <v>43748.894601655091</v>
      </c>
    </row>
    <row r="5881" spans="1:10" x14ac:dyDescent="0.25">
      <c r="A5881" s="7" t="s">
        <v>37399</v>
      </c>
      <c r="B5881" s="8">
        <v>396.875</v>
      </c>
      <c r="C5881" s="8">
        <v>20.478950000000001</v>
      </c>
      <c r="D5881" s="8">
        <v>80</v>
      </c>
      <c r="E5881" s="8">
        <v>0</v>
      </c>
      <c r="F5881" s="8">
        <v>0</v>
      </c>
      <c r="G5881" s="8">
        <v>5</v>
      </c>
      <c r="H5881" s="8" t="s">
        <v>37400</v>
      </c>
      <c r="I5881" s="8">
        <v>527.4375</v>
      </c>
      <c r="J5881" s="3">
        <f t="shared" si="91"/>
        <v>43748.89467371528</v>
      </c>
    </row>
    <row r="5882" spans="1:10" x14ac:dyDescent="0.25">
      <c r="A5882" s="5" t="s">
        <v>37401</v>
      </c>
      <c r="B5882" s="6">
        <v>393.75</v>
      </c>
      <c r="C5882" s="6">
        <v>20.478950000000001</v>
      </c>
      <c r="D5882" s="6">
        <v>81</v>
      </c>
      <c r="E5882" s="6">
        <v>0</v>
      </c>
      <c r="F5882" s="6">
        <v>0</v>
      </c>
      <c r="G5882" s="6">
        <v>9</v>
      </c>
      <c r="H5882" s="6" t="s">
        <v>37402</v>
      </c>
      <c r="I5882" s="6">
        <v>526.6875</v>
      </c>
      <c r="J5882" s="2">
        <f t="shared" si="91"/>
        <v>43748.894745115736</v>
      </c>
    </row>
    <row r="5883" spans="1:10" x14ac:dyDescent="0.25">
      <c r="A5883" s="7" t="s">
        <v>37403</v>
      </c>
      <c r="B5883" s="8">
        <v>393.75</v>
      </c>
      <c r="C5883" s="8">
        <v>20.478950000000001</v>
      </c>
      <c r="D5883" s="8">
        <v>81</v>
      </c>
      <c r="E5883" s="8">
        <v>0</v>
      </c>
      <c r="F5883" s="8">
        <v>0</v>
      </c>
      <c r="G5883" s="8">
        <v>13</v>
      </c>
      <c r="H5883" s="8" t="s">
        <v>37404</v>
      </c>
      <c r="I5883" s="8">
        <v>526.6875</v>
      </c>
      <c r="J5883" s="3">
        <f t="shared" si="91"/>
        <v>43748.894816307868</v>
      </c>
    </row>
    <row r="5884" spans="1:10" x14ac:dyDescent="0.25">
      <c r="A5884" s="5" t="s">
        <v>37405</v>
      </c>
      <c r="B5884" s="6">
        <v>393.75</v>
      </c>
      <c r="C5884" s="6">
        <v>20.478950000000001</v>
      </c>
      <c r="D5884" s="6">
        <v>83</v>
      </c>
      <c r="E5884" s="6">
        <v>0</v>
      </c>
      <c r="F5884" s="6">
        <v>0</v>
      </c>
      <c r="G5884" s="6">
        <v>8</v>
      </c>
      <c r="H5884" s="6" t="s">
        <v>37406</v>
      </c>
      <c r="I5884" s="6">
        <v>526.6875</v>
      </c>
      <c r="J5884" s="2">
        <f t="shared" si="91"/>
        <v>43748.89488777778</v>
      </c>
    </row>
    <row r="5885" spans="1:10" x14ac:dyDescent="0.25">
      <c r="A5885" s="7" t="s">
        <v>37407</v>
      </c>
      <c r="B5885" s="8">
        <v>393.75</v>
      </c>
      <c r="C5885" s="8">
        <v>20.478950000000001</v>
      </c>
      <c r="D5885" s="8">
        <v>78</v>
      </c>
      <c r="E5885" s="8">
        <v>0</v>
      </c>
      <c r="F5885" s="8">
        <v>0</v>
      </c>
      <c r="G5885" s="8">
        <v>4</v>
      </c>
      <c r="H5885" s="8" t="s">
        <v>37408</v>
      </c>
      <c r="I5885" s="8">
        <v>526.6875</v>
      </c>
      <c r="J5885" s="3">
        <f t="shared" si="91"/>
        <v>43748.894983206017</v>
      </c>
    </row>
    <row r="5886" spans="1:10" x14ac:dyDescent="0.25">
      <c r="A5886" s="5" t="s">
        <v>37409</v>
      </c>
      <c r="B5886" s="6">
        <v>393.75</v>
      </c>
      <c r="C5886" s="6">
        <v>20.478950000000001</v>
      </c>
      <c r="D5886" s="6">
        <v>79</v>
      </c>
      <c r="E5886" s="6">
        <v>0</v>
      </c>
      <c r="F5886" s="6">
        <v>0</v>
      </c>
      <c r="G5886" s="6">
        <v>16</v>
      </c>
      <c r="H5886" s="6" t="s">
        <v>37410</v>
      </c>
      <c r="I5886" s="6">
        <v>526.6875</v>
      </c>
      <c r="J5886" s="2">
        <f t="shared" si="91"/>
        <v>43748.895055358793</v>
      </c>
    </row>
    <row r="5887" spans="1:10" x14ac:dyDescent="0.25">
      <c r="A5887" s="7" t="s">
        <v>37411</v>
      </c>
      <c r="B5887" s="8">
        <v>393.75</v>
      </c>
      <c r="C5887" s="8">
        <v>20.478950000000001</v>
      </c>
      <c r="D5887" s="8">
        <v>79</v>
      </c>
      <c r="E5887" s="8">
        <v>0</v>
      </c>
      <c r="F5887" s="8">
        <v>0</v>
      </c>
      <c r="G5887" s="8">
        <v>6</v>
      </c>
      <c r="H5887" s="8" t="s">
        <v>37412</v>
      </c>
      <c r="I5887" s="8">
        <v>526.6875</v>
      </c>
      <c r="J5887" s="3">
        <f t="shared" si="91"/>
        <v>43748.895126678239</v>
      </c>
    </row>
    <row r="5888" spans="1:10" x14ac:dyDescent="0.25">
      <c r="A5888" s="5" t="s">
        <v>37413</v>
      </c>
      <c r="B5888" s="6">
        <v>393.75</v>
      </c>
      <c r="C5888" s="6">
        <v>20.478950000000001</v>
      </c>
      <c r="D5888" s="6">
        <v>79</v>
      </c>
      <c r="E5888" s="6">
        <v>0</v>
      </c>
      <c r="F5888" s="6">
        <v>0</v>
      </c>
      <c r="G5888" s="6">
        <v>16</v>
      </c>
      <c r="H5888" s="6" t="s">
        <v>37414</v>
      </c>
      <c r="I5888" s="6">
        <v>526.6875</v>
      </c>
      <c r="J5888" s="2">
        <f t="shared" si="91"/>
        <v>43748.895198067126</v>
      </c>
    </row>
    <row r="5889" spans="1:10" x14ac:dyDescent="0.25">
      <c r="A5889" s="7" t="s">
        <v>37415</v>
      </c>
      <c r="B5889" s="8">
        <v>393.75</v>
      </c>
      <c r="C5889" s="8">
        <v>20.478950000000001</v>
      </c>
      <c r="D5889" s="8">
        <v>79</v>
      </c>
      <c r="E5889" s="8">
        <v>0</v>
      </c>
      <c r="F5889" s="8">
        <v>0</v>
      </c>
      <c r="G5889" s="8">
        <v>18</v>
      </c>
      <c r="H5889" s="8" t="s">
        <v>37416</v>
      </c>
      <c r="I5889" s="8">
        <v>526.6875</v>
      </c>
      <c r="J5889" s="3">
        <f t="shared" si="91"/>
        <v>43748.895270127316</v>
      </c>
    </row>
    <row r="5890" spans="1:10" x14ac:dyDescent="0.25">
      <c r="A5890" s="5" t="s">
        <v>37417</v>
      </c>
      <c r="B5890" s="6">
        <v>393.75</v>
      </c>
      <c r="C5890" s="6">
        <v>20.478950000000001</v>
      </c>
      <c r="D5890" s="6">
        <v>80</v>
      </c>
      <c r="E5890" s="6">
        <v>0</v>
      </c>
      <c r="F5890" s="6">
        <v>0</v>
      </c>
      <c r="G5890" s="6">
        <v>6</v>
      </c>
      <c r="H5890" s="6" t="s">
        <v>37418</v>
      </c>
      <c r="I5890" s="6">
        <v>526.5</v>
      </c>
      <c r="J5890" s="2">
        <f t="shared" ref="J5890:J5953" si="92">(H5890/86400000)+25569+(7/24)</f>
        <v>43748.895341469906</v>
      </c>
    </row>
    <row r="5891" spans="1:10" x14ac:dyDescent="0.25">
      <c r="A5891" s="7" t="s">
        <v>37419</v>
      </c>
      <c r="B5891" s="8">
        <v>393.75</v>
      </c>
      <c r="C5891" s="8">
        <v>20.478950000000001</v>
      </c>
      <c r="D5891" s="8">
        <v>80</v>
      </c>
      <c r="E5891" s="8">
        <v>0</v>
      </c>
      <c r="F5891" s="8">
        <v>0</v>
      </c>
      <c r="G5891" s="8">
        <v>12</v>
      </c>
      <c r="H5891" s="8" t="s">
        <v>37420</v>
      </c>
      <c r="I5891" s="8">
        <v>526.6875</v>
      </c>
      <c r="J5891" s="3">
        <f t="shared" si="92"/>
        <v>43748.895412777776</v>
      </c>
    </row>
    <row r="5892" spans="1:10" x14ac:dyDescent="0.25">
      <c r="A5892" s="5" t="s">
        <v>37421</v>
      </c>
      <c r="B5892" s="6">
        <v>396.875</v>
      </c>
      <c r="C5892" s="6">
        <v>20.478950000000001</v>
      </c>
      <c r="D5892" s="6">
        <v>80</v>
      </c>
      <c r="E5892" s="6">
        <v>0</v>
      </c>
      <c r="F5892" s="6">
        <v>0</v>
      </c>
      <c r="G5892" s="6">
        <v>2</v>
      </c>
      <c r="H5892" s="6" t="s">
        <v>37422</v>
      </c>
      <c r="I5892" s="6">
        <v>527.4375</v>
      </c>
      <c r="J5892" s="2">
        <f t="shared" si="92"/>
        <v>43748.895484062501</v>
      </c>
    </row>
    <row r="5893" spans="1:10" x14ac:dyDescent="0.25">
      <c r="A5893" s="7" t="s">
        <v>37423</v>
      </c>
      <c r="B5893" s="8">
        <v>396.875</v>
      </c>
      <c r="C5893" s="8">
        <v>20.478950000000001</v>
      </c>
      <c r="D5893" s="8">
        <v>80</v>
      </c>
      <c r="E5893" s="8">
        <v>0</v>
      </c>
      <c r="F5893" s="8">
        <v>0</v>
      </c>
      <c r="G5893" s="8">
        <v>13</v>
      </c>
      <c r="H5893" s="8" t="s">
        <v>37424</v>
      </c>
      <c r="I5893" s="8">
        <v>527.4375</v>
      </c>
      <c r="J5893" s="3">
        <f t="shared" si="92"/>
        <v>43748.895556296295</v>
      </c>
    </row>
    <row r="5894" spans="1:10" x14ac:dyDescent="0.25">
      <c r="A5894" s="5" t="s">
        <v>37425</v>
      </c>
      <c r="B5894" s="6">
        <v>412.5</v>
      </c>
      <c r="C5894" s="6">
        <v>20.478950000000001</v>
      </c>
      <c r="D5894" s="6">
        <v>80</v>
      </c>
      <c r="E5894" s="6">
        <v>0</v>
      </c>
      <c r="F5894" s="6">
        <v>0</v>
      </c>
      <c r="G5894" s="6">
        <v>8</v>
      </c>
      <c r="H5894" s="6" t="s">
        <v>37426</v>
      </c>
      <c r="I5894" s="6">
        <v>532.3125</v>
      </c>
      <c r="J5894" s="2">
        <f t="shared" si="92"/>
        <v>43748.895627349535</v>
      </c>
    </row>
    <row r="5895" spans="1:10" x14ac:dyDescent="0.25">
      <c r="A5895" s="7" t="s">
        <v>37427</v>
      </c>
      <c r="B5895" s="8">
        <v>393.75</v>
      </c>
      <c r="C5895" s="8">
        <v>20.478950000000001</v>
      </c>
      <c r="D5895" s="8">
        <v>80</v>
      </c>
      <c r="E5895" s="8">
        <v>0</v>
      </c>
      <c r="F5895" s="8">
        <v>0</v>
      </c>
      <c r="G5895" s="8">
        <v>9</v>
      </c>
      <c r="H5895" s="8" t="s">
        <v>37428</v>
      </c>
      <c r="I5895" s="8">
        <v>526.6875</v>
      </c>
      <c r="J5895" s="3">
        <f t="shared" si="92"/>
        <v>43748.895698900458</v>
      </c>
    </row>
    <row r="5896" spans="1:10" x14ac:dyDescent="0.25">
      <c r="A5896" s="5" t="s">
        <v>37429</v>
      </c>
      <c r="B5896" s="6">
        <v>393.75</v>
      </c>
      <c r="C5896" s="6">
        <v>20.478950000000001</v>
      </c>
      <c r="D5896" s="6">
        <v>80</v>
      </c>
      <c r="E5896" s="6">
        <v>0</v>
      </c>
      <c r="F5896" s="6">
        <v>0</v>
      </c>
      <c r="G5896" s="6">
        <v>10</v>
      </c>
      <c r="H5896" s="6" t="s">
        <v>37430</v>
      </c>
      <c r="I5896" s="6">
        <v>526.6875</v>
      </c>
      <c r="J5896" s="2">
        <f t="shared" si="92"/>
        <v>43748.895771111107</v>
      </c>
    </row>
    <row r="5897" spans="1:10" x14ac:dyDescent="0.25">
      <c r="A5897" s="7" t="s">
        <v>37431</v>
      </c>
      <c r="B5897" s="8">
        <v>393.75</v>
      </c>
      <c r="C5897" s="8">
        <v>20.478950000000001</v>
      </c>
      <c r="D5897" s="8">
        <v>78</v>
      </c>
      <c r="E5897" s="8">
        <v>0</v>
      </c>
      <c r="F5897" s="8">
        <v>0</v>
      </c>
      <c r="G5897" s="8">
        <v>12</v>
      </c>
      <c r="H5897" s="8" t="s">
        <v>37432</v>
      </c>
      <c r="I5897" s="8">
        <v>526.6875</v>
      </c>
      <c r="J5897" s="3">
        <f t="shared" si="92"/>
        <v>43748.895841909718</v>
      </c>
    </row>
    <row r="5898" spans="1:10" x14ac:dyDescent="0.25">
      <c r="A5898" s="5" t="s">
        <v>37433</v>
      </c>
      <c r="B5898" s="6">
        <v>393.75</v>
      </c>
      <c r="C5898" s="6">
        <v>20.478950000000001</v>
      </c>
      <c r="D5898" s="6">
        <v>78</v>
      </c>
      <c r="E5898" s="6">
        <v>0</v>
      </c>
      <c r="F5898" s="6">
        <v>0</v>
      </c>
      <c r="G5898" s="6">
        <v>16</v>
      </c>
      <c r="H5898" s="6" t="s">
        <v>37434</v>
      </c>
      <c r="I5898" s="6">
        <v>526.6875</v>
      </c>
      <c r="J5898" s="2">
        <f t="shared" si="92"/>
        <v>43748.895913692126</v>
      </c>
    </row>
    <row r="5899" spans="1:10" x14ac:dyDescent="0.25">
      <c r="A5899" s="7" t="s">
        <v>37435</v>
      </c>
      <c r="B5899" s="8">
        <v>393.75</v>
      </c>
      <c r="C5899" s="8">
        <v>20.478950000000001</v>
      </c>
      <c r="D5899" s="8">
        <v>78</v>
      </c>
      <c r="E5899" s="8">
        <v>0</v>
      </c>
      <c r="F5899" s="8">
        <v>0</v>
      </c>
      <c r="G5899" s="8">
        <v>7</v>
      </c>
      <c r="H5899" s="8" t="s">
        <v>37436</v>
      </c>
      <c r="I5899" s="8">
        <v>526.6875</v>
      </c>
      <c r="J5899" s="3">
        <f t="shared" si="92"/>
        <v>43748.895985069445</v>
      </c>
    </row>
    <row r="5900" spans="1:10" x14ac:dyDescent="0.25">
      <c r="A5900" s="5" t="s">
        <v>37437</v>
      </c>
      <c r="B5900" s="6">
        <v>393.75</v>
      </c>
      <c r="C5900" s="6">
        <v>20.478950000000001</v>
      </c>
      <c r="D5900" s="6">
        <v>79</v>
      </c>
      <c r="E5900" s="6">
        <v>0</v>
      </c>
      <c r="F5900" s="6">
        <v>0</v>
      </c>
      <c r="G5900" s="6">
        <v>13</v>
      </c>
      <c r="H5900" s="6" t="s">
        <v>37438</v>
      </c>
      <c r="I5900" s="6">
        <v>526.5</v>
      </c>
      <c r="J5900" s="2">
        <f t="shared" si="92"/>
        <v>43748.896057210644</v>
      </c>
    </row>
    <row r="5901" spans="1:10" x14ac:dyDescent="0.25">
      <c r="A5901" s="7" t="s">
        <v>37439</v>
      </c>
      <c r="B5901" s="8">
        <v>393.75</v>
      </c>
      <c r="C5901" s="8">
        <v>20.478950000000001</v>
      </c>
      <c r="D5901" s="8">
        <v>79</v>
      </c>
      <c r="E5901" s="8">
        <v>0</v>
      </c>
      <c r="F5901" s="8">
        <v>0</v>
      </c>
      <c r="G5901" s="8">
        <v>9</v>
      </c>
      <c r="H5901" s="8" t="s">
        <v>37440</v>
      </c>
      <c r="I5901" s="8">
        <v>526.6875</v>
      </c>
      <c r="J5901" s="3">
        <f t="shared" si="92"/>
        <v>43748.896128506945</v>
      </c>
    </row>
    <row r="5902" spans="1:10" x14ac:dyDescent="0.25">
      <c r="A5902" s="5" t="s">
        <v>37441</v>
      </c>
      <c r="B5902" s="6">
        <v>396.875</v>
      </c>
      <c r="C5902" s="6">
        <v>20.478950000000001</v>
      </c>
      <c r="D5902" s="6">
        <v>79</v>
      </c>
      <c r="E5902" s="6">
        <v>0</v>
      </c>
      <c r="F5902" s="6">
        <v>0</v>
      </c>
      <c r="G5902" s="6">
        <v>15</v>
      </c>
      <c r="H5902" s="6" t="s">
        <v>37442</v>
      </c>
      <c r="I5902" s="6">
        <v>527.4375</v>
      </c>
      <c r="J5902" s="2">
        <f t="shared" si="92"/>
        <v>43748.89619983796</v>
      </c>
    </row>
    <row r="5903" spans="1:10" x14ac:dyDescent="0.25">
      <c r="A5903" s="7" t="s">
        <v>37443</v>
      </c>
      <c r="B5903" s="8">
        <v>396.875</v>
      </c>
      <c r="C5903" s="8">
        <v>20.478950000000001</v>
      </c>
      <c r="D5903" s="8">
        <v>80</v>
      </c>
      <c r="E5903" s="8">
        <v>0</v>
      </c>
      <c r="F5903" s="8">
        <v>0</v>
      </c>
      <c r="G5903" s="8">
        <v>13</v>
      </c>
      <c r="H5903" s="8" t="s">
        <v>37444</v>
      </c>
      <c r="I5903" s="8">
        <v>527.4375</v>
      </c>
      <c r="J5903" s="3">
        <f t="shared" si="92"/>
        <v>43748.896271863421</v>
      </c>
    </row>
    <row r="5904" spans="1:10" x14ac:dyDescent="0.25">
      <c r="A5904" s="5" t="s">
        <v>37445</v>
      </c>
      <c r="B5904" s="6">
        <v>396.875</v>
      </c>
      <c r="C5904" s="6">
        <v>20.478950000000001</v>
      </c>
      <c r="D5904" s="6">
        <v>79</v>
      </c>
      <c r="E5904" s="6">
        <v>0</v>
      </c>
      <c r="F5904" s="6">
        <v>0</v>
      </c>
      <c r="G5904" s="6">
        <v>5</v>
      </c>
      <c r="H5904" s="6" t="s">
        <v>37446</v>
      </c>
      <c r="I5904" s="6">
        <v>527.4375</v>
      </c>
      <c r="J5904" s="2">
        <f t="shared" si="92"/>
        <v>43748.896343275461</v>
      </c>
    </row>
    <row r="5905" spans="1:10" x14ac:dyDescent="0.25">
      <c r="A5905" s="7" t="s">
        <v>37447</v>
      </c>
      <c r="B5905" s="8">
        <v>396.875</v>
      </c>
      <c r="C5905" s="8">
        <v>20.478950000000001</v>
      </c>
      <c r="D5905" s="8">
        <v>78</v>
      </c>
      <c r="E5905" s="8">
        <v>0</v>
      </c>
      <c r="F5905" s="8">
        <v>0</v>
      </c>
      <c r="G5905" s="8">
        <v>14</v>
      </c>
      <c r="H5905" s="8" t="s">
        <v>37448</v>
      </c>
      <c r="I5905" s="8">
        <v>527.4375</v>
      </c>
      <c r="J5905" s="3">
        <f t="shared" si="92"/>
        <v>43748.896414618051</v>
      </c>
    </row>
    <row r="5906" spans="1:10" x14ac:dyDescent="0.25">
      <c r="A5906" s="5" t="s">
        <v>37449</v>
      </c>
      <c r="B5906" s="6">
        <v>396.875</v>
      </c>
      <c r="C5906" s="6">
        <v>20.478950000000001</v>
      </c>
      <c r="D5906" s="6">
        <v>79</v>
      </c>
      <c r="E5906" s="6">
        <v>0</v>
      </c>
      <c r="F5906" s="6">
        <v>0</v>
      </c>
      <c r="G5906" s="6">
        <v>0</v>
      </c>
      <c r="H5906" s="6" t="s">
        <v>37450</v>
      </c>
      <c r="I5906" s="6">
        <v>527.4375</v>
      </c>
      <c r="J5906" s="2">
        <f t="shared" si="92"/>
        <v>43748.896497997681</v>
      </c>
    </row>
    <row r="5907" spans="1:10" x14ac:dyDescent="0.25">
      <c r="A5907" s="7" t="s">
        <v>37451</v>
      </c>
      <c r="B5907" s="8">
        <v>400</v>
      </c>
      <c r="C5907" s="8">
        <v>20.478950000000001</v>
      </c>
      <c r="D5907" s="8">
        <v>80</v>
      </c>
      <c r="E5907" s="8">
        <v>0</v>
      </c>
      <c r="F5907" s="8">
        <v>0</v>
      </c>
      <c r="G5907" s="8">
        <v>7</v>
      </c>
      <c r="H5907" s="8" t="s">
        <v>37452</v>
      </c>
      <c r="I5907" s="8">
        <v>528.1875</v>
      </c>
      <c r="J5907" s="3">
        <f t="shared" si="92"/>
        <v>43748.896569421289</v>
      </c>
    </row>
    <row r="5908" spans="1:10" x14ac:dyDescent="0.25">
      <c r="A5908" s="5" t="s">
        <v>37453</v>
      </c>
      <c r="B5908" s="6">
        <v>400</v>
      </c>
      <c r="C5908" s="6">
        <v>20.478950000000001</v>
      </c>
      <c r="D5908" s="6">
        <v>79</v>
      </c>
      <c r="E5908" s="6">
        <v>0</v>
      </c>
      <c r="F5908" s="6">
        <v>0</v>
      </c>
      <c r="G5908" s="6">
        <v>11</v>
      </c>
      <c r="H5908" s="6" t="s">
        <v>37454</v>
      </c>
      <c r="I5908" s="6">
        <v>528.1875</v>
      </c>
      <c r="J5908" s="2">
        <f t="shared" si="92"/>
        <v>43748.896641481479</v>
      </c>
    </row>
    <row r="5909" spans="1:10" x14ac:dyDescent="0.25">
      <c r="A5909" s="7" t="s">
        <v>37455</v>
      </c>
      <c r="B5909" s="8">
        <v>400</v>
      </c>
      <c r="C5909" s="8">
        <v>20.478950000000001</v>
      </c>
      <c r="D5909" s="8">
        <v>78</v>
      </c>
      <c r="E5909" s="8">
        <v>0</v>
      </c>
      <c r="F5909" s="8">
        <v>0</v>
      </c>
      <c r="G5909" s="8">
        <v>12</v>
      </c>
      <c r="H5909" s="8" t="s">
        <v>37456</v>
      </c>
      <c r="I5909" s="8">
        <v>528.1875</v>
      </c>
      <c r="J5909" s="3">
        <f t="shared" si="92"/>
        <v>43748.896712604161</v>
      </c>
    </row>
    <row r="5910" spans="1:10" x14ac:dyDescent="0.25">
      <c r="A5910" s="5" t="s">
        <v>37457</v>
      </c>
      <c r="B5910" s="6">
        <v>400</v>
      </c>
      <c r="C5910" s="6">
        <v>20.478950000000001</v>
      </c>
      <c r="D5910" s="6">
        <v>79</v>
      </c>
      <c r="E5910" s="6">
        <v>0</v>
      </c>
      <c r="F5910" s="6">
        <v>0</v>
      </c>
      <c r="G5910" s="6">
        <v>13</v>
      </c>
      <c r="H5910" s="6" t="s">
        <v>37458</v>
      </c>
      <c r="I5910" s="6">
        <v>528.375</v>
      </c>
      <c r="J5910" s="2">
        <f t="shared" si="92"/>
        <v>43748.896784131946</v>
      </c>
    </row>
    <row r="5911" spans="1:10" x14ac:dyDescent="0.25">
      <c r="A5911" s="7" t="s">
        <v>37459</v>
      </c>
      <c r="B5911" s="8">
        <v>403.125</v>
      </c>
      <c r="C5911" s="8">
        <v>20.478950000000001</v>
      </c>
      <c r="D5911" s="8">
        <v>79</v>
      </c>
      <c r="E5911" s="8">
        <v>0</v>
      </c>
      <c r="F5911" s="8">
        <v>0</v>
      </c>
      <c r="G5911" s="8">
        <v>15</v>
      </c>
      <c r="H5911" s="8" t="s">
        <v>37460</v>
      </c>
      <c r="I5911" s="8">
        <v>529.125</v>
      </c>
      <c r="J5911" s="3">
        <f t="shared" si="92"/>
        <v>43748.896856307867</v>
      </c>
    </row>
    <row r="5912" spans="1:10" x14ac:dyDescent="0.25">
      <c r="A5912" s="5" t="s">
        <v>37461</v>
      </c>
      <c r="B5912" s="6">
        <v>400</v>
      </c>
      <c r="C5912" s="6">
        <v>20.478950000000001</v>
      </c>
      <c r="D5912" s="6">
        <v>80</v>
      </c>
      <c r="E5912" s="6">
        <v>0</v>
      </c>
      <c r="F5912" s="6">
        <v>0</v>
      </c>
      <c r="G5912" s="6">
        <v>9</v>
      </c>
      <c r="H5912" s="6" t="s">
        <v>37462</v>
      </c>
      <c r="I5912" s="6">
        <v>528.1875</v>
      </c>
      <c r="J5912" s="2">
        <f t="shared" si="92"/>
        <v>43748.896939745369</v>
      </c>
    </row>
    <row r="5913" spans="1:10" x14ac:dyDescent="0.25">
      <c r="A5913" s="7" t="s">
        <v>37463</v>
      </c>
      <c r="B5913" s="8">
        <v>400</v>
      </c>
      <c r="C5913" s="8">
        <v>20.478950000000001</v>
      </c>
      <c r="D5913" s="8">
        <v>80</v>
      </c>
      <c r="E5913" s="8">
        <v>0</v>
      </c>
      <c r="F5913" s="8">
        <v>0</v>
      </c>
      <c r="G5913" s="8">
        <v>15</v>
      </c>
      <c r="H5913" s="8" t="s">
        <v>37464</v>
      </c>
      <c r="I5913" s="8">
        <v>528.1875</v>
      </c>
      <c r="J5913" s="3">
        <f t="shared" si="92"/>
        <v>43748.897010810186</v>
      </c>
    </row>
    <row r="5914" spans="1:10" x14ac:dyDescent="0.25">
      <c r="A5914" s="5" t="s">
        <v>37465</v>
      </c>
      <c r="B5914" s="6">
        <v>415.625</v>
      </c>
      <c r="C5914" s="6">
        <v>20.426300000000001</v>
      </c>
      <c r="D5914" s="6">
        <v>81</v>
      </c>
      <c r="E5914" s="6">
        <v>0</v>
      </c>
      <c r="F5914" s="6">
        <v>0</v>
      </c>
      <c r="G5914" s="6">
        <v>8</v>
      </c>
      <c r="H5914" s="6" t="s">
        <v>37466</v>
      </c>
      <c r="I5914" s="6">
        <v>533.0625</v>
      </c>
      <c r="J5914" s="2">
        <f t="shared" si="92"/>
        <v>43748.897082210642</v>
      </c>
    </row>
    <row r="5915" spans="1:10" x14ac:dyDescent="0.25">
      <c r="A5915" s="7" t="s">
        <v>37467</v>
      </c>
      <c r="B5915" s="8">
        <v>393.75</v>
      </c>
      <c r="C5915" s="8">
        <v>20.478950000000001</v>
      </c>
      <c r="D5915" s="8">
        <v>81</v>
      </c>
      <c r="E5915" s="8">
        <v>0</v>
      </c>
      <c r="F5915" s="8">
        <v>0</v>
      </c>
      <c r="G5915" s="8">
        <v>12</v>
      </c>
      <c r="H5915" s="8" t="s">
        <v>37468</v>
      </c>
      <c r="I5915" s="8">
        <v>526.6875</v>
      </c>
      <c r="J5915" s="3">
        <f t="shared" si="92"/>
        <v>43748.897153854159</v>
      </c>
    </row>
    <row r="5916" spans="1:10" x14ac:dyDescent="0.25">
      <c r="A5916" s="5" t="s">
        <v>37469</v>
      </c>
      <c r="B5916" s="6">
        <v>393.75</v>
      </c>
      <c r="C5916" s="6">
        <v>20.478950000000001</v>
      </c>
      <c r="D5916" s="6">
        <v>81</v>
      </c>
      <c r="E5916" s="6">
        <v>0</v>
      </c>
      <c r="F5916" s="6">
        <v>0</v>
      </c>
      <c r="G5916" s="6">
        <v>8</v>
      </c>
      <c r="H5916" s="6" t="s">
        <v>37470</v>
      </c>
      <c r="I5916" s="6">
        <v>526.6875</v>
      </c>
      <c r="J5916" s="2">
        <f t="shared" si="92"/>
        <v>43748.897225671295</v>
      </c>
    </row>
    <row r="5917" spans="1:10" x14ac:dyDescent="0.25">
      <c r="A5917" s="7" t="s">
        <v>37471</v>
      </c>
      <c r="B5917" s="8">
        <v>393.75</v>
      </c>
      <c r="C5917" s="8">
        <v>20.478950000000001</v>
      </c>
      <c r="D5917" s="8">
        <v>81</v>
      </c>
      <c r="E5917" s="8">
        <v>0</v>
      </c>
      <c r="F5917" s="8">
        <v>0</v>
      </c>
      <c r="G5917" s="8">
        <v>8</v>
      </c>
      <c r="H5917" s="8" t="s">
        <v>37472</v>
      </c>
      <c r="I5917" s="8">
        <v>526.6875</v>
      </c>
      <c r="J5917" s="3">
        <f t="shared" si="92"/>
        <v>43748.897297025462</v>
      </c>
    </row>
    <row r="5918" spans="1:10" x14ac:dyDescent="0.25">
      <c r="A5918" s="5" t="s">
        <v>37473</v>
      </c>
      <c r="B5918" s="6">
        <v>393.75</v>
      </c>
      <c r="C5918" s="6">
        <v>20.478950000000001</v>
      </c>
      <c r="D5918" s="6">
        <v>80</v>
      </c>
      <c r="E5918" s="6">
        <v>0</v>
      </c>
      <c r="F5918" s="6">
        <v>0</v>
      </c>
      <c r="G5918" s="6">
        <v>13</v>
      </c>
      <c r="H5918" s="6" t="s">
        <v>37474</v>
      </c>
      <c r="I5918" s="6">
        <v>526.6875</v>
      </c>
      <c r="J5918" s="2">
        <f t="shared" si="92"/>
        <v>43748.897382395829</v>
      </c>
    </row>
    <row r="5919" spans="1:10" x14ac:dyDescent="0.25">
      <c r="A5919" s="7" t="s">
        <v>37475</v>
      </c>
      <c r="B5919" s="8">
        <v>393.75</v>
      </c>
      <c r="C5919" s="8">
        <v>20.478950000000001</v>
      </c>
      <c r="D5919" s="8">
        <v>82</v>
      </c>
      <c r="E5919" s="8">
        <v>0</v>
      </c>
      <c r="F5919" s="8">
        <v>0</v>
      </c>
      <c r="G5919" s="8">
        <v>18</v>
      </c>
      <c r="H5919" s="8" t="s">
        <v>37476</v>
      </c>
      <c r="I5919" s="8">
        <v>526.6875</v>
      </c>
      <c r="J5919" s="3">
        <f t="shared" si="92"/>
        <v>43748.897464409725</v>
      </c>
    </row>
    <row r="5920" spans="1:10" x14ac:dyDescent="0.25">
      <c r="A5920" s="5" t="s">
        <v>37477</v>
      </c>
      <c r="B5920" s="6">
        <v>393.75</v>
      </c>
      <c r="C5920" s="6">
        <v>20.478950000000001</v>
      </c>
      <c r="D5920" s="6">
        <v>81</v>
      </c>
      <c r="E5920" s="6">
        <v>0</v>
      </c>
      <c r="F5920" s="6">
        <v>0</v>
      </c>
      <c r="G5920" s="6">
        <v>13</v>
      </c>
      <c r="H5920" s="6" t="s">
        <v>37478</v>
      </c>
      <c r="I5920" s="6">
        <v>526.6875</v>
      </c>
      <c r="J5920" s="2">
        <f t="shared" si="92"/>
        <v>43748.897535914344</v>
      </c>
    </row>
    <row r="5921" spans="1:10" x14ac:dyDescent="0.25">
      <c r="A5921" s="7" t="s">
        <v>37479</v>
      </c>
      <c r="B5921" s="8">
        <v>393.75</v>
      </c>
      <c r="C5921" s="8">
        <v>20.478950000000001</v>
      </c>
      <c r="D5921" s="8">
        <v>81</v>
      </c>
      <c r="E5921" s="8">
        <v>0</v>
      </c>
      <c r="F5921" s="8">
        <v>0</v>
      </c>
      <c r="G5921" s="8">
        <v>4</v>
      </c>
      <c r="H5921" s="8" t="s">
        <v>37480</v>
      </c>
      <c r="I5921" s="8">
        <v>526.6875</v>
      </c>
      <c r="J5921" s="3">
        <f t="shared" si="92"/>
        <v>43748.89761925926</v>
      </c>
    </row>
    <row r="5922" spans="1:10" x14ac:dyDescent="0.25">
      <c r="A5922" s="5" t="s">
        <v>37481</v>
      </c>
      <c r="B5922" s="6">
        <v>393.75</v>
      </c>
      <c r="C5922" s="6">
        <v>20.478950000000001</v>
      </c>
      <c r="D5922" s="6">
        <v>81</v>
      </c>
      <c r="E5922" s="6">
        <v>0</v>
      </c>
      <c r="F5922" s="6">
        <v>0</v>
      </c>
      <c r="G5922" s="6">
        <v>20</v>
      </c>
      <c r="H5922" s="6" t="s">
        <v>37482</v>
      </c>
      <c r="I5922" s="6">
        <v>526.6875</v>
      </c>
      <c r="J5922" s="2">
        <f t="shared" si="92"/>
        <v>43748.897690486112</v>
      </c>
    </row>
    <row r="5923" spans="1:10" x14ac:dyDescent="0.25">
      <c r="A5923" s="7" t="s">
        <v>37483</v>
      </c>
      <c r="B5923" s="8">
        <v>393.75</v>
      </c>
      <c r="C5923" s="8">
        <v>20.478950000000001</v>
      </c>
      <c r="D5923" s="8">
        <v>81</v>
      </c>
      <c r="E5923" s="8">
        <v>0</v>
      </c>
      <c r="F5923" s="8">
        <v>0</v>
      </c>
      <c r="G5923" s="8">
        <v>12</v>
      </c>
      <c r="H5923" s="8" t="s">
        <v>37484</v>
      </c>
      <c r="I5923" s="8">
        <v>526.6875</v>
      </c>
      <c r="J5923" s="3">
        <f t="shared" si="92"/>
        <v>43748.897761921289</v>
      </c>
    </row>
    <row r="5924" spans="1:10" x14ac:dyDescent="0.25">
      <c r="A5924" s="5" t="s">
        <v>37485</v>
      </c>
      <c r="B5924" s="6">
        <v>437.5</v>
      </c>
      <c r="C5924" s="6">
        <v>20.478950000000001</v>
      </c>
      <c r="D5924" s="6">
        <v>81</v>
      </c>
      <c r="E5924" s="6">
        <v>0</v>
      </c>
      <c r="F5924" s="6">
        <v>0</v>
      </c>
      <c r="G5924" s="6">
        <v>8</v>
      </c>
      <c r="H5924" s="6" t="s">
        <v>37486</v>
      </c>
      <c r="I5924" s="6">
        <v>540.75</v>
      </c>
      <c r="J5924" s="2">
        <f t="shared" si="92"/>
        <v>43748.897842094906</v>
      </c>
    </row>
    <row r="5925" spans="1:10" x14ac:dyDescent="0.25">
      <c r="A5925" s="7" t="s">
        <v>37487</v>
      </c>
      <c r="B5925" s="8">
        <v>396.875</v>
      </c>
      <c r="C5925" s="8">
        <v>20.478950000000001</v>
      </c>
      <c r="D5925" s="8">
        <v>80</v>
      </c>
      <c r="E5925" s="8">
        <v>0</v>
      </c>
      <c r="F5925" s="8">
        <v>0</v>
      </c>
      <c r="G5925" s="8">
        <v>15</v>
      </c>
      <c r="H5925" s="8" t="s">
        <v>37488</v>
      </c>
      <c r="I5925" s="8">
        <v>527.4375</v>
      </c>
      <c r="J5925" s="3">
        <f t="shared" si="92"/>
        <v>43748.897917407405</v>
      </c>
    </row>
    <row r="5926" spans="1:10" x14ac:dyDescent="0.25">
      <c r="A5926" s="5" t="s">
        <v>37489</v>
      </c>
      <c r="B5926" s="6">
        <v>396.875</v>
      </c>
      <c r="C5926" s="6">
        <v>20.478950000000001</v>
      </c>
      <c r="D5926" s="6">
        <v>80</v>
      </c>
      <c r="E5926" s="6">
        <v>0</v>
      </c>
      <c r="F5926" s="6">
        <v>0</v>
      </c>
      <c r="G5926" s="6">
        <v>7</v>
      </c>
      <c r="H5926" s="6" t="s">
        <v>37490</v>
      </c>
      <c r="I5926" s="6">
        <v>527.4375</v>
      </c>
      <c r="J5926" s="2">
        <f t="shared" si="92"/>
        <v>43748.898000752313</v>
      </c>
    </row>
    <row r="5927" spans="1:10" x14ac:dyDescent="0.25">
      <c r="A5927" s="7" t="s">
        <v>37491</v>
      </c>
      <c r="B5927" s="8">
        <v>396.875</v>
      </c>
      <c r="C5927" s="8">
        <v>20.478950000000001</v>
      </c>
      <c r="D5927" s="8">
        <v>82</v>
      </c>
      <c r="E5927" s="8">
        <v>0</v>
      </c>
      <c r="F5927" s="8">
        <v>0</v>
      </c>
      <c r="G5927" s="8">
        <v>13</v>
      </c>
      <c r="H5927" s="8" t="s">
        <v>37492</v>
      </c>
      <c r="I5927" s="8">
        <v>527.4375</v>
      </c>
      <c r="J5927" s="3">
        <f t="shared" si="92"/>
        <v>43748.898072048607</v>
      </c>
    </row>
    <row r="5928" spans="1:10" x14ac:dyDescent="0.25">
      <c r="A5928" s="5" t="s">
        <v>37493</v>
      </c>
      <c r="B5928" s="6">
        <v>393.75</v>
      </c>
      <c r="C5928" s="6">
        <v>20.478950000000001</v>
      </c>
      <c r="D5928" s="6">
        <v>81</v>
      </c>
      <c r="E5928" s="6">
        <v>0</v>
      </c>
      <c r="F5928" s="6">
        <v>0</v>
      </c>
      <c r="G5928" s="6">
        <v>2</v>
      </c>
      <c r="H5928" s="6" t="s">
        <v>37494</v>
      </c>
      <c r="I5928" s="6">
        <v>526.6875</v>
      </c>
      <c r="J5928" s="2">
        <f t="shared" si="92"/>
        <v>43748.898156076386</v>
      </c>
    </row>
    <row r="5929" spans="1:10" x14ac:dyDescent="0.25">
      <c r="A5929" s="7" t="s">
        <v>37495</v>
      </c>
      <c r="B5929" s="8">
        <v>393.75</v>
      </c>
      <c r="C5929" s="8">
        <v>20.478950000000001</v>
      </c>
      <c r="D5929" s="8">
        <v>78</v>
      </c>
      <c r="E5929" s="8">
        <v>0</v>
      </c>
      <c r="F5929" s="8">
        <v>0</v>
      </c>
      <c r="G5929" s="8">
        <v>8</v>
      </c>
      <c r="H5929" s="8" t="s">
        <v>37496</v>
      </c>
      <c r="I5929" s="8">
        <v>526.6875</v>
      </c>
      <c r="J5929" s="3">
        <f t="shared" si="92"/>
        <v>43748.898239618058</v>
      </c>
    </row>
    <row r="5930" spans="1:10" x14ac:dyDescent="0.25">
      <c r="A5930" s="5" t="s">
        <v>37497</v>
      </c>
      <c r="B5930" s="6">
        <v>393.75</v>
      </c>
      <c r="C5930" s="6">
        <v>20.478950000000001</v>
      </c>
      <c r="D5930" s="6">
        <v>77</v>
      </c>
      <c r="E5930" s="6">
        <v>0</v>
      </c>
      <c r="F5930" s="6">
        <v>0</v>
      </c>
      <c r="G5930" s="6">
        <v>7</v>
      </c>
      <c r="H5930" s="6" t="s">
        <v>37498</v>
      </c>
      <c r="I5930" s="6">
        <v>526.6875</v>
      </c>
      <c r="J5930" s="2">
        <f t="shared" si="92"/>
        <v>43748.898322951391</v>
      </c>
    </row>
    <row r="5931" spans="1:10" x14ac:dyDescent="0.25">
      <c r="A5931" s="7" t="s">
        <v>37499</v>
      </c>
      <c r="B5931" s="8">
        <v>393.75</v>
      </c>
      <c r="C5931" s="8">
        <v>20.478950000000001</v>
      </c>
      <c r="D5931" s="8">
        <v>76</v>
      </c>
      <c r="E5931" s="8">
        <v>0</v>
      </c>
      <c r="F5931" s="8">
        <v>0</v>
      </c>
      <c r="G5931" s="8">
        <v>9</v>
      </c>
      <c r="H5931" s="8" t="s">
        <v>37500</v>
      </c>
      <c r="I5931" s="8">
        <v>526.6875</v>
      </c>
      <c r="J5931" s="3">
        <f t="shared" si="92"/>
        <v>43748.898394247684</v>
      </c>
    </row>
    <row r="5932" spans="1:10" x14ac:dyDescent="0.25">
      <c r="A5932" s="5" t="s">
        <v>37501</v>
      </c>
      <c r="B5932" s="6">
        <v>393.75</v>
      </c>
      <c r="C5932" s="6">
        <v>20.478950000000001</v>
      </c>
      <c r="D5932" s="6">
        <v>75</v>
      </c>
      <c r="E5932" s="6">
        <v>0</v>
      </c>
      <c r="F5932" s="6">
        <v>0</v>
      </c>
      <c r="G5932" s="6">
        <v>7</v>
      </c>
      <c r="H5932" s="6" t="s">
        <v>37502</v>
      </c>
      <c r="I5932" s="6">
        <v>526.6875</v>
      </c>
      <c r="J5932" s="2">
        <f t="shared" si="92"/>
        <v>43748.898465555554</v>
      </c>
    </row>
    <row r="5933" spans="1:10" x14ac:dyDescent="0.25">
      <c r="A5933" s="7" t="s">
        <v>37503</v>
      </c>
      <c r="B5933" s="8">
        <v>393.75</v>
      </c>
      <c r="C5933" s="8">
        <v>20.478950000000001</v>
      </c>
      <c r="D5933" s="8">
        <v>76</v>
      </c>
      <c r="E5933" s="8">
        <v>0</v>
      </c>
      <c r="F5933" s="8">
        <v>0</v>
      </c>
      <c r="G5933" s="8">
        <v>8</v>
      </c>
      <c r="H5933" s="8" t="s">
        <v>37504</v>
      </c>
      <c r="I5933" s="8">
        <v>526.6875</v>
      </c>
      <c r="J5933" s="3">
        <f t="shared" si="92"/>
        <v>43748.89854913194</v>
      </c>
    </row>
    <row r="5934" spans="1:10" x14ac:dyDescent="0.25">
      <c r="A5934" s="5" t="s">
        <v>37505</v>
      </c>
      <c r="B5934" s="6">
        <v>393.75</v>
      </c>
      <c r="C5934" s="6">
        <v>20.478950000000001</v>
      </c>
      <c r="D5934" s="6">
        <v>77</v>
      </c>
      <c r="E5934" s="6">
        <v>0</v>
      </c>
      <c r="F5934" s="6">
        <v>0</v>
      </c>
      <c r="G5934" s="6">
        <v>8</v>
      </c>
      <c r="H5934" s="6" t="s">
        <v>37506</v>
      </c>
      <c r="I5934" s="6">
        <v>526.5</v>
      </c>
      <c r="J5934" s="2">
        <f t="shared" si="92"/>
        <v>43748.898621053238</v>
      </c>
    </row>
    <row r="5935" spans="1:10" x14ac:dyDescent="0.25">
      <c r="A5935" s="7" t="s">
        <v>37507</v>
      </c>
      <c r="B5935" s="8">
        <v>393.75</v>
      </c>
      <c r="C5935" s="8">
        <v>20.478950000000001</v>
      </c>
      <c r="D5935" s="8">
        <v>77</v>
      </c>
      <c r="E5935" s="8">
        <v>0</v>
      </c>
      <c r="F5935" s="8">
        <v>0</v>
      </c>
      <c r="G5935" s="8">
        <v>13</v>
      </c>
      <c r="H5935" s="8" t="s">
        <v>37508</v>
      </c>
      <c r="I5935" s="8">
        <v>526.6875</v>
      </c>
      <c r="J5935" s="3">
        <f t="shared" si="92"/>
        <v>43748.898704432868</v>
      </c>
    </row>
    <row r="5936" spans="1:10" x14ac:dyDescent="0.25">
      <c r="A5936" s="5" t="s">
        <v>37509</v>
      </c>
      <c r="B5936" s="6">
        <v>393.75</v>
      </c>
      <c r="C5936" s="6">
        <v>20.478950000000001</v>
      </c>
      <c r="D5936" s="6">
        <v>77</v>
      </c>
      <c r="E5936" s="6">
        <v>0</v>
      </c>
      <c r="F5936" s="6">
        <v>0</v>
      </c>
      <c r="G5936" s="6">
        <v>13</v>
      </c>
      <c r="H5936" s="6" t="s">
        <v>37510</v>
      </c>
      <c r="I5936" s="6">
        <v>526.6875</v>
      </c>
      <c r="J5936" s="2">
        <f t="shared" si="92"/>
        <v>43748.898775752314</v>
      </c>
    </row>
    <row r="5937" spans="1:10" x14ac:dyDescent="0.25">
      <c r="A5937" s="7" t="s">
        <v>37511</v>
      </c>
      <c r="B5937" s="8">
        <v>393.75</v>
      </c>
      <c r="C5937" s="8">
        <v>20.478950000000001</v>
      </c>
      <c r="D5937" s="8">
        <v>76</v>
      </c>
      <c r="E5937" s="8">
        <v>0</v>
      </c>
      <c r="F5937" s="8">
        <v>0</v>
      </c>
      <c r="G5937" s="8">
        <v>19</v>
      </c>
      <c r="H5937" s="8" t="s">
        <v>37512</v>
      </c>
      <c r="I5937" s="8">
        <v>526.5</v>
      </c>
      <c r="J5937" s="3">
        <f t="shared" si="92"/>
        <v>43748.898847060183</v>
      </c>
    </row>
    <row r="5938" spans="1:10" x14ac:dyDescent="0.25">
      <c r="A5938" s="5" t="s">
        <v>37513</v>
      </c>
      <c r="B5938" s="6">
        <v>393.75</v>
      </c>
      <c r="C5938" s="6">
        <v>20.478950000000001</v>
      </c>
      <c r="D5938" s="6">
        <v>76</v>
      </c>
      <c r="E5938" s="6">
        <v>0</v>
      </c>
      <c r="F5938" s="6">
        <v>0</v>
      </c>
      <c r="G5938" s="6">
        <v>11</v>
      </c>
      <c r="H5938" s="6" t="s">
        <v>37514</v>
      </c>
      <c r="I5938" s="6">
        <v>526.6875</v>
      </c>
      <c r="J5938" s="2">
        <f t="shared" si="92"/>
        <v>43748.89891924768</v>
      </c>
    </row>
    <row r="5939" spans="1:10" x14ac:dyDescent="0.25">
      <c r="A5939" s="7" t="s">
        <v>37515</v>
      </c>
      <c r="B5939" s="8">
        <v>393.75</v>
      </c>
      <c r="C5939" s="8">
        <v>20.478950000000001</v>
      </c>
      <c r="D5939" s="8">
        <v>76</v>
      </c>
      <c r="E5939" s="8">
        <v>0</v>
      </c>
      <c r="F5939" s="8">
        <v>0</v>
      </c>
      <c r="G5939" s="8">
        <v>10</v>
      </c>
      <c r="H5939" s="8" t="s">
        <v>37516</v>
      </c>
      <c r="I5939" s="8">
        <v>526.6875</v>
      </c>
      <c r="J5939" s="3">
        <f t="shared" si="92"/>
        <v>43748.898990578702</v>
      </c>
    </row>
    <row r="5940" spans="1:10" x14ac:dyDescent="0.25">
      <c r="A5940" s="5" t="s">
        <v>37517</v>
      </c>
      <c r="B5940" s="6">
        <v>393.75</v>
      </c>
      <c r="C5940" s="6">
        <v>20.478950000000001</v>
      </c>
      <c r="D5940" s="6">
        <v>77</v>
      </c>
      <c r="E5940" s="6">
        <v>0</v>
      </c>
      <c r="F5940" s="6">
        <v>0</v>
      </c>
      <c r="G5940" s="6">
        <v>9</v>
      </c>
      <c r="H5940" s="6" t="s">
        <v>37518</v>
      </c>
      <c r="I5940" s="6">
        <v>526.6875</v>
      </c>
      <c r="J5940" s="2">
        <f t="shared" si="92"/>
        <v>43748.899073877314</v>
      </c>
    </row>
    <row r="5941" spans="1:10" x14ac:dyDescent="0.25">
      <c r="A5941" s="7" t="s">
        <v>37519</v>
      </c>
      <c r="B5941" s="8">
        <v>393.75</v>
      </c>
      <c r="C5941" s="8">
        <v>20.478950000000001</v>
      </c>
      <c r="D5941" s="8">
        <v>76</v>
      </c>
      <c r="E5941" s="8">
        <v>0</v>
      </c>
      <c r="F5941" s="8">
        <v>0</v>
      </c>
      <c r="G5941" s="8">
        <v>7</v>
      </c>
      <c r="H5941" s="8" t="s">
        <v>37520</v>
      </c>
      <c r="I5941" s="8">
        <v>526.6875</v>
      </c>
      <c r="J5941" s="3">
        <f t="shared" si="92"/>
        <v>43748.899146041666</v>
      </c>
    </row>
    <row r="5942" spans="1:10" x14ac:dyDescent="0.25">
      <c r="A5942" s="5" t="s">
        <v>37521</v>
      </c>
      <c r="B5942" s="6">
        <v>393.75</v>
      </c>
      <c r="C5942" s="6">
        <v>20.478950000000001</v>
      </c>
      <c r="D5942" s="6">
        <v>77</v>
      </c>
      <c r="E5942" s="6">
        <v>0</v>
      </c>
      <c r="F5942" s="6">
        <v>0</v>
      </c>
      <c r="G5942" s="6">
        <v>12</v>
      </c>
      <c r="H5942" s="6" t="s">
        <v>37522</v>
      </c>
      <c r="I5942" s="6">
        <v>526.6875</v>
      </c>
      <c r="J5942" s="2">
        <f t="shared" si="92"/>
        <v>43748.899217384256</v>
      </c>
    </row>
    <row r="5943" spans="1:10" x14ac:dyDescent="0.25">
      <c r="A5943" s="7" t="s">
        <v>37523</v>
      </c>
      <c r="B5943" s="8">
        <v>431.25</v>
      </c>
      <c r="C5943" s="8">
        <v>20.478950000000001</v>
      </c>
      <c r="D5943" s="8">
        <v>78</v>
      </c>
      <c r="E5943" s="8">
        <v>0</v>
      </c>
      <c r="F5943" s="8">
        <v>0</v>
      </c>
      <c r="G5943" s="8">
        <v>11</v>
      </c>
      <c r="H5943" s="8" t="s">
        <v>37524</v>
      </c>
      <c r="I5943" s="8">
        <v>538.3125</v>
      </c>
      <c r="J5943" s="3">
        <f t="shared" si="92"/>
        <v>43748.899309803237</v>
      </c>
    </row>
    <row r="5944" spans="1:10" x14ac:dyDescent="0.25">
      <c r="A5944" s="5" t="s">
        <v>37525</v>
      </c>
      <c r="B5944" s="6">
        <v>393.75</v>
      </c>
      <c r="C5944" s="6">
        <v>20.478950000000001</v>
      </c>
      <c r="D5944" s="6">
        <v>79</v>
      </c>
      <c r="E5944" s="6">
        <v>0</v>
      </c>
      <c r="F5944" s="6">
        <v>0</v>
      </c>
      <c r="G5944" s="6">
        <v>4</v>
      </c>
      <c r="H5944" s="6" t="s">
        <v>37526</v>
      </c>
      <c r="I5944" s="6">
        <v>526.6875</v>
      </c>
      <c r="J5944" s="2">
        <f t="shared" si="92"/>
        <v>43748.899384108794</v>
      </c>
    </row>
    <row r="5945" spans="1:10" x14ac:dyDescent="0.25">
      <c r="A5945" s="7" t="s">
        <v>37527</v>
      </c>
      <c r="B5945" s="8">
        <v>393.75</v>
      </c>
      <c r="C5945" s="8">
        <v>20.478950000000001</v>
      </c>
      <c r="D5945" s="8">
        <v>78</v>
      </c>
      <c r="E5945" s="8">
        <v>0</v>
      </c>
      <c r="F5945" s="8">
        <v>0</v>
      </c>
      <c r="G5945" s="8">
        <v>13</v>
      </c>
      <c r="H5945" s="8" t="s">
        <v>37528</v>
      </c>
      <c r="I5945" s="8">
        <v>526.6875</v>
      </c>
      <c r="J5945" s="3">
        <f t="shared" si="92"/>
        <v>43748.899455474537</v>
      </c>
    </row>
    <row r="5946" spans="1:10" x14ac:dyDescent="0.25">
      <c r="A5946" s="5" t="s">
        <v>37529</v>
      </c>
      <c r="B5946" s="6">
        <v>393.75</v>
      </c>
      <c r="C5946" s="6">
        <v>20.478950000000001</v>
      </c>
      <c r="D5946" s="6">
        <v>78</v>
      </c>
      <c r="E5946" s="6">
        <v>0</v>
      </c>
      <c r="F5946" s="6">
        <v>0</v>
      </c>
      <c r="G5946" s="6">
        <v>18</v>
      </c>
      <c r="H5946" s="6" t="s">
        <v>37530</v>
      </c>
      <c r="I5946" s="6">
        <v>526.6875</v>
      </c>
      <c r="J5946" s="2">
        <f t="shared" si="92"/>
        <v>43748.899539618054</v>
      </c>
    </row>
    <row r="5947" spans="1:10" x14ac:dyDescent="0.25">
      <c r="A5947" s="7" t="s">
        <v>37531</v>
      </c>
      <c r="B5947" s="8">
        <v>393.75</v>
      </c>
      <c r="C5947" s="8">
        <v>20.478950000000001</v>
      </c>
      <c r="D5947" s="8">
        <v>78</v>
      </c>
      <c r="E5947" s="8">
        <v>0</v>
      </c>
      <c r="F5947" s="8">
        <v>0</v>
      </c>
      <c r="G5947" s="8">
        <v>11</v>
      </c>
      <c r="H5947" s="8" t="s">
        <v>37532</v>
      </c>
      <c r="I5947" s="8">
        <v>526.6875</v>
      </c>
      <c r="J5947" s="3">
        <f t="shared" si="92"/>
        <v>43748.899610937493</v>
      </c>
    </row>
    <row r="5948" spans="1:10" x14ac:dyDescent="0.25">
      <c r="A5948" s="5" t="s">
        <v>37533</v>
      </c>
      <c r="B5948" s="6">
        <v>393.75</v>
      </c>
      <c r="C5948" s="6">
        <v>20.478950000000001</v>
      </c>
      <c r="D5948" s="6">
        <v>77</v>
      </c>
      <c r="E5948" s="6">
        <v>0</v>
      </c>
      <c r="F5948" s="6">
        <v>0</v>
      </c>
      <c r="G5948" s="6">
        <v>11</v>
      </c>
      <c r="H5948" s="6" t="s">
        <v>37534</v>
      </c>
      <c r="I5948" s="6">
        <v>526.6875</v>
      </c>
      <c r="J5948" s="2">
        <f t="shared" si="92"/>
        <v>43748.89969385416</v>
      </c>
    </row>
    <row r="5949" spans="1:10" x14ac:dyDescent="0.25">
      <c r="A5949" s="7" t="s">
        <v>37535</v>
      </c>
      <c r="B5949" s="8">
        <v>393.75</v>
      </c>
      <c r="C5949" s="8">
        <v>20.478950000000001</v>
      </c>
      <c r="D5949" s="8">
        <v>77</v>
      </c>
      <c r="E5949" s="8">
        <v>0</v>
      </c>
      <c r="F5949" s="8">
        <v>0</v>
      </c>
      <c r="G5949" s="8">
        <v>4</v>
      </c>
      <c r="H5949" s="8" t="s">
        <v>37536</v>
      </c>
      <c r="I5949" s="8">
        <v>526.6875</v>
      </c>
      <c r="J5949" s="3">
        <f t="shared" si="92"/>
        <v>43748.899765624992</v>
      </c>
    </row>
    <row r="5950" spans="1:10" x14ac:dyDescent="0.25">
      <c r="A5950" s="5" t="s">
        <v>37537</v>
      </c>
      <c r="B5950" s="6">
        <v>393.75</v>
      </c>
      <c r="C5950" s="6">
        <v>20.478950000000001</v>
      </c>
      <c r="D5950" s="6">
        <v>77</v>
      </c>
      <c r="E5950" s="6">
        <v>0</v>
      </c>
      <c r="F5950" s="6">
        <v>0</v>
      </c>
      <c r="G5950" s="6">
        <v>17</v>
      </c>
      <c r="H5950" s="6" t="s">
        <v>37538</v>
      </c>
      <c r="I5950" s="6">
        <v>526.6875</v>
      </c>
      <c r="J5950" s="2">
        <f t="shared" si="92"/>
        <v>43748.899837777775</v>
      </c>
    </row>
    <row r="5951" spans="1:10" x14ac:dyDescent="0.25">
      <c r="A5951" s="7" t="s">
        <v>37539</v>
      </c>
      <c r="B5951" s="8">
        <v>393.75</v>
      </c>
      <c r="C5951" s="8">
        <v>20.478950000000001</v>
      </c>
      <c r="D5951" s="8">
        <v>77</v>
      </c>
      <c r="E5951" s="8">
        <v>0</v>
      </c>
      <c r="F5951" s="8">
        <v>0</v>
      </c>
      <c r="G5951" s="8">
        <v>11</v>
      </c>
      <c r="H5951" s="8" t="s">
        <v>37540</v>
      </c>
      <c r="I5951" s="8">
        <v>526.6875</v>
      </c>
      <c r="J5951" s="3">
        <f t="shared" si="92"/>
        <v>43748.899909074076</v>
      </c>
    </row>
    <row r="5952" spans="1:10" x14ac:dyDescent="0.25">
      <c r="A5952" s="5" t="s">
        <v>37541</v>
      </c>
      <c r="B5952" s="6">
        <v>393.75</v>
      </c>
      <c r="C5952" s="6">
        <v>20.478950000000001</v>
      </c>
      <c r="D5952" s="6">
        <v>78</v>
      </c>
      <c r="E5952" s="6">
        <v>0</v>
      </c>
      <c r="F5952" s="6">
        <v>0</v>
      </c>
      <c r="G5952" s="6">
        <v>9</v>
      </c>
      <c r="H5952" s="6" t="s">
        <v>37542</v>
      </c>
      <c r="I5952" s="6">
        <v>526.6875</v>
      </c>
      <c r="J5952" s="2">
        <f t="shared" si="92"/>
        <v>43748.899992407409</v>
      </c>
    </row>
    <row r="5953" spans="1:10" x14ac:dyDescent="0.25">
      <c r="A5953" s="7" t="s">
        <v>37543</v>
      </c>
      <c r="B5953" s="8">
        <v>393.75</v>
      </c>
      <c r="C5953" s="8">
        <v>20.478950000000001</v>
      </c>
      <c r="D5953" s="8">
        <v>81</v>
      </c>
      <c r="E5953" s="8">
        <v>0</v>
      </c>
      <c r="F5953" s="8">
        <v>0</v>
      </c>
      <c r="G5953" s="8">
        <v>14</v>
      </c>
      <c r="H5953" s="8" t="s">
        <v>37544</v>
      </c>
      <c r="I5953" s="8">
        <v>526.6875</v>
      </c>
      <c r="J5953" s="3">
        <f t="shared" si="92"/>
        <v>43748.900063773144</v>
      </c>
    </row>
    <row r="5954" spans="1:10" x14ac:dyDescent="0.25">
      <c r="A5954" s="5" t="s">
        <v>37545</v>
      </c>
      <c r="B5954" s="6">
        <v>393.75</v>
      </c>
      <c r="C5954" s="6">
        <v>20.478950000000001</v>
      </c>
      <c r="D5954" s="6">
        <v>81</v>
      </c>
      <c r="E5954" s="6">
        <v>0</v>
      </c>
      <c r="F5954" s="6">
        <v>0</v>
      </c>
      <c r="G5954" s="6">
        <v>12</v>
      </c>
      <c r="H5954" s="6" t="s">
        <v>37546</v>
      </c>
      <c r="I5954" s="6">
        <v>526.6875</v>
      </c>
      <c r="J5954" s="2">
        <f t="shared" ref="J5954:J6017" si="93">(H5954/86400000)+25569+(7/24)</f>
        <v>43748.90013592592</v>
      </c>
    </row>
    <row r="5955" spans="1:10" x14ac:dyDescent="0.25">
      <c r="A5955" s="7" t="s">
        <v>37547</v>
      </c>
      <c r="B5955" s="8">
        <v>393.75</v>
      </c>
      <c r="C5955" s="8">
        <v>20.478950000000001</v>
      </c>
      <c r="D5955" s="8">
        <v>81</v>
      </c>
      <c r="E5955" s="8">
        <v>0</v>
      </c>
      <c r="F5955" s="8">
        <v>0</v>
      </c>
      <c r="G5955" s="8">
        <v>17</v>
      </c>
      <c r="H5955" s="8" t="s">
        <v>37548</v>
      </c>
      <c r="I5955" s="8">
        <v>526.6875</v>
      </c>
      <c r="J5955" s="3">
        <f t="shared" si="93"/>
        <v>43748.900207245366</v>
      </c>
    </row>
    <row r="5956" spans="1:10" x14ac:dyDescent="0.25">
      <c r="A5956" s="5" t="s">
        <v>37549</v>
      </c>
      <c r="B5956" s="6">
        <v>412.5</v>
      </c>
      <c r="C5956" s="6">
        <v>20.478950000000001</v>
      </c>
      <c r="D5956" s="6">
        <v>81</v>
      </c>
      <c r="E5956" s="6">
        <v>0</v>
      </c>
      <c r="F5956" s="6">
        <v>0</v>
      </c>
      <c r="G5956" s="6">
        <v>12</v>
      </c>
      <c r="H5956" s="6" t="s">
        <v>37550</v>
      </c>
      <c r="I5956" s="6">
        <v>532.6875</v>
      </c>
      <c r="J5956" s="2">
        <f t="shared" si="93"/>
        <v>43748.900278506939</v>
      </c>
    </row>
    <row r="5957" spans="1:10" x14ac:dyDescent="0.25">
      <c r="A5957" s="7" t="s">
        <v>37551</v>
      </c>
      <c r="B5957" s="8">
        <v>393.75</v>
      </c>
      <c r="C5957" s="8">
        <v>20.478950000000001</v>
      </c>
      <c r="D5957" s="8">
        <v>81</v>
      </c>
      <c r="E5957" s="8">
        <v>0</v>
      </c>
      <c r="F5957" s="8">
        <v>0</v>
      </c>
      <c r="G5957" s="8">
        <v>23</v>
      </c>
      <c r="H5957" s="8" t="s">
        <v>37552</v>
      </c>
      <c r="I5957" s="8">
        <v>526.6875</v>
      </c>
      <c r="J5957" s="3">
        <f t="shared" si="93"/>
        <v>43748.900350717588</v>
      </c>
    </row>
    <row r="5958" spans="1:10" x14ac:dyDescent="0.25">
      <c r="A5958" s="5" t="s">
        <v>37553</v>
      </c>
      <c r="B5958" s="6">
        <v>393.75</v>
      </c>
      <c r="C5958" s="6">
        <v>20.478950000000001</v>
      </c>
      <c r="D5958" s="6">
        <v>81</v>
      </c>
      <c r="E5958" s="6">
        <v>0</v>
      </c>
      <c r="F5958" s="6">
        <v>0</v>
      </c>
      <c r="G5958" s="6">
        <v>5</v>
      </c>
      <c r="H5958" s="6" t="s">
        <v>37554</v>
      </c>
      <c r="I5958" s="6">
        <v>526.6875</v>
      </c>
      <c r="J5958" s="2">
        <f t="shared" si="93"/>
        <v>43748.900421168983</v>
      </c>
    </row>
    <row r="5959" spans="1:10" x14ac:dyDescent="0.25">
      <c r="A5959" s="7" t="s">
        <v>37555</v>
      </c>
      <c r="B5959" s="8">
        <v>393.75</v>
      </c>
      <c r="C5959" s="8">
        <v>20.478950000000001</v>
      </c>
      <c r="D5959" s="8">
        <v>80</v>
      </c>
      <c r="E5959" s="8">
        <v>0</v>
      </c>
      <c r="F5959" s="8">
        <v>0</v>
      </c>
      <c r="G5959" s="8">
        <v>17</v>
      </c>
      <c r="H5959" s="8" t="s">
        <v>37556</v>
      </c>
      <c r="I5959" s="8">
        <v>526.6875</v>
      </c>
      <c r="J5959" s="3">
        <f t="shared" si="93"/>
        <v>43748.900493344903</v>
      </c>
    </row>
    <row r="5960" spans="1:10" x14ac:dyDescent="0.25">
      <c r="A5960" s="5" t="s">
        <v>37557</v>
      </c>
      <c r="B5960" s="6">
        <v>393.75</v>
      </c>
      <c r="C5960" s="6">
        <v>20.478950000000001</v>
      </c>
      <c r="D5960" s="6">
        <v>80</v>
      </c>
      <c r="E5960" s="6">
        <v>0</v>
      </c>
      <c r="F5960" s="6">
        <v>0</v>
      </c>
      <c r="G5960" s="6">
        <v>14</v>
      </c>
      <c r="H5960" s="6" t="s">
        <v>37558</v>
      </c>
      <c r="I5960" s="6">
        <v>526.6875</v>
      </c>
      <c r="J5960" s="2">
        <f t="shared" si="93"/>
        <v>43748.900564641204</v>
      </c>
    </row>
    <row r="5961" spans="1:10" x14ac:dyDescent="0.25">
      <c r="A5961" s="7" t="s">
        <v>37559</v>
      </c>
      <c r="B5961" s="8">
        <v>393.75</v>
      </c>
      <c r="C5961" s="8">
        <v>20.478950000000001</v>
      </c>
      <c r="D5961" s="8">
        <v>80</v>
      </c>
      <c r="E5961" s="8">
        <v>0</v>
      </c>
      <c r="F5961" s="8">
        <v>0</v>
      </c>
      <c r="G5961" s="8">
        <v>24</v>
      </c>
      <c r="H5961" s="8" t="s">
        <v>37560</v>
      </c>
      <c r="I5961" s="8">
        <v>526.6875</v>
      </c>
      <c r="J5961" s="3">
        <f t="shared" si="93"/>
        <v>43748.900636805549</v>
      </c>
    </row>
    <row r="5962" spans="1:10" x14ac:dyDescent="0.25">
      <c r="A5962" s="5" t="s">
        <v>37561</v>
      </c>
      <c r="B5962" s="6">
        <v>393.75</v>
      </c>
      <c r="C5962" s="6">
        <v>20.478950000000001</v>
      </c>
      <c r="D5962" s="6">
        <v>80</v>
      </c>
      <c r="E5962" s="6">
        <v>0</v>
      </c>
      <c r="F5962" s="6">
        <v>0</v>
      </c>
      <c r="G5962" s="6">
        <v>13</v>
      </c>
      <c r="H5962" s="6" t="s">
        <v>37562</v>
      </c>
      <c r="I5962" s="6">
        <v>526.6875</v>
      </c>
      <c r="J5962" s="2">
        <f t="shared" si="93"/>
        <v>43748.900708148147</v>
      </c>
    </row>
    <row r="5963" spans="1:10" x14ac:dyDescent="0.25">
      <c r="A5963" s="7" t="s">
        <v>37563</v>
      </c>
      <c r="B5963" s="8">
        <v>393.75</v>
      </c>
      <c r="C5963" s="8">
        <v>20.426300000000001</v>
      </c>
      <c r="D5963" s="8">
        <v>80</v>
      </c>
      <c r="E5963" s="8">
        <v>0</v>
      </c>
      <c r="F5963" s="8">
        <v>0</v>
      </c>
      <c r="G5963" s="8">
        <v>20</v>
      </c>
      <c r="H5963" s="8" t="s">
        <v>37564</v>
      </c>
      <c r="I5963" s="8">
        <v>526.6875</v>
      </c>
      <c r="J5963" s="3">
        <f t="shared" si="93"/>
        <v>43748.900779456017</v>
      </c>
    </row>
    <row r="5964" spans="1:10" x14ac:dyDescent="0.25">
      <c r="A5964" s="5" t="s">
        <v>37565</v>
      </c>
      <c r="B5964" s="6">
        <v>393.75</v>
      </c>
      <c r="C5964" s="6">
        <v>20.478950000000001</v>
      </c>
      <c r="D5964" s="6">
        <v>80</v>
      </c>
      <c r="E5964" s="6">
        <v>0</v>
      </c>
      <c r="F5964" s="6">
        <v>0</v>
      </c>
      <c r="G5964" s="6">
        <v>12</v>
      </c>
      <c r="H5964" s="6" t="s">
        <v>37566</v>
      </c>
      <c r="I5964" s="6">
        <v>526.6875</v>
      </c>
      <c r="J5964" s="2">
        <f t="shared" si="93"/>
        <v>43748.900850798607</v>
      </c>
    </row>
    <row r="5965" spans="1:10" x14ac:dyDescent="0.25">
      <c r="A5965" s="7" t="s">
        <v>37567</v>
      </c>
      <c r="B5965" s="8">
        <v>412.5</v>
      </c>
      <c r="C5965" s="8">
        <v>20.478950000000001</v>
      </c>
      <c r="D5965" s="8">
        <v>83</v>
      </c>
      <c r="E5965" s="8">
        <v>0</v>
      </c>
      <c r="F5965" s="8">
        <v>0</v>
      </c>
      <c r="G5965" s="8">
        <v>9</v>
      </c>
      <c r="H5965" s="8" t="s">
        <v>37568</v>
      </c>
      <c r="I5965" s="8">
        <v>532.3125</v>
      </c>
      <c r="J5965" s="3">
        <f t="shared" si="93"/>
        <v>43748.900922916662</v>
      </c>
    </row>
    <row r="5966" spans="1:10" x14ac:dyDescent="0.25">
      <c r="A5966" s="5" t="s">
        <v>37569</v>
      </c>
      <c r="B5966" s="6">
        <v>393.75</v>
      </c>
      <c r="C5966" s="6">
        <v>20.478950000000001</v>
      </c>
      <c r="D5966" s="6">
        <v>83</v>
      </c>
      <c r="E5966" s="6">
        <v>0</v>
      </c>
      <c r="F5966" s="6">
        <v>0</v>
      </c>
      <c r="G5966" s="6">
        <v>8</v>
      </c>
      <c r="H5966" s="6" t="s">
        <v>37570</v>
      </c>
      <c r="I5966" s="6">
        <v>526.6875</v>
      </c>
      <c r="J5966" s="2">
        <f t="shared" si="93"/>
        <v>43748.901006342589</v>
      </c>
    </row>
    <row r="5967" spans="1:10" x14ac:dyDescent="0.25">
      <c r="A5967" s="7" t="s">
        <v>37571</v>
      </c>
      <c r="B5967" s="8">
        <v>393.75</v>
      </c>
      <c r="C5967" s="8">
        <v>20.478950000000001</v>
      </c>
      <c r="D5967" s="8">
        <v>82</v>
      </c>
      <c r="E5967" s="8">
        <v>0</v>
      </c>
      <c r="F5967" s="8">
        <v>0</v>
      </c>
      <c r="G5967" s="8">
        <v>11</v>
      </c>
      <c r="H5967" s="8" t="s">
        <v>37572</v>
      </c>
      <c r="I5967" s="8">
        <v>526.6875</v>
      </c>
      <c r="J5967" s="3">
        <f t="shared" si="93"/>
        <v>43748.901077604161</v>
      </c>
    </row>
    <row r="5968" spans="1:10" x14ac:dyDescent="0.25">
      <c r="A5968" s="5" t="s">
        <v>37573</v>
      </c>
      <c r="B5968" s="6">
        <v>393.75</v>
      </c>
      <c r="C5968" s="6">
        <v>20.478950000000001</v>
      </c>
      <c r="D5968" s="6">
        <v>82</v>
      </c>
      <c r="E5968" s="6">
        <v>0</v>
      </c>
      <c r="F5968" s="6">
        <v>0</v>
      </c>
      <c r="G5968" s="6">
        <v>10</v>
      </c>
      <c r="H5968" s="6" t="s">
        <v>37574</v>
      </c>
      <c r="I5968" s="6">
        <v>526.6875</v>
      </c>
      <c r="J5968" s="2">
        <f t="shared" si="93"/>
        <v>43748.901149583333</v>
      </c>
    </row>
    <row r="5969" spans="1:10" x14ac:dyDescent="0.25">
      <c r="A5969" s="7" t="s">
        <v>37575</v>
      </c>
      <c r="B5969" s="8">
        <v>393.75</v>
      </c>
      <c r="C5969" s="8">
        <v>20.478950000000001</v>
      </c>
      <c r="D5969" s="8">
        <v>82</v>
      </c>
      <c r="E5969" s="8">
        <v>0</v>
      </c>
      <c r="F5969" s="8">
        <v>0</v>
      </c>
      <c r="G5969" s="8">
        <v>17</v>
      </c>
      <c r="H5969" s="8" t="s">
        <v>37576</v>
      </c>
      <c r="I5969" s="8">
        <v>526.6875</v>
      </c>
      <c r="J5969" s="3">
        <f t="shared" si="93"/>
        <v>43748.901221215274</v>
      </c>
    </row>
    <row r="5970" spans="1:10" x14ac:dyDescent="0.25">
      <c r="A5970" s="5" t="s">
        <v>37577</v>
      </c>
      <c r="B5970" s="6">
        <v>393.75</v>
      </c>
      <c r="C5970" s="6">
        <v>20.478950000000001</v>
      </c>
      <c r="D5970" s="6">
        <v>81</v>
      </c>
      <c r="E5970" s="6">
        <v>0</v>
      </c>
      <c r="F5970" s="6">
        <v>0</v>
      </c>
      <c r="G5970" s="6">
        <v>11</v>
      </c>
      <c r="H5970" s="6" t="s">
        <v>37578</v>
      </c>
      <c r="I5970" s="6">
        <v>526.6875</v>
      </c>
      <c r="J5970" s="2">
        <f t="shared" si="93"/>
        <v>43748.90129243055</v>
      </c>
    </row>
    <row r="5971" spans="1:10" x14ac:dyDescent="0.25">
      <c r="A5971" s="7" t="s">
        <v>37579</v>
      </c>
      <c r="B5971" s="8">
        <v>393.75</v>
      </c>
      <c r="C5971" s="8">
        <v>20.478950000000001</v>
      </c>
      <c r="D5971" s="8">
        <v>83</v>
      </c>
      <c r="E5971" s="8">
        <v>0</v>
      </c>
      <c r="F5971" s="8">
        <v>0</v>
      </c>
      <c r="G5971" s="8">
        <v>11</v>
      </c>
      <c r="H5971" s="8" t="s">
        <v>37580</v>
      </c>
      <c r="I5971" s="8">
        <v>526.5</v>
      </c>
      <c r="J5971" s="3">
        <f t="shared" si="93"/>
        <v>43748.901375879628</v>
      </c>
    </row>
    <row r="5972" spans="1:10" x14ac:dyDescent="0.25">
      <c r="A5972" s="5" t="s">
        <v>37581</v>
      </c>
      <c r="B5972" s="6">
        <v>393.75</v>
      </c>
      <c r="C5972" s="6">
        <v>20.478950000000001</v>
      </c>
      <c r="D5972" s="6">
        <v>83</v>
      </c>
      <c r="E5972" s="6">
        <v>0</v>
      </c>
      <c r="F5972" s="6">
        <v>0</v>
      </c>
      <c r="G5972" s="6">
        <v>20</v>
      </c>
      <c r="H5972" s="6" t="s">
        <v>37582</v>
      </c>
      <c r="I5972" s="6">
        <v>526.6875</v>
      </c>
      <c r="J5972" s="2">
        <f t="shared" si="93"/>
        <v>43748.901447083328</v>
      </c>
    </row>
    <row r="5973" spans="1:10" x14ac:dyDescent="0.25">
      <c r="A5973" s="7" t="s">
        <v>37583</v>
      </c>
      <c r="B5973" s="8">
        <v>393.75</v>
      </c>
      <c r="C5973" s="8">
        <v>20.478950000000001</v>
      </c>
      <c r="D5973" s="8">
        <v>83</v>
      </c>
      <c r="E5973" s="8">
        <v>0</v>
      </c>
      <c r="F5973" s="8">
        <v>0</v>
      </c>
      <c r="G5973" s="8">
        <v>10</v>
      </c>
      <c r="H5973" s="8" t="s">
        <v>37584</v>
      </c>
      <c r="I5973" s="8">
        <v>526.6875</v>
      </c>
      <c r="J5973" s="3">
        <f t="shared" si="93"/>
        <v>43748.901518692124</v>
      </c>
    </row>
    <row r="5974" spans="1:10" x14ac:dyDescent="0.25">
      <c r="A5974" s="5" t="s">
        <v>37585</v>
      </c>
      <c r="B5974" s="6">
        <v>393.75</v>
      </c>
      <c r="C5974" s="6">
        <v>20.478950000000001</v>
      </c>
      <c r="D5974" s="6">
        <v>82</v>
      </c>
      <c r="E5974" s="6">
        <v>0</v>
      </c>
      <c r="F5974" s="6">
        <v>0</v>
      </c>
      <c r="G5974" s="6">
        <v>7</v>
      </c>
      <c r="H5974" s="6" t="s">
        <v>37586</v>
      </c>
      <c r="I5974" s="6">
        <v>526.6875</v>
      </c>
      <c r="J5974" s="2">
        <f t="shared" si="93"/>
        <v>43748.9015908449</v>
      </c>
    </row>
    <row r="5975" spans="1:10" x14ac:dyDescent="0.25">
      <c r="A5975" s="7" t="s">
        <v>37587</v>
      </c>
      <c r="B5975" s="8">
        <v>393.75</v>
      </c>
      <c r="C5975" s="8">
        <v>20.478950000000001</v>
      </c>
      <c r="D5975" s="8">
        <v>82</v>
      </c>
      <c r="E5975" s="8">
        <v>0</v>
      </c>
      <c r="F5975" s="8">
        <v>0</v>
      </c>
      <c r="G5975" s="8">
        <v>18</v>
      </c>
      <c r="H5975" s="8" t="s">
        <v>37588</v>
      </c>
      <c r="I5975" s="8">
        <v>526.6875</v>
      </c>
      <c r="J5975" s="3">
        <f t="shared" si="93"/>
        <v>43748.901662141201</v>
      </c>
    </row>
    <row r="5976" spans="1:10" x14ac:dyDescent="0.25">
      <c r="A5976" s="5" t="s">
        <v>37589</v>
      </c>
      <c r="B5976" s="6">
        <v>412.5</v>
      </c>
      <c r="C5976" s="6">
        <v>20.478950000000001</v>
      </c>
      <c r="D5976" s="6">
        <v>82</v>
      </c>
      <c r="E5976" s="6">
        <v>0</v>
      </c>
      <c r="F5976" s="6">
        <v>0</v>
      </c>
      <c r="G5976" s="6">
        <v>9</v>
      </c>
      <c r="H5976" s="6" t="s">
        <v>37590</v>
      </c>
      <c r="I5976" s="6">
        <v>532.5</v>
      </c>
      <c r="J5976" s="2">
        <f t="shared" si="93"/>
        <v>43748.901733437502</v>
      </c>
    </row>
    <row r="5977" spans="1:10" x14ac:dyDescent="0.25">
      <c r="A5977" s="7" t="s">
        <v>37591</v>
      </c>
      <c r="B5977" s="8">
        <v>393.75</v>
      </c>
      <c r="C5977" s="8">
        <v>20.478950000000001</v>
      </c>
      <c r="D5977" s="8">
        <v>81</v>
      </c>
      <c r="E5977" s="8">
        <v>0</v>
      </c>
      <c r="F5977" s="8">
        <v>0</v>
      </c>
      <c r="G5977" s="8">
        <v>17</v>
      </c>
      <c r="H5977" s="8" t="s">
        <v>37592</v>
      </c>
      <c r="I5977" s="8">
        <v>526.6875</v>
      </c>
      <c r="J5977" s="3">
        <f t="shared" si="93"/>
        <v>43748.901805497684</v>
      </c>
    </row>
    <row r="5978" spans="1:10" x14ac:dyDescent="0.25">
      <c r="A5978" s="5" t="s">
        <v>37593</v>
      </c>
      <c r="B5978" s="6">
        <v>393.75</v>
      </c>
      <c r="C5978" s="6">
        <v>20.478950000000001</v>
      </c>
      <c r="D5978" s="6">
        <v>81</v>
      </c>
      <c r="E5978" s="6">
        <v>0</v>
      </c>
      <c r="F5978" s="6">
        <v>0</v>
      </c>
      <c r="G5978" s="6">
        <v>15</v>
      </c>
      <c r="H5978" s="6" t="s">
        <v>37594</v>
      </c>
      <c r="I5978" s="6">
        <v>526.6875</v>
      </c>
      <c r="J5978" s="2">
        <f t="shared" si="93"/>
        <v>43748.90187689814</v>
      </c>
    </row>
    <row r="5979" spans="1:10" x14ac:dyDescent="0.25">
      <c r="A5979" s="7" t="s">
        <v>37595</v>
      </c>
      <c r="B5979" s="8">
        <v>393.75</v>
      </c>
      <c r="C5979" s="8">
        <v>20.478950000000001</v>
      </c>
      <c r="D5979" s="8">
        <v>81</v>
      </c>
      <c r="E5979" s="8">
        <v>0</v>
      </c>
      <c r="F5979" s="8">
        <v>0</v>
      </c>
      <c r="G5979" s="8">
        <v>15</v>
      </c>
      <c r="H5979" s="8" t="s">
        <v>37596</v>
      </c>
      <c r="I5979" s="8">
        <v>526.6875</v>
      </c>
      <c r="J5979" s="3">
        <f t="shared" si="93"/>
        <v>43748.901948252307</v>
      </c>
    </row>
    <row r="5980" spans="1:10" x14ac:dyDescent="0.25">
      <c r="A5980" s="5" t="s">
        <v>37597</v>
      </c>
      <c r="B5980" s="6">
        <v>393.75</v>
      </c>
      <c r="C5980" s="6">
        <v>20.478950000000001</v>
      </c>
      <c r="D5980" s="6">
        <v>81</v>
      </c>
      <c r="E5980" s="6">
        <v>0</v>
      </c>
      <c r="F5980" s="6">
        <v>0</v>
      </c>
      <c r="G5980" s="6">
        <v>8</v>
      </c>
      <c r="H5980" s="6" t="s">
        <v>37598</v>
      </c>
      <c r="I5980" s="6">
        <v>526.6875</v>
      </c>
      <c r="J5980" s="2">
        <f t="shared" si="93"/>
        <v>43748.90203153935</v>
      </c>
    </row>
    <row r="5981" spans="1:10" x14ac:dyDescent="0.25">
      <c r="A5981" s="7" t="s">
        <v>37599</v>
      </c>
      <c r="B5981" s="8">
        <v>393.75</v>
      </c>
      <c r="C5981" s="8">
        <v>20.478950000000001</v>
      </c>
      <c r="D5981" s="8">
        <v>81</v>
      </c>
      <c r="E5981" s="8">
        <v>0</v>
      </c>
      <c r="F5981" s="8">
        <v>0</v>
      </c>
      <c r="G5981" s="8">
        <v>17</v>
      </c>
      <c r="H5981" s="8" t="s">
        <v>37600</v>
      </c>
      <c r="I5981" s="8">
        <v>526.6875</v>
      </c>
      <c r="J5981" s="3">
        <f t="shared" si="93"/>
        <v>43748.902103587963</v>
      </c>
    </row>
    <row r="5982" spans="1:10" x14ac:dyDescent="0.25">
      <c r="A5982" s="5" t="s">
        <v>37601</v>
      </c>
      <c r="B5982" s="6">
        <v>393.75</v>
      </c>
      <c r="C5982" s="6">
        <v>20.478950000000001</v>
      </c>
      <c r="D5982" s="6">
        <v>81</v>
      </c>
      <c r="E5982" s="6">
        <v>0</v>
      </c>
      <c r="F5982" s="6">
        <v>0</v>
      </c>
      <c r="G5982" s="6">
        <v>19</v>
      </c>
      <c r="H5982" s="6" t="s">
        <v>37602</v>
      </c>
      <c r="I5982" s="6">
        <v>526.6875</v>
      </c>
      <c r="J5982" s="2">
        <f t="shared" si="93"/>
        <v>43748.902175034724</v>
      </c>
    </row>
    <row r="5983" spans="1:10" x14ac:dyDescent="0.25">
      <c r="A5983" s="7" t="s">
        <v>37603</v>
      </c>
      <c r="B5983" s="8">
        <v>393.75</v>
      </c>
      <c r="C5983" s="8">
        <v>20.478950000000001</v>
      </c>
      <c r="D5983" s="8">
        <v>82</v>
      </c>
      <c r="E5983" s="8">
        <v>0</v>
      </c>
      <c r="F5983" s="8">
        <v>0</v>
      </c>
      <c r="G5983" s="8">
        <v>18</v>
      </c>
      <c r="H5983" s="8" t="s">
        <v>37604</v>
      </c>
      <c r="I5983" s="8">
        <v>526.6875</v>
      </c>
      <c r="J5983" s="3">
        <f t="shared" si="93"/>
        <v>43748.902246400459</v>
      </c>
    </row>
    <row r="5984" spans="1:10" x14ac:dyDescent="0.25">
      <c r="A5984" s="5" t="s">
        <v>37605</v>
      </c>
      <c r="B5984" s="6">
        <v>412.5</v>
      </c>
      <c r="C5984" s="6">
        <v>20.478950000000001</v>
      </c>
      <c r="D5984" s="6">
        <v>81</v>
      </c>
      <c r="E5984" s="6">
        <v>0</v>
      </c>
      <c r="F5984" s="6">
        <v>0</v>
      </c>
      <c r="G5984" s="6">
        <v>12</v>
      </c>
      <c r="H5984" s="6" t="s">
        <v>37606</v>
      </c>
      <c r="I5984" s="6">
        <v>532.3125</v>
      </c>
      <c r="J5984" s="2">
        <f t="shared" si="93"/>
        <v>43748.902317708336</v>
      </c>
    </row>
    <row r="5985" spans="1:10" x14ac:dyDescent="0.25">
      <c r="A5985" s="7" t="s">
        <v>37607</v>
      </c>
      <c r="B5985" s="8">
        <v>393.75</v>
      </c>
      <c r="C5985" s="8">
        <v>20.478950000000001</v>
      </c>
      <c r="D5985" s="8">
        <v>80</v>
      </c>
      <c r="E5985" s="8">
        <v>0</v>
      </c>
      <c r="F5985" s="8">
        <v>0</v>
      </c>
      <c r="G5985" s="8">
        <v>16</v>
      </c>
      <c r="H5985" s="8" t="s">
        <v>37608</v>
      </c>
      <c r="I5985" s="8">
        <v>526.6875</v>
      </c>
      <c r="J5985" s="3">
        <f t="shared" si="93"/>
        <v>43748.902413148149</v>
      </c>
    </row>
    <row r="5986" spans="1:10" x14ac:dyDescent="0.25">
      <c r="A5986" s="5" t="s">
        <v>37609</v>
      </c>
      <c r="B5986" s="6">
        <v>393.75</v>
      </c>
      <c r="C5986" s="6">
        <v>20.478950000000001</v>
      </c>
      <c r="D5986" s="6">
        <v>80</v>
      </c>
      <c r="E5986" s="6">
        <v>0</v>
      </c>
      <c r="F5986" s="6">
        <v>0</v>
      </c>
      <c r="G5986" s="6">
        <v>12</v>
      </c>
      <c r="H5986" s="6" t="s">
        <v>37610</v>
      </c>
      <c r="I5986" s="6">
        <v>526.5</v>
      </c>
      <c r="J5986" s="2">
        <f t="shared" si="93"/>
        <v>43748.902485335646</v>
      </c>
    </row>
    <row r="5987" spans="1:10" x14ac:dyDescent="0.25">
      <c r="A5987" s="7" t="s">
        <v>37611</v>
      </c>
      <c r="B5987" s="8">
        <v>393.75</v>
      </c>
      <c r="C5987" s="8">
        <v>20.478950000000001</v>
      </c>
      <c r="D5987" s="8">
        <v>81</v>
      </c>
      <c r="E5987" s="8">
        <v>0</v>
      </c>
      <c r="F5987" s="8">
        <v>0</v>
      </c>
      <c r="G5987" s="8">
        <v>4</v>
      </c>
      <c r="H5987" s="8" t="s">
        <v>37612</v>
      </c>
      <c r="I5987" s="8">
        <v>526.6875</v>
      </c>
      <c r="J5987" s="3">
        <f t="shared" si="93"/>
        <v>43748.902556597219</v>
      </c>
    </row>
    <row r="5988" spans="1:10" x14ac:dyDescent="0.25">
      <c r="A5988" s="5" t="s">
        <v>37613</v>
      </c>
      <c r="B5988" s="6">
        <v>393.75</v>
      </c>
      <c r="C5988" s="6">
        <v>20.478950000000001</v>
      </c>
      <c r="D5988" s="6">
        <v>81</v>
      </c>
      <c r="E5988" s="6">
        <v>0</v>
      </c>
      <c r="F5988" s="6">
        <v>0</v>
      </c>
      <c r="G5988" s="6">
        <v>8</v>
      </c>
      <c r="H5988" s="6" t="s">
        <v>37614</v>
      </c>
      <c r="I5988" s="6">
        <v>526.6875</v>
      </c>
      <c r="J5988" s="2">
        <f t="shared" si="93"/>
        <v>43748.902627858792</v>
      </c>
    </row>
    <row r="5989" spans="1:10" x14ac:dyDescent="0.25">
      <c r="A5989" s="7" t="s">
        <v>37615</v>
      </c>
      <c r="B5989" s="8">
        <v>393.75</v>
      </c>
      <c r="C5989" s="8">
        <v>20.478950000000001</v>
      </c>
      <c r="D5989" s="8">
        <v>81</v>
      </c>
      <c r="E5989" s="8">
        <v>0</v>
      </c>
      <c r="F5989" s="8">
        <v>0</v>
      </c>
      <c r="G5989" s="8">
        <v>6</v>
      </c>
      <c r="H5989" s="8" t="s">
        <v>37616</v>
      </c>
      <c r="I5989" s="8">
        <v>526.5</v>
      </c>
      <c r="J5989" s="3">
        <f t="shared" si="93"/>
        <v>43748.902699953702</v>
      </c>
    </row>
    <row r="5990" spans="1:10" x14ac:dyDescent="0.25">
      <c r="A5990" s="5" t="s">
        <v>37617</v>
      </c>
      <c r="B5990" s="6">
        <v>393.75</v>
      </c>
      <c r="C5990" s="6">
        <v>20.478950000000001</v>
      </c>
      <c r="D5990" s="6">
        <v>81</v>
      </c>
      <c r="E5990" s="6">
        <v>0</v>
      </c>
      <c r="F5990" s="6">
        <v>0</v>
      </c>
      <c r="G5990" s="6">
        <v>13</v>
      </c>
      <c r="H5990" s="6" t="s">
        <v>37618</v>
      </c>
      <c r="I5990" s="6">
        <v>526.6875</v>
      </c>
      <c r="J5990" s="2">
        <f t="shared" si="93"/>
        <v>43748.902771354165</v>
      </c>
    </row>
    <row r="5991" spans="1:10" x14ac:dyDescent="0.25">
      <c r="A5991" s="7" t="s">
        <v>37619</v>
      </c>
      <c r="B5991" s="8">
        <v>412.5</v>
      </c>
      <c r="C5991" s="8">
        <v>20.478950000000001</v>
      </c>
      <c r="D5991" s="8">
        <v>81</v>
      </c>
      <c r="E5991" s="8">
        <v>0</v>
      </c>
      <c r="F5991" s="8">
        <v>0</v>
      </c>
      <c r="G5991" s="8">
        <v>13</v>
      </c>
      <c r="H5991" s="8" t="s">
        <v>37620</v>
      </c>
      <c r="I5991" s="8">
        <v>532.3125</v>
      </c>
      <c r="J5991" s="3">
        <f t="shared" si="93"/>
        <v>43748.902842719901</v>
      </c>
    </row>
    <row r="5992" spans="1:10" x14ac:dyDescent="0.25">
      <c r="A5992" s="5" t="s">
        <v>37621</v>
      </c>
      <c r="B5992" s="6">
        <v>393.75</v>
      </c>
      <c r="C5992" s="6">
        <v>20.478950000000001</v>
      </c>
      <c r="D5992" s="6">
        <v>82</v>
      </c>
      <c r="E5992" s="6">
        <v>0</v>
      </c>
      <c r="F5992" s="6">
        <v>0</v>
      </c>
      <c r="G5992" s="6">
        <v>14</v>
      </c>
      <c r="H5992" s="6" t="s">
        <v>37622</v>
      </c>
      <c r="I5992" s="6">
        <v>526.6875</v>
      </c>
      <c r="J5992" s="2">
        <f t="shared" si="93"/>
        <v>43748.902914027778</v>
      </c>
    </row>
    <row r="5993" spans="1:10" x14ac:dyDescent="0.25">
      <c r="A5993" s="7" t="s">
        <v>37623</v>
      </c>
      <c r="B5993" s="8">
        <v>393.75</v>
      </c>
      <c r="C5993" s="8">
        <v>20.478950000000001</v>
      </c>
      <c r="D5993" s="8">
        <v>82</v>
      </c>
      <c r="E5993" s="8">
        <v>0</v>
      </c>
      <c r="F5993" s="8">
        <v>0</v>
      </c>
      <c r="G5993" s="8">
        <v>15</v>
      </c>
      <c r="H5993" s="8" t="s">
        <v>37624</v>
      </c>
      <c r="I5993" s="8">
        <v>526.6875</v>
      </c>
      <c r="J5993" s="3">
        <f t="shared" si="93"/>
        <v>43748.902998078702</v>
      </c>
    </row>
    <row r="5994" spans="1:10" x14ac:dyDescent="0.25">
      <c r="A5994" s="5" t="s">
        <v>37625</v>
      </c>
      <c r="B5994" s="6">
        <v>425</v>
      </c>
      <c r="C5994" s="6">
        <v>20.478950000000001</v>
      </c>
      <c r="D5994" s="6">
        <v>82</v>
      </c>
      <c r="E5994" s="6">
        <v>0</v>
      </c>
      <c r="F5994" s="6">
        <v>0</v>
      </c>
      <c r="G5994" s="6">
        <v>9</v>
      </c>
      <c r="H5994" s="6" t="s">
        <v>37626</v>
      </c>
      <c r="I5994" s="6">
        <v>536.8125</v>
      </c>
      <c r="J5994" s="2">
        <f t="shared" si="93"/>
        <v>43748.903069629632</v>
      </c>
    </row>
    <row r="5995" spans="1:10" x14ac:dyDescent="0.25">
      <c r="A5995" s="7" t="s">
        <v>37627</v>
      </c>
      <c r="B5995" s="8">
        <v>393.75</v>
      </c>
      <c r="C5995" s="8">
        <v>20.478950000000001</v>
      </c>
      <c r="D5995" s="8">
        <v>81</v>
      </c>
      <c r="E5995" s="8">
        <v>0</v>
      </c>
      <c r="F5995" s="8">
        <v>0</v>
      </c>
      <c r="G5995" s="8">
        <v>15</v>
      </c>
      <c r="H5995" s="8" t="s">
        <v>37628</v>
      </c>
      <c r="I5995" s="8">
        <v>526.6875</v>
      </c>
      <c r="J5995" s="3">
        <f t="shared" si="93"/>
        <v>43748.903152974533</v>
      </c>
    </row>
    <row r="5996" spans="1:10" x14ac:dyDescent="0.25">
      <c r="A5996" s="5" t="s">
        <v>37629</v>
      </c>
      <c r="B5996" s="6">
        <v>393.75</v>
      </c>
      <c r="C5996" s="6">
        <v>20.478950000000001</v>
      </c>
      <c r="D5996" s="6">
        <v>81</v>
      </c>
      <c r="E5996" s="6">
        <v>0</v>
      </c>
      <c r="F5996" s="6">
        <v>0</v>
      </c>
      <c r="G5996" s="6">
        <v>3</v>
      </c>
      <c r="H5996" s="6" t="s">
        <v>37630</v>
      </c>
      <c r="I5996" s="6">
        <v>526.5</v>
      </c>
      <c r="J5996" s="2">
        <f t="shared" si="93"/>
        <v>43748.903224189817</v>
      </c>
    </row>
    <row r="5997" spans="1:10" x14ac:dyDescent="0.25">
      <c r="A5997" s="7" t="s">
        <v>37631</v>
      </c>
      <c r="B5997" s="8">
        <v>393.75</v>
      </c>
      <c r="C5997" s="8">
        <v>20.478950000000001</v>
      </c>
      <c r="D5997" s="8">
        <v>81</v>
      </c>
      <c r="E5997" s="8">
        <v>0</v>
      </c>
      <c r="F5997" s="8">
        <v>0</v>
      </c>
      <c r="G5997" s="8">
        <v>13</v>
      </c>
      <c r="H5997" s="8" t="s">
        <v>37632</v>
      </c>
      <c r="I5997" s="8">
        <v>526.6875</v>
      </c>
      <c r="J5997" s="3">
        <f t="shared" si="93"/>
        <v>43748.90329642361</v>
      </c>
    </row>
    <row r="5998" spans="1:10" x14ac:dyDescent="0.25">
      <c r="A5998" s="5" t="s">
        <v>37633</v>
      </c>
      <c r="B5998" s="6">
        <v>393.75</v>
      </c>
      <c r="C5998" s="6">
        <v>20.478950000000001</v>
      </c>
      <c r="D5998" s="6">
        <v>81</v>
      </c>
      <c r="E5998" s="6">
        <v>0</v>
      </c>
      <c r="F5998" s="6">
        <v>0</v>
      </c>
      <c r="G5998" s="6">
        <v>11</v>
      </c>
      <c r="H5998" s="6" t="s">
        <v>37634</v>
      </c>
      <c r="I5998" s="6">
        <v>526.6875</v>
      </c>
      <c r="J5998" s="2">
        <f t="shared" si="93"/>
        <v>43748.903367650462</v>
      </c>
    </row>
    <row r="5999" spans="1:10" x14ac:dyDescent="0.25">
      <c r="A5999" s="7" t="s">
        <v>37635</v>
      </c>
      <c r="B5999" s="8">
        <v>393.75</v>
      </c>
      <c r="C5999" s="8">
        <v>20.478950000000001</v>
      </c>
      <c r="D5999" s="8">
        <v>80</v>
      </c>
      <c r="E5999" s="8">
        <v>0</v>
      </c>
      <c r="F5999" s="8">
        <v>0</v>
      </c>
      <c r="G5999" s="8">
        <v>3</v>
      </c>
      <c r="H5999" s="8" t="s">
        <v>37636</v>
      </c>
      <c r="I5999" s="8">
        <v>526.6875</v>
      </c>
      <c r="J5999" s="3">
        <f t="shared" si="93"/>
        <v>43748.903438958332</v>
      </c>
    </row>
    <row r="6000" spans="1:10" x14ac:dyDescent="0.25">
      <c r="A6000" s="5" t="s">
        <v>37637</v>
      </c>
      <c r="B6000" s="6">
        <v>393.75</v>
      </c>
      <c r="C6000" s="6">
        <v>20.478950000000001</v>
      </c>
      <c r="D6000" s="6">
        <v>81</v>
      </c>
      <c r="E6000" s="6">
        <v>0</v>
      </c>
      <c r="F6000" s="6">
        <v>0</v>
      </c>
      <c r="G6000" s="6">
        <v>8</v>
      </c>
      <c r="H6000" s="6" t="s">
        <v>37638</v>
      </c>
      <c r="I6000" s="6">
        <v>526.6875</v>
      </c>
      <c r="J6000" s="2">
        <f t="shared" si="93"/>
        <v>43748.903510381941</v>
      </c>
    </row>
    <row r="6001" spans="1:10" x14ac:dyDescent="0.25">
      <c r="A6001" s="7" t="s">
        <v>37639</v>
      </c>
      <c r="B6001" s="8">
        <v>393.75</v>
      </c>
      <c r="C6001" s="8">
        <v>20.478950000000001</v>
      </c>
      <c r="D6001" s="8">
        <v>80</v>
      </c>
      <c r="E6001" s="8">
        <v>0</v>
      </c>
      <c r="F6001" s="8">
        <v>0</v>
      </c>
      <c r="G6001" s="8">
        <v>5</v>
      </c>
      <c r="H6001" s="8" t="s">
        <v>37640</v>
      </c>
      <c r="I6001" s="8">
        <v>526.6875</v>
      </c>
      <c r="J6001" s="3">
        <f t="shared" si="93"/>
        <v>43748.903582523148</v>
      </c>
    </row>
    <row r="6002" spans="1:10" x14ac:dyDescent="0.25">
      <c r="A6002" s="5" t="s">
        <v>37641</v>
      </c>
      <c r="B6002" s="6">
        <v>412.5</v>
      </c>
      <c r="C6002" s="6">
        <v>20.478950000000001</v>
      </c>
      <c r="D6002" s="6">
        <v>80</v>
      </c>
      <c r="E6002" s="6">
        <v>0</v>
      </c>
      <c r="F6002" s="6">
        <v>0</v>
      </c>
      <c r="G6002" s="6">
        <v>7</v>
      </c>
      <c r="H6002" s="6" t="s">
        <v>37642</v>
      </c>
      <c r="I6002" s="6">
        <v>532.5</v>
      </c>
      <c r="J6002" s="2">
        <f t="shared" si="93"/>
        <v>43748.903653472218</v>
      </c>
    </row>
    <row r="6003" spans="1:10" x14ac:dyDescent="0.25">
      <c r="A6003" s="7" t="s">
        <v>37643</v>
      </c>
      <c r="B6003" s="8">
        <v>393.75</v>
      </c>
      <c r="C6003" s="8">
        <v>20.478950000000001</v>
      </c>
      <c r="D6003" s="8">
        <v>81</v>
      </c>
      <c r="E6003" s="8">
        <v>0</v>
      </c>
      <c r="F6003" s="8">
        <v>0</v>
      </c>
      <c r="G6003" s="8">
        <v>17</v>
      </c>
      <c r="H6003" s="8" t="s">
        <v>37644</v>
      </c>
      <c r="I6003" s="8">
        <v>526.6875</v>
      </c>
      <c r="J6003" s="3">
        <f t="shared" si="93"/>
        <v>43748.903725127311</v>
      </c>
    </row>
    <row r="6004" spans="1:10" x14ac:dyDescent="0.25">
      <c r="A6004" s="5" t="s">
        <v>37645</v>
      </c>
      <c r="B6004" s="6">
        <v>393.75</v>
      </c>
      <c r="C6004" s="6">
        <v>20.426300000000001</v>
      </c>
      <c r="D6004" s="6">
        <v>82</v>
      </c>
      <c r="E6004" s="6">
        <v>0</v>
      </c>
      <c r="F6004" s="6">
        <v>0</v>
      </c>
      <c r="G6004" s="6">
        <v>7</v>
      </c>
      <c r="H6004" s="6" t="s">
        <v>37646</v>
      </c>
      <c r="I6004" s="6">
        <v>526.6875</v>
      </c>
      <c r="J6004" s="2">
        <f t="shared" si="93"/>
        <v>43748.903797164348</v>
      </c>
    </row>
    <row r="6005" spans="1:10" x14ac:dyDescent="0.25">
      <c r="A6005" s="7" t="s">
        <v>37647</v>
      </c>
      <c r="B6005" s="8">
        <v>393.75</v>
      </c>
      <c r="C6005" s="8">
        <v>20.478950000000001</v>
      </c>
      <c r="D6005" s="8">
        <v>81</v>
      </c>
      <c r="E6005" s="8">
        <v>0</v>
      </c>
      <c r="F6005" s="8">
        <v>0</v>
      </c>
      <c r="G6005" s="8">
        <v>18</v>
      </c>
      <c r="H6005" s="8" t="s">
        <v>37648</v>
      </c>
      <c r="I6005" s="8">
        <v>526.6875</v>
      </c>
      <c r="J6005" s="3">
        <f t="shared" si="93"/>
        <v>43748.903868240734</v>
      </c>
    </row>
    <row r="6006" spans="1:10" x14ac:dyDescent="0.25">
      <c r="A6006" s="5" t="s">
        <v>37649</v>
      </c>
      <c r="B6006" s="6">
        <v>393.75</v>
      </c>
      <c r="C6006" s="6">
        <v>20.478950000000001</v>
      </c>
      <c r="D6006" s="6">
        <v>81</v>
      </c>
      <c r="E6006" s="6">
        <v>0</v>
      </c>
      <c r="F6006" s="6">
        <v>0</v>
      </c>
      <c r="G6006" s="6">
        <v>21</v>
      </c>
      <c r="H6006" s="6" t="s">
        <v>37650</v>
      </c>
      <c r="I6006" s="6">
        <v>526.6875</v>
      </c>
      <c r="J6006" s="2">
        <f t="shared" si="93"/>
        <v>43748.903939930555</v>
      </c>
    </row>
    <row r="6007" spans="1:10" x14ac:dyDescent="0.25">
      <c r="A6007" s="7" t="s">
        <v>37651</v>
      </c>
      <c r="B6007" s="8">
        <v>393.75</v>
      </c>
      <c r="C6007" s="8">
        <v>20.478950000000001</v>
      </c>
      <c r="D6007" s="8">
        <v>82</v>
      </c>
      <c r="E6007" s="8">
        <v>0</v>
      </c>
      <c r="F6007" s="8">
        <v>0</v>
      </c>
      <c r="G6007" s="8">
        <v>20</v>
      </c>
      <c r="H6007" s="8" t="s">
        <v>37652</v>
      </c>
      <c r="I6007" s="8">
        <v>526.6875</v>
      </c>
      <c r="J6007" s="3">
        <f t="shared" si="93"/>
        <v>43748.90401129629</v>
      </c>
    </row>
    <row r="6008" spans="1:10" x14ac:dyDescent="0.25">
      <c r="A6008" s="5" t="s">
        <v>37653</v>
      </c>
      <c r="B6008" s="6">
        <v>393.75</v>
      </c>
      <c r="C6008" s="6">
        <v>20.478950000000001</v>
      </c>
      <c r="D6008" s="6">
        <v>81</v>
      </c>
      <c r="E6008" s="6">
        <v>0</v>
      </c>
      <c r="F6008" s="6">
        <v>0</v>
      </c>
      <c r="G6008" s="6">
        <v>12</v>
      </c>
      <c r="H6008" s="6" t="s">
        <v>37654</v>
      </c>
      <c r="I6008" s="6">
        <v>526.5</v>
      </c>
      <c r="J6008" s="2">
        <f t="shared" si="93"/>
        <v>43748.904083564812</v>
      </c>
    </row>
    <row r="6009" spans="1:10" x14ac:dyDescent="0.25">
      <c r="A6009" s="7" t="s">
        <v>37655</v>
      </c>
      <c r="B6009" s="8">
        <v>393.75</v>
      </c>
      <c r="C6009" s="8">
        <v>20.478950000000001</v>
      </c>
      <c r="D6009" s="8">
        <v>81</v>
      </c>
      <c r="E6009" s="8">
        <v>0</v>
      </c>
      <c r="F6009" s="8">
        <v>0</v>
      </c>
      <c r="G6009" s="8">
        <v>9</v>
      </c>
      <c r="H6009" s="8" t="s">
        <v>37656</v>
      </c>
      <c r="I6009" s="8">
        <v>526.6875</v>
      </c>
      <c r="J6009" s="3">
        <f t="shared" si="93"/>
        <v>43748.904154745367</v>
      </c>
    </row>
    <row r="6010" spans="1:10" x14ac:dyDescent="0.25">
      <c r="A6010" s="5" t="s">
        <v>37657</v>
      </c>
      <c r="B6010" s="6">
        <v>393.75</v>
      </c>
      <c r="C6010" s="6">
        <v>20.478950000000001</v>
      </c>
      <c r="D6010" s="6">
        <v>82</v>
      </c>
      <c r="E6010" s="6">
        <v>0</v>
      </c>
      <c r="F6010" s="6">
        <v>0</v>
      </c>
      <c r="G6010" s="6">
        <v>7</v>
      </c>
      <c r="H6010" s="6" t="s">
        <v>37658</v>
      </c>
      <c r="I6010" s="6">
        <v>526.6875</v>
      </c>
      <c r="J6010" s="2">
        <f t="shared" si="93"/>
        <v>43748.904238043979</v>
      </c>
    </row>
    <row r="6011" spans="1:10" x14ac:dyDescent="0.25">
      <c r="A6011" s="7" t="s">
        <v>37659</v>
      </c>
      <c r="B6011" s="8">
        <v>393.75</v>
      </c>
      <c r="C6011" s="8">
        <v>20.478950000000001</v>
      </c>
      <c r="D6011" s="8">
        <v>82</v>
      </c>
      <c r="E6011" s="8">
        <v>0</v>
      </c>
      <c r="F6011" s="8">
        <v>0</v>
      </c>
      <c r="G6011" s="8">
        <v>16</v>
      </c>
      <c r="H6011" s="8" t="s">
        <v>37660</v>
      </c>
      <c r="I6011" s="8">
        <v>526.6875</v>
      </c>
      <c r="J6011" s="3">
        <f t="shared" si="93"/>
        <v>43748.904309456011</v>
      </c>
    </row>
    <row r="6012" spans="1:10" x14ac:dyDescent="0.25">
      <c r="A6012" s="5" t="s">
        <v>37661</v>
      </c>
      <c r="B6012" s="6">
        <v>393.75</v>
      </c>
      <c r="C6012" s="6">
        <v>20.478950000000001</v>
      </c>
      <c r="D6012" s="6">
        <v>83</v>
      </c>
      <c r="E6012" s="6">
        <v>0</v>
      </c>
      <c r="F6012" s="6">
        <v>0</v>
      </c>
      <c r="G6012" s="6">
        <v>17</v>
      </c>
      <c r="H6012" s="6" t="s">
        <v>37662</v>
      </c>
      <c r="I6012" s="6">
        <v>526.6875</v>
      </c>
      <c r="J6012" s="2">
        <f t="shared" si="93"/>
        <v>43748.904381608794</v>
      </c>
    </row>
    <row r="6013" spans="1:10" x14ac:dyDescent="0.25">
      <c r="A6013" s="7" t="s">
        <v>37663</v>
      </c>
      <c r="B6013" s="8">
        <v>393.75</v>
      </c>
      <c r="C6013" s="8">
        <v>20.478950000000001</v>
      </c>
      <c r="D6013" s="8">
        <v>83</v>
      </c>
      <c r="E6013" s="8">
        <v>0</v>
      </c>
      <c r="F6013" s="8">
        <v>0</v>
      </c>
      <c r="G6013" s="8">
        <v>11</v>
      </c>
      <c r="H6013" s="8" t="s">
        <v>37664</v>
      </c>
      <c r="I6013" s="8">
        <v>526.5</v>
      </c>
      <c r="J6013" s="3">
        <f t="shared" si="93"/>
        <v>43748.904465011576</v>
      </c>
    </row>
    <row r="6014" spans="1:10" x14ac:dyDescent="0.25">
      <c r="A6014" s="5" t="s">
        <v>37665</v>
      </c>
      <c r="B6014" s="6">
        <v>393.75</v>
      </c>
      <c r="C6014" s="6">
        <v>20.478950000000001</v>
      </c>
      <c r="D6014" s="6">
        <v>82</v>
      </c>
      <c r="E6014" s="6">
        <v>0</v>
      </c>
      <c r="F6014" s="6">
        <v>0</v>
      </c>
      <c r="G6014" s="6">
        <v>19</v>
      </c>
      <c r="H6014" s="6" t="s">
        <v>37666</v>
      </c>
      <c r="I6014" s="6">
        <v>526.6875</v>
      </c>
      <c r="J6014" s="2">
        <f t="shared" si="93"/>
        <v>43748.904536238428</v>
      </c>
    </row>
    <row r="6015" spans="1:10" x14ac:dyDescent="0.25">
      <c r="A6015" s="7" t="s">
        <v>37667</v>
      </c>
      <c r="B6015" s="8">
        <v>393.75</v>
      </c>
      <c r="C6015" s="8">
        <v>20.478950000000001</v>
      </c>
      <c r="D6015" s="8">
        <v>79</v>
      </c>
      <c r="E6015" s="8">
        <v>0</v>
      </c>
      <c r="F6015" s="8">
        <v>0</v>
      </c>
      <c r="G6015" s="8">
        <v>9</v>
      </c>
      <c r="H6015" s="8" t="s">
        <v>37668</v>
      </c>
      <c r="I6015" s="8">
        <v>526.6875</v>
      </c>
      <c r="J6015" s="3">
        <f t="shared" si="93"/>
        <v>43748.904607523145</v>
      </c>
    </row>
    <row r="6016" spans="1:10" x14ac:dyDescent="0.25">
      <c r="A6016" s="5" t="s">
        <v>37669</v>
      </c>
      <c r="B6016" s="6">
        <v>393.75</v>
      </c>
      <c r="C6016" s="6">
        <v>20.478950000000001</v>
      </c>
      <c r="D6016" s="6">
        <v>79</v>
      </c>
      <c r="E6016" s="6">
        <v>0</v>
      </c>
      <c r="F6016" s="6">
        <v>0</v>
      </c>
      <c r="G6016" s="6">
        <v>13</v>
      </c>
      <c r="H6016" s="6" t="s">
        <v>37670</v>
      </c>
      <c r="I6016" s="6">
        <v>526.6875</v>
      </c>
      <c r="J6016" s="2">
        <f t="shared" si="93"/>
        <v>43748.904690462958</v>
      </c>
    </row>
    <row r="6017" spans="1:10" x14ac:dyDescent="0.25">
      <c r="A6017" s="7" t="s">
        <v>37671</v>
      </c>
      <c r="B6017" s="8">
        <v>412.5</v>
      </c>
      <c r="C6017" s="8">
        <v>20.478950000000001</v>
      </c>
      <c r="D6017" s="8">
        <v>82</v>
      </c>
      <c r="E6017" s="8">
        <v>0</v>
      </c>
      <c r="F6017" s="8">
        <v>0</v>
      </c>
      <c r="G6017" s="8">
        <v>17</v>
      </c>
      <c r="H6017" s="8" t="s">
        <v>37672</v>
      </c>
      <c r="I6017" s="8">
        <v>532.125</v>
      </c>
      <c r="J6017" s="3">
        <f t="shared" si="93"/>
        <v>43748.90476302083</v>
      </c>
    </row>
    <row r="6018" spans="1:10" x14ac:dyDescent="0.25">
      <c r="A6018" s="5" t="s">
        <v>37673</v>
      </c>
      <c r="B6018" s="6">
        <v>393.75</v>
      </c>
      <c r="C6018" s="6">
        <v>20.478950000000001</v>
      </c>
      <c r="D6018" s="6">
        <v>82</v>
      </c>
      <c r="E6018" s="6">
        <v>0</v>
      </c>
      <c r="F6018" s="6">
        <v>0</v>
      </c>
      <c r="G6018" s="6">
        <v>8</v>
      </c>
      <c r="H6018" s="6" t="s">
        <v>37674</v>
      </c>
      <c r="I6018" s="6">
        <v>526.6875</v>
      </c>
      <c r="J6018" s="2">
        <f t="shared" ref="J6018:J6081" si="94">(H6018/86400000)+25569+(7/24)</f>
        <v>43748.904846574071</v>
      </c>
    </row>
    <row r="6019" spans="1:10" x14ac:dyDescent="0.25">
      <c r="A6019" s="7" t="s">
        <v>37675</v>
      </c>
      <c r="B6019" s="8">
        <v>393.75</v>
      </c>
      <c r="C6019" s="8">
        <v>20.478950000000001</v>
      </c>
      <c r="D6019" s="8">
        <v>82</v>
      </c>
      <c r="E6019" s="8">
        <v>0</v>
      </c>
      <c r="F6019" s="8">
        <v>0</v>
      </c>
      <c r="G6019" s="8">
        <v>20</v>
      </c>
      <c r="H6019" s="8" t="s">
        <v>37676</v>
      </c>
      <c r="I6019" s="8">
        <v>526.6875</v>
      </c>
      <c r="J6019" s="3">
        <f t="shared" si="94"/>
        <v>43748.904917673608</v>
      </c>
    </row>
    <row r="6020" spans="1:10" x14ac:dyDescent="0.25">
      <c r="A6020" s="5" t="s">
        <v>37677</v>
      </c>
      <c r="B6020" s="6">
        <v>393.75</v>
      </c>
      <c r="C6020" s="6">
        <v>20.478950000000001</v>
      </c>
      <c r="D6020" s="6">
        <v>83</v>
      </c>
      <c r="E6020" s="6">
        <v>0</v>
      </c>
      <c r="F6020" s="6">
        <v>0</v>
      </c>
      <c r="G6020" s="6">
        <v>19</v>
      </c>
      <c r="H6020" s="6" t="s">
        <v>37678</v>
      </c>
      <c r="I6020" s="6">
        <v>526.6875</v>
      </c>
      <c r="J6020" s="2">
        <f t="shared" si="94"/>
        <v>43748.905013055548</v>
      </c>
    </row>
    <row r="6021" spans="1:10" x14ac:dyDescent="0.25">
      <c r="A6021" s="7" t="s">
        <v>37679</v>
      </c>
      <c r="B6021" s="8">
        <v>393.75</v>
      </c>
      <c r="C6021" s="8">
        <v>20.478950000000001</v>
      </c>
      <c r="D6021" s="8">
        <v>86</v>
      </c>
      <c r="E6021" s="8">
        <v>0</v>
      </c>
      <c r="F6021" s="8">
        <v>0</v>
      </c>
      <c r="G6021" s="8">
        <v>16</v>
      </c>
      <c r="H6021" s="8" t="s">
        <v>37680</v>
      </c>
      <c r="I6021" s="8">
        <v>526.6875</v>
      </c>
      <c r="J6021" s="3">
        <f t="shared" si="94"/>
        <v>43748.905085266197</v>
      </c>
    </row>
    <row r="6022" spans="1:10" x14ac:dyDescent="0.25">
      <c r="A6022" s="5" t="s">
        <v>37681</v>
      </c>
      <c r="B6022" s="6">
        <v>393.75</v>
      </c>
      <c r="C6022" s="6">
        <v>20.478950000000001</v>
      </c>
      <c r="D6022" s="6">
        <v>86</v>
      </c>
      <c r="E6022" s="6">
        <v>0</v>
      </c>
      <c r="F6022" s="6">
        <v>0</v>
      </c>
      <c r="G6022" s="6">
        <v>16</v>
      </c>
      <c r="H6022" s="6" t="s">
        <v>37682</v>
      </c>
      <c r="I6022" s="6">
        <v>526.6875</v>
      </c>
      <c r="J6022" s="2">
        <f t="shared" si="94"/>
        <v>43748.905156342589</v>
      </c>
    </row>
    <row r="6023" spans="1:10" x14ac:dyDescent="0.25">
      <c r="A6023" s="7" t="s">
        <v>37683</v>
      </c>
      <c r="B6023" s="8">
        <v>412.5</v>
      </c>
      <c r="C6023" s="8">
        <v>20.478950000000001</v>
      </c>
      <c r="D6023" s="8">
        <v>84</v>
      </c>
      <c r="E6023" s="8">
        <v>0</v>
      </c>
      <c r="F6023" s="8">
        <v>0</v>
      </c>
      <c r="G6023" s="8">
        <v>2</v>
      </c>
      <c r="H6023" s="8" t="s">
        <v>37684</v>
      </c>
      <c r="I6023" s="8">
        <v>532.3125</v>
      </c>
      <c r="J6023" s="3">
        <f t="shared" si="94"/>
        <v>43748.905227870368</v>
      </c>
    </row>
    <row r="6024" spans="1:10" x14ac:dyDescent="0.25">
      <c r="A6024" s="5" t="s">
        <v>37685</v>
      </c>
      <c r="B6024" s="6">
        <v>393.75</v>
      </c>
      <c r="C6024" s="6">
        <v>20.478950000000001</v>
      </c>
      <c r="D6024" s="6">
        <v>83</v>
      </c>
      <c r="E6024" s="6">
        <v>0</v>
      </c>
      <c r="F6024" s="6">
        <v>0</v>
      </c>
      <c r="G6024" s="6">
        <v>16</v>
      </c>
      <c r="H6024" s="6" t="s">
        <v>37686</v>
      </c>
      <c r="I6024" s="6">
        <v>526.6875</v>
      </c>
      <c r="J6024" s="2">
        <f t="shared" si="94"/>
        <v>43748.905299849539</v>
      </c>
    </row>
    <row r="6025" spans="1:10" x14ac:dyDescent="0.25">
      <c r="A6025" s="7" t="s">
        <v>37687</v>
      </c>
      <c r="B6025" s="8">
        <v>393.75</v>
      </c>
      <c r="C6025" s="8">
        <v>20.478950000000001</v>
      </c>
      <c r="D6025" s="8">
        <v>83</v>
      </c>
      <c r="E6025" s="8">
        <v>0</v>
      </c>
      <c r="F6025" s="8">
        <v>0</v>
      </c>
      <c r="G6025" s="8">
        <v>12</v>
      </c>
      <c r="H6025" s="8" t="s">
        <v>37688</v>
      </c>
      <c r="I6025" s="8">
        <v>526.6875</v>
      </c>
      <c r="J6025" s="3">
        <f t="shared" si="94"/>
        <v>43748.905371041663</v>
      </c>
    </row>
    <row r="6026" spans="1:10" x14ac:dyDescent="0.25">
      <c r="A6026" s="5" t="s">
        <v>37689</v>
      </c>
      <c r="B6026" s="6">
        <v>393.75</v>
      </c>
      <c r="C6026" s="6">
        <v>20.478950000000001</v>
      </c>
      <c r="D6026" s="6">
        <v>83</v>
      </c>
      <c r="E6026" s="6">
        <v>0</v>
      </c>
      <c r="F6026" s="6">
        <v>0</v>
      </c>
      <c r="G6026" s="6">
        <v>13</v>
      </c>
      <c r="H6026" s="6" t="s">
        <v>37690</v>
      </c>
      <c r="I6026" s="6">
        <v>526.6875</v>
      </c>
      <c r="J6026" s="2">
        <f t="shared" si="94"/>
        <v>43748.905442326388</v>
      </c>
    </row>
    <row r="6027" spans="1:10" x14ac:dyDescent="0.25">
      <c r="A6027" s="7" t="s">
        <v>37691</v>
      </c>
      <c r="B6027" s="8">
        <v>412.5</v>
      </c>
      <c r="C6027" s="8">
        <v>20.478950000000001</v>
      </c>
      <c r="D6027" s="8">
        <v>84</v>
      </c>
      <c r="E6027" s="8">
        <v>0</v>
      </c>
      <c r="F6027" s="8">
        <v>0</v>
      </c>
      <c r="G6027" s="8">
        <v>7</v>
      </c>
      <c r="H6027" s="8" t="s">
        <v>37692</v>
      </c>
      <c r="I6027" s="8">
        <v>532.3125</v>
      </c>
      <c r="J6027" s="3">
        <f t="shared" si="94"/>
        <v>43748.905526585644</v>
      </c>
    </row>
    <row r="6028" spans="1:10" x14ac:dyDescent="0.25">
      <c r="A6028" s="5" t="s">
        <v>37693</v>
      </c>
      <c r="B6028" s="6">
        <v>393.75</v>
      </c>
      <c r="C6028" s="6">
        <v>20.478950000000001</v>
      </c>
      <c r="D6028" s="6">
        <v>82</v>
      </c>
      <c r="E6028" s="6">
        <v>0</v>
      </c>
      <c r="F6028" s="6">
        <v>0</v>
      </c>
      <c r="G6028" s="6">
        <v>20</v>
      </c>
      <c r="H6028" s="6" t="s">
        <v>37694</v>
      </c>
      <c r="I6028" s="6">
        <v>526.6875</v>
      </c>
      <c r="J6028" s="2">
        <f t="shared" si="94"/>
        <v>43748.905597870369</v>
      </c>
    </row>
    <row r="6029" spans="1:10" x14ac:dyDescent="0.25">
      <c r="A6029" s="7" t="s">
        <v>37695</v>
      </c>
      <c r="B6029" s="8">
        <v>393.75</v>
      </c>
      <c r="C6029" s="8">
        <v>20.478950000000001</v>
      </c>
      <c r="D6029" s="8">
        <v>83</v>
      </c>
      <c r="E6029" s="8">
        <v>0</v>
      </c>
      <c r="F6029" s="8">
        <v>0</v>
      </c>
      <c r="G6029" s="8">
        <v>16</v>
      </c>
      <c r="H6029" s="8" t="s">
        <v>37696</v>
      </c>
      <c r="I6029" s="8">
        <v>526.6875</v>
      </c>
      <c r="J6029" s="3">
        <f t="shared" si="94"/>
        <v>43748.905669224536</v>
      </c>
    </row>
    <row r="6030" spans="1:10" x14ac:dyDescent="0.25">
      <c r="A6030" s="5" t="s">
        <v>37697</v>
      </c>
      <c r="B6030" s="6">
        <v>393.75</v>
      </c>
      <c r="C6030" s="6">
        <v>20.478950000000001</v>
      </c>
      <c r="D6030" s="6">
        <v>83</v>
      </c>
      <c r="E6030" s="6">
        <v>0</v>
      </c>
      <c r="F6030" s="6">
        <v>0</v>
      </c>
      <c r="G6030" s="6">
        <v>10</v>
      </c>
      <c r="H6030" s="6" t="s">
        <v>37698</v>
      </c>
      <c r="I6030" s="6">
        <v>526.6875</v>
      </c>
      <c r="J6030" s="2">
        <f t="shared" si="94"/>
        <v>43748.905740532406</v>
      </c>
    </row>
    <row r="6031" spans="1:10" x14ac:dyDescent="0.25">
      <c r="A6031" s="7" t="s">
        <v>37699</v>
      </c>
      <c r="B6031" s="8">
        <v>393.75</v>
      </c>
      <c r="C6031" s="8">
        <v>20.478950000000001</v>
      </c>
      <c r="D6031" s="8">
        <v>83</v>
      </c>
      <c r="E6031" s="8">
        <v>0</v>
      </c>
      <c r="F6031" s="8">
        <v>0</v>
      </c>
      <c r="G6031" s="8">
        <v>9</v>
      </c>
      <c r="H6031" s="8" t="s">
        <v>37700</v>
      </c>
      <c r="I6031" s="8">
        <v>526.6875</v>
      </c>
      <c r="J6031" s="3">
        <f t="shared" si="94"/>
        <v>43748.905812754623</v>
      </c>
    </row>
    <row r="6032" spans="1:10" x14ac:dyDescent="0.25">
      <c r="A6032" s="5" t="s">
        <v>37701</v>
      </c>
      <c r="B6032" s="6">
        <v>393.75</v>
      </c>
      <c r="C6032" s="6">
        <v>20.478950000000001</v>
      </c>
      <c r="D6032" s="6">
        <v>83</v>
      </c>
      <c r="E6032" s="6">
        <v>0</v>
      </c>
      <c r="F6032" s="6">
        <v>0</v>
      </c>
      <c r="G6032" s="6">
        <v>10</v>
      </c>
      <c r="H6032" s="6" t="s">
        <v>37702</v>
      </c>
      <c r="I6032" s="6">
        <v>526.6875</v>
      </c>
      <c r="J6032" s="2">
        <f t="shared" si="94"/>
        <v>43748.905883761567</v>
      </c>
    </row>
    <row r="6033" spans="1:10" x14ac:dyDescent="0.25">
      <c r="A6033" s="7" t="s">
        <v>37703</v>
      </c>
      <c r="B6033" s="8">
        <v>393.75</v>
      </c>
      <c r="C6033" s="8">
        <v>20.478950000000001</v>
      </c>
      <c r="D6033" s="8">
        <v>81</v>
      </c>
      <c r="E6033" s="8">
        <v>0</v>
      </c>
      <c r="F6033" s="8">
        <v>0</v>
      </c>
      <c r="G6033" s="8">
        <v>9</v>
      </c>
      <c r="H6033" s="8" t="s">
        <v>37704</v>
      </c>
      <c r="I6033" s="8">
        <v>526.6875</v>
      </c>
      <c r="J6033" s="3">
        <f t="shared" si="94"/>
        <v>43748.905979305557</v>
      </c>
    </row>
    <row r="6034" spans="1:10" x14ac:dyDescent="0.25">
      <c r="A6034" s="5" t="s">
        <v>37705</v>
      </c>
      <c r="B6034" s="6">
        <v>393.75</v>
      </c>
      <c r="C6034" s="6">
        <v>20.478950000000001</v>
      </c>
      <c r="D6034" s="6">
        <v>78</v>
      </c>
      <c r="E6034" s="6">
        <v>0</v>
      </c>
      <c r="F6034" s="6">
        <v>0</v>
      </c>
      <c r="G6034" s="6">
        <v>15</v>
      </c>
      <c r="H6034" s="6" t="s">
        <v>37706</v>
      </c>
      <c r="I6034" s="6">
        <v>526.6875</v>
      </c>
      <c r="J6034" s="2">
        <f t="shared" si="94"/>
        <v>43748.906050659723</v>
      </c>
    </row>
    <row r="6035" spans="1:10" x14ac:dyDescent="0.25">
      <c r="A6035" s="7" t="s">
        <v>37707</v>
      </c>
      <c r="B6035" s="8">
        <v>393.75</v>
      </c>
      <c r="C6035" s="8">
        <v>20.478950000000001</v>
      </c>
      <c r="D6035" s="8">
        <v>78</v>
      </c>
      <c r="E6035" s="8">
        <v>0</v>
      </c>
      <c r="F6035" s="8">
        <v>0</v>
      </c>
      <c r="G6035" s="8">
        <v>4</v>
      </c>
      <c r="H6035" s="8" t="s">
        <v>37708</v>
      </c>
      <c r="I6035" s="8">
        <v>526.6875</v>
      </c>
      <c r="J6035" s="3">
        <f t="shared" si="94"/>
        <v>43748.906134236109</v>
      </c>
    </row>
    <row r="6036" spans="1:10" x14ac:dyDescent="0.25">
      <c r="A6036" s="5" t="s">
        <v>37709</v>
      </c>
      <c r="B6036" s="6">
        <v>393.75</v>
      </c>
      <c r="C6036" s="6">
        <v>20.478950000000001</v>
      </c>
      <c r="D6036" s="6">
        <v>78</v>
      </c>
      <c r="E6036" s="6">
        <v>0</v>
      </c>
      <c r="F6036" s="6">
        <v>0</v>
      </c>
      <c r="G6036" s="6">
        <v>6</v>
      </c>
      <c r="H6036" s="6" t="s">
        <v>37710</v>
      </c>
      <c r="I6036" s="6">
        <v>526.6875</v>
      </c>
      <c r="J6036" s="2">
        <f t="shared" si="94"/>
        <v>43748.906206053238</v>
      </c>
    </row>
    <row r="6037" spans="1:10" x14ac:dyDescent="0.25">
      <c r="A6037" s="7" t="s">
        <v>37711</v>
      </c>
      <c r="B6037" s="8">
        <v>393.75</v>
      </c>
      <c r="C6037" s="8">
        <v>20.478950000000001</v>
      </c>
      <c r="D6037" s="8">
        <v>79</v>
      </c>
      <c r="E6037" s="8">
        <v>0</v>
      </c>
      <c r="F6037" s="8">
        <v>0</v>
      </c>
      <c r="G6037" s="8">
        <v>9</v>
      </c>
      <c r="H6037" s="8" t="s">
        <v>37712</v>
      </c>
      <c r="I6037" s="8">
        <v>526.6875</v>
      </c>
      <c r="J6037" s="3">
        <f t="shared" si="94"/>
        <v>43748.90627756944</v>
      </c>
    </row>
    <row r="6038" spans="1:10" x14ac:dyDescent="0.25">
      <c r="A6038" s="5" t="s">
        <v>37713</v>
      </c>
      <c r="B6038" s="6">
        <v>393.75</v>
      </c>
      <c r="C6038" s="6">
        <v>20.478950000000001</v>
      </c>
      <c r="D6038" s="6">
        <v>80</v>
      </c>
      <c r="E6038" s="6">
        <v>0</v>
      </c>
      <c r="F6038" s="6">
        <v>0</v>
      </c>
      <c r="G6038" s="6">
        <v>14</v>
      </c>
      <c r="H6038" s="6" t="s">
        <v>37714</v>
      </c>
      <c r="I6038" s="6">
        <v>526.6875</v>
      </c>
      <c r="J6038" s="2">
        <f t="shared" si="94"/>
        <v>43748.906349166667</v>
      </c>
    </row>
    <row r="6039" spans="1:10" x14ac:dyDescent="0.25">
      <c r="A6039" s="7" t="s">
        <v>37715</v>
      </c>
      <c r="B6039" s="8">
        <v>393.75</v>
      </c>
      <c r="C6039" s="8">
        <v>20.478950000000001</v>
      </c>
      <c r="D6039" s="8">
        <v>80</v>
      </c>
      <c r="E6039" s="8">
        <v>0</v>
      </c>
      <c r="F6039" s="8">
        <v>0</v>
      </c>
      <c r="G6039" s="8">
        <v>14</v>
      </c>
      <c r="H6039" s="8" t="s">
        <v>37716</v>
      </c>
      <c r="I6039" s="8">
        <v>526.6875</v>
      </c>
      <c r="J6039" s="3">
        <f t="shared" si="94"/>
        <v>43748.906421041662</v>
      </c>
    </row>
    <row r="6040" spans="1:10" x14ac:dyDescent="0.25">
      <c r="A6040" s="5" t="s">
        <v>37717</v>
      </c>
      <c r="B6040" s="6">
        <v>393.75</v>
      </c>
      <c r="C6040" s="6">
        <v>20.478950000000001</v>
      </c>
      <c r="D6040" s="6">
        <v>80</v>
      </c>
      <c r="E6040" s="6">
        <v>0</v>
      </c>
      <c r="F6040" s="6">
        <v>0</v>
      </c>
      <c r="G6040" s="6">
        <v>18</v>
      </c>
      <c r="H6040" s="6" t="s">
        <v>37718</v>
      </c>
      <c r="I6040" s="6">
        <v>526.6875</v>
      </c>
      <c r="J6040" s="2">
        <f t="shared" si="94"/>
        <v>43748.906504374994</v>
      </c>
    </row>
    <row r="6041" spans="1:10" x14ac:dyDescent="0.25">
      <c r="A6041" s="7" t="s">
        <v>37719</v>
      </c>
      <c r="B6041" s="8">
        <v>393.75</v>
      </c>
      <c r="C6041" s="8">
        <v>20.478950000000001</v>
      </c>
      <c r="D6041" s="8">
        <v>79</v>
      </c>
      <c r="E6041" s="8">
        <v>0</v>
      </c>
      <c r="F6041" s="8">
        <v>0</v>
      </c>
      <c r="G6041" s="8">
        <v>23</v>
      </c>
      <c r="H6041" s="8" t="s">
        <v>37720</v>
      </c>
      <c r="I6041" s="8">
        <v>526.5</v>
      </c>
      <c r="J6041" s="3">
        <f t="shared" si="94"/>
        <v>43748.906587696758</v>
      </c>
    </row>
    <row r="6042" spans="1:10" x14ac:dyDescent="0.25">
      <c r="A6042" s="5" t="s">
        <v>37721</v>
      </c>
      <c r="B6042" s="6">
        <v>393.75</v>
      </c>
      <c r="C6042" s="6">
        <v>20.478950000000001</v>
      </c>
      <c r="D6042" s="6">
        <v>79</v>
      </c>
      <c r="E6042" s="6">
        <v>0</v>
      </c>
      <c r="F6042" s="6">
        <v>0</v>
      </c>
      <c r="G6042" s="6">
        <v>19</v>
      </c>
      <c r="H6042" s="6" t="s">
        <v>37722</v>
      </c>
      <c r="I6042" s="6">
        <v>526.6875</v>
      </c>
      <c r="J6042" s="2">
        <f t="shared" si="94"/>
        <v>43748.906658993052</v>
      </c>
    </row>
    <row r="6043" spans="1:10" x14ac:dyDescent="0.25">
      <c r="A6043" s="7" t="s">
        <v>37723</v>
      </c>
      <c r="B6043" s="8">
        <v>393.75</v>
      </c>
      <c r="C6043" s="8">
        <v>20.478950000000001</v>
      </c>
      <c r="D6043" s="8">
        <v>79</v>
      </c>
      <c r="E6043" s="8">
        <v>0</v>
      </c>
      <c r="F6043" s="8">
        <v>0</v>
      </c>
      <c r="G6043" s="8">
        <v>11</v>
      </c>
      <c r="H6043" s="8" t="s">
        <v>37724</v>
      </c>
      <c r="I6043" s="8">
        <v>526.5</v>
      </c>
      <c r="J6043" s="3">
        <f t="shared" si="94"/>
        <v>43748.906731041665</v>
      </c>
    </row>
    <row r="6044" spans="1:10" x14ac:dyDescent="0.25">
      <c r="A6044" s="5" t="s">
        <v>37725</v>
      </c>
      <c r="B6044" s="6">
        <v>393.75</v>
      </c>
      <c r="C6044" s="6">
        <v>20.478950000000001</v>
      </c>
      <c r="D6044" s="6">
        <v>79</v>
      </c>
      <c r="E6044" s="6">
        <v>0</v>
      </c>
      <c r="F6044" s="6">
        <v>0</v>
      </c>
      <c r="G6044" s="6">
        <v>21</v>
      </c>
      <c r="H6044" s="6" t="s">
        <v>37726</v>
      </c>
      <c r="I6044" s="6">
        <v>526.6875</v>
      </c>
      <c r="J6044" s="2">
        <f t="shared" si="94"/>
        <v>43748.906802523146</v>
      </c>
    </row>
    <row r="6045" spans="1:10" x14ac:dyDescent="0.25">
      <c r="A6045" s="7" t="s">
        <v>37727</v>
      </c>
      <c r="B6045" s="8">
        <v>393.75</v>
      </c>
      <c r="C6045" s="8">
        <v>20.478950000000001</v>
      </c>
      <c r="D6045" s="8">
        <v>79</v>
      </c>
      <c r="E6045" s="8">
        <v>0</v>
      </c>
      <c r="F6045" s="8">
        <v>0</v>
      </c>
      <c r="G6045" s="8">
        <v>13</v>
      </c>
      <c r="H6045" s="8" t="s">
        <v>37728</v>
      </c>
      <c r="I6045" s="8">
        <v>526.6875</v>
      </c>
      <c r="J6045" s="3">
        <f t="shared" si="94"/>
        <v>43748.906873842592</v>
      </c>
    </row>
    <row r="6046" spans="1:10" x14ac:dyDescent="0.25">
      <c r="A6046" s="5" t="s">
        <v>37729</v>
      </c>
      <c r="B6046" s="6">
        <v>393.75</v>
      </c>
      <c r="C6046" s="6">
        <v>20.478950000000001</v>
      </c>
      <c r="D6046" s="6">
        <v>79</v>
      </c>
      <c r="E6046" s="6">
        <v>0</v>
      </c>
      <c r="F6046" s="6">
        <v>0</v>
      </c>
      <c r="G6046" s="6">
        <v>9</v>
      </c>
      <c r="H6046" s="6" t="s">
        <v>37730</v>
      </c>
      <c r="I6046" s="6">
        <v>526.6875</v>
      </c>
      <c r="J6046" s="2">
        <f t="shared" si="94"/>
        <v>43748.906945162038</v>
      </c>
    </row>
    <row r="6047" spans="1:10" x14ac:dyDescent="0.25">
      <c r="A6047" s="7" t="s">
        <v>37731</v>
      </c>
      <c r="B6047" s="8">
        <v>393.75</v>
      </c>
      <c r="C6047" s="8">
        <v>20.478950000000001</v>
      </c>
      <c r="D6047" s="8">
        <v>80</v>
      </c>
      <c r="E6047" s="8">
        <v>0</v>
      </c>
      <c r="F6047" s="8">
        <v>0</v>
      </c>
      <c r="G6047" s="8">
        <v>19</v>
      </c>
      <c r="H6047" s="8" t="s">
        <v>37732</v>
      </c>
      <c r="I6047" s="8">
        <v>526.6875</v>
      </c>
      <c r="J6047" s="3">
        <f t="shared" si="94"/>
        <v>43748.907017500002</v>
      </c>
    </row>
    <row r="6048" spans="1:10" x14ac:dyDescent="0.25">
      <c r="A6048" s="5" t="s">
        <v>37733</v>
      </c>
      <c r="B6048" s="6">
        <v>412.5</v>
      </c>
      <c r="C6048" s="6">
        <v>20.478950000000001</v>
      </c>
      <c r="D6048" s="6">
        <v>79</v>
      </c>
      <c r="E6048" s="6">
        <v>0</v>
      </c>
      <c r="F6048" s="6">
        <v>0</v>
      </c>
      <c r="G6048" s="6">
        <v>17</v>
      </c>
      <c r="H6048" s="6" t="s">
        <v>37734</v>
      </c>
      <c r="I6048" s="6">
        <v>532.3125</v>
      </c>
      <c r="J6048" s="2">
        <f t="shared" si="94"/>
        <v>43748.907088229163</v>
      </c>
    </row>
    <row r="6049" spans="1:10" x14ac:dyDescent="0.25">
      <c r="A6049" s="7" t="s">
        <v>37735</v>
      </c>
      <c r="B6049" s="8">
        <v>393.75</v>
      </c>
      <c r="C6049" s="8">
        <v>20.478950000000001</v>
      </c>
      <c r="D6049" s="8">
        <v>80</v>
      </c>
      <c r="E6049" s="8">
        <v>0</v>
      </c>
      <c r="F6049" s="8">
        <v>0</v>
      </c>
      <c r="G6049" s="8">
        <v>14</v>
      </c>
      <c r="H6049" s="8" t="s">
        <v>37736</v>
      </c>
      <c r="I6049" s="8">
        <v>526.6875</v>
      </c>
      <c r="J6049" s="3">
        <f t="shared" si="94"/>
        <v>43748.907159930553</v>
      </c>
    </row>
    <row r="6050" spans="1:10" x14ac:dyDescent="0.25">
      <c r="A6050" s="5" t="s">
        <v>37737</v>
      </c>
      <c r="B6050" s="6">
        <v>393.75</v>
      </c>
      <c r="C6050" s="6">
        <v>20.478950000000001</v>
      </c>
      <c r="D6050" s="6">
        <v>80</v>
      </c>
      <c r="E6050" s="6">
        <v>0</v>
      </c>
      <c r="F6050" s="6">
        <v>0</v>
      </c>
      <c r="G6050" s="6">
        <v>18</v>
      </c>
      <c r="H6050" s="6" t="s">
        <v>37738</v>
      </c>
      <c r="I6050" s="6">
        <v>526.5</v>
      </c>
      <c r="J6050" s="2">
        <f t="shared" si="94"/>
        <v>43748.907232083329</v>
      </c>
    </row>
    <row r="6051" spans="1:10" x14ac:dyDescent="0.25">
      <c r="A6051" s="7" t="s">
        <v>37739</v>
      </c>
      <c r="B6051" s="8">
        <v>393.75</v>
      </c>
      <c r="C6051" s="8">
        <v>20.478950000000001</v>
      </c>
      <c r="D6051" s="8">
        <v>81</v>
      </c>
      <c r="E6051" s="8">
        <v>0</v>
      </c>
      <c r="F6051" s="8">
        <v>0</v>
      </c>
      <c r="G6051" s="8">
        <v>9</v>
      </c>
      <c r="H6051" s="8" t="s">
        <v>37740</v>
      </c>
      <c r="I6051" s="8">
        <v>526.6875</v>
      </c>
      <c r="J6051" s="3">
        <f t="shared" si="94"/>
        <v>43748.907303391206</v>
      </c>
    </row>
    <row r="6052" spans="1:10" x14ac:dyDescent="0.25">
      <c r="A6052" s="5" t="s">
        <v>37741</v>
      </c>
      <c r="B6052" s="6">
        <v>393.75</v>
      </c>
      <c r="C6052" s="6">
        <v>20.478950000000001</v>
      </c>
      <c r="D6052" s="6">
        <v>81</v>
      </c>
      <c r="E6052" s="6">
        <v>0</v>
      </c>
      <c r="F6052" s="6">
        <v>0</v>
      </c>
      <c r="G6052" s="6">
        <v>22</v>
      </c>
      <c r="H6052" s="6" t="s">
        <v>37742</v>
      </c>
      <c r="I6052" s="6">
        <v>526.6875</v>
      </c>
      <c r="J6052" s="2">
        <f t="shared" si="94"/>
        <v>43748.907398796298</v>
      </c>
    </row>
    <row r="6053" spans="1:10" x14ac:dyDescent="0.25">
      <c r="A6053" s="7" t="s">
        <v>37743</v>
      </c>
      <c r="B6053" s="8">
        <v>393.75</v>
      </c>
      <c r="C6053" s="8">
        <v>20.478950000000001</v>
      </c>
      <c r="D6053" s="8">
        <v>81</v>
      </c>
      <c r="E6053" s="8">
        <v>0</v>
      </c>
      <c r="F6053" s="8">
        <v>0</v>
      </c>
      <c r="G6053" s="8">
        <v>22</v>
      </c>
      <c r="H6053" s="8" t="s">
        <v>37744</v>
      </c>
      <c r="I6053" s="8">
        <v>526.6875</v>
      </c>
      <c r="J6053" s="3">
        <f t="shared" si="94"/>
        <v>43748.907470127313</v>
      </c>
    </row>
    <row r="6054" spans="1:10" x14ac:dyDescent="0.25">
      <c r="A6054" s="5" t="s">
        <v>37745</v>
      </c>
      <c r="B6054" s="6">
        <v>393.75</v>
      </c>
      <c r="C6054" s="6">
        <v>20.478950000000001</v>
      </c>
      <c r="D6054" s="6">
        <v>80</v>
      </c>
      <c r="E6054" s="6">
        <v>0</v>
      </c>
      <c r="F6054" s="6">
        <v>0</v>
      </c>
      <c r="G6054" s="6">
        <v>14</v>
      </c>
      <c r="H6054" s="6" t="s">
        <v>37746</v>
      </c>
      <c r="I6054" s="6">
        <v>526.6875</v>
      </c>
      <c r="J6054" s="2">
        <f t="shared" si="94"/>
        <v>43748.90754148148</v>
      </c>
    </row>
    <row r="6055" spans="1:10" x14ac:dyDescent="0.25">
      <c r="A6055" s="7" t="s">
        <v>37747</v>
      </c>
      <c r="B6055" s="8">
        <v>393.75</v>
      </c>
      <c r="C6055" s="8">
        <v>20.478950000000001</v>
      </c>
      <c r="D6055" s="8">
        <v>79</v>
      </c>
      <c r="E6055" s="8">
        <v>0</v>
      </c>
      <c r="F6055" s="8">
        <v>0</v>
      </c>
      <c r="G6055" s="8">
        <v>13</v>
      </c>
      <c r="H6055" s="8" t="s">
        <v>37748</v>
      </c>
      <c r="I6055" s="8">
        <v>526.6875</v>
      </c>
      <c r="J6055" s="3">
        <f t="shared" si="94"/>
        <v>43748.907613657408</v>
      </c>
    </row>
    <row r="6056" spans="1:10" x14ac:dyDescent="0.25">
      <c r="A6056" s="5" t="s">
        <v>37749</v>
      </c>
      <c r="B6056" s="6">
        <v>393.75</v>
      </c>
      <c r="C6056" s="6">
        <v>20.478950000000001</v>
      </c>
      <c r="D6056" s="6">
        <v>78</v>
      </c>
      <c r="E6056" s="6">
        <v>0</v>
      </c>
      <c r="F6056" s="6">
        <v>0</v>
      </c>
      <c r="G6056" s="6">
        <v>10</v>
      </c>
      <c r="H6056" s="6" t="s">
        <v>37750</v>
      </c>
      <c r="I6056" s="6">
        <v>526.6875</v>
      </c>
      <c r="J6056" s="2">
        <f t="shared" si="94"/>
        <v>43748.907684907404</v>
      </c>
    </row>
    <row r="6057" spans="1:10" x14ac:dyDescent="0.25">
      <c r="A6057" s="7" t="s">
        <v>37751</v>
      </c>
      <c r="B6057" s="8">
        <v>393.75</v>
      </c>
      <c r="C6057" s="8">
        <v>20.478950000000001</v>
      </c>
      <c r="D6057" s="8">
        <v>78</v>
      </c>
      <c r="E6057" s="8">
        <v>0</v>
      </c>
      <c r="F6057" s="8">
        <v>0</v>
      </c>
      <c r="G6057" s="8">
        <v>7</v>
      </c>
      <c r="H6057" s="8" t="s">
        <v>37752</v>
      </c>
      <c r="I6057" s="8">
        <v>526.6875</v>
      </c>
      <c r="J6057" s="3">
        <f t="shared" si="94"/>
        <v>43748.907756296292</v>
      </c>
    </row>
    <row r="6058" spans="1:10" x14ac:dyDescent="0.25">
      <c r="A6058" s="5" t="s">
        <v>37753</v>
      </c>
      <c r="B6058" s="6">
        <v>393.75</v>
      </c>
      <c r="C6058" s="6">
        <v>20.478950000000001</v>
      </c>
      <c r="D6058" s="6">
        <v>78</v>
      </c>
      <c r="E6058" s="6">
        <v>0</v>
      </c>
      <c r="F6058" s="6">
        <v>0</v>
      </c>
      <c r="G6058" s="6">
        <v>16</v>
      </c>
      <c r="H6058" s="6" t="s">
        <v>37754</v>
      </c>
      <c r="I6058" s="6">
        <v>526.6875</v>
      </c>
      <c r="J6058" s="2">
        <f t="shared" si="94"/>
        <v>43748.907828402771</v>
      </c>
    </row>
    <row r="6059" spans="1:10" x14ac:dyDescent="0.25">
      <c r="A6059" s="7" t="s">
        <v>37755</v>
      </c>
      <c r="B6059" s="8">
        <v>412.5</v>
      </c>
      <c r="C6059" s="8">
        <v>20.478950000000001</v>
      </c>
      <c r="D6059" s="8">
        <v>77</v>
      </c>
      <c r="E6059" s="8">
        <v>0</v>
      </c>
      <c r="F6059" s="8">
        <v>0</v>
      </c>
      <c r="G6059" s="8">
        <v>18</v>
      </c>
      <c r="H6059" s="8" t="s">
        <v>37756</v>
      </c>
      <c r="I6059" s="8">
        <v>532.3125</v>
      </c>
      <c r="J6059" s="3">
        <f t="shared" si="94"/>
        <v>43748.907911793976</v>
      </c>
    </row>
    <row r="6060" spans="1:10" x14ac:dyDescent="0.25">
      <c r="A6060" s="5" t="s">
        <v>37757</v>
      </c>
      <c r="B6060" s="6">
        <v>393.75</v>
      </c>
      <c r="C6060" s="6">
        <v>20.478950000000001</v>
      </c>
      <c r="D6060" s="6">
        <v>77</v>
      </c>
      <c r="E6060" s="6">
        <v>0</v>
      </c>
      <c r="F6060" s="6">
        <v>0</v>
      </c>
      <c r="G6060" s="6">
        <v>9</v>
      </c>
      <c r="H6060" s="6" t="s">
        <v>37758</v>
      </c>
      <c r="I6060" s="6">
        <v>526.6875</v>
      </c>
      <c r="J6060" s="2">
        <f t="shared" si="94"/>
        <v>43748.907983148143</v>
      </c>
    </row>
    <row r="6061" spans="1:10" x14ac:dyDescent="0.25">
      <c r="A6061" s="7" t="s">
        <v>37759</v>
      </c>
      <c r="B6061" s="8">
        <v>393.75</v>
      </c>
      <c r="C6061" s="8">
        <v>20.478950000000001</v>
      </c>
      <c r="D6061" s="8">
        <v>75</v>
      </c>
      <c r="E6061" s="8">
        <v>0</v>
      </c>
      <c r="F6061" s="8">
        <v>0</v>
      </c>
      <c r="G6061" s="8">
        <v>14</v>
      </c>
      <c r="H6061" s="8" t="s">
        <v>37760</v>
      </c>
      <c r="I6061" s="8">
        <v>526.5</v>
      </c>
      <c r="J6061" s="3">
        <f t="shared" si="94"/>
        <v>43748.908054467589</v>
      </c>
    </row>
    <row r="6062" spans="1:10" x14ac:dyDescent="0.25">
      <c r="A6062" s="5" t="s">
        <v>37761</v>
      </c>
      <c r="B6062" s="6">
        <v>393.75</v>
      </c>
      <c r="C6062" s="6">
        <v>20.478950000000001</v>
      </c>
      <c r="D6062" s="6">
        <v>76</v>
      </c>
      <c r="E6062" s="6">
        <v>0</v>
      </c>
      <c r="F6062" s="6">
        <v>0</v>
      </c>
      <c r="G6062" s="6">
        <v>3</v>
      </c>
      <c r="H6062" s="6" t="s">
        <v>37762</v>
      </c>
      <c r="I6062" s="6">
        <v>526.6875</v>
      </c>
      <c r="J6062" s="2">
        <f t="shared" si="94"/>
        <v>43748.908126608796</v>
      </c>
    </row>
    <row r="6063" spans="1:10" x14ac:dyDescent="0.25">
      <c r="A6063" s="7" t="s">
        <v>37763</v>
      </c>
      <c r="B6063" s="8">
        <v>396.875</v>
      </c>
      <c r="C6063" s="8">
        <v>20.478950000000001</v>
      </c>
      <c r="D6063" s="8">
        <v>79</v>
      </c>
      <c r="E6063" s="8">
        <v>0</v>
      </c>
      <c r="F6063" s="8">
        <v>0</v>
      </c>
      <c r="G6063" s="8">
        <v>18</v>
      </c>
      <c r="H6063" s="8" t="s">
        <v>37764</v>
      </c>
      <c r="I6063" s="8">
        <v>527.4375</v>
      </c>
      <c r="J6063" s="3">
        <f t="shared" si="94"/>
        <v>43748.908197858793</v>
      </c>
    </row>
    <row r="6064" spans="1:10" x14ac:dyDescent="0.25">
      <c r="A6064" s="5" t="s">
        <v>37765</v>
      </c>
      <c r="B6064" s="6">
        <v>396.875</v>
      </c>
      <c r="C6064" s="6">
        <v>20.478950000000001</v>
      </c>
      <c r="D6064" s="6">
        <v>79</v>
      </c>
      <c r="E6064" s="6">
        <v>0</v>
      </c>
      <c r="F6064" s="6">
        <v>0</v>
      </c>
      <c r="G6064" s="6">
        <v>15</v>
      </c>
      <c r="H6064" s="6" t="s">
        <v>37766</v>
      </c>
      <c r="I6064" s="6">
        <v>527.4375</v>
      </c>
      <c r="J6064" s="2">
        <f t="shared" si="94"/>
        <v>43748.908286689817</v>
      </c>
    </row>
    <row r="6065" spans="1:10" x14ac:dyDescent="0.25">
      <c r="A6065" s="7" t="s">
        <v>37767</v>
      </c>
      <c r="B6065" s="8">
        <v>396.875</v>
      </c>
      <c r="C6065" s="8">
        <v>20.478950000000001</v>
      </c>
      <c r="D6065" s="8">
        <v>81</v>
      </c>
      <c r="E6065" s="8">
        <v>0</v>
      </c>
      <c r="F6065" s="8">
        <v>0</v>
      </c>
      <c r="G6065" s="8">
        <v>13</v>
      </c>
      <c r="H6065" s="8" t="s">
        <v>37768</v>
      </c>
      <c r="I6065" s="8">
        <v>527.4375</v>
      </c>
      <c r="J6065" s="3">
        <f t="shared" si="94"/>
        <v>43748.908364606476</v>
      </c>
    </row>
    <row r="6066" spans="1:10" x14ac:dyDescent="0.25">
      <c r="A6066" s="5" t="s">
        <v>37769</v>
      </c>
      <c r="B6066" s="6">
        <v>396.875</v>
      </c>
      <c r="C6066" s="6">
        <v>20.478950000000001</v>
      </c>
      <c r="D6066" s="6">
        <v>82</v>
      </c>
      <c r="E6066" s="6">
        <v>0</v>
      </c>
      <c r="F6066" s="6">
        <v>0</v>
      </c>
      <c r="G6066" s="6">
        <v>16</v>
      </c>
      <c r="H6066" s="6" t="s">
        <v>37770</v>
      </c>
      <c r="I6066" s="6">
        <v>527.4375</v>
      </c>
      <c r="J6066" s="2">
        <f t="shared" si="94"/>
        <v>43748.908436585647</v>
      </c>
    </row>
    <row r="6067" spans="1:10" x14ac:dyDescent="0.25">
      <c r="A6067" s="7" t="s">
        <v>37771</v>
      </c>
      <c r="B6067" s="8">
        <v>396.875</v>
      </c>
      <c r="C6067" s="8">
        <v>20.478950000000001</v>
      </c>
      <c r="D6067" s="8">
        <v>82</v>
      </c>
      <c r="E6067" s="8">
        <v>0</v>
      </c>
      <c r="F6067" s="8">
        <v>0</v>
      </c>
      <c r="G6067" s="8">
        <v>15</v>
      </c>
      <c r="H6067" s="8" t="s">
        <v>37772</v>
      </c>
      <c r="I6067" s="8">
        <v>527.4375</v>
      </c>
      <c r="J6067" s="3">
        <f t="shared" si="94"/>
        <v>43748.908519618053</v>
      </c>
    </row>
    <row r="6068" spans="1:10" x14ac:dyDescent="0.25">
      <c r="A6068" s="5" t="s">
        <v>37773</v>
      </c>
      <c r="B6068" s="6">
        <v>393.75</v>
      </c>
      <c r="C6068" s="6">
        <v>20.478950000000001</v>
      </c>
      <c r="D6068" s="6">
        <v>81</v>
      </c>
      <c r="E6068" s="6">
        <v>0</v>
      </c>
      <c r="F6068" s="6">
        <v>0</v>
      </c>
      <c r="G6068" s="6">
        <v>22</v>
      </c>
      <c r="H6068" s="6" t="s">
        <v>37774</v>
      </c>
      <c r="I6068" s="6">
        <v>526.6875</v>
      </c>
      <c r="J6068" s="2">
        <f t="shared" si="94"/>
        <v>43748.908615497683</v>
      </c>
    </row>
    <row r="6069" spans="1:10" x14ac:dyDescent="0.25">
      <c r="A6069" s="7" t="s">
        <v>37775</v>
      </c>
      <c r="B6069" s="8">
        <v>393.75</v>
      </c>
      <c r="C6069" s="8">
        <v>20.478950000000001</v>
      </c>
      <c r="D6069" s="8">
        <v>78</v>
      </c>
      <c r="E6069" s="8">
        <v>0</v>
      </c>
      <c r="F6069" s="8">
        <v>0</v>
      </c>
      <c r="G6069" s="8">
        <v>15</v>
      </c>
      <c r="H6069" s="8" t="s">
        <v>37776</v>
      </c>
      <c r="I6069" s="8">
        <v>526.6875</v>
      </c>
      <c r="J6069" s="3">
        <f t="shared" si="94"/>
        <v>43748.908686793984</v>
      </c>
    </row>
    <row r="6070" spans="1:10" x14ac:dyDescent="0.25">
      <c r="A6070" s="5" t="s">
        <v>37777</v>
      </c>
      <c r="B6070" s="6">
        <v>393.75</v>
      </c>
      <c r="C6070" s="6">
        <v>20.478950000000001</v>
      </c>
      <c r="D6070" s="6">
        <v>78</v>
      </c>
      <c r="E6070" s="6">
        <v>0</v>
      </c>
      <c r="F6070" s="6">
        <v>0</v>
      </c>
      <c r="G6070" s="6">
        <v>22</v>
      </c>
      <c r="H6070" s="6" t="s">
        <v>37778</v>
      </c>
      <c r="I6070" s="6">
        <v>526.6875</v>
      </c>
      <c r="J6070" s="2">
        <f t="shared" si="94"/>
        <v>43748.908758101847</v>
      </c>
    </row>
    <row r="6071" spans="1:10" x14ac:dyDescent="0.25">
      <c r="A6071" s="7" t="s">
        <v>37779</v>
      </c>
      <c r="B6071" s="8">
        <v>437.5</v>
      </c>
      <c r="C6071" s="8">
        <v>20.478950000000001</v>
      </c>
      <c r="D6071" s="8">
        <v>78</v>
      </c>
      <c r="E6071" s="8">
        <v>0</v>
      </c>
      <c r="F6071" s="8">
        <v>0</v>
      </c>
      <c r="G6071" s="8">
        <v>18</v>
      </c>
      <c r="H6071" s="8" t="s">
        <v>37780</v>
      </c>
      <c r="I6071" s="8">
        <v>540.5625</v>
      </c>
      <c r="J6071" s="3">
        <f t="shared" si="94"/>
        <v>43748.908830277775</v>
      </c>
    </row>
    <row r="6072" spans="1:10" x14ac:dyDescent="0.25">
      <c r="A6072" s="5" t="s">
        <v>37781</v>
      </c>
      <c r="B6072" s="6">
        <v>393.75</v>
      </c>
      <c r="C6072" s="6">
        <v>20.478950000000001</v>
      </c>
      <c r="D6072" s="6">
        <v>79</v>
      </c>
      <c r="E6072" s="6">
        <v>0</v>
      </c>
      <c r="F6072" s="6">
        <v>0</v>
      </c>
      <c r="G6072" s="6">
        <v>15</v>
      </c>
      <c r="H6072" s="6" t="s">
        <v>37782</v>
      </c>
      <c r="I6072" s="6">
        <v>526.6875</v>
      </c>
      <c r="J6072" s="2">
        <f t="shared" si="94"/>
        <v>43748.908901620372</v>
      </c>
    </row>
    <row r="6073" spans="1:10" x14ac:dyDescent="0.25">
      <c r="A6073" s="7" t="s">
        <v>37783</v>
      </c>
      <c r="B6073" s="8">
        <v>393.75</v>
      </c>
      <c r="C6073" s="8">
        <v>20.478950000000001</v>
      </c>
      <c r="D6073" s="8">
        <v>79</v>
      </c>
      <c r="E6073" s="8">
        <v>0</v>
      </c>
      <c r="F6073" s="8">
        <v>0</v>
      </c>
      <c r="G6073" s="8">
        <v>6</v>
      </c>
      <c r="H6073" s="8" t="s">
        <v>37784</v>
      </c>
      <c r="I6073" s="8">
        <v>526.6875</v>
      </c>
      <c r="J6073" s="3">
        <f t="shared" si="94"/>
        <v>43748.90897290509</v>
      </c>
    </row>
    <row r="6074" spans="1:10" x14ac:dyDescent="0.25">
      <c r="A6074" s="5" t="s">
        <v>37785</v>
      </c>
      <c r="B6074" s="6">
        <v>393.75</v>
      </c>
      <c r="C6074" s="6">
        <v>20.478950000000001</v>
      </c>
      <c r="D6074" s="6">
        <v>79</v>
      </c>
      <c r="E6074" s="6">
        <v>0</v>
      </c>
      <c r="F6074" s="6">
        <v>0</v>
      </c>
      <c r="G6074" s="6">
        <v>6</v>
      </c>
      <c r="H6074" s="6" t="s">
        <v>37786</v>
      </c>
      <c r="I6074" s="6">
        <v>526.6875</v>
      </c>
      <c r="J6074" s="2">
        <f t="shared" si="94"/>
        <v>43748.909044270833</v>
      </c>
    </row>
    <row r="6075" spans="1:10" x14ac:dyDescent="0.25">
      <c r="A6075" s="7" t="s">
        <v>37787</v>
      </c>
      <c r="B6075" s="8">
        <v>393.75</v>
      </c>
      <c r="C6075" s="8">
        <v>20.478950000000001</v>
      </c>
      <c r="D6075" s="8">
        <v>79</v>
      </c>
      <c r="E6075" s="8">
        <v>0</v>
      </c>
      <c r="F6075" s="8">
        <v>0</v>
      </c>
      <c r="G6075" s="8">
        <v>9</v>
      </c>
      <c r="H6075" s="8" t="s">
        <v>37788</v>
      </c>
      <c r="I6075" s="8">
        <v>526.6875</v>
      </c>
      <c r="J6075" s="3">
        <f t="shared" si="94"/>
        <v>43748.909116446761</v>
      </c>
    </row>
    <row r="6076" spans="1:10" x14ac:dyDescent="0.25">
      <c r="A6076" s="5" t="s">
        <v>37789</v>
      </c>
      <c r="B6076" s="6">
        <v>393.75</v>
      </c>
      <c r="C6076" s="6">
        <v>20.478950000000001</v>
      </c>
      <c r="D6076" s="6">
        <v>79</v>
      </c>
      <c r="E6076" s="6">
        <v>0</v>
      </c>
      <c r="F6076" s="6">
        <v>0</v>
      </c>
      <c r="G6076" s="6">
        <v>19</v>
      </c>
      <c r="H6076" s="6" t="s">
        <v>37790</v>
      </c>
      <c r="I6076" s="6">
        <v>526.6875</v>
      </c>
      <c r="J6076" s="2">
        <f t="shared" si="94"/>
        <v>43748.90921179398</v>
      </c>
    </row>
    <row r="6077" spans="1:10" x14ac:dyDescent="0.25">
      <c r="A6077" s="7" t="s">
        <v>37791</v>
      </c>
      <c r="B6077" s="8">
        <v>393.75</v>
      </c>
      <c r="C6077" s="8">
        <v>20.478950000000001</v>
      </c>
      <c r="D6077" s="8">
        <v>79</v>
      </c>
      <c r="E6077" s="8">
        <v>0</v>
      </c>
      <c r="F6077" s="8">
        <v>0</v>
      </c>
      <c r="G6077" s="8">
        <v>20</v>
      </c>
      <c r="H6077" s="8" t="s">
        <v>37792</v>
      </c>
      <c r="I6077" s="8">
        <v>526.6875</v>
      </c>
      <c r="J6077" s="3">
        <f t="shared" si="94"/>
        <v>43748.90928310185</v>
      </c>
    </row>
    <row r="6078" spans="1:10" x14ac:dyDescent="0.25">
      <c r="A6078" s="5" t="s">
        <v>37793</v>
      </c>
      <c r="B6078" s="6">
        <v>412.5</v>
      </c>
      <c r="C6078" s="6">
        <v>20.478950000000001</v>
      </c>
      <c r="D6078" s="6">
        <v>79</v>
      </c>
      <c r="E6078" s="6">
        <v>0</v>
      </c>
      <c r="F6078" s="6">
        <v>0</v>
      </c>
      <c r="G6078" s="6">
        <v>14</v>
      </c>
      <c r="H6078" s="6" t="s">
        <v>37794</v>
      </c>
      <c r="I6078" s="6">
        <v>532.5</v>
      </c>
      <c r="J6078" s="2">
        <f t="shared" si="94"/>
        <v>43748.909354398151</v>
      </c>
    </row>
    <row r="6079" spans="1:10" x14ac:dyDescent="0.25">
      <c r="A6079" s="7" t="s">
        <v>37795</v>
      </c>
      <c r="B6079" s="8">
        <v>393.75</v>
      </c>
      <c r="C6079" s="8">
        <v>20.478950000000001</v>
      </c>
      <c r="D6079" s="8">
        <v>81</v>
      </c>
      <c r="E6079" s="8">
        <v>0</v>
      </c>
      <c r="F6079" s="8">
        <v>0</v>
      </c>
      <c r="G6079" s="8">
        <v>12</v>
      </c>
      <c r="H6079" s="8" t="s">
        <v>37796</v>
      </c>
      <c r="I6079" s="8">
        <v>526.6875</v>
      </c>
      <c r="J6079" s="3">
        <f t="shared" si="94"/>
        <v>43748.909426620368</v>
      </c>
    </row>
    <row r="6080" spans="1:10" x14ac:dyDescent="0.25">
      <c r="A6080" s="5" t="s">
        <v>37797</v>
      </c>
      <c r="B6080" s="6">
        <v>393.75</v>
      </c>
      <c r="C6080" s="6">
        <v>20.478950000000001</v>
      </c>
      <c r="D6080" s="6">
        <v>82</v>
      </c>
      <c r="E6080" s="6">
        <v>0</v>
      </c>
      <c r="F6080" s="6">
        <v>0</v>
      </c>
      <c r="G6080" s="6">
        <v>6</v>
      </c>
      <c r="H6080" s="6" t="s">
        <v>37798</v>
      </c>
      <c r="I6080" s="6">
        <v>526.6875</v>
      </c>
      <c r="J6080" s="2">
        <f t="shared" si="94"/>
        <v>43748.909497650464</v>
      </c>
    </row>
    <row r="6081" spans="1:10" x14ac:dyDescent="0.25">
      <c r="A6081" s="7" t="s">
        <v>37799</v>
      </c>
      <c r="B6081" s="8">
        <v>393.75</v>
      </c>
      <c r="C6081" s="8">
        <v>20.478950000000001</v>
      </c>
      <c r="D6081" s="8">
        <v>81</v>
      </c>
      <c r="E6081" s="8">
        <v>0</v>
      </c>
      <c r="F6081" s="8">
        <v>0</v>
      </c>
      <c r="G6081" s="8">
        <v>13</v>
      </c>
      <c r="H6081" s="8" t="s">
        <v>37800</v>
      </c>
      <c r="I6081" s="8">
        <v>526.6875</v>
      </c>
      <c r="J6081" s="3">
        <f t="shared" si="94"/>
        <v>43748.909569236108</v>
      </c>
    </row>
    <row r="6082" spans="1:10" x14ac:dyDescent="0.25">
      <c r="A6082" s="5" t="s">
        <v>37801</v>
      </c>
      <c r="B6082" s="6">
        <v>393.75</v>
      </c>
      <c r="C6082" s="6">
        <v>20.478950000000001</v>
      </c>
      <c r="D6082" s="6">
        <v>81</v>
      </c>
      <c r="E6082" s="6">
        <v>0</v>
      </c>
      <c r="F6082" s="6">
        <v>0</v>
      </c>
      <c r="G6082" s="6">
        <v>9</v>
      </c>
      <c r="H6082" s="6" t="s">
        <v>37802</v>
      </c>
      <c r="I6082" s="6">
        <v>526.6875</v>
      </c>
      <c r="J6082" s="2">
        <f t="shared" ref="J6082:J6145" si="95">(H6082/86400000)+25569+(7/24)</f>
        <v>43748.909640613427</v>
      </c>
    </row>
    <row r="6083" spans="1:10" x14ac:dyDescent="0.25">
      <c r="A6083" s="7" t="s">
        <v>37803</v>
      </c>
      <c r="B6083" s="8">
        <v>393.75</v>
      </c>
      <c r="C6083" s="8">
        <v>20.478950000000001</v>
      </c>
      <c r="D6083" s="8">
        <v>81</v>
      </c>
      <c r="E6083" s="8">
        <v>0</v>
      </c>
      <c r="F6083" s="8">
        <v>0</v>
      </c>
      <c r="G6083" s="8">
        <v>12</v>
      </c>
      <c r="H6083" s="8" t="s">
        <v>37804</v>
      </c>
      <c r="I6083" s="8">
        <v>526.6875</v>
      </c>
      <c r="J6083" s="3">
        <f t="shared" si="95"/>
        <v>43748.909712858796</v>
      </c>
    </row>
    <row r="6084" spans="1:10" x14ac:dyDescent="0.25">
      <c r="A6084" s="5" t="s">
        <v>37805</v>
      </c>
      <c r="B6084" s="6">
        <v>393.75</v>
      </c>
      <c r="C6084" s="6">
        <v>20.478950000000001</v>
      </c>
      <c r="D6084" s="6">
        <v>81</v>
      </c>
      <c r="E6084" s="6">
        <v>0</v>
      </c>
      <c r="F6084" s="6">
        <v>0</v>
      </c>
      <c r="G6084" s="6">
        <v>3</v>
      </c>
      <c r="H6084" s="6" t="s">
        <v>37806</v>
      </c>
      <c r="I6084" s="6">
        <v>526.6875</v>
      </c>
      <c r="J6084" s="2">
        <f t="shared" si="95"/>
        <v>43748.909807581011</v>
      </c>
    </row>
    <row r="6085" spans="1:10" x14ac:dyDescent="0.25">
      <c r="A6085" s="7" t="s">
        <v>37807</v>
      </c>
      <c r="B6085" s="8">
        <v>393.75</v>
      </c>
      <c r="C6085" s="8">
        <v>20.478950000000001</v>
      </c>
      <c r="D6085" s="8">
        <v>75</v>
      </c>
      <c r="E6085" s="8">
        <v>0</v>
      </c>
      <c r="F6085" s="8">
        <v>0</v>
      </c>
      <c r="G6085" s="8">
        <v>12</v>
      </c>
      <c r="H6085" s="8" t="s">
        <v>37808</v>
      </c>
      <c r="I6085" s="8">
        <v>526.6875</v>
      </c>
      <c r="J6085" s="3">
        <f t="shared" si="95"/>
        <v>43748.909891412033</v>
      </c>
    </row>
    <row r="6086" spans="1:10" x14ac:dyDescent="0.25">
      <c r="A6086" s="5" t="s">
        <v>37809</v>
      </c>
      <c r="B6086" s="6">
        <v>393.75</v>
      </c>
      <c r="C6086" s="6">
        <v>20.478950000000001</v>
      </c>
      <c r="D6086" s="6">
        <v>79</v>
      </c>
      <c r="E6086" s="6">
        <v>0</v>
      </c>
      <c r="F6086" s="6">
        <v>0</v>
      </c>
      <c r="G6086" s="6">
        <v>8</v>
      </c>
      <c r="H6086" s="6" t="s">
        <v>37810</v>
      </c>
      <c r="I6086" s="6">
        <v>526.6875</v>
      </c>
      <c r="J6086" s="2">
        <f t="shared" si="95"/>
        <v>43748.909986620369</v>
      </c>
    </row>
    <row r="6087" spans="1:10" x14ac:dyDescent="0.25">
      <c r="A6087" s="7" t="s">
        <v>37811</v>
      </c>
      <c r="B6087" s="8">
        <v>393.75</v>
      </c>
      <c r="C6087" s="8">
        <v>20.478950000000001</v>
      </c>
      <c r="D6087" s="8">
        <v>79</v>
      </c>
      <c r="E6087" s="8">
        <v>0</v>
      </c>
      <c r="F6087" s="8">
        <v>0</v>
      </c>
      <c r="G6087" s="8">
        <v>17</v>
      </c>
      <c r="H6087" s="8" t="s">
        <v>37812</v>
      </c>
      <c r="I6087" s="8">
        <v>526.6875</v>
      </c>
      <c r="J6087" s="3">
        <f t="shared" si="95"/>
        <v>43748.910058067129</v>
      </c>
    </row>
    <row r="6088" spans="1:10" x14ac:dyDescent="0.25">
      <c r="A6088" s="5" t="s">
        <v>37813</v>
      </c>
      <c r="B6088" s="6">
        <v>393.75</v>
      </c>
      <c r="C6088" s="6">
        <v>20.478950000000001</v>
      </c>
      <c r="D6088" s="6">
        <v>80</v>
      </c>
      <c r="E6088" s="6">
        <v>0</v>
      </c>
      <c r="F6088" s="6">
        <v>0</v>
      </c>
      <c r="G6088" s="6">
        <v>13</v>
      </c>
      <c r="H6088" s="6" t="s">
        <v>37814</v>
      </c>
      <c r="I6088" s="6">
        <v>526.6875</v>
      </c>
      <c r="J6088" s="2">
        <f t="shared" si="95"/>
        <v>43748.910130115743</v>
      </c>
    </row>
    <row r="6089" spans="1:10" x14ac:dyDescent="0.25">
      <c r="A6089" s="7" t="s">
        <v>37815</v>
      </c>
      <c r="B6089" s="8">
        <v>393.75</v>
      </c>
      <c r="C6089" s="8">
        <v>20.478950000000001</v>
      </c>
      <c r="D6089" s="8">
        <v>80</v>
      </c>
      <c r="E6089" s="8">
        <v>0</v>
      </c>
      <c r="F6089" s="8">
        <v>0</v>
      </c>
      <c r="G6089" s="8">
        <v>9</v>
      </c>
      <c r="H6089" s="8" t="s">
        <v>37816</v>
      </c>
      <c r="I6089" s="8">
        <v>526.6875</v>
      </c>
      <c r="J6089" s="3">
        <f t="shared" si="95"/>
        <v>43748.910201597224</v>
      </c>
    </row>
    <row r="6090" spans="1:10" x14ac:dyDescent="0.25">
      <c r="A6090" s="5" t="s">
        <v>37817</v>
      </c>
      <c r="B6090" s="6">
        <v>393.75</v>
      </c>
      <c r="C6090" s="6">
        <v>20.478950000000001</v>
      </c>
      <c r="D6090" s="6">
        <v>80</v>
      </c>
      <c r="E6090" s="6">
        <v>0</v>
      </c>
      <c r="F6090" s="6">
        <v>0</v>
      </c>
      <c r="G6090" s="6">
        <v>18</v>
      </c>
      <c r="H6090" s="6" t="s">
        <v>37818</v>
      </c>
      <c r="I6090" s="6">
        <v>526.6875</v>
      </c>
      <c r="J6090" s="2">
        <f t="shared" si="95"/>
        <v>43748.910273668975</v>
      </c>
    </row>
    <row r="6091" spans="1:10" x14ac:dyDescent="0.25">
      <c r="A6091" s="7" t="s">
        <v>37819</v>
      </c>
      <c r="B6091" s="8">
        <v>412.5</v>
      </c>
      <c r="C6091" s="8">
        <v>20.478950000000001</v>
      </c>
      <c r="D6091" s="8">
        <v>79</v>
      </c>
      <c r="E6091" s="8">
        <v>0</v>
      </c>
      <c r="F6091" s="8">
        <v>0</v>
      </c>
      <c r="G6091" s="8">
        <v>14</v>
      </c>
      <c r="H6091" s="8" t="s">
        <v>37820</v>
      </c>
      <c r="I6091" s="8">
        <v>532.6875</v>
      </c>
      <c r="J6091" s="3">
        <f t="shared" si="95"/>
        <v>43748.910344178243</v>
      </c>
    </row>
    <row r="6092" spans="1:10" x14ac:dyDescent="0.25">
      <c r="A6092" s="5" t="s">
        <v>37821</v>
      </c>
      <c r="B6092" s="6">
        <v>393.75</v>
      </c>
      <c r="C6092" s="6">
        <v>20.478950000000001</v>
      </c>
      <c r="D6092" s="6">
        <v>79</v>
      </c>
      <c r="E6092" s="6">
        <v>0</v>
      </c>
      <c r="F6092" s="6">
        <v>0</v>
      </c>
      <c r="G6092" s="6">
        <v>15</v>
      </c>
      <c r="H6092" s="6" t="s">
        <v>37822</v>
      </c>
      <c r="I6092" s="6">
        <v>526.6875</v>
      </c>
      <c r="J6092" s="2">
        <f t="shared" si="95"/>
        <v>43748.910415879633</v>
      </c>
    </row>
    <row r="6093" spans="1:10" x14ac:dyDescent="0.25">
      <c r="A6093" s="7" t="s">
        <v>37823</v>
      </c>
      <c r="B6093" s="8">
        <v>393.75</v>
      </c>
      <c r="C6093" s="8">
        <v>20.478950000000001</v>
      </c>
      <c r="D6093" s="8">
        <v>79</v>
      </c>
      <c r="E6093" s="8">
        <v>0</v>
      </c>
      <c r="F6093" s="8">
        <v>0</v>
      </c>
      <c r="G6093" s="8">
        <v>10</v>
      </c>
      <c r="H6093" s="8" t="s">
        <v>37824</v>
      </c>
      <c r="I6093" s="8">
        <v>526.6875</v>
      </c>
      <c r="J6093" s="3">
        <f t="shared" si="95"/>
        <v>43748.91048770833</v>
      </c>
    </row>
    <row r="6094" spans="1:10" x14ac:dyDescent="0.25">
      <c r="A6094" s="5" t="s">
        <v>37825</v>
      </c>
      <c r="B6094" s="6">
        <v>393.75</v>
      </c>
      <c r="C6094" s="6">
        <v>20.478950000000001</v>
      </c>
      <c r="D6094" s="6">
        <v>79</v>
      </c>
      <c r="E6094" s="6">
        <v>0</v>
      </c>
      <c r="F6094" s="6">
        <v>0</v>
      </c>
      <c r="G6094" s="6">
        <v>13</v>
      </c>
      <c r="H6094" s="6" t="s">
        <v>37826</v>
      </c>
      <c r="I6094" s="6">
        <v>526.6875</v>
      </c>
      <c r="J6094" s="2">
        <f t="shared" si="95"/>
        <v>43748.910559004631</v>
      </c>
    </row>
    <row r="6095" spans="1:10" x14ac:dyDescent="0.25">
      <c r="A6095" s="7" t="s">
        <v>37827</v>
      </c>
      <c r="B6095" s="8">
        <v>393.75</v>
      </c>
      <c r="C6095" s="8">
        <v>20.478950000000001</v>
      </c>
      <c r="D6095" s="8">
        <v>79</v>
      </c>
      <c r="E6095" s="8">
        <v>0</v>
      </c>
      <c r="F6095" s="8">
        <v>0</v>
      </c>
      <c r="G6095" s="8">
        <v>9</v>
      </c>
      <c r="H6095" s="8" t="s">
        <v>37828</v>
      </c>
      <c r="I6095" s="8">
        <v>526.6875</v>
      </c>
      <c r="J6095" s="3">
        <f t="shared" si="95"/>
        <v>43748.910631041661</v>
      </c>
    </row>
    <row r="6096" spans="1:10" x14ac:dyDescent="0.25">
      <c r="A6096" s="5" t="s">
        <v>37829</v>
      </c>
      <c r="B6096" s="6">
        <v>393.75</v>
      </c>
      <c r="C6096" s="6">
        <v>20.478950000000001</v>
      </c>
      <c r="D6096" s="6">
        <v>79</v>
      </c>
      <c r="E6096" s="6">
        <v>0</v>
      </c>
      <c r="F6096" s="6">
        <v>0</v>
      </c>
      <c r="G6096" s="6">
        <v>11</v>
      </c>
      <c r="H6096" s="6" t="s">
        <v>37830</v>
      </c>
      <c r="I6096" s="6">
        <v>526.6875</v>
      </c>
      <c r="J6096" s="2">
        <f t="shared" si="95"/>
        <v>43748.910702465277</v>
      </c>
    </row>
    <row r="6097" spans="1:10" x14ac:dyDescent="0.25">
      <c r="A6097" s="7" t="s">
        <v>37831</v>
      </c>
      <c r="B6097" s="8">
        <v>393.75</v>
      </c>
      <c r="C6097" s="8">
        <v>20.478950000000001</v>
      </c>
      <c r="D6097" s="8">
        <v>79</v>
      </c>
      <c r="E6097" s="8">
        <v>0</v>
      </c>
      <c r="F6097" s="8">
        <v>0</v>
      </c>
      <c r="G6097" s="8">
        <v>4</v>
      </c>
      <c r="H6097" s="8" t="s">
        <v>37832</v>
      </c>
      <c r="I6097" s="8">
        <v>526.5</v>
      </c>
      <c r="J6097" s="3">
        <f t="shared" si="95"/>
        <v>43748.910773749994</v>
      </c>
    </row>
    <row r="6098" spans="1:10" x14ac:dyDescent="0.25">
      <c r="A6098" s="5" t="s">
        <v>37833</v>
      </c>
      <c r="B6098" s="6">
        <v>393.75</v>
      </c>
      <c r="C6098" s="6">
        <v>20.478950000000001</v>
      </c>
      <c r="D6098" s="6">
        <v>79</v>
      </c>
      <c r="E6098" s="6">
        <v>0</v>
      </c>
      <c r="F6098" s="6">
        <v>0</v>
      </c>
      <c r="G6098" s="6">
        <v>17</v>
      </c>
      <c r="H6098" s="6" t="s">
        <v>37834</v>
      </c>
      <c r="I6098" s="6">
        <v>526.5</v>
      </c>
      <c r="J6098" s="2">
        <f t="shared" si="95"/>
        <v>43748.910845104161</v>
      </c>
    </row>
    <row r="6099" spans="1:10" x14ac:dyDescent="0.25">
      <c r="A6099" s="7" t="s">
        <v>37835</v>
      </c>
      <c r="B6099" s="8">
        <v>393.75</v>
      </c>
      <c r="C6099" s="8">
        <v>20.478950000000001</v>
      </c>
      <c r="D6099" s="8">
        <v>80</v>
      </c>
      <c r="E6099" s="8">
        <v>0</v>
      </c>
      <c r="F6099" s="8">
        <v>0</v>
      </c>
      <c r="G6099" s="8">
        <v>6</v>
      </c>
      <c r="H6099" s="8" t="s">
        <v>37836</v>
      </c>
      <c r="I6099" s="8">
        <v>526.6875</v>
      </c>
      <c r="J6099" s="3">
        <f t="shared" si="95"/>
        <v>43748.910917291665</v>
      </c>
    </row>
    <row r="6100" spans="1:10" x14ac:dyDescent="0.25">
      <c r="A6100" s="5" t="s">
        <v>37837</v>
      </c>
      <c r="B6100" s="6">
        <v>393.75</v>
      </c>
      <c r="C6100" s="6">
        <v>20.478950000000001</v>
      </c>
      <c r="D6100" s="6">
        <v>84</v>
      </c>
      <c r="E6100" s="6">
        <v>0</v>
      </c>
      <c r="F6100" s="6">
        <v>0</v>
      </c>
      <c r="G6100" s="6">
        <v>9</v>
      </c>
      <c r="H6100" s="6" t="s">
        <v>37838</v>
      </c>
      <c r="I6100" s="6">
        <v>526.6875</v>
      </c>
      <c r="J6100" s="2">
        <f t="shared" si="95"/>
        <v>43748.910988750002</v>
      </c>
    </row>
    <row r="6101" spans="1:10" x14ac:dyDescent="0.25">
      <c r="A6101" s="7" t="s">
        <v>37839</v>
      </c>
      <c r="B6101" s="8">
        <v>393.75</v>
      </c>
      <c r="C6101" s="8">
        <v>20.478950000000001</v>
      </c>
      <c r="D6101" s="8">
        <v>82</v>
      </c>
      <c r="E6101" s="8">
        <v>0</v>
      </c>
      <c r="F6101" s="8">
        <v>0</v>
      </c>
      <c r="G6101" s="8">
        <v>11</v>
      </c>
      <c r="H6101" s="8" t="s">
        <v>37840</v>
      </c>
      <c r="I6101" s="8">
        <v>526.6875</v>
      </c>
      <c r="J6101" s="3">
        <f t="shared" si="95"/>
        <v>43748.911072222218</v>
      </c>
    </row>
    <row r="6102" spans="1:10" x14ac:dyDescent="0.25">
      <c r="A6102" s="5" t="s">
        <v>37841</v>
      </c>
      <c r="B6102" s="6">
        <v>393.75</v>
      </c>
      <c r="C6102" s="6">
        <v>20.478950000000001</v>
      </c>
      <c r="D6102" s="6">
        <v>80</v>
      </c>
      <c r="E6102" s="6">
        <v>0</v>
      </c>
      <c r="F6102" s="6">
        <v>0</v>
      </c>
      <c r="G6102" s="6">
        <v>17</v>
      </c>
      <c r="H6102" s="6" t="s">
        <v>37842</v>
      </c>
      <c r="I6102" s="6">
        <v>526.6875</v>
      </c>
      <c r="J6102" s="2">
        <f t="shared" si="95"/>
        <v>43748.911143252313</v>
      </c>
    </row>
    <row r="6103" spans="1:10" x14ac:dyDescent="0.25">
      <c r="A6103" s="7" t="s">
        <v>37843</v>
      </c>
      <c r="B6103" s="8">
        <v>434.375</v>
      </c>
      <c r="C6103" s="8">
        <v>20.478950000000001</v>
      </c>
      <c r="D6103" s="8">
        <v>80</v>
      </c>
      <c r="E6103" s="8">
        <v>0</v>
      </c>
      <c r="F6103" s="8">
        <v>0</v>
      </c>
      <c r="G6103" s="8">
        <v>11</v>
      </c>
      <c r="H6103" s="8" t="s">
        <v>37844</v>
      </c>
      <c r="I6103" s="8">
        <v>539.25</v>
      </c>
      <c r="J6103" s="3">
        <f t="shared" si="95"/>
        <v>43748.911215474531</v>
      </c>
    </row>
    <row r="6104" spans="1:10" x14ac:dyDescent="0.25">
      <c r="A6104" s="5" t="s">
        <v>37845</v>
      </c>
      <c r="B6104" s="6">
        <v>393.75</v>
      </c>
      <c r="C6104" s="6">
        <v>20.478950000000001</v>
      </c>
      <c r="D6104" s="6">
        <v>80</v>
      </c>
      <c r="E6104" s="6">
        <v>0</v>
      </c>
      <c r="F6104" s="6">
        <v>0</v>
      </c>
      <c r="G6104" s="6">
        <v>10</v>
      </c>
      <c r="H6104" s="6" t="s">
        <v>37846</v>
      </c>
      <c r="I6104" s="6">
        <v>526.5</v>
      </c>
      <c r="J6104" s="2">
        <f t="shared" si="95"/>
        <v>43748.911298819447</v>
      </c>
    </row>
    <row r="6105" spans="1:10" x14ac:dyDescent="0.25">
      <c r="A6105" s="7" t="s">
        <v>37847</v>
      </c>
      <c r="B6105" s="8">
        <v>393.75</v>
      </c>
      <c r="C6105" s="8">
        <v>20.478950000000001</v>
      </c>
      <c r="D6105" s="8">
        <v>80</v>
      </c>
      <c r="E6105" s="8">
        <v>0</v>
      </c>
      <c r="F6105" s="8">
        <v>0</v>
      </c>
      <c r="G6105" s="8">
        <v>12</v>
      </c>
      <c r="H6105" s="8" t="s">
        <v>37848</v>
      </c>
      <c r="I6105" s="8">
        <v>526.6875</v>
      </c>
      <c r="J6105" s="3">
        <f t="shared" si="95"/>
        <v>43748.911370127309</v>
      </c>
    </row>
    <row r="6106" spans="1:10" x14ac:dyDescent="0.25">
      <c r="A6106" s="5" t="s">
        <v>37849</v>
      </c>
      <c r="B6106" s="6">
        <v>393.75</v>
      </c>
      <c r="C6106" s="6">
        <v>20.478950000000001</v>
      </c>
      <c r="D6106" s="6">
        <v>80</v>
      </c>
      <c r="E6106" s="6">
        <v>0</v>
      </c>
      <c r="F6106" s="6">
        <v>0</v>
      </c>
      <c r="G6106" s="6">
        <v>13</v>
      </c>
      <c r="H6106" s="6" t="s">
        <v>37850</v>
      </c>
      <c r="I6106" s="6">
        <v>526.6875</v>
      </c>
      <c r="J6106" s="2">
        <f t="shared" si="95"/>
        <v>43748.911441400465</v>
      </c>
    </row>
    <row r="6107" spans="1:10" x14ac:dyDescent="0.25">
      <c r="A6107" s="7" t="s">
        <v>37851</v>
      </c>
      <c r="B6107" s="8">
        <v>393.75</v>
      </c>
      <c r="C6107" s="8">
        <v>20.478950000000001</v>
      </c>
      <c r="D6107" s="8">
        <v>80</v>
      </c>
      <c r="E6107" s="8">
        <v>0</v>
      </c>
      <c r="F6107" s="8">
        <v>0</v>
      </c>
      <c r="G6107" s="8">
        <v>13</v>
      </c>
      <c r="H6107" s="8" t="s">
        <v>37852</v>
      </c>
      <c r="I6107" s="8">
        <v>526.6875</v>
      </c>
      <c r="J6107" s="3">
        <f t="shared" si="95"/>
        <v>43748.911513622683</v>
      </c>
    </row>
    <row r="6108" spans="1:10" x14ac:dyDescent="0.25">
      <c r="A6108" s="5" t="s">
        <v>37853</v>
      </c>
      <c r="B6108" s="6">
        <v>393.75</v>
      </c>
      <c r="C6108" s="6">
        <v>20.478950000000001</v>
      </c>
      <c r="D6108" s="6">
        <v>77</v>
      </c>
      <c r="E6108" s="6">
        <v>0</v>
      </c>
      <c r="F6108" s="6">
        <v>0</v>
      </c>
      <c r="G6108" s="6">
        <v>22</v>
      </c>
      <c r="H6108" s="6" t="s">
        <v>37854</v>
      </c>
      <c r="I6108" s="6">
        <v>526.6875</v>
      </c>
      <c r="J6108" s="2">
        <f t="shared" si="95"/>
        <v>43748.911596956015</v>
      </c>
    </row>
    <row r="6109" spans="1:10" x14ac:dyDescent="0.25">
      <c r="A6109" s="7" t="s">
        <v>37855</v>
      </c>
      <c r="B6109" s="8">
        <v>393.75</v>
      </c>
      <c r="C6109" s="8">
        <v>20.478950000000001</v>
      </c>
      <c r="D6109" s="8">
        <v>78</v>
      </c>
      <c r="E6109" s="8">
        <v>0</v>
      </c>
      <c r="F6109" s="8">
        <v>0</v>
      </c>
      <c r="G6109" s="8">
        <v>16</v>
      </c>
      <c r="H6109" s="8" t="s">
        <v>37856</v>
      </c>
      <c r="I6109" s="8">
        <v>526.6875</v>
      </c>
      <c r="J6109" s="3">
        <f t="shared" si="95"/>
        <v>43748.91166828703</v>
      </c>
    </row>
    <row r="6110" spans="1:10" x14ac:dyDescent="0.25">
      <c r="A6110" s="5" t="s">
        <v>37857</v>
      </c>
      <c r="B6110" s="6">
        <v>412.5</v>
      </c>
      <c r="C6110" s="6">
        <v>20.478950000000001</v>
      </c>
      <c r="D6110" s="6">
        <v>79</v>
      </c>
      <c r="E6110" s="6">
        <v>0</v>
      </c>
      <c r="F6110" s="6">
        <v>0</v>
      </c>
      <c r="G6110" s="6">
        <v>14</v>
      </c>
      <c r="H6110" s="6" t="s">
        <v>37858</v>
      </c>
      <c r="I6110" s="6">
        <v>532.6875</v>
      </c>
      <c r="J6110" s="2">
        <f t="shared" si="95"/>
        <v>43748.911739629628</v>
      </c>
    </row>
    <row r="6111" spans="1:10" x14ac:dyDescent="0.25">
      <c r="A6111" s="7" t="s">
        <v>37859</v>
      </c>
      <c r="B6111" s="8">
        <v>393.75</v>
      </c>
      <c r="C6111" s="8">
        <v>20.478950000000001</v>
      </c>
      <c r="D6111" s="8">
        <v>81</v>
      </c>
      <c r="E6111" s="8">
        <v>0</v>
      </c>
      <c r="F6111" s="8">
        <v>0</v>
      </c>
      <c r="G6111" s="8">
        <v>14</v>
      </c>
      <c r="H6111" s="8" t="s">
        <v>37860</v>
      </c>
      <c r="I6111" s="8">
        <v>526.6875</v>
      </c>
      <c r="J6111" s="3">
        <f t="shared" si="95"/>
        <v>43748.911811724531</v>
      </c>
    </row>
    <row r="6112" spans="1:10" x14ac:dyDescent="0.25">
      <c r="A6112" s="5" t="s">
        <v>37861</v>
      </c>
      <c r="B6112" s="6">
        <v>393.75</v>
      </c>
      <c r="C6112" s="6">
        <v>20.478950000000001</v>
      </c>
      <c r="D6112" s="6">
        <v>81</v>
      </c>
      <c r="E6112" s="6">
        <v>0</v>
      </c>
      <c r="F6112" s="6">
        <v>0</v>
      </c>
      <c r="G6112" s="6">
        <v>10</v>
      </c>
      <c r="H6112" s="6" t="s">
        <v>37862</v>
      </c>
      <c r="I6112" s="6">
        <v>526.6875</v>
      </c>
      <c r="J6112" s="2">
        <f t="shared" si="95"/>
        <v>43748.911882835644</v>
      </c>
    </row>
    <row r="6113" spans="1:10" x14ac:dyDescent="0.25">
      <c r="A6113" s="7" t="s">
        <v>37863</v>
      </c>
      <c r="B6113" s="8">
        <v>393.75</v>
      </c>
      <c r="C6113" s="8">
        <v>20.478950000000001</v>
      </c>
      <c r="D6113" s="8">
        <v>82</v>
      </c>
      <c r="E6113" s="8">
        <v>0</v>
      </c>
      <c r="F6113" s="8">
        <v>0</v>
      </c>
      <c r="G6113" s="8">
        <v>20</v>
      </c>
      <c r="H6113" s="8" t="s">
        <v>37864</v>
      </c>
      <c r="I6113" s="8">
        <v>526.6875</v>
      </c>
      <c r="J6113" s="3">
        <f t="shared" si="95"/>
        <v>43748.911954374998</v>
      </c>
    </row>
    <row r="6114" spans="1:10" x14ac:dyDescent="0.25">
      <c r="A6114" s="5" t="s">
        <v>37865</v>
      </c>
      <c r="B6114" s="6">
        <v>393.75</v>
      </c>
      <c r="C6114" s="6">
        <v>20.478950000000001</v>
      </c>
      <c r="D6114" s="6">
        <v>82</v>
      </c>
      <c r="E6114" s="6">
        <v>0</v>
      </c>
      <c r="F6114" s="6">
        <v>0</v>
      </c>
      <c r="G6114" s="6">
        <v>12</v>
      </c>
      <c r="H6114" s="6" t="s">
        <v>37866</v>
      </c>
      <c r="I6114" s="6">
        <v>526.6875</v>
      </c>
      <c r="J6114" s="2">
        <f t="shared" si="95"/>
        <v>43748.912026354163</v>
      </c>
    </row>
    <row r="6115" spans="1:10" x14ac:dyDescent="0.25">
      <c r="A6115" s="7" t="s">
        <v>37867</v>
      </c>
      <c r="B6115" s="8">
        <v>393.75</v>
      </c>
      <c r="C6115" s="8">
        <v>20.478950000000001</v>
      </c>
      <c r="D6115" s="8">
        <v>83</v>
      </c>
      <c r="E6115" s="8">
        <v>0</v>
      </c>
      <c r="F6115" s="8">
        <v>0</v>
      </c>
      <c r="G6115" s="8">
        <v>12</v>
      </c>
      <c r="H6115" s="8" t="s">
        <v>37868</v>
      </c>
      <c r="I6115" s="8">
        <v>526.6875</v>
      </c>
      <c r="J6115" s="3">
        <f t="shared" si="95"/>
        <v>43748.912097881941</v>
      </c>
    </row>
    <row r="6116" spans="1:10" x14ac:dyDescent="0.25">
      <c r="A6116" s="5" t="s">
        <v>37869</v>
      </c>
      <c r="B6116" s="6">
        <v>393.75</v>
      </c>
      <c r="C6116" s="6">
        <v>20.478950000000001</v>
      </c>
      <c r="D6116" s="6">
        <v>83</v>
      </c>
      <c r="E6116" s="6">
        <v>0</v>
      </c>
      <c r="F6116" s="6">
        <v>0</v>
      </c>
      <c r="G6116" s="6">
        <v>10</v>
      </c>
      <c r="H6116" s="6" t="s">
        <v>37870</v>
      </c>
      <c r="I6116" s="6">
        <v>526.6875</v>
      </c>
      <c r="J6116" s="2">
        <f t="shared" si="95"/>
        <v>43748.912181215281</v>
      </c>
    </row>
    <row r="6117" spans="1:10" x14ac:dyDescent="0.25">
      <c r="A6117" s="7" t="s">
        <v>37871</v>
      </c>
      <c r="B6117" s="8">
        <v>393.75</v>
      </c>
      <c r="C6117" s="8">
        <v>20.478950000000001</v>
      </c>
      <c r="D6117" s="8">
        <v>83</v>
      </c>
      <c r="E6117" s="8">
        <v>0</v>
      </c>
      <c r="F6117" s="8">
        <v>0</v>
      </c>
      <c r="G6117" s="8">
        <v>14</v>
      </c>
      <c r="H6117" s="8" t="s">
        <v>37872</v>
      </c>
      <c r="I6117" s="8">
        <v>526.6875</v>
      </c>
      <c r="J6117" s="3">
        <f t="shared" si="95"/>
        <v>43748.912253020833</v>
      </c>
    </row>
    <row r="6118" spans="1:10" x14ac:dyDescent="0.25">
      <c r="A6118" s="5" t="s">
        <v>37873</v>
      </c>
      <c r="B6118" s="6">
        <v>412.5</v>
      </c>
      <c r="C6118" s="6">
        <v>20.478950000000001</v>
      </c>
      <c r="D6118" s="6">
        <v>85</v>
      </c>
      <c r="E6118" s="6">
        <v>0</v>
      </c>
      <c r="F6118" s="6">
        <v>0</v>
      </c>
      <c r="G6118" s="6">
        <v>22</v>
      </c>
      <c r="H6118" s="6" t="s">
        <v>37874</v>
      </c>
      <c r="I6118" s="6">
        <v>532.3125</v>
      </c>
      <c r="J6118" s="2">
        <f t="shared" si="95"/>
        <v>43748.912337893511</v>
      </c>
    </row>
    <row r="6119" spans="1:10" x14ac:dyDescent="0.25">
      <c r="A6119" s="7" t="s">
        <v>37875</v>
      </c>
      <c r="B6119" s="8">
        <v>393.75</v>
      </c>
      <c r="C6119" s="8">
        <v>20.478950000000001</v>
      </c>
      <c r="D6119" s="8">
        <v>85</v>
      </c>
      <c r="E6119" s="8">
        <v>0</v>
      </c>
      <c r="F6119" s="8">
        <v>0</v>
      </c>
      <c r="G6119" s="8">
        <v>12</v>
      </c>
      <c r="H6119" s="8" t="s">
        <v>37876</v>
      </c>
      <c r="I6119" s="8">
        <v>526.6875</v>
      </c>
      <c r="J6119" s="3">
        <f t="shared" si="95"/>
        <v>43748.912407233795</v>
      </c>
    </row>
    <row r="6120" spans="1:10" x14ac:dyDescent="0.25">
      <c r="A6120" s="5" t="s">
        <v>37877</v>
      </c>
      <c r="B6120" s="6">
        <v>393.75</v>
      </c>
      <c r="C6120" s="6">
        <v>20.478950000000001</v>
      </c>
      <c r="D6120" s="6">
        <v>81</v>
      </c>
      <c r="E6120" s="6">
        <v>0</v>
      </c>
      <c r="F6120" s="6">
        <v>0</v>
      </c>
      <c r="G6120" s="6">
        <v>13</v>
      </c>
      <c r="H6120" s="6" t="s">
        <v>37878</v>
      </c>
      <c r="I6120" s="6">
        <v>526.6875</v>
      </c>
      <c r="J6120" s="2">
        <f t="shared" si="95"/>
        <v>43748.912479375002</v>
      </c>
    </row>
    <row r="6121" spans="1:10" x14ac:dyDescent="0.25">
      <c r="A6121" s="7" t="s">
        <v>37879</v>
      </c>
      <c r="B6121" s="8">
        <v>393.75</v>
      </c>
      <c r="C6121" s="8">
        <v>20.478950000000001</v>
      </c>
      <c r="D6121" s="8">
        <v>81</v>
      </c>
      <c r="E6121" s="8">
        <v>0</v>
      </c>
      <c r="F6121" s="8">
        <v>0</v>
      </c>
      <c r="G6121" s="8">
        <v>15</v>
      </c>
      <c r="H6121" s="8" t="s">
        <v>37880</v>
      </c>
      <c r="I6121" s="8">
        <v>526.6875</v>
      </c>
      <c r="J6121" s="3">
        <f t="shared" si="95"/>
        <v>43748.912550659719</v>
      </c>
    </row>
    <row r="6122" spans="1:10" x14ac:dyDescent="0.25">
      <c r="A6122" s="5" t="s">
        <v>37881</v>
      </c>
      <c r="B6122" s="6">
        <v>396.875</v>
      </c>
      <c r="C6122" s="6">
        <v>20.478950000000001</v>
      </c>
      <c r="D6122" s="6">
        <v>81</v>
      </c>
      <c r="E6122" s="6">
        <v>0</v>
      </c>
      <c r="F6122" s="6">
        <v>0</v>
      </c>
      <c r="G6122" s="6">
        <v>11</v>
      </c>
      <c r="H6122" s="6" t="s">
        <v>37882</v>
      </c>
      <c r="I6122" s="6">
        <v>527.4375</v>
      </c>
      <c r="J6122" s="2">
        <f t="shared" si="95"/>
        <v>43748.912622881944</v>
      </c>
    </row>
    <row r="6123" spans="1:10" x14ac:dyDescent="0.25">
      <c r="A6123" s="7" t="s">
        <v>37883</v>
      </c>
      <c r="B6123" s="8">
        <v>396.875</v>
      </c>
      <c r="C6123" s="8">
        <v>20.478950000000001</v>
      </c>
      <c r="D6123" s="8">
        <v>81</v>
      </c>
      <c r="E6123" s="8">
        <v>0</v>
      </c>
      <c r="F6123" s="8">
        <v>0</v>
      </c>
      <c r="G6123" s="8">
        <v>8</v>
      </c>
      <c r="H6123" s="8" t="s">
        <v>37884</v>
      </c>
      <c r="I6123" s="8">
        <v>527.4375</v>
      </c>
      <c r="J6123" s="3">
        <f t="shared" si="95"/>
        <v>43748.912694108796</v>
      </c>
    </row>
    <row r="6124" spans="1:10" x14ac:dyDescent="0.25">
      <c r="A6124" s="5" t="s">
        <v>37885</v>
      </c>
      <c r="B6124" s="6">
        <v>396.875</v>
      </c>
      <c r="C6124" s="6">
        <v>20.478950000000001</v>
      </c>
      <c r="D6124" s="6">
        <v>81</v>
      </c>
      <c r="E6124" s="6">
        <v>0</v>
      </c>
      <c r="F6124" s="6">
        <v>0</v>
      </c>
      <c r="G6124" s="6">
        <v>14</v>
      </c>
      <c r="H6124" s="6" t="s">
        <v>37886</v>
      </c>
      <c r="I6124" s="6">
        <v>527.4375</v>
      </c>
      <c r="J6124" s="2">
        <f t="shared" si="95"/>
        <v>43748.91277751157</v>
      </c>
    </row>
    <row r="6125" spans="1:10" x14ac:dyDescent="0.25">
      <c r="A6125" s="7" t="s">
        <v>37887</v>
      </c>
      <c r="B6125" s="8">
        <v>396.875</v>
      </c>
      <c r="C6125" s="8">
        <v>20.478950000000001</v>
      </c>
      <c r="D6125" s="8">
        <v>80</v>
      </c>
      <c r="E6125" s="8">
        <v>0</v>
      </c>
      <c r="F6125" s="8">
        <v>0</v>
      </c>
      <c r="G6125" s="8">
        <v>15</v>
      </c>
      <c r="H6125" s="8" t="s">
        <v>37888</v>
      </c>
      <c r="I6125" s="8">
        <v>527.625</v>
      </c>
      <c r="J6125" s="3">
        <f t="shared" si="95"/>
        <v>43748.912848819447</v>
      </c>
    </row>
    <row r="6126" spans="1:10" x14ac:dyDescent="0.25">
      <c r="A6126" s="5" t="s">
        <v>37889</v>
      </c>
      <c r="B6126" s="6">
        <v>396.875</v>
      </c>
      <c r="C6126" s="6">
        <v>20.478950000000001</v>
      </c>
      <c r="D6126" s="6">
        <v>80</v>
      </c>
      <c r="E6126" s="6">
        <v>0</v>
      </c>
      <c r="F6126" s="6">
        <v>0</v>
      </c>
      <c r="G6126" s="6">
        <v>19</v>
      </c>
      <c r="H6126" s="6" t="s">
        <v>37890</v>
      </c>
      <c r="I6126" s="6">
        <v>527.4375</v>
      </c>
      <c r="J6126" s="2">
        <f t="shared" si="95"/>
        <v>43748.912921030089</v>
      </c>
    </row>
    <row r="6127" spans="1:10" x14ac:dyDescent="0.25">
      <c r="A6127" s="7" t="s">
        <v>37891</v>
      </c>
      <c r="B6127" s="8">
        <v>396.875</v>
      </c>
      <c r="C6127" s="8">
        <v>20.478950000000001</v>
      </c>
      <c r="D6127" s="8">
        <v>81</v>
      </c>
      <c r="E6127" s="8">
        <v>0</v>
      </c>
      <c r="F6127" s="8">
        <v>0</v>
      </c>
      <c r="G6127" s="8">
        <v>25</v>
      </c>
      <c r="H6127" s="8" t="s">
        <v>37892</v>
      </c>
      <c r="I6127" s="8">
        <v>527.4375</v>
      </c>
      <c r="J6127" s="3">
        <f t="shared" si="95"/>
        <v>43748.91299251157</v>
      </c>
    </row>
    <row r="6128" spans="1:10" x14ac:dyDescent="0.25">
      <c r="A6128" s="5" t="s">
        <v>37893</v>
      </c>
      <c r="B6128" s="6">
        <v>396.875</v>
      </c>
      <c r="C6128" s="6">
        <v>20.478950000000001</v>
      </c>
      <c r="D6128" s="6">
        <v>81</v>
      </c>
      <c r="E6128" s="6">
        <v>0</v>
      </c>
      <c r="F6128" s="6">
        <v>0</v>
      </c>
      <c r="G6128" s="6">
        <v>10</v>
      </c>
      <c r="H6128" s="6" t="s">
        <v>37894</v>
      </c>
      <c r="I6128" s="6">
        <v>527.4375</v>
      </c>
      <c r="J6128" s="2">
        <f t="shared" si="95"/>
        <v>43748.913075659722</v>
      </c>
    </row>
    <row r="6129" spans="1:10" x14ac:dyDescent="0.25">
      <c r="A6129" s="7" t="s">
        <v>37895</v>
      </c>
      <c r="B6129" s="8">
        <v>396.875</v>
      </c>
      <c r="C6129" s="8">
        <v>20.478950000000001</v>
      </c>
      <c r="D6129" s="8">
        <v>80</v>
      </c>
      <c r="E6129" s="8">
        <v>0</v>
      </c>
      <c r="F6129" s="8">
        <v>0</v>
      </c>
      <c r="G6129" s="8">
        <v>17</v>
      </c>
      <c r="H6129" s="8" t="s">
        <v>37896</v>
      </c>
      <c r="I6129" s="8">
        <v>527.4375</v>
      </c>
      <c r="J6129" s="3">
        <f t="shared" si="95"/>
        <v>43748.913146944447</v>
      </c>
    </row>
    <row r="6130" spans="1:10" x14ac:dyDescent="0.25">
      <c r="A6130" s="5" t="s">
        <v>37897</v>
      </c>
      <c r="B6130" s="6">
        <v>400</v>
      </c>
      <c r="C6130" s="6">
        <v>20.478950000000001</v>
      </c>
      <c r="D6130" s="6">
        <v>80</v>
      </c>
      <c r="E6130" s="6">
        <v>0</v>
      </c>
      <c r="F6130" s="6">
        <v>0</v>
      </c>
      <c r="G6130" s="6">
        <v>20</v>
      </c>
      <c r="H6130" s="6" t="s">
        <v>37898</v>
      </c>
      <c r="I6130" s="6">
        <v>528.375</v>
      </c>
      <c r="J6130" s="2">
        <f t="shared" si="95"/>
        <v>43748.913218275462</v>
      </c>
    </row>
    <row r="6131" spans="1:10" x14ac:dyDescent="0.25">
      <c r="A6131" s="7" t="s">
        <v>37899</v>
      </c>
      <c r="B6131" s="8">
        <v>400</v>
      </c>
      <c r="C6131" s="8">
        <v>20.478950000000001</v>
      </c>
      <c r="D6131" s="8">
        <v>80</v>
      </c>
      <c r="E6131" s="8">
        <v>0</v>
      </c>
      <c r="F6131" s="8">
        <v>0</v>
      </c>
      <c r="G6131" s="8">
        <v>18</v>
      </c>
      <c r="H6131" s="8" t="s">
        <v>37900</v>
      </c>
      <c r="I6131" s="8">
        <v>528.1875</v>
      </c>
      <c r="J6131" s="3">
        <f t="shared" si="95"/>
        <v>43748.913290127311</v>
      </c>
    </row>
    <row r="6132" spans="1:10" x14ac:dyDescent="0.25">
      <c r="A6132" s="5" t="s">
        <v>37901</v>
      </c>
      <c r="B6132" s="6">
        <v>403.125</v>
      </c>
      <c r="C6132" s="6">
        <v>20.478950000000001</v>
      </c>
      <c r="D6132" s="6">
        <v>80</v>
      </c>
      <c r="E6132" s="6">
        <v>0</v>
      </c>
      <c r="F6132" s="6">
        <v>0</v>
      </c>
      <c r="G6132" s="6">
        <v>17</v>
      </c>
      <c r="H6132" s="6" t="s">
        <v>37902</v>
      </c>
      <c r="I6132" s="6">
        <v>529.125</v>
      </c>
      <c r="J6132" s="2">
        <f t="shared" si="95"/>
        <v>43748.913361782405</v>
      </c>
    </row>
    <row r="6133" spans="1:10" x14ac:dyDescent="0.25">
      <c r="A6133" s="7" t="s">
        <v>37903</v>
      </c>
      <c r="B6133" s="8">
        <v>403.125</v>
      </c>
      <c r="C6133" s="8">
        <v>20.478950000000001</v>
      </c>
      <c r="D6133" s="8">
        <v>80</v>
      </c>
      <c r="E6133" s="8">
        <v>0</v>
      </c>
      <c r="F6133" s="8">
        <v>0</v>
      </c>
      <c r="G6133" s="8">
        <v>20</v>
      </c>
      <c r="H6133" s="8" t="s">
        <v>37904</v>
      </c>
      <c r="I6133" s="8">
        <v>529.125</v>
      </c>
      <c r="J6133" s="3">
        <f t="shared" si="95"/>
        <v>43748.913433136571</v>
      </c>
    </row>
    <row r="6134" spans="1:10" x14ac:dyDescent="0.25">
      <c r="A6134" s="5" t="s">
        <v>37905</v>
      </c>
      <c r="B6134" s="6">
        <v>403.125</v>
      </c>
      <c r="C6134" s="6">
        <v>20.478950000000001</v>
      </c>
      <c r="D6134" s="6">
        <v>81</v>
      </c>
      <c r="E6134" s="6">
        <v>0</v>
      </c>
      <c r="F6134" s="6">
        <v>0</v>
      </c>
      <c r="G6134" s="6">
        <v>19</v>
      </c>
      <c r="H6134" s="6" t="s">
        <v>37906</v>
      </c>
      <c r="I6134" s="6">
        <v>529.875</v>
      </c>
      <c r="J6134" s="2">
        <f t="shared" si="95"/>
        <v>43748.913505289347</v>
      </c>
    </row>
    <row r="6135" spans="1:10" x14ac:dyDescent="0.25">
      <c r="A6135" s="7" t="s">
        <v>37907</v>
      </c>
      <c r="B6135" s="8">
        <v>403.125</v>
      </c>
      <c r="C6135" s="8">
        <v>20.478950000000001</v>
      </c>
      <c r="D6135" s="8">
        <v>80</v>
      </c>
      <c r="E6135" s="8">
        <v>0</v>
      </c>
      <c r="F6135" s="8">
        <v>0</v>
      </c>
      <c r="G6135" s="8">
        <v>14</v>
      </c>
      <c r="H6135" s="8" t="s">
        <v>37908</v>
      </c>
      <c r="I6135" s="8">
        <v>529.875</v>
      </c>
      <c r="J6135" s="3">
        <f t="shared" si="95"/>
        <v>43748.91357665509</v>
      </c>
    </row>
    <row r="6136" spans="1:10" x14ac:dyDescent="0.25">
      <c r="A6136" s="5" t="s">
        <v>37909</v>
      </c>
      <c r="B6136" s="6">
        <v>403.125</v>
      </c>
      <c r="C6136" s="6">
        <v>20.478950000000001</v>
      </c>
      <c r="D6136" s="6">
        <v>79</v>
      </c>
      <c r="E6136" s="6">
        <v>0</v>
      </c>
      <c r="F6136" s="6">
        <v>0</v>
      </c>
      <c r="G6136" s="6">
        <v>13</v>
      </c>
      <c r="H6136" s="6" t="s">
        <v>37910</v>
      </c>
      <c r="I6136" s="6">
        <v>529.875</v>
      </c>
      <c r="J6136" s="2">
        <f t="shared" si="95"/>
        <v>43748.913647905087</v>
      </c>
    </row>
    <row r="6137" spans="1:10" x14ac:dyDescent="0.25">
      <c r="A6137" s="7" t="s">
        <v>37911</v>
      </c>
      <c r="B6137" s="8">
        <v>425</v>
      </c>
      <c r="C6137" s="8">
        <v>20.478950000000001</v>
      </c>
      <c r="D6137" s="8">
        <v>79</v>
      </c>
      <c r="E6137" s="8">
        <v>0</v>
      </c>
      <c r="F6137" s="8">
        <v>0</v>
      </c>
      <c r="G6137" s="8">
        <v>18</v>
      </c>
      <c r="H6137" s="8" t="s">
        <v>37912</v>
      </c>
      <c r="I6137" s="8">
        <v>536.4375</v>
      </c>
      <c r="J6137" s="3">
        <f t="shared" si="95"/>
        <v>43748.913719247685</v>
      </c>
    </row>
    <row r="6138" spans="1:10" x14ac:dyDescent="0.25">
      <c r="A6138" s="5" t="s">
        <v>37913</v>
      </c>
      <c r="B6138" s="6">
        <v>403.125</v>
      </c>
      <c r="C6138" s="6">
        <v>20.478950000000001</v>
      </c>
      <c r="D6138" s="6">
        <v>79</v>
      </c>
      <c r="E6138" s="6">
        <v>0</v>
      </c>
      <c r="F6138" s="6">
        <v>0</v>
      </c>
      <c r="G6138" s="6">
        <v>14</v>
      </c>
      <c r="H6138" s="6" t="s">
        <v>37914</v>
      </c>
      <c r="I6138" s="6">
        <v>529.875</v>
      </c>
      <c r="J6138" s="2">
        <f t="shared" si="95"/>
        <v>43748.913815</v>
      </c>
    </row>
    <row r="6139" spans="1:10" x14ac:dyDescent="0.25">
      <c r="A6139" s="7" t="s">
        <v>37915</v>
      </c>
      <c r="B6139" s="8">
        <v>403.125</v>
      </c>
      <c r="C6139" s="8">
        <v>20.478950000000001</v>
      </c>
      <c r="D6139" s="8">
        <v>79</v>
      </c>
      <c r="E6139" s="8">
        <v>0</v>
      </c>
      <c r="F6139" s="8">
        <v>0</v>
      </c>
      <c r="G6139" s="8">
        <v>7</v>
      </c>
      <c r="H6139" s="8" t="s">
        <v>37916</v>
      </c>
      <c r="I6139" s="8">
        <v>529.875</v>
      </c>
      <c r="J6139" s="3">
        <f t="shared" si="95"/>
        <v>43748.91388670139</v>
      </c>
    </row>
    <row r="6140" spans="1:10" x14ac:dyDescent="0.25">
      <c r="A6140" s="5" t="s">
        <v>37917</v>
      </c>
      <c r="B6140" s="6">
        <v>403.125</v>
      </c>
      <c r="C6140" s="6">
        <v>20.478950000000001</v>
      </c>
      <c r="D6140" s="6">
        <v>79</v>
      </c>
      <c r="E6140" s="6">
        <v>0</v>
      </c>
      <c r="F6140" s="6">
        <v>0</v>
      </c>
      <c r="G6140" s="6">
        <v>17</v>
      </c>
      <c r="H6140" s="6" t="s">
        <v>37918</v>
      </c>
      <c r="I6140" s="6">
        <v>529.875</v>
      </c>
      <c r="J6140" s="2">
        <f t="shared" si="95"/>
        <v>43748.913958101846</v>
      </c>
    </row>
    <row r="6141" spans="1:10" x14ac:dyDescent="0.25">
      <c r="A6141" s="7" t="s">
        <v>37919</v>
      </c>
      <c r="B6141" s="8">
        <v>403.125</v>
      </c>
      <c r="C6141" s="8">
        <v>20.478950000000001</v>
      </c>
      <c r="D6141" s="8">
        <v>79</v>
      </c>
      <c r="E6141" s="8">
        <v>0</v>
      </c>
      <c r="F6141" s="8">
        <v>0</v>
      </c>
      <c r="G6141" s="8">
        <v>12</v>
      </c>
      <c r="H6141" s="8" t="s">
        <v>37920</v>
      </c>
      <c r="I6141" s="8">
        <v>529.125</v>
      </c>
      <c r="J6141" s="3">
        <f t="shared" si="95"/>
        <v>43748.914044039346</v>
      </c>
    </row>
    <row r="6142" spans="1:10" x14ac:dyDescent="0.25">
      <c r="A6142" s="5" t="s">
        <v>37921</v>
      </c>
      <c r="B6142" s="6">
        <v>403.125</v>
      </c>
      <c r="C6142" s="6">
        <v>20.478950000000001</v>
      </c>
      <c r="D6142" s="6">
        <v>78</v>
      </c>
      <c r="E6142" s="6">
        <v>0</v>
      </c>
      <c r="F6142" s="6">
        <v>0</v>
      </c>
      <c r="G6142" s="6">
        <v>19</v>
      </c>
      <c r="H6142" s="6" t="s">
        <v>37922</v>
      </c>
      <c r="I6142" s="6">
        <v>529.125</v>
      </c>
      <c r="J6142" s="2">
        <f t="shared" si="95"/>
        <v>43748.914125729163</v>
      </c>
    </row>
    <row r="6143" spans="1:10" x14ac:dyDescent="0.25">
      <c r="A6143" s="7" t="s">
        <v>37923</v>
      </c>
      <c r="B6143" s="8">
        <v>396.875</v>
      </c>
      <c r="C6143" s="8">
        <v>20.478950000000001</v>
      </c>
      <c r="D6143" s="8">
        <v>78</v>
      </c>
      <c r="E6143" s="8">
        <v>0</v>
      </c>
      <c r="F6143" s="8">
        <v>0</v>
      </c>
      <c r="G6143" s="8">
        <v>12</v>
      </c>
      <c r="H6143" s="8" t="s">
        <v>37924</v>
      </c>
      <c r="I6143" s="8">
        <v>527.4375</v>
      </c>
      <c r="J6143" s="3">
        <f t="shared" si="95"/>
        <v>43748.914197199068</v>
      </c>
    </row>
    <row r="6144" spans="1:10" x14ac:dyDescent="0.25">
      <c r="A6144" s="5" t="s">
        <v>37925</v>
      </c>
      <c r="B6144" s="6">
        <v>396.875</v>
      </c>
      <c r="C6144" s="6">
        <v>20.478950000000001</v>
      </c>
      <c r="D6144" s="6">
        <v>78</v>
      </c>
      <c r="E6144" s="6">
        <v>0</v>
      </c>
      <c r="F6144" s="6">
        <v>0</v>
      </c>
      <c r="G6144" s="6">
        <v>15</v>
      </c>
      <c r="H6144" s="6" t="s">
        <v>37926</v>
      </c>
      <c r="I6144" s="6">
        <v>527.4375</v>
      </c>
      <c r="J6144" s="2">
        <f t="shared" si="95"/>
        <v>43748.914268206012</v>
      </c>
    </row>
    <row r="6145" spans="1:10" x14ac:dyDescent="0.25">
      <c r="A6145" s="7" t="s">
        <v>37927</v>
      </c>
      <c r="B6145" s="8">
        <v>396.875</v>
      </c>
      <c r="C6145" s="8">
        <v>20.478950000000001</v>
      </c>
      <c r="D6145" s="8">
        <v>78</v>
      </c>
      <c r="E6145" s="8">
        <v>0</v>
      </c>
      <c r="F6145" s="8">
        <v>0</v>
      </c>
      <c r="G6145" s="8">
        <v>17</v>
      </c>
      <c r="H6145" s="8" t="s">
        <v>37928</v>
      </c>
      <c r="I6145" s="8">
        <v>527.4375</v>
      </c>
      <c r="J6145" s="3">
        <f t="shared" si="95"/>
        <v>43748.914339618052</v>
      </c>
    </row>
    <row r="6146" spans="1:10" x14ac:dyDescent="0.25">
      <c r="A6146" s="5" t="s">
        <v>37929</v>
      </c>
      <c r="B6146" s="6">
        <v>400</v>
      </c>
      <c r="C6146" s="6">
        <v>20.478950000000001</v>
      </c>
      <c r="D6146" s="6">
        <v>78</v>
      </c>
      <c r="E6146" s="6">
        <v>0</v>
      </c>
      <c r="F6146" s="6">
        <v>0</v>
      </c>
      <c r="G6146" s="6">
        <v>9</v>
      </c>
      <c r="H6146" s="6" t="s">
        <v>37930</v>
      </c>
      <c r="I6146" s="6">
        <v>528.375</v>
      </c>
      <c r="J6146" s="2">
        <f t="shared" ref="J6146:J6209" si="96">(H6146/86400000)+25569+(7/24)</f>
        <v>43748.914435740742</v>
      </c>
    </row>
    <row r="6147" spans="1:10" x14ac:dyDescent="0.25">
      <c r="A6147" s="7" t="s">
        <v>37931</v>
      </c>
      <c r="B6147" s="8">
        <v>396.875</v>
      </c>
      <c r="C6147" s="8">
        <v>20.478950000000001</v>
      </c>
      <c r="D6147" s="8">
        <v>79</v>
      </c>
      <c r="E6147" s="8">
        <v>0</v>
      </c>
      <c r="F6147" s="8">
        <v>0</v>
      </c>
      <c r="G6147" s="8">
        <v>17</v>
      </c>
      <c r="H6147" s="8" t="s">
        <v>37932</v>
      </c>
      <c r="I6147" s="8">
        <v>527.4375</v>
      </c>
      <c r="J6147" s="3">
        <f t="shared" si="96"/>
        <v>43748.91451913194</v>
      </c>
    </row>
    <row r="6148" spans="1:10" x14ac:dyDescent="0.25">
      <c r="A6148" s="5" t="s">
        <v>37933</v>
      </c>
      <c r="B6148" s="6">
        <v>415.625</v>
      </c>
      <c r="C6148" s="6">
        <v>20.478950000000001</v>
      </c>
      <c r="D6148" s="6">
        <v>79</v>
      </c>
      <c r="E6148" s="6">
        <v>0</v>
      </c>
      <c r="F6148" s="6">
        <v>0</v>
      </c>
      <c r="G6148" s="6">
        <v>7</v>
      </c>
      <c r="H6148" s="6" t="s">
        <v>37934</v>
      </c>
      <c r="I6148" s="6">
        <v>533.8125</v>
      </c>
      <c r="J6148" s="2">
        <f t="shared" si="96"/>
        <v>43748.914590486107</v>
      </c>
    </row>
    <row r="6149" spans="1:10" x14ac:dyDescent="0.25">
      <c r="A6149" s="7" t="s">
        <v>37935</v>
      </c>
      <c r="B6149" s="8">
        <v>396.875</v>
      </c>
      <c r="C6149" s="8">
        <v>20.478950000000001</v>
      </c>
      <c r="D6149" s="8">
        <v>79</v>
      </c>
      <c r="E6149" s="8">
        <v>0</v>
      </c>
      <c r="F6149" s="8">
        <v>0</v>
      </c>
      <c r="G6149" s="8">
        <v>14</v>
      </c>
      <c r="H6149" s="8" t="s">
        <v>37936</v>
      </c>
      <c r="I6149" s="8">
        <v>527.4375</v>
      </c>
      <c r="J6149" s="3">
        <f t="shared" si="96"/>
        <v>43748.914661782408</v>
      </c>
    </row>
    <row r="6150" spans="1:10" x14ac:dyDescent="0.25">
      <c r="A6150" s="5" t="s">
        <v>37937</v>
      </c>
      <c r="B6150" s="6">
        <v>396.875</v>
      </c>
      <c r="C6150" s="6">
        <v>20.478950000000001</v>
      </c>
      <c r="D6150" s="6">
        <v>79</v>
      </c>
      <c r="E6150" s="6">
        <v>0</v>
      </c>
      <c r="F6150" s="6">
        <v>0</v>
      </c>
      <c r="G6150" s="6">
        <v>21</v>
      </c>
      <c r="H6150" s="6" t="s">
        <v>37938</v>
      </c>
      <c r="I6150" s="6">
        <v>527.4375</v>
      </c>
      <c r="J6150" s="2">
        <f t="shared" si="96"/>
        <v>43748.914733136575</v>
      </c>
    </row>
    <row r="6151" spans="1:10" x14ac:dyDescent="0.25">
      <c r="A6151" s="7" t="s">
        <v>37939</v>
      </c>
      <c r="B6151" s="8">
        <v>396.875</v>
      </c>
      <c r="C6151" s="8">
        <v>20.478950000000001</v>
      </c>
      <c r="D6151" s="8">
        <v>81</v>
      </c>
      <c r="E6151" s="8">
        <v>0</v>
      </c>
      <c r="F6151" s="8">
        <v>0</v>
      </c>
      <c r="G6151" s="8">
        <v>18</v>
      </c>
      <c r="H6151" s="8" t="s">
        <v>37940</v>
      </c>
      <c r="I6151" s="8">
        <v>527.4375</v>
      </c>
      <c r="J6151" s="3">
        <f t="shared" si="96"/>
        <v>43748.914808518515</v>
      </c>
    </row>
    <row r="6152" spans="1:10" x14ac:dyDescent="0.25">
      <c r="A6152" s="5" t="s">
        <v>37941</v>
      </c>
      <c r="B6152" s="6">
        <v>396.875</v>
      </c>
      <c r="C6152" s="6">
        <v>20.478950000000001</v>
      </c>
      <c r="D6152" s="6">
        <v>81</v>
      </c>
      <c r="E6152" s="6">
        <v>0</v>
      </c>
      <c r="F6152" s="6">
        <v>0</v>
      </c>
      <c r="G6152" s="6">
        <v>20</v>
      </c>
      <c r="H6152" s="6" t="s">
        <v>37942</v>
      </c>
      <c r="I6152" s="6">
        <v>527.4375</v>
      </c>
      <c r="J6152" s="2">
        <f t="shared" si="96"/>
        <v>43748.914900682867</v>
      </c>
    </row>
    <row r="6153" spans="1:10" x14ac:dyDescent="0.25">
      <c r="A6153" s="7" t="s">
        <v>37943</v>
      </c>
      <c r="B6153" s="8">
        <v>396.875</v>
      </c>
      <c r="C6153" s="8">
        <v>20.478950000000001</v>
      </c>
      <c r="D6153" s="8">
        <v>81</v>
      </c>
      <c r="E6153" s="8">
        <v>0</v>
      </c>
      <c r="F6153" s="8">
        <v>0</v>
      </c>
      <c r="G6153" s="8">
        <v>9</v>
      </c>
      <c r="H6153" s="8" t="s">
        <v>37944</v>
      </c>
      <c r="I6153" s="8">
        <v>527.4375</v>
      </c>
      <c r="J6153" s="3">
        <f t="shared" si="96"/>
        <v>43748.914972002312</v>
      </c>
    </row>
    <row r="6154" spans="1:10" x14ac:dyDescent="0.25">
      <c r="A6154" s="5" t="s">
        <v>37945</v>
      </c>
      <c r="B6154" s="6">
        <v>396.875</v>
      </c>
      <c r="C6154" s="6">
        <v>20.478950000000001</v>
      </c>
      <c r="D6154" s="6">
        <v>80</v>
      </c>
      <c r="E6154" s="6">
        <v>0</v>
      </c>
      <c r="F6154" s="6">
        <v>0</v>
      </c>
      <c r="G6154" s="6">
        <v>18</v>
      </c>
      <c r="H6154" s="6" t="s">
        <v>37946</v>
      </c>
      <c r="I6154" s="6">
        <v>527.4375</v>
      </c>
      <c r="J6154" s="2">
        <f t="shared" si="96"/>
        <v>43748.9150433912</v>
      </c>
    </row>
    <row r="6155" spans="1:10" x14ac:dyDescent="0.25">
      <c r="A6155" s="7" t="s">
        <v>37947</v>
      </c>
      <c r="B6155" s="8">
        <v>415.625</v>
      </c>
      <c r="C6155" s="8">
        <v>20.478950000000001</v>
      </c>
      <c r="D6155" s="8">
        <v>80</v>
      </c>
      <c r="E6155" s="8">
        <v>0</v>
      </c>
      <c r="F6155" s="8">
        <v>0</v>
      </c>
      <c r="G6155" s="8">
        <v>17</v>
      </c>
      <c r="H6155" s="8" t="s">
        <v>37948</v>
      </c>
      <c r="I6155" s="8">
        <v>533.0625</v>
      </c>
      <c r="J6155" s="3">
        <f t="shared" si="96"/>
        <v>43748.915115520831</v>
      </c>
    </row>
    <row r="6156" spans="1:10" x14ac:dyDescent="0.25">
      <c r="A6156" s="5" t="s">
        <v>37949</v>
      </c>
      <c r="B6156" s="6">
        <v>396.875</v>
      </c>
      <c r="C6156" s="6">
        <v>20.478950000000001</v>
      </c>
      <c r="D6156" s="6">
        <v>80</v>
      </c>
      <c r="E6156" s="6">
        <v>0</v>
      </c>
      <c r="F6156" s="6">
        <v>0</v>
      </c>
      <c r="G6156" s="6">
        <v>17</v>
      </c>
      <c r="H6156" s="6" t="s">
        <v>37950</v>
      </c>
      <c r="I6156" s="6">
        <v>527.625</v>
      </c>
      <c r="J6156" s="2">
        <f t="shared" si="96"/>
        <v>43748.915186388891</v>
      </c>
    </row>
    <row r="6157" spans="1:10" x14ac:dyDescent="0.25">
      <c r="A6157" s="7" t="s">
        <v>37951</v>
      </c>
      <c r="B6157" s="8">
        <v>396.875</v>
      </c>
      <c r="C6157" s="8">
        <v>20.478950000000001</v>
      </c>
      <c r="D6157" s="8">
        <v>80</v>
      </c>
      <c r="E6157" s="8">
        <v>0</v>
      </c>
      <c r="F6157" s="8">
        <v>0</v>
      </c>
      <c r="G6157" s="8">
        <v>13</v>
      </c>
      <c r="H6157" s="8" t="s">
        <v>37952</v>
      </c>
      <c r="I6157" s="8">
        <v>527.4375</v>
      </c>
      <c r="J6157" s="3">
        <f t="shared" si="96"/>
        <v>43748.915258136571</v>
      </c>
    </row>
    <row r="6158" spans="1:10" x14ac:dyDescent="0.25">
      <c r="A6158" s="5" t="s">
        <v>37953</v>
      </c>
      <c r="B6158" s="6">
        <v>396.875</v>
      </c>
      <c r="C6158" s="6">
        <v>20.478950000000001</v>
      </c>
      <c r="D6158" s="6">
        <v>80</v>
      </c>
      <c r="E6158" s="6">
        <v>0</v>
      </c>
      <c r="F6158" s="6">
        <v>0</v>
      </c>
      <c r="G6158" s="6">
        <v>11</v>
      </c>
      <c r="H6158" s="6" t="s">
        <v>37954</v>
      </c>
      <c r="I6158" s="6">
        <v>527.4375</v>
      </c>
      <c r="J6158" s="2">
        <f t="shared" si="96"/>
        <v>43748.915330162032</v>
      </c>
    </row>
    <row r="6159" spans="1:10" x14ac:dyDescent="0.25">
      <c r="A6159" s="7" t="s">
        <v>37955</v>
      </c>
      <c r="B6159" s="8">
        <v>396.875</v>
      </c>
      <c r="C6159" s="8">
        <v>20.478950000000001</v>
      </c>
      <c r="D6159" s="8">
        <v>80</v>
      </c>
      <c r="E6159" s="8">
        <v>0</v>
      </c>
      <c r="F6159" s="8">
        <v>0</v>
      </c>
      <c r="G6159" s="8">
        <v>20</v>
      </c>
      <c r="H6159" s="8" t="s">
        <v>37956</v>
      </c>
      <c r="I6159" s="8">
        <v>527.4375</v>
      </c>
      <c r="J6159" s="3">
        <f t="shared" si="96"/>
        <v>43748.915400706021</v>
      </c>
    </row>
    <row r="6160" spans="1:10" x14ac:dyDescent="0.25">
      <c r="A6160" s="5" t="s">
        <v>37957</v>
      </c>
      <c r="B6160" s="6">
        <v>393.75</v>
      </c>
      <c r="C6160" s="6">
        <v>20.478950000000001</v>
      </c>
      <c r="D6160" s="6">
        <v>81</v>
      </c>
      <c r="E6160" s="6">
        <v>0</v>
      </c>
      <c r="F6160" s="6">
        <v>0</v>
      </c>
      <c r="G6160" s="6">
        <v>7</v>
      </c>
      <c r="H6160" s="6" t="s">
        <v>37958</v>
      </c>
      <c r="I6160" s="6">
        <v>526.6875</v>
      </c>
      <c r="J6160" s="2">
        <f t="shared" si="96"/>
        <v>43748.915472916669</v>
      </c>
    </row>
    <row r="6161" spans="1:10" x14ac:dyDescent="0.25">
      <c r="A6161" s="7" t="s">
        <v>37959</v>
      </c>
      <c r="B6161" s="8">
        <v>393.75</v>
      </c>
      <c r="C6161" s="8">
        <v>20.478950000000001</v>
      </c>
      <c r="D6161" s="8">
        <v>85</v>
      </c>
      <c r="E6161" s="8">
        <v>0</v>
      </c>
      <c r="F6161" s="8">
        <v>0</v>
      </c>
      <c r="G6161" s="8">
        <v>10</v>
      </c>
      <c r="H6161" s="8" t="s">
        <v>37960</v>
      </c>
      <c r="I6161" s="8">
        <v>526.6875</v>
      </c>
      <c r="J6161" s="3">
        <f t="shared" si="96"/>
        <v>43748.915544201387</v>
      </c>
    </row>
    <row r="6162" spans="1:10" x14ac:dyDescent="0.25">
      <c r="A6162" s="5" t="s">
        <v>37961</v>
      </c>
      <c r="B6162" s="6">
        <v>393.75</v>
      </c>
      <c r="C6162" s="6">
        <v>20.478950000000001</v>
      </c>
      <c r="D6162" s="6">
        <v>83</v>
      </c>
      <c r="E6162" s="6">
        <v>0</v>
      </c>
      <c r="F6162" s="6">
        <v>0</v>
      </c>
      <c r="G6162" s="6">
        <v>9</v>
      </c>
      <c r="H6162" s="6" t="s">
        <v>37962</v>
      </c>
      <c r="I6162" s="6">
        <v>526.6875</v>
      </c>
      <c r="J6162" s="2">
        <f t="shared" si="96"/>
        <v>43748.915628298608</v>
      </c>
    </row>
    <row r="6163" spans="1:10" x14ac:dyDescent="0.25">
      <c r="A6163" s="7" t="s">
        <v>37963</v>
      </c>
      <c r="B6163" s="8">
        <v>396.875</v>
      </c>
      <c r="C6163" s="8">
        <v>20.478950000000001</v>
      </c>
      <c r="D6163" s="8">
        <v>83</v>
      </c>
      <c r="E6163" s="8">
        <v>0</v>
      </c>
      <c r="F6163" s="8">
        <v>0</v>
      </c>
      <c r="G6163" s="8">
        <v>11</v>
      </c>
      <c r="H6163" s="8" t="s">
        <v>37964</v>
      </c>
      <c r="I6163" s="8">
        <v>527.4375</v>
      </c>
      <c r="J6163" s="3">
        <f t="shared" si="96"/>
        <v>43748.915699710647</v>
      </c>
    </row>
    <row r="6164" spans="1:10" x14ac:dyDescent="0.25">
      <c r="A6164" s="5" t="s">
        <v>37965</v>
      </c>
      <c r="B6164" s="6">
        <v>393.75</v>
      </c>
      <c r="C6164" s="6">
        <v>20.478950000000001</v>
      </c>
      <c r="D6164" s="6">
        <v>83</v>
      </c>
      <c r="E6164" s="6">
        <v>0</v>
      </c>
      <c r="F6164" s="6">
        <v>0</v>
      </c>
      <c r="G6164" s="6">
        <v>19</v>
      </c>
      <c r="H6164" s="6" t="s">
        <v>37966</v>
      </c>
      <c r="I6164" s="6">
        <v>526.6875</v>
      </c>
      <c r="J6164" s="2">
        <f t="shared" si="96"/>
        <v>43748.91577107639</v>
      </c>
    </row>
    <row r="6165" spans="1:10" x14ac:dyDescent="0.25">
      <c r="A6165" s="7" t="s">
        <v>37967</v>
      </c>
      <c r="B6165" s="8">
        <v>393.75</v>
      </c>
      <c r="C6165" s="8">
        <v>20.478950000000001</v>
      </c>
      <c r="D6165" s="8">
        <v>82</v>
      </c>
      <c r="E6165" s="8">
        <v>0</v>
      </c>
      <c r="F6165" s="8">
        <v>0</v>
      </c>
      <c r="G6165" s="8">
        <v>10</v>
      </c>
      <c r="H6165" s="8" t="s">
        <v>37968</v>
      </c>
      <c r="I6165" s="8">
        <v>526.6875</v>
      </c>
      <c r="J6165" s="3">
        <f t="shared" si="96"/>
        <v>43748.915842349532</v>
      </c>
    </row>
    <row r="6166" spans="1:10" x14ac:dyDescent="0.25">
      <c r="A6166" s="5" t="s">
        <v>37969</v>
      </c>
      <c r="B6166" s="6">
        <v>393.75</v>
      </c>
      <c r="C6166" s="6">
        <v>20.478950000000001</v>
      </c>
      <c r="D6166" s="6">
        <v>85</v>
      </c>
      <c r="E6166" s="6">
        <v>0</v>
      </c>
      <c r="F6166" s="6">
        <v>0</v>
      </c>
      <c r="G6166" s="6">
        <v>13</v>
      </c>
      <c r="H6166" s="6" t="s">
        <v>37970</v>
      </c>
      <c r="I6166" s="6">
        <v>526.6875</v>
      </c>
      <c r="J6166" s="2">
        <f t="shared" si="96"/>
        <v>43748.915914548612</v>
      </c>
    </row>
    <row r="6167" spans="1:10" x14ac:dyDescent="0.25">
      <c r="A6167" s="7" t="s">
        <v>37971</v>
      </c>
      <c r="B6167" s="8">
        <v>412.5</v>
      </c>
      <c r="C6167" s="8">
        <v>20.478950000000001</v>
      </c>
      <c r="D6167" s="8">
        <v>85</v>
      </c>
      <c r="E6167" s="8">
        <v>0</v>
      </c>
      <c r="F6167" s="8">
        <v>0</v>
      </c>
      <c r="G6167" s="8">
        <v>16</v>
      </c>
      <c r="H6167" s="8" t="s">
        <v>37972</v>
      </c>
      <c r="I6167" s="8">
        <v>532.875</v>
      </c>
      <c r="J6167" s="3">
        <f t="shared" si="96"/>
        <v>43748.915985868058</v>
      </c>
    </row>
    <row r="6168" spans="1:10" x14ac:dyDescent="0.25">
      <c r="A6168" s="5" t="s">
        <v>37973</v>
      </c>
      <c r="B6168" s="6">
        <v>393.75</v>
      </c>
      <c r="C6168" s="6">
        <v>20.478950000000001</v>
      </c>
      <c r="D6168" s="6">
        <v>85</v>
      </c>
      <c r="E6168" s="6">
        <v>0</v>
      </c>
      <c r="F6168" s="6">
        <v>0</v>
      </c>
      <c r="G6168" s="6">
        <v>14</v>
      </c>
      <c r="H6168" s="6" t="s">
        <v>37974</v>
      </c>
      <c r="I6168" s="6">
        <v>526.6875</v>
      </c>
      <c r="J6168" s="2">
        <f t="shared" si="96"/>
        <v>43748.916069143517</v>
      </c>
    </row>
    <row r="6169" spans="1:10" x14ac:dyDescent="0.25">
      <c r="A6169" s="7" t="s">
        <v>37975</v>
      </c>
      <c r="B6169" s="8">
        <v>393.75</v>
      </c>
      <c r="C6169" s="8">
        <v>20.478950000000001</v>
      </c>
      <c r="D6169" s="8">
        <v>84</v>
      </c>
      <c r="E6169" s="8">
        <v>0</v>
      </c>
      <c r="F6169" s="8">
        <v>0</v>
      </c>
      <c r="G6169" s="8">
        <v>12</v>
      </c>
      <c r="H6169" s="8" t="s">
        <v>37976</v>
      </c>
      <c r="I6169" s="8">
        <v>526.5</v>
      </c>
      <c r="J6169" s="3">
        <f t="shared" si="96"/>
        <v>43748.916140532405</v>
      </c>
    </row>
    <row r="6170" spans="1:10" x14ac:dyDescent="0.25">
      <c r="A6170" s="5" t="s">
        <v>37977</v>
      </c>
      <c r="B6170" s="6">
        <v>393.75</v>
      </c>
      <c r="C6170" s="6">
        <v>20.478950000000001</v>
      </c>
      <c r="D6170" s="6">
        <v>78</v>
      </c>
      <c r="E6170" s="6">
        <v>0</v>
      </c>
      <c r="F6170" s="6">
        <v>0</v>
      </c>
      <c r="G6170" s="6">
        <v>11</v>
      </c>
      <c r="H6170" s="6" t="s">
        <v>37978</v>
      </c>
      <c r="I6170" s="6">
        <v>526.6875</v>
      </c>
      <c r="J6170" s="2">
        <f t="shared" si="96"/>
        <v>43748.916212719902</v>
      </c>
    </row>
    <row r="6171" spans="1:10" x14ac:dyDescent="0.25">
      <c r="A6171" s="7" t="s">
        <v>37979</v>
      </c>
      <c r="B6171" s="8">
        <v>393.75</v>
      </c>
      <c r="C6171" s="8">
        <v>20.478950000000001</v>
      </c>
      <c r="D6171" s="8">
        <v>79</v>
      </c>
      <c r="E6171" s="8">
        <v>0</v>
      </c>
      <c r="F6171" s="8">
        <v>0</v>
      </c>
      <c r="G6171" s="8">
        <v>14</v>
      </c>
      <c r="H6171" s="8" t="s">
        <v>37980</v>
      </c>
      <c r="I6171" s="8">
        <v>526.6875</v>
      </c>
      <c r="J6171" s="3">
        <f t="shared" si="96"/>
        <v>43748.916284074068</v>
      </c>
    </row>
    <row r="6172" spans="1:10" x14ac:dyDescent="0.25">
      <c r="A6172" s="5" t="s">
        <v>37981</v>
      </c>
      <c r="B6172" s="6">
        <v>393.75</v>
      </c>
      <c r="C6172" s="6">
        <v>20.478950000000001</v>
      </c>
      <c r="D6172" s="6">
        <v>79</v>
      </c>
      <c r="E6172" s="6">
        <v>0</v>
      </c>
      <c r="F6172" s="6">
        <v>0</v>
      </c>
      <c r="G6172" s="6">
        <v>14</v>
      </c>
      <c r="H6172" s="6" t="s">
        <v>37982</v>
      </c>
      <c r="I6172" s="6">
        <v>526.6875</v>
      </c>
      <c r="J6172" s="2">
        <f t="shared" si="96"/>
        <v>43748.916355312496</v>
      </c>
    </row>
    <row r="6173" spans="1:10" x14ac:dyDescent="0.25">
      <c r="A6173" s="7" t="s">
        <v>37983</v>
      </c>
      <c r="B6173" s="8">
        <v>393.75</v>
      </c>
      <c r="C6173" s="8">
        <v>20.478950000000001</v>
      </c>
      <c r="D6173" s="8">
        <v>79</v>
      </c>
      <c r="E6173" s="8">
        <v>0</v>
      </c>
      <c r="F6173" s="8">
        <v>0</v>
      </c>
      <c r="G6173" s="8">
        <v>16</v>
      </c>
      <c r="H6173" s="8" t="s">
        <v>37984</v>
      </c>
      <c r="I6173" s="8">
        <v>526.6875</v>
      </c>
      <c r="J6173" s="3">
        <f t="shared" si="96"/>
        <v>43748.916426666663</v>
      </c>
    </row>
    <row r="6174" spans="1:10" x14ac:dyDescent="0.25">
      <c r="A6174" s="5" t="s">
        <v>37985</v>
      </c>
      <c r="B6174" s="6">
        <v>393.75</v>
      </c>
      <c r="C6174" s="6">
        <v>20.478950000000001</v>
      </c>
      <c r="D6174" s="6">
        <v>79</v>
      </c>
      <c r="E6174" s="6">
        <v>0</v>
      </c>
      <c r="F6174" s="6">
        <v>0</v>
      </c>
      <c r="G6174" s="6">
        <v>13</v>
      </c>
      <c r="H6174" s="6" t="s">
        <v>37986</v>
      </c>
      <c r="I6174" s="6">
        <v>526.6875</v>
      </c>
      <c r="J6174" s="2">
        <f t="shared" si="96"/>
        <v>43748.916498854167</v>
      </c>
    </row>
    <row r="6175" spans="1:10" x14ac:dyDescent="0.25">
      <c r="A6175" s="7" t="s">
        <v>37987</v>
      </c>
      <c r="B6175" s="8">
        <v>412.5</v>
      </c>
      <c r="C6175" s="8">
        <v>20.478950000000001</v>
      </c>
      <c r="D6175" s="8">
        <v>80</v>
      </c>
      <c r="E6175" s="8">
        <v>0</v>
      </c>
      <c r="F6175" s="8">
        <v>0</v>
      </c>
      <c r="G6175" s="8">
        <v>13</v>
      </c>
      <c r="H6175" s="8" t="s">
        <v>37988</v>
      </c>
      <c r="I6175" s="8">
        <v>532.3125</v>
      </c>
      <c r="J6175" s="3">
        <f t="shared" si="96"/>
        <v>43748.916570138885</v>
      </c>
    </row>
    <row r="6176" spans="1:10" x14ac:dyDescent="0.25">
      <c r="A6176" s="5" t="s">
        <v>37989</v>
      </c>
      <c r="B6176" s="6">
        <v>393.75</v>
      </c>
      <c r="C6176" s="6">
        <v>20.478950000000001</v>
      </c>
      <c r="D6176" s="6">
        <v>82</v>
      </c>
      <c r="E6176" s="6">
        <v>0</v>
      </c>
      <c r="F6176" s="6">
        <v>0</v>
      </c>
      <c r="G6176" s="6">
        <v>8</v>
      </c>
      <c r="H6176" s="6" t="s">
        <v>37990</v>
      </c>
      <c r="I6176" s="6">
        <v>526.6875</v>
      </c>
      <c r="J6176" s="2">
        <f t="shared" si="96"/>
        <v>43748.916641365737</v>
      </c>
    </row>
    <row r="6177" spans="1:10" x14ac:dyDescent="0.25">
      <c r="A6177" s="7" t="s">
        <v>37991</v>
      </c>
      <c r="B6177" s="8">
        <v>393.75</v>
      </c>
      <c r="C6177" s="8">
        <v>20.478950000000001</v>
      </c>
      <c r="D6177" s="8">
        <v>81</v>
      </c>
      <c r="E6177" s="8">
        <v>0</v>
      </c>
      <c r="F6177" s="8">
        <v>0</v>
      </c>
      <c r="G6177" s="8">
        <v>17</v>
      </c>
      <c r="H6177" s="8" t="s">
        <v>37992</v>
      </c>
      <c r="I6177" s="8">
        <v>526.6875</v>
      </c>
      <c r="J6177" s="3">
        <f t="shared" si="96"/>
        <v>43748.916712986109</v>
      </c>
    </row>
    <row r="6178" spans="1:10" x14ac:dyDescent="0.25">
      <c r="A6178" s="5" t="s">
        <v>37993</v>
      </c>
      <c r="B6178" s="6">
        <v>393.75</v>
      </c>
      <c r="C6178" s="6">
        <v>20.478950000000001</v>
      </c>
      <c r="D6178" s="6">
        <v>81</v>
      </c>
      <c r="E6178" s="6">
        <v>0</v>
      </c>
      <c r="F6178" s="6">
        <v>0</v>
      </c>
      <c r="G6178" s="6">
        <v>18</v>
      </c>
      <c r="H6178" s="6" t="s">
        <v>37994</v>
      </c>
      <c r="I6178" s="6">
        <v>526.6875</v>
      </c>
      <c r="J6178" s="2">
        <f t="shared" si="96"/>
        <v>43748.916784942128</v>
      </c>
    </row>
    <row r="6179" spans="1:10" x14ac:dyDescent="0.25">
      <c r="A6179" s="7" t="s">
        <v>37995</v>
      </c>
      <c r="B6179" s="8">
        <v>393.75</v>
      </c>
      <c r="C6179" s="8">
        <v>20.478950000000001</v>
      </c>
      <c r="D6179" s="8">
        <v>81</v>
      </c>
      <c r="E6179" s="8">
        <v>0</v>
      </c>
      <c r="F6179" s="8">
        <v>0</v>
      </c>
      <c r="G6179" s="8">
        <v>14</v>
      </c>
      <c r="H6179" s="8" t="s">
        <v>37996</v>
      </c>
      <c r="I6179" s="8">
        <v>526.6875</v>
      </c>
      <c r="J6179" s="3">
        <f t="shared" si="96"/>
        <v>43748.916856435178</v>
      </c>
    </row>
    <row r="6180" spans="1:10" x14ac:dyDescent="0.25">
      <c r="A6180" s="5" t="s">
        <v>37997</v>
      </c>
      <c r="B6180" s="6">
        <v>393.75</v>
      </c>
      <c r="C6180" s="6">
        <v>20.478950000000001</v>
      </c>
      <c r="D6180" s="6">
        <v>81</v>
      </c>
      <c r="E6180" s="6">
        <v>0</v>
      </c>
      <c r="F6180" s="6">
        <v>0</v>
      </c>
      <c r="G6180" s="6">
        <v>13</v>
      </c>
      <c r="H6180" s="6" t="s">
        <v>37998</v>
      </c>
      <c r="I6180" s="6">
        <v>526.6875</v>
      </c>
      <c r="J6180" s="2">
        <f t="shared" si="96"/>
        <v>43748.916927673614</v>
      </c>
    </row>
    <row r="6181" spans="1:10" x14ac:dyDescent="0.25">
      <c r="A6181" s="7" t="s">
        <v>37999</v>
      </c>
      <c r="B6181" s="8">
        <v>393.75</v>
      </c>
      <c r="C6181" s="8">
        <v>20.478950000000001</v>
      </c>
      <c r="D6181" s="8">
        <v>81</v>
      </c>
      <c r="E6181" s="8">
        <v>0</v>
      </c>
      <c r="F6181" s="8">
        <v>0</v>
      </c>
      <c r="G6181" s="8">
        <v>14</v>
      </c>
      <c r="H6181" s="8" t="s">
        <v>38000</v>
      </c>
      <c r="I6181" s="8">
        <v>526.6875</v>
      </c>
      <c r="J6181" s="3">
        <f t="shared" si="96"/>
        <v>43748.916999768517</v>
      </c>
    </row>
    <row r="6182" spans="1:10" x14ac:dyDescent="0.25">
      <c r="A6182" s="5" t="s">
        <v>38001</v>
      </c>
      <c r="B6182" s="6">
        <v>393.75</v>
      </c>
      <c r="C6182" s="6">
        <v>20.478950000000001</v>
      </c>
      <c r="D6182" s="6">
        <v>81</v>
      </c>
      <c r="E6182" s="6">
        <v>0</v>
      </c>
      <c r="F6182" s="6">
        <v>0</v>
      </c>
      <c r="G6182" s="6">
        <v>16</v>
      </c>
      <c r="H6182" s="6" t="s">
        <v>38002</v>
      </c>
      <c r="I6182" s="6">
        <v>526.5</v>
      </c>
      <c r="J6182" s="2">
        <f t="shared" si="96"/>
        <v>43748.917071006937</v>
      </c>
    </row>
    <row r="6183" spans="1:10" x14ac:dyDescent="0.25">
      <c r="A6183" s="7" t="s">
        <v>38003</v>
      </c>
      <c r="B6183" s="8">
        <v>393.75</v>
      </c>
      <c r="C6183" s="8">
        <v>20.478950000000001</v>
      </c>
      <c r="D6183" s="8">
        <v>83</v>
      </c>
      <c r="E6183" s="8">
        <v>0</v>
      </c>
      <c r="F6183" s="8">
        <v>0</v>
      </c>
      <c r="G6183" s="8">
        <v>7</v>
      </c>
      <c r="H6183" s="8" t="s">
        <v>38004</v>
      </c>
      <c r="I6183" s="8">
        <v>526.6875</v>
      </c>
      <c r="J6183" s="3">
        <f t="shared" si="96"/>
        <v>43748.917142291662</v>
      </c>
    </row>
    <row r="6184" spans="1:10" x14ac:dyDescent="0.25">
      <c r="A6184" s="5" t="s">
        <v>38005</v>
      </c>
      <c r="B6184" s="6">
        <v>393.75</v>
      </c>
      <c r="C6184" s="6">
        <v>20.478950000000001</v>
      </c>
      <c r="D6184" s="6">
        <v>84</v>
      </c>
      <c r="E6184" s="6">
        <v>0</v>
      </c>
      <c r="F6184" s="6">
        <v>0</v>
      </c>
      <c r="G6184" s="6">
        <v>16</v>
      </c>
      <c r="H6184" s="6" t="s">
        <v>38006</v>
      </c>
      <c r="I6184" s="6">
        <v>526.6875</v>
      </c>
      <c r="J6184" s="2">
        <f t="shared" si="96"/>
        <v>43748.917214571753</v>
      </c>
    </row>
    <row r="6185" spans="1:10" x14ac:dyDescent="0.25">
      <c r="A6185" s="7" t="s">
        <v>38007</v>
      </c>
      <c r="B6185" s="8">
        <v>393.75</v>
      </c>
      <c r="C6185" s="8">
        <v>20.478950000000001</v>
      </c>
      <c r="D6185" s="8">
        <v>83</v>
      </c>
      <c r="E6185" s="8">
        <v>0</v>
      </c>
      <c r="F6185" s="8">
        <v>0</v>
      </c>
      <c r="G6185" s="8">
        <v>22</v>
      </c>
      <c r="H6185" s="8" t="s">
        <v>38008</v>
      </c>
      <c r="I6185" s="8">
        <v>526.6875</v>
      </c>
      <c r="J6185" s="3">
        <f t="shared" si="96"/>
        <v>43748.917309942124</v>
      </c>
    </row>
    <row r="6186" spans="1:10" x14ac:dyDescent="0.25">
      <c r="A6186" s="5" t="s">
        <v>38009</v>
      </c>
      <c r="B6186" s="6">
        <v>418.75</v>
      </c>
      <c r="C6186" s="6">
        <v>20.478950000000001</v>
      </c>
      <c r="D6186" s="6">
        <v>82</v>
      </c>
      <c r="E6186" s="6">
        <v>0</v>
      </c>
      <c r="F6186" s="6">
        <v>0</v>
      </c>
      <c r="G6186" s="6">
        <v>9</v>
      </c>
      <c r="H6186" s="6" t="s">
        <v>38010</v>
      </c>
      <c r="I6186" s="6">
        <v>534.1875</v>
      </c>
      <c r="J6186" s="2">
        <f t="shared" si="96"/>
        <v>43748.917381331012</v>
      </c>
    </row>
    <row r="6187" spans="1:10" x14ac:dyDescent="0.25">
      <c r="A6187" s="7" t="s">
        <v>38011</v>
      </c>
      <c r="B6187" s="8">
        <v>393.75</v>
      </c>
      <c r="C6187" s="8">
        <v>20.478950000000001</v>
      </c>
      <c r="D6187" s="8">
        <v>81</v>
      </c>
      <c r="E6187" s="8">
        <v>0</v>
      </c>
      <c r="F6187" s="8">
        <v>0</v>
      </c>
      <c r="G6187" s="8">
        <v>14</v>
      </c>
      <c r="H6187" s="8" t="s">
        <v>38012</v>
      </c>
      <c r="I6187" s="8">
        <v>526.6875</v>
      </c>
      <c r="J6187" s="3">
        <f t="shared" si="96"/>
        <v>43748.917452997681</v>
      </c>
    </row>
    <row r="6188" spans="1:10" x14ac:dyDescent="0.25">
      <c r="A6188" s="5" t="s">
        <v>38013</v>
      </c>
      <c r="B6188" s="6">
        <v>393.75</v>
      </c>
      <c r="C6188" s="6">
        <v>20.478950000000001</v>
      </c>
      <c r="D6188" s="6">
        <v>80</v>
      </c>
      <c r="E6188" s="6">
        <v>0</v>
      </c>
      <c r="F6188" s="6">
        <v>0</v>
      </c>
      <c r="G6188" s="6">
        <v>11</v>
      </c>
      <c r="H6188" s="6" t="s">
        <v>38014</v>
      </c>
      <c r="I6188" s="6">
        <v>526.6875</v>
      </c>
      <c r="J6188" s="2">
        <f t="shared" si="96"/>
        <v>43748.917523969903</v>
      </c>
    </row>
    <row r="6189" spans="1:10" x14ac:dyDescent="0.25">
      <c r="A6189" s="7" t="s">
        <v>38015</v>
      </c>
      <c r="B6189" s="8">
        <v>393.75</v>
      </c>
      <c r="C6189" s="8">
        <v>20.478950000000001</v>
      </c>
      <c r="D6189" s="8">
        <v>80</v>
      </c>
      <c r="E6189" s="8">
        <v>0</v>
      </c>
      <c r="F6189" s="8">
        <v>0</v>
      </c>
      <c r="G6189" s="8">
        <v>13</v>
      </c>
      <c r="H6189" s="8" t="s">
        <v>38016</v>
      </c>
      <c r="I6189" s="8">
        <v>526.6875</v>
      </c>
      <c r="J6189" s="3">
        <f t="shared" si="96"/>
        <v>43748.917596053238</v>
      </c>
    </row>
    <row r="6190" spans="1:10" x14ac:dyDescent="0.25">
      <c r="A6190" s="5" t="s">
        <v>38017</v>
      </c>
      <c r="B6190" s="6">
        <v>393.75</v>
      </c>
      <c r="C6190" s="6">
        <v>20.478950000000001</v>
      </c>
      <c r="D6190" s="6">
        <v>80</v>
      </c>
      <c r="E6190" s="6">
        <v>0</v>
      </c>
      <c r="F6190" s="6">
        <v>0</v>
      </c>
      <c r="G6190" s="6">
        <v>22</v>
      </c>
      <c r="H6190" s="6" t="s">
        <v>38018</v>
      </c>
      <c r="I6190" s="6">
        <v>526.6875</v>
      </c>
      <c r="J6190" s="2">
        <f t="shared" si="96"/>
        <v>43748.91769145833</v>
      </c>
    </row>
    <row r="6191" spans="1:10" x14ac:dyDescent="0.25">
      <c r="A6191" s="7" t="s">
        <v>38019</v>
      </c>
      <c r="B6191" s="8">
        <v>393.75</v>
      </c>
      <c r="C6191" s="8">
        <v>20.478950000000001</v>
      </c>
      <c r="D6191" s="8">
        <v>81</v>
      </c>
      <c r="E6191" s="8">
        <v>0</v>
      </c>
      <c r="F6191" s="8">
        <v>0</v>
      </c>
      <c r="G6191" s="8">
        <v>16</v>
      </c>
      <c r="H6191" s="8" t="s">
        <v>38020</v>
      </c>
      <c r="I6191" s="8">
        <v>526.6875</v>
      </c>
      <c r="J6191" s="3">
        <f t="shared" si="96"/>
        <v>43748.917786805549</v>
      </c>
    </row>
    <row r="6192" spans="1:10" x14ac:dyDescent="0.25">
      <c r="A6192" s="5" t="s">
        <v>38021</v>
      </c>
      <c r="B6192" s="6">
        <v>393.75</v>
      </c>
      <c r="C6192" s="6">
        <v>20.478950000000001</v>
      </c>
      <c r="D6192" s="6">
        <v>82</v>
      </c>
      <c r="E6192" s="6">
        <v>0</v>
      </c>
      <c r="F6192" s="6">
        <v>0</v>
      </c>
      <c r="G6192" s="6">
        <v>12</v>
      </c>
      <c r="H6192" s="6" t="s">
        <v>38022</v>
      </c>
      <c r="I6192" s="6">
        <v>526.6875</v>
      </c>
      <c r="J6192" s="2">
        <f t="shared" si="96"/>
        <v>43748.91785810185</v>
      </c>
    </row>
    <row r="6193" spans="1:10" x14ac:dyDescent="0.25">
      <c r="A6193" s="7" t="s">
        <v>38023</v>
      </c>
      <c r="B6193" s="8">
        <v>393.75</v>
      </c>
      <c r="C6193" s="8">
        <v>20.478950000000001</v>
      </c>
      <c r="D6193" s="8">
        <v>82</v>
      </c>
      <c r="E6193" s="8">
        <v>0</v>
      </c>
      <c r="F6193" s="8">
        <v>0</v>
      </c>
      <c r="G6193" s="8">
        <v>25</v>
      </c>
      <c r="H6193" s="8" t="s">
        <v>38024</v>
      </c>
      <c r="I6193" s="8">
        <v>526.6875</v>
      </c>
      <c r="J6193" s="3">
        <f t="shared" si="96"/>
        <v>43748.917941446758</v>
      </c>
    </row>
    <row r="6194" spans="1:10" x14ac:dyDescent="0.25">
      <c r="A6194" s="5" t="s">
        <v>38025</v>
      </c>
      <c r="B6194" s="6">
        <v>393.75</v>
      </c>
      <c r="C6194" s="6">
        <v>20.478950000000001</v>
      </c>
      <c r="D6194" s="6">
        <v>82</v>
      </c>
      <c r="E6194" s="6">
        <v>0</v>
      </c>
      <c r="F6194" s="6">
        <v>0</v>
      </c>
      <c r="G6194" s="6">
        <v>11</v>
      </c>
      <c r="H6194" s="6" t="s">
        <v>38026</v>
      </c>
      <c r="I6194" s="6">
        <v>526.6875</v>
      </c>
      <c r="J6194" s="2">
        <f t="shared" si="96"/>
        <v>43748.918012789349</v>
      </c>
    </row>
    <row r="6195" spans="1:10" x14ac:dyDescent="0.25">
      <c r="A6195" s="7" t="s">
        <v>38027</v>
      </c>
      <c r="B6195" s="8">
        <v>412.5</v>
      </c>
      <c r="C6195" s="8">
        <v>20.478950000000001</v>
      </c>
      <c r="D6195" s="8">
        <v>82</v>
      </c>
      <c r="E6195" s="8">
        <v>0</v>
      </c>
      <c r="F6195" s="8">
        <v>0</v>
      </c>
      <c r="G6195" s="8">
        <v>9</v>
      </c>
      <c r="H6195" s="8" t="s">
        <v>38028</v>
      </c>
      <c r="I6195" s="8">
        <v>532.3125</v>
      </c>
      <c r="J6195" s="3">
        <f t="shared" si="96"/>
        <v>43748.918097303242</v>
      </c>
    </row>
    <row r="6196" spans="1:10" x14ac:dyDescent="0.25">
      <c r="A6196" s="5" t="s">
        <v>38029</v>
      </c>
      <c r="B6196" s="6">
        <v>393.75</v>
      </c>
      <c r="C6196" s="6">
        <v>20.478950000000001</v>
      </c>
      <c r="D6196" s="6">
        <v>81</v>
      </c>
      <c r="E6196" s="6">
        <v>0</v>
      </c>
      <c r="F6196" s="6">
        <v>0</v>
      </c>
      <c r="G6196" s="6">
        <v>19</v>
      </c>
      <c r="H6196" s="6" t="s">
        <v>38030</v>
      </c>
      <c r="I6196" s="6">
        <v>526.6875</v>
      </c>
      <c r="J6196" s="2">
        <f t="shared" si="96"/>
        <v>43748.918168275464</v>
      </c>
    </row>
    <row r="6197" spans="1:10" x14ac:dyDescent="0.25">
      <c r="A6197" s="7" t="s">
        <v>38031</v>
      </c>
      <c r="B6197" s="8">
        <v>393.75</v>
      </c>
      <c r="C6197" s="8">
        <v>20.478950000000001</v>
      </c>
      <c r="D6197" s="8">
        <v>80</v>
      </c>
      <c r="E6197" s="8">
        <v>0</v>
      </c>
      <c r="F6197" s="8">
        <v>0</v>
      </c>
      <c r="G6197" s="8">
        <v>11</v>
      </c>
      <c r="H6197" s="8" t="s">
        <v>38032</v>
      </c>
      <c r="I6197" s="8">
        <v>526.6875</v>
      </c>
      <c r="J6197" s="3">
        <f t="shared" si="96"/>
        <v>43748.918239687497</v>
      </c>
    </row>
    <row r="6198" spans="1:10" x14ac:dyDescent="0.25">
      <c r="A6198" s="5" t="s">
        <v>38033</v>
      </c>
      <c r="B6198" s="6">
        <v>437.5</v>
      </c>
      <c r="C6198" s="6">
        <v>20.478950000000001</v>
      </c>
      <c r="D6198" s="6">
        <v>80</v>
      </c>
      <c r="E6198" s="6">
        <v>0</v>
      </c>
      <c r="F6198" s="6">
        <v>0</v>
      </c>
      <c r="G6198" s="6">
        <v>17</v>
      </c>
      <c r="H6198" s="6" t="s">
        <v>38034</v>
      </c>
      <c r="I6198" s="6">
        <v>540.75</v>
      </c>
      <c r="J6198" s="2">
        <f t="shared" si="96"/>
        <v>43748.918311562498</v>
      </c>
    </row>
    <row r="6199" spans="1:10" x14ac:dyDescent="0.25">
      <c r="A6199" s="7" t="s">
        <v>38035</v>
      </c>
      <c r="B6199" s="8">
        <v>393.75</v>
      </c>
      <c r="C6199" s="8">
        <v>20.478950000000001</v>
      </c>
      <c r="D6199" s="8">
        <v>80</v>
      </c>
      <c r="E6199" s="8">
        <v>0</v>
      </c>
      <c r="F6199" s="8">
        <v>0</v>
      </c>
      <c r="G6199" s="8">
        <v>27</v>
      </c>
      <c r="H6199" s="8" t="s">
        <v>38036</v>
      </c>
      <c r="I6199" s="8">
        <v>526.6875</v>
      </c>
      <c r="J6199" s="3">
        <f t="shared" si="96"/>
        <v>43748.918383090277</v>
      </c>
    </row>
    <row r="6200" spans="1:10" x14ac:dyDescent="0.25">
      <c r="A6200" s="5" t="s">
        <v>38037</v>
      </c>
      <c r="B6200" s="6">
        <v>393.75</v>
      </c>
      <c r="C6200" s="6">
        <v>20.478950000000001</v>
      </c>
      <c r="D6200" s="6">
        <v>80</v>
      </c>
      <c r="E6200" s="6">
        <v>0</v>
      </c>
      <c r="F6200" s="6">
        <v>0</v>
      </c>
      <c r="G6200" s="6">
        <v>17</v>
      </c>
      <c r="H6200" s="6" t="s">
        <v>38038</v>
      </c>
      <c r="I6200" s="6">
        <v>526.5</v>
      </c>
      <c r="J6200" s="2">
        <f t="shared" si="96"/>
        <v>43748.918454398146</v>
      </c>
    </row>
    <row r="6201" spans="1:10" x14ac:dyDescent="0.25">
      <c r="A6201" s="7" t="s">
        <v>38039</v>
      </c>
      <c r="B6201" s="8">
        <v>393.75</v>
      </c>
      <c r="C6201" s="8">
        <v>20.478950000000001</v>
      </c>
      <c r="D6201" s="8">
        <v>80</v>
      </c>
      <c r="E6201" s="8">
        <v>0</v>
      </c>
      <c r="F6201" s="8">
        <v>0</v>
      </c>
      <c r="G6201" s="8">
        <v>17</v>
      </c>
      <c r="H6201" s="8" t="s">
        <v>38040</v>
      </c>
      <c r="I6201" s="8">
        <v>526.6875</v>
      </c>
      <c r="J6201" s="3">
        <f t="shared" si="96"/>
        <v>43748.918525868052</v>
      </c>
    </row>
    <row r="6202" spans="1:10" x14ac:dyDescent="0.25">
      <c r="A6202" s="5" t="s">
        <v>38041</v>
      </c>
      <c r="B6202" s="6">
        <v>393.75</v>
      </c>
      <c r="C6202" s="6">
        <v>20.478950000000001</v>
      </c>
      <c r="D6202" s="6">
        <v>80</v>
      </c>
      <c r="E6202" s="6">
        <v>0</v>
      </c>
      <c r="F6202" s="6">
        <v>0</v>
      </c>
      <c r="G6202" s="6">
        <v>18</v>
      </c>
      <c r="H6202" s="6" t="s">
        <v>38042</v>
      </c>
      <c r="I6202" s="6">
        <v>526.6875</v>
      </c>
      <c r="J6202" s="2">
        <f t="shared" si="96"/>
        <v>43748.918597916665</v>
      </c>
    </row>
    <row r="6203" spans="1:10" x14ac:dyDescent="0.25">
      <c r="A6203" s="7" t="s">
        <v>38043</v>
      </c>
      <c r="B6203" s="8">
        <v>393.75</v>
      </c>
      <c r="C6203" s="8">
        <v>20.478950000000001</v>
      </c>
      <c r="D6203" s="8">
        <v>81</v>
      </c>
      <c r="E6203" s="8">
        <v>0</v>
      </c>
      <c r="F6203" s="8">
        <v>0</v>
      </c>
      <c r="G6203" s="8">
        <v>20</v>
      </c>
      <c r="H6203" s="8" t="s">
        <v>38044</v>
      </c>
      <c r="I6203" s="8">
        <v>526.6875</v>
      </c>
      <c r="J6203" s="3">
        <f t="shared" si="96"/>
        <v>43748.918681284718</v>
      </c>
    </row>
    <row r="6204" spans="1:10" x14ac:dyDescent="0.25">
      <c r="A6204" s="5" t="s">
        <v>38045</v>
      </c>
      <c r="B6204" s="6">
        <v>393.75</v>
      </c>
      <c r="C6204" s="6">
        <v>20.478950000000001</v>
      </c>
      <c r="D6204" s="6">
        <v>80</v>
      </c>
      <c r="E6204" s="6">
        <v>0</v>
      </c>
      <c r="F6204" s="6">
        <v>0</v>
      </c>
      <c r="G6204" s="6">
        <v>12</v>
      </c>
      <c r="H6204" s="6" t="s">
        <v>38046</v>
      </c>
      <c r="I6204" s="6">
        <v>526.5</v>
      </c>
      <c r="J6204" s="2">
        <f t="shared" si="96"/>
        <v>43748.918764629627</v>
      </c>
    </row>
    <row r="6205" spans="1:10" x14ac:dyDescent="0.25">
      <c r="A6205" s="7" t="s">
        <v>38047</v>
      </c>
      <c r="B6205" s="8">
        <v>415.625</v>
      </c>
      <c r="C6205" s="8">
        <v>20.478950000000001</v>
      </c>
      <c r="D6205" s="8">
        <v>79</v>
      </c>
      <c r="E6205" s="8">
        <v>0</v>
      </c>
      <c r="F6205" s="8">
        <v>0</v>
      </c>
      <c r="G6205" s="8">
        <v>14</v>
      </c>
      <c r="H6205" s="8" t="s">
        <v>38048</v>
      </c>
      <c r="I6205" s="8">
        <v>533.4375</v>
      </c>
      <c r="J6205" s="3">
        <f t="shared" si="96"/>
        <v>43748.918835902776</v>
      </c>
    </row>
    <row r="6206" spans="1:10" x14ac:dyDescent="0.25">
      <c r="A6206" s="5" t="s">
        <v>38049</v>
      </c>
      <c r="B6206" s="6">
        <v>393.75</v>
      </c>
      <c r="C6206" s="6">
        <v>20.478950000000001</v>
      </c>
      <c r="D6206" s="6">
        <v>80</v>
      </c>
      <c r="E6206" s="6">
        <v>0</v>
      </c>
      <c r="F6206" s="6">
        <v>0</v>
      </c>
      <c r="G6206" s="6">
        <v>11</v>
      </c>
      <c r="H6206" s="6" t="s">
        <v>38050</v>
      </c>
      <c r="I6206" s="6">
        <v>526.6875</v>
      </c>
      <c r="J6206" s="2">
        <f t="shared" si="96"/>
        <v>43748.918908842592</v>
      </c>
    </row>
    <row r="6207" spans="1:10" x14ac:dyDescent="0.25">
      <c r="A6207" s="7" t="s">
        <v>38051</v>
      </c>
      <c r="B6207" s="8">
        <v>393.75</v>
      </c>
      <c r="C6207" s="8">
        <v>20.478950000000001</v>
      </c>
      <c r="D6207" s="8">
        <v>80</v>
      </c>
      <c r="E6207" s="8">
        <v>0</v>
      </c>
      <c r="F6207" s="8">
        <v>0</v>
      </c>
      <c r="G6207" s="8">
        <v>11</v>
      </c>
      <c r="H6207" s="8" t="s">
        <v>38052</v>
      </c>
      <c r="I6207" s="8">
        <v>526.6875</v>
      </c>
      <c r="J6207" s="3">
        <f t="shared" si="96"/>
        <v>43748.918991423612</v>
      </c>
    </row>
    <row r="6208" spans="1:10" x14ac:dyDescent="0.25">
      <c r="A6208" s="5" t="s">
        <v>38053</v>
      </c>
      <c r="B6208" s="6">
        <v>393.75</v>
      </c>
      <c r="C6208" s="6">
        <v>20.478950000000001</v>
      </c>
      <c r="D6208" s="6">
        <v>80</v>
      </c>
      <c r="E6208" s="6">
        <v>0</v>
      </c>
      <c r="F6208" s="6">
        <v>0</v>
      </c>
      <c r="G6208" s="6">
        <v>14</v>
      </c>
      <c r="H6208" s="6" t="s">
        <v>38054</v>
      </c>
      <c r="I6208" s="6">
        <v>526.6875</v>
      </c>
      <c r="J6208" s="2">
        <f t="shared" si="96"/>
        <v>43748.919086805552</v>
      </c>
    </row>
    <row r="6209" spans="1:10" x14ac:dyDescent="0.25">
      <c r="A6209" s="7" t="s">
        <v>38055</v>
      </c>
      <c r="B6209" s="8">
        <v>393.75</v>
      </c>
      <c r="C6209" s="8">
        <v>20.478950000000001</v>
      </c>
      <c r="D6209" s="8">
        <v>80</v>
      </c>
      <c r="E6209" s="8">
        <v>0</v>
      </c>
      <c r="F6209" s="8">
        <v>0</v>
      </c>
      <c r="G6209" s="8">
        <v>15</v>
      </c>
      <c r="H6209" s="8" t="s">
        <v>38056</v>
      </c>
      <c r="I6209" s="8">
        <v>526.6875</v>
      </c>
      <c r="J6209" s="3">
        <f t="shared" si="96"/>
        <v>43748.919158124998</v>
      </c>
    </row>
    <row r="6210" spans="1:10" x14ac:dyDescent="0.25">
      <c r="A6210" s="5" t="s">
        <v>38057</v>
      </c>
      <c r="B6210" s="6">
        <v>393.75</v>
      </c>
      <c r="C6210" s="6">
        <v>20.478950000000001</v>
      </c>
      <c r="D6210" s="6">
        <v>80</v>
      </c>
      <c r="E6210" s="6">
        <v>0</v>
      </c>
      <c r="F6210" s="6">
        <v>0</v>
      </c>
      <c r="G6210" s="6">
        <v>20</v>
      </c>
      <c r="H6210" s="6" t="s">
        <v>38058</v>
      </c>
      <c r="I6210" s="6">
        <v>526.6875</v>
      </c>
      <c r="J6210" s="2">
        <f t="shared" ref="J6210:J6273" si="97">(H6210/86400000)+25569+(7/24)</f>
        <v>43748.919229456013</v>
      </c>
    </row>
    <row r="6211" spans="1:10" x14ac:dyDescent="0.25">
      <c r="A6211" s="7" t="s">
        <v>38059</v>
      </c>
      <c r="B6211" s="8">
        <v>415.625</v>
      </c>
      <c r="C6211" s="8">
        <v>20.478950000000001</v>
      </c>
      <c r="D6211" s="8">
        <v>79</v>
      </c>
      <c r="E6211" s="8">
        <v>0</v>
      </c>
      <c r="F6211" s="8">
        <v>0</v>
      </c>
      <c r="G6211" s="8">
        <v>12</v>
      </c>
      <c r="H6211" s="8" t="s">
        <v>38060</v>
      </c>
      <c r="I6211" s="8">
        <v>533.25</v>
      </c>
      <c r="J6211" s="3">
        <f t="shared" si="97"/>
        <v>43748.919301643517</v>
      </c>
    </row>
    <row r="6212" spans="1:10" x14ac:dyDescent="0.25">
      <c r="A6212" s="5" t="s">
        <v>38061</v>
      </c>
      <c r="B6212" s="6">
        <v>400</v>
      </c>
      <c r="C6212" s="6">
        <v>20.478950000000001</v>
      </c>
      <c r="D6212" s="6">
        <v>81</v>
      </c>
      <c r="E6212" s="6">
        <v>0</v>
      </c>
      <c r="F6212" s="6">
        <v>0</v>
      </c>
      <c r="G6212" s="6">
        <v>20</v>
      </c>
      <c r="H6212" s="6" t="s">
        <v>38062</v>
      </c>
      <c r="I6212" s="6">
        <v>528.1875</v>
      </c>
      <c r="J6212" s="2">
        <f t="shared" si="97"/>
        <v>43748.919372789351</v>
      </c>
    </row>
    <row r="6213" spans="1:10" x14ac:dyDescent="0.25">
      <c r="A6213" s="7" t="s">
        <v>38063</v>
      </c>
      <c r="B6213" s="8">
        <v>400</v>
      </c>
      <c r="C6213" s="8">
        <v>20.478950000000001</v>
      </c>
      <c r="D6213" s="8">
        <v>81</v>
      </c>
      <c r="E6213" s="8">
        <v>0</v>
      </c>
      <c r="F6213" s="8">
        <v>0</v>
      </c>
      <c r="G6213" s="8">
        <v>19</v>
      </c>
      <c r="H6213" s="8" t="s">
        <v>38064</v>
      </c>
      <c r="I6213" s="8">
        <v>528.1875</v>
      </c>
      <c r="J6213" s="3">
        <f t="shared" si="97"/>
        <v>43748.919444236111</v>
      </c>
    </row>
    <row r="6214" spans="1:10" x14ac:dyDescent="0.25">
      <c r="A6214" s="5" t="s">
        <v>38065</v>
      </c>
      <c r="B6214" s="6">
        <v>400</v>
      </c>
      <c r="C6214" s="6">
        <v>20.478950000000001</v>
      </c>
      <c r="D6214" s="6">
        <v>82</v>
      </c>
      <c r="E6214" s="6">
        <v>0</v>
      </c>
      <c r="F6214" s="6">
        <v>0</v>
      </c>
      <c r="G6214" s="6">
        <v>10</v>
      </c>
      <c r="H6214" s="6" t="s">
        <v>38066</v>
      </c>
      <c r="I6214" s="6">
        <v>528.375</v>
      </c>
      <c r="J6214" s="2">
        <f t="shared" si="97"/>
        <v>43748.919516458329</v>
      </c>
    </row>
    <row r="6215" spans="1:10" x14ac:dyDescent="0.25">
      <c r="A6215" s="7" t="s">
        <v>38067</v>
      </c>
      <c r="B6215" s="8">
        <v>396.875</v>
      </c>
      <c r="C6215" s="8">
        <v>20.478950000000001</v>
      </c>
      <c r="D6215" s="8">
        <v>78</v>
      </c>
      <c r="E6215" s="8">
        <v>0</v>
      </c>
      <c r="F6215" s="8">
        <v>0</v>
      </c>
      <c r="G6215" s="8">
        <v>10</v>
      </c>
      <c r="H6215" s="8" t="s">
        <v>38068</v>
      </c>
      <c r="I6215" s="8">
        <v>527.4375</v>
      </c>
      <c r="J6215" s="3">
        <f t="shared" si="97"/>
        <v>43748.919587731478</v>
      </c>
    </row>
    <row r="6216" spans="1:10" x14ac:dyDescent="0.25">
      <c r="A6216" s="5" t="s">
        <v>38069</v>
      </c>
      <c r="B6216" s="6">
        <v>396.875</v>
      </c>
      <c r="C6216" s="6">
        <v>20.478950000000001</v>
      </c>
      <c r="D6216" s="6">
        <v>79</v>
      </c>
      <c r="E6216" s="6">
        <v>0</v>
      </c>
      <c r="F6216" s="6">
        <v>0</v>
      </c>
      <c r="G6216" s="6">
        <v>15</v>
      </c>
      <c r="H6216" s="6" t="s">
        <v>38070</v>
      </c>
      <c r="I6216" s="6">
        <v>527.4375</v>
      </c>
      <c r="J6216" s="2">
        <f t="shared" si="97"/>
        <v>43748.919659016203</v>
      </c>
    </row>
    <row r="6217" spans="1:10" x14ac:dyDescent="0.25">
      <c r="A6217" s="7" t="s">
        <v>38071</v>
      </c>
      <c r="B6217" s="8">
        <v>396.875</v>
      </c>
      <c r="C6217" s="8">
        <v>20.478950000000001</v>
      </c>
      <c r="D6217" s="8">
        <v>79</v>
      </c>
      <c r="E6217" s="8">
        <v>0</v>
      </c>
      <c r="F6217" s="8">
        <v>0</v>
      </c>
      <c r="G6217" s="8">
        <v>9</v>
      </c>
      <c r="H6217" s="8" t="s">
        <v>38072</v>
      </c>
      <c r="I6217" s="8">
        <v>527.625</v>
      </c>
      <c r="J6217" s="3">
        <f t="shared" si="97"/>
        <v>43748.919730381946</v>
      </c>
    </row>
    <row r="6218" spans="1:10" x14ac:dyDescent="0.25">
      <c r="A6218" s="5" t="s">
        <v>38073</v>
      </c>
      <c r="B6218" s="6">
        <v>393.75</v>
      </c>
      <c r="C6218" s="6">
        <v>20.478950000000001</v>
      </c>
      <c r="D6218" s="6">
        <v>82</v>
      </c>
      <c r="E6218" s="6">
        <v>0</v>
      </c>
      <c r="F6218" s="6">
        <v>0</v>
      </c>
      <c r="G6218" s="6">
        <v>18</v>
      </c>
      <c r="H6218" s="6" t="s">
        <v>38074</v>
      </c>
      <c r="I6218" s="6">
        <v>526.6875</v>
      </c>
      <c r="J6218" s="2">
        <f t="shared" si="97"/>
        <v>43748.919814664354</v>
      </c>
    </row>
    <row r="6219" spans="1:10" x14ac:dyDescent="0.25">
      <c r="A6219" s="7" t="s">
        <v>38075</v>
      </c>
      <c r="B6219" s="8">
        <v>412.5</v>
      </c>
      <c r="C6219" s="8">
        <v>20.478950000000001</v>
      </c>
      <c r="D6219" s="8">
        <v>80</v>
      </c>
      <c r="E6219" s="8">
        <v>0</v>
      </c>
      <c r="F6219" s="8">
        <v>0</v>
      </c>
      <c r="G6219" s="8">
        <v>10</v>
      </c>
      <c r="H6219" s="8" t="s">
        <v>38076</v>
      </c>
      <c r="I6219" s="8">
        <v>532.125</v>
      </c>
      <c r="J6219" s="3">
        <f t="shared" si="97"/>
        <v>43748.919885925927</v>
      </c>
    </row>
    <row r="6220" spans="1:10" x14ac:dyDescent="0.25">
      <c r="A6220" s="5" t="s">
        <v>38077</v>
      </c>
      <c r="B6220" s="6">
        <v>393.75</v>
      </c>
      <c r="C6220" s="6">
        <v>20.478950000000001</v>
      </c>
      <c r="D6220" s="6">
        <v>79</v>
      </c>
      <c r="E6220" s="6">
        <v>0</v>
      </c>
      <c r="F6220" s="6">
        <v>0</v>
      </c>
      <c r="G6220" s="6">
        <v>11</v>
      </c>
      <c r="H6220" s="6" t="s">
        <v>38078</v>
      </c>
      <c r="I6220" s="6">
        <v>526.6875</v>
      </c>
      <c r="J6220" s="2">
        <f t="shared" si="97"/>
        <v>43748.919969166665</v>
      </c>
    </row>
    <row r="6221" spans="1:10" x14ac:dyDescent="0.25">
      <c r="A6221" s="7" t="s">
        <v>38079</v>
      </c>
      <c r="B6221" s="8">
        <v>393.75</v>
      </c>
      <c r="C6221" s="8">
        <v>20.478950000000001</v>
      </c>
      <c r="D6221" s="8">
        <v>80</v>
      </c>
      <c r="E6221" s="8">
        <v>0</v>
      </c>
      <c r="F6221" s="8">
        <v>0</v>
      </c>
      <c r="G6221" s="8">
        <v>11</v>
      </c>
      <c r="H6221" s="8" t="s">
        <v>38080</v>
      </c>
      <c r="I6221" s="8">
        <v>526.6875</v>
      </c>
      <c r="J6221" s="3">
        <f t="shared" si="97"/>
        <v>43748.920040474535</v>
      </c>
    </row>
    <row r="6222" spans="1:10" x14ac:dyDescent="0.25">
      <c r="A6222" s="5" t="s">
        <v>38081</v>
      </c>
      <c r="B6222" s="6">
        <v>393.75</v>
      </c>
      <c r="C6222" s="6">
        <v>20.478950000000001</v>
      </c>
      <c r="D6222" s="6">
        <v>80</v>
      </c>
      <c r="E6222" s="6">
        <v>0</v>
      </c>
      <c r="F6222" s="6">
        <v>0</v>
      </c>
      <c r="G6222" s="6">
        <v>16</v>
      </c>
      <c r="H6222" s="6" t="s">
        <v>38082</v>
      </c>
      <c r="I6222" s="6">
        <v>526.6875</v>
      </c>
      <c r="J6222" s="2">
        <f t="shared" si="97"/>
        <v>43748.920112766202</v>
      </c>
    </row>
    <row r="6223" spans="1:10" x14ac:dyDescent="0.25">
      <c r="A6223" s="7" t="s">
        <v>38083</v>
      </c>
      <c r="B6223" s="8">
        <v>393.75</v>
      </c>
      <c r="C6223" s="8">
        <v>20.478950000000001</v>
      </c>
      <c r="D6223" s="8">
        <v>81</v>
      </c>
      <c r="E6223" s="8">
        <v>0</v>
      </c>
      <c r="F6223" s="8">
        <v>0</v>
      </c>
      <c r="G6223" s="8">
        <v>19</v>
      </c>
      <c r="H6223" s="8" t="s">
        <v>38084</v>
      </c>
      <c r="I6223" s="8">
        <v>526.6875</v>
      </c>
      <c r="J6223" s="3">
        <f t="shared" si="97"/>
        <v>43748.920196041661</v>
      </c>
    </row>
    <row r="6224" spans="1:10" x14ac:dyDescent="0.25">
      <c r="A6224" s="5" t="s">
        <v>38085</v>
      </c>
      <c r="B6224" s="6">
        <v>393.75</v>
      </c>
      <c r="C6224" s="6">
        <v>20.478950000000001</v>
      </c>
      <c r="D6224" s="6">
        <v>81</v>
      </c>
      <c r="E6224" s="6">
        <v>0</v>
      </c>
      <c r="F6224" s="6">
        <v>0</v>
      </c>
      <c r="G6224" s="6">
        <v>22</v>
      </c>
      <c r="H6224" s="6" t="s">
        <v>38086</v>
      </c>
      <c r="I6224" s="6">
        <v>526.6875</v>
      </c>
      <c r="J6224" s="2">
        <f t="shared" si="97"/>
        <v>43748.920267314817</v>
      </c>
    </row>
    <row r="6225" spans="1:10" x14ac:dyDescent="0.25">
      <c r="A6225" s="7" t="s">
        <v>38087</v>
      </c>
      <c r="B6225" s="8">
        <v>393.75</v>
      </c>
      <c r="C6225" s="8">
        <v>20.478950000000001</v>
      </c>
      <c r="D6225" s="8">
        <v>81</v>
      </c>
      <c r="E6225" s="8">
        <v>0</v>
      </c>
      <c r="F6225" s="8">
        <v>0</v>
      </c>
      <c r="G6225" s="8">
        <v>10</v>
      </c>
      <c r="H6225" s="8" t="s">
        <v>38088</v>
      </c>
      <c r="I6225" s="8">
        <v>526.6875</v>
      </c>
      <c r="J6225" s="3">
        <f t="shared" si="97"/>
        <v>43748.920338634256</v>
      </c>
    </row>
    <row r="6226" spans="1:10" x14ac:dyDescent="0.25">
      <c r="A6226" s="5" t="s">
        <v>38089</v>
      </c>
      <c r="B6226" s="6">
        <v>412.5</v>
      </c>
      <c r="C6226" s="6">
        <v>20.478950000000001</v>
      </c>
      <c r="D6226" s="6">
        <v>82</v>
      </c>
      <c r="E6226" s="6">
        <v>0</v>
      </c>
      <c r="F6226" s="6">
        <v>0</v>
      </c>
      <c r="G6226" s="6">
        <v>16</v>
      </c>
      <c r="H6226" s="6" t="s">
        <v>38090</v>
      </c>
      <c r="I6226" s="6">
        <v>532.3125</v>
      </c>
      <c r="J6226" s="2">
        <f t="shared" si="97"/>
        <v>43748.920410833329</v>
      </c>
    </row>
    <row r="6227" spans="1:10" x14ac:dyDescent="0.25">
      <c r="A6227" s="7" t="s">
        <v>38091</v>
      </c>
      <c r="B6227" s="8">
        <v>396.875</v>
      </c>
      <c r="C6227" s="8">
        <v>20.478950000000001</v>
      </c>
      <c r="D6227" s="8">
        <v>83</v>
      </c>
      <c r="E6227" s="8">
        <v>0</v>
      </c>
      <c r="F6227" s="8">
        <v>0</v>
      </c>
      <c r="G6227" s="8">
        <v>20</v>
      </c>
      <c r="H6227" s="8" t="s">
        <v>38092</v>
      </c>
      <c r="I6227" s="8">
        <v>527.4375</v>
      </c>
      <c r="J6227" s="3">
        <f t="shared" si="97"/>
        <v>43748.920482071757</v>
      </c>
    </row>
    <row r="6228" spans="1:10" x14ac:dyDescent="0.25">
      <c r="A6228" s="5" t="s">
        <v>38093</v>
      </c>
      <c r="B6228" s="6">
        <v>396.875</v>
      </c>
      <c r="C6228" s="6">
        <v>20.478950000000001</v>
      </c>
      <c r="D6228" s="6">
        <v>83</v>
      </c>
      <c r="E6228" s="6">
        <v>0</v>
      </c>
      <c r="F6228" s="6">
        <v>0</v>
      </c>
      <c r="G6228" s="6">
        <v>12</v>
      </c>
      <c r="H6228" s="6" t="s">
        <v>38094</v>
      </c>
      <c r="I6228" s="6">
        <v>527.4375</v>
      </c>
      <c r="J6228" s="2">
        <f t="shared" si="97"/>
        <v>43748.920553449068</v>
      </c>
    </row>
    <row r="6229" spans="1:10" x14ac:dyDescent="0.25">
      <c r="A6229" s="7" t="s">
        <v>38095</v>
      </c>
      <c r="B6229" s="8">
        <v>396.875</v>
      </c>
      <c r="C6229" s="8">
        <v>20.478950000000001</v>
      </c>
      <c r="D6229" s="8">
        <v>82</v>
      </c>
      <c r="E6229" s="8">
        <v>0</v>
      </c>
      <c r="F6229" s="8">
        <v>0</v>
      </c>
      <c r="G6229" s="8">
        <v>19</v>
      </c>
      <c r="H6229" s="8" t="s">
        <v>38096</v>
      </c>
      <c r="I6229" s="8">
        <v>527.4375</v>
      </c>
      <c r="J6229" s="3">
        <f t="shared" si="97"/>
        <v>43748.920625543979</v>
      </c>
    </row>
    <row r="6230" spans="1:10" x14ac:dyDescent="0.25">
      <c r="A6230" s="5" t="s">
        <v>38097</v>
      </c>
      <c r="B6230" s="6">
        <v>396.875</v>
      </c>
      <c r="C6230" s="6">
        <v>20.478950000000001</v>
      </c>
      <c r="D6230" s="6">
        <v>80</v>
      </c>
      <c r="E6230" s="6">
        <v>0</v>
      </c>
      <c r="F6230" s="6">
        <v>0</v>
      </c>
      <c r="G6230" s="6">
        <v>15</v>
      </c>
      <c r="H6230" s="6" t="s">
        <v>38098</v>
      </c>
      <c r="I6230" s="6">
        <v>527.625</v>
      </c>
      <c r="J6230" s="2">
        <f t="shared" si="97"/>
        <v>43748.920696956011</v>
      </c>
    </row>
    <row r="6231" spans="1:10" x14ac:dyDescent="0.25">
      <c r="A6231" s="7" t="s">
        <v>38099</v>
      </c>
      <c r="B6231" s="8">
        <v>396.875</v>
      </c>
      <c r="C6231" s="8">
        <v>20.478950000000001</v>
      </c>
      <c r="D6231" s="8">
        <v>80</v>
      </c>
      <c r="E6231" s="8">
        <v>0</v>
      </c>
      <c r="F6231" s="8">
        <v>0</v>
      </c>
      <c r="G6231" s="8">
        <v>9</v>
      </c>
      <c r="H6231" s="8" t="s">
        <v>38100</v>
      </c>
      <c r="I6231" s="8">
        <v>527.4375</v>
      </c>
      <c r="J6231" s="3">
        <f t="shared" si="97"/>
        <v>43748.920768263888</v>
      </c>
    </row>
    <row r="6232" spans="1:10" x14ac:dyDescent="0.25">
      <c r="A6232" s="5" t="s">
        <v>38101</v>
      </c>
      <c r="B6232" s="6">
        <v>396.875</v>
      </c>
      <c r="C6232" s="6">
        <v>20.478950000000001</v>
      </c>
      <c r="D6232" s="6">
        <v>81</v>
      </c>
      <c r="E6232" s="6">
        <v>0</v>
      </c>
      <c r="F6232" s="6">
        <v>0</v>
      </c>
      <c r="G6232" s="6">
        <v>15</v>
      </c>
      <c r="H6232" s="6" t="s">
        <v>38102</v>
      </c>
      <c r="I6232" s="6">
        <v>527.625</v>
      </c>
      <c r="J6232" s="2">
        <f t="shared" si="97"/>
        <v>43748.920839652776</v>
      </c>
    </row>
    <row r="6233" spans="1:10" x14ac:dyDescent="0.25">
      <c r="A6233" s="7" t="s">
        <v>38103</v>
      </c>
      <c r="B6233" s="8">
        <v>396.875</v>
      </c>
      <c r="C6233" s="8">
        <v>20.478950000000001</v>
      </c>
      <c r="D6233" s="8">
        <v>81</v>
      </c>
      <c r="E6233" s="8">
        <v>0</v>
      </c>
      <c r="F6233" s="8">
        <v>0</v>
      </c>
      <c r="G6233" s="8">
        <v>17</v>
      </c>
      <c r="H6233" s="8" t="s">
        <v>38104</v>
      </c>
      <c r="I6233" s="8">
        <v>527.4375</v>
      </c>
      <c r="J6233" s="3">
        <f t="shared" si="97"/>
        <v>43748.920911759262</v>
      </c>
    </row>
    <row r="6234" spans="1:10" x14ac:dyDescent="0.25">
      <c r="A6234" s="5" t="s">
        <v>38105</v>
      </c>
      <c r="B6234" s="6">
        <v>396.875</v>
      </c>
      <c r="C6234" s="6">
        <v>20.478950000000001</v>
      </c>
      <c r="D6234" s="6">
        <v>81</v>
      </c>
      <c r="E6234" s="6">
        <v>0</v>
      </c>
      <c r="F6234" s="6">
        <v>0</v>
      </c>
      <c r="G6234" s="6">
        <v>19</v>
      </c>
      <c r="H6234" s="6" t="s">
        <v>38106</v>
      </c>
      <c r="I6234" s="6">
        <v>527.4375</v>
      </c>
      <c r="J6234" s="2">
        <f t="shared" si="97"/>
        <v>43748.920983055556</v>
      </c>
    </row>
    <row r="6235" spans="1:10" x14ac:dyDescent="0.25">
      <c r="A6235" s="7" t="s">
        <v>38107</v>
      </c>
      <c r="B6235" s="8">
        <v>396.875</v>
      </c>
      <c r="C6235" s="8">
        <v>20.478950000000001</v>
      </c>
      <c r="D6235" s="8">
        <v>82</v>
      </c>
      <c r="E6235" s="8">
        <v>0</v>
      </c>
      <c r="F6235" s="8">
        <v>0</v>
      </c>
      <c r="G6235" s="8">
        <v>13</v>
      </c>
      <c r="H6235" s="8" t="s">
        <v>38108</v>
      </c>
      <c r="I6235" s="8">
        <v>527.4375</v>
      </c>
      <c r="J6235" s="3">
        <f t="shared" si="97"/>
        <v>43748.921054351849</v>
      </c>
    </row>
    <row r="6236" spans="1:10" x14ac:dyDescent="0.25">
      <c r="A6236" s="5" t="s">
        <v>38109</v>
      </c>
      <c r="B6236" s="6">
        <v>393.75</v>
      </c>
      <c r="C6236" s="6">
        <v>20.478950000000001</v>
      </c>
      <c r="D6236" s="6">
        <v>81</v>
      </c>
      <c r="E6236" s="6">
        <v>0</v>
      </c>
      <c r="F6236" s="6">
        <v>0</v>
      </c>
      <c r="G6236" s="6">
        <v>14</v>
      </c>
      <c r="H6236" s="6" t="s">
        <v>38110</v>
      </c>
      <c r="I6236" s="6">
        <v>526.6875</v>
      </c>
      <c r="J6236" s="2">
        <f t="shared" si="97"/>
        <v>43748.921126446752</v>
      </c>
    </row>
    <row r="6237" spans="1:10" x14ac:dyDescent="0.25">
      <c r="A6237" s="7" t="s">
        <v>38111</v>
      </c>
      <c r="B6237" s="8">
        <v>393.75</v>
      </c>
      <c r="C6237" s="8">
        <v>20.478950000000001</v>
      </c>
      <c r="D6237" s="8">
        <v>76</v>
      </c>
      <c r="E6237" s="8">
        <v>0</v>
      </c>
      <c r="F6237" s="8">
        <v>0</v>
      </c>
      <c r="G6237" s="8">
        <v>17</v>
      </c>
      <c r="H6237" s="8" t="s">
        <v>38112</v>
      </c>
      <c r="I6237" s="8">
        <v>526.6875</v>
      </c>
      <c r="J6237" s="3">
        <f t="shared" si="97"/>
        <v>43748.921197893513</v>
      </c>
    </row>
    <row r="6238" spans="1:10" x14ac:dyDescent="0.25">
      <c r="A6238" s="5" t="s">
        <v>38113</v>
      </c>
      <c r="B6238" s="6">
        <v>393.75</v>
      </c>
      <c r="C6238" s="6">
        <v>20.478950000000001</v>
      </c>
      <c r="D6238" s="6">
        <v>76</v>
      </c>
      <c r="E6238" s="6">
        <v>0</v>
      </c>
      <c r="F6238" s="6">
        <v>0</v>
      </c>
      <c r="G6238" s="6">
        <v>14</v>
      </c>
      <c r="H6238" s="6" t="s">
        <v>38114</v>
      </c>
      <c r="I6238" s="6">
        <v>526.6875</v>
      </c>
      <c r="J6238" s="2">
        <f t="shared" si="97"/>
        <v>43748.921269178238</v>
      </c>
    </row>
    <row r="6239" spans="1:10" x14ac:dyDescent="0.25">
      <c r="A6239" s="7" t="s">
        <v>38115</v>
      </c>
      <c r="B6239" s="8">
        <v>412.5</v>
      </c>
      <c r="C6239" s="8">
        <v>20.478950000000001</v>
      </c>
      <c r="D6239" s="8">
        <v>79</v>
      </c>
      <c r="E6239" s="8">
        <v>0</v>
      </c>
      <c r="F6239" s="8">
        <v>0</v>
      </c>
      <c r="G6239" s="8">
        <v>11</v>
      </c>
      <c r="H6239" s="8" t="s">
        <v>38116</v>
      </c>
      <c r="I6239" s="8">
        <v>532.3125</v>
      </c>
      <c r="J6239" s="3">
        <f t="shared" si="97"/>
        <v>43748.921340474531</v>
      </c>
    </row>
    <row r="6240" spans="1:10" x14ac:dyDescent="0.25">
      <c r="A6240" s="5" t="s">
        <v>38117</v>
      </c>
      <c r="B6240" s="6">
        <v>393.75</v>
      </c>
      <c r="C6240" s="6">
        <v>20.478950000000001</v>
      </c>
      <c r="D6240" s="6">
        <v>79</v>
      </c>
      <c r="E6240" s="6">
        <v>0</v>
      </c>
      <c r="F6240" s="6">
        <v>0</v>
      </c>
      <c r="G6240" s="6">
        <v>7</v>
      </c>
      <c r="H6240" s="6" t="s">
        <v>38118</v>
      </c>
      <c r="I6240" s="6">
        <v>526.6875</v>
      </c>
      <c r="J6240" s="2">
        <f t="shared" si="97"/>
        <v>43748.92141268518</v>
      </c>
    </row>
    <row r="6241" spans="1:10" x14ac:dyDescent="0.25">
      <c r="A6241" s="7" t="s">
        <v>38119</v>
      </c>
      <c r="B6241" s="8">
        <v>393.75</v>
      </c>
      <c r="C6241" s="8">
        <v>20.478950000000001</v>
      </c>
      <c r="D6241" s="8">
        <v>83</v>
      </c>
      <c r="E6241" s="8">
        <v>0</v>
      </c>
      <c r="F6241" s="8">
        <v>0</v>
      </c>
      <c r="G6241" s="8">
        <v>11</v>
      </c>
      <c r="H6241" s="8" t="s">
        <v>38120</v>
      </c>
      <c r="I6241" s="8">
        <v>526.6875</v>
      </c>
      <c r="J6241" s="3">
        <f t="shared" si="97"/>
        <v>43748.921484004626</v>
      </c>
    </row>
    <row r="6242" spans="1:10" x14ac:dyDescent="0.25">
      <c r="A6242" s="5" t="s">
        <v>38121</v>
      </c>
      <c r="B6242" s="6">
        <v>393.75</v>
      </c>
      <c r="C6242" s="6">
        <v>20.478950000000001</v>
      </c>
      <c r="D6242" s="6">
        <v>84</v>
      </c>
      <c r="E6242" s="6">
        <v>0</v>
      </c>
      <c r="F6242" s="6">
        <v>0</v>
      </c>
      <c r="G6242" s="6">
        <v>11</v>
      </c>
      <c r="H6242" s="6" t="s">
        <v>38122</v>
      </c>
      <c r="I6242" s="6">
        <v>526.6875</v>
      </c>
      <c r="J6242" s="2">
        <f t="shared" si="97"/>
        <v>43748.92156732639</v>
      </c>
    </row>
    <row r="6243" spans="1:10" x14ac:dyDescent="0.25">
      <c r="A6243" s="7" t="s">
        <v>38123</v>
      </c>
      <c r="B6243" s="8">
        <v>393.75</v>
      </c>
      <c r="C6243" s="8">
        <v>20.478950000000001</v>
      </c>
      <c r="D6243" s="8">
        <v>83</v>
      </c>
      <c r="E6243" s="8">
        <v>0</v>
      </c>
      <c r="F6243" s="8">
        <v>0</v>
      </c>
      <c r="G6243" s="8">
        <v>15</v>
      </c>
      <c r="H6243" s="8" t="s">
        <v>38124</v>
      </c>
      <c r="I6243" s="8">
        <v>526.6875</v>
      </c>
      <c r="J6243" s="3">
        <f t="shared" si="97"/>
        <v>43748.921650729164</v>
      </c>
    </row>
    <row r="6244" spans="1:10" x14ac:dyDescent="0.25">
      <c r="A6244" s="5" t="s">
        <v>38125</v>
      </c>
      <c r="B6244" s="6">
        <v>393.75</v>
      </c>
      <c r="C6244" s="6">
        <v>20.478950000000001</v>
      </c>
      <c r="D6244" s="6">
        <v>84</v>
      </c>
      <c r="E6244" s="6">
        <v>0</v>
      </c>
      <c r="F6244" s="6">
        <v>0</v>
      </c>
      <c r="G6244" s="6">
        <v>13</v>
      </c>
      <c r="H6244" s="6" t="s">
        <v>38126</v>
      </c>
      <c r="I6244" s="6">
        <v>526.6875</v>
      </c>
      <c r="J6244" s="2">
        <f t="shared" si="97"/>
        <v>43748.921722719904</v>
      </c>
    </row>
    <row r="6245" spans="1:10" x14ac:dyDescent="0.25">
      <c r="A6245" s="7" t="s">
        <v>38127</v>
      </c>
      <c r="B6245" s="8">
        <v>393.75</v>
      </c>
      <c r="C6245" s="8">
        <v>20.478950000000001</v>
      </c>
      <c r="D6245" s="8">
        <v>84</v>
      </c>
      <c r="E6245" s="8">
        <v>0</v>
      </c>
      <c r="F6245" s="8">
        <v>0</v>
      </c>
      <c r="G6245" s="8">
        <v>19</v>
      </c>
      <c r="H6245" s="8" t="s">
        <v>38128</v>
      </c>
      <c r="I6245" s="8">
        <v>526.6875</v>
      </c>
      <c r="J6245" s="3">
        <f t="shared" si="97"/>
        <v>43748.921793773145</v>
      </c>
    </row>
    <row r="6246" spans="1:10" x14ac:dyDescent="0.25">
      <c r="A6246" s="5" t="s">
        <v>38129</v>
      </c>
      <c r="B6246" s="6">
        <v>393.75</v>
      </c>
      <c r="C6246" s="6">
        <v>20.478950000000001</v>
      </c>
      <c r="D6246" s="6">
        <v>82</v>
      </c>
      <c r="E6246" s="6">
        <v>0</v>
      </c>
      <c r="F6246" s="6">
        <v>0</v>
      </c>
      <c r="G6246" s="6">
        <v>17</v>
      </c>
      <c r="H6246" s="6" t="s">
        <v>38130</v>
      </c>
      <c r="I6246" s="6">
        <v>526.6875</v>
      </c>
      <c r="J6246" s="2">
        <f t="shared" si="97"/>
        <v>43748.921865486111</v>
      </c>
    </row>
    <row r="6247" spans="1:10" x14ac:dyDescent="0.25">
      <c r="A6247" s="7" t="s">
        <v>38131</v>
      </c>
      <c r="B6247" s="8">
        <v>393.75</v>
      </c>
      <c r="C6247" s="8">
        <v>20.478950000000001</v>
      </c>
      <c r="D6247" s="8">
        <v>83</v>
      </c>
      <c r="E6247" s="8">
        <v>0</v>
      </c>
      <c r="F6247" s="8">
        <v>0</v>
      </c>
      <c r="G6247" s="8">
        <v>22</v>
      </c>
      <c r="H6247" s="8" t="s">
        <v>38132</v>
      </c>
      <c r="I6247" s="8">
        <v>526.6875</v>
      </c>
      <c r="J6247" s="3">
        <f t="shared" si="97"/>
        <v>43748.921936932871</v>
      </c>
    </row>
    <row r="6248" spans="1:10" x14ac:dyDescent="0.25">
      <c r="A6248" s="5" t="s">
        <v>38133</v>
      </c>
      <c r="B6248" s="6">
        <v>393.75</v>
      </c>
      <c r="C6248" s="6">
        <v>20.478950000000001</v>
      </c>
      <c r="D6248" s="6">
        <v>83</v>
      </c>
      <c r="E6248" s="6">
        <v>0</v>
      </c>
      <c r="F6248" s="6">
        <v>0</v>
      </c>
      <c r="G6248" s="6">
        <v>13</v>
      </c>
      <c r="H6248" s="6" t="s">
        <v>38134</v>
      </c>
      <c r="I6248" s="6">
        <v>526.6875</v>
      </c>
      <c r="J6248" s="2">
        <f t="shared" si="97"/>
        <v>43748.922008993053</v>
      </c>
    </row>
    <row r="6249" spans="1:10" x14ac:dyDescent="0.25">
      <c r="A6249" s="7" t="s">
        <v>38135</v>
      </c>
      <c r="B6249" s="8">
        <v>393.75</v>
      </c>
      <c r="C6249" s="8">
        <v>20.478950000000001</v>
      </c>
      <c r="D6249" s="8">
        <v>83</v>
      </c>
      <c r="E6249" s="8">
        <v>0</v>
      </c>
      <c r="F6249" s="8">
        <v>0</v>
      </c>
      <c r="G6249" s="8">
        <v>19</v>
      </c>
      <c r="H6249" s="8" t="s">
        <v>38136</v>
      </c>
      <c r="I6249" s="8">
        <v>526.6875</v>
      </c>
      <c r="J6249" s="3">
        <f t="shared" si="97"/>
        <v>43748.922080289347</v>
      </c>
    </row>
    <row r="6250" spans="1:10" x14ac:dyDescent="0.25">
      <c r="A6250" s="5" t="s">
        <v>38137</v>
      </c>
      <c r="B6250" s="6">
        <v>418.75</v>
      </c>
      <c r="C6250" s="6">
        <v>20.478950000000001</v>
      </c>
      <c r="D6250" s="6">
        <v>83</v>
      </c>
      <c r="E6250" s="6">
        <v>0</v>
      </c>
      <c r="F6250" s="6">
        <v>0</v>
      </c>
      <c r="G6250" s="6">
        <v>11</v>
      </c>
      <c r="H6250" s="6" t="s">
        <v>38138</v>
      </c>
      <c r="I6250" s="6">
        <v>534</v>
      </c>
      <c r="J6250" s="2">
        <f t="shared" si="97"/>
        <v>43748.922151597224</v>
      </c>
    </row>
    <row r="6251" spans="1:10" x14ac:dyDescent="0.25">
      <c r="A6251" s="7" t="s">
        <v>38139</v>
      </c>
      <c r="B6251" s="8">
        <v>393.75</v>
      </c>
      <c r="C6251" s="8">
        <v>20.478950000000001</v>
      </c>
      <c r="D6251" s="8">
        <v>83</v>
      </c>
      <c r="E6251" s="8">
        <v>0</v>
      </c>
      <c r="F6251" s="8">
        <v>0</v>
      </c>
      <c r="G6251" s="8">
        <v>11</v>
      </c>
      <c r="H6251" s="8" t="s">
        <v>38140</v>
      </c>
      <c r="I6251" s="8">
        <v>526.5</v>
      </c>
      <c r="J6251" s="3">
        <f t="shared" si="97"/>
        <v>43748.922222951391</v>
      </c>
    </row>
    <row r="6252" spans="1:10" x14ac:dyDescent="0.25">
      <c r="A6252" s="5" t="s">
        <v>38141</v>
      </c>
      <c r="B6252" s="6">
        <v>393.75</v>
      </c>
      <c r="C6252" s="6">
        <v>20.478950000000001</v>
      </c>
      <c r="D6252" s="6">
        <v>83</v>
      </c>
      <c r="E6252" s="6">
        <v>0</v>
      </c>
      <c r="F6252" s="6">
        <v>0</v>
      </c>
      <c r="G6252" s="6">
        <v>19</v>
      </c>
      <c r="H6252" s="6" t="s">
        <v>38142</v>
      </c>
      <c r="I6252" s="6">
        <v>526.6875</v>
      </c>
      <c r="J6252" s="2">
        <f t="shared" si="97"/>
        <v>43748.922306284723</v>
      </c>
    </row>
    <row r="6253" spans="1:10" x14ac:dyDescent="0.25">
      <c r="A6253" s="7" t="s">
        <v>38143</v>
      </c>
      <c r="B6253" s="8">
        <v>393.75</v>
      </c>
      <c r="C6253" s="8">
        <v>20.478950000000001</v>
      </c>
      <c r="D6253" s="8">
        <v>83</v>
      </c>
      <c r="E6253" s="8">
        <v>0</v>
      </c>
      <c r="F6253" s="8">
        <v>0</v>
      </c>
      <c r="G6253" s="8">
        <v>17</v>
      </c>
      <c r="H6253" s="8" t="s">
        <v>38144</v>
      </c>
      <c r="I6253" s="8">
        <v>526.6875</v>
      </c>
      <c r="J6253" s="3">
        <f t="shared" si="97"/>
        <v>43748.922378437499</v>
      </c>
    </row>
    <row r="6254" spans="1:10" x14ac:dyDescent="0.25">
      <c r="A6254" s="5" t="s">
        <v>38145</v>
      </c>
      <c r="B6254" s="6">
        <v>393.75</v>
      </c>
      <c r="C6254" s="6">
        <v>20.478950000000001</v>
      </c>
      <c r="D6254" s="6">
        <v>84</v>
      </c>
      <c r="E6254" s="6">
        <v>0</v>
      </c>
      <c r="F6254" s="6">
        <v>0</v>
      </c>
      <c r="G6254" s="6">
        <v>21</v>
      </c>
      <c r="H6254" s="6" t="s">
        <v>38146</v>
      </c>
      <c r="I6254" s="6">
        <v>526.6875</v>
      </c>
      <c r="J6254" s="2">
        <f t="shared" si="97"/>
        <v>43748.9224617824</v>
      </c>
    </row>
    <row r="6255" spans="1:10" x14ac:dyDescent="0.25">
      <c r="A6255" s="7" t="s">
        <v>38147</v>
      </c>
      <c r="B6255" s="8">
        <v>393.75</v>
      </c>
      <c r="C6255" s="8">
        <v>20.478950000000001</v>
      </c>
      <c r="D6255" s="8">
        <v>84</v>
      </c>
      <c r="E6255" s="8">
        <v>0</v>
      </c>
      <c r="F6255" s="8">
        <v>0</v>
      </c>
      <c r="G6255" s="8">
        <v>17</v>
      </c>
      <c r="H6255" s="8" t="s">
        <v>38148</v>
      </c>
      <c r="I6255" s="8">
        <v>526.6875</v>
      </c>
      <c r="J6255" s="3">
        <f t="shared" si="97"/>
        <v>43748.922533067125</v>
      </c>
    </row>
    <row r="6256" spans="1:10" x14ac:dyDescent="0.25">
      <c r="A6256" s="5" t="s">
        <v>38149</v>
      </c>
      <c r="B6256" s="6">
        <v>393.75</v>
      </c>
      <c r="C6256" s="6">
        <v>20.478950000000001</v>
      </c>
      <c r="D6256" s="6">
        <v>84</v>
      </c>
      <c r="E6256" s="6">
        <v>0</v>
      </c>
      <c r="F6256" s="6">
        <v>0</v>
      </c>
      <c r="G6256" s="6">
        <v>20</v>
      </c>
      <c r="H6256" s="6" t="s">
        <v>38150</v>
      </c>
      <c r="I6256" s="6">
        <v>526.6875</v>
      </c>
      <c r="J6256" s="2">
        <f t="shared" si="97"/>
        <v>43748.922604594904</v>
      </c>
    </row>
    <row r="6257" spans="1:10" x14ac:dyDescent="0.25">
      <c r="A6257" s="7" t="s">
        <v>38151</v>
      </c>
      <c r="B6257" s="8">
        <v>412.5</v>
      </c>
      <c r="C6257" s="8">
        <v>20.478950000000001</v>
      </c>
      <c r="D6257" s="8">
        <v>83</v>
      </c>
      <c r="E6257" s="8">
        <v>0</v>
      </c>
      <c r="F6257" s="8">
        <v>0</v>
      </c>
      <c r="G6257" s="8">
        <v>19</v>
      </c>
      <c r="H6257" s="8" t="s">
        <v>38152</v>
      </c>
      <c r="I6257" s="8">
        <v>532.5</v>
      </c>
      <c r="J6257" s="3">
        <f t="shared" si="97"/>
        <v>43748.922676643517</v>
      </c>
    </row>
    <row r="6258" spans="1:10" x14ac:dyDescent="0.25">
      <c r="A6258" s="5" t="s">
        <v>38153</v>
      </c>
      <c r="B6258" s="6">
        <v>393.75</v>
      </c>
      <c r="C6258" s="6">
        <v>20.478950000000001</v>
      </c>
      <c r="D6258" s="6">
        <v>83</v>
      </c>
      <c r="E6258" s="6">
        <v>0</v>
      </c>
      <c r="F6258" s="6">
        <v>0</v>
      </c>
      <c r="G6258" s="6">
        <v>17</v>
      </c>
      <c r="H6258" s="6" t="s">
        <v>38154</v>
      </c>
      <c r="I6258" s="6">
        <v>526.6875</v>
      </c>
      <c r="J6258" s="2">
        <f t="shared" si="97"/>
        <v>43748.922747604163</v>
      </c>
    </row>
    <row r="6259" spans="1:10" x14ac:dyDescent="0.25">
      <c r="A6259" s="7" t="s">
        <v>38155</v>
      </c>
      <c r="B6259" s="8">
        <v>393.75</v>
      </c>
      <c r="C6259" s="8">
        <v>20.478950000000001</v>
      </c>
      <c r="D6259" s="8">
        <v>85</v>
      </c>
      <c r="E6259" s="8">
        <v>0</v>
      </c>
      <c r="F6259" s="8">
        <v>0</v>
      </c>
      <c r="G6259" s="8">
        <v>23</v>
      </c>
      <c r="H6259" s="8" t="s">
        <v>38156</v>
      </c>
      <c r="I6259" s="8">
        <v>526.6875</v>
      </c>
      <c r="J6259" s="3">
        <f t="shared" si="97"/>
        <v>43748.922819409716</v>
      </c>
    </row>
    <row r="6260" spans="1:10" x14ac:dyDescent="0.25">
      <c r="A6260" s="5" t="s">
        <v>38157</v>
      </c>
      <c r="B6260" s="6">
        <v>393.75</v>
      </c>
      <c r="C6260" s="6">
        <v>20.478950000000001</v>
      </c>
      <c r="D6260" s="6">
        <v>86</v>
      </c>
      <c r="E6260" s="6">
        <v>0</v>
      </c>
      <c r="F6260" s="6">
        <v>0</v>
      </c>
      <c r="G6260" s="6">
        <v>20</v>
      </c>
      <c r="H6260" s="6" t="s">
        <v>38158</v>
      </c>
      <c r="I6260" s="6">
        <v>526.6875</v>
      </c>
      <c r="J6260" s="2">
        <f t="shared" si="97"/>
        <v>43748.922926701387</v>
      </c>
    </row>
    <row r="6261" spans="1:10" x14ac:dyDescent="0.25">
      <c r="A6261" s="7" t="s">
        <v>38159</v>
      </c>
      <c r="B6261" s="8">
        <v>393.75</v>
      </c>
      <c r="C6261" s="8">
        <v>20.478950000000001</v>
      </c>
      <c r="D6261" s="8">
        <v>86</v>
      </c>
      <c r="E6261" s="8">
        <v>0</v>
      </c>
      <c r="F6261" s="8">
        <v>0</v>
      </c>
      <c r="G6261" s="8">
        <v>16</v>
      </c>
      <c r="H6261" s="8" t="s">
        <v>38160</v>
      </c>
      <c r="I6261" s="8">
        <v>526.6875</v>
      </c>
      <c r="J6261" s="3">
        <f t="shared" si="97"/>
        <v>43748.9230102199</v>
      </c>
    </row>
    <row r="6262" spans="1:10" x14ac:dyDescent="0.25">
      <c r="A6262" s="5" t="s">
        <v>38161</v>
      </c>
      <c r="B6262" s="6">
        <v>393.75</v>
      </c>
      <c r="C6262" s="6">
        <v>20.478950000000001</v>
      </c>
      <c r="D6262" s="6">
        <v>86</v>
      </c>
      <c r="E6262" s="6">
        <v>0</v>
      </c>
      <c r="F6262" s="6">
        <v>0</v>
      </c>
      <c r="G6262" s="6">
        <v>16</v>
      </c>
      <c r="H6262" s="6" t="s">
        <v>38162</v>
      </c>
      <c r="I6262" s="6">
        <v>526.6875</v>
      </c>
      <c r="J6262" s="2">
        <f t="shared" si="97"/>
        <v>43748.923082372683</v>
      </c>
    </row>
    <row r="6263" spans="1:10" x14ac:dyDescent="0.25">
      <c r="A6263" s="7" t="s">
        <v>38163</v>
      </c>
      <c r="B6263" s="8">
        <v>415.625</v>
      </c>
      <c r="C6263" s="8">
        <v>20.478950000000001</v>
      </c>
      <c r="D6263" s="8">
        <v>85</v>
      </c>
      <c r="E6263" s="8">
        <v>0</v>
      </c>
      <c r="F6263" s="8">
        <v>0</v>
      </c>
      <c r="G6263" s="8">
        <v>18</v>
      </c>
      <c r="H6263" s="8" t="s">
        <v>38164</v>
      </c>
      <c r="I6263" s="8">
        <v>533.625</v>
      </c>
      <c r="J6263" s="3">
        <f t="shared" si="97"/>
        <v>43748.923201076388</v>
      </c>
    </row>
    <row r="6264" spans="1:10" x14ac:dyDescent="0.25">
      <c r="A6264" s="5" t="s">
        <v>38165</v>
      </c>
      <c r="B6264" s="6">
        <v>393.75</v>
      </c>
      <c r="C6264" s="6">
        <v>20.478950000000001</v>
      </c>
      <c r="D6264" s="6">
        <v>83</v>
      </c>
      <c r="E6264" s="6">
        <v>0</v>
      </c>
      <c r="F6264" s="6">
        <v>0</v>
      </c>
      <c r="G6264" s="6">
        <v>19</v>
      </c>
      <c r="H6264" s="6" t="s">
        <v>38166</v>
      </c>
      <c r="I6264" s="6">
        <v>526.6875</v>
      </c>
      <c r="J6264" s="2">
        <f t="shared" si="97"/>
        <v>43748.923273113425</v>
      </c>
    </row>
    <row r="6265" spans="1:10" x14ac:dyDescent="0.25">
      <c r="A6265" s="7" t="s">
        <v>38167</v>
      </c>
      <c r="B6265" s="8">
        <v>393.75</v>
      </c>
      <c r="C6265" s="8">
        <v>20.478950000000001</v>
      </c>
      <c r="D6265" s="8">
        <v>83</v>
      </c>
      <c r="E6265" s="8">
        <v>0</v>
      </c>
      <c r="F6265" s="8">
        <v>0</v>
      </c>
      <c r="G6265" s="8">
        <v>12</v>
      </c>
      <c r="H6265" s="8" t="s">
        <v>38168</v>
      </c>
      <c r="I6265" s="8">
        <v>526.6875</v>
      </c>
      <c r="J6265" s="3">
        <f t="shared" si="97"/>
        <v>43748.923356273146</v>
      </c>
    </row>
    <row r="6266" spans="1:10" x14ac:dyDescent="0.25">
      <c r="A6266" s="5" t="s">
        <v>38169</v>
      </c>
      <c r="B6266" s="6">
        <v>393.75</v>
      </c>
      <c r="C6266" s="6">
        <v>20.478950000000001</v>
      </c>
      <c r="D6266" s="6">
        <v>83</v>
      </c>
      <c r="E6266" s="6">
        <v>0</v>
      </c>
      <c r="F6266" s="6">
        <v>0</v>
      </c>
      <c r="G6266" s="6">
        <v>16</v>
      </c>
      <c r="H6266" s="6" t="s">
        <v>38170</v>
      </c>
      <c r="I6266" s="6">
        <v>526.6875</v>
      </c>
      <c r="J6266" s="2">
        <f t="shared" si="97"/>
        <v>43748.923427638882</v>
      </c>
    </row>
    <row r="6267" spans="1:10" x14ac:dyDescent="0.25">
      <c r="A6267" s="7" t="s">
        <v>38171</v>
      </c>
      <c r="B6267" s="8">
        <v>393.75</v>
      </c>
      <c r="C6267" s="8">
        <v>20.478950000000001</v>
      </c>
      <c r="D6267" s="8">
        <v>83</v>
      </c>
      <c r="E6267" s="8">
        <v>0</v>
      </c>
      <c r="F6267" s="8">
        <v>0</v>
      </c>
      <c r="G6267" s="8">
        <v>25</v>
      </c>
      <c r="H6267" s="8" t="s">
        <v>38172</v>
      </c>
      <c r="I6267" s="8">
        <v>526.6875</v>
      </c>
      <c r="J6267" s="3">
        <f t="shared" si="97"/>
        <v>43748.923510960645</v>
      </c>
    </row>
    <row r="6268" spans="1:10" x14ac:dyDescent="0.25">
      <c r="A6268" s="5" t="s">
        <v>38173</v>
      </c>
      <c r="B6268" s="6">
        <v>393.75</v>
      </c>
      <c r="C6268" s="6">
        <v>20.478950000000001</v>
      </c>
      <c r="D6268" s="6">
        <v>83</v>
      </c>
      <c r="E6268" s="6">
        <v>0</v>
      </c>
      <c r="F6268" s="6">
        <v>0</v>
      </c>
      <c r="G6268" s="6">
        <v>16</v>
      </c>
      <c r="H6268" s="6" t="s">
        <v>38174</v>
      </c>
      <c r="I6268" s="6">
        <v>526.6875</v>
      </c>
      <c r="J6268" s="2">
        <f t="shared" si="97"/>
        <v>43748.923582268515</v>
      </c>
    </row>
    <row r="6269" spans="1:10" x14ac:dyDescent="0.25">
      <c r="A6269" s="7" t="s">
        <v>38175</v>
      </c>
      <c r="B6269" s="8">
        <v>393.75</v>
      </c>
      <c r="C6269" s="8">
        <v>20.478950000000001</v>
      </c>
      <c r="D6269" s="8">
        <v>83</v>
      </c>
      <c r="E6269" s="8">
        <v>0</v>
      </c>
      <c r="F6269" s="8">
        <v>0</v>
      </c>
      <c r="G6269" s="8">
        <v>23</v>
      </c>
      <c r="H6269" s="8" t="s">
        <v>38176</v>
      </c>
      <c r="I6269" s="8">
        <v>526.6875</v>
      </c>
      <c r="J6269" s="3">
        <f t="shared" si="97"/>
        <v>43748.923654421298</v>
      </c>
    </row>
    <row r="6270" spans="1:10" x14ac:dyDescent="0.25">
      <c r="A6270" s="5" t="s">
        <v>38177</v>
      </c>
      <c r="B6270" s="6">
        <v>412.5</v>
      </c>
      <c r="C6270" s="6">
        <v>20.478950000000001</v>
      </c>
      <c r="D6270" s="6">
        <v>82</v>
      </c>
      <c r="E6270" s="6">
        <v>0</v>
      </c>
      <c r="F6270" s="6">
        <v>0</v>
      </c>
      <c r="G6270" s="6">
        <v>19</v>
      </c>
      <c r="H6270" s="6" t="s">
        <v>38178</v>
      </c>
      <c r="I6270" s="6">
        <v>532.3125</v>
      </c>
      <c r="J6270" s="2">
        <f t="shared" si="97"/>
        <v>43748.92372579861</v>
      </c>
    </row>
    <row r="6271" spans="1:10" x14ac:dyDescent="0.25">
      <c r="A6271" s="7" t="s">
        <v>38179</v>
      </c>
      <c r="B6271" s="8">
        <v>393.75</v>
      </c>
      <c r="C6271" s="8">
        <v>20.478950000000001</v>
      </c>
      <c r="D6271" s="8">
        <v>82</v>
      </c>
      <c r="E6271" s="8">
        <v>0</v>
      </c>
      <c r="F6271" s="8">
        <v>0</v>
      </c>
      <c r="G6271" s="8">
        <v>12</v>
      </c>
      <c r="H6271" s="8" t="s">
        <v>38180</v>
      </c>
      <c r="I6271" s="8">
        <v>526.6875</v>
      </c>
      <c r="J6271" s="3">
        <f t="shared" si="97"/>
        <v>43748.923797291667</v>
      </c>
    </row>
    <row r="6272" spans="1:10" x14ac:dyDescent="0.25">
      <c r="A6272" s="5" t="s">
        <v>38181</v>
      </c>
      <c r="B6272" s="6">
        <v>393.75</v>
      </c>
      <c r="C6272" s="6">
        <v>20.478950000000001</v>
      </c>
      <c r="D6272" s="6">
        <v>82</v>
      </c>
      <c r="E6272" s="6">
        <v>0</v>
      </c>
      <c r="F6272" s="6">
        <v>0</v>
      </c>
      <c r="G6272" s="6">
        <v>12</v>
      </c>
      <c r="H6272" s="6" t="s">
        <v>38182</v>
      </c>
      <c r="I6272" s="6">
        <v>526.6875</v>
      </c>
      <c r="J6272" s="2">
        <f t="shared" si="97"/>
        <v>43748.923868715276</v>
      </c>
    </row>
    <row r="6273" spans="1:10" x14ac:dyDescent="0.25">
      <c r="A6273" s="7" t="s">
        <v>38183</v>
      </c>
      <c r="B6273" s="8">
        <v>393.75</v>
      </c>
      <c r="C6273" s="8">
        <v>20.478950000000001</v>
      </c>
      <c r="D6273" s="8">
        <v>82</v>
      </c>
      <c r="E6273" s="8">
        <v>0</v>
      </c>
      <c r="F6273" s="8">
        <v>0</v>
      </c>
      <c r="G6273" s="8">
        <v>16</v>
      </c>
      <c r="H6273" s="8" t="s">
        <v>38184</v>
      </c>
      <c r="I6273" s="8">
        <v>526.6875</v>
      </c>
      <c r="J6273" s="3">
        <f t="shared" si="97"/>
        <v>43748.9239695949</v>
      </c>
    </row>
    <row r="6274" spans="1:10" x14ac:dyDescent="0.25">
      <c r="A6274" s="5" t="s">
        <v>38185</v>
      </c>
      <c r="B6274" s="6">
        <v>393.75</v>
      </c>
      <c r="C6274" s="6">
        <v>20.478950000000001</v>
      </c>
      <c r="D6274" s="6">
        <v>82</v>
      </c>
      <c r="E6274" s="6">
        <v>0</v>
      </c>
      <c r="F6274" s="6">
        <v>0</v>
      </c>
      <c r="G6274" s="6">
        <v>7</v>
      </c>
      <c r="H6274" s="6" t="s">
        <v>38186</v>
      </c>
      <c r="I6274" s="6">
        <v>526.5</v>
      </c>
      <c r="J6274" s="2">
        <f t="shared" ref="J6274:J6337" si="98">(H6274/86400000)+25569+(7/24)</f>
        <v>43748.92404828703</v>
      </c>
    </row>
    <row r="6275" spans="1:10" x14ac:dyDescent="0.25">
      <c r="A6275" s="7" t="s">
        <v>38187</v>
      </c>
      <c r="B6275" s="8">
        <v>393.75</v>
      </c>
      <c r="C6275" s="8">
        <v>20.478950000000001</v>
      </c>
      <c r="D6275" s="8">
        <v>82</v>
      </c>
      <c r="E6275" s="8">
        <v>0</v>
      </c>
      <c r="F6275" s="8">
        <v>0</v>
      </c>
      <c r="G6275" s="8">
        <v>12</v>
      </c>
      <c r="H6275" s="8" t="s">
        <v>38188</v>
      </c>
      <c r="I6275" s="8">
        <v>526.6875</v>
      </c>
      <c r="J6275" s="3">
        <f t="shared" si="98"/>
        <v>43748.924131643515</v>
      </c>
    </row>
    <row r="6276" spans="1:10" x14ac:dyDescent="0.25">
      <c r="A6276" s="5" t="s">
        <v>38189</v>
      </c>
      <c r="B6276" s="6">
        <v>393.75</v>
      </c>
      <c r="C6276" s="6">
        <v>20.478950000000001</v>
      </c>
      <c r="D6276" s="6">
        <v>82</v>
      </c>
      <c r="E6276" s="6">
        <v>0</v>
      </c>
      <c r="F6276" s="6">
        <v>0</v>
      </c>
      <c r="G6276" s="6">
        <v>9</v>
      </c>
      <c r="H6276" s="6" t="s">
        <v>38190</v>
      </c>
      <c r="I6276" s="6">
        <v>526.6875</v>
      </c>
      <c r="J6276" s="2">
        <f t="shared" si="98"/>
        <v>43748.924202986113</v>
      </c>
    </row>
    <row r="6277" spans="1:10" x14ac:dyDescent="0.25">
      <c r="A6277" s="7" t="s">
        <v>38191</v>
      </c>
      <c r="B6277" s="8">
        <v>393.75</v>
      </c>
      <c r="C6277" s="8">
        <v>20.478950000000001</v>
      </c>
      <c r="D6277" s="8">
        <v>82</v>
      </c>
      <c r="E6277" s="8">
        <v>0</v>
      </c>
      <c r="F6277" s="8">
        <v>0</v>
      </c>
      <c r="G6277" s="8">
        <v>17</v>
      </c>
      <c r="H6277" s="8" t="s">
        <v>38192</v>
      </c>
      <c r="I6277" s="8">
        <v>526.6875</v>
      </c>
      <c r="J6277" s="3">
        <f t="shared" si="98"/>
        <v>43748.924274212965</v>
      </c>
    </row>
    <row r="6278" spans="1:10" x14ac:dyDescent="0.25">
      <c r="A6278" s="5" t="s">
        <v>38193</v>
      </c>
      <c r="B6278" s="6">
        <v>393.75</v>
      </c>
      <c r="C6278" s="6">
        <v>20.478950000000001</v>
      </c>
      <c r="D6278" s="6">
        <v>82</v>
      </c>
      <c r="E6278" s="6">
        <v>0</v>
      </c>
      <c r="F6278" s="6">
        <v>0</v>
      </c>
      <c r="G6278" s="6">
        <v>18</v>
      </c>
      <c r="H6278" s="6" t="s">
        <v>38194</v>
      </c>
      <c r="I6278" s="6">
        <v>526.6875</v>
      </c>
      <c r="J6278" s="2">
        <f t="shared" si="98"/>
        <v>43748.924346458334</v>
      </c>
    </row>
    <row r="6279" spans="1:10" x14ac:dyDescent="0.25">
      <c r="A6279" s="7" t="s">
        <v>38195</v>
      </c>
      <c r="B6279" s="8">
        <v>393.75</v>
      </c>
      <c r="C6279" s="8">
        <v>20.478950000000001</v>
      </c>
      <c r="D6279" s="8">
        <v>82</v>
      </c>
      <c r="E6279" s="8">
        <v>0</v>
      </c>
      <c r="F6279" s="8">
        <v>0</v>
      </c>
      <c r="G6279" s="8">
        <v>22</v>
      </c>
      <c r="H6279" s="8" t="s">
        <v>38196</v>
      </c>
      <c r="I6279" s="8">
        <v>526.6875</v>
      </c>
      <c r="J6279" s="3">
        <f t="shared" si="98"/>
        <v>43748.924417268521</v>
      </c>
    </row>
    <row r="6280" spans="1:10" x14ac:dyDescent="0.25">
      <c r="A6280" s="5" t="s">
        <v>38197</v>
      </c>
      <c r="B6280" s="6">
        <v>393.75</v>
      </c>
      <c r="C6280" s="6">
        <v>20.478950000000001</v>
      </c>
      <c r="D6280" s="6">
        <v>83</v>
      </c>
      <c r="E6280" s="6">
        <v>0</v>
      </c>
      <c r="F6280" s="6">
        <v>0</v>
      </c>
      <c r="G6280" s="6">
        <v>23</v>
      </c>
      <c r="H6280" s="6" t="s">
        <v>38198</v>
      </c>
      <c r="I6280" s="6">
        <v>526.6875</v>
      </c>
      <c r="J6280" s="2">
        <f t="shared" si="98"/>
        <v>43748.924489027777</v>
      </c>
    </row>
    <row r="6281" spans="1:10" x14ac:dyDescent="0.25">
      <c r="A6281" s="7" t="s">
        <v>38199</v>
      </c>
      <c r="B6281" s="8">
        <v>393.75</v>
      </c>
      <c r="C6281" s="8">
        <v>20.478950000000001</v>
      </c>
      <c r="D6281" s="8">
        <v>83</v>
      </c>
      <c r="E6281" s="8">
        <v>0</v>
      </c>
      <c r="F6281" s="8">
        <v>0</v>
      </c>
      <c r="G6281" s="8">
        <v>13</v>
      </c>
      <c r="H6281" s="8" t="s">
        <v>38200</v>
      </c>
      <c r="I6281" s="8">
        <v>526.6875</v>
      </c>
      <c r="J6281" s="3">
        <f t="shared" si="98"/>
        <v>43748.924560381944</v>
      </c>
    </row>
    <row r="6282" spans="1:10" x14ac:dyDescent="0.25">
      <c r="A6282" s="5" t="s">
        <v>38201</v>
      </c>
      <c r="B6282" s="6">
        <v>393.75</v>
      </c>
      <c r="C6282" s="6">
        <v>20.478950000000001</v>
      </c>
      <c r="D6282" s="6">
        <v>83</v>
      </c>
      <c r="E6282" s="6">
        <v>0</v>
      </c>
      <c r="F6282" s="6">
        <v>0</v>
      </c>
      <c r="G6282" s="6">
        <v>17</v>
      </c>
      <c r="H6282" s="6" t="s">
        <v>38202</v>
      </c>
      <c r="I6282" s="6">
        <v>526.6875</v>
      </c>
      <c r="J6282" s="2">
        <f t="shared" si="98"/>
        <v>43748.924641319441</v>
      </c>
    </row>
    <row r="6283" spans="1:10" x14ac:dyDescent="0.25">
      <c r="A6283" s="7" t="s">
        <v>38203</v>
      </c>
      <c r="B6283" s="8">
        <v>412.5</v>
      </c>
      <c r="C6283" s="8">
        <v>20.478950000000001</v>
      </c>
      <c r="D6283" s="8">
        <v>83</v>
      </c>
      <c r="E6283" s="8">
        <v>0</v>
      </c>
      <c r="F6283" s="8">
        <v>0</v>
      </c>
      <c r="G6283" s="8">
        <v>23</v>
      </c>
      <c r="H6283" s="8" t="s">
        <v>38204</v>
      </c>
      <c r="I6283" s="8">
        <v>532.6875</v>
      </c>
      <c r="J6283" s="3">
        <f t="shared" si="98"/>
        <v>43748.924715879628</v>
      </c>
    </row>
    <row r="6284" spans="1:10" x14ac:dyDescent="0.25">
      <c r="A6284" s="5" t="s">
        <v>38205</v>
      </c>
      <c r="B6284" s="6">
        <v>393.75</v>
      </c>
      <c r="C6284" s="6">
        <v>20.478950000000001</v>
      </c>
      <c r="D6284" s="6">
        <v>83</v>
      </c>
      <c r="E6284" s="6">
        <v>0</v>
      </c>
      <c r="F6284" s="6">
        <v>0</v>
      </c>
      <c r="G6284" s="6">
        <v>16</v>
      </c>
      <c r="H6284" s="6" t="s">
        <v>38206</v>
      </c>
      <c r="I6284" s="6">
        <v>526.6875</v>
      </c>
      <c r="J6284" s="2">
        <f t="shared" si="98"/>
        <v>43748.924787199074</v>
      </c>
    </row>
    <row r="6285" spans="1:10" x14ac:dyDescent="0.25">
      <c r="A6285" s="7" t="s">
        <v>38207</v>
      </c>
      <c r="B6285" s="8">
        <v>393.75</v>
      </c>
      <c r="C6285" s="8">
        <v>20.478950000000001</v>
      </c>
      <c r="D6285" s="8">
        <v>82</v>
      </c>
      <c r="E6285" s="8">
        <v>0</v>
      </c>
      <c r="F6285" s="8">
        <v>0</v>
      </c>
      <c r="G6285" s="8">
        <v>19</v>
      </c>
      <c r="H6285" s="8" t="s">
        <v>38208</v>
      </c>
      <c r="I6285" s="8">
        <v>526.6875</v>
      </c>
      <c r="J6285" s="3">
        <f t="shared" si="98"/>
        <v>43748.92488248842</v>
      </c>
    </row>
    <row r="6286" spans="1:10" x14ac:dyDescent="0.25">
      <c r="A6286" s="5" t="s">
        <v>38209</v>
      </c>
      <c r="B6286" s="6">
        <v>393.75</v>
      </c>
      <c r="C6286" s="6">
        <v>20.478950000000001</v>
      </c>
      <c r="D6286" s="6">
        <v>82</v>
      </c>
      <c r="E6286" s="6">
        <v>0</v>
      </c>
      <c r="F6286" s="6">
        <v>0</v>
      </c>
      <c r="G6286" s="6">
        <v>22</v>
      </c>
      <c r="H6286" s="6" t="s">
        <v>38210</v>
      </c>
      <c r="I6286" s="6">
        <v>526.6875</v>
      </c>
      <c r="J6286" s="2">
        <f t="shared" si="98"/>
        <v>43748.924954525464</v>
      </c>
    </row>
    <row r="6287" spans="1:10" x14ac:dyDescent="0.25">
      <c r="A6287" s="7" t="s">
        <v>38211</v>
      </c>
      <c r="B6287" s="8">
        <v>393.75</v>
      </c>
      <c r="C6287" s="8">
        <v>20.478950000000001</v>
      </c>
      <c r="D6287" s="8">
        <v>83</v>
      </c>
      <c r="E6287" s="8">
        <v>0</v>
      </c>
      <c r="F6287" s="8">
        <v>0</v>
      </c>
      <c r="G6287" s="8">
        <v>21</v>
      </c>
      <c r="H6287" s="8" t="s">
        <v>38212</v>
      </c>
      <c r="I6287" s="8">
        <v>526.6875</v>
      </c>
      <c r="J6287" s="3">
        <f t="shared" si="98"/>
        <v>43748.925026064811</v>
      </c>
    </row>
    <row r="6288" spans="1:10" x14ac:dyDescent="0.25">
      <c r="A6288" s="5" t="s">
        <v>38213</v>
      </c>
      <c r="B6288" s="6">
        <v>393.75</v>
      </c>
      <c r="C6288" s="6">
        <v>20.478950000000001</v>
      </c>
      <c r="D6288" s="6">
        <v>82</v>
      </c>
      <c r="E6288" s="6">
        <v>0</v>
      </c>
      <c r="F6288" s="6">
        <v>0</v>
      </c>
      <c r="G6288" s="6">
        <v>18</v>
      </c>
      <c r="H6288" s="6" t="s">
        <v>38214</v>
      </c>
      <c r="I6288" s="6">
        <v>526.875</v>
      </c>
      <c r="J6288" s="2">
        <f t="shared" si="98"/>
        <v>43748.925114756938</v>
      </c>
    </row>
    <row r="6289" spans="1:10" x14ac:dyDescent="0.25">
      <c r="A6289" s="7" t="s">
        <v>38215</v>
      </c>
      <c r="B6289" s="8">
        <v>393.75</v>
      </c>
      <c r="C6289" s="8">
        <v>20.478950000000001</v>
      </c>
      <c r="D6289" s="8">
        <v>82</v>
      </c>
      <c r="E6289" s="8">
        <v>0</v>
      </c>
      <c r="F6289" s="8">
        <v>0</v>
      </c>
      <c r="G6289" s="8">
        <v>10</v>
      </c>
      <c r="H6289" s="8" t="s">
        <v>38216</v>
      </c>
      <c r="I6289" s="8">
        <v>526.6875</v>
      </c>
      <c r="J6289" s="3">
        <f t="shared" si="98"/>
        <v>43748.925192708331</v>
      </c>
    </row>
    <row r="6290" spans="1:10" x14ac:dyDescent="0.25">
      <c r="A6290" s="5" t="s">
        <v>38217</v>
      </c>
      <c r="B6290" s="6">
        <v>393.75</v>
      </c>
      <c r="C6290" s="6">
        <v>20.478950000000001</v>
      </c>
      <c r="D6290" s="6">
        <v>82</v>
      </c>
      <c r="E6290" s="6">
        <v>0</v>
      </c>
      <c r="F6290" s="6">
        <v>0</v>
      </c>
      <c r="G6290" s="6">
        <v>24</v>
      </c>
      <c r="H6290" s="6" t="s">
        <v>38218</v>
      </c>
      <c r="I6290" s="6">
        <v>526.6875</v>
      </c>
      <c r="J6290" s="2">
        <f t="shared" si="98"/>
        <v>43748.925264027777</v>
      </c>
    </row>
    <row r="6291" spans="1:10" x14ac:dyDescent="0.25">
      <c r="A6291" s="7" t="s">
        <v>38219</v>
      </c>
      <c r="B6291" s="8">
        <v>393.75</v>
      </c>
      <c r="C6291" s="8">
        <v>20.478950000000001</v>
      </c>
      <c r="D6291" s="8">
        <v>82</v>
      </c>
      <c r="E6291" s="8">
        <v>0</v>
      </c>
      <c r="F6291" s="8">
        <v>0</v>
      </c>
      <c r="G6291" s="8">
        <v>21</v>
      </c>
      <c r="H6291" s="8" t="s">
        <v>38220</v>
      </c>
      <c r="I6291" s="8">
        <v>526.6875</v>
      </c>
      <c r="J6291" s="3">
        <f t="shared" si="98"/>
        <v>43748.92533622685</v>
      </c>
    </row>
    <row r="6292" spans="1:10" x14ac:dyDescent="0.25">
      <c r="A6292" s="5" t="s">
        <v>38221</v>
      </c>
      <c r="B6292" s="6">
        <v>393.75</v>
      </c>
      <c r="C6292" s="6">
        <v>20.478950000000001</v>
      </c>
      <c r="D6292" s="6">
        <v>84</v>
      </c>
      <c r="E6292" s="6">
        <v>0</v>
      </c>
      <c r="F6292" s="6">
        <v>0</v>
      </c>
      <c r="G6292" s="6">
        <v>25</v>
      </c>
      <c r="H6292" s="6" t="s">
        <v>38222</v>
      </c>
      <c r="I6292" s="6">
        <v>526.6875</v>
      </c>
      <c r="J6292" s="2">
        <f t="shared" si="98"/>
        <v>43748.925407557872</v>
      </c>
    </row>
    <row r="6293" spans="1:10" x14ac:dyDescent="0.25">
      <c r="A6293" s="7" t="s">
        <v>38223</v>
      </c>
      <c r="B6293" s="8">
        <v>393.75</v>
      </c>
      <c r="C6293" s="8">
        <v>20.478950000000001</v>
      </c>
      <c r="D6293" s="8">
        <v>83</v>
      </c>
      <c r="E6293" s="8">
        <v>0</v>
      </c>
      <c r="F6293" s="8">
        <v>0</v>
      </c>
      <c r="G6293" s="8">
        <v>16</v>
      </c>
      <c r="H6293" s="8" t="s">
        <v>38224</v>
      </c>
      <c r="I6293" s="8">
        <v>526.6875</v>
      </c>
      <c r="J6293" s="3">
        <f t="shared" si="98"/>
        <v>43748.925478865734</v>
      </c>
    </row>
    <row r="6294" spans="1:10" x14ac:dyDescent="0.25">
      <c r="A6294" s="5" t="s">
        <v>38225</v>
      </c>
      <c r="B6294" s="6">
        <v>393.75</v>
      </c>
      <c r="C6294" s="6">
        <v>20.478950000000001</v>
      </c>
      <c r="D6294" s="6">
        <v>83</v>
      </c>
      <c r="E6294" s="6">
        <v>0</v>
      </c>
      <c r="F6294" s="6">
        <v>0</v>
      </c>
      <c r="G6294" s="6">
        <v>22</v>
      </c>
      <c r="H6294" s="6" t="s">
        <v>38226</v>
      </c>
      <c r="I6294" s="6">
        <v>526.6875</v>
      </c>
      <c r="J6294" s="2">
        <f t="shared" si="98"/>
        <v>43748.925550254622</v>
      </c>
    </row>
    <row r="6295" spans="1:10" x14ac:dyDescent="0.25">
      <c r="A6295" s="7" t="s">
        <v>38227</v>
      </c>
      <c r="B6295" s="8">
        <v>393.75</v>
      </c>
      <c r="C6295" s="8">
        <v>20.478950000000001</v>
      </c>
      <c r="D6295" s="8">
        <v>83</v>
      </c>
      <c r="E6295" s="8">
        <v>0</v>
      </c>
      <c r="F6295" s="8">
        <v>0</v>
      </c>
      <c r="G6295" s="8">
        <v>13</v>
      </c>
      <c r="H6295" s="8" t="s">
        <v>38228</v>
      </c>
      <c r="I6295" s="8">
        <v>526.6875</v>
      </c>
      <c r="J6295" s="3">
        <f t="shared" si="98"/>
        <v>43748.925621770832</v>
      </c>
    </row>
    <row r="6296" spans="1:10" x14ac:dyDescent="0.25">
      <c r="A6296" s="5" t="s">
        <v>38229</v>
      </c>
      <c r="B6296" s="6">
        <v>393.75</v>
      </c>
      <c r="C6296" s="6">
        <v>20.478950000000001</v>
      </c>
      <c r="D6296" s="6">
        <v>83</v>
      </c>
      <c r="E6296" s="6">
        <v>0</v>
      </c>
      <c r="F6296" s="6">
        <v>0</v>
      </c>
      <c r="G6296" s="6">
        <v>17</v>
      </c>
      <c r="H6296" s="6" t="s">
        <v>38230</v>
      </c>
      <c r="I6296" s="6">
        <v>526.6875</v>
      </c>
      <c r="J6296" s="2">
        <f t="shared" si="98"/>
        <v>43748.925693703706</v>
      </c>
    </row>
    <row r="6297" spans="1:10" x14ac:dyDescent="0.25">
      <c r="A6297" s="7" t="s">
        <v>38231</v>
      </c>
      <c r="B6297" s="8">
        <v>393.75</v>
      </c>
      <c r="C6297" s="8">
        <v>20.478950000000001</v>
      </c>
      <c r="D6297" s="8">
        <v>83</v>
      </c>
      <c r="E6297" s="8">
        <v>0</v>
      </c>
      <c r="F6297" s="8">
        <v>0</v>
      </c>
      <c r="G6297" s="8">
        <v>12</v>
      </c>
      <c r="H6297" s="8" t="s">
        <v>38232</v>
      </c>
      <c r="I6297" s="8">
        <v>526.6875</v>
      </c>
      <c r="J6297" s="3">
        <f t="shared" si="98"/>
        <v>43748.925764953703</v>
      </c>
    </row>
    <row r="6298" spans="1:10" x14ac:dyDescent="0.25">
      <c r="A6298" s="5" t="s">
        <v>38233</v>
      </c>
      <c r="B6298" s="6">
        <v>393.75</v>
      </c>
      <c r="C6298" s="6">
        <v>20.426300000000001</v>
      </c>
      <c r="D6298" s="6">
        <v>87</v>
      </c>
      <c r="E6298" s="6">
        <v>0</v>
      </c>
      <c r="F6298" s="6">
        <v>0</v>
      </c>
      <c r="G6298" s="6">
        <v>5</v>
      </c>
      <c r="H6298" s="6" t="s">
        <v>38234</v>
      </c>
      <c r="I6298" s="6">
        <v>526.6875</v>
      </c>
      <c r="J6298" s="2">
        <f t="shared" si="98"/>
        <v>43748.925837106479</v>
      </c>
    </row>
    <row r="6299" spans="1:10" x14ac:dyDescent="0.25">
      <c r="A6299" s="7" t="s">
        <v>38235</v>
      </c>
      <c r="B6299" s="8">
        <v>393.75</v>
      </c>
      <c r="C6299" s="8">
        <v>20.478950000000001</v>
      </c>
      <c r="D6299" s="8">
        <v>86</v>
      </c>
      <c r="E6299" s="8">
        <v>0</v>
      </c>
      <c r="F6299" s="8">
        <v>0</v>
      </c>
      <c r="G6299" s="8">
        <v>10</v>
      </c>
      <c r="H6299" s="8" t="s">
        <v>38236</v>
      </c>
      <c r="I6299" s="8">
        <v>526.6875</v>
      </c>
      <c r="J6299" s="3">
        <f t="shared" si="98"/>
        <v>43748.92590848379</v>
      </c>
    </row>
    <row r="6300" spans="1:10" x14ac:dyDescent="0.25">
      <c r="A6300" s="5" t="s">
        <v>38237</v>
      </c>
      <c r="B6300" s="6">
        <v>393.75</v>
      </c>
      <c r="C6300" s="6">
        <v>20.478950000000001</v>
      </c>
      <c r="D6300" s="6">
        <v>86</v>
      </c>
      <c r="E6300" s="6">
        <v>0</v>
      </c>
      <c r="F6300" s="6">
        <v>0</v>
      </c>
      <c r="G6300" s="6">
        <v>18</v>
      </c>
      <c r="H6300" s="6" t="s">
        <v>38238</v>
      </c>
      <c r="I6300" s="6">
        <v>526.5</v>
      </c>
      <c r="J6300" s="2">
        <f t="shared" si="98"/>
        <v>43748.925991782402</v>
      </c>
    </row>
    <row r="6301" spans="1:10" x14ac:dyDescent="0.25">
      <c r="A6301" s="7" t="s">
        <v>38239</v>
      </c>
      <c r="B6301" s="8">
        <v>393.75</v>
      </c>
      <c r="C6301" s="8">
        <v>20.478950000000001</v>
      </c>
      <c r="D6301" s="8">
        <v>85</v>
      </c>
      <c r="E6301" s="8">
        <v>0</v>
      </c>
      <c r="F6301" s="8">
        <v>0</v>
      </c>
      <c r="G6301" s="8">
        <v>17</v>
      </c>
      <c r="H6301" s="8" t="s">
        <v>38240</v>
      </c>
      <c r="I6301" s="8">
        <v>526.6875</v>
      </c>
      <c r="J6301" s="3">
        <f t="shared" si="98"/>
        <v>43748.926063043975</v>
      </c>
    </row>
    <row r="6302" spans="1:10" x14ac:dyDescent="0.25">
      <c r="A6302" s="5" t="s">
        <v>38241</v>
      </c>
      <c r="B6302" s="6">
        <v>393.75</v>
      </c>
      <c r="C6302" s="6">
        <v>20.478950000000001</v>
      </c>
      <c r="D6302" s="6">
        <v>85</v>
      </c>
      <c r="E6302" s="6">
        <v>0</v>
      </c>
      <c r="F6302" s="6">
        <v>0</v>
      </c>
      <c r="G6302" s="6">
        <v>18</v>
      </c>
      <c r="H6302" s="6" t="s">
        <v>38242</v>
      </c>
      <c r="I6302" s="6">
        <v>526.5</v>
      </c>
      <c r="J6302" s="2">
        <f t="shared" si="98"/>
        <v>43748.926134606481</v>
      </c>
    </row>
    <row r="6303" spans="1:10" x14ac:dyDescent="0.25">
      <c r="A6303" s="7" t="s">
        <v>38243</v>
      </c>
      <c r="B6303" s="8">
        <v>393.75</v>
      </c>
      <c r="C6303" s="8">
        <v>20.478950000000001</v>
      </c>
      <c r="D6303" s="8">
        <v>84</v>
      </c>
      <c r="E6303" s="8">
        <v>0</v>
      </c>
      <c r="F6303" s="8">
        <v>0</v>
      </c>
      <c r="G6303" s="8">
        <v>16</v>
      </c>
      <c r="H6303" s="8" t="s">
        <v>38244</v>
      </c>
      <c r="I6303" s="8">
        <v>526.6875</v>
      </c>
      <c r="J6303" s="3">
        <f t="shared" si="98"/>
        <v>43748.92620660879</v>
      </c>
    </row>
    <row r="6304" spans="1:10" x14ac:dyDescent="0.25">
      <c r="A6304" s="5" t="s">
        <v>38245</v>
      </c>
      <c r="B6304" s="6">
        <v>393.75</v>
      </c>
      <c r="C6304" s="6">
        <v>20.478950000000001</v>
      </c>
      <c r="D6304" s="6">
        <v>84</v>
      </c>
      <c r="E6304" s="6">
        <v>0</v>
      </c>
      <c r="F6304" s="6">
        <v>0</v>
      </c>
      <c r="G6304" s="6">
        <v>19</v>
      </c>
      <c r="H6304" s="6" t="s">
        <v>38246</v>
      </c>
      <c r="I6304" s="6">
        <v>526.6875</v>
      </c>
      <c r="J6304" s="2">
        <f t="shared" si="98"/>
        <v>43748.926277893515</v>
      </c>
    </row>
    <row r="6305" spans="1:10" x14ac:dyDescent="0.25">
      <c r="A6305" s="7" t="s">
        <v>38247</v>
      </c>
      <c r="B6305" s="8">
        <v>393.75</v>
      </c>
      <c r="C6305" s="8">
        <v>20.478950000000001</v>
      </c>
      <c r="D6305" s="8">
        <v>85</v>
      </c>
      <c r="E6305" s="8">
        <v>0</v>
      </c>
      <c r="F6305" s="8">
        <v>0</v>
      </c>
      <c r="G6305" s="8">
        <v>18</v>
      </c>
      <c r="H6305" s="8" t="s">
        <v>38248</v>
      </c>
      <c r="I6305" s="8">
        <v>526.875</v>
      </c>
      <c r="J6305" s="3">
        <f t="shared" si="98"/>
        <v>43748.926349247682</v>
      </c>
    </row>
    <row r="6306" spans="1:10" x14ac:dyDescent="0.25">
      <c r="A6306" s="5" t="s">
        <v>38249</v>
      </c>
      <c r="B6306" s="6">
        <v>393.75</v>
      </c>
      <c r="C6306" s="6">
        <v>20.478950000000001</v>
      </c>
      <c r="D6306" s="6">
        <v>85</v>
      </c>
      <c r="E6306" s="6">
        <v>0</v>
      </c>
      <c r="F6306" s="6">
        <v>0</v>
      </c>
      <c r="G6306" s="6">
        <v>19</v>
      </c>
      <c r="H6306" s="6" t="s">
        <v>38250</v>
      </c>
      <c r="I6306" s="6">
        <v>526.6875</v>
      </c>
      <c r="J6306" s="2">
        <f t="shared" si="98"/>
        <v>43748.926421354168</v>
      </c>
    </row>
    <row r="6307" spans="1:10" x14ac:dyDescent="0.25">
      <c r="A6307" s="7" t="s">
        <v>38251</v>
      </c>
      <c r="B6307" s="8">
        <v>393.75</v>
      </c>
      <c r="C6307" s="8">
        <v>20.478950000000001</v>
      </c>
      <c r="D6307" s="8">
        <v>85</v>
      </c>
      <c r="E6307" s="8">
        <v>0</v>
      </c>
      <c r="F6307" s="8">
        <v>0</v>
      </c>
      <c r="G6307" s="8">
        <v>19</v>
      </c>
      <c r="H6307" s="8" t="s">
        <v>38252</v>
      </c>
      <c r="I6307" s="8">
        <v>526.6875</v>
      </c>
      <c r="J6307" s="3">
        <f t="shared" si="98"/>
        <v>43748.926504768511</v>
      </c>
    </row>
    <row r="6308" spans="1:10" x14ac:dyDescent="0.25">
      <c r="A6308" s="5" t="s">
        <v>38253</v>
      </c>
      <c r="B6308" s="6">
        <v>412.5</v>
      </c>
      <c r="C6308" s="6">
        <v>20.478950000000001</v>
      </c>
      <c r="D6308" s="6">
        <v>85</v>
      </c>
      <c r="E6308" s="6">
        <v>0</v>
      </c>
      <c r="F6308" s="6">
        <v>0</v>
      </c>
      <c r="G6308" s="6">
        <v>23</v>
      </c>
      <c r="H6308" s="6" t="s">
        <v>38254</v>
      </c>
      <c r="I6308" s="6">
        <v>532.3125</v>
      </c>
      <c r="J6308" s="2">
        <f t="shared" si="98"/>
        <v>43748.926575995363</v>
      </c>
    </row>
    <row r="6309" spans="1:10" x14ac:dyDescent="0.25">
      <c r="A6309" s="7" t="s">
        <v>38255</v>
      </c>
      <c r="B6309" s="8">
        <v>393.75</v>
      </c>
      <c r="C6309" s="8">
        <v>20.478950000000001</v>
      </c>
      <c r="D6309" s="8">
        <v>85</v>
      </c>
      <c r="E6309" s="8">
        <v>0</v>
      </c>
      <c r="F6309" s="8">
        <v>0</v>
      </c>
      <c r="G6309" s="8">
        <v>16</v>
      </c>
      <c r="H6309" s="8" t="s">
        <v>38256</v>
      </c>
      <c r="I6309" s="8">
        <v>526.6875</v>
      </c>
      <c r="J6309" s="3">
        <f t="shared" si="98"/>
        <v>43748.926647337961</v>
      </c>
    </row>
    <row r="6310" spans="1:10" x14ac:dyDescent="0.25">
      <c r="A6310" s="5" t="s">
        <v>38257</v>
      </c>
      <c r="B6310" s="6">
        <v>393.75</v>
      </c>
      <c r="C6310" s="6">
        <v>20.478950000000001</v>
      </c>
      <c r="D6310" s="6">
        <v>85</v>
      </c>
      <c r="E6310" s="6">
        <v>0</v>
      </c>
      <c r="F6310" s="6">
        <v>0</v>
      </c>
      <c r="G6310" s="6">
        <v>21</v>
      </c>
      <c r="H6310" s="6" t="s">
        <v>38258</v>
      </c>
      <c r="I6310" s="6">
        <v>526.6875</v>
      </c>
      <c r="J6310" s="2">
        <f t="shared" si="98"/>
        <v>43748.926718692128</v>
      </c>
    </row>
    <row r="6311" spans="1:10" x14ac:dyDescent="0.25">
      <c r="A6311" s="7" t="s">
        <v>38259</v>
      </c>
      <c r="B6311" s="8">
        <v>393.75</v>
      </c>
      <c r="C6311" s="8">
        <v>20.478950000000001</v>
      </c>
      <c r="D6311" s="8">
        <v>87</v>
      </c>
      <c r="E6311" s="8">
        <v>0</v>
      </c>
      <c r="F6311" s="8">
        <v>0</v>
      </c>
      <c r="G6311" s="8">
        <v>8</v>
      </c>
      <c r="H6311" s="8" t="s">
        <v>38260</v>
      </c>
      <c r="I6311" s="8">
        <v>526.6875</v>
      </c>
      <c r="J6311" s="3">
        <f t="shared" si="98"/>
        <v>43748.926790972218</v>
      </c>
    </row>
    <row r="6312" spans="1:10" x14ac:dyDescent="0.25">
      <c r="A6312" s="5" t="s">
        <v>38261</v>
      </c>
      <c r="B6312" s="6">
        <v>393.75</v>
      </c>
      <c r="C6312" s="6">
        <v>20.478950000000001</v>
      </c>
      <c r="D6312" s="6">
        <v>85</v>
      </c>
      <c r="E6312" s="6">
        <v>0</v>
      </c>
      <c r="F6312" s="6">
        <v>0</v>
      </c>
      <c r="G6312" s="6">
        <v>17</v>
      </c>
      <c r="H6312" s="6" t="s">
        <v>38262</v>
      </c>
      <c r="I6312" s="6">
        <v>526.6875</v>
      </c>
      <c r="J6312" s="2">
        <f t="shared" si="98"/>
        <v>43748.926862152774</v>
      </c>
    </row>
    <row r="6313" spans="1:10" x14ac:dyDescent="0.25">
      <c r="A6313" s="7" t="s">
        <v>38263</v>
      </c>
      <c r="B6313" s="8">
        <v>393.75</v>
      </c>
      <c r="C6313" s="8">
        <v>20.478950000000001</v>
      </c>
      <c r="D6313" s="8">
        <v>85</v>
      </c>
      <c r="E6313" s="8">
        <v>0</v>
      </c>
      <c r="F6313" s="8">
        <v>0</v>
      </c>
      <c r="G6313" s="8">
        <v>21</v>
      </c>
      <c r="H6313" s="8" t="s">
        <v>38264</v>
      </c>
      <c r="I6313" s="8">
        <v>526.6875</v>
      </c>
      <c r="J6313" s="3">
        <f t="shared" si="98"/>
        <v>43748.92693439815</v>
      </c>
    </row>
    <row r="6314" spans="1:10" x14ac:dyDescent="0.25">
      <c r="A6314" s="5" t="s">
        <v>38265</v>
      </c>
      <c r="B6314" s="6">
        <v>393.75</v>
      </c>
      <c r="C6314" s="6">
        <v>20.478950000000001</v>
      </c>
      <c r="D6314" s="6">
        <v>84</v>
      </c>
      <c r="E6314" s="6">
        <v>0</v>
      </c>
      <c r="F6314" s="6">
        <v>0</v>
      </c>
      <c r="G6314" s="6">
        <v>17</v>
      </c>
      <c r="H6314" s="6" t="s">
        <v>38266</v>
      </c>
      <c r="I6314" s="6">
        <v>526.6875</v>
      </c>
      <c r="J6314" s="2">
        <f t="shared" si="98"/>
        <v>43748.927005625002</v>
      </c>
    </row>
    <row r="6315" spans="1:10" x14ac:dyDescent="0.25">
      <c r="A6315" s="7" t="s">
        <v>38267</v>
      </c>
      <c r="B6315" s="8">
        <v>393.75</v>
      </c>
      <c r="C6315" s="8">
        <v>20.478950000000001</v>
      </c>
      <c r="D6315" s="8">
        <v>83</v>
      </c>
      <c r="E6315" s="8">
        <v>0</v>
      </c>
      <c r="F6315" s="8">
        <v>0</v>
      </c>
      <c r="G6315" s="8">
        <v>20</v>
      </c>
      <c r="H6315" s="8" t="s">
        <v>38268</v>
      </c>
      <c r="I6315" s="8">
        <v>526.6875</v>
      </c>
      <c r="J6315" s="3">
        <f t="shared" si="98"/>
        <v>43748.927076990738</v>
      </c>
    </row>
    <row r="6316" spans="1:10" x14ac:dyDescent="0.25">
      <c r="A6316" s="5" t="s">
        <v>38269</v>
      </c>
      <c r="B6316" s="6">
        <v>393.75</v>
      </c>
      <c r="C6316" s="6">
        <v>20.478950000000001</v>
      </c>
      <c r="D6316" s="6">
        <v>84</v>
      </c>
      <c r="E6316" s="6">
        <v>0</v>
      </c>
      <c r="F6316" s="6">
        <v>0</v>
      </c>
      <c r="G6316" s="6">
        <v>18</v>
      </c>
      <c r="H6316" s="6" t="s">
        <v>38270</v>
      </c>
      <c r="I6316" s="6">
        <v>526.6875</v>
      </c>
      <c r="J6316" s="2">
        <f t="shared" si="98"/>
        <v>43748.927148472219</v>
      </c>
    </row>
    <row r="6317" spans="1:10" x14ac:dyDescent="0.25">
      <c r="A6317" s="7" t="s">
        <v>38271</v>
      </c>
      <c r="B6317" s="8">
        <v>393.75</v>
      </c>
      <c r="C6317" s="8">
        <v>20.478950000000001</v>
      </c>
      <c r="D6317" s="8">
        <v>83</v>
      </c>
      <c r="E6317" s="8">
        <v>0</v>
      </c>
      <c r="F6317" s="8">
        <v>0</v>
      </c>
      <c r="G6317" s="8">
        <v>17</v>
      </c>
      <c r="H6317" s="8" t="s">
        <v>38272</v>
      </c>
      <c r="I6317" s="8">
        <v>526.6875</v>
      </c>
      <c r="J6317" s="3">
        <f t="shared" si="98"/>
        <v>43748.927220486112</v>
      </c>
    </row>
    <row r="6318" spans="1:10" x14ac:dyDescent="0.25">
      <c r="A6318" s="5" t="s">
        <v>38273</v>
      </c>
      <c r="B6318" s="6">
        <v>393.75</v>
      </c>
      <c r="C6318" s="6">
        <v>20.478950000000001</v>
      </c>
      <c r="D6318" s="6">
        <v>82</v>
      </c>
      <c r="E6318" s="6">
        <v>0</v>
      </c>
      <c r="F6318" s="6">
        <v>0</v>
      </c>
      <c r="G6318" s="6">
        <v>16</v>
      </c>
      <c r="H6318" s="6" t="s">
        <v>38274</v>
      </c>
      <c r="I6318" s="6">
        <v>526.6875</v>
      </c>
      <c r="J6318" s="2">
        <f t="shared" si="98"/>
        <v>43748.927318020833</v>
      </c>
    </row>
    <row r="6319" spans="1:10" x14ac:dyDescent="0.25">
      <c r="A6319" s="7" t="s">
        <v>38275</v>
      </c>
      <c r="B6319" s="8">
        <v>412.5</v>
      </c>
      <c r="C6319" s="8">
        <v>20.478950000000001</v>
      </c>
      <c r="D6319" s="8">
        <v>82</v>
      </c>
      <c r="E6319" s="8">
        <v>0</v>
      </c>
      <c r="F6319" s="8">
        <v>0</v>
      </c>
      <c r="G6319" s="8">
        <v>14</v>
      </c>
      <c r="H6319" s="8" t="s">
        <v>38276</v>
      </c>
      <c r="I6319" s="8">
        <v>532.3125</v>
      </c>
      <c r="J6319" s="3">
        <f t="shared" si="98"/>
        <v>43748.927399224536</v>
      </c>
    </row>
    <row r="6320" spans="1:10" x14ac:dyDescent="0.25">
      <c r="A6320" s="5" t="s">
        <v>38277</v>
      </c>
      <c r="B6320" s="6">
        <v>393.75</v>
      </c>
      <c r="C6320" s="6">
        <v>20.478950000000001</v>
      </c>
      <c r="D6320" s="6">
        <v>82</v>
      </c>
      <c r="E6320" s="6">
        <v>0</v>
      </c>
      <c r="F6320" s="6">
        <v>0</v>
      </c>
      <c r="G6320" s="6">
        <v>13</v>
      </c>
      <c r="H6320" s="6" t="s">
        <v>38278</v>
      </c>
      <c r="I6320" s="6">
        <v>526.6875</v>
      </c>
      <c r="J6320" s="2">
        <f t="shared" si="98"/>
        <v>43748.927470578703</v>
      </c>
    </row>
    <row r="6321" spans="1:10" x14ac:dyDescent="0.25">
      <c r="A6321" s="7" t="s">
        <v>38279</v>
      </c>
      <c r="B6321" s="8">
        <v>393.75</v>
      </c>
      <c r="C6321" s="8">
        <v>20.478950000000001</v>
      </c>
      <c r="D6321" s="8">
        <v>82</v>
      </c>
      <c r="E6321" s="8">
        <v>0</v>
      </c>
      <c r="F6321" s="8">
        <v>0</v>
      </c>
      <c r="G6321" s="8">
        <v>0</v>
      </c>
      <c r="H6321" s="8" t="s">
        <v>38280</v>
      </c>
      <c r="I6321" s="8">
        <v>526.5</v>
      </c>
      <c r="J6321" s="3">
        <f t="shared" si="98"/>
        <v>43748.927541921294</v>
      </c>
    </row>
    <row r="6322" spans="1:10" x14ac:dyDescent="0.25">
      <c r="A6322" s="5" t="s">
        <v>38281</v>
      </c>
      <c r="B6322" s="6">
        <v>393.75</v>
      </c>
      <c r="C6322" s="6">
        <v>20.478950000000001</v>
      </c>
      <c r="D6322" s="6">
        <v>81</v>
      </c>
      <c r="E6322" s="6">
        <v>0</v>
      </c>
      <c r="F6322" s="6">
        <v>0</v>
      </c>
      <c r="G6322" s="6">
        <v>8</v>
      </c>
      <c r="H6322" s="6" t="s">
        <v>38282</v>
      </c>
      <c r="I6322" s="6">
        <v>526.6875</v>
      </c>
      <c r="J6322" s="2">
        <f t="shared" si="98"/>
        <v>43748.927614108798</v>
      </c>
    </row>
    <row r="6323" spans="1:10" x14ac:dyDescent="0.25">
      <c r="A6323" s="7" t="s">
        <v>38283</v>
      </c>
      <c r="B6323" s="8">
        <v>393.75</v>
      </c>
      <c r="C6323" s="8">
        <v>20.478950000000001</v>
      </c>
      <c r="D6323" s="8">
        <v>81</v>
      </c>
      <c r="E6323" s="8">
        <v>0</v>
      </c>
      <c r="F6323" s="8">
        <v>0</v>
      </c>
      <c r="G6323" s="8">
        <v>12</v>
      </c>
      <c r="H6323" s="8" t="s">
        <v>38284</v>
      </c>
      <c r="I6323" s="8">
        <v>526.6875</v>
      </c>
      <c r="J6323" s="3">
        <f t="shared" si="98"/>
        <v>43748.927685324066</v>
      </c>
    </row>
    <row r="6324" spans="1:10" x14ac:dyDescent="0.25">
      <c r="A6324" s="5" t="s">
        <v>38285</v>
      </c>
      <c r="B6324" s="6">
        <v>393.75</v>
      </c>
      <c r="C6324" s="6">
        <v>20.478950000000001</v>
      </c>
      <c r="D6324" s="6">
        <v>81</v>
      </c>
      <c r="E6324" s="6">
        <v>0</v>
      </c>
      <c r="F6324" s="6">
        <v>0</v>
      </c>
      <c r="G6324" s="6">
        <v>17</v>
      </c>
      <c r="H6324" s="6" t="s">
        <v>38286</v>
      </c>
      <c r="I6324" s="6">
        <v>526.6875</v>
      </c>
      <c r="J6324" s="2">
        <f t="shared" si="98"/>
        <v>43748.927756643512</v>
      </c>
    </row>
    <row r="6325" spans="1:10" x14ac:dyDescent="0.25">
      <c r="A6325" s="7" t="s">
        <v>38287</v>
      </c>
      <c r="B6325" s="8">
        <v>393.75</v>
      </c>
      <c r="C6325" s="8">
        <v>20.478950000000001</v>
      </c>
      <c r="D6325" s="8">
        <v>81</v>
      </c>
      <c r="E6325" s="8">
        <v>0</v>
      </c>
      <c r="F6325" s="8">
        <v>0</v>
      </c>
      <c r="G6325" s="8">
        <v>20</v>
      </c>
      <c r="H6325" s="8" t="s">
        <v>38288</v>
      </c>
      <c r="I6325" s="8">
        <v>526.6875</v>
      </c>
      <c r="J6325" s="3">
        <f t="shared" si="98"/>
        <v>43748.927828877313</v>
      </c>
    </row>
    <row r="6326" spans="1:10" x14ac:dyDescent="0.25">
      <c r="A6326" s="5" t="s">
        <v>38289</v>
      </c>
      <c r="B6326" s="6">
        <v>393.75</v>
      </c>
      <c r="C6326" s="6">
        <v>20.478950000000001</v>
      </c>
      <c r="D6326" s="6">
        <v>81</v>
      </c>
      <c r="E6326" s="6">
        <v>0</v>
      </c>
      <c r="F6326" s="6">
        <v>0</v>
      </c>
      <c r="G6326" s="6">
        <v>18</v>
      </c>
      <c r="H6326" s="6" t="s">
        <v>38290</v>
      </c>
      <c r="I6326" s="6">
        <v>526.6875</v>
      </c>
      <c r="J6326" s="2">
        <f t="shared" si="98"/>
        <v>43748.927900208328</v>
      </c>
    </row>
    <row r="6327" spans="1:10" x14ac:dyDescent="0.25">
      <c r="A6327" s="7" t="s">
        <v>38291</v>
      </c>
      <c r="B6327" s="8">
        <v>412.5</v>
      </c>
      <c r="C6327" s="8">
        <v>20.478950000000001</v>
      </c>
      <c r="D6327" s="8">
        <v>82</v>
      </c>
      <c r="E6327" s="8">
        <v>0</v>
      </c>
      <c r="F6327" s="8">
        <v>0</v>
      </c>
      <c r="G6327" s="8">
        <v>18</v>
      </c>
      <c r="H6327" s="8" t="s">
        <v>38292</v>
      </c>
      <c r="I6327" s="8">
        <v>532.3125</v>
      </c>
      <c r="J6327" s="3">
        <f t="shared" si="98"/>
        <v>43748.927971446756</v>
      </c>
    </row>
    <row r="6328" spans="1:10" x14ac:dyDescent="0.25">
      <c r="A6328" s="5" t="s">
        <v>38293</v>
      </c>
      <c r="B6328" s="6">
        <v>393.75</v>
      </c>
      <c r="C6328" s="6">
        <v>20.478950000000001</v>
      </c>
      <c r="D6328" s="6">
        <v>84</v>
      </c>
      <c r="E6328" s="6">
        <v>0</v>
      </c>
      <c r="F6328" s="6">
        <v>0</v>
      </c>
      <c r="G6328" s="6">
        <v>20</v>
      </c>
      <c r="H6328" s="6" t="s">
        <v>38294</v>
      </c>
      <c r="I6328" s="6">
        <v>526.6875</v>
      </c>
      <c r="J6328" s="2">
        <f t="shared" si="98"/>
        <v>43748.928042858795</v>
      </c>
    </row>
    <row r="6329" spans="1:10" x14ac:dyDescent="0.25">
      <c r="A6329" s="7" t="s">
        <v>38295</v>
      </c>
      <c r="B6329" s="8">
        <v>393.75</v>
      </c>
      <c r="C6329" s="8">
        <v>20.426300000000001</v>
      </c>
      <c r="D6329" s="8">
        <v>83</v>
      </c>
      <c r="E6329" s="8">
        <v>0</v>
      </c>
      <c r="F6329" s="8">
        <v>0</v>
      </c>
      <c r="G6329" s="8">
        <v>19</v>
      </c>
      <c r="H6329" s="8" t="s">
        <v>38296</v>
      </c>
      <c r="I6329" s="8">
        <v>526.6875</v>
      </c>
      <c r="J6329" s="3">
        <f t="shared" si="98"/>
        <v>43748.92813886574</v>
      </c>
    </row>
    <row r="6330" spans="1:10" x14ac:dyDescent="0.25">
      <c r="A6330" s="5" t="s">
        <v>38297</v>
      </c>
      <c r="B6330" s="6">
        <v>393.75</v>
      </c>
      <c r="C6330" s="6">
        <v>20.478950000000001</v>
      </c>
      <c r="D6330" s="6">
        <v>82</v>
      </c>
      <c r="E6330" s="6">
        <v>0</v>
      </c>
      <c r="F6330" s="6">
        <v>0</v>
      </c>
      <c r="G6330" s="6">
        <v>14</v>
      </c>
      <c r="H6330" s="6" t="s">
        <v>38298</v>
      </c>
      <c r="I6330" s="6">
        <v>526.6875</v>
      </c>
      <c r="J6330" s="2">
        <f t="shared" si="98"/>
        <v>43748.928210335645</v>
      </c>
    </row>
    <row r="6331" spans="1:10" x14ac:dyDescent="0.25">
      <c r="A6331" s="7" t="s">
        <v>38299</v>
      </c>
      <c r="B6331" s="8">
        <v>393.75</v>
      </c>
      <c r="C6331" s="8">
        <v>20.478950000000001</v>
      </c>
      <c r="D6331" s="8">
        <v>82</v>
      </c>
      <c r="E6331" s="8">
        <v>0</v>
      </c>
      <c r="F6331" s="8">
        <v>0</v>
      </c>
      <c r="G6331" s="8">
        <v>14</v>
      </c>
      <c r="H6331" s="8" t="s">
        <v>38300</v>
      </c>
      <c r="I6331" s="8">
        <v>526.6875</v>
      </c>
      <c r="J6331" s="3">
        <f t="shared" si="98"/>
        <v>43748.92828162037</v>
      </c>
    </row>
    <row r="6332" spans="1:10" x14ac:dyDescent="0.25">
      <c r="A6332" s="5" t="s">
        <v>38301</v>
      </c>
      <c r="B6332" s="6">
        <v>393.75</v>
      </c>
      <c r="C6332" s="6">
        <v>20.478950000000001</v>
      </c>
      <c r="D6332" s="6">
        <v>82</v>
      </c>
      <c r="E6332" s="6">
        <v>0</v>
      </c>
      <c r="F6332" s="6">
        <v>0</v>
      </c>
      <c r="G6332" s="6">
        <v>12</v>
      </c>
      <c r="H6332" s="6" t="s">
        <v>38302</v>
      </c>
      <c r="I6332" s="6">
        <v>526.6875</v>
      </c>
      <c r="J6332" s="2">
        <f t="shared" si="98"/>
        <v>43748.928376990742</v>
      </c>
    </row>
    <row r="6333" spans="1:10" x14ac:dyDescent="0.25">
      <c r="A6333" s="7" t="s">
        <v>38303</v>
      </c>
      <c r="B6333" s="8">
        <v>393.75</v>
      </c>
      <c r="C6333" s="8">
        <v>20.478950000000001</v>
      </c>
      <c r="D6333" s="8">
        <v>81</v>
      </c>
      <c r="E6333" s="8">
        <v>0</v>
      </c>
      <c r="F6333" s="8">
        <v>0</v>
      </c>
      <c r="G6333" s="8">
        <v>18</v>
      </c>
      <c r="H6333" s="8" t="s">
        <v>38304</v>
      </c>
      <c r="I6333" s="8">
        <v>526.6875</v>
      </c>
      <c r="J6333" s="3">
        <f t="shared" si="98"/>
        <v>43748.928460324074</v>
      </c>
    </row>
    <row r="6334" spans="1:10" x14ac:dyDescent="0.25">
      <c r="A6334" s="5" t="s">
        <v>38305</v>
      </c>
      <c r="B6334" s="6">
        <v>393.75</v>
      </c>
      <c r="C6334" s="6">
        <v>20.478950000000001</v>
      </c>
      <c r="D6334" s="6">
        <v>81</v>
      </c>
      <c r="E6334" s="6">
        <v>0</v>
      </c>
      <c r="F6334" s="6">
        <v>0</v>
      </c>
      <c r="G6334" s="6">
        <v>16</v>
      </c>
      <c r="H6334" s="6" t="s">
        <v>38306</v>
      </c>
      <c r="I6334" s="6">
        <v>526.6875</v>
      </c>
      <c r="J6334" s="2">
        <f t="shared" si="98"/>
        <v>43748.928532384256</v>
      </c>
    </row>
    <row r="6335" spans="1:10" x14ac:dyDescent="0.25">
      <c r="A6335" s="7" t="s">
        <v>38307</v>
      </c>
      <c r="B6335" s="8">
        <v>393.75</v>
      </c>
      <c r="C6335" s="8">
        <v>20.478950000000001</v>
      </c>
      <c r="D6335" s="8">
        <v>78</v>
      </c>
      <c r="E6335" s="8">
        <v>0</v>
      </c>
      <c r="F6335" s="8">
        <v>0</v>
      </c>
      <c r="G6335" s="8">
        <v>21</v>
      </c>
      <c r="H6335" s="8" t="s">
        <v>38308</v>
      </c>
      <c r="I6335" s="8">
        <v>526.6875</v>
      </c>
      <c r="J6335" s="3">
        <f t="shared" si="98"/>
        <v>43748.928627916663</v>
      </c>
    </row>
    <row r="6336" spans="1:10" x14ac:dyDescent="0.25">
      <c r="A6336" s="5" t="s">
        <v>38309</v>
      </c>
      <c r="B6336" s="6">
        <v>393.75</v>
      </c>
      <c r="C6336" s="6">
        <v>20.478950000000001</v>
      </c>
      <c r="D6336" s="6">
        <v>78</v>
      </c>
      <c r="E6336" s="6">
        <v>0</v>
      </c>
      <c r="F6336" s="6">
        <v>0</v>
      </c>
      <c r="G6336" s="6">
        <v>16</v>
      </c>
      <c r="H6336" s="6" t="s">
        <v>38310</v>
      </c>
      <c r="I6336" s="6">
        <v>526.6875</v>
      </c>
      <c r="J6336" s="2">
        <f t="shared" si="98"/>
        <v>43748.92869940972</v>
      </c>
    </row>
    <row r="6337" spans="1:10" x14ac:dyDescent="0.25">
      <c r="A6337" s="7" t="s">
        <v>38311</v>
      </c>
      <c r="B6337" s="8">
        <v>393.75</v>
      </c>
      <c r="C6337" s="8">
        <v>20.478950000000001</v>
      </c>
      <c r="D6337" s="8">
        <v>78</v>
      </c>
      <c r="E6337" s="8">
        <v>0</v>
      </c>
      <c r="F6337" s="8">
        <v>0</v>
      </c>
      <c r="G6337" s="8">
        <v>20</v>
      </c>
      <c r="H6337" s="8" t="s">
        <v>38312</v>
      </c>
      <c r="I6337" s="8">
        <v>526.6875</v>
      </c>
      <c r="J6337" s="3">
        <f t="shared" si="98"/>
        <v>43748.928770532402</v>
      </c>
    </row>
    <row r="6338" spans="1:10" x14ac:dyDescent="0.25">
      <c r="A6338" s="5" t="s">
        <v>38313</v>
      </c>
      <c r="B6338" s="6">
        <v>415.625</v>
      </c>
      <c r="C6338" s="6">
        <v>20.478950000000001</v>
      </c>
      <c r="D6338" s="6">
        <v>78</v>
      </c>
      <c r="E6338" s="6">
        <v>0</v>
      </c>
      <c r="F6338" s="6">
        <v>0</v>
      </c>
      <c r="G6338" s="6">
        <v>20</v>
      </c>
      <c r="H6338" s="6" t="s">
        <v>38314</v>
      </c>
      <c r="I6338" s="6">
        <v>533.8125</v>
      </c>
      <c r="J6338" s="2">
        <f t="shared" ref="J6338:J6401" si="99">(H6338/86400000)+25569+(7/24)</f>
        <v>43748.928842511574</v>
      </c>
    </row>
    <row r="6339" spans="1:10" x14ac:dyDescent="0.25">
      <c r="A6339" s="7" t="s">
        <v>38315</v>
      </c>
      <c r="B6339" s="8">
        <v>393.75</v>
      </c>
      <c r="C6339" s="8">
        <v>20.478950000000001</v>
      </c>
      <c r="D6339" s="8">
        <v>80</v>
      </c>
      <c r="E6339" s="8">
        <v>0</v>
      </c>
      <c r="F6339" s="8">
        <v>0</v>
      </c>
      <c r="G6339" s="8">
        <v>16</v>
      </c>
      <c r="H6339" s="8" t="s">
        <v>38316</v>
      </c>
      <c r="I6339" s="8">
        <v>526.6875</v>
      </c>
      <c r="J6339" s="3">
        <f t="shared" si="99"/>
        <v>43748.928913969903</v>
      </c>
    </row>
    <row r="6340" spans="1:10" x14ac:dyDescent="0.25">
      <c r="A6340" s="5" t="s">
        <v>38317</v>
      </c>
      <c r="B6340" s="6">
        <v>393.75</v>
      </c>
      <c r="C6340" s="6">
        <v>20.478950000000001</v>
      </c>
      <c r="D6340" s="6">
        <v>80</v>
      </c>
      <c r="E6340" s="6">
        <v>0</v>
      </c>
      <c r="F6340" s="6">
        <v>0</v>
      </c>
      <c r="G6340" s="6">
        <v>12</v>
      </c>
      <c r="H6340" s="6" t="s">
        <v>38318</v>
      </c>
      <c r="I6340" s="6">
        <v>526.5</v>
      </c>
      <c r="J6340" s="2">
        <f t="shared" si="99"/>
        <v>43748.928985347222</v>
      </c>
    </row>
    <row r="6341" spans="1:10" x14ac:dyDescent="0.25">
      <c r="A6341" s="7" t="s">
        <v>38319</v>
      </c>
      <c r="B6341" s="8">
        <v>393.75</v>
      </c>
      <c r="C6341" s="8">
        <v>20.478950000000001</v>
      </c>
      <c r="D6341" s="8">
        <v>81</v>
      </c>
      <c r="E6341" s="8">
        <v>0</v>
      </c>
      <c r="F6341" s="8">
        <v>0</v>
      </c>
      <c r="G6341" s="8">
        <v>14</v>
      </c>
      <c r="H6341" s="8" t="s">
        <v>38320</v>
      </c>
      <c r="I6341" s="8">
        <v>526.5</v>
      </c>
      <c r="J6341" s="3">
        <f t="shared" si="99"/>
        <v>43748.929056562498</v>
      </c>
    </row>
    <row r="6342" spans="1:10" x14ac:dyDescent="0.25">
      <c r="A6342" s="5" t="s">
        <v>38321</v>
      </c>
      <c r="B6342" s="6">
        <v>393.75</v>
      </c>
      <c r="C6342" s="6">
        <v>20.478950000000001</v>
      </c>
      <c r="D6342" s="6">
        <v>81</v>
      </c>
      <c r="E6342" s="6">
        <v>0</v>
      </c>
      <c r="F6342" s="6">
        <v>0</v>
      </c>
      <c r="G6342" s="6">
        <v>15</v>
      </c>
      <c r="H6342" s="6" t="s">
        <v>38322</v>
      </c>
      <c r="I6342" s="6">
        <v>526.6875</v>
      </c>
      <c r="J6342" s="2">
        <f t="shared" si="99"/>
        <v>43748.929128912037</v>
      </c>
    </row>
    <row r="6343" spans="1:10" x14ac:dyDescent="0.25">
      <c r="A6343" s="7" t="s">
        <v>38323</v>
      </c>
      <c r="B6343" s="8">
        <v>393.75</v>
      </c>
      <c r="C6343" s="8">
        <v>20.478950000000001</v>
      </c>
      <c r="D6343" s="8">
        <v>80</v>
      </c>
      <c r="E6343" s="8">
        <v>0</v>
      </c>
      <c r="F6343" s="8">
        <v>0</v>
      </c>
      <c r="G6343" s="8">
        <v>20</v>
      </c>
      <c r="H6343" s="8" t="s">
        <v>38324</v>
      </c>
      <c r="I6343" s="8">
        <v>526.6875</v>
      </c>
      <c r="J6343" s="3">
        <f t="shared" si="99"/>
        <v>43748.929200162034</v>
      </c>
    </row>
    <row r="6344" spans="1:10" x14ac:dyDescent="0.25">
      <c r="A6344" s="5" t="s">
        <v>38325</v>
      </c>
      <c r="B6344" s="6">
        <v>393.75</v>
      </c>
      <c r="C6344" s="6">
        <v>20.426300000000001</v>
      </c>
      <c r="D6344" s="6">
        <v>81</v>
      </c>
      <c r="E6344" s="6">
        <v>0</v>
      </c>
      <c r="F6344" s="6">
        <v>0</v>
      </c>
      <c r="G6344" s="6">
        <v>13</v>
      </c>
      <c r="H6344" s="6" t="s">
        <v>38326</v>
      </c>
      <c r="I6344" s="6">
        <v>526.6875</v>
      </c>
      <c r="J6344" s="2">
        <f t="shared" si="99"/>
        <v>43748.929271458335</v>
      </c>
    </row>
    <row r="6345" spans="1:10" x14ac:dyDescent="0.25">
      <c r="A6345" s="7" t="s">
        <v>38327</v>
      </c>
      <c r="B6345" s="8">
        <v>393.75</v>
      </c>
      <c r="C6345" s="8">
        <v>20.478950000000001</v>
      </c>
      <c r="D6345" s="8">
        <v>81</v>
      </c>
      <c r="E6345" s="8">
        <v>0</v>
      </c>
      <c r="F6345" s="8">
        <v>0</v>
      </c>
      <c r="G6345" s="8">
        <v>14</v>
      </c>
      <c r="H6345" s="8" t="s">
        <v>38328</v>
      </c>
      <c r="I6345" s="8">
        <v>526.6875</v>
      </c>
      <c r="J6345" s="3">
        <f t="shared" si="99"/>
        <v>43748.929343495365</v>
      </c>
    </row>
    <row r="6346" spans="1:10" x14ac:dyDescent="0.25">
      <c r="A6346" s="5" t="s">
        <v>38329</v>
      </c>
      <c r="B6346" s="6">
        <v>393.75</v>
      </c>
      <c r="C6346" s="6">
        <v>20.478950000000001</v>
      </c>
      <c r="D6346" s="6">
        <v>80</v>
      </c>
      <c r="E6346" s="6">
        <v>0</v>
      </c>
      <c r="F6346" s="6">
        <v>0</v>
      </c>
      <c r="G6346" s="6">
        <v>18</v>
      </c>
      <c r="H6346" s="6" t="s">
        <v>38330</v>
      </c>
      <c r="I6346" s="6">
        <v>526.6875</v>
      </c>
      <c r="J6346" s="2">
        <f t="shared" si="99"/>
        <v>43748.929415011567</v>
      </c>
    </row>
    <row r="6347" spans="1:10" x14ac:dyDescent="0.25">
      <c r="A6347" s="7" t="s">
        <v>38331</v>
      </c>
      <c r="B6347" s="8">
        <v>412.5</v>
      </c>
      <c r="C6347" s="8">
        <v>20.478950000000001</v>
      </c>
      <c r="D6347" s="8">
        <v>80</v>
      </c>
      <c r="E6347" s="8">
        <v>0</v>
      </c>
      <c r="F6347" s="8">
        <v>0</v>
      </c>
      <c r="G6347" s="8">
        <v>17</v>
      </c>
      <c r="H6347" s="8" t="s">
        <v>38332</v>
      </c>
      <c r="I6347" s="8">
        <v>532.3125</v>
      </c>
      <c r="J6347" s="3">
        <f t="shared" si="99"/>
        <v>43748.929486284724</v>
      </c>
    </row>
    <row r="6348" spans="1:10" x14ac:dyDescent="0.25">
      <c r="A6348" s="5" t="s">
        <v>38333</v>
      </c>
      <c r="B6348" s="6">
        <v>393.75</v>
      </c>
      <c r="C6348" s="6">
        <v>20.478950000000001</v>
      </c>
      <c r="D6348" s="6">
        <v>80</v>
      </c>
      <c r="E6348" s="6">
        <v>0</v>
      </c>
      <c r="F6348" s="6">
        <v>0</v>
      </c>
      <c r="G6348" s="6">
        <v>24</v>
      </c>
      <c r="H6348" s="6" t="s">
        <v>38334</v>
      </c>
      <c r="I6348" s="6">
        <v>526.6875</v>
      </c>
      <c r="J6348" s="2">
        <f t="shared" si="99"/>
        <v>43748.929557546297</v>
      </c>
    </row>
    <row r="6349" spans="1:10" x14ac:dyDescent="0.25">
      <c r="A6349" s="7" t="s">
        <v>38335</v>
      </c>
      <c r="B6349" s="8">
        <v>393.75</v>
      </c>
      <c r="C6349" s="8">
        <v>20.478950000000001</v>
      </c>
      <c r="D6349" s="8">
        <v>80</v>
      </c>
      <c r="E6349" s="8">
        <v>0</v>
      </c>
      <c r="F6349" s="8">
        <v>0</v>
      </c>
      <c r="G6349" s="8">
        <v>18</v>
      </c>
      <c r="H6349" s="8" t="s">
        <v>38336</v>
      </c>
      <c r="I6349" s="8">
        <v>526.6875</v>
      </c>
      <c r="J6349" s="3">
        <f t="shared" si="99"/>
        <v>43748.929629768514</v>
      </c>
    </row>
    <row r="6350" spans="1:10" x14ac:dyDescent="0.25">
      <c r="A6350" s="5" t="s">
        <v>38337</v>
      </c>
      <c r="B6350" s="6">
        <v>393.75</v>
      </c>
      <c r="C6350" s="6">
        <v>20.478950000000001</v>
      </c>
      <c r="D6350" s="6">
        <v>80</v>
      </c>
      <c r="E6350" s="6">
        <v>0</v>
      </c>
      <c r="F6350" s="6">
        <v>0</v>
      </c>
      <c r="G6350" s="6">
        <v>17</v>
      </c>
      <c r="H6350" s="6" t="s">
        <v>38338</v>
      </c>
      <c r="I6350" s="6">
        <v>526.6875</v>
      </c>
      <c r="J6350" s="2">
        <f t="shared" si="99"/>
        <v>43748.92970030092</v>
      </c>
    </row>
    <row r="6351" spans="1:10" x14ac:dyDescent="0.25">
      <c r="A6351" s="7" t="s">
        <v>38339</v>
      </c>
      <c r="B6351" s="8">
        <v>434.375</v>
      </c>
      <c r="C6351" s="8">
        <v>20.478950000000001</v>
      </c>
      <c r="D6351" s="8">
        <v>80</v>
      </c>
      <c r="E6351" s="8">
        <v>0</v>
      </c>
      <c r="F6351" s="8">
        <v>0</v>
      </c>
      <c r="G6351" s="8">
        <v>18</v>
      </c>
      <c r="H6351" s="8" t="s">
        <v>38340</v>
      </c>
      <c r="I6351" s="8">
        <v>539.8125</v>
      </c>
      <c r="J6351" s="3">
        <f t="shared" si="99"/>
        <v>43748.929772361109</v>
      </c>
    </row>
    <row r="6352" spans="1:10" x14ac:dyDescent="0.25">
      <c r="A6352" s="5" t="s">
        <v>38341</v>
      </c>
      <c r="B6352" s="6">
        <v>393.75</v>
      </c>
      <c r="C6352" s="6">
        <v>20.478950000000001</v>
      </c>
      <c r="D6352" s="6">
        <v>80</v>
      </c>
      <c r="E6352" s="6">
        <v>0</v>
      </c>
      <c r="F6352" s="6">
        <v>0</v>
      </c>
      <c r="G6352" s="6">
        <v>16</v>
      </c>
      <c r="H6352" s="6" t="s">
        <v>38342</v>
      </c>
      <c r="I6352" s="6">
        <v>526.6875</v>
      </c>
      <c r="J6352" s="2">
        <f t="shared" si="99"/>
        <v>43748.929867800922</v>
      </c>
    </row>
    <row r="6353" spans="1:10" x14ac:dyDescent="0.25">
      <c r="A6353" s="7" t="s">
        <v>38343</v>
      </c>
      <c r="B6353" s="8">
        <v>393.75</v>
      </c>
      <c r="C6353" s="8">
        <v>20.478950000000001</v>
      </c>
      <c r="D6353" s="8">
        <v>79</v>
      </c>
      <c r="E6353" s="8">
        <v>0</v>
      </c>
      <c r="F6353" s="8">
        <v>0</v>
      </c>
      <c r="G6353" s="8">
        <v>14</v>
      </c>
      <c r="H6353" s="8" t="s">
        <v>38344</v>
      </c>
      <c r="I6353" s="8">
        <v>526.6875</v>
      </c>
      <c r="J6353" s="3">
        <f t="shared" si="99"/>
        <v>43748.929939803238</v>
      </c>
    </row>
    <row r="6354" spans="1:10" x14ac:dyDescent="0.25">
      <c r="A6354" s="5" t="s">
        <v>38345</v>
      </c>
      <c r="B6354" s="6">
        <v>393.75</v>
      </c>
      <c r="C6354" s="6">
        <v>20.478950000000001</v>
      </c>
      <c r="D6354" s="6">
        <v>80</v>
      </c>
      <c r="E6354" s="6">
        <v>0</v>
      </c>
      <c r="F6354" s="6">
        <v>0</v>
      </c>
      <c r="G6354" s="6">
        <v>18</v>
      </c>
      <c r="H6354" s="6" t="s">
        <v>38346</v>
      </c>
      <c r="I6354" s="6">
        <v>526.6875</v>
      </c>
      <c r="J6354" s="2">
        <f t="shared" si="99"/>
        <v>43748.93001131944</v>
      </c>
    </row>
    <row r="6355" spans="1:10" x14ac:dyDescent="0.25">
      <c r="A6355" s="7" t="s">
        <v>38347</v>
      </c>
      <c r="B6355" s="8">
        <v>393.75</v>
      </c>
      <c r="C6355" s="8">
        <v>20.478950000000001</v>
      </c>
      <c r="D6355" s="8">
        <v>80</v>
      </c>
      <c r="E6355" s="8">
        <v>0</v>
      </c>
      <c r="F6355" s="8">
        <v>0</v>
      </c>
      <c r="G6355" s="8">
        <v>15</v>
      </c>
      <c r="H6355" s="8" t="s">
        <v>38348</v>
      </c>
      <c r="I6355" s="8">
        <v>526.6875</v>
      </c>
      <c r="J6355" s="3">
        <f t="shared" si="99"/>
        <v>43748.930082615734</v>
      </c>
    </row>
    <row r="6356" spans="1:10" x14ac:dyDescent="0.25">
      <c r="A6356" s="5" t="s">
        <v>38349</v>
      </c>
      <c r="B6356" s="6">
        <v>393.75</v>
      </c>
      <c r="C6356" s="6">
        <v>20.478950000000001</v>
      </c>
      <c r="D6356" s="6">
        <v>80</v>
      </c>
      <c r="E6356" s="6">
        <v>0</v>
      </c>
      <c r="F6356" s="6">
        <v>0</v>
      </c>
      <c r="G6356" s="6">
        <v>12</v>
      </c>
      <c r="H6356" s="6" t="s">
        <v>38350</v>
      </c>
      <c r="I6356" s="6">
        <v>526.6875</v>
      </c>
      <c r="J6356" s="2">
        <f t="shared" si="99"/>
        <v>43748.930165949067</v>
      </c>
    </row>
    <row r="6357" spans="1:10" x14ac:dyDescent="0.25">
      <c r="A6357" s="7" t="s">
        <v>38351</v>
      </c>
      <c r="B6357" s="8">
        <v>425</v>
      </c>
      <c r="C6357" s="8">
        <v>20.478950000000001</v>
      </c>
      <c r="D6357" s="8">
        <v>80</v>
      </c>
      <c r="E6357" s="8">
        <v>0</v>
      </c>
      <c r="F6357" s="8">
        <v>0</v>
      </c>
      <c r="G6357" s="8">
        <v>15</v>
      </c>
      <c r="H6357" s="8" t="s">
        <v>38352</v>
      </c>
      <c r="I6357" s="8">
        <v>536.8125</v>
      </c>
      <c r="J6357" s="3">
        <f t="shared" si="99"/>
        <v>43748.93024736111</v>
      </c>
    </row>
    <row r="6358" spans="1:10" x14ac:dyDescent="0.25">
      <c r="A6358" s="5" t="s">
        <v>38353</v>
      </c>
      <c r="B6358" s="6">
        <v>393.75</v>
      </c>
      <c r="C6358" s="6">
        <v>20.478950000000001</v>
      </c>
      <c r="D6358" s="6">
        <v>81</v>
      </c>
      <c r="E6358" s="6">
        <v>0</v>
      </c>
      <c r="F6358" s="6">
        <v>0</v>
      </c>
      <c r="G6358" s="6">
        <v>17</v>
      </c>
      <c r="H6358" s="6" t="s">
        <v>38354</v>
      </c>
      <c r="I6358" s="6">
        <v>526.6875</v>
      </c>
      <c r="J6358" s="2">
        <f t="shared" si="99"/>
        <v>43748.930321400461</v>
      </c>
    </row>
    <row r="6359" spans="1:10" x14ac:dyDescent="0.25">
      <c r="A6359" s="7" t="s">
        <v>38355</v>
      </c>
      <c r="B6359" s="8">
        <v>393.75</v>
      </c>
      <c r="C6359" s="8">
        <v>20.478950000000001</v>
      </c>
      <c r="D6359" s="8">
        <v>81</v>
      </c>
      <c r="E6359" s="8">
        <v>0</v>
      </c>
      <c r="F6359" s="8">
        <v>0</v>
      </c>
      <c r="G6359" s="8">
        <v>16</v>
      </c>
      <c r="H6359" s="8" t="s">
        <v>38356</v>
      </c>
      <c r="I6359" s="8">
        <v>526.6875</v>
      </c>
      <c r="J6359" s="3">
        <f t="shared" si="99"/>
        <v>43748.930405601852</v>
      </c>
    </row>
    <row r="6360" spans="1:10" x14ac:dyDescent="0.25">
      <c r="A6360" s="5" t="s">
        <v>38357</v>
      </c>
      <c r="B6360" s="6">
        <v>393.75</v>
      </c>
      <c r="C6360" s="6">
        <v>20.478950000000001</v>
      </c>
      <c r="D6360" s="6">
        <v>82</v>
      </c>
      <c r="E6360" s="6">
        <v>0</v>
      </c>
      <c r="F6360" s="6">
        <v>0</v>
      </c>
      <c r="G6360" s="6">
        <v>21</v>
      </c>
      <c r="H6360" s="6" t="s">
        <v>38358</v>
      </c>
      <c r="I6360" s="6">
        <v>526.6875</v>
      </c>
      <c r="J6360" s="2">
        <f t="shared" si="99"/>
        <v>43748.930476134257</v>
      </c>
    </row>
    <row r="6361" spans="1:10" x14ac:dyDescent="0.25">
      <c r="A6361" s="7" t="s">
        <v>38359</v>
      </c>
      <c r="B6361" s="8">
        <v>393.75</v>
      </c>
      <c r="C6361" s="8">
        <v>20.478950000000001</v>
      </c>
      <c r="D6361" s="8">
        <v>83</v>
      </c>
      <c r="E6361" s="8">
        <v>0</v>
      </c>
      <c r="F6361" s="8">
        <v>0</v>
      </c>
      <c r="G6361" s="8">
        <v>13</v>
      </c>
      <c r="H6361" s="8" t="s">
        <v>38360</v>
      </c>
      <c r="I6361" s="8">
        <v>526.6875</v>
      </c>
      <c r="J6361" s="3">
        <f t="shared" si="99"/>
        <v>43748.930547442127</v>
      </c>
    </row>
    <row r="6362" spans="1:10" x14ac:dyDescent="0.25">
      <c r="A6362" s="5" t="s">
        <v>38361</v>
      </c>
      <c r="B6362" s="6">
        <v>393.75</v>
      </c>
      <c r="C6362" s="6">
        <v>20.478950000000001</v>
      </c>
      <c r="D6362" s="6">
        <v>90</v>
      </c>
      <c r="E6362" s="6">
        <v>0</v>
      </c>
      <c r="F6362" s="6">
        <v>0</v>
      </c>
      <c r="G6362" s="6">
        <v>24</v>
      </c>
      <c r="H6362" s="6" t="s">
        <v>38362</v>
      </c>
      <c r="I6362" s="6">
        <v>526.6875</v>
      </c>
      <c r="J6362" s="2">
        <f t="shared" si="99"/>
        <v>43748.930619664352</v>
      </c>
    </row>
    <row r="6363" spans="1:10" x14ac:dyDescent="0.25">
      <c r="A6363" s="7" t="s">
        <v>38363</v>
      </c>
      <c r="B6363" s="8">
        <v>393.75</v>
      </c>
      <c r="C6363" s="8">
        <v>20.478950000000001</v>
      </c>
      <c r="D6363" s="8">
        <v>91</v>
      </c>
      <c r="E6363" s="8">
        <v>0</v>
      </c>
      <c r="F6363" s="8">
        <v>0</v>
      </c>
      <c r="G6363" s="8">
        <v>11</v>
      </c>
      <c r="H6363" s="8" t="s">
        <v>38364</v>
      </c>
      <c r="I6363" s="8">
        <v>526.6875</v>
      </c>
      <c r="J6363" s="3">
        <f t="shared" si="99"/>
        <v>43748.930690902773</v>
      </c>
    </row>
    <row r="6364" spans="1:10" x14ac:dyDescent="0.25">
      <c r="A6364" s="5" t="s">
        <v>38365</v>
      </c>
      <c r="B6364" s="6">
        <v>412.5</v>
      </c>
      <c r="C6364" s="6">
        <v>20.478950000000001</v>
      </c>
      <c r="D6364" s="6">
        <v>84</v>
      </c>
      <c r="E6364" s="6">
        <v>0</v>
      </c>
      <c r="F6364" s="6">
        <v>0</v>
      </c>
      <c r="G6364" s="6">
        <v>19</v>
      </c>
      <c r="H6364" s="6" t="s">
        <v>38366</v>
      </c>
      <c r="I6364" s="6">
        <v>532.875</v>
      </c>
      <c r="J6364" s="2">
        <f t="shared" si="99"/>
        <v>43748.930762245371</v>
      </c>
    </row>
    <row r="6365" spans="1:10" x14ac:dyDescent="0.25">
      <c r="A6365" s="7" t="s">
        <v>38367</v>
      </c>
      <c r="B6365" s="8">
        <v>393.75</v>
      </c>
      <c r="C6365" s="8">
        <v>20.478950000000001</v>
      </c>
      <c r="D6365" s="8">
        <v>83</v>
      </c>
      <c r="E6365" s="8">
        <v>0</v>
      </c>
      <c r="F6365" s="8">
        <v>0</v>
      </c>
      <c r="G6365" s="8">
        <v>21</v>
      </c>
      <c r="H6365" s="8" t="s">
        <v>38368</v>
      </c>
      <c r="I6365" s="8">
        <v>526.6875</v>
      </c>
      <c r="J6365" s="3">
        <f t="shared" si="99"/>
        <v>43748.930834236111</v>
      </c>
    </row>
    <row r="6366" spans="1:10" x14ac:dyDescent="0.25">
      <c r="A6366" s="5" t="s">
        <v>38369</v>
      </c>
      <c r="B6366" s="6">
        <v>393.75</v>
      </c>
      <c r="C6366" s="6">
        <v>20.478950000000001</v>
      </c>
      <c r="D6366" s="6">
        <v>83</v>
      </c>
      <c r="E6366" s="6">
        <v>0</v>
      </c>
      <c r="F6366" s="6">
        <v>0</v>
      </c>
      <c r="G6366" s="6">
        <v>11</v>
      </c>
      <c r="H6366" s="6" t="s">
        <v>38370</v>
      </c>
      <c r="I6366" s="6">
        <v>526.6875</v>
      </c>
      <c r="J6366" s="2">
        <f t="shared" si="99"/>
        <v>43748.930905775465</v>
      </c>
    </row>
    <row r="6367" spans="1:10" x14ac:dyDescent="0.25">
      <c r="A6367" s="7" t="s">
        <v>38371</v>
      </c>
      <c r="B6367" s="8">
        <v>393.75</v>
      </c>
      <c r="C6367" s="8">
        <v>20.478950000000001</v>
      </c>
      <c r="D6367" s="8">
        <v>83</v>
      </c>
      <c r="E6367" s="8">
        <v>0</v>
      </c>
      <c r="F6367" s="8">
        <v>0</v>
      </c>
      <c r="G6367" s="8">
        <v>15</v>
      </c>
      <c r="H6367" s="8" t="s">
        <v>38372</v>
      </c>
      <c r="I6367" s="8">
        <v>526.5</v>
      </c>
      <c r="J6367" s="3">
        <f t="shared" si="99"/>
        <v>43748.930977060183</v>
      </c>
    </row>
    <row r="6368" spans="1:10" x14ac:dyDescent="0.25">
      <c r="A6368" s="5" t="s">
        <v>38373</v>
      </c>
      <c r="B6368" s="6">
        <v>393.75</v>
      </c>
      <c r="C6368" s="6">
        <v>20.478950000000001</v>
      </c>
      <c r="D6368" s="6">
        <v>83</v>
      </c>
      <c r="E6368" s="6">
        <v>0</v>
      </c>
      <c r="F6368" s="6">
        <v>0</v>
      </c>
      <c r="G6368" s="6">
        <v>14</v>
      </c>
      <c r="H6368" s="6" t="s">
        <v>38374</v>
      </c>
      <c r="I6368" s="6">
        <v>526.6875</v>
      </c>
      <c r="J6368" s="2">
        <f t="shared" si="99"/>
        <v>43748.931048356484</v>
      </c>
    </row>
    <row r="6369" spans="1:10" x14ac:dyDescent="0.25">
      <c r="A6369" s="7" t="s">
        <v>38375</v>
      </c>
      <c r="B6369" s="8">
        <v>393.75</v>
      </c>
      <c r="C6369" s="8">
        <v>20.478950000000001</v>
      </c>
      <c r="D6369" s="8">
        <v>82</v>
      </c>
      <c r="E6369" s="8">
        <v>0</v>
      </c>
      <c r="F6369" s="8">
        <v>0</v>
      </c>
      <c r="G6369" s="8">
        <v>2</v>
      </c>
      <c r="H6369" s="8" t="s">
        <v>38376</v>
      </c>
      <c r="I6369" s="8">
        <v>526.6875</v>
      </c>
      <c r="J6369" s="3">
        <f t="shared" si="99"/>
        <v>43748.931143749993</v>
      </c>
    </row>
    <row r="6370" spans="1:10" x14ac:dyDescent="0.25">
      <c r="A6370" s="5" t="s">
        <v>38377</v>
      </c>
      <c r="B6370" s="6">
        <v>393.75</v>
      </c>
      <c r="C6370" s="6">
        <v>20.478950000000001</v>
      </c>
      <c r="D6370" s="6">
        <v>83</v>
      </c>
      <c r="E6370" s="6">
        <v>0</v>
      </c>
      <c r="F6370" s="6">
        <v>0</v>
      </c>
      <c r="G6370" s="6">
        <v>21</v>
      </c>
      <c r="H6370" s="6" t="s">
        <v>38378</v>
      </c>
      <c r="I6370" s="6">
        <v>526.6875</v>
      </c>
      <c r="J6370" s="2">
        <f t="shared" si="99"/>
        <v>43748.931216006946</v>
      </c>
    </row>
    <row r="6371" spans="1:10" x14ac:dyDescent="0.25">
      <c r="A6371" s="7" t="s">
        <v>38379</v>
      </c>
      <c r="B6371" s="8">
        <v>412.5</v>
      </c>
      <c r="C6371" s="8">
        <v>20.478950000000001</v>
      </c>
      <c r="D6371" s="8">
        <v>83</v>
      </c>
      <c r="E6371" s="8">
        <v>0</v>
      </c>
      <c r="F6371" s="8">
        <v>0</v>
      </c>
      <c r="G6371" s="8">
        <v>16</v>
      </c>
      <c r="H6371" s="8" t="s">
        <v>38380</v>
      </c>
      <c r="I6371" s="8">
        <v>532.3125</v>
      </c>
      <c r="J6371" s="3">
        <f t="shared" si="99"/>
        <v>43748.931287245367</v>
      </c>
    </row>
    <row r="6372" spans="1:10" x14ac:dyDescent="0.25">
      <c r="A6372" s="5" t="s">
        <v>38381</v>
      </c>
      <c r="B6372" s="6">
        <v>393.75</v>
      </c>
      <c r="C6372" s="6">
        <v>20.478950000000001</v>
      </c>
      <c r="D6372" s="6">
        <v>83</v>
      </c>
      <c r="E6372" s="6">
        <v>0</v>
      </c>
      <c r="F6372" s="6">
        <v>0</v>
      </c>
      <c r="G6372" s="6">
        <v>21</v>
      </c>
      <c r="H6372" s="6" t="s">
        <v>38382</v>
      </c>
      <c r="I6372" s="6">
        <v>526.5</v>
      </c>
      <c r="J6372" s="2">
        <f t="shared" si="99"/>
        <v>43748.931358530092</v>
      </c>
    </row>
    <row r="6373" spans="1:10" x14ac:dyDescent="0.25">
      <c r="A6373" s="7" t="s">
        <v>38383</v>
      </c>
      <c r="B6373" s="8">
        <v>393.75</v>
      </c>
      <c r="C6373" s="8">
        <v>20.478950000000001</v>
      </c>
      <c r="D6373" s="8">
        <v>83</v>
      </c>
      <c r="E6373" s="8">
        <v>0</v>
      </c>
      <c r="F6373" s="8">
        <v>0</v>
      </c>
      <c r="G6373" s="8">
        <v>21</v>
      </c>
      <c r="H6373" s="8" t="s">
        <v>38384</v>
      </c>
      <c r="I6373" s="8">
        <v>526.6875</v>
      </c>
      <c r="J6373" s="3">
        <f t="shared" si="99"/>
        <v>43748.931430543984</v>
      </c>
    </row>
    <row r="6374" spans="1:10" x14ac:dyDescent="0.25">
      <c r="A6374" s="5" t="s">
        <v>38385</v>
      </c>
      <c r="B6374" s="6">
        <v>393.75</v>
      </c>
      <c r="C6374" s="6">
        <v>20.478950000000001</v>
      </c>
      <c r="D6374" s="6">
        <v>83</v>
      </c>
      <c r="E6374" s="6">
        <v>0</v>
      </c>
      <c r="F6374" s="6">
        <v>0</v>
      </c>
      <c r="G6374" s="6">
        <v>19</v>
      </c>
      <c r="H6374" s="6" t="s">
        <v>38386</v>
      </c>
      <c r="I6374" s="6">
        <v>526.6875</v>
      </c>
      <c r="J6374" s="2">
        <f t="shared" si="99"/>
        <v>43748.931501261577</v>
      </c>
    </row>
    <row r="6375" spans="1:10" x14ac:dyDescent="0.25">
      <c r="A6375" s="7" t="s">
        <v>38387</v>
      </c>
      <c r="B6375" s="8">
        <v>393.75</v>
      </c>
      <c r="C6375" s="8">
        <v>20.478950000000001</v>
      </c>
      <c r="D6375" s="8">
        <v>84</v>
      </c>
      <c r="E6375" s="8">
        <v>0</v>
      </c>
      <c r="F6375" s="8">
        <v>0</v>
      </c>
      <c r="G6375" s="8">
        <v>17</v>
      </c>
      <c r="H6375" s="8" t="s">
        <v>38388</v>
      </c>
      <c r="I6375" s="8">
        <v>526.6875</v>
      </c>
      <c r="J6375" s="3">
        <f t="shared" si="99"/>
        <v>43748.931573344904</v>
      </c>
    </row>
    <row r="6376" spans="1:10" x14ac:dyDescent="0.25">
      <c r="A6376" s="5" t="s">
        <v>38389</v>
      </c>
      <c r="B6376" s="6">
        <v>393.75</v>
      </c>
      <c r="C6376" s="6">
        <v>20.478950000000001</v>
      </c>
      <c r="D6376" s="6">
        <v>85</v>
      </c>
      <c r="E6376" s="6">
        <v>0</v>
      </c>
      <c r="F6376" s="6">
        <v>0</v>
      </c>
      <c r="G6376" s="6">
        <v>26</v>
      </c>
      <c r="H6376" s="6" t="s">
        <v>38390</v>
      </c>
      <c r="I6376" s="6">
        <v>526.6875</v>
      </c>
      <c r="J6376" s="2">
        <f t="shared" si="99"/>
        <v>43748.93164466435</v>
      </c>
    </row>
    <row r="6377" spans="1:10" x14ac:dyDescent="0.25">
      <c r="A6377" s="7" t="s">
        <v>38391</v>
      </c>
      <c r="B6377" s="8">
        <v>393.75</v>
      </c>
      <c r="C6377" s="8">
        <v>20.478950000000001</v>
      </c>
      <c r="D6377" s="8">
        <v>85</v>
      </c>
      <c r="E6377" s="8">
        <v>0</v>
      </c>
      <c r="F6377" s="8">
        <v>0</v>
      </c>
      <c r="G6377" s="8">
        <v>15</v>
      </c>
      <c r="H6377" s="8" t="s">
        <v>38392</v>
      </c>
      <c r="I6377" s="8">
        <v>526.6875</v>
      </c>
      <c r="J6377" s="3">
        <f t="shared" si="99"/>
        <v>43748.931715960651</v>
      </c>
    </row>
    <row r="6378" spans="1:10" x14ac:dyDescent="0.25">
      <c r="A6378" s="5" t="s">
        <v>38393</v>
      </c>
      <c r="B6378" s="6">
        <v>393.75</v>
      </c>
      <c r="C6378" s="6">
        <v>20.478950000000001</v>
      </c>
      <c r="D6378" s="6">
        <v>85</v>
      </c>
      <c r="E6378" s="6">
        <v>0</v>
      </c>
      <c r="F6378" s="6">
        <v>0</v>
      </c>
      <c r="G6378" s="6">
        <v>14</v>
      </c>
      <c r="H6378" s="6" t="s">
        <v>38394</v>
      </c>
      <c r="I6378" s="6">
        <v>526.5</v>
      </c>
      <c r="J6378" s="2">
        <f t="shared" si="99"/>
        <v>43748.931788159716</v>
      </c>
    </row>
    <row r="6379" spans="1:10" x14ac:dyDescent="0.25">
      <c r="A6379" s="7" t="s">
        <v>38395</v>
      </c>
      <c r="B6379" s="8">
        <v>393.75</v>
      </c>
      <c r="C6379" s="8">
        <v>20.478950000000001</v>
      </c>
      <c r="D6379" s="8">
        <v>85</v>
      </c>
      <c r="E6379" s="8">
        <v>0</v>
      </c>
      <c r="F6379" s="8">
        <v>0</v>
      </c>
      <c r="G6379" s="8">
        <v>19</v>
      </c>
      <c r="H6379" s="8" t="s">
        <v>38396</v>
      </c>
      <c r="I6379" s="8">
        <v>526.6875</v>
      </c>
      <c r="J6379" s="3">
        <f t="shared" si="99"/>
        <v>43748.931859467593</v>
      </c>
    </row>
    <row r="6380" spans="1:10" x14ac:dyDescent="0.25">
      <c r="A6380" s="5" t="s">
        <v>38397</v>
      </c>
      <c r="B6380" s="6">
        <v>393.75</v>
      </c>
      <c r="C6380" s="6">
        <v>20.478950000000001</v>
      </c>
      <c r="D6380" s="6">
        <v>84</v>
      </c>
      <c r="E6380" s="6">
        <v>0</v>
      </c>
      <c r="F6380" s="6">
        <v>0</v>
      </c>
      <c r="G6380" s="6">
        <v>18</v>
      </c>
      <c r="H6380" s="6" t="s">
        <v>38398</v>
      </c>
      <c r="I6380" s="6">
        <v>526.6875</v>
      </c>
      <c r="J6380" s="2">
        <f t="shared" si="99"/>
        <v>43748.931930879626</v>
      </c>
    </row>
    <row r="6381" spans="1:10" x14ac:dyDescent="0.25">
      <c r="A6381" s="7" t="s">
        <v>38399</v>
      </c>
      <c r="B6381" s="8">
        <v>393.75</v>
      </c>
      <c r="C6381" s="8">
        <v>20.478950000000001</v>
      </c>
      <c r="D6381" s="8">
        <v>84</v>
      </c>
      <c r="E6381" s="8">
        <v>0</v>
      </c>
      <c r="F6381" s="8">
        <v>0</v>
      </c>
      <c r="G6381" s="8">
        <v>18</v>
      </c>
      <c r="H6381" s="8" t="s">
        <v>38400</v>
      </c>
      <c r="I6381" s="8">
        <v>526.5</v>
      </c>
      <c r="J6381" s="3">
        <f t="shared" si="99"/>
        <v>43748.932015532402</v>
      </c>
    </row>
    <row r="6382" spans="1:10" x14ac:dyDescent="0.25">
      <c r="A6382" s="5" t="s">
        <v>38401</v>
      </c>
      <c r="B6382" s="6">
        <v>393.75</v>
      </c>
      <c r="C6382" s="6">
        <v>20.478950000000001</v>
      </c>
      <c r="D6382" s="6">
        <v>85</v>
      </c>
      <c r="E6382" s="6">
        <v>0</v>
      </c>
      <c r="F6382" s="6">
        <v>0</v>
      </c>
      <c r="G6382" s="6">
        <v>17</v>
      </c>
      <c r="H6382" s="6" t="s">
        <v>38402</v>
      </c>
      <c r="I6382" s="6">
        <v>526.6875</v>
      </c>
      <c r="J6382" s="2">
        <f t="shared" si="99"/>
        <v>43748.932098310186</v>
      </c>
    </row>
    <row r="6383" spans="1:10" x14ac:dyDescent="0.25">
      <c r="A6383" s="7" t="s">
        <v>38403</v>
      </c>
      <c r="B6383" s="8">
        <v>393.75</v>
      </c>
      <c r="C6383" s="8">
        <v>20.478950000000001</v>
      </c>
      <c r="D6383" s="8">
        <v>85</v>
      </c>
      <c r="E6383" s="8">
        <v>0</v>
      </c>
      <c r="F6383" s="8">
        <v>0</v>
      </c>
      <c r="G6383" s="8">
        <v>23</v>
      </c>
      <c r="H6383" s="8" t="s">
        <v>38404</v>
      </c>
      <c r="I6383" s="8">
        <v>526.6875</v>
      </c>
      <c r="J6383" s="3">
        <f t="shared" si="99"/>
        <v>43748.932169652777</v>
      </c>
    </row>
    <row r="6384" spans="1:10" x14ac:dyDescent="0.25">
      <c r="A6384" s="5" t="s">
        <v>38405</v>
      </c>
      <c r="B6384" s="6">
        <v>393.75</v>
      </c>
      <c r="C6384" s="6">
        <v>20.478950000000001</v>
      </c>
      <c r="D6384" s="6">
        <v>85</v>
      </c>
      <c r="E6384" s="6">
        <v>0</v>
      </c>
      <c r="F6384" s="6">
        <v>0</v>
      </c>
      <c r="G6384" s="6">
        <v>8</v>
      </c>
      <c r="H6384" s="6" t="s">
        <v>38406</v>
      </c>
      <c r="I6384" s="6">
        <v>526.6875</v>
      </c>
      <c r="J6384" s="2">
        <f t="shared" si="99"/>
        <v>43748.932240844901</v>
      </c>
    </row>
    <row r="6385" spans="1:10" x14ac:dyDescent="0.25">
      <c r="A6385" s="7" t="s">
        <v>38407</v>
      </c>
      <c r="B6385" s="8">
        <v>393.75</v>
      </c>
      <c r="C6385" s="8">
        <v>20.478950000000001</v>
      </c>
      <c r="D6385" s="8">
        <v>85</v>
      </c>
      <c r="E6385" s="8">
        <v>0</v>
      </c>
      <c r="F6385" s="8">
        <v>0</v>
      </c>
      <c r="G6385" s="8">
        <v>14</v>
      </c>
      <c r="H6385" s="8" t="s">
        <v>38408</v>
      </c>
      <c r="I6385" s="8">
        <v>526.6875</v>
      </c>
      <c r="J6385" s="3">
        <f t="shared" si="99"/>
        <v>43748.932336365739</v>
      </c>
    </row>
    <row r="6386" spans="1:10" x14ac:dyDescent="0.25">
      <c r="A6386" s="5" t="s">
        <v>38409</v>
      </c>
      <c r="B6386" s="6">
        <v>393.75</v>
      </c>
      <c r="C6386" s="6">
        <v>20.478950000000001</v>
      </c>
      <c r="D6386" s="6">
        <v>81</v>
      </c>
      <c r="E6386" s="6">
        <v>0</v>
      </c>
      <c r="F6386" s="6">
        <v>0</v>
      </c>
      <c r="G6386" s="6">
        <v>8</v>
      </c>
      <c r="H6386" s="6" t="s">
        <v>38410</v>
      </c>
      <c r="I6386" s="6">
        <v>526.6875</v>
      </c>
      <c r="J6386" s="2">
        <f t="shared" si="99"/>
        <v>43748.932420324076</v>
      </c>
    </row>
    <row r="6387" spans="1:10" x14ac:dyDescent="0.25">
      <c r="A6387" s="7" t="s">
        <v>38411</v>
      </c>
      <c r="B6387" s="8">
        <v>393.75</v>
      </c>
      <c r="C6387" s="8">
        <v>20.478950000000001</v>
      </c>
      <c r="D6387" s="8">
        <v>81</v>
      </c>
      <c r="E6387" s="8">
        <v>0</v>
      </c>
      <c r="F6387" s="8">
        <v>0</v>
      </c>
      <c r="G6387" s="8">
        <v>12</v>
      </c>
      <c r="H6387" s="8" t="s">
        <v>38412</v>
      </c>
      <c r="I6387" s="8">
        <v>526.6875</v>
      </c>
      <c r="J6387" s="3">
        <f t="shared" si="99"/>
        <v>43748.932491886568</v>
      </c>
    </row>
    <row r="6388" spans="1:10" x14ac:dyDescent="0.25">
      <c r="A6388" s="5" t="s">
        <v>38413</v>
      </c>
      <c r="B6388" s="6">
        <v>428.125</v>
      </c>
      <c r="C6388" s="6">
        <v>20.478950000000001</v>
      </c>
      <c r="D6388" s="6">
        <v>81</v>
      </c>
      <c r="E6388" s="6">
        <v>0</v>
      </c>
      <c r="F6388" s="6">
        <v>0</v>
      </c>
      <c r="G6388" s="6">
        <v>17</v>
      </c>
      <c r="H6388" s="6" t="s">
        <v>38414</v>
      </c>
      <c r="I6388" s="6">
        <v>537.9375</v>
      </c>
      <c r="J6388" s="2">
        <f t="shared" si="99"/>
        <v>43748.932575185179</v>
      </c>
    </row>
    <row r="6389" spans="1:10" x14ac:dyDescent="0.25">
      <c r="A6389" s="7" t="s">
        <v>38415</v>
      </c>
      <c r="B6389" s="8">
        <v>393.75</v>
      </c>
      <c r="C6389" s="8">
        <v>20.478950000000001</v>
      </c>
      <c r="D6389" s="8">
        <v>81</v>
      </c>
      <c r="E6389" s="8">
        <v>0</v>
      </c>
      <c r="F6389" s="8">
        <v>0</v>
      </c>
      <c r="G6389" s="8">
        <v>14</v>
      </c>
      <c r="H6389" s="8" t="s">
        <v>38416</v>
      </c>
      <c r="I6389" s="8">
        <v>526.5</v>
      </c>
      <c r="J6389" s="3">
        <f t="shared" si="99"/>
        <v>43748.932646435183</v>
      </c>
    </row>
    <row r="6390" spans="1:10" x14ac:dyDescent="0.25">
      <c r="A6390" s="5" t="s">
        <v>38417</v>
      </c>
      <c r="B6390" s="6">
        <v>393.75</v>
      </c>
      <c r="C6390" s="6">
        <v>20.478950000000001</v>
      </c>
      <c r="D6390" s="6">
        <v>81</v>
      </c>
      <c r="E6390" s="6">
        <v>0</v>
      </c>
      <c r="F6390" s="6">
        <v>0</v>
      </c>
      <c r="G6390" s="6">
        <v>10</v>
      </c>
      <c r="H6390" s="6" t="s">
        <v>38418</v>
      </c>
      <c r="I6390" s="6">
        <v>526.6875</v>
      </c>
      <c r="J6390" s="2">
        <f t="shared" si="99"/>
        <v>43748.932718530086</v>
      </c>
    </row>
    <row r="6391" spans="1:10" x14ac:dyDescent="0.25">
      <c r="A6391" s="7" t="s">
        <v>38419</v>
      </c>
      <c r="B6391" s="8">
        <v>393.75</v>
      </c>
      <c r="C6391" s="8">
        <v>20.478950000000001</v>
      </c>
      <c r="D6391" s="8">
        <v>82</v>
      </c>
      <c r="E6391" s="8">
        <v>0</v>
      </c>
      <c r="F6391" s="8">
        <v>0</v>
      </c>
      <c r="G6391" s="8">
        <v>21</v>
      </c>
      <c r="H6391" s="8" t="s">
        <v>38420</v>
      </c>
      <c r="I6391" s="8">
        <v>526.6875</v>
      </c>
      <c r="J6391" s="3">
        <f t="shared" si="99"/>
        <v>43748.932790011568</v>
      </c>
    </row>
    <row r="6392" spans="1:10" x14ac:dyDescent="0.25">
      <c r="A6392" s="5" t="s">
        <v>38421</v>
      </c>
      <c r="B6392" s="6">
        <v>393.75</v>
      </c>
      <c r="C6392" s="6">
        <v>20.478950000000001</v>
      </c>
      <c r="D6392" s="6">
        <v>82</v>
      </c>
      <c r="E6392" s="6">
        <v>0</v>
      </c>
      <c r="F6392" s="6">
        <v>0</v>
      </c>
      <c r="G6392" s="6">
        <v>9</v>
      </c>
      <c r="H6392" s="6" t="s">
        <v>38422</v>
      </c>
      <c r="I6392" s="6">
        <v>526.6875</v>
      </c>
      <c r="J6392" s="2">
        <f t="shared" si="99"/>
        <v>43748.932861307869</v>
      </c>
    </row>
    <row r="6393" spans="1:10" x14ac:dyDescent="0.25">
      <c r="A6393" s="7" t="s">
        <v>38423</v>
      </c>
      <c r="B6393" s="8">
        <v>393.75</v>
      </c>
      <c r="C6393" s="8">
        <v>20.478950000000001</v>
      </c>
      <c r="D6393" s="8">
        <v>82</v>
      </c>
      <c r="E6393" s="8">
        <v>0</v>
      </c>
      <c r="F6393" s="8">
        <v>0</v>
      </c>
      <c r="G6393" s="8">
        <v>20</v>
      </c>
      <c r="H6393" s="8" t="s">
        <v>38424</v>
      </c>
      <c r="I6393" s="8">
        <v>526.6875</v>
      </c>
      <c r="J6393" s="3">
        <f t="shared" si="99"/>
        <v>43748.932932592586</v>
      </c>
    </row>
    <row r="6394" spans="1:10" x14ac:dyDescent="0.25">
      <c r="A6394" s="5" t="s">
        <v>38425</v>
      </c>
      <c r="B6394" s="6">
        <v>393.75</v>
      </c>
      <c r="C6394" s="6">
        <v>20.478950000000001</v>
      </c>
      <c r="D6394" s="6">
        <v>82</v>
      </c>
      <c r="E6394" s="6">
        <v>0</v>
      </c>
      <c r="F6394" s="6">
        <v>0</v>
      </c>
      <c r="G6394" s="6">
        <v>17</v>
      </c>
      <c r="H6394" s="6" t="s">
        <v>38426</v>
      </c>
      <c r="I6394" s="6">
        <v>526.6875</v>
      </c>
      <c r="J6394" s="2">
        <f t="shared" si="99"/>
        <v>43748.933004826387</v>
      </c>
    </row>
    <row r="6395" spans="1:10" x14ac:dyDescent="0.25">
      <c r="A6395" s="7" t="s">
        <v>38427</v>
      </c>
      <c r="B6395" s="8">
        <v>393.75</v>
      </c>
      <c r="C6395" s="8">
        <v>20.478950000000001</v>
      </c>
      <c r="D6395" s="8">
        <v>82</v>
      </c>
      <c r="E6395" s="8">
        <v>0</v>
      </c>
      <c r="F6395" s="8">
        <v>0</v>
      </c>
      <c r="G6395" s="8">
        <v>13</v>
      </c>
      <c r="H6395" s="8" t="s">
        <v>38428</v>
      </c>
      <c r="I6395" s="8">
        <v>526.5</v>
      </c>
      <c r="J6395" s="3">
        <f t="shared" si="99"/>
        <v>43748.933076134257</v>
      </c>
    </row>
    <row r="6396" spans="1:10" x14ac:dyDescent="0.25">
      <c r="A6396" s="5" t="s">
        <v>38429</v>
      </c>
      <c r="B6396" s="6">
        <v>412.5</v>
      </c>
      <c r="C6396" s="6">
        <v>20.478950000000001</v>
      </c>
      <c r="D6396" s="6">
        <v>81</v>
      </c>
      <c r="E6396" s="6">
        <v>0</v>
      </c>
      <c r="F6396" s="6">
        <v>0</v>
      </c>
      <c r="G6396" s="6">
        <v>5</v>
      </c>
      <c r="H6396" s="6" t="s">
        <v>38430</v>
      </c>
      <c r="I6396" s="6">
        <v>532.875</v>
      </c>
      <c r="J6396" s="2">
        <f t="shared" si="99"/>
        <v>43748.933147418975</v>
      </c>
    </row>
    <row r="6397" spans="1:10" x14ac:dyDescent="0.25">
      <c r="A6397" s="7" t="s">
        <v>38431</v>
      </c>
      <c r="B6397" s="8">
        <v>393.75</v>
      </c>
      <c r="C6397" s="8">
        <v>20.478950000000001</v>
      </c>
      <c r="D6397" s="8">
        <v>82</v>
      </c>
      <c r="E6397" s="8">
        <v>0</v>
      </c>
      <c r="F6397" s="8">
        <v>0</v>
      </c>
      <c r="G6397" s="8">
        <v>6</v>
      </c>
      <c r="H6397" s="8" t="s">
        <v>38432</v>
      </c>
      <c r="I6397" s="8">
        <v>526.6875</v>
      </c>
      <c r="J6397" s="3">
        <f t="shared" si="99"/>
        <v>43748.933218761573</v>
      </c>
    </row>
    <row r="6398" spans="1:10" x14ac:dyDescent="0.25">
      <c r="A6398" s="5" t="s">
        <v>38433</v>
      </c>
      <c r="B6398" s="6">
        <v>393.75</v>
      </c>
      <c r="C6398" s="6">
        <v>20.478950000000001</v>
      </c>
      <c r="D6398" s="6">
        <v>82</v>
      </c>
      <c r="E6398" s="6">
        <v>0</v>
      </c>
      <c r="F6398" s="6">
        <v>0</v>
      </c>
      <c r="G6398" s="6">
        <v>11</v>
      </c>
      <c r="H6398" s="6" t="s">
        <v>38434</v>
      </c>
      <c r="I6398" s="6">
        <v>526.6875</v>
      </c>
      <c r="J6398" s="2">
        <f t="shared" si="99"/>
        <v>43748.933290868052</v>
      </c>
    </row>
    <row r="6399" spans="1:10" x14ac:dyDescent="0.25">
      <c r="A6399" s="7" t="s">
        <v>38435</v>
      </c>
      <c r="B6399" s="8">
        <v>393.75</v>
      </c>
      <c r="C6399" s="8">
        <v>20.478950000000001</v>
      </c>
      <c r="D6399" s="8">
        <v>81</v>
      </c>
      <c r="E6399" s="8">
        <v>0</v>
      </c>
      <c r="F6399" s="8">
        <v>0</v>
      </c>
      <c r="G6399" s="8">
        <v>19</v>
      </c>
      <c r="H6399" s="8" t="s">
        <v>38436</v>
      </c>
      <c r="I6399" s="8">
        <v>526.6875</v>
      </c>
      <c r="J6399" s="3">
        <f t="shared" si="99"/>
        <v>43748.933362233794</v>
      </c>
    </row>
    <row r="6400" spans="1:10" x14ac:dyDescent="0.25">
      <c r="A6400" s="5" t="s">
        <v>38437</v>
      </c>
      <c r="B6400" s="6">
        <v>393.75</v>
      </c>
      <c r="C6400" s="6">
        <v>20.478950000000001</v>
      </c>
      <c r="D6400" s="6">
        <v>81</v>
      </c>
      <c r="E6400" s="6">
        <v>0</v>
      </c>
      <c r="F6400" s="6">
        <v>0</v>
      </c>
      <c r="G6400" s="6">
        <v>10</v>
      </c>
      <c r="H6400" s="6" t="s">
        <v>38438</v>
      </c>
      <c r="I6400" s="6">
        <v>526.6875</v>
      </c>
      <c r="J6400" s="2">
        <f t="shared" si="99"/>
        <v>43748.933433518519</v>
      </c>
    </row>
    <row r="6401" spans="1:10" x14ac:dyDescent="0.25">
      <c r="A6401" s="7" t="s">
        <v>38439</v>
      </c>
      <c r="B6401" s="8">
        <v>393.75</v>
      </c>
      <c r="C6401" s="8">
        <v>20.478950000000001</v>
      </c>
      <c r="D6401" s="8">
        <v>81</v>
      </c>
      <c r="E6401" s="8">
        <v>0</v>
      </c>
      <c r="F6401" s="8">
        <v>0</v>
      </c>
      <c r="G6401" s="8">
        <v>13</v>
      </c>
      <c r="H6401" s="8" t="s">
        <v>38440</v>
      </c>
      <c r="I6401" s="8">
        <v>526.6875</v>
      </c>
      <c r="J6401" s="3">
        <f t="shared" si="99"/>
        <v>43748.933505706016</v>
      </c>
    </row>
    <row r="6402" spans="1:10" x14ac:dyDescent="0.25">
      <c r="A6402" s="5" t="s">
        <v>38441</v>
      </c>
      <c r="B6402" s="6">
        <v>393.75</v>
      </c>
      <c r="C6402" s="6">
        <v>20.478950000000001</v>
      </c>
      <c r="D6402" s="6">
        <v>81</v>
      </c>
      <c r="E6402" s="6">
        <v>0</v>
      </c>
      <c r="F6402" s="6">
        <v>0</v>
      </c>
      <c r="G6402" s="6">
        <v>10</v>
      </c>
      <c r="H6402" s="6" t="s">
        <v>38442</v>
      </c>
      <c r="I6402" s="6">
        <v>526.6875</v>
      </c>
      <c r="J6402" s="2">
        <f t="shared" ref="J6402:J6465" si="100">(H6402/86400000)+25569+(7/24)</f>
        <v>43748.93358902778</v>
      </c>
    </row>
    <row r="6403" spans="1:10" x14ac:dyDescent="0.25">
      <c r="A6403" s="7" t="s">
        <v>38443</v>
      </c>
      <c r="B6403" s="8">
        <v>412.5</v>
      </c>
      <c r="C6403" s="8">
        <v>20.478950000000001</v>
      </c>
      <c r="D6403" s="8">
        <v>82</v>
      </c>
      <c r="E6403" s="8">
        <v>0</v>
      </c>
      <c r="F6403" s="8">
        <v>0</v>
      </c>
      <c r="G6403" s="8">
        <v>14</v>
      </c>
      <c r="H6403" s="8" t="s">
        <v>38444</v>
      </c>
      <c r="I6403" s="8">
        <v>532.3125</v>
      </c>
      <c r="J6403" s="3">
        <f t="shared" si="100"/>
        <v>43748.933684444441</v>
      </c>
    </row>
    <row r="6404" spans="1:10" x14ac:dyDescent="0.25">
      <c r="A6404" s="5" t="s">
        <v>38445</v>
      </c>
      <c r="B6404" s="6">
        <v>393.75</v>
      </c>
      <c r="C6404" s="6">
        <v>20.478950000000001</v>
      </c>
      <c r="D6404" s="6">
        <v>87</v>
      </c>
      <c r="E6404" s="6">
        <v>0</v>
      </c>
      <c r="F6404" s="6">
        <v>0</v>
      </c>
      <c r="G6404" s="6">
        <v>11</v>
      </c>
      <c r="H6404" s="6" t="s">
        <v>38446</v>
      </c>
      <c r="I6404" s="6">
        <v>526.6875</v>
      </c>
      <c r="J6404" s="2">
        <f t="shared" si="100"/>
        <v>43748.933755740734</v>
      </c>
    </row>
    <row r="6405" spans="1:10" x14ac:dyDescent="0.25">
      <c r="A6405" s="7" t="s">
        <v>38447</v>
      </c>
      <c r="B6405" s="8">
        <v>393.75</v>
      </c>
      <c r="C6405" s="8">
        <v>20.478950000000001</v>
      </c>
      <c r="D6405" s="8">
        <v>87</v>
      </c>
      <c r="E6405" s="8">
        <v>0</v>
      </c>
      <c r="F6405" s="8">
        <v>0</v>
      </c>
      <c r="G6405" s="8">
        <v>11</v>
      </c>
      <c r="H6405" s="8" t="s">
        <v>38448</v>
      </c>
      <c r="I6405" s="8">
        <v>526.6875</v>
      </c>
      <c r="J6405" s="3">
        <f t="shared" si="100"/>
        <v>43748.933827048611</v>
      </c>
    </row>
    <row r="6406" spans="1:10" x14ac:dyDescent="0.25">
      <c r="A6406" s="5" t="s">
        <v>38449</v>
      </c>
      <c r="B6406" s="6">
        <v>393.75</v>
      </c>
      <c r="C6406" s="6">
        <v>20.478950000000001</v>
      </c>
      <c r="D6406" s="6">
        <v>87</v>
      </c>
      <c r="E6406" s="6">
        <v>0</v>
      </c>
      <c r="F6406" s="6">
        <v>0</v>
      </c>
      <c r="G6406" s="6">
        <v>9</v>
      </c>
      <c r="H6406" s="6" t="s">
        <v>38450</v>
      </c>
      <c r="I6406" s="6">
        <v>526.6875</v>
      </c>
      <c r="J6406" s="2">
        <f t="shared" si="100"/>
        <v>43748.933899212956</v>
      </c>
    </row>
    <row r="6407" spans="1:10" x14ac:dyDescent="0.25">
      <c r="A6407" s="7" t="s">
        <v>38451</v>
      </c>
      <c r="B6407" s="8">
        <v>393.75</v>
      </c>
      <c r="C6407" s="8">
        <v>20.478950000000001</v>
      </c>
      <c r="D6407" s="8">
        <v>85</v>
      </c>
      <c r="E6407" s="8">
        <v>0</v>
      </c>
      <c r="F6407" s="8">
        <v>0</v>
      </c>
      <c r="G6407" s="8">
        <v>17</v>
      </c>
      <c r="H6407" s="8" t="s">
        <v>38452</v>
      </c>
      <c r="I6407" s="8">
        <v>526.6875</v>
      </c>
      <c r="J6407" s="3">
        <f t="shared" si="100"/>
        <v>43748.933994629631</v>
      </c>
    </row>
    <row r="6408" spans="1:10" x14ac:dyDescent="0.25">
      <c r="A6408" s="5" t="s">
        <v>38453</v>
      </c>
      <c r="B6408" s="6">
        <v>393.75</v>
      </c>
      <c r="C6408" s="6">
        <v>20.478950000000001</v>
      </c>
      <c r="D6408" s="6">
        <v>83</v>
      </c>
      <c r="E6408" s="6">
        <v>0</v>
      </c>
      <c r="F6408" s="6">
        <v>0</v>
      </c>
      <c r="G6408" s="6">
        <v>17</v>
      </c>
      <c r="H6408" s="6" t="s">
        <v>38454</v>
      </c>
      <c r="I6408" s="6">
        <v>526.6875</v>
      </c>
      <c r="J6408" s="2">
        <f t="shared" si="100"/>
        <v>43748.934065925925</v>
      </c>
    </row>
    <row r="6409" spans="1:10" x14ac:dyDescent="0.25">
      <c r="A6409" s="7" t="s">
        <v>38455</v>
      </c>
      <c r="B6409" s="8">
        <v>418.75</v>
      </c>
      <c r="C6409" s="8">
        <v>20.478950000000001</v>
      </c>
      <c r="D6409" s="8">
        <v>83</v>
      </c>
      <c r="E6409" s="8">
        <v>0</v>
      </c>
      <c r="F6409" s="8">
        <v>0</v>
      </c>
      <c r="G6409" s="8">
        <v>15</v>
      </c>
      <c r="H6409" s="8" t="s">
        <v>38456</v>
      </c>
      <c r="I6409" s="8">
        <v>534.75</v>
      </c>
      <c r="J6409" s="3">
        <f t="shared" si="100"/>
        <v>43748.934137164346</v>
      </c>
    </row>
    <row r="6410" spans="1:10" x14ac:dyDescent="0.25">
      <c r="A6410" s="5" t="s">
        <v>38457</v>
      </c>
      <c r="B6410" s="6">
        <v>393.75</v>
      </c>
      <c r="C6410" s="6">
        <v>20.478950000000001</v>
      </c>
      <c r="D6410" s="6">
        <v>83</v>
      </c>
      <c r="E6410" s="6">
        <v>0</v>
      </c>
      <c r="F6410" s="6">
        <v>0</v>
      </c>
      <c r="G6410" s="6">
        <v>15</v>
      </c>
      <c r="H6410" s="6" t="s">
        <v>38458</v>
      </c>
      <c r="I6410" s="6">
        <v>526.6875</v>
      </c>
      <c r="J6410" s="2">
        <f t="shared" si="100"/>
        <v>43748.934208576386</v>
      </c>
    </row>
    <row r="6411" spans="1:10" x14ac:dyDescent="0.25">
      <c r="A6411" s="7" t="s">
        <v>38459</v>
      </c>
      <c r="B6411" s="8">
        <v>393.75</v>
      </c>
      <c r="C6411" s="8">
        <v>20.478950000000001</v>
      </c>
      <c r="D6411" s="8">
        <v>83</v>
      </c>
      <c r="E6411" s="8">
        <v>0</v>
      </c>
      <c r="F6411" s="8">
        <v>0</v>
      </c>
      <c r="G6411" s="8">
        <v>6</v>
      </c>
      <c r="H6411" s="8" t="s">
        <v>38460</v>
      </c>
      <c r="I6411" s="8">
        <v>526.6875</v>
      </c>
      <c r="J6411" s="3">
        <f t="shared" si="100"/>
        <v>43748.934295555555</v>
      </c>
    </row>
    <row r="6412" spans="1:10" x14ac:dyDescent="0.25">
      <c r="A6412" s="5" t="s">
        <v>38461</v>
      </c>
      <c r="B6412" s="6">
        <v>393.75</v>
      </c>
      <c r="C6412" s="6">
        <v>20.478950000000001</v>
      </c>
      <c r="D6412" s="6">
        <v>82</v>
      </c>
      <c r="E6412" s="6">
        <v>0</v>
      </c>
      <c r="F6412" s="6">
        <v>0</v>
      </c>
      <c r="G6412" s="6">
        <v>11</v>
      </c>
      <c r="H6412" s="6" t="s">
        <v>38462</v>
      </c>
      <c r="I6412" s="6">
        <v>526.6875</v>
      </c>
      <c r="J6412" s="2">
        <f t="shared" si="100"/>
        <v>43748.934376111109</v>
      </c>
    </row>
    <row r="6413" spans="1:10" x14ac:dyDescent="0.25">
      <c r="A6413" s="7" t="s">
        <v>38463</v>
      </c>
      <c r="B6413" s="8">
        <v>393.75</v>
      </c>
      <c r="C6413" s="8">
        <v>20.478950000000001</v>
      </c>
      <c r="D6413" s="8">
        <v>82</v>
      </c>
      <c r="E6413" s="8">
        <v>0</v>
      </c>
      <c r="F6413" s="8">
        <v>0</v>
      </c>
      <c r="G6413" s="8">
        <v>14</v>
      </c>
      <c r="H6413" s="8" t="s">
        <v>38464</v>
      </c>
      <c r="I6413" s="8">
        <v>526.6875</v>
      </c>
      <c r="J6413" s="3">
        <f t="shared" si="100"/>
        <v>43748.934471446752</v>
      </c>
    </row>
    <row r="6414" spans="1:10" x14ac:dyDescent="0.25">
      <c r="A6414" s="5" t="s">
        <v>38465</v>
      </c>
      <c r="B6414" s="6">
        <v>412.5</v>
      </c>
      <c r="C6414" s="6">
        <v>20.478950000000001</v>
      </c>
      <c r="D6414" s="6">
        <v>82</v>
      </c>
      <c r="E6414" s="6">
        <v>0</v>
      </c>
      <c r="F6414" s="6">
        <v>0</v>
      </c>
      <c r="G6414" s="6">
        <v>13</v>
      </c>
      <c r="H6414" s="6" t="s">
        <v>38466</v>
      </c>
      <c r="I6414" s="6">
        <v>532.875</v>
      </c>
      <c r="J6414" s="2">
        <f t="shared" si="100"/>
        <v>43748.934554375002</v>
      </c>
    </row>
    <row r="6415" spans="1:10" x14ac:dyDescent="0.25">
      <c r="A6415" s="7" t="s">
        <v>38467</v>
      </c>
      <c r="B6415" s="8">
        <v>393.75</v>
      </c>
      <c r="C6415" s="8">
        <v>20.478950000000001</v>
      </c>
      <c r="D6415" s="8">
        <v>82</v>
      </c>
      <c r="E6415" s="8">
        <v>0</v>
      </c>
      <c r="F6415" s="8">
        <v>0</v>
      </c>
      <c r="G6415" s="8">
        <v>14</v>
      </c>
      <c r="H6415" s="8" t="s">
        <v>38468</v>
      </c>
      <c r="I6415" s="8">
        <v>526.6875</v>
      </c>
      <c r="J6415" s="3">
        <f t="shared" si="100"/>
        <v>43748.934626134258</v>
      </c>
    </row>
    <row r="6416" spans="1:10" x14ac:dyDescent="0.25">
      <c r="A6416" s="5" t="s">
        <v>38469</v>
      </c>
      <c r="B6416" s="6">
        <v>393.75</v>
      </c>
      <c r="C6416" s="6">
        <v>20.478950000000001</v>
      </c>
      <c r="D6416" s="6">
        <v>82</v>
      </c>
      <c r="E6416" s="6">
        <v>0</v>
      </c>
      <c r="F6416" s="6">
        <v>0</v>
      </c>
      <c r="G6416" s="6">
        <v>11</v>
      </c>
      <c r="H6416" s="6" t="s">
        <v>38470</v>
      </c>
      <c r="I6416" s="6">
        <v>526.6875</v>
      </c>
      <c r="J6416" s="2">
        <f t="shared" si="100"/>
        <v>43748.934697500001</v>
      </c>
    </row>
    <row r="6417" spans="1:10" x14ac:dyDescent="0.25">
      <c r="A6417" s="7" t="s">
        <v>38471</v>
      </c>
      <c r="B6417" s="8">
        <v>393.75</v>
      </c>
      <c r="C6417" s="8">
        <v>20.478950000000001</v>
      </c>
      <c r="D6417" s="8">
        <v>82</v>
      </c>
      <c r="E6417" s="8">
        <v>0</v>
      </c>
      <c r="F6417" s="8">
        <v>0</v>
      </c>
      <c r="G6417" s="8">
        <v>21</v>
      </c>
      <c r="H6417" s="8" t="s">
        <v>38472</v>
      </c>
      <c r="I6417" s="8">
        <v>526.6875</v>
      </c>
      <c r="J6417" s="3">
        <f t="shared" si="100"/>
        <v>43748.934769537031</v>
      </c>
    </row>
    <row r="6418" spans="1:10" x14ac:dyDescent="0.25">
      <c r="A6418" s="5" t="s">
        <v>38473</v>
      </c>
      <c r="B6418" s="6">
        <v>393.75</v>
      </c>
      <c r="C6418" s="6">
        <v>20.478950000000001</v>
      </c>
      <c r="D6418" s="6">
        <v>83</v>
      </c>
      <c r="E6418" s="6">
        <v>0</v>
      </c>
      <c r="F6418" s="6">
        <v>0</v>
      </c>
      <c r="G6418" s="6">
        <v>9</v>
      </c>
      <c r="H6418" s="6" t="s">
        <v>38474</v>
      </c>
      <c r="I6418" s="6">
        <v>526.6875</v>
      </c>
      <c r="J6418" s="2">
        <f t="shared" si="100"/>
        <v>43748.934854814812</v>
      </c>
    </row>
    <row r="6419" spans="1:10" x14ac:dyDescent="0.25">
      <c r="A6419" s="7" t="s">
        <v>38475</v>
      </c>
      <c r="B6419" s="8">
        <v>393.75</v>
      </c>
      <c r="C6419" s="8">
        <v>20.478950000000001</v>
      </c>
      <c r="D6419" s="8">
        <v>83</v>
      </c>
      <c r="E6419" s="8">
        <v>0</v>
      </c>
      <c r="F6419" s="8">
        <v>0</v>
      </c>
      <c r="G6419" s="8">
        <v>17</v>
      </c>
      <c r="H6419" s="8" t="s">
        <v>38476</v>
      </c>
      <c r="I6419" s="8">
        <v>526.6875</v>
      </c>
      <c r="J6419" s="3">
        <f t="shared" si="100"/>
        <v>43748.934936307873</v>
      </c>
    </row>
    <row r="6420" spans="1:10" x14ac:dyDescent="0.25">
      <c r="A6420" s="5" t="s">
        <v>38477</v>
      </c>
      <c r="B6420" s="6">
        <v>425</v>
      </c>
      <c r="C6420" s="6">
        <v>20.426300000000001</v>
      </c>
      <c r="D6420" s="6">
        <v>83</v>
      </c>
      <c r="E6420" s="6">
        <v>0</v>
      </c>
      <c r="F6420" s="6">
        <v>0</v>
      </c>
      <c r="G6420" s="6">
        <v>26</v>
      </c>
      <c r="H6420" s="6" t="s">
        <v>38478</v>
      </c>
      <c r="I6420" s="6">
        <v>536.4375</v>
      </c>
      <c r="J6420" s="2">
        <f t="shared" si="100"/>
        <v>43748.935007569446</v>
      </c>
    </row>
    <row r="6421" spans="1:10" x14ac:dyDescent="0.25">
      <c r="A6421" s="7" t="s">
        <v>38479</v>
      </c>
      <c r="B6421" s="8">
        <v>393.75</v>
      </c>
      <c r="C6421" s="8">
        <v>20.478950000000001</v>
      </c>
      <c r="D6421" s="8">
        <v>83</v>
      </c>
      <c r="E6421" s="8">
        <v>0</v>
      </c>
      <c r="F6421" s="8">
        <v>0</v>
      </c>
      <c r="G6421" s="8">
        <v>26</v>
      </c>
      <c r="H6421" s="8" t="s">
        <v>38480</v>
      </c>
      <c r="I6421" s="8">
        <v>526.6875</v>
      </c>
      <c r="J6421" s="3">
        <f t="shared" si="100"/>
        <v>43748.935079814815</v>
      </c>
    </row>
    <row r="6422" spans="1:10" x14ac:dyDescent="0.25">
      <c r="A6422" s="5" t="s">
        <v>38481</v>
      </c>
      <c r="B6422" s="6">
        <v>393.75</v>
      </c>
      <c r="C6422" s="6">
        <v>20.478950000000001</v>
      </c>
      <c r="D6422" s="6">
        <v>81</v>
      </c>
      <c r="E6422" s="6">
        <v>0</v>
      </c>
      <c r="F6422" s="6">
        <v>0</v>
      </c>
      <c r="G6422" s="6">
        <v>16</v>
      </c>
      <c r="H6422" s="6" t="s">
        <v>38482</v>
      </c>
      <c r="I6422" s="6">
        <v>526.6875</v>
      </c>
      <c r="J6422" s="2">
        <f t="shared" si="100"/>
        <v>43748.935151030091</v>
      </c>
    </row>
    <row r="6423" spans="1:10" x14ac:dyDescent="0.25">
      <c r="A6423" s="7" t="s">
        <v>38483</v>
      </c>
      <c r="B6423" s="8">
        <v>393.75</v>
      </c>
      <c r="C6423" s="8">
        <v>20.478950000000001</v>
      </c>
      <c r="D6423" s="8">
        <v>82</v>
      </c>
      <c r="E6423" s="8">
        <v>0</v>
      </c>
      <c r="F6423" s="8">
        <v>0</v>
      </c>
      <c r="G6423" s="8">
        <v>24</v>
      </c>
      <c r="H6423" s="8" t="s">
        <v>38484</v>
      </c>
      <c r="I6423" s="8">
        <v>526.6875</v>
      </c>
      <c r="J6423" s="3">
        <f t="shared" si="100"/>
        <v>43748.935222395834</v>
      </c>
    </row>
    <row r="6424" spans="1:10" x14ac:dyDescent="0.25">
      <c r="A6424" s="5" t="s">
        <v>38485</v>
      </c>
      <c r="B6424" s="6">
        <v>393.75</v>
      </c>
      <c r="C6424" s="6">
        <v>20.478950000000001</v>
      </c>
      <c r="D6424" s="6">
        <v>82</v>
      </c>
      <c r="E6424" s="6">
        <v>0</v>
      </c>
      <c r="F6424" s="6">
        <v>0</v>
      </c>
      <c r="G6424" s="6">
        <v>20</v>
      </c>
      <c r="H6424" s="6" t="s">
        <v>38486</v>
      </c>
      <c r="I6424" s="6">
        <v>526.6875</v>
      </c>
      <c r="J6424" s="2">
        <f t="shared" si="100"/>
        <v>43748.935293680552</v>
      </c>
    </row>
    <row r="6425" spans="1:10" x14ac:dyDescent="0.25">
      <c r="A6425" s="7" t="s">
        <v>38487</v>
      </c>
      <c r="B6425" s="8">
        <v>393.75</v>
      </c>
      <c r="C6425" s="8">
        <v>20.478950000000001</v>
      </c>
      <c r="D6425" s="8">
        <v>85</v>
      </c>
      <c r="E6425" s="8">
        <v>0</v>
      </c>
      <c r="F6425" s="8">
        <v>0</v>
      </c>
      <c r="G6425" s="8">
        <v>15</v>
      </c>
      <c r="H6425" s="8" t="s">
        <v>38488</v>
      </c>
      <c r="I6425" s="8">
        <v>526.6875</v>
      </c>
      <c r="J6425" s="3">
        <f t="shared" si="100"/>
        <v>43748.935365925929</v>
      </c>
    </row>
    <row r="6426" spans="1:10" x14ac:dyDescent="0.25">
      <c r="A6426" s="5" t="s">
        <v>38489</v>
      </c>
      <c r="B6426" s="6">
        <v>393.75</v>
      </c>
      <c r="C6426" s="6">
        <v>20.478950000000001</v>
      </c>
      <c r="D6426" s="6">
        <v>84</v>
      </c>
      <c r="E6426" s="6">
        <v>0</v>
      </c>
      <c r="F6426" s="6">
        <v>0</v>
      </c>
      <c r="G6426" s="6">
        <v>21</v>
      </c>
      <c r="H6426" s="6" t="s">
        <v>38490</v>
      </c>
      <c r="I6426" s="6">
        <v>526.6875</v>
      </c>
      <c r="J6426" s="2">
        <f t="shared" si="100"/>
        <v>43748.935437349537</v>
      </c>
    </row>
    <row r="6427" spans="1:10" x14ac:dyDescent="0.25">
      <c r="A6427" s="7" t="s">
        <v>38491</v>
      </c>
      <c r="B6427" s="8">
        <v>393.75</v>
      </c>
      <c r="C6427" s="8">
        <v>20.478950000000001</v>
      </c>
      <c r="D6427" s="8">
        <v>82</v>
      </c>
      <c r="E6427" s="8">
        <v>0</v>
      </c>
      <c r="F6427" s="8">
        <v>0</v>
      </c>
      <c r="G6427" s="8">
        <v>9</v>
      </c>
      <c r="H6427" s="8" t="s">
        <v>38492</v>
      </c>
      <c r="I6427" s="8">
        <v>526.6875</v>
      </c>
      <c r="J6427" s="3">
        <f t="shared" si="100"/>
        <v>43748.935508518516</v>
      </c>
    </row>
    <row r="6428" spans="1:10" x14ac:dyDescent="0.25">
      <c r="A6428" s="5" t="s">
        <v>38493</v>
      </c>
      <c r="B6428" s="6">
        <v>393.75</v>
      </c>
      <c r="C6428" s="6">
        <v>20.478950000000001</v>
      </c>
      <c r="D6428" s="6">
        <v>82</v>
      </c>
      <c r="E6428" s="6">
        <v>0</v>
      </c>
      <c r="F6428" s="6">
        <v>0</v>
      </c>
      <c r="G6428" s="6">
        <v>24</v>
      </c>
      <c r="H6428" s="6" t="s">
        <v>38494</v>
      </c>
      <c r="I6428" s="6">
        <v>526.6875</v>
      </c>
      <c r="J6428" s="2">
        <f t="shared" si="100"/>
        <v>43748.935580729165</v>
      </c>
    </row>
    <row r="6429" spans="1:10" x14ac:dyDescent="0.25">
      <c r="A6429" s="7" t="s">
        <v>38495</v>
      </c>
      <c r="B6429" s="8">
        <v>393.75</v>
      </c>
      <c r="C6429" s="8">
        <v>20.478950000000001</v>
      </c>
      <c r="D6429" s="8">
        <v>82</v>
      </c>
      <c r="E6429" s="8">
        <v>0</v>
      </c>
      <c r="F6429" s="8">
        <v>0</v>
      </c>
      <c r="G6429" s="8">
        <v>17</v>
      </c>
      <c r="H6429" s="8" t="s">
        <v>38496</v>
      </c>
      <c r="I6429" s="8">
        <v>526.6875</v>
      </c>
      <c r="J6429" s="3">
        <f t="shared" si="100"/>
        <v>43748.935664074073</v>
      </c>
    </row>
    <row r="6430" spans="1:10" x14ac:dyDescent="0.25">
      <c r="A6430" s="5" t="s">
        <v>38497</v>
      </c>
      <c r="B6430" s="6">
        <v>393.75</v>
      </c>
      <c r="C6430" s="6">
        <v>20.478950000000001</v>
      </c>
      <c r="D6430" s="6">
        <v>81</v>
      </c>
      <c r="E6430" s="6">
        <v>0</v>
      </c>
      <c r="F6430" s="6">
        <v>0</v>
      </c>
      <c r="G6430" s="6">
        <v>16</v>
      </c>
      <c r="H6430" s="6" t="s">
        <v>38498</v>
      </c>
      <c r="I6430" s="6">
        <v>526.6875</v>
      </c>
      <c r="J6430" s="2">
        <f t="shared" si="100"/>
        <v>43748.935735347222</v>
      </c>
    </row>
    <row r="6431" spans="1:10" x14ac:dyDescent="0.25">
      <c r="A6431" s="7" t="s">
        <v>38499</v>
      </c>
      <c r="B6431" s="8">
        <v>393.75</v>
      </c>
      <c r="C6431" s="8">
        <v>20.478950000000001</v>
      </c>
      <c r="D6431" s="8">
        <v>82</v>
      </c>
      <c r="E6431" s="8">
        <v>0</v>
      </c>
      <c r="F6431" s="8">
        <v>0</v>
      </c>
      <c r="G6431" s="8">
        <v>15</v>
      </c>
      <c r="H6431" s="8" t="s">
        <v>38500</v>
      </c>
      <c r="I6431" s="8">
        <v>526.6875</v>
      </c>
      <c r="J6431" s="3">
        <f t="shared" si="100"/>
        <v>43748.935806597219</v>
      </c>
    </row>
    <row r="6432" spans="1:10" x14ac:dyDescent="0.25">
      <c r="A6432" s="5" t="s">
        <v>38501</v>
      </c>
      <c r="B6432" s="6">
        <v>393.75</v>
      </c>
      <c r="C6432" s="6">
        <v>20.478950000000001</v>
      </c>
      <c r="D6432" s="6">
        <v>83</v>
      </c>
      <c r="E6432" s="6">
        <v>0</v>
      </c>
      <c r="F6432" s="6">
        <v>0</v>
      </c>
      <c r="G6432" s="6">
        <v>8</v>
      </c>
      <c r="H6432" s="6" t="s">
        <v>38502</v>
      </c>
      <c r="I6432" s="6">
        <v>526.6875</v>
      </c>
      <c r="J6432" s="2">
        <f t="shared" si="100"/>
        <v>43748.935878888886</v>
      </c>
    </row>
    <row r="6433" spans="1:10" x14ac:dyDescent="0.25">
      <c r="A6433" s="7" t="s">
        <v>38503</v>
      </c>
      <c r="B6433" s="8">
        <v>393.75</v>
      </c>
      <c r="C6433" s="8">
        <v>20.426300000000001</v>
      </c>
      <c r="D6433" s="8">
        <v>83</v>
      </c>
      <c r="E6433" s="8">
        <v>0</v>
      </c>
      <c r="F6433" s="8">
        <v>0</v>
      </c>
      <c r="G6433" s="8">
        <v>21</v>
      </c>
      <c r="H6433" s="8" t="s">
        <v>38504</v>
      </c>
      <c r="I6433" s="8">
        <v>526.6875</v>
      </c>
      <c r="J6433" s="3">
        <f t="shared" si="100"/>
        <v>43748.935962210649</v>
      </c>
    </row>
    <row r="6434" spans="1:10" x14ac:dyDescent="0.25">
      <c r="A6434" s="5" t="s">
        <v>38505</v>
      </c>
      <c r="B6434" s="6">
        <v>393.75</v>
      </c>
      <c r="C6434" s="6">
        <v>20.478950000000001</v>
      </c>
      <c r="D6434" s="6">
        <v>84</v>
      </c>
      <c r="E6434" s="6">
        <v>0</v>
      </c>
      <c r="F6434" s="6">
        <v>0</v>
      </c>
      <c r="G6434" s="6">
        <v>18</v>
      </c>
      <c r="H6434" s="6" t="s">
        <v>38506</v>
      </c>
      <c r="I6434" s="6">
        <v>526.6875</v>
      </c>
      <c r="J6434" s="2">
        <f t="shared" si="100"/>
        <v>43748.936033530095</v>
      </c>
    </row>
    <row r="6435" spans="1:10" x14ac:dyDescent="0.25">
      <c r="A6435" s="7" t="s">
        <v>38507</v>
      </c>
      <c r="B6435" s="8">
        <v>396.875</v>
      </c>
      <c r="C6435" s="8">
        <v>20.478950000000001</v>
      </c>
      <c r="D6435" s="8">
        <v>85</v>
      </c>
      <c r="E6435" s="8">
        <v>0</v>
      </c>
      <c r="F6435" s="8">
        <v>0</v>
      </c>
      <c r="G6435" s="8">
        <v>17</v>
      </c>
      <c r="H6435" s="8" t="s">
        <v>38508</v>
      </c>
      <c r="I6435" s="8">
        <v>527.4375</v>
      </c>
      <c r="J6435" s="3">
        <f t="shared" si="100"/>
        <v>43748.936105555556</v>
      </c>
    </row>
    <row r="6436" spans="1:10" x14ac:dyDescent="0.25">
      <c r="A6436" s="5" t="s">
        <v>38509</v>
      </c>
      <c r="B6436" s="6">
        <v>415.625</v>
      </c>
      <c r="C6436" s="6">
        <v>20.478950000000001</v>
      </c>
      <c r="D6436" s="6">
        <v>83</v>
      </c>
      <c r="E6436" s="6">
        <v>0</v>
      </c>
      <c r="F6436" s="6">
        <v>0</v>
      </c>
      <c r="G6436" s="6">
        <v>12</v>
      </c>
      <c r="H6436" s="6" t="s">
        <v>38510</v>
      </c>
      <c r="I6436" s="6">
        <v>533.0625</v>
      </c>
      <c r="J6436" s="2">
        <f t="shared" si="100"/>
        <v>43748.936177037038</v>
      </c>
    </row>
    <row r="6437" spans="1:10" x14ac:dyDescent="0.25">
      <c r="A6437" s="7" t="s">
        <v>38511</v>
      </c>
      <c r="B6437" s="8">
        <v>396.875</v>
      </c>
      <c r="C6437" s="8">
        <v>20.478950000000001</v>
      </c>
      <c r="D6437" s="8">
        <v>81</v>
      </c>
      <c r="E6437" s="8">
        <v>0</v>
      </c>
      <c r="F6437" s="8">
        <v>0</v>
      </c>
      <c r="G6437" s="8">
        <v>13</v>
      </c>
      <c r="H6437" s="8" t="s">
        <v>38512</v>
      </c>
      <c r="I6437" s="8">
        <v>527.4375</v>
      </c>
      <c r="J6437" s="3">
        <f t="shared" si="100"/>
        <v>43748.93627233796</v>
      </c>
    </row>
    <row r="6438" spans="1:10" x14ac:dyDescent="0.25">
      <c r="A6438" s="5" t="s">
        <v>38513</v>
      </c>
      <c r="B6438" s="6">
        <v>396.875</v>
      </c>
      <c r="C6438" s="6">
        <v>20.478950000000001</v>
      </c>
      <c r="D6438" s="6">
        <v>82</v>
      </c>
      <c r="E6438" s="6">
        <v>0</v>
      </c>
      <c r="F6438" s="6">
        <v>0</v>
      </c>
      <c r="G6438" s="6">
        <v>20</v>
      </c>
      <c r="H6438" s="6" t="s">
        <v>38514</v>
      </c>
      <c r="I6438" s="6">
        <v>527.4375</v>
      </c>
      <c r="J6438" s="2">
        <f t="shared" si="100"/>
        <v>43748.936343622678</v>
      </c>
    </row>
    <row r="6439" spans="1:10" x14ac:dyDescent="0.25">
      <c r="A6439" s="7" t="s">
        <v>38515</v>
      </c>
      <c r="B6439" s="8">
        <v>400</v>
      </c>
      <c r="C6439" s="8">
        <v>20.478950000000001</v>
      </c>
      <c r="D6439" s="8">
        <v>82</v>
      </c>
      <c r="E6439" s="8">
        <v>0</v>
      </c>
      <c r="F6439" s="8">
        <v>0</v>
      </c>
      <c r="G6439" s="8">
        <v>20</v>
      </c>
      <c r="H6439" s="8" t="s">
        <v>38516</v>
      </c>
      <c r="I6439" s="8">
        <v>528.375</v>
      </c>
      <c r="J6439" s="3">
        <f t="shared" si="100"/>
        <v>43748.936414976844</v>
      </c>
    </row>
    <row r="6440" spans="1:10" x14ac:dyDescent="0.25">
      <c r="A6440" s="5" t="s">
        <v>38517</v>
      </c>
      <c r="B6440" s="6">
        <v>400</v>
      </c>
      <c r="C6440" s="6">
        <v>20.478950000000001</v>
      </c>
      <c r="D6440" s="6">
        <v>81</v>
      </c>
      <c r="E6440" s="6">
        <v>0</v>
      </c>
      <c r="F6440" s="6">
        <v>0</v>
      </c>
      <c r="G6440" s="6">
        <v>13</v>
      </c>
      <c r="H6440" s="6" t="s">
        <v>38518</v>
      </c>
      <c r="I6440" s="6">
        <v>528.375</v>
      </c>
      <c r="J6440" s="2">
        <f t="shared" si="100"/>
        <v>43748.93648640046</v>
      </c>
    </row>
    <row r="6441" spans="1:10" x14ac:dyDescent="0.25">
      <c r="A6441" s="7" t="s">
        <v>38519</v>
      </c>
      <c r="B6441" s="8">
        <v>396.875</v>
      </c>
      <c r="C6441" s="8">
        <v>20.426300000000001</v>
      </c>
      <c r="D6441" s="8">
        <v>81</v>
      </c>
      <c r="E6441" s="8">
        <v>0</v>
      </c>
      <c r="F6441" s="8">
        <v>0</v>
      </c>
      <c r="G6441" s="8">
        <v>17</v>
      </c>
      <c r="H6441" s="8" t="s">
        <v>38520</v>
      </c>
      <c r="I6441" s="8">
        <v>527.4375</v>
      </c>
      <c r="J6441" s="3">
        <f t="shared" si="100"/>
        <v>43748.93655849537</v>
      </c>
    </row>
    <row r="6442" spans="1:10" x14ac:dyDescent="0.25">
      <c r="A6442" s="5" t="s">
        <v>38521</v>
      </c>
      <c r="B6442" s="6">
        <v>396.875</v>
      </c>
      <c r="C6442" s="6">
        <v>20.478950000000001</v>
      </c>
      <c r="D6442" s="6">
        <v>81</v>
      </c>
      <c r="E6442" s="6">
        <v>0</v>
      </c>
      <c r="F6442" s="6">
        <v>0</v>
      </c>
      <c r="G6442" s="6">
        <v>14</v>
      </c>
      <c r="H6442" s="6" t="s">
        <v>38522</v>
      </c>
      <c r="I6442" s="6">
        <v>527.4375</v>
      </c>
      <c r="J6442" s="2">
        <f t="shared" si="100"/>
        <v>43748.936629791664</v>
      </c>
    </row>
    <row r="6443" spans="1:10" x14ac:dyDescent="0.25">
      <c r="A6443" s="7" t="s">
        <v>38523</v>
      </c>
      <c r="B6443" s="8">
        <v>396.875</v>
      </c>
      <c r="C6443" s="8">
        <v>20.478950000000001</v>
      </c>
      <c r="D6443" s="8">
        <v>82</v>
      </c>
      <c r="E6443" s="8">
        <v>0</v>
      </c>
      <c r="F6443" s="8">
        <v>0</v>
      </c>
      <c r="G6443" s="8">
        <v>20</v>
      </c>
      <c r="H6443" s="8" t="s">
        <v>38524</v>
      </c>
      <c r="I6443" s="8">
        <v>527.4375</v>
      </c>
      <c r="J6443" s="3">
        <f t="shared" si="100"/>
        <v>43748.936701099534</v>
      </c>
    </row>
    <row r="6444" spans="1:10" x14ac:dyDescent="0.25">
      <c r="A6444" s="5" t="s">
        <v>38525</v>
      </c>
      <c r="B6444" s="6">
        <v>393.75</v>
      </c>
      <c r="C6444" s="6">
        <v>20.478950000000001</v>
      </c>
      <c r="D6444" s="6">
        <v>82</v>
      </c>
      <c r="E6444" s="6">
        <v>0</v>
      </c>
      <c r="F6444" s="6">
        <v>0</v>
      </c>
      <c r="G6444" s="6">
        <v>19</v>
      </c>
      <c r="H6444" s="6" t="s">
        <v>38526</v>
      </c>
      <c r="I6444" s="6">
        <v>526.6875</v>
      </c>
      <c r="J6444" s="2">
        <f t="shared" si="100"/>
        <v>43748.936773275462</v>
      </c>
    </row>
    <row r="6445" spans="1:10" x14ac:dyDescent="0.25">
      <c r="A6445" s="7" t="s">
        <v>38527</v>
      </c>
      <c r="B6445" s="8">
        <v>393.75</v>
      </c>
      <c r="C6445" s="8">
        <v>20.478950000000001</v>
      </c>
      <c r="D6445" s="8">
        <v>82</v>
      </c>
      <c r="E6445" s="8">
        <v>0</v>
      </c>
      <c r="F6445" s="8">
        <v>0</v>
      </c>
      <c r="G6445" s="8">
        <v>12</v>
      </c>
      <c r="H6445" s="8" t="s">
        <v>38528</v>
      </c>
      <c r="I6445" s="8">
        <v>526.6875</v>
      </c>
      <c r="J6445" s="3">
        <f t="shared" si="100"/>
        <v>43748.936856435183</v>
      </c>
    </row>
    <row r="6446" spans="1:10" x14ac:dyDescent="0.25">
      <c r="A6446" s="5" t="s">
        <v>38529</v>
      </c>
      <c r="B6446" s="6">
        <v>393.75</v>
      </c>
      <c r="C6446" s="6">
        <v>20.478950000000001</v>
      </c>
      <c r="D6446" s="6">
        <v>81</v>
      </c>
      <c r="E6446" s="6">
        <v>0</v>
      </c>
      <c r="F6446" s="6">
        <v>0</v>
      </c>
      <c r="G6446" s="6">
        <v>18</v>
      </c>
      <c r="H6446" s="6" t="s">
        <v>38530</v>
      </c>
      <c r="I6446" s="6">
        <v>526.5</v>
      </c>
      <c r="J6446" s="2">
        <f t="shared" si="100"/>
        <v>43748.936927939816</v>
      </c>
    </row>
    <row r="6447" spans="1:10" x14ac:dyDescent="0.25">
      <c r="A6447" s="7" t="s">
        <v>38531</v>
      </c>
      <c r="B6447" s="8">
        <v>393.75</v>
      </c>
      <c r="C6447" s="8">
        <v>20.478950000000001</v>
      </c>
      <c r="D6447" s="8">
        <v>80</v>
      </c>
      <c r="E6447" s="8">
        <v>0</v>
      </c>
      <c r="F6447" s="8">
        <v>0</v>
      </c>
      <c r="G6447" s="8">
        <v>10</v>
      </c>
      <c r="H6447" s="8" t="s">
        <v>38532</v>
      </c>
      <c r="I6447" s="8">
        <v>526.6875</v>
      </c>
      <c r="J6447" s="3">
        <f t="shared" si="100"/>
        <v>43748.936999247679</v>
      </c>
    </row>
    <row r="6448" spans="1:10" x14ac:dyDescent="0.25">
      <c r="A6448" s="5" t="s">
        <v>38533</v>
      </c>
      <c r="B6448" s="6">
        <v>396.875</v>
      </c>
      <c r="C6448" s="6">
        <v>20.478950000000001</v>
      </c>
      <c r="D6448" s="6">
        <v>81</v>
      </c>
      <c r="E6448" s="6">
        <v>0</v>
      </c>
      <c r="F6448" s="6">
        <v>0</v>
      </c>
      <c r="G6448" s="6">
        <v>19</v>
      </c>
      <c r="H6448" s="6" t="s">
        <v>38534</v>
      </c>
      <c r="I6448" s="6">
        <v>527.4375</v>
      </c>
      <c r="J6448" s="2">
        <f t="shared" si="100"/>
        <v>43748.937071458327</v>
      </c>
    </row>
    <row r="6449" spans="1:10" x14ac:dyDescent="0.25">
      <c r="A6449" s="7" t="s">
        <v>38535</v>
      </c>
      <c r="B6449" s="8">
        <v>396.875</v>
      </c>
      <c r="C6449" s="8">
        <v>20.478950000000001</v>
      </c>
      <c r="D6449" s="8">
        <v>82</v>
      </c>
      <c r="E6449" s="8">
        <v>0</v>
      </c>
      <c r="F6449" s="8">
        <v>0</v>
      </c>
      <c r="G6449" s="8">
        <v>19</v>
      </c>
      <c r="H6449" s="8" t="s">
        <v>38536</v>
      </c>
      <c r="I6449" s="8">
        <v>527.4375</v>
      </c>
      <c r="J6449" s="3">
        <f t="shared" si="100"/>
        <v>43748.937142766204</v>
      </c>
    </row>
    <row r="6450" spans="1:10" x14ac:dyDescent="0.25">
      <c r="A6450" s="5" t="s">
        <v>38537</v>
      </c>
      <c r="B6450" s="6">
        <v>396.875</v>
      </c>
      <c r="C6450" s="6">
        <v>20.478950000000001</v>
      </c>
      <c r="D6450" s="6">
        <v>79</v>
      </c>
      <c r="E6450" s="6">
        <v>0</v>
      </c>
      <c r="F6450" s="6">
        <v>0</v>
      </c>
      <c r="G6450" s="6">
        <v>16</v>
      </c>
      <c r="H6450" s="6" t="s">
        <v>38538</v>
      </c>
      <c r="I6450" s="6">
        <v>527.4375</v>
      </c>
      <c r="J6450" s="2">
        <f t="shared" si="100"/>
        <v>43748.937214814818</v>
      </c>
    </row>
    <row r="6451" spans="1:10" x14ac:dyDescent="0.25">
      <c r="A6451" s="7" t="s">
        <v>38539</v>
      </c>
      <c r="B6451" s="8">
        <v>396.875</v>
      </c>
      <c r="C6451" s="8">
        <v>20.478950000000001</v>
      </c>
      <c r="D6451" s="8">
        <v>81</v>
      </c>
      <c r="E6451" s="8">
        <v>0</v>
      </c>
      <c r="F6451" s="8">
        <v>0</v>
      </c>
      <c r="G6451" s="8">
        <v>14</v>
      </c>
      <c r="H6451" s="8" t="s">
        <v>38540</v>
      </c>
      <c r="I6451" s="8">
        <v>527.4375</v>
      </c>
      <c r="J6451" s="3">
        <f t="shared" si="100"/>
        <v>43748.937286111111</v>
      </c>
    </row>
    <row r="6452" spans="1:10" x14ac:dyDescent="0.25">
      <c r="A6452" s="5" t="s">
        <v>38541</v>
      </c>
      <c r="B6452" s="6">
        <v>396.875</v>
      </c>
      <c r="C6452" s="6">
        <v>20.478950000000001</v>
      </c>
      <c r="D6452" s="6">
        <v>81</v>
      </c>
      <c r="E6452" s="6">
        <v>0</v>
      </c>
      <c r="F6452" s="6">
        <v>0</v>
      </c>
      <c r="G6452" s="6">
        <v>23</v>
      </c>
      <c r="H6452" s="6" t="s">
        <v>38542</v>
      </c>
      <c r="I6452" s="6">
        <v>527.4375</v>
      </c>
      <c r="J6452" s="2">
        <f t="shared" si="100"/>
        <v>43748.937381388889</v>
      </c>
    </row>
    <row r="6453" spans="1:10" x14ac:dyDescent="0.25">
      <c r="A6453" s="7" t="s">
        <v>38543</v>
      </c>
      <c r="B6453" s="8">
        <v>415.625</v>
      </c>
      <c r="C6453" s="8">
        <v>20.478950000000001</v>
      </c>
      <c r="D6453" s="8">
        <v>81</v>
      </c>
      <c r="E6453" s="8">
        <v>0</v>
      </c>
      <c r="F6453" s="8">
        <v>0</v>
      </c>
      <c r="G6453" s="8">
        <v>24</v>
      </c>
      <c r="H6453" s="8" t="s">
        <v>38544</v>
      </c>
      <c r="I6453" s="8">
        <v>533.25</v>
      </c>
      <c r="J6453" s="3">
        <f t="shared" si="100"/>
        <v>43748.937452743055</v>
      </c>
    </row>
    <row r="6454" spans="1:10" x14ac:dyDescent="0.25">
      <c r="A6454" s="5" t="s">
        <v>38545</v>
      </c>
      <c r="B6454" s="6">
        <v>393.75</v>
      </c>
      <c r="C6454" s="6">
        <v>20.478950000000001</v>
      </c>
      <c r="D6454" s="6">
        <v>85</v>
      </c>
      <c r="E6454" s="6">
        <v>0</v>
      </c>
      <c r="F6454" s="6">
        <v>0</v>
      </c>
      <c r="G6454" s="6">
        <v>9</v>
      </c>
      <c r="H6454" s="6" t="s">
        <v>38546</v>
      </c>
      <c r="I6454" s="6">
        <v>526.6875</v>
      </c>
      <c r="J6454" s="2">
        <f t="shared" si="100"/>
        <v>43748.937524293979</v>
      </c>
    </row>
    <row r="6455" spans="1:10" x14ac:dyDescent="0.25">
      <c r="A6455" s="7" t="s">
        <v>38547</v>
      </c>
      <c r="B6455" s="8">
        <v>393.75</v>
      </c>
      <c r="C6455" s="8">
        <v>20.478950000000001</v>
      </c>
      <c r="D6455" s="8">
        <v>83</v>
      </c>
      <c r="E6455" s="8">
        <v>0</v>
      </c>
      <c r="F6455" s="8">
        <v>0</v>
      </c>
      <c r="G6455" s="8">
        <v>12</v>
      </c>
      <c r="H6455" s="8" t="s">
        <v>38548</v>
      </c>
      <c r="I6455" s="8">
        <v>526.6875</v>
      </c>
      <c r="J6455" s="3">
        <f t="shared" si="100"/>
        <v>43748.937595613424</v>
      </c>
    </row>
    <row r="6456" spans="1:10" x14ac:dyDescent="0.25">
      <c r="A6456" s="5" t="s">
        <v>38549</v>
      </c>
      <c r="B6456" s="6">
        <v>393.75</v>
      </c>
      <c r="C6456" s="6">
        <v>20.478950000000001</v>
      </c>
      <c r="D6456" s="6">
        <v>82</v>
      </c>
      <c r="E6456" s="6">
        <v>0</v>
      </c>
      <c r="F6456" s="6">
        <v>0</v>
      </c>
      <c r="G6456" s="6">
        <v>14</v>
      </c>
      <c r="H6456" s="6" t="s">
        <v>38550</v>
      </c>
      <c r="I6456" s="6">
        <v>526.6875</v>
      </c>
      <c r="J6456" s="2">
        <f t="shared" si="100"/>
        <v>43748.937667743048</v>
      </c>
    </row>
    <row r="6457" spans="1:10" x14ac:dyDescent="0.25">
      <c r="A6457" s="7" t="s">
        <v>38551</v>
      </c>
      <c r="B6457" s="8">
        <v>393.75</v>
      </c>
      <c r="C6457" s="8">
        <v>20.478950000000001</v>
      </c>
      <c r="D6457" s="8">
        <v>81</v>
      </c>
      <c r="E6457" s="8">
        <v>0</v>
      </c>
      <c r="F6457" s="8">
        <v>0</v>
      </c>
      <c r="G6457" s="8">
        <v>13</v>
      </c>
      <c r="H6457" s="8" t="s">
        <v>38552</v>
      </c>
      <c r="I6457" s="8">
        <v>526.6875</v>
      </c>
      <c r="J6457" s="3">
        <f t="shared" si="100"/>
        <v>43748.937739050925</v>
      </c>
    </row>
    <row r="6458" spans="1:10" x14ac:dyDescent="0.25">
      <c r="A6458" s="5" t="s">
        <v>38553</v>
      </c>
      <c r="B6458" s="6">
        <v>393.75</v>
      </c>
      <c r="C6458" s="6">
        <v>20.478950000000001</v>
      </c>
      <c r="D6458" s="6">
        <v>81</v>
      </c>
      <c r="E6458" s="6">
        <v>0</v>
      </c>
      <c r="F6458" s="6">
        <v>0</v>
      </c>
      <c r="G6458" s="6">
        <v>17</v>
      </c>
      <c r="H6458" s="6" t="s">
        <v>38554</v>
      </c>
      <c r="I6458" s="6">
        <v>526.6875</v>
      </c>
      <c r="J6458" s="2">
        <f t="shared" si="100"/>
        <v>43748.937811076386</v>
      </c>
    </row>
    <row r="6459" spans="1:10" x14ac:dyDescent="0.25">
      <c r="A6459" s="7" t="s">
        <v>38555</v>
      </c>
      <c r="B6459" s="8">
        <v>393.75</v>
      </c>
      <c r="C6459" s="8">
        <v>20.478950000000001</v>
      </c>
      <c r="D6459" s="8">
        <v>81</v>
      </c>
      <c r="E6459" s="8">
        <v>0</v>
      </c>
      <c r="F6459" s="8">
        <v>0</v>
      </c>
      <c r="G6459" s="8">
        <v>12</v>
      </c>
      <c r="H6459" s="8" t="s">
        <v>38556</v>
      </c>
      <c r="I6459" s="8">
        <v>526.6875</v>
      </c>
      <c r="J6459" s="3">
        <f t="shared" si="100"/>
        <v>43748.937881678234</v>
      </c>
    </row>
    <row r="6460" spans="1:10" x14ac:dyDescent="0.25">
      <c r="A6460" s="5" t="s">
        <v>38557</v>
      </c>
      <c r="B6460" s="6">
        <v>393.75</v>
      </c>
      <c r="C6460" s="6">
        <v>20.478950000000001</v>
      </c>
      <c r="D6460" s="6">
        <v>81</v>
      </c>
      <c r="E6460" s="6">
        <v>0</v>
      </c>
      <c r="F6460" s="6">
        <v>0</v>
      </c>
      <c r="G6460" s="6">
        <v>14</v>
      </c>
      <c r="H6460" s="6" t="s">
        <v>38558</v>
      </c>
      <c r="I6460" s="6">
        <v>526.6875</v>
      </c>
      <c r="J6460" s="2">
        <f t="shared" si="100"/>
        <v>43748.937953877314</v>
      </c>
    </row>
    <row r="6461" spans="1:10" x14ac:dyDescent="0.25">
      <c r="A6461" s="7" t="s">
        <v>38559</v>
      </c>
      <c r="B6461" s="8">
        <v>393.75</v>
      </c>
      <c r="C6461" s="8">
        <v>20.478950000000001</v>
      </c>
      <c r="D6461" s="8">
        <v>82</v>
      </c>
      <c r="E6461" s="8">
        <v>0</v>
      </c>
      <c r="F6461" s="8">
        <v>0</v>
      </c>
      <c r="G6461" s="8">
        <v>19</v>
      </c>
      <c r="H6461" s="8" t="s">
        <v>38560</v>
      </c>
      <c r="I6461" s="8">
        <v>526.5</v>
      </c>
      <c r="J6461" s="3">
        <f t="shared" si="100"/>
        <v>43748.93803868055</v>
      </c>
    </row>
    <row r="6462" spans="1:10" x14ac:dyDescent="0.25">
      <c r="A6462" s="5" t="s">
        <v>38561</v>
      </c>
      <c r="B6462" s="6">
        <v>393.75</v>
      </c>
      <c r="C6462" s="6">
        <v>20.478950000000001</v>
      </c>
      <c r="D6462" s="6">
        <v>81</v>
      </c>
      <c r="E6462" s="6">
        <v>0</v>
      </c>
      <c r="F6462" s="6">
        <v>0</v>
      </c>
      <c r="G6462" s="6">
        <v>8</v>
      </c>
      <c r="H6462" s="6" t="s">
        <v>38562</v>
      </c>
      <c r="I6462" s="6">
        <v>526.6875</v>
      </c>
      <c r="J6462" s="2">
        <f t="shared" si="100"/>
        <v>43748.938120520826</v>
      </c>
    </row>
    <row r="6463" spans="1:10" x14ac:dyDescent="0.25">
      <c r="A6463" s="7" t="s">
        <v>38563</v>
      </c>
      <c r="B6463" s="8">
        <v>393.75</v>
      </c>
      <c r="C6463" s="8">
        <v>20.478950000000001</v>
      </c>
      <c r="D6463" s="8">
        <v>81</v>
      </c>
      <c r="E6463" s="8">
        <v>0</v>
      </c>
      <c r="F6463" s="8">
        <v>0</v>
      </c>
      <c r="G6463" s="8">
        <v>15</v>
      </c>
      <c r="H6463" s="8" t="s">
        <v>38564</v>
      </c>
      <c r="I6463" s="8">
        <v>526.6875</v>
      </c>
      <c r="J6463" s="3">
        <f t="shared" si="100"/>
        <v>43748.938191828704</v>
      </c>
    </row>
    <row r="6464" spans="1:10" x14ac:dyDescent="0.25">
      <c r="A6464" s="5" t="s">
        <v>38565</v>
      </c>
      <c r="B6464" s="6">
        <v>393.75</v>
      </c>
      <c r="C6464" s="6">
        <v>20.478950000000001</v>
      </c>
      <c r="D6464" s="6">
        <v>78</v>
      </c>
      <c r="E6464" s="6">
        <v>0</v>
      </c>
      <c r="F6464" s="6">
        <v>0</v>
      </c>
      <c r="G6464" s="6">
        <v>17</v>
      </c>
      <c r="H6464" s="6" t="s">
        <v>38566</v>
      </c>
      <c r="I6464" s="6">
        <v>526.6875</v>
      </c>
      <c r="J6464" s="2">
        <f t="shared" si="100"/>
        <v>43748.938264027776</v>
      </c>
    </row>
    <row r="6465" spans="1:10" x14ac:dyDescent="0.25">
      <c r="A6465" s="7" t="s">
        <v>38567</v>
      </c>
      <c r="B6465" s="8">
        <v>393.75</v>
      </c>
      <c r="C6465" s="8">
        <v>20.478950000000001</v>
      </c>
      <c r="D6465" s="8">
        <v>83</v>
      </c>
      <c r="E6465" s="8">
        <v>0</v>
      </c>
      <c r="F6465" s="8">
        <v>0</v>
      </c>
      <c r="G6465" s="8">
        <v>15</v>
      </c>
      <c r="H6465" s="8" t="s">
        <v>38568</v>
      </c>
      <c r="I6465" s="8">
        <v>526.6875</v>
      </c>
      <c r="J6465" s="3">
        <f t="shared" si="100"/>
        <v>43748.93833532407</v>
      </c>
    </row>
    <row r="6466" spans="1:10" x14ac:dyDescent="0.25">
      <c r="A6466" s="5" t="s">
        <v>38569</v>
      </c>
      <c r="B6466" s="6">
        <v>393.75</v>
      </c>
      <c r="C6466" s="6">
        <v>20.478950000000001</v>
      </c>
      <c r="D6466" s="6">
        <v>82</v>
      </c>
      <c r="E6466" s="6">
        <v>0</v>
      </c>
      <c r="F6466" s="6">
        <v>0</v>
      </c>
      <c r="G6466" s="6">
        <v>17</v>
      </c>
      <c r="H6466" s="6" t="s">
        <v>38570</v>
      </c>
      <c r="I6466" s="6">
        <v>526.5</v>
      </c>
      <c r="J6466" s="2">
        <f t="shared" ref="J6466:J6529" si="101">(H6466/86400000)+25569+(7/24)</f>
        <v>43748.93841865741</v>
      </c>
    </row>
    <row r="6467" spans="1:10" x14ac:dyDescent="0.25">
      <c r="A6467" s="7" t="s">
        <v>38571</v>
      </c>
      <c r="B6467" s="8">
        <v>393.75</v>
      </c>
      <c r="C6467" s="8">
        <v>20.478950000000001</v>
      </c>
      <c r="D6467" s="8">
        <v>83</v>
      </c>
      <c r="E6467" s="8">
        <v>0</v>
      </c>
      <c r="F6467" s="8">
        <v>0</v>
      </c>
      <c r="G6467" s="8">
        <v>20</v>
      </c>
      <c r="H6467" s="8" t="s">
        <v>38572</v>
      </c>
      <c r="I6467" s="8">
        <v>526.6875</v>
      </c>
      <c r="J6467" s="3">
        <f t="shared" si="101"/>
        <v>43748.938489930551</v>
      </c>
    </row>
    <row r="6468" spans="1:10" x14ac:dyDescent="0.25">
      <c r="A6468" s="5" t="s">
        <v>38573</v>
      </c>
      <c r="B6468" s="6">
        <v>393.75</v>
      </c>
      <c r="C6468" s="6">
        <v>20.478950000000001</v>
      </c>
      <c r="D6468" s="6">
        <v>83</v>
      </c>
      <c r="E6468" s="6">
        <v>0</v>
      </c>
      <c r="F6468" s="6">
        <v>0</v>
      </c>
      <c r="G6468" s="6">
        <v>15</v>
      </c>
      <c r="H6468" s="6" t="s">
        <v>38574</v>
      </c>
      <c r="I6468" s="6">
        <v>526.6875</v>
      </c>
      <c r="J6468" s="2">
        <f t="shared" si="101"/>
        <v>43748.938573993051</v>
      </c>
    </row>
    <row r="6469" spans="1:10" x14ac:dyDescent="0.25">
      <c r="A6469" s="7" t="s">
        <v>38575</v>
      </c>
      <c r="B6469" s="8">
        <v>393.75</v>
      </c>
      <c r="C6469" s="8">
        <v>20.478950000000001</v>
      </c>
      <c r="D6469" s="8">
        <v>83</v>
      </c>
      <c r="E6469" s="8">
        <v>0</v>
      </c>
      <c r="F6469" s="8">
        <v>0</v>
      </c>
      <c r="G6469" s="8">
        <v>24</v>
      </c>
      <c r="H6469" s="8" t="s">
        <v>38576</v>
      </c>
      <c r="I6469" s="8">
        <v>526.6875</v>
      </c>
      <c r="J6469" s="3">
        <f t="shared" si="101"/>
        <v>43748.938669432864</v>
      </c>
    </row>
    <row r="6470" spans="1:10" x14ac:dyDescent="0.25">
      <c r="A6470" s="5" t="s">
        <v>38577</v>
      </c>
      <c r="B6470" s="6">
        <v>393.75</v>
      </c>
      <c r="C6470" s="6">
        <v>20.478950000000001</v>
      </c>
      <c r="D6470" s="6">
        <v>83</v>
      </c>
      <c r="E6470" s="6">
        <v>0</v>
      </c>
      <c r="F6470" s="6">
        <v>0</v>
      </c>
      <c r="G6470" s="6">
        <v>12</v>
      </c>
      <c r="H6470" s="6" t="s">
        <v>38578</v>
      </c>
      <c r="I6470" s="6">
        <v>526.6875</v>
      </c>
      <c r="J6470" s="2">
        <f t="shared" si="101"/>
        <v>43748.938740937498</v>
      </c>
    </row>
    <row r="6471" spans="1:10" x14ac:dyDescent="0.25">
      <c r="A6471" s="7" t="s">
        <v>38579</v>
      </c>
      <c r="B6471" s="8">
        <v>393.75</v>
      </c>
      <c r="C6471" s="8">
        <v>20.478950000000001</v>
      </c>
      <c r="D6471" s="8">
        <v>82</v>
      </c>
      <c r="E6471" s="8">
        <v>0</v>
      </c>
      <c r="F6471" s="8">
        <v>0</v>
      </c>
      <c r="G6471" s="8">
        <v>16</v>
      </c>
      <c r="H6471" s="8" t="s">
        <v>38580</v>
      </c>
      <c r="I6471" s="8">
        <v>526.6875</v>
      </c>
      <c r="J6471" s="3">
        <f t="shared" si="101"/>
        <v>43748.938812060187</v>
      </c>
    </row>
    <row r="6472" spans="1:10" x14ac:dyDescent="0.25">
      <c r="A6472" s="5" t="s">
        <v>38581</v>
      </c>
      <c r="B6472" s="6">
        <v>393.75</v>
      </c>
      <c r="C6472" s="6">
        <v>20.478950000000001</v>
      </c>
      <c r="D6472" s="6">
        <v>82</v>
      </c>
      <c r="E6472" s="6">
        <v>0</v>
      </c>
      <c r="F6472" s="6">
        <v>0</v>
      </c>
      <c r="G6472" s="6">
        <v>8</v>
      </c>
      <c r="H6472" s="6" t="s">
        <v>38582</v>
      </c>
      <c r="I6472" s="6">
        <v>526.6875</v>
      </c>
      <c r="J6472" s="2">
        <f t="shared" si="101"/>
        <v>43748.938883553237</v>
      </c>
    </row>
    <row r="6473" spans="1:10" x14ac:dyDescent="0.25">
      <c r="A6473" s="7" t="s">
        <v>38583</v>
      </c>
      <c r="B6473" s="8">
        <v>393.75</v>
      </c>
      <c r="C6473" s="8">
        <v>20.478950000000001</v>
      </c>
      <c r="D6473" s="8">
        <v>84</v>
      </c>
      <c r="E6473" s="8">
        <v>0</v>
      </c>
      <c r="F6473" s="8">
        <v>0</v>
      </c>
      <c r="G6473" s="8">
        <v>14</v>
      </c>
      <c r="H6473" s="8" t="s">
        <v>38584</v>
      </c>
      <c r="I6473" s="8">
        <v>526.6875</v>
      </c>
      <c r="J6473" s="3">
        <f t="shared" si="101"/>
        <v>43748.938955706013</v>
      </c>
    </row>
    <row r="6474" spans="1:10" x14ac:dyDescent="0.25">
      <c r="A6474" s="5" t="s">
        <v>38585</v>
      </c>
      <c r="B6474" s="6">
        <v>412.5</v>
      </c>
      <c r="C6474" s="6">
        <v>20.478950000000001</v>
      </c>
      <c r="D6474" s="6">
        <v>84</v>
      </c>
      <c r="E6474" s="6">
        <v>0</v>
      </c>
      <c r="F6474" s="6">
        <v>0</v>
      </c>
      <c r="G6474" s="6">
        <v>17</v>
      </c>
      <c r="H6474" s="6" t="s">
        <v>38586</v>
      </c>
      <c r="I6474" s="6">
        <v>532.3125</v>
      </c>
      <c r="J6474" s="2">
        <f t="shared" si="101"/>
        <v>43748.939026817126</v>
      </c>
    </row>
    <row r="6475" spans="1:10" x14ac:dyDescent="0.25">
      <c r="A6475" s="7" t="s">
        <v>38587</v>
      </c>
      <c r="B6475" s="8">
        <v>393.75</v>
      </c>
      <c r="C6475" s="8">
        <v>20.478950000000001</v>
      </c>
      <c r="D6475" s="8">
        <v>83</v>
      </c>
      <c r="E6475" s="8">
        <v>0</v>
      </c>
      <c r="F6475" s="8">
        <v>0</v>
      </c>
      <c r="G6475" s="8">
        <v>14</v>
      </c>
      <c r="H6475" s="8" t="s">
        <v>38588</v>
      </c>
      <c r="I6475" s="8">
        <v>526.6875</v>
      </c>
      <c r="J6475" s="3">
        <f t="shared" si="101"/>
        <v>43748.939122129632</v>
      </c>
    </row>
    <row r="6476" spans="1:10" x14ac:dyDescent="0.25">
      <c r="A6476" s="5" t="s">
        <v>38589</v>
      </c>
      <c r="B6476" s="6">
        <v>393.75</v>
      </c>
      <c r="C6476" s="6">
        <v>20.478950000000001</v>
      </c>
      <c r="D6476" s="6">
        <v>83</v>
      </c>
      <c r="E6476" s="6">
        <v>0</v>
      </c>
      <c r="F6476" s="6">
        <v>0</v>
      </c>
      <c r="G6476" s="6">
        <v>16</v>
      </c>
      <c r="H6476" s="6" t="s">
        <v>38590</v>
      </c>
      <c r="I6476" s="6">
        <v>526.6875</v>
      </c>
      <c r="J6476" s="2">
        <f t="shared" si="101"/>
        <v>43748.939193657403</v>
      </c>
    </row>
    <row r="6477" spans="1:10" x14ac:dyDescent="0.25">
      <c r="A6477" s="7" t="s">
        <v>38591</v>
      </c>
      <c r="B6477" s="8">
        <v>393.75</v>
      </c>
      <c r="C6477" s="8">
        <v>20.478950000000001</v>
      </c>
      <c r="D6477" s="8">
        <v>83</v>
      </c>
      <c r="E6477" s="8">
        <v>0</v>
      </c>
      <c r="F6477" s="8">
        <v>0</v>
      </c>
      <c r="G6477" s="8">
        <v>24</v>
      </c>
      <c r="H6477" s="8" t="s">
        <v>38592</v>
      </c>
      <c r="I6477" s="8">
        <v>526.6875</v>
      </c>
      <c r="J6477" s="3">
        <f t="shared" si="101"/>
        <v>43748.939265671295</v>
      </c>
    </row>
    <row r="6478" spans="1:10" x14ac:dyDescent="0.25">
      <c r="A6478" s="5" t="s">
        <v>38593</v>
      </c>
      <c r="B6478" s="6">
        <v>393.75</v>
      </c>
      <c r="C6478" s="6">
        <v>20.478950000000001</v>
      </c>
      <c r="D6478" s="6">
        <v>83</v>
      </c>
      <c r="E6478" s="6">
        <v>0</v>
      </c>
      <c r="F6478" s="6">
        <v>0</v>
      </c>
      <c r="G6478" s="6">
        <v>23</v>
      </c>
      <c r="H6478" s="6" t="s">
        <v>38594</v>
      </c>
      <c r="I6478" s="6">
        <v>526.6875</v>
      </c>
      <c r="J6478" s="2">
        <f t="shared" si="101"/>
        <v>43748.939337245371</v>
      </c>
    </row>
    <row r="6479" spans="1:10" x14ac:dyDescent="0.25">
      <c r="A6479" s="7" t="s">
        <v>38595</v>
      </c>
      <c r="B6479" s="8">
        <v>393.75</v>
      </c>
      <c r="C6479" s="8">
        <v>20.478950000000001</v>
      </c>
      <c r="D6479" s="8">
        <v>82</v>
      </c>
      <c r="E6479" s="8">
        <v>0</v>
      </c>
      <c r="F6479" s="8">
        <v>0</v>
      </c>
      <c r="G6479" s="8">
        <v>28</v>
      </c>
      <c r="H6479" s="8" t="s">
        <v>38596</v>
      </c>
      <c r="I6479" s="8">
        <v>526.6875</v>
      </c>
      <c r="J6479" s="3">
        <f t="shared" si="101"/>
        <v>43748.939408530096</v>
      </c>
    </row>
    <row r="6480" spans="1:10" x14ac:dyDescent="0.25">
      <c r="A6480" s="5" t="s">
        <v>38597</v>
      </c>
      <c r="B6480" s="6">
        <v>393.75</v>
      </c>
      <c r="C6480" s="6">
        <v>20.478950000000001</v>
      </c>
      <c r="D6480" s="6">
        <v>82</v>
      </c>
      <c r="E6480" s="6">
        <v>0</v>
      </c>
      <c r="F6480" s="6">
        <v>0</v>
      </c>
      <c r="G6480" s="6">
        <v>16</v>
      </c>
      <c r="H6480" s="6" t="s">
        <v>38598</v>
      </c>
      <c r="I6480" s="6">
        <v>526.6875</v>
      </c>
      <c r="J6480" s="2">
        <f t="shared" si="101"/>
        <v>43748.939479837958</v>
      </c>
    </row>
    <row r="6481" spans="1:10" x14ac:dyDescent="0.25">
      <c r="A6481" s="7" t="s">
        <v>38599</v>
      </c>
      <c r="B6481" s="8">
        <v>393.75</v>
      </c>
      <c r="C6481" s="8">
        <v>20.478950000000001</v>
      </c>
      <c r="D6481" s="8">
        <v>82</v>
      </c>
      <c r="E6481" s="8">
        <v>0</v>
      </c>
      <c r="F6481" s="8">
        <v>0</v>
      </c>
      <c r="G6481" s="8">
        <v>21</v>
      </c>
      <c r="H6481" s="8" t="s">
        <v>38600</v>
      </c>
      <c r="I6481" s="8">
        <v>526.6875</v>
      </c>
      <c r="J6481" s="3">
        <f t="shared" si="101"/>
        <v>43748.93956013889</v>
      </c>
    </row>
    <row r="6482" spans="1:10" x14ac:dyDescent="0.25">
      <c r="A6482" s="5" t="s">
        <v>38601</v>
      </c>
      <c r="B6482" s="6">
        <v>393.75</v>
      </c>
      <c r="C6482" s="6">
        <v>20.478950000000001</v>
      </c>
      <c r="D6482" s="6">
        <v>82</v>
      </c>
      <c r="E6482" s="6">
        <v>0</v>
      </c>
      <c r="F6482" s="6">
        <v>0</v>
      </c>
      <c r="G6482" s="6">
        <v>20</v>
      </c>
      <c r="H6482" s="6" t="s">
        <v>38602</v>
      </c>
      <c r="I6482" s="6">
        <v>526.6875</v>
      </c>
      <c r="J6482" s="2">
        <f t="shared" si="101"/>
        <v>43748.939635324066</v>
      </c>
    </row>
    <row r="6483" spans="1:10" x14ac:dyDescent="0.25">
      <c r="A6483" s="7" t="s">
        <v>38603</v>
      </c>
      <c r="B6483" s="8">
        <v>393.75</v>
      </c>
      <c r="C6483" s="8">
        <v>20.478950000000001</v>
      </c>
      <c r="D6483" s="8">
        <v>82</v>
      </c>
      <c r="E6483" s="8">
        <v>0</v>
      </c>
      <c r="F6483" s="8">
        <v>0</v>
      </c>
      <c r="G6483" s="8">
        <v>16</v>
      </c>
      <c r="H6483" s="8" t="s">
        <v>38604</v>
      </c>
      <c r="I6483" s="8">
        <v>526.5</v>
      </c>
      <c r="J6483" s="3">
        <f t="shared" si="101"/>
        <v>43748.939706643512</v>
      </c>
    </row>
    <row r="6484" spans="1:10" x14ac:dyDescent="0.25">
      <c r="A6484" s="5" t="s">
        <v>38605</v>
      </c>
      <c r="B6484" s="6">
        <v>421.875</v>
      </c>
      <c r="C6484" s="6">
        <v>20.478950000000001</v>
      </c>
      <c r="D6484" s="6">
        <v>82</v>
      </c>
      <c r="E6484" s="6">
        <v>0</v>
      </c>
      <c r="F6484" s="6">
        <v>0</v>
      </c>
      <c r="G6484" s="6">
        <v>5</v>
      </c>
      <c r="H6484" s="6" t="s">
        <v>38606</v>
      </c>
      <c r="I6484" s="6">
        <v>535.875</v>
      </c>
      <c r="J6484" s="2">
        <f t="shared" si="101"/>
        <v>43748.939777916668</v>
      </c>
    </row>
    <row r="6485" spans="1:10" x14ac:dyDescent="0.25">
      <c r="A6485" s="7" t="s">
        <v>38607</v>
      </c>
      <c r="B6485" s="8">
        <v>393.75</v>
      </c>
      <c r="C6485" s="8">
        <v>20.478950000000001</v>
      </c>
      <c r="D6485" s="8">
        <v>82</v>
      </c>
      <c r="E6485" s="8">
        <v>0</v>
      </c>
      <c r="F6485" s="8">
        <v>0</v>
      </c>
      <c r="G6485" s="8">
        <v>16</v>
      </c>
      <c r="H6485" s="8" t="s">
        <v>38608</v>
      </c>
      <c r="I6485" s="8">
        <v>526.6875</v>
      </c>
      <c r="J6485" s="3">
        <f t="shared" si="101"/>
        <v>43748.939885266205</v>
      </c>
    </row>
    <row r="6486" spans="1:10" x14ac:dyDescent="0.25">
      <c r="A6486" s="5" t="s">
        <v>38609</v>
      </c>
      <c r="B6486" s="6">
        <v>412.5</v>
      </c>
      <c r="C6486" s="6">
        <v>20.478950000000001</v>
      </c>
      <c r="D6486" s="6">
        <v>83</v>
      </c>
      <c r="E6486" s="6">
        <v>0</v>
      </c>
      <c r="F6486" s="6">
        <v>0</v>
      </c>
      <c r="G6486" s="6">
        <v>18</v>
      </c>
      <c r="H6486" s="6" t="s">
        <v>38610</v>
      </c>
      <c r="I6486" s="6">
        <v>532.3125</v>
      </c>
      <c r="J6486" s="2">
        <f t="shared" si="101"/>
        <v>43748.939957523144</v>
      </c>
    </row>
    <row r="6487" spans="1:10" x14ac:dyDescent="0.25">
      <c r="A6487" s="7" t="s">
        <v>38611</v>
      </c>
      <c r="B6487" s="8">
        <v>393.75</v>
      </c>
      <c r="C6487" s="8">
        <v>20.478950000000001</v>
      </c>
      <c r="D6487" s="8">
        <v>83</v>
      </c>
      <c r="E6487" s="8">
        <v>0</v>
      </c>
      <c r="F6487" s="8">
        <v>0</v>
      </c>
      <c r="G6487" s="8">
        <v>8</v>
      </c>
      <c r="H6487" s="8" t="s">
        <v>38612</v>
      </c>
      <c r="I6487" s="8">
        <v>526.6875</v>
      </c>
      <c r="J6487" s="3">
        <f t="shared" si="101"/>
        <v>43748.940028831021</v>
      </c>
    </row>
    <row r="6488" spans="1:10" x14ac:dyDescent="0.25">
      <c r="A6488" s="5" t="s">
        <v>38613</v>
      </c>
      <c r="B6488" s="6">
        <v>393.75</v>
      </c>
      <c r="C6488" s="6">
        <v>20.478950000000001</v>
      </c>
      <c r="D6488" s="6">
        <v>89</v>
      </c>
      <c r="E6488" s="6">
        <v>0</v>
      </c>
      <c r="F6488" s="6">
        <v>0</v>
      </c>
      <c r="G6488" s="6">
        <v>10</v>
      </c>
      <c r="H6488" s="6" t="s">
        <v>38614</v>
      </c>
      <c r="I6488" s="6">
        <v>526.5</v>
      </c>
      <c r="J6488" s="2">
        <f t="shared" si="101"/>
        <v>43748.940100347223</v>
      </c>
    </row>
    <row r="6489" spans="1:10" x14ac:dyDescent="0.25">
      <c r="A6489" s="7" t="s">
        <v>38615</v>
      </c>
      <c r="B6489" s="8">
        <v>393.75</v>
      </c>
      <c r="C6489" s="8">
        <v>20.478950000000001</v>
      </c>
      <c r="D6489" s="8">
        <v>89</v>
      </c>
      <c r="E6489" s="8">
        <v>0</v>
      </c>
      <c r="F6489" s="8">
        <v>0</v>
      </c>
      <c r="G6489" s="8">
        <v>18</v>
      </c>
      <c r="H6489" s="8" t="s">
        <v>38616</v>
      </c>
      <c r="I6489" s="8">
        <v>526.6875</v>
      </c>
      <c r="J6489" s="3">
        <f t="shared" si="101"/>
        <v>43748.940171504626</v>
      </c>
    </row>
    <row r="6490" spans="1:10" x14ac:dyDescent="0.25">
      <c r="A6490" s="5" t="s">
        <v>38617</v>
      </c>
      <c r="B6490" s="6">
        <v>434.375</v>
      </c>
      <c r="C6490" s="6">
        <v>20.478950000000001</v>
      </c>
      <c r="D6490" s="6">
        <v>88</v>
      </c>
      <c r="E6490" s="6">
        <v>0</v>
      </c>
      <c r="F6490" s="6">
        <v>0</v>
      </c>
      <c r="G6490" s="6">
        <v>20</v>
      </c>
      <c r="H6490" s="6" t="s">
        <v>38618</v>
      </c>
      <c r="I6490" s="6">
        <v>539.625</v>
      </c>
      <c r="J6490" s="2">
        <f t="shared" si="101"/>
        <v>43748.940243009252</v>
      </c>
    </row>
    <row r="6491" spans="1:10" x14ac:dyDescent="0.25">
      <c r="A6491" s="7" t="s">
        <v>38619</v>
      </c>
      <c r="B6491" s="8">
        <v>393.75</v>
      </c>
      <c r="C6491" s="8">
        <v>20.478950000000001</v>
      </c>
      <c r="D6491" s="8">
        <v>88</v>
      </c>
      <c r="E6491" s="8">
        <v>0</v>
      </c>
      <c r="F6491" s="8">
        <v>0</v>
      </c>
      <c r="G6491" s="8">
        <v>20</v>
      </c>
      <c r="H6491" s="8" t="s">
        <v>38620</v>
      </c>
      <c r="I6491" s="8">
        <v>526.6875</v>
      </c>
      <c r="J6491" s="3">
        <f t="shared" si="101"/>
        <v>43748.940314942127</v>
      </c>
    </row>
    <row r="6492" spans="1:10" x14ac:dyDescent="0.25">
      <c r="A6492" s="5" t="s">
        <v>38621</v>
      </c>
      <c r="B6492" s="6">
        <v>393.75</v>
      </c>
      <c r="C6492" s="6">
        <v>20.478950000000001</v>
      </c>
      <c r="D6492" s="6">
        <v>88</v>
      </c>
      <c r="E6492" s="6">
        <v>0</v>
      </c>
      <c r="F6492" s="6">
        <v>0</v>
      </c>
      <c r="G6492" s="6">
        <v>17</v>
      </c>
      <c r="H6492" s="6" t="s">
        <v>38622</v>
      </c>
      <c r="I6492" s="6">
        <v>526.6875</v>
      </c>
      <c r="J6492" s="2">
        <f t="shared" si="101"/>
        <v>43748.940386238428</v>
      </c>
    </row>
    <row r="6493" spans="1:10" x14ac:dyDescent="0.25">
      <c r="A6493" s="7" t="s">
        <v>38623</v>
      </c>
      <c r="B6493" s="8">
        <v>393.75</v>
      </c>
      <c r="C6493" s="8">
        <v>20.478950000000001</v>
      </c>
      <c r="D6493" s="8">
        <v>88</v>
      </c>
      <c r="E6493" s="8">
        <v>0</v>
      </c>
      <c r="F6493" s="8">
        <v>0</v>
      </c>
      <c r="G6493" s="8">
        <v>19</v>
      </c>
      <c r="H6493" s="8" t="s">
        <v>38624</v>
      </c>
      <c r="I6493" s="8">
        <v>526.5</v>
      </c>
      <c r="J6493" s="3">
        <f t="shared" si="101"/>
        <v>43748.940458472222</v>
      </c>
    </row>
    <row r="6494" spans="1:10" x14ac:dyDescent="0.25">
      <c r="A6494" s="5" t="s">
        <v>38625</v>
      </c>
      <c r="B6494" s="6">
        <v>393.75</v>
      </c>
      <c r="C6494" s="6">
        <v>20.478950000000001</v>
      </c>
      <c r="D6494" s="6">
        <v>88</v>
      </c>
      <c r="E6494" s="6">
        <v>0</v>
      </c>
      <c r="F6494" s="6">
        <v>0</v>
      </c>
      <c r="G6494" s="6">
        <v>8</v>
      </c>
      <c r="H6494" s="6" t="s">
        <v>38626</v>
      </c>
      <c r="I6494" s="6">
        <v>526.6875</v>
      </c>
      <c r="J6494" s="2">
        <f t="shared" si="101"/>
        <v>43748.940552337961</v>
      </c>
    </row>
    <row r="6495" spans="1:10" x14ac:dyDescent="0.25">
      <c r="A6495" s="7" t="s">
        <v>38627</v>
      </c>
      <c r="B6495" s="8">
        <v>393.75</v>
      </c>
      <c r="C6495" s="8">
        <v>20.478950000000001</v>
      </c>
      <c r="D6495" s="8">
        <v>87</v>
      </c>
      <c r="E6495" s="8">
        <v>0</v>
      </c>
      <c r="F6495" s="8">
        <v>0</v>
      </c>
      <c r="G6495" s="8">
        <v>8</v>
      </c>
      <c r="H6495" s="8" t="s">
        <v>38628</v>
      </c>
      <c r="I6495" s="8">
        <v>526.6875</v>
      </c>
      <c r="J6495" s="3">
        <f t="shared" si="101"/>
        <v>43748.940625115742</v>
      </c>
    </row>
    <row r="6496" spans="1:10" x14ac:dyDescent="0.25">
      <c r="A6496" s="5" t="s">
        <v>38629</v>
      </c>
      <c r="B6496" s="6">
        <v>393.75</v>
      </c>
      <c r="C6496" s="6">
        <v>20.478950000000001</v>
      </c>
      <c r="D6496" s="6">
        <v>86</v>
      </c>
      <c r="E6496" s="6">
        <v>0</v>
      </c>
      <c r="F6496" s="6">
        <v>0</v>
      </c>
      <c r="G6496" s="6">
        <v>17</v>
      </c>
      <c r="H6496" s="6" t="s">
        <v>38630</v>
      </c>
      <c r="I6496" s="6">
        <v>526.6875</v>
      </c>
      <c r="J6496" s="2">
        <f t="shared" si="101"/>
        <v>43748.940708518516</v>
      </c>
    </row>
    <row r="6497" spans="1:10" x14ac:dyDescent="0.25">
      <c r="A6497" s="7" t="s">
        <v>38631</v>
      </c>
      <c r="B6497" s="8">
        <v>393.75</v>
      </c>
      <c r="C6497" s="8">
        <v>20.478950000000001</v>
      </c>
      <c r="D6497" s="8">
        <v>86</v>
      </c>
      <c r="E6497" s="8">
        <v>0</v>
      </c>
      <c r="F6497" s="8">
        <v>0</v>
      </c>
      <c r="G6497" s="8">
        <v>8</v>
      </c>
      <c r="H6497" s="8" t="s">
        <v>38632</v>
      </c>
      <c r="I6497" s="8">
        <v>526.6875</v>
      </c>
      <c r="J6497" s="3">
        <f t="shared" si="101"/>
        <v>43748.94077976852</v>
      </c>
    </row>
    <row r="6498" spans="1:10" x14ac:dyDescent="0.25">
      <c r="A6498" s="5" t="s">
        <v>38633</v>
      </c>
      <c r="B6498" s="6">
        <v>393.75</v>
      </c>
      <c r="C6498" s="6">
        <v>20.478950000000001</v>
      </c>
      <c r="D6498" s="6">
        <v>85</v>
      </c>
      <c r="E6498" s="6">
        <v>0</v>
      </c>
      <c r="F6498" s="6">
        <v>0</v>
      </c>
      <c r="G6498" s="6">
        <v>20</v>
      </c>
      <c r="H6498" s="6" t="s">
        <v>38634</v>
      </c>
      <c r="I6498" s="6">
        <v>526.6875</v>
      </c>
      <c r="J6498" s="2">
        <f t="shared" si="101"/>
        <v>43748.940851921296</v>
      </c>
    </row>
    <row r="6499" spans="1:10" x14ac:dyDescent="0.25">
      <c r="A6499" s="7" t="s">
        <v>38635</v>
      </c>
      <c r="B6499" s="8">
        <v>393.75</v>
      </c>
      <c r="C6499" s="8">
        <v>20.478950000000001</v>
      </c>
      <c r="D6499" s="8">
        <v>83</v>
      </c>
      <c r="E6499" s="8">
        <v>0</v>
      </c>
      <c r="F6499" s="8">
        <v>0</v>
      </c>
      <c r="G6499" s="8">
        <v>22</v>
      </c>
      <c r="H6499" s="8" t="s">
        <v>38636</v>
      </c>
      <c r="I6499" s="8">
        <v>526.6875</v>
      </c>
      <c r="J6499" s="3">
        <f t="shared" si="101"/>
        <v>43748.940923263886</v>
      </c>
    </row>
    <row r="6500" spans="1:10" x14ac:dyDescent="0.25">
      <c r="A6500" s="5" t="s">
        <v>38637</v>
      </c>
      <c r="B6500" s="6">
        <v>393.75</v>
      </c>
      <c r="C6500" s="6">
        <v>20.478950000000001</v>
      </c>
      <c r="D6500" s="6">
        <v>84</v>
      </c>
      <c r="E6500" s="6">
        <v>0</v>
      </c>
      <c r="F6500" s="6">
        <v>0</v>
      </c>
      <c r="G6500" s="6">
        <v>23</v>
      </c>
      <c r="H6500" s="6" t="s">
        <v>38638</v>
      </c>
      <c r="I6500" s="6">
        <v>526.6875</v>
      </c>
      <c r="J6500" s="2">
        <f t="shared" si="101"/>
        <v>43748.940994560187</v>
      </c>
    </row>
    <row r="6501" spans="1:10" x14ac:dyDescent="0.25">
      <c r="A6501" s="7" t="s">
        <v>38639</v>
      </c>
      <c r="B6501" s="8">
        <v>393.75</v>
      </c>
      <c r="C6501" s="8">
        <v>20.478950000000001</v>
      </c>
      <c r="D6501" s="8">
        <v>84</v>
      </c>
      <c r="E6501" s="8">
        <v>0</v>
      </c>
      <c r="F6501" s="8">
        <v>0</v>
      </c>
      <c r="G6501" s="8">
        <v>12</v>
      </c>
      <c r="H6501" s="8" t="s">
        <v>38640</v>
      </c>
      <c r="I6501" s="8">
        <v>526.6875</v>
      </c>
      <c r="J6501" s="3">
        <f t="shared" si="101"/>
        <v>43748.94107789352</v>
      </c>
    </row>
    <row r="6502" spans="1:10" x14ac:dyDescent="0.25">
      <c r="A6502" s="5" t="s">
        <v>38641</v>
      </c>
      <c r="B6502" s="6">
        <v>393.75</v>
      </c>
      <c r="C6502" s="6">
        <v>20.478950000000001</v>
      </c>
      <c r="D6502" s="6">
        <v>84</v>
      </c>
      <c r="E6502" s="6">
        <v>0</v>
      </c>
      <c r="F6502" s="6">
        <v>0</v>
      </c>
      <c r="G6502" s="6">
        <v>8</v>
      </c>
      <c r="H6502" s="6" t="s">
        <v>38642</v>
      </c>
      <c r="I6502" s="6">
        <v>526.6875</v>
      </c>
      <c r="J6502" s="2">
        <f t="shared" si="101"/>
        <v>43748.941161307863</v>
      </c>
    </row>
    <row r="6503" spans="1:10" x14ac:dyDescent="0.25">
      <c r="A6503" s="7" t="s">
        <v>38643</v>
      </c>
      <c r="B6503" s="8">
        <v>418.75</v>
      </c>
      <c r="C6503" s="8">
        <v>20.478950000000001</v>
      </c>
      <c r="D6503" s="8">
        <v>82</v>
      </c>
      <c r="E6503" s="8">
        <v>0</v>
      </c>
      <c r="F6503" s="8">
        <v>0</v>
      </c>
      <c r="G6503" s="8">
        <v>27</v>
      </c>
      <c r="H6503" s="8" t="s">
        <v>38644</v>
      </c>
      <c r="I6503" s="8">
        <v>534.375</v>
      </c>
      <c r="J6503" s="3">
        <f t="shared" si="101"/>
        <v>43748.94123344907</v>
      </c>
    </row>
    <row r="6504" spans="1:10" x14ac:dyDescent="0.25">
      <c r="A6504" s="5" t="s">
        <v>38645</v>
      </c>
      <c r="B6504" s="6">
        <v>393.75</v>
      </c>
      <c r="C6504" s="6">
        <v>20.478950000000001</v>
      </c>
      <c r="D6504" s="6">
        <v>81</v>
      </c>
      <c r="E6504" s="6">
        <v>0</v>
      </c>
      <c r="F6504" s="6">
        <v>0</v>
      </c>
      <c r="G6504" s="6">
        <v>20</v>
      </c>
      <c r="H6504" s="6" t="s">
        <v>38646</v>
      </c>
      <c r="I6504" s="6">
        <v>526.6875</v>
      </c>
      <c r="J6504" s="2">
        <f t="shared" si="101"/>
        <v>43748.941304826389</v>
      </c>
    </row>
    <row r="6505" spans="1:10" x14ac:dyDescent="0.25">
      <c r="A6505" s="7" t="s">
        <v>38647</v>
      </c>
      <c r="B6505" s="8">
        <v>393.75</v>
      </c>
      <c r="C6505" s="8">
        <v>20.478950000000001</v>
      </c>
      <c r="D6505" s="8">
        <v>81</v>
      </c>
      <c r="E6505" s="8">
        <v>0</v>
      </c>
      <c r="F6505" s="8">
        <v>0</v>
      </c>
      <c r="G6505" s="8">
        <v>18</v>
      </c>
      <c r="H6505" s="8" t="s">
        <v>38648</v>
      </c>
      <c r="I6505" s="8">
        <v>526.6875</v>
      </c>
      <c r="J6505" s="3">
        <f t="shared" si="101"/>
        <v>43748.941376076385</v>
      </c>
    </row>
    <row r="6506" spans="1:10" x14ac:dyDescent="0.25">
      <c r="A6506" s="5" t="s">
        <v>38649</v>
      </c>
      <c r="B6506" s="6">
        <v>393.75</v>
      </c>
      <c r="C6506" s="6">
        <v>20.478950000000001</v>
      </c>
      <c r="D6506" s="6">
        <v>81</v>
      </c>
      <c r="E6506" s="6">
        <v>0</v>
      </c>
      <c r="F6506" s="6">
        <v>0</v>
      </c>
      <c r="G6506" s="6">
        <v>15</v>
      </c>
      <c r="H6506" s="6" t="s">
        <v>38650</v>
      </c>
      <c r="I6506" s="6">
        <v>526.6875</v>
      </c>
      <c r="J6506" s="2">
        <f t="shared" si="101"/>
        <v>43748.941448287034</v>
      </c>
    </row>
    <row r="6507" spans="1:10" x14ac:dyDescent="0.25">
      <c r="A6507" s="7" t="s">
        <v>38651</v>
      </c>
      <c r="B6507" s="8">
        <v>393.75</v>
      </c>
      <c r="C6507" s="8">
        <v>20.478950000000001</v>
      </c>
      <c r="D6507" s="8">
        <v>83</v>
      </c>
      <c r="E6507" s="8">
        <v>0</v>
      </c>
      <c r="F6507" s="8">
        <v>0</v>
      </c>
      <c r="G6507" s="8">
        <v>19</v>
      </c>
      <c r="H6507" s="8" t="s">
        <v>38652</v>
      </c>
      <c r="I6507" s="8">
        <v>526.5</v>
      </c>
      <c r="J6507" s="3">
        <f t="shared" si="101"/>
        <v>43748.941519594904</v>
      </c>
    </row>
    <row r="6508" spans="1:10" x14ac:dyDescent="0.25">
      <c r="A6508" s="5" t="s">
        <v>38653</v>
      </c>
      <c r="B6508" s="6">
        <v>396.875</v>
      </c>
      <c r="C6508" s="6">
        <v>20.478950000000001</v>
      </c>
      <c r="D6508" s="6">
        <v>83</v>
      </c>
      <c r="E6508" s="6">
        <v>0</v>
      </c>
      <c r="F6508" s="6">
        <v>0</v>
      </c>
      <c r="G6508" s="6">
        <v>14</v>
      </c>
      <c r="H6508" s="6" t="s">
        <v>38654</v>
      </c>
      <c r="I6508" s="6">
        <v>527.4375</v>
      </c>
      <c r="J6508" s="2">
        <f t="shared" si="101"/>
        <v>43748.94160298611</v>
      </c>
    </row>
    <row r="6509" spans="1:10" x14ac:dyDescent="0.25">
      <c r="A6509" s="7" t="s">
        <v>38655</v>
      </c>
      <c r="B6509" s="8">
        <v>393.75</v>
      </c>
      <c r="C6509" s="8">
        <v>20.478950000000001</v>
      </c>
      <c r="D6509" s="8">
        <v>83</v>
      </c>
      <c r="E6509" s="8">
        <v>0</v>
      </c>
      <c r="F6509" s="8">
        <v>0</v>
      </c>
      <c r="G6509" s="8">
        <v>16</v>
      </c>
      <c r="H6509" s="8" t="s">
        <v>38656</v>
      </c>
      <c r="I6509" s="8">
        <v>526.6875</v>
      </c>
      <c r="J6509" s="3">
        <f t="shared" si="101"/>
        <v>43748.941674212962</v>
      </c>
    </row>
    <row r="6510" spans="1:10" x14ac:dyDescent="0.25">
      <c r="A6510" s="5" t="s">
        <v>38657</v>
      </c>
      <c r="B6510" s="6">
        <v>393.75</v>
      </c>
      <c r="C6510" s="6">
        <v>20.478950000000001</v>
      </c>
      <c r="D6510" s="6">
        <v>84</v>
      </c>
      <c r="E6510" s="6">
        <v>0</v>
      </c>
      <c r="F6510" s="6">
        <v>0</v>
      </c>
      <c r="G6510" s="6">
        <v>9</v>
      </c>
      <c r="H6510" s="6" t="s">
        <v>38658</v>
      </c>
      <c r="I6510" s="6">
        <v>526.6875</v>
      </c>
      <c r="J6510" s="2">
        <f t="shared" si="101"/>
        <v>43748.941746365737</v>
      </c>
    </row>
    <row r="6511" spans="1:10" x14ac:dyDescent="0.25">
      <c r="A6511" s="7" t="s">
        <v>38659</v>
      </c>
      <c r="B6511" s="8">
        <v>412.5</v>
      </c>
      <c r="C6511" s="8">
        <v>20.478950000000001</v>
      </c>
      <c r="D6511" s="8">
        <v>84</v>
      </c>
      <c r="E6511" s="8">
        <v>0</v>
      </c>
      <c r="F6511" s="8">
        <v>0</v>
      </c>
      <c r="G6511" s="8">
        <v>16</v>
      </c>
      <c r="H6511" s="8" t="s">
        <v>38660</v>
      </c>
      <c r="I6511" s="8">
        <v>532.125</v>
      </c>
      <c r="J6511" s="3">
        <f t="shared" si="101"/>
        <v>43748.941817743056</v>
      </c>
    </row>
    <row r="6512" spans="1:10" x14ac:dyDescent="0.25">
      <c r="A6512" s="5" t="s">
        <v>38661</v>
      </c>
      <c r="B6512" s="6">
        <v>393.75</v>
      </c>
      <c r="C6512" s="6">
        <v>20.478950000000001</v>
      </c>
      <c r="D6512" s="6">
        <v>84</v>
      </c>
      <c r="E6512" s="6">
        <v>0</v>
      </c>
      <c r="F6512" s="6">
        <v>0</v>
      </c>
      <c r="G6512" s="6">
        <v>15</v>
      </c>
      <c r="H6512" s="6" t="s">
        <v>38662</v>
      </c>
      <c r="I6512" s="6">
        <v>526.5</v>
      </c>
      <c r="J6512" s="2">
        <f t="shared" si="101"/>
        <v>43748.941889004629</v>
      </c>
    </row>
    <row r="6513" spans="1:10" x14ac:dyDescent="0.25">
      <c r="A6513" s="7" t="s">
        <v>38663</v>
      </c>
      <c r="B6513" s="8">
        <v>393.75</v>
      </c>
      <c r="C6513" s="8">
        <v>20.478950000000001</v>
      </c>
      <c r="D6513" s="8">
        <v>84</v>
      </c>
      <c r="E6513" s="8">
        <v>0</v>
      </c>
      <c r="F6513" s="8">
        <v>0</v>
      </c>
      <c r="G6513" s="8">
        <v>23</v>
      </c>
      <c r="H6513" s="8" t="s">
        <v>38664</v>
      </c>
      <c r="I6513" s="8">
        <v>526.6875</v>
      </c>
      <c r="J6513" s="3">
        <f t="shared" si="101"/>
        <v>43748.941972361114</v>
      </c>
    </row>
    <row r="6514" spans="1:10" x14ac:dyDescent="0.25">
      <c r="A6514" s="5" t="s">
        <v>38665</v>
      </c>
      <c r="B6514" s="6">
        <v>393.75</v>
      </c>
      <c r="C6514" s="6">
        <v>20.478950000000001</v>
      </c>
      <c r="D6514" s="6">
        <v>84</v>
      </c>
      <c r="E6514" s="6">
        <v>0</v>
      </c>
      <c r="F6514" s="6">
        <v>0</v>
      </c>
      <c r="G6514" s="6">
        <v>15</v>
      </c>
      <c r="H6514" s="6" t="s">
        <v>38666</v>
      </c>
      <c r="I6514" s="6">
        <v>526.6875</v>
      </c>
      <c r="J6514" s="2">
        <f t="shared" si="101"/>
        <v>43748.942053483792</v>
      </c>
    </row>
    <row r="6515" spans="1:10" x14ac:dyDescent="0.25">
      <c r="A6515" s="7" t="s">
        <v>38667</v>
      </c>
      <c r="B6515" s="8">
        <v>393.75</v>
      </c>
      <c r="C6515" s="8">
        <v>20.478950000000001</v>
      </c>
      <c r="D6515" s="8">
        <v>84</v>
      </c>
      <c r="E6515" s="8">
        <v>0</v>
      </c>
      <c r="F6515" s="8">
        <v>0</v>
      </c>
      <c r="G6515" s="8">
        <v>19</v>
      </c>
      <c r="H6515" s="8" t="s">
        <v>38668</v>
      </c>
      <c r="I6515" s="8">
        <v>526.6875</v>
      </c>
      <c r="J6515" s="3">
        <f t="shared" si="101"/>
        <v>43748.942127893511</v>
      </c>
    </row>
    <row r="6516" spans="1:10" x14ac:dyDescent="0.25">
      <c r="A6516" s="5" t="s">
        <v>38669</v>
      </c>
      <c r="B6516" s="6">
        <v>393.75</v>
      </c>
      <c r="C6516" s="6">
        <v>20.478950000000001</v>
      </c>
      <c r="D6516" s="6">
        <v>84</v>
      </c>
      <c r="E6516" s="6">
        <v>0</v>
      </c>
      <c r="F6516" s="6">
        <v>0</v>
      </c>
      <c r="G6516" s="6">
        <v>12</v>
      </c>
      <c r="H6516" s="6" t="s">
        <v>38670</v>
      </c>
      <c r="I6516" s="6">
        <v>526.6875</v>
      </c>
      <c r="J6516" s="2">
        <f t="shared" si="101"/>
        <v>43748.942199201389</v>
      </c>
    </row>
    <row r="6517" spans="1:10" x14ac:dyDescent="0.25">
      <c r="A6517" s="7" t="s">
        <v>38671</v>
      </c>
      <c r="B6517" s="8">
        <v>393.75</v>
      </c>
      <c r="C6517" s="8">
        <v>20.426300000000001</v>
      </c>
      <c r="D6517" s="8">
        <v>84</v>
      </c>
      <c r="E6517" s="8">
        <v>0</v>
      </c>
      <c r="F6517" s="8">
        <v>0</v>
      </c>
      <c r="G6517" s="8">
        <v>18</v>
      </c>
      <c r="H6517" s="8" t="s">
        <v>38672</v>
      </c>
      <c r="I6517" s="8">
        <v>526.6875</v>
      </c>
      <c r="J6517" s="3">
        <f t="shared" si="101"/>
        <v>43748.942270497682</v>
      </c>
    </row>
    <row r="6518" spans="1:10" x14ac:dyDescent="0.25">
      <c r="A6518" s="5" t="s">
        <v>38673</v>
      </c>
      <c r="B6518" s="6">
        <v>412.5</v>
      </c>
      <c r="C6518" s="6">
        <v>20.426300000000001</v>
      </c>
      <c r="D6518" s="6">
        <v>84</v>
      </c>
      <c r="E6518" s="6">
        <v>0</v>
      </c>
      <c r="F6518" s="6">
        <v>0</v>
      </c>
      <c r="G6518" s="6">
        <v>12</v>
      </c>
      <c r="H6518" s="6" t="s">
        <v>38674</v>
      </c>
      <c r="I6518" s="6">
        <v>532.3125</v>
      </c>
      <c r="J6518" s="2">
        <f t="shared" si="101"/>
        <v>43748.942355879626</v>
      </c>
    </row>
    <row r="6519" spans="1:10" x14ac:dyDescent="0.25">
      <c r="A6519" s="7" t="s">
        <v>38675</v>
      </c>
      <c r="B6519" s="8">
        <v>393.75</v>
      </c>
      <c r="C6519" s="8">
        <v>20.478950000000001</v>
      </c>
      <c r="D6519" s="8">
        <v>84</v>
      </c>
      <c r="E6519" s="8">
        <v>0</v>
      </c>
      <c r="F6519" s="8">
        <v>0</v>
      </c>
      <c r="G6519" s="8">
        <v>14</v>
      </c>
      <c r="H6519" s="8" t="s">
        <v>38676</v>
      </c>
      <c r="I6519" s="8">
        <v>526.6875</v>
      </c>
      <c r="J6519" s="3">
        <f t="shared" si="101"/>
        <v>43748.942438124999</v>
      </c>
    </row>
    <row r="6520" spans="1:10" x14ac:dyDescent="0.25">
      <c r="A6520" s="5" t="s">
        <v>38677</v>
      </c>
      <c r="B6520" s="6">
        <v>393.75</v>
      </c>
      <c r="C6520" s="6">
        <v>20.478950000000001</v>
      </c>
      <c r="D6520" s="6">
        <v>86</v>
      </c>
      <c r="E6520" s="6">
        <v>0</v>
      </c>
      <c r="F6520" s="6">
        <v>0</v>
      </c>
      <c r="G6520" s="6">
        <v>13</v>
      </c>
      <c r="H6520" s="6" t="s">
        <v>38678</v>
      </c>
      <c r="I6520" s="6">
        <v>526.6875</v>
      </c>
      <c r="J6520" s="2">
        <f t="shared" si="101"/>
        <v>43748.942508946762</v>
      </c>
    </row>
    <row r="6521" spans="1:10" x14ac:dyDescent="0.25">
      <c r="A6521" s="7" t="s">
        <v>38679</v>
      </c>
      <c r="B6521" s="8">
        <v>393.75</v>
      </c>
      <c r="C6521" s="8">
        <v>20.478950000000001</v>
      </c>
      <c r="D6521" s="8">
        <v>86</v>
      </c>
      <c r="E6521" s="8">
        <v>0</v>
      </c>
      <c r="F6521" s="8">
        <v>0</v>
      </c>
      <c r="G6521" s="8">
        <v>8</v>
      </c>
      <c r="H6521" s="8" t="s">
        <v>38680</v>
      </c>
      <c r="I6521" s="8">
        <v>526.6875</v>
      </c>
      <c r="J6521" s="3">
        <f t="shared" si="101"/>
        <v>43748.942580717594</v>
      </c>
    </row>
    <row r="6522" spans="1:10" x14ac:dyDescent="0.25">
      <c r="A6522" s="5" t="s">
        <v>38681</v>
      </c>
      <c r="B6522" s="6">
        <v>393.75</v>
      </c>
      <c r="C6522" s="6">
        <v>20.478950000000001</v>
      </c>
      <c r="D6522" s="6">
        <v>86</v>
      </c>
      <c r="E6522" s="6">
        <v>0</v>
      </c>
      <c r="F6522" s="6">
        <v>0</v>
      </c>
      <c r="G6522" s="6">
        <v>15</v>
      </c>
      <c r="H6522" s="6" t="s">
        <v>38682</v>
      </c>
      <c r="I6522" s="6">
        <v>526.6875</v>
      </c>
      <c r="J6522" s="2">
        <f t="shared" si="101"/>
        <v>43748.942652094905</v>
      </c>
    </row>
    <row r="6523" spans="1:10" x14ac:dyDescent="0.25">
      <c r="A6523" s="7" t="s">
        <v>38683</v>
      </c>
      <c r="B6523" s="8">
        <v>393.75</v>
      </c>
      <c r="C6523" s="8">
        <v>20.478950000000001</v>
      </c>
      <c r="D6523" s="8">
        <v>86</v>
      </c>
      <c r="E6523" s="8">
        <v>0</v>
      </c>
      <c r="F6523" s="8">
        <v>0</v>
      </c>
      <c r="G6523" s="8">
        <v>14</v>
      </c>
      <c r="H6523" s="8" t="s">
        <v>38684</v>
      </c>
      <c r="I6523" s="8">
        <v>526.6875</v>
      </c>
      <c r="J6523" s="3">
        <f t="shared" si="101"/>
        <v>43748.942723356478</v>
      </c>
    </row>
    <row r="6524" spans="1:10" x14ac:dyDescent="0.25">
      <c r="A6524" s="5" t="s">
        <v>38685</v>
      </c>
      <c r="B6524" s="6">
        <v>393.75</v>
      </c>
      <c r="C6524" s="6">
        <v>20.478950000000001</v>
      </c>
      <c r="D6524" s="6">
        <v>86</v>
      </c>
      <c r="E6524" s="6">
        <v>0</v>
      </c>
      <c r="F6524" s="6">
        <v>0</v>
      </c>
      <c r="G6524" s="6">
        <v>13</v>
      </c>
      <c r="H6524" s="6" t="s">
        <v>38686</v>
      </c>
      <c r="I6524" s="6">
        <v>526.6875</v>
      </c>
      <c r="J6524" s="2">
        <f t="shared" si="101"/>
        <v>43748.94279552083</v>
      </c>
    </row>
    <row r="6525" spans="1:10" x14ac:dyDescent="0.25">
      <c r="A6525" s="7" t="s">
        <v>38687</v>
      </c>
      <c r="B6525" s="8">
        <v>393.75</v>
      </c>
      <c r="C6525" s="8">
        <v>20.478950000000001</v>
      </c>
      <c r="D6525" s="8">
        <v>86</v>
      </c>
      <c r="E6525" s="8">
        <v>0</v>
      </c>
      <c r="F6525" s="8">
        <v>0</v>
      </c>
      <c r="G6525" s="8">
        <v>11</v>
      </c>
      <c r="H6525" s="8" t="s">
        <v>38688</v>
      </c>
      <c r="I6525" s="8">
        <v>526.6875</v>
      </c>
      <c r="J6525" s="3">
        <f t="shared" si="101"/>
        <v>43748.942866817124</v>
      </c>
    </row>
    <row r="6526" spans="1:10" x14ac:dyDescent="0.25">
      <c r="A6526" s="5" t="s">
        <v>38689</v>
      </c>
      <c r="B6526" s="6">
        <v>393.75</v>
      </c>
      <c r="C6526" s="6">
        <v>20.478950000000001</v>
      </c>
      <c r="D6526" s="6">
        <v>86</v>
      </c>
      <c r="E6526" s="6">
        <v>0</v>
      </c>
      <c r="F6526" s="6">
        <v>0</v>
      </c>
      <c r="G6526" s="6">
        <v>19</v>
      </c>
      <c r="H6526" s="6" t="s">
        <v>38690</v>
      </c>
      <c r="I6526" s="6">
        <v>526.6875</v>
      </c>
      <c r="J6526" s="2">
        <f t="shared" si="101"/>
        <v>43748.942938993052</v>
      </c>
    </row>
    <row r="6527" spans="1:10" x14ac:dyDescent="0.25">
      <c r="A6527" s="7" t="s">
        <v>38691</v>
      </c>
      <c r="B6527" s="8">
        <v>393.75</v>
      </c>
      <c r="C6527" s="8">
        <v>20.478950000000001</v>
      </c>
      <c r="D6527" s="8">
        <v>85</v>
      </c>
      <c r="E6527" s="8">
        <v>0</v>
      </c>
      <c r="F6527" s="8">
        <v>0</v>
      </c>
      <c r="G6527" s="8">
        <v>19</v>
      </c>
      <c r="H6527" s="8" t="s">
        <v>38692</v>
      </c>
      <c r="I6527" s="8">
        <v>526.5</v>
      </c>
      <c r="J6527" s="3">
        <f t="shared" si="101"/>
        <v>43748.943022372681</v>
      </c>
    </row>
    <row r="6528" spans="1:10" x14ac:dyDescent="0.25">
      <c r="A6528" s="5" t="s">
        <v>38693</v>
      </c>
      <c r="B6528" s="6">
        <v>425</v>
      </c>
      <c r="C6528" s="6">
        <v>20.478950000000001</v>
      </c>
      <c r="D6528" s="6">
        <v>85</v>
      </c>
      <c r="E6528" s="6">
        <v>0</v>
      </c>
      <c r="F6528" s="6">
        <v>0</v>
      </c>
      <c r="G6528" s="6">
        <v>17</v>
      </c>
      <c r="H6528" s="6" t="s">
        <v>38694</v>
      </c>
      <c r="I6528" s="6">
        <v>536.625</v>
      </c>
      <c r="J6528" s="2">
        <f t="shared" si="101"/>
        <v>43748.943093668982</v>
      </c>
    </row>
    <row r="6529" spans="1:10" x14ac:dyDescent="0.25">
      <c r="A6529" s="7" t="s">
        <v>38695</v>
      </c>
      <c r="B6529" s="8">
        <v>393.75</v>
      </c>
      <c r="C6529" s="8">
        <v>20.478950000000001</v>
      </c>
      <c r="D6529" s="8">
        <v>85</v>
      </c>
      <c r="E6529" s="8">
        <v>0</v>
      </c>
      <c r="F6529" s="8">
        <v>0</v>
      </c>
      <c r="G6529" s="8">
        <v>15</v>
      </c>
      <c r="H6529" s="8" t="s">
        <v>38696</v>
      </c>
      <c r="I6529" s="8">
        <v>526.6875</v>
      </c>
      <c r="J6529" s="3">
        <f t="shared" si="101"/>
        <v>43748.943165046294</v>
      </c>
    </row>
    <row r="6530" spans="1:10" x14ac:dyDescent="0.25">
      <c r="A6530" s="5" t="s">
        <v>38697</v>
      </c>
      <c r="B6530" s="6">
        <v>393.75</v>
      </c>
      <c r="C6530" s="6">
        <v>20.478950000000001</v>
      </c>
      <c r="D6530" s="6">
        <v>85</v>
      </c>
      <c r="E6530" s="6">
        <v>0</v>
      </c>
      <c r="F6530" s="6">
        <v>0</v>
      </c>
      <c r="G6530" s="6">
        <v>8</v>
      </c>
      <c r="H6530" s="6" t="s">
        <v>38698</v>
      </c>
      <c r="I6530" s="6">
        <v>526.6875</v>
      </c>
      <c r="J6530" s="2">
        <f t="shared" ref="J6530:J6593" si="102">(H6530/86400000)+25569+(7/24)</f>
        <v>43748.943237199077</v>
      </c>
    </row>
    <row r="6531" spans="1:10" x14ac:dyDescent="0.25">
      <c r="A6531" s="7" t="s">
        <v>38699</v>
      </c>
      <c r="B6531" s="8">
        <v>393.75</v>
      </c>
      <c r="C6531" s="8">
        <v>20.426300000000001</v>
      </c>
      <c r="D6531" s="8">
        <v>85</v>
      </c>
      <c r="E6531" s="8">
        <v>0</v>
      </c>
      <c r="F6531" s="8">
        <v>0</v>
      </c>
      <c r="G6531" s="8">
        <v>13</v>
      </c>
      <c r="H6531" s="8" t="s">
        <v>38700</v>
      </c>
      <c r="I6531" s="8">
        <v>526.6875</v>
      </c>
      <c r="J6531" s="3">
        <f t="shared" si="102"/>
        <v>43748.943320486105</v>
      </c>
    </row>
    <row r="6532" spans="1:10" x14ac:dyDescent="0.25">
      <c r="A6532" s="5" t="s">
        <v>38701</v>
      </c>
      <c r="B6532" s="6">
        <v>393.75</v>
      </c>
      <c r="C6532" s="6">
        <v>20.478950000000001</v>
      </c>
      <c r="D6532" s="6">
        <v>85</v>
      </c>
      <c r="E6532" s="6">
        <v>0</v>
      </c>
      <c r="F6532" s="6">
        <v>0</v>
      </c>
      <c r="G6532" s="6">
        <v>20</v>
      </c>
      <c r="H6532" s="6" t="s">
        <v>38702</v>
      </c>
      <c r="I6532" s="6">
        <v>526.6875</v>
      </c>
      <c r="J6532" s="2">
        <f t="shared" si="102"/>
        <v>43748.943391828703</v>
      </c>
    </row>
    <row r="6533" spans="1:10" x14ac:dyDescent="0.25">
      <c r="A6533" s="7" t="s">
        <v>38703</v>
      </c>
      <c r="B6533" s="8">
        <v>393.75</v>
      </c>
      <c r="C6533" s="8">
        <v>20.478950000000001</v>
      </c>
      <c r="D6533" s="8">
        <v>85</v>
      </c>
      <c r="E6533" s="8">
        <v>0</v>
      </c>
      <c r="F6533" s="8">
        <v>0</v>
      </c>
      <c r="G6533" s="8">
        <v>11</v>
      </c>
      <c r="H6533" s="8" t="s">
        <v>38704</v>
      </c>
      <c r="I6533" s="8">
        <v>526.6875</v>
      </c>
      <c r="J6533" s="3">
        <f t="shared" si="102"/>
        <v>43748.943463124997</v>
      </c>
    </row>
    <row r="6534" spans="1:10" x14ac:dyDescent="0.25">
      <c r="A6534" s="5" t="s">
        <v>38705</v>
      </c>
      <c r="B6534" s="6">
        <v>393.75</v>
      </c>
      <c r="C6534" s="6">
        <v>20.478950000000001</v>
      </c>
      <c r="D6534" s="6">
        <v>85</v>
      </c>
      <c r="E6534" s="6">
        <v>0</v>
      </c>
      <c r="F6534" s="6">
        <v>0</v>
      </c>
      <c r="G6534" s="6">
        <v>24</v>
      </c>
      <c r="H6534" s="6" t="s">
        <v>38706</v>
      </c>
      <c r="I6534" s="6">
        <v>526.6875</v>
      </c>
      <c r="J6534" s="2">
        <f t="shared" si="102"/>
        <v>43748.943535347214</v>
      </c>
    </row>
    <row r="6535" spans="1:10" x14ac:dyDescent="0.25">
      <c r="A6535" s="7" t="s">
        <v>38707</v>
      </c>
      <c r="B6535" s="8">
        <v>393.75</v>
      </c>
      <c r="C6535" s="8">
        <v>20.478950000000001</v>
      </c>
      <c r="D6535" s="8">
        <v>85</v>
      </c>
      <c r="E6535" s="8">
        <v>0</v>
      </c>
      <c r="F6535" s="8">
        <v>0</v>
      </c>
      <c r="G6535" s="8">
        <v>15</v>
      </c>
      <c r="H6535" s="8" t="s">
        <v>38708</v>
      </c>
      <c r="I6535" s="8">
        <v>526.6875</v>
      </c>
      <c r="J6535" s="3">
        <f t="shared" si="102"/>
        <v>43748.943606643516</v>
      </c>
    </row>
    <row r="6536" spans="1:10" x14ac:dyDescent="0.25">
      <c r="A6536" s="5" t="s">
        <v>38709</v>
      </c>
      <c r="B6536" s="6">
        <v>412.5</v>
      </c>
      <c r="C6536" s="6">
        <v>20.478950000000001</v>
      </c>
      <c r="D6536" s="6">
        <v>84</v>
      </c>
      <c r="E6536" s="6">
        <v>0</v>
      </c>
      <c r="F6536" s="6">
        <v>0</v>
      </c>
      <c r="G6536" s="6">
        <v>17</v>
      </c>
      <c r="H6536" s="6" t="s">
        <v>38710</v>
      </c>
      <c r="I6536" s="6">
        <v>532.5</v>
      </c>
      <c r="J6536" s="2">
        <f t="shared" si="102"/>
        <v>43748.943678680553</v>
      </c>
    </row>
    <row r="6537" spans="1:10" x14ac:dyDescent="0.25">
      <c r="A6537" s="7" t="s">
        <v>38711</v>
      </c>
      <c r="B6537" s="8">
        <v>393.75</v>
      </c>
      <c r="C6537" s="8">
        <v>20.478950000000001</v>
      </c>
      <c r="D6537" s="8">
        <v>84</v>
      </c>
      <c r="E6537" s="8">
        <v>0</v>
      </c>
      <c r="F6537" s="8">
        <v>0</v>
      </c>
      <c r="G6537" s="8">
        <v>7</v>
      </c>
      <c r="H6537" s="8" t="s">
        <v>38712</v>
      </c>
      <c r="I6537" s="8">
        <v>526.6875</v>
      </c>
      <c r="J6537" s="3">
        <f t="shared" si="102"/>
        <v>43748.943761261573</v>
      </c>
    </row>
    <row r="6538" spans="1:10" x14ac:dyDescent="0.25">
      <c r="A6538" s="5" t="s">
        <v>38713</v>
      </c>
      <c r="B6538" s="6">
        <v>393.75</v>
      </c>
      <c r="C6538" s="6">
        <v>20.478950000000001</v>
      </c>
      <c r="D6538" s="6">
        <v>84</v>
      </c>
      <c r="E6538" s="6">
        <v>0</v>
      </c>
      <c r="F6538" s="6">
        <v>0</v>
      </c>
      <c r="G6538" s="6">
        <v>8</v>
      </c>
      <c r="H6538" s="6" t="s">
        <v>38714</v>
      </c>
      <c r="I6538" s="6">
        <v>526.6875</v>
      </c>
      <c r="J6538" s="2">
        <f t="shared" si="102"/>
        <v>43748.943833506943</v>
      </c>
    </row>
    <row r="6539" spans="1:10" x14ac:dyDescent="0.25">
      <c r="A6539" s="7" t="s">
        <v>38715</v>
      </c>
      <c r="B6539" s="8">
        <v>425</v>
      </c>
      <c r="C6539" s="8">
        <v>20.478950000000001</v>
      </c>
      <c r="D6539" s="8">
        <v>83</v>
      </c>
      <c r="E6539" s="8">
        <v>0</v>
      </c>
      <c r="F6539" s="8">
        <v>0</v>
      </c>
      <c r="G6539" s="8">
        <v>14</v>
      </c>
      <c r="H6539" s="8" t="s">
        <v>38716</v>
      </c>
      <c r="I6539" s="8">
        <v>536.625</v>
      </c>
      <c r="J6539" s="3">
        <f t="shared" si="102"/>
        <v>43748.943916828699</v>
      </c>
    </row>
    <row r="6540" spans="1:10" x14ac:dyDescent="0.25">
      <c r="A6540" s="5" t="s">
        <v>38717</v>
      </c>
      <c r="B6540" s="6">
        <v>393.75</v>
      </c>
      <c r="C6540" s="6">
        <v>20.478950000000001</v>
      </c>
      <c r="D6540" s="6">
        <v>83</v>
      </c>
      <c r="E6540" s="6">
        <v>0</v>
      </c>
      <c r="F6540" s="6">
        <v>0</v>
      </c>
      <c r="G6540" s="6">
        <v>12</v>
      </c>
      <c r="H6540" s="6" t="s">
        <v>38718</v>
      </c>
      <c r="I6540" s="6">
        <v>526.6875</v>
      </c>
      <c r="J6540" s="2">
        <f t="shared" si="102"/>
        <v>43748.943988113424</v>
      </c>
    </row>
    <row r="6541" spans="1:10" x14ac:dyDescent="0.25">
      <c r="A6541" s="7" t="s">
        <v>38719</v>
      </c>
      <c r="B6541" s="8">
        <v>393.75</v>
      </c>
      <c r="C6541" s="8">
        <v>20.478950000000001</v>
      </c>
      <c r="D6541" s="8">
        <v>83</v>
      </c>
      <c r="E6541" s="8">
        <v>0</v>
      </c>
      <c r="F6541" s="8">
        <v>0</v>
      </c>
      <c r="G6541" s="8">
        <v>18</v>
      </c>
      <c r="H6541" s="8" t="s">
        <v>38720</v>
      </c>
      <c r="I6541" s="8">
        <v>526.6875</v>
      </c>
      <c r="J6541" s="3">
        <f t="shared" si="102"/>
        <v>43748.944059456015</v>
      </c>
    </row>
    <row r="6542" spans="1:10" x14ac:dyDescent="0.25">
      <c r="A6542" s="5" t="s">
        <v>38721</v>
      </c>
      <c r="B6542" s="6">
        <v>393.75</v>
      </c>
      <c r="C6542" s="6">
        <v>20.478950000000001</v>
      </c>
      <c r="D6542" s="6">
        <v>82</v>
      </c>
      <c r="E6542" s="6">
        <v>0</v>
      </c>
      <c r="F6542" s="6">
        <v>0</v>
      </c>
      <c r="G6542" s="6">
        <v>21</v>
      </c>
      <c r="H6542" s="6" t="s">
        <v>38722</v>
      </c>
      <c r="I6542" s="6">
        <v>526.6875</v>
      </c>
      <c r="J6542" s="2">
        <f t="shared" si="102"/>
        <v>43748.94414003472</v>
      </c>
    </row>
    <row r="6543" spans="1:10" x14ac:dyDescent="0.25">
      <c r="A6543" s="7" t="s">
        <v>38723</v>
      </c>
      <c r="B6543" s="8">
        <v>393.75</v>
      </c>
      <c r="C6543" s="8">
        <v>20.478950000000001</v>
      </c>
      <c r="D6543" s="8">
        <v>83</v>
      </c>
      <c r="E6543" s="8">
        <v>0</v>
      </c>
      <c r="F6543" s="8">
        <v>0</v>
      </c>
      <c r="G6543" s="8">
        <v>10</v>
      </c>
      <c r="H6543" s="8" t="s">
        <v>38724</v>
      </c>
      <c r="I6543" s="8">
        <v>526.6875</v>
      </c>
      <c r="J6543" s="3">
        <f t="shared" si="102"/>
        <v>43748.944214965275</v>
      </c>
    </row>
    <row r="6544" spans="1:10" x14ac:dyDescent="0.25">
      <c r="A6544" s="5" t="s">
        <v>38725</v>
      </c>
      <c r="B6544" s="6">
        <v>393.75</v>
      </c>
      <c r="C6544" s="6">
        <v>20.478950000000001</v>
      </c>
      <c r="D6544" s="6">
        <v>83</v>
      </c>
      <c r="E6544" s="6">
        <v>0</v>
      </c>
      <c r="F6544" s="6">
        <v>0</v>
      </c>
      <c r="G6544" s="6">
        <v>13</v>
      </c>
      <c r="H6544" s="6" t="s">
        <v>38726</v>
      </c>
      <c r="I6544" s="6">
        <v>526.5</v>
      </c>
      <c r="J6544" s="2">
        <f t="shared" si="102"/>
        <v>43748.944286296297</v>
      </c>
    </row>
    <row r="6545" spans="1:10" x14ac:dyDescent="0.25">
      <c r="A6545" s="7" t="s">
        <v>38727</v>
      </c>
      <c r="B6545" s="8">
        <v>393.75</v>
      </c>
      <c r="C6545" s="8">
        <v>20.478950000000001</v>
      </c>
      <c r="D6545" s="8">
        <v>83</v>
      </c>
      <c r="E6545" s="8">
        <v>0</v>
      </c>
      <c r="F6545" s="8">
        <v>0</v>
      </c>
      <c r="G6545" s="8">
        <v>15</v>
      </c>
      <c r="H6545" s="8" t="s">
        <v>38728</v>
      </c>
      <c r="I6545" s="8">
        <v>526.6875</v>
      </c>
      <c r="J6545" s="3">
        <f t="shared" si="102"/>
        <v>43748.944357581015</v>
      </c>
    </row>
    <row r="6546" spans="1:10" x14ac:dyDescent="0.25">
      <c r="A6546" s="5" t="s">
        <v>38729</v>
      </c>
      <c r="B6546" s="6">
        <v>393.75</v>
      </c>
      <c r="C6546" s="6">
        <v>20.478950000000001</v>
      </c>
      <c r="D6546" s="6">
        <v>83</v>
      </c>
      <c r="E6546" s="6">
        <v>0</v>
      </c>
      <c r="F6546" s="6">
        <v>0</v>
      </c>
      <c r="G6546" s="6">
        <v>16</v>
      </c>
      <c r="H6546" s="6" t="s">
        <v>38730</v>
      </c>
      <c r="I6546" s="6">
        <v>526.6875</v>
      </c>
      <c r="J6546" s="2">
        <f t="shared" si="102"/>
        <v>43748.944429606483</v>
      </c>
    </row>
    <row r="6547" spans="1:10" x14ac:dyDescent="0.25">
      <c r="A6547" s="7" t="s">
        <v>38731</v>
      </c>
      <c r="B6547" s="8">
        <v>393.75</v>
      </c>
      <c r="C6547" s="8">
        <v>20.426300000000001</v>
      </c>
      <c r="D6547" s="8">
        <v>81</v>
      </c>
      <c r="E6547" s="8">
        <v>0</v>
      </c>
      <c r="F6547" s="8">
        <v>0</v>
      </c>
      <c r="G6547" s="8">
        <v>21</v>
      </c>
      <c r="H6547" s="8" t="s">
        <v>38732</v>
      </c>
      <c r="I6547" s="8">
        <v>526.6875</v>
      </c>
      <c r="J6547" s="3">
        <f t="shared" si="102"/>
        <v>43748.944501076381</v>
      </c>
    </row>
    <row r="6548" spans="1:10" x14ac:dyDescent="0.25">
      <c r="A6548" s="5" t="s">
        <v>38733</v>
      </c>
      <c r="B6548" s="6">
        <v>393.75</v>
      </c>
      <c r="C6548" s="6">
        <v>20.478950000000001</v>
      </c>
      <c r="D6548" s="6">
        <v>81</v>
      </c>
      <c r="E6548" s="6">
        <v>0</v>
      </c>
      <c r="F6548" s="6">
        <v>0</v>
      </c>
      <c r="G6548" s="6">
        <v>21</v>
      </c>
      <c r="H6548" s="6" t="s">
        <v>38734</v>
      </c>
      <c r="I6548" s="6">
        <v>526.6875</v>
      </c>
      <c r="J6548" s="2">
        <f t="shared" si="102"/>
        <v>43748.944572511573</v>
      </c>
    </row>
    <row r="6549" spans="1:10" x14ac:dyDescent="0.25">
      <c r="A6549" s="7" t="s">
        <v>38735</v>
      </c>
      <c r="B6549" s="8">
        <v>393.75</v>
      </c>
      <c r="C6549" s="8">
        <v>20.478950000000001</v>
      </c>
      <c r="D6549" s="8">
        <v>81</v>
      </c>
      <c r="E6549" s="8">
        <v>0</v>
      </c>
      <c r="F6549" s="8">
        <v>0</v>
      </c>
      <c r="G6549" s="8">
        <v>15</v>
      </c>
      <c r="H6549" s="8" t="s">
        <v>38736</v>
      </c>
      <c r="I6549" s="8">
        <v>526.6875</v>
      </c>
      <c r="J6549" s="3">
        <f t="shared" si="102"/>
        <v>43748.944655729159</v>
      </c>
    </row>
    <row r="6550" spans="1:10" x14ac:dyDescent="0.25">
      <c r="A6550" s="5" t="s">
        <v>38737</v>
      </c>
      <c r="B6550" s="6">
        <v>412.5</v>
      </c>
      <c r="C6550" s="6">
        <v>20.426300000000001</v>
      </c>
      <c r="D6550" s="6">
        <v>82</v>
      </c>
      <c r="E6550" s="6">
        <v>0</v>
      </c>
      <c r="F6550" s="6">
        <v>0</v>
      </c>
      <c r="G6550" s="6">
        <v>12</v>
      </c>
      <c r="H6550" s="6" t="s">
        <v>38738</v>
      </c>
      <c r="I6550" s="6">
        <v>532.3125</v>
      </c>
      <c r="J6550" s="2">
        <f t="shared" si="102"/>
        <v>43748.944737708334</v>
      </c>
    </row>
    <row r="6551" spans="1:10" x14ac:dyDescent="0.25">
      <c r="A6551" s="7" t="s">
        <v>38739</v>
      </c>
      <c r="B6551" s="8">
        <v>393.75</v>
      </c>
      <c r="C6551" s="8">
        <v>20.478950000000001</v>
      </c>
      <c r="D6551" s="8">
        <v>82</v>
      </c>
      <c r="E6551" s="8">
        <v>0</v>
      </c>
      <c r="F6551" s="8">
        <v>0</v>
      </c>
      <c r="G6551" s="8">
        <v>11</v>
      </c>
      <c r="H6551" s="8" t="s">
        <v>38740</v>
      </c>
      <c r="I6551" s="8">
        <v>526.6875</v>
      </c>
      <c r="J6551" s="3">
        <f t="shared" si="102"/>
        <v>43748.944811261572</v>
      </c>
    </row>
    <row r="6552" spans="1:10" x14ac:dyDescent="0.25">
      <c r="A6552" s="5" t="s">
        <v>38741</v>
      </c>
      <c r="B6552" s="6">
        <v>415.625</v>
      </c>
      <c r="C6552" s="6">
        <v>20.478950000000001</v>
      </c>
      <c r="D6552" s="6">
        <v>83</v>
      </c>
      <c r="E6552" s="6">
        <v>0</v>
      </c>
      <c r="F6552" s="6">
        <v>0</v>
      </c>
      <c r="G6552" s="6">
        <v>16</v>
      </c>
      <c r="H6552" s="6" t="s">
        <v>38742</v>
      </c>
      <c r="I6552" s="6">
        <v>533.0625</v>
      </c>
      <c r="J6552" s="2">
        <f t="shared" si="102"/>
        <v>43748.944906689816</v>
      </c>
    </row>
    <row r="6553" spans="1:10" x14ac:dyDescent="0.25">
      <c r="A6553" s="7" t="s">
        <v>38743</v>
      </c>
      <c r="B6553" s="8">
        <v>393.75</v>
      </c>
      <c r="C6553" s="8">
        <v>20.478950000000001</v>
      </c>
      <c r="D6553" s="8">
        <v>87</v>
      </c>
      <c r="E6553" s="8">
        <v>0</v>
      </c>
      <c r="F6553" s="8">
        <v>0</v>
      </c>
      <c r="G6553" s="8">
        <v>9</v>
      </c>
      <c r="H6553" s="8" t="s">
        <v>38744</v>
      </c>
      <c r="I6553" s="8">
        <v>526.6875</v>
      </c>
      <c r="J6553" s="3">
        <f t="shared" si="102"/>
        <v>43748.944977974534</v>
      </c>
    </row>
    <row r="6554" spans="1:10" x14ac:dyDescent="0.25">
      <c r="A6554" s="5" t="s">
        <v>38745</v>
      </c>
      <c r="B6554" s="6">
        <v>393.75</v>
      </c>
      <c r="C6554" s="6">
        <v>20.478950000000001</v>
      </c>
      <c r="D6554" s="6">
        <v>86</v>
      </c>
      <c r="E6554" s="6">
        <v>0</v>
      </c>
      <c r="F6554" s="6">
        <v>0</v>
      </c>
      <c r="G6554" s="6">
        <v>26</v>
      </c>
      <c r="H6554" s="6" t="s">
        <v>38746</v>
      </c>
      <c r="I6554" s="6">
        <v>526.6875</v>
      </c>
      <c r="J6554" s="2">
        <f t="shared" si="102"/>
        <v>43748.945061342594</v>
      </c>
    </row>
    <row r="6555" spans="1:10" x14ac:dyDescent="0.25">
      <c r="A6555" s="7" t="s">
        <v>38747</v>
      </c>
      <c r="B6555" s="8">
        <v>412.5</v>
      </c>
      <c r="C6555" s="8">
        <v>20.478950000000001</v>
      </c>
      <c r="D6555" s="8">
        <v>87</v>
      </c>
      <c r="E6555" s="8">
        <v>0</v>
      </c>
      <c r="F6555" s="8">
        <v>0</v>
      </c>
      <c r="G6555" s="8">
        <v>14</v>
      </c>
      <c r="H6555" s="8" t="s">
        <v>38748</v>
      </c>
      <c r="I6555" s="8">
        <v>532.3125</v>
      </c>
      <c r="J6555" s="3">
        <f t="shared" si="102"/>
        <v>43748.945133368055</v>
      </c>
    </row>
    <row r="6556" spans="1:10" x14ac:dyDescent="0.25">
      <c r="A6556" s="5" t="s">
        <v>38749</v>
      </c>
      <c r="B6556" s="6">
        <v>393.75</v>
      </c>
      <c r="C6556" s="6">
        <v>20.478950000000001</v>
      </c>
      <c r="D6556" s="6">
        <v>86</v>
      </c>
      <c r="E6556" s="6">
        <v>0</v>
      </c>
      <c r="F6556" s="6">
        <v>0</v>
      </c>
      <c r="G6556" s="6">
        <v>22</v>
      </c>
      <c r="H6556" s="6" t="s">
        <v>38750</v>
      </c>
      <c r="I6556" s="6">
        <v>526.6875</v>
      </c>
      <c r="J6556" s="2">
        <f t="shared" si="102"/>
        <v>43748.945204837961</v>
      </c>
    </row>
    <row r="6557" spans="1:10" x14ac:dyDescent="0.25">
      <c r="A6557" s="7" t="s">
        <v>38751</v>
      </c>
      <c r="B6557" s="8">
        <v>393.75</v>
      </c>
      <c r="C6557" s="8">
        <v>20.478950000000001</v>
      </c>
      <c r="D6557" s="8">
        <v>85</v>
      </c>
      <c r="E6557" s="8">
        <v>0</v>
      </c>
      <c r="F6557" s="8">
        <v>0</v>
      </c>
      <c r="G6557" s="8">
        <v>18</v>
      </c>
      <c r="H6557" s="8" t="s">
        <v>38752</v>
      </c>
      <c r="I6557" s="8">
        <v>526.6875</v>
      </c>
      <c r="J6557" s="3">
        <f t="shared" si="102"/>
        <v>43748.945276157407</v>
      </c>
    </row>
    <row r="6558" spans="1:10" x14ac:dyDescent="0.25">
      <c r="A6558" s="5" t="s">
        <v>38753</v>
      </c>
      <c r="B6558" s="6">
        <v>393.75</v>
      </c>
      <c r="C6558" s="6">
        <v>20.478950000000001</v>
      </c>
      <c r="D6558" s="6">
        <v>85</v>
      </c>
      <c r="E6558" s="6">
        <v>0</v>
      </c>
      <c r="F6558" s="6">
        <v>0</v>
      </c>
      <c r="G6558" s="6">
        <v>12</v>
      </c>
      <c r="H6558" s="6" t="s">
        <v>38754</v>
      </c>
      <c r="I6558" s="6">
        <v>526.6875</v>
      </c>
      <c r="J6558" s="2">
        <f t="shared" si="102"/>
        <v>43748.94534741898</v>
      </c>
    </row>
    <row r="6559" spans="1:10" x14ac:dyDescent="0.25">
      <c r="A6559" s="7" t="s">
        <v>38755</v>
      </c>
      <c r="B6559" s="8">
        <v>393.75</v>
      </c>
      <c r="C6559" s="8">
        <v>20.478950000000001</v>
      </c>
      <c r="D6559" s="8">
        <v>85</v>
      </c>
      <c r="E6559" s="8">
        <v>0</v>
      </c>
      <c r="F6559" s="8">
        <v>0</v>
      </c>
      <c r="G6559" s="8">
        <v>14</v>
      </c>
      <c r="H6559" s="8" t="s">
        <v>38756</v>
      </c>
      <c r="I6559" s="8">
        <v>526.6875</v>
      </c>
      <c r="J6559" s="3">
        <f t="shared" si="102"/>
        <v>43748.945419583331</v>
      </c>
    </row>
    <row r="6560" spans="1:10" x14ac:dyDescent="0.25">
      <c r="A6560" s="5" t="s">
        <v>38757</v>
      </c>
      <c r="B6560" s="6">
        <v>393.75</v>
      </c>
      <c r="C6560" s="6">
        <v>20.478950000000001</v>
      </c>
      <c r="D6560" s="6">
        <v>85</v>
      </c>
      <c r="E6560" s="6">
        <v>0</v>
      </c>
      <c r="F6560" s="6">
        <v>0</v>
      </c>
      <c r="G6560" s="6">
        <v>18</v>
      </c>
      <c r="H6560" s="6" t="s">
        <v>38758</v>
      </c>
      <c r="I6560" s="6">
        <v>526.6875</v>
      </c>
      <c r="J6560" s="2">
        <f t="shared" si="102"/>
        <v>43748.945490983795</v>
      </c>
    </row>
    <row r="6561" spans="1:10" x14ac:dyDescent="0.25">
      <c r="A6561" s="7" t="s">
        <v>38759</v>
      </c>
      <c r="B6561" s="8">
        <v>393.75</v>
      </c>
      <c r="C6561" s="8">
        <v>20.478950000000001</v>
      </c>
      <c r="D6561" s="8">
        <v>85</v>
      </c>
      <c r="E6561" s="8">
        <v>0</v>
      </c>
      <c r="F6561" s="8">
        <v>0</v>
      </c>
      <c r="G6561" s="8">
        <v>25</v>
      </c>
      <c r="H6561" s="8" t="s">
        <v>38760</v>
      </c>
      <c r="I6561" s="8">
        <v>526.6875</v>
      </c>
      <c r="J6561" s="3">
        <f t="shared" si="102"/>
        <v>43748.945562361107</v>
      </c>
    </row>
    <row r="6562" spans="1:10" x14ac:dyDescent="0.25">
      <c r="A6562" s="5" t="s">
        <v>38761</v>
      </c>
      <c r="B6562" s="6">
        <v>393.75</v>
      </c>
      <c r="C6562" s="6">
        <v>20.478950000000001</v>
      </c>
      <c r="D6562" s="6">
        <v>85</v>
      </c>
      <c r="E6562" s="6">
        <v>0</v>
      </c>
      <c r="F6562" s="6">
        <v>0</v>
      </c>
      <c r="G6562" s="6">
        <v>23</v>
      </c>
      <c r="H6562" s="6" t="s">
        <v>38762</v>
      </c>
      <c r="I6562" s="6">
        <v>526.5</v>
      </c>
      <c r="J6562" s="2">
        <f t="shared" si="102"/>
        <v>43748.94564027778</v>
      </c>
    </row>
    <row r="6563" spans="1:10" x14ac:dyDescent="0.25">
      <c r="A6563" s="7" t="s">
        <v>38763</v>
      </c>
      <c r="B6563" s="8">
        <v>437.5</v>
      </c>
      <c r="C6563" s="8">
        <v>20.478950000000001</v>
      </c>
      <c r="D6563" s="8">
        <v>82</v>
      </c>
      <c r="E6563" s="8">
        <v>0</v>
      </c>
      <c r="F6563" s="8">
        <v>0</v>
      </c>
      <c r="G6563" s="8">
        <v>13</v>
      </c>
      <c r="H6563" s="8" t="s">
        <v>38764</v>
      </c>
      <c r="I6563" s="8">
        <v>540</v>
      </c>
      <c r="J6563" s="3">
        <f t="shared" si="102"/>
        <v>43748.94571717592</v>
      </c>
    </row>
    <row r="6564" spans="1:10" x14ac:dyDescent="0.25">
      <c r="A6564" s="5" t="s">
        <v>38765</v>
      </c>
      <c r="B6564" s="6">
        <v>393.75</v>
      </c>
      <c r="C6564" s="6">
        <v>20.478950000000001</v>
      </c>
      <c r="D6564" s="6">
        <v>81</v>
      </c>
      <c r="E6564" s="6">
        <v>0</v>
      </c>
      <c r="F6564" s="6">
        <v>0</v>
      </c>
      <c r="G6564" s="6">
        <v>20</v>
      </c>
      <c r="H6564" s="6" t="s">
        <v>38766</v>
      </c>
      <c r="I6564" s="6">
        <v>526.6875</v>
      </c>
      <c r="J6564" s="2">
        <f t="shared" si="102"/>
        <v>43748.945800671288</v>
      </c>
    </row>
    <row r="6565" spans="1:10" x14ac:dyDescent="0.25">
      <c r="A6565" s="7" t="s">
        <v>38767</v>
      </c>
      <c r="B6565" s="8">
        <v>393.75</v>
      </c>
      <c r="C6565" s="8">
        <v>20.478950000000001</v>
      </c>
      <c r="D6565" s="8">
        <v>80</v>
      </c>
      <c r="E6565" s="8">
        <v>0</v>
      </c>
      <c r="F6565" s="8">
        <v>0</v>
      </c>
      <c r="G6565" s="8">
        <v>19</v>
      </c>
      <c r="H6565" s="8" t="s">
        <v>38768</v>
      </c>
      <c r="I6565" s="8">
        <v>526.6875</v>
      </c>
      <c r="J6565" s="3">
        <f t="shared" si="102"/>
        <v>43748.945884444438</v>
      </c>
    </row>
    <row r="6566" spans="1:10" x14ac:dyDescent="0.25">
      <c r="A6566" s="5" t="s">
        <v>38769</v>
      </c>
      <c r="B6566" s="6">
        <v>393.75</v>
      </c>
      <c r="C6566" s="6">
        <v>20.478950000000001</v>
      </c>
      <c r="D6566" s="6">
        <v>81</v>
      </c>
      <c r="E6566" s="6">
        <v>0</v>
      </c>
      <c r="F6566" s="6">
        <v>0</v>
      </c>
      <c r="G6566" s="6">
        <v>18</v>
      </c>
      <c r="H6566" s="6" t="s">
        <v>38770</v>
      </c>
      <c r="I6566" s="6">
        <v>526.6875</v>
      </c>
      <c r="J6566" s="2">
        <f t="shared" si="102"/>
        <v>43748.94595577546</v>
      </c>
    </row>
    <row r="6567" spans="1:10" x14ac:dyDescent="0.25">
      <c r="A6567" s="7" t="s">
        <v>38771</v>
      </c>
      <c r="B6567" s="8">
        <v>393.75</v>
      </c>
      <c r="C6567" s="8">
        <v>20.478950000000001</v>
      </c>
      <c r="D6567" s="8">
        <v>81</v>
      </c>
      <c r="E6567" s="8">
        <v>0</v>
      </c>
      <c r="F6567" s="8">
        <v>0</v>
      </c>
      <c r="G6567" s="8">
        <v>20</v>
      </c>
      <c r="H6567" s="8" t="s">
        <v>38772</v>
      </c>
      <c r="I6567" s="8">
        <v>526.6875</v>
      </c>
      <c r="J6567" s="3">
        <f t="shared" si="102"/>
        <v>43748.94602791666</v>
      </c>
    </row>
    <row r="6568" spans="1:10" x14ac:dyDescent="0.25">
      <c r="A6568" s="5" t="s">
        <v>38773</v>
      </c>
      <c r="B6568" s="6">
        <v>393.75</v>
      </c>
      <c r="C6568" s="6">
        <v>20.478950000000001</v>
      </c>
      <c r="D6568" s="6">
        <v>81</v>
      </c>
      <c r="E6568" s="6">
        <v>0</v>
      </c>
      <c r="F6568" s="6">
        <v>0</v>
      </c>
      <c r="G6568" s="6">
        <v>18</v>
      </c>
      <c r="H6568" s="6" t="s">
        <v>38774</v>
      </c>
      <c r="I6568" s="6">
        <v>526.5</v>
      </c>
      <c r="J6568" s="2">
        <f t="shared" si="102"/>
        <v>43748.946099224537</v>
      </c>
    </row>
    <row r="6569" spans="1:10" x14ac:dyDescent="0.25">
      <c r="A6569" s="7" t="s">
        <v>38775</v>
      </c>
      <c r="B6569" s="8">
        <v>393.75</v>
      </c>
      <c r="C6569" s="8">
        <v>20.478950000000001</v>
      </c>
      <c r="D6569" s="8">
        <v>82</v>
      </c>
      <c r="E6569" s="8">
        <v>0</v>
      </c>
      <c r="F6569" s="8">
        <v>0</v>
      </c>
      <c r="G6569" s="8">
        <v>12</v>
      </c>
      <c r="H6569" s="8" t="s">
        <v>38776</v>
      </c>
      <c r="I6569" s="8">
        <v>526.6875</v>
      </c>
      <c r="J6569" s="3">
        <f t="shared" si="102"/>
        <v>43748.946170578703</v>
      </c>
    </row>
    <row r="6570" spans="1:10" x14ac:dyDescent="0.25">
      <c r="A6570" s="5" t="s">
        <v>38777</v>
      </c>
      <c r="B6570" s="6">
        <v>393.75</v>
      </c>
      <c r="C6570" s="6">
        <v>20.478950000000001</v>
      </c>
      <c r="D6570" s="6">
        <v>82</v>
      </c>
      <c r="E6570" s="6">
        <v>0</v>
      </c>
      <c r="F6570" s="6">
        <v>0</v>
      </c>
      <c r="G6570" s="6">
        <v>19</v>
      </c>
      <c r="H6570" s="6" t="s">
        <v>38778</v>
      </c>
      <c r="I6570" s="6">
        <v>526.6875</v>
      </c>
      <c r="J6570" s="2">
        <f t="shared" si="102"/>
        <v>43748.946241921294</v>
      </c>
    </row>
    <row r="6571" spans="1:10" x14ac:dyDescent="0.25">
      <c r="A6571" s="7" t="s">
        <v>38779</v>
      </c>
      <c r="B6571" s="8">
        <v>393.75</v>
      </c>
      <c r="C6571" s="8">
        <v>20.478950000000001</v>
      </c>
      <c r="D6571" s="8">
        <v>82</v>
      </c>
      <c r="E6571" s="8">
        <v>0</v>
      </c>
      <c r="F6571" s="8">
        <v>0</v>
      </c>
      <c r="G6571" s="8">
        <v>15</v>
      </c>
      <c r="H6571" s="8" t="s">
        <v>38780</v>
      </c>
      <c r="I6571" s="8">
        <v>526.6875</v>
      </c>
      <c r="J6571" s="3">
        <f t="shared" si="102"/>
        <v>43748.946313229164</v>
      </c>
    </row>
    <row r="6572" spans="1:10" x14ac:dyDescent="0.25">
      <c r="A6572" s="5" t="s">
        <v>38781</v>
      </c>
      <c r="B6572" s="6">
        <v>393.75</v>
      </c>
      <c r="C6572" s="6">
        <v>20.478950000000001</v>
      </c>
      <c r="D6572" s="6">
        <v>82</v>
      </c>
      <c r="E6572" s="6">
        <v>0</v>
      </c>
      <c r="F6572" s="6">
        <v>0</v>
      </c>
      <c r="G6572" s="6">
        <v>14</v>
      </c>
      <c r="H6572" s="6" t="s">
        <v>38782</v>
      </c>
      <c r="I6572" s="6">
        <v>526.6875</v>
      </c>
      <c r="J6572" s="2">
        <f t="shared" si="102"/>
        <v>43748.946385370371</v>
      </c>
    </row>
    <row r="6573" spans="1:10" x14ac:dyDescent="0.25">
      <c r="A6573" s="7" t="s">
        <v>38783</v>
      </c>
      <c r="B6573" s="8">
        <v>393.75</v>
      </c>
      <c r="C6573" s="8">
        <v>20.478950000000001</v>
      </c>
      <c r="D6573" s="8">
        <v>82</v>
      </c>
      <c r="E6573" s="8">
        <v>0</v>
      </c>
      <c r="F6573" s="8">
        <v>0</v>
      </c>
      <c r="G6573" s="8">
        <v>24</v>
      </c>
      <c r="H6573" s="8" t="s">
        <v>38784</v>
      </c>
      <c r="I6573" s="8">
        <v>526.6875</v>
      </c>
      <c r="J6573" s="3">
        <f t="shared" si="102"/>
        <v>43748.946468726848</v>
      </c>
    </row>
    <row r="6574" spans="1:10" x14ac:dyDescent="0.25">
      <c r="A6574" s="5" t="s">
        <v>38785</v>
      </c>
      <c r="B6574" s="6">
        <v>393.75</v>
      </c>
      <c r="C6574" s="6">
        <v>20.478950000000001</v>
      </c>
      <c r="D6574" s="6">
        <v>82</v>
      </c>
      <c r="E6574" s="6">
        <v>0</v>
      </c>
      <c r="F6574" s="6">
        <v>0</v>
      </c>
      <c r="G6574" s="6">
        <v>14</v>
      </c>
      <c r="H6574" s="6" t="s">
        <v>38786</v>
      </c>
      <c r="I6574" s="6">
        <v>526.6875</v>
      </c>
      <c r="J6574" s="2">
        <f t="shared" si="102"/>
        <v>43748.946540081015</v>
      </c>
    </row>
    <row r="6575" spans="1:10" x14ac:dyDescent="0.25">
      <c r="A6575" s="7" t="s">
        <v>38787</v>
      </c>
      <c r="B6575" s="8">
        <v>393.75</v>
      </c>
      <c r="C6575" s="8">
        <v>20.478950000000001</v>
      </c>
      <c r="D6575" s="8">
        <v>80</v>
      </c>
      <c r="E6575" s="8">
        <v>0</v>
      </c>
      <c r="F6575" s="8">
        <v>0</v>
      </c>
      <c r="G6575" s="8">
        <v>21</v>
      </c>
      <c r="H6575" s="8" t="s">
        <v>38788</v>
      </c>
      <c r="I6575" s="8">
        <v>526.6875</v>
      </c>
      <c r="J6575" s="3">
        <f t="shared" si="102"/>
        <v>43748.946612245367</v>
      </c>
    </row>
    <row r="6576" spans="1:10" x14ac:dyDescent="0.25">
      <c r="A6576" s="5" t="s">
        <v>38789</v>
      </c>
      <c r="B6576" s="6">
        <v>393.75</v>
      </c>
      <c r="C6576" s="6">
        <v>20.478950000000001</v>
      </c>
      <c r="D6576" s="6">
        <v>81</v>
      </c>
      <c r="E6576" s="6">
        <v>0</v>
      </c>
      <c r="F6576" s="6">
        <v>0</v>
      </c>
      <c r="G6576" s="6">
        <v>11</v>
      </c>
      <c r="H6576" s="6" t="s">
        <v>38790</v>
      </c>
      <c r="I6576" s="6">
        <v>526.6875</v>
      </c>
      <c r="J6576" s="2">
        <f t="shared" si="102"/>
        <v>43748.946683530092</v>
      </c>
    </row>
    <row r="6577" spans="1:10" x14ac:dyDescent="0.25">
      <c r="A6577" s="7" t="s">
        <v>38791</v>
      </c>
      <c r="B6577" s="8">
        <v>393.75</v>
      </c>
      <c r="C6577" s="8">
        <v>20.478950000000001</v>
      </c>
      <c r="D6577" s="8">
        <v>81</v>
      </c>
      <c r="E6577" s="8">
        <v>0</v>
      </c>
      <c r="F6577" s="8">
        <v>0</v>
      </c>
      <c r="G6577" s="8">
        <v>18</v>
      </c>
      <c r="H6577" s="8" t="s">
        <v>38792</v>
      </c>
      <c r="I6577" s="8">
        <v>526.6875</v>
      </c>
      <c r="J6577" s="3">
        <f t="shared" si="102"/>
        <v>43748.946766874993</v>
      </c>
    </row>
    <row r="6578" spans="1:10" x14ac:dyDescent="0.25">
      <c r="A6578" s="5" t="s">
        <v>38793</v>
      </c>
      <c r="B6578" s="6">
        <v>393.75</v>
      </c>
      <c r="C6578" s="6">
        <v>20.478950000000001</v>
      </c>
      <c r="D6578" s="6">
        <v>81</v>
      </c>
      <c r="E6578" s="6">
        <v>0</v>
      </c>
      <c r="F6578" s="6">
        <v>0</v>
      </c>
      <c r="G6578" s="6">
        <v>14</v>
      </c>
      <c r="H6578" s="6" t="s">
        <v>38794</v>
      </c>
      <c r="I6578" s="6">
        <v>526.6875</v>
      </c>
      <c r="J6578" s="2">
        <f t="shared" si="102"/>
        <v>43748.946838923606</v>
      </c>
    </row>
    <row r="6579" spans="1:10" x14ac:dyDescent="0.25">
      <c r="A6579" s="7" t="s">
        <v>38795</v>
      </c>
      <c r="B6579" s="8">
        <v>393.75</v>
      </c>
      <c r="C6579" s="8">
        <v>20.478950000000001</v>
      </c>
      <c r="D6579" s="8">
        <v>81</v>
      </c>
      <c r="E6579" s="8">
        <v>0</v>
      </c>
      <c r="F6579" s="8">
        <v>0</v>
      </c>
      <c r="G6579" s="8">
        <v>23</v>
      </c>
      <c r="H6579" s="8" t="s">
        <v>38796</v>
      </c>
      <c r="I6579" s="8">
        <v>526.6875</v>
      </c>
      <c r="J6579" s="3">
        <f t="shared" si="102"/>
        <v>43748.946910381943</v>
      </c>
    </row>
    <row r="6580" spans="1:10" x14ac:dyDescent="0.25">
      <c r="A6580" s="5" t="s">
        <v>38797</v>
      </c>
      <c r="B6580" s="6">
        <v>393.75</v>
      </c>
      <c r="C6580" s="6">
        <v>20.478950000000001</v>
      </c>
      <c r="D6580" s="6">
        <v>81</v>
      </c>
      <c r="E6580" s="6">
        <v>0</v>
      </c>
      <c r="F6580" s="6">
        <v>0</v>
      </c>
      <c r="G6580" s="6">
        <v>22</v>
      </c>
      <c r="H6580" s="6" t="s">
        <v>38798</v>
      </c>
      <c r="I6580" s="6">
        <v>526.6875</v>
      </c>
      <c r="J6580" s="2">
        <f t="shared" si="102"/>
        <v>43748.94699319444</v>
      </c>
    </row>
    <row r="6581" spans="1:10" x14ac:dyDescent="0.25">
      <c r="A6581" s="7" t="s">
        <v>38799</v>
      </c>
      <c r="B6581" s="8">
        <v>393.75</v>
      </c>
      <c r="C6581" s="8">
        <v>20.478950000000001</v>
      </c>
      <c r="D6581" s="8">
        <v>81</v>
      </c>
      <c r="E6581" s="8">
        <v>0</v>
      </c>
      <c r="F6581" s="8">
        <v>0</v>
      </c>
      <c r="G6581" s="8">
        <v>19</v>
      </c>
      <c r="H6581" s="8" t="s">
        <v>38800</v>
      </c>
      <c r="I6581" s="8">
        <v>526.6875</v>
      </c>
      <c r="J6581" s="3">
        <f t="shared" si="102"/>
        <v>43748.947065023145</v>
      </c>
    </row>
    <row r="6582" spans="1:10" x14ac:dyDescent="0.25">
      <c r="A6582" s="5" t="s">
        <v>38801</v>
      </c>
      <c r="B6582" s="6">
        <v>393.75</v>
      </c>
      <c r="C6582" s="6">
        <v>20.478950000000001</v>
      </c>
      <c r="D6582" s="6">
        <v>81</v>
      </c>
      <c r="E6582" s="6">
        <v>0</v>
      </c>
      <c r="F6582" s="6">
        <v>0</v>
      </c>
      <c r="G6582" s="6">
        <v>17</v>
      </c>
      <c r="H6582" s="6" t="s">
        <v>38802</v>
      </c>
      <c r="I6582" s="6">
        <v>526.6875</v>
      </c>
      <c r="J6582" s="2">
        <f t="shared" si="102"/>
        <v>43748.947137071758</v>
      </c>
    </row>
    <row r="6583" spans="1:10" x14ac:dyDescent="0.25">
      <c r="A6583" s="7" t="s">
        <v>38803</v>
      </c>
      <c r="B6583" s="8">
        <v>393.75</v>
      </c>
      <c r="C6583" s="8">
        <v>20.478950000000001</v>
      </c>
      <c r="D6583" s="8">
        <v>82</v>
      </c>
      <c r="E6583" s="8">
        <v>0</v>
      </c>
      <c r="F6583" s="8">
        <v>0</v>
      </c>
      <c r="G6583" s="8">
        <v>24</v>
      </c>
      <c r="H6583" s="8" t="s">
        <v>38804</v>
      </c>
      <c r="I6583" s="8">
        <v>526.6875</v>
      </c>
      <c r="J6583" s="3">
        <f t="shared" si="102"/>
        <v>43748.947232615734</v>
      </c>
    </row>
    <row r="6584" spans="1:10" x14ac:dyDescent="0.25">
      <c r="A6584" s="5" t="s">
        <v>38805</v>
      </c>
      <c r="B6584" s="6">
        <v>396.875</v>
      </c>
      <c r="C6584" s="6">
        <v>20.478950000000001</v>
      </c>
      <c r="D6584" s="6">
        <v>81</v>
      </c>
      <c r="E6584" s="6">
        <v>0</v>
      </c>
      <c r="F6584" s="6">
        <v>0</v>
      </c>
      <c r="G6584" s="6">
        <v>23</v>
      </c>
      <c r="H6584" s="6" t="s">
        <v>38806</v>
      </c>
      <c r="I6584" s="6">
        <v>527.4375</v>
      </c>
      <c r="J6584" s="2">
        <f t="shared" si="102"/>
        <v>43748.947303969901</v>
      </c>
    </row>
    <row r="6585" spans="1:10" x14ac:dyDescent="0.25">
      <c r="A6585" s="7" t="s">
        <v>38807</v>
      </c>
      <c r="B6585" s="8">
        <v>396.875</v>
      </c>
      <c r="C6585" s="8">
        <v>20.478950000000001</v>
      </c>
      <c r="D6585" s="8">
        <v>82</v>
      </c>
      <c r="E6585" s="8">
        <v>0</v>
      </c>
      <c r="F6585" s="8">
        <v>0</v>
      </c>
      <c r="G6585" s="8">
        <v>18</v>
      </c>
      <c r="H6585" s="8" t="s">
        <v>38808</v>
      </c>
      <c r="I6585" s="8">
        <v>527.4375</v>
      </c>
      <c r="J6585" s="3">
        <f t="shared" si="102"/>
        <v>43748.94739927083</v>
      </c>
    </row>
    <row r="6586" spans="1:10" x14ac:dyDescent="0.25">
      <c r="A6586" s="5" t="s">
        <v>38809</v>
      </c>
      <c r="B6586" s="6">
        <v>396.875</v>
      </c>
      <c r="C6586" s="6">
        <v>20.478950000000001</v>
      </c>
      <c r="D6586" s="6">
        <v>83</v>
      </c>
      <c r="E6586" s="6">
        <v>0</v>
      </c>
      <c r="F6586" s="6">
        <v>0</v>
      </c>
      <c r="G6586" s="6">
        <v>15</v>
      </c>
      <c r="H6586" s="6" t="s">
        <v>38810</v>
      </c>
      <c r="I6586" s="6">
        <v>527.4375</v>
      </c>
      <c r="J6586" s="2">
        <f t="shared" si="102"/>
        <v>43748.947470590276</v>
      </c>
    </row>
    <row r="6587" spans="1:10" x14ac:dyDescent="0.25">
      <c r="A6587" s="7" t="s">
        <v>38811</v>
      </c>
      <c r="B6587" s="8">
        <v>396.875</v>
      </c>
      <c r="C6587" s="8">
        <v>20.478950000000001</v>
      </c>
      <c r="D6587" s="8">
        <v>84</v>
      </c>
      <c r="E6587" s="8">
        <v>0</v>
      </c>
      <c r="F6587" s="8">
        <v>0</v>
      </c>
      <c r="G6587" s="8">
        <v>18</v>
      </c>
      <c r="H6587" s="8" t="s">
        <v>38812</v>
      </c>
      <c r="I6587" s="8">
        <v>527.4375</v>
      </c>
      <c r="J6587" s="3">
        <f t="shared" si="102"/>
        <v>43748.947553865735</v>
      </c>
    </row>
    <row r="6588" spans="1:10" x14ac:dyDescent="0.25">
      <c r="A6588" s="5" t="s">
        <v>38813</v>
      </c>
      <c r="B6588" s="6">
        <v>396.875</v>
      </c>
      <c r="C6588" s="6">
        <v>20.478950000000001</v>
      </c>
      <c r="D6588" s="6">
        <v>84</v>
      </c>
      <c r="E6588" s="6">
        <v>0</v>
      </c>
      <c r="F6588" s="6">
        <v>0</v>
      </c>
      <c r="G6588" s="6">
        <v>19</v>
      </c>
      <c r="H6588" s="6" t="s">
        <v>38814</v>
      </c>
      <c r="I6588" s="6">
        <v>527.4375</v>
      </c>
      <c r="J6588" s="2">
        <f t="shared" si="102"/>
        <v>43748.947637268517</v>
      </c>
    </row>
    <row r="6589" spans="1:10" x14ac:dyDescent="0.25">
      <c r="A6589" s="7" t="s">
        <v>38815</v>
      </c>
      <c r="B6589" s="8">
        <v>393.75</v>
      </c>
      <c r="C6589" s="8">
        <v>20.478950000000001</v>
      </c>
      <c r="D6589" s="8">
        <v>84</v>
      </c>
      <c r="E6589" s="8">
        <v>0</v>
      </c>
      <c r="F6589" s="8">
        <v>0</v>
      </c>
      <c r="G6589" s="8">
        <v>22</v>
      </c>
      <c r="H6589" s="8" t="s">
        <v>38816</v>
      </c>
      <c r="I6589" s="8">
        <v>526.6875</v>
      </c>
      <c r="J6589" s="3">
        <f t="shared" si="102"/>
        <v>43748.94772142361</v>
      </c>
    </row>
    <row r="6590" spans="1:10" x14ac:dyDescent="0.25">
      <c r="A6590" s="5" t="s">
        <v>38817</v>
      </c>
      <c r="B6590" s="6">
        <v>393.75</v>
      </c>
      <c r="C6590" s="6">
        <v>20.478950000000001</v>
      </c>
      <c r="D6590" s="6">
        <v>86</v>
      </c>
      <c r="E6590" s="6">
        <v>0</v>
      </c>
      <c r="F6590" s="6">
        <v>0</v>
      </c>
      <c r="G6590" s="6">
        <v>17</v>
      </c>
      <c r="H6590" s="6" t="s">
        <v>38818</v>
      </c>
      <c r="I6590" s="6">
        <v>526.6875</v>
      </c>
      <c r="J6590" s="2">
        <f t="shared" si="102"/>
        <v>43748.947804814808</v>
      </c>
    </row>
    <row r="6591" spans="1:10" x14ac:dyDescent="0.25">
      <c r="A6591" s="7" t="s">
        <v>38819</v>
      </c>
      <c r="B6591" s="8">
        <v>393.75</v>
      </c>
      <c r="C6591" s="8">
        <v>20.478950000000001</v>
      </c>
      <c r="D6591" s="8">
        <v>85</v>
      </c>
      <c r="E6591" s="8">
        <v>0</v>
      </c>
      <c r="F6591" s="8">
        <v>0</v>
      </c>
      <c r="G6591" s="8">
        <v>9</v>
      </c>
      <c r="H6591" s="8" t="s">
        <v>38820</v>
      </c>
      <c r="I6591" s="8">
        <v>526.6875</v>
      </c>
      <c r="J6591" s="3">
        <f t="shared" si="102"/>
        <v>43748.94787611111</v>
      </c>
    </row>
    <row r="6592" spans="1:10" x14ac:dyDescent="0.25">
      <c r="A6592" s="5" t="s">
        <v>38821</v>
      </c>
      <c r="B6592" s="6">
        <v>393.75</v>
      </c>
      <c r="C6592" s="6">
        <v>20.478950000000001</v>
      </c>
      <c r="D6592" s="6">
        <v>84</v>
      </c>
      <c r="E6592" s="6">
        <v>0</v>
      </c>
      <c r="F6592" s="6">
        <v>0</v>
      </c>
      <c r="G6592" s="6">
        <v>19</v>
      </c>
      <c r="H6592" s="6" t="s">
        <v>38822</v>
      </c>
      <c r="I6592" s="6">
        <v>526.6875</v>
      </c>
      <c r="J6592" s="2">
        <f t="shared" si="102"/>
        <v>43748.947947395827</v>
      </c>
    </row>
    <row r="6593" spans="1:10" x14ac:dyDescent="0.25">
      <c r="A6593" s="7" t="s">
        <v>38823</v>
      </c>
      <c r="B6593" s="8">
        <v>393.75</v>
      </c>
      <c r="C6593" s="8">
        <v>20.478950000000001</v>
      </c>
      <c r="D6593" s="8">
        <v>85</v>
      </c>
      <c r="E6593" s="8">
        <v>0</v>
      </c>
      <c r="F6593" s="8">
        <v>0</v>
      </c>
      <c r="G6593" s="8">
        <v>16</v>
      </c>
      <c r="H6593" s="8" t="s">
        <v>38824</v>
      </c>
      <c r="I6593" s="8">
        <v>526.6875</v>
      </c>
      <c r="J6593" s="3">
        <f t="shared" si="102"/>
        <v>43748.948019733791</v>
      </c>
    </row>
    <row r="6594" spans="1:10" x14ac:dyDescent="0.25">
      <c r="A6594" s="5" t="s">
        <v>38825</v>
      </c>
      <c r="B6594" s="6">
        <v>393.75</v>
      </c>
      <c r="C6594" s="6">
        <v>20.478950000000001</v>
      </c>
      <c r="D6594" s="6">
        <v>85</v>
      </c>
      <c r="E6594" s="6">
        <v>0</v>
      </c>
      <c r="F6594" s="6">
        <v>0</v>
      </c>
      <c r="G6594" s="6">
        <v>13</v>
      </c>
      <c r="H6594" s="6" t="s">
        <v>38826</v>
      </c>
      <c r="I6594" s="6">
        <v>526.6875</v>
      </c>
      <c r="J6594" s="2">
        <f t="shared" ref="J6594:J6657" si="103">(H6594/86400000)+25569+(7/24)</f>
        <v>43748.948090497688</v>
      </c>
    </row>
    <row r="6595" spans="1:10" x14ac:dyDescent="0.25">
      <c r="A6595" s="7" t="s">
        <v>38827</v>
      </c>
      <c r="B6595" s="8">
        <v>393.75</v>
      </c>
      <c r="C6595" s="8">
        <v>20.478950000000001</v>
      </c>
      <c r="D6595" s="8">
        <v>84</v>
      </c>
      <c r="E6595" s="8">
        <v>0</v>
      </c>
      <c r="F6595" s="8">
        <v>0</v>
      </c>
      <c r="G6595" s="8">
        <v>13</v>
      </c>
      <c r="H6595" s="8" t="s">
        <v>38828</v>
      </c>
      <c r="I6595" s="8">
        <v>526.6875</v>
      </c>
      <c r="J6595" s="3">
        <f t="shared" si="103"/>
        <v>43748.948174259254</v>
      </c>
    </row>
    <row r="6596" spans="1:10" x14ac:dyDescent="0.25">
      <c r="A6596" s="5" t="s">
        <v>38829</v>
      </c>
      <c r="B6596" s="6">
        <v>393.75</v>
      </c>
      <c r="C6596" s="6">
        <v>20.478950000000001</v>
      </c>
      <c r="D6596" s="6">
        <v>85</v>
      </c>
      <c r="E6596" s="6">
        <v>0</v>
      </c>
      <c r="F6596" s="6">
        <v>0</v>
      </c>
      <c r="G6596" s="6">
        <v>16</v>
      </c>
      <c r="H6596" s="6" t="s">
        <v>38830</v>
      </c>
      <c r="I6596" s="6">
        <v>526.6875</v>
      </c>
      <c r="J6596" s="2">
        <f t="shared" si="103"/>
        <v>43748.948245497682</v>
      </c>
    </row>
    <row r="6597" spans="1:10" x14ac:dyDescent="0.25">
      <c r="A6597" s="7" t="s">
        <v>38831</v>
      </c>
      <c r="B6597" s="8">
        <v>393.75</v>
      </c>
      <c r="C6597" s="8">
        <v>20.478950000000001</v>
      </c>
      <c r="D6597" s="8">
        <v>85</v>
      </c>
      <c r="E6597" s="8">
        <v>0</v>
      </c>
      <c r="F6597" s="8">
        <v>0</v>
      </c>
      <c r="G6597" s="8">
        <v>21</v>
      </c>
      <c r="H6597" s="8" t="s">
        <v>38832</v>
      </c>
      <c r="I6597" s="8">
        <v>526.6875</v>
      </c>
      <c r="J6597" s="3">
        <f t="shared" si="103"/>
        <v>43748.948317766197</v>
      </c>
    </row>
    <row r="6598" spans="1:10" x14ac:dyDescent="0.25">
      <c r="A6598" s="5" t="s">
        <v>38833</v>
      </c>
      <c r="B6598" s="6">
        <v>421.875</v>
      </c>
      <c r="C6598" s="6">
        <v>20.478950000000001</v>
      </c>
      <c r="D6598" s="6">
        <v>85</v>
      </c>
      <c r="E6598" s="6">
        <v>0</v>
      </c>
      <c r="F6598" s="6">
        <v>0</v>
      </c>
      <c r="G6598" s="6">
        <v>16</v>
      </c>
      <c r="H6598" s="6" t="s">
        <v>38834</v>
      </c>
      <c r="I6598" s="6">
        <v>535.5</v>
      </c>
      <c r="J6598" s="2">
        <f t="shared" si="103"/>
        <v>43748.948388993049</v>
      </c>
    </row>
    <row r="6599" spans="1:10" x14ac:dyDescent="0.25">
      <c r="A6599" s="7" t="s">
        <v>38835</v>
      </c>
      <c r="B6599" s="8">
        <v>393.75</v>
      </c>
      <c r="C6599" s="8">
        <v>20.426300000000001</v>
      </c>
      <c r="D6599" s="8">
        <v>87</v>
      </c>
      <c r="E6599" s="8">
        <v>0</v>
      </c>
      <c r="F6599" s="8">
        <v>0</v>
      </c>
      <c r="G6599" s="8">
        <v>18</v>
      </c>
      <c r="H6599" s="8" t="s">
        <v>38836</v>
      </c>
      <c r="I6599" s="8">
        <v>526.6875</v>
      </c>
      <c r="J6599" s="3">
        <f t="shared" si="103"/>
        <v>43748.948460347216</v>
      </c>
    </row>
    <row r="6600" spans="1:10" x14ac:dyDescent="0.25">
      <c r="A6600" s="5" t="s">
        <v>38837</v>
      </c>
      <c r="B6600" s="6">
        <v>393.75</v>
      </c>
      <c r="C6600" s="6">
        <v>20.478950000000001</v>
      </c>
      <c r="D6600" s="6">
        <v>87</v>
      </c>
      <c r="E6600" s="6">
        <v>0</v>
      </c>
      <c r="F6600" s="6">
        <v>0</v>
      </c>
      <c r="G6600" s="6">
        <v>18</v>
      </c>
      <c r="H6600" s="6" t="s">
        <v>38838</v>
      </c>
      <c r="I6600" s="6">
        <v>526.5</v>
      </c>
      <c r="J6600" s="2">
        <f t="shared" si="103"/>
        <v>43748.948531712966</v>
      </c>
    </row>
    <row r="6601" spans="1:10" x14ac:dyDescent="0.25">
      <c r="A6601" s="7" t="s">
        <v>38839</v>
      </c>
      <c r="B6601" s="8">
        <v>393.75</v>
      </c>
      <c r="C6601" s="8">
        <v>20.478950000000001</v>
      </c>
      <c r="D6601" s="8">
        <v>86</v>
      </c>
      <c r="E6601" s="8">
        <v>0</v>
      </c>
      <c r="F6601" s="8">
        <v>0</v>
      </c>
      <c r="G6601" s="8">
        <v>19</v>
      </c>
      <c r="H6601" s="8" t="s">
        <v>38840</v>
      </c>
      <c r="I6601" s="8">
        <v>526.6875</v>
      </c>
      <c r="J6601" s="3">
        <f t="shared" si="103"/>
        <v>43748.948603807868</v>
      </c>
    </row>
    <row r="6602" spans="1:10" x14ac:dyDescent="0.25">
      <c r="A6602" s="5" t="s">
        <v>38841</v>
      </c>
      <c r="B6602" s="6">
        <v>393.75</v>
      </c>
      <c r="C6602" s="6">
        <v>20.478950000000001</v>
      </c>
      <c r="D6602" s="6">
        <v>86</v>
      </c>
      <c r="E6602" s="6">
        <v>0</v>
      </c>
      <c r="F6602" s="6">
        <v>0</v>
      </c>
      <c r="G6602" s="6">
        <v>17</v>
      </c>
      <c r="H6602" s="6" t="s">
        <v>38842</v>
      </c>
      <c r="I6602" s="6">
        <v>526.6875</v>
      </c>
      <c r="J6602" s="2">
        <f t="shared" si="103"/>
        <v>43748.948687210643</v>
      </c>
    </row>
    <row r="6603" spans="1:10" x14ac:dyDescent="0.25">
      <c r="A6603" s="7" t="s">
        <v>38843</v>
      </c>
      <c r="B6603" s="8">
        <v>393.75</v>
      </c>
      <c r="C6603" s="8">
        <v>20.478950000000001</v>
      </c>
      <c r="D6603" s="8">
        <v>87</v>
      </c>
      <c r="E6603" s="8">
        <v>0</v>
      </c>
      <c r="F6603" s="8">
        <v>0</v>
      </c>
      <c r="G6603" s="8">
        <v>17</v>
      </c>
      <c r="H6603" s="8" t="s">
        <v>38844</v>
      </c>
      <c r="I6603" s="8">
        <v>526.6875</v>
      </c>
      <c r="J6603" s="3">
        <f t="shared" si="103"/>
        <v>43748.948758495368</v>
      </c>
    </row>
    <row r="6604" spans="1:10" x14ac:dyDescent="0.25">
      <c r="A6604" s="5" t="s">
        <v>38845</v>
      </c>
      <c r="B6604" s="6">
        <v>393.75</v>
      </c>
      <c r="C6604" s="6">
        <v>20.478950000000001</v>
      </c>
      <c r="D6604" s="6">
        <v>87</v>
      </c>
      <c r="E6604" s="6">
        <v>0</v>
      </c>
      <c r="F6604" s="6">
        <v>0</v>
      </c>
      <c r="G6604" s="6">
        <v>15</v>
      </c>
      <c r="H6604" s="6" t="s">
        <v>38846</v>
      </c>
      <c r="I6604" s="6">
        <v>526.6875</v>
      </c>
      <c r="J6604" s="2">
        <f t="shared" si="103"/>
        <v>43748.94882986111</v>
      </c>
    </row>
    <row r="6605" spans="1:10" x14ac:dyDescent="0.25">
      <c r="A6605" s="7" t="s">
        <v>38847</v>
      </c>
      <c r="B6605" s="8">
        <v>393.75</v>
      </c>
      <c r="C6605" s="8">
        <v>20.426300000000001</v>
      </c>
      <c r="D6605" s="8">
        <v>86</v>
      </c>
      <c r="E6605" s="8">
        <v>0</v>
      </c>
      <c r="F6605" s="8">
        <v>0</v>
      </c>
      <c r="G6605" s="8">
        <v>21</v>
      </c>
      <c r="H6605" s="8" t="s">
        <v>38848</v>
      </c>
      <c r="I6605" s="8">
        <v>526.6875</v>
      </c>
      <c r="J6605" s="3">
        <f t="shared" si="103"/>
        <v>43748.948902013886</v>
      </c>
    </row>
    <row r="6606" spans="1:10" x14ac:dyDescent="0.25">
      <c r="A6606" s="5" t="s">
        <v>38849</v>
      </c>
      <c r="B6606" s="6">
        <v>412.5</v>
      </c>
      <c r="C6606" s="6">
        <v>20.478950000000001</v>
      </c>
      <c r="D6606" s="6">
        <v>86</v>
      </c>
      <c r="E6606" s="6">
        <v>0</v>
      </c>
      <c r="F6606" s="6">
        <v>0</v>
      </c>
      <c r="G6606" s="6">
        <v>17</v>
      </c>
      <c r="H6606" s="6" t="s">
        <v>38850</v>
      </c>
      <c r="I6606" s="6">
        <v>532.3125</v>
      </c>
      <c r="J6606" s="2">
        <f t="shared" si="103"/>
        <v>43748.948973310187</v>
      </c>
    </row>
    <row r="6607" spans="1:10" x14ac:dyDescent="0.25">
      <c r="A6607" s="7" t="s">
        <v>38851</v>
      </c>
      <c r="B6607" s="8">
        <v>393.75</v>
      </c>
      <c r="C6607" s="8">
        <v>20.478950000000001</v>
      </c>
      <c r="D6607" s="8">
        <v>87</v>
      </c>
      <c r="E6607" s="8">
        <v>0</v>
      </c>
      <c r="F6607" s="8">
        <v>0</v>
      </c>
      <c r="G6607" s="8">
        <v>15</v>
      </c>
      <c r="H6607" s="8" t="s">
        <v>38852</v>
      </c>
      <c r="I6607" s="8">
        <v>526.5</v>
      </c>
      <c r="J6607" s="3">
        <f t="shared" si="103"/>
        <v>43748.949044641202</v>
      </c>
    </row>
    <row r="6608" spans="1:10" x14ac:dyDescent="0.25">
      <c r="A6608" s="5" t="s">
        <v>38853</v>
      </c>
      <c r="B6608" s="6">
        <v>393.75</v>
      </c>
      <c r="C6608" s="6">
        <v>20.478950000000001</v>
      </c>
      <c r="D6608" s="6">
        <v>87</v>
      </c>
      <c r="E6608" s="6">
        <v>0</v>
      </c>
      <c r="F6608" s="6">
        <v>0</v>
      </c>
      <c r="G6608" s="6">
        <v>15</v>
      </c>
      <c r="H6608" s="6" t="s">
        <v>38854</v>
      </c>
      <c r="I6608" s="6">
        <v>526.5</v>
      </c>
      <c r="J6608" s="2">
        <f t="shared" si="103"/>
        <v>43748.949117037038</v>
      </c>
    </row>
    <row r="6609" spans="1:10" x14ac:dyDescent="0.25">
      <c r="A6609" s="7" t="s">
        <v>38855</v>
      </c>
      <c r="B6609" s="8">
        <v>393.75</v>
      </c>
      <c r="C6609" s="8">
        <v>20.478950000000001</v>
      </c>
      <c r="D6609" s="8">
        <v>88</v>
      </c>
      <c r="E6609" s="8">
        <v>0</v>
      </c>
      <c r="F6609" s="8">
        <v>0</v>
      </c>
      <c r="G6609" s="8">
        <v>20</v>
      </c>
      <c r="H6609" s="8" t="s">
        <v>38856</v>
      </c>
      <c r="I6609" s="8">
        <v>526.6875</v>
      </c>
      <c r="J6609" s="3">
        <f t="shared" si="103"/>
        <v>43748.949187662038</v>
      </c>
    </row>
    <row r="6610" spans="1:10" x14ac:dyDescent="0.25">
      <c r="A6610" s="5" t="s">
        <v>38857</v>
      </c>
      <c r="B6610" s="6">
        <v>393.75</v>
      </c>
      <c r="C6610" s="6">
        <v>20.478950000000001</v>
      </c>
      <c r="D6610" s="6">
        <v>89</v>
      </c>
      <c r="E6610" s="6">
        <v>0</v>
      </c>
      <c r="F6610" s="6">
        <v>0</v>
      </c>
      <c r="G6610" s="6">
        <v>19</v>
      </c>
      <c r="H6610" s="6" t="s">
        <v>38858</v>
      </c>
      <c r="I6610" s="6">
        <v>526.6875</v>
      </c>
      <c r="J6610" s="2">
        <f t="shared" si="103"/>
        <v>43748.949259421293</v>
      </c>
    </row>
    <row r="6611" spans="1:10" x14ac:dyDescent="0.25">
      <c r="A6611" s="7" t="s">
        <v>38859</v>
      </c>
      <c r="B6611" s="8">
        <v>393.75</v>
      </c>
      <c r="C6611" s="8">
        <v>20.478950000000001</v>
      </c>
      <c r="D6611" s="8">
        <v>89</v>
      </c>
      <c r="E6611" s="8">
        <v>0</v>
      </c>
      <c r="F6611" s="8">
        <v>0</v>
      </c>
      <c r="G6611" s="8">
        <v>19</v>
      </c>
      <c r="H6611" s="8" t="s">
        <v>38860</v>
      </c>
      <c r="I6611" s="8">
        <v>526.6875</v>
      </c>
      <c r="J6611" s="3">
        <f t="shared" si="103"/>
        <v>43748.949330844909</v>
      </c>
    </row>
    <row r="6612" spans="1:10" x14ac:dyDescent="0.25">
      <c r="A6612" s="5" t="s">
        <v>38861</v>
      </c>
      <c r="B6612" s="6">
        <v>393.75</v>
      </c>
      <c r="C6612" s="6">
        <v>20.478950000000001</v>
      </c>
      <c r="D6612" s="6">
        <v>88</v>
      </c>
      <c r="E6612" s="6">
        <v>0</v>
      </c>
      <c r="F6612" s="6">
        <v>0</v>
      </c>
      <c r="G6612" s="6">
        <v>17</v>
      </c>
      <c r="H6612" s="6" t="s">
        <v>38862</v>
      </c>
      <c r="I6612" s="6">
        <v>526.6875</v>
      </c>
      <c r="J6612" s="2">
        <f t="shared" si="103"/>
        <v>43748.949402893515</v>
      </c>
    </row>
    <row r="6613" spans="1:10" x14ac:dyDescent="0.25">
      <c r="A6613" s="7" t="s">
        <v>38863</v>
      </c>
      <c r="B6613" s="8">
        <v>393.75</v>
      </c>
      <c r="C6613" s="8">
        <v>20.478950000000001</v>
      </c>
      <c r="D6613" s="8">
        <v>87</v>
      </c>
      <c r="E6613" s="8">
        <v>0</v>
      </c>
      <c r="F6613" s="8">
        <v>0</v>
      </c>
      <c r="G6613" s="8">
        <v>23</v>
      </c>
      <c r="H6613" s="8" t="s">
        <v>38864</v>
      </c>
      <c r="I6613" s="8">
        <v>526.6875</v>
      </c>
      <c r="J6613" s="3">
        <f t="shared" si="103"/>
        <v>43748.949474259258</v>
      </c>
    </row>
    <row r="6614" spans="1:10" x14ac:dyDescent="0.25">
      <c r="A6614" s="5" t="s">
        <v>38865</v>
      </c>
      <c r="B6614" s="6">
        <v>393.75</v>
      </c>
      <c r="C6614" s="6">
        <v>20.478950000000001</v>
      </c>
      <c r="D6614" s="6">
        <v>85</v>
      </c>
      <c r="E6614" s="6">
        <v>0</v>
      </c>
      <c r="F6614" s="6">
        <v>0</v>
      </c>
      <c r="G6614" s="6">
        <v>13</v>
      </c>
      <c r="H6614" s="6" t="s">
        <v>38866</v>
      </c>
      <c r="I6614" s="6">
        <v>526.6875</v>
      </c>
      <c r="J6614" s="2">
        <f t="shared" si="103"/>
        <v>43748.949545555552</v>
      </c>
    </row>
    <row r="6615" spans="1:10" x14ac:dyDescent="0.25">
      <c r="A6615" s="7" t="s">
        <v>38867</v>
      </c>
      <c r="B6615" s="8">
        <v>393.75</v>
      </c>
      <c r="C6615" s="8">
        <v>20.478950000000001</v>
      </c>
      <c r="D6615" s="8">
        <v>86</v>
      </c>
      <c r="E6615" s="8">
        <v>0</v>
      </c>
      <c r="F6615" s="8">
        <v>0</v>
      </c>
      <c r="G6615" s="8">
        <v>22</v>
      </c>
      <c r="H6615" s="8" t="s">
        <v>38868</v>
      </c>
      <c r="I6615" s="8">
        <v>526.6875</v>
      </c>
      <c r="J6615" s="3">
        <f t="shared" si="103"/>
        <v>43748.949617777776</v>
      </c>
    </row>
    <row r="6616" spans="1:10" x14ac:dyDescent="0.25">
      <c r="A6616" s="5" t="s">
        <v>38869</v>
      </c>
      <c r="B6616" s="6">
        <v>393.75</v>
      </c>
      <c r="C6616" s="6">
        <v>20.478950000000001</v>
      </c>
      <c r="D6616" s="6">
        <v>86</v>
      </c>
      <c r="E6616" s="6">
        <v>0</v>
      </c>
      <c r="F6616" s="6">
        <v>0</v>
      </c>
      <c r="G6616" s="6">
        <v>22</v>
      </c>
      <c r="H6616" s="6" t="s">
        <v>38870</v>
      </c>
      <c r="I6616" s="6">
        <v>526.6875</v>
      </c>
      <c r="J6616" s="2">
        <f t="shared" si="103"/>
        <v>43748.949689062494</v>
      </c>
    </row>
    <row r="6617" spans="1:10" x14ac:dyDescent="0.25">
      <c r="A6617" s="7" t="s">
        <v>38871</v>
      </c>
      <c r="B6617" s="8">
        <v>393.75</v>
      </c>
      <c r="C6617" s="8">
        <v>20.478950000000001</v>
      </c>
      <c r="D6617" s="8">
        <v>87</v>
      </c>
      <c r="E6617" s="8">
        <v>0</v>
      </c>
      <c r="F6617" s="8">
        <v>0</v>
      </c>
      <c r="G6617" s="8">
        <v>17</v>
      </c>
      <c r="H6617" s="8" t="s">
        <v>38872</v>
      </c>
      <c r="I6617" s="8">
        <v>526.6875</v>
      </c>
      <c r="J6617" s="3">
        <f t="shared" si="103"/>
        <v>43748.949760358795</v>
      </c>
    </row>
    <row r="6618" spans="1:10" x14ac:dyDescent="0.25">
      <c r="A6618" s="5" t="s">
        <v>38873</v>
      </c>
      <c r="B6618" s="6">
        <v>393.75</v>
      </c>
      <c r="C6618" s="6">
        <v>20.478950000000001</v>
      </c>
      <c r="D6618" s="6">
        <v>88</v>
      </c>
      <c r="E6618" s="6">
        <v>0</v>
      </c>
      <c r="F6618" s="6">
        <v>0</v>
      </c>
      <c r="G6618" s="6">
        <v>15</v>
      </c>
      <c r="H6618" s="6" t="s">
        <v>38874</v>
      </c>
      <c r="I6618" s="6">
        <v>526.6875</v>
      </c>
      <c r="J6618" s="2">
        <f t="shared" si="103"/>
        <v>43748.949844814815</v>
      </c>
    </row>
    <row r="6619" spans="1:10" x14ac:dyDescent="0.25">
      <c r="A6619" s="7" t="s">
        <v>38875</v>
      </c>
      <c r="B6619" s="8">
        <v>393.75</v>
      </c>
      <c r="C6619" s="8">
        <v>20.478950000000001</v>
      </c>
      <c r="D6619" s="8">
        <v>88</v>
      </c>
      <c r="E6619" s="8">
        <v>0</v>
      </c>
      <c r="F6619" s="8">
        <v>0</v>
      </c>
      <c r="G6619" s="8">
        <v>16</v>
      </c>
      <c r="H6619" s="8" t="s">
        <v>38876</v>
      </c>
      <c r="I6619" s="8">
        <v>526.6875</v>
      </c>
      <c r="J6619" s="3">
        <f t="shared" si="103"/>
        <v>43748.949915046294</v>
      </c>
    </row>
    <row r="6620" spans="1:10" x14ac:dyDescent="0.25">
      <c r="A6620" s="5" t="s">
        <v>38877</v>
      </c>
      <c r="B6620" s="6">
        <v>393.75</v>
      </c>
      <c r="C6620" s="6">
        <v>20.478950000000001</v>
      </c>
      <c r="D6620" s="6">
        <v>88</v>
      </c>
      <c r="E6620" s="6">
        <v>0</v>
      </c>
      <c r="F6620" s="6">
        <v>0</v>
      </c>
      <c r="G6620" s="6">
        <v>7</v>
      </c>
      <c r="H6620" s="6" t="s">
        <v>38878</v>
      </c>
      <c r="I6620" s="6">
        <v>526.6875</v>
      </c>
      <c r="J6620" s="2">
        <f t="shared" si="103"/>
        <v>43748.949987256943</v>
      </c>
    </row>
    <row r="6621" spans="1:10" x14ac:dyDescent="0.25">
      <c r="A6621" s="7" t="s">
        <v>38879</v>
      </c>
      <c r="B6621" s="8">
        <v>393.75</v>
      </c>
      <c r="C6621" s="8">
        <v>20.478950000000001</v>
      </c>
      <c r="D6621" s="8">
        <v>88</v>
      </c>
      <c r="E6621" s="8">
        <v>0</v>
      </c>
      <c r="F6621" s="8">
        <v>0</v>
      </c>
      <c r="G6621" s="8">
        <v>16</v>
      </c>
      <c r="H6621" s="8" t="s">
        <v>38880</v>
      </c>
      <c r="I6621" s="8">
        <v>526.6875</v>
      </c>
      <c r="J6621" s="3">
        <f t="shared" si="103"/>
        <v>43748.950069560182</v>
      </c>
    </row>
    <row r="6622" spans="1:10" x14ac:dyDescent="0.25">
      <c r="A6622" s="5" t="s">
        <v>38881</v>
      </c>
      <c r="B6622" s="6">
        <v>393.75</v>
      </c>
      <c r="C6622" s="6">
        <v>20.478950000000001</v>
      </c>
      <c r="D6622" s="6">
        <v>87</v>
      </c>
      <c r="E6622" s="6">
        <v>0</v>
      </c>
      <c r="F6622" s="6">
        <v>0</v>
      </c>
      <c r="G6622" s="6">
        <v>14</v>
      </c>
      <c r="H6622" s="6" t="s">
        <v>38882</v>
      </c>
      <c r="I6622" s="6">
        <v>526.6875</v>
      </c>
      <c r="J6622" s="2">
        <f t="shared" si="103"/>
        <v>43748.950141817128</v>
      </c>
    </row>
    <row r="6623" spans="1:10" x14ac:dyDescent="0.25">
      <c r="A6623" s="7" t="s">
        <v>38883</v>
      </c>
      <c r="B6623" s="8">
        <v>393.75</v>
      </c>
      <c r="C6623" s="8">
        <v>20.478950000000001</v>
      </c>
      <c r="D6623" s="8">
        <v>85</v>
      </c>
      <c r="E6623" s="8">
        <v>0</v>
      </c>
      <c r="F6623" s="8">
        <v>0</v>
      </c>
      <c r="G6623" s="8">
        <v>19</v>
      </c>
      <c r="H6623" s="8" t="s">
        <v>38884</v>
      </c>
      <c r="I6623" s="8">
        <v>526.6875</v>
      </c>
      <c r="J6623" s="3">
        <f t="shared" si="103"/>
        <v>43748.950213923606</v>
      </c>
    </row>
    <row r="6624" spans="1:10" x14ac:dyDescent="0.25">
      <c r="A6624" s="5" t="s">
        <v>38885</v>
      </c>
      <c r="B6624" s="6">
        <v>393.75</v>
      </c>
      <c r="C6624" s="6">
        <v>20.478950000000001</v>
      </c>
      <c r="D6624" s="6">
        <v>85</v>
      </c>
      <c r="E6624" s="6">
        <v>0</v>
      </c>
      <c r="F6624" s="6">
        <v>0</v>
      </c>
      <c r="G6624" s="6">
        <v>28</v>
      </c>
      <c r="H6624" s="6" t="s">
        <v>38886</v>
      </c>
      <c r="I6624" s="6">
        <v>526.6875</v>
      </c>
      <c r="J6624" s="2">
        <f t="shared" si="103"/>
        <v>43748.950285266204</v>
      </c>
    </row>
    <row r="6625" spans="1:10" x14ac:dyDescent="0.25">
      <c r="A6625" s="7" t="s">
        <v>38887</v>
      </c>
      <c r="B6625" s="8">
        <v>393.75</v>
      </c>
      <c r="C6625" s="8">
        <v>20.478950000000001</v>
      </c>
      <c r="D6625" s="8">
        <v>87</v>
      </c>
      <c r="E6625" s="8">
        <v>0</v>
      </c>
      <c r="F6625" s="8">
        <v>0</v>
      </c>
      <c r="G6625" s="8">
        <v>16</v>
      </c>
      <c r="H6625" s="8" t="s">
        <v>38888</v>
      </c>
      <c r="I6625" s="8">
        <v>526.6875</v>
      </c>
      <c r="J6625" s="3">
        <f t="shared" si="103"/>
        <v>43748.95036865741</v>
      </c>
    </row>
    <row r="6626" spans="1:10" x14ac:dyDescent="0.25">
      <c r="A6626" s="5" t="s">
        <v>38889</v>
      </c>
      <c r="B6626" s="6">
        <v>393.75</v>
      </c>
      <c r="C6626" s="6">
        <v>20.478950000000001</v>
      </c>
      <c r="D6626" s="6">
        <v>87</v>
      </c>
      <c r="E6626" s="6">
        <v>0</v>
      </c>
      <c r="F6626" s="6">
        <v>0</v>
      </c>
      <c r="G6626" s="6">
        <v>14</v>
      </c>
      <c r="H6626" s="6" t="s">
        <v>38890</v>
      </c>
      <c r="I6626" s="6">
        <v>526.6875</v>
      </c>
      <c r="J6626" s="2">
        <f t="shared" si="103"/>
        <v>43748.950452002311</v>
      </c>
    </row>
    <row r="6627" spans="1:10" x14ac:dyDescent="0.25">
      <c r="A6627" s="7" t="s">
        <v>38891</v>
      </c>
      <c r="B6627" s="8">
        <v>393.75</v>
      </c>
      <c r="C6627" s="8">
        <v>20.478950000000001</v>
      </c>
      <c r="D6627" s="8">
        <v>88</v>
      </c>
      <c r="E6627" s="8">
        <v>0</v>
      </c>
      <c r="F6627" s="8">
        <v>0</v>
      </c>
      <c r="G6627" s="8">
        <v>16</v>
      </c>
      <c r="H6627" s="8" t="s">
        <v>38892</v>
      </c>
      <c r="I6627" s="8">
        <v>526.5</v>
      </c>
      <c r="J6627" s="3">
        <f t="shared" si="103"/>
        <v>43748.950523356478</v>
      </c>
    </row>
    <row r="6628" spans="1:10" x14ac:dyDescent="0.25">
      <c r="A6628" s="5" t="s">
        <v>38893</v>
      </c>
      <c r="B6628" s="6">
        <v>393.75</v>
      </c>
      <c r="C6628" s="6">
        <v>20.478950000000001</v>
      </c>
      <c r="D6628" s="6">
        <v>87</v>
      </c>
      <c r="E6628" s="6">
        <v>0</v>
      </c>
      <c r="F6628" s="6">
        <v>0</v>
      </c>
      <c r="G6628" s="6">
        <v>16</v>
      </c>
      <c r="H6628" s="6" t="s">
        <v>38894</v>
      </c>
      <c r="I6628" s="6">
        <v>526.6875</v>
      </c>
      <c r="J6628" s="2">
        <f t="shared" si="103"/>
        <v>43748.950595497685</v>
      </c>
    </row>
    <row r="6629" spans="1:10" x14ac:dyDescent="0.25">
      <c r="A6629" s="7" t="s">
        <v>38895</v>
      </c>
      <c r="B6629" s="8">
        <v>393.75</v>
      </c>
      <c r="C6629" s="8">
        <v>20.478950000000001</v>
      </c>
      <c r="D6629" s="8">
        <v>87</v>
      </c>
      <c r="E6629" s="8">
        <v>0</v>
      </c>
      <c r="F6629" s="8">
        <v>0</v>
      </c>
      <c r="G6629" s="8">
        <v>24</v>
      </c>
      <c r="H6629" s="8" t="s">
        <v>38896</v>
      </c>
      <c r="I6629" s="8">
        <v>526.6875</v>
      </c>
      <c r="J6629" s="3">
        <f t="shared" si="103"/>
        <v>43748.950666817131</v>
      </c>
    </row>
    <row r="6630" spans="1:10" x14ac:dyDescent="0.25">
      <c r="A6630" s="5" t="s">
        <v>38897</v>
      </c>
      <c r="B6630" s="6">
        <v>393.75</v>
      </c>
      <c r="C6630" s="6">
        <v>20.478950000000001</v>
      </c>
      <c r="D6630" s="6">
        <v>87</v>
      </c>
      <c r="E6630" s="6">
        <v>0</v>
      </c>
      <c r="F6630" s="6">
        <v>0</v>
      </c>
      <c r="G6630" s="6">
        <v>18</v>
      </c>
      <c r="H6630" s="6" t="s">
        <v>38898</v>
      </c>
      <c r="I6630" s="6">
        <v>526.6875</v>
      </c>
      <c r="J6630" s="2">
        <f t="shared" si="103"/>
        <v>43748.950738078704</v>
      </c>
    </row>
    <row r="6631" spans="1:10" x14ac:dyDescent="0.25">
      <c r="A6631" s="7" t="s">
        <v>38899</v>
      </c>
      <c r="B6631" s="8">
        <v>393.75</v>
      </c>
      <c r="C6631" s="8">
        <v>20.478950000000001</v>
      </c>
      <c r="D6631" s="8">
        <v>87</v>
      </c>
      <c r="E6631" s="8">
        <v>0</v>
      </c>
      <c r="F6631" s="8">
        <v>0</v>
      </c>
      <c r="G6631" s="8">
        <v>17</v>
      </c>
      <c r="H6631" s="8" t="s">
        <v>38900</v>
      </c>
      <c r="I6631" s="8">
        <v>526.6875</v>
      </c>
      <c r="J6631" s="3">
        <f t="shared" si="103"/>
        <v>43748.950810324073</v>
      </c>
    </row>
    <row r="6632" spans="1:10" x14ac:dyDescent="0.25">
      <c r="A6632" s="5" t="s">
        <v>38901</v>
      </c>
      <c r="B6632" s="6">
        <v>393.75</v>
      </c>
      <c r="C6632" s="6">
        <v>20.478950000000001</v>
      </c>
      <c r="D6632" s="6">
        <v>87</v>
      </c>
      <c r="E6632" s="6">
        <v>0</v>
      </c>
      <c r="F6632" s="6">
        <v>0</v>
      </c>
      <c r="G6632" s="6">
        <v>23</v>
      </c>
      <c r="H6632" s="6" t="s">
        <v>38902</v>
      </c>
      <c r="I6632" s="6">
        <v>526.6875</v>
      </c>
      <c r="J6632" s="2">
        <f t="shared" si="103"/>
        <v>43748.950893321758</v>
      </c>
    </row>
    <row r="6633" spans="1:10" x14ac:dyDescent="0.25">
      <c r="A6633" s="7" t="s">
        <v>38903</v>
      </c>
      <c r="B6633" s="8">
        <v>393.75</v>
      </c>
      <c r="C6633" s="8">
        <v>20.478950000000001</v>
      </c>
      <c r="D6633" s="8">
        <v>86</v>
      </c>
      <c r="E6633" s="8">
        <v>0</v>
      </c>
      <c r="F6633" s="8">
        <v>0</v>
      </c>
      <c r="G6633" s="8">
        <v>25</v>
      </c>
      <c r="H6633" s="8" t="s">
        <v>38904</v>
      </c>
      <c r="I6633" s="8">
        <v>526.6875</v>
      </c>
      <c r="J6633" s="3">
        <f t="shared" si="103"/>
        <v>43748.95096480324</v>
      </c>
    </row>
    <row r="6634" spans="1:10" x14ac:dyDescent="0.25">
      <c r="A6634" s="5" t="s">
        <v>38905</v>
      </c>
      <c r="B6634" s="6">
        <v>393.75</v>
      </c>
      <c r="C6634" s="6">
        <v>20.478950000000001</v>
      </c>
      <c r="D6634" s="6">
        <v>88</v>
      </c>
      <c r="E6634" s="6">
        <v>0</v>
      </c>
      <c r="F6634" s="6">
        <v>0</v>
      </c>
      <c r="G6634" s="6">
        <v>20</v>
      </c>
      <c r="H6634" s="6" t="s">
        <v>38906</v>
      </c>
      <c r="I6634" s="6">
        <v>526.6875</v>
      </c>
      <c r="J6634" s="2">
        <f t="shared" si="103"/>
        <v>43748.951048310184</v>
      </c>
    </row>
    <row r="6635" spans="1:10" x14ac:dyDescent="0.25">
      <c r="A6635" s="7" t="s">
        <v>38907</v>
      </c>
      <c r="B6635" s="8">
        <v>393.75</v>
      </c>
      <c r="C6635" s="8">
        <v>20.478950000000001</v>
      </c>
      <c r="D6635" s="8">
        <v>87</v>
      </c>
      <c r="E6635" s="8">
        <v>0</v>
      </c>
      <c r="F6635" s="8">
        <v>0</v>
      </c>
      <c r="G6635" s="8">
        <v>18</v>
      </c>
      <c r="H6635" s="8" t="s">
        <v>38908</v>
      </c>
      <c r="I6635" s="8">
        <v>526.6875</v>
      </c>
      <c r="J6635" s="3">
        <f t="shared" si="103"/>
        <v>43748.951120405087</v>
      </c>
    </row>
    <row r="6636" spans="1:10" x14ac:dyDescent="0.25">
      <c r="A6636" s="5" t="s">
        <v>38909</v>
      </c>
      <c r="B6636" s="6">
        <v>393.75</v>
      </c>
      <c r="C6636" s="6">
        <v>20.478950000000001</v>
      </c>
      <c r="D6636" s="6">
        <v>87</v>
      </c>
      <c r="E6636" s="6">
        <v>0</v>
      </c>
      <c r="F6636" s="6">
        <v>0</v>
      </c>
      <c r="G6636" s="6">
        <v>20</v>
      </c>
      <c r="H6636" s="6" t="s">
        <v>38910</v>
      </c>
      <c r="I6636" s="6">
        <v>526.6875</v>
      </c>
      <c r="J6636" s="2">
        <f t="shared" si="103"/>
        <v>43748.951203796292</v>
      </c>
    </row>
    <row r="6637" spans="1:10" x14ac:dyDescent="0.25">
      <c r="A6637" s="7" t="s">
        <v>38911</v>
      </c>
      <c r="B6637" s="8">
        <v>393.75</v>
      </c>
      <c r="C6637" s="8">
        <v>20.478950000000001</v>
      </c>
      <c r="D6637" s="8">
        <v>87</v>
      </c>
      <c r="E6637" s="8">
        <v>0</v>
      </c>
      <c r="F6637" s="8">
        <v>0</v>
      </c>
      <c r="G6637" s="8">
        <v>11</v>
      </c>
      <c r="H6637" s="8" t="s">
        <v>38912</v>
      </c>
      <c r="I6637" s="8">
        <v>526.6875</v>
      </c>
      <c r="J6637" s="3">
        <f t="shared" si="103"/>
        <v>43748.951287175929</v>
      </c>
    </row>
    <row r="6638" spans="1:10" x14ac:dyDescent="0.25">
      <c r="A6638" s="5" t="s">
        <v>38913</v>
      </c>
      <c r="B6638" s="6">
        <v>412.5</v>
      </c>
      <c r="C6638" s="6">
        <v>20.478950000000001</v>
      </c>
      <c r="D6638" s="6">
        <v>85</v>
      </c>
      <c r="E6638" s="6">
        <v>0</v>
      </c>
      <c r="F6638" s="6">
        <v>0</v>
      </c>
      <c r="G6638" s="6">
        <v>23</v>
      </c>
      <c r="H6638" s="6" t="s">
        <v>38914</v>
      </c>
      <c r="I6638" s="6">
        <v>532.3125</v>
      </c>
      <c r="J6638" s="2">
        <f t="shared" si="103"/>
        <v>43748.951358472223</v>
      </c>
    </row>
    <row r="6639" spans="1:10" x14ac:dyDescent="0.25">
      <c r="A6639" s="7" t="s">
        <v>38915</v>
      </c>
      <c r="B6639" s="8">
        <v>393.75</v>
      </c>
      <c r="C6639" s="8">
        <v>20.478950000000001</v>
      </c>
      <c r="D6639" s="8">
        <v>84</v>
      </c>
      <c r="E6639" s="8">
        <v>0</v>
      </c>
      <c r="F6639" s="8">
        <v>0</v>
      </c>
      <c r="G6639" s="8">
        <v>14</v>
      </c>
      <c r="H6639" s="8" t="s">
        <v>38916</v>
      </c>
      <c r="I6639" s="8">
        <v>526.6875</v>
      </c>
      <c r="J6639" s="3">
        <f t="shared" si="103"/>
        <v>43748.95142975694</v>
      </c>
    </row>
    <row r="6640" spans="1:10" x14ac:dyDescent="0.25">
      <c r="A6640" s="5" t="s">
        <v>38917</v>
      </c>
      <c r="B6640" s="6">
        <v>393.75</v>
      </c>
      <c r="C6640" s="6">
        <v>20.478950000000001</v>
      </c>
      <c r="D6640" s="6">
        <v>85</v>
      </c>
      <c r="E6640" s="6">
        <v>0</v>
      </c>
      <c r="F6640" s="6">
        <v>0</v>
      </c>
      <c r="G6640" s="6">
        <v>15</v>
      </c>
      <c r="H6640" s="6" t="s">
        <v>38918</v>
      </c>
      <c r="I6640" s="6">
        <v>526.6875</v>
      </c>
      <c r="J6640" s="2">
        <f t="shared" si="103"/>
        <v>43748.951501990734</v>
      </c>
    </row>
    <row r="6641" spans="1:10" x14ac:dyDescent="0.25">
      <c r="A6641" s="7" t="s">
        <v>38919</v>
      </c>
      <c r="B6641" s="8">
        <v>393.75</v>
      </c>
      <c r="C6641" s="8">
        <v>20.478950000000001</v>
      </c>
      <c r="D6641" s="8">
        <v>85</v>
      </c>
      <c r="E6641" s="8">
        <v>0</v>
      </c>
      <c r="F6641" s="8">
        <v>0</v>
      </c>
      <c r="G6641" s="8">
        <v>23</v>
      </c>
      <c r="H6641" s="8" t="s">
        <v>38920</v>
      </c>
      <c r="I6641" s="8">
        <v>526.6875</v>
      </c>
      <c r="J6641" s="3">
        <f t="shared" si="103"/>
        <v>43748.951573298611</v>
      </c>
    </row>
    <row r="6642" spans="1:10" x14ac:dyDescent="0.25">
      <c r="A6642" s="5" t="s">
        <v>38921</v>
      </c>
      <c r="B6642" s="6">
        <v>393.75</v>
      </c>
      <c r="C6642" s="6">
        <v>20.478950000000001</v>
      </c>
      <c r="D6642" s="6">
        <v>85</v>
      </c>
      <c r="E6642" s="6">
        <v>0</v>
      </c>
      <c r="F6642" s="6">
        <v>0</v>
      </c>
      <c r="G6642" s="6">
        <v>24</v>
      </c>
      <c r="H6642" s="6" t="s">
        <v>38922</v>
      </c>
      <c r="I6642" s="6">
        <v>526.6875</v>
      </c>
      <c r="J6642" s="2">
        <f t="shared" si="103"/>
        <v>43748.951644583336</v>
      </c>
    </row>
    <row r="6643" spans="1:10" x14ac:dyDescent="0.25">
      <c r="A6643" s="7" t="s">
        <v>38923</v>
      </c>
      <c r="B6643" s="8">
        <v>393.75</v>
      </c>
      <c r="C6643" s="8">
        <v>20.478950000000001</v>
      </c>
      <c r="D6643" s="8">
        <v>85</v>
      </c>
      <c r="E6643" s="8">
        <v>0</v>
      </c>
      <c r="F6643" s="8">
        <v>0</v>
      </c>
      <c r="G6643" s="8">
        <v>14</v>
      </c>
      <c r="H6643" s="8" t="s">
        <v>38924</v>
      </c>
      <c r="I6643" s="8">
        <v>526.6875</v>
      </c>
      <c r="J6643" s="3">
        <f t="shared" si="103"/>
        <v>43748.951716643518</v>
      </c>
    </row>
    <row r="6644" spans="1:10" x14ac:dyDescent="0.25">
      <c r="A6644" s="5" t="s">
        <v>38925</v>
      </c>
      <c r="B6644" s="6">
        <v>393.75</v>
      </c>
      <c r="C6644" s="6">
        <v>20.478950000000001</v>
      </c>
      <c r="D6644" s="6">
        <v>84</v>
      </c>
      <c r="E6644" s="6">
        <v>0</v>
      </c>
      <c r="F6644" s="6">
        <v>0</v>
      </c>
      <c r="G6644" s="6">
        <v>12</v>
      </c>
      <c r="H6644" s="6" t="s">
        <v>38926</v>
      </c>
      <c r="I6644" s="6">
        <v>526.6875</v>
      </c>
      <c r="J6644" s="2">
        <f t="shared" si="103"/>
        <v>43748.951788113423</v>
      </c>
    </row>
    <row r="6645" spans="1:10" x14ac:dyDescent="0.25">
      <c r="A6645" s="7" t="s">
        <v>38927</v>
      </c>
      <c r="B6645" s="8">
        <v>393.75</v>
      </c>
      <c r="C6645" s="8">
        <v>20.478950000000001</v>
      </c>
      <c r="D6645" s="8">
        <v>84</v>
      </c>
      <c r="E6645" s="8">
        <v>0</v>
      </c>
      <c r="F6645" s="8">
        <v>0</v>
      </c>
      <c r="G6645" s="8">
        <v>18</v>
      </c>
      <c r="H6645" s="8" t="s">
        <v>38928</v>
      </c>
      <c r="I6645" s="8">
        <v>526.6875</v>
      </c>
      <c r="J6645" s="3">
        <f t="shared" si="103"/>
        <v>43748.951859409724</v>
      </c>
    </row>
    <row r="6646" spans="1:10" x14ac:dyDescent="0.25">
      <c r="A6646" s="5" t="s">
        <v>38929</v>
      </c>
      <c r="B6646" s="6">
        <v>393.75</v>
      </c>
      <c r="C6646" s="6">
        <v>20.478950000000001</v>
      </c>
      <c r="D6646" s="6">
        <v>84</v>
      </c>
      <c r="E6646" s="6">
        <v>0</v>
      </c>
      <c r="F6646" s="6">
        <v>0</v>
      </c>
      <c r="G6646" s="6">
        <v>20</v>
      </c>
      <c r="H6646" s="6" t="s">
        <v>38930</v>
      </c>
      <c r="I6646" s="6">
        <v>526.6875</v>
      </c>
      <c r="J6646" s="2">
        <f t="shared" si="103"/>
        <v>43748.951942731481</v>
      </c>
    </row>
    <row r="6647" spans="1:10" x14ac:dyDescent="0.25">
      <c r="A6647" s="7" t="s">
        <v>38931</v>
      </c>
      <c r="B6647" s="8">
        <v>393.75</v>
      </c>
      <c r="C6647" s="8">
        <v>20.478950000000001</v>
      </c>
      <c r="D6647" s="8">
        <v>84</v>
      </c>
      <c r="E6647" s="8">
        <v>0</v>
      </c>
      <c r="F6647" s="8">
        <v>0</v>
      </c>
      <c r="G6647" s="8">
        <v>25</v>
      </c>
      <c r="H6647" s="8" t="s">
        <v>38932</v>
      </c>
      <c r="I6647" s="8">
        <v>526.6875</v>
      </c>
      <c r="J6647" s="3">
        <f t="shared" si="103"/>
        <v>43748.952014780087</v>
      </c>
    </row>
    <row r="6648" spans="1:10" x14ac:dyDescent="0.25">
      <c r="A6648" s="5" t="s">
        <v>38933</v>
      </c>
      <c r="B6648" s="6">
        <v>393.75</v>
      </c>
      <c r="C6648" s="6">
        <v>20.478950000000001</v>
      </c>
      <c r="D6648" s="6">
        <v>83</v>
      </c>
      <c r="E6648" s="6">
        <v>0</v>
      </c>
      <c r="F6648" s="6">
        <v>0</v>
      </c>
      <c r="G6648" s="6">
        <v>25</v>
      </c>
      <c r="H6648" s="6" t="s">
        <v>38934</v>
      </c>
      <c r="I6648" s="6">
        <v>526.6875</v>
      </c>
      <c r="J6648" s="2">
        <f t="shared" si="103"/>
        <v>43748.952085775461</v>
      </c>
    </row>
    <row r="6649" spans="1:10" x14ac:dyDescent="0.25">
      <c r="A6649" s="7" t="s">
        <v>38935</v>
      </c>
      <c r="B6649" s="8">
        <v>393.75</v>
      </c>
      <c r="C6649" s="8">
        <v>20.478950000000001</v>
      </c>
      <c r="D6649" s="8">
        <v>82</v>
      </c>
      <c r="E6649" s="8">
        <v>0</v>
      </c>
      <c r="F6649" s="8">
        <v>0</v>
      </c>
      <c r="G6649" s="8">
        <v>28</v>
      </c>
      <c r="H6649" s="8" t="s">
        <v>38936</v>
      </c>
      <c r="I6649" s="8">
        <v>526.6875</v>
      </c>
      <c r="J6649" s="3">
        <f t="shared" si="103"/>
        <v>43748.95215759259</v>
      </c>
    </row>
    <row r="6650" spans="1:10" x14ac:dyDescent="0.25">
      <c r="A6650" s="5" t="s">
        <v>38937</v>
      </c>
      <c r="B6650" s="6">
        <v>437.5</v>
      </c>
      <c r="C6650" s="6">
        <v>20.478950000000001</v>
      </c>
      <c r="D6650" s="6">
        <v>82</v>
      </c>
      <c r="E6650" s="6">
        <v>0</v>
      </c>
      <c r="F6650" s="6">
        <v>0</v>
      </c>
      <c r="G6650" s="6">
        <v>21</v>
      </c>
      <c r="H6650" s="6" t="s">
        <v>38938</v>
      </c>
      <c r="I6650" s="6">
        <v>540.375</v>
      </c>
      <c r="J6650" s="2">
        <f t="shared" si="103"/>
        <v>43748.952228796297</v>
      </c>
    </row>
    <row r="6651" spans="1:10" x14ac:dyDescent="0.25">
      <c r="A6651" s="7" t="s">
        <v>38939</v>
      </c>
      <c r="B6651" s="8">
        <v>393.75</v>
      </c>
      <c r="C6651" s="8">
        <v>20.478950000000001</v>
      </c>
      <c r="D6651" s="8">
        <v>82</v>
      </c>
      <c r="E6651" s="8">
        <v>0</v>
      </c>
      <c r="F6651" s="8">
        <v>0</v>
      </c>
      <c r="G6651" s="8">
        <v>23</v>
      </c>
      <c r="H6651" s="8" t="s">
        <v>38940</v>
      </c>
      <c r="I6651" s="8">
        <v>526.6875</v>
      </c>
      <c r="J6651" s="3">
        <f t="shared" si="103"/>
        <v>43748.952301076388</v>
      </c>
    </row>
    <row r="6652" spans="1:10" x14ac:dyDescent="0.25">
      <c r="A6652" s="5" t="s">
        <v>38941</v>
      </c>
      <c r="B6652" s="6">
        <v>393.75</v>
      </c>
      <c r="C6652" s="6">
        <v>20.478950000000001</v>
      </c>
      <c r="D6652" s="6">
        <v>83</v>
      </c>
      <c r="E6652" s="6">
        <v>0</v>
      </c>
      <c r="F6652" s="6">
        <v>0</v>
      </c>
      <c r="G6652" s="6">
        <v>22</v>
      </c>
      <c r="H6652" s="6" t="s">
        <v>38942</v>
      </c>
      <c r="I6652" s="6">
        <v>526.6875</v>
      </c>
      <c r="J6652" s="2">
        <f t="shared" si="103"/>
        <v>43748.952396400462</v>
      </c>
    </row>
    <row r="6653" spans="1:10" x14ac:dyDescent="0.25">
      <c r="A6653" s="7" t="s">
        <v>38943</v>
      </c>
      <c r="B6653" s="8">
        <v>393.75</v>
      </c>
      <c r="C6653" s="8">
        <v>20.426300000000001</v>
      </c>
      <c r="D6653" s="8">
        <v>84</v>
      </c>
      <c r="E6653" s="8">
        <v>0</v>
      </c>
      <c r="F6653" s="8">
        <v>0</v>
      </c>
      <c r="G6653" s="8">
        <v>23</v>
      </c>
      <c r="H6653" s="8" t="s">
        <v>38944</v>
      </c>
      <c r="I6653" s="8">
        <v>526.6875</v>
      </c>
      <c r="J6653" s="3">
        <f t="shared" si="103"/>
        <v>43748.952467766205</v>
      </c>
    </row>
    <row r="6654" spans="1:10" x14ac:dyDescent="0.25">
      <c r="A6654" s="5" t="s">
        <v>38945</v>
      </c>
      <c r="B6654" s="6">
        <v>393.75</v>
      </c>
      <c r="C6654" s="6">
        <v>20.478950000000001</v>
      </c>
      <c r="D6654" s="6">
        <v>83</v>
      </c>
      <c r="E6654" s="6">
        <v>0</v>
      </c>
      <c r="F6654" s="6">
        <v>0</v>
      </c>
      <c r="G6654" s="6">
        <v>24</v>
      </c>
      <c r="H6654" s="6" t="s">
        <v>38946</v>
      </c>
      <c r="I6654" s="6">
        <v>526.6875</v>
      </c>
      <c r="J6654" s="2">
        <f t="shared" si="103"/>
        <v>43748.952539097219</v>
      </c>
    </row>
    <row r="6655" spans="1:10" x14ac:dyDescent="0.25">
      <c r="A6655" s="7" t="s">
        <v>38947</v>
      </c>
      <c r="B6655" s="8">
        <v>393.75</v>
      </c>
      <c r="C6655" s="8">
        <v>20.478950000000001</v>
      </c>
      <c r="D6655" s="8">
        <v>83</v>
      </c>
      <c r="E6655" s="8">
        <v>0</v>
      </c>
      <c r="F6655" s="8">
        <v>0</v>
      </c>
      <c r="G6655" s="8">
        <v>17</v>
      </c>
      <c r="H6655" s="8" t="s">
        <v>38948</v>
      </c>
      <c r="I6655" s="8">
        <v>526.6875</v>
      </c>
      <c r="J6655" s="3">
        <f t="shared" si="103"/>
        <v>43748.952610474538</v>
      </c>
    </row>
    <row r="6656" spans="1:10" x14ac:dyDescent="0.25">
      <c r="A6656" s="5" t="s">
        <v>38949</v>
      </c>
      <c r="B6656" s="6">
        <v>393.75</v>
      </c>
      <c r="C6656" s="6">
        <v>20.478950000000001</v>
      </c>
      <c r="D6656" s="6">
        <v>84</v>
      </c>
      <c r="E6656" s="6">
        <v>0</v>
      </c>
      <c r="F6656" s="6">
        <v>0</v>
      </c>
      <c r="G6656" s="6">
        <v>14</v>
      </c>
      <c r="H6656" s="6" t="s">
        <v>38950</v>
      </c>
      <c r="I6656" s="6">
        <v>526.6875</v>
      </c>
      <c r="J6656" s="2">
        <f t="shared" si="103"/>
        <v>43748.952682557872</v>
      </c>
    </row>
    <row r="6657" spans="1:10" x14ac:dyDescent="0.25">
      <c r="A6657" s="7" t="s">
        <v>38951</v>
      </c>
      <c r="B6657" s="8">
        <v>412.5</v>
      </c>
      <c r="C6657" s="8">
        <v>20.478950000000001</v>
      </c>
      <c r="D6657" s="8">
        <v>83</v>
      </c>
      <c r="E6657" s="8">
        <v>0</v>
      </c>
      <c r="F6657" s="8">
        <v>0</v>
      </c>
      <c r="G6657" s="8">
        <v>14</v>
      </c>
      <c r="H6657" s="8" t="s">
        <v>38952</v>
      </c>
      <c r="I6657" s="8">
        <v>532.3125</v>
      </c>
      <c r="J6657" s="3">
        <f t="shared" si="103"/>
        <v>43748.95275373842</v>
      </c>
    </row>
    <row r="6658" spans="1:10" x14ac:dyDescent="0.25">
      <c r="A6658" s="5" t="s">
        <v>38953</v>
      </c>
      <c r="B6658" s="6">
        <v>393.75</v>
      </c>
      <c r="C6658" s="6">
        <v>20.478950000000001</v>
      </c>
      <c r="D6658" s="6">
        <v>83</v>
      </c>
      <c r="E6658" s="6">
        <v>0</v>
      </c>
      <c r="F6658" s="6">
        <v>0</v>
      </c>
      <c r="G6658" s="6">
        <v>27</v>
      </c>
      <c r="H6658" s="6" t="s">
        <v>38954</v>
      </c>
      <c r="I6658" s="6">
        <v>526.6875</v>
      </c>
      <c r="J6658" s="2">
        <f t="shared" ref="J6658:J6721" si="104">(H6658/86400000)+25569+(7/24)</f>
        <v>43748.952825104163</v>
      </c>
    </row>
    <row r="6659" spans="1:10" x14ac:dyDescent="0.25">
      <c r="A6659" s="7" t="s">
        <v>38955</v>
      </c>
      <c r="B6659" s="8">
        <v>393.75</v>
      </c>
      <c r="C6659" s="8">
        <v>20.478950000000001</v>
      </c>
      <c r="D6659" s="8">
        <v>82</v>
      </c>
      <c r="E6659" s="8">
        <v>0</v>
      </c>
      <c r="F6659" s="8">
        <v>0</v>
      </c>
      <c r="G6659" s="8">
        <v>23</v>
      </c>
      <c r="H6659" s="8" t="s">
        <v>38956</v>
      </c>
      <c r="I6659" s="8">
        <v>526.6875</v>
      </c>
      <c r="J6659" s="3">
        <f t="shared" si="104"/>
        <v>43748.952897314812</v>
      </c>
    </row>
    <row r="6660" spans="1:10" x14ac:dyDescent="0.25">
      <c r="A6660" s="5" t="s">
        <v>38957</v>
      </c>
      <c r="B6660" s="6">
        <v>393.75</v>
      </c>
      <c r="C6660" s="6">
        <v>20.478950000000001</v>
      </c>
      <c r="D6660" s="6">
        <v>82</v>
      </c>
      <c r="E6660" s="6">
        <v>0</v>
      </c>
      <c r="F6660" s="6">
        <v>0</v>
      </c>
      <c r="G6660" s="6">
        <v>18</v>
      </c>
      <c r="H6660" s="6" t="s">
        <v>38958</v>
      </c>
      <c r="I6660" s="6">
        <v>526.6875</v>
      </c>
      <c r="J6660" s="2">
        <f t="shared" si="104"/>
        <v>43748.952968657402</v>
      </c>
    </row>
    <row r="6661" spans="1:10" x14ac:dyDescent="0.25">
      <c r="A6661" s="7" t="s">
        <v>38959</v>
      </c>
      <c r="B6661" s="8">
        <v>393.75</v>
      </c>
      <c r="C6661" s="8">
        <v>20.478950000000001</v>
      </c>
      <c r="D6661" s="8">
        <v>84</v>
      </c>
      <c r="E6661" s="8">
        <v>0</v>
      </c>
      <c r="F6661" s="8">
        <v>0</v>
      </c>
      <c r="G6661" s="8">
        <v>27</v>
      </c>
      <c r="H6661" s="8" t="s">
        <v>38960</v>
      </c>
      <c r="I6661" s="8">
        <v>526.6875</v>
      </c>
      <c r="J6661" s="3">
        <f t="shared" si="104"/>
        <v>43748.953039976848</v>
      </c>
    </row>
    <row r="6662" spans="1:10" x14ac:dyDescent="0.25">
      <c r="A6662" s="5" t="s">
        <v>38961</v>
      </c>
      <c r="B6662" s="6">
        <v>393.75</v>
      </c>
      <c r="C6662" s="6">
        <v>20.478950000000001</v>
      </c>
      <c r="D6662" s="6">
        <v>84</v>
      </c>
      <c r="E6662" s="6">
        <v>0</v>
      </c>
      <c r="F6662" s="6">
        <v>0</v>
      </c>
      <c r="G6662" s="6">
        <v>7</v>
      </c>
      <c r="H6662" s="6" t="s">
        <v>38962</v>
      </c>
      <c r="I6662" s="6">
        <v>526.6875</v>
      </c>
      <c r="J6662" s="2">
        <f t="shared" si="104"/>
        <v>43748.953112025461</v>
      </c>
    </row>
    <row r="6663" spans="1:10" x14ac:dyDescent="0.25">
      <c r="A6663" s="7" t="s">
        <v>38963</v>
      </c>
      <c r="B6663" s="8">
        <v>393.75</v>
      </c>
      <c r="C6663" s="8">
        <v>20.478950000000001</v>
      </c>
      <c r="D6663" s="8">
        <v>83</v>
      </c>
      <c r="E6663" s="8">
        <v>0</v>
      </c>
      <c r="F6663" s="8">
        <v>0</v>
      </c>
      <c r="G6663" s="8">
        <v>16</v>
      </c>
      <c r="H6663" s="8" t="s">
        <v>38964</v>
      </c>
      <c r="I6663" s="8">
        <v>526.6875</v>
      </c>
      <c r="J6663" s="3">
        <f t="shared" si="104"/>
        <v>43748.953183472222</v>
      </c>
    </row>
    <row r="6664" spans="1:10" x14ac:dyDescent="0.25">
      <c r="A6664" s="5" t="s">
        <v>38965</v>
      </c>
      <c r="B6664" s="6">
        <v>393.75</v>
      </c>
      <c r="C6664" s="6">
        <v>20.478950000000001</v>
      </c>
      <c r="D6664" s="6">
        <v>82</v>
      </c>
      <c r="E6664" s="6">
        <v>0</v>
      </c>
      <c r="F6664" s="6">
        <v>0</v>
      </c>
      <c r="G6664" s="6">
        <v>15</v>
      </c>
      <c r="H6664" s="6" t="s">
        <v>38966</v>
      </c>
      <c r="I6664" s="6">
        <v>526.6875</v>
      </c>
      <c r="J6664" s="2">
        <f t="shared" si="104"/>
        <v>43748.953254791668</v>
      </c>
    </row>
    <row r="6665" spans="1:10" x14ac:dyDescent="0.25">
      <c r="A6665" s="7" t="s">
        <v>38967</v>
      </c>
      <c r="B6665" s="8">
        <v>393.75</v>
      </c>
      <c r="C6665" s="8">
        <v>20.478950000000001</v>
      </c>
      <c r="D6665" s="8">
        <v>82</v>
      </c>
      <c r="E6665" s="8">
        <v>0</v>
      </c>
      <c r="F6665" s="8">
        <v>0</v>
      </c>
      <c r="G6665" s="8">
        <v>23</v>
      </c>
      <c r="H6665" s="8" t="s">
        <v>38968</v>
      </c>
      <c r="I6665" s="8">
        <v>526.6875</v>
      </c>
      <c r="J6665" s="3">
        <f t="shared" si="104"/>
        <v>43748.953329618053</v>
      </c>
    </row>
    <row r="6666" spans="1:10" x14ac:dyDescent="0.25">
      <c r="A6666" s="5" t="s">
        <v>38969</v>
      </c>
      <c r="B6666" s="6">
        <v>393.75</v>
      </c>
      <c r="C6666" s="6">
        <v>20.478950000000001</v>
      </c>
      <c r="D6666" s="6">
        <v>81</v>
      </c>
      <c r="E6666" s="6">
        <v>0</v>
      </c>
      <c r="F6666" s="6">
        <v>0</v>
      </c>
      <c r="G6666" s="6">
        <v>18</v>
      </c>
      <c r="H6666" s="6" t="s">
        <v>38970</v>
      </c>
      <c r="I6666" s="6">
        <v>526.6875</v>
      </c>
      <c r="J6666" s="2">
        <f t="shared" si="104"/>
        <v>43748.9534102662</v>
      </c>
    </row>
    <row r="6667" spans="1:10" x14ac:dyDescent="0.25">
      <c r="A6667" s="7" t="s">
        <v>38971</v>
      </c>
      <c r="B6667" s="8">
        <v>393.75</v>
      </c>
      <c r="C6667" s="8">
        <v>20.478950000000001</v>
      </c>
      <c r="D6667" s="8">
        <v>80</v>
      </c>
      <c r="E6667" s="8">
        <v>0</v>
      </c>
      <c r="F6667" s="8">
        <v>0</v>
      </c>
      <c r="G6667" s="8">
        <v>17</v>
      </c>
      <c r="H6667" s="8" t="s">
        <v>38972</v>
      </c>
      <c r="I6667" s="8">
        <v>526.6875</v>
      </c>
      <c r="J6667" s="3">
        <f t="shared" si="104"/>
        <v>43748.95348128472</v>
      </c>
    </row>
    <row r="6668" spans="1:10" x14ac:dyDescent="0.25">
      <c r="A6668" s="5" t="s">
        <v>38973</v>
      </c>
      <c r="B6668" s="6">
        <v>393.75</v>
      </c>
      <c r="C6668" s="6">
        <v>20.478950000000001</v>
      </c>
      <c r="D6668" s="6">
        <v>83</v>
      </c>
      <c r="E6668" s="6">
        <v>0</v>
      </c>
      <c r="F6668" s="6">
        <v>0</v>
      </c>
      <c r="G6668" s="6">
        <v>10</v>
      </c>
      <c r="H6668" s="6" t="s">
        <v>38974</v>
      </c>
      <c r="I6668" s="6">
        <v>526.6875</v>
      </c>
      <c r="J6668" s="2">
        <f t="shared" si="104"/>
        <v>43748.953552824074</v>
      </c>
    </row>
    <row r="6669" spans="1:10" x14ac:dyDescent="0.25">
      <c r="A6669" s="7" t="s">
        <v>38975</v>
      </c>
      <c r="B6669" s="8">
        <v>437.5</v>
      </c>
      <c r="C6669" s="8">
        <v>20.478950000000001</v>
      </c>
      <c r="D6669" s="8">
        <v>82</v>
      </c>
      <c r="E6669" s="8">
        <v>0</v>
      </c>
      <c r="F6669" s="8">
        <v>0</v>
      </c>
      <c r="G6669" s="8">
        <v>25</v>
      </c>
      <c r="H6669" s="8" t="s">
        <v>38976</v>
      </c>
      <c r="I6669" s="8">
        <v>540.5625</v>
      </c>
      <c r="J6669" s="3">
        <f t="shared" si="104"/>
        <v>43748.953624594906</v>
      </c>
    </row>
    <row r="6670" spans="1:10" x14ac:dyDescent="0.25">
      <c r="A6670" s="5" t="s">
        <v>38977</v>
      </c>
      <c r="B6670" s="6">
        <v>393.75</v>
      </c>
      <c r="C6670" s="6">
        <v>20.478950000000001</v>
      </c>
      <c r="D6670" s="6">
        <v>82</v>
      </c>
      <c r="E6670" s="6">
        <v>0</v>
      </c>
      <c r="F6670" s="6">
        <v>0</v>
      </c>
      <c r="G6670" s="6">
        <v>17</v>
      </c>
      <c r="H6670" s="6" t="s">
        <v>38978</v>
      </c>
      <c r="I6670" s="6">
        <v>526.5</v>
      </c>
      <c r="J6670" s="2">
        <f t="shared" si="104"/>
        <v>43748.953696446755</v>
      </c>
    </row>
    <row r="6671" spans="1:10" x14ac:dyDescent="0.25">
      <c r="A6671" s="7" t="s">
        <v>38979</v>
      </c>
      <c r="B6671" s="8">
        <v>393.75</v>
      </c>
      <c r="C6671" s="8">
        <v>20.478950000000001</v>
      </c>
      <c r="D6671" s="8">
        <v>82</v>
      </c>
      <c r="E6671" s="8">
        <v>0</v>
      </c>
      <c r="F6671" s="8">
        <v>0</v>
      </c>
      <c r="G6671" s="8">
        <v>20</v>
      </c>
      <c r="H6671" s="8" t="s">
        <v>38980</v>
      </c>
      <c r="I6671" s="8">
        <v>526.6875</v>
      </c>
      <c r="J6671" s="3">
        <f t="shared" si="104"/>
        <v>43748.953779363423</v>
      </c>
    </row>
    <row r="6672" spans="1:10" x14ac:dyDescent="0.25">
      <c r="A6672" s="5" t="s">
        <v>38981</v>
      </c>
      <c r="B6672" s="6">
        <v>393.75</v>
      </c>
      <c r="C6672" s="6">
        <v>20.478950000000001</v>
      </c>
      <c r="D6672" s="6">
        <v>82</v>
      </c>
      <c r="E6672" s="6">
        <v>0</v>
      </c>
      <c r="F6672" s="6">
        <v>0</v>
      </c>
      <c r="G6672" s="6">
        <v>26</v>
      </c>
      <c r="H6672" s="6" t="s">
        <v>38982</v>
      </c>
      <c r="I6672" s="6">
        <v>526.6875</v>
      </c>
      <c r="J6672" s="2">
        <f t="shared" si="104"/>
        <v>43748.953851307866</v>
      </c>
    </row>
    <row r="6673" spans="1:10" x14ac:dyDescent="0.25">
      <c r="A6673" s="7" t="s">
        <v>38983</v>
      </c>
      <c r="B6673" s="8">
        <v>393.75</v>
      </c>
      <c r="C6673" s="8">
        <v>20.478950000000001</v>
      </c>
      <c r="D6673" s="8">
        <v>82</v>
      </c>
      <c r="E6673" s="8">
        <v>0</v>
      </c>
      <c r="F6673" s="8">
        <v>0</v>
      </c>
      <c r="G6673" s="8">
        <v>22</v>
      </c>
      <c r="H6673" s="8" t="s">
        <v>38984</v>
      </c>
      <c r="I6673" s="8">
        <v>526.6875</v>
      </c>
      <c r="J6673" s="3">
        <f t="shared" si="104"/>
        <v>43748.953922673609</v>
      </c>
    </row>
    <row r="6674" spans="1:10" x14ac:dyDescent="0.25">
      <c r="A6674" s="5" t="s">
        <v>38985</v>
      </c>
      <c r="B6674" s="6">
        <v>393.75</v>
      </c>
      <c r="C6674" s="6">
        <v>20.478950000000001</v>
      </c>
      <c r="D6674" s="6">
        <v>83</v>
      </c>
      <c r="E6674" s="6">
        <v>0</v>
      </c>
      <c r="F6674" s="6">
        <v>0</v>
      </c>
      <c r="G6674" s="6">
        <v>18</v>
      </c>
      <c r="H6674" s="6" t="s">
        <v>38986</v>
      </c>
      <c r="I6674" s="6">
        <v>526.6875</v>
      </c>
      <c r="J6674" s="2">
        <f t="shared" si="104"/>
        <v>43748.953994016199</v>
      </c>
    </row>
    <row r="6675" spans="1:10" x14ac:dyDescent="0.25">
      <c r="A6675" s="7" t="s">
        <v>38987</v>
      </c>
      <c r="B6675" s="8">
        <v>393.75</v>
      </c>
      <c r="C6675" s="8">
        <v>20.478950000000001</v>
      </c>
      <c r="D6675" s="8">
        <v>82</v>
      </c>
      <c r="E6675" s="8">
        <v>0</v>
      </c>
      <c r="F6675" s="8">
        <v>0</v>
      </c>
      <c r="G6675" s="8">
        <v>23</v>
      </c>
      <c r="H6675" s="8" t="s">
        <v>38988</v>
      </c>
      <c r="I6675" s="8">
        <v>526.6875</v>
      </c>
      <c r="J6675" s="3">
        <f t="shared" si="104"/>
        <v>43748.954066192127</v>
      </c>
    </row>
    <row r="6676" spans="1:10" x14ac:dyDescent="0.25">
      <c r="A6676" s="5" t="s">
        <v>38989</v>
      </c>
      <c r="B6676" s="6">
        <v>393.75</v>
      </c>
      <c r="C6676" s="6">
        <v>20.478950000000001</v>
      </c>
      <c r="D6676" s="6">
        <v>82</v>
      </c>
      <c r="E6676" s="6">
        <v>0</v>
      </c>
      <c r="F6676" s="6">
        <v>0</v>
      </c>
      <c r="G6676" s="6">
        <v>21</v>
      </c>
      <c r="H6676" s="6" t="s">
        <v>38990</v>
      </c>
      <c r="I6676" s="6">
        <v>526.6875</v>
      </c>
      <c r="J6676" s="2">
        <f t="shared" si="104"/>
        <v>43748.954148946759</v>
      </c>
    </row>
    <row r="6677" spans="1:10" x14ac:dyDescent="0.25">
      <c r="A6677" s="7" t="s">
        <v>38991</v>
      </c>
      <c r="B6677" s="8">
        <v>393.75</v>
      </c>
      <c r="C6677" s="8">
        <v>20.478950000000001</v>
      </c>
      <c r="D6677" s="8">
        <v>82</v>
      </c>
      <c r="E6677" s="8">
        <v>0</v>
      </c>
      <c r="F6677" s="8">
        <v>0</v>
      </c>
      <c r="G6677" s="8">
        <v>18</v>
      </c>
      <c r="H6677" s="8" t="s">
        <v>38992</v>
      </c>
      <c r="I6677" s="8">
        <v>526.6875</v>
      </c>
      <c r="J6677" s="3">
        <f t="shared" si="104"/>
        <v>43748.954220821754</v>
      </c>
    </row>
    <row r="6678" spans="1:10" x14ac:dyDescent="0.25">
      <c r="A6678" s="5" t="s">
        <v>38993</v>
      </c>
      <c r="B6678" s="6">
        <v>393.75</v>
      </c>
      <c r="C6678" s="6">
        <v>20.478950000000001</v>
      </c>
      <c r="D6678" s="6">
        <v>82</v>
      </c>
      <c r="E6678" s="6">
        <v>0</v>
      </c>
      <c r="F6678" s="6">
        <v>0</v>
      </c>
      <c r="G6678" s="6">
        <v>23</v>
      </c>
      <c r="H6678" s="6" t="s">
        <v>38994</v>
      </c>
      <c r="I6678" s="6">
        <v>526.6875</v>
      </c>
      <c r="J6678" s="2">
        <f t="shared" si="104"/>
        <v>43748.95429217592</v>
      </c>
    </row>
    <row r="6679" spans="1:10" x14ac:dyDescent="0.25">
      <c r="A6679" s="7" t="s">
        <v>38995</v>
      </c>
      <c r="B6679" s="8">
        <v>393.75</v>
      </c>
      <c r="C6679" s="8">
        <v>20.478950000000001</v>
      </c>
      <c r="D6679" s="8">
        <v>82</v>
      </c>
      <c r="E6679" s="8">
        <v>0</v>
      </c>
      <c r="F6679" s="8">
        <v>0</v>
      </c>
      <c r="G6679" s="8">
        <v>23</v>
      </c>
      <c r="H6679" s="8" t="s">
        <v>38996</v>
      </c>
      <c r="I6679" s="8">
        <v>526.6875</v>
      </c>
      <c r="J6679" s="3">
        <f t="shared" si="104"/>
        <v>43748.954364328696</v>
      </c>
    </row>
    <row r="6680" spans="1:10" x14ac:dyDescent="0.25">
      <c r="A6680" s="5" t="s">
        <v>38997</v>
      </c>
      <c r="B6680" s="6">
        <v>393.75</v>
      </c>
      <c r="C6680" s="6">
        <v>20.478950000000001</v>
      </c>
      <c r="D6680" s="6">
        <v>83</v>
      </c>
      <c r="E6680" s="6">
        <v>0</v>
      </c>
      <c r="F6680" s="6">
        <v>0</v>
      </c>
      <c r="G6680" s="6">
        <v>17</v>
      </c>
      <c r="H6680" s="6" t="s">
        <v>38998</v>
      </c>
      <c r="I6680" s="6">
        <v>526.6875</v>
      </c>
      <c r="J6680" s="2">
        <f t="shared" si="104"/>
        <v>43748.954435173604</v>
      </c>
    </row>
    <row r="6681" spans="1:10" x14ac:dyDescent="0.25">
      <c r="A6681" s="7" t="s">
        <v>38999</v>
      </c>
      <c r="B6681" s="8">
        <v>393.75</v>
      </c>
      <c r="C6681" s="8">
        <v>20.478950000000001</v>
      </c>
      <c r="D6681" s="8">
        <v>85</v>
      </c>
      <c r="E6681" s="8">
        <v>0</v>
      </c>
      <c r="F6681" s="8">
        <v>0</v>
      </c>
      <c r="G6681" s="8">
        <v>17</v>
      </c>
      <c r="H6681" s="8" t="s">
        <v>39000</v>
      </c>
      <c r="I6681" s="8">
        <v>526.6875</v>
      </c>
      <c r="J6681" s="3">
        <f t="shared" si="104"/>
        <v>43748.954506921298</v>
      </c>
    </row>
    <row r="6682" spans="1:10" x14ac:dyDescent="0.25">
      <c r="A6682" s="5" t="s">
        <v>39001</v>
      </c>
      <c r="B6682" s="6">
        <v>393.75</v>
      </c>
      <c r="C6682" s="6">
        <v>20.478950000000001</v>
      </c>
      <c r="D6682" s="6">
        <v>84</v>
      </c>
      <c r="E6682" s="6">
        <v>0</v>
      </c>
      <c r="F6682" s="6">
        <v>0</v>
      </c>
      <c r="G6682" s="6">
        <v>19</v>
      </c>
      <c r="H6682" s="6" t="s">
        <v>39002</v>
      </c>
      <c r="I6682" s="6">
        <v>526.6875</v>
      </c>
      <c r="J6682" s="2">
        <f t="shared" si="104"/>
        <v>43748.954578344907</v>
      </c>
    </row>
    <row r="6683" spans="1:10" x14ac:dyDescent="0.25">
      <c r="A6683" s="7" t="s">
        <v>39003</v>
      </c>
      <c r="B6683" s="8">
        <v>393.75</v>
      </c>
      <c r="C6683" s="8">
        <v>20.478950000000001</v>
      </c>
      <c r="D6683" s="8">
        <v>84</v>
      </c>
      <c r="E6683" s="8">
        <v>0</v>
      </c>
      <c r="F6683" s="8">
        <v>0</v>
      </c>
      <c r="G6683" s="8">
        <v>17</v>
      </c>
      <c r="H6683" s="8" t="s">
        <v>39004</v>
      </c>
      <c r="I6683" s="8">
        <v>526.6875</v>
      </c>
      <c r="J6683" s="3">
        <f t="shared" si="104"/>
        <v>43748.954650451386</v>
      </c>
    </row>
    <row r="6684" spans="1:10" x14ac:dyDescent="0.25">
      <c r="A6684" s="5" t="s">
        <v>39005</v>
      </c>
      <c r="B6684" s="6">
        <v>393.75</v>
      </c>
      <c r="C6684" s="6">
        <v>20.478950000000001</v>
      </c>
      <c r="D6684" s="6">
        <v>83</v>
      </c>
      <c r="E6684" s="6">
        <v>0</v>
      </c>
      <c r="F6684" s="6">
        <v>0</v>
      </c>
      <c r="G6684" s="6">
        <v>15</v>
      </c>
      <c r="H6684" s="6" t="s">
        <v>39006</v>
      </c>
      <c r="I6684" s="6">
        <v>526.6875</v>
      </c>
      <c r="J6684" s="2">
        <f t="shared" si="104"/>
        <v>43748.954721736103</v>
      </c>
    </row>
    <row r="6685" spans="1:10" x14ac:dyDescent="0.25">
      <c r="A6685" s="7" t="s">
        <v>39007</v>
      </c>
      <c r="B6685" s="8">
        <v>393.75</v>
      </c>
      <c r="C6685" s="8">
        <v>20.478950000000001</v>
      </c>
      <c r="D6685" s="8">
        <v>83</v>
      </c>
      <c r="E6685" s="8">
        <v>0</v>
      </c>
      <c r="F6685" s="8">
        <v>0</v>
      </c>
      <c r="G6685" s="8">
        <v>15</v>
      </c>
      <c r="H6685" s="8" t="s">
        <v>39008</v>
      </c>
      <c r="I6685" s="8">
        <v>526.6875</v>
      </c>
      <c r="J6685" s="3">
        <f t="shared" si="104"/>
        <v>43748.954805104164</v>
      </c>
    </row>
    <row r="6686" spans="1:10" x14ac:dyDescent="0.25">
      <c r="A6686" s="5" t="s">
        <v>39009</v>
      </c>
      <c r="B6686" s="6">
        <v>393.75</v>
      </c>
      <c r="C6686" s="6">
        <v>20.478950000000001</v>
      </c>
      <c r="D6686" s="6">
        <v>82</v>
      </c>
      <c r="E6686" s="6">
        <v>0</v>
      </c>
      <c r="F6686" s="6">
        <v>0</v>
      </c>
      <c r="G6686" s="6">
        <v>18</v>
      </c>
      <c r="H6686" s="6" t="s">
        <v>39010</v>
      </c>
      <c r="I6686" s="6">
        <v>526.6875</v>
      </c>
      <c r="J6686" s="2">
        <f t="shared" si="104"/>
        <v>43748.95487710648</v>
      </c>
    </row>
    <row r="6687" spans="1:10" x14ac:dyDescent="0.25">
      <c r="A6687" s="7" t="s">
        <v>39011</v>
      </c>
      <c r="B6687" s="8">
        <v>393.75</v>
      </c>
      <c r="C6687" s="8">
        <v>20.478950000000001</v>
      </c>
      <c r="D6687" s="8">
        <v>81</v>
      </c>
      <c r="E6687" s="8">
        <v>0</v>
      </c>
      <c r="F6687" s="8">
        <v>0</v>
      </c>
      <c r="G6687" s="8">
        <v>19</v>
      </c>
      <c r="H6687" s="8" t="s">
        <v>39012</v>
      </c>
      <c r="I6687" s="8">
        <v>526.6875</v>
      </c>
      <c r="J6687" s="3">
        <f t="shared" si="104"/>
        <v>43748.954948090272</v>
      </c>
    </row>
    <row r="6688" spans="1:10" x14ac:dyDescent="0.25">
      <c r="A6688" s="5" t="s">
        <v>39013</v>
      </c>
      <c r="B6688" s="6">
        <v>393.75</v>
      </c>
      <c r="C6688" s="6">
        <v>20.478950000000001</v>
      </c>
      <c r="D6688" s="6">
        <v>81</v>
      </c>
      <c r="E6688" s="6">
        <v>0</v>
      </c>
      <c r="F6688" s="6">
        <v>0</v>
      </c>
      <c r="G6688" s="6">
        <v>18</v>
      </c>
      <c r="H6688" s="6" t="s">
        <v>39014</v>
      </c>
      <c r="I6688" s="6">
        <v>526.6875</v>
      </c>
      <c r="J6688" s="2">
        <f t="shared" si="104"/>
        <v>43748.955019895831</v>
      </c>
    </row>
    <row r="6689" spans="1:10" x14ac:dyDescent="0.25">
      <c r="A6689" s="7" t="s">
        <v>39015</v>
      </c>
      <c r="B6689" s="8">
        <v>393.75</v>
      </c>
      <c r="C6689" s="8">
        <v>20.478950000000001</v>
      </c>
      <c r="D6689" s="8">
        <v>81</v>
      </c>
      <c r="E6689" s="8">
        <v>0</v>
      </c>
      <c r="F6689" s="8">
        <v>0</v>
      </c>
      <c r="G6689" s="8">
        <v>10</v>
      </c>
      <c r="H6689" s="8" t="s">
        <v>39016</v>
      </c>
      <c r="I6689" s="8">
        <v>526.6875</v>
      </c>
      <c r="J6689" s="3">
        <f t="shared" si="104"/>
        <v>43748.955091192132</v>
      </c>
    </row>
    <row r="6690" spans="1:10" x14ac:dyDescent="0.25">
      <c r="A6690" s="5" t="s">
        <v>39017</v>
      </c>
      <c r="B6690" s="6">
        <v>393.75</v>
      </c>
      <c r="C6690" s="6">
        <v>20.478950000000001</v>
      </c>
      <c r="D6690" s="6">
        <v>81</v>
      </c>
      <c r="E6690" s="6">
        <v>0</v>
      </c>
      <c r="F6690" s="6">
        <v>0</v>
      </c>
      <c r="G6690" s="6">
        <v>11</v>
      </c>
      <c r="H6690" s="6" t="s">
        <v>39018</v>
      </c>
      <c r="I6690" s="6">
        <v>526.6875</v>
      </c>
      <c r="J6690" s="2">
        <f t="shared" si="104"/>
        <v>43748.95516341435</v>
      </c>
    </row>
    <row r="6691" spans="1:10" x14ac:dyDescent="0.25">
      <c r="A6691" s="7" t="s">
        <v>39019</v>
      </c>
      <c r="B6691" s="8">
        <v>393.75</v>
      </c>
      <c r="C6691" s="8">
        <v>20.478950000000001</v>
      </c>
      <c r="D6691" s="8">
        <v>82</v>
      </c>
      <c r="E6691" s="8">
        <v>0</v>
      </c>
      <c r="F6691" s="8">
        <v>0</v>
      </c>
      <c r="G6691" s="8">
        <v>22</v>
      </c>
      <c r="H6691" s="8" t="s">
        <v>39020</v>
      </c>
      <c r="I6691" s="8">
        <v>526.6875</v>
      </c>
      <c r="J6691" s="3">
        <f t="shared" si="104"/>
        <v>43748.955236469905</v>
      </c>
    </row>
    <row r="6692" spans="1:10" x14ac:dyDescent="0.25">
      <c r="A6692" s="5" t="s">
        <v>39021</v>
      </c>
      <c r="B6692" s="6">
        <v>393.75</v>
      </c>
      <c r="C6692" s="6">
        <v>20.478950000000001</v>
      </c>
      <c r="D6692" s="6">
        <v>82</v>
      </c>
      <c r="E6692" s="6">
        <v>0</v>
      </c>
      <c r="F6692" s="6">
        <v>0</v>
      </c>
      <c r="G6692" s="6">
        <v>12</v>
      </c>
      <c r="H6692" s="6" t="s">
        <v>39022</v>
      </c>
      <c r="I6692" s="6">
        <v>526.6875</v>
      </c>
      <c r="J6692" s="2">
        <f t="shared" si="104"/>
        <v>43748.955318043976</v>
      </c>
    </row>
    <row r="6693" spans="1:10" x14ac:dyDescent="0.25">
      <c r="A6693" s="7" t="s">
        <v>39023</v>
      </c>
      <c r="B6693" s="8">
        <v>393.75</v>
      </c>
      <c r="C6693" s="8">
        <v>20.478950000000001</v>
      </c>
      <c r="D6693" s="8">
        <v>82</v>
      </c>
      <c r="E6693" s="8">
        <v>0</v>
      </c>
      <c r="F6693" s="8">
        <v>0</v>
      </c>
      <c r="G6693" s="8">
        <v>21</v>
      </c>
      <c r="H6693" s="8" t="s">
        <v>39024</v>
      </c>
      <c r="I6693" s="8">
        <v>526.6875</v>
      </c>
      <c r="J6693" s="3">
        <f t="shared" si="104"/>
        <v>43748.955389398143</v>
      </c>
    </row>
    <row r="6694" spans="1:10" x14ac:dyDescent="0.25">
      <c r="A6694" s="5" t="s">
        <v>39025</v>
      </c>
      <c r="B6694" s="6">
        <v>393.75</v>
      </c>
      <c r="C6694" s="6">
        <v>20.478950000000001</v>
      </c>
      <c r="D6694" s="6">
        <v>82</v>
      </c>
      <c r="E6694" s="6">
        <v>0</v>
      </c>
      <c r="F6694" s="6">
        <v>0</v>
      </c>
      <c r="G6694" s="6">
        <v>14</v>
      </c>
      <c r="H6694" s="6" t="s">
        <v>39026</v>
      </c>
      <c r="I6694" s="6">
        <v>526.6875</v>
      </c>
      <c r="J6694" s="2">
        <f t="shared" si="104"/>
        <v>43748.955473553237</v>
      </c>
    </row>
    <row r="6695" spans="1:10" x14ac:dyDescent="0.25">
      <c r="A6695" s="7" t="s">
        <v>39027</v>
      </c>
      <c r="B6695" s="8">
        <v>412.5</v>
      </c>
      <c r="C6695" s="8">
        <v>20.478950000000001</v>
      </c>
      <c r="D6695" s="8">
        <v>82</v>
      </c>
      <c r="E6695" s="8">
        <v>0</v>
      </c>
      <c r="F6695" s="8">
        <v>0</v>
      </c>
      <c r="G6695" s="8">
        <v>11</v>
      </c>
      <c r="H6695" s="8" t="s">
        <v>39028</v>
      </c>
      <c r="I6695" s="8">
        <v>532.5</v>
      </c>
      <c r="J6695" s="3">
        <f t="shared" si="104"/>
        <v>43748.955556793975</v>
      </c>
    </row>
    <row r="6696" spans="1:10" x14ac:dyDescent="0.25">
      <c r="A6696" s="5" t="s">
        <v>39029</v>
      </c>
      <c r="B6696" s="6">
        <v>393.75</v>
      </c>
      <c r="C6696" s="6">
        <v>20.478950000000001</v>
      </c>
      <c r="D6696" s="6">
        <v>82</v>
      </c>
      <c r="E6696" s="6">
        <v>0</v>
      </c>
      <c r="F6696" s="6">
        <v>0</v>
      </c>
      <c r="G6696" s="6">
        <v>21</v>
      </c>
      <c r="H6696" s="6" t="s">
        <v>39030</v>
      </c>
      <c r="I6696" s="6">
        <v>526.6875</v>
      </c>
      <c r="J6696" s="2">
        <f t="shared" si="104"/>
        <v>43748.955628240736</v>
      </c>
    </row>
    <row r="6697" spans="1:10" x14ac:dyDescent="0.25">
      <c r="A6697" s="7" t="s">
        <v>39031</v>
      </c>
      <c r="B6697" s="8">
        <v>393.75</v>
      </c>
      <c r="C6697" s="8">
        <v>20.478950000000001</v>
      </c>
      <c r="D6697" s="8">
        <v>82</v>
      </c>
      <c r="E6697" s="8">
        <v>0</v>
      </c>
      <c r="F6697" s="8">
        <v>0</v>
      </c>
      <c r="G6697" s="8">
        <v>14</v>
      </c>
      <c r="H6697" s="8" t="s">
        <v>39032</v>
      </c>
      <c r="I6697" s="8">
        <v>526.6875</v>
      </c>
      <c r="J6697" s="3">
        <f t="shared" si="104"/>
        <v>43748.955711388888</v>
      </c>
    </row>
    <row r="6698" spans="1:10" x14ac:dyDescent="0.25">
      <c r="A6698" s="5" t="s">
        <v>39033</v>
      </c>
      <c r="B6698" s="6">
        <v>393.75</v>
      </c>
      <c r="C6698" s="6">
        <v>20.478950000000001</v>
      </c>
      <c r="D6698" s="6">
        <v>84</v>
      </c>
      <c r="E6698" s="6">
        <v>0</v>
      </c>
      <c r="F6698" s="6">
        <v>0</v>
      </c>
      <c r="G6698" s="6">
        <v>14</v>
      </c>
      <c r="H6698" s="6" t="s">
        <v>39034</v>
      </c>
      <c r="I6698" s="6">
        <v>526.6875</v>
      </c>
      <c r="J6698" s="2">
        <f t="shared" si="104"/>
        <v>43748.955782939811</v>
      </c>
    </row>
    <row r="6699" spans="1:10" x14ac:dyDescent="0.25">
      <c r="A6699" s="7" t="s">
        <v>39035</v>
      </c>
      <c r="B6699" s="8">
        <v>393.75</v>
      </c>
      <c r="C6699" s="8">
        <v>20.478950000000001</v>
      </c>
      <c r="D6699" s="8">
        <v>83</v>
      </c>
      <c r="E6699" s="8">
        <v>0</v>
      </c>
      <c r="F6699" s="8">
        <v>0</v>
      </c>
      <c r="G6699" s="8">
        <v>15</v>
      </c>
      <c r="H6699" s="8" t="s">
        <v>39036</v>
      </c>
      <c r="I6699" s="8">
        <v>526.5</v>
      </c>
      <c r="J6699" s="3">
        <f t="shared" si="104"/>
        <v>43748.955855104163</v>
      </c>
    </row>
    <row r="6700" spans="1:10" x14ac:dyDescent="0.25">
      <c r="A6700" s="5" t="s">
        <v>39037</v>
      </c>
      <c r="B6700" s="6">
        <v>393.75</v>
      </c>
      <c r="C6700" s="6">
        <v>20.478950000000001</v>
      </c>
      <c r="D6700" s="6">
        <v>82</v>
      </c>
      <c r="E6700" s="6">
        <v>0</v>
      </c>
      <c r="F6700" s="6">
        <v>0</v>
      </c>
      <c r="G6700" s="6">
        <v>21</v>
      </c>
      <c r="H6700" s="6" t="s">
        <v>39038</v>
      </c>
      <c r="I6700" s="6">
        <v>526.6875</v>
      </c>
      <c r="J6700" s="2">
        <f t="shared" si="104"/>
        <v>43748.95592641204</v>
      </c>
    </row>
    <row r="6701" spans="1:10" x14ac:dyDescent="0.25">
      <c r="A6701" s="7" t="s">
        <v>39039</v>
      </c>
      <c r="B6701" s="8">
        <v>393.75</v>
      </c>
      <c r="C6701" s="8">
        <v>20.478950000000001</v>
      </c>
      <c r="D6701" s="8">
        <v>83</v>
      </c>
      <c r="E6701" s="8">
        <v>0</v>
      </c>
      <c r="F6701" s="8">
        <v>0</v>
      </c>
      <c r="G6701" s="8">
        <v>12</v>
      </c>
      <c r="H6701" s="8" t="s">
        <v>39040</v>
      </c>
      <c r="I6701" s="8">
        <v>526.6875</v>
      </c>
      <c r="J6701" s="3">
        <f t="shared" si="104"/>
        <v>43748.955997673613</v>
      </c>
    </row>
    <row r="6702" spans="1:10" x14ac:dyDescent="0.25">
      <c r="A6702" s="5" t="s">
        <v>39041</v>
      </c>
      <c r="B6702" s="6">
        <v>412.5</v>
      </c>
      <c r="C6702" s="6">
        <v>20.478950000000001</v>
      </c>
      <c r="D6702" s="6">
        <v>83</v>
      </c>
      <c r="E6702" s="6">
        <v>0</v>
      </c>
      <c r="F6702" s="6">
        <v>0</v>
      </c>
      <c r="G6702" s="6">
        <v>20</v>
      </c>
      <c r="H6702" s="6" t="s">
        <v>39042</v>
      </c>
      <c r="I6702" s="6">
        <v>532.6875</v>
      </c>
      <c r="J6702" s="2">
        <f t="shared" si="104"/>
        <v>43748.956070034721</v>
      </c>
    </row>
    <row r="6703" spans="1:10" x14ac:dyDescent="0.25">
      <c r="A6703" s="7" t="s">
        <v>39043</v>
      </c>
      <c r="B6703" s="8">
        <v>393.75</v>
      </c>
      <c r="C6703" s="8">
        <v>20.478950000000001</v>
      </c>
      <c r="D6703" s="8">
        <v>83</v>
      </c>
      <c r="E6703" s="8">
        <v>0</v>
      </c>
      <c r="F6703" s="8">
        <v>0</v>
      </c>
      <c r="G6703" s="8">
        <v>17</v>
      </c>
      <c r="H6703" s="8" t="s">
        <v>39044</v>
      </c>
      <c r="I6703" s="8">
        <v>526.6875</v>
      </c>
      <c r="J6703" s="3">
        <f t="shared" si="104"/>
        <v>43748.956141215276</v>
      </c>
    </row>
    <row r="6704" spans="1:10" x14ac:dyDescent="0.25">
      <c r="A6704" s="5" t="s">
        <v>39045</v>
      </c>
      <c r="B6704" s="6">
        <v>393.75</v>
      </c>
      <c r="C6704" s="6">
        <v>20.478950000000001</v>
      </c>
      <c r="D6704" s="6">
        <v>82</v>
      </c>
      <c r="E6704" s="6">
        <v>0</v>
      </c>
      <c r="F6704" s="6">
        <v>0</v>
      </c>
      <c r="G6704" s="6">
        <v>20</v>
      </c>
      <c r="H6704" s="6" t="s">
        <v>39046</v>
      </c>
      <c r="I6704" s="6">
        <v>526.6875</v>
      </c>
      <c r="J6704" s="2">
        <f t="shared" si="104"/>
        <v>43748.956212395831</v>
      </c>
    </row>
    <row r="6705" spans="1:10" x14ac:dyDescent="0.25">
      <c r="A6705" s="7" t="s">
        <v>39047</v>
      </c>
      <c r="B6705" s="8">
        <v>393.75</v>
      </c>
      <c r="C6705" s="8">
        <v>20.478950000000001</v>
      </c>
      <c r="D6705" s="8">
        <v>82</v>
      </c>
      <c r="E6705" s="8">
        <v>0</v>
      </c>
      <c r="F6705" s="8">
        <v>0</v>
      </c>
      <c r="G6705" s="8">
        <v>28</v>
      </c>
      <c r="H6705" s="8" t="s">
        <v>39048</v>
      </c>
      <c r="I6705" s="8">
        <v>526.6875</v>
      </c>
      <c r="J6705" s="3">
        <f t="shared" si="104"/>
        <v>43748.956283865737</v>
      </c>
    </row>
    <row r="6706" spans="1:10" x14ac:dyDescent="0.25">
      <c r="A6706" s="5" t="s">
        <v>39049</v>
      </c>
      <c r="B6706" s="6">
        <v>393.75</v>
      </c>
      <c r="C6706" s="6">
        <v>20.478950000000001</v>
      </c>
      <c r="D6706" s="6">
        <v>83</v>
      </c>
      <c r="E6706" s="6">
        <v>0</v>
      </c>
      <c r="F6706" s="6">
        <v>0</v>
      </c>
      <c r="G6706" s="6">
        <v>10</v>
      </c>
      <c r="H6706" s="6" t="s">
        <v>39050</v>
      </c>
      <c r="I6706" s="6">
        <v>526.6875</v>
      </c>
      <c r="J6706" s="2">
        <f t="shared" si="104"/>
        <v>43748.956356018512</v>
      </c>
    </row>
    <row r="6707" spans="1:10" x14ac:dyDescent="0.25">
      <c r="A6707" s="7" t="s">
        <v>39051</v>
      </c>
      <c r="B6707" s="8">
        <v>393.75</v>
      </c>
      <c r="C6707" s="8">
        <v>20.478950000000001</v>
      </c>
      <c r="D6707" s="8">
        <v>83</v>
      </c>
      <c r="E6707" s="8">
        <v>0</v>
      </c>
      <c r="F6707" s="8">
        <v>0</v>
      </c>
      <c r="G6707" s="8">
        <v>19</v>
      </c>
      <c r="H6707" s="8" t="s">
        <v>39052</v>
      </c>
      <c r="I6707" s="8">
        <v>526.5</v>
      </c>
      <c r="J6707" s="3">
        <f t="shared" si="104"/>
        <v>43748.956439363428</v>
      </c>
    </row>
    <row r="6708" spans="1:10" x14ac:dyDescent="0.25">
      <c r="A6708" s="5" t="s">
        <v>39053</v>
      </c>
      <c r="B6708" s="6">
        <v>393.75</v>
      </c>
      <c r="C6708" s="6">
        <v>20.478950000000001</v>
      </c>
      <c r="D6708" s="6">
        <v>83</v>
      </c>
      <c r="E6708" s="6">
        <v>0</v>
      </c>
      <c r="F6708" s="6">
        <v>0</v>
      </c>
      <c r="G6708" s="6">
        <v>18</v>
      </c>
      <c r="H6708" s="6" t="s">
        <v>39054</v>
      </c>
      <c r="I6708" s="6">
        <v>526.5</v>
      </c>
      <c r="J6708" s="2">
        <f t="shared" si="104"/>
        <v>43748.956510543976</v>
      </c>
    </row>
    <row r="6709" spans="1:10" x14ac:dyDescent="0.25">
      <c r="A6709" s="7" t="s">
        <v>39055</v>
      </c>
      <c r="B6709" s="8">
        <v>393.75</v>
      </c>
      <c r="C6709" s="8">
        <v>20.478950000000001</v>
      </c>
      <c r="D6709" s="8">
        <v>83</v>
      </c>
      <c r="E6709" s="8">
        <v>0</v>
      </c>
      <c r="F6709" s="8">
        <v>0</v>
      </c>
      <c r="G6709" s="8">
        <v>32</v>
      </c>
      <c r="H6709" s="8" t="s">
        <v>39056</v>
      </c>
      <c r="I6709" s="8">
        <v>526.6875</v>
      </c>
      <c r="J6709" s="3">
        <f t="shared" si="104"/>
        <v>43748.956581990737</v>
      </c>
    </row>
    <row r="6710" spans="1:10" x14ac:dyDescent="0.25">
      <c r="A6710" s="5" t="s">
        <v>39057</v>
      </c>
      <c r="B6710" s="6">
        <v>412.5</v>
      </c>
      <c r="C6710" s="6">
        <v>20.478950000000001</v>
      </c>
      <c r="D6710" s="6">
        <v>82</v>
      </c>
      <c r="E6710" s="6">
        <v>0</v>
      </c>
      <c r="F6710" s="6">
        <v>0</v>
      </c>
      <c r="G6710" s="6">
        <v>19</v>
      </c>
      <c r="H6710" s="6" t="s">
        <v>39058</v>
      </c>
      <c r="I6710" s="6">
        <v>532.3125</v>
      </c>
      <c r="J6710" s="2">
        <f t="shared" si="104"/>
        <v>43748.956654178233</v>
      </c>
    </row>
    <row r="6711" spans="1:10" x14ac:dyDescent="0.25">
      <c r="A6711" s="7" t="s">
        <v>39059</v>
      </c>
      <c r="B6711" s="8">
        <v>393.75</v>
      </c>
      <c r="C6711" s="8">
        <v>20.478950000000001</v>
      </c>
      <c r="D6711" s="8">
        <v>82</v>
      </c>
      <c r="E6711" s="8">
        <v>0</v>
      </c>
      <c r="F6711" s="8">
        <v>0</v>
      </c>
      <c r="G6711" s="8">
        <v>19</v>
      </c>
      <c r="H6711" s="8" t="s">
        <v>39060</v>
      </c>
      <c r="I6711" s="8">
        <v>526.6875</v>
      </c>
      <c r="J6711" s="3">
        <f t="shared" si="104"/>
        <v>43748.956725462958</v>
      </c>
    </row>
    <row r="6712" spans="1:10" x14ac:dyDescent="0.25">
      <c r="A6712" s="5" t="s">
        <v>39061</v>
      </c>
      <c r="B6712" s="6">
        <v>393.75</v>
      </c>
      <c r="C6712" s="6">
        <v>20.478950000000001</v>
      </c>
      <c r="D6712" s="6">
        <v>83</v>
      </c>
      <c r="E6712" s="6">
        <v>0</v>
      </c>
      <c r="F6712" s="6">
        <v>0</v>
      </c>
      <c r="G6712" s="6">
        <v>17</v>
      </c>
      <c r="H6712" s="6" t="s">
        <v>39062</v>
      </c>
      <c r="I6712" s="6">
        <v>526.6875</v>
      </c>
      <c r="J6712" s="2">
        <f t="shared" si="104"/>
        <v>43748.956808796291</v>
      </c>
    </row>
    <row r="6713" spans="1:10" x14ac:dyDescent="0.25">
      <c r="A6713" s="7" t="s">
        <v>39063</v>
      </c>
      <c r="B6713" s="8">
        <v>393.75</v>
      </c>
      <c r="C6713" s="8">
        <v>20.478950000000001</v>
      </c>
      <c r="D6713" s="8">
        <v>83</v>
      </c>
      <c r="E6713" s="8">
        <v>0</v>
      </c>
      <c r="F6713" s="8">
        <v>0</v>
      </c>
      <c r="G6713" s="8">
        <v>13</v>
      </c>
      <c r="H6713" s="8" t="s">
        <v>39064</v>
      </c>
      <c r="I6713" s="8">
        <v>526.6875</v>
      </c>
      <c r="J6713" s="3">
        <f t="shared" si="104"/>
        <v>43748.956880150457</v>
      </c>
    </row>
    <row r="6714" spans="1:10" x14ac:dyDescent="0.25">
      <c r="A6714" s="5" t="s">
        <v>39065</v>
      </c>
      <c r="B6714" s="6">
        <v>393.75</v>
      </c>
      <c r="C6714" s="6">
        <v>20.478950000000001</v>
      </c>
      <c r="D6714" s="6">
        <v>83</v>
      </c>
      <c r="E6714" s="6">
        <v>0</v>
      </c>
      <c r="F6714" s="6">
        <v>0</v>
      </c>
      <c r="G6714" s="6">
        <v>20</v>
      </c>
      <c r="H6714" s="6" t="s">
        <v>39066</v>
      </c>
      <c r="I6714" s="6">
        <v>526.6875</v>
      </c>
      <c r="J6714" s="2">
        <f t="shared" si="104"/>
        <v>43748.956952303233</v>
      </c>
    </row>
    <row r="6715" spans="1:10" x14ac:dyDescent="0.25">
      <c r="A6715" s="7" t="s">
        <v>39067</v>
      </c>
      <c r="B6715" s="8">
        <v>393.75</v>
      </c>
      <c r="C6715" s="8">
        <v>20.478950000000001</v>
      </c>
      <c r="D6715" s="8">
        <v>85</v>
      </c>
      <c r="E6715" s="8">
        <v>0</v>
      </c>
      <c r="F6715" s="8">
        <v>0</v>
      </c>
      <c r="G6715" s="8">
        <v>13</v>
      </c>
      <c r="H6715" s="8" t="s">
        <v>39068</v>
      </c>
      <c r="I6715" s="8">
        <v>526.6875</v>
      </c>
      <c r="J6715" s="3">
        <f t="shared" si="104"/>
        <v>43748.957023425923</v>
      </c>
    </row>
    <row r="6716" spans="1:10" x14ac:dyDescent="0.25">
      <c r="A6716" s="5" t="s">
        <v>39069</v>
      </c>
      <c r="B6716" s="6">
        <v>393.75</v>
      </c>
      <c r="C6716" s="6">
        <v>20.478950000000001</v>
      </c>
      <c r="D6716" s="6">
        <v>86</v>
      </c>
      <c r="E6716" s="6">
        <v>0</v>
      </c>
      <c r="F6716" s="6">
        <v>0</v>
      </c>
      <c r="G6716" s="6">
        <v>16</v>
      </c>
      <c r="H6716" s="6" t="s">
        <v>39070</v>
      </c>
      <c r="I6716" s="6">
        <v>526.6875</v>
      </c>
      <c r="J6716" s="2">
        <f t="shared" si="104"/>
        <v>43748.957094872683</v>
      </c>
    </row>
    <row r="6717" spans="1:10" x14ac:dyDescent="0.25">
      <c r="A6717" s="7" t="s">
        <v>39071</v>
      </c>
      <c r="B6717" s="8">
        <v>393.75</v>
      </c>
      <c r="C6717" s="8">
        <v>20.478950000000001</v>
      </c>
      <c r="D6717" s="8">
        <v>86</v>
      </c>
      <c r="E6717" s="8">
        <v>0</v>
      </c>
      <c r="F6717" s="8">
        <v>0</v>
      </c>
      <c r="G6717" s="8">
        <v>21</v>
      </c>
      <c r="H6717" s="8" t="s">
        <v>39072</v>
      </c>
      <c r="I6717" s="8">
        <v>526.6875</v>
      </c>
      <c r="J6717" s="3">
        <f t="shared" si="104"/>
        <v>43748.957166967586</v>
      </c>
    </row>
    <row r="6718" spans="1:10" x14ac:dyDescent="0.25">
      <c r="A6718" s="5" t="s">
        <v>39073</v>
      </c>
      <c r="B6718" s="6">
        <v>393.75</v>
      </c>
      <c r="C6718" s="6">
        <v>20.478950000000001</v>
      </c>
      <c r="D6718" s="6">
        <v>86</v>
      </c>
      <c r="E6718" s="6">
        <v>0</v>
      </c>
      <c r="F6718" s="6">
        <v>0</v>
      </c>
      <c r="G6718" s="6">
        <v>20</v>
      </c>
      <c r="H6718" s="6" t="s">
        <v>39074</v>
      </c>
      <c r="I6718" s="6">
        <v>526.6875</v>
      </c>
      <c r="J6718" s="2">
        <f t="shared" si="104"/>
        <v>43748.957251539345</v>
      </c>
    </row>
    <row r="6719" spans="1:10" x14ac:dyDescent="0.25">
      <c r="A6719" s="7" t="s">
        <v>39075</v>
      </c>
      <c r="B6719" s="8">
        <v>393.75</v>
      </c>
      <c r="C6719" s="8">
        <v>20.478950000000001</v>
      </c>
      <c r="D6719" s="8">
        <v>87</v>
      </c>
      <c r="E6719" s="8">
        <v>0</v>
      </c>
      <c r="F6719" s="8">
        <v>0</v>
      </c>
      <c r="G6719" s="8">
        <v>11</v>
      </c>
      <c r="H6719" s="8" t="s">
        <v>39076</v>
      </c>
      <c r="I6719" s="8">
        <v>526.6875</v>
      </c>
      <c r="J6719" s="3">
        <f t="shared" si="104"/>
        <v>43748.957333773149</v>
      </c>
    </row>
    <row r="6720" spans="1:10" x14ac:dyDescent="0.25">
      <c r="A6720" s="5" t="s">
        <v>39077</v>
      </c>
      <c r="B6720" s="6">
        <v>434.375</v>
      </c>
      <c r="C6720" s="6">
        <v>20.478950000000001</v>
      </c>
      <c r="D6720" s="6">
        <v>87</v>
      </c>
      <c r="E6720" s="6">
        <v>0</v>
      </c>
      <c r="F6720" s="6">
        <v>0</v>
      </c>
      <c r="G6720" s="6">
        <v>19</v>
      </c>
      <c r="H6720" s="6" t="s">
        <v>39078</v>
      </c>
      <c r="I6720" s="6">
        <v>539.8125</v>
      </c>
      <c r="J6720" s="2">
        <f t="shared" si="104"/>
        <v>43748.957405127316</v>
      </c>
    </row>
    <row r="6721" spans="1:10" x14ac:dyDescent="0.25">
      <c r="A6721" s="7" t="s">
        <v>39079</v>
      </c>
      <c r="B6721" s="8">
        <v>393.75</v>
      </c>
      <c r="C6721" s="8">
        <v>20.478950000000001</v>
      </c>
      <c r="D6721" s="8">
        <v>87</v>
      </c>
      <c r="E6721" s="8">
        <v>0</v>
      </c>
      <c r="F6721" s="8">
        <v>0</v>
      </c>
      <c r="G6721" s="8">
        <v>28</v>
      </c>
      <c r="H6721" s="8" t="s">
        <v>39080</v>
      </c>
      <c r="I6721" s="8">
        <v>526.6875</v>
      </c>
      <c r="J6721" s="3">
        <f t="shared" si="104"/>
        <v>43748.957476354168</v>
      </c>
    </row>
    <row r="6722" spans="1:10" x14ac:dyDescent="0.25">
      <c r="A6722" s="5" t="s">
        <v>39081</v>
      </c>
      <c r="B6722" s="6">
        <v>393.75</v>
      </c>
      <c r="C6722" s="6">
        <v>20.478950000000001</v>
      </c>
      <c r="D6722" s="6">
        <v>86</v>
      </c>
      <c r="E6722" s="6">
        <v>0</v>
      </c>
      <c r="F6722" s="6">
        <v>0</v>
      </c>
      <c r="G6722" s="6">
        <v>15</v>
      </c>
      <c r="H6722" s="6" t="s">
        <v>39082</v>
      </c>
      <c r="I6722" s="6">
        <v>526.6875</v>
      </c>
      <c r="J6722" s="2">
        <f t="shared" ref="J6722:J6785" si="105">(H6722/86400000)+25569+(7/24)</f>
        <v>43748.957548541664</v>
      </c>
    </row>
    <row r="6723" spans="1:10" x14ac:dyDescent="0.25">
      <c r="A6723" s="7" t="s">
        <v>39083</v>
      </c>
      <c r="B6723" s="8">
        <v>393.75</v>
      </c>
      <c r="C6723" s="8">
        <v>20.478950000000001</v>
      </c>
      <c r="D6723" s="8">
        <v>85</v>
      </c>
      <c r="E6723" s="8">
        <v>0</v>
      </c>
      <c r="F6723" s="8">
        <v>0</v>
      </c>
      <c r="G6723" s="8">
        <v>29</v>
      </c>
      <c r="H6723" s="8" t="s">
        <v>39084</v>
      </c>
      <c r="I6723" s="8">
        <v>526.6875</v>
      </c>
      <c r="J6723" s="3">
        <f t="shared" si="105"/>
        <v>43748.957619826389</v>
      </c>
    </row>
    <row r="6724" spans="1:10" x14ac:dyDescent="0.25">
      <c r="A6724" s="5" t="s">
        <v>39085</v>
      </c>
      <c r="B6724" s="6">
        <v>393.75</v>
      </c>
      <c r="C6724" s="6">
        <v>20.478950000000001</v>
      </c>
      <c r="D6724" s="6">
        <v>87</v>
      </c>
      <c r="E6724" s="6">
        <v>0</v>
      </c>
      <c r="F6724" s="6">
        <v>0</v>
      </c>
      <c r="G6724" s="6">
        <v>20</v>
      </c>
      <c r="H6724" s="6" t="s">
        <v>39086</v>
      </c>
      <c r="I6724" s="6">
        <v>526.6875</v>
      </c>
      <c r="J6724" s="2">
        <f t="shared" si="105"/>
        <v>43748.957691180556</v>
      </c>
    </row>
    <row r="6725" spans="1:10" x14ac:dyDescent="0.25">
      <c r="A6725" s="7" t="s">
        <v>39087</v>
      </c>
      <c r="B6725" s="8">
        <v>393.75</v>
      </c>
      <c r="C6725" s="8">
        <v>20.478950000000001</v>
      </c>
      <c r="D6725" s="8">
        <v>87</v>
      </c>
      <c r="E6725" s="8">
        <v>0</v>
      </c>
      <c r="F6725" s="8">
        <v>0</v>
      </c>
      <c r="G6725" s="8">
        <v>21</v>
      </c>
      <c r="H6725" s="8" t="s">
        <v>39088</v>
      </c>
      <c r="I6725" s="8">
        <v>526.6875</v>
      </c>
      <c r="J6725" s="3">
        <f t="shared" si="105"/>
        <v>43748.957762465274</v>
      </c>
    </row>
    <row r="6726" spans="1:10" x14ac:dyDescent="0.25">
      <c r="A6726" s="5" t="s">
        <v>39089</v>
      </c>
      <c r="B6726" s="6">
        <v>393.75</v>
      </c>
      <c r="C6726" s="6">
        <v>20.478950000000001</v>
      </c>
      <c r="D6726" s="6">
        <v>84</v>
      </c>
      <c r="E6726" s="6">
        <v>0</v>
      </c>
      <c r="F6726" s="6">
        <v>0</v>
      </c>
      <c r="G6726" s="6">
        <v>21</v>
      </c>
      <c r="H6726" s="6" t="s">
        <v>39090</v>
      </c>
      <c r="I6726" s="6">
        <v>526.6875</v>
      </c>
      <c r="J6726" s="2">
        <f t="shared" si="105"/>
        <v>43748.957846030091</v>
      </c>
    </row>
    <row r="6727" spans="1:10" x14ac:dyDescent="0.25">
      <c r="A6727" s="7" t="s">
        <v>39091</v>
      </c>
      <c r="B6727" s="8">
        <v>393.75</v>
      </c>
      <c r="C6727" s="8">
        <v>20.478950000000001</v>
      </c>
      <c r="D6727" s="8">
        <v>84</v>
      </c>
      <c r="E6727" s="8">
        <v>0</v>
      </c>
      <c r="F6727" s="8">
        <v>0</v>
      </c>
      <c r="G6727" s="8">
        <v>18</v>
      </c>
      <c r="H6727" s="8" t="s">
        <v>39092</v>
      </c>
      <c r="I6727" s="8">
        <v>526.6875</v>
      </c>
      <c r="J6727" s="3">
        <f t="shared" si="105"/>
        <v>43748.957918009255</v>
      </c>
    </row>
    <row r="6728" spans="1:10" x14ac:dyDescent="0.25">
      <c r="A6728" s="5" t="s">
        <v>39093</v>
      </c>
      <c r="B6728" s="6">
        <v>415.625</v>
      </c>
      <c r="C6728" s="6">
        <v>20.478950000000001</v>
      </c>
      <c r="D6728" s="6">
        <v>85</v>
      </c>
      <c r="E6728" s="6">
        <v>0</v>
      </c>
      <c r="F6728" s="6">
        <v>0</v>
      </c>
      <c r="G6728" s="6">
        <v>20</v>
      </c>
      <c r="H6728" s="6" t="s">
        <v>39094</v>
      </c>
      <c r="I6728" s="6">
        <v>533.0625</v>
      </c>
      <c r="J6728" s="2">
        <f t="shared" si="105"/>
        <v>43748.957989317125</v>
      </c>
    </row>
    <row r="6729" spans="1:10" x14ac:dyDescent="0.25">
      <c r="A6729" s="7" t="s">
        <v>39095</v>
      </c>
      <c r="B6729" s="8">
        <v>393.75</v>
      </c>
      <c r="C6729" s="8">
        <v>20.478950000000001</v>
      </c>
      <c r="D6729" s="8">
        <v>85</v>
      </c>
      <c r="E6729" s="8">
        <v>0</v>
      </c>
      <c r="F6729" s="8">
        <v>0</v>
      </c>
      <c r="G6729" s="8">
        <v>23</v>
      </c>
      <c r="H6729" s="8" t="s">
        <v>39096</v>
      </c>
      <c r="I6729" s="8">
        <v>526.6875</v>
      </c>
      <c r="J6729" s="3">
        <f t="shared" si="105"/>
        <v>43748.958060775461</v>
      </c>
    </row>
    <row r="6730" spans="1:10" x14ac:dyDescent="0.25">
      <c r="A6730" s="5" t="s">
        <v>39097</v>
      </c>
      <c r="B6730" s="6">
        <v>393.75</v>
      </c>
      <c r="C6730" s="6">
        <v>20.478950000000001</v>
      </c>
      <c r="D6730" s="6">
        <v>86</v>
      </c>
      <c r="E6730" s="6">
        <v>0</v>
      </c>
      <c r="F6730" s="6">
        <v>0</v>
      </c>
      <c r="G6730" s="6">
        <v>18</v>
      </c>
      <c r="H6730" s="6" t="s">
        <v>39098</v>
      </c>
      <c r="I6730" s="6">
        <v>526.5</v>
      </c>
      <c r="J6730" s="2">
        <f t="shared" si="105"/>
        <v>43748.95813284722</v>
      </c>
    </row>
    <row r="6731" spans="1:10" x14ac:dyDescent="0.25">
      <c r="A6731" s="7" t="s">
        <v>39099</v>
      </c>
      <c r="B6731" s="8">
        <v>393.75</v>
      </c>
      <c r="C6731" s="8">
        <v>20.478950000000001</v>
      </c>
      <c r="D6731" s="8">
        <v>88</v>
      </c>
      <c r="E6731" s="8">
        <v>0</v>
      </c>
      <c r="F6731" s="8">
        <v>0</v>
      </c>
      <c r="G6731" s="8">
        <v>11</v>
      </c>
      <c r="H6731" s="8" t="s">
        <v>39100</v>
      </c>
      <c r="I6731" s="8">
        <v>526.6875</v>
      </c>
      <c r="J6731" s="3">
        <f t="shared" si="105"/>
        <v>43748.958204131945</v>
      </c>
    </row>
    <row r="6732" spans="1:10" x14ac:dyDescent="0.25">
      <c r="A6732" s="5" t="s">
        <v>39101</v>
      </c>
      <c r="B6732" s="6">
        <v>393.75</v>
      </c>
      <c r="C6732" s="6">
        <v>20.478950000000001</v>
      </c>
      <c r="D6732" s="6">
        <v>88</v>
      </c>
      <c r="E6732" s="6">
        <v>0</v>
      </c>
      <c r="F6732" s="6">
        <v>0</v>
      </c>
      <c r="G6732" s="6">
        <v>7</v>
      </c>
      <c r="H6732" s="6" t="s">
        <v>39102</v>
      </c>
      <c r="I6732" s="6">
        <v>526.6875</v>
      </c>
      <c r="J6732" s="2">
        <f t="shared" si="105"/>
        <v>43748.958274895827</v>
      </c>
    </row>
    <row r="6733" spans="1:10" x14ac:dyDescent="0.25">
      <c r="A6733" s="7" t="s">
        <v>39103</v>
      </c>
      <c r="B6733" s="8">
        <v>393.75</v>
      </c>
      <c r="C6733" s="8">
        <v>20.478950000000001</v>
      </c>
      <c r="D6733" s="8">
        <v>84</v>
      </c>
      <c r="E6733" s="8">
        <v>0</v>
      </c>
      <c r="F6733" s="8">
        <v>0</v>
      </c>
      <c r="G6733" s="8">
        <v>23</v>
      </c>
      <c r="H6733" s="8" t="s">
        <v>39104</v>
      </c>
      <c r="I6733" s="8">
        <v>526.6875</v>
      </c>
      <c r="J6733" s="3">
        <f t="shared" si="105"/>
        <v>43748.958358819444</v>
      </c>
    </row>
    <row r="6734" spans="1:10" x14ac:dyDescent="0.25">
      <c r="A6734" s="5" t="s">
        <v>39105</v>
      </c>
      <c r="B6734" s="6">
        <v>393.75</v>
      </c>
      <c r="C6734" s="6">
        <v>20.478950000000001</v>
      </c>
      <c r="D6734" s="6">
        <v>83</v>
      </c>
      <c r="E6734" s="6">
        <v>0</v>
      </c>
      <c r="F6734" s="6">
        <v>0</v>
      </c>
      <c r="G6734" s="6">
        <v>18</v>
      </c>
      <c r="H6734" s="6" t="s">
        <v>39106</v>
      </c>
      <c r="I6734" s="6">
        <v>526.6875</v>
      </c>
      <c r="J6734" s="2">
        <f t="shared" si="105"/>
        <v>43748.958430416664</v>
      </c>
    </row>
    <row r="6735" spans="1:10" x14ac:dyDescent="0.25">
      <c r="A6735" s="7" t="s">
        <v>39107</v>
      </c>
      <c r="B6735" s="8">
        <v>393.75</v>
      </c>
      <c r="C6735" s="8">
        <v>20.478950000000001</v>
      </c>
      <c r="D6735" s="8">
        <v>83</v>
      </c>
      <c r="E6735" s="8">
        <v>0</v>
      </c>
      <c r="F6735" s="8">
        <v>0</v>
      </c>
      <c r="G6735" s="8">
        <v>20</v>
      </c>
      <c r="H6735" s="8" t="s">
        <v>39108</v>
      </c>
      <c r="I6735" s="8">
        <v>526.6875</v>
      </c>
      <c r="J6735" s="3">
        <f t="shared" si="105"/>
        <v>43748.958502291665</v>
      </c>
    </row>
    <row r="6736" spans="1:10" x14ac:dyDescent="0.25">
      <c r="A6736" s="5" t="s">
        <v>39109</v>
      </c>
      <c r="B6736" s="6">
        <v>412.5</v>
      </c>
      <c r="C6736" s="6">
        <v>20.478950000000001</v>
      </c>
      <c r="D6736" s="6">
        <v>84</v>
      </c>
      <c r="E6736" s="6">
        <v>0</v>
      </c>
      <c r="F6736" s="6">
        <v>0</v>
      </c>
      <c r="G6736" s="6">
        <v>22</v>
      </c>
      <c r="H6736" s="6" t="s">
        <v>39110</v>
      </c>
      <c r="I6736" s="6">
        <v>532.3125</v>
      </c>
      <c r="J6736" s="2">
        <f t="shared" si="105"/>
        <v>43748.95857357639</v>
      </c>
    </row>
    <row r="6737" spans="1:10" x14ac:dyDescent="0.25">
      <c r="A6737" s="7" t="s">
        <v>39111</v>
      </c>
      <c r="B6737" s="8">
        <v>393.75</v>
      </c>
      <c r="C6737" s="8">
        <v>20.478950000000001</v>
      </c>
      <c r="D6737" s="8">
        <v>86</v>
      </c>
      <c r="E6737" s="8">
        <v>0</v>
      </c>
      <c r="F6737" s="8">
        <v>0</v>
      </c>
      <c r="G6737" s="8">
        <v>22</v>
      </c>
      <c r="H6737" s="8" t="s">
        <v>39112</v>
      </c>
      <c r="I6737" s="8">
        <v>526.5</v>
      </c>
      <c r="J6737" s="3">
        <f t="shared" si="105"/>
        <v>43748.958645729166</v>
      </c>
    </row>
    <row r="6738" spans="1:10" x14ac:dyDescent="0.25">
      <c r="A6738" s="5" t="s">
        <v>39113</v>
      </c>
      <c r="B6738" s="6">
        <v>393.75</v>
      </c>
      <c r="C6738" s="6">
        <v>20.478950000000001</v>
      </c>
      <c r="D6738" s="6">
        <v>90</v>
      </c>
      <c r="E6738" s="6">
        <v>0</v>
      </c>
      <c r="F6738" s="6">
        <v>0</v>
      </c>
      <c r="G6738" s="6">
        <v>25</v>
      </c>
      <c r="H6738" s="6" t="s">
        <v>39114</v>
      </c>
      <c r="I6738" s="6">
        <v>526.6875</v>
      </c>
      <c r="J6738" s="2">
        <f t="shared" si="105"/>
        <v>43748.958717094902</v>
      </c>
    </row>
    <row r="6739" spans="1:10" x14ac:dyDescent="0.25">
      <c r="A6739" s="7" t="s">
        <v>39115</v>
      </c>
      <c r="B6739" s="8">
        <v>393.75</v>
      </c>
      <c r="C6739" s="8">
        <v>20.478950000000001</v>
      </c>
      <c r="D6739" s="8">
        <v>91</v>
      </c>
      <c r="E6739" s="8">
        <v>0</v>
      </c>
      <c r="F6739" s="8">
        <v>0</v>
      </c>
      <c r="G6739" s="8">
        <v>16</v>
      </c>
      <c r="H6739" s="8" t="s">
        <v>39116</v>
      </c>
      <c r="I6739" s="8">
        <v>526.6875</v>
      </c>
      <c r="J6739" s="3">
        <f t="shared" si="105"/>
        <v>43748.958788391203</v>
      </c>
    </row>
    <row r="6740" spans="1:10" x14ac:dyDescent="0.25">
      <c r="A6740" s="5" t="s">
        <v>39117</v>
      </c>
      <c r="B6740" s="6">
        <v>428.125</v>
      </c>
      <c r="C6740" s="6">
        <v>20.478950000000001</v>
      </c>
      <c r="D6740" s="6">
        <v>89</v>
      </c>
      <c r="E6740" s="6">
        <v>0</v>
      </c>
      <c r="F6740" s="6">
        <v>0</v>
      </c>
      <c r="G6740" s="6">
        <v>25</v>
      </c>
      <c r="H6740" s="6" t="s">
        <v>39118</v>
      </c>
      <c r="I6740" s="6">
        <v>537.9375</v>
      </c>
      <c r="J6740" s="2">
        <f t="shared" si="105"/>
        <v>43748.958859768514</v>
      </c>
    </row>
    <row r="6741" spans="1:10" x14ac:dyDescent="0.25">
      <c r="A6741" s="7" t="s">
        <v>39119</v>
      </c>
      <c r="B6741" s="8">
        <v>393.75</v>
      </c>
      <c r="C6741" s="8">
        <v>20.478950000000001</v>
      </c>
      <c r="D6741" s="8">
        <v>89</v>
      </c>
      <c r="E6741" s="8">
        <v>0</v>
      </c>
      <c r="F6741" s="8">
        <v>0</v>
      </c>
      <c r="G6741" s="8">
        <v>31</v>
      </c>
      <c r="H6741" s="8" t="s">
        <v>39120</v>
      </c>
      <c r="I6741" s="8">
        <v>526.6875</v>
      </c>
      <c r="J6741" s="3">
        <f t="shared" si="105"/>
        <v>43748.958931851848</v>
      </c>
    </row>
    <row r="6742" spans="1:10" x14ac:dyDescent="0.25">
      <c r="A6742" s="5" t="s">
        <v>39121</v>
      </c>
      <c r="B6742" s="6">
        <v>393.75</v>
      </c>
      <c r="C6742" s="6">
        <v>20.478950000000001</v>
      </c>
      <c r="D6742" s="6">
        <v>87</v>
      </c>
      <c r="E6742" s="6">
        <v>0</v>
      </c>
      <c r="F6742" s="6">
        <v>0</v>
      </c>
      <c r="G6742" s="6">
        <v>25</v>
      </c>
      <c r="H6742" s="6" t="s">
        <v>39122</v>
      </c>
      <c r="I6742" s="6">
        <v>526.5</v>
      </c>
      <c r="J6742" s="2">
        <f t="shared" si="105"/>
        <v>43748.959003148142</v>
      </c>
    </row>
    <row r="6743" spans="1:10" x14ac:dyDescent="0.25">
      <c r="A6743" s="7" t="s">
        <v>39123</v>
      </c>
      <c r="B6743" s="8">
        <v>393.75</v>
      </c>
      <c r="C6743" s="8">
        <v>20.478950000000001</v>
      </c>
      <c r="D6743" s="8">
        <v>88</v>
      </c>
      <c r="E6743" s="8">
        <v>0</v>
      </c>
      <c r="F6743" s="8">
        <v>0</v>
      </c>
      <c r="G6743" s="8">
        <v>24</v>
      </c>
      <c r="H6743" s="8" t="s">
        <v>39124</v>
      </c>
      <c r="I6743" s="8">
        <v>526.6875</v>
      </c>
      <c r="J6743" s="3">
        <f t="shared" si="105"/>
        <v>43748.959074502309</v>
      </c>
    </row>
    <row r="6744" spans="1:10" x14ac:dyDescent="0.25">
      <c r="A6744" s="5" t="s">
        <v>39125</v>
      </c>
      <c r="B6744" s="6">
        <v>393.75</v>
      </c>
      <c r="C6744" s="6">
        <v>20.478950000000001</v>
      </c>
      <c r="D6744" s="6">
        <v>87</v>
      </c>
      <c r="E6744" s="6">
        <v>0</v>
      </c>
      <c r="F6744" s="6">
        <v>0</v>
      </c>
      <c r="G6744" s="6">
        <v>24</v>
      </c>
      <c r="H6744" s="6" t="s">
        <v>39126</v>
      </c>
      <c r="I6744" s="6">
        <v>526.6875</v>
      </c>
      <c r="J6744" s="2">
        <f t="shared" si="105"/>
        <v>43748.959146539353</v>
      </c>
    </row>
    <row r="6745" spans="1:10" x14ac:dyDescent="0.25">
      <c r="A6745" s="7" t="s">
        <v>39127</v>
      </c>
      <c r="B6745" s="8">
        <v>393.75</v>
      </c>
      <c r="C6745" s="8">
        <v>20.478950000000001</v>
      </c>
      <c r="D6745" s="8">
        <v>86</v>
      </c>
      <c r="E6745" s="8">
        <v>0</v>
      </c>
      <c r="F6745" s="8">
        <v>0</v>
      </c>
      <c r="G6745" s="8">
        <v>19</v>
      </c>
      <c r="H6745" s="8" t="s">
        <v>39128</v>
      </c>
      <c r="I6745" s="8">
        <v>526.6875</v>
      </c>
      <c r="J6745" s="3">
        <f t="shared" si="105"/>
        <v>43748.95923004629</v>
      </c>
    </row>
    <row r="6746" spans="1:10" x14ac:dyDescent="0.25">
      <c r="A6746" s="5" t="s">
        <v>39129</v>
      </c>
      <c r="B6746" s="6">
        <v>393.75</v>
      </c>
      <c r="C6746" s="6">
        <v>20.478950000000001</v>
      </c>
      <c r="D6746" s="6">
        <v>86</v>
      </c>
      <c r="E6746" s="6">
        <v>0</v>
      </c>
      <c r="F6746" s="6">
        <v>0</v>
      </c>
      <c r="G6746" s="6">
        <v>24</v>
      </c>
      <c r="H6746" s="6" t="s">
        <v>39130</v>
      </c>
      <c r="I6746" s="6">
        <v>526.6875</v>
      </c>
      <c r="J6746" s="2">
        <f t="shared" si="105"/>
        <v>43748.959313391206</v>
      </c>
    </row>
    <row r="6747" spans="1:10" x14ac:dyDescent="0.25">
      <c r="A6747" s="7" t="s">
        <v>39131</v>
      </c>
      <c r="B6747" s="8">
        <v>415.625</v>
      </c>
      <c r="C6747" s="8">
        <v>20.426300000000001</v>
      </c>
      <c r="D6747" s="8">
        <v>85</v>
      </c>
      <c r="E6747" s="8">
        <v>0</v>
      </c>
      <c r="F6747" s="8">
        <v>0</v>
      </c>
      <c r="G6747" s="8">
        <v>18</v>
      </c>
      <c r="H6747" s="8" t="s">
        <v>39132</v>
      </c>
      <c r="I6747" s="8">
        <v>533.0625</v>
      </c>
      <c r="J6747" s="3">
        <f t="shared" si="105"/>
        <v>43748.959384699068</v>
      </c>
    </row>
    <row r="6748" spans="1:10" x14ac:dyDescent="0.25">
      <c r="A6748" s="5" t="s">
        <v>39133</v>
      </c>
      <c r="B6748" s="6">
        <v>393.75</v>
      </c>
      <c r="C6748" s="6">
        <v>20.426300000000001</v>
      </c>
      <c r="D6748" s="6">
        <v>86</v>
      </c>
      <c r="E6748" s="6">
        <v>0</v>
      </c>
      <c r="F6748" s="6">
        <v>0</v>
      </c>
      <c r="G6748" s="6">
        <v>21</v>
      </c>
      <c r="H6748" s="6" t="s">
        <v>39134</v>
      </c>
      <c r="I6748" s="6">
        <v>526.6875</v>
      </c>
      <c r="J6748" s="2">
        <f t="shared" si="105"/>
        <v>43748.959455983793</v>
      </c>
    </row>
    <row r="6749" spans="1:10" x14ac:dyDescent="0.25">
      <c r="A6749" s="7" t="s">
        <v>39135</v>
      </c>
      <c r="B6749" s="8">
        <v>393.75</v>
      </c>
      <c r="C6749" s="8">
        <v>20.478950000000001</v>
      </c>
      <c r="D6749" s="8">
        <v>87</v>
      </c>
      <c r="E6749" s="8">
        <v>0</v>
      </c>
      <c r="F6749" s="8">
        <v>0</v>
      </c>
      <c r="G6749" s="8">
        <v>21</v>
      </c>
      <c r="H6749" s="8" t="s">
        <v>39136</v>
      </c>
      <c r="I6749" s="8">
        <v>526.5</v>
      </c>
      <c r="J6749" s="3">
        <f t="shared" si="105"/>
        <v>43748.959550937499</v>
      </c>
    </row>
    <row r="6750" spans="1:10" x14ac:dyDescent="0.25">
      <c r="A6750" s="5" t="s">
        <v>39137</v>
      </c>
      <c r="B6750" s="6">
        <v>393.75</v>
      </c>
      <c r="C6750" s="6">
        <v>20.478950000000001</v>
      </c>
      <c r="D6750" s="6">
        <v>86</v>
      </c>
      <c r="E6750" s="6">
        <v>0</v>
      </c>
      <c r="F6750" s="6">
        <v>0</v>
      </c>
      <c r="G6750" s="6">
        <v>18</v>
      </c>
      <c r="H6750" s="6" t="s">
        <v>39138</v>
      </c>
      <c r="I6750" s="6">
        <v>526.6875</v>
      </c>
      <c r="J6750" s="2">
        <f t="shared" si="105"/>
        <v>43748.959646840274</v>
      </c>
    </row>
    <row r="6751" spans="1:10" x14ac:dyDescent="0.25">
      <c r="A6751" s="7" t="s">
        <v>39139</v>
      </c>
      <c r="B6751" s="8">
        <v>393.75</v>
      </c>
      <c r="C6751" s="8">
        <v>20.478950000000001</v>
      </c>
      <c r="D6751" s="8">
        <v>86</v>
      </c>
      <c r="E6751" s="8">
        <v>0</v>
      </c>
      <c r="F6751" s="8">
        <v>0</v>
      </c>
      <c r="G6751" s="8">
        <v>22</v>
      </c>
      <c r="H6751" s="8" t="s">
        <v>39140</v>
      </c>
      <c r="I6751" s="8">
        <v>526.6875</v>
      </c>
      <c r="J6751" s="3">
        <f t="shared" si="105"/>
        <v>43748.959718483798</v>
      </c>
    </row>
    <row r="6752" spans="1:10" x14ac:dyDescent="0.25">
      <c r="A6752" s="5" t="s">
        <v>39141</v>
      </c>
      <c r="B6752" s="6">
        <v>393.75</v>
      </c>
      <c r="C6752" s="6">
        <v>20.478950000000001</v>
      </c>
      <c r="D6752" s="6">
        <v>87</v>
      </c>
      <c r="E6752" s="6">
        <v>0</v>
      </c>
      <c r="F6752" s="6">
        <v>0</v>
      </c>
      <c r="G6752" s="6">
        <v>26</v>
      </c>
      <c r="H6752" s="6" t="s">
        <v>39142</v>
      </c>
      <c r="I6752" s="6">
        <v>526.6875</v>
      </c>
      <c r="J6752" s="2">
        <f t="shared" si="105"/>
        <v>43748.959802268517</v>
      </c>
    </row>
    <row r="6753" spans="1:10" x14ac:dyDescent="0.25">
      <c r="A6753" s="7" t="s">
        <v>39143</v>
      </c>
      <c r="B6753" s="8">
        <v>393.75</v>
      </c>
      <c r="C6753" s="8">
        <v>20.478950000000001</v>
      </c>
      <c r="D6753" s="8">
        <v>88</v>
      </c>
      <c r="E6753" s="8">
        <v>0</v>
      </c>
      <c r="F6753" s="8">
        <v>0</v>
      </c>
      <c r="G6753" s="8">
        <v>23</v>
      </c>
      <c r="H6753" s="8" t="s">
        <v>39144</v>
      </c>
      <c r="I6753" s="8">
        <v>526.6875</v>
      </c>
      <c r="J6753" s="3">
        <f t="shared" si="105"/>
        <v>43748.959873449072</v>
      </c>
    </row>
    <row r="6754" spans="1:10" x14ac:dyDescent="0.25">
      <c r="A6754" s="5" t="s">
        <v>39145</v>
      </c>
      <c r="B6754" s="6">
        <v>393.75</v>
      </c>
      <c r="C6754" s="6">
        <v>20.478950000000001</v>
      </c>
      <c r="D6754" s="6">
        <v>84</v>
      </c>
      <c r="E6754" s="6">
        <v>0</v>
      </c>
      <c r="F6754" s="6">
        <v>0</v>
      </c>
      <c r="G6754" s="6">
        <v>20</v>
      </c>
      <c r="H6754" s="6" t="s">
        <v>39146</v>
      </c>
      <c r="I6754" s="6">
        <v>526.6875</v>
      </c>
      <c r="J6754" s="2">
        <f t="shared" si="105"/>
        <v>43748.959944930553</v>
      </c>
    </row>
    <row r="6755" spans="1:10" x14ac:dyDescent="0.25">
      <c r="A6755" s="7" t="s">
        <v>39147</v>
      </c>
      <c r="B6755" s="8">
        <v>393.75</v>
      </c>
      <c r="C6755" s="8">
        <v>20.478950000000001</v>
      </c>
      <c r="D6755" s="8">
        <v>84</v>
      </c>
      <c r="E6755" s="8">
        <v>0</v>
      </c>
      <c r="F6755" s="8">
        <v>0</v>
      </c>
      <c r="G6755" s="8">
        <v>18</v>
      </c>
      <c r="H6755" s="8" t="s">
        <v>39148</v>
      </c>
      <c r="I6755" s="8">
        <v>526.6875</v>
      </c>
      <c r="J6755" s="3">
        <f t="shared" si="105"/>
        <v>43748.960017083329</v>
      </c>
    </row>
    <row r="6756" spans="1:10" x14ac:dyDescent="0.25">
      <c r="A6756" s="5" t="s">
        <v>39149</v>
      </c>
      <c r="B6756" s="6">
        <v>393.75</v>
      </c>
      <c r="C6756" s="6">
        <v>20.478950000000001</v>
      </c>
      <c r="D6756" s="6">
        <v>84</v>
      </c>
      <c r="E6756" s="6">
        <v>0</v>
      </c>
      <c r="F6756" s="6">
        <v>0</v>
      </c>
      <c r="G6756" s="6">
        <v>21</v>
      </c>
      <c r="H6756" s="6" t="s">
        <v>39150</v>
      </c>
      <c r="I6756" s="6">
        <v>526.6875</v>
      </c>
      <c r="J6756" s="2">
        <f t="shared" si="105"/>
        <v>43748.960088310181</v>
      </c>
    </row>
    <row r="6757" spans="1:10" x14ac:dyDescent="0.25">
      <c r="A6757" s="7" t="s">
        <v>39151</v>
      </c>
      <c r="B6757" s="8">
        <v>396.875</v>
      </c>
      <c r="C6757" s="8">
        <v>20.478950000000001</v>
      </c>
      <c r="D6757" s="8">
        <v>85</v>
      </c>
      <c r="E6757" s="8">
        <v>0</v>
      </c>
      <c r="F6757" s="8">
        <v>0</v>
      </c>
      <c r="G6757" s="8">
        <v>17</v>
      </c>
      <c r="H6757" s="8" t="s">
        <v>39152</v>
      </c>
      <c r="I6757" s="8">
        <v>527.4375</v>
      </c>
      <c r="J6757" s="3">
        <f t="shared" si="105"/>
        <v>43748.960159560178</v>
      </c>
    </row>
    <row r="6758" spans="1:10" x14ac:dyDescent="0.25">
      <c r="A6758" s="5" t="s">
        <v>39153</v>
      </c>
      <c r="B6758" s="6">
        <v>396.875</v>
      </c>
      <c r="C6758" s="6">
        <v>20.478950000000001</v>
      </c>
      <c r="D6758" s="6">
        <v>84</v>
      </c>
      <c r="E6758" s="6">
        <v>0</v>
      </c>
      <c r="F6758" s="6">
        <v>0</v>
      </c>
      <c r="G6758" s="6">
        <v>26</v>
      </c>
      <c r="H6758" s="6" t="s">
        <v>39154</v>
      </c>
      <c r="I6758" s="6">
        <v>527.4375</v>
      </c>
      <c r="J6758" s="2">
        <f t="shared" si="105"/>
        <v>43748.960231863421</v>
      </c>
    </row>
    <row r="6759" spans="1:10" x14ac:dyDescent="0.25">
      <c r="A6759" s="7" t="s">
        <v>39155</v>
      </c>
      <c r="B6759" s="8">
        <v>396.875</v>
      </c>
      <c r="C6759" s="8">
        <v>20.478950000000001</v>
      </c>
      <c r="D6759" s="8">
        <v>84</v>
      </c>
      <c r="E6759" s="8">
        <v>0</v>
      </c>
      <c r="F6759" s="8">
        <v>0</v>
      </c>
      <c r="G6759" s="8">
        <v>27</v>
      </c>
      <c r="H6759" s="8" t="s">
        <v>39156</v>
      </c>
      <c r="I6759" s="8">
        <v>527.4375</v>
      </c>
      <c r="J6759" s="3">
        <f t="shared" si="105"/>
        <v>43748.960303194443</v>
      </c>
    </row>
    <row r="6760" spans="1:10" x14ac:dyDescent="0.25">
      <c r="A6760" s="5" t="s">
        <v>39157</v>
      </c>
      <c r="B6760" s="6">
        <v>418.75</v>
      </c>
      <c r="C6760" s="6">
        <v>20.478950000000001</v>
      </c>
      <c r="D6760" s="6">
        <v>84</v>
      </c>
      <c r="E6760" s="6">
        <v>0</v>
      </c>
      <c r="F6760" s="6">
        <v>0</v>
      </c>
      <c r="G6760" s="6">
        <v>21</v>
      </c>
      <c r="H6760" s="6" t="s">
        <v>39158</v>
      </c>
      <c r="I6760" s="6">
        <v>534</v>
      </c>
      <c r="J6760" s="2">
        <f t="shared" si="105"/>
        <v>43748.96038640046</v>
      </c>
    </row>
    <row r="6761" spans="1:10" x14ac:dyDescent="0.25">
      <c r="A6761" s="7" t="s">
        <v>39159</v>
      </c>
      <c r="B6761" s="8">
        <v>400</v>
      </c>
      <c r="C6761" s="8">
        <v>20.426300000000001</v>
      </c>
      <c r="D6761" s="8">
        <v>85</v>
      </c>
      <c r="E6761" s="8">
        <v>0</v>
      </c>
      <c r="F6761" s="8">
        <v>0</v>
      </c>
      <c r="G6761" s="8">
        <v>17</v>
      </c>
      <c r="H6761" s="8" t="s">
        <v>39160</v>
      </c>
      <c r="I6761" s="8">
        <v>528.1875</v>
      </c>
      <c r="J6761" s="3">
        <f t="shared" si="105"/>
        <v>43748.960457766203</v>
      </c>
    </row>
    <row r="6762" spans="1:10" x14ac:dyDescent="0.25">
      <c r="A6762" s="5" t="s">
        <v>39161</v>
      </c>
      <c r="B6762" s="6">
        <v>400</v>
      </c>
      <c r="C6762" s="6">
        <v>20.478950000000001</v>
      </c>
      <c r="D6762" s="6">
        <v>85</v>
      </c>
      <c r="E6762" s="6">
        <v>0</v>
      </c>
      <c r="F6762" s="6">
        <v>0</v>
      </c>
      <c r="G6762" s="6">
        <v>22</v>
      </c>
      <c r="H6762" s="6" t="s">
        <v>39162</v>
      </c>
      <c r="I6762" s="6">
        <v>528.1875</v>
      </c>
      <c r="J6762" s="2">
        <f t="shared" si="105"/>
        <v>43748.960529756943</v>
      </c>
    </row>
    <row r="6763" spans="1:10" x14ac:dyDescent="0.25">
      <c r="A6763" s="7" t="s">
        <v>39163</v>
      </c>
      <c r="B6763" s="8">
        <v>400</v>
      </c>
      <c r="C6763" s="8">
        <v>20.478950000000001</v>
      </c>
      <c r="D6763" s="8">
        <v>85</v>
      </c>
      <c r="E6763" s="8">
        <v>0</v>
      </c>
      <c r="F6763" s="8">
        <v>0</v>
      </c>
      <c r="G6763" s="8">
        <v>26</v>
      </c>
      <c r="H6763" s="8" t="s">
        <v>39164</v>
      </c>
      <c r="I6763" s="8">
        <v>528.375</v>
      </c>
      <c r="J6763" s="3">
        <f t="shared" si="105"/>
        <v>43748.960601215273</v>
      </c>
    </row>
    <row r="6764" spans="1:10" x14ac:dyDescent="0.25">
      <c r="A6764" s="5" t="s">
        <v>39165</v>
      </c>
      <c r="B6764" s="6">
        <v>400</v>
      </c>
      <c r="C6764" s="6">
        <v>20.478950000000001</v>
      </c>
      <c r="D6764" s="6">
        <v>86</v>
      </c>
      <c r="E6764" s="6">
        <v>0</v>
      </c>
      <c r="F6764" s="6">
        <v>0</v>
      </c>
      <c r="G6764" s="6">
        <v>25</v>
      </c>
      <c r="H6764" s="6" t="s">
        <v>39166</v>
      </c>
      <c r="I6764" s="6">
        <v>528.1875</v>
      </c>
      <c r="J6764" s="2">
        <f t="shared" si="105"/>
        <v>43748.960672592591</v>
      </c>
    </row>
    <row r="6765" spans="1:10" x14ac:dyDescent="0.25">
      <c r="A6765" s="7" t="s">
        <v>39167</v>
      </c>
      <c r="B6765" s="8">
        <v>396.875</v>
      </c>
      <c r="C6765" s="8">
        <v>20.478950000000001</v>
      </c>
      <c r="D6765" s="8">
        <v>86</v>
      </c>
      <c r="E6765" s="8">
        <v>0</v>
      </c>
      <c r="F6765" s="8">
        <v>0</v>
      </c>
      <c r="G6765" s="8">
        <v>19</v>
      </c>
      <c r="H6765" s="8" t="s">
        <v>39168</v>
      </c>
      <c r="I6765" s="8">
        <v>527.4375</v>
      </c>
      <c r="J6765" s="3">
        <f t="shared" si="105"/>
        <v>43748.960743877316</v>
      </c>
    </row>
    <row r="6766" spans="1:10" x14ac:dyDescent="0.25">
      <c r="A6766" s="5" t="s">
        <v>39169</v>
      </c>
      <c r="B6766" s="6">
        <v>396.875</v>
      </c>
      <c r="C6766" s="6">
        <v>20.478950000000001</v>
      </c>
      <c r="D6766" s="6">
        <v>87</v>
      </c>
      <c r="E6766" s="6">
        <v>0</v>
      </c>
      <c r="F6766" s="6">
        <v>0</v>
      </c>
      <c r="G6766" s="6">
        <v>22</v>
      </c>
      <c r="H6766" s="6" t="s">
        <v>39170</v>
      </c>
      <c r="I6766" s="6">
        <v>527.4375</v>
      </c>
      <c r="J6766" s="2">
        <f t="shared" si="105"/>
        <v>43748.960815393519</v>
      </c>
    </row>
    <row r="6767" spans="1:10" x14ac:dyDescent="0.25">
      <c r="A6767" s="7" t="s">
        <v>39171</v>
      </c>
      <c r="B6767" s="8">
        <v>393.75</v>
      </c>
      <c r="C6767" s="8">
        <v>20.478950000000001</v>
      </c>
      <c r="D6767" s="8">
        <v>90</v>
      </c>
      <c r="E6767" s="8">
        <v>0</v>
      </c>
      <c r="F6767" s="8">
        <v>0</v>
      </c>
      <c r="G6767" s="8">
        <v>26</v>
      </c>
      <c r="H6767" s="8" t="s">
        <v>39172</v>
      </c>
      <c r="I6767" s="8">
        <v>526.6875</v>
      </c>
      <c r="J6767" s="3">
        <f t="shared" si="105"/>
        <v>43748.960887465277</v>
      </c>
    </row>
    <row r="6768" spans="1:10" x14ac:dyDescent="0.25">
      <c r="A6768" s="5" t="s">
        <v>39173</v>
      </c>
      <c r="B6768" s="6">
        <v>393.75</v>
      </c>
      <c r="C6768" s="6">
        <v>20.478950000000001</v>
      </c>
      <c r="D6768" s="6">
        <v>90</v>
      </c>
      <c r="E6768" s="6">
        <v>0</v>
      </c>
      <c r="F6768" s="6">
        <v>0</v>
      </c>
      <c r="G6768" s="6">
        <v>24</v>
      </c>
      <c r="H6768" s="6" t="s">
        <v>39174</v>
      </c>
      <c r="I6768" s="6">
        <v>526.6875</v>
      </c>
      <c r="J6768" s="2">
        <f t="shared" si="105"/>
        <v>43748.960970787033</v>
      </c>
    </row>
    <row r="6769" spans="1:10" x14ac:dyDescent="0.25">
      <c r="A6769" s="7" t="s">
        <v>39175</v>
      </c>
      <c r="B6769" s="8">
        <v>393.75</v>
      </c>
      <c r="C6769" s="8">
        <v>20.478950000000001</v>
      </c>
      <c r="D6769" s="8">
        <v>88</v>
      </c>
      <c r="E6769" s="8">
        <v>0</v>
      </c>
      <c r="F6769" s="8">
        <v>0</v>
      </c>
      <c r="G6769" s="8">
        <v>14</v>
      </c>
      <c r="H6769" s="8" t="s">
        <v>39176</v>
      </c>
      <c r="I6769" s="8">
        <v>526.6875</v>
      </c>
      <c r="J6769" s="3">
        <f t="shared" si="105"/>
        <v>43748.961054050924</v>
      </c>
    </row>
    <row r="6770" spans="1:10" x14ac:dyDescent="0.25">
      <c r="A6770" s="5" t="s">
        <v>39177</v>
      </c>
      <c r="B6770" s="6">
        <v>393.75</v>
      </c>
      <c r="C6770" s="6">
        <v>20.478950000000001</v>
      </c>
      <c r="D6770" s="6">
        <v>88</v>
      </c>
      <c r="E6770" s="6">
        <v>0</v>
      </c>
      <c r="F6770" s="6">
        <v>0</v>
      </c>
      <c r="G6770" s="6">
        <v>22</v>
      </c>
      <c r="H6770" s="6" t="s">
        <v>39178</v>
      </c>
      <c r="I6770" s="6">
        <v>526.6875</v>
      </c>
      <c r="J6770" s="2">
        <f t="shared" si="105"/>
        <v>43748.961125543974</v>
      </c>
    </row>
    <row r="6771" spans="1:10" x14ac:dyDescent="0.25">
      <c r="A6771" s="7" t="s">
        <v>39179</v>
      </c>
      <c r="B6771" s="8">
        <v>393.75</v>
      </c>
      <c r="C6771" s="8">
        <v>20.478950000000001</v>
      </c>
      <c r="D6771" s="8">
        <v>87</v>
      </c>
      <c r="E6771" s="8">
        <v>0</v>
      </c>
      <c r="F6771" s="8">
        <v>0</v>
      </c>
      <c r="G6771" s="8">
        <v>17</v>
      </c>
      <c r="H6771" s="8" t="s">
        <v>39180</v>
      </c>
      <c r="I6771" s="8">
        <v>526.6875</v>
      </c>
      <c r="J6771" s="3">
        <f t="shared" si="105"/>
        <v>43748.961197557866</v>
      </c>
    </row>
    <row r="6772" spans="1:10" x14ac:dyDescent="0.25">
      <c r="A6772" s="5" t="s">
        <v>39181</v>
      </c>
      <c r="B6772" s="6">
        <v>393.75</v>
      </c>
      <c r="C6772" s="6">
        <v>20.478950000000001</v>
      </c>
      <c r="D6772" s="6">
        <v>86</v>
      </c>
      <c r="E6772" s="6">
        <v>0</v>
      </c>
      <c r="F6772" s="6">
        <v>0</v>
      </c>
      <c r="G6772" s="6">
        <v>18</v>
      </c>
      <c r="H6772" s="6" t="s">
        <v>39182</v>
      </c>
      <c r="I6772" s="6">
        <v>526.6875</v>
      </c>
      <c r="J6772" s="2">
        <f t="shared" si="105"/>
        <v>43748.961280902775</v>
      </c>
    </row>
    <row r="6773" spans="1:10" x14ac:dyDescent="0.25">
      <c r="A6773" s="7" t="s">
        <v>39183</v>
      </c>
      <c r="B6773" s="8">
        <v>393.75</v>
      </c>
      <c r="C6773" s="8">
        <v>20.426300000000001</v>
      </c>
      <c r="D6773" s="8">
        <v>87</v>
      </c>
      <c r="E6773" s="8">
        <v>0</v>
      </c>
      <c r="F6773" s="8">
        <v>0</v>
      </c>
      <c r="G6773" s="8">
        <v>15</v>
      </c>
      <c r="H6773" s="8" t="s">
        <v>39184</v>
      </c>
      <c r="I6773" s="8">
        <v>526.6875</v>
      </c>
      <c r="J6773" s="3">
        <f t="shared" si="105"/>
        <v>43748.961352245366</v>
      </c>
    </row>
    <row r="6774" spans="1:10" x14ac:dyDescent="0.25">
      <c r="A6774" s="5" t="s">
        <v>39185</v>
      </c>
      <c r="B6774" s="6">
        <v>412.5</v>
      </c>
      <c r="C6774" s="6">
        <v>20.478950000000001</v>
      </c>
      <c r="D6774" s="6">
        <v>86</v>
      </c>
      <c r="E6774" s="6">
        <v>0</v>
      </c>
      <c r="F6774" s="6">
        <v>0</v>
      </c>
      <c r="G6774" s="6">
        <v>12</v>
      </c>
      <c r="H6774" s="6" t="s">
        <v>39186</v>
      </c>
      <c r="I6774" s="6">
        <v>532.125</v>
      </c>
      <c r="J6774" s="2">
        <f t="shared" si="105"/>
        <v>43748.961423541659</v>
      </c>
    </row>
    <row r="6775" spans="1:10" x14ac:dyDescent="0.25">
      <c r="A6775" s="7" t="s">
        <v>39187</v>
      </c>
      <c r="B6775" s="8">
        <v>393.75</v>
      </c>
      <c r="C6775" s="8">
        <v>20.478950000000001</v>
      </c>
      <c r="D6775" s="8">
        <v>85</v>
      </c>
      <c r="E6775" s="8">
        <v>0</v>
      </c>
      <c r="F6775" s="8">
        <v>0</v>
      </c>
      <c r="G6775" s="8">
        <v>21</v>
      </c>
      <c r="H6775" s="8" t="s">
        <v>39188</v>
      </c>
      <c r="I6775" s="8">
        <v>526.6875</v>
      </c>
      <c r="J6775" s="3">
        <f t="shared" si="105"/>
        <v>43748.961495752308</v>
      </c>
    </row>
    <row r="6776" spans="1:10" x14ac:dyDescent="0.25">
      <c r="A6776" s="5" t="s">
        <v>39189</v>
      </c>
      <c r="B6776" s="6">
        <v>393.75</v>
      </c>
      <c r="C6776" s="6">
        <v>20.478950000000001</v>
      </c>
      <c r="D6776" s="6">
        <v>84</v>
      </c>
      <c r="E6776" s="6">
        <v>0</v>
      </c>
      <c r="F6776" s="6">
        <v>0</v>
      </c>
      <c r="G6776" s="6">
        <v>13</v>
      </c>
      <c r="H6776" s="6" t="s">
        <v>39190</v>
      </c>
      <c r="I6776" s="6">
        <v>526.6875</v>
      </c>
      <c r="J6776" s="2">
        <f t="shared" si="105"/>
        <v>43748.961578993054</v>
      </c>
    </row>
    <row r="6777" spans="1:10" x14ac:dyDescent="0.25">
      <c r="A6777" s="7" t="s">
        <v>39191</v>
      </c>
      <c r="B6777" s="8">
        <v>393.75</v>
      </c>
      <c r="C6777" s="8">
        <v>20.478950000000001</v>
      </c>
      <c r="D6777" s="8">
        <v>84</v>
      </c>
      <c r="E6777" s="8">
        <v>0</v>
      </c>
      <c r="F6777" s="8">
        <v>0</v>
      </c>
      <c r="G6777" s="8">
        <v>15</v>
      </c>
      <c r="H6777" s="8" t="s">
        <v>39192</v>
      </c>
      <c r="I6777" s="8">
        <v>526.6875</v>
      </c>
      <c r="J6777" s="3">
        <f t="shared" si="105"/>
        <v>43748.961650358797</v>
      </c>
    </row>
    <row r="6778" spans="1:10" x14ac:dyDescent="0.25">
      <c r="A6778" s="5" t="s">
        <v>39193</v>
      </c>
      <c r="B6778" s="6">
        <v>393.75</v>
      </c>
      <c r="C6778" s="6">
        <v>20.478950000000001</v>
      </c>
      <c r="D6778" s="6">
        <v>84</v>
      </c>
      <c r="E6778" s="6">
        <v>0</v>
      </c>
      <c r="F6778" s="6">
        <v>0</v>
      </c>
      <c r="G6778" s="6">
        <v>13</v>
      </c>
      <c r="H6778" s="6" t="s">
        <v>39194</v>
      </c>
      <c r="I6778" s="6">
        <v>526.6875</v>
      </c>
      <c r="J6778" s="2">
        <f t="shared" si="105"/>
        <v>43748.961723333334</v>
      </c>
    </row>
    <row r="6779" spans="1:10" x14ac:dyDescent="0.25">
      <c r="A6779" s="7" t="s">
        <v>39195</v>
      </c>
      <c r="B6779" s="8">
        <v>393.75</v>
      </c>
      <c r="C6779" s="8">
        <v>20.478950000000001</v>
      </c>
      <c r="D6779" s="8">
        <v>84</v>
      </c>
      <c r="E6779" s="8">
        <v>0</v>
      </c>
      <c r="F6779" s="8">
        <v>0</v>
      </c>
      <c r="G6779" s="8">
        <v>19</v>
      </c>
      <c r="H6779" s="8" t="s">
        <v>39196</v>
      </c>
      <c r="I6779" s="8">
        <v>526.6875</v>
      </c>
      <c r="J6779" s="3">
        <f t="shared" si="105"/>
        <v>43748.961793807866</v>
      </c>
    </row>
    <row r="6780" spans="1:10" x14ac:dyDescent="0.25">
      <c r="A6780" s="5" t="s">
        <v>39197</v>
      </c>
      <c r="B6780" s="6">
        <v>393.75</v>
      </c>
      <c r="C6780" s="6">
        <v>20.478950000000001</v>
      </c>
      <c r="D6780" s="6">
        <v>84</v>
      </c>
      <c r="E6780" s="6">
        <v>0</v>
      </c>
      <c r="F6780" s="6">
        <v>0</v>
      </c>
      <c r="G6780" s="6">
        <v>15</v>
      </c>
      <c r="H6780" s="6" t="s">
        <v>39198</v>
      </c>
      <c r="I6780" s="6">
        <v>526.6875</v>
      </c>
      <c r="J6780" s="2">
        <f t="shared" si="105"/>
        <v>43748.961865150464</v>
      </c>
    </row>
    <row r="6781" spans="1:10" x14ac:dyDescent="0.25">
      <c r="A6781" s="7" t="s">
        <v>39199</v>
      </c>
      <c r="B6781" s="8">
        <v>393.75</v>
      </c>
      <c r="C6781" s="8">
        <v>20.478950000000001</v>
      </c>
      <c r="D6781" s="8">
        <v>84</v>
      </c>
      <c r="E6781" s="8">
        <v>0</v>
      </c>
      <c r="F6781" s="8">
        <v>0</v>
      </c>
      <c r="G6781" s="8">
        <v>21</v>
      </c>
      <c r="H6781" s="8" t="s">
        <v>39200</v>
      </c>
      <c r="I6781" s="8">
        <v>526.6875</v>
      </c>
      <c r="J6781" s="3">
        <f t="shared" si="105"/>
        <v>43748.961948483797</v>
      </c>
    </row>
    <row r="6782" spans="1:10" x14ac:dyDescent="0.25">
      <c r="A6782" s="5" t="s">
        <v>39201</v>
      </c>
      <c r="B6782" s="6">
        <v>393.75</v>
      </c>
      <c r="C6782" s="6">
        <v>20.478950000000001</v>
      </c>
      <c r="D6782" s="6">
        <v>84</v>
      </c>
      <c r="E6782" s="6">
        <v>0</v>
      </c>
      <c r="F6782" s="6">
        <v>0</v>
      </c>
      <c r="G6782" s="6">
        <v>20</v>
      </c>
      <c r="H6782" s="6" t="s">
        <v>39202</v>
      </c>
      <c r="I6782" s="6">
        <v>526.6875</v>
      </c>
      <c r="J6782" s="2">
        <f t="shared" si="105"/>
        <v>43748.962019791659</v>
      </c>
    </row>
    <row r="6783" spans="1:10" x14ac:dyDescent="0.25">
      <c r="A6783" s="7" t="s">
        <v>39203</v>
      </c>
      <c r="B6783" s="8">
        <v>393.75</v>
      </c>
      <c r="C6783" s="8">
        <v>20.478950000000001</v>
      </c>
      <c r="D6783" s="8">
        <v>84</v>
      </c>
      <c r="E6783" s="8">
        <v>0</v>
      </c>
      <c r="F6783" s="8">
        <v>0</v>
      </c>
      <c r="G6783" s="8">
        <v>17</v>
      </c>
      <c r="H6783" s="8" t="s">
        <v>39204</v>
      </c>
      <c r="I6783" s="8">
        <v>526.6875</v>
      </c>
      <c r="J6783" s="3">
        <f t="shared" si="105"/>
        <v>43748.962103067126</v>
      </c>
    </row>
    <row r="6784" spans="1:10" x14ac:dyDescent="0.25">
      <c r="A6784" s="5" t="s">
        <v>39205</v>
      </c>
      <c r="B6784" s="6">
        <v>393.75</v>
      </c>
      <c r="C6784" s="6">
        <v>20.478950000000001</v>
      </c>
      <c r="D6784" s="6">
        <v>83</v>
      </c>
      <c r="E6784" s="6">
        <v>0</v>
      </c>
      <c r="F6784" s="6">
        <v>0</v>
      </c>
      <c r="G6784" s="6">
        <v>18</v>
      </c>
      <c r="H6784" s="6" t="s">
        <v>39206</v>
      </c>
      <c r="I6784" s="6">
        <v>526.6875</v>
      </c>
      <c r="J6784" s="2">
        <f t="shared" si="105"/>
        <v>43748.962175370369</v>
      </c>
    </row>
    <row r="6785" spans="1:10" x14ac:dyDescent="0.25">
      <c r="A6785" s="7" t="s">
        <v>39207</v>
      </c>
      <c r="B6785" s="8">
        <v>393.75</v>
      </c>
      <c r="C6785" s="8">
        <v>20.478950000000001</v>
      </c>
      <c r="D6785" s="8">
        <v>83</v>
      </c>
      <c r="E6785" s="8">
        <v>0</v>
      </c>
      <c r="F6785" s="8">
        <v>0</v>
      </c>
      <c r="G6785" s="8">
        <v>23</v>
      </c>
      <c r="H6785" s="8" t="s">
        <v>39208</v>
      </c>
      <c r="I6785" s="8">
        <v>526.6875</v>
      </c>
      <c r="J6785" s="3">
        <f t="shared" si="105"/>
        <v>43748.962270775461</v>
      </c>
    </row>
    <row r="6786" spans="1:10" x14ac:dyDescent="0.25">
      <c r="A6786" s="5" t="s">
        <v>39209</v>
      </c>
      <c r="B6786" s="6">
        <v>393.75</v>
      </c>
      <c r="C6786" s="6">
        <v>20.478950000000001</v>
      </c>
      <c r="D6786" s="6">
        <v>83</v>
      </c>
      <c r="E6786" s="6">
        <v>0</v>
      </c>
      <c r="F6786" s="6">
        <v>0</v>
      </c>
      <c r="G6786" s="6">
        <v>22</v>
      </c>
      <c r="H6786" s="6" t="s">
        <v>39210</v>
      </c>
      <c r="I6786" s="6">
        <v>526.6875</v>
      </c>
      <c r="J6786" s="2">
        <f t="shared" ref="J6786:J6849" si="106">(H6786/86400000)+25569+(7/24)</f>
        <v>43748.962341944447</v>
      </c>
    </row>
    <row r="6787" spans="1:10" x14ac:dyDescent="0.25">
      <c r="A6787" s="7" t="s">
        <v>39211</v>
      </c>
      <c r="B6787" s="8">
        <v>412.5</v>
      </c>
      <c r="C6787" s="8">
        <v>20.478950000000001</v>
      </c>
      <c r="D6787" s="8">
        <v>83</v>
      </c>
      <c r="E6787" s="8">
        <v>0</v>
      </c>
      <c r="F6787" s="8">
        <v>0</v>
      </c>
      <c r="G6787" s="8">
        <v>17</v>
      </c>
      <c r="H6787" s="8" t="s">
        <v>39212</v>
      </c>
      <c r="I6787" s="8">
        <v>532.3125</v>
      </c>
      <c r="J6787" s="3">
        <f t="shared" si="106"/>
        <v>43748.9624133912</v>
      </c>
    </row>
    <row r="6788" spans="1:10" x14ac:dyDescent="0.25">
      <c r="A6788" s="5" t="s">
        <v>39213</v>
      </c>
      <c r="B6788" s="6">
        <v>393.75</v>
      </c>
      <c r="C6788" s="6">
        <v>20.478950000000001</v>
      </c>
      <c r="D6788" s="6">
        <v>83</v>
      </c>
      <c r="E6788" s="6">
        <v>0</v>
      </c>
      <c r="F6788" s="6">
        <v>0</v>
      </c>
      <c r="G6788" s="6">
        <v>17</v>
      </c>
      <c r="H6788" s="6" t="s">
        <v>39214</v>
      </c>
      <c r="I6788" s="6">
        <v>526.6875</v>
      </c>
      <c r="J6788" s="2">
        <f t="shared" si="106"/>
        <v>43748.9624855324</v>
      </c>
    </row>
    <row r="6789" spans="1:10" x14ac:dyDescent="0.25">
      <c r="A6789" s="7" t="s">
        <v>39215</v>
      </c>
      <c r="B6789" s="8">
        <v>393.75</v>
      </c>
      <c r="C6789" s="8">
        <v>20.478950000000001</v>
      </c>
      <c r="D6789" s="8">
        <v>84</v>
      </c>
      <c r="E6789" s="8">
        <v>0</v>
      </c>
      <c r="F6789" s="8">
        <v>0</v>
      </c>
      <c r="G6789" s="8">
        <v>19</v>
      </c>
      <c r="H6789" s="8" t="s">
        <v>39216</v>
      </c>
      <c r="I6789" s="8">
        <v>526.6875</v>
      </c>
      <c r="J6789" s="3">
        <f t="shared" si="106"/>
        <v>43748.962556886567</v>
      </c>
    </row>
    <row r="6790" spans="1:10" x14ac:dyDescent="0.25">
      <c r="A6790" s="5" t="s">
        <v>39217</v>
      </c>
      <c r="B6790" s="6">
        <v>393.75</v>
      </c>
      <c r="C6790" s="6">
        <v>20.478950000000001</v>
      </c>
      <c r="D6790" s="6">
        <v>84</v>
      </c>
      <c r="E6790" s="6">
        <v>0</v>
      </c>
      <c r="F6790" s="6">
        <v>0</v>
      </c>
      <c r="G6790" s="6">
        <v>12</v>
      </c>
      <c r="H6790" s="6" t="s">
        <v>39218</v>
      </c>
      <c r="I6790" s="6">
        <v>526.6875</v>
      </c>
      <c r="J6790" s="2">
        <f t="shared" si="106"/>
        <v>43748.962628194444</v>
      </c>
    </row>
    <row r="6791" spans="1:10" x14ac:dyDescent="0.25">
      <c r="A6791" s="7" t="s">
        <v>39219</v>
      </c>
      <c r="B6791" s="8">
        <v>428.125</v>
      </c>
      <c r="C6791" s="8">
        <v>20.478950000000001</v>
      </c>
      <c r="D6791" s="8">
        <v>84</v>
      </c>
      <c r="E6791" s="8">
        <v>0</v>
      </c>
      <c r="F6791" s="8">
        <v>0</v>
      </c>
      <c r="G6791" s="8">
        <v>15</v>
      </c>
      <c r="H6791" s="8" t="s">
        <v>39220</v>
      </c>
      <c r="I6791" s="8">
        <v>537.75</v>
      </c>
      <c r="J6791" s="3">
        <f t="shared" si="106"/>
        <v>43748.962716921298</v>
      </c>
    </row>
    <row r="6792" spans="1:10" x14ac:dyDescent="0.25">
      <c r="A6792" s="5" t="s">
        <v>39221</v>
      </c>
      <c r="B6792" s="6">
        <v>393.75</v>
      </c>
      <c r="C6792" s="6">
        <v>20.478950000000001</v>
      </c>
      <c r="D6792" s="6">
        <v>85</v>
      </c>
      <c r="E6792" s="6">
        <v>0</v>
      </c>
      <c r="F6792" s="6">
        <v>0</v>
      </c>
      <c r="G6792" s="6">
        <v>20</v>
      </c>
      <c r="H6792" s="6" t="s">
        <v>39222</v>
      </c>
      <c r="I6792" s="6">
        <v>526.5</v>
      </c>
      <c r="J6792" s="2">
        <f t="shared" si="106"/>
        <v>43748.962794942126</v>
      </c>
    </row>
    <row r="6793" spans="1:10" x14ac:dyDescent="0.25">
      <c r="A6793" s="7" t="s">
        <v>39223</v>
      </c>
      <c r="B6793" s="8">
        <v>393.75</v>
      </c>
      <c r="C6793" s="8">
        <v>20.478950000000001</v>
      </c>
      <c r="D6793" s="8">
        <v>84</v>
      </c>
      <c r="E6793" s="8">
        <v>0</v>
      </c>
      <c r="F6793" s="8">
        <v>0</v>
      </c>
      <c r="G6793" s="8">
        <v>8</v>
      </c>
      <c r="H6793" s="8" t="s">
        <v>39224</v>
      </c>
      <c r="I6793" s="8">
        <v>526.5</v>
      </c>
      <c r="J6793" s="3">
        <f t="shared" si="106"/>
        <v>43748.962879120365</v>
      </c>
    </row>
    <row r="6794" spans="1:10" x14ac:dyDescent="0.25">
      <c r="A6794" s="5" t="s">
        <v>39225</v>
      </c>
      <c r="B6794" s="6">
        <v>393.75</v>
      </c>
      <c r="C6794" s="6">
        <v>20.426300000000001</v>
      </c>
      <c r="D6794" s="6">
        <v>84</v>
      </c>
      <c r="E6794" s="6">
        <v>0</v>
      </c>
      <c r="F6794" s="6">
        <v>0</v>
      </c>
      <c r="G6794" s="6">
        <v>18</v>
      </c>
      <c r="H6794" s="6" t="s">
        <v>39226</v>
      </c>
      <c r="I6794" s="6">
        <v>526.6875</v>
      </c>
      <c r="J6794" s="2">
        <f t="shared" si="106"/>
        <v>43748.962950416666</v>
      </c>
    </row>
    <row r="6795" spans="1:10" x14ac:dyDescent="0.25">
      <c r="A6795" s="7" t="s">
        <v>39227</v>
      </c>
      <c r="B6795" s="8">
        <v>393.75</v>
      </c>
      <c r="C6795" s="8">
        <v>20.478950000000001</v>
      </c>
      <c r="D6795" s="8">
        <v>84</v>
      </c>
      <c r="E6795" s="8">
        <v>0</v>
      </c>
      <c r="F6795" s="8">
        <v>0</v>
      </c>
      <c r="G6795" s="8">
        <v>18</v>
      </c>
      <c r="H6795" s="8" t="s">
        <v>39228</v>
      </c>
      <c r="I6795" s="8">
        <v>526.6875</v>
      </c>
      <c r="J6795" s="3">
        <f t="shared" si="106"/>
        <v>43748.96302171296</v>
      </c>
    </row>
    <row r="6796" spans="1:10" x14ac:dyDescent="0.25">
      <c r="A6796" s="5" t="s">
        <v>39229</v>
      </c>
      <c r="B6796" s="6">
        <v>393.75</v>
      </c>
      <c r="C6796" s="6">
        <v>20.478950000000001</v>
      </c>
      <c r="D6796" s="6">
        <v>84</v>
      </c>
      <c r="E6796" s="6">
        <v>0</v>
      </c>
      <c r="F6796" s="6">
        <v>0</v>
      </c>
      <c r="G6796" s="6">
        <v>25</v>
      </c>
      <c r="H6796" s="6" t="s">
        <v>39230</v>
      </c>
      <c r="I6796" s="6">
        <v>526.5</v>
      </c>
      <c r="J6796" s="2">
        <f t="shared" si="106"/>
        <v>43748.963093009261</v>
      </c>
    </row>
    <row r="6797" spans="1:10" x14ac:dyDescent="0.25">
      <c r="A6797" s="7" t="s">
        <v>39231</v>
      </c>
      <c r="B6797" s="8">
        <v>393.75</v>
      </c>
      <c r="C6797" s="8">
        <v>20.478950000000001</v>
      </c>
      <c r="D6797" s="8">
        <v>82</v>
      </c>
      <c r="E6797" s="8">
        <v>0</v>
      </c>
      <c r="F6797" s="8">
        <v>0</v>
      </c>
      <c r="G6797" s="8">
        <v>21</v>
      </c>
      <c r="H6797" s="8" t="s">
        <v>39232</v>
      </c>
      <c r="I6797" s="8">
        <v>526.6875</v>
      </c>
      <c r="J6797" s="3">
        <f t="shared" si="106"/>
        <v>43748.963165208326</v>
      </c>
    </row>
    <row r="6798" spans="1:10" x14ac:dyDescent="0.25">
      <c r="A6798" s="5" t="s">
        <v>39233</v>
      </c>
      <c r="B6798" s="6">
        <v>393.75</v>
      </c>
      <c r="C6798" s="6">
        <v>20.478950000000001</v>
      </c>
      <c r="D6798" s="6">
        <v>82</v>
      </c>
      <c r="E6798" s="6">
        <v>0</v>
      </c>
      <c r="F6798" s="6">
        <v>0</v>
      </c>
      <c r="G6798" s="6">
        <v>23</v>
      </c>
      <c r="H6798" s="6" t="s">
        <v>39234</v>
      </c>
      <c r="I6798" s="6">
        <v>526.6875</v>
      </c>
      <c r="J6798" s="2">
        <f t="shared" si="106"/>
        <v>43748.963236504627</v>
      </c>
    </row>
    <row r="6799" spans="1:10" x14ac:dyDescent="0.25">
      <c r="A6799" s="7" t="s">
        <v>39235</v>
      </c>
      <c r="B6799" s="8">
        <v>393.75</v>
      </c>
      <c r="C6799" s="8">
        <v>20.478950000000001</v>
      </c>
      <c r="D6799" s="8">
        <v>83</v>
      </c>
      <c r="E6799" s="8">
        <v>0</v>
      </c>
      <c r="F6799" s="8">
        <v>0</v>
      </c>
      <c r="G6799" s="8">
        <v>11</v>
      </c>
      <c r="H6799" s="8" t="s">
        <v>39236</v>
      </c>
      <c r="I6799" s="8">
        <v>526.6875</v>
      </c>
      <c r="J6799" s="3">
        <f t="shared" si="106"/>
        <v>43748.963307812497</v>
      </c>
    </row>
    <row r="6800" spans="1:10" x14ac:dyDescent="0.25">
      <c r="A6800" s="5" t="s">
        <v>39237</v>
      </c>
      <c r="B6800" s="6">
        <v>393.75</v>
      </c>
      <c r="C6800" s="6">
        <v>20.478950000000001</v>
      </c>
      <c r="D6800" s="6">
        <v>83</v>
      </c>
      <c r="E6800" s="6">
        <v>0</v>
      </c>
      <c r="F6800" s="6">
        <v>0</v>
      </c>
      <c r="G6800" s="6">
        <v>17</v>
      </c>
      <c r="H6800" s="6" t="s">
        <v>39238</v>
      </c>
      <c r="I6800" s="6">
        <v>526.6875</v>
      </c>
      <c r="J6800" s="2">
        <f t="shared" si="106"/>
        <v>43748.963379212961</v>
      </c>
    </row>
    <row r="6801" spans="1:10" x14ac:dyDescent="0.25">
      <c r="A6801" s="7" t="s">
        <v>39239</v>
      </c>
      <c r="B6801" s="8">
        <v>393.75</v>
      </c>
      <c r="C6801" s="8">
        <v>20.478950000000001</v>
      </c>
      <c r="D6801" s="8">
        <v>83</v>
      </c>
      <c r="E6801" s="8">
        <v>0</v>
      </c>
      <c r="F6801" s="8">
        <v>0</v>
      </c>
      <c r="G6801" s="8">
        <v>17</v>
      </c>
      <c r="H6801" s="8" t="s">
        <v>39240</v>
      </c>
      <c r="I6801" s="8">
        <v>526.6875</v>
      </c>
      <c r="J6801" s="3">
        <f t="shared" si="106"/>
        <v>43748.963451296295</v>
      </c>
    </row>
    <row r="6802" spans="1:10" x14ac:dyDescent="0.25">
      <c r="A6802" s="5" t="s">
        <v>39241</v>
      </c>
      <c r="B6802" s="6">
        <v>393.75</v>
      </c>
      <c r="C6802" s="6">
        <v>20.478950000000001</v>
      </c>
      <c r="D6802" s="6">
        <v>83</v>
      </c>
      <c r="E6802" s="6">
        <v>0</v>
      </c>
      <c r="F6802" s="6">
        <v>0</v>
      </c>
      <c r="G6802" s="6">
        <v>31</v>
      </c>
      <c r="H6802" s="6" t="s">
        <v>39242</v>
      </c>
      <c r="I6802" s="6">
        <v>526.6875</v>
      </c>
      <c r="J6802" s="2">
        <f t="shared" si="106"/>
        <v>43748.963522638885</v>
      </c>
    </row>
    <row r="6803" spans="1:10" x14ac:dyDescent="0.25">
      <c r="A6803" s="7" t="s">
        <v>39243</v>
      </c>
      <c r="B6803" s="8">
        <v>393.75</v>
      </c>
      <c r="C6803" s="8">
        <v>20.478950000000001</v>
      </c>
      <c r="D6803" s="8">
        <v>83</v>
      </c>
      <c r="E6803" s="8">
        <v>0</v>
      </c>
      <c r="F6803" s="8">
        <v>0</v>
      </c>
      <c r="G6803" s="8">
        <v>26</v>
      </c>
      <c r="H6803" s="8" t="s">
        <v>39244</v>
      </c>
      <c r="I6803" s="8">
        <v>526.6875</v>
      </c>
      <c r="J6803" s="3">
        <f t="shared" si="106"/>
        <v>43748.963605972218</v>
      </c>
    </row>
    <row r="6804" spans="1:10" x14ac:dyDescent="0.25">
      <c r="A6804" s="5" t="s">
        <v>39245</v>
      </c>
      <c r="B6804" s="6">
        <v>393.75</v>
      </c>
      <c r="C6804" s="6">
        <v>20.478950000000001</v>
      </c>
      <c r="D6804" s="6">
        <v>82</v>
      </c>
      <c r="E6804" s="6">
        <v>0</v>
      </c>
      <c r="F6804" s="6">
        <v>0</v>
      </c>
      <c r="G6804" s="6">
        <v>16</v>
      </c>
      <c r="H6804" s="6" t="s">
        <v>39246</v>
      </c>
      <c r="I6804" s="6">
        <v>526.5</v>
      </c>
      <c r="J6804" s="2">
        <f t="shared" si="106"/>
        <v>43748.963677939813</v>
      </c>
    </row>
    <row r="6805" spans="1:10" x14ac:dyDescent="0.25">
      <c r="A6805" s="7" t="s">
        <v>39247</v>
      </c>
      <c r="B6805" s="8">
        <v>412.5</v>
      </c>
      <c r="C6805" s="8">
        <v>20.478950000000001</v>
      </c>
      <c r="D6805" s="8">
        <v>81</v>
      </c>
      <c r="E6805" s="8">
        <v>0</v>
      </c>
      <c r="F6805" s="8">
        <v>0</v>
      </c>
      <c r="G6805" s="8">
        <v>17</v>
      </c>
      <c r="H6805" s="8" t="s">
        <v>39248</v>
      </c>
      <c r="I6805" s="8">
        <v>532.6875</v>
      </c>
      <c r="J6805" s="3">
        <f t="shared" si="106"/>
        <v>43748.963749409719</v>
      </c>
    </row>
    <row r="6806" spans="1:10" x14ac:dyDescent="0.25">
      <c r="A6806" s="5" t="s">
        <v>39249</v>
      </c>
      <c r="B6806" s="6">
        <v>393.75</v>
      </c>
      <c r="C6806" s="6">
        <v>20.478950000000001</v>
      </c>
      <c r="D6806" s="6">
        <v>81</v>
      </c>
      <c r="E6806" s="6">
        <v>0</v>
      </c>
      <c r="F6806" s="6">
        <v>0</v>
      </c>
      <c r="G6806" s="6">
        <v>21</v>
      </c>
      <c r="H6806" s="6" t="s">
        <v>39250</v>
      </c>
      <c r="I6806" s="6">
        <v>526.6875</v>
      </c>
      <c r="J6806" s="2">
        <f t="shared" si="106"/>
        <v>43748.963820763885</v>
      </c>
    </row>
    <row r="6807" spans="1:10" x14ac:dyDescent="0.25">
      <c r="A6807" s="7" t="s">
        <v>39251</v>
      </c>
      <c r="B6807" s="8">
        <v>393.75</v>
      </c>
      <c r="C6807" s="8">
        <v>20.478950000000001</v>
      </c>
      <c r="D6807" s="8">
        <v>82</v>
      </c>
      <c r="E6807" s="8">
        <v>0</v>
      </c>
      <c r="F6807" s="8">
        <v>0</v>
      </c>
      <c r="G6807" s="8">
        <v>24</v>
      </c>
      <c r="H6807" s="8" t="s">
        <v>39252</v>
      </c>
      <c r="I6807" s="8">
        <v>526.6875</v>
      </c>
      <c r="J6807" s="3">
        <f t="shared" si="106"/>
        <v>43748.963892118052</v>
      </c>
    </row>
    <row r="6808" spans="1:10" x14ac:dyDescent="0.25">
      <c r="A6808" s="5" t="s">
        <v>39253</v>
      </c>
      <c r="B6808" s="6">
        <v>393.75</v>
      </c>
      <c r="C6808" s="6">
        <v>20.478950000000001</v>
      </c>
      <c r="D6808" s="6">
        <v>82</v>
      </c>
      <c r="E6808" s="6">
        <v>0</v>
      </c>
      <c r="F6808" s="6">
        <v>0</v>
      </c>
      <c r="G6808" s="6">
        <v>12</v>
      </c>
      <c r="H6808" s="6" t="s">
        <v>39254</v>
      </c>
      <c r="I6808" s="6">
        <v>526.6875</v>
      </c>
      <c r="J6808" s="2">
        <f t="shared" si="106"/>
        <v>43748.9639761574</v>
      </c>
    </row>
    <row r="6809" spans="1:10" x14ac:dyDescent="0.25">
      <c r="A6809" s="7" t="s">
        <v>39255</v>
      </c>
      <c r="B6809" s="8">
        <v>393.75</v>
      </c>
      <c r="C6809" s="8">
        <v>20.478950000000001</v>
      </c>
      <c r="D6809" s="8">
        <v>82</v>
      </c>
      <c r="E6809" s="8">
        <v>0</v>
      </c>
      <c r="F6809" s="8">
        <v>0</v>
      </c>
      <c r="G6809" s="8">
        <v>18</v>
      </c>
      <c r="H6809" s="8" t="s">
        <v>39256</v>
      </c>
      <c r="I6809" s="8">
        <v>526.6875</v>
      </c>
      <c r="J6809" s="3">
        <f t="shared" si="106"/>
        <v>43748.964047037036</v>
      </c>
    </row>
    <row r="6810" spans="1:10" x14ac:dyDescent="0.25">
      <c r="A6810" s="5" t="s">
        <v>39257</v>
      </c>
      <c r="B6810" s="6">
        <v>393.75</v>
      </c>
      <c r="C6810" s="6">
        <v>20.478950000000001</v>
      </c>
      <c r="D6810" s="6">
        <v>82</v>
      </c>
      <c r="E6810" s="6">
        <v>0</v>
      </c>
      <c r="F6810" s="6">
        <v>0</v>
      </c>
      <c r="G6810" s="6">
        <v>17</v>
      </c>
      <c r="H6810" s="6" t="s">
        <v>39258</v>
      </c>
      <c r="I6810" s="6">
        <v>526.6875</v>
      </c>
      <c r="J6810" s="2">
        <f t="shared" si="106"/>
        <v>43748.964118912038</v>
      </c>
    </row>
    <row r="6811" spans="1:10" x14ac:dyDescent="0.25">
      <c r="A6811" s="7" t="s">
        <v>39259</v>
      </c>
      <c r="B6811" s="8">
        <v>393.75</v>
      </c>
      <c r="C6811" s="8">
        <v>20.478950000000001</v>
      </c>
      <c r="D6811" s="8">
        <v>82</v>
      </c>
      <c r="E6811" s="8">
        <v>0</v>
      </c>
      <c r="F6811" s="8">
        <v>0</v>
      </c>
      <c r="G6811" s="8">
        <v>17</v>
      </c>
      <c r="H6811" s="8" t="s">
        <v>39260</v>
      </c>
      <c r="I6811" s="8">
        <v>526.6875</v>
      </c>
      <c r="J6811" s="3">
        <f t="shared" si="106"/>
        <v>43748.964190196755</v>
      </c>
    </row>
    <row r="6812" spans="1:10" x14ac:dyDescent="0.25">
      <c r="A6812" s="5" t="s">
        <v>39261</v>
      </c>
      <c r="B6812" s="6">
        <v>393.75</v>
      </c>
      <c r="C6812" s="6">
        <v>20.478950000000001</v>
      </c>
      <c r="D6812" s="6">
        <v>82</v>
      </c>
      <c r="E6812" s="6">
        <v>0</v>
      </c>
      <c r="F6812" s="6">
        <v>0</v>
      </c>
      <c r="G6812" s="6">
        <v>21</v>
      </c>
      <c r="H6812" s="6" t="s">
        <v>39262</v>
      </c>
      <c r="I6812" s="6">
        <v>526.6875</v>
      </c>
      <c r="J6812" s="2">
        <f t="shared" si="106"/>
        <v>43748.964273599537</v>
      </c>
    </row>
    <row r="6813" spans="1:10" x14ac:dyDescent="0.25">
      <c r="A6813" s="7" t="s">
        <v>39263</v>
      </c>
      <c r="B6813" s="8">
        <v>393.75</v>
      </c>
      <c r="C6813" s="8">
        <v>20.478950000000001</v>
      </c>
      <c r="D6813" s="8">
        <v>83</v>
      </c>
      <c r="E6813" s="8">
        <v>0</v>
      </c>
      <c r="F6813" s="8">
        <v>0</v>
      </c>
      <c r="G6813" s="8">
        <v>21</v>
      </c>
      <c r="H6813" s="8" t="s">
        <v>39264</v>
      </c>
      <c r="I6813" s="8">
        <v>526.6875</v>
      </c>
      <c r="J6813" s="3">
        <f t="shared" si="106"/>
        <v>43748.964345717592</v>
      </c>
    </row>
    <row r="6814" spans="1:10" x14ac:dyDescent="0.25">
      <c r="A6814" s="5" t="s">
        <v>39265</v>
      </c>
      <c r="B6814" s="6">
        <v>393.75</v>
      </c>
      <c r="C6814" s="6">
        <v>20.478950000000001</v>
      </c>
      <c r="D6814" s="6">
        <v>84</v>
      </c>
      <c r="E6814" s="6">
        <v>0</v>
      </c>
      <c r="F6814" s="6">
        <v>0</v>
      </c>
      <c r="G6814" s="6">
        <v>19</v>
      </c>
      <c r="H6814" s="6" t="s">
        <v>39266</v>
      </c>
      <c r="I6814" s="6">
        <v>526.6875</v>
      </c>
      <c r="J6814" s="2">
        <f t="shared" si="106"/>
        <v>43748.964417071758</v>
      </c>
    </row>
    <row r="6815" spans="1:10" x14ac:dyDescent="0.25">
      <c r="A6815" s="7" t="s">
        <v>39267</v>
      </c>
      <c r="B6815" s="8">
        <v>393.75</v>
      </c>
      <c r="C6815" s="8">
        <v>20.478950000000001</v>
      </c>
      <c r="D6815" s="8">
        <v>84</v>
      </c>
      <c r="E6815" s="8">
        <v>0</v>
      </c>
      <c r="F6815" s="8">
        <v>0</v>
      </c>
      <c r="G6815" s="8">
        <v>19</v>
      </c>
      <c r="H6815" s="8" t="s">
        <v>39268</v>
      </c>
      <c r="I6815" s="8">
        <v>526.6875</v>
      </c>
      <c r="J6815" s="3">
        <f t="shared" si="106"/>
        <v>43748.964488368052</v>
      </c>
    </row>
    <row r="6816" spans="1:10" x14ac:dyDescent="0.25">
      <c r="A6816" s="5" t="s">
        <v>39269</v>
      </c>
      <c r="B6816" s="6">
        <v>393.75</v>
      </c>
      <c r="C6816" s="6">
        <v>20.426300000000001</v>
      </c>
      <c r="D6816" s="6">
        <v>84</v>
      </c>
      <c r="E6816" s="6">
        <v>0</v>
      </c>
      <c r="F6816" s="6">
        <v>0</v>
      </c>
      <c r="G6816" s="6">
        <v>22</v>
      </c>
      <c r="H6816" s="6" t="s">
        <v>39270</v>
      </c>
      <c r="I6816" s="6">
        <v>526.6875</v>
      </c>
      <c r="J6816" s="2">
        <f t="shared" si="106"/>
        <v>43748.964571828699</v>
      </c>
    </row>
    <row r="6817" spans="1:10" x14ac:dyDescent="0.25">
      <c r="A6817" s="7" t="s">
        <v>39271</v>
      </c>
      <c r="B6817" s="8">
        <v>393.75</v>
      </c>
      <c r="C6817" s="8">
        <v>20.426300000000001</v>
      </c>
      <c r="D6817" s="8">
        <v>84</v>
      </c>
      <c r="E6817" s="8">
        <v>0</v>
      </c>
      <c r="F6817" s="8">
        <v>0</v>
      </c>
      <c r="G6817" s="8">
        <v>17</v>
      </c>
      <c r="H6817" s="8" t="s">
        <v>39272</v>
      </c>
      <c r="I6817" s="8">
        <v>526.6875</v>
      </c>
      <c r="J6817" s="3">
        <f t="shared" si="106"/>
        <v>43748.964643923609</v>
      </c>
    </row>
    <row r="6818" spans="1:10" x14ac:dyDescent="0.25">
      <c r="A6818" s="5" t="s">
        <v>39273</v>
      </c>
      <c r="B6818" s="6">
        <v>393.75</v>
      </c>
      <c r="C6818" s="6">
        <v>20.478950000000001</v>
      </c>
      <c r="D6818" s="6">
        <v>84</v>
      </c>
      <c r="E6818" s="6">
        <v>0</v>
      </c>
      <c r="F6818" s="6">
        <v>0</v>
      </c>
      <c r="G6818" s="6">
        <v>23</v>
      </c>
      <c r="H6818" s="6" t="s">
        <v>39274</v>
      </c>
      <c r="I6818" s="6">
        <v>526.6875</v>
      </c>
      <c r="J6818" s="2">
        <f t="shared" si="106"/>
        <v>43748.964728379629</v>
      </c>
    </row>
    <row r="6819" spans="1:10" x14ac:dyDescent="0.25">
      <c r="A6819" s="7" t="s">
        <v>39275</v>
      </c>
      <c r="B6819" s="8">
        <v>412.5</v>
      </c>
      <c r="C6819" s="8">
        <v>20.478950000000001</v>
      </c>
      <c r="D6819" s="8">
        <v>85</v>
      </c>
      <c r="E6819" s="8">
        <v>0</v>
      </c>
      <c r="F6819" s="8">
        <v>0</v>
      </c>
      <c r="G6819" s="8">
        <v>18</v>
      </c>
      <c r="H6819" s="8" t="s">
        <v>39276</v>
      </c>
      <c r="I6819" s="8">
        <v>532.3125</v>
      </c>
      <c r="J6819" s="3">
        <f t="shared" si="106"/>
        <v>43748.964798576388</v>
      </c>
    </row>
    <row r="6820" spans="1:10" x14ac:dyDescent="0.25">
      <c r="A6820" s="5" t="s">
        <v>39277</v>
      </c>
      <c r="B6820" s="6">
        <v>393.75</v>
      </c>
      <c r="C6820" s="6">
        <v>20.478950000000001</v>
      </c>
      <c r="D6820" s="6">
        <v>83</v>
      </c>
      <c r="E6820" s="6">
        <v>0</v>
      </c>
      <c r="F6820" s="6">
        <v>0</v>
      </c>
      <c r="G6820" s="6">
        <v>15</v>
      </c>
      <c r="H6820" s="6" t="s">
        <v>39278</v>
      </c>
      <c r="I6820" s="6">
        <v>526.6875</v>
      </c>
      <c r="J6820" s="2">
        <f t="shared" si="106"/>
        <v>43748.964869930554</v>
      </c>
    </row>
    <row r="6821" spans="1:10" x14ac:dyDescent="0.25">
      <c r="A6821" s="7" t="s">
        <v>39279</v>
      </c>
      <c r="B6821" s="8">
        <v>393.75</v>
      </c>
      <c r="C6821" s="8">
        <v>20.478950000000001</v>
      </c>
      <c r="D6821" s="8">
        <v>84</v>
      </c>
      <c r="E6821" s="8">
        <v>0</v>
      </c>
      <c r="F6821" s="8">
        <v>0</v>
      </c>
      <c r="G6821" s="8">
        <v>22</v>
      </c>
      <c r="H6821" s="8" t="s">
        <v>39280</v>
      </c>
      <c r="I6821" s="8">
        <v>526.6875</v>
      </c>
      <c r="J6821" s="3">
        <f t="shared" si="106"/>
        <v>43748.96494208333</v>
      </c>
    </row>
    <row r="6822" spans="1:10" x14ac:dyDescent="0.25">
      <c r="A6822" s="5" t="s">
        <v>39281</v>
      </c>
      <c r="B6822" s="6">
        <v>393.75</v>
      </c>
      <c r="C6822" s="6">
        <v>20.478950000000001</v>
      </c>
      <c r="D6822" s="6">
        <v>84</v>
      </c>
      <c r="E6822" s="6">
        <v>0</v>
      </c>
      <c r="F6822" s="6">
        <v>0</v>
      </c>
      <c r="G6822" s="6">
        <v>21</v>
      </c>
      <c r="H6822" s="6" t="s">
        <v>39282</v>
      </c>
      <c r="I6822" s="6">
        <v>526.5</v>
      </c>
      <c r="J6822" s="2">
        <f t="shared" si="106"/>
        <v>43748.965013379631</v>
      </c>
    </row>
    <row r="6823" spans="1:10" x14ac:dyDescent="0.25">
      <c r="A6823" s="7" t="s">
        <v>39283</v>
      </c>
      <c r="B6823" s="8">
        <v>393.75</v>
      </c>
      <c r="C6823" s="8">
        <v>20.426300000000001</v>
      </c>
      <c r="D6823" s="8">
        <v>84</v>
      </c>
      <c r="E6823" s="8">
        <v>0</v>
      </c>
      <c r="F6823" s="8">
        <v>0</v>
      </c>
      <c r="G6823" s="8">
        <v>20</v>
      </c>
      <c r="H6823" s="8" t="s">
        <v>39284</v>
      </c>
      <c r="I6823" s="8">
        <v>526.6875</v>
      </c>
      <c r="J6823" s="3">
        <f t="shared" si="106"/>
        <v>43748.965084687494</v>
      </c>
    </row>
    <row r="6824" spans="1:10" x14ac:dyDescent="0.25">
      <c r="A6824" s="5" t="s">
        <v>39285</v>
      </c>
      <c r="B6824" s="6">
        <v>393.75</v>
      </c>
      <c r="C6824" s="6">
        <v>20.478950000000001</v>
      </c>
      <c r="D6824" s="6">
        <v>84</v>
      </c>
      <c r="E6824" s="6">
        <v>0</v>
      </c>
      <c r="F6824" s="6">
        <v>0</v>
      </c>
      <c r="G6824" s="6">
        <v>16</v>
      </c>
      <c r="H6824" s="6" t="s">
        <v>39286</v>
      </c>
      <c r="I6824" s="6">
        <v>526.6875</v>
      </c>
      <c r="J6824" s="2">
        <f t="shared" si="106"/>
        <v>43748.965156030092</v>
      </c>
    </row>
    <row r="6825" spans="1:10" x14ac:dyDescent="0.25">
      <c r="A6825" s="7" t="s">
        <v>39287</v>
      </c>
      <c r="B6825" s="8">
        <v>393.75</v>
      </c>
      <c r="C6825" s="8">
        <v>20.478950000000001</v>
      </c>
      <c r="D6825" s="8">
        <v>85</v>
      </c>
      <c r="E6825" s="8">
        <v>0</v>
      </c>
      <c r="F6825" s="8">
        <v>0</v>
      </c>
      <c r="G6825" s="8">
        <v>19</v>
      </c>
      <c r="H6825" s="8" t="s">
        <v>39288</v>
      </c>
      <c r="I6825" s="8">
        <v>526.6875</v>
      </c>
      <c r="J6825" s="3">
        <f t="shared" si="106"/>
        <v>43748.965228194444</v>
      </c>
    </row>
    <row r="6826" spans="1:10" x14ac:dyDescent="0.25">
      <c r="A6826" s="5" t="s">
        <v>39289</v>
      </c>
      <c r="B6826" s="6">
        <v>393.75</v>
      </c>
      <c r="C6826" s="6">
        <v>20.478950000000001</v>
      </c>
      <c r="D6826" s="6">
        <v>85</v>
      </c>
      <c r="E6826" s="6">
        <v>0</v>
      </c>
      <c r="F6826" s="6">
        <v>0</v>
      </c>
      <c r="G6826" s="6">
        <v>17</v>
      </c>
      <c r="H6826" s="6" t="s">
        <v>39290</v>
      </c>
      <c r="I6826" s="6">
        <v>526.6875</v>
      </c>
      <c r="J6826" s="2">
        <f t="shared" si="106"/>
        <v>43748.965311550921</v>
      </c>
    </row>
    <row r="6827" spans="1:10" x14ac:dyDescent="0.25">
      <c r="A6827" s="7" t="s">
        <v>39291</v>
      </c>
      <c r="B6827" s="8">
        <v>393.75</v>
      </c>
      <c r="C6827" s="8">
        <v>20.478950000000001</v>
      </c>
      <c r="D6827" s="8">
        <v>85</v>
      </c>
      <c r="E6827" s="8">
        <v>0</v>
      </c>
      <c r="F6827" s="8">
        <v>0</v>
      </c>
      <c r="G6827" s="8">
        <v>24</v>
      </c>
      <c r="H6827" s="8" t="s">
        <v>39292</v>
      </c>
      <c r="I6827" s="8">
        <v>526.5</v>
      </c>
      <c r="J6827" s="3">
        <f t="shared" si="106"/>
        <v>43748.965394861109</v>
      </c>
    </row>
    <row r="6828" spans="1:10" x14ac:dyDescent="0.25">
      <c r="A6828" s="5" t="s">
        <v>39293</v>
      </c>
      <c r="B6828" s="6">
        <v>393.75</v>
      </c>
      <c r="C6828" s="6">
        <v>20.478950000000001</v>
      </c>
      <c r="D6828" s="6">
        <v>84</v>
      </c>
      <c r="E6828" s="6">
        <v>0</v>
      </c>
      <c r="F6828" s="6">
        <v>0</v>
      </c>
      <c r="G6828" s="6">
        <v>20</v>
      </c>
      <c r="H6828" s="6" t="s">
        <v>39294</v>
      </c>
      <c r="I6828" s="6">
        <v>526.6875</v>
      </c>
      <c r="J6828" s="2">
        <f t="shared" si="106"/>
        <v>43748.965466168978</v>
      </c>
    </row>
    <row r="6829" spans="1:10" x14ac:dyDescent="0.25">
      <c r="A6829" s="7" t="s">
        <v>39295</v>
      </c>
      <c r="B6829" s="8">
        <v>393.75</v>
      </c>
      <c r="C6829" s="8">
        <v>20.478950000000001</v>
      </c>
      <c r="D6829" s="8">
        <v>84</v>
      </c>
      <c r="E6829" s="8">
        <v>0</v>
      </c>
      <c r="F6829" s="8">
        <v>0</v>
      </c>
      <c r="G6829" s="8">
        <v>14</v>
      </c>
      <c r="H6829" s="8" t="s">
        <v>39296</v>
      </c>
      <c r="I6829" s="8">
        <v>526.6875</v>
      </c>
      <c r="J6829" s="3">
        <f t="shared" si="106"/>
        <v>43748.965538402779</v>
      </c>
    </row>
    <row r="6830" spans="1:10" x14ac:dyDescent="0.25">
      <c r="A6830" s="5" t="s">
        <v>39297</v>
      </c>
      <c r="B6830" s="6">
        <v>421.875</v>
      </c>
      <c r="C6830" s="6">
        <v>20.478950000000001</v>
      </c>
      <c r="D6830" s="6">
        <v>83</v>
      </c>
      <c r="E6830" s="6">
        <v>0</v>
      </c>
      <c r="F6830" s="6">
        <v>0</v>
      </c>
      <c r="G6830" s="6">
        <v>13</v>
      </c>
      <c r="H6830" s="6" t="s">
        <v>39298</v>
      </c>
      <c r="I6830" s="6">
        <v>535.6875</v>
      </c>
      <c r="J6830" s="2">
        <f t="shared" si="106"/>
        <v>43748.965609675921</v>
      </c>
    </row>
    <row r="6831" spans="1:10" x14ac:dyDescent="0.25">
      <c r="A6831" s="7" t="s">
        <v>39299</v>
      </c>
      <c r="B6831" s="8">
        <v>393.75</v>
      </c>
      <c r="C6831" s="8">
        <v>20.478950000000001</v>
      </c>
      <c r="D6831" s="8">
        <v>83</v>
      </c>
      <c r="E6831" s="8">
        <v>0</v>
      </c>
      <c r="F6831" s="8">
        <v>0</v>
      </c>
      <c r="G6831" s="8">
        <v>19</v>
      </c>
      <c r="H6831" s="8" t="s">
        <v>39300</v>
      </c>
      <c r="I6831" s="8">
        <v>526.6875</v>
      </c>
      <c r="J6831" s="3">
        <f t="shared" si="106"/>
        <v>43748.965680983798</v>
      </c>
    </row>
    <row r="6832" spans="1:10" x14ac:dyDescent="0.25">
      <c r="A6832" s="5" t="s">
        <v>39301</v>
      </c>
      <c r="B6832" s="6">
        <v>393.75</v>
      </c>
      <c r="C6832" s="6">
        <v>20.478950000000001</v>
      </c>
      <c r="D6832" s="6">
        <v>83</v>
      </c>
      <c r="E6832" s="6">
        <v>0</v>
      </c>
      <c r="F6832" s="6">
        <v>0</v>
      </c>
      <c r="G6832" s="6">
        <v>11</v>
      </c>
      <c r="H6832" s="6" t="s">
        <v>39302</v>
      </c>
      <c r="I6832" s="6">
        <v>526.6875</v>
      </c>
      <c r="J6832" s="2">
        <f t="shared" si="106"/>
        <v>43748.965752974538</v>
      </c>
    </row>
    <row r="6833" spans="1:10" x14ac:dyDescent="0.25">
      <c r="A6833" s="7" t="s">
        <v>39303</v>
      </c>
      <c r="B6833" s="8">
        <v>393.75</v>
      </c>
      <c r="C6833" s="8">
        <v>20.478950000000001</v>
      </c>
      <c r="D6833" s="8">
        <v>84</v>
      </c>
      <c r="E6833" s="8">
        <v>0</v>
      </c>
      <c r="F6833" s="8">
        <v>0</v>
      </c>
      <c r="G6833" s="8">
        <v>16</v>
      </c>
      <c r="H6833" s="8" t="s">
        <v>39304</v>
      </c>
      <c r="I6833" s="8">
        <v>526.6875</v>
      </c>
      <c r="J6833" s="3">
        <f t="shared" si="106"/>
        <v>43748.965848333326</v>
      </c>
    </row>
    <row r="6834" spans="1:10" x14ac:dyDescent="0.25">
      <c r="A6834" s="5" t="s">
        <v>39305</v>
      </c>
      <c r="B6834" s="6">
        <v>393.75</v>
      </c>
      <c r="C6834" s="6">
        <v>20.478950000000001</v>
      </c>
      <c r="D6834" s="6">
        <v>84</v>
      </c>
      <c r="E6834" s="6">
        <v>0</v>
      </c>
      <c r="F6834" s="6">
        <v>0</v>
      </c>
      <c r="G6834" s="6">
        <v>12</v>
      </c>
      <c r="H6834" s="6" t="s">
        <v>39306</v>
      </c>
      <c r="I6834" s="6">
        <v>526.6875</v>
      </c>
      <c r="J6834" s="2">
        <f t="shared" si="106"/>
        <v>43748.965919861112</v>
      </c>
    </row>
    <row r="6835" spans="1:10" x14ac:dyDescent="0.25">
      <c r="A6835" s="7" t="s">
        <v>39307</v>
      </c>
      <c r="B6835" s="8">
        <v>393.75</v>
      </c>
      <c r="C6835" s="8">
        <v>20.426300000000001</v>
      </c>
      <c r="D6835" s="8">
        <v>84</v>
      </c>
      <c r="E6835" s="8">
        <v>0</v>
      </c>
      <c r="F6835" s="8">
        <v>0</v>
      </c>
      <c r="G6835" s="8">
        <v>15</v>
      </c>
      <c r="H6835" s="8" t="s">
        <v>39308</v>
      </c>
      <c r="I6835" s="8">
        <v>526.6875</v>
      </c>
      <c r="J6835" s="3">
        <f t="shared" si="106"/>
        <v>43748.965991157405</v>
      </c>
    </row>
    <row r="6836" spans="1:10" x14ac:dyDescent="0.25">
      <c r="A6836" s="5" t="s">
        <v>39309</v>
      </c>
      <c r="B6836" s="6">
        <v>393.75</v>
      </c>
      <c r="C6836" s="6">
        <v>20.478950000000001</v>
      </c>
      <c r="D6836" s="6">
        <v>86</v>
      </c>
      <c r="E6836" s="6">
        <v>0</v>
      </c>
      <c r="F6836" s="6">
        <v>0</v>
      </c>
      <c r="G6836" s="6">
        <v>17</v>
      </c>
      <c r="H6836" s="6" t="s">
        <v>39310</v>
      </c>
      <c r="I6836" s="6">
        <v>526.5</v>
      </c>
      <c r="J6836" s="2">
        <f t="shared" si="106"/>
        <v>43748.966062453699</v>
      </c>
    </row>
    <row r="6837" spans="1:10" x14ac:dyDescent="0.25">
      <c r="A6837" s="7" t="s">
        <v>39311</v>
      </c>
      <c r="B6837" s="8">
        <v>412.5</v>
      </c>
      <c r="C6837" s="8">
        <v>20.478950000000001</v>
      </c>
      <c r="D6837" s="8">
        <v>86</v>
      </c>
      <c r="E6837" s="8">
        <v>0</v>
      </c>
      <c r="F6837" s="8">
        <v>0</v>
      </c>
      <c r="G6837" s="8">
        <v>21</v>
      </c>
      <c r="H6837" s="8" t="s">
        <v>39312</v>
      </c>
      <c r="I6837" s="8">
        <v>532.875</v>
      </c>
      <c r="J6837" s="3">
        <f t="shared" si="106"/>
        <v>43748.966134618058</v>
      </c>
    </row>
    <row r="6838" spans="1:10" x14ac:dyDescent="0.25">
      <c r="A6838" s="5" t="s">
        <v>39313</v>
      </c>
      <c r="B6838" s="6">
        <v>393.75</v>
      </c>
      <c r="C6838" s="6">
        <v>20.478950000000001</v>
      </c>
      <c r="D6838" s="6">
        <v>86</v>
      </c>
      <c r="E6838" s="6">
        <v>0</v>
      </c>
      <c r="F6838" s="6">
        <v>0</v>
      </c>
      <c r="G6838" s="6">
        <v>26</v>
      </c>
      <c r="H6838" s="6" t="s">
        <v>39314</v>
      </c>
      <c r="I6838" s="6">
        <v>526.5</v>
      </c>
      <c r="J6838" s="2">
        <f t="shared" si="106"/>
        <v>43748.966206030091</v>
      </c>
    </row>
    <row r="6839" spans="1:10" x14ac:dyDescent="0.25">
      <c r="A6839" s="7" t="s">
        <v>39315</v>
      </c>
      <c r="B6839" s="8">
        <v>393.75</v>
      </c>
      <c r="C6839" s="8">
        <v>20.478950000000001</v>
      </c>
      <c r="D6839" s="8">
        <v>86</v>
      </c>
      <c r="E6839" s="8">
        <v>0</v>
      </c>
      <c r="F6839" s="8">
        <v>0</v>
      </c>
      <c r="G6839" s="8">
        <v>17</v>
      </c>
      <c r="H6839" s="8" t="s">
        <v>39316</v>
      </c>
      <c r="I6839" s="8">
        <v>526.5</v>
      </c>
      <c r="J6839" s="3">
        <f t="shared" si="106"/>
        <v>43748.966289340278</v>
      </c>
    </row>
    <row r="6840" spans="1:10" x14ac:dyDescent="0.25">
      <c r="A6840" s="5" t="s">
        <v>39317</v>
      </c>
      <c r="B6840" s="6">
        <v>393.75</v>
      </c>
      <c r="C6840" s="6">
        <v>20.478950000000001</v>
      </c>
      <c r="D6840" s="6">
        <v>86</v>
      </c>
      <c r="E6840" s="6">
        <v>0</v>
      </c>
      <c r="F6840" s="6">
        <v>0</v>
      </c>
      <c r="G6840" s="6">
        <v>28</v>
      </c>
      <c r="H6840" s="6" t="s">
        <v>39318</v>
      </c>
      <c r="I6840" s="6">
        <v>526.6875</v>
      </c>
      <c r="J6840" s="2">
        <f t="shared" si="106"/>
        <v>43748.966360601851</v>
      </c>
    </row>
    <row r="6841" spans="1:10" x14ac:dyDescent="0.25">
      <c r="A6841" s="7" t="s">
        <v>39319</v>
      </c>
      <c r="B6841" s="8">
        <v>393.75</v>
      </c>
      <c r="C6841" s="8">
        <v>20.478950000000001</v>
      </c>
      <c r="D6841" s="8">
        <v>86</v>
      </c>
      <c r="E6841" s="8">
        <v>0</v>
      </c>
      <c r="F6841" s="8">
        <v>0</v>
      </c>
      <c r="G6841" s="8">
        <v>15</v>
      </c>
      <c r="H6841" s="8" t="s">
        <v>39320</v>
      </c>
      <c r="I6841" s="8">
        <v>526.6875</v>
      </c>
      <c r="J6841" s="3">
        <f t="shared" si="106"/>
        <v>43748.966432824069</v>
      </c>
    </row>
    <row r="6842" spans="1:10" x14ac:dyDescent="0.25">
      <c r="A6842" s="5" t="s">
        <v>39321</v>
      </c>
      <c r="B6842" s="6">
        <v>393.75</v>
      </c>
      <c r="C6842" s="6">
        <v>20.478950000000001</v>
      </c>
      <c r="D6842" s="6">
        <v>86</v>
      </c>
      <c r="E6842" s="6">
        <v>0</v>
      </c>
      <c r="F6842" s="6">
        <v>0</v>
      </c>
      <c r="G6842" s="6">
        <v>15</v>
      </c>
      <c r="H6842" s="6" t="s">
        <v>39322</v>
      </c>
      <c r="I6842" s="6">
        <v>526.6875</v>
      </c>
      <c r="J6842" s="2">
        <f t="shared" si="106"/>
        <v>43748.966516168977</v>
      </c>
    </row>
    <row r="6843" spans="1:10" x14ac:dyDescent="0.25">
      <c r="A6843" s="7" t="s">
        <v>39323</v>
      </c>
      <c r="B6843" s="8">
        <v>393.75</v>
      </c>
      <c r="C6843" s="8">
        <v>20.478950000000001</v>
      </c>
      <c r="D6843" s="8">
        <v>86</v>
      </c>
      <c r="E6843" s="8">
        <v>0</v>
      </c>
      <c r="F6843" s="8">
        <v>0</v>
      </c>
      <c r="G6843" s="8">
        <v>19</v>
      </c>
      <c r="H6843" s="8" t="s">
        <v>39324</v>
      </c>
      <c r="I6843" s="8">
        <v>526.6875</v>
      </c>
      <c r="J6843" s="3">
        <f t="shared" si="106"/>
        <v>43748.966587453702</v>
      </c>
    </row>
    <row r="6844" spans="1:10" x14ac:dyDescent="0.25">
      <c r="A6844" s="5" t="s">
        <v>39325</v>
      </c>
      <c r="B6844" s="6">
        <v>412.5</v>
      </c>
      <c r="C6844" s="6">
        <v>20.478950000000001</v>
      </c>
      <c r="D6844" s="6">
        <v>86</v>
      </c>
      <c r="E6844" s="6">
        <v>0</v>
      </c>
      <c r="F6844" s="6">
        <v>0</v>
      </c>
      <c r="G6844" s="6">
        <v>15</v>
      </c>
      <c r="H6844" s="6" t="s">
        <v>39326</v>
      </c>
      <c r="I6844" s="6">
        <v>532.3125</v>
      </c>
      <c r="J6844" s="2">
        <f t="shared" si="106"/>
        <v>43748.966659108795</v>
      </c>
    </row>
    <row r="6845" spans="1:10" x14ac:dyDescent="0.25">
      <c r="A6845" s="7" t="s">
        <v>39327</v>
      </c>
      <c r="B6845" s="8">
        <v>393.75</v>
      </c>
      <c r="C6845" s="8">
        <v>20.478950000000001</v>
      </c>
      <c r="D6845" s="8">
        <v>86</v>
      </c>
      <c r="E6845" s="8">
        <v>0</v>
      </c>
      <c r="F6845" s="8">
        <v>0</v>
      </c>
      <c r="G6845" s="8">
        <v>9</v>
      </c>
      <c r="H6845" s="8" t="s">
        <v>39328</v>
      </c>
      <c r="I6845" s="8">
        <v>526.6875</v>
      </c>
      <c r="J6845" s="3">
        <f t="shared" si="106"/>
        <v>43748.966730972221</v>
      </c>
    </row>
    <row r="6846" spans="1:10" x14ac:dyDescent="0.25">
      <c r="A6846" s="5" t="s">
        <v>39329</v>
      </c>
      <c r="B6846" s="6">
        <v>393.75</v>
      </c>
      <c r="C6846" s="6">
        <v>20.478950000000001</v>
      </c>
      <c r="D6846" s="6">
        <v>86</v>
      </c>
      <c r="E6846" s="6">
        <v>0</v>
      </c>
      <c r="F6846" s="6">
        <v>0</v>
      </c>
      <c r="G6846" s="6">
        <v>22</v>
      </c>
      <c r="H6846" s="6" t="s">
        <v>39330</v>
      </c>
      <c r="I6846" s="6">
        <v>526.6875</v>
      </c>
      <c r="J6846" s="2">
        <f t="shared" si="106"/>
        <v>43748.966802222225</v>
      </c>
    </row>
    <row r="6847" spans="1:10" x14ac:dyDescent="0.25">
      <c r="A6847" s="7" t="s">
        <v>39331</v>
      </c>
      <c r="B6847" s="8">
        <v>393.75</v>
      </c>
      <c r="C6847" s="8">
        <v>20.426300000000001</v>
      </c>
      <c r="D6847" s="8">
        <v>87</v>
      </c>
      <c r="E6847" s="8">
        <v>0</v>
      </c>
      <c r="F6847" s="8">
        <v>0</v>
      </c>
      <c r="G6847" s="8">
        <v>16</v>
      </c>
      <c r="H6847" s="8" t="s">
        <v>39332</v>
      </c>
      <c r="I6847" s="8">
        <v>526.5</v>
      </c>
      <c r="J6847" s="3">
        <f t="shared" si="106"/>
        <v>43748.96687358796</v>
      </c>
    </row>
    <row r="6848" spans="1:10" x14ac:dyDescent="0.25">
      <c r="A6848" s="5" t="s">
        <v>39333</v>
      </c>
      <c r="B6848" s="6">
        <v>393.75</v>
      </c>
      <c r="C6848" s="6">
        <v>20.478950000000001</v>
      </c>
      <c r="D6848" s="6">
        <v>86</v>
      </c>
      <c r="E6848" s="6">
        <v>0</v>
      </c>
      <c r="F6848" s="6">
        <v>0</v>
      </c>
      <c r="G6848" s="6">
        <v>22</v>
      </c>
      <c r="H6848" s="6" t="s">
        <v>39334</v>
      </c>
      <c r="I6848" s="6">
        <v>526.6875</v>
      </c>
      <c r="J6848" s="2">
        <f t="shared" si="106"/>
        <v>43748.966945613422</v>
      </c>
    </row>
    <row r="6849" spans="1:10" x14ac:dyDescent="0.25">
      <c r="A6849" s="7" t="s">
        <v>39335</v>
      </c>
      <c r="B6849" s="8">
        <v>393.75</v>
      </c>
      <c r="C6849" s="8">
        <v>20.478950000000001</v>
      </c>
      <c r="D6849" s="8">
        <v>84</v>
      </c>
      <c r="E6849" s="8">
        <v>0</v>
      </c>
      <c r="F6849" s="8">
        <v>0</v>
      </c>
      <c r="G6849" s="8">
        <v>12</v>
      </c>
      <c r="H6849" s="8" t="s">
        <v>39336</v>
      </c>
      <c r="I6849" s="8">
        <v>526.6875</v>
      </c>
      <c r="J6849" s="3">
        <f t="shared" si="106"/>
        <v>43748.967017083334</v>
      </c>
    </row>
    <row r="6850" spans="1:10" x14ac:dyDescent="0.25">
      <c r="A6850" s="5" t="s">
        <v>39337</v>
      </c>
      <c r="B6850" s="6">
        <v>393.75</v>
      </c>
      <c r="C6850" s="6">
        <v>20.478950000000001</v>
      </c>
      <c r="D6850" s="6">
        <v>85</v>
      </c>
      <c r="E6850" s="6">
        <v>0</v>
      </c>
      <c r="F6850" s="6">
        <v>0</v>
      </c>
      <c r="G6850" s="6">
        <v>21</v>
      </c>
      <c r="H6850" s="6" t="s">
        <v>39338</v>
      </c>
      <c r="I6850" s="6">
        <v>526.6875</v>
      </c>
      <c r="J6850" s="2">
        <f t="shared" ref="J6850:J6913" si="107">(H6850/86400000)+25569+(7/24)</f>
        <v>43748.967100439811</v>
      </c>
    </row>
    <row r="6851" spans="1:10" x14ac:dyDescent="0.25">
      <c r="A6851" s="7" t="s">
        <v>39339</v>
      </c>
      <c r="B6851" s="8">
        <v>393.75</v>
      </c>
      <c r="C6851" s="8">
        <v>20.478950000000001</v>
      </c>
      <c r="D6851" s="8">
        <v>84</v>
      </c>
      <c r="E6851" s="8">
        <v>0</v>
      </c>
      <c r="F6851" s="8">
        <v>0</v>
      </c>
      <c r="G6851" s="8">
        <v>19</v>
      </c>
      <c r="H6851" s="8" t="s">
        <v>39340</v>
      </c>
      <c r="I6851" s="8">
        <v>526.6875</v>
      </c>
      <c r="J6851" s="3">
        <f t="shared" si="107"/>
        <v>43748.96717167824</v>
      </c>
    </row>
    <row r="6852" spans="1:10" x14ac:dyDescent="0.25">
      <c r="A6852" s="5" t="s">
        <v>39341</v>
      </c>
      <c r="B6852" s="6">
        <v>393.75</v>
      </c>
      <c r="C6852" s="6">
        <v>20.478950000000001</v>
      </c>
      <c r="D6852" s="6">
        <v>85</v>
      </c>
      <c r="E6852" s="6">
        <v>0</v>
      </c>
      <c r="F6852" s="6">
        <v>0</v>
      </c>
      <c r="G6852" s="6">
        <v>15</v>
      </c>
      <c r="H6852" s="6" t="s">
        <v>39342</v>
      </c>
      <c r="I6852" s="6">
        <v>526.6875</v>
      </c>
      <c r="J6852" s="2">
        <f t="shared" si="107"/>
        <v>43748.967267106484</v>
      </c>
    </row>
    <row r="6853" spans="1:10" x14ac:dyDescent="0.25">
      <c r="A6853" s="7" t="s">
        <v>39343</v>
      </c>
      <c r="B6853" s="8">
        <v>393.75</v>
      </c>
      <c r="C6853" s="8">
        <v>20.478950000000001</v>
      </c>
      <c r="D6853" s="8">
        <v>84</v>
      </c>
      <c r="E6853" s="8">
        <v>0</v>
      </c>
      <c r="F6853" s="8">
        <v>0</v>
      </c>
      <c r="G6853" s="8">
        <v>16</v>
      </c>
      <c r="H6853" s="8" t="s">
        <v>39344</v>
      </c>
      <c r="I6853" s="8">
        <v>526.6875</v>
      </c>
      <c r="J6853" s="3">
        <f t="shared" si="107"/>
        <v>43748.967339305549</v>
      </c>
    </row>
    <row r="6854" spans="1:10" x14ac:dyDescent="0.25">
      <c r="A6854" s="5" t="s">
        <v>39345</v>
      </c>
      <c r="B6854" s="6">
        <v>393.75</v>
      </c>
      <c r="C6854" s="6">
        <v>20.478950000000001</v>
      </c>
      <c r="D6854" s="6">
        <v>84</v>
      </c>
      <c r="E6854" s="6">
        <v>0</v>
      </c>
      <c r="F6854" s="6">
        <v>0</v>
      </c>
      <c r="G6854" s="6">
        <v>14</v>
      </c>
      <c r="H6854" s="6" t="s">
        <v>39346</v>
      </c>
      <c r="I6854" s="6">
        <v>526.6875</v>
      </c>
      <c r="J6854" s="2">
        <f t="shared" si="107"/>
        <v>43748.96741060185</v>
      </c>
    </row>
    <row r="6855" spans="1:10" x14ac:dyDescent="0.25">
      <c r="A6855" s="7" t="s">
        <v>39347</v>
      </c>
      <c r="B6855" s="8">
        <v>393.75</v>
      </c>
      <c r="C6855" s="8">
        <v>20.478950000000001</v>
      </c>
      <c r="D6855" s="8">
        <v>84</v>
      </c>
      <c r="E6855" s="8">
        <v>0</v>
      </c>
      <c r="F6855" s="8">
        <v>0</v>
      </c>
      <c r="G6855" s="8">
        <v>16</v>
      </c>
      <c r="H6855" s="8" t="s">
        <v>39348</v>
      </c>
      <c r="I6855" s="8">
        <v>526.6875</v>
      </c>
      <c r="J6855" s="3">
        <f t="shared" si="107"/>
        <v>43748.967481898151</v>
      </c>
    </row>
    <row r="6856" spans="1:10" x14ac:dyDescent="0.25">
      <c r="A6856" s="5" t="s">
        <v>39349</v>
      </c>
      <c r="B6856" s="6">
        <v>393.75</v>
      </c>
      <c r="C6856" s="6">
        <v>20.478950000000001</v>
      </c>
      <c r="D6856" s="6">
        <v>85</v>
      </c>
      <c r="E6856" s="6">
        <v>0</v>
      </c>
      <c r="F6856" s="6">
        <v>0</v>
      </c>
      <c r="G6856" s="6">
        <v>11</v>
      </c>
      <c r="H6856" s="6" t="s">
        <v>39350</v>
      </c>
      <c r="I6856" s="6">
        <v>526.6875</v>
      </c>
      <c r="J6856" s="2">
        <f t="shared" si="107"/>
        <v>43748.967553252311</v>
      </c>
    </row>
    <row r="6857" spans="1:10" x14ac:dyDescent="0.25">
      <c r="A6857" s="7" t="s">
        <v>39351</v>
      </c>
      <c r="B6857" s="8">
        <v>393.75</v>
      </c>
      <c r="C6857" s="8">
        <v>20.478950000000001</v>
      </c>
      <c r="D6857" s="8">
        <v>84</v>
      </c>
      <c r="E6857" s="8">
        <v>0</v>
      </c>
      <c r="F6857" s="8">
        <v>0</v>
      </c>
      <c r="G6857" s="8">
        <v>20</v>
      </c>
      <c r="H6857" s="8" t="s">
        <v>39352</v>
      </c>
      <c r="I6857" s="8">
        <v>526.6875</v>
      </c>
      <c r="J6857" s="3">
        <f t="shared" si="107"/>
        <v>43748.967625439815</v>
      </c>
    </row>
    <row r="6858" spans="1:10" x14ac:dyDescent="0.25">
      <c r="A6858" s="5" t="s">
        <v>39353</v>
      </c>
      <c r="B6858" s="6">
        <v>393.75</v>
      </c>
      <c r="C6858" s="6">
        <v>20.478950000000001</v>
      </c>
      <c r="D6858" s="6">
        <v>83</v>
      </c>
      <c r="E6858" s="6">
        <v>0</v>
      </c>
      <c r="F6858" s="6">
        <v>0</v>
      </c>
      <c r="G6858" s="6">
        <v>21</v>
      </c>
      <c r="H6858" s="6" t="s">
        <v>39354</v>
      </c>
      <c r="I6858" s="6">
        <v>526.6875</v>
      </c>
      <c r="J6858" s="2">
        <f t="shared" si="107"/>
        <v>43748.96769672454</v>
      </c>
    </row>
    <row r="6859" spans="1:10" x14ac:dyDescent="0.25">
      <c r="A6859" s="7" t="s">
        <v>39355</v>
      </c>
      <c r="B6859" s="8">
        <v>393.75</v>
      </c>
      <c r="C6859" s="8">
        <v>20.478950000000001</v>
      </c>
      <c r="D6859" s="8">
        <v>83</v>
      </c>
      <c r="E6859" s="8">
        <v>0</v>
      </c>
      <c r="F6859" s="8">
        <v>0</v>
      </c>
      <c r="G6859" s="8">
        <v>17</v>
      </c>
      <c r="H6859" s="8" t="s">
        <v>39356</v>
      </c>
      <c r="I6859" s="8">
        <v>526.6875</v>
      </c>
      <c r="J6859" s="3">
        <f t="shared" si="107"/>
        <v>43748.967768009257</v>
      </c>
    </row>
    <row r="6860" spans="1:10" x14ac:dyDescent="0.25">
      <c r="A6860" s="5" t="s">
        <v>39357</v>
      </c>
      <c r="B6860" s="6">
        <v>393.75</v>
      </c>
      <c r="C6860" s="6">
        <v>20.478950000000001</v>
      </c>
      <c r="D6860" s="6">
        <v>86</v>
      </c>
      <c r="E6860" s="6">
        <v>0</v>
      </c>
      <c r="F6860" s="6">
        <v>0</v>
      </c>
      <c r="G6860" s="6">
        <v>16</v>
      </c>
      <c r="H6860" s="6" t="s">
        <v>39358</v>
      </c>
      <c r="I6860" s="6">
        <v>526.6875</v>
      </c>
      <c r="J6860" s="2">
        <f t="shared" si="107"/>
        <v>43748.967840034718</v>
      </c>
    </row>
    <row r="6861" spans="1:10" x14ac:dyDescent="0.25">
      <c r="A6861" s="7" t="s">
        <v>39359</v>
      </c>
      <c r="B6861" s="8">
        <v>393.75</v>
      </c>
      <c r="C6861" s="8">
        <v>20.478950000000001</v>
      </c>
      <c r="D6861" s="8">
        <v>86</v>
      </c>
      <c r="E6861" s="8">
        <v>0</v>
      </c>
      <c r="F6861" s="8">
        <v>0</v>
      </c>
      <c r="G6861" s="8">
        <v>21</v>
      </c>
      <c r="H6861" s="8" t="s">
        <v>39360</v>
      </c>
      <c r="I6861" s="8">
        <v>526.6875</v>
      </c>
      <c r="J6861" s="3">
        <f t="shared" si="107"/>
        <v>43748.967911550928</v>
      </c>
    </row>
    <row r="6862" spans="1:10" x14ac:dyDescent="0.25">
      <c r="A6862" s="5" t="s">
        <v>39361</v>
      </c>
      <c r="B6862" s="6">
        <v>393.75</v>
      </c>
      <c r="C6862" s="6">
        <v>20.478950000000001</v>
      </c>
      <c r="D6862" s="6">
        <v>86</v>
      </c>
      <c r="E6862" s="6">
        <v>0</v>
      </c>
      <c r="F6862" s="6">
        <v>0</v>
      </c>
      <c r="G6862" s="6">
        <v>24</v>
      </c>
      <c r="H6862" s="6" t="s">
        <v>39362</v>
      </c>
      <c r="I6862" s="6">
        <v>526.6875</v>
      </c>
      <c r="J6862" s="2">
        <f t="shared" si="107"/>
        <v>43748.967982847222</v>
      </c>
    </row>
    <row r="6863" spans="1:10" x14ac:dyDescent="0.25">
      <c r="A6863" s="7" t="s">
        <v>39363</v>
      </c>
      <c r="B6863" s="8">
        <v>412.5</v>
      </c>
      <c r="C6863" s="8">
        <v>20.478950000000001</v>
      </c>
      <c r="D6863" s="8">
        <v>86</v>
      </c>
      <c r="E6863" s="8">
        <v>0</v>
      </c>
      <c r="F6863" s="8">
        <v>0</v>
      </c>
      <c r="G6863" s="8">
        <v>18</v>
      </c>
      <c r="H6863" s="8" t="s">
        <v>39364</v>
      </c>
      <c r="I6863" s="8">
        <v>532.5</v>
      </c>
      <c r="J6863" s="3">
        <f t="shared" si="107"/>
        <v>43748.968054143515</v>
      </c>
    </row>
    <row r="6864" spans="1:10" x14ac:dyDescent="0.25">
      <c r="A6864" s="5" t="s">
        <v>39365</v>
      </c>
      <c r="B6864" s="6">
        <v>393.75</v>
      </c>
      <c r="C6864" s="6">
        <v>20.478950000000001</v>
      </c>
      <c r="D6864" s="6">
        <v>86</v>
      </c>
      <c r="E6864" s="6">
        <v>0</v>
      </c>
      <c r="F6864" s="6">
        <v>0</v>
      </c>
      <c r="G6864" s="6">
        <v>18</v>
      </c>
      <c r="H6864" s="6" t="s">
        <v>39366</v>
      </c>
      <c r="I6864" s="6">
        <v>526.6875</v>
      </c>
      <c r="J6864" s="2">
        <f t="shared" si="107"/>
        <v>43748.968126354164</v>
      </c>
    </row>
    <row r="6865" spans="1:10" x14ac:dyDescent="0.25">
      <c r="A6865" s="7" t="s">
        <v>39367</v>
      </c>
      <c r="B6865" s="8">
        <v>393.75</v>
      </c>
      <c r="C6865" s="8">
        <v>20.478950000000001</v>
      </c>
      <c r="D6865" s="8">
        <v>86</v>
      </c>
      <c r="E6865" s="8">
        <v>0</v>
      </c>
      <c r="F6865" s="8">
        <v>0</v>
      </c>
      <c r="G6865" s="8">
        <v>20</v>
      </c>
      <c r="H6865" s="8" t="s">
        <v>39368</v>
      </c>
      <c r="I6865" s="8">
        <v>526.6875</v>
      </c>
      <c r="J6865" s="3">
        <f t="shared" si="107"/>
        <v>43748.968197592585</v>
      </c>
    </row>
    <row r="6866" spans="1:10" x14ac:dyDescent="0.25">
      <c r="A6866" s="5" t="s">
        <v>39369</v>
      </c>
      <c r="B6866" s="6">
        <v>393.75</v>
      </c>
      <c r="C6866" s="6">
        <v>20.478950000000001</v>
      </c>
      <c r="D6866" s="6">
        <v>86</v>
      </c>
      <c r="E6866" s="6">
        <v>0</v>
      </c>
      <c r="F6866" s="6">
        <v>0</v>
      </c>
      <c r="G6866" s="6">
        <v>9</v>
      </c>
      <c r="H6866" s="6" t="s">
        <v>39370</v>
      </c>
      <c r="I6866" s="6">
        <v>526.6875</v>
      </c>
      <c r="J6866" s="2">
        <f t="shared" si="107"/>
        <v>43748.968268946752</v>
      </c>
    </row>
    <row r="6867" spans="1:10" x14ac:dyDescent="0.25">
      <c r="A6867" s="7" t="s">
        <v>39371</v>
      </c>
      <c r="B6867" s="8">
        <v>393.75</v>
      </c>
      <c r="C6867" s="8">
        <v>20.478950000000001</v>
      </c>
      <c r="D6867" s="8">
        <v>86</v>
      </c>
      <c r="E6867" s="8">
        <v>0</v>
      </c>
      <c r="F6867" s="8">
        <v>0</v>
      </c>
      <c r="G6867" s="8">
        <v>13</v>
      </c>
      <c r="H6867" s="8" t="s">
        <v>39372</v>
      </c>
      <c r="I6867" s="8">
        <v>526.6875</v>
      </c>
      <c r="J6867" s="3">
        <f t="shared" si="107"/>
        <v>43748.96834028935</v>
      </c>
    </row>
    <row r="6868" spans="1:10" x14ac:dyDescent="0.25">
      <c r="A6868" s="5" t="s">
        <v>39373</v>
      </c>
      <c r="B6868" s="6">
        <v>393.75</v>
      </c>
      <c r="C6868" s="6">
        <v>20.478950000000001</v>
      </c>
      <c r="D6868" s="6">
        <v>86</v>
      </c>
      <c r="E6868" s="6">
        <v>0</v>
      </c>
      <c r="F6868" s="6">
        <v>0</v>
      </c>
      <c r="G6868" s="6">
        <v>21</v>
      </c>
      <c r="H6868" s="6" t="s">
        <v>39374</v>
      </c>
      <c r="I6868" s="6">
        <v>526.6875</v>
      </c>
      <c r="J6868" s="2">
        <f t="shared" si="107"/>
        <v>43748.968412453702</v>
      </c>
    </row>
    <row r="6869" spans="1:10" x14ac:dyDescent="0.25">
      <c r="A6869" s="7" t="s">
        <v>39375</v>
      </c>
      <c r="B6869" s="8">
        <v>393.75</v>
      </c>
      <c r="C6869" s="8">
        <v>20.478950000000001</v>
      </c>
      <c r="D6869" s="8">
        <v>85</v>
      </c>
      <c r="E6869" s="8">
        <v>0</v>
      </c>
      <c r="F6869" s="8">
        <v>0</v>
      </c>
      <c r="G6869" s="8">
        <v>18</v>
      </c>
      <c r="H6869" s="8" t="s">
        <v>39376</v>
      </c>
      <c r="I6869" s="8">
        <v>526.6875</v>
      </c>
      <c r="J6869" s="3">
        <f t="shared" si="107"/>
        <v>43748.968483703698</v>
      </c>
    </row>
    <row r="6870" spans="1:10" x14ac:dyDescent="0.25">
      <c r="A6870" s="5" t="s">
        <v>39377</v>
      </c>
      <c r="B6870" s="6">
        <v>393.75</v>
      </c>
      <c r="C6870" s="6">
        <v>20.478950000000001</v>
      </c>
      <c r="D6870" s="6">
        <v>86</v>
      </c>
      <c r="E6870" s="6">
        <v>0</v>
      </c>
      <c r="F6870" s="6">
        <v>0</v>
      </c>
      <c r="G6870" s="6">
        <v>12</v>
      </c>
      <c r="H6870" s="6" t="s">
        <v>39378</v>
      </c>
      <c r="I6870" s="6">
        <v>526.6875</v>
      </c>
      <c r="J6870" s="2">
        <f t="shared" si="107"/>
        <v>43748.968555046296</v>
      </c>
    </row>
    <row r="6871" spans="1:10" x14ac:dyDescent="0.25">
      <c r="A6871" s="7" t="s">
        <v>39379</v>
      </c>
      <c r="B6871" s="8">
        <v>393.75</v>
      </c>
      <c r="C6871" s="8">
        <v>20.478950000000001</v>
      </c>
      <c r="D6871" s="8">
        <v>86</v>
      </c>
      <c r="E6871" s="8">
        <v>0</v>
      </c>
      <c r="F6871" s="8">
        <v>0</v>
      </c>
      <c r="G6871" s="8">
        <v>16</v>
      </c>
      <c r="H6871" s="8" t="s">
        <v>39380</v>
      </c>
      <c r="I6871" s="8">
        <v>526.6875</v>
      </c>
      <c r="J6871" s="3">
        <f t="shared" si="107"/>
        <v>43748.968634027777</v>
      </c>
    </row>
    <row r="6872" spans="1:10" x14ac:dyDescent="0.25">
      <c r="A6872" s="5" t="s">
        <v>39381</v>
      </c>
      <c r="B6872" s="6">
        <v>393.75</v>
      </c>
      <c r="C6872" s="6">
        <v>20.478950000000001</v>
      </c>
      <c r="D6872" s="6">
        <v>86</v>
      </c>
      <c r="E6872" s="6">
        <v>0</v>
      </c>
      <c r="F6872" s="6">
        <v>0</v>
      </c>
      <c r="G6872" s="6">
        <v>15</v>
      </c>
      <c r="H6872" s="6" t="s">
        <v>39382</v>
      </c>
      <c r="I6872" s="6">
        <v>526.6875</v>
      </c>
      <c r="J6872" s="2">
        <f t="shared" si="107"/>
        <v>43748.968710208334</v>
      </c>
    </row>
    <row r="6873" spans="1:10" x14ac:dyDescent="0.25">
      <c r="A6873" s="7" t="s">
        <v>39383</v>
      </c>
      <c r="B6873" s="8">
        <v>393.75</v>
      </c>
      <c r="C6873" s="8">
        <v>20.426300000000001</v>
      </c>
      <c r="D6873" s="8">
        <v>86</v>
      </c>
      <c r="E6873" s="8">
        <v>0</v>
      </c>
      <c r="F6873" s="8">
        <v>0</v>
      </c>
      <c r="G6873" s="8">
        <v>22</v>
      </c>
      <c r="H6873" s="8" t="s">
        <v>39384</v>
      </c>
      <c r="I6873" s="8">
        <v>526.6875</v>
      </c>
      <c r="J6873" s="3">
        <f t="shared" si="107"/>
        <v>43748.968793599539</v>
      </c>
    </row>
    <row r="6874" spans="1:10" x14ac:dyDescent="0.25">
      <c r="A6874" s="5" t="s">
        <v>39385</v>
      </c>
      <c r="B6874" s="6">
        <v>428.125</v>
      </c>
      <c r="C6874" s="6">
        <v>20.426300000000001</v>
      </c>
      <c r="D6874" s="6">
        <v>87</v>
      </c>
      <c r="E6874" s="6">
        <v>0</v>
      </c>
      <c r="F6874" s="6">
        <v>0</v>
      </c>
      <c r="G6874" s="6">
        <v>14</v>
      </c>
      <c r="H6874" s="6" t="s">
        <v>39386</v>
      </c>
      <c r="I6874" s="6">
        <v>537.375</v>
      </c>
      <c r="J6874" s="2">
        <f t="shared" si="107"/>
        <v>43748.968876990737</v>
      </c>
    </row>
    <row r="6875" spans="1:10" x14ac:dyDescent="0.25">
      <c r="A6875" s="7" t="s">
        <v>39387</v>
      </c>
      <c r="B6875" s="8">
        <v>393.75</v>
      </c>
      <c r="C6875" s="8">
        <v>20.478950000000001</v>
      </c>
      <c r="D6875" s="8">
        <v>87</v>
      </c>
      <c r="E6875" s="8">
        <v>0</v>
      </c>
      <c r="F6875" s="8">
        <v>0</v>
      </c>
      <c r="G6875" s="8">
        <v>10</v>
      </c>
      <c r="H6875" s="8" t="s">
        <v>39388</v>
      </c>
      <c r="I6875" s="8">
        <v>526.5</v>
      </c>
      <c r="J6875" s="3">
        <f t="shared" si="107"/>
        <v>43748.968949027774</v>
      </c>
    </row>
    <row r="6876" spans="1:10" x14ac:dyDescent="0.25">
      <c r="A6876" s="5" t="s">
        <v>39389</v>
      </c>
      <c r="B6876" s="6">
        <v>393.75</v>
      </c>
      <c r="C6876" s="6">
        <v>20.478950000000001</v>
      </c>
      <c r="D6876" s="6">
        <v>87</v>
      </c>
      <c r="E6876" s="6">
        <v>0</v>
      </c>
      <c r="F6876" s="6">
        <v>0</v>
      </c>
      <c r="G6876" s="6">
        <v>16</v>
      </c>
      <c r="H6876" s="6" t="s">
        <v>39390</v>
      </c>
      <c r="I6876" s="6">
        <v>526.6875</v>
      </c>
      <c r="J6876" s="2">
        <f t="shared" si="107"/>
        <v>43748.969020381941</v>
      </c>
    </row>
    <row r="6877" spans="1:10" x14ac:dyDescent="0.25">
      <c r="A6877" s="7" t="s">
        <v>39391</v>
      </c>
      <c r="B6877" s="8">
        <v>393.75</v>
      </c>
      <c r="C6877" s="8">
        <v>20.478950000000001</v>
      </c>
      <c r="D6877" s="8">
        <v>89</v>
      </c>
      <c r="E6877" s="8">
        <v>0</v>
      </c>
      <c r="F6877" s="8">
        <v>0</v>
      </c>
      <c r="G6877" s="8">
        <v>21</v>
      </c>
      <c r="H6877" s="8" t="s">
        <v>39392</v>
      </c>
      <c r="I6877" s="8">
        <v>526.6875</v>
      </c>
      <c r="J6877" s="3">
        <f t="shared" si="107"/>
        <v>43748.969092546293</v>
      </c>
    </row>
    <row r="6878" spans="1:10" x14ac:dyDescent="0.25">
      <c r="A6878" s="5" t="s">
        <v>39393</v>
      </c>
      <c r="B6878" s="6">
        <v>393.75</v>
      </c>
      <c r="C6878" s="6">
        <v>20.478950000000001</v>
      </c>
      <c r="D6878" s="6">
        <v>89</v>
      </c>
      <c r="E6878" s="6">
        <v>0</v>
      </c>
      <c r="F6878" s="6">
        <v>0</v>
      </c>
      <c r="G6878" s="6">
        <v>12</v>
      </c>
      <c r="H6878" s="6" t="s">
        <v>39394</v>
      </c>
      <c r="I6878" s="6">
        <v>526.6875</v>
      </c>
      <c r="J6878" s="2">
        <f t="shared" si="107"/>
        <v>43748.969163854163</v>
      </c>
    </row>
    <row r="6879" spans="1:10" x14ac:dyDescent="0.25">
      <c r="A6879" s="7" t="s">
        <v>39395</v>
      </c>
      <c r="B6879" s="8">
        <v>393.75</v>
      </c>
      <c r="C6879" s="8">
        <v>20.478950000000001</v>
      </c>
      <c r="D6879" s="8">
        <v>89</v>
      </c>
      <c r="E6879" s="8">
        <v>0</v>
      </c>
      <c r="F6879" s="8">
        <v>0</v>
      </c>
      <c r="G6879" s="8">
        <v>22</v>
      </c>
      <c r="H6879" s="8" t="s">
        <v>39396</v>
      </c>
      <c r="I6879" s="8">
        <v>526.6875</v>
      </c>
      <c r="J6879" s="3">
        <f t="shared" si="107"/>
        <v>43748.969235150456</v>
      </c>
    </row>
    <row r="6880" spans="1:10" x14ac:dyDescent="0.25">
      <c r="A6880" s="5" t="s">
        <v>39397</v>
      </c>
      <c r="B6880" s="6">
        <v>393.75</v>
      </c>
      <c r="C6880" s="6">
        <v>20.478950000000001</v>
      </c>
      <c r="D6880" s="6">
        <v>89</v>
      </c>
      <c r="E6880" s="6">
        <v>0</v>
      </c>
      <c r="F6880" s="6">
        <v>0</v>
      </c>
      <c r="G6880" s="6">
        <v>15</v>
      </c>
      <c r="H6880" s="6" t="s">
        <v>39398</v>
      </c>
      <c r="I6880" s="6">
        <v>526.5</v>
      </c>
      <c r="J6880" s="2">
        <f t="shared" si="107"/>
        <v>43748.969306516206</v>
      </c>
    </row>
    <row r="6881" spans="1:10" x14ac:dyDescent="0.25">
      <c r="A6881" s="7" t="s">
        <v>39399</v>
      </c>
      <c r="B6881" s="8">
        <v>393.75</v>
      </c>
      <c r="C6881" s="8">
        <v>20.426300000000001</v>
      </c>
      <c r="D6881" s="8">
        <v>87</v>
      </c>
      <c r="E6881" s="8">
        <v>0</v>
      </c>
      <c r="F6881" s="8">
        <v>0</v>
      </c>
      <c r="G6881" s="8">
        <v>24</v>
      </c>
      <c r="H6881" s="8" t="s">
        <v>39400</v>
      </c>
      <c r="I6881" s="8">
        <v>526.6875</v>
      </c>
      <c r="J6881" s="3">
        <f t="shared" si="107"/>
        <v>43748.969389895828</v>
      </c>
    </row>
    <row r="6882" spans="1:10" x14ac:dyDescent="0.25">
      <c r="A6882" s="5" t="s">
        <v>39401</v>
      </c>
      <c r="B6882" s="6">
        <v>393.75</v>
      </c>
      <c r="C6882" s="6">
        <v>20.478950000000001</v>
      </c>
      <c r="D6882" s="6">
        <v>87</v>
      </c>
      <c r="E6882" s="6">
        <v>0</v>
      </c>
      <c r="F6882" s="6">
        <v>0</v>
      </c>
      <c r="G6882" s="6">
        <v>29</v>
      </c>
      <c r="H6882" s="6" t="s">
        <v>39402</v>
      </c>
      <c r="I6882" s="6">
        <v>526.6875</v>
      </c>
      <c r="J6882" s="2">
        <f t="shared" si="107"/>
        <v>43748.969462071756</v>
      </c>
    </row>
    <row r="6883" spans="1:10" x14ac:dyDescent="0.25">
      <c r="A6883" s="7" t="s">
        <v>39403</v>
      </c>
      <c r="B6883" s="8">
        <v>393.75</v>
      </c>
      <c r="C6883" s="8">
        <v>20.478950000000001</v>
      </c>
      <c r="D6883" s="8">
        <v>87</v>
      </c>
      <c r="E6883" s="8">
        <v>0</v>
      </c>
      <c r="F6883" s="8">
        <v>0</v>
      </c>
      <c r="G6883" s="8">
        <v>20</v>
      </c>
      <c r="H6883" s="8" t="s">
        <v>39404</v>
      </c>
      <c r="I6883" s="8">
        <v>526.6875</v>
      </c>
      <c r="J6883" s="3">
        <f t="shared" si="107"/>
        <v>43748.969533344905</v>
      </c>
    </row>
    <row r="6884" spans="1:10" x14ac:dyDescent="0.25">
      <c r="A6884" s="5" t="s">
        <v>39405</v>
      </c>
      <c r="B6884" s="6">
        <v>393.75</v>
      </c>
      <c r="C6884" s="6">
        <v>20.478950000000001</v>
      </c>
      <c r="D6884" s="6">
        <v>88</v>
      </c>
      <c r="E6884" s="6">
        <v>0</v>
      </c>
      <c r="F6884" s="6">
        <v>0</v>
      </c>
      <c r="G6884" s="6">
        <v>21</v>
      </c>
      <c r="H6884" s="6" t="s">
        <v>39406</v>
      </c>
      <c r="I6884" s="6">
        <v>526.6875</v>
      </c>
      <c r="J6884" s="2">
        <f t="shared" si="107"/>
        <v>43748.969604594902</v>
      </c>
    </row>
    <row r="6885" spans="1:10" x14ac:dyDescent="0.25">
      <c r="A6885" s="7" t="s">
        <v>39407</v>
      </c>
      <c r="B6885" s="8">
        <v>393.75</v>
      </c>
      <c r="C6885" s="8">
        <v>20.478950000000001</v>
      </c>
      <c r="D6885" s="8">
        <v>87</v>
      </c>
      <c r="E6885" s="8">
        <v>0</v>
      </c>
      <c r="F6885" s="8">
        <v>0</v>
      </c>
      <c r="G6885" s="8">
        <v>14</v>
      </c>
      <c r="H6885" s="8" t="s">
        <v>39408</v>
      </c>
      <c r="I6885" s="8">
        <v>526.6875</v>
      </c>
      <c r="J6885" s="3">
        <f t="shared" si="107"/>
        <v>43748.969687997684</v>
      </c>
    </row>
    <row r="6886" spans="1:10" x14ac:dyDescent="0.25">
      <c r="A6886" s="5" t="s">
        <v>39409</v>
      </c>
      <c r="B6886" s="6">
        <v>393.75</v>
      </c>
      <c r="C6886" s="6">
        <v>20.478950000000001</v>
      </c>
      <c r="D6886" s="6">
        <v>87</v>
      </c>
      <c r="E6886" s="6">
        <v>0</v>
      </c>
      <c r="F6886" s="6">
        <v>0</v>
      </c>
      <c r="G6886" s="6">
        <v>22</v>
      </c>
      <c r="H6886" s="6" t="s">
        <v>39410</v>
      </c>
      <c r="I6886" s="6">
        <v>526.6875</v>
      </c>
      <c r="J6886" s="2">
        <f t="shared" si="107"/>
        <v>43748.969760173604</v>
      </c>
    </row>
    <row r="6887" spans="1:10" x14ac:dyDescent="0.25">
      <c r="A6887" s="7" t="s">
        <v>39411</v>
      </c>
      <c r="B6887" s="8">
        <v>393.75</v>
      </c>
      <c r="C6887" s="8">
        <v>20.478950000000001</v>
      </c>
      <c r="D6887" s="8">
        <v>86</v>
      </c>
      <c r="E6887" s="8">
        <v>0</v>
      </c>
      <c r="F6887" s="8">
        <v>0</v>
      </c>
      <c r="G6887" s="8">
        <v>18</v>
      </c>
      <c r="H6887" s="8" t="s">
        <v>39412</v>
      </c>
      <c r="I6887" s="8">
        <v>526.6875</v>
      </c>
      <c r="J6887" s="3">
        <f t="shared" si="107"/>
        <v>43748.969831261573</v>
      </c>
    </row>
    <row r="6888" spans="1:10" x14ac:dyDescent="0.25">
      <c r="A6888" s="5" t="s">
        <v>39413</v>
      </c>
      <c r="B6888" s="6">
        <v>393.75</v>
      </c>
      <c r="C6888" s="6">
        <v>20.478950000000001</v>
      </c>
      <c r="D6888" s="6">
        <v>88</v>
      </c>
      <c r="E6888" s="6">
        <v>0</v>
      </c>
      <c r="F6888" s="6">
        <v>0</v>
      </c>
      <c r="G6888" s="6">
        <v>15</v>
      </c>
      <c r="H6888" s="6" t="s">
        <v>39414</v>
      </c>
      <c r="I6888" s="6">
        <v>526.6875</v>
      </c>
      <c r="J6888" s="2">
        <f t="shared" si="107"/>
        <v>43748.969914733789</v>
      </c>
    </row>
    <row r="6889" spans="1:10" x14ac:dyDescent="0.25">
      <c r="A6889" s="7" t="s">
        <v>39415</v>
      </c>
      <c r="B6889" s="8">
        <v>393.75</v>
      </c>
      <c r="C6889" s="8">
        <v>20.478950000000001</v>
      </c>
      <c r="D6889" s="8">
        <v>88</v>
      </c>
      <c r="E6889" s="8">
        <v>0</v>
      </c>
      <c r="F6889" s="8">
        <v>0</v>
      </c>
      <c r="G6889" s="8">
        <v>16</v>
      </c>
      <c r="H6889" s="8" t="s">
        <v>39416</v>
      </c>
      <c r="I6889" s="8">
        <v>526.6875</v>
      </c>
      <c r="J6889" s="3">
        <f t="shared" si="107"/>
        <v>43748.969986307864</v>
      </c>
    </row>
    <row r="6890" spans="1:10" x14ac:dyDescent="0.25">
      <c r="A6890" s="5" t="s">
        <v>39417</v>
      </c>
      <c r="B6890" s="6">
        <v>393.75</v>
      </c>
      <c r="C6890" s="6">
        <v>20.478950000000001</v>
      </c>
      <c r="D6890" s="6">
        <v>88</v>
      </c>
      <c r="E6890" s="6">
        <v>0</v>
      </c>
      <c r="F6890" s="6">
        <v>0</v>
      </c>
      <c r="G6890" s="6">
        <v>24</v>
      </c>
      <c r="H6890" s="6" t="s">
        <v>39418</v>
      </c>
      <c r="I6890" s="6">
        <v>526.6875</v>
      </c>
      <c r="J6890" s="2">
        <f t="shared" si="107"/>
        <v>43748.970058194442</v>
      </c>
    </row>
    <row r="6891" spans="1:10" x14ac:dyDescent="0.25">
      <c r="A6891" s="7" t="s">
        <v>39419</v>
      </c>
      <c r="B6891" s="8">
        <v>393.75</v>
      </c>
      <c r="C6891" s="8">
        <v>20.478950000000001</v>
      </c>
      <c r="D6891" s="8">
        <v>88</v>
      </c>
      <c r="E6891" s="8">
        <v>0</v>
      </c>
      <c r="F6891" s="8">
        <v>0</v>
      </c>
      <c r="G6891" s="8">
        <v>18</v>
      </c>
      <c r="H6891" s="8" t="s">
        <v>39420</v>
      </c>
      <c r="I6891" s="8">
        <v>526.5</v>
      </c>
      <c r="J6891" s="3">
        <f t="shared" si="107"/>
        <v>43748.97012953704</v>
      </c>
    </row>
    <row r="6892" spans="1:10" x14ac:dyDescent="0.25">
      <c r="A6892" s="5" t="s">
        <v>39421</v>
      </c>
      <c r="B6892" s="6">
        <v>393.75</v>
      </c>
      <c r="C6892" s="6">
        <v>20.478950000000001</v>
      </c>
      <c r="D6892" s="6">
        <v>85</v>
      </c>
      <c r="E6892" s="6">
        <v>0</v>
      </c>
      <c r="F6892" s="6">
        <v>0</v>
      </c>
      <c r="G6892" s="6">
        <v>16</v>
      </c>
      <c r="H6892" s="6" t="s">
        <v>39422</v>
      </c>
      <c r="I6892" s="6">
        <v>526.6875</v>
      </c>
      <c r="J6892" s="2">
        <f t="shared" si="107"/>
        <v>43748.970212881941</v>
      </c>
    </row>
    <row r="6893" spans="1:10" x14ac:dyDescent="0.25">
      <c r="A6893" s="7" t="s">
        <v>39423</v>
      </c>
      <c r="B6893" s="8">
        <v>393.75</v>
      </c>
      <c r="C6893" s="8">
        <v>20.478950000000001</v>
      </c>
      <c r="D6893" s="8">
        <v>83</v>
      </c>
      <c r="E6893" s="8">
        <v>0</v>
      </c>
      <c r="F6893" s="8">
        <v>0</v>
      </c>
      <c r="G6893" s="8">
        <v>18</v>
      </c>
      <c r="H6893" s="8" t="s">
        <v>39424</v>
      </c>
      <c r="I6893" s="8">
        <v>526.6875</v>
      </c>
      <c r="J6893" s="3">
        <f t="shared" si="107"/>
        <v>43748.97028509259</v>
      </c>
    </row>
    <row r="6894" spans="1:10" x14ac:dyDescent="0.25">
      <c r="A6894" s="5" t="s">
        <v>39425</v>
      </c>
      <c r="B6894" s="6">
        <v>393.75</v>
      </c>
      <c r="C6894" s="6">
        <v>20.478950000000001</v>
      </c>
      <c r="D6894" s="6">
        <v>88</v>
      </c>
      <c r="E6894" s="6">
        <v>0</v>
      </c>
      <c r="F6894" s="6">
        <v>0</v>
      </c>
      <c r="G6894" s="6">
        <v>19</v>
      </c>
      <c r="H6894" s="6" t="s">
        <v>39426</v>
      </c>
      <c r="I6894" s="6">
        <v>526.6875</v>
      </c>
      <c r="J6894" s="2">
        <f t="shared" si="107"/>
        <v>43748.970356388883</v>
      </c>
    </row>
    <row r="6895" spans="1:10" x14ac:dyDescent="0.25">
      <c r="A6895" s="7" t="s">
        <v>39427</v>
      </c>
      <c r="B6895" s="8">
        <v>393.75</v>
      </c>
      <c r="C6895" s="8">
        <v>20.478950000000001</v>
      </c>
      <c r="D6895" s="8">
        <v>86</v>
      </c>
      <c r="E6895" s="8">
        <v>0</v>
      </c>
      <c r="F6895" s="8">
        <v>0</v>
      </c>
      <c r="G6895" s="8">
        <v>12</v>
      </c>
      <c r="H6895" s="8" t="s">
        <v>39428</v>
      </c>
      <c r="I6895" s="8">
        <v>526.6875</v>
      </c>
      <c r="J6895" s="3">
        <f t="shared" si="107"/>
        <v>43748.970441516205</v>
      </c>
    </row>
    <row r="6896" spans="1:10" x14ac:dyDescent="0.25">
      <c r="A6896" s="5" t="s">
        <v>39429</v>
      </c>
      <c r="B6896" s="6">
        <v>393.75</v>
      </c>
      <c r="C6896" s="6">
        <v>20.478950000000001</v>
      </c>
      <c r="D6896" s="6">
        <v>85</v>
      </c>
      <c r="E6896" s="6">
        <v>0</v>
      </c>
      <c r="F6896" s="6">
        <v>0</v>
      </c>
      <c r="G6896" s="6">
        <v>18</v>
      </c>
      <c r="H6896" s="6" t="s">
        <v>39430</v>
      </c>
      <c r="I6896" s="6">
        <v>526.5</v>
      </c>
      <c r="J6896" s="2">
        <f t="shared" si="107"/>
        <v>43748.970523067132</v>
      </c>
    </row>
    <row r="6897" spans="1:10" x14ac:dyDescent="0.25">
      <c r="A6897" s="7" t="s">
        <v>39431</v>
      </c>
      <c r="B6897" s="8">
        <v>393.75</v>
      </c>
      <c r="C6897" s="8">
        <v>20.478950000000001</v>
      </c>
      <c r="D6897" s="8">
        <v>85</v>
      </c>
      <c r="E6897" s="8">
        <v>0</v>
      </c>
      <c r="F6897" s="8">
        <v>0</v>
      </c>
      <c r="G6897" s="8">
        <v>18</v>
      </c>
      <c r="H6897" s="8" t="s">
        <v>39432</v>
      </c>
      <c r="I6897" s="8">
        <v>526.6875</v>
      </c>
      <c r="J6897" s="3">
        <f t="shared" si="107"/>
        <v>43748.970594548613</v>
      </c>
    </row>
    <row r="6898" spans="1:10" x14ac:dyDescent="0.25">
      <c r="A6898" s="5" t="s">
        <v>39433</v>
      </c>
      <c r="B6898" s="6">
        <v>393.75</v>
      </c>
      <c r="C6898" s="6">
        <v>20.478950000000001</v>
      </c>
      <c r="D6898" s="6">
        <v>83</v>
      </c>
      <c r="E6898" s="6">
        <v>0</v>
      </c>
      <c r="F6898" s="6">
        <v>0</v>
      </c>
      <c r="G6898" s="6">
        <v>15</v>
      </c>
      <c r="H6898" s="6" t="s">
        <v>39434</v>
      </c>
      <c r="I6898" s="6">
        <v>526.6875</v>
      </c>
      <c r="J6898" s="2">
        <f t="shared" si="107"/>
        <v>43748.970689837959</v>
      </c>
    </row>
    <row r="6899" spans="1:10" x14ac:dyDescent="0.25">
      <c r="A6899" s="7" t="s">
        <v>39435</v>
      </c>
      <c r="B6899" s="8">
        <v>393.75</v>
      </c>
      <c r="C6899" s="8">
        <v>20.478950000000001</v>
      </c>
      <c r="D6899" s="8">
        <v>83</v>
      </c>
      <c r="E6899" s="8">
        <v>0</v>
      </c>
      <c r="F6899" s="8">
        <v>0</v>
      </c>
      <c r="G6899" s="8">
        <v>14</v>
      </c>
      <c r="H6899" s="8" t="s">
        <v>39436</v>
      </c>
      <c r="I6899" s="8">
        <v>526.6875</v>
      </c>
      <c r="J6899" s="3">
        <f t="shared" si="107"/>
        <v>43748.970761898141</v>
      </c>
    </row>
    <row r="6900" spans="1:10" x14ac:dyDescent="0.25">
      <c r="A6900" s="5" t="s">
        <v>39437</v>
      </c>
      <c r="B6900" s="6">
        <v>393.75</v>
      </c>
      <c r="C6900" s="6">
        <v>20.478950000000001</v>
      </c>
      <c r="D6900" s="6">
        <v>83</v>
      </c>
      <c r="E6900" s="6">
        <v>0</v>
      </c>
      <c r="F6900" s="6">
        <v>0</v>
      </c>
      <c r="G6900" s="6">
        <v>14</v>
      </c>
      <c r="H6900" s="6" t="s">
        <v>39438</v>
      </c>
      <c r="I6900" s="6">
        <v>526.6875</v>
      </c>
      <c r="J6900" s="2">
        <f t="shared" si="107"/>
        <v>43748.970832789353</v>
      </c>
    </row>
    <row r="6901" spans="1:10" x14ac:dyDescent="0.25">
      <c r="A6901" s="7" t="s">
        <v>39439</v>
      </c>
      <c r="B6901" s="8">
        <v>428.125</v>
      </c>
      <c r="C6901" s="8">
        <v>20.426300000000001</v>
      </c>
      <c r="D6901" s="8">
        <v>85</v>
      </c>
      <c r="E6901" s="8">
        <v>0</v>
      </c>
      <c r="F6901" s="8">
        <v>0</v>
      </c>
      <c r="G6901" s="8">
        <v>15</v>
      </c>
      <c r="H6901" s="8" t="s">
        <v>39440</v>
      </c>
      <c r="I6901" s="8">
        <v>537.1875</v>
      </c>
      <c r="J6901" s="3">
        <f t="shared" si="107"/>
        <v>43748.970904571754</v>
      </c>
    </row>
    <row r="6902" spans="1:10" x14ac:dyDescent="0.25">
      <c r="A6902" s="5" t="s">
        <v>39441</v>
      </c>
      <c r="B6902" s="6">
        <v>393.75</v>
      </c>
      <c r="C6902" s="6">
        <v>20.478950000000001</v>
      </c>
      <c r="D6902" s="6">
        <v>86</v>
      </c>
      <c r="E6902" s="6">
        <v>0</v>
      </c>
      <c r="F6902" s="6">
        <v>0</v>
      </c>
      <c r="G6902" s="6">
        <v>27</v>
      </c>
      <c r="H6902" s="6" t="s">
        <v>39442</v>
      </c>
      <c r="I6902" s="6">
        <v>526.6875</v>
      </c>
      <c r="J6902" s="2">
        <f t="shared" si="107"/>
        <v>43748.970976759258</v>
      </c>
    </row>
    <row r="6903" spans="1:10" x14ac:dyDescent="0.25">
      <c r="A6903" s="7" t="s">
        <v>39443</v>
      </c>
      <c r="B6903" s="8">
        <v>393.75</v>
      </c>
      <c r="C6903" s="8">
        <v>20.426300000000001</v>
      </c>
      <c r="D6903" s="8">
        <v>86</v>
      </c>
      <c r="E6903" s="8">
        <v>0</v>
      </c>
      <c r="F6903" s="8">
        <v>0</v>
      </c>
      <c r="G6903" s="8">
        <v>18</v>
      </c>
      <c r="H6903" s="8" t="s">
        <v>39444</v>
      </c>
      <c r="I6903" s="8">
        <v>526.6875</v>
      </c>
      <c r="J6903" s="3">
        <f t="shared" si="107"/>
        <v>43748.971048067127</v>
      </c>
    </row>
    <row r="6904" spans="1:10" x14ac:dyDescent="0.25">
      <c r="A6904" s="5" t="s">
        <v>39445</v>
      </c>
      <c r="B6904" s="6">
        <v>393.75</v>
      </c>
      <c r="C6904" s="6">
        <v>20.426300000000001</v>
      </c>
      <c r="D6904" s="6">
        <v>84</v>
      </c>
      <c r="E6904" s="6">
        <v>0</v>
      </c>
      <c r="F6904" s="6">
        <v>0</v>
      </c>
      <c r="G6904" s="6">
        <v>19</v>
      </c>
      <c r="H6904" s="6" t="s">
        <v>39446</v>
      </c>
      <c r="I6904" s="6">
        <v>526.6875</v>
      </c>
      <c r="J6904" s="2">
        <f t="shared" si="107"/>
        <v>43748.971119293979</v>
      </c>
    </row>
    <row r="6905" spans="1:10" x14ac:dyDescent="0.25">
      <c r="A6905" s="7" t="s">
        <v>39447</v>
      </c>
      <c r="B6905" s="8">
        <v>393.75</v>
      </c>
      <c r="C6905" s="8">
        <v>20.478950000000001</v>
      </c>
      <c r="D6905" s="8">
        <v>84</v>
      </c>
      <c r="E6905" s="8">
        <v>0</v>
      </c>
      <c r="F6905" s="8">
        <v>0</v>
      </c>
      <c r="G6905" s="8">
        <v>24</v>
      </c>
      <c r="H6905" s="8" t="s">
        <v>39448</v>
      </c>
      <c r="I6905" s="8">
        <v>526.5</v>
      </c>
      <c r="J6905" s="3">
        <f t="shared" si="107"/>
        <v>43748.971190833334</v>
      </c>
    </row>
    <row r="6906" spans="1:10" x14ac:dyDescent="0.25">
      <c r="A6906" s="5" t="s">
        <v>39449</v>
      </c>
      <c r="B6906" s="6">
        <v>393.75</v>
      </c>
      <c r="C6906" s="6">
        <v>20.478950000000001</v>
      </c>
      <c r="D6906" s="6">
        <v>80</v>
      </c>
      <c r="E6906" s="6">
        <v>0</v>
      </c>
      <c r="F6906" s="6">
        <v>0</v>
      </c>
      <c r="G6906" s="6">
        <v>22</v>
      </c>
      <c r="H6906" s="6" t="s">
        <v>39450</v>
      </c>
      <c r="I6906" s="6">
        <v>526.6875</v>
      </c>
      <c r="J6906" s="2">
        <f t="shared" si="107"/>
        <v>43748.971262824074</v>
      </c>
    </row>
    <row r="6907" spans="1:10" x14ac:dyDescent="0.25">
      <c r="A6907" s="7" t="s">
        <v>39451</v>
      </c>
      <c r="B6907" s="8">
        <v>393.75</v>
      </c>
      <c r="C6907" s="8">
        <v>20.478950000000001</v>
      </c>
      <c r="D6907" s="8">
        <v>81</v>
      </c>
      <c r="E6907" s="8">
        <v>0</v>
      </c>
      <c r="F6907" s="8">
        <v>0</v>
      </c>
      <c r="G6907" s="8">
        <v>17</v>
      </c>
      <c r="H6907" s="8" t="s">
        <v>39452</v>
      </c>
      <c r="I6907" s="8">
        <v>526.6875</v>
      </c>
      <c r="J6907" s="3">
        <f t="shared" si="107"/>
        <v>43748.971334178241</v>
      </c>
    </row>
    <row r="6908" spans="1:10" x14ac:dyDescent="0.25">
      <c r="A6908" s="5" t="s">
        <v>39453</v>
      </c>
      <c r="B6908" s="6">
        <v>393.75</v>
      </c>
      <c r="C6908" s="6">
        <v>20.478950000000001</v>
      </c>
      <c r="D6908" s="6">
        <v>82</v>
      </c>
      <c r="E6908" s="6">
        <v>0</v>
      </c>
      <c r="F6908" s="6">
        <v>0</v>
      </c>
      <c r="G6908" s="6">
        <v>19</v>
      </c>
      <c r="H6908" s="6" t="s">
        <v>39454</v>
      </c>
      <c r="I6908" s="6">
        <v>526.6875</v>
      </c>
      <c r="J6908" s="2">
        <f t="shared" si="107"/>
        <v>43748.97140534722</v>
      </c>
    </row>
    <row r="6909" spans="1:10" x14ac:dyDescent="0.25">
      <c r="A6909" s="7" t="s">
        <v>39455</v>
      </c>
      <c r="B6909" s="8">
        <v>393.75</v>
      </c>
      <c r="C6909" s="8">
        <v>20.478950000000001</v>
      </c>
      <c r="D6909" s="8">
        <v>82</v>
      </c>
      <c r="E6909" s="8">
        <v>0</v>
      </c>
      <c r="F6909" s="8">
        <v>0</v>
      </c>
      <c r="G6909" s="8">
        <v>13</v>
      </c>
      <c r="H6909" s="8" t="s">
        <v>39456</v>
      </c>
      <c r="I6909" s="8">
        <v>526.6875</v>
      </c>
      <c r="J6909" s="3">
        <f t="shared" si="107"/>
        <v>43748.97147675926</v>
      </c>
    </row>
    <row r="6910" spans="1:10" x14ac:dyDescent="0.25">
      <c r="A6910" s="5" t="s">
        <v>39457</v>
      </c>
      <c r="B6910" s="6">
        <v>393.75</v>
      </c>
      <c r="C6910" s="6">
        <v>20.478950000000001</v>
      </c>
      <c r="D6910" s="6">
        <v>83</v>
      </c>
      <c r="E6910" s="6">
        <v>0</v>
      </c>
      <c r="F6910" s="6">
        <v>0</v>
      </c>
      <c r="G6910" s="6">
        <v>14</v>
      </c>
      <c r="H6910" s="6" t="s">
        <v>39458</v>
      </c>
      <c r="I6910" s="6">
        <v>526.6875</v>
      </c>
      <c r="J6910" s="2">
        <f t="shared" si="107"/>
        <v>43748.971548993053</v>
      </c>
    </row>
    <row r="6911" spans="1:10" x14ac:dyDescent="0.25">
      <c r="A6911" s="7" t="s">
        <v>39459</v>
      </c>
      <c r="B6911" s="8">
        <v>393.75</v>
      </c>
      <c r="C6911" s="8">
        <v>20.478950000000001</v>
      </c>
      <c r="D6911" s="8">
        <v>84</v>
      </c>
      <c r="E6911" s="8">
        <v>0</v>
      </c>
      <c r="F6911" s="8">
        <v>0</v>
      </c>
      <c r="G6911" s="8">
        <v>20</v>
      </c>
      <c r="H6911" s="8" t="s">
        <v>39460</v>
      </c>
      <c r="I6911" s="8">
        <v>526.5</v>
      </c>
      <c r="J6911" s="3">
        <f t="shared" si="107"/>
        <v>43748.971620231481</v>
      </c>
    </row>
    <row r="6912" spans="1:10" x14ac:dyDescent="0.25">
      <c r="A6912" s="5" t="s">
        <v>39461</v>
      </c>
      <c r="B6912" s="6">
        <v>393.75</v>
      </c>
      <c r="C6912" s="6">
        <v>20.478950000000001</v>
      </c>
      <c r="D6912" s="6">
        <v>85</v>
      </c>
      <c r="E6912" s="6">
        <v>0</v>
      </c>
      <c r="F6912" s="6">
        <v>0</v>
      </c>
      <c r="G6912" s="6">
        <v>18</v>
      </c>
      <c r="H6912" s="6" t="s">
        <v>39462</v>
      </c>
      <c r="I6912" s="6">
        <v>526.6875</v>
      </c>
      <c r="J6912" s="2">
        <f t="shared" si="107"/>
        <v>43748.971692569445</v>
      </c>
    </row>
    <row r="6913" spans="1:10" x14ac:dyDescent="0.25">
      <c r="A6913" s="7" t="s">
        <v>39463</v>
      </c>
      <c r="B6913" s="8">
        <v>393.75</v>
      </c>
      <c r="C6913" s="8">
        <v>20.478950000000001</v>
      </c>
      <c r="D6913" s="8">
        <v>85</v>
      </c>
      <c r="E6913" s="8">
        <v>0</v>
      </c>
      <c r="F6913" s="8">
        <v>0</v>
      </c>
      <c r="G6913" s="8">
        <v>15</v>
      </c>
      <c r="H6913" s="8" t="s">
        <v>39464</v>
      </c>
      <c r="I6913" s="8">
        <v>526.5</v>
      </c>
      <c r="J6913" s="3">
        <f t="shared" si="107"/>
        <v>43748.971763113419</v>
      </c>
    </row>
    <row r="6914" spans="1:10" x14ac:dyDescent="0.25">
      <c r="A6914" s="5" t="s">
        <v>39465</v>
      </c>
      <c r="B6914" s="6">
        <v>393.75</v>
      </c>
      <c r="C6914" s="6">
        <v>20.478950000000001</v>
      </c>
      <c r="D6914" s="6">
        <v>85</v>
      </c>
      <c r="E6914" s="6">
        <v>0</v>
      </c>
      <c r="F6914" s="6">
        <v>0</v>
      </c>
      <c r="G6914" s="6">
        <v>25</v>
      </c>
      <c r="H6914" s="6" t="s">
        <v>39466</v>
      </c>
      <c r="I6914" s="6">
        <v>526.6875</v>
      </c>
      <c r="J6914" s="2">
        <f t="shared" ref="J6914:J6977" si="108">(H6914/86400000)+25569+(7/24)</f>
        <v>43748.971847141198</v>
      </c>
    </row>
    <row r="6915" spans="1:10" x14ac:dyDescent="0.25">
      <c r="A6915" s="7" t="s">
        <v>39467</v>
      </c>
      <c r="B6915" s="8">
        <v>393.75</v>
      </c>
      <c r="C6915" s="8">
        <v>20.478950000000001</v>
      </c>
      <c r="D6915" s="8">
        <v>86</v>
      </c>
      <c r="E6915" s="8">
        <v>0</v>
      </c>
      <c r="F6915" s="8">
        <v>0</v>
      </c>
      <c r="G6915" s="8">
        <v>8</v>
      </c>
      <c r="H6915" s="8" t="s">
        <v>39468</v>
      </c>
      <c r="I6915" s="8">
        <v>526.6875</v>
      </c>
      <c r="J6915" s="3">
        <f t="shared" si="108"/>
        <v>43748.971918425923</v>
      </c>
    </row>
    <row r="6916" spans="1:10" x14ac:dyDescent="0.25">
      <c r="A6916" s="5" t="s">
        <v>39469</v>
      </c>
      <c r="B6916" s="6">
        <v>393.75</v>
      </c>
      <c r="C6916" s="6">
        <v>20.478950000000001</v>
      </c>
      <c r="D6916" s="6">
        <v>86</v>
      </c>
      <c r="E6916" s="6">
        <v>0</v>
      </c>
      <c r="F6916" s="6">
        <v>0</v>
      </c>
      <c r="G6916" s="6">
        <v>11</v>
      </c>
      <c r="H6916" s="6" t="s">
        <v>39470</v>
      </c>
      <c r="I6916" s="6">
        <v>526.5</v>
      </c>
      <c r="J6916" s="2">
        <f t="shared" si="108"/>
        <v>43748.971989733793</v>
      </c>
    </row>
    <row r="6917" spans="1:10" x14ac:dyDescent="0.25">
      <c r="A6917" s="7" t="s">
        <v>39471</v>
      </c>
      <c r="B6917" s="8">
        <v>393.75</v>
      </c>
      <c r="C6917" s="8">
        <v>20.478950000000001</v>
      </c>
      <c r="D6917" s="8">
        <v>85</v>
      </c>
      <c r="E6917" s="8">
        <v>0</v>
      </c>
      <c r="F6917" s="8">
        <v>0</v>
      </c>
      <c r="G6917" s="8">
        <v>6</v>
      </c>
      <c r="H6917" s="8" t="s">
        <v>39472</v>
      </c>
      <c r="I6917" s="8">
        <v>526.6875</v>
      </c>
      <c r="J6917" s="3">
        <f t="shared" si="108"/>
        <v>43748.972061886576</v>
      </c>
    </row>
    <row r="6918" spans="1:10" x14ac:dyDescent="0.25">
      <c r="A6918" s="5" t="s">
        <v>39473</v>
      </c>
      <c r="B6918" s="6">
        <v>393.75</v>
      </c>
      <c r="C6918" s="6">
        <v>20.478950000000001</v>
      </c>
      <c r="D6918" s="6">
        <v>85</v>
      </c>
      <c r="E6918" s="6">
        <v>0</v>
      </c>
      <c r="F6918" s="6">
        <v>0</v>
      </c>
      <c r="G6918" s="6">
        <v>18</v>
      </c>
      <c r="H6918" s="6" t="s">
        <v>39474</v>
      </c>
      <c r="I6918" s="6">
        <v>526.6875</v>
      </c>
      <c r="J6918" s="2">
        <f t="shared" si="108"/>
        <v>43748.972146388885</v>
      </c>
    </row>
    <row r="6919" spans="1:10" x14ac:dyDescent="0.25">
      <c r="A6919" s="7" t="s">
        <v>39475</v>
      </c>
      <c r="B6919" s="8">
        <v>393.75</v>
      </c>
      <c r="C6919" s="8">
        <v>20.478950000000001</v>
      </c>
      <c r="D6919" s="8">
        <v>85</v>
      </c>
      <c r="E6919" s="8">
        <v>0</v>
      </c>
      <c r="F6919" s="8">
        <v>0</v>
      </c>
      <c r="G6919" s="8">
        <v>17</v>
      </c>
      <c r="H6919" s="8" t="s">
        <v>39476</v>
      </c>
      <c r="I6919" s="8">
        <v>526.6875</v>
      </c>
      <c r="J6919" s="3">
        <f t="shared" si="108"/>
        <v>43748.972228472216</v>
      </c>
    </row>
    <row r="6920" spans="1:10" x14ac:dyDescent="0.25">
      <c r="A6920" s="5" t="s">
        <v>39477</v>
      </c>
      <c r="B6920" s="6">
        <v>393.75</v>
      </c>
      <c r="C6920" s="6">
        <v>20.478950000000001</v>
      </c>
      <c r="D6920" s="6">
        <v>85</v>
      </c>
      <c r="E6920" s="6">
        <v>0</v>
      </c>
      <c r="F6920" s="6">
        <v>0</v>
      </c>
      <c r="G6920" s="6">
        <v>25</v>
      </c>
      <c r="H6920" s="6" t="s">
        <v>39478</v>
      </c>
      <c r="I6920" s="6">
        <v>526.6875</v>
      </c>
      <c r="J6920" s="2">
        <f t="shared" si="108"/>
        <v>43748.972299803238</v>
      </c>
    </row>
    <row r="6921" spans="1:10" x14ac:dyDescent="0.25">
      <c r="A6921" s="7" t="s">
        <v>39479</v>
      </c>
      <c r="B6921" s="8">
        <v>393.75</v>
      </c>
      <c r="C6921" s="8">
        <v>20.478950000000001</v>
      </c>
      <c r="D6921" s="8">
        <v>84</v>
      </c>
      <c r="E6921" s="8">
        <v>0</v>
      </c>
      <c r="F6921" s="8">
        <v>0</v>
      </c>
      <c r="G6921" s="8">
        <v>10</v>
      </c>
      <c r="H6921" s="8" t="s">
        <v>39480</v>
      </c>
      <c r="I6921" s="8">
        <v>526.6875</v>
      </c>
      <c r="J6921" s="3">
        <f t="shared" si="108"/>
        <v>43748.972371365737</v>
      </c>
    </row>
    <row r="6922" spans="1:10" x14ac:dyDescent="0.25">
      <c r="A6922" s="5" t="s">
        <v>39481</v>
      </c>
      <c r="B6922" s="6">
        <v>393.75</v>
      </c>
      <c r="C6922" s="6">
        <v>20.478950000000001</v>
      </c>
      <c r="D6922" s="6">
        <v>84</v>
      </c>
      <c r="E6922" s="6">
        <v>0</v>
      </c>
      <c r="F6922" s="6">
        <v>0</v>
      </c>
      <c r="G6922" s="6">
        <v>13</v>
      </c>
      <c r="H6922" s="6" t="s">
        <v>39482</v>
      </c>
      <c r="I6922" s="6">
        <v>526.6875</v>
      </c>
      <c r="J6922" s="2">
        <f t="shared" si="108"/>
        <v>43748.972443194441</v>
      </c>
    </row>
    <row r="6923" spans="1:10" x14ac:dyDescent="0.25">
      <c r="A6923" s="7" t="s">
        <v>39483</v>
      </c>
      <c r="B6923" s="8">
        <v>393.75</v>
      </c>
      <c r="C6923" s="8">
        <v>20.478950000000001</v>
      </c>
      <c r="D6923" s="8">
        <v>83</v>
      </c>
      <c r="E6923" s="8">
        <v>0</v>
      </c>
      <c r="F6923" s="8">
        <v>0</v>
      </c>
      <c r="G6923" s="8">
        <v>17</v>
      </c>
      <c r="H6923" s="8" t="s">
        <v>39484</v>
      </c>
      <c r="I6923" s="8">
        <v>526.6875</v>
      </c>
      <c r="J6923" s="3">
        <f t="shared" si="108"/>
        <v>43748.972514664354</v>
      </c>
    </row>
    <row r="6924" spans="1:10" x14ac:dyDescent="0.25">
      <c r="A6924" s="5" t="s">
        <v>39485</v>
      </c>
      <c r="B6924" s="6">
        <v>393.75</v>
      </c>
      <c r="C6924" s="6">
        <v>20.478950000000001</v>
      </c>
      <c r="D6924" s="6">
        <v>83</v>
      </c>
      <c r="E6924" s="6">
        <v>0</v>
      </c>
      <c r="F6924" s="6">
        <v>0</v>
      </c>
      <c r="G6924" s="6">
        <v>17</v>
      </c>
      <c r="H6924" s="6" t="s">
        <v>39486</v>
      </c>
      <c r="I6924" s="6">
        <v>526.6875</v>
      </c>
      <c r="J6924" s="2">
        <f t="shared" si="108"/>
        <v>43748.972586493051</v>
      </c>
    </row>
    <row r="6925" spans="1:10" x14ac:dyDescent="0.25">
      <c r="A6925" s="7" t="s">
        <v>39487</v>
      </c>
      <c r="B6925" s="8">
        <v>393.75</v>
      </c>
      <c r="C6925" s="8">
        <v>20.478950000000001</v>
      </c>
      <c r="D6925" s="8">
        <v>83</v>
      </c>
      <c r="E6925" s="8">
        <v>0</v>
      </c>
      <c r="F6925" s="8">
        <v>0</v>
      </c>
      <c r="G6925" s="8">
        <v>12</v>
      </c>
      <c r="H6925" s="8" t="s">
        <v>39488</v>
      </c>
      <c r="I6925" s="8">
        <v>526.6875</v>
      </c>
      <c r="J6925" s="3">
        <f t="shared" si="108"/>
        <v>43748.972658136576</v>
      </c>
    </row>
    <row r="6926" spans="1:10" x14ac:dyDescent="0.25">
      <c r="A6926" s="5" t="s">
        <v>39489</v>
      </c>
      <c r="B6926" s="6">
        <v>393.75</v>
      </c>
      <c r="C6926" s="6">
        <v>20.478950000000001</v>
      </c>
      <c r="D6926" s="6">
        <v>83</v>
      </c>
      <c r="E6926" s="6">
        <v>0</v>
      </c>
      <c r="F6926" s="6">
        <v>0</v>
      </c>
      <c r="G6926" s="6">
        <v>20</v>
      </c>
      <c r="H6926" s="6" t="s">
        <v>39490</v>
      </c>
      <c r="I6926" s="6">
        <v>526.6875</v>
      </c>
      <c r="J6926" s="2">
        <f t="shared" si="108"/>
        <v>43748.972729317124</v>
      </c>
    </row>
    <row r="6927" spans="1:10" x14ac:dyDescent="0.25">
      <c r="A6927" s="7" t="s">
        <v>39491</v>
      </c>
      <c r="B6927" s="8">
        <v>393.75</v>
      </c>
      <c r="C6927" s="8">
        <v>20.478950000000001</v>
      </c>
      <c r="D6927" s="8">
        <v>84</v>
      </c>
      <c r="E6927" s="8">
        <v>0</v>
      </c>
      <c r="F6927" s="8">
        <v>0</v>
      </c>
      <c r="G6927" s="8">
        <v>13</v>
      </c>
      <c r="H6927" s="8" t="s">
        <v>39492</v>
      </c>
      <c r="I6927" s="8">
        <v>526.6875</v>
      </c>
      <c r="J6927" s="3">
        <f t="shared" si="108"/>
        <v>43748.972800601849</v>
      </c>
    </row>
    <row r="6928" spans="1:10" x14ac:dyDescent="0.25">
      <c r="A6928" s="5" t="s">
        <v>39493</v>
      </c>
      <c r="B6928" s="6">
        <v>393.75</v>
      </c>
      <c r="C6928" s="6">
        <v>20.478950000000001</v>
      </c>
      <c r="D6928" s="6">
        <v>83</v>
      </c>
      <c r="E6928" s="6">
        <v>0</v>
      </c>
      <c r="F6928" s="6">
        <v>0</v>
      </c>
      <c r="G6928" s="6">
        <v>17</v>
      </c>
      <c r="H6928" s="6" t="s">
        <v>39494</v>
      </c>
      <c r="I6928" s="6">
        <v>526.6875</v>
      </c>
      <c r="J6928" s="2">
        <f t="shared" si="108"/>
        <v>43748.972872812497</v>
      </c>
    </row>
    <row r="6929" spans="1:10" x14ac:dyDescent="0.25">
      <c r="A6929" s="7" t="s">
        <v>39495</v>
      </c>
      <c r="B6929" s="8">
        <v>412.5</v>
      </c>
      <c r="C6929" s="8">
        <v>20.478950000000001</v>
      </c>
      <c r="D6929" s="8">
        <v>84</v>
      </c>
      <c r="E6929" s="8">
        <v>0</v>
      </c>
      <c r="F6929" s="8">
        <v>0</v>
      </c>
      <c r="G6929" s="8">
        <v>20</v>
      </c>
      <c r="H6929" s="8" t="s">
        <v>39496</v>
      </c>
      <c r="I6929" s="8">
        <v>532.3125</v>
      </c>
      <c r="J6929" s="3">
        <f t="shared" si="108"/>
        <v>43748.972944143512</v>
      </c>
    </row>
    <row r="6930" spans="1:10" x14ac:dyDescent="0.25">
      <c r="A6930" s="5" t="s">
        <v>39497</v>
      </c>
      <c r="B6930" s="6">
        <v>393.75</v>
      </c>
      <c r="C6930" s="6">
        <v>20.478950000000001</v>
      </c>
      <c r="D6930" s="6">
        <v>84</v>
      </c>
      <c r="E6930" s="6">
        <v>0</v>
      </c>
      <c r="F6930" s="6">
        <v>0</v>
      </c>
      <c r="G6930" s="6">
        <v>21</v>
      </c>
      <c r="H6930" s="6" t="s">
        <v>39498</v>
      </c>
      <c r="I6930" s="6">
        <v>526.6875</v>
      </c>
      <c r="J6930" s="2">
        <f t="shared" si="108"/>
        <v>43748.973015405085</v>
      </c>
    </row>
    <row r="6931" spans="1:10" x14ac:dyDescent="0.25">
      <c r="A6931" s="7" t="s">
        <v>39499</v>
      </c>
      <c r="B6931" s="8">
        <v>393.75</v>
      </c>
      <c r="C6931" s="8">
        <v>20.478950000000001</v>
      </c>
      <c r="D6931" s="8">
        <v>84</v>
      </c>
      <c r="E6931" s="8">
        <v>0</v>
      </c>
      <c r="F6931" s="8">
        <v>0</v>
      </c>
      <c r="G6931" s="8">
        <v>20</v>
      </c>
      <c r="H6931" s="8" t="s">
        <v>39500</v>
      </c>
      <c r="I6931" s="8">
        <v>526.6875</v>
      </c>
      <c r="J6931" s="3">
        <f t="shared" si="108"/>
        <v>43748.973086817125</v>
      </c>
    </row>
    <row r="6932" spans="1:10" x14ac:dyDescent="0.25">
      <c r="A6932" s="5" t="s">
        <v>39501</v>
      </c>
      <c r="B6932" s="6">
        <v>393.75</v>
      </c>
      <c r="C6932" s="6">
        <v>20.478950000000001</v>
      </c>
      <c r="D6932" s="6">
        <v>84</v>
      </c>
      <c r="E6932" s="6">
        <v>0</v>
      </c>
      <c r="F6932" s="6">
        <v>0</v>
      </c>
      <c r="G6932" s="6">
        <v>11</v>
      </c>
      <c r="H6932" s="6" t="s">
        <v>39502</v>
      </c>
      <c r="I6932" s="6">
        <v>526.6875</v>
      </c>
      <c r="J6932" s="2">
        <f t="shared" si="108"/>
        <v>43748.973158946756</v>
      </c>
    </row>
    <row r="6933" spans="1:10" x14ac:dyDescent="0.25">
      <c r="A6933" s="7" t="s">
        <v>39503</v>
      </c>
      <c r="B6933" s="8">
        <v>418.75</v>
      </c>
      <c r="C6933" s="8">
        <v>20.478950000000001</v>
      </c>
      <c r="D6933" s="8">
        <v>83</v>
      </c>
      <c r="E6933" s="8">
        <v>0</v>
      </c>
      <c r="F6933" s="8">
        <v>0</v>
      </c>
      <c r="G6933" s="8">
        <v>21</v>
      </c>
      <c r="H6933" s="8" t="s">
        <v>39504</v>
      </c>
      <c r="I6933" s="8">
        <v>534.75</v>
      </c>
      <c r="J6933" s="3">
        <f t="shared" si="108"/>
        <v>43748.973230185184</v>
      </c>
    </row>
    <row r="6934" spans="1:10" x14ac:dyDescent="0.25">
      <c r="A6934" s="5" t="s">
        <v>39505</v>
      </c>
      <c r="B6934" s="6">
        <v>393.75</v>
      </c>
      <c r="C6934" s="6">
        <v>20.478950000000001</v>
      </c>
      <c r="D6934" s="6">
        <v>84</v>
      </c>
      <c r="E6934" s="6">
        <v>0</v>
      </c>
      <c r="F6934" s="6">
        <v>0</v>
      </c>
      <c r="G6934" s="6">
        <v>20</v>
      </c>
      <c r="H6934" s="6" t="s">
        <v>39506</v>
      </c>
      <c r="I6934" s="6">
        <v>526.6875</v>
      </c>
      <c r="J6934" s="2">
        <f t="shared" si="108"/>
        <v>43748.973301527774</v>
      </c>
    </row>
    <row r="6935" spans="1:10" x14ac:dyDescent="0.25">
      <c r="A6935" s="7" t="s">
        <v>39507</v>
      </c>
      <c r="B6935" s="8">
        <v>393.75</v>
      </c>
      <c r="C6935" s="8">
        <v>20.478950000000001</v>
      </c>
      <c r="D6935" s="8">
        <v>84</v>
      </c>
      <c r="E6935" s="8">
        <v>0</v>
      </c>
      <c r="F6935" s="8">
        <v>0</v>
      </c>
      <c r="G6935" s="8">
        <v>16</v>
      </c>
      <c r="H6935" s="8" t="s">
        <v>39508</v>
      </c>
      <c r="I6935" s="8">
        <v>526.5</v>
      </c>
      <c r="J6935" s="3">
        <f t="shared" si="108"/>
        <v>43748.973373773144</v>
      </c>
    </row>
    <row r="6936" spans="1:10" x14ac:dyDescent="0.25">
      <c r="A6936" s="5" t="s">
        <v>39509</v>
      </c>
      <c r="B6936" s="6">
        <v>393.75</v>
      </c>
      <c r="C6936" s="6">
        <v>20.478950000000001</v>
      </c>
      <c r="D6936" s="6">
        <v>85</v>
      </c>
      <c r="E6936" s="6">
        <v>0</v>
      </c>
      <c r="F6936" s="6">
        <v>0</v>
      </c>
      <c r="G6936" s="6">
        <v>18</v>
      </c>
      <c r="H6936" s="6" t="s">
        <v>39510</v>
      </c>
      <c r="I6936" s="6">
        <v>526.6875</v>
      </c>
      <c r="J6936" s="2">
        <f t="shared" si="108"/>
        <v>43748.973444999996</v>
      </c>
    </row>
    <row r="6937" spans="1:10" x14ac:dyDescent="0.25">
      <c r="A6937" s="7" t="s">
        <v>39511</v>
      </c>
      <c r="B6937" s="8">
        <v>393.75</v>
      </c>
      <c r="C6937" s="8">
        <v>20.426300000000001</v>
      </c>
      <c r="D6937" s="8">
        <v>85</v>
      </c>
      <c r="E6937" s="8">
        <v>0</v>
      </c>
      <c r="F6937" s="8">
        <v>0</v>
      </c>
      <c r="G6937" s="8">
        <v>23</v>
      </c>
      <c r="H6937" s="8" t="s">
        <v>39512</v>
      </c>
      <c r="I6937" s="8">
        <v>526.6875</v>
      </c>
      <c r="J6937" s="3">
        <f t="shared" si="108"/>
        <v>43748.973516331018</v>
      </c>
    </row>
    <row r="6938" spans="1:10" x14ac:dyDescent="0.25">
      <c r="A6938" s="5" t="s">
        <v>39513</v>
      </c>
      <c r="B6938" s="6">
        <v>393.75</v>
      </c>
      <c r="C6938" s="6">
        <v>20.478950000000001</v>
      </c>
      <c r="D6938" s="6">
        <v>86</v>
      </c>
      <c r="E6938" s="6">
        <v>0</v>
      </c>
      <c r="F6938" s="6">
        <v>0</v>
      </c>
      <c r="G6938" s="6">
        <v>20</v>
      </c>
      <c r="H6938" s="6" t="s">
        <v>39514</v>
      </c>
      <c r="I6938" s="6">
        <v>526.6875</v>
      </c>
      <c r="J6938" s="2">
        <f t="shared" si="108"/>
        <v>43748.973587685185</v>
      </c>
    </row>
    <row r="6939" spans="1:10" x14ac:dyDescent="0.25">
      <c r="A6939" s="7" t="s">
        <v>39515</v>
      </c>
      <c r="B6939" s="8">
        <v>393.75</v>
      </c>
      <c r="C6939" s="8">
        <v>20.478950000000001</v>
      </c>
      <c r="D6939" s="8">
        <v>86</v>
      </c>
      <c r="E6939" s="8">
        <v>0</v>
      </c>
      <c r="F6939" s="8">
        <v>0</v>
      </c>
      <c r="G6939" s="8">
        <v>18</v>
      </c>
      <c r="H6939" s="8" t="s">
        <v>39516</v>
      </c>
      <c r="I6939" s="8">
        <v>526.6875</v>
      </c>
      <c r="J6939" s="3">
        <f t="shared" si="108"/>
        <v>43748.973659872681</v>
      </c>
    </row>
    <row r="6940" spans="1:10" x14ac:dyDescent="0.25">
      <c r="A6940" s="5" t="s">
        <v>39517</v>
      </c>
      <c r="B6940" s="6">
        <v>393.75</v>
      </c>
      <c r="C6940" s="6">
        <v>20.478950000000001</v>
      </c>
      <c r="D6940" s="6">
        <v>85</v>
      </c>
      <c r="E6940" s="6">
        <v>0</v>
      </c>
      <c r="F6940" s="6">
        <v>0</v>
      </c>
      <c r="G6940" s="6">
        <v>20</v>
      </c>
      <c r="H6940" s="6" t="s">
        <v>39518</v>
      </c>
      <c r="I6940" s="6">
        <v>526.6875</v>
      </c>
      <c r="J6940" s="2">
        <f t="shared" si="108"/>
        <v>43748.973743194445</v>
      </c>
    </row>
    <row r="6941" spans="1:10" x14ac:dyDescent="0.25">
      <c r="A6941" s="7" t="s">
        <v>39519</v>
      </c>
      <c r="B6941" s="8">
        <v>412.5</v>
      </c>
      <c r="C6941" s="8">
        <v>20.478950000000001</v>
      </c>
      <c r="D6941" s="8">
        <v>89</v>
      </c>
      <c r="E6941" s="8">
        <v>0</v>
      </c>
      <c r="F6941" s="8">
        <v>0</v>
      </c>
      <c r="G6941" s="8">
        <v>24</v>
      </c>
      <c r="H6941" s="8" t="s">
        <v>39520</v>
      </c>
      <c r="I6941" s="8">
        <v>532.3125</v>
      </c>
      <c r="J6941" s="3">
        <f t="shared" si="108"/>
        <v>43748.973814502308</v>
      </c>
    </row>
    <row r="6942" spans="1:10" x14ac:dyDescent="0.25">
      <c r="A6942" s="5" t="s">
        <v>39521</v>
      </c>
      <c r="B6942" s="6">
        <v>393.75</v>
      </c>
      <c r="C6942" s="6">
        <v>20.478950000000001</v>
      </c>
      <c r="D6942" s="6">
        <v>89</v>
      </c>
      <c r="E6942" s="6">
        <v>0</v>
      </c>
      <c r="F6942" s="6">
        <v>0</v>
      </c>
      <c r="G6942" s="6">
        <v>16</v>
      </c>
      <c r="H6942" s="6" t="s">
        <v>39522</v>
      </c>
      <c r="I6942" s="6">
        <v>526.6875</v>
      </c>
      <c r="J6942" s="2">
        <f t="shared" si="108"/>
        <v>43748.973897824071</v>
      </c>
    </row>
    <row r="6943" spans="1:10" x14ac:dyDescent="0.25">
      <c r="A6943" s="7" t="s">
        <v>39523</v>
      </c>
      <c r="B6943" s="8">
        <v>393.75</v>
      </c>
      <c r="C6943" s="8">
        <v>20.478950000000001</v>
      </c>
      <c r="D6943" s="8">
        <v>89</v>
      </c>
      <c r="E6943" s="8">
        <v>0</v>
      </c>
      <c r="F6943" s="8">
        <v>0</v>
      </c>
      <c r="G6943" s="8">
        <v>16</v>
      </c>
      <c r="H6943" s="8" t="s">
        <v>39524</v>
      </c>
      <c r="I6943" s="8">
        <v>526.6875</v>
      </c>
      <c r="J6943" s="3">
        <f t="shared" si="108"/>
        <v>43748.973969861108</v>
      </c>
    </row>
    <row r="6944" spans="1:10" x14ac:dyDescent="0.25">
      <c r="A6944" s="5" t="s">
        <v>39525</v>
      </c>
      <c r="B6944" s="6">
        <v>393.75</v>
      </c>
      <c r="C6944" s="6">
        <v>20.478950000000001</v>
      </c>
      <c r="D6944" s="6">
        <v>89</v>
      </c>
      <c r="E6944" s="6">
        <v>0</v>
      </c>
      <c r="F6944" s="6">
        <v>0</v>
      </c>
      <c r="G6944" s="6">
        <v>16</v>
      </c>
      <c r="H6944" s="6" t="s">
        <v>39526</v>
      </c>
      <c r="I6944" s="6">
        <v>526.6875</v>
      </c>
      <c r="J6944" s="2">
        <f t="shared" si="108"/>
        <v>43748.974040891197</v>
      </c>
    </row>
    <row r="6945" spans="1:10" x14ac:dyDescent="0.25">
      <c r="A6945" s="7" t="s">
        <v>39527</v>
      </c>
      <c r="B6945" s="8">
        <v>393.75</v>
      </c>
      <c r="C6945" s="8">
        <v>20.478950000000001</v>
      </c>
      <c r="D6945" s="8">
        <v>89</v>
      </c>
      <c r="E6945" s="8">
        <v>0</v>
      </c>
      <c r="F6945" s="8">
        <v>0</v>
      </c>
      <c r="G6945" s="8">
        <v>16</v>
      </c>
      <c r="H6945" s="8" t="s">
        <v>39528</v>
      </c>
      <c r="I6945" s="8">
        <v>526.6875</v>
      </c>
      <c r="J6945" s="3">
        <f t="shared" si="108"/>
        <v>43748.974113090277</v>
      </c>
    </row>
    <row r="6946" spans="1:10" x14ac:dyDescent="0.25">
      <c r="A6946" s="5" t="s">
        <v>39529</v>
      </c>
      <c r="B6946" s="6">
        <v>393.75</v>
      </c>
      <c r="C6946" s="6">
        <v>20.478950000000001</v>
      </c>
      <c r="D6946" s="6">
        <v>88</v>
      </c>
      <c r="E6946" s="6">
        <v>0</v>
      </c>
      <c r="F6946" s="6">
        <v>0</v>
      </c>
      <c r="G6946" s="6">
        <v>23</v>
      </c>
      <c r="H6946" s="6" t="s">
        <v>39530</v>
      </c>
      <c r="I6946" s="6">
        <v>526.6875</v>
      </c>
      <c r="J6946" s="2">
        <f t="shared" si="108"/>
        <v>43748.974184398146</v>
      </c>
    </row>
    <row r="6947" spans="1:10" x14ac:dyDescent="0.25">
      <c r="A6947" s="7" t="s">
        <v>39531</v>
      </c>
      <c r="B6947" s="8">
        <v>393.75</v>
      </c>
      <c r="C6947" s="8">
        <v>20.478950000000001</v>
      </c>
      <c r="D6947" s="8">
        <v>87</v>
      </c>
      <c r="E6947" s="8">
        <v>0</v>
      </c>
      <c r="F6947" s="8">
        <v>0</v>
      </c>
      <c r="G6947" s="8">
        <v>15</v>
      </c>
      <c r="H6947" s="8" t="s">
        <v>39532</v>
      </c>
      <c r="I6947" s="8">
        <v>526.6875</v>
      </c>
      <c r="J6947" s="3">
        <f t="shared" si="108"/>
        <v>43748.974256377311</v>
      </c>
    </row>
    <row r="6948" spans="1:10" x14ac:dyDescent="0.25">
      <c r="A6948" s="5" t="s">
        <v>39533</v>
      </c>
      <c r="B6948" s="6">
        <v>393.75</v>
      </c>
      <c r="C6948" s="6">
        <v>20.478950000000001</v>
      </c>
      <c r="D6948" s="6">
        <v>87</v>
      </c>
      <c r="E6948" s="6">
        <v>0</v>
      </c>
      <c r="F6948" s="6">
        <v>0</v>
      </c>
      <c r="G6948" s="6">
        <v>20</v>
      </c>
      <c r="H6948" s="6" t="s">
        <v>39534</v>
      </c>
      <c r="I6948" s="6">
        <v>526.6875</v>
      </c>
      <c r="J6948" s="2">
        <f t="shared" si="108"/>
        <v>43748.974326944437</v>
      </c>
    </row>
    <row r="6949" spans="1:10" x14ac:dyDescent="0.25">
      <c r="A6949" s="7" t="s">
        <v>39535</v>
      </c>
      <c r="B6949" s="8">
        <v>412.5</v>
      </c>
      <c r="C6949" s="8">
        <v>20.478950000000001</v>
      </c>
      <c r="D6949" s="8">
        <v>88</v>
      </c>
      <c r="E6949" s="8">
        <v>0</v>
      </c>
      <c r="F6949" s="8">
        <v>0</v>
      </c>
      <c r="G6949" s="8">
        <v>12</v>
      </c>
      <c r="H6949" s="8" t="s">
        <v>39536</v>
      </c>
      <c r="I6949" s="8">
        <v>532.125</v>
      </c>
      <c r="J6949" s="3">
        <f t="shared" si="108"/>
        <v>43748.974399166669</v>
      </c>
    </row>
    <row r="6950" spans="1:10" x14ac:dyDescent="0.25">
      <c r="A6950" s="5" t="s">
        <v>39537</v>
      </c>
      <c r="B6950" s="6">
        <v>393.75</v>
      </c>
      <c r="C6950" s="6">
        <v>20.478950000000001</v>
      </c>
      <c r="D6950" s="6">
        <v>88</v>
      </c>
      <c r="E6950" s="6">
        <v>0</v>
      </c>
      <c r="F6950" s="6">
        <v>0</v>
      </c>
      <c r="G6950" s="6">
        <v>19</v>
      </c>
      <c r="H6950" s="6" t="s">
        <v>39538</v>
      </c>
      <c r="I6950" s="6">
        <v>526.6875</v>
      </c>
      <c r="J6950" s="2">
        <f t="shared" si="108"/>
        <v>43748.974470497684</v>
      </c>
    </row>
    <row r="6951" spans="1:10" x14ac:dyDescent="0.25">
      <c r="A6951" s="7" t="s">
        <v>39539</v>
      </c>
      <c r="B6951" s="8">
        <v>393.75</v>
      </c>
      <c r="C6951" s="8">
        <v>20.478950000000001</v>
      </c>
      <c r="D6951" s="8">
        <v>88</v>
      </c>
      <c r="E6951" s="8">
        <v>0</v>
      </c>
      <c r="F6951" s="8">
        <v>0</v>
      </c>
      <c r="G6951" s="8">
        <v>21</v>
      </c>
      <c r="H6951" s="8" t="s">
        <v>39540</v>
      </c>
      <c r="I6951" s="8">
        <v>526.6875</v>
      </c>
      <c r="J6951" s="3">
        <f t="shared" si="108"/>
        <v>43748.974541805554</v>
      </c>
    </row>
    <row r="6952" spans="1:10" x14ac:dyDescent="0.25">
      <c r="A6952" s="5" t="s">
        <v>39541</v>
      </c>
      <c r="B6952" s="6">
        <v>415.625</v>
      </c>
      <c r="C6952" s="6">
        <v>20.478950000000001</v>
      </c>
      <c r="D6952" s="6">
        <v>89</v>
      </c>
      <c r="E6952" s="6">
        <v>0</v>
      </c>
      <c r="F6952" s="6">
        <v>0</v>
      </c>
      <c r="G6952" s="6">
        <v>17</v>
      </c>
      <c r="H6952" s="6" t="s">
        <v>39542</v>
      </c>
      <c r="I6952" s="6">
        <v>533.625</v>
      </c>
      <c r="J6952" s="2">
        <f t="shared" si="108"/>
        <v>43748.974637187501</v>
      </c>
    </row>
    <row r="6953" spans="1:10" x14ac:dyDescent="0.25">
      <c r="A6953" s="7" t="s">
        <v>39543</v>
      </c>
      <c r="B6953" s="8">
        <v>393.75</v>
      </c>
      <c r="C6953" s="8">
        <v>20.478950000000001</v>
      </c>
      <c r="D6953" s="8">
        <v>89</v>
      </c>
      <c r="E6953" s="8">
        <v>0</v>
      </c>
      <c r="F6953" s="8">
        <v>0</v>
      </c>
      <c r="G6953" s="8">
        <v>13</v>
      </c>
      <c r="H6953" s="8" t="s">
        <v>39544</v>
      </c>
      <c r="I6953" s="8">
        <v>526.6875</v>
      </c>
      <c r="J6953" s="3">
        <f t="shared" si="108"/>
        <v>43748.974709351845</v>
      </c>
    </row>
    <row r="6954" spans="1:10" x14ac:dyDescent="0.25">
      <c r="A6954" s="5" t="s">
        <v>39545</v>
      </c>
      <c r="B6954" s="6">
        <v>393.75</v>
      </c>
      <c r="C6954" s="6">
        <v>20.478950000000001</v>
      </c>
      <c r="D6954" s="6">
        <v>89</v>
      </c>
      <c r="E6954" s="6">
        <v>0</v>
      </c>
      <c r="F6954" s="6">
        <v>0</v>
      </c>
      <c r="G6954" s="6">
        <v>22</v>
      </c>
      <c r="H6954" s="6" t="s">
        <v>39546</v>
      </c>
      <c r="I6954" s="6">
        <v>526.6875</v>
      </c>
      <c r="J6954" s="2">
        <f t="shared" si="108"/>
        <v>43748.974780659722</v>
      </c>
    </row>
    <row r="6955" spans="1:10" x14ac:dyDescent="0.25">
      <c r="A6955" s="7" t="s">
        <v>39547</v>
      </c>
      <c r="B6955" s="8">
        <v>393.75</v>
      </c>
      <c r="C6955" s="8">
        <v>20.478950000000001</v>
      </c>
      <c r="D6955" s="8">
        <v>89</v>
      </c>
      <c r="E6955" s="8">
        <v>0</v>
      </c>
      <c r="F6955" s="8">
        <v>0</v>
      </c>
      <c r="G6955" s="8">
        <v>20</v>
      </c>
      <c r="H6955" s="8" t="s">
        <v>39548</v>
      </c>
      <c r="I6955" s="8">
        <v>526.6875</v>
      </c>
      <c r="J6955" s="3">
        <f t="shared" si="108"/>
        <v>43748.974851990737</v>
      </c>
    </row>
    <row r="6956" spans="1:10" x14ac:dyDescent="0.25">
      <c r="A6956" s="5" t="s">
        <v>39549</v>
      </c>
      <c r="B6956" s="6">
        <v>393.75</v>
      </c>
      <c r="C6956" s="6">
        <v>20.478950000000001</v>
      </c>
      <c r="D6956" s="6">
        <v>89</v>
      </c>
      <c r="E6956" s="6">
        <v>0</v>
      </c>
      <c r="F6956" s="6">
        <v>0</v>
      </c>
      <c r="G6956" s="6">
        <v>16</v>
      </c>
      <c r="H6956" s="6" t="s">
        <v>39550</v>
      </c>
      <c r="I6956" s="6">
        <v>526.6875</v>
      </c>
      <c r="J6956" s="2">
        <f t="shared" si="108"/>
        <v>43748.974923344904</v>
      </c>
    </row>
    <row r="6957" spans="1:10" x14ac:dyDescent="0.25">
      <c r="A6957" s="7" t="s">
        <v>39551</v>
      </c>
      <c r="B6957" s="8">
        <v>396.875</v>
      </c>
      <c r="C6957" s="8">
        <v>20.478950000000001</v>
      </c>
      <c r="D6957" s="8">
        <v>89</v>
      </c>
      <c r="E6957" s="8">
        <v>0</v>
      </c>
      <c r="F6957" s="8">
        <v>0</v>
      </c>
      <c r="G6957" s="8">
        <v>18</v>
      </c>
      <c r="H6957" s="8" t="s">
        <v>39552</v>
      </c>
      <c r="I6957" s="8">
        <v>527.4375</v>
      </c>
      <c r="J6957" s="3">
        <f t="shared" si="108"/>
        <v>43748.974994594908</v>
      </c>
    </row>
    <row r="6958" spans="1:10" x14ac:dyDescent="0.25">
      <c r="A6958" s="5" t="s">
        <v>39553</v>
      </c>
      <c r="B6958" s="6">
        <v>396.875</v>
      </c>
      <c r="C6958" s="6">
        <v>20.478950000000001</v>
      </c>
      <c r="D6958" s="6">
        <v>83</v>
      </c>
      <c r="E6958" s="6">
        <v>0</v>
      </c>
      <c r="F6958" s="6">
        <v>0</v>
      </c>
      <c r="G6958" s="6">
        <v>17</v>
      </c>
      <c r="H6958" s="6" t="s">
        <v>39554</v>
      </c>
      <c r="I6958" s="6">
        <v>527.4375</v>
      </c>
      <c r="J6958" s="2">
        <f t="shared" si="108"/>
        <v>43748.975066805557</v>
      </c>
    </row>
    <row r="6959" spans="1:10" x14ac:dyDescent="0.25">
      <c r="A6959" s="7" t="s">
        <v>39555</v>
      </c>
      <c r="B6959" s="8">
        <v>396.875</v>
      </c>
      <c r="C6959" s="8">
        <v>20.478950000000001</v>
      </c>
      <c r="D6959" s="8">
        <v>84</v>
      </c>
      <c r="E6959" s="8">
        <v>0</v>
      </c>
      <c r="F6959" s="8">
        <v>0</v>
      </c>
      <c r="G6959" s="8">
        <v>11</v>
      </c>
      <c r="H6959" s="8" t="s">
        <v>39556</v>
      </c>
      <c r="I6959" s="8">
        <v>527.4375</v>
      </c>
      <c r="J6959" s="3">
        <f t="shared" si="108"/>
        <v>43748.975138113419</v>
      </c>
    </row>
    <row r="6960" spans="1:10" x14ac:dyDescent="0.25">
      <c r="A6960" s="5" t="s">
        <v>39557</v>
      </c>
      <c r="B6960" s="6">
        <v>415.625</v>
      </c>
      <c r="C6960" s="6">
        <v>20.478950000000001</v>
      </c>
      <c r="D6960" s="6">
        <v>84</v>
      </c>
      <c r="E6960" s="6">
        <v>0</v>
      </c>
      <c r="F6960" s="6">
        <v>0</v>
      </c>
      <c r="G6960" s="6">
        <v>13</v>
      </c>
      <c r="H6960" s="6" t="s">
        <v>39558</v>
      </c>
      <c r="I6960" s="6">
        <v>533.625</v>
      </c>
      <c r="J6960" s="2">
        <f t="shared" si="108"/>
        <v>43748.975210324068</v>
      </c>
    </row>
    <row r="6961" spans="1:10" x14ac:dyDescent="0.25">
      <c r="A6961" s="7" t="s">
        <v>39559</v>
      </c>
      <c r="B6961" s="8">
        <v>396.875</v>
      </c>
      <c r="C6961" s="8">
        <v>20.478950000000001</v>
      </c>
      <c r="D6961" s="8">
        <v>84</v>
      </c>
      <c r="E6961" s="8">
        <v>0</v>
      </c>
      <c r="F6961" s="8">
        <v>0</v>
      </c>
      <c r="G6961" s="8">
        <v>15</v>
      </c>
      <c r="H6961" s="8" t="s">
        <v>39560</v>
      </c>
      <c r="I6961" s="8">
        <v>527.4375</v>
      </c>
      <c r="J6961" s="3">
        <f t="shared" si="108"/>
        <v>43748.97528150463</v>
      </c>
    </row>
    <row r="6962" spans="1:10" x14ac:dyDescent="0.25">
      <c r="A6962" s="5" t="s">
        <v>39561</v>
      </c>
      <c r="B6962" s="6">
        <v>396.875</v>
      </c>
      <c r="C6962" s="6">
        <v>20.478950000000001</v>
      </c>
      <c r="D6962" s="6">
        <v>85</v>
      </c>
      <c r="E6962" s="6">
        <v>0</v>
      </c>
      <c r="F6962" s="6">
        <v>0</v>
      </c>
      <c r="G6962" s="6">
        <v>7</v>
      </c>
      <c r="H6962" s="6" t="s">
        <v>39562</v>
      </c>
      <c r="I6962" s="6">
        <v>527.4375</v>
      </c>
      <c r="J6962" s="2">
        <f t="shared" si="108"/>
        <v>43748.975352916663</v>
      </c>
    </row>
    <row r="6963" spans="1:10" x14ac:dyDescent="0.25">
      <c r="A6963" s="7" t="s">
        <v>39563</v>
      </c>
      <c r="B6963" s="8">
        <v>400</v>
      </c>
      <c r="C6963" s="8">
        <v>20.478950000000001</v>
      </c>
      <c r="D6963" s="8">
        <v>85</v>
      </c>
      <c r="E6963" s="8">
        <v>0</v>
      </c>
      <c r="F6963" s="8">
        <v>0</v>
      </c>
      <c r="G6963" s="8">
        <v>17</v>
      </c>
      <c r="H6963" s="8" t="s">
        <v>39564</v>
      </c>
      <c r="I6963" s="8">
        <v>528.1875</v>
      </c>
      <c r="J6963" s="3">
        <f t="shared" si="108"/>
        <v>43748.975424212964</v>
      </c>
    </row>
    <row r="6964" spans="1:10" x14ac:dyDescent="0.25">
      <c r="A6964" s="5" t="s">
        <v>39565</v>
      </c>
      <c r="B6964" s="6">
        <v>400</v>
      </c>
      <c r="C6964" s="6">
        <v>20.478950000000001</v>
      </c>
      <c r="D6964" s="6">
        <v>86</v>
      </c>
      <c r="E6964" s="6">
        <v>0</v>
      </c>
      <c r="F6964" s="6">
        <v>0</v>
      </c>
      <c r="G6964" s="6">
        <v>17</v>
      </c>
      <c r="H6964" s="6" t="s">
        <v>39566</v>
      </c>
      <c r="I6964" s="6">
        <v>528.1875</v>
      </c>
      <c r="J6964" s="2">
        <f t="shared" si="108"/>
        <v>43748.975495740735</v>
      </c>
    </row>
    <row r="6965" spans="1:10" x14ac:dyDescent="0.25">
      <c r="A6965" s="7" t="s">
        <v>39567</v>
      </c>
      <c r="B6965" s="8">
        <v>400</v>
      </c>
      <c r="C6965" s="8">
        <v>20.478950000000001</v>
      </c>
      <c r="D6965" s="8">
        <v>86</v>
      </c>
      <c r="E6965" s="8">
        <v>0</v>
      </c>
      <c r="F6965" s="8">
        <v>0</v>
      </c>
      <c r="G6965" s="8">
        <v>16</v>
      </c>
      <c r="H6965" s="8" t="s">
        <v>39568</v>
      </c>
      <c r="I6965" s="8">
        <v>528.1875</v>
      </c>
      <c r="J6965" s="3">
        <f t="shared" si="108"/>
        <v>43748.975567731475</v>
      </c>
    </row>
    <row r="6966" spans="1:10" x14ac:dyDescent="0.25">
      <c r="A6966" s="5" t="s">
        <v>39569</v>
      </c>
      <c r="B6966" s="6">
        <v>400</v>
      </c>
      <c r="C6966" s="6">
        <v>20.478950000000001</v>
      </c>
      <c r="D6966" s="6">
        <v>86</v>
      </c>
      <c r="E6966" s="6">
        <v>0</v>
      </c>
      <c r="F6966" s="6">
        <v>0</v>
      </c>
      <c r="G6966" s="6">
        <v>13</v>
      </c>
      <c r="H6966" s="6" t="s">
        <v>39570</v>
      </c>
      <c r="I6966" s="6">
        <v>528.375</v>
      </c>
      <c r="J6966" s="2">
        <f t="shared" si="108"/>
        <v>43748.975648854168</v>
      </c>
    </row>
    <row r="6967" spans="1:10" x14ac:dyDescent="0.25">
      <c r="A6967" s="7" t="s">
        <v>39571</v>
      </c>
      <c r="B6967" s="8">
        <v>396.875</v>
      </c>
      <c r="C6967" s="8">
        <v>20.478950000000001</v>
      </c>
      <c r="D6967" s="8">
        <v>86</v>
      </c>
      <c r="E6967" s="8">
        <v>0</v>
      </c>
      <c r="F6967" s="8">
        <v>0</v>
      </c>
      <c r="G6967" s="8">
        <v>17</v>
      </c>
      <c r="H6967" s="8" t="s">
        <v>39572</v>
      </c>
      <c r="I6967" s="8">
        <v>527.4375</v>
      </c>
      <c r="J6967" s="3">
        <f t="shared" si="108"/>
        <v>43748.97572239583</v>
      </c>
    </row>
    <row r="6968" spans="1:10" x14ac:dyDescent="0.25">
      <c r="A6968" s="5" t="s">
        <v>39573</v>
      </c>
      <c r="B6968" s="6">
        <v>415.625</v>
      </c>
      <c r="C6968" s="6">
        <v>20.478950000000001</v>
      </c>
      <c r="D6968" s="6">
        <v>87</v>
      </c>
      <c r="E6968" s="6">
        <v>0</v>
      </c>
      <c r="F6968" s="6">
        <v>0</v>
      </c>
      <c r="G6968" s="6">
        <v>15</v>
      </c>
      <c r="H6968" s="6" t="s">
        <v>39574</v>
      </c>
      <c r="I6968" s="6">
        <v>533.25</v>
      </c>
      <c r="J6968" s="2">
        <f t="shared" si="108"/>
        <v>43748.975794583333</v>
      </c>
    </row>
    <row r="6969" spans="1:10" x14ac:dyDescent="0.25">
      <c r="A6969" s="7" t="s">
        <v>39575</v>
      </c>
      <c r="B6969" s="8">
        <v>400</v>
      </c>
      <c r="C6969" s="8">
        <v>20.478950000000001</v>
      </c>
      <c r="D6969" s="8">
        <v>87</v>
      </c>
      <c r="E6969" s="8">
        <v>0</v>
      </c>
      <c r="F6969" s="8">
        <v>0</v>
      </c>
      <c r="G6969" s="8">
        <v>11</v>
      </c>
      <c r="H6969" s="8" t="s">
        <v>39576</v>
      </c>
      <c r="I6969" s="8">
        <v>528.375</v>
      </c>
      <c r="J6969" s="3">
        <f t="shared" si="108"/>
        <v>43748.975865891196</v>
      </c>
    </row>
    <row r="6970" spans="1:10" x14ac:dyDescent="0.25">
      <c r="A6970" s="5" t="s">
        <v>39577</v>
      </c>
      <c r="B6970" s="6">
        <v>396.875</v>
      </c>
      <c r="C6970" s="6">
        <v>20.478950000000001</v>
      </c>
      <c r="D6970" s="6">
        <v>86</v>
      </c>
      <c r="E6970" s="6">
        <v>0</v>
      </c>
      <c r="F6970" s="6">
        <v>0</v>
      </c>
      <c r="G6970" s="6">
        <v>15</v>
      </c>
      <c r="H6970" s="6" t="s">
        <v>39578</v>
      </c>
      <c r="I6970" s="6">
        <v>527.4375</v>
      </c>
      <c r="J6970" s="2">
        <f t="shared" si="108"/>
        <v>43748.975949386571</v>
      </c>
    </row>
    <row r="6971" spans="1:10" x14ac:dyDescent="0.25">
      <c r="A6971" s="7" t="s">
        <v>39579</v>
      </c>
      <c r="B6971" s="8">
        <v>396.875</v>
      </c>
      <c r="C6971" s="8">
        <v>20.478950000000001</v>
      </c>
      <c r="D6971" s="8">
        <v>86</v>
      </c>
      <c r="E6971" s="8">
        <v>0</v>
      </c>
      <c r="F6971" s="8">
        <v>0</v>
      </c>
      <c r="G6971" s="8">
        <v>13</v>
      </c>
      <c r="H6971" s="8" t="s">
        <v>39580</v>
      </c>
      <c r="I6971" s="8">
        <v>527.4375</v>
      </c>
      <c r="J6971" s="3">
        <f t="shared" si="108"/>
        <v>43748.976032546292</v>
      </c>
    </row>
    <row r="6972" spans="1:10" x14ac:dyDescent="0.25">
      <c r="A6972" s="5" t="s">
        <v>39581</v>
      </c>
      <c r="B6972" s="6">
        <v>396.875</v>
      </c>
      <c r="C6972" s="6">
        <v>20.478950000000001</v>
      </c>
      <c r="D6972" s="6">
        <v>86</v>
      </c>
      <c r="E6972" s="6">
        <v>0</v>
      </c>
      <c r="F6972" s="6">
        <v>0</v>
      </c>
      <c r="G6972" s="6">
        <v>15</v>
      </c>
      <c r="H6972" s="6" t="s">
        <v>39582</v>
      </c>
      <c r="I6972" s="6">
        <v>527.4375</v>
      </c>
      <c r="J6972" s="2">
        <f t="shared" si="108"/>
        <v>43748.976103969901</v>
      </c>
    </row>
    <row r="6973" spans="1:10" x14ac:dyDescent="0.25">
      <c r="A6973" s="7" t="s">
        <v>39583</v>
      </c>
      <c r="B6973" s="8">
        <v>396.875</v>
      </c>
      <c r="C6973" s="8">
        <v>20.478950000000001</v>
      </c>
      <c r="D6973" s="8">
        <v>86</v>
      </c>
      <c r="E6973" s="8">
        <v>0</v>
      </c>
      <c r="F6973" s="8">
        <v>0</v>
      </c>
      <c r="G6973" s="8">
        <v>22</v>
      </c>
      <c r="H6973" s="8" t="s">
        <v>39584</v>
      </c>
      <c r="I6973" s="8">
        <v>527.4375</v>
      </c>
      <c r="J6973" s="3">
        <f t="shared" si="108"/>
        <v>43748.976175266202</v>
      </c>
    </row>
    <row r="6974" spans="1:10" x14ac:dyDescent="0.25">
      <c r="A6974" s="5" t="s">
        <v>39585</v>
      </c>
      <c r="B6974" s="6">
        <v>393.75</v>
      </c>
      <c r="C6974" s="6">
        <v>20.478950000000001</v>
      </c>
      <c r="D6974" s="6">
        <v>85</v>
      </c>
      <c r="E6974" s="6">
        <v>0</v>
      </c>
      <c r="F6974" s="6">
        <v>0</v>
      </c>
      <c r="G6974" s="6">
        <v>15</v>
      </c>
      <c r="H6974" s="6" t="s">
        <v>39586</v>
      </c>
      <c r="I6974" s="6">
        <v>526.6875</v>
      </c>
      <c r="J6974" s="2">
        <f t="shared" si="108"/>
        <v>43748.976247372681</v>
      </c>
    </row>
    <row r="6975" spans="1:10" x14ac:dyDescent="0.25">
      <c r="A6975" s="7" t="s">
        <v>39587</v>
      </c>
      <c r="B6975" s="8">
        <v>393.75</v>
      </c>
      <c r="C6975" s="8">
        <v>20.478950000000001</v>
      </c>
      <c r="D6975" s="8">
        <v>86</v>
      </c>
      <c r="E6975" s="8">
        <v>0</v>
      </c>
      <c r="F6975" s="8">
        <v>0</v>
      </c>
      <c r="G6975" s="8">
        <v>27</v>
      </c>
      <c r="H6975" s="8" t="s">
        <v>39588</v>
      </c>
      <c r="I6975" s="8">
        <v>526.6875</v>
      </c>
      <c r="J6975" s="3">
        <f t="shared" si="108"/>
        <v>43748.976330706013</v>
      </c>
    </row>
    <row r="6976" spans="1:10" x14ac:dyDescent="0.25">
      <c r="A6976" s="5" t="s">
        <v>39589</v>
      </c>
      <c r="B6976" s="6">
        <v>393.75</v>
      </c>
      <c r="C6976" s="6">
        <v>20.478950000000001</v>
      </c>
      <c r="D6976" s="6">
        <v>87</v>
      </c>
      <c r="E6976" s="6">
        <v>0</v>
      </c>
      <c r="F6976" s="6">
        <v>0</v>
      </c>
      <c r="G6976" s="6">
        <v>12</v>
      </c>
      <c r="H6976" s="6" t="s">
        <v>39590</v>
      </c>
      <c r="I6976" s="6">
        <v>526.5</v>
      </c>
      <c r="J6976" s="2">
        <f t="shared" si="108"/>
        <v>43748.976402048611</v>
      </c>
    </row>
    <row r="6977" spans="1:10" x14ac:dyDescent="0.25">
      <c r="A6977" s="7" t="s">
        <v>39591</v>
      </c>
      <c r="B6977" s="8">
        <v>393.75</v>
      </c>
      <c r="C6977" s="8">
        <v>20.478950000000001</v>
      </c>
      <c r="D6977" s="8">
        <v>87</v>
      </c>
      <c r="E6977" s="8">
        <v>0</v>
      </c>
      <c r="F6977" s="8">
        <v>0</v>
      </c>
      <c r="G6977" s="8">
        <v>14</v>
      </c>
      <c r="H6977" s="8" t="s">
        <v>39592</v>
      </c>
      <c r="I6977" s="8">
        <v>526.6875</v>
      </c>
      <c r="J6977" s="3">
        <f t="shared" si="108"/>
        <v>43748.976474212956</v>
      </c>
    </row>
    <row r="6978" spans="1:10" x14ac:dyDescent="0.25">
      <c r="A6978" s="5" t="s">
        <v>39593</v>
      </c>
      <c r="B6978" s="6">
        <v>437.5</v>
      </c>
      <c r="C6978" s="6">
        <v>20.478950000000001</v>
      </c>
      <c r="D6978" s="6">
        <v>88</v>
      </c>
      <c r="E6978" s="6">
        <v>0</v>
      </c>
      <c r="F6978" s="6">
        <v>0</v>
      </c>
      <c r="G6978" s="6">
        <v>11</v>
      </c>
      <c r="H6978" s="6" t="s">
        <v>39594</v>
      </c>
      <c r="I6978" s="6">
        <v>540</v>
      </c>
      <c r="J6978" s="2">
        <f t="shared" ref="J6978:J7041" si="109">(H6978/86400000)+25569+(7/24)</f>
        <v>43748.976545520833</v>
      </c>
    </row>
    <row r="6979" spans="1:10" x14ac:dyDescent="0.25">
      <c r="A6979" s="7" t="s">
        <v>39595</v>
      </c>
      <c r="B6979" s="8">
        <v>393.75</v>
      </c>
      <c r="C6979" s="8">
        <v>20.478950000000001</v>
      </c>
      <c r="D6979" s="8">
        <v>88</v>
      </c>
      <c r="E6979" s="8">
        <v>0</v>
      </c>
      <c r="F6979" s="8">
        <v>0</v>
      </c>
      <c r="G6979" s="8">
        <v>27</v>
      </c>
      <c r="H6979" s="8" t="s">
        <v>39596</v>
      </c>
      <c r="I6979" s="8">
        <v>526.6875</v>
      </c>
      <c r="J6979" s="3">
        <f t="shared" si="109"/>
        <v>43748.976628854165</v>
      </c>
    </row>
    <row r="6980" spans="1:10" x14ac:dyDescent="0.25">
      <c r="A6980" s="5" t="s">
        <v>39597</v>
      </c>
      <c r="B6980" s="6">
        <v>393.75</v>
      </c>
      <c r="C6980" s="6">
        <v>20.478950000000001</v>
      </c>
      <c r="D6980" s="6">
        <v>88</v>
      </c>
      <c r="E6980" s="6">
        <v>0</v>
      </c>
      <c r="F6980" s="6">
        <v>0</v>
      </c>
      <c r="G6980" s="6">
        <v>17</v>
      </c>
      <c r="H6980" s="6" t="s">
        <v>39598</v>
      </c>
      <c r="I6980" s="6">
        <v>526.6875</v>
      </c>
      <c r="J6980" s="2">
        <f t="shared" si="109"/>
        <v>43748.976700150459</v>
      </c>
    </row>
    <row r="6981" spans="1:10" x14ac:dyDescent="0.25">
      <c r="A6981" s="7" t="s">
        <v>39599</v>
      </c>
      <c r="B6981" s="8">
        <v>393.75</v>
      </c>
      <c r="C6981" s="8">
        <v>20.478950000000001</v>
      </c>
      <c r="D6981" s="8">
        <v>88</v>
      </c>
      <c r="E6981" s="8">
        <v>0</v>
      </c>
      <c r="F6981" s="8">
        <v>0</v>
      </c>
      <c r="G6981" s="8">
        <v>16</v>
      </c>
      <c r="H6981" s="8" t="s">
        <v>39600</v>
      </c>
      <c r="I6981" s="8">
        <v>526.6875</v>
      </c>
      <c r="J6981" s="3">
        <f t="shared" si="109"/>
        <v>43748.976772361108</v>
      </c>
    </row>
    <row r="6982" spans="1:10" x14ac:dyDescent="0.25">
      <c r="A6982" s="5" t="s">
        <v>39601</v>
      </c>
      <c r="B6982" s="6">
        <v>393.75</v>
      </c>
      <c r="C6982" s="6">
        <v>20.478950000000001</v>
      </c>
      <c r="D6982" s="6">
        <v>89</v>
      </c>
      <c r="E6982" s="6">
        <v>0</v>
      </c>
      <c r="F6982" s="6">
        <v>0</v>
      </c>
      <c r="G6982" s="6">
        <v>22</v>
      </c>
      <c r="H6982" s="6" t="s">
        <v>39602</v>
      </c>
      <c r="I6982" s="6">
        <v>526.6875</v>
      </c>
      <c r="J6982" s="2">
        <f t="shared" si="109"/>
        <v>43748.976843668977</v>
      </c>
    </row>
    <row r="6983" spans="1:10" x14ac:dyDescent="0.25">
      <c r="A6983" s="7" t="s">
        <v>39603</v>
      </c>
      <c r="B6983" s="8">
        <v>393.75</v>
      </c>
      <c r="C6983" s="8">
        <v>20.478950000000001</v>
      </c>
      <c r="D6983" s="8">
        <v>89</v>
      </c>
      <c r="E6983" s="8">
        <v>0</v>
      </c>
      <c r="F6983" s="8">
        <v>0</v>
      </c>
      <c r="G6983" s="8">
        <v>12</v>
      </c>
      <c r="H6983" s="8" t="s">
        <v>39604</v>
      </c>
      <c r="I6983" s="8">
        <v>526.6875</v>
      </c>
      <c r="J6983" s="3">
        <f t="shared" si="109"/>
        <v>43748.976914953702</v>
      </c>
    </row>
    <row r="6984" spans="1:10" x14ac:dyDescent="0.25">
      <c r="A6984" s="5" t="s">
        <v>39605</v>
      </c>
      <c r="B6984" s="6">
        <v>393.75</v>
      </c>
      <c r="C6984" s="6">
        <v>20.478950000000001</v>
      </c>
      <c r="D6984" s="6">
        <v>89</v>
      </c>
      <c r="E6984" s="6">
        <v>0</v>
      </c>
      <c r="F6984" s="6">
        <v>0</v>
      </c>
      <c r="G6984" s="6">
        <v>24</v>
      </c>
      <c r="H6984" s="6" t="s">
        <v>39606</v>
      </c>
      <c r="I6984" s="6">
        <v>526.6875</v>
      </c>
      <c r="J6984" s="2">
        <f t="shared" si="109"/>
        <v>43748.976986319445</v>
      </c>
    </row>
    <row r="6985" spans="1:10" x14ac:dyDescent="0.25">
      <c r="A6985" s="7" t="s">
        <v>39607</v>
      </c>
      <c r="B6985" s="8">
        <v>412.5</v>
      </c>
      <c r="C6985" s="8">
        <v>20.478950000000001</v>
      </c>
      <c r="D6985" s="8">
        <v>84</v>
      </c>
      <c r="E6985" s="8">
        <v>0</v>
      </c>
      <c r="F6985" s="8">
        <v>0</v>
      </c>
      <c r="G6985" s="8">
        <v>18</v>
      </c>
      <c r="H6985" s="8" t="s">
        <v>39608</v>
      </c>
      <c r="I6985" s="8">
        <v>532.3125</v>
      </c>
      <c r="J6985" s="3">
        <f t="shared" si="109"/>
        <v>43748.97708178241</v>
      </c>
    </row>
    <row r="6986" spans="1:10" x14ac:dyDescent="0.25">
      <c r="A6986" s="5" t="s">
        <v>39609</v>
      </c>
      <c r="B6986" s="6">
        <v>393.75</v>
      </c>
      <c r="C6986" s="6">
        <v>20.478950000000001</v>
      </c>
      <c r="D6986" s="6">
        <v>84</v>
      </c>
      <c r="E6986" s="6">
        <v>0</v>
      </c>
      <c r="F6986" s="6">
        <v>0</v>
      </c>
      <c r="G6986" s="6">
        <v>22</v>
      </c>
      <c r="H6986" s="6" t="s">
        <v>39610</v>
      </c>
      <c r="I6986" s="6">
        <v>526.6875</v>
      </c>
      <c r="J6986" s="2">
        <f t="shared" si="109"/>
        <v>43748.977153402775</v>
      </c>
    </row>
    <row r="6987" spans="1:10" x14ac:dyDescent="0.25">
      <c r="A6987" s="7" t="s">
        <v>39611</v>
      </c>
      <c r="B6987" s="8">
        <v>393.75</v>
      </c>
      <c r="C6987" s="8">
        <v>20.478950000000001</v>
      </c>
      <c r="D6987" s="8">
        <v>84</v>
      </c>
      <c r="E6987" s="8">
        <v>0</v>
      </c>
      <c r="F6987" s="8">
        <v>0</v>
      </c>
      <c r="G6987" s="8">
        <v>19</v>
      </c>
      <c r="H6987" s="8" t="s">
        <v>39612</v>
      </c>
      <c r="I6987" s="8">
        <v>526.6875</v>
      </c>
      <c r="J6987" s="3">
        <f t="shared" si="109"/>
        <v>43748.97722635416</v>
      </c>
    </row>
    <row r="6988" spans="1:10" x14ac:dyDescent="0.25">
      <c r="A6988" s="5" t="s">
        <v>39613</v>
      </c>
      <c r="B6988" s="6">
        <v>393.75</v>
      </c>
      <c r="C6988" s="6">
        <v>20.478950000000001</v>
      </c>
      <c r="D6988" s="6">
        <v>85</v>
      </c>
      <c r="E6988" s="6">
        <v>0</v>
      </c>
      <c r="F6988" s="6">
        <v>0</v>
      </c>
      <c r="G6988" s="6">
        <v>16</v>
      </c>
      <c r="H6988" s="6" t="s">
        <v>39614</v>
      </c>
      <c r="I6988" s="6">
        <v>526.5</v>
      </c>
      <c r="J6988" s="2">
        <f t="shared" si="109"/>
        <v>43748.977308518515</v>
      </c>
    </row>
    <row r="6989" spans="1:10" x14ac:dyDescent="0.25">
      <c r="A6989" s="7" t="s">
        <v>39615</v>
      </c>
      <c r="B6989" s="8">
        <v>393.75</v>
      </c>
      <c r="C6989" s="8">
        <v>20.478950000000001</v>
      </c>
      <c r="D6989" s="8">
        <v>86</v>
      </c>
      <c r="E6989" s="8">
        <v>0</v>
      </c>
      <c r="F6989" s="8">
        <v>0</v>
      </c>
      <c r="G6989" s="8">
        <v>15</v>
      </c>
      <c r="H6989" s="8" t="s">
        <v>39616</v>
      </c>
      <c r="I6989" s="8">
        <v>526.5</v>
      </c>
      <c r="J6989" s="3">
        <f t="shared" si="109"/>
        <v>43748.977391828703</v>
      </c>
    </row>
    <row r="6990" spans="1:10" x14ac:dyDescent="0.25">
      <c r="A6990" s="5" t="s">
        <v>39617</v>
      </c>
      <c r="B6990" s="6">
        <v>393.75</v>
      </c>
      <c r="C6990" s="6">
        <v>20.478950000000001</v>
      </c>
      <c r="D6990" s="6">
        <v>88</v>
      </c>
      <c r="E6990" s="6">
        <v>0</v>
      </c>
      <c r="F6990" s="6">
        <v>0</v>
      </c>
      <c r="G6990" s="6">
        <v>11</v>
      </c>
      <c r="H6990" s="6" t="s">
        <v>39618</v>
      </c>
      <c r="I6990" s="6">
        <v>526.5</v>
      </c>
      <c r="J6990" s="2">
        <f t="shared" si="109"/>
        <v>43748.977464062496</v>
      </c>
    </row>
    <row r="6991" spans="1:10" x14ac:dyDescent="0.25">
      <c r="A6991" s="7" t="s">
        <v>39619</v>
      </c>
      <c r="B6991" s="8">
        <v>440.625</v>
      </c>
      <c r="C6991" s="8">
        <v>20.478950000000001</v>
      </c>
      <c r="D6991" s="8">
        <v>89</v>
      </c>
      <c r="E6991" s="8">
        <v>0</v>
      </c>
      <c r="F6991" s="8">
        <v>0</v>
      </c>
      <c r="G6991" s="8">
        <v>13</v>
      </c>
      <c r="H6991" s="8" t="s">
        <v>39620</v>
      </c>
      <c r="I6991" s="8">
        <v>541.3125</v>
      </c>
      <c r="J6991" s="3">
        <f t="shared" si="109"/>
        <v>43748.977535358797</v>
      </c>
    </row>
    <row r="6992" spans="1:10" x14ac:dyDescent="0.25">
      <c r="A6992" s="5" t="s">
        <v>39621</v>
      </c>
      <c r="B6992" s="6">
        <v>393.75</v>
      </c>
      <c r="C6992" s="6">
        <v>20.478950000000001</v>
      </c>
      <c r="D6992" s="6">
        <v>89</v>
      </c>
      <c r="E6992" s="6">
        <v>0</v>
      </c>
      <c r="F6992" s="6">
        <v>0</v>
      </c>
      <c r="G6992" s="6">
        <v>17</v>
      </c>
      <c r="H6992" s="6" t="s">
        <v>39622</v>
      </c>
      <c r="I6992" s="6">
        <v>526.6875</v>
      </c>
      <c r="J6992" s="2">
        <f t="shared" si="109"/>
        <v>43748.97760666666</v>
      </c>
    </row>
    <row r="6993" spans="1:10" x14ac:dyDescent="0.25">
      <c r="A6993" s="7" t="s">
        <v>39623</v>
      </c>
      <c r="B6993" s="8">
        <v>393.75</v>
      </c>
      <c r="C6993" s="8">
        <v>20.478950000000001</v>
      </c>
      <c r="D6993" s="8">
        <v>89</v>
      </c>
      <c r="E6993" s="8">
        <v>0</v>
      </c>
      <c r="F6993" s="8">
        <v>0</v>
      </c>
      <c r="G6993" s="8">
        <v>20</v>
      </c>
      <c r="H6993" s="8" t="s">
        <v>39624</v>
      </c>
      <c r="I6993" s="8">
        <v>526.6875</v>
      </c>
      <c r="J6993" s="3">
        <f t="shared" si="109"/>
        <v>43748.977677939816</v>
      </c>
    </row>
    <row r="6994" spans="1:10" x14ac:dyDescent="0.25">
      <c r="A6994" s="5" t="s">
        <v>39625</v>
      </c>
      <c r="B6994" s="6">
        <v>393.75</v>
      </c>
      <c r="C6994" s="6">
        <v>20.478950000000001</v>
      </c>
      <c r="D6994" s="6">
        <v>88</v>
      </c>
      <c r="E6994" s="6">
        <v>0</v>
      </c>
      <c r="F6994" s="6">
        <v>0</v>
      </c>
      <c r="G6994" s="6">
        <v>7</v>
      </c>
      <c r="H6994" s="6" t="s">
        <v>39626</v>
      </c>
      <c r="I6994" s="6">
        <v>526.6875</v>
      </c>
      <c r="J6994" s="2">
        <f t="shared" si="109"/>
        <v>43748.977750347221</v>
      </c>
    </row>
    <row r="6995" spans="1:10" x14ac:dyDescent="0.25">
      <c r="A6995" s="7" t="s">
        <v>39627</v>
      </c>
      <c r="B6995" s="8">
        <v>393.75</v>
      </c>
      <c r="C6995" s="8">
        <v>20.478950000000001</v>
      </c>
      <c r="D6995" s="8">
        <v>88</v>
      </c>
      <c r="E6995" s="8">
        <v>0</v>
      </c>
      <c r="F6995" s="8">
        <v>0</v>
      </c>
      <c r="G6995" s="8">
        <v>13</v>
      </c>
      <c r="H6995" s="8" t="s">
        <v>39628</v>
      </c>
      <c r="I6995" s="8">
        <v>526.5</v>
      </c>
      <c r="J6995" s="3">
        <f t="shared" si="109"/>
        <v>43748.977821469904</v>
      </c>
    </row>
    <row r="6996" spans="1:10" x14ac:dyDescent="0.25">
      <c r="A6996" s="5" t="s">
        <v>39629</v>
      </c>
      <c r="B6996" s="6">
        <v>393.75</v>
      </c>
      <c r="C6996" s="6">
        <v>20.478950000000001</v>
      </c>
      <c r="D6996" s="6">
        <v>87</v>
      </c>
      <c r="E6996" s="6">
        <v>0</v>
      </c>
      <c r="F6996" s="6">
        <v>0</v>
      </c>
      <c r="G6996" s="6">
        <v>10</v>
      </c>
      <c r="H6996" s="6" t="s">
        <v>39630</v>
      </c>
      <c r="I6996" s="6">
        <v>526.6875</v>
      </c>
      <c r="J6996" s="2">
        <f t="shared" si="109"/>
        <v>43748.977892754629</v>
      </c>
    </row>
    <row r="6997" spans="1:10" x14ac:dyDescent="0.25">
      <c r="A6997" s="7" t="s">
        <v>39631</v>
      </c>
      <c r="B6997" s="8">
        <v>393.75</v>
      </c>
      <c r="C6997" s="8">
        <v>20.478950000000001</v>
      </c>
      <c r="D6997" s="8">
        <v>87</v>
      </c>
      <c r="E6997" s="8">
        <v>0</v>
      </c>
      <c r="F6997" s="8">
        <v>0</v>
      </c>
      <c r="G6997" s="8">
        <v>10</v>
      </c>
      <c r="H6997" s="8" t="s">
        <v>39632</v>
      </c>
      <c r="I6997" s="8">
        <v>526.6875</v>
      </c>
      <c r="J6997" s="3">
        <f t="shared" si="109"/>
        <v>43748.977964120371</v>
      </c>
    </row>
    <row r="6998" spans="1:10" x14ac:dyDescent="0.25">
      <c r="A6998" s="5" t="s">
        <v>39633</v>
      </c>
      <c r="B6998" s="6">
        <v>393.75</v>
      </c>
      <c r="C6998" s="6">
        <v>20.478950000000001</v>
      </c>
      <c r="D6998" s="6">
        <v>87</v>
      </c>
      <c r="E6998" s="6">
        <v>0</v>
      </c>
      <c r="F6998" s="6">
        <v>0</v>
      </c>
      <c r="G6998" s="6">
        <v>12</v>
      </c>
      <c r="H6998" s="6" t="s">
        <v>39634</v>
      </c>
      <c r="I6998" s="6">
        <v>526.6875</v>
      </c>
      <c r="J6998" s="2">
        <f t="shared" si="109"/>
        <v>43748.978035370368</v>
      </c>
    </row>
    <row r="6999" spans="1:10" x14ac:dyDescent="0.25">
      <c r="A6999" s="7" t="s">
        <v>39635</v>
      </c>
      <c r="B6999" s="8">
        <v>393.75</v>
      </c>
      <c r="C6999" s="8">
        <v>20.478950000000001</v>
      </c>
      <c r="D6999" s="8">
        <v>88</v>
      </c>
      <c r="E6999" s="8">
        <v>0</v>
      </c>
      <c r="F6999" s="8">
        <v>0</v>
      </c>
      <c r="G6999" s="8">
        <v>14</v>
      </c>
      <c r="H6999" s="8" t="s">
        <v>39636</v>
      </c>
      <c r="I6999" s="8">
        <v>526.6875</v>
      </c>
      <c r="J6999" s="3">
        <f t="shared" si="109"/>
        <v>43748.978107523144</v>
      </c>
    </row>
    <row r="7000" spans="1:10" x14ac:dyDescent="0.25">
      <c r="A7000" s="5" t="s">
        <v>39637</v>
      </c>
      <c r="B7000" s="6">
        <v>412.5</v>
      </c>
      <c r="C7000" s="6">
        <v>20.478950000000001</v>
      </c>
      <c r="D7000" s="6">
        <v>88</v>
      </c>
      <c r="E7000" s="6">
        <v>0</v>
      </c>
      <c r="F7000" s="6">
        <v>0</v>
      </c>
      <c r="G7000" s="6">
        <v>25</v>
      </c>
      <c r="H7000" s="6" t="s">
        <v>39638</v>
      </c>
      <c r="I7000" s="6">
        <v>532.3125</v>
      </c>
      <c r="J7000" s="2">
        <f t="shared" si="109"/>
        <v>43748.978178912039</v>
      </c>
    </row>
    <row r="7001" spans="1:10" x14ac:dyDescent="0.25">
      <c r="A7001" s="7" t="s">
        <v>39639</v>
      </c>
      <c r="B7001" s="8">
        <v>393.75</v>
      </c>
      <c r="C7001" s="8">
        <v>20.478950000000001</v>
      </c>
      <c r="D7001" s="8">
        <v>88</v>
      </c>
      <c r="E7001" s="8">
        <v>0</v>
      </c>
      <c r="F7001" s="8">
        <v>0</v>
      </c>
      <c r="G7001" s="8">
        <v>20</v>
      </c>
      <c r="H7001" s="8" t="s">
        <v>39640</v>
      </c>
      <c r="I7001" s="8">
        <v>526.6875</v>
      </c>
      <c r="J7001" s="3">
        <f t="shared" si="109"/>
        <v>43748.9782509375</v>
      </c>
    </row>
    <row r="7002" spans="1:10" x14ac:dyDescent="0.25">
      <c r="A7002" s="5" t="s">
        <v>39641</v>
      </c>
      <c r="B7002" s="6">
        <v>393.75</v>
      </c>
      <c r="C7002" s="6">
        <v>20.478950000000001</v>
      </c>
      <c r="D7002" s="6">
        <v>88</v>
      </c>
      <c r="E7002" s="6">
        <v>0</v>
      </c>
      <c r="F7002" s="6">
        <v>0</v>
      </c>
      <c r="G7002" s="6">
        <v>19</v>
      </c>
      <c r="H7002" s="6" t="s">
        <v>39642</v>
      </c>
      <c r="I7002" s="6">
        <v>526.6875</v>
      </c>
      <c r="J7002" s="2">
        <f t="shared" si="109"/>
        <v>43748.978322418981</v>
      </c>
    </row>
    <row r="7003" spans="1:10" x14ac:dyDescent="0.25">
      <c r="A7003" s="7" t="s">
        <v>39643</v>
      </c>
      <c r="B7003" s="8">
        <v>393.75</v>
      </c>
      <c r="C7003" s="8">
        <v>20.478950000000001</v>
      </c>
      <c r="D7003" s="8">
        <v>87</v>
      </c>
      <c r="E7003" s="8">
        <v>0</v>
      </c>
      <c r="F7003" s="8">
        <v>0</v>
      </c>
      <c r="G7003" s="8">
        <v>15</v>
      </c>
      <c r="H7003" s="8" t="s">
        <v>39644</v>
      </c>
      <c r="I7003" s="8">
        <v>526.6875</v>
      </c>
      <c r="J7003" s="3">
        <f t="shared" si="109"/>
        <v>43748.978393680554</v>
      </c>
    </row>
    <row r="7004" spans="1:10" x14ac:dyDescent="0.25">
      <c r="A7004" s="5" t="s">
        <v>39645</v>
      </c>
      <c r="B7004" s="6">
        <v>393.75</v>
      </c>
      <c r="C7004" s="6">
        <v>20.478950000000001</v>
      </c>
      <c r="D7004" s="6">
        <v>86</v>
      </c>
      <c r="E7004" s="6">
        <v>0</v>
      </c>
      <c r="F7004" s="6">
        <v>0</v>
      </c>
      <c r="G7004" s="6">
        <v>20</v>
      </c>
      <c r="H7004" s="6" t="s">
        <v>39646</v>
      </c>
      <c r="I7004" s="6">
        <v>526.6875</v>
      </c>
      <c r="J7004" s="2">
        <f t="shared" si="109"/>
        <v>43748.978465</v>
      </c>
    </row>
    <row r="7005" spans="1:10" x14ac:dyDescent="0.25">
      <c r="A7005" s="7" t="s">
        <v>39647</v>
      </c>
      <c r="B7005" s="8">
        <v>393.75</v>
      </c>
      <c r="C7005" s="8">
        <v>20.478950000000001</v>
      </c>
      <c r="D7005" s="8">
        <v>86</v>
      </c>
      <c r="E7005" s="8">
        <v>0</v>
      </c>
      <c r="F7005" s="8">
        <v>0</v>
      </c>
      <c r="G7005" s="8">
        <v>19</v>
      </c>
      <c r="H7005" s="8" t="s">
        <v>39648</v>
      </c>
      <c r="I7005" s="8">
        <v>526.6875</v>
      </c>
      <c r="J7005" s="3">
        <f t="shared" si="109"/>
        <v>43748.978537164345</v>
      </c>
    </row>
    <row r="7006" spans="1:10" x14ac:dyDescent="0.25">
      <c r="A7006" s="5" t="s">
        <v>39649</v>
      </c>
      <c r="B7006" s="6">
        <v>393.75</v>
      </c>
      <c r="C7006" s="6">
        <v>20.478950000000001</v>
      </c>
      <c r="D7006" s="6">
        <v>85</v>
      </c>
      <c r="E7006" s="6">
        <v>0</v>
      </c>
      <c r="F7006" s="6">
        <v>0</v>
      </c>
      <c r="G7006" s="6">
        <v>26</v>
      </c>
      <c r="H7006" s="6" t="s">
        <v>39650</v>
      </c>
      <c r="I7006" s="6">
        <v>526.6875</v>
      </c>
      <c r="J7006" s="2">
        <f t="shared" si="109"/>
        <v>43748.978608530095</v>
      </c>
    </row>
    <row r="7007" spans="1:10" x14ac:dyDescent="0.25">
      <c r="A7007" s="7" t="s">
        <v>39651</v>
      </c>
      <c r="B7007" s="8">
        <v>393.75</v>
      </c>
      <c r="C7007" s="8">
        <v>20.478950000000001</v>
      </c>
      <c r="D7007" s="8">
        <v>84</v>
      </c>
      <c r="E7007" s="8">
        <v>0</v>
      </c>
      <c r="F7007" s="8">
        <v>0</v>
      </c>
      <c r="G7007" s="8">
        <v>23</v>
      </c>
      <c r="H7007" s="8" t="s">
        <v>39652</v>
      </c>
      <c r="I7007" s="8">
        <v>526.5</v>
      </c>
      <c r="J7007" s="3">
        <f t="shared" si="109"/>
        <v>43748.978679826389</v>
      </c>
    </row>
    <row r="7008" spans="1:10" x14ac:dyDescent="0.25">
      <c r="A7008" s="5" t="s">
        <v>39653</v>
      </c>
      <c r="B7008" s="6">
        <v>393.75</v>
      </c>
      <c r="C7008" s="6">
        <v>20.478950000000001</v>
      </c>
      <c r="D7008" s="6">
        <v>85</v>
      </c>
      <c r="E7008" s="6">
        <v>0</v>
      </c>
      <c r="F7008" s="6">
        <v>0</v>
      </c>
      <c r="G7008" s="6">
        <v>18</v>
      </c>
      <c r="H7008" s="6" t="s">
        <v>39654</v>
      </c>
      <c r="I7008" s="6">
        <v>526.5</v>
      </c>
      <c r="J7008" s="2">
        <f t="shared" si="109"/>
        <v>43748.978751192124</v>
      </c>
    </row>
    <row r="7009" spans="1:10" x14ac:dyDescent="0.25">
      <c r="A7009" s="7" t="s">
        <v>39655</v>
      </c>
      <c r="B7009" s="8">
        <v>393.75</v>
      </c>
      <c r="C7009" s="8">
        <v>20.478950000000001</v>
      </c>
      <c r="D7009" s="8">
        <v>85</v>
      </c>
      <c r="E7009" s="8">
        <v>0</v>
      </c>
      <c r="F7009" s="8">
        <v>0</v>
      </c>
      <c r="G7009" s="8">
        <v>17</v>
      </c>
      <c r="H7009" s="8" t="s">
        <v>39656</v>
      </c>
      <c r="I7009" s="8">
        <v>526.6875</v>
      </c>
      <c r="J7009" s="3">
        <f t="shared" si="109"/>
        <v>43748.978824456011</v>
      </c>
    </row>
    <row r="7010" spans="1:10" x14ac:dyDescent="0.25">
      <c r="A7010" s="5" t="s">
        <v>39657</v>
      </c>
      <c r="B7010" s="6">
        <v>393.75</v>
      </c>
      <c r="C7010" s="6">
        <v>20.478950000000001</v>
      </c>
      <c r="D7010" s="6">
        <v>85</v>
      </c>
      <c r="E7010" s="6">
        <v>0</v>
      </c>
      <c r="F7010" s="6">
        <v>0</v>
      </c>
      <c r="G7010" s="6">
        <v>18</v>
      </c>
      <c r="H7010" s="6" t="s">
        <v>39658</v>
      </c>
      <c r="I7010" s="6">
        <v>526.6875</v>
      </c>
      <c r="J7010" s="2">
        <f t="shared" si="109"/>
        <v>43748.978906643511</v>
      </c>
    </row>
    <row r="7011" spans="1:10" x14ac:dyDescent="0.25">
      <c r="A7011" s="7" t="s">
        <v>39659</v>
      </c>
      <c r="B7011" s="8">
        <v>393.75</v>
      </c>
      <c r="C7011" s="8">
        <v>20.478950000000001</v>
      </c>
      <c r="D7011" s="8">
        <v>85</v>
      </c>
      <c r="E7011" s="8">
        <v>0</v>
      </c>
      <c r="F7011" s="8">
        <v>0</v>
      </c>
      <c r="G7011" s="8">
        <v>18</v>
      </c>
      <c r="H7011" s="8" t="s">
        <v>39660</v>
      </c>
      <c r="I7011" s="8">
        <v>526.6875</v>
      </c>
      <c r="J7011" s="3">
        <f t="shared" si="109"/>
        <v>43748.978989999996</v>
      </c>
    </row>
    <row r="7012" spans="1:10" x14ac:dyDescent="0.25">
      <c r="A7012" s="5" t="s">
        <v>39661</v>
      </c>
      <c r="B7012" s="6">
        <v>393.75</v>
      </c>
      <c r="C7012" s="6">
        <v>20.478950000000001</v>
      </c>
      <c r="D7012" s="6">
        <v>84</v>
      </c>
      <c r="E7012" s="6">
        <v>0</v>
      </c>
      <c r="F7012" s="6">
        <v>0</v>
      </c>
      <c r="G7012" s="6">
        <v>7</v>
      </c>
      <c r="H7012" s="6" t="s">
        <v>39662</v>
      </c>
      <c r="I7012" s="6">
        <v>526.6875</v>
      </c>
      <c r="J7012" s="2">
        <f t="shared" si="109"/>
        <v>43748.979061423604</v>
      </c>
    </row>
    <row r="7013" spans="1:10" x14ac:dyDescent="0.25">
      <c r="A7013" s="7" t="s">
        <v>39663</v>
      </c>
      <c r="B7013" s="8">
        <v>393.75</v>
      </c>
      <c r="C7013" s="8">
        <v>20.478950000000001</v>
      </c>
      <c r="D7013" s="8">
        <v>85</v>
      </c>
      <c r="E7013" s="8">
        <v>0</v>
      </c>
      <c r="F7013" s="8">
        <v>0</v>
      </c>
      <c r="G7013" s="8">
        <v>22</v>
      </c>
      <c r="H7013" s="8" t="s">
        <v>39664</v>
      </c>
      <c r="I7013" s="8">
        <v>526.6875</v>
      </c>
      <c r="J7013" s="3">
        <f t="shared" si="109"/>
        <v>43748.97914131944</v>
      </c>
    </row>
    <row r="7014" spans="1:10" x14ac:dyDescent="0.25">
      <c r="A7014" s="5" t="s">
        <v>39665</v>
      </c>
      <c r="B7014" s="6">
        <v>393.75</v>
      </c>
      <c r="C7014" s="6">
        <v>20.478950000000001</v>
      </c>
      <c r="D7014" s="6">
        <v>85</v>
      </c>
      <c r="E7014" s="6">
        <v>0</v>
      </c>
      <c r="F7014" s="6">
        <v>0</v>
      </c>
      <c r="G7014" s="6">
        <v>9</v>
      </c>
      <c r="H7014" s="6" t="s">
        <v>39666</v>
      </c>
      <c r="I7014" s="6">
        <v>526.6875</v>
      </c>
      <c r="J7014" s="2">
        <f t="shared" si="109"/>
        <v>43748.979216851854</v>
      </c>
    </row>
    <row r="7015" spans="1:10" x14ac:dyDescent="0.25">
      <c r="A7015" s="7" t="s">
        <v>39667</v>
      </c>
      <c r="B7015" s="8">
        <v>393.75</v>
      </c>
      <c r="C7015" s="8">
        <v>20.478950000000001</v>
      </c>
      <c r="D7015" s="8">
        <v>85</v>
      </c>
      <c r="E7015" s="8">
        <v>0</v>
      </c>
      <c r="F7015" s="8">
        <v>0</v>
      </c>
      <c r="G7015" s="8">
        <v>17</v>
      </c>
      <c r="H7015" s="8" t="s">
        <v>39668</v>
      </c>
      <c r="I7015" s="8">
        <v>526.6875</v>
      </c>
      <c r="J7015" s="3">
        <f t="shared" si="109"/>
        <v>43748.979288159717</v>
      </c>
    </row>
    <row r="7016" spans="1:10" x14ac:dyDescent="0.25">
      <c r="A7016" s="5" t="s">
        <v>39669</v>
      </c>
      <c r="B7016" s="6">
        <v>393.75</v>
      </c>
      <c r="C7016" s="6">
        <v>20.478950000000001</v>
      </c>
      <c r="D7016" s="6">
        <v>84</v>
      </c>
      <c r="E7016" s="6">
        <v>0</v>
      </c>
      <c r="F7016" s="6">
        <v>0</v>
      </c>
      <c r="G7016" s="6">
        <v>17</v>
      </c>
      <c r="H7016" s="6" t="s">
        <v>39670</v>
      </c>
      <c r="I7016" s="6">
        <v>526.6875</v>
      </c>
      <c r="J7016" s="2">
        <f t="shared" si="109"/>
        <v>43748.97935942129</v>
      </c>
    </row>
    <row r="7017" spans="1:10" x14ac:dyDescent="0.25">
      <c r="A7017" s="7" t="s">
        <v>39671</v>
      </c>
      <c r="B7017" s="8">
        <v>393.75</v>
      </c>
      <c r="C7017" s="8">
        <v>20.478950000000001</v>
      </c>
      <c r="D7017" s="8">
        <v>84</v>
      </c>
      <c r="E7017" s="8">
        <v>0</v>
      </c>
      <c r="F7017" s="8">
        <v>0</v>
      </c>
      <c r="G7017" s="8">
        <v>22</v>
      </c>
      <c r="H7017" s="8" t="s">
        <v>39672</v>
      </c>
      <c r="I7017" s="8">
        <v>526.6875</v>
      </c>
      <c r="J7017" s="3">
        <f t="shared" si="109"/>
        <v>43748.979431712964</v>
      </c>
    </row>
    <row r="7018" spans="1:10" x14ac:dyDescent="0.25">
      <c r="A7018" s="5" t="s">
        <v>39673</v>
      </c>
      <c r="B7018" s="6">
        <v>393.75</v>
      </c>
      <c r="C7018" s="6">
        <v>20.478950000000001</v>
      </c>
      <c r="D7018" s="6">
        <v>85</v>
      </c>
      <c r="E7018" s="6">
        <v>0</v>
      </c>
      <c r="F7018" s="6">
        <v>0</v>
      </c>
      <c r="G7018" s="6">
        <v>20</v>
      </c>
      <c r="H7018" s="6" t="s">
        <v>39674</v>
      </c>
      <c r="I7018" s="6">
        <v>526.6875</v>
      </c>
      <c r="J7018" s="2">
        <f t="shared" si="109"/>
        <v>43748.979516064814</v>
      </c>
    </row>
    <row r="7019" spans="1:10" x14ac:dyDescent="0.25">
      <c r="A7019" s="7" t="s">
        <v>39675</v>
      </c>
      <c r="B7019" s="8">
        <v>393.75</v>
      </c>
      <c r="C7019" s="8">
        <v>20.478950000000001</v>
      </c>
      <c r="D7019" s="8">
        <v>86</v>
      </c>
      <c r="E7019" s="8">
        <v>0</v>
      </c>
      <c r="F7019" s="8">
        <v>0</v>
      </c>
      <c r="G7019" s="8">
        <v>17</v>
      </c>
      <c r="H7019" s="8" t="s">
        <v>39676</v>
      </c>
      <c r="I7019" s="8">
        <v>526.5</v>
      </c>
      <c r="J7019" s="3">
        <f t="shared" si="109"/>
        <v>43748.979598217593</v>
      </c>
    </row>
    <row r="7020" spans="1:10" x14ac:dyDescent="0.25">
      <c r="A7020" s="5" t="s">
        <v>39677</v>
      </c>
      <c r="B7020" s="6">
        <v>393.75</v>
      </c>
      <c r="C7020" s="6">
        <v>20.478950000000001</v>
      </c>
      <c r="D7020" s="6">
        <v>86</v>
      </c>
      <c r="E7020" s="6">
        <v>0</v>
      </c>
      <c r="F7020" s="6">
        <v>0</v>
      </c>
      <c r="G7020" s="6">
        <v>18</v>
      </c>
      <c r="H7020" s="6" t="s">
        <v>39678</v>
      </c>
      <c r="I7020" s="6">
        <v>526.6875</v>
      </c>
      <c r="J7020" s="2">
        <f t="shared" si="109"/>
        <v>43748.97966957176</v>
      </c>
    </row>
    <row r="7021" spans="1:10" x14ac:dyDescent="0.25">
      <c r="A7021" s="7" t="s">
        <v>39679</v>
      </c>
      <c r="B7021" s="8">
        <v>393.75</v>
      </c>
      <c r="C7021" s="8">
        <v>20.478950000000001</v>
      </c>
      <c r="D7021" s="8">
        <v>86</v>
      </c>
      <c r="E7021" s="8">
        <v>0</v>
      </c>
      <c r="F7021" s="8">
        <v>0</v>
      </c>
      <c r="G7021" s="8">
        <v>19</v>
      </c>
      <c r="H7021" s="8" t="s">
        <v>39680</v>
      </c>
      <c r="I7021" s="8">
        <v>526.6875</v>
      </c>
      <c r="J7021" s="3">
        <f t="shared" si="109"/>
        <v>43748.979740949071</v>
      </c>
    </row>
    <row r="7022" spans="1:10" x14ac:dyDescent="0.25">
      <c r="A7022" s="5" t="s">
        <v>39681</v>
      </c>
      <c r="B7022" s="6">
        <v>393.75</v>
      </c>
      <c r="C7022" s="6">
        <v>20.478950000000001</v>
      </c>
      <c r="D7022" s="6">
        <v>86</v>
      </c>
      <c r="E7022" s="6">
        <v>0</v>
      </c>
      <c r="F7022" s="6">
        <v>0</v>
      </c>
      <c r="G7022" s="6">
        <v>17</v>
      </c>
      <c r="H7022" s="6" t="s">
        <v>39682</v>
      </c>
      <c r="I7022" s="6">
        <v>526.6875</v>
      </c>
      <c r="J7022" s="2">
        <f t="shared" si="109"/>
        <v>43748.979813287035</v>
      </c>
    </row>
    <row r="7023" spans="1:10" x14ac:dyDescent="0.25">
      <c r="A7023" s="7" t="s">
        <v>39683</v>
      </c>
      <c r="B7023" s="8">
        <v>393.75</v>
      </c>
      <c r="C7023" s="8">
        <v>20.478950000000001</v>
      </c>
      <c r="D7023" s="8">
        <v>85</v>
      </c>
      <c r="E7023" s="8">
        <v>0</v>
      </c>
      <c r="F7023" s="8">
        <v>0</v>
      </c>
      <c r="G7023" s="8">
        <v>22</v>
      </c>
      <c r="H7023" s="8" t="s">
        <v>39684</v>
      </c>
      <c r="I7023" s="8">
        <v>526.6875</v>
      </c>
      <c r="J7023" s="3">
        <f t="shared" si="109"/>
        <v>43748.979884421293</v>
      </c>
    </row>
    <row r="7024" spans="1:10" x14ac:dyDescent="0.25">
      <c r="A7024" s="5" t="s">
        <v>39685</v>
      </c>
      <c r="B7024" s="6">
        <v>393.75</v>
      </c>
      <c r="C7024" s="6">
        <v>20.478950000000001</v>
      </c>
      <c r="D7024" s="6">
        <v>86</v>
      </c>
      <c r="E7024" s="6">
        <v>0</v>
      </c>
      <c r="F7024" s="6">
        <v>0</v>
      </c>
      <c r="G7024" s="6">
        <v>12</v>
      </c>
      <c r="H7024" s="6" t="s">
        <v>39686</v>
      </c>
      <c r="I7024" s="6">
        <v>526.6875</v>
      </c>
      <c r="J7024" s="2">
        <f t="shared" si="109"/>
        <v>43748.97996773148</v>
      </c>
    </row>
    <row r="7025" spans="1:10" x14ac:dyDescent="0.25">
      <c r="A7025" s="7" t="s">
        <v>39687</v>
      </c>
      <c r="B7025" s="8">
        <v>412.5</v>
      </c>
      <c r="C7025" s="8">
        <v>20.478950000000001</v>
      </c>
      <c r="D7025" s="8">
        <v>87</v>
      </c>
      <c r="E7025" s="8">
        <v>0</v>
      </c>
      <c r="F7025" s="8">
        <v>0</v>
      </c>
      <c r="G7025" s="8">
        <v>19</v>
      </c>
      <c r="H7025" s="8" t="s">
        <v>39688</v>
      </c>
      <c r="I7025" s="8">
        <v>532.3125</v>
      </c>
      <c r="J7025" s="3">
        <f t="shared" si="109"/>
        <v>43748.980047650461</v>
      </c>
    </row>
    <row r="7026" spans="1:10" x14ac:dyDescent="0.25">
      <c r="A7026" s="5" t="s">
        <v>39689</v>
      </c>
      <c r="B7026" s="6">
        <v>393.75</v>
      </c>
      <c r="C7026" s="6">
        <v>20.478950000000001</v>
      </c>
      <c r="D7026" s="6">
        <v>88</v>
      </c>
      <c r="E7026" s="6">
        <v>0</v>
      </c>
      <c r="F7026" s="6">
        <v>0</v>
      </c>
      <c r="G7026" s="6">
        <v>18</v>
      </c>
      <c r="H7026" s="6" t="s">
        <v>39690</v>
      </c>
      <c r="I7026" s="6">
        <v>526.6875</v>
      </c>
      <c r="J7026" s="2">
        <f t="shared" si="109"/>
        <v>43748.980123298614</v>
      </c>
    </row>
    <row r="7027" spans="1:10" x14ac:dyDescent="0.25">
      <c r="A7027" s="7" t="s">
        <v>39691</v>
      </c>
      <c r="B7027" s="8">
        <v>393.75</v>
      </c>
      <c r="C7027" s="8">
        <v>20.478950000000001</v>
      </c>
      <c r="D7027" s="8">
        <v>88</v>
      </c>
      <c r="E7027" s="8">
        <v>0</v>
      </c>
      <c r="F7027" s="8">
        <v>0</v>
      </c>
      <c r="G7027" s="8">
        <v>16</v>
      </c>
      <c r="H7027" s="8" t="s">
        <v>39692</v>
      </c>
      <c r="I7027" s="8">
        <v>526.6875</v>
      </c>
      <c r="J7027" s="3">
        <f t="shared" si="109"/>
        <v>43748.980194594908</v>
      </c>
    </row>
    <row r="7028" spans="1:10" x14ac:dyDescent="0.25">
      <c r="A7028" s="5" t="s">
        <v>39693</v>
      </c>
      <c r="B7028" s="6">
        <v>393.75</v>
      </c>
      <c r="C7028" s="6">
        <v>20.478950000000001</v>
      </c>
      <c r="D7028" s="6">
        <v>88</v>
      </c>
      <c r="E7028" s="6">
        <v>0</v>
      </c>
      <c r="F7028" s="6">
        <v>0</v>
      </c>
      <c r="G7028" s="6">
        <v>16</v>
      </c>
      <c r="H7028" s="6" t="s">
        <v>39694</v>
      </c>
      <c r="I7028" s="6">
        <v>526.6875</v>
      </c>
      <c r="J7028" s="2">
        <f t="shared" si="109"/>
        <v>43748.980265879632</v>
      </c>
    </row>
    <row r="7029" spans="1:10" x14ac:dyDescent="0.25">
      <c r="A7029" s="7" t="s">
        <v>39695</v>
      </c>
      <c r="B7029" s="8">
        <v>393.75</v>
      </c>
      <c r="C7029" s="8">
        <v>20.478950000000001</v>
      </c>
      <c r="D7029" s="8">
        <v>88</v>
      </c>
      <c r="E7029" s="8">
        <v>0</v>
      </c>
      <c r="F7029" s="8">
        <v>0</v>
      </c>
      <c r="G7029" s="8">
        <v>14</v>
      </c>
      <c r="H7029" s="8" t="s">
        <v>39696</v>
      </c>
      <c r="I7029" s="8">
        <v>526.6875</v>
      </c>
      <c r="J7029" s="3">
        <f t="shared" si="109"/>
        <v>43748.980337233799</v>
      </c>
    </row>
    <row r="7030" spans="1:10" x14ac:dyDescent="0.25">
      <c r="A7030" s="5" t="s">
        <v>39697</v>
      </c>
      <c r="B7030" s="6">
        <v>393.75</v>
      </c>
      <c r="C7030" s="6">
        <v>20.478950000000001</v>
      </c>
      <c r="D7030" s="6">
        <v>88</v>
      </c>
      <c r="E7030" s="6">
        <v>0</v>
      </c>
      <c r="F7030" s="6">
        <v>0</v>
      </c>
      <c r="G7030" s="6">
        <v>13</v>
      </c>
      <c r="H7030" s="6" t="s">
        <v>39698</v>
      </c>
      <c r="I7030" s="6">
        <v>526.6875</v>
      </c>
      <c r="J7030" s="2">
        <f t="shared" si="109"/>
        <v>43748.980408773146</v>
      </c>
    </row>
    <row r="7031" spans="1:10" x14ac:dyDescent="0.25">
      <c r="A7031" s="7" t="s">
        <v>39699</v>
      </c>
      <c r="B7031" s="8">
        <v>393.75</v>
      </c>
      <c r="C7031" s="8">
        <v>20.426300000000001</v>
      </c>
      <c r="D7031" s="8">
        <v>87</v>
      </c>
      <c r="E7031" s="8">
        <v>0</v>
      </c>
      <c r="F7031" s="8">
        <v>0</v>
      </c>
      <c r="G7031" s="8">
        <v>19</v>
      </c>
      <c r="H7031" s="8" t="s">
        <v>39700</v>
      </c>
      <c r="I7031" s="8">
        <v>526.6875</v>
      </c>
      <c r="J7031" s="3">
        <f t="shared" si="109"/>
        <v>43748.980480624996</v>
      </c>
    </row>
    <row r="7032" spans="1:10" x14ac:dyDescent="0.25">
      <c r="A7032" s="5" t="s">
        <v>39701</v>
      </c>
      <c r="B7032" s="6">
        <v>393.75</v>
      </c>
      <c r="C7032" s="6">
        <v>20.478950000000001</v>
      </c>
      <c r="D7032" s="6">
        <v>85</v>
      </c>
      <c r="E7032" s="6">
        <v>0</v>
      </c>
      <c r="F7032" s="6">
        <v>0</v>
      </c>
      <c r="G7032" s="6">
        <v>13</v>
      </c>
      <c r="H7032" s="6" t="s">
        <v>39702</v>
      </c>
      <c r="I7032" s="6">
        <v>526.5</v>
      </c>
      <c r="J7032" s="2">
        <f t="shared" si="109"/>
        <v>43748.980552002315</v>
      </c>
    </row>
    <row r="7033" spans="1:10" x14ac:dyDescent="0.25">
      <c r="A7033" s="7" t="s">
        <v>39703</v>
      </c>
      <c r="B7033" s="8">
        <v>412.5</v>
      </c>
      <c r="C7033" s="8">
        <v>20.478950000000001</v>
      </c>
      <c r="D7033" s="8">
        <v>84</v>
      </c>
      <c r="E7033" s="8">
        <v>0</v>
      </c>
      <c r="F7033" s="8">
        <v>0</v>
      </c>
      <c r="G7033" s="8">
        <v>18</v>
      </c>
      <c r="H7033" s="8" t="s">
        <v>39704</v>
      </c>
      <c r="I7033" s="8">
        <v>532.3125</v>
      </c>
      <c r="J7033" s="3">
        <f t="shared" si="109"/>
        <v>43748.98062347222</v>
      </c>
    </row>
    <row r="7034" spans="1:10" x14ac:dyDescent="0.25">
      <c r="A7034" s="5" t="s">
        <v>39705</v>
      </c>
      <c r="B7034" s="6">
        <v>393.75</v>
      </c>
      <c r="C7034" s="6">
        <v>20.426300000000001</v>
      </c>
      <c r="D7034" s="6">
        <v>84</v>
      </c>
      <c r="E7034" s="6">
        <v>0</v>
      </c>
      <c r="F7034" s="6">
        <v>0</v>
      </c>
      <c r="G7034" s="6">
        <v>13</v>
      </c>
      <c r="H7034" s="6" t="s">
        <v>39706</v>
      </c>
      <c r="I7034" s="6">
        <v>526.6875</v>
      </c>
      <c r="J7034" s="2">
        <f t="shared" si="109"/>
        <v>43748.980695532409</v>
      </c>
    </row>
    <row r="7035" spans="1:10" x14ac:dyDescent="0.25">
      <c r="A7035" s="7" t="s">
        <v>39707</v>
      </c>
      <c r="B7035" s="8">
        <v>393.75</v>
      </c>
      <c r="C7035" s="8">
        <v>20.478950000000001</v>
      </c>
      <c r="D7035" s="8">
        <v>84</v>
      </c>
      <c r="E7035" s="8">
        <v>0</v>
      </c>
      <c r="F7035" s="8">
        <v>0</v>
      </c>
      <c r="G7035" s="8">
        <v>14</v>
      </c>
      <c r="H7035" s="8" t="s">
        <v>39708</v>
      </c>
      <c r="I7035" s="8">
        <v>526.6875</v>
      </c>
      <c r="J7035" s="3">
        <f t="shared" si="109"/>
        <v>43748.980766793982</v>
      </c>
    </row>
    <row r="7036" spans="1:10" x14ac:dyDescent="0.25">
      <c r="A7036" s="5" t="s">
        <v>39709</v>
      </c>
      <c r="B7036" s="6">
        <v>393.75</v>
      </c>
      <c r="C7036" s="6">
        <v>20.478950000000001</v>
      </c>
      <c r="D7036" s="6">
        <v>84</v>
      </c>
      <c r="E7036" s="6">
        <v>0</v>
      </c>
      <c r="F7036" s="6">
        <v>0</v>
      </c>
      <c r="G7036" s="6">
        <v>19</v>
      </c>
      <c r="H7036" s="6" t="s">
        <v>39710</v>
      </c>
      <c r="I7036" s="6">
        <v>526.5</v>
      </c>
      <c r="J7036" s="2">
        <f t="shared" si="109"/>
        <v>43748.980838113428</v>
      </c>
    </row>
    <row r="7037" spans="1:10" x14ac:dyDescent="0.25">
      <c r="A7037" s="7" t="s">
        <v>39711</v>
      </c>
      <c r="B7037" s="8">
        <v>412.5</v>
      </c>
      <c r="C7037" s="8">
        <v>20.478950000000001</v>
      </c>
      <c r="D7037" s="8">
        <v>84</v>
      </c>
      <c r="E7037" s="8">
        <v>0</v>
      </c>
      <c r="F7037" s="8">
        <v>0</v>
      </c>
      <c r="G7037" s="8">
        <v>15</v>
      </c>
      <c r="H7037" s="8" t="s">
        <v>39712</v>
      </c>
      <c r="I7037" s="8">
        <v>532.3125</v>
      </c>
      <c r="J7037" s="3">
        <f t="shared" si="109"/>
        <v>43748.980910324077</v>
      </c>
    </row>
    <row r="7038" spans="1:10" x14ac:dyDescent="0.25">
      <c r="A7038" s="5" t="s">
        <v>39713</v>
      </c>
      <c r="B7038" s="6">
        <v>393.75</v>
      </c>
      <c r="C7038" s="6">
        <v>20.478950000000001</v>
      </c>
      <c r="D7038" s="6">
        <v>83</v>
      </c>
      <c r="E7038" s="6">
        <v>0</v>
      </c>
      <c r="F7038" s="6">
        <v>0</v>
      </c>
      <c r="G7038" s="6">
        <v>19</v>
      </c>
      <c r="H7038" s="6" t="s">
        <v>39714</v>
      </c>
      <c r="I7038" s="6">
        <v>526.6875</v>
      </c>
      <c r="J7038" s="2">
        <f t="shared" si="109"/>
        <v>43748.980993668978</v>
      </c>
    </row>
    <row r="7039" spans="1:10" x14ac:dyDescent="0.25">
      <c r="A7039" s="7" t="s">
        <v>39715</v>
      </c>
      <c r="B7039" s="8">
        <v>393.75</v>
      </c>
      <c r="C7039" s="8">
        <v>20.478950000000001</v>
      </c>
      <c r="D7039" s="8">
        <v>83</v>
      </c>
      <c r="E7039" s="8">
        <v>0</v>
      </c>
      <c r="F7039" s="8">
        <v>0</v>
      </c>
      <c r="G7039" s="8">
        <v>16</v>
      </c>
      <c r="H7039" s="8" t="s">
        <v>39716</v>
      </c>
      <c r="I7039" s="8">
        <v>526.6875</v>
      </c>
      <c r="J7039" s="3">
        <f t="shared" si="109"/>
        <v>43748.981064988424</v>
      </c>
    </row>
    <row r="7040" spans="1:10" x14ac:dyDescent="0.25">
      <c r="A7040" s="5" t="s">
        <v>39717</v>
      </c>
      <c r="B7040" s="6">
        <v>393.75</v>
      </c>
      <c r="C7040" s="6">
        <v>20.478950000000001</v>
      </c>
      <c r="D7040" s="6">
        <v>83</v>
      </c>
      <c r="E7040" s="6">
        <v>0</v>
      </c>
      <c r="F7040" s="6">
        <v>0</v>
      </c>
      <c r="G7040" s="6">
        <v>15</v>
      </c>
      <c r="H7040" s="6" t="s">
        <v>39718</v>
      </c>
      <c r="I7040" s="6">
        <v>526.6875</v>
      </c>
      <c r="J7040" s="2">
        <f t="shared" si="109"/>
        <v>43748.981136238428</v>
      </c>
    </row>
    <row r="7041" spans="1:10" x14ac:dyDescent="0.25">
      <c r="A7041" s="7" t="s">
        <v>39719</v>
      </c>
      <c r="B7041" s="8">
        <v>393.75</v>
      </c>
      <c r="C7041" s="8">
        <v>20.478950000000001</v>
      </c>
      <c r="D7041" s="8">
        <v>83</v>
      </c>
      <c r="E7041" s="8">
        <v>0</v>
      </c>
      <c r="F7041" s="8">
        <v>0</v>
      </c>
      <c r="G7041" s="8">
        <v>19</v>
      </c>
      <c r="H7041" s="8" t="s">
        <v>39720</v>
      </c>
      <c r="I7041" s="8">
        <v>526.6875</v>
      </c>
      <c r="J7041" s="3">
        <f t="shared" si="109"/>
        <v>43748.981208402773</v>
      </c>
    </row>
    <row r="7042" spans="1:10" x14ac:dyDescent="0.25">
      <c r="A7042" s="5" t="s">
        <v>39721</v>
      </c>
      <c r="B7042" s="6">
        <v>393.75</v>
      </c>
      <c r="C7042" s="6">
        <v>20.478950000000001</v>
      </c>
      <c r="D7042" s="6">
        <v>86</v>
      </c>
      <c r="E7042" s="6">
        <v>0</v>
      </c>
      <c r="F7042" s="6">
        <v>0</v>
      </c>
      <c r="G7042" s="6">
        <v>14</v>
      </c>
      <c r="H7042" s="6" t="s">
        <v>39722</v>
      </c>
      <c r="I7042" s="6">
        <v>526.6875</v>
      </c>
      <c r="J7042" s="2">
        <f t="shared" ref="J7042:J7105" si="110">(H7042/86400000)+25569+(7/24)</f>
        <v>43748.98129181713</v>
      </c>
    </row>
    <row r="7043" spans="1:10" x14ac:dyDescent="0.25">
      <c r="A7043" s="7" t="s">
        <v>39723</v>
      </c>
      <c r="B7043" s="8">
        <v>393.75</v>
      </c>
      <c r="C7043" s="8">
        <v>20.478950000000001</v>
      </c>
      <c r="D7043" s="8">
        <v>86</v>
      </c>
      <c r="E7043" s="8">
        <v>0</v>
      </c>
      <c r="F7043" s="8">
        <v>0</v>
      </c>
      <c r="G7043" s="8">
        <v>22</v>
      </c>
      <c r="H7043" s="8" t="s">
        <v>39724</v>
      </c>
      <c r="I7043" s="8">
        <v>526.6875</v>
      </c>
      <c r="J7043" s="3">
        <f t="shared" si="110"/>
        <v>43748.981363090272</v>
      </c>
    </row>
    <row r="7044" spans="1:10" x14ac:dyDescent="0.25">
      <c r="A7044" s="5" t="s">
        <v>39725</v>
      </c>
      <c r="B7044" s="6">
        <v>415.625</v>
      </c>
      <c r="C7044" s="6">
        <v>20.478950000000001</v>
      </c>
      <c r="D7044" s="6">
        <v>88</v>
      </c>
      <c r="E7044" s="6">
        <v>0</v>
      </c>
      <c r="F7044" s="6">
        <v>0</v>
      </c>
      <c r="G7044" s="6">
        <v>15</v>
      </c>
      <c r="H7044" s="6" t="s">
        <v>39726</v>
      </c>
      <c r="I7044" s="6">
        <v>533.625</v>
      </c>
      <c r="J7044" s="2">
        <f t="shared" si="110"/>
        <v>43748.981434351845</v>
      </c>
    </row>
    <row r="7045" spans="1:10" x14ac:dyDescent="0.25">
      <c r="A7045" s="7" t="s">
        <v>39727</v>
      </c>
      <c r="B7045" s="8">
        <v>393.75</v>
      </c>
      <c r="C7045" s="8">
        <v>20.478950000000001</v>
      </c>
      <c r="D7045" s="8">
        <v>89</v>
      </c>
      <c r="E7045" s="8">
        <v>0</v>
      </c>
      <c r="F7045" s="8">
        <v>0</v>
      </c>
      <c r="G7045" s="8">
        <v>15</v>
      </c>
      <c r="H7045" s="8" t="s">
        <v>39728</v>
      </c>
      <c r="I7045" s="8">
        <v>526.6875</v>
      </c>
      <c r="J7045" s="3">
        <f t="shared" si="110"/>
        <v>43748.9815064699</v>
      </c>
    </row>
    <row r="7046" spans="1:10" x14ac:dyDescent="0.25">
      <c r="A7046" s="5" t="s">
        <v>39729</v>
      </c>
      <c r="B7046" s="6">
        <v>393.75</v>
      </c>
      <c r="C7046" s="6">
        <v>20.478950000000001</v>
      </c>
      <c r="D7046" s="6">
        <v>88</v>
      </c>
      <c r="E7046" s="6">
        <v>0</v>
      </c>
      <c r="F7046" s="6">
        <v>0</v>
      </c>
      <c r="G7046" s="6">
        <v>11</v>
      </c>
      <c r="H7046" s="6" t="s">
        <v>39730</v>
      </c>
      <c r="I7046" s="6">
        <v>526.6875</v>
      </c>
      <c r="J7046" s="2">
        <f t="shared" si="110"/>
        <v>43748.981577812498</v>
      </c>
    </row>
    <row r="7047" spans="1:10" x14ac:dyDescent="0.25">
      <c r="A7047" s="7" t="s">
        <v>39731</v>
      </c>
      <c r="B7047" s="8">
        <v>393.75</v>
      </c>
      <c r="C7047" s="8">
        <v>20.478950000000001</v>
      </c>
      <c r="D7047" s="8">
        <v>88</v>
      </c>
      <c r="E7047" s="8">
        <v>0</v>
      </c>
      <c r="F7047" s="8">
        <v>0</v>
      </c>
      <c r="G7047" s="8">
        <v>18</v>
      </c>
      <c r="H7047" s="8" t="s">
        <v>39732</v>
      </c>
      <c r="I7047" s="8">
        <v>526.5</v>
      </c>
      <c r="J7047" s="3">
        <f t="shared" si="110"/>
        <v>43748.981649212961</v>
      </c>
    </row>
    <row r="7048" spans="1:10" x14ac:dyDescent="0.25">
      <c r="A7048" s="5" t="s">
        <v>39733</v>
      </c>
      <c r="B7048" s="6">
        <v>393.75</v>
      </c>
      <c r="C7048" s="6">
        <v>20.478950000000001</v>
      </c>
      <c r="D7048" s="6">
        <v>85</v>
      </c>
      <c r="E7048" s="6">
        <v>0</v>
      </c>
      <c r="F7048" s="6">
        <v>0</v>
      </c>
      <c r="G7048" s="6">
        <v>16</v>
      </c>
      <c r="H7048" s="6" t="s">
        <v>39734</v>
      </c>
      <c r="I7048" s="6">
        <v>526.6875</v>
      </c>
      <c r="J7048" s="2">
        <f t="shared" si="110"/>
        <v>43748.981720497679</v>
      </c>
    </row>
    <row r="7049" spans="1:10" x14ac:dyDescent="0.25">
      <c r="A7049" s="7" t="s">
        <v>39735</v>
      </c>
      <c r="B7049" s="8">
        <v>393.75</v>
      </c>
      <c r="C7049" s="8">
        <v>20.478950000000001</v>
      </c>
      <c r="D7049" s="8">
        <v>88</v>
      </c>
      <c r="E7049" s="8">
        <v>0</v>
      </c>
      <c r="F7049" s="8">
        <v>0</v>
      </c>
      <c r="G7049" s="8">
        <v>12</v>
      </c>
      <c r="H7049" s="8" t="s">
        <v>39736</v>
      </c>
      <c r="I7049" s="8">
        <v>526.6875</v>
      </c>
      <c r="J7049" s="3">
        <f t="shared" si="110"/>
        <v>43748.981792719904</v>
      </c>
    </row>
    <row r="7050" spans="1:10" x14ac:dyDescent="0.25">
      <c r="A7050" s="5" t="s">
        <v>39737</v>
      </c>
      <c r="B7050" s="6">
        <v>393.75</v>
      </c>
      <c r="C7050" s="6">
        <v>20.478950000000001</v>
      </c>
      <c r="D7050" s="6">
        <v>87</v>
      </c>
      <c r="E7050" s="6">
        <v>0</v>
      </c>
      <c r="F7050" s="6">
        <v>0</v>
      </c>
      <c r="G7050" s="6">
        <v>23</v>
      </c>
      <c r="H7050" s="6" t="s">
        <v>39738</v>
      </c>
      <c r="I7050" s="6">
        <v>526.6875</v>
      </c>
      <c r="J7050" s="2">
        <f t="shared" si="110"/>
        <v>43748.981888101851</v>
      </c>
    </row>
    <row r="7051" spans="1:10" x14ac:dyDescent="0.25">
      <c r="A7051" s="7" t="s">
        <v>39739</v>
      </c>
      <c r="B7051" s="8">
        <v>412.5</v>
      </c>
      <c r="C7051" s="8">
        <v>20.478950000000001</v>
      </c>
      <c r="D7051" s="8">
        <v>87</v>
      </c>
      <c r="E7051" s="8">
        <v>0</v>
      </c>
      <c r="F7051" s="8">
        <v>0</v>
      </c>
      <c r="G7051" s="8">
        <v>17</v>
      </c>
      <c r="H7051" s="8" t="s">
        <v>39740</v>
      </c>
      <c r="I7051" s="8">
        <v>532.3125</v>
      </c>
      <c r="J7051" s="3">
        <f t="shared" si="110"/>
        <v>43748.981959409721</v>
      </c>
    </row>
    <row r="7052" spans="1:10" x14ac:dyDescent="0.25">
      <c r="A7052" s="5" t="s">
        <v>39741</v>
      </c>
      <c r="B7052" s="6">
        <v>393.75</v>
      </c>
      <c r="C7052" s="6">
        <v>20.426300000000001</v>
      </c>
      <c r="D7052" s="6">
        <v>88</v>
      </c>
      <c r="E7052" s="6">
        <v>0</v>
      </c>
      <c r="F7052" s="6">
        <v>0</v>
      </c>
      <c r="G7052" s="6">
        <v>14</v>
      </c>
      <c r="H7052" s="6" t="s">
        <v>39742</v>
      </c>
      <c r="I7052" s="6">
        <v>526.5</v>
      </c>
      <c r="J7052" s="2">
        <f t="shared" si="110"/>
        <v>43748.982054791668</v>
      </c>
    </row>
    <row r="7053" spans="1:10" x14ac:dyDescent="0.25">
      <c r="A7053" s="7" t="s">
        <v>39743</v>
      </c>
      <c r="B7053" s="8">
        <v>393.75</v>
      </c>
      <c r="C7053" s="8">
        <v>20.478950000000001</v>
      </c>
      <c r="D7053" s="8">
        <v>88</v>
      </c>
      <c r="E7053" s="8">
        <v>0</v>
      </c>
      <c r="F7053" s="8">
        <v>0</v>
      </c>
      <c r="G7053" s="8">
        <v>26</v>
      </c>
      <c r="H7053" s="8" t="s">
        <v>39744</v>
      </c>
      <c r="I7053" s="8">
        <v>526.6875</v>
      </c>
      <c r="J7053" s="3">
        <f t="shared" si="110"/>
        <v>43748.982133275458</v>
      </c>
    </row>
    <row r="7054" spans="1:10" x14ac:dyDescent="0.25">
      <c r="A7054" s="5" t="s">
        <v>39745</v>
      </c>
      <c r="B7054" s="6">
        <v>393.75</v>
      </c>
      <c r="C7054" s="6">
        <v>20.478950000000001</v>
      </c>
      <c r="D7054" s="6">
        <v>88</v>
      </c>
      <c r="E7054" s="6">
        <v>0</v>
      </c>
      <c r="F7054" s="6">
        <v>0</v>
      </c>
      <c r="G7054" s="6">
        <v>14</v>
      </c>
      <c r="H7054" s="6" t="s">
        <v>39746</v>
      </c>
      <c r="I7054" s="6">
        <v>526.6875</v>
      </c>
      <c r="J7054" s="2">
        <f t="shared" si="110"/>
        <v>43748.982209432863</v>
      </c>
    </row>
    <row r="7055" spans="1:10" x14ac:dyDescent="0.25">
      <c r="A7055" s="7" t="s">
        <v>39747</v>
      </c>
      <c r="B7055" s="8">
        <v>393.75</v>
      </c>
      <c r="C7055" s="8">
        <v>20.478950000000001</v>
      </c>
      <c r="D7055" s="8">
        <v>86</v>
      </c>
      <c r="E7055" s="8">
        <v>0</v>
      </c>
      <c r="F7055" s="8">
        <v>0</v>
      </c>
      <c r="G7055" s="8">
        <v>17</v>
      </c>
      <c r="H7055" s="8" t="s">
        <v>39748</v>
      </c>
      <c r="I7055" s="8">
        <v>526.6875</v>
      </c>
      <c r="J7055" s="3">
        <f t="shared" si="110"/>
        <v>43748.98228167824</v>
      </c>
    </row>
    <row r="7056" spans="1:10" x14ac:dyDescent="0.25">
      <c r="A7056" s="5" t="s">
        <v>39749</v>
      </c>
      <c r="B7056" s="6">
        <v>393.75</v>
      </c>
      <c r="C7056" s="6">
        <v>20.478950000000001</v>
      </c>
      <c r="D7056" s="6">
        <v>86</v>
      </c>
      <c r="E7056" s="6">
        <v>0</v>
      </c>
      <c r="F7056" s="6">
        <v>0</v>
      </c>
      <c r="G7056" s="6">
        <v>18</v>
      </c>
      <c r="H7056" s="6" t="s">
        <v>39750</v>
      </c>
      <c r="I7056" s="6">
        <v>526.6875</v>
      </c>
      <c r="J7056" s="2">
        <f t="shared" si="110"/>
        <v>43748.982352870364</v>
      </c>
    </row>
    <row r="7057" spans="1:10" x14ac:dyDescent="0.25">
      <c r="A7057" s="7" t="s">
        <v>39751</v>
      </c>
      <c r="B7057" s="8">
        <v>412.5</v>
      </c>
      <c r="C7057" s="8">
        <v>20.478950000000001</v>
      </c>
      <c r="D7057" s="8">
        <v>86</v>
      </c>
      <c r="E7057" s="8">
        <v>0</v>
      </c>
      <c r="F7057" s="8">
        <v>0</v>
      </c>
      <c r="G7057" s="8">
        <v>12</v>
      </c>
      <c r="H7057" s="8" t="s">
        <v>39752</v>
      </c>
      <c r="I7057" s="8">
        <v>532.6875</v>
      </c>
      <c r="J7057" s="3">
        <f t="shared" si="110"/>
        <v>43748.982424236114</v>
      </c>
    </row>
    <row r="7058" spans="1:10" x14ac:dyDescent="0.25">
      <c r="A7058" s="5" t="s">
        <v>39753</v>
      </c>
      <c r="B7058" s="6">
        <v>393.75</v>
      </c>
      <c r="C7058" s="6">
        <v>20.478950000000001</v>
      </c>
      <c r="D7058" s="6">
        <v>86</v>
      </c>
      <c r="E7058" s="6">
        <v>0</v>
      </c>
      <c r="F7058" s="6">
        <v>0</v>
      </c>
      <c r="G7058" s="6">
        <v>24</v>
      </c>
      <c r="H7058" s="6" t="s">
        <v>39754</v>
      </c>
      <c r="I7058" s="6">
        <v>526.6875</v>
      </c>
      <c r="J7058" s="2">
        <f t="shared" si="110"/>
        <v>43748.982496215271</v>
      </c>
    </row>
    <row r="7059" spans="1:10" x14ac:dyDescent="0.25">
      <c r="A7059" s="7" t="s">
        <v>39755</v>
      </c>
      <c r="B7059" s="8">
        <v>393.75</v>
      </c>
      <c r="C7059" s="8">
        <v>20.478950000000001</v>
      </c>
      <c r="D7059" s="8">
        <v>86</v>
      </c>
      <c r="E7059" s="8">
        <v>0</v>
      </c>
      <c r="F7059" s="8">
        <v>0</v>
      </c>
      <c r="G7059" s="8">
        <v>16</v>
      </c>
      <c r="H7059" s="8" t="s">
        <v>39756</v>
      </c>
      <c r="I7059" s="8">
        <v>526.6875</v>
      </c>
      <c r="J7059" s="3">
        <f t="shared" si="110"/>
        <v>43748.982566898143</v>
      </c>
    </row>
    <row r="7060" spans="1:10" x14ac:dyDescent="0.25">
      <c r="A7060" s="5" t="s">
        <v>39757</v>
      </c>
      <c r="B7060" s="6">
        <v>393.75</v>
      </c>
      <c r="C7060" s="6">
        <v>20.478950000000001</v>
      </c>
      <c r="D7060" s="6">
        <v>85</v>
      </c>
      <c r="E7060" s="6">
        <v>0</v>
      </c>
      <c r="F7060" s="6">
        <v>0</v>
      </c>
      <c r="G7060" s="6">
        <v>19</v>
      </c>
      <c r="H7060" s="6" t="s">
        <v>39758</v>
      </c>
      <c r="I7060" s="6">
        <v>526.6875</v>
      </c>
      <c r="J7060" s="2">
        <f t="shared" si="110"/>
        <v>43748.982639085647</v>
      </c>
    </row>
    <row r="7061" spans="1:10" x14ac:dyDescent="0.25">
      <c r="A7061" s="7" t="s">
        <v>39759</v>
      </c>
      <c r="B7061" s="8">
        <v>393.75</v>
      </c>
      <c r="C7061" s="8">
        <v>20.478950000000001</v>
      </c>
      <c r="D7061" s="8">
        <v>85</v>
      </c>
      <c r="E7061" s="8">
        <v>0</v>
      </c>
      <c r="F7061" s="8">
        <v>0</v>
      </c>
      <c r="G7061" s="8">
        <v>17</v>
      </c>
      <c r="H7061" s="8" t="s">
        <v>39760</v>
      </c>
      <c r="I7061" s="8">
        <v>526.6875</v>
      </c>
      <c r="J7061" s="3">
        <f t="shared" si="110"/>
        <v>43748.98271034722</v>
      </c>
    </row>
    <row r="7062" spans="1:10" x14ac:dyDescent="0.25">
      <c r="A7062" s="5" t="s">
        <v>39761</v>
      </c>
      <c r="B7062" s="6">
        <v>393.75</v>
      </c>
      <c r="C7062" s="6">
        <v>20.478950000000001</v>
      </c>
      <c r="D7062" s="6">
        <v>87</v>
      </c>
      <c r="E7062" s="6">
        <v>0</v>
      </c>
      <c r="F7062" s="6">
        <v>0</v>
      </c>
      <c r="G7062" s="6">
        <v>12</v>
      </c>
      <c r="H7062" s="6" t="s">
        <v>39762</v>
      </c>
      <c r="I7062" s="6">
        <v>526.6875</v>
      </c>
      <c r="J7062" s="2">
        <f t="shared" si="110"/>
        <v>43748.982782500003</v>
      </c>
    </row>
    <row r="7063" spans="1:10" x14ac:dyDescent="0.25">
      <c r="A7063" s="7" t="s">
        <v>39763</v>
      </c>
      <c r="B7063" s="8">
        <v>393.75</v>
      </c>
      <c r="C7063" s="8">
        <v>20.478950000000001</v>
      </c>
      <c r="D7063" s="8">
        <v>89</v>
      </c>
      <c r="E7063" s="8">
        <v>0</v>
      </c>
      <c r="F7063" s="8">
        <v>0</v>
      </c>
      <c r="G7063" s="8">
        <v>21</v>
      </c>
      <c r="H7063" s="8" t="s">
        <v>39764</v>
      </c>
      <c r="I7063" s="8">
        <v>526.6875</v>
      </c>
      <c r="J7063" s="3">
        <f t="shared" si="110"/>
        <v>43748.982865833335</v>
      </c>
    </row>
    <row r="7064" spans="1:10" x14ac:dyDescent="0.25">
      <c r="A7064" s="5" t="s">
        <v>39765</v>
      </c>
      <c r="B7064" s="6">
        <v>393.75</v>
      </c>
      <c r="C7064" s="6">
        <v>20.478950000000001</v>
      </c>
      <c r="D7064" s="6">
        <v>89</v>
      </c>
      <c r="E7064" s="6">
        <v>0</v>
      </c>
      <c r="F7064" s="6">
        <v>0</v>
      </c>
      <c r="G7064" s="6">
        <v>23</v>
      </c>
      <c r="H7064" s="6" t="s">
        <v>39766</v>
      </c>
      <c r="I7064" s="6">
        <v>526.6875</v>
      </c>
      <c r="J7064" s="2">
        <f t="shared" si="110"/>
        <v>43748.982937361106</v>
      </c>
    </row>
    <row r="7065" spans="1:10" x14ac:dyDescent="0.25">
      <c r="A7065" s="7" t="s">
        <v>39767</v>
      </c>
      <c r="B7065" s="8">
        <v>412.5</v>
      </c>
      <c r="C7065" s="8">
        <v>20.478950000000001</v>
      </c>
      <c r="D7065" s="8">
        <v>89</v>
      </c>
      <c r="E7065" s="8">
        <v>0</v>
      </c>
      <c r="F7065" s="8">
        <v>0</v>
      </c>
      <c r="G7065" s="8">
        <v>22</v>
      </c>
      <c r="H7065" s="8" t="s">
        <v>39768</v>
      </c>
      <c r="I7065" s="8">
        <v>532.3125</v>
      </c>
      <c r="J7065" s="3">
        <f t="shared" si="110"/>
        <v>43748.983008495365</v>
      </c>
    </row>
    <row r="7066" spans="1:10" x14ac:dyDescent="0.25">
      <c r="A7066" s="5" t="s">
        <v>39769</v>
      </c>
      <c r="B7066" s="6">
        <v>393.75</v>
      </c>
      <c r="C7066" s="6">
        <v>20.478950000000001</v>
      </c>
      <c r="D7066" s="6">
        <v>89</v>
      </c>
      <c r="E7066" s="6">
        <v>0</v>
      </c>
      <c r="F7066" s="6">
        <v>0</v>
      </c>
      <c r="G7066" s="6">
        <v>14</v>
      </c>
      <c r="H7066" s="6" t="s">
        <v>39770</v>
      </c>
      <c r="I7066" s="6">
        <v>526.6875</v>
      </c>
      <c r="J7066" s="2">
        <f t="shared" si="110"/>
        <v>43748.983079791666</v>
      </c>
    </row>
    <row r="7067" spans="1:10" x14ac:dyDescent="0.25">
      <c r="A7067" s="7" t="s">
        <v>39771</v>
      </c>
      <c r="B7067" s="8">
        <v>393.75</v>
      </c>
      <c r="C7067" s="8">
        <v>20.478950000000001</v>
      </c>
      <c r="D7067" s="8">
        <v>90</v>
      </c>
      <c r="E7067" s="8">
        <v>0</v>
      </c>
      <c r="F7067" s="8">
        <v>0</v>
      </c>
      <c r="G7067" s="8">
        <v>16</v>
      </c>
      <c r="H7067" s="8" t="s">
        <v>39772</v>
      </c>
      <c r="I7067" s="8">
        <v>526.6875</v>
      </c>
      <c r="J7067" s="3">
        <f t="shared" si="110"/>
        <v>43748.983152002307</v>
      </c>
    </row>
    <row r="7068" spans="1:10" x14ac:dyDescent="0.25">
      <c r="A7068" s="5" t="s">
        <v>39773</v>
      </c>
      <c r="B7068" s="6">
        <v>393.75</v>
      </c>
      <c r="C7068" s="6">
        <v>20.478950000000001</v>
      </c>
      <c r="D7068" s="6">
        <v>90</v>
      </c>
      <c r="E7068" s="6">
        <v>0</v>
      </c>
      <c r="F7068" s="6">
        <v>0</v>
      </c>
      <c r="G7068" s="6">
        <v>13</v>
      </c>
      <c r="H7068" s="6" t="s">
        <v>39774</v>
      </c>
      <c r="I7068" s="6">
        <v>526.6875</v>
      </c>
      <c r="J7068" s="2">
        <f t="shared" si="110"/>
        <v>43748.983223321753</v>
      </c>
    </row>
    <row r="7069" spans="1:10" x14ac:dyDescent="0.25">
      <c r="A7069" s="7" t="s">
        <v>39775</v>
      </c>
      <c r="B7069" s="8">
        <v>418.75</v>
      </c>
      <c r="C7069" s="8">
        <v>20.478950000000001</v>
      </c>
      <c r="D7069" s="8">
        <v>90</v>
      </c>
      <c r="E7069" s="8">
        <v>0</v>
      </c>
      <c r="F7069" s="8">
        <v>0</v>
      </c>
      <c r="G7069" s="8">
        <v>20</v>
      </c>
      <c r="H7069" s="8" t="s">
        <v>39776</v>
      </c>
      <c r="I7069" s="8">
        <v>534.75</v>
      </c>
      <c r="J7069" s="3">
        <f t="shared" si="110"/>
        <v>43748.983294594909</v>
      </c>
    </row>
    <row r="7070" spans="1:10" x14ac:dyDescent="0.25">
      <c r="A7070" s="5" t="s">
        <v>39777</v>
      </c>
      <c r="B7070" s="6">
        <v>393.75</v>
      </c>
      <c r="C7070" s="6">
        <v>20.478950000000001</v>
      </c>
      <c r="D7070" s="6">
        <v>90</v>
      </c>
      <c r="E7070" s="6">
        <v>0</v>
      </c>
      <c r="F7070" s="6">
        <v>0</v>
      </c>
      <c r="G7070" s="6">
        <v>22</v>
      </c>
      <c r="H7070" s="6" t="s">
        <v>39778</v>
      </c>
      <c r="I7070" s="6">
        <v>526.6875</v>
      </c>
      <c r="J7070" s="2">
        <f t="shared" si="110"/>
        <v>43748.983366134256</v>
      </c>
    </row>
    <row r="7071" spans="1:10" x14ac:dyDescent="0.25">
      <c r="A7071" s="7" t="s">
        <v>39779</v>
      </c>
      <c r="B7071" s="8">
        <v>393.75</v>
      </c>
      <c r="C7071" s="8">
        <v>20.478950000000001</v>
      </c>
      <c r="D7071" s="8">
        <v>90</v>
      </c>
      <c r="E7071" s="8">
        <v>0</v>
      </c>
      <c r="F7071" s="8">
        <v>0</v>
      </c>
      <c r="G7071" s="8">
        <v>16</v>
      </c>
      <c r="H7071" s="8" t="s">
        <v>39780</v>
      </c>
      <c r="I7071" s="8">
        <v>526.6875</v>
      </c>
      <c r="J7071" s="3">
        <f t="shared" si="110"/>
        <v>43748.983438124997</v>
      </c>
    </row>
    <row r="7072" spans="1:10" x14ac:dyDescent="0.25">
      <c r="A7072" s="5" t="s">
        <v>39781</v>
      </c>
      <c r="B7072" s="6">
        <v>393.75</v>
      </c>
      <c r="C7072" s="6">
        <v>20.478950000000001</v>
      </c>
      <c r="D7072" s="6">
        <v>91</v>
      </c>
      <c r="E7072" s="6">
        <v>0</v>
      </c>
      <c r="F7072" s="6">
        <v>0</v>
      </c>
      <c r="G7072" s="6">
        <v>21</v>
      </c>
      <c r="H7072" s="6" t="s">
        <v>39782</v>
      </c>
      <c r="I7072" s="6">
        <v>526.6875</v>
      </c>
      <c r="J7072" s="2">
        <f t="shared" si="110"/>
        <v>43748.983509409722</v>
      </c>
    </row>
    <row r="7073" spans="1:10" x14ac:dyDescent="0.25">
      <c r="A7073" s="7" t="s">
        <v>39783</v>
      </c>
      <c r="B7073" s="8">
        <v>393.75</v>
      </c>
      <c r="C7073" s="8">
        <v>20.478950000000001</v>
      </c>
      <c r="D7073" s="8">
        <v>92</v>
      </c>
      <c r="E7073" s="8">
        <v>0</v>
      </c>
      <c r="F7073" s="8">
        <v>0</v>
      </c>
      <c r="G7073" s="8">
        <v>23</v>
      </c>
      <c r="H7073" s="8" t="s">
        <v>39784</v>
      </c>
      <c r="I7073" s="8">
        <v>526.5</v>
      </c>
      <c r="J7073" s="3">
        <f t="shared" si="110"/>
        <v>43748.983580879627</v>
      </c>
    </row>
    <row r="7074" spans="1:10" x14ac:dyDescent="0.25">
      <c r="A7074" s="5" t="s">
        <v>39785</v>
      </c>
      <c r="B7074" s="6">
        <v>393.75</v>
      </c>
      <c r="C7074" s="6">
        <v>20.478950000000001</v>
      </c>
      <c r="D7074" s="6">
        <v>91</v>
      </c>
      <c r="E7074" s="6">
        <v>0</v>
      </c>
      <c r="F7074" s="6">
        <v>0</v>
      </c>
      <c r="G7074" s="6">
        <v>15</v>
      </c>
      <c r="H7074" s="6" t="s">
        <v>39786</v>
      </c>
      <c r="I7074" s="6">
        <v>526.6875</v>
      </c>
      <c r="J7074" s="2">
        <f t="shared" si="110"/>
        <v>43748.983652893519</v>
      </c>
    </row>
    <row r="7075" spans="1:10" x14ac:dyDescent="0.25">
      <c r="A7075" s="7" t="s">
        <v>39787</v>
      </c>
      <c r="B7075" s="8">
        <v>393.75</v>
      </c>
      <c r="C7075" s="8">
        <v>20.478950000000001</v>
      </c>
      <c r="D7075" s="8">
        <v>90</v>
      </c>
      <c r="E7075" s="8">
        <v>0</v>
      </c>
      <c r="F7075" s="8">
        <v>0</v>
      </c>
      <c r="G7075" s="8">
        <v>13</v>
      </c>
      <c r="H7075" s="8" t="s">
        <v>39788</v>
      </c>
      <c r="I7075" s="8">
        <v>526.6875</v>
      </c>
      <c r="J7075" s="3">
        <f t="shared" si="110"/>
        <v>43748.98372438657</v>
      </c>
    </row>
    <row r="7076" spans="1:10" x14ac:dyDescent="0.25">
      <c r="A7076" s="5" t="s">
        <v>39789</v>
      </c>
      <c r="B7076" s="6">
        <v>393.75</v>
      </c>
      <c r="C7076" s="6">
        <v>20.478950000000001</v>
      </c>
      <c r="D7076" s="6">
        <v>90</v>
      </c>
      <c r="E7076" s="6">
        <v>0</v>
      </c>
      <c r="F7076" s="6">
        <v>0</v>
      </c>
      <c r="G7076" s="6">
        <v>22</v>
      </c>
      <c r="H7076" s="6" t="s">
        <v>39790</v>
      </c>
      <c r="I7076" s="6">
        <v>526.6875</v>
      </c>
      <c r="J7076" s="2">
        <f t="shared" si="110"/>
        <v>43748.983807731478</v>
      </c>
    </row>
    <row r="7077" spans="1:10" x14ac:dyDescent="0.25">
      <c r="A7077" s="7" t="s">
        <v>39791</v>
      </c>
      <c r="B7077" s="8">
        <v>393.75</v>
      </c>
      <c r="C7077" s="8">
        <v>20.478950000000001</v>
      </c>
      <c r="D7077" s="8">
        <v>90</v>
      </c>
      <c r="E7077" s="8">
        <v>0</v>
      </c>
      <c r="F7077" s="8">
        <v>0</v>
      </c>
      <c r="G7077" s="8">
        <v>13</v>
      </c>
      <c r="H7077" s="8" t="s">
        <v>39792</v>
      </c>
      <c r="I7077" s="8">
        <v>526.5</v>
      </c>
      <c r="J7077" s="3">
        <f t="shared" si="110"/>
        <v>43748.983891099539</v>
      </c>
    </row>
    <row r="7078" spans="1:10" x14ac:dyDescent="0.25">
      <c r="A7078" s="5" t="s">
        <v>39793</v>
      </c>
      <c r="B7078" s="6">
        <v>393.75</v>
      </c>
      <c r="C7078" s="6">
        <v>20.478950000000001</v>
      </c>
      <c r="D7078" s="6">
        <v>89</v>
      </c>
      <c r="E7078" s="6">
        <v>0</v>
      </c>
      <c r="F7078" s="6">
        <v>0</v>
      </c>
      <c r="G7078" s="6">
        <v>14</v>
      </c>
      <c r="H7078" s="6" t="s">
        <v>39794</v>
      </c>
      <c r="I7078" s="6">
        <v>526.6875</v>
      </c>
      <c r="J7078" s="2">
        <f t="shared" si="110"/>
        <v>43748.983962384256</v>
      </c>
    </row>
    <row r="7079" spans="1:10" x14ac:dyDescent="0.25">
      <c r="A7079" s="7" t="s">
        <v>39795</v>
      </c>
      <c r="B7079" s="8">
        <v>393.75</v>
      </c>
      <c r="C7079" s="8">
        <v>20.478950000000001</v>
      </c>
      <c r="D7079" s="8">
        <v>89</v>
      </c>
      <c r="E7079" s="8">
        <v>0</v>
      </c>
      <c r="F7079" s="8">
        <v>0</v>
      </c>
      <c r="G7079" s="8">
        <v>20</v>
      </c>
      <c r="H7079" s="8" t="s">
        <v>39796</v>
      </c>
      <c r="I7079" s="8">
        <v>526.6875</v>
      </c>
      <c r="J7079" s="3">
        <f t="shared" si="110"/>
        <v>43748.984034664354</v>
      </c>
    </row>
    <row r="7080" spans="1:10" x14ac:dyDescent="0.25">
      <c r="A7080" s="5" t="s">
        <v>39797</v>
      </c>
      <c r="B7080" s="6">
        <v>396.875</v>
      </c>
      <c r="C7080" s="6">
        <v>20.478950000000001</v>
      </c>
      <c r="D7080" s="6">
        <v>89</v>
      </c>
      <c r="E7080" s="6">
        <v>0</v>
      </c>
      <c r="F7080" s="6">
        <v>0</v>
      </c>
      <c r="G7080" s="6">
        <v>16</v>
      </c>
      <c r="H7080" s="6" t="s">
        <v>39798</v>
      </c>
      <c r="I7080" s="6">
        <v>527.4375</v>
      </c>
      <c r="J7080" s="2">
        <f t="shared" si="110"/>
        <v>43748.984117881941</v>
      </c>
    </row>
    <row r="7081" spans="1:10" x14ac:dyDescent="0.25">
      <c r="A7081" s="7" t="s">
        <v>39799</v>
      </c>
      <c r="B7081" s="8">
        <v>396.875</v>
      </c>
      <c r="C7081" s="8">
        <v>20.478950000000001</v>
      </c>
      <c r="D7081" s="8">
        <v>89</v>
      </c>
      <c r="E7081" s="8">
        <v>0</v>
      </c>
      <c r="F7081" s="8">
        <v>0</v>
      </c>
      <c r="G7081" s="8">
        <v>21</v>
      </c>
      <c r="H7081" s="8" t="s">
        <v>39800</v>
      </c>
      <c r="I7081" s="8">
        <v>527.4375</v>
      </c>
      <c r="J7081" s="3">
        <f t="shared" si="110"/>
        <v>43748.984189224539</v>
      </c>
    </row>
    <row r="7082" spans="1:10" x14ac:dyDescent="0.25">
      <c r="A7082" s="5" t="s">
        <v>39801</v>
      </c>
      <c r="B7082" s="6">
        <v>396.875</v>
      </c>
      <c r="C7082" s="6">
        <v>20.478950000000001</v>
      </c>
      <c r="D7082" s="6">
        <v>89</v>
      </c>
      <c r="E7082" s="6">
        <v>0</v>
      </c>
      <c r="F7082" s="6">
        <v>0</v>
      </c>
      <c r="G7082" s="6">
        <v>11</v>
      </c>
      <c r="H7082" s="6" t="s">
        <v>39802</v>
      </c>
      <c r="I7082" s="6">
        <v>527.4375</v>
      </c>
      <c r="J7082" s="2">
        <f t="shared" si="110"/>
        <v>43748.98426049768</v>
      </c>
    </row>
    <row r="7083" spans="1:10" x14ac:dyDescent="0.25">
      <c r="A7083" s="7" t="s">
        <v>39803</v>
      </c>
      <c r="B7083" s="8">
        <v>393.75</v>
      </c>
      <c r="C7083" s="8">
        <v>20.478950000000001</v>
      </c>
      <c r="D7083" s="8">
        <v>89</v>
      </c>
      <c r="E7083" s="8">
        <v>0</v>
      </c>
      <c r="F7083" s="8">
        <v>0</v>
      </c>
      <c r="G7083" s="8">
        <v>18</v>
      </c>
      <c r="H7083" s="8" t="s">
        <v>39804</v>
      </c>
      <c r="I7083" s="8">
        <v>526.6875</v>
      </c>
      <c r="J7083" s="3">
        <f t="shared" si="110"/>
        <v>43748.984332812499</v>
      </c>
    </row>
    <row r="7084" spans="1:10" x14ac:dyDescent="0.25">
      <c r="A7084" s="5" t="s">
        <v>39805</v>
      </c>
      <c r="B7084" s="6">
        <v>412.5</v>
      </c>
      <c r="C7084" s="6">
        <v>20.478950000000001</v>
      </c>
      <c r="D7084" s="6">
        <v>84</v>
      </c>
      <c r="E7084" s="6">
        <v>0</v>
      </c>
      <c r="F7084" s="6">
        <v>0</v>
      </c>
      <c r="G7084" s="6">
        <v>22</v>
      </c>
      <c r="H7084" s="6" t="s">
        <v>39806</v>
      </c>
      <c r="I7084" s="6">
        <v>532.3125</v>
      </c>
      <c r="J7084" s="2">
        <f t="shared" si="110"/>
        <v>43748.984404039351</v>
      </c>
    </row>
    <row r="7085" spans="1:10" x14ac:dyDescent="0.25">
      <c r="A7085" s="7" t="s">
        <v>39807</v>
      </c>
      <c r="B7085" s="8">
        <v>393.75</v>
      </c>
      <c r="C7085" s="8">
        <v>20.478950000000001</v>
      </c>
      <c r="D7085" s="8">
        <v>83</v>
      </c>
      <c r="E7085" s="8">
        <v>0</v>
      </c>
      <c r="F7085" s="8">
        <v>0</v>
      </c>
      <c r="G7085" s="8">
        <v>13</v>
      </c>
      <c r="H7085" s="8" t="s">
        <v>39808</v>
      </c>
      <c r="I7085" s="8">
        <v>526.6875</v>
      </c>
      <c r="J7085" s="3">
        <f t="shared" si="110"/>
        <v>43748.984499328704</v>
      </c>
    </row>
    <row r="7086" spans="1:10" x14ac:dyDescent="0.25">
      <c r="A7086" s="5" t="s">
        <v>39809</v>
      </c>
      <c r="B7086" s="6">
        <v>393.75</v>
      </c>
      <c r="C7086" s="6">
        <v>20.478950000000001</v>
      </c>
      <c r="D7086" s="6">
        <v>83</v>
      </c>
      <c r="E7086" s="6">
        <v>0</v>
      </c>
      <c r="F7086" s="6">
        <v>0</v>
      </c>
      <c r="G7086" s="6">
        <v>14</v>
      </c>
      <c r="H7086" s="6" t="s">
        <v>39810</v>
      </c>
      <c r="I7086" s="6">
        <v>526.5</v>
      </c>
      <c r="J7086" s="2">
        <f t="shared" si="110"/>
        <v>43748.984570682871</v>
      </c>
    </row>
    <row r="7087" spans="1:10" x14ac:dyDescent="0.25">
      <c r="A7087" s="7" t="s">
        <v>39811</v>
      </c>
      <c r="B7087" s="8">
        <v>396.875</v>
      </c>
      <c r="C7087" s="8">
        <v>20.478950000000001</v>
      </c>
      <c r="D7087" s="8">
        <v>83</v>
      </c>
      <c r="E7087" s="8">
        <v>0</v>
      </c>
      <c r="F7087" s="8">
        <v>0</v>
      </c>
      <c r="G7087" s="8">
        <v>11</v>
      </c>
      <c r="H7087" s="8" t="s">
        <v>39812</v>
      </c>
      <c r="I7087" s="8">
        <v>527.4375</v>
      </c>
      <c r="J7087" s="3">
        <f t="shared" si="110"/>
        <v>43748.98464268518</v>
      </c>
    </row>
    <row r="7088" spans="1:10" x14ac:dyDescent="0.25">
      <c r="A7088" s="5" t="s">
        <v>39813</v>
      </c>
      <c r="B7088" s="6">
        <v>396.875</v>
      </c>
      <c r="C7088" s="6">
        <v>20.478950000000001</v>
      </c>
      <c r="D7088" s="6">
        <v>84</v>
      </c>
      <c r="E7088" s="6">
        <v>0</v>
      </c>
      <c r="F7088" s="6">
        <v>0</v>
      </c>
      <c r="G7088" s="6">
        <v>17</v>
      </c>
      <c r="H7088" s="6" t="s">
        <v>39814</v>
      </c>
      <c r="I7088" s="6">
        <v>527.4375</v>
      </c>
      <c r="J7088" s="2">
        <f t="shared" si="110"/>
        <v>43748.984714212966</v>
      </c>
    </row>
    <row r="7089" spans="1:10" x14ac:dyDescent="0.25">
      <c r="A7089" s="7" t="s">
        <v>39815</v>
      </c>
      <c r="B7089" s="8">
        <v>396.875</v>
      </c>
      <c r="C7089" s="8">
        <v>20.478950000000001</v>
      </c>
      <c r="D7089" s="8">
        <v>84</v>
      </c>
      <c r="E7089" s="8">
        <v>0</v>
      </c>
      <c r="F7089" s="8">
        <v>0</v>
      </c>
      <c r="G7089" s="8">
        <v>17</v>
      </c>
      <c r="H7089" s="8" t="s">
        <v>39816</v>
      </c>
      <c r="I7089" s="8">
        <v>527.4375</v>
      </c>
      <c r="J7089" s="3">
        <f t="shared" si="110"/>
        <v>43748.984785324072</v>
      </c>
    </row>
    <row r="7090" spans="1:10" x14ac:dyDescent="0.25">
      <c r="A7090" s="5" t="s">
        <v>39817</v>
      </c>
      <c r="B7090" s="6">
        <v>393.75</v>
      </c>
      <c r="C7090" s="6">
        <v>20.478950000000001</v>
      </c>
      <c r="D7090" s="6">
        <v>84</v>
      </c>
      <c r="E7090" s="6">
        <v>0</v>
      </c>
      <c r="F7090" s="6">
        <v>0</v>
      </c>
      <c r="G7090" s="6">
        <v>15</v>
      </c>
      <c r="H7090" s="6" t="s">
        <v>39818</v>
      </c>
      <c r="I7090" s="6">
        <v>526.5</v>
      </c>
      <c r="J7090" s="2">
        <f t="shared" si="110"/>
        <v>43748.984856759256</v>
      </c>
    </row>
    <row r="7091" spans="1:10" x14ac:dyDescent="0.25">
      <c r="A7091" s="7" t="s">
        <v>39819</v>
      </c>
      <c r="B7091" s="8">
        <v>412.5</v>
      </c>
      <c r="C7091" s="8">
        <v>20.478950000000001</v>
      </c>
      <c r="D7091" s="8">
        <v>84</v>
      </c>
      <c r="E7091" s="8">
        <v>0</v>
      </c>
      <c r="F7091" s="8">
        <v>0</v>
      </c>
      <c r="G7091" s="8">
        <v>27</v>
      </c>
      <c r="H7091" s="8" t="s">
        <v>39820</v>
      </c>
      <c r="I7091" s="8">
        <v>532.3125</v>
      </c>
      <c r="J7091" s="3">
        <f t="shared" si="110"/>
        <v>43748.984928379628</v>
      </c>
    </row>
    <row r="7092" spans="1:10" x14ac:dyDescent="0.25">
      <c r="A7092" s="5" t="s">
        <v>39821</v>
      </c>
      <c r="B7092" s="6">
        <v>393.75</v>
      </c>
      <c r="C7092" s="6">
        <v>20.478950000000001</v>
      </c>
      <c r="D7092" s="6">
        <v>85</v>
      </c>
      <c r="E7092" s="6">
        <v>0</v>
      </c>
      <c r="F7092" s="6">
        <v>0</v>
      </c>
      <c r="G7092" s="6">
        <v>19</v>
      </c>
      <c r="H7092" s="6" t="s">
        <v>39822</v>
      </c>
      <c r="I7092" s="6">
        <v>526.6875</v>
      </c>
      <c r="J7092" s="2">
        <f t="shared" si="110"/>
        <v>43748.985000219902</v>
      </c>
    </row>
    <row r="7093" spans="1:10" x14ac:dyDescent="0.25">
      <c r="A7093" s="7" t="s">
        <v>39823</v>
      </c>
      <c r="B7093" s="8">
        <v>393.75</v>
      </c>
      <c r="C7093" s="8">
        <v>20.478950000000001</v>
      </c>
      <c r="D7093" s="8">
        <v>86</v>
      </c>
      <c r="E7093" s="8">
        <v>0</v>
      </c>
      <c r="F7093" s="8">
        <v>0</v>
      </c>
      <c r="G7093" s="8">
        <v>22</v>
      </c>
      <c r="H7093" s="8" t="s">
        <v>39824</v>
      </c>
      <c r="I7093" s="8">
        <v>526.6875</v>
      </c>
      <c r="J7093" s="3">
        <f t="shared" si="110"/>
        <v>43748.985071516203</v>
      </c>
    </row>
    <row r="7094" spans="1:10" x14ac:dyDescent="0.25">
      <c r="A7094" s="5" t="s">
        <v>39825</v>
      </c>
      <c r="B7094" s="6">
        <v>393.75</v>
      </c>
      <c r="C7094" s="6">
        <v>20.478950000000001</v>
      </c>
      <c r="D7094" s="6">
        <v>86</v>
      </c>
      <c r="E7094" s="6">
        <v>0</v>
      </c>
      <c r="F7094" s="6">
        <v>0</v>
      </c>
      <c r="G7094" s="6">
        <v>27</v>
      </c>
      <c r="H7094" s="6" t="s">
        <v>39826</v>
      </c>
      <c r="I7094" s="6">
        <v>526.6875</v>
      </c>
      <c r="J7094" s="2">
        <f t="shared" si="110"/>
        <v>43748.985143518519</v>
      </c>
    </row>
    <row r="7095" spans="1:10" x14ac:dyDescent="0.25">
      <c r="A7095" s="7" t="s">
        <v>39827</v>
      </c>
      <c r="B7095" s="8">
        <v>393.75</v>
      </c>
      <c r="C7095" s="8">
        <v>20.478950000000001</v>
      </c>
      <c r="D7095" s="8">
        <v>86</v>
      </c>
      <c r="E7095" s="8">
        <v>0</v>
      </c>
      <c r="F7095" s="8">
        <v>0</v>
      </c>
      <c r="G7095" s="8">
        <v>17</v>
      </c>
      <c r="H7095" s="8" t="s">
        <v>39828</v>
      </c>
      <c r="I7095" s="8">
        <v>526.6875</v>
      </c>
      <c r="J7095" s="3">
        <f t="shared" si="110"/>
        <v>43748.985215011569</v>
      </c>
    </row>
    <row r="7096" spans="1:10" x14ac:dyDescent="0.25">
      <c r="A7096" s="5" t="s">
        <v>39829</v>
      </c>
      <c r="B7096" s="6">
        <v>393.75</v>
      </c>
      <c r="C7096" s="6">
        <v>20.478950000000001</v>
      </c>
      <c r="D7096" s="6">
        <v>86</v>
      </c>
      <c r="E7096" s="6">
        <v>0</v>
      </c>
      <c r="F7096" s="6">
        <v>0</v>
      </c>
      <c r="G7096" s="6">
        <v>12</v>
      </c>
      <c r="H7096" s="6" t="s">
        <v>39830</v>
      </c>
      <c r="I7096" s="6">
        <v>526.6875</v>
      </c>
      <c r="J7096" s="2">
        <f t="shared" si="110"/>
        <v>43748.985286307863</v>
      </c>
    </row>
    <row r="7097" spans="1:10" x14ac:dyDescent="0.25">
      <c r="A7097" s="7" t="s">
        <v>39831</v>
      </c>
      <c r="B7097" s="8">
        <v>393.75</v>
      </c>
      <c r="C7097" s="8">
        <v>20.478950000000001</v>
      </c>
      <c r="D7097" s="8">
        <v>86</v>
      </c>
      <c r="E7097" s="8">
        <v>0</v>
      </c>
      <c r="F7097" s="8">
        <v>0</v>
      </c>
      <c r="G7097" s="8">
        <v>10</v>
      </c>
      <c r="H7097" s="8" t="s">
        <v>39832</v>
      </c>
      <c r="I7097" s="8">
        <v>526.6875</v>
      </c>
      <c r="J7097" s="3">
        <f t="shared" si="110"/>
        <v>43748.98535761574</v>
      </c>
    </row>
    <row r="7098" spans="1:10" x14ac:dyDescent="0.25">
      <c r="A7098" s="5" t="s">
        <v>39833</v>
      </c>
      <c r="B7098" s="6">
        <v>393.75</v>
      </c>
      <c r="C7098" s="6">
        <v>20.478950000000001</v>
      </c>
      <c r="D7098" s="6">
        <v>86</v>
      </c>
      <c r="E7098" s="6">
        <v>0</v>
      </c>
      <c r="F7098" s="6">
        <v>0</v>
      </c>
      <c r="G7098" s="6">
        <v>16</v>
      </c>
      <c r="H7098" s="6" t="s">
        <v>39834</v>
      </c>
      <c r="I7098" s="6">
        <v>526.6875</v>
      </c>
      <c r="J7098" s="2">
        <f t="shared" si="110"/>
        <v>43748.98542986111</v>
      </c>
    </row>
    <row r="7099" spans="1:10" x14ac:dyDescent="0.25">
      <c r="A7099" s="7" t="s">
        <v>39835</v>
      </c>
      <c r="B7099" s="8">
        <v>393.75</v>
      </c>
      <c r="C7099" s="8">
        <v>20.478950000000001</v>
      </c>
      <c r="D7099" s="8">
        <v>86</v>
      </c>
      <c r="E7099" s="8">
        <v>0</v>
      </c>
      <c r="F7099" s="8">
        <v>0</v>
      </c>
      <c r="G7099" s="8">
        <v>18</v>
      </c>
      <c r="H7099" s="8" t="s">
        <v>39836</v>
      </c>
      <c r="I7099" s="8">
        <v>526.5</v>
      </c>
      <c r="J7099" s="3">
        <f t="shared" si="110"/>
        <v>43748.985501145835</v>
      </c>
    </row>
    <row r="7100" spans="1:10" x14ac:dyDescent="0.25">
      <c r="A7100" s="5" t="s">
        <v>39837</v>
      </c>
      <c r="B7100" s="6">
        <v>393.75</v>
      </c>
      <c r="C7100" s="6">
        <v>20.478950000000001</v>
      </c>
      <c r="D7100" s="6">
        <v>86</v>
      </c>
      <c r="E7100" s="6">
        <v>0</v>
      </c>
      <c r="F7100" s="6">
        <v>0</v>
      </c>
      <c r="G7100" s="6">
        <v>16</v>
      </c>
      <c r="H7100" s="6" t="s">
        <v>39838</v>
      </c>
      <c r="I7100" s="6">
        <v>526.6875</v>
      </c>
      <c r="J7100" s="2">
        <f t="shared" si="110"/>
        <v>43748.985572418977</v>
      </c>
    </row>
    <row r="7101" spans="1:10" x14ac:dyDescent="0.25">
      <c r="A7101" s="7" t="s">
        <v>39839</v>
      </c>
      <c r="B7101" s="8">
        <v>393.75</v>
      </c>
      <c r="C7101" s="8">
        <v>20.426300000000001</v>
      </c>
      <c r="D7101" s="8">
        <v>86</v>
      </c>
      <c r="E7101" s="8">
        <v>0</v>
      </c>
      <c r="F7101" s="8">
        <v>0</v>
      </c>
      <c r="G7101" s="8">
        <v>20</v>
      </c>
      <c r="H7101" s="8" t="s">
        <v>39840</v>
      </c>
      <c r="I7101" s="8">
        <v>526.6875</v>
      </c>
      <c r="J7101" s="3">
        <f t="shared" si="110"/>
        <v>43748.985644432869</v>
      </c>
    </row>
    <row r="7102" spans="1:10" x14ac:dyDescent="0.25">
      <c r="A7102" s="5" t="s">
        <v>39841</v>
      </c>
      <c r="B7102" s="6">
        <v>393.75</v>
      </c>
      <c r="C7102" s="6">
        <v>20.478950000000001</v>
      </c>
      <c r="D7102" s="6">
        <v>86</v>
      </c>
      <c r="E7102" s="6">
        <v>0</v>
      </c>
      <c r="F7102" s="6">
        <v>0</v>
      </c>
      <c r="G7102" s="6">
        <v>12</v>
      </c>
      <c r="H7102" s="6" t="s">
        <v>39842</v>
      </c>
      <c r="I7102" s="6">
        <v>526.6875</v>
      </c>
      <c r="J7102" s="2">
        <f t="shared" si="110"/>
        <v>43748.985715960647</v>
      </c>
    </row>
    <row r="7103" spans="1:10" x14ac:dyDescent="0.25">
      <c r="A7103" s="7" t="s">
        <v>39843</v>
      </c>
      <c r="B7103" s="8">
        <v>393.75</v>
      </c>
      <c r="C7103" s="8">
        <v>20.478950000000001</v>
      </c>
      <c r="D7103" s="8">
        <v>85</v>
      </c>
      <c r="E7103" s="8">
        <v>0</v>
      </c>
      <c r="F7103" s="8">
        <v>0</v>
      </c>
      <c r="G7103" s="8">
        <v>7</v>
      </c>
      <c r="H7103" s="8" t="s">
        <v>39844</v>
      </c>
      <c r="I7103" s="8">
        <v>526.6875</v>
      </c>
      <c r="J7103" s="3">
        <f t="shared" si="110"/>
        <v>43748.985799282404</v>
      </c>
    </row>
    <row r="7104" spans="1:10" x14ac:dyDescent="0.25">
      <c r="A7104" s="5" t="s">
        <v>39845</v>
      </c>
      <c r="B7104" s="6">
        <v>393.75</v>
      </c>
      <c r="C7104" s="6">
        <v>20.478950000000001</v>
      </c>
      <c r="D7104" s="6">
        <v>85</v>
      </c>
      <c r="E7104" s="6">
        <v>0</v>
      </c>
      <c r="F7104" s="6">
        <v>0</v>
      </c>
      <c r="G7104" s="6">
        <v>8</v>
      </c>
      <c r="H7104" s="6" t="s">
        <v>39846</v>
      </c>
      <c r="I7104" s="6">
        <v>526.6875</v>
      </c>
      <c r="J7104" s="2">
        <f t="shared" si="110"/>
        <v>43748.985870567129</v>
      </c>
    </row>
    <row r="7105" spans="1:10" x14ac:dyDescent="0.25">
      <c r="A7105" s="7" t="s">
        <v>39847</v>
      </c>
      <c r="B7105" s="8">
        <v>393.75</v>
      </c>
      <c r="C7105" s="8">
        <v>20.478950000000001</v>
      </c>
      <c r="D7105" s="8">
        <v>85</v>
      </c>
      <c r="E7105" s="8">
        <v>0</v>
      </c>
      <c r="F7105" s="8">
        <v>0</v>
      </c>
      <c r="G7105" s="8">
        <v>7</v>
      </c>
      <c r="H7105" s="8" t="s">
        <v>39848</v>
      </c>
      <c r="I7105" s="8">
        <v>526.6875</v>
      </c>
      <c r="J7105" s="3">
        <f t="shared" si="110"/>
        <v>43748.985941921295</v>
      </c>
    </row>
    <row r="7106" spans="1:10" x14ac:dyDescent="0.25">
      <c r="A7106" s="5" t="s">
        <v>39849</v>
      </c>
      <c r="B7106" s="6">
        <v>393.75</v>
      </c>
      <c r="C7106" s="6">
        <v>20.478950000000001</v>
      </c>
      <c r="D7106" s="6">
        <v>86</v>
      </c>
      <c r="E7106" s="6">
        <v>0</v>
      </c>
      <c r="F7106" s="6">
        <v>0</v>
      </c>
      <c r="G7106" s="6">
        <v>11</v>
      </c>
      <c r="H7106" s="6" t="s">
        <v>39850</v>
      </c>
      <c r="I7106" s="6">
        <v>526.6875</v>
      </c>
      <c r="J7106" s="2">
        <f t="shared" ref="J7106:J7169" si="111">(H7106/86400000)+25569+(7/24)</f>
        <v>43748.986025752318</v>
      </c>
    </row>
    <row r="7107" spans="1:10" x14ac:dyDescent="0.25">
      <c r="A7107" s="7" t="s">
        <v>39851</v>
      </c>
      <c r="B7107" s="8">
        <v>393.75</v>
      </c>
      <c r="C7107" s="8">
        <v>20.478950000000001</v>
      </c>
      <c r="D7107" s="8">
        <v>86</v>
      </c>
      <c r="E7107" s="8">
        <v>0</v>
      </c>
      <c r="F7107" s="8">
        <v>0</v>
      </c>
      <c r="G7107" s="8">
        <v>8</v>
      </c>
      <c r="H7107" s="8" t="s">
        <v>39852</v>
      </c>
      <c r="I7107" s="8">
        <v>526.6875</v>
      </c>
      <c r="J7107" s="3">
        <f t="shared" si="111"/>
        <v>43748.986097430556</v>
      </c>
    </row>
    <row r="7108" spans="1:10" x14ac:dyDescent="0.25">
      <c r="A7108" s="5" t="s">
        <v>39853</v>
      </c>
      <c r="B7108" s="6">
        <v>393.75</v>
      </c>
      <c r="C7108" s="6">
        <v>20.478950000000001</v>
      </c>
      <c r="D7108" s="6">
        <v>86</v>
      </c>
      <c r="E7108" s="6">
        <v>0</v>
      </c>
      <c r="F7108" s="6">
        <v>0</v>
      </c>
      <c r="G7108" s="6">
        <v>15</v>
      </c>
      <c r="H7108" s="6" t="s">
        <v>39854</v>
      </c>
      <c r="I7108" s="6">
        <v>526.6875</v>
      </c>
      <c r="J7108" s="2">
        <f t="shared" si="111"/>
        <v>43748.986168715281</v>
      </c>
    </row>
    <row r="7109" spans="1:10" x14ac:dyDescent="0.25">
      <c r="A7109" s="7" t="s">
        <v>39855</v>
      </c>
      <c r="B7109" s="8">
        <v>393.75</v>
      </c>
      <c r="C7109" s="8">
        <v>20.478950000000001</v>
      </c>
      <c r="D7109" s="8">
        <v>86</v>
      </c>
      <c r="E7109" s="8">
        <v>0</v>
      </c>
      <c r="F7109" s="8">
        <v>0</v>
      </c>
      <c r="G7109" s="8">
        <v>17</v>
      </c>
      <c r="H7109" s="8" t="s">
        <v>39856</v>
      </c>
      <c r="I7109" s="8">
        <v>526.6875</v>
      </c>
      <c r="J7109" s="3">
        <f t="shared" si="111"/>
        <v>43748.98624071759</v>
      </c>
    </row>
    <row r="7110" spans="1:10" x14ac:dyDescent="0.25">
      <c r="A7110" s="5" t="s">
        <v>39857</v>
      </c>
      <c r="B7110" s="6">
        <v>393.75</v>
      </c>
      <c r="C7110" s="6">
        <v>20.478950000000001</v>
      </c>
      <c r="D7110" s="6">
        <v>85</v>
      </c>
      <c r="E7110" s="6">
        <v>0</v>
      </c>
      <c r="F7110" s="6">
        <v>0</v>
      </c>
      <c r="G7110" s="6">
        <v>8</v>
      </c>
      <c r="H7110" s="6" t="s">
        <v>39858</v>
      </c>
      <c r="I7110" s="6">
        <v>526.6875</v>
      </c>
      <c r="J7110" s="2">
        <f t="shared" si="111"/>
        <v>43748.986336076385</v>
      </c>
    </row>
    <row r="7111" spans="1:10" x14ac:dyDescent="0.25">
      <c r="A7111" s="7" t="s">
        <v>39859</v>
      </c>
      <c r="B7111" s="8">
        <v>393.75</v>
      </c>
      <c r="C7111" s="8">
        <v>20.478950000000001</v>
      </c>
      <c r="D7111" s="8">
        <v>85</v>
      </c>
      <c r="E7111" s="8">
        <v>0</v>
      </c>
      <c r="F7111" s="8">
        <v>0</v>
      </c>
      <c r="G7111" s="8">
        <v>16</v>
      </c>
      <c r="H7111" s="8" t="s">
        <v>39860</v>
      </c>
      <c r="I7111" s="8">
        <v>526.6875</v>
      </c>
      <c r="J7111" s="3">
        <f t="shared" si="111"/>
        <v>43748.98640754629</v>
      </c>
    </row>
    <row r="7112" spans="1:10" x14ac:dyDescent="0.25">
      <c r="A7112" s="5" t="s">
        <v>39861</v>
      </c>
      <c r="B7112" s="6">
        <v>393.75</v>
      </c>
      <c r="C7112" s="6">
        <v>20.478950000000001</v>
      </c>
      <c r="D7112" s="6">
        <v>85</v>
      </c>
      <c r="E7112" s="6">
        <v>0</v>
      </c>
      <c r="F7112" s="6">
        <v>0</v>
      </c>
      <c r="G7112" s="6">
        <v>17</v>
      </c>
      <c r="H7112" s="6" t="s">
        <v>39862</v>
      </c>
      <c r="I7112" s="6">
        <v>526.6875</v>
      </c>
      <c r="J7112" s="2">
        <f t="shared" si="111"/>
        <v>43748.986478912033</v>
      </c>
    </row>
    <row r="7113" spans="1:10" x14ac:dyDescent="0.25">
      <c r="A7113" s="7" t="s">
        <v>39863</v>
      </c>
      <c r="B7113" s="8">
        <v>412.5</v>
      </c>
      <c r="C7113" s="8">
        <v>20.478950000000001</v>
      </c>
      <c r="D7113" s="8">
        <v>86</v>
      </c>
      <c r="E7113" s="8">
        <v>0</v>
      </c>
      <c r="F7113" s="8">
        <v>0</v>
      </c>
      <c r="G7113" s="8">
        <v>17</v>
      </c>
      <c r="H7113" s="8" t="s">
        <v>39864</v>
      </c>
      <c r="I7113" s="8">
        <v>532.3125</v>
      </c>
      <c r="J7113" s="3">
        <f t="shared" si="111"/>
        <v>43748.986562233789</v>
      </c>
    </row>
    <row r="7114" spans="1:10" x14ac:dyDescent="0.25">
      <c r="A7114" s="5" t="s">
        <v>39865</v>
      </c>
      <c r="B7114" s="6">
        <v>393.75</v>
      </c>
      <c r="C7114" s="6">
        <v>20.478950000000001</v>
      </c>
      <c r="D7114" s="6">
        <v>86</v>
      </c>
      <c r="E7114" s="6">
        <v>0</v>
      </c>
      <c r="F7114" s="6">
        <v>0</v>
      </c>
      <c r="G7114" s="6">
        <v>9</v>
      </c>
      <c r="H7114" s="6" t="s">
        <v>39866</v>
      </c>
      <c r="I7114" s="6">
        <v>526.6875</v>
      </c>
      <c r="J7114" s="2">
        <f t="shared" si="111"/>
        <v>43748.986633599539</v>
      </c>
    </row>
    <row r="7115" spans="1:10" x14ac:dyDescent="0.25">
      <c r="A7115" s="7" t="s">
        <v>39867</v>
      </c>
      <c r="B7115" s="8">
        <v>393.75</v>
      </c>
      <c r="C7115" s="8">
        <v>20.478950000000001</v>
      </c>
      <c r="D7115" s="8">
        <v>84</v>
      </c>
      <c r="E7115" s="8">
        <v>0</v>
      </c>
      <c r="F7115" s="8">
        <v>0</v>
      </c>
      <c r="G7115" s="8">
        <v>19</v>
      </c>
      <c r="H7115" s="8" t="s">
        <v>39868</v>
      </c>
      <c r="I7115" s="8">
        <v>526.6875</v>
      </c>
      <c r="J7115" s="3">
        <f t="shared" si="111"/>
        <v>43748.986705243056</v>
      </c>
    </row>
    <row r="7116" spans="1:10" x14ac:dyDescent="0.25">
      <c r="A7116" s="5" t="s">
        <v>39869</v>
      </c>
      <c r="B7116" s="6">
        <v>393.75</v>
      </c>
      <c r="C7116" s="6">
        <v>20.478950000000001</v>
      </c>
      <c r="D7116" s="6">
        <v>87</v>
      </c>
      <c r="E7116" s="6">
        <v>0</v>
      </c>
      <c r="F7116" s="6">
        <v>0</v>
      </c>
      <c r="G7116" s="6">
        <v>13</v>
      </c>
      <c r="H7116" s="6" t="s">
        <v>39870</v>
      </c>
      <c r="I7116" s="6">
        <v>526.6875</v>
      </c>
      <c r="J7116" s="2">
        <f t="shared" si="111"/>
        <v>43748.986777048609</v>
      </c>
    </row>
    <row r="7117" spans="1:10" x14ac:dyDescent="0.25">
      <c r="A7117" s="7" t="s">
        <v>39871</v>
      </c>
      <c r="B7117" s="8">
        <v>412.5</v>
      </c>
      <c r="C7117" s="8">
        <v>20.478950000000001</v>
      </c>
      <c r="D7117" s="8">
        <v>86</v>
      </c>
      <c r="E7117" s="8">
        <v>0</v>
      </c>
      <c r="F7117" s="8">
        <v>0</v>
      </c>
      <c r="G7117" s="8">
        <v>14</v>
      </c>
      <c r="H7117" s="8" t="s">
        <v>39872</v>
      </c>
      <c r="I7117" s="8">
        <v>532.3125</v>
      </c>
      <c r="J7117" s="3">
        <f t="shared" si="111"/>
        <v>43748.986848368055</v>
      </c>
    </row>
    <row r="7118" spans="1:10" x14ac:dyDescent="0.25">
      <c r="A7118" s="5" t="s">
        <v>39873</v>
      </c>
      <c r="B7118" s="6">
        <v>393.75</v>
      </c>
      <c r="C7118" s="6">
        <v>20.478950000000001</v>
      </c>
      <c r="D7118" s="6">
        <v>86</v>
      </c>
      <c r="E7118" s="6">
        <v>0</v>
      </c>
      <c r="F7118" s="6">
        <v>0</v>
      </c>
      <c r="G7118" s="6">
        <v>18</v>
      </c>
      <c r="H7118" s="6" t="s">
        <v>39874</v>
      </c>
      <c r="I7118" s="6">
        <v>526.6875</v>
      </c>
      <c r="J7118" s="2">
        <f t="shared" si="111"/>
        <v>43748.986933784719</v>
      </c>
    </row>
    <row r="7119" spans="1:10" x14ac:dyDescent="0.25">
      <c r="A7119" s="7" t="s">
        <v>39875</v>
      </c>
      <c r="B7119" s="8">
        <v>393.75</v>
      </c>
      <c r="C7119" s="8">
        <v>20.478950000000001</v>
      </c>
      <c r="D7119" s="8">
        <v>81</v>
      </c>
      <c r="E7119" s="8">
        <v>0</v>
      </c>
      <c r="F7119" s="8">
        <v>0</v>
      </c>
      <c r="G7119" s="8">
        <v>20</v>
      </c>
      <c r="H7119" s="8" t="s">
        <v>39876</v>
      </c>
      <c r="I7119" s="8">
        <v>526.5</v>
      </c>
      <c r="J7119" s="3">
        <f t="shared" si="111"/>
        <v>43748.987015960643</v>
      </c>
    </row>
    <row r="7120" spans="1:10" x14ac:dyDescent="0.25">
      <c r="A7120" s="5" t="s">
        <v>39877</v>
      </c>
      <c r="B7120" s="6">
        <v>393.75</v>
      </c>
      <c r="C7120" s="6">
        <v>20.478950000000001</v>
      </c>
      <c r="D7120" s="6">
        <v>81</v>
      </c>
      <c r="E7120" s="6">
        <v>0</v>
      </c>
      <c r="F7120" s="6">
        <v>0</v>
      </c>
      <c r="G7120" s="6">
        <v>10</v>
      </c>
      <c r="H7120" s="6" t="s">
        <v>39878</v>
      </c>
      <c r="I7120" s="6">
        <v>526.6875</v>
      </c>
      <c r="J7120" s="2">
        <f t="shared" si="111"/>
        <v>43748.987086747678</v>
      </c>
    </row>
    <row r="7121" spans="1:10" x14ac:dyDescent="0.25">
      <c r="A7121" s="7" t="s">
        <v>39879</v>
      </c>
      <c r="B7121" s="8">
        <v>393.75</v>
      </c>
      <c r="C7121" s="8">
        <v>20.478950000000001</v>
      </c>
      <c r="D7121" s="8">
        <v>81</v>
      </c>
      <c r="E7121" s="8">
        <v>0</v>
      </c>
      <c r="F7121" s="8">
        <v>0</v>
      </c>
      <c r="G7121" s="8">
        <v>30</v>
      </c>
      <c r="H7121" s="8" t="s">
        <v>39880</v>
      </c>
      <c r="I7121" s="8">
        <v>526.6875</v>
      </c>
      <c r="J7121" s="3">
        <f t="shared" si="111"/>
        <v>43748.987158576383</v>
      </c>
    </row>
    <row r="7122" spans="1:10" x14ac:dyDescent="0.25">
      <c r="A7122" s="5" t="s">
        <v>39881</v>
      </c>
      <c r="B7122" s="6">
        <v>393.75</v>
      </c>
      <c r="C7122" s="6">
        <v>20.478950000000001</v>
      </c>
      <c r="D7122" s="6">
        <v>82</v>
      </c>
      <c r="E7122" s="6">
        <v>0</v>
      </c>
      <c r="F7122" s="6">
        <v>0</v>
      </c>
      <c r="G7122" s="6">
        <v>13</v>
      </c>
      <c r="H7122" s="6" t="s">
        <v>39882</v>
      </c>
      <c r="I7122" s="6">
        <v>526.6875</v>
      </c>
      <c r="J7122" s="2">
        <f t="shared" si="111"/>
        <v>43748.987229976854</v>
      </c>
    </row>
    <row r="7123" spans="1:10" x14ac:dyDescent="0.25">
      <c r="A7123" s="7" t="s">
        <v>39883</v>
      </c>
      <c r="B7123" s="8">
        <v>393.75</v>
      </c>
      <c r="C7123" s="8">
        <v>20.478950000000001</v>
      </c>
      <c r="D7123" s="8">
        <v>83</v>
      </c>
      <c r="E7123" s="8">
        <v>0</v>
      </c>
      <c r="F7123" s="8">
        <v>0</v>
      </c>
      <c r="G7123" s="8">
        <v>16</v>
      </c>
      <c r="H7123" s="8" t="s">
        <v>39884</v>
      </c>
      <c r="I7123" s="8">
        <v>526.6875</v>
      </c>
      <c r="J7123" s="3">
        <f t="shared" si="111"/>
        <v>43748.987302037036</v>
      </c>
    </row>
    <row r="7124" spans="1:10" x14ac:dyDescent="0.25">
      <c r="A7124" s="5" t="s">
        <v>39885</v>
      </c>
      <c r="B7124" s="6">
        <v>393.75</v>
      </c>
      <c r="C7124" s="6">
        <v>20.478950000000001</v>
      </c>
      <c r="D7124" s="6">
        <v>84</v>
      </c>
      <c r="E7124" s="6">
        <v>0</v>
      </c>
      <c r="F7124" s="6">
        <v>0</v>
      </c>
      <c r="G7124" s="6">
        <v>11</v>
      </c>
      <c r="H7124" s="6" t="s">
        <v>39886</v>
      </c>
      <c r="I7124" s="6">
        <v>526.6875</v>
      </c>
      <c r="J7124" s="2">
        <f t="shared" si="111"/>
        <v>43748.987373321761</v>
      </c>
    </row>
    <row r="7125" spans="1:10" x14ac:dyDescent="0.25">
      <c r="A7125" s="7" t="s">
        <v>39887</v>
      </c>
      <c r="B7125" s="8">
        <v>393.75</v>
      </c>
      <c r="C7125" s="8">
        <v>20.478950000000001</v>
      </c>
      <c r="D7125" s="8">
        <v>85</v>
      </c>
      <c r="E7125" s="8">
        <v>0</v>
      </c>
      <c r="F7125" s="8">
        <v>0</v>
      </c>
      <c r="G7125" s="8">
        <v>4</v>
      </c>
      <c r="H7125" s="8" t="s">
        <v>39888</v>
      </c>
      <c r="I7125" s="8">
        <v>526.6875</v>
      </c>
      <c r="J7125" s="3">
        <f t="shared" si="111"/>
        <v>43748.987444791659</v>
      </c>
    </row>
    <row r="7126" spans="1:10" x14ac:dyDescent="0.25">
      <c r="A7126" s="5" t="s">
        <v>39889</v>
      </c>
      <c r="B7126" s="6">
        <v>393.75</v>
      </c>
      <c r="C7126" s="6">
        <v>20.478950000000001</v>
      </c>
      <c r="D7126" s="6">
        <v>85</v>
      </c>
      <c r="E7126" s="6">
        <v>0</v>
      </c>
      <c r="F7126" s="6">
        <v>0</v>
      </c>
      <c r="G7126" s="6">
        <v>18</v>
      </c>
      <c r="H7126" s="6" t="s">
        <v>39890</v>
      </c>
      <c r="I7126" s="6">
        <v>526.6875</v>
      </c>
      <c r="J7126" s="2">
        <f t="shared" si="111"/>
        <v>43748.987528749996</v>
      </c>
    </row>
    <row r="7127" spans="1:10" x14ac:dyDescent="0.25">
      <c r="A7127" s="7" t="s">
        <v>39891</v>
      </c>
      <c r="B7127" s="8">
        <v>393.75</v>
      </c>
      <c r="C7127" s="8">
        <v>20.478950000000001</v>
      </c>
      <c r="D7127" s="8">
        <v>84</v>
      </c>
      <c r="E7127" s="8">
        <v>0</v>
      </c>
      <c r="F7127" s="8">
        <v>0</v>
      </c>
      <c r="G7127" s="8">
        <v>16</v>
      </c>
      <c r="H7127" s="8" t="s">
        <v>39892</v>
      </c>
      <c r="I7127" s="8">
        <v>526.6875</v>
      </c>
      <c r="J7127" s="3">
        <f t="shared" si="111"/>
        <v>43748.987600185188</v>
      </c>
    </row>
    <row r="7128" spans="1:10" x14ac:dyDescent="0.25">
      <c r="A7128" s="5" t="s">
        <v>39893</v>
      </c>
      <c r="B7128" s="6">
        <v>393.75</v>
      </c>
      <c r="C7128" s="6">
        <v>20.478950000000001</v>
      </c>
      <c r="D7128" s="6">
        <v>84</v>
      </c>
      <c r="E7128" s="6">
        <v>0</v>
      </c>
      <c r="F7128" s="6">
        <v>0</v>
      </c>
      <c r="G7128" s="6">
        <v>22</v>
      </c>
      <c r="H7128" s="6" t="s">
        <v>39894</v>
      </c>
      <c r="I7128" s="6">
        <v>526.6875</v>
      </c>
      <c r="J7128" s="2">
        <f t="shared" si="111"/>
        <v>43748.987671539355</v>
      </c>
    </row>
    <row r="7129" spans="1:10" x14ac:dyDescent="0.25">
      <c r="A7129" s="7" t="s">
        <v>39895</v>
      </c>
      <c r="B7129" s="8">
        <v>393.75</v>
      </c>
      <c r="C7129" s="8">
        <v>20.478950000000001</v>
      </c>
      <c r="D7129" s="8">
        <v>84</v>
      </c>
      <c r="E7129" s="8">
        <v>0</v>
      </c>
      <c r="F7129" s="8">
        <v>0</v>
      </c>
      <c r="G7129" s="8">
        <v>23</v>
      </c>
      <c r="H7129" s="8" t="s">
        <v>39896</v>
      </c>
      <c r="I7129" s="8">
        <v>526.6875</v>
      </c>
      <c r="J7129" s="3">
        <f t="shared" si="111"/>
        <v>43748.987742812496</v>
      </c>
    </row>
    <row r="7130" spans="1:10" x14ac:dyDescent="0.25">
      <c r="A7130" s="5" t="s">
        <v>39897</v>
      </c>
      <c r="B7130" s="6">
        <v>393.75</v>
      </c>
      <c r="C7130" s="6">
        <v>20.478950000000001</v>
      </c>
      <c r="D7130" s="6">
        <v>84</v>
      </c>
      <c r="E7130" s="6">
        <v>0</v>
      </c>
      <c r="F7130" s="6">
        <v>0</v>
      </c>
      <c r="G7130" s="6">
        <v>24</v>
      </c>
      <c r="H7130" s="6" t="s">
        <v>39898</v>
      </c>
      <c r="I7130" s="6">
        <v>526.6875</v>
      </c>
      <c r="J7130" s="2">
        <f t="shared" si="111"/>
        <v>43748.987819629627</v>
      </c>
    </row>
    <row r="7131" spans="1:10" x14ac:dyDescent="0.25">
      <c r="A7131" s="7" t="s">
        <v>39899</v>
      </c>
      <c r="B7131" s="8">
        <v>428.125</v>
      </c>
      <c r="C7131" s="8">
        <v>20.478950000000001</v>
      </c>
      <c r="D7131" s="8">
        <v>86</v>
      </c>
      <c r="E7131" s="8">
        <v>0</v>
      </c>
      <c r="F7131" s="8">
        <v>0</v>
      </c>
      <c r="G7131" s="8">
        <v>24</v>
      </c>
      <c r="H7131" s="8" t="s">
        <v>39900</v>
      </c>
      <c r="I7131" s="8">
        <v>537.1875</v>
      </c>
      <c r="J7131" s="3">
        <f t="shared" si="111"/>
        <v>43748.987898506944</v>
      </c>
    </row>
    <row r="7132" spans="1:10" x14ac:dyDescent="0.25">
      <c r="A7132" s="5" t="s">
        <v>39901</v>
      </c>
      <c r="B7132" s="6">
        <v>393.75</v>
      </c>
      <c r="C7132" s="6">
        <v>20.478950000000001</v>
      </c>
      <c r="D7132" s="6">
        <v>84</v>
      </c>
      <c r="E7132" s="6">
        <v>0</v>
      </c>
      <c r="F7132" s="6">
        <v>0</v>
      </c>
      <c r="G7132" s="6">
        <v>12</v>
      </c>
      <c r="H7132" s="6" t="s">
        <v>39902</v>
      </c>
      <c r="I7132" s="6">
        <v>526.5</v>
      </c>
      <c r="J7132" s="2">
        <f t="shared" si="111"/>
        <v>43748.987981712962</v>
      </c>
    </row>
    <row r="7133" spans="1:10" x14ac:dyDescent="0.25">
      <c r="A7133" s="7" t="s">
        <v>39903</v>
      </c>
      <c r="B7133" s="8">
        <v>393.75</v>
      </c>
      <c r="C7133" s="8">
        <v>20.478950000000001</v>
      </c>
      <c r="D7133" s="8">
        <v>84</v>
      </c>
      <c r="E7133" s="8">
        <v>0</v>
      </c>
      <c r="F7133" s="8">
        <v>0</v>
      </c>
      <c r="G7133" s="8">
        <v>14</v>
      </c>
      <c r="H7133" s="8" t="s">
        <v>39904</v>
      </c>
      <c r="I7133" s="8">
        <v>526.6875</v>
      </c>
      <c r="J7133" s="3">
        <f t="shared" si="111"/>
        <v>43748.988053009256</v>
      </c>
    </row>
    <row r="7134" spans="1:10" x14ac:dyDescent="0.25">
      <c r="A7134" s="5" t="s">
        <v>39905</v>
      </c>
      <c r="B7134" s="6">
        <v>418.75</v>
      </c>
      <c r="C7134" s="6">
        <v>20.478950000000001</v>
      </c>
      <c r="D7134" s="6">
        <v>86</v>
      </c>
      <c r="E7134" s="6">
        <v>0</v>
      </c>
      <c r="F7134" s="6">
        <v>0</v>
      </c>
      <c r="G7134" s="6">
        <v>20</v>
      </c>
      <c r="H7134" s="6" t="s">
        <v>39906</v>
      </c>
      <c r="I7134" s="6">
        <v>534.1875</v>
      </c>
      <c r="J7134" s="2">
        <f t="shared" si="111"/>
        <v>43748.988124351854</v>
      </c>
    </row>
    <row r="7135" spans="1:10" x14ac:dyDescent="0.25">
      <c r="A7135" s="7" t="s">
        <v>39907</v>
      </c>
      <c r="B7135" s="8">
        <v>393.75</v>
      </c>
      <c r="C7135" s="8">
        <v>20.478950000000001</v>
      </c>
      <c r="D7135" s="8">
        <v>86</v>
      </c>
      <c r="E7135" s="8">
        <v>0</v>
      </c>
      <c r="F7135" s="8">
        <v>0</v>
      </c>
      <c r="G7135" s="8">
        <v>11</v>
      </c>
      <c r="H7135" s="8" t="s">
        <v>39908</v>
      </c>
      <c r="I7135" s="8">
        <v>526.6875</v>
      </c>
      <c r="J7135" s="3">
        <f t="shared" si="111"/>
        <v>43748.988196458326</v>
      </c>
    </row>
    <row r="7136" spans="1:10" x14ac:dyDescent="0.25">
      <c r="A7136" s="5" t="s">
        <v>39909</v>
      </c>
      <c r="B7136" s="6">
        <v>393.75</v>
      </c>
      <c r="C7136" s="6">
        <v>20.478950000000001</v>
      </c>
      <c r="D7136" s="6">
        <v>86</v>
      </c>
      <c r="E7136" s="6">
        <v>0</v>
      </c>
      <c r="F7136" s="6">
        <v>0</v>
      </c>
      <c r="G7136" s="6">
        <v>20</v>
      </c>
      <c r="H7136" s="6" t="s">
        <v>39910</v>
      </c>
      <c r="I7136" s="6">
        <v>526.5</v>
      </c>
      <c r="J7136" s="2">
        <f t="shared" si="111"/>
        <v>43748.988267824076</v>
      </c>
    </row>
    <row r="7137" spans="1:10" x14ac:dyDescent="0.25">
      <c r="A7137" s="7" t="s">
        <v>39911</v>
      </c>
      <c r="B7137" s="8">
        <v>393.75</v>
      </c>
      <c r="C7137" s="8">
        <v>20.478950000000001</v>
      </c>
      <c r="D7137" s="8">
        <v>85</v>
      </c>
      <c r="E7137" s="8">
        <v>0</v>
      </c>
      <c r="F7137" s="8">
        <v>0</v>
      </c>
      <c r="G7137" s="8">
        <v>12</v>
      </c>
      <c r="H7137" s="8" t="s">
        <v>39912</v>
      </c>
      <c r="I7137" s="8">
        <v>526.6875</v>
      </c>
      <c r="J7137" s="3">
        <f t="shared" si="111"/>
        <v>43748.988339178242</v>
      </c>
    </row>
    <row r="7138" spans="1:10" x14ac:dyDescent="0.25">
      <c r="A7138" s="5" t="s">
        <v>39913</v>
      </c>
      <c r="B7138" s="6">
        <v>393.75</v>
      </c>
      <c r="C7138" s="6">
        <v>20.478950000000001</v>
      </c>
      <c r="D7138" s="6">
        <v>85</v>
      </c>
      <c r="E7138" s="6">
        <v>0</v>
      </c>
      <c r="F7138" s="6">
        <v>0</v>
      </c>
      <c r="G7138" s="6">
        <v>17</v>
      </c>
      <c r="H7138" s="6" t="s">
        <v>39914</v>
      </c>
      <c r="I7138" s="6">
        <v>526.6875</v>
      </c>
      <c r="J7138" s="2">
        <f t="shared" si="111"/>
        <v>43748.988411342587</v>
      </c>
    </row>
    <row r="7139" spans="1:10" x14ac:dyDescent="0.25">
      <c r="A7139" s="7" t="s">
        <v>39915</v>
      </c>
      <c r="B7139" s="8">
        <v>393.75</v>
      </c>
      <c r="C7139" s="8">
        <v>20.478950000000001</v>
      </c>
      <c r="D7139" s="8">
        <v>84</v>
      </c>
      <c r="E7139" s="8">
        <v>0</v>
      </c>
      <c r="F7139" s="8">
        <v>0</v>
      </c>
      <c r="G7139" s="8">
        <v>16</v>
      </c>
      <c r="H7139" s="8" t="s">
        <v>39916</v>
      </c>
      <c r="I7139" s="8">
        <v>526.5</v>
      </c>
      <c r="J7139" s="3">
        <f t="shared" si="111"/>
        <v>43748.988494606478</v>
      </c>
    </row>
    <row r="7140" spans="1:10" x14ac:dyDescent="0.25">
      <c r="A7140" s="5" t="s">
        <v>39917</v>
      </c>
      <c r="B7140" s="6">
        <v>393.75</v>
      </c>
      <c r="C7140" s="6">
        <v>20.478950000000001</v>
      </c>
      <c r="D7140" s="6">
        <v>84</v>
      </c>
      <c r="E7140" s="6">
        <v>0</v>
      </c>
      <c r="F7140" s="6">
        <v>0</v>
      </c>
      <c r="G7140" s="6">
        <v>11</v>
      </c>
      <c r="H7140" s="6" t="s">
        <v>39918</v>
      </c>
      <c r="I7140" s="6">
        <v>526.6875</v>
      </c>
      <c r="J7140" s="2">
        <f t="shared" si="111"/>
        <v>43748.988565914355</v>
      </c>
    </row>
    <row r="7141" spans="1:10" x14ac:dyDescent="0.25">
      <c r="A7141" s="7" t="s">
        <v>39919</v>
      </c>
      <c r="B7141" s="8">
        <v>393.75</v>
      </c>
      <c r="C7141" s="8">
        <v>20.478950000000001</v>
      </c>
      <c r="D7141" s="8">
        <v>84</v>
      </c>
      <c r="E7141" s="8">
        <v>0</v>
      </c>
      <c r="F7141" s="8">
        <v>0</v>
      </c>
      <c r="G7141" s="8">
        <v>15</v>
      </c>
      <c r="H7141" s="8" t="s">
        <v>39920</v>
      </c>
      <c r="I7141" s="8">
        <v>526.6875</v>
      </c>
      <c r="J7141" s="3">
        <f t="shared" si="111"/>
        <v>43748.988637268521</v>
      </c>
    </row>
    <row r="7142" spans="1:10" x14ac:dyDescent="0.25">
      <c r="A7142" s="5" t="s">
        <v>39921</v>
      </c>
      <c r="B7142" s="6">
        <v>412.5</v>
      </c>
      <c r="C7142" s="6">
        <v>20.478950000000001</v>
      </c>
      <c r="D7142" s="6">
        <v>82</v>
      </c>
      <c r="E7142" s="6">
        <v>0</v>
      </c>
      <c r="F7142" s="6">
        <v>0</v>
      </c>
      <c r="G7142" s="6">
        <v>8</v>
      </c>
      <c r="H7142" s="6" t="s">
        <v>39922</v>
      </c>
      <c r="I7142" s="6">
        <v>532.3125</v>
      </c>
      <c r="J7142" s="2">
        <f t="shared" si="111"/>
        <v>43748.988709490739</v>
      </c>
    </row>
    <row r="7143" spans="1:10" x14ac:dyDescent="0.25">
      <c r="A7143" s="7" t="s">
        <v>39923</v>
      </c>
      <c r="B7143" s="8">
        <v>393.75</v>
      </c>
      <c r="C7143" s="8">
        <v>20.478950000000001</v>
      </c>
      <c r="D7143" s="8">
        <v>82</v>
      </c>
      <c r="E7143" s="8">
        <v>0</v>
      </c>
      <c r="F7143" s="8">
        <v>0</v>
      </c>
      <c r="G7143" s="8">
        <v>15</v>
      </c>
      <c r="H7143" s="8" t="s">
        <v>39924</v>
      </c>
      <c r="I7143" s="8">
        <v>526.6875</v>
      </c>
      <c r="J7143" s="3">
        <f t="shared" si="111"/>
        <v>43748.988780717591</v>
      </c>
    </row>
    <row r="7144" spans="1:10" x14ac:dyDescent="0.25">
      <c r="A7144" s="5" t="s">
        <v>39925</v>
      </c>
      <c r="B7144" s="6">
        <v>393.75</v>
      </c>
      <c r="C7144" s="6">
        <v>20.478950000000001</v>
      </c>
      <c r="D7144" s="6">
        <v>84</v>
      </c>
      <c r="E7144" s="6">
        <v>0</v>
      </c>
      <c r="F7144" s="6">
        <v>0</v>
      </c>
      <c r="G7144" s="6">
        <v>6</v>
      </c>
      <c r="H7144" s="6" t="s">
        <v>39926</v>
      </c>
      <c r="I7144" s="6">
        <v>526.6875</v>
      </c>
      <c r="J7144" s="2">
        <f t="shared" si="111"/>
        <v>43748.988852071758</v>
      </c>
    </row>
    <row r="7145" spans="1:10" x14ac:dyDescent="0.25">
      <c r="A7145" s="7" t="s">
        <v>39927</v>
      </c>
      <c r="B7145" s="8">
        <v>393.75</v>
      </c>
      <c r="C7145" s="8">
        <v>20.478950000000001</v>
      </c>
      <c r="D7145" s="8">
        <v>84</v>
      </c>
      <c r="E7145" s="8">
        <v>0</v>
      </c>
      <c r="F7145" s="8">
        <v>0</v>
      </c>
      <c r="G7145" s="8">
        <v>15</v>
      </c>
      <c r="H7145" s="8" t="s">
        <v>39928</v>
      </c>
      <c r="I7145" s="8">
        <v>526.6875</v>
      </c>
      <c r="J7145" s="3">
        <f t="shared" si="111"/>
        <v>43748.988923437493</v>
      </c>
    </row>
    <row r="7146" spans="1:10" x14ac:dyDescent="0.25">
      <c r="A7146" s="5" t="s">
        <v>39929</v>
      </c>
      <c r="B7146" s="6">
        <v>415.625</v>
      </c>
      <c r="C7146" s="6">
        <v>20.478950000000001</v>
      </c>
      <c r="D7146" s="6">
        <v>85</v>
      </c>
      <c r="E7146" s="6">
        <v>0</v>
      </c>
      <c r="F7146" s="6">
        <v>0</v>
      </c>
      <c r="G7146" s="6">
        <v>13</v>
      </c>
      <c r="H7146" s="6" t="s">
        <v>39930</v>
      </c>
      <c r="I7146" s="6">
        <v>533.25</v>
      </c>
      <c r="J7146" s="2">
        <f t="shared" si="111"/>
        <v>43748.989007627308</v>
      </c>
    </row>
    <row r="7147" spans="1:10" x14ac:dyDescent="0.25">
      <c r="A7147" s="7" t="s">
        <v>39931</v>
      </c>
      <c r="B7147" s="8">
        <v>393.75</v>
      </c>
      <c r="C7147" s="8">
        <v>20.478950000000001</v>
      </c>
      <c r="D7147" s="8">
        <v>85</v>
      </c>
      <c r="E7147" s="8">
        <v>0</v>
      </c>
      <c r="F7147" s="8">
        <v>0</v>
      </c>
      <c r="G7147" s="8">
        <v>9</v>
      </c>
      <c r="H7147" s="8" t="s">
        <v>39932</v>
      </c>
      <c r="I7147" s="8">
        <v>526.6875</v>
      </c>
      <c r="J7147" s="3">
        <f t="shared" si="111"/>
        <v>43748.989090891198</v>
      </c>
    </row>
    <row r="7148" spans="1:10" x14ac:dyDescent="0.25">
      <c r="A7148" s="5" t="s">
        <v>39933</v>
      </c>
      <c r="B7148" s="6">
        <v>393.75</v>
      </c>
      <c r="C7148" s="6">
        <v>20.478950000000001</v>
      </c>
      <c r="D7148" s="6">
        <v>85</v>
      </c>
      <c r="E7148" s="6">
        <v>0</v>
      </c>
      <c r="F7148" s="6">
        <v>0</v>
      </c>
      <c r="G7148" s="6">
        <v>11</v>
      </c>
      <c r="H7148" s="6" t="s">
        <v>39934</v>
      </c>
      <c r="I7148" s="6">
        <v>526.6875</v>
      </c>
      <c r="J7148" s="2">
        <f t="shared" si="111"/>
        <v>43748.98919836805</v>
      </c>
    </row>
    <row r="7149" spans="1:10" x14ac:dyDescent="0.25">
      <c r="A7149" s="7" t="s">
        <v>39935</v>
      </c>
      <c r="B7149" s="8">
        <v>393.75</v>
      </c>
      <c r="C7149" s="8">
        <v>20.478950000000001</v>
      </c>
      <c r="D7149" s="8">
        <v>85</v>
      </c>
      <c r="E7149" s="8">
        <v>0</v>
      </c>
      <c r="F7149" s="8">
        <v>0</v>
      </c>
      <c r="G7149" s="8">
        <v>14</v>
      </c>
      <c r="H7149" s="8" t="s">
        <v>39936</v>
      </c>
      <c r="I7149" s="8">
        <v>526.6875</v>
      </c>
      <c r="J7149" s="3">
        <f t="shared" si="111"/>
        <v>43748.989282210641</v>
      </c>
    </row>
    <row r="7150" spans="1:10" x14ac:dyDescent="0.25">
      <c r="A7150" s="5" t="s">
        <v>39937</v>
      </c>
      <c r="B7150" s="6">
        <v>393.75</v>
      </c>
      <c r="C7150" s="6">
        <v>20.478950000000001</v>
      </c>
      <c r="D7150" s="6">
        <v>84</v>
      </c>
      <c r="E7150" s="6">
        <v>0</v>
      </c>
      <c r="F7150" s="6">
        <v>0</v>
      </c>
      <c r="G7150" s="6">
        <v>16</v>
      </c>
      <c r="H7150" s="6" t="s">
        <v>39938</v>
      </c>
      <c r="I7150" s="6">
        <v>526.6875</v>
      </c>
      <c r="J7150" s="2">
        <f t="shared" si="111"/>
        <v>43748.989352881945</v>
      </c>
    </row>
    <row r="7151" spans="1:10" x14ac:dyDescent="0.25">
      <c r="A7151" s="7" t="s">
        <v>39939</v>
      </c>
      <c r="B7151" s="8">
        <v>393.75</v>
      </c>
      <c r="C7151" s="8">
        <v>20.478950000000001</v>
      </c>
      <c r="D7151" s="8">
        <v>84</v>
      </c>
      <c r="E7151" s="8">
        <v>0</v>
      </c>
      <c r="F7151" s="8">
        <v>0</v>
      </c>
      <c r="G7151" s="8">
        <v>5</v>
      </c>
      <c r="H7151" s="8" t="s">
        <v>39940</v>
      </c>
      <c r="I7151" s="8">
        <v>526.6875</v>
      </c>
      <c r="J7151" s="3">
        <f t="shared" si="111"/>
        <v>43748.989434849536</v>
      </c>
    </row>
    <row r="7152" spans="1:10" x14ac:dyDescent="0.25">
      <c r="A7152" s="5" t="s">
        <v>39941</v>
      </c>
      <c r="B7152" s="6">
        <v>418.75</v>
      </c>
      <c r="C7152" s="6">
        <v>20.478950000000001</v>
      </c>
      <c r="D7152" s="6">
        <v>84</v>
      </c>
      <c r="E7152" s="6">
        <v>0</v>
      </c>
      <c r="F7152" s="6">
        <v>0</v>
      </c>
      <c r="G7152" s="6">
        <v>25</v>
      </c>
      <c r="H7152" s="6" t="s">
        <v>39942</v>
      </c>
      <c r="I7152" s="6">
        <v>534.1875</v>
      </c>
      <c r="J7152" s="2">
        <f t="shared" si="111"/>
        <v>43748.989519745366</v>
      </c>
    </row>
    <row r="7153" spans="1:10" x14ac:dyDescent="0.25">
      <c r="A7153" s="7" t="s">
        <v>39943</v>
      </c>
      <c r="B7153" s="8">
        <v>393.75</v>
      </c>
      <c r="C7153" s="8">
        <v>20.478950000000001</v>
      </c>
      <c r="D7153" s="8">
        <v>84</v>
      </c>
      <c r="E7153" s="8">
        <v>0</v>
      </c>
      <c r="F7153" s="8">
        <v>0</v>
      </c>
      <c r="G7153" s="8">
        <v>20</v>
      </c>
      <c r="H7153" s="8" t="s">
        <v>39944</v>
      </c>
      <c r="I7153" s="8">
        <v>526.6875</v>
      </c>
      <c r="J7153" s="3">
        <f t="shared" si="111"/>
        <v>43748.98959266203</v>
      </c>
    </row>
    <row r="7154" spans="1:10" x14ac:dyDescent="0.25">
      <c r="A7154" s="5" t="s">
        <v>39945</v>
      </c>
      <c r="B7154" s="6">
        <v>393.75</v>
      </c>
      <c r="C7154" s="6">
        <v>20.478950000000001</v>
      </c>
      <c r="D7154" s="6">
        <v>84</v>
      </c>
      <c r="E7154" s="6">
        <v>0</v>
      </c>
      <c r="F7154" s="6">
        <v>0</v>
      </c>
      <c r="G7154" s="6">
        <v>22</v>
      </c>
      <c r="H7154" s="6" t="s">
        <v>39946</v>
      </c>
      <c r="I7154" s="6">
        <v>526.6875</v>
      </c>
      <c r="J7154" s="2">
        <f t="shared" si="111"/>
        <v>43748.989689849535</v>
      </c>
    </row>
    <row r="7155" spans="1:10" x14ac:dyDescent="0.25">
      <c r="A7155" s="7" t="s">
        <v>39947</v>
      </c>
      <c r="B7155" s="8">
        <v>393.75</v>
      </c>
      <c r="C7155" s="8">
        <v>20.478950000000001</v>
      </c>
      <c r="D7155" s="8">
        <v>86</v>
      </c>
      <c r="E7155" s="8">
        <v>0</v>
      </c>
      <c r="F7155" s="8">
        <v>0</v>
      </c>
      <c r="G7155" s="8">
        <v>9</v>
      </c>
      <c r="H7155" s="8" t="s">
        <v>39948</v>
      </c>
      <c r="I7155" s="8">
        <v>526.6875</v>
      </c>
      <c r="J7155" s="3">
        <f t="shared" si="111"/>
        <v>43748.989770590277</v>
      </c>
    </row>
    <row r="7156" spans="1:10" x14ac:dyDescent="0.25">
      <c r="A7156" s="5" t="s">
        <v>39949</v>
      </c>
      <c r="B7156" s="6">
        <v>393.75</v>
      </c>
      <c r="C7156" s="6">
        <v>20.478950000000001</v>
      </c>
      <c r="D7156" s="6">
        <v>86</v>
      </c>
      <c r="E7156" s="6">
        <v>0</v>
      </c>
      <c r="F7156" s="6">
        <v>0</v>
      </c>
      <c r="G7156" s="6">
        <v>12</v>
      </c>
      <c r="H7156" s="6" t="s">
        <v>39950</v>
      </c>
      <c r="I7156" s="6">
        <v>526.6875</v>
      </c>
      <c r="J7156" s="2">
        <f t="shared" si="111"/>
        <v>43748.989841886571</v>
      </c>
    </row>
    <row r="7157" spans="1:10" x14ac:dyDescent="0.25">
      <c r="A7157" s="7" t="s">
        <v>39951</v>
      </c>
      <c r="B7157" s="8">
        <v>393.75</v>
      </c>
      <c r="C7157" s="8">
        <v>20.478950000000001</v>
      </c>
      <c r="D7157" s="8">
        <v>86</v>
      </c>
      <c r="E7157" s="8">
        <v>0</v>
      </c>
      <c r="F7157" s="8">
        <v>0</v>
      </c>
      <c r="G7157" s="8">
        <v>11</v>
      </c>
      <c r="H7157" s="8" t="s">
        <v>39952</v>
      </c>
      <c r="I7157" s="8">
        <v>526.6875</v>
      </c>
      <c r="J7157" s="3">
        <f t="shared" si="111"/>
        <v>43748.989913275458</v>
      </c>
    </row>
    <row r="7158" spans="1:10" x14ac:dyDescent="0.25">
      <c r="A7158" s="5" t="s">
        <v>39953</v>
      </c>
      <c r="B7158" s="6">
        <v>412.5</v>
      </c>
      <c r="C7158" s="6">
        <v>20.478950000000001</v>
      </c>
      <c r="D7158" s="6">
        <v>86</v>
      </c>
      <c r="E7158" s="6">
        <v>0</v>
      </c>
      <c r="F7158" s="6">
        <v>0</v>
      </c>
      <c r="G7158" s="6">
        <v>11</v>
      </c>
      <c r="H7158" s="6" t="s">
        <v>39954</v>
      </c>
      <c r="I7158" s="6">
        <v>532.125</v>
      </c>
      <c r="J7158" s="2">
        <f t="shared" si="111"/>
        <v>43748.989997442128</v>
      </c>
    </row>
    <row r="7159" spans="1:10" x14ac:dyDescent="0.25">
      <c r="A7159" s="7" t="s">
        <v>39955</v>
      </c>
      <c r="B7159" s="8">
        <v>393.75</v>
      </c>
      <c r="C7159" s="8">
        <v>20.478950000000001</v>
      </c>
      <c r="D7159" s="8">
        <v>86</v>
      </c>
      <c r="E7159" s="8">
        <v>0</v>
      </c>
      <c r="F7159" s="8">
        <v>0</v>
      </c>
      <c r="G7159" s="8">
        <v>12</v>
      </c>
      <c r="H7159" s="8" t="s">
        <v>39956</v>
      </c>
      <c r="I7159" s="8">
        <v>526.6875</v>
      </c>
      <c r="J7159" s="3">
        <f t="shared" si="111"/>
        <v>43748.990068738429</v>
      </c>
    </row>
    <row r="7160" spans="1:10" x14ac:dyDescent="0.25">
      <c r="A7160" s="5" t="s">
        <v>39957</v>
      </c>
      <c r="B7160" s="6">
        <v>393.75</v>
      </c>
      <c r="C7160" s="6">
        <v>20.478950000000001</v>
      </c>
      <c r="D7160" s="6">
        <v>87</v>
      </c>
      <c r="E7160" s="6">
        <v>0</v>
      </c>
      <c r="F7160" s="6">
        <v>0</v>
      </c>
      <c r="G7160" s="6">
        <v>15</v>
      </c>
      <c r="H7160" s="6" t="s">
        <v>39958</v>
      </c>
      <c r="I7160" s="6">
        <v>526.6875</v>
      </c>
      <c r="J7160" s="2">
        <f t="shared" si="111"/>
        <v>43748.990140034723</v>
      </c>
    </row>
    <row r="7161" spans="1:10" x14ac:dyDescent="0.25">
      <c r="A7161" s="7" t="s">
        <v>39959</v>
      </c>
      <c r="B7161" s="8">
        <v>393.75</v>
      </c>
      <c r="C7161" s="8">
        <v>20.478950000000001</v>
      </c>
      <c r="D7161" s="8">
        <v>87</v>
      </c>
      <c r="E7161" s="8">
        <v>0</v>
      </c>
      <c r="F7161" s="8">
        <v>0</v>
      </c>
      <c r="G7161" s="8">
        <v>22</v>
      </c>
      <c r="H7161" s="8" t="s">
        <v>39960</v>
      </c>
      <c r="I7161" s="8">
        <v>526.6875</v>
      </c>
      <c r="J7161" s="3">
        <f t="shared" si="111"/>
        <v>43748.990235416662</v>
      </c>
    </row>
    <row r="7162" spans="1:10" x14ac:dyDescent="0.25">
      <c r="A7162" s="5" t="s">
        <v>39961</v>
      </c>
      <c r="B7162" s="6">
        <v>393.75</v>
      </c>
      <c r="C7162" s="6">
        <v>20.478950000000001</v>
      </c>
      <c r="D7162" s="6">
        <v>86</v>
      </c>
      <c r="E7162" s="6">
        <v>0</v>
      </c>
      <c r="F7162" s="6">
        <v>0</v>
      </c>
      <c r="G7162" s="6">
        <v>13</v>
      </c>
      <c r="H7162" s="6" t="s">
        <v>39962</v>
      </c>
      <c r="I7162" s="6">
        <v>526.6875</v>
      </c>
      <c r="J7162" s="2">
        <f t="shared" si="111"/>
        <v>43748.990306770829</v>
      </c>
    </row>
    <row r="7163" spans="1:10" x14ac:dyDescent="0.25">
      <c r="A7163" s="7" t="s">
        <v>39963</v>
      </c>
      <c r="B7163" s="8">
        <v>393.75</v>
      </c>
      <c r="C7163" s="8">
        <v>20.478950000000001</v>
      </c>
      <c r="D7163" s="8">
        <v>86</v>
      </c>
      <c r="E7163" s="8">
        <v>0</v>
      </c>
      <c r="F7163" s="8">
        <v>0</v>
      </c>
      <c r="G7163" s="8">
        <v>12</v>
      </c>
      <c r="H7163" s="8" t="s">
        <v>39964</v>
      </c>
      <c r="I7163" s="8">
        <v>526.6875</v>
      </c>
      <c r="J7163" s="3">
        <f t="shared" si="111"/>
        <v>43748.990378865739</v>
      </c>
    </row>
    <row r="7164" spans="1:10" x14ac:dyDescent="0.25">
      <c r="A7164" s="5" t="s">
        <v>39965</v>
      </c>
      <c r="B7164" s="6">
        <v>406.25</v>
      </c>
      <c r="C7164" s="6">
        <v>20.478950000000001</v>
      </c>
      <c r="D7164" s="6">
        <v>87</v>
      </c>
      <c r="E7164" s="6">
        <v>0</v>
      </c>
      <c r="F7164" s="6">
        <v>0</v>
      </c>
      <c r="G7164" s="6">
        <v>19</v>
      </c>
      <c r="H7164" s="6" t="s">
        <v>39966</v>
      </c>
      <c r="I7164" s="6">
        <v>530.25</v>
      </c>
      <c r="J7164" s="2">
        <f t="shared" si="111"/>
        <v>43748.990450219906</v>
      </c>
    </row>
    <row r="7165" spans="1:10" x14ac:dyDescent="0.25">
      <c r="A7165" s="7" t="s">
        <v>39967</v>
      </c>
      <c r="B7165" s="8">
        <v>393.75</v>
      </c>
      <c r="C7165" s="8">
        <v>20.478950000000001</v>
      </c>
      <c r="D7165" s="8">
        <v>86</v>
      </c>
      <c r="E7165" s="8">
        <v>0</v>
      </c>
      <c r="F7165" s="8">
        <v>0</v>
      </c>
      <c r="G7165" s="8">
        <v>5</v>
      </c>
      <c r="H7165" s="8" t="s">
        <v>39968</v>
      </c>
      <c r="I7165" s="8">
        <v>526.6875</v>
      </c>
      <c r="J7165" s="3">
        <f t="shared" si="111"/>
        <v>43748.990533564815</v>
      </c>
    </row>
    <row r="7166" spans="1:10" x14ac:dyDescent="0.25">
      <c r="A7166" s="5" t="s">
        <v>39969</v>
      </c>
      <c r="B7166" s="6">
        <v>393.75</v>
      </c>
      <c r="C7166" s="6">
        <v>20.478950000000001</v>
      </c>
      <c r="D7166" s="6">
        <v>85</v>
      </c>
      <c r="E7166" s="6">
        <v>0</v>
      </c>
      <c r="F7166" s="6">
        <v>0</v>
      </c>
      <c r="G7166" s="6">
        <v>13</v>
      </c>
      <c r="H7166" s="6" t="s">
        <v>39970</v>
      </c>
      <c r="I7166" s="6">
        <v>526.5</v>
      </c>
      <c r="J7166" s="2">
        <f t="shared" si="111"/>
        <v>43748.99060493055</v>
      </c>
    </row>
    <row r="7167" spans="1:10" x14ac:dyDescent="0.25">
      <c r="A7167" s="7" t="s">
        <v>39971</v>
      </c>
      <c r="B7167" s="8">
        <v>393.75</v>
      </c>
      <c r="C7167" s="8">
        <v>20.478950000000001</v>
      </c>
      <c r="D7167" s="8">
        <v>85</v>
      </c>
      <c r="E7167" s="8">
        <v>0</v>
      </c>
      <c r="F7167" s="8">
        <v>0</v>
      </c>
      <c r="G7167" s="8">
        <v>14</v>
      </c>
      <c r="H7167" s="8" t="s">
        <v>39972</v>
      </c>
      <c r="I7167" s="8">
        <v>526.6875</v>
      </c>
      <c r="J7167" s="3">
        <f t="shared" si="111"/>
        <v>43748.990677083326</v>
      </c>
    </row>
    <row r="7168" spans="1:10" x14ac:dyDescent="0.25">
      <c r="A7168" s="5" t="s">
        <v>39973</v>
      </c>
      <c r="B7168" s="6">
        <v>393.75</v>
      </c>
      <c r="C7168" s="6">
        <v>20.478950000000001</v>
      </c>
      <c r="D7168" s="6">
        <v>86</v>
      </c>
      <c r="E7168" s="6">
        <v>0</v>
      </c>
      <c r="F7168" s="6">
        <v>0</v>
      </c>
      <c r="G7168" s="6">
        <v>13</v>
      </c>
      <c r="H7168" s="6" t="s">
        <v>39974</v>
      </c>
      <c r="I7168" s="6">
        <v>526.6875</v>
      </c>
      <c r="J7168" s="2">
        <f t="shared" si="111"/>
        <v>43748.990748206015</v>
      </c>
    </row>
    <row r="7169" spans="1:10" x14ac:dyDescent="0.25">
      <c r="A7169" s="7" t="s">
        <v>39975</v>
      </c>
      <c r="B7169" s="8">
        <v>393.75</v>
      </c>
      <c r="C7169" s="8">
        <v>20.478950000000001</v>
      </c>
      <c r="D7169" s="8">
        <v>85</v>
      </c>
      <c r="E7169" s="8">
        <v>0</v>
      </c>
      <c r="F7169" s="8">
        <v>0</v>
      </c>
      <c r="G7169" s="8">
        <v>10</v>
      </c>
      <c r="H7169" s="8" t="s">
        <v>39976</v>
      </c>
      <c r="I7169" s="8">
        <v>526.6875</v>
      </c>
      <c r="J7169" s="3">
        <f t="shared" si="111"/>
        <v>43748.990819687497</v>
      </c>
    </row>
    <row r="7170" spans="1:10" x14ac:dyDescent="0.25">
      <c r="A7170" s="5" t="s">
        <v>39977</v>
      </c>
      <c r="B7170" s="6">
        <v>393.75</v>
      </c>
      <c r="C7170" s="6">
        <v>20.478950000000001</v>
      </c>
      <c r="D7170" s="6">
        <v>85</v>
      </c>
      <c r="E7170" s="6">
        <v>0</v>
      </c>
      <c r="F7170" s="6">
        <v>0</v>
      </c>
      <c r="G7170" s="6">
        <v>16</v>
      </c>
      <c r="H7170" s="6" t="s">
        <v>39978</v>
      </c>
      <c r="I7170" s="6">
        <v>526.5</v>
      </c>
      <c r="J7170" s="2">
        <f t="shared" ref="J7170:J7233" si="112">(H7170/86400000)+25569+(7/24)</f>
        <v>43748.990891898145</v>
      </c>
    </row>
    <row r="7171" spans="1:10" x14ac:dyDescent="0.25">
      <c r="A7171" s="7" t="s">
        <v>39979</v>
      </c>
      <c r="B7171" s="8">
        <v>393.75</v>
      </c>
      <c r="C7171" s="8">
        <v>20.478950000000001</v>
      </c>
      <c r="D7171" s="8">
        <v>85</v>
      </c>
      <c r="E7171" s="8">
        <v>0</v>
      </c>
      <c r="F7171" s="8">
        <v>0</v>
      </c>
      <c r="G7171" s="8">
        <v>10</v>
      </c>
      <c r="H7171" s="8" t="s">
        <v>39980</v>
      </c>
      <c r="I7171" s="8">
        <v>526.6875</v>
      </c>
      <c r="J7171" s="3">
        <f t="shared" si="112"/>
        <v>43748.990962326388</v>
      </c>
    </row>
    <row r="7172" spans="1:10" x14ac:dyDescent="0.25">
      <c r="A7172" s="5" t="s">
        <v>39981</v>
      </c>
      <c r="B7172" s="6">
        <v>412.5</v>
      </c>
      <c r="C7172" s="6">
        <v>20.478950000000001</v>
      </c>
      <c r="D7172" s="6">
        <v>85</v>
      </c>
      <c r="E7172" s="6">
        <v>0</v>
      </c>
      <c r="F7172" s="6">
        <v>0</v>
      </c>
      <c r="G7172" s="6">
        <v>8</v>
      </c>
      <c r="H7172" s="6" t="s">
        <v>39982</v>
      </c>
      <c r="I7172" s="6">
        <v>532.5</v>
      </c>
      <c r="J7172" s="2">
        <f t="shared" si="112"/>
        <v>43748.991034490733</v>
      </c>
    </row>
    <row r="7173" spans="1:10" x14ac:dyDescent="0.25">
      <c r="A7173" s="7" t="s">
        <v>39983</v>
      </c>
      <c r="B7173" s="8">
        <v>393.75</v>
      </c>
      <c r="C7173" s="8">
        <v>20.478950000000001</v>
      </c>
      <c r="D7173" s="8">
        <v>85</v>
      </c>
      <c r="E7173" s="8">
        <v>0</v>
      </c>
      <c r="F7173" s="8">
        <v>0</v>
      </c>
      <c r="G7173" s="8">
        <v>9</v>
      </c>
      <c r="H7173" s="8" t="s">
        <v>39984</v>
      </c>
      <c r="I7173" s="8">
        <v>526.6875</v>
      </c>
      <c r="J7173" s="3">
        <f t="shared" si="112"/>
        <v>43748.991117824073</v>
      </c>
    </row>
    <row r="7174" spans="1:10" x14ac:dyDescent="0.25">
      <c r="A7174" s="5" t="s">
        <v>39985</v>
      </c>
      <c r="B7174" s="6">
        <v>393.75</v>
      </c>
      <c r="C7174" s="6">
        <v>20.478950000000001</v>
      </c>
      <c r="D7174" s="6">
        <v>86</v>
      </c>
      <c r="E7174" s="6">
        <v>0</v>
      </c>
      <c r="F7174" s="6">
        <v>0</v>
      </c>
      <c r="G7174" s="6">
        <v>16</v>
      </c>
      <c r="H7174" s="6" t="s">
        <v>39986</v>
      </c>
      <c r="I7174" s="6">
        <v>526.875</v>
      </c>
      <c r="J7174" s="2">
        <f t="shared" si="112"/>
        <v>43748.991201203702</v>
      </c>
    </row>
    <row r="7175" spans="1:10" x14ac:dyDescent="0.25">
      <c r="A7175" s="7" t="s">
        <v>39987</v>
      </c>
      <c r="B7175" s="8">
        <v>393.75</v>
      </c>
      <c r="C7175" s="8">
        <v>20.426300000000001</v>
      </c>
      <c r="D7175" s="8">
        <v>86</v>
      </c>
      <c r="E7175" s="8">
        <v>0</v>
      </c>
      <c r="F7175" s="8">
        <v>0</v>
      </c>
      <c r="G7175" s="8">
        <v>2</v>
      </c>
      <c r="H7175" s="8" t="s">
        <v>39988</v>
      </c>
      <c r="I7175" s="8">
        <v>526.6875</v>
      </c>
      <c r="J7175" s="3">
        <f t="shared" si="112"/>
        <v>43748.991273368054</v>
      </c>
    </row>
    <row r="7176" spans="1:10" x14ac:dyDescent="0.25">
      <c r="A7176" s="5" t="s">
        <v>39989</v>
      </c>
      <c r="B7176" s="6">
        <v>393.75</v>
      </c>
      <c r="C7176" s="6">
        <v>20.426300000000001</v>
      </c>
      <c r="D7176" s="6">
        <v>86</v>
      </c>
      <c r="E7176" s="6">
        <v>0</v>
      </c>
      <c r="F7176" s="6">
        <v>0</v>
      </c>
      <c r="G7176" s="6">
        <v>6</v>
      </c>
      <c r="H7176" s="6" t="s">
        <v>39990</v>
      </c>
      <c r="I7176" s="6">
        <v>526.6875</v>
      </c>
      <c r="J7176" s="2">
        <f t="shared" si="112"/>
        <v>43748.991344687493</v>
      </c>
    </row>
    <row r="7177" spans="1:10" x14ac:dyDescent="0.25">
      <c r="A7177" s="7" t="s">
        <v>39991</v>
      </c>
      <c r="B7177" s="8">
        <v>393.75</v>
      </c>
      <c r="C7177" s="8">
        <v>20.478950000000001</v>
      </c>
      <c r="D7177" s="8">
        <v>87</v>
      </c>
      <c r="E7177" s="8">
        <v>0</v>
      </c>
      <c r="F7177" s="8">
        <v>0</v>
      </c>
      <c r="G7177" s="8">
        <v>11</v>
      </c>
      <c r="H7177" s="8" t="s">
        <v>39992</v>
      </c>
      <c r="I7177" s="8">
        <v>526.6875</v>
      </c>
      <c r="J7177" s="3">
        <f t="shared" si="112"/>
        <v>43748.991415972218</v>
      </c>
    </row>
    <row r="7178" spans="1:10" x14ac:dyDescent="0.25">
      <c r="A7178" s="5" t="s">
        <v>39993</v>
      </c>
      <c r="B7178" s="6">
        <v>393.75</v>
      </c>
      <c r="C7178" s="6">
        <v>20.478950000000001</v>
      </c>
      <c r="D7178" s="6">
        <v>88</v>
      </c>
      <c r="E7178" s="6">
        <v>0</v>
      </c>
      <c r="F7178" s="6">
        <v>0</v>
      </c>
      <c r="G7178" s="6">
        <v>6</v>
      </c>
      <c r="H7178" s="6" t="s">
        <v>39994</v>
      </c>
      <c r="I7178" s="6">
        <v>526.6875</v>
      </c>
      <c r="J7178" s="2">
        <f t="shared" si="112"/>
        <v>43748.991488020831</v>
      </c>
    </row>
    <row r="7179" spans="1:10" x14ac:dyDescent="0.25">
      <c r="A7179" s="7" t="s">
        <v>39995</v>
      </c>
      <c r="B7179" s="8">
        <v>412.5</v>
      </c>
      <c r="C7179" s="8">
        <v>20.478950000000001</v>
      </c>
      <c r="D7179" s="8">
        <v>88</v>
      </c>
      <c r="E7179" s="8">
        <v>0</v>
      </c>
      <c r="F7179" s="8">
        <v>0</v>
      </c>
      <c r="G7179" s="8">
        <v>16</v>
      </c>
      <c r="H7179" s="8" t="s">
        <v>39996</v>
      </c>
      <c r="I7179" s="8">
        <v>532.3125</v>
      </c>
      <c r="J7179" s="3">
        <f t="shared" si="112"/>
        <v>43748.991559490743</v>
      </c>
    </row>
    <row r="7180" spans="1:10" x14ac:dyDescent="0.25">
      <c r="A7180" s="5" t="s">
        <v>39997</v>
      </c>
      <c r="B7180" s="6">
        <v>393.75</v>
      </c>
      <c r="C7180" s="6">
        <v>20.478950000000001</v>
      </c>
      <c r="D7180" s="6">
        <v>85</v>
      </c>
      <c r="E7180" s="6">
        <v>0</v>
      </c>
      <c r="F7180" s="6">
        <v>0</v>
      </c>
      <c r="G7180" s="6">
        <v>11</v>
      </c>
      <c r="H7180" s="6" t="s">
        <v>39998</v>
      </c>
      <c r="I7180" s="6">
        <v>526.6875</v>
      </c>
      <c r="J7180" s="2">
        <f t="shared" si="112"/>
        <v>43748.991630775461</v>
      </c>
    </row>
    <row r="7181" spans="1:10" x14ac:dyDescent="0.25">
      <c r="A7181" s="7" t="s">
        <v>39999</v>
      </c>
      <c r="B7181" s="8">
        <v>393.75</v>
      </c>
      <c r="C7181" s="8">
        <v>20.478950000000001</v>
      </c>
      <c r="D7181" s="8">
        <v>85</v>
      </c>
      <c r="E7181" s="8">
        <v>0</v>
      </c>
      <c r="F7181" s="8">
        <v>0</v>
      </c>
      <c r="G7181" s="8">
        <v>18</v>
      </c>
      <c r="H7181" s="8" t="s">
        <v>40000</v>
      </c>
      <c r="I7181" s="8">
        <v>526.6875</v>
      </c>
      <c r="J7181" s="3">
        <f t="shared" si="112"/>
        <v>43748.9917020949</v>
      </c>
    </row>
    <row r="7182" spans="1:10" x14ac:dyDescent="0.25">
      <c r="A7182" s="5" t="s">
        <v>40001</v>
      </c>
      <c r="B7182" s="6">
        <v>393.75</v>
      </c>
      <c r="C7182" s="6">
        <v>20.478950000000001</v>
      </c>
      <c r="D7182" s="6">
        <v>85</v>
      </c>
      <c r="E7182" s="6">
        <v>0</v>
      </c>
      <c r="F7182" s="6">
        <v>0</v>
      </c>
      <c r="G7182" s="6">
        <v>21</v>
      </c>
      <c r="H7182" s="6" t="s">
        <v>40002</v>
      </c>
      <c r="I7182" s="6">
        <v>526.6875</v>
      </c>
      <c r="J7182" s="2">
        <f t="shared" si="112"/>
        <v>43748.99177429398</v>
      </c>
    </row>
    <row r="7183" spans="1:10" x14ac:dyDescent="0.25">
      <c r="A7183" s="7" t="s">
        <v>40003</v>
      </c>
      <c r="B7183" s="8">
        <v>393.75</v>
      </c>
      <c r="C7183" s="8">
        <v>20.478950000000001</v>
      </c>
      <c r="D7183" s="8">
        <v>85</v>
      </c>
      <c r="E7183" s="8">
        <v>0</v>
      </c>
      <c r="F7183" s="8">
        <v>0</v>
      </c>
      <c r="G7183" s="8">
        <v>10</v>
      </c>
      <c r="H7183" s="8" t="s">
        <v>40004</v>
      </c>
      <c r="I7183" s="8">
        <v>526.6875</v>
      </c>
      <c r="J7183" s="3">
        <f t="shared" si="112"/>
        <v>43748.9918455324</v>
      </c>
    </row>
    <row r="7184" spans="1:10" x14ac:dyDescent="0.25">
      <c r="A7184" s="5" t="s">
        <v>40005</v>
      </c>
      <c r="B7184" s="6">
        <v>393.75</v>
      </c>
      <c r="C7184" s="6">
        <v>20.478950000000001</v>
      </c>
      <c r="D7184" s="6">
        <v>85</v>
      </c>
      <c r="E7184" s="6">
        <v>0</v>
      </c>
      <c r="F7184" s="6">
        <v>0</v>
      </c>
      <c r="G7184" s="6">
        <v>11</v>
      </c>
      <c r="H7184" s="6" t="s">
        <v>40006</v>
      </c>
      <c r="I7184" s="6">
        <v>526.6875</v>
      </c>
      <c r="J7184" s="2">
        <f t="shared" si="112"/>
        <v>43748.991916898151</v>
      </c>
    </row>
    <row r="7185" spans="1:10" x14ac:dyDescent="0.25">
      <c r="A7185" s="7" t="s">
        <v>40007</v>
      </c>
      <c r="B7185" s="8">
        <v>393.75</v>
      </c>
      <c r="C7185" s="8">
        <v>20.478950000000001</v>
      </c>
      <c r="D7185" s="8">
        <v>85</v>
      </c>
      <c r="E7185" s="8">
        <v>0</v>
      </c>
      <c r="F7185" s="8">
        <v>0</v>
      </c>
      <c r="G7185" s="8">
        <v>14</v>
      </c>
      <c r="H7185" s="8" t="s">
        <v>40008</v>
      </c>
      <c r="I7185" s="8">
        <v>526.6875</v>
      </c>
      <c r="J7185" s="3">
        <f t="shared" si="112"/>
        <v>43748.992012256938</v>
      </c>
    </row>
    <row r="7186" spans="1:10" x14ac:dyDescent="0.25">
      <c r="A7186" s="5" t="s">
        <v>40009</v>
      </c>
      <c r="B7186" s="6">
        <v>412.5</v>
      </c>
      <c r="C7186" s="6">
        <v>20.478950000000001</v>
      </c>
      <c r="D7186" s="6">
        <v>87</v>
      </c>
      <c r="E7186" s="6">
        <v>0</v>
      </c>
      <c r="F7186" s="6">
        <v>0</v>
      </c>
      <c r="G7186" s="6">
        <v>7</v>
      </c>
      <c r="H7186" s="6" t="s">
        <v>40010</v>
      </c>
      <c r="I7186" s="6">
        <v>532.3125</v>
      </c>
      <c r="J7186" s="2">
        <f t="shared" si="112"/>
        <v>43748.992083599536</v>
      </c>
    </row>
    <row r="7187" spans="1:10" x14ac:dyDescent="0.25">
      <c r="A7187" s="7" t="s">
        <v>40011</v>
      </c>
      <c r="B7187" s="8">
        <v>393.75</v>
      </c>
      <c r="C7187" s="8">
        <v>20.478950000000001</v>
      </c>
      <c r="D7187" s="8">
        <v>87</v>
      </c>
      <c r="E7187" s="8">
        <v>0</v>
      </c>
      <c r="F7187" s="8">
        <v>0</v>
      </c>
      <c r="G7187" s="8">
        <v>13</v>
      </c>
      <c r="H7187" s="8" t="s">
        <v>40012</v>
      </c>
      <c r="I7187" s="8">
        <v>526.6875</v>
      </c>
      <c r="J7187" s="3">
        <f t="shared" si="112"/>
        <v>43748.99216780092</v>
      </c>
    </row>
    <row r="7188" spans="1:10" x14ac:dyDescent="0.25">
      <c r="A7188" s="5" t="s">
        <v>40013</v>
      </c>
      <c r="B7188" s="6">
        <v>393.75</v>
      </c>
      <c r="C7188" s="6">
        <v>20.478950000000001</v>
      </c>
      <c r="D7188" s="6">
        <v>87</v>
      </c>
      <c r="E7188" s="6">
        <v>0</v>
      </c>
      <c r="F7188" s="6">
        <v>0</v>
      </c>
      <c r="G7188" s="6">
        <v>7</v>
      </c>
      <c r="H7188" s="6" t="s">
        <v>40014</v>
      </c>
      <c r="I7188" s="6">
        <v>526.6875</v>
      </c>
      <c r="J7188" s="2">
        <f t="shared" si="112"/>
        <v>43748.992254780089</v>
      </c>
    </row>
    <row r="7189" spans="1:10" x14ac:dyDescent="0.25">
      <c r="A7189" s="7" t="s">
        <v>40015</v>
      </c>
      <c r="B7189" s="8">
        <v>393.75</v>
      </c>
      <c r="C7189" s="8">
        <v>20.478950000000001</v>
      </c>
      <c r="D7189" s="8">
        <v>88</v>
      </c>
      <c r="E7189" s="8">
        <v>0</v>
      </c>
      <c r="F7189" s="8">
        <v>0</v>
      </c>
      <c r="G7189" s="8">
        <v>14</v>
      </c>
      <c r="H7189" s="8" t="s">
        <v>40016</v>
      </c>
      <c r="I7189" s="8">
        <v>526.5</v>
      </c>
      <c r="J7189" s="3">
        <f t="shared" si="112"/>
        <v>43748.992334618051</v>
      </c>
    </row>
    <row r="7190" spans="1:10" x14ac:dyDescent="0.25">
      <c r="A7190" s="5" t="s">
        <v>40017</v>
      </c>
      <c r="B7190" s="6">
        <v>393.75</v>
      </c>
      <c r="C7190" s="6">
        <v>20.478950000000001</v>
      </c>
      <c r="D7190" s="6">
        <v>85</v>
      </c>
      <c r="E7190" s="6">
        <v>0</v>
      </c>
      <c r="F7190" s="6">
        <v>0</v>
      </c>
      <c r="G7190" s="6">
        <v>23</v>
      </c>
      <c r="H7190" s="6" t="s">
        <v>40018</v>
      </c>
      <c r="I7190" s="6">
        <v>526.6875</v>
      </c>
      <c r="J7190" s="2">
        <f t="shared" si="112"/>
        <v>43748.992405775462</v>
      </c>
    </row>
    <row r="7191" spans="1:10" x14ac:dyDescent="0.25">
      <c r="A7191" s="7" t="s">
        <v>40019</v>
      </c>
      <c r="B7191" s="8">
        <v>393.75</v>
      </c>
      <c r="C7191" s="8">
        <v>20.478950000000001</v>
      </c>
      <c r="D7191" s="8">
        <v>86</v>
      </c>
      <c r="E7191" s="8">
        <v>0</v>
      </c>
      <c r="F7191" s="8">
        <v>0</v>
      </c>
      <c r="G7191" s="8">
        <v>10</v>
      </c>
      <c r="H7191" s="8" t="s">
        <v>40020</v>
      </c>
      <c r="I7191" s="8">
        <v>526.6875</v>
      </c>
      <c r="J7191" s="3">
        <f t="shared" si="112"/>
        <v>43748.992477812499</v>
      </c>
    </row>
    <row r="7192" spans="1:10" x14ac:dyDescent="0.25">
      <c r="A7192" s="5" t="s">
        <v>40021</v>
      </c>
      <c r="B7192" s="6">
        <v>412.5</v>
      </c>
      <c r="C7192" s="6">
        <v>20.478950000000001</v>
      </c>
      <c r="D7192" s="6">
        <v>87</v>
      </c>
      <c r="E7192" s="6">
        <v>0</v>
      </c>
      <c r="F7192" s="6">
        <v>0</v>
      </c>
      <c r="G7192" s="6">
        <v>9</v>
      </c>
      <c r="H7192" s="6" t="s">
        <v>40022</v>
      </c>
      <c r="I7192" s="6">
        <v>532.3125</v>
      </c>
      <c r="J7192" s="2">
        <f t="shared" si="112"/>
        <v>43748.992549247683</v>
      </c>
    </row>
    <row r="7193" spans="1:10" x14ac:dyDescent="0.25">
      <c r="A7193" s="7" t="s">
        <v>40023</v>
      </c>
      <c r="B7193" s="8">
        <v>393.75</v>
      </c>
      <c r="C7193" s="8">
        <v>20.478950000000001</v>
      </c>
      <c r="D7193" s="8">
        <v>87</v>
      </c>
      <c r="E7193" s="8">
        <v>0</v>
      </c>
      <c r="F7193" s="8">
        <v>0</v>
      </c>
      <c r="G7193" s="8">
        <v>15</v>
      </c>
      <c r="H7193" s="8" t="s">
        <v>40024</v>
      </c>
      <c r="I7193" s="8">
        <v>526.6875</v>
      </c>
      <c r="J7193" s="3">
        <f t="shared" si="112"/>
        <v>43748.99262060185</v>
      </c>
    </row>
    <row r="7194" spans="1:10" x14ac:dyDescent="0.25">
      <c r="A7194" s="5" t="s">
        <v>40025</v>
      </c>
      <c r="B7194" s="6">
        <v>393.75</v>
      </c>
      <c r="C7194" s="6">
        <v>20.478950000000001</v>
      </c>
      <c r="D7194" s="6">
        <v>87</v>
      </c>
      <c r="E7194" s="6">
        <v>0</v>
      </c>
      <c r="F7194" s="6">
        <v>0</v>
      </c>
      <c r="G7194" s="6">
        <v>5</v>
      </c>
      <c r="H7194" s="6" t="s">
        <v>40026</v>
      </c>
      <c r="I7194" s="6">
        <v>526.6875</v>
      </c>
      <c r="J7194" s="2">
        <f t="shared" si="112"/>
        <v>43748.992691874999</v>
      </c>
    </row>
    <row r="7195" spans="1:10" x14ac:dyDescent="0.25">
      <c r="A7195" s="7" t="s">
        <v>40027</v>
      </c>
      <c r="B7195" s="8">
        <v>393.75</v>
      </c>
      <c r="C7195" s="8">
        <v>20.478950000000001</v>
      </c>
      <c r="D7195" s="8">
        <v>86</v>
      </c>
      <c r="E7195" s="8">
        <v>0</v>
      </c>
      <c r="F7195" s="8">
        <v>0</v>
      </c>
      <c r="G7195" s="8">
        <v>6</v>
      </c>
      <c r="H7195" s="8" t="s">
        <v>40028</v>
      </c>
      <c r="I7195" s="8">
        <v>526.6875</v>
      </c>
      <c r="J7195" s="3">
        <f t="shared" si="112"/>
        <v>43748.992764120369</v>
      </c>
    </row>
    <row r="7196" spans="1:10" x14ac:dyDescent="0.25">
      <c r="A7196" s="5" t="s">
        <v>40029</v>
      </c>
      <c r="B7196" s="6">
        <v>415.625</v>
      </c>
      <c r="C7196" s="6">
        <v>20.478950000000001</v>
      </c>
      <c r="D7196" s="6">
        <v>86</v>
      </c>
      <c r="E7196" s="6">
        <v>0</v>
      </c>
      <c r="F7196" s="6">
        <v>0</v>
      </c>
      <c r="G7196" s="6">
        <v>18</v>
      </c>
      <c r="H7196" s="6" t="s">
        <v>40030</v>
      </c>
      <c r="I7196" s="6">
        <v>533.0625</v>
      </c>
      <c r="J7196" s="2">
        <f t="shared" si="112"/>
        <v>43748.992847453701</v>
      </c>
    </row>
    <row r="7197" spans="1:10" x14ac:dyDescent="0.25">
      <c r="A7197" s="7" t="s">
        <v>40031</v>
      </c>
      <c r="B7197" s="8">
        <v>393.75</v>
      </c>
      <c r="C7197" s="8">
        <v>20.478950000000001</v>
      </c>
      <c r="D7197" s="8">
        <v>86</v>
      </c>
      <c r="E7197" s="8">
        <v>0</v>
      </c>
      <c r="F7197" s="8">
        <v>0</v>
      </c>
      <c r="G7197" s="8">
        <v>14</v>
      </c>
      <c r="H7197" s="8" t="s">
        <v>40032</v>
      </c>
      <c r="I7197" s="8">
        <v>526.6875</v>
      </c>
      <c r="J7197" s="3">
        <f t="shared" si="112"/>
        <v>43748.992942824072</v>
      </c>
    </row>
    <row r="7198" spans="1:10" x14ac:dyDescent="0.25">
      <c r="A7198" s="5" t="s">
        <v>40033</v>
      </c>
      <c r="B7198" s="6">
        <v>412.5</v>
      </c>
      <c r="C7198" s="6">
        <v>20.478950000000001</v>
      </c>
      <c r="D7198" s="6">
        <v>89</v>
      </c>
      <c r="E7198" s="6">
        <v>0</v>
      </c>
      <c r="F7198" s="6">
        <v>0</v>
      </c>
      <c r="G7198" s="6">
        <v>9</v>
      </c>
      <c r="H7198" s="6" t="s">
        <v>40034</v>
      </c>
      <c r="I7198" s="6">
        <v>532.3125</v>
      </c>
      <c r="J7198" s="2">
        <f t="shared" si="112"/>
        <v>43748.99301410879</v>
      </c>
    </row>
    <row r="7199" spans="1:10" x14ac:dyDescent="0.25">
      <c r="A7199" s="7" t="s">
        <v>40035</v>
      </c>
      <c r="B7199" s="8">
        <v>393.75</v>
      </c>
      <c r="C7199" s="8">
        <v>20.478950000000001</v>
      </c>
      <c r="D7199" s="8">
        <v>89</v>
      </c>
      <c r="E7199" s="8">
        <v>0</v>
      </c>
      <c r="F7199" s="8">
        <v>0</v>
      </c>
      <c r="G7199" s="8">
        <v>12</v>
      </c>
      <c r="H7199" s="8" t="s">
        <v>40036</v>
      </c>
      <c r="I7199" s="8">
        <v>526.6875</v>
      </c>
      <c r="J7199" s="3">
        <f t="shared" si="112"/>
        <v>43748.993085405091</v>
      </c>
    </row>
    <row r="7200" spans="1:10" x14ac:dyDescent="0.25">
      <c r="A7200" s="5" t="s">
        <v>40037</v>
      </c>
      <c r="B7200" s="6">
        <v>393.75</v>
      </c>
      <c r="C7200" s="6">
        <v>20.478950000000001</v>
      </c>
      <c r="D7200" s="6">
        <v>90</v>
      </c>
      <c r="E7200" s="6">
        <v>0</v>
      </c>
      <c r="F7200" s="6">
        <v>0</v>
      </c>
      <c r="G7200" s="6">
        <v>12</v>
      </c>
      <c r="H7200" s="6" t="s">
        <v>40038</v>
      </c>
      <c r="I7200" s="6">
        <v>526.5</v>
      </c>
      <c r="J7200" s="2">
        <f t="shared" si="112"/>
        <v>43748.993169444446</v>
      </c>
    </row>
    <row r="7201" spans="1:10" x14ac:dyDescent="0.25">
      <c r="A7201" s="7" t="s">
        <v>40039</v>
      </c>
      <c r="B7201" s="8">
        <v>393.75</v>
      </c>
      <c r="C7201" s="8">
        <v>20.478950000000001</v>
      </c>
      <c r="D7201" s="8">
        <v>90</v>
      </c>
      <c r="E7201" s="8">
        <v>0</v>
      </c>
      <c r="F7201" s="8">
        <v>0</v>
      </c>
      <c r="G7201" s="8">
        <v>12</v>
      </c>
      <c r="H7201" s="8" t="s">
        <v>40040</v>
      </c>
      <c r="I7201" s="8">
        <v>526.6875</v>
      </c>
      <c r="J7201" s="3">
        <f t="shared" si="112"/>
        <v>43748.993240902775</v>
      </c>
    </row>
    <row r="7202" spans="1:10" x14ac:dyDescent="0.25">
      <c r="A7202" s="5" t="s">
        <v>40041</v>
      </c>
      <c r="B7202" s="6">
        <v>393.75</v>
      </c>
      <c r="C7202" s="6">
        <v>20.478950000000001</v>
      </c>
      <c r="D7202" s="6">
        <v>90</v>
      </c>
      <c r="E7202" s="6">
        <v>0</v>
      </c>
      <c r="F7202" s="6">
        <v>0</v>
      </c>
      <c r="G7202" s="6">
        <v>14</v>
      </c>
      <c r="H7202" s="6" t="s">
        <v>40042</v>
      </c>
      <c r="I7202" s="6">
        <v>526.6875</v>
      </c>
      <c r="J7202" s="2">
        <f t="shared" si="112"/>
        <v>43748.993312256942</v>
      </c>
    </row>
    <row r="7203" spans="1:10" x14ac:dyDescent="0.25">
      <c r="A7203" s="7" t="s">
        <v>40043</v>
      </c>
      <c r="B7203" s="8">
        <v>393.75</v>
      </c>
      <c r="C7203" s="8">
        <v>20.478950000000001</v>
      </c>
      <c r="D7203" s="8">
        <v>88</v>
      </c>
      <c r="E7203" s="8">
        <v>0</v>
      </c>
      <c r="F7203" s="8">
        <v>0</v>
      </c>
      <c r="G7203" s="8">
        <v>11</v>
      </c>
      <c r="H7203" s="8" t="s">
        <v>40044</v>
      </c>
      <c r="I7203" s="8">
        <v>526.6875</v>
      </c>
      <c r="J7203" s="3">
        <f t="shared" si="112"/>
        <v>43748.993395659716</v>
      </c>
    </row>
    <row r="7204" spans="1:10" x14ac:dyDescent="0.25">
      <c r="A7204" s="5" t="s">
        <v>40045</v>
      </c>
      <c r="B7204" s="6">
        <v>393.75</v>
      </c>
      <c r="C7204" s="6">
        <v>20.478950000000001</v>
      </c>
      <c r="D7204" s="6">
        <v>87</v>
      </c>
      <c r="E7204" s="6">
        <v>0</v>
      </c>
      <c r="F7204" s="6">
        <v>0</v>
      </c>
      <c r="G7204" s="6">
        <v>16</v>
      </c>
      <c r="H7204" s="6" t="s">
        <v>40046</v>
      </c>
      <c r="I7204" s="6">
        <v>526.6875</v>
      </c>
      <c r="J7204" s="2">
        <f t="shared" si="112"/>
        <v>43748.993467650456</v>
      </c>
    </row>
    <row r="7205" spans="1:10" x14ac:dyDescent="0.25">
      <c r="A7205" s="7" t="s">
        <v>40047</v>
      </c>
      <c r="B7205" s="8">
        <v>412.5</v>
      </c>
      <c r="C7205" s="8">
        <v>20.478950000000001</v>
      </c>
      <c r="D7205" s="8">
        <v>88</v>
      </c>
      <c r="E7205" s="8">
        <v>0</v>
      </c>
      <c r="F7205" s="8">
        <v>0</v>
      </c>
      <c r="G7205" s="8">
        <v>13</v>
      </c>
      <c r="H7205" s="8" t="s">
        <v>40048</v>
      </c>
      <c r="I7205" s="8">
        <v>532.125</v>
      </c>
      <c r="J7205" s="3">
        <f t="shared" si="112"/>
        <v>43748.993553125001</v>
      </c>
    </row>
    <row r="7206" spans="1:10" x14ac:dyDescent="0.25">
      <c r="A7206" s="5" t="s">
        <v>40049</v>
      </c>
      <c r="B7206" s="6">
        <v>393.75</v>
      </c>
      <c r="C7206" s="6">
        <v>20.478950000000001</v>
      </c>
      <c r="D7206" s="6">
        <v>88</v>
      </c>
      <c r="E7206" s="6">
        <v>0</v>
      </c>
      <c r="F7206" s="6">
        <v>0</v>
      </c>
      <c r="G7206" s="6">
        <v>11</v>
      </c>
      <c r="H7206" s="6" t="s">
        <v>40050</v>
      </c>
      <c r="I7206" s="6">
        <v>526.6875</v>
      </c>
      <c r="J7206" s="2">
        <f t="shared" si="112"/>
        <v>43748.99363394676</v>
      </c>
    </row>
    <row r="7207" spans="1:10" x14ac:dyDescent="0.25">
      <c r="A7207" s="7" t="s">
        <v>40051</v>
      </c>
      <c r="B7207" s="8">
        <v>393.75</v>
      </c>
      <c r="C7207" s="8">
        <v>20.478950000000001</v>
      </c>
      <c r="D7207" s="8">
        <v>85</v>
      </c>
      <c r="E7207" s="8">
        <v>0</v>
      </c>
      <c r="F7207" s="8">
        <v>0</v>
      </c>
      <c r="G7207" s="8">
        <v>9</v>
      </c>
      <c r="H7207" s="8" t="s">
        <v>40052</v>
      </c>
      <c r="I7207" s="8">
        <v>526.6875</v>
      </c>
      <c r="J7207" s="3">
        <f t="shared" si="112"/>
        <v>43748.993705763882</v>
      </c>
    </row>
    <row r="7208" spans="1:10" x14ac:dyDescent="0.25">
      <c r="A7208" s="5" t="s">
        <v>40053</v>
      </c>
      <c r="B7208" s="6">
        <v>393.75</v>
      </c>
      <c r="C7208" s="6">
        <v>20.478950000000001</v>
      </c>
      <c r="D7208" s="6">
        <v>85</v>
      </c>
      <c r="E7208" s="6">
        <v>0</v>
      </c>
      <c r="F7208" s="6">
        <v>0</v>
      </c>
      <c r="G7208" s="6">
        <v>6</v>
      </c>
      <c r="H7208" s="6" t="s">
        <v>40054</v>
      </c>
      <c r="I7208" s="6">
        <v>526.6875</v>
      </c>
      <c r="J7208" s="2">
        <f t="shared" si="112"/>
        <v>43748.993777118048</v>
      </c>
    </row>
    <row r="7209" spans="1:10" x14ac:dyDescent="0.25">
      <c r="A7209" s="7" t="s">
        <v>40055</v>
      </c>
      <c r="B7209" s="8">
        <v>393.75</v>
      </c>
      <c r="C7209" s="8">
        <v>20.478950000000001</v>
      </c>
      <c r="D7209" s="8">
        <v>85</v>
      </c>
      <c r="E7209" s="8">
        <v>0</v>
      </c>
      <c r="F7209" s="8">
        <v>0</v>
      </c>
      <c r="G7209" s="8">
        <v>4</v>
      </c>
      <c r="H7209" s="8" t="s">
        <v>40056</v>
      </c>
      <c r="I7209" s="8">
        <v>526.6875</v>
      </c>
      <c r="J7209" s="3">
        <f t="shared" si="112"/>
        <v>43748.993849305552</v>
      </c>
    </row>
    <row r="7210" spans="1:10" x14ac:dyDescent="0.25">
      <c r="A7210" s="5" t="s">
        <v>40057</v>
      </c>
      <c r="B7210" s="6">
        <v>393.75</v>
      </c>
      <c r="C7210" s="6">
        <v>20.478950000000001</v>
      </c>
      <c r="D7210" s="6">
        <v>82</v>
      </c>
      <c r="E7210" s="6">
        <v>0</v>
      </c>
      <c r="F7210" s="6">
        <v>0</v>
      </c>
      <c r="G7210" s="6">
        <v>7</v>
      </c>
      <c r="H7210" s="6" t="s">
        <v>40058</v>
      </c>
      <c r="I7210" s="6">
        <v>526.5</v>
      </c>
      <c r="J7210" s="2">
        <f t="shared" si="112"/>
        <v>43748.993920601853</v>
      </c>
    </row>
    <row r="7211" spans="1:10" x14ac:dyDescent="0.25">
      <c r="A7211" s="7" t="s">
        <v>40059</v>
      </c>
      <c r="B7211" s="8">
        <v>393.75</v>
      </c>
      <c r="C7211" s="8">
        <v>20.478950000000001</v>
      </c>
      <c r="D7211" s="8">
        <v>82</v>
      </c>
      <c r="E7211" s="8">
        <v>0</v>
      </c>
      <c r="F7211" s="8">
        <v>0</v>
      </c>
      <c r="G7211" s="8">
        <v>11</v>
      </c>
      <c r="H7211" s="8" t="s">
        <v>40060</v>
      </c>
      <c r="I7211" s="8">
        <v>526.6875</v>
      </c>
      <c r="J7211" s="3">
        <f t="shared" si="112"/>
        <v>43748.993991886571</v>
      </c>
    </row>
    <row r="7212" spans="1:10" x14ac:dyDescent="0.25">
      <c r="A7212" s="5" t="s">
        <v>40061</v>
      </c>
      <c r="B7212" s="6">
        <v>393.75</v>
      </c>
      <c r="C7212" s="6">
        <v>20.478950000000001</v>
      </c>
      <c r="D7212" s="6">
        <v>84</v>
      </c>
      <c r="E7212" s="6">
        <v>0</v>
      </c>
      <c r="F7212" s="6">
        <v>0</v>
      </c>
      <c r="G7212" s="6">
        <v>8</v>
      </c>
      <c r="H7212" s="6" t="s">
        <v>40062</v>
      </c>
      <c r="I7212" s="6">
        <v>526.6875</v>
      </c>
      <c r="J7212" s="2">
        <f t="shared" si="112"/>
        <v>43748.994063923608</v>
      </c>
    </row>
    <row r="7213" spans="1:10" x14ac:dyDescent="0.25">
      <c r="A7213" s="7" t="s">
        <v>40063</v>
      </c>
      <c r="B7213" s="8">
        <v>393.75</v>
      </c>
      <c r="C7213" s="8">
        <v>20.478950000000001</v>
      </c>
      <c r="D7213" s="8">
        <v>84</v>
      </c>
      <c r="E7213" s="8">
        <v>0</v>
      </c>
      <c r="F7213" s="8">
        <v>0</v>
      </c>
      <c r="G7213" s="8">
        <v>13</v>
      </c>
      <c r="H7213" s="8" t="s">
        <v>40064</v>
      </c>
      <c r="I7213" s="8">
        <v>526.6875</v>
      </c>
      <c r="J7213" s="3">
        <f t="shared" si="112"/>
        <v>43748.994135428242</v>
      </c>
    </row>
    <row r="7214" spans="1:10" x14ac:dyDescent="0.25">
      <c r="A7214" s="5" t="s">
        <v>40065</v>
      </c>
      <c r="B7214" s="6">
        <v>393.75</v>
      </c>
      <c r="C7214" s="6">
        <v>20.478950000000001</v>
      </c>
      <c r="D7214" s="6">
        <v>84</v>
      </c>
      <c r="E7214" s="6">
        <v>0</v>
      </c>
      <c r="F7214" s="6">
        <v>0</v>
      </c>
      <c r="G7214" s="6">
        <v>5</v>
      </c>
      <c r="H7214" s="6" t="s">
        <v>40066</v>
      </c>
      <c r="I7214" s="6">
        <v>526.6875</v>
      </c>
      <c r="J7214" s="2">
        <f t="shared" si="112"/>
        <v>43748.994206689815</v>
      </c>
    </row>
    <row r="7215" spans="1:10" x14ac:dyDescent="0.25">
      <c r="A7215" s="7" t="s">
        <v>40067</v>
      </c>
      <c r="B7215" s="8">
        <v>393.75</v>
      </c>
      <c r="C7215" s="8">
        <v>20.478950000000001</v>
      </c>
      <c r="D7215" s="8">
        <v>84</v>
      </c>
      <c r="E7215" s="8">
        <v>0</v>
      </c>
      <c r="F7215" s="8">
        <v>0</v>
      </c>
      <c r="G7215" s="8">
        <v>13</v>
      </c>
      <c r="H7215" s="8" t="s">
        <v>40068</v>
      </c>
      <c r="I7215" s="8">
        <v>526.6875</v>
      </c>
      <c r="J7215" s="3">
        <f t="shared" si="112"/>
        <v>43748.994277986109</v>
      </c>
    </row>
    <row r="7216" spans="1:10" x14ac:dyDescent="0.25">
      <c r="A7216" s="5" t="s">
        <v>40069</v>
      </c>
      <c r="B7216" s="6">
        <v>412.5</v>
      </c>
      <c r="C7216" s="6">
        <v>20.478950000000001</v>
      </c>
      <c r="D7216" s="6">
        <v>83</v>
      </c>
      <c r="E7216" s="6">
        <v>0</v>
      </c>
      <c r="F7216" s="6">
        <v>0</v>
      </c>
      <c r="G7216" s="6">
        <v>4</v>
      </c>
      <c r="H7216" s="6" t="s">
        <v>40070</v>
      </c>
      <c r="I7216" s="6">
        <v>532.6875</v>
      </c>
      <c r="J7216" s="2">
        <f t="shared" si="112"/>
        <v>43748.994350231478</v>
      </c>
    </row>
    <row r="7217" spans="1:10" x14ac:dyDescent="0.25">
      <c r="A7217" s="7" t="s">
        <v>40071</v>
      </c>
      <c r="B7217" s="8">
        <v>393.75</v>
      </c>
      <c r="C7217" s="8">
        <v>20.478950000000001</v>
      </c>
      <c r="D7217" s="8">
        <v>88</v>
      </c>
      <c r="E7217" s="8">
        <v>0</v>
      </c>
      <c r="F7217" s="8">
        <v>0</v>
      </c>
      <c r="G7217" s="8">
        <v>4</v>
      </c>
      <c r="H7217" s="8" t="s">
        <v>40072</v>
      </c>
      <c r="I7217" s="8">
        <v>526.6875</v>
      </c>
      <c r="J7217" s="3">
        <f t="shared" si="112"/>
        <v>43748.994421527772</v>
      </c>
    </row>
    <row r="7218" spans="1:10" x14ac:dyDescent="0.25">
      <c r="A7218" s="5" t="s">
        <v>40073</v>
      </c>
      <c r="B7218" s="6">
        <v>393.75</v>
      </c>
      <c r="C7218" s="6">
        <v>20.478950000000001</v>
      </c>
      <c r="D7218" s="6">
        <v>87</v>
      </c>
      <c r="E7218" s="6">
        <v>0</v>
      </c>
      <c r="F7218" s="6">
        <v>0</v>
      </c>
      <c r="G7218" s="6">
        <v>3</v>
      </c>
      <c r="H7218" s="6" t="s">
        <v>40074</v>
      </c>
      <c r="I7218" s="6">
        <v>526.5</v>
      </c>
      <c r="J7218" s="2">
        <f t="shared" si="112"/>
        <v>43748.994517962965</v>
      </c>
    </row>
    <row r="7219" spans="1:10" x14ac:dyDescent="0.25">
      <c r="A7219" s="7" t="s">
        <v>40075</v>
      </c>
      <c r="B7219" s="8">
        <v>393.75</v>
      </c>
      <c r="C7219" s="8">
        <v>20.478950000000001</v>
      </c>
      <c r="D7219" s="8">
        <v>87</v>
      </c>
      <c r="E7219" s="8">
        <v>0</v>
      </c>
      <c r="F7219" s="8">
        <v>0</v>
      </c>
      <c r="G7219" s="8">
        <v>6</v>
      </c>
      <c r="H7219" s="8" t="s">
        <v>40076</v>
      </c>
      <c r="I7219" s="8">
        <v>526.6875</v>
      </c>
      <c r="J7219" s="3">
        <f t="shared" si="112"/>
        <v>43748.994600196755</v>
      </c>
    </row>
    <row r="7220" spans="1:10" x14ac:dyDescent="0.25">
      <c r="A7220" s="5" t="s">
        <v>40077</v>
      </c>
      <c r="B7220" s="6">
        <v>393.75</v>
      </c>
      <c r="C7220" s="6">
        <v>20.478950000000001</v>
      </c>
      <c r="D7220" s="6">
        <v>87</v>
      </c>
      <c r="E7220" s="6">
        <v>0</v>
      </c>
      <c r="F7220" s="6">
        <v>0</v>
      </c>
      <c r="G7220" s="6">
        <v>11</v>
      </c>
      <c r="H7220" s="6" t="s">
        <v>40078</v>
      </c>
      <c r="I7220" s="6">
        <v>526.6875</v>
      </c>
      <c r="J7220" s="2">
        <f t="shared" si="112"/>
        <v>43748.994671550921</v>
      </c>
    </row>
    <row r="7221" spans="1:10" x14ac:dyDescent="0.25">
      <c r="A7221" s="7" t="s">
        <v>40079</v>
      </c>
      <c r="B7221" s="8">
        <v>393.75</v>
      </c>
      <c r="C7221" s="8">
        <v>20.478950000000001</v>
      </c>
      <c r="D7221" s="8">
        <v>87</v>
      </c>
      <c r="E7221" s="8">
        <v>0</v>
      </c>
      <c r="F7221" s="8">
        <v>0</v>
      </c>
      <c r="G7221" s="8">
        <v>7</v>
      </c>
      <c r="H7221" s="8" t="s">
        <v>40080</v>
      </c>
      <c r="I7221" s="8">
        <v>526.6875</v>
      </c>
      <c r="J7221" s="3">
        <f t="shared" si="112"/>
        <v>43748.994743738425</v>
      </c>
    </row>
    <row r="7222" spans="1:10" x14ac:dyDescent="0.25">
      <c r="A7222" s="5" t="s">
        <v>40081</v>
      </c>
      <c r="B7222" s="6">
        <v>412.5</v>
      </c>
      <c r="C7222" s="6">
        <v>20.478950000000001</v>
      </c>
      <c r="D7222" s="6">
        <v>87</v>
      </c>
      <c r="E7222" s="6">
        <v>0</v>
      </c>
      <c r="F7222" s="6">
        <v>0</v>
      </c>
      <c r="G7222" s="6">
        <v>16</v>
      </c>
      <c r="H7222" s="6" t="s">
        <v>40082</v>
      </c>
      <c r="I7222" s="6">
        <v>532.6875</v>
      </c>
      <c r="J7222" s="2">
        <f t="shared" si="112"/>
        <v>43748.994814618054</v>
      </c>
    </row>
    <row r="7223" spans="1:10" x14ac:dyDescent="0.25">
      <c r="A7223" s="7" t="s">
        <v>40083</v>
      </c>
      <c r="B7223" s="8">
        <v>393.75</v>
      </c>
      <c r="C7223" s="8">
        <v>20.478950000000001</v>
      </c>
      <c r="D7223" s="8">
        <v>86</v>
      </c>
      <c r="E7223" s="8">
        <v>0</v>
      </c>
      <c r="F7223" s="8">
        <v>0</v>
      </c>
      <c r="G7223" s="8">
        <v>4</v>
      </c>
      <c r="H7223" s="8" t="s">
        <v>40084</v>
      </c>
      <c r="I7223" s="8">
        <v>526.6875</v>
      </c>
      <c r="J7223" s="3">
        <f t="shared" si="112"/>
        <v>43748.994886319437</v>
      </c>
    </row>
    <row r="7224" spans="1:10" x14ac:dyDescent="0.25">
      <c r="A7224" s="5" t="s">
        <v>40085</v>
      </c>
      <c r="B7224" s="6">
        <v>393.75</v>
      </c>
      <c r="C7224" s="6">
        <v>20.478950000000001</v>
      </c>
      <c r="D7224" s="6">
        <v>85</v>
      </c>
      <c r="E7224" s="6">
        <v>0</v>
      </c>
      <c r="F7224" s="6">
        <v>0</v>
      </c>
      <c r="G7224" s="6">
        <v>5</v>
      </c>
      <c r="H7224" s="6" t="s">
        <v>40086</v>
      </c>
      <c r="I7224" s="6">
        <v>526.5</v>
      </c>
      <c r="J7224" s="2">
        <f t="shared" si="112"/>
        <v>43748.994958356481</v>
      </c>
    </row>
    <row r="7225" spans="1:10" x14ac:dyDescent="0.25">
      <c r="A7225" s="7" t="s">
        <v>40087</v>
      </c>
      <c r="B7225" s="8">
        <v>393.75</v>
      </c>
      <c r="C7225" s="8">
        <v>20.478950000000001</v>
      </c>
      <c r="D7225" s="8">
        <v>85</v>
      </c>
      <c r="E7225" s="8">
        <v>0</v>
      </c>
      <c r="F7225" s="8">
        <v>0</v>
      </c>
      <c r="G7225" s="8">
        <v>7</v>
      </c>
      <c r="H7225" s="8" t="s">
        <v>40088</v>
      </c>
      <c r="I7225" s="8">
        <v>526.6875</v>
      </c>
      <c r="J7225" s="3">
        <f t="shared" si="112"/>
        <v>43748.995029837963</v>
      </c>
    </row>
    <row r="7226" spans="1:10" x14ac:dyDescent="0.25">
      <c r="A7226" s="5" t="s">
        <v>40089</v>
      </c>
      <c r="B7226" s="6">
        <v>393.75</v>
      </c>
      <c r="C7226" s="6">
        <v>20.478950000000001</v>
      </c>
      <c r="D7226" s="6">
        <v>85</v>
      </c>
      <c r="E7226" s="6">
        <v>0</v>
      </c>
      <c r="F7226" s="6">
        <v>0</v>
      </c>
      <c r="G7226" s="6">
        <v>9</v>
      </c>
      <c r="H7226" s="6" t="s">
        <v>40090</v>
      </c>
      <c r="I7226" s="6">
        <v>526.6875</v>
      </c>
      <c r="J7226" s="2">
        <f t="shared" si="112"/>
        <v>43748.995101111104</v>
      </c>
    </row>
    <row r="7227" spans="1:10" x14ac:dyDescent="0.25">
      <c r="A7227" s="7" t="s">
        <v>40091</v>
      </c>
      <c r="B7227" s="8">
        <v>393.75</v>
      </c>
      <c r="C7227" s="8">
        <v>20.478950000000001</v>
      </c>
      <c r="D7227" s="8">
        <v>84</v>
      </c>
      <c r="E7227" s="8">
        <v>0</v>
      </c>
      <c r="F7227" s="8">
        <v>0</v>
      </c>
      <c r="G7227" s="8">
        <v>8</v>
      </c>
      <c r="H7227" s="8" t="s">
        <v>40092</v>
      </c>
      <c r="I7227" s="8">
        <v>526.6875</v>
      </c>
      <c r="J7227" s="3">
        <f t="shared" si="112"/>
        <v>43748.995172418981</v>
      </c>
    </row>
    <row r="7228" spans="1:10" x14ac:dyDescent="0.25">
      <c r="A7228" s="5" t="s">
        <v>40093</v>
      </c>
      <c r="B7228" s="6">
        <v>393.75</v>
      </c>
      <c r="C7228" s="6">
        <v>20.478950000000001</v>
      </c>
      <c r="D7228" s="6">
        <v>79</v>
      </c>
      <c r="E7228" s="6">
        <v>0</v>
      </c>
      <c r="F7228" s="6">
        <v>0</v>
      </c>
      <c r="G7228" s="6">
        <v>13</v>
      </c>
      <c r="H7228" s="6" t="s">
        <v>40094</v>
      </c>
      <c r="I7228" s="6">
        <v>526.5</v>
      </c>
      <c r="J7228" s="2">
        <f t="shared" si="112"/>
        <v>43748.995244641199</v>
      </c>
    </row>
    <row r="7229" spans="1:10" x14ac:dyDescent="0.25">
      <c r="A7229" s="7" t="s">
        <v>40095</v>
      </c>
      <c r="B7229" s="8">
        <v>393.75</v>
      </c>
      <c r="C7229" s="8">
        <v>20.478950000000001</v>
      </c>
      <c r="D7229" s="8">
        <v>79</v>
      </c>
      <c r="E7229" s="8">
        <v>0</v>
      </c>
      <c r="F7229" s="8">
        <v>0</v>
      </c>
      <c r="G7229" s="8">
        <v>8</v>
      </c>
      <c r="H7229" s="8" t="s">
        <v>40096</v>
      </c>
      <c r="I7229" s="8">
        <v>526.6875</v>
      </c>
      <c r="J7229" s="3">
        <f t="shared" si="112"/>
        <v>43748.995315937493</v>
      </c>
    </row>
    <row r="7230" spans="1:10" x14ac:dyDescent="0.25">
      <c r="A7230" s="5" t="s">
        <v>40097</v>
      </c>
      <c r="B7230" s="6">
        <v>393.75</v>
      </c>
      <c r="C7230" s="6">
        <v>20.478950000000001</v>
      </c>
      <c r="D7230" s="6">
        <v>79</v>
      </c>
      <c r="E7230" s="6">
        <v>0</v>
      </c>
      <c r="F7230" s="6">
        <v>0</v>
      </c>
      <c r="G7230" s="6">
        <v>13</v>
      </c>
      <c r="H7230" s="6" t="s">
        <v>40098</v>
      </c>
      <c r="I7230" s="6">
        <v>526.6875</v>
      </c>
      <c r="J7230" s="2">
        <f t="shared" si="112"/>
        <v>43748.995387233794</v>
      </c>
    </row>
    <row r="7231" spans="1:10" x14ac:dyDescent="0.25">
      <c r="A7231" s="7" t="s">
        <v>40099</v>
      </c>
      <c r="B7231" s="8">
        <v>393.75</v>
      </c>
      <c r="C7231" s="8">
        <v>20.478950000000001</v>
      </c>
      <c r="D7231" s="8">
        <v>79</v>
      </c>
      <c r="E7231" s="8">
        <v>0</v>
      </c>
      <c r="F7231" s="8">
        <v>0</v>
      </c>
      <c r="G7231" s="8">
        <v>13</v>
      </c>
      <c r="H7231" s="8" t="s">
        <v>40100</v>
      </c>
      <c r="I7231" s="8">
        <v>526.6875</v>
      </c>
      <c r="J7231" s="3">
        <f t="shared" si="112"/>
        <v>43748.99545923611</v>
      </c>
    </row>
    <row r="7232" spans="1:10" x14ac:dyDescent="0.25">
      <c r="A7232" s="5" t="s">
        <v>40101</v>
      </c>
      <c r="B7232" s="6">
        <v>393.75</v>
      </c>
      <c r="C7232" s="6">
        <v>20.478950000000001</v>
      </c>
      <c r="D7232" s="6">
        <v>80</v>
      </c>
      <c r="E7232" s="6">
        <v>0</v>
      </c>
      <c r="F7232" s="6">
        <v>0</v>
      </c>
      <c r="G7232" s="6">
        <v>10</v>
      </c>
      <c r="H7232" s="6" t="s">
        <v>40102</v>
      </c>
      <c r="I7232" s="6">
        <v>526.5</v>
      </c>
      <c r="J7232" s="2">
        <f t="shared" si="112"/>
        <v>43748.995530706015</v>
      </c>
    </row>
    <row r="7233" spans="1:10" x14ac:dyDescent="0.25">
      <c r="A7233" s="7" t="s">
        <v>40103</v>
      </c>
      <c r="B7233" s="8">
        <v>393.75</v>
      </c>
      <c r="C7233" s="8">
        <v>20.478950000000001</v>
      </c>
      <c r="D7233" s="8">
        <v>80</v>
      </c>
      <c r="E7233" s="8">
        <v>0</v>
      </c>
      <c r="F7233" s="8">
        <v>0</v>
      </c>
      <c r="G7233" s="8">
        <v>8</v>
      </c>
      <c r="H7233" s="8" t="s">
        <v>40104</v>
      </c>
      <c r="I7233" s="8">
        <v>526.6875</v>
      </c>
      <c r="J7233" s="3">
        <f t="shared" si="112"/>
        <v>43748.995601875002</v>
      </c>
    </row>
    <row r="7234" spans="1:10" x14ac:dyDescent="0.25">
      <c r="A7234" s="5" t="s">
        <v>40105</v>
      </c>
      <c r="B7234" s="6">
        <v>393.75</v>
      </c>
      <c r="C7234" s="6">
        <v>20.478950000000001</v>
      </c>
      <c r="D7234" s="6">
        <v>81</v>
      </c>
      <c r="E7234" s="6">
        <v>0</v>
      </c>
      <c r="F7234" s="6">
        <v>0</v>
      </c>
      <c r="G7234" s="6">
        <v>5</v>
      </c>
      <c r="H7234" s="6" t="s">
        <v>40106</v>
      </c>
      <c r="I7234" s="6">
        <v>526.6875</v>
      </c>
      <c r="J7234" s="2">
        <f t="shared" ref="J7234:J7297" si="113">(H7234/86400000)+25569+(7/24)</f>
        <v>43748.995685381939</v>
      </c>
    </row>
    <row r="7235" spans="1:10" x14ac:dyDescent="0.25">
      <c r="A7235" s="7" t="s">
        <v>40107</v>
      </c>
      <c r="B7235" s="8">
        <v>393.75</v>
      </c>
      <c r="C7235" s="8">
        <v>20.478950000000001</v>
      </c>
      <c r="D7235" s="8">
        <v>81</v>
      </c>
      <c r="E7235" s="8">
        <v>0</v>
      </c>
      <c r="F7235" s="8">
        <v>0</v>
      </c>
      <c r="G7235" s="8">
        <v>7</v>
      </c>
      <c r="H7235" s="8" t="s">
        <v>40108</v>
      </c>
      <c r="I7235" s="8">
        <v>526.6875</v>
      </c>
      <c r="J7235" s="3">
        <f t="shared" si="113"/>
        <v>43748.995757384262</v>
      </c>
    </row>
    <row r="7236" spans="1:10" x14ac:dyDescent="0.25">
      <c r="A7236" s="5" t="s">
        <v>40109</v>
      </c>
      <c r="B7236" s="6">
        <v>393.75</v>
      </c>
      <c r="C7236" s="6">
        <v>20.478950000000001</v>
      </c>
      <c r="D7236" s="6">
        <v>81</v>
      </c>
      <c r="E7236" s="6">
        <v>0</v>
      </c>
      <c r="F7236" s="6">
        <v>0</v>
      </c>
      <c r="G7236" s="6">
        <v>5</v>
      </c>
      <c r="H7236" s="6" t="s">
        <v>40110</v>
      </c>
      <c r="I7236" s="6">
        <v>526.6875</v>
      </c>
      <c r="J7236" s="2">
        <f t="shared" si="113"/>
        <v>43748.995828912033</v>
      </c>
    </row>
    <row r="7237" spans="1:10" x14ac:dyDescent="0.25">
      <c r="A7237" s="7" t="s">
        <v>40111</v>
      </c>
      <c r="B7237" s="8">
        <v>393.75</v>
      </c>
      <c r="C7237" s="8">
        <v>20.478950000000001</v>
      </c>
      <c r="D7237" s="8">
        <v>82</v>
      </c>
      <c r="E7237" s="8">
        <v>0</v>
      </c>
      <c r="F7237" s="8">
        <v>0</v>
      </c>
      <c r="G7237" s="8">
        <v>4</v>
      </c>
      <c r="H7237" s="8" t="s">
        <v>40112</v>
      </c>
      <c r="I7237" s="8">
        <v>526.6875</v>
      </c>
      <c r="J7237" s="3">
        <f t="shared" si="113"/>
        <v>43748.995900208327</v>
      </c>
    </row>
    <row r="7238" spans="1:10" x14ac:dyDescent="0.25">
      <c r="A7238" s="5" t="s">
        <v>40113</v>
      </c>
      <c r="B7238" s="6">
        <v>412.5</v>
      </c>
      <c r="C7238" s="6">
        <v>20.478950000000001</v>
      </c>
      <c r="D7238" s="6">
        <v>82</v>
      </c>
      <c r="E7238" s="6">
        <v>0</v>
      </c>
      <c r="F7238" s="6">
        <v>0</v>
      </c>
      <c r="G7238" s="6">
        <v>11</v>
      </c>
      <c r="H7238" s="6" t="s">
        <v>40114</v>
      </c>
      <c r="I7238" s="6">
        <v>532.5</v>
      </c>
      <c r="J7238" s="2">
        <f t="shared" si="113"/>
        <v>43748.995983530091</v>
      </c>
    </row>
    <row r="7239" spans="1:10" x14ac:dyDescent="0.25">
      <c r="A7239" s="7" t="s">
        <v>40115</v>
      </c>
      <c r="B7239" s="8">
        <v>393.75</v>
      </c>
      <c r="C7239" s="8">
        <v>20.478950000000001</v>
      </c>
      <c r="D7239" s="8">
        <v>84</v>
      </c>
      <c r="E7239" s="8">
        <v>0</v>
      </c>
      <c r="F7239" s="8">
        <v>0</v>
      </c>
      <c r="G7239" s="8">
        <v>9</v>
      </c>
      <c r="H7239" s="8" t="s">
        <v>40116</v>
      </c>
      <c r="I7239" s="8">
        <v>526.6875</v>
      </c>
      <c r="J7239" s="3">
        <f t="shared" si="113"/>
        <v>43748.996054884257</v>
      </c>
    </row>
    <row r="7240" spans="1:10" x14ac:dyDescent="0.25">
      <c r="A7240" s="5" t="s">
        <v>40117</v>
      </c>
      <c r="B7240" s="6">
        <v>393.75</v>
      </c>
      <c r="C7240" s="6">
        <v>20.478950000000001</v>
      </c>
      <c r="D7240" s="6">
        <v>82</v>
      </c>
      <c r="E7240" s="6">
        <v>0</v>
      </c>
      <c r="F7240" s="6">
        <v>0</v>
      </c>
      <c r="G7240" s="6">
        <v>19</v>
      </c>
      <c r="H7240" s="6" t="s">
        <v>40118</v>
      </c>
      <c r="I7240" s="6">
        <v>526.6875</v>
      </c>
      <c r="J7240" s="2">
        <f t="shared" si="113"/>
        <v>43748.996127048609</v>
      </c>
    </row>
    <row r="7241" spans="1:10" x14ac:dyDescent="0.25">
      <c r="A7241" s="7" t="s">
        <v>40119</v>
      </c>
      <c r="B7241" s="8">
        <v>393.75</v>
      </c>
      <c r="C7241" s="8">
        <v>20.478950000000001</v>
      </c>
      <c r="D7241" s="8">
        <v>79</v>
      </c>
      <c r="E7241" s="8">
        <v>0</v>
      </c>
      <c r="F7241" s="8">
        <v>0</v>
      </c>
      <c r="G7241" s="8">
        <v>9</v>
      </c>
      <c r="H7241" s="8" t="s">
        <v>40120</v>
      </c>
      <c r="I7241" s="8">
        <v>526.6875</v>
      </c>
      <c r="J7241" s="3">
        <f t="shared" si="113"/>
        <v>43748.996198310182</v>
      </c>
    </row>
    <row r="7242" spans="1:10" x14ac:dyDescent="0.25">
      <c r="A7242" s="5" t="s">
        <v>40121</v>
      </c>
      <c r="B7242" s="6">
        <v>425</v>
      </c>
      <c r="C7242" s="6">
        <v>20.478950000000001</v>
      </c>
      <c r="D7242" s="6">
        <v>79</v>
      </c>
      <c r="E7242" s="6">
        <v>0</v>
      </c>
      <c r="F7242" s="6">
        <v>0</v>
      </c>
      <c r="G7242" s="6">
        <v>7</v>
      </c>
      <c r="H7242" s="6" t="s">
        <v>40122</v>
      </c>
      <c r="I7242" s="6">
        <v>536.25</v>
      </c>
      <c r="J7242" s="2">
        <f t="shared" si="113"/>
        <v>43748.996269675925</v>
      </c>
    </row>
    <row r="7243" spans="1:10" x14ac:dyDescent="0.25">
      <c r="A7243" s="7" t="s">
        <v>40123</v>
      </c>
      <c r="B7243" s="8">
        <v>393.75</v>
      </c>
      <c r="C7243" s="8">
        <v>20.478950000000001</v>
      </c>
      <c r="D7243" s="8">
        <v>80</v>
      </c>
      <c r="E7243" s="8">
        <v>0</v>
      </c>
      <c r="F7243" s="8">
        <v>0</v>
      </c>
      <c r="G7243" s="8">
        <v>9</v>
      </c>
      <c r="H7243" s="8" t="s">
        <v>40124</v>
      </c>
      <c r="I7243" s="8">
        <v>526.6875</v>
      </c>
      <c r="J7243" s="3">
        <f t="shared" si="113"/>
        <v>43748.99634179398</v>
      </c>
    </row>
    <row r="7244" spans="1:10" x14ac:dyDescent="0.25">
      <c r="A7244" s="5" t="s">
        <v>40125</v>
      </c>
      <c r="B7244" s="6">
        <v>393.75</v>
      </c>
      <c r="C7244" s="6">
        <v>20.478950000000001</v>
      </c>
      <c r="D7244" s="6">
        <v>81</v>
      </c>
      <c r="E7244" s="6">
        <v>0</v>
      </c>
      <c r="F7244" s="6">
        <v>0</v>
      </c>
      <c r="G7244" s="6">
        <v>14</v>
      </c>
      <c r="H7244" s="6" t="s">
        <v>40126</v>
      </c>
      <c r="I7244" s="6">
        <v>526.5</v>
      </c>
      <c r="J7244" s="2">
        <f t="shared" si="113"/>
        <v>43748.996416712958</v>
      </c>
    </row>
    <row r="7245" spans="1:10" x14ac:dyDescent="0.25">
      <c r="A7245" s="7" t="s">
        <v>40127</v>
      </c>
      <c r="B7245" s="8">
        <v>393.75</v>
      </c>
      <c r="C7245" s="8">
        <v>20.478950000000001</v>
      </c>
      <c r="D7245" s="8">
        <v>81</v>
      </c>
      <c r="E7245" s="8">
        <v>0</v>
      </c>
      <c r="F7245" s="8">
        <v>0</v>
      </c>
      <c r="G7245" s="8">
        <v>21</v>
      </c>
      <c r="H7245" s="8" t="s">
        <v>40128</v>
      </c>
      <c r="I7245" s="8">
        <v>526.6875</v>
      </c>
      <c r="J7245" s="3">
        <f t="shared" si="113"/>
        <v>43748.9964965162</v>
      </c>
    </row>
    <row r="7246" spans="1:10" x14ac:dyDescent="0.25">
      <c r="A7246" s="5" t="s">
        <v>40129</v>
      </c>
      <c r="B7246" s="6">
        <v>393.75</v>
      </c>
      <c r="C7246" s="6">
        <v>20.478950000000001</v>
      </c>
      <c r="D7246" s="6">
        <v>80</v>
      </c>
      <c r="E7246" s="6">
        <v>0</v>
      </c>
      <c r="F7246" s="6">
        <v>0</v>
      </c>
      <c r="G7246" s="6">
        <v>13</v>
      </c>
      <c r="H7246" s="6" t="s">
        <v>40130</v>
      </c>
      <c r="I7246" s="6">
        <v>526.6875</v>
      </c>
      <c r="J7246" s="2">
        <f t="shared" si="113"/>
        <v>43748.996567800925</v>
      </c>
    </row>
    <row r="7247" spans="1:10" x14ac:dyDescent="0.25">
      <c r="A7247" s="7" t="s">
        <v>40131</v>
      </c>
      <c r="B7247" s="8">
        <v>393.75</v>
      </c>
      <c r="C7247" s="8">
        <v>20.478950000000001</v>
      </c>
      <c r="D7247" s="8">
        <v>80</v>
      </c>
      <c r="E7247" s="8">
        <v>0</v>
      </c>
      <c r="F7247" s="8">
        <v>0</v>
      </c>
      <c r="G7247" s="8">
        <v>7</v>
      </c>
      <c r="H7247" s="8" t="s">
        <v>40132</v>
      </c>
      <c r="I7247" s="8">
        <v>526.6875</v>
      </c>
      <c r="J7247" s="3">
        <f t="shared" si="113"/>
        <v>43748.99666315972</v>
      </c>
    </row>
    <row r="7248" spans="1:10" x14ac:dyDescent="0.25">
      <c r="A7248" s="5" t="s">
        <v>40133</v>
      </c>
      <c r="B7248" s="6">
        <v>418.75</v>
      </c>
      <c r="C7248" s="6">
        <v>20.478950000000001</v>
      </c>
      <c r="D7248" s="6">
        <v>80</v>
      </c>
      <c r="E7248" s="6">
        <v>0</v>
      </c>
      <c r="F7248" s="6">
        <v>0</v>
      </c>
      <c r="G7248" s="6">
        <v>13</v>
      </c>
      <c r="H7248" s="6" t="s">
        <v>40134</v>
      </c>
      <c r="I7248" s="6">
        <v>534.75</v>
      </c>
      <c r="J7248" s="2">
        <f t="shared" si="113"/>
        <v>43748.996735393514</v>
      </c>
    </row>
    <row r="7249" spans="1:10" x14ac:dyDescent="0.25">
      <c r="A7249" s="7" t="s">
        <v>40135</v>
      </c>
      <c r="B7249" s="8">
        <v>393.75</v>
      </c>
      <c r="C7249" s="8">
        <v>20.478950000000001</v>
      </c>
      <c r="D7249" s="8">
        <v>81</v>
      </c>
      <c r="E7249" s="8">
        <v>0</v>
      </c>
      <c r="F7249" s="8">
        <v>0</v>
      </c>
      <c r="G7249" s="8">
        <v>10</v>
      </c>
      <c r="H7249" s="8" t="s">
        <v>40136</v>
      </c>
      <c r="I7249" s="8">
        <v>526.6875</v>
      </c>
      <c r="J7249" s="3">
        <f t="shared" si="113"/>
        <v>43748.996806689807</v>
      </c>
    </row>
    <row r="7250" spans="1:10" x14ac:dyDescent="0.25">
      <c r="A7250" s="5" t="s">
        <v>40137</v>
      </c>
      <c r="B7250" s="6">
        <v>393.75</v>
      </c>
      <c r="C7250" s="6">
        <v>20.478950000000001</v>
      </c>
      <c r="D7250" s="6">
        <v>81</v>
      </c>
      <c r="E7250" s="6">
        <v>0</v>
      </c>
      <c r="F7250" s="6">
        <v>0</v>
      </c>
      <c r="G7250" s="6">
        <v>3</v>
      </c>
      <c r="H7250" s="6" t="s">
        <v>40138</v>
      </c>
      <c r="I7250" s="6">
        <v>526.6875</v>
      </c>
      <c r="J7250" s="2">
        <f t="shared" si="113"/>
        <v>43748.996877974532</v>
      </c>
    </row>
    <row r="7251" spans="1:10" x14ac:dyDescent="0.25">
      <c r="A7251" s="7" t="s">
        <v>40139</v>
      </c>
      <c r="B7251" s="8">
        <v>393.75</v>
      </c>
      <c r="C7251" s="8">
        <v>20.478950000000001</v>
      </c>
      <c r="D7251" s="8">
        <v>81</v>
      </c>
      <c r="E7251" s="8">
        <v>0</v>
      </c>
      <c r="F7251" s="8">
        <v>0</v>
      </c>
      <c r="G7251" s="8">
        <v>7</v>
      </c>
      <c r="H7251" s="8" t="s">
        <v>40140</v>
      </c>
      <c r="I7251" s="8">
        <v>526.5</v>
      </c>
      <c r="J7251" s="3">
        <f t="shared" si="113"/>
        <v>43748.996949421293</v>
      </c>
    </row>
    <row r="7252" spans="1:10" x14ac:dyDescent="0.25">
      <c r="A7252" s="5" t="s">
        <v>40141</v>
      </c>
      <c r="B7252" s="6">
        <v>393.75</v>
      </c>
      <c r="C7252" s="6">
        <v>20.478950000000001</v>
      </c>
      <c r="D7252" s="6">
        <v>81</v>
      </c>
      <c r="E7252" s="6">
        <v>0</v>
      </c>
      <c r="F7252" s="6">
        <v>0</v>
      </c>
      <c r="G7252" s="6">
        <v>9</v>
      </c>
      <c r="H7252" s="6" t="s">
        <v>40142</v>
      </c>
      <c r="I7252" s="6">
        <v>526.6875</v>
      </c>
      <c r="J7252" s="2">
        <f t="shared" si="113"/>
        <v>43748.997032581021</v>
      </c>
    </row>
    <row r="7253" spans="1:10" x14ac:dyDescent="0.25">
      <c r="A7253" s="7" t="s">
        <v>40143</v>
      </c>
      <c r="B7253" s="8">
        <v>393.75</v>
      </c>
      <c r="C7253" s="8">
        <v>20.478950000000001</v>
      </c>
      <c r="D7253" s="8">
        <v>81</v>
      </c>
      <c r="E7253" s="8">
        <v>0</v>
      </c>
      <c r="F7253" s="8">
        <v>0</v>
      </c>
      <c r="G7253" s="8">
        <v>4</v>
      </c>
      <c r="H7253" s="8" t="s">
        <v>40144</v>
      </c>
      <c r="I7253" s="8">
        <v>526.6875</v>
      </c>
      <c r="J7253" s="3">
        <f t="shared" si="113"/>
        <v>43748.997104791662</v>
      </c>
    </row>
    <row r="7254" spans="1:10" x14ac:dyDescent="0.25">
      <c r="A7254" s="5" t="s">
        <v>40145</v>
      </c>
      <c r="B7254" s="6">
        <v>393.75</v>
      </c>
      <c r="C7254" s="6">
        <v>20.478950000000001</v>
      </c>
      <c r="D7254" s="6">
        <v>81</v>
      </c>
      <c r="E7254" s="6">
        <v>0</v>
      </c>
      <c r="F7254" s="6">
        <v>0</v>
      </c>
      <c r="G7254" s="6">
        <v>2</v>
      </c>
      <c r="H7254" s="6" t="s">
        <v>40146</v>
      </c>
      <c r="I7254" s="6">
        <v>526.5</v>
      </c>
      <c r="J7254" s="2">
        <f t="shared" si="113"/>
        <v>43748.997176157405</v>
      </c>
    </row>
    <row r="7255" spans="1:10" x14ac:dyDescent="0.25">
      <c r="A7255" s="7" t="s">
        <v>40147</v>
      </c>
      <c r="B7255" s="8">
        <v>393.75</v>
      </c>
      <c r="C7255" s="8">
        <v>20.478950000000001</v>
      </c>
      <c r="D7255" s="8">
        <v>81</v>
      </c>
      <c r="E7255" s="8">
        <v>0</v>
      </c>
      <c r="F7255" s="8">
        <v>0</v>
      </c>
      <c r="G7255" s="8">
        <v>8</v>
      </c>
      <c r="H7255" s="8" t="s">
        <v>40148</v>
      </c>
      <c r="I7255" s="8">
        <v>526.5</v>
      </c>
      <c r="J7255" s="3">
        <f t="shared" si="113"/>
        <v>43748.997248194442</v>
      </c>
    </row>
    <row r="7256" spans="1:10" x14ac:dyDescent="0.25">
      <c r="A7256" s="5" t="s">
        <v>40149</v>
      </c>
      <c r="B7256" s="6">
        <v>412.5</v>
      </c>
      <c r="C7256" s="6">
        <v>20.426300000000001</v>
      </c>
      <c r="D7256" s="6">
        <v>84</v>
      </c>
      <c r="E7256" s="6">
        <v>0</v>
      </c>
      <c r="F7256" s="6">
        <v>0</v>
      </c>
      <c r="G7256" s="6">
        <v>1</v>
      </c>
      <c r="H7256" s="6" t="s">
        <v>40150</v>
      </c>
      <c r="I7256" s="6">
        <v>532.3125</v>
      </c>
      <c r="J7256" s="2">
        <f t="shared" si="113"/>
        <v>43748.99731914352</v>
      </c>
    </row>
    <row r="7257" spans="1:10" x14ac:dyDescent="0.25">
      <c r="A7257" s="7" t="s">
        <v>40151</v>
      </c>
      <c r="B7257" s="8">
        <v>393.75</v>
      </c>
      <c r="C7257" s="8">
        <v>20.478950000000001</v>
      </c>
      <c r="D7257" s="8">
        <v>82</v>
      </c>
      <c r="E7257" s="8">
        <v>0</v>
      </c>
      <c r="F7257" s="8">
        <v>0</v>
      </c>
      <c r="G7257" s="8">
        <v>9</v>
      </c>
      <c r="H7257" s="8" t="s">
        <v>40152</v>
      </c>
      <c r="I7257" s="8">
        <v>526.6875</v>
      </c>
      <c r="J7257" s="3">
        <f t="shared" si="113"/>
        <v>43748.997390983794</v>
      </c>
    </row>
    <row r="7258" spans="1:10" x14ac:dyDescent="0.25">
      <c r="A7258" s="5" t="s">
        <v>40153</v>
      </c>
      <c r="B7258" s="6">
        <v>393.75</v>
      </c>
      <c r="C7258" s="6">
        <v>20.478950000000001</v>
      </c>
      <c r="D7258" s="6">
        <v>82</v>
      </c>
      <c r="E7258" s="6">
        <v>0</v>
      </c>
      <c r="F7258" s="6">
        <v>0</v>
      </c>
      <c r="G7258" s="6">
        <v>10</v>
      </c>
      <c r="H7258" s="6" t="s">
        <v>40154</v>
      </c>
      <c r="I7258" s="6">
        <v>526.6875</v>
      </c>
      <c r="J7258" s="2">
        <f t="shared" si="113"/>
        <v>43748.997462291663</v>
      </c>
    </row>
    <row r="7259" spans="1:10" x14ac:dyDescent="0.25">
      <c r="A7259" s="7" t="s">
        <v>40155</v>
      </c>
      <c r="B7259" s="8">
        <v>393.75</v>
      </c>
      <c r="C7259" s="8">
        <v>20.478950000000001</v>
      </c>
      <c r="D7259" s="8">
        <v>87</v>
      </c>
      <c r="E7259" s="8">
        <v>0</v>
      </c>
      <c r="F7259" s="8">
        <v>0</v>
      </c>
      <c r="G7259" s="8">
        <v>8</v>
      </c>
      <c r="H7259" s="8" t="s">
        <v>40156</v>
      </c>
      <c r="I7259" s="8">
        <v>526.5</v>
      </c>
      <c r="J7259" s="3">
        <f t="shared" si="113"/>
        <v>43748.997543310186</v>
      </c>
    </row>
    <row r="7260" spans="1:10" x14ac:dyDescent="0.25">
      <c r="A7260" s="5" t="s">
        <v>40157</v>
      </c>
      <c r="B7260" s="6">
        <v>393.75</v>
      </c>
      <c r="C7260" s="6">
        <v>20.426300000000001</v>
      </c>
      <c r="D7260" s="6">
        <v>86</v>
      </c>
      <c r="E7260" s="6">
        <v>0</v>
      </c>
      <c r="F7260" s="6">
        <v>0</v>
      </c>
      <c r="G7260" s="6">
        <v>7</v>
      </c>
      <c r="H7260" s="6" t="s">
        <v>40158</v>
      </c>
      <c r="I7260" s="6">
        <v>526.6875</v>
      </c>
      <c r="J7260" s="2">
        <f t="shared" si="113"/>
        <v>43748.99764188657</v>
      </c>
    </row>
    <row r="7261" spans="1:10" x14ac:dyDescent="0.25">
      <c r="A7261" s="7" t="s">
        <v>40159</v>
      </c>
      <c r="B7261" s="8">
        <v>393.75</v>
      </c>
      <c r="C7261" s="8">
        <v>20.426300000000001</v>
      </c>
      <c r="D7261" s="8">
        <v>85</v>
      </c>
      <c r="E7261" s="8">
        <v>0</v>
      </c>
      <c r="F7261" s="8">
        <v>0</v>
      </c>
      <c r="G7261" s="8">
        <v>8</v>
      </c>
      <c r="H7261" s="8" t="s">
        <v>40160</v>
      </c>
      <c r="I7261" s="8">
        <v>526.6875</v>
      </c>
      <c r="J7261" s="3">
        <f t="shared" si="113"/>
        <v>43748.997737268517</v>
      </c>
    </row>
    <row r="7262" spans="1:10" x14ac:dyDescent="0.25">
      <c r="A7262" s="5" t="s">
        <v>40161</v>
      </c>
      <c r="B7262" s="6">
        <v>393.75</v>
      </c>
      <c r="C7262" s="6">
        <v>20.478950000000001</v>
      </c>
      <c r="D7262" s="6">
        <v>83</v>
      </c>
      <c r="E7262" s="6">
        <v>0</v>
      </c>
      <c r="F7262" s="6">
        <v>0</v>
      </c>
      <c r="G7262" s="6">
        <v>18</v>
      </c>
      <c r="H7262" s="6" t="s">
        <v>40162</v>
      </c>
      <c r="I7262" s="6">
        <v>526.6875</v>
      </c>
      <c r="J7262" s="2">
        <f t="shared" si="113"/>
        <v>43748.997808553242</v>
      </c>
    </row>
    <row r="7263" spans="1:10" x14ac:dyDescent="0.25">
      <c r="A7263" s="7" t="s">
        <v>40163</v>
      </c>
      <c r="B7263" s="8">
        <v>393.75</v>
      </c>
      <c r="C7263" s="8">
        <v>20.478950000000001</v>
      </c>
      <c r="D7263" s="8">
        <v>82</v>
      </c>
      <c r="E7263" s="8">
        <v>0</v>
      </c>
      <c r="F7263" s="8">
        <v>0</v>
      </c>
      <c r="G7263" s="8">
        <v>8</v>
      </c>
      <c r="H7263" s="8" t="s">
        <v>40164</v>
      </c>
      <c r="I7263" s="8">
        <v>526.5</v>
      </c>
      <c r="J7263" s="3">
        <f t="shared" si="113"/>
        <v>43748.997879872688</v>
      </c>
    </row>
    <row r="7264" spans="1:10" x14ac:dyDescent="0.25">
      <c r="A7264" s="5" t="s">
        <v>40165</v>
      </c>
      <c r="B7264" s="6">
        <v>393.75</v>
      </c>
      <c r="C7264" s="6">
        <v>20.478950000000001</v>
      </c>
      <c r="D7264" s="6">
        <v>82</v>
      </c>
      <c r="E7264" s="6">
        <v>0</v>
      </c>
      <c r="F7264" s="6">
        <v>0</v>
      </c>
      <c r="G7264" s="6">
        <v>15</v>
      </c>
      <c r="H7264" s="6" t="s">
        <v>40166</v>
      </c>
      <c r="I7264" s="6">
        <v>526.6875</v>
      </c>
      <c r="J7264" s="2">
        <f t="shared" si="113"/>
        <v>43748.997951226855</v>
      </c>
    </row>
    <row r="7265" spans="1:10" x14ac:dyDescent="0.25">
      <c r="A7265" s="7" t="s">
        <v>40167</v>
      </c>
      <c r="B7265" s="8">
        <v>393.75</v>
      </c>
      <c r="C7265" s="8">
        <v>20.478950000000001</v>
      </c>
      <c r="D7265" s="8">
        <v>82</v>
      </c>
      <c r="E7265" s="8">
        <v>0</v>
      </c>
      <c r="F7265" s="8">
        <v>0</v>
      </c>
      <c r="G7265" s="8">
        <v>7</v>
      </c>
      <c r="H7265" s="8" t="s">
        <v>40168</v>
      </c>
      <c r="I7265" s="8">
        <v>526.6875</v>
      </c>
      <c r="J7265" s="3">
        <f t="shared" si="113"/>
        <v>43748.998023402775</v>
      </c>
    </row>
    <row r="7266" spans="1:10" x14ac:dyDescent="0.25">
      <c r="A7266" s="5" t="s">
        <v>40169</v>
      </c>
      <c r="B7266" s="6">
        <v>393.75</v>
      </c>
      <c r="C7266" s="6">
        <v>20.478950000000001</v>
      </c>
      <c r="D7266" s="6">
        <v>81</v>
      </c>
      <c r="E7266" s="6">
        <v>0</v>
      </c>
      <c r="F7266" s="6">
        <v>0</v>
      </c>
      <c r="G7266" s="6">
        <v>14</v>
      </c>
      <c r="H7266" s="6" t="s">
        <v>40170</v>
      </c>
      <c r="I7266" s="6">
        <v>526.6875</v>
      </c>
      <c r="J7266" s="2">
        <f t="shared" si="113"/>
        <v>43748.998106724532</v>
      </c>
    </row>
    <row r="7267" spans="1:10" x14ac:dyDescent="0.25">
      <c r="A7267" s="7" t="s">
        <v>40171</v>
      </c>
      <c r="B7267" s="8">
        <v>393.75</v>
      </c>
      <c r="C7267" s="8">
        <v>20.478950000000001</v>
      </c>
      <c r="D7267" s="8">
        <v>80</v>
      </c>
      <c r="E7267" s="8">
        <v>0</v>
      </c>
      <c r="F7267" s="8">
        <v>0</v>
      </c>
      <c r="G7267" s="8">
        <v>2</v>
      </c>
      <c r="H7267" s="8" t="s">
        <v>40172</v>
      </c>
      <c r="I7267" s="8">
        <v>526.6875</v>
      </c>
      <c r="J7267" s="3">
        <f t="shared" si="113"/>
        <v>43748.998178020833</v>
      </c>
    </row>
    <row r="7268" spans="1:10" x14ac:dyDescent="0.25">
      <c r="A7268" s="5" t="s">
        <v>40173</v>
      </c>
      <c r="B7268" s="6">
        <v>412.5</v>
      </c>
      <c r="C7268" s="6">
        <v>20.478950000000001</v>
      </c>
      <c r="D7268" s="6">
        <v>80</v>
      </c>
      <c r="E7268" s="6">
        <v>0</v>
      </c>
      <c r="F7268" s="6">
        <v>0</v>
      </c>
      <c r="G7268" s="6">
        <v>5</v>
      </c>
      <c r="H7268" s="6" t="s">
        <v>40174</v>
      </c>
      <c r="I7268" s="6">
        <v>532.125</v>
      </c>
      <c r="J7268" s="2">
        <f t="shared" si="113"/>
        <v>43748.998249317126</v>
      </c>
    </row>
    <row r="7269" spans="1:10" x14ac:dyDescent="0.25">
      <c r="A7269" s="7" t="s">
        <v>40175</v>
      </c>
      <c r="B7269" s="8">
        <v>393.75</v>
      </c>
      <c r="C7269" s="8">
        <v>20.478950000000001</v>
      </c>
      <c r="D7269" s="8">
        <v>82</v>
      </c>
      <c r="E7269" s="8">
        <v>0</v>
      </c>
      <c r="F7269" s="8">
        <v>0</v>
      </c>
      <c r="G7269" s="8">
        <v>7</v>
      </c>
      <c r="H7269" s="8" t="s">
        <v>40176</v>
      </c>
      <c r="I7269" s="8">
        <v>526.6875</v>
      </c>
      <c r="J7269" s="3">
        <f t="shared" si="113"/>
        <v>43748.998321539351</v>
      </c>
    </row>
    <row r="7270" spans="1:10" x14ac:dyDescent="0.25">
      <c r="A7270" s="5" t="s">
        <v>40177</v>
      </c>
      <c r="B7270" s="6">
        <v>393.75</v>
      </c>
      <c r="C7270" s="6">
        <v>20.478950000000001</v>
      </c>
      <c r="D7270" s="6">
        <v>82</v>
      </c>
      <c r="E7270" s="6">
        <v>0</v>
      </c>
      <c r="F7270" s="6">
        <v>0</v>
      </c>
      <c r="G7270" s="6">
        <v>13</v>
      </c>
      <c r="H7270" s="6" t="s">
        <v>40178</v>
      </c>
      <c r="I7270" s="6">
        <v>526.6875</v>
      </c>
      <c r="J7270" s="2">
        <f t="shared" si="113"/>
        <v>43748.998392835645</v>
      </c>
    </row>
    <row r="7271" spans="1:10" x14ac:dyDescent="0.25">
      <c r="A7271" s="7" t="s">
        <v>40179</v>
      </c>
      <c r="B7271" s="8">
        <v>393.75</v>
      </c>
      <c r="C7271" s="8">
        <v>20.478950000000001</v>
      </c>
      <c r="D7271" s="8">
        <v>82</v>
      </c>
      <c r="E7271" s="8">
        <v>0</v>
      </c>
      <c r="F7271" s="8">
        <v>0</v>
      </c>
      <c r="G7271" s="8">
        <v>6</v>
      </c>
      <c r="H7271" s="8" t="s">
        <v>40180</v>
      </c>
      <c r="I7271" s="8">
        <v>526.6875</v>
      </c>
      <c r="J7271" s="3">
        <f t="shared" si="113"/>
        <v>43748.998464131939</v>
      </c>
    </row>
    <row r="7272" spans="1:10" x14ac:dyDescent="0.25">
      <c r="A7272" s="5" t="s">
        <v>40181</v>
      </c>
      <c r="B7272" s="6">
        <v>393.75</v>
      </c>
      <c r="C7272" s="6">
        <v>20.478950000000001</v>
      </c>
      <c r="D7272" s="6">
        <v>83</v>
      </c>
      <c r="E7272" s="6">
        <v>0</v>
      </c>
      <c r="F7272" s="6">
        <v>0</v>
      </c>
      <c r="G7272" s="6">
        <v>8</v>
      </c>
      <c r="H7272" s="6" t="s">
        <v>40182</v>
      </c>
      <c r="I7272" s="6">
        <v>526.6875</v>
      </c>
      <c r="J7272" s="2">
        <f t="shared" si="113"/>
        <v>43748.99853636574</v>
      </c>
    </row>
    <row r="7273" spans="1:10" x14ac:dyDescent="0.25">
      <c r="A7273" s="7" t="s">
        <v>40183</v>
      </c>
      <c r="B7273" s="8">
        <v>393.75</v>
      </c>
      <c r="C7273" s="8">
        <v>20.478950000000001</v>
      </c>
      <c r="D7273" s="8">
        <v>84</v>
      </c>
      <c r="E7273" s="8">
        <v>0</v>
      </c>
      <c r="F7273" s="8">
        <v>0</v>
      </c>
      <c r="G7273" s="8">
        <v>0</v>
      </c>
      <c r="H7273" s="8" t="s">
        <v>40184</v>
      </c>
      <c r="I7273" s="8">
        <v>526.6875</v>
      </c>
      <c r="J7273" s="3">
        <f t="shared" si="113"/>
        <v>43748.998619699072</v>
      </c>
    </row>
    <row r="7274" spans="1:10" x14ac:dyDescent="0.25">
      <c r="A7274" s="5" t="s">
        <v>40185</v>
      </c>
      <c r="B7274" s="6">
        <v>393.75</v>
      </c>
      <c r="C7274" s="6">
        <v>20.478950000000001</v>
      </c>
      <c r="D7274" s="6">
        <v>84</v>
      </c>
      <c r="E7274" s="6">
        <v>0</v>
      </c>
      <c r="F7274" s="6">
        <v>0</v>
      </c>
      <c r="G7274" s="6">
        <v>8</v>
      </c>
      <c r="H7274" s="6" t="s">
        <v>40186</v>
      </c>
      <c r="I7274" s="6">
        <v>526.6875</v>
      </c>
      <c r="J7274" s="2">
        <f t="shared" si="113"/>
        <v>43748.998691006942</v>
      </c>
    </row>
    <row r="7275" spans="1:10" x14ac:dyDescent="0.25">
      <c r="A7275" s="7" t="s">
        <v>40187</v>
      </c>
      <c r="B7275" s="8">
        <v>393.75</v>
      </c>
      <c r="C7275" s="8">
        <v>20.478950000000001</v>
      </c>
      <c r="D7275" s="8">
        <v>84</v>
      </c>
      <c r="E7275" s="8">
        <v>0</v>
      </c>
      <c r="F7275" s="8">
        <v>0</v>
      </c>
      <c r="G7275" s="8">
        <v>5</v>
      </c>
      <c r="H7275" s="8" t="s">
        <v>40188</v>
      </c>
      <c r="I7275" s="8">
        <v>526.6875</v>
      </c>
      <c r="J7275" s="3">
        <f t="shared" si="113"/>
        <v>43748.998762268515</v>
      </c>
    </row>
    <row r="7276" spans="1:10" x14ac:dyDescent="0.25">
      <c r="A7276" s="5" t="s">
        <v>40189</v>
      </c>
      <c r="B7276" s="6">
        <v>393.75</v>
      </c>
      <c r="C7276" s="6">
        <v>20.478950000000001</v>
      </c>
      <c r="D7276" s="6">
        <v>84</v>
      </c>
      <c r="E7276" s="6">
        <v>0</v>
      </c>
      <c r="F7276" s="6">
        <v>0</v>
      </c>
      <c r="G7276" s="6">
        <v>9</v>
      </c>
      <c r="H7276" s="6" t="s">
        <v>40190</v>
      </c>
      <c r="I7276" s="6">
        <v>526.6875</v>
      </c>
      <c r="J7276" s="2">
        <f t="shared" si="113"/>
        <v>43748.998833796293</v>
      </c>
    </row>
    <row r="7277" spans="1:10" x14ac:dyDescent="0.25">
      <c r="A7277" s="7" t="s">
        <v>40191</v>
      </c>
      <c r="B7277" s="8">
        <v>393.75</v>
      </c>
      <c r="C7277" s="8">
        <v>20.478950000000001</v>
      </c>
      <c r="D7277" s="8">
        <v>85</v>
      </c>
      <c r="E7277" s="8">
        <v>0</v>
      </c>
      <c r="F7277" s="8">
        <v>0</v>
      </c>
      <c r="G7277" s="8">
        <v>10</v>
      </c>
      <c r="H7277" s="8" t="s">
        <v>40192</v>
      </c>
      <c r="I7277" s="8">
        <v>526.6875</v>
      </c>
      <c r="J7277" s="3">
        <f t="shared" si="113"/>
        <v>43748.998905798609</v>
      </c>
    </row>
    <row r="7278" spans="1:10" x14ac:dyDescent="0.25">
      <c r="A7278" s="5" t="s">
        <v>40193</v>
      </c>
      <c r="B7278" s="6">
        <v>393.75</v>
      </c>
      <c r="C7278" s="6">
        <v>20.478950000000001</v>
      </c>
      <c r="D7278" s="6">
        <v>85</v>
      </c>
      <c r="E7278" s="6">
        <v>0</v>
      </c>
      <c r="F7278" s="6">
        <v>0</v>
      </c>
      <c r="G7278" s="6">
        <v>7</v>
      </c>
      <c r="H7278" s="6" t="s">
        <v>40194</v>
      </c>
      <c r="I7278" s="6">
        <v>526.6875</v>
      </c>
      <c r="J7278" s="2">
        <f t="shared" si="113"/>
        <v>43748.998989131942</v>
      </c>
    </row>
    <row r="7279" spans="1:10" x14ac:dyDescent="0.25">
      <c r="A7279" s="7" t="s">
        <v>40195</v>
      </c>
      <c r="B7279" s="8">
        <v>415.625</v>
      </c>
      <c r="C7279" s="8">
        <v>20.478950000000001</v>
      </c>
      <c r="D7279" s="8">
        <v>86</v>
      </c>
      <c r="E7279" s="8">
        <v>0</v>
      </c>
      <c r="F7279" s="8">
        <v>0</v>
      </c>
      <c r="G7279" s="8">
        <v>9</v>
      </c>
      <c r="H7279" s="8" t="s">
        <v>40196</v>
      </c>
      <c r="I7279" s="8">
        <v>533.4375</v>
      </c>
      <c r="J7279" s="3">
        <f t="shared" si="113"/>
        <v>43748.99907247685</v>
      </c>
    </row>
    <row r="7280" spans="1:10" x14ac:dyDescent="0.25">
      <c r="A7280" s="5" t="s">
        <v>40197</v>
      </c>
      <c r="B7280" s="6">
        <v>393.75</v>
      </c>
      <c r="C7280" s="6">
        <v>20.478950000000001</v>
      </c>
      <c r="D7280" s="6">
        <v>86</v>
      </c>
      <c r="E7280" s="6">
        <v>0</v>
      </c>
      <c r="F7280" s="6">
        <v>0</v>
      </c>
      <c r="G7280" s="6">
        <v>3</v>
      </c>
      <c r="H7280" s="6" t="s">
        <v>40198</v>
      </c>
      <c r="I7280" s="6">
        <v>526.5</v>
      </c>
      <c r="J7280" s="2">
        <f t="shared" si="113"/>
        <v>43748.999143738423</v>
      </c>
    </row>
    <row r="7281" spans="1:10" x14ac:dyDescent="0.25">
      <c r="A7281" s="7" t="s">
        <v>40199</v>
      </c>
      <c r="B7281" s="8">
        <v>393.75</v>
      </c>
      <c r="C7281" s="8">
        <v>20.478950000000001</v>
      </c>
      <c r="D7281" s="8">
        <v>85</v>
      </c>
      <c r="E7281" s="8">
        <v>0</v>
      </c>
      <c r="F7281" s="8">
        <v>0</v>
      </c>
      <c r="G7281" s="8">
        <v>6</v>
      </c>
      <c r="H7281" s="8" t="s">
        <v>40200</v>
      </c>
      <c r="I7281" s="8">
        <v>526.6875</v>
      </c>
      <c r="J7281" s="3">
        <f t="shared" si="113"/>
        <v>43748.999215960641</v>
      </c>
    </row>
    <row r="7282" spans="1:10" x14ac:dyDescent="0.25">
      <c r="A7282" s="5" t="s">
        <v>40201</v>
      </c>
      <c r="B7282" s="6">
        <v>393.75</v>
      </c>
      <c r="C7282" s="6">
        <v>20.478950000000001</v>
      </c>
      <c r="D7282" s="6">
        <v>84</v>
      </c>
      <c r="E7282" s="6">
        <v>0</v>
      </c>
      <c r="F7282" s="6">
        <v>0</v>
      </c>
      <c r="G7282" s="6">
        <v>19</v>
      </c>
      <c r="H7282" s="6" t="s">
        <v>40202</v>
      </c>
      <c r="I7282" s="6">
        <v>526.6875</v>
      </c>
      <c r="J7282" s="2">
        <f t="shared" si="113"/>
        <v>43748.999299305557</v>
      </c>
    </row>
    <row r="7283" spans="1:10" x14ac:dyDescent="0.25">
      <c r="A7283" s="7" t="s">
        <v>40203</v>
      </c>
      <c r="B7283" s="8">
        <v>393.75</v>
      </c>
      <c r="C7283" s="8">
        <v>20.478950000000001</v>
      </c>
      <c r="D7283" s="8">
        <v>85</v>
      </c>
      <c r="E7283" s="8">
        <v>0</v>
      </c>
      <c r="F7283" s="8">
        <v>0</v>
      </c>
      <c r="G7283" s="8">
        <v>5</v>
      </c>
      <c r="H7283" s="8" t="s">
        <v>40204</v>
      </c>
      <c r="I7283" s="8">
        <v>526.6875</v>
      </c>
      <c r="J7283" s="3">
        <f t="shared" si="113"/>
        <v>43748.99937060185</v>
      </c>
    </row>
    <row r="7284" spans="1:10" x14ac:dyDescent="0.25">
      <c r="A7284" s="5" t="s">
        <v>40205</v>
      </c>
      <c r="B7284" s="6">
        <v>393.75</v>
      </c>
      <c r="C7284" s="6">
        <v>20.478950000000001</v>
      </c>
      <c r="D7284" s="6">
        <v>85</v>
      </c>
      <c r="E7284" s="6">
        <v>0</v>
      </c>
      <c r="F7284" s="6">
        <v>0</v>
      </c>
      <c r="G7284" s="6">
        <v>9</v>
      </c>
      <c r="H7284" s="6" t="s">
        <v>40206</v>
      </c>
      <c r="I7284" s="6">
        <v>526.5</v>
      </c>
      <c r="J7284" s="2">
        <f t="shared" si="113"/>
        <v>43748.999442835644</v>
      </c>
    </row>
    <row r="7285" spans="1:10" x14ac:dyDescent="0.25">
      <c r="A7285" s="7" t="s">
        <v>40207</v>
      </c>
      <c r="B7285" s="8">
        <v>393.75</v>
      </c>
      <c r="C7285" s="8">
        <v>20.478950000000001</v>
      </c>
      <c r="D7285" s="8">
        <v>85</v>
      </c>
      <c r="E7285" s="8">
        <v>0</v>
      </c>
      <c r="F7285" s="8">
        <v>0</v>
      </c>
      <c r="G7285" s="8">
        <v>10</v>
      </c>
      <c r="H7285" s="8" t="s">
        <v>40208</v>
      </c>
      <c r="I7285" s="8">
        <v>526.5</v>
      </c>
      <c r="J7285" s="3">
        <f t="shared" si="113"/>
        <v>43748.99953818287</v>
      </c>
    </row>
    <row r="7286" spans="1:10" x14ac:dyDescent="0.25">
      <c r="A7286" s="5" t="s">
        <v>40209</v>
      </c>
      <c r="B7286" s="6">
        <v>393.75</v>
      </c>
      <c r="C7286" s="6">
        <v>20.478950000000001</v>
      </c>
      <c r="D7286" s="6">
        <v>85</v>
      </c>
      <c r="E7286" s="6">
        <v>0</v>
      </c>
      <c r="F7286" s="6">
        <v>0</v>
      </c>
      <c r="G7286" s="6">
        <v>3</v>
      </c>
      <c r="H7286" s="6" t="s">
        <v>40210</v>
      </c>
      <c r="I7286" s="6">
        <v>526.5</v>
      </c>
      <c r="J7286" s="2">
        <f t="shared" si="113"/>
        <v>43748.999609467595</v>
      </c>
    </row>
    <row r="7287" spans="1:10" x14ac:dyDescent="0.25">
      <c r="A7287" s="7" t="s">
        <v>40211</v>
      </c>
      <c r="B7287" s="8">
        <v>393.75</v>
      </c>
      <c r="C7287" s="8">
        <v>20.478950000000001</v>
      </c>
      <c r="D7287" s="8">
        <v>86</v>
      </c>
      <c r="E7287" s="8">
        <v>0</v>
      </c>
      <c r="F7287" s="8">
        <v>0</v>
      </c>
      <c r="G7287" s="8">
        <v>10</v>
      </c>
      <c r="H7287" s="8" t="s">
        <v>40212</v>
      </c>
      <c r="I7287" s="8">
        <v>526.6875</v>
      </c>
      <c r="J7287" s="3">
        <f t="shared" si="113"/>
        <v>43748.999680763889</v>
      </c>
    </row>
    <row r="7288" spans="1:10" x14ac:dyDescent="0.25">
      <c r="A7288" s="5" t="s">
        <v>40213</v>
      </c>
      <c r="B7288" s="6">
        <v>393.75</v>
      </c>
      <c r="C7288" s="6">
        <v>20.478950000000001</v>
      </c>
      <c r="D7288" s="6">
        <v>86</v>
      </c>
      <c r="E7288" s="6">
        <v>0</v>
      </c>
      <c r="F7288" s="6">
        <v>0</v>
      </c>
      <c r="G7288" s="6">
        <v>3</v>
      </c>
      <c r="H7288" s="6" t="s">
        <v>40214</v>
      </c>
      <c r="I7288" s="6">
        <v>526.6875</v>
      </c>
      <c r="J7288" s="2">
        <f t="shared" si="113"/>
        <v>43748.999752812502</v>
      </c>
    </row>
    <row r="7289" spans="1:10" x14ac:dyDescent="0.25">
      <c r="A7289" s="7" t="s">
        <v>40215</v>
      </c>
      <c r="B7289" s="8">
        <v>393.75</v>
      </c>
      <c r="C7289" s="8">
        <v>20.478950000000001</v>
      </c>
      <c r="D7289" s="8">
        <v>86</v>
      </c>
      <c r="E7289" s="8">
        <v>0</v>
      </c>
      <c r="F7289" s="8">
        <v>0</v>
      </c>
      <c r="G7289" s="8">
        <v>3</v>
      </c>
      <c r="H7289" s="8" t="s">
        <v>40216</v>
      </c>
      <c r="I7289" s="8">
        <v>526.6875</v>
      </c>
      <c r="J7289" s="3">
        <f t="shared" si="113"/>
        <v>43748.999823437502</v>
      </c>
    </row>
    <row r="7290" spans="1:10" x14ac:dyDescent="0.25">
      <c r="A7290" s="5" t="s">
        <v>40217</v>
      </c>
      <c r="B7290" s="6">
        <v>393.75</v>
      </c>
      <c r="C7290" s="6">
        <v>20.478950000000001</v>
      </c>
      <c r="D7290" s="6">
        <v>84</v>
      </c>
      <c r="E7290" s="6">
        <v>0</v>
      </c>
      <c r="F7290" s="6">
        <v>0</v>
      </c>
      <c r="G7290" s="6">
        <v>4</v>
      </c>
      <c r="H7290" s="6" t="s">
        <v>40218</v>
      </c>
      <c r="I7290" s="6">
        <v>526.6875</v>
      </c>
      <c r="J7290" s="2">
        <f t="shared" si="113"/>
        <v>43748.999895601846</v>
      </c>
    </row>
    <row r="7291" spans="1:10" x14ac:dyDescent="0.25">
      <c r="A7291" s="7" t="s">
        <v>40219</v>
      </c>
      <c r="B7291" s="8">
        <v>393.75</v>
      </c>
      <c r="C7291" s="8">
        <v>20.478950000000001</v>
      </c>
      <c r="D7291" s="8">
        <v>84</v>
      </c>
      <c r="E7291" s="8">
        <v>0</v>
      </c>
      <c r="F7291" s="8">
        <v>0</v>
      </c>
      <c r="G7291" s="8">
        <v>0</v>
      </c>
      <c r="H7291" s="8" t="s">
        <v>40220</v>
      </c>
      <c r="I7291" s="8">
        <v>526.5</v>
      </c>
      <c r="J7291" s="3">
        <f t="shared" si="113"/>
        <v>43748.999966875002</v>
      </c>
    </row>
    <row r="7292" spans="1:10" x14ac:dyDescent="0.25">
      <c r="A7292" s="5" t="s">
        <v>40221</v>
      </c>
      <c r="B7292" s="6">
        <v>393.75</v>
      </c>
      <c r="C7292" s="6">
        <v>20.426300000000001</v>
      </c>
      <c r="D7292" s="6">
        <v>84</v>
      </c>
      <c r="E7292" s="6">
        <v>0</v>
      </c>
      <c r="F7292" s="6">
        <v>0</v>
      </c>
      <c r="G7292" s="6">
        <v>6</v>
      </c>
      <c r="H7292" s="6" t="s">
        <v>40222</v>
      </c>
      <c r="I7292" s="6">
        <v>526.6875</v>
      </c>
      <c r="J7292" s="2">
        <f t="shared" si="113"/>
        <v>43749.000050960647</v>
      </c>
    </row>
    <row r="7293" spans="1:10" x14ac:dyDescent="0.25">
      <c r="A7293" s="7" t="s">
        <v>40223</v>
      </c>
      <c r="B7293" s="8">
        <v>393.75</v>
      </c>
      <c r="C7293" s="8">
        <v>20.478950000000001</v>
      </c>
      <c r="D7293" s="8">
        <v>85</v>
      </c>
      <c r="E7293" s="8">
        <v>0</v>
      </c>
      <c r="F7293" s="8">
        <v>0</v>
      </c>
      <c r="G7293" s="8">
        <v>5</v>
      </c>
      <c r="H7293" s="8" t="s">
        <v>40224</v>
      </c>
      <c r="I7293" s="8">
        <v>526.6875</v>
      </c>
      <c r="J7293" s="3">
        <f t="shared" si="113"/>
        <v>43749.000121944446</v>
      </c>
    </row>
    <row r="7294" spans="1:10" x14ac:dyDescent="0.25">
      <c r="A7294" s="5" t="s">
        <v>40225</v>
      </c>
      <c r="B7294" s="6">
        <v>393.75</v>
      </c>
      <c r="C7294" s="6">
        <v>20.478950000000001</v>
      </c>
      <c r="D7294" s="6">
        <v>85</v>
      </c>
      <c r="E7294" s="6">
        <v>0</v>
      </c>
      <c r="F7294" s="6">
        <v>0</v>
      </c>
      <c r="G7294" s="6">
        <v>10</v>
      </c>
      <c r="H7294" s="6" t="s">
        <v>40226</v>
      </c>
      <c r="I7294" s="6">
        <v>526.6875</v>
      </c>
      <c r="J7294" s="2">
        <f t="shared" si="113"/>
        <v>43749.000193726846</v>
      </c>
    </row>
    <row r="7295" spans="1:10" x14ac:dyDescent="0.25">
      <c r="A7295" s="7" t="s">
        <v>40227</v>
      </c>
      <c r="B7295" s="8">
        <v>393.75</v>
      </c>
      <c r="C7295" s="8">
        <v>20.478950000000001</v>
      </c>
      <c r="D7295" s="8">
        <v>83</v>
      </c>
      <c r="E7295" s="8">
        <v>0</v>
      </c>
      <c r="F7295" s="8">
        <v>0</v>
      </c>
      <c r="G7295" s="8">
        <v>7</v>
      </c>
      <c r="H7295" s="8" t="s">
        <v>40228</v>
      </c>
      <c r="I7295" s="8">
        <v>526.5</v>
      </c>
      <c r="J7295" s="3">
        <f t="shared" si="113"/>
        <v>43749.000265057868</v>
      </c>
    </row>
    <row r="7296" spans="1:10" x14ac:dyDescent="0.25">
      <c r="A7296" s="5" t="s">
        <v>40229</v>
      </c>
      <c r="B7296" s="6">
        <v>393.75</v>
      </c>
      <c r="C7296" s="6">
        <v>20.478950000000001</v>
      </c>
      <c r="D7296" s="6">
        <v>82</v>
      </c>
      <c r="E7296" s="6">
        <v>0</v>
      </c>
      <c r="F7296" s="6">
        <v>0</v>
      </c>
      <c r="G7296" s="6">
        <v>9</v>
      </c>
      <c r="H7296" s="6" t="s">
        <v>40230</v>
      </c>
      <c r="I7296" s="6">
        <v>526.6875</v>
      </c>
      <c r="J7296" s="2">
        <f t="shared" si="113"/>
        <v>43749.000337268517</v>
      </c>
    </row>
    <row r="7297" spans="1:10" x14ac:dyDescent="0.25">
      <c r="A7297" s="7" t="s">
        <v>40231</v>
      </c>
      <c r="B7297" s="8">
        <v>393.75</v>
      </c>
      <c r="C7297" s="8">
        <v>20.426300000000001</v>
      </c>
      <c r="D7297" s="8">
        <v>83</v>
      </c>
      <c r="E7297" s="8">
        <v>0</v>
      </c>
      <c r="F7297" s="8">
        <v>0</v>
      </c>
      <c r="G7297" s="8">
        <v>1</v>
      </c>
      <c r="H7297" s="8" t="s">
        <v>40232</v>
      </c>
      <c r="I7297" s="8">
        <v>526.6875</v>
      </c>
      <c r="J7297" s="3">
        <f t="shared" si="113"/>
        <v>43749.000408541666</v>
      </c>
    </row>
    <row r="7298" spans="1:10" x14ac:dyDescent="0.25">
      <c r="A7298" s="5" t="s">
        <v>40233</v>
      </c>
      <c r="B7298" s="6">
        <v>393.75</v>
      </c>
      <c r="C7298" s="6">
        <v>20.478950000000001</v>
      </c>
      <c r="D7298" s="6">
        <v>82</v>
      </c>
      <c r="E7298" s="6">
        <v>0</v>
      </c>
      <c r="F7298" s="6">
        <v>0</v>
      </c>
      <c r="G7298" s="6">
        <v>5</v>
      </c>
      <c r="H7298" s="6" t="s">
        <v>40234</v>
      </c>
      <c r="I7298" s="6">
        <v>526.5</v>
      </c>
      <c r="J7298" s="2">
        <f t="shared" ref="J7298:J7361" si="114">(H7298/86400000)+25569+(7/24)</f>
        <v>43749.000491759252</v>
      </c>
    </row>
    <row r="7299" spans="1:10" x14ac:dyDescent="0.25">
      <c r="A7299" s="7" t="s">
        <v>40235</v>
      </c>
      <c r="B7299" s="8">
        <v>393.75</v>
      </c>
      <c r="C7299" s="8">
        <v>20.478950000000001</v>
      </c>
      <c r="D7299" s="8">
        <v>80</v>
      </c>
      <c r="E7299" s="8">
        <v>0</v>
      </c>
      <c r="F7299" s="8">
        <v>0</v>
      </c>
      <c r="G7299" s="8">
        <v>9</v>
      </c>
      <c r="H7299" s="8" t="s">
        <v>40236</v>
      </c>
      <c r="I7299" s="8">
        <v>526.6875</v>
      </c>
      <c r="J7299" s="3">
        <f t="shared" si="114"/>
        <v>43749.000563229165</v>
      </c>
    </row>
    <row r="7300" spans="1:10" x14ac:dyDescent="0.25">
      <c r="A7300" s="5" t="s">
        <v>40237</v>
      </c>
      <c r="B7300" s="6">
        <v>412.5</v>
      </c>
      <c r="C7300" s="6">
        <v>20.478950000000001</v>
      </c>
      <c r="D7300" s="6">
        <v>80</v>
      </c>
      <c r="E7300" s="6">
        <v>0</v>
      </c>
      <c r="F7300" s="6">
        <v>0</v>
      </c>
      <c r="G7300" s="6">
        <v>16</v>
      </c>
      <c r="H7300" s="6" t="s">
        <v>40238</v>
      </c>
      <c r="I7300" s="6">
        <v>532.3125</v>
      </c>
      <c r="J7300" s="2">
        <f t="shared" si="114"/>
        <v>43749.000634537035</v>
      </c>
    </row>
    <row r="7301" spans="1:10" x14ac:dyDescent="0.25">
      <c r="A7301" s="7" t="s">
        <v>40239</v>
      </c>
      <c r="B7301" s="8">
        <v>393.75</v>
      </c>
      <c r="C7301" s="8">
        <v>20.478950000000001</v>
      </c>
      <c r="D7301" s="8">
        <v>80</v>
      </c>
      <c r="E7301" s="8">
        <v>0</v>
      </c>
      <c r="F7301" s="8">
        <v>0</v>
      </c>
      <c r="G7301" s="8">
        <v>3</v>
      </c>
      <c r="H7301" s="8" t="s">
        <v>40240</v>
      </c>
      <c r="I7301" s="8">
        <v>526.6875</v>
      </c>
      <c r="J7301" s="3">
        <f t="shared" si="114"/>
        <v>43749.000706689811</v>
      </c>
    </row>
    <row r="7302" spans="1:10" x14ac:dyDescent="0.25">
      <c r="A7302" s="5" t="s">
        <v>40241</v>
      </c>
      <c r="B7302" s="6">
        <v>393.75</v>
      </c>
      <c r="C7302" s="6">
        <v>20.478950000000001</v>
      </c>
      <c r="D7302" s="6">
        <v>84</v>
      </c>
      <c r="E7302" s="6">
        <v>0</v>
      </c>
      <c r="F7302" s="6">
        <v>0</v>
      </c>
      <c r="G7302" s="6">
        <v>3</v>
      </c>
      <c r="H7302" s="6" t="s">
        <v>40242</v>
      </c>
      <c r="I7302" s="6">
        <v>526.6875</v>
      </c>
      <c r="J7302" s="2">
        <f t="shared" si="114"/>
        <v>43749.000778009256</v>
      </c>
    </row>
    <row r="7303" spans="1:10" x14ac:dyDescent="0.25">
      <c r="A7303" s="7" t="s">
        <v>40243</v>
      </c>
      <c r="B7303" s="8">
        <v>393.75</v>
      </c>
      <c r="C7303" s="8">
        <v>20.478950000000001</v>
      </c>
      <c r="D7303" s="8">
        <v>84</v>
      </c>
      <c r="E7303" s="8">
        <v>0</v>
      </c>
      <c r="F7303" s="8">
        <v>0</v>
      </c>
      <c r="G7303" s="8">
        <v>8</v>
      </c>
      <c r="H7303" s="8" t="s">
        <v>40244</v>
      </c>
      <c r="I7303" s="8">
        <v>526.6875</v>
      </c>
      <c r="J7303" s="3">
        <f t="shared" si="114"/>
        <v>43749.000849988421</v>
      </c>
    </row>
    <row r="7304" spans="1:10" x14ac:dyDescent="0.25">
      <c r="A7304" s="5" t="s">
        <v>40245</v>
      </c>
      <c r="B7304" s="6">
        <v>393.75</v>
      </c>
      <c r="C7304" s="6">
        <v>20.478950000000001</v>
      </c>
      <c r="D7304" s="6">
        <v>84</v>
      </c>
      <c r="E7304" s="6">
        <v>0</v>
      </c>
      <c r="F7304" s="6">
        <v>0</v>
      </c>
      <c r="G7304" s="6">
        <v>5</v>
      </c>
      <c r="H7304" s="6" t="s">
        <v>40246</v>
      </c>
      <c r="I7304" s="6">
        <v>526.5</v>
      </c>
      <c r="J7304" s="2">
        <f t="shared" si="114"/>
        <v>43749.000921504623</v>
      </c>
    </row>
    <row r="7305" spans="1:10" x14ac:dyDescent="0.25">
      <c r="A7305" s="7" t="s">
        <v>40247</v>
      </c>
      <c r="B7305" s="8">
        <v>393.75</v>
      </c>
      <c r="C7305" s="8">
        <v>20.478950000000001</v>
      </c>
      <c r="D7305" s="8">
        <v>85</v>
      </c>
      <c r="E7305" s="8">
        <v>0</v>
      </c>
      <c r="F7305" s="8">
        <v>0</v>
      </c>
      <c r="G7305" s="8">
        <v>1</v>
      </c>
      <c r="H7305" s="8" t="s">
        <v>40248</v>
      </c>
      <c r="I7305" s="8">
        <v>526.6875</v>
      </c>
      <c r="J7305" s="3">
        <f t="shared" si="114"/>
        <v>43749.000992824069</v>
      </c>
    </row>
    <row r="7306" spans="1:10" x14ac:dyDescent="0.25">
      <c r="A7306" s="5" t="s">
        <v>40249</v>
      </c>
      <c r="B7306" s="6">
        <v>393.75</v>
      </c>
      <c r="C7306" s="6">
        <v>20.478950000000001</v>
      </c>
      <c r="D7306" s="6">
        <v>86</v>
      </c>
      <c r="E7306" s="6">
        <v>0</v>
      </c>
      <c r="F7306" s="6">
        <v>0</v>
      </c>
      <c r="G7306" s="6">
        <v>10</v>
      </c>
      <c r="H7306" s="6" t="s">
        <v>40250</v>
      </c>
      <c r="I7306" s="6">
        <v>526.6875</v>
      </c>
      <c r="J7306" s="2">
        <f t="shared" si="114"/>
        <v>43749.001064108794</v>
      </c>
    </row>
    <row r="7307" spans="1:10" x14ac:dyDescent="0.25">
      <c r="A7307" s="7" t="s">
        <v>40251</v>
      </c>
      <c r="B7307" s="8">
        <v>393.75</v>
      </c>
      <c r="C7307" s="8">
        <v>20.478950000000001</v>
      </c>
      <c r="D7307" s="8">
        <v>86</v>
      </c>
      <c r="E7307" s="8">
        <v>0</v>
      </c>
      <c r="F7307" s="8">
        <v>0</v>
      </c>
      <c r="G7307" s="8">
        <v>8</v>
      </c>
      <c r="H7307" s="8" t="s">
        <v>40252</v>
      </c>
      <c r="I7307" s="8">
        <v>526.5</v>
      </c>
      <c r="J7307" s="3">
        <f t="shared" si="114"/>
        <v>43749.001136284722</v>
      </c>
    </row>
    <row r="7308" spans="1:10" x14ac:dyDescent="0.25">
      <c r="A7308" s="5" t="s">
        <v>40253</v>
      </c>
      <c r="B7308" s="6">
        <v>393.75</v>
      </c>
      <c r="C7308" s="6">
        <v>20.478950000000001</v>
      </c>
      <c r="D7308" s="6">
        <v>86</v>
      </c>
      <c r="E7308" s="6">
        <v>0</v>
      </c>
      <c r="F7308" s="6">
        <v>0</v>
      </c>
      <c r="G7308" s="6">
        <v>12</v>
      </c>
      <c r="H7308" s="6" t="s">
        <v>40254</v>
      </c>
      <c r="I7308" s="6">
        <v>526.6875</v>
      </c>
      <c r="J7308" s="2">
        <f t="shared" si="114"/>
        <v>43749.001219652775</v>
      </c>
    </row>
    <row r="7309" spans="1:10" x14ac:dyDescent="0.25">
      <c r="A7309" s="7" t="s">
        <v>40255</v>
      </c>
      <c r="B7309" s="8">
        <v>393.75</v>
      </c>
      <c r="C7309" s="8">
        <v>20.478950000000001</v>
      </c>
      <c r="D7309" s="8">
        <v>85</v>
      </c>
      <c r="E7309" s="8">
        <v>0</v>
      </c>
      <c r="F7309" s="8">
        <v>0</v>
      </c>
      <c r="G7309" s="8">
        <v>8</v>
      </c>
      <c r="H7309" s="8" t="s">
        <v>40256</v>
      </c>
      <c r="I7309" s="8">
        <v>526.6875</v>
      </c>
      <c r="J7309" s="3">
        <f t="shared" si="114"/>
        <v>43749.001303113422</v>
      </c>
    </row>
    <row r="7310" spans="1:10" x14ac:dyDescent="0.25">
      <c r="A7310" s="5" t="s">
        <v>40257</v>
      </c>
      <c r="B7310" s="6">
        <v>393.75</v>
      </c>
      <c r="C7310" s="6">
        <v>20.478950000000001</v>
      </c>
      <c r="D7310" s="6">
        <v>86</v>
      </c>
      <c r="E7310" s="6">
        <v>0</v>
      </c>
      <c r="F7310" s="6">
        <v>0</v>
      </c>
      <c r="G7310" s="6">
        <v>7</v>
      </c>
      <c r="H7310" s="6" t="s">
        <v>40258</v>
      </c>
      <c r="I7310" s="6">
        <v>526.6875</v>
      </c>
      <c r="J7310" s="2">
        <f t="shared" si="114"/>
        <v>43749.001374293977</v>
      </c>
    </row>
    <row r="7311" spans="1:10" x14ac:dyDescent="0.25">
      <c r="A7311" s="7" t="s">
        <v>40259</v>
      </c>
      <c r="B7311" s="8">
        <v>431.25</v>
      </c>
      <c r="C7311" s="8">
        <v>20.478950000000001</v>
      </c>
      <c r="D7311" s="8">
        <v>86</v>
      </c>
      <c r="E7311" s="8">
        <v>0</v>
      </c>
      <c r="F7311" s="8">
        <v>0</v>
      </c>
      <c r="G7311" s="8">
        <v>6</v>
      </c>
      <c r="H7311" s="8" t="s">
        <v>40260</v>
      </c>
      <c r="I7311" s="8">
        <v>538.5</v>
      </c>
      <c r="J7311" s="3">
        <f t="shared" si="114"/>
        <v>43749.001446527771</v>
      </c>
    </row>
    <row r="7312" spans="1:10" x14ac:dyDescent="0.25">
      <c r="A7312" s="5" t="s">
        <v>40261</v>
      </c>
      <c r="B7312" s="6">
        <v>393.75</v>
      </c>
      <c r="C7312" s="6">
        <v>20.478950000000001</v>
      </c>
      <c r="D7312" s="6">
        <v>86</v>
      </c>
      <c r="E7312" s="6">
        <v>0</v>
      </c>
      <c r="F7312" s="6">
        <v>0</v>
      </c>
      <c r="G7312" s="6">
        <v>10</v>
      </c>
      <c r="H7312" s="6" t="s">
        <v>40262</v>
      </c>
      <c r="I7312" s="6">
        <v>526.6875</v>
      </c>
      <c r="J7312" s="2">
        <f t="shared" si="114"/>
        <v>43749.001517743054</v>
      </c>
    </row>
    <row r="7313" spans="1:10" x14ac:dyDescent="0.25">
      <c r="A7313" s="7" t="s">
        <v>40263</v>
      </c>
      <c r="B7313" s="8">
        <v>393.75</v>
      </c>
      <c r="C7313" s="8">
        <v>20.478950000000001</v>
      </c>
      <c r="D7313" s="8">
        <v>87</v>
      </c>
      <c r="E7313" s="8">
        <v>0</v>
      </c>
      <c r="F7313" s="8">
        <v>0</v>
      </c>
      <c r="G7313" s="8">
        <v>4</v>
      </c>
      <c r="H7313" s="8" t="s">
        <v>40264</v>
      </c>
      <c r="I7313" s="8">
        <v>526.6875</v>
      </c>
      <c r="J7313" s="3">
        <f t="shared" si="114"/>
        <v>43749.00158910879</v>
      </c>
    </row>
    <row r="7314" spans="1:10" x14ac:dyDescent="0.25">
      <c r="A7314" s="5" t="s">
        <v>40265</v>
      </c>
      <c r="B7314" s="6">
        <v>393.75</v>
      </c>
      <c r="C7314" s="6">
        <v>20.478950000000001</v>
      </c>
      <c r="D7314" s="6">
        <v>87</v>
      </c>
      <c r="E7314" s="6">
        <v>0</v>
      </c>
      <c r="F7314" s="6">
        <v>0</v>
      </c>
      <c r="G7314" s="6">
        <v>15</v>
      </c>
      <c r="H7314" s="6" t="s">
        <v>40266</v>
      </c>
      <c r="I7314" s="6">
        <v>526.6875</v>
      </c>
      <c r="J7314" s="2">
        <f t="shared" si="114"/>
        <v>43749.00166047454</v>
      </c>
    </row>
    <row r="7315" spans="1:10" x14ac:dyDescent="0.25">
      <c r="A7315" s="7" t="s">
        <v>40267</v>
      </c>
      <c r="B7315" s="8">
        <v>393.75</v>
      </c>
      <c r="C7315" s="8">
        <v>20.478950000000001</v>
      </c>
      <c r="D7315" s="8">
        <v>85</v>
      </c>
      <c r="E7315" s="8">
        <v>0</v>
      </c>
      <c r="F7315" s="8">
        <v>0</v>
      </c>
      <c r="G7315" s="8">
        <v>3</v>
      </c>
      <c r="H7315" s="8" t="s">
        <v>40268</v>
      </c>
      <c r="I7315" s="8">
        <v>526.6875</v>
      </c>
      <c r="J7315" s="3">
        <f t="shared" si="114"/>
        <v>43749.001732037032</v>
      </c>
    </row>
    <row r="7316" spans="1:10" x14ac:dyDescent="0.25">
      <c r="A7316" s="5" t="s">
        <v>40269</v>
      </c>
      <c r="B7316" s="6">
        <v>393.75</v>
      </c>
      <c r="C7316" s="6">
        <v>20.478950000000001</v>
      </c>
      <c r="D7316" s="6">
        <v>85</v>
      </c>
      <c r="E7316" s="6">
        <v>0</v>
      </c>
      <c r="F7316" s="6">
        <v>0</v>
      </c>
      <c r="G7316" s="6">
        <v>6</v>
      </c>
      <c r="H7316" s="6" t="s">
        <v>40270</v>
      </c>
      <c r="I7316" s="6">
        <v>526.6875</v>
      </c>
      <c r="J7316" s="2">
        <f t="shared" si="114"/>
        <v>43749.001815972217</v>
      </c>
    </row>
    <row r="7317" spans="1:10" x14ac:dyDescent="0.25">
      <c r="A7317" s="7" t="s">
        <v>40271</v>
      </c>
      <c r="B7317" s="8">
        <v>393.75</v>
      </c>
      <c r="C7317" s="8">
        <v>20.478950000000001</v>
      </c>
      <c r="D7317" s="8">
        <v>85</v>
      </c>
      <c r="E7317" s="8">
        <v>0</v>
      </c>
      <c r="F7317" s="8">
        <v>0</v>
      </c>
      <c r="G7317" s="8">
        <v>7</v>
      </c>
      <c r="H7317" s="8" t="s">
        <v>40272</v>
      </c>
      <c r="I7317" s="8">
        <v>526.6875</v>
      </c>
      <c r="J7317" s="3">
        <f t="shared" si="114"/>
        <v>43749.001887256942</v>
      </c>
    </row>
    <row r="7318" spans="1:10" x14ac:dyDescent="0.25">
      <c r="A7318" s="5" t="s">
        <v>40273</v>
      </c>
      <c r="B7318" s="6">
        <v>393.75</v>
      </c>
      <c r="C7318" s="6">
        <v>20.478950000000001</v>
      </c>
      <c r="D7318" s="6">
        <v>85</v>
      </c>
      <c r="E7318" s="6">
        <v>0</v>
      </c>
      <c r="F7318" s="6">
        <v>0</v>
      </c>
      <c r="G7318" s="6">
        <v>7</v>
      </c>
      <c r="H7318" s="6" t="s">
        <v>40274</v>
      </c>
      <c r="I7318" s="6">
        <v>526.6875</v>
      </c>
      <c r="J7318" s="2">
        <f t="shared" si="114"/>
        <v>43749.001972604165</v>
      </c>
    </row>
    <row r="7319" spans="1:10" x14ac:dyDescent="0.25">
      <c r="A7319" s="7" t="s">
        <v>40275</v>
      </c>
      <c r="B7319" s="8">
        <v>393.75</v>
      </c>
      <c r="C7319" s="8">
        <v>20.478950000000001</v>
      </c>
      <c r="D7319" s="8">
        <v>85</v>
      </c>
      <c r="E7319" s="8">
        <v>0</v>
      </c>
      <c r="F7319" s="8">
        <v>0</v>
      </c>
      <c r="G7319" s="8">
        <v>3</v>
      </c>
      <c r="H7319" s="8" t="s">
        <v>40276</v>
      </c>
      <c r="I7319" s="8">
        <v>526.6875</v>
      </c>
      <c r="J7319" s="3">
        <f t="shared" si="114"/>
        <v>43749.002054675926</v>
      </c>
    </row>
    <row r="7320" spans="1:10" x14ac:dyDescent="0.25">
      <c r="A7320" s="5" t="s">
        <v>40277</v>
      </c>
      <c r="B7320" s="6">
        <v>393.75</v>
      </c>
      <c r="C7320" s="6">
        <v>20.478950000000001</v>
      </c>
      <c r="D7320" s="6">
        <v>85</v>
      </c>
      <c r="E7320" s="6">
        <v>0</v>
      </c>
      <c r="F7320" s="6">
        <v>0</v>
      </c>
      <c r="G7320" s="6">
        <v>3</v>
      </c>
      <c r="H7320" s="6" t="s">
        <v>40278</v>
      </c>
      <c r="I7320" s="6">
        <v>526.6875</v>
      </c>
      <c r="J7320" s="2">
        <f t="shared" si="114"/>
        <v>43749.002126192128</v>
      </c>
    </row>
    <row r="7321" spans="1:10" x14ac:dyDescent="0.25">
      <c r="A7321" s="7" t="s">
        <v>40279</v>
      </c>
      <c r="B7321" s="8">
        <v>393.75</v>
      </c>
      <c r="C7321" s="8">
        <v>20.478950000000001</v>
      </c>
      <c r="D7321" s="8">
        <v>85</v>
      </c>
      <c r="E7321" s="8">
        <v>0</v>
      </c>
      <c r="F7321" s="8">
        <v>0</v>
      </c>
      <c r="G7321" s="8">
        <v>3</v>
      </c>
      <c r="H7321" s="8" t="s">
        <v>40280</v>
      </c>
      <c r="I7321" s="8">
        <v>526.5</v>
      </c>
      <c r="J7321" s="3">
        <f t="shared" si="114"/>
        <v>43749.002197430549</v>
      </c>
    </row>
    <row r="7322" spans="1:10" x14ac:dyDescent="0.25">
      <c r="A7322" s="5" t="s">
        <v>40281</v>
      </c>
      <c r="B7322" s="6">
        <v>393.75</v>
      </c>
      <c r="C7322" s="6">
        <v>20.478950000000001</v>
      </c>
      <c r="D7322" s="6">
        <v>84</v>
      </c>
      <c r="E7322" s="6">
        <v>0</v>
      </c>
      <c r="F7322" s="6">
        <v>0</v>
      </c>
      <c r="G7322" s="6">
        <v>5</v>
      </c>
      <c r="H7322" s="6" t="s">
        <v>40282</v>
      </c>
      <c r="I7322" s="6">
        <v>526.6875</v>
      </c>
      <c r="J7322" s="2">
        <f t="shared" si="114"/>
        <v>43749.00226872685</v>
      </c>
    </row>
    <row r="7323" spans="1:10" x14ac:dyDescent="0.25">
      <c r="A7323" s="7" t="s">
        <v>40283</v>
      </c>
      <c r="B7323" s="8">
        <v>393.75</v>
      </c>
      <c r="C7323" s="8">
        <v>20.478950000000001</v>
      </c>
      <c r="D7323" s="8">
        <v>84</v>
      </c>
      <c r="E7323" s="8">
        <v>0</v>
      </c>
      <c r="F7323" s="8">
        <v>0</v>
      </c>
      <c r="G7323" s="8">
        <v>3</v>
      </c>
      <c r="H7323" s="8" t="s">
        <v>40284</v>
      </c>
      <c r="I7323" s="8">
        <v>526.6875</v>
      </c>
      <c r="J7323" s="3">
        <f t="shared" si="114"/>
        <v>43749.002340752311</v>
      </c>
    </row>
    <row r="7324" spans="1:10" x14ac:dyDescent="0.25">
      <c r="A7324" s="5" t="s">
        <v>40285</v>
      </c>
      <c r="B7324" s="6">
        <v>393.75</v>
      </c>
      <c r="C7324" s="6">
        <v>20.478950000000001</v>
      </c>
      <c r="D7324" s="6">
        <v>84</v>
      </c>
      <c r="E7324" s="6">
        <v>0</v>
      </c>
      <c r="F7324" s="6">
        <v>0</v>
      </c>
      <c r="G7324" s="6">
        <v>12</v>
      </c>
      <c r="H7324" s="6" t="s">
        <v>40286</v>
      </c>
      <c r="I7324" s="6">
        <v>526.6875</v>
      </c>
      <c r="J7324" s="2">
        <f t="shared" si="114"/>
        <v>43749.002412245369</v>
      </c>
    </row>
    <row r="7325" spans="1:10" x14ac:dyDescent="0.25">
      <c r="A7325" s="7" t="s">
        <v>40287</v>
      </c>
      <c r="B7325" s="8">
        <v>393.75</v>
      </c>
      <c r="C7325" s="8">
        <v>20.478950000000001</v>
      </c>
      <c r="D7325" s="8">
        <v>84</v>
      </c>
      <c r="E7325" s="8">
        <v>0</v>
      </c>
      <c r="F7325" s="8">
        <v>0</v>
      </c>
      <c r="G7325" s="8">
        <v>10</v>
      </c>
      <c r="H7325" s="8" t="s">
        <v>40288</v>
      </c>
      <c r="I7325" s="8">
        <v>526.6875</v>
      </c>
      <c r="J7325" s="3">
        <f t="shared" si="114"/>
        <v>43749.002484699071</v>
      </c>
    </row>
    <row r="7326" spans="1:10" x14ac:dyDescent="0.25">
      <c r="A7326" s="5" t="s">
        <v>40289</v>
      </c>
      <c r="B7326" s="6">
        <v>412.5</v>
      </c>
      <c r="C7326" s="6">
        <v>20.478950000000001</v>
      </c>
      <c r="D7326" s="6">
        <v>84</v>
      </c>
      <c r="E7326" s="6">
        <v>0</v>
      </c>
      <c r="F7326" s="6">
        <v>0</v>
      </c>
      <c r="G7326" s="6">
        <v>7</v>
      </c>
      <c r="H7326" s="6" t="s">
        <v>40290</v>
      </c>
      <c r="I7326" s="6">
        <v>532.3125</v>
      </c>
      <c r="J7326" s="2">
        <f t="shared" si="114"/>
        <v>43749.00255488426</v>
      </c>
    </row>
    <row r="7327" spans="1:10" x14ac:dyDescent="0.25">
      <c r="A7327" s="7" t="s">
        <v>40291</v>
      </c>
      <c r="B7327" s="8">
        <v>393.75</v>
      </c>
      <c r="C7327" s="8">
        <v>20.478950000000001</v>
      </c>
      <c r="D7327" s="8">
        <v>85</v>
      </c>
      <c r="E7327" s="8">
        <v>0</v>
      </c>
      <c r="F7327" s="8">
        <v>0</v>
      </c>
      <c r="G7327" s="8">
        <v>10</v>
      </c>
      <c r="H7327" s="8" t="s">
        <v>40292</v>
      </c>
      <c r="I7327" s="8">
        <v>526.6875</v>
      </c>
      <c r="J7327" s="3">
        <f t="shared" si="114"/>
        <v>43749.002627002315</v>
      </c>
    </row>
    <row r="7328" spans="1:10" x14ac:dyDescent="0.25">
      <c r="A7328" s="5" t="s">
        <v>40293</v>
      </c>
      <c r="B7328" s="6">
        <v>393.75</v>
      </c>
      <c r="C7328" s="6">
        <v>20.478950000000001</v>
      </c>
      <c r="D7328" s="6">
        <v>85</v>
      </c>
      <c r="E7328" s="6">
        <v>0</v>
      </c>
      <c r="F7328" s="6">
        <v>0</v>
      </c>
      <c r="G7328" s="6">
        <v>6</v>
      </c>
      <c r="H7328" s="6" t="s">
        <v>40294</v>
      </c>
      <c r="I7328" s="6">
        <v>526.6875</v>
      </c>
      <c r="J7328" s="2">
        <f t="shared" si="114"/>
        <v>43749.002710497683</v>
      </c>
    </row>
    <row r="7329" spans="1:10" x14ac:dyDescent="0.25">
      <c r="A7329" s="7" t="s">
        <v>40295</v>
      </c>
      <c r="B7329" s="8">
        <v>393.75</v>
      </c>
      <c r="C7329" s="8">
        <v>20.478950000000001</v>
      </c>
      <c r="D7329" s="8">
        <v>84</v>
      </c>
      <c r="E7329" s="8">
        <v>0</v>
      </c>
      <c r="F7329" s="8">
        <v>0</v>
      </c>
      <c r="G7329" s="8">
        <v>6</v>
      </c>
      <c r="H7329" s="8" t="s">
        <v>40296</v>
      </c>
      <c r="I7329" s="8">
        <v>526.6875</v>
      </c>
      <c r="J7329" s="3">
        <f t="shared" si="114"/>
        <v>43749.002781689815</v>
      </c>
    </row>
    <row r="7330" spans="1:10" x14ac:dyDescent="0.25">
      <c r="A7330" s="5" t="s">
        <v>40297</v>
      </c>
      <c r="B7330" s="6">
        <v>393.75</v>
      </c>
      <c r="C7330" s="6">
        <v>20.478950000000001</v>
      </c>
      <c r="D7330" s="6">
        <v>81</v>
      </c>
      <c r="E7330" s="6">
        <v>0</v>
      </c>
      <c r="F7330" s="6">
        <v>0</v>
      </c>
      <c r="G7330" s="6">
        <v>15</v>
      </c>
      <c r="H7330" s="6" t="s">
        <v>40298</v>
      </c>
      <c r="I7330" s="6">
        <v>526.6875</v>
      </c>
      <c r="J7330" s="2">
        <f t="shared" si="114"/>
        <v>43749.002853715276</v>
      </c>
    </row>
    <row r="7331" spans="1:10" x14ac:dyDescent="0.25">
      <c r="A7331" s="7" t="s">
        <v>40299</v>
      </c>
      <c r="B7331" s="8">
        <v>393.75</v>
      </c>
      <c r="C7331" s="8">
        <v>20.478950000000001</v>
      </c>
      <c r="D7331" s="8">
        <v>79</v>
      </c>
      <c r="E7331" s="8">
        <v>0</v>
      </c>
      <c r="F7331" s="8">
        <v>0</v>
      </c>
      <c r="G7331" s="8">
        <v>14</v>
      </c>
      <c r="H7331" s="8" t="s">
        <v>40300</v>
      </c>
      <c r="I7331" s="8">
        <v>526.6875</v>
      </c>
      <c r="J7331" s="3">
        <f t="shared" si="114"/>
        <v>43749.002925127315</v>
      </c>
    </row>
    <row r="7332" spans="1:10" x14ac:dyDescent="0.25">
      <c r="A7332" s="5" t="s">
        <v>40301</v>
      </c>
      <c r="B7332" s="6">
        <v>393.75</v>
      </c>
      <c r="C7332" s="6">
        <v>20.478950000000001</v>
      </c>
      <c r="D7332" s="6">
        <v>79</v>
      </c>
      <c r="E7332" s="6">
        <v>0</v>
      </c>
      <c r="F7332" s="6">
        <v>0</v>
      </c>
      <c r="G7332" s="6">
        <v>9</v>
      </c>
      <c r="H7332" s="6" t="s">
        <v>40302</v>
      </c>
      <c r="I7332" s="6">
        <v>526.6875</v>
      </c>
      <c r="J7332" s="2">
        <f t="shared" si="114"/>
        <v>43749.002996516203</v>
      </c>
    </row>
    <row r="7333" spans="1:10" x14ac:dyDescent="0.25">
      <c r="A7333" s="7" t="s">
        <v>40303</v>
      </c>
      <c r="B7333" s="8">
        <v>393.75</v>
      </c>
      <c r="C7333" s="8">
        <v>20.478950000000001</v>
      </c>
      <c r="D7333" s="8">
        <v>79</v>
      </c>
      <c r="E7333" s="8">
        <v>0</v>
      </c>
      <c r="F7333" s="8">
        <v>0</v>
      </c>
      <c r="G7333" s="8">
        <v>10</v>
      </c>
      <c r="H7333" s="8" t="s">
        <v>40304</v>
      </c>
      <c r="I7333" s="8">
        <v>526.6875</v>
      </c>
      <c r="J7333" s="3">
        <f t="shared" si="114"/>
        <v>43749.003067754624</v>
      </c>
    </row>
    <row r="7334" spans="1:10" x14ac:dyDescent="0.25">
      <c r="A7334" s="5" t="s">
        <v>40305</v>
      </c>
      <c r="B7334" s="6">
        <v>393.75</v>
      </c>
      <c r="C7334" s="6">
        <v>20.478950000000001</v>
      </c>
      <c r="D7334" s="6">
        <v>83</v>
      </c>
      <c r="E7334" s="6">
        <v>0</v>
      </c>
      <c r="F7334" s="6">
        <v>0</v>
      </c>
      <c r="G7334" s="6">
        <v>3</v>
      </c>
      <c r="H7334" s="6" t="s">
        <v>40306</v>
      </c>
      <c r="I7334" s="6">
        <v>526.6875</v>
      </c>
      <c r="J7334" s="2">
        <f t="shared" si="114"/>
        <v>43749.003163240741</v>
      </c>
    </row>
    <row r="7335" spans="1:10" x14ac:dyDescent="0.25">
      <c r="A7335" s="7" t="s">
        <v>40307</v>
      </c>
      <c r="B7335" s="8">
        <v>393.75</v>
      </c>
      <c r="C7335" s="8">
        <v>20.478950000000001</v>
      </c>
      <c r="D7335" s="8">
        <v>83</v>
      </c>
      <c r="E7335" s="8">
        <v>0</v>
      </c>
      <c r="F7335" s="8">
        <v>0</v>
      </c>
      <c r="G7335" s="8">
        <v>8</v>
      </c>
      <c r="H7335" s="8" t="s">
        <v>40308</v>
      </c>
      <c r="I7335" s="8">
        <v>526.6875</v>
      </c>
      <c r="J7335" s="3">
        <f t="shared" si="114"/>
        <v>43749.003235381941</v>
      </c>
    </row>
    <row r="7336" spans="1:10" x14ac:dyDescent="0.25">
      <c r="A7336" s="5" t="s">
        <v>40309</v>
      </c>
      <c r="B7336" s="6">
        <v>393.75</v>
      </c>
      <c r="C7336" s="6">
        <v>20.478950000000001</v>
      </c>
      <c r="D7336" s="6">
        <v>83</v>
      </c>
      <c r="E7336" s="6">
        <v>0</v>
      </c>
      <c r="F7336" s="6">
        <v>0</v>
      </c>
      <c r="G7336" s="6">
        <v>7</v>
      </c>
      <c r="H7336" s="6" t="s">
        <v>40310</v>
      </c>
      <c r="I7336" s="6">
        <v>526.6875</v>
      </c>
      <c r="J7336" s="2">
        <f t="shared" si="114"/>
        <v>43749.00330665509</v>
      </c>
    </row>
    <row r="7337" spans="1:10" x14ac:dyDescent="0.25">
      <c r="A7337" s="7" t="s">
        <v>40311</v>
      </c>
      <c r="B7337" s="8">
        <v>393.75</v>
      </c>
      <c r="C7337" s="8">
        <v>20.478950000000001</v>
      </c>
      <c r="D7337" s="8">
        <v>81</v>
      </c>
      <c r="E7337" s="8">
        <v>0</v>
      </c>
      <c r="F7337" s="8">
        <v>0</v>
      </c>
      <c r="G7337" s="8">
        <v>5</v>
      </c>
      <c r="H7337" s="8" t="s">
        <v>40312</v>
      </c>
      <c r="I7337" s="8">
        <v>526.6875</v>
      </c>
      <c r="J7337" s="3">
        <f t="shared" si="114"/>
        <v>43749.003377986104</v>
      </c>
    </row>
    <row r="7338" spans="1:10" x14ac:dyDescent="0.25">
      <c r="A7338" s="5" t="s">
        <v>40313</v>
      </c>
      <c r="B7338" s="6">
        <v>393.75</v>
      </c>
      <c r="C7338" s="6">
        <v>20.478950000000001</v>
      </c>
      <c r="D7338" s="6">
        <v>80</v>
      </c>
      <c r="E7338" s="6">
        <v>0</v>
      </c>
      <c r="F7338" s="6">
        <v>0</v>
      </c>
      <c r="G7338" s="6">
        <v>11</v>
      </c>
      <c r="H7338" s="6" t="s">
        <v>40314</v>
      </c>
      <c r="I7338" s="6">
        <v>526.6875</v>
      </c>
      <c r="J7338" s="2">
        <f t="shared" si="114"/>
        <v>43749.003450150463</v>
      </c>
    </row>
    <row r="7339" spans="1:10" x14ac:dyDescent="0.25">
      <c r="A7339" s="7" t="s">
        <v>40315</v>
      </c>
      <c r="B7339" s="8">
        <v>393.75</v>
      </c>
      <c r="C7339" s="8">
        <v>20.478950000000001</v>
      </c>
      <c r="D7339" s="8">
        <v>80</v>
      </c>
      <c r="E7339" s="8">
        <v>0</v>
      </c>
      <c r="F7339" s="8">
        <v>0</v>
      </c>
      <c r="G7339" s="8">
        <v>7</v>
      </c>
      <c r="H7339" s="8" t="s">
        <v>40316</v>
      </c>
      <c r="I7339" s="8">
        <v>526.6875</v>
      </c>
      <c r="J7339" s="3">
        <f t="shared" si="114"/>
        <v>43749.003533518517</v>
      </c>
    </row>
    <row r="7340" spans="1:10" x14ac:dyDescent="0.25">
      <c r="A7340" s="5" t="s">
        <v>40317</v>
      </c>
      <c r="B7340" s="6">
        <v>393.75</v>
      </c>
      <c r="C7340" s="6">
        <v>20.478950000000001</v>
      </c>
      <c r="D7340" s="6">
        <v>79</v>
      </c>
      <c r="E7340" s="6">
        <v>0</v>
      </c>
      <c r="F7340" s="6">
        <v>0</v>
      </c>
      <c r="G7340" s="6">
        <v>9</v>
      </c>
      <c r="H7340" s="6" t="s">
        <v>40318</v>
      </c>
      <c r="I7340" s="6">
        <v>526.6875</v>
      </c>
      <c r="J7340" s="2">
        <f t="shared" si="114"/>
        <v>43749.003604837962</v>
      </c>
    </row>
    <row r="7341" spans="1:10" x14ac:dyDescent="0.25">
      <c r="A7341" s="7" t="s">
        <v>40319</v>
      </c>
      <c r="B7341" s="8">
        <v>393.75</v>
      </c>
      <c r="C7341" s="8">
        <v>20.478950000000001</v>
      </c>
      <c r="D7341" s="8">
        <v>78</v>
      </c>
      <c r="E7341" s="8">
        <v>0</v>
      </c>
      <c r="F7341" s="8">
        <v>0</v>
      </c>
      <c r="G7341" s="8">
        <v>3</v>
      </c>
      <c r="H7341" s="8" t="s">
        <v>40320</v>
      </c>
      <c r="I7341" s="8">
        <v>526.6875</v>
      </c>
      <c r="J7341" s="3">
        <f t="shared" si="114"/>
        <v>43749.003676122687</v>
      </c>
    </row>
    <row r="7342" spans="1:10" x14ac:dyDescent="0.25">
      <c r="A7342" s="5" t="s">
        <v>40321</v>
      </c>
      <c r="B7342" s="6">
        <v>393.75</v>
      </c>
      <c r="C7342" s="6">
        <v>20.478950000000001</v>
      </c>
      <c r="D7342" s="6">
        <v>78</v>
      </c>
      <c r="E7342" s="6">
        <v>0</v>
      </c>
      <c r="F7342" s="6">
        <v>0</v>
      </c>
      <c r="G7342" s="6">
        <v>8</v>
      </c>
      <c r="H7342" s="6" t="s">
        <v>40322</v>
      </c>
      <c r="I7342" s="6">
        <v>526.6875</v>
      </c>
      <c r="J7342" s="2">
        <f t="shared" si="114"/>
        <v>43749.003748402778</v>
      </c>
    </row>
    <row r="7343" spans="1:10" x14ac:dyDescent="0.25">
      <c r="A7343" s="7" t="s">
        <v>40323</v>
      </c>
      <c r="B7343" s="8">
        <v>393.75</v>
      </c>
      <c r="C7343" s="8">
        <v>20.478950000000001</v>
      </c>
      <c r="D7343" s="8">
        <v>78</v>
      </c>
      <c r="E7343" s="8">
        <v>0</v>
      </c>
      <c r="F7343" s="8">
        <v>0</v>
      </c>
      <c r="G7343" s="8">
        <v>8</v>
      </c>
      <c r="H7343" s="8" t="s">
        <v>40324</v>
      </c>
      <c r="I7343" s="8">
        <v>526.6875</v>
      </c>
      <c r="J7343" s="3">
        <f t="shared" si="114"/>
        <v>43749.003819583326</v>
      </c>
    </row>
    <row r="7344" spans="1:10" x14ac:dyDescent="0.25">
      <c r="A7344" s="5" t="s">
        <v>40325</v>
      </c>
      <c r="B7344" s="6">
        <v>412.5</v>
      </c>
      <c r="C7344" s="6">
        <v>20.478950000000001</v>
      </c>
      <c r="D7344" s="6">
        <v>78</v>
      </c>
      <c r="E7344" s="6">
        <v>0</v>
      </c>
      <c r="F7344" s="6">
        <v>0</v>
      </c>
      <c r="G7344" s="6">
        <v>11</v>
      </c>
      <c r="H7344" s="6" t="s">
        <v>40326</v>
      </c>
      <c r="I7344" s="6">
        <v>532.875</v>
      </c>
      <c r="J7344" s="2">
        <f t="shared" si="114"/>
        <v>43749.003890960645</v>
      </c>
    </row>
    <row r="7345" spans="1:10" x14ac:dyDescent="0.25">
      <c r="A7345" s="7" t="s">
        <v>40327</v>
      </c>
      <c r="B7345" s="8">
        <v>393.75</v>
      </c>
      <c r="C7345" s="8">
        <v>20.478950000000001</v>
      </c>
      <c r="D7345" s="8">
        <v>76</v>
      </c>
      <c r="E7345" s="8">
        <v>0</v>
      </c>
      <c r="F7345" s="8">
        <v>0</v>
      </c>
      <c r="G7345" s="8">
        <v>7</v>
      </c>
      <c r="H7345" s="8" t="s">
        <v>40328</v>
      </c>
      <c r="I7345" s="8">
        <v>526.5</v>
      </c>
      <c r="J7345" s="3">
        <f t="shared" si="114"/>
        <v>43749.003974270832</v>
      </c>
    </row>
    <row r="7346" spans="1:10" x14ac:dyDescent="0.25">
      <c r="A7346" s="5" t="s">
        <v>40329</v>
      </c>
      <c r="B7346" s="6">
        <v>393.75</v>
      </c>
      <c r="C7346" s="6">
        <v>20.478950000000001</v>
      </c>
      <c r="D7346" s="6">
        <v>77</v>
      </c>
      <c r="E7346" s="6">
        <v>0</v>
      </c>
      <c r="F7346" s="6">
        <v>0</v>
      </c>
      <c r="G7346" s="6">
        <v>13</v>
      </c>
      <c r="H7346" s="6" t="s">
        <v>40330</v>
      </c>
      <c r="I7346" s="6">
        <v>526.6875</v>
      </c>
      <c r="J7346" s="2">
        <f t="shared" si="114"/>
        <v>43749.004046504626</v>
      </c>
    </row>
    <row r="7347" spans="1:10" x14ac:dyDescent="0.25">
      <c r="A7347" s="7" t="s">
        <v>40331</v>
      </c>
      <c r="B7347" s="8">
        <v>393.75</v>
      </c>
      <c r="C7347" s="8">
        <v>20.478950000000001</v>
      </c>
      <c r="D7347" s="8">
        <v>77</v>
      </c>
      <c r="E7347" s="8">
        <v>0</v>
      </c>
      <c r="F7347" s="8">
        <v>0</v>
      </c>
      <c r="G7347" s="8">
        <v>3</v>
      </c>
      <c r="H7347" s="8" t="s">
        <v>40332</v>
      </c>
      <c r="I7347" s="8">
        <v>526.6875</v>
      </c>
      <c r="J7347" s="3">
        <f t="shared" si="114"/>
        <v>43749.00411783564</v>
      </c>
    </row>
    <row r="7348" spans="1:10" x14ac:dyDescent="0.25">
      <c r="A7348" s="5" t="s">
        <v>40333</v>
      </c>
      <c r="B7348" s="6">
        <v>393.75</v>
      </c>
      <c r="C7348" s="6">
        <v>20.478950000000001</v>
      </c>
      <c r="D7348" s="6">
        <v>77</v>
      </c>
      <c r="E7348" s="6">
        <v>0</v>
      </c>
      <c r="F7348" s="6">
        <v>0</v>
      </c>
      <c r="G7348" s="6">
        <v>5</v>
      </c>
      <c r="H7348" s="6" t="s">
        <v>40334</v>
      </c>
      <c r="I7348" s="6">
        <v>526.6875</v>
      </c>
      <c r="J7348" s="2">
        <f t="shared" si="114"/>
        <v>43749.004189097221</v>
      </c>
    </row>
    <row r="7349" spans="1:10" x14ac:dyDescent="0.25">
      <c r="A7349" s="7" t="s">
        <v>40335</v>
      </c>
      <c r="B7349" s="8">
        <v>393.75</v>
      </c>
      <c r="C7349" s="8">
        <v>20.478950000000001</v>
      </c>
      <c r="D7349" s="8">
        <v>77</v>
      </c>
      <c r="E7349" s="8">
        <v>0</v>
      </c>
      <c r="F7349" s="8">
        <v>0</v>
      </c>
      <c r="G7349" s="8">
        <v>2</v>
      </c>
      <c r="H7349" s="8" t="s">
        <v>40336</v>
      </c>
      <c r="I7349" s="8">
        <v>526.6875</v>
      </c>
      <c r="J7349" s="3">
        <f t="shared" si="114"/>
        <v>43749.004261145827</v>
      </c>
    </row>
    <row r="7350" spans="1:10" x14ac:dyDescent="0.25">
      <c r="A7350" s="5" t="s">
        <v>40337</v>
      </c>
      <c r="B7350" s="6">
        <v>393.75</v>
      </c>
      <c r="C7350" s="6">
        <v>20.478950000000001</v>
      </c>
      <c r="D7350" s="6">
        <v>77</v>
      </c>
      <c r="E7350" s="6">
        <v>0</v>
      </c>
      <c r="F7350" s="6">
        <v>0</v>
      </c>
      <c r="G7350" s="6">
        <v>7</v>
      </c>
      <c r="H7350" s="6" t="s">
        <v>40338</v>
      </c>
      <c r="I7350" s="6">
        <v>526.6875</v>
      </c>
      <c r="J7350" s="2">
        <f t="shared" si="114"/>
        <v>43749.004331747681</v>
      </c>
    </row>
    <row r="7351" spans="1:10" x14ac:dyDescent="0.25">
      <c r="A7351" s="7" t="s">
        <v>40339</v>
      </c>
      <c r="B7351" s="8">
        <v>393.75</v>
      </c>
      <c r="C7351" s="8">
        <v>20.478950000000001</v>
      </c>
      <c r="D7351" s="8">
        <v>75</v>
      </c>
      <c r="E7351" s="8">
        <v>0</v>
      </c>
      <c r="F7351" s="8">
        <v>0</v>
      </c>
      <c r="G7351" s="8">
        <v>4</v>
      </c>
      <c r="H7351" s="8" t="s">
        <v>40340</v>
      </c>
      <c r="I7351" s="8">
        <v>526.6875</v>
      </c>
      <c r="J7351" s="3">
        <f t="shared" si="114"/>
        <v>43749.004427928237</v>
      </c>
    </row>
    <row r="7352" spans="1:10" x14ac:dyDescent="0.25">
      <c r="A7352" s="5" t="s">
        <v>40341</v>
      </c>
      <c r="B7352" s="6">
        <v>393.75</v>
      </c>
      <c r="C7352" s="6">
        <v>20.478950000000001</v>
      </c>
      <c r="D7352" s="6">
        <v>76</v>
      </c>
      <c r="E7352" s="6">
        <v>0</v>
      </c>
      <c r="F7352" s="6">
        <v>0</v>
      </c>
      <c r="G7352" s="6">
        <v>9</v>
      </c>
      <c r="H7352" s="6" t="s">
        <v>40342</v>
      </c>
      <c r="I7352" s="6">
        <v>526.6875</v>
      </c>
      <c r="J7352" s="2">
        <f t="shared" si="114"/>
        <v>43749.004511273146</v>
      </c>
    </row>
    <row r="7353" spans="1:10" x14ac:dyDescent="0.25">
      <c r="A7353" s="7" t="s">
        <v>40343</v>
      </c>
      <c r="B7353" s="8">
        <v>393.75</v>
      </c>
      <c r="C7353" s="8">
        <v>20.478950000000001</v>
      </c>
      <c r="D7353" s="8">
        <v>76</v>
      </c>
      <c r="E7353" s="8">
        <v>0</v>
      </c>
      <c r="F7353" s="8">
        <v>0</v>
      </c>
      <c r="G7353" s="8">
        <v>9</v>
      </c>
      <c r="H7353" s="8" t="s">
        <v>40344</v>
      </c>
      <c r="I7353" s="8">
        <v>526.6875</v>
      </c>
      <c r="J7353" s="3">
        <f t="shared" si="114"/>
        <v>43749.004582615737</v>
      </c>
    </row>
    <row r="7354" spans="1:10" x14ac:dyDescent="0.25">
      <c r="A7354" s="5" t="s">
        <v>40345</v>
      </c>
      <c r="B7354" s="6">
        <v>393.75</v>
      </c>
      <c r="C7354" s="6">
        <v>20.478950000000001</v>
      </c>
      <c r="D7354" s="6">
        <v>77</v>
      </c>
      <c r="E7354" s="6">
        <v>0</v>
      </c>
      <c r="F7354" s="6">
        <v>0</v>
      </c>
      <c r="G7354" s="6">
        <v>5</v>
      </c>
      <c r="H7354" s="6" t="s">
        <v>40346</v>
      </c>
      <c r="I7354" s="6">
        <v>526.6875</v>
      </c>
      <c r="J7354" s="2">
        <f t="shared" si="114"/>
        <v>43749.004654780088</v>
      </c>
    </row>
    <row r="7355" spans="1:10" x14ac:dyDescent="0.25">
      <c r="A7355" s="7" t="s">
        <v>40347</v>
      </c>
      <c r="B7355" s="8">
        <v>393.75</v>
      </c>
      <c r="C7355" s="8">
        <v>20.478950000000001</v>
      </c>
      <c r="D7355" s="8">
        <v>80</v>
      </c>
      <c r="E7355" s="8">
        <v>0</v>
      </c>
      <c r="F7355" s="8">
        <v>0</v>
      </c>
      <c r="G7355" s="8">
        <v>4</v>
      </c>
      <c r="H7355" s="8" t="s">
        <v>40348</v>
      </c>
      <c r="I7355" s="8">
        <v>526.5</v>
      </c>
      <c r="J7355" s="3">
        <f t="shared" si="114"/>
        <v>43749.004737615738</v>
      </c>
    </row>
    <row r="7356" spans="1:10" x14ac:dyDescent="0.25">
      <c r="A7356" s="5" t="s">
        <v>40349</v>
      </c>
      <c r="B7356" s="6">
        <v>393.75</v>
      </c>
      <c r="C7356" s="6">
        <v>20.478950000000001</v>
      </c>
      <c r="D7356" s="6">
        <v>78</v>
      </c>
      <c r="E7356" s="6">
        <v>0</v>
      </c>
      <c r="F7356" s="6">
        <v>0</v>
      </c>
      <c r="G7356" s="6">
        <v>21</v>
      </c>
      <c r="H7356" s="6" t="s">
        <v>40350</v>
      </c>
      <c r="I7356" s="6">
        <v>526.5</v>
      </c>
      <c r="J7356" s="2">
        <f t="shared" si="114"/>
        <v>43749.004821458329</v>
      </c>
    </row>
    <row r="7357" spans="1:10" x14ac:dyDescent="0.25">
      <c r="A7357" s="7" t="s">
        <v>40351</v>
      </c>
      <c r="B7357" s="8">
        <v>393.75</v>
      </c>
      <c r="C7357" s="8">
        <v>20.478950000000001</v>
      </c>
      <c r="D7357" s="8">
        <v>78</v>
      </c>
      <c r="E7357" s="8">
        <v>0</v>
      </c>
      <c r="F7357" s="8">
        <v>0</v>
      </c>
      <c r="G7357" s="8">
        <v>4</v>
      </c>
      <c r="H7357" s="8" t="s">
        <v>40352</v>
      </c>
      <c r="I7357" s="8">
        <v>526.6875</v>
      </c>
      <c r="J7357" s="3">
        <f t="shared" si="114"/>
        <v>43749.004892800927</v>
      </c>
    </row>
    <row r="7358" spans="1:10" x14ac:dyDescent="0.25">
      <c r="A7358" s="5" t="s">
        <v>40353</v>
      </c>
      <c r="B7358" s="6">
        <v>393.75</v>
      </c>
      <c r="C7358" s="6">
        <v>20.478950000000001</v>
      </c>
      <c r="D7358" s="6">
        <v>78</v>
      </c>
      <c r="E7358" s="6">
        <v>0</v>
      </c>
      <c r="F7358" s="6">
        <v>0</v>
      </c>
      <c r="G7358" s="6">
        <v>2</v>
      </c>
      <c r="H7358" s="6" t="s">
        <v>40354</v>
      </c>
      <c r="I7358" s="6">
        <v>526.6875</v>
      </c>
      <c r="J7358" s="2">
        <f t="shared" si="114"/>
        <v>43749.004964178239</v>
      </c>
    </row>
    <row r="7359" spans="1:10" x14ac:dyDescent="0.25">
      <c r="A7359" s="7" t="s">
        <v>40355</v>
      </c>
      <c r="B7359" s="8">
        <v>393.75</v>
      </c>
      <c r="C7359" s="8">
        <v>20.478950000000001</v>
      </c>
      <c r="D7359" s="8">
        <v>79</v>
      </c>
      <c r="E7359" s="8">
        <v>0</v>
      </c>
      <c r="F7359" s="8">
        <v>0</v>
      </c>
      <c r="G7359" s="8">
        <v>0</v>
      </c>
      <c r="H7359" s="8" t="s">
        <v>40356</v>
      </c>
      <c r="I7359" s="8">
        <v>526.6875</v>
      </c>
      <c r="J7359" s="3">
        <f t="shared" si="114"/>
        <v>43749.005036273149</v>
      </c>
    </row>
    <row r="7360" spans="1:10" x14ac:dyDescent="0.25">
      <c r="A7360" s="5" t="s">
        <v>40357</v>
      </c>
      <c r="B7360" s="6">
        <v>393.75</v>
      </c>
      <c r="C7360" s="6">
        <v>20.478950000000001</v>
      </c>
      <c r="D7360" s="6">
        <v>79</v>
      </c>
      <c r="E7360" s="6">
        <v>0</v>
      </c>
      <c r="F7360" s="6">
        <v>0</v>
      </c>
      <c r="G7360" s="6">
        <v>5</v>
      </c>
      <c r="H7360" s="6" t="s">
        <v>40358</v>
      </c>
      <c r="I7360" s="6">
        <v>526.6875</v>
      </c>
      <c r="J7360" s="2">
        <f t="shared" si="114"/>
        <v>43749.005107581012</v>
      </c>
    </row>
    <row r="7361" spans="1:10" x14ac:dyDescent="0.25">
      <c r="A7361" s="7" t="s">
        <v>40359</v>
      </c>
      <c r="B7361" s="8">
        <v>393.75</v>
      </c>
      <c r="C7361" s="8">
        <v>20.478950000000001</v>
      </c>
      <c r="D7361" s="8">
        <v>78</v>
      </c>
      <c r="E7361" s="8">
        <v>0</v>
      </c>
      <c r="F7361" s="8">
        <v>0</v>
      </c>
      <c r="G7361" s="8">
        <v>8</v>
      </c>
      <c r="H7361" s="8" t="s">
        <v>40360</v>
      </c>
      <c r="I7361" s="8">
        <v>526.6875</v>
      </c>
      <c r="J7361" s="3">
        <f t="shared" si="114"/>
        <v>43749.00517895833</v>
      </c>
    </row>
    <row r="7362" spans="1:10" x14ac:dyDescent="0.25">
      <c r="A7362" s="5" t="s">
        <v>40361</v>
      </c>
      <c r="B7362" s="6">
        <v>393.75</v>
      </c>
      <c r="C7362" s="6">
        <v>20.478950000000001</v>
      </c>
      <c r="D7362" s="6">
        <v>78</v>
      </c>
      <c r="E7362" s="6">
        <v>0</v>
      </c>
      <c r="F7362" s="6">
        <v>0</v>
      </c>
      <c r="G7362" s="6">
        <v>2</v>
      </c>
      <c r="H7362" s="6" t="s">
        <v>40362</v>
      </c>
      <c r="I7362" s="6">
        <v>526.6875</v>
      </c>
      <c r="J7362" s="2">
        <f t="shared" ref="J7362:J7425" si="115">(H7362/86400000)+25569+(7/24)</f>
        <v>43749.005250902774</v>
      </c>
    </row>
    <row r="7363" spans="1:10" x14ac:dyDescent="0.25">
      <c r="A7363" s="7" t="s">
        <v>40363</v>
      </c>
      <c r="B7363" s="8">
        <v>393.75</v>
      </c>
      <c r="C7363" s="8">
        <v>20.478950000000001</v>
      </c>
      <c r="D7363" s="8">
        <v>77</v>
      </c>
      <c r="E7363" s="8">
        <v>0</v>
      </c>
      <c r="F7363" s="8">
        <v>0</v>
      </c>
      <c r="G7363" s="8">
        <v>1</v>
      </c>
      <c r="H7363" s="8" t="s">
        <v>40364</v>
      </c>
      <c r="I7363" s="8">
        <v>526.5</v>
      </c>
      <c r="J7363" s="3">
        <f t="shared" si="115"/>
        <v>43749.00533447916</v>
      </c>
    </row>
    <row r="7364" spans="1:10" x14ac:dyDescent="0.25">
      <c r="A7364" s="5" t="s">
        <v>40365</v>
      </c>
      <c r="B7364" s="6">
        <v>412.5</v>
      </c>
      <c r="C7364" s="6">
        <v>20.478950000000001</v>
      </c>
      <c r="D7364" s="6">
        <v>80</v>
      </c>
      <c r="E7364" s="6">
        <v>0</v>
      </c>
      <c r="F7364" s="6">
        <v>0</v>
      </c>
      <c r="G7364" s="6">
        <v>2</v>
      </c>
      <c r="H7364" s="6" t="s">
        <v>40366</v>
      </c>
      <c r="I7364" s="6">
        <v>532.3125</v>
      </c>
      <c r="J7364" s="2">
        <f t="shared" si="115"/>
        <v>43749.005405729164</v>
      </c>
    </row>
    <row r="7365" spans="1:10" x14ac:dyDescent="0.25">
      <c r="A7365" s="7" t="s">
        <v>40367</v>
      </c>
      <c r="B7365" s="8">
        <v>393.75</v>
      </c>
      <c r="C7365" s="8">
        <v>20.478950000000001</v>
      </c>
      <c r="D7365" s="8">
        <v>80</v>
      </c>
      <c r="E7365" s="8">
        <v>0</v>
      </c>
      <c r="F7365" s="8">
        <v>0</v>
      </c>
      <c r="G7365" s="8">
        <v>11</v>
      </c>
      <c r="H7365" s="8" t="s">
        <v>40368</v>
      </c>
      <c r="I7365" s="8">
        <v>526.6875</v>
      </c>
      <c r="J7365" s="3">
        <f t="shared" si="115"/>
        <v>43749.005489340278</v>
      </c>
    </row>
    <row r="7366" spans="1:10" x14ac:dyDescent="0.25">
      <c r="A7366" s="5" t="s">
        <v>40369</v>
      </c>
      <c r="B7366" s="6">
        <v>393.75</v>
      </c>
      <c r="C7366" s="6">
        <v>20.478950000000001</v>
      </c>
      <c r="D7366" s="6">
        <v>80</v>
      </c>
      <c r="E7366" s="6">
        <v>0</v>
      </c>
      <c r="F7366" s="6">
        <v>0</v>
      </c>
      <c r="G7366" s="6">
        <v>7</v>
      </c>
      <c r="H7366" s="6" t="s">
        <v>40370</v>
      </c>
      <c r="I7366" s="6">
        <v>526.6875</v>
      </c>
      <c r="J7366" s="2">
        <f t="shared" si="115"/>
        <v>43749.005561157406</v>
      </c>
    </row>
    <row r="7367" spans="1:10" x14ac:dyDescent="0.25">
      <c r="A7367" s="7" t="s">
        <v>40371</v>
      </c>
      <c r="B7367" s="8">
        <v>393.75</v>
      </c>
      <c r="C7367" s="8">
        <v>20.478950000000001</v>
      </c>
      <c r="D7367" s="8">
        <v>80</v>
      </c>
      <c r="E7367" s="8">
        <v>0</v>
      </c>
      <c r="F7367" s="8">
        <v>0</v>
      </c>
      <c r="G7367" s="8">
        <v>7</v>
      </c>
      <c r="H7367" s="8" t="s">
        <v>40372</v>
      </c>
      <c r="I7367" s="8">
        <v>526.6875</v>
      </c>
      <c r="J7367" s="3">
        <f t="shared" si="115"/>
        <v>43749.005632581015</v>
      </c>
    </row>
    <row r="7368" spans="1:10" x14ac:dyDescent="0.25">
      <c r="A7368" s="5" t="s">
        <v>40373</v>
      </c>
      <c r="B7368" s="6">
        <v>393.75</v>
      </c>
      <c r="C7368" s="6">
        <v>20.478950000000001</v>
      </c>
      <c r="D7368" s="6">
        <v>79</v>
      </c>
      <c r="E7368" s="6">
        <v>0</v>
      </c>
      <c r="F7368" s="6">
        <v>0</v>
      </c>
      <c r="G7368" s="6">
        <v>0</v>
      </c>
      <c r="H7368" s="6" t="s">
        <v>40374</v>
      </c>
      <c r="I7368" s="6">
        <v>526.6875</v>
      </c>
      <c r="J7368" s="2">
        <f t="shared" si="115"/>
        <v>43749.00571597222</v>
      </c>
    </row>
    <row r="7369" spans="1:10" x14ac:dyDescent="0.25">
      <c r="A7369" s="7" t="s">
        <v>40375</v>
      </c>
      <c r="B7369" s="8">
        <v>393.75</v>
      </c>
      <c r="C7369" s="8">
        <v>20.478950000000001</v>
      </c>
      <c r="D7369" s="8">
        <v>80</v>
      </c>
      <c r="E7369" s="8">
        <v>0</v>
      </c>
      <c r="F7369" s="8">
        <v>0</v>
      </c>
      <c r="G7369" s="8">
        <v>9</v>
      </c>
      <c r="H7369" s="8" t="s">
        <v>40376</v>
      </c>
      <c r="I7369" s="8">
        <v>526.5</v>
      </c>
      <c r="J7369" s="3">
        <f t="shared" si="115"/>
        <v>43749.005787245369</v>
      </c>
    </row>
    <row r="7370" spans="1:10" x14ac:dyDescent="0.25">
      <c r="A7370" s="5" t="s">
        <v>40377</v>
      </c>
      <c r="B7370" s="6">
        <v>393.75</v>
      </c>
      <c r="C7370" s="6">
        <v>20.478950000000001</v>
      </c>
      <c r="D7370" s="6">
        <v>81</v>
      </c>
      <c r="E7370" s="6">
        <v>0</v>
      </c>
      <c r="F7370" s="6">
        <v>0</v>
      </c>
      <c r="G7370" s="6">
        <v>4</v>
      </c>
      <c r="H7370" s="6" t="s">
        <v>40378</v>
      </c>
      <c r="I7370" s="6">
        <v>526.6875</v>
      </c>
      <c r="J7370" s="2">
        <f t="shared" si="115"/>
        <v>43749.005858622688</v>
      </c>
    </row>
    <row r="7371" spans="1:10" x14ac:dyDescent="0.25">
      <c r="A7371" s="7" t="s">
        <v>40379</v>
      </c>
      <c r="B7371" s="8">
        <v>412.5</v>
      </c>
      <c r="C7371" s="8">
        <v>20.478950000000001</v>
      </c>
      <c r="D7371" s="8">
        <v>81</v>
      </c>
      <c r="E7371" s="8">
        <v>0</v>
      </c>
      <c r="F7371" s="8">
        <v>0</v>
      </c>
      <c r="G7371" s="8">
        <v>3</v>
      </c>
      <c r="H7371" s="8" t="s">
        <v>40380</v>
      </c>
      <c r="I7371" s="8">
        <v>532.3125</v>
      </c>
      <c r="J7371" s="3">
        <f t="shared" si="115"/>
        <v>43749.005930787032</v>
      </c>
    </row>
    <row r="7372" spans="1:10" x14ac:dyDescent="0.25">
      <c r="A7372" s="5" t="s">
        <v>40381</v>
      </c>
      <c r="B7372" s="6">
        <v>393.75</v>
      </c>
      <c r="C7372" s="6">
        <v>20.478950000000001</v>
      </c>
      <c r="D7372" s="6">
        <v>80</v>
      </c>
      <c r="E7372" s="6">
        <v>0</v>
      </c>
      <c r="F7372" s="6">
        <v>0</v>
      </c>
      <c r="G7372" s="6">
        <v>3</v>
      </c>
      <c r="H7372" s="6" t="s">
        <v>40382</v>
      </c>
      <c r="I7372" s="6">
        <v>526.6875</v>
      </c>
      <c r="J7372" s="2">
        <f t="shared" si="115"/>
        <v>43749.006002118054</v>
      </c>
    </row>
    <row r="7373" spans="1:10" x14ac:dyDescent="0.25">
      <c r="A7373" s="7" t="s">
        <v>40383</v>
      </c>
      <c r="B7373" s="8">
        <v>393.75</v>
      </c>
      <c r="C7373" s="8">
        <v>20.478950000000001</v>
      </c>
      <c r="D7373" s="8">
        <v>80</v>
      </c>
      <c r="E7373" s="8">
        <v>0</v>
      </c>
      <c r="F7373" s="8">
        <v>0</v>
      </c>
      <c r="G7373" s="8">
        <v>0</v>
      </c>
      <c r="H7373" s="8" t="s">
        <v>40384</v>
      </c>
      <c r="I7373" s="8">
        <v>526.6875</v>
      </c>
      <c r="J7373" s="3">
        <f t="shared" si="115"/>
        <v>43749.006073449076</v>
      </c>
    </row>
    <row r="7374" spans="1:10" x14ac:dyDescent="0.25">
      <c r="A7374" s="5" t="s">
        <v>40385</v>
      </c>
      <c r="B7374" s="6">
        <v>393.75</v>
      </c>
      <c r="C7374" s="6">
        <v>20.478950000000001</v>
      </c>
      <c r="D7374" s="6">
        <v>80</v>
      </c>
      <c r="E7374" s="6">
        <v>0</v>
      </c>
      <c r="F7374" s="6">
        <v>0</v>
      </c>
      <c r="G7374" s="6">
        <v>12</v>
      </c>
      <c r="H7374" s="6" t="s">
        <v>40386</v>
      </c>
      <c r="I7374" s="6">
        <v>526.6875</v>
      </c>
      <c r="J7374" s="2">
        <f t="shared" si="115"/>
        <v>43749.006145590276</v>
      </c>
    </row>
    <row r="7375" spans="1:10" x14ac:dyDescent="0.25">
      <c r="A7375" s="7" t="s">
        <v>40387</v>
      </c>
      <c r="B7375" s="8">
        <v>393.75</v>
      </c>
      <c r="C7375" s="8">
        <v>20.478950000000001</v>
      </c>
      <c r="D7375" s="8">
        <v>80</v>
      </c>
      <c r="E7375" s="8">
        <v>0</v>
      </c>
      <c r="F7375" s="8">
        <v>0</v>
      </c>
      <c r="G7375" s="8">
        <v>9</v>
      </c>
      <c r="H7375" s="8" t="s">
        <v>40388</v>
      </c>
      <c r="I7375" s="8">
        <v>526.6875</v>
      </c>
      <c r="J7375" s="3">
        <f t="shared" si="115"/>
        <v>43749.006221053241</v>
      </c>
    </row>
    <row r="7376" spans="1:10" x14ac:dyDescent="0.25">
      <c r="A7376" s="5" t="s">
        <v>40389</v>
      </c>
      <c r="B7376" s="6">
        <v>393.75</v>
      </c>
      <c r="C7376" s="6">
        <v>20.478950000000001</v>
      </c>
      <c r="D7376" s="6">
        <v>80</v>
      </c>
      <c r="E7376" s="6">
        <v>0</v>
      </c>
      <c r="F7376" s="6">
        <v>0</v>
      </c>
      <c r="G7376" s="6">
        <v>5</v>
      </c>
      <c r="H7376" s="6" t="s">
        <v>40390</v>
      </c>
      <c r="I7376" s="6">
        <v>526.6875</v>
      </c>
      <c r="J7376" s="2">
        <f t="shared" si="115"/>
        <v>43749.006300243054</v>
      </c>
    </row>
    <row r="7377" spans="1:10" x14ac:dyDescent="0.25">
      <c r="A7377" s="7" t="s">
        <v>40391</v>
      </c>
      <c r="B7377" s="8">
        <v>393.75</v>
      </c>
      <c r="C7377" s="8">
        <v>20.478950000000001</v>
      </c>
      <c r="D7377" s="8">
        <v>80</v>
      </c>
      <c r="E7377" s="8">
        <v>0</v>
      </c>
      <c r="F7377" s="8">
        <v>0</v>
      </c>
      <c r="G7377" s="8">
        <v>7</v>
      </c>
      <c r="H7377" s="8" t="s">
        <v>40392</v>
      </c>
      <c r="I7377" s="8">
        <v>526.6875</v>
      </c>
      <c r="J7377" s="3">
        <f t="shared" si="115"/>
        <v>43749.006371527772</v>
      </c>
    </row>
    <row r="7378" spans="1:10" x14ac:dyDescent="0.25">
      <c r="A7378" s="5" t="s">
        <v>40393</v>
      </c>
      <c r="B7378" s="6">
        <v>393.75</v>
      </c>
      <c r="C7378" s="6">
        <v>20.478950000000001</v>
      </c>
      <c r="D7378" s="6">
        <v>79</v>
      </c>
      <c r="E7378" s="6">
        <v>0</v>
      </c>
      <c r="F7378" s="6">
        <v>0</v>
      </c>
      <c r="G7378" s="6">
        <v>11</v>
      </c>
      <c r="H7378" s="6" t="s">
        <v>40394</v>
      </c>
      <c r="I7378" s="6">
        <v>526.6875</v>
      </c>
      <c r="J7378" s="2">
        <f t="shared" si="115"/>
        <v>43749.006443749997</v>
      </c>
    </row>
    <row r="7379" spans="1:10" x14ac:dyDescent="0.25">
      <c r="A7379" s="7" t="s">
        <v>40395</v>
      </c>
      <c r="B7379" s="8">
        <v>393.75</v>
      </c>
      <c r="C7379" s="8">
        <v>20.478950000000001</v>
      </c>
      <c r="D7379" s="8">
        <v>79</v>
      </c>
      <c r="E7379" s="8">
        <v>0</v>
      </c>
      <c r="F7379" s="8">
        <v>0</v>
      </c>
      <c r="G7379" s="8">
        <v>5</v>
      </c>
      <c r="H7379" s="8" t="s">
        <v>40396</v>
      </c>
      <c r="I7379" s="8">
        <v>526.6875</v>
      </c>
      <c r="J7379" s="3">
        <f t="shared" si="115"/>
        <v>43749.006515046298</v>
      </c>
    </row>
    <row r="7380" spans="1:10" x14ac:dyDescent="0.25">
      <c r="A7380" s="5" t="s">
        <v>40397</v>
      </c>
      <c r="B7380" s="6">
        <v>393.75</v>
      </c>
      <c r="C7380" s="6">
        <v>20.478950000000001</v>
      </c>
      <c r="D7380" s="6">
        <v>79</v>
      </c>
      <c r="E7380" s="6">
        <v>0</v>
      </c>
      <c r="F7380" s="6">
        <v>0</v>
      </c>
      <c r="G7380" s="6">
        <v>8</v>
      </c>
      <c r="H7380" s="6" t="s">
        <v>40398</v>
      </c>
      <c r="I7380" s="6">
        <v>526.6875</v>
      </c>
      <c r="J7380" s="2">
        <f t="shared" si="115"/>
        <v>43749.006586342592</v>
      </c>
    </row>
    <row r="7381" spans="1:10" x14ac:dyDescent="0.25">
      <c r="A7381" s="7" t="s">
        <v>40399</v>
      </c>
      <c r="B7381" s="8">
        <v>393.75</v>
      </c>
      <c r="C7381" s="8">
        <v>20.478950000000001</v>
      </c>
      <c r="D7381" s="8">
        <v>79</v>
      </c>
      <c r="E7381" s="8">
        <v>0</v>
      </c>
      <c r="F7381" s="8">
        <v>0</v>
      </c>
      <c r="G7381" s="8">
        <v>7</v>
      </c>
      <c r="H7381" s="8" t="s">
        <v>40400</v>
      </c>
      <c r="I7381" s="8">
        <v>526.5</v>
      </c>
      <c r="J7381" s="3">
        <f t="shared" si="115"/>
        <v>43749.006669664348</v>
      </c>
    </row>
    <row r="7382" spans="1:10" x14ac:dyDescent="0.25">
      <c r="A7382" s="5" t="s">
        <v>40401</v>
      </c>
      <c r="B7382" s="6">
        <v>412.5</v>
      </c>
      <c r="C7382" s="6">
        <v>20.478950000000001</v>
      </c>
      <c r="D7382" s="6">
        <v>79</v>
      </c>
      <c r="E7382" s="6">
        <v>0</v>
      </c>
      <c r="F7382" s="6">
        <v>0</v>
      </c>
      <c r="G7382" s="6">
        <v>7</v>
      </c>
      <c r="H7382" s="6" t="s">
        <v>40402</v>
      </c>
      <c r="I7382" s="6">
        <v>532.875</v>
      </c>
      <c r="J7382" s="2">
        <f t="shared" si="115"/>
        <v>43749.006740972218</v>
      </c>
    </row>
    <row r="7383" spans="1:10" x14ac:dyDescent="0.25">
      <c r="A7383" s="7" t="s">
        <v>40403</v>
      </c>
      <c r="B7383" s="8">
        <v>393.75</v>
      </c>
      <c r="C7383" s="8">
        <v>20.478950000000001</v>
      </c>
      <c r="D7383" s="8">
        <v>82</v>
      </c>
      <c r="E7383" s="8">
        <v>0</v>
      </c>
      <c r="F7383" s="8">
        <v>0</v>
      </c>
      <c r="G7383" s="8">
        <v>1</v>
      </c>
      <c r="H7383" s="8" t="s">
        <v>40404</v>
      </c>
      <c r="I7383" s="8">
        <v>526.6875</v>
      </c>
      <c r="J7383" s="3">
        <f t="shared" si="115"/>
        <v>43749.006813194443</v>
      </c>
    </row>
    <row r="7384" spans="1:10" x14ac:dyDescent="0.25">
      <c r="A7384" s="5" t="s">
        <v>40405</v>
      </c>
      <c r="B7384" s="6">
        <v>393.75</v>
      </c>
      <c r="C7384" s="6">
        <v>20.478950000000001</v>
      </c>
      <c r="D7384" s="6">
        <v>82</v>
      </c>
      <c r="E7384" s="6">
        <v>0</v>
      </c>
      <c r="F7384" s="6">
        <v>0</v>
      </c>
      <c r="G7384" s="6">
        <v>3</v>
      </c>
      <c r="H7384" s="6" t="s">
        <v>40406</v>
      </c>
      <c r="I7384" s="6">
        <v>526.6875</v>
      </c>
      <c r="J7384" s="2">
        <f t="shared" si="115"/>
        <v>43749.006884467592</v>
      </c>
    </row>
    <row r="7385" spans="1:10" x14ac:dyDescent="0.25">
      <c r="A7385" s="7" t="s">
        <v>40407</v>
      </c>
      <c r="B7385" s="8">
        <v>393.75</v>
      </c>
      <c r="C7385" s="8">
        <v>20.478950000000001</v>
      </c>
      <c r="D7385" s="8">
        <v>82</v>
      </c>
      <c r="E7385" s="8">
        <v>0</v>
      </c>
      <c r="F7385" s="8">
        <v>0</v>
      </c>
      <c r="G7385" s="8">
        <v>5</v>
      </c>
      <c r="H7385" s="8" t="s">
        <v>40408</v>
      </c>
      <c r="I7385" s="8">
        <v>526.6875</v>
      </c>
      <c r="J7385" s="3">
        <f t="shared" si="115"/>
        <v>43749.006979942125</v>
      </c>
    </row>
    <row r="7386" spans="1:10" x14ac:dyDescent="0.25">
      <c r="A7386" s="5" t="s">
        <v>40409</v>
      </c>
      <c r="B7386" s="6">
        <v>393.75</v>
      </c>
      <c r="C7386" s="6">
        <v>20.478950000000001</v>
      </c>
      <c r="D7386" s="6">
        <v>82</v>
      </c>
      <c r="E7386" s="6">
        <v>0</v>
      </c>
      <c r="F7386" s="6">
        <v>0</v>
      </c>
      <c r="G7386" s="6">
        <v>0</v>
      </c>
      <c r="H7386" s="6" t="s">
        <v>40410</v>
      </c>
      <c r="I7386" s="6">
        <v>526.6875</v>
      </c>
      <c r="J7386" s="2">
        <f t="shared" si="115"/>
        <v>43749.007051192129</v>
      </c>
    </row>
    <row r="7387" spans="1:10" x14ac:dyDescent="0.25">
      <c r="A7387" s="7" t="s">
        <v>40411</v>
      </c>
      <c r="B7387" s="8">
        <v>393.75</v>
      </c>
      <c r="C7387" s="8">
        <v>20.478950000000001</v>
      </c>
      <c r="D7387" s="8">
        <v>83</v>
      </c>
      <c r="E7387" s="8">
        <v>0</v>
      </c>
      <c r="F7387" s="8">
        <v>0</v>
      </c>
      <c r="G7387" s="8">
        <v>1</v>
      </c>
      <c r="H7387" s="8" t="s">
        <v>40412</v>
      </c>
      <c r="I7387" s="8">
        <v>526.5</v>
      </c>
      <c r="J7387" s="3">
        <f t="shared" si="115"/>
        <v>43749.007123356474</v>
      </c>
    </row>
    <row r="7388" spans="1:10" x14ac:dyDescent="0.25">
      <c r="A7388" s="5" t="s">
        <v>40413</v>
      </c>
      <c r="B7388" s="6">
        <v>393.75</v>
      </c>
      <c r="C7388" s="6">
        <v>20.478950000000001</v>
      </c>
      <c r="D7388" s="6">
        <v>83</v>
      </c>
      <c r="E7388" s="6">
        <v>0</v>
      </c>
      <c r="F7388" s="6">
        <v>0</v>
      </c>
      <c r="G7388" s="6">
        <v>7</v>
      </c>
      <c r="H7388" s="6" t="s">
        <v>40414</v>
      </c>
      <c r="I7388" s="6">
        <v>526.6875</v>
      </c>
      <c r="J7388" s="2">
        <f t="shared" si="115"/>
        <v>43749.007206631941</v>
      </c>
    </row>
    <row r="7389" spans="1:10" x14ac:dyDescent="0.25">
      <c r="A7389" s="7" t="s">
        <v>40415</v>
      </c>
      <c r="B7389" s="8">
        <v>393.75</v>
      </c>
      <c r="C7389" s="8">
        <v>20.478950000000001</v>
      </c>
      <c r="D7389" s="8">
        <v>82</v>
      </c>
      <c r="E7389" s="8">
        <v>0</v>
      </c>
      <c r="F7389" s="8">
        <v>0</v>
      </c>
      <c r="G7389" s="8">
        <v>5</v>
      </c>
      <c r="H7389" s="8" t="s">
        <v>40416</v>
      </c>
      <c r="I7389" s="8">
        <v>526.5</v>
      </c>
      <c r="J7389" s="3">
        <f t="shared" si="115"/>
        <v>43749.007277962963</v>
      </c>
    </row>
    <row r="7390" spans="1:10" x14ac:dyDescent="0.25">
      <c r="A7390" s="5" t="s">
        <v>40417</v>
      </c>
      <c r="B7390" s="6">
        <v>393.75</v>
      </c>
      <c r="C7390" s="6">
        <v>20.478950000000001</v>
      </c>
      <c r="D7390" s="6">
        <v>82</v>
      </c>
      <c r="E7390" s="6">
        <v>0</v>
      </c>
      <c r="F7390" s="6">
        <v>0</v>
      </c>
      <c r="G7390" s="6">
        <v>8</v>
      </c>
      <c r="H7390" s="6" t="s">
        <v>40418</v>
      </c>
      <c r="I7390" s="6">
        <v>526.6875</v>
      </c>
      <c r="J7390" s="2">
        <f t="shared" si="115"/>
        <v>43749.007351412038</v>
      </c>
    </row>
    <row r="7391" spans="1:10" x14ac:dyDescent="0.25">
      <c r="A7391" s="7" t="s">
        <v>40419</v>
      </c>
      <c r="B7391" s="8">
        <v>393.75</v>
      </c>
      <c r="C7391" s="8">
        <v>20.478950000000001</v>
      </c>
      <c r="D7391" s="8">
        <v>83</v>
      </c>
      <c r="E7391" s="8">
        <v>0</v>
      </c>
      <c r="F7391" s="8">
        <v>0</v>
      </c>
      <c r="G7391" s="8">
        <v>11</v>
      </c>
      <c r="H7391" s="8" t="s">
        <v>40420</v>
      </c>
      <c r="I7391" s="8">
        <v>526.6875</v>
      </c>
      <c r="J7391" s="3">
        <f t="shared" si="115"/>
        <v>43749.007433530089</v>
      </c>
    </row>
    <row r="7392" spans="1:10" x14ac:dyDescent="0.25">
      <c r="A7392" s="5" t="s">
        <v>40421</v>
      </c>
      <c r="B7392" s="6">
        <v>393.75</v>
      </c>
      <c r="C7392" s="6">
        <v>20.478950000000001</v>
      </c>
      <c r="D7392" s="6">
        <v>82</v>
      </c>
      <c r="E7392" s="6">
        <v>0</v>
      </c>
      <c r="F7392" s="6">
        <v>0</v>
      </c>
      <c r="G7392" s="6">
        <v>7</v>
      </c>
      <c r="H7392" s="6" t="s">
        <v>40422</v>
      </c>
      <c r="I7392" s="6">
        <v>526.5</v>
      </c>
      <c r="J7392" s="2">
        <f t="shared" si="115"/>
        <v>43749.007504768517</v>
      </c>
    </row>
    <row r="7393" spans="1:10" x14ac:dyDescent="0.25">
      <c r="A7393" s="7" t="s">
        <v>40423</v>
      </c>
      <c r="B7393" s="8">
        <v>393.75</v>
      </c>
      <c r="C7393" s="8">
        <v>20.478950000000001</v>
      </c>
      <c r="D7393" s="8">
        <v>81</v>
      </c>
      <c r="E7393" s="8">
        <v>0</v>
      </c>
      <c r="F7393" s="8">
        <v>0</v>
      </c>
      <c r="G7393" s="8">
        <v>10</v>
      </c>
      <c r="H7393" s="8" t="s">
        <v>40424</v>
      </c>
      <c r="I7393" s="8">
        <v>526.6875</v>
      </c>
      <c r="J7393" s="3">
        <f t="shared" si="115"/>
        <v>43749.007576192125</v>
      </c>
    </row>
    <row r="7394" spans="1:10" x14ac:dyDescent="0.25">
      <c r="A7394" s="5" t="s">
        <v>40425</v>
      </c>
      <c r="B7394" s="6">
        <v>393.75</v>
      </c>
      <c r="C7394" s="6">
        <v>20.478950000000001</v>
      </c>
      <c r="D7394" s="6">
        <v>81</v>
      </c>
      <c r="E7394" s="6">
        <v>0</v>
      </c>
      <c r="F7394" s="6">
        <v>0</v>
      </c>
      <c r="G7394" s="6">
        <v>7</v>
      </c>
      <c r="H7394" s="6" t="s">
        <v>40426</v>
      </c>
      <c r="I7394" s="6">
        <v>526.6875</v>
      </c>
      <c r="J7394" s="2">
        <f t="shared" si="115"/>
        <v>43749.007647442129</v>
      </c>
    </row>
    <row r="7395" spans="1:10" x14ac:dyDescent="0.25">
      <c r="A7395" s="7" t="s">
        <v>40427</v>
      </c>
      <c r="B7395" s="8">
        <v>393.75</v>
      </c>
      <c r="C7395" s="8">
        <v>20.478950000000001</v>
      </c>
      <c r="D7395" s="8">
        <v>81</v>
      </c>
      <c r="E7395" s="8">
        <v>0</v>
      </c>
      <c r="F7395" s="8">
        <v>0</v>
      </c>
      <c r="G7395" s="8">
        <v>2</v>
      </c>
      <c r="H7395" s="8" t="s">
        <v>40428</v>
      </c>
      <c r="I7395" s="8">
        <v>526.6875</v>
      </c>
      <c r="J7395" s="3">
        <f t="shared" si="115"/>
        <v>43749.007731678234</v>
      </c>
    </row>
    <row r="7396" spans="1:10" x14ac:dyDescent="0.25">
      <c r="A7396" s="5" t="s">
        <v>40429</v>
      </c>
      <c r="B7396" s="6">
        <v>393.75</v>
      </c>
      <c r="C7396" s="6">
        <v>20.478950000000001</v>
      </c>
      <c r="D7396" s="6">
        <v>80</v>
      </c>
      <c r="E7396" s="6">
        <v>0</v>
      </c>
      <c r="F7396" s="6">
        <v>0</v>
      </c>
      <c r="G7396" s="6">
        <v>8</v>
      </c>
      <c r="H7396" s="6" t="s">
        <v>40430</v>
      </c>
      <c r="I7396" s="6">
        <v>526.6875</v>
      </c>
      <c r="J7396" s="2">
        <f t="shared" si="115"/>
        <v>43749.007817962956</v>
      </c>
    </row>
    <row r="7397" spans="1:10" x14ac:dyDescent="0.25">
      <c r="A7397" s="7" t="s">
        <v>40431</v>
      </c>
      <c r="B7397" s="8">
        <v>393.75</v>
      </c>
      <c r="C7397" s="8">
        <v>20.478950000000001</v>
      </c>
      <c r="D7397" s="8">
        <v>81</v>
      </c>
      <c r="E7397" s="8">
        <v>0</v>
      </c>
      <c r="F7397" s="8">
        <v>0</v>
      </c>
      <c r="G7397" s="8">
        <v>3</v>
      </c>
      <c r="H7397" s="8" t="s">
        <v>40432</v>
      </c>
      <c r="I7397" s="8">
        <v>526.6875</v>
      </c>
      <c r="J7397" s="3">
        <f t="shared" si="115"/>
        <v>43749.00789828704</v>
      </c>
    </row>
    <row r="7398" spans="1:10" x14ac:dyDescent="0.25">
      <c r="A7398" s="5" t="s">
        <v>40433</v>
      </c>
      <c r="B7398" s="6">
        <v>393.75</v>
      </c>
      <c r="C7398" s="6">
        <v>20.478950000000001</v>
      </c>
      <c r="D7398" s="6">
        <v>81</v>
      </c>
      <c r="E7398" s="6">
        <v>0</v>
      </c>
      <c r="F7398" s="6">
        <v>0</v>
      </c>
      <c r="G7398" s="6">
        <v>0</v>
      </c>
      <c r="H7398" s="6" t="s">
        <v>40434</v>
      </c>
      <c r="I7398" s="6">
        <v>526.6875</v>
      </c>
      <c r="J7398" s="2">
        <f t="shared" si="115"/>
        <v>43749.007969641207</v>
      </c>
    </row>
    <row r="7399" spans="1:10" x14ac:dyDescent="0.25">
      <c r="A7399" s="7" t="s">
        <v>40435</v>
      </c>
      <c r="B7399" s="8">
        <v>393.75</v>
      </c>
      <c r="C7399" s="8">
        <v>20.478950000000001</v>
      </c>
      <c r="D7399" s="8">
        <v>79</v>
      </c>
      <c r="E7399" s="8">
        <v>0</v>
      </c>
      <c r="F7399" s="8">
        <v>0</v>
      </c>
      <c r="G7399" s="8">
        <v>2</v>
      </c>
      <c r="H7399" s="8" t="s">
        <v>40436</v>
      </c>
      <c r="I7399" s="8">
        <v>526.6875</v>
      </c>
      <c r="J7399" s="3">
        <f t="shared" si="115"/>
        <v>43749.008053379628</v>
      </c>
    </row>
    <row r="7400" spans="1:10" x14ac:dyDescent="0.25">
      <c r="A7400" s="5" t="s">
        <v>40437</v>
      </c>
      <c r="B7400" s="6">
        <v>393.75</v>
      </c>
      <c r="C7400" s="6">
        <v>20.478950000000001</v>
      </c>
      <c r="D7400" s="6">
        <v>79</v>
      </c>
      <c r="E7400" s="6">
        <v>0</v>
      </c>
      <c r="F7400" s="6">
        <v>0</v>
      </c>
      <c r="G7400" s="6">
        <v>5</v>
      </c>
      <c r="H7400" s="6" t="s">
        <v>40438</v>
      </c>
      <c r="I7400" s="6">
        <v>526.5</v>
      </c>
      <c r="J7400" s="2">
        <f t="shared" si="115"/>
        <v>43749.008124687498</v>
      </c>
    </row>
    <row r="7401" spans="1:10" x14ac:dyDescent="0.25">
      <c r="A7401" s="7" t="s">
        <v>40439</v>
      </c>
      <c r="B7401" s="8">
        <v>415.625</v>
      </c>
      <c r="C7401" s="8">
        <v>20.478950000000001</v>
      </c>
      <c r="D7401" s="8">
        <v>79</v>
      </c>
      <c r="E7401" s="8">
        <v>0</v>
      </c>
      <c r="F7401" s="8">
        <v>0</v>
      </c>
      <c r="G7401" s="8">
        <v>2</v>
      </c>
      <c r="H7401" s="8" t="s">
        <v>40440</v>
      </c>
      <c r="I7401" s="8">
        <v>533.25</v>
      </c>
      <c r="J7401" s="3">
        <f t="shared" si="115"/>
        <v>43749.008196041665</v>
      </c>
    </row>
    <row r="7402" spans="1:10" x14ac:dyDescent="0.25">
      <c r="A7402" s="5" t="s">
        <v>40441</v>
      </c>
      <c r="B7402" s="6">
        <v>393.75</v>
      </c>
      <c r="C7402" s="6">
        <v>20.478950000000001</v>
      </c>
      <c r="D7402" s="6">
        <v>78</v>
      </c>
      <c r="E7402" s="6">
        <v>0</v>
      </c>
      <c r="F7402" s="6">
        <v>0</v>
      </c>
      <c r="G7402" s="6">
        <v>5</v>
      </c>
      <c r="H7402" s="6" t="s">
        <v>40442</v>
      </c>
      <c r="I7402" s="6">
        <v>526.6875</v>
      </c>
      <c r="J7402" s="2">
        <f t="shared" si="115"/>
        <v>43749.008267673613</v>
      </c>
    </row>
    <row r="7403" spans="1:10" x14ac:dyDescent="0.25">
      <c r="A7403" s="7" t="s">
        <v>40443</v>
      </c>
      <c r="B7403" s="8">
        <v>393.75</v>
      </c>
      <c r="C7403" s="8">
        <v>20.478950000000001</v>
      </c>
      <c r="D7403" s="8">
        <v>78</v>
      </c>
      <c r="E7403" s="8">
        <v>0</v>
      </c>
      <c r="F7403" s="8">
        <v>0</v>
      </c>
      <c r="G7403" s="8">
        <v>2</v>
      </c>
      <c r="H7403" s="8" t="s">
        <v>40444</v>
      </c>
      <c r="I7403" s="8">
        <v>526.6875</v>
      </c>
      <c r="J7403" s="3">
        <f t="shared" si="115"/>
        <v>43749.008339513886</v>
      </c>
    </row>
    <row r="7404" spans="1:10" x14ac:dyDescent="0.25">
      <c r="A7404" s="5" t="s">
        <v>40445</v>
      </c>
      <c r="B7404" s="6">
        <v>393.75</v>
      </c>
      <c r="C7404" s="6">
        <v>20.478950000000001</v>
      </c>
      <c r="D7404" s="6">
        <v>80</v>
      </c>
      <c r="E7404" s="6">
        <v>0</v>
      </c>
      <c r="F7404" s="6">
        <v>0</v>
      </c>
      <c r="G7404" s="6">
        <v>5</v>
      </c>
      <c r="H7404" s="6" t="s">
        <v>40446</v>
      </c>
      <c r="I7404" s="6">
        <v>526.5</v>
      </c>
      <c r="J7404" s="2">
        <f t="shared" si="115"/>
        <v>43749.00841072917</v>
      </c>
    </row>
    <row r="7405" spans="1:10" x14ac:dyDescent="0.25">
      <c r="A7405" s="7" t="s">
        <v>40447</v>
      </c>
      <c r="B7405" s="8">
        <v>393.75</v>
      </c>
      <c r="C7405" s="8">
        <v>20.478950000000001</v>
      </c>
      <c r="D7405" s="8">
        <v>81</v>
      </c>
      <c r="E7405" s="8">
        <v>0</v>
      </c>
      <c r="F7405" s="8">
        <v>0</v>
      </c>
      <c r="G7405" s="8">
        <v>10</v>
      </c>
      <c r="H7405" s="8" t="s">
        <v>40448</v>
      </c>
      <c r="I7405" s="8">
        <v>526.5</v>
      </c>
      <c r="J7405" s="3">
        <f t="shared" si="115"/>
        <v>43749.008482835641</v>
      </c>
    </row>
    <row r="7406" spans="1:10" x14ac:dyDescent="0.25">
      <c r="A7406" s="5" t="s">
        <v>40449</v>
      </c>
      <c r="B7406" s="6">
        <v>393.75</v>
      </c>
      <c r="C7406" s="6">
        <v>20.478950000000001</v>
      </c>
      <c r="D7406" s="6">
        <v>81</v>
      </c>
      <c r="E7406" s="6">
        <v>0</v>
      </c>
      <c r="F7406" s="6">
        <v>0</v>
      </c>
      <c r="G7406" s="6">
        <v>8</v>
      </c>
      <c r="H7406" s="6" t="s">
        <v>40450</v>
      </c>
      <c r="I7406" s="6">
        <v>526.6875</v>
      </c>
      <c r="J7406" s="2">
        <f t="shared" si="115"/>
        <v>43749.008554259257</v>
      </c>
    </row>
    <row r="7407" spans="1:10" x14ac:dyDescent="0.25">
      <c r="A7407" s="7" t="s">
        <v>40451</v>
      </c>
      <c r="B7407" s="8">
        <v>393.75</v>
      </c>
      <c r="C7407" s="8">
        <v>20.478950000000001</v>
      </c>
      <c r="D7407" s="8">
        <v>81</v>
      </c>
      <c r="E7407" s="8">
        <v>0</v>
      </c>
      <c r="F7407" s="8">
        <v>0</v>
      </c>
      <c r="G7407" s="8">
        <v>5</v>
      </c>
      <c r="H7407" s="8" t="s">
        <v>40452</v>
      </c>
      <c r="I7407" s="8">
        <v>526.6875</v>
      </c>
      <c r="J7407" s="3">
        <f t="shared" si="115"/>
        <v>43749.008625509254</v>
      </c>
    </row>
    <row r="7408" spans="1:10" x14ac:dyDescent="0.25">
      <c r="A7408" s="5" t="s">
        <v>40453</v>
      </c>
      <c r="B7408" s="6">
        <v>393.75</v>
      </c>
      <c r="C7408" s="6">
        <v>20.478950000000001</v>
      </c>
      <c r="D7408" s="6">
        <v>81</v>
      </c>
      <c r="E7408" s="6">
        <v>0</v>
      </c>
      <c r="F7408" s="6">
        <v>0</v>
      </c>
      <c r="G7408" s="6">
        <v>7</v>
      </c>
      <c r="H7408" s="6" t="s">
        <v>40454</v>
      </c>
      <c r="I7408" s="6">
        <v>526.6875</v>
      </c>
      <c r="J7408" s="2">
        <f t="shared" si="115"/>
        <v>43749.008696921293</v>
      </c>
    </row>
    <row r="7409" spans="1:10" x14ac:dyDescent="0.25">
      <c r="A7409" s="7" t="s">
        <v>40455</v>
      </c>
      <c r="B7409" s="8">
        <v>393.75</v>
      </c>
      <c r="C7409" s="8">
        <v>20.478950000000001</v>
      </c>
      <c r="D7409" s="8">
        <v>81</v>
      </c>
      <c r="E7409" s="8">
        <v>0</v>
      </c>
      <c r="F7409" s="8">
        <v>0</v>
      </c>
      <c r="G7409" s="8">
        <v>0</v>
      </c>
      <c r="H7409" s="8" t="s">
        <v>40456</v>
      </c>
      <c r="I7409" s="8">
        <v>526.6875</v>
      </c>
      <c r="J7409" s="3">
        <f t="shared" si="115"/>
        <v>43749.008768437496</v>
      </c>
    </row>
    <row r="7410" spans="1:10" x14ac:dyDescent="0.25">
      <c r="A7410" s="5" t="s">
        <v>40457</v>
      </c>
      <c r="B7410" s="6">
        <v>412.5</v>
      </c>
      <c r="C7410" s="6">
        <v>20.478950000000001</v>
      </c>
      <c r="D7410" s="6">
        <v>81</v>
      </c>
      <c r="E7410" s="6">
        <v>0</v>
      </c>
      <c r="F7410" s="6">
        <v>0</v>
      </c>
      <c r="G7410" s="6">
        <v>1</v>
      </c>
      <c r="H7410" s="6" t="s">
        <v>40458</v>
      </c>
      <c r="I7410" s="6">
        <v>532.3125</v>
      </c>
      <c r="J7410" s="2">
        <f t="shared" si="115"/>
        <v>43749.008840416667</v>
      </c>
    </row>
    <row r="7411" spans="1:10" x14ac:dyDescent="0.25">
      <c r="A7411" s="7" t="s">
        <v>40459</v>
      </c>
      <c r="B7411" s="8">
        <v>393.75</v>
      </c>
      <c r="C7411" s="8">
        <v>20.478950000000001</v>
      </c>
      <c r="D7411" s="8">
        <v>82</v>
      </c>
      <c r="E7411" s="8">
        <v>0</v>
      </c>
      <c r="F7411" s="8">
        <v>0</v>
      </c>
      <c r="G7411" s="8">
        <v>5</v>
      </c>
      <c r="H7411" s="8" t="s">
        <v>40460</v>
      </c>
      <c r="I7411" s="8">
        <v>526.5</v>
      </c>
      <c r="J7411" s="3">
        <f t="shared" si="115"/>
        <v>43749.008915196762</v>
      </c>
    </row>
    <row r="7412" spans="1:10" x14ac:dyDescent="0.25">
      <c r="A7412" s="5" t="s">
        <v>40461</v>
      </c>
      <c r="B7412" s="6">
        <v>393.75</v>
      </c>
      <c r="C7412" s="6">
        <v>20.478950000000001</v>
      </c>
      <c r="D7412" s="6">
        <v>84</v>
      </c>
      <c r="E7412" s="6">
        <v>0</v>
      </c>
      <c r="F7412" s="6">
        <v>0</v>
      </c>
      <c r="G7412" s="6">
        <v>4</v>
      </c>
      <c r="H7412" s="6" t="s">
        <v>40462</v>
      </c>
      <c r="I7412" s="6">
        <v>526.875</v>
      </c>
      <c r="J7412" s="2">
        <f t="shared" si="115"/>
        <v>43749.008995081014</v>
      </c>
    </row>
    <row r="7413" spans="1:10" x14ac:dyDescent="0.25">
      <c r="A7413" s="7" t="s">
        <v>40463</v>
      </c>
      <c r="B7413" s="8">
        <v>393.75</v>
      </c>
      <c r="C7413" s="8">
        <v>20.478950000000001</v>
      </c>
      <c r="D7413" s="8">
        <v>83</v>
      </c>
      <c r="E7413" s="8">
        <v>0</v>
      </c>
      <c r="F7413" s="8">
        <v>0</v>
      </c>
      <c r="G7413" s="8">
        <v>9</v>
      </c>
      <c r="H7413" s="8" t="s">
        <v>40464</v>
      </c>
      <c r="I7413" s="8">
        <v>526.5</v>
      </c>
      <c r="J7413" s="3">
        <f t="shared" si="115"/>
        <v>43749.009067268511</v>
      </c>
    </row>
    <row r="7414" spans="1:10" x14ac:dyDescent="0.25">
      <c r="A7414" s="5" t="s">
        <v>40465</v>
      </c>
      <c r="B7414" s="6">
        <v>393.75</v>
      </c>
      <c r="C7414" s="6">
        <v>20.478950000000001</v>
      </c>
      <c r="D7414" s="6">
        <v>81</v>
      </c>
      <c r="E7414" s="6">
        <v>0</v>
      </c>
      <c r="F7414" s="6">
        <v>0</v>
      </c>
      <c r="G7414" s="6">
        <v>11</v>
      </c>
      <c r="H7414" s="6" t="s">
        <v>40466</v>
      </c>
      <c r="I7414" s="6">
        <v>526.6875</v>
      </c>
      <c r="J7414" s="2">
        <f t="shared" si="115"/>
        <v>43749.009138587957</v>
      </c>
    </row>
    <row r="7415" spans="1:10" x14ac:dyDescent="0.25">
      <c r="A7415" s="7" t="s">
        <v>40467</v>
      </c>
      <c r="B7415" s="8">
        <v>393.75</v>
      </c>
      <c r="C7415" s="8">
        <v>20.478950000000001</v>
      </c>
      <c r="D7415" s="8">
        <v>76</v>
      </c>
      <c r="E7415" s="8">
        <v>0</v>
      </c>
      <c r="F7415" s="8">
        <v>0</v>
      </c>
      <c r="G7415" s="8">
        <v>3</v>
      </c>
      <c r="H7415" s="8" t="s">
        <v>40468</v>
      </c>
      <c r="I7415" s="8">
        <v>526.6875</v>
      </c>
      <c r="J7415" s="3">
        <f t="shared" si="115"/>
        <v>43749.00920984953</v>
      </c>
    </row>
    <row r="7416" spans="1:10" x14ac:dyDescent="0.25">
      <c r="A7416" s="5" t="s">
        <v>40469</v>
      </c>
      <c r="B7416" s="6">
        <v>393.75</v>
      </c>
      <c r="C7416" s="6">
        <v>20.478950000000001</v>
      </c>
      <c r="D7416" s="6">
        <v>76</v>
      </c>
      <c r="E7416" s="6">
        <v>0</v>
      </c>
      <c r="F7416" s="6">
        <v>0</v>
      </c>
      <c r="G7416" s="6">
        <v>8</v>
      </c>
      <c r="H7416" s="6" t="s">
        <v>40470</v>
      </c>
      <c r="I7416" s="6">
        <v>526.6875</v>
      </c>
      <c r="J7416" s="2">
        <f t="shared" si="115"/>
        <v>43749.009281203696</v>
      </c>
    </row>
    <row r="7417" spans="1:10" x14ac:dyDescent="0.25">
      <c r="A7417" s="7" t="s">
        <v>40471</v>
      </c>
      <c r="B7417" s="8">
        <v>393.75</v>
      </c>
      <c r="C7417" s="8">
        <v>20.478950000000001</v>
      </c>
      <c r="D7417" s="8">
        <v>77</v>
      </c>
      <c r="E7417" s="8">
        <v>0</v>
      </c>
      <c r="F7417" s="8">
        <v>0</v>
      </c>
      <c r="G7417" s="8">
        <v>4</v>
      </c>
      <c r="H7417" s="8" t="s">
        <v>40472</v>
      </c>
      <c r="I7417" s="8">
        <v>526.6875</v>
      </c>
      <c r="J7417" s="3">
        <f t="shared" si="115"/>
        <v>43749.0093533912</v>
      </c>
    </row>
    <row r="7418" spans="1:10" x14ac:dyDescent="0.25">
      <c r="A7418" s="5" t="s">
        <v>40473</v>
      </c>
      <c r="B7418" s="6">
        <v>393.75</v>
      </c>
      <c r="C7418" s="6">
        <v>20.478950000000001</v>
      </c>
      <c r="D7418" s="6">
        <v>77</v>
      </c>
      <c r="E7418" s="6">
        <v>0</v>
      </c>
      <c r="F7418" s="6">
        <v>0</v>
      </c>
      <c r="G7418" s="6">
        <v>0</v>
      </c>
      <c r="H7418" s="6" t="s">
        <v>40474</v>
      </c>
      <c r="I7418" s="6">
        <v>526.6875</v>
      </c>
      <c r="J7418" s="2">
        <f t="shared" si="115"/>
        <v>43749.009436886576</v>
      </c>
    </row>
    <row r="7419" spans="1:10" x14ac:dyDescent="0.25">
      <c r="A7419" s="7" t="s">
        <v>40475</v>
      </c>
      <c r="B7419" s="8">
        <v>393.75</v>
      </c>
      <c r="C7419" s="8">
        <v>20.478950000000001</v>
      </c>
      <c r="D7419" s="8">
        <v>78</v>
      </c>
      <c r="E7419" s="8">
        <v>0</v>
      </c>
      <c r="F7419" s="8">
        <v>0</v>
      </c>
      <c r="G7419" s="8">
        <v>0</v>
      </c>
      <c r="H7419" s="8" t="s">
        <v>40476</v>
      </c>
      <c r="I7419" s="8">
        <v>526.6875</v>
      </c>
      <c r="J7419" s="3">
        <f t="shared" si="115"/>
        <v>43749.009508009258</v>
      </c>
    </row>
    <row r="7420" spans="1:10" x14ac:dyDescent="0.25">
      <c r="A7420" s="5" t="s">
        <v>40477</v>
      </c>
      <c r="B7420" s="6">
        <v>393.75</v>
      </c>
      <c r="C7420" s="6">
        <v>20.478950000000001</v>
      </c>
      <c r="D7420" s="6">
        <v>78</v>
      </c>
      <c r="E7420" s="6">
        <v>0</v>
      </c>
      <c r="F7420" s="6">
        <v>0</v>
      </c>
      <c r="G7420" s="6">
        <v>6</v>
      </c>
      <c r="H7420" s="6" t="s">
        <v>40478</v>
      </c>
      <c r="I7420" s="6">
        <v>526.6875</v>
      </c>
      <c r="J7420" s="2">
        <f t="shared" si="115"/>
        <v>43749.00957942129</v>
      </c>
    </row>
    <row r="7421" spans="1:10" x14ac:dyDescent="0.25">
      <c r="A7421" s="7" t="s">
        <v>40479</v>
      </c>
      <c r="B7421" s="8">
        <v>412.5</v>
      </c>
      <c r="C7421" s="8">
        <v>20.478950000000001</v>
      </c>
      <c r="D7421" s="8">
        <v>78</v>
      </c>
      <c r="E7421" s="8">
        <v>0</v>
      </c>
      <c r="F7421" s="8">
        <v>0</v>
      </c>
      <c r="G7421" s="8">
        <v>6</v>
      </c>
      <c r="H7421" s="8" t="s">
        <v>40480</v>
      </c>
      <c r="I7421" s="8">
        <v>532.5</v>
      </c>
      <c r="J7421" s="3">
        <f t="shared" si="115"/>
        <v>43749.009651527776</v>
      </c>
    </row>
    <row r="7422" spans="1:10" x14ac:dyDescent="0.25">
      <c r="A7422" s="5" t="s">
        <v>40481</v>
      </c>
      <c r="B7422" s="6">
        <v>393.75</v>
      </c>
      <c r="C7422" s="6">
        <v>20.426300000000001</v>
      </c>
      <c r="D7422" s="6">
        <v>83</v>
      </c>
      <c r="E7422" s="6">
        <v>0</v>
      </c>
      <c r="F7422" s="6">
        <v>0</v>
      </c>
      <c r="G7422" s="6">
        <v>8</v>
      </c>
      <c r="H7422" s="6" t="s">
        <v>40482</v>
      </c>
      <c r="I7422" s="6">
        <v>526.6875</v>
      </c>
      <c r="J7422" s="2">
        <f t="shared" si="115"/>
        <v>43749.009722812501</v>
      </c>
    </row>
    <row r="7423" spans="1:10" x14ac:dyDescent="0.25">
      <c r="A7423" s="7" t="s">
        <v>40483</v>
      </c>
      <c r="B7423" s="8">
        <v>393.75</v>
      </c>
      <c r="C7423" s="8">
        <v>20.478950000000001</v>
      </c>
      <c r="D7423" s="8">
        <v>83</v>
      </c>
      <c r="E7423" s="8">
        <v>0</v>
      </c>
      <c r="F7423" s="8">
        <v>0</v>
      </c>
      <c r="G7423" s="8">
        <v>0</v>
      </c>
      <c r="H7423" s="8" t="s">
        <v>40484</v>
      </c>
      <c r="I7423" s="8">
        <v>526.6875</v>
      </c>
      <c r="J7423" s="3">
        <f t="shared" si="115"/>
        <v>43749.009794004633</v>
      </c>
    </row>
    <row r="7424" spans="1:10" x14ac:dyDescent="0.25">
      <c r="A7424" s="5" t="s">
        <v>40485</v>
      </c>
      <c r="B7424" s="6">
        <v>393.75</v>
      </c>
      <c r="C7424" s="6">
        <v>20.478950000000001</v>
      </c>
      <c r="D7424" s="6">
        <v>83</v>
      </c>
      <c r="E7424" s="6">
        <v>0</v>
      </c>
      <c r="F7424" s="6">
        <v>0</v>
      </c>
      <c r="G7424" s="6">
        <v>2</v>
      </c>
      <c r="H7424" s="6" t="s">
        <v>40486</v>
      </c>
      <c r="I7424" s="6">
        <v>526.6875</v>
      </c>
      <c r="J7424" s="2">
        <f t="shared" si="115"/>
        <v>43749.009866307868</v>
      </c>
    </row>
    <row r="7425" spans="1:10" x14ac:dyDescent="0.25">
      <c r="A7425" s="7" t="s">
        <v>40487</v>
      </c>
      <c r="B7425" s="8">
        <v>393.75</v>
      </c>
      <c r="C7425" s="8">
        <v>20.478950000000001</v>
      </c>
      <c r="D7425" s="8">
        <v>82</v>
      </c>
      <c r="E7425" s="8">
        <v>0</v>
      </c>
      <c r="F7425" s="8">
        <v>0</v>
      </c>
      <c r="G7425" s="8">
        <v>2</v>
      </c>
      <c r="H7425" s="8" t="s">
        <v>40488</v>
      </c>
      <c r="I7425" s="8">
        <v>526.6875</v>
      </c>
      <c r="J7425" s="3">
        <f t="shared" si="115"/>
        <v>43749.009937650459</v>
      </c>
    </row>
    <row r="7426" spans="1:10" x14ac:dyDescent="0.25">
      <c r="A7426" s="5" t="s">
        <v>40489</v>
      </c>
      <c r="B7426" s="6">
        <v>393.75</v>
      </c>
      <c r="C7426" s="6">
        <v>20.478950000000001</v>
      </c>
      <c r="D7426" s="6">
        <v>82</v>
      </c>
      <c r="E7426" s="6">
        <v>0</v>
      </c>
      <c r="F7426" s="6">
        <v>0</v>
      </c>
      <c r="G7426" s="6">
        <v>2</v>
      </c>
      <c r="H7426" s="6" t="s">
        <v>40490</v>
      </c>
      <c r="I7426" s="6">
        <v>526.6875</v>
      </c>
      <c r="J7426" s="2">
        <f t="shared" ref="J7426:J7489" si="116">(H7426/86400000)+25569+(7/24)</f>
        <v>43749.01000858796</v>
      </c>
    </row>
    <row r="7427" spans="1:10" x14ac:dyDescent="0.25">
      <c r="A7427" s="7" t="s">
        <v>40491</v>
      </c>
      <c r="B7427" s="8">
        <v>393.75</v>
      </c>
      <c r="C7427" s="8">
        <v>20.478950000000001</v>
      </c>
      <c r="D7427" s="8">
        <v>82</v>
      </c>
      <c r="E7427" s="8">
        <v>0</v>
      </c>
      <c r="F7427" s="8">
        <v>0</v>
      </c>
      <c r="G7427" s="8">
        <v>4</v>
      </c>
      <c r="H7427" s="8" t="s">
        <v>40492</v>
      </c>
      <c r="I7427" s="8">
        <v>526.6875</v>
      </c>
      <c r="J7427" s="3">
        <f t="shared" si="116"/>
        <v>43749.010080243053</v>
      </c>
    </row>
    <row r="7428" spans="1:10" x14ac:dyDescent="0.25">
      <c r="A7428" s="5" t="s">
        <v>40493</v>
      </c>
      <c r="B7428" s="6">
        <v>393.75</v>
      </c>
      <c r="C7428" s="6">
        <v>20.478950000000001</v>
      </c>
      <c r="D7428" s="6">
        <v>83</v>
      </c>
      <c r="E7428" s="6">
        <v>0</v>
      </c>
      <c r="F7428" s="6">
        <v>0</v>
      </c>
      <c r="G7428" s="6">
        <v>3</v>
      </c>
      <c r="H7428" s="6" t="s">
        <v>40494</v>
      </c>
      <c r="I7428" s="6">
        <v>526.6875</v>
      </c>
      <c r="J7428" s="2">
        <f t="shared" si="116"/>
        <v>43749.010151828705</v>
      </c>
    </row>
    <row r="7429" spans="1:10" x14ac:dyDescent="0.25">
      <c r="A7429" s="7" t="s">
        <v>40495</v>
      </c>
      <c r="B7429" s="8">
        <v>393.75</v>
      </c>
      <c r="C7429" s="8">
        <v>20.478950000000001</v>
      </c>
      <c r="D7429" s="8">
        <v>82</v>
      </c>
      <c r="E7429" s="8">
        <v>0</v>
      </c>
      <c r="F7429" s="8">
        <v>0</v>
      </c>
      <c r="G7429" s="8">
        <v>5</v>
      </c>
      <c r="H7429" s="8" t="s">
        <v>40496</v>
      </c>
      <c r="I7429" s="8">
        <v>526.6875</v>
      </c>
      <c r="J7429" s="3">
        <f t="shared" si="116"/>
        <v>43749.010223414349</v>
      </c>
    </row>
    <row r="7430" spans="1:10" x14ac:dyDescent="0.25">
      <c r="A7430" s="5" t="s">
        <v>40497</v>
      </c>
      <c r="B7430" s="6">
        <v>412.5</v>
      </c>
      <c r="C7430" s="6">
        <v>20.478950000000001</v>
      </c>
      <c r="D7430" s="6">
        <v>81</v>
      </c>
      <c r="E7430" s="6">
        <v>0</v>
      </c>
      <c r="F7430" s="6">
        <v>0</v>
      </c>
      <c r="G7430" s="6">
        <v>3</v>
      </c>
      <c r="H7430" s="6" t="s">
        <v>40498</v>
      </c>
      <c r="I7430" s="6">
        <v>532.125</v>
      </c>
      <c r="J7430" s="2">
        <f t="shared" si="116"/>
        <v>43749.010295057866</v>
      </c>
    </row>
    <row r="7431" spans="1:10" x14ac:dyDescent="0.25">
      <c r="A7431" s="7" t="s">
        <v>40499</v>
      </c>
      <c r="B7431" s="8">
        <v>393.75</v>
      </c>
      <c r="C7431" s="8">
        <v>20.478950000000001</v>
      </c>
      <c r="D7431" s="8">
        <v>80</v>
      </c>
      <c r="E7431" s="8">
        <v>0</v>
      </c>
      <c r="F7431" s="8">
        <v>0</v>
      </c>
      <c r="G7431" s="8">
        <v>8</v>
      </c>
      <c r="H7431" s="8" t="s">
        <v>40500</v>
      </c>
      <c r="I7431" s="8">
        <v>526.6875</v>
      </c>
      <c r="J7431" s="3">
        <f t="shared" si="116"/>
        <v>43749.010367291667</v>
      </c>
    </row>
    <row r="7432" spans="1:10" x14ac:dyDescent="0.25">
      <c r="A7432" s="5" t="s">
        <v>40501</v>
      </c>
      <c r="B7432" s="6">
        <v>393.75</v>
      </c>
      <c r="C7432" s="6">
        <v>20.478950000000001</v>
      </c>
      <c r="D7432" s="6">
        <v>80</v>
      </c>
      <c r="E7432" s="6">
        <v>0</v>
      </c>
      <c r="F7432" s="6">
        <v>0</v>
      </c>
      <c r="G7432" s="6">
        <v>3</v>
      </c>
      <c r="H7432" s="6" t="s">
        <v>40502</v>
      </c>
      <c r="I7432" s="6">
        <v>526.6875</v>
      </c>
      <c r="J7432" s="2">
        <f t="shared" si="116"/>
        <v>43749.010438518519</v>
      </c>
    </row>
    <row r="7433" spans="1:10" x14ac:dyDescent="0.25">
      <c r="A7433" s="7" t="s">
        <v>40503</v>
      </c>
      <c r="B7433" s="8">
        <v>393.75</v>
      </c>
      <c r="C7433" s="8">
        <v>20.478950000000001</v>
      </c>
      <c r="D7433" s="8">
        <v>80</v>
      </c>
      <c r="E7433" s="8">
        <v>0</v>
      </c>
      <c r="F7433" s="8">
        <v>0</v>
      </c>
      <c r="G7433" s="8">
        <v>10</v>
      </c>
      <c r="H7433" s="8" t="s">
        <v>40504</v>
      </c>
      <c r="I7433" s="8">
        <v>526.6875</v>
      </c>
      <c r="J7433" s="3">
        <f t="shared" si="116"/>
        <v>43749.010509861109</v>
      </c>
    </row>
    <row r="7434" spans="1:10" x14ac:dyDescent="0.25">
      <c r="A7434" s="5" t="s">
        <v>40505</v>
      </c>
      <c r="B7434" s="6">
        <v>425</v>
      </c>
      <c r="C7434" s="6">
        <v>20.426300000000001</v>
      </c>
      <c r="D7434" s="6">
        <v>81</v>
      </c>
      <c r="E7434" s="6">
        <v>0</v>
      </c>
      <c r="F7434" s="6">
        <v>0</v>
      </c>
      <c r="G7434" s="6">
        <v>8</v>
      </c>
      <c r="H7434" s="6" t="s">
        <v>40506</v>
      </c>
      <c r="I7434" s="6">
        <v>536.0625</v>
      </c>
      <c r="J7434" s="2">
        <f t="shared" si="116"/>
        <v>43749.010581145827</v>
      </c>
    </row>
    <row r="7435" spans="1:10" x14ac:dyDescent="0.25">
      <c r="A7435" s="7" t="s">
        <v>40507</v>
      </c>
      <c r="B7435" s="8">
        <v>393.75</v>
      </c>
      <c r="C7435" s="8">
        <v>20.478950000000001</v>
      </c>
      <c r="D7435" s="8">
        <v>81</v>
      </c>
      <c r="E7435" s="8">
        <v>0</v>
      </c>
      <c r="F7435" s="8">
        <v>0</v>
      </c>
      <c r="G7435" s="8">
        <v>1</v>
      </c>
      <c r="H7435" s="8" t="s">
        <v>40508</v>
      </c>
      <c r="I7435" s="8">
        <v>526.6875</v>
      </c>
      <c r="J7435" s="3">
        <f t="shared" si="116"/>
        <v>43749.010665196758</v>
      </c>
    </row>
    <row r="7436" spans="1:10" x14ac:dyDescent="0.25">
      <c r="A7436" s="5" t="s">
        <v>40509</v>
      </c>
      <c r="B7436" s="6">
        <v>393.75</v>
      </c>
      <c r="C7436" s="6">
        <v>20.478950000000001</v>
      </c>
      <c r="D7436" s="6">
        <v>81</v>
      </c>
      <c r="E7436" s="6">
        <v>0</v>
      </c>
      <c r="F7436" s="6">
        <v>0</v>
      </c>
      <c r="G7436" s="6">
        <v>6</v>
      </c>
      <c r="H7436" s="6" t="s">
        <v>40510</v>
      </c>
      <c r="I7436" s="6">
        <v>526.6875</v>
      </c>
      <c r="J7436" s="2">
        <f t="shared" si="116"/>
        <v>43749.01073671296</v>
      </c>
    </row>
    <row r="7437" spans="1:10" x14ac:dyDescent="0.25">
      <c r="A7437" s="7" t="s">
        <v>40511</v>
      </c>
      <c r="B7437" s="8">
        <v>393.75</v>
      </c>
      <c r="C7437" s="8">
        <v>20.478950000000001</v>
      </c>
      <c r="D7437" s="8">
        <v>81</v>
      </c>
      <c r="E7437" s="8">
        <v>0</v>
      </c>
      <c r="F7437" s="8">
        <v>0</v>
      </c>
      <c r="G7437" s="8">
        <v>2</v>
      </c>
      <c r="H7437" s="8" t="s">
        <v>40512</v>
      </c>
      <c r="I7437" s="8">
        <v>526.6875</v>
      </c>
      <c r="J7437" s="3">
        <f t="shared" si="116"/>
        <v>43749.01080802083</v>
      </c>
    </row>
    <row r="7438" spans="1:10" x14ac:dyDescent="0.25">
      <c r="A7438" s="5" t="s">
        <v>40513</v>
      </c>
      <c r="B7438" s="6">
        <v>393.75</v>
      </c>
      <c r="C7438" s="6">
        <v>20.478950000000001</v>
      </c>
      <c r="D7438" s="6">
        <v>80</v>
      </c>
      <c r="E7438" s="6">
        <v>0</v>
      </c>
      <c r="F7438" s="6">
        <v>0</v>
      </c>
      <c r="G7438" s="6">
        <v>2</v>
      </c>
      <c r="H7438" s="6" t="s">
        <v>40514</v>
      </c>
      <c r="I7438" s="6">
        <v>526.6875</v>
      </c>
      <c r="J7438" s="2">
        <f t="shared" si="116"/>
        <v>43749.010881863425</v>
      </c>
    </row>
    <row r="7439" spans="1:10" x14ac:dyDescent="0.25">
      <c r="A7439" s="7" t="s">
        <v>40515</v>
      </c>
      <c r="B7439" s="8">
        <v>393.75</v>
      </c>
      <c r="C7439" s="8">
        <v>20.478950000000001</v>
      </c>
      <c r="D7439" s="8">
        <v>80</v>
      </c>
      <c r="E7439" s="8">
        <v>0</v>
      </c>
      <c r="F7439" s="8">
        <v>0</v>
      </c>
      <c r="G7439" s="8">
        <v>4</v>
      </c>
      <c r="H7439" s="8" t="s">
        <v>40516</v>
      </c>
      <c r="I7439" s="8">
        <v>526.6875</v>
      </c>
      <c r="J7439" s="3">
        <f t="shared" si="116"/>
        <v>43749.010962766202</v>
      </c>
    </row>
    <row r="7440" spans="1:10" x14ac:dyDescent="0.25">
      <c r="A7440" s="5" t="s">
        <v>40517</v>
      </c>
      <c r="B7440" s="6">
        <v>393.75</v>
      </c>
      <c r="C7440" s="6">
        <v>20.478950000000001</v>
      </c>
      <c r="D7440" s="6">
        <v>81</v>
      </c>
      <c r="E7440" s="6">
        <v>0</v>
      </c>
      <c r="F7440" s="6">
        <v>0</v>
      </c>
      <c r="G7440" s="6">
        <v>4</v>
      </c>
      <c r="H7440" s="6" t="s">
        <v>40518</v>
      </c>
      <c r="I7440" s="6">
        <v>526.6875</v>
      </c>
      <c r="J7440" s="2">
        <f t="shared" si="116"/>
        <v>43749.011034895833</v>
      </c>
    </row>
    <row r="7441" spans="1:10" x14ac:dyDescent="0.25">
      <c r="A7441" s="7" t="s">
        <v>40519</v>
      </c>
      <c r="B7441" s="8">
        <v>412.5</v>
      </c>
      <c r="C7441" s="8">
        <v>20.478950000000001</v>
      </c>
      <c r="D7441" s="8">
        <v>81</v>
      </c>
      <c r="E7441" s="8">
        <v>0</v>
      </c>
      <c r="F7441" s="8">
        <v>0</v>
      </c>
      <c r="G7441" s="8">
        <v>12</v>
      </c>
      <c r="H7441" s="8" t="s">
        <v>40520</v>
      </c>
      <c r="I7441" s="8">
        <v>532.3125</v>
      </c>
      <c r="J7441" s="3">
        <f t="shared" si="116"/>
        <v>43749.011106157406</v>
      </c>
    </row>
    <row r="7442" spans="1:10" x14ac:dyDescent="0.25">
      <c r="A7442" s="5" t="s">
        <v>40521</v>
      </c>
      <c r="B7442" s="6">
        <v>393.75</v>
      </c>
      <c r="C7442" s="6">
        <v>20.478950000000001</v>
      </c>
      <c r="D7442" s="6">
        <v>80</v>
      </c>
      <c r="E7442" s="6">
        <v>0</v>
      </c>
      <c r="F7442" s="6">
        <v>0</v>
      </c>
      <c r="G7442" s="6">
        <v>13</v>
      </c>
      <c r="H7442" s="6" t="s">
        <v>40522</v>
      </c>
      <c r="I7442" s="6">
        <v>526.6875</v>
      </c>
      <c r="J7442" s="2">
        <f t="shared" si="116"/>
        <v>43749.0111774537</v>
      </c>
    </row>
    <row r="7443" spans="1:10" x14ac:dyDescent="0.25">
      <c r="A7443" s="7" t="s">
        <v>40523</v>
      </c>
      <c r="B7443" s="8">
        <v>393.75</v>
      </c>
      <c r="C7443" s="8">
        <v>20.478950000000001</v>
      </c>
      <c r="D7443" s="8">
        <v>79</v>
      </c>
      <c r="E7443" s="8">
        <v>0</v>
      </c>
      <c r="F7443" s="8">
        <v>0</v>
      </c>
      <c r="G7443" s="8">
        <v>5</v>
      </c>
      <c r="H7443" s="8" t="s">
        <v>40524</v>
      </c>
      <c r="I7443" s="8">
        <v>526.6875</v>
      </c>
      <c r="J7443" s="3">
        <f t="shared" si="116"/>
        <v>43749.011249618052</v>
      </c>
    </row>
    <row r="7444" spans="1:10" x14ac:dyDescent="0.25">
      <c r="A7444" s="5" t="s">
        <v>40525</v>
      </c>
      <c r="B7444" s="6">
        <v>393.75</v>
      </c>
      <c r="C7444" s="6">
        <v>20.478950000000001</v>
      </c>
      <c r="D7444" s="6">
        <v>79</v>
      </c>
      <c r="E7444" s="6">
        <v>0</v>
      </c>
      <c r="F7444" s="6">
        <v>0</v>
      </c>
      <c r="G7444" s="6">
        <v>9</v>
      </c>
      <c r="H7444" s="6" t="s">
        <v>40526</v>
      </c>
      <c r="I7444" s="6">
        <v>526.6875</v>
      </c>
      <c r="J7444" s="2">
        <f t="shared" si="116"/>
        <v>43749.011320983795</v>
      </c>
    </row>
    <row r="7445" spans="1:10" x14ac:dyDescent="0.25">
      <c r="A7445" s="7" t="s">
        <v>40527</v>
      </c>
      <c r="B7445" s="8">
        <v>393.75</v>
      </c>
      <c r="C7445" s="8">
        <v>20.478950000000001</v>
      </c>
      <c r="D7445" s="8">
        <v>79</v>
      </c>
      <c r="E7445" s="8">
        <v>0</v>
      </c>
      <c r="F7445" s="8">
        <v>0</v>
      </c>
      <c r="G7445" s="8">
        <v>2</v>
      </c>
      <c r="H7445" s="8" t="s">
        <v>40528</v>
      </c>
      <c r="I7445" s="8">
        <v>526.6875</v>
      </c>
      <c r="J7445" s="3">
        <f t="shared" si="116"/>
        <v>43749.011392511573</v>
      </c>
    </row>
    <row r="7446" spans="1:10" x14ac:dyDescent="0.25">
      <c r="A7446" s="5" t="s">
        <v>40529</v>
      </c>
      <c r="B7446" s="6">
        <v>393.75</v>
      </c>
      <c r="C7446" s="6">
        <v>20.478950000000001</v>
      </c>
      <c r="D7446" s="6">
        <v>79</v>
      </c>
      <c r="E7446" s="6">
        <v>0</v>
      </c>
      <c r="F7446" s="6">
        <v>0</v>
      </c>
      <c r="G7446" s="6">
        <v>0</v>
      </c>
      <c r="H7446" s="6" t="s">
        <v>40530</v>
      </c>
      <c r="I7446" s="6">
        <v>526.6875</v>
      </c>
      <c r="J7446" s="2">
        <f t="shared" si="116"/>
        <v>43749.011463634255</v>
      </c>
    </row>
    <row r="7447" spans="1:10" x14ac:dyDescent="0.25">
      <c r="A7447" s="7" t="s">
        <v>40531</v>
      </c>
      <c r="B7447" s="8">
        <v>393.75</v>
      </c>
      <c r="C7447" s="8">
        <v>20.478950000000001</v>
      </c>
      <c r="D7447" s="8">
        <v>80</v>
      </c>
      <c r="E7447" s="8">
        <v>0</v>
      </c>
      <c r="F7447" s="8">
        <v>0</v>
      </c>
      <c r="G7447" s="8">
        <v>2</v>
      </c>
      <c r="H7447" s="8" t="s">
        <v>40532</v>
      </c>
      <c r="I7447" s="8">
        <v>526.6875</v>
      </c>
      <c r="J7447" s="3">
        <f t="shared" si="116"/>
        <v>43749.011547835646</v>
      </c>
    </row>
    <row r="7448" spans="1:10" x14ac:dyDescent="0.25">
      <c r="A7448" s="5" t="s">
        <v>40533</v>
      </c>
      <c r="B7448" s="6">
        <v>393.75</v>
      </c>
      <c r="C7448" s="6">
        <v>20.478950000000001</v>
      </c>
      <c r="D7448" s="6">
        <v>80</v>
      </c>
      <c r="E7448" s="6">
        <v>0</v>
      </c>
      <c r="F7448" s="6">
        <v>0</v>
      </c>
      <c r="G7448" s="6">
        <v>10</v>
      </c>
      <c r="H7448" s="6" t="s">
        <v>40534</v>
      </c>
      <c r="I7448" s="6">
        <v>526.6875</v>
      </c>
      <c r="J7448" s="2">
        <f t="shared" si="116"/>
        <v>43749.011618680554</v>
      </c>
    </row>
    <row r="7449" spans="1:10" x14ac:dyDescent="0.25">
      <c r="A7449" s="7" t="s">
        <v>40535</v>
      </c>
      <c r="B7449" s="8">
        <v>412.5</v>
      </c>
      <c r="C7449" s="8">
        <v>20.478950000000001</v>
      </c>
      <c r="D7449" s="8">
        <v>79</v>
      </c>
      <c r="E7449" s="8">
        <v>0</v>
      </c>
      <c r="F7449" s="8">
        <v>0</v>
      </c>
      <c r="G7449" s="8">
        <v>4</v>
      </c>
      <c r="H7449" s="8" t="s">
        <v>40536</v>
      </c>
      <c r="I7449" s="8">
        <v>532.3125</v>
      </c>
      <c r="J7449" s="3">
        <f t="shared" si="116"/>
        <v>43749.011690312494</v>
      </c>
    </row>
    <row r="7450" spans="1:10" x14ac:dyDescent="0.25">
      <c r="A7450" s="5" t="s">
        <v>40537</v>
      </c>
      <c r="B7450" s="6">
        <v>393.75</v>
      </c>
      <c r="C7450" s="6">
        <v>20.478950000000001</v>
      </c>
      <c r="D7450" s="6">
        <v>78</v>
      </c>
      <c r="E7450" s="6">
        <v>0</v>
      </c>
      <c r="F7450" s="6">
        <v>0</v>
      </c>
      <c r="G7450" s="6">
        <v>4</v>
      </c>
      <c r="H7450" s="6" t="s">
        <v>40538</v>
      </c>
      <c r="I7450" s="6">
        <v>526.6875</v>
      </c>
      <c r="J7450" s="2">
        <f t="shared" si="116"/>
        <v>43749.011761759255</v>
      </c>
    </row>
    <row r="7451" spans="1:10" x14ac:dyDescent="0.25">
      <c r="A7451" s="7" t="s">
        <v>40539</v>
      </c>
      <c r="B7451" s="8">
        <v>393.75</v>
      </c>
      <c r="C7451" s="8">
        <v>20.426300000000001</v>
      </c>
      <c r="D7451" s="8">
        <v>78</v>
      </c>
      <c r="E7451" s="8">
        <v>0</v>
      </c>
      <c r="F7451" s="8">
        <v>0</v>
      </c>
      <c r="G7451" s="8">
        <v>3</v>
      </c>
      <c r="H7451" s="8" t="s">
        <v>40540</v>
      </c>
      <c r="I7451" s="8">
        <v>526.6875</v>
      </c>
      <c r="J7451" s="3">
        <f t="shared" si="116"/>
        <v>43749.011833888886</v>
      </c>
    </row>
    <row r="7452" spans="1:10" x14ac:dyDescent="0.25">
      <c r="A7452" s="5" t="s">
        <v>40541</v>
      </c>
      <c r="B7452" s="6">
        <v>425</v>
      </c>
      <c r="C7452" s="6">
        <v>20.478950000000001</v>
      </c>
      <c r="D7452" s="6">
        <v>78</v>
      </c>
      <c r="E7452" s="6">
        <v>0</v>
      </c>
      <c r="F7452" s="6">
        <v>0</v>
      </c>
      <c r="G7452" s="6">
        <v>0</v>
      </c>
      <c r="H7452" s="6" t="s">
        <v>40542</v>
      </c>
      <c r="I7452" s="6">
        <v>536.8125</v>
      </c>
      <c r="J7452" s="2">
        <f t="shared" si="116"/>
        <v>43749.011929293978</v>
      </c>
    </row>
    <row r="7453" spans="1:10" x14ac:dyDescent="0.25">
      <c r="A7453" s="7" t="s">
        <v>40543</v>
      </c>
      <c r="B7453" s="8">
        <v>393.75</v>
      </c>
      <c r="C7453" s="8">
        <v>20.478950000000001</v>
      </c>
      <c r="D7453" s="8">
        <v>78</v>
      </c>
      <c r="E7453" s="8">
        <v>0</v>
      </c>
      <c r="F7453" s="8">
        <v>0</v>
      </c>
      <c r="G7453" s="8">
        <v>8</v>
      </c>
      <c r="H7453" s="8" t="s">
        <v>40544</v>
      </c>
      <c r="I7453" s="8">
        <v>526.6875</v>
      </c>
      <c r="J7453" s="3">
        <f t="shared" si="116"/>
        <v>43749.012000393515</v>
      </c>
    </row>
    <row r="7454" spans="1:10" x14ac:dyDescent="0.25">
      <c r="A7454" s="5" t="s">
        <v>40545</v>
      </c>
      <c r="B7454" s="6">
        <v>393.75</v>
      </c>
      <c r="C7454" s="6">
        <v>20.478950000000001</v>
      </c>
      <c r="D7454" s="6">
        <v>77</v>
      </c>
      <c r="E7454" s="6">
        <v>0</v>
      </c>
      <c r="F7454" s="6">
        <v>0</v>
      </c>
      <c r="G7454" s="6">
        <v>8</v>
      </c>
      <c r="H7454" s="6" t="s">
        <v>40546</v>
      </c>
      <c r="I7454" s="6">
        <v>526.6875</v>
      </c>
      <c r="J7454" s="2">
        <f t="shared" si="116"/>
        <v>43749.012071921294</v>
      </c>
    </row>
    <row r="7455" spans="1:10" x14ac:dyDescent="0.25">
      <c r="A7455" s="7" t="s">
        <v>40547</v>
      </c>
      <c r="B7455" s="8">
        <v>393.75</v>
      </c>
      <c r="C7455" s="8">
        <v>20.426300000000001</v>
      </c>
      <c r="D7455" s="8">
        <v>77</v>
      </c>
      <c r="E7455" s="8">
        <v>0</v>
      </c>
      <c r="F7455" s="8">
        <v>0</v>
      </c>
      <c r="G7455" s="8">
        <v>6</v>
      </c>
      <c r="H7455" s="8" t="s">
        <v>40548</v>
      </c>
      <c r="I7455" s="8">
        <v>526.6875</v>
      </c>
      <c r="J7455" s="3">
        <f t="shared" si="116"/>
        <v>43749.01214410879</v>
      </c>
    </row>
    <row r="7456" spans="1:10" x14ac:dyDescent="0.25">
      <c r="A7456" s="5" t="s">
        <v>40549</v>
      </c>
      <c r="B7456" s="6">
        <v>393.75</v>
      </c>
      <c r="C7456" s="6">
        <v>20.478950000000001</v>
      </c>
      <c r="D7456" s="6">
        <v>77</v>
      </c>
      <c r="E7456" s="6">
        <v>0</v>
      </c>
      <c r="F7456" s="6">
        <v>0</v>
      </c>
      <c r="G7456" s="6">
        <v>4</v>
      </c>
      <c r="H7456" s="6" t="s">
        <v>40550</v>
      </c>
      <c r="I7456" s="6">
        <v>526.5</v>
      </c>
      <c r="J7456" s="2">
        <f t="shared" si="116"/>
        <v>43749.012215439812</v>
      </c>
    </row>
    <row r="7457" spans="1:10" x14ac:dyDescent="0.25">
      <c r="A7457" s="7" t="s">
        <v>40551</v>
      </c>
      <c r="B7457" s="8">
        <v>393.75</v>
      </c>
      <c r="C7457" s="8">
        <v>20.478950000000001</v>
      </c>
      <c r="D7457" s="8">
        <v>77</v>
      </c>
      <c r="E7457" s="8">
        <v>0</v>
      </c>
      <c r="F7457" s="8">
        <v>0</v>
      </c>
      <c r="G7457" s="8">
        <v>2</v>
      </c>
      <c r="H7457" s="8" t="s">
        <v>40552</v>
      </c>
      <c r="I7457" s="8">
        <v>526.6875</v>
      </c>
      <c r="J7457" s="3">
        <f t="shared" si="116"/>
        <v>43749.012286747682</v>
      </c>
    </row>
    <row r="7458" spans="1:10" x14ac:dyDescent="0.25">
      <c r="A7458" s="5" t="s">
        <v>40553</v>
      </c>
      <c r="B7458" s="6">
        <v>393.75</v>
      </c>
      <c r="C7458" s="6">
        <v>20.478950000000001</v>
      </c>
      <c r="D7458" s="6">
        <v>77</v>
      </c>
      <c r="E7458" s="6">
        <v>0</v>
      </c>
      <c r="F7458" s="6">
        <v>0</v>
      </c>
      <c r="G7458" s="6">
        <v>0</v>
      </c>
      <c r="H7458" s="6" t="s">
        <v>40554</v>
      </c>
      <c r="I7458" s="6">
        <v>526.6875</v>
      </c>
      <c r="J7458" s="2">
        <f t="shared" si="116"/>
        <v>43749.012357997686</v>
      </c>
    </row>
    <row r="7459" spans="1:10" x14ac:dyDescent="0.25">
      <c r="A7459" s="7" t="s">
        <v>40555</v>
      </c>
      <c r="B7459" s="8">
        <v>393.75</v>
      </c>
      <c r="C7459" s="8">
        <v>20.478950000000001</v>
      </c>
      <c r="D7459" s="8">
        <v>77</v>
      </c>
      <c r="E7459" s="8">
        <v>0</v>
      </c>
      <c r="F7459" s="8">
        <v>0</v>
      </c>
      <c r="G7459" s="8">
        <v>12</v>
      </c>
      <c r="H7459" s="8" t="s">
        <v>40556</v>
      </c>
      <c r="I7459" s="8">
        <v>526.875</v>
      </c>
      <c r="J7459" s="3">
        <f t="shared" si="116"/>
        <v>43749.01243023148</v>
      </c>
    </row>
    <row r="7460" spans="1:10" x14ac:dyDescent="0.25">
      <c r="A7460" s="5" t="s">
        <v>40557</v>
      </c>
      <c r="B7460" s="6">
        <v>412.5</v>
      </c>
      <c r="C7460" s="6">
        <v>20.478950000000001</v>
      </c>
      <c r="D7460" s="6">
        <v>77</v>
      </c>
      <c r="E7460" s="6">
        <v>0</v>
      </c>
      <c r="F7460" s="6">
        <v>0</v>
      </c>
      <c r="G7460" s="6">
        <v>8</v>
      </c>
      <c r="H7460" s="6" t="s">
        <v>40558</v>
      </c>
      <c r="I7460" s="6">
        <v>532.875</v>
      </c>
      <c r="J7460" s="2">
        <f t="shared" si="116"/>
        <v>43749.012501562502</v>
      </c>
    </row>
    <row r="7461" spans="1:10" x14ac:dyDescent="0.25">
      <c r="A7461" s="7" t="s">
        <v>40559</v>
      </c>
      <c r="B7461" s="8">
        <v>393.75</v>
      </c>
      <c r="C7461" s="8">
        <v>20.478950000000001</v>
      </c>
      <c r="D7461" s="8">
        <v>77</v>
      </c>
      <c r="E7461" s="8">
        <v>0</v>
      </c>
      <c r="F7461" s="8">
        <v>0</v>
      </c>
      <c r="G7461" s="8">
        <v>4</v>
      </c>
      <c r="H7461" s="8" t="s">
        <v>40560</v>
      </c>
      <c r="I7461" s="8">
        <v>526.6875</v>
      </c>
      <c r="J7461" s="3">
        <f t="shared" si="116"/>
        <v>43749.012572847219</v>
      </c>
    </row>
    <row r="7462" spans="1:10" x14ac:dyDescent="0.25">
      <c r="A7462" s="5" t="s">
        <v>40561</v>
      </c>
      <c r="B7462" s="6">
        <v>393.75</v>
      </c>
      <c r="C7462" s="6">
        <v>20.478950000000001</v>
      </c>
      <c r="D7462" s="6">
        <v>77</v>
      </c>
      <c r="E7462" s="6">
        <v>0</v>
      </c>
      <c r="F7462" s="6">
        <v>0</v>
      </c>
      <c r="G7462" s="6">
        <v>8</v>
      </c>
      <c r="H7462" s="6" t="s">
        <v>40562</v>
      </c>
      <c r="I7462" s="6">
        <v>526.5</v>
      </c>
      <c r="J7462" s="2">
        <f t="shared" si="116"/>
        <v>43749.012644236107</v>
      </c>
    </row>
    <row r="7463" spans="1:10" x14ac:dyDescent="0.25">
      <c r="A7463" s="7" t="s">
        <v>40563</v>
      </c>
      <c r="B7463" s="8">
        <v>393.75</v>
      </c>
      <c r="C7463" s="8">
        <v>20.478950000000001</v>
      </c>
      <c r="D7463" s="8">
        <v>76</v>
      </c>
      <c r="E7463" s="8">
        <v>0</v>
      </c>
      <c r="F7463" s="8">
        <v>0</v>
      </c>
      <c r="G7463" s="8">
        <v>0</v>
      </c>
      <c r="H7463" s="8" t="s">
        <v>40564</v>
      </c>
      <c r="I7463" s="8">
        <v>526.6875</v>
      </c>
      <c r="J7463" s="3">
        <f t="shared" si="116"/>
        <v>43749.012716331017</v>
      </c>
    </row>
    <row r="7464" spans="1:10" x14ac:dyDescent="0.25">
      <c r="A7464" s="5" t="s">
        <v>40565</v>
      </c>
      <c r="B7464" s="6">
        <v>393.75</v>
      </c>
      <c r="C7464" s="6">
        <v>20.478950000000001</v>
      </c>
      <c r="D7464" s="6">
        <v>76</v>
      </c>
      <c r="E7464" s="6">
        <v>0</v>
      </c>
      <c r="F7464" s="6">
        <v>0</v>
      </c>
      <c r="G7464" s="6">
        <v>2</v>
      </c>
      <c r="H7464" s="6" t="s">
        <v>40566</v>
      </c>
      <c r="I7464" s="6">
        <v>526.6875</v>
      </c>
      <c r="J7464" s="2">
        <f t="shared" si="116"/>
        <v>43749.012787627311</v>
      </c>
    </row>
    <row r="7465" spans="1:10" x14ac:dyDescent="0.25">
      <c r="A7465" s="7" t="s">
        <v>40567</v>
      </c>
      <c r="B7465" s="8">
        <v>393.75</v>
      </c>
      <c r="C7465" s="8">
        <v>20.478950000000001</v>
      </c>
      <c r="D7465" s="8">
        <v>76</v>
      </c>
      <c r="E7465" s="8">
        <v>0</v>
      </c>
      <c r="F7465" s="8">
        <v>0</v>
      </c>
      <c r="G7465" s="8">
        <v>10</v>
      </c>
      <c r="H7465" s="8" t="s">
        <v>40568</v>
      </c>
      <c r="I7465" s="8">
        <v>526.6875</v>
      </c>
      <c r="J7465" s="3">
        <f t="shared" si="116"/>
        <v>43749.012858923605</v>
      </c>
    </row>
    <row r="7466" spans="1:10" x14ac:dyDescent="0.25">
      <c r="A7466" s="5" t="s">
        <v>40569</v>
      </c>
      <c r="B7466" s="6">
        <v>393.75</v>
      </c>
      <c r="C7466" s="6">
        <v>20.478950000000001</v>
      </c>
      <c r="D7466" s="6">
        <v>76</v>
      </c>
      <c r="E7466" s="6">
        <v>0</v>
      </c>
      <c r="F7466" s="6">
        <v>0</v>
      </c>
      <c r="G7466" s="6">
        <v>9</v>
      </c>
      <c r="H7466" s="6" t="s">
        <v>40570</v>
      </c>
      <c r="I7466" s="6">
        <v>526.6875</v>
      </c>
      <c r="J7466" s="2">
        <f t="shared" si="116"/>
        <v>43749.012931111109</v>
      </c>
    </row>
    <row r="7467" spans="1:10" x14ac:dyDescent="0.25">
      <c r="A7467" s="7" t="s">
        <v>40571</v>
      </c>
      <c r="B7467" s="8">
        <v>393.75</v>
      </c>
      <c r="C7467" s="8">
        <v>20.478950000000001</v>
      </c>
      <c r="D7467" s="8">
        <v>76</v>
      </c>
      <c r="E7467" s="8">
        <v>0</v>
      </c>
      <c r="F7467" s="8">
        <v>0</v>
      </c>
      <c r="G7467" s="8">
        <v>1</v>
      </c>
      <c r="H7467" s="8" t="s">
        <v>40572</v>
      </c>
      <c r="I7467" s="8">
        <v>526.6875</v>
      </c>
      <c r="J7467" s="3">
        <f t="shared" si="116"/>
        <v>43749.013002465275</v>
      </c>
    </row>
    <row r="7468" spans="1:10" x14ac:dyDescent="0.25">
      <c r="A7468" s="5" t="s">
        <v>40573</v>
      </c>
      <c r="B7468" s="6">
        <v>393.75</v>
      </c>
      <c r="C7468" s="6">
        <v>20.478950000000001</v>
      </c>
      <c r="D7468" s="6">
        <v>78</v>
      </c>
      <c r="E7468" s="6">
        <v>0</v>
      </c>
      <c r="F7468" s="6">
        <v>0</v>
      </c>
      <c r="G7468" s="6">
        <v>3</v>
      </c>
      <c r="H7468" s="6" t="s">
        <v>40574</v>
      </c>
      <c r="I7468" s="6">
        <v>526.6875</v>
      </c>
      <c r="J7468" s="2">
        <f t="shared" si="116"/>
        <v>43749.013085787032</v>
      </c>
    </row>
    <row r="7469" spans="1:10" x14ac:dyDescent="0.25">
      <c r="A7469" s="7" t="s">
        <v>40575</v>
      </c>
      <c r="B7469" s="8">
        <v>393.75</v>
      </c>
      <c r="C7469" s="8">
        <v>20.478950000000001</v>
      </c>
      <c r="D7469" s="8">
        <v>78</v>
      </c>
      <c r="E7469" s="8">
        <v>0</v>
      </c>
      <c r="F7469" s="8">
        <v>0</v>
      </c>
      <c r="G7469" s="8">
        <v>0</v>
      </c>
      <c r="H7469" s="8" t="s">
        <v>40576</v>
      </c>
      <c r="I7469" s="8">
        <v>526.6875</v>
      </c>
      <c r="J7469" s="3">
        <f t="shared" si="116"/>
        <v>43749.013157083325</v>
      </c>
    </row>
    <row r="7470" spans="1:10" x14ac:dyDescent="0.25">
      <c r="A7470" s="5" t="s">
        <v>40577</v>
      </c>
      <c r="B7470" s="6">
        <v>393.75</v>
      </c>
      <c r="C7470" s="6">
        <v>20.478950000000001</v>
      </c>
      <c r="D7470" s="6">
        <v>78</v>
      </c>
      <c r="E7470" s="6">
        <v>0</v>
      </c>
      <c r="F7470" s="6">
        <v>0</v>
      </c>
      <c r="G7470" s="6">
        <v>8</v>
      </c>
      <c r="H7470" s="6" t="s">
        <v>40578</v>
      </c>
      <c r="I7470" s="6">
        <v>526.5</v>
      </c>
      <c r="J7470" s="2">
        <f t="shared" si="116"/>
        <v>43749.013229293974</v>
      </c>
    </row>
    <row r="7471" spans="1:10" x14ac:dyDescent="0.25">
      <c r="A7471" s="7" t="s">
        <v>40579</v>
      </c>
      <c r="B7471" s="8">
        <v>393.75</v>
      </c>
      <c r="C7471" s="8">
        <v>20.478950000000001</v>
      </c>
      <c r="D7471" s="8">
        <v>78</v>
      </c>
      <c r="E7471" s="8">
        <v>0</v>
      </c>
      <c r="F7471" s="8">
        <v>0</v>
      </c>
      <c r="G7471" s="8">
        <v>3</v>
      </c>
      <c r="H7471" s="8" t="s">
        <v>40580</v>
      </c>
      <c r="I7471" s="8">
        <v>526.6875</v>
      </c>
      <c r="J7471" s="3">
        <f t="shared" si="116"/>
        <v>43749.013300590275</v>
      </c>
    </row>
    <row r="7472" spans="1:10" x14ac:dyDescent="0.25">
      <c r="A7472" s="5" t="s">
        <v>40581</v>
      </c>
      <c r="B7472" s="6">
        <v>393.75</v>
      </c>
      <c r="C7472" s="6">
        <v>20.478950000000001</v>
      </c>
      <c r="D7472" s="6">
        <v>76</v>
      </c>
      <c r="E7472" s="6">
        <v>0</v>
      </c>
      <c r="F7472" s="6">
        <v>0</v>
      </c>
      <c r="G7472" s="6">
        <v>0</v>
      </c>
      <c r="H7472" s="6" t="s">
        <v>40582</v>
      </c>
      <c r="I7472" s="6">
        <v>526.6875</v>
      </c>
      <c r="J7472" s="2">
        <f t="shared" si="116"/>
        <v>43749.013371898145</v>
      </c>
    </row>
    <row r="7473" spans="1:10" x14ac:dyDescent="0.25">
      <c r="A7473" s="7" t="s">
        <v>40583</v>
      </c>
      <c r="B7473" s="8">
        <v>393.75</v>
      </c>
      <c r="C7473" s="8">
        <v>20.478950000000001</v>
      </c>
      <c r="D7473" s="8">
        <v>76</v>
      </c>
      <c r="E7473" s="8">
        <v>0</v>
      </c>
      <c r="F7473" s="8">
        <v>0</v>
      </c>
      <c r="G7473" s="8">
        <v>5</v>
      </c>
      <c r="H7473" s="8" t="s">
        <v>40584</v>
      </c>
      <c r="I7473" s="8">
        <v>526.6875</v>
      </c>
      <c r="J7473" s="3">
        <f t="shared" si="116"/>
        <v>43749.013443298609</v>
      </c>
    </row>
    <row r="7474" spans="1:10" x14ac:dyDescent="0.25">
      <c r="A7474" s="5" t="s">
        <v>40585</v>
      </c>
      <c r="B7474" s="6">
        <v>393.75</v>
      </c>
      <c r="C7474" s="6">
        <v>20.478950000000001</v>
      </c>
      <c r="D7474" s="6">
        <v>76</v>
      </c>
      <c r="E7474" s="6">
        <v>0</v>
      </c>
      <c r="F7474" s="6">
        <v>0</v>
      </c>
      <c r="G7474" s="6">
        <v>2</v>
      </c>
      <c r="H7474" s="6" t="s">
        <v>40586</v>
      </c>
      <c r="I7474" s="6">
        <v>526.6875</v>
      </c>
      <c r="J7474" s="2">
        <f t="shared" si="116"/>
        <v>43749.01351542824</v>
      </c>
    </row>
    <row r="7475" spans="1:10" x14ac:dyDescent="0.25">
      <c r="A7475" s="7" t="s">
        <v>40587</v>
      </c>
      <c r="B7475" s="8">
        <v>393.75</v>
      </c>
      <c r="C7475" s="8">
        <v>20.478950000000001</v>
      </c>
      <c r="D7475" s="8">
        <v>79</v>
      </c>
      <c r="E7475" s="8">
        <v>0</v>
      </c>
      <c r="F7475" s="8">
        <v>0</v>
      </c>
      <c r="G7475" s="8">
        <v>9</v>
      </c>
      <c r="H7475" s="8" t="s">
        <v>40588</v>
      </c>
      <c r="I7475" s="8">
        <v>526.6875</v>
      </c>
      <c r="J7475" s="3">
        <f t="shared" si="116"/>
        <v>43749.013586365742</v>
      </c>
    </row>
    <row r="7476" spans="1:10" x14ac:dyDescent="0.25">
      <c r="A7476" s="5" t="s">
        <v>40589</v>
      </c>
      <c r="B7476" s="6">
        <v>393.75</v>
      </c>
      <c r="C7476" s="6">
        <v>20.478950000000001</v>
      </c>
      <c r="D7476" s="6">
        <v>79</v>
      </c>
      <c r="E7476" s="6">
        <v>0</v>
      </c>
      <c r="F7476" s="6">
        <v>0</v>
      </c>
      <c r="G7476" s="6">
        <v>9</v>
      </c>
      <c r="H7476" s="6" t="s">
        <v>40590</v>
      </c>
      <c r="I7476" s="6">
        <v>526.5</v>
      </c>
      <c r="J7476" s="2">
        <f t="shared" si="116"/>
        <v>43749.013657997682</v>
      </c>
    </row>
    <row r="7477" spans="1:10" x14ac:dyDescent="0.25">
      <c r="A7477" s="7" t="s">
        <v>40591</v>
      </c>
      <c r="B7477" s="8">
        <v>393.75</v>
      </c>
      <c r="C7477" s="8">
        <v>20.478950000000001</v>
      </c>
      <c r="D7477" s="8">
        <v>77</v>
      </c>
      <c r="E7477" s="8">
        <v>0</v>
      </c>
      <c r="F7477" s="8">
        <v>0</v>
      </c>
      <c r="G7477" s="8">
        <v>0</v>
      </c>
      <c r="H7477" s="8" t="s">
        <v>40592</v>
      </c>
      <c r="I7477" s="8">
        <v>526.6875</v>
      </c>
      <c r="J7477" s="3">
        <f t="shared" si="116"/>
        <v>43749.013730185186</v>
      </c>
    </row>
    <row r="7478" spans="1:10" x14ac:dyDescent="0.25">
      <c r="A7478" s="5" t="s">
        <v>40593</v>
      </c>
      <c r="B7478" s="6">
        <v>393.75</v>
      </c>
      <c r="C7478" s="6">
        <v>20.478950000000001</v>
      </c>
      <c r="D7478" s="6">
        <v>77</v>
      </c>
      <c r="E7478" s="6">
        <v>0</v>
      </c>
      <c r="F7478" s="6">
        <v>0</v>
      </c>
      <c r="G7478" s="6">
        <v>2</v>
      </c>
      <c r="H7478" s="6" t="s">
        <v>40594</v>
      </c>
      <c r="I7478" s="6">
        <v>526.6875</v>
      </c>
      <c r="J7478" s="2">
        <f t="shared" si="116"/>
        <v>43749.013801458328</v>
      </c>
    </row>
    <row r="7479" spans="1:10" x14ac:dyDescent="0.25">
      <c r="A7479" s="7" t="s">
        <v>40595</v>
      </c>
      <c r="B7479" s="8">
        <v>393.75</v>
      </c>
      <c r="C7479" s="8">
        <v>20.478950000000001</v>
      </c>
      <c r="D7479" s="8">
        <v>76</v>
      </c>
      <c r="E7479" s="8">
        <v>0</v>
      </c>
      <c r="F7479" s="8">
        <v>0</v>
      </c>
      <c r="G7479" s="8">
        <v>6</v>
      </c>
      <c r="H7479" s="8" t="s">
        <v>40596</v>
      </c>
      <c r="I7479" s="8">
        <v>526.6875</v>
      </c>
      <c r="J7479" s="3">
        <f t="shared" si="116"/>
        <v>43749.013884618056</v>
      </c>
    </row>
    <row r="7480" spans="1:10" x14ac:dyDescent="0.25">
      <c r="A7480" s="5" t="s">
        <v>40597</v>
      </c>
      <c r="B7480" s="6">
        <v>431.25</v>
      </c>
      <c r="C7480" s="6">
        <v>20.478950000000001</v>
      </c>
      <c r="D7480" s="6">
        <v>76</v>
      </c>
      <c r="E7480" s="6">
        <v>0</v>
      </c>
      <c r="F7480" s="6">
        <v>0</v>
      </c>
      <c r="G7480" s="6">
        <v>5</v>
      </c>
      <c r="H7480" s="6" t="s">
        <v>40598</v>
      </c>
      <c r="I7480" s="6">
        <v>538.3125</v>
      </c>
      <c r="J7480" s="2">
        <f t="shared" si="116"/>
        <v>43749.013956168979</v>
      </c>
    </row>
    <row r="7481" spans="1:10" x14ac:dyDescent="0.25">
      <c r="A7481" s="7" t="s">
        <v>40599</v>
      </c>
      <c r="B7481" s="8">
        <v>393.75</v>
      </c>
      <c r="C7481" s="8">
        <v>20.478950000000001</v>
      </c>
      <c r="D7481" s="8">
        <v>76</v>
      </c>
      <c r="E7481" s="8">
        <v>0</v>
      </c>
      <c r="F7481" s="8">
        <v>0</v>
      </c>
      <c r="G7481" s="8">
        <v>6</v>
      </c>
      <c r="H7481" s="8" t="s">
        <v>40600</v>
      </c>
      <c r="I7481" s="8">
        <v>526.6875</v>
      </c>
      <c r="J7481" s="3">
        <f t="shared" si="116"/>
        <v>43749.014028368052</v>
      </c>
    </row>
    <row r="7482" spans="1:10" x14ac:dyDescent="0.25">
      <c r="A7482" s="5" t="s">
        <v>40601</v>
      </c>
      <c r="B7482" s="6">
        <v>393.75</v>
      </c>
      <c r="C7482" s="6">
        <v>20.478950000000001</v>
      </c>
      <c r="D7482" s="6">
        <v>76</v>
      </c>
      <c r="E7482" s="6">
        <v>0</v>
      </c>
      <c r="F7482" s="6">
        <v>0</v>
      </c>
      <c r="G7482" s="6">
        <v>6</v>
      </c>
      <c r="H7482" s="6" t="s">
        <v>40602</v>
      </c>
      <c r="I7482" s="6">
        <v>526.6875</v>
      </c>
      <c r="J7482" s="2">
        <f t="shared" si="116"/>
        <v>43749.014099675922</v>
      </c>
    </row>
    <row r="7483" spans="1:10" x14ac:dyDescent="0.25">
      <c r="A7483" s="7" t="s">
        <v>40603</v>
      </c>
      <c r="B7483" s="8">
        <v>393.75</v>
      </c>
      <c r="C7483" s="8">
        <v>20.478950000000001</v>
      </c>
      <c r="D7483" s="8">
        <v>76</v>
      </c>
      <c r="E7483" s="8">
        <v>0</v>
      </c>
      <c r="F7483" s="8">
        <v>0</v>
      </c>
      <c r="G7483" s="8">
        <v>4</v>
      </c>
      <c r="H7483" s="8" t="s">
        <v>40604</v>
      </c>
      <c r="I7483" s="8">
        <v>526.6875</v>
      </c>
      <c r="J7483" s="3">
        <f t="shared" si="116"/>
        <v>43749.014170960647</v>
      </c>
    </row>
    <row r="7484" spans="1:10" x14ac:dyDescent="0.25">
      <c r="A7484" s="5" t="s">
        <v>40605</v>
      </c>
      <c r="B7484" s="6">
        <v>393.75</v>
      </c>
      <c r="C7484" s="6">
        <v>20.478950000000001</v>
      </c>
      <c r="D7484" s="6">
        <v>76</v>
      </c>
      <c r="E7484" s="6">
        <v>0</v>
      </c>
      <c r="F7484" s="6">
        <v>0</v>
      </c>
      <c r="G7484" s="6">
        <v>5</v>
      </c>
      <c r="H7484" s="6" t="s">
        <v>40606</v>
      </c>
      <c r="I7484" s="6">
        <v>526.6875</v>
      </c>
      <c r="J7484" s="2">
        <f t="shared" si="116"/>
        <v>43749.014254293979</v>
      </c>
    </row>
    <row r="7485" spans="1:10" x14ac:dyDescent="0.25">
      <c r="A7485" s="7" t="s">
        <v>40607</v>
      </c>
      <c r="B7485" s="8">
        <v>393.75</v>
      </c>
      <c r="C7485" s="8">
        <v>20.478950000000001</v>
      </c>
      <c r="D7485" s="8">
        <v>76</v>
      </c>
      <c r="E7485" s="8">
        <v>0</v>
      </c>
      <c r="F7485" s="8">
        <v>0</v>
      </c>
      <c r="G7485" s="8">
        <v>0</v>
      </c>
      <c r="H7485" s="8" t="s">
        <v>40608</v>
      </c>
      <c r="I7485" s="8">
        <v>526.6875</v>
      </c>
      <c r="J7485" s="3">
        <f t="shared" si="116"/>
        <v>43749.014349675919</v>
      </c>
    </row>
    <row r="7486" spans="1:10" x14ac:dyDescent="0.25">
      <c r="A7486" s="5" t="s">
        <v>40609</v>
      </c>
      <c r="B7486" s="6">
        <v>415.625</v>
      </c>
      <c r="C7486" s="6">
        <v>20.478950000000001</v>
      </c>
      <c r="D7486" s="6">
        <v>77</v>
      </c>
      <c r="E7486" s="6">
        <v>0</v>
      </c>
      <c r="F7486" s="6">
        <v>0</v>
      </c>
      <c r="G7486" s="6">
        <v>0</v>
      </c>
      <c r="H7486" s="6" t="s">
        <v>40610</v>
      </c>
      <c r="I7486" s="6">
        <v>533.4375</v>
      </c>
      <c r="J7486" s="2">
        <f t="shared" si="116"/>
        <v>43749.01442190972</v>
      </c>
    </row>
    <row r="7487" spans="1:10" x14ac:dyDescent="0.25">
      <c r="A7487" s="7" t="s">
        <v>40611</v>
      </c>
      <c r="B7487" s="8">
        <v>393.75</v>
      </c>
      <c r="C7487" s="8">
        <v>20.478950000000001</v>
      </c>
      <c r="D7487" s="8">
        <v>77</v>
      </c>
      <c r="E7487" s="8">
        <v>0</v>
      </c>
      <c r="F7487" s="8">
        <v>0</v>
      </c>
      <c r="G7487" s="8">
        <v>5</v>
      </c>
      <c r="H7487" s="8" t="s">
        <v>40612</v>
      </c>
      <c r="I7487" s="8">
        <v>526.6875</v>
      </c>
      <c r="J7487" s="3">
        <f t="shared" si="116"/>
        <v>43749.014493206014</v>
      </c>
    </row>
    <row r="7488" spans="1:10" x14ac:dyDescent="0.25">
      <c r="A7488" s="5" t="s">
        <v>40613</v>
      </c>
      <c r="B7488" s="6">
        <v>393.75</v>
      </c>
      <c r="C7488" s="6">
        <v>20.478950000000001</v>
      </c>
      <c r="D7488" s="6">
        <v>76</v>
      </c>
      <c r="E7488" s="6">
        <v>0</v>
      </c>
      <c r="F7488" s="6">
        <v>0</v>
      </c>
      <c r="G7488" s="6">
        <v>8</v>
      </c>
      <c r="H7488" s="6" t="s">
        <v>40614</v>
      </c>
      <c r="I7488" s="6">
        <v>526.6875</v>
      </c>
      <c r="J7488" s="2">
        <f t="shared" si="116"/>
        <v>43749.014564456018</v>
      </c>
    </row>
    <row r="7489" spans="1:10" x14ac:dyDescent="0.25">
      <c r="A7489" s="7" t="s">
        <v>40615</v>
      </c>
      <c r="B7489" s="8">
        <v>393.75</v>
      </c>
      <c r="C7489" s="8">
        <v>20.478950000000001</v>
      </c>
      <c r="D7489" s="8">
        <v>76</v>
      </c>
      <c r="E7489" s="8">
        <v>0</v>
      </c>
      <c r="F7489" s="8">
        <v>0</v>
      </c>
      <c r="G7489" s="8">
        <v>4</v>
      </c>
      <c r="H7489" s="8" t="s">
        <v>40616</v>
      </c>
      <c r="I7489" s="8">
        <v>526.6875</v>
      </c>
      <c r="J7489" s="3">
        <f t="shared" si="116"/>
        <v>43749.014635844906</v>
      </c>
    </row>
    <row r="7490" spans="1:10" x14ac:dyDescent="0.25">
      <c r="A7490" s="5" t="s">
        <v>40617</v>
      </c>
      <c r="B7490" s="6">
        <v>393.75</v>
      </c>
      <c r="C7490" s="6">
        <v>20.478950000000001</v>
      </c>
      <c r="D7490" s="6">
        <v>76</v>
      </c>
      <c r="E7490" s="6">
        <v>0</v>
      </c>
      <c r="F7490" s="6">
        <v>0</v>
      </c>
      <c r="G7490" s="6">
        <v>6</v>
      </c>
      <c r="H7490" s="6" t="s">
        <v>40618</v>
      </c>
      <c r="I7490" s="6">
        <v>526.6875</v>
      </c>
      <c r="J7490" s="2">
        <f t="shared" ref="J7490:J7553" si="117">(H7490/86400000)+25569+(7/24)</f>
        <v>43749.014708009257</v>
      </c>
    </row>
    <row r="7491" spans="1:10" x14ac:dyDescent="0.25">
      <c r="A7491" s="7" t="s">
        <v>40619</v>
      </c>
      <c r="B7491" s="8">
        <v>393.75</v>
      </c>
      <c r="C7491" s="8">
        <v>20.478950000000001</v>
      </c>
      <c r="D7491" s="8">
        <v>76</v>
      </c>
      <c r="E7491" s="8">
        <v>0</v>
      </c>
      <c r="F7491" s="8">
        <v>0</v>
      </c>
      <c r="G7491" s="8">
        <v>3</v>
      </c>
      <c r="H7491" s="8" t="s">
        <v>40620</v>
      </c>
      <c r="I7491" s="8">
        <v>526.6875</v>
      </c>
      <c r="J7491" s="3">
        <f t="shared" si="117"/>
        <v>43749.014779305558</v>
      </c>
    </row>
    <row r="7492" spans="1:10" x14ac:dyDescent="0.25">
      <c r="A7492" s="5" t="s">
        <v>40621</v>
      </c>
      <c r="B7492" s="6">
        <v>393.75</v>
      </c>
      <c r="C7492" s="6">
        <v>20.478950000000001</v>
      </c>
      <c r="D7492" s="6">
        <v>77</v>
      </c>
      <c r="E7492" s="6">
        <v>0</v>
      </c>
      <c r="F7492" s="6">
        <v>0</v>
      </c>
      <c r="G7492" s="6">
        <v>4</v>
      </c>
      <c r="H7492" s="6" t="s">
        <v>40622</v>
      </c>
      <c r="I7492" s="6">
        <v>526.6875</v>
      </c>
      <c r="J7492" s="2">
        <f t="shared" si="117"/>
        <v>43749.014850613421</v>
      </c>
    </row>
    <row r="7493" spans="1:10" x14ac:dyDescent="0.25">
      <c r="A7493" s="7" t="s">
        <v>40623</v>
      </c>
      <c r="B7493" s="8">
        <v>393.75</v>
      </c>
      <c r="C7493" s="8">
        <v>20.478950000000001</v>
      </c>
      <c r="D7493" s="8">
        <v>76</v>
      </c>
      <c r="E7493" s="8">
        <v>0</v>
      </c>
      <c r="F7493" s="8">
        <v>0</v>
      </c>
      <c r="G7493" s="8">
        <v>2</v>
      </c>
      <c r="H7493" s="8" t="s">
        <v>40624</v>
      </c>
      <c r="I7493" s="8">
        <v>526.6875</v>
      </c>
      <c r="J7493" s="3">
        <f t="shared" si="117"/>
        <v>43749.014933993058</v>
      </c>
    </row>
    <row r="7494" spans="1:10" x14ac:dyDescent="0.25">
      <c r="A7494" s="5" t="s">
        <v>40625</v>
      </c>
      <c r="B7494" s="6">
        <v>412.5</v>
      </c>
      <c r="C7494" s="6">
        <v>20.478950000000001</v>
      </c>
      <c r="D7494" s="6">
        <v>76</v>
      </c>
      <c r="E7494" s="6">
        <v>0</v>
      </c>
      <c r="F7494" s="6">
        <v>0</v>
      </c>
      <c r="G7494" s="6">
        <v>4</v>
      </c>
      <c r="H7494" s="6" t="s">
        <v>40626</v>
      </c>
      <c r="I7494" s="6">
        <v>532.3125</v>
      </c>
      <c r="J7494" s="2">
        <f t="shared" si="117"/>
        <v>43749.015006168978</v>
      </c>
    </row>
    <row r="7495" spans="1:10" x14ac:dyDescent="0.25">
      <c r="A7495" s="7" t="s">
        <v>40627</v>
      </c>
      <c r="B7495" s="8">
        <v>393.75</v>
      </c>
      <c r="C7495" s="8">
        <v>20.426300000000001</v>
      </c>
      <c r="D7495" s="8">
        <v>76</v>
      </c>
      <c r="E7495" s="8">
        <v>0</v>
      </c>
      <c r="F7495" s="8">
        <v>0</v>
      </c>
      <c r="G7495" s="8">
        <v>3</v>
      </c>
      <c r="H7495" s="8" t="s">
        <v>40628</v>
      </c>
      <c r="I7495" s="8">
        <v>526.6875</v>
      </c>
      <c r="J7495" s="3">
        <f t="shared" si="117"/>
        <v>43749.015089490735</v>
      </c>
    </row>
    <row r="7496" spans="1:10" x14ac:dyDescent="0.25">
      <c r="A7496" s="5" t="s">
        <v>40629</v>
      </c>
      <c r="B7496" s="6">
        <v>393.75</v>
      </c>
      <c r="C7496" s="6">
        <v>20.478950000000001</v>
      </c>
      <c r="D7496" s="6">
        <v>76</v>
      </c>
      <c r="E7496" s="6">
        <v>0</v>
      </c>
      <c r="F7496" s="6">
        <v>0</v>
      </c>
      <c r="G7496" s="6">
        <v>12</v>
      </c>
      <c r="H7496" s="6" t="s">
        <v>40630</v>
      </c>
      <c r="I7496" s="6">
        <v>526.5</v>
      </c>
      <c r="J7496" s="2">
        <f t="shared" si="117"/>
        <v>43749.015160798612</v>
      </c>
    </row>
    <row r="7497" spans="1:10" x14ac:dyDescent="0.25">
      <c r="A7497" s="7" t="s">
        <v>40631</v>
      </c>
      <c r="B7497" s="8">
        <v>393.75</v>
      </c>
      <c r="C7497" s="8">
        <v>20.478950000000001</v>
      </c>
      <c r="D7497" s="8">
        <v>75</v>
      </c>
      <c r="E7497" s="8">
        <v>0</v>
      </c>
      <c r="F7497" s="8">
        <v>0</v>
      </c>
      <c r="G7497" s="8">
        <v>2</v>
      </c>
      <c r="H7497" s="8" t="s">
        <v>40632</v>
      </c>
      <c r="I7497" s="8">
        <v>526.6875</v>
      </c>
      <c r="J7497" s="3">
        <f t="shared" si="117"/>
        <v>43749.015232210644</v>
      </c>
    </row>
    <row r="7498" spans="1:10" x14ac:dyDescent="0.25">
      <c r="A7498" s="5" t="s">
        <v>40633</v>
      </c>
      <c r="B7498" s="6">
        <v>393.75</v>
      </c>
      <c r="C7498" s="6">
        <v>20.478950000000001</v>
      </c>
      <c r="D7498" s="6">
        <v>75</v>
      </c>
      <c r="E7498" s="6">
        <v>0</v>
      </c>
      <c r="F7498" s="6">
        <v>0</v>
      </c>
      <c r="G7498" s="6">
        <v>0</v>
      </c>
      <c r="H7498" s="6" t="s">
        <v>40634</v>
      </c>
      <c r="I7498" s="6">
        <v>526.6875</v>
      </c>
      <c r="J7498" s="2">
        <f t="shared" si="117"/>
        <v>43749.015304270833</v>
      </c>
    </row>
    <row r="7499" spans="1:10" x14ac:dyDescent="0.25">
      <c r="A7499" s="7" t="s">
        <v>40635</v>
      </c>
      <c r="B7499" s="8">
        <v>393.75</v>
      </c>
      <c r="C7499" s="8">
        <v>20.478950000000001</v>
      </c>
      <c r="D7499" s="8">
        <v>75</v>
      </c>
      <c r="E7499" s="8">
        <v>0</v>
      </c>
      <c r="F7499" s="8">
        <v>0</v>
      </c>
      <c r="G7499" s="8">
        <v>8</v>
      </c>
      <c r="H7499" s="8" t="s">
        <v>40636</v>
      </c>
      <c r="I7499" s="8">
        <v>526.6875</v>
      </c>
      <c r="J7499" s="3">
        <f t="shared" si="117"/>
        <v>43749.015389004628</v>
      </c>
    </row>
    <row r="7500" spans="1:10" x14ac:dyDescent="0.25">
      <c r="A7500" s="5" t="s">
        <v>40637</v>
      </c>
      <c r="B7500" s="6">
        <v>393.75</v>
      </c>
      <c r="C7500" s="6">
        <v>20.478950000000001</v>
      </c>
      <c r="D7500" s="6">
        <v>75</v>
      </c>
      <c r="E7500" s="6">
        <v>0</v>
      </c>
      <c r="F7500" s="6">
        <v>0</v>
      </c>
      <c r="G7500" s="6">
        <v>8</v>
      </c>
      <c r="H7500" s="6" t="s">
        <v>40638</v>
      </c>
      <c r="I7500" s="6">
        <v>526.6875</v>
      </c>
      <c r="J7500" s="2">
        <f t="shared" si="117"/>
        <v>43749.01547100694</v>
      </c>
    </row>
    <row r="7501" spans="1:10" x14ac:dyDescent="0.25">
      <c r="A7501" s="7" t="s">
        <v>40639</v>
      </c>
      <c r="B7501" s="8">
        <v>393.75</v>
      </c>
      <c r="C7501" s="8">
        <v>20.478950000000001</v>
      </c>
      <c r="D7501" s="8">
        <v>77</v>
      </c>
      <c r="E7501" s="8">
        <v>0</v>
      </c>
      <c r="F7501" s="8">
        <v>0</v>
      </c>
      <c r="G7501" s="8">
        <v>5</v>
      </c>
      <c r="H7501" s="8" t="s">
        <v>40640</v>
      </c>
      <c r="I7501" s="8">
        <v>526.6875</v>
      </c>
      <c r="J7501" s="3">
        <f t="shared" si="117"/>
        <v>43749.015542280089</v>
      </c>
    </row>
    <row r="7502" spans="1:10" x14ac:dyDescent="0.25">
      <c r="A7502" s="5" t="s">
        <v>40641</v>
      </c>
      <c r="B7502" s="6">
        <v>393.75</v>
      </c>
      <c r="C7502" s="6">
        <v>20.478950000000001</v>
      </c>
      <c r="D7502" s="6">
        <v>77</v>
      </c>
      <c r="E7502" s="6">
        <v>0</v>
      </c>
      <c r="F7502" s="6">
        <v>0</v>
      </c>
      <c r="G7502" s="6">
        <v>7</v>
      </c>
      <c r="H7502" s="6" t="s">
        <v>40642</v>
      </c>
      <c r="I7502" s="6">
        <v>526.6875</v>
      </c>
      <c r="J7502" s="2">
        <f t="shared" si="117"/>
        <v>43749.015614502314</v>
      </c>
    </row>
    <row r="7503" spans="1:10" x14ac:dyDescent="0.25">
      <c r="A7503" s="7" t="s">
        <v>40643</v>
      </c>
      <c r="B7503" s="8">
        <v>393.75</v>
      </c>
      <c r="C7503" s="8">
        <v>20.478950000000001</v>
      </c>
      <c r="D7503" s="8">
        <v>77</v>
      </c>
      <c r="E7503" s="8">
        <v>0</v>
      </c>
      <c r="F7503" s="8">
        <v>0</v>
      </c>
      <c r="G7503" s="8">
        <v>8</v>
      </c>
      <c r="H7503" s="8" t="s">
        <v>40644</v>
      </c>
      <c r="I7503" s="8">
        <v>526.6875</v>
      </c>
      <c r="J7503" s="3">
        <f t="shared" si="117"/>
        <v>43749.015685787039</v>
      </c>
    </row>
    <row r="7504" spans="1:10" x14ac:dyDescent="0.25">
      <c r="A7504" s="5" t="s">
        <v>40645</v>
      </c>
      <c r="B7504" s="6">
        <v>393.75</v>
      </c>
      <c r="C7504" s="6">
        <v>20.478950000000001</v>
      </c>
      <c r="D7504" s="6">
        <v>77</v>
      </c>
      <c r="E7504" s="6">
        <v>0</v>
      </c>
      <c r="F7504" s="6">
        <v>0</v>
      </c>
      <c r="G7504" s="6">
        <v>1</v>
      </c>
      <c r="H7504" s="6" t="s">
        <v>40646</v>
      </c>
      <c r="I7504" s="6">
        <v>526.6875</v>
      </c>
      <c r="J7504" s="2">
        <f t="shared" si="117"/>
        <v>43749.015757094901</v>
      </c>
    </row>
    <row r="7505" spans="1:10" x14ac:dyDescent="0.25">
      <c r="A7505" s="7" t="s">
        <v>40647</v>
      </c>
      <c r="B7505" s="8">
        <v>393.75</v>
      </c>
      <c r="C7505" s="8">
        <v>20.478950000000001</v>
      </c>
      <c r="D7505" s="8">
        <v>77</v>
      </c>
      <c r="E7505" s="8">
        <v>0</v>
      </c>
      <c r="F7505" s="8">
        <v>0</v>
      </c>
      <c r="G7505" s="8">
        <v>7</v>
      </c>
      <c r="H7505" s="8" t="s">
        <v>40648</v>
      </c>
      <c r="I7505" s="8">
        <v>526.6875</v>
      </c>
      <c r="J7505" s="3">
        <f t="shared" si="117"/>
        <v>43749.015829085642</v>
      </c>
    </row>
    <row r="7506" spans="1:10" x14ac:dyDescent="0.25">
      <c r="A7506" s="5" t="s">
        <v>40649</v>
      </c>
      <c r="B7506" s="6">
        <v>393.75</v>
      </c>
      <c r="C7506" s="6">
        <v>20.478950000000001</v>
      </c>
      <c r="D7506" s="6">
        <v>77</v>
      </c>
      <c r="E7506" s="6">
        <v>0</v>
      </c>
      <c r="F7506" s="6">
        <v>0</v>
      </c>
      <c r="G7506" s="6">
        <v>16</v>
      </c>
      <c r="H7506" s="6" t="s">
        <v>40650</v>
      </c>
      <c r="I7506" s="6">
        <v>526.6875</v>
      </c>
      <c r="J7506" s="2">
        <f t="shared" si="117"/>
        <v>43749.015900601851</v>
      </c>
    </row>
    <row r="7507" spans="1:10" x14ac:dyDescent="0.25">
      <c r="A7507" s="7" t="s">
        <v>40651</v>
      </c>
      <c r="B7507" s="8">
        <v>393.75</v>
      </c>
      <c r="C7507" s="8">
        <v>20.478950000000001</v>
      </c>
      <c r="D7507" s="8">
        <v>77</v>
      </c>
      <c r="E7507" s="8">
        <v>0</v>
      </c>
      <c r="F7507" s="8">
        <v>0</v>
      </c>
      <c r="G7507" s="8">
        <v>5</v>
      </c>
      <c r="H7507" s="8" t="s">
        <v>40652</v>
      </c>
      <c r="I7507" s="8">
        <v>526.6875</v>
      </c>
      <c r="J7507" s="3">
        <f t="shared" si="117"/>
        <v>43749.015971736109</v>
      </c>
    </row>
    <row r="7508" spans="1:10" x14ac:dyDescent="0.25">
      <c r="A7508" s="5" t="s">
        <v>40653</v>
      </c>
      <c r="B7508" s="6">
        <v>393.75</v>
      </c>
      <c r="C7508" s="6">
        <v>20.478950000000001</v>
      </c>
      <c r="D7508" s="6">
        <v>77</v>
      </c>
      <c r="E7508" s="6">
        <v>0</v>
      </c>
      <c r="F7508" s="6">
        <v>0</v>
      </c>
      <c r="G7508" s="6">
        <v>3</v>
      </c>
      <c r="H7508" s="6" t="s">
        <v>40654</v>
      </c>
      <c r="I7508" s="6">
        <v>526.6875</v>
      </c>
      <c r="J7508" s="2">
        <f t="shared" si="117"/>
        <v>43749.016043194446</v>
      </c>
    </row>
    <row r="7509" spans="1:10" x14ac:dyDescent="0.25">
      <c r="A7509" s="7" t="s">
        <v>40655</v>
      </c>
      <c r="B7509" s="8">
        <v>393.75</v>
      </c>
      <c r="C7509" s="8">
        <v>20.478950000000001</v>
      </c>
      <c r="D7509" s="8">
        <v>78</v>
      </c>
      <c r="E7509" s="8">
        <v>0</v>
      </c>
      <c r="F7509" s="8">
        <v>0</v>
      </c>
      <c r="G7509" s="8">
        <v>5</v>
      </c>
      <c r="H7509" s="8" t="s">
        <v>40656</v>
      </c>
      <c r="I7509" s="8">
        <v>526.6875</v>
      </c>
      <c r="J7509" s="3">
        <f t="shared" si="117"/>
        <v>43749.016115416664</v>
      </c>
    </row>
    <row r="7510" spans="1:10" x14ac:dyDescent="0.25">
      <c r="A7510" s="5" t="s">
        <v>40657</v>
      </c>
      <c r="B7510" s="6">
        <v>393.75</v>
      </c>
      <c r="C7510" s="6">
        <v>20.478950000000001</v>
      </c>
      <c r="D7510" s="6">
        <v>77</v>
      </c>
      <c r="E7510" s="6">
        <v>0</v>
      </c>
      <c r="F7510" s="6">
        <v>0</v>
      </c>
      <c r="G7510" s="6">
        <v>4</v>
      </c>
      <c r="H7510" s="6" t="s">
        <v>40658</v>
      </c>
      <c r="I7510" s="6">
        <v>526.6875</v>
      </c>
      <c r="J7510" s="2">
        <f t="shared" si="117"/>
        <v>43749.016198761572</v>
      </c>
    </row>
    <row r="7511" spans="1:10" x14ac:dyDescent="0.25">
      <c r="A7511" s="7" t="s">
        <v>40659</v>
      </c>
      <c r="B7511" s="8">
        <v>393.75</v>
      </c>
      <c r="C7511" s="8">
        <v>20.478950000000001</v>
      </c>
      <c r="D7511" s="8">
        <v>77</v>
      </c>
      <c r="E7511" s="8">
        <v>0</v>
      </c>
      <c r="F7511" s="8">
        <v>0</v>
      </c>
      <c r="G7511" s="8">
        <v>8</v>
      </c>
      <c r="H7511" s="8" t="s">
        <v>40660</v>
      </c>
      <c r="I7511" s="8">
        <v>526.5</v>
      </c>
      <c r="J7511" s="3">
        <f t="shared" si="117"/>
        <v>43749.016269988424</v>
      </c>
    </row>
    <row r="7512" spans="1:10" x14ac:dyDescent="0.25">
      <c r="A7512" s="5" t="s">
        <v>40661</v>
      </c>
      <c r="B7512" s="6">
        <v>434.375</v>
      </c>
      <c r="C7512" s="6">
        <v>20.478950000000001</v>
      </c>
      <c r="D7512" s="6">
        <v>78</v>
      </c>
      <c r="E7512" s="6">
        <v>0</v>
      </c>
      <c r="F7512" s="6">
        <v>0</v>
      </c>
      <c r="G7512" s="6">
        <v>9</v>
      </c>
      <c r="H7512" s="6" t="s">
        <v>40662</v>
      </c>
      <c r="I7512" s="6">
        <v>539.4375</v>
      </c>
      <c r="J7512" s="2">
        <f t="shared" si="117"/>
        <v>43749.016341296294</v>
      </c>
    </row>
    <row r="7513" spans="1:10" x14ac:dyDescent="0.25">
      <c r="A7513" s="7" t="s">
        <v>40663</v>
      </c>
      <c r="B7513" s="8">
        <v>393.75</v>
      </c>
      <c r="C7513" s="8">
        <v>20.478950000000001</v>
      </c>
      <c r="D7513" s="8">
        <v>78</v>
      </c>
      <c r="E7513" s="8">
        <v>0</v>
      </c>
      <c r="F7513" s="8">
        <v>0</v>
      </c>
      <c r="G7513" s="8">
        <v>6</v>
      </c>
      <c r="H7513" s="8" t="s">
        <v>40664</v>
      </c>
      <c r="I7513" s="8">
        <v>526.6875</v>
      </c>
      <c r="J7513" s="3">
        <f t="shared" si="117"/>
        <v>43749.016413564816</v>
      </c>
    </row>
    <row r="7514" spans="1:10" x14ac:dyDescent="0.25">
      <c r="A7514" s="5" t="s">
        <v>40665</v>
      </c>
      <c r="B7514" s="6">
        <v>393.75</v>
      </c>
      <c r="C7514" s="6">
        <v>20.478950000000001</v>
      </c>
      <c r="D7514" s="6">
        <v>80</v>
      </c>
      <c r="E7514" s="6">
        <v>0</v>
      </c>
      <c r="F7514" s="6">
        <v>0</v>
      </c>
      <c r="G7514" s="6">
        <v>1</v>
      </c>
      <c r="H7514" s="6" t="s">
        <v>40666</v>
      </c>
      <c r="I7514" s="6">
        <v>526.6875</v>
      </c>
      <c r="J7514" s="2">
        <f t="shared" si="117"/>
        <v>43749.016484861109</v>
      </c>
    </row>
    <row r="7515" spans="1:10" x14ac:dyDescent="0.25">
      <c r="A7515" s="7" t="s">
        <v>40667</v>
      </c>
      <c r="B7515" s="8">
        <v>393.75</v>
      </c>
      <c r="C7515" s="8">
        <v>20.478950000000001</v>
      </c>
      <c r="D7515" s="8">
        <v>83</v>
      </c>
      <c r="E7515" s="8">
        <v>0</v>
      </c>
      <c r="F7515" s="8">
        <v>0</v>
      </c>
      <c r="G7515" s="8">
        <v>9</v>
      </c>
      <c r="H7515" s="8" t="s">
        <v>40668</v>
      </c>
      <c r="I7515" s="8">
        <v>526.6875</v>
      </c>
      <c r="J7515" s="3">
        <f t="shared" si="117"/>
        <v>43749.016556157403</v>
      </c>
    </row>
    <row r="7516" spans="1:10" x14ac:dyDescent="0.25">
      <c r="A7516" s="5" t="s">
        <v>40669</v>
      </c>
      <c r="B7516" s="6">
        <v>393.75</v>
      </c>
      <c r="C7516" s="6">
        <v>20.478950000000001</v>
      </c>
      <c r="D7516" s="6">
        <v>82</v>
      </c>
      <c r="E7516" s="6">
        <v>0</v>
      </c>
      <c r="F7516" s="6">
        <v>0</v>
      </c>
      <c r="G7516" s="6">
        <v>8</v>
      </c>
      <c r="H7516" s="6" t="s">
        <v>40670</v>
      </c>
      <c r="I7516" s="6">
        <v>526.6875</v>
      </c>
      <c r="J7516" s="2">
        <f t="shared" si="117"/>
        <v>43749.016628159719</v>
      </c>
    </row>
    <row r="7517" spans="1:10" x14ac:dyDescent="0.25">
      <c r="A7517" s="7" t="s">
        <v>40671</v>
      </c>
      <c r="B7517" s="8">
        <v>393.75</v>
      </c>
      <c r="C7517" s="8">
        <v>20.478950000000001</v>
      </c>
      <c r="D7517" s="8">
        <v>81</v>
      </c>
      <c r="E7517" s="8">
        <v>0</v>
      </c>
      <c r="F7517" s="8">
        <v>0</v>
      </c>
      <c r="G7517" s="8">
        <v>5</v>
      </c>
      <c r="H7517" s="8" t="s">
        <v>40672</v>
      </c>
      <c r="I7517" s="8">
        <v>526.6875</v>
      </c>
      <c r="J7517" s="3">
        <f t="shared" si="117"/>
        <v>43749.016699629625</v>
      </c>
    </row>
    <row r="7518" spans="1:10" x14ac:dyDescent="0.25">
      <c r="A7518" s="5" t="s">
        <v>40673</v>
      </c>
      <c r="B7518" s="6">
        <v>393.75</v>
      </c>
      <c r="C7518" s="6">
        <v>20.478950000000001</v>
      </c>
      <c r="D7518" s="6">
        <v>74</v>
      </c>
      <c r="E7518" s="6">
        <v>0</v>
      </c>
      <c r="F7518" s="6">
        <v>0</v>
      </c>
      <c r="G7518" s="6">
        <v>0</v>
      </c>
      <c r="H7518" s="6" t="s">
        <v>40674</v>
      </c>
      <c r="I7518" s="6">
        <v>526.6875</v>
      </c>
      <c r="J7518" s="2">
        <f t="shared" si="117"/>
        <v>43749.016981342589</v>
      </c>
    </row>
    <row r="7519" spans="1:10" x14ac:dyDescent="0.25">
      <c r="A7519" s="7" t="s">
        <v>40675</v>
      </c>
      <c r="B7519" s="8">
        <v>393.75</v>
      </c>
      <c r="C7519" s="8">
        <v>20.478950000000001</v>
      </c>
      <c r="D7519" s="8">
        <v>75</v>
      </c>
      <c r="E7519" s="8">
        <v>0</v>
      </c>
      <c r="F7519" s="8">
        <v>0</v>
      </c>
      <c r="G7519" s="8">
        <v>0</v>
      </c>
      <c r="H7519" s="8" t="s">
        <v>40676</v>
      </c>
      <c r="I7519" s="8">
        <v>526.6875</v>
      </c>
      <c r="J7519" s="3">
        <f t="shared" si="117"/>
        <v>43749.017063576386</v>
      </c>
    </row>
    <row r="7520" spans="1:10" x14ac:dyDescent="0.25">
      <c r="A7520" s="5" t="s">
        <v>40677</v>
      </c>
      <c r="B7520" s="6">
        <v>393.75</v>
      </c>
      <c r="C7520" s="6">
        <v>20.478950000000001</v>
      </c>
      <c r="D7520" s="6">
        <v>73</v>
      </c>
      <c r="E7520" s="6">
        <v>0</v>
      </c>
      <c r="F7520" s="6">
        <v>0</v>
      </c>
      <c r="G7520" s="6">
        <v>0</v>
      </c>
      <c r="H7520" s="6" t="s">
        <v>40678</v>
      </c>
      <c r="I7520" s="6">
        <v>526.6875</v>
      </c>
      <c r="J7520" s="2">
        <f t="shared" si="117"/>
        <v>43749.01713487268</v>
      </c>
    </row>
    <row r="7521" spans="1:10" x14ac:dyDescent="0.25">
      <c r="A7521" s="7" t="s">
        <v>40679</v>
      </c>
      <c r="B7521" s="8">
        <v>393.75</v>
      </c>
      <c r="C7521" s="8">
        <v>20.478950000000001</v>
      </c>
      <c r="D7521" s="8">
        <v>73</v>
      </c>
      <c r="E7521" s="8">
        <v>0</v>
      </c>
      <c r="F7521" s="8">
        <v>0</v>
      </c>
      <c r="G7521" s="8">
        <v>4</v>
      </c>
      <c r="H7521" s="8" t="s">
        <v>40680</v>
      </c>
      <c r="I7521" s="8">
        <v>526.6875</v>
      </c>
      <c r="J7521" s="3">
        <f t="shared" si="117"/>
        <v>43749.017206249999</v>
      </c>
    </row>
    <row r="7522" spans="1:10" x14ac:dyDescent="0.25">
      <c r="A7522" s="5" t="s">
        <v>40681</v>
      </c>
      <c r="B7522" s="6">
        <v>393.75</v>
      </c>
      <c r="C7522" s="6">
        <v>20.478950000000001</v>
      </c>
      <c r="D7522" s="6">
        <v>73</v>
      </c>
      <c r="E7522" s="6">
        <v>0</v>
      </c>
      <c r="F7522" s="6">
        <v>0</v>
      </c>
      <c r="G7522" s="6">
        <v>4</v>
      </c>
      <c r="H7522" s="6" t="s">
        <v>40682</v>
      </c>
      <c r="I7522" s="6">
        <v>526.6875</v>
      </c>
      <c r="J7522" s="2">
        <f t="shared" si="117"/>
        <v>43749.017278391206</v>
      </c>
    </row>
    <row r="7523" spans="1:10" x14ac:dyDescent="0.25">
      <c r="A7523" s="7" t="s">
        <v>40683</v>
      </c>
      <c r="B7523" s="8">
        <v>393.75</v>
      </c>
      <c r="C7523" s="8">
        <v>20.478950000000001</v>
      </c>
      <c r="D7523" s="8">
        <v>75</v>
      </c>
      <c r="E7523" s="8">
        <v>0</v>
      </c>
      <c r="F7523" s="8">
        <v>0</v>
      </c>
      <c r="G7523" s="8">
        <v>5</v>
      </c>
      <c r="H7523" s="8" t="s">
        <v>40684</v>
      </c>
      <c r="I7523" s="8">
        <v>526.6875</v>
      </c>
      <c r="J7523" s="3">
        <f t="shared" si="117"/>
        <v>43749.017349421294</v>
      </c>
    </row>
    <row r="7524" spans="1:10" x14ac:dyDescent="0.25">
      <c r="A7524" s="5" t="s">
        <v>40685</v>
      </c>
      <c r="B7524" s="6">
        <v>393.75</v>
      </c>
      <c r="C7524" s="6">
        <v>20.426300000000001</v>
      </c>
      <c r="D7524" s="6">
        <v>75</v>
      </c>
      <c r="E7524" s="6">
        <v>0</v>
      </c>
      <c r="F7524" s="6">
        <v>0</v>
      </c>
      <c r="G7524" s="6">
        <v>4</v>
      </c>
      <c r="H7524" s="6" t="s">
        <v>40686</v>
      </c>
      <c r="I7524" s="6">
        <v>526.6875</v>
      </c>
      <c r="J7524" s="2">
        <f t="shared" si="117"/>
        <v>43749.017420937496</v>
      </c>
    </row>
    <row r="7525" spans="1:10" x14ac:dyDescent="0.25">
      <c r="A7525" s="7" t="s">
        <v>40687</v>
      </c>
      <c r="B7525" s="8">
        <v>393.75</v>
      </c>
      <c r="C7525" s="8">
        <v>20.478950000000001</v>
      </c>
      <c r="D7525" s="8">
        <v>76</v>
      </c>
      <c r="E7525" s="8">
        <v>0</v>
      </c>
      <c r="F7525" s="8">
        <v>0</v>
      </c>
      <c r="G7525" s="8">
        <v>7</v>
      </c>
      <c r="H7525" s="8" t="s">
        <v>40688</v>
      </c>
      <c r="I7525" s="8">
        <v>526.6875</v>
      </c>
      <c r="J7525" s="3">
        <f t="shared" si="117"/>
        <v>43749.017493206011</v>
      </c>
    </row>
    <row r="7526" spans="1:10" x14ac:dyDescent="0.25">
      <c r="A7526" s="5" t="s">
        <v>40689</v>
      </c>
      <c r="B7526" s="6">
        <v>412.5</v>
      </c>
      <c r="C7526" s="6">
        <v>20.478950000000001</v>
      </c>
      <c r="D7526" s="6">
        <v>76</v>
      </c>
      <c r="E7526" s="6">
        <v>0</v>
      </c>
      <c r="F7526" s="6">
        <v>0</v>
      </c>
      <c r="G7526" s="6">
        <v>12</v>
      </c>
      <c r="H7526" s="6" t="s">
        <v>40690</v>
      </c>
      <c r="I7526" s="6">
        <v>532.125</v>
      </c>
      <c r="J7526" s="2">
        <f t="shared" si="117"/>
        <v>43749.017576550927</v>
      </c>
    </row>
    <row r="7527" spans="1:10" x14ac:dyDescent="0.25">
      <c r="A7527" s="7" t="s">
        <v>40691</v>
      </c>
      <c r="B7527" s="8">
        <v>393.75</v>
      </c>
      <c r="C7527" s="8">
        <v>20.478950000000001</v>
      </c>
      <c r="D7527" s="8">
        <v>77</v>
      </c>
      <c r="E7527" s="8">
        <v>0</v>
      </c>
      <c r="F7527" s="8">
        <v>0</v>
      </c>
      <c r="G7527" s="8">
        <v>7</v>
      </c>
      <c r="H7527" s="8" t="s">
        <v>40692</v>
      </c>
      <c r="I7527" s="8">
        <v>526.6875</v>
      </c>
      <c r="J7527" s="3">
        <f t="shared" si="117"/>
        <v>43749.017659837962</v>
      </c>
    </row>
    <row r="7528" spans="1:10" x14ac:dyDescent="0.25">
      <c r="A7528" s="5" t="s">
        <v>40693</v>
      </c>
      <c r="B7528" s="6">
        <v>393.75</v>
      </c>
      <c r="C7528" s="6">
        <v>20.426300000000001</v>
      </c>
      <c r="D7528" s="6">
        <v>77</v>
      </c>
      <c r="E7528" s="6">
        <v>0</v>
      </c>
      <c r="F7528" s="6">
        <v>0</v>
      </c>
      <c r="G7528" s="6">
        <v>0</v>
      </c>
      <c r="H7528" s="6" t="s">
        <v>40694</v>
      </c>
      <c r="I7528" s="6">
        <v>526.6875</v>
      </c>
      <c r="J7528" s="2">
        <f t="shared" si="117"/>
        <v>43749.017731238426</v>
      </c>
    </row>
    <row r="7529" spans="1:10" x14ac:dyDescent="0.25">
      <c r="A7529" s="7" t="s">
        <v>40695</v>
      </c>
      <c r="B7529" s="8">
        <v>393.75</v>
      </c>
      <c r="C7529" s="8">
        <v>20.478950000000001</v>
      </c>
      <c r="D7529" s="8">
        <v>77</v>
      </c>
      <c r="E7529" s="8">
        <v>0</v>
      </c>
      <c r="F7529" s="8">
        <v>0</v>
      </c>
      <c r="G7529" s="8">
        <v>11</v>
      </c>
      <c r="H7529" s="8" t="s">
        <v>40696</v>
      </c>
      <c r="I7529" s="8">
        <v>526.6875</v>
      </c>
      <c r="J7529" s="3">
        <f t="shared" si="117"/>
        <v>43749.017803182869</v>
      </c>
    </row>
    <row r="7530" spans="1:10" x14ac:dyDescent="0.25">
      <c r="A7530" s="5" t="s">
        <v>40697</v>
      </c>
      <c r="B7530" s="6">
        <v>393.75</v>
      </c>
      <c r="C7530" s="6">
        <v>20.478950000000001</v>
      </c>
      <c r="D7530" s="6">
        <v>73</v>
      </c>
      <c r="E7530" s="6">
        <v>0</v>
      </c>
      <c r="F7530" s="6">
        <v>0</v>
      </c>
      <c r="G7530" s="6">
        <v>15</v>
      </c>
      <c r="H7530" s="6" t="s">
        <v>40698</v>
      </c>
      <c r="I7530" s="6">
        <v>526.5</v>
      </c>
      <c r="J7530" s="2">
        <f t="shared" si="117"/>
        <v>43749.017874629622</v>
      </c>
    </row>
    <row r="7531" spans="1:10" x14ac:dyDescent="0.25">
      <c r="A7531" s="7" t="s">
        <v>40699</v>
      </c>
      <c r="B7531" s="8">
        <v>393.75</v>
      </c>
      <c r="C7531" s="8">
        <v>20.478950000000001</v>
      </c>
      <c r="D7531" s="8">
        <v>74</v>
      </c>
      <c r="E7531" s="8">
        <v>0</v>
      </c>
      <c r="F7531" s="8">
        <v>0</v>
      </c>
      <c r="G7531" s="8">
        <v>16</v>
      </c>
      <c r="H7531" s="8" t="s">
        <v>40700</v>
      </c>
      <c r="I7531" s="8">
        <v>526.6875</v>
      </c>
      <c r="J7531" s="3">
        <f t="shared" si="117"/>
        <v>43749.017958032404</v>
      </c>
    </row>
    <row r="7532" spans="1:10" x14ac:dyDescent="0.25">
      <c r="A7532" s="5" t="s">
        <v>40701</v>
      </c>
      <c r="B7532" s="6">
        <v>412.5</v>
      </c>
      <c r="C7532" s="6">
        <v>20.478950000000001</v>
      </c>
      <c r="D7532" s="6">
        <v>74</v>
      </c>
      <c r="E7532" s="6">
        <v>0</v>
      </c>
      <c r="F7532" s="6">
        <v>0</v>
      </c>
      <c r="G7532" s="6">
        <v>16</v>
      </c>
      <c r="H7532" s="6" t="s">
        <v>40702</v>
      </c>
      <c r="I7532" s="6">
        <v>532.875</v>
      </c>
      <c r="J7532" s="2">
        <f t="shared" si="117"/>
        <v>43749.018029317129</v>
      </c>
    </row>
    <row r="7533" spans="1:10" x14ac:dyDescent="0.25">
      <c r="A7533" s="7" t="s">
        <v>40703</v>
      </c>
      <c r="B7533" s="8">
        <v>393.75</v>
      </c>
      <c r="C7533" s="8">
        <v>20.426300000000001</v>
      </c>
      <c r="D7533" s="8">
        <v>75</v>
      </c>
      <c r="E7533" s="8">
        <v>0</v>
      </c>
      <c r="F7533" s="8">
        <v>0</v>
      </c>
      <c r="G7533" s="8">
        <v>11</v>
      </c>
      <c r="H7533" s="8" t="s">
        <v>40704</v>
      </c>
      <c r="I7533" s="8">
        <v>526.6875</v>
      </c>
      <c r="J7533" s="3">
        <f t="shared" si="117"/>
        <v>43749.018112662037</v>
      </c>
    </row>
    <row r="7534" spans="1:10" x14ac:dyDescent="0.25">
      <c r="A7534" s="5" t="s">
        <v>40705</v>
      </c>
      <c r="B7534" s="6">
        <v>393.75</v>
      </c>
      <c r="C7534" s="6">
        <v>20.478950000000001</v>
      </c>
      <c r="D7534" s="6">
        <v>74</v>
      </c>
      <c r="E7534" s="6">
        <v>0</v>
      </c>
      <c r="F7534" s="6">
        <v>0</v>
      </c>
      <c r="G7534" s="6">
        <v>20</v>
      </c>
      <c r="H7534" s="6" t="s">
        <v>40706</v>
      </c>
      <c r="I7534" s="6">
        <v>526.6875</v>
      </c>
      <c r="J7534" s="2">
        <f t="shared" si="117"/>
        <v>43749.018184872686</v>
      </c>
    </row>
    <row r="7535" spans="1:10" x14ac:dyDescent="0.25">
      <c r="A7535" s="7" t="s">
        <v>40707</v>
      </c>
      <c r="B7535" s="8">
        <v>393.75</v>
      </c>
      <c r="C7535" s="8">
        <v>20.478950000000001</v>
      </c>
      <c r="D7535" s="8">
        <v>74</v>
      </c>
      <c r="E7535" s="8">
        <v>0</v>
      </c>
      <c r="F7535" s="8">
        <v>0</v>
      </c>
      <c r="G7535" s="8">
        <v>13</v>
      </c>
      <c r="H7535" s="8" t="s">
        <v>40708</v>
      </c>
      <c r="I7535" s="8">
        <v>526.6875</v>
      </c>
      <c r="J7535" s="3">
        <f t="shared" si="117"/>
        <v>43749.018256180549</v>
      </c>
    </row>
    <row r="7536" spans="1:10" x14ac:dyDescent="0.25">
      <c r="A7536" s="5" t="s">
        <v>40709</v>
      </c>
      <c r="B7536" s="6">
        <v>393.75</v>
      </c>
      <c r="C7536" s="6">
        <v>20.426300000000001</v>
      </c>
      <c r="D7536" s="6">
        <v>76</v>
      </c>
      <c r="E7536" s="6">
        <v>0</v>
      </c>
      <c r="F7536" s="6">
        <v>0</v>
      </c>
      <c r="G7536" s="6">
        <v>11</v>
      </c>
      <c r="H7536" s="6" t="s">
        <v>40710</v>
      </c>
      <c r="I7536" s="6">
        <v>526.5</v>
      </c>
      <c r="J7536" s="2">
        <f t="shared" si="117"/>
        <v>43749.018339513881</v>
      </c>
    </row>
    <row r="7537" spans="1:10" x14ac:dyDescent="0.25">
      <c r="A7537" s="7" t="s">
        <v>40711</v>
      </c>
      <c r="B7537" s="8">
        <v>393.75</v>
      </c>
      <c r="C7537" s="8">
        <v>20.478950000000001</v>
      </c>
      <c r="D7537" s="8">
        <v>76</v>
      </c>
      <c r="E7537" s="8">
        <v>0</v>
      </c>
      <c r="F7537" s="8">
        <v>0</v>
      </c>
      <c r="G7537" s="8">
        <v>15</v>
      </c>
      <c r="H7537" s="8" t="s">
        <v>40712</v>
      </c>
      <c r="I7537" s="8">
        <v>526.5</v>
      </c>
      <c r="J7537" s="3">
        <f t="shared" si="117"/>
        <v>43749.018410810182</v>
      </c>
    </row>
    <row r="7538" spans="1:10" x14ac:dyDescent="0.25">
      <c r="A7538" s="5" t="s">
        <v>40713</v>
      </c>
      <c r="B7538" s="6">
        <v>393.75</v>
      </c>
      <c r="C7538" s="6">
        <v>20.478950000000001</v>
      </c>
      <c r="D7538" s="6">
        <v>77</v>
      </c>
      <c r="E7538" s="6">
        <v>0</v>
      </c>
      <c r="F7538" s="6">
        <v>0</v>
      </c>
      <c r="G7538" s="6">
        <v>21</v>
      </c>
      <c r="H7538" s="6" t="s">
        <v>40714</v>
      </c>
      <c r="I7538" s="6">
        <v>526.6875</v>
      </c>
      <c r="J7538" s="2">
        <f t="shared" si="117"/>
        <v>43749.018483032407</v>
      </c>
    </row>
    <row r="7539" spans="1:10" x14ac:dyDescent="0.25">
      <c r="A7539" s="7" t="s">
        <v>40715</v>
      </c>
      <c r="B7539" s="8">
        <v>412.5</v>
      </c>
      <c r="C7539" s="8">
        <v>20.478950000000001</v>
      </c>
      <c r="D7539" s="8">
        <v>77</v>
      </c>
      <c r="E7539" s="8">
        <v>0</v>
      </c>
      <c r="F7539" s="8">
        <v>0</v>
      </c>
      <c r="G7539" s="8">
        <v>13</v>
      </c>
      <c r="H7539" s="8" t="s">
        <v>40716</v>
      </c>
      <c r="I7539" s="8">
        <v>532.3125</v>
      </c>
      <c r="J7539" s="3">
        <f t="shared" si="117"/>
        <v>43749.018554317132</v>
      </c>
    </row>
    <row r="7540" spans="1:10" x14ac:dyDescent="0.25">
      <c r="A7540" s="5" t="s">
        <v>40717</v>
      </c>
      <c r="B7540" s="6">
        <v>393.75</v>
      </c>
      <c r="C7540" s="6">
        <v>20.478950000000001</v>
      </c>
      <c r="D7540" s="6">
        <v>77</v>
      </c>
      <c r="E7540" s="6">
        <v>0</v>
      </c>
      <c r="F7540" s="6">
        <v>0</v>
      </c>
      <c r="G7540" s="6">
        <v>15</v>
      </c>
      <c r="H7540" s="6" t="s">
        <v>40718</v>
      </c>
      <c r="I7540" s="6">
        <v>526.5</v>
      </c>
      <c r="J7540" s="2">
        <f t="shared" si="117"/>
        <v>43749.018637662033</v>
      </c>
    </row>
    <row r="7541" spans="1:10" x14ac:dyDescent="0.25">
      <c r="A7541" s="7" t="s">
        <v>40719</v>
      </c>
      <c r="B7541" s="8">
        <v>393.75</v>
      </c>
      <c r="C7541" s="8">
        <v>20.478950000000001</v>
      </c>
      <c r="D7541" s="8">
        <v>77</v>
      </c>
      <c r="E7541" s="8">
        <v>0</v>
      </c>
      <c r="F7541" s="8">
        <v>0</v>
      </c>
      <c r="G7541" s="8">
        <v>4</v>
      </c>
      <c r="H7541" s="8" t="s">
        <v>40720</v>
      </c>
      <c r="I7541" s="8">
        <v>526.5</v>
      </c>
      <c r="J7541" s="3">
        <f t="shared" si="117"/>
        <v>43749.0187090162</v>
      </c>
    </row>
    <row r="7542" spans="1:10" x14ac:dyDescent="0.25">
      <c r="A7542" s="5" t="s">
        <v>40721</v>
      </c>
      <c r="B7542" s="6">
        <v>393.75</v>
      </c>
      <c r="C7542" s="6">
        <v>20.478950000000001</v>
      </c>
      <c r="D7542" s="6">
        <v>77</v>
      </c>
      <c r="E7542" s="6">
        <v>0</v>
      </c>
      <c r="F7542" s="6">
        <v>0</v>
      </c>
      <c r="G7542" s="6">
        <v>10</v>
      </c>
      <c r="H7542" s="6" t="s">
        <v>40722</v>
      </c>
      <c r="I7542" s="6">
        <v>526.6875</v>
      </c>
      <c r="J7542" s="2">
        <f t="shared" si="117"/>
        <v>43749.018781539351</v>
      </c>
    </row>
    <row r="7543" spans="1:10" x14ac:dyDescent="0.25">
      <c r="A7543" s="7" t="s">
        <v>40723</v>
      </c>
      <c r="B7543" s="8">
        <v>393.75</v>
      </c>
      <c r="C7543" s="8">
        <v>20.478950000000001</v>
      </c>
      <c r="D7543" s="8">
        <v>77</v>
      </c>
      <c r="E7543" s="8">
        <v>0</v>
      </c>
      <c r="F7543" s="8">
        <v>0</v>
      </c>
      <c r="G7543" s="8">
        <v>13</v>
      </c>
      <c r="H7543" s="8" t="s">
        <v>40724</v>
      </c>
      <c r="I7543" s="8">
        <v>526.6875</v>
      </c>
      <c r="J7543" s="3">
        <f t="shared" si="117"/>
        <v>43749.018852488422</v>
      </c>
    </row>
    <row r="7544" spans="1:10" x14ac:dyDescent="0.25">
      <c r="A7544" s="5" t="s">
        <v>40725</v>
      </c>
      <c r="B7544" s="6">
        <v>393.75</v>
      </c>
      <c r="C7544" s="6">
        <v>20.478950000000001</v>
      </c>
      <c r="D7544" s="6">
        <v>77</v>
      </c>
      <c r="E7544" s="6">
        <v>0</v>
      </c>
      <c r="F7544" s="6">
        <v>0</v>
      </c>
      <c r="G7544" s="6">
        <v>19</v>
      </c>
      <c r="H7544" s="6" t="s">
        <v>40726</v>
      </c>
      <c r="I7544" s="6">
        <v>526.6875</v>
      </c>
      <c r="J7544" s="2">
        <f t="shared" si="117"/>
        <v>43749.018923784715</v>
      </c>
    </row>
    <row r="7545" spans="1:10" x14ac:dyDescent="0.25">
      <c r="A7545" s="7" t="s">
        <v>40727</v>
      </c>
      <c r="B7545" s="8">
        <v>393.75</v>
      </c>
      <c r="C7545" s="8">
        <v>20.478950000000001</v>
      </c>
      <c r="D7545" s="8">
        <v>77</v>
      </c>
      <c r="E7545" s="8">
        <v>0</v>
      </c>
      <c r="F7545" s="8">
        <v>0</v>
      </c>
      <c r="G7545" s="8">
        <v>9</v>
      </c>
      <c r="H7545" s="8" t="s">
        <v>40728</v>
      </c>
      <c r="I7545" s="8">
        <v>526.6875</v>
      </c>
      <c r="J7545" s="3">
        <f t="shared" si="117"/>
        <v>43749.019007175921</v>
      </c>
    </row>
    <row r="7546" spans="1:10" x14ac:dyDescent="0.25">
      <c r="A7546" s="5" t="s">
        <v>40729</v>
      </c>
      <c r="B7546" s="6">
        <v>412.5</v>
      </c>
      <c r="C7546" s="6">
        <v>20.478950000000001</v>
      </c>
      <c r="D7546" s="6">
        <v>76</v>
      </c>
      <c r="E7546" s="6">
        <v>0</v>
      </c>
      <c r="F7546" s="6">
        <v>0</v>
      </c>
      <c r="G7546" s="6">
        <v>24</v>
      </c>
      <c r="H7546" s="6" t="s">
        <v>40730</v>
      </c>
      <c r="I7546" s="6">
        <v>532.3125</v>
      </c>
      <c r="J7546" s="2">
        <f t="shared" si="117"/>
        <v>43749.01907934028</v>
      </c>
    </row>
    <row r="7547" spans="1:10" x14ac:dyDescent="0.25">
      <c r="A7547" s="7" t="s">
        <v>40731</v>
      </c>
      <c r="B7547" s="8">
        <v>393.75</v>
      </c>
      <c r="C7547" s="8">
        <v>20.478950000000001</v>
      </c>
      <c r="D7547" s="8">
        <v>77</v>
      </c>
      <c r="E7547" s="8">
        <v>0</v>
      </c>
      <c r="F7547" s="8">
        <v>0</v>
      </c>
      <c r="G7547" s="8">
        <v>4</v>
      </c>
      <c r="H7547" s="8" t="s">
        <v>40732</v>
      </c>
      <c r="I7547" s="8">
        <v>526.6875</v>
      </c>
      <c r="J7547" s="3">
        <f t="shared" si="117"/>
        <v>43749.019150624998</v>
      </c>
    </row>
    <row r="7548" spans="1:10" x14ac:dyDescent="0.25">
      <c r="A7548" s="5" t="s">
        <v>40733</v>
      </c>
      <c r="B7548" s="6">
        <v>393.75</v>
      </c>
      <c r="C7548" s="6">
        <v>20.478950000000001</v>
      </c>
      <c r="D7548" s="6">
        <v>76</v>
      </c>
      <c r="E7548" s="6">
        <v>0</v>
      </c>
      <c r="F7548" s="6">
        <v>0</v>
      </c>
      <c r="G7548" s="6">
        <v>18</v>
      </c>
      <c r="H7548" s="6" t="s">
        <v>40734</v>
      </c>
      <c r="I7548" s="6">
        <v>526.6875</v>
      </c>
      <c r="J7548" s="2">
        <f t="shared" si="117"/>
        <v>43749.019222673604</v>
      </c>
    </row>
    <row r="7549" spans="1:10" x14ac:dyDescent="0.25">
      <c r="A7549" s="7" t="s">
        <v>40735</v>
      </c>
      <c r="B7549" s="8">
        <v>393.75</v>
      </c>
      <c r="C7549" s="8">
        <v>20.478950000000001</v>
      </c>
      <c r="D7549" s="8">
        <v>72</v>
      </c>
      <c r="E7549" s="8">
        <v>0</v>
      </c>
      <c r="F7549" s="8">
        <v>0</v>
      </c>
      <c r="G7549" s="8">
        <v>14</v>
      </c>
      <c r="H7549" s="8" t="s">
        <v>40736</v>
      </c>
      <c r="I7549" s="8">
        <v>526.6875</v>
      </c>
      <c r="J7549" s="3">
        <f t="shared" si="117"/>
        <v>43749.019294097219</v>
      </c>
    </row>
    <row r="7550" spans="1:10" x14ac:dyDescent="0.25">
      <c r="A7550" s="5" t="s">
        <v>40737</v>
      </c>
      <c r="B7550" s="6">
        <v>421.875</v>
      </c>
      <c r="C7550" s="6">
        <v>20.478950000000001</v>
      </c>
      <c r="D7550" s="6">
        <v>73</v>
      </c>
      <c r="E7550" s="6">
        <v>0</v>
      </c>
      <c r="F7550" s="6">
        <v>0</v>
      </c>
      <c r="G7550" s="6">
        <v>2</v>
      </c>
      <c r="H7550" s="6" t="s">
        <v>40738</v>
      </c>
      <c r="I7550" s="6">
        <v>535.3125</v>
      </c>
      <c r="J7550" s="2">
        <f t="shared" si="117"/>
        <v>43749.01936543981</v>
      </c>
    </row>
    <row r="7551" spans="1:10" x14ac:dyDescent="0.25">
      <c r="A7551" s="7" t="s">
        <v>40739</v>
      </c>
      <c r="B7551" s="8">
        <v>393.75</v>
      </c>
      <c r="C7551" s="8">
        <v>20.478950000000001</v>
      </c>
      <c r="D7551" s="8">
        <v>74</v>
      </c>
      <c r="E7551" s="8">
        <v>0</v>
      </c>
      <c r="F7551" s="8">
        <v>0</v>
      </c>
      <c r="G7551" s="8">
        <v>10</v>
      </c>
      <c r="H7551" s="8" t="s">
        <v>40740</v>
      </c>
      <c r="I7551" s="8">
        <v>526.6875</v>
      </c>
      <c r="J7551" s="3">
        <f t="shared" si="117"/>
        <v>43749.019436724535</v>
      </c>
    </row>
    <row r="7552" spans="1:10" x14ac:dyDescent="0.25">
      <c r="A7552" s="5" t="s">
        <v>40741</v>
      </c>
      <c r="B7552" s="6">
        <v>393.75</v>
      </c>
      <c r="C7552" s="6">
        <v>20.478950000000001</v>
      </c>
      <c r="D7552" s="6">
        <v>74</v>
      </c>
      <c r="E7552" s="6">
        <v>0</v>
      </c>
      <c r="F7552" s="6">
        <v>0</v>
      </c>
      <c r="G7552" s="6">
        <v>17</v>
      </c>
      <c r="H7552" s="6" t="s">
        <v>40742</v>
      </c>
      <c r="I7552" s="6">
        <v>526.6875</v>
      </c>
      <c r="J7552" s="2">
        <f t="shared" si="117"/>
        <v>43749.019520069443</v>
      </c>
    </row>
    <row r="7553" spans="1:10" x14ac:dyDescent="0.25">
      <c r="A7553" s="7" t="s">
        <v>40743</v>
      </c>
      <c r="B7553" s="8">
        <v>393.75</v>
      </c>
      <c r="C7553" s="8">
        <v>20.478950000000001</v>
      </c>
      <c r="D7553" s="8">
        <v>74</v>
      </c>
      <c r="E7553" s="8">
        <v>0</v>
      </c>
      <c r="F7553" s="8">
        <v>0</v>
      </c>
      <c r="G7553" s="8">
        <v>13</v>
      </c>
      <c r="H7553" s="8" t="s">
        <v>40744</v>
      </c>
      <c r="I7553" s="8">
        <v>526.5</v>
      </c>
      <c r="J7553" s="3">
        <f t="shared" si="117"/>
        <v>43749.019592233795</v>
      </c>
    </row>
    <row r="7554" spans="1:10" x14ac:dyDescent="0.25">
      <c r="A7554" s="5" t="s">
        <v>40745</v>
      </c>
      <c r="B7554" s="6">
        <v>393.75</v>
      </c>
      <c r="C7554" s="6">
        <v>20.478950000000001</v>
      </c>
      <c r="D7554" s="6">
        <v>74</v>
      </c>
      <c r="E7554" s="6">
        <v>0</v>
      </c>
      <c r="F7554" s="6">
        <v>0</v>
      </c>
      <c r="G7554" s="6">
        <v>9</v>
      </c>
      <c r="H7554" s="6" t="s">
        <v>40746</v>
      </c>
      <c r="I7554" s="6">
        <v>526.6875</v>
      </c>
      <c r="J7554" s="2">
        <f t="shared" ref="J7554:J7617" si="118">(H7554/86400000)+25569+(7/24)</f>
        <v>43749.01966351852</v>
      </c>
    </row>
    <row r="7555" spans="1:10" x14ac:dyDescent="0.25">
      <c r="A7555" s="7" t="s">
        <v>40747</v>
      </c>
      <c r="B7555" s="8">
        <v>393.75</v>
      </c>
      <c r="C7555" s="8">
        <v>20.478950000000001</v>
      </c>
      <c r="D7555" s="8">
        <v>76</v>
      </c>
      <c r="E7555" s="8">
        <v>0</v>
      </c>
      <c r="F7555" s="8">
        <v>0</v>
      </c>
      <c r="G7555" s="8">
        <v>6</v>
      </c>
      <c r="H7555" s="8" t="s">
        <v>40748</v>
      </c>
      <c r="I7555" s="8">
        <v>526.5</v>
      </c>
      <c r="J7555" s="3">
        <f t="shared" si="118"/>
        <v>43749.019734826383</v>
      </c>
    </row>
    <row r="7556" spans="1:10" x14ac:dyDescent="0.25">
      <c r="A7556" s="5" t="s">
        <v>40749</v>
      </c>
      <c r="B7556" s="6">
        <v>393.75</v>
      </c>
      <c r="C7556" s="6">
        <v>20.426300000000001</v>
      </c>
      <c r="D7556" s="6">
        <v>76</v>
      </c>
      <c r="E7556" s="6">
        <v>0</v>
      </c>
      <c r="F7556" s="6">
        <v>0</v>
      </c>
      <c r="G7556" s="6">
        <v>6</v>
      </c>
      <c r="H7556" s="6" t="s">
        <v>40750</v>
      </c>
      <c r="I7556" s="6">
        <v>526.6875</v>
      </c>
      <c r="J7556" s="2">
        <f t="shared" si="118"/>
        <v>43749.019806238422</v>
      </c>
    </row>
    <row r="7557" spans="1:10" x14ac:dyDescent="0.25">
      <c r="A7557" s="7" t="s">
        <v>40751</v>
      </c>
      <c r="B7557" s="8">
        <v>393.75</v>
      </c>
      <c r="C7557" s="8">
        <v>20.478950000000001</v>
      </c>
      <c r="D7557" s="8">
        <v>76</v>
      </c>
      <c r="E7557" s="8">
        <v>0</v>
      </c>
      <c r="F7557" s="8">
        <v>0</v>
      </c>
      <c r="G7557" s="8">
        <v>21</v>
      </c>
      <c r="H7557" s="8" t="s">
        <v>40752</v>
      </c>
      <c r="I7557" s="8">
        <v>526.6875</v>
      </c>
      <c r="J7557" s="3">
        <f t="shared" si="118"/>
        <v>43749.019878402774</v>
      </c>
    </row>
    <row r="7558" spans="1:10" x14ac:dyDescent="0.25">
      <c r="A7558" s="5" t="s">
        <v>40753</v>
      </c>
      <c r="B7558" s="6">
        <v>412.5</v>
      </c>
      <c r="C7558" s="6">
        <v>20.478950000000001</v>
      </c>
      <c r="D7558" s="6">
        <v>76</v>
      </c>
      <c r="E7558" s="6">
        <v>0</v>
      </c>
      <c r="F7558" s="6">
        <v>0</v>
      </c>
      <c r="G7558" s="6">
        <v>11</v>
      </c>
      <c r="H7558" s="6" t="s">
        <v>40754</v>
      </c>
      <c r="I7558" s="6">
        <v>532.3125</v>
      </c>
      <c r="J7558" s="2">
        <f t="shared" si="118"/>
        <v>43749.019949699075</v>
      </c>
    </row>
    <row r="7559" spans="1:10" x14ac:dyDescent="0.25">
      <c r="A7559" s="7" t="s">
        <v>40755</v>
      </c>
      <c r="B7559" s="8">
        <v>393.75</v>
      </c>
      <c r="C7559" s="8">
        <v>20.478950000000001</v>
      </c>
      <c r="D7559" s="8">
        <v>75</v>
      </c>
      <c r="E7559" s="8">
        <v>0</v>
      </c>
      <c r="F7559" s="8">
        <v>0</v>
      </c>
      <c r="G7559" s="8">
        <v>4</v>
      </c>
      <c r="H7559" s="8" t="s">
        <v>40756</v>
      </c>
      <c r="I7559" s="8">
        <v>526.6875</v>
      </c>
      <c r="J7559" s="3">
        <f t="shared" si="118"/>
        <v>43749.020021006938</v>
      </c>
    </row>
    <row r="7560" spans="1:10" x14ac:dyDescent="0.25">
      <c r="A7560" s="5" t="s">
        <v>40757</v>
      </c>
      <c r="B7560" s="6">
        <v>393.75</v>
      </c>
      <c r="C7560" s="6">
        <v>20.478950000000001</v>
      </c>
      <c r="D7560" s="6">
        <v>75</v>
      </c>
      <c r="E7560" s="6">
        <v>0</v>
      </c>
      <c r="F7560" s="6">
        <v>0</v>
      </c>
      <c r="G7560" s="6">
        <v>14</v>
      </c>
      <c r="H7560" s="6" t="s">
        <v>40758</v>
      </c>
      <c r="I7560" s="6">
        <v>526.5</v>
      </c>
      <c r="J7560" s="2">
        <f t="shared" si="118"/>
        <v>43749.020104432864</v>
      </c>
    </row>
    <row r="7561" spans="1:10" x14ac:dyDescent="0.25">
      <c r="A7561" s="7" t="s">
        <v>40759</v>
      </c>
      <c r="B7561" s="8">
        <v>393.75</v>
      </c>
      <c r="C7561" s="8">
        <v>20.478950000000001</v>
      </c>
      <c r="D7561" s="8">
        <v>74</v>
      </c>
      <c r="E7561" s="8">
        <v>0</v>
      </c>
      <c r="F7561" s="8">
        <v>0</v>
      </c>
      <c r="G7561" s="8">
        <v>8</v>
      </c>
      <c r="H7561" s="8" t="s">
        <v>40760</v>
      </c>
      <c r="I7561" s="8">
        <v>526.6875</v>
      </c>
      <c r="J7561" s="3">
        <f t="shared" si="118"/>
        <v>43749.020176550919</v>
      </c>
    </row>
    <row r="7562" spans="1:10" x14ac:dyDescent="0.25">
      <c r="A7562" s="5" t="s">
        <v>40761</v>
      </c>
      <c r="B7562" s="6">
        <v>393.75</v>
      </c>
      <c r="C7562" s="6">
        <v>20.478950000000001</v>
      </c>
      <c r="D7562" s="6">
        <v>73</v>
      </c>
      <c r="E7562" s="6">
        <v>0</v>
      </c>
      <c r="F7562" s="6">
        <v>0</v>
      </c>
      <c r="G7562" s="6">
        <v>6</v>
      </c>
      <c r="H7562" s="6" t="s">
        <v>40762</v>
      </c>
      <c r="I7562" s="6">
        <v>526.5</v>
      </c>
      <c r="J7562" s="2">
        <f t="shared" si="118"/>
        <v>43749.02024784722</v>
      </c>
    </row>
    <row r="7563" spans="1:10" x14ac:dyDescent="0.25">
      <c r="A7563" s="7" t="s">
        <v>40763</v>
      </c>
      <c r="B7563" s="8">
        <v>393.75</v>
      </c>
      <c r="C7563" s="8">
        <v>20.478950000000001</v>
      </c>
      <c r="D7563" s="8">
        <v>73</v>
      </c>
      <c r="E7563" s="8">
        <v>0</v>
      </c>
      <c r="F7563" s="8">
        <v>0</v>
      </c>
      <c r="G7563" s="8">
        <v>8</v>
      </c>
      <c r="H7563" s="8" t="s">
        <v>40764</v>
      </c>
      <c r="I7563" s="8">
        <v>526.6875</v>
      </c>
      <c r="J7563" s="3">
        <f t="shared" si="118"/>
        <v>43749.020319131938</v>
      </c>
    </row>
    <row r="7564" spans="1:10" x14ac:dyDescent="0.25">
      <c r="A7564" s="5" t="s">
        <v>40765</v>
      </c>
      <c r="B7564" s="6">
        <v>393.75</v>
      </c>
      <c r="C7564" s="6">
        <v>20.478950000000001</v>
      </c>
      <c r="D7564" s="6">
        <v>74</v>
      </c>
      <c r="E7564" s="6">
        <v>0</v>
      </c>
      <c r="F7564" s="6">
        <v>0</v>
      </c>
      <c r="G7564" s="6">
        <v>15</v>
      </c>
      <c r="H7564" s="6" t="s">
        <v>40766</v>
      </c>
      <c r="I7564" s="6">
        <v>526.6875</v>
      </c>
      <c r="J7564" s="2">
        <f t="shared" si="118"/>
        <v>43749.020391365739</v>
      </c>
    </row>
    <row r="7565" spans="1:10" x14ac:dyDescent="0.25">
      <c r="A7565" s="7" t="s">
        <v>40767</v>
      </c>
      <c r="B7565" s="8">
        <v>393.75</v>
      </c>
      <c r="C7565" s="8">
        <v>20.478950000000001</v>
      </c>
      <c r="D7565" s="8">
        <v>73</v>
      </c>
      <c r="E7565" s="8">
        <v>0</v>
      </c>
      <c r="F7565" s="8">
        <v>0</v>
      </c>
      <c r="G7565" s="8">
        <v>13</v>
      </c>
      <c r="H7565" s="8" t="s">
        <v>40768</v>
      </c>
      <c r="I7565" s="8">
        <v>526.6875</v>
      </c>
      <c r="J7565" s="3">
        <f t="shared" si="118"/>
        <v>43749.020462650464</v>
      </c>
    </row>
    <row r="7566" spans="1:10" x14ac:dyDescent="0.25">
      <c r="A7566" s="5" t="s">
        <v>40769</v>
      </c>
      <c r="B7566" s="6">
        <v>403.125</v>
      </c>
      <c r="C7566" s="6">
        <v>20.478950000000001</v>
      </c>
      <c r="D7566" s="6">
        <v>73</v>
      </c>
      <c r="E7566" s="6">
        <v>0</v>
      </c>
      <c r="F7566" s="6">
        <v>0</v>
      </c>
      <c r="G7566" s="6">
        <v>12</v>
      </c>
      <c r="H7566" s="6" t="s">
        <v>40770</v>
      </c>
      <c r="I7566" s="6">
        <v>529.3125</v>
      </c>
      <c r="J7566" s="2">
        <f t="shared" si="118"/>
        <v>43749.020533946757</v>
      </c>
    </row>
    <row r="7567" spans="1:10" x14ac:dyDescent="0.25">
      <c r="A7567" s="7" t="s">
        <v>40771</v>
      </c>
      <c r="B7567" s="8">
        <v>393.75</v>
      </c>
      <c r="C7567" s="8">
        <v>20.478950000000001</v>
      </c>
      <c r="D7567" s="8">
        <v>72</v>
      </c>
      <c r="E7567" s="8">
        <v>0</v>
      </c>
      <c r="F7567" s="8">
        <v>0</v>
      </c>
      <c r="G7567" s="8">
        <v>9</v>
      </c>
      <c r="H7567" s="8" t="s">
        <v>40772</v>
      </c>
      <c r="I7567" s="8">
        <v>526.6875</v>
      </c>
      <c r="J7567" s="3">
        <f t="shared" si="118"/>
        <v>43749.020605312493</v>
      </c>
    </row>
    <row r="7568" spans="1:10" x14ac:dyDescent="0.25">
      <c r="A7568" s="5" t="s">
        <v>40773</v>
      </c>
      <c r="B7568" s="6">
        <v>393.75</v>
      </c>
      <c r="C7568" s="6">
        <v>20.478950000000001</v>
      </c>
      <c r="D7568" s="6">
        <v>72</v>
      </c>
      <c r="E7568" s="6">
        <v>0</v>
      </c>
      <c r="F7568" s="6">
        <v>0</v>
      </c>
      <c r="G7568" s="6">
        <v>13</v>
      </c>
      <c r="H7568" s="6" t="s">
        <v>40774</v>
      </c>
      <c r="I7568" s="6">
        <v>526.6875</v>
      </c>
      <c r="J7568" s="2">
        <f t="shared" si="118"/>
        <v>43749.020677476852</v>
      </c>
    </row>
    <row r="7569" spans="1:10" x14ac:dyDescent="0.25">
      <c r="A7569" s="7" t="s">
        <v>40775</v>
      </c>
      <c r="B7569" s="8">
        <v>393.75</v>
      </c>
      <c r="C7569" s="8">
        <v>20.478950000000001</v>
      </c>
      <c r="D7569" s="8">
        <v>72</v>
      </c>
      <c r="E7569" s="8">
        <v>0</v>
      </c>
      <c r="F7569" s="8">
        <v>0</v>
      </c>
      <c r="G7569" s="8">
        <v>11</v>
      </c>
      <c r="H7569" s="8" t="s">
        <v>40776</v>
      </c>
      <c r="I7569" s="8">
        <v>526.6875</v>
      </c>
      <c r="J7569" s="3">
        <f t="shared" si="118"/>
        <v>43749.020748784715</v>
      </c>
    </row>
    <row r="7570" spans="1:10" x14ac:dyDescent="0.25">
      <c r="A7570" s="5" t="s">
        <v>40777</v>
      </c>
      <c r="B7570" s="6">
        <v>393.75</v>
      </c>
      <c r="C7570" s="6">
        <v>20.478950000000001</v>
      </c>
      <c r="D7570" s="6">
        <v>74</v>
      </c>
      <c r="E7570" s="6">
        <v>0</v>
      </c>
      <c r="F7570" s="6">
        <v>0</v>
      </c>
      <c r="G7570" s="6">
        <v>8</v>
      </c>
      <c r="H7570" s="6" t="s">
        <v>40778</v>
      </c>
      <c r="I7570" s="6">
        <v>526.6875</v>
      </c>
      <c r="J7570" s="2">
        <f t="shared" si="118"/>
        <v>43749.020820057871</v>
      </c>
    </row>
    <row r="7571" spans="1:10" x14ac:dyDescent="0.25">
      <c r="A7571" s="7" t="s">
        <v>40779</v>
      </c>
      <c r="B7571" s="8">
        <v>393.75</v>
      </c>
      <c r="C7571" s="8">
        <v>20.478950000000001</v>
      </c>
      <c r="D7571" s="8">
        <v>73</v>
      </c>
      <c r="E7571" s="8">
        <v>0</v>
      </c>
      <c r="F7571" s="8">
        <v>0</v>
      </c>
      <c r="G7571" s="8">
        <v>10</v>
      </c>
      <c r="H7571" s="8" t="s">
        <v>40780</v>
      </c>
      <c r="I7571" s="8">
        <v>526.5</v>
      </c>
      <c r="J7571" s="3">
        <f t="shared" si="118"/>
        <v>43749.020892303241</v>
      </c>
    </row>
    <row r="7572" spans="1:10" x14ac:dyDescent="0.25">
      <c r="A7572" s="5" t="s">
        <v>40781</v>
      </c>
      <c r="B7572" s="6">
        <v>393.75</v>
      </c>
      <c r="C7572" s="6">
        <v>20.478950000000001</v>
      </c>
      <c r="D7572" s="6">
        <v>72</v>
      </c>
      <c r="E7572" s="6">
        <v>0</v>
      </c>
      <c r="F7572" s="6">
        <v>0</v>
      </c>
      <c r="G7572" s="6">
        <v>11</v>
      </c>
      <c r="H7572" s="6" t="s">
        <v>40782</v>
      </c>
      <c r="I7572" s="6">
        <v>526.5</v>
      </c>
      <c r="J7572" s="2">
        <f t="shared" si="118"/>
        <v>43749.020963634255</v>
      </c>
    </row>
    <row r="7573" spans="1:10" x14ac:dyDescent="0.25">
      <c r="A7573" s="7" t="s">
        <v>40783</v>
      </c>
      <c r="B7573" s="8">
        <v>393.75</v>
      </c>
      <c r="C7573" s="8">
        <v>20.478950000000001</v>
      </c>
      <c r="D7573" s="8">
        <v>71</v>
      </c>
      <c r="E7573" s="8">
        <v>0</v>
      </c>
      <c r="F7573" s="8">
        <v>0</v>
      </c>
      <c r="G7573" s="8">
        <v>13</v>
      </c>
      <c r="H7573" s="8" t="s">
        <v>40784</v>
      </c>
      <c r="I7573" s="8">
        <v>526.6875</v>
      </c>
      <c r="J7573" s="3">
        <f t="shared" si="118"/>
        <v>43749.021046921298</v>
      </c>
    </row>
    <row r="7574" spans="1:10" x14ac:dyDescent="0.25">
      <c r="A7574" s="5" t="s">
        <v>40785</v>
      </c>
      <c r="B7574" s="6">
        <v>393.75</v>
      </c>
      <c r="C7574" s="6">
        <v>20.478950000000001</v>
      </c>
      <c r="D7574" s="6">
        <v>72</v>
      </c>
      <c r="E7574" s="6">
        <v>0</v>
      </c>
      <c r="F7574" s="6">
        <v>0</v>
      </c>
      <c r="G7574" s="6">
        <v>14</v>
      </c>
      <c r="H7574" s="6" t="s">
        <v>40786</v>
      </c>
      <c r="I7574" s="6">
        <v>526.6875</v>
      </c>
      <c r="J7574" s="2">
        <f t="shared" si="118"/>
        <v>43749.021130277775</v>
      </c>
    </row>
    <row r="7575" spans="1:10" x14ac:dyDescent="0.25">
      <c r="A7575" s="7" t="s">
        <v>40787</v>
      </c>
      <c r="B7575" s="8">
        <v>393.75</v>
      </c>
      <c r="C7575" s="8">
        <v>20.478950000000001</v>
      </c>
      <c r="D7575" s="8">
        <v>71</v>
      </c>
      <c r="E7575" s="8">
        <v>0</v>
      </c>
      <c r="F7575" s="8">
        <v>0</v>
      </c>
      <c r="G7575" s="8">
        <v>16</v>
      </c>
      <c r="H7575" s="8" t="s">
        <v>40788</v>
      </c>
      <c r="I7575" s="8">
        <v>526.6875</v>
      </c>
      <c r="J7575" s="3">
        <f t="shared" si="118"/>
        <v>43749.021202418975</v>
      </c>
    </row>
    <row r="7576" spans="1:10" x14ac:dyDescent="0.25">
      <c r="A7576" s="5" t="s">
        <v>40789</v>
      </c>
      <c r="B7576" s="6">
        <v>393.75</v>
      </c>
      <c r="C7576" s="6">
        <v>20.426300000000001</v>
      </c>
      <c r="D7576" s="6">
        <v>71</v>
      </c>
      <c r="E7576" s="6">
        <v>0</v>
      </c>
      <c r="F7576" s="6">
        <v>0</v>
      </c>
      <c r="G7576" s="6">
        <v>7</v>
      </c>
      <c r="H7576" s="6" t="s">
        <v>40790</v>
      </c>
      <c r="I7576" s="6">
        <v>526.6875</v>
      </c>
      <c r="J7576" s="2">
        <f t="shared" si="118"/>
        <v>43749.0212737037</v>
      </c>
    </row>
    <row r="7577" spans="1:10" x14ac:dyDescent="0.25">
      <c r="A7577" s="7" t="s">
        <v>40791</v>
      </c>
      <c r="B7577" s="8">
        <v>415.625</v>
      </c>
      <c r="C7577" s="8">
        <v>20.478950000000001</v>
      </c>
      <c r="D7577" s="8">
        <v>72</v>
      </c>
      <c r="E7577" s="8">
        <v>0</v>
      </c>
      <c r="F7577" s="8">
        <v>0</v>
      </c>
      <c r="G7577" s="8">
        <v>11</v>
      </c>
      <c r="H7577" s="8" t="s">
        <v>40792</v>
      </c>
      <c r="I7577" s="8">
        <v>533.4375</v>
      </c>
      <c r="J7577" s="3">
        <f t="shared" si="118"/>
        <v>43749.021345069443</v>
      </c>
    </row>
    <row r="7578" spans="1:10" x14ac:dyDescent="0.25">
      <c r="A7578" s="5" t="s">
        <v>40793</v>
      </c>
      <c r="B7578" s="6">
        <v>393.75</v>
      </c>
      <c r="C7578" s="6">
        <v>20.478950000000001</v>
      </c>
      <c r="D7578" s="6">
        <v>71</v>
      </c>
      <c r="E7578" s="6">
        <v>0</v>
      </c>
      <c r="F7578" s="6">
        <v>0</v>
      </c>
      <c r="G7578" s="6">
        <v>5</v>
      </c>
      <c r="H7578" s="6" t="s">
        <v>40794</v>
      </c>
      <c r="I7578" s="6">
        <v>526.5</v>
      </c>
      <c r="J7578" s="2">
        <f t="shared" si="118"/>
        <v>43749.021430185181</v>
      </c>
    </row>
    <row r="7579" spans="1:10" x14ac:dyDescent="0.25">
      <c r="A7579" s="7" t="s">
        <v>40795</v>
      </c>
      <c r="B7579" s="8">
        <v>393.75</v>
      </c>
      <c r="C7579" s="8">
        <v>20.478950000000001</v>
      </c>
      <c r="D7579" s="8">
        <v>71</v>
      </c>
      <c r="E7579" s="8">
        <v>0</v>
      </c>
      <c r="F7579" s="8">
        <v>0</v>
      </c>
      <c r="G7579" s="8">
        <v>15</v>
      </c>
      <c r="H7579" s="8" t="s">
        <v>40796</v>
      </c>
      <c r="I7579" s="8">
        <v>526.6875</v>
      </c>
      <c r="J7579" s="3">
        <f t="shared" si="118"/>
        <v>43749.021499756942</v>
      </c>
    </row>
    <row r="7580" spans="1:10" x14ac:dyDescent="0.25">
      <c r="A7580" s="5" t="s">
        <v>40797</v>
      </c>
      <c r="B7580" s="6">
        <v>393.75</v>
      </c>
      <c r="C7580" s="6">
        <v>20.426300000000001</v>
      </c>
      <c r="D7580" s="6">
        <v>71</v>
      </c>
      <c r="E7580" s="6">
        <v>0</v>
      </c>
      <c r="F7580" s="6">
        <v>0</v>
      </c>
      <c r="G7580" s="6">
        <v>15</v>
      </c>
      <c r="H7580" s="6" t="s">
        <v>40798</v>
      </c>
      <c r="I7580" s="6">
        <v>526.5</v>
      </c>
      <c r="J7580" s="2">
        <f t="shared" si="118"/>
        <v>43749.021571400459</v>
      </c>
    </row>
    <row r="7581" spans="1:10" x14ac:dyDescent="0.25">
      <c r="A7581" s="7" t="s">
        <v>40799</v>
      </c>
      <c r="B7581" s="8">
        <v>393.75</v>
      </c>
      <c r="C7581" s="8">
        <v>20.426300000000001</v>
      </c>
      <c r="D7581" s="8">
        <v>72</v>
      </c>
      <c r="E7581" s="8">
        <v>0</v>
      </c>
      <c r="F7581" s="8">
        <v>0</v>
      </c>
      <c r="G7581" s="8">
        <v>8</v>
      </c>
      <c r="H7581" s="8" t="s">
        <v>40800</v>
      </c>
      <c r="I7581" s="8">
        <v>526.6875</v>
      </c>
      <c r="J7581" s="3">
        <f t="shared" si="118"/>
        <v>43749.021643148146</v>
      </c>
    </row>
    <row r="7582" spans="1:10" x14ac:dyDescent="0.25">
      <c r="A7582" s="5" t="s">
        <v>40801</v>
      </c>
      <c r="B7582" s="6">
        <v>393.75</v>
      </c>
      <c r="C7582" s="6">
        <v>20.478950000000001</v>
      </c>
      <c r="D7582" s="6">
        <v>72</v>
      </c>
      <c r="E7582" s="6">
        <v>0</v>
      </c>
      <c r="F7582" s="6">
        <v>0</v>
      </c>
      <c r="G7582" s="6">
        <v>5</v>
      </c>
      <c r="H7582" s="6" t="s">
        <v>40802</v>
      </c>
      <c r="I7582" s="6">
        <v>526.6875</v>
      </c>
      <c r="J7582" s="2">
        <f t="shared" si="118"/>
        <v>43749.021714641196</v>
      </c>
    </row>
    <row r="7583" spans="1:10" x14ac:dyDescent="0.25">
      <c r="A7583" s="7" t="s">
        <v>40803</v>
      </c>
      <c r="B7583" s="8">
        <v>393.75</v>
      </c>
      <c r="C7583" s="8">
        <v>20.478950000000001</v>
      </c>
      <c r="D7583" s="8">
        <v>72</v>
      </c>
      <c r="E7583" s="8">
        <v>0</v>
      </c>
      <c r="F7583" s="8">
        <v>0</v>
      </c>
      <c r="G7583" s="8">
        <v>5</v>
      </c>
      <c r="H7583" s="8" t="s">
        <v>40804</v>
      </c>
      <c r="I7583" s="8">
        <v>526.6875</v>
      </c>
      <c r="J7583" s="3">
        <f t="shared" si="118"/>
        <v>43749.021786666664</v>
      </c>
    </row>
    <row r="7584" spans="1:10" x14ac:dyDescent="0.25">
      <c r="A7584" s="5" t="s">
        <v>40805</v>
      </c>
      <c r="B7584" s="6">
        <v>393.75</v>
      </c>
      <c r="C7584" s="6">
        <v>20.478950000000001</v>
      </c>
      <c r="D7584" s="6">
        <v>71</v>
      </c>
      <c r="E7584" s="6">
        <v>0</v>
      </c>
      <c r="F7584" s="6">
        <v>0</v>
      </c>
      <c r="G7584" s="6">
        <v>4</v>
      </c>
      <c r="H7584" s="6" t="s">
        <v>40806</v>
      </c>
      <c r="I7584" s="6">
        <v>526.6875</v>
      </c>
      <c r="J7584" s="2">
        <f t="shared" si="118"/>
        <v>43749.021858020831</v>
      </c>
    </row>
    <row r="7585" spans="1:10" x14ac:dyDescent="0.25">
      <c r="A7585" s="7" t="s">
        <v>40807</v>
      </c>
      <c r="B7585" s="8">
        <v>393.75</v>
      </c>
      <c r="C7585" s="8">
        <v>20.478950000000001</v>
      </c>
      <c r="D7585" s="8">
        <v>70</v>
      </c>
      <c r="E7585" s="8">
        <v>0</v>
      </c>
      <c r="F7585" s="8">
        <v>0</v>
      </c>
      <c r="G7585" s="8">
        <v>4</v>
      </c>
      <c r="H7585" s="8" t="s">
        <v>40808</v>
      </c>
      <c r="I7585" s="8">
        <v>526.6875</v>
      </c>
      <c r="J7585" s="3">
        <f t="shared" si="118"/>
        <v>43749.021953425923</v>
      </c>
    </row>
    <row r="7586" spans="1:10" x14ac:dyDescent="0.25">
      <c r="A7586" s="5" t="s">
        <v>40809</v>
      </c>
      <c r="B7586" s="6">
        <v>393.75</v>
      </c>
      <c r="C7586" s="6">
        <v>20.478950000000001</v>
      </c>
      <c r="D7586" s="6">
        <v>70</v>
      </c>
      <c r="E7586" s="6">
        <v>0</v>
      </c>
      <c r="F7586" s="6">
        <v>0</v>
      </c>
      <c r="G7586" s="6">
        <v>10</v>
      </c>
      <c r="H7586" s="6" t="s">
        <v>40810</v>
      </c>
      <c r="I7586" s="6">
        <v>526.6875</v>
      </c>
      <c r="J7586" s="2">
        <f t="shared" si="118"/>
        <v>43749.022024699072</v>
      </c>
    </row>
    <row r="7587" spans="1:10" x14ac:dyDescent="0.25">
      <c r="A7587" s="7" t="s">
        <v>40811</v>
      </c>
      <c r="B7587" s="8">
        <v>393.75</v>
      </c>
      <c r="C7587" s="8">
        <v>20.478950000000001</v>
      </c>
      <c r="D7587" s="8">
        <v>71</v>
      </c>
      <c r="E7587" s="8">
        <v>0</v>
      </c>
      <c r="F7587" s="8">
        <v>0</v>
      </c>
      <c r="G7587" s="8">
        <v>4</v>
      </c>
      <c r="H7587" s="8" t="s">
        <v>40812</v>
      </c>
      <c r="I7587" s="8">
        <v>526.6875</v>
      </c>
      <c r="J7587" s="3">
        <f t="shared" si="118"/>
        <v>43749.022096932873</v>
      </c>
    </row>
    <row r="7588" spans="1:10" x14ac:dyDescent="0.25">
      <c r="A7588" s="5" t="s">
        <v>40813</v>
      </c>
      <c r="B7588" s="6">
        <v>393.75</v>
      </c>
      <c r="C7588" s="6">
        <v>20.478950000000001</v>
      </c>
      <c r="D7588" s="6">
        <v>71</v>
      </c>
      <c r="E7588" s="6">
        <v>0</v>
      </c>
      <c r="F7588" s="6">
        <v>0</v>
      </c>
      <c r="G7588" s="6">
        <v>0</v>
      </c>
      <c r="H7588" s="6" t="s">
        <v>40814</v>
      </c>
      <c r="I7588" s="6">
        <v>526.6875</v>
      </c>
      <c r="J7588" s="2">
        <f t="shared" si="118"/>
        <v>43749.022168240735</v>
      </c>
    </row>
    <row r="7589" spans="1:10" x14ac:dyDescent="0.25">
      <c r="A7589" s="7" t="s">
        <v>40815</v>
      </c>
      <c r="B7589" s="8">
        <v>393.75</v>
      </c>
      <c r="C7589" s="8">
        <v>20.478950000000001</v>
      </c>
      <c r="D7589" s="8">
        <v>70</v>
      </c>
      <c r="E7589" s="8">
        <v>0</v>
      </c>
      <c r="F7589" s="8">
        <v>0</v>
      </c>
      <c r="G7589" s="8">
        <v>5</v>
      </c>
      <c r="H7589" s="8" t="s">
        <v>40816</v>
      </c>
      <c r="I7589" s="8">
        <v>526.5</v>
      </c>
      <c r="J7589" s="3">
        <f t="shared" si="118"/>
        <v>43749.022239560181</v>
      </c>
    </row>
    <row r="7590" spans="1:10" x14ac:dyDescent="0.25">
      <c r="A7590" s="5" t="s">
        <v>40817</v>
      </c>
      <c r="B7590" s="6">
        <v>393.75</v>
      </c>
      <c r="C7590" s="6">
        <v>20.478950000000001</v>
      </c>
      <c r="D7590" s="6">
        <v>71</v>
      </c>
      <c r="E7590" s="6">
        <v>0</v>
      </c>
      <c r="F7590" s="6">
        <v>0</v>
      </c>
      <c r="G7590" s="6">
        <v>10</v>
      </c>
      <c r="H7590" s="6" t="s">
        <v>40818</v>
      </c>
      <c r="I7590" s="6">
        <v>526.6875</v>
      </c>
      <c r="J7590" s="2">
        <f t="shared" si="118"/>
        <v>43749.022311527777</v>
      </c>
    </row>
    <row r="7591" spans="1:10" x14ac:dyDescent="0.25">
      <c r="A7591" s="7" t="s">
        <v>40819</v>
      </c>
      <c r="B7591" s="8">
        <v>393.75</v>
      </c>
      <c r="C7591" s="8">
        <v>20.478950000000001</v>
      </c>
      <c r="D7591" s="8">
        <v>72</v>
      </c>
      <c r="E7591" s="8">
        <v>0</v>
      </c>
      <c r="F7591" s="8">
        <v>0</v>
      </c>
      <c r="G7591" s="8">
        <v>13</v>
      </c>
      <c r="H7591" s="8" t="s">
        <v>40820</v>
      </c>
      <c r="I7591" s="8">
        <v>526.6875</v>
      </c>
      <c r="J7591" s="3">
        <f t="shared" si="118"/>
        <v>43749.022383055555</v>
      </c>
    </row>
    <row r="7592" spans="1:10" x14ac:dyDescent="0.25">
      <c r="A7592" s="5" t="s">
        <v>40821</v>
      </c>
      <c r="B7592" s="6">
        <v>393.75</v>
      </c>
      <c r="C7592" s="6">
        <v>20.478950000000001</v>
      </c>
      <c r="D7592" s="6">
        <v>72</v>
      </c>
      <c r="E7592" s="6">
        <v>0</v>
      </c>
      <c r="F7592" s="6">
        <v>0</v>
      </c>
      <c r="G7592" s="6">
        <v>13</v>
      </c>
      <c r="H7592" s="6" t="s">
        <v>40822</v>
      </c>
      <c r="I7592" s="6">
        <v>526.6875</v>
      </c>
      <c r="J7592" s="2">
        <f t="shared" si="118"/>
        <v>43749.022466388888</v>
      </c>
    </row>
    <row r="7593" spans="1:10" x14ac:dyDescent="0.25">
      <c r="A7593" s="7" t="s">
        <v>40823</v>
      </c>
      <c r="B7593" s="8">
        <v>393.75</v>
      </c>
      <c r="C7593" s="8">
        <v>20.478950000000001</v>
      </c>
      <c r="D7593" s="8">
        <v>72</v>
      </c>
      <c r="E7593" s="8">
        <v>0</v>
      </c>
      <c r="F7593" s="8">
        <v>0</v>
      </c>
      <c r="G7593" s="8">
        <v>7</v>
      </c>
      <c r="H7593" s="8" t="s">
        <v>40824</v>
      </c>
      <c r="I7593" s="8">
        <v>526.6875</v>
      </c>
      <c r="J7593" s="3">
        <f t="shared" si="118"/>
        <v>43749.022549699068</v>
      </c>
    </row>
    <row r="7594" spans="1:10" x14ac:dyDescent="0.25">
      <c r="A7594" s="5" t="s">
        <v>40825</v>
      </c>
      <c r="B7594" s="6">
        <v>393.75</v>
      </c>
      <c r="C7594" s="6">
        <v>20.478950000000001</v>
      </c>
      <c r="D7594" s="6">
        <v>71</v>
      </c>
      <c r="E7594" s="6">
        <v>0</v>
      </c>
      <c r="F7594" s="6">
        <v>0</v>
      </c>
      <c r="G7594" s="6">
        <v>6</v>
      </c>
      <c r="H7594" s="6" t="s">
        <v>40826</v>
      </c>
      <c r="I7594" s="6">
        <v>526.6875</v>
      </c>
      <c r="J7594" s="2">
        <f t="shared" si="118"/>
        <v>43749.022621064811</v>
      </c>
    </row>
    <row r="7595" spans="1:10" x14ac:dyDescent="0.25">
      <c r="A7595" s="7" t="s">
        <v>40827</v>
      </c>
      <c r="B7595" s="8">
        <v>393.75</v>
      </c>
      <c r="C7595" s="8">
        <v>20.478950000000001</v>
      </c>
      <c r="D7595" s="8">
        <v>71</v>
      </c>
      <c r="E7595" s="8">
        <v>0</v>
      </c>
      <c r="F7595" s="8">
        <v>0</v>
      </c>
      <c r="G7595" s="8">
        <v>12</v>
      </c>
      <c r="H7595" s="8" t="s">
        <v>40828</v>
      </c>
      <c r="I7595" s="8">
        <v>526.6875</v>
      </c>
      <c r="J7595" s="3">
        <f t="shared" si="118"/>
        <v>43749.022692650462</v>
      </c>
    </row>
    <row r="7596" spans="1:10" x14ac:dyDescent="0.25">
      <c r="A7596" s="5" t="s">
        <v>40829</v>
      </c>
      <c r="B7596" s="6">
        <v>393.75</v>
      </c>
      <c r="C7596" s="6">
        <v>20.478950000000001</v>
      </c>
      <c r="D7596" s="6">
        <v>69</v>
      </c>
      <c r="E7596" s="6">
        <v>0</v>
      </c>
      <c r="F7596" s="6">
        <v>0</v>
      </c>
      <c r="G7596" s="6">
        <v>10</v>
      </c>
      <c r="H7596" s="6" t="s">
        <v>40830</v>
      </c>
      <c r="I7596" s="6">
        <v>526.6875</v>
      </c>
      <c r="J7596" s="2">
        <f t="shared" si="118"/>
        <v>43749.022764548608</v>
      </c>
    </row>
    <row r="7597" spans="1:10" x14ac:dyDescent="0.25">
      <c r="A7597" s="7" t="s">
        <v>40831</v>
      </c>
      <c r="B7597" s="8">
        <v>393.75</v>
      </c>
      <c r="C7597" s="8">
        <v>20.478950000000001</v>
      </c>
      <c r="D7597" s="8">
        <v>69</v>
      </c>
      <c r="E7597" s="8">
        <v>0</v>
      </c>
      <c r="F7597" s="8">
        <v>0</v>
      </c>
      <c r="G7597" s="8">
        <v>12</v>
      </c>
      <c r="H7597" s="8" t="s">
        <v>40832</v>
      </c>
      <c r="I7597" s="8">
        <v>526.6875</v>
      </c>
      <c r="J7597" s="3">
        <f t="shared" si="118"/>
        <v>43749.022835844902</v>
      </c>
    </row>
    <row r="7598" spans="1:10" x14ac:dyDescent="0.25">
      <c r="A7598" s="5" t="s">
        <v>40833</v>
      </c>
      <c r="B7598" s="6">
        <v>393.75</v>
      </c>
      <c r="C7598" s="6">
        <v>20.478950000000001</v>
      </c>
      <c r="D7598" s="6">
        <v>71</v>
      </c>
      <c r="E7598" s="6">
        <v>0</v>
      </c>
      <c r="F7598" s="6">
        <v>0</v>
      </c>
      <c r="G7598" s="6">
        <v>16</v>
      </c>
      <c r="H7598" s="6" t="s">
        <v>40834</v>
      </c>
      <c r="I7598" s="6">
        <v>526.5</v>
      </c>
      <c r="J7598" s="2">
        <f t="shared" si="118"/>
        <v>43749.022908043982</v>
      </c>
    </row>
    <row r="7599" spans="1:10" x14ac:dyDescent="0.25">
      <c r="A7599" s="7" t="s">
        <v>40835</v>
      </c>
      <c r="B7599" s="8">
        <v>393.75</v>
      </c>
      <c r="C7599" s="8">
        <v>20.478950000000001</v>
      </c>
      <c r="D7599" s="8">
        <v>70</v>
      </c>
      <c r="E7599" s="8">
        <v>0</v>
      </c>
      <c r="F7599" s="8">
        <v>0</v>
      </c>
      <c r="G7599" s="8">
        <v>7</v>
      </c>
      <c r="H7599" s="8" t="s">
        <v>40836</v>
      </c>
      <c r="I7599" s="8">
        <v>526.6875</v>
      </c>
      <c r="J7599" s="3">
        <f t="shared" si="118"/>
        <v>43749.023003472219</v>
      </c>
    </row>
    <row r="7600" spans="1:10" x14ac:dyDescent="0.25">
      <c r="A7600" s="5" t="s">
        <v>40837</v>
      </c>
      <c r="B7600" s="6">
        <v>393.75</v>
      </c>
      <c r="C7600" s="6">
        <v>20.478950000000001</v>
      </c>
      <c r="D7600" s="6">
        <v>71</v>
      </c>
      <c r="E7600" s="6">
        <v>0</v>
      </c>
      <c r="F7600" s="6">
        <v>0</v>
      </c>
      <c r="G7600" s="6">
        <v>3</v>
      </c>
      <c r="H7600" s="6" t="s">
        <v>40838</v>
      </c>
      <c r="I7600" s="6">
        <v>526.6875</v>
      </c>
      <c r="J7600" s="2">
        <f t="shared" si="118"/>
        <v>43749.023074675926</v>
      </c>
    </row>
    <row r="7601" spans="1:10" x14ac:dyDescent="0.25">
      <c r="A7601" s="7" t="s">
        <v>40839</v>
      </c>
      <c r="B7601" s="8">
        <v>393.75</v>
      </c>
      <c r="C7601" s="8">
        <v>20.478950000000001</v>
      </c>
      <c r="D7601" s="8">
        <v>72</v>
      </c>
      <c r="E7601" s="8">
        <v>0</v>
      </c>
      <c r="F7601" s="8">
        <v>0</v>
      </c>
      <c r="G7601" s="8">
        <v>6</v>
      </c>
      <c r="H7601" s="8" t="s">
        <v>40840</v>
      </c>
      <c r="I7601" s="8">
        <v>526.5</v>
      </c>
      <c r="J7601" s="3">
        <f t="shared" si="118"/>
        <v>43749.023146006941</v>
      </c>
    </row>
    <row r="7602" spans="1:10" x14ac:dyDescent="0.25">
      <c r="A7602" s="5" t="s">
        <v>40841</v>
      </c>
      <c r="B7602" s="6">
        <v>393.75</v>
      </c>
      <c r="C7602" s="6">
        <v>20.478950000000001</v>
      </c>
      <c r="D7602" s="6">
        <v>72</v>
      </c>
      <c r="E7602" s="6">
        <v>0</v>
      </c>
      <c r="F7602" s="6">
        <v>0</v>
      </c>
      <c r="G7602" s="6">
        <v>6</v>
      </c>
      <c r="H7602" s="6" t="s">
        <v>40842</v>
      </c>
      <c r="I7602" s="6">
        <v>526.5</v>
      </c>
      <c r="J7602" s="2">
        <f t="shared" si="118"/>
        <v>43749.023218055554</v>
      </c>
    </row>
    <row r="7603" spans="1:10" x14ac:dyDescent="0.25">
      <c r="A7603" s="7" t="s">
        <v>40843</v>
      </c>
      <c r="B7603" s="8">
        <v>393.75</v>
      </c>
      <c r="C7603" s="8">
        <v>20.478950000000001</v>
      </c>
      <c r="D7603" s="8">
        <v>72</v>
      </c>
      <c r="E7603" s="8">
        <v>0</v>
      </c>
      <c r="F7603" s="8">
        <v>0</v>
      </c>
      <c r="G7603" s="8">
        <v>10</v>
      </c>
      <c r="H7603" s="8" t="s">
        <v>40844</v>
      </c>
      <c r="I7603" s="8">
        <v>526.6875</v>
      </c>
      <c r="J7603" s="3">
        <f t="shared" si="118"/>
        <v>43749.023289467594</v>
      </c>
    </row>
    <row r="7604" spans="1:10" x14ac:dyDescent="0.25">
      <c r="A7604" s="5" t="s">
        <v>40845</v>
      </c>
      <c r="B7604" s="6">
        <v>393.75</v>
      </c>
      <c r="C7604" s="6">
        <v>20.478950000000001</v>
      </c>
      <c r="D7604" s="6">
        <v>71</v>
      </c>
      <c r="E7604" s="6">
        <v>0</v>
      </c>
      <c r="F7604" s="6">
        <v>0</v>
      </c>
      <c r="G7604" s="6">
        <v>9</v>
      </c>
      <c r="H7604" s="6" t="s">
        <v>40846</v>
      </c>
      <c r="I7604" s="6">
        <v>526.6875</v>
      </c>
      <c r="J7604" s="2">
        <f t="shared" si="118"/>
        <v>43749.023360775456</v>
      </c>
    </row>
    <row r="7605" spans="1:10" x14ac:dyDescent="0.25">
      <c r="A7605" s="7" t="s">
        <v>40847</v>
      </c>
      <c r="B7605" s="8">
        <v>393.75</v>
      </c>
      <c r="C7605" s="8">
        <v>20.478950000000001</v>
      </c>
      <c r="D7605" s="8">
        <v>71</v>
      </c>
      <c r="E7605" s="8">
        <v>0</v>
      </c>
      <c r="F7605" s="8">
        <v>0</v>
      </c>
      <c r="G7605" s="8">
        <v>16</v>
      </c>
      <c r="H7605" s="8" t="s">
        <v>40848</v>
      </c>
      <c r="I7605" s="8">
        <v>526.6875</v>
      </c>
      <c r="J7605" s="3">
        <f t="shared" si="118"/>
        <v>43749.023432152775</v>
      </c>
    </row>
    <row r="7606" spans="1:10" x14ac:dyDescent="0.25">
      <c r="A7606" s="5" t="s">
        <v>40849</v>
      </c>
      <c r="B7606" s="6">
        <v>393.75</v>
      </c>
      <c r="C7606" s="6">
        <v>20.478950000000001</v>
      </c>
      <c r="D7606" s="6">
        <v>72</v>
      </c>
      <c r="E7606" s="6">
        <v>0</v>
      </c>
      <c r="F7606" s="6">
        <v>0</v>
      </c>
      <c r="G7606" s="6">
        <v>4</v>
      </c>
      <c r="H7606" s="6" t="s">
        <v>40850</v>
      </c>
      <c r="I7606" s="6">
        <v>526.6875</v>
      </c>
      <c r="J7606" s="2">
        <f t="shared" si="118"/>
        <v>43749.023515578701</v>
      </c>
    </row>
    <row r="7607" spans="1:10" x14ac:dyDescent="0.25">
      <c r="A7607" s="7" t="s">
        <v>40851</v>
      </c>
      <c r="B7607" s="8">
        <v>393.75</v>
      </c>
      <c r="C7607" s="8">
        <v>20.478950000000001</v>
      </c>
      <c r="D7607" s="8">
        <v>72</v>
      </c>
      <c r="E7607" s="8">
        <v>0</v>
      </c>
      <c r="F7607" s="8">
        <v>0</v>
      </c>
      <c r="G7607" s="8">
        <v>8</v>
      </c>
      <c r="H7607" s="8" t="s">
        <v>40852</v>
      </c>
      <c r="I7607" s="8">
        <v>526.6875</v>
      </c>
      <c r="J7607" s="3">
        <f t="shared" si="118"/>
        <v>43749.023587638883</v>
      </c>
    </row>
    <row r="7608" spans="1:10" x14ac:dyDescent="0.25">
      <c r="A7608" s="5" t="s">
        <v>40853</v>
      </c>
      <c r="B7608" s="6">
        <v>393.75</v>
      </c>
      <c r="C7608" s="6">
        <v>20.478950000000001</v>
      </c>
      <c r="D7608" s="6">
        <v>72</v>
      </c>
      <c r="E7608" s="6">
        <v>0</v>
      </c>
      <c r="F7608" s="6">
        <v>0</v>
      </c>
      <c r="G7608" s="6">
        <v>10</v>
      </c>
      <c r="H7608" s="6" t="s">
        <v>40854</v>
      </c>
      <c r="I7608" s="6">
        <v>526.6875</v>
      </c>
      <c r="J7608" s="2">
        <f t="shared" si="118"/>
        <v>43749.023658981481</v>
      </c>
    </row>
    <row r="7609" spans="1:10" x14ac:dyDescent="0.25">
      <c r="A7609" s="7" t="s">
        <v>40855</v>
      </c>
      <c r="B7609" s="8">
        <v>412.5</v>
      </c>
      <c r="C7609" s="8">
        <v>20.478950000000001</v>
      </c>
      <c r="D7609" s="8">
        <v>73</v>
      </c>
      <c r="E7609" s="8">
        <v>0</v>
      </c>
      <c r="F7609" s="8">
        <v>0</v>
      </c>
      <c r="G7609" s="8">
        <v>8</v>
      </c>
      <c r="H7609" s="8" t="s">
        <v>40856</v>
      </c>
      <c r="I7609" s="8">
        <v>532.3125</v>
      </c>
      <c r="J7609" s="3">
        <f t="shared" si="118"/>
        <v>43749.023742326382</v>
      </c>
    </row>
    <row r="7610" spans="1:10" x14ac:dyDescent="0.25">
      <c r="A7610" s="5" t="s">
        <v>40857</v>
      </c>
      <c r="B7610" s="6">
        <v>393.75</v>
      </c>
      <c r="C7610" s="6">
        <v>20.478950000000001</v>
      </c>
      <c r="D7610" s="6">
        <v>73</v>
      </c>
      <c r="E7610" s="6">
        <v>0</v>
      </c>
      <c r="F7610" s="6">
        <v>0</v>
      </c>
      <c r="G7610" s="6">
        <v>14</v>
      </c>
      <c r="H7610" s="6" t="s">
        <v>40858</v>
      </c>
      <c r="I7610" s="6">
        <v>526.6875</v>
      </c>
      <c r="J7610" s="2">
        <f t="shared" si="118"/>
        <v>43749.023813680549</v>
      </c>
    </row>
    <row r="7611" spans="1:10" x14ac:dyDescent="0.25">
      <c r="A7611" s="7" t="s">
        <v>40859</v>
      </c>
      <c r="B7611" s="8">
        <v>393.75</v>
      </c>
      <c r="C7611" s="8">
        <v>20.478950000000001</v>
      </c>
      <c r="D7611" s="8">
        <v>68</v>
      </c>
      <c r="E7611" s="8">
        <v>0</v>
      </c>
      <c r="F7611" s="8">
        <v>0</v>
      </c>
      <c r="G7611" s="8">
        <v>17</v>
      </c>
      <c r="H7611" s="8" t="s">
        <v>40860</v>
      </c>
      <c r="I7611" s="8">
        <v>526.6875</v>
      </c>
      <c r="J7611" s="3">
        <f t="shared" si="118"/>
        <v>43749.023885891198</v>
      </c>
    </row>
    <row r="7612" spans="1:10" x14ac:dyDescent="0.25">
      <c r="A7612" s="5" t="s">
        <v>40861</v>
      </c>
      <c r="B7612" s="6">
        <v>393.75</v>
      </c>
      <c r="C7612" s="6">
        <v>20.478950000000001</v>
      </c>
      <c r="D7612" s="6">
        <v>69</v>
      </c>
      <c r="E7612" s="6">
        <v>0</v>
      </c>
      <c r="F7612" s="6">
        <v>0</v>
      </c>
      <c r="G7612" s="6">
        <v>0</v>
      </c>
      <c r="H7612" s="6" t="s">
        <v>40862</v>
      </c>
      <c r="I7612" s="6">
        <v>526.6875</v>
      </c>
      <c r="J7612" s="2">
        <f t="shared" si="118"/>
        <v>43749.023956944446</v>
      </c>
    </row>
    <row r="7613" spans="1:10" x14ac:dyDescent="0.25">
      <c r="A7613" s="7" t="s">
        <v>40863</v>
      </c>
      <c r="B7613" s="8">
        <v>393.75</v>
      </c>
      <c r="C7613" s="8">
        <v>20.426300000000001</v>
      </c>
      <c r="D7613" s="8">
        <v>73</v>
      </c>
      <c r="E7613" s="8">
        <v>0</v>
      </c>
      <c r="F7613" s="8">
        <v>0</v>
      </c>
      <c r="G7613" s="8">
        <v>2</v>
      </c>
      <c r="H7613" s="8" t="s">
        <v>40864</v>
      </c>
      <c r="I7613" s="8">
        <v>526.6875</v>
      </c>
      <c r="J7613" s="3">
        <f t="shared" si="118"/>
        <v>43749.024028414351</v>
      </c>
    </row>
    <row r="7614" spans="1:10" x14ac:dyDescent="0.25">
      <c r="A7614" s="5" t="s">
        <v>40865</v>
      </c>
      <c r="B7614" s="6">
        <v>393.75</v>
      </c>
      <c r="C7614" s="6">
        <v>20.478950000000001</v>
      </c>
      <c r="D7614" s="6">
        <v>77</v>
      </c>
      <c r="E7614" s="6">
        <v>0</v>
      </c>
      <c r="F7614" s="6">
        <v>0</v>
      </c>
      <c r="G7614" s="6">
        <v>0</v>
      </c>
      <c r="H7614" s="6" t="s">
        <v>40866</v>
      </c>
      <c r="I7614" s="6">
        <v>526.6875</v>
      </c>
      <c r="J7614" s="2">
        <f t="shared" si="118"/>
        <v>43749.024100127317</v>
      </c>
    </row>
    <row r="7615" spans="1:10" x14ac:dyDescent="0.25">
      <c r="A7615" s="7" t="s">
        <v>40867</v>
      </c>
      <c r="B7615" s="8">
        <v>393.75</v>
      </c>
      <c r="C7615" s="8">
        <v>20.478950000000001</v>
      </c>
      <c r="D7615" s="8">
        <v>76</v>
      </c>
      <c r="E7615" s="8">
        <v>0</v>
      </c>
      <c r="F7615" s="8">
        <v>0</v>
      </c>
      <c r="G7615" s="8">
        <v>3</v>
      </c>
      <c r="H7615" s="8" t="s">
        <v>40868</v>
      </c>
      <c r="I7615" s="8">
        <v>526.6875</v>
      </c>
      <c r="J7615" s="3">
        <f t="shared" si="118"/>
        <v>43749.024172118057</v>
      </c>
    </row>
    <row r="7616" spans="1:10" x14ac:dyDescent="0.25">
      <c r="A7616" s="5" t="s">
        <v>40869</v>
      </c>
      <c r="B7616" s="6">
        <v>393.75</v>
      </c>
      <c r="C7616" s="6">
        <v>20.478950000000001</v>
      </c>
      <c r="D7616" s="6">
        <v>76</v>
      </c>
      <c r="E7616" s="6">
        <v>0</v>
      </c>
      <c r="F7616" s="6">
        <v>0</v>
      </c>
      <c r="G7616" s="6">
        <v>1</v>
      </c>
      <c r="H7616" s="6" t="s">
        <v>40870</v>
      </c>
      <c r="I7616" s="6">
        <v>526.6875</v>
      </c>
      <c r="J7616" s="2">
        <f t="shared" si="118"/>
        <v>43749.02424363426</v>
      </c>
    </row>
    <row r="7617" spans="1:10" x14ac:dyDescent="0.25">
      <c r="A7617" s="7" t="s">
        <v>40871</v>
      </c>
      <c r="B7617" s="8">
        <v>412.5</v>
      </c>
      <c r="C7617" s="8">
        <v>20.478950000000001</v>
      </c>
      <c r="D7617" s="8">
        <v>76</v>
      </c>
      <c r="E7617" s="8">
        <v>0</v>
      </c>
      <c r="F7617" s="8">
        <v>0</v>
      </c>
      <c r="G7617" s="8">
        <v>15</v>
      </c>
      <c r="H7617" s="8" t="s">
        <v>40872</v>
      </c>
      <c r="I7617" s="8">
        <v>532.125</v>
      </c>
      <c r="J7617" s="3">
        <f t="shared" si="118"/>
        <v>43749.024314930553</v>
      </c>
    </row>
    <row r="7618" spans="1:10" x14ac:dyDescent="0.25">
      <c r="A7618" s="5" t="s">
        <v>40873</v>
      </c>
      <c r="B7618" s="6">
        <v>393.75</v>
      </c>
      <c r="C7618" s="6">
        <v>20.478950000000001</v>
      </c>
      <c r="D7618" s="6">
        <v>76</v>
      </c>
      <c r="E7618" s="6">
        <v>0</v>
      </c>
      <c r="F7618" s="6">
        <v>0</v>
      </c>
      <c r="G7618" s="6">
        <v>5</v>
      </c>
      <c r="H7618" s="6" t="s">
        <v>40874</v>
      </c>
      <c r="I7618" s="6">
        <v>526.6875</v>
      </c>
      <c r="J7618" s="2">
        <f t="shared" ref="J7618:J7681" si="119">(H7618/86400000)+25569+(7/24)</f>
        <v>43749.0243993287</v>
      </c>
    </row>
    <row r="7619" spans="1:10" x14ac:dyDescent="0.25">
      <c r="A7619" s="7" t="s">
        <v>40875</v>
      </c>
      <c r="B7619" s="8">
        <v>393.75</v>
      </c>
      <c r="C7619" s="8">
        <v>20.478950000000001</v>
      </c>
      <c r="D7619" s="8">
        <v>76</v>
      </c>
      <c r="E7619" s="8">
        <v>0</v>
      </c>
      <c r="F7619" s="8">
        <v>0</v>
      </c>
      <c r="G7619" s="8">
        <v>7</v>
      </c>
      <c r="H7619" s="8" t="s">
        <v>40876</v>
      </c>
      <c r="I7619" s="8">
        <v>526.6875</v>
      </c>
      <c r="J7619" s="3">
        <f t="shared" si="119"/>
        <v>43749.024469641205</v>
      </c>
    </row>
    <row r="7620" spans="1:10" x14ac:dyDescent="0.25">
      <c r="A7620" s="5" t="s">
        <v>40877</v>
      </c>
      <c r="B7620" s="6">
        <v>393.75</v>
      </c>
      <c r="C7620" s="6">
        <v>20.478950000000001</v>
      </c>
      <c r="D7620" s="6">
        <v>75</v>
      </c>
      <c r="E7620" s="6">
        <v>0</v>
      </c>
      <c r="F7620" s="6">
        <v>0</v>
      </c>
      <c r="G7620" s="6">
        <v>8</v>
      </c>
      <c r="H7620" s="6" t="s">
        <v>40878</v>
      </c>
      <c r="I7620" s="6">
        <v>526.6875</v>
      </c>
      <c r="J7620" s="2">
        <f t="shared" si="119"/>
        <v>43749.02454741898</v>
      </c>
    </row>
    <row r="7621" spans="1:10" x14ac:dyDescent="0.25">
      <c r="A7621" s="7" t="s">
        <v>40879</v>
      </c>
      <c r="B7621" s="8">
        <v>393.75</v>
      </c>
      <c r="C7621" s="8">
        <v>20.478950000000001</v>
      </c>
      <c r="D7621" s="8">
        <v>75</v>
      </c>
      <c r="E7621" s="8">
        <v>0</v>
      </c>
      <c r="F7621" s="8">
        <v>0</v>
      </c>
      <c r="G7621" s="8">
        <v>6</v>
      </c>
      <c r="H7621" s="8" t="s">
        <v>40880</v>
      </c>
      <c r="I7621" s="8">
        <v>526.6875</v>
      </c>
      <c r="J7621" s="3">
        <f t="shared" si="119"/>
        <v>43749.024625092592</v>
      </c>
    </row>
    <row r="7622" spans="1:10" x14ac:dyDescent="0.25">
      <c r="A7622" s="5" t="s">
        <v>40881</v>
      </c>
      <c r="B7622" s="6">
        <v>393.75</v>
      </c>
      <c r="C7622" s="6">
        <v>20.478950000000001</v>
      </c>
      <c r="D7622" s="6">
        <v>72</v>
      </c>
      <c r="E7622" s="6">
        <v>0</v>
      </c>
      <c r="F7622" s="6">
        <v>0</v>
      </c>
      <c r="G7622" s="6">
        <v>13</v>
      </c>
      <c r="H7622" s="6" t="s">
        <v>40882</v>
      </c>
      <c r="I7622" s="6">
        <v>526.6875</v>
      </c>
      <c r="J7622" s="2">
        <f t="shared" si="119"/>
        <v>43749.024696365734</v>
      </c>
    </row>
    <row r="7623" spans="1:10" x14ac:dyDescent="0.25">
      <c r="A7623" s="7" t="s">
        <v>40883</v>
      </c>
      <c r="B7623" s="8">
        <v>390.625</v>
      </c>
      <c r="C7623" s="8">
        <v>20.478950000000001</v>
      </c>
      <c r="D7623" s="8">
        <v>73</v>
      </c>
      <c r="E7623" s="8">
        <v>0</v>
      </c>
      <c r="F7623" s="8">
        <v>0</v>
      </c>
      <c r="G7623" s="8">
        <v>12</v>
      </c>
      <c r="H7623" s="8" t="s">
        <v>40884</v>
      </c>
      <c r="I7623" s="8">
        <v>525.75</v>
      </c>
      <c r="J7623" s="3">
        <f t="shared" si="119"/>
        <v>43749.024768530093</v>
      </c>
    </row>
    <row r="7624" spans="1:10" x14ac:dyDescent="0.25">
      <c r="A7624" s="5" t="s">
        <v>40885</v>
      </c>
      <c r="B7624" s="6">
        <v>412.5</v>
      </c>
      <c r="C7624" s="6">
        <v>20.478950000000001</v>
      </c>
      <c r="D7624" s="6">
        <v>72</v>
      </c>
      <c r="E7624" s="6">
        <v>0</v>
      </c>
      <c r="F7624" s="6">
        <v>0</v>
      </c>
      <c r="G7624" s="6">
        <v>7</v>
      </c>
      <c r="H7624" s="6" t="s">
        <v>40886</v>
      </c>
      <c r="I7624" s="6">
        <v>532.3125</v>
      </c>
      <c r="J7624" s="2">
        <f t="shared" si="119"/>
        <v>43749.024839895828</v>
      </c>
    </row>
    <row r="7625" spans="1:10" x14ac:dyDescent="0.25">
      <c r="A7625" s="7" t="s">
        <v>40887</v>
      </c>
      <c r="B7625" s="8">
        <v>393.75</v>
      </c>
      <c r="C7625" s="8">
        <v>20.478950000000001</v>
      </c>
      <c r="D7625" s="8">
        <v>72</v>
      </c>
      <c r="E7625" s="8">
        <v>0</v>
      </c>
      <c r="F7625" s="8">
        <v>0</v>
      </c>
      <c r="G7625" s="8">
        <v>10</v>
      </c>
      <c r="H7625" s="8" t="s">
        <v>40888</v>
      </c>
      <c r="I7625" s="8">
        <v>526.6875</v>
      </c>
      <c r="J7625" s="3">
        <f t="shared" si="119"/>
        <v>43749.024911203705</v>
      </c>
    </row>
    <row r="7626" spans="1:10" x14ac:dyDescent="0.25">
      <c r="A7626" s="5" t="s">
        <v>40889</v>
      </c>
      <c r="B7626" s="6">
        <v>393.75</v>
      </c>
      <c r="C7626" s="6">
        <v>20.478950000000001</v>
      </c>
      <c r="D7626" s="6">
        <v>72</v>
      </c>
      <c r="E7626" s="6">
        <v>0</v>
      </c>
      <c r="F7626" s="6">
        <v>0</v>
      </c>
      <c r="G7626" s="6">
        <v>7</v>
      </c>
      <c r="H7626" s="6" t="s">
        <v>40890</v>
      </c>
      <c r="I7626" s="6">
        <v>526.5</v>
      </c>
      <c r="J7626" s="2">
        <f t="shared" si="119"/>
        <v>43749.024982488423</v>
      </c>
    </row>
    <row r="7627" spans="1:10" x14ac:dyDescent="0.25">
      <c r="A7627" s="7" t="s">
        <v>40891</v>
      </c>
      <c r="B7627" s="8">
        <v>393.75</v>
      </c>
      <c r="C7627" s="8">
        <v>20.478950000000001</v>
      </c>
      <c r="D7627" s="8">
        <v>72</v>
      </c>
      <c r="E7627" s="8">
        <v>0</v>
      </c>
      <c r="F7627" s="8">
        <v>0</v>
      </c>
      <c r="G7627" s="8">
        <v>12</v>
      </c>
      <c r="H7627" s="8" t="s">
        <v>40892</v>
      </c>
      <c r="I7627" s="8">
        <v>526.6875</v>
      </c>
      <c r="J7627" s="3">
        <f t="shared" si="119"/>
        <v>43749.025054756938</v>
      </c>
    </row>
    <row r="7628" spans="1:10" x14ac:dyDescent="0.25">
      <c r="A7628" s="5" t="s">
        <v>40893</v>
      </c>
      <c r="B7628" s="6">
        <v>421.875</v>
      </c>
      <c r="C7628" s="6">
        <v>20.478950000000001</v>
      </c>
      <c r="D7628" s="6">
        <v>74</v>
      </c>
      <c r="E7628" s="6">
        <v>0</v>
      </c>
      <c r="F7628" s="6">
        <v>0</v>
      </c>
      <c r="G7628" s="6">
        <v>4</v>
      </c>
      <c r="H7628" s="6" t="s">
        <v>40894</v>
      </c>
      <c r="I7628" s="6">
        <v>535.5</v>
      </c>
      <c r="J7628" s="2">
        <f t="shared" si="119"/>
        <v>43749.025125613429</v>
      </c>
    </row>
    <row r="7629" spans="1:10" x14ac:dyDescent="0.25">
      <c r="A7629" s="7" t="s">
        <v>40895</v>
      </c>
      <c r="B7629" s="8">
        <v>393.75</v>
      </c>
      <c r="C7629" s="8">
        <v>20.478950000000001</v>
      </c>
      <c r="D7629" s="8">
        <v>74</v>
      </c>
      <c r="E7629" s="8">
        <v>0</v>
      </c>
      <c r="F7629" s="8">
        <v>0</v>
      </c>
      <c r="G7629" s="8">
        <v>13</v>
      </c>
      <c r="H7629" s="8" t="s">
        <v>40896</v>
      </c>
      <c r="I7629" s="8">
        <v>526.6875</v>
      </c>
      <c r="J7629" s="3">
        <f t="shared" si="119"/>
        <v>43749.025197314812</v>
      </c>
    </row>
    <row r="7630" spans="1:10" x14ac:dyDescent="0.25">
      <c r="A7630" s="5" t="s">
        <v>40897</v>
      </c>
      <c r="B7630" s="6">
        <v>393.75</v>
      </c>
      <c r="C7630" s="6">
        <v>20.478950000000001</v>
      </c>
      <c r="D7630" s="6">
        <v>75</v>
      </c>
      <c r="E7630" s="6">
        <v>0</v>
      </c>
      <c r="F7630" s="6">
        <v>0</v>
      </c>
      <c r="G7630" s="6">
        <v>8</v>
      </c>
      <c r="H7630" s="6" t="s">
        <v>40898</v>
      </c>
      <c r="I7630" s="6">
        <v>526.6875</v>
      </c>
      <c r="J7630" s="2">
        <f t="shared" si="119"/>
        <v>43749.025269363425</v>
      </c>
    </row>
    <row r="7631" spans="1:10" x14ac:dyDescent="0.25">
      <c r="A7631" s="7" t="s">
        <v>40899</v>
      </c>
      <c r="B7631" s="8">
        <v>393.75</v>
      </c>
      <c r="C7631" s="8">
        <v>20.478950000000001</v>
      </c>
      <c r="D7631" s="8">
        <v>75</v>
      </c>
      <c r="E7631" s="8">
        <v>0</v>
      </c>
      <c r="F7631" s="8">
        <v>0</v>
      </c>
      <c r="G7631" s="8">
        <v>7</v>
      </c>
      <c r="H7631" s="8" t="s">
        <v>40900</v>
      </c>
      <c r="I7631" s="8">
        <v>526.6875</v>
      </c>
      <c r="J7631" s="3">
        <f t="shared" si="119"/>
        <v>43749.02534083333</v>
      </c>
    </row>
    <row r="7632" spans="1:10" x14ac:dyDescent="0.25">
      <c r="A7632" s="5" t="s">
        <v>40901</v>
      </c>
      <c r="B7632" s="6">
        <v>393.75</v>
      </c>
      <c r="C7632" s="6">
        <v>20.478950000000001</v>
      </c>
      <c r="D7632" s="6">
        <v>75</v>
      </c>
      <c r="E7632" s="6">
        <v>0</v>
      </c>
      <c r="F7632" s="6">
        <v>0</v>
      </c>
      <c r="G7632" s="6">
        <v>1</v>
      </c>
      <c r="H7632" s="6" t="s">
        <v>40902</v>
      </c>
      <c r="I7632" s="6">
        <v>526.6875</v>
      </c>
      <c r="J7632" s="2">
        <f t="shared" si="119"/>
        <v>43749.0254121412</v>
      </c>
    </row>
    <row r="7633" spans="1:10" x14ac:dyDescent="0.25">
      <c r="A7633" s="7" t="s">
        <v>40903</v>
      </c>
      <c r="B7633" s="8">
        <v>393.75</v>
      </c>
      <c r="C7633" s="8">
        <v>20.478950000000001</v>
      </c>
      <c r="D7633" s="8">
        <v>75</v>
      </c>
      <c r="E7633" s="8">
        <v>0</v>
      </c>
      <c r="F7633" s="8">
        <v>0</v>
      </c>
      <c r="G7633" s="8">
        <v>2</v>
      </c>
      <c r="H7633" s="8" t="s">
        <v>40904</v>
      </c>
      <c r="I7633" s="8">
        <v>526.6875</v>
      </c>
      <c r="J7633" s="3">
        <f t="shared" si="119"/>
        <v>43749.02548340278</v>
      </c>
    </row>
    <row r="7634" spans="1:10" x14ac:dyDescent="0.25">
      <c r="A7634" s="5" t="s">
        <v>40905</v>
      </c>
      <c r="B7634" s="6">
        <v>393.75</v>
      </c>
      <c r="C7634" s="6">
        <v>20.478950000000001</v>
      </c>
      <c r="D7634" s="6">
        <v>75</v>
      </c>
      <c r="E7634" s="6">
        <v>0</v>
      </c>
      <c r="F7634" s="6">
        <v>0</v>
      </c>
      <c r="G7634" s="6">
        <v>0</v>
      </c>
      <c r="H7634" s="6" t="s">
        <v>40906</v>
      </c>
      <c r="I7634" s="6">
        <v>526.5</v>
      </c>
      <c r="J7634" s="2">
        <f t="shared" si="119"/>
        <v>43749.025578796289</v>
      </c>
    </row>
    <row r="7635" spans="1:10" x14ac:dyDescent="0.25">
      <c r="A7635" s="7" t="s">
        <v>40907</v>
      </c>
      <c r="B7635" s="8">
        <v>412.5</v>
      </c>
      <c r="C7635" s="8">
        <v>20.478950000000001</v>
      </c>
      <c r="D7635" s="8">
        <v>74</v>
      </c>
      <c r="E7635" s="8">
        <v>0</v>
      </c>
      <c r="F7635" s="8">
        <v>0</v>
      </c>
      <c r="G7635" s="8">
        <v>16</v>
      </c>
      <c r="H7635" s="8" t="s">
        <v>40908</v>
      </c>
      <c r="I7635" s="8">
        <v>532.6875</v>
      </c>
      <c r="J7635" s="3">
        <f t="shared" si="119"/>
        <v>43749.025650937496</v>
      </c>
    </row>
    <row r="7636" spans="1:10" x14ac:dyDescent="0.25">
      <c r="A7636" s="5" t="s">
        <v>40909</v>
      </c>
      <c r="B7636" s="6">
        <v>393.75</v>
      </c>
      <c r="C7636" s="6">
        <v>20.478950000000001</v>
      </c>
      <c r="D7636" s="6">
        <v>74</v>
      </c>
      <c r="E7636" s="6">
        <v>0</v>
      </c>
      <c r="F7636" s="6">
        <v>0</v>
      </c>
      <c r="G7636" s="6">
        <v>4</v>
      </c>
      <c r="H7636" s="6" t="s">
        <v>40910</v>
      </c>
      <c r="I7636" s="6">
        <v>526.6875</v>
      </c>
      <c r="J7636" s="2">
        <f t="shared" si="119"/>
        <v>43749.025722291663</v>
      </c>
    </row>
    <row r="7637" spans="1:10" x14ac:dyDescent="0.25">
      <c r="A7637" s="7" t="s">
        <v>40911</v>
      </c>
      <c r="B7637" s="8">
        <v>393.75</v>
      </c>
      <c r="C7637" s="8">
        <v>20.426300000000001</v>
      </c>
      <c r="D7637" s="8">
        <v>74</v>
      </c>
      <c r="E7637" s="8">
        <v>0</v>
      </c>
      <c r="F7637" s="8">
        <v>0</v>
      </c>
      <c r="G7637" s="8">
        <v>5</v>
      </c>
      <c r="H7637" s="8" t="s">
        <v>40912</v>
      </c>
      <c r="I7637" s="8">
        <v>526.6875</v>
      </c>
      <c r="J7637" s="3">
        <f t="shared" si="119"/>
        <v>43749.025793587956</v>
      </c>
    </row>
    <row r="7638" spans="1:10" x14ac:dyDescent="0.25">
      <c r="A7638" s="5" t="s">
        <v>40913</v>
      </c>
      <c r="B7638" s="6">
        <v>393.75</v>
      </c>
      <c r="C7638" s="6">
        <v>20.478950000000001</v>
      </c>
      <c r="D7638" s="6">
        <v>74</v>
      </c>
      <c r="E7638" s="6">
        <v>0</v>
      </c>
      <c r="F7638" s="6">
        <v>0</v>
      </c>
      <c r="G7638" s="6">
        <v>6</v>
      </c>
      <c r="H7638" s="6" t="s">
        <v>40914</v>
      </c>
      <c r="I7638" s="6">
        <v>526.6875</v>
      </c>
      <c r="J7638" s="2">
        <f t="shared" si="119"/>
        <v>43749.025865601849</v>
      </c>
    </row>
    <row r="7639" spans="1:10" x14ac:dyDescent="0.25">
      <c r="A7639" s="7" t="s">
        <v>40915</v>
      </c>
      <c r="B7639" s="8">
        <v>393.75</v>
      </c>
      <c r="C7639" s="8">
        <v>20.426300000000001</v>
      </c>
      <c r="D7639" s="8">
        <v>73</v>
      </c>
      <c r="E7639" s="8">
        <v>0</v>
      </c>
      <c r="F7639" s="8">
        <v>0</v>
      </c>
      <c r="G7639" s="8">
        <v>0</v>
      </c>
      <c r="H7639" s="8" t="s">
        <v>40916</v>
      </c>
      <c r="I7639" s="8">
        <v>526.5</v>
      </c>
      <c r="J7639" s="3">
        <f t="shared" si="119"/>
        <v>43749.025937071761</v>
      </c>
    </row>
    <row r="7640" spans="1:10" x14ac:dyDescent="0.25">
      <c r="A7640" s="5" t="s">
        <v>40917</v>
      </c>
      <c r="B7640" s="6">
        <v>393.75</v>
      </c>
      <c r="C7640" s="6">
        <v>20.478950000000001</v>
      </c>
      <c r="D7640" s="6">
        <v>74</v>
      </c>
      <c r="E7640" s="6">
        <v>0</v>
      </c>
      <c r="F7640" s="6">
        <v>0</v>
      </c>
      <c r="G7640" s="6">
        <v>6</v>
      </c>
      <c r="H7640" s="6" t="s">
        <v>40918</v>
      </c>
      <c r="I7640" s="6">
        <v>526.6875</v>
      </c>
      <c r="J7640" s="2">
        <f t="shared" si="119"/>
        <v>43749.026008425928</v>
      </c>
    </row>
    <row r="7641" spans="1:10" x14ac:dyDescent="0.25">
      <c r="A7641" s="7" t="s">
        <v>40919</v>
      </c>
      <c r="B7641" s="8">
        <v>393.75</v>
      </c>
      <c r="C7641" s="8">
        <v>20.478950000000001</v>
      </c>
      <c r="D7641" s="8">
        <v>73</v>
      </c>
      <c r="E7641" s="8">
        <v>0</v>
      </c>
      <c r="F7641" s="8">
        <v>0</v>
      </c>
      <c r="G7641" s="8">
        <v>6</v>
      </c>
      <c r="H7641" s="8" t="s">
        <v>40920</v>
      </c>
      <c r="I7641" s="8">
        <v>526.6875</v>
      </c>
      <c r="J7641" s="3">
        <f t="shared" si="119"/>
        <v>43749.02607969907</v>
      </c>
    </row>
    <row r="7642" spans="1:10" x14ac:dyDescent="0.25">
      <c r="A7642" s="5" t="s">
        <v>40921</v>
      </c>
      <c r="B7642" s="6">
        <v>393.75</v>
      </c>
      <c r="C7642" s="6">
        <v>20.478950000000001</v>
      </c>
      <c r="D7642" s="6">
        <v>73</v>
      </c>
      <c r="E7642" s="6">
        <v>0</v>
      </c>
      <c r="F7642" s="6">
        <v>0</v>
      </c>
      <c r="G7642" s="6">
        <v>7</v>
      </c>
      <c r="H7642" s="6" t="s">
        <v>40922</v>
      </c>
      <c r="I7642" s="6">
        <v>526.6875</v>
      </c>
      <c r="J7642" s="2">
        <f t="shared" si="119"/>
        <v>43749.026151944439</v>
      </c>
    </row>
    <row r="7643" spans="1:10" x14ac:dyDescent="0.25">
      <c r="A7643" s="7" t="s">
        <v>40923</v>
      </c>
      <c r="B7643" s="8">
        <v>393.75</v>
      </c>
      <c r="C7643" s="8">
        <v>20.478950000000001</v>
      </c>
      <c r="D7643" s="8">
        <v>73</v>
      </c>
      <c r="E7643" s="8">
        <v>0</v>
      </c>
      <c r="F7643" s="8">
        <v>0</v>
      </c>
      <c r="G7643" s="8">
        <v>2</v>
      </c>
      <c r="H7643" s="8" t="s">
        <v>40924</v>
      </c>
      <c r="I7643" s="8">
        <v>526.6875</v>
      </c>
      <c r="J7643" s="3">
        <f t="shared" si="119"/>
        <v>43749.026223229164</v>
      </c>
    </row>
    <row r="7644" spans="1:10" x14ac:dyDescent="0.25">
      <c r="A7644" s="5" t="s">
        <v>40925</v>
      </c>
      <c r="B7644" s="6">
        <v>393.75</v>
      </c>
      <c r="C7644" s="6">
        <v>20.426300000000001</v>
      </c>
      <c r="D7644" s="6">
        <v>72</v>
      </c>
      <c r="E7644" s="6">
        <v>0</v>
      </c>
      <c r="F7644" s="6">
        <v>0</v>
      </c>
      <c r="G7644" s="6">
        <v>14</v>
      </c>
      <c r="H7644" s="6" t="s">
        <v>40926</v>
      </c>
      <c r="I7644" s="6">
        <v>526.6875</v>
      </c>
      <c r="J7644" s="2">
        <f t="shared" si="119"/>
        <v>43749.026306574073</v>
      </c>
    </row>
    <row r="7645" spans="1:10" x14ac:dyDescent="0.25">
      <c r="A7645" s="7" t="s">
        <v>40927</v>
      </c>
      <c r="B7645" s="8">
        <v>393.75</v>
      </c>
      <c r="C7645" s="8">
        <v>20.478950000000001</v>
      </c>
      <c r="D7645" s="8">
        <v>72</v>
      </c>
      <c r="E7645" s="8">
        <v>0</v>
      </c>
      <c r="F7645" s="8">
        <v>0</v>
      </c>
      <c r="G7645" s="8">
        <v>2</v>
      </c>
      <c r="H7645" s="8" t="s">
        <v>40928</v>
      </c>
      <c r="I7645" s="8">
        <v>526.6875</v>
      </c>
      <c r="J7645" s="3">
        <f t="shared" si="119"/>
        <v>43749.02637792824</v>
      </c>
    </row>
    <row r="7646" spans="1:10" x14ac:dyDescent="0.25">
      <c r="A7646" s="5" t="s">
        <v>40929</v>
      </c>
      <c r="B7646" s="6">
        <v>393.75</v>
      </c>
      <c r="C7646" s="6">
        <v>20.478950000000001</v>
      </c>
      <c r="D7646" s="6">
        <v>72</v>
      </c>
      <c r="E7646" s="6">
        <v>0</v>
      </c>
      <c r="F7646" s="6">
        <v>0</v>
      </c>
      <c r="G7646" s="6">
        <v>7</v>
      </c>
      <c r="H7646" s="6" t="s">
        <v>40930</v>
      </c>
      <c r="I7646" s="6">
        <v>526.6875</v>
      </c>
      <c r="J7646" s="2">
        <f t="shared" si="119"/>
        <v>43749.026450069439</v>
      </c>
    </row>
    <row r="7647" spans="1:10" x14ac:dyDescent="0.25">
      <c r="A7647" s="7" t="s">
        <v>40931</v>
      </c>
      <c r="B7647" s="8">
        <v>415.625</v>
      </c>
      <c r="C7647" s="8">
        <v>20.478950000000001</v>
      </c>
      <c r="D7647" s="8">
        <v>71</v>
      </c>
      <c r="E7647" s="8">
        <v>0</v>
      </c>
      <c r="F7647" s="8">
        <v>0</v>
      </c>
      <c r="G7647" s="8">
        <v>4</v>
      </c>
      <c r="H7647" s="8" t="s">
        <v>40932</v>
      </c>
      <c r="I7647" s="8">
        <v>533.625</v>
      </c>
      <c r="J7647" s="3">
        <f t="shared" si="119"/>
        <v>43749.026532893513</v>
      </c>
    </row>
    <row r="7648" spans="1:10" x14ac:dyDescent="0.25">
      <c r="A7648" s="5" t="s">
        <v>40933</v>
      </c>
      <c r="B7648" s="6">
        <v>393.75</v>
      </c>
      <c r="C7648" s="6">
        <v>20.478950000000001</v>
      </c>
      <c r="D7648" s="6">
        <v>70</v>
      </c>
      <c r="E7648" s="6">
        <v>0</v>
      </c>
      <c r="F7648" s="6">
        <v>0</v>
      </c>
      <c r="G7648" s="6">
        <v>13</v>
      </c>
      <c r="H7648" s="6" t="s">
        <v>40934</v>
      </c>
      <c r="I7648" s="6">
        <v>526.6875</v>
      </c>
      <c r="J7648" s="2">
        <f t="shared" si="119"/>
        <v>43749.026604699073</v>
      </c>
    </row>
    <row r="7649" spans="1:10" x14ac:dyDescent="0.25">
      <c r="A7649" s="7" t="s">
        <v>40935</v>
      </c>
      <c r="B7649" s="8">
        <v>393.75</v>
      </c>
      <c r="C7649" s="8">
        <v>20.478950000000001</v>
      </c>
      <c r="D7649" s="8">
        <v>71</v>
      </c>
      <c r="E7649" s="8">
        <v>0</v>
      </c>
      <c r="F7649" s="8">
        <v>0</v>
      </c>
      <c r="G7649" s="8">
        <v>0</v>
      </c>
      <c r="H7649" s="8" t="s">
        <v>40936</v>
      </c>
      <c r="I7649" s="8">
        <v>526.6875</v>
      </c>
      <c r="J7649" s="3">
        <f t="shared" si="119"/>
        <v>43749.026676122681</v>
      </c>
    </row>
    <row r="7650" spans="1:10" x14ac:dyDescent="0.25">
      <c r="A7650" s="5" t="s">
        <v>40937</v>
      </c>
      <c r="B7650" s="6">
        <v>393.75</v>
      </c>
      <c r="C7650" s="6">
        <v>20.478950000000001</v>
      </c>
      <c r="D7650" s="6">
        <v>71</v>
      </c>
      <c r="E7650" s="6">
        <v>0</v>
      </c>
      <c r="F7650" s="6">
        <v>0</v>
      </c>
      <c r="G7650" s="6">
        <v>15</v>
      </c>
      <c r="H7650" s="6" t="s">
        <v>40938</v>
      </c>
      <c r="I7650" s="6">
        <v>526.6875</v>
      </c>
      <c r="J7650" s="2">
        <f t="shared" si="119"/>
        <v>43749.026748240743</v>
      </c>
    </row>
    <row r="7651" spans="1:10" x14ac:dyDescent="0.25">
      <c r="A7651" s="7" t="s">
        <v>40939</v>
      </c>
      <c r="B7651" s="8">
        <v>393.75</v>
      </c>
      <c r="C7651" s="8">
        <v>20.478950000000001</v>
      </c>
      <c r="D7651" s="8">
        <v>71</v>
      </c>
      <c r="E7651" s="8">
        <v>0</v>
      </c>
      <c r="F7651" s="8">
        <v>0</v>
      </c>
      <c r="G7651" s="8">
        <v>16</v>
      </c>
      <c r="H7651" s="8" t="s">
        <v>40940</v>
      </c>
      <c r="I7651" s="8">
        <v>526.6875</v>
      </c>
      <c r="J7651" s="3">
        <f t="shared" si="119"/>
        <v>43749.026831643518</v>
      </c>
    </row>
    <row r="7652" spans="1:10" x14ac:dyDescent="0.25">
      <c r="A7652" s="5" t="s">
        <v>40941</v>
      </c>
      <c r="B7652" s="6">
        <v>393.75</v>
      </c>
      <c r="C7652" s="6">
        <v>20.478950000000001</v>
      </c>
      <c r="D7652" s="6">
        <v>71</v>
      </c>
      <c r="E7652" s="6">
        <v>0</v>
      </c>
      <c r="F7652" s="6">
        <v>0</v>
      </c>
      <c r="G7652" s="6">
        <v>0</v>
      </c>
      <c r="H7652" s="6" t="s">
        <v>40942</v>
      </c>
      <c r="I7652" s="6">
        <v>526.5</v>
      </c>
      <c r="J7652" s="2">
        <f t="shared" si="119"/>
        <v>43749.026926979168</v>
      </c>
    </row>
    <row r="7653" spans="1:10" x14ac:dyDescent="0.25">
      <c r="A7653" s="7" t="s">
        <v>40943</v>
      </c>
      <c r="B7653" s="8">
        <v>393.75</v>
      </c>
      <c r="C7653" s="8">
        <v>20.478950000000001</v>
      </c>
      <c r="D7653" s="8">
        <v>72</v>
      </c>
      <c r="E7653" s="8">
        <v>0</v>
      </c>
      <c r="F7653" s="8">
        <v>0</v>
      </c>
      <c r="G7653" s="8">
        <v>11</v>
      </c>
      <c r="H7653" s="8" t="s">
        <v>40944</v>
      </c>
      <c r="I7653" s="8">
        <v>526.6875</v>
      </c>
      <c r="J7653" s="3">
        <f t="shared" si="119"/>
        <v>43749.026998240741</v>
      </c>
    </row>
    <row r="7654" spans="1:10" x14ac:dyDescent="0.25">
      <c r="A7654" s="5" t="s">
        <v>40945</v>
      </c>
      <c r="B7654" s="6">
        <v>393.75</v>
      </c>
      <c r="C7654" s="6">
        <v>20.478950000000001</v>
      </c>
      <c r="D7654" s="6">
        <v>73</v>
      </c>
      <c r="E7654" s="6">
        <v>0</v>
      </c>
      <c r="F7654" s="6">
        <v>0</v>
      </c>
      <c r="G7654" s="6">
        <v>16</v>
      </c>
      <c r="H7654" s="6" t="s">
        <v>40946</v>
      </c>
      <c r="I7654" s="6">
        <v>526.6875</v>
      </c>
      <c r="J7654" s="2">
        <f t="shared" si="119"/>
        <v>43749.027069618052</v>
      </c>
    </row>
    <row r="7655" spans="1:10" x14ac:dyDescent="0.25">
      <c r="A7655" s="7" t="s">
        <v>40947</v>
      </c>
      <c r="B7655" s="8">
        <v>393.75</v>
      </c>
      <c r="C7655" s="8">
        <v>20.478950000000001</v>
      </c>
      <c r="D7655" s="8">
        <v>73</v>
      </c>
      <c r="E7655" s="8">
        <v>0</v>
      </c>
      <c r="F7655" s="8">
        <v>0</v>
      </c>
      <c r="G7655" s="8">
        <v>6</v>
      </c>
      <c r="H7655" s="8" t="s">
        <v>40948</v>
      </c>
      <c r="I7655" s="8">
        <v>526.6875</v>
      </c>
      <c r="J7655" s="3">
        <f t="shared" si="119"/>
        <v>43749.027141180552</v>
      </c>
    </row>
    <row r="7656" spans="1:10" x14ac:dyDescent="0.25">
      <c r="A7656" s="5" t="s">
        <v>40949</v>
      </c>
      <c r="B7656" s="6">
        <v>393.75</v>
      </c>
      <c r="C7656" s="6">
        <v>20.478950000000001</v>
      </c>
      <c r="D7656" s="6">
        <v>73</v>
      </c>
      <c r="E7656" s="6">
        <v>0</v>
      </c>
      <c r="F7656" s="6">
        <v>0</v>
      </c>
      <c r="G7656" s="6">
        <v>9</v>
      </c>
      <c r="H7656" s="6" t="s">
        <v>40950</v>
      </c>
      <c r="I7656" s="6">
        <v>526.6875</v>
      </c>
      <c r="J7656" s="2">
        <f t="shared" si="119"/>
        <v>43749.027212997687</v>
      </c>
    </row>
    <row r="7657" spans="1:10" x14ac:dyDescent="0.25">
      <c r="A7657" s="7" t="s">
        <v>40951</v>
      </c>
      <c r="B7657" s="8">
        <v>412.5</v>
      </c>
      <c r="C7657" s="8">
        <v>20.478950000000001</v>
      </c>
      <c r="D7657" s="8">
        <v>73</v>
      </c>
      <c r="E7657" s="8">
        <v>0</v>
      </c>
      <c r="F7657" s="8">
        <v>0</v>
      </c>
      <c r="G7657" s="8">
        <v>11</v>
      </c>
      <c r="H7657" s="8" t="s">
        <v>40952</v>
      </c>
      <c r="I7657" s="8">
        <v>532.3125</v>
      </c>
      <c r="J7657" s="3">
        <f t="shared" si="119"/>
        <v>43749.027284363423</v>
      </c>
    </row>
    <row r="7658" spans="1:10" x14ac:dyDescent="0.25">
      <c r="A7658" s="5" t="s">
        <v>40953</v>
      </c>
      <c r="B7658" s="6">
        <v>393.75</v>
      </c>
      <c r="C7658" s="6">
        <v>20.478950000000001</v>
      </c>
      <c r="D7658" s="6">
        <v>73</v>
      </c>
      <c r="E7658" s="6">
        <v>0</v>
      </c>
      <c r="F7658" s="6">
        <v>0</v>
      </c>
      <c r="G7658" s="6">
        <v>16</v>
      </c>
      <c r="H7658" s="6" t="s">
        <v>40954</v>
      </c>
      <c r="I7658" s="6">
        <v>526.6875</v>
      </c>
      <c r="J7658" s="2">
        <f t="shared" si="119"/>
        <v>43749.027356597224</v>
      </c>
    </row>
    <row r="7659" spans="1:10" x14ac:dyDescent="0.25">
      <c r="A7659" s="7" t="s">
        <v>40955</v>
      </c>
      <c r="B7659" s="8">
        <v>393.75</v>
      </c>
      <c r="C7659" s="8">
        <v>20.478950000000001</v>
      </c>
      <c r="D7659" s="8">
        <v>73</v>
      </c>
      <c r="E7659" s="8">
        <v>0</v>
      </c>
      <c r="F7659" s="8">
        <v>0</v>
      </c>
      <c r="G7659" s="8">
        <v>7</v>
      </c>
      <c r="H7659" s="8" t="s">
        <v>40956</v>
      </c>
      <c r="I7659" s="8">
        <v>526.6875</v>
      </c>
      <c r="J7659" s="3">
        <f t="shared" si="119"/>
        <v>43749.027427928238</v>
      </c>
    </row>
    <row r="7660" spans="1:10" x14ac:dyDescent="0.25">
      <c r="A7660" s="5" t="s">
        <v>40957</v>
      </c>
      <c r="B7660" s="6">
        <v>393.75</v>
      </c>
      <c r="C7660" s="6">
        <v>20.478950000000001</v>
      </c>
      <c r="D7660" s="6">
        <v>72</v>
      </c>
      <c r="E7660" s="6">
        <v>0</v>
      </c>
      <c r="F7660" s="6">
        <v>0</v>
      </c>
      <c r="G7660" s="6">
        <v>0</v>
      </c>
      <c r="H7660" s="6" t="s">
        <v>40958</v>
      </c>
      <c r="I7660" s="6">
        <v>526.6875</v>
      </c>
      <c r="J7660" s="2">
        <f t="shared" si="119"/>
        <v>43749.027499178243</v>
      </c>
    </row>
    <row r="7661" spans="1:10" x14ac:dyDescent="0.25">
      <c r="A7661" s="7" t="s">
        <v>40959</v>
      </c>
      <c r="B7661" s="8">
        <v>412.5</v>
      </c>
      <c r="C7661" s="8">
        <v>20.478950000000001</v>
      </c>
      <c r="D7661" s="8">
        <v>73</v>
      </c>
      <c r="E7661" s="8">
        <v>0</v>
      </c>
      <c r="F7661" s="8">
        <v>0</v>
      </c>
      <c r="G7661" s="8">
        <v>8</v>
      </c>
      <c r="H7661" s="8" t="s">
        <v>40960</v>
      </c>
      <c r="I7661" s="8">
        <v>532.5</v>
      </c>
      <c r="J7661" s="3">
        <f t="shared" si="119"/>
        <v>43749.027570532409</v>
      </c>
    </row>
    <row r="7662" spans="1:10" x14ac:dyDescent="0.25">
      <c r="A7662" s="5" t="s">
        <v>40961</v>
      </c>
      <c r="B7662" s="6">
        <v>393.75</v>
      </c>
      <c r="C7662" s="6">
        <v>20.478950000000001</v>
      </c>
      <c r="D7662" s="6">
        <v>73</v>
      </c>
      <c r="E7662" s="6">
        <v>0</v>
      </c>
      <c r="F7662" s="6">
        <v>0</v>
      </c>
      <c r="G7662" s="6">
        <v>10</v>
      </c>
      <c r="H7662" s="6" t="s">
        <v>40962</v>
      </c>
      <c r="I7662" s="6">
        <v>526.6875</v>
      </c>
      <c r="J7662" s="2">
        <f t="shared" si="119"/>
        <v>43749.027654687503</v>
      </c>
    </row>
    <row r="7663" spans="1:10" x14ac:dyDescent="0.25">
      <c r="A7663" s="7" t="s">
        <v>40963</v>
      </c>
      <c r="B7663" s="8">
        <v>393.75</v>
      </c>
      <c r="C7663" s="8">
        <v>20.478950000000001</v>
      </c>
      <c r="D7663" s="8">
        <v>73</v>
      </c>
      <c r="E7663" s="8">
        <v>0</v>
      </c>
      <c r="F7663" s="8">
        <v>0</v>
      </c>
      <c r="G7663" s="8">
        <v>7</v>
      </c>
      <c r="H7663" s="8" t="s">
        <v>40964</v>
      </c>
      <c r="I7663" s="8">
        <v>526.6875</v>
      </c>
      <c r="J7663" s="3">
        <f t="shared" si="119"/>
        <v>43749.027725555548</v>
      </c>
    </row>
    <row r="7664" spans="1:10" x14ac:dyDescent="0.25">
      <c r="A7664" s="5" t="s">
        <v>40965</v>
      </c>
      <c r="B7664" s="6">
        <v>393.75</v>
      </c>
      <c r="C7664" s="6">
        <v>20.478950000000001</v>
      </c>
      <c r="D7664" s="6">
        <v>73</v>
      </c>
      <c r="E7664" s="6">
        <v>0</v>
      </c>
      <c r="F7664" s="6">
        <v>0</v>
      </c>
      <c r="G7664" s="6">
        <v>3</v>
      </c>
      <c r="H7664" s="6" t="s">
        <v>40966</v>
      </c>
      <c r="I7664" s="6">
        <v>526.6875</v>
      </c>
      <c r="J7664" s="2">
        <f t="shared" si="119"/>
        <v>43749.027797326387</v>
      </c>
    </row>
    <row r="7665" spans="1:10" x14ac:dyDescent="0.25">
      <c r="A7665" s="7" t="s">
        <v>40967</v>
      </c>
      <c r="B7665" s="8">
        <v>393.75</v>
      </c>
      <c r="C7665" s="8">
        <v>20.478950000000001</v>
      </c>
      <c r="D7665" s="8">
        <v>73</v>
      </c>
      <c r="E7665" s="8">
        <v>0</v>
      </c>
      <c r="F7665" s="8">
        <v>0</v>
      </c>
      <c r="G7665" s="8">
        <v>6</v>
      </c>
      <c r="H7665" s="8" t="s">
        <v>40968</v>
      </c>
      <c r="I7665" s="8">
        <v>526.6875</v>
      </c>
      <c r="J7665" s="3">
        <f t="shared" si="119"/>
        <v>43749.02788159722</v>
      </c>
    </row>
    <row r="7666" spans="1:10" x14ac:dyDescent="0.25">
      <c r="A7666" s="5" t="s">
        <v>40969</v>
      </c>
      <c r="B7666" s="6">
        <v>393.75</v>
      </c>
      <c r="C7666" s="6">
        <v>20.478950000000001</v>
      </c>
      <c r="D7666" s="6">
        <v>73</v>
      </c>
      <c r="E7666" s="6">
        <v>0</v>
      </c>
      <c r="F7666" s="6">
        <v>0</v>
      </c>
      <c r="G7666" s="6">
        <v>3</v>
      </c>
      <c r="H7666" s="6" t="s">
        <v>40970</v>
      </c>
      <c r="I7666" s="6">
        <v>526.6875</v>
      </c>
      <c r="J7666" s="2">
        <f t="shared" si="119"/>
        <v>43749.027964039349</v>
      </c>
    </row>
    <row r="7667" spans="1:10" x14ac:dyDescent="0.25">
      <c r="A7667" s="7" t="s">
        <v>40971</v>
      </c>
      <c r="B7667" s="8">
        <v>418.75</v>
      </c>
      <c r="C7667" s="8">
        <v>20.478950000000001</v>
      </c>
      <c r="D7667" s="8">
        <v>72</v>
      </c>
      <c r="E7667" s="8">
        <v>0</v>
      </c>
      <c r="F7667" s="8">
        <v>0</v>
      </c>
      <c r="G7667" s="8">
        <v>1</v>
      </c>
      <c r="H7667" s="8" t="s">
        <v>40972</v>
      </c>
      <c r="I7667" s="8">
        <v>534.1875</v>
      </c>
      <c r="J7667" s="3">
        <f t="shared" si="119"/>
        <v>43749.028036215277</v>
      </c>
    </row>
    <row r="7668" spans="1:10" x14ac:dyDescent="0.25">
      <c r="A7668" s="5" t="s">
        <v>40973</v>
      </c>
      <c r="B7668" s="6">
        <v>393.75</v>
      </c>
      <c r="C7668" s="6">
        <v>20.478950000000001</v>
      </c>
      <c r="D7668" s="6">
        <v>73</v>
      </c>
      <c r="E7668" s="6">
        <v>0</v>
      </c>
      <c r="F7668" s="6">
        <v>0</v>
      </c>
      <c r="G7668" s="6">
        <v>1</v>
      </c>
      <c r="H7668" s="6" t="s">
        <v>40974</v>
      </c>
      <c r="I7668" s="6">
        <v>526.6875</v>
      </c>
      <c r="J7668" s="2">
        <f t="shared" si="119"/>
        <v>43749.028107118058</v>
      </c>
    </row>
    <row r="7669" spans="1:10" x14ac:dyDescent="0.25">
      <c r="A7669" s="7" t="s">
        <v>40975</v>
      </c>
      <c r="B7669" s="8">
        <v>393.75</v>
      </c>
      <c r="C7669" s="8">
        <v>20.478950000000001</v>
      </c>
      <c r="D7669" s="8">
        <v>73</v>
      </c>
      <c r="E7669" s="8">
        <v>0</v>
      </c>
      <c r="F7669" s="8">
        <v>0</v>
      </c>
      <c r="G7669" s="8">
        <v>9</v>
      </c>
      <c r="H7669" s="8" t="s">
        <v>40976</v>
      </c>
      <c r="I7669" s="8">
        <v>526.6875</v>
      </c>
      <c r="J7669" s="3">
        <f t="shared" si="119"/>
        <v>43749.028178819441</v>
      </c>
    </row>
    <row r="7670" spans="1:10" x14ac:dyDescent="0.25">
      <c r="A7670" s="5" t="s">
        <v>40977</v>
      </c>
      <c r="B7670" s="6">
        <v>393.75</v>
      </c>
      <c r="C7670" s="6">
        <v>20.478950000000001</v>
      </c>
      <c r="D7670" s="6">
        <v>73</v>
      </c>
      <c r="E7670" s="6">
        <v>0</v>
      </c>
      <c r="F7670" s="6">
        <v>0</v>
      </c>
      <c r="G7670" s="6">
        <v>2</v>
      </c>
      <c r="H7670" s="6" t="s">
        <v>40978</v>
      </c>
      <c r="I7670" s="6">
        <v>526.6875</v>
      </c>
      <c r="J7670" s="2">
        <f t="shared" si="119"/>
        <v>43749.028251030089</v>
      </c>
    </row>
    <row r="7671" spans="1:10" x14ac:dyDescent="0.25">
      <c r="A7671" s="7" t="s">
        <v>40979</v>
      </c>
      <c r="B7671" s="8">
        <v>425</v>
      </c>
      <c r="C7671" s="8">
        <v>20.478950000000001</v>
      </c>
      <c r="D7671" s="8">
        <v>73</v>
      </c>
      <c r="E7671" s="8">
        <v>0</v>
      </c>
      <c r="F7671" s="8">
        <v>0</v>
      </c>
      <c r="G7671" s="8">
        <v>7</v>
      </c>
      <c r="H7671" s="8" t="s">
        <v>40980</v>
      </c>
      <c r="I7671" s="8">
        <v>536.4375</v>
      </c>
      <c r="J7671" s="3">
        <f t="shared" si="119"/>
        <v>43749.028340486104</v>
      </c>
    </row>
    <row r="7672" spans="1:10" x14ac:dyDescent="0.25">
      <c r="A7672" s="5" t="s">
        <v>40981</v>
      </c>
      <c r="B7672" s="6">
        <v>393.75</v>
      </c>
      <c r="C7672" s="6">
        <v>20.478950000000001</v>
      </c>
      <c r="D7672" s="6">
        <v>72</v>
      </c>
      <c r="E7672" s="6">
        <v>0</v>
      </c>
      <c r="F7672" s="6">
        <v>0</v>
      </c>
      <c r="G7672" s="6">
        <v>10</v>
      </c>
      <c r="H7672" s="6" t="s">
        <v>40982</v>
      </c>
      <c r="I7672" s="6">
        <v>526.6875</v>
      </c>
      <c r="J7672" s="2">
        <f t="shared" si="119"/>
        <v>43749.028417638889</v>
      </c>
    </row>
    <row r="7673" spans="1:10" x14ac:dyDescent="0.25">
      <c r="A7673" s="7" t="s">
        <v>40983</v>
      </c>
      <c r="B7673" s="8">
        <v>393.75</v>
      </c>
      <c r="C7673" s="8">
        <v>20.478950000000001</v>
      </c>
      <c r="D7673" s="8">
        <v>72</v>
      </c>
      <c r="E7673" s="8">
        <v>0</v>
      </c>
      <c r="F7673" s="8">
        <v>0</v>
      </c>
      <c r="G7673" s="8">
        <v>4</v>
      </c>
      <c r="H7673" s="8" t="s">
        <v>40984</v>
      </c>
      <c r="I7673" s="8">
        <v>526.6875</v>
      </c>
      <c r="J7673" s="3">
        <f t="shared" si="119"/>
        <v>43749.028488993055</v>
      </c>
    </row>
    <row r="7674" spans="1:10" x14ac:dyDescent="0.25">
      <c r="A7674" s="5" t="s">
        <v>40985</v>
      </c>
      <c r="B7674" s="6">
        <v>412.5</v>
      </c>
      <c r="C7674" s="6">
        <v>20.478950000000001</v>
      </c>
      <c r="D7674" s="6">
        <v>72</v>
      </c>
      <c r="E7674" s="6">
        <v>0</v>
      </c>
      <c r="F7674" s="6">
        <v>0</v>
      </c>
      <c r="G7674" s="6">
        <v>17</v>
      </c>
      <c r="H7674" s="6" t="s">
        <v>40986</v>
      </c>
      <c r="I7674" s="6">
        <v>532.3125</v>
      </c>
      <c r="J7674" s="2">
        <f t="shared" si="119"/>
        <v>43749.028560300925</v>
      </c>
    </row>
    <row r="7675" spans="1:10" x14ac:dyDescent="0.25">
      <c r="A7675" s="7" t="s">
        <v>40987</v>
      </c>
      <c r="B7675" s="8">
        <v>393.75</v>
      </c>
      <c r="C7675" s="8">
        <v>20.426300000000001</v>
      </c>
      <c r="D7675" s="8">
        <v>72</v>
      </c>
      <c r="E7675" s="8">
        <v>0</v>
      </c>
      <c r="F7675" s="8">
        <v>0</v>
      </c>
      <c r="G7675" s="8">
        <v>6</v>
      </c>
      <c r="H7675" s="8" t="s">
        <v>40988</v>
      </c>
      <c r="I7675" s="8">
        <v>526.6875</v>
      </c>
      <c r="J7675" s="3">
        <f t="shared" si="119"/>
        <v>43749.028632465277</v>
      </c>
    </row>
    <row r="7676" spans="1:10" x14ac:dyDescent="0.25">
      <c r="A7676" s="5" t="s">
        <v>40989</v>
      </c>
      <c r="B7676" s="6">
        <v>393.75</v>
      </c>
      <c r="C7676" s="6">
        <v>20.478950000000001</v>
      </c>
      <c r="D7676" s="6">
        <v>71</v>
      </c>
      <c r="E7676" s="6">
        <v>0</v>
      </c>
      <c r="F7676" s="6">
        <v>0</v>
      </c>
      <c r="G7676" s="6">
        <v>14</v>
      </c>
      <c r="H7676" s="6" t="s">
        <v>40990</v>
      </c>
      <c r="I7676" s="6">
        <v>526.5</v>
      </c>
      <c r="J7676" s="2">
        <f t="shared" si="119"/>
        <v>43749.028703819444</v>
      </c>
    </row>
    <row r="7677" spans="1:10" x14ac:dyDescent="0.25">
      <c r="A7677" s="7" t="s">
        <v>40991</v>
      </c>
      <c r="B7677" s="8">
        <v>393.75</v>
      </c>
      <c r="C7677" s="8">
        <v>20.478950000000001</v>
      </c>
      <c r="D7677" s="8">
        <v>72</v>
      </c>
      <c r="E7677" s="8">
        <v>0</v>
      </c>
      <c r="F7677" s="8">
        <v>0</v>
      </c>
      <c r="G7677" s="8">
        <v>0</v>
      </c>
      <c r="H7677" s="8" t="s">
        <v>40992</v>
      </c>
      <c r="I7677" s="8">
        <v>526.5</v>
      </c>
      <c r="J7677" s="3">
        <f t="shared" si="119"/>
        <v>43749.028775115738</v>
      </c>
    </row>
    <row r="7678" spans="1:10" x14ac:dyDescent="0.25">
      <c r="A7678" s="5" t="s">
        <v>40993</v>
      </c>
      <c r="B7678" s="6">
        <v>428.125</v>
      </c>
      <c r="C7678" s="6">
        <v>20.478950000000001</v>
      </c>
      <c r="D7678" s="6">
        <v>72</v>
      </c>
      <c r="E7678" s="6">
        <v>0</v>
      </c>
      <c r="F7678" s="6">
        <v>0</v>
      </c>
      <c r="G7678" s="6">
        <v>0</v>
      </c>
      <c r="H7678" s="6" t="s">
        <v>40994</v>
      </c>
      <c r="I7678" s="6">
        <v>537.375</v>
      </c>
      <c r="J7678" s="2">
        <f t="shared" si="119"/>
        <v>43749.028858506943</v>
      </c>
    </row>
    <row r="7679" spans="1:10" x14ac:dyDescent="0.25">
      <c r="A7679" s="7" t="s">
        <v>40995</v>
      </c>
      <c r="B7679" s="8">
        <v>393.75</v>
      </c>
      <c r="C7679" s="8">
        <v>20.478950000000001</v>
      </c>
      <c r="D7679" s="8">
        <v>71</v>
      </c>
      <c r="E7679" s="8">
        <v>0</v>
      </c>
      <c r="F7679" s="8">
        <v>0</v>
      </c>
      <c r="G7679" s="8">
        <v>4</v>
      </c>
      <c r="H7679" s="8" t="s">
        <v>40996</v>
      </c>
      <c r="I7679" s="8">
        <v>526.6875</v>
      </c>
      <c r="J7679" s="3">
        <f t="shared" si="119"/>
        <v>43749.028942650461</v>
      </c>
    </row>
    <row r="7680" spans="1:10" x14ac:dyDescent="0.25">
      <c r="A7680" s="5" t="s">
        <v>40997</v>
      </c>
      <c r="B7680" s="6">
        <v>393.75</v>
      </c>
      <c r="C7680" s="6">
        <v>20.478950000000001</v>
      </c>
      <c r="D7680" s="6">
        <v>71</v>
      </c>
      <c r="E7680" s="6">
        <v>0</v>
      </c>
      <c r="F7680" s="6">
        <v>0</v>
      </c>
      <c r="G7680" s="6">
        <v>8</v>
      </c>
      <c r="H7680" s="6" t="s">
        <v>40998</v>
      </c>
      <c r="I7680" s="6">
        <v>526.6875</v>
      </c>
      <c r="J7680" s="2">
        <f t="shared" si="119"/>
        <v>43749.029013981482</v>
      </c>
    </row>
    <row r="7681" spans="1:10" x14ac:dyDescent="0.25">
      <c r="A7681" s="7" t="s">
        <v>40999</v>
      </c>
      <c r="B7681" s="8">
        <v>412.5</v>
      </c>
      <c r="C7681" s="8">
        <v>20.478950000000001</v>
      </c>
      <c r="D7681" s="8">
        <v>71</v>
      </c>
      <c r="E7681" s="8">
        <v>0</v>
      </c>
      <c r="F7681" s="8">
        <v>0</v>
      </c>
      <c r="G7681" s="8">
        <v>6</v>
      </c>
      <c r="H7681" s="8" t="s">
        <v>41000</v>
      </c>
      <c r="I7681" s="8">
        <v>532.3125</v>
      </c>
      <c r="J7681" s="3">
        <f t="shared" si="119"/>
        <v>43749.029085289345</v>
      </c>
    </row>
    <row r="7682" spans="1:10" x14ac:dyDescent="0.25">
      <c r="A7682" s="5" t="s">
        <v>41001</v>
      </c>
      <c r="B7682" s="6">
        <v>393.75</v>
      </c>
      <c r="C7682" s="6">
        <v>20.478950000000001</v>
      </c>
      <c r="D7682" s="6">
        <v>70</v>
      </c>
      <c r="E7682" s="6">
        <v>0</v>
      </c>
      <c r="F7682" s="6">
        <v>0</v>
      </c>
      <c r="G7682" s="6">
        <v>13</v>
      </c>
      <c r="H7682" s="6" t="s">
        <v>41002</v>
      </c>
      <c r="I7682" s="6">
        <v>526.6875</v>
      </c>
      <c r="J7682" s="2">
        <f t="shared" ref="J7682:J7745" si="120">(H7682/86400000)+25569+(7/24)</f>
        <v>43749.029156655095</v>
      </c>
    </row>
    <row r="7683" spans="1:10" x14ac:dyDescent="0.25">
      <c r="A7683" s="7" t="s">
        <v>41003</v>
      </c>
      <c r="B7683" s="8">
        <v>393.75</v>
      </c>
      <c r="C7683" s="8">
        <v>20.478950000000001</v>
      </c>
      <c r="D7683" s="8">
        <v>70</v>
      </c>
      <c r="E7683" s="8">
        <v>0</v>
      </c>
      <c r="F7683" s="8">
        <v>0</v>
      </c>
      <c r="G7683" s="8">
        <v>2</v>
      </c>
      <c r="H7683" s="8" t="s">
        <v>41004</v>
      </c>
      <c r="I7683" s="8">
        <v>526.5</v>
      </c>
      <c r="J7683" s="3">
        <f t="shared" si="120"/>
        <v>43749.029251701388</v>
      </c>
    </row>
    <row r="7684" spans="1:10" x14ac:dyDescent="0.25">
      <c r="A7684" s="5" t="s">
        <v>41005</v>
      </c>
      <c r="B7684" s="6">
        <v>393.75</v>
      </c>
      <c r="C7684" s="6">
        <v>20.478950000000001</v>
      </c>
      <c r="D7684" s="6">
        <v>69</v>
      </c>
      <c r="E7684" s="6">
        <v>0</v>
      </c>
      <c r="F7684" s="6">
        <v>0</v>
      </c>
      <c r="G7684" s="6">
        <v>4</v>
      </c>
      <c r="H7684" s="6" t="s">
        <v>41006</v>
      </c>
      <c r="I7684" s="6">
        <v>526.6875</v>
      </c>
      <c r="J7684" s="2">
        <f t="shared" si="120"/>
        <v>43749.029324178242</v>
      </c>
    </row>
    <row r="7685" spans="1:10" x14ac:dyDescent="0.25">
      <c r="A7685" s="7" t="s">
        <v>41007</v>
      </c>
      <c r="B7685" s="8">
        <v>393.75</v>
      </c>
      <c r="C7685" s="8">
        <v>20.478950000000001</v>
      </c>
      <c r="D7685" s="8">
        <v>69</v>
      </c>
      <c r="E7685" s="8">
        <v>0</v>
      </c>
      <c r="F7685" s="8">
        <v>0</v>
      </c>
      <c r="G7685" s="8">
        <v>0</v>
      </c>
      <c r="H7685" s="8" t="s">
        <v>41008</v>
      </c>
      <c r="I7685" s="8">
        <v>526.6875</v>
      </c>
      <c r="J7685" s="3">
        <f t="shared" si="120"/>
        <v>43749.029408263887</v>
      </c>
    </row>
    <row r="7686" spans="1:10" x14ac:dyDescent="0.25">
      <c r="A7686" s="5" t="s">
        <v>41009</v>
      </c>
      <c r="B7686" s="6">
        <v>393.75</v>
      </c>
      <c r="C7686" s="6">
        <v>20.478950000000001</v>
      </c>
      <c r="D7686" s="6">
        <v>68</v>
      </c>
      <c r="E7686" s="6">
        <v>0</v>
      </c>
      <c r="F7686" s="6">
        <v>0</v>
      </c>
      <c r="G7686" s="6">
        <v>7</v>
      </c>
      <c r="H7686" s="6" t="s">
        <v>41010</v>
      </c>
      <c r="I7686" s="6">
        <v>526.6875</v>
      </c>
      <c r="J7686" s="2">
        <f t="shared" si="120"/>
        <v>43749.029478807868</v>
      </c>
    </row>
    <row r="7687" spans="1:10" x14ac:dyDescent="0.25">
      <c r="A7687" s="7" t="s">
        <v>41011</v>
      </c>
      <c r="B7687" s="8">
        <v>412.5</v>
      </c>
      <c r="C7687" s="8">
        <v>20.478950000000001</v>
      </c>
      <c r="D7687" s="8">
        <v>68</v>
      </c>
      <c r="E7687" s="8">
        <v>0</v>
      </c>
      <c r="F7687" s="8">
        <v>0</v>
      </c>
      <c r="G7687" s="8">
        <v>6</v>
      </c>
      <c r="H7687" s="8" t="s">
        <v>41012</v>
      </c>
      <c r="I7687" s="8">
        <v>532.3125</v>
      </c>
      <c r="J7687" s="3">
        <f t="shared" si="120"/>
        <v>43749.02955086805</v>
      </c>
    </row>
    <row r="7688" spans="1:10" x14ac:dyDescent="0.25">
      <c r="A7688" s="5" t="s">
        <v>41013</v>
      </c>
      <c r="B7688" s="6">
        <v>393.75</v>
      </c>
      <c r="C7688" s="6">
        <v>20.478950000000001</v>
      </c>
      <c r="D7688" s="6">
        <v>68</v>
      </c>
      <c r="E7688" s="6">
        <v>0</v>
      </c>
      <c r="F7688" s="6">
        <v>0</v>
      </c>
      <c r="G7688" s="6">
        <v>1</v>
      </c>
      <c r="H7688" s="6" t="s">
        <v>41014</v>
      </c>
      <c r="I7688" s="6">
        <v>526.6875</v>
      </c>
      <c r="J7688" s="2">
        <f t="shared" si="120"/>
        <v>43749.029622337963</v>
      </c>
    </row>
    <row r="7689" spans="1:10" x14ac:dyDescent="0.25">
      <c r="A7689" s="7" t="s">
        <v>41015</v>
      </c>
      <c r="B7689" s="8">
        <v>393.75</v>
      </c>
      <c r="C7689" s="8">
        <v>20.478950000000001</v>
      </c>
      <c r="D7689" s="8">
        <v>64</v>
      </c>
      <c r="E7689" s="8">
        <v>0</v>
      </c>
      <c r="F7689" s="8">
        <v>0</v>
      </c>
      <c r="G7689" s="8">
        <v>5</v>
      </c>
      <c r="H7689" s="8" t="s">
        <v>41016</v>
      </c>
      <c r="I7689" s="8">
        <v>526.6875</v>
      </c>
      <c r="J7689" s="3">
        <f t="shared" si="120"/>
        <v>43749.029705613422</v>
      </c>
    </row>
    <row r="7690" spans="1:10" x14ac:dyDescent="0.25">
      <c r="A7690" s="5" t="s">
        <v>41017</v>
      </c>
      <c r="B7690" s="6">
        <v>393.75</v>
      </c>
      <c r="C7690" s="6">
        <v>20.478950000000001</v>
      </c>
      <c r="D7690" s="6">
        <v>67</v>
      </c>
      <c r="E7690" s="6">
        <v>0</v>
      </c>
      <c r="F7690" s="6">
        <v>0</v>
      </c>
      <c r="G7690" s="6">
        <v>16</v>
      </c>
      <c r="H7690" s="6" t="s">
        <v>41018</v>
      </c>
      <c r="I7690" s="6">
        <v>526.5</v>
      </c>
      <c r="J7690" s="2">
        <f t="shared" si="120"/>
        <v>43749.029776967589</v>
      </c>
    </row>
    <row r="7691" spans="1:10" x14ac:dyDescent="0.25">
      <c r="A7691" s="7" t="s">
        <v>41019</v>
      </c>
      <c r="B7691" s="8">
        <v>393.75</v>
      </c>
      <c r="C7691" s="8">
        <v>20.478950000000001</v>
      </c>
      <c r="D7691" s="8">
        <v>68</v>
      </c>
      <c r="E7691" s="8">
        <v>0</v>
      </c>
      <c r="F7691" s="8">
        <v>0</v>
      </c>
      <c r="G7691" s="8">
        <v>3</v>
      </c>
      <c r="H7691" s="8" t="s">
        <v>41020</v>
      </c>
      <c r="I7691" s="8">
        <v>526.5</v>
      </c>
      <c r="J7691" s="3">
        <f t="shared" si="120"/>
        <v>43749.029849016202</v>
      </c>
    </row>
    <row r="7692" spans="1:10" x14ac:dyDescent="0.25">
      <c r="A7692" s="5" t="s">
        <v>41021</v>
      </c>
      <c r="B7692" s="6">
        <v>393.75</v>
      </c>
      <c r="C7692" s="6">
        <v>20.478950000000001</v>
      </c>
      <c r="D7692" s="6">
        <v>68</v>
      </c>
      <c r="E7692" s="6">
        <v>0</v>
      </c>
      <c r="F7692" s="6">
        <v>0</v>
      </c>
      <c r="G7692" s="6">
        <v>5</v>
      </c>
      <c r="H7692" s="6" t="s">
        <v>41022</v>
      </c>
      <c r="I7692" s="6">
        <v>526.6875</v>
      </c>
      <c r="J7692" s="2">
        <f t="shared" si="120"/>
        <v>43749.029920520836</v>
      </c>
    </row>
    <row r="7693" spans="1:10" x14ac:dyDescent="0.25">
      <c r="A7693" s="7" t="s">
        <v>41023</v>
      </c>
      <c r="B7693" s="8">
        <v>393.75</v>
      </c>
      <c r="C7693" s="8">
        <v>20.478950000000001</v>
      </c>
      <c r="D7693" s="8">
        <v>69</v>
      </c>
      <c r="E7693" s="8">
        <v>0</v>
      </c>
      <c r="F7693" s="8">
        <v>0</v>
      </c>
      <c r="G7693" s="8">
        <v>6</v>
      </c>
      <c r="H7693" s="8" t="s">
        <v>41024</v>
      </c>
      <c r="I7693" s="8">
        <v>526.5</v>
      </c>
      <c r="J7693" s="3">
        <f t="shared" si="120"/>
        <v>43749.029991817129</v>
      </c>
    </row>
    <row r="7694" spans="1:10" x14ac:dyDescent="0.25">
      <c r="A7694" s="5" t="s">
        <v>41025</v>
      </c>
      <c r="B7694" s="6">
        <v>393.75</v>
      </c>
      <c r="C7694" s="6">
        <v>20.478950000000001</v>
      </c>
      <c r="D7694" s="6">
        <v>69</v>
      </c>
      <c r="E7694" s="6">
        <v>0</v>
      </c>
      <c r="F7694" s="6">
        <v>0</v>
      </c>
      <c r="G7694" s="6">
        <v>14</v>
      </c>
      <c r="H7694" s="6" t="s">
        <v>41026</v>
      </c>
      <c r="I7694" s="6">
        <v>526.6875</v>
      </c>
      <c r="J7694" s="2">
        <f t="shared" si="120"/>
        <v>43749.030063090271</v>
      </c>
    </row>
    <row r="7695" spans="1:10" x14ac:dyDescent="0.25">
      <c r="A7695" s="7" t="s">
        <v>41027</v>
      </c>
      <c r="B7695" s="8">
        <v>393.75</v>
      </c>
      <c r="C7695" s="8">
        <v>20.478950000000001</v>
      </c>
      <c r="D7695" s="8">
        <v>69</v>
      </c>
      <c r="E7695" s="8">
        <v>0</v>
      </c>
      <c r="F7695" s="8">
        <v>0</v>
      </c>
      <c r="G7695" s="8">
        <v>4</v>
      </c>
      <c r="H7695" s="8" t="s">
        <v>41028</v>
      </c>
      <c r="I7695" s="8">
        <v>526.6875</v>
      </c>
      <c r="J7695" s="3">
        <f t="shared" si="120"/>
        <v>43749.030134421293</v>
      </c>
    </row>
    <row r="7696" spans="1:10" x14ac:dyDescent="0.25">
      <c r="A7696" s="5" t="s">
        <v>41029</v>
      </c>
      <c r="B7696" s="6">
        <v>393.75</v>
      </c>
      <c r="C7696" s="6">
        <v>20.478950000000001</v>
      </c>
      <c r="D7696" s="6">
        <v>68</v>
      </c>
      <c r="E7696" s="6">
        <v>0</v>
      </c>
      <c r="F7696" s="6">
        <v>0</v>
      </c>
      <c r="G7696" s="6">
        <v>1</v>
      </c>
      <c r="H7696" s="6" t="s">
        <v>41030</v>
      </c>
      <c r="I7696" s="6">
        <v>526.6875</v>
      </c>
      <c r="J7696" s="2">
        <f t="shared" si="120"/>
        <v>43749.030207349533</v>
      </c>
    </row>
    <row r="7697" spans="1:10" x14ac:dyDescent="0.25">
      <c r="A7697" s="7" t="s">
        <v>41031</v>
      </c>
      <c r="B7697" s="8">
        <v>393.75</v>
      </c>
      <c r="C7697" s="8">
        <v>20.478950000000001</v>
      </c>
      <c r="D7697" s="8">
        <v>68</v>
      </c>
      <c r="E7697" s="8">
        <v>0</v>
      </c>
      <c r="F7697" s="8">
        <v>0</v>
      </c>
      <c r="G7697" s="8">
        <v>2</v>
      </c>
      <c r="H7697" s="8" t="s">
        <v>41032</v>
      </c>
      <c r="I7697" s="8">
        <v>526.6875</v>
      </c>
      <c r="J7697" s="3">
        <f t="shared" si="120"/>
        <v>43749.030277893515</v>
      </c>
    </row>
    <row r="7698" spans="1:10" x14ac:dyDescent="0.25">
      <c r="A7698" s="5" t="s">
        <v>41033</v>
      </c>
      <c r="B7698" s="6">
        <v>393.75</v>
      </c>
      <c r="C7698" s="6">
        <v>20.478950000000001</v>
      </c>
      <c r="D7698" s="6">
        <v>67</v>
      </c>
      <c r="E7698" s="6">
        <v>0</v>
      </c>
      <c r="F7698" s="6">
        <v>0</v>
      </c>
      <c r="G7698" s="6">
        <v>6</v>
      </c>
      <c r="H7698" s="6" t="s">
        <v>41034</v>
      </c>
      <c r="I7698" s="6">
        <v>526.5</v>
      </c>
      <c r="J7698" s="2">
        <f t="shared" si="120"/>
        <v>43749.030349930552</v>
      </c>
    </row>
    <row r="7699" spans="1:10" x14ac:dyDescent="0.25">
      <c r="A7699" s="7" t="s">
        <v>41035</v>
      </c>
      <c r="B7699" s="8">
        <v>412.5</v>
      </c>
      <c r="C7699" s="8">
        <v>20.478950000000001</v>
      </c>
      <c r="D7699" s="8">
        <v>68</v>
      </c>
      <c r="E7699" s="8">
        <v>0</v>
      </c>
      <c r="F7699" s="8">
        <v>0</v>
      </c>
      <c r="G7699" s="8">
        <v>3</v>
      </c>
      <c r="H7699" s="8" t="s">
        <v>41036</v>
      </c>
      <c r="I7699" s="8">
        <v>532.875</v>
      </c>
      <c r="J7699" s="3">
        <f t="shared" si="120"/>
        <v>43749.030421400465</v>
      </c>
    </row>
    <row r="7700" spans="1:10" x14ac:dyDescent="0.25">
      <c r="A7700" s="5" t="s">
        <v>41037</v>
      </c>
      <c r="B7700" s="6">
        <v>393.75</v>
      </c>
      <c r="C7700" s="6">
        <v>20.478950000000001</v>
      </c>
      <c r="D7700" s="6">
        <v>69</v>
      </c>
      <c r="E7700" s="6">
        <v>0</v>
      </c>
      <c r="F7700" s="6">
        <v>0</v>
      </c>
      <c r="G7700" s="6">
        <v>11</v>
      </c>
      <c r="H7700" s="6" t="s">
        <v>41038</v>
      </c>
      <c r="I7700" s="6">
        <v>526.6875</v>
      </c>
      <c r="J7700" s="2">
        <f t="shared" si="120"/>
        <v>43749.030492685182</v>
      </c>
    </row>
    <row r="7701" spans="1:10" x14ac:dyDescent="0.25">
      <c r="A7701" s="7" t="s">
        <v>41039</v>
      </c>
      <c r="B7701" s="8">
        <v>393.75</v>
      </c>
      <c r="C7701" s="8">
        <v>20.478950000000001</v>
      </c>
      <c r="D7701" s="8">
        <v>68</v>
      </c>
      <c r="E7701" s="8">
        <v>0</v>
      </c>
      <c r="F7701" s="8">
        <v>0</v>
      </c>
      <c r="G7701" s="8">
        <v>9</v>
      </c>
      <c r="H7701" s="8" t="s">
        <v>41040</v>
      </c>
      <c r="I7701" s="8">
        <v>526.6875</v>
      </c>
      <c r="J7701" s="3">
        <f t="shared" si="120"/>
        <v>43749.030563981483</v>
      </c>
    </row>
    <row r="7702" spans="1:10" x14ac:dyDescent="0.25">
      <c r="A7702" s="5" t="s">
        <v>41041</v>
      </c>
      <c r="B7702" s="6">
        <v>393.75</v>
      </c>
      <c r="C7702" s="6">
        <v>20.478950000000001</v>
      </c>
      <c r="D7702" s="6">
        <v>68</v>
      </c>
      <c r="E7702" s="6">
        <v>0</v>
      </c>
      <c r="F7702" s="6">
        <v>0</v>
      </c>
      <c r="G7702" s="6">
        <v>7</v>
      </c>
      <c r="H7702" s="6" t="s">
        <v>41042</v>
      </c>
      <c r="I7702" s="6">
        <v>526.6875</v>
      </c>
      <c r="J7702" s="2">
        <f t="shared" si="120"/>
        <v>43749.030636226853</v>
      </c>
    </row>
    <row r="7703" spans="1:10" x14ac:dyDescent="0.25">
      <c r="A7703" s="7" t="s">
        <v>41043</v>
      </c>
      <c r="B7703" s="8">
        <v>393.75</v>
      </c>
      <c r="C7703" s="8">
        <v>20.478950000000001</v>
      </c>
      <c r="D7703" s="8">
        <v>68</v>
      </c>
      <c r="E7703" s="8">
        <v>0</v>
      </c>
      <c r="F7703" s="8">
        <v>0</v>
      </c>
      <c r="G7703" s="8">
        <v>7</v>
      </c>
      <c r="H7703" s="8" t="s">
        <v>41044</v>
      </c>
      <c r="I7703" s="8">
        <v>526.6875</v>
      </c>
      <c r="J7703" s="3">
        <f t="shared" si="120"/>
        <v>43749.030707523147</v>
      </c>
    </row>
    <row r="7704" spans="1:10" x14ac:dyDescent="0.25">
      <c r="A7704" s="5" t="s">
        <v>41045</v>
      </c>
      <c r="B7704" s="6">
        <v>393.75</v>
      </c>
      <c r="C7704" s="6">
        <v>20.478950000000001</v>
      </c>
      <c r="D7704" s="6">
        <v>69</v>
      </c>
      <c r="E7704" s="6">
        <v>0</v>
      </c>
      <c r="F7704" s="6">
        <v>0</v>
      </c>
      <c r="G7704" s="6">
        <v>0</v>
      </c>
      <c r="H7704" s="6" t="s">
        <v>41046</v>
      </c>
      <c r="I7704" s="6">
        <v>526.6875</v>
      </c>
      <c r="J7704" s="2">
        <f t="shared" si="120"/>
        <v>43749.030778807872</v>
      </c>
    </row>
    <row r="7705" spans="1:10" x14ac:dyDescent="0.25">
      <c r="A7705" s="7" t="s">
        <v>41047</v>
      </c>
      <c r="B7705" s="8">
        <v>393.75</v>
      </c>
      <c r="C7705" s="8">
        <v>20.478950000000001</v>
      </c>
      <c r="D7705" s="8">
        <v>67</v>
      </c>
      <c r="E7705" s="8">
        <v>0</v>
      </c>
      <c r="F7705" s="8">
        <v>0</v>
      </c>
      <c r="G7705" s="8">
        <v>4</v>
      </c>
      <c r="H7705" s="8" t="s">
        <v>41048</v>
      </c>
      <c r="I7705" s="8">
        <v>526.6875</v>
      </c>
      <c r="J7705" s="3">
        <f t="shared" si="120"/>
        <v>43749.030862164349</v>
      </c>
    </row>
    <row r="7706" spans="1:10" x14ac:dyDescent="0.25">
      <c r="A7706" s="5" t="s">
        <v>41049</v>
      </c>
      <c r="B7706" s="6">
        <v>393.75</v>
      </c>
      <c r="C7706" s="6">
        <v>20.478950000000001</v>
      </c>
      <c r="D7706" s="6">
        <v>67</v>
      </c>
      <c r="E7706" s="6">
        <v>0</v>
      </c>
      <c r="F7706" s="6">
        <v>0</v>
      </c>
      <c r="G7706" s="6">
        <v>11</v>
      </c>
      <c r="H7706" s="6" t="s">
        <v>41050</v>
      </c>
      <c r="I7706" s="6">
        <v>526.6875</v>
      </c>
      <c r="J7706" s="2">
        <f t="shared" si="120"/>
        <v>43749.030934374998</v>
      </c>
    </row>
    <row r="7707" spans="1:10" x14ac:dyDescent="0.25">
      <c r="A7707" s="7" t="s">
        <v>41051</v>
      </c>
      <c r="B7707" s="8">
        <v>412.5</v>
      </c>
      <c r="C7707" s="8">
        <v>20.478950000000001</v>
      </c>
      <c r="D7707" s="8">
        <v>67</v>
      </c>
      <c r="E7707" s="8">
        <v>0</v>
      </c>
      <c r="F7707" s="8">
        <v>0</v>
      </c>
      <c r="G7707" s="8">
        <v>14</v>
      </c>
      <c r="H7707" s="8" t="s">
        <v>41052</v>
      </c>
      <c r="I7707" s="8">
        <v>532.125</v>
      </c>
      <c r="J7707" s="3">
        <f t="shared" si="120"/>
        <v>43749.031005648147</v>
      </c>
    </row>
    <row r="7708" spans="1:10" x14ac:dyDescent="0.25">
      <c r="A7708" s="5" t="s">
        <v>41053</v>
      </c>
      <c r="B7708" s="6">
        <v>393.75</v>
      </c>
      <c r="C7708" s="6">
        <v>20.478950000000001</v>
      </c>
      <c r="D7708" s="6">
        <v>68</v>
      </c>
      <c r="E7708" s="6">
        <v>0</v>
      </c>
      <c r="F7708" s="6">
        <v>0</v>
      </c>
      <c r="G7708" s="6">
        <v>3</v>
      </c>
      <c r="H7708" s="6" t="s">
        <v>41054</v>
      </c>
      <c r="I7708" s="6">
        <v>526.6875</v>
      </c>
      <c r="J7708" s="2">
        <f t="shared" si="120"/>
        <v>43749.031076967593</v>
      </c>
    </row>
    <row r="7709" spans="1:10" x14ac:dyDescent="0.25">
      <c r="A7709" s="7" t="s">
        <v>41055</v>
      </c>
      <c r="B7709" s="8">
        <v>393.75</v>
      </c>
      <c r="C7709" s="8">
        <v>20.478950000000001</v>
      </c>
      <c r="D7709" s="8">
        <v>68</v>
      </c>
      <c r="E7709" s="8">
        <v>0</v>
      </c>
      <c r="F7709" s="8">
        <v>0</v>
      </c>
      <c r="G7709" s="8">
        <v>7</v>
      </c>
      <c r="H7709" s="8" t="s">
        <v>41056</v>
      </c>
      <c r="I7709" s="8">
        <v>526.6875</v>
      </c>
      <c r="J7709" s="3">
        <f t="shared" si="120"/>
        <v>43749.031148368049</v>
      </c>
    </row>
    <row r="7710" spans="1:10" x14ac:dyDescent="0.25">
      <c r="A7710" s="5" t="s">
        <v>41057</v>
      </c>
      <c r="B7710" s="6">
        <v>393.75</v>
      </c>
      <c r="C7710" s="6">
        <v>20.478950000000001</v>
      </c>
      <c r="D7710" s="6">
        <v>68</v>
      </c>
      <c r="E7710" s="6">
        <v>0</v>
      </c>
      <c r="F7710" s="6">
        <v>0</v>
      </c>
      <c r="G7710" s="6">
        <v>9</v>
      </c>
      <c r="H7710" s="6" t="s">
        <v>41058</v>
      </c>
      <c r="I7710" s="6">
        <v>526.5</v>
      </c>
      <c r="J7710" s="2">
        <f t="shared" si="120"/>
        <v>43749.031220486104</v>
      </c>
    </row>
    <row r="7711" spans="1:10" x14ac:dyDescent="0.25">
      <c r="A7711" s="7" t="s">
        <v>41059</v>
      </c>
      <c r="B7711" s="8">
        <v>425</v>
      </c>
      <c r="C7711" s="8">
        <v>20.478950000000001</v>
      </c>
      <c r="D7711" s="8">
        <v>68</v>
      </c>
      <c r="E7711" s="8">
        <v>0</v>
      </c>
      <c r="F7711" s="8">
        <v>0</v>
      </c>
      <c r="G7711" s="8">
        <v>3</v>
      </c>
      <c r="H7711" s="8" t="s">
        <v>41060</v>
      </c>
      <c r="I7711" s="8">
        <v>536.8125</v>
      </c>
      <c r="J7711" s="3">
        <f t="shared" si="120"/>
        <v>43749.031291724539</v>
      </c>
    </row>
    <row r="7712" spans="1:10" x14ac:dyDescent="0.25">
      <c r="A7712" s="5" t="s">
        <v>41061</v>
      </c>
      <c r="B7712" s="6">
        <v>393.75</v>
      </c>
      <c r="C7712" s="6">
        <v>20.478950000000001</v>
      </c>
      <c r="D7712" s="6">
        <v>68</v>
      </c>
      <c r="E7712" s="6">
        <v>0</v>
      </c>
      <c r="F7712" s="6">
        <v>0</v>
      </c>
      <c r="G7712" s="6">
        <v>7</v>
      </c>
      <c r="H7712" s="6" t="s">
        <v>41062</v>
      </c>
      <c r="I7712" s="6">
        <v>526.6875</v>
      </c>
      <c r="J7712" s="2">
        <f t="shared" si="120"/>
        <v>43749.031363078706</v>
      </c>
    </row>
    <row r="7713" spans="1:10" x14ac:dyDescent="0.25">
      <c r="A7713" s="7" t="s">
        <v>41063</v>
      </c>
      <c r="B7713" s="8">
        <v>393.75</v>
      </c>
      <c r="C7713" s="8">
        <v>20.478950000000001</v>
      </c>
      <c r="D7713" s="8">
        <v>68</v>
      </c>
      <c r="E7713" s="8">
        <v>0</v>
      </c>
      <c r="F7713" s="8">
        <v>0</v>
      </c>
      <c r="G7713" s="8">
        <v>11</v>
      </c>
      <c r="H7713" s="8" t="s">
        <v>41064</v>
      </c>
      <c r="I7713" s="8">
        <v>526.6875</v>
      </c>
      <c r="J7713" s="3">
        <f t="shared" si="120"/>
        <v>43749.031435277771</v>
      </c>
    </row>
    <row r="7714" spans="1:10" x14ac:dyDescent="0.25">
      <c r="A7714" s="5" t="s">
        <v>41065</v>
      </c>
      <c r="B7714" s="6">
        <v>393.75</v>
      </c>
      <c r="C7714" s="6">
        <v>20.478950000000001</v>
      </c>
      <c r="D7714" s="6">
        <v>70</v>
      </c>
      <c r="E7714" s="6">
        <v>0</v>
      </c>
      <c r="F7714" s="6">
        <v>0</v>
      </c>
      <c r="G7714" s="6">
        <v>6</v>
      </c>
      <c r="H7714" s="6" t="s">
        <v>41066</v>
      </c>
      <c r="I7714" s="6">
        <v>526.6875</v>
      </c>
      <c r="J7714" s="2">
        <f t="shared" si="120"/>
        <v>43749.031506574072</v>
      </c>
    </row>
    <row r="7715" spans="1:10" x14ac:dyDescent="0.25">
      <c r="A7715" s="7" t="s">
        <v>41067</v>
      </c>
      <c r="B7715" s="8">
        <v>393.75</v>
      </c>
      <c r="C7715" s="8">
        <v>20.478950000000001</v>
      </c>
      <c r="D7715" s="8">
        <v>71</v>
      </c>
      <c r="E7715" s="8">
        <v>0</v>
      </c>
      <c r="F7715" s="8">
        <v>0</v>
      </c>
      <c r="G7715" s="8">
        <v>6</v>
      </c>
      <c r="H7715" s="8" t="s">
        <v>41068</v>
      </c>
      <c r="I7715" s="8">
        <v>526.6875</v>
      </c>
      <c r="J7715" s="3">
        <f t="shared" si="120"/>
        <v>43749.031577905094</v>
      </c>
    </row>
    <row r="7716" spans="1:10" x14ac:dyDescent="0.25">
      <c r="A7716" s="5" t="s">
        <v>41069</v>
      </c>
      <c r="B7716" s="6">
        <v>393.75</v>
      </c>
      <c r="C7716" s="6">
        <v>20.478950000000001</v>
      </c>
      <c r="D7716" s="6">
        <v>71</v>
      </c>
      <c r="E7716" s="6">
        <v>0</v>
      </c>
      <c r="F7716" s="6">
        <v>0</v>
      </c>
      <c r="G7716" s="6">
        <v>8</v>
      </c>
      <c r="H7716" s="6" t="s">
        <v>41070</v>
      </c>
      <c r="I7716" s="6">
        <v>526.6875</v>
      </c>
      <c r="J7716" s="2">
        <f t="shared" si="120"/>
        <v>43749.031649305551</v>
      </c>
    </row>
    <row r="7717" spans="1:10" x14ac:dyDescent="0.25">
      <c r="A7717" s="7" t="s">
        <v>41071</v>
      </c>
      <c r="B7717" s="8">
        <v>393.75</v>
      </c>
      <c r="C7717" s="8">
        <v>20.478950000000001</v>
      </c>
      <c r="D7717" s="8">
        <v>69</v>
      </c>
      <c r="E7717" s="8">
        <v>0</v>
      </c>
      <c r="F7717" s="8">
        <v>0</v>
      </c>
      <c r="G7717" s="8">
        <v>8</v>
      </c>
      <c r="H7717" s="8" t="s">
        <v>41072</v>
      </c>
      <c r="I7717" s="8">
        <v>526.6875</v>
      </c>
      <c r="J7717" s="3">
        <f t="shared" si="120"/>
        <v>43749.031721562496</v>
      </c>
    </row>
    <row r="7718" spans="1:10" x14ac:dyDescent="0.25">
      <c r="A7718" s="5" t="s">
        <v>41073</v>
      </c>
      <c r="B7718" s="6">
        <v>393.75</v>
      </c>
      <c r="C7718" s="6">
        <v>20.478950000000001</v>
      </c>
      <c r="D7718" s="6">
        <v>68</v>
      </c>
      <c r="E7718" s="6">
        <v>0</v>
      </c>
      <c r="F7718" s="6">
        <v>0</v>
      </c>
      <c r="G7718" s="6">
        <v>9</v>
      </c>
      <c r="H7718" s="6" t="s">
        <v>41074</v>
      </c>
      <c r="I7718" s="6">
        <v>526.6875</v>
      </c>
      <c r="J7718" s="2">
        <f t="shared" si="120"/>
        <v>43749.031818750002</v>
      </c>
    </row>
    <row r="7719" spans="1:10" x14ac:dyDescent="0.25">
      <c r="A7719" s="7" t="s">
        <v>41075</v>
      </c>
      <c r="B7719" s="8">
        <v>393.75</v>
      </c>
      <c r="C7719" s="8">
        <v>20.478950000000001</v>
      </c>
      <c r="D7719" s="8">
        <v>68</v>
      </c>
      <c r="E7719" s="8">
        <v>0</v>
      </c>
      <c r="F7719" s="8">
        <v>0</v>
      </c>
      <c r="G7719" s="8">
        <v>8</v>
      </c>
      <c r="H7719" s="8" t="s">
        <v>41076</v>
      </c>
      <c r="I7719" s="8">
        <v>526.6875</v>
      </c>
      <c r="J7719" s="3">
        <f t="shared" si="120"/>
        <v>43749.031900231479</v>
      </c>
    </row>
    <row r="7720" spans="1:10" x14ac:dyDescent="0.25">
      <c r="A7720" s="5" t="s">
        <v>41077</v>
      </c>
      <c r="B7720" s="6">
        <v>393.75</v>
      </c>
      <c r="C7720" s="6">
        <v>20.478950000000001</v>
      </c>
      <c r="D7720" s="6">
        <v>68</v>
      </c>
      <c r="E7720" s="6">
        <v>0</v>
      </c>
      <c r="F7720" s="6">
        <v>0</v>
      </c>
      <c r="G7720" s="6">
        <v>9</v>
      </c>
      <c r="H7720" s="6" t="s">
        <v>41078</v>
      </c>
      <c r="I7720" s="6">
        <v>526.5</v>
      </c>
      <c r="J7720" s="2">
        <f t="shared" si="120"/>
        <v>43749.031983449073</v>
      </c>
    </row>
    <row r="7721" spans="1:10" x14ac:dyDescent="0.25">
      <c r="A7721" s="7" t="s">
        <v>41079</v>
      </c>
      <c r="B7721" s="8">
        <v>393.75</v>
      </c>
      <c r="C7721" s="8">
        <v>20.478950000000001</v>
      </c>
      <c r="D7721" s="8">
        <v>69</v>
      </c>
      <c r="E7721" s="8">
        <v>0</v>
      </c>
      <c r="F7721" s="8">
        <v>0</v>
      </c>
      <c r="G7721" s="8">
        <v>7</v>
      </c>
      <c r="H7721" s="8" t="s">
        <v>41080</v>
      </c>
      <c r="I7721" s="8">
        <v>526.6875</v>
      </c>
      <c r="J7721" s="3">
        <f t="shared" si="120"/>
        <v>43749.032066805557</v>
      </c>
    </row>
    <row r="7722" spans="1:10" x14ac:dyDescent="0.25">
      <c r="A7722" s="5" t="s">
        <v>41081</v>
      </c>
      <c r="B7722" s="6">
        <v>393.75</v>
      </c>
      <c r="C7722" s="6">
        <v>20.478950000000001</v>
      </c>
      <c r="D7722" s="6">
        <v>69</v>
      </c>
      <c r="E7722" s="6">
        <v>0</v>
      </c>
      <c r="F7722" s="6">
        <v>0</v>
      </c>
      <c r="G7722" s="6">
        <v>9</v>
      </c>
      <c r="H7722" s="6" t="s">
        <v>41082</v>
      </c>
      <c r="I7722" s="6">
        <v>526.6875</v>
      </c>
      <c r="J7722" s="2">
        <f t="shared" si="120"/>
        <v>43749.032138958333</v>
      </c>
    </row>
    <row r="7723" spans="1:10" x14ac:dyDescent="0.25">
      <c r="A7723" s="7" t="s">
        <v>41083</v>
      </c>
      <c r="B7723" s="8">
        <v>393.75</v>
      </c>
      <c r="C7723" s="8">
        <v>20.478950000000001</v>
      </c>
      <c r="D7723" s="8">
        <v>69</v>
      </c>
      <c r="E7723" s="8">
        <v>0</v>
      </c>
      <c r="F7723" s="8">
        <v>0</v>
      </c>
      <c r="G7723" s="8">
        <v>7</v>
      </c>
      <c r="H7723" s="8" t="s">
        <v>41084</v>
      </c>
      <c r="I7723" s="8">
        <v>526.6875</v>
      </c>
      <c r="J7723" s="3">
        <f t="shared" si="120"/>
        <v>43749.032222349539</v>
      </c>
    </row>
    <row r="7724" spans="1:10" x14ac:dyDescent="0.25">
      <c r="A7724" s="5" t="s">
        <v>41085</v>
      </c>
      <c r="B7724" s="6">
        <v>393.75</v>
      </c>
      <c r="C7724" s="6">
        <v>20.478950000000001</v>
      </c>
      <c r="D7724" s="6">
        <v>69</v>
      </c>
      <c r="E7724" s="6">
        <v>0</v>
      </c>
      <c r="F7724" s="6">
        <v>0</v>
      </c>
      <c r="G7724" s="6">
        <v>6</v>
      </c>
      <c r="H7724" s="6" t="s">
        <v>41086</v>
      </c>
      <c r="I7724" s="6">
        <v>526.6875</v>
      </c>
      <c r="J7724" s="2">
        <f t="shared" si="120"/>
        <v>43749.03229362268</v>
      </c>
    </row>
    <row r="7725" spans="1:10" x14ac:dyDescent="0.25">
      <c r="A7725" s="7" t="s">
        <v>41087</v>
      </c>
      <c r="B7725" s="8">
        <v>393.75</v>
      </c>
      <c r="C7725" s="8">
        <v>20.478950000000001</v>
      </c>
      <c r="D7725" s="8">
        <v>69</v>
      </c>
      <c r="E7725" s="8">
        <v>0</v>
      </c>
      <c r="F7725" s="8">
        <v>0</v>
      </c>
      <c r="G7725" s="8">
        <v>7</v>
      </c>
      <c r="H7725" s="8" t="s">
        <v>41088</v>
      </c>
      <c r="I7725" s="8">
        <v>526.6875</v>
      </c>
      <c r="J7725" s="3">
        <f t="shared" si="120"/>
        <v>43749.032364942126</v>
      </c>
    </row>
    <row r="7726" spans="1:10" x14ac:dyDescent="0.25">
      <c r="A7726" s="5" t="s">
        <v>41089</v>
      </c>
      <c r="B7726" s="6">
        <v>393.75</v>
      </c>
      <c r="C7726" s="6">
        <v>20.478950000000001</v>
      </c>
      <c r="D7726" s="6">
        <v>70</v>
      </c>
      <c r="E7726" s="6">
        <v>0</v>
      </c>
      <c r="F7726" s="6">
        <v>0</v>
      </c>
      <c r="G7726" s="6">
        <v>12</v>
      </c>
      <c r="H7726" s="6" t="s">
        <v>41090</v>
      </c>
      <c r="I7726" s="6">
        <v>526.5</v>
      </c>
      <c r="J7726" s="2">
        <f t="shared" si="120"/>
        <v>43749.032437164351</v>
      </c>
    </row>
    <row r="7727" spans="1:10" x14ac:dyDescent="0.25">
      <c r="A7727" s="7" t="s">
        <v>41091</v>
      </c>
      <c r="B7727" s="8">
        <v>393.75</v>
      </c>
      <c r="C7727" s="8">
        <v>20.426300000000001</v>
      </c>
      <c r="D7727" s="8">
        <v>70</v>
      </c>
      <c r="E7727" s="8">
        <v>0</v>
      </c>
      <c r="F7727" s="8">
        <v>0</v>
      </c>
      <c r="G7727" s="8">
        <v>5</v>
      </c>
      <c r="H7727" s="8" t="s">
        <v>41092</v>
      </c>
      <c r="I7727" s="8">
        <v>526.6875</v>
      </c>
      <c r="J7727" s="3">
        <f t="shared" si="120"/>
        <v>43749.032508379627</v>
      </c>
    </row>
    <row r="7728" spans="1:10" x14ac:dyDescent="0.25">
      <c r="A7728" s="5" t="s">
        <v>41093</v>
      </c>
      <c r="B7728" s="6">
        <v>393.75</v>
      </c>
      <c r="C7728" s="6">
        <v>20.478950000000001</v>
      </c>
      <c r="D7728" s="6">
        <v>70</v>
      </c>
      <c r="E7728" s="6">
        <v>0</v>
      </c>
      <c r="F7728" s="6">
        <v>0</v>
      </c>
      <c r="G7728" s="6">
        <v>0</v>
      </c>
      <c r="H7728" s="6" t="s">
        <v>41094</v>
      </c>
      <c r="I7728" s="6">
        <v>526.5</v>
      </c>
      <c r="J7728" s="2">
        <f t="shared" si="120"/>
        <v>43749.032579699073</v>
      </c>
    </row>
    <row r="7729" spans="1:10" x14ac:dyDescent="0.25">
      <c r="A7729" s="7" t="s">
        <v>41095</v>
      </c>
      <c r="B7729" s="8">
        <v>393.75</v>
      </c>
      <c r="C7729" s="8">
        <v>20.478950000000001</v>
      </c>
      <c r="D7729" s="8">
        <v>72</v>
      </c>
      <c r="E7729" s="8">
        <v>0</v>
      </c>
      <c r="F7729" s="8">
        <v>0</v>
      </c>
      <c r="G7729" s="8">
        <v>8</v>
      </c>
      <c r="H7729" s="8" t="s">
        <v>41096</v>
      </c>
      <c r="I7729" s="8">
        <v>526.6875</v>
      </c>
      <c r="J7729" s="3">
        <f t="shared" si="120"/>
        <v>43749.032651099529</v>
      </c>
    </row>
    <row r="7730" spans="1:10" x14ac:dyDescent="0.25">
      <c r="A7730" s="5" t="s">
        <v>41097</v>
      </c>
      <c r="B7730" s="6">
        <v>393.75</v>
      </c>
      <c r="C7730" s="6">
        <v>20.478950000000001</v>
      </c>
      <c r="D7730" s="6">
        <v>73</v>
      </c>
      <c r="E7730" s="6">
        <v>0</v>
      </c>
      <c r="F7730" s="6">
        <v>0</v>
      </c>
      <c r="G7730" s="6">
        <v>11</v>
      </c>
      <c r="H7730" s="6" t="s">
        <v>41098</v>
      </c>
      <c r="I7730" s="6">
        <v>526.6875</v>
      </c>
      <c r="J7730" s="2">
        <f t="shared" si="120"/>
        <v>43749.032723275457</v>
      </c>
    </row>
    <row r="7731" spans="1:10" x14ac:dyDescent="0.25">
      <c r="A7731" s="7" t="s">
        <v>41099</v>
      </c>
      <c r="B7731" s="8">
        <v>393.75</v>
      </c>
      <c r="C7731" s="8">
        <v>20.478950000000001</v>
      </c>
      <c r="D7731" s="8">
        <v>73</v>
      </c>
      <c r="E7731" s="8">
        <v>0</v>
      </c>
      <c r="F7731" s="8">
        <v>0</v>
      </c>
      <c r="G7731" s="8">
        <v>10</v>
      </c>
      <c r="H7731" s="8" t="s">
        <v>41100</v>
      </c>
      <c r="I7731" s="8">
        <v>526.6875</v>
      </c>
      <c r="J7731" s="3">
        <f t="shared" si="120"/>
        <v>43749.03280660879</v>
      </c>
    </row>
    <row r="7732" spans="1:10" x14ac:dyDescent="0.25">
      <c r="A7732" s="5" t="s">
        <v>41101</v>
      </c>
      <c r="B7732" s="6">
        <v>393.75</v>
      </c>
      <c r="C7732" s="6">
        <v>20.426300000000001</v>
      </c>
      <c r="D7732" s="6">
        <v>70</v>
      </c>
      <c r="E7732" s="6">
        <v>0</v>
      </c>
      <c r="F7732" s="6">
        <v>0</v>
      </c>
      <c r="G7732" s="6">
        <v>11</v>
      </c>
      <c r="H7732" s="6" t="s">
        <v>41102</v>
      </c>
      <c r="I7732" s="6">
        <v>526.6875</v>
      </c>
      <c r="J7732" s="2">
        <f t="shared" si="120"/>
        <v>43749.032889930553</v>
      </c>
    </row>
    <row r="7733" spans="1:10" x14ac:dyDescent="0.25">
      <c r="A7733" s="7" t="s">
        <v>41103</v>
      </c>
      <c r="B7733" s="8">
        <v>393.75</v>
      </c>
      <c r="C7733" s="8">
        <v>20.478950000000001</v>
      </c>
      <c r="D7733" s="8">
        <v>70</v>
      </c>
      <c r="E7733" s="8">
        <v>0</v>
      </c>
      <c r="F7733" s="8">
        <v>0</v>
      </c>
      <c r="G7733" s="8">
        <v>8</v>
      </c>
      <c r="H7733" s="8" t="s">
        <v>41104</v>
      </c>
      <c r="I7733" s="8">
        <v>526.5</v>
      </c>
      <c r="J7733" s="3">
        <f t="shared" si="120"/>
        <v>43749.032961215278</v>
      </c>
    </row>
    <row r="7734" spans="1:10" x14ac:dyDescent="0.25">
      <c r="A7734" s="5" t="s">
        <v>41105</v>
      </c>
      <c r="B7734" s="6">
        <v>393.75</v>
      </c>
      <c r="C7734" s="6">
        <v>20.478950000000001</v>
      </c>
      <c r="D7734" s="6">
        <v>70</v>
      </c>
      <c r="E7734" s="6">
        <v>0</v>
      </c>
      <c r="F7734" s="6">
        <v>0</v>
      </c>
      <c r="G7734" s="6">
        <v>8</v>
      </c>
      <c r="H7734" s="6" t="s">
        <v>41106</v>
      </c>
      <c r="I7734" s="6">
        <v>526.5</v>
      </c>
      <c r="J7734" s="2">
        <f t="shared" si="120"/>
        <v>43749.033033449072</v>
      </c>
    </row>
    <row r="7735" spans="1:10" x14ac:dyDescent="0.25">
      <c r="A7735" s="7" t="s">
        <v>41107</v>
      </c>
      <c r="B7735" s="8">
        <v>393.75</v>
      </c>
      <c r="C7735" s="8">
        <v>20.478950000000001</v>
      </c>
      <c r="D7735" s="8">
        <v>70</v>
      </c>
      <c r="E7735" s="8">
        <v>0</v>
      </c>
      <c r="F7735" s="8">
        <v>0</v>
      </c>
      <c r="G7735" s="8">
        <v>12</v>
      </c>
      <c r="H7735" s="8" t="s">
        <v>41108</v>
      </c>
      <c r="I7735" s="8">
        <v>526.6875</v>
      </c>
      <c r="J7735" s="3">
        <f t="shared" si="120"/>
        <v>43749.033104710645</v>
      </c>
    </row>
    <row r="7736" spans="1:10" x14ac:dyDescent="0.25">
      <c r="A7736" s="5" t="s">
        <v>41109</v>
      </c>
      <c r="B7736" s="6">
        <v>393.75</v>
      </c>
      <c r="C7736" s="6">
        <v>20.426300000000001</v>
      </c>
      <c r="D7736" s="6">
        <v>71</v>
      </c>
      <c r="E7736" s="6">
        <v>0</v>
      </c>
      <c r="F7736" s="6">
        <v>0</v>
      </c>
      <c r="G7736" s="6">
        <v>1</v>
      </c>
      <c r="H7736" s="6" t="s">
        <v>41110</v>
      </c>
      <c r="I7736" s="6">
        <v>526.6875</v>
      </c>
      <c r="J7736" s="2">
        <f t="shared" si="120"/>
        <v>43749.033176793979</v>
      </c>
    </row>
    <row r="7737" spans="1:10" x14ac:dyDescent="0.25">
      <c r="A7737" s="7" t="s">
        <v>41111</v>
      </c>
      <c r="B7737" s="8">
        <v>393.75</v>
      </c>
      <c r="C7737" s="8">
        <v>20.478950000000001</v>
      </c>
      <c r="D7737" s="8">
        <v>71</v>
      </c>
      <c r="E7737" s="8">
        <v>0</v>
      </c>
      <c r="F7737" s="8">
        <v>0</v>
      </c>
      <c r="G7737" s="8">
        <v>10</v>
      </c>
      <c r="H7737" s="8" t="s">
        <v>41112</v>
      </c>
      <c r="I7737" s="8">
        <v>526.6875</v>
      </c>
      <c r="J7737" s="3">
        <f t="shared" si="120"/>
        <v>43749.033248032407</v>
      </c>
    </row>
    <row r="7738" spans="1:10" x14ac:dyDescent="0.25">
      <c r="A7738" s="5" t="s">
        <v>41113</v>
      </c>
      <c r="B7738" s="6">
        <v>393.75</v>
      </c>
      <c r="C7738" s="6">
        <v>20.478950000000001</v>
      </c>
      <c r="D7738" s="6">
        <v>71</v>
      </c>
      <c r="E7738" s="6">
        <v>0</v>
      </c>
      <c r="F7738" s="6">
        <v>0</v>
      </c>
      <c r="G7738" s="6">
        <v>7</v>
      </c>
      <c r="H7738" s="6" t="s">
        <v>41114</v>
      </c>
      <c r="I7738" s="6">
        <v>526.6875</v>
      </c>
      <c r="J7738" s="2">
        <f t="shared" si="120"/>
        <v>43749.033342766204</v>
      </c>
    </row>
    <row r="7739" spans="1:10" x14ac:dyDescent="0.25">
      <c r="A7739" s="7" t="s">
        <v>41115</v>
      </c>
      <c r="B7739" s="8">
        <v>393.75</v>
      </c>
      <c r="C7739" s="8">
        <v>20.478950000000001</v>
      </c>
      <c r="D7739" s="8">
        <v>71</v>
      </c>
      <c r="E7739" s="8">
        <v>0</v>
      </c>
      <c r="F7739" s="8">
        <v>0</v>
      </c>
      <c r="G7739" s="8">
        <v>6</v>
      </c>
      <c r="H7739" s="8" t="s">
        <v>41116</v>
      </c>
      <c r="I7739" s="8">
        <v>526.6875</v>
      </c>
      <c r="J7739" s="3">
        <f t="shared" si="120"/>
        <v>43749.033414907404</v>
      </c>
    </row>
    <row r="7740" spans="1:10" x14ac:dyDescent="0.25">
      <c r="A7740" s="5" t="s">
        <v>41117</v>
      </c>
      <c r="B7740" s="6">
        <v>393.75</v>
      </c>
      <c r="C7740" s="6">
        <v>20.478950000000001</v>
      </c>
      <c r="D7740" s="6">
        <v>71</v>
      </c>
      <c r="E7740" s="6">
        <v>0</v>
      </c>
      <c r="F7740" s="6">
        <v>0</v>
      </c>
      <c r="G7740" s="6">
        <v>3</v>
      </c>
      <c r="H7740" s="6" t="s">
        <v>41118</v>
      </c>
      <c r="I7740" s="6">
        <v>526.6875</v>
      </c>
      <c r="J7740" s="2">
        <f t="shared" si="120"/>
        <v>43749.033486238426</v>
      </c>
    </row>
    <row r="7741" spans="1:10" x14ac:dyDescent="0.25">
      <c r="A7741" s="7" t="s">
        <v>41119</v>
      </c>
      <c r="B7741" s="8">
        <v>393.75</v>
      </c>
      <c r="C7741" s="8">
        <v>20.478950000000001</v>
      </c>
      <c r="D7741" s="8">
        <v>70</v>
      </c>
      <c r="E7741" s="8">
        <v>0</v>
      </c>
      <c r="F7741" s="8">
        <v>0</v>
      </c>
      <c r="G7741" s="8">
        <v>1</v>
      </c>
      <c r="H7741" s="8" t="s">
        <v>41120</v>
      </c>
      <c r="I7741" s="8">
        <v>526.6875</v>
      </c>
      <c r="J7741" s="3">
        <f t="shared" si="120"/>
        <v>43749.033557476847</v>
      </c>
    </row>
    <row r="7742" spans="1:10" x14ac:dyDescent="0.25">
      <c r="A7742" s="5" t="s">
        <v>41121</v>
      </c>
      <c r="B7742" s="6">
        <v>393.75</v>
      </c>
      <c r="C7742" s="6">
        <v>20.478950000000001</v>
      </c>
      <c r="D7742" s="6">
        <v>70</v>
      </c>
      <c r="E7742" s="6">
        <v>0</v>
      </c>
      <c r="F7742" s="6">
        <v>0</v>
      </c>
      <c r="G7742" s="6">
        <v>5</v>
      </c>
      <c r="H7742" s="6" t="s">
        <v>41122</v>
      </c>
      <c r="I7742" s="6">
        <v>526.6875</v>
      </c>
      <c r="J7742" s="2">
        <f t="shared" si="120"/>
        <v>43749.033629745369</v>
      </c>
    </row>
    <row r="7743" spans="1:10" x14ac:dyDescent="0.25">
      <c r="A7743" s="7" t="s">
        <v>41123</v>
      </c>
      <c r="B7743" s="8">
        <v>393.75</v>
      </c>
      <c r="C7743" s="8">
        <v>20.478950000000001</v>
      </c>
      <c r="D7743" s="8">
        <v>70</v>
      </c>
      <c r="E7743" s="8">
        <v>0</v>
      </c>
      <c r="F7743" s="8">
        <v>0</v>
      </c>
      <c r="G7743" s="8">
        <v>5</v>
      </c>
      <c r="H7743" s="8" t="s">
        <v>41124</v>
      </c>
      <c r="I7743" s="8">
        <v>526.6875</v>
      </c>
      <c r="J7743" s="3">
        <f t="shared" si="120"/>
        <v>43749.03371304398</v>
      </c>
    </row>
    <row r="7744" spans="1:10" x14ac:dyDescent="0.25">
      <c r="A7744" s="5" t="s">
        <v>41125</v>
      </c>
      <c r="B7744" s="6">
        <v>393.75</v>
      </c>
      <c r="C7744" s="6">
        <v>20.478950000000001</v>
      </c>
      <c r="D7744" s="6">
        <v>70</v>
      </c>
      <c r="E7744" s="6">
        <v>0</v>
      </c>
      <c r="F7744" s="6">
        <v>0</v>
      </c>
      <c r="G7744" s="6">
        <v>1</v>
      </c>
      <c r="H7744" s="6" t="s">
        <v>41126</v>
      </c>
      <c r="I7744" s="6">
        <v>526.5</v>
      </c>
      <c r="J7744" s="2">
        <f t="shared" si="120"/>
        <v>43749.03378435185</v>
      </c>
    </row>
    <row r="7745" spans="1:10" x14ac:dyDescent="0.25">
      <c r="A7745" s="7" t="s">
        <v>41127</v>
      </c>
      <c r="B7745" s="8">
        <v>412.5</v>
      </c>
      <c r="C7745" s="8">
        <v>20.478950000000001</v>
      </c>
      <c r="D7745" s="8">
        <v>70</v>
      </c>
      <c r="E7745" s="8">
        <v>0</v>
      </c>
      <c r="F7745" s="8">
        <v>0</v>
      </c>
      <c r="G7745" s="8">
        <v>3</v>
      </c>
      <c r="H7745" s="8" t="s">
        <v>41128</v>
      </c>
      <c r="I7745" s="8">
        <v>532.3125</v>
      </c>
      <c r="J7745" s="3">
        <f t="shared" si="120"/>
        <v>43749.033855682872</v>
      </c>
    </row>
    <row r="7746" spans="1:10" x14ac:dyDescent="0.25">
      <c r="A7746" s="5" t="s">
        <v>41129</v>
      </c>
      <c r="B7746" s="6">
        <v>393.75</v>
      </c>
      <c r="C7746" s="6">
        <v>20.478950000000001</v>
      </c>
      <c r="D7746" s="6">
        <v>70</v>
      </c>
      <c r="E7746" s="6">
        <v>0</v>
      </c>
      <c r="F7746" s="6">
        <v>0</v>
      </c>
      <c r="G7746" s="6">
        <v>11</v>
      </c>
      <c r="H7746" s="6" t="s">
        <v>41130</v>
      </c>
      <c r="I7746" s="6">
        <v>526.6875</v>
      </c>
      <c r="J7746" s="2">
        <f t="shared" ref="J7746:J7809" si="121">(H7746/86400000)+25569+(7/24)</f>
        <v>43749.033927314813</v>
      </c>
    </row>
    <row r="7747" spans="1:10" x14ac:dyDescent="0.25">
      <c r="A7747" s="7" t="s">
        <v>41131</v>
      </c>
      <c r="B7747" s="8">
        <v>393.75</v>
      </c>
      <c r="C7747" s="8">
        <v>20.478950000000001</v>
      </c>
      <c r="D7747" s="8">
        <v>72</v>
      </c>
      <c r="E7747" s="8">
        <v>0</v>
      </c>
      <c r="F7747" s="8">
        <v>0</v>
      </c>
      <c r="G7747" s="8">
        <v>8</v>
      </c>
      <c r="H7747" s="8" t="s">
        <v>41132</v>
      </c>
      <c r="I7747" s="8">
        <v>526.6875</v>
      </c>
      <c r="J7747" s="3">
        <f t="shared" si="121"/>
        <v>43749.033999212959</v>
      </c>
    </row>
    <row r="7748" spans="1:10" x14ac:dyDescent="0.25">
      <c r="A7748" s="5" t="s">
        <v>41133</v>
      </c>
      <c r="B7748" s="6">
        <v>393.75</v>
      </c>
      <c r="C7748" s="6">
        <v>20.478950000000001</v>
      </c>
      <c r="D7748" s="6">
        <v>72</v>
      </c>
      <c r="E7748" s="6">
        <v>0</v>
      </c>
      <c r="F7748" s="6">
        <v>0</v>
      </c>
      <c r="G7748" s="6">
        <v>0</v>
      </c>
      <c r="H7748" s="6" t="s">
        <v>41134</v>
      </c>
      <c r="I7748" s="6">
        <v>526.6875</v>
      </c>
      <c r="J7748" s="2">
        <f t="shared" si="121"/>
        <v>43749.034070497684</v>
      </c>
    </row>
    <row r="7749" spans="1:10" x14ac:dyDescent="0.25">
      <c r="A7749" s="7" t="s">
        <v>41135</v>
      </c>
      <c r="B7749" s="8">
        <v>437.5</v>
      </c>
      <c r="C7749" s="8">
        <v>20.478950000000001</v>
      </c>
      <c r="D7749" s="8">
        <v>72</v>
      </c>
      <c r="E7749" s="8">
        <v>0</v>
      </c>
      <c r="F7749" s="8">
        <v>0</v>
      </c>
      <c r="G7749" s="8">
        <v>11</v>
      </c>
      <c r="H7749" s="8" t="s">
        <v>41136</v>
      </c>
      <c r="I7749" s="8">
        <v>540.75</v>
      </c>
      <c r="J7749" s="3">
        <f t="shared" si="121"/>
        <v>43749.034144502315</v>
      </c>
    </row>
    <row r="7750" spans="1:10" x14ac:dyDescent="0.25">
      <c r="A7750" s="5" t="s">
        <v>41137</v>
      </c>
      <c r="B7750" s="6">
        <v>393.75</v>
      </c>
      <c r="C7750" s="6">
        <v>20.478950000000001</v>
      </c>
      <c r="D7750" s="6">
        <v>72</v>
      </c>
      <c r="E7750" s="6">
        <v>0</v>
      </c>
      <c r="F7750" s="6">
        <v>0</v>
      </c>
      <c r="G7750" s="6">
        <v>2</v>
      </c>
      <c r="H7750" s="6" t="s">
        <v>41138</v>
      </c>
      <c r="I7750" s="6">
        <v>526.6875</v>
      </c>
      <c r="J7750" s="2">
        <f t="shared" si="121"/>
        <v>43749.034213101848</v>
      </c>
    </row>
    <row r="7751" spans="1:10" x14ac:dyDescent="0.25">
      <c r="A7751" s="7" t="s">
        <v>41139</v>
      </c>
      <c r="B7751" s="8">
        <v>393.75</v>
      </c>
      <c r="C7751" s="8">
        <v>20.478950000000001</v>
      </c>
      <c r="D7751" s="8">
        <v>71</v>
      </c>
      <c r="E7751" s="8">
        <v>0</v>
      </c>
      <c r="F7751" s="8">
        <v>0</v>
      </c>
      <c r="G7751" s="8">
        <v>4</v>
      </c>
      <c r="H7751" s="8" t="s">
        <v>41140</v>
      </c>
      <c r="I7751" s="8">
        <v>526.6875</v>
      </c>
      <c r="J7751" s="3">
        <f t="shared" si="121"/>
        <v>43749.034285289345</v>
      </c>
    </row>
    <row r="7752" spans="1:10" x14ac:dyDescent="0.25">
      <c r="A7752" s="5" t="s">
        <v>41141</v>
      </c>
      <c r="B7752" s="6">
        <v>393.75</v>
      </c>
      <c r="C7752" s="6">
        <v>20.478950000000001</v>
      </c>
      <c r="D7752" s="6">
        <v>70</v>
      </c>
      <c r="E7752" s="6">
        <v>0</v>
      </c>
      <c r="F7752" s="6">
        <v>0</v>
      </c>
      <c r="G7752" s="6">
        <v>9</v>
      </c>
      <c r="H7752" s="6" t="s">
        <v>41142</v>
      </c>
      <c r="I7752" s="6">
        <v>526.6875</v>
      </c>
      <c r="J7752" s="2">
        <f t="shared" si="121"/>
        <v>43749.034397326388</v>
      </c>
    </row>
    <row r="7753" spans="1:10" x14ac:dyDescent="0.25">
      <c r="A7753" s="7" t="s">
        <v>41143</v>
      </c>
      <c r="B7753" s="8">
        <v>393.75</v>
      </c>
      <c r="C7753" s="8">
        <v>20.478950000000001</v>
      </c>
      <c r="D7753" s="8">
        <v>70</v>
      </c>
      <c r="E7753" s="8">
        <v>0</v>
      </c>
      <c r="F7753" s="8">
        <v>0</v>
      </c>
      <c r="G7753" s="8">
        <v>1</v>
      </c>
      <c r="H7753" s="8" t="s">
        <v>41144</v>
      </c>
      <c r="I7753" s="8">
        <v>526.6875</v>
      </c>
      <c r="J7753" s="3">
        <f t="shared" si="121"/>
        <v>43749.034475972221</v>
      </c>
    </row>
    <row r="7754" spans="1:10" x14ac:dyDescent="0.25">
      <c r="A7754" s="5" t="s">
        <v>41145</v>
      </c>
      <c r="B7754" s="6">
        <v>393.75</v>
      </c>
      <c r="C7754" s="6">
        <v>20.478950000000001</v>
      </c>
      <c r="D7754" s="6">
        <v>70</v>
      </c>
      <c r="E7754" s="6">
        <v>0</v>
      </c>
      <c r="F7754" s="6">
        <v>0</v>
      </c>
      <c r="G7754" s="6">
        <v>4</v>
      </c>
      <c r="H7754" s="6" t="s">
        <v>41146</v>
      </c>
      <c r="I7754" s="6">
        <v>526.5</v>
      </c>
      <c r="J7754" s="2">
        <f t="shared" si="121"/>
        <v>43749.034547442126</v>
      </c>
    </row>
    <row r="7755" spans="1:10" x14ac:dyDescent="0.25">
      <c r="A7755" s="7" t="s">
        <v>41147</v>
      </c>
      <c r="B7755" s="8">
        <v>393.75</v>
      </c>
      <c r="C7755" s="8">
        <v>20.478950000000001</v>
      </c>
      <c r="D7755" s="8">
        <v>71</v>
      </c>
      <c r="E7755" s="8">
        <v>0</v>
      </c>
      <c r="F7755" s="8">
        <v>0</v>
      </c>
      <c r="G7755" s="8">
        <v>6</v>
      </c>
      <c r="H7755" s="8" t="s">
        <v>41148</v>
      </c>
      <c r="I7755" s="8">
        <v>526.6875</v>
      </c>
      <c r="J7755" s="3">
        <f t="shared" si="121"/>
        <v>43749.03463135416</v>
      </c>
    </row>
    <row r="7756" spans="1:10" x14ac:dyDescent="0.25">
      <c r="A7756" s="5" t="s">
        <v>41149</v>
      </c>
      <c r="B7756" s="6">
        <v>393.75</v>
      </c>
      <c r="C7756" s="6">
        <v>20.478950000000001</v>
      </c>
      <c r="D7756" s="6">
        <v>71</v>
      </c>
      <c r="E7756" s="6">
        <v>0</v>
      </c>
      <c r="F7756" s="6">
        <v>0</v>
      </c>
      <c r="G7756" s="6">
        <v>5</v>
      </c>
      <c r="H7756" s="6" t="s">
        <v>41150</v>
      </c>
      <c r="I7756" s="6">
        <v>526.5</v>
      </c>
      <c r="J7756" s="2">
        <f t="shared" si="121"/>
        <v>43749.034702858793</v>
      </c>
    </row>
    <row r="7757" spans="1:10" x14ac:dyDescent="0.25">
      <c r="A7757" s="7" t="s">
        <v>41151</v>
      </c>
      <c r="B7757" s="8">
        <v>393.75</v>
      </c>
      <c r="C7757" s="8">
        <v>20.478950000000001</v>
      </c>
      <c r="D7757" s="8">
        <v>71</v>
      </c>
      <c r="E7757" s="8">
        <v>0</v>
      </c>
      <c r="F7757" s="8">
        <v>0</v>
      </c>
      <c r="G7757" s="8">
        <v>8</v>
      </c>
      <c r="H7757" s="8" t="s">
        <v>41152</v>
      </c>
      <c r="I7757" s="8">
        <v>526.6875</v>
      </c>
      <c r="J7757" s="3">
        <f t="shared" si="121"/>
        <v>43749.034774131942</v>
      </c>
    </row>
    <row r="7758" spans="1:10" x14ac:dyDescent="0.25">
      <c r="A7758" s="5" t="s">
        <v>41153</v>
      </c>
      <c r="B7758" s="6">
        <v>412.5</v>
      </c>
      <c r="C7758" s="6">
        <v>20.478950000000001</v>
      </c>
      <c r="D7758" s="6">
        <v>71</v>
      </c>
      <c r="E7758" s="6">
        <v>0</v>
      </c>
      <c r="F7758" s="6">
        <v>0</v>
      </c>
      <c r="G7758" s="6">
        <v>3</v>
      </c>
      <c r="H7758" s="6" t="s">
        <v>41154</v>
      </c>
      <c r="I7758" s="6">
        <v>532.3125</v>
      </c>
      <c r="J7758" s="2">
        <f t="shared" si="121"/>
        <v>43749.034845462964</v>
      </c>
    </row>
    <row r="7759" spans="1:10" x14ac:dyDescent="0.25">
      <c r="A7759" s="7" t="s">
        <v>41155</v>
      </c>
      <c r="B7759" s="8">
        <v>393.75</v>
      </c>
      <c r="C7759" s="8">
        <v>20.426300000000001</v>
      </c>
      <c r="D7759" s="8">
        <v>70</v>
      </c>
      <c r="E7759" s="8">
        <v>0</v>
      </c>
      <c r="F7759" s="8">
        <v>0</v>
      </c>
      <c r="G7759" s="8">
        <v>12</v>
      </c>
      <c r="H7759" s="8" t="s">
        <v>41156</v>
      </c>
      <c r="I7759" s="8">
        <v>526.6875</v>
      </c>
      <c r="J7759" s="3">
        <f t="shared" si="121"/>
        <v>43749.034917696757</v>
      </c>
    </row>
    <row r="7760" spans="1:10" x14ac:dyDescent="0.25">
      <c r="A7760" s="5" t="s">
        <v>41157</v>
      </c>
      <c r="B7760" s="6">
        <v>393.75</v>
      </c>
      <c r="C7760" s="6">
        <v>20.478950000000001</v>
      </c>
      <c r="D7760" s="6">
        <v>72</v>
      </c>
      <c r="E7760" s="6">
        <v>0</v>
      </c>
      <c r="F7760" s="6">
        <v>0</v>
      </c>
      <c r="G7760" s="6">
        <v>5</v>
      </c>
      <c r="H7760" s="6" t="s">
        <v>41158</v>
      </c>
      <c r="I7760" s="6">
        <v>526.6875</v>
      </c>
      <c r="J7760" s="2">
        <f t="shared" si="121"/>
        <v>43749.034988993059</v>
      </c>
    </row>
    <row r="7761" spans="1:10" x14ac:dyDescent="0.25">
      <c r="A7761" s="7" t="s">
        <v>41159</v>
      </c>
      <c r="B7761" s="8">
        <v>393.75</v>
      </c>
      <c r="C7761" s="8">
        <v>20.478950000000001</v>
      </c>
      <c r="D7761" s="8">
        <v>72</v>
      </c>
      <c r="E7761" s="8">
        <v>0</v>
      </c>
      <c r="F7761" s="8">
        <v>0</v>
      </c>
      <c r="G7761" s="8">
        <v>11</v>
      </c>
      <c r="H7761" s="8" t="s">
        <v>41160</v>
      </c>
      <c r="I7761" s="8">
        <v>526.6875</v>
      </c>
      <c r="J7761" s="3">
        <f t="shared" si="121"/>
        <v>43749.035060277776</v>
      </c>
    </row>
    <row r="7762" spans="1:10" x14ac:dyDescent="0.25">
      <c r="A7762" s="5" t="s">
        <v>41161</v>
      </c>
      <c r="B7762" s="6">
        <v>418.75</v>
      </c>
      <c r="C7762" s="6">
        <v>20.478950000000001</v>
      </c>
      <c r="D7762" s="6">
        <v>70</v>
      </c>
      <c r="E7762" s="6">
        <v>0</v>
      </c>
      <c r="F7762" s="6">
        <v>0</v>
      </c>
      <c r="G7762" s="6">
        <v>8</v>
      </c>
      <c r="H7762" s="6" t="s">
        <v>41162</v>
      </c>
      <c r="I7762" s="6">
        <v>534.9375</v>
      </c>
      <c r="J7762" s="2">
        <f t="shared" si="121"/>
        <v>43749.03513960648</v>
      </c>
    </row>
    <row r="7763" spans="1:10" x14ac:dyDescent="0.25">
      <c r="A7763" s="7" t="s">
        <v>41163</v>
      </c>
      <c r="B7763" s="8">
        <v>393.75</v>
      </c>
      <c r="C7763" s="8">
        <v>20.478950000000001</v>
      </c>
      <c r="D7763" s="8">
        <v>71</v>
      </c>
      <c r="E7763" s="8">
        <v>0</v>
      </c>
      <c r="F7763" s="8">
        <v>0</v>
      </c>
      <c r="G7763" s="8">
        <v>13</v>
      </c>
      <c r="H7763" s="8" t="s">
        <v>41164</v>
      </c>
      <c r="I7763" s="8">
        <v>526.6875</v>
      </c>
      <c r="J7763" s="3">
        <f t="shared" si="121"/>
        <v>43749.035215763892</v>
      </c>
    </row>
    <row r="7764" spans="1:10" x14ac:dyDescent="0.25">
      <c r="A7764" s="5" t="s">
        <v>41165</v>
      </c>
      <c r="B7764" s="6">
        <v>393.75</v>
      </c>
      <c r="C7764" s="6">
        <v>20.478950000000001</v>
      </c>
      <c r="D7764" s="6">
        <v>70</v>
      </c>
      <c r="E7764" s="6">
        <v>0</v>
      </c>
      <c r="F7764" s="6">
        <v>0</v>
      </c>
      <c r="G7764" s="6">
        <v>5</v>
      </c>
      <c r="H7764" s="6" t="s">
        <v>41166</v>
      </c>
      <c r="I7764" s="6">
        <v>526.6875</v>
      </c>
      <c r="J7764" s="2">
        <f t="shared" si="121"/>
        <v>43749.035287141196</v>
      </c>
    </row>
    <row r="7765" spans="1:10" x14ac:dyDescent="0.25">
      <c r="A7765" s="7" t="s">
        <v>41167</v>
      </c>
      <c r="B7765" s="8">
        <v>393.75</v>
      </c>
      <c r="C7765" s="8">
        <v>20.478950000000001</v>
      </c>
      <c r="D7765" s="8">
        <v>69</v>
      </c>
      <c r="E7765" s="8">
        <v>0</v>
      </c>
      <c r="F7765" s="8">
        <v>0</v>
      </c>
      <c r="G7765" s="8">
        <v>5</v>
      </c>
      <c r="H7765" s="8" t="s">
        <v>41168</v>
      </c>
      <c r="I7765" s="8">
        <v>526.6875</v>
      </c>
      <c r="J7765" s="3">
        <f t="shared" si="121"/>
        <v>43749.035358437497</v>
      </c>
    </row>
    <row r="7766" spans="1:10" x14ac:dyDescent="0.25">
      <c r="A7766" s="5" t="s">
        <v>41169</v>
      </c>
      <c r="B7766" s="6">
        <v>393.75</v>
      </c>
      <c r="C7766" s="6">
        <v>20.478950000000001</v>
      </c>
      <c r="D7766" s="6">
        <v>70</v>
      </c>
      <c r="E7766" s="6">
        <v>0</v>
      </c>
      <c r="F7766" s="6">
        <v>0</v>
      </c>
      <c r="G7766" s="6">
        <v>12</v>
      </c>
      <c r="H7766" s="6" t="s">
        <v>41170</v>
      </c>
      <c r="I7766" s="6">
        <v>526.6875</v>
      </c>
      <c r="J7766" s="2">
        <f t="shared" si="121"/>
        <v>43749.035429791664</v>
      </c>
    </row>
    <row r="7767" spans="1:10" x14ac:dyDescent="0.25">
      <c r="A7767" s="7" t="s">
        <v>41171</v>
      </c>
      <c r="B7767" s="8">
        <v>393.75</v>
      </c>
      <c r="C7767" s="8">
        <v>20.478950000000001</v>
      </c>
      <c r="D7767" s="8">
        <v>68</v>
      </c>
      <c r="E7767" s="8">
        <v>0</v>
      </c>
      <c r="F7767" s="8">
        <v>0</v>
      </c>
      <c r="G7767" s="8">
        <v>0</v>
      </c>
      <c r="H7767" s="8" t="s">
        <v>41172</v>
      </c>
      <c r="I7767" s="8">
        <v>526.6875</v>
      </c>
      <c r="J7767" s="3">
        <f t="shared" si="121"/>
        <v>43749.035501944447</v>
      </c>
    </row>
    <row r="7768" spans="1:10" x14ac:dyDescent="0.25">
      <c r="A7768" s="5" t="s">
        <v>41173</v>
      </c>
      <c r="B7768" s="6">
        <v>393.75</v>
      </c>
      <c r="C7768" s="6">
        <v>20.478950000000001</v>
      </c>
      <c r="D7768" s="6">
        <v>70</v>
      </c>
      <c r="E7768" s="6">
        <v>0</v>
      </c>
      <c r="F7768" s="6">
        <v>0</v>
      </c>
      <c r="G7768" s="6">
        <v>1</v>
      </c>
      <c r="H7768" s="6" t="s">
        <v>41174</v>
      </c>
      <c r="I7768" s="6">
        <v>526.5</v>
      </c>
      <c r="J7768" s="2">
        <f t="shared" si="121"/>
        <v>43749.035573229165</v>
      </c>
    </row>
    <row r="7769" spans="1:10" x14ac:dyDescent="0.25">
      <c r="A7769" s="7" t="s">
        <v>41175</v>
      </c>
      <c r="B7769" s="8">
        <v>393.75</v>
      </c>
      <c r="C7769" s="8">
        <v>20.478950000000001</v>
      </c>
      <c r="D7769" s="8">
        <v>70</v>
      </c>
      <c r="E7769" s="8">
        <v>0</v>
      </c>
      <c r="F7769" s="8">
        <v>0</v>
      </c>
      <c r="G7769" s="8">
        <v>13</v>
      </c>
      <c r="H7769" s="8" t="s">
        <v>41176</v>
      </c>
      <c r="I7769" s="8">
        <v>526.6875</v>
      </c>
      <c r="J7769" s="3">
        <f t="shared" si="121"/>
        <v>43749.035660972215</v>
      </c>
    </row>
    <row r="7770" spans="1:10" x14ac:dyDescent="0.25">
      <c r="A7770" s="5" t="s">
        <v>41177</v>
      </c>
      <c r="B7770" s="6">
        <v>393.75</v>
      </c>
      <c r="C7770" s="6">
        <v>20.478950000000001</v>
      </c>
      <c r="D7770" s="6">
        <v>70</v>
      </c>
      <c r="E7770" s="6">
        <v>0</v>
      </c>
      <c r="F7770" s="6">
        <v>0</v>
      </c>
      <c r="G7770" s="6">
        <v>4</v>
      </c>
      <c r="H7770" s="6" t="s">
        <v>41178</v>
      </c>
      <c r="I7770" s="6">
        <v>526.6875</v>
      </c>
      <c r="J7770" s="2">
        <f t="shared" si="121"/>
        <v>43749.035740081017</v>
      </c>
    </row>
    <row r="7771" spans="1:10" x14ac:dyDescent="0.25">
      <c r="A7771" s="7" t="s">
        <v>41179</v>
      </c>
      <c r="B7771" s="8">
        <v>393.75</v>
      </c>
      <c r="C7771" s="8">
        <v>20.478950000000001</v>
      </c>
      <c r="D7771" s="8">
        <v>70</v>
      </c>
      <c r="E7771" s="8">
        <v>0</v>
      </c>
      <c r="F7771" s="8">
        <v>0</v>
      </c>
      <c r="G7771" s="8">
        <v>6</v>
      </c>
      <c r="H7771" s="8" t="s">
        <v>41180</v>
      </c>
      <c r="I7771" s="8">
        <v>526.6875</v>
      </c>
      <c r="J7771" s="3">
        <f t="shared" si="121"/>
        <v>43749.035811886577</v>
      </c>
    </row>
    <row r="7772" spans="1:10" x14ac:dyDescent="0.25">
      <c r="A7772" s="5" t="s">
        <v>41181</v>
      </c>
      <c r="B7772" s="6">
        <v>393.75</v>
      </c>
      <c r="C7772" s="6">
        <v>20.478950000000001</v>
      </c>
      <c r="D7772" s="6">
        <v>69</v>
      </c>
      <c r="E7772" s="6">
        <v>0</v>
      </c>
      <c r="F7772" s="6">
        <v>0</v>
      </c>
      <c r="G7772" s="6">
        <v>5</v>
      </c>
      <c r="H7772" s="6" t="s">
        <v>41182</v>
      </c>
      <c r="I7772" s="6">
        <v>526.6875</v>
      </c>
      <c r="J7772" s="2">
        <f t="shared" si="121"/>
        <v>43749.035883009252</v>
      </c>
    </row>
    <row r="7773" spans="1:10" x14ac:dyDescent="0.25">
      <c r="A7773" s="7" t="s">
        <v>41183</v>
      </c>
      <c r="B7773" s="8">
        <v>393.75</v>
      </c>
      <c r="C7773" s="8">
        <v>20.478950000000001</v>
      </c>
      <c r="D7773" s="8">
        <v>69</v>
      </c>
      <c r="E7773" s="8">
        <v>0</v>
      </c>
      <c r="F7773" s="8">
        <v>0</v>
      </c>
      <c r="G7773" s="8">
        <v>8</v>
      </c>
      <c r="H7773" s="8" t="s">
        <v>41184</v>
      </c>
      <c r="I7773" s="8">
        <v>526.6875</v>
      </c>
      <c r="J7773" s="3">
        <f t="shared" si="121"/>
        <v>43749.035954722225</v>
      </c>
    </row>
    <row r="7774" spans="1:10" x14ac:dyDescent="0.25">
      <c r="A7774" s="5" t="s">
        <v>41185</v>
      </c>
      <c r="B7774" s="6">
        <v>393.75</v>
      </c>
      <c r="C7774" s="6">
        <v>20.478950000000001</v>
      </c>
      <c r="D7774" s="6">
        <v>69</v>
      </c>
      <c r="E7774" s="6">
        <v>0</v>
      </c>
      <c r="F7774" s="6">
        <v>0</v>
      </c>
      <c r="G7774" s="6">
        <v>12</v>
      </c>
      <c r="H7774" s="6" t="s">
        <v>41186</v>
      </c>
      <c r="I7774" s="6">
        <v>526.6875</v>
      </c>
      <c r="J7774" s="2">
        <f t="shared" si="121"/>
        <v>43749.036026018519</v>
      </c>
    </row>
    <row r="7775" spans="1:10" x14ac:dyDescent="0.25">
      <c r="A7775" s="7" t="s">
        <v>41187</v>
      </c>
      <c r="B7775" s="8">
        <v>393.75</v>
      </c>
      <c r="C7775" s="8">
        <v>20.478950000000001</v>
      </c>
      <c r="D7775" s="8">
        <v>70</v>
      </c>
      <c r="E7775" s="8">
        <v>0</v>
      </c>
      <c r="F7775" s="8">
        <v>0</v>
      </c>
      <c r="G7775" s="8">
        <v>4</v>
      </c>
      <c r="H7775" s="8" t="s">
        <v>41188</v>
      </c>
      <c r="I7775" s="8">
        <v>526.5</v>
      </c>
      <c r="J7775" s="3">
        <f t="shared" si="121"/>
        <v>43749.036098240736</v>
      </c>
    </row>
    <row r="7776" spans="1:10" x14ac:dyDescent="0.25">
      <c r="A7776" s="5" t="s">
        <v>41189</v>
      </c>
      <c r="B7776" s="6">
        <v>393.75</v>
      </c>
      <c r="C7776" s="6">
        <v>20.478950000000001</v>
      </c>
      <c r="D7776" s="6">
        <v>70</v>
      </c>
      <c r="E7776" s="6">
        <v>0</v>
      </c>
      <c r="F7776" s="6">
        <v>0</v>
      </c>
      <c r="G7776" s="6">
        <v>6</v>
      </c>
      <c r="H7776" s="6" t="s">
        <v>41190</v>
      </c>
      <c r="I7776" s="6">
        <v>526.5</v>
      </c>
      <c r="J7776" s="2">
        <f t="shared" si="121"/>
        <v>43749.036169502309</v>
      </c>
    </row>
    <row r="7777" spans="1:10" x14ac:dyDescent="0.25">
      <c r="A7777" s="7" t="s">
        <v>41191</v>
      </c>
      <c r="B7777" s="8">
        <v>412.5</v>
      </c>
      <c r="C7777" s="8">
        <v>20.478950000000001</v>
      </c>
      <c r="D7777" s="8">
        <v>69</v>
      </c>
      <c r="E7777" s="8">
        <v>0</v>
      </c>
      <c r="F7777" s="8">
        <v>0</v>
      </c>
      <c r="G7777" s="8">
        <v>3</v>
      </c>
      <c r="H7777" s="8" t="s">
        <v>41192</v>
      </c>
      <c r="I7777" s="8">
        <v>532.3125</v>
      </c>
      <c r="J7777" s="3">
        <f t="shared" si="121"/>
        <v>43749.036240879628</v>
      </c>
    </row>
    <row r="7778" spans="1:10" x14ac:dyDescent="0.25">
      <c r="A7778" s="5" t="s">
        <v>41193</v>
      </c>
      <c r="B7778" s="6">
        <v>393.75</v>
      </c>
      <c r="C7778" s="6">
        <v>20.478950000000001</v>
      </c>
      <c r="D7778" s="6">
        <v>69</v>
      </c>
      <c r="E7778" s="6">
        <v>0</v>
      </c>
      <c r="F7778" s="6">
        <v>0</v>
      </c>
      <c r="G7778" s="6">
        <v>7</v>
      </c>
      <c r="H7778" s="6" t="s">
        <v>41194</v>
      </c>
      <c r="I7778" s="6">
        <v>526.6875</v>
      </c>
      <c r="J7778" s="2">
        <f t="shared" si="121"/>
        <v>43749.036312245364</v>
      </c>
    </row>
    <row r="7779" spans="1:10" x14ac:dyDescent="0.25">
      <c r="A7779" s="7" t="s">
        <v>41195</v>
      </c>
      <c r="B7779" s="8">
        <v>393.75</v>
      </c>
      <c r="C7779" s="8">
        <v>20.478950000000001</v>
      </c>
      <c r="D7779" s="8">
        <v>69</v>
      </c>
      <c r="E7779" s="8">
        <v>0</v>
      </c>
      <c r="F7779" s="8">
        <v>0</v>
      </c>
      <c r="G7779" s="8">
        <v>11</v>
      </c>
      <c r="H7779" s="8" t="s">
        <v>41196</v>
      </c>
      <c r="I7779" s="8">
        <v>526.6875</v>
      </c>
      <c r="J7779" s="3">
        <f t="shared" si="121"/>
        <v>43749.03638435185</v>
      </c>
    </row>
    <row r="7780" spans="1:10" x14ac:dyDescent="0.25">
      <c r="A7780" s="5" t="s">
        <v>41197</v>
      </c>
      <c r="B7780" s="6">
        <v>393.75</v>
      </c>
      <c r="C7780" s="6">
        <v>20.478950000000001</v>
      </c>
      <c r="D7780" s="6">
        <v>69</v>
      </c>
      <c r="E7780" s="6">
        <v>0</v>
      </c>
      <c r="F7780" s="6">
        <v>0</v>
      </c>
      <c r="G7780" s="6">
        <v>2</v>
      </c>
      <c r="H7780" s="6" t="s">
        <v>41198</v>
      </c>
      <c r="I7780" s="6">
        <v>526.6875</v>
      </c>
      <c r="J7780" s="2">
        <f t="shared" si="121"/>
        <v>43749.036455590271</v>
      </c>
    </row>
    <row r="7781" spans="1:10" x14ac:dyDescent="0.25">
      <c r="A7781" s="7" t="s">
        <v>41199</v>
      </c>
      <c r="B7781" s="8">
        <v>393.75</v>
      </c>
      <c r="C7781" s="8">
        <v>20.478950000000001</v>
      </c>
      <c r="D7781" s="8">
        <v>70</v>
      </c>
      <c r="E7781" s="8">
        <v>0</v>
      </c>
      <c r="F7781" s="8">
        <v>0</v>
      </c>
      <c r="G7781" s="8">
        <v>5</v>
      </c>
      <c r="H7781" s="8" t="s">
        <v>41200</v>
      </c>
      <c r="I7781" s="8">
        <v>526.6875</v>
      </c>
      <c r="J7781" s="3">
        <f t="shared" si="121"/>
        <v>43749.036526956021</v>
      </c>
    </row>
    <row r="7782" spans="1:10" x14ac:dyDescent="0.25">
      <c r="A7782" s="5" t="s">
        <v>41201</v>
      </c>
      <c r="B7782" s="6">
        <v>393.75</v>
      </c>
      <c r="C7782" s="6">
        <v>20.478950000000001</v>
      </c>
      <c r="D7782" s="6">
        <v>70</v>
      </c>
      <c r="E7782" s="6">
        <v>0</v>
      </c>
      <c r="F7782" s="6">
        <v>0</v>
      </c>
      <c r="G7782" s="6">
        <v>4</v>
      </c>
      <c r="H7782" s="6" t="s">
        <v>41202</v>
      </c>
      <c r="I7782" s="6">
        <v>526.6875</v>
      </c>
      <c r="J7782" s="2">
        <f t="shared" si="121"/>
        <v>43749.036599178238</v>
      </c>
    </row>
    <row r="7783" spans="1:10" x14ac:dyDescent="0.25">
      <c r="A7783" s="7" t="s">
        <v>41203</v>
      </c>
      <c r="B7783" s="8">
        <v>393.75</v>
      </c>
      <c r="C7783" s="8">
        <v>20.478950000000001</v>
      </c>
      <c r="D7783" s="8">
        <v>70</v>
      </c>
      <c r="E7783" s="8">
        <v>0</v>
      </c>
      <c r="F7783" s="8">
        <v>0</v>
      </c>
      <c r="G7783" s="8">
        <v>14</v>
      </c>
      <c r="H7783" s="8" t="s">
        <v>41204</v>
      </c>
      <c r="I7783" s="8">
        <v>526.6875</v>
      </c>
      <c r="J7783" s="3">
        <f t="shared" si="121"/>
        <v>43749.036670474532</v>
      </c>
    </row>
    <row r="7784" spans="1:10" x14ac:dyDescent="0.25">
      <c r="A7784" s="5" t="s">
        <v>41205</v>
      </c>
      <c r="B7784" s="6">
        <v>393.75</v>
      </c>
      <c r="C7784" s="6">
        <v>20.478950000000001</v>
      </c>
      <c r="D7784" s="6">
        <v>70</v>
      </c>
      <c r="E7784" s="6">
        <v>0</v>
      </c>
      <c r="F7784" s="6">
        <v>0</v>
      </c>
      <c r="G7784" s="6">
        <v>10</v>
      </c>
      <c r="H7784" s="6" t="s">
        <v>41206</v>
      </c>
      <c r="I7784" s="6">
        <v>526.6875</v>
      </c>
      <c r="J7784" s="2">
        <f t="shared" si="121"/>
        <v>43749.036741770826</v>
      </c>
    </row>
    <row r="7785" spans="1:10" x14ac:dyDescent="0.25">
      <c r="A7785" s="7" t="s">
        <v>41207</v>
      </c>
      <c r="B7785" s="8">
        <v>393.75</v>
      </c>
      <c r="C7785" s="8">
        <v>20.478950000000001</v>
      </c>
      <c r="D7785" s="8">
        <v>66</v>
      </c>
      <c r="E7785" s="8">
        <v>0</v>
      </c>
      <c r="F7785" s="8">
        <v>0</v>
      </c>
      <c r="G7785" s="8">
        <v>3</v>
      </c>
      <c r="H7785" s="8" t="s">
        <v>41208</v>
      </c>
      <c r="I7785" s="8">
        <v>526.6875</v>
      </c>
      <c r="J7785" s="3">
        <f t="shared" si="121"/>
        <v>43749.036837141197</v>
      </c>
    </row>
    <row r="7786" spans="1:10" x14ac:dyDescent="0.25">
      <c r="A7786" s="5" t="s">
        <v>41209</v>
      </c>
      <c r="B7786" s="6">
        <v>393.75</v>
      </c>
      <c r="C7786" s="6">
        <v>20.478950000000001</v>
      </c>
      <c r="D7786" s="6">
        <v>71</v>
      </c>
      <c r="E7786" s="6">
        <v>0</v>
      </c>
      <c r="F7786" s="6">
        <v>0</v>
      </c>
      <c r="G7786" s="6">
        <v>2</v>
      </c>
      <c r="H7786" s="6" t="s">
        <v>41210</v>
      </c>
      <c r="I7786" s="6">
        <v>526.5</v>
      </c>
      <c r="J7786" s="2">
        <f t="shared" si="121"/>
        <v>43749.036909374998</v>
      </c>
    </row>
    <row r="7787" spans="1:10" x14ac:dyDescent="0.25">
      <c r="A7787" s="7" t="s">
        <v>41211</v>
      </c>
      <c r="B7787" s="8">
        <v>393.75</v>
      </c>
      <c r="C7787" s="8">
        <v>20.478950000000001</v>
      </c>
      <c r="D7787" s="8">
        <v>71</v>
      </c>
      <c r="E7787" s="8">
        <v>0</v>
      </c>
      <c r="F7787" s="8">
        <v>0</v>
      </c>
      <c r="G7787" s="8">
        <v>2</v>
      </c>
      <c r="H7787" s="8" t="s">
        <v>41212</v>
      </c>
      <c r="I7787" s="8">
        <v>526.6875</v>
      </c>
      <c r="J7787" s="3">
        <f t="shared" si="121"/>
        <v>43749.036979803241</v>
      </c>
    </row>
    <row r="7788" spans="1:10" x14ac:dyDescent="0.25">
      <c r="A7788" s="5" t="s">
        <v>41213</v>
      </c>
      <c r="B7788" s="6">
        <v>412.5</v>
      </c>
      <c r="C7788" s="6">
        <v>20.478950000000001</v>
      </c>
      <c r="D7788" s="6">
        <v>71</v>
      </c>
      <c r="E7788" s="6">
        <v>0</v>
      </c>
      <c r="F7788" s="6">
        <v>0</v>
      </c>
      <c r="G7788" s="6">
        <v>4</v>
      </c>
      <c r="H7788" s="6" t="s">
        <v>41214</v>
      </c>
      <c r="I7788" s="6">
        <v>532.3125</v>
      </c>
      <c r="J7788" s="2">
        <f t="shared" si="121"/>
        <v>43749.037064004624</v>
      </c>
    </row>
    <row r="7789" spans="1:10" x14ac:dyDescent="0.25">
      <c r="A7789" s="7" t="s">
        <v>41215</v>
      </c>
      <c r="B7789" s="8">
        <v>393.75</v>
      </c>
      <c r="C7789" s="8">
        <v>20.478950000000001</v>
      </c>
      <c r="D7789" s="8">
        <v>72</v>
      </c>
      <c r="E7789" s="8">
        <v>0</v>
      </c>
      <c r="F7789" s="8">
        <v>0</v>
      </c>
      <c r="G7789" s="8">
        <v>9</v>
      </c>
      <c r="H7789" s="8" t="s">
        <v>41216</v>
      </c>
      <c r="I7789" s="8">
        <v>526.6875</v>
      </c>
      <c r="J7789" s="3">
        <f t="shared" si="121"/>
        <v>43749.037148275464</v>
      </c>
    </row>
    <row r="7790" spans="1:10" x14ac:dyDescent="0.25">
      <c r="A7790" s="5" t="s">
        <v>41217</v>
      </c>
      <c r="B7790" s="6">
        <v>393.75</v>
      </c>
      <c r="C7790" s="6">
        <v>20.478950000000001</v>
      </c>
      <c r="D7790" s="6">
        <v>72</v>
      </c>
      <c r="E7790" s="6">
        <v>0</v>
      </c>
      <c r="F7790" s="6">
        <v>0</v>
      </c>
      <c r="G7790" s="6">
        <v>10</v>
      </c>
      <c r="H7790" s="6" t="s">
        <v>41218</v>
      </c>
      <c r="I7790" s="6">
        <v>526.6875</v>
      </c>
      <c r="J7790" s="2">
        <f t="shared" si="121"/>
        <v>43749.037230601847</v>
      </c>
    </row>
    <row r="7791" spans="1:10" x14ac:dyDescent="0.25">
      <c r="A7791" s="7" t="s">
        <v>41219</v>
      </c>
      <c r="B7791" s="8">
        <v>393.75</v>
      </c>
      <c r="C7791" s="8">
        <v>20.478950000000001</v>
      </c>
      <c r="D7791" s="8">
        <v>72</v>
      </c>
      <c r="E7791" s="8">
        <v>0</v>
      </c>
      <c r="F7791" s="8">
        <v>0</v>
      </c>
      <c r="G7791" s="8">
        <v>17</v>
      </c>
      <c r="H7791" s="8" t="s">
        <v>41220</v>
      </c>
      <c r="I7791" s="8">
        <v>526.6875</v>
      </c>
      <c r="J7791" s="3">
        <f t="shared" si="121"/>
        <v>43749.037302986108</v>
      </c>
    </row>
    <row r="7792" spans="1:10" x14ac:dyDescent="0.25">
      <c r="A7792" s="5" t="s">
        <v>41221</v>
      </c>
      <c r="B7792" s="6">
        <v>393.75</v>
      </c>
      <c r="C7792" s="6">
        <v>20.478950000000001</v>
      </c>
      <c r="D7792" s="6">
        <v>71</v>
      </c>
      <c r="E7792" s="6">
        <v>0</v>
      </c>
      <c r="F7792" s="6">
        <v>0</v>
      </c>
      <c r="G7792" s="6">
        <v>7</v>
      </c>
      <c r="H7792" s="6" t="s">
        <v>41222</v>
      </c>
      <c r="I7792" s="6">
        <v>526.6875</v>
      </c>
      <c r="J7792" s="2">
        <f t="shared" si="121"/>
        <v>43749.037374178239</v>
      </c>
    </row>
    <row r="7793" spans="1:10" x14ac:dyDescent="0.25">
      <c r="A7793" s="7" t="s">
        <v>41223</v>
      </c>
      <c r="B7793" s="8">
        <v>393.75</v>
      </c>
      <c r="C7793" s="8">
        <v>20.478950000000001</v>
      </c>
      <c r="D7793" s="8">
        <v>70</v>
      </c>
      <c r="E7793" s="8">
        <v>0</v>
      </c>
      <c r="F7793" s="8">
        <v>0</v>
      </c>
      <c r="G7793" s="8">
        <v>0</v>
      </c>
      <c r="H7793" s="8" t="s">
        <v>41224</v>
      </c>
      <c r="I7793" s="8">
        <v>526.6875</v>
      </c>
      <c r="J7793" s="3">
        <f t="shared" si="121"/>
        <v>43749.03744547454</v>
      </c>
    </row>
    <row r="7794" spans="1:10" x14ac:dyDescent="0.25">
      <c r="A7794" s="5" t="s">
        <v>41225</v>
      </c>
      <c r="B7794" s="6">
        <v>425</v>
      </c>
      <c r="C7794" s="6">
        <v>20.478950000000001</v>
      </c>
      <c r="D7794" s="6">
        <v>69</v>
      </c>
      <c r="E7794" s="6">
        <v>0</v>
      </c>
      <c r="F7794" s="6">
        <v>0</v>
      </c>
      <c r="G7794" s="6">
        <v>13</v>
      </c>
      <c r="H7794" s="6" t="s">
        <v>41226</v>
      </c>
      <c r="I7794" s="6">
        <v>536.0625</v>
      </c>
      <c r="J7794" s="2">
        <f t="shared" si="121"/>
        <v>43749.037516805554</v>
      </c>
    </row>
    <row r="7795" spans="1:10" x14ac:dyDescent="0.25">
      <c r="A7795" s="7" t="s">
        <v>41227</v>
      </c>
      <c r="B7795" s="8">
        <v>393.75</v>
      </c>
      <c r="C7795" s="8">
        <v>20.478950000000001</v>
      </c>
      <c r="D7795" s="8">
        <v>68</v>
      </c>
      <c r="E7795" s="8">
        <v>0</v>
      </c>
      <c r="F7795" s="8">
        <v>0</v>
      </c>
      <c r="G7795" s="8">
        <v>4</v>
      </c>
      <c r="H7795" s="8" t="s">
        <v>41228</v>
      </c>
      <c r="I7795" s="8">
        <v>526.6875</v>
      </c>
      <c r="J7795" s="3">
        <f t="shared" si="121"/>
        <v>43749.037588981482</v>
      </c>
    </row>
    <row r="7796" spans="1:10" x14ac:dyDescent="0.25">
      <c r="A7796" s="5" t="s">
        <v>41229</v>
      </c>
      <c r="B7796" s="6">
        <v>393.75</v>
      </c>
      <c r="C7796" s="6">
        <v>20.478950000000001</v>
      </c>
      <c r="D7796" s="6">
        <v>71</v>
      </c>
      <c r="E7796" s="6">
        <v>0</v>
      </c>
      <c r="F7796" s="6">
        <v>0</v>
      </c>
      <c r="G7796" s="6">
        <v>21</v>
      </c>
      <c r="H7796" s="6" t="s">
        <v>41230</v>
      </c>
      <c r="I7796" s="6">
        <v>526.6875</v>
      </c>
      <c r="J7796" s="2">
        <f t="shared" si="121"/>
        <v>43749.037660219903</v>
      </c>
    </row>
    <row r="7797" spans="1:10" x14ac:dyDescent="0.25">
      <c r="A7797" s="7" t="s">
        <v>41231</v>
      </c>
      <c r="B7797" s="8">
        <v>393.75</v>
      </c>
      <c r="C7797" s="8">
        <v>20.478950000000001</v>
      </c>
      <c r="D7797" s="8">
        <v>70</v>
      </c>
      <c r="E7797" s="8">
        <v>0</v>
      </c>
      <c r="F7797" s="8">
        <v>0</v>
      </c>
      <c r="G7797" s="8">
        <v>5</v>
      </c>
      <c r="H7797" s="8" t="s">
        <v>41232</v>
      </c>
      <c r="I7797" s="8">
        <v>526.6875</v>
      </c>
      <c r="J7797" s="3">
        <f t="shared" si="121"/>
        <v>43749.037731655095</v>
      </c>
    </row>
    <row r="7798" spans="1:10" x14ac:dyDescent="0.25">
      <c r="A7798" s="5" t="s">
        <v>41233</v>
      </c>
      <c r="B7798" s="6">
        <v>393.75</v>
      </c>
      <c r="C7798" s="6">
        <v>20.478950000000001</v>
      </c>
      <c r="D7798" s="6">
        <v>69</v>
      </c>
      <c r="E7798" s="6">
        <v>0</v>
      </c>
      <c r="F7798" s="6">
        <v>0</v>
      </c>
      <c r="G7798" s="6">
        <v>0</v>
      </c>
      <c r="H7798" s="6" t="s">
        <v>41234</v>
      </c>
      <c r="I7798" s="6">
        <v>526.6875</v>
      </c>
      <c r="J7798" s="2">
        <f t="shared" si="121"/>
        <v>43749.037802951389</v>
      </c>
    </row>
    <row r="7799" spans="1:10" x14ac:dyDescent="0.25">
      <c r="A7799" s="7" t="s">
        <v>41235</v>
      </c>
      <c r="B7799" s="8">
        <v>393.75</v>
      </c>
      <c r="C7799" s="8">
        <v>20.478950000000001</v>
      </c>
      <c r="D7799" s="8">
        <v>65</v>
      </c>
      <c r="E7799" s="8">
        <v>0</v>
      </c>
      <c r="F7799" s="8">
        <v>0</v>
      </c>
      <c r="G7799" s="8">
        <v>0</v>
      </c>
      <c r="H7799" s="8" t="s">
        <v>41236</v>
      </c>
      <c r="I7799" s="8">
        <v>526.6875</v>
      </c>
      <c r="J7799" s="3">
        <f t="shared" si="121"/>
        <v>43749.037875104164</v>
      </c>
    </row>
    <row r="7800" spans="1:10" x14ac:dyDescent="0.25">
      <c r="A7800" s="5" t="s">
        <v>41237</v>
      </c>
      <c r="B7800" s="6">
        <v>393.75</v>
      </c>
      <c r="C7800" s="6">
        <v>20.478950000000001</v>
      </c>
      <c r="D7800" s="6">
        <v>66</v>
      </c>
      <c r="E7800" s="6">
        <v>0</v>
      </c>
      <c r="F7800" s="6">
        <v>0</v>
      </c>
      <c r="G7800" s="6">
        <v>4</v>
      </c>
      <c r="H7800" s="6" t="s">
        <v>41238</v>
      </c>
      <c r="I7800" s="6">
        <v>526.6875</v>
      </c>
      <c r="J7800" s="2">
        <f t="shared" si="121"/>
        <v>43749.037946412034</v>
      </c>
    </row>
    <row r="7801" spans="1:10" x14ac:dyDescent="0.25">
      <c r="A7801" s="7" t="s">
        <v>41239</v>
      </c>
      <c r="B7801" s="8">
        <v>393.75</v>
      </c>
      <c r="C7801" s="8">
        <v>20.478950000000001</v>
      </c>
      <c r="D7801" s="8">
        <v>65</v>
      </c>
      <c r="E7801" s="8">
        <v>0</v>
      </c>
      <c r="F7801" s="8">
        <v>0</v>
      </c>
      <c r="G7801" s="8">
        <v>5</v>
      </c>
      <c r="H7801" s="8" t="s">
        <v>41240</v>
      </c>
      <c r="I7801" s="8">
        <v>526.6875</v>
      </c>
      <c r="J7801" s="3">
        <f t="shared" si="121"/>
        <v>43749.038017696752</v>
      </c>
    </row>
    <row r="7802" spans="1:10" x14ac:dyDescent="0.25">
      <c r="A7802" s="5" t="s">
        <v>41241</v>
      </c>
      <c r="B7802" s="6">
        <v>393.75</v>
      </c>
      <c r="C7802" s="6">
        <v>20.478950000000001</v>
      </c>
      <c r="D7802" s="6">
        <v>66</v>
      </c>
      <c r="E7802" s="6">
        <v>0</v>
      </c>
      <c r="F7802" s="6">
        <v>0</v>
      </c>
      <c r="G7802" s="6">
        <v>21</v>
      </c>
      <c r="H7802" s="6" t="s">
        <v>41242</v>
      </c>
      <c r="I7802" s="6">
        <v>526.6875</v>
      </c>
      <c r="J7802" s="2">
        <f t="shared" si="121"/>
        <v>43749.038089930553</v>
      </c>
    </row>
    <row r="7803" spans="1:10" x14ac:dyDescent="0.25">
      <c r="A7803" s="7" t="s">
        <v>41243</v>
      </c>
      <c r="B7803" s="8">
        <v>412.5</v>
      </c>
      <c r="C7803" s="8">
        <v>20.478950000000001</v>
      </c>
      <c r="D7803" s="8">
        <v>66</v>
      </c>
      <c r="E7803" s="8">
        <v>0</v>
      </c>
      <c r="F7803" s="8">
        <v>0</v>
      </c>
      <c r="G7803" s="8">
        <v>15</v>
      </c>
      <c r="H7803" s="8" t="s">
        <v>41244</v>
      </c>
      <c r="I7803" s="8">
        <v>532.125</v>
      </c>
      <c r="J7803" s="3">
        <f t="shared" si="121"/>
        <v>43749.038161145836</v>
      </c>
    </row>
    <row r="7804" spans="1:10" x14ac:dyDescent="0.25">
      <c r="A7804" s="5" t="s">
        <v>41245</v>
      </c>
      <c r="B7804" s="6">
        <v>393.75</v>
      </c>
      <c r="C7804" s="6">
        <v>20.478950000000001</v>
      </c>
      <c r="D7804" s="6">
        <v>66</v>
      </c>
      <c r="E7804" s="6">
        <v>0</v>
      </c>
      <c r="F7804" s="6">
        <v>0</v>
      </c>
      <c r="G7804" s="6">
        <v>7</v>
      </c>
      <c r="H7804" s="6" t="s">
        <v>41246</v>
      </c>
      <c r="I7804" s="6">
        <v>526.6875</v>
      </c>
      <c r="J7804" s="2">
        <f t="shared" si="121"/>
        <v>43749.038232511572</v>
      </c>
    </row>
    <row r="7805" spans="1:10" x14ac:dyDescent="0.25">
      <c r="A7805" s="7" t="s">
        <v>41247</v>
      </c>
      <c r="B7805" s="8">
        <v>393.75</v>
      </c>
      <c r="C7805" s="8">
        <v>20.478950000000001</v>
      </c>
      <c r="D7805" s="8">
        <v>66</v>
      </c>
      <c r="E7805" s="8">
        <v>0</v>
      </c>
      <c r="F7805" s="8">
        <v>0</v>
      </c>
      <c r="G7805" s="8">
        <v>0</v>
      </c>
      <c r="H7805" s="8" t="s">
        <v>41248</v>
      </c>
      <c r="I7805" s="8">
        <v>526.6875</v>
      </c>
      <c r="J7805" s="3">
        <f t="shared" si="121"/>
        <v>43749.038303865738</v>
      </c>
    </row>
    <row r="7806" spans="1:10" x14ac:dyDescent="0.25">
      <c r="A7806" s="5" t="s">
        <v>41249</v>
      </c>
      <c r="B7806" s="6">
        <v>393.75</v>
      </c>
      <c r="C7806" s="6">
        <v>20.478950000000001</v>
      </c>
      <c r="D7806" s="6">
        <v>68</v>
      </c>
      <c r="E7806" s="6">
        <v>0</v>
      </c>
      <c r="F7806" s="6">
        <v>0</v>
      </c>
      <c r="G7806" s="6">
        <v>5</v>
      </c>
      <c r="H7806" s="6" t="s">
        <v>41250</v>
      </c>
      <c r="I7806" s="6">
        <v>526.6875</v>
      </c>
      <c r="J7806" s="2">
        <f t="shared" si="121"/>
        <v>43749.038387326385</v>
      </c>
    </row>
    <row r="7807" spans="1:10" x14ac:dyDescent="0.25">
      <c r="A7807" s="7" t="s">
        <v>41251</v>
      </c>
      <c r="B7807" s="8">
        <v>393.75</v>
      </c>
      <c r="C7807" s="8">
        <v>20.478950000000001</v>
      </c>
      <c r="D7807" s="8">
        <v>67</v>
      </c>
      <c r="E7807" s="8">
        <v>0</v>
      </c>
      <c r="F7807" s="8">
        <v>0</v>
      </c>
      <c r="G7807" s="8">
        <v>17</v>
      </c>
      <c r="H7807" s="8" t="s">
        <v>41252</v>
      </c>
      <c r="I7807" s="8">
        <v>526.6875</v>
      </c>
      <c r="J7807" s="3">
        <f t="shared" si="121"/>
        <v>43749.038459351847</v>
      </c>
    </row>
    <row r="7808" spans="1:10" x14ac:dyDescent="0.25">
      <c r="A7808" s="5" t="s">
        <v>41253</v>
      </c>
      <c r="B7808" s="6">
        <v>393.75</v>
      </c>
      <c r="C7808" s="6">
        <v>20.478950000000001</v>
      </c>
      <c r="D7808" s="6">
        <v>69</v>
      </c>
      <c r="E7808" s="6">
        <v>0</v>
      </c>
      <c r="F7808" s="6">
        <v>0</v>
      </c>
      <c r="G7808" s="6">
        <v>0</v>
      </c>
      <c r="H7808" s="6" t="s">
        <v>41254</v>
      </c>
      <c r="I7808" s="6">
        <v>526.6875</v>
      </c>
      <c r="J7808" s="2">
        <f t="shared" si="121"/>
        <v>43749.038555405095</v>
      </c>
    </row>
    <row r="7809" spans="1:10" x14ac:dyDescent="0.25">
      <c r="A7809" s="7" t="s">
        <v>41255</v>
      </c>
      <c r="B7809" s="8">
        <v>412.5</v>
      </c>
      <c r="C7809" s="8">
        <v>20.478950000000001</v>
      </c>
      <c r="D7809" s="8">
        <v>68</v>
      </c>
      <c r="E7809" s="8">
        <v>0</v>
      </c>
      <c r="F7809" s="8">
        <v>0</v>
      </c>
      <c r="G7809" s="8">
        <v>8</v>
      </c>
      <c r="H7809" s="8" t="s">
        <v>41256</v>
      </c>
      <c r="I7809" s="8">
        <v>532.3125</v>
      </c>
      <c r="J7809" s="3">
        <f t="shared" si="121"/>
        <v>43749.038626030095</v>
      </c>
    </row>
    <row r="7810" spans="1:10" x14ac:dyDescent="0.25">
      <c r="A7810" s="5" t="s">
        <v>41257</v>
      </c>
      <c r="B7810" s="6">
        <v>393.75</v>
      </c>
      <c r="C7810" s="6">
        <v>20.478950000000001</v>
      </c>
      <c r="D7810" s="6">
        <v>68</v>
      </c>
      <c r="E7810" s="6">
        <v>0</v>
      </c>
      <c r="F7810" s="6">
        <v>0</v>
      </c>
      <c r="G7810" s="6">
        <v>8</v>
      </c>
      <c r="H7810" s="6" t="s">
        <v>41258</v>
      </c>
      <c r="I7810" s="6">
        <v>526.6875</v>
      </c>
      <c r="J7810" s="2">
        <f t="shared" ref="J7810:J7873" si="122">(H7810/86400000)+25569+(7/24)</f>
        <v>43749.038698078701</v>
      </c>
    </row>
    <row r="7811" spans="1:10" x14ac:dyDescent="0.25">
      <c r="A7811" s="7" t="s">
        <v>41259</v>
      </c>
      <c r="B7811" s="8">
        <v>393.75</v>
      </c>
      <c r="C7811" s="8">
        <v>20.478950000000001</v>
      </c>
      <c r="D7811" s="8">
        <v>68</v>
      </c>
      <c r="E7811" s="8">
        <v>0</v>
      </c>
      <c r="F7811" s="8">
        <v>0</v>
      </c>
      <c r="G7811" s="8">
        <v>3</v>
      </c>
      <c r="H7811" s="8" t="s">
        <v>41260</v>
      </c>
      <c r="I7811" s="8">
        <v>526.6875</v>
      </c>
      <c r="J7811" s="3">
        <f t="shared" si="122"/>
        <v>43749.038768969906</v>
      </c>
    </row>
    <row r="7812" spans="1:10" x14ac:dyDescent="0.25">
      <c r="A7812" s="5" t="s">
        <v>41261</v>
      </c>
      <c r="B7812" s="6">
        <v>393.75</v>
      </c>
      <c r="C7812" s="6">
        <v>20.478950000000001</v>
      </c>
      <c r="D7812" s="6">
        <v>68</v>
      </c>
      <c r="E7812" s="6">
        <v>0</v>
      </c>
      <c r="F7812" s="6">
        <v>0</v>
      </c>
      <c r="G7812" s="6">
        <v>11</v>
      </c>
      <c r="H7812" s="6" t="s">
        <v>41262</v>
      </c>
      <c r="I7812" s="6">
        <v>526.6875</v>
      </c>
      <c r="J7812" s="2">
        <f t="shared" si="122"/>
        <v>43749.038840868052</v>
      </c>
    </row>
    <row r="7813" spans="1:10" x14ac:dyDescent="0.25">
      <c r="A7813" s="7" t="s">
        <v>41263</v>
      </c>
      <c r="B7813" s="8">
        <v>412.5</v>
      </c>
      <c r="C7813" s="8">
        <v>20.478950000000001</v>
      </c>
      <c r="D7813" s="8">
        <v>69</v>
      </c>
      <c r="E7813" s="8">
        <v>0</v>
      </c>
      <c r="F7813" s="8">
        <v>0</v>
      </c>
      <c r="G7813" s="8">
        <v>2</v>
      </c>
      <c r="H7813" s="8" t="s">
        <v>41264</v>
      </c>
      <c r="I7813" s="8">
        <v>532.5</v>
      </c>
      <c r="J7813" s="3">
        <f t="shared" si="122"/>
        <v>43749.038912129625</v>
      </c>
    </row>
    <row r="7814" spans="1:10" x14ac:dyDescent="0.25">
      <c r="A7814" s="5" t="s">
        <v>41265</v>
      </c>
      <c r="B7814" s="6">
        <v>393.75</v>
      </c>
      <c r="C7814" s="6">
        <v>20.478950000000001</v>
      </c>
      <c r="D7814" s="6">
        <v>69</v>
      </c>
      <c r="E7814" s="6">
        <v>0</v>
      </c>
      <c r="F7814" s="6">
        <v>0</v>
      </c>
      <c r="G7814" s="6">
        <v>6</v>
      </c>
      <c r="H7814" s="6" t="s">
        <v>41266</v>
      </c>
      <c r="I7814" s="6">
        <v>526.6875</v>
      </c>
      <c r="J7814" s="2">
        <f t="shared" si="122"/>
        <v>43749.038984374994</v>
      </c>
    </row>
    <row r="7815" spans="1:10" x14ac:dyDescent="0.25">
      <c r="A7815" s="7" t="s">
        <v>41267</v>
      </c>
      <c r="B7815" s="8">
        <v>393.75</v>
      </c>
      <c r="C7815" s="8">
        <v>20.478950000000001</v>
      </c>
      <c r="D7815" s="8">
        <v>67</v>
      </c>
      <c r="E7815" s="8">
        <v>0</v>
      </c>
      <c r="F7815" s="8">
        <v>0</v>
      </c>
      <c r="G7815" s="8">
        <v>11</v>
      </c>
      <c r="H7815" s="8" t="s">
        <v>41268</v>
      </c>
      <c r="I7815" s="8">
        <v>526.6875</v>
      </c>
      <c r="J7815" s="3">
        <f t="shared" si="122"/>
        <v>43749.039055601846</v>
      </c>
    </row>
    <row r="7816" spans="1:10" x14ac:dyDescent="0.25">
      <c r="A7816" s="5" t="s">
        <v>41269</v>
      </c>
      <c r="B7816" s="6">
        <v>393.75</v>
      </c>
      <c r="C7816" s="6">
        <v>20.478950000000001</v>
      </c>
      <c r="D7816" s="6">
        <v>67</v>
      </c>
      <c r="E7816" s="6">
        <v>0</v>
      </c>
      <c r="F7816" s="6">
        <v>0</v>
      </c>
      <c r="G7816" s="6">
        <v>9</v>
      </c>
      <c r="H7816" s="6" t="s">
        <v>41270</v>
      </c>
      <c r="I7816" s="6">
        <v>526.6875</v>
      </c>
      <c r="J7816" s="2">
        <f t="shared" si="122"/>
        <v>43749.039126956013</v>
      </c>
    </row>
    <row r="7817" spans="1:10" x14ac:dyDescent="0.25">
      <c r="A7817" s="7" t="s">
        <v>41271</v>
      </c>
      <c r="B7817" s="8">
        <v>393.75</v>
      </c>
      <c r="C7817" s="8">
        <v>20.478950000000001</v>
      </c>
      <c r="D7817" s="8">
        <v>69</v>
      </c>
      <c r="E7817" s="8">
        <v>0</v>
      </c>
      <c r="F7817" s="8">
        <v>0</v>
      </c>
      <c r="G7817" s="8">
        <v>6</v>
      </c>
      <c r="H7817" s="8" t="s">
        <v>41272</v>
      </c>
      <c r="I7817" s="8">
        <v>526.5</v>
      </c>
      <c r="J7817" s="3">
        <f t="shared" si="122"/>
        <v>43749.039199004626</v>
      </c>
    </row>
    <row r="7818" spans="1:10" x14ac:dyDescent="0.25">
      <c r="A7818" s="5" t="s">
        <v>41273</v>
      </c>
      <c r="B7818" s="6">
        <v>393.75</v>
      </c>
      <c r="C7818" s="6">
        <v>20.478950000000001</v>
      </c>
      <c r="D7818" s="6">
        <v>68</v>
      </c>
      <c r="E7818" s="6">
        <v>0</v>
      </c>
      <c r="F7818" s="6">
        <v>0</v>
      </c>
      <c r="G7818" s="6">
        <v>6</v>
      </c>
      <c r="H7818" s="6" t="s">
        <v>41274</v>
      </c>
      <c r="I7818" s="6">
        <v>526.6875</v>
      </c>
      <c r="J7818" s="2">
        <f t="shared" si="122"/>
        <v>43749.039282696758</v>
      </c>
    </row>
    <row r="7819" spans="1:10" x14ac:dyDescent="0.25">
      <c r="A7819" s="7" t="s">
        <v>41275</v>
      </c>
      <c r="B7819" s="8">
        <v>393.75</v>
      </c>
      <c r="C7819" s="8">
        <v>20.478950000000001</v>
      </c>
      <c r="D7819" s="8">
        <v>69</v>
      </c>
      <c r="E7819" s="8">
        <v>0</v>
      </c>
      <c r="F7819" s="8">
        <v>0</v>
      </c>
      <c r="G7819" s="8">
        <v>6</v>
      </c>
      <c r="H7819" s="8" t="s">
        <v>41276</v>
      </c>
      <c r="I7819" s="8">
        <v>526.6875</v>
      </c>
      <c r="J7819" s="3">
        <f t="shared" si="122"/>
        <v>43749.03935381944</v>
      </c>
    </row>
    <row r="7820" spans="1:10" x14ac:dyDescent="0.25">
      <c r="A7820" s="5" t="s">
        <v>41277</v>
      </c>
      <c r="B7820" s="6">
        <v>393.75</v>
      </c>
      <c r="C7820" s="6">
        <v>20.478950000000001</v>
      </c>
      <c r="D7820" s="6">
        <v>68</v>
      </c>
      <c r="E7820" s="6">
        <v>0</v>
      </c>
      <c r="F7820" s="6">
        <v>0</v>
      </c>
      <c r="G7820" s="6">
        <v>0</v>
      </c>
      <c r="H7820" s="6" t="s">
        <v>41278</v>
      </c>
      <c r="I7820" s="6">
        <v>526.6875</v>
      </c>
      <c r="J7820" s="2">
        <f t="shared" si="122"/>
        <v>43749.039425115734</v>
      </c>
    </row>
    <row r="7821" spans="1:10" x14ac:dyDescent="0.25">
      <c r="A7821" s="7" t="s">
        <v>41279</v>
      </c>
      <c r="B7821" s="8">
        <v>412.5</v>
      </c>
      <c r="C7821" s="8">
        <v>20.478950000000001</v>
      </c>
      <c r="D7821" s="8">
        <v>67</v>
      </c>
      <c r="E7821" s="8">
        <v>0</v>
      </c>
      <c r="F7821" s="8">
        <v>0</v>
      </c>
      <c r="G7821" s="8">
        <v>6</v>
      </c>
      <c r="H7821" s="8" t="s">
        <v>41280</v>
      </c>
      <c r="I7821" s="8">
        <v>532.6875</v>
      </c>
      <c r="J7821" s="3">
        <f t="shared" si="122"/>
        <v>43749.039496458332</v>
      </c>
    </row>
    <row r="7822" spans="1:10" x14ac:dyDescent="0.25">
      <c r="A7822" s="5" t="s">
        <v>41281</v>
      </c>
      <c r="B7822" s="6">
        <v>393.75</v>
      </c>
      <c r="C7822" s="6">
        <v>20.478950000000001</v>
      </c>
      <c r="D7822" s="6">
        <v>67</v>
      </c>
      <c r="E7822" s="6">
        <v>0</v>
      </c>
      <c r="F7822" s="6">
        <v>0</v>
      </c>
      <c r="G7822" s="6">
        <v>11</v>
      </c>
      <c r="H7822" s="6" t="s">
        <v>41282</v>
      </c>
      <c r="I7822" s="6">
        <v>526.6875</v>
      </c>
      <c r="J7822" s="2">
        <f t="shared" si="122"/>
        <v>43749.039568622684</v>
      </c>
    </row>
    <row r="7823" spans="1:10" x14ac:dyDescent="0.25">
      <c r="A7823" s="7" t="s">
        <v>41283</v>
      </c>
      <c r="B7823" s="8">
        <v>393.75</v>
      </c>
      <c r="C7823" s="8">
        <v>20.478950000000001</v>
      </c>
      <c r="D7823" s="8">
        <v>66</v>
      </c>
      <c r="E7823" s="8">
        <v>0</v>
      </c>
      <c r="F7823" s="8">
        <v>0</v>
      </c>
      <c r="G7823" s="8">
        <v>9</v>
      </c>
      <c r="H7823" s="8" t="s">
        <v>41284</v>
      </c>
      <c r="I7823" s="8">
        <v>526.6875</v>
      </c>
      <c r="J7823" s="3">
        <f t="shared" si="122"/>
        <v>43749.039651898151</v>
      </c>
    </row>
    <row r="7824" spans="1:10" x14ac:dyDescent="0.25">
      <c r="A7824" s="5" t="s">
        <v>41285</v>
      </c>
      <c r="B7824" s="6">
        <v>393.75</v>
      </c>
      <c r="C7824" s="6">
        <v>20.426300000000001</v>
      </c>
      <c r="D7824" s="6">
        <v>67</v>
      </c>
      <c r="E7824" s="6">
        <v>0</v>
      </c>
      <c r="F7824" s="6">
        <v>0</v>
      </c>
      <c r="G7824" s="6">
        <v>1</v>
      </c>
      <c r="H7824" s="6" t="s">
        <v>41286</v>
      </c>
      <c r="I7824" s="6">
        <v>526.6875</v>
      </c>
      <c r="J7824" s="2">
        <f t="shared" si="122"/>
        <v>43749.039723263886</v>
      </c>
    </row>
    <row r="7825" spans="1:10" x14ac:dyDescent="0.25">
      <c r="A7825" s="7" t="s">
        <v>41287</v>
      </c>
      <c r="B7825" s="8">
        <v>393.75</v>
      </c>
      <c r="C7825" s="8">
        <v>20.478950000000001</v>
      </c>
      <c r="D7825" s="8">
        <v>67</v>
      </c>
      <c r="E7825" s="8">
        <v>0</v>
      </c>
      <c r="F7825" s="8">
        <v>0</v>
      </c>
      <c r="G7825" s="8">
        <v>13</v>
      </c>
      <c r="H7825" s="8" t="s">
        <v>41288</v>
      </c>
      <c r="I7825" s="8">
        <v>526.6875</v>
      </c>
      <c r="J7825" s="3">
        <f t="shared" si="122"/>
        <v>43749.039794710647</v>
      </c>
    </row>
    <row r="7826" spans="1:10" x14ac:dyDescent="0.25">
      <c r="A7826" s="5" t="s">
        <v>41289</v>
      </c>
      <c r="B7826" s="6">
        <v>393.75</v>
      </c>
      <c r="C7826" s="6">
        <v>20.478950000000001</v>
      </c>
      <c r="D7826" s="6">
        <v>67</v>
      </c>
      <c r="E7826" s="6">
        <v>0</v>
      </c>
      <c r="F7826" s="6">
        <v>0</v>
      </c>
      <c r="G7826" s="6">
        <v>0</v>
      </c>
      <c r="H7826" s="6" t="s">
        <v>41290</v>
      </c>
      <c r="I7826" s="6">
        <v>526.6875</v>
      </c>
      <c r="J7826" s="2">
        <f t="shared" si="122"/>
        <v>43749.039866736108</v>
      </c>
    </row>
    <row r="7827" spans="1:10" x14ac:dyDescent="0.25">
      <c r="A7827" s="7" t="s">
        <v>41291</v>
      </c>
      <c r="B7827" s="8">
        <v>393.75</v>
      </c>
      <c r="C7827" s="8">
        <v>20.478950000000001</v>
      </c>
      <c r="D7827" s="8">
        <v>68</v>
      </c>
      <c r="E7827" s="8">
        <v>0</v>
      </c>
      <c r="F7827" s="8">
        <v>0</v>
      </c>
      <c r="G7827" s="8">
        <v>9</v>
      </c>
      <c r="H7827" s="8" t="s">
        <v>41292</v>
      </c>
      <c r="I7827" s="8">
        <v>526.6875</v>
      </c>
      <c r="J7827" s="3">
        <f t="shared" si="122"/>
        <v>43749.039938078706</v>
      </c>
    </row>
    <row r="7828" spans="1:10" x14ac:dyDescent="0.25">
      <c r="A7828" s="5" t="s">
        <v>41293</v>
      </c>
      <c r="B7828" s="6">
        <v>393.75</v>
      </c>
      <c r="C7828" s="6">
        <v>20.478950000000001</v>
      </c>
      <c r="D7828" s="6">
        <v>68</v>
      </c>
      <c r="E7828" s="6">
        <v>0</v>
      </c>
      <c r="F7828" s="6">
        <v>0</v>
      </c>
      <c r="G7828" s="6">
        <v>0</v>
      </c>
      <c r="H7828" s="6" t="s">
        <v>41294</v>
      </c>
      <c r="I7828" s="6">
        <v>526.6875</v>
      </c>
      <c r="J7828" s="2">
        <f t="shared" si="122"/>
        <v>43749.040021388886</v>
      </c>
    </row>
    <row r="7829" spans="1:10" x14ac:dyDescent="0.25">
      <c r="A7829" s="7" t="s">
        <v>41295</v>
      </c>
      <c r="B7829" s="8">
        <v>393.75</v>
      </c>
      <c r="C7829" s="8">
        <v>20.478950000000001</v>
      </c>
      <c r="D7829" s="8">
        <v>66</v>
      </c>
      <c r="E7829" s="8">
        <v>0</v>
      </c>
      <c r="F7829" s="8">
        <v>0</v>
      </c>
      <c r="G7829" s="8">
        <v>0</v>
      </c>
      <c r="H7829" s="8" t="s">
        <v>41296</v>
      </c>
      <c r="I7829" s="8">
        <v>526.6875</v>
      </c>
      <c r="J7829" s="3">
        <f t="shared" si="122"/>
        <v>43749.040104745371</v>
      </c>
    </row>
    <row r="7830" spans="1:10" x14ac:dyDescent="0.25">
      <c r="A7830" s="5" t="s">
        <v>41297</v>
      </c>
      <c r="B7830" s="6">
        <v>393.75</v>
      </c>
      <c r="C7830" s="6">
        <v>20.478950000000001</v>
      </c>
      <c r="D7830" s="6">
        <v>67</v>
      </c>
      <c r="E7830" s="6">
        <v>0</v>
      </c>
      <c r="F7830" s="6">
        <v>0</v>
      </c>
      <c r="G7830" s="6">
        <v>9</v>
      </c>
      <c r="H7830" s="6" t="s">
        <v>41298</v>
      </c>
      <c r="I7830" s="6">
        <v>526.6875</v>
      </c>
      <c r="J7830" s="2">
        <f t="shared" si="122"/>
        <v>43749.040176898146</v>
      </c>
    </row>
    <row r="7831" spans="1:10" x14ac:dyDescent="0.25">
      <c r="A7831" s="7" t="s">
        <v>41299</v>
      </c>
      <c r="B7831" s="8">
        <v>393.75</v>
      </c>
      <c r="C7831" s="8">
        <v>20.478950000000001</v>
      </c>
      <c r="D7831" s="8">
        <v>67</v>
      </c>
      <c r="E7831" s="8">
        <v>0</v>
      </c>
      <c r="F7831" s="8">
        <v>0</v>
      </c>
      <c r="G7831" s="8">
        <v>8</v>
      </c>
      <c r="H7831" s="8" t="s">
        <v>41300</v>
      </c>
      <c r="I7831" s="8">
        <v>526.5</v>
      </c>
      <c r="J7831" s="3">
        <f t="shared" si="122"/>
        <v>43749.040247754623</v>
      </c>
    </row>
    <row r="7832" spans="1:10" x14ac:dyDescent="0.25">
      <c r="A7832" s="5" t="s">
        <v>41301</v>
      </c>
      <c r="B7832" s="6">
        <v>393.75</v>
      </c>
      <c r="C7832" s="6">
        <v>20.478950000000001</v>
      </c>
      <c r="D7832" s="6">
        <v>69</v>
      </c>
      <c r="E7832" s="6">
        <v>0</v>
      </c>
      <c r="F7832" s="6">
        <v>0</v>
      </c>
      <c r="G7832" s="6">
        <v>7</v>
      </c>
      <c r="H7832" s="6" t="s">
        <v>41302</v>
      </c>
      <c r="I7832" s="6">
        <v>526.6875</v>
      </c>
      <c r="J7832" s="2">
        <f t="shared" si="122"/>
        <v>43749.040319560183</v>
      </c>
    </row>
    <row r="7833" spans="1:10" x14ac:dyDescent="0.25">
      <c r="A7833" s="7" t="s">
        <v>41303</v>
      </c>
      <c r="B7833" s="8">
        <v>393.75</v>
      </c>
      <c r="C7833" s="8">
        <v>20.478950000000001</v>
      </c>
      <c r="D7833" s="8">
        <v>72</v>
      </c>
      <c r="E7833" s="8">
        <v>0</v>
      </c>
      <c r="F7833" s="8">
        <v>0</v>
      </c>
      <c r="G7833" s="8">
        <v>8</v>
      </c>
      <c r="H7833" s="8" t="s">
        <v>41304</v>
      </c>
      <c r="I7833" s="8">
        <v>526.5</v>
      </c>
      <c r="J7833" s="3">
        <f t="shared" si="122"/>
        <v>43749.040390844901</v>
      </c>
    </row>
    <row r="7834" spans="1:10" x14ac:dyDescent="0.25">
      <c r="A7834" s="5" t="s">
        <v>41305</v>
      </c>
      <c r="B7834" s="6">
        <v>393.75</v>
      </c>
      <c r="C7834" s="6">
        <v>20.478950000000001</v>
      </c>
      <c r="D7834" s="6">
        <v>72</v>
      </c>
      <c r="E7834" s="6">
        <v>0</v>
      </c>
      <c r="F7834" s="6">
        <v>0</v>
      </c>
      <c r="G7834" s="6">
        <v>9</v>
      </c>
      <c r="H7834" s="6" t="s">
        <v>41306</v>
      </c>
      <c r="I7834" s="6">
        <v>526.6875</v>
      </c>
      <c r="J7834" s="2">
        <f t="shared" si="122"/>
        <v>43749.040463055549</v>
      </c>
    </row>
    <row r="7835" spans="1:10" x14ac:dyDescent="0.25">
      <c r="A7835" s="7" t="s">
        <v>41307</v>
      </c>
      <c r="B7835" s="8">
        <v>393.75</v>
      </c>
      <c r="C7835" s="8">
        <v>20.478950000000001</v>
      </c>
      <c r="D7835" s="8">
        <v>70</v>
      </c>
      <c r="E7835" s="8">
        <v>0</v>
      </c>
      <c r="F7835" s="8">
        <v>0</v>
      </c>
      <c r="G7835" s="8">
        <v>9</v>
      </c>
      <c r="H7835" s="8" t="s">
        <v>41308</v>
      </c>
      <c r="I7835" s="8">
        <v>526.6875</v>
      </c>
      <c r="J7835" s="3">
        <f t="shared" si="122"/>
        <v>43749.040546342592</v>
      </c>
    </row>
    <row r="7836" spans="1:10" x14ac:dyDescent="0.25">
      <c r="A7836" s="5" t="s">
        <v>41309</v>
      </c>
      <c r="B7836" s="6">
        <v>393.75</v>
      </c>
      <c r="C7836" s="6">
        <v>20.478950000000001</v>
      </c>
      <c r="D7836" s="6">
        <v>70</v>
      </c>
      <c r="E7836" s="6">
        <v>0</v>
      </c>
      <c r="F7836" s="6">
        <v>0</v>
      </c>
      <c r="G7836" s="6">
        <v>10</v>
      </c>
      <c r="H7836" s="6" t="s">
        <v>41310</v>
      </c>
      <c r="I7836" s="6">
        <v>526.6875</v>
      </c>
      <c r="J7836" s="2">
        <f t="shared" si="122"/>
        <v>43749.040617708328</v>
      </c>
    </row>
    <row r="7837" spans="1:10" x14ac:dyDescent="0.25">
      <c r="A7837" s="7" t="s">
        <v>41311</v>
      </c>
      <c r="B7837" s="8">
        <v>393.75</v>
      </c>
      <c r="C7837" s="8">
        <v>20.478950000000001</v>
      </c>
      <c r="D7837" s="8">
        <v>70</v>
      </c>
      <c r="E7837" s="8">
        <v>0</v>
      </c>
      <c r="F7837" s="8">
        <v>0</v>
      </c>
      <c r="G7837" s="8">
        <v>7</v>
      </c>
      <c r="H7837" s="8" t="s">
        <v>41312</v>
      </c>
      <c r="I7837" s="8">
        <v>526.5</v>
      </c>
      <c r="J7837" s="3">
        <f t="shared" si="122"/>
        <v>43749.040688993053</v>
      </c>
    </row>
    <row r="7838" spans="1:10" x14ac:dyDescent="0.25">
      <c r="A7838" s="5" t="s">
        <v>41313</v>
      </c>
      <c r="B7838" s="6">
        <v>393.75</v>
      </c>
      <c r="C7838" s="6">
        <v>20.478950000000001</v>
      </c>
      <c r="D7838" s="6">
        <v>70</v>
      </c>
      <c r="E7838" s="6">
        <v>0</v>
      </c>
      <c r="F7838" s="6">
        <v>0</v>
      </c>
      <c r="G7838" s="6">
        <v>9</v>
      </c>
      <c r="H7838" s="6" t="s">
        <v>41314</v>
      </c>
      <c r="I7838" s="6">
        <v>526.6875</v>
      </c>
      <c r="J7838" s="2">
        <f t="shared" si="122"/>
        <v>43749.040761203702</v>
      </c>
    </row>
    <row r="7839" spans="1:10" x14ac:dyDescent="0.25">
      <c r="A7839" s="7" t="s">
        <v>41315</v>
      </c>
      <c r="B7839" s="8">
        <v>428.125</v>
      </c>
      <c r="C7839" s="8">
        <v>20.478950000000001</v>
      </c>
      <c r="D7839" s="8">
        <v>67</v>
      </c>
      <c r="E7839" s="8">
        <v>0</v>
      </c>
      <c r="F7839" s="8">
        <v>0</v>
      </c>
      <c r="G7839" s="8">
        <v>5</v>
      </c>
      <c r="H7839" s="8" t="s">
        <v>41316</v>
      </c>
      <c r="I7839" s="8">
        <v>537.1875</v>
      </c>
      <c r="J7839" s="3">
        <f t="shared" si="122"/>
        <v>43749.040832523147</v>
      </c>
    </row>
    <row r="7840" spans="1:10" x14ac:dyDescent="0.25">
      <c r="A7840" s="5" t="s">
        <v>41317</v>
      </c>
      <c r="B7840" s="6">
        <v>393.75</v>
      </c>
      <c r="C7840" s="6">
        <v>20.478950000000001</v>
      </c>
      <c r="D7840" s="6">
        <v>68</v>
      </c>
      <c r="E7840" s="6">
        <v>0</v>
      </c>
      <c r="F7840" s="6">
        <v>0</v>
      </c>
      <c r="G7840" s="6">
        <v>3</v>
      </c>
      <c r="H7840" s="6" t="s">
        <v>41318</v>
      </c>
      <c r="I7840" s="6">
        <v>526.6875</v>
      </c>
      <c r="J7840" s="2">
        <f t="shared" si="122"/>
        <v>43749.040903807872</v>
      </c>
    </row>
    <row r="7841" spans="1:10" x14ac:dyDescent="0.25">
      <c r="A7841" s="7" t="s">
        <v>41319</v>
      </c>
      <c r="B7841" s="8">
        <v>393.75</v>
      </c>
      <c r="C7841" s="8">
        <v>20.478950000000001</v>
      </c>
      <c r="D7841" s="8">
        <v>68</v>
      </c>
      <c r="E7841" s="8">
        <v>0</v>
      </c>
      <c r="F7841" s="8">
        <v>0</v>
      </c>
      <c r="G7841" s="8">
        <v>5</v>
      </c>
      <c r="H7841" s="8" t="s">
        <v>41320</v>
      </c>
      <c r="I7841" s="8">
        <v>526.6875</v>
      </c>
      <c r="J7841" s="3">
        <f t="shared" si="122"/>
        <v>43749.040975231481</v>
      </c>
    </row>
    <row r="7842" spans="1:10" x14ac:dyDescent="0.25">
      <c r="A7842" s="5" t="s">
        <v>41321</v>
      </c>
      <c r="B7842" s="6">
        <v>393.75</v>
      </c>
      <c r="C7842" s="6">
        <v>20.478950000000001</v>
      </c>
      <c r="D7842" s="6">
        <v>68</v>
      </c>
      <c r="E7842" s="6">
        <v>0</v>
      </c>
      <c r="F7842" s="6">
        <v>0</v>
      </c>
      <c r="G7842" s="6">
        <v>13</v>
      </c>
      <c r="H7842" s="6" t="s">
        <v>41322</v>
      </c>
      <c r="I7842" s="6">
        <v>526.6875</v>
      </c>
      <c r="J7842" s="2">
        <f t="shared" si="122"/>
        <v>43749.041047453698</v>
      </c>
    </row>
    <row r="7843" spans="1:10" x14ac:dyDescent="0.25">
      <c r="A7843" s="7" t="s">
        <v>41323</v>
      </c>
      <c r="B7843" s="8">
        <v>393.75</v>
      </c>
      <c r="C7843" s="8">
        <v>20.478950000000001</v>
      </c>
      <c r="D7843" s="8">
        <v>67</v>
      </c>
      <c r="E7843" s="8">
        <v>0</v>
      </c>
      <c r="F7843" s="8">
        <v>0</v>
      </c>
      <c r="G7843" s="8">
        <v>13</v>
      </c>
      <c r="H7843" s="8" t="s">
        <v>41324</v>
      </c>
      <c r="I7843" s="8">
        <v>526.6875</v>
      </c>
      <c r="J7843" s="3">
        <f t="shared" si="122"/>
        <v>43749.041163703696</v>
      </c>
    </row>
    <row r="7844" spans="1:10" x14ac:dyDescent="0.25">
      <c r="A7844" s="5" t="s">
        <v>41325</v>
      </c>
      <c r="B7844" s="6">
        <v>393.75</v>
      </c>
      <c r="C7844" s="6">
        <v>20.478950000000001</v>
      </c>
      <c r="D7844" s="6">
        <v>67</v>
      </c>
      <c r="E7844" s="6">
        <v>0</v>
      </c>
      <c r="F7844" s="6">
        <v>0</v>
      </c>
      <c r="G7844" s="6">
        <v>0</v>
      </c>
      <c r="H7844" s="6" t="s">
        <v>41326</v>
      </c>
      <c r="I7844" s="6">
        <v>526.6875</v>
      </c>
      <c r="J7844" s="2">
        <f t="shared" si="122"/>
        <v>43749.041238009253</v>
      </c>
    </row>
    <row r="7845" spans="1:10" x14ac:dyDescent="0.25">
      <c r="A7845" s="7" t="s">
        <v>41327</v>
      </c>
      <c r="B7845" s="8">
        <v>393.75</v>
      </c>
      <c r="C7845" s="8">
        <v>20.478950000000001</v>
      </c>
      <c r="D7845" s="8">
        <v>66</v>
      </c>
      <c r="E7845" s="8">
        <v>0</v>
      </c>
      <c r="F7845" s="8">
        <v>0</v>
      </c>
      <c r="G7845" s="8">
        <v>6</v>
      </c>
      <c r="H7845" s="8" t="s">
        <v>41328</v>
      </c>
      <c r="I7845" s="8">
        <v>526.6875</v>
      </c>
      <c r="J7845" s="3">
        <f t="shared" si="122"/>
        <v>43749.041309548607</v>
      </c>
    </row>
    <row r="7846" spans="1:10" x14ac:dyDescent="0.25">
      <c r="A7846" s="5" t="s">
        <v>41329</v>
      </c>
      <c r="B7846" s="6">
        <v>393.75</v>
      </c>
      <c r="C7846" s="6">
        <v>20.478950000000001</v>
      </c>
      <c r="D7846" s="6">
        <v>67</v>
      </c>
      <c r="E7846" s="6">
        <v>0</v>
      </c>
      <c r="F7846" s="6">
        <v>0</v>
      </c>
      <c r="G7846" s="6">
        <v>3</v>
      </c>
      <c r="H7846" s="6" t="s">
        <v>41330</v>
      </c>
      <c r="I7846" s="6">
        <v>526.6875</v>
      </c>
      <c r="J7846" s="2">
        <f t="shared" si="122"/>
        <v>43749.041380671297</v>
      </c>
    </row>
    <row r="7847" spans="1:10" x14ac:dyDescent="0.25">
      <c r="A7847" s="7" t="s">
        <v>41331</v>
      </c>
      <c r="B7847" s="8">
        <v>393.75</v>
      </c>
      <c r="C7847" s="8">
        <v>20.478950000000001</v>
      </c>
      <c r="D7847" s="8">
        <v>67</v>
      </c>
      <c r="E7847" s="8">
        <v>0</v>
      </c>
      <c r="F7847" s="8">
        <v>0</v>
      </c>
      <c r="G7847" s="8">
        <v>10</v>
      </c>
      <c r="H7847" s="8" t="s">
        <v>41332</v>
      </c>
      <c r="I7847" s="8">
        <v>526.6875</v>
      </c>
      <c r="J7847" s="3">
        <f t="shared" si="122"/>
        <v>43749.041452245372</v>
      </c>
    </row>
    <row r="7848" spans="1:10" x14ac:dyDescent="0.25">
      <c r="A7848" s="5" t="s">
        <v>41333</v>
      </c>
      <c r="B7848" s="6">
        <v>393.75</v>
      </c>
      <c r="C7848" s="6">
        <v>20.478950000000001</v>
      </c>
      <c r="D7848" s="6">
        <v>67</v>
      </c>
      <c r="E7848" s="6">
        <v>0</v>
      </c>
      <c r="F7848" s="6">
        <v>0</v>
      </c>
      <c r="G7848" s="6">
        <v>6</v>
      </c>
      <c r="H7848" s="6" t="s">
        <v>41334</v>
      </c>
      <c r="I7848" s="6">
        <v>526.6875</v>
      </c>
      <c r="J7848" s="2">
        <f t="shared" si="122"/>
        <v>43749.041524293978</v>
      </c>
    </row>
    <row r="7849" spans="1:10" x14ac:dyDescent="0.25">
      <c r="A7849" s="7" t="s">
        <v>41335</v>
      </c>
      <c r="B7849" s="8">
        <v>393.75</v>
      </c>
      <c r="C7849" s="8">
        <v>20.478950000000001</v>
      </c>
      <c r="D7849" s="8">
        <v>68</v>
      </c>
      <c r="E7849" s="8">
        <v>0</v>
      </c>
      <c r="F7849" s="8">
        <v>0</v>
      </c>
      <c r="G7849" s="8">
        <v>6</v>
      </c>
      <c r="H7849" s="8" t="s">
        <v>41336</v>
      </c>
      <c r="I7849" s="8">
        <v>526.6875</v>
      </c>
      <c r="J7849" s="3">
        <f t="shared" si="122"/>
        <v>43749.04159541666</v>
      </c>
    </row>
    <row r="7850" spans="1:10" x14ac:dyDescent="0.25">
      <c r="A7850" s="5" t="s">
        <v>41337</v>
      </c>
      <c r="B7850" s="6">
        <v>393.75</v>
      </c>
      <c r="C7850" s="6">
        <v>20.478950000000001</v>
      </c>
      <c r="D7850" s="6">
        <v>65</v>
      </c>
      <c r="E7850" s="6">
        <v>0</v>
      </c>
      <c r="F7850" s="6">
        <v>0</v>
      </c>
      <c r="G7850" s="6">
        <v>0</v>
      </c>
      <c r="H7850" s="6" t="s">
        <v>41338</v>
      </c>
      <c r="I7850" s="6">
        <v>526.6875</v>
      </c>
      <c r="J7850" s="2">
        <f t="shared" si="122"/>
        <v>43749.041667523146</v>
      </c>
    </row>
    <row r="7851" spans="1:10" x14ac:dyDescent="0.25">
      <c r="A7851" s="7" t="s">
        <v>41339</v>
      </c>
      <c r="B7851" s="8">
        <v>393.75</v>
      </c>
      <c r="C7851" s="8">
        <v>20.478950000000001</v>
      </c>
      <c r="D7851" s="8">
        <v>66</v>
      </c>
      <c r="E7851" s="8">
        <v>0</v>
      </c>
      <c r="F7851" s="8">
        <v>0</v>
      </c>
      <c r="G7851" s="8">
        <v>12</v>
      </c>
      <c r="H7851" s="8" t="s">
        <v>41340</v>
      </c>
      <c r="I7851" s="8">
        <v>526.6875</v>
      </c>
      <c r="J7851" s="3">
        <f t="shared" si="122"/>
        <v>43749.04173910879</v>
      </c>
    </row>
    <row r="7852" spans="1:10" x14ac:dyDescent="0.25">
      <c r="A7852" s="5" t="s">
        <v>41341</v>
      </c>
      <c r="B7852" s="6">
        <v>412.5</v>
      </c>
      <c r="C7852" s="6">
        <v>20.478950000000001</v>
      </c>
      <c r="D7852" s="6">
        <v>66</v>
      </c>
      <c r="E7852" s="6">
        <v>0</v>
      </c>
      <c r="F7852" s="6">
        <v>0</v>
      </c>
      <c r="G7852" s="6">
        <v>7</v>
      </c>
      <c r="H7852" s="6" t="s">
        <v>41342</v>
      </c>
      <c r="I7852" s="6">
        <v>532.3125</v>
      </c>
      <c r="J7852" s="2">
        <f t="shared" si="122"/>
        <v>43749.041834305557</v>
      </c>
    </row>
    <row r="7853" spans="1:10" x14ac:dyDescent="0.25">
      <c r="A7853" s="7" t="s">
        <v>41343</v>
      </c>
      <c r="B7853" s="8">
        <v>393.75</v>
      </c>
      <c r="C7853" s="8">
        <v>20.478950000000001</v>
      </c>
      <c r="D7853" s="8">
        <v>65</v>
      </c>
      <c r="E7853" s="8">
        <v>0</v>
      </c>
      <c r="F7853" s="8">
        <v>0</v>
      </c>
      <c r="G7853" s="8">
        <v>1</v>
      </c>
      <c r="H7853" s="8" t="s">
        <v>41344</v>
      </c>
      <c r="I7853" s="8">
        <v>526.6875</v>
      </c>
      <c r="J7853" s="3">
        <f t="shared" si="122"/>
        <v>43749.041905787039</v>
      </c>
    </row>
    <row r="7854" spans="1:10" x14ac:dyDescent="0.25">
      <c r="A7854" s="5" t="s">
        <v>41345</v>
      </c>
      <c r="B7854" s="6">
        <v>393.75</v>
      </c>
      <c r="C7854" s="6">
        <v>20.478950000000001</v>
      </c>
      <c r="D7854" s="6">
        <v>65</v>
      </c>
      <c r="E7854" s="6">
        <v>0</v>
      </c>
      <c r="F7854" s="6">
        <v>0</v>
      </c>
      <c r="G7854" s="6">
        <v>6</v>
      </c>
      <c r="H7854" s="6" t="s">
        <v>41346</v>
      </c>
      <c r="I7854" s="6">
        <v>526.6875</v>
      </c>
      <c r="J7854" s="2">
        <f t="shared" si="122"/>
        <v>43749.041977048611</v>
      </c>
    </row>
    <row r="7855" spans="1:10" x14ac:dyDescent="0.25">
      <c r="A7855" s="7" t="s">
        <v>41347</v>
      </c>
      <c r="B7855" s="8">
        <v>393.75</v>
      </c>
      <c r="C7855" s="8">
        <v>20.478950000000001</v>
      </c>
      <c r="D7855" s="8">
        <v>65</v>
      </c>
      <c r="E7855" s="8">
        <v>0</v>
      </c>
      <c r="F7855" s="8">
        <v>0</v>
      </c>
      <c r="G7855" s="8">
        <v>5</v>
      </c>
      <c r="H7855" s="8" t="s">
        <v>41348</v>
      </c>
      <c r="I7855" s="8">
        <v>526.6875</v>
      </c>
      <c r="J7855" s="3">
        <f t="shared" si="122"/>
        <v>43749.042049166666</v>
      </c>
    </row>
    <row r="7856" spans="1:10" x14ac:dyDescent="0.25">
      <c r="A7856" s="5" t="s">
        <v>41349</v>
      </c>
      <c r="B7856" s="6">
        <v>393.75</v>
      </c>
      <c r="C7856" s="6">
        <v>20.478950000000001</v>
      </c>
      <c r="D7856" s="6">
        <v>65</v>
      </c>
      <c r="E7856" s="6">
        <v>0</v>
      </c>
      <c r="F7856" s="6">
        <v>0</v>
      </c>
      <c r="G7856" s="6">
        <v>3</v>
      </c>
      <c r="H7856" s="6" t="s">
        <v>41350</v>
      </c>
      <c r="I7856" s="6">
        <v>526.6875</v>
      </c>
      <c r="J7856" s="2">
        <f t="shared" si="122"/>
        <v>43749.042133391202</v>
      </c>
    </row>
    <row r="7857" spans="1:10" x14ac:dyDescent="0.25">
      <c r="A7857" s="7" t="s">
        <v>41351</v>
      </c>
      <c r="B7857" s="8">
        <v>393.75</v>
      </c>
      <c r="C7857" s="8">
        <v>20.426300000000001</v>
      </c>
      <c r="D7857" s="8">
        <v>65</v>
      </c>
      <c r="E7857" s="8">
        <v>0</v>
      </c>
      <c r="F7857" s="8">
        <v>0</v>
      </c>
      <c r="G7857" s="8">
        <v>8</v>
      </c>
      <c r="H7857" s="8" t="s">
        <v>41352</v>
      </c>
      <c r="I7857" s="8">
        <v>526.6875</v>
      </c>
      <c r="J7857" s="3">
        <f t="shared" si="122"/>
        <v>43749.042203912039</v>
      </c>
    </row>
    <row r="7858" spans="1:10" x14ac:dyDescent="0.25">
      <c r="A7858" s="5" t="s">
        <v>41353</v>
      </c>
      <c r="B7858" s="6">
        <v>393.75</v>
      </c>
      <c r="C7858" s="6">
        <v>20.478950000000001</v>
      </c>
      <c r="D7858" s="6">
        <v>65</v>
      </c>
      <c r="E7858" s="6">
        <v>0</v>
      </c>
      <c r="F7858" s="6">
        <v>0</v>
      </c>
      <c r="G7858" s="6">
        <v>1</v>
      </c>
      <c r="H7858" s="6" t="s">
        <v>41354</v>
      </c>
      <c r="I7858" s="6">
        <v>526.6875</v>
      </c>
      <c r="J7858" s="2">
        <f t="shared" si="122"/>
        <v>43749.042275173611</v>
      </c>
    </row>
    <row r="7859" spans="1:10" x14ac:dyDescent="0.25">
      <c r="A7859" s="7" t="s">
        <v>41355</v>
      </c>
      <c r="B7859" s="8">
        <v>393.75</v>
      </c>
      <c r="C7859" s="8">
        <v>20.478950000000001</v>
      </c>
      <c r="D7859" s="8">
        <v>65</v>
      </c>
      <c r="E7859" s="8">
        <v>0</v>
      </c>
      <c r="F7859" s="8">
        <v>0</v>
      </c>
      <c r="G7859" s="8">
        <v>6</v>
      </c>
      <c r="H7859" s="8" t="s">
        <v>41356</v>
      </c>
      <c r="I7859" s="8">
        <v>526.6875</v>
      </c>
      <c r="J7859" s="3">
        <f t="shared" si="122"/>
        <v>43749.042370532406</v>
      </c>
    </row>
    <row r="7860" spans="1:10" x14ac:dyDescent="0.25">
      <c r="A7860" s="5" t="s">
        <v>41357</v>
      </c>
      <c r="B7860" s="6">
        <v>393.75</v>
      </c>
      <c r="C7860" s="6">
        <v>20.426300000000001</v>
      </c>
      <c r="D7860" s="6">
        <v>68</v>
      </c>
      <c r="E7860" s="6">
        <v>0</v>
      </c>
      <c r="F7860" s="6">
        <v>0</v>
      </c>
      <c r="G7860" s="6">
        <v>11</v>
      </c>
      <c r="H7860" s="6" t="s">
        <v>41358</v>
      </c>
      <c r="I7860" s="6">
        <v>526.6875</v>
      </c>
      <c r="J7860" s="2">
        <f t="shared" si="122"/>
        <v>43749.042442627317</v>
      </c>
    </row>
    <row r="7861" spans="1:10" x14ac:dyDescent="0.25">
      <c r="A7861" s="7" t="s">
        <v>41359</v>
      </c>
      <c r="B7861" s="8">
        <v>393.75</v>
      </c>
      <c r="C7861" s="8">
        <v>20.478950000000001</v>
      </c>
      <c r="D7861" s="8">
        <v>68</v>
      </c>
      <c r="E7861" s="8">
        <v>0</v>
      </c>
      <c r="F7861" s="8">
        <v>0</v>
      </c>
      <c r="G7861" s="8">
        <v>0</v>
      </c>
      <c r="H7861" s="8" t="s">
        <v>41360</v>
      </c>
      <c r="I7861" s="8">
        <v>526.6875</v>
      </c>
      <c r="J7861" s="3">
        <f t="shared" si="122"/>
        <v>43749.042514027773</v>
      </c>
    </row>
    <row r="7862" spans="1:10" x14ac:dyDescent="0.25">
      <c r="A7862" s="5" t="s">
        <v>41361</v>
      </c>
      <c r="B7862" s="6">
        <v>393.75</v>
      </c>
      <c r="C7862" s="6">
        <v>20.478950000000001</v>
      </c>
      <c r="D7862" s="6">
        <v>68</v>
      </c>
      <c r="E7862" s="6">
        <v>0</v>
      </c>
      <c r="F7862" s="6">
        <v>0</v>
      </c>
      <c r="G7862" s="6">
        <v>5</v>
      </c>
      <c r="H7862" s="6" t="s">
        <v>41362</v>
      </c>
      <c r="I7862" s="6">
        <v>526.6875</v>
      </c>
      <c r="J7862" s="2">
        <f t="shared" si="122"/>
        <v>43749.042585312498</v>
      </c>
    </row>
    <row r="7863" spans="1:10" x14ac:dyDescent="0.25">
      <c r="A7863" s="7" t="s">
        <v>41363</v>
      </c>
      <c r="B7863" s="8">
        <v>393.75</v>
      </c>
      <c r="C7863" s="8">
        <v>20.478950000000001</v>
      </c>
      <c r="D7863" s="8">
        <v>68</v>
      </c>
      <c r="E7863" s="8">
        <v>0</v>
      </c>
      <c r="F7863" s="8">
        <v>0</v>
      </c>
      <c r="G7863" s="8">
        <v>4</v>
      </c>
      <c r="H7863" s="8" t="s">
        <v>41364</v>
      </c>
      <c r="I7863" s="8">
        <v>526.5</v>
      </c>
      <c r="J7863" s="3">
        <f t="shared" si="122"/>
        <v>43749.042657615741</v>
      </c>
    </row>
    <row r="7864" spans="1:10" x14ac:dyDescent="0.25">
      <c r="A7864" s="5" t="s">
        <v>41365</v>
      </c>
      <c r="B7864" s="6">
        <v>393.75</v>
      </c>
      <c r="C7864" s="6">
        <v>20.478950000000001</v>
      </c>
      <c r="D7864" s="6">
        <v>68</v>
      </c>
      <c r="E7864" s="6">
        <v>0</v>
      </c>
      <c r="F7864" s="6">
        <v>0</v>
      </c>
      <c r="G7864" s="6">
        <v>4</v>
      </c>
      <c r="H7864" s="6" t="s">
        <v>41366</v>
      </c>
      <c r="I7864" s="6">
        <v>526.6875</v>
      </c>
      <c r="J7864" s="2">
        <f t="shared" si="122"/>
        <v>43749.042728807872</v>
      </c>
    </row>
    <row r="7865" spans="1:10" x14ac:dyDescent="0.25">
      <c r="A7865" s="7" t="s">
        <v>41367</v>
      </c>
      <c r="B7865" s="8">
        <v>393.75</v>
      </c>
      <c r="C7865" s="8">
        <v>20.478950000000001</v>
      </c>
      <c r="D7865" s="8">
        <v>68</v>
      </c>
      <c r="E7865" s="8">
        <v>0</v>
      </c>
      <c r="F7865" s="8">
        <v>0</v>
      </c>
      <c r="G7865" s="8">
        <v>0</v>
      </c>
      <c r="H7865" s="8" t="s">
        <v>41368</v>
      </c>
      <c r="I7865" s="8">
        <v>526.6875</v>
      </c>
      <c r="J7865" s="3">
        <f t="shared" si="122"/>
        <v>43749.042800208328</v>
      </c>
    </row>
    <row r="7866" spans="1:10" x14ac:dyDescent="0.25">
      <c r="A7866" s="5" t="s">
        <v>41369</v>
      </c>
      <c r="B7866" s="6">
        <v>412.5</v>
      </c>
      <c r="C7866" s="6">
        <v>20.478950000000001</v>
      </c>
      <c r="D7866" s="6">
        <v>66</v>
      </c>
      <c r="E7866" s="6">
        <v>0</v>
      </c>
      <c r="F7866" s="6">
        <v>0</v>
      </c>
      <c r="G7866" s="6">
        <v>7</v>
      </c>
      <c r="H7866" s="6" t="s">
        <v>41370</v>
      </c>
      <c r="I7866" s="6">
        <v>532.6875</v>
      </c>
      <c r="J7866" s="2">
        <f t="shared" si="122"/>
        <v>43749.042871446756</v>
      </c>
    </row>
    <row r="7867" spans="1:10" x14ac:dyDescent="0.25">
      <c r="A7867" s="7" t="s">
        <v>41371</v>
      </c>
      <c r="B7867" s="8">
        <v>393.75</v>
      </c>
      <c r="C7867" s="8">
        <v>20.478950000000001</v>
      </c>
      <c r="D7867" s="8">
        <v>67</v>
      </c>
      <c r="E7867" s="8">
        <v>0</v>
      </c>
      <c r="F7867" s="8">
        <v>0</v>
      </c>
      <c r="G7867" s="8">
        <v>1</v>
      </c>
      <c r="H7867" s="8" t="s">
        <v>41372</v>
      </c>
      <c r="I7867" s="8">
        <v>526.6875</v>
      </c>
      <c r="J7867" s="3">
        <f t="shared" si="122"/>
        <v>43749.042943611108</v>
      </c>
    </row>
    <row r="7868" spans="1:10" x14ac:dyDescent="0.25">
      <c r="A7868" s="5" t="s">
        <v>41373</v>
      </c>
      <c r="B7868" s="6">
        <v>393.75</v>
      </c>
      <c r="C7868" s="6">
        <v>20.478950000000001</v>
      </c>
      <c r="D7868" s="6">
        <v>66</v>
      </c>
      <c r="E7868" s="6">
        <v>0</v>
      </c>
      <c r="F7868" s="6">
        <v>0</v>
      </c>
      <c r="G7868" s="6">
        <v>3</v>
      </c>
      <c r="H7868" s="6" t="s">
        <v>41374</v>
      </c>
      <c r="I7868" s="6">
        <v>526.6875</v>
      </c>
      <c r="J7868" s="2">
        <f t="shared" si="122"/>
        <v>43749.043014965275</v>
      </c>
    </row>
    <row r="7869" spans="1:10" x14ac:dyDescent="0.25">
      <c r="A7869" s="7" t="s">
        <v>41375</v>
      </c>
      <c r="B7869" s="8">
        <v>393.75</v>
      </c>
      <c r="C7869" s="8">
        <v>20.478950000000001</v>
      </c>
      <c r="D7869" s="8">
        <v>66</v>
      </c>
      <c r="E7869" s="8">
        <v>0</v>
      </c>
      <c r="F7869" s="8">
        <v>0</v>
      </c>
      <c r="G7869" s="8">
        <v>0</v>
      </c>
      <c r="H7869" s="8" t="s">
        <v>41376</v>
      </c>
      <c r="I7869" s="8">
        <v>526.6875</v>
      </c>
      <c r="J7869" s="3">
        <f t="shared" si="122"/>
        <v>43749.043086261569</v>
      </c>
    </row>
    <row r="7870" spans="1:10" x14ac:dyDescent="0.25">
      <c r="A7870" s="5" t="s">
        <v>41377</v>
      </c>
      <c r="B7870" s="6">
        <v>393.75</v>
      </c>
      <c r="C7870" s="6">
        <v>20.478950000000001</v>
      </c>
      <c r="D7870" s="6">
        <v>66</v>
      </c>
      <c r="E7870" s="6">
        <v>0</v>
      </c>
      <c r="F7870" s="6">
        <v>0</v>
      </c>
      <c r="G7870" s="6">
        <v>4</v>
      </c>
      <c r="H7870" s="6" t="s">
        <v>41378</v>
      </c>
      <c r="I7870" s="6">
        <v>526.6875</v>
      </c>
      <c r="J7870" s="2">
        <f t="shared" si="122"/>
        <v>43749.043158333334</v>
      </c>
    </row>
    <row r="7871" spans="1:10" x14ac:dyDescent="0.25">
      <c r="A7871" s="7" t="s">
        <v>41379</v>
      </c>
      <c r="B7871" s="8">
        <v>393.75</v>
      </c>
      <c r="C7871" s="8">
        <v>20.478950000000001</v>
      </c>
      <c r="D7871" s="8">
        <v>66</v>
      </c>
      <c r="E7871" s="8">
        <v>0</v>
      </c>
      <c r="F7871" s="8">
        <v>0</v>
      </c>
      <c r="G7871" s="8">
        <v>0</v>
      </c>
      <c r="H7871" s="8" t="s">
        <v>41380</v>
      </c>
      <c r="I7871" s="8">
        <v>526.6875</v>
      </c>
      <c r="J7871" s="3">
        <f t="shared" si="122"/>
        <v>43749.043229780094</v>
      </c>
    </row>
    <row r="7872" spans="1:10" x14ac:dyDescent="0.25">
      <c r="A7872" s="5" t="s">
        <v>41381</v>
      </c>
      <c r="B7872" s="6">
        <v>393.75</v>
      </c>
      <c r="C7872" s="6">
        <v>20.478950000000001</v>
      </c>
      <c r="D7872" s="6">
        <v>66</v>
      </c>
      <c r="E7872" s="6">
        <v>0</v>
      </c>
      <c r="F7872" s="6">
        <v>0</v>
      </c>
      <c r="G7872" s="6">
        <v>4</v>
      </c>
      <c r="H7872" s="6" t="s">
        <v>41382</v>
      </c>
      <c r="I7872" s="6">
        <v>526.6875</v>
      </c>
      <c r="J7872" s="2">
        <f t="shared" si="122"/>
        <v>43749.043313113427</v>
      </c>
    </row>
    <row r="7873" spans="1:10" x14ac:dyDescent="0.25">
      <c r="A7873" s="7" t="s">
        <v>41383</v>
      </c>
      <c r="B7873" s="8">
        <v>418.75</v>
      </c>
      <c r="C7873" s="8">
        <v>20.478950000000001</v>
      </c>
      <c r="D7873" s="8">
        <v>67</v>
      </c>
      <c r="E7873" s="8">
        <v>0</v>
      </c>
      <c r="F7873" s="8">
        <v>0</v>
      </c>
      <c r="G7873" s="8">
        <v>0</v>
      </c>
      <c r="H7873" s="8" t="s">
        <v>41384</v>
      </c>
      <c r="I7873" s="8">
        <v>534.75</v>
      </c>
      <c r="J7873" s="3">
        <f t="shared" si="122"/>
        <v>43749.043396469904</v>
      </c>
    </row>
    <row r="7874" spans="1:10" x14ac:dyDescent="0.25">
      <c r="A7874" s="5" t="s">
        <v>41385</v>
      </c>
      <c r="B7874" s="6">
        <v>393.75</v>
      </c>
      <c r="C7874" s="6">
        <v>20.426300000000001</v>
      </c>
      <c r="D7874" s="6">
        <v>67</v>
      </c>
      <c r="E7874" s="6">
        <v>0</v>
      </c>
      <c r="F7874" s="6">
        <v>0</v>
      </c>
      <c r="G7874" s="6">
        <v>9</v>
      </c>
      <c r="H7874" s="6" t="s">
        <v>41386</v>
      </c>
      <c r="I7874" s="6">
        <v>526.6875</v>
      </c>
      <c r="J7874" s="2">
        <f t="shared" ref="J7874:J7937" si="123">(H7874/86400000)+25569+(7/24)</f>
        <v>43749.043479780092</v>
      </c>
    </row>
    <row r="7875" spans="1:10" x14ac:dyDescent="0.25">
      <c r="A7875" s="7" t="s">
        <v>41387</v>
      </c>
      <c r="B7875" s="8">
        <v>393.75</v>
      </c>
      <c r="C7875" s="8">
        <v>20.478950000000001</v>
      </c>
      <c r="D7875" s="8">
        <v>68</v>
      </c>
      <c r="E7875" s="8">
        <v>0</v>
      </c>
      <c r="F7875" s="8">
        <v>0</v>
      </c>
      <c r="G7875" s="8">
        <v>7</v>
      </c>
      <c r="H7875" s="8" t="s">
        <v>41388</v>
      </c>
      <c r="I7875" s="8">
        <v>526.6875</v>
      </c>
      <c r="J7875" s="3">
        <f t="shared" si="123"/>
        <v>43749.043551840274</v>
      </c>
    </row>
    <row r="7876" spans="1:10" x14ac:dyDescent="0.25">
      <c r="A7876" s="5" t="s">
        <v>41389</v>
      </c>
      <c r="B7876" s="6">
        <v>393.75</v>
      </c>
      <c r="C7876" s="6">
        <v>20.478950000000001</v>
      </c>
      <c r="D7876" s="6">
        <v>68</v>
      </c>
      <c r="E7876" s="6">
        <v>0</v>
      </c>
      <c r="F7876" s="6">
        <v>0</v>
      </c>
      <c r="G7876" s="6">
        <v>9</v>
      </c>
      <c r="H7876" s="6" t="s">
        <v>41390</v>
      </c>
      <c r="I7876" s="6">
        <v>526.6875</v>
      </c>
      <c r="J7876" s="2">
        <f t="shared" si="123"/>
        <v>43749.043623310186</v>
      </c>
    </row>
    <row r="7877" spans="1:10" x14ac:dyDescent="0.25">
      <c r="A7877" s="7" t="s">
        <v>41391</v>
      </c>
      <c r="B7877" s="8">
        <v>393.75</v>
      </c>
      <c r="C7877" s="8">
        <v>20.478950000000001</v>
      </c>
      <c r="D7877" s="8">
        <v>66</v>
      </c>
      <c r="E7877" s="8">
        <v>0</v>
      </c>
      <c r="F7877" s="8">
        <v>0</v>
      </c>
      <c r="G7877" s="8">
        <v>9</v>
      </c>
      <c r="H7877" s="8" t="s">
        <v>41392</v>
      </c>
      <c r="I7877" s="8">
        <v>526.6875</v>
      </c>
      <c r="J7877" s="3">
        <f t="shared" si="123"/>
        <v>43749.043694664353</v>
      </c>
    </row>
    <row r="7878" spans="1:10" x14ac:dyDescent="0.25">
      <c r="A7878" s="5" t="s">
        <v>41393</v>
      </c>
      <c r="B7878" s="6">
        <v>393.75</v>
      </c>
      <c r="C7878" s="6">
        <v>20.478950000000001</v>
      </c>
      <c r="D7878" s="6">
        <v>66</v>
      </c>
      <c r="E7878" s="6">
        <v>0</v>
      </c>
      <c r="F7878" s="6">
        <v>0</v>
      </c>
      <c r="G7878" s="6">
        <v>10</v>
      </c>
      <c r="H7878" s="6" t="s">
        <v>41394</v>
      </c>
      <c r="I7878" s="6">
        <v>526.6875</v>
      </c>
      <c r="J7878" s="2">
        <f t="shared" si="123"/>
        <v>43749.043765891205</v>
      </c>
    </row>
    <row r="7879" spans="1:10" x14ac:dyDescent="0.25">
      <c r="A7879" s="7" t="s">
        <v>41395</v>
      </c>
      <c r="B7879" s="8">
        <v>393.75</v>
      </c>
      <c r="C7879" s="8">
        <v>20.478950000000001</v>
      </c>
      <c r="D7879" s="8">
        <v>67</v>
      </c>
      <c r="E7879" s="8">
        <v>0</v>
      </c>
      <c r="F7879" s="8">
        <v>0</v>
      </c>
      <c r="G7879" s="8">
        <v>9</v>
      </c>
      <c r="H7879" s="8" t="s">
        <v>41396</v>
      </c>
      <c r="I7879" s="8">
        <v>526.875</v>
      </c>
      <c r="J7879" s="3">
        <f t="shared" si="123"/>
        <v>43749.04384997685</v>
      </c>
    </row>
    <row r="7880" spans="1:10" x14ac:dyDescent="0.25">
      <c r="A7880" s="5" t="s">
        <v>41397</v>
      </c>
      <c r="B7880" s="6">
        <v>412.5</v>
      </c>
      <c r="C7880" s="6">
        <v>20.478950000000001</v>
      </c>
      <c r="D7880" s="6">
        <v>67</v>
      </c>
      <c r="E7880" s="6">
        <v>0</v>
      </c>
      <c r="F7880" s="6">
        <v>0</v>
      </c>
      <c r="G7880" s="6">
        <v>7</v>
      </c>
      <c r="H7880" s="6" t="s">
        <v>41398</v>
      </c>
      <c r="I7880" s="6">
        <v>532.3125</v>
      </c>
      <c r="J7880" s="2">
        <f t="shared" si="123"/>
        <v>43749.043921458331</v>
      </c>
    </row>
    <row r="7881" spans="1:10" x14ac:dyDescent="0.25">
      <c r="A7881" s="7" t="s">
        <v>41399</v>
      </c>
      <c r="B7881" s="8">
        <v>393.75</v>
      </c>
      <c r="C7881" s="8">
        <v>20.478950000000001</v>
      </c>
      <c r="D7881" s="8">
        <v>68</v>
      </c>
      <c r="E7881" s="8">
        <v>0</v>
      </c>
      <c r="F7881" s="8">
        <v>0</v>
      </c>
      <c r="G7881" s="8">
        <v>7</v>
      </c>
      <c r="H7881" s="8" t="s">
        <v>41400</v>
      </c>
      <c r="I7881" s="8">
        <v>526.6875</v>
      </c>
      <c r="J7881" s="3">
        <f t="shared" si="123"/>
        <v>43749.043992754632</v>
      </c>
    </row>
    <row r="7882" spans="1:10" x14ac:dyDescent="0.25">
      <c r="A7882" s="5" t="s">
        <v>41401</v>
      </c>
      <c r="B7882" s="6">
        <v>393.75</v>
      </c>
      <c r="C7882" s="6">
        <v>20.478950000000001</v>
      </c>
      <c r="D7882" s="6">
        <v>65</v>
      </c>
      <c r="E7882" s="6">
        <v>0</v>
      </c>
      <c r="F7882" s="6">
        <v>0</v>
      </c>
      <c r="G7882" s="6">
        <v>3</v>
      </c>
      <c r="H7882" s="6" t="s">
        <v>41402</v>
      </c>
      <c r="I7882" s="6">
        <v>526.6875</v>
      </c>
      <c r="J7882" s="2">
        <f t="shared" si="123"/>
        <v>43749.044064062495</v>
      </c>
    </row>
    <row r="7883" spans="1:10" x14ac:dyDescent="0.25">
      <c r="A7883" s="7" t="s">
        <v>41403</v>
      </c>
      <c r="B7883" s="8">
        <v>393.75</v>
      </c>
      <c r="C7883" s="8">
        <v>20.478950000000001</v>
      </c>
      <c r="D7883" s="8">
        <v>66</v>
      </c>
      <c r="E7883" s="8">
        <v>0</v>
      </c>
      <c r="F7883" s="8">
        <v>0</v>
      </c>
      <c r="G7883" s="8">
        <v>4</v>
      </c>
      <c r="H7883" s="8" t="s">
        <v>41404</v>
      </c>
      <c r="I7883" s="8">
        <v>526.6875</v>
      </c>
      <c r="J7883" s="3">
        <f t="shared" si="123"/>
        <v>43749.04413628472</v>
      </c>
    </row>
    <row r="7884" spans="1:10" x14ac:dyDescent="0.25">
      <c r="A7884" s="5" t="s">
        <v>41405</v>
      </c>
      <c r="B7884" s="6">
        <v>393.75</v>
      </c>
      <c r="C7884" s="6">
        <v>20.478950000000001</v>
      </c>
      <c r="D7884" s="6">
        <v>66</v>
      </c>
      <c r="E7884" s="6">
        <v>0</v>
      </c>
      <c r="F7884" s="6">
        <v>0</v>
      </c>
      <c r="G7884" s="6">
        <v>4</v>
      </c>
      <c r="H7884" s="6" t="s">
        <v>41406</v>
      </c>
      <c r="I7884" s="6">
        <v>526.6875</v>
      </c>
      <c r="J7884" s="2">
        <f t="shared" si="123"/>
        <v>43749.044207175924</v>
      </c>
    </row>
    <row r="7885" spans="1:10" x14ac:dyDescent="0.25">
      <c r="A7885" s="7" t="s">
        <v>41407</v>
      </c>
      <c r="B7885" s="8">
        <v>393.75</v>
      </c>
      <c r="C7885" s="8">
        <v>20.478950000000001</v>
      </c>
      <c r="D7885" s="8">
        <v>67</v>
      </c>
      <c r="E7885" s="8">
        <v>0</v>
      </c>
      <c r="F7885" s="8">
        <v>0</v>
      </c>
      <c r="G7885" s="8">
        <v>3</v>
      </c>
      <c r="H7885" s="8" t="s">
        <v>41408</v>
      </c>
      <c r="I7885" s="8">
        <v>526.6875</v>
      </c>
      <c r="J7885" s="3">
        <f t="shared" si="123"/>
        <v>43749.044302916664</v>
      </c>
    </row>
    <row r="7886" spans="1:10" x14ac:dyDescent="0.25">
      <c r="A7886" s="5" t="s">
        <v>41409</v>
      </c>
      <c r="B7886" s="6">
        <v>393.75</v>
      </c>
      <c r="C7886" s="6">
        <v>20.478950000000001</v>
      </c>
      <c r="D7886" s="6">
        <v>67</v>
      </c>
      <c r="E7886" s="6">
        <v>0</v>
      </c>
      <c r="F7886" s="6">
        <v>0</v>
      </c>
      <c r="G7886" s="6">
        <v>14</v>
      </c>
      <c r="H7886" s="6" t="s">
        <v>41410</v>
      </c>
      <c r="I7886" s="6">
        <v>526.6875</v>
      </c>
      <c r="J7886" s="2">
        <f t="shared" si="123"/>
        <v>43749.044374236109</v>
      </c>
    </row>
    <row r="7887" spans="1:10" x14ac:dyDescent="0.25">
      <c r="A7887" s="7" t="s">
        <v>41411</v>
      </c>
      <c r="B7887" s="8">
        <v>393.75</v>
      </c>
      <c r="C7887" s="8">
        <v>20.478950000000001</v>
      </c>
      <c r="D7887" s="8">
        <v>67</v>
      </c>
      <c r="E7887" s="8">
        <v>0</v>
      </c>
      <c r="F7887" s="8">
        <v>0</v>
      </c>
      <c r="G7887" s="8">
        <v>4</v>
      </c>
      <c r="H7887" s="8" t="s">
        <v>41412</v>
      </c>
      <c r="I7887" s="8">
        <v>526.6875</v>
      </c>
      <c r="J7887" s="3">
        <f t="shared" si="123"/>
        <v>43749.044445694446</v>
      </c>
    </row>
    <row r="7888" spans="1:10" x14ac:dyDescent="0.25">
      <c r="A7888" s="5" t="s">
        <v>41413</v>
      </c>
      <c r="B7888" s="6">
        <v>393.75</v>
      </c>
      <c r="C7888" s="6">
        <v>20.478950000000001</v>
      </c>
      <c r="D7888" s="6">
        <v>68</v>
      </c>
      <c r="E7888" s="6">
        <v>0</v>
      </c>
      <c r="F7888" s="6">
        <v>0</v>
      </c>
      <c r="G7888" s="6">
        <v>6</v>
      </c>
      <c r="H7888" s="6" t="s">
        <v>41414</v>
      </c>
      <c r="I7888" s="6">
        <v>526.6875</v>
      </c>
      <c r="J7888" s="2">
        <f t="shared" si="123"/>
        <v>43749.044517743052</v>
      </c>
    </row>
    <row r="7889" spans="1:10" x14ac:dyDescent="0.25">
      <c r="A7889" s="7" t="s">
        <v>41415</v>
      </c>
      <c r="B7889" s="8">
        <v>393.75</v>
      </c>
      <c r="C7889" s="8">
        <v>20.478950000000001</v>
      </c>
      <c r="D7889" s="8">
        <v>68</v>
      </c>
      <c r="E7889" s="8">
        <v>0</v>
      </c>
      <c r="F7889" s="8">
        <v>0</v>
      </c>
      <c r="G7889" s="8">
        <v>4</v>
      </c>
      <c r="H7889" s="8" t="s">
        <v>41416</v>
      </c>
      <c r="I7889" s="8">
        <v>526.6875</v>
      </c>
      <c r="J7889" s="3">
        <f t="shared" si="123"/>
        <v>43749.044589027777</v>
      </c>
    </row>
    <row r="7890" spans="1:10" x14ac:dyDescent="0.25">
      <c r="A7890" s="5" t="s">
        <v>41417</v>
      </c>
      <c r="B7890" s="6">
        <v>393.75</v>
      </c>
      <c r="C7890" s="6">
        <v>20.478950000000001</v>
      </c>
      <c r="D7890" s="6">
        <v>65</v>
      </c>
      <c r="E7890" s="6">
        <v>0</v>
      </c>
      <c r="F7890" s="6">
        <v>0</v>
      </c>
      <c r="G7890" s="6">
        <v>6</v>
      </c>
      <c r="H7890" s="6" t="s">
        <v>41418</v>
      </c>
      <c r="I7890" s="6">
        <v>526.6875</v>
      </c>
      <c r="J7890" s="2">
        <f t="shared" si="123"/>
        <v>43749.04466039352</v>
      </c>
    </row>
    <row r="7891" spans="1:10" x14ac:dyDescent="0.25">
      <c r="A7891" s="7" t="s">
        <v>41419</v>
      </c>
      <c r="B7891" s="8">
        <v>412.5</v>
      </c>
      <c r="C7891" s="8">
        <v>20.478950000000001</v>
      </c>
      <c r="D7891" s="8">
        <v>65</v>
      </c>
      <c r="E7891" s="8">
        <v>0</v>
      </c>
      <c r="F7891" s="8">
        <v>0</v>
      </c>
      <c r="G7891" s="8">
        <v>1</v>
      </c>
      <c r="H7891" s="8" t="s">
        <v>41420</v>
      </c>
      <c r="I7891" s="8">
        <v>532.875</v>
      </c>
      <c r="J7891" s="3">
        <f t="shared" si="123"/>
        <v>43749.04473256944</v>
      </c>
    </row>
    <row r="7892" spans="1:10" x14ac:dyDescent="0.25">
      <c r="A7892" s="5" t="s">
        <v>41421</v>
      </c>
      <c r="B7892" s="6">
        <v>393.75</v>
      </c>
      <c r="C7892" s="6">
        <v>20.478950000000001</v>
      </c>
      <c r="D7892" s="6">
        <v>67</v>
      </c>
      <c r="E7892" s="6">
        <v>0</v>
      </c>
      <c r="F7892" s="6">
        <v>0</v>
      </c>
      <c r="G7892" s="6">
        <v>6</v>
      </c>
      <c r="H7892" s="6" t="s">
        <v>41422</v>
      </c>
      <c r="I7892" s="6">
        <v>526.6875</v>
      </c>
      <c r="J7892" s="2">
        <f t="shared" si="123"/>
        <v>43749.04480387731</v>
      </c>
    </row>
    <row r="7893" spans="1:10" x14ac:dyDescent="0.25">
      <c r="A7893" s="7" t="s">
        <v>41423</v>
      </c>
      <c r="B7893" s="8">
        <v>393.75</v>
      </c>
      <c r="C7893" s="8">
        <v>20.478950000000001</v>
      </c>
      <c r="D7893" s="8">
        <v>67</v>
      </c>
      <c r="E7893" s="8">
        <v>0</v>
      </c>
      <c r="F7893" s="8">
        <v>0</v>
      </c>
      <c r="G7893" s="8">
        <v>2</v>
      </c>
      <c r="H7893" s="8" t="s">
        <v>41424</v>
      </c>
      <c r="I7893" s="8">
        <v>526.6875</v>
      </c>
      <c r="J7893" s="3">
        <f t="shared" si="123"/>
        <v>43749.044875138883</v>
      </c>
    </row>
    <row r="7894" spans="1:10" x14ac:dyDescent="0.25">
      <c r="A7894" s="5" t="s">
        <v>41425</v>
      </c>
      <c r="B7894" s="6">
        <v>393.75</v>
      </c>
      <c r="C7894" s="6">
        <v>20.478950000000001</v>
      </c>
      <c r="D7894" s="6">
        <v>68</v>
      </c>
      <c r="E7894" s="6">
        <v>0</v>
      </c>
      <c r="F7894" s="6">
        <v>0</v>
      </c>
      <c r="G7894" s="6">
        <v>6</v>
      </c>
      <c r="H7894" s="6" t="s">
        <v>41426</v>
      </c>
      <c r="I7894" s="6">
        <v>526.6875</v>
      </c>
      <c r="J7894" s="2">
        <f t="shared" si="123"/>
        <v>43749.044958483799</v>
      </c>
    </row>
    <row r="7895" spans="1:10" x14ac:dyDescent="0.25">
      <c r="A7895" s="7" t="s">
        <v>41427</v>
      </c>
      <c r="B7895" s="8">
        <v>393.75</v>
      </c>
      <c r="C7895" s="8">
        <v>20.478950000000001</v>
      </c>
      <c r="D7895" s="8">
        <v>67</v>
      </c>
      <c r="E7895" s="8">
        <v>0</v>
      </c>
      <c r="F7895" s="8">
        <v>0</v>
      </c>
      <c r="G7895" s="8">
        <v>4</v>
      </c>
      <c r="H7895" s="8" t="s">
        <v>41428</v>
      </c>
      <c r="I7895" s="8">
        <v>526.6875</v>
      </c>
      <c r="J7895" s="3">
        <f t="shared" si="123"/>
        <v>43749.045030648143</v>
      </c>
    </row>
    <row r="7896" spans="1:10" x14ac:dyDescent="0.25">
      <c r="A7896" s="5" t="s">
        <v>41429</v>
      </c>
      <c r="B7896" s="6">
        <v>393.75</v>
      </c>
      <c r="C7896" s="6">
        <v>20.478950000000001</v>
      </c>
      <c r="D7896" s="6">
        <v>68</v>
      </c>
      <c r="E7896" s="6">
        <v>0</v>
      </c>
      <c r="F7896" s="6">
        <v>0</v>
      </c>
      <c r="G7896" s="6">
        <v>10</v>
      </c>
      <c r="H7896" s="6" t="s">
        <v>41430</v>
      </c>
      <c r="I7896" s="6">
        <v>526.6875</v>
      </c>
      <c r="J7896" s="2">
        <f t="shared" si="123"/>
        <v>43749.04510200231</v>
      </c>
    </row>
    <row r="7897" spans="1:10" x14ac:dyDescent="0.25">
      <c r="A7897" s="7" t="s">
        <v>41431</v>
      </c>
      <c r="B7897" s="8">
        <v>393.75</v>
      </c>
      <c r="C7897" s="8">
        <v>20.478950000000001</v>
      </c>
      <c r="D7897" s="8">
        <v>67</v>
      </c>
      <c r="E7897" s="8">
        <v>0</v>
      </c>
      <c r="F7897" s="8">
        <v>0</v>
      </c>
      <c r="G7897" s="8">
        <v>4</v>
      </c>
      <c r="H7897" s="8" t="s">
        <v>41432</v>
      </c>
      <c r="I7897" s="8">
        <v>526.6875</v>
      </c>
      <c r="J7897" s="3">
        <f t="shared" si="123"/>
        <v>43749.045173287035</v>
      </c>
    </row>
    <row r="7898" spans="1:10" x14ac:dyDescent="0.25">
      <c r="A7898" s="5" t="s">
        <v>41433</v>
      </c>
      <c r="B7898" s="6">
        <v>393.75</v>
      </c>
      <c r="C7898" s="6">
        <v>20.478950000000001</v>
      </c>
      <c r="D7898" s="6">
        <v>67</v>
      </c>
      <c r="E7898" s="6">
        <v>0</v>
      </c>
      <c r="F7898" s="6">
        <v>0</v>
      </c>
      <c r="G7898" s="6">
        <v>7</v>
      </c>
      <c r="H7898" s="6" t="s">
        <v>41434</v>
      </c>
      <c r="I7898" s="6">
        <v>526.6875</v>
      </c>
      <c r="J7898" s="2">
        <f t="shared" si="123"/>
        <v>43749.045245289344</v>
      </c>
    </row>
    <row r="7899" spans="1:10" x14ac:dyDescent="0.25">
      <c r="A7899" s="7" t="s">
        <v>41435</v>
      </c>
      <c r="B7899" s="8">
        <v>412.5</v>
      </c>
      <c r="C7899" s="8">
        <v>20.478950000000001</v>
      </c>
      <c r="D7899" s="8">
        <v>66</v>
      </c>
      <c r="E7899" s="8">
        <v>0</v>
      </c>
      <c r="F7899" s="8">
        <v>0</v>
      </c>
      <c r="G7899" s="8">
        <v>11</v>
      </c>
      <c r="H7899" s="8" t="s">
        <v>41436</v>
      </c>
      <c r="I7899" s="8">
        <v>532.3125</v>
      </c>
      <c r="J7899" s="3">
        <f t="shared" si="123"/>
        <v>43749.045316805554</v>
      </c>
    </row>
    <row r="7900" spans="1:10" x14ac:dyDescent="0.25">
      <c r="A7900" s="5" t="s">
        <v>41437</v>
      </c>
      <c r="B7900" s="6">
        <v>393.75</v>
      </c>
      <c r="C7900" s="6">
        <v>20.478950000000001</v>
      </c>
      <c r="D7900" s="6">
        <v>67</v>
      </c>
      <c r="E7900" s="6">
        <v>0</v>
      </c>
      <c r="F7900" s="6">
        <v>0</v>
      </c>
      <c r="G7900" s="6">
        <v>4</v>
      </c>
      <c r="H7900" s="6" t="s">
        <v>41438</v>
      </c>
      <c r="I7900" s="6">
        <v>526.6875</v>
      </c>
      <c r="J7900" s="2">
        <f t="shared" si="123"/>
        <v>43749.045388101855</v>
      </c>
    </row>
    <row r="7901" spans="1:10" x14ac:dyDescent="0.25">
      <c r="A7901" s="7" t="s">
        <v>41439</v>
      </c>
      <c r="B7901" s="8">
        <v>393.75</v>
      </c>
      <c r="C7901" s="8">
        <v>20.478950000000001</v>
      </c>
      <c r="D7901" s="8">
        <v>66</v>
      </c>
      <c r="E7901" s="8">
        <v>0</v>
      </c>
      <c r="F7901" s="8">
        <v>0</v>
      </c>
      <c r="G7901" s="8">
        <v>7</v>
      </c>
      <c r="H7901" s="8" t="s">
        <v>41440</v>
      </c>
      <c r="I7901" s="8">
        <v>526.6875</v>
      </c>
      <c r="J7901" s="3">
        <f t="shared" si="123"/>
        <v>43749.045459409717</v>
      </c>
    </row>
    <row r="7902" spans="1:10" x14ac:dyDescent="0.25">
      <c r="A7902" s="5" t="s">
        <v>41441</v>
      </c>
      <c r="B7902" s="6">
        <v>393.75</v>
      </c>
      <c r="C7902" s="6">
        <v>20.478950000000001</v>
      </c>
      <c r="D7902" s="6">
        <v>66</v>
      </c>
      <c r="E7902" s="6">
        <v>0</v>
      </c>
      <c r="F7902" s="6">
        <v>0</v>
      </c>
      <c r="G7902" s="6">
        <v>6</v>
      </c>
      <c r="H7902" s="6" t="s">
        <v>41442</v>
      </c>
      <c r="I7902" s="6">
        <v>526.6875</v>
      </c>
      <c r="J7902" s="2">
        <f t="shared" si="123"/>
        <v>43749.045531620366</v>
      </c>
    </row>
    <row r="7903" spans="1:10" x14ac:dyDescent="0.25">
      <c r="A7903" s="7" t="s">
        <v>41443</v>
      </c>
      <c r="B7903" s="8">
        <v>412.5</v>
      </c>
      <c r="C7903" s="8">
        <v>20.478950000000001</v>
      </c>
      <c r="D7903" s="8">
        <v>67</v>
      </c>
      <c r="E7903" s="8">
        <v>0</v>
      </c>
      <c r="F7903" s="8">
        <v>0</v>
      </c>
      <c r="G7903" s="8">
        <v>2</v>
      </c>
      <c r="H7903" s="8" t="s">
        <v>41444</v>
      </c>
      <c r="I7903" s="8">
        <v>532.3125</v>
      </c>
      <c r="J7903" s="3">
        <f t="shared" si="123"/>
        <v>43749.045614953699</v>
      </c>
    </row>
    <row r="7904" spans="1:10" x14ac:dyDescent="0.25">
      <c r="A7904" s="5" t="s">
        <v>41445</v>
      </c>
      <c r="B7904" s="6">
        <v>393.75</v>
      </c>
      <c r="C7904" s="6">
        <v>20.478950000000001</v>
      </c>
      <c r="D7904" s="6">
        <v>67</v>
      </c>
      <c r="E7904" s="6">
        <v>0</v>
      </c>
      <c r="F7904" s="6">
        <v>0</v>
      </c>
      <c r="G7904" s="6">
        <v>5</v>
      </c>
      <c r="H7904" s="6" t="s">
        <v>41446</v>
      </c>
      <c r="I7904" s="6">
        <v>526.6875</v>
      </c>
      <c r="J7904" s="2">
        <f t="shared" si="123"/>
        <v>43749.045686249992</v>
      </c>
    </row>
    <row r="7905" spans="1:10" x14ac:dyDescent="0.25">
      <c r="A7905" s="7" t="s">
        <v>41447</v>
      </c>
      <c r="B7905" s="8">
        <v>393.75</v>
      </c>
      <c r="C7905" s="8">
        <v>20.478950000000001</v>
      </c>
      <c r="D7905" s="8">
        <v>66</v>
      </c>
      <c r="E7905" s="8">
        <v>0</v>
      </c>
      <c r="F7905" s="8">
        <v>0</v>
      </c>
      <c r="G7905" s="8">
        <v>1</v>
      </c>
      <c r="H7905" s="8" t="s">
        <v>41448</v>
      </c>
      <c r="I7905" s="8">
        <v>526.6875</v>
      </c>
      <c r="J7905" s="3">
        <f t="shared" si="123"/>
        <v>43749.045757569438</v>
      </c>
    </row>
    <row r="7906" spans="1:10" x14ac:dyDescent="0.25">
      <c r="A7906" s="5" t="s">
        <v>41449</v>
      </c>
      <c r="B7906" s="6">
        <v>393.75</v>
      </c>
      <c r="C7906" s="6">
        <v>20.478950000000001</v>
      </c>
      <c r="D7906" s="6">
        <v>66</v>
      </c>
      <c r="E7906" s="6">
        <v>0</v>
      </c>
      <c r="F7906" s="6">
        <v>0</v>
      </c>
      <c r="G7906" s="6">
        <v>1</v>
      </c>
      <c r="H7906" s="6" t="s">
        <v>41450</v>
      </c>
      <c r="I7906" s="6">
        <v>526.6875</v>
      </c>
      <c r="J7906" s="2">
        <f t="shared" si="123"/>
        <v>43749.045829791663</v>
      </c>
    </row>
    <row r="7907" spans="1:10" x14ac:dyDescent="0.25">
      <c r="A7907" s="7" t="s">
        <v>41451</v>
      </c>
      <c r="B7907" s="8">
        <v>393.75</v>
      </c>
      <c r="C7907" s="8">
        <v>20.478950000000001</v>
      </c>
      <c r="D7907" s="8">
        <v>66</v>
      </c>
      <c r="E7907" s="8">
        <v>0</v>
      </c>
      <c r="F7907" s="8">
        <v>0</v>
      </c>
      <c r="G7907" s="8">
        <v>5</v>
      </c>
      <c r="H7907" s="8" t="s">
        <v>41452</v>
      </c>
      <c r="I7907" s="8">
        <v>526.6875</v>
      </c>
      <c r="J7907" s="3">
        <f t="shared" si="123"/>
        <v>43749.04590104166</v>
      </c>
    </row>
    <row r="7908" spans="1:10" x14ac:dyDescent="0.25">
      <c r="A7908" s="5" t="s">
        <v>41453</v>
      </c>
      <c r="B7908" s="6">
        <v>393.75</v>
      </c>
      <c r="C7908" s="6">
        <v>20.478950000000001</v>
      </c>
      <c r="D7908" s="6">
        <v>66</v>
      </c>
      <c r="E7908" s="6">
        <v>0</v>
      </c>
      <c r="F7908" s="6">
        <v>0</v>
      </c>
      <c r="G7908" s="6">
        <v>4</v>
      </c>
      <c r="H7908" s="6" t="s">
        <v>41454</v>
      </c>
      <c r="I7908" s="6">
        <v>526.6875</v>
      </c>
      <c r="J7908" s="2">
        <f t="shared" si="123"/>
        <v>43749.045973692126</v>
      </c>
    </row>
    <row r="7909" spans="1:10" x14ac:dyDescent="0.25">
      <c r="A7909" s="7" t="s">
        <v>41455</v>
      </c>
      <c r="B7909" s="8">
        <v>393.75</v>
      </c>
      <c r="C7909" s="8">
        <v>20.426300000000001</v>
      </c>
      <c r="D7909" s="8">
        <v>66</v>
      </c>
      <c r="E7909" s="8">
        <v>0</v>
      </c>
      <c r="F7909" s="8">
        <v>0</v>
      </c>
      <c r="G7909" s="8">
        <v>6</v>
      </c>
      <c r="H7909" s="8" t="s">
        <v>41456</v>
      </c>
      <c r="I7909" s="8">
        <v>526.6875</v>
      </c>
      <c r="J7909" s="3">
        <f t="shared" si="123"/>
        <v>43749.046043668983</v>
      </c>
    </row>
    <row r="7910" spans="1:10" x14ac:dyDescent="0.25">
      <c r="A7910" s="5" t="s">
        <v>41457</v>
      </c>
      <c r="B7910" s="6">
        <v>393.75</v>
      </c>
      <c r="C7910" s="6">
        <v>20.478950000000001</v>
      </c>
      <c r="D7910" s="6">
        <v>66</v>
      </c>
      <c r="E7910" s="6">
        <v>0</v>
      </c>
      <c r="F7910" s="6">
        <v>0</v>
      </c>
      <c r="G7910" s="6">
        <v>6</v>
      </c>
      <c r="H7910" s="6" t="s">
        <v>41458</v>
      </c>
      <c r="I7910" s="6">
        <v>526.6875</v>
      </c>
      <c r="J7910" s="2">
        <f t="shared" si="123"/>
        <v>43749.046115902776</v>
      </c>
    </row>
    <row r="7911" spans="1:10" x14ac:dyDescent="0.25">
      <c r="A7911" s="7" t="s">
        <v>41459</v>
      </c>
      <c r="B7911" s="8">
        <v>412.5</v>
      </c>
      <c r="C7911" s="8">
        <v>20.478950000000001</v>
      </c>
      <c r="D7911" s="8">
        <v>67</v>
      </c>
      <c r="E7911" s="8">
        <v>0</v>
      </c>
      <c r="F7911" s="8">
        <v>0</v>
      </c>
      <c r="G7911" s="8">
        <v>10</v>
      </c>
      <c r="H7911" s="8" t="s">
        <v>41460</v>
      </c>
      <c r="I7911" s="8">
        <v>532.6875</v>
      </c>
      <c r="J7911" s="3">
        <f t="shared" si="123"/>
        <v>43749.046187187494</v>
      </c>
    </row>
    <row r="7912" spans="1:10" x14ac:dyDescent="0.25">
      <c r="A7912" s="5" t="s">
        <v>41461</v>
      </c>
      <c r="B7912" s="6">
        <v>393.75</v>
      </c>
      <c r="C7912" s="6">
        <v>20.478950000000001</v>
      </c>
      <c r="D7912" s="6">
        <v>67</v>
      </c>
      <c r="E7912" s="6">
        <v>0</v>
      </c>
      <c r="F7912" s="6">
        <v>0</v>
      </c>
      <c r="G7912" s="6">
        <v>0</v>
      </c>
      <c r="H7912" s="6" t="s">
        <v>41462</v>
      </c>
      <c r="I7912" s="6">
        <v>526.5</v>
      </c>
      <c r="J7912" s="2">
        <f t="shared" si="123"/>
        <v>43749.046258495371</v>
      </c>
    </row>
    <row r="7913" spans="1:10" x14ac:dyDescent="0.25">
      <c r="A7913" s="7" t="s">
        <v>41463</v>
      </c>
      <c r="B7913" s="8">
        <v>393.75</v>
      </c>
      <c r="C7913" s="8">
        <v>20.478950000000001</v>
      </c>
      <c r="D7913" s="8">
        <v>66</v>
      </c>
      <c r="E7913" s="8">
        <v>0</v>
      </c>
      <c r="F7913" s="8">
        <v>0</v>
      </c>
      <c r="G7913" s="8">
        <v>2</v>
      </c>
      <c r="H7913" s="8" t="s">
        <v>41464</v>
      </c>
      <c r="I7913" s="8">
        <v>526.5</v>
      </c>
      <c r="J7913" s="3">
        <f t="shared" si="123"/>
        <v>43749.046330474535</v>
      </c>
    </row>
    <row r="7914" spans="1:10" x14ac:dyDescent="0.25">
      <c r="A7914" s="5" t="s">
        <v>41465</v>
      </c>
      <c r="B7914" s="6">
        <v>393.75</v>
      </c>
      <c r="C7914" s="6">
        <v>20.478950000000001</v>
      </c>
      <c r="D7914" s="6">
        <v>65</v>
      </c>
      <c r="E7914" s="6">
        <v>0</v>
      </c>
      <c r="F7914" s="6">
        <v>0</v>
      </c>
      <c r="G7914" s="6">
        <v>5</v>
      </c>
      <c r="H7914" s="6" t="s">
        <v>41466</v>
      </c>
      <c r="I7914" s="6">
        <v>526.6875</v>
      </c>
      <c r="J7914" s="2">
        <f t="shared" si="123"/>
        <v>43749.046402013882</v>
      </c>
    </row>
    <row r="7915" spans="1:10" x14ac:dyDescent="0.25">
      <c r="A7915" s="7" t="s">
        <v>41467</v>
      </c>
      <c r="B7915" s="8">
        <v>393.75</v>
      </c>
      <c r="C7915" s="8">
        <v>20.478950000000001</v>
      </c>
      <c r="D7915" s="8">
        <v>65</v>
      </c>
      <c r="E7915" s="8">
        <v>0</v>
      </c>
      <c r="F7915" s="8">
        <v>0</v>
      </c>
      <c r="G7915" s="8">
        <v>3</v>
      </c>
      <c r="H7915" s="8" t="s">
        <v>41468</v>
      </c>
      <c r="I7915" s="8">
        <v>526.6875</v>
      </c>
      <c r="J7915" s="3">
        <f t="shared" si="123"/>
        <v>43749.046473310184</v>
      </c>
    </row>
    <row r="7916" spans="1:10" x14ac:dyDescent="0.25">
      <c r="A7916" s="5" t="s">
        <v>41469</v>
      </c>
      <c r="B7916" s="6">
        <v>393.75</v>
      </c>
      <c r="C7916" s="6">
        <v>20.478950000000001</v>
      </c>
      <c r="D7916" s="6">
        <v>65</v>
      </c>
      <c r="E7916" s="6">
        <v>0</v>
      </c>
      <c r="F7916" s="6">
        <v>0</v>
      </c>
      <c r="G7916" s="6">
        <v>9</v>
      </c>
      <c r="H7916" s="6" t="s">
        <v>41470</v>
      </c>
      <c r="I7916" s="6">
        <v>526.6875</v>
      </c>
      <c r="J7916" s="2">
        <f t="shared" si="123"/>
        <v>43749.046544594901</v>
      </c>
    </row>
    <row r="7917" spans="1:10" x14ac:dyDescent="0.25">
      <c r="A7917" s="7" t="s">
        <v>41471</v>
      </c>
      <c r="B7917" s="8">
        <v>393.75</v>
      </c>
      <c r="C7917" s="8">
        <v>20.478950000000001</v>
      </c>
      <c r="D7917" s="8">
        <v>65</v>
      </c>
      <c r="E7917" s="8">
        <v>0</v>
      </c>
      <c r="F7917" s="8">
        <v>0</v>
      </c>
      <c r="G7917" s="8">
        <v>8</v>
      </c>
      <c r="H7917" s="8" t="s">
        <v>41472</v>
      </c>
      <c r="I7917" s="8">
        <v>526.6875</v>
      </c>
      <c r="J7917" s="3">
        <f t="shared" si="123"/>
        <v>43749.046616828702</v>
      </c>
    </row>
    <row r="7918" spans="1:10" x14ac:dyDescent="0.25">
      <c r="A7918" s="5" t="s">
        <v>41473</v>
      </c>
      <c r="B7918" s="6">
        <v>393.75</v>
      </c>
      <c r="C7918" s="6">
        <v>20.478950000000001</v>
      </c>
      <c r="D7918" s="6">
        <v>70</v>
      </c>
      <c r="E7918" s="6">
        <v>0</v>
      </c>
      <c r="F7918" s="6">
        <v>0</v>
      </c>
      <c r="G7918" s="6">
        <v>0</v>
      </c>
      <c r="H7918" s="6" t="s">
        <v>41474</v>
      </c>
      <c r="I7918" s="6">
        <v>526.6875</v>
      </c>
      <c r="J7918" s="2">
        <f t="shared" si="123"/>
        <v>43749.046931851852</v>
      </c>
    </row>
    <row r="7919" spans="1:10" x14ac:dyDescent="0.25">
      <c r="A7919" s="7" t="s">
        <v>41475</v>
      </c>
      <c r="B7919" s="8">
        <v>412.5</v>
      </c>
      <c r="C7919" s="8">
        <v>20.478950000000001</v>
      </c>
      <c r="D7919" s="8">
        <v>68</v>
      </c>
      <c r="E7919" s="8">
        <v>0</v>
      </c>
      <c r="F7919" s="8">
        <v>0</v>
      </c>
      <c r="G7919" s="8">
        <v>0</v>
      </c>
      <c r="H7919" s="8" t="s">
        <v>41476</v>
      </c>
      <c r="I7919" s="8">
        <v>532.3125</v>
      </c>
      <c r="J7919" s="3">
        <f t="shared" si="123"/>
        <v>43749.047002893516</v>
      </c>
    </row>
    <row r="7920" spans="1:10" x14ac:dyDescent="0.25">
      <c r="A7920" s="5" t="s">
        <v>41477</v>
      </c>
      <c r="B7920" s="6">
        <v>393.75</v>
      </c>
      <c r="C7920" s="6">
        <v>20.426300000000001</v>
      </c>
      <c r="D7920" s="6">
        <v>66</v>
      </c>
      <c r="E7920" s="6">
        <v>0</v>
      </c>
      <c r="F7920" s="6">
        <v>0</v>
      </c>
      <c r="G7920" s="6">
        <v>0</v>
      </c>
      <c r="H7920" s="6" t="s">
        <v>41478</v>
      </c>
      <c r="I7920" s="6">
        <v>526.6875</v>
      </c>
      <c r="J7920" s="2">
        <f t="shared" si="123"/>
        <v>43749.047074247683</v>
      </c>
    </row>
    <row r="7921" spans="1:10" x14ac:dyDescent="0.25">
      <c r="A7921" s="7" t="s">
        <v>41479</v>
      </c>
      <c r="B7921" s="8">
        <v>393.75</v>
      </c>
      <c r="C7921" s="8">
        <v>20.478950000000001</v>
      </c>
      <c r="D7921" s="8">
        <v>65</v>
      </c>
      <c r="E7921" s="8">
        <v>0</v>
      </c>
      <c r="F7921" s="8">
        <v>0</v>
      </c>
      <c r="G7921" s="8">
        <v>0</v>
      </c>
      <c r="H7921" s="8" t="s">
        <v>41480</v>
      </c>
      <c r="I7921" s="8">
        <v>526.6875</v>
      </c>
      <c r="J7921" s="3">
        <f t="shared" si="123"/>
        <v>43749.047145613418</v>
      </c>
    </row>
    <row r="7922" spans="1:10" x14ac:dyDescent="0.25">
      <c r="A7922" s="5" t="s">
        <v>41481</v>
      </c>
      <c r="B7922" s="6">
        <v>393.75</v>
      </c>
      <c r="C7922" s="6">
        <v>20.478950000000001</v>
      </c>
      <c r="D7922" s="6">
        <v>65</v>
      </c>
      <c r="E7922" s="6">
        <v>0</v>
      </c>
      <c r="F7922" s="6">
        <v>0</v>
      </c>
      <c r="G7922" s="6">
        <v>0</v>
      </c>
      <c r="H7922" s="6" t="s">
        <v>41482</v>
      </c>
      <c r="I7922" s="6">
        <v>526.6875</v>
      </c>
      <c r="J7922" s="2">
        <f t="shared" si="123"/>
        <v>43749.047217719904</v>
      </c>
    </row>
    <row r="7923" spans="1:10" x14ac:dyDescent="0.25">
      <c r="A7923" s="7" t="s">
        <v>41483</v>
      </c>
      <c r="B7923" s="8">
        <v>425</v>
      </c>
      <c r="C7923" s="8">
        <v>20.478950000000001</v>
      </c>
      <c r="D7923" s="8">
        <v>66</v>
      </c>
      <c r="E7923" s="8">
        <v>0</v>
      </c>
      <c r="F7923" s="8">
        <v>0</v>
      </c>
      <c r="G7923" s="8">
        <v>3</v>
      </c>
      <c r="H7923" s="8" t="s">
        <v>41484</v>
      </c>
      <c r="I7923" s="8">
        <v>536.8125</v>
      </c>
      <c r="J7923" s="3">
        <f t="shared" si="123"/>
        <v>43749.04730111111</v>
      </c>
    </row>
    <row r="7924" spans="1:10" x14ac:dyDescent="0.25">
      <c r="A7924" s="5" t="s">
        <v>41485</v>
      </c>
      <c r="B7924" s="6">
        <v>393.75</v>
      </c>
      <c r="C7924" s="6">
        <v>20.478950000000001</v>
      </c>
      <c r="D7924" s="6">
        <v>68</v>
      </c>
      <c r="E7924" s="6">
        <v>0</v>
      </c>
      <c r="F7924" s="6">
        <v>0</v>
      </c>
      <c r="G7924" s="6">
        <v>4</v>
      </c>
      <c r="H7924" s="6" t="s">
        <v>41486</v>
      </c>
      <c r="I7924" s="6">
        <v>526.5</v>
      </c>
      <c r="J7924" s="2">
        <f t="shared" si="123"/>
        <v>43749.047372407404</v>
      </c>
    </row>
    <row r="7925" spans="1:10" x14ac:dyDescent="0.25">
      <c r="A7925" s="7" t="s">
        <v>41487</v>
      </c>
      <c r="B7925" s="8">
        <v>393.75</v>
      </c>
      <c r="C7925" s="8">
        <v>20.478950000000001</v>
      </c>
      <c r="D7925" s="8">
        <v>68</v>
      </c>
      <c r="E7925" s="8">
        <v>0</v>
      </c>
      <c r="F7925" s="8">
        <v>0</v>
      </c>
      <c r="G7925" s="8">
        <v>0</v>
      </c>
      <c r="H7925" s="8" t="s">
        <v>41488</v>
      </c>
      <c r="I7925" s="8">
        <v>526.6875</v>
      </c>
      <c r="J7925" s="3">
        <f t="shared" si="123"/>
        <v>43749.047443715281</v>
      </c>
    </row>
    <row r="7926" spans="1:10" x14ac:dyDescent="0.25">
      <c r="A7926" s="5" t="s">
        <v>41489</v>
      </c>
      <c r="B7926" s="6">
        <v>393.75</v>
      </c>
      <c r="C7926" s="6">
        <v>20.478950000000001</v>
      </c>
      <c r="D7926" s="6">
        <v>68</v>
      </c>
      <c r="E7926" s="6">
        <v>0</v>
      </c>
      <c r="F7926" s="6">
        <v>0</v>
      </c>
      <c r="G7926" s="6">
        <v>0</v>
      </c>
      <c r="H7926" s="6" t="s">
        <v>41490</v>
      </c>
      <c r="I7926" s="6">
        <v>526.6875</v>
      </c>
      <c r="J7926" s="2">
        <f t="shared" si="123"/>
        <v>43749.047515011574</v>
      </c>
    </row>
    <row r="7927" spans="1:10" x14ac:dyDescent="0.25">
      <c r="A7927" s="7" t="s">
        <v>41491</v>
      </c>
      <c r="B7927" s="8">
        <v>412.5</v>
      </c>
      <c r="C7927" s="8">
        <v>20.478950000000001</v>
      </c>
      <c r="D7927" s="8">
        <v>68</v>
      </c>
      <c r="E7927" s="8">
        <v>0</v>
      </c>
      <c r="F7927" s="8">
        <v>0</v>
      </c>
      <c r="G7927" s="8">
        <v>0</v>
      </c>
      <c r="H7927" s="8" t="s">
        <v>41492</v>
      </c>
      <c r="I7927" s="8">
        <v>532.3125</v>
      </c>
      <c r="J7927" s="3">
        <f t="shared" si="123"/>
        <v>43749.04758716435</v>
      </c>
    </row>
    <row r="7928" spans="1:10" x14ac:dyDescent="0.25">
      <c r="A7928" s="5" t="s">
        <v>41493</v>
      </c>
      <c r="B7928" s="6">
        <v>393.75</v>
      </c>
      <c r="C7928" s="6">
        <v>20.478950000000001</v>
      </c>
      <c r="D7928" s="6">
        <v>65</v>
      </c>
      <c r="E7928" s="6">
        <v>0</v>
      </c>
      <c r="F7928" s="6">
        <v>0</v>
      </c>
      <c r="G7928" s="6">
        <v>12</v>
      </c>
      <c r="H7928" s="6" t="s">
        <v>41494</v>
      </c>
      <c r="I7928" s="6">
        <v>526.6875</v>
      </c>
      <c r="J7928" s="2">
        <f t="shared" si="123"/>
        <v>43749.047658530086</v>
      </c>
    </row>
    <row r="7929" spans="1:10" x14ac:dyDescent="0.25">
      <c r="A7929" s="7" t="s">
        <v>41495</v>
      </c>
      <c r="B7929" s="8">
        <v>393.75</v>
      </c>
      <c r="C7929" s="8">
        <v>20.478950000000001</v>
      </c>
      <c r="D7929" s="8">
        <v>63</v>
      </c>
      <c r="E7929" s="8">
        <v>0</v>
      </c>
      <c r="F7929" s="8">
        <v>0</v>
      </c>
      <c r="G7929" s="8">
        <v>10</v>
      </c>
      <c r="H7929" s="8" t="s">
        <v>41496</v>
      </c>
      <c r="I7929" s="8">
        <v>526.6875</v>
      </c>
      <c r="J7929" s="3">
        <f t="shared" si="123"/>
        <v>43749.04773056713</v>
      </c>
    </row>
    <row r="7930" spans="1:10" x14ac:dyDescent="0.25">
      <c r="A7930" s="5" t="s">
        <v>41497</v>
      </c>
      <c r="B7930" s="6">
        <v>393.75</v>
      </c>
      <c r="C7930" s="6">
        <v>20.478950000000001</v>
      </c>
      <c r="D7930" s="6">
        <v>64</v>
      </c>
      <c r="E7930" s="6">
        <v>0</v>
      </c>
      <c r="F7930" s="6">
        <v>0</v>
      </c>
      <c r="G7930" s="6">
        <v>6</v>
      </c>
      <c r="H7930" s="6" t="s">
        <v>41498</v>
      </c>
      <c r="I7930" s="6">
        <v>526.6875</v>
      </c>
      <c r="J7930" s="2">
        <f t="shared" si="123"/>
        <v>43749.047802002307</v>
      </c>
    </row>
    <row r="7931" spans="1:10" x14ac:dyDescent="0.25">
      <c r="A7931" s="7" t="s">
        <v>41499</v>
      </c>
      <c r="B7931" s="8">
        <v>418.75</v>
      </c>
      <c r="C7931" s="8">
        <v>20.478950000000001</v>
      </c>
      <c r="D7931" s="8">
        <v>64</v>
      </c>
      <c r="E7931" s="8">
        <v>0</v>
      </c>
      <c r="F7931" s="8">
        <v>0</v>
      </c>
      <c r="G7931" s="8">
        <v>13</v>
      </c>
      <c r="H7931" s="8" t="s">
        <v>41500</v>
      </c>
      <c r="I7931" s="8">
        <v>534</v>
      </c>
      <c r="J7931" s="3">
        <f t="shared" si="123"/>
        <v>43749.047873344905</v>
      </c>
    </row>
    <row r="7932" spans="1:10" x14ac:dyDescent="0.25">
      <c r="A7932" s="5" t="s">
        <v>41501</v>
      </c>
      <c r="B7932" s="6">
        <v>393.75</v>
      </c>
      <c r="C7932" s="6">
        <v>20.478950000000001</v>
      </c>
      <c r="D7932" s="6">
        <v>65</v>
      </c>
      <c r="E7932" s="6">
        <v>0</v>
      </c>
      <c r="F7932" s="6">
        <v>0</v>
      </c>
      <c r="G7932" s="6">
        <v>6</v>
      </c>
      <c r="H7932" s="6" t="s">
        <v>41502</v>
      </c>
      <c r="I7932" s="6">
        <v>526.6875</v>
      </c>
      <c r="J7932" s="2">
        <f t="shared" si="123"/>
        <v>43749.04794462963</v>
      </c>
    </row>
    <row r="7933" spans="1:10" x14ac:dyDescent="0.25">
      <c r="A7933" s="7" t="s">
        <v>41503</v>
      </c>
      <c r="B7933" s="8">
        <v>393.75</v>
      </c>
      <c r="C7933" s="8">
        <v>20.478950000000001</v>
      </c>
      <c r="D7933" s="8">
        <v>64</v>
      </c>
      <c r="E7933" s="8">
        <v>0</v>
      </c>
      <c r="F7933" s="8">
        <v>0</v>
      </c>
      <c r="G7933" s="8">
        <v>8</v>
      </c>
      <c r="H7933" s="8" t="s">
        <v>41504</v>
      </c>
      <c r="I7933" s="8">
        <v>526.6875</v>
      </c>
      <c r="J7933" s="3">
        <f t="shared" si="123"/>
        <v>43749.048040000001</v>
      </c>
    </row>
    <row r="7934" spans="1:10" x14ac:dyDescent="0.25">
      <c r="A7934" s="5" t="s">
        <v>41505</v>
      </c>
      <c r="B7934" s="6">
        <v>393.75</v>
      </c>
      <c r="C7934" s="6">
        <v>20.478950000000001</v>
      </c>
      <c r="D7934" s="6">
        <v>64</v>
      </c>
      <c r="E7934" s="6">
        <v>0</v>
      </c>
      <c r="F7934" s="6">
        <v>0</v>
      </c>
      <c r="G7934" s="6">
        <v>1</v>
      </c>
      <c r="H7934" s="6" t="s">
        <v>41506</v>
      </c>
      <c r="I7934" s="6">
        <v>526.6875</v>
      </c>
      <c r="J7934" s="2">
        <f t="shared" si="123"/>
        <v>43749.048112222219</v>
      </c>
    </row>
    <row r="7935" spans="1:10" x14ac:dyDescent="0.25">
      <c r="A7935" s="7" t="s">
        <v>41507</v>
      </c>
      <c r="B7935" s="8">
        <v>393.75</v>
      </c>
      <c r="C7935" s="8">
        <v>20.478950000000001</v>
      </c>
      <c r="D7935" s="8">
        <v>64</v>
      </c>
      <c r="E7935" s="8">
        <v>0</v>
      </c>
      <c r="F7935" s="8">
        <v>0</v>
      </c>
      <c r="G7935" s="8">
        <v>13</v>
      </c>
      <c r="H7935" s="8" t="s">
        <v>41508</v>
      </c>
      <c r="I7935" s="8">
        <v>526.6875</v>
      </c>
      <c r="J7935" s="3">
        <f t="shared" si="123"/>
        <v>43749.048183043975</v>
      </c>
    </row>
    <row r="7936" spans="1:10" x14ac:dyDescent="0.25">
      <c r="A7936" s="5" t="s">
        <v>41509</v>
      </c>
      <c r="B7936" s="6">
        <v>393.75</v>
      </c>
      <c r="C7936" s="6">
        <v>20.478950000000001</v>
      </c>
      <c r="D7936" s="6">
        <v>64</v>
      </c>
      <c r="E7936" s="6">
        <v>0</v>
      </c>
      <c r="F7936" s="6">
        <v>0</v>
      </c>
      <c r="G7936" s="6">
        <v>5</v>
      </c>
      <c r="H7936" s="6" t="s">
        <v>41510</v>
      </c>
      <c r="I7936" s="6">
        <v>526.6875</v>
      </c>
      <c r="J7936" s="2">
        <f t="shared" si="123"/>
        <v>43749.048254803238</v>
      </c>
    </row>
    <row r="7937" spans="1:10" x14ac:dyDescent="0.25">
      <c r="A7937" s="7" t="s">
        <v>41511</v>
      </c>
      <c r="B7937" s="8">
        <v>393.75</v>
      </c>
      <c r="C7937" s="8">
        <v>20.478950000000001</v>
      </c>
      <c r="D7937" s="8">
        <v>64</v>
      </c>
      <c r="E7937" s="8">
        <v>0</v>
      </c>
      <c r="F7937" s="8">
        <v>0</v>
      </c>
      <c r="G7937" s="8">
        <v>15</v>
      </c>
      <c r="H7937" s="8" t="s">
        <v>41512</v>
      </c>
      <c r="I7937" s="8">
        <v>526.6875</v>
      </c>
      <c r="J7937" s="3">
        <f t="shared" si="123"/>
        <v>43749.048326157405</v>
      </c>
    </row>
    <row r="7938" spans="1:10" x14ac:dyDescent="0.25">
      <c r="A7938" s="5" t="s">
        <v>41513</v>
      </c>
      <c r="B7938" s="6">
        <v>412.5</v>
      </c>
      <c r="C7938" s="6">
        <v>20.478950000000001</v>
      </c>
      <c r="D7938" s="6">
        <v>64</v>
      </c>
      <c r="E7938" s="6">
        <v>0</v>
      </c>
      <c r="F7938" s="6">
        <v>0</v>
      </c>
      <c r="G7938" s="6">
        <v>2</v>
      </c>
      <c r="H7938" s="6" t="s">
        <v>41514</v>
      </c>
      <c r="I7938" s="6">
        <v>532.5</v>
      </c>
      <c r="J7938" s="2">
        <f t="shared" ref="J7938:J8001" si="124">(H7938/86400000)+25569+(7/24)</f>
        <v>43749.048398333332</v>
      </c>
    </row>
    <row r="7939" spans="1:10" x14ac:dyDescent="0.25">
      <c r="A7939" s="7" t="s">
        <v>41515</v>
      </c>
      <c r="B7939" s="8">
        <v>393.75</v>
      </c>
      <c r="C7939" s="8">
        <v>20.478950000000001</v>
      </c>
      <c r="D7939" s="8">
        <v>66</v>
      </c>
      <c r="E7939" s="8">
        <v>0</v>
      </c>
      <c r="F7939" s="8">
        <v>0</v>
      </c>
      <c r="G7939" s="8">
        <v>0</v>
      </c>
      <c r="H7939" s="8" t="s">
        <v>41516</v>
      </c>
      <c r="I7939" s="8">
        <v>526.6875</v>
      </c>
      <c r="J7939" s="3">
        <f t="shared" si="124"/>
        <v>43749.048469571753</v>
      </c>
    </row>
    <row r="7940" spans="1:10" x14ac:dyDescent="0.25">
      <c r="A7940" s="5" t="s">
        <v>41517</v>
      </c>
      <c r="B7940" s="6">
        <v>393.75</v>
      </c>
      <c r="C7940" s="6">
        <v>20.478950000000001</v>
      </c>
      <c r="D7940" s="6">
        <v>64</v>
      </c>
      <c r="E7940" s="6">
        <v>0</v>
      </c>
      <c r="F7940" s="6">
        <v>0</v>
      </c>
      <c r="G7940" s="6">
        <v>6</v>
      </c>
      <c r="H7940" s="6" t="s">
        <v>41518</v>
      </c>
      <c r="I7940" s="6">
        <v>526.6875</v>
      </c>
      <c r="J7940" s="2">
        <f t="shared" si="124"/>
        <v>43749.048540914351</v>
      </c>
    </row>
    <row r="7941" spans="1:10" x14ac:dyDescent="0.25">
      <c r="A7941" s="7" t="s">
        <v>41519</v>
      </c>
      <c r="B7941" s="8">
        <v>393.75</v>
      </c>
      <c r="C7941" s="8">
        <v>20.478950000000001</v>
      </c>
      <c r="D7941" s="8">
        <v>65</v>
      </c>
      <c r="E7941" s="8">
        <v>0</v>
      </c>
      <c r="F7941" s="8">
        <v>0</v>
      </c>
      <c r="G7941" s="8">
        <v>7</v>
      </c>
      <c r="H7941" s="8" t="s">
        <v>41520</v>
      </c>
      <c r="I7941" s="8">
        <v>526.6875</v>
      </c>
      <c r="J7941" s="3">
        <f t="shared" si="124"/>
        <v>43749.048612905091</v>
      </c>
    </row>
    <row r="7942" spans="1:10" x14ac:dyDescent="0.25">
      <c r="A7942" s="5" t="s">
        <v>41521</v>
      </c>
      <c r="B7942" s="6">
        <v>393.75</v>
      </c>
      <c r="C7942" s="6">
        <v>20.478950000000001</v>
      </c>
      <c r="D7942" s="6">
        <v>64</v>
      </c>
      <c r="E7942" s="6">
        <v>0</v>
      </c>
      <c r="F7942" s="6">
        <v>0</v>
      </c>
      <c r="G7942" s="6">
        <v>10</v>
      </c>
      <c r="H7942" s="6" t="s">
        <v>41522</v>
      </c>
      <c r="I7942" s="6">
        <v>526.5</v>
      </c>
      <c r="J7942" s="2">
        <f t="shared" si="124"/>
        <v>43749.048684432863</v>
      </c>
    </row>
    <row r="7943" spans="1:10" x14ac:dyDescent="0.25">
      <c r="A7943" s="7" t="s">
        <v>41523</v>
      </c>
      <c r="B7943" s="8">
        <v>393.75</v>
      </c>
      <c r="C7943" s="8">
        <v>20.478950000000001</v>
      </c>
      <c r="D7943" s="8">
        <v>65</v>
      </c>
      <c r="E7943" s="8">
        <v>0</v>
      </c>
      <c r="F7943" s="8">
        <v>0</v>
      </c>
      <c r="G7943" s="8">
        <v>0</v>
      </c>
      <c r="H7943" s="8" t="s">
        <v>41524</v>
      </c>
      <c r="I7943" s="8">
        <v>526.6875</v>
      </c>
      <c r="J7943" s="3">
        <f t="shared" si="124"/>
        <v>43749.048755763892</v>
      </c>
    </row>
    <row r="7944" spans="1:10" x14ac:dyDescent="0.25">
      <c r="A7944" s="5" t="s">
        <v>41525</v>
      </c>
      <c r="B7944" s="6">
        <v>393.75</v>
      </c>
      <c r="C7944" s="6">
        <v>20.478950000000001</v>
      </c>
      <c r="D7944" s="6">
        <v>61</v>
      </c>
      <c r="E7944" s="6">
        <v>0</v>
      </c>
      <c r="F7944" s="6">
        <v>0</v>
      </c>
      <c r="G7944" s="6">
        <v>7</v>
      </c>
      <c r="H7944" s="6" t="s">
        <v>41526</v>
      </c>
      <c r="I7944" s="6">
        <v>526.6875</v>
      </c>
      <c r="J7944" s="2">
        <f t="shared" si="124"/>
        <v>43749.048827048609</v>
      </c>
    </row>
    <row r="7945" spans="1:10" x14ac:dyDescent="0.25">
      <c r="A7945" s="7" t="s">
        <v>41527</v>
      </c>
      <c r="B7945" s="8">
        <v>393.75</v>
      </c>
      <c r="C7945" s="8">
        <v>20.478950000000001</v>
      </c>
      <c r="D7945" s="8">
        <v>64</v>
      </c>
      <c r="E7945" s="8">
        <v>0</v>
      </c>
      <c r="F7945" s="8">
        <v>0</v>
      </c>
      <c r="G7945" s="8">
        <v>4</v>
      </c>
      <c r="H7945" s="8" t="s">
        <v>41528</v>
      </c>
      <c r="I7945" s="8">
        <v>526.6875</v>
      </c>
      <c r="J7945" s="3">
        <f t="shared" si="124"/>
        <v>43749.048899259258</v>
      </c>
    </row>
    <row r="7946" spans="1:10" x14ac:dyDescent="0.25">
      <c r="A7946" s="5" t="s">
        <v>41529</v>
      </c>
      <c r="B7946" s="6">
        <v>393.75</v>
      </c>
      <c r="C7946" s="6">
        <v>20.478950000000001</v>
      </c>
      <c r="D7946" s="6">
        <v>65</v>
      </c>
      <c r="E7946" s="6">
        <v>0</v>
      </c>
      <c r="F7946" s="6">
        <v>0</v>
      </c>
      <c r="G7946" s="6">
        <v>4</v>
      </c>
      <c r="H7946" s="6" t="s">
        <v>41530</v>
      </c>
      <c r="I7946" s="6">
        <v>526.6875</v>
      </c>
      <c r="J7946" s="2">
        <f t="shared" si="124"/>
        <v>43749.048970150463</v>
      </c>
    </row>
    <row r="7947" spans="1:10" x14ac:dyDescent="0.25">
      <c r="A7947" s="7" t="s">
        <v>41531</v>
      </c>
      <c r="B7947" s="8">
        <v>393.75</v>
      </c>
      <c r="C7947" s="8">
        <v>20.478950000000001</v>
      </c>
      <c r="D7947" s="8">
        <v>65</v>
      </c>
      <c r="E7947" s="8">
        <v>0</v>
      </c>
      <c r="F7947" s="8">
        <v>0</v>
      </c>
      <c r="G7947" s="8">
        <v>6</v>
      </c>
      <c r="H7947" s="8" t="s">
        <v>41532</v>
      </c>
      <c r="I7947" s="8">
        <v>526.6875</v>
      </c>
      <c r="J7947" s="3">
        <f t="shared" si="124"/>
        <v>43749.049042800929</v>
      </c>
    </row>
    <row r="7948" spans="1:10" x14ac:dyDescent="0.25">
      <c r="A7948" s="5" t="s">
        <v>41533</v>
      </c>
      <c r="B7948" s="6">
        <v>393.75</v>
      </c>
      <c r="C7948" s="6">
        <v>20.478950000000001</v>
      </c>
      <c r="D7948" s="6">
        <v>66</v>
      </c>
      <c r="E7948" s="6">
        <v>0</v>
      </c>
      <c r="F7948" s="6">
        <v>0</v>
      </c>
      <c r="G7948" s="6">
        <v>11</v>
      </c>
      <c r="H7948" s="6" t="s">
        <v>41534</v>
      </c>
      <c r="I7948" s="6">
        <v>526.6875</v>
      </c>
      <c r="J7948" s="2">
        <f t="shared" si="124"/>
        <v>43749.049125162033</v>
      </c>
    </row>
    <row r="7949" spans="1:10" x14ac:dyDescent="0.25">
      <c r="A7949" s="7" t="s">
        <v>41535</v>
      </c>
      <c r="B7949" s="8">
        <v>393.75</v>
      </c>
      <c r="C7949" s="8">
        <v>20.478950000000001</v>
      </c>
      <c r="D7949" s="8">
        <v>67</v>
      </c>
      <c r="E7949" s="8">
        <v>0</v>
      </c>
      <c r="F7949" s="8">
        <v>0</v>
      </c>
      <c r="G7949" s="8">
        <v>6</v>
      </c>
      <c r="H7949" s="8" t="s">
        <v>41536</v>
      </c>
      <c r="I7949" s="8">
        <v>526.6875</v>
      </c>
      <c r="J7949" s="3">
        <f t="shared" si="124"/>
        <v>43749.049197395834</v>
      </c>
    </row>
    <row r="7950" spans="1:10" x14ac:dyDescent="0.25">
      <c r="A7950" s="5" t="s">
        <v>41537</v>
      </c>
      <c r="B7950" s="6">
        <v>412.5</v>
      </c>
      <c r="C7950" s="6">
        <v>20.478950000000001</v>
      </c>
      <c r="D7950" s="6">
        <v>66</v>
      </c>
      <c r="E7950" s="6">
        <v>0</v>
      </c>
      <c r="F7950" s="6">
        <v>0</v>
      </c>
      <c r="G7950" s="6">
        <v>6</v>
      </c>
      <c r="H7950" s="6" t="s">
        <v>41538</v>
      </c>
      <c r="I7950" s="6">
        <v>532.875</v>
      </c>
      <c r="J7950" s="2">
        <f t="shared" si="124"/>
        <v>43749.049280752311</v>
      </c>
    </row>
    <row r="7951" spans="1:10" x14ac:dyDescent="0.25">
      <c r="A7951" s="7" t="s">
        <v>41539</v>
      </c>
      <c r="B7951" s="8">
        <v>393.75</v>
      </c>
      <c r="C7951" s="8">
        <v>20.478950000000001</v>
      </c>
      <c r="D7951" s="8">
        <v>65</v>
      </c>
      <c r="E7951" s="8">
        <v>0</v>
      </c>
      <c r="F7951" s="8">
        <v>0</v>
      </c>
      <c r="G7951" s="8">
        <v>10</v>
      </c>
      <c r="H7951" s="8" t="s">
        <v>41540</v>
      </c>
      <c r="I7951" s="8">
        <v>526.6875</v>
      </c>
      <c r="J7951" s="3">
        <f t="shared" si="124"/>
        <v>43749.049351851849</v>
      </c>
    </row>
    <row r="7952" spans="1:10" x14ac:dyDescent="0.25">
      <c r="A7952" s="5" t="s">
        <v>41541</v>
      </c>
      <c r="B7952" s="6">
        <v>393.75</v>
      </c>
      <c r="C7952" s="6">
        <v>20.478950000000001</v>
      </c>
      <c r="D7952" s="6">
        <v>65</v>
      </c>
      <c r="E7952" s="6">
        <v>0</v>
      </c>
      <c r="F7952" s="6">
        <v>0</v>
      </c>
      <c r="G7952" s="6">
        <v>0</v>
      </c>
      <c r="H7952" s="6" t="s">
        <v>41542</v>
      </c>
      <c r="I7952" s="6">
        <v>526.6875</v>
      </c>
      <c r="J7952" s="2">
        <f t="shared" si="124"/>
        <v>43749.049435312496</v>
      </c>
    </row>
    <row r="7953" spans="1:10" x14ac:dyDescent="0.25">
      <c r="A7953" s="7" t="s">
        <v>41543</v>
      </c>
      <c r="B7953" s="8">
        <v>393.75</v>
      </c>
      <c r="C7953" s="8">
        <v>20.478950000000001</v>
      </c>
      <c r="D7953" s="8">
        <v>65</v>
      </c>
      <c r="E7953" s="8">
        <v>0</v>
      </c>
      <c r="F7953" s="8">
        <v>0</v>
      </c>
      <c r="G7953" s="8">
        <v>2</v>
      </c>
      <c r="H7953" s="8" t="s">
        <v>41544</v>
      </c>
      <c r="I7953" s="8">
        <v>526.6875</v>
      </c>
      <c r="J7953" s="3">
        <f t="shared" si="124"/>
        <v>43749.049507372685</v>
      </c>
    </row>
    <row r="7954" spans="1:10" x14ac:dyDescent="0.25">
      <c r="A7954" s="5" t="s">
        <v>41545</v>
      </c>
      <c r="B7954" s="6">
        <v>393.75</v>
      </c>
      <c r="C7954" s="6">
        <v>20.478950000000001</v>
      </c>
      <c r="D7954" s="6">
        <v>65</v>
      </c>
      <c r="E7954" s="6">
        <v>0</v>
      </c>
      <c r="F7954" s="6">
        <v>0</v>
      </c>
      <c r="G7954" s="6">
        <v>13</v>
      </c>
      <c r="H7954" s="6" t="s">
        <v>41546</v>
      </c>
      <c r="I7954" s="6">
        <v>526.6875</v>
      </c>
      <c r="J7954" s="2">
        <f t="shared" si="124"/>
        <v>43749.049578831015</v>
      </c>
    </row>
    <row r="7955" spans="1:10" x14ac:dyDescent="0.25">
      <c r="A7955" s="7" t="s">
        <v>41547</v>
      </c>
      <c r="B7955" s="8">
        <v>393.75</v>
      </c>
      <c r="C7955" s="8">
        <v>20.478950000000001</v>
      </c>
      <c r="D7955" s="8">
        <v>65</v>
      </c>
      <c r="E7955" s="8">
        <v>0</v>
      </c>
      <c r="F7955" s="8">
        <v>0</v>
      </c>
      <c r="G7955" s="8">
        <v>4</v>
      </c>
      <c r="H7955" s="8" t="s">
        <v>41548</v>
      </c>
      <c r="I7955" s="8">
        <v>526.6875</v>
      </c>
      <c r="J7955" s="3">
        <f t="shared" si="124"/>
        <v>43749.049650740737</v>
      </c>
    </row>
    <row r="7956" spans="1:10" x14ac:dyDescent="0.25">
      <c r="A7956" s="5" t="s">
        <v>41549</v>
      </c>
      <c r="B7956" s="6">
        <v>393.75</v>
      </c>
      <c r="C7956" s="6">
        <v>20.478950000000001</v>
      </c>
      <c r="D7956" s="6">
        <v>65</v>
      </c>
      <c r="E7956" s="6">
        <v>0</v>
      </c>
      <c r="F7956" s="6">
        <v>0</v>
      </c>
      <c r="G7956" s="6">
        <v>12</v>
      </c>
      <c r="H7956" s="6" t="s">
        <v>41550</v>
      </c>
      <c r="I7956" s="6">
        <v>526.5</v>
      </c>
      <c r="J7956" s="2">
        <f t="shared" si="124"/>
        <v>43749.049721446754</v>
      </c>
    </row>
    <row r="7957" spans="1:10" x14ac:dyDescent="0.25">
      <c r="A7957" s="7" t="s">
        <v>41551</v>
      </c>
      <c r="B7957" s="8">
        <v>421.875</v>
      </c>
      <c r="C7957" s="8">
        <v>20.478950000000001</v>
      </c>
      <c r="D7957" s="8">
        <v>64</v>
      </c>
      <c r="E7957" s="8">
        <v>0</v>
      </c>
      <c r="F7957" s="8">
        <v>0</v>
      </c>
      <c r="G7957" s="8">
        <v>10</v>
      </c>
      <c r="H7957" s="8" t="s">
        <v>41552</v>
      </c>
      <c r="I7957" s="8">
        <v>535.6875</v>
      </c>
      <c r="J7957" s="3">
        <f t="shared" si="124"/>
        <v>43749.049793680555</v>
      </c>
    </row>
    <row r="7958" spans="1:10" x14ac:dyDescent="0.25">
      <c r="A7958" s="5" t="s">
        <v>41553</v>
      </c>
      <c r="B7958" s="6">
        <v>393.75</v>
      </c>
      <c r="C7958" s="6">
        <v>20.478950000000001</v>
      </c>
      <c r="D7958" s="6">
        <v>64</v>
      </c>
      <c r="E7958" s="6">
        <v>0</v>
      </c>
      <c r="F7958" s="6">
        <v>0</v>
      </c>
      <c r="G7958" s="6">
        <v>7</v>
      </c>
      <c r="H7958" s="6" t="s">
        <v>41554</v>
      </c>
      <c r="I7958" s="6">
        <v>526.6875</v>
      </c>
      <c r="J7958" s="2">
        <f t="shared" si="124"/>
        <v>43749.049864953697</v>
      </c>
    </row>
    <row r="7959" spans="1:10" x14ac:dyDescent="0.25">
      <c r="A7959" s="7" t="s">
        <v>41555</v>
      </c>
      <c r="B7959" s="8">
        <v>393.75</v>
      </c>
      <c r="C7959" s="8">
        <v>20.426300000000001</v>
      </c>
      <c r="D7959" s="8">
        <v>63</v>
      </c>
      <c r="E7959" s="8">
        <v>0</v>
      </c>
      <c r="F7959" s="8">
        <v>0</v>
      </c>
      <c r="G7959" s="8">
        <v>8</v>
      </c>
      <c r="H7959" s="8" t="s">
        <v>41556</v>
      </c>
      <c r="I7959" s="8">
        <v>526.6875</v>
      </c>
      <c r="J7959" s="3">
        <f t="shared" si="124"/>
        <v>43749.049936249998</v>
      </c>
    </row>
    <row r="7960" spans="1:10" x14ac:dyDescent="0.25">
      <c r="A7960" s="5" t="s">
        <v>41557</v>
      </c>
      <c r="B7960" s="6">
        <v>393.75</v>
      </c>
      <c r="C7960" s="6">
        <v>20.478950000000001</v>
      </c>
      <c r="D7960" s="6">
        <v>62</v>
      </c>
      <c r="E7960" s="6">
        <v>0</v>
      </c>
      <c r="F7960" s="6">
        <v>0</v>
      </c>
      <c r="G7960" s="6">
        <v>0</v>
      </c>
      <c r="H7960" s="6" t="s">
        <v>41558</v>
      </c>
      <c r="I7960" s="6">
        <v>526.5</v>
      </c>
      <c r="J7960" s="2">
        <f t="shared" si="124"/>
        <v>43749.050007604164</v>
      </c>
    </row>
    <row r="7961" spans="1:10" x14ac:dyDescent="0.25">
      <c r="A7961" s="7" t="s">
        <v>41559</v>
      </c>
      <c r="B7961" s="8">
        <v>393.75</v>
      </c>
      <c r="C7961" s="8">
        <v>20.478950000000001</v>
      </c>
      <c r="D7961" s="8">
        <v>62</v>
      </c>
      <c r="E7961" s="8">
        <v>0</v>
      </c>
      <c r="F7961" s="8">
        <v>0</v>
      </c>
      <c r="G7961" s="8">
        <v>10</v>
      </c>
      <c r="H7961" s="8" t="s">
        <v>41560</v>
      </c>
      <c r="I7961" s="8">
        <v>526.6875</v>
      </c>
      <c r="J7961" s="3">
        <f t="shared" si="124"/>
        <v>43749.050079687499</v>
      </c>
    </row>
    <row r="7962" spans="1:10" x14ac:dyDescent="0.25">
      <c r="A7962" s="5" t="s">
        <v>41561</v>
      </c>
      <c r="B7962" s="6">
        <v>393.75</v>
      </c>
      <c r="C7962" s="6">
        <v>20.478950000000001</v>
      </c>
      <c r="D7962" s="6">
        <v>63</v>
      </c>
      <c r="E7962" s="6">
        <v>0</v>
      </c>
      <c r="F7962" s="6">
        <v>0</v>
      </c>
      <c r="G7962" s="6">
        <v>5</v>
      </c>
      <c r="H7962" s="6" t="s">
        <v>41562</v>
      </c>
      <c r="I7962" s="6">
        <v>526.6875</v>
      </c>
      <c r="J7962" s="2">
        <f t="shared" si="124"/>
        <v>43749.050151006937</v>
      </c>
    </row>
    <row r="7963" spans="1:10" x14ac:dyDescent="0.25">
      <c r="A7963" s="7" t="s">
        <v>41563</v>
      </c>
      <c r="B7963" s="8">
        <v>393.75</v>
      </c>
      <c r="C7963" s="8">
        <v>20.478950000000001</v>
      </c>
      <c r="D7963" s="8">
        <v>64</v>
      </c>
      <c r="E7963" s="8">
        <v>0</v>
      </c>
      <c r="F7963" s="8">
        <v>0</v>
      </c>
      <c r="G7963" s="8">
        <v>4</v>
      </c>
      <c r="H7963" s="8" t="s">
        <v>41564</v>
      </c>
      <c r="I7963" s="8">
        <v>526.6875</v>
      </c>
      <c r="J7963" s="3">
        <f t="shared" si="124"/>
        <v>43749.050222384256</v>
      </c>
    </row>
    <row r="7964" spans="1:10" x14ac:dyDescent="0.25">
      <c r="A7964" s="5" t="s">
        <v>41565</v>
      </c>
      <c r="B7964" s="6">
        <v>393.75</v>
      </c>
      <c r="C7964" s="6">
        <v>20.478950000000001</v>
      </c>
      <c r="D7964" s="6">
        <v>64</v>
      </c>
      <c r="E7964" s="6">
        <v>0</v>
      </c>
      <c r="F7964" s="6">
        <v>0</v>
      </c>
      <c r="G7964" s="6">
        <v>12</v>
      </c>
      <c r="H7964" s="6" t="s">
        <v>41566</v>
      </c>
      <c r="I7964" s="6">
        <v>526.6875</v>
      </c>
      <c r="J7964" s="2">
        <f t="shared" si="124"/>
        <v>43749.050294409717</v>
      </c>
    </row>
    <row r="7965" spans="1:10" x14ac:dyDescent="0.25">
      <c r="A7965" s="7" t="s">
        <v>41567</v>
      </c>
      <c r="B7965" s="8">
        <v>393.75</v>
      </c>
      <c r="C7965" s="8">
        <v>20.478950000000001</v>
      </c>
      <c r="D7965" s="8">
        <v>64</v>
      </c>
      <c r="E7965" s="8">
        <v>0</v>
      </c>
      <c r="F7965" s="8">
        <v>0</v>
      </c>
      <c r="G7965" s="8">
        <v>5</v>
      </c>
      <c r="H7965" s="8" t="s">
        <v>41568</v>
      </c>
      <c r="I7965" s="8">
        <v>526.6875</v>
      </c>
      <c r="J7965" s="3">
        <f t="shared" si="124"/>
        <v>43749.05036587963</v>
      </c>
    </row>
    <row r="7966" spans="1:10" x14ac:dyDescent="0.25">
      <c r="A7966" s="5" t="s">
        <v>41569</v>
      </c>
      <c r="B7966" s="6">
        <v>393.75</v>
      </c>
      <c r="C7966" s="6">
        <v>20.478950000000001</v>
      </c>
      <c r="D7966" s="6">
        <v>64</v>
      </c>
      <c r="E7966" s="6">
        <v>0</v>
      </c>
      <c r="F7966" s="6">
        <v>0</v>
      </c>
      <c r="G7966" s="6">
        <v>5</v>
      </c>
      <c r="H7966" s="6" t="s">
        <v>41570</v>
      </c>
      <c r="I7966" s="6">
        <v>526.6875</v>
      </c>
      <c r="J7966" s="2">
        <f t="shared" si="124"/>
        <v>43749.050437164355</v>
      </c>
    </row>
    <row r="7967" spans="1:10" x14ac:dyDescent="0.25">
      <c r="A7967" s="7" t="s">
        <v>41571</v>
      </c>
      <c r="B7967" s="8">
        <v>393.75</v>
      </c>
      <c r="C7967" s="8">
        <v>20.478950000000001</v>
      </c>
      <c r="D7967" s="8">
        <v>63</v>
      </c>
      <c r="E7967" s="8">
        <v>0</v>
      </c>
      <c r="F7967" s="8">
        <v>0</v>
      </c>
      <c r="G7967" s="8">
        <v>6</v>
      </c>
      <c r="H7967" s="8" t="s">
        <v>41572</v>
      </c>
      <c r="I7967" s="8">
        <v>526.6875</v>
      </c>
      <c r="J7967" s="3">
        <f t="shared" si="124"/>
        <v>43749.05050853009</v>
      </c>
    </row>
    <row r="7968" spans="1:10" x14ac:dyDescent="0.25">
      <c r="A7968" s="5" t="s">
        <v>41573</v>
      </c>
      <c r="B7968" s="6">
        <v>393.75</v>
      </c>
      <c r="C7968" s="6">
        <v>20.478950000000001</v>
      </c>
      <c r="D7968" s="6">
        <v>66</v>
      </c>
      <c r="E7968" s="6">
        <v>0</v>
      </c>
      <c r="F7968" s="6">
        <v>0</v>
      </c>
      <c r="G7968" s="6">
        <v>3</v>
      </c>
      <c r="H7968" s="6" t="s">
        <v>41574</v>
      </c>
      <c r="I7968" s="6">
        <v>526.6875</v>
      </c>
      <c r="J7968" s="2">
        <f t="shared" si="124"/>
        <v>43749.05060391203</v>
      </c>
    </row>
    <row r="7969" spans="1:10" x14ac:dyDescent="0.25">
      <c r="A7969" s="7" t="s">
        <v>41575</v>
      </c>
      <c r="B7969" s="8">
        <v>393.75</v>
      </c>
      <c r="C7969" s="8">
        <v>20.478950000000001</v>
      </c>
      <c r="D7969" s="8">
        <v>66</v>
      </c>
      <c r="E7969" s="8">
        <v>0</v>
      </c>
      <c r="F7969" s="8">
        <v>0</v>
      </c>
      <c r="G7969" s="8">
        <v>5</v>
      </c>
      <c r="H7969" s="8" t="s">
        <v>41576</v>
      </c>
      <c r="I7969" s="8">
        <v>526.6875</v>
      </c>
      <c r="J7969" s="3">
        <f t="shared" si="124"/>
        <v>43749.050676041668</v>
      </c>
    </row>
    <row r="7970" spans="1:10" x14ac:dyDescent="0.25">
      <c r="A7970" s="5" t="s">
        <v>41577</v>
      </c>
      <c r="B7970" s="6">
        <v>393.75</v>
      </c>
      <c r="C7970" s="6">
        <v>20.478950000000001</v>
      </c>
      <c r="D7970" s="6">
        <v>66</v>
      </c>
      <c r="E7970" s="6">
        <v>0</v>
      </c>
      <c r="F7970" s="6">
        <v>0</v>
      </c>
      <c r="G7970" s="6">
        <v>8</v>
      </c>
      <c r="H7970" s="6" t="s">
        <v>41578</v>
      </c>
      <c r="I7970" s="6">
        <v>526.6875</v>
      </c>
      <c r="J7970" s="2">
        <f t="shared" si="124"/>
        <v>43749.050747361107</v>
      </c>
    </row>
    <row r="7971" spans="1:10" x14ac:dyDescent="0.25">
      <c r="A7971" s="7" t="s">
        <v>41579</v>
      </c>
      <c r="B7971" s="8">
        <v>393.75</v>
      </c>
      <c r="C7971" s="8">
        <v>20.478950000000001</v>
      </c>
      <c r="D7971" s="8">
        <v>65</v>
      </c>
      <c r="E7971" s="8">
        <v>0</v>
      </c>
      <c r="F7971" s="8">
        <v>0</v>
      </c>
      <c r="G7971" s="8">
        <v>10</v>
      </c>
      <c r="H7971" s="8" t="s">
        <v>41580</v>
      </c>
      <c r="I7971" s="8">
        <v>526.6875</v>
      </c>
      <c r="J7971" s="3">
        <f t="shared" si="124"/>
        <v>43749.050842708333</v>
      </c>
    </row>
    <row r="7972" spans="1:10" x14ac:dyDescent="0.25">
      <c r="A7972" s="5" t="s">
        <v>41581</v>
      </c>
      <c r="B7972" s="6">
        <v>393.75</v>
      </c>
      <c r="C7972" s="6">
        <v>20.478950000000001</v>
      </c>
      <c r="D7972" s="6">
        <v>65</v>
      </c>
      <c r="E7972" s="6">
        <v>0</v>
      </c>
      <c r="F7972" s="6">
        <v>0</v>
      </c>
      <c r="G7972" s="6">
        <v>3</v>
      </c>
      <c r="H7972" s="6" t="s">
        <v>41582</v>
      </c>
      <c r="I7972" s="6">
        <v>526.6875</v>
      </c>
      <c r="J7972" s="2">
        <f t="shared" si="124"/>
        <v>43749.050926053234</v>
      </c>
    </row>
    <row r="7973" spans="1:10" x14ac:dyDescent="0.25">
      <c r="A7973" s="7" t="s">
        <v>41583</v>
      </c>
      <c r="B7973" s="8">
        <v>393.75</v>
      </c>
      <c r="C7973" s="8">
        <v>20.478950000000001</v>
      </c>
      <c r="D7973" s="8">
        <v>65</v>
      </c>
      <c r="E7973" s="8">
        <v>0</v>
      </c>
      <c r="F7973" s="8">
        <v>0</v>
      </c>
      <c r="G7973" s="8">
        <v>2</v>
      </c>
      <c r="H7973" s="8" t="s">
        <v>41584</v>
      </c>
      <c r="I7973" s="8">
        <v>526.6875</v>
      </c>
      <c r="J7973" s="3">
        <f t="shared" si="124"/>
        <v>43749.050997337959</v>
      </c>
    </row>
    <row r="7974" spans="1:10" x14ac:dyDescent="0.25">
      <c r="A7974" s="5" t="s">
        <v>41585</v>
      </c>
      <c r="B7974" s="6">
        <v>393.75</v>
      </c>
      <c r="C7974" s="6">
        <v>20.478950000000001</v>
      </c>
      <c r="D7974" s="6">
        <v>65</v>
      </c>
      <c r="E7974" s="6">
        <v>0</v>
      </c>
      <c r="F7974" s="6">
        <v>0</v>
      </c>
      <c r="G7974" s="6">
        <v>10</v>
      </c>
      <c r="H7974" s="6" t="s">
        <v>41586</v>
      </c>
      <c r="I7974" s="6">
        <v>526.6875</v>
      </c>
      <c r="J7974" s="2">
        <f t="shared" si="124"/>
        <v>43749.05106957176</v>
      </c>
    </row>
    <row r="7975" spans="1:10" x14ac:dyDescent="0.25">
      <c r="A7975" s="7" t="s">
        <v>41587</v>
      </c>
      <c r="B7975" s="8">
        <v>393.75</v>
      </c>
      <c r="C7975" s="8">
        <v>20.478950000000001</v>
      </c>
      <c r="D7975" s="8">
        <v>66</v>
      </c>
      <c r="E7975" s="8">
        <v>0</v>
      </c>
      <c r="F7975" s="8">
        <v>0</v>
      </c>
      <c r="G7975" s="8">
        <v>9</v>
      </c>
      <c r="H7975" s="8" t="s">
        <v>41588</v>
      </c>
      <c r="I7975" s="8">
        <v>526.5</v>
      </c>
      <c r="J7975" s="3">
        <f t="shared" si="124"/>
        <v>43749.051140856478</v>
      </c>
    </row>
    <row r="7976" spans="1:10" x14ac:dyDescent="0.25">
      <c r="A7976" s="5" t="s">
        <v>41589</v>
      </c>
      <c r="B7976" s="6">
        <v>393.75</v>
      </c>
      <c r="C7976" s="6">
        <v>20.478950000000001</v>
      </c>
      <c r="D7976" s="6">
        <v>65</v>
      </c>
      <c r="E7976" s="6">
        <v>0</v>
      </c>
      <c r="F7976" s="6">
        <v>0</v>
      </c>
      <c r="G7976" s="6">
        <v>6</v>
      </c>
      <c r="H7976" s="6" t="s">
        <v>41590</v>
      </c>
      <c r="I7976" s="6">
        <v>526.6875</v>
      </c>
      <c r="J7976" s="2">
        <f t="shared" si="124"/>
        <v>43749.051212152779</v>
      </c>
    </row>
    <row r="7977" spans="1:10" x14ac:dyDescent="0.25">
      <c r="A7977" s="7" t="s">
        <v>41591</v>
      </c>
      <c r="B7977" s="8">
        <v>393.75</v>
      </c>
      <c r="C7977" s="8">
        <v>20.478950000000001</v>
      </c>
      <c r="D7977" s="8">
        <v>65</v>
      </c>
      <c r="E7977" s="8">
        <v>0</v>
      </c>
      <c r="F7977" s="8">
        <v>0</v>
      </c>
      <c r="G7977" s="8">
        <v>11</v>
      </c>
      <c r="H7977" s="8" t="s">
        <v>41592</v>
      </c>
      <c r="I7977" s="8">
        <v>526.5</v>
      </c>
      <c r="J7977" s="3">
        <f t="shared" si="124"/>
        <v>43749.051284374997</v>
      </c>
    </row>
    <row r="7978" spans="1:10" x14ac:dyDescent="0.25">
      <c r="A7978" s="5" t="s">
        <v>41593</v>
      </c>
      <c r="B7978" s="6">
        <v>393.75</v>
      </c>
      <c r="C7978" s="6">
        <v>20.478950000000001</v>
      </c>
      <c r="D7978" s="6">
        <v>65</v>
      </c>
      <c r="E7978" s="6">
        <v>0</v>
      </c>
      <c r="F7978" s="6">
        <v>0</v>
      </c>
      <c r="G7978" s="6">
        <v>1</v>
      </c>
      <c r="H7978" s="6" t="s">
        <v>41594</v>
      </c>
      <c r="I7978" s="6">
        <v>526.6875</v>
      </c>
      <c r="J7978" s="2">
        <f t="shared" si="124"/>
        <v>43749.051355613425</v>
      </c>
    </row>
    <row r="7979" spans="1:10" x14ac:dyDescent="0.25">
      <c r="A7979" s="7" t="s">
        <v>41595</v>
      </c>
      <c r="B7979" s="8">
        <v>393.75</v>
      </c>
      <c r="C7979" s="8">
        <v>20.478950000000001</v>
      </c>
      <c r="D7979" s="8">
        <v>65</v>
      </c>
      <c r="E7979" s="8">
        <v>0</v>
      </c>
      <c r="F7979" s="8">
        <v>0</v>
      </c>
      <c r="G7979" s="8">
        <v>7</v>
      </c>
      <c r="H7979" s="8" t="s">
        <v>41596</v>
      </c>
      <c r="I7979" s="8">
        <v>526.6875</v>
      </c>
      <c r="J7979" s="3">
        <f t="shared" si="124"/>
        <v>43749.051427002312</v>
      </c>
    </row>
    <row r="7980" spans="1:10" x14ac:dyDescent="0.25">
      <c r="A7980" s="5" t="s">
        <v>41597</v>
      </c>
      <c r="B7980" s="6">
        <v>393.75</v>
      </c>
      <c r="C7980" s="6">
        <v>20.478950000000001</v>
      </c>
      <c r="D7980" s="6">
        <v>62</v>
      </c>
      <c r="E7980" s="6">
        <v>0</v>
      </c>
      <c r="F7980" s="6">
        <v>0</v>
      </c>
      <c r="G7980" s="6">
        <v>0</v>
      </c>
      <c r="H7980" s="6" t="s">
        <v>41598</v>
      </c>
      <c r="I7980" s="6">
        <v>526.6875</v>
      </c>
      <c r="J7980" s="2">
        <f t="shared" si="124"/>
        <v>43749.051498321758</v>
      </c>
    </row>
    <row r="7981" spans="1:10" x14ac:dyDescent="0.25">
      <c r="A7981" s="7" t="s">
        <v>41599</v>
      </c>
      <c r="B7981" s="8">
        <v>393.75</v>
      </c>
      <c r="C7981" s="8">
        <v>20.478950000000001</v>
      </c>
      <c r="D7981" s="8">
        <v>63</v>
      </c>
      <c r="E7981" s="8">
        <v>0</v>
      </c>
      <c r="F7981" s="8">
        <v>0</v>
      </c>
      <c r="G7981" s="8">
        <v>1</v>
      </c>
      <c r="H7981" s="8" t="s">
        <v>41600</v>
      </c>
      <c r="I7981" s="8">
        <v>526.6875</v>
      </c>
      <c r="J7981" s="3">
        <f t="shared" si="124"/>
        <v>43749.051570497679</v>
      </c>
    </row>
    <row r="7982" spans="1:10" x14ac:dyDescent="0.25">
      <c r="A7982" s="5" t="s">
        <v>41601</v>
      </c>
      <c r="B7982" s="6">
        <v>393.75</v>
      </c>
      <c r="C7982" s="6">
        <v>20.426300000000001</v>
      </c>
      <c r="D7982" s="6">
        <v>63</v>
      </c>
      <c r="E7982" s="6">
        <v>0</v>
      </c>
      <c r="F7982" s="6">
        <v>0</v>
      </c>
      <c r="G7982" s="6">
        <v>2</v>
      </c>
      <c r="H7982" s="6" t="s">
        <v>41602</v>
      </c>
      <c r="I7982" s="6">
        <v>526.6875</v>
      </c>
      <c r="J7982" s="2">
        <f t="shared" si="124"/>
        <v>43749.051659571756</v>
      </c>
    </row>
    <row r="7983" spans="1:10" x14ac:dyDescent="0.25">
      <c r="A7983" s="7" t="s">
        <v>41603</v>
      </c>
      <c r="B7983" s="8">
        <v>393.75</v>
      </c>
      <c r="C7983" s="8">
        <v>20.426300000000001</v>
      </c>
      <c r="D7983" s="8">
        <v>64</v>
      </c>
      <c r="E7983" s="8">
        <v>0</v>
      </c>
      <c r="F7983" s="8">
        <v>0</v>
      </c>
      <c r="G7983" s="8">
        <v>2</v>
      </c>
      <c r="H7983" s="8" t="s">
        <v>41604</v>
      </c>
      <c r="I7983" s="8">
        <v>526.6875</v>
      </c>
      <c r="J7983" s="3">
        <f t="shared" si="124"/>
        <v>43749.051737534719</v>
      </c>
    </row>
    <row r="7984" spans="1:10" x14ac:dyDescent="0.25">
      <c r="A7984" s="5" t="s">
        <v>41605</v>
      </c>
      <c r="B7984" s="6">
        <v>393.75</v>
      </c>
      <c r="C7984" s="6">
        <v>20.426300000000001</v>
      </c>
      <c r="D7984" s="6">
        <v>64</v>
      </c>
      <c r="E7984" s="6">
        <v>0</v>
      </c>
      <c r="F7984" s="6">
        <v>0</v>
      </c>
      <c r="G7984" s="6">
        <v>8</v>
      </c>
      <c r="H7984" s="6" t="s">
        <v>41606</v>
      </c>
      <c r="I7984" s="6">
        <v>526.6875</v>
      </c>
      <c r="J7984" s="2">
        <f t="shared" si="124"/>
        <v>43749.051808576383</v>
      </c>
    </row>
    <row r="7985" spans="1:10" x14ac:dyDescent="0.25">
      <c r="A7985" s="7" t="s">
        <v>41607</v>
      </c>
      <c r="B7985" s="8">
        <v>393.75</v>
      </c>
      <c r="C7985" s="8">
        <v>20.478950000000001</v>
      </c>
      <c r="D7985" s="8">
        <v>63</v>
      </c>
      <c r="E7985" s="8">
        <v>0</v>
      </c>
      <c r="F7985" s="8">
        <v>0</v>
      </c>
      <c r="G7985" s="8">
        <v>3</v>
      </c>
      <c r="H7985" s="8" t="s">
        <v>41608</v>
      </c>
      <c r="I7985" s="8">
        <v>526.6875</v>
      </c>
      <c r="J7985" s="3">
        <f t="shared" si="124"/>
        <v>43749.051895775461</v>
      </c>
    </row>
    <row r="7986" spans="1:10" x14ac:dyDescent="0.25">
      <c r="A7986" s="5" t="s">
        <v>41609</v>
      </c>
      <c r="B7986" s="6">
        <v>393.75</v>
      </c>
      <c r="C7986" s="6">
        <v>20.478950000000001</v>
      </c>
      <c r="D7986" s="6">
        <v>64</v>
      </c>
      <c r="E7986" s="6">
        <v>0</v>
      </c>
      <c r="F7986" s="6">
        <v>0</v>
      </c>
      <c r="G7986" s="6">
        <v>0</v>
      </c>
      <c r="H7986" s="6" t="s">
        <v>41610</v>
      </c>
      <c r="I7986" s="6">
        <v>526.6875</v>
      </c>
      <c r="J7986" s="2">
        <f t="shared" si="124"/>
        <v>43749.051975497678</v>
      </c>
    </row>
    <row r="7987" spans="1:10" x14ac:dyDescent="0.25">
      <c r="A7987" s="7" t="s">
        <v>41611</v>
      </c>
      <c r="B7987" s="8">
        <v>393.75</v>
      </c>
      <c r="C7987" s="8">
        <v>20.478950000000001</v>
      </c>
      <c r="D7987" s="8">
        <v>64</v>
      </c>
      <c r="E7987" s="8">
        <v>0</v>
      </c>
      <c r="F7987" s="8">
        <v>0</v>
      </c>
      <c r="G7987" s="8">
        <v>0</v>
      </c>
      <c r="H7987" s="8" t="s">
        <v>41612</v>
      </c>
      <c r="I7987" s="8">
        <v>526.6875</v>
      </c>
      <c r="J7987" s="3">
        <f t="shared" si="124"/>
        <v>43749.052047523146</v>
      </c>
    </row>
    <row r="7988" spans="1:10" x14ac:dyDescent="0.25">
      <c r="A7988" s="5" t="s">
        <v>41613</v>
      </c>
      <c r="B7988" s="6">
        <v>421.875</v>
      </c>
      <c r="C7988" s="6">
        <v>20.478950000000001</v>
      </c>
      <c r="D7988" s="6">
        <v>64</v>
      </c>
      <c r="E7988" s="6">
        <v>0</v>
      </c>
      <c r="F7988" s="6">
        <v>0</v>
      </c>
      <c r="G7988" s="6">
        <v>0</v>
      </c>
      <c r="H7988" s="6" t="s">
        <v>41614</v>
      </c>
      <c r="I7988" s="6">
        <v>535.125</v>
      </c>
      <c r="J7988" s="2">
        <f t="shared" si="124"/>
        <v>43749.052118148145</v>
      </c>
    </row>
    <row r="7989" spans="1:10" x14ac:dyDescent="0.25">
      <c r="A7989" s="7" t="s">
        <v>41615</v>
      </c>
      <c r="B7989" s="8">
        <v>393.75</v>
      </c>
      <c r="C7989" s="8">
        <v>20.478950000000001</v>
      </c>
      <c r="D7989" s="8">
        <v>65</v>
      </c>
      <c r="E7989" s="8">
        <v>0</v>
      </c>
      <c r="F7989" s="8">
        <v>0</v>
      </c>
      <c r="G7989" s="8">
        <v>9</v>
      </c>
      <c r="H7989" s="8" t="s">
        <v>41616</v>
      </c>
      <c r="I7989" s="8">
        <v>526.6875</v>
      </c>
      <c r="J7989" s="3">
        <f t="shared" si="124"/>
        <v>43749.052190312497</v>
      </c>
    </row>
    <row r="7990" spans="1:10" x14ac:dyDescent="0.25">
      <c r="A7990" s="5" t="s">
        <v>41617</v>
      </c>
      <c r="B7990" s="6">
        <v>393.75</v>
      </c>
      <c r="C7990" s="6">
        <v>20.426300000000001</v>
      </c>
      <c r="D7990" s="6">
        <v>64</v>
      </c>
      <c r="E7990" s="6">
        <v>0</v>
      </c>
      <c r="F7990" s="6">
        <v>0</v>
      </c>
      <c r="G7990" s="6">
        <v>6</v>
      </c>
      <c r="H7990" s="6" t="s">
        <v>41618</v>
      </c>
      <c r="I7990" s="6">
        <v>526.5</v>
      </c>
      <c r="J7990" s="2">
        <f t="shared" si="124"/>
        <v>43749.052261643512</v>
      </c>
    </row>
    <row r="7991" spans="1:10" x14ac:dyDescent="0.25">
      <c r="A7991" s="7" t="s">
        <v>41619</v>
      </c>
      <c r="B7991" s="8">
        <v>393.75</v>
      </c>
      <c r="C7991" s="8">
        <v>20.478950000000001</v>
      </c>
      <c r="D7991" s="8">
        <v>60</v>
      </c>
      <c r="E7991" s="8">
        <v>0</v>
      </c>
      <c r="F7991" s="8">
        <v>0</v>
      </c>
      <c r="G7991" s="8">
        <v>6</v>
      </c>
      <c r="H7991" s="8" t="s">
        <v>41620</v>
      </c>
      <c r="I7991" s="8">
        <v>526.6875</v>
      </c>
      <c r="J7991" s="3">
        <f t="shared" si="124"/>
        <v>43749.052333807871</v>
      </c>
    </row>
    <row r="7992" spans="1:10" x14ac:dyDescent="0.25">
      <c r="A7992" s="5" t="s">
        <v>41621</v>
      </c>
      <c r="B7992" s="6">
        <v>393.75</v>
      </c>
      <c r="C7992" s="6">
        <v>20.478950000000001</v>
      </c>
      <c r="D7992" s="6">
        <v>61</v>
      </c>
      <c r="E7992" s="6">
        <v>0</v>
      </c>
      <c r="F7992" s="6">
        <v>0</v>
      </c>
      <c r="G7992" s="6">
        <v>6</v>
      </c>
      <c r="H7992" s="6" t="s">
        <v>41622</v>
      </c>
      <c r="I7992" s="6">
        <v>526.6875</v>
      </c>
      <c r="J7992" s="2">
        <f t="shared" si="124"/>
        <v>43749.052408622687</v>
      </c>
    </row>
    <row r="7993" spans="1:10" x14ac:dyDescent="0.25">
      <c r="A7993" s="7" t="s">
        <v>41623</v>
      </c>
      <c r="B7993" s="8">
        <v>393.75</v>
      </c>
      <c r="C7993" s="8">
        <v>20.478950000000001</v>
      </c>
      <c r="D7993" s="8">
        <v>61</v>
      </c>
      <c r="E7993" s="8">
        <v>0</v>
      </c>
      <c r="F7993" s="8">
        <v>0</v>
      </c>
      <c r="G7993" s="8">
        <v>6</v>
      </c>
      <c r="H7993" s="8" t="s">
        <v>41624</v>
      </c>
      <c r="I7993" s="8">
        <v>526.6875</v>
      </c>
      <c r="J7993" s="3">
        <f t="shared" si="124"/>
        <v>43749.052488460649</v>
      </c>
    </row>
    <row r="7994" spans="1:10" x14ac:dyDescent="0.25">
      <c r="A7994" s="5" t="s">
        <v>41625</v>
      </c>
      <c r="B7994" s="6">
        <v>393.75</v>
      </c>
      <c r="C7994" s="6">
        <v>20.478950000000001</v>
      </c>
      <c r="D7994" s="6">
        <v>62</v>
      </c>
      <c r="E7994" s="6">
        <v>0</v>
      </c>
      <c r="F7994" s="6">
        <v>0</v>
      </c>
      <c r="G7994" s="6">
        <v>11</v>
      </c>
      <c r="H7994" s="6" t="s">
        <v>41626</v>
      </c>
      <c r="I7994" s="6">
        <v>526.5</v>
      </c>
      <c r="J7994" s="2">
        <f t="shared" si="124"/>
        <v>43749.052559733791</v>
      </c>
    </row>
    <row r="7995" spans="1:10" x14ac:dyDescent="0.25">
      <c r="A7995" s="7" t="s">
        <v>41627</v>
      </c>
      <c r="B7995" s="8">
        <v>393.75</v>
      </c>
      <c r="C7995" s="8">
        <v>20.478950000000001</v>
      </c>
      <c r="D7995" s="8">
        <v>62</v>
      </c>
      <c r="E7995" s="8">
        <v>0</v>
      </c>
      <c r="F7995" s="8">
        <v>0</v>
      </c>
      <c r="G7995" s="8">
        <v>2</v>
      </c>
      <c r="H7995" s="8" t="s">
        <v>41628</v>
      </c>
      <c r="I7995" s="8">
        <v>526.5</v>
      </c>
      <c r="J7995" s="3">
        <f t="shared" si="124"/>
        <v>43749.052631967592</v>
      </c>
    </row>
    <row r="7996" spans="1:10" x14ac:dyDescent="0.25">
      <c r="A7996" s="5" t="s">
        <v>41629</v>
      </c>
      <c r="B7996" s="6">
        <v>412.5</v>
      </c>
      <c r="C7996" s="6">
        <v>20.478950000000001</v>
      </c>
      <c r="D7996" s="6">
        <v>62</v>
      </c>
      <c r="E7996" s="6">
        <v>0</v>
      </c>
      <c r="F7996" s="6">
        <v>0</v>
      </c>
      <c r="G7996" s="6">
        <v>11</v>
      </c>
      <c r="H7996" s="6" t="s">
        <v>41630</v>
      </c>
      <c r="I7996" s="6">
        <v>532.3125</v>
      </c>
      <c r="J7996" s="2">
        <f t="shared" si="124"/>
        <v>43749.052703078698</v>
      </c>
    </row>
    <row r="7997" spans="1:10" x14ac:dyDescent="0.25">
      <c r="A7997" s="7" t="s">
        <v>41631</v>
      </c>
      <c r="B7997" s="8">
        <v>393.75</v>
      </c>
      <c r="C7997" s="8">
        <v>20.478950000000001</v>
      </c>
      <c r="D7997" s="8">
        <v>66</v>
      </c>
      <c r="E7997" s="8">
        <v>0</v>
      </c>
      <c r="F7997" s="8">
        <v>0</v>
      </c>
      <c r="G7997" s="8">
        <v>2</v>
      </c>
      <c r="H7997" s="8" t="s">
        <v>41632</v>
      </c>
      <c r="I7997" s="8">
        <v>526.6875</v>
      </c>
      <c r="J7997" s="3">
        <f t="shared" si="124"/>
        <v>43749.052774571755</v>
      </c>
    </row>
    <row r="7998" spans="1:10" x14ac:dyDescent="0.25">
      <c r="A7998" s="5" t="s">
        <v>41633</v>
      </c>
      <c r="B7998" s="6">
        <v>393.75</v>
      </c>
      <c r="C7998" s="6">
        <v>20.478950000000001</v>
      </c>
      <c r="D7998" s="6">
        <v>65</v>
      </c>
      <c r="E7998" s="6">
        <v>0</v>
      </c>
      <c r="F7998" s="6">
        <v>0</v>
      </c>
      <c r="G7998" s="6">
        <v>10</v>
      </c>
      <c r="H7998" s="6" t="s">
        <v>41634</v>
      </c>
      <c r="I7998" s="6">
        <v>526.6875</v>
      </c>
      <c r="J7998" s="2">
        <f t="shared" si="124"/>
        <v>43749.052845798607</v>
      </c>
    </row>
    <row r="7999" spans="1:10" x14ac:dyDescent="0.25">
      <c r="A7999" s="7" t="s">
        <v>41635</v>
      </c>
      <c r="B7999" s="8">
        <v>393.75</v>
      </c>
      <c r="C7999" s="8">
        <v>20.478950000000001</v>
      </c>
      <c r="D7999" s="8">
        <v>65</v>
      </c>
      <c r="E7999" s="8">
        <v>0</v>
      </c>
      <c r="F7999" s="8">
        <v>0</v>
      </c>
      <c r="G7999" s="8">
        <v>7</v>
      </c>
      <c r="H7999" s="8" t="s">
        <v>41636</v>
      </c>
      <c r="I7999" s="8">
        <v>526.6875</v>
      </c>
      <c r="J7999" s="3">
        <f t="shared" si="124"/>
        <v>43749.052918078705</v>
      </c>
    </row>
    <row r="8000" spans="1:10" x14ac:dyDescent="0.25">
      <c r="A8000" s="5" t="s">
        <v>41637</v>
      </c>
      <c r="B8000" s="6">
        <v>393.75</v>
      </c>
      <c r="C8000" s="6">
        <v>20.478950000000001</v>
      </c>
      <c r="D8000" s="6">
        <v>65</v>
      </c>
      <c r="E8000" s="6">
        <v>0</v>
      </c>
      <c r="F8000" s="6">
        <v>0</v>
      </c>
      <c r="G8000" s="6">
        <v>10</v>
      </c>
      <c r="H8000" s="6" t="s">
        <v>41638</v>
      </c>
      <c r="I8000" s="6">
        <v>526.5</v>
      </c>
      <c r="J8000" s="2">
        <f t="shared" si="124"/>
        <v>43749.052989374999</v>
      </c>
    </row>
    <row r="8001" spans="1:10" x14ac:dyDescent="0.25">
      <c r="A8001" s="7" t="s">
        <v>41639</v>
      </c>
      <c r="B8001" s="8">
        <v>393.75</v>
      </c>
      <c r="C8001" s="8">
        <v>20.478950000000001</v>
      </c>
      <c r="D8001" s="8">
        <v>65</v>
      </c>
      <c r="E8001" s="8">
        <v>0</v>
      </c>
      <c r="F8001" s="8">
        <v>0</v>
      </c>
      <c r="G8001" s="8">
        <v>7</v>
      </c>
      <c r="H8001" s="8" t="s">
        <v>41640</v>
      </c>
      <c r="I8001" s="8">
        <v>526.6875</v>
      </c>
      <c r="J8001" s="3">
        <f t="shared" si="124"/>
        <v>43749.053060659724</v>
      </c>
    </row>
    <row r="8002" spans="1:10" x14ac:dyDescent="0.25">
      <c r="A8002" s="5" t="s">
        <v>41641</v>
      </c>
      <c r="B8002" s="6">
        <v>393.75</v>
      </c>
      <c r="C8002" s="6">
        <v>20.478950000000001</v>
      </c>
      <c r="D8002" s="6">
        <v>64</v>
      </c>
      <c r="E8002" s="6">
        <v>0</v>
      </c>
      <c r="F8002" s="6">
        <v>0</v>
      </c>
      <c r="G8002" s="6">
        <v>13</v>
      </c>
      <c r="H8002" s="6" t="s">
        <v>41642</v>
      </c>
      <c r="I8002" s="6">
        <v>526.5</v>
      </c>
      <c r="J8002" s="2">
        <f t="shared" ref="J8002:J8065" si="125">(H8002/86400000)+25569+(7/24)</f>
        <v>43749.053132013891</v>
      </c>
    </row>
    <row r="8003" spans="1:10" x14ac:dyDescent="0.25">
      <c r="A8003" s="7" t="s">
        <v>41643</v>
      </c>
      <c r="B8003" s="8">
        <v>393.75</v>
      </c>
      <c r="C8003" s="8">
        <v>20.426300000000001</v>
      </c>
      <c r="D8003" s="8">
        <v>64</v>
      </c>
      <c r="E8003" s="8">
        <v>0</v>
      </c>
      <c r="F8003" s="8">
        <v>0</v>
      </c>
      <c r="G8003" s="8">
        <v>10</v>
      </c>
      <c r="H8003" s="8" t="s">
        <v>41644</v>
      </c>
      <c r="I8003" s="8">
        <v>526.6875</v>
      </c>
      <c r="J8003" s="3">
        <f t="shared" si="125"/>
        <v>43749.053204201387</v>
      </c>
    </row>
    <row r="8004" spans="1:10" x14ac:dyDescent="0.25">
      <c r="A8004" s="5" t="s">
        <v>41645</v>
      </c>
      <c r="B8004" s="6">
        <v>393.75</v>
      </c>
      <c r="C8004" s="6">
        <v>20.478950000000001</v>
      </c>
      <c r="D8004" s="6">
        <v>64</v>
      </c>
      <c r="E8004" s="6">
        <v>0</v>
      </c>
      <c r="F8004" s="6">
        <v>0</v>
      </c>
      <c r="G8004" s="6">
        <v>9</v>
      </c>
      <c r="H8004" s="6" t="s">
        <v>41646</v>
      </c>
      <c r="I8004" s="6">
        <v>526.6875</v>
      </c>
      <c r="J8004" s="2">
        <f t="shared" si="125"/>
        <v>43749.053275300925</v>
      </c>
    </row>
    <row r="8005" spans="1:10" x14ac:dyDescent="0.25">
      <c r="A8005" s="7" t="s">
        <v>41647</v>
      </c>
      <c r="B8005" s="8">
        <v>412.5</v>
      </c>
      <c r="C8005" s="8">
        <v>20.478950000000001</v>
      </c>
      <c r="D8005" s="8">
        <v>64</v>
      </c>
      <c r="E8005" s="8">
        <v>0</v>
      </c>
      <c r="F8005" s="8">
        <v>0</v>
      </c>
      <c r="G8005" s="8">
        <v>1</v>
      </c>
      <c r="H8005" s="8" t="s">
        <v>41648</v>
      </c>
      <c r="I8005" s="8">
        <v>532.3125</v>
      </c>
      <c r="J8005" s="3">
        <f t="shared" si="125"/>
        <v>43749.053346793975</v>
      </c>
    </row>
    <row r="8006" spans="1:10" x14ac:dyDescent="0.25">
      <c r="A8006" s="5" t="s">
        <v>41649</v>
      </c>
      <c r="B8006" s="6">
        <v>393.75</v>
      </c>
      <c r="C8006" s="6">
        <v>20.478950000000001</v>
      </c>
      <c r="D8006" s="6">
        <v>63</v>
      </c>
      <c r="E8006" s="6">
        <v>0</v>
      </c>
      <c r="F8006" s="6">
        <v>0</v>
      </c>
      <c r="G8006" s="6">
        <v>4</v>
      </c>
      <c r="H8006" s="6" t="s">
        <v>41650</v>
      </c>
      <c r="I8006" s="6">
        <v>526.6875</v>
      </c>
      <c r="J8006" s="2">
        <f t="shared" si="125"/>
        <v>43749.053418958334</v>
      </c>
    </row>
    <row r="8007" spans="1:10" x14ac:dyDescent="0.25">
      <c r="A8007" s="7" t="s">
        <v>41651</v>
      </c>
      <c r="B8007" s="8">
        <v>393.75</v>
      </c>
      <c r="C8007" s="8">
        <v>20.478950000000001</v>
      </c>
      <c r="D8007" s="8">
        <v>64</v>
      </c>
      <c r="E8007" s="8">
        <v>0</v>
      </c>
      <c r="F8007" s="8">
        <v>0</v>
      </c>
      <c r="G8007" s="8">
        <v>2</v>
      </c>
      <c r="H8007" s="8" t="s">
        <v>41652</v>
      </c>
      <c r="I8007" s="8">
        <v>526.5</v>
      </c>
      <c r="J8007" s="3">
        <f t="shared" si="125"/>
        <v>43749.053490312501</v>
      </c>
    </row>
    <row r="8008" spans="1:10" x14ac:dyDescent="0.25">
      <c r="A8008" s="5" t="s">
        <v>41653</v>
      </c>
      <c r="B8008" s="6">
        <v>393.75</v>
      </c>
      <c r="C8008" s="6">
        <v>20.478950000000001</v>
      </c>
      <c r="D8008" s="6">
        <v>66</v>
      </c>
      <c r="E8008" s="6">
        <v>0</v>
      </c>
      <c r="F8008" s="6">
        <v>0</v>
      </c>
      <c r="G8008" s="6">
        <v>9</v>
      </c>
      <c r="H8008" s="6" t="s">
        <v>41654</v>
      </c>
      <c r="I8008" s="6">
        <v>526.6875</v>
      </c>
      <c r="J8008" s="2">
        <f t="shared" si="125"/>
        <v>43749.053573622681</v>
      </c>
    </row>
    <row r="8009" spans="1:10" x14ac:dyDescent="0.25">
      <c r="A8009" s="7" t="s">
        <v>41655</v>
      </c>
      <c r="B8009" s="8">
        <v>393.75</v>
      </c>
      <c r="C8009" s="8">
        <v>20.478950000000001</v>
      </c>
      <c r="D8009" s="8">
        <v>66</v>
      </c>
      <c r="E8009" s="8">
        <v>0</v>
      </c>
      <c r="F8009" s="8">
        <v>0</v>
      </c>
      <c r="G8009" s="8">
        <v>1</v>
      </c>
      <c r="H8009" s="8" t="s">
        <v>41656</v>
      </c>
      <c r="I8009" s="8">
        <v>526.6875</v>
      </c>
      <c r="J8009" s="3">
        <f t="shared" si="125"/>
        <v>43749.053656979166</v>
      </c>
    </row>
    <row r="8010" spans="1:10" x14ac:dyDescent="0.25">
      <c r="A8010" s="5" t="s">
        <v>41657</v>
      </c>
      <c r="B8010" s="6">
        <v>393.75</v>
      </c>
      <c r="C8010" s="6">
        <v>20.478950000000001</v>
      </c>
      <c r="D8010" s="6">
        <v>67</v>
      </c>
      <c r="E8010" s="6">
        <v>0</v>
      </c>
      <c r="F8010" s="6">
        <v>0</v>
      </c>
      <c r="G8010" s="6">
        <v>15</v>
      </c>
      <c r="H8010" s="6" t="s">
        <v>41658</v>
      </c>
      <c r="I8010" s="6">
        <v>526.6875</v>
      </c>
      <c r="J8010" s="2">
        <f t="shared" si="125"/>
        <v>43749.05372831018</v>
      </c>
    </row>
    <row r="8011" spans="1:10" x14ac:dyDescent="0.25">
      <c r="A8011" s="7" t="s">
        <v>41659</v>
      </c>
      <c r="B8011" s="8">
        <v>393.75</v>
      </c>
      <c r="C8011" s="8">
        <v>20.478950000000001</v>
      </c>
      <c r="D8011" s="8">
        <v>67</v>
      </c>
      <c r="E8011" s="8">
        <v>0</v>
      </c>
      <c r="F8011" s="8">
        <v>0</v>
      </c>
      <c r="G8011" s="8">
        <v>11</v>
      </c>
      <c r="H8011" s="8" t="s">
        <v>41660</v>
      </c>
      <c r="I8011" s="8">
        <v>526.6875</v>
      </c>
      <c r="J8011" s="3">
        <f t="shared" si="125"/>
        <v>43749.053799618057</v>
      </c>
    </row>
    <row r="8012" spans="1:10" x14ac:dyDescent="0.25">
      <c r="A8012" s="5" t="s">
        <v>41661</v>
      </c>
      <c r="B8012" s="6">
        <v>393.75</v>
      </c>
      <c r="C8012" s="6">
        <v>20.478950000000001</v>
      </c>
      <c r="D8012" s="6">
        <v>67</v>
      </c>
      <c r="E8012" s="6">
        <v>0</v>
      </c>
      <c r="F8012" s="6">
        <v>0</v>
      </c>
      <c r="G8012" s="6">
        <v>12</v>
      </c>
      <c r="H8012" s="6" t="s">
        <v>41662</v>
      </c>
      <c r="I8012" s="6">
        <v>526.5</v>
      </c>
      <c r="J8012" s="2">
        <f t="shared" si="125"/>
        <v>43749.053871805554</v>
      </c>
    </row>
    <row r="8013" spans="1:10" x14ac:dyDescent="0.25">
      <c r="A8013" s="7" t="s">
        <v>41663</v>
      </c>
      <c r="B8013" s="8">
        <v>393.75</v>
      </c>
      <c r="C8013" s="8">
        <v>20.478950000000001</v>
      </c>
      <c r="D8013" s="8">
        <v>67</v>
      </c>
      <c r="E8013" s="8">
        <v>0</v>
      </c>
      <c r="F8013" s="8">
        <v>0</v>
      </c>
      <c r="G8013" s="8">
        <v>10</v>
      </c>
      <c r="H8013" s="8" t="s">
        <v>41664</v>
      </c>
      <c r="I8013" s="8">
        <v>526.6875</v>
      </c>
      <c r="J8013" s="3">
        <f t="shared" si="125"/>
        <v>43749.053943090279</v>
      </c>
    </row>
    <row r="8014" spans="1:10" x14ac:dyDescent="0.25">
      <c r="A8014" s="5" t="s">
        <v>41665</v>
      </c>
      <c r="B8014" s="6">
        <v>393.75</v>
      </c>
      <c r="C8014" s="6">
        <v>20.478950000000001</v>
      </c>
      <c r="D8014" s="6">
        <v>66</v>
      </c>
      <c r="E8014" s="6">
        <v>0</v>
      </c>
      <c r="F8014" s="6">
        <v>0</v>
      </c>
      <c r="G8014" s="6">
        <v>3</v>
      </c>
      <c r="H8014" s="6" t="s">
        <v>41666</v>
      </c>
      <c r="I8014" s="6">
        <v>526.6875</v>
      </c>
      <c r="J8014" s="2">
        <f t="shared" si="125"/>
        <v>43749.054015081019</v>
      </c>
    </row>
    <row r="8015" spans="1:10" x14ac:dyDescent="0.25">
      <c r="A8015" s="7" t="s">
        <v>41667</v>
      </c>
      <c r="B8015" s="8">
        <v>440.625</v>
      </c>
      <c r="C8015" s="8">
        <v>20.426300000000001</v>
      </c>
      <c r="D8015" s="8">
        <v>65</v>
      </c>
      <c r="E8015" s="8">
        <v>0</v>
      </c>
      <c r="F8015" s="8">
        <v>0</v>
      </c>
      <c r="G8015" s="8">
        <v>0</v>
      </c>
      <c r="H8015" s="8" t="s">
        <v>41668</v>
      </c>
      <c r="I8015" s="8">
        <v>541.125</v>
      </c>
      <c r="J8015" s="3">
        <f t="shared" si="125"/>
        <v>43749.054098645829</v>
      </c>
    </row>
    <row r="8016" spans="1:10" x14ac:dyDescent="0.25">
      <c r="A8016" s="5" t="s">
        <v>41669</v>
      </c>
      <c r="B8016" s="6">
        <v>393.75</v>
      </c>
      <c r="C8016" s="6">
        <v>20.478950000000001</v>
      </c>
      <c r="D8016" s="6">
        <v>65</v>
      </c>
      <c r="E8016" s="6">
        <v>0</v>
      </c>
      <c r="F8016" s="6">
        <v>0</v>
      </c>
      <c r="G8016" s="6">
        <v>9</v>
      </c>
      <c r="H8016" s="6" t="s">
        <v>41670</v>
      </c>
      <c r="I8016" s="6">
        <v>526.6875</v>
      </c>
      <c r="J8016" s="2">
        <f t="shared" si="125"/>
        <v>43749.05418190972</v>
      </c>
    </row>
    <row r="8017" spans="1:10" x14ac:dyDescent="0.25">
      <c r="A8017" s="7" t="s">
        <v>41671</v>
      </c>
      <c r="B8017" s="8">
        <v>393.75</v>
      </c>
      <c r="C8017" s="8">
        <v>20.478950000000001</v>
      </c>
      <c r="D8017" s="8">
        <v>67</v>
      </c>
      <c r="E8017" s="8">
        <v>0</v>
      </c>
      <c r="F8017" s="8">
        <v>0</v>
      </c>
      <c r="G8017" s="8">
        <v>9</v>
      </c>
      <c r="H8017" s="8" t="s">
        <v>41672</v>
      </c>
      <c r="I8017" s="8">
        <v>526.6875</v>
      </c>
      <c r="J8017" s="3">
        <f t="shared" si="125"/>
        <v>43749.054253020826</v>
      </c>
    </row>
    <row r="8018" spans="1:10" x14ac:dyDescent="0.25">
      <c r="A8018" s="5" t="s">
        <v>41673</v>
      </c>
      <c r="B8018" s="6">
        <v>393.75</v>
      </c>
      <c r="C8018" s="6">
        <v>20.478950000000001</v>
      </c>
      <c r="D8018" s="6">
        <v>66</v>
      </c>
      <c r="E8018" s="6">
        <v>0</v>
      </c>
      <c r="F8018" s="6">
        <v>0</v>
      </c>
      <c r="G8018" s="6">
        <v>4</v>
      </c>
      <c r="H8018" s="6" t="s">
        <v>41674</v>
      </c>
      <c r="I8018" s="6">
        <v>526.6875</v>
      </c>
      <c r="J8018" s="2">
        <f t="shared" si="125"/>
        <v>43749.054337696762</v>
      </c>
    </row>
    <row r="8019" spans="1:10" x14ac:dyDescent="0.25">
      <c r="A8019" s="7" t="s">
        <v>41675</v>
      </c>
      <c r="B8019" s="8">
        <v>393.75</v>
      </c>
      <c r="C8019" s="8">
        <v>20.478950000000001</v>
      </c>
      <c r="D8019" s="8">
        <v>66</v>
      </c>
      <c r="E8019" s="8">
        <v>0</v>
      </c>
      <c r="F8019" s="8">
        <v>0</v>
      </c>
      <c r="G8019" s="8">
        <v>7</v>
      </c>
      <c r="H8019" s="8" t="s">
        <v>41676</v>
      </c>
      <c r="I8019" s="8">
        <v>526.5</v>
      </c>
      <c r="J8019" s="3">
        <f t="shared" si="125"/>
        <v>43749.054407939817</v>
      </c>
    </row>
    <row r="8020" spans="1:10" x14ac:dyDescent="0.25">
      <c r="A8020" s="5" t="s">
        <v>41677</v>
      </c>
      <c r="B8020" s="6">
        <v>393.75</v>
      </c>
      <c r="C8020" s="6">
        <v>20.478950000000001</v>
      </c>
      <c r="D8020" s="6">
        <v>65</v>
      </c>
      <c r="E8020" s="6">
        <v>0</v>
      </c>
      <c r="F8020" s="6">
        <v>0</v>
      </c>
      <c r="G8020" s="6">
        <v>0</v>
      </c>
      <c r="H8020" s="6" t="s">
        <v>41678</v>
      </c>
      <c r="I8020" s="6">
        <v>526.6875</v>
      </c>
      <c r="J8020" s="2">
        <f t="shared" si="125"/>
        <v>43749.05447953703</v>
      </c>
    </row>
    <row r="8021" spans="1:10" x14ac:dyDescent="0.25">
      <c r="A8021" s="7" t="s">
        <v>41679</v>
      </c>
      <c r="B8021" s="8">
        <v>393.75</v>
      </c>
      <c r="C8021" s="8">
        <v>20.478950000000001</v>
      </c>
      <c r="D8021" s="8">
        <v>65</v>
      </c>
      <c r="E8021" s="8">
        <v>0</v>
      </c>
      <c r="F8021" s="8">
        <v>0</v>
      </c>
      <c r="G8021" s="8">
        <v>13</v>
      </c>
      <c r="H8021" s="8" t="s">
        <v>41680</v>
      </c>
      <c r="I8021" s="8">
        <v>526.6875</v>
      </c>
      <c r="J8021" s="3">
        <f t="shared" si="125"/>
        <v>43749.054551400455</v>
      </c>
    </row>
    <row r="8022" spans="1:10" x14ac:dyDescent="0.25">
      <c r="A8022" s="5" t="s">
        <v>41681</v>
      </c>
      <c r="B8022" s="6">
        <v>418.75</v>
      </c>
      <c r="C8022" s="6">
        <v>20.478950000000001</v>
      </c>
      <c r="D8022" s="6">
        <v>67</v>
      </c>
      <c r="E8022" s="6">
        <v>0</v>
      </c>
      <c r="F8022" s="6">
        <v>0</v>
      </c>
      <c r="G8022" s="6">
        <v>4</v>
      </c>
      <c r="H8022" s="6" t="s">
        <v>41682</v>
      </c>
      <c r="I8022" s="6">
        <v>534</v>
      </c>
      <c r="J8022" s="2">
        <f t="shared" si="125"/>
        <v>43749.054622708332</v>
      </c>
    </row>
    <row r="8023" spans="1:10" x14ac:dyDescent="0.25">
      <c r="A8023" s="7" t="s">
        <v>41683</v>
      </c>
      <c r="B8023" s="8">
        <v>393.75</v>
      </c>
      <c r="C8023" s="8">
        <v>20.478950000000001</v>
      </c>
      <c r="D8023" s="8">
        <v>67</v>
      </c>
      <c r="E8023" s="8">
        <v>0</v>
      </c>
      <c r="F8023" s="8">
        <v>0</v>
      </c>
      <c r="G8023" s="8">
        <v>13</v>
      </c>
      <c r="H8023" s="8" t="s">
        <v>41684</v>
      </c>
      <c r="I8023" s="8">
        <v>526.6875</v>
      </c>
      <c r="J8023" s="3">
        <f t="shared" si="125"/>
        <v>43749.054694988423</v>
      </c>
    </row>
    <row r="8024" spans="1:10" x14ac:dyDescent="0.25">
      <c r="A8024" s="5" t="s">
        <v>41685</v>
      </c>
      <c r="B8024" s="6">
        <v>393.75</v>
      </c>
      <c r="C8024" s="6">
        <v>20.478950000000001</v>
      </c>
      <c r="D8024" s="6">
        <v>67</v>
      </c>
      <c r="E8024" s="6">
        <v>0</v>
      </c>
      <c r="F8024" s="6">
        <v>0</v>
      </c>
      <c r="G8024" s="6">
        <v>9</v>
      </c>
      <c r="H8024" s="6" t="s">
        <v>41686</v>
      </c>
      <c r="I8024" s="6">
        <v>526.6875</v>
      </c>
      <c r="J8024" s="2">
        <f t="shared" si="125"/>
        <v>43749.054766215275</v>
      </c>
    </row>
    <row r="8025" spans="1:10" x14ac:dyDescent="0.25">
      <c r="A8025" s="7" t="s">
        <v>41687</v>
      </c>
      <c r="B8025" s="8">
        <v>393.75</v>
      </c>
      <c r="C8025" s="8">
        <v>20.478950000000001</v>
      </c>
      <c r="D8025" s="8">
        <v>64</v>
      </c>
      <c r="E8025" s="8">
        <v>0</v>
      </c>
      <c r="F8025" s="8">
        <v>0</v>
      </c>
      <c r="G8025" s="8">
        <v>9</v>
      </c>
      <c r="H8025" s="8" t="s">
        <v>41688</v>
      </c>
      <c r="I8025" s="8">
        <v>526.5</v>
      </c>
      <c r="J8025" s="3">
        <f t="shared" si="125"/>
        <v>43749.054837523145</v>
      </c>
    </row>
    <row r="8026" spans="1:10" x14ac:dyDescent="0.25">
      <c r="A8026" s="5" t="s">
        <v>41689</v>
      </c>
      <c r="B8026" s="6">
        <v>393.75</v>
      </c>
      <c r="C8026" s="6">
        <v>20.478950000000001</v>
      </c>
      <c r="D8026" s="6">
        <v>63</v>
      </c>
      <c r="E8026" s="6">
        <v>0</v>
      </c>
      <c r="F8026" s="6">
        <v>0</v>
      </c>
      <c r="G8026" s="6">
        <v>12</v>
      </c>
      <c r="H8026" s="6" t="s">
        <v>41690</v>
      </c>
      <c r="I8026" s="6">
        <v>526.6875</v>
      </c>
      <c r="J8026" s="2">
        <f t="shared" si="125"/>
        <v>43749.054909525461</v>
      </c>
    </row>
    <row r="8027" spans="1:10" x14ac:dyDescent="0.25">
      <c r="A8027" s="7" t="s">
        <v>41691</v>
      </c>
      <c r="B8027" s="8">
        <v>393.75</v>
      </c>
      <c r="C8027" s="8">
        <v>20.478950000000001</v>
      </c>
      <c r="D8027" s="8">
        <v>64</v>
      </c>
      <c r="E8027" s="8">
        <v>0</v>
      </c>
      <c r="F8027" s="8">
        <v>0</v>
      </c>
      <c r="G8027" s="8">
        <v>2</v>
      </c>
      <c r="H8027" s="8" t="s">
        <v>41692</v>
      </c>
      <c r="I8027" s="8">
        <v>526.6875</v>
      </c>
      <c r="J8027" s="3">
        <f t="shared" si="125"/>
        <v>43749.054981030094</v>
      </c>
    </row>
    <row r="8028" spans="1:10" x14ac:dyDescent="0.25">
      <c r="A8028" s="5" t="s">
        <v>41693</v>
      </c>
      <c r="B8028" s="6">
        <v>393.75</v>
      </c>
      <c r="C8028" s="6">
        <v>20.478950000000001</v>
      </c>
      <c r="D8028" s="6">
        <v>64</v>
      </c>
      <c r="E8028" s="6">
        <v>0</v>
      </c>
      <c r="F8028" s="6">
        <v>0</v>
      </c>
      <c r="G8028" s="6">
        <v>8</v>
      </c>
      <c r="H8028" s="6" t="s">
        <v>41694</v>
      </c>
      <c r="I8028" s="6">
        <v>526.6875</v>
      </c>
      <c r="J8028" s="2">
        <f t="shared" si="125"/>
        <v>43749.055052326388</v>
      </c>
    </row>
    <row r="8029" spans="1:10" x14ac:dyDescent="0.25">
      <c r="A8029" s="7" t="s">
        <v>41695</v>
      </c>
      <c r="B8029" s="8">
        <v>393.75</v>
      </c>
      <c r="C8029" s="8">
        <v>20.478950000000001</v>
      </c>
      <c r="D8029" s="8">
        <v>63</v>
      </c>
      <c r="E8029" s="8">
        <v>0</v>
      </c>
      <c r="F8029" s="8">
        <v>0</v>
      </c>
      <c r="G8029" s="8">
        <v>14</v>
      </c>
      <c r="H8029" s="8" t="s">
        <v>41696</v>
      </c>
      <c r="I8029" s="8">
        <v>526.5</v>
      </c>
      <c r="J8029" s="3">
        <f t="shared" si="125"/>
        <v>43749.055123657403</v>
      </c>
    </row>
    <row r="8030" spans="1:10" x14ac:dyDescent="0.25">
      <c r="A8030" s="5" t="s">
        <v>41697</v>
      </c>
      <c r="B8030" s="6">
        <v>412.5</v>
      </c>
      <c r="C8030" s="6">
        <v>20.478950000000001</v>
      </c>
      <c r="D8030" s="6">
        <v>65</v>
      </c>
      <c r="E8030" s="6">
        <v>0</v>
      </c>
      <c r="F8030" s="6">
        <v>0</v>
      </c>
      <c r="G8030" s="6">
        <v>6</v>
      </c>
      <c r="H8030" s="6" t="s">
        <v>41698</v>
      </c>
      <c r="I8030" s="6">
        <v>532.3125</v>
      </c>
      <c r="J8030" s="2">
        <f t="shared" si="125"/>
        <v>43749.055207083329</v>
      </c>
    </row>
    <row r="8031" spans="1:10" x14ac:dyDescent="0.25">
      <c r="A8031" s="7" t="s">
        <v>41699</v>
      </c>
      <c r="B8031" s="8">
        <v>393.75</v>
      </c>
      <c r="C8031" s="8">
        <v>20.478950000000001</v>
      </c>
      <c r="D8031" s="8">
        <v>65</v>
      </c>
      <c r="E8031" s="8">
        <v>0</v>
      </c>
      <c r="F8031" s="8">
        <v>0</v>
      </c>
      <c r="G8031" s="8">
        <v>10</v>
      </c>
      <c r="H8031" s="8" t="s">
        <v>41700</v>
      </c>
      <c r="I8031" s="8">
        <v>526.6875</v>
      </c>
      <c r="J8031" s="3">
        <f t="shared" si="125"/>
        <v>43749.055278310181</v>
      </c>
    </row>
    <row r="8032" spans="1:10" x14ac:dyDescent="0.25">
      <c r="A8032" s="5" t="s">
        <v>41701</v>
      </c>
      <c r="B8032" s="6">
        <v>393.75</v>
      </c>
      <c r="C8032" s="6">
        <v>20.426300000000001</v>
      </c>
      <c r="D8032" s="6">
        <v>63</v>
      </c>
      <c r="E8032" s="6">
        <v>0</v>
      </c>
      <c r="F8032" s="6">
        <v>0</v>
      </c>
      <c r="G8032" s="6">
        <v>0</v>
      </c>
      <c r="H8032" s="6" t="s">
        <v>41702</v>
      </c>
      <c r="I8032" s="6">
        <v>526.6875</v>
      </c>
      <c r="J8032" s="2">
        <f t="shared" si="125"/>
        <v>43749.055350486109</v>
      </c>
    </row>
    <row r="8033" spans="1:10" x14ac:dyDescent="0.25">
      <c r="A8033" s="7" t="s">
        <v>41703</v>
      </c>
      <c r="B8033" s="8">
        <v>393.75</v>
      </c>
      <c r="C8033" s="8">
        <v>20.478950000000001</v>
      </c>
      <c r="D8033" s="8">
        <v>64</v>
      </c>
      <c r="E8033" s="8">
        <v>0</v>
      </c>
      <c r="F8033" s="8">
        <v>0</v>
      </c>
      <c r="G8033" s="8">
        <v>12</v>
      </c>
      <c r="H8033" s="8" t="s">
        <v>41704</v>
      </c>
      <c r="I8033" s="8">
        <v>526.6875</v>
      </c>
      <c r="J8033" s="3">
        <f t="shared" si="125"/>
        <v>43749.055421782403</v>
      </c>
    </row>
    <row r="8034" spans="1:10" x14ac:dyDescent="0.25">
      <c r="A8034" s="5" t="s">
        <v>41705</v>
      </c>
      <c r="B8034" s="6">
        <v>421.875</v>
      </c>
      <c r="C8034" s="6">
        <v>20.478950000000001</v>
      </c>
      <c r="D8034" s="6">
        <v>65</v>
      </c>
      <c r="E8034" s="6">
        <v>0</v>
      </c>
      <c r="F8034" s="6">
        <v>0</v>
      </c>
      <c r="G8034" s="6">
        <v>11</v>
      </c>
      <c r="H8034" s="6" t="s">
        <v>41706</v>
      </c>
      <c r="I8034" s="6">
        <v>535.3125</v>
      </c>
      <c r="J8034" s="2">
        <f t="shared" si="125"/>
        <v>43749.055493993052</v>
      </c>
    </row>
    <row r="8035" spans="1:10" x14ac:dyDescent="0.25">
      <c r="A8035" s="7" t="s">
        <v>41707</v>
      </c>
      <c r="B8035" s="8">
        <v>393.75</v>
      </c>
      <c r="C8035" s="8">
        <v>20.478950000000001</v>
      </c>
      <c r="D8035" s="8">
        <v>65</v>
      </c>
      <c r="E8035" s="8">
        <v>0</v>
      </c>
      <c r="F8035" s="8">
        <v>0</v>
      </c>
      <c r="G8035" s="8">
        <v>18</v>
      </c>
      <c r="H8035" s="8" t="s">
        <v>41708</v>
      </c>
      <c r="I8035" s="8">
        <v>526.5</v>
      </c>
      <c r="J8035" s="3">
        <f t="shared" si="125"/>
        <v>43749.055565289345</v>
      </c>
    </row>
    <row r="8036" spans="1:10" x14ac:dyDescent="0.25">
      <c r="A8036" s="5" t="s">
        <v>41709</v>
      </c>
      <c r="B8036" s="6">
        <v>393.75</v>
      </c>
      <c r="C8036" s="6">
        <v>20.478950000000001</v>
      </c>
      <c r="D8036" s="6">
        <v>69</v>
      </c>
      <c r="E8036" s="6">
        <v>0</v>
      </c>
      <c r="F8036" s="6">
        <v>0</v>
      </c>
      <c r="G8036" s="6">
        <v>2</v>
      </c>
      <c r="H8036" s="6" t="s">
        <v>41710</v>
      </c>
      <c r="I8036" s="6">
        <v>526.6875</v>
      </c>
      <c r="J8036" s="2">
        <f t="shared" si="125"/>
        <v>43749.055636597222</v>
      </c>
    </row>
    <row r="8037" spans="1:10" x14ac:dyDescent="0.25">
      <c r="A8037" s="7" t="s">
        <v>41711</v>
      </c>
      <c r="B8037" s="8">
        <v>393.75</v>
      </c>
      <c r="C8037" s="8">
        <v>20.478950000000001</v>
      </c>
      <c r="D8037" s="8">
        <v>67</v>
      </c>
      <c r="E8037" s="8">
        <v>0</v>
      </c>
      <c r="F8037" s="8">
        <v>0</v>
      </c>
      <c r="G8037" s="8">
        <v>8</v>
      </c>
      <c r="H8037" s="8" t="s">
        <v>41712</v>
      </c>
      <c r="I8037" s="8">
        <v>526.6875</v>
      </c>
      <c r="J8037" s="3">
        <f t="shared" si="125"/>
        <v>43749.055719907403</v>
      </c>
    </row>
    <row r="8038" spans="1:10" x14ac:dyDescent="0.25">
      <c r="A8038" s="5" t="s">
        <v>41713</v>
      </c>
      <c r="B8038" s="6">
        <v>393.75</v>
      </c>
      <c r="C8038" s="6">
        <v>20.478950000000001</v>
      </c>
      <c r="D8038" s="6">
        <v>66</v>
      </c>
      <c r="E8038" s="6">
        <v>0</v>
      </c>
      <c r="F8038" s="6">
        <v>0</v>
      </c>
      <c r="G8038" s="6">
        <v>6</v>
      </c>
      <c r="H8038" s="6" t="s">
        <v>41714</v>
      </c>
      <c r="I8038" s="6">
        <v>526.6875</v>
      </c>
      <c r="J8038" s="2">
        <f t="shared" si="125"/>
        <v>43749.055791990737</v>
      </c>
    </row>
    <row r="8039" spans="1:10" x14ac:dyDescent="0.25">
      <c r="A8039" s="7" t="s">
        <v>41715</v>
      </c>
      <c r="B8039" s="8">
        <v>393.75</v>
      </c>
      <c r="C8039" s="8">
        <v>20.478950000000001</v>
      </c>
      <c r="D8039" s="8">
        <v>65</v>
      </c>
      <c r="E8039" s="8">
        <v>0</v>
      </c>
      <c r="F8039" s="8">
        <v>0</v>
      </c>
      <c r="G8039" s="8">
        <v>8</v>
      </c>
      <c r="H8039" s="8" t="s">
        <v>41716</v>
      </c>
      <c r="I8039" s="8">
        <v>526.6875</v>
      </c>
      <c r="J8039" s="3">
        <f t="shared" si="125"/>
        <v>43749.055863472218</v>
      </c>
    </row>
    <row r="8040" spans="1:10" x14ac:dyDescent="0.25">
      <c r="A8040" s="5" t="s">
        <v>41717</v>
      </c>
      <c r="B8040" s="6">
        <v>393.75</v>
      </c>
      <c r="C8040" s="6">
        <v>20.478950000000001</v>
      </c>
      <c r="D8040" s="6">
        <v>64</v>
      </c>
      <c r="E8040" s="6">
        <v>0</v>
      </c>
      <c r="F8040" s="6">
        <v>0</v>
      </c>
      <c r="G8040" s="6">
        <v>1</v>
      </c>
      <c r="H8040" s="6" t="s">
        <v>41718</v>
      </c>
      <c r="I8040" s="6">
        <v>526.6875</v>
      </c>
      <c r="J8040" s="2">
        <f t="shared" si="125"/>
        <v>43749.055934756943</v>
      </c>
    </row>
    <row r="8041" spans="1:10" x14ac:dyDescent="0.25">
      <c r="A8041" s="7" t="s">
        <v>41719</v>
      </c>
      <c r="B8041" s="8">
        <v>393.75</v>
      </c>
      <c r="C8041" s="8">
        <v>20.478950000000001</v>
      </c>
      <c r="D8041" s="8">
        <v>64</v>
      </c>
      <c r="E8041" s="8">
        <v>0</v>
      </c>
      <c r="F8041" s="8">
        <v>0</v>
      </c>
      <c r="G8041" s="8">
        <v>16</v>
      </c>
      <c r="H8041" s="8" t="s">
        <v>41720</v>
      </c>
      <c r="I8041" s="8">
        <v>526.6875</v>
      </c>
      <c r="J8041" s="3">
        <f t="shared" si="125"/>
        <v>43749.056006041668</v>
      </c>
    </row>
    <row r="8042" spans="1:10" x14ac:dyDescent="0.25">
      <c r="A8042" s="5" t="s">
        <v>41721</v>
      </c>
      <c r="B8042" s="6">
        <v>412.5</v>
      </c>
      <c r="C8042" s="6">
        <v>20.478950000000001</v>
      </c>
      <c r="D8042" s="6">
        <v>65</v>
      </c>
      <c r="E8042" s="6">
        <v>0</v>
      </c>
      <c r="F8042" s="6">
        <v>0</v>
      </c>
      <c r="G8042" s="6">
        <v>7</v>
      </c>
      <c r="H8042" s="6" t="s">
        <v>41722</v>
      </c>
      <c r="I8042" s="6">
        <v>532.3125</v>
      </c>
      <c r="J8042" s="2">
        <f t="shared" si="125"/>
        <v>43749.056078194444</v>
      </c>
    </row>
    <row r="8043" spans="1:10" x14ac:dyDescent="0.25">
      <c r="A8043" s="7" t="s">
        <v>41723</v>
      </c>
      <c r="B8043" s="8">
        <v>393.75</v>
      </c>
      <c r="C8043" s="8">
        <v>20.478950000000001</v>
      </c>
      <c r="D8043" s="8">
        <v>64</v>
      </c>
      <c r="E8043" s="8">
        <v>0</v>
      </c>
      <c r="F8043" s="8">
        <v>0</v>
      </c>
      <c r="G8043" s="8">
        <v>13</v>
      </c>
      <c r="H8043" s="8" t="s">
        <v>41724</v>
      </c>
      <c r="I8043" s="8">
        <v>526.5</v>
      </c>
      <c r="J8043" s="3">
        <f t="shared" si="125"/>
        <v>43749.056149317126</v>
      </c>
    </row>
    <row r="8044" spans="1:10" x14ac:dyDescent="0.25">
      <c r="A8044" s="5" t="s">
        <v>41725</v>
      </c>
      <c r="B8044" s="6">
        <v>393.75</v>
      </c>
      <c r="C8044" s="6">
        <v>20.478950000000001</v>
      </c>
      <c r="D8044" s="6">
        <v>63</v>
      </c>
      <c r="E8044" s="6">
        <v>0</v>
      </c>
      <c r="F8044" s="6">
        <v>0</v>
      </c>
      <c r="G8044" s="6">
        <v>8</v>
      </c>
      <c r="H8044" s="6" t="s">
        <v>41726</v>
      </c>
      <c r="I8044" s="6">
        <v>526.5</v>
      </c>
      <c r="J8044" s="2">
        <f t="shared" si="125"/>
        <v>43749.056232893512</v>
      </c>
    </row>
    <row r="8045" spans="1:10" x14ac:dyDescent="0.25">
      <c r="A8045" s="7" t="s">
        <v>41727</v>
      </c>
      <c r="B8045" s="8">
        <v>393.75</v>
      </c>
      <c r="C8045" s="8">
        <v>20.478950000000001</v>
      </c>
      <c r="D8045" s="8">
        <v>63</v>
      </c>
      <c r="E8045" s="8">
        <v>0</v>
      </c>
      <c r="F8045" s="8">
        <v>0</v>
      </c>
      <c r="G8045" s="8">
        <v>6</v>
      </c>
      <c r="H8045" s="8" t="s">
        <v>41728</v>
      </c>
      <c r="I8045" s="8">
        <v>526.6875</v>
      </c>
      <c r="J8045" s="3">
        <f t="shared" si="125"/>
        <v>43749.056304189813</v>
      </c>
    </row>
    <row r="8046" spans="1:10" x14ac:dyDescent="0.25">
      <c r="A8046" s="5" t="s">
        <v>41729</v>
      </c>
      <c r="B8046" s="6">
        <v>393.75</v>
      </c>
      <c r="C8046" s="6">
        <v>20.478950000000001</v>
      </c>
      <c r="D8046" s="6">
        <v>63</v>
      </c>
      <c r="E8046" s="6">
        <v>0</v>
      </c>
      <c r="F8046" s="6">
        <v>0</v>
      </c>
      <c r="G8046" s="6">
        <v>12</v>
      </c>
      <c r="H8046" s="6" t="s">
        <v>41730</v>
      </c>
      <c r="I8046" s="6">
        <v>526.6875</v>
      </c>
      <c r="J8046" s="2">
        <f t="shared" si="125"/>
        <v>43749.056376400462</v>
      </c>
    </row>
    <row r="8047" spans="1:10" x14ac:dyDescent="0.25">
      <c r="A8047" s="7" t="s">
        <v>41731</v>
      </c>
      <c r="B8047" s="8">
        <v>393.75</v>
      </c>
      <c r="C8047" s="8">
        <v>20.478950000000001</v>
      </c>
      <c r="D8047" s="8">
        <v>64</v>
      </c>
      <c r="E8047" s="8">
        <v>0</v>
      </c>
      <c r="F8047" s="8">
        <v>0</v>
      </c>
      <c r="G8047" s="8">
        <v>15</v>
      </c>
      <c r="H8047" s="8" t="s">
        <v>41732</v>
      </c>
      <c r="I8047" s="8">
        <v>526.5</v>
      </c>
      <c r="J8047" s="3">
        <f t="shared" si="125"/>
        <v>43749.05644768518</v>
      </c>
    </row>
    <row r="8048" spans="1:10" x14ac:dyDescent="0.25">
      <c r="A8048" s="5" t="s">
        <v>41733</v>
      </c>
      <c r="B8048" s="6">
        <v>393.75</v>
      </c>
      <c r="C8048" s="6">
        <v>20.478950000000001</v>
      </c>
      <c r="D8048" s="6">
        <v>65</v>
      </c>
      <c r="E8048" s="6">
        <v>0</v>
      </c>
      <c r="F8048" s="6">
        <v>0</v>
      </c>
      <c r="G8048" s="6">
        <v>3</v>
      </c>
      <c r="H8048" s="6" t="s">
        <v>41734</v>
      </c>
      <c r="I8048" s="6">
        <v>526.6875</v>
      </c>
      <c r="J8048" s="2">
        <f t="shared" si="125"/>
        <v>43749.056519004625</v>
      </c>
    </row>
    <row r="8049" spans="1:10" x14ac:dyDescent="0.25">
      <c r="A8049" s="7" t="s">
        <v>41735</v>
      </c>
      <c r="B8049" s="8">
        <v>393.75</v>
      </c>
      <c r="C8049" s="8">
        <v>20.478950000000001</v>
      </c>
      <c r="D8049" s="8">
        <v>65</v>
      </c>
      <c r="E8049" s="8">
        <v>0</v>
      </c>
      <c r="F8049" s="8">
        <v>0</v>
      </c>
      <c r="G8049" s="8">
        <v>9</v>
      </c>
      <c r="H8049" s="8" t="s">
        <v>41736</v>
      </c>
      <c r="I8049" s="8">
        <v>526.6875</v>
      </c>
      <c r="J8049" s="3">
        <f t="shared" si="125"/>
        <v>43749.056590358792</v>
      </c>
    </row>
    <row r="8050" spans="1:10" x14ac:dyDescent="0.25">
      <c r="A8050" s="5" t="s">
        <v>41737</v>
      </c>
      <c r="B8050" s="6">
        <v>393.75</v>
      </c>
      <c r="C8050" s="6">
        <v>20.478950000000001</v>
      </c>
      <c r="D8050" s="6">
        <v>65</v>
      </c>
      <c r="E8050" s="6">
        <v>0</v>
      </c>
      <c r="F8050" s="6">
        <v>0</v>
      </c>
      <c r="G8050" s="6">
        <v>3</v>
      </c>
      <c r="H8050" s="6" t="s">
        <v>41738</v>
      </c>
      <c r="I8050" s="6">
        <v>526.6875</v>
      </c>
      <c r="J8050" s="2">
        <f t="shared" si="125"/>
        <v>43749.056674502317</v>
      </c>
    </row>
    <row r="8051" spans="1:10" x14ac:dyDescent="0.25">
      <c r="A8051" s="7" t="s">
        <v>41739</v>
      </c>
      <c r="B8051" s="8">
        <v>393.75</v>
      </c>
      <c r="C8051" s="8">
        <v>20.478950000000001</v>
      </c>
      <c r="D8051" s="8">
        <v>64</v>
      </c>
      <c r="E8051" s="8">
        <v>0</v>
      </c>
      <c r="F8051" s="8">
        <v>0</v>
      </c>
      <c r="G8051" s="8">
        <v>6</v>
      </c>
      <c r="H8051" s="8" t="s">
        <v>41740</v>
      </c>
      <c r="I8051" s="8">
        <v>526.6875</v>
      </c>
      <c r="J8051" s="3">
        <f t="shared" si="125"/>
        <v>43749.056745439811</v>
      </c>
    </row>
    <row r="8052" spans="1:10" x14ac:dyDescent="0.25">
      <c r="A8052" s="5" t="s">
        <v>41741</v>
      </c>
      <c r="B8052" s="6">
        <v>393.75</v>
      </c>
      <c r="C8052" s="6">
        <v>20.478950000000001</v>
      </c>
      <c r="D8052" s="6">
        <v>64</v>
      </c>
      <c r="E8052" s="6">
        <v>0</v>
      </c>
      <c r="F8052" s="6">
        <v>0</v>
      </c>
      <c r="G8052" s="6">
        <v>14</v>
      </c>
      <c r="H8052" s="6" t="s">
        <v>41742</v>
      </c>
      <c r="I8052" s="6">
        <v>526.6875</v>
      </c>
      <c r="J8052" s="2">
        <f t="shared" si="125"/>
        <v>43749.056841261576</v>
      </c>
    </row>
    <row r="8053" spans="1:10" x14ac:dyDescent="0.25">
      <c r="A8053" s="7" t="s">
        <v>41743</v>
      </c>
      <c r="B8053" s="8">
        <v>393.75</v>
      </c>
      <c r="C8053" s="8">
        <v>20.478950000000001</v>
      </c>
      <c r="D8053" s="8">
        <v>63</v>
      </c>
      <c r="E8053" s="8">
        <v>0</v>
      </c>
      <c r="F8053" s="8">
        <v>0</v>
      </c>
      <c r="G8053" s="8">
        <v>11</v>
      </c>
      <c r="H8053" s="8" t="s">
        <v>41744</v>
      </c>
      <c r="I8053" s="8">
        <v>526.5</v>
      </c>
      <c r="J8053" s="3">
        <f t="shared" si="125"/>
        <v>43749.056912534717</v>
      </c>
    </row>
    <row r="8054" spans="1:10" x14ac:dyDescent="0.25">
      <c r="A8054" s="5" t="s">
        <v>41745</v>
      </c>
      <c r="B8054" s="6">
        <v>393.75</v>
      </c>
      <c r="C8054" s="6">
        <v>20.478950000000001</v>
      </c>
      <c r="D8054" s="6">
        <v>63</v>
      </c>
      <c r="E8054" s="6">
        <v>0</v>
      </c>
      <c r="F8054" s="6">
        <v>0</v>
      </c>
      <c r="G8054" s="6">
        <v>10</v>
      </c>
      <c r="H8054" s="6" t="s">
        <v>41746</v>
      </c>
      <c r="I8054" s="6">
        <v>526.5</v>
      </c>
      <c r="J8054" s="2">
        <f t="shared" si="125"/>
        <v>43749.056984016199</v>
      </c>
    </row>
    <row r="8055" spans="1:10" x14ac:dyDescent="0.25">
      <c r="A8055" s="7" t="s">
        <v>41747</v>
      </c>
      <c r="B8055" s="8">
        <v>393.75</v>
      </c>
      <c r="C8055" s="8">
        <v>20.478950000000001</v>
      </c>
      <c r="D8055" s="8">
        <v>63</v>
      </c>
      <c r="E8055" s="8">
        <v>0</v>
      </c>
      <c r="F8055" s="8">
        <v>0</v>
      </c>
      <c r="G8055" s="8">
        <v>13</v>
      </c>
      <c r="H8055" s="8" t="s">
        <v>41748</v>
      </c>
      <c r="I8055" s="8">
        <v>526.6875</v>
      </c>
      <c r="J8055" s="3">
        <f t="shared" si="125"/>
        <v>43749.057056064812</v>
      </c>
    </row>
    <row r="8056" spans="1:10" x14ac:dyDescent="0.25">
      <c r="A8056" s="5" t="s">
        <v>41749</v>
      </c>
      <c r="B8056" s="6">
        <v>393.75</v>
      </c>
      <c r="C8056" s="6">
        <v>20.478950000000001</v>
      </c>
      <c r="D8056" s="6">
        <v>62</v>
      </c>
      <c r="E8056" s="6">
        <v>0</v>
      </c>
      <c r="F8056" s="6">
        <v>0</v>
      </c>
      <c r="G8056" s="6">
        <v>7</v>
      </c>
      <c r="H8056" s="6" t="s">
        <v>41750</v>
      </c>
      <c r="I8056" s="6">
        <v>526.6875</v>
      </c>
      <c r="J8056" s="2">
        <f t="shared" si="125"/>
        <v>43749.057127118052</v>
      </c>
    </row>
    <row r="8057" spans="1:10" x14ac:dyDescent="0.25">
      <c r="A8057" s="7" t="s">
        <v>41751</v>
      </c>
      <c r="B8057" s="8">
        <v>393.75</v>
      </c>
      <c r="C8057" s="8">
        <v>20.478950000000001</v>
      </c>
      <c r="D8057" s="8">
        <v>63</v>
      </c>
      <c r="E8057" s="8">
        <v>0</v>
      </c>
      <c r="F8057" s="8">
        <v>0</v>
      </c>
      <c r="G8057" s="8">
        <v>13</v>
      </c>
      <c r="H8057" s="8" t="s">
        <v>41752</v>
      </c>
      <c r="I8057" s="8">
        <v>526.6875</v>
      </c>
      <c r="J8057" s="3">
        <f t="shared" si="125"/>
        <v>43749.057198645831</v>
      </c>
    </row>
    <row r="8058" spans="1:10" x14ac:dyDescent="0.25">
      <c r="A8058" s="5" t="s">
        <v>41753</v>
      </c>
      <c r="B8058" s="6">
        <v>393.75</v>
      </c>
      <c r="C8058" s="6">
        <v>20.478950000000001</v>
      </c>
      <c r="D8058" s="6">
        <v>63</v>
      </c>
      <c r="E8058" s="6">
        <v>0</v>
      </c>
      <c r="F8058" s="6">
        <v>0</v>
      </c>
      <c r="G8058" s="6">
        <v>11</v>
      </c>
      <c r="H8058" s="6" t="s">
        <v>41754</v>
      </c>
      <c r="I8058" s="6">
        <v>526.6875</v>
      </c>
      <c r="J8058" s="2">
        <f t="shared" si="125"/>
        <v>43749.057270636571</v>
      </c>
    </row>
    <row r="8059" spans="1:10" x14ac:dyDescent="0.25">
      <c r="A8059" s="7" t="s">
        <v>41755</v>
      </c>
      <c r="B8059" s="8">
        <v>393.75</v>
      </c>
      <c r="C8059" s="8">
        <v>20.478950000000001</v>
      </c>
      <c r="D8059" s="8">
        <v>63</v>
      </c>
      <c r="E8059" s="8">
        <v>0</v>
      </c>
      <c r="F8059" s="8">
        <v>0</v>
      </c>
      <c r="G8059" s="8">
        <v>7</v>
      </c>
      <c r="H8059" s="8" t="s">
        <v>41756</v>
      </c>
      <c r="I8059" s="8">
        <v>526.6875</v>
      </c>
      <c r="J8059" s="3">
        <f t="shared" si="125"/>
        <v>43749.057342187494</v>
      </c>
    </row>
    <row r="8060" spans="1:10" x14ac:dyDescent="0.25">
      <c r="A8060" s="5" t="s">
        <v>41757</v>
      </c>
      <c r="B8060" s="6">
        <v>415.625</v>
      </c>
      <c r="C8060" s="6">
        <v>20.478950000000001</v>
      </c>
      <c r="D8060" s="6">
        <v>62</v>
      </c>
      <c r="E8060" s="6">
        <v>0</v>
      </c>
      <c r="F8060" s="6">
        <v>0</v>
      </c>
      <c r="G8060" s="6">
        <v>5</v>
      </c>
      <c r="H8060" s="6" t="s">
        <v>41758</v>
      </c>
      <c r="I8060" s="6">
        <v>533.625</v>
      </c>
      <c r="J8060" s="2">
        <f t="shared" si="125"/>
        <v>43749.05741346065</v>
      </c>
    </row>
    <row r="8061" spans="1:10" x14ac:dyDescent="0.25">
      <c r="A8061" s="7" t="s">
        <v>41759</v>
      </c>
      <c r="B8061" s="8">
        <v>393.75</v>
      </c>
      <c r="C8061" s="8">
        <v>20.478950000000001</v>
      </c>
      <c r="D8061" s="8">
        <v>58</v>
      </c>
      <c r="E8061" s="8">
        <v>0</v>
      </c>
      <c r="F8061" s="8">
        <v>0</v>
      </c>
      <c r="G8061" s="8">
        <v>2</v>
      </c>
      <c r="H8061" s="8" t="s">
        <v>41760</v>
      </c>
      <c r="I8061" s="8">
        <v>526.6875</v>
      </c>
      <c r="J8061" s="3">
        <f t="shared" si="125"/>
        <v>43749.057484826386</v>
      </c>
    </row>
    <row r="8062" spans="1:10" x14ac:dyDescent="0.25">
      <c r="A8062" s="5" t="s">
        <v>41761</v>
      </c>
      <c r="B8062" s="6">
        <v>393.75</v>
      </c>
      <c r="C8062" s="6">
        <v>20.478950000000001</v>
      </c>
      <c r="D8062" s="6">
        <v>59</v>
      </c>
      <c r="E8062" s="6">
        <v>0</v>
      </c>
      <c r="F8062" s="6">
        <v>0</v>
      </c>
      <c r="G8062" s="6">
        <v>10</v>
      </c>
      <c r="H8062" s="6" t="s">
        <v>41762</v>
      </c>
      <c r="I8062" s="6">
        <v>526.6875</v>
      </c>
      <c r="J8062" s="2">
        <f t="shared" si="125"/>
        <v>43749.057556747684</v>
      </c>
    </row>
    <row r="8063" spans="1:10" x14ac:dyDescent="0.25">
      <c r="A8063" s="7" t="s">
        <v>41763</v>
      </c>
      <c r="B8063" s="8">
        <v>393.75</v>
      </c>
      <c r="C8063" s="8">
        <v>20.478950000000001</v>
      </c>
      <c r="D8063" s="8">
        <v>59</v>
      </c>
      <c r="E8063" s="8">
        <v>0</v>
      </c>
      <c r="F8063" s="8">
        <v>0</v>
      </c>
      <c r="G8063" s="8">
        <v>4</v>
      </c>
      <c r="H8063" s="8" t="s">
        <v>41764</v>
      </c>
      <c r="I8063" s="8">
        <v>526.6875</v>
      </c>
      <c r="J8063" s="3">
        <f t="shared" si="125"/>
        <v>43749.057628287039</v>
      </c>
    </row>
    <row r="8064" spans="1:10" x14ac:dyDescent="0.25">
      <c r="A8064" s="5" t="s">
        <v>41765</v>
      </c>
      <c r="B8064" s="6">
        <v>393.75</v>
      </c>
      <c r="C8064" s="6">
        <v>20.478950000000001</v>
      </c>
      <c r="D8064" s="6">
        <v>61</v>
      </c>
      <c r="E8064" s="6">
        <v>0</v>
      </c>
      <c r="F8064" s="6">
        <v>0</v>
      </c>
      <c r="G8064" s="6">
        <v>0</v>
      </c>
      <c r="H8064" s="6" t="s">
        <v>41766</v>
      </c>
      <c r="I8064" s="6">
        <v>526.6875</v>
      </c>
      <c r="J8064" s="2">
        <f t="shared" si="125"/>
        <v>43749.05771163194</v>
      </c>
    </row>
    <row r="8065" spans="1:10" x14ac:dyDescent="0.25">
      <c r="A8065" s="7" t="s">
        <v>41767</v>
      </c>
      <c r="B8065" s="8">
        <v>393.75</v>
      </c>
      <c r="C8065" s="8">
        <v>20.478950000000001</v>
      </c>
      <c r="D8065" s="8">
        <v>62</v>
      </c>
      <c r="E8065" s="8">
        <v>0</v>
      </c>
      <c r="F8065" s="8">
        <v>0</v>
      </c>
      <c r="G8065" s="8">
        <v>12</v>
      </c>
      <c r="H8065" s="8" t="s">
        <v>41768</v>
      </c>
      <c r="I8065" s="8">
        <v>526.6875</v>
      </c>
      <c r="J8065" s="3">
        <f t="shared" si="125"/>
        <v>43749.057782928234</v>
      </c>
    </row>
    <row r="8066" spans="1:10" x14ac:dyDescent="0.25">
      <c r="A8066" s="5" t="s">
        <v>41769</v>
      </c>
      <c r="B8066" s="6">
        <v>393.75</v>
      </c>
      <c r="C8066" s="6">
        <v>20.478950000000001</v>
      </c>
      <c r="D8066" s="6">
        <v>61</v>
      </c>
      <c r="E8066" s="6">
        <v>0</v>
      </c>
      <c r="F8066" s="6">
        <v>0</v>
      </c>
      <c r="G8066" s="6">
        <v>6</v>
      </c>
      <c r="H8066" s="6" t="s">
        <v>41770</v>
      </c>
      <c r="I8066" s="6">
        <v>526.6875</v>
      </c>
      <c r="J8066" s="2">
        <f t="shared" ref="J8066:J8129" si="126">(H8066/86400000)+25569+(7/24)</f>
        <v>43749.057854513885</v>
      </c>
    </row>
    <row r="8067" spans="1:10" x14ac:dyDescent="0.25">
      <c r="A8067" s="7" t="s">
        <v>41771</v>
      </c>
      <c r="B8067" s="8">
        <v>393.75</v>
      </c>
      <c r="C8067" s="8">
        <v>20.478950000000001</v>
      </c>
      <c r="D8067" s="8">
        <v>61</v>
      </c>
      <c r="E8067" s="8">
        <v>0</v>
      </c>
      <c r="F8067" s="8">
        <v>0</v>
      </c>
      <c r="G8067" s="8">
        <v>11</v>
      </c>
      <c r="H8067" s="8" t="s">
        <v>41772</v>
      </c>
      <c r="I8067" s="8">
        <v>526.6875</v>
      </c>
      <c r="J8067" s="3">
        <f t="shared" si="126"/>
        <v>43749.057926099536</v>
      </c>
    </row>
    <row r="8068" spans="1:10" x14ac:dyDescent="0.25">
      <c r="A8068" s="5" t="s">
        <v>41773</v>
      </c>
      <c r="B8068" s="6">
        <v>412.5</v>
      </c>
      <c r="C8068" s="6">
        <v>20.478950000000001</v>
      </c>
      <c r="D8068" s="6">
        <v>60</v>
      </c>
      <c r="E8068" s="6">
        <v>0</v>
      </c>
      <c r="F8068" s="6">
        <v>0</v>
      </c>
      <c r="G8068" s="6">
        <v>15</v>
      </c>
      <c r="H8068" s="6" t="s">
        <v>41774</v>
      </c>
      <c r="I8068" s="6">
        <v>532.5</v>
      </c>
      <c r="J8068" s="2">
        <f t="shared" si="126"/>
        <v>43749.057997731477</v>
      </c>
    </row>
    <row r="8069" spans="1:10" x14ac:dyDescent="0.25">
      <c r="A8069" s="7" t="s">
        <v>41775</v>
      </c>
      <c r="B8069" s="8">
        <v>393.75</v>
      </c>
      <c r="C8069" s="8">
        <v>20.478950000000001</v>
      </c>
      <c r="D8069" s="8">
        <v>60</v>
      </c>
      <c r="E8069" s="8">
        <v>0</v>
      </c>
      <c r="F8069" s="8">
        <v>0</v>
      </c>
      <c r="G8069" s="8">
        <v>13</v>
      </c>
      <c r="H8069" s="8" t="s">
        <v>41776</v>
      </c>
      <c r="I8069" s="8">
        <v>526.6875</v>
      </c>
      <c r="J8069" s="3">
        <f t="shared" si="126"/>
        <v>43749.058082685187</v>
      </c>
    </row>
    <row r="8070" spans="1:10" x14ac:dyDescent="0.25">
      <c r="A8070" s="5" t="s">
        <v>41777</v>
      </c>
      <c r="B8070" s="6">
        <v>393.75</v>
      </c>
      <c r="C8070" s="6">
        <v>20.478950000000001</v>
      </c>
      <c r="D8070" s="6">
        <v>60</v>
      </c>
      <c r="E8070" s="6">
        <v>0</v>
      </c>
      <c r="F8070" s="6">
        <v>0</v>
      </c>
      <c r="G8070" s="6">
        <v>9</v>
      </c>
      <c r="H8070" s="6" t="s">
        <v>41778</v>
      </c>
      <c r="I8070" s="6">
        <v>526.6875</v>
      </c>
      <c r="J8070" s="2">
        <f t="shared" si="126"/>
        <v>43749.058152430553</v>
      </c>
    </row>
    <row r="8071" spans="1:10" x14ac:dyDescent="0.25">
      <c r="A8071" s="7" t="s">
        <v>41779</v>
      </c>
      <c r="B8071" s="8">
        <v>393.75</v>
      </c>
      <c r="C8071" s="8">
        <v>20.478950000000001</v>
      </c>
      <c r="D8071" s="8">
        <v>61</v>
      </c>
      <c r="E8071" s="8">
        <v>0</v>
      </c>
      <c r="F8071" s="8">
        <v>0</v>
      </c>
      <c r="G8071" s="8">
        <v>10</v>
      </c>
      <c r="H8071" s="8" t="s">
        <v>41780</v>
      </c>
      <c r="I8071" s="8">
        <v>526.6875</v>
      </c>
      <c r="J8071" s="3">
        <f t="shared" si="126"/>
        <v>43749.058224641201</v>
      </c>
    </row>
    <row r="8072" spans="1:10" x14ac:dyDescent="0.25">
      <c r="A8072" s="5" t="s">
        <v>41781</v>
      </c>
      <c r="B8072" s="6">
        <v>393.75</v>
      </c>
      <c r="C8072" s="6">
        <v>20.478950000000001</v>
      </c>
      <c r="D8072" s="6">
        <v>61</v>
      </c>
      <c r="E8072" s="6">
        <v>0</v>
      </c>
      <c r="F8072" s="6">
        <v>0</v>
      </c>
      <c r="G8072" s="6">
        <v>7</v>
      </c>
      <c r="H8072" s="6" t="s">
        <v>41782</v>
      </c>
      <c r="I8072" s="6">
        <v>526.6875</v>
      </c>
      <c r="J8072" s="2">
        <f t="shared" si="126"/>
        <v>43749.058303124999</v>
      </c>
    </row>
    <row r="8073" spans="1:10" x14ac:dyDescent="0.25">
      <c r="A8073" s="7" t="s">
        <v>41783</v>
      </c>
      <c r="B8073" s="8">
        <v>393.75</v>
      </c>
      <c r="C8073" s="8">
        <v>20.478950000000001</v>
      </c>
      <c r="D8073" s="8">
        <v>61</v>
      </c>
      <c r="E8073" s="8">
        <v>0</v>
      </c>
      <c r="F8073" s="8">
        <v>0</v>
      </c>
      <c r="G8073" s="8">
        <v>15</v>
      </c>
      <c r="H8073" s="8" t="s">
        <v>41784</v>
      </c>
      <c r="I8073" s="8">
        <v>526.6875</v>
      </c>
      <c r="J8073" s="3">
        <f t="shared" si="126"/>
        <v>43749.058379270828</v>
      </c>
    </row>
    <row r="8074" spans="1:10" x14ac:dyDescent="0.25">
      <c r="A8074" s="5" t="s">
        <v>41785</v>
      </c>
      <c r="B8074" s="6">
        <v>393.75</v>
      </c>
      <c r="C8074" s="6">
        <v>20.478950000000001</v>
      </c>
      <c r="D8074" s="6">
        <v>62</v>
      </c>
      <c r="E8074" s="6">
        <v>0</v>
      </c>
      <c r="F8074" s="6">
        <v>0</v>
      </c>
      <c r="G8074" s="6">
        <v>2</v>
      </c>
      <c r="H8074" s="6" t="s">
        <v>41786</v>
      </c>
      <c r="I8074" s="6">
        <v>526.6875</v>
      </c>
      <c r="J8074" s="2">
        <f t="shared" si="126"/>
        <v>43749.058451423603</v>
      </c>
    </row>
    <row r="8075" spans="1:10" x14ac:dyDescent="0.25">
      <c r="A8075" s="7" t="s">
        <v>41787</v>
      </c>
      <c r="B8075" s="8">
        <v>412.5</v>
      </c>
      <c r="C8075" s="8">
        <v>20.426300000000001</v>
      </c>
      <c r="D8075" s="8">
        <v>62</v>
      </c>
      <c r="E8075" s="8">
        <v>0</v>
      </c>
      <c r="F8075" s="8">
        <v>0</v>
      </c>
      <c r="G8075" s="8">
        <v>7</v>
      </c>
      <c r="H8075" s="8" t="s">
        <v>41788</v>
      </c>
      <c r="I8075" s="8">
        <v>532.3125</v>
      </c>
      <c r="J8075" s="3">
        <f t="shared" si="126"/>
        <v>43749.058522673608</v>
      </c>
    </row>
    <row r="8076" spans="1:10" x14ac:dyDescent="0.25">
      <c r="A8076" s="5" t="s">
        <v>41789</v>
      </c>
      <c r="B8076" s="6">
        <v>393.75</v>
      </c>
      <c r="C8076" s="6">
        <v>20.478950000000001</v>
      </c>
      <c r="D8076" s="6">
        <v>62</v>
      </c>
      <c r="E8076" s="6">
        <v>0</v>
      </c>
      <c r="F8076" s="6">
        <v>0</v>
      </c>
      <c r="G8076" s="6">
        <v>7</v>
      </c>
      <c r="H8076" s="6" t="s">
        <v>41790</v>
      </c>
      <c r="I8076" s="6">
        <v>526.6875</v>
      </c>
      <c r="J8076" s="2">
        <f t="shared" si="126"/>
        <v>43749.058606064813</v>
      </c>
    </row>
    <row r="8077" spans="1:10" x14ac:dyDescent="0.25">
      <c r="A8077" s="7" t="s">
        <v>41791</v>
      </c>
      <c r="B8077" s="8">
        <v>393.75</v>
      </c>
      <c r="C8077" s="8">
        <v>20.478950000000001</v>
      </c>
      <c r="D8077" s="8">
        <v>62</v>
      </c>
      <c r="E8077" s="8">
        <v>0</v>
      </c>
      <c r="F8077" s="8">
        <v>0</v>
      </c>
      <c r="G8077" s="8">
        <v>11</v>
      </c>
      <c r="H8077" s="8" t="s">
        <v>41792</v>
      </c>
      <c r="I8077" s="8">
        <v>526.6875</v>
      </c>
      <c r="J8077" s="3">
        <f t="shared" si="126"/>
        <v>43749.058677407404</v>
      </c>
    </row>
    <row r="8078" spans="1:10" x14ac:dyDescent="0.25">
      <c r="A8078" s="5" t="s">
        <v>41793</v>
      </c>
      <c r="B8078" s="6">
        <v>393.75</v>
      </c>
      <c r="C8078" s="6">
        <v>20.478950000000001</v>
      </c>
      <c r="D8078" s="6">
        <v>62</v>
      </c>
      <c r="E8078" s="6">
        <v>0</v>
      </c>
      <c r="F8078" s="6">
        <v>0</v>
      </c>
      <c r="G8078" s="6">
        <v>10</v>
      </c>
      <c r="H8078" s="6" t="s">
        <v>41794</v>
      </c>
      <c r="I8078" s="6">
        <v>526.5</v>
      </c>
      <c r="J8078" s="2">
        <f t="shared" si="126"/>
        <v>43749.058749583332</v>
      </c>
    </row>
    <row r="8079" spans="1:10" x14ac:dyDescent="0.25">
      <c r="A8079" s="7" t="s">
        <v>41795</v>
      </c>
      <c r="B8079" s="8">
        <v>393.75</v>
      </c>
      <c r="C8079" s="8">
        <v>20.478950000000001</v>
      </c>
      <c r="D8079" s="8">
        <v>62</v>
      </c>
      <c r="E8079" s="8">
        <v>0</v>
      </c>
      <c r="F8079" s="8">
        <v>0</v>
      </c>
      <c r="G8079" s="8">
        <v>12</v>
      </c>
      <c r="H8079" s="8" t="s">
        <v>41796</v>
      </c>
      <c r="I8079" s="8">
        <v>526.6875</v>
      </c>
      <c r="J8079" s="3">
        <f t="shared" si="126"/>
        <v>43749.058821678242</v>
      </c>
    </row>
    <row r="8080" spans="1:10" x14ac:dyDescent="0.25">
      <c r="A8080" s="5" t="s">
        <v>41797</v>
      </c>
      <c r="B8080" s="6">
        <v>393.75</v>
      </c>
      <c r="C8080" s="6">
        <v>20.478950000000001</v>
      </c>
      <c r="D8080" s="6">
        <v>61</v>
      </c>
      <c r="E8080" s="6">
        <v>0</v>
      </c>
      <c r="F8080" s="6">
        <v>0</v>
      </c>
      <c r="G8080" s="6">
        <v>2</v>
      </c>
      <c r="H8080" s="6" t="s">
        <v>41798</v>
      </c>
      <c r="I8080" s="6">
        <v>526.6875</v>
      </c>
      <c r="J8080" s="2">
        <f t="shared" si="126"/>
        <v>43749.058892210647</v>
      </c>
    </row>
    <row r="8081" spans="1:10" x14ac:dyDescent="0.25">
      <c r="A8081" s="7" t="s">
        <v>41799</v>
      </c>
      <c r="B8081" s="8">
        <v>393.75</v>
      </c>
      <c r="C8081" s="8">
        <v>20.478950000000001</v>
      </c>
      <c r="D8081" s="8">
        <v>61</v>
      </c>
      <c r="E8081" s="8">
        <v>0</v>
      </c>
      <c r="F8081" s="8">
        <v>0</v>
      </c>
      <c r="G8081" s="8">
        <v>3</v>
      </c>
      <c r="H8081" s="8" t="s">
        <v>41800</v>
      </c>
      <c r="I8081" s="8">
        <v>526.6875</v>
      </c>
      <c r="J8081" s="3">
        <f t="shared" si="126"/>
        <v>43749.058963692129</v>
      </c>
    </row>
    <row r="8082" spans="1:10" x14ac:dyDescent="0.25">
      <c r="A8082" s="5" t="s">
        <v>41801</v>
      </c>
      <c r="B8082" s="6">
        <v>393.75</v>
      </c>
      <c r="C8082" s="6">
        <v>20.478950000000001</v>
      </c>
      <c r="D8082" s="6">
        <v>61</v>
      </c>
      <c r="E8082" s="6">
        <v>0</v>
      </c>
      <c r="F8082" s="6">
        <v>0</v>
      </c>
      <c r="G8082" s="6">
        <v>2</v>
      </c>
      <c r="H8082" s="6" t="s">
        <v>41802</v>
      </c>
      <c r="I8082" s="6">
        <v>526.5</v>
      </c>
      <c r="J8082" s="2">
        <f t="shared" si="126"/>
        <v>43749.059035648148</v>
      </c>
    </row>
    <row r="8083" spans="1:10" x14ac:dyDescent="0.25">
      <c r="A8083" s="7" t="s">
        <v>41803</v>
      </c>
      <c r="B8083" s="8">
        <v>393.75</v>
      </c>
      <c r="C8083" s="8">
        <v>20.478950000000001</v>
      </c>
      <c r="D8083" s="8">
        <v>61</v>
      </c>
      <c r="E8083" s="8">
        <v>0</v>
      </c>
      <c r="F8083" s="8">
        <v>0</v>
      </c>
      <c r="G8083" s="8">
        <v>1</v>
      </c>
      <c r="H8083" s="8" t="s">
        <v>41804</v>
      </c>
      <c r="I8083" s="8">
        <v>526.6875</v>
      </c>
      <c r="J8083" s="3">
        <f t="shared" si="126"/>
        <v>43749.059106979163</v>
      </c>
    </row>
    <row r="8084" spans="1:10" x14ac:dyDescent="0.25">
      <c r="A8084" s="5" t="s">
        <v>41805</v>
      </c>
      <c r="B8084" s="6">
        <v>393.75</v>
      </c>
      <c r="C8084" s="6">
        <v>20.478950000000001</v>
      </c>
      <c r="D8084" s="6">
        <v>61</v>
      </c>
      <c r="E8084" s="6">
        <v>0</v>
      </c>
      <c r="F8084" s="6">
        <v>0</v>
      </c>
      <c r="G8084" s="6">
        <v>7</v>
      </c>
      <c r="H8084" s="6" t="s">
        <v>41806</v>
      </c>
      <c r="I8084" s="6">
        <v>526.6875</v>
      </c>
      <c r="J8084" s="2">
        <f t="shared" si="126"/>
        <v>43749.059178298608</v>
      </c>
    </row>
    <row r="8085" spans="1:10" x14ac:dyDescent="0.25">
      <c r="A8085" s="7" t="s">
        <v>41807</v>
      </c>
      <c r="B8085" s="8">
        <v>393.75</v>
      </c>
      <c r="C8085" s="8">
        <v>20.478950000000001</v>
      </c>
      <c r="D8085" s="8">
        <v>61</v>
      </c>
      <c r="E8085" s="8">
        <v>0</v>
      </c>
      <c r="F8085" s="8">
        <v>0</v>
      </c>
      <c r="G8085" s="8">
        <v>5</v>
      </c>
      <c r="H8085" s="8" t="s">
        <v>41808</v>
      </c>
      <c r="I8085" s="8">
        <v>526.6875</v>
      </c>
      <c r="J8085" s="3">
        <f t="shared" si="126"/>
        <v>43749.059261655093</v>
      </c>
    </row>
    <row r="8086" spans="1:10" x14ac:dyDescent="0.25">
      <c r="A8086" s="5" t="s">
        <v>41809</v>
      </c>
      <c r="B8086" s="6">
        <v>437.5</v>
      </c>
      <c r="C8086" s="6">
        <v>20.478950000000001</v>
      </c>
      <c r="D8086" s="6">
        <v>61</v>
      </c>
      <c r="E8086" s="6">
        <v>0</v>
      </c>
      <c r="F8086" s="6">
        <v>0</v>
      </c>
      <c r="G8086" s="6">
        <v>7</v>
      </c>
      <c r="H8086" s="6" t="s">
        <v>41810</v>
      </c>
      <c r="I8086" s="6">
        <v>540</v>
      </c>
      <c r="J8086" s="2">
        <f t="shared" si="126"/>
        <v>43749.059333807869</v>
      </c>
    </row>
    <row r="8087" spans="1:10" x14ac:dyDescent="0.25">
      <c r="A8087" s="7" t="s">
        <v>41811</v>
      </c>
      <c r="B8087" s="8">
        <v>393.75</v>
      </c>
      <c r="C8087" s="8">
        <v>20.478950000000001</v>
      </c>
      <c r="D8087" s="8">
        <v>61</v>
      </c>
      <c r="E8087" s="8">
        <v>0</v>
      </c>
      <c r="F8087" s="8">
        <v>0</v>
      </c>
      <c r="G8087" s="8">
        <v>9</v>
      </c>
      <c r="H8087" s="8" t="s">
        <v>41812</v>
      </c>
      <c r="I8087" s="8">
        <v>526.6875</v>
      </c>
      <c r="J8087" s="3">
        <f t="shared" si="126"/>
        <v>43749.059405104163</v>
      </c>
    </row>
    <row r="8088" spans="1:10" x14ac:dyDescent="0.25">
      <c r="A8088" s="5" t="s">
        <v>41813</v>
      </c>
      <c r="B8088" s="6">
        <v>393.75</v>
      </c>
      <c r="C8088" s="6">
        <v>20.478950000000001</v>
      </c>
      <c r="D8088" s="6">
        <v>61</v>
      </c>
      <c r="E8088" s="6">
        <v>0</v>
      </c>
      <c r="F8088" s="6">
        <v>0</v>
      </c>
      <c r="G8088" s="6">
        <v>14</v>
      </c>
      <c r="H8088" s="6" t="s">
        <v>41814</v>
      </c>
      <c r="I8088" s="6">
        <v>526.5</v>
      </c>
      <c r="J8088" s="2">
        <f t="shared" si="126"/>
        <v>43749.059488206018</v>
      </c>
    </row>
    <row r="8089" spans="1:10" x14ac:dyDescent="0.25">
      <c r="A8089" s="7" t="s">
        <v>41815</v>
      </c>
      <c r="B8089" s="8">
        <v>393.75</v>
      </c>
      <c r="C8089" s="8">
        <v>20.478950000000001</v>
      </c>
      <c r="D8089" s="8">
        <v>62</v>
      </c>
      <c r="E8089" s="8">
        <v>0</v>
      </c>
      <c r="F8089" s="8">
        <v>0</v>
      </c>
      <c r="G8089" s="8">
        <v>7</v>
      </c>
      <c r="H8089" s="8" t="s">
        <v>41816</v>
      </c>
      <c r="I8089" s="8">
        <v>526.6875</v>
      </c>
      <c r="J8089" s="3">
        <f t="shared" si="126"/>
        <v>43749.059560462956</v>
      </c>
    </row>
    <row r="8090" spans="1:10" x14ac:dyDescent="0.25">
      <c r="A8090" s="5" t="s">
        <v>41817</v>
      </c>
      <c r="B8090" s="6">
        <v>393.75</v>
      </c>
      <c r="C8090" s="6">
        <v>20.478950000000001</v>
      </c>
      <c r="D8090" s="6">
        <v>61</v>
      </c>
      <c r="E8090" s="6">
        <v>0</v>
      </c>
      <c r="F8090" s="6">
        <v>0</v>
      </c>
      <c r="G8090" s="6">
        <v>9</v>
      </c>
      <c r="H8090" s="6" t="s">
        <v>41818</v>
      </c>
      <c r="I8090" s="6">
        <v>526.6875</v>
      </c>
      <c r="J8090" s="2">
        <f t="shared" si="126"/>
        <v>43749.059631805554</v>
      </c>
    </row>
    <row r="8091" spans="1:10" x14ac:dyDescent="0.25">
      <c r="A8091" s="7" t="s">
        <v>41819</v>
      </c>
      <c r="B8091" s="8">
        <v>393.75</v>
      </c>
      <c r="C8091" s="8">
        <v>20.478950000000001</v>
      </c>
      <c r="D8091" s="8">
        <v>61</v>
      </c>
      <c r="E8091" s="8">
        <v>0</v>
      </c>
      <c r="F8091" s="8">
        <v>0</v>
      </c>
      <c r="G8091" s="8">
        <v>3</v>
      </c>
      <c r="H8091" s="8" t="s">
        <v>41820</v>
      </c>
      <c r="I8091" s="8">
        <v>526.6875</v>
      </c>
      <c r="J8091" s="3">
        <f t="shared" si="126"/>
        <v>43749.059703078703</v>
      </c>
    </row>
    <row r="8092" spans="1:10" x14ac:dyDescent="0.25">
      <c r="A8092" s="5" t="s">
        <v>41821</v>
      </c>
      <c r="B8092" s="6">
        <v>393.75</v>
      </c>
      <c r="C8092" s="6">
        <v>20.478950000000001</v>
      </c>
      <c r="D8092" s="6">
        <v>61</v>
      </c>
      <c r="E8092" s="6">
        <v>0</v>
      </c>
      <c r="F8092" s="6">
        <v>0</v>
      </c>
      <c r="G8092" s="6">
        <v>7</v>
      </c>
      <c r="H8092" s="6" t="s">
        <v>41822</v>
      </c>
      <c r="I8092" s="6">
        <v>526.6875</v>
      </c>
      <c r="J8092" s="2">
        <f t="shared" si="126"/>
        <v>43749.059775138885</v>
      </c>
    </row>
    <row r="8093" spans="1:10" x14ac:dyDescent="0.25">
      <c r="A8093" s="7" t="s">
        <v>41823</v>
      </c>
      <c r="B8093" s="8">
        <v>393.75</v>
      </c>
      <c r="C8093" s="8">
        <v>20.478950000000001</v>
      </c>
      <c r="D8093" s="8">
        <v>60</v>
      </c>
      <c r="E8093" s="8">
        <v>0</v>
      </c>
      <c r="F8093" s="8">
        <v>0</v>
      </c>
      <c r="G8093" s="8">
        <v>0</v>
      </c>
      <c r="H8093" s="8" t="s">
        <v>41824</v>
      </c>
      <c r="I8093" s="8">
        <v>526.6875</v>
      </c>
      <c r="J8093" s="3">
        <f t="shared" si="126"/>
        <v>43749.05984652778</v>
      </c>
    </row>
    <row r="8094" spans="1:10" x14ac:dyDescent="0.25">
      <c r="A8094" s="5" t="s">
        <v>41825</v>
      </c>
      <c r="B8094" s="6">
        <v>412.5</v>
      </c>
      <c r="C8094" s="6">
        <v>20.478950000000001</v>
      </c>
      <c r="D8094" s="6">
        <v>60</v>
      </c>
      <c r="E8094" s="6">
        <v>0</v>
      </c>
      <c r="F8094" s="6">
        <v>0</v>
      </c>
      <c r="G8094" s="6">
        <v>11</v>
      </c>
      <c r="H8094" s="6" t="s">
        <v>41826</v>
      </c>
      <c r="I8094" s="6">
        <v>532.6875</v>
      </c>
      <c r="J8094" s="2">
        <f t="shared" si="126"/>
        <v>43749.059918634252</v>
      </c>
    </row>
    <row r="8095" spans="1:10" x14ac:dyDescent="0.25">
      <c r="A8095" s="7" t="s">
        <v>41827</v>
      </c>
      <c r="B8095" s="8">
        <v>393.75</v>
      </c>
      <c r="C8095" s="8">
        <v>20.478950000000001</v>
      </c>
      <c r="D8095" s="8">
        <v>60</v>
      </c>
      <c r="E8095" s="8">
        <v>0</v>
      </c>
      <c r="F8095" s="8">
        <v>0</v>
      </c>
      <c r="G8095" s="8">
        <v>4</v>
      </c>
      <c r="H8095" s="8" t="s">
        <v>41828</v>
      </c>
      <c r="I8095" s="8">
        <v>526.6875</v>
      </c>
      <c r="J8095" s="3">
        <f t="shared" si="126"/>
        <v>43749.059989189809</v>
      </c>
    </row>
    <row r="8096" spans="1:10" x14ac:dyDescent="0.25">
      <c r="A8096" s="5" t="s">
        <v>41829</v>
      </c>
      <c r="B8096" s="6">
        <v>393.75</v>
      </c>
      <c r="C8096" s="6">
        <v>20.478950000000001</v>
      </c>
      <c r="D8096" s="6">
        <v>61</v>
      </c>
      <c r="E8096" s="6">
        <v>0</v>
      </c>
      <c r="F8096" s="6">
        <v>0</v>
      </c>
      <c r="G8096" s="6">
        <v>7</v>
      </c>
      <c r="H8096" s="6" t="s">
        <v>41830</v>
      </c>
      <c r="I8096" s="6">
        <v>526.6875</v>
      </c>
      <c r="J8096" s="2">
        <f t="shared" si="126"/>
        <v>43749.060061412034</v>
      </c>
    </row>
    <row r="8097" spans="1:10" x14ac:dyDescent="0.25">
      <c r="A8097" s="7" t="s">
        <v>41831</v>
      </c>
      <c r="B8097" s="8">
        <v>393.75</v>
      </c>
      <c r="C8097" s="8">
        <v>20.478950000000001</v>
      </c>
      <c r="D8097" s="8">
        <v>61</v>
      </c>
      <c r="E8097" s="8">
        <v>0</v>
      </c>
      <c r="F8097" s="8">
        <v>0</v>
      </c>
      <c r="G8097" s="8">
        <v>11</v>
      </c>
      <c r="H8097" s="8" t="s">
        <v>41832</v>
      </c>
      <c r="I8097" s="8">
        <v>526.6875</v>
      </c>
      <c r="J8097" s="3">
        <f t="shared" si="126"/>
        <v>43749.060132696752</v>
      </c>
    </row>
    <row r="8098" spans="1:10" x14ac:dyDescent="0.25">
      <c r="A8098" s="5" t="s">
        <v>41833</v>
      </c>
      <c r="B8098" s="6">
        <v>393.75</v>
      </c>
      <c r="C8098" s="6">
        <v>20.478950000000001</v>
      </c>
      <c r="D8098" s="6">
        <v>61</v>
      </c>
      <c r="E8098" s="6">
        <v>0</v>
      </c>
      <c r="F8098" s="6">
        <v>0</v>
      </c>
      <c r="G8098" s="6">
        <v>12</v>
      </c>
      <c r="H8098" s="6" t="s">
        <v>41834</v>
      </c>
      <c r="I8098" s="6">
        <v>526.6875</v>
      </c>
      <c r="J8098" s="2">
        <f t="shared" si="126"/>
        <v>43749.060204004629</v>
      </c>
    </row>
    <row r="8099" spans="1:10" x14ac:dyDescent="0.25">
      <c r="A8099" s="7" t="s">
        <v>41835</v>
      </c>
      <c r="B8099" s="8">
        <v>393.75</v>
      </c>
      <c r="C8099" s="8">
        <v>20.478950000000001</v>
      </c>
      <c r="D8099" s="8">
        <v>61</v>
      </c>
      <c r="E8099" s="8">
        <v>0</v>
      </c>
      <c r="F8099" s="8">
        <v>0</v>
      </c>
      <c r="G8099" s="8">
        <v>13</v>
      </c>
      <c r="H8099" s="8" t="s">
        <v>41836</v>
      </c>
      <c r="I8099" s="8">
        <v>526.6875</v>
      </c>
      <c r="J8099" s="3">
        <f t="shared" si="126"/>
        <v>43749.060275416668</v>
      </c>
    </row>
    <row r="8100" spans="1:10" x14ac:dyDescent="0.25">
      <c r="A8100" s="5" t="s">
        <v>41837</v>
      </c>
      <c r="B8100" s="6">
        <v>393.75</v>
      </c>
      <c r="C8100" s="6">
        <v>20.478950000000001</v>
      </c>
      <c r="D8100" s="6">
        <v>63</v>
      </c>
      <c r="E8100" s="6">
        <v>0</v>
      </c>
      <c r="F8100" s="6">
        <v>0</v>
      </c>
      <c r="G8100" s="6">
        <v>14</v>
      </c>
      <c r="H8100" s="6" t="s">
        <v>41838</v>
      </c>
      <c r="I8100" s="6">
        <v>526.6875</v>
      </c>
      <c r="J8100" s="2">
        <f t="shared" si="126"/>
        <v>43749.060347511571</v>
      </c>
    </row>
    <row r="8101" spans="1:10" x14ac:dyDescent="0.25">
      <c r="A8101" s="7" t="s">
        <v>41839</v>
      </c>
      <c r="B8101" s="8">
        <v>393.75</v>
      </c>
      <c r="C8101" s="8">
        <v>20.478950000000001</v>
      </c>
      <c r="D8101" s="8">
        <v>64</v>
      </c>
      <c r="E8101" s="8">
        <v>0</v>
      </c>
      <c r="F8101" s="8">
        <v>0</v>
      </c>
      <c r="G8101" s="8">
        <v>8</v>
      </c>
      <c r="H8101" s="8" t="s">
        <v>41840</v>
      </c>
      <c r="I8101" s="8">
        <v>526.6875</v>
      </c>
      <c r="J8101" s="3">
        <f t="shared" si="126"/>
        <v>43749.060418807865</v>
      </c>
    </row>
    <row r="8102" spans="1:10" x14ac:dyDescent="0.25">
      <c r="A8102" s="5" t="s">
        <v>41841</v>
      </c>
      <c r="B8102" s="6">
        <v>393.75</v>
      </c>
      <c r="C8102" s="6">
        <v>20.478950000000001</v>
      </c>
      <c r="D8102" s="6">
        <v>63</v>
      </c>
      <c r="E8102" s="6">
        <v>0</v>
      </c>
      <c r="F8102" s="6">
        <v>0</v>
      </c>
      <c r="G8102" s="6">
        <v>10</v>
      </c>
      <c r="H8102" s="6" t="s">
        <v>41842</v>
      </c>
      <c r="I8102" s="6">
        <v>526.5</v>
      </c>
      <c r="J8102" s="2">
        <f t="shared" si="126"/>
        <v>43749.060490115742</v>
      </c>
    </row>
    <row r="8103" spans="1:10" x14ac:dyDescent="0.25">
      <c r="A8103" s="7" t="s">
        <v>41843</v>
      </c>
      <c r="B8103" s="8">
        <v>393.75</v>
      </c>
      <c r="C8103" s="8">
        <v>20.478950000000001</v>
      </c>
      <c r="D8103" s="8">
        <v>62</v>
      </c>
      <c r="E8103" s="8">
        <v>0</v>
      </c>
      <c r="F8103" s="8">
        <v>0</v>
      </c>
      <c r="G8103" s="8">
        <v>3</v>
      </c>
      <c r="H8103" s="8" t="s">
        <v>41844</v>
      </c>
      <c r="I8103" s="8">
        <v>526.6875</v>
      </c>
      <c r="J8103" s="3">
        <f t="shared" si="126"/>
        <v>43749.060562314808</v>
      </c>
    </row>
    <row r="8104" spans="1:10" x14ac:dyDescent="0.25">
      <c r="A8104" s="5" t="s">
        <v>41845</v>
      </c>
      <c r="B8104" s="6">
        <v>393.75</v>
      </c>
      <c r="C8104" s="6">
        <v>20.478950000000001</v>
      </c>
      <c r="D8104" s="6">
        <v>61</v>
      </c>
      <c r="E8104" s="6">
        <v>0</v>
      </c>
      <c r="F8104" s="6">
        <v>0</v>
      </c>
      <c r="G8104" s="6">
        <v>7</v>
      </c>
      <c r="H8104" s="6" t="s">
        <v>41846</v>
      </c>
      <c r="I8104" s="6">
        <v>526.6875</v>
      </c>
      <c r="J8104" s="2">
        <f t="shared" si="126"/>
        <v>43749.060648368053</v>
      </c>
    </row>
    <row r="8105" spans="1:10" x14ac:dyDescent="0.25">
      <c r="A8105" s="7" t="s">
        <v>41847</v>
      </c>
      <c r="B8105" s="8">
        <v>393.75</v>
      </c>
      <c r="C8105" s="8">
        <v>20.478950000000001</v>
      </c>
      <c r="D8105" s="8">
        <v>61</v>
      </c>
      <c r="E8105" s="8">
        <v>0</v>
      </c>
      <c r="F8105" s="8">
        <v>0</v>
      </c>
      <c r="G8105" s="8">
        <v>3</v>
      </c>
      <c r="H8105" s="8" t="s">
        <v>41848</v>
      </c>
      <c r="I8105" s="8">
        <v>526.6875</v>
      </c>
      <c r="J8105" s="3">
        <f t="shared" si="126"/>
        <v>43749.06072898148</v>
      </c>
    </row>
    <row r="8106" spans="1:10" x14ac:dyDescent="0.25">
      <c r="A8106" s="5" t="s">
        <v>41849</v>
      </c>
      <c r="B8106" s="6">
        <v>393.75</v>
      </c>
      <c r="C8106" s="6">
        <v>20.478950000000001</v>
      </c>
      <c r="D8106" s="6">
        <v>61</v>
      </c>
      <c r="E8106" s="6">
        <v>0</v>
      </c>
      <c r="F8106" s="6">
        <v>0</v>
      </c>
      <c r="G8106" s="6">
        <v>4</v>
      </c>
      <c r="H8106" s="6" t="s">
        <v>41850</v>
      </c>
      <c r="I8106" s="6">
        <v>526.6875</v>
      </c>
      <c r="J8106" s="2">
        <f t="shared" si="126"/>
        <v>43749.060800300918</v>
      </c>
    </row>
    <row r="8107" spans="1:10" x14ac:dyDescent="0.25">
      <c r="A8107" s="7" t="s">
        <v>41851</v>
      </c>
      <c r="B8107" s="8">
        <v>393.75</v>
      </c>
      <c r="C8107" s="8">
        <v>20.478950000000001</v>
      </c>
      <c r="D8107" s="8">
        <v>61</v>
      </c>
      <c r="E8107" s="8">
        <v>0</v>
      </c>
      <c r="F8107" s="8">
        <v>0</v>
      </c>
      <c r="G8107" s="8">
        <v>6</v>
      </c>
      <c r="H8107" s="8" t="s">
        <v>41852</v>
      </c>
      <c r="I8107" s="8">
        <v>526.6875</v>
      </c>
      <c r="J8107" s="3">
        <f t="shared" si="126"/>
        <v>43749.06087163194</v>
      </c>
    </row>
    <row r="8108" spans="1:10" x14ac:dyDescent="0.25">
      <c r="A8108" s="5" t="s">
        <v>41853</v>
      </c>
      <c r="B8108" s="6">
        <v>393.75</v>
      </c>
      <c r="C8108" s="6">
        <v>20.478950000000001</v>
      </c>
      <c r="D8108" s="6">
        <v>62</v>
      </c>
      <c r="E8108" s="6">
        <v>0</v>
      </c>
      <c r="F8108" s="6">
        <v>0</v>
      </c>
      <c r="G8108" s="6">
        <v>7</v>
      </c>
      <c r="H8108" s="6" t="s">
        <v>41854</v>
      </c>
      <c r="I8108" s="6">
        <v>526.6875</v>
      </c>
      <c r="J8108" s="2">
        <f t="shared" si="126"/>
        <v>43749.060943750002</v>
      </c>
    </row>
    <row r="8109" spans="1:10" x14ac:dyDescent="0.25">
      <c r="A8109" s="7" t="s">
        <v>41855</v>
      </c>
      <c r="B8109" s="8">
        <v>393.75</v>
      </c>
      <c r="C8109" s="8">
        <v>20.478950000000001</v>
      </c>
      <c r="D8109" s="8">
        <v>64</v>
      </c>
      <c r="E8109" s="8">
        <v>0</v>
      </c>
      <c r="F8109" s="8">
        <v>0</v>
      </c>
      <c r="G8109" s="8">
        <v>7</v>
      </c>
      <c r="H8109" s="8" t="s">
        <v>41856</v>
      </c>
      <c r="I8109" s="8">
        <v>526.6875</v>
      </c>
      <c r="J8109" s="3">
        <f t="shared" si="126"/>
        <v>43749.061027141201</v>
      </c>
    </row>
    <row r="8110" spans="1:10" x14ac:dyDescent="0.25">
      <c r="A8110" s="5" t="s">
        <v>41857</v>
      </c>
      <c r="B8110" s="6">
        <v>393.75</v>
      </c>
      <c r="C8110" s="6">
        <v>20.478950000000001</v>
      </c>
      <c r="D8110" s="6">
        <v>64</v>
      </c>
      <c r="E8110" s="6">
        <v>0</v>
      </c>
      <c r="F8110" s="6">
        <v>0</v>
      </c>
      <c r="G8110" s="6">
        <v>11</v>
      </c>
      <c r="H8110" s="6" t="s">
        <v>41858</v>
      </c>
      <c r="I8110" s="6">
        <v>526.6875</v>
      </c>
      <c r="J8110" s="2">
        <f t="shared" si="126"/>
        <v>43749.06109844907</v>
      </c>
    </row>
    <row r="8111" spans="1:10" x14ac:dyDescent="0.25">
      <c r="A8111" s="7" t="s">
        <v>41859</v>
      </c>
      <c r="B8111" s="8">
        <v>393.75</v>
      </c>
      <c r="C8111" s="8">
        <v>20.426300000000001</v>
      </c>
      <c r="D8111" s="8">
        <v>64</v>
      </c>
      <c r="E8111" s="8">
        <v>0</v>
      </c>
      <c r="F8111" s="8">
        <v>0</v>
      </c>
      <c r="G8111" s="8">
        <v>5</v>
      </c>
      <c r="H8111" s="8" t="s">
        <v>41860</v>
      </c>
      <c r="I8111" s="8">
        <v>526.5</v>
      </c>
      <c r="J8111" s="3">
        <f t="shared" si="126"/>
        <v>43749.061193807873</v>
      </c>
    </row>
    <row r="8112" spans="1:10" x14ac:dyDescent="0.25">
      <c r="A8112" s="5" t="s">
        <v>41861</v>
      </c>
      <c r="B8112" s="6">
        <v>393.75</v>
      </c>
      <c r="C8112" s="6">
        <v>20.478950000000001</v>
      </c>
      <c r="D8112" s="6">
        <v>63</v>
      </c>
      <c r="E8112" s="6">
        <v>0</v>
      </c>
      <c r="F8112" s="6">
        <v>0</v>
      </c>
      <c r="G8112" s="6">
        <v>5</v>
      </c>
      <c r="H8112" s="6" t="s">
        <v>41862</v>
      </c>
      <c r="I8112" s="6">
        <v>526.6875</v>
      </c>
      <c r="J8112" s="2">
        <f t="shared" si="126"/>
        <v>43749.061265173608</v>
      </c>
    </row>
    <row r="8113" spans="1:10" x14ac:dyDescent="0.25">
      <c r="A8113" s="7" t="s">
        <v>41863</v>
      </c>
      <c r="B8113" s="8">
        <v>393.75</v>
      </c>
      <c r="C8113" s="8">
        <v>20.478950000000001</v>
      </c>
      <c r="D8113" s="8">
        <v>63</v>
      </c>
      <c r="E8113" s="8">
        <v>0</v>
      </c>
      <c r="F8113" s="8">
        <v>0</v>
      </c>
      <c r="G8113" s="8">
        <v>7</v>
      </c>
      <c r="H8113" s="8" t="s">
        <v>41864</v>
      </c>
      <c r="I8113" s="8">
        <v>526.6875</v>
      </c>
      <c r="J8113" s="3">
        <f t="shared" si="126"/>
        <v>43749.061336458333</v>
      </c>
    </row>
    <row r="8114" spans="1:10" x14ac:dyDescent="0.25">
      <c r="A8114" s="5" t="s">
        <v>41865</v>
      </c>
      <c r="B8114" s="6">
        <v>393.75</v>
      </c>
      <c r="C8114" s="6">
        <v>20.478950000000001</v>
      </c>
      <c r="D8114" s="6">
        <v>63</v>
      </c>
      <c r="E8114" s="6">
        <v>0</v>
      </c>
      <c r="F8114" s="6">
        <v>0</v>
      </c>
      <c r="G8114" s="6">
        <v>11</v>
      </c>
      <c r="H8114" s="6" t="s">
        <v>41866</v>
      </c>
      <c r="I8114" s="6">
        <v>526.6875</v>
      </c>
      <c r="J8114" s="2">
        <f t="shared" si="126"/>
        <v>43749.061408622678</v>
      </c>
    </row>
    <row r="8115" spans="1:10" x14ac:dyDescent="0.25">
      <c r="A8115" s="7" t="s">
        <v>41867</v>
      </c>
      <c r="B8115" s="8">
        <v>390.625</v>
      </c>
      <c r="C8115" s="8">
        <v>20.478950000000001</v>
      </c>
      <c r="D8115" s="8">
        <v>65</v>
      </c>
      <c r="E8115" s="8">
        <v>0</v>
      </c>
      <c r="F8115" s="8">
        <v>0</v>
      </c>
      <c r="G8115" s="8">
        <v>6</v>
      </c>
      <c r="H8115" s="8" t="s">
        <v>41868</v>
      </c>
      <c r="I8115" s="8">
        <v>525.9375</v>
      </c>
      <c r="J8115" s="3">
        <f t="shared" si="126"/>
        <v>43749.061479918979</v>
      </c>
    </row>
    <row r="8116" spans="1:10" x14ac:dyDescent="0.25">
      <c r="A8116" s="5" t="s">
        <v>41869</v>
      </c>
      <c r="B8116" s="6">
        <v>390.625</v>
      </c>
      <c r="C8116" s="6">
        <v>20.478950000000001</v>
      </c>
      <c r="D8116" s="6">
        <v>65</v>
      </c>
      <c r="E8116" s="6">
        <v>0</v>
      </c>
      <c r="F8116" s="6">
        <v>0</v>
      </c>
      <c r="G8116" s="6">
        <v>2</v>
      </c>
      <c r="H8116" s="6" t="s">
        <v>41870</v>
      </c>
      <c r="I8116" s="6">
        <v>525.9375</v>
      </c>
      <c r="J8116" s="2">
        <f t="shared" si="126"/>
        <v>43749.061556863424</v>
      </c>
    </row>
    <row r="8117" spans="1:10" x14ac:dyDescent="0.25">
      <c r="A8117" s="7" t="s">
        <v>41871</v>
      </c>
      <c r="B8117" s="8">
        <v>393.75</v>
      </c>
      <c r="C8117" s="8">
        <v>20.478950000000001</v>
      </c>
      <c r="D8117" s="8">
        <v>64</v>
      </c>
      <c r="E8117" s="8">
        <v>0</v>
      </c>
      <c r="F8117" s="8">
        <v>0</v>
      </c>
      <c r="G8117" s="8">
        <v>5</v>
      </c>
      <c r="H8117" s="8" t="s">
        <v>41872</v>
      </c>
      <c r="I8117" s="8">
        <v>526.6875</v>
      </c>
      <c r="J8117" s="3">
        <f t="shared" si="126"/>
        <v>43749.061635428239</v>
      </c>
    </row>
    <row r="8118" spans="1:10" x14ac:dyDescent="0.25">
      <c r="A8118" s="5" t="s">
        <v>41873</v>
      </c>
      <c r="B8118" s="6">
        <v>393.75</v>
      </c>
      <c r="C8118" s="6">
        <v>20.478950000000001</v>
      </c>
      <c r="D8118" s="6">
        <v>64</v>
      </c>
      <c r="E8118" s="6">
        <v>0</v>
      </c>
      <c r="F8118" s="6">
        <v>0</v>
      </c>
      <c r="G8118" s="6">
        <v>6</v>
      </c>
      <c r="H8118" s="6" t="s">
        <v>41874</v>
      </c>
      <c r="I8118" s="6">
        <v>526.6875</v>
      </c>
      <c r="J8118" s="2">
        <f t="shared" si="126"/>
        <v>43749.061720833335</v>
      </c>
    </row>
    <row r="8119" spans="1:10" x14ac:dyDescent="0.25">
      <c r="A8119" s="7" t="s">
        <v>41875</v>
      </c>
      <c r="B8119" s="8">
        <v>393.75</v>
      </c>
      <c r="C8119" s="8">
        <v>20.478950000000001</v>
      </c>
      <c r="D8119" s="8">
        <v>63</v>
      </c>
      <c r="E8119" s="8">
        <v>0</v>
      </c>
      <c r="F8119" s="8">
        <v>0</v>
      </c>
      <c r="G8119" s="8">
        <v>11</v>
      </c>
      <c r="H8119" s="8" t="s">
        <v>41876</v>
      </c>
      <c r="I8119" s="8">
        <v>526.5</v>
      </c>
      <c r="J8119" s="3">
        <f t="shared" si="126"/>
        <v>43749.061802129632</v>
      </c>
    </row>
    <row r="8120" spans="1:10" x14ac:dyDescent="0.25">
      <c r="A8120" s="5" t="s">
        <v>41877</v>
      </c>
      <c r="B8120" s="6">
        <v>393.75</v>
      </c>
      <c r="C8120" s="6">
        <v>20.478950000000001</v>
      </c>
      <c r="D8120" s="6">
        <v>62</v>
      </c>
      <c r="E8120" s="6">
        <v>0</v>
      </c>
      <c r="F8120" s="6">
        <v>0</v>
      </c>
      <c r="G8120" s="6">
        <v>0</v>
      </c>
      <c r="H8120" s="6" t="s">
        <v>41878</v>
      </c>
      <c r="I8120" s="6">
        <v>526.5</v>
      </c>
      <c r="J8120" s="2">
        <f t="shared" si="126"/>
        <v>43749.061873449071</v>
      </c>
    </row>
    <row r="8121" spans="1:10" x14ac:dyDescent="0.25">
      <c r="A8121" s="7" t="s">
        <v>41879</v>
      </c>
      <c r="B8121" s="8">
        <v>393.75</v>
      </c>
      <c r="C8121" s="8">
        <v>20.478950000000001</v>
      </c>
      <c r="D8121" s="8">
        <v>62</v>
      </c>
      <c r="E8121" s="8">
        <v>0</v>
      </c>
      <c r="F8121" s="8">
        <v>0</v>
      </c>
      <c r="G8121" s="8">
        <v>11</v>
      </c>
      <c r="H8121" s="8" t="s">
        <v>41880</v>
      </c>
      <c r="I8121" s="8">
        <v>526.6875</v>
      </c>
      <c r="J8121" s="3">
        <f t="shared" si="126"/>
        <v>43749.061945601854</v>
      </c>
    </row>
    <row r="8122" spans="1:10" x14ac:dyDescent="0.25">
      <c r="A8122" s="5" t="s">
        <v>41881</v>
      </c>
      <c r="B8122" s="6">
        <v>393.75</v>
      </c>
      <c r="C8122" s="6">
        <v>20.478950000000001</v>
      </c>
      <c r="D8122" s="6">
        <v>62</v>
      </c>
      <c r="E8122" s="6">
        <v>0</v>
      </c>
      <c r="F8122" s="6">
        <v>0</v>
      </c>
      <c r="G8122" s="6">
        <v>10</v>
      </c>
      <c r="H8122" s="6" t="s">
        <v>41882</v>
      </c>
      <c r="I8122" s="6">
        <v>526.6875</v>
      </c>
      <c r="J8122" s="2">
        <f t="shared" si="126"/>
        <v>43749.062016909716</v>
      </c>
    </row>
    <row r="8123" spans="1:10" x14ac:dyDescent="0.25">
      <c r="A8123" s="7" t="s">
        <v>41883</v>
      </c>
      <c r="B8123" s="8">
        <v>393.75</v>
      </c>
      <c r="C8123" s="8">
        <v>20.478950000000001</v>
      </c>
      <c r="D8123" s="8">
        <v>62</v>
      </c>
      <c r="E8123" s="8">
        <v>0</v>
      </c>
      <c r="F8123" s="8">
        <v>0</v>
      </c>
      <c r="G8123" s="8">
        <v>12</v>
      </c>
      <c r="H8123" s="8" t="s">
        <v>41884</v>
      </c>
      <c r="I8123" s="8">
        <v>526.6875</v>
      </c>
      <c r="J8123" s="3">
        <f t="shared" si="126"/>
        <v>43749.062100300922</v>
      </c>
    </row>
    <row r="8124" spans="1:10" x14ac:dyDescent="0.25">
      <c r="A8124" s="5" t="s">
        <v>41885</v>
      </c>
      <c r="B8124" s="6">
        <v>393.75</v>
      </c>
      <c r="C8124" s="6">
        <v>20.478950000000001</v>
      </c>
      <c r="D8124" s="6">
        <v>62</v>
      </c>
      <c r="E8124" s="6">
        <v>0</v>
      </c>
      <c r="F8124" s="6">
        <v>0</v>
      </c>
      <c r="G8124" s="6">
        <v>13</v>
      </c>
      <c r="H8124" s="6" t="s">
        <v>41886</v>
      </c>
      <c r="I8124" s="6">
        <v>526.6875</v>
      </c>
      <c r="J8124" s="2">
        <f t="shared" si="126"/>
        <v>43749.062171597216</v>
      </c>
    </row>
    <row r="8125" spans="1:10" x14ac:dyDescent="0.25">
      <c r="A8125" s="7" t="s">
        <v>41887</v>
      </c>
      <c r="B8125" s="8">
        <v>412.5</v>
      </c>
      <c r="C8125" s="8">
        <v>20.478950000000001</v>
      </c>
      <c r="D8125" s="8">
        <v>62</v>
      </c>
      <c r="E8125" s="8">
        <v>0</v>
      </c>
      <c r="F8125" s="8">
        <v>0</v>
      </c>
      <c r="G8125" s="8">
        <v>7</v>
      </c>
      <c r="H8125" s="8" t="s">
        <v>41888</v>
      </c>
      <c r="I8125" s="8">
        <v>532.3125</v>
      </c>
      <c r="J8125" s="3">
        <f t="shared" si="126"/>
        <v>43749.062242893517</v>
      </c>
    </row>
    <row r="8126" spans="1:10" x14ac:dyDescent="0.25">
      <c r="A8126" s="5" t="s">
        <v>41889</v>
      </c>
      <c r="B8126" s="6">
        <v>393.75</v>
      </c>
      <c r="C8126" s="6">
        <v>20.478950000000001</v>
      </c>
      <c r="D8126" s="6">
        <v>63</v>
      </c>
      <c r="E8126" s="6">
        <v>0</v>
      </c>
      <c r="F8126" s="6">
        <v>0</v>
      </c>
      <c r="G8126" s="6">
        <v>7</v>
      </c>
      <c r="H8126" s="6" t="s">
        <v>41890</v>
      </c>
      <c r="I8126" s="6">
        <v>526.6875</v>
      </c>
      <c r="J8126" s="2">
        <f t="shared" si="126"/>
        <v>43749.062315104165</v>
      </c>
    </row>
    <row r="8127" spans="1:10" x14ac:dyDescent="0.25">
      <c r="A8127" s="7" t="s">
        <v>41891</v>
      </c>
      <c r="B8127" s="8">
        <v>393.75</v>
      </c>
      <c r="C8127" s="8">
        <v>20.478950000000001</v>
      </c>
      <c r="D8127" s="8">
        <v>62</v>
      </c>
      <c r="E8127" s="8">
        <v>0</v>
      </c>
      <c r="F8127" s="8">
        <v>0</v>
      </c>
      <c r="G8127" s="8">
        <v>3</v>
      </c>
      <c r="H8127" s="8" t="s">
        <v>41892</v>
      </c>
      <c r="I8127" s="8">
        <v>526.6875</v>
      </c>
      <c r="J8127" s="3">
        <f t="shared" si="126"/>
        <v>43749.062386423604</v>
      </c>
    </row>
    <row r="8128" spans="1:10" x14ac:dyDescent="0.25">
      <c r="A8128" s="5" t="s">
        <v>41893</v>
      </c>
      <c r="B8128" s="6">
        <v>393.75</v>
      </c>
      <c r="C8128" s="6">
        <v>20.478950000000001</v>
      </c>
      <c r="D8128" s="6">
        <v>62</v>
      </c>
      <c r="E8128" s="6">
        <v>0</v>
      </c>
      <c r="F8128" s="6">
        <v>0</v>
      </c>
      <c r="G8128" s="6">
        <v>10</v>
      </c>
      <c r="H8128" s="6" t="s">
        <v>41894</v>
      </c>
      <c r="I8128" s="6">
        <v>526.6875</v>
      </c>
      <c r="J8128" s="2">
        <f t="shared" si="126"/>
        <v>43749.062457754626</v>
      </c>
    </row>
    <row r="8129" spans="1:10" x14ac:dyDescent="0.25">
      <c r="A8129" s="7" t="s">
        <v>41895</v>
      </c>
      <c r="B8129" s="8">
        <v>393.75</v>
      </c>
      <c r="C8129" s="8">
        <v>20.478950000000001</v>
      </c>
      <c r="D8129" s="8">
        <v>63</v>
      </c>
      <c r="E8129" s="8">
        <v>0</v>
      </c>
      <c r="F8129" s="8">
        <v>0</v>
      </c>
      <c r="G8129" s="8">
        <v>4</v>
      </c>
      <c r="H8129" s="8" t="s">
        <v>41896</v>
      </c>
      <c r="I8129" s="8">
        <v>526.6875</v>
      </c>
      <c r="J8129" s="3">
        <f t="shared" si="126"/>
        <v>43749.062541956017</v>
      </c>
    </row>
    <row r="8130" spans="1:10" x14ac:dyDescent="0.25">
      <c r="A8130" s="5" t="s">
        <v>41897</v>
      </c>
      <c r="B8130" s="6">
        <v>393.75</v>
      </c>
      <c r="C8130" s="6">
        <v>20.426300000000001</v>
      </c>
      <c r="D8130" s="6">
        <v>64</v>
      </c>
      <c r="E8130" s="6">
        <v>0</v>
      </c>
      <c r="F8130" s="6">
        <v>0</v>
      </c>
      <c r="G8130" s="6">
        <v>9</v>
      </c>
      <c r="H8130" s="6" t="s">
        <v>41898</v>
      </c>
      <c r="I8130" s="6">
        <v>526.6875</v>
      </c>
      <c r="J8130" s="2">
        <f t="shared" ref="J8130:J8193" si="127">(H8130/86400000)+25569+(7/24)</f>
        <v>43749.062613275462</v>
      </c>
    </row>
    <row r="8131" spans="1:10" x14ac:dyDescent="0.25">
      <c r="A8131" s="7" t="s">
        <v>41899</v>
      </c>
      <c r="B8131" s="8">
        <v>393.75</v>
      </c>
      <c r="C8131" s="8">
        <v>20.478950000000001</v>
      </c>
      <c r="D8131" s="8">
        <v>64</v>
      </c>
      <c r="E8131" s="8">
        <v>0</v>
      </c>
      <c r="F8131" s="8">
        <v>0</v>
      </c>
      <c r="G8131" s="8">
        <v>4</v>
      </c>
      <c r="H8131" s="8" t="s">
        <v>41900</v>
      </c>
      <c r="I8131" s="8">
        <v>526.6875</v>
      </c>
      <c r="J8131" s="3">
        <f t="shared" si="127"/>
        <v>43749.062684560187</v>
      </c>
    </row>
    <row r="8132" spans="1:10" x14ac:dyDescent="0.25">
      <c r="A8132" s="5" t="s">
        <v>41901</v>
      </c>
      <c r="B8132" s="6">
        <v>393.75</v>
      </c>
      <c r="C8132" s="6">
        <v>20.478950000000001</v>
      </c>
      <c r="D8132" s="6">
        <v>63</v>
      </c>
      <c r="E8132" s="6">
        <v>0</v>
      </c>
      <c r="F8132" s="6">
        <v>0</v>
      </c>
      <c r="G8132" s="6">
        <v>8</v>
      </c>
      <c r="H8132" s="6" t="s">
        <v>41902</v>
      </c>
      <c r="I8132" s="6">
        <v>526.6875</v>
      </c>
      <c r="J8132" s="2">
        <f t="shared" si="127"/>
        <v>43749.062767962962</v>
      </c>
    </row>
    <row r="8133" spans="1:10" x14ac:dyDescent="0.25">
      <c r="A8133" s="7" t="s">
        <v>41903</v>
      </c>
      <c r="B8133" s="8">
        <v>393.75</v>
      </c>
      <c r="C8133" s="8">
        <v>20.478950000000001</v>
      </c>
      <c r="D8133" s="8">
        <v>64</v>
      </c>
      <c r="E8133" s="8">
        <v>0</v>
      </c>
      <c r="F8133" s="8">
        <v>0</v>
      </c>
      <c r="G8133" s="8">
        <v>8</v>
      </c>
      <c r="H8133" s="8" t="s">
        <v>41904</v>
      </c>
      <c r="I8133" s="8">
        <v>526.6875</v>
      </c>
      <c r="J8133" s="3">
        <f t="shared" si="127"/>
        <v>43749.062840104169</v>
      </c>
    </row>
    <row r="8134" spans="1:10" x14ac:dyDescent="0.25">
      <c r="A8134" s="5" t="s">
        <v>41905</v>
      </c>
      <c r="B8134" s="6">
        <v>393.75</v>
      </c>
      <c r="C8134" s="6">
        <v>20.478950000000001</v>
      </c>
      <c r="D8134" s="6">
        <v>63</v>
      </c>
      <c r="E8134" s="6">
        <v>0</v>
      </c>
      <c r="F8134" s="6">
        <v>0</v>
      </c>
      <c r="G8134" s="6">
        <v>11</v>
      </c>
      <c r="H8134" s="6" t="s">
        <v>41906</v>
      </c>
      <c r="I8134" s="6">
        <v>526.6875</v>
      </c>
      <c r="J8134" s="2">
        <f t="shared" si="127"/>
        <v>43749.062911469904</v>
      </c>
    </row>
    <row r="8135" spans="1:10" x14ac:dyDescent="0.25">
      <c r="A8135" s="7" t="s">
        <v>41907</v>
      </c>
      <c r="B8135" s="8">
        <v>393.75</v>
      </c>
      <c r="C8135" s="8">
        <v>20.478950000000001</v>
      </c>
      <c r="D8135" s="8">
        <v>63</v>
      </c>
      <c r="E8135" s="8">
        <v>0</v>
      </c>
      <c r="F8135" s="8">
        <v>0</v>
      </c>
      <c r="G8135" s="8">
        <v>4</v>
      </c>
      <c r="H8135" s="8" t="s">
        <v>41908</v>
      </c>
      <c r="I8135" s="8">
        <v>526.5</v>
      </c>
      <c r="J8135" s="3">
        <f t="shared" si="127"/>
        <v>43749.062994745364</v>
      </c>
    </row>
    <row r="8136" spans="1:10" x14ac:dyDescent="0.25">
      <c r="A8136" s="5" t="s">
        <v>41909</v>
      </c>
      <c r="B8136" s="6">
        <v>393.75</v>
      </c>
      <c r="C8136" s="6">
        <v>20.478950000000001</v>
      </c>
      <c r="D8136" s="6">
        <v>63</v>
      </c>
      <c r="E8136" s="6">
        <v>0</v>
      </c>
      <c r="F8136" s="6">
        <v>0</v>
      </c>
      <c r="G8136" s="6">
        <v>8</v>
      </c>
      <c r="H8136" s="6" t="s">
        <v>41910</v>
      </c>
      <c r="I8136" s="6">
        <v>526.6875</v>
      </c>
      <c r="J8136" s="2">
        <f t="shared" si="127"/>
        <v>43749.063066041665</v>
      </c>
    </row>
    <row r="8137" spans="1:10" x14ac:dyDescent="0.25">
      <c r="A8137" s="7" t="s">
        <v>41911</v>
      </c>
      <c r="B8137" s="8">
        <v>393.75</v>
      </c>
      <c r="C8137" s="8">
        <v>20.478950000000001</v>
      </c>
      <c r="D8137" s="8">
        <v>63</v>
      </c>
      <c r="E8137" s="8">
        <v>0</v>
      </c>
      <c r="F8137" s="8">
        <v>0</v>
      </c>
      <c r="G8137" s="8">
        <v>1</v>
      </c>
      <c r="H8137" s="8" t="s">
        <v>41912</v>
      </c>
      <c r="I8137" s="8">
        <v>526.6875</v>
      </c>
      <c r="J8137" s="3">
        <f t="shared" si="127"/>
        <v>43749.063138078702</v>
      </c>
    </row>
    <row r="8138" spans="1:10" x14ac:dyDescent="0.25">
      <c r="A8138" s="5" t="s">
        <v>41913</v>
      </c>
      <c r="B8138" s="6">
        <v>393.75</v>
      </c>
      <c r="C8138" s="6">
        <v>20.478950000000001</v>
      </c>
      <c r="D8138" s="6">
        <v>62</v>
      </c>
      <c r="E8138" s="6">
        <v>0</v>
      </c>
      <c r="F8138" s="6">
        <v>0</v>
      </c>
      <c r="G8138" s="6">
        <v>6</v>
      </c>
      <c r="H8138" s="6" t="s">
        <v>41914</v>
      </c>
      <c r="I8138" s="6">
        <v>526.6875</v>
      </c>
      <c r="J8138" s="2">
        <f t="shared" si="127"/>
        <v>43749.063209224536</v>
      </c>
    </row>
    <row r="8139" spans="1:10" x14ac:dyDescent="0.25">
      <c r="A8139" s="7" t="s">
        <v>41915</v>
      </c>
      <c r="B8139" s="8">
        <v>393.75</v>
      </c>
      <c r="C8139" s="8">
        <v>20.478950000000001</v>
      </c>
      <c r="D8139" s="8">
        <v>63</v>
      </c>
      <c r="E8139" s="8">
        <v>0</v>
      </c>
      <c r="F8139" s="8">
        <v>0</v>
      </c>
      <c r="G8139" s="8">
        <v>20</v>
      </c>
      <c r="H8139" s="8" t="s">
        <v>41916</v>
      </c>
      <c r="I8139" s="8">
        <v>526.6875</v>
      </c>
      <c r="J8139" s="3">
        <f t="shared" si="127"/>
        <v>43749.063280856477</v>
      </c>
    </row>
    <row r="8140" spans="1:10" x14ac:dyDescent="0.25">
      <c r="A8140" s="5" t="s">
        <v>41917</v>
      </c>
      <c r="B8140" s="6">
        <v>393.75</v>
      </c>
      <c r="C8140" s="6">
        <v>20.478950000000001</v>
      </c>
      <c r="D8140" s="6">
        <v>66</v>
      </c>
      <c r="E8140" s="6">
        <v>0</v>
      </c>
      <c r="F8140" s="6">
        <v>0</v>
      </c>
      <c r="G8140" s="6">
        <v>3</v>
      </c>
      <c r="H8140" s="6" t="s">
        <v>41918</v>
      </c>
      <c r="I8140" s="6">
        <v>526.6875</v>
      </c>
      <c r="J8140" s="2">
        <f t="shared" si="127"/>
        <v>43749.063352152771</v>
      </c>
    </row>
    <row r="8141" spans="1:10" x14ac:dyDescent="0.25">
      <c r="A8141" s="7" t="s">
        <v>41919</v>
      </c>
      <c r="B8141" s="8">
        <v>393.75</v>
      </c>
      <c r="C8141" s="8">
        <v>20.478950000000001</v>
      </c>
      <c r="D8141" s="8">
        <v>66</v>
      </c>
      <c r="E8141" s="8">
        <v>0</v>
      </c>
      <c r="F8141" s="8">
        <v>0</v>
      </c>
      <c r="G8141" s="8">
        <v>0</v>
      </c>
      <c r="H8141" s="8" t="s">
        <v>41920</v>
      </c>
      <c r="I8141" s="8">
        <v>526.6875</v>
      </c>
      <c r="J8141" s="3">
        <f t="shared" si="127"/>
        <v>43749.06342431713</v>
      </c>
    </row>
    <row r="8142" spans="1:10" x14ac:dyDescent="0.25">
      <c r="A8142" s="5" t="s">
        <v>41921</v>
      </c>
      <c r="B8142" s="6">
        <v>393.75</v>
      </c>
      <c r="C8142" s="6">
        <v>20.478950000000001</v>
      </c>
      <c r="D8142" s="6">
        <v>62</v>
      </c>
      <c r="E8142" s="6">
        <v>0</v>
      </c>
      <c r="F8142" s="6">
        <v>0</v>
      </c>
      <c r="G8142" s="6">
        <v>2</v>
      </c>
      <c r="H8142" s="6" t="s">
        <v>41922</v>
      </c>
      <c r="I8142" s="6">
        <v>526.6875</v>
      </c>
      <c r="J8142" s="2">
        <f t="shared" si="127"/>
        <v>43749.063495648144</v>
      </c>
    </row>
    <row r="8143" spans="1:10" x14ac:dyDescent="0.25">
      <c r="A8143" s="7" t="s">
        <v>41923</v>
      </c>
      <c r="B8143" s="8">
        <v>393.75</v>
      </c>
      <c r="C8143" s="8">
        <v>20.478950000000001</v>
      </c>
      <c r="D8143" s="8">
        <v>61</v>
      </c>
      <c r="E8143" s="8">
        <v>0</v>
      </c>
      <c r="F8143" s="8">
        <v>0</v>
      </c>
      <c r="G8143" s="8">
        <v>9</v>
      </c>
      <c r="H8143" s="8" t="s">
        <v>41924</v>
      </c>
      <c r="I8143" s="8">
        <v>526.6875</v>
      </c>
      <c r="J8143" s="3">
        <f t="shared" si="127"/>
        <v>43749.063567025463</v>
      </c>
    </row>
    <row r="8144" spans="1:10" x14ac:dyDescent="0.25">
      <c r="A8144" s="5" t="s">
        <v>41925</v>
      </c>
      <c r="B8144" s="6">
        <v>415.625</v>
      </c>
      <c r="C8144" s="6">
        <v>20.478950000000001</v>
      </c>
      <c r="D8144" s="6">
        <v>61</v>
      </c>
      <c r="E8144" s="6">
        <v>0</v>
      </c>
      <c r="F8144" s="6">
        <v>0</v>
      </c>
      <c r="G8144" s="6">
        <v>8</v>
      </c>
      <c r="H8144" s="6" t="s">
        <v>41926</v>
      </c>
      <c r="I8144" s="6">
        <v>533.4375</v>
      </c>
      <c r="J8144" s="2">
        <f t="shared" si="127"/>
        <v>43749.063639004627</v>
      </c>
    </row>
    <row r="8145" spans="1:10" x14ac:dyDescent="0.25">
      <c r="A8145" s="7" t="s">
        <v>41927</v>
      </c>
      <c r="B8145" s="8">
        <v>393.75</v>
      </c>
      <c r="C8145" s="8">
        <v>20.478950000000001</v>
      </c>
      <c r="D8145" s="8">
        <v>60</v>
      </c>
      <c r="E8145" s="8">
        <v>0</v>
      </c>
      <c r="F8145" s="8">
        <v>0</v>
      </c>
      <c r="G8145" s="8">
        <v>0</v>
      </c>
      <c r="H8145" s="8" t="s">
        <v>41928</v>
      </c>
      <c r="I8145" s="8">
        <v>526.6875</v>
      </c>
      <c r="J8145" s="3">
        <f t="shared" si="127"/>
        <v>43749.063709965274</v>
      </c>
    </row>
    <row r="8146" spans="1:10" x14ac:dyDescent="0.25">
      <c r="A8146" s="5" t="s">
        <v>41929</v>
      </c>
      <c r="B8146" s="6">
        <v>393.75</v>
      </c>
      <c r="C8146" s="6">
        <v>20.478950000000001</v>
      </c>
      <c r="D8146" s="6">
        <v>61</v>
      </c>
      <c r="E8146" s="6">
        <v>0</v>
      </c>
      <c r="F8146" s="6">
        <v>0</v>
      </c>
      <c r="G8146" s="6">
        <v>9</v>
      </c>
      <c r="H8146" s="6" t="s">
        <v>41930</v>
      </c>
      <c r="I8146" s="6">
        <v>526.6875</v>
      </c>
      <c r="J8146" s="2">
        <f t="shared" si="127"/>
        <v>43749.06378178241</v>
      </c>
    </row>
    <row r="8147" spans="1:10" x14ac:dyDescent="0.25">
      <c r="A8147" s="7" t="s">
        <v>41931</v>
      </c>
      <c r="B8147" s="8">
        <v>393.75</v>
      </c>
      <c r="C8147" s="8">
        <v>20.478950000000001</v>
      </c>
      <c r="D8147" s="8">
        <v>61</v>
      </c>
      <c r="E8147" s="8">
        <v>0</v>
      </c>
      <c r="F8147" s="8">
        <v>0</v>
      </c>
      <c r="G8147" s="8">
        <v>9</v>
      </c>
      <c r="H8147" s="8" t="s">
        <v>41932</v>
      </c>
      <c r="I8147" s="8">
        <v>526.6875</v>
      </c>
      <c r="J8147" s="3">
        <f t="shared" si="127"/>
        <v>43749.063853078704</v>
      </c>
    </row>
    <row r="8148" spans="1:10" x14ac:dyDescent="0.25">
      <c r="A8148" s="5" t="s">
        <v>41933</v>
      </c>
      <c r="B8148" s="6">
        <v>393.75</v>
      </c>
      <c r="C8148" s="6">
        <v>20.478950000000001</v>
      </c>
      <c r="D8148" s="6">
        <v>63</v>
      </c>
      <c r="E8148" s="6">
        <v>0</v>
      </c>
      <c r="F8148" s="6">
        <v>0</v>
      </c>
      <c r="G8148" s="6">
        <v>0</v>
      </c>
      <c r="H8148" s="6" t="s">
        <v>41934</v>
      </c>
      <c r="I8148" s="6">
        <v>526.6875</v>
      </c>
      <c r="J8148" s="2">
        <f t="shared" si="127"/>
        <v>43749.063925300921</v>
      </c>
    </row>
    <row r="8149" spans="1:10" x14ac:dyDescent="0.25">
      <c r="A8149" s="7" t="s">
        <v>41935</v>
      </c>
      <c r="B8149" s="8">
        <v>393.75</v>
      </c>
      <c r="C8149" s="8">
        <v>20.478950000000001</v>
      </c>
      <c r="D8149" s="8">
        <v>65</v>
      </c>
      <c r="E8149" s="8">
        <v>0</v>
      </c>
      <c r="F8149" s="8">
        <v>0</v>
      </c>
      <c r="G8149" s="8">
        <v>3</v>
      </c>
      <c r="H8149" s="8" t="s">
        <v>41936</v>
      </c>
      <c r="I8149" s="8">
        <v>526.6875</v>
      </c>
      <c r="J8149" s="3">
        <f t="shared" si="127"/>
        <v>43749.063996597215</v>
      </c>
    </row>
    <row r="8150" spans="1:10" x14ac:dyDescent="0.25">
      <c r="A8150" s="5" t="s">
        <v>41937</v>
      </c>
      <c r="B8150" s="6">
        <v>393.75</v>
      </c>
      <c r="C8150" s="6">
        <v>20.478950000000001</v>
      </c>
      <c r="D8150" s="6">
        <v>65</v>
      </c>
      <c r="E8150" s="6">
        <v>0</v>
      </c>
      <c r="F8150" s="6">
        <v>0</v>
      </c>
      <c r="G8150" s="6">
        <v>5</v>
      </c>
      <c r="H8150" s="6" t="s">
        <v>41938</v>
      </c>
      <c r="I8150" s="6">
        <v>526.6875</v>
      </c>
      <c r="J8150" s="2">
        <f t="shared" si="127"/>
        <v>43749.064067893516</v>
      </c>
    </row>
    <row r="8151" spans="1:10" x14ac:dyDescent="0.25">
      <c r="A8151" s="7" t="s">
        <v>41939</v>
      </c>
      <c r="B8151" s="8">
        <v>393.75</v>
      </c>
      <c r="C8151" s="8">
        <v>20.478950000000001</v>
      </c>
      <c r="D8151" s="8">
        <v>65</v>
      </c>
      <c r="E8151" s="8">
        <v>0</v>
      </c>
      <c r="F8151" s="8">
        <v>0</v>
      </c>
      <c r="G8151" s="8">
        <v>4</v>
      </c>
      <c r="H8151" s="8" t="s">
        <v>41940</v>
      </c>
      <c r="I8151" s="8">
        <v>526.5</v>
      </c>
      <c r="J8151" s="3">
        <f t="shared" si="127"/>
        <v>43749.064139305548</v>
      </c>
    </row>
    <row r="8152" spans="1:10" x14ac:dyDescent="0.25">
      <c r="A8152" s="5" t="s">
        <v>41941</v>
      </c>
      <c r="B8152" s="6">
        <v>412.5</v>
      </c>
      <c r="C8152" s="6">
        <v>20.478950000000001</v>
      </c>
      <c r="D8152" s="6">
        <v>65</v>
      </c>
      <c r="E8152" s="6">
        <v>0</v>
      </c>
      <c r="F8152" s="6">
        <v>0</v>
      </c>
      <c r="G8152" s="6">
        <v>7</v>
      </c>
      <c r="H8152" s="6" t="s">
        <v>41942</v>
      </c>
      <c r="I8152" s="6">
        <v>532.3125</v>
      </c>
      <c r="J8152" s="2">
        <f t="shared" si="127"/>
        <v>43749.064222546294</v>
      </c>
    </row>
    <row r="8153" spans="1:10" x14ac:dyDescent="0.25">
      <c r="A8153" s="7" t="s">
        <v>41943</v>
      </c>
      <c r="B8153" s="8">
        <v>393.75</v>
      </c>
      <c r="C8153" s="8">
        <v>20.478950000000001</v>
      </c>
      <c r="D8153" s="8">
        <v>64</v>
      </c>
      <c r="E8153" s="8">
        <v>0</v>
      </c>
      <c r="F8153" s="8">
        <v>0</v>
      </c>
      <c r="G8153" s="8">
        <v>7</v>
      </c>
      <c r="H8153" s="8" t="s">
        <v>41944</v>
      </c>
      <c r="I8153" s="8">
        <v>526.6875</v>
      </c>
      <c r="J8153" s="3">
        <f t="shared" si="127"/>
        <v>43749.064294710646</v>
      </c>
    </row>
    <row r="8154" spans="1:10" x14ac:dyDescent="0.25">
      <c r="A8154" s="5" t="s">
        <v>41945</v>
      </c>
      <c r="B8154" s="6">
        <v>393.75</v>
      </c>
      <c r="C8154" s="6">
        <v>20.478950000000001</v>
      </c>
      <c r="D8154" s="6">
        <v>63</v>
      </c>
      <c r="E8154" s="6">
        <v>0</v>
      </c>
      <c r="F8154" s="6">
        <v>0</v>
      </c>
      <c r="G8154" s="6">
        <v>7</v>
      </c>
      <c r="H8154" s="6" t="s">
        <v>41946</v>
      </c>
      <c r="I8154" s="6">
        <v>526.6875</v>
      </c>
      <c r="J8154" s="2">
        <f t="shared" si="127"/>
        <v>43749.064366076382</v>
      </c>
    </row>
    <row r="8155" spans="1:10" x14ac:dyDescent="0.25">
      <c r="A8155" s="7" t="s">
        <v>41947</v>
      </c>
      <c r="B8155" s="8">
        <v>393.75</v>
      </c>
      <c r="C8155" s="8">
        <v>20.478950000000001</v>
      </c>
      <c r="D8155" s="8">
        <v>62</v>
      </c>
      <c r="E8155" s="8">
        <v>0</v>
      </c>
      <c r="F8155" s="8">
        <v>0</v>
      </c>
      <c r="G8155" s="8">
        <v>12</v>
      </c>
      <c r="H8155" s="8" t="s">
        <v>41948</v>
      </c>
      <c r="I8155" s="8">
        <v>526.6875</v>
      </c>
      <c r="J8155" s="3">
        <f t="shared" si="127"/>
        <v>43749.064437604167</v>
      </c>
    </row>
    <row r="8156" spans="1:10" x14ac:dyDescent="0.25">
      <c r="A8156" s="5" t="s">
        <v>41949</v>
      </c>
      <c r="B8156" s="6">
        <v>393.75</v>
      </c>
      <c r="C8156" s="6">
        <v>20.478950000000001</v>
      </c>
      <c r="D8156" s="6">
        <v>62</v>
      </c>
      <c r="E8156" s="6">
        <v>0</v>
      </c>
      <c r="F8156" s="6">
        <v>0</v>
      </c>
      <c r="G8156" s="6">
        <v>0</v>
      </c>
      <c r="H8156" s="6" t="s">
        <v>41950</v>
      </c>
      <c r="I8156" s="6">
        <v>526.5</v>
      </c>
      <c r="J8156" s="2">
        <f t="shared" si="127"/>
        <v>43749.064509583332</v>
      </c>
    </row>
    <row r="8157" spans="1:10" x14ac:dyDescent="0.25">
      <c r="A8157" s="7" t="s">
        <v>41951</v>
      </c>
      <c r="B8157" s="8">
        <v>393.75</v>
      </c>
      <c r="C8157" s="8">
        <v>20.478950000000001</v>
      </c>
      <c r="D8157" s="8">
        <v>62</v>
      </c>
      <c r="E8157" s="8">
        <v>0</v>
      </c>
      <c r="F8157" s="8">
        <v>0</v>
      </c>
      <c r="G8157" s="8">
        <v>0</v>
      </c>
      <c r="H8157" s="8" t="s">
        <v>41952</v>
      </c>
      <c r="I8157" s="8">
        <v>526.6875</v>
      </c>
      <c r="J8157" s="3">
        <f t="shared" si="127"/>
        <v>43749.064580879633</v>
      </c>
    </row>
    <row r="8158" spans="1:10" x14ac:dyDescent="0.25">
      <c r="A8158" s="5" t="s">
        <v>41953</v>
      </c>
      <c r="B8158" s="6">
        <v>393.75</v>
      </c>
      <c r="C8158" s="6">
        <v>20.478950000000001</v>
      </c>
      <c r="D8158" s="6">
        <v>62</v>
      </c>
      <c r="E8158" s="6">
        <v>0</v>
      </c>
      <c r="F8158" s="6">
        <v>0</v>
      </c>
      <c r="G8158" s="6">
        <v>0</v>
      </c>
      <c r="H8158" s="6" t="s">
        <v>41954</v>
      </c>
      <c r="I8158" s="6">
        <v>526.5</v>
      </c>
      <c r="J8158" s="2">
        <f t="shared" si="127"/>
        <v>43749.06465231481</v>
      </c>
    </row>
    <row r="8159" spans="1:10" x14ac:dyDescent="0.25">
      <c r="A8159" s="7" t="s">
        <v>41955</v>
      </c>
      <c r="B8159" s="8">
        <v>393.75</v>
      </c>
      <c r="C8159" s="8">
        <v>20.478950000000001</v>
      </c>
      <c r="D8159" s="8">
        <v>62</v>
      </c>
      <c r="E8159" s="8">
        <v>0</v>
      </c>
      <c r="F8159" s="8">
        <v>0</v>
      </c>
      <c r="G8159" s="8">
        <v>0</v>
      </c>
      <c r="H8159" s="8" t="s">
        <v>41956</v>
      </c>
      <c r="I8159" s="8">
        <v>526.6875</v>
      </c>
      <c r="J8159" s="3">
        <f t="shared" si="127"/>
        <v>43749.064724560179</v>
      </c>
    </row>
    <row r="8160" spans="1:10" x14ac:dyDescent="0.25">
      <c r="A8160" s="5" t="s">
        <v>41957</v>
      </c>
      <c r="B8160" s="6">
        <v>393.75</v>
      </c>
      <c r="C8160" s="6">
        <v>20.426300000000001</v>
      </c>
      <c r="D8160" s="6">
        <v>62</v>
      </c>
      <c r="E8160" s="6">
        <v>0</v>
      </c>
      <c r="F8160" s="6">
        <v>0</v>
      </c>
      <c r="G8160" s="6">
        <v>1</v>
      </c>
      <c r="H8160" s="6" t="s">
        <v>41958</v>
      </c>
      <c r="I8160" s="6">
        <v>526.6875</v>
      </c>
      <c r="J8160" s="2">
        <f t="shared" si="127"/>
        <v>43749.064795694438</v>
      </c>
    </row>
    <row r="8161" spans="1:10" x14ac:dyDescent="0.25">
      <c r="A8161" s="7" t="s">
        <v>41959</v>
      </c>
      <c r="B8161" s="8">
        <v>393.75</v>
      </c>
      <c r="C8161" s="8">
        <v>20.426300000000001</v>
      </c>
      <c r="D8161" s="8">
        <v>62</v>
      </c>
      <c r="E8161" s="8">
        <v>0</v>
      </c>
      <c r="F8161" s="8">
        <v>0</v>
      </c>
      <c r="G8161" s="8">
        <v>9</v>
      </c>
      <c r="H8161" s="8" t="s">
        <v>41960</v>
      </c>
      <c r="I8161" s="8">
        <v>526.6875</v>
      </c>
      <c r="J8161" s="3">
        <f t="shared" si="127"/>
        <v>43749.06487898148</v>
      </c>
    </row>
    <row r="8162" spans="1:10" x14ac:dyDescent="0.25">
      <c r="A8162" s="5" t="s">
        <v>41961</v>
      </c>
      <c r="B8162" s="6">
        <v>393.75</v>
      </c>
      <c r="C8162" s="6">
        <v>20.426300000000001</v>
      </c>
      <c r="D8162" s="6">
        <v>62</v>
      </c>
      <c r="E8162" s="6">
        <v>0</v>
      </c>
      <c r="F8162" s="6">
        <v>0</v>
      </c>
      <c r="G8162" s="6">
        <v>7</v>
      </c>
      <c r="H8162" s="6" t="s">
        <v>41962</v>
      </c>
      <c r="I8162" s="6">
        <v>526.5</v>
      </c>
      <c r="J8162" s="2">
        <f t="shared" si="127"/>
        <v>43749.064950277774</v>
      </c>
    </row>
    <row r="8163" spans="1:10" x14ac:dyDescent="0.25">
      <c r="A8163" s="7" t="s">
        <v>41963</v>
      </c>
      <c r="B8163" s="8">
        <v>393.75</v>
      </c>
      <c r="C8163" s="8">
        <v>20.478950000000001</v>
      </c>
      <c r="D8163" s="8">
        <v>62</v>
      </c>
      <c r="E8163" s="8">
        <v>0</v>
      </c>
      <c r="F8163" s="8">
        <v>0</v>
      </c>
      <c r="G8163" s="8">
        <v>10</v>
      </c>
      <c r="H8163" s="8" t="s">
        <v>41964</v>
      </c>
      <c r="I8163" s="8">
        <v>526.6875</v>
      </c>
      <c r="J8163" s="3">
        <f t="shared" si="127"/>
        <v>43749.065022557865</v>
      </c>
    </row>
    <row r="8164" spans="1:10" x14ac:dyDescent="0.25">
      <c r="A8164" s="5" t="s">
        <v>41965</v>
      </c>
      <c r="B8164" s="6">
        <v>412.5</v>
      </c>
      <c r="C8164" s="6">
        <v>20.426300000000001</v>
      </c>
      <c r="D8164" s="6">
        <v>62</v>
      </c>
      <c r="E8164" s="6">
        <v>0</v>
      </c>
      <c r="F8164" s="6">
        <v>0</v>
      </c>
      <c r="G8164" s="6">
        <v>1</v>
      </c>
      <c r="H8164" s="6" t="s">
        <v>41966</v>
      </c>
      <c r="I8164" s="6">
        <v>532.5</v>
      </c>
      <c r="J8164" s="2">
        <f t="shared" si="127"/>
        <v>43749.06509384259</v>
      </c>
    </row>
    <row r="8165" spans="1:10" x14ac:dyDescent="0.25">
      <c r="A8165" s="7" t="s">
        <v>41967</v>
      </c>
      <c r="B8165" s="8">
        <v>393.75</v>
      </c>
      <c r="C8165" s="8">
        <v>20.478950000000001</v>
      </c>
      <c r="D8165" s="8">
        <v>62</v>
      </c>
      <c r="E8165" s="8">
        <v>0</v>
      </c>
      <c r="F8165" s="8">
        <v>0</v>
      </c>
      <c r="G8165" s="8">
        <v>5</v>
      </c>
      <c r="H8165" s="8" t="s">
        <v>41968</v>
      </c>
      <c r="I8165" s="8">
        <v>526.6875</v>
      </c>
      <c r="J8165" s="3">
        <f t="shared" si="127"/>
        <v>43749.065165127315</v>
      </c>
    </row>
    <row r="8166" spans="1:10" x14ac:dyDescent="0.25">
      <c r="A8166" s="5" t="s">
        <v>41969</v>
      </c>
      <c r="B8166" s="6">
        <v>393.75</v>
      </c>
      <c r="C8166" s="6">
        <v>20.478950000000001</v>
      </c>
      <c r="D8166" s="6">
        <v>62</v>
      </c>
      <c r="E8166" s="6">
        <v>0</v>
      </c>
      <c r="F8166" s="6">
        <v>0</v>
      </c>
      <c r="G8166" s="6">
        <v>0</v>
      </c>
      <c r="H8166" s="6" t="s">
        <v>41970</v>
      </c>
      <c r="I8166" s="6">
        <v>526.5</v>
      </c>
      <c r="J8166" s="2">
        <f t="shared" si="127"/>
        <v>43749.065236446761</v>
      </c>
    </row>
    <row r="8167" spans="1:10" x14ac:dyDescent="0.25">
      <c r="A8167" s="7" t="s">
        <v>41971</v>
      </c>
      <c r="B8167" s="8">
        <v>393.75</v>
      </c>
      <c r="C8167" s="8">
        <v>20.478950000000001</v>
      </c>
      <c r="D8167" s="8">
        <v>65</v>
      </c>
      <c r="E8167" s="8">
        <v>0</v>
      </c>
      <c r="F8167" s="8">
        <v>0</v>
      </c>
      <c r="G8167" s="8">
        <v>4</v>
      </c>
      <c r="H8167" s="8" t="s">
        <v>41972</v>
      </c>
      <c r="I8167" s="8">
        <v>526.6875</v>
      </c>
      <c r="J8167" s="3">
        <f t="shared" si="127"/>
        <v>43749.065308645826</v>
      </c>
    </row>
    <row r="8168" spans="1:10" x14ac:dyDescent="0.25">
      <c r="A8168" s="5" t="s">
        <v>41973</v>
      </c>
      <c r="B8168" s="6">
        <v>393.75</v>
      </c>
      <c r="C8168" s="6">
        <v>20.478950000000001</v>
      </c>
      <c r="D8168" s="6">
        <v>65</v>
      </c>
      <c r="E8168" s="6">
        <v>0</v>
      </c>
      <c r="F8168" s="6">
        <v>0</v>
      </c>
      <c r="G8168" s="6">
        <v>0</v>
      </c>
      <c r="H8168" s="6" t="s">
        <v>41974</v>
      </c>
      <c r="I8168" s="6">
        <v>526.6875</v>
      </c>
      <c r="J8168" s="2">
        <f t="shared" si="127"/>
        <v>43749.06540402778</v>
      </c>
    </row>
    <row r="8169" spans="1:10" x14ac:dyDescent="0.25">
      <c r="A8169" s="7" t="s">
        <v>41975</v>
      </c>
      <c r="B8169" s="8">
        <v>393.75</v>
      </c>
      <c r="C8169" s="8">
        <v>20.478950000000001</v>
      </c>
      <c r="D8169" s="8">
        <v>64</v>
      </c>
      <c r="E8169" s="8">
        <v>0</v>
      </c>
      <c r="F8169" s="8">
        <v>0</v>
      </c>
      <c r="G8169" s="8">
        <v>10</v>
      </c>
      <c r="H8169" s="8" t="s">
        <v>41976</v>
      </c>
      <c r="I8169" s="8">
        <v>526.6875</v>
      </c>
      <c r="J8169" s="3">
        <f t="shared" si="127"/>
        <v>43749.065487361113</v>
      </c>
    </row>
    <row r="8170" spans="1:10" x14ac:dyDescent="0.25">
      <c r="A8170" s="5" t="s">
        <v>41977</v>
      </c>
      <c r="B8170" s="6">
        <v>412.5</v>
      </c>
      <c r="C8170" s="6">
        <v>20.478950000000001</v>
      </c>
      <c r="D8170" s="6">
        <v>64</v>
      </c>
      <c r="E8170" s="6">
        <v>0</v>
      </c>
      <c r="F8170" s="6">
        <v>0</v>
      </c>
      <c r="G8170" s="6">
        <v>11</v>
      </c>
      <c r="H8170" s="6" t="s">
        <v>41978</v>
      </c>
      <c r="I8170" s="6">
        <v>532.6875</v>
      </c>
      <c r="J8170" s="2">
        <f t="shared" si="127"/>
        <v>43749.065558888884</v>
      </c>
    </row>
    <row r="8171" spans="1:10" x14ac:dyDescent="0.25">
      <c r="A8171" s="7" t="s">
        <v>41979</v>
      </c>
      <c r="B8171" s="8">
        <v>393.75</v>
      </c>
      <c r="C8171" s="8">
        <v>20.478950000000001</v>
      </c>
      <c r="D8171" s="8">
        <v>62</v>
      </c>
      <c r="E8171" s="8">
        <v>0</v>
      </c>
      <c r="F8171" s="8">
        <v>0</v>
      </c>
      <c r="G8171" s="8">
        <v>2</v>
      </c>
      <c r="H8171" s="8" t="s">
        <v>41980</v>
      </c>
      <c r="I8171" s="8">
        <v>526.6875</v>
      </c>
      <c r="J8171" s="3">
        <f t="shared" si="127"/>
        <v>43749.065629965276</v>
      </c>
    </row>
    <row r="8172" spans="1:10" x14ac:dyDescent="0.25">
      <c r="A8172" s="5" t="s">
        <v>41981</v>
      </c>
      <c r="B8172" s="6">
        <v>393.75</v>
      </c>
      <c r="C8172" s="6">
        <v>20.478950000000001</v>
      </c>
      <c r="D8172" s="6">
        <v>61</v>
      </c>
      <c r="E8172" s="6">
        <v>0</v>
      </c>
      <c r="F8172" s="6">
        <v>0</v>
      </c>
      <c r="G8172" s="6">
        <v>3</v>
      </c>
      <c r="H8172" s="6" t="s">
        <v>41982</v>
      </c>
      <c r="I8172" s="6">
        <v>526.6875</v>
      </c>
      <c r="J8172" s="2">
        <f t="shared" si="127"/>
        <v>43749.065702118052</v>
      </c>
    </row>
    <row r="8173" spans="1:10" x14ac:dyDescent="0.25">
      <c r="A8173" s="7" t="s">
        <v>41983</v>
      </c>
      <c r="B8173" s="8">
        <v>393.75</v>
      </c>
      <c r="C8173" s="8">
        <v>20.478950000000001</v>
      </c>
      <c r="D8173" s="8">
        <v>58</v>
      </c>
      <c r="E8173" s="8">
        <v>0</v>
      </c>
      <c r="F8173" s="8">
        <v>0</v>
      </c>
      <c r="G8173" s="8">
        <v>3</v>
      </c>
      <c r="H8173" s="8" t="s">
        <v>41984</v>
      </c>
      <c r="I8173" s="8">
        <v>526.6875</v>
      </c>
      <c r="J8173" s="3">
        <f t="shared" si="127"/>
        <v>43749.065773425922</v>
      </c>
    </row>
    <row r="8174" spans="1:10" x14ac:dyDescent="0.25">
      <c r="A8174" s="5" t="s">
        <v>41985</v>
      </c>
      <c r="B8174" s="6">
        <v>393.75</v>
      </c>
      <c r="C8174" s="6">
        <v>20.478950000000001</v>
      </c>
      <c r="D8174" s="6">
        <v>58</v>
      </c>
      <c r="E8174" s="6">
        <v>0</v>
      </c>
      <c r="F8174" s="6">
        <v>0</v>
      </c>
      <c r="G8174" s="6">
        <v>15</v>
      </c>
      <c r="H8174" s="6" t="s">
        <v>41986</v>
      </c>
      <c r="I8174" s="6">
        <v>526.6875</v>
      </c>
      <c r="J8174" s="2">
        <f t="shared" si="127"/>
        <v>43749.065844780089</v>
      </c>
    </row>
    <row r="8175" spans="1:10" x14ac:dyDescent="0.25">
      <c r="A8175" s="7" t="s">
        <v>41987</v>
      </c>
      <c r="B8175" s="8">
        <v>393.75</v>
      </c>
      <c r="C8175" s="8">
        <v>20.478950000000001</v>
      </c>
      <c r="D8175" s="8">
        <v>58</v>
      </c>
      <c r="E8175" s="8">
        <v>0</v>
      </c>
      <c r="F8175" s="8">
        <v>0</v>
      </c>
      <c r="G8175" s="8">
        <v>3</v>
      </c>
      <c r="H8175" s="8" t="s">
        <v>41988</v>
      </c>
      <c r="I8175" s="8">
        <v>526.5</v>
      </c>
      <c r="J8175" s="3">
        <f t="shared" si="127"/>
        <v>43749.06591734953</v>
      </c>
    </row>
    <row r="8176" spans="1:10" x14ac:dyDescent="0.25">
      <c r="A8176" s="5" t="s">
        <v>41989</v>
      </c>
      <c r="B8176" s="6">
        <v>393.75</v>
      </c>
      <c r="C8176" s="6">
        <v>20.478950000000001</v>
      </c>
      <c r="D8176" s="6">
        <v>58</v>
      </c>
      <c r="E8176" s="6">
        <v>0</v>
      </c>
      <c r="F8176" s="6">
        <v>0</v>
      </c>
      <c r="G8176" s="6">
        <v>10</v>
      </c>
      <c r="H8176" s="6" t="s">
        <v>41990</v>
      </c>
      <c r="I8176" s="6">
        <v>526.5</v>
      </c>
      <c r="J8176" s="2">
        <f t="shared" si="127"/>
        <v>43749.066000254628</v>
      </c>
    </row>
    <row r="8177" spans="1:10" x14ac:dyDescent="0.25">
      <c r="A8177" s="7" t="s">
        <v>41991</v>
      </c>
      <c r="B8177" s="8">
        <v>393.75</v>
      </c>
      <c r="C8177" s="8">
        <v>20.478950000000001</v>
      </c>
      <c r="D8177" s="8">
        <v>59</v>
      </c>
      <c r="E8177" s="8">
        <v>0</v>
      </c>
      <c r="F8177" s="8">
        <v>0</v>
      </c>
      <c r="G8177" s="8">
        <v>3</v>
      </c>
      <c r="H8177" s="8" t="s">
        <v>41992</v>
      </c>
      <c r="I8177" s="8">
        <v>526.5</v>
      </c>
      <c r="J8177" s="3">
        <f t="shared" si="127"/>
        <v>43749.066071631947</v>
      </c>
    </row>
    <row r="8178" spans="1:10" x14ac:dyDescent="0.25">
      <c r="A8178" s="5" t="s">
        <v>41993</v>
      </c>
      <c r="B8178" s="6">
        <v>412.5</v>
      </c>
      <c r="C8178" s="6">
        <v>20.478950000000001</v>
      </c>
      <c r="D8178" s="6">
        <v>59</v>
      </c>
      <c r="E8178" s="6">
        <v>0</v>
      </c>
      <c r="F8178" s="6">
        <v>0</v>
      </c>
      <c r="G8178" s="6">
        <v>5</v>
      </c>
      <c r="H8178" s="6" t="s">
        <v>41994</v>
      </c>
      <c r="I8178" s="6">
        <v>532.3125</v>
      </c>
      <c r="J8178" s="2">
        <f t="shared" si="127"/>
        <v>43749.066142928241</v>
      </c>
    </row>
    <row r="8179" spans="1:10" x14ac:dyDescent="0.25">
      <c r="A8179" s="7" t="s">
        <v>41995</v>
      </c>
      <c r="B8179" s="8">
        <v>393.75</v>
      </c>
      <c r="C8179" s="8">
        <v>20.478950000000001</v>
      </c>
      <c r="D8179" s="8">
        <v>60</v>
      </c>
      <c r="E8179" s="8">
        <v>0</v>
      </c>
      <c r="F8179" s="8">
        <v>0</v>
      </c>
      <c r="G8179" s="8">
        <v>7</v>
      </c>
      <c r="H8179" s="8" t="s">
        <v>41996</v>
      </c>
      <c r="I8179" s="8">
        <v>526.6875</v>
      </c>
      <c r="J8179" s="3">
        <f t="shared" si="127"/>
        <v>43749.066214965271</v>
      </c>
    </row>
    <row r="8180" spans="1:10" x14ac:dyDescent="0.25">
      <c r="A8180" s="5" t="s">
        <v>41997</v>
      </c>
      <c r="B8180" s="6">
        <v>393.75</v>
      </c>
      <c r="C8180" s="6">
        <v>20.478950000000001</v>
      </c>
      <c r="D8180" s="6">
        <v>60</v>
      </c>
      <c r="E8180" s="6">
        <v>0</v>
      </c>
      <c r="F8180" s="6">
        <v>0</v>
      </c>
      <c r="G8180" s="6">
        <v>15</v>
      </c>
      <c r="H8180" s="6" t="s">
        <v>41998</v>
      </c>
      <c r="I8180" s="6">
        <v>526.5</v>
      </c>
      <c r="J8180" s="2">
        <f t="shared" si="127"/>
        <v>43749.066286435183</v>
      </c>
    </row>
    <row r="8181" spans="1:10" x14ac:dyDescent="0.25">
      <c r="A8181" s="7" t="s">
        <v>41999</v>
      </c>
      <c r="B8181" s="8">
        <v>393.75</v>
      </c>
      <c r="C8181" s="8">
        <v>20.478950000000001</v>
      </c>
      <c r="D8181" s="8">
        <v>60</v>
      </c>
      <c r="E8181" s="8">
        <v>0</v>
      </c>
      <c r="F8181" s="8">
        <v>0</v>
      </c>
      <c r="G8181" s="8">
        <v>8</v>
      </c>
      <c r="H8181" s="8" t="s">
        <v>42000</v>
      </c>
      <c r="I8181" s="8">
        <v>526.5</v>
      </c>
      <c r="J8181" s="3">
        <f t="shared" si="127"/>
        <v>43749.066363935184</v>
      </c>
    </row>
    <row r="8182" spans="1:10" x14ac:dyDescent="0.25">
      <c r="A8182" s="5" t="s">
        <v>42001</v>
      </c>
      <c r="B8182" s="6">
        <v>412.5</v>
      </c>
      <c r="C8182" s="6">
        <v>20.478950000000001</v>
      </c>
      <c r="D8182" s="6">
        <v>64</v>
      </c>
      <c r="E8182" s="6">
        <v>0</v>
      </c>
      <c r="F8182" s="6">
        <v>0</v>
      </c>
      <c r="G8182" s="6">
        <v>12</v>
      </c>
      <c r="H8182" s="6" t="s">
        <v>42002</v>
      </c>
      <c r="I8182" s="6">
        <v>532.125</v>
      </c>
      <c r="J8182" s="2">
        <f t="shared" si="127"/>
        <v>43749.066441134259</v>
      </c>
    </row>
    <row r="8183" spans="1:10" x14ac:dyDescent="0.25">
      <c r="A8183" s="7" t="s">
        <v>42003</v>
      </c>
      <c r="B8183" s="8">
        <v>393.75</v>
      </c>
      <c r="C8183" s="8">
        <v>20.478950000000001</v>
      </c>
      <c r="D8183" s="8">
        <v>64</v>
      </c>
      <c r="E8183" s="8">
        <v>0</v>
      </c>
      <c r="F8183" s="8">
        <v>0</v>
      </c>
      <c r="G8183" s="8">
        <v>8</v>
      </c>
      <c r="H8183" s="8" t="s">
        <v>42004</v>
      </c>
      <c r="I8183" s="8">
        <v>526.5</v>
      </c>
      <c r="J8183" s="3">
        <f t="shared" si="127"/>
        <v>43749.066512361103</v>
      </c>
    </row>
    <row r="8184" spans="1:10" x14ac:dyDescent="0.25">
      <c r="A8184" s="5" t="s">
        <v>42005</v>
      </c>
      <c r="B8184" s="6">
        <v>393.75</v>
      </c>
      <c r="C8184" s="6">
        <v>20.478950000000001</v>
      </c>
      <c r="D8184" s="6">
        <v>63</v>
      </c>
      <c r="E8184" s="6">
        <v>0</v>
      </c>
      <c r="F8184" s="6">
        <v>0</v>
      </c>
      <c r="G8184" s="6">
        <v>0</v>
      </c>
      <c r="H8184" s="6" t="s">
        <v>42006</v>
      </c>
      <c r="I8184" s="6">
        <v>526.6875</v>
      </c>
      <c r="J8184" s="2">
        <f t="shared" si="127"/>
        <v>43749.066584537031</v>
      </c>
    </row>
    <row r="8185" spans="1:10" x14ac:dyDescent="0.25">
      <c r="A8185" s="7" t="s">
        <v>42007</v>
      </c>
      <c r="B8185" s="8">
        <v>393.75</v>
      </c>
      <c r="C8185" s="8">
        <v>20.478950000000001</v>
      </c>
      <c r="D8185" s="8">
        <v>62</v>
      </c>
      <c r="E8185" s="8">
        <v>0</v>
      </c>
      <c r="F8185" s="8">
        <v>0</v>
      </c>
      <c r="G8185" s="8">
        <v>0</v>
      </c>
      <c r="H8185" s="8" t="s">
        <v>42008</v>
      </c>
      <c r="I8185" s="8">
        <v>526.6875</v>
      </c>
      <c r="J8185" s="3">
        <f t="shared" si="127"/>
        <v>43749.066679942123</v>
      </c>
    </row>
    <row r="8186" spans="1:10" x14ac:dyDescent="0.25">
      <c r="A8186" s="5" t="s">
        <v>42009</v>
      </c>
      <c r="B8186" s="6">
        <v>393.75</v>
      </c>
      <c r="C8186" s="6">
        <v>20.426300000000001</v>
      </c>
      <c r="D8186" s="6">
        <v>62</v>
      </c>
      <c r="E8186" s="6">
        <v>0</v>
      </c>
      <c r="F8186" s="6">
        <v>0</v>
      </c>
      <c r="G8186" s="6">
        <v>1</v>
      </c>
      <c r="H8186" s="6" t="s">
        <v>42010</v>
      </c>
      <c r="I8186" s="6">
        <v>526.6875</v>
      </c>
      <c r="J8186" s="2">
        <f t="shared" si="127"/>
        <v>43749.066751238424</v>
      </c>
    </row>
    <row r="8187" spans="1:10" x14ac:dyDescent="0.25">
      <c r="A8187" s="7" t="s">
        <v>42011</v>
      </c>
      <c r="B8187" s="8">
        <v>393.75</v>
      </c>
      <c r="C8187" s="8">
        <v>20.478950000000001</v>
      </c>
      <c r="D8187" s="8">
        <v>62</v>
      </c>
      <c r="E8187" s="8">
        <v>0</v>
      </c>
      <c r="F8187" s="8">
        <v>0</v>
      </c>
      <c r="G8187" s="8">
        <v>10</v>
      </c>
      <c r="H8187" s="8" t="s">
        <v>42012</v>
      </c>
      <c r="I8187" s="8">
        <v>526.6875</v>
      </c>
      <c r="J8187" s="3">
        <f t="shared" si="127"/>
        <v>43749.066822557863</v>
      </c>
    </row>
    <row r="8188" spans="1:10" x14ac:dyDescent="0.25">
      <c r="A8188" s="5" t="s">
        <v>42013</v>
      </c>
      <c r="B8188" s="6">
        <v>393.75</v>
      </c>
      <c r="C8188" s="6">
        <v>20.478950000000001</v>
      </c>
      <c r="D8188" s="6">
        <v>63</v>
      </c>
      <c r="E8188" s="6">
        <v>0</v>
      </c>
      <c r="F8188" s="6">
        <v>0</v>
      </c>
      <c r="G8188" s="6">
        <v>10</v>
      </c>
      <c r="H8188" s="6" t="s">
        <v>42014</v>
      </c>
      <c r="I8188" s="6">
        <v>526.6875</v>
      </c>
      <c r="J8188" s="2">
        <f t="shared" si="127"/>
        <v>43749.066894768512</v>
      </c>
    </row>
    <row r="8189" spans="1:10" x14ac:dyDescent="0.25">
      <c r="A8189" s="7" t="s">
        <v>42015</v>
      </c>
      <c r="B8189" s="8">
        <v>393.75</v>
      </c>
      <c r="C8189" s="8">
        <v>20.478950000000001</v>
      </c>
      <c r="D8189" s="8">
        <v>62</v>
      </c>
      <c r="E8189" s="8">
        <v>0</v>
      </c>
      <c r="F8189" s="8">
        <v>0</v>
      </c>
      <c r="G8189" s="8">
        <v>5</v>
      </c>
      <c r="H8189" s="8" t="s">
        <v>42016</v>
      </c>
      <c r="I8189" s="8">
        <v>526.6875</v>
      </c>
      <c r="J8189" s="3">
        <f t="shared" si="127"/>
        <v>43749.066968194442</v>
      </c>
    </row>
    <row r="8190" spans="1:10" x14ac:dyDescent="0.25">
      <c r="A8190" s="5" t="s">
        <v>42017</v>
      </c>
      <c r="B8190" s="6">
        <v>393.75</v>
      </c>
      <c r="C8190" s="6">
        <v>20.478950000000001</v>
      </c>
      <c r="D8190" s="6">
        <v>62</v>
      </c>
      <c r="E8190" s="6">
        <v>0</v>
      </c>
      <c r="F8190" s="6">
        <v>0</v>
      </c>
      <c r="G8190" s="6">
        <v>6</v>
      </c>
      <c r="H8190" s="6" t="s">
        <v>42018</v>
      </c>
      <c r="I8190" s="6">
        <v>526.6875</v>
      </c>
      <c r="J8190" s="2">
        <f t="shared" si="127"/>
        <v>43749.067049386569</v>
      </c>
    </row>
    <row r="8191" spans="1:10" x14ac:dyDescent="0.25">
      <c r="A8191" s="7" t="s">
        <v>42019</v>
      </c>
      <c r="B8191" s="8">
        <v>393.75</v>
      </c>
      <c r="C8191" s="8">
        <v>20.478950000000001</v>
      </c>
      <c r="D8191" s="8">
        <v>62</v>
      </c>
      <c r="E8191" s="8">
        <v>0</v>
      </c>
      <c r="F8191" s="8">
        <v>0</v>
      </c>
      <c r="G8191" s="8">
        <v>10</v>
      </c>
      <c r="H8191" s="8" t="s">
        <v>42020</v>
      </c>
      <c r="I8191" s="8">
        <v>526.6875</v>
      </c>
      <c r="J8191" s="3">
        <f t="shared" si="127"/>
        <v>43749.067120624997</v>
      </c>
    </row>
    <row r="8192" spans="1:10" x14ac:dyDescent="0.25">
      <c r="A8192" s="5" t="s">
        <v>42021</v>
      </c>
      <c r="B8192" s="6">
        <v>412.5</v>
      </c>
      <c r="C8192" s="6">
        <v>20.478950000000001</v>
      </c>
      <c r="D8192" s="6">
        <v>62</v>
      </c>
      <c r="E8192" s="6">
        <v>0</v>
      </c>
      <c r="F8192" s="6">
        <v>0</v>
      </c>
      <c r="G8192" s="6">
        <v>9</v>
      </c>
      <c r="H8192" s="6" t="s">
        <v>42022</v>
      </c>
      <c r="I8192" s="6">
        <v>532.125</v>
      </c>
      <c r="J8192" s="2">
        <f t="shared" si="127"/>
        <v>43749.067192233793</v>
      </c>
    </row>
    <row r="8193" spans="1:10" x14ac:dyDescent="0.25">
      <c r="A8193" s="7" t="s">
        <v>42023</v>
      </c>
      <c r="B8193" s="8">
        <v>393.75</v>
      </c>
      <c r="C8193" s="8">
        <v>20.478950000000001</v>
      </c>
      <c r="D8193" s="8">
        <v>63</v>
      </c>
      <c r="E8193" s="8">
        <v>0</v>
      </c>
      <c r="F8193" s="8">
        <v>0</v>
      </c>
      <c r="G8193" s="8">
        <v>9</v>
      </c>
      <c r="H8193" s="8" t="s">
        <v>42024</v>
      </c>
      <c r="I8193" s="8">
        <v>526.6875</v>
      </c>
      <c r="J8193" s="3">
        <f t="shared" si="127"/>
        <v>43749.067264224534</v>
      </c>
    </row>
    <row r="8194" spans="1:10" x14ac:dyDescent="0.25">
      <c r="A8194" s="5" t="s">
        <v>42025</v>
      </c>
      <c r="B8194" s="6">
        <v>393.75</v>
      </c>
      <c r="C8194" s="6">
        <v>20.478950000000001</v>
      </c>
      <c r="D8194" s="6">
        <v>63</v>
      </c>
      <c r="E8194" s="6">
        <v>0</v>
      </c>
      <c r="F8194" s="6">
        <v>0</v>
      </c>
      <c r="G8194" s="6">
        <v>11</v>
      </c>
      <c r="H8194" s="6" t="s">
        <v>42026</v>
      </c>
      <c r="I8194" s="6">
        <v>526.6875</v>
      </c>
      <c r="J8194" s="2">
        <f t="shared" ref="J8194:J8257" si="128">(H8194/86400000)+25569+(7/24)</f>
        <v>43749.067335497683</v>
      </c>
    </row>
    <row r="8195" spans="1:10" x14ac:dyDescent="0.25">
      <c r="A8195" s="7" t="s">
        <v>42027</v>
      </c>
      <c r="B8195" s="8">
        <v>393.75</v>
      </c>
      <c r="C8195" s="8">
        <v>20.478950000000001</v>
      </c>
      <c r="D8195" s="8">
        <v>63</v>
      </c>
      <c r="E8195" s="8">
        <v>0</v>
      </c>
      <c r="F8195" s="8">
        <v>0</v>
      </c>
      <c r="G8195" s="8">
        <v>8</v>
      </c>
      <c r="H8195" s="8" t="s">
        <v>42028</v>
      </c>
      <c r="I8195" s="8">
        <v>526.6875</v>
      </c>
      <c r="J8195" s="3">
        <f t="shared" si="128"/>
        <v>43749.067406875001</v>
      </c>
    </row>
    <row r="8196" spans="1:10" x14ac:dyDescent="0.25">
      <c r="A8196" s="5" t="s">
        <v>42029</v>
      </c>
      <c r="B8196" s="6">
        <v>412.5</v>
      </c>
      <c r="C8196" s="6">
        <v>20.478950000000001</v>
      </c>
      <c r="D8196" s="6">
        <v>63</v>
      </c>
      <c r="E8196" s="6">
        <v>0</v>
      </c>
      <c r="F8196" s="6">
        <v>0</v>
      </c>
      <c r="G8196" s="6">
        <v>3</v>
      </c>
      <c r="H8196" s="6" t="s">
        <v>42030</v>
      </c>
      <c r="I8196" s="6">
        <v>532.875</v>
      </c>
      <c r="J8196" s="2">
        <f t="shared" si="128"/>
        <v>43749.067479027777</v>
      </c>
    </row>
    <row r="8197" spans="1:10" x14ac:dyDescent="0.25">
      <c r="A8197" s="7" t="s">
        <v>42031</v>
      </c>
      <c r="B8197" s="8">
        <v>393.75</v>
      </c>
      <c r="C8197" s="8">
        <v>20.478950000000001</v>
      </c>
      <c r="D8197" s="8">
        <v>62</v>
      </c>
      <c r="E8197" s="8">
        <v>0</v>
      </c>
      <c r="F8197" s="8">
        <v>0</v>
      </c>
      <c r="G8197" s="8">
        <v>14</v>
      </c>
      <c r="H8197" s="8" t="s">
        <v>42032</v>
      </c>
      <c r="I8197" s="8">
        <v>526.6875</v>
      </c>
      <c r="J8197" s="3">
        <f t="shared" si="128"/>
        <v>43749.067550312502</v>
      </c>
    </row>
    <row r="8198" spans="1:10" x14ac:dyDescent="0.25">
      <c r="A8198" s="5" t="s">
        <v>42033</v>
      </c>
      <c r="B8198" s="6">
        <v>393.75</v>
      </c>
      <c r="C8198" s="6">
        <v>20.478950000000001</v>
      </c>
      <c r="D8198" s="6">
        <v>61</v>
      </c>
      <c r="E8198" s="6">
        <v>0</v>
      </c>
      <c r="F8198" s="6">
        <v>0</v>
      </c>
      <c r="G8198" s="6">
        <v>7</v>
      </c>
      <c r="H8198" s="6" t="s">
        <v>42034</v>
      </c>
      <c r="I8198" s="6">
        <v>526.6875</v>
      </c>
      <c r="J8198" s="2">
        <f t="shared" si="128"/>
        <v>43749.067621620365</v>
      </c>
    </row>
    <row r="8199" spans="1:10" x14ac:dyDescent="0.25">
      <c r="A8199" s="7" t="s">
        <v>42035</v>
      </c>
      <c r="B8199" s="8">
        <v>393.75</v>
      </c>
      <c r="C8199" s="8">
        <v>20.478950000000001</v>
      </c>
      <c r="D8199" s="8">
        <v>61</v>
      </c>
      <c r="E8199" s="8">
        <v>0</v>
      </c>
      <c r="F8199" s="8">
        <v>0</v>
      </c>
      <c r="G8199" s="8">
        <v>12</v>
      </c>
      <c r="H8199" s="8" t="s">
        <v>42036</v>
      </c>
      <c r="I8199" s="8">
        <v>526.6875</v>
      </c>
      <c r="J8199" s="3">
        <f t="shared" si="128"/>
        <v>43749.067693634257</v>
      </c>
    </row>
    <row r="8200" spans="1:10" x14ac:dyDescent="0.25">
      <c r="A8200" s="5" t="s">
        <v>42037</v>
      </c>
      <c r="B8200" s="6">
        <v>393.75</v>
      </c>
      <c r="C8200" s="6">
        <v>20.478950000000001</v>
      </c>
      <c r="D8200" s="6">
        <v>61</v>
      </c>
      <c r="E8200" s="6">
        <v>0</v>
      </c>
      <c r="F8200" s="6">
        <v>0</v>
      </c>
      <c r="G8200" s="6">
        <v>10</v>
      </c>
      <c r="H8200" s="6" t="s">
        <v>42038</v>
      </c>
      <c r="I8200" s="6">
        <v>526.6875</v>
      </c>
      <c r="J8200" s="2">
        <f t="shared" si="128"/>
        <v>43749.067765127307</v>
      </c>
    </row>
    <row r="8201" spans="1:10" x14ac:dyDescent="0.25">
      <c r="A8201" s="7" t="s">
        <v>42039</v>
      </c>
      <c r="B8201" s="8">
        <v>393.75</v>
      </c>
      <c r="C8201" s="8">
        <v>20.478950000000001</v>
      </c>
      <c r="D8201" s="8">
        <v>61</v>
      </c>
      <c r="E8201" s="8">
        <v>0</v>
      </c>
      <c r="F8201" s="8">
        <v>0</v>
      </c>
      <c r="G8201" s="8">
        <v>0</v>
      </c>
      <c r="H8201" s="8" t="s">
        <v>42040</v>
      </c>
      <c r="I8201" s="8">
        <v>526.6875</v>
      </c>
      <c r="J8201" s="3">
        <f t="shared" si="128"/>
        <v>43749.067836446753</v>
      </c>
    </row>
    <row r="8202" spans="1:10" x14ac:dyDescent="0.25">
      <c r="A8202" s="5" t="s">
        <v>42041</v>
      </c>
      <c r="B8202" s="6">
        <v>393.75</v>
      </c>
      <c r="C8202" s="6">
        <v>20.478950000000001</v>
      </c>
      <c r="D8202" s="6">
        <v>62</v>
      </c>
      <c r="E8202" s="6">
        <v>0</v>
      </c>
      <c r="F8202" s="6">
        <v>0</v>
      </c>
      <c r="G8202" s="6">
        <v>4</v>
      </c>
      <c r="H8202" s="6" t="s">
        <v>42042</v>
      </c>
      <c r="I8202" s="6">
        <v>526.6875</v>
      </c>
      <c r="J8202" s="2">
        <f t="shared" si="128"/>
        <v>43749.067907731478</v>
      </c>
    </row>
    <row r="8203" spans="1:10" x14ac:dyDescent="0.25">
      <c r="A8203" s="7" t="s">
        <v>42043</v>
      </c>
      <c r="B8203" s="8">
        <v>393.75</v>
      </c>
      <c r="C8203" s="8">
        <v>20.478950000000001</v>
      </c>
      <c r="D8203" s="8">
        <v>62</v>
      </c>
      <c r="E8203" s="8">
        <v>0</v>
      </c>
      <c r="F8203" s="8">
        <v>0</v>
      </c>
      <c r="G8203" s="8">
        <v>2</v>
      </c>
      <c r="H8203" s="8" t="s">
        <v>42044</v>
      </c>
      <c r="I8203" s="8">
        <v>526.6875</v>
      </c>
      <c r="J8203" s="3">
        <f t="shared" si="128"/>
        <v>43749.067979965279</v>
      </c>
    </row>
    <row r="8204" spans="1:10" x14ac:dyDescent="0.25">
      <c r="A8204" s="5" t="s">
        <v>42045</v>
      </c>
      <c r="B8204" s="6">
        <v>393.75</v>
      </c>
      <c r="C8204" s="6">
        <v>20.478950000000001</v>
      </c>
      <c r="D8204" s="6">
        <v>62</v>
      </c>
      <c r="E8204" s="6">
        <v>0</v>
      </c>
      <c r="F8204" s="6">
        <v>0</v>
      </c>
      <c r="G8204" s="6">
        <v>14</v>
      </c>
      <c r="H8204" s="6" t="s">
        <v>42046</v>
      </c>
      <c r="I8204" s="6">
        <v>526.6875</v>
      </c>
      <c r="J8204" s="2">
        <f t="shared" si="128"/>
        <v>43749.068051261573</v>
      </c>
    </row>
    <row r="8205" spans="1:10" x14ac:dyDescent="0.25">
      <c r="A8205" s="7" t="s">
        <v>42047</v>
      </c>
      <c r="B8205" s="8">
        <v>393.75</v>
      </c>
      <c r="C8205" s="8">
        <v>20.478950000000001</v>
      </c>
      <c r="D8205" s="8">
        <v>62</v>
      </c>
      <c r="E8205" s="8">
        <v>0</v>
      </c>
      <c r="F8205" s="8">
        <v>0</v>
      </c>
      <c r="G8205" s="8">
        <v>7</v>
      </c>
      <c r="H8205" s="8" t="s">
        <v>42048</v>
      </c>
      <c r="I8205" s="8">
        <v>526.6875</v>
      </c>
      <c r="J8205" s="3">
        <f t="shared" si="128"/>
        <v>43749.068122569442</v>
      </c>
    </row>
    <row r="8206" spans="1:10" x14ac:dyDescent="0.25">
      <c r="A8206" s="5" t="s">
        <v>42049</v>
      </c>
      <c r="B8206" s="6">
        <v>393.75</v>
      </c>
      <c r="C8206" s="6">
        <v>20.478950000000001</v>
      </c>
      <c r="D8206" s="6">
        <v>61</v>
      </c>
      <c r="E8206" s="6">
        <v>0</v>
      </c>
      <c r="F8206" s="6">
        <v>0</v>
      </c>
      <c r="G8206" s="6">
        <v>7</v>
      </c>
      <c r="H8206" s="6" t="s">
        <v>42050</v>
      </c>
      <c r="I8206" s="6">
        <v>526.6875</v>
      </c>
      <c r="J8206" s="2">
        <f t="shared" si="128"/>
        <v>43749.068193935185</v>
      </c>
    </row>
    <row r="8207" spans="1:10" x14ac:dyDescent="0.25">
      <c r="A8207" s="7" t="s">
        <v>42051</v>
      </c>
      <c r="B8207" s="8">
        <v>393.75</v>
      </c>
      <c r="C8207" s="8">
        <v>20.478950000000001</v>
      </c>
      <c r="D8207" s="8">
        <v>62</v>
      </c>
      <c r="E8207" s="8">
        <v>0</v>
      </c>
      <c r="F8207" s="8">
        <v>0</v>
      </c>
      <c r="G8207" s="8">
        <v>6</v>
      </c>
      <c r="H8207" s="8" t="s">
        <v>42052</v>
      </c>
      <c r="I8207" s="8">
        <v>526.6875</v>
      </c>
      <c r="J8207" s="3">
        <f t="shared" si="128"/>
        <v>43749.068266018519</v>
      </c>
    </row>
    <row r="8208" spans="1:10" x14ac:dyDescent="0.25">
      <c r="A8208" s="5" t="s">
        <v>42053</v>
      </c>
      <c r="B8208" s="6">
        <v>393.75</v>
      </c>
      <c r="C8208" s="6">
        <v>20.478950000000001</v>
      </c>
      <c r="D8208" s="6">
        <v>64</v>
      </c>
      <c r="E8208" s="6">
        <v>0</v>
      </c>
      <c r="F8208" s="6">
        <v>0</v>
      </c>
      <c r="G8208" s="6">
        <v>10</v>
      </c>
      <c r="H8208" s="6" t="s">
        <v>42054</v>
      </c>
      <c r="I8208" s="6">
        <v>526.6875</v>
      </c>
      <c r="J8208" s="2">
        <f t="shared" si="128"/>
        <v>43749.06833736111</v>
      </c>
    </row>
    <row r="8209" spans="1:10" x14ac:dyDescent="0.25">
      <c r="A8209" s="7" t="s">
        <v>42055</v>
      </c>
      <c r="B8209" s="8">
        <v>421.875</v>
      </c>
      <c r="C8209" s="8">
        <v>20.478950000000001</v>
      </c>
      <c r="D8209" s="8">
        <v>64</v>
      </c>
      <c r="E8209" s="8">
        <v>0</v>
      </c>
      <c r="F8209" s="8">
        <v>0</v>
      </c>
      <c r="G8209" s="8">
        <v>11</v>
      </c>
      <c r="H8209" s="8" t="s">
        <v>42056</v>
      </c>
      <c r="I8209" s="8">
        <v>535.5</v>
      </c>
      <c r="J8209" s="3">
        <f t="shared" si="128"/>
        <v>43749.068408599538</v>
      </c>
    </row>
    <row r="8210" spans="1:10" x14ac:dyDescent="0.25">
      <c r="A8210" s="5" t="s">
        <v>42057</v>
      </c>
      <c r="B8210" s="6">
        <v>393.75</v>
      </c>
      <c r="C8210" s="6">
        <v>20.478950000000001</v>
      </c>
      <c r="D8210" s="6">
        <v>65</v>
      </c>
      <c r="E8210" s="6">
        <v>0</v>
      </c>
      <c r="F8210" s="6">
        <v>0</v>
      </c>
      <c r="G8210" s="6">
        <v>5</v>
      </c>
      <c r="H8210" s="6" t="s">
        <v>42058</v>
      </c>
      <c r="I8210" s="6">
        <v>526.6875</v>
      </c>
      <c r="J8210" s="2">
        <f t="shared" si="128"/>
        <v>43749.068480810187</v>
      </c>
    </row>
    <row r="8211" spans="1:10" x14ac:dyDescent="0.25">
      <c r="A8211" s="7" t="s">
        <v>42059</v>
      </c>
      <c r="B8211" s="8">
        <v>393.75</v>
      </c>
      <c r="C8211" s="8">
        <v>20.426300000000001</v>
      </c>
      <c r="D8211" s="8">
        <v>64</v>
      </c>
      <c r="E8211" s="8">
        <v>0</v>
      </c>
      <c r="F8211" s="8">
        <v>0</v>
      </c>
      <c r="G8211" s="8">
        <v>0</v>
      </c>
      <c r="H8211" s="8" t="s">
        <v>42060</v>
      </c>
      <c r="I8211" s="8">
        <v>526.6875</v>
      </c>
      <c r="J8211" s="3">
        <f t="shared" si="128"/>
        <v>43749.068552118049</v>
      </c>
    </row>
    <row r="8212" spans="1:10" x14ac:dyDescent="0.25">
      <c r="A8212" s="5" t="s">
        <v>42061</v>
      </c>
      <c r="B8212" s="6">
        <v>393.75</v>
      </c>
      <c r="C8212" s="6">
        <v>20.478950000000001</v>
      </c>
      <c r="D8212" s="6">
        <v>64</v>
      </c>
      <c r="E8212" s="6">
        <v>0</v>
      </c>
      <c r="F8212" s="6">
        <v>0</v>
      </c>
      <c r="G8212" s="6">
        <v>7</v>
      </c>
      <c r="H8212" s="6" t="s">
        <v>42062</v>
      </c>
      <c r="I8212" s="6">
        <v>526.6875</v>
      </c>
      <c r="J8212" s="2">
        <f t="shared" si="128"/>
        <v>43749.068635543976</v>
      </c>
    </row>
    <row r="8213" spans="1:10" x14ac:dyDescent="0.25">
      <c r="A8213" s="7" t="s">
        <v>42063</v>
      </c>
      <c r="B8213" s="8">
        <v>393.75</v>
      </c>
      <c r="C8213" s="8">
        <v>20.478950000000001</v>
      </c>
      <c r="D8213" s="8">
        <v>62</v>
      </c>
      <c r="E8213" s="8">
        <v>0</v>
      </c>
      <c r="F8213" s="8">
        <v>0</v>
      </c>
      <c r="G8213" s="8">
        <v>7</v>
      </c>
      <c r="H8213" s="8" t="s">
        <v>42064</v>
      </c>
      <c r="I8213" s="8">
        <v>526.6875</v>
      </c>
      <c r="J8213" s="3">
        <f t="shared" si="128"/>
        <v>43749.068706817132</v>
      </c>
    </row>
    <row r="8214" spans="1:10" x14ac:dyDescent="0.25">
      <c r="A8214" s="5" t="s">
        <v>42065</v>
      </c>
      <c r="B8214" s="6">
        <v>393.75</v>
      </c>
      <c r="C8214" s="6">
        <v>20.478950000000001</v>
      </c>
      <c r="D8214" s="6">
        <v>62</v>
      </c>
      <c r="E8214" s="6">
        <v>0</v>
      </c>
      <c r="F8214" s="6">
        <v>0</v>
      </c>
      <c r="G8214" s="6">
        <v>6</v>
      </c>
      <c r="H8214" s="6" t="s">
        <v>42066</v>
      </c>
      <c r="I8214" s="6">
        <v>526.6875</v>
      </c>
      <c r="J8214" s="2">
        <f t="shared" si="128"/>
        <v>43749.068778912035</v>
      </c>
    </row>
    <row r="8215" spans="1:10" x14ac:dyDescent="0.25">
      <c r="A8215" s="7" t="s">
        <v>42067</v>
      </c>
      <c r="B8215" s="8">
        <v>393.75</v>
      </c>
      <c r="C8215" s="8">
        <v>20.478950000000001</v>
      </c>
      <c r="D8215" s="8">
        <v>61</v>
      </c>
      <c r="E8215" s="8">
        <v>0</v>
      </c>
      <c r="F8215" s="8">
        <v>0</v>
      </c>
      <c r="G8215" s="8">
        <v>3</v>
      </c>
      <c r="H8215" s="8" t="s">
        <v>42068</v>
      </c>
      <c r="I8215" s="8">
        <v>526.6875</v>
      </c>
      <c r="J8215" s="3">
        <f t="shared" si="128"/>
        <v>43749.068850254625</v>
      </c>
    </row>
    <row r="8216" spans="1:10" x14ac:dyDescent="0.25">
      <c r="A8216" s="5" t="s">
        <v>42069</v>
      </c>
      <c r="B8216" s="6">
        <v>393.75</v>
      </c>
      <c r="C8216" s="6">
        <v>20.478950000000001</v>
      </c>
      <c r="D8216" s="6">
        <v>62</v>
      </c>
      <c r="E8216" s="6">
        <v>0</v>
      </c>
      <c r="F8216" s="6">
        <v>0</v>
      </c>
      <c r="G8216" s="6">
        <v>8</v>
      </c>
      <c r="H8216" s="6" t="s">
        <v>42070</v>
      </c>
      <c r="I8216" s="6">
        <v>526.6875</v>
      </c>
      <c r="J8216" s="2">
        <f t="shared" si="128"/>
        <v>43749.068921631937</v>
      </c>
    </row>
    <row r="8217" spans="1:10" x14ac:dyDescent="0.25">
      <c r="A8217" s="7" t="s">
        <v>42071</v>
      </c>
      <c r="B8217" s="8">
        <v>412.5</v>
      </c>
      <c r="C8217" s="8">
        <v>20.478950000000001</v>
      </c>
      <c r="D8217" s="8">
        <v>61</v>
      </c>
      <c r="E8217" s="8">
        <v>0</v>
      </c>
      <c r="F8217" s="8">
        <v>0</v>
      </c>
      <c r="G8217" s="8">
        <v>4</v>
      </c>
      <c r="H8217" s="8" t="s">
        <v>42072</v>
      </c>
      <c r="I8217" s="8">
        <v>532.3125</v>
      </c>
      <c r="J8217" s="3">
        <f t="shared" si="128"/>
        <v>43749.068992905093</v>
      </c>
    </row>
    <row r="8218" spans="1:10" x14ac:dyDescent="0.25">
      <c r="A8218" s="5" t="s">
        <v>42073</v>
      </c>
      <c r="B8218" s="6">
        <v>393.75</v>
      </c>
      <c r="C8218" s="6">
        <v>20.478950000000001</v>
      </c>
      <c r="D8218" s="6">
        <v>62</v>
      </c>
      <c r="E8218" s="6">
        <v>0</v>
      </c>
      <c r="F8218" s="6">
        <v>0</v>
      </c>
      <c r="G8218" s="6">
        <v>7</v>
      </c>
      <c r="H8218" s="6" t="s">
        <v>42074</v>
      </c>
      <c r="I8218" s="6">
        <v>526.6875</v>
      </c>
      <c r="J8218" s="2">
        <f t="shared" si="128"/>
        <v>43749.069077418979</v>
      </c>
    </row>
    <row r="8219" spans="1:10" x14ac:dyDescent="0.25">
      <c r="A8219" s="7" t="s">
        <v>42075</v>
      </c>
      <c r="B8219" s="8">
        <v>393.75</v>
      </c>
      <c r="C8219" s="8">
        <v>20.478950000000001</v>
      </c>
      <c r="D8219" s="8">
        <v>60</v>
      </c>
      <c r="E8219" s="8">
        <v>0</v>
      </c>
      <c r="F8219" s="8">
        <v>0</v>
      </c>
      <c r="G8219" s="8">
        <v>7</v>
      </c>
      <c r="H8219" s="8" t="s">
        <v>42076</v>
      </c>
      <c r="I8219" s="8">
        <v>526.6875</v>
      </c>
      <c r="J8219" s="3">
        <f t="shared" si="128"/>
        <v>43749.069148530085</v>
      </c>
    </row>
    <row r="8220" spans="1:10" x14ac:dyDescent="0.25">
      <c r="A8220" s="5" t="s">
        <v>42077</v>
      </c>
      <c r="B8220" s="6">
        <v>393.75</v>
      </c>
      <c r="C8220" s="6">
        <v>20.478950000000001</v>
      </c>
      <c r="D8220" s="6">
        <v>63</v>
      </c>
      <c r="E8220" s="6">
        <v>0</v>
      </c>
      <c r="F8220" s="6">
        <v>0</v>
      </c>
      <c r="G8220" s="6">
        <v>0</v>
      </c>
      <c r="H8220" s="6" t="s">
        <v>42078</v>
      </c>
      <c r="I8220" s="6">
        <v>526.6875</v>
      </c>
      <c r="J8220" s="2">
        <f t="shared" si="128"/>
        <v>43749.069219826386</v>
      </c>
    </row>
    <row r="8221" spans="1:10" x14ac:dyDescent="0.25">
      <c r="A8221" s="7" t="s">
        <v>42079</v>
      </c>
      <c r="B8221" s="8">
        <v>393.75</v>
      </c>
      <c r="C8221" s="8">
        <v>20.478950000000001</v>
      </c>
      <c r="D8221" s="8">
        <v>63</v>
      </c>
      <c r="E8221" s="8">
        <v>0</v>
      </c>
      <c r="F8221" s="8">
        <v>0</v>
      </c>
      <c r="G8221" s="8">
        <v>11</v>
      </c>
      <c r="H8221" s="8" t="s">
        <v>42080</v>
      </c>
      <c r="I8221" s="8">
        <v>526.6875</v>
      </c>
      <c r="J8221" s="3">
        <f t="shared" si="128"/>
        <v>43749.069291215274</v>
      </c>
    </row>
    <row r="8222" spans="1:10" x14ac:dyDescent="0.25">
      <c r="A8222" s="5" t="s">
        <v>42081</v>
      </c>
      <c r="B8222" s="6">
        <v>393.75</v>
      </c>
      <c r="C8222" s="6">
        <v>20.478950000000001</v>
      </c>
      <c r="D8222" s="6">
        <v>63</v>
      </c>
      <c r="E8222" s="6">
        <v>0</v>
      </c>
      <c r="F8222" s="6">
        <v>0</v>
      </c>
      <c r="G8222" s="6">
        <v>8</v>
      </c>
      <c r="H8222" s="6" t="s">
        <v>42082</v>
      </c>
      <c r="I8222" s="6">
        <v>526.5</v>
      </c>
      <c r="J8222" s="2">
        <f t="shared" si="128"/>
        <v>43749.069372071761</v>
      </c>
    </row>
    <row r="8223" spans="1:10" x14ac:dyDescent="0.25">
      <c r="A8223" s="7" t="s">
        <v>42083</v>
      </c>
      <c r="B8223" s="8">
        <v>393.75</v>
      </c>
      <c r="C8223" s="8">
        <v>20.478950000000001</v>
      </c>
      <c r="D8223" s="8">
        <v>64</v>
      </c>
      <c r="E8223" s="8">
        <v>0</v>
      </c>
      <c r="F8223" s="8">
        <v>0</v>
      </c>
      <c r="G8223" s="8">
        <v>0</v>
      </c>
      <c r="H8223" s="8" t="s">
        <v>42084</v>
      </c>
      <c r="I8223" s="8">
        <v>526.6875</v>
      </c>
      <c r="J8223" s="3">
        <f t="shared" si="128"/>
        <v>43749.069446655085</v>
      </c>
    </row>
    <row r="8224" spans="1:10" x14ac:dyDescent="0.25">
      <c r="A8224" s="5" t="s">
        <v>42085</v>
      </c>
      <c r="B8224" s="6">
        <v>412.5</v>
      </c>
      <c r="C8224" s="6">
        <v>20.478950000000001</v>
      </c>
      <c r="D8224" s="6">
        <v>63</v>
      </c>
      <c r="E8224" s="6">
        <v>0</v>
      </c>
      <c r="F8224" s="6">
        <v>0</v>
      </c>
      <c r="G8224" s="6">
        <v>9</v>
      </c>
      <c r="H8224" s="6" t="s">
        <v>42086</v>
      </c>
      <c r="I8224" s="6">
        <v>532.3125</v>
      </c>
      <c r="J8224" s="2">
        <f t="shared" si="128"/>
        <v>43749.069517974531</v>
      </c>
    </row>
    <row r="8225" spans="1:10" x14ac:dyDescent="0.25">
      <c r="A8225" s="7" t="s">
        <v>42087</v>
      </c>
      <c r="B8225" s="8">
        <v>393.75</v>
      </c>
      <c r="C8225" s="8">
        <v>20.478950000000001</v>
      </c>
      <c r="D8225" s="8">
        <v>63</v>
      </c>
      <c r="E8225" s="8">
        <v>0</v>
      </c>
      <c r="F8225" s="8">
        <v>0</v>
      </c>
      <c r="G8225" s="8">
        <v>8</v>
      </c>
      <c r="H8225" s="8" t="s">
        <v>42088</v>
      </c>
      <c r="I8225" s="8">
        <v>526.6875</v>
      </c>
      <c r="J8225" s="3">
        <f t="shared" si="128"/>
        <v>43749.069589317129</v>
      </c>
    </row>
    <row r="8226" spans="1:10" x14ac:dyDescent="0.25">
      <c r="A8226" s="5" t="s">
        <v>42089</v>
      </c>
      <c r="B8226" s="6">
        <v>393.75</v>
      </c>
      <c r="C8226" s="6">
        <v>20.478950000000001</v>
      </c>
      <c r="D8226" s="6">
        <v>62</v>
      </c>
      <c r="E8226" s="6">
        <v>0</v>
      </c>
      <c r="F8226" s="6">
        <v>0</v>
      </c>
      <c r="G8226" s="6">
        <v>4</v>
      </c>
      <c r="H8226" s="6" t="s">
        <v>42090</v>
      </c>
      <c r="I8226" s="6">
        <v>526.5</v>
      </c>
      <c r="J8226" s="2">
        <f t="shared" si="128"/>
        <v>43749.069674456019</v>
      </c>
    </row>
    <row r="8227" spans="1:10" x14ac:dyDescent="0.25">
      <c r="A8227" s="7" t="s">
        <v>42091</v>
      </c>
      <c r="B8227" s="8">
        <v>412.5</v>
      </c>
      <c r="C8227" s="8">
        <v>20.426300000000001</v>
      </c>
      <c r="D8227" s="8">
        <v>62</v>
      </c>
      <c r="E8227" s="8">
        <v>0</v>
      </c>
      <c r="F8227" s="8">
        <v>0</v>
      </c>
      <c r="G8227" s="8">
        <v>4</v>
      </c>
      <c r="H8227" s="8" t="s">
        <v>42092</v>
      </c>
      <c r="I8227" s="8">
        <v>532.5</v>
      </c>
      <c r="J8227" s="3">
        <f t="shared" si="128"/>
        <v>43749.069756851844</v>
      </c>
    </row>
    <row r="8228" spans="1:10" x14ac:dyDescent="0.25">
      <c r="A8228" s="5" t="s">
        <v>42093</v>
      </c>
      <c r="B8228" s="6">
        <v>393.75</v>
      </c>
      <c r="C8228" s="6">
        <v>20.478950000000001</v>
      </c>
      <c r="D8228" s="6">
        <v>63</v>
      </c>
      <c r="E8228" s="6">
        <v>0</v>
      </c>
      <c r="F8228" s="6">
        <v>0</v>
      </c>
      <c r="G8228" s="6">
        <v>0</v>
      </c>
      <c r="H8228" s="6" t="s">
        <v>42094</v>
      </c>
      <c r="I8228" s="6">
        <v>526.6875</v>
      </c>
      <c r="J8228" s="2">
        <f t="shared" si="128"/>
        <v>43749.069840150456</v>
      </c>
    </row>
    <row r="8229" spans="1:10" x14ac:dyDescent="0.25">
      <c r="A8229" s="7" t="s">
        <v>42095</v>
      </c>
      <c r="B8229" s="8">
        <v>393.75</v>
      </c>
      <c r="C8229" s="8">
        <v>20.478950000000001</v>
      </c>
      <c r="D8229" s="8">
        <v>63</v>
      </c>
      <c r="E8229" s="8">
        <v>0</v>
      </c>
      <c r="F8229" s="8">
        <v>0</v>
      </c>
      <c r="G8229" s="8">
        <v>5</v>
      </c>
      <c r="H8229" s="8" t="s">
        <v>42096</v>
      </c>
      <c r="I8229" s="8">
        <v>526.6875</v>
      </c>
      <c r="J8229" s="3">
        <f t="shared" si="128"/>
        <v>43749.069930972219</v>
      </c>
    </row>
    <row r="8230" spans="1:10" x14ac:dyDescent="0.25">
      <c r="A8230" s="5" t="s">
        <v>42097</v>
      </c>
      <c r="B8230" s="6">
        <v>393.75</v>
      </c>
      <c r="C8230" s="6">
        <v>20.426300000000001</v>
      </c>
      <c r="D8230" s="6">
        <v>62</v>
      </c>
      <c r="E8230" s="6">
        <v>0</v>
      </c>
      <c r="F8230" s="6">
        <v>0</v>
      </c>
      <c r="G8230" s="6">
        <v>2</v>
      </c>
      <c r="H8230" s="6" t="s">
        <v>42098</v>
      </c>
      <c r="I8230" s="6">
        <v>526.5</v>
      </c>
      <c r="J8230" s="2">
        <f t="shared" si="128"/>
        <v>43749.070006863425</v>
      </c>
    </row>
    <row r="8231" spans="1:10" x14ac:dyDescent="0.25">
      <c r="A8231" s="7" t="s">
        <v>42099</v>
      </c>
      <c r="B8231" s="8">
        <v>393.75</v>
      </c>
      <c r="C8231" s="8">
        <v>20.478950000000001</v>
      </c>
      <c r="D8231" s="8">
        <v>62</v>
      </c>
      <c r="E8231" s="8">
        <v>0</v>
      </c>
      <c r="F8231" s="8">
        <v>0</v>
      </c>
      <c r="G8231" s="8">
        <v>8</v>
      </c>
      <c r="H8231" s="8" t="s">
        <v>42100</v>
      </c>
      <c r="I8231" s="8">
        <v>526.6875</v>
      </c>
      <c r="J8231" s="3">
        <f t="shared" si="128"/>
        <v>43749.070079004632</v>
      </c>
    </row>
    <row r="8232" spans="1:10" x14ac:dyDescent="0.25">
      <c r="A8232" s="5" t="s">
        <v>42101</v>
      </c>
      <c r="B8232" s="6">
        <v>393.75</v>
      </c>
      <c r="C8232" s="6">
        <v>20.478950000000001</v>
      </c>
      <c r="D8232" s="6">
        <v>63</v>
      </c>
      <c r="E8232" s="6">
        <v>0</v>
      </c>
      <c r="F8232" s="6">
        <v>0</v>
      </c>
      <c r="G8232" s="6">
        <v>5</v>
      </c>
      <c r="H8232" s="6" t="s">
        <v>42102</v>
      </c>
      <c r="I8232" s="6">
        <v>526.6875</v>
      </c>
      <c r="J8232" s="2">
        <f t="shared" si="128"/>
        <v>43749.070150370368</v>
      </c>
    </row>
    <row r="8233" spans="1:10" x14ac:dyDescent="0.25">
      <c r="A8233" s="7" t="s">
        <v>42103</v>
      </c>
      <c r="B8233" s="8">
        <v>393.75</v>
      </c>
      <c r="C8233" s="8">
        <v>20.478950000000001</v>
      </c>
      <c r="D8233" s="8">
        <v>63</v>
      </c>
      <c r="E8233" s="8">
        <v>0</v>
      </c>
      <c r="F8233" s="8">
        <v>0</v>
      </c>
      <c r="G8233" s="8">
        <v>3</v>
      </c>
      <c r="H8233" s="8" t="s">
        <v>42104</v>
      </c>
      <c r="I8233" s="8">
        <v>526.6875</v>
      </c>
      <c r="J8233" s="3">
        <f t="shared" si="128"/>
        <v>43749.070221655093</v>
      </c>
    </row>
    <row r="8234" spans="1:10" x14ac:dyDescent="0.25">
      <c r="A8234" s="5" t="s">
        <v>42105</v>
      </c>
      <c r="B8234" s="6">
        <v>393.75</v>
      </c>
      <c r="C8234" s="6">
        <v>20.478950000000001</v>
      </c>
      <c r="D8234" s="6">
        <v>63</v>
      </c>
      <c r="E8234" s="6">
        <v>0</v>
      </c>
      <c r="F8234" s="6">
        <v>0</v>
      </c>
      <c r="G8234" s="6">
        <v>4</v>
      </c>
      <c r="H8234" s="6" t="s">
        <v>42106</v>
      </c>
      <c r="I8234" s="6">
        <v>526.6875</v>
      </c>
      <c r="J8234" s="2">
        <f t="shared" si="128"/>
        <v>43749.070293009259</v>
      </c>
    </row>
    <row r="8235" spans="1:10" x14ac:dyDescent="0.25">
      <c r="A8235" s="7" t="s">
        <v>42107</v>
      </c>
      <c r="B8235" s="8">
        <v>393.75</v>
      </c>
      <c r="C8235" s="8">
        <v>20.478950000000001</v>
      </c>
      <c r="D8235" s="8">
        <v>62</v>
      </c>
      <c r="E8235" s="8">
        <v>0</v>
      </c>
      <c r="F8235" s="8">
        <v>0</v>
      </c>
      <c r="G8235" s="8">
        <v>6</v>
      </c>
      <c r="H8235" s="8" t="s">
        <v>42108</v>
      </c>
      <c r="I8235" s="8">
        <v>526.6875</v>
      </c>
      <c r="J8235" s="3">
        <f t="shared" si="128"/>
        <v>43749.070365196756</v>
      </c>
    </row>
    <row r="8236" spans="1:10" x14ac:dyDescent="0.25">
      <c r="A8236" s="5" t="s">
        <v>42109</v>
      </c>
      <c r="B8236" s="6">
        <v>393.75</v>
      </c>
      <c r="C8236" s="6">
        <v>20.478950000000001</v>
      </c>
      <c r="D8236" s="6">
        <v>62</v>
      </c>
      <c r="E8236" s="6">
        <v>0</v>
      </c>
      <c r="F8236" s="6">
        <v>0</v>
      </c>
      <c r="G8236" s="6">
        <v>7</v>
      </c>
      <c r="H8236" s="6" t="s">
        <v>42110</v>
      </c>
      <c r="I8236" s="6">
        <v>526.6875</v>
      </c>
      <c r="J8236" s="2">
        <f t="shared" si="128"/>
        <v>43749.070436469905</v>
      </c>
    </row>
    <row r="8237" spans="1:10" x14ac:dyDescent="0.25">
      <c r="A8237" s="7" t="s">
        <v>42111</v>
      </c>
      <c r="B8237" s="8">
        <v>412.5</v>
      </c>
      <c r="C8237" s="8">
        <v>20.478950000000001</v>
      </c>
      <c r="D8237" s="8">
        <v>62</v>
      </c>
      <c r="E8237" s="8">
        <v>0</v>
      </c>
      <c r="F8237" s="8">
        <v>0</v>
      </c>
      <c r="G8237" s="8">
        <v>0</v>
      </c>
      <c r="H8237" s="8" t="s">
        <v>42112</v>
      </c>
      <c r="I8237" s="8">
        <v>532.125</v>
      </c>
      <c r="J8237" s="3">
        <f t="shared" si="128"/>
        <v>43749.070507766206</v>
      </c>
    </row>
    <row r="8238" spans="1:10" x14ac:dyDescent="0.25">
      <c r="A8238" s="5" t="s">
        <v>42113</v>
      </c>
      <c r="B8238" s="6">
        <v>393.75</v>
      </c>
      <c r="C8238" s="6">
        <v>20.478950000000001</v>
      </c>
      <c r="D8238" s="6">
        <v>62</v>
      </c>
      <c r="E8238" s="6">
        <v>0</v>
      </c>
      <c r="F8238" s="6">
        <v>0</v>
      </c>
      <c r="G8238" s="6">
        <v>2</v>
      </c>
      <c r="H8238" s="6" t="s">
        <v>42114</v>
      </c>
      <c r="I8238" s="6">
        <v>526.6875</v>
      </c>
      <c r="J8238" s="2">
        <f t="shared" si="128"/>
        <v>43749.070579837957</v>
      </c>
    </row>
    <row r="8239" spans="1:10" x14ac:dyDescent="0.25">
      <c r="A8239" s="7" t="s">
        <v>42115</v>
      </c>
      <c r="B8239" s="8">
        <v>393.75</v>
      </c>
      <c r="C8239" s="8">
        <v>20.478950000000001</v>
      </c>
      <c r="D8239" s="8">
        <v>62</v>
      </c>
      <c r="E8239" s="8">
        <v>0</v>
      </c>
      <c r="F8239" s="8">
        <v>0</v>
      </c>
      <c r="G8239" s="8">
        <v>1</v>
      </c>
      <c r="H8239" s="8" t="s">
        <v>42116</v>
      </c>
      <c r="I8239" s="8">
        <v>526.6875</v>
      </c>
      <c r="J8239" s="3">
        <f t="shared" si="128"/>
        <v>43749.070651354159</v>
      </c>
    </row>
    <row r="8240" spans="1:10" x14ac:dyDescent="0.25">
      <c r="A8240" s="5" t="s">
        <v>42117</v>
      </c>
      <c r="B8240" s="6">
        <v>393.75</v>
      </c>
      <c r="C8240" s="6">
        <v>20.478950000000001</v>
      </c>
      <c r="D8240" s="6">
        <v>62</v>
      </c>
      <c r="E8240" s="6">
        <v>0</v>
      </c>
      <c r="F8240" s="6">
        <v>0</v>
      </c>
      <c r="G8240" s="6">
        <v>11</v>
      </c>
      <c r="H8240" s="6" t="s">
        <v>42118</v>
      </c>
      <c r="I8240" s="6">
        <v>526.6875</v>
      </c>
      <c r="J8240" s="2">
        <f t="shared" si="128"/>
        <v>43749.070722581011</v>
      </c>
    </row>
    <row r="8241" spans="1:10" x14ac:dyDescent="0.25">
      <c r="A8241" s="7" t="s">
        <v>42119</v>
      </c>
      <c r="B8241" s="8">
        <v>415.625</v>
      </c>
      <c r="C8241" s="8">
        <v>20.478950000000001</v>
      </c>
      <c r="D8241" s="8">
        <v>62</v>
      </c>
      <c r="E8241" s="8">
        <v>0</v>
      </c>
      <c r="F8241" s="8">
        <v>0</v>
      </c>
      <c r="G8241" s="8">
        <v>20</v>
      </c>
      <c r="H8241" s="8" t="s">
        <v>42120</v>
      </c>
      <c r="I8241" s="8">
        <v>533.0625</v>
      </c>
      <c r="J8241" s="3">
        <f t="shared" si="128"/>
        <v>43749.070793888888</v>
      </c>
    </row>
    <row r="8242" spans="1:10" x14ac:dyDescent="0.25">
      <c r="A8242" s="5" t="s">
        <v>42121</v>
      </c>
      <c r="B8242" s="6">
        <v>393.75</v>
      </c>
      <c r="C8242" s="6">
        <v>20.478950000000001</v>
      </c>
      <c r="D8242" s="6">
        <v>62</v>
      </c>
      <c r="E8242" s="6">
        <v>0</v>
      </c>
      <c r="F8242" s="6">
        <v>0</v>
      </c>
      <c r="G8242" s="6">
        <v>10</v>
      </c>
      <c r="H8242" s="6" t="s">
        <v>42122</v>
      </c>
      <c r="I8242" s="6">
        <v>526.6875</v>
      </c>
      <c r="J8242" s="2">
        <f t="shared" si="128"/>
        <v>43749.070866099537</v>
      </c>
    </row>
    <row r="8243" spans="1:10" x14ac:dyDescent="0.25">
      <c r="A8243" s="7" t="s">
        <v>42123</v>
      </c>
      <c r="B8243" s="8">
        <v>393.75</v>
      </c>
      <c r="C8243" s="8">
        <v>20.478950000000001</v>
      </c>
      <c r="D8243" s="8">
        <v>62</v>
      </c>
      <c r="E8243" s="8">
        <v>0</v>
      </c>
      <c r="F8243" s="8">
        <v>0</v>
      </c>
      <c r="G8243" s="8">
        <v>21</v>
      </c>
      <c r="H8243" s="8" t="s">
        <v>42124</v>
      </c>
      <c r="I8243" s="8">
        <v>526.6875</v>
      </c>
      <c r="J8243" s="3">
        <f t="shared" si="128"/>
        <v>43749.070937349534</v>
      </c>
    </row>
    <row r="8244" spans="1:10" x14ac:dyDescent="0.25">
      <c r="A8244" s="5" t="s">
        <v>42125</v>
      </c>
      <c r="B8244" s="6">
        <v>393.75</v>
      </c>
      <c r="C8244" s="6">
        <v>20.478950000000001</v>
      </c>
      <c r="D8244" s="6">
        <v>60</v>
      </c>
      <c r="E8244" s="6">
        <v>0</v>
      </c>
      <c r="F8244" s="6">
        <v>0</v>
      </c>
      <c r="G8244" s="6">
        <v>6</v>
      </c>
      <c r="H8244" s="6" t="s">
        <v>42126</v>
      </c>
      <c r="I8244" s="6">
        <v>526.6875</v>
      </c>
      <c r="J8244" s="2">
        <f t="shared" si="128"/>
        <v>43749.071020740739</v>
      </c>
    </row>
    <row r="8245" spans="1:10" x14ac:dyDescent="0.25">
      <c r="A8245" s="7" t="s">
        <v>42127</v>
      </c>
      <c r="B8245" s="8">
        <v>393.75</v>
      </c>
      <c r="C8245" s="8">
        <v>20.478950000000001</v>
      </c>
      <c r="D8245" s="8">
        <v>60</v>
      </c>
      <c r="E8245" s="8">
        <v>0</v>
      </c>
      <c r="F8245" s="8">
        <v>0</v>
      </c>
      <c r="G8245" s="8">
        <v>6</v>
      </c>
      <c r="H8245" s="8" t="s">
        <v>42128</v>
      </c>
      <c r="I8245" s="8">
        <v>526.6875</v>
      </c>
      <c r="J8245" s="3">
        <f t="shared" si="128"/>
        <v>43749.071092048609</v>
      </c>
    </row>
    <row r="8246" spans="1:10" x14ac:dyDescent="0.25">
      <c r="A8246" s="5" t="s">
        <v>42129</v>
      </c>
      <c r="B8246" s="6">
        <v>393.75</v>
      </c>
      <c r="C8246" s="6">
        <v>20.478950000000001</v>
      </c>
      <c r="D8246" s="6">
        <v>59</v>
      </c>
      <c r="E8246" s="6">
        <v>0</v>
      </c>
      <c r="F8246" s="6">
        <v>0</v>
      </c>
      <c r="G8246" s="6">
        <v>4</v>
      </c>
      <c r="H8246" s="6" t="s">
        <v>42130</v>
      </c>
      <c r="I8246" s="6">
        <v>526.6875</v>
      </c>
      <c r="J8246" s="2">
        <f t="shared" si="128"/>
        <v>43749.071163437497</v>
      </c>
    </row>
    <row r="8247" spans="1:10" x14ac:dyDescent="0.25">
      <c r="A8247" s="7" t="s">
        <v>42131</v>
      </c>
      <c r="B8247" s="8">
        <v>393.75</v>
      </c>
      <c r="C8247" s="8">
        <v>20.478950000000001</v>
      </c>
      <c r="D8247" s="8">
        <v>60</v>
      </c>
      <c r="E8247" s="8">
        <v>0</v>
      </c>
      <c r="F8247" s="8">
        <v>0</v>
      </c>
      <c r="G8247" s="8">
        <v>6</v>
      </c>
      <c r="H8247" s="8" t="s">
        <v>42132</v>
      </c>
      <c r="I8247" s="8">
        <v>526.6875</v>
      </c>
      <c r="J8247" s="3">
        <f t="shared" si="128"/>
        <v>43749.071235462958</v>
      </c>
    </row>
    <row r="8248" spans="1:10" x14ac:dyDescent="0.25">
      <c r="A8248" s="5" t="s">
        <v>42133</v>
      </c>
      <c r="B8248" s="6">
        <v>393.75</v>
      </c>
      <c r="C8248" s="6">
        <v>20.426300000000001</v>
      </c>
      <c r="D8248" s="6">
        <v>61</v>
      </c>
      <c r="E8248" s="6">
        <v>0</v>
      </c>
      <c r="F8248" s="6">
        <v>0</v>
      </c>
      <c r="G8248" s="6">
        <v>9</v>
      </c>
      <c r="H8248" s="6" t="s">
        <v>42134</v>
      </c>
      <c r="I8248" s="6">
        <v>526.6875</v>
      </c>
      <c r="J8248" s="2">
        <f t="shared" si="128"/>
        <v>43749.071306990743</v>
      </c>
    </row>
    <row r="8249" spans="1:10" x14ac:dyDescent="0.25">
      <c r="A8249" s="7" t="s">
        <v>42135</v>
      </c>
      <c r="B8249" s="8">
        <v>393.75</v>
      </c>
      <c r="C8249" s="8">
        <v>20.478950000000001</v>
      </c>
      <c r="D8249" s="8">
        <v>61</v>
      </c>
      <c r="E8249" s="8">
        <v>0</v>
      </c>
      <c r="F8249" s="8">
        <v>0</v>
      </c>
      <c r="G8249" s="8">
        <v>7</v>
      </c>
      <c r="H8249" s="8" t="s">
        <v>42136</v>
      </c>
      <c r="I8249" s="8">
        <v>526.6875</v>
      </c>
      <c r="J8249" s="3">
        <f t="shared" si="128"/>
        <v>43749.071390405086</v>
      </c>
    </row>
    <row r="8250" spans="1:10" x14ac:dyDescent="0.25">
      <c r="A8250" s="5" t="s">
        <v>42137</v>
      </c>
      <c r="B8250" s="6">
        <v>393.75</v>
      </c>
      <c r="C8250" s="6">
        <v>20.478950000000001</v>
      </c>
      <c r="D8250" s="6">
        <v>61</v>
      </c>
      <c r="E8250" s="6">
        <v>0</v>
      </c>
      <c r="F8250" s="6">
        <v>0</v>
      </c>
      <c r="G8250" s="6">
        <v>4</v>
      </c>
      <c r="H8250" s="6" t="s">
        <v>42138</v>
      </c>
      <c r="I8250" s="6">
        <v>526.6875</v>
      </c>
      <c r="J8250" s="2">
        <f t="shared" si="128"/>
        <v>43749.071462071755</v>
      </c>
    </row>
    <row r="8251" spans="1:10" x14ac:dyDescent="0.25">
      <c r="A8251" s="7" t="s">
        <v>42139</v>
      </c>
      <c r="B8251" s="8">
        <v>393.75</v>
      </c>
      <c r="C8251" s="8">
        <v>20.478950000000001</v>
      </c>
      <c r="D8251" s="8">
        <v>61</v>
      </c>
      <c r="E8251" s="8">
        <v>0</v>
      </c>
      <c r="F8251" s="8">
        <v>0</v>
      </c>
      <c r="G8251" s="8">
        <v>10</v>
      </c>
      <c r="H8251" s="8" t="s">
        <v>42140</v>
      </c>
      <c r="I8251" s="8">
        <v>526.6875</v>
      </c>
      <c r="J8251" s="3">
        <f t="shared" si="128"/>
        <v>43749.071545173611</v>
      </c>
    </row>
    <row r="8252" spans="1:10" x14ac:dyDescent="0.25">
      <c r="A8252" s="5" t="s">
        <v>42141</v>
      </c>
      <c r="B8252" s="6">
        <v>393.75</v>
      </c>
      <c r="C8252" s="6">
        <v>20.426300000000001</v>
      </c>
      <c r="D8252" s="6">
        <v>63</v>
      </c>
      <c r="E8252" s="6">
        <v>0</v>
      </c>
      <c r="F8252" s="6">
        <v>0</v>
      </c>
      <c r="G8252" s="6">
        <v>7</v>
      </c>
      <c r="H8252" s="6" t="s">
        <v>42142</v>
      </c>
      <c r="I8252" s="6">
        <v>526.6875</v>
      </c>
      <c r="J8252" s="2">
        <f t="shared" si="128"/>
        <v>43749.071640844901</v>
      </c>
    </row>
    <row r="8253" spans="1:10" x14ac:dyDescent="0.25">
      <c r="A8253" s="7" t="s">
        <v>42143</v>
      </c>
      <c r="B8253" s="8">
        <v>393.75</v>
      </c>
      <c r="C8253" s="8">
        <v>20.478950000000001</v>
      </c>
      <c r="D8253" s="8">
        <v>62</v>
      </c>
      <c r="E8253" s="8">
        <v>0</v>
      </c>
      <c r="F8253" s="8">
        <v>0</v>
      </c>
      <c r="G8253" s="8">
        <v>0</v>
      </c>
      <c r="H8253" s="8" t="s">
        <v>42144</v>
      </c>
      <c r="I8253" s="8">
        <v>526.6875</v>
      </c>
      <c r="J8253" s="3">
        <f t="shared" si="128"/>
        <v>43749.071724305548</v>
      </c>
    </row>
    <row r="8254" spans="1:10" x14ac:dyDescent="0.25">
      <c r="A8254" s="5" t="s">
        <v>42145</v>
      </c>
      <c r="B8254" s="6">
        <v>393.75</v>
      </c>
      <c r="C8254" s="6">
        <v>20.478950000000001</v>
      </c>
      <c r="D8254" s="6">
        <v>62</v>
      </c>
      <c r="E8254" s="6">
        <v>0</v>
      </c>
      <c r="F8254" s="6">
        <v>0</v>
      </c>
      <c r="G8254" s="6">
        <v>11</v>
      </c>
      <c r="H8254" s="6" t="s">
        <v>42146</v>
      </c>
      <c r="I8254" s="6">
        <v>526.6875</v>
      </c>
      <c r="J8254" s="2">
        <f t="shared" si="128"/>
        <v>43749.071795868054</v>
      </c>
    </row>
    <row r="8255" spans="1:10" x14ac:dyDescent="0.25">
      <c r="A8255" s="7" t="s">
        <v>42147</v>
      </c>
      <c r="B8255" s="8">
        <v>393.75</v>
      </c>
      <c r="C8255" s="8">
        <v>20.478950000000001</v>
      </c>
      <c r="D8255" s="8">
        <v>62</v>
      </c>
      <c r="E8255" s="8">
        <v>0</v>
      </c>
      <c r="F8255" s="8">
        <v>0</v>
      </c>
      <c r="G8255" s="8">
        <v>1</v>
      </c>
      <c r="H8255" s="8" t="s">
        <v>42148</v>
      </c>
      <c r="I8255" s="8">
        <v>526.5</v>
      </c>
      <c r="J8255" s="3">
        <f t="shared" si="128"/>
        <v>43749.071867361105</v>
      </c>
    </row>
    <row r="8256" spans="1:10" x14ac:dyDescent="0.25">
      <c r="A8256" s="5" t="s">
        <v>42149</v>
      </c>
      <c r="B8256" s="6">
        <v>393.75</v>
      </c>
      <c r="C8256" s="6">
        <v>20.478950000000001</v>
      </c>
      <c r="D8256" s="6">
        <v>62</v>
      </c>
      <c r="E8256" s="6">
        <v>0</v>
      </c>
      <c r="F8256" s="6">
        <v>0</v>
      </c>
      <c r="G8256" s="6">
        <v>0</v>
      </c>
      <c r="H8256" s="6" t="s">
        <v>42150</v>
      </c>
      <c r="I8256" s="6">
        <v>526.6875</v>
      </c>
      <c r="J8256" s="2">
        <f t="shared" si="128"/>
        <v>43749.071938993053</v>
      </c>
    </row>
    <row r="8257" spans="1:10" x14ac:dyDescent="0.25">
      <c r="A8257" s="7" t="s">
        <v>42151</v>
      </c>
      <c r="B8257" s="8">
        <v>393.75</v>
      </c>
      <c r="C8257" s="8">
        <v>20.478950000000001</v>
      </c>
      <c r="D8257" s="8">
        <v>61</v>
      </c>
      <c r="E8257" s="8">
        <v>0</v>
      </c>
      <c r="F8257" s="8">
        <v>0</v>
      </c>
      <c r="G8257" s="8">
        <v>4</v>
      </c>
      <c r="H8257" s="8" t="s">
        <v>42152</v>
      </c>
      <c r="I8257" s="8">
        <v>526.6875</v>
      </c>
      <c r="J8257" s="3">
        <f t="shared" si="128"/>
        <v>43749.072022384258</v>
      </c>
    </row>
    <row r="8258" spans="1:10" x14ac:dyDescent="0.25">
      <c r="A8258" s="5" t="s">
        <v>42153</v>
      </c>
      <c r="B8258" s="6">
        <v>393.75</v>
      </c>
      <c r="C8258" s="6">
        <v>20.478950000000001</v>
      </c>
      <c r="D8258" s="6">
        <v>61</v>
      </c>
      <c r="E8258" s="6">
        <v>0</v>
      </c>
      <c r="F8258" s="6">
        <v>0</v>
      </c>
      <c r="G8258" s="6">
        <v>6</v>
      </c>
      <c r="H8258" s="6" t="s">
        <v>42154</v>
      </c>
      <c r="I8258" s="6">
        <v>526.6875</v>
      </c>
      <c r="J8258" s="2">
        <f t="shared" ref="J8258:J8321" si="129">(H8258/86400000)+25569+(7/24)</f>
        <v>43749.072105486113</v>
      </c>
    </row>
    <row r="8259" spans="1:10" x14ac:dyDescent="0.25">
      <c r="A8259" s="7" t="s">
        <v>42155</v>
      </c>
      <c r="B8259" s="8">
        <v>393.75</v>
      </c>
      <c r="C8259" s="8">
        <v>20.478950000000001</v>
      </c>
      <c r="D8259" s="8">
        <v>61</v>
      </c>
      <c r="E8259" s="8">
        <v>0</v>
      </c>
      <c r="F8259" s="8">
        <v>0</v>
      </c>
      <c r="G8259" s="8">
        <v>5</v>
      </c>
      <c r="H8259" s="8" t="s">
        <v>42156</v>
      </c>
      <c r="I8259" s="8">
        <v>526.6875</v>
      </c>
      <c r="J8259" s="3">
        <f t="shared" si="129"/>
        <v>43749.072177523143</v>
      </c>
    </row>
    <row r="8260" spans="1:10" x14ac:dyDescent="0.25">
      <c r="A8260" s="5" t="s">
        <v>42157</v>
      </c>
      <c r="B8260" s="6">
        <v>412.5</v>
      </c>
      <c r="C8260" s="6">
        <v>20.478950000000001</v>
      </c>
      <c r="D8260" s="6">
        <v>60</v>
      </c>
      <c r="E8260" s="6">
        <v>0</v>
      </c>
      <c r="F8260" s="6">
        <v>0</v>
      </c>
      <c r="G8260" s="6">
        <v>4</v>
      </c>
      <c r="H8260" s="6" t="s">
        <v>42158</v>
      </c>
      <c r="I8260" s="6">
        <v>532.3125</v>
      </c>
      <c r="J8260" s="2">
        <f t="shared" si="129"/>
        <v>43749.072261006942</v>
      </c>
    </row>
    <row r="8261" spans="1:10" x14ac:dyDescent="0.25">
      <c r="A8261" s="7" t="s">
        <v>42159</v>
      </c>
      <c r="B8261" s="8">
        <v>393.75</v>
      </c>
      <c r="C8261" s="8">
        <v>20.478950000000001</v>
      </c>
      <c r="D8261" s="8">
        <v>61</v>
      </c>
      <c r="E8261" s="8">
        <v>0</v>
      </c>
      <c r="F8261" s="8">
        <v>0</v>
      </c>
      <c r="G8261" s="8">
        <v>8</v>
      </c>
      <c r="H8261" s="8" t="s">
        <v>42160</v>
      </c>
      <c r="I8261" s="8">
        <v>526.6875</v>
      </c>
      <c r="J8261" s="3">
        <f t="shared" si="129"/>
        <v>43749.072344421293</v>
      </c>
    </row>
    <row r="8262" spans="1:10" x14ac:dyDescent="0.25">
      <c r="A8262" s="5" t="s">
        <v>42161</v>
      </c>
      <c r="B8262" s="6">
        <v>393.75</v>
      </c>
      <c r="C8262" s="6">
        <v>20.426300000000001</v>
      </c>
      <c r="D8262" s="6">
        <v>61</v>
      </c>
      <c r="E8262" s="6">
        <v>0</v>
      </c>
      <c r="F8262" s="6">
        <v>0</v>
      </c>
      <c r="G8262" s="6">
        <v>1</v>
      </c>
      <c r="H8262" s="6" t="s">
        <v>42162</v>
      </c>
      <c r="I8262" s="6">
        <v>526.6875</v>
      </c>
      <c r="J8262" s="2">
        <f t="shared" si="129"/>
        <v>43749.072415555558</v>
      </c>
    </row>
    <row r="8263" spans="1:10" x14ac:dyDescent="0.25">
      <c r="A8263" s="7" t="s">
        <v>42163</v>
      </c>
      <c r="B8263" s="8">
        <v>393.75</v>
      </c>
      <c r="C8263" s="8">
        <v>20.478950000000001</v>
      </c>
      <c r="D8263" s="8">
        <v>60</v>
      </c>
      <c r="E8263" s="8">
        <v>0</v>
      </c>
      <c r="F8263" s="8">
        <v>0</v>
      </c>
      <c r="G8263" s="8">
        <v>11</v>
      </c>
      <c r="H8263" s="8" t="s">
        <v>42164</v>
      </c>
      <c r="I8263" s="8">
        <v>526.6875</v>
      </c>
      <c r="J8263" s="3">
        <f t="shared" si="129"/>
        <v>43749.072487604164</v>
      </c>
    </row>
    <row r="8264" spans="1:10" x14ac:dyDescent="0.25">
      <c r="A8264" s="5" t="s">
        <v>42165</v>
      </c>
      <c r="B8264" s="6">
        <v>393.75</v>
      </c>
      <c r="C8264" s="6">
        <v>20.478950000000001</v>
      </c>
      <c r="D8264" s="6">
        <v>61</v>
      </c>
      <c r="E8264" s="6">
        <v>0</v>
      </c>
      <c r="F8264" s="6">
        <v>0</v>
      </c>
      <c r="G8264" s="6">
        <v>5</v>
      </c>
      <c r="H8264" s="6" t="s">
        <v>42166</v>
      </c>
      <c r="I8264" s="6">
        <v>526.6875</v>
      </c>
      <c r="J8264" s="2">
        <f t="shared" si="129"/>
        <v>43749.072571076387</v>
      </c>
    </row>
    <row r="8265" spans="1:10" x14ac:dyDescent="0.25">
      <c r="A8265" s="7" t="s">
        <v>42167</v>
      </c>
      <c r="B8265" s="8">
        <v>393.75</v>
      </c>
      <c r="C8265" s="8">
        <v>20.478950000000001</v>
      </c>
      <c r="D8265" s="8">
        <v>60</v>
      </c>
      <c r="E8265" s="8">
        <v>0</v>
      </c>
      <c r="F8265" s="8">
        <v>0</v>
      </c>
      <c r="G8265" s="8">
        <v>6</v>
      </c>
      <c r="H8265" s="8" t="s">
        <v>42168</v>
      </c>
      <c r="I8265" s="8">
        <v>526.6875</v>
      </c>
      <c r="J8265" s="3">
        <f t="shared" si="129"/>
        <v>43749.072642581021</v>
      </c>
    </row>
    <row r="8266" spans="1:10" x14ac:dyDescent="0.25">
      <c r="A8266" s="5" t="s">
        <v>42169</v>
      </c>
      <c r="B8266" s="6">
        <v>412.5</v>
      </c>
      <c r="C8266" s="6">
        <v>20.478950000000001</v>
      </c>
      <c r="D8266" s="6">
        <v>60</v>
      </c>
      <c r="E8266" s="6">
        <v>0</v>
      </c>
      <c r="F8266" s="6">
        <v>0</v>
      </c>
      <c r="G8266" s="6">
        <v>4</v>
      </c>
      <c r="H8266" s="6" t="s">
        <v>42170</v>
      </c>
      <c r="I8266" s="6">
        <v>532.3125</v>
      </c>
      <c r="J8266" s="2">
        <f t="shared" si="129"/>
        <v>43749.072726030092</v>
      </c>
    </row>
    <row r="8267" spans="1:10" x14ac:dyDescent="0.25">
      <c r="A8267" s="7" t="s">
        <v>42171</v>
      </c>
      <c r="B8267" s="8">
        <v>393.75</v>
      </c>
      <c r="C8267" s="8">
        <v>20.478950000000001</v>
      </c>
      <c r="D8267" s="8">
        <v>61</v>
      </c>
      <c r="E8267" s="8">
        <v>0</v>
      </c>
      <c r="F8267" s="8">
        <v>0</v>
      </c>
      <c r="G8267" s="8">
        <v>8</v>
      </c>
      <c r="H8267" s="8" t="s">
        <v>42172</v>
      </c>
      <c r="I8267" s="8">
        <v>526.6875</v>
      </c>
      <c r="J8267" s="3">
        <f t="shared" si="129"/>
        <v>43749.072809560188</v>
      </c>
    </row>
    <row r="8268" spans="1:10" x14ac:dyDescent="0.25">
      <c r="A8268" s="5" t="s">
        <v>42173</v>
      </c>
      <c r="B8268" s="6">
        <v>393.75</v>
      </c>
      <c r="C8268" s="6">
        <v>20.478950000000001</v>
      </c>
      <c r="D8268" s="6">
        <v>61</v>
      </c>
      <c r="E8268" s="6">
        <v>0</v>
      </c>
      <c r="F8268" s="6">
        <v>0</v>
      </c>
      <c r="G8268" s="6">
        <v>5</v>
      </c>
      <c r="H8268" s="6" t="s">
        <v>42174</v>
      </c>
      <c r="I8268" s="6">
        <v>526.6875</v>
      </c>
      <c r="J8268" s="2">
        <f t="shared" si="129"/>
        <v>43749.072893020835</v>
      </c>
    </row>
    <row r="8269" spans="1:10" x14ac:dyDescent="0.25">
      <c r="A8269" s="7" t="s">
        <v>42175</v>
      </c>
      <c r="B8269" s="8">
        <v>393.75</v>
      </c>
      <c r="C8269" s="8">
        <v>20.478950000000001</v>
      </c>
      <c r="D8269" s="8">
        <v>61</v>
      </c>
      <c r="E8269" s="8">
        <v>0</v>
      </c>
      <c r="F8269" s="8">
        <v>0</v>
      </c>
      <c r="G8269" s="8">
        <v>8</v>
      </c>
      <c r="H8269" s="8" t="s">
        <v>42176</v>
      </c>
      <c r="I8269" s="8">
        <v>526.6875</v>
      </c>
      <c r="J8269" s="3">
        <f t="shared" si="129"/>
        <v>43749.072976539348</v>
      </c>
    </row>
    <row r="8270" spans="1:10" x14ac:dyDescent="0.25">
      <c r="A8270" s="5" t="s">
        <v>42177</v>
      </c>
      <c r="B8270" s="6">
        <v>393.75</v>
      </c>
      <c r="C8270" s="6">
        <v>20.478950000000001</v>
      </c>
      <c r="D8270" s="6">
        <v>61</v>
      </c>
      <c r="E8270" s="6">
        <v>0</v>
      </c>
      <c r="F8270" s="6">
        <v>0</v>
      </c>
      <c r="G8270" s="6">
        <v>5</v>
      </c>
      <c r="H8270" s="6" t="s">
        <v>42178</v>
      </c>
      <c r="I8270" s="6">
        <v>526.6875</v>
      </c>
      <c r="J8270" s="2">
        <f t="shared" si="129"/>
        <v>43749.073060034723</v>
      </c>
    </row>
    <row r="8271" spans="1:10" x14ac:dyDescent="0.25">
      <c r="A8271" s="7" t="s">
        <v>42179</v>
      </c>
      <c r="B8271" s="8">
        <v>393.75</v>
      </c>
      <c r="C8271" s="8">
        <v>20.426300000000001</v>
      </c>
      <c r="D8271" s="8">
        <v>61</v>
      </c>
      <c r="E8271" s="8">
        <v>0</v>
      </c>
      <c r="F8271" s="8">
        <v>0</v>
      </c>
      <c r="G8271" s="8">
        <v>8</v>
      </c>
      <c r="H8271" s="8" t="s">
        <v>42180</v>
      </c>
      <c r="I8271" s="8">
        <v>526.6875</v>
      </c>
      <c r="J8271" s="3">
        <f t="shared" si="129"/>
        <v>43749.073143449066</v>
      </c>
    </row>
    <row r="8272" spans="1:10" x14ac:dyDescent="0.25">
      <c r="A8272" s="5" t="s">
        <v>42181</v>
      </c>
      <c r="B8272" s="6">
        <v>393.75</v>
      </c>
      <c r="C8272" s="6">
        <v>20.426300000000001</v>
      </c>
      <c r="D8272" s="6">
        <v>60</v>
      </c>
      <c r="E8272" s="6">
        <v>0</v>
      </c>
      <c r="F8272" s="6">
        <v>0</v>
      </c>
      <c r="G8272" s="6">
        <v>16</v>
      </c>
      <c r="H8272" s="6" t="s">
        <v>42182</v>
      </c>
      <c r="I8272" s="6">
        <v>526.6875</v>
      </c>
      <c r="J8272" s="2">
        <f t="shared" si="129"/>
        <v>43749.073232916664</v>
      </c>
    </row>
    <row r="8273" spans="1:10" x14ac:dyDescent="0.25">
      <c r="A8273" s="7" t="s">
        <v>42183</v>
      </c>
      <c r="B8273" s="8">
        <v>393.75</v>
      </c>
      <c r="C8273" s="8">
        <v>20.478950000000001</v>
      </c>
      <c r="D8273" s="8">
        <v>63</v>
      </c>
      <c r="E8273" s="8">
        <v>0</v>
      </c>
      <c r="F8273" s="8">
        <v>0</v>
      </c>
      <c r="G8273" s="8">
        <v>10</v>
      </c>
      <c r="H8273" s="8" t="s">
        <v>42184</v>
      </c>
      <c r="I8273" s="8">
        <v>526.6875</v>
      </c>
      <c r="J8273" s="3">
        <f t="shared" si="129"/>
        <v>43749.073310381944</v>
      </c>
    </row>
    <row r="8274" spans="1:10" x14ac:dyDescent="0.25">
      <c r="A8274" s="5" t="s">
        <v>42185</v>
      </c>
      <c r="B8274" s="6">
        <v>393.75</v>
      </c>
      <c r="C8274" s="6">
        <v>20.478950000000001</v>
      </c>
      <c r="D8274" s="6">
        <v>63</v>
      </c>
      <c r="E8274" s="6">
        <v>0</v>
      </c>
      <c r="F8274" s="6">
        <v>0</v>
      </c>
      <c r="G8274" s="6">
        <v>3</v>
      </c>
      <c r="H8274" s="6" t="s">
        <v>42186</v>
      </c>
      <c r="I8274" s="6">
        <v>526.5</v>
      </c>
      <c r="J8274" s="2">
        <f t="shared" si="129"/>
        <v>43749.073381643517</v>
      </c>
    </row>
    <row r="8275" spans="1:10" x14ac:dyDescent="0.25">
      <c r="A8275" s="7" t="s">
        <v>42187</v>
      </c>
      <c r="B8275" s="8">
        <v>393.75</v>
      </c>
      <c r="C8275" s="8">
        <v>20.478950000000001</v>
      </c>
      <c r="D8275" s="8">
        <v>62</v>
      </c>
      <c r="E8275" s="8">
        <v>0</v>
      </c>
      <c r="F8275" s="8">
        <v>0</v>
      </c>
      <c r="G8275" s="8">
        <v>8</v>
      </c>
      <c r="H8275" s="8" t="s">
        <v>42188</v>
      </c>
      <c r="I8275" s="8">
        <v>526.5</v>
      </c>
      <c r="J8275" s="3">
        <f t="shared" si="129"/>
        <v>43749.07345358796</v>
      </c>
    </row>
    <row r="8276" spans="1:10" x14ac:dyDescent="0.25">
      <c r="A8276" s="5" t="s">
        <v>42189</v>
      </c>
      <c r="B8276" s="6">
        <v>412.5</v>
      </c>
      <c r="C8276" s="6">
        <v>20.478950000000001</v>
      </c>
      <c r="D8276" s="6">
        <v>62</v>
      </c>
      <c r="E8276" s="6">
        <v>0</v>
      </c>
      <c r="F8276" s="6">
        <v>0</v>
      </c>
      <c r="G8276" s="6">
        <v>7</v>
      </c>
      <c r="H8276" s="6" t="s">
        <v>42190</v>
      </c>
      <c r="I8276" s="6">
        <v>532.6875</v>
      </c>
      <c r="J8276" s="2">
        <f t="shared" si="129"/>
        <v>43749.073536956021</v>
      </c>
    </row>
    <row r="8277" spans="1:10" x14ac:dyDescent="0.25">
      <c r="A8277" s="7" t="s">
        <v>42191</v>
      </c>
      <c r="B8277" s="8">
        <v>393.75</v>
      </c>
      <c r="C8277" s="8">
        <v>20.478950000000001</v>
      </c>
      <c r="D8277" s="8">
        <v>62</v>
      </c>
      <c r="E8277" s="8">
        <v>0</v>
      </c>
      <c r="F8277" s="8">
        <v>0</v>
      </c>
      <c r="G8277" s="8">
        <v>2</v>
      </c>
      <c r="H8277" s="8" t="s">
        <v>42192</v>
      </c>
      <c r="I8277" s="8">
        <v>526.6875</v>
      </c>
      <c r="J8277" s="3">
        <f t="shared" si="129"/>
        <v>43749.073608090279</v>
      </c>
    </row>
    <row r="8278" spans="1:10" x14ac:dyDescent="0.25">
      <c r="A8278" s="5" t="s">
        <v>42193</v>
      </c>
      <c r="B8278" s="6">
        <v>393.75</v>
      </c>
      <c r="C8278" s="6">
        <v>20.478950000000001</v>
      </c>
      <c r="D8278" s="6">
        <v>61</v>
      </c>
      <c r="E8278" s="6">
        <v>0</v>
      </c>
      <c r="F8278" s="6">
        <v>0</v>
      </c>
      <c r="G8278" s="6">
        <v>3</v>
      </c>
      <c r="H8278" s="6" t="s">
        <v>42194</v>
      </c>
      <c r="I8278" s="6">
        <v>526.6875</v>
      </c>
      <c r="J8278" s="2">
        <f t="shared" si="129"/>
        <v>43749.073680127309</v>
      </c>
    </row>
    <row r="8279" spans="1:10" x14ac:dyDescent="0.25">
      <c r="A8279" s="7" t="s">
        <v>42195</v>
      </c>
      <c r="B8279" s="8">
        <v>393.75</v>
      </c>
      <c r="C8279" s="8">
        <v>20.478950000000001</v>
      </c>
      <c r="D8279" s="8">
        <v>61</v>
      </c>
      <c r="E8279" s="8">
        <v>0</v>
      </c>
      <c r="F8279" s="8">
        <v>0</v>
      </c>
      <c r="G8279" s="8">
        <v>12</v>
      </c>
      <c r="H8279" s="8" t="s">
        <v>42196</v>
      </c>
      <c r="I8279" s="8">
        <v>526.6875</v>
      </c>
      <c r="J8279" s="3">
        <f t="shared" si="129"/>
        <v>43749.073763657405</v>
      </c>
    </row>
    <row r="8280" spans="1:10" x14ac:dyDescent="0.25">
      <c r="A8280" s="5" t="s">
        <v>42197</v>
      </c>
      <c r="B8280" s="6">
        <v>393.75</v>
      </c>
      <c r="C8280" s="6">
        <v>20.478950000000001</v>
      </c>
      <c r="D8280" s="6">
        <v>61</v>
      </c>
      <c r="E8280" s="6">
        <v>0</v>
      </c>
      <c r="F8280" s="6">
        <v>0</v>
      </c>
      <c r="G8280" s="6">
        <v>15</v>
      </c>
      <c r="H8280" s="6" t="s">
        <v>42198</v>
      </c>
      <c r="I8280" s="6">
        <v>526.6875</v>
      </c>
      <c r="J8280" s="2">
        <f t="shared" si="129"/>
        <v>43749.073835115742</v>
      </c>
    </row>
    <row r="8281" spans="1:10" x14ac:dyDescent="0.25">
      <c r="A8281" s="7" t="s">
        <v>42199</v>
      </c>
      <c r="B8281" s="8">
        <v>393.75</v>
      </c>
      <c r="C8281" s="8">
        <v>20.478950000000001</v>
      </c>
      <c r="D8281" s="8">
        <v>58</v>
      </c>
      <c r="E8281" s="8">
        <v>0</v>
      </c>
      <c r="F8281" s="8">
        <v>0</v>
      </c>
      <c r="G8281" s="8">
        <v>5</v>
      </c>
      <c r="H8281" s="8" t="s">
        <v>42200</v>
      </c>
      <c r="I8281" s="8">
        <v>526.6875</v>
      </c>
      <c r="J8281" s="3">
        <f t="shared" si="129"/>
        <v>43749.073930150458</v>
      </c>
    </row>
    <row r="8282" spans="1:10" x14ac:dyDescent="0.25">
      <c r="A8282" s="5" t="s">
        <v>42201</v>
      </c>
      <c r="B8282" s="6">
        <v>393.75</v>
      </c>
      <c r="C8282" s="6">
        <v>20.478950000000001</v>
      </c>
      <c r="D8282" s="6">
        <v>58</v>
      </c>
      <c r="E8282" s="6">
        <v>0</v>
      </c>
      <c r="F8282" s="6">
        <v>0</v>
      </c>
      <c r="G8282" s="6">
        <v>11</v>
      </c>
      <c r="H8282" s="6" t="s">
        <v>42202</v>
      </c>
      <c r="I8282" s="6">
        <v>526.6875</v>
      </c>
      <c r="J8282" s="2">
        <f t="shared" si="129"/>
        <v>43749.07400212963</v>
      </c>
    </row>
    <row r="8283" spans="1:10" x14ac:dyDescent="0.25">
      <c r="A8283" s="7" t="s">
        <v>42203</v>
      </c>
      <c r="B8283" s="8">
        <v>393.75</v>
      </c>
      <c r="C8283" s="8">
        <v>20.478950000000001</v>
      </c>
      <c r="D8283" s="8">
        <v>58</v>
      </c>
      <c r="E8283" s="8">
        <v>0</v>
      </c>
      <c r="F8283" s="8">
        <v>0</v>
      </c>
      <c r="G8283" s="8">
        <v>8</v>
      </c>
      <c r="H8283" s="8" t="s">
        <v>42204</v>
      </c>
      <c r="I8283" s="8">
        <v>526.6875</v>
      </c>
      <c r="J8283" s="3">
        <f t="shared" si="129"/>
        <v>43749.074085185181</v>
      </c>
    </row>
    <row r="8284" spans="1:10" x14ac:dyDescent="0.25">
      <c r="A8284" s="5" t="s">
        <v>42205</v>
      </c>
      <c r="B8284" s="6">
        <v>393.75</v>
      </c>
      <c r="C8284" s="6">
        <v>20.478950000000001</v>
      </c>
      <c r="D8284" s="6">
        <v>58</v>
      </c>
      <c r="E8284" s="6">
        <v>0</v>
      </c>
      <c r="F8284" s="6">
        <v>0</v>
      </c>
      <c r="G8284" s="6">
        <v>0</v>
      </c>
      <c r="H8284" s="6" t="s">
        <v>42206</v>
      </c>
      <c r="I8284" s="6">
        <v>526.6875</v>
      </c>
      <c r="J8284" s="2">
        <f t="shared" si="129"/>
        <v>43749.074157106479</v>
      </c>
    </row>
    <row r="8285" spans="1:10" x14ac:dyDescent="0.25">
      <c r="A8285" s="7" t="s">
        <v>42207</v>
      </c>
      <c r="B8285" s="8">
        <v>393.75</v>
      </c>
      <c r="C8285" s="8">
        <v>20.426300000000001</v>
      </c>
      <c r="D8285" s="8">
        <v>59</v>
      </c>
      <c r="E8285" s="8">
        <v>0</v>
      </c>
      <c r="F8285" s="8">
        <v>0</v>
      </c>
      <c r="G8285" s="8">
        <v>0</v>
      </c>
      <c r="H8285" s="8" t="s">
        <v>42208</v>
      </c>
      <c r="I8285" s="8">
        <v>526.5</v>
      </c>
      <c r="J8285" s="3">
        <f t="shared" si="129"/>
        <v>43749.074252534723</v>
      </c>
    </row>
    <row r="8286" spans="1:10" x14ac:dyDescent="0.25">
      <c r="A8286" s="5" t="s">
        <v>42209</v>
      </c>
      <c r="B8286" s="6">
        <v>393.75</v>
      </c>
      <c r="C8286" s="6">
        <v>20.478950000000001</v>
      </c>
      <c r="D8286" s="6">
        <v>59</v>
      </c>
      <c r="E8286" s="6">
        <v>0</v>
      </c>
      <c r="F8286" s="6">
        <v>0</v>
      </c>
      <c r="G8286" s="6">
        <v>1</v>
      </c>
      <c r="H8286" s="6" t="s">
        <v>42210</v>
      </c>
      <c r="I8286" s="6">
        <v>526.6875</v>
      </c>
      <c r="J8286" s="2">
        <f t="shared" si="129"/>
        <v>43749.0743358912</v>
      </c>
    </row>
    <row r="8287" spans="1:10" x14ac:dyDescent="0.25">
      <c r="A8287" s="7" t="s">
        <v>42211</v>
      </c>
      <c r="B8287" s="8">
        <v>393.75</v>
      </c>
      <c r="C8287" s="8">
        <v>20.478950000000001</v>
      </c>
      <c r="D8287" s="8">
        <v>59</v>
      </c>
      <c r="E8287" s="8">
        <v>0</v>
      </c>
      <c r="F8287" s="8">
        <v>0</v>
      </c>
      <c r="G8287" s="8">
        <v>9</v>
      </c>
      <c r="H8287" s="8" t="s">
        <v>42212</v>
      </c>
      <c r="I8287" s="8">
        <v>526.6875</v>
      </c>
      <c r="J8287" s="3">
        <f t="shared" si="129"/>
        <v>43749.074407708329</v>
      </c>
    </row>
    <row r="8288" spans="1:10" x14ac:dyDescent="0.25">
      <c r="A8288" s="5" t="s">
        <v>42213</v>
      </c>
      <c r="B8288" s="6">
        <v>393.75</v>
      </c>
      <c r="C8288" s="6">
        <v>20.478950000000001</v>
      </c>
      <c r="D8288" s="6">
        <v>59</v>
      </c>
      <c r="E8288" s="6">
        <v>0</v>
      </c>
      <c r="F8288" s="6">
        <v>0</v>
      </c>
      <c r="G8288" s="6">
        <v>0</v>
      </c>
      <c r="H8288" s="6" t="s">
        <v>42214</v>
      </c>
      <c r="I8288" s="6">
        <v>526.6875</v>
      </c>
      <c r="J8288" s="2">
        <f t="shared" si="129"/>
        <v>43749.074491307867</v>
      </c>
    </row>
    <row r="8289" spans="1:10" x14ac:dyDescent="0.25">
      <c r="A8289" s="7" t="s">
        <v>42215</v>
      </c>
      <c r="B8289" s="8">
        <v>393.75</v>
      </c>
      <c r="C8289" s="8">
        <v>20.478950000000001</v>
      </c>
      <c r="D8289" s="8">
        <v>59</v>
      </c>
      <c r="E8289" s="8">
        <v>0</v>
      </c>
      <c r="F8289" s="8">
        <v>0</v>
      </c>
      <c r="G8289" s="8">
        <v>8</v>
      </c>
      <c r="H8289" s="8" t="s">
        <v>42216</v>
      </c>
      <c r="I8289" s="8">
        <v>526.5</v>
      </c>
      <c r="J8289" s="3">
        <f t="shared" si="129"/>
        <v>43749.074574421298</v>
      </c>
    </row>
    <row r="8290" spans="1:10" x14ac:dyDescent="0.25">
      <c r="A8290" s="5" t="s">
        <v>42217</v>
      </c>
      <c r="B8290" s="6">
        <v>393.75</v>
      </c>
      <c r="C8290" s="6">
        <v>20.478950000000001</v>
      </c>
      <c r="D8290" s="6">
        <v>59</v>
      </c>
      <c r="E8290" s="6">
        <v>0</v>
      </c>
      <c r="F8290" s="6">
        <v>0</v>
      </c>
      <c r="G8290" s="6">
        <v>3</v>
      </c>
      <c r="H8290" s="6" t="s">
        <v>42218</v>
      </c>
      <c r="I8290" s="6">
        <v>526.6875</v>
      </c>
      <c r="J8290" s="2">
        <f t="shared" si="129"/>
        <v>43749.074645555556</v>
      </c>
    </row>
    <row r="8291" spans="1:10" x14ac:dyDescent="0.25">
      <c r="A8291" s="7" t="s">
        <v>42219</v>
      </c>
      <c r="B8291" s="8">
        <v>393.75</v>
      </c>
      <c r="C8291" s="8">
        <v>20.478950000000001</v>
      </c>
      <c r="D8291" s="8">
        <v>60</v>
      </c>
      <c r="E8291" s="8">
        <v>0</v>
      </c>
      <c r="F8291" s="8">
        <v>0</v>
      </c>
      <c r="G8291" s="8">
        <v>7</v>
      </c>
      <c r="H8291" s="8" t="s">
        <v>42220</v>
      </c>
      <c r="I8291" s="8">
        <v>526.5</v>
      </c>
      <c r="J8291" s="3">
        <f t="shared" si="129"/>
        <v>43749.07471760417</v>
      </c>
    </row>
    <row r="8292" spans="1:10" x14ac:dyDescent="0.25">
      <c r="A8292" s="5" t="s">
        <v>42221</v>
      </c>
      <c r="B8292" s="6">
        <v>393.75</v>
      </c>
      <c r="C8292" s="6">
        <v>20.478950000000001</v>
      </c>
      <c r="D8292" s="6">
        <v>60</v>
      </c>
      <c r="E8292" s="6">
        <v>0</v>
      </c>
      <c r="F8292" s="6">
        <v>0</v>
      </c>
      <c r="G8292" s="6">
        <v>5</v>
      </c>
      <c r="H8292" s="6" t="s">
        <v>42222</v>
      </c>
      <c r="I8292" s="6">
        <v>526.6875</v>
      </c>
      <c r="J8292" s="2">
        <f t="shared" si="129"/>
        <v>43749.074800821756</v>
      </c>
    </row>
    <row r="8293" spans="1:10" x14ac:dyDescent="0.25">
      <c r="A8293" s="7" t="s">
        <v>42223</v>
      </c>
      <c r="B8293" s="8">
        <v>393.75</v>
      </c>
      <c r="C8293" s="8">
        <v>20.478950000000001</v>
      </c>
      <c r="D8293" s="8">
        <v>59</v>
      </c>
      <c r="E8293" s="8">
        <v>0</v>
      </c>
      <c r="F8293" s="8">
        <v>0</v>
      </c>
      <c r="G8293" s="8">
        <v>6</v>
      </c>
      <c r="H8293" s="8" t="s">
        <v>42224</v>
      </c>
      <c r="I8293" s="8">
        <v>526.6875</v>
      </c>
      <c r="J8293" s="3">
        <f t="shared" si="129"/>
        <v>43749.074872523146</v>
      </c>
    </row>
    <row r="8294" spans="1:10" x14ac:dyDescent="0.25">
      <c r="A8294" s="5" t="s">
        <v>42225</v>
      </c>
      <c r="B8294" s="6">
        <v>393.75</v>
      </c>
      <c r="C8294" s="6">
        <v>20.478950000000001</v>
      </c>
      <c r="D8294" s="6">
        <v>60</v>
      </c>
      <c r="E8294" s="6">
        <v>0</v>
      </c>
      <c r="F8294" s="6">
        <v>0</v>
      </c>
      <c r="G8294" s="6">
        <v>15</v>
      </c>
      <c r="H8294" s="6" t="s">
        <v>42226</v>
      </c>
      <c r="I8294" s="6">
        <v>526.6875</v>
      </c>
      <c r="J8294" s="2">
        <f t="shared" si="129"/>
        <v>43749.074956157405</v>
      </c>
    </row>
    <row r="8295" spans="1:10" x14ac:dyDescent="0.25">
      <c r="A8295" s="7" t="s">
        <v>42227</v>
      </c>
      <c r="B8295" s="8">
        <v>393.75</v>
      </c>
      <c r="C8295" s="8">
        <v>20.478950000000001</v>
      </c>
      <c r="D8295" s="8">
        <v>60</v>
      </c>
      <c r="E8295" s="8">
        <v>0</v>
      </c>
      <c r="F8295" s="8">
        <v>0</v>
      </c>
      <c r="G8295" s="8">
        <v>0</v>
      </c>
      <c r="H8295" s="8" t="s">
        <v>42228</v>
      </c>
      <c r="I8295" s="8">
        <v>526.6875</v>
      </c>
      <c r="J8295" s="3">
        <f t="shared" si="129"/>
        <v>43749.075027615741</v>
      </c>
    </row>
    <row r="8296" spans="1:10" x14ac:dyDescent="0.25">
      <c r="A8296" s="5" t="s">
        <v>42229</v>
      </c>
      <c r="B8296" s="6">
        <v>412.5</v>
      </c>
      <c r="C8296" s="6">
        <v>20.478950000000001</v>
      </c>
      <c r="D8296" s="6">
        <v>59</v>
      </c>
      <c r="E8296" s="6">
        <v>0</v>
      </c>
      <c r="F8296" s="6">
        <v>0</v>
      </c>
      <c r="G8296" s="6">
        <v>8</v>
      </c>
      <c r="H8296" s="6" t="s">
        <v>42230</v>
      </c>
      <c r="I8296" s="6">
        <v>532.875</v>
      </c>
      <c r="J8296" s="2">
        <f t="shared" si="129"/>
        <v>43749.075098831017</v>
      </c>
    </row>
    <row r="8297" spans="1:10" x14ac:dyDescent="0.25">
      <c r="A8297" s="7" t="s">
        <v>42231</v>
      </c>
      <c r="B8297" s="8">
        <v>393.75</v>
      </c>
      <c r="C8297" s="8">
        <v>20.478950000000001</v>
      </c>
      <c r="D8297" s="8">
        <v>59</v>
      </c>
      <c r="E8297" s="8">
        <v>0</v>
      </c>
      <c r="F8297" s="8">
        <v>0</v>
      </c>
      <c r="G8297" s="8">
        <v>11</v>
      </c>
      <c r="H8297" s="8" t="s">
        <v>42232</v>
      </c>
      <c r="I8297" s="8">
        <v>526.6875</v>
      </c>
      <c r="J8297" s="3">
        <f t="shared" si="129"/>
        <v>43749.075170659715</v>
      </c>
    </row>
    <row r="8298" spans="1:10" x14ac:dyDescent="0.25">
      <c r="A8298" s="5" t="s">
        <v>42233</v>
      </c>
      <c r="B8298" s="6">
        <v>393.75</v>
      </c>
      <c r="C8298" s="6">
        <v>20.426300000000001</v>
      </c>
      <c r="D8298" s="6">
        <v>59</v>
      </c>
      <c r="E8298" s="6">
        <v>0</v>
      </c>
      <c r="F8298" s="6">
        <v>0</v>
      </c>
      <c r="G8298" s="6">
        <v>11</v>
      </c>
      <c r="H8298" s="6" t="s">
        <v>42234</v>
      </c>
      <c r="I8298" s="6">
        <v>526.6875</v>
      </c>
      <c r="J8298" s="2">
        <f t="shared" si="129"/>
        <v>43749.075242245373</v>
      </c>
    </row>
    <row r="8299" spans="1:10" x14ac:dyDescent="0.25">
      <c r="A8299" s="7" t="s">
        <v>42235</v>
      </c>
      <c r="B8299" s="8">
        <v>393.75</v>
      </c>
      <c r="C8299" s="8">
        <v>20.478950000000001</v>
      </c>
      <c r="D8299" s="8">
        <v>59</v>
      </c>
      <c r="E8299" s="8">
        <v>0</v>
      </c>
      <c r="F8299" s="8">
        <v>0</v>
      </c>
      <c r="G8299" s="8">
        <v>3</v>
      </c>
      <c r="H8299" s="8" t="s">
        <v>42236</v>
      </c>
      <c r="I8299" s="8">
        <v>526.5</v>
      </c>
      <c r="J8299" s="3">
        <f t="shared" si="129"/>
        <v>43749.07532575231</v>
      </c>
    </row>
    <row r="8300" spans="1:10" x14ac:dyDescent="0.25">
      <c r="A8300" s="5" t="s">
        <v>42237</v>
      </c>
      <c r="B8300" s="6">
        <v>393.75</v>
      </c>
      <c r="C8300" s="6">
        <v>20.478950000000001</v>
      </c>
      <c r="D8300" s="6">
        <v>57</v>
      </c>
      <c r="E8300" s="6">
        <v>0</v>
      </c>
      <c r="F8300" s="6">
        <v>0</v>
      </c>
      <c r="G8300" s="6">
        <v>0</v>
      </c>
      <c r="H8300" s="6" t="s">
        <v>42238</v>
      </c>
      <c r="I8300" s="6">
        <v>526.6875</v>
      </c>
      <c r="J8300" s="2">
        <f t="shared" si="129"/>
        <v>43749.075396932873</v>
      </c>
    </row>
    <row r="8301" spans="1:10" x14ac:dyDescent="0.25">
      <c r="A8301" s="7" t="s">
        <v>42239</v>
      </c>
      <c r="B8301" s="8">
        <v>393.75</v>
      </c>
      <c r="C8301" s="8">
        <v>20.478950000000001</v>
      </c>
      <c r="D8301" s="8">
        <v>56</v>
      </c>
      <c r="E8301" s="8">
        <v>0</v>
      </c>
      <c r="F8301" s="8">
        <v>0</v>
      </c>
      <c r="G8301" s="8">
        <v>0</v>
      </c>
      <c r="H8301" s="8" t="s">
        <v>42240</v>
      </c>
      <c r="I8301" s="8">
        <v>526.6875</v>
      </c>
      <c r="J8301" s="3">
        <f t="shared" si="129"/>
        <v>43749.075468912029</v>
      </c>
    </row>
    <row r="8302" spans="1:10" x14ac:dyDescent="0.25">
      <c r="A8302" s="5" t="s">
        <v>42241</v>
      </c>
      <c r="B8302" s="6">
        <v>393.75</v>
      </c>
      <c r="C8302" s="6">
        <v>20.478950000000001</v>
      </c>
      <c r="D8302" s="6">
        <v>58</v>
      </c>
      <c r="E8302" s="6">
        <v>0</v>
      </c>
      <c r="F8302" s="6">
        <v>0</v>
      </c>
      <c r="G8302" s="6">
        <v>7</v>
      </c>
      <c r="H8302" s="6" t="s">
        <v>42242</v>
      </c>
      <c r="I8302" s="6">
        <v>526.6875</v>
      </c>
      <c r="J8302" s="2">
        <f t="shared" si="129"/>
        <v>43749.075564363426</v>
      </c>
    </row>
    <row r="8303" spans="1:10" x14ac:dyDescent="0.25">
      <c r="A8303" s="7" t="s">
        <v>42243</v>
      </c>
      <c r="B8303" s="8">
        <v>393.75</v>
      </c>
      <c r="C8303" s="8">
        <v>20.478950000000001</v>
      </c>
      <c r="D8303" s="8">
        <v>59</v>
      </c>
      <c r="E8303" s="8">
        <v>0</v>
      </c>
      <c r="F8303" s="8">
        <v>0</v>
      </c>
      <c r="G8303" s="8">
        <v>8</v>
      </c>
      <c r="H8303" s="8" t="s">
        <v>42244</v>
      </c>
      <c r="I8303" s="8">
        <v>526.6875</v>
      </c>
      <c r="J8303" s="3">
        <f t="shared" si="129"/>
        <v>43749.075635555557</v>
      </c>
    </row>
    <row r="8304" spans="1:10" x14ac:dyDescent="0.25">
      <c r="A8304" s="5" t="s">
        <v>42245</v>
      </c>
      <c r="B8304" s="6">
        <v>393.75</v>
      </c>
      <c r="C8304" s="6">
        <v>20.426300000000001</v>
      </c>
      <c r="D8304" s="6">
        <v>59</v>
      </c>
      <c r="E8304" s="6">
        <v>0</v>
      </c>
      <c r="F8304" s="6">
        <v>0</v>
      </c>
      <c r="G8304" s="6">
        <v>7</v>
      </c>
      <c r="H8304" s="6" t="s">
        <v>42246</v>
      </c>
      <c r="I8304" s="6">
        <v>526.6875</v>
      </c>
      <c r="J8304" s="2">
        <f t="shared" si="129"/>
        <v>43749.075707349533</v>
      </c>
    </row>
    <row r="8305" spans="1:10" x14ac:dyDescent="0.25">
      <c r="A8305" s="7" t="s">
        <v>42247</v>
      </c>
      <c r="B8305" s="8">
        <v>393.75</v>
      </c>
      <c r="C8305" s="8">
        <v>20.478950000000001</v>
      </c>
      <c r="D8305" s="8">
        <v>59</v>
      </c>
      <c r="E8305" s="8">
        <v>0</v>
      </c>
      <c r="F8305" s="8">
        <v>0</v>
      </c>
      <c r="G8305" s="8">
        <v>4</v>
      </c>
      <c r="H8305" s="8" t="s">
        <v>42248</v>
      </c>
      <c r="I8305" s="8">
        <v>526.6875</v>
      </c>
      <c r="J8305" s="3">
        <f t="shared" si="129"/>
        <v>43749.075778645834</v>
      </c>
    </row>
    <row r="8306" spans="1:10" x14ac:dyDescent="0.25">
      <c r="A8306" s="5" t="s">
        <v>42249</v>
      </c>
      <c r="B8306" s="6">
        <v>393.75</v>
      </c>
      <c r="C8306" s="6">
        <v>20.478950000000001</v>
      </c>
      <c r="D8306" s="6">
        <v>59</v>
      </c>
      <c r="E8306" s="6">
        <v>0</v>
      </c>
      <c r="F8306" s="6">
        <v>0</v>
      </c>
      <c r="G8306" s="6">
        <v>3</v>
      </c>
      <c r="H8306" s="6" t="s">
        <v>42250</v>
      </c>
      <c r="I8306" s="6">
        <v>526.6875</v>
      </c>
      <c r="J8306" s="2">
        <f t="shared" si="129"/>
        <v>43749.075850520829</v>
      </c>
    </row>
    <row r="8307" spans="1:10" x14ac:dyDescent="0.25">
      <c r="A8307" s="7" t="s">
        <v>42251</v>
      </c>
      <c r="B8307" s="8">
        <v>393.75</v>
      </c>
      <c r="C8307" s="8">
        <v>20.478950000000001</v>
      </c>
      <c r="D8307" s="8">
        <v>58</v>
      </c>
      <c r="E8307" s="8">
        <v>0</v>
      </c>
      <c r="F8307" s="8">
        <v>0</v>
      </c>
      <c r="G8307" s="8">
        <v>7</v>
      </c>
      <c r="H8307" s="8" t="s">
        <v>42252</v>
      </c>
      <c r="I8307" s="8">
        <v>526.6875</v>
      </c>
      <c r="J8307" s="3">
        <f t="shared" si="129"/>
        <v>43749.075934016197</v>
      </c>
    </row>
    <row r="8308" spans="1:10" x14ac:dyDescent="0.25">
      <c r="A8308" s="5" t="s">
        <v>42253</v>
      </c>
      <c r="B8308" s="6">
        <v>393.75</v>
      </c>
      <c r="C8308" s="6">
        <v>20.478950000000001</v>
      </c>
      <c r="D8308" s="6">
        <v>58</v>
      </c>
      <c r="E8308" s="6">
        <v>0</v>
      </c>
      <c r="F8308" s="6">
        <v>0</v>
      </c>
      <c r="G8308" s="6">
        <v>11</v>
      </c>
      <c r="H8308" s="6" t="s">
        <v>42254</v>
      </c>
      <c r="I8308" s="6">
        <v>526.6875</v>
      </c>
      <c r="J8308" s="2">
        <f t="shared" si="129"/>
        <v>43749.076005509261</v>
      </c>
    </row>
    <row r="8309" spans="1:10" x14ac:dyDescent="0.25">
      <c r="A8309" s="7" t="s">
        <v>42255</v>
      </c>
      <c r="B8309" s="8">
        <v>393.75</v>
      </c>
      <c r="C8309" s="8">
        <v>20.478950000000001</v>
      </c>
      <c r="D8309" s="8">
        <v>58</v>
      </c>
      <c r="E8309" s="8">
        <v>0</v>
      </c>
      <c r="F8309" s="8">
        <v>0</v>
      </c>
      <c r="G8309" s="8">
        <v>7</v>
      </c>
      <c r="H8309" s="8" t="s">
        <v>42256</v>
      </c>
      <c r="I8309" s="8">
        <v>526.6875</v>
      </c>
      <c r="J8309" s="3">
        <f t="shared" si="129"/>
        <v>43749.076104027779</v>
      </c>
    </row>
    <row r="8310" spans="1:10" x14ac:dyDescent="0.25">
      <c r="A8310" s="5" t="s">
        <v>42257</v>
      </c>
      <c r="B8310" s="6">
        <v>393.75</v>
      </c>
      <c r="C8310" s="6">
        <v>20.478950000000001</v>
      </c>
      <c r="D8310" s="6">
        <v>58</v>
      </c>
      <c r="E8310" s="6">
        <v>0</v>
      </c>
      <c r="F8310" s="6">
        <v>0</v>
      </c>
      <c r="G8310" s="6">
        <v>0</v>
      </c>
      <c r="H8310" s="6" t="s">
        <v>42258</v>
      </c>
      <c r="I8310" s="6">
        <v>526.6875</v>
      </c>
      <c r="J8310" s="2">
        <f t="shared" si="129"/>
        <v>43749.076184479163</v>
      </c>
    </row>
    <row r="8311" spans="1:10" x14ac:dyDescent="0.25">
      <c r="A8311" s="7" t="s">
        <v>42259</v>
      </c>
      <c r="B8311" s="8">
        <v>393.75</v>
      </c>
      <c r="C8311" s="8">
        <v>20.478950000000001</v>
      </c>
      <c r="D8311" s="8">
        <v>59</v>
      </c>
      <c r="E8311" s="8">
        <v>0</v>
      </c>
      <c r="F8311" s="8">
        <v>0</v>
      </c>
      <c r="G8311" s="8">
        <v>6</v>
      </c>
      <c r="H8311" s="8" t="s">
        <v>42260</v>
      </c>
      <c r="I8311" s="8">
        <v>526.6875</v>
      </c>
      <c r="J8311" s="3">
        <f t="shared" si="129"/>
        <v>43749.076267708333</v>
      </c>
    </row>
    <row r="8312" spans="1:10" x14ac:dyDescent="0.25">
      <c r="A8312" s="5" t="s">
        <v>42261</v>
      </c>
      <c r="B8312" s="6">
        <v>393.75</v>
      </c>
      <c r="C8312" s="6">
        <v>20.478950000000001</v>
      </c>
      <c r="D8312" s="6">
        <v>59</v>
      </c>
      <c r="E8312" s="6">
        <v>0</v>
      </c>
      <c r="F8312" s="6">
        <v>0</v>
      </c>
      <c r="G8312" s="6">
        <v>10</v>
      </c>
      <c r="H8312" s="6" t="s">
        <v>42262</v>
      </c>
      <c r="I8312" s="6">
        <v>526.6875</v>
      </c>
      <c r="J8312" s="2">
        <f t="shared" si="129"/>
        <v>43749.076342638888</v>
      </c>
    </row>
    <row r="8313" spans="1:10" x14ac:dyDescent="0.25">
      <c r="A8313" s="7" t="s">
        <v>42263</v>
      </c>
      <c r="B8313" s="8">
        <v>393.75</v>
      </c>
      <c r="C8313" s="8">
        <v>20.478950000000001</v>
      </c>
      <c r="D8313" s="8">
        <v>59</v>
      </c>
      <c r="E8313" s="8">
        <v>0</v>
      </c>
      <c r="F8313" s="8">
        <v>0</v>
      </c>
      <c r="G8313" s="8">
        <v>8</v>
      </c>
      <c r="H8313" s="8" t="s">
        <v>42264</v>
      </c>
      <c r="I8313" s="8">
        <v>526.6875</v>
      </c>
      <c r="J8313" s="3">
        <f t="shared" si="129"/>
        <v>43749.076422905091</v>
      </c>
    </row>
    <row r="8314" spans="1:10" x14ac:dyDescent="0.25">
      <c r="A8314" s="5" t="s">
        <v>42265</v>
      </c>
      <c r="B8314" s="6">
        <v>393.75</v>
      </c>
      <c r="C8314" s="6">
        <v>20.478950000000001</v>
      </c>
      <c r="D8314" s="6">
        <v>59</v>
      </c>
      <c r="E8314" s="6">
        <v>0</v>
      </c>
      <c r="F8314" s="6">
        <v>0</v>
      </c>
      <c r="G8314" s="6">
        <v>8</v>
      </c>
      <c r="H8314" s="6" t="s">
        <v>42266</v>
      </c>
      <c r="I8314" s="6">
        <v>526.6875</v>
      </c>
      <c r="J8314" s="2">
        <f t="shared" si="129"/>
        <v>43749.076494490735</v>
      </c>
    </row>
    <row r="8315" spans="1:10" x14ac:dyDescent="0.25">
      <c r="A8315" s="7" t="s">
        <v>42267</v>
      </c>
      <c r="B8315" s="8">
        <v>393.75</v>
      </c>
      <c r="C8315" s="8">
        <v>20.478950000000001</v>
      </c>
      <c r="D8315" s="8">
        <v>59</v>
      </c>
      <c r="E8315" s="8">
        <v>0</v>
      </c>
      <c r="F8315" s="8">
        <v>0</v>
      </c>
      <c r="G8315" s="8">
        <v>18</v>
      </c>
      <c r="H8315" s="8" t="s">
        <v>42268</v>
      </c>
      <c r="I8315" s="8">
        <v>526.6875</v>
      </c>
      <c r="J8315" s="3">
        <f t="shared" si="129"/>
        <v>43749.076577962966</v>
      </c>
    </row>
    <row r="8316" spans="1:10" x14ac:dyDescent="0.25">
      <c r="A8316" s="5" t="s">
        <v>42269</v>
      </c>
      <c r="B8316" s="6">
        <v>393.75</v>
      </c>
      <c r="C8316" s="6">
        <v>20.478950000000001</v>
      </c>
      <c r="D8316" s="6">
        <v>58</v>
      </c>
      <c r="E8316" s="6">
        <v>0</v>
      </c>
      <c r="F8316" s="6">
        <v>0</v>
      </c>
      <c r="G8316" s="6">
        <v>14</v>
      </c>
      <c r="H8316" s="6" t="s">
        <v>42270</v>
      </c>
      <c r="I8316" s="6">
        <v>526.6875</v>
      </c>
      <c r="J8316" s="2">
        <f t="shared" si="129"/>
        <v>43749.076661504623</v>
      </c>
    </row>
    <row r="8317" spans="1:10" x14ac:dyDescent="0.25">
      <c r="A8317" s="7" t="s">
        <v>42271</v>
      </c>
      <c r="B8317" s="8">
        <v>412.5</v>
      </c>
      <c r="C8317" s="8">
        <v>20.478950000000001</v>
      </c>
      <c r="D8317" s="8">
        <v>59</v>
      </c>
      <c r="E8317" s="8">
        <v>0</v>
      </c>
      <c r="F8317" s="8">
        <v>0</v>
      </c>
      <c r="G8317" s="8">
        <v>6</v>
      </c>
      <c r="H8317" s="8" t="s">
        <v>42272</v>
      </c>
      <c r="I8317" s="8">
        <v>532.125</v>
      </c>
      <c r="J8317" s="3">
        <f t="shared" si="129"/>
        <v>43749.076732870373</v>
      </c>
    </row>
    <row r="8318" spans="1:10" x14ac:dyDescent="0.25">
      <c r="A8318" s="5" t="s">
        <v>42273</v>
      </c>
      <c r="B8318" s="6">
        <v>393.75</v>
      </c>
      <c r="C8318" s="6">
        <v>20.478950000000001</v>
      </c>
      <c r="D8318" s="6">
        <v>60</v>
      </c>
      <c r="E8318" s="6">
        <v>0</v>
      </c>
      <c r="F8318" s="6">
        <v>0</v>
      </c>
      <c r="G8318" s="6">
        <v>9</v>
      </c>
      <c r="H8318" s="6" t="s">
        <v>42274</v>
      </c>
      <c r="I8318" s="6">
        <v>526.6875</v>
      </c>
      <c r="J8318" s="2">
        <f t="shared" si="129"/>
        <v>43749.076819398142</v>
      </c>
    </row>
    <row r="8319" spans="1:10" x14ac:dyDescent="0.25">
      <c r="A8319" s="7" t="s">
        <v>42275</v>
      </c>
      <c r="B8319" s="8">
        <v>393.75</v>
      </c>
      <c r="C8319" s="8">
        <v>20.426300000000001</v>
      </c>
      <c r="D8319" s="8">
        <v>58</v>
      </c>
      <c r="E8319" s="8">
        <v>0</v>
      </c>
      <c r="F8319" s="8">
        <v>0</v>
      </c>
      <c r="G8319" s="8">
        <v>8</v>
      </c>
      <c r="H8319" s="8" t="s">
        <v>42276</v>
      </c>
      <c r="I8319" s="8">
        <v>526.5</v>
      </c>
      <c r="J8319" s="3">
        <f t="shared" si="129"/>
        <v>43749.07689989583</v>
      </c>
    </row>
    <row r="8320" spans="1:10" x14ac:dyDescent="0.25">
      <c r="A8320" s="5" t="s">
        <v>42277</v>
      </c>
      <c r="B8320" s="6">
        <v>393.75</v>
      </c>
      <c r="C8320" s="6">
        <v>20.478950000000001</v>
      </c>
      <c r="D8320" s="6">
        <v>58</v>
      </c>
      <c r="E8320" s="6">
        <v>0</v>
      </c>
      <c r="F8320" s="6">
        <v>0</v>
      </c>
      <c r="G8320" s="6">
        <v>5</v>
      </c>
      <c r="H8320" s="6" t="s">
        <v>42278</v>
      </c>
      <c r="I8320" s="6">
        <v>526.6875</v>
      </c>
      <c r="J8320" s="2">
        <f t="shared" si="129"/>
        <v>43749.076971249997</v>
      </c>
    </row>
    <row r="8321" spans="1:10" x14ac:dyDescent="0.25">
      <c r="A8321" s="7" t="s">
        <v>42279</v>
      </c>
      <c r="B8321" s="8">
        <v>393.75</v>
      </c>
      <c r="C8321" s="8">
        <v>20.478950000000001</v>
      </c>
      <c r="D8321" s="8">
        <v>58</v>
      </c>
      <c r="E8321" s="8">
        <v>0</v>
      </c>
      <c r="F8321" s="8">
        <v>0</v>
      </c>
      <c r="G8321" s="8">
        <v>15</v>
      </c>
      <c r="H8321" s="8" t="s">
        <v>42280</v>
      </c>
      <c r="I8321" s="8">
        <v>526.6875</v>
      </c>
      <c r="J8321" s="3">
        <f t="shared" si="129"/>
        <v>43749.077066921294</v>
      </c>
    </row>
    <row r="8322" spans="1:10" x14ac:dyDescent="0.25">
      <c r="A8322" s="5" t="s">
        <v>42281</v>
      </c>
      <c r="B8322" s="6">
        <v>412.5</v>
      </c>
      <c r="C8322" s="6">
        <v>20.478950000000001</v>
      </c>
      <c r="D8322" s="6">
        <v>57</v>
      </c>
      <c r="E8322" s="6">
        <v>0</v>
      </c>
      <c r="F8322" s="6">
        <v>0</v>
      </c>
      <c r="G8322" s="6">
        <v>8</v>
      </c>
      <c r="H8322" s="6" t="s">
        <v>42282</v>
      </c>
      <c r="I8322" s="6">
        <v>532.3125</v>
      </c>
      <c r="J8322" s="2">
        <f t="shared" ref="J8322:J8385" si="130">(H8322/86400000)+25569+(7/24)</f>
        <v>43749.077138449073</v>
      </c>
    </row>
    <row r="8323" spans="1:10" x14ac:dyDescent="0.25">
      <c r="A8323" s="7" t="s">
        <v>42283</v>
      </c>
      <c r="B8323" s="8">
        <v>393.75</v>
      </c>
      <c r="C8323" s="8">
        <v>20.478950000000001</v>
      </c>
      <c r="D8323" s="8">
        <v>57</v>
      </c>
      <c r="E8323" s="8">
        <v>0</v>
      </c>
      <c r="F8323" s="8">
        <v>0</v>
      </c>
      <c r="G8323" s="8">
        <v>8</v>
      </c>
      <c r="H8323" s="8" t="s">
        <v>42284</v>
      </c>
      <c r="I8323" s="8">
        <v>526.6875</v>
      </c>
      <c r="J8323" s="3">
        <f t="shared" si="130"/>
        <v>43749.077209953706</v>
      </c>
    </row>
    <row r="8324" spans="1:10" x14ac:dyDescent="0.25">
      <c r="A8324" s="5" t="s">
        <v>42285</v>
      </c>
      <c r="B8324" s="6">
        <v>393.75</v>
      </c>
      <c r="C8324" s="6">
        <v>20.478950000000001</v>
      </c>
      <c r="D8324" s="6">
        <v>58</v>
      </c>
      <c r="E8324" s="6">
        <v>0</v>
      </c>
      <c r="F8324" s="6">
        <v>0</v>
      </c>
      <c r="G8324" s="6">
        <v>8</v>
      </c>
      <c r="H8324" s="6" t="s">
        <v>42286</v>
      </c>
      <c r="I8324" s="6">
        <v>526.6875</v>
      </c>
      <c r="J8324" s="2">
        <f t="shared" si="130"/>
        <v>43749.077293275455</v>
      </c>
    </row>
    <row r="8325" spans="1:10" x14ac:dyDescent="0.25">
      <c r="A8325" s="7" t="s">
        <v>42287</v>
      </c>
      <c r="B8325" s="8">
        <v>393.75</v>
      </c>
      <c r="C8325" s="8">
        <v>20.478950000000001</v>
      </c>
      <c r="D8325" s="8">
        <v>58</v>
      </c>
      <c r="E8325" s="8">
        <v>0</v>
      </c>
      <c r="F8325" s="8">
        <v>0</v>
      </c>
      <c r="G8325" s="8">
        <v>8</v>
      </c>
      <c r="H8325" s="8" t="s">
        <v>42288</v>
      </c>
      <c r="I8325" s="8">
        <v>526.5</v>
      </c>
      <c r="J8325" s="3">
        <f t="shared" si="130"/>
        <v>43749.077364976845</v>
      </c>
    </row>
    <row r="8326" spans="1:10" x14ac:dyDescent="0.25">
      <c r="A8326" s="5" t="s">
        <v>42289</v>
      </c>
      <c r="B8326" s="6">
        <v>393.75</v>
      </c>
      <c r="C8326" s="6">
        <v>20.478950000000001</v>
      </c>
      <c r="D8326" s="6">
        <v>58</v>
      </c>
      <c r="E8326" s="6">
        <v>0</v>
      </c>
      <c r="F8326" s="6">
        <v>0</v>
      </c>
      <c r="G8326" s="6">
        <v>11</v>
      </c>
      <c r="H8326" s="6" t="s">
        <v>42290</v>
      </c>
      <c r="I8326" s="6">
        <v>526.6875</v>
      </c>
      <c r="J8326" s="2">
        <f t="shared" si="130"/>
        <v>43749.077436377316</v>
      </c>
    </row>
    <row r="8327" spans="1:10" x14ac:dyDescent="0.25">
      <c r="A8327" s="7" t="s">
        <v>42291</v>
      </c>
      <c r="B8327" s="8">
        <v>393.75</v>
      </c>
      <c r="C8327" s="8">
        <v>20.478950000000001</v>
      </c>
      <c r="D8327" s="8">
        <v>59</v>
      </c>
      <c r="E8327" s="8">
        <v>0</v>
      </c>
      <c r="F8327" s="8">
        <v>0</v>
      </c>
      <c r="G8327" s="8">
        <v>13</v>
      </c>
      <c r="H8327" s="8" t="s">
        <v>42292</v>
      </c>
      <c r="I8327" s="8">
        <v>526.6875</v>
      </c>
      <c r="J8327" s="3">
        <f t="shared" si="130"/>
        <v>43749.077511400457</v>
      </c>
    </row>
    <row r="8328" spans="1:10" x14ac:dyDescent="0.25">
      <c r="A8328" s="5" t="s">
        <v>42293</v>
      </c>
      <c r="B8328" s="6">
        <v>393.75</v>
      </c>
      <c r="C8328" s="6">
        <v>20.478950000000001</v>
      </c>
      <c r="D8328" s="6">
        <v>60</v>
      </c>
      <c r="E8328" s="6">
        <v>0</v>
      </c>
      <c r="F8328" s="6">
        <v>0</v>
      </c>
      <c r="G8328" s="6">
        <v>10</v>
      </c>
      <c r="H8328" s="6" t="s">
        <v>42294</v>
      </c>
      <c r="I8328" s="6">
        <v>526.6875</v>
      </c>
      <c r="J8328" s="2">
        <f t="shared" si="130"/>
        <v>43749.077591990739</v>
      </c>
    </row>
    <row r="8329" spans="1:10" x14ac:dyDescent="0.25">
      <c r="A8329" s="7" t="s">
        <v>42295</v>
      </c>
      <c r="B8329" s="8">
        <v>412.5</v>
      </c>
      <c r="C8329" s="8">
        <v>20.478950000000001</v>
      </c>
      <c r="D8329" s="8">
        <v>60</v>
      </c>
      <c r="E8329" s="8">
        <v>0</v>
      </c>
      <c r="F8329" s="8">
        <v>0</v>
      </c>
      <c r="G8329" s="8">
        <v>14</v>
      </c>
      <c r="H8329" s="8" t="s">
        <v>42296</v>
      </c>
      <c r="I8329" s="8">
        <v>532.3125</v>
      </c>
      <c r="J8329" s="3">
        <f t="shared" si="130"/>
        <v>43749.07766318287</v>
      </c>
    </row>
    <row r="8330" spans="1:10" x14ac:dyDescent="0.25">
      <c r="A8330" s="5" t="s">
        <v>42297</v>
      </c>
      <c r="B8330" s="6">
        <v>393.75</v>
      </c>
      <c r="C8330" s="6">
        <v>20.478950000000001</v>
      </c>
      <c r="D8330" s="6">
        <v>61</v>
      </c>
      <c r="E8330" s="6">
        <v>0</v>
      </c>
      <c r="F8330" s="6">
        <v>0</v>
      </c>
      <c r="G8330" s="6">
        <v>17</v>
      </c>
      <c r="H8330" s="6" t="s">
        <v>42298</v>
      </c>
      <c r="I8330" s="6">
        <v>526.6875</v>
      </c>
      <c r="J8330" s="2">
        <f t="shared" si="130"/>
        <v>43749.077746689807</v>
      </c>
    </row>
    <row r="8331" spans="1:10" x14ac:dyDescent="0.25">
      <c r="A8331" s="7" t="s">
        <v>42299</v>
      </c>
      <c r="B8331" s="8">
        <v>393.75</v>
      </c>
      <c r="C8331" s="8">
        <v>20.478950000000001</v>
      </c>
      <c r="D8331" s="8">
        <v>60</v>
      </c>
      <c r="E8331" s="8">
        <v>0</v>
      </c>
      <c r="F8331" s="8">
        <v>0</v>
      </c>
      <c r="G8331" s="8">
        <v>7</v>
      </c>
      <c r="H8331" s="8" t="s">
        <v>42300</v>
      </c>
      <c r="I8331" s="8">
        <v>526.5</v>
      </c>
      <c r="J8331" s="3">
        <f t="shared" si="130"/>
        <v>43749.077830300921</v>
      </c>
    </row>
    <row r="8332" spans="1:10" x14ac:dyDescent="0.25">
      <c r="A8332" s="5" t="s">
        <v>42301</v>
      </c>
      <c r="B8332" s="6">
        <v>393.75</v>
      </c>
      <c r="C8332" s="6">
        <v>20.478950000000001</v>
      </c>
      <c r="D8332" s="6">
        <v>61</v>
      </c>
      <c r="E8332" s="6">
        <v>0</v>
      </c>
      <c r="F8332" s="6">
        <v>0</v>
      </c>
      <c r="G8332" s="6">
        <v>17</v>
      </c>
      <c r="H8332" s="6" t="s">
        <v>42302</v>
      </c>
      <c r="I8332" s="6">
        <v>526.6875</v>
      </c>
      <c r="J8332" s="2">
        <f t="shared" si="130"/>
        <v>43749.07790167824</v>
      </c>
    </row>
    <row r="8333" spans="1:10" x14ac:dyDescent="0.25">
      <c r="A8333" s="7" t="s">
        <v>42303</v>
      </c>
      <c r="B8333" s="8">
        <v>393.75</v>
      </c>
      <c r="C8333" s="8">
        <v>20.478950000000001</v>
      </c>
      <c r="D8333" s="8">
        <v>61</v>
      </c>
      <c r="E8333" s="8">
        <v>0</v>
      </c>
      <c r="F8333" s="8">
        <v>0</v>
      </c>
      <c r="G8333" s="8">
        <v>8</v>
      </c>
      <c r="H8333" s="8" t="s">
        <v>42304</v>
      </c>
      <c r="I8333" s="8">
        <v>526.6875</v>
      </c>
      <c r="J8333" s="3">
        <f t="shared" si="130"/>
        <v>43749.077973113424</v>
      </c>
    </row>
    <row r="8334" spans="1:10" x14ac:dyDescent="0.25">
      <c r="A8334" s="5" t="s">
        <v>42305</v>
      </c>
      <c r="B8334" s="6">
        <v>393.75</v>
      </c>
      <c r="C8334" s="6">
        <v>20.478950000000001</v>
      </c>
      <c r="D8334" s="6">
        <v>61</v>
      </c>
      <c r="E8334" s="6">
        <v>0</v>
      </c>
      <c r="F8334" s="6">
        <v>0</v>
      </c>
      <c r="G8334" s="6">
        <v>8</v>
      </c>
      <c r="H8334" s="6" t="s">
        <v>42306</v>
      </c>
      <c r="I8334" s="6">
        <v>526.6875</v>
      </c>
      <c r="J8334" s="2">
        <f t="shared" si="130"/>
        <v>43749.078056203703</v>
      </c>
    </row>
    <row r="8335" spans="1:10" x14ac:dyDescent="0.25">
      <c r="A8335" s="7" t="s">
        <v>42307</v>
      </c>
      <c r="B8335" s="8">
        <v>412.5</v>
      </c>
      <c r="C8335" s="8">
        <v>20.478950000000001</v>
      </c>
      <c r="D8335" s="8">
        <v>61</v>
      </c>
      <c r="E8335" s="8">
        <v>0</v>
      </c>
      <c r="F8335" s="8">
        <v>0</v>
      </c>
      <c r="G8335" s="8">
        <v>11</v>
      </c>
      <c r="H8335" s="8" t="s">
        <v>42308</v>
      </c>
      <c r="I8335" s="8">
        <v>532.3125</v>
      </c>
      <c r="J8335" s="3">
        <f t="shared" si="130"/>
        <v>43749.078128067129</v>
      </c>
    </row>
    <row r="8336" spans="1:10" x14ac:dyDescent="0.25">
      <c r="A8336" s="5" t="s">
        <v>42309</v>
      </c>
      <c r="B8336" s="6">
        <v>393.75</v>
      </c>
      <c r="C8336" s="6">
        <v>20.478950000000001</v>
      </c>
      <c r="D8336" s="6">
        <v>62</v>
      </c>
      <c r="E8336" s="6">
        <v>0</v>
      </c>
      <c r="F8336" s="6">
        <v>0</v>
      </c>
      <c r="G8336" s="6">
        <v>6</v>
      </c>
      <c r="H8336" s="6" t="s">
        <v>42310</v>
      </c>
      <c r="I8336" s="6">
        <v>526.6875</v>
      </c>
      <c r="J8336" s="2">
        <f t="shared" si="130"/>
        <v>43749.078211689812</v>
      </c>
    </row>
    <row r="8337" spans="1:10" x14ac:dyDescent="0.25">
      <c r="A8337" s="7" t="s">
        <v>42311</v>
      </c>
      <c r="B8337" s="8">
        <v>393.75</v>
      </c>
      <c r="C8337" s="8">
        <v>20.478950000000001</v>
      </c>
      <c r="D8337" s="8">
        <v>62</v>
      </c>
      <c r="E8337" s="8">
        <v>0</v>
      </c>
      <c r="F8337" s="8">
        <v>0</v>
      </c>
      <c r="G8337" s="8">
        <v>6</v>
      </c>
      <c r="H8337" s="8" t="s">
        <v>42312</v>
      </c>
      <c r="I8337" s="8">
        <v>526.6875</v>
      </c>
      <c r="J8337" s="3">
        <f t="shared" si="130"/>
        <v>43749.078283287039</v>
      </c>
    </row>
    <row r="8338" spans="1:10" x14ac:dyDescent="0.25">
      <c r="A8338" s="5" t="s">
        <v>42313</v>
      </c>
      <c r="B8338" s="6">
        <v>412.5</v>
      </c>
      <c r="C8338" s="6">
        <v>20.478950000000001</v>
      </c>
      <c r="D8338" s="6">
        <v>62</v>
      </c>
      <c r="E8338" s="6">
        <v>0</v>
      </c>
      <c r="F8338" s="6">
        <v>0</v>
      </c>
      <c r="G8338" s="6">
        <v>4</v>
      </c>
      <c r="H8338" s="6" t="s">
        <v>42314</v>
      </c>
      <c r="I8338" s="6">
        <v>532.5</v>
      </c>
      <c r="J8338" s="2">
        <f t="shared" si="130"/>
        <v>43749.078366504626</v>
      </c>
    </row>
    <row r="8339" spans="1:10" x14ac:dyDescent="0.25">
      <c r="A8339" s="7" t="s">
        <v>42315</v>
      </c>
      <c r="B8339" s="8">
        <v>393.75</v>
      </c>
      <c r="C8339" s="8">
        <v>20.478950000000001</v>
      </c>
      <c r="D8339" s="8">
        <v>62</v>
      </c>
      <c r="E8339" s="8">
        <v>0</v>
      </c>
      <c r="F8339" s="8">
        <v>0</v>
      </c>
      <c r="G8339" s="8">
        <v>10</v>
      </c>
      <c r="H8339" s="8" t="s">
        <v>42316</v>
      </c>
      <c r="I8339" s="8">
        <v>526.6875</v>
      </c>
      <c r="J8339" s="3">
        <f t="shared" si="130"/>
        <v>43749.078437615739</v>
      </c>
    </row>
    <row r="8340" spans="1:10" x14ac:dyDescent="0.25">
      <c r="A8340" s="5" t="s">
        <v>42317</v>
      </c>
      <c r="B8340" s="6">
        <v>393.75</v>
      </c>
      <c r="C8340" s="6">
        <v>20.478950000000001</v>
      </c>
      <c r="D8340" s="6">
        <v>63</v>
      </c>
      <c r="E8340" s="6">
        <v>0</v>
      </c>
      <c r="F8340" s="6">
        <v>0</v>
      </c>
      <c r="G8340" s="6">
        <v>0</v>
      </c>
      <c r="H8340" s="6" t="s">
        <v>42318</v>
      </c>
      <c r="I8340" s="6">
        <v>526.6875</v>
      </c>
      <c r="J8340" s="2">
        <f t="shared" si="130"/>
        <v>43749.078518263887</v>
      </c>
    </row>
    <row r="8341" spans="1:10" x14ac:dyDescent="0.25">
      <c r="A8341" s="7" t="s">
        <v>42319</v>
      </c>
      <c r="B8341" s="8">
        <v>412.5</v>
      </c>
      <c r="C8341" s="8">
        <v>20.478950000000001</v>
      </c>
      <c r="D8341" s="8">
        <v>64</v>
      </c>
      <c r="E8341" s="8">
        <v>0</v>
      </c>
      <c r="F8341" s="8">
        <v>0</v>
      </c>
      <c r="G8341" s="8">
        <v>10</v>
      </c>
      <c r="H8341" s="8" t="s">
        <v>42320</v>
      </c>
      <c r="I8341" s="8">
        <v>532.6875</v>
      </c>
      <c r="J8341" s="3">
        <f t="shared" si="130"/>
        <v>43749.078593194441</v>
      </c>
    </row>
    <row r="8342" spans="1:10" x14ac:dyDescent="0.25">
      <c r="A8342" s="5" t="s">
        <v>42321</v>
      </c>
      <c r="B8342" s="6">
        <v>393.75</v>
      </c>
      <c r="C8342" s="6">
        <v>20.478950000000001</v>
      </c>
      <c r="D8342" s="6">
        <v>63</v>
      </c>
      <c r="E8342" s="6">
        <v>0</v>
      </c>
      <c r="F8342" s="6">
        <v>0</v>
      </c>
      <c r="G8342" s="6">
        <v>7</v>
      </c>
      <c r="H8342" s="6" t="s">
        <v>42322</v>
      </c>
      <c r="I8342" s="6">
        <v>526.6875</v>
      </c>
      <c r="J8342" s="2">
        <f t="shared" si="130"/>
        <v>43749.078664768516</v>
      </c>
    </row>
    <row r="8343" spans="1:10" x14ac:dyDescent="0.25">
      <c r="A8343" s="7" t="s">
        <v>42323</v>
      </c>
      <c r="B8343" s="8">
        <v>393.75</v>
      </c>
      <c r="C8343" s="8">
        <v>20.426300000000001</v>
      </c>
      <c r="D8343" s="8">
        <v>63</v>
      </c>
      <c r="E8343" s="8">
        <v>0</v>
      </c>
      <c r="F8343" s="8">
        <v>0</v>
      </c>
      <c r="G8343" s="8">
        <v>5</v>
      </c>
      <c r="H8343" s="8" t="s">
        <v>42324</v>
      </c>
      <c r="I8343" s="8">
        <v>526.6875</v>
      </c>
      <c r="J8343" s="3">
        <f t="shared" si="130"/>
        <v>43749.078748263892</v>
      </c>
    </row>
    <row r="8344" spans="1:10" x14ac:dyDescent="0.25">
      <c r="A8344" s="5" t="s">
        <v>42325</v>
      </c>
      <c r="B8344" s="6">
        <v>393.75</v>
      </c>
      <c r="C8344" s="6">
        <v>20.478950000000001</v>
      </c>
      <c r="D8344" s="6">
        <v>63</v>
      </c>
      <c r="E8344" s="6">
        <v>0</v>
      </c>
      <c r="F8344" s="6">
        <v>0</v>
      </c>
      <c r="G8344" s="6">
        <v>9</v>
      </c>
      <c r="H8344" s="6" t="s">
        <v>42326</v>
      </c>
      <c r="I8344" s="6">
        <v>526.6875</v>
      </c>
      <c r="J8344" s="2">
        <f t="shared" si="130"/>
        <v>43749.078820023147</v>
      </c>
    </row>
    <row r="8345" spans="1:10" x14ac:dyDescent="0.25">
      <c r="A8345" s="7" t="s">
        <v>42327</v>
      </c>
      <c r="B8345" s="8">
        <v>393.75</v>
      </c>
      <c r="C8345" s="8">
        <v>20.478950000000001</v>
      </c>
      <c r="D8345" s="8">
        <v>62</v>
      </c>
      <c r="E8345" s="8">
        <v>0</v>
      </c>
      <c r="F8345" s="8">
        <v>0</v>
      </c>
      <c r="G8345" s="8">
        <v>8</v>
      </c>
      <c r="H8345" s="8" t="s">
        <v>42328</v>
      </c>
      <c r="I8345" s="8">
        <v>526.6875</v>
      </c>
      <c r="J8345" s="3">
        <f t="shared" si="130"/>
        <v>43749.078891319441</v>
      </c>
    </row>
    <row r="8346" spans="1:10" x14ac:dyDescent="0.25">
      <c r="A8346" s="5" t="s">
        <v>42329</v>
      </c>
      <c r="B8346" s="6">
        <v>393.75</v>
      </c>
      <c r="C8346" s="6">
        <v>20.478950000000001</v>
      </c>
      <c r="D8346" s="6">
        <v>61</v>
      </c>
      <c r="E8346" s="6">
        <v>0</v>
      </c>
      <c r="F8346" s="6">
        <v>0</v>
      </c>
      <c r="G8346" s="6">
        <v>1</v>
      </c>
      <c r="H8346" s="6" t="s">
        <v>42330</v>
      </c>
      <c r="I8346" s="6">
        <v>526.6875</v>
      </c>
      <c r="J8346" s="2">
        <f t="shared" si="130"/>
        <v>43749.078974826385</v>
      </c>
    </row>
    <row r="8347" spans="1:10" x14ac:dyDescent="0.25">
      <c r="A8347" s="7" t="s">
        <v>42331</v>
      </c>
      <c r="B8347" s="8">
        <v>393.75</v>
      </c>
      <c r="C8347" s="8">
        <v>20.478950000000001</v>
      </c>
      <c r="D8347" s="8">
        <v>60</v>
      </c>
      <c r="E8347" s="8">
        <v>0</v>
      </c>
      <c r="F8347" s="8">
        <v>0</v>
      </c>
      <c r="G8347" s="8">
        <v>14</v>
      </c>
      <c r="H8347" s="8" t="s">
        <v>42332</v>
      </c>
      <c r="I8347" s="8">
        <v>526.6875</v>
      </c>
      <c r="J8347" s="3">
        <f t="shared" si="130"/>
        <v>43749.079046423612</v>
      </c>
    </row>
    <row r="8348" spans="1:10" x14ac:dyDescent="0.25">
      <c r="A8348" s="5" t="s">
        <v>42333</v>
      </c>
      <c r="B8348" s="6">
        <v>393.75</v>
      </c>
      <c r="C8348" s="6">
        <v>20.478950000000001</v>
      </c>
      <c r="D8348" s="6">
        <v>60</v>
      </c>
      <c r="E8348" s="6">
        <v>0</v>
      </c>
      <c r="F8348" s="6">
        <v>0</v>
      </c>
      <c r="G8348" s="6">
        <v>13</v>
      </c>
      <c r="H8348" s="6" t="s">
        <v>42334</v>
      </c>
      <c r="I8348" s="6">
        <v>526.6875</v>
      </c>
      <c r="J8348" s="2">
        <f t="shared" si="130"/>
        <v>43749.079118148147</v>
      </c>
    </row>
    <row r="8349" spans="1:10" x14ac:dyDescent="0.25">
      <c r="A8349" s="7" t="s">
        <v>42335</v>
      </c>
      <c r="B8349" s="8">
        <v>393.75</v>
      </c>
      <c r="C8349" s="8">
        <v>20.478950000000001</v>
      </c>
      <c r="D8349" s="8">
        <v>60</v>
      </c>
      <c r="E8349" s="8">
        <v>0</v>
      </c>
      <c r="F8349" s="8">
        <v>0</v>
      </c>
      <c r="G8349" s="8">
        <v>10</v>
      </c>
      <c r="H8349" s="8" t="s">
        <v>42336</v>
      </c>
      <c r="I8349" s="8">
        <v>526.6875</v>
      </c>
      <c r="J8349" s="3">
        <f t="shared" si="130"/>
        <v>43749.079201319437</v>
      </c>
    </row>
    <row r="8350" spans="1:10" x14ac:dyDescent="0.25">
      <c r="A8350" s="5" t="s">
        <v>42337</v>
      </c>
      <c r="B8350" s="6">
        <v>393.75</v>
      </c>
      <c r="C8350" s="6">
        <v>20.478950000000001</v>
      </c>
      <c r="D8350" s="6">
        <v>60</v>
      </c>
      <c r="E8350" s="6">
        <v>0</v>
      </c>
      <c r="F8350" s="6">
        <v>0</v>
      </c>
      <c r="G8350" s="6">
        <v>8</v>
      </c>
      <c r="H8350" s="6" t="s">
        <v>42338</v>
      </c>
      <c r="I8350" s="6">
        <v>526.6875</v>
      </c>
      <c r="J8350" s="2">
        <f t="shared" si="130"/>
        <v>43749.079272939816</v>
      </c>
    </row>
    <row r="8351" spans="1:10" x14ac:dyDescent="0.25">
      <c r="A8351" s="7" t="s">
        <v>42339</v>
      </c>
      <c r="B8351" s="8">
        <v>412.5</v>
      </c>
      <c r="C8351" s="8">
        <v>20.478950000000001</v>
      </c>
      <c r="D8351" s="8">
        <v>60</v>
      </c>
      <c r="E8351" s="8">
        <v>0</v>
      </c>
      <c r="F8351" s="8">
        <v>0</v>
      </c>
      <c r="G8351" s="8">
        <v>9</v>
      </c>
      <c r="H8351" s="8" t="s">
        <v>42340</v>
      </c>
      <c r="I8351" s="8">
        <v>532.3125</v>
      </c>
      <c r="J8351" s="3">
        <f t="shared" si="130"/>
        <v>43749.0793562037</v>
      </c>
    </row>
    <row r="8352" spans="1:10" x14ac:dyDescent="0.25">
      <c r="A8352" s="5" t="s">
        <v>42341</v>
      </c>
      <c r="B8352" s="6">
        <v>393.75</v>
      </c>
      <c r="C8352" s="6">
        <v>20.478950000000001</v>
      </c>
      <c r="D8352" s="6">
        <v>61</v>
      </c>
      <c r="E8352" s="6">
        <v>0</v>
      </c>
      <c r="F8352" s="6">
        <v>0</v>
      </c>
      <c r="G8352" s="6">
        <v>4</v>
      </c>
      <c r="H8352" s="6" t="s">
        <v>42342</v>
      </c>
      <c r="I8352" s="6">
        <v>526.6875</v>
      </c>
      <c r="J8352" s="2">
        <f t="shared" si="130"/>
        <v>43749.079460821762</v>
      </c>
    </row>
    <row r="8353" spans="1:10" x14ac:dyDescent="0.25">
      <c r="A8353" s="7" t="s">
        <v>42343</v>
      </c>
      <c r="B8353" s="8">
        <v>393.75</v>
      </c>
      <c r="C8353" s="8">
        <v>20.478950000000001</v>
      </c>
      <c r="D8353" s="8">
        <v>62</v>
      </c>
      <c r="E8353" s="8">
        <v>0</v>
      </c>
      <c r="F8353" s="8">
        <v>0</v>
      </c>
      <c r="G8353" s="8">
        <v>2</v>
      </c>
      <c r="H8353" s="8" t="s">
        <v>42344</v>
      </c>
      <c r="I8353" s="8">
        <v>526.6875</v>
      </c>
      <c r="J8353" s="3">
        <f t="shared" si="130"/>
        <v>43749.079535324076</v>
      </c>
    </row>
    <row r="8354" spans="1:10" x14ac:dyDescent="0.25">
      <c r="A8354" s="5" t="s">
        <v>42345</v>
      </c>
      <c r="B8354" s="6">
        <v>393.75</v>
      </c>
      <c r="C8354" s="6">
        <v>20.478950000000001</v>
      </c>
      <c r="D8354" s="6">
        <v>61</v>
      </c>
      <c r="E8354" s="6">
        <v>0</v>
      </c>
      <c r="F8354" s="6">
        <v>0</v>
      </c>
      <c r="G8354" s="6">
        <v>5</v>
      </c>
      <c r="H8354" s="6" t="s">
        <v>42346</v>
      </c>
      <c r="I8354" s="6">
        <v>526.6875</v>
      </c>
      <c r="J8354" s="2">
        <f t="shared" si="130"/>
        <v>43749.079618842588</v>
      </c>
    </row>
    <row r="8355" spans="1:10" x14ac:dyDescent="0.25">
      <c r="A8355" s="7" t="s">
        <v>42347</v>
      </c>
      <c r="B8355" s="8">
        <v>393.75</v>
      </c>
      <c r="C8355" s="8">
        <v>20.478950000000001</v>
      </c>
      <c r="D8355" s="8">
        <v>60</v>
      </c>
      <c r="E8355" s="8">
        <v>0</v>
      </c>
      <c r="F8355" s="8">
        <v>0</v>
      </c>
      <c r="G8355" s="8">
        <v>10</v>
      </c>
      <c r="H8355" s="8" t="s">
        <v>42348</v>
      </c>
      <c r="I8355" s="8">
        <v>526.6875</v>
      </c>
      <c r="J8355" s="3">
        <f t="shared" si="130"/>
        <v>43749.079690127313</v>
      </c>
    </row>
    <row r="8356" spans="1:10" x14ac:dyDescent="0.25">
      <c r="A8356" s="5" t="s">
        <v>42349</v>
      </c>
      <c r="B8356" s="6">
        <v>393.75</v>
      </c>
      <c r="C8356" s="6">
        <v>20.478950000000001</v>
      </c>
      <c r="D8356" s="6">
        <v>60</v>
      </c>
      <c r="E8356" s="6">
        <v>0</v>
      </c>
      <c r="F8356" s="6">
        <v>0</v>
      </c>
      <c r="G8356" s="6">
        <v>9</v>
      </c>
      <c r="H8356" s="6" t="s">
        <v>42350</v>
      </c>
      <c r="I8356" s="6">
        <v>526.6875</v>
      </c>
      <c r="J8356" s="2">
        <f t="shared" si="130"/>
        <v>43749.079761851848</v>
      </c>
    </row>
    <row r="8357" spans="1:10" x14ac:dyDescent="0.25">
      <c r="A8357" s="7" t="s">
        <v>42351</v>
      </c>
      <c r="B8357" s="8">
        <v>393.75</v>
      </c>
      <c r="C8357" s="8">
        <v>20.478950000000001</v>
      </c>
      <c r="D8357" s="8">
        <v>60</v>
      </c>
      <c r="E8357" s="8">
        <v>0</v>
      </c>
      <c r="F8357" s="8">
        <v>0</v>
      </c>
      <c r="G8357" s="8">
        <v>7</v>
      </c>
      <c r="H8357" s="8" t="s">
        <v>42352</v>
      </c>
      <c r="I8357" s="8">
        <v>526.6875</v>
      </c>
      <c r="J8357" s="3">
        <f t="shared" si="130"/>
        <v>43749.079833425923</v>
      </c>
    </row>
    <row r="8358" spans="1:10" x14ac:dyDescent="0.25">
      <c r="A8358" s="5" t="s">
        <v>42353</v>
      </c>
      <c r="B8358" s="6">
        <v>393.75</v>
      </c>
      <c r="C8358" s="6">
        <v>20.478950000000001</v>
      </c>
      <c r="D8358" s="6">
        <v>61</v>
      </c>
      <c r="E8358" s="6">
        <v>0</v>
      </c>
      <c r="F8358" s="6">
        <v>0</v>
      </c>
      <c r="G8358" s="6">
        <v>1</v>
      </c>
      <c r="H8358" s="6" t="s">
        <v>42354</v>
      </c>
      <c r="I8358" s="6">
        <v>526.6875</v>
      </c>
      <c r="J8358" s="2">
        <f t="shared" si="130"/>
        <v>43749.079917314812</v>
      </c>
    </row>
    <row r="8359" spans="1:10" x14ac:dyDescent="0.25">
      <c r="A8359" s="7" t="s">
        <v>42355</v>
      </c>
      <c r="B8359" s="8">
        <v>412.5</v>
      </c>
      <c r="C8359" s="8">
        <v>20.478950000000001</v>
      </c>
      <c r="D8359" s="8">
        <v>60</v>
      </c>
      <c r="E8359" s="8">
        <v>0</v>
      </c>
      <c r="F8359" s="8">
        <v>0</v>
      </c>
      <c r="G8359" s="8">
        <v>11</v>
      </c>
      <c r="H8359" s="8" t="s">
        <v>42356</v>
      </c>
      <c r="I8359" s="8">
        <v>532.3125</v>
      </c>
      <c r="J8359" s="3">
        <f t="shared" si="130"/>
        <v>43749.079988599529</v>
      </c>
    </row>
    <row r="8360" spans="1:10" x14ac:dyDescent="0.25">
      <c r="A8360" s="5" t="s">
        <v>42357</v>
      </c>
      <c r="B8360" s="6">
        <v>393.75</v>
      </c>
      <c r="C8360" s="6">
        <v>20.478950000000001</v>
      </c>
      <c r="D8360" s="6">
        <v>60</v>
      </c>
      <c r="E8360" s="6">
        <v>0</v>
      </c>
      <c r="F8360" s="6">
        <v>0</v>
      </c>
      <c r="G8360" s="6">
        <v>5</v>
      </c>
      <c r="H8360" s="6" t="s">
        <v>42358</v>
      </c>
      <c r="I8360" s="6">
        <v>526.6875</v>
      </c>
      <c r="J8360" s="2">
        <f t="shared" si="130"/>
        <v>43749.080059930558</v>
      </c>
    </row>
    <row r="8361" spans="1:10" x14ac:dyDescent="0.25">
      <c r="A8361" s="7" t="s">
        <v>42359</v>
      </c>
      <c r="B8361" s="8">
        <v>393.75</v>
      </c>
      <c r="C8361" s="8">
        <v>20.478950000000001</v>
      </c>
      <c r="D8361" s="8">
        <v>60</v>
      </c>
      <c r="E8361" s="8">
        <v>0</v>
      </c>
      <c r="F8361" s="8">
        <v>0</v>
      </c>
      <c r="G8361" s="8">
        <v>18</v>
      </c>
      <c r="H8361" s="8" t="s">
        <v>42360</v>
      </c>
      <c r="I8361" s="8">
        <v>526.6875</v>
      </c>
      <c r="J8361" s="3">
        <f t="shared" si="130"/>
        <v>43749.080131631941</v>
      </c>
    </row>
    <row r="8362" spans="1:10" x14ac:dyDescent="0.25">
      <c r="A8362" s="5" t="s">
        <v>42361</v>
      </c>
      <c r="B8362" s="6">
        <v>393.75</v>
      </c>
      <c r="C8362" s="6">
        <v>20.478950000000001</v>
      </c>
      <c r="D8362" s="6">
        <v>60</v>
      </c>
      <c r="E8362" s="6">
        <v>0</v>
      </c>
      <c r="F8362" s="6">
        <v>0</v>
      </c>
      <c r="G8362" s="6">
        <v>9</v>
      </c>
      <c r="H8362" s="6" t="s">
        <v>42362</v>
      </c>
      <c r="I8362" s="6">
        <v>526.6875</v>
      </c>
      <c r="J8362" s="2">
        <f t="shared" si="130"/>
        <v>43749.080215034723</v>
      </c>
    </row>
    <row r="8363" spans="1:10" x14ac:dyDescent="0.25">
      <c r="A8363" s="7" t="s">
        <v>42363</v>
      </c>
      <c r="B8363" s="8">
        <v>393.75</v>
      </c>
      <c r="C8363" s="8">
        <v>20.478950000000001</v>
      </c>
      <c r="D8363" s="8">
        <v>59</v>
      </c>
      <c r="E8363" s="8">
        <v>0</v>
      </c>
      <c r="F8363" s="8">
        <v>0</v>
      </c>
      <c r="G8363" s="8">
        <v>11</v>
      </c>
      <c r="H8363" s="8" t="s">
        <v>42364</v>
      </c>
      <c r="I8363" s="8">
        <v>526.6875</v>
      </c>
      <c r="J8363" s="3">
        <f t="shared" si="130"/>
        <v>43749.080298946756</v>
      </c>
    </row>
    <row r="8364" spans="1:10" x14ac:dyDescent="0.25">
      <c r="A8364" s="5" t="s">
        <v>42365</v>
      </c>
      <c r="B8364" s="6">
        <v>393.75</v>
      </c>
      <c r="C8364" s="6">
        <v>20.478950000000001</v>
      </c>
      <c r="D8364" s="6">
        <v>58</v>
      </c>
      <c r="E8364" s="6">
        <v>0</v>
      </c>
      <c r="F8364" s="6">
        <v>0</v>
      </c>
      <c r="G8364" s="6">
        <v>4</v>
      </c>
      <c r="H8364" s="6" t="s">
        <v>42366</v>
      </c>
      <c r="I8364" s="6">
        <v>526.6875</v>
      </c>
      <c r="J8364" s="2">
        <f t="shared" si="130"/>
        <v>43749.08038206018</v>
      </c>
    </row>
    <row r="8365" spans="1:10" x14ac:dyDescent="0.25">
      <c r="A8365" s="7" t="s">
        <v>42367</v>
      </c>
      <c r="B8365" s="8">
        <v>412.5</v>
      </c>
      <c r="C8365" s="8">
        <v>20.426300000000001</v>
      </c>
      <c r="D8365" s="8">
        <v>57</v>
      </c>
      <c r="E8365" s="8">
        <v>0</v>
      </c>
      <c r="F8365" s="8">
        <v>0</v>
      </c>
      <c r="G8365" s="8">
        <v>10</v>
      </c>
      <c r="H8365" s="8" t="s">
        <v>42368</v>
      </c>
      <c r="I8365" s="8">
        <v>532.3125</v>
      </c>
      <c r="J8365" s="3">
        <f t="shared" si="130"/>
        <v>43749.080465520827</v>
      </c>
    </row>
    <row r="8366" spans="1:10" x14ac:dyDescent="0.25">
      <c r="A8366" s="5" t="s">
        <v>42369</v>
      </c>
      <c r="B8366" s="6">
        <v>393.75</v>
      </c>
      <c r="C8366" s="6">
        <v>20.478950000000001</v>
      </c>
      <c r="D8366" s="6">
        <v>57</v>
      </c>
      <c r="E8366" s="6">
        <v>0</v>
      </c>
      <c r="F8366" s="6">
        <v>0</v>
      </c>
      <c r="G8366" s="6">
        <v>12</v>
      </c>
      <c r="H8366" s="6" t="s">
        <v>42370</v>
      </c>
      <c r="I8366" s="6">
        <v>526.6875</v>
      </c>
      <c r="J8366" s="2">
        <f t="shared" si="130"/>
        <v>43749.080548819438</v>
      </c>
    </row>
    <row r="8367" spans="1:10" x14ac:dyDescent="0.25">
      <c r="A8367" s="7" t="s">
        <v>42371</v>
      </c>
      <c r="B8367" s="8">
        <v>393.75</v>
      </c>
      <c r="C8367" s="8">
        <v>20.478950000000001</v>
      </c>
      <c r="D8367" s="8">
        <v>59</v>
      </c>
      <c r="E8367" s="8">
        <v>0</v>
      </c>
      <c r="F8367" s="8">
        <v>0</v>
      </c>
      <c r="G8367" s="8">
        <v>4</v>
      </c>
      <c r="H8367" s="8" t="s">
        <v>42372</v>
      </c>
      <c r="I8367" s="8">
        <v>526.6875</v>
      </c>
      <c r="J8367" s="3">
        <f t="shared" si="130"/>
        <v>43749.080629398144</v>
      </c>
    </row>
    <row r="8368" spans="1:10" x14ac:dyDescent="0.25">
      <c r="A8368" s="5" t="s">
        <v>42373</v>
      </c>
      <c r="B8368" s="6">
        <v>393.75</v>
      </c>
      <c r="C8368" s="6">
        <v>20.478950000000001</v>
      </c>
      <c r="D8368" s="6">
        <v>58</v>
      </c>
      <c r="E8368" s="6">
        <v>0</v>
      </c>
      <c r="F8368" s="6">
        <v>0</v>
      </c>
      <c r="G8368" s="6">
        <v>3</v>
      </c>
      <c r="H8368" s="6" t="s">
        <v>42374</v>
      </c>
      <c r="I8368" s="6">
        <v>526.6875</v>
      </c>
      <c r="J8368" s="2">
        <f t="shared" si="130"/>
        <v>43749.080704097221</v>
      </c>
    </row>
    <row r="8369" spans="1:10" x14ac:dyDescent="0.25">
      <c r="A8369" s="7" t="s">
        <v>42375</v>
      </c>
      <c r="B8369" s="8">
        <v>393.75</v>
      </c>
      <c r="C8369" s="8">
        <v>20.478950000000001</v>
      </c>
      <c r="D8369" s="8">
        <v>59</v>
      </c>
      <c r="E8369" s="8">
        <v>0</v>
      </c>
      <c r="F8369" s="8">
        <v>0</v>
      </c>
      <c r="G8369" s="8">
        <v>4</v>
      </c>
      <c r="H8369" s="8" t="s">
        <v>42376</v>
      </c>
      <c r="I8369" s="8">
        <v>526.6875</v>
      </c>
      <c r="J8369" s="3">
        <f t="shared" si="130"/>
        <v>43749.080775590272</v>
      </c>
    </row>
    <row r="8370" spans="1:10" x14ac:dyDescent="0.25">
      <c r="A8370" s="5" t="s">
        <v>42377</v>
      </c>
      <c r="B8370" s="6">
        <v>393.75</v>
      </c>
      <c r="C8370" s="6">
        <v>20.478950000000001</v>
      </c>
      <c r="D8370" s="6">
        <v>60</v>
      </c>
      <c r="E8370" s="6">
        <v>0</v>
      </c>
      <c r="F8370" s="6">
        <v>0</v>
      </c>
      <c r="G8370" s="6">
        <v>6</v>
      </c>
      <c r="H8370" s="6" t="s">
        <v>42378</v>
      </c>
      <c r="I8370" s="6">
        <v>526.6875</v>
      </c>
      <c r="J8370" s="2">
        <f t="shared" si="130"/>
        <v>43749.080858958332</v>
      </c>
    </row>
    <row r="8371" spans="1:10" x14ac:dyDescent="0.25">
      <c r="A8371" s="7" t="s">
        <v>42379</v>
      </c>
      <c r="B8371" s="8">
        <v>393.75</v>
      </c>
      <c r="C8371" s="8">
        <v>20.426300000000001</v>
      </c>
      <c r="D8371" s="8">
        <v>60</v>
      </c>
      <c r="E8371" s="8">
        <v>0</v>
      </c>
      <c r="F8371" s="8">
        <v>0</v>
      </c>
      <c r="G8371" s="8">
        <v>6</v>
      </c>
      <c r="H8371" s="8" t="s">
        <v>42380</v>
      </c>
      <c r="I8371" s="8">
        <v>526.6875</v>
      </c>
      <c r="J8371" s="3">
        <f t="shared" si="130"/>
        <v>43749.080930277771</v>
      </c>
    </row>
    <row r="8372" spans="1:10" x14ac:dyDescent="0.25">
      <c r="A8372" s="5" t="s">
        <v>42381</v>
      </c>
      <c r="B8372" s="6">
        <v>393.75</v>
      </c>
      <c r="C8372" s="6">
        <v>20.478950000000001</v>
      </c>
      <c r="D8372" s="6">
        <v>60</v>
      </c>
      <c r="E8372" s="6">
        <v>0</v>
      </c>
      <c r="F8372" s="6">
        <v>0</v>
      </c>
      <c r="G8372" s="6">
        <v>6</v>
      </c>
      <c r="H8372" s="6" t="s">
        <v>42382</v>
      </c>
      <c r="I8372" s="6">
        <v>526.6875</v>
      </c>
      <c r="J8372" s="2">
        <f t="shared" si="130"/>
        <v>43749.081002002313</v>
      </c>
    </row>
    <row r="8373" spans="1:10" x14ac:dyDescent="0.25">
      <c r="A8373" s="7" t="s">
        <v>42383</v>
      </c>
      <c r="B8373" s="8">
        <v>393.75</v>
      </c>
      <c r="C8373" s="8">
        <v>20.478950000000001</v>
      </c>
      <c r="D8373" s="8">
        <v>59</v>
      </c>
      <c r="E8373" s="8">
        <v>0</v>
      </c>
      <c r="F8373" s="8">
        <v>0</v>
      </c>
      <c r="G8373" s="8">
        <v>2</v>
      </c>
      <c r="H8373" s="8" t="s">
        <v>42384</v>
      </c>
      <c r="I8373" s="8">
        <v>526.6875</v>
      </c>
      <c r="J8373" s="3">
        <f t="shared" si="130"/>
        <v>43749.081077418981</v>
      </c>
    </row>
    <row r="8374" spans="1:10" x14ac:dyDescent="0.25">
      <c r="A8374" s="5" t="s">
        <v>42385</v>
      </c>
      <c r="B8374" s="6">
        <v>412.5</v>
      </c>
      <c r="C8374" s="6">
        <v>20.426300000000001</v>
      </c>
      <c r="D8374" s="6">
        <v>59</v>
      </c>
      <c r="E8374" s="6">
        <v>0</v>
      </c>
      <c r="F8374" s="6">
        <v>0</v>
      </c>
      <c r="G8374" s="6">
        <v>7</v>
      </c>
      <c r="H8374" s="6" t="s">
        <v>42386</v>
      </c>
      <c r="I8374" s="6">
        <v>532.3125</v>
      </c>
      <c r="J8374" s="2">
        <f t="shared" si="130"/>
        <v>43749.081156817127</v>
      </c>
    </row>
    <row r="8375" spans="1:10" x14ac:dyDescent="0.25">
      <c r="A8375" s="7" t="s">
        <v>42387</v>
      </c>
      <c r="B8375" s="8">
        <v>393.75</v>
      </c>
      <c r="C8375" s="8">
        <v>20.478950000000001</v>
      </c>
      <c r="D8375" s="8">
        <v>59</v>
      </c>
      <c r="E8375" s="8">
        <v>0</v>
      </c>
      <c r="F8375" s="8">
        <v>0</v>
      </c>
      <c r="G8375" s="8">
        <v>4</v>
      </c>
      <c r="H8375" s="8" t="s">
        <v>42388</v>
      </c>
      <c r="I8375" s="8">
        <v>526.6875</v>
      </c>
      <c r="J8375" s="3">
        <f t="shared" si="130"/>
        <v>43749.081228587958</v>
      </c>
    </row>
    <row r="8376" spans="1:10" x14ac:dyDescent="0.25">
      <c r="A8376" s="5" t="s">
        <v>42389</v>
      </c>
      <c r="B8376" s="6">
        <v>393.75</v>
      </c>
      <c r="C8376" s="6">
        <v>20.478950000000001</v>
      </c>
      <c r="D8376" s="6">
        <v>59</v>
      </c>
      <c r="E8376" s="6">
        <v>0</v>
      </c>
      <c r="F8376" s="6">
        <v>0</v>
      </c>
      <c r="G8376" s="6">
        <v>8</v>
      </c>
      <c r="H8376" s="6" t="s">
        <v>42390</v>
      </c>
      <c r="I8376" s="6">
        <v>526.6875</v>
      </c>
      <c r="J8376" s="2">
        <f t="shared" si="130"/>
        <v>43749.081300104161</v>
      </c>
    </row>
    <row r="8377" spans="1:10" x14ac:dyDescent="0.25">
      <c r="A8377" s="7" t="s">
        <v>42391</v>
      </c>
      <c r="B8377" s="8">
        <v>393.75</v>
      </c>
      <c r="C8377" s="8">
        <v>20.478950000000001</v>
      </c>
      <c r="D8377" s="8">
        <v>59</v>
      </c>
      <c r="E8377" s="8">
        <v>0</v>
      </c>
      <c r="F8377" s="8">
        <v>0</v>
      </c>
      <c r="G8377" s="8">
        <v>7</v>
      </c>
      <c r="H8377" s="8" t="s">
        <v>42392</v>
      </c>
      <c r="I8377" s="8">
        <v>526.6875</v>
      </c>
      <c r="J8377" s="3">
        <f t="shared" si="130"/>
        <v>43749.081383703706</v>
      </c>
    </row>
    <row r="8378" spans="1:10" x14ac:dyDescent="0.25">
      <c r="A8378" s="5" t="s">
        <v>42393</v>
      </c>
      <c r="B8378" s="6">
        <v>393.75</v>
      </c>
      <c r="C8378" s="6">
        <v>20.478950000000001</v>
      </c>
      <c r="D8378" s="6">
        <v>59</v>
      </c>
      <c r="E8378" s="6">
        <v>0</v>
      </c>
      <c r="F8378" s="6">
        <v>0</v>
      </c>
      <c r="G8378" s="6">
        <v>6</v>
      </c>
      <c r="H8378" s="6" t="s">
        <v>42394</v>
      </c>
      <c r="I8378" s="6">
        <v>526.5</v>
      </c>
      <c r="J8378" s="2">
        <f t="shared" si="130"/>
        <v>43749.081467337957</v>
      </c>
    </row>
    <row r="8379" spans="1:10" x14ac:dyDescent="0.25">
      <c r="A8379" s="7" t="s">
        <v>42395</v>
      </c>
      <c r="B8379" s="8">
        <v>393.75</v>
      </c>
      <c r="C8379" s="8">
        <v>20.478950000000001</v>
      </c>
      <c r="D8379" s="8">
        <v>59</v>
      </c>
      <c r="E8379" s="8">
        <v>0</v>
      </c>
      <c r="F8379" s="8">
        <v>0</v>
      </c>
      <c r="G8379" s="8">
        <v>7</v>
      </c>
      <c r="H8379" s="8" t="s">
        <v>42396</v>
      </c>
      <c r="I8379" s="8">
        <v>526.6875</v>
      </c>
      <c r="J8379" s="3">
        <f t="shared" si="130"/>
        <v>43749.081538645834</v>
      </c>
    </row>
    <row r="8380" spans="1:10" x14ac:dyDescent="0.25">
      <c r="A8380" s="5" t="s">
        <v>42397</v>
      </c>
      <c r="B8380" s="6">
        <v>393.75</v>
      </c>
      <c r="C8380" s="6">
        <v>20.478950000000001</v>
      </c>
      <c r="D8380" s="6">
        <v>59</v>
      </c>
      <c r="E8380" s="6">
        <v>0</v>
      </c>
      <c r="F8380" s="6">
        <v>0</v>
      </c>
      <c r="G8380" s="6">
        <v>4</v>
      </c>
      <c r="H8380" s="6" t="s">
        <v>42398</v>
      </c>
      <c r="I8380" s="6">
        <v>526.5</v>
      </c>
      <c r="J8380" s="2">
        <f t="shared" si="130"/>
        <v>43749.081610254631</v>
      </c>
    </row>
    <row r="8381" spans="1:10" x14ac:dyDescent="0.25">
      <c r="A8381" s="7" t="s">
        <v>42399</v>
      </c>
      <c r="B8381" s="8">
        <v>393.75</v>
      </c>
      <c r="C8381" s="8">
        <v>20.478950000000001</v>
      </c>
      <c r="D8381" s="8">
        <v>58</v>
      </c>
      <c r="E8381" s="8">
        <v>0</v>
      </c>
      <c r="F8381" s="8">
        <v>0</v>
      </c>
      <c r="G8381" s="8">
        <v>9</v>
      </c>
      <c r="H8381" s="8" t="s">
        <v>42400</v>
      </c>
      <c r="I8381" s="8">
        <v>526.6875</v>
      </c>
      <c r="J8381" s="3">
        <f t="shared" si="130"/>
        <v>43749.081693263892</v>
      </c>
    </row>
    <row r="8382" spans="1:10" x14ac:dyDescent="0.25">
      <c r="A8382" s="5" t="s">
        <v>42401</v>
      </c>
      <c r="B8382" s="6">
        <v>393.75</v>
      </c>
      <c r="C8382" s="6">
        <v>20.478950000000001</v>
      </c>
      <c r="D8382" s="6">
        <v>60</v>
      </c>
      <c r="E8382" s="6">
        <v>0</v>
      </c>
      <c r="F8382" s="6">
        <v>0</v>
      </c>
      <c r="G8382" s="6">
        <v>0</v>
      </c>
      <c r="H8382" s="6" t="s">
        <v>42402</v>
      </c>
      <c r="I8382" s="6">
        <v>526.5</v>
      </c>
      <c r="J8382" s="2">
        <f t="shared" si="130"/>
        <v>43749.081765254632</v>
      </c>
    </row>
    <row r="8383" spans="1:10" x14ac:dyDescent="0.25">
      <c r="A8383" s="7" t="s">
        <v>42403</v>
      </c>
      <c r="B8383" s="8">
        <v>393.75</v>
      </c>
      <c r="C8383" s="8">
        <v>20.478950000000001</v>
      </c>
      <c r="D8383" s="8">
        <v>60</v>
      </c>
      <c r="E8383" s="8">
        <v>0</v>
      </c>
      <c r="F8383" s="8">
        <v>0</v>
      </c>
      <c r="G8383" s="8">
        <v>4</v>
      </c>
      <c r="H8383" s="8" t="s">
        <v>42404</v>
      </c>
      <c r="I8383" s="8">
        <v>526.6875</v>
      </c>
      <c r="J8383" s="3">
        <f t="shared" si="130"/>
        <v>43749.08184879629</v>
      </c>
    </row>
    <row r="8384" spans="1:10" x14ac:dyDescent="0.25">
      <c r="A8384" s="5" t="s">
        <v>42405</v>
      </c>
      <c r="B8384" s="6">
        <v>393.75</v>
      </c>
      <c r="C8384" s="6">
        <v>20.478950000000001</v>
      </c>
      <c r="D8384" s="6">
        <v>60</v>
      </c>
      <c r="E8384" s="6">
        <v>0</v>
      </c>
      <c r="F8384" s="6">
        <v>0</v>
      </c>
      <c r="G8384" s="6">
        <v>7</v>
      </c>
      <c r="H8384" s="6" t="s">
        <v>42406</v>
      </c>
      <c r="I8384" s="6">
        <v>526.6875</v>
      </c>
      <c r="J8384" s="2">
        <f t="shared" si="130"/>
        <v>43749.08192034722</v>
      </c>
    </row>
    <row r="8385" spans="1:10" x14ac:dyDescent="0.25">
      <c r="A8385" s="7" t="s">
        <v>42407</v>
      </c>
      <c r="B8385" s="8">
        <v>393.75</v>
      </c>
      <c r="C8385" s="8">
        <v>20.478950000000001</v>
      </c>
      <c r="D8385" s="8">
        <v>60</v>
      </c>
      <c r="E8385" s="8">
        <v>0</v>
      </c>
      <c r="F8385" s="8">
        <v>0</v>
      </c>
      <c r="G8385" s="8">
        <v>4</v>
      </c>
      <c r="H8385" s="8" t="s">
        <v>42408</v>
      </c>
      <c r="I8385" s="8">
        <v>526.6875</v>
      </c>
      <c r="J8385" s="3">
        <f t="shared" si="130"/>
        <v>43749.082015590277</v>
      </c>
    </row>
    <row r="8386" spans="1:10" x14ac:dyDescent="0.25">
      <c r="A8386" s="5" t="s">
        <v>42409</v>
      </c>
      <c r="B8386" s="6">
        <v>393.75</v>
      </c>
      <c r="C8386" s="6">
        <v>20.426300000000001</v>
      </c>
      <c r="D8386" s="6">
        <v>60</v>
      </c>
      <c r="E8386" s="6">
        <v>0</v>
      </c>
      <c r="F8386" s="6">
        <v>0</v>
      </c>
      <c r="G8386" s="6">
        <v>9</v>
      </c>
      <c r="H8386" s="6" t="s">
        <v>42410</v>
      </c>
      <c r="I8386" s="6">
        <v>526.6875</v>
      </c>
      <c r="J8386" s="2">
        <f t="shared" ref="J8386:J8449" si="131">(H8386/86400000)+25569+(7/24)</f>
        <v>43749.082087152776</v>
      </c>
    </row>
    <row r="8387" spans="1:10" x14ac:dyDescent="0.25">
      <c r="A8387" s="7" t="s">
        <v>42411</v>
      </c>
      <c r="B8387" s="8">
        <v>393.75</v>
      </c>
      <c r="C8387" s="8">
        <v>20.478950000000001</v>
      </c>
      <c r="D8387" s="8">
        <v>60</v>
      </c>
      <c r="E8387" s="8">
        <v>0</v>
      </c>
      <c r="F8387" s="8">
        <v>0</v>
      </c>
      <c r="G8387" s="8">
        <v>7</v>
      </c>
      <c r="H8387" s="8" t="s">
        <v>42412</v>
      </c>
      <c r="I8387" s="8">
        <v>526.6875</v>
      </c>
      <c r="J8387" s="3">
        <f t="shared" si="131"/>
        <v>43749.082170752314</v>
      </c>
    </row>
    <row r="8388" spans="1:10" x14ac:dyDescent="0.25">
      <c r="A8388" s="5" t="s">
        <v>42413</v>
      </c>
      <c r="B8388" s="6">
        <v>393.75</v>
      </c>
      <c r="C8388" s="6">
        <v>20.478950000000001</v>
      </c>
      <c r="D8388" s="6">
        <v>60</v>
      </c>
      <c r="E8388" s="6">
        <v>0</v>
      </c>
      <c r="F8388" s="6">
        <v>0</v>
      </c>
      <c r="G8388" s="6">
        <v>2</v>
      </c>
      <c r="H8388" s="6" t="s">
        <v>42414</v>
      </c>
      <c r="I8388" s="6">
        <v>526.6875</v>
      </c>
      <c r="J8388" s="2">
        <f t="shared" si="131"/>
        <v>43749.082242199067</v>
      </c>
    </row>
    <row r="8389" spans="1:10" x14ac:dyDescent="0.25">
      <c r="A8389" s="7" t="s">
        <v>42415</v>
      </c>
      <c r="B8389" s="8">
        <v>428.125</v>
      </c>
      <c r="C8389" s="8">
        <v>20.478950000000001</v>
      </c>
      <c r="D8389" s="8">
        <v>60</v>
      </c>
      <c r="E8389" s="8">
        <v>0</v>
      </c>
      <c r="F8389" s="8">
        <v>0</v>
      </c>
      <c r="G8389" s="8">
        <v>11</v>
      </c>
      <c r="H8389" s="8" t="s">
        <v>42416</v>
      </c>
      <c r="I8389" s="8">
        <v>537.75</v>
      </c>
      <c r="J8389" s="3">
        <f t="shared" si="131"/>
        <v>43749.082313726853</v>
      </c>
    </row>
    <row r="8390" spans="1:10" x14ac:dyDescent="0.25">
      <c r="A8390" s="5" t="s">
        <v>42417</v>
      </c>
      <c r="B8390" s="6">
        <v>393.75</v>
      </c>
      <c r="C8390" s="6">
        <v>20.478950000000001</v>
      </c>
      <c r="D8390" s="6">
        <v>59</v>
      </c>
      <c r="E8390" s="6">
        <v>0</v>
      </c>
      <c r="F8390" s="6">
        <v>0</v>
      </c>
      <c r="G8390" s="6">
        <v>11</v>
      </c>
      <c r="H8390" s="6" t="s">
        <v>42418</v>
      </c>
      <c r="I8390" s="6">
        <v>526.6875</v>
      </c>
      <c r="J8390" s="2">
        <f t="shared" si="131"/>
        <v>43749.082396886573</v>
      </c>
    </row>
    <row r="8391" spans="1:10" x14ac:dyDescent="0.25">
      <c r="A8391" s="7" t="s">
        <v>42419</v>
      </c>
      <c r="B8391" s="8">
        <v>393.75</v>
      </c>
      <c r="C8391" s="8">
        <v>20.478950000000001</v>
      </c>
      <c r="D8391" s="8">
        <v>58</v>
      </c>
      <c r="E8391" s="8">
        <v>0</v>
      </c>
      <c r="F8391" s="8">
        <v>0</v>
      </c>
      <c r="G8391" s="8">
        <v>2</v>
      </c>
      <c r="H8391" s="8" t="s">
        <v>42420</v>
      </c>
      <c r="I8391" s="8">
        <v>526.6875</v>
      </c>
      <c r="J8391" s="3">
        <f t="shared" si="131"/>
        <v>43749.082468715271</v>
      </c>
    </row>
    <row r="8392" spans="1:10" x14ac:dyDescent="0.25">
      <c r="A8392" s="5" t="s">
        <v>42421</v>
      </c>
      <c r="B8392" s="6">
        <v>393.75</v>
      </c>
      <c r="C8392" s="6">
        <v>20.478950000000001</v>
      </c>
      <c r="D8392" s="6">
        <v>58</v>
      </c>
      <c r="E8392" s="6">
        <v>0</v>
      </c>
      <c r="F8392" s="6">
        <v>0</v>
      </c>
      <c r="G8392" s="6">
        <v>2</v>
      </c>
      <c r="H8392" s="6" t="s">
        <v>42422</v>
      </c>
      <c r="I8392" s="6">
        <v>526.6875</v>
      </c>
      <c r="J8392" s="2">
        <f t="shared" si="131"/>
        <v>43749.082552256943</v>
      </c>
    </row>
    <row r="8393" spans="1:10" x14ac:dyDescent="0.25">
      <c r="A8393" s="7" t="s">
        <v>42423</v>
      </c>
      <c r="B8393" s="8">
        <v>393.75</v>
      </c>
      <c r="C8393" s="8">
        <v>20.478950000000001</v>
      </c>
      <c r="D8393" s="8">
        <v>58</v>
      </c>
      <c r="E8393" s="8">
        <v>0</v>
      </c>
      <c r="F8393" s="8">
        <v>0</v>
      </c>
      <c r="G8393" s="8">
        <v>9</v>
      </c>
      <c r="H8393" s="8" t="s">
        <v>42424</v>
      </c>
      <c r="I8393" s="8">
        <v>526.6875</v>
      </c>
      <c r="J8393" s="3">
        <f t="shared" si="131"/>
        <v>43749.082623391201</v>
      </c>
    </row>
    <row r="8394" spans="1:10" x14ac:dyDescent="0.25">
      <c r="A8394" s="5" t="s">
        <v>42425</v>
      </c>
      <c r="B8394" s="6">
        <v>393.75</v>
      </c>
      <c r="C8394" s="6">
        <v>20.478950000000001</v>
      </c>
      <c r="D8394" s="6">
        <v>58</v>
      </c>
      <c r="E8394" s="6">
        <v>0</v>
      </c>
      <c r="F8394" s="6">
        <v>0</v>
      </c>
      <c r="G8394" s="6">
        <v>13</v>
      </c>
      <c r="H8394" s="6" t="s">
        <v>42426</v>
      </c>
      <c r="I8394" s="6">
        <v>526.6875</v>
      </c>
      <c r="J8394" s="2">
        <f t="shared" si="131"/>
        <v>43749.082695324068</v>
      </c>
    </row>
    <row r="8395" spans="1:10" x14ac:dyDescent="0.25">
      <c r="A8395" s="7" t="s">
        <v>42427</v>
      </c>
      <c r="B8395" s="8">
        <v>393.75</v>
      </c>
      <c r="C8395" s="8">
        <v>20.478950000000001</v>
      </c>
      <c r="D8395" s="8">
        <v>58</v>
      </c>
      <c r="E8395" s="8">
        <v>0</v>
      </c>
      <c r="F8395" s="8">
        <v>0</v>
      </c>
      <c r="G8395" s="8">
        <v>11</v>
      </c>
      <c r="H8395" s="8" t="s">
        <v>42428</v>
      </c>
      <c r="I8395" s="8">
        <v>526.5</v>
      </c>
      <c r="J8395" s="3">
        <f t="shared" si="131"/>
        <v>43749.082766851854</v>
      </c>
    </row>
    <row r="8396" spans="1:10" x14ac:dyDescent="0.25">
      <c r="A8396" s="5" t="s">
        <v>42429</v>
      </c>
      <c r="B8396" s="6">
        <v>412.5</v>
      </c>
      <c r="C8396" s="6">
        <v>20.478950000000001</v>
      </c>
      <c r="D8396" s="6">
        <v>58</v>
      </c>
      <c r="E8396" s="6">
        <v>0</v>
      </c>
      <c r="F8396" s="6">
        <v>0</v>
      </c>
      <c r="G8396" s="6">
        <v>7</v>
      </c>
      <c r="H8396" s="6" t="s">
        <v>42430</v>
      </c>
      <c r="I8396" s="6">
        <v>532.3125</v>
      </c>
      <c r="J8396" s="2">
        <f t="shared" si="131"/>
        <v>43749.082838472219</v>
      </c>
    </row>
    <row r="8397" spans="1:10" x14ac:dyDescent="0.25">
      <c r="A8397" s="7" t="s">
        <v>42431</v>
      </c>
      <c r="B8397" s="8">
        <v>393.75</v>
      </c>
      <c r="C8397" s="8">
        <v>20.478950000000001</v>
      </c>
      <c r="D8397" s="8">
        <v>58</v>
      </c>
      <c r="E8397" s="8">
        <v>0</v>
      </c>
      <c r="F8397" s="8">
        <v>0</v>
      </c>
      <c r="G8397" s="8">
        <v>0</v>
      </c>
      <c r="H8397" s="8" t="s">
        <v>42432</v>
      </c>
      <c r="I8397" s="8">
        <v>526.6875</v>
      </c>
      <c r="J8397" s="3">
        <f t="shared" si="131"/>
        <v>43749.082909965276</v>
      </c>
    </row>
    <row r="8398" spans="1:10" x14ac:dyDescent="0.25">
      <c r="A8398" s="5" t="s">
        <v>42433</v>
      </c>
      <c r="B8398" s="6">
        <v>393.75</v>
      </c>
      <c r="C8398" s="6">
        <v>20.426300000000001</v>
      </c>
      <c r="D8398" s="6">
        <v>58</v>
      </c>
      <c r="E8398" s="6">
        <v>0</v>
      </c>
      <c r="F8398" s="6">
        <v>0</v>
      </c>
      <c r="G8398" s="6">
        <v>6</v>
      </c>
      <c r="H8398" s="6" t="s">
        <v>42434</v>
      </c>
      <c r="I8398" s="6">
        <v>526.6875</v>
      </c>
      <c r="J8398" s="2">
        <f t="shared" si="131"/>
        <v>43749.082993287033</v>
      </c>
    </row>
    <row r="8399" spans="1:10" x14ac:dyDescent="0.25">
      <c r="A8399" s="7" t="s">
        <v>42435</v>
      </c>
      <c r="B8399" s="8">
        <v>393.75</v>
      </c>
      <c r="C8399" s="8">
        <v>20.478950000000001</v>
      </c>
      <c r="D8399" s="8">
        <v>58</v>
      </c>
      <c r="E8399" s="8">
        <v>0</v>
      </c>
      <c r="F8399" s="8">
        <v>0</v>
      </c>
      <c r="G8399" s="8">
        <v>14</v>
      </c>
      <c r="H8399" s="8" t="s">
        <v>42436</v>
      </c>
      <c r="I8399" s="8">
        <v>526.6875</v>
      </c>
      <c r="J8399" s="3">
        <f t="shared" si="131"/>
        <v>43749.083064965271</v>
      </c>
    </row>
    <row r="8400" spans="1:10" x14ac:dyDescent="0.25">
      <c r="A8400" s="5" t="s">
        <v>42437</v>
      </c>
      <c r="B8400" s="6">
        <v>393.75</v>
      </c>
      <c r="C8400" s="6">
        <v>20.478950000000001</v>
      </c>
      <c r="D8400" s="6">
        <v>57</v>
      </c>
      <c r="E8400" s="6">
        <v>0</v>
      </c>
      <c r="F8400" s="6">
        <v>0</v>
      </c>
      <c r="G8400" s="6">
        <v>7</v>
      </c>
      <c r="H8400" s="6" t="s">
        <v>42438</v>
      </c>
      <c r="I8400" s="6">
        <v>526.6875</v>
      </c>
      <c r="J8400" s="2">
        <f t="shared" si="131"/>
        <v>43749.083148472222</v>
      </c>
    </row>
    <row r="8401" spans="1:10" x14ac:dyDescent="0.25">
      <c r="A8401" s="7" t="s">
        <v>42439</v>
      </c>
      <c r="B8401" s="8">
        <v>393.75</v>
      </c>
      <c r="C8401" s="8">
        <v>20.478950000000001</v>
      </c>
      <c r="D8401" s="8">
        <v>57</v>
      </c>
      <c r="E8401" s="8">
        <v>0</v>
      </c>
      <c r="F8401" s="8">
        <v>0</v>
      </c>
      <c r="G8401" s="8">
        <v>2</v>
      </c>
      <c r="H8401" s="8" t="s">
        <v>42440</v>
      </c>
      <c r="I8401" s="8">
        <v>526.6875</v>
      </c>
      <c r="J8401" s="3">
        <f t="shared" si="131"/>
        <v>43749.083219988424</v>
      </c>
    </row>
    <row r="8402" spans="1:10" x14ac:dyDescent="0.25">
      <c r="A8402" s="5" t="s">
        <v>42441</v>
      </c>
      <c r="B8402" s="6">
        <v>393.75</v>
      </c>
      <c r="C8402" s="6">
        <v>20.478950000000001</v>
      </c>
      <c r="D8402" s="6">
        <v>57</v>
      </c>
      <c r="E8402" s="6">
        <v>0</v>
      </c>
      <c r="F8402" s="6">
        <v>0</v>
      </c>
      <c r="G8402" s="6">
        <v>13</v>
      </c>
      <c r="H8402" s="6" t="s">
        <v>42442</v>
      </c>
      <c r="I8402" s="6">
        <v>526.5</v>
      </c>
      <c r="J8402" s="2">
        <f t="shared" si="131"/>
        <v>43749.083291446754</v>
      </c>
    </row>
    <row r="8403" spans="1:10" x14ac:dyDescent="0.25">
      <c r="A8403" s="7" t="s">
        <v>42443</v>
      </c>
      <c r="B8403" s="8">
        <v>393.75</v>
      </c>
      <c r="C8403" s="8">
        <v>20.478950000000001</v>
      </c>
      <c r="D8403" s="8">
        <v>56</v>
      </c>
      <c r="E8403" s="8">
        <v>0</v>
      </c>
      <c r="F8403" s="8">
        <v>0</v>
      </c>
      <c r="G8403" s="8">
        <v>10</v>
      </c>
      <c r="H8403" s="8" t="s">
        <v>42444</v>
      </c>
      <c r="I8403" s="8">
        <v>526.6875</v>
      </c>
      <c r="J8403" s="3">
        <f t="shared" si="131"/>
        <v>43749.083374675924</v>
      </c>
    </row>
    <row r="8404" spans="1:10" x14ac:dyDescent="0.25">
      <c r="A8404" s="5" t="s">
        <v>42445</v>
      </c>
      <c r="B8404" s="6">
        <v>390.625</v>
      </c>
      <c r="C8404" s="6">
        <v>20.478950000000001</v>
      </c>
      <c r="D8404" s="6">
        <v>55</v>
      </c>
      <c r="E8404" s="6">
        <v>0</v>
      </c>
      <c r="F8404" s="6">
        <v>0</v>
      </c>
      <c r="G8404" s="6">
        <v>4</v>
      </c>
      <c r="H8404" s="6" t="s">
        <v>42446</v>
      </c>
      <c r="I8404" s="6">
        <v>525.9375</v>
      </c>
      <c r="J8404" s="2">
        <f t="shared" si="131"/>
        <v>43749.083458449073</v>
      </c>
    </row>
    <row r="8405" spans="1:10" x14ac:dyDescent="0.25">
      <c r="A8405" s="7" t="s">
        <v>42447</v>
      </c>
      <c r="B8405" s="8">
        <v>393.75</v>
      </c>
      <c r="C8405" s="8">
        <v>20.478950000000001</v>
      </c>
      <c r="D8405" s="8">
        <v>55</v>
      </c>
      <c r="E8405" s="8">
        <v>0</v>
      </c>
      <c r="F8405" s="8">
        <v>0</v>
      </c>
      <c r="G8405" s="8">
        <v>0</v>
      </c>
      <c r="H8405" s="8" t="s">
        <v>42448</v>
      </c>
      <c r="I8405" s="8">
        <v>526.6875</v>
      </c>
      <c r="J8405" s="3">
        <f t="shared" si="131"/>
        <v>43749.083529907402</v>
      </c>
    </row>
    <row r="8406" spans="1:10" x14ac:dyDescent="0.25">
      <c r="A8406" s="5" t="s">
        <v>42449</v>
      </c>
      <c r="B8406" s="6">
        <v>393.75</v>
      </c>
      <c r="C8406" s="6">
        <v>20.478950000000001</v>
      </c>
      <c r="D8406" s="6">
        <v>57</v>
      </c>
      <c r="E8406" s="6">
        <v>0</v>
      </c>
      <c r="F8406" s="6">
        <v>0</v>
      </c>
      <c r="G8406" s="6">
        <v>5</v>
      </c>
      <c r="H8406" s="6" t="s">
        <v>42450</v>
      </c>
      <c r="I8406" s="6">
        <v>526.6875</v>
      </c>
      <c r="J8406" s="2">
        <f t="shared" si="131"/>
        <v>43749.083601261569</v>
      </c>
    </row>
    <row r="8407" spans="1:10" x14ac:dyDescent="0.25">
      <c r="A8407" s="7" t="s">
        <v>42451</v>
      </c>
      <c r="B8407" s="8">
        <v>393.75</v>
      </c>
      <c r="C8407" s="8">
        <v>20.426300000000001</v>
      </c>
      <c r="D8407" s="8">
        <v>57</v>
      </c>
      <c r="E8407" s="8">
        <v>0</v>
      </c>
      <c r="F8407" s="8">
        <v>0</v>
      </c>
      <c r="G8407" s="8">
        <v>9</v>
      </c>
      <c r="H8407" s="8" t="s">
        <v>42452</v>
      </c>
      <c r="I8407" s="8">
        <v>526.6875</v>
      </c>
      <c r="J8407" s="3">
        <f t="shared" si="131"/>
        <v>43749.083673009256</v>
      </c>
    </row>
    <row r="8408" spans="1:10" x14ac:dyDescent="0.25">
      <c r="A8408" s="5" t="s">
        <v>42453</v>
      </c>
      <c r="B8408" s="6">
        <v>393.75</v>
      </c>
      <c r="C8408" s="6">
        <v>20.478950000000001</v>
      </c>
      <c r="D8408" s="6">
        <v>58</v>
      </c>
      <c r="E8408" s="6">
        <v>0</v>
      </c>
      <c r="F8408" s="6">
        <v>0</v>
      </c>
      <c r="G8408" s="6">
        <v>10</v>
      </c>
      <c r="H8408" s="6" t="s">
        <v>42454</v>
      </c>
      <c r="I8408" s="6">
        <v>526.6875</v>
      </c>
      <c r="J8408" s="2">
        <f t="shared" si="131"/>
        <v>43749.083756956017</v>
      </c>
    </row>
    <row r="8409" spans="1:10" x14ac:dyDescent="0.25">
      <c r="A8409" s="7" t="s">
        <v>42455</v>
      </c>
      <c r="B8409" s="8">
        <v>412.5</v>
      </c>
      <c r="C8409" s="8">
        <v>20.478950000000001</v>
      </c>
      <c r="D8409" s="8">
        <v>58</v>
      </c>
      <c r="E8409" s="8">
        <v>0</v>
      </c>
      <c r="F8409" s="8">
        <v>0</v>
      </c>
      <c r="G8409" s="8">
        <v>4</v>
      </c>
      <c r="H8409" s="8" t="s">
        <v>42456</v>
      </c>
      <c r="I8409" s="8">
        <v>532.3125</v>
      </c>
      <c r="J8409" s="3">
        <f t="shared" si="131"/>
        <v>43749.083827847215</v>
      </c>
    </row>
    <row r="8410" spans="1:10" x14ac:dyDescent="0.25">
      <c r="A8410" s="5" t="s">
        <v>42457</v>
      </c>
      <c r="B8410" s="6">
        <v>393.75</v>
      </c>
      <c r="C8410" s="6">
        <v>20.478950000000001</v>
      </c>
      <c r="D8410" s="6">
        <v>60</v>
      </c>
      <c r="E8410" s="6">
        <v>0</v>
      </c>
      <c r="F8410" s="6">
        <v>0</v>
      </c>
      <c r="G8410" s="6">
        <v>13</v>
      </c>
      <c r="H8410" s="6" t="s">
        <v>42458</v>
      </c>
      <c r="I8410" s="6">
        <v>526.6875</v>
      </c>
      <c r="J8410" s="2">
        <f t="shared" si="131"/>
        <v>43749.083911574075</v>
      </c>
    </row>
    <row r="8411" spans="1:10" x14ac:dyDescent="0.25">
      <c r="A8411" s="7" t="s">
        <v>42459</v>
      </c>
      <c r="B8411" s="8">
        <v>393.75</v>
      </c>
      <c r="C8411" s="8">
        <v>20.478950000000001</v>
      </c>
      <c r="D8411" s="8">
        <v>59</v>
      </c>
      <c r="E8411" s="8">
        <v>0</v>
      </c>
      <c r="F8411" s="8">
        <v>0</v>
      </c>
      <c r="G8411" s="8">
        <v>8</v>
      </c>
      <c r="H8411" s="8" t="s">
        <v>42460</v>
      </c>
      <c r="I8411" s="8">
        <v>526.6875</v>
      </c>
      <c r="J8411" s="3">
        <f t="shared" si="131"/>
        <v>43749.083983055556</v>
      </c>
    </row>
    <row r="8412" spans="1:10" x14ac:dyDescent="0.25">
      <c r="A8412" s="5" t="s">
        <v>42461</v>
      </c>
      <c r="B8412" s="6">
        <v>393.75</v>
      </c>
      <c r="C8412" s="6">
        <v>20.478950000000001</v>
      </c>
      <c r="D8412" s="6">
        <v>59</v>
      </c>
      <c r="E8412" s="6">
        <v>0</v>
      </c>
      <c r="F8412" s="6">
        <v>0</v>
      </c>
      <c r="G8412" s="6">
        <v>6</v>
      </c>
      <c r="H8412" s="6" t="s">
        <v>42462</v>
      </c>
      <c r="I8412" s="6">
        <v>526.6875</v>
      </c>
      <c r="J8412" s="2">
        <f t="shared" si="131"/>
        <v>43749.084054606479</v>
      </c>
    </row>
    <row r="8413" spans="1:10" x14ac:dyDescent="0.25">
      <c r="A8413" s="7" t="s">
        <v>42463</v>
      </c>
      <c r="B8413" s="8">
        <v>393.75</v>
      </c>
      <c r="C8413" s="8">
        <v>20.478950000000001</v>
      </c>
      <c r="D8413" s="8">
        <v>59</v>
      </c>
      <c r="E8413" s="8">
        <v>0</v>
      </c>
      <c r="F8413" s="8">
        <v>0</v>
      </c>
      <c r="G8413" s="8">
        <v>3</v>
      </c>
      <c r="H8413" s="8" t="s">
        <v>42464</v>
      </c>
      <c r="I8413" s="8">
        <v>526.5</v>
      </c>
      <c r="J8413" s="3">
        <f t="shared" si="131"/>
        <v>43749.084137719903</v>
      </c>
    </row>
    <row r="8414" spans="1:10" x14ac:dyDescent="0.25">
      <c r="A8414" s="5" t="s">
        <v>42465</v>
      </c>
      <c r="B8414" s="6">
        <v>393.75</v>
      </c>
      <c r="C8414" s="6">
        <v>20.478950000000001</v>
      </c>
      <c r="D8414" s="6">
        <v>60</v>
      </c>
      <c r="E8414" s="6">
        <v>0</v>
      </c>
      <c r="F8414" s="6">
        <v>0</v>
      </c>
      <c r="G8414" s="6">
        <v>8</v>
      </c>
      <c r="H8414" s="6" t="s">
        <v>42466</v>
      </c>
      <c r="I8414" s="6">
        <v>526.5</v>
      </c>
      <c r="J8414" s="2">
        <f t="shared" si="131"/>
        <v>43749.08420957176</v>
      </c>
    </row>
    <row r="8415" spans="1:10" x14ac:dyDescent="0.25">
      <c r="A8415" s="7" t="s">
        <v>42467</v>
      </c>
      <c r="B8415" s="8">
        <v>393.75</v>
      </c>
      <c r="C8415" s="8">
        <v>20.478950000000001</v>
      </c>
      <c r="D8415" s="8">
        <v>59</v>
      </c>
      <c r="E8415" s="8">
        <v>0</v>
      </c>
      <c r="F8415" s="8">
        <v>0</v>
      </c>
      <c r="G8415" s="8">
        <v>7</v>
      </c>
      <c r="H8415" s="8" t="s">
        <v>42468</v>
      </c>
      <c r="I8415" s="8">
        <v>526.6875</v>
      </c>
      <c r="J8415" s="3">
        <f t="shared" si="131"/>
        <v>43749.084293263884</v>
      </c>
    </row>
    <row r="8416" spans="1:10" x14ac:dyDescent="0.25">
      <c r="A8416" s="5" t="s">
        <v>42469</v>
      </c>
      <c r="B8416" s="6">
        <v>393.75</v>
      </c>
      <c r="C8416" s="6">
        <v>20.478950000000001</v>
      </c>
      <c r="D8416" s="6">
        <v>58</v>
      </c>
      <c r="E8416" s="6">
        <v>0</v>
      </c>
      <c r="F8416" s="6">
        <v>0</v>
      </c>
      <c r="G8416" s="6">
        <v>1</v>
      </c>
      <c r="H8416" s="6" t="s">
        <v>42470</v>
      </c>
      <c r="I8416" s="6">
        <v>526.5</v>
      </c>
      <c r="J8416" s="2">
        <f t="shared" si="131"/>
        <v>43749.084364618051</v>
      </c>
    </row>
    <row r="8417" spans="1:10" x14ac:dyDescent="0.25">
      <c r="A8417" s="7" t="s">
        <v>42471</v>
      </c>
      <c r="B8417" s="8">
        <v>393.75</v>
      </c>
      <c r="C8417" s="8">
        <v>20.478950000000001</v>
      </c>
      <c r="D8417" s="8">
        <v>58</v>
      </c>
      <c r="E8417" s="8">
        <v>0</v>
      </c>
      <c r="F8417" s="8">
        <v>0</v>
      </c>
      <c r="G8417" s="8">
        <v>11</v>
      </c>
      <c r="H8417" s="8" t="s">
        <v>42472</v>
      </c>
      <c r="I8417" s="8">
        <v>526.6875</v>
      </c>
      <c r="J8417" s="3">
        <f t="shared" si="131"/>
        <v>43749.084435856479</v>
      </c>
    </row>
    <row r="8418" spans="1:10" x14ac:dyDescent="0.25">
      <c r="A8418" s="5" t="s">
        <v>42473</v>
      </c>
      <c r="B8418" s="6">
        <v>393.75</v>
      </c>
      <c r="C8418" s="6">
        <v>20.478950000000001</v>
      </c>
      <c r="D8418" s="6">
        <v>58</v>
      </c>
      <c r="E8418" s="6">
        <v>0</v>
      </c>
      <c r="F8418" s="6">
        <v>0</v>
      </c>
      <c r="G8418" s="6">
        <v>9</v>
      </c>
      <c r="H8418" s="6" t="s">
        <v>42474</v>
      </c>
      <c r="I8418" s="6">
        <v>526.6875</v>
      </c>
      <c r="J8418" s="2">
        <f t="shared" si="131"/>
        <v>43749.084534340276</v>
      </c>
    </row>
    <row r="8419" spans="1:10" x14ac:dyDescent="0.25">
      <c r="A8419" s="7" t="s">
        <v>42475</v>
      </c>
      <c r="B8419" s="8">
        <v>393.75</v>
      </c>
      <c r="C8419" s="8">
        <v>20.478950000000001</v>
      </c>
      <c r="D8419" s="8">
        <v>58</v>
      </c>
      <c r="E8419" s="8">
        <v>0</v>
      </c>
      <c r="F8419" s="8">
        <v>0</v>
      </c>
      <c r="G8419" s="8">
        <v>6</v>
      </c>
      <c r="H8419" s="8" t="s">
        <v>42476</v>
      </c>
      <c r="I8419" s="8">
        <v>526.6875</v>
      </c>
      <c r="J8419" s="3">
        <f t="shared" si="131"/>
        <v>43749.084615057865</v>
      </c>
    </row>
    <row r="8420" spans="1:10" x14ac:dyDescent="0.25">
      <c r="A8420" s="5" t="s">
        <v>42477</v>
      </c>
      <c r="B8420" s="6">
        <v>393.75</v>
      </c>
      <c r="C8420" s="6">
        <v>20.426300000000001</v>
      </c>
      <c r="D8420" s="6">
        <v>58</v>
      </c>
      <c r="E8420" s="6">
        <v>0</v>
      </c>
      <c r="F8420" s="6">
        <v>0</v>
      </c>
      <c r="G8420" s="6">
        <v>3</v>
      </c>
      <c r="H8420" s="6" t="s">
        <v>42478</v>
      </c>
      <c r="I8420" s="6">
        <v>526.6875</v>
      </c>
      <c r="J8420" s="2">
        <f t="shared" si="131"/>
        <v>43749.084686782408</v>
      </c>
    </row>
    <row r="8421" spans="1:10" x14ac:dyDescent="0.25">
      <c r="A8421" s="7" t="s">
        <v>42479</v>
      </c>
      <c r="B8421" s="8">
        <v>412.5</v>
      </c>
      <c r="C8421" s="8">
        <v>20.478950000000001</v>
      </c>
      <c r="D8421" s="8">
        <v>58</v>
      </c>
      <c r="E8421" s="8">
        <v>0</v>
      </c>
      <c r="F8421" s="8">
        <v>0</v>
      </c>
      <c r="G8421" s="8">
        <v>3</v>
      </c>
      <c r="H8421" s="8" t="s">
        <v>42480</v>
      </c>
      <c r="I8421" s="8">
        <v>532.5</v>
      </c>
      <c r="J8421" s="3">
        <f t="shared" si="131"/>
        <v>43749.084758159719</v>
      </c>
    </row>
    <row r="8422" spans="1:10" x14ac:dyDescent="0.25">
      <c r="A8422" s="5" t="s">
        <v>42481</v>
      </c>
      <c r="B8422" s="6">
        <v>393.75</v>
      </c>
      <c r="C8422" s="6">
        <v>20.478950000000001</v>
      </c>
      <c r="D8422" s="6">
        <v>58</v>
      </c>
      <c r="E8422" s="6">
        <v>0</v>
      </c>
      <c r="F8422" s="6">
        <v>0</v>
      </c>
      <c r="G8422" s="6">
        <v>5</v>
      </c>
      <c r="H8422" s="6" t="s">
        <v>42482</v>
      </c>
      <c r="I8422" s="6">
        <v>526.6875</v>
      </c>
      <c r="J8422" s="2">
        <f t="shared" si="131"/>
        <v>43749.084841354161</v>
      </c>
    </row>
    <row r="8423" spans="1:10" x14ac:dyDescent="0.25">
      <c r="A8423" s="7" t="s">
        <v>42483</v>
      </c>
      <c r="B8423" s="8">
        <v>393.75</v>
      </c>
      <c r="C8423" s="8">
        <v>20.426300000000001</v>
      </c>
      <c r="D8423" s="8">
        <v>59</v>
      </c>
      <c r="E8423" s="8">
        <v>0</v>
      </c>
      <c r="F8423" s="8">
        <v>0</v>
      </c>
      <c r="G8423" s="8">
        <v>7</v>
      </c>
      <c r="H8423" s="8" t="s">
        <v>42484</v>
      </c>
      <c r="I8423" s="8">
        <v>526.6875</v>
      </c>
      <c r="J8423" s="3">
        <f t="shared" si="131"/>
        <v>43749.084913136576</v>
      </c>
    </row>
    <row r="8424" spans="1:10" x14ac:dyDescent="0.25">
      <c r="A8424" s="5" t="s">
        <v>42485</v>
      </c>
      <c r="B8424" s="6">
        <v>393.75</v>
      </c>
      <c r="C8424" s="6">
        <v>20.478950000000001</v>
      </c>
      <c r="D8424" s="6">
        <v>59</v>
      </c>
      <c r="E8424" s="6">
        <v>0</v>
      </c>
      <c r="F8424" s="6">
        <v>0</v>
      </c>
      <c r="G8424" s="6">
        <v>9</v>
      </c>
      <c r="H8424" s="6" t="s">
        <v>42486</v>
      </c>
      <c r="I8424" s="6">
        <v>526.6875</v>
      </c>
      <c r="J8424" s="2">
        <f t="shared" si="131"/>
        <v>43749.084996643513</v>
      </c>
    </row>
    <row r="8425" spans="1:10" x14ac:dyDescent="0.25">
      <c r="A8425" s="7" t="s">
        <v>42487</v>
      </c>
      <c r="B8425" s="8">
        <v>393.75</v>
      </c>
      <c r="C8425" s="8">
        <v>20.426300000000001</v>
      </c>
      <c r="D8425" s="8">
        <v>60</v>
      </c>
      <c r="E8425" s="8">
        <v>0</v>
      </c>
      <c r="F8425" s="8">
        <v>0</v>
      </c>
      <c r="G8425" s="8">
        <v>9</v>
      </c>
      <c r="H8425" s="8" t="s">
        <v>42488</v>
      </c>
      <c r="I8425" s="8">
        <v>526.5</v>
      </c>
      <c r="J8425" s="3">
        <f t="shared" si="131"/>
        <v>43749.085080092591</v>
      </c>
    </row>
    <row r="8426" spans="1:10" x14ac:dyDescent="0.25">
      <c r="A8426" s="5" t="s">
        <v>42489</v>
      </c>
      <c r="B8426" s="6">
        <v>393.75</v>
      </c>
      <c r="C8426" s="6">
        <v>20.478950000000001</v>
      </c>
      <c r="D8426" s="6">
        <v>60</v>
      </c>
      <c r="E8426" s="6">
        <v>0</v>
      </c>
      <c r="F8426" s="6">
        <v>0</v>
      </c>
      <c r="G8426" s="6">
        <v>0</v>
      </c>
      <c r="H8426" s="6" t="s">
        <v>42490</v>
      </c>
      <c r="I8426" s="6">
        <v>526.5</v>
      </c>
      <c r="J8426" s="2">
        <f t="shared" si="131"/>
        <v>43749.085163657401</v>
      </c>
    </row>
    <row r="8427" spans="1:10" x14ac:dyDescent="0.25">
      <c r="A8427" s="7" t="s">
        <v>42491</v>
      </c>
      <c r="B8427" s="8">
        <v>393.75</v>
      </c>
      <c r="C8427" s="8">
        <v>20.478950000000001</v>
      </c>
      <c r="D8427" s="8">
        <v>60</v>
      </c>
      <c r="E8427" s="8">
        <v>0</v>
      </c>
      <c r="F8427" s="8">
        <v>0</v>
      </c>
      <c r="G8427" s="8">
        <v>4</v>
      </c>
      <c r="H8427" s="8" t="s">
        <v>42492</v>
      </c>
      <c r="I8427" s="8">
        <v>526.6875</v>
      </c>
      <c r="J8427" s="3">
        <f t="shared" si="131"/>
        <v>43749.085247071758</v>
      </c>
    </row>
    <row r="8428" spans="1:10" x14ac:dyDescent="0.25">
      <c r="A8428" s="5" t="s">
        <v>42493</v>
      </c>
      <c r="B8428" s="6">
        <v>393.75</v>
      </c>
      <c r="C8428" s="6">
        <v>20.478950000000001</v>
      </c>
      <c r="D8428" s="6">
        <v>59</v>
      </c>
      <c r="E8428" s="6">
        <v>0</v>
      </c>
      <c r="F8428" s="6">
        <v>0</v>
      </c>
      <c r="G8428" s="6">
        <v>2</v>
      </c>
      <c r="H8428" s="6" t="s">
        <v>42494</v>
      </c>
      <c r="I8428" s="6">
        <v>526.6875</v>
      </c>
      <c r="J8428" s="2">
        <f t="shared" si="131"/>
        <v>43749.085330335649</v>
      </c>
    </row>
    <row r="8429" spans="1:10" x14ac:dyDescent="0.25">
      <c r="A8429" s="7" t="s">
        <v>42495</v>
      </c>
      <c r="B8429" s="8">
        <v>393.75</v>
      </c>
      <c r="C8429" s="8">
        <v>20.478950000000001</v>
      </c>
      <c r="D8429" s="8">
        <v>59</v>
      </c>
      <c r="E8429" s="8">
        <v>0</v>
      </c>
      <c r="F8429" s="8">
        <v>0</v>
      </c>
      <c r="G8429" s="8">
        <v>1</v>
      </c>
      <c r="H8429" s="8" t="s">
        <v>42496</v>
      </c>
      <c r="I8429" s="8">
        <v>526.6875</v>
      </c>
      <c r="J8429" s="3">
        <f t="shared" si="131"/>
        <v>43749.085401944445</v>
      </c>
    </row>
    <row r="8430" spans="1:10" x14ac:dyDescent="0.25">
      <c r="A8430" s="5" t="s">
        <v>42497</v>
      </c>
      <c r="B8430" s="6">
        <v>393.75</v>
      </c>
      <c r="C8430" s="6">
        <v>20.478950000000001</v>
      </c>
      <c r="D8430" s="6">
        <v>58</v>
      </c>
      <c r="E8430" s="6">
        <v>0</v>
      </c>
      <c r="F8430" s="6">
        <v>0</v>
      </c>
      <c r="G8430" s="6">
        <v>0</v>
      </c>
      <c r="H8430" s="6" t="s">
        <v>42498</v>
      </c>
      <c r="I8430" s="6">
        <v>526.6875</v>
      </c>
      <c r="J8430" s="2">
        <f t="shared" si="131"/>
        <v>43749.085485497686</v>
      </c>
    </row>
    <row r="8431" spans="1:10" x14ac:dyDescent="0.25">
      <c r="A8431" s="7" t="s">
        <v>42499</v>
      </c>
      <c r="B8431" s="8">
        <v>393.75</v>
      </c>
      <c r="C8431" s="8">
        <v>20.478950000000001</v>
      </c>
      <c r="D8431" s="8">
        <v>58</v>
      </c>
      <c r="E8431" s="8">
        <v>0</v>
      </c>
      <c r="F8431" s="8">
        <v>0</v>
      </c>
      <c r="G8431" s="8">
        <v>2</v>
      </c>
      <c r="H8431" s="8" t="s">
        <v>42500</v>
      </c>
      <c r="I8431" s="8">
        <v>526.6875</v>
      </c>
      <c r="J8431" s="3">
        <f t="shared" si="131"/>
        <v>43749.085556851853</v>
      </c>
    </row>
    <row r="8432" spans="1:10" x14ac:dyDescent="0.25">
      <c r="A8432" s="5" t="s">
        <v>42501</v>
      </c>
      <c r="B8432" s="6">
        <v>431.25</v>
      </c>
      <c r="C8432" s="6">
        <v>20.478950000000001</v>
      </c>
      <c r="D8432" s="6">
        <v>59</v>
      </c>
      <c r="E8432" s="6">
        <v>0</v>
      </c>
      <c r="F8432" s="6">
        <v>0</v>
      </c>
      <c r="G8432" s="6">
        <v>4</v>
      </c>
      <c r="H8432" s="6" t="s">
        <v>42502</v>
      </c>
      <c r="I8432" s="6">
        <v>538.5</v>
      </c>
      <c r="J8432" s="2">
        <f t="shared" si="131"/>
        <v>43749.085628564811</v>
      </c>
    </row>
    <row r="8433" spans="1:10" x14ac:dyDescent="0.25">
      <c r="A8433" s="7" t="s">
        <v>42503</v>
      </c>
      <c r="B8433" s="8">
        <v>393.75</v>
      </c>
      <c r="C8433" s="8">
        <v>20.426300000000001</v>
      </c>
      <c r="D8433" s="8">
        <v>59</v>
      </c>
      <c r="E8433" s="8">
        <v>0</v>
      </c>
      <c r="F8433" s="8">
        <v>0</v>
      </c>
      <c r="G8433" s="8">
        <v>8</v>
      </c>
      <c r="H8433" s="8" t="s">
        <v>42504</v>
      </c>
      <c r="I8433" s="8">
        <v>526.6875</v>
      </c>
      <c r="J8433" s="3">
        <f t="shared" si="131"/>
        <v>43749.085711817126</v>
      </c>
    </row>
    <row r="8434" spans="1:10" x14ac:dyDescent="0.25">
      <c r="A8434" s="5" t="s">
        <v>42505</v>
      </c>
      <c r="B8434" s="6">
        <v>393.75</v>
      </c>
      <c r="C8434" s="6">
        <v>20.426300000000001</v>
      </c>
      <c r="D8434" s="6">
        <v>61</v>
      </c>
      <c r="E8434" s="6">
        <v>0</v>
      </c>
      <c r="F8434" s="6">
        <v>0</v>
      </c>
      <c r="G8434" s="6">
        <v>2</v>
      </c>
      <c r="H8434" s="6" t="s">
        <v>42506</v>
      </c>
      <c r="I8434" s="6">
        <v>526.6875</v>
      </c>
      <c r="J8434" s="2">
        <f t="shared" si="131"/>
        <v>43749.085795914354</v>
      </c>
    </row>
    <row r="8435" spans="1:10" x14ac:dyDescent="0.25">
      <c r="A8435" s="7" t="s">
        <v>42507</v>
      </c>
      <c r="B8435" s="8">
        <v>393.75</v>
      </c>
      <c r="C8435" s="8">
        <v>20.478950000000001</v>
      </c>
      <c r="D8435" s="8">
        <v>61</v>
      </c>
      <c r="E8435" s="8">
        <v>0</v>
      </c>
      <c r="F8435" s="8">
        <v>0</v>
      </c>
      <c r="G8435" s="8">
        <v>1</v>
      </c>
      <c r="H8435" s="8" t="s">
        <v>42508</v>
      </c>
      <c r="I8435" s="8">
        <v>526.6875</v>
      </c>
      <c r="J8435" s="3">
        <f t="shared" si="131"/>
        <v>43749.085879224534</v>
      </c>
    </row>
    <row r="8436" spans="1:10" x14ac:dyDescent="0.25">
      <c r="A8436" s="5" t="s">
        <v>42509</v>
      </c>
      <c r="B8436" s="6">
        <v>393.75</v>
      </c>
      <c r="C8436" s="6">
        <v>20.478950000000001</v>
      </c>
      <c r="D8436" s="6">
        <v>61</v>
      </c>
      <c r="E8436" s="6">
        <v>0</v>
      </c>
      <c r="F8436" s="6">
        <v>0</v>
      </c>
      <c r="G8436" s="6">
        <v>4</v>
      </c>
      <c r="H8436" s="6" t="s">
        <v>42510</v>
      </c>
      <c r="I8436" s="6">
        <v>526.6875</v>
      </c>
      <c r="J8436" s="2">
        <f t="shared" si="131"/>
        <v>43749.085962442128</v>
      </c>
    </row>
    <row r="8437" spans="1:10" x14ac:dyDescent="0.25">
      <c r="A8437" s="7" t="s">
        <v>42511</v>
      </c>
      <c r="B8437" s="8">
        <v>412.5</v>
      </c>
      <c r="C8437" s="8">
        <v>20.478950000000001</v>
      </c>
      <c r="D8437" s="8">
        <v>59</v>
      </c>
      <c r="E8437" s="8">
        <v>0</v>
      </c>
      <c r="F8437" s="8">
        <v>0</v>
      </c>
      <c r="G8437" s="8">
        <v>2</v>
      </c>
      <c r="H8437" s="8" t="s">
        <v>42512</v>
      </c>
      <c r="I8437" s="8">
        <v>532.6875</v>
      </c>
      <c r="J8437" s="3">
        <f t="shared" si="131"/>
        <v>43749.086045648146</v>
      </c>
    </row>
    <row r="8438" spans="1:10" x14ac:dyDescent="0.25">
      <c r="A8438" s="5" t="s">
        <v>42513</v>
      </c>
      <c r="B8438" s="6">
        <v>393.75</v>
      </c>
      <c r="C8438" s="6">
        <v>20.478950000000001</v>
      </c>
      <c r="D8438" s="6">
        <v>58</v>
      </c>
      <c r="E8438" s="6">
        <v>0</v>
      </c>
      <c r="F8438" s="6">
        <v>0</v>
      </c>
      <c r="G8438" s="6">
        <v>2</v>
      </c>
      <c r="H8438" s="6" t="s">
        <v>42514</v>
      </c>
      <c r="I8438" s="6">
        <v>526.6875</v>
      </c>
      <c r="J8438" s="2">
        <f t="shared" si="131"/>
        <v>43749.086117546292</v>
      </c>
    </row>
    <row r="8439" spans="1:10" x14ac:dyDescent="0.25">
      <c r="A8439" s="7" t="s">
        <v>42515</v>
      </c>
      <c r="B8439" s="8">
        <v>393.75</v>
      </c>
      <c r="C8439" s="8">
        <v>20.426300000000001</v>
      </c>
      <c r="D8439" s="8">
        <v>58</v>
      </c>
      <c r="E8439" s="8">
        <v>0</v>
      </c>
      <c r="F8439" s="8">
        <v>0</v>
      </c>
      <c r="G8439" s="8">
        <v>0</v>
      </c>
      <c r="H8439" s="8" t="s">
        <v>42516</v>
      </c>
      <c r="I8439" s="8">
        <v>526.6875</v>
      </c>
      <c r="J8439" s="3">
        <f t="shared" si="131"/>
        <v>43749.086200694444</v>
      </c>
    </row>
    <row r="8440" spans="1:10" x14ac:dyDescent="0.25">
      <c r="A8440" s="5" t="s">
        <v>42517</v>
      </c>
      <c r="B8440" s="6">
        <v>393.75</v>
      </c>
      <c r="C8440" s="6">
        <v>20.478950000000001</v>
      </c>
      <c r="D8440" s="6">
        <v>58</v>
      </c>
      <c r="E8440" s="6">
        <v>0</v>
      </c>
      <c r="F8440" s="6">
        <v>0</v>
      </c>
      <c r="G8440" s="6">
        <v>9</v>
      </c>
      <c r="H8440" s="6" t="s">
        <v>42518</v>
      </c>
      <c r="I8440" s="6">
        <v>526.5</v>
      </c>
      <c r="J8440" s="2">
        <f t="shared" si="131"/>
        <v>43749.086273032408</v>
      </c>
    </row>
    <row r="8441" spans="1:10" x14ac:dyDescent="0.25">
      <c r="A8441" s="7" t="s">
        <v>42519</v>
      </c>
      <c r="B8441" s="8">
        <v>393.75</v>
      </c>
      <c r="C8441" s="8">
        <v>20.478950000000001</v>
      </c>
      <c r="D8441" s="8">
        <v>58</v>
      </c>
      <c r="E8441" s="8">
        <v>0</v>
      </c>
      <c r="F8441" s="8">
        <v>0</v>
      </c>
      <c r="G8441" s="8">
        <v>7</v>
      </c>
      <c r="H8441" s="8" t="s">
        <v>42520</v>
      </c>
      <c r="I8441" s="8">
        <v>526.6875</v>
      </c>
      <c r="J8441" s="3">
        <f t="shared" si="131"/>
        <v>43749.086355949075</v>
      </c>
    </row>
    <row r="8442" spans="1:10" x14ac:dyDescent="0.25">
      <c r="A8442" s="5" t="s">
        <v>42521</v>
      </c>
      <c r="B8442" s="6">
        <v>393.75</v>
      </c>
      <c r="C8442" s="6">
        <v>20.478950000000001</v>
      </c>
      <c r="D8442" s="6">
        <v>58</v>
      </c>
      <c r="E8442" s="6">
        <v>0</v>
      </c>
      <c r="F8442" s="6">
        <v>0</v>
      </c>
      <c r="G8442" s="6">
        <v>4</v>
      </c>
      <c r="H8442" s="6" t="s">
        <v>42522</v>
      </c>
      <c r="I8442" s="6">
        <v>526.6875</v>
      </c>
      <c r="J8442" s="2">
        <f t="shared" si="131"/>
        <v>43749.086439537037</v>
      </c>
    </row>
    <row r="8443" spans="1:10" x14ac:dyDescent="0.25">
      <c r="A8443" s="7" t="s">
        <v>42523</v>
      </c>
      <c r="B8443" s="8">
        <v>393.75</v>
      </c>
      <c r="C8443" s="8">
        <v>20.478950000000001</v>
      </c>
      <c r="D8443" s="8">
        <v>59</v>
      </c>
      <c r="E8443" s="8">
        <v>0</v>
      </c>
      <c r="F8443" s="8">
        <v>0</v>
      </c>
      <c r="G8443" s="8">
        <v>6</v>
      </c>
      <c r="H8443" s="8" t="s">
        <v>42524</v>
      </c>
      <c r="I8443" s="8">
        <v>526.6875</v>
      </c>
      <c r="J8443" s="3">
        <f t="shared" si="131"/>
        <v>43749.086527546293</v>
      </c>
    </row>
    <row r="8444" spans="1:10" x14ac:dyDescent="0.25">
      <c r="A8444" s="5" t="s">
        <v>42525</v>
      </c>
      <c r="B8444" s="6">
        <v>393.75</v>
      </c>
      <c r="C8444" s="6">
        <v>20.478950000000001</v>
      </c>
      <c r="D8444" s="6">
        <v>59</v>
      </c>
      <c r="E8444" s="6">
        <v>0</v>
      </c>
      <c r="F8444" s="6">
        <v>0</v>
      </c>
      <c r="G8444" s="6">
        <v>8</v>
      </c>
      <c r="H8444" s="6" t="s">
        <v>42526</v>
      </c>
      <c r="I8444" s="6">
        <v>526.6875</v>
      </c>
      <c r="J8444" s="2">
        <f t="shared" si="131"/>
        <v>43749.086606481484</v>
      </c>
    </row>
    <row r="8445" spans="1:10" x14ac:dyDescent="0.25">
      <c r="A8445" s="7" t="s">
        <v>42527</v>
      </c>
      <c r="B8445" s="8">
        <v>412.5</v>
      </c>
      <c r="C8445" s="8">
        <v>20.478950000000001</v>
      </c>
      <c r="D8445" s="8">
        <v>59</v>
      </c>
      <c r="E8445" s="8">
        <v>0</v>
      </c>
      <c r="F8445" s="8">
        <v>0</v>
      </c>
      <c r="G8445" s="8">
        <v>3</v>
      </c>
      <c r="H8445" s="8" t="s">
        <v>42528</v>
      </c>
      <c r="I8445" s="8">
        <v>532.125</v>
      </c>
      <c r="J8445" s="3">
        <f t="shared" si="131"/>
        <v>43749.086689525466</v>
      </c>
    </row>
    <row r="8446" spans="1:10" x14ac:dyDescent="0.25">
      <c r="A8446" s="5" t="s">
        <v>42529</v>
      </c>
      <c r="B8446" s="6">
        <v>393.75</v>
      </c>
      <c r="C8446" s="6">
        <v>20.426300000000001</v>
      </c>
      <c r="D8446" s="6">
        <v>59</v>
      </c>
      <c r="E8446" s="6">
        <v>0</v>
      </c>
      <c r="F8446" s="6">
        <v>0</v>
      </c>
      <c r="G8446" s="6">
        <v>0</v>
      </c>
      <c r="H8446" s="6" t="s">
        <v>42530</v>
      </c>
      <c r="I8446" s="6">
        <v>526.6875</v>
      </c>
      <c r="J8446" s="2">
        <f t="shared" si="131"/>
        <v>43749.086761342587</v>
      </c>
    </row>
    <row r="8447" spans="1:10" x14ac:dyDescent="0.25">
      <c r="A8447" s="7" t="s">
        <v>42531</v>
      </c>
      <c r="B8447" s="8">
        <v>393.75</v>
      </c>
      <c r="C8447" s="8">
        <v>20.478950000000001</v>
      </c>
      <c r="D8447" s="8">
        <v>60</v>
      </c>
      <c r="E8447" s="8">
        <v>0</v>
      </c>
      <c r="F8447" s="8">
        <v>0</v>
      </c>
      <c r="G8447" s="8">
        <v>0</v>
      </c>
      <c r="H8447" s="8" t="s">
        <v>42532</v>
      </c>
      <c r="I8447" s="8">
        <v>526.6875</v>
      </c>
      <c r="J8447" s="3">
        <f t="shared" si="131"/>
        <v>43749.086845138889</v>
      </c>
    </row>
    <row r="8448" spans="1:10" x14ac:dyDescent="0.25">
      <c r="A8448" s="5" t="s">
        <v>42533</v>
      </c>
      <c r="B8448" s="6">
        <v>393.75</v>
      </c>
      <c r="C8448" s="6">
        <v>20.478950000000001</v>
      </c>
      <c r="D8448" s="6">
        <v>62</v>
      </c>
      <c r="E8448" s="6">
        <v>0</v>
      </c>
      <c r="F8448" s="6">
        <v>0</v>
      </c>
      <c r="G8448" s="6">
        <v>6</v>
      </c>
      <c r="H8448" s="6" t="s">
        <v>42534</v>
      </c>
      <c r="I8448" s="6">
        <v>526.6875</v>
      </c>
      <c r="J8448" s="2">
        <f t="shared" si="131"/>
        <v>43749.086916504624</v>
      </c>
    </row>
    <row r="8449" spans="1:10" x14ac:dyDescent="0.25">
      <c r="A8449" s="7" t="s">
        <v>42535</v>
      </c>
      <c r="B8449" s="8">
        <v>393.75</v>
      </c>
      <c r="C8449" s="8">
        <v>20.478950000000001</v>
      </c>
      <c r="D8449" s="8">
        <v>62</v>
      </c>
      <c r="E8449" s="8">
        <v>0</v>
      </c>
      <c r="F8449" s="8">
        <v>0</v>
      </c>
      <c r="G8449" s="8">
        <v>4</v>
      </c>
      <c r="H8449" s="8" t="s">
        <v>42536</v>
      </c>
      <c r="I8449" s="8">
        <v>526.6875</v>
      </c>
      <c r="J8449" s="3">
        <f t="shared" si="131"/>
        <v>43749.086999872678</v>
      </c>
    </row>
    <row r="8450" spans="1:10" x14ac:dyDescent="0.25">
      <c r="A8450" s="5" t="s">
        <v>42537</v>
      </c>
      <c r="B8450" s="6">
        <v>393.75</v>
      </c>
      <c r="C8450" s="6">
        <v>20.478950000000001</v>
      </c>
      <c r="D8450" s="6">
        <v>62</v>
      </c>
      <c r="E8450" s="6">
        <v>0</v>
      </c>
      <c r="F8450" s="6">
        <v>0</v>
      </c>
      <c r="G8450" s="6">
        <v>10</v>
      </c>
      <c r="H8450" s="6" t="s">
        <v>42538</v>
      </c>
      <c r="I8450" s="6">
        <v>526.6875</v>
      </c>
      <c r="J8450" s="2">
        <f t="shared" ref="J8450:J8513" si="132">(H8450/86400000)+25569+(7/24)</f>
        <v>43749.087071041664</v>
      </c>
    </row>
    <row r="8451" spans="1:10" x14ac:dyDescent="0.25">
      <c r="A8451" s="7" t="s">
        <v>42539</v>
      </c>
      <c r="B8451" s="8">
        <v>412.5</v>
      </c>
      <c r="C8451" s="8">
        <v>20.426300000000001</v>
      </c>
      <c r="D8451" s="8">
        <v>60</v>
      </c>
      <c r="E8451" s="8">
        <v>0</v>
      </c>
      <c r="F8451" s="8">
        <v>0</v>
      </c>
      <c r="G8451" s="8">
        <v>6</v>
      </c>
      <c r="H8451" s="8" t="s">
        <v>42540</v>
      </c>
      <c r="I8451" s="8">
        <v>532.6875</v>
      </c>
      <c r="J8451" s="3">
        <f t="shared" si="132"/>
        <v>43749.087143055549</v>
      </c>
    </row>
    <row r="8452" spans="1:10" x14ac:dyDescent="0.25">
      <c r="A8452" s="5" t="s">
        <v>42541</v>
      </c>
      <c r="B8452" s="6">
        <v>393.75</v>
      </c>
      <c r="C8452" s="6">
        <v>20.478950000000001</v>
      </c>
      <c r="D8452" s="6">
        <v>59</v>
      </c>
      <c r="E8452" s="6">
        <v>0</v>
      </c>
      <c r="F8452" s="6">
        <v>0</v>
      </c>
      <c r="G8452" s="6">
        <v>6</v>
      </c>
      <c r="H8452" s="6" t="s">
        <v>42542</v>
      </c>
      <c r="I8452" s="6">
        <v>526.6875</v>
      </c>
      <c r="J8452" s="2">
        <f t="shared" si="132"/>
        <v>43749.087238414351</v>
      </c>
    </row>
    <row r="8453" spans="1:10" x14ac:dyDescent="0.25">
      <c r="A8453" s="7" t="s">
        <v>42543</v>
      </c>
      <c r="B8453" s="8">
        <v>393.75</v>
      </c>
      <c r="C8453" s="8">
        <v>20.478950000000001</v>
      </c>
      <c r="D8453" s="8">
        <v>59</v>
      </c>
      <c r="E8453" s="8">
        <v>0</v>
      </c>
      <c r="F8453" s="8">
        <v>0</v>
      </c>
      <c r="G8453" s="8">
        <v>6</v>
      </c>
      <c r="H8453" s="8" t="s">
        <v>42544</v>
      </c>
      <c r="I8453" s="8">
        <v>526.6875</v>
      </c>
      <c r="J8453" s="3">
        <f t="shared" si="132"/>
        <v>43749.087309895833</v>
      </c>
    </row>
    <row r="8454" spans="1:10" x14ac:dyDescent="0.25">
      <c r="A8454" s="5" t="s">
        <v>42545</v>
      </c>
      <c r="B8454" s="6">
        <v>393.75</v>
      </c>
      <c r="C8454" s="6">
        <v>20.478950000000001</v>
      </c>
      <c r="D8454" s="6">
        <v>58</v>
      </c>
      <c r="E8454" s="6">
        <v>0</v>
      </c>
      <c r="F8454" s="6">
        <v>0</v>
      </c>
      <c r="G8454" s="6">
        <v>7</v>
      </c>
      <c r="H8454" s="6" t="s">
        <v>42546</v>
      </c>
      <c r="I8454" s="6">
        <v>526.6875</v>
      </c>
      <c r="J8454" s="2">
        <f t="shared" si="132"/>
        <v>43749.087381504629</v>
      </c>
    </row>
    <row r="8455" spans="1:10" x14ac:dyDescent="0.25">
      <c r="A8455" s="7" t="s">
        <v>42547</v>
      </c>
      <c r="B8455" s="8">
        <v>393.75</v>
      </c>
      <c r="C8455" s="8">
        <v>20.478950000000001</v>
      </c>
      <c r="D8455" s="8">
        <v>58</v>
      </c>
      <c r="E8455" s="8">
        <v>0</v>
      </c>
      <c r="F8455" s="8">
        <v>0</v>
      </c>
      <c r="G8455" s="8">
        <v>2</v>
      </c>
      <c r="H8455" s="8" t="s">
        <v>42548</v>
      </c>
      <c r="I8455" s="8">
        <v>526.6875</v>
      </c>
      <c r="J8455" s="3">
        <f t="shared" si="132"/>
        <v>43749.087452569445</v>
      </c>
    </row>
    <row r="8456" spans="1:10" x14ac:dyDescent="0.25">
      <c r="A8456" s="5" t="s">
        <v>42549</v>
      </c>
      <c r="B8456" s="6">
        <v>393.75</v>
      </c>
      <c r="C8456" s="6">
        <v>20.478950000000001</v>
      </c>
      <c r="D8456" s="6">
        <v>58</v>
      </c>
      <c r="E8456" s="6">
        <v>0</v>
      </c>
      <c r="F8456" s="6">
        <v>0</v>
      </c>
      <c r="G8456" s="6">
        <v>5</v>
      </c>
      <c r="H8456" s="6" t="s">
        <v>42550</v>
      </c>
      <c r="I8456" s="6">
        <v>526.6875</v>
      </c>
      <c r="J8456" s="2">
        <f t="shared" si="132"/>
        <v>43749.087524525465</v>
      </c>
    </row>
    <row r="8457" spans="1:10" x14ac:dyDescent="0.25">
      <c r="A8457" s="7" t="s">
        <v>42551</v>
      </c>
      <c r="B8457" s="8">
        <v>393.75</v>
      </c>
      <c r="C8457" s="8">
        <v>20.478950000000001</v>
      </c>
      <c r="D8457" s="8">
        <v>60</v>
      </c>
      <c r="E8457" s="8">
        <v>0</v>
      </c>
      <c r="F8457" s="8">
        <v>0</v>
      </c>
      <c r="G8457" s="8">
        <v>2</v>
      </c>
      <c r="H8457" s="8" t="s">
        <v>42552</v>
      </c>
      <c r="I8457" s="8">
        <v>526.6875</v>
      </c>
      <c r="J8457" s="3">
        <f t="shared" si="132"/>
        <v>43749.087607986112</v>
      </c>
    </row>
    <row r="8458" spans="1:10" x14ac:dyDescent="0.25">
      <c r="A8458" s="5" t="s">
        <v>42553</v>
      </c>
      <c r="B8458" s="6">
        <v>393.75</v>
      </c>
      <c r="C8458" s="6">
        <v>20.478950000000001</v>
      </c>
      <c r="D8458" s="6">
        <v>58</v>
      </c>
      <c r="E8458" s="6">
        <v>0</v>
      </c>
      <c r="F8458" s="6">
        <v>0</v>
      </c>
      <c r="G8458" s="6">
        <v>1</v>
      </c>
      <c r="H8458" s="6" t="s">
        <v>42554</v>
      </c>
      <c r="I8458" s="6">
        <v>526.6875</v>
      </c>
      <c r="J8458" s="2">
        <f t="shared" si="132"/>
        <v>43749.087679305558</v>
      </c>
    </row>
    <row r="8459" spans="1:10" x14ac:dyDescent="0.25">
      <c r="A8459" s="7" t="s">
        <v>42555</v>
      </c>
      <c r="B8459" s="8">
        <v>393.75</v>
      </c>
      <c r="C8459" s="8">
        <v>20.478950000000001</v>
      </c>
      <c r="D8459" s="8">
        <v>60</v>
      </c>
      <c r="E8459" s="8">
        <v>0</v>
      </c>
      <c r="F8459" s="8">
        <v>0</v>
      </c>
      <c r="G8459" s="8">
        <v>5</v>
      </c>
      <c r="H8459" s="8" t="s">
        <v>42556</v>
      </c>
      <c r="I8459" s="8">
        <v>526.6875</v>
      </c>
      <c r="J8459" s="3">
        <f t="shared" si="132"/>
        <v>43749.087751238425</v>
      </c>
    </row>
    <row r="8460" spans="1:10" x14ac:dyDescent="0.25">
      <c r="A8460" s="5" t="s">
        <v>42557</v>
      </c>
      <c r="B8460" s="6">
        <v>393.75</v>
      </c>
      <c r="C8460" s="6">
        <v>20.478950000000001</v>
      </c>
      <c r="D8460" s="6">
        <v>58</v>
      </c>
      <c r="E8460" s="6">
        <v>0</v>
      </c>
      <c r="F8460" s="6">
        <v>0</v>
      </c>
      <c r="G8460" s="6">
        <v>8</v>
      </c>
      <c r="H8460" s="6" t="s">
        <v>42558</v>
      </c>
      <c r="I8460" s="6">
        <v>526.6875</v>
      </c>
      <c r="J8460" s="2">
        <f t="shared" si="132"/>
        <v>43749.087822719906</v>
      </c>
    </row>
    <row r="8461" spans="1:10" x14ac:dyDescent="0.25">
      <c r="A8461" s="7" t="s">
        <v>42559</v>
      </c>
      <c r="B8461" s="8">
        <v>393.75</v>
      </c>
      <c r="C8461" s="8">
        <v>20.478950000000001</v>
      </c>
      <c r="D8461" s="8">
        <v>58</v>
      </c>
      <c r="E8461" s="8">
        <v>0</v>
      </c>
      <c r="F8461" s="8">
        <v>0</v>
      </c>
      <c r="G8461" s="8">
        <v>8</v>
      </c>
      <c r="H8461" s="8" t="s">
        <v>42560</v>
      </c>
      <c r="I8461" s="8">
        <v>526.6875</v>
      </c>
      <c r="J8461" s="3">
        <f t="shared" si="132"/>
        <v>43749.087894201388</v>
      </c>
    </row>
    <row r="8462" spans="1:10" x14ac:dyDescent="0.25">
      <c r="A8462" s="5" t="s">
        <v>42561</v>
      </c>
      <c r="B8462" s="6">
        <v>393.75</v>
      </c>
      <c r="C8462" s="6">
        <v>20.478950000000001</v>
      </c>
      <c r="D8462" s="6">
        <v>59</v>
      </c>
      <c r="E8462" s="6">
        <v>0</v>
      </c>
      <c r="F8462" s="6">
        <v>0</v>
      </c>
      <c r="G8462" s="6">
        <v>7</v>
      </c>
      <c r="H8462" s="6" t="s">
        <v>42562</v>
      </c>
      <c r="I8462" s="6">
        <v>526.6875</v>
      </c>
      <c r="J8462" s="2">
        <f t="shared" si="132"/>
        <v>43749.087965879626</v>
      </c>
    </row>
    <row r="8463" spans="1:10" x14ac:dyDescent="0.25">
      <c r="A8463" s="7" t="s">
        <v>42563</v>
      </c>
      <c r="B8463" s="8">
        <v>393.75</v>
      </c>
      <c r="C8463" s="8">
        <v>20.426300000000001</v>
      </c>
      <c r="D8463" s="8">
        <v>59</v>
      </c>
      <c r="E8463" s="8">
        <v>0</v>
      </c>
      <c r="F8463" s="8">
        <v>0</v>
      </c>
      <c r="G8463" s="8">
        <v>7</v>
      </c>
      <c r="H8463" s="8" t="s">
        <v>42564</v>
      </c>
      <c r="I8463" s="8">
        <v>526.6875</v>
      </c>
      <c r="J8463" s="3">
        <f t="shared" si="132"/>
        <v>43749.088037314817</v>
      </c>
    </row>
    <row r="8464" spans="1:10" x14ac:dyDescent="0.25">
      <c r="A8464" s="5" t="s">
        <v>42565</v>
      </c>
      <c r="B8464" s="6">
        <v>393.75</v>
      </c>
      <c r="C8464" s="6">
        <v>20.478950000000001</v>
      </c>
      <c r="D8464" s="6">
        <v>59</v>
      </c>
      <c r="E8464" s="6">
        <v>0</v>
      </c>
      <c r="F8464" s="6">
        <v>0</v>
      </c>
      <c r="G8464" s="6">
        <v>5</v>
      </c>
      <c r="H8464" s="6" t="s">
        <v>42566</v>
      </c>
      <c r="I8464" s="6">
        <v>526.6875</v>
      </c>
      <c r="J8464" s="2">
        <f t="shared" si="132"/>
        <v>43749.08810891203</v>
      </c>
    </row>
    <row r="8465" spans="1:10" x14ac:dyDescent="0.25">
      <c r="A8465" s="7" t="s">
        <v>42567</v>
      </c>
      <c r="B8465" s="8">
        <v>393.75</v>
      </c>
      <c r="C8465" s="8">
        <v>20.478950000000001</v>
      </c>
      <c r="D8465" s="8">
        <v>59</v>
      </c>
      <c r="E8465" s="8">
        <v>0</v>
      </c>
      <c r="F8465" s="8">
        <v>0</v>
      </c>
      <c r="G8465" s="8">
        <v>2</v>
      </c>
      <c r="H8465" s="8" t="s">
        <v>42568</v>
      </c>
      <c r="I8465" s="8">
        <v>526.6875</v>
      </c>
      <c r="J8465" s="3">
        <f t="shared" si="132"/>
        <v>43749.088180520826</v>
      </c>
    </row>
    <row r="8466" spans="1:10" x14ac:dyDescent="0.25">
      <c r="A8466" s="5" t="s">
        <v>42569</v>
      </c>
      <c r="B8466" s="6">
        <v>393.75</v>
      </c>
      <c r="C8466" s="6">
        <v>20.478950000000001</v>
      </c>
      <c r="D8466" s="6">
        <v>60</v>
      </c>
      <c r="E8466" s="6">
        <v>0</v>
      </c>
      <c r="F8466" s="6">
        <v>0</v>
      </c>
      <c r="G8466" s="6">
        <v>0</v>
      </c>
      <c r="H8466" s="6" t="s">
        <v>42570</v>
      </c>
      <c r="I8466" s="6">
        <v>526.6875</v>
      </c>
      <c r="J8466" s="2">
        <f t="shared" si="132"/>
        <v>43749.0882771412</v>
      </c>
    </row>
    <row r="8467" spans="1:10" x14ac:dyDescent="0.25">
      <c r="A8467" s="7" t="s">
        <v>42571</v>
      </c>
      <c r="B8467" s="8">
        <v>393.75</v>
      </c>
      <c r="C8467" s="8">
        <v>20.478950000000001</v>
      </c>
      <c r="D8467" s="8">
        <v>61</v>
      </c>
      <c r="E8467" s="8">
        <v>0</v>
      </c>
      <c r="F8467" s="8">
        <v>0</v>
      </c>
      <c r="G8467" s="8">
        <v>11</v>
      </c>
      <c r="H8467" s="8" t="s">
        <v>42572</v>
      </c>
      <c r="I8467" s="8">
        <v>526.6875</v>
      </c>
      <c r="J8467" s="3">
        <f t="shared" si="132"/>
        <v>43749.088359409718</v>
      </c>
    </row>
    <row r="8468" spans="1:10" x14ac:dyDescent="0.25">
      <c r="A8468" s="5" t="s">
        <v>42573</v>
      </c>
      <c r="B8468" s="6">
        <v>393.75</v>
      </c>
      <c r="C8468" s="6">
        <v>20.478950000000001</v>
      </c>
      <c r="D8468" s="6">
        <v>61</v>
      </c>
      <c r="E8468" s="6">
        <v>0</v>
      </c>
      <c r="F8468" s="6">
        <v>0</v>
      </c>
      <c r="G8468" s="6">
        <v>7</v>
      </c>
      <c r="H8468" s="6" t="s">
        <v>42574</v>
      </c>
      <c r="I8468" s="6">
        <v>526.6875</v>
      </c>
      <c r="J8468" s="2">
        <f t="shared" si="132"/>
        <v>43749.088430347219</v>
      </c>
    </row>
    <row r="8469" spans="1:10" x14ac:dyDescent="0.25">
      <c r="A8469" s="7" t="s">
        <v>42575</v>
      </c>
      <c r="B8469" s="8">
        <v>393.75</v>
      </c>
      <c r="C8469" s="8">
        <v>20.478950000000001</v>
      </c>
      <c r="D8469" s="8">
        <v>60</v>
      </c>
      <c r="E8469" s="8">
        <v>0</v>
      </c>
      <c r="F8469" s="8">
        <v>0</v>
      </c>
      <c r="G8469" s="8">
        <v>2</v>
      </c>
      <c r="H8469" s="8" t="s">
        <v>42576</v>
      </c>
      <c r="I8469" s="8">
        <v>526.6875</v>
      </c>
      <c r="J8469" s="3">
        <f t="shared" si="132"/>
        <v>43749.088502372681</v>
      </c>
    </row>
    <row r="8470" spans="1:10" x14ac:dyDescent="0.25">
      <c r="A8470" s="5" t="s">
        <v>42577</v>
      </c>
      <c r="B8470" s="6">
        <v>393.75</v>
      </c>
      <c r="C8470" s="6">
        <v>20.478950000000001</v>
      </c>
      <c r="D8470" s="6">
        <v>60</v>
      </c>
      <c r="E8470" s="6">
        <v>0</v>
      </c>
      <c r="F8470" s="6">
        <v>0</v>
      </c>
      <c r="G8470" s="6">
        <v>4</v>
      </c>
      <c r="H8470" s="6" t="s">
        <v>42578</v>
      </c>
      <c r="I8470" s="6">
        <v>526.6875</v>
      </c>
      <c r="J8470" s="2">
        <f t="shared" si="132"/>
        <v>43749.088585787038</v>
      </c>
    </row>
    <row r="8471" spans="1:10" x14ac:dyDescent="0.25">
      <c r="A8471" s="7" t="s">
        <v>42579</v>
      </c>
      <c r="B8471" s="8">
        <v>412.5</v>
      </c>
      <c r="C8471" s="8">
        <v>20.478950000000001</v>
      </c>
      <c r="D8471" s="8">
        <v>61</v>
      </c>
      <c r="E8471" s="8">
        <v>0</v>
      </c>
      <c r="F8471" s="8">
        <v>0</v>
      </c>
      <c r="G8471" s="8">
        <v>10</v>
      </c>
      <c r="H8471" s="8" t="s">
        <v>42580</v>
      </c>
      <c r="I8471" s="8">
        <v>532.3125</v>
      </c>
      <c r="J8471" s="3">
        <f t="shared" si="132"/>
        <v>43749.088657766202</v>
      </c>
    </row>
    <row r="8472" spans="1:10" x14ac:dyDescent="0.25">
      <c r="A8472" s="5" t="s">
        <v>42581</v>
      </c>
      <c r="B8472" s="6">
        <v>393.75</v>
      </c>
      <c r="C8472" s="6">
        <v>20.478950000000001</v>
      </c>
      <c r="D8472" s="6">
        <v>61</v>
      </c>
      <c r="E8472" s="6">
        <v>0</v>
      </c>
      <c r="F8472" s="6">
        <v>0</v>
      </c>
      <c r="G8472" s="6">
        <v>11</v>
      </c>
      <c r="H8472" s="6" t="s">
        <v>42582</v>
      </c>
      <c r="I8472" s="6">
        <v>526.6875</v>
      </c>
      <c r="J8472" s="2">
        <f t="shared" si="132"/>
        <v>43749.088740925923</v>
      </c>
    </row>
    <row r="8473" spans="1:10" x14ac:dyDescent="0.25">
      <c r="A8473" s="7" t="s">
        <v>42583</v>
      </c>
      <c r="B8473" s="8">
        <v>393.75</v>
      </c>
      <c r="C8473" s="8">
        <v>20.478950000000001</v>
      </c>
      <c r="D8473" s="8">
        <v>62</v>
      </c>
      <c r="E8473" s="8">
        <v>0</v>
      </c>
      <c r="F8473" s="8">
        <v>0</v>
      </c>
      <c r="G8473" s="8">
        <v>5</v>
      </c>
      <c r="H8473" s="8" t="s">
        <v>42584</v>
      </c>
      <c r="I8473" s="8">
        <v>526.6875</v>
      </c>
      <c r="J8473" s="3">
        <f t="shared" si="132"/>
        <v>43749.088826122686</v>
      </c>
    </row>
    <row r="8474" spans="1:10" x14ac:dyDescent="0.25">
      <c r="A8474" s="5" t="s">
        <v>42585</v>
      </c>
      <c r="B8474" s="6">
        <v>393.75</v>
      </c>
      <c r="C8474" s="6">
        <v>20.478950000000001</v>
      </c>
      <c r="D8474" s="6">
        <v>62</v>
      </c>
      <c r="E8474" s="6">
        <v>0</v>
      </c>
      <c r="F8474" s="6">
        <v>0</v>
      </c>
      <c r="G8474" s="6">
        <v>4</v>
      </c>
      <c r="H8474" s="6" t="s">
        <v>42586</v>
      </c>
      <c r="I8474" s="6">
        <v>526.6875</v>
      </c>
      <c r="J8474" s="2">
        <f t="shared" si="132"/>
        <v>43749.088908090278</v>
      </c>
    </row>
    <row r="8475" spans="1:10" x14ac:dyDescent="0.25">
      <c r="A8475" s="7" t="s">
        <v>42587</v>
      </c>
      <c r="B8475" s="8">
        <v>393.75</v>
      </c>
      <c r="C8475" s="8">
        <v>20.426300000000001</v>
      </c>
      <c r="D8475" s="8">
        <v>60</v>
      </c>
      <c r="E8475" s="8">
        <v>0</v>
      </c>
      <c r="F8475" s="8">
        <v>0</v>
      </c>
      <c r="G8475" s="8">
        <v>11</v>
      </c>
      <c r="H8475" s="8" t="s">
        <v>42588</v>
      </c>
      <c r="I8475" s="8">
        <v>526.6875</v>
      </c>
      <c r="J8475" s="3">
        <f t="shared" si="132"/>
        <v>43749.088979502318</v>
      </c>
    </row>
    <row r="8476" spans="1:10" x14ac:dyDescent="0.25">
      <c r="A8476" s="5" t="s">
        <v>42589</v>
      </c>
      <c r="B8476" s="6">
        <v>393.75</v>
      </c>
      <c r="C8476" s="6">
        <v>20.426300000000001</v>
      </c>
      <c r="D8476" s="6">
        <v>60</v>
      </c>
      <c r="E8476" s="6">
        <v>0</v>
      </c>
      <c r="F8476" s="6">
        <v>0</v>
      </c>
      <c r="G8476" s="6">
        <v>4</v>
      </c>
      <c r="H8476" s="6" t="s">
        <v>42590</v>
      </c>
      <c r="I8476" s="6">
        <v>526.6875</v>
      </c>
      <c r="J8476" s="2">
        <f t="shared" si="132"/>
        <v>43749.089062870371</v>
      </c>
    </row>
    <row r="8477" spans="1:10" x14ac:dyDescent="0.25">
      <c r="A8477" s="7" t="s">
        <v>42591</v>
      </c>
      <c r="B8477" s="8">
        <v>393.75</v>
      </c>
      <c r="C8477" s="8">
        <v>20.478950000000001</v>
      </c>
      <c r="D8477" s="8">
        <v>60</v>
      </c>
      <c r="E8477" s="8">
        <v>0</v>
      </c>
      <c r="F8477" s="8">
        <v>0</v>
      </c>
      <c r="G8477" s="8">
        <v>6</v>
      </c>
      <c r="H8477" s="8" t="s">
        <v>42592</v>
      </c>
      <c r="I8477" s="8">
        <v>526.6875</v>
      </c>
      <c r="J8477" s="3">
        <f t="shared" si="132"/>
        <v>43749.089146342587</v>
      </c>
    </row>
    <row r="8478" spans="1:10" x14ac:dyDescent="0.25">
      <c r="A8478" s="5" t="s">
        <v>42593</v>
      </c>
      <c r="B8478" s="6">
        <v>393.75</v>
      </c>
      <c r="C8478" s="6">
        <v>20.478950000000001</v>
      </c>
      <c r="D8478" s="6">
        <v>60</v>
      </c>
      <c r="E8478" s="6">
        <v>0</v>
      </c>
      <c r="F8478" s="6">
        <v>0</v>
      </c>
      <c r="G8478" s="6">
        <v>3</v>
      </c>
      <c r="H8478" s="6" t="s">
        <v>42594</v>
      </c>
      <c r="I8478" s="6">
        <v>526.6875</v>
      </c>
      <c r="J8478" s="2">
        <f t="shared" si="132"/>
        <v>43749.089229861107</v>
      </c>
    </row>
    <row r="8479" spans="1:10" x14ac:dyDescent="0.25">
      <c r="A8479" s="7" t="s">
        <v>42595</v>
      </c>
      <c r="B8479" s="8">
        <v>393.75</v>
      </c>
      <c r="C8479" s="8">
        <v>20.426300000000001</v>
      </c>
      <c r="D8479" s="8">
        <v>60</v>
      </c>
      <c r="E8479" s="8">
        <v>0</v>
      </c>
      <c r="F8479" s="8">
        <v>0</v>
      </c>
      <c r="G8479" s="8">
        <v>2</v>
      </c>
      <c r="H8479" s="8" t="s">
        <v>42596</v>
      </c>
      <c r="I8479" s="8">
        <v>526.6875</v>
      </c>
      <c r="J8479" s="3">
        <f t="shared" si="132"/>
        <v>43749.089324421293</v>
      </c>
    </row>
    <row r="8480" spans="1:10" x14ac:dyDescent="0.25">
      <c r="A8480" s="5" t="s">
        <v>42597</v>
      </c>
      <c r="B8480" s="6">
        <v>393.75</v>
      </c>
      <c r="C8480" s="6">
        <v>20.478950000000001</v>
      </c>
      <c r="D8480" s="6">
        <v>60</v>
      </c>
      <c r="E8480" s="6">
        <v>0</v>
      </c>
      <c r="F8480" s="6">
        <v>0</v>
      </c>
      <c r="G8480" s="6">
        <v>2</v>
      </c>
      <c r="H8480" s="6" t="s">
        <v>42598</v>
      </c>
      <c r="I8480" s="6">
        <v>526.6875</v>
      </c>
      <c r="J8480" s="2">
        <f t="shared" si="132"/>
        <v>43749.08939695602</v>
      </c>
    </row>
    <row r="8481" spans="1:10" x14ac:dyDescent="0.25">
      <c r="A8481" s="7" t="s">
        <v>42599</v>
      </c>
      <c r="B8481" s="8">
        <v>415.625</v>
      </c>
      <c r="C8481" s="8">
        <v>20.478950000000001</v>
      </c>
      <c r="D8481" s="8">
        <v>60</v>
      </c>
      <c r="E8481" s="8">
        <v>0</v>
      </c>
      <c r="F8481" s="8">
        <v>0</v>
      </c>
      <c r="G8481" s="8">
        <v>5</v>
      </c>
      <c r="H8481" s="8" t="s">
        <v>42600</v>
      </c>
      <c r="I8481" s="8">
        <v>533.25</v>
      </c>
      <c r="J8481" s="3">
        <f t="shared" si="132"/>
        <v>43749.089468541664</v>
      </c>
    </row>
    <row r="8482" spans="1:10" x14ac:dyDescent="0.25">
      <c r="A8482" s="5" t="s">
        <v>42601</v>
      </c>
      <c r="B8482" s="6">
        <v>393.75</v>
      </c>
      <c r="C8482" s="6">
        <v>20.478950000000001</v>
      </c>
      <c r="D8482" s="6">
        <v>60</v>
      </c>
      <c r="E8482" s="6">
        <v>0</v>
      </c>
      <c r="F8482" s="6">
        <v>0</v>
      </c>
      <c r="G8482" s="6">
        <v>1</v>
      </c>
      <c r="H8482" s="6" t="s">
        <v>42602</v>
      </c>
      <c r="I8482" s="6">
        <v>526.6875</v>
      </c>
      <c r="J8482" s="2">
        <f t="shared" si="132"/>
        <v>43749.08955193287</v>
      </c>
    </row>
    <row r="8483" spans="1:10" x14ac:dyDescent="0.25">
      <c r="A8483" s="7" t="s">
        <v>42603</v>
      </c>
      <c r="B8483" s="8">
        <v>393.75</v>
      </c>
      <c r="C8483" s="8">
        <v>20.426300000000001</v>
      </c>
      <c r="D8483" s="8">
        <v>60</v>
      </c>
      <c r="E8483" s="8">
        <v>0</v>
      </c>
      <c r="F8483" s="8">
        <v>0</v>
      </c>
      <c r="G8483" s="8">
        <v>0</v>
      </c>
      <c r="H8483" s="8" t="s">
        <v>42604</v>
      </c>
      <c r="I8483" s="8">
        <v>526.6875</v>
      </c>
      <c r="J8483" s="3">
        <f t="shared" si="132"/>
        <v>43749.089623645828</v>
      </c>
    </row>
    <row r="8484" spans="1:10" x14ac:dyDescent="0.25">
      <c r="A8484" s="5" t="s">
        <v>42605</v>
      </c>
      <c r="B8484" s="6">
        <v>393.75</v>
      </c>
      <c r="C8484" s="6">
        <v>20.426300000000001</v>
      </c>
      <c r="D8484" s="6">
        <v>60</v>
      </c>
      <c r="E8484" s="6">
        <v>0</v>
      </c>
      <c r="F8484" s="6">
        <v>0</v>
      </c>
      <c r="G8484" s="6">
        <v>2</v>
      </c>
      <c r="H8484" s="6" t="s">
        <v>42606</v>
      </c>
      <c r="I8484" s="6">
        <v>526.6875</v>
      </c>
      <c r="J8484" s="2">
        <f t="shared" si="132"/>
        <v>43749.089694918977</v>
      </c>
    </row>
    <row r="8485" spans="1:10" x14ac:dyDescent="0.25">
      <c r="A8485" s="7" t="s">
        <v>42607</v>
      </c>
      <c r="B8485" s="8">
        <v>393.75</v>
      </c>
      <c r="C8485" s="8">
        <v>20.478950000000001</v>
      </c>
      <c r="D8485" s="8">
        <v>62</v>
      </c>
      <c r="E8485" s="8">
        <v>0</v>
      </c>
      <c r="F8485" s="8">
        <v>0</v>
      </c>
      <c r="G8485" s="8">
        <v>4</v>
      </c>
      <c r="H8485" s="8" t="s">
        <v>42608</v>
      </c>
      <c r="I8485" s="8">
        <v>526.6875</v>
      </c>
      <c r="J8485" s="3">
        <f t="shared" si="132"/>
        <v>43749.089790393518</v>
      </c>
    </row>
    <row r="8486" spans="1:10" x14ac:dyDescent="0.25">
      <c r="A8486" s="5" t="s">
        <v>42609</v>
      </c>
      <c r="B8486" s="6">
        <v>393.75</v>
      </c>
      <c r="C8486" s="6">
        <v>20.478950000000001</v>
      </c>
      <c r="D8486" s="6">
        <v>58</v>
      </c>
      <c r="E8486" s="6">
        <v>0</v>
      </c>
      <c r="F8486" s="6">
        <v>0</v>
      </c>
      <c r="G8486" s="6">
        <v>4</v>
      </c>
      <c r="H8486" s="6" t="s">
        <v>42610</v>
      </c>
      <c r="I8486" s="6">
        <v>526.6875</v>
      </c>
      <c r="J8486" s="2">
        <f t="shared" si="132"/>
        <v>43749.089861921289</v>
      </c>
    </row>
    <row r="8487" spans="1:10" x14ac:dyDescent="0.25">
      <c r="A8487" s="7" t="s">
        <v>42611</v>
      </c>
      <c r="B8487" s="8">
        <v>412.5</v>
      </c>
      <c r="C8487" s="8">
        <v>20.426300000000001</v>
      </c>
      <c r="D8487" s="8">
        <v>58</v>
      </c>
      <c r="E8487" s="8">
        <v>0</v>
      </c>
      <c r="F8487" s="8">
        <v>0</v>
      </c>
      <c r="G8487" s="8">
        <v>0</v>
      </c>
      <c r="H8487" s="8" t="s">
        <v>42612</v>
      </c>
      <c r="I8487" s="8">
        <v>532.5</v>
      </c>
      <c r="J8487" s="3">
        <f t="shared" si="132"/>
        <v>43749.089933541669</v>
      </c>
    </row>
    <row r="8488" spans="1:10" x14ac:dyDescent="0.25">
      <c r="A8488" s="5" t="s">
        <v>42613</v>
      </c>
      <c r="B8488" s="6">
        <v>393.75</v>
      </c>
      <c r="C8488" s="6">
        <v>20.478950000000001</v>
      </c>
      <c r="D8488" s="6">
        <v>59</v>
      </c>
      <c r="E8488" s="6">
        <v>0</v>
      </c>
      <c r="F8488" s="6">
        <v>0</v>
      </c>
      <c r="G8488" s="6">
        <v>0</v>
      </c>
      <c r="H8488" s="6" t="s">
        <v>42614</v>
      </c>
      <c r="I8488" s="6">
        <v>526.6875</v>
      </c>
      <c r="J8488" s="2">
        <f t="shared" si="132"/>
        <v>43749.090005150465</v>
      </c>
    </row>
    <row r="8489" spans="1:10" x14ac:dyDescent="0.25">
      <c r="A8489" s="7" t="s">
        <v>42615</v>
      </c>
      <c r="B8489" s="8">
        <v>393.75</v>
      </c>
      <c r="C8489" s="8">
        <v>20.478950000000001</v>
      </c>
      <c r="D8489" s="8">
        <v>59</v>
      </c>
      <c r="E8489" s="8">
        <v>0</v>
      </c>
      <c r="F8489" s="8">
        <v>0</v>
      </c>
      <c r="G8489" s="8">
        <v>7</v>
      </c>
      <c r="H8489" s="8" t="s">
        <v>42616</v>
      </c>
      <c r="I8489" s="8">
        <v>526.6875</v>
      </c>
      <c r="J8489" s="3">
        <f t="shared" si="132"/>
        <v>43749.090076620363</v>
      </c>
    </row>
    <row r="8490" spans="1:10" x14ac:dyDescent="0.25">
      <c r="A8490" s="5" t="s">
        <v>42617</v>
      </c>
      <c r="B8490" s="6">
        <v>393.75</v>
      </c>
      <c r="C8490" s="6">
        <v>20.478950000000001</v>
      </c>
      <c r="D8490" s="6">
        <v>58</v>
      </c>
      <c r="E8490" s="6">
        <v>0</v>
      </c>
      <c r="F8490" s="6">
        <v>0</v>
      </c>
      <c r="G8490" s="6">
        <v>11</v>
      </c>
      <c r="H8490" s="6" t="s">
        <v>42618</v>
      </c>
      <c r="I8490" s="6">
        <v>526.6875</v>
      </c>
      <c r="J8490" s="2">
        <f t="shared" si="132"/>
        <v>43749.090159942127</v>
      </c>
    </row>
    <row r="8491" spans="1:10" x14ac:dyDescent="0.25">
      <c r="A8491" s="7" t="s">
        <v>42619</v>
      </c>
      <c r="B8491" s="8">
        <v>393.75</v>
      </c>
      <c r="C8491" s="8">
        <v>20.478950000000001</v>
      </c>
      <c r="D8491" s="8">
        <v>59</v>
      </c>
      <c r="E8491" s="8">
        <v>0</v>
      </c>
      <c r="F8491" s="8">
        <v>0</v>
      </c>
      <c r="G8491" s="8">
        <v>4</v>
      </c>
      <c r="H8491" s="8" t="s">
        <v>42620</v>
      </c>
      <c r="I8491" s="8">
        <v>526.6875</v>
      </c>
      <c r="J8491" s="3">
        <f t="shared" si="132"/>
        <v>43749.090231574075</v>
      </c>
    </row>
    <row r="8492" spans="1:10" x14ac:dyDescent="0.25">
      <c r="A8492" s="5" t="s">
        <v>42621</v>
      </c>
      <c r="B8492" s="6">
        <v>393.75</v>
      </c>
      <c r="C8492" s="6">
        <v>20.478950000000001</v>
      </c>
      <c r="D8492" s="6">
        <v>59</v>
      </c>
      <c r="E8492" s="6">
        <v>0</v>
      </c>
      <c r="F8492" s="6">
        <v>0</v>
      </c>
      <c r="G8492" s="6">
        <v>10</v>
      </c>
      <c r="H8492" s="6" t="s">
        <v>42622</v>
      </c>
      <c r="I8492" s="6">
        <v>526.6875</v>
      </c>
      <c r="J8492" s="2">
        <f t="shared" si="132"/>
        <v>43749.090315231479</v>
      </c>
    </row>
    <row r="8493" spans="1:10" x14ac:dyDescent="0.25">
      <c r="A8493" s="7" t="s">
        <v>42623</v>
      </c>
      <c r="B8493" s="8">
        <v>393.75</v>
      </c>
      <c r="C8493" s="8">
        <v>20.426300000000001</v>
      </c>
      <c r="D8493" s="8">
        <v>59</v>
      </c>
      <c r="E8493" s="8">
        <v>0</v>
      </c>
      <c r="F8493" s="8">
        <v>0</v>
      </c>
      <c r="G8493" s="8">
        <v>5</v>
      </c>
      <c r="H8493" s="8" t="s">
        <v>42624</v>
      </c>
      <c r="I8493" s="8">
        <v>526.6875</v>
      </c>
      <c r="J8493" s="3">
        <f t="shared" si="132"/>
        <v>43749.090386435179</v>
      </c>
    </row>
    <row r="8494" spans="1:10" x14ac:dyDescent="0.25">
      <c r="A8494" s="5" t="s">
        <v>42625</v>
      </c>
      <c r="B8494" s="6">
        <v>418.75</v>
      </c>
      <c r="C8494" s="6">
        <v>20.478950000000001</v>
      </c>
      <c r="D8494" s="6">
        <v>60</v>
      </c>
      <c r="E8494" s="6">
        <v>0</v>
      </c>
      <c r="F8494" s="6">
        <v>0</v>
      </c>
      <c r="G8494" s="6">
        <v>12</v>
      </c>
      <c r="H8494" s="6" t="s">
        <v>42626</v>
      </c>
      <c r="I8494" s="6">
        <v>534.5625</v>
      </c>
      <c r="J8494" s="2">
        <f t="shared" si="132"/>
        <v>43749.090458113424</v>
      </c>
    </row>
    <row r="8495" spans="1:10" x14ac:dyDescent="0.25">
      <c r="A8495" s="7" t="s">
        <v>42627</v>
      </c>
      <c r="B8495" s="8">
        <v>393.75</v>
      </c>
      <c r="C8495" s="8">
        <v>20.478950000000001</v>
      </c>
      <c r="D8495" s="8">
        <v>59</v>
      </c>
      <c r="E8495" s="8">
        <v>0</v>
      </c>
      <c r="F8495" s="8">
        <v>0</v>
      </c>
      <c r="G8495" s="8">
        <v>8</v>
      </c>
      <c r="H8495" s="8" t="s">
        <v>42628</v>
      </c>
      <c r="I8495" s="8">
        <v>526.6875</v>
      </c>
      <c r="J8495" s="3">
        <f t="shared" si="132"/>
        <v>43749.090538495373</v>
      </c>
    </row>
    <row r="8496" spans="1:10" x14ac:dyDescent="0.25">
      <c r="A8496" s="5" t="s">
        <v>42629</v>
      </c>
      <c r="B8496" s="6">
        <v>393.75</v>
      </c>
      <c r="C8496" s="6">
        <v>20.478950000000001</v>
      </c>
      <c r="D8496" s="6">
        <v>58</v>
      </c>
      <c r="E8496" s="6">
        <v>0</v>
      </c>
      <c r="F8496" s="6">
        <v>0</v>
      </c>
      <c r="G8496" s="6">
        <v>6</v>
      </c>
      <c r="H8496" s="6" t="s">
        <v>42630</v>
      </c>
      <c r="I8496" s="6">
        <v>526.6875</v>
      </c>
      <c r="J8496" s="2">
        <f t="shared" si="132"/>
        <v>43749.09061324074</v>
      </c>
    </row>
    <row r="8497" spans="1:10" x14ac:dyDescent="0.25">
      <c r="A8497" s="7" t="s">
        <v>42631</v>
      </c>
      <c r="B8497" s="8">
        <v>393.75</v>
      </c>
      <c r="C8497" s="8">
        <v>20.478950000000001</v>
      </c>
      <c r="D8497" s="8">
        <v>59</v>
      </c>
      <c r="E8497" s="8">
        <v>0</v>
      </c>
      <c r="F8497" s="8">
        <v>0</v>
      </c>
      <c r="G8497" s="8">
        <v>4</v>
      </c>
      <c r="H8497" s="8" t="s">
        <v>42632</v>
      </c>
      <c r="I8497" s="8">
        <v>526.6875</v>
      </c>
      <c r="J8497" s="3">
        <f t="shared" si="132"/>
        <v>43749.090696678242</v>
      </c>
    </row>
    <row r="8498" spans="1:10" x14ac:dyDescent="0.25">
      <c r="A8498" s="5" t="s">
        <v>42633</v>
      </c>
      <c r="B8498" s="6">
        <v>393.75</v>
      </c>
      <c r="C8498" s="6">
        <v>20.478950000000001</v>
      </c>
      <c r="D8498" s="6">
        <v>59</v>
      </c>
      <c r="E8498" s="6">
        <v>0</v>
      </c>
      <c r="F8498" s="6">
        <v>0</v>
      </c>
      <c r="G8498" s="6">
        <v>4</v>
      </c>
      <c r="H8498" s="6" t="s">
        <v>42634</v>
      </c>
      <c r="I8498" s="6">
        <v>526.6875</v>
      </c>
      <c r="J8498" s="2">
        <f t="shared" si="132"/>
        <v>43749.090767835645</v>
      </c>
    </row>
    <row r="8499" spans="1:10" x14ac:dyDescent="0.25">
      <c r="A8499" s="7" t="s">
        <v>42635</v>
      </c>
      <c r="B8499" s="8">
        <v>393.75</v>
      </c>
      <c r="C8499" s="8">
        <v>20.478950000000001</v>
      </c>
      <c r="D8499" s="8">
        <v>60</v>
      </c>
      <c r="E8499" s="8">
        <v>0</v>
      </c>
      <c r="F8499" s="8">
        <v>0</v>
      </c>
      <c r="G8499" s="8">
        <v>8</v>
      </c>
      <c r="H8499" s="8" t="s">
        <v>42636</v>
      </c>
      <c r="I8499" s="8">
        <v>526.6875</v>
      </c>
      <c r="J8499" s="3">
        <f t="shared" si="132"/>
        <v>43749.090839652774</v>
      </c>
    </row>
    <row r="8500" spans="1:10" x14ac:dyDescent="0.25">
      <c r="A8500" s="5" t="s">
        <v>42637</v>
      </c>
      <c r="B8500" s="6">
        <v>393.75</v>
      </c>
      <c r="C8500" s="6">
        <v>20.478950000000001</v>
      </c>
      <c r="D8500" s="6">
        <v>59</v>
      </c>
      <c r="E8500" s="6">
        <v>0</v>
      </c>
      <c r="F8500" s="6">
        <v>0</v>
      </c>
      <c r="G8500" s="6">
        <v>1</v>
      </c>
      <c r="H8500" s="6" t="s">
        <v>42638</v>
      </c>
      <c r="I8500" s="6">
        <v>526.6875</v>
      </c>
      <c r="J8500" s="2">
        <f t="shared" si="132"/>
        <v>43749.090922974538</v>
      </c>
    </row>
    <row r="8501" spans="1:10" x14ac:dyDescent="0.25">
      <c r="A8501" s="7" t="s">
        <v>42639</v>
      </c>
      <c r="B8501" s="8">
        <v>393.75</v>
      </c>
      <c r="C8501" s="8">
        <v>20.478950000000001</v>
      </c>
      <c r="D8501" s="8">
        <v>59</v>
      </c>
      <c r="E8501" s="8">
        <v>0</v>
      </c>
      <c r="F8501" s="8">
        <v>0</v>
      </c>
      <c r="G8501" s="8">
        <v>13</v>
      </c>
      <c r="H8501" s="8" t="s">
        <v>42640</v>
      </c>
      <c r="I8501" s="8">
        <v>526.6875</v>
      </c>
      <c r="J8501" s="3">
        <f t="shared" si="132"/>
        <v>43749.090994606478</v>
      </c>
    </row>
    <row r="8502" spans="1:10" x14ac:dyDescent="0.25">
      <c r="A8502" s="5" t="s">
        <v>42641</v>
      </c>
      <c r="B8502" s="6">
        <v>393.75</v>
      </c>
      <c r="C8502" s="6">
        <v>20.426300000000001</v>
      </c>
      <c r="D8502" s="6">
        <v>62</v>
      </c>
      <c r="E8502" s="6">
        <v>0</v>
      </c>
      <c r="F8502" s="6">
        <v>0</v>
      </c>
      <c r="G8502" s="6">
        <v>9</v>
      </c>
      <c r="H8502" s="6" t="s">
        <v>42642</v>
      </c>
      <c r="I8502" s="6">
        <v>526.6875</v>
      </c>
      <c r="J8502" s="2">
        <f t="shared" si="132"/>
        <v>43749.091078449077</v>
      </c>
    </row>
    <row r="8503" spans="1:10" x14ac:dyDescent="0.25">
      <c r="A8503" s="7" t="s">
        <v>42643</v>
      </c>
      <c r="B8503" s="8">
        <v>393.75</v>
      </c>
      <c r="C8503" s="8">
        <v>20.478950000000001</v>
      </c>
      <c r="D8503" s="8">
        <v>62</v>
      </c>
      <c r="E8503" s="8">
        <v>0</v>
      </c>
      <c r="F8503" s="8">
        <v>0</v>
      </c>
      <c r="G8503" s="8">
        <v>5</v>
      </c>
      <c r="H8503" s="8" t="s">
        <v>42644</v>
      </c>
      <c r="I8503" s="8">
        <v>526.6875</v>
      </c>
      <c r="J8503" s="3">
        <f t="shared" si="132"/>
        <v>43749.091149814813</v>
      </c>
    </row>
    <row r="8504" spans="1:10" x14ac:dyDescent="0.25">
      <c r="A8504" s="5" t="s">
        <v>42645</v>
      </c>
      <c r="B8504" s="6">
        <v>393.75</v>
      </c>
      <c r="C8504" s="6">
        <v>20.478950000000001</v>
      </c>
      <c r="D8504" s="6">
        <v>62</v>
      </c>
      <c r="E8504" s="6">
        <v>0</v>
      </c>
      <c r="F8504" s="6">
        <v>0</v>
      </c>
      <c r="G8504" s="6">
        <v>12</v>
      </c>
      <c r="H8504" s="6" t="s">
        <v>42646</v>
      </c>
      <c r="I8504" s="6">
        <v>526.6875</v>
      </c>
      <c r="J8504" s="2">
        <f t="shared" si="132"/>
        <v>43749.091221099538</v>
      </c>
    </row>
    <row r="8505" spans="1:10" x14ac:dyDescent="0.25">
      <c r="A8505" s="7" t="s">
        <v>42647</v>
      </c>
      <c r="B8505" s="8">
        <v>393.75</v>
      </c>
      <c r="C8505" s="8">
        <v>20.478950000000001</v>
      </c>
      <c r="D8505" s="8">
        <v>62</v>
      </c>
      <c r="E8505" s="8">
        <v>0</v>
      </c>
      <c r="F8505" s="8">
        <v>0</v>
      </c>
      <c r="G8505" s="8">
        <v>0</v>
      </c>
      <c r="H8505" s="8" t="s">
        <v>42648</v>
      </c>
      <c r="I8505" s="8">
        <v>526.5</v>
      </c>
      <c r="J8505" s="3">
        <f t="shared" si="132"/>
        <v>43749.091304675923</v>
      </c>
    </row>
    <row r="8506" spans="1:10" x14ac:dyDescent="0.25">
      <c r="A8506" s="5" t="s">
        <v>42649</v>
      </c>
      <c r="B8506" s="6">
        <v>393.75</v>
      </c>
      <c r="C8506" s="6">
        <v>20.478950000000001</v>
      </c>
      <c r="D8506" s="6">
        <v>62</v>
      </c>
      <c r="E8506" s="6">
        <v>0</v>
      </c>
      <c r="F8506" s="6">
        <v>0</v>
      </c>
      <c r="G8506" s="6">
        <v>6</v>
      </c>
      <c r="H8506" s="6" t="s">
        <v>42650</v>
      </c>
      <c r="I8506" s="6">
        <v>526.5</v>
      </c>
      <c r="J8506" s="2">
        <f t="shared" si="132"/>
        <v>43749.09137613426</v>
      </c>
    </row>
    <row r="8507" spans="1:10" x14ac:dyDescent="0.25">
      <c r="A8507" s="7" t="s">
        <v>42651</v>
      </c>
      <c r="B8507" s="8">
        <v>393.75</v>
      </c>
      <c r="C8507" s="8">
        <v>20.478950000000001</v>
      </c>
      <c r="D8507" s="8">
        <v>61</v>
      </c>
      <c r="E8507" s="8">
        <v>0</v>
      </c>
      <c r="F8507" s="8">
        <v>0</v>
      </c>
      <c r="G8507" s="8">
        <v>9</v>
      </c>
      <c r="H8507" s="8" t="s">
        <v>42652</v>
      </c>
      <c r="I8507" s="8">
        <v>526.6875</v>
      </c>
      <c r="J8507" s="3">
        <f t="shared" si="132"/>
        <v>43749.09145994213</v>
      </c>
    </row>
    <row r="8508" spans="1:10" x14ac:dyDescent="0.25">
      <c r="A8508" s="5" t="s">
        <v>42653</v>
      </c>
      <c r="B8508" s="6">
        <v>393.75</v>
      </c>
      <c r="C8508" s="6">
        <v>20.478950000000001</v>
      </c>
      <c r="D8508" s="6">
        <v>59</v>
      </c>
      <c r="E8508" s="6">
        <v>0</v>
      </c>
      <c r="F8508" s="6">
        <v>0</v>
      </c>
      <c r="G8508" s="6">
        <v>5</v>
      </c>
      <c r="H8508" s="6" t="s">
        <v>42654</v>
      </c>
      <c r="I8508" s="6">
        <v>526.6875</v>
      </c>
      <c r="J8508" s="2">
        <f t="shared" si="132"/>
        <v>43749.091543391201</v>
      </c>
    </row>
    <row r="8509" spans="1:10" x14ac:dyDescent="0.25">
      <c r="A8509" s="7" t="s">
        <v>42655</v>
      </c>
      <c r="B8509" s="8">
        <v>393.75</v>
      </c>
      <c r="C8509" s="8">
        <v>20.478950000000001</v>
      </c>
      <c r="D8509" s="8">
        <v>57</v>
      </c>
      <c r="E8509" s="8">
        <v>0</v>
      </c>
      <c r="F8509" s="8">
        <v>0</v>
      </c>
      <c r="G8509" s="8">
        <v>0</v>
      </c>
      <c r="H8509" s="8" t="s">
        <v>42656</v>
      </c>
      <c r="I8509" s="8">
        <v>526.5</v>
      </c>
      <c r="J8509" s="3">
        <f t="shared" si="132"/>
        <v>43749.091626608795</v>
      </c>
    </row>
    <row r="8510" spans="1:10" x14ac:dyDescent="0.25">
      <c r="A8510" s="5" t="s">
        <v>42657</v>
      </c>
      <c r="B8510" s="6">
        <v>393.75</v>
      </c>
      <c r="C8510" s="6">
        <v>20.478950000000001</v>
      </c>
      <c r="D8510" s="6">
        <v>57</v>
      </c>
      <c r="E8510" s="6">
        <v>0</v>
      </c>
      <c r="F8510" s="6">
        <v>0</v>
      </c>
      <c r="G8510" s="6">
        <v>8</v>
      </c>
      <c r="H8510" s="6" t="s">
        <v>42658</v>
      </c>
      <c r="I8510" s="6">
        <v>526.6875</v>
      </c>
      <c r="J8510" s="2">
        <f t="shared" si="132"/>
        <v>43749.0916984375</v>
      </c>
    </row>
    <row r="8511" spans="1:10" x14ac:dyDescent="0.25">
      <c r="A8511" s="7" t="s">
        <v>42659</v>
      </c>
      <c r="B8511" s="8">
        <v>393.75</v>
      </c>
      <c r="C8511" s="8">
        <v>20.478950000000001</v>
      </c>
      <c r="D8511" s="8">
        <v>57</v>
      </c>
      <c r="E8511" s="8">
        <v>0</v>
      </c>
      <c r="F8511" s="8">
        <v>0</v>
      </c>
      <c r="G8511" s="8">
        <v>6</v>
      </c>
      <c r="H8511" s="8" t="s">
        <v>42660</v>
      </c>
      <c r="I8511" s="8">
        <v>526.6875</v>
      </c>
      <c r="J8511" s="3">
        <f t="shared" si="132"/>
        <v>43749.091781932868</v>
      </c>
    </row>
    <row r="8512" spans="1:10" x14ac:dyDescent="0.25">
      <c r="A8512" s="5" t="s">
        <v>42661</v>
      </c>
      <c r="B8512" s="6">
        <v>393.75</v>
      </c>
      <c r="C8512" s="6">
        <v>20.478950000000001</v>
      </c>
      <c r="D8512" s="6">
        <v>57</v>
      </c>
      <c r="E8512" s="6">
        <v>0</v>
      </c>
      <c r="F8512" s="6">
        <v>0</v>
      </c>
      <c r="G8512" s="6">
        <v>1</v>
      </c>
      <c r="H8512" s="6" t="s">
        <v>42662</v>
      </c>
      <c r="I8512" s="6">
        <v>526.6875</v>
      </c>
      <c r="J8512" s="2">
        <f t="shared" si="132"/>
        <v>43749.091877233797</v>
      </c>
    </row>
    <row r="8513" spans="1:10" x14ac:dyDescent="0.25">
      <c r="A8513" s="7" t="s">
        <v>42663</v>
      </c>
      <c r="B8513" s="8">
        <v>393.75</v>
      </c>
      <c r="C8513" s="8">
        <v>20.478950000000001</v>
      </c>
      <c r="D8513" s="8">
        <v>59</v>
      </c>
      <c r="E8513" s="8">
        <v>0</v>
      </c>
      <c r="F8513" s="8">
        <v>0</v>
      </c>
      <c r="G8513" s="8">
        <v>6</v>
      </c>
      <c r="H8513" s="8" t="s">
        <v>42664</v>
      </c>
      <c r="I8513" s="8">
        <v>526.6875</v>
      </c>
      <c r="J8513" s="3">
        <f t="shared" si="132"/>
        <v>43749.091948738424</v>
      </c>
    </row>
    <row r="8514" spans="1:10" x14ac:dyDescent="0.25">
      <c r="A8514" s="5" t="s">
        <v>42665</v>
      </c>
      <c r="B8514" s="6">
        <v>393.75</v>
      </c>
      <c r="C8514" s="6">
        <v>20.478950000000001</v>
      </c>
      <c r="D8514" s="6">
        <v>59</v>
      </c>
      <c r="E8514" s="6">
        <v>0</v>
      </c>
      <c r="F8514" s="6">
        <v>0</v>
      </c>
      <c r="G8514" s="6">
        <v>5</v>
      </c>
      <c r="H8514" s="6" t="s">
        <v>42666</v>
      </c>
      <c r="I8514" s="6">
        <v>526.6875</v>
      </c>
      <c r="J8514" s="2">
        <f t="shared" ref="J8514:J8577" si="133">(H8514/86400000)+25569+(7/24)</f>
        <v>43749.092020289354</v>
      </c>
    </row>
    <row r="8515" spans="1:10" x14ac:dyDescent="0.25">
      <c r="A8515" s="7" t="s">
        <v>42667</v>
      </c>
      <c r="B8515" s="8">
        <v>393.75</v>
      </c>
      <c r="C8515" s="8">
        <v>20.478950000000001</v>
      </c>
      <c r="D8515" s="8">
        <v>60</v>
      </c>
      <c r="E8515" s="8">
        <v>0</v>
      </c>
      <c r="F8515" s="8">
        <v>0</v>
      </c>
      <c r="G8515" s="8">
        <v>15</v>
      </c>
      <c r="H8515" s="8" t="s">
        <v>42668</v>
      </c>
      <c r="I8515" s="8">
        <v>526.6875</v>
      </c>
      <c r="J8515" s="3">
        <f t="shared" si="133"/>
        <v>43749.092104143514</v>
      </c>
    </row>
    <row r="8516" spans="1:10" x14ac:dyDescent="0.25">
      <c r="A8516" s="5" t="s">
        <v>42669</v>
      </c>
      <c r="B8516" s="6">
        <v>393.75</v>
      </c>
      <c r="C8516" s="6">
        <v>20.478950000000001</v>
      </c>
      <c r="D8516" s="6">
        <v>61</v>
      </c>
      <c r="E8516" s="6">
        <v>0</v>
      </c>
      <c r="F8516" s="6">
        <v>0</v>
      </c>
      <c r="G8516" s="6">
        <v>6</v>
      </c>
      <c r="H8516" s="6" t="s">
        <v>42670</v>
      </c>
      <c r="I8516" s="6">
        <v>526.6875</v>
      </c>
      <c r="J8516" s="2">
        <f t="shared" si="133"/>
        <v>43749.092186967588</v>
      </c>
    </row>
    <row r="8517" spans="1:10" x14ac:dyDescent="0.25">
      <c r="A8517" s="7" t="s">
        <v>42671</v>
      </c>
      <c r="B8517" s="8">
        <v>412.5</v>
      </c>
      <c r="C8517" s="8">
        <v>20.478950000000001</v>
      </c>
      <c r="D8517" s="8">
        <v>60</v>
      </c>
      <c r="E8517" s="8">
        <v>0</v>
      </c>
      <c r="F8517" s="8">
        <v>0</v>
      </c>
      <c r="G8517" s="8">
        <v>0</v>
      </c>
      <c r="H8517" s="8" t="s">
        <v>42672</v>
      </c>
      <c r="I8517" s="8">
        <v>532.3125</v>
      </c>
      <c r="J8517" s="3">
        <f t="shared" si="133"/>
        <v>43749.092270717585</v>
      </c>
    </row>
    <row r="8518" spans="1:10" x14ac:dyDescent="0.25">
      <c r="A8518" s="5" t="s">
        <v>42673</v>
      </c>
      <c r="B8518" s="6">
        <v>393.75</v>
      </c>
      <c r="C8518" s="6">
        <v>20.426300000000001</v>
      </c>
      <c r="D8518" s="6">
        <v>59</v>
      </c>
      <c r="E8518" s="6">
        <v>0</v>
      </c>
      <c r="F8518" s="6">
        <v>0</v>
      </c>
      <c r="G8518" s="6">
        <v>0</v>
      </c>
      <c r="H8518" s="6" t="s">
        <v>42674</v>
      </c>
      <c r="I8518" s="6">
        <v>526.6875</v>
      </c>
      <c r="J8518" s="2">
        <f t="shared" si="133"/>
        <v>43749.09236829861</v>
      </c>
    </row>
    <row r="8519" spans="1:10" x14ac:dyDescent="0.25">
      <c r="A8519" s="7" t="s">
        <v>42675</v>
      </c>
      <c r="B8519" s="8">
        <v>393.75</v>
      </c>
      <c r="C8519" s="8">
        <v>20.478950000000001</v>
      </c>
      <c r="D8519" s="8">
        <v>60</v>
      </c>
      <c r="E8519" s="8">
        <v>0</v>
      </c>
      <c r="F8519" s="8">
        <v>0</v>
      </c>
      <c r="G8519" s="8">
        <v>10</v>
      </c>
      <c r="H8519" s="8" t="s">
        <v>42676</v>
      </c>
      <c r="I8519" s="8">
        <v>526.6875</v>
      </c>
      <c r="J8519" s="3">
        <f t="shared" si="133"/>
        <v>43749.092461655091</v>
      </c>
    </row>
    <row r="8520" spans="1:10" x14ac:dyDescent="0.25">
      <c r="A8520" s="5" t="s">
        <v>42677</v>
      </c>
      <c r="B8520" s="6">
        <v>393.75</v>
      </c>
      <c r="C8520" s="6">
        <v>20.478950000000001</v>
      </c>
      <c r="D8520" s="6">
        <v>59</v>
      </c>
      <c r="E8520" s="6">
        <v>0</v>
      </c>
      <c r="F8520" s="6">
        <v>0</v>
      </c>
      <c r="G8520" s="6">
        <v>5</v>
      </c>
      <c r="H8520" s="6" t="s">
        <v>42678</v>
      </c>
      <c r="I8520" s="6">
        <v>526.6875</v>
      </c>
      <c r="J8520" s="2">
        <f t="shared" si="133"/>
        <v>43749.092545185187</v>
      </c>
    </row>
    <row r="8521" spans="1:10" x14ac:dyDescent="0.25">
      <c r="A8521" s="7" t="s">
        <v>42679</v>
      </c>
      <c r="B8521" s="8">
        <v>393.75</v>
      </c>
      <c r="C8521" s="8">
        <v>20.478950000000001</v>
      </c>
      <c r="D8521" s="8">
        <v>59</v>
      </c>
      <c r="E8521" s="8">
        <v>0</v>
      </c>
      <c r="F8521" s="8">
        <v>0</v>
      </c>
      <c r="G8521" s="8">
        <v>4</v>
      </c>
      <c r="H8521" s="8" t="s">
        <v>42680</v>
      </c>
      <c r="I8521" s="8">
        <v>526.6875</v>
      </c>
      <c r="J8521" s="3">
        <f t="shared" si="133"/>
        <v>43749.092616701389</v>
      </c>
    </row>
    <row r="8522" spans="1:10" x14ac:dyDescent="0.25">
      <c r="A8522" s="5" t="s">
        <v>42681</v>
      </c>
      <c r="B8522" s="6">
        <v>393.75</v>
      </c>
      <c r="C8522" s="6">
        <v>20.426300000000001</v>
      </c>
      <c r="D8522" s="6">
        <v>60</v>
      </c>
      <c r="E8522" s="6">
        <v>0</v>
      </c>
      <c r="F8522" s="6">
        <v>0</v>
      </c>
      <c r="G8522" s="6">
        <v>9</v>
      </c>
      <c r="H8522" s="6" t="s">
        <v>42682</v>
      </c>
      <c r="I8522" s="6">
        <v>526.6875</v>
      </c>
      <c r="J8522" s="2">
        <f t="shared" si="133"/>
        <v>43749.092722939815</v>
      </c>
    </row>
    <row r="8523" spans="1:10" x14ac:dyDescent="0.25">
      <c r="A8523" s="7" t="s">
        <v>42683</v>
      </c>
      <c r="B8523" s="8">
        <v>393.75</v>
      </c>
      <c r="C8523" s="8">
        <v>20.478950000000001</v>
      </c>
      <c r="D8523" s="8">
        <v>60</v>
      </c>
      <c r="E8523" s="8">
        <v>0</v>
      </c>
      <c r="F8523" s="8">
        <v>0</v>
      </c>
      <c r="G8523" s="8">
        <v>1</v>
      </c>
      <c r="H8523" s="8" t="s">
        <v>42684</v>
      </c>
      <c r="I8523" s="8">
        <v>526.6875</v>
      </c>
      <c r="J8523" s="3">
        <f t="shared" si="133"/>
        <v>43749.092795567129</v>
      </c>
    </row>
    <row r="8524" spans="1:10" x14ac:dyDescent="0.25">
      <c r="A8524" s="5" t="s">
        <v>42685</v>
      </c>
      <c r="B8524" s="6">
        <v>393.75</v>
      </c>
      <c r="C8524" s="6">
        <v>20.478950000000001</v>
      </c>
      <c r="D8524" s="6">
        <v>59</v>
      </c>
      <c r="E8524" s="6">
        <v>0</v>
      </c>
      <c r="F8524" s="6">
        <v>0</v>
      </c>
      <c r="G8524" s="6">
        <v>11</v>
      </c>
      <c r="H8524" s="6" t="s">
        <v>42686</v>
      </c>
      <c r="I8524" s="6">
        <v>526.6875</v>
      </c>
      <c r="J8524" s="2">
        <f t="shared" si="133"/>
        <v>43749.092878668984</v>
      </c>
    </row>
    <row r="8525" spans="1:10" x14ac:dyDescent="0.25">
      <c r="A8525" s="7" t="s">
        <v>42687</v>
      </c>
      <c r="B8525" s="8">
        <v>393.75</v>
      </c>
      <c r="C8525" s="8">
        <v>20.478950000000001</v>
      </c>
      <c r="D8525" s="8">
        <v>59</v>
      </c>
      <c r="E8525" s="8">
        <v>0</v>
      </c>
      <c r="F8525" s="8">
        <v>0</v>
      </c>
      <c r="G8525" s="8">
        <v>6</v>
      </c>
      <c r="H8525" s="8" t="s">
        <v>42688</v>
      </c>
      <c r="I8525" s="8">
        <v>526.6875</v>
      </c>
      <c r="J8525" s="3">
        <f t="shared" si="133"/>
        <v>43749.092950150465</v>
      </c>
    </row>
    <row r="8526" spans="1:10" x14ac:dyDescent="0.25">
      <c r="A8526" s="5" t="s">
        <v>42689</v>
      </c>
      <c r="B8526" s="6">
        <v>393.75</v>
      </c>
      <c r="C8526" s="6">
        <v>20.478950000000001</v>
      </c>
      <c r="D8526" s="6">
        <v>60</v>
      </c>
      <c r="E8526" s="6">
        <v>0</v>
      </c>
      <c r="F8526" s="6">
        <v>0</v>
      </c>
      <c r="G8526" s="6">
        <v>9</v>
      </c>
      <c r="H8526" s="6" t="s">
        <v>42690</v>
      </c>
      <c r="I8526" s="6">
        <v>526.6875</v>
      </c>
      <c r="J8526" s="2">
        <f t="shared" si="133"/>
        <v>43749.093040428234</v>
      </c>
    </row>
    <row r="8527" spans="1:10" x14ac:dyDescent="0.25">
      <c r="A8527" s="7" t="s">
        <v>42691</v>
      </c>
      <c r="B8527" s="8">
        <v>393.75</v>
      </c>
      <c r="C8527" s="8">
        <v>20.478950000000001</v>
      </c>
      <c r="D8527" s="8">
        <v>60</v>
      </c>
      <c r="E8527" s="8">
        <v>0</v>
      </c>
      <c r="F8527" s="8">
        <v>0</v>
      </c>
      <c r="G8527" s="8">
        <v>2</v>
      </c>
      <c r="H8527" s="8" t="s">
        <v>42692</v>
      </c>
      <c r="I8527" s="8">
        <v>526.6875</v>
      </c>
      <c r="J8527" s="3">
        <f t="shared" si="133"/>
        <v>43749.093117557866</v>
      </c>
    </row>
    <row r="8528" spans="1:10" x14ac:dyDescent="0.25">
      <c r="A8528" s="5" t="s">
        <v>42693</v>
      </c>
      <c r="B8528" s="6">
        <v>412.5</v>
      </c>
      <c r="C8528" s="6">
        <v>20.478950000000001</v>
      </c>
      <c r="D8528" s="6">
        <v>60</v>
      </c>
      <c r="E8528" s="6">
        <v>0</v>
      </c>
      <c r="F8528" s="6">
        <v>0</v>
      </c>
      <c r="G8528" s="6">
        <v>8</v>
      </c>
      <c r="H8528" s="6" t="s">
        <v>42694</v>
      </c>
      <c r="I8528" s="6">
        <v>532.875</v>
      </c>
      <c r="J8528" s="2">
        <f t="shared" si="133"/>
        <v>43749.093200625</v>
      </c>
    </row>
    <row r="8529" spans="1:10" x14ac:dyDescent="0.25">
      <c r="A8529" s="7" t="s">
        <v>42695</v>
      </c>
      <c r="B8529" s="8">
        <v>393.75</v>
      </c>
      <c r="C8529" s="8">
        <v>20.478950000000001</v>
      </c>
      <c r="D8529" s="8">
        <v>60</v>
      </c>
      <c r="E8529" s="8">
        <v>0</v>
      </c>
      <c r="F8529" s="8">
        <v>0</v>
      </c>
      <c r="G8529" s="8">
        <v>13</v>
      </c>
      <c r="H8529" s="8" t="s">
        <v>42696</v>
      </c>
      <c r="I8529" s="8">
        <v>526.6875</v>
      </c>
      <c r="J8529" s="3">
        <f t="shared" si="133"/>
        <v>43749.09327247685</v>
      </c>
    </row>
    <row r="8530" spans="1:10" x14ac:dyDescent="0.25">
      <c r="A8530" s="5" t="s">
        <v>42697</v>
      </c>
      <c r="B8530" s="6">
        <v>393.75</v>
      </c>
      <c r="C8530" s="6">
        <v>20.478950000000001</v>
      </c>
      <c r="D8530" s="6">
        <v>61</v>
      </c>
      <c r="E8530" s="6">
        <v>0</v>
      </c>
      <c r="F8530" s="6">
        <v>0</v>
      </c>
      <c r="G8530" s="6">
        <v>10</v>
      </c>
      <c r="H8530" s="6" t="s">
        <v>42698</v>
      </c>
      <c r="I8530" s="6">
        <v>526.6875</v>
      </c>
      <c r="J8530" s="2">
        <f t="shared" si="133"/>
        <v>43749.093356030091</v>
      </c>
    </row>
    <row r="8531" spans="1:10" x14ac:dyDescent="0.25">
      <c r="A8531" s="7" t="s">
        <v>42699</v>
      </c>
      <c r="B8531" s="8">
        <v>393.75</v>
      </c>
      <c r="C8531" s="8">
        <v>20.478950000000001</v>
      </c>
      <c r="D8531" s="8">
        <v>61</v>
      </c>
      <c r="E8531" s="8">
        <v>0</v>
      </c>
      <c r="F8531" s="8">
        <v>0</v>
      </c>
      <c r="G8531" s="8">
        <v>6</v>
      </c>
      <c r="H8531" s="8" t="s">
        <v>42700</v>
      </c>
      <c r="I8531" s="8">
        <v>526.6875</v>
      </c>
      <c r="J8531" s="3">
        <f t="shared" si="133"/>
        <v>43749.093439479162</v>
      </c>
    </row>
    <row r="8532" spans="1:10" x14ac:dyDescent="0.25">
      <c r="A8532" s="5" t="s">
        <v>42701</v>
      </c>
      <c r="B8532" s="6">
        <v>393.75</v>
      </c>
      <c r="C8532" s="6">
        <v>20.478950000000001</v>
      </c>
      <c r="D8532" s="6">
        <v>61</v>
      </c>
      <c r="E8532" s="6">
        <v>0</v>
      </c>
      <c r="F8532" s="6">
        <v>0</v>
      </c>
      <c r="G8532" s="6">
        <v>4</v>
      </c>
      <c r="H8532" s="6" t="s">
        <v>42702</v>
      </c>
      <c r="I8532" s="6">
        <v>526.6875</v>
      </c>
      <c r="J8532" s="2">
        <f t="shared" si="133"/>
        <v>43749.093522939809</v>
      </c>
    </row>
    <row r="8533" spans="1:10" x14ac:dyDescent="0.25">
      <c r="A8533" s="7" t="s">
        <v>42703</v>
      </c>
      <c r="B8533" s="8">
        <v>393.75</v>
      </c>
      <c r="C8533" s="8">
        <v>20.478950000000001</v>
      </c>
      <c r="D8533" s="8">
        <v>59</v>
      </c>
      <c r="E8533" s="8">
        <v>0</v>
      </c>
      <c r="F8533" s="8">
        <v>0</v>
      </c>
      <c r="G8533" s="8">
        <v>3</v>
      </c>
      <c r="H8533" s="8" t="s">
        <v>42704</v>
      </c>
      <c r="I8533" s="8">
        <v>526.6875</v>
      </c>
      <c r="J8533" s="3">
        <f t="shared" si="133"/>
        <v>43749.093606435184</v>
      </c>
    </row>
    <row r="8534" spans="1:10" x14ac:dyDescent="0.25">
      <c r="A8534" s="5" t="s">
        <v>42705</v>
      </c>
      <c r="B8534" s="6">
        <v>393.75</v>
      </c>
      <c r="C8534" s="6">
        <v>20.478950000000001</v>
      </c>
      <c r="D8534" s="6">
        <v>57</v>
      </c>
      <c r="E8534" s="6">
        <v>0</v>
      </c>
      <c r="F8534" s="6">
        <v>0</v>
      </c>
      <c r="G8534" s="6">
        <v>7</v>
      </c>
      <c r="H8534" s="6" t="s">
        <v>42706</v>
      </c>
      <c r="I8534" s="6">
        <v>526.6875</v>
      </c>
      <c r="J8534" s="2">
        <f t="shared" si="133"/>
        <v>43749.093689594905</v>
      </c>
    </row>
    <row r="8535" spans="1:10" x14ac:dyDescent="0.25">
      <c r="A8535" s="7" t="s">
        <v>42707</v>
      </c>
      <c r="B8535" s="8">
        <v>393.75</v>
      </c>
      <c r="C8535" s="8">
        <v>20.478950000000001</v>
      </c>
      <c r="D8535" s="8">
        <v>57</v>
      </c>
      <c r="E8535" s="8">
        <v>0</v>
      </c>
      <c r="F8535" s="8">
        <v>0</v>
      </c>
      <c r="G8535" s="8">
        <v>12</v>
      </c>
      <c r="H8535" s="8" t="s">
        <v>42708</v>
      </c>
      <c r="I8535" s="8">
        <v>526.6875</v>
      </c>
      <c r="J8535" s="3">
        <f t="shared" si="133"/>
        <v>43749.093761365737</v>
      </c>
    </row>
    <row r="8536" spans="1:10" x14ac:dyDescent="0.25">
      <c r="A8536" s="5" t="s">
        <v>42709</v>
      </c>
      <c r="B8536" s="6">
        <v>393.75</v>
      </c>
      <c r="C8536" s="6">
        <v>20.478950000000001</v>
      </c>
      <c r="D8536" s="6">
        <v>57</v>
      </c>
      <c r="E8536" s="6">
        <v>0</v>
      </c>
      <c r="F8536" s="6">
        <v>0</v>
      </c>
      <c r="G8536" s="6">
        <v>7</v>
      </c>
      <c r="H8536" s="6" t="s">
        <v>42710</v>
      </c>
      <c r="I8536" s="6">
        <v>526.6875</v>
      </c>
      <c r="J8536" s="2">
        <f t="shared" si="133"/>
        <v>43749.093844930554</v>
      </c>
    </row>
    <row r="8537" spans="1:10" x14ac:dyDescent="0.25">
      <c r="A8537" s="7" t="s">
        <v>42711</v>
      </c>
      <c r="B8537" s="8">
        <v>393.75</v>
      </c>
      <c r="C8537" s="8">
        <v>20.478950000000001</v>
      </c>
      <c r="D8537" s="8">
        <v>57</v>
      </c>
      <c r="E8537" s="8">
        <v>0</v>
      </c>
      <c r="F8537" s="8">
        <v>0</v>
      </c>
      <c r="G8537" s="8">
        <v>0</v>
      </c>
      <c r="H8537" s="8" t="s">
        <v>42712</v>
      </c>
      <c r="I8537" s="8">
        <v>526.6875</v>
      </c>
      <c r="J8537" s="3">
        <f t="shared" si="133"/>
        <v>43749.093916446756</v>
      </c>
    </row>
    <row r="8538" spans="1:10" x14ac:dyDescent="0.25">
      <c r="A8538" s="5" t="s">
        <v>42713</v>
      </c>
      <c r="B8538" s="6">
        <v>393.75</v>
      </c>
      <c r="C8538" s="6">
        <v>20.478950000000001</v>
      </c>
      <c r="D8538" s="6">
        <v>57</v>
      </c>
      <c r="E8538" s="6">
        <v>0</v>
      </c>
      <c r="F8538" s="6">
        <v>0</v>
      </c>
      <c r="G8538" s="6">
        <v>9</v>
      </c>
      <c r="H8538" s="6" t="s">
        <v>42714</v>
      </c>
      <c r="I8538" s="6">
        <v>526.6875</v>
      </c>
      <c r="J8538" s="2">
        <f t="shared" si="133"/>
        <v>43749.093988043976</v>
      </c>
    </row>
    <row r="8539" spans="1:10" x14ac:dyDescent="0.25">
      <c r="A8539" s="7" t="s">
        <v>42715</v>
      </c>
      <c r="B8539" s="8">
        <v>393.75</v>
      </c>
      <c r="C8539" s="8">
        <v>20.478950000000001</v>
      </c>
      <c r="D8539" s="8">
        <v>57</v>
      </c>
      <c r="E8539" s="8">
        <v>0</v>
      </c>
      <c r="F8539" s="8">
        <v>0</v>
      </c>
      <c r="G8539" s="8">
        <v>5</v>
      </c>
      <c r="H8539" s="8" t="s">
        <v>42716</v>
      </c>
      <c r="I8539" s="8">
        <v>526.6875</v>
      </c>
      <c r="J8539" s="3">
        <f t="shared" si="133"/>
        <v>43749.094059791663</v>
      </c>
    </row>
    <row r="8540" spans="1:10" x14ac:dyDescent="0.25">
      <c r="A8540" s="5" t="s">
        <v>42717</v>
      </c>
      <c r="B8540" s="6">
        <v>393.75</v>
      </c>
      <c r="C8540" s="6">
        <v>20.426300000000001</v>
      </c>
      <c r="D8540" s="6">
        <v>55</v>
      </c>
      <c r="E8540" s="6">
        <v>0</v>
      </c>
      <c r="F8540" s="6">
        <v>0</v>
      </c>
      <c r="G8540" s="6">
        <v>1</v>
      </c>
      <c r="H8540" s="6" t="s">
        <v>42718</v>
      </c>
      <c r="I8540" s="6">
        <v>526.6875</v>
      </c>
      <c r="J8540" s="2">
        <f t="shared" si="133"/>
        <v>43749.094142986105</v>
      </c>
    </row>
    <row r="8541" spans="1:10" x14ac:dyDescent="0.25">
      <c r="A8541" s="7" t="s">
        <v>42719</v>
      </c>
      <c r="B8541" s="8">
        <v>393.75</v>
      </c>
      <c r="C8541" s="8">
        <v>20.478950000000001</v>
      </c>
      <c r="D8541" s="8">
        <v>55</v>
      </c>
      <c r="E8541" s="8">
        <v>0</v>
      </c>
      <c r="F8541" s="8">
        <v>0</v>
      </c>
      <c r="G8541" s="8">
        <v>8</v>
      </c>
      <c r="H8541" s="8" t="s">
        <v>42720</v>
      </c>
      <c r="I8541" s="8">
        <v>526.6875</v>
      </c>
      <c r="J8541" s="3">
        <f t="shared" si="133"/>
        <v>43749.094215115743</v>
      </c>
    </row>
    <row r="8542" spans="1:10" x14ac:dyDescent="0.25">
      <c r="A8542" s="5" t="s">
        <v>42721</v>
      </c>
      <c r="B8542" s="6">
        <v>393.75</v>
      </c>
      <c r="C8542" s="6">
        <v>20.478950000000001</v>
      </c>
      <c r="D8542" s="6">
        <v>55</v>
      </c>
      <c r="E8542" s="6">
        <v>0</v>
      </c>
      <c r="F8542" s="6">
        <v>0</v>
      </c>
      <c r="G8542" s="6">
        <v>0</v>
      </c>
      <c r="H8542" s="6" t="s">
        <v>42722</v>
      </c>
      <c r="I8542" s="6">
        <v>526.5</v>
      </c>
      <c r="J8542" s="2">
        <f t="shared" si="133"/>
        <v>43749.094298275457</v>
      </c>
    </row>
    <row r="8543" spans="1:10" x14ac:dyDescent="0.25">
      <c r="A8543" s="7" t="s">
        <v>42723</v>
      </c>
      <c r="B8543" s="8">
        <v>393.75</v>
      </c>
      <c r="C8543" s="8">
        <v>20.478950000000001</v>
      </c>
      <c r="D8543" s="8">
        <v>52</v>
      </c>
      <c r="E8543" s="8">
        <v>0</v>
      </c>
      <c r="F8543" s="8">
        <v>0</v>
      </c>
      <c r="G8543" s="8">
        <v>0</v>
      </c>
      <c r="H8543" s="8" t="s">
        <v>42724</v>
      </c>
      <c r="I8543" s="8">
        <v>526.6875</v>
      </c>
      <c r="J8543" s="3">
        <f t="shared" si="133"/>
        <v>43749.094381469906</v>
      </c>
    </row>
    <row r="8544" spans="1:10" x14ac:dyDescent="0.25">
      <c r="A8544" s="5" t="s">
        <v>42725</v>
      </c>
      <c r="B8544" s="6">
        <v>393.75</v>
      </c>
      <c r="C8544" s="6">
        <v>20.478950000000001</v>
      </c>
      <c r="D8544" s="6">
        <v>53</v>
      </c>
      <c r="E8544" s="6">
        <v>0</v>
      </c>
      <c r="F8544" s="6">
        <v>0</v>
      </c>
      <c r="G8544" s="6">
        <v>0</v>
      </c>
      <c r="H8544" s="6" t="s">
        <v>42726</v>
      </c>
      <c r="I8544" s="6">
        <v>526.6875</v>
      </c>
      <c r="J8544" s="2">
        <f t="shared" si="133"/>
        <v>43749.094465057868</v>
      </c>
    </row>
    <row r="8545" spans="1:10" x14ac:dyDescent="0.25">
      <c r="A8545" s="7" t="s">
        <v>42727</v>
      </c>
      <c r="B8545" s="8">
        <v>393.75</v>
      </c>
      <c r="C8545" s="8">
        <v>20.426300000000001</v>
      </c>
      <c r="D8545" s="8">
        <v>55</v>
      </c>
      <c r="E8545" s="8">
        <v>0</v>
      </c>
      <c r="F8545" s="8">
        <v>0</v>
      </c>
      <c r="G8545" s="8">
        <v>10</v>
      </c>
      <c r="H8545" s="8" t="s">
        <v>42728</v>
      </c>
      <c r="I8545" s="8">
        <v>526.6875</v>
      </c>
      <c r="J8545" s="3">
        <f t="shared" si="133"/>
        <v>43749.094548437497</v>
      </c>
    </row>
    <row r="8546" spans="1:10" x14ac:dyDescent="0.25">
      <c r="A8546" s="5" t="s">
        <v>42729</v>
      </c>
      <c r="B8546" s="6">
        <v>393.75</v>
      </c>
      <c r="C8546" s="6">
        <v>20.478950000000001</v>
      </c>
      <c r="D8546" s="6">
        <v>57</v>
      </c>
      <c r="E8546" s="6">
        <v>0</v>
      </c>
      <c r="F8546" s="6">
        <v>0</v>
      </c>
      <c r="G8546" s="6">
        <v>6</v>
      </c>
      <c r="H8546" s="6" t="s">
        <v>42730</v>
      </c>
      <c r="I8546" s="6">
        <v>526.6875</v>
      </c>
      <c r="J8546" s="2">
        <f t="shared" si="133"/>
        <v>43749.094631979162</v>
      </c>
    </row>
    <row r="8547" spans="1:10" x14ac:dyDescent="0.25">
      <c r="A8547" s="7" t="s">
        <v>42731</v>
      </c>
      <c r="B8547" s="8">
        <v>412.5</v>
      </c>
      <c r="C8547" s="8">
        <v>20.478950000000001</v>
      </c>
      <c r="D8547" s="8">
        <v>57</v>
      </c>
      <c r="E8547" s="8">
        <v>0</v>
      </c>
      <c r="F8547" s="8">
        <v>0</v>
      </c>
      <c r="G8547" s="8">
        <v>8</v>
      </c>
      <c r="H8547" s="8" t="s">
        <v>42732</v>
      </c>
      <c r="I8547" s="8">
        <v>532.3125</v>
      </c>
      <c r="J8547" s="3">
        <f t="shared" si="133"/>
        <v>43749.094715451385</v>
      </c>
    </row>
    <row r="8548" spans="1:10" x14ac:dyDescent="0.25">
      <c r="A8548" s="5" t="s">
        <v>42733</v>
      </c>
      <c r="B8548" s="6">
        <v>393.75</v>
      </c>
      <c r="C8548" s="6">
        <v>20.478950000000001</v>
      </c>
      <c r="D8548" s="6">
        <v>57</v>
      </c>
      <c r="E8548" s="6">
        <v>0</v>
      </c>
      <c r="F8548" s="6">
        <v>0</v>
      </c>
      <c r="G8548" s="6">
        <v>8</v>
      </c>
      <c r="H8548" s="6" t="s">
        <v>42734</v>
      </c>
      <c r="I8548" s="6">
        <v>526.6875</v>
      </c>
      <c r="J8548" s="2">
        <f t="shared" si="133"/>
        <v>43749.094787164351</v>
      </c>
    </row>
    <row r="8549" spans="1:10" x14ac:dyDescent="0.25">
      <c r="A8549" s="7" t="s">
        <v>42735</v>
      </c>
      <c r="B8549" s="8">
        <v>393.75</v>
      </c>
      <c r="C8549" s="8">
        <v>20.426300000000001</v>
      </c>
      <c r="D8549" s="8">
        <v>58</v>
      </c>
      <c r="E8549" s="8">
        <v>0</v>
      </c>
      <c r="F8549" s="8">
        <v>0</v>
      </c>
      <c r="G8549" s="8">
        <v>5</v>
      </c>
      <c r="H8549" s="8" t="s">
        <v>42736</v>
      </c>
      <c r="I8549" s="8">
        <v>526.6875</v>
      </c>
      <c r="J8549" s="3">
        <f t="shared" si="133"/>
        <v>43749.094870520836</v>
      </c>
    </row>
    <row r="8550" spans="1:10" x14ac:dyDescent="0.25">
      <c r="A8550" s="5" t="s">
        <v>42737</v>
      </c>
      <c r="B8550" s="6">
        <v>393.75</v>
      </c>
      <c r="C8550" s="6">
        <v>20.478950000000001</v>
      </c>
      <c r="D8550" s="6">
        <v>57</v>
      </c>
      <c r="E8550" s="6">
        <v>0</v>
      </c>
      <c r="F8550" s="6">
        <v>0</v>
      </c>
      <c r="G8550" s="6">
        <v>4</v>
      </c>
      <c r="H8550" s="6" t="s">
        <v>42738</v>
      </c>
      <c r="I8550" s="6">
        <v>526.6875</v>
      </c>
      <c r="J8550" s="2">
        <f t="shared" si="133"/>
        <v>43749.094953969907</v>
      </c>
    </row>
    <row r="8551" spans="1:10" x14ac:dyDescent="0.25">
      <c r="A8551" s="7" t="s">
        <v>42739</v>
      </c>
      <c r="B8551" s="8">
        <v>393.75</v>
      </c>
      <c r="C8551" s="8">
        <v>20.478950000000001</v>
      </c>
      <c r="D8551" s="8">
        <v>59</v>
      </c>
      <c r="E8551" s="8">
        <v>0</v>
      </c>
      <c r="F8551" s="8">
        <v>0</v>
      </c>
      <c r="G8551" s="8">
        <v>0</v>
      </c>
      <c r="H8551" s="8" t="s">
        <v>42740</v>
      </c>
      <c r="I8551" s="8">
        <v>526.6875</v>
      </c>
      <c r="J8551" s="3">
        <f t="shared" si="133"/>
        <v>43749.095037372681</v>
      </c>
    </row>
    <row r="8552" spans="1:10" x14ac:dyDescent="0.25">
      <c r="A8552" s="5" t="s">
        <v>42741</v>
      </c>
      <c r="B8552" s="6">
        <v>393.75</v>
      </c>
      <c r="C8552" s="6">
        <v>20.426300000000001</v>
      </c>
      <c r="D8552" s="6">
        <v>59</v>
      </c>
      <c r="E8552" s="6">
        <v>0</v>
      </c>
      <c r="F8552" s="6">
        <v>0</v>
      </c>
      <c r="G8552" s="6">
        <v>12</v>
      </c>
      <c r="H8552" s="6" t="s">
        <v>42742</v>
      </c>
      <c r="I8552" s="6">
        <v>526.6875</v>
      </c>
      <c r="J8552" s="2">
        <f t="shared" si="133"/>
        <v>43749.095125949076</v>
      </c>
    </row>
    <row r="8553" spans="1:10" x14ac:dyDescent="0.25">
      <c r="A8553" s="7" t="s">
        <v>42743</v>
      </c>
      <c r="B8553" s="8">
        <v>393.75</v>
      </c>
      <c r="C8553" s="8">
        <v>20.478950000000001</v>
      </c>
      <c r="D8553" s="8">
        <v>58</v>
      </c>
      <c r="E8553" s="8">
        <v>0</v>
      </c>
      <c r="F8553" s="8">
        <v>0</v>
      </c>
      <c r="G8553" s="8">
        <v>7</v>
      </c>
      <c r="H8553" s="8" t="s">
        <v>42744</v>
      </c>
      <c r="I8553" s="8">
        <v>526.6875</v>
      </c>
      <c r="J8553" s="3">
        <f t="shared" si="133"/>
        <v>43749.095204432866</v>
      </c>
    </row>
    <row r="8554" spans="1:10" x14ac:dyDescent="0.25">
      <c r="A8554" s="5" t="s">
        <v>42745</v>
      </c>
      <c r="B8554" s="6">
        <v>393.75</v>
      </c>
      <c r="C8554" s="6">
        <v>20.478950000000001</v>
      </c>
      <c r="D8554" s="6">
        <v>60</v>
      </c>
      <c r="E8554" s="6">
        <v>0</v>
      </c>
      <c r="F8554" s="6">
        <v>0</v>
      </c>
      <c r="G8554" s="6">
        <v>12</v>
      </c>
      <c r="H8554" s="6" t="s">
        <v>42746</v>
      </c>
      <c r="I8554" s="6">
        <v>526.6875</v>
      </c>
      <c r="J8554" s="2">
        <f t="shared" si="133"/>
        <v>43749.095276354165</v>
      </c>
    </row>
    <row r="8555" spans="1:10" x14ac:dyDescent="0.25">
      <c r="A8555" s="7" t="s">
        <v>42747</v>
      </c>
      <c r="B8555" s="8">
        <v>393.75</v>
      </c>
      <c r="C8555" s="8">
        <v>20.478950000000001</v>
      </c>
      <c r="D8555" s="8">
        <v>56</v>
      </c>
      <c r="E8555" s="8">
        <v>0</v>
      </c>
      <c r="F8555" s="8">
        <v>0</v>
      </c>
      <c r="G8555" s="8">
        <v>6</v>
      </c>
      <c r="H8555" s="8" t="s">
        <v>42748</v>
      </c>
      <c r="I8555" s="8">
        <v>526.5</v>
      </c>
      <c r="J8555" s="3">
        <f t="shared" si="133"/>
        <v>43749.095359548613</v>
      </c>
    </row>
    <row r="8556" spans="1:10" x14ac:dyDescent="0.25">
      <c r="A8556" s="5" t="s">
        <v>42749</v>
      </c>
      <c r="B8556" s="6">
        <v>393.75</v>
      </c>
      <c r="C8556" s="6">
        <v>20.478950000000001</v>
      </c>
      <c r="D8556" s="6">
        <v>58</v>
      </c>
      <c r="E8556" s="6">
        <v>0</v>
      </c>
      <c r="F8556" s="6">
        <v>0</v>
      </c>
      <c r="G8556" s="6">
        <v>6</v>
      </c>
      <c r="H8556" s="6" t="s">
        <v>42750</v>
      </c>
      <c r="I8556" s="6">
        <v>526.6875</v>
      </c>
      <c r="J8556" s="2">
        <f t="shared" si="133"/>
        <v>43749.095431018512</v>
      </c>
    </row>
    <row r="8557" spans="1:10" x14ac:dyDescent="0.25">
      <c r="A8557" s="7" t="s">
        <v>42751</v>
      </c>
      <c r="B8557" s="8">
        <v>393.75</v>
      </c>
      <c r="C8557" s="8">
        <v>20.478950000000001</v>
      </c>
      <c r="D8557" s="8">
        <v>58</v>
      </c>
      <c r="E8557" s="8">
        <v>0</v>
      </c>
      <c r="F8557" s="8">
        <v>0</v>
      </c>
      <c r="G8557" s="8">
        <v>2</v>
      </c>
      <c r="H8557" s="8" t="s">
        <v>42752</v>
      </c>
      <c r="I8557" s="8">
        <v>526.6875</v>
      </c>
      <c r="J8557" s="3">
        <f t="shared" si="133"/>
        <v>43749.095502592587</v>
      </c>
    </row>
    <row r="8558" spans="1:10" x14ac:dyDescent="0.25">
      <c r="A8558" s="5" t="s">
        <v>42753</v>
      </c>
      <c r="B8558" s="6">
        <v>412.5</v>
      </c>
      <c r="C8558" s="6">
        <v>20.426300000000001</v>
      </c>
      <c r="D8558" s="6">
        <v>57</v>
      </c>
      <c r="E8558" s="6">
        <v>0</v>
      </c>
      <c r="F8558" s="6">
        <v>0</v>
      </c>
      <c r="G8558" s="6">
        <v>0</v>
      </c>
      <c r="H8558" s="6" t="s">
        <v>42754</v>
      </c>
      <c r="I8558" s="6">
        <v>532.125</v>
      </c>
      <c r="J8558" s="2">
        <f t="shared" si="133"/>
        <v>43749.095585972223</v>
      </c>
    </row>
    <row r="8559" spans="1:10" x14ac:dyDescent="0.25">
      <c r="A8559" s="7" t="s">
        <v>42755</v>
      </c>
      <c r="B8559" s="8">
        <v>393.75</v>
      </c>
      <c r="C8559" s="8">
        <v>20.478950000000001</v>
      </c>
      <c r="D8559" s="8">
        <v>58</v>
      </c>
      <c r="E8559" s="8">
        <v>0</v>
      </c>
      <c r="F8559" s="8">
        <v>0</v>
      </c>
      <c r="G8559" s="8">
        <v>6</v>
      </c>
      <c r="H8559" s="8" t="s">
        <v>42756</v>
      </c>
      <c r="I8559" s="8">
        <v>526.6875</v>
      </c>
      <c r="J8559" s="3">
        <f t="shared" si="133"/>
        <v>43749.09566939815</v>
      </c>
    </row>
    <row r="8560" spans="1:10" x14ac:dyDescent="0.25">
      <c r="A8560" s="5" t="s">
        <v>42757</v>
      </c>
      <c r="B8560" s="6">
        <v>393.75</v>
      </c>
      <c r="C8560" s="6">
        <v>20.478950000000001</v>
      </c>
      <c r="D8560" s="6">
        <v>58</v>
      </c>
      <c r="E8560" s="6">
        <v>0</v>
      </c>
      <c r="F8560" s="6">
        <v>0</v>
      </c>
      <c r="G8560" s="6">
        <v>9</v>
      </c>
      <c r="H8560" s="6" t="s">
        <v>42758</v>
      </c>
      <c r="I8560" s="6">
        <v>526.6875</v>
      </c>
      <c r="J8560" s="2">
        <f t="shared" si="133"/>
        <v>43749.095752569447</v>
      </c>
    </row>
    <row r="8561" spans="1:10" x14ac:dyDescent="0.25">
      <c r="A8561" s="7" t="s">
        <v>42759</v>
      </c>
      <c r="B8561" s="8">
        <v>393.75</v>
      </c>
      <c r="C8561" s="8">
        <v>20.478950000000001</v>
      </c>
      <c r="D8561" s="8">
        <v>58</v>
      </c>
      <c r="E8561" s="8">
        <v>0</v>
      </c>
      <c r="F8561" s="8">
        <v>0</v>
      </c>
      <c r="G8561" s="8">
        <v>12</v>
      </c>
      <c r="H8561" s="8" t="s">
        <v>42760</v>
      </c>
      <c r="I8561" s="8">
        <v>526.6875</v>
      </c>
      <c r="J8561" s="3">
        <f t="shared" si="133"/>
        <v>43749.095824594908</v>
      </c>
    </row>
    <row r="8562" spans="1:10" x14ac:dyDescent="0.25">
      <c r="A8562" s="5" t="s">
        <v>42761</v>
      </c>
      <c r="B8562" s="6">
        <v>393.75</v>
      </c>
      <c r="C8562" s="6">
        <v>20.478950000000001</v>
      </c>
      <c r="D8562" s="6">
        <v>59</v>
      </c>
      <c r="E8562" s="6">
        <v>0</v>
      </c>
      <c r="F8562" s="6">
        <v>0</v>
      </c>
      <c r="G8562" s="6">
        <v>14</v>
      </c>
      <c r="H8562" s="6" t="s">
        <v>42762</v>
      </c>
      <c r="I8562" s="6">
        <v>526.6875</v>
      </c>
      <c r="J8562" s="2">
        <f t="shared" si="133"/>
        <v>43749.095915972219</v>
      </c>
    </row>
    <row r="8563" spans="1:10" x14ac:dyDescent="0.25">
      <c r="A8563" s="7" t="s">
        <v>42763</v>
      </c>
      <c r="B8563" s="8">
        <v>393.75</v>
      </c>
      <c r="C8563" s="8">
        <v>20.478950000000001</v>
      </c>
      <c r="D8563" s="8">
        <v>58</v>
      </c>
      <c r="E8563" s="8">
        <v>0</v>
      </c>
      <c r="F8563" s="8">
        <v>0</v>
      </c>
      <c r="G8563" s="8">
        <v>17</v>
      </c>
      <c r="H8563" s="8" t="s">
        <v>42764</v>
      </c>
      <c r="I8563" s="8">
        <v>526.5</v>
      </c>
      <c r="J8563" s="3">
        <f t="shared" si="133"/>
        <v>43749.095991469905</v>
      </c>
    </row>
    <row r="8564" spans="1:10" x14ac:dyDescent="0.25">
      <c r="A8564" s="5" t="s">
        <v>42765</v>
      </c>
      <c r="B8564" s="6">
        <v>393.75</v>
      </c>
      <c r="C8564" s="6">
        <v>20.478950000000001</v>
      </c>
      <c r="D8564" s="6">
        <v>59</v>
      </c>
      <c r="E8564" s="6">
        <v>0</v>
      </c>
      <c r="F8564" s="6">
        <v>0</v>
      </c>
      <c r="G8564" s="6">
        <v>5</v>
      </c>
      <c r="H8564" s="6" t="s">
        <v>42766</v>
      </c>
      <c r="I8564" s="6">
        <v>526.6875</v>
      </c>
      <c r="J8564" s="2">
        <f t="shared" si="133"/>
        <v>43749.096062997683</v>
      </c>
    </row>
    <row r="8565" spans="1:10" x14ac:dyDescent="0.25">
      <c r="A8565" s="7" t="s">
        <v>42767</v>
      </c>
      <c r="B8565" s="8">
        <v>393.75</v>
      </c>
      <c r="C8565" s="8">
        <v>20.478950000000001</v>
      </c>
      <c r="D8565" s="8">
        <v>59</v>
      </c>
      <c r="E8565" s="8">
        <v>0</v>
      </c>
      <c r="F8565" s="8">
        <v>0</v>
      </c>
      <c r="G8565" s="8">
        <v>3</v>
      </c>
      <c r="H8565" s="8" t="s">
        <v>42768</v>
      </c>
      <c r="I8565" s="8">
        <v>526.6875</v>
      </c>
      <c r="J8565" s="3">
        <f t="shared" si="133"/>
        <v>43749.096146388889</v>
      </c>
    </row>
    <row r="8566" spans="1:10" x14ac:dyDescent="0.25">
      <c r="A8566" s="5" t="s">
        <v>42769</v>
      </c>
      <c r="B8566" s="6">
        <v>412.5</v>
      </c>
      <c r="C8566" s="6">
        <v>20.478950000000001</v>
      </c>
      <c r="D8566" s="6">
        <v>59</v>
      </c>
      <c r="E8566" s="6">
        <v>0</v>
      </c>
      <c r="F8566" s="6">
        <v>0</v>
      </c>
      <c r="G8566" s="6">
        <v>12</v>
      </c>
      <c r="H8566" s="6" t="s">
        <v>42770</v>
      </c>
      <c r="I8566" s="6">
        <v>532.3125</v>
      </c>
      <c r="J8566" s="2">
        <f t="shared" si="133"/>
        <v>43749.096217951388</v>
      </c>
    </row>
    <row r="8567" spans="1:10" x14ac:dyDescent="0.25">
      <c r="A8567" s="7" t="s">
        <v>42771</v>
      </c>
      <c r="B8567" s="8">
        <v>393.75</v>
      </c>
      <c r="C8567" s="8">
        <v>20.478950000000001</v>
      </c>
      <c r="D8567" s="8">
        <v>59</v>
      </c>
      <c r="E8567" s="8">
        <v>0</v>
      </c>
      <c r="F8567" s="8">
        <v>0</v>
      </c>
      <c r="G8567" s="8">
        <v>12</v>
      </c>
      <c r="H8567" s="8" t="s">
        <v>42772</v>
      </c>
      <c r="I8567" s="8">
        <v>526.6875</v>
      </c>
      <c r="J8567" s="3">
        <f t="shared" si="133"/>
        <v>43749.09628961805</v>
      </c>
    </row>
    <row r="8568" spans="1:10" x14ac:dyDescent="0.25">
      <c r="A8568" s="5" t="s">
        <v>42773</v>
      </c>
      <c r="B8568" s="6">
        <v>393.75</v>
      </c>
      <c r="C8568" s="6">
        <v>20.426300000000001</v>
      </c>
      <c r="D8568" s="6">
        <v>59</v>
      </c>
      <c r="E8568" s="6">
        <v>0</v>
      </c>
      <c r="F8568" s="6">
        <v>0</v>
      </c>
      <c r="G8568" s="6">
        <v>7</v>
      </c>
      <c r="H8568" s="6" t="s">
        <v>42774</v>
      </c>
      <c r="I8568" s="6">
        <v>526.6875</v>
      </c>
      <c r="J8568" s="2">
        <f t="shared" si="133"/>
        <v>43749.096373125001</v>
      </c>
    </row>
    <row r="8569" spans="1:10" x14ac:dyDescent="0.25">
      <c r="A8569" s="7" t="s">
        <v>42775</v>
      </c>
      <c r="B8569" s="8">
        <v>393.75</v>
      </c>
      <c r="C8569" s="8">
        <v>20.478950000000001</v>
      </c>
      <c r="D8569" s="8">
        <v>59</v>
      </c>
      <c r="E8569" s="8">
        <v>0</v>
      </c>
      <c r="F8569" s="8">
        <v>0</v>
      </c>
      <c r="G8569" s="8">
        <v>15</v>
      </c>
      <c r="H8569" s="8" t="s">
        <v>42776</v>
      </c>
      <c r="I8569" s="8">
        <v>526.6875</v>
      </c>
      <c r="J8569" s="3">
        <f t="shared" si="133"/>
        <v>43749.096456296298</v>
      </c>
    </row>
    <row r="8570" spans="1:10" x14ac:dyDescent="0.25">
      <c r="A8570" s="5" t="s">
        <v>42777</v>
      </c>
      <c r="B8570" s="6">
        <v>393.75</v>
      </c>
      <c r="C8570" s="6">
        <v>20.478950000000001</v>
      </c>
      <c r="D8570" s="6">
        <v>59</v>
      </c>
      <c r="E8570" s="6">
        <v>0</v>
      </c>
      <c r="F8570" s="6">
        <v>0</v>
      </c>
      <c r="G8570" s="6">
        <v>11</v>
      </c>
      <c r="H8570" s="6" t="s">
        <v>42778</v>
      </c>
      <c r="I8570" s="6">
        <v>526.6875</v>
      </c>
      <c r="J8570" s="2">
        <f t="shared" si="133"/>
        <v>43749.096540532402</v>
      </c>
    </row>
    <row r="8571" spans="1:10" x14ac:dyDescent="0.25">
      <c r="A8571" s="7" t="s">
        <v>42779</v>
      </c>
      <c r="B8571" s="8">
        <v>393.75</v>
      </c>
      <c r="C8571" s="8">
        <v>20.426300000000001</v>
      </c>
      <c r="D8571" s="8">
        <v>59</v>
      </c>
      <c r="E8571" s="8">
        <v>0</v>
      </c>
      <c r="F8571" s="8">
        <v>0</v>
      </c>
      <c r="G8571" s="8">
        <v>13</v>
      </c>
      <c r="H8571" s="8" t="s">
        <v>42780</v>
      </c>
      <c r="I8571" s="8">
        <v>526.5</v>
      </c>
      <c r="J8571" s="3">
        <f t="shared" si="133"/>
        <v>43749.096611516201</v>
      </c>
    </row>
    <row r="8572" spans="1:10" x14ac:dyDescent="0.25">
      <c r="A8572" s="5" t="s">
        <v>42781</v>
      </c>
      <c r="B8572" s="6">
        <v>412.5</v>
      </c>
      <c r="C8572" s="6">
        <v>20.478950000000001</v>
      </c>
      <c r="D8572" s="6">
        <v>59</v>
      </c>
      <c r="E8572" s="6">
        <v>0</v>
      </c>
      <c r="F8572" s="6">
        <v>0</v>
      </c>
      <c r="G8572" s="6">
        <v>10</v>
      </c>
      <c r="H8572" s="6" t="s">
        <v>42782</v>
      </c>
      <c r="I8572" s="6">
        <v>532.6875</v>
      </c>
      <c r="J8572" s="2">
        <f t="shared" si="133"/>
        <v>43749.09668328704</v>
      </c>
    </row>
    <row r="8573" spans="1:10" x14ac:dyDescent="0.25">
      <c r="A8573" s="7" t="s">
        <v>42783</v>
      </c>
      <c r="B8573" s="8">
        <v>393.75</v>
      </c>
      <c r="C8573" s="8">
        <v>20.478950000000001</v>
      </c>
      <c r="D8573" s="8">
        <v>59</v>
      </c>
      <c r="E8573" s="8">
        <v>0</v>
      </c>
      <c r="F8573" s="8">
        <v>0</v>
      </c>
      <c r="G8573" s="8">
        <v>3</v>
      </c>
      <c r="H8573" s="8" t="s">
        <v>42784</v>
      </c>
      <c r="I8573" s="8">
        <v>526.6875</v>
      </c>
      <c r="J8573" s="3">
        <f t="shared" si="133"/>
        <v>43749.096766516202</v>
      </c>
    </row>
    <row r="8574" spans="1:10" x14ac:dyDescent="0.25">
      <c r="A8574" s="5" t="s">
        <v>42785</v>
      </c>
      <c r="B8574" s="6">
        <v>393.75</v>
      </c>
      <c r="C8574" s="6">
        <v>20.478950000000001</v>
      </c>
      <c r="D8574" s="6">
        <v>59</v>
      </c>
      <c r="E8574" s="6">
        <v>0</v>
      </c>
      <c r="F8574" s="6">
        <v>0</v>
      </c>
      <c r="G8574" s="6">
        <v>2</v>
      </c>
      <c r="H8574" s="6" t="s">
        <v>42786</v>
      </c>
      <c r="I8574" s="6">
        <v>526.6875</v>
      </c>
      <c r="J8574" s="2">
        <f t="shared" si="133"/>
        <v>43749.096837743054</v>
      </c>
    </row>
    <row r="8575" spans="1:10" x14ac:dyDescent="0.25">
      <c r="A8575" s="7" t="s">
        <v>42787</v>
      </c>
      <c r="B8575" s="8">
        <v>393.75</v>
      </c>
      <c r="C8575" s="8">
        <v>20.478950000000001</v>
      </c>
      <c r="D8575" s="8">
        <v>58</v>
      </c>
      <c r="E8575" s="8">
        <v>0</v>
      </c>
      <c r="F8575" s="8">
        <v>0</v>
      </c>
      <c r="G8575" s="8">
        <v>5</v>
      </c>
      <c r="H8575" s="8" t="s">
        <v>42788</v>
      </c>
      <c r="I8575" s="8">
        <v>526.6875</v>
      </c>
      <c r="J8575" s="3">
        <f t="shared" si="133"/>
        <v>43749.096921759257</v>
      </c>
    </row>
    <row r="8576" spans="1:10" x14ac:dyDescent="0.25">
      <c r="A8576" s="5" t="s">
        <v>42789</v>
      </c>
      <c r="B8576" s="6">
        <v>393.75</v>
      </c>
      <c r="C8576" s="6">
        <v>20.478950000000001</v>
      </c>
      <c r="D8576" s="6">
        <v>57</v>
      </c>
      <c r="E8576" s="6">
        <v>0</v>
      </c>
      <c r="F8576" s="6">
        <v>0</v>
      </c>
      <c r="G8576" s="6">
        <v>10</v>
      </c>
      <c r="H8576" s="6" t="s">
        <v>42790</v>
      </c>
      <c r="I8576" s="6">
        <v>526.6875</v>
      </c>
      <c r="J8576" s="2">
        <f t="shared" si="133"/>
        <v>43749.097005231481</v>
      </c>
    </row>
    <row r="8577" spans="1:10" x14ac:dyDescent="0.25">
      <c r="A8577" s="7" t="s">
        <v>42791</v>
      </c>
      <c r="B8577" s="8">
        <v>393.75</v>
      </c>
      <c r="C8577" s="8">
        <v>20.478950000000001</v>
      </c>
      <c r="D8577" s="8">
        <v>57</v>
      </c>
      <c r="E8577" s="8">
        <v>0</v>
      </c>
      <c r="F8577" s="8">
        <v>0</v>
      </c>
      <c r="G8577" s="8">
        <v>6</v>
      </c>
      <c r="H8577" s="8" t="s">
        <v>42792</v>
      </c>
      <c r="I8577" s="8">
        <v>526.5</v>
      </c>
      <c r="J8577" s="3">
        <f t="shared" si="133"/>
        <v>43749.097076655089</v>
      </c>
    </row>
    <row r="8578" spans="1:10" x14ac:dyDescent="0.25">
      <c r="A8578" s="5" t="s">
        <v>42793</v>
      </c>
      <c r="B8578" s="6">
        <v>412.5</v>
      </c>
      <c r="C8578" s="6">
        <v>20.478950000000001</v>
      </c>
      <c r="D8578" s="6">
        <v>58</v>
      </c>
      <c r="E8578" s="6">
        <v>0</v>
      </c>
      <c r="F8578" s="6">
        <v>0</v>
      </c>
      <c r="G8578" s="6">
        <v>8</v>
      </c>
      <c r="H8578" s="6" t="s">
        <v>42794</v>
      </c>
      <c r="I8578" s="6">
        <v>532.3125</v>
      </c>
      <c r="J8578" s="2">
        <f t="shared" ref="J8578:J8641" si="134">(H8578/86400000)+25569+(7/24)</f>
        <v>43749.09715991898</v>
      </c>
    </row>
    <row r="8579" spans="1:10" x14ac:dyDescent="0.25">
      <c r="A8579" s="7" t="s">
        <v>42795</v>
      </c>
      <c r="B8579" s="8">
        <v>393.75</v>
      </c>
      <c r="C8579" s="8">
        <v>20.478950000000001</v>
      </c>
      <c r="D8579" s="8">
        <v>59</v>
      </c>
      <c r="E8579" s="8">
        <v>0</v>
      </c>
      <c r="F8579" s="8">
        <v>0</v>
      </c>
      <c r="G8579" s="8">
        <v>4</v>
      </c>
      <c r="H8579" s="8" t="s">
        <v>42796</v>
      </c>
      <c r="I8579" s="8">
        <v>526.6875</v>
      </c>
      <c r="J8579" s="3">
        <f t="shared" si="134"/>
        <v>43749.097231782405</v>
      </c>
    </row>
    <row r="8580" spans="1:10" x14ac:dyDescent="0.25">
      <c r="A8580" s="5" t="s">
        <v>42797</v>
      </c>
      <c r="B8580" s="6">
        <v>393.75</v>
      </c>
      <c r="C8580" s="6">
        <v>20.478950000000001</v>
      </c>
      <c r="D8580" s="6">
        <v>59</v>
      </c>
      <c r="E8580" s="6">
        <v>0</v>
      </c>
      <c r="F8580" s="6">
        <v>0</v>
      </c>
      <c r="G8580" s="6">
        <v>0</v>
      </c>
      <c r="H8580" s="6" t="s">
        <v>42798</v>
      </c>
      <c r="I8580" s="6">
        <v>526.6875</v>
      </c>
      <c r="J8580" s="2">
        <f t="shared" si="134"/>
        <v>43749.097315104162</v>
      </c>
    </row>
    <row r="8581" spans="1:10" x14ac:dyDescent="0.25">
      <c r="A8581" s="7" t="s">
        <v>42799</v>
      </c>
      <c r="B8581" s="8">
        <v>393.75</v>
      </c>
      <c r="C8581" s="8">
        <v>20.478950000000001</v>
      </c>
      <c r="D8581" s="8">
        <v>63</v>
      </c>
      <c r="E8581" s="8">
        <v>0</v>
      </c>
      <c r="F8581" s="8">
        <v>0</v>
      </c>
      <c r="G8581" s="8">
        <v>2</v>
      </c>
      <c r="H8581" s="8" t="s">
        <v>42800</v>
      </c>
      <c r="I8581" s="8">
        <v>526.6875</v>
      </c>
      <c r="J8581" s="3">
        <f t="shared" si="134"/>
        <v>43749.09738673611</v>
      </c>
    </row>
    <row r="8582" spans="1:10" x14ac:dyDescent="0.25">
      <c r="A8582" s="5" t="s">
        <v>42801</v>
      </c>
      <c r="B8582" s="6">
        <v>393.75</v>
      </c>
      <c r="C8582" s="6">
        <v>20.478950000000001</v>
      </c>
      <c r="D8582" s="6">
        <v>63</v>
      </c>
      <c r="E8582" s="6">
        <v>0</v>
      </c>
      <c r="F8582" s="6">
        <v>0</v>
      </c>
      <c r="G8582" s="6">
        <v>0</v>
      </c>
      <c r="H8582" s="6" t="s">
        <v>42802</v>
      </c>
      <c r="I8582" s="6">
        <v>526.6875</v>
      </c>
      <c r="J8582" s="2">
        <f t="shared" si="134"/>
        <v>43749.097458263888</v>
      </c>
    </row>
    <row r="8583" spans="1:10" x14ac:dyDescent="0.25">
      <c r="A8583" s="7" t="s">
        <v>42803</v>
      </c>
      <c r="B8583" s="8">
        <v>393.75</v>
      </c>
      <c r="C8583" s="8">
        <v>20.478950000000001</v>
      </c>
      <c r="D8583" s="8">
        <v>62</v>
      </c>
      <c r="E8583" s="8">
        <v>0</v>
      </c>
      <c r="F8583" s="8">
        <v>0</v>
      </c>
      <c r="G8583" s="8">
        <v>2</v>
      </c>
      <c r="H8583" s="8" t="s">
        <v>42804</v>
      </c>
      <c r="I8583" s="8">
        <v>526.5</v>
      </c>
      <c r="J8583" s="3">
        <f t="shared" si="134"/>
        <v>43749.097541585645</v>
      </c>
    </row>
    <row r="8584" spans="1:10" x14ac:dyDescent="0.25">
      <c r="A8584" s="5" t="s">
        <v>42805</v>
      </c>
      <c r="B8584" s="6">
        <v>418.75</v>
      </c>
      <c r="C8584" s="6">
        <v>20.478950000000001</v>
      </c>
      <c r="D8584" s="6">
        <v>62</v>
      </c>
      <c r="E8584" s="6">
        <v>0</v>
      </c>
      <c r="F8584" s="6">
        <v>0</v>
      </c>
      <c r="G8584" s="6">
        <v>11</v>
      </c>
      <c r="H8584" s="6" t="s">
        <v>42806</v>
      </c>
      <c r="I8584" s="6">
        <v>534.1875</v>
      </c>
      <c r="J8584" s="2">
        <f t="shared" si="134"/>
        <v>43749.097613310187</v>
      </c>
    </row>
    <row r="8585" spans="1:10" x14ac:dyDescent="0.25">
      <c r="A8585" s="7" t="s">
        <v>42807</v>
      </c>
      <c r="B8585" s="8">
        <v>393.75</v>
      </c>
      <c r="C8585" s="8">
        <v>20.478950000000001</v>
      </c>
      <c r="D8585" s="8">
        <v>64</v>
      </c>
      <c r="E8585" s="8">
        <v>0</v>
      </c>
      <c r="F8585" s="8">
        <v>0</v>
      </c>
      <c r="G8585" s="8">
        <v>12</v>
      </c>
      <c r="H8585" s="8" t="s">
        <v>42808</v>
      </c>
      <c r="I8585" s="8">
        <v>526.6875</v>
      </c>
      <c r="J8585" s="3">
        <f t="shared" si="134"/>
        <v>43749.097708842593</v>
      </c>
    </row>
    <row r="8586" spans="1:10" x14ac:dyDescent="0.25">
      <c r="A8586" s="5" t="s">
        <v>42809</v>
      </c>
      <c r="B8586" s="6">
        <v>393.75</v>
      </c>
      <c r="C8586" s="6">
        <v>20.426300000000001</v>
      </c>
      <c r="D8586" s="6">
        <v>64</v>
      </c>
      <c r="E8586" s="6">
        <v>0</v>
      </c>
      <c r="F8586" s="6">
        <v>0</v>
      </c>
      <c r="G8586" s="6">
        <v>1</v>
      </c>
      <c r="H8586" s="6" t="s">
        <v>42810</v>
      </c>
      <c r="I8586" s="6">
        <v>526.5</v>
      </c>
      <c r="J8586" s="2">
        <f t="shared" si="134"/>
        <v>43749.09778019676</v>
      </c>
    </row>
    <row r="8587" spans="1:10" x14ac:dyDescent="0.25">
      <c r="A8587" s="7" t="s">
        <v>42811</v>
      </c>
      <c r="B8587" s="8">
        <v>393.75</v>
      </c>
      <c r="C8587" s="8">
        <v>20.478950000000001</v>
      </c>
      <c r="D8587" s="8">
        <v>63</v>
      </c>
      <c r="E8587" s="8">
        <v>0</v>
      </c>
      <c r="F8587" s="8">
        <v>0</v>
      </c>
      <c r="G8587" s="8">
        <v>0</v>
      </c>
      <c r="H8587" s="8" t="s">
        <v>42812</v>
      </c>
      <c r="I8587" s="8">
        <v>526.5</v>
      </c>
      <c r="J8587" s="3">
        <f t="shared" si="134"/>
        <v>43749.097863680552</v>
      </c>
    </row>
    <row r="8588" spans="1:10" x14ac:dyDescent="0.25">
      <c r="A8588" s="5" t="s">
        <v>42813</v>
      </c>
      <c r="B8588" s="6">
        <v>393.75</v>
      </c>
      <c r="C8588" s="6">
        <v>20.478950000000001</v>
      </c>
      <c r="D8588" s="6">
        <v>63</v>
      </c>
      <c r="E8588" s="6">
        <v>0</v>
      </c>
      <c r="F8588" s="6">
        <v>0</v>
      </c>
      <c r="G8588" s="6">
        <v>6</v>
      </c>
      <c r="H8588" s="6" t="s">
        <v>42814</v>
      </c>
      <c r="I8588" s="6">
        <v>526.6875</v>
      </c>
      <c r="J8588" s="2">
        <f t="shared" si="134"/>
        <v>43749.097935289348</v>
      </c>
    </row>
    <row r="8589" spans="1:10" x14ac:dyDescent="0.25">
      <c r="A8589" s="7" t="s">
        <v>42815</v>
      </c>
      <c r="B8589" s="8">
        <v>393.75</v>
      </c>
      <c r="C8589" s="8">
        <v>20.478950000000001</v>
      </c>
      <c r="D8589" s="8">
        <v>62</v>
      </c>
      <c r="E8589" s="8">
        <v>0</v>
      </c>
      <c r="F8589" s="8">
        <v>0</v>
      </c>
      <c r="G8589" s="8">
        <v>14</v>
      </c>
      <c r="H8589" s="8" t="s">
        <v>42816</v>
      </c>
      <c r="I8589" s="8">
        <v>526.6875</v>
      </c>
      <c r="J8589" s="3">
        <f t="shared" si="134"/>
        <v>43749.09801869213</v>
      </c>
    </row>
    <row r="8590" spans="1:10" x14ac:dyDescent="0.25">
      <c r="A8590" s="5" t="s">
        <v>42817</v>
      </c>
      <c r="B8590" s="6">
        <v>393.75</v>
      </c>
      <c r="C8590" s="6">
        <v>20.478950000000001</v>
      </c>
      <c r="D8590" s="6">
        <v>59</v>
      </c>
      <c r="E8590" s="6">
        <v>0</v>
      </c>
      <c r="F8590" s="6">
        <v>0</v>
      </c>
      <c r="G8590" s="6">
        <v>9</v>
      </c>
      <c r="H8590" s="6" t="s">
        <v>42818</v>
      </c>
      <c r="I8590" s="6">
        <v>526.6875</v>
      </c>
      <c r="J8590" s="2">
        <f t="shared" si="134"/>
        <v>43749.098102245371</v>
      </c>
    </row>
    <row r="8591" spans="1:10" x14ac:dyDescent="0.25">
      <c r="A8591" s="7" t="s">
        <v>42819</v>
      </c>
      <c r="B8591" s="8">
        <v>393.75</v>
      </c>
      <c r="C8591" s="8">
        <v>20.478950000000001</v>
      </c>
      <c r="D8591" s="8">
        <v>60</v>
      </c>
      <c r="E8591" s="8">
        <v>0</v>
      </c>
      <c r="F8591" s="8">
        <v>0</v>
      </c>
      <c r="G8591" s="8">
        <v>0</v>
      </c>
      <c r="H8591" s="8" t="s">
        <v>42820</v>
      </c>
      <c r="I8591" s="8">
        <v>526.6875</v>
      </c>
      <c r="J8591" s="3">
        <f t="shared" si="134"/>
        <v>43749.098185891206</v>
      </c>
    </row>
    <row r="8592" spans="1:10" x14ac:dyDescent="0.25">
      <c r="A8592" s="5" t="s">
        <v>42821</v>
      </c>
      <c r="B8592" s="6">
        <v>393.75</v>
      </c>
      <c r="C8592" s="6">
        <v>20.478950000000001</v>
      </c>
      <c r="D8592" s="6">
        <v>60</v>
      </c>
      <c r="E8592" s="6">
        <v>0</v>
      </c>
      <c r="F8592" s="6">
        <v>0</v>
      </c>
      <c r="G8592" s="6">
        <v>0</v>
      </c>
      <c r="H8592" s="6" t="s">
        <v>42822</v>
      </c>
      <c r="I8592" s="6">
        <v>526.5</v>
      </c>
      <c r="J8592" s="2">
        <f t="shared" si="134"/>
        <v>43749.098269212962</v>
      </c>
    </row>
    <row r="8593" spans="1:10" x14ac:dyDescent="0.25">
      <c r="A8593" s="7" t="s">
        <v>42823</v>
      </c>
      <c r="B8593" s="8">
        <v>393.75</v>
      </c>
      <c r="C8593" s="8">
        <v>20.478950000000001</v>
      </c>
      <c r="D8593" s="8">
        <v>60</v>
      </c>
      <c r="E8593" s="8">
        <v>0</v>
      </c>
      <c r="F8593" s="8">
        <v>0</v>
      </c>
      <c r="G8593" s="8">
        <v>3</v>
      </c>
      <c r="H8593" s="8" t="s">
        <v>42824</v>
      </c>
      <c r="I8593" s="8">
        <v>526.5</v>
      </c>
      <c r="J8593" s="3">
        <f t="shared" si="134"/>
        <v>43749.09835252315</v>
      </c>
    </row>
    <row r="8594" spans="1:10" x14ac:dyDescent="0.25">
      <c r="A8594" s="5" t="s">
        <v>42825</v>
      </c>
      <c r="B8594" s="6">
        <v>421.875</v>
      </c>
      <c r="C8594" s="6">
        <v>20.478950000000001</v>
      </c>
      <c r="D8594" s="6">
        <v>61</v>
      </c>
      <c r="E8594" s="6">
        <v>0</v>
      </c>
      <c r="F8594" s="6">
        <v>0</v>
      </c>
      <c r="G8594" s="6">
        <v>9</v>
      </c>
      <c r="H8594" s="6" t="s">
        <v>42826</v>
      </c>
      <c r="I8594" s="6">
        <v>535.5</v>
      </c>
      <c r="J8594" s="2">
        <f t="shared" si="134"/>
        <v>43749.098436134256</v>
      </c>
    </row>
    <row r="8595" spans="1:10" x14ac:dyDescent="0.25">
      <c r="A8595" s="7" t="s">
        <v>42827</v>
      </c>
      <c r="B8595" s="8">
        <v>393.75</v>
      </c>
      <c r="C8595" s="8">
        <v>20.478950000000001</v>
      </c>
      <c r="D8595" s="8">
        <v>60</v>
      </c>
      <c r="E8595" s="8">
        <v>0</v>
      </c>
      <c r="F8595" s="8">
        <v>0</v>
      </c>
      <c r="G8595" s="8">
        <v>8</v>
      </c>
      <c r="H8595" s="8" t="s">
        <v>42828</v>
      </c>
      <c r="I8595" s="8">
        <v>526.6875</v>
      </c>
      <c r="J8595" s="3">
        <f t="shared" si="134"/>
        <v>43749.098519270832</v>
      </c>
    </row>
    <row r="8596" spans="1:10" x14ac:dyDescent="0.25">
      <c r="A8596" s="5" t="s">
        <v>42829</v>
      </c>
      <c r="B8596" s="6">
        <v>393.75</v>
      </c>
      <c r="C8596" s="6">
        <v>20.478950000000001</v>
      </c>
      <c r="D8596" s="6">
        <v>60</v>
      </c>
      <c r="E8596" s="6">
        <v>0</v>
      </c>
      <c r="F8596" s="6">
        <v>0</v>
      </c>
      <c r="G8596" s="6">
        <v>10</v>
      </c>
      <c r="H8596" s="6" t="s">
        <v>42830</v>
      </c>
      <c r="I8596" s="6">
        <v>526.6875</v>
      </c>
      <c r="J8596" s="2">
        <f t="shared" si="134"/>
        <v>43749.098591203699</v>
      </c>
    </row>
    <row r="8597" spans="1:10" x14ac:dyDescent="0.25">
      <c r="A8597" s="7" t="s">
        <v>42831</v>
      </c>
      <c r="B8597" s="8">
        <v>393.75</v>
      </c>
      <c r="C8597" s="8">
        <v>20.478950000000001</v>
      </c>
      <c r="D8597" s="8">
        <v>60</v>
      </c>
      <c r="E8597" s="8">
        <v>0</v>
      </c>
      <c r="F8597" s="8">
        <v>0</v>
      </c>
      <c r="G8597" s="8">
        <v>9</v>
      </c>
      <c r="H8597" s="8" t="s">
        <v>42832</v>
      </c>
      <c r="I8597" s="8">
        <v>526.6875</v>
      </c>
      <c r="J8597" s="3">
        <f t="shared" si="134"/>
        <v>43749.098674780085</v>
      </c>
    </row>
    <row r="8598" spans="1:10" x14ac:dyDescent="0.25">
      <c r="A8598" s="5" t="s">
        <v>42833</v>
      </c>
      <c r="B8598" s="6">
        <v>393.75</v>
      </c>
      <c r="C8598" s="6">
        <v>20.478950000000001</v>
      </c>
      <c r="D8598" s="6">
        <v>59</v>
      </c>
      <c r="E8598" s="6">
        <v>0</v>
      </c>
      <c r="F8598" s="6">
        <v>0</v>
      </c>
      <c r="G8598" s="6">
        <v>4</v>
      </c>
      <c r="H8598" s="6" t="s">
        <v>42834</v>
      </c>
      <c r="I8598" s="6">
        <v>526.6875</v>
      </c>
      <c r="J8598" s="2">
        <f t="shared" si="134"/>
        <v>43749.098758125001</v>
      </c>
    </row>
    <row r="8599" spans="1:10" x14ac:dyDescent="0.25">
      <c r="A8599" s="7" t="s">
        <v>42835</v>
      </c>
      <c r="B8599" s="8">
        <v>393.75</v>
      </c>
      <c r="C8599" s="8">
        <v>20.478950000000001</v>
      </c>
      <c r="D8599" s="8">
        <v>59</v>
      </c>
      <c r="E8599" s="8">
        <v>0</v>
      </c>
      <c r="F8599" s="8">
        <v>0</v>
      </c>
      <c r="G8599" s="8">
        <v>9</v>
      </c>
      <c r="H8599" s="8" t="s">
        <v>42836</v>
      </c>
      <c r="I8599" s="8">
        <v>526.6875</v>
      </c>
      <c r="J8599" s="3">
        <f t="shared" si="134"/>
        <v>43749.098829606482</v>
      </c>
    </row>
    <row r="8600" spans="1:10" x14ac:dyDescent="0.25">
      <c r="A8600" s="5" t="s">
        <v>42837</v>
      </c>
      <c r="B8600" s="6">
        <v>393.75</v>
      </c>
      <c r="C8600" s="6">
        <v>20.478950000000001</v>
      </c>
      <c r="D8600" s="6">
        <v>62</v>
      </c>
      <c r="E8600" s="6">
        <v>0</v>
      </c>
      <c r="F8600" s="6">
        <v>0</v>
      </c>
      <c r="G8600" s="6">
        <v>5</v>
      </c>
      <c r="H8600" s="6" t="s">
        <v>42838</v>
      </c>
      <c r="I8600" s="6">
        <v>526.6875</v>
      </c>
      <c r="J8600" s="2">
        <f t="shared" si="134"/>
        <v>43749.098901435187</v>
      </c>
    </row>
    <row r="8601" spans="1:10" x14ac:dyDescent="0.25">
      <c r="A8601" s="7" t="s">
        <v>42839</v>
      </c>
      <c r="B8601" s="8">
        <v>393.75</v>
      </c>
      <c r="C8601" s="8">
        <v>20.426300000000001</v>
      </c>
      <c r="D8601" s="8">
        <v>64</v>
      </c>
      <c r="E8601" s="8">
        <v>0</v>
      </c>
      <c r="F8601" s="8">
        <v>0</v>
      </c>
      <c r="G8601" s="8">
        <v>10</v>
      </c>
      <c r="H8601" s="8" t="s">
        <v>42840</v>
      </c>
      <c r="I8601" s="8">
        <v>526.6875</v>
      </c>
      <c r="J8601" s="3">
        <f t="shared" si="134"/>
        <v>43749.098972754626</v>
      </c>
    </row>
    <row r="8602" spans="1:10" x14ac:dyDescent="0.25">
      <c r="A8602" s="5" t="s">
        <v>42841</v>
      </c>
      <c r="B8602" s="6">
        <v>393.75</v>
      </c>
      <c r="C8602" s="6">
        <v>20.478950000000001</v>
      </c>
      <c r="D8602" s="6">
        <v>62</v>
      </c>
      <c r="E8602" s="6">
        <v>0</v>
      </c>
      <c r="F8602" s="6">
        <v>0</v>
      </c>
      <c r="G8602" s="6">
        <v>16</v>
      </c>
      <c r="H8602" s="6" t="s">
        <v>42842</v>
      </c>
      <c r="I8602" s="6">
        <v>526.6875</v>
      </c>
      <c r="J8602" s="2">
        <f t="shared" si="134"/>
        <v>43749.099056250001</v>
      </c>
    </row>
    <row r="8603" spans="1:10" x14ac:dyDescent="0.25">
      <c r="A8603" s="7" t="s">
        <v>42843</v>
      </c>
      <c r="B8603" s="8">
        <v>412.5</v>
      </c>
      <c r="C8603" s="8">
        <v>20.478950000000001</v>
      </c>
      <c r="D8603" s="8">
        <v>60</v>
      </c>
      <c r="E8603" s="8">
        <v>0</v>
      </c>
      <c r="F8603" s="8">
        <v>0</v>
      </c>
      <c r="G8603" s="8">
        <v>14</v>
      </c>
      <c r="H8603" s="8" t="s">
        <v>42844</v>
      </c>
      <c r="I8603" s="8">
        <v>532.5</v>
      </c>
      <c r="J8603" s="3">
        <f t="shared" si="134"/>
        <v>43749.099139803242</v>
      </c>
    </row>
    <row r="8604" spans="1:10" x14ac:dyDescent="0.25">
      <c r="A8604" s="5" t="s">
        <v>42845</v>
      </c>
      <c r="B8604" s="6">
        <v>393.75</v>
      </c>
      <c r="C8604" s="6">
        <v>20.478950000000001</v>
      </c>
      <c r="D8604" s="6">
        <v>60</v>
      </c>
      <c r="E8604" s="6">
        <v>0</v>
      </c>
      <c r="F8604" s="6">
        <v>0</v>
      </c>
      <c r="G8604" s="6">
        <v>12</v>
      </c>
      <c r="H8604" s="6" t="s">
        <v>42846</v>
      </c>
      <c r="I8604" s="6">
        <v>526.6875</v>
      </c>
      <c r="J8604" s="2">
        <f t="shared" si="134"/>
        <v>43749.09922290509</v>
      </c>
    </row>
    <row r="8605" spans="1:10" x14ac:dyDescent="0.25">
      <c r="A8605" s="7" t="s">
        <v>42847</v>
      </c>
      <c r="B8605" s="8">
        <v>393.75</v>
      </c>
      <c r="C8605" s="8">
        <v>20.478950000000001</v>
      </c>
      <c r="D8605" s="8">
        <v>64</v>
      </c>
      <c r="E8605" s="8">
        <v>0</v>
      </c>
      <c r="F8605" s="8">
        <v>0</v>
      </c>
      <c r="G8605" s="8">
        <v>6</v>
      </c>
      <c r="H8605" s="8" t="s">
        <v>42848</v>
      </c>
      <c r="I8605" s="8">
        <v>526.6875</v>
      </c>
      <c r="J8605" s="3">
        <f t="shared" si="134"/>
        <v>43749.099294849533</v>
      </c>
    </row>
    <row r="8606" spans="1:10" x14ac:dyDescent="0.25">
      <c r="A8606" s="5" t="s">
        <v>42849</v>
      </c>
      <c r="B8606" s="6">
        <v>393.75</v>
      </c>
      <c r="C8606" s="6">
        <v>20.478950000000001</v>
      </c>
      <c r="D8606" s="6">
        <v>64</v>
      </c>
      <c r="E8606" s="6">
        <v>0</v>
      </c>
      <c r="F8606" s="6">
        <v>0</v>
      </c>
      <c r="G8606" s="6">
        <v>17</v>
      </c>
      <c r="H8606" s="6" t="s">
        <v>42850</v>
      </c>
      <c r="I8606" s="6">
        <v>526.6875</v>
      </c>
      <c r="J8606" s="2">
        <f t="shared" si="134"/>
        <v>43749.099366423608</v>
      </c>
    </row>
    <row r="8607" spans="1:10" x14ac:dyDescent="0.25">
      <c r="A8607" s="7" t="s">
        <v>42851</v>
      </c>
      <c r="B8607" s="8">
        <v>393.75</v>
      </c>
      <c r="C8607" s="8">
        <v>20.426300000000001</v>
      </c>
      <c r="D8607" s="8">
        <v>64</v>
      </c>
      <c r="E8607" s="8">
        <v>0</v>
      </c>
      <c r="F8607" s="8">
        <v>0</v>
      </c>
      <c r="G8607" s="8">
        <v>12</v>
      </c>
      <c r="H8607" s="8" t="s">
        <v>42852</v>
      </c>
      <c r="I8607" s="8">
        <v>526.6875</v>
      </c>
      <c r="J8607" s="3">
        <f t="shared" si="134"/>
        <v>43749.099437719902</v>
      </c>
    </row>
    <row r="8608" spans="1:10" x14ac:dyDescent="0.25">
      <c r="A8608" s="5" t="s">
        <v>42853</v>
      </c>
      <c r="B8608" s="6">
        <v>393.75</v>
      </c>
      <c r="C8608" s="6">
        <v>20.478950000000001</v>
      </c>
      <c r="D8608" s="6">
        <v>63</v>
      </c>
      <c r="E8608" s="6">
        <v>0</v>
      </c>
      <c r="F8608" s="6">
        <v>0</v>
      </c>
      <c r="G8608" s="6">
        <v>0</v>
      </c>
      <c r="H8608" s="6" t="s">
        <v>42854</v>
      </c>
      <c r="I8608" s="6">
        <v>526.6875</v>
      </c>
      <c r="J8608" s="2">
        <f t="shared" si="134"/>
        <v>43749.099521412034</v>
      </c>
    </row>
    <row r="8609" spans="1:10" x14ac:dyDescent="0.25">
      <c r="A8609" s="7" t="s">
        <v>42855</v>
      </c>
      <c r="B8609" s="8">
        <v>393.75</v>
      </c>
      <c r="C8609" s="8">
        <v>20.478950000000001</v>
      </c>
      <c r="D8609" s="8">
        <v>63</v>
      </c>
      <c r="E8609" s="8">
        <v>0</v>
      </c>
      <c r="F8609" s="8">
        <v>0</v>
      </c>
      <c r="G8609" s="8">
        <v>4</v>
      </c>
      <c r="H8609" s="8" t="s">
        <v>42856</v>
      </c>
      <c r="I8609" s="8">
        <v>526.6875</v>
      </c>
      <c r="J8609" s="3">
        <f t="shared" si="134"/>
        <v>43749.099604502313</v>
      </c>
    </row>
    <row r="8610" spans="1:10" x14ac:dyDescent="0.25">
      <c r="A8610" s="5" t="s">
        <v>42857</v>
      </c>
      <c r="B8610" s="6">
        <v>393.75</v>
      </c>
      <c r="C8610" s="6">
        <v>20.478950000000001</v>
      </c>
      <c r="D8610" s="6">
        <v>63</v>
      </c>
      <c r="E8610" s="6">
        <v>0</v>
      </c>
      <c r="F8610" s="6">
        <v>0</v>
      </c>
      <c r="G8610" s="6">
        <v>7</v>
      </c>
      <c r="H8610" s="6" t="s">
        <v>42858</v>
      </c>
      <c r="I8610" s="6">
        <v>526.6875</v>
      </c>
      <c r="J8610" s="2">
        <f t="shared" si="134"/>
        <v>43749.09967614583</v>
      </c>
    </row>
    <row r="8611" spans="1:10" x14ac:dyDescent="0.25">
      <c r="A8611" s="7" t="s">
        <v>42859</v>
      </c>
      <c r="B8611" s="8">
        <v>393.75</v>
      </c>
      <c r="C8611" s="8">
        <v>20.426300000000001</v>
      </c>
      <c r="D8611" s="8">
        <v>62</v>
      </c>
      <c r="E8611" s="8">
        <v>0</v>
      </c>
      <c r="F8611" s="8">
        <v>0</v>
      </c>
      <c r="G8611" s="8">
        <v>7</v>
      </c>
      <c r="H8611" s="8" t="s">
        <v>42860</v>
      </c>
      <c r="I8611" s="8">
        <v>526.6875</v>
      </c>
      <c r="J8611" s="3">
        <f t="shared" si="134"/>
        <v>43749.0997599537</v>
      </c>
    </row>
    <row r="8612" spans="1:10" x14ac:dyDescent="0.25">
      <c r="A8612" s="5" t="s">
        <v>42861</v>
      </c>
      <c r="B8612" s="6">
        <v>393.75</v>
      </c>
      <c r="C8612" s="6">
        <v>20.478950000000001</v>
      </c>
      <c r="D8612" s="6">
        <v>62</v>
      </c>
      <c r="E8612" s="6">
        <v>0</v>
      </c>
      <c r="F8612" s="6">
        <v>0</v>
      </c>
      <c r="G8612" s="6">
        <v>13</v>
      </c>
      <c r="H8612" s="6" t="s">
        <v>42862</v>
      </c>
      <c r="I8612" s="6">
        <v>526.6875</v>
      </c>
      <c r="J8612" s="2">
        <f t="shared" si="134"/>
        <v>43749.099843460644</v>
      </c>
    </row>
    <row r="8613" spans="1:10" x14ac:dyDescent="0.25">
      <c r="A8613" s="7" t="s">
        <v>42863</v>
      </c>
      <c r="B8613" s="8">
        <v>393.75</v>
      </c>
      <c r="C8613" s="8">
        <v>20.478950000000001</v>
      </c>
      <c r="D8613" s="8">
        <v>60</v>
      </c>
      <c r="E8613" s="8">
        <v>0</v>
      </c>
      <c r="F8613" s="8">
        <v>0</v>
      </c>
      <c r="G8613" s="8">
        <v>0</v>
      </c>
      <c r="H8613" s="8" t="s">
        <v>42864</v>
      </c>
      <c r="I8613" s="8">
        <v>526.6875</v>
      </c>
      <c r="J8613" s="3">
        <f t="shared" si="134"/>
        <v>43749.099926620365</v>
      </c>
    </row>
    <row r="8614" spans="1:10" x14ac:dyDescent="0.25">
      <c r="A8614" s="5" t="s">
        <v>42865</v>
      </c>
      <c r="B8614" s="6">
        <v>412.5</v>
      </c>
      <c r="C8614" s="6">
        <v>20.478950000000001</v>
      </c>
      <c r="D8614" s="6">
        <v>59</v>
      </c>
      <c r="E8614" s="6">
        <v>0</v>
      </c>
      <c r="F8614" s="6">
        <v>0</v>
      </c>
      <c r="G8614" s="6">
        <v>11</v>
      </c>
      <c r="H8614" s="6" t="s">
        <v>42866</v>
      </c>
      <c r="I8614" s="6">
        <v>532.875</v>
      </c>
      <c r="J8614" s="2">
        <f t="shared" si="134"/>
        <v>43749.099998333331</v>
      </c>
    </row>
    <row r="8615" spans="1:10" x14ac:dyDescent="0.25">
      <c r="A8615" s="7" t="s">
        <v>42867</v>
      </c>
      <c r="B8615" s="8">
        <v>393.75</v>
      </c>
      <c r="C8615" s="8">
        <v>20.478950000000001</v>
      </c>
      <c r="D8615" s="8">
        <v>59</v>
      </c>
      <c r="E8615" s="8">
        <v>0</v>
      </c>
      <c r="F8615" s="8">
        <v>0</v>
      </c>
      <c r="G8615" s="8">
        <v>11</v>
      </c>
      <c r="H8615" s="8" t="s">
        <v>42868</v>
      </c>
      <c r="I8615" s="8">
        <v>526.6875</v>
      </c>
      <c r="J8615" s="3">
        <f t="shared" si="134"/>
        <v>43749.100081944438</v>
      </c>
    </row>
    <row r="8616" spans="1:10" x14ac:dyDescent="0.25">
      <c r="A8616" s="5" t="s">
        <v>42869</v>
      </c>
      <c r="B8616" s="6">
        <v>393.75</v>
      </c>
      <c r="C8616" s="6">
        <v>20.478950000000001</v>
      </c>
      <c r="D8616" s="6">
        <v>59</v>
      </c>
      <c r="E8616" s="6">
        <v>0</v>
      </c>
      <c r="F8616" s="6">
        <v>0</v>
      </c>
      <c r="G8616" s="6">
        <v>7</v>
      </c>
      <c r="H8616" s="6" t="s">
        <v>42870</v>
      </c>
      <c r="I8616" s="6">
        <v>526.6875</v>
      </c>
      <c r="J8616" s="2">
        <f t="shared" si="134"/>
        <v>43749.100153472224</v>
      </c>
    </row>
    <row r="8617" spans="1:10" x14ac:dyDescent="0.25">
      <c r="A8617" s="7" t="s">
        <v>42871</v>
      </c>
      <c r="B8617" s="8">
        <v>393.75</v>
      </c>
      <c r="C8617" s="8">
        <v>20.478950000000001</v>
      </c>
      <c r="D8617" s="8">
        <v>59</v>
      </c>
      <c r="E8617" s="8">
        <v>0</v>
      </c>
      <c r="F8617" s="8">
        <v>0</v>
      </c>
      <c r="G8617" s="8">
        <v>7</v>
      </c>
      <c r="H8617" s="8" t="s">
        <v>42872</v>
      </c>
      <c r="I8617" s="8">
        <v>526.6875</v>
      </c>
      <c r="J8617" s="3">
        <f t="shared" si="134"/>
        <v>43749.100225011571</v>
      </c>
    </row>
    <row r="8618" spans="1:10" x14ac:dyDescent="0.25">
      <c r="A8618" s="5" t="s">
        <v>42873</v>
      </c>
      <c r="B8618" s="6">
        <v>393.75</v>
      </c>
      <c r="C8618" s="6">
        <v>20.478950000000001</v>
      </c>
      <c r="D8618" s="6">
        <v>60</v>
      </c>
      <c r="E8618" s="6">
        <v>0</v>
      </c>
      <c r="F8618" s="6">
        <v>0</v>
      </c>
      <c r="G8618" s="6">
        <v>8</v>
      </c>
      <c r="H8618" s="6" t="s">
        <v>42874</v>
      </c>
      <c r="I8618" s="6">
        <v>526.6875</v>
      </c>
      <c r="J8618" s="2">
        <f t="shared" si="134"/>
        <v>43749.100323206017</v>
      </c>
    </row>
    <row r="8619" spans="1:10" x14ac:dyDescent="0.25">
      <c r="A8619" s="7" t="s">
        <v>42875</v>
      </c>
      <c r="B8619" s="8">
        <v>393.75</v>
      </c>
      <c r="C8619" s="8">
        <v>20.478950000000001</v>
      </c>
      <c r="D8619" s="8">
        <v>60</v>
      </c>
      <c r="E8619" s="8">
        <v>0</v>
      </c>
      <c r="F8619" s="8">
        <v>0</v>
      </c>
      <c r="G8619" s="8">
        <v>12</v>
      </c>
      <c r="H8619" s="8" t="s">
        <v>42876</v>
      </c>
      <c r="I8619" s="8">
        <v>526.6875</v>
      </c>
      <c r="J8619" s="3">
        <f t="shared" si="134"/>
        <v>43749.100403923607</v>
      </c>
    </row>
    <row r="8620" spans="1:10" x14ac:dyDescent="0.25">
      <c r="A8620" s="5" t="s">
        <v>42877</v>
      </c>
      <c r="B8620" s="6">
        <v>393.75</v>
      </c>
      <c r="C8620" s="6">
        <v>20.426300000000001</v>
      </c>
      <c r="D8620" s="6">
        <v>60</v>
      </c>
      <c r="E8620" s="6">
        <v>0</v>
      </c>
      <c r="F8620" s="6">
        <v>0</v>
      </c>
      <c r="G8620" s="6">
        <v>11</v>
      </c>
      <c r="H8620" s="6" t="s">
        <v>42878</v>
      </c>
      <c r="I8620" s="6">
        <v>526.6875</v>
      </c>
      <c r="J8620" s="2">
        <f t="shared" si="134"/>
        <v>43749.100475150459</v>
      </c>
    </row>
    <row r="8621" spans="1:10" x14ac:dyDescent="0.25">
      <c r="A8621" s="7" t="s">
        <v>42879</v>
      </c>
      <c r="B8621" s="8">
        <v>393.75</v>
      </c>
      <c r="C8621" s="8">
        <v>20.478950000000001</v>
      </c>
      <c r="D8621" s="8">
        <v>59</v>
      </c>
      <c r="E8621" s="8">
        <v>0</v>
      </c>
      <c r="F8621" s="8">
        <v>0</v>
      </c>
      <c r="G8621" s="8">
        <v>17</v>
      </c>
      <c r="H8621" s="8" t="s">
        <v>42880</v>
      </c>
      <c r="I8621" s="8">
        <v>526.6875</v>
      </c>
      <c r="J8621" s="3">
        <f t="shared" si="134"/>
        <v>43749.100547094909</v>
      </c>
    </row>
    <row r="8622" spans="1:10" x14ac:dyDescent="0.25">
      <c r="A8622" s="5" t="s">
        <v>42881</v>
      </c>
      <c r="B8622" s="6">
        <v>393.75</v>
      </c>
      <c r="C8622" s="6">
        <v>20.478950000000001</v>
      </c>
      <c r="D8622" s="6">
        <v>59</v>
      </c>
      <c r="E8622" s="6">
        <v>0</v>
      </c>
      <c r="F8622" s="6">
        <v>0</v>
      </c>
      <c r="G8622" s="6">
        <v>10</v>
      </c>
      <c r="H8622" s="6" t="s">
        <v>42882</v>
      </c>
      <c r="I8622" s="6">
        <v>526.5</v>
      </c>
      <c r="J8622" s="2">
        <f t="shared" si="134"/>
        <v>43749.100618611112</v>
      </c>
    </row>
    <row r="8623" spans="1:10" x14ac:dyDescent="0.25">
      <c r="A8623" s="7" t="s">
        <v>42883</v>
      </c>
      <c r="B8623" s="8">
        <v>393.75</v>
      </c>
      <c r="C8623" s="8">
        <v>20.478950000000001</v>
      </c>
      <c r="D8623" s="8">
        <v>60</v>
      </c>
      <c r="E8623" s="8">
        <v>0</v>
      </c>
      <c r="F8623" s="8">
        <v>0</v>
      </c>
      <c r="G8623" s="8">
        <v>12</v>
      </c>
      <c r="H8623" s="8" t="s">
        <v>42884</v>
      </c>
      <c r="I8623" s="8">
        <v>526.6875</v>
      </c>
      <c r="J8623" s="3">
        <f t="shared" si="134"/>
        <v>43749.100690219908</v>
      </c>
    </row>
    <row r="8624" spans="1:10" x14ac:dyDescent="0.25">
      <c r="A8624" s="5" t="s">
        <v>42885</v>
      </c>
      <c r="B8624" s="6">
        <v>393.75</v>
      </c>
      <c r="C8624" s="6">
        <v>20.478950000000001</v>
      </c>
      <c r="D8624" s="6">
        <v>61</v>
      </c>
      <c r="E8624" s="6">
        <v>0</v>
      </c>
      <c r="F8624" s="6">
        <v>0</v>
      </c>
      <c r="G8624" s="6">
        <v>12</v>
      </c>
      <c r="H8624" s="6" t="s">
        <v>42886</v>
      </c>
      <c r="I8624" s="6">
        <v>526.6875</v>
      </c>
      <c r="J8624" s="2">
        <f t="shared" si="134"/>
        <v>43749.100761597219</v>
      </c>
    </row>
    <row r="8625" spans="1:10" x14ac:dyDescent="0.25">
      <c r="A8625" s="7" t="s">
        <v>42887</v>
      </c>
      <c r="B8625" s="8">
        <v>393.75</v>
      </c>
      <c r="C8625" s="8">
        <v>20.478950000000001</v>
      </c>
      <c r="D8625" s="8">
        <v>60</v>
      </c>
      <c r="E8625" s="8">
        <v>0</v>
      </c>
      <c r="F8625" s="8">
        <v>0</v>
      </c>
      <c r="G8625" s="8">
        <v>15</v>
      </c>
      <c r="H8625" s="8" t="s">
        <v>42888</v>
      </c>
      <c r="I8625" s="8">
        <v>526.5</v>
      </c>
      <c r="J8625" s="3">
        <f t="shared" si="134"/>
        <v>43749.100833113422</v>
      </c>
    </row>
    <row r="8626" spans="1:10" x14ac:dyDescent="0.25">
      <c r="A8626" s="5" t="s">
        <v>42889</v>
      </c>
      <c r="B8626" s="6">
        <v>393.75</v>
      </c>
      <c r="C8626" s="6">
        <v>20.478950000000001</v>
      </c>
      <c r="D8626" s="6">
        <v>60</v>
      </c>
      <c r="E8626" s="6">
        <v>0</v>
      </c>
      <c r="F8626" s="6">
        <v>0</v>
      </c>
      <c r="G8626" s="6">
        <v>13</v>
      </c>
      <c r="H8626" s="6" t="s">
        <v>42890</v>
      </c>
      <c r="I8626" s="6">
        <v>526.6875</v>
      </c>
      <c r="J8626" s="2">
        <f t="shared" si="134"/>
        <v>43749.100904398147</v>
      </c>
    </row>
    <row r="8627" spans="1:10" x14ac:dyDescent="0.25">
      <c r="A8627" s="7" t="s">
        <v>42891</v>
      </c>
      <c r="B8627" s="8">
        <v>393.75</v>
      </c>
      <c r="C8627" s="8">
        <v>20.426300000000001</v>
      </c>
      <c r="D8627" s="8">
        <v>60</v>
      </c>
      <c r="E8627" s="8">
        <v>0</v>
      </c>
      <c r="F8627" s="8">
        <v>0</v>
      </c>
      <c r="G8627" s="8">
        <v>9</v>
      </c>
      <c r="H8627" s="8" t="s">
        <v>42892</v>
      </c>
      <c r="I8627" s="8">
        <v>526.6875</v>
      </c>
      <c r="J8627" s="3">
        <f t="shared" si="134"/>
        <v>43749.100976365742</v>
      </c>
    </row>
    <row r="8628" spans="1:10" x14ac:dyDescent="0.25">
      <c r="A8628" s="5" t="s">
        <v>42893</v>
      </c>
      <c r="B8628" s="6">
        <v>393.75</v>
      </c>
      <c r="C8628" s="6">
        <v>20.478950000000001</v>
      </c>
      <c r="D8628" s="6">
        <v>59</v>
      </c>
      <c r="E8628" s="6">
        <v>0</v>
      </c>
      <c r="F8628" s="6">
        <v>0</v>
      </c>
      <c r="G8628" s="6">
        <v>6</v>
      </c>
      <c r="H8628" s="6" t="s">
        <v>42894</v>
      </c>
      <c r="I8628" s="6">
        <v>526.6875</v>
      </c>
      <c r="J8628" s="2">
        <f t="shared" si="134"/>
        <v>43749.101059965273</v>
      </c>
    </row>
    <row r="8629" spans="1:10" x14ac:dyDescent="0.25">
      <c r="A8629" s="7" t="s">
        <v>42895</v>
      </c>
      <c r="B8629" s="8">
        <v>393.75</v>
      </c>
      <c r="C8629" s="8">
        <v>20.478950000000001</v>
      </c>
      <c r="D8629" s="8">
        <v>59</v>
      </c>
      <c r="E8629" s="8">
        <v>0</v>
      </c>
      <c r="F8629" s="8">
        <v>0</v>
      </c>
      <c r="G8629" s="8">
        <v>13</v>
      </c>
      <c r="H8629" s="8" t="s">
        <v>42896</v>
      </c>
      <c r="I8629" s="8">
        <v>526.6875</v>
      </c>
      <c r="J8629" s="3">
        <f t="shared" si="134"/>
        <v>43749.101131423609</v>
      </c>
    </row>
    <row r="8630" spans="1:10" x14ac:dyDescent="0.25">
      <c r="A8630" s="5" t="s">
        <v>42897</v>
      </c>
      <c r="B8630" s="6">
        <v>393.75</v>
      </c>
      <c r="C8630" s="6">
        <v>20.478950000000001</v>
      </c>
      <c r="D8630" s="6">
        <v>59</v>
      </c>
      <c r="E8630" s="6">
        <v>0</v>
      </c>
      <c r="F8630" s="6">
        <v>0</v>
      </c>
      <c r="G8630" s="6">
        <v>12</v>
      </c>
      <c r="H8630" s="6" t="s">
        <v>42898</v>
      </c>
      <c r="I8630" s="6">
        <v>526.6875</v>
      </c>
      <c r="J8630" s="2">
        <f t="shared" si="134"/>
        <v>43749.10121508102</v>
      </c>
    </row>
    <row r="8631" spans="1:10" x14ac:dyDescent="0.25">
      <c r="A8631" s="7" t="s">
        <v>42899</v>
      </c>
      <c r="B8631" s="8">
        <v>393.75</v>
      </c>
      <c r="C8631" s="8">
        <v>20.478950000000001</v>
      </c>
      <c r="D8631" s="8">
        <v>59</v>
      </c>
      <c r="E8631" s="8">
        <v>0</v>
      </c>
      <c r="F8631" s="8">
        <v>0</v>
      </c>
      <c r="G8631" s="8">
        <v>10</v>
      </c>
      <c r="H8631" s="8" t="s">
        <v>42900</v>
      </c>
      <c r="I8631" s="8">
        <v>526.6875</v>
      </c>
      <c r="J8631" s="3">
        <f t="shared" si="134"/>
        <v>43749.101298263886</v>
      </c>
    </row>
    <row r="8632" spans="1:10" x14ac:dyDescent="0.25">
      <c r="A8632" s="5" t="s">
        <v>42901</v>
      </c>
      <c r="B8632" s="6">
        <v>393.75</v>
      </c>
      <c r="C8632" s="6">
        <v>20.478950000000001</v>
      </c>
      <c r="D8632" s="6">
        <v>60</v>
      </c>
      <c r="E8632" s="6">
        <v>0</v>
      </c>
      <c r="F8632" s="6">
        <v>0</v>
      </c>
      <c r="G8632" s="6">
        <v>13</v>
      </c>
      <c r="H8632" s="6" t="s">
        <v>42902</v>
      </c>
      <c r="I8632" s="6">
        <v>526.5</v>
      </c>
      <c r="J8632" s="2">
        <f t="shared" si="134"/>
        <v>43749.101381851848</v>
      </c>
    </row>
    <row r="8633" spans="1:10" x14ac:dyDescent="0.25">
      <c r="A8633" s="7" t="s">
        <v>42903</v>
      </c>
      <c r="B8633" s="8">
        <v>412.5</v>
      </c>
      <c r="C8633" s="8">
        <v>20.478950000000001</v>
      </c>
      <c r="D8633" s="8">
        <v>59</v>
      </c>
      <c r="E8633" s="8">
        <v>0</v>
      </c>
      <c r="F8633" s="8">
        <v>0</v>
      </c>
      <c r="G8633" s="8">
        <v>8</v>
      </c>
      <c r="H8633" s="8" t="s">
        <v>42904</v>
      </c>
      <c r="I8633" s="8">
        <v>532.3125</v>
      </c>
      <c r="J8633" s="3">
        <f t="shared" si="134"/>
        <v>43749.101465277774</v>
      </c>
    </row>
    <row r="8634" spans="1:10" x14ac:dyDescent="0.25">
      <c r="A8634" s="5" t="s">
        <v>42905</v>
      </c>
      <c r="B8634" s="6">
        <v>393.75</v>
      </c>
      <c r="C8634" s="6">
        <v>20.478950000000001</v>
      </c>
      <c r="D8634" s="6">
        <v>60</v>
      </c>
      <c r="E8634" s="6">
        <v>0</v>
      </c>
      <c r="F8634" s="6">
        <v>0</v>
      </c>
      <c r="G8634" s="6">
        <v>10</v>
      </c>
      <c r="H8634" s="6" t="s">
        <v>42906</v>
      </c>
      <c r="I8634" s="6">
        <v>526.5</v>
      </c>
      <c r="J8634" s="2">
        <f t="shared" si="134"/>
        <v>43749.101558935181</v>
      </c>
    </row>
    <row r="8635" spans="1:10" x14ac:dyDescent="0.25">
      <c r="A8635" s="7" t="s">
        <v>42907</v>
      </c>
      <c r="B8635" s="8">
        <v>412.5</v>
      </c>
      <c r="C8635" s="8">
        <v>20.478950000000001</v>
      </c>
      <c r="D8635" s="8">
        <v>59</v>
      </c>
      <c r="E8635" s="8">
        <v>0</v>
      </c>
      <c r="F8635" s="8">
        <v>0</v>
      </c>
      <c r="G8635" s="8">
        <v>2</v>
      </c>
      <c r="H8635" s="8" t="s">
        <v>42908</v>
      </c>
      <c r="I8635" s="8">
        <v>532.125</v>
      </c>
      <c r="J8635" s="3">
        <f t="shared" si="134"/>
        <v>43749.10163222222</v>
      </c>
    </row>
    <row r="8636" spans="1:10" x14ac:dyDescent="0.25">
      <c r="A8636" s="5" t="s">
        <v>42909</v>
      </c>
      <c r="B8636" s="6">
        <v>393.75</v>
      </c>
      <c r="C8636" s="6">
        <v>20.478950000000001</v>
      </c>
      <c r="D8636" s="6">
        <v>60</v>
      </c>
      <c r="E8636" s="6">
        <v>0</v>
      </c>
      <c r="F8636" s="6">
        <v>0</v>
      </c>
      <c r="G8636" s="6">
        <v>10</v>
      </c>
      <c r="H8636" s="6" t="s">
        <v>42910</v>
      </c>
      <c r="I8636" s="6">
        <v>526.6875</v>
      </c>
      <c r="J8636" s="2">
        <f t="shared" si="134"/>
        <v>43749.101703807864</v>
      </c>
    </row>
    <row r="8637" spans="1:10" x14ac:dyDescent="0.25">
      <c r="A8637" s="7" t="s">
        <v>42911</v>
      </c>
      <c r="B8637" s="8">
        <v>393.75</v>
      </c>
      <c r="C8637" s="8">
        <v>20.478950000000001</v>
      </c>
      <c r="D8637" s="8">
        <v>65</v>
      </c>
      <c r="E8637" s="8">
        <v>0</v>
      </c>
      <c r="F8637" s="8">
        <v>0</v>
      </c>
      <c r="G8637" s="8">
        <v>5</v>
      </c>
      <c r="H8637" s="8" t="s">
        <v>42912</v>
      </c>
      <c r="I8637" s="8">
        <v>526.6875</v>
      </c>
      <c r="J8637" s="3">
        <f t="shared" si="134"/>
        <v>43749.101787245367</v>
      </c>
    </row>
    <row r="8638" spans="1:10" x14ac:dyDescent="0.25">
      <c r="A8638" s="5" t="s">
        <v>42913</v>
      </c>
      <c r="B8638" s="6">
        <v>393.75</v>
      </c>
      <c r="C8638" s="6">
        <v>20.478950000000001</v>
      </c>
      <c r="D8638" s="6">
        <v>64</v>
      </c>
      <c r="E8638" s="6">
        <v>0</v>
      </c>
      <c r="F8638" s="6">
        <v>0</v>
      </c>
      <c r="G8638" s="6">
        <v>10</v>
      </c>
      <c r="H8638" s="6" t="s">
        <v>42914</v>
      </c>
      <c r="I8638" s="6">
        <v>526.5</v>
      </c>
      <c r="J8638" s="2">
        <f t="shared" si="134"/>
        <v>43749.101858796297</v>
      </c>
    </row>
    <row r="8639" spans="1:10" x14ac:dyDescent="0.25">
      <c r="A8639" s="7" t="s">
        <v>42915</v>
      </c>
      <c r="B8639" s="8">
        <v>393.75</v>
      </c>
      <c r="C8639" s="8">
        <v>20.478950000000001</v>
      </c>
      <c r="D8639" s="8">
        <v>60</v>
      </c>
      <c r="E8639" s="8">
        <v>0</v>
      </c>
      <c r="F8639" s="8">
        <v>0</v>
      </c>
      <c r="G8639" s="8">
        <v>4</v>
      </c>
      <c r="H8639" s="8" t="s">
        <v>42916</v>
      </c>
      <c r="I8639" s="8">
        <v>526.6875</v>
      </c>
      <c r="J8639" s="3">
        <f t="shared" si="134"/>
        <v>43749.101930300923</v>
      </c>
    </row>
    <row r="8640" spans="1:10" x14ac:dyDescent="0.25">
      <c r="A8640" s="5" t="s">
        <v>42917</v>
      </c>
      <c r="B8640" s="6">
        <v>393.75</v>
      </c>
      <c r="C8640" s="6">
        <v>20.478950000000001</v>
      </c>
      <c r="D8640" s="6">
        <v>60</v>
      </c>
      <c r="E8640" s="6">
        <v>0</v>
      </c>
      <c r="F8640" s="6">
        <v>0</v>
      </c>
      <c r="G8640" s="6">
        <v>15</v>
      </c>
      <c r="H8640" s="6" t="s">
        <v>42918</v>
      </c>
      <c r="I8640" s="6">
        <v>526.6875</v>
      </c>
      <c r="J8640" s="2">
        <f t="shared" si="134"/>
        <v>43749.102001898143</v>
      </c>
    </row>
    <row r="8641" spans="1:10" x14ac:dyDescent="0.25">
      <c r="A8641" s="7" t="s">
        <v>42919</v>
      </c>
      <c r="B8641" s="8">
        <v>393.75</v>
      </c>
      <c r="C8641" s="8">
        <v>20.478950000000001</v>
      </c>
      <c r="D8641" s="8">
        <v>59</v>
      </c>
      <c r="E8641" s="8">
        <v>0</v>
      </c>
      <c r="F8641" s="8">
        <v>0</v>
      </c>
      <c r="G8641" s="8">
        <v>9</v>
      </c>
      <c r="H8641" s="8" t="s">
        <v>42920</v>
      </c>
      <c r="I8641" s="8">
        <v>526.6875</v>
      </c>
      <c r="J8641" s="3">
        <f t="shared" si="134"/>
        <v>43749.102085462961</v>
      </c>
    </row>
    <row r="8642" spans="1:10" x14ac:dyDescent="0.25">
      <c r="A8642" s="5" t="s">
        <v>42921</v>
      </c>
      <c r="B8642" s="6">
        <v>393.75</v>
      </c>
      <c r="C8642" s="6">
        <v>20.478950000000001</v>
      </c>
      <c r="D8642" s="6">
        <v>60</v>
      </c>
      <c r="E8642" s="6">
        <v>0</v>
      </c>
      <c r="F8642" s="6">
        <v>0</v>
      </c>
      <c r="G8642" s="6">
        <v>8</v>
      </c>
      <c r="H8642" s="6" t="s">
        <v>42922</v>
      </c>
      <c r="I8642" s="6">
        <v>526.6875</v>
      </c>
      <c r="J8642" s="2">
        <f t="shared" ref="J8642:J8705" si="135">(H8642/86400000)+25569+(7/24)</f>
        <v>43749.102157094901</v>
      </c>
    </row>
    <row r="8643" spans="1:10" x14ac:dyDescent="0.25">
      <c r="A8643" s="7" t="s">
        <v>42923</v>
      </c>
      <c r="B8643" s="8">
        <v>393.75</v>
      </c>
      <c r="C8643" s="8">
        <v>20.478950000000001</v>
      </c>
      <c r="D8643" s="8">
        <v>60</v>
      </c>
      <c r="E8643" s="8">
        <v>0</v>
      </c>
      <c r="F8643" s="8">
        <v>0</v>
      </c>
      <c r="G8643" s="8">
        <v>3</v>
      </c>
      <c r="H8643" s="8" t="s">
        <v>42924</v>
      </c>
      <c r="I8643" s="8">
        <v>526.6875</v>
      </c>
      <c r="J8643" s="3">
        <f t="shared" si="135"/>
        <v>43749.102240486107</v>
      </c>
    </row>
    <row r="8644" spans="1:10" x14ac:dyDescent="0.25">
      <c r="A8644" s="5" t="s">
        <v>42925</v>
      </c>
      <c r="B8644" s="6">
        <v>393.75</v>
      </c>
      <c r="C8644" s="6">
        <v>20.478950000000001</v>
      </c>
      <c r="D8644" s="6">
        <v>60</v>
      </c>
      <c r="E8644" s="6">
        <v>0</v>
      </c>
      <c r="F8644" s="6">
        <v>0</v>
      </c>
      <c r="G8644" s="6">
        <v>7</v>
      </c>
      <c r="H8644" s="6" t="s">
        <v>42926</v>
      </c>
      <c r="I8644" s="6">
        <v>526.6875</v>
      </c>
      <c r="J8644" s="2">
        <f t="shared" si="135"/>
        <v>43749.102311782401</v>
      </c>
    </row>
    <row r="8645" spans="1:10" x14ac:dyDescent="0.25">
      <c r="A8645" s="7" t="s">
        <v>42927</v>
      </c>
      <c r="B8645" s="8">
        <v>393.75</v>
      </c>
      <c r="C8645" s="8">
        <v>20.478950000000001</v>
      </c>
      <c r="D8645" s="8">
        <v>63</v>
      </c>
      <c r="E8645" s="8">
        <v>0</v>
      </c>
      <c r="F8645" s="8">
        <v>0</v>
      </c>
      <c r="G8645" s="8">
        <v>10</v>
      </c>
      <c r="H8645" s="8" t="s">
        <v>42928</v>
      </c>
      <c r="I8645" s="8">
        <v>526.6875</v>
      </c>
      <c r="J8645" s="3">
        <f t="shared" si="135"/>
        <v>43749.102407384256</v>
      </c>
    </row>
    <row r="8646" spans="1:10" x14ac:dyDescent="0.25">
      <c r="A8646" s="5" t="s">
        <v>42929</v>
      </c>
      <c r="B8646" s="6">
        <v>393.75</v>
      </c>
      <c r="C8646" s="6">
        <v>20.478950000000001</v>
      </c>
      <c r="D8646" s="6">
        <v>63</v>
      </c>
      <c r="E8646" s="6">
        <v>0</v>
      </c>
      <c r="F8646" s="6">
        <v>0</v>
      </c>
      <c r="G8646" s="6">
        <v>7</v>
      </c>
      <c r="H8646" s="6" t="s">
        <v>42930</v>
      </c>
      <c r="I8646" s="6">
        <v>526.6875</v>
      </c>
      <c r="J8646" s="2">
        <f t="shared" si="135"/>
        <v>43749.102490844904</v>
      </c>
    </row>
    <row r="8647" spans="1:10" x14ac:dyDescent="0.25">
      <c r="A8647" s="7" t="s">
        <v>42931</v>
      </c>
      <c r="B8647" s="8">
        <v>393.75</v>
      </c>
      <c r="C8647" s="8">
        <v>20.478950000000001</v>
      </c>
      <c r="D8647" s="8">
        <v>61</v>
      </c>
      <c r="E8647" s="8">
        <v>0</v>
      </c>
      <c r="F8647" s="8">
        <v>0</v>
      </c>
      <c r="G8647" s="8">
        <v>10</v>
      </c>
      <c r="H8647" s="8" t="s">
        <v>42932</v>
      </c>
      <c r="I8647" s="8">
        <v>526.6875</v>
      </c>
      <c r="J8647" s="3">
        <f t="shared" si="135"/>
        <v>43749.102574259254</v>
      </c>
    </row>
    <row r="8648" spans="1:10" x14ac:dyDescent="0.25">
      <c r="A8648" s="5" t="s">
        <v>42933</v>
      </c>
      <c r="B8648" s="6">
        <v>393.75</v>
      </c>
      <c r="C8648" s="6">
        <v>20.426300000000001</v>
      </c>
      <c r="D8648" s="6">
        <v>61</v>
      </c>
      <c r="E8648" s="6">
        <v>0</v>
      </c>
      <c r="F8648" s="6">
        <v>0</v>
      </c>
      <c r="G8648" s="6">
        <v>17</v>
      </c>
      <c r="H8648" s="6" t="s">
        <v>42934</v>
      </c>
      <c r="I8648" s="6">
        <v>526.6875</v>
      </c>
      <c r="J8648" s="2">
        <f t="shared" si="135"/>
        <v>43749.10265778935</v>
      </c>
    </row>
    <row r="8649" spans="1:10" x14ac:dyDescent="0.25">
      <c r="A8649" s="7" t="s">
        <v>42935</v>
      </c>
      <c r="B8649" s="8">
        <v>412.5</v>
      </c>
      <c r="C8649" s="8">
        <v>20.478950000000001</v>
      </c>
      <c r="D8649" s="8">
        <v>61</v>
      </c>
      <c r="E8649" s="8">
        <v>0</v>
      </c>
      <c r="F8649" s="8">
        <v>0</v>
      </c>
      <c r="G8649" s="8">
        <v>0</v>
      </c>
      <c r="H8649" s="8" t="s">
        <v>42936</v>
      </c>
      <c r="I8649" s="8">
        <v>532.6875</v>
      </c>
      <c r="J8649" s="3">
        <f t="shared" si="135"/>
        <v>43749.102741423609</v>
      </c>
    </row>
    <row r="8650" spans="1:10" x14ac:dyDescent="0.25">
      <c r="A8650" s="5" t="s">
        <v>42937</v>
      </c>
      <c r="B8650" s="6">
        <v>393.75</v>
      </c>
      <c r="C8650" s="6">
        <v>20.478950000000001</v>
      </c>
      <c r="D8650" s="6">
        <v>61</v>
      </c>
      <c r="E8650" s="6">
        <v>0</v>
      </c>
      <c r="F8650" s="6">
        <v>0</v>
      </c>
      <c r="G8650" s="6">
        <v>2</v>
      </c>
      <c r="H8650" s="6" t="s">
        <v>42938</v>
      </c>
      <c r="I8650" s="6">
        <v>526.6875</v>
      </c>
      <c r="J8650" s="2">
        <f t="shared" si="135"/>
        <v>43749.102813055557</v>
      </c>
    </row>
    <row r="8651" spans="1:10" x14ac:dyDescent="0.25">
      <c r="A8651" s="7" t="s">
        <v>42939</v>
      </c>
      <c r="B8651" s="8">
        <v>393.75</v>
      </c>
      <c r="C8651" s="8">
        <v>20.426300000000001</v>
      </c>
      <c r="D8651" s="8">
        <v>60</v>
      </c>
      <c r="E8651" s="8">
        <v>0</v>
      </c>
      <c r="F8651" s="8">
        <v>0</v>
      </c>
      <c r="G8651" s="8">
        <v>10</v>
      </c>
      <c r="H8651" s="8" t="s">
        <v>42940</v>
      </c>
      <c r="I8651" s="8">
        <v>526.6875</v>
      </c>
      <c r="J8651" s="3">
        <f t="shared" si="135"/>
        <v>43749.102896342585</v>
      </c>
    </row>
    <row r="8652" spans="1:10" x14ac:dyDescent="0.25">
      <c r="A8652" s="5" t="s">
        <v>42941</v>
      </c>
      <c r="B8652" s="6">
        <v>393.75</v>
      </c>
      <c r="C8652" s="6">
        <v>20.478950000000001</v>
      </c>
      <c r="D8652" s="6">
        <v>60</v>
      </c>
      <c r="E8652" s="6">
        <v>0</v>
      </c>
      <c r="F8652" s="6">
        <v>0</v>
      </c>
      <c r="G8652" s="6">
        <v>11</v>
      </c>
      <c r="H8652" s="6" t="s">
        <v>42942</v>
      </c>
      <c r="I8652" s="6">
        <v>526.6875</v>
      </c>
      <c r="J8652" s="2">
        <f t="shared" si="135"/>
        <v>43749.102991712956</v>
      </c>
    </row>
    <row r="8653" spans="1:10" x14ac:dyDescent="0.25">
      <c r="A8653" s="7" t="s">
        <v>42943</v>
      </c>
      <c r="B8653" s="8">
        <v>393.75</v>
      </c>
      <c r="C8653" s="8">
        <v>20.478950000000001</v>
      </c>
      <c r="D8653" s="8">
        <v>60</v>
      </c>
      <c r="E8653" s="8">
        <v>0</v>
      </c>
      <c r="F8653" s="8">
        <v>0</v>
      </c>
      <c r="G8653" s="8">
        <v>12</v>
      </c>
      <c r="H8653" s="8" t="s">
        <v>42944</v>
      </c>
      <c r="I8653" s="8">
        <v>526.6875</v>
      </c>
      <c r="J8653" s="3">
        <f t="shared" si="135"/>
        <v>43749.103063194438</v>
      </c>
    </row>
    <row r="8654" spans="1:10" x14ac:dyDescent="0.25">
      <c r="A8654" s="5" t="s">
        <v>42945</v>
      </c>
      <c r="B8654" s="6">
        <v>393.75</v>
      </c>
      <c r="C8654" s="6">
        <v>20.478950000000001</v>
      </c>
      <c r="D8654" s="6">
        <v>60</v>
      </c>
      <c r="E8654" s="6">
        <v>0</v>
      </c>
      <c r="F8654" s="6">
        <v>0</v>
      </c>
      <c r="G8654" s="6">
        <v>15</v>
      </c>
      <c r="H8654" s="6" t="s">
        <v>42946</v>
      </c>
      <c r="I8654" s="6">
        <v>526.5</v>
      </c>
      <c r="J8654" s="2">
        <f t="shared" si="135"/>
        <v>43749.103146400455</v>
      </c>
    </row>
    <row r="8655" spans="1:10" x14ac:dyDescent="0.25">
      <c r="A8655" s="7" t="s">
        <v>42947</v>
      </c>
      <c r="B8655" s="8">
        <v>393.75</v>
      </c>
      <c r="C8655" s="8">
        <v>20.478950000000001</v>
      </c>
      <c r="D8655" s="8">
        <v>58</v>
      </c>
      <c r="E8655" s="8">
        <v>0</v>
      </c>
      <c r="F8655" s="8">
        <v>0</v>
      </c>
      <c r="G8655" s="8">
        <v>10</v>
      </c>
      <c r="H8655" s="8" t="s">
        <v>42948</v>
      </c>
      <c r="I8655" s="8">
        <v>526.6875</v>
      </c>
      <c r="J8655" s="3">
        <f t="shared" si="135"/>
        <v>43749.103230324072</v>
      </c>
    </row>
    <row r="8656" spans="1:10" x14ac:dyDescent="0.25">
      <c r="A8656" s="5" t="s">
        <v>42949</v>
      </c>
      <c r="B8656" s="6">
        <v>393.75</v>
      </c>
      <c r="C8656" s="6">
        <v>20.478950000000001</v>
      </c>
      <c r="D8656" s="6">
        <v>57</v>
      </c>
      <c r="E8656" s="6">
        <v>0</v>
      </c>
      <c r="F8656" s="6">
        <v>0</v>
      </c>
      <c r="G8656" s="6">
        <v>11</v>
      </c>
      <c r="H8656" s="6" t="s">
        <v>42950</v>
      </c>
      <c r="I8656" s="6">
        <v>526.6875</v>
      </c>
      <c r="J8656" s="2">
        <f t="shared" si="135"/>
        <v>43749.103301793984</v>
      </c>
    </row>
    <row r="8657" spans="1:10" x14ac:dyDescent="0.25">
      <c r="A8657" s="7" t="s">
        <v>42951</v>
      </c>
      <c r="B8657" s="8">
        <v>412.5</v>
      </c>
      <c r="C8657" s="8">
        <v>20.478950000000001</v>
      </c>
      <c r="D8657" s="8">
        <v>54</v>
      </c>
      <c r="E8657" s="8">
        <v>0</v>
      </c>
      <c r="F8657" s="8">
        <v>0</v>
      </c>
      <c r="G8657" s="8">
        <v>5</v>
      </c>
      <c r="H8657" s="8" t="s">
        <v>42952</v>
      </c>
      <c r="I8657" s="8">
        <v>532.3125</v>
      </c>
      <c r="J8657" s="3">
        <f t="shared" si="135"/>
        <v>43749.103385381946</v>
      </c>
    </row>
    <row r="8658" spans="1:10" x14ac:dyDescent="0.25">
      <c r="A8658" s="5" t="s">
        <v>42953</v>
      </c>
      <c r="B8658" s="6">
        <v>393.75</v>
      </c>
      <c r="C8658" s="6">
        <v>20.478950000000001</v>
      </c>
      <c r="D8658" s="6">
        <v>54</v>
      </c>
      <c r="E8658" s="6">
        <v>0</v>
      </c>
      <c r="F8658" s="6">
        <v>0</v>
      </c>
      <c r="G8658" s="6">
        <v>7</v>
      </c>
      <c r="H8658" s="6" t="s">
        <v>42954</v>
      </c>
      <c r="I8658" s="6">
        <v>526.6875</v>
      </c>
      <c r="J8658" s="2">
        <f t="shared" si="135"/>
        <v>43749.103456990742</v>
      </c>
    </row>
    <row r="8659" spans="1:10" x14ac:dyDescent="0.25">
      <c r="A8659" s="7" t="s">
        <v>42955</v>
      </c>
      <c r="B8659" s="8">
        <v>393.75</v>
      </c>
      <c r="C8659" s="8">
        <v>20.478950000000001</v>
      </c>
      <c r="D8659" s="8">
        <v>55</v>
      </c>
      <c r="E8659" s="8">
        <v>0</v>
      </c>
      <c r="F8659" s="8">
        <v>0</v>
      </c>
      <c r="G8659" s="8">
        <v>0</v>
      </c>
      <c r="H8659" s="8" t="s">
        <v>42956</v>
      </c>
      <c r="I8659" s="8">
        <v>526.6875</v>
      </c>
      <c r="J8659" s="3">
        <f t="shared" si="135"/>
        <v>43749.103528356478</v>
      </c>
    </row>
    <row r="8660" spans="1:10" x14ac:dyDescent="0.25">
      <c r="A8660" s="5" t="s">
        <v>42957</v>
      </c>
      <c r="B8660" s="6">
        <v>393.75</v>
      </c>
      <c r="C8660" s="6">
        <v>20.478950000000001</v>
      </c>
      <c r="D8660" s="6">
        <v>55</v>
      </c>
      <c r="E8660" s="6">
        <v>0</v>
      </c>
      <c r="F8660" s="6">
        <v>0</v>
      </c>
      <c r="G8660" s="6">
        <v>7</v>
      </c>
      <c r="H8660" s="6" t="s">
        <v>42958</v>
      </c>
      <c r="I8660" s="6">
        <v>526.6875</v>
      </c>
      <c r="J8660" s="2">
        <f t="shared" si="135"/>
        <v>43749.103599942122</v>
      </c>
    </row>
    <row r="8661" spans="1:10" x14ac:dyDescent="0.25">
      <c r="A8661" s="7" t="s">
        <v>42959</v>
      </c>
      <c r="B8661" s="8">
        <v>393.75</v>
      </c>
      <c r="C8661" s="8">
        <v>20.478950000000001</v>
      </c>
      <c r="D8661" s="8">
        <v>56</v>
      </c>
      <c r="E8661" s="8">
        <v>0</v>
      </c>
      <c r="F8661" s="8">
        <v>0</v>
      </c>
      <c r="G8661" s="8">
        <v>11</v>
      </c>
      <c r="H8661" s="8" t="s">
        <v>42960</v>
      </c>
      <c r="I8661" s="8">
        <v>526.6875</v>
      </c>
      <c r="J8661" s="3">
        <f t="shared" si="135"/>
        <v>43749.103671192126</v>
      </c>
    </row>
    <row r="8662" spans="1:10" x14ac:dyDescent="0.25">
      <c r="A8662" s="5" t="s">
        <v>42961</v>
      </c>
      <c r="B8662" s="6">
        <v>393.75</v>
      </c>
      <c r="C8662" s="6">
        <v>20.478950000000001</v>
      </c>
      <c r="D8662" s="6">
        <v>58</v>
      </c>
      <c r="E8662" s="6">
        <v>0</v>
      </c>
      <c r="F8662" s="6">
        <v>0</v>
      </c>
      <c r="G8662" s="6">
        <v>2</v>
      </c>
      <c r="H8662" s="6" t="s">
        <v>42962</v>
      </c>
      <c r="I8662" s="6">
        <v>526.6875</v>
      </c>
      <c r="J8662" s="2">
        <f t="shared" si="135"/>
        <v>43749.103743055552</v>
      </c>
    </row>
    <row r="8663" spans="1:10" x14ac:dyDescent="0.25">
      <c r="A8663" s="7" t="s">
        <v>42963</v>
      </c>
      <c r="B8663" s="8">
        <v>393.75</v>
      </c>
      <c r="C8663" s="8">
        <v>20.478950000000001</v>
      </c>
      <c r="D8663" s="8">
        <v>58</v>
      </c>
      <c r="E8663" s="8">
        <v>0</v>
      </c>
      <c r="F8663" s="8">
        <v>0</v>
      </c>
      <c r="G8663" s="8">
        <v>1</v>
      </c>
      <c r="H8663" s="8" t="s">
        <v>42964</v>
      </c>
      <c r="I8663" s="8">
        <v>526.6875</v>
      </c>
      <c r="J8663" s="3">
        <f t="shared" si="135"/>
        <v>43749.103826631945</v>
      </c>
    </row>
    <row r="8664" spans="1:10" x14ac:dyDescent="0.25">
      <c r="A8664" s="5" t="s">
        <v>42965</v>
      </c>
      <c r="B8664" s="6">
        <v>412.5</v>
      </c>
      <c r="C8664" s="6">
        <v>20.478950000000001</v>
      </c>
      <c r="D8664" s="6">
        <v>57</v>
      </c>
      <c r="E8664" s="6">
        <v>0</v>
      </c>
      <c r="F8664" s="6">
        <v>0</v>
      </c>
      <c r="G8664" s="6">
        <v>12</v>
      </c>
      <c r="H8664" s="6" t="s">
        <v>42966</v>
      </c>
      <c r="I8664" s="6">
        <v>532.5</v>
      </c>
      <c r="J8664" s="2">
        <f t="shared" si="135"/>
        <v>43749.103898171299</v>
      </c>
    </row>
    <row r="8665" spans="1:10" x14ac:dyDescent="0.25">
      <c r="A8665" s="7" t="s">
        <v>42967</v>
      </c>
      <c r="B8665" s="8">
        <v>393.75</v>
      </c>
      <c r="C8665" s="8">
        <v>20.478950000000001</v>
      </c>
      <c r="D8665" s="8">
        <v>58</v>
      </c>
      <c r="E8665" s="8">
        <v>0</v>
      </c>
      <c r="F8665" s="8">
        <v>0</v>
      </c>
      <c r="G8665" s="8">
        <v>5</v>
      </c>
      <c r="H8665" s="8" t="s">
        <v>42968</v>
      </c>
      <c r="I8665" s="8">
        <v>526.6875</v>
      </c>
      <c r="J8665" s="3">
        <f t="shared" si="135"/>
        <v>43749.103981585642</v>
      </c>
    </row>
    <row r="8666" spans="1:10" x14ac:dyDescent="0.25">
      <c r="A8666" s="5" t="s">
        <v>42969</v>
      </c>
      <c r="B8666" s="6">
        <v>393.75</v>
      </c>
      <c r="C8666" s="6">
        <v>20.478950000000001</v>
      </c>
      <c r="D8666" s="6">
        <v>58</v>
      </c>
      <c r="E8666" s="6">
        <v>0</v>
      </c>
      <c r="F8666" s="6">
        <v>0</v>
      </c>
      <c r="G8666" s="6">
        <v>5</v>
      </c>
      <c r="H8666" s="6" t="s">
        <v>42970</v>
      </c>
      <c r="I8666" s="6">
        <v>526.6875</v>
      </c>
      <c r="J8666" s="2">
        <f t="shared" si="135"/>
        <v>43749.104053287032</v>
      </c>
    </row>
    <row r="8667" spans="1:10" x14ac:dyDescent="0.25">
      <c r="A8667" s="7" t="s">
        <v>42971</v>
      </c>
      <c r="B8667" s="8">
        <v>393.75</v>
      </c>
      <c r="C8667" s="8">
        <v>20.478950000000001</v>
      </c>
      <c r="D8667" s="8">
        <v>58</v>
      </c>
      <c r="E8667" s="8">
        <v>0</v>
      </c>
      <c r="F8667" s="8">
        <v>0</v>
      </c>
      <c r="G8667" s="8">
        <v>6</v>
      </c>
      <c r="H8667" s="8" t="s">
        <v>42972</v>
      </c>
      <c r="I8667" s="8">
        <v>526.6875</v>
      </c>
      <c r="J8667" s="3">
        <f t="shared" si="135"/>
        <v>43749.104124652775</v>
      </c>
    </row>
    <row r="8668" spans="1:10" x14ac:dyDescent="0.25">
      <c r="A8668" s="5" t="s">
        <v>42973</v>
      </c>
      <c r="B8668" s="6">
        <v>393.75</v>
      </c>
      <c r="C8668" s="6">
        <v>20.478950000000001</v>
      </c>
      <c r="D8668" s="6">
        <v>59</v>
      </c>
      <c r="E8668" s="6">
        <v>0</v>
      </c>
      <c r="F8668" s="6">
        <v>0</v>
      </c>
      <c r="G8668" s="6">
        <v>4</v>
      </c>
      <c r="H8668" s="6" t="s">
        <v>42974</v>
      </c>
      <c r="I8668" s="6">
        <v>526.5</v>
      </c>
      <c r="J8668" s="2">
        <f t="shared" si="135"/>
        <v>43749.10419622685</v>
      </c>
    </row>
    <row r="8669" spans="1:10" x14ac:dyDescent="0.25">
      <c r="A8669" s="7" t="s">
        <v>42975</v>
      </c>
      <c r="B8669" s="8">
        <v>393.75</v>
      </c>
      <c r="C8669" s="8">
        <v>20.478950000000001</v>
      </c>
      <c r="D8669" s="8">
        <v>61</v>
      </c>
      <c r="E8669" s="8">
        <v>0</v>
      </c>
      <c r="F8669" s="8">
        <v>0</v>
      </c>
      <c r="G8669" s="8">
        <v>8</v>
      </c>
      <c r="H8669" s="8" t="s">
        <v>42976</v>
      </c>
      <c r="I8669" s="8">
        <v>526.6875</v>
      </c>
      <c r="J8669" s="3">
        <f t="shared" si="135"/>
        <v>43749.104267430557</v>
      </c>
    </row>
    <row r="8670" spans="1:10" x14ac:dyDescent="0.25">
      <c r="A8670" s="5" t="s">
        <v>42977</v>
      </c>
      <c r="B8670" s="6">
        <v>393.75</v>
      </c>
      <c r="C8670" s="6">
        <v>20.478950000000001</v>
      </c>
      <c r="D8670" s="6">
        <v>61</v>
      </c>
      <c r="E8670" s="6">
        <v>0</v>
      </c>
      <c r="F8670" s="6">
        <v>0</v>
      </c>
      <c r="G8670" s="6">
        <v>7</v>
      </c>
      <c r="H8670" s="6" t="s">
        <v>42978</v>
      </c>
      <c r="I8670" s="6">
        <v>526.6875</v>
      </c>
      <c r="J8670" s="2">
        <f t="shared" si="135"/>
        <v>43749.104339270831</v>
      </c>
    </row>
    <row r="8671" spans="1:10" x14ac:dyDescent="0.25">
      <c r="A8671" s="7" t="s">
        <v>42979</v>
      </c>
      <c r="B8671" s="8">
        <v>393.75</v>
      </c>
      <c r="C8671" s="8">
        <v>20.478950000000001</v>
      </c>
      <c r="D8671" s="8">
        <v>60</v>
      </c>
      <c r="E8671" s="8">
        <v>0</v>
      </c>
      <c r="F8671" s="8">
        <v>0</v>
      </c>
      <c r="G8671" s="8">
        <v>9</v>
      </c>
      <c r="H8671" s="8" t="s">
        <v>42980</v>
      </c>
      <c r="I8671" s="8">
        <v>526.6875</v>
      </c>
      <c r="J8671" s="3">
        <f t="shared" si="135"/>
        <v>43749.104437303242</v>
      </c>
    </row>
    <row r="8672" spans="1:10" x14ac:dyDescent="0.25">
      <c r="A8672" s="5" t="s">
        <v>42981</v>
      </c>
      <c r="B8672" s="6">
        <v>393.75</v>
      </c>
      <c r="C8672" s="6">
        <v>20.478950000000001</v>
      </c>
      <c r="D8672" s="6">
        <v>59</v>
      </c>
      <c r="E8672" s="6">
        <v>0</v>
      </c>
      <c r="F8672" s="6">
        <v>0</v>
      </c>
      <c r="G8672" s="6">
        <v>4</v>
      </c>
      <c r="H8672" s="6" t="s">
        <v>42982</v>
      </c>
      <c r="I8672" s="6">
        <v>526.6875</v>
      </c>
      <c r="J8672" s="2">
        <f t="shared" si="135"/>
        <v>43749.104518321757</v>
      </c>
    </row>
    <row r="8673" spans="1:10" x14ac:dyDescent="0.25">
      <c r="A8673" s="7" t="s">
        <v>42983</v>
      </c>
      <c r="B8673" s="8">
        <v>421.875</v>
      </c>
      <c r="C8673" s="8">
        <v>20.478950000000001</v>
      </c>
      <c r="D8673" s="8">
        <v>58</v>
      </c>
      <c r="E8673" s="8">
        <v>0</v>
      </c>
      <c r="F8673" s="8">
        <v>0</v>
      </c>
      <c r="G8673" s="8">
        <v>13</v>
      </c>
      <c r="H8673" s="8" t="s">
        <v>42984</v>
      </c>
      <c r="I8673" s="8">
        <v>535.3125</v>
      </c>
      <c r="J8673" s="3">
        <f t="shared" si="135"/>
        <v>43749.104601574072</v>
      </c>
    </row>
    <row r="8674" spans="1:10" x14ac:dyDescent="0.25">
      <c r="A8674" s="5" t="s">
        <v>42985</v>
      </c>
      <c r="B8674" s="6">
        <v>393.75</v>
      </c>
      <c r="C8674" s="6">
        <v>20.478950000000001</v>
      </c>
      <c r="D8674" s="6">
        <v>58</v>
      </c>
      <c r="E8674" s="6">
        <v>0</v>
      </c>
      <c r="F8674" s="6">
        <v>0</v>
      </c>
      <c r="G8674" s="6">
        <v>0</v>
      </c>
      <c r="H8674" s="6" t="s">
        <v>42986</v>
      </c>
      <c r="I8674" s="6">
        <v>526.6875</v>
      </c>
      <c r="J8674" s="2">
        <f t="shared" si="135"/>
        <v>43749.104673194444</v>
      </c>
    </row>
    <row r="8675" spans="1:10" x14ac:dyDescent="0.25">
      <c r="A8675" s="7" t="s">
        <v>42987</v>
      </c>
      <c r="B8675" s="8">
        <v>393.75</v>
      </c>
      <c r="C8675" s="8">
        <v>20.478950000000001</v>
      </c>
      <c r="D8675" s="8">
        <v>58</v>
      </c>
      <c r="E8675" s="8">
        <v>0</v>
      </c>
      <c r="F8675" s="8">
        <v>0</v>
      </c>
      <c r="G8675" s="8">
        <v>7</v>
      </c>
      <c r="H8675" s="8" t="s">
        <v>42988</v>
      </c>
      <c r="I8675" s="8">
        <v>526.5</v>
      </c>
      <c r="J8675" s="3">
        <f t="shared" si="135"/>
        <v>43749.10474466435</v>
      </c>
    </row>
    <row r="8676" spans="1:10" x14ac:dyDescent="0.25">
      <c r="A8676" s="5" t="s">
        <v>42989</v>
      </c>
      <c r="B8676" s="6">
        <v>393.75</v>
      </c>
      <c r="C8676" s="6">
        <v>20.478950000000001</v>
      </c>
      <c r="D8676" s="6">
        <v>57</v>
      </c>
      <c r="E8676" s="6">
        <v>0</v>
      </c>
      <c r="F8676" s="6">
        <v>0</v>
      </c>
      <c r="G8676" s="6">
        <v>18</v>
      </c>
      <c r="H8676" s="6" t="s">
        <v>42990</v>
      </c>
      <c r="I8676" s="6">
        <v>526.6875</v>
      </c>
      <c r="J8676" s="2">
        <f t="shared" si="135"/>
        <v>43749.104816064813</v>
      </c>
    </row>
    <row r="8677" spans="1:10" x14ac:dyDescent="0.25">
      <c r="A8677" s="7" t="s">
        <v>42991</v>
      </c>
      <c r="B8677" s="8">
        <v>412.5</v>
      </c>
      <c r="C8677" s="8">
        <v>20.478950000000001</v>
      </c>
      <c r="D8677" s="8">
        <v>57</v>
      </c>
      <c r="E8677" s="8">
        <v>0</v>
      </c>
      <c r="F8677" s="8">
        <v>0</v>
      </c>
      <c r="G8677" s="8">
        <v>2</v>
      </c>
      <c r="H8677" s="8" t="s">
        <v>42992</v>
      </c>
      <c r="I8677" s="8">
        <v>532.3125</v>
      </c>
      <c r="J8677" s="3">
        <f t="shared" si="135"/>
        <v>43749.104887951391</v>
      </c>
    </row>
    <row r="8678" spans="1:10" x14ac:dyDescent="0.25">
      <c r="A8678" s="5" t="s">
        <v>42993</v>
      </c>
      <c r="B8678" s="6">
        <v>393.75</v>
      </c>
      <c r="C8678" s="6">
        <v>20.478950000000001</v>
      </c>
      <c r="D8678" s="6">
        <v>56</v>
      </c>
      <c r="E8678" s="6">
        <v>0</v>
      </c>
      <c r="F8678" s="6">
        <v>0</v>
      </c>
      <c r="G8678" s="6">
        <v>8</v>
      </c>
      <c r="H8678" s="6" t="s">
        <v>42994</v>
      </c>
      <c r="I8678" s="6">
        <v>526.6875</v>
      </c>
      <c r="J8678" s="2">
        <f t="shared" si="135"/>
        <v>43749.104971053239</v>
      </c>
    </row>
    <row r="8679" spans="1:10" x14ac:dyDescent="0.25">
      <c r="A8679" s="7" t="s">
        <v>42995</v>
      </c>
      <c r="B8679" s="8">
        <v>393.75</v>
      </c>
      <c r="C8679" s="8">
        <v>20.478950000000001</v>
      </c>
      <c r="D8679" s="8">
        <v>56</v>
      </c>
      <c r="E8679" s="8">
        <v>0</v>
      </c>
      <c r="F8679" s="8">
        <v>0</v>
      </c>
      <c r="G8679" s="8">
        <v>15</v>
      </c>
      <c r="H8679" s="8" t="s">
        <v>42996</v>
      </c>
      <c r="I8679" s="8">
        <v>526.6875</v>
      </c>
      <c r="J8679" s="3">
        <f t="shared" si="135"/>
        <v>43749.105042615738</v>
      </c>
    </row>
    <row r="8680" spans="1:10" x14ac:dyDescent="0.25">
      <c r="A8680" s="5" t="s">
        <v>42997</v>
      </c>
      <c r="B8680" s="6">
        <v>412.5</v>
      </c>
      <c r="C8680" s="6">
        <v>20.478950000000001</v>
      </c>
      <c r="D8680" s="6">
        <v>57</v>
      </c>
      <c r="E8680" s="6">
        <v>0</v>
      </c>
      <c r="F8680" s="6">
        <v>0</v>
      </c>
      <c r="G8680" s="6">
        <v>9</v>
      </c>
      <c r="H8680" s="6" t="s">
        <v>42998</v>
      </c>
      <c r="I8680" s="6">
        <v>532.875</v>
      </c>
      <c r="J8680" s="2">
        <f t="shared" si="135"/>
        <v>43749.105126388888</v>
      </c>
    </row>
    <row r="8681" spans="1:10" x14ac:dyDescent="0.25">
      <c r="A8681" s="7" t="s">
        <v>42999</v>
      </c>
      <c r="B8681" s="8">
        <v>393.75</v>
      </c>
      <c r="C8681" s="8">
        <v>20.426300000000001</v>
      </c>
      <c r="D8681" s="8">
        <v>57</v>
      </c>
      <c r="E8681" s="8">
        <v>0</v>
      </c>
      <c r="F8681" s="8">
        <v>0</v>
      </c>
      <c r="G8681" s="8">
        <v>5</v>
      </c>
      <c r="H8681" s="8" t="s">
        <v>43000</v>
      </c>
      <c r="I8681" s="8">
        <v>526.6875</v>
      </c>
      <c r="J8681" s="3">
        <f t="shared" si="135"/>
        <v>43749.105209942129</v>
      </c>
    </row>
    <row r="8682" spans="1:10" x14ac:dyDescent="0.25">
      <c r="A8682" s="5" t="s">
        <v>43001</v>
      </c>
      <c r="B8682" s="6">
        <v>393.75</v>
      </c>
      <c r="C8682" s="6">
        <v>20.478950000000001</v>
      </c>
      <c r="D8682" s="6">
        <v>57</v>
      </c>
      <c r="E8682" s="6">
        <v>0</v>
      </c>
      <c r="F8682" s="6">
        <v>0</v>
      </c>
      <c r="G8682" s="6">
        <v>13</v>
      </c>
      <c r="H8682" s="6" t="s">
        <v>43002</v>
      </c>
      <c r="I8682" s="6">
        <v>526.6875</v>
      </c>
      <c r="J8682" s="2">
        <f t="shared" si="135"/>
        <v>43749.105304849531</v>
      </c>
    </row>
    <row r="8683" spans="1:10" x14ac:dyDescent="0.25">
      <c r="A8683" s="7" t="s">
        <v>43003</v>
      </c>
      <c r="B8683" s="8">
        <v>393.75</v>
      </c>
      <c r="C8683" s="8">
        <v>20.478950000000001</v>
      </c>
      <c r="D8683" s="8">
        <v>57</v>
      </c>
      <c r="E8683" s="8">
        <v>0</v>
      </c>
      <c r="F8683" s="8">
        <v>0</v>
      </c>
      <c r="G8683" s="8">
        <v>17</v>
      </c>
      <c r="H8683" s="8" t="s">
        <v>43004</v>
      </c>
      <c r="I8683" s="8">
        <v>526.6875</v>
      </c>
      <c r="J8683" s="3">
        <f t="shared" si="135"/>
        <v>43749.105376863423</v>
      </c>
    </row>
    <row r="8684" spans="1:10" x14ac:dyDescent="0.25">
      <c r="A8684" s="5" t="s">
        <v>43005</v>
      </c>
      <c r="B8684" s="6">
        <v>393.75</v>
      </c>
      <c r="C8684" s="6">
        <v>20.478950000000001</v>
      </c>
      <c r="D8684" s="6">
        <v>57</v>
      </c>
      <c r="E8684" s="6">
        <v>0</v>
      </c>
      <c r="F8684" s="6">
        <v>0</v>
      </c>
      <c r="G8684" s="6">
        <v>9</v>
      </c>
      <c r="H8684" s="6" t="s">
        <v>43006</v>
      </c>
      <c r="I8684" s="6">
        <v>526.6875</v>
      </c>
      <c r="J8684" s="2">
        <f t="shared" si="135"/>
        <v>43749.105448287031</v>
      </c>
    </row>
    <row r="8685" spans="1:10" x14ac:dyDescent="0.25">
      <c r="A8685" s="7" t="s">
        <v>43007</v>
      </c>
      <c r="B8685" s="8">
        <v>393.75</v>
      </c>
      <c r="C8685" s="8">
        <v>20.478950000000001</v>
      </c>
      <c r="D8685" s="8">
        <v>57</v>
      </c>
      <c r="E8685" s="8">
        <v>0</v>
      </c>
      <c r="F8685" s="8">
        <v>0</v>
      </c>
      <c r="G8685" s="8">
        <v>7</v>
      </c>
      <c r="H8685" s="8" t="s">
        <v>43008</v>
      </c>
      <c r="I8685" s="8">
        <v>526.6875</v>
      </c>
      <c r="J8685" s="3">
        <f t="shared" si="135"/>
        <v>43749.105531689813</v>
      </c>
    </row>
    <row r="8686" spans="1:10" x14ac:dyDescent="0.25">
      <c r="A8686" s="5" t="s">
        <v>43009</v>
      </c>
      <c r="B8686" s="6">
        <v>393.75</v>
      </c>
      <c r="C8686" s="6">
        <v>20.478950000000001</v>
      </c>
      <c r="D8686" s="6">
        <v>58</v>
      </c>
      <c r="E8686" s="6">
        <v>0</v>
      </c>
      <c r="F8686" s="6">
        <v>0</v>
      </c>
      <c r="G8686" s="6">
        <v>10</v>
      </c>
      <c r="H8686" s="6" t="s">
        <v>43010</v>
      </c>
      <c r="I8686" s="6">
        <v>526.5</v>
      </c>
      <c r="J8686" s="2">
        <f t="shared" si="135"/>
        <v>43749.105615439817</v>
      </c>
    </row>
    <row r="8687" spans="1:10" x14ac:dyDescent="0.25">
      <c r="A8687" s="7" t="s">
        <v>43011</v>
      </c>
      <c r="B8687" s="8">
        <v>393.75</v>
      </c>
      <c r="C8687" s="8">
        <v>20.478950000000001</v>
      </c>
      <c r="D8687" s="8">
        <v>58</v>
      </c>
      <c r="E8687" s="8">
        <v>0</v>
      </c>
      <c r="F8687" s="8">
        <v>0</v>
      </c>
      <c r="G8687" s="8">
        <v>7</v>
      </c>
      <c r="H8687" s="8" t="s">
        <v>43012</v>
      </c>
      <c r="I8687" s="8">
        <v>526.6875</v>
      </c>
      <c r="J8687" s="3">
        <f t="shared" si="135"/>
        <v>43749.10568685185</v>
      </c>
    </row>
    <row r="8688" spans="1:10" x14ac:dyDescent="0.25">
      <c r="A8688" s="5" t="s">
        <v>43013</v>
      </c>
      <c r="B8688" s="6">
        <v>418.75</v>
      </c>
      <c r="C8688" s="6">
        <v>20.426300000000001</v>
      </c>
      <c r="D8688" s="6">
        <v>59</v>
      </c>
      <c r="E8688" s="6">
        <v>0</v>
      </c>
      <c r="F8688" s="6">
        <v>0</v>
      </c>
      <c r="G8688" s="6">
        <v>6</v>
      </c>
      <c r="H8688" s="6" t="s">
        <v>43014</v>
      </c>
      <c r="I8688" s="6">
        <v>534</v>
      </c>
      <c r="J8688" s="2">
        <f t="shared" si="135"/>
        <v>43749.105758391197</v>
      </c>
    </row>
    <row r="8689" spans="1:10" x14ac:dyDescent="0.25">
      <c r="A8689" s="7" t="s">
        <v>43015</v>
      </c>
      <c r="B8689" s="8">
        <v>393.75</v>
      </c>
      <c r="C8689" s="8">
        <v>20.478950000000001</v>
      </c>
      <c r="D8689" s="8">
        <v>59</v>
      </c>
      <c r="E8689" s="8">
        <v>0</v>
      </c>
      <c r="F8689" s="8">
        <v>0</v>
      </c>
      <c r="G8689" s="8">
        <v>7</v>
      </c>
      <c r="H8689" s="8" t="s">
        <v>43016</v>
      </c>
      <c r="I8689" s="8">
        <v>526.6875</v>
      </c>
      <c r="J8689" s="3">
        <f t="shared" si="135"/>
        <v>43749.105830231478</v>
      </c>
    </row>
    <row r="8690" spans="1:10" x14ac:dyDescent="0.25">
      <c r="A8690" s="5" t="s">
        <v>43017</v>
      </c>
      <c r="B8690" s="6">
        <v>393.75</v>
      </c>
      <c r="C8690" s="6">
        <v>20.478950000000001</v>
      </c>
      <c r="D8690" s="6">
        <v>57</v>
      </c>
      <c r="E8690" s="6">
        <v>0</v>
      </c>
      <c r="F8690" s="6">
        <v>0</v>
      </c>
      <c r="G8690" s="6">
        <v>8</v>
      </c>
      <c r="H8690" s="6" t="s">
        <v>43018</v>
      </c>
      <c r="I8690" s="6">
        <v>526.6875</v>
      </c>
      <c r="J8690" s="2">
        <f t="shared" si="135"/>
        <v>43749.105913518513</v>
      </c>
    </row>
    <row r="8691" spans="1:10" x14ac:dyDescent="0.25">
      <c r="A8691" s="7" t="s">
        <v>43019</v>
      </c>
      <c r="B8691" s="8">
        <v>415.625</v>
      </c>
      <c r="C8691" s="8">
        <v>20.478950000000001</v>
      </c>
      <c r="D8691" s="8">
        <v>57</v>
      </c>
      <c r="E8691" s="8">
        <v>0</v>
      </c>
      <c r="F8691" s="8">
        <v>0</v>
      </c>
      <c r="G8691" s="8">
        <v>7</v>
      </c>
      <c r="H8691" s="8" t="s">
        <v>43020</v>
      </c>
      <c r="I8691" s="8">
        <v>533.8125</v>
      </c>
      <c r="J8691" s="3">
        <f t="shared" si="135"/>
        <v>43749.105996909719</v>
      </c>
    </row>
    <row r="8692" spans="1:10" x14ac:dyDescent="0.25">
      <c r="A8692" s="5" t="s">
        <v>43021</v>
      </c>
      <c r="B8692" s="6">
        <v>393.75</v>
      </c>
      <c r="C8692" s="6">
        <v>20.426300000000001</v>
      </c>
      <c r="D8692" s="6">
        <v>56</v>
      </c>
      <c r="E8692" s="6">
        <v>0</v>
      </c>
      <c r="F8692" s="6">
        <v>0</v>
      </c>
      <c r="G8692" s="6">
        <v>16</v>
      </c>
      <c r="H8692" s="6" t="s">
        <v>43022</v>
      </c>
      <c r="I8692" s="6">
        <v>526.6875</v>
      </c>
      <c r="J8692" s="2">
        <f t="shared" si="135"/>
        <v>43749.106080381942</v>
      </c>
    </row>
    <row r="8693" spans="1:10" x14ac:dyDescent="0.25">
      <c r="A8693" s="7" t="s">
        <v>43023</v>
      </c>
      <c r="B8693" s="8">
        <v>393.75</v>
      </c>
      <c r="C8693" s="8">
        <v>20.478950000000001</v>
      </c>
      <c r="D8693" s="8">
        <v>56</v>
      </c>
      <c r="E8693" s="8">
        <v>0</v>
      </c>
      <c r="F8693" s="8">
        <v>0</v>
      </c>
      <c r="G8693" s="8">
        <v>3</v>
      </c>
      <c r="H8693" s="8" t="s">
        <v>43024</v>
      </c>
      <c r="I8693" s="8">
        <v>526.6875</v>
      </c>
      <c r="J8693" s="3">
        <f t="shared" si="135"/>
        <v>43749.106163692129</v>
      </c>
    </row>
    <row r="8694" spans="1:10" x14ac:dyDescent="0.25">
      <c r="A8694" s="5" t="s">
        <v>43025</v>
      </c>
      <c r="B8694" s="6">
        <v>393.75</v>
      </c>
      <c r="C8694" s="6">
        <v>20.478950000000001</v>
      </c>
      <c r="D8694" s="6">
        <v>56</v>
      </c>
      <c r="E8694" s="6">
        <v>0</v>
      </c>
      <c r="F8694" s="6">
        <v>0</v>
      </c>
      <c r="G8694" s="6">
        <v>6</v>
      </c>
      <c r="H8694" s="6" t="s">
        <v>43026</v>
      </c>
      <c r="I8694" s="6">
        <v>526.5</v>
      </c>
      <c r="J8694" s="2">
        <f t="shared" si="135"/>
        <v>43749.106235451385</v>
      </c>
    </row>
    <row r="8695" spans="1:10" x14ac:dyDescent="0.25">
      <c r="A8695" s="7" t="s">
        <v>43027</v>
      </c>
      <c r="B8695" s="8">
        <v>393.75</v>
      </c>
      <c r="C8695" s="8">
        <v>20.478950000000001</v>
      </c>
      <c r="D8695" s="8">
        <v>58</v>
      </c>
      <c r="E8695" s="8">
        <v>0</v>
      </c>
      <c r="F8695" s="8">
        <v>0</v>
      </c>
      <c r="G8695" s="8">
        <v>4</v>
      </c>
      <c r="H8695" s="8" t="s">
        <v>43028</v>
      </c>
      <c r="I8695" s="8">
        <v>526.6875</v>
      </c>
      <c r="J8695" s="3">
        <f t="shared" si="135"/>
        <v>43749.106319016202</v>
      </c>
    </row>
    <row r="8696" spans="1:10" x14ac:dyDescent="0.25">
      <c r="A8696" s="5" t="s">
        <v>43029</v>
      </c>
      <c r="B8696" s="6">
        <v>393.75</v>
      </c>
      <c r="C8696" s="6">
        <v>20.478950000000001</v>
      </c>
      <c r="D8696" s="6">
        <v>58</v>
      </c>
      <c r="E8696" s="6">
        <v>0</v>
      </c>
      <c r="F8696" s="6">
        <v>0</v>
      </c>
      <c r="G8696" s="6">
        <v>8</v>
      </c>
      <c r="H8696" s="6" t="s">
        <v>43030</v>
      </c>
      <c r="I8696" s="6">
        <v>526.6875</v>
      </c>
      <c r="J8696" s="2">
        <f t="shared" si="135"/>
        <v>43749.106402488418</v>
      </c>
    </row>
    <row r="8697" spans="1:10" x14ac:dyDescent="0.25">
      <c r="A8697" s="7" t="s">
        <v>43031</v>
      </c>
      <c r="B8697" s="8">
        <v>393.75</v>
      </c>
      <c r="C8697" s="8">
        <v>20.478950000000001</v>
      </c>
      <c r="D8697" s="8">
        <v>59</v>
      </c>
      <c r="E8697" s="8">
        <v>0</v>
      </c>
      <c r="F8697" s="8">
        <v>0</v>
      </c>
      <c r="G8697" s="8">
        <v>6</v>
      </c>
      <c r="H8697" s="8" t="s">
        <v>43032</v>
      </c>
      <c r="I8697" s="8">
        <v>526.6875</v>
      </c>
      <c r="J8697" s="3">
        <f t="shared" si="135"/>
        <v>43749.106474039349</v>
      </c>
    </row>
    <row r="8698" spans="1:10" x14ac:dyDescent="0.25">
      <c r="A8698" s="5" t="s">
        <v>43033</v>
      </c>
      <c r="B8698" s="6">
        <v>393.75</v>
      </c>
      <c r="C8698" s="6">
        <v>20.478950000000001</v>
      </c>
      <c r="D8698" s="6">
        <v>58</v>
      </c>
      <c r="E8698" s="6">
        <v>0</v>
      </c>
      <c r="F8698" s="6">
        <v>0</v>
      </c>
      <c r="G8698" s="6">
        <v>21</v>
      </c>
      <c r="H8698" s="6" t="s">
        <v>43034</v>
      </c>
      <c r="I8698" s="6">
        <v>526.6875</v>
      </c>
      <c r="J8698" s="2">
        <f t="shared" si="135"/>
        <v>43749.106545208335</v>
      </c>
    </row>
    <row r="8699" spans="1:10" x14ac:dyDescent="0.25">
      <c r="A8699" s="7" t="s">
        <v>43035</v>
      </c>
      <c r="B8699" s="8">
        <v>393.75</v>
      </c>
      <c r="C8699" s="8">
        <v>20.426300000000001</v>
      </c>
      <c r="D8699" s="8">
        <v>57</v>
      </c>
      <c r="E8699" s="8">
        <v>0</v>
      </c>
      <c r="F8699" s="8">
        <v>0</v>
      </c>
      <c r="G8699" s="8">
        <v>0</v>
      </c>
      <c r="H8699" s="8" t="s">
        <v>43036</v>
      </c>
      <c r="I8699" s="8">
        <v>526.6875</v>
      </c>
      <c r="J8699" s="3">
        <f t="shared" si="135"/>
        <v>43749.106617268517</v>
      </c>
    </row>
    <row r="8700" spans="1:10" x14ac:dyDescent="0.25">
      <c r="A8700" s="5" t="s">
        <v>43037</v>
      </c>
      <c r="B8700" s="6">
        <v>412.5</v>
      </c>
      <c r="C8700" s="6">
        <v>20.478950000000001</v>
      </c>
      <c r="D8700" s="6">
        <v>58</v>
      </c>
      <c r="E8700" s="6">
        <v>0</v>
      </c>
      <c r="F8700" s="6">
        <v>0</v>
      </c>
      <c r="G8700" s="6">
        <v>10</v>
      </c>
      <c r="H8700" s="6" t="s">
        <v>43038</v>
      </c>
      <c r="I8700" s="6">
        <v>532.125</v>
      </c>
      <c r="J8700" s="2">
        <f t="shared" si="135"/>
        <v>43749.106700717595</v>
      </c>
    </row>
    <row r="8701" spans="1:10" x14ac:dyDescent="0.25">
      <c r="A8701" s="7" t="s">
        <v>43039</v>
      </c>
      <c r="B8701" s="8">
        <v>393.75</v>
      </c>
      <c r="C8701" s="8">
        <v>20.478950000000001</v>
      </c>
      <c r="D8701" s="8">
        <v>58</v>
      </c>
      <c r="E8701" s="8">
        <v>0</v>
      </c>
      <c r="F8701" s="8">
        <v>0</v>
      </c>
      <c r="G8701" s="8">
        <v>11</v>
      </c>
      <c r="H8701" s="8" t="s">
        <v>43040</v>
      </c>
      <c r="I8701" s="8">
        <v>526.6875</v>
      </c>
      <c r="J8701" s="3">
        <f t="shared" si="135"/>
        <v>43749.106795960644</v>
      </c>
    </row>
    <row r="8702" spans="1:10" x14ac:dyDescent="0.25">
      <c r="A8702" s="5" t="s">
        <v>43041</v>
      </c>
      <c r="B8702" s="6">
        <v>393.75</v>
      </c>
      <c r="C8702" s="6">
        <v>20.478950000000001</v>
      </c>
      <c r="D8702" s="6">
        <v>59</v>
      </c>
      <c r="E8702" s="6">
        <v>0</v>
      </c>
      <c r="F8702" s="6">
        <v>0</v>
      </c>
      <c r="G8702" s="6">
        <v>4</v>
      </c>
      <c r="H8702" s="6" t="s">
        <v>43042</v>
      </c>
      <c r="I8702" s="6">
        <v>526.6875</v>
      </c>
      <c r="J8702" s="2">
        <f t="shared" si="135"/>
        <v>43749.106879409715</v>
      </c>
    </row>
    <row r="8703" spans="1:10" x14ac:dyDescent="0.25">
      <c r="A8703" s="7" t="s">
        <v>43043</v>
      </c>
      <c r="B8703" s="8">
        <v>393.75</v>
      </c>
      <c r="C8703" s="8">
        <v>20.478950000000001</v>
      </c>
      <c r="D8703" s="8">
        <v>58</v>
      </c>
      <c r="E8703" s="8">
        <v>0</v>
      </c>
      <c r="F8703" s="8">
        <v>0</v>
      </c>
      <c r="G8703" s="8">
        <v>6</v>
      </c>
      <c r="H8703" s="8" t="s">
        <v>43044</v>
      </c>
      <c r="I8703" s="8">
        <v>526.6875</v>
      </c>
      <c r="J8703" s="3">
        <f t="shared" si="135"/>
        <v>43749.106950717593</v>
      </c>
    </row>
    <row r="8704" spans="1:10" x14ac:dyDescent="0.25">
      <c r="A8704" s="5" t="s">
        <v>43045</v>
      </c>
      <c r="B8704" s="6">
        <v>393.75</v>
      </c>
      <c r="C8704" s="6">
        <v>20.478950000000001</v>
      </c>
      <c r="D8704" s="6">
        <v>58</v>
      </c>
      <c r="E8704" s="6">
        <v>0</v>
      </c>
      <c r="F8704" s="6">
        <v>0</v>
      </c>
      <c r="G8704" s="6">
        <v>13</v>
      </c>
      <c r="H8704" s="6" t="s">
        <v>43046</v>
      </c>
      <c r="I8704" s="6">
        <v>526.6875</v>
      </c>
      <c r="J8704" s="2">
        <f t="shared" si="135"/>
        <v>43749.107034120367</v>
      </c>
    </row>
    <row r="8705" spans="1:10" x14ac:dyDescent="0.25">
      <c r="A8705" s="7" t="s">
        <v>43047</v>
      </c>
      <c r="B8705" s="8">
        <v>393.75</v>
      </c>
      <c r="C8705" s="8">
        <v>20.478950000000001</v>
      </c>
      <c r="D8705" s="8">
        <v>58</v>
      </c>
      <c r="E8705" s="8">
        <v>0</v>
      </c>
      <c r="F8705" s="8">
        <v>0</v>
      </c>
      <c r="G8705" s="8">
        <v>8</v>
      </c>
      <c r="H8705" s="8" t="s">
        <v>43048</v>
      </c>
      <c r="I8705" s="8">
        <v>526.6875</v>
      </c>
      <c r="J8705" s="3">
        <f t="shared" si="135"/>
        <v>43749.107106053234</v>
      </c>
    </row>
    <row r="8706" spans="1:10" x14ac:dyDescent="0.25">
      <c r="A8706" s="5" t="s">
        <v>43049</v>
      </c>
      <c r="B8706" s="6">
        <v>393.75</v>
      </c>
      <c r="C8706" s="6">
        <v>20.478950000000001</v>
      </c>
      <c r="D8706" s="6">
        <v>58</v>
      </c>
      <c r="E8706" s="6">
        <v>0</v>
      </c>
      <c r="F8706" s="6">
        <v>0</v>
      </c>
      <c r="G8706" s="6">
        <v>3</v>
      </c>
      <c r="H8706" s="6" t="s">
        <v>43050</v>
      </c>
      <c r="I8706" s="6">
        <v>526.6875</v>
      </c>
      <c r="J8706" s="2">
        <f t="shared" ref="J8706:J8769" si="136">(H8706/86400000)+25569+(7/24)</f>
        <v>43749.107189618058</v>
      </c>
    </row>
    <row r="8707" spans="1:10" x14ac:dyDescent="0.25">
      <c r="A8707" s="7" t="s">
        <v>43051</v>
      </c>
      <c r="B8707" s="8">
        <v>393.75</v>
      </c>
      <c r="C8707" s="8">
        <v>20.478950000000001</v>
      </c>
      <c r="D8707" s="8">
        <v>59</v>
      </c>
      <c r="E8707" s="8">
        <v>0</v>
      </c>
      <c r="F8707" s="8">
        <v>0</v>
      </c>
      <c r="G8707" s="8">
        <v>5</v>
      </c>
      <c r="H8707" s="8" t="s">
        <v>43052</v>
      </c>
      <c r="I8707" s="8">
        <v>526.6875</v>
      </c>
      <c r="J8707" s="3">
        <f t="shared" si="136"/>
        <v>43749.107261145829</v>
      </c>
    </row>
    <row r="8708" spans="1:10" x14ac:dyDescent="0.25">
      <c r="A8708" s="5" t="s">
        <v>43053</v>
      </c>
      <c r="B8708" s="6">
        <v>412.5</v>
      </c>
      <c r="C8708" s="6">
        <v>20.478950000000001</v>
      </c>
      <c r="D8708" s="6">
        <v>59</v>
      </c>
      <c r="E8708" s="6">
        <v>0</v>
      </c>
      <c r="F8708" s="6">
        <v>0</v>
      </c>
      <c r="G8708" s="6">
        <v>5</v>
      </c>
      <c r="H8708" s="6" t="s">
        <v>43054</v>
      </c>
      <c r="I8708" s="6">
        <v>532.3125</v>
      </c>
      <c r="J8708" s="2">
        <f t="shared" si="136"/>
        <v>43749.107332546293</v>
      </c>
    </row>
    <row r="8709" spans="1:10" x14ac:dyDescent="0.25">
      <c r="A8709" s="7" t="s">
        <v>43055</v>
      </c>
      <c r="B8709" s="8">
        <v>393.75</v>
      </c>
      <c r="C8709" s="8">
        <v>20.478950000000001</v>
      </c>
      <c r="D8709" s="8">
        <v>58</v>
      </c>
      <c r="E8709" s="8">
        <v>0</v>
      </c>
      <c r="F8709" s="8">
        <v>0</v>
      </c>
      <c r="G8709" s="8">
        <v>10</v>
      </c>
      <c r="H8709" s="8" t="s">
        <v>43056</v>
      </c>
      <c r="I8709" s="8">
        <v>526.6875</v>
      </c>
      <c r="J8709" s="3">
        <f t="shared" si="136"/>
        <v>43749.107415659724</v>
      </c>
    </row>
    <row r="8710" spans="1:10" x14ac:dyDescent="0.25">
      <c r="A8710" s="5" t="s">
        <v>43057</v>
      </c>
      <c r="B8710" s="6">
        <v>393.75</v>
      </c>
      <c r="C8710" s="6">
        <v>20.478950000000001</v>
      </c>
      <c r="D8710" s="6">
        <v>57</v>
      </c>
      <c r="E8710" s="6">
        <v>0</v>
      </c>
      <c r="F8710" s="6">
        <v>0</v>
      </c>
      <c r="G8710" s="6">
        <v>4</v>
      </c>
      <c r="H8710" s="6" t="s">
        <v>43058</v>
      </c>
      <c r="I8710" s="6">
        <v>526.6875</v>
      </c>
      <c r="J8710" s="2">
        <f t="shared" si="136"/>
        <v>43749.107487650464</v>
      </c>
    </row>
    <row r="8711" spans="1:10" x14ac:dyDescent="0.25">
      <c r="A8711" s="7" t="s">
        <v>43059</v>
      </c>
      <c r="B8711" s="8">
        <v>415.625</v>
      </c>
      <c r="C8711" s="8">
        <v>20.478950000000001</v>
      </c>
      <c r="D8711" s="8">
        <v>56</v>
      </c>
      <c r="E8711" s="8">
        <v>0</v>
      </c>
      <c r="F8711" s="8">
        <v>0</v>
      </c>
      <c r="G8711" s="8">
        <v>6</v>
      </c>
      <c r="H8711" s="8" t="s">
        <v>43060</v>
      </c>
      <c r="I8711" s="8">
        <v>533.4375</v>
      </c>
      <c r="J8711" s="3">
        <f t="shared" si="136"/>
        <v>43749.10757782407</v>
      </c>
    </row>
    <row r="8712" spans="1:10" x14ac:dyDescent="0.25">
      <c r="A8712" s="5" t="s">
        <v>43061</v>
      </c>
      <c r="B8712" s="6">
        <v>393.75</v>
      </c>
      <c r="C8712" s="6">
        <v>20.478950000000001</v>
      </c>
      <c r="D8712" s="6">
        <v>58</v>
      </c>
      <c r="E8712" s="6">
        <v>0</v>
      </c>
      <c r="F8712" s="6">
        <v>0</v>
      </c>
      <c r="G8712" s="6">
        <v>2</v>
      </c>
      <c r="H8712" s="6" t="s">
        <v>43062</v>
      </c>
      <c r="I8712" s="6">
        <v>526.6875</v>
      </c>
      <c r="J8712" s="2">
        <f t="shared" si="136"/>
        <v>43749.107654537038</v>
      </c>
    </row>
    <row r="8713" spans="1:10" x14ac:dyDescent="0.25">
      <c r="A8713" s="7" t="s">
        <v>43063</v>
      </c>
      <c r="B8713" s="8">
        <v>393.75</v>
      </c>
      <c r="C8713" s="8">
        <v>20.478950000000001</v>
      </c>
      <c r="D8713" s="8">
        <v>59</v>
      </c>
      <c r="E8713" s="8">
        <v>0</v>
      </c>
      <c r="F8713" s="8">
        <v>0</v>
      </c>
      <c r="G8713" s="8">
        <v>4</v>
      </c>
      <c r="H8713" s="8" t="s">
        <v>43064</v>
      </c>
      <c r="I8713" s="8">
        <v>526.6875</v>
      </c>
      <c r="J8713" s="3">
        <f t="shared" si="136"/>
        <v>43749.107737673614</v>
      </c>
    </row>
    <row r="8714" spans="1:10" x14ac:dyDescent="0.25">
      <c r="A8714" s="5" t="s">
        <v>43065</v>
      </c>
      <c r="B8714" s="6">
        <v>393.75</v>
      </c>
      <c r="C8714" s="6">
        <v>20.478950000000001</v>
      </c>
      <c r="D8714" s="6">
        <v>59</v>
      </c>
      <c r="E8714" s="6">
        <v>0</v>
      </c>
      <c r="F8714" s="6">
        <v>0</v>
      </c>
      <c r="G8714" s="6">
        <v>3</v>
      </c>
      <c r="H8714" s="6" t="s">
        <v>43066</v>
      </c>
      <c r="I8714" s="6">
        <v>526.6875</v>
      </c>
      <c r="J8714" s="2">
        <f t="shared" si="136"/>
        <v>43749.107809444446</v>
      </c>
    </row>
    <row r="8715" spans="1:10" x14ac:dyDescent="0.25">
      <c r="A8715" s="7" t="s">
        <v>43067</v>
      </c>
      <c r="B8715" s="8">
        <v>393.75</v>
      </c>
      <c r="C8715" s="8">
        <v>20.478950000000001</v>
      </c>
      <c r="D8715" s="8">
        <v>59</v>
      </c>
      <c r="E8715" s="8">
        <v>0</v>
      </c>
      <c r="F8715" s="8">
        <v>0</v>
      </c>
      <c r="G8715" s="8">
        <v>8</v>
      </c>
      <c r="H8715" s="8" t="s">
        <v>43068</v>
      </c>
      <c r="I8715" s="8">
        <v>526.6875</v>
      </c>
      <c r="J8715" s="3">
        <f t="shared" si="136"/>
        <v>43749.107893078697</v>
      </c>
    </row>
    <row r="8716" spans="1:10" x14ac:dyDescent="0.25">
      <c r="A8716" s="5" t="s">
        <v>43069</v>
      </c>
      <c r="B8716" s="6">
        <v>393.75</v>
      </c>
      <c r="C8716" s="6">
        <v>20.426300000000001</v>
      </c>
      <c r="D8716" s="6">
        <v>59</v>
      </c>
      <c r="E8716" s="6">
        <v>0</v>
      </c>
      <c r="F8716" s="6">
        <v>0</v>
      </c>
      <c r="G8716" s="6">
        <v>8</v>
      </c>
      <c r="H8716" s="6" t="s">
        <v>43070</v>
      </c>
      <c r="I8716" s="6">
        <v>526.6875</v>
      </c>
      <c r="J8716" s="2">
        <f t="shared" si="136"/>
        <v>43749.107976516207</v>
      </c>
    </row>
    <row r="8717" spans="1:10" x14ac:dyDescent="0.25">
      <c r="A8717" s="7" t="s">
        <v>43071</v>
      </c>
      <c r="B8717" s="8">
        <v>393.75</v>
      </c>
      <c r="C8717" s="8">
        <v>20.478950000000001</v>
      </c>
      <c r="D8717" s="8">
        <v>61</v>
      </c>
      <c r="E8717" s="8">
        <v>0</v>
      </c>
      <c r="F8717" s="8">
        <v>0</v>
      </c>
      <c r="G8717" s="8">
        <v>8</v>
      </c>
      <c r="H8717" s="8" t="s">
        <v>43072</v>
      </c>
      <c r="I8717" s="8">
        <v>526.6875</v>
      </c>
      <c r="J8717" s="3">
        <f t="shared" si="136"/>
        <v>43749.108059918981</v>
      </c>
    </row>
    <row r="8718" spans="1:10" x14ac:dyDescent="0.25">
      <c r="A8718" s="5" t="s">
        <v>43073</v>
      </c>
      <c r="B8718" s="6">
        <v>393.75</v>
      </c>
      <c r="C8718" s="6">
        <v>20.478950000000001</v>
      </c>
      <c r="D8718" s="6">
        <v>61</v>
      </c>
      <c r="E8718" s="6">
        <v>0</v>
      </c>
      <c r="F8718" s="6">
        <v>0</v>
      </c>
      <c r="G8718" s="6">
        <v>11</v>
      </c>
      <c r="H8718" s="6" t="s">
        <v>43074</v>
      </c>
      <c r="I8718" s="6">
        <v>526.6875</v>
      </c>
      <c r="J8718" s="2">
        <f t="shared" si="136"/>
        <v>43749.10814449074</v>
      </c>
    </row>
    <row r="8719" spans="1:10" x14ac:dyDescent="0.25">
      <c r="A8719" s="7" t="s">
        <v>43075</v>
      </c>
      <c r="B8719" s="8">
        <v>393.75</v>
      </c>
      <c r="C8719" s="8">
        <v>20.478950000000001</v>
      </c>
      <c r="D8719" s="8">
        <v>61</v>
      </c>
      <c r="E8719" s="8">
        <v>0</v>
      </c>
      <c r="F8719" s="8">
        <v>0</v>
      </c>
      <c r="G8719" s="8">
        <v>2</v>
      </c>
      <c r="H8719" s="8" t="s">
        <v>43076</v>
      </c>
      <c r="I8719" s="8">
        <v>526.6875</v>
      </c>
      <c r="J8719" s="3">
        <f t="shared" si="136"/>
        <v>43749.108226493052</v>
      </c>
    </row>
    <row r="8720" spans="1:10" x14ac:dyDescent="0.25">
      <c r="A8720" s="5" t="s">
        <v>43077</v>
      </c>
      <c r="B8720" s="6">
        <v>393.75</v>
      </c>
      <c r="C8720" s="6">
        <v>20.478950000000001</v>
      </c>
      <c r="D8720" s="6">
        <v>61</v>
      </c>
      <c r="E8720" s="6">
        <v>0</v>
      </c>
      <c r="F8720" s="6">
        <v>0</v>
      </c>
      <c r="G8720" s="6">
        <v>8</v>
      </c>
      <c r="H8720" s="6" t="s">
        <v>43078</v>
      </c>
      <c r="I8720" s="6">
        <v>526.6875</v>
      </c>
      <c r="J8720" s="2">
        <f t="shared" si="136"/>
        <v>43749.108298252315</v>
      </c>
    </row>
    <row r="8721" spans="1:10" x14ac:dyDescent="0.25">
      <c r="A8721" s="7" t="s">
        <v>43079</v>
      </c>
      <c r="B8721" s="8">
        <v>393.75</v>
      </c>
      <c r="C8721" s="8">
        <v>20.478950000000001</v>
      </c>
      <c r="D8721" s="8">
        <v>61</v>
      </c>
      <c r="E8721" s="8">
        <v>0</v>
      </c>
      <c r="F8721" s="8">
        <v>0</v>
      </c>
      <c r="G8721" s="8">
        <v>9</v>
      </c>
      <c r="H8721" s="8" t="s">
        <v>43080</v>
      </c>
      <c r="I8721" s="8">
        <v>526.5</v>
      </c>
      <c r="J8721" s="3">
        <f t="shared" si="136"/>
        <v>43749.10838197916</v>
      </c>
    </row>
    <row r="8722" spans="1:10" x14ac:dyDescent="0.25">
      <c r="A8722" s="5" t="s">
        <v>43081</v>
      </c>
      <c r="B8722" s="6">
        <v>393.75</v>
      </c>
      <c r="C8722" s="6">
        <v>20.426300000000001</v>
      </c>
      <c r="D8722" s="6">
        <v>59</v>
      </c>
      <c r="E8722" s="6">
        <v>0</v>
      </c>
      <c r="F8722" s="6">
        <v>0</v>
      </c>
      <c r="G8722" s="6">
        <v>0</v>
      </c>
      <c r="H8722" s="6" t="s">
        <v>43082</v>
      </c>
      <c r="I8722" s="6">
        <v>526.6875</v>
      </c>
      <c r="J8722" s="2">
        <f t="shared" si="136"/>
        <v>43749.10845349537</v>
      </c>
    </row>
    <row r="8723" spans="1:10" x14ac:dyDescent="0.25">
      <c r="A8723" s="7" t="s">
        <v>43083</v>
      </c>
      <c r="B8723" s="8">
        <v>393.75</v>
      </c>
      <c r="C8723" s="8">
        <v>20.426300000000001</v>
      </c>
      <c r="D8723" s="8">
        <v>59</v>
      </c>
      <c r="E8723" s="8">
        <v>0</v>
      </c>
      <c r="F8723" s="8">
        <v>0</v>
      </c>
      <c r="G8723" s="8">
        <v>1</v>
      </c>
      <c r="H8723" s="8" t="s">
        <v>43084</v>
      </c>
      <c r="I8723" s="8">
        <v>526.6875</v>
      </c>
      <c r="J8723" s="3">
        <f t="shared" si="136"/>
        <v>43749.108524976851</v>
      </c>
    </row>
    <row r="8724" spans="1:10" x14ac:dyDescent="0.25">
      <c r="A8724" s="5" t="s">
        <v>43085</v>
      </c>
      <c r="B8724" s="6">
        <v>393.75</v>
      </c>
      <c r="C8724" s="6">
        <v>20.478950000000001</v>
      </c>
      <c r="D8724" s="6">
        <v>60</v>
      </c>
      <c r="E8724" s="6">
        <v>0</v>
      </c>
      <c r="F8724" s="6">
        <v>0</v>
      </c>
      <c r="G8724" s="6">
        <v>3</v>
      </c>
      <c r="H8724" s="6" t="s">
        <v>43086</v>
      </c>
      <c r="I8724" s="6">
        <v>526.6875</v>
      </c>
      <c r="J8724" s="2">
        <f t="shared" si="136"/>
        <v>43749.108608206014</v>
      </c>
    </row>
    <row r="8725" spans="1:10" x14ac:dyDescent="0.25">
      <c r="A8725" s="7" t="s">
        <v>43087</v>
      </c>
      <c r="B8725" s="8">
        <v>393.75</v>
      </c>
      <c r="C8725" s="8">
        <v>20.426300000000001</v>
      </c>
      <c r="D8725" s="8">
        <v>60</v>
      </c>
      <c r="E8725" s="8">
        <v>0</v>
      </c>
      <c r="F8725" s="8">
        <v>0</v>
      </c>
      <c r="G8725" s="8">
        <v>6</v>
      </c>
      <c r="H8725" s="8" t="s">
        <v>43088</v>
      </c>
      <c r="I8725" s="8">
        <v>526.6875</v>
      </c>
      <c r="J8725" s="3">
        <f t="shared" si="136"/>
        <v>43749.108680069439</v>
      </c>
    </row>
    <row r="8726" spans="1:10" x14ac:dyDescent="0.25">
      <c r="A8726" s="5" t="s">
        <v>43089</v>
      </c>
      <c r="B8726" s="6">
        <v>393.75</v>
      </c>
      <c r="C8726" s="6">
        <v>20.478950000000001</v>
      </c>
      <c r="D8726" s="6">
        <v>59</v>
      </c>
      <c r="E8726" s="6">
        <v>0</v>
      </c>
      <c r="F8726" s="6">
        <v>0</v>
      </c>
      <c r="G8726" s="6">
        <v>1</v>
      </c>
      <c r="H8726" s="6" t="s">
        <v>43090</v>
      </c>
      <c r="I8726" s="6">
        <v>526.6875</v>
      </c>
      <c r="J8726" s="2">
        <f t="shared" si="136"/>
        <v>43749.108763530086</v>
      </c>
    </row>
    <row r="8727" spans="1:10" x14ac:dyDescent="0.25">
      <c r="A8727" s="7" t="s">
        <v>43091</v>
      </c>
      <c r="B8727" s="8">
        <v>393.75</v>
      </c>
      <c r="C8727" s="8">
        <v>20.426300000000001</v>
      </c>
      <c r="D8727" s="8">
        <v>59</v>
      </c>
      <c r="E8727" s="8">
        <v>0</v>
      </c>
      <c r="F8727" s="8">
        <v>0</v>
      </c>
      <c r="G8727" s="8">
        <v>0</v>
      </c>
      <c r="H8727" s="8" t="s">
        <v>43092</v>
      </c>
      <c r="I8727" s="8">
        <v>526.6875</v>
      </c>
      <c r="J8727" s="3">
        <f t="shared" si="136"/>
        <v>43749.108847175921</v>
      </c>
    </row>
    <row r="8728" spans="1:10" x14ac:dyDescent="0.25">
      <c r="A8728" s="5" t="s">
        <v>43093</v>
      </c>
      <c r="B8728" s="6">
        <v>393.75</v>
      </c>
      <c r="C8728" s="6">
        <v>20.478950000000001</v>
      </c>
      <c r="D8728" s="6">
        <v>59</v>
      </c>
      <c r="E8728" s="6">
        <v>0</v>
      </c>
      <c r="F8728" s="6">
        <v>0</v>
      </c>
      <c r="G8728" s="6">
        <v>0</v>
      </c>
      <c r="H8728" s="6" t="s">
        <v>43094</v>
      </c>
      <c r="I8728" s="6">
        <v>526.6875</v>
      </c>
      <c r="J8728" s="2">
        <f t="shared" si="136"/>
        <v>43749.108930208335</v>
      </c>
    </row>
    <row r="8729" spans="1:10" x14ac:dyDescent="0.25">
      <c r="A8729" s="7" t="s">
        <v>43095</v>
      </c>
      <c r="B8729" s="8">
        <v>393.75</v>
      </c>
      <c r="C8729" s="8">
        <v>20.478950000000001</v>
      </c>
      <c r="D8729" s="8">
        <v>59</v>
      </c>
      <c r="E8729" s="8">
        <v>0</v>
      </c>
      <c r="F8729" s="8">
        <v>0</v>
      </c>
      <c r="G8729" s="8">
        <v>9</v>
      </c>
      <c r="H8729" s="8" t="s">
        <v>43096</v>
      </c>
      <c r="I8729" s="8">
        <v>526.6875</v>
      </c>
      <c r="J8729" s="3">
        <f t="shared" si="136"/>
        <v>43749.109001979166</v>
      </c>
    </row>
    <row r="8730" spans="1:10" x14ac:dyDescent="0.25">
      <c r="A8730" s="5" t="s">
        <v>43097</v>
      </c>
      <c r="B8730" s="6">
        <v>393.75</v>
      </c>
      <c r="C8730" s="6">
        <v>20.426300000000001</v>
      </c>
      <c r="D8730" s="6">
        <v>61</v>
      </c>
      <c r="E8730" s="6">
        <v>0</v>
      </c>
      <c r="F8730" s="6">
        <v>0</v>
      </c>
      <c r="G8730" s="6">
        <v>0</v>
      </c>
      <c r="H8730" s="6" t="s">
        <v>43098</v>
      </c>
      <c r="I8730" s="6">
        <v>526.6875</v>
      </c>
      <c r="J8730" s="2">
        <f t="shared" si="136"/>
        <v>43749.109097175919</v>
      </c>
    </row>
    <row r="8731" spans="1:10" x14ac:dyDescent="0.25">
      <c r="A8731" s="7" t="s">
        <v>43099</v>
      </c>
      <c r="B8731" s="8">
        <v>393.75</v>
      </c>
      <c r="C8731" s="8">
        <v>20.478950000000001</v>
      </c>
      <c r="D8731" s="8">
        <v>60</v>
      </c>
      <c r="E8731" s="8">
        <v>0</v>
      </c>
      <c r="F8731" s="8">
        <v>0</v>
      </c>
      <c r="G8731" s="8">
        <v>2</v>
      </c>
      <c r="H8731" s="8" t="s">
        <v>43100</v>
      </c>
      <c r="I8731" s="8">
        <v>526.6875</v>
      </c>
      <c r="J8731" s="3">
        <f t="shared" si="136"/>
        <v>43749.109169016207</v>
      </c>
    </row>
    <row r="8732" spans="1:10" x14ac:dyDescent="0.25">
      <c r="A8732" s="5" t="s">
        <v>43101</v>
      </c>
      <c r="B8732" s="6">
        <v>393.75</v>
      </c>
      <c r="C8732" s="6">
        <v>20.478950000000001</v>
      </c>
      <c r="D8732" s="6">
        <v>60</v>
      </c>
      <c r="E8732" s="6">
        <v>0</v>
      </c>
      <c r="F8732" s="6">
        <v>0</v>
      </c>
      <c r="G8732" s="6">
        <v>3</v>
      </c>
      <c r="H8732" s="6" t="s">
        <v>43102</v>
      </c>
      <c r="I8732" s="6">
        <v>526.6875</v>
      </c>
      <c r="J8732" s="2">
        <f t="shared" si="136"/>
        <v>43749.10925243055</v>
      </c>
    </row>
    <row r="8733" spans="1:10" x14ac:dyDescent="0.25">
      <c r="A8733" s="7" t="s">
        <v>43103</v>
      </c>
      <c r="B8733" s="8">
        <v>393.75</v>
      </c>
      <c r="C8733" s="8">
        <v>20.426300000000001</v>
      </c>
      <c r="D8733" s="8">
        <v>60</v>
      </c>
      <c r="E8733" s="8">
        <v>0</v>
      </c>
      <c r="F8733" s="8">
        <v>0</v>
      </c>
      <c r="G8733" s="8">
        <v>3</v>
      </c>
      <c r="H8733" s="8" t="s">
        <v>43104</v>
      </c>
      <c r="I8733" s="8">
        <v>526.6875</v>
      </c>
      <c r="J8733" s="3">
        <f t="shared" si="136"/>
        <v>43749.109324039346</v>
      </c>
    </row>
    <row r="8734" spans="1:10" x14ac:dyDescent="0.25">
      <c r="A8734" s="5" t="s">
        <v>43105</v>
      </c>
      <c r="B8734" s="6">
        <v>393.75</v>
      </c>
      <c r="C8734" s="6">
        <v>20.478950000000001</v>
      </c>
      <c r="D8734" s="6">
        <v>58</v>
      </c>
      <c r="E8734" s="6">
        <v>0</v>
      </c>
      <c r="F8734" s="6">
        <v>0</v>
      </c>
      <c r="G8734" s="6">
        <v>2</v>
      </c>
      <c r="H8734" s="6" t="s">
        <v>43106</v>
      </c>
      <c r="I8734" s="6">
        <v>526.6875</v>
      </c>
      <c r="J8734" s="2">
        <f t="shared" si="136"/>
        <v>43749.109407557866</v>
      </c>
    </row>
    <row r="8735" spans="1:10" x14ac:dyDescent="0.25">
      <c r="A8735" s="7" t="s">
        <v>43107</v>
      </c>
      <c r="B8735" s="8">
        <v>393.75</v>
      </c>
      <c r="C8735" s="8">
        <v>20.478950000000001</v>
      </c>
      <c r="D8735" s="8">
        <v>58</v>
      </c>
      <c r="E8735" s="8">
        <v>0</v>
      </c>
      <c r="F8735" s="8">
        <v>0</v>
      </c>
      <c r="G8735" s="8">
        <v>9</v>
      </c>
      <c r="H8735" s="8" t="s">
        <v>43108</v>
      </c>
      <c r="I8735" s="8">
        <v>526.6875</v>
      </c>
      <c r="J8735" s="3">
        <f t="shared" si="136"/>
        <v>43749.109479236104</v>
      </c>
    </row>
    <row r="8736" spans="1:10" x14ac:dyDescent="0.25">
      <c r="A8736" s="5" t="s">
        <v>43109</v>
      </c>
      <c r="B8736" s="6">
        <v>393.75</v>
      </c>
      <c r="C8736" s="6">
        <v>20.478950000000001</v>
      </c>
      <c r="D8736" s="6">
        <v>58</v>
      </c>
      <c r="E8736" s="6">
        <v>0</v>
      </c>
      <c r="F8736" s="6">
        <v>0</v>
      </c>
      <c r="G8736" s="6">
        <v>11</v>
      </c>
      <c r="H8736" s="6" t="s">
        <v>43110</v>
      </c>
      <c r="I8736" s="6">
        <v>526.6875</v>
      </c>
      <c r="J8736" s="2">
        <f t="shared" si="136"/>
        <v>43749.10955050926</v>
      </c>
    </row>
    <row r="8737" spans="1:10" x14ac:dyDescent="0.25">
      <c r="A8737" s="7" t="s">
        <v>43111</v>
      </c>
      <c r="B8737" s="8">
        <v>393.75</v>
      </c>
      <c r="C8737" s="8">
        <v>20.478950000000001</v>
      </c>
      <c r="D8737" s="8">
        <v>58</v>
      </c>
      <c r="E8737" s="8">
        <v>0</v>
      </c>
      <c r="F8737" s="8">
        <v>0</v>
      </c>
      <c r="G8737" s="8">
        <v>1</v>
      </c>
      <c r="H8737" s="8" t="s">
        <v>43112</v>
      </c>
      <c r="I8737" s="8">
        <v>526.6875</v>
      </c>
      <c r="J8737" s="3">
        <f t="shared" si="136"/>
        <v>43749.109633912034</v>
      </c>
    </row>
    <row r="8738" spans="1:10" x14ac:dyDescent="0.25">
      <c r="A8738" s="5" t="s">
        <v>43113</v>
      </c>
      <c r="B8738" s="6">
        <v>393.75</v>
      </c>
      <c r="C8738" s="6">
        <v>20.478950000000001</v>
      </c>
      <c r="D8738" s="6">
        <v>60</v>
      </c>
      <c r="E8738" s="6">
        <v>0</v>
      </c>
      <c r="F8738" s="6">
        <v>0</v>
      </c>
      <c r="G8738" s="6">
        <v>8</v>
      </c>
      <c r="H8738" s="6" t="s">
        <v>43114</v>
      </c>
      <c r="I8738" s="6">
        <v>526.6875</v>
      </c>
      <c r="J8738" s="2">
        <f t="shared" si="136"/>
        <v>43749.109705624993</v>
      </c>
    </row>
    <row r="8739" spans="1:10" x14ac:dyDescent="0.25">
      <c r="A8739" s="7" t="s">
        <v>43115</v>
      </c>
      <c r="B8739" s="8">
        <v>393.75</v>
      </c>
      <c r="C8739" s="8">
        <v>20.478950000000001</v>
      </c>
      <c r="D8739" s="8">
        <v>60</v>
      </c>
      <c r="E8739" s="8">
        <v>0</v>
      </c>
      <c r="F8739" s="8">
        <v>0</v>
      </c>
      <c r="G8739" s="8">
        <v>10</v>
      </c>
      <c r="H8739" s="8" t="s">
        <v>43116</v>
      </c>
      <c r="I8739" s="8">
        <v>526.6875</v>
      </c>
      <c r="J8739" s="3">
        <f t="shared" si="136"/>
        <v>43749.109789548609</v>
      </c>
    </row>
    <row r="8740" spans="1:10" x14ac:dyDescent="0.25">
      <c r="A8740" s="5" t="s">
        <v>43117</v>
      </c>
      <c r="B8740" s="6">
        <v>393.75</v>
      </c>
      <c r="C8740" s="6">
        <v>20.478950000000001</v>
      </c>
      <c r="D8740" s="6">
        <v>60</v>
      </c>
      <c r="E8740" s="6">
        <v>0</v>
      </c>
      <c r="F8740" s="6">
        <v>0</v>
      </c>
      <c r="G8740" s="6">
        <v>8</v>
      </c>
      <c r="H8740" s="6" t="s">
        <v>43118</v>
      </c>
      <c r="I8740" s="6">
        <v>526.6875</v>
      </c>
      <c r="J8740" s="2">
        <f t="shared" si="136"/>
        <v>43749.10986074074</v>
      </c>
    </row>
    <row r="8741" spans="1:10" x14ac:dyDescent="0.25">
      <c r="A8741" s="7" t="s">
        <v>43119</v>
      </c>
      <c r="B8741" s="8">
        <v>393.75</v>
      </c>
      <c r="C8741" s="8">
        <v>20.478950000000001</v>
      </c>
      <c r="D8741" s="8">
        <v>60</v>
      </c>
      <c r="E8741" s="8">
        <v>0</v>
      </c>
      <c r="F8741" s="8">
        <v>0</v>
      </c>
      <c r="G8741" s="8">
        <v>11</v>
      </c>
      <c r="H8741" s="8" t="s">
        <v>43120</v>
      </c>
      <c r="I8741" s="8">
        <v>526.6875</v>
      </c>
      <c r="J8741" s="3">
        <f t="shared" si="136"/>
        <v>43749.109932256943</v>
      </c>
    </row>
    <row r="8742" spans="1:10" x14ac:dyDescent="0.25">
      <c r="A8742" s="5" t="s">
        <v>43121</v>
      </c>
      <c r="B8742" s="6">
        <v>412.5</v>
      </c>
      <c r="C8742" s="6">
        <v>20.478950000000001</v>
      </c>
      <c r="D8742" s="6">
        <v>57</v>
      </c>
      <c r="E8742" s="6">
        <v>0</v>
      </c>
      <c r="F8742" s="6">
        <v>0</v>
      </c>
      <c r="G8742" s="6">
        <v>8</v>
      </c>
      <c r="H8742" s="6" t="s">
        <v>43122</v>
      </c>
      <c r="I8742" s="6">
        <v>532.5</v>
      </c>
      <c r="J8742" s="2">
        <f t="shared" si="136"/>
        <v>43749.11001546296</v>
      </c>
    </row>
    <row r="8743" spans="1:10" x14ac:dyDescent="0.25">
      <c r="A8743" s="7" t="s">
        <v>43123</v>
      </c>
      <c r="B8743" s="8">
        <v>393.75</v>
      </c>
      <c r="C8743" s="8">
        <v>20.478950000000001</v>
      </c>
      <c r="D8743" s="8">
        <v>57</v>
      </c>
      <c r="E8743" s="8">
        <v>0</v>
      </c>
      <c r="F8743" s="8">
        <v>0</v>
      </c>
      <c r="G8743" s="8">
        <v>5</v>
      </c>
      <c r="H8743" s="8" t="s">
        <v>43124</v>
      </c>
      <c r="I8743" s="8">
        <v>526.6875</v>
      </c>
      <c r="J8743" s="3">
        <f t="shared" si="136"/>
        <v>43749.110087303234</v>
      </c>
    </row>
    <row r="8744" spans="1:10" x14ac:dyDescent="0.25">
      <c r="A8744" s="5" t="s">
        <v>43125</v>
      </c>
      <c r="B8744" s="6">
        <v>393.75</v>
      </c>
      <c r="C8744" s="6">
        <v>20.426300000000001</v>
      </c>
      <c r="D8744" s="6">
        <v>57</v>
      </c>
      <c r="E8744" s="6">
        <v>0</v>
      </c>
      <c r="F8744" s="6">
        <v>0</v>
      </c>
      <c r="G8744" s="6">
        <v>0</v>
      </c>
      <c r="H8744" s="6" t="s">
        <v>43126</v>
      </c>
      <c r="I8744" s="6">
        <v>526.6875</v>
      </c>
      <c r="J8744" s="2">
        <f t="shared" si="136"/>
        <v>43749.110170740743</v>
      </c>
    </row>
    <row r="8745" spans="1:10" x14ac:dyDescent="0.25">
      <c r="A8745" s="7" t="s">
        <v>43127</v>
      </c>
      <c r="B8745" s="8">
        <v>412.5</v>
      </c>
      <c r="C8745" s="8">
        <v>20.426300000000001</v>
      </c>
      <c r="D8745" s="8">
        <v>56</v>
      </c>
      <c r="E8745" s="8">
        <v>0</v>
      </c>
      <c r="F8745" s="8">
        <v>0</v>
      </c>
      <c r="G8745" s="8">
        <v>7</v>
      </c>
      <c r="H8745" s="8" t="s">
        <v>43128</v>
      </c>
      <c r="I8745" s="8">
        <v>532.125</v>
      </c>
      <c r="J8745" s="3">
        <f t="shared" si="136"/>
        <v>43749.110242337956</v>
      </c>
    </row>
    <row r="8746" spans="1:10" x14ac:dyDescent="0.25">
      <c r="A8746" s="5" t="s">
        <v>43129</v>
      </c>
      <c r="B8746" s="6">
        <v>393.75</v>
      </c>
      <c r="C8746" s="6">
        <v>20.426300000000001</v>
      </c>
      <c r="D8746" s="6">
        <v>55</v>
      </c>
      <c r="E8746" s="6">
        <v>0</v>
      </c>
      <c r="F8746" s="6">
        <v>0</v>
      </c>
      <c r="G8746" s="6">
        <v>4</v>
      </c>
      <c r="H8746" s="6" t="s">
        <v>43130</v>
      </c>
      <c r="I8746" s="6">
        <v>526.6875</v>
      </c>
      <c r="J8746" s="2">
        <f t="shared" si="136"/>
        <v>43749.11031384259</v>
      </c>
    </row>
    <row r="8747" spans="1:10" x14ac:dyDescent="0.25">
      <c r="A8747" s="7" t="s">
        <v>43131</v>
      </c>
      <c r="B8747" s="8">
        <v>393.75</v>
      </c>
      <c r="C8747" s="8">
        <v>20.426300000000001</v>
      </c>
      <c r="D8747" s="8">
        <v>55</v>
      </c>
      <c r="E8747" s="8">
        <v>0</v>
      </c>
      <c r="F8747" s="8">
        <v>0</v>
      </c>
      <c r="G8747" s="8">
        <v>1</v>
      </c>
      <c r="H8747" s="8" t="s">
        <v>43132</v>
      </c>
      <c r="I8747" s="8">
        <v>526.6875</v>
      </c>
      <c r="J8747" s="3">
        <f t="shared" si="136"/>
        <v>43749.110385428234</v>
      </c>
    </row>
    <row r="8748" spans="1:10" x14ac:dyDescent="0.25">
      <c r="A8748" s="5" t="s">
        <v>43133</v>
      </c>
      <c r="B8748" s="6">
        <v>393.75</v>
      </c>
      <c r="C8748" s="6">
        <v>20.426300000000001</v>
      </c>
      <c r="D8748" s="6">
        <v>55</v>
      </c>
      <c r="E8748" s="6">
        <v>0</v>
      </c>
      <c r="F8748" s="6">
        <v>0</v>
      </c>
      <c r="G8748" s="6">
        <v>0</v>
      </c>
      <c r="H8748" s="6" t="s">
        <v>43134</v>
      </c>
      <c r="I8748" s="6">
        <v>526.6875</v>
      </c>
      <c r="J8748" s="2">
        <f t="shared" si="136"/>
        <v>43749.110470717591</v>
      </c>
    </row>
    <row r="8749" spans="1:10" x14ac:dyDescent="0.25">
      <c r="A8749" s="7" t="s">
        <v>43135</v>
      </c>
      <c r="B8749" s="8">
        <v>393.75</v>
      </c>
      <c r="C8749" s="8">
        <v>20.478950000000001</v>
      </c>
      <c r="D8749" s="8">
        <v>55</v>
      </c>
      <c r="E8749" s="8">
        <v>0</v>
      </c>
      <c r="F8749" s="8">
        <v>0</v>
      </c>
      <c r="G8749" s="8">
        <v>6</v>
      </c>
      <c r="H8749" s="8" t="s">
        <v>43136</v>
      </c>
      <c r="I8749" s="8">
        <v>526.6875</v>
      </c>
      <c r="J8749" s="3">
        <f t="shared" si="136"/>
        <v>43749.110552499995</v>
      </c>
    </row>
    <row r="8750" spans="1:10" x14ac:dyDescent="0.25">
      <c r="A8750" s="5" t="s">
        <v>43137</v>
      </c>
      <c r="B8750" s="6">
        <v>393.75</v>
      </c>
      <c r="C8750" s="6">
        <v>20.478950000000001</v>
      </c>
      <c r="D8750" s="6">
        <v>55</v>
      </c>
      <c r="E8750" s="6">
        <v>0</v>
      </c>
      <c r="F8750" s="6">
        <v>0</v>
      </c>
      <c r="G8750" s="6">
        <v>13</v>
      </c>
      <c r="H8750" s="6" t="s">
        <v>43138</v>
      </c>
      <c r="I8750" s="6">
        <v>526.6875</v>
      </c>
      <c r="J8750" s="2">
        <f t="shared" si="136"/>
        <v>43749.110624039349</v>
      </c>
    </row>
    <row r="8751" spans="1:10" x14ac:dyDescent="0.25">
      <c r="A8751" s="7" t="s">
        <v>43139</v>
      </c>
      <c r="B8751" s="8">
        <v>393.75</v>
      </c>
      <c r="C8751" s="8">
        <v>20.478950000000001</v>
      </c>
      <c r="D8751" s="8">
        <v>55</v>
      </c>
      <c r="E8751" s="8">
        <v>0</v>
      </c>
      <c r="F8751" s="8">
        <v>0</v>
      </c>
      <c r="G8751" s="8">
        <v>9</v>
      </c>
      <c r="H8751" s="8" t="s">
        <v>43140</v>
      </c>
      <c r="I8751" s="8">
        <v>526.6875</v>
      </c>
      <c r="J8751" s="3">
        <f t="shared" si="136"/>
        <v>43749.110707442123</v>
      </c>
    </row>
    <row r="8752" spans="1:10" x14ac:dyDescent="0.25">
      <c r="A8752" s="5" t="s">
        <v>43141</v>
      </c>
      <c r="B8752" s="6">
        <v>393.75</v>
      </c>
      <c r="C8752" s="6">
        <v>20.478950000000001</v>
      </c>
      <c r="D8752" s="6">
        <v>55</v>
      </c>
      <c r="E8752" s="6">
        <v>0</v>
      </c>
      <c r="F8752" s="6">
        <v>0</v>
      </c>
      <c r="G8752" s="6">
        <v>10</v>
      </c>
      <c r="H8752" s="6" t="s">
        <v>43142</v>
      </c>
      <c r="I8752" s="6">
        <v>526.6875</v>
      </c>
      <c r="J8752" s="2">
        <f t="shared" si="136"/>
        <v>43749.110802696756</v>
      </c>
    </row>
    <row r="8753" spans="1:10" x14ac:dyDescent="0.25">
      <c r="A8753" s="7" t="s">
        <v>43143</v>
      </c>
      <c r="B8753" s="8">
        <v>431.25</v>
      </c>
      <c r="C8753" s="8">
        <v>20.478950000000001</v>
      </c>
      <c r="D8753" s="8">
        <v>55</v>
      </c>
      <c r="E8753" s="8">
        <v>0</v>
      </c>
      <c r="F8753" s="8">
        <v>0</v>
      </c>
      <c r="G8753" s="8">
        <v>0</v>
      </c>
      <c r="H8753" s="8" t="s">
        <v>43144</v>
      </c>
      <c r="I8753" s="8">
        <v>538.5</v>
      </c>
      <c r="J8753" s="3">
        <f t="shared" si="136"/>
        <v>43749.110874247686</v>
      </c>
    </row>
    <row r="8754" spans="1:10" x14ac:dyDescent="0.25">
      <c r="A8754" s="5" t="s">
        <v>43145</v>
      </c>
      <c r="B8754" s="6">
        <v>393.75</v>
      </c>
      <c r="C8754" s="6">
        <v>20.478950000000001</v>
      </c>
      <c r="D8754" s="6">
        <v>52</v>
      </c>
      <c r="E8754" s="6">
        <v>0</v>
      </c>
      <c r="F8754" s="6">
        <v>0</v>
      </c>
      <c r="G8754" s="6">
        <v>8</v>
      </c>
      <c r="H8754" s="6" t="s">
        <v>43146</v>
      </c>
      <c r="I8754" s="6">
        <v>526.6875</v>
      </c>
      <c r="J8754" s="2">
        <f t="shared" si="136"/>
        <v>43749.110946006942</v>
      </c>
    </row>
    <row r="8755" spans="1:10" x14ac:dyDescent="0.25">
      <c r="A8755" s="7" t="s">
        <v>43147</v>
      </c>
      <c r="B8755" s="8">
        <v>393.75</v>
      </c>
      <c r="C8755" s="8">
        <v>20.426300000000001</v>
      </c>
      <c r="D8755" s="8">
        <v>52</v>
      </c>
      <c r="E8755" s="8">
        <v>0</v>
      </c>
      <c r="F8755" s="8">
        <v>0</v>
      </c>
      <c r="G8755" s="8">
        <v>9</v>
      </c>
      <c r="H8755" s="8" t="s">
        <v>43148</v>
      </c>
      <c r="I8755" s="8">
        <v>526.6875</v>
      </c>
      <c r="J8755" s="3">
        <f t="shared" si="136"/>
        <v>43749.111017476847</v>
      </c>
    </row>
    <row r="8756" spans="1:10" x14ac:dyDescent="0.25">
      <c r="A8756" s="5" t="s">
        <v>43149</v>
      </c>
      <c r="B8756" s="6">
        <v>393.75</v>
      </c>
      <c r="C8756" s="6">
        <v>20.478950000000001</v>
      </c>
      <c r="D8756" s="6">
        <v>62</v>
      </c>
      <c r="E8756" s="6">
        <v>0</v>
      </c>
      <c r="F8756" s="6">
        <v>0</v>
      </c>
      <c r="G8756" s="6">
        <v>9</v>
      </c>
      <c r="H8756" s="6" t="s">
        <v>43150</v>
      </c>
      <c r="I8756" s="6">
        <v>526.6875</v>
      </c>
      <c r="J8756" s="2">
        <f t="shared" si="136"/>
        <v>43749.11110065972</v>
      </c>
    </row>
    <row r="8757" spans="1:10" x14ac:dyDescent="0.25">
      <c r="A8757" s="7" t="s">
        <v>43151</v>
      </c>
      <c r="B8757" s="8">
        <v>396.875</v>
      </c>
      <c r="C8757" s="8">
        <v>20.478950000000001</v>
      </c>
      <c r="D8757" s="8">
        <v>62</v>
      </c>
      <c r="E8757" s="8">
        <v>0</v>
      </c>
      <c r="F8757" s="8">
        <v>0</v>
      </c>
      <c r="G8757" s="8">
        <v>7</v>
      </c>
      <c r="H8757" s="8" t="s">
        <v>43152</v>
      </c>
      <c r="I8757" s="8">
        <v>527.625</v>
      </c>
      <c r="J8757" s="3">
        <f t="shared" si="136"/>
        <v>43749.111172557867</v>
      </c>
    </row>
    <row r="8758" spans="1:10" x14ac:dyDescent="0.25">
      <c r="A8758" s="5" t="s">
        <v>43153</v>
      </c>
      <c r="B8758" s="6">
        <v>393.75</v>
      </c>
      <c r="C8758" s="6">
        <v>20.426300000000001</v>
      </c>
      <c r="D8758" s="6">
        <v>62</v>
      </c>
      <c r="E8758" s="6">
        <v>0</v>
      </c>
      <c r="F8758" s="6">
        <v>0</v>
      </c>
      <c r="G8758" s="6">
        <v>11</v>
      </c>
      <c r="H8758" s="6" t="s">
        <v>43154</v>
      </c>
      <c r="I8758" s="6">
        <v>526.6875</v>
      </c>
      <c r="J8758" s="2">
        <f t="shared" si="136"/>
        <v>43749.111243981482</v>
      </c>
    </row>
    <row r="8759" spans="1:10" x14ac:dyDescent="0.25">
      <c r="A8759" s="7" t="s">
        <v>43155</v>
      </c>
      <c r="B8759" s="8">
        <v>393.75</v>
      </c>
      <c r="C8759" s="8">
        <v>20.426300000000001</v>
      </c>
      <c r="D8759" s="8">
        <v>60</v>
      </c>
      <c r="E8759" s="8">
        <v>0</v>
      </c>
      <c r="F8759" s="8">
        <v>0</v>
      </c>
      <c r="G8759" s="8">
        <v>0</v>
      </c>
      <c r="H8759" s="8" t="s">
        <v>43156</v>
      </c>
      <c r="I8759" s="8">
        <v>526.6875</v>
      </c>
      <c r="J8759" s="3">
        <f t="shared" si="136"/>
        <v>43749.111327534723</v>
      </c>
    </row>
    <row r="8760" spans="1:10" x14ac:dyDescent="0.25">
      <c r="A8760" s="5" t="s">
        <v>43157</v>
      </c>
      <c r="B8760" s="6">
        <v>421.875</v>
      </c>
      <c r="C8760" s="6">
        <v>20.426300000000001</v>
      </c>
      <c r="D8760" s="6">
        <v>58</v>
      </c>
      <c r="E8760" s="6">
        <v>0</v>
      </c>
      <c r="F8760" s="6">
        <v>0</v>
      </c>
      <c r="G8760" s="6">
        <v>7</v>
      </c>
      <c r="H8760" s="6" t="s">
        <v>43158</v>
      </c>
      <c r="I8760" s="6">
        <v>535.3125</v>
      </c>
      <c r="J8760" s="2">
        <f t="shared" si="136"/>
        <v>43749.111398912035</v>
      </c>
    </row>
    <row r="8761" spans="1:10" x14ac:dyDescent="0.25">
      <c r="A8761" s="7" t="s">
        <v>43159</v>
      </c>
      <c r="B8761" s="8">
        <v>393.75</v>
      </c>
      <c r="C8761" s="8">
        <v>20.478950000000001</v>
      </c>
      <c r="D8761" s="8">
        <v>57</v>
      </c>
      <c r="E8761" s="8">
        <v>0</v>
      </c>
      <c r="F8761" s="8">
        <v>0</v>
      </c>
      <c r="G8761" s="8">
        <v>12</v>
      </c>
      <c r="H8761" s="8" t="s">
        <v>43160</v>
      </c>
      <c r="I8761" s="8">
        <v>526.6875</v>
      </c>
      <c r="J8761" s="3">
        <f t="shared" si="136"/>
        <v>43749.111482141197</v>
      </c>
    </row>
    <row r="8762" spans="1:10" x14ac:dyDescent="0.25">
      <c r="A8762" s="5" t="s">
        <v>43161</v>
      </c>
      <c r="B8762" s="6">
        <v>393.75</v>
      </c>
      <c r="C8762" s="6">
        <v>20.478950000000001</v>
      </c>
      <c r="D8762" s="6">
        <v>57</v>
      </c>
      <c r="E8762" s="6">
        <v>0</v>
      </c>
      <c r="F8762" s="6">
        <v>0</v>
      </c>
      <c r="G8762" s="6">
        <v>2</v>
      </c>
      <c r="H8762" s="6" t="s">
        <v>43162</v>
      </c>
      <c r="I8762" s="6">
        <v>526.6875</v>
      </c>
      <c r="J8762" s="2">
        <f t="shared" si="136"/>
        <v>43749.111554166666</v>
      </c>
    </row>
    <row r="8763" spans="1:10" x14ac:dyDescent="0.25">
      <c r="A8763" s="7" t="s">
        <v>43163</v>
      </c>
      <c r="B8763" s="8">
        <v>393.75</v>
      </c>
      <c r="C8763" s="8">
        <v>20.478950000000001</v>
      </c>
      <c r="D8763" s="8">
        <v>57</v>
      </c>
      <c r="E8763" s="8">
        <v>0</v>
      </c>
      <c r="F8763" s="8">
        <v>0</v>
      </c>
      <c r="G8763" s="8">
        <v>3</v>
      </c>
      <c r="H8763" s="8" t="s">
        <v>43164</v>
      </c>
      <c r="I8763" s="8">
        <v>526.5</v>
      </c>
      <c r="J8763" s="3">
        <f t="shared" si="136"/>
        <v>43749.11162560185</v>
      </c>
    </row>
    <row r="8764" spans="1:10" x14ac:dyDescent="0.25">
      <c r="A8764" s="5" t="s">
        <v>43165</v>
      </c>
      <c r="B8764" s="6">
        <v>393.75</v>
      </c>
      <c r="C8764" s="6">
        <v>20.478950000000001</v>
      </c>
      <c r="D8764" s="6">
        <v>55</v>
      </c>
      <c r="E8764" s="6">
        <v>0</v>
      </c>
      <c r="F8764" s="6">
        <v>0</v>
      </c>
      <c r="G8764" s="6">
        <v>4</v>
      </c>
      <c r="H8764" s="6" t="s">
        <v>43166</v>
      </c>
      <c r="I8764" s="6">
        <v>526.6875</v>
      </c>
      <c r="J8764" s="2">
        <f t="shared" si="136"/>
        <v>43749.111696886575</v>
      </c>
    </row>
    <row r="8765" spans="1:10" x14ac:dyDescent="0.25">
      <c r="A8765" s="7" t="s">
        <v>43167</v>
      </c>
      <c r="B8765" s="8">
        <v>393.75</v>
      </c>
      <c r="C8765" s="8">
        <v>20.478950000000001</v>
      </c>
      <c r="D8765" s="8">
        <v>55</v>
      </c>
      <c r="E8765" s="8">
        <v>0</v>
      </c>
      <c r="F8765" s="8">
        <v>0</v>
      </c>
      <c r="G8765" s="8">
        <v>16</v>
      </c>
      <c r="H8765" s="8" t="s">
        <v>43168</v>
      </c>
      <c r="I8765" s="8">
        <v>526.5</v>
      </c>
      <c r="J8765" s="3">
        <f t="shared" si="136"/>
        <v>43749.111768726849</v>
      </c>
    </row>
    <row r="8766" spans="1:10" x14ac:dyDescent="0.25">
      <c r="A8766" s="5" t="s">
        <v>43169</v>
      </c>
      <c r="B8766" s="6">
        <v>393.75</v>
      </c>
      <c r="C8766" s="6">
        <v>20.478950000000001</v>
      </c>
      <c r="D8766" s="6">
        <v>54</v>
      </c>
      <c r="E8766" s="6">
        <v>0</v>
      </c>
      <c r="F8766" s="6">
        <v>0</v>
      </c>
      <c r="G8766" s="6">
        <v>6</v>
      </c>
      <c r="H8766" s="6" t="s">
        <v>43170</v>
      </c>
      <c r="I8766" s="6">
        <v>526.6875</v>
      </c>
      <c r="J8766" s="2">
        <f t="shared" si="136"/>
        <v>43749.111852118054</v>
      </c>
    </row>
    <row r="8767" spans="1:10" x14ac:dyDescent="0.25">
      <c r="A8767" s="7" t="s">
        <v>43171</v>
      </c>
      <c r="B8767" s="8">
        <v>412.5</v>
      </c>
      <c r="C8767" s="8">
        <v>20.478950000000001</v>
      </c>
      <c r="D8767" s="8">
        <v>55</v>
      </c>
      <c r="E8767" s="8">
        <v>0</v>
      </c>
      <c r="F8767" s="8">
        <v>0</v>
      </c>
      <c r="G8767" s="8">
        <v>14</v>
      </c>
      <c r="H8767" s="8" t="s">
        <v>43172</v>
      </c>
      <c r="I8767" s="8">
        <v>532.6875</v>
      </c>
      <c r="J8767" s="3">
        <f t="shared" si="136"/>
        <v>43749.111923761571</v>
      </c>
    </row>
    <row r="8768" spans="1:10" x14ac:dyDescent="0.25">
      <c r="A8768" s="5" t="s">
        <v>43173</v>
      </c>
      <c r="B8768" s="6">
        <v>393.75</v>
      </c>
      <c r="C8768" s="6">
        <v>20.478950000000001</v>
      </c>
      <c r="D8768" s="6">
        <v>55</v>
      </c>
      <c r="E8768" s="6">
        <v>0</v>
      </c>
      <c r="F8768" s="6">
        <v>0</v>
      </c>
      <c r="G8768" s="6">
        <v>1</v>
      </c>
      <c r="H8768" s="6" t="s">
        <v>43174</v>
      </c>
      <c r="I8768" s="6">
        <v>526.6875</v>
      </c>
      <c r="J8768" s="2">
        <f t="shared" si="136"/>
        <v>43749.111995381943</v>
      </c>
    </row>
    <row r="8769" spans="1:10" x14ac:dyDescent="0.25">
      <c r="A8769" s="7" t="s">
        <v>43175</v>
      </c>
      <c r="B8769" s="8">
        <v>393.75</v>
      </c>
      <c r="C8769" s="8">
        <v>20.426300000000001</v>
      </c>
      <c r="D8769" s="8">
        <v>55</v>
      </c>
      <c r="E8769" s="8">
        <v>0</v>
      </c>
      <c r="F8769" s="8">
        <v>0</v>
      </c>
      <c r="G8769" s="8">
        <v>11</v>
      </c>
      <c r="H8769" s="8" t="s">
        <v>43176</v>
      </c>
      <c r="I8769" s="8">
        <v>526.5</v>
      </c>
      <c r="J8769" s="3">
        <f t="shared" si="136"/>
        <v>43749.112078460646</v>
      </c>
    </row>
    <row r="8770" spans="1:10" x14ac:dyDescent="0.25">
      <c r="A8770" s="5" t="s">
        <v>43177</v>
      </c>
      <c r="B8770" s="6">
        <v>393.75</v>
      </c>
      <c r="C8770" s="6">
        <v>20.478950000000001</v>
      </c>
      <c r="D8770" s="6">
        <v>55</v>
      </c>
      <c r="E8770" s="6">
        <v>0</v>
      </c>
      <c r="F8770" s="6">
        <v>0</v>
      </c>
      <c r="G8770" s="6">
        <v>9</v>
      </c>
      <c r="H8770" s="6" t="s">
        <v>43178</v>
      </c>
      <c r="I8770" s="6">
        <v>526.6875</v>
      </c>
      <c r="J8770" s="2">
        <f t="shared" ref="J8770:J8833" si="137">(H8770/86400000)+25569+(7/24)</f>
        <v>43749.11215040509</v>
      </c>
    </row>
    <row r="8771" spans="1:10" x14ac:dyDescent="0.25">
      <c r="A8771" s="7" t="s">
        <v>43179</v>
      </c>
      <c r="B8771" s="8">
        <v>393.75</v>
      </c>
      <c r="C8771" s="8">
        <v>20.478950000000001</v>
      </c>
      <c r="D8771" s="8">
        <v>57</v>
      </c>
      <c r="E8771" s="8">
        <v>0</v>
      </c>
      <c r="F8771" s="8">
        <v>0</v>
      </c>
      <c r="G8771" s="8">
        <v>7</v>
      </c>
      <c r="H8771" s="8" t="s">
        <v>43180</v>
      </c>
      <c r="I8771" s="8">
        <v>526.6875</v>
      </c>
      <c r="J8771" s="3">
        <f t="shared" si="137"/>
        <v>43749.112233842585</v>
      </c>
    </row>
    <row r="8772" spans="1:10" x14ac:dyDescent="0.25">
      <c r="A8772" s="5" t="s">
        <v>43181</v>
      </c>
      <c r="B8772" s="6">
        <v>393.75</v>
      </c>
      <c r="C8772" s="6">
        <v>20.478950000000001</v>
      </c>
      <c r="D8772" s="6">
        <v>56</v>
      </c>
      <c r="E8772" s="6">
        <v>0</v>
      </c>
      <c r="F8772" s="6">
        <v>0</v>
      </c>
      <c r="G8772" s="6">
        <v>7</v>
      </c>
      <c r="H8772" s="6" t="s">
        <v>43182</v>
      </c>
      <c r="I8772" s="6">
        <v>526.6875</v>
      </c>
      <c r="J8772" s="2">
        <f t="shared" si="137"/>
        <v>43749.112305289345</v>
      </c>
    </row>
    <row r="8773" spans="1:10" x14ac:dyDescent="0.25">
      <c r="A8773" s="7" t="s">
        <v>43183</v>
      </c>
      <c r="B8773" s="8">
        <v>393.75</v>
      </c>
      <c r="C8773" s="8">
        <v>20.478950000000001</v>
      </c>
      <c r="D8773" s="8">
        <v>56</v>
      </c>
      <c r="E8773" s="8">
        <v>0</v>
      </c>
      <c r="F8773" s="8">
        <v>0</v>
      </c>
      <c r="G8773" s="8">
        <v>4</v>
      </c>
      <c r="H8773" s="8" t="s">
        <v>43184</v>
      </c>
      <c r="I8773" s="8">
        <v>526.6875</v>
      </c>
      <c r="J8773" s="3">
        <f t="shared" si="137"/>
        <v>43749.112376874997</v>
      </c>
    </row>
    <row r="8774" spans="1:10" x14ac:dyDescent="0.25">
      <c r="A8774" s="5" t="s">
        <v>43185</v>
      </c>
      <c r="B8774" s="6">
        <v>393.75</v>
      </c>
      <c r="C8774" s="6">
        <v>20.478950000000001</v>
      </c>
      <c r="D8774" s="6">
        <v>56</v>
      </c>
      <c r="E8774" s="6">
        <v>0</v>
      </c>
      <c r="F8774" s="6">
        <v>0</v>
      </c>
      <c r="G8774" s="6">
        <v>5</v>
      </c>
      <c r="H8774" s="6" t="s">
        <v>43186</v>
      </c>
      <c r="I8774" s="6">
        <v>526.6875</v>
      </c>
      <c r="J8774" s="2">
        <f t="shared" si="137"/>
        <v>43749.112459976845</v>
      </c>
    </row>
    <row r="8775" spans="1:10" x14ac:dyDescent="0.25">
      <c r="A8775" s="7" t="s">
        <v>43187</v>
      </c>
      <c r="B8775" s="8">
        <v>393.75</v>
      </c>
      <c r="C8775" s="8">
        <v>20.478950000000001</v>
      </c>
      <c r="D8775" s="8">
        <v>55</v>
      </c>
      <c r="E8775" s="8">
        <v>0</v>
      </c>
      <c r="F8775" s="8">
        <v>0</v>
      </c>
      <c r="G8775" s="8">
        <v>11</v>
      </c>
      <c r="H8775" s="8" t="s">
        <v>43188</v>
      </c>
      <c r="I8775" s="8">
        <v>526.6875</v>
      </c>
      <c r="J8775" s="3">
        <f t="shared" si="137"/>
        <v>43749.112531493054</v>
      </c>
    </row>
    <row r="8776" spans="1:10" x14ac:dyDescent="0.25">
      <c r="A8776" s="5" t="s">
        <v>43189</v>
      </c>
      <c r="B8776" s="6">
        <v>393.75</v>
      </c>
      <c r="C8776" s="6">
        <v>20.426300000000001</v>
      </c>
      <c r="D8776" s="6">
        <v>55</v>
      </c>
      <c r="E8776" s="6">
        <v>0</v>
      </c>
      <c r="F8776" s="6">
        <v>0</v>
      </c>
      <c r="G8776" s="6">
        <v>10</v>
      </c>
      <c r="H8776" s="6" t="s">
        <v>43190</v>
      </c>
      <c r="I8776" s="6">
        <v>526.6875</v>
      </c>
      <c r="J8776" s="2">
        <f t="shared" si="137"/>
        <v>43749.112615509257</v>
      </c>
    </row>
    <row r="8777" spans="1:10" x14ac:dyDescent="0.25">
      <c r="A8777" s="7" t="s">
        <v>43191</v>
      </c>
      <c r="B8777" s="8">
        <v>393.75</v>
      </c>
      <c r="C8777" s="8">
        <v>20.478950000000001</v>
      </c>
      <c r="D8777" s="8">
        <v>55</v>
      </c>
      <c r="E8777" s="8">
        <v>0</v>
      </c>
      <c r="F8777" s="8">
        <v>0</v>
      </c>
      <c r="G8777" s="8">
        <v>8</v>
      </c>
      <c r="H8777" s="8" t="s">
        <v>43192</v>
      </c>
      <c r="I8777" s="8">
        <v>526.6875</v>
      </c>
      <c r="J8777" s="3">
        <f t="shared" si="137"/>
        <v>43749.112699004625</v>
      </c>
    </row>
    <row r="8778" spans="1:10" x14ac:dyDescent="0.25">
      <c r="A8778" s="5" t="s">
        <v>43193</v>
      </c>
      <c r="B8778" s="6">
        <v>393.75</v>
      </c>
      <c r="C8778" s="6">
        <v>20.426300000000001</v>
      </c>
      <c r="D8778" s="6">
        <v>57</v>
      </c>
      <c r="E8778" s="6">
        <v>0</v>
      </c>
      <c r="F8778" s="6">
        <v>0</v>
      </c>
      <c r="G8778" s="6">
        <v>19</v>
      </c>
      <c r="H8778" s="6" t="s">
        <v>43194</v>
      </c>
      <c r="I8778" s="6">
        <v>526.6875</v>
      </c>
      <c r="J8778" s="2">
        <f t="shared" si="137"/>
        <v>43749.112782175922</v>
      </c>
    </row>
    <row r="8779" spans="1:10" x14ac:dyDescent="0.25">
      <c r="A8779" s="7" t="s">
        <v>43195</v>
      </c>
      <c r="B8779" s="8">
        <v>431.25</v>
      </c>
      <c r="C8779" s="8">
        <v>20.478950000000001</v>
      </c>
      <c r="D8779" s="8">
        <v>56</v>
      </c>
      <c r="E8779" s="8">
        <v>0</v>
      </c>
      <c r="F8779" s="8">
        <v>0</v>
      </c>
      <c r="G8779" s="8">
        <v>15</v>
      </c>
      <c r="H8779" s="8" t="s">
        <v>43196</v>
      </c>
      <c r="I8779" s="8">
        <v>538.5</v>
      </c>
      <c r="J8779" s="3">
        <f t="shared" si="137"/>
        <v>43749.112853912033</v>
      </c>
    </row>
    <row r="8780" spans="1:10" x14ac:dyDescent="0.25">
      <c r="A8780" s="5" t="s">
        <v>43197</v>
      </c>
      <c r="B8780" s="6">
        <v>393.75</v>
      </c>
      <c r="C8780" s="6">
        <v>20.478950000000001</v>
      </c>
      <c r="D8780" s="6">
        <v>56</v>
      </c>
      <c r="E8780" s="6">
        <v>0</v>
      </c>
      <c r="F8780" s="6">
        <v>0</v>
      </c>
      <c r="G8780" s="6">
        <v>6</v>
      </c>
      <c r="H8780" s="6" t="s">
        <v>43198</v>
      </c>
      <c r="I8780" s="6">
        <v>526.6875</v>
      </c>
      <c r="J8780" s="2">
        <f t="shared" si="137"/>
        <v>43749.112937453705</v>
      </c>
    </row>
    <row r="8781" spans="1:10" x14ac:dyDescent="0.25">
      <c r="A8781" s="7" t="s">
        <v>43199</v>
      </c>
      <c r="B8781" s="8">
        <v>393.75</v>
      </c>
      <c r="C8781" s="8">
        <v>20.478950000000001</v>
      </c>
      <c r="D8781" s="8">
        <v>57</v>
      </c>
      <c r="E8781" s="8">
        <v>0</v>
      </c>
      <c r="F8781" s="8">
        <v>0</v>
      </c>
      <c r="G8781" s="8">
        <v>7</v>
      </c>
      <c r="H8781" s="8" t="s">
        <v>43200</v>
      </c>
      <c r="I8781" s="8">
        <v>526.6875</v>
      </c>
      <c r="J8781" s="3">
        <f t="shared" si="137"/>
        <v>43749.113020856479</v>
      </c>
    </row>
    <row r="8782" spans="1:10" x14ac:dyDescent="0.25">
      <c r="A8782" s="5" t="s">
        <v>43201</v>
      </c>
      <c r="B8782" s="6">
        <v>412.5</v>
      </c>
      <c r="C8782" s="6">
        <v>20.478950000000001</v>
      </c>
      <c r="D8782" s="6">
        <v>56</v>
      </c>
      <c r="E8782" s="6">
        <v>0</v>
      </c>
      <c r="F8782" s="6">
        <v>0</v>
      </c>
      <c r="G8782" s="6">
        <v>11</v>
      </c>
      <c r="H8782" s="6" t="s">
        <v>43202</v>
      </c>
      <c r="I8782" s="6">
        <v>532.3125</v>
      </c>
      <c r="J8782" s="2">
        <f t="shared" si="137"/>
        <v>43749.113092442123</v>
      </c>
    </row>
    <row r="8783" spans="1:10" x14ac:dyDescent="0.25">
      <c r="A8783" s="7" t="s">
        <v>43203</v>
      </c>
      <c r="B8783" s="8">
        <v>393.75</v>
      </c>
      <c r="C8783" s="8">
        <v>20.478950000000001</v>
      </c>
      <c r="D8783" s="8">
        <v>55</v>
      </c>
      <c r="E8783" s="8">
        <v>0</v>
      </c>
      <c r="F8783" s="8">
        <v>0</v>
      </c>
      <c r="G8783" s="8">
        <v>13</v>
      </c>
      <c r="H8783" s="8" t="s">
        <v>43204</v>
      </c>
      <c r="I8783" s="8">
        <v>526.6875</v>
      </c>
      <c r="J8783" s="3">
        <f t="shared" si="137"/>
        <v>43749.11316364583</v>
      </c>
    </row>
    <row r="8784" spans="1:10" x14ac:dyDescent="0.25">
      <c r="A8784" s="5" t="s">
        <v>43205</v>
      </c>
      <c r="B8784" s="6">
        <v>393.75</v>
      </c>
      <c r="C8784" s="6">
        <v>20.478950000000001</v>
      </c>
      <c r="D8784" s="6">
        <v>55</v>
      </c>
      <c r="E8784" s="6">
        <v>0</v>
      </c>
      <c r="F8784" s="6">
        <v>0</v>
      </c>
      <c r="G8784" s="6">
        <v>7</v>
      </c>
      <c r="H8784" s="6" t="s">
        <v>43206</v>
      </c>
      <c r="I8784" s="6">
        <v>526.6875</v>
      </c>
      <c r="J8784" s="2">
        <f t="shared" si="137"/>
        <v>43749.11323545139</v>
      </c>
    </row>
    <row r="8785" spans="1:10" x14ac:dyDescent="0.25">
      <c r="A8785" s="7" t="s">
        <v>43207</v>
      </c>
      <c r="B8785" s="8">
        <v>393.75</v>
      </c>
      <c r="C8785" s="8">
        <v>20.478950000000001</v>
      </c>
      <c r="D8785" s="8">
        <v>56</v>
      </c>
      <c r="E8785" s="8">
        <v>0</v>
      </c>
      <c r="F8785" s="8">
        <v>0</v>
      </c>
      <c r="G8785" s="8">
        <v>4</v>
      </c>
      <c r="H8785" s="8" t="s">
        <v>43208</v>
      </c>
      <c r="I8785" s="8">
        <v>526.6875</v>
      </c>
      <c r="J8785" s="3">
        <f t="shared" si="137"/>
        <v>43749.113331134256</v>
      </c>
    </row>
    <row r="8786" spans="1:10" x14ac:dyDescent="0.25">
      <c r="A8786" s="5" t="s">
        <v>43209</v>
      </c>
      <c r="B8786" s="6">
        <v>393.75</v>
      </c>
      <c r="C8786" s="6">
        <v>20.478950000000001</v>
      </c>
      <c r="D8786" s="6">
        <v>56</v>
      </c>
      <c r="E8786" s="6">
        <v>0</v>
      </c>
      <c r="F8786" s="6">
        <v>0</v>
      </c>
      <c r="G8786" s="6">
        <v>2</v>
      </c>
      <c r="H8786" s="6" t="s">
        <v>43210</v>
      </c>
      <c r="I8786" s="6">
        <v>526.6875</v>
      </c>
      <c r="J8786" s="2">
        <f t="shared" si="137"/>
        <v>43749.113402453702</v>
      </c>
    </row>
    <row r="8787" spans="1:10" x14ac:dyDescent="0.25">
      <c r="A8787" s="7" t="s">
        <v>43211</v>
      </c>
      <c r="B8787" s="8">
        <v>393.75</v>
      </c>
      <c r="C8787" s="8">
        <v>20.478950000000001</v>
      </c>
      <c r="D8787" s="8">
        <v>56</v>
      </c>
      <c r="E8787" s="8">
        <v>0</v>
      </c>
      <c r="F8787" s="8">
        <v>0</v>
      </c>
      <c r="G8787" s="8">
        <v>13</v>
      </c>
      <c r="H8787" s="8" t="s">
        <v>43212</v>
      </c>
      <c r="I8787" s="8">
        <v>526.6875</v>
      </c>
      <c r="J8787" s="3">
        <f t="shared" si="137"/>
        <v>43749.113473784724</v>
      </c>
    </row>
    <row r="8788" spans="1:10" x14ac:dyDescent="0.25">
      <c r="A8788" s="5" t="s">
        <v>43213</v>
      </c>
      <c r="B8788" s="6">
        <v>393.75</v>
      </c>
      <c r="C8788" s="6">
        <v>20.426300000000001</v>
      </c>
      <c r="D8788" s="6">
        <v>55</v>
      </c>
      <c r="E8788" s="6">
        <v>0</v>
      </c>
      <c r="F8788" s="6">
        <v>0</v>
      </c>
      <c r="G8788" s="6">
        <v>2</v>
      </c>
      <c r="H8788" s="6" t="s">
        <v>43214</v>
      </c>
      <c r="I8788" s="6">
        <v>526.6875</v>
      </c>
      <c r="J8788" s="2">
        <f t="shared" si="137"/>
        <v>43749.113545370368</v>
      </c>
    </row>
    <row r="8789" spans="1:10" x14ac:dyDescent="0.25">
      <c r="A8789" s="7" t="s">
        <v>43215</v>
      </c>
      <c r="B8789" s="8">
        <v>393.75</v>
      </c>
      <c r="C8789" s="8">
        <v>20.478950000000001</v>
      </c>
      <c r="D8789" s="8">
        <v>56</v>
      </c>
      <c r="E8789" s="8">
        <v>0</v>
      </c>
      <c r="F8789" s="8">
        <v>0</v>
      </c>
      <c r="G8789" s="8">
        <v>8</v>
      </c>
      <c r="H8789" s="8" t="s">
        <v>43216</v>
      </c>
      <c r="I8789" s="8">
        <v>526.5</v>
      </c>
      <c r="J8789" s="3">
        <f t="shared" si="137"/>
        <v>43749.113617187497</v>
      </c>
    </row>
    <row r="8790" spans="1:10" x14ac:dyDescent="0.25">
      <c r="A8790" s="5" t="s">
        <v>43217</v>
      </c>
      <c r="B8790" s="6">
        <v>393.75</v>
      </c>
      <c r="C8790" s="6">
        <v>20.478950000000001</v>
      </c>
      <c r="D8790" s="6">
        <v>56</v>
      </c>
      <c r="E8790" s="6">
        <v>0</v>
      </c>
      <c r="F8790" s="6">
        <v>0</v>
      </c>
      <c r="G8790" s="6">
        <v>15</v>
      </c>
      <c r="H8790" s="6" t="s">
        <v>43218</v>
      </c>
      <c r="I8790" s="6">
        <v>526.5</v>
      </c>
      <c r="J8790" s="2">
        <f t="shared" si="137"/>
        <v>43749.113688773148</v>
      </c>
    </row>
    <row r="8791" spans="1:10" x14ac:dyDescent="0.25">
      <c r="A8791" s="7" t="s">
        <v>43219</v>
      </c>
      <c r="B8791" s="8">
        <v>393.75</v>
      </c>
      <c r="C8791" s="8">
        <v>20.478950000000001</v>
      </c>
      <c r="D8791" s="8">
        <v>56</v>
      </c>
      <c r="E8791" s="8">
        <v>0</v>
      </c>
      <c r="F8791" s="8">
        <v>0</v>
      </c>
      <c r="G8791" s="8">
        <v>6</v>
      </c>
      <c r="H8791" s="8" t="s">
        <v>43220</v>
      </c>
      <c r="I8791" s="8">
        <v>526.6875</v>
      </c>
      <c r="J8791" s="3">
        <f t="shared" si="137"/>
        <v>43749.113771898141</v>
      </c>
    </row>
    <row r="8792" spans="1:10" x14ac:dyDescent="0.25">
      <c r="A8792" s="5" t="s">
        <v>43221</v>
      </c>
      <c r="B8792" s="6">
        <v>393.75</v>
      </c>
      <c r="C8792" s="6">
        <v>20.478950000000001</v>
      </c>
      <c r="D8792" s="6">
        <v>56</v>
      </c>
      <c r="E8792" s="6">
        <v>0</v>
      </c>
      <c r="F8792" s="6">
        <v>0</v>
      </c>
      <c r="G8792" s="6">
        <v>12</v>
      </c>
      <c r="H8792" s="6" t="s">
        <v>43222</v>
      </c>
      <c r="I8792" s="6">
        <v>526.6875</v>
      </c>
      <c r="J8792" s="2">
        <f t="shared" si="137"/>
        <v>43749.113843819439</v>
      </c>
    </row>
    <row r="8793" spans="1:10" x14ac:dyDescent="0.25">
      <c r="A8793" s="7" t="s">
        <v>43223</v>
      </c>
      <c r="B8793" s="8">
        <v>393.75</v>
      </c>
      <c r="C8793" s="8">
        <v>20.478950000000001</v>
      </c>
      <c r="D8793" s="8">
        <v>56</v>
      </c>
      <c r="E8793" s="8">
        <v>0</v>
      </c>
      <c r="F8793" s="8">
        <v>0</v>
      </c>
      <c r="G8793" s="8">
        <v>7</v>
      </c>
      <c r="H8793" s="8" t="s">
        <v>43224</v>
      </c>
      <c r="I8793" s="8">
        <v>526.6875</v>
      </c>
      <c r="J8793" s="3">
        <f t="shared" si="137"/>
        <v>43749.11392708333</v>
      </c>
    </row>
    <row r="8794" spans="1:10" x14ac:dyDescent="0.25">
      <c r="A8794" s="5" t="s">
        <v>43225</v>
      </c>
      <c r="B8794" s="6">
        <v>393.75</v>
      </c>
      <c r="C8794" s="6">
        <v>20.478950000000001</v>
      </c>
      <c r="D8794" s="6">
        <v>56</v>
      </c>
      <c r="E8794" s="6">
        <v>0</v>
      </c>
      <c r="F8794" s="6">
        <v>0</v>
      </c>
      <c r="G8794" s="6">
        <v>8</v>
      </c>
      <c r="H8794" s="6" t="s">
        <v>43226</v>
      </c>
      <c r="I8794" s="6">
        <v>526.6875</v>
      </c>
      <c r="J8794" s="2">
        <f t="shared" si="137"/>
        <v>43749.114006840275</v>
      </c>
    </row>
    <row r="8795" spans="1:10" x14ac:dyDescent="0.25">
      <c r="A8795" s="7" t="s">
        <v>43227</v>
      </c>
      <c r="B8795" s="8">
        <v>393.75</v>
      </c>
      <c r="C8795" s="8">
        <v>20.478950000000001</v>
      </c>
      <c r="D8795" s="8">
        <v>56</v>
      </c>
      <c r="E8795" s="8">
        <v>0</v>
      </c>
      <c r="F8795" s="8">
        <v>0</v>
      </c>
      <c r="G8795" s="8">
        <v>1</v>
      </c>
      <c r="H8795" s="8" t="s">
        <v>43228</v>
      </c>
      <c r="I8795" s="8">
        <v>526.6875</v>
      </c>
      <c r="J8795" s="3">
        <f t="shared" si="137"/>
        <v>43749.1140820949</v>
      </c>
    </row>
    <row r="8796" spans="1:10" x14ac:dyDescent="0.25">
      <c r="A8796" s="5" t="s">
        <v>43229</v>
      </c>
      <c r="B8796" s="6">
        <v>393.75</v>
      </c>
      <c r="C8796" s="6">
        <v>20.478950000000001</v>
      </c>
      <c r="D8796" s="6">
        <v>58</v>
      </c>
      <c r="E8796" s="6">
        <v>0</v>
      </c>
      <c r="F8796" s="6">
        <v>0</v>
      </c>
      <c r="G8796" s="6">
        <v>0</v>
      </c>
      <c r="H8796" s="6" t="s">
        <v>43230</v>
      </c>
      <c r="I8796" s="6">
        <v>526.6875</v>
      </c>
      <c r="J8796" s="2">
        <f t="shared" si="137"/>
        <v>43749.114153784722</v>
      </c>
    </row>
    <row r="8797" spans="1:10" x14ac:dyDescent="0.25">
      <c r="A8797" s="7" t="s">
        <v>43231</v>
      </c>
      <c r="B8797" s="8">
        <v>393.75</v>
      </c>
      <c r="C8797" s="8">
        <v>20.426300000000001</v>
      </c>
      <c r="D8797" s="8">
        <v>58</v>
      </c>
      <c r="E8797" s="8">
        <v>0</v>
      </c>
      <c r="F8797" s="8">
        <v>0</v>
      </c>
      <c r="G8797" s="8">
        <v>2</v>
      </c>
      <c r="H8797" s="8" t="s">
        <v>43232</v>
      </c>
      <c r="I8797" s="8">
        <v>526.6875</v>
      </c>
      <c r="J8797" s="3">
        <f t="shared" si="137"/>
        <v>43749.11423731481</v>
      </c>
    </row>
    <row r="8798" spans="1:10" x14ac:dyDescent="0.25">
      <c r="A8798" s="5" t="s">
        <v>43233</v>
      </c>
      <c r="B8798" s="6">
        <v>412.5</v>
      </c>
      <c r="C8798" s="6">
        <v>20.478950000000001</v>
      </c>
      <c r="D8798" s="6">
        <v>59</v>
      </c>
      <c r="E8798" s="6">
        <v>0</v>
      </c>
      <c r="F8798" s="6">
        <v>0</v>
      </c>
      <c r="G8798" s="6">
        <v>8</v>
      </c>
      <c r="H8798" s="6" t="s">
        <v>43234</v>
      </c>
      <c r="I8798" s="6">
        <v>532.3125</v>
      </c>
      <c r="J8798" s="2">
        <f t="shared" si="137"/>
        <v>43749.114320648143</v>
      </c>
    </row>
    <row r="8799" spans="1:10" x14ac:dyDescent="0.25">
      <c r="A8799" s="7" t="s">
        <v>43235</v>
      </c>
      <c r="B8799" s="8">
        <v>393.75</v>
      </c>
      <c r="C8799" s="8">
        <v>20.426300000000001</v>
      </c>
      <c r="D8799" s="8">
        <v>55</v>
      </c>
      <c r="E8799" s="8">
        <v>0</v>
      </c>
      <c r="F8799" s="8">
        <v>0</v>
      </c>
      <c r="G8799" s="8">
        <v>8</v>
      </c>
      <c r="H8799" s="8" t="s">
        <v>43236</v>
      </c>
      <c r="I8799" s="8">
        <v>526.6875</v>
      </c>
      <c r="J8799" s="3">
        <f t="shared" si="137"/>
        <v>43749.114404328699</v>
      </c>
    </row>
    <row r="8800" spans="1:10" x14ac:dyDescent="0.25">
      <c r="A8800" s="5" t="s">
        <v>43237</v>
      </c>
      <c r="B8800" s="6">
        <v>393.75</v>
      </c>
      <c r="C8800" s="6">
        <v>20.478950000000001</v>
      </c>
      <c r="D8800" s="6">
        <v>55</v>
      </c>
      <c r="E8800" s="6">
        <v>0</v>
      </c>
      <c r="F8800" s="6">
        <v>0</v>
      </c>
      <c r="G8800" s="6">
        <v>13</v>
      </c>
      <c r="H8800" s="6" t="s">
        <v>43238</v>
      </c>
      <c r="I8800" s="6">
        <v>526.6875</v>
      </c>
      <c r="J8800" s="2">
        <f t="shared" si="137"/>
        <v>43749.114475902774</v>
      </c>
    </row>
    <row r="8801" spans="1:10" x14ac:dyDescent="0.25">
      <c r="A8801" s="7" t="s">
        <v>43239</v>
      </c>
      <c r="B8801" s="8">
        <v>393.75</v>
      </c>
      <c r="C8801" s="8">
        <v>20.478950000000001</v>
      </c>
      <c r="D8801" s="8">
        <v>55</v>
      </c>
      <c r="E8801" s="8">
        <v>0</v>
      </c>
      <c r="F8801" s="8">
        <v>0</v>
      </c>
      <c r="G8801" s="8">
        <v>4</v>
      </c>
      <c r="H8801" s="8" t="s">
        <v>43240</v>
      </c>
      <c r="I8801" s="8">
        <v>526.6875</v>
      </c>
      <c r="J8801" s="3">
        <f t="shared" si="137"/>
        <v>43749.114559224538</v>
      </c>
    </row>
    <row r="8802" spans="1:10" x14ac:dyDescent="0.25">
      <c r="A8802" s="5" t="s">
        <v>43241</v>
      </c>
      <c r="B8802" s="6">
        <v>393.75</v>
      </c>
      <c r="C8802" s="6">
        <v>20.478950000000001</v>
      </c>
      <c r="D8802" s="6">
        <v>55</v>
      </c>
      <c r="E8802" s="6">
        <v>0</v>
      </c>
      <c r="F8802" s="6">
        <v>0</v>
      </c>
      <c r="G8802" s="6">
        <v>4</v>
      </c>
      <c r="H8802" s="6" t="s">
        <v>43242</v>
      </c>
      <c r="I8802" s="6">
        <v>526.6875</v>
      </c>
      <c r="J8802" s="2">
        <f t="shared" si="137"/>
        <v>43749.114634988422</v>
      </c>
    </row>
    <row r="8803" spans="1:10" x14ac:dyDescent="0.25">
      <c r="A8803" s="7" t="s">
        <v>43243</v>
      </c>
      <c r="B8803" s="8">
        <v>393.75</v>
      </c>
      <c r="C8803" s="8">
        <v>20.478950000000001</v>
      </c>
      <c r="D8803" s="8">
        <v>55</v>
      </c>
      <c r="E8803" s="8">
        <v>0</v>
      </c>
      <c r="F8803" s="8">
        <v>0</v>
      </c>
      <c r="G8803" s="8">
        <v>7</v>
      </c>
      <c r="H8803" s="8" t="s">
        <v>43244</v>
      </c>
      <c r="I8803" s="8">
        <v>526.6875</v>
      </c>
      <c r="J8803" s="3">
        <f t="shared" si="137"/>
        <v>43749.11471425926</v>
      </c>
    </row>
    <row r="8804" spans="1:10" x14ac:dyDescent="0.25">
      <c r="A8804" s="5" t="s">
        <v>43245</v>
      </c>
      <c r="B8804" s="6">
        <v>393.75</v>
      </c>
      <c r="C8804" s="6">
        <v>20.478950000000001</v>
      </c>
      <c r="D8804" s="6">
        <v>55</v>
      </c>
      <c r="E8804" s="6">
        <v>0</v>
      </c>
      <c r="F8804" s="6">
        <v>0</v>
      </c>
      <c r="G8804" s="6">
        <v>7</v>
      </c>
      <c r="H8804" s="6" t="s">
        <v>43246</v>
      </c>
      <c r="I8804" s="6">
        <v>526.5</v>
      </c>
      <c r="J8804" s="2">
        <f t="shared" si="137"/>
        <v>43749.114797731476</v>
      </c>
    </row>
    <row r="8805" spans="1:10" x14ac:dyDescent="0.25">
      <c r="A8805" s="7" t="s">
        <v>43247</v>
      </c>
      <c r="B8805" s="8">
        <v>393.75</v>
      </c>
      <c r="C8805" s="8">
        <v>20.478950000000001</v>
      </c>
      <c r="D8805" s="8">
        <v>56</v>
      </c>
      <c r="E8805" s="8">
        <v>0</v>
      </c>
      <c r="F8805" s="8">
        <v>0</v>
      </c>
      <c r="G8805" s="8">
        <v>7</v>
      </c>
      <c r="H8805" s="8" t="s">
        <v>43248</v>
      </c>
      <c r="I8805" s="8">
        <v>526.6875</v>
      </c>
      <c r="J8805" s="3">
        <f t="shared" si="137"/>
        <v>43749.114869236109</v>
      </c>
    </row>
    <row r="8806" spans="1:10" x14ac:dyDescent="0.25">
      <c r="A8806" s="5" t="s">
        <v>43249</v>
      </c>
      <c r="B8806" s="6">
        <v>393.75</v>
      </c>
      <c r="C8806" s="6">
        <v>20.478950000000001</v>
      </c>
      <c r="D8806" s="6">
        <v>55</v>
      </c>
      <c r="E8806" s="6">
        <v>0</v>
      </c>
      <c r="F8806" s="6">
        <v>0</v>
      </c>
      <c r="G8806" s="6">
        <v>3</v>
      </c>
      <c r="H8806" s="6" t="s">
        <v>43250</v>
      </c>
      <c r="I8806" s="6">
        <v>526.6875</v>
      </c>
      <c r="J8806" s="2">
        <f t="shared" si="137"/>
        <v>43749.114952488424</v>
      </c>
    </row>
    <row r="8807" spans="1:10" x14ac:dyDescent="0.25">
      <c r="A8807" s="7" t="s">
        <v>43251</v>
      </c>
      <c r="B8807" s="8">
        <v>393.75</v>
      </c>
      <c r="C8807" s="8">
        <v>20.478950000000001</v>
      </c>
      <c r="D8807" s="8">
        <v>54</v>
      </c>
      <c r="E8807" s="8">
        <v>0</v>
      </c>
      <c r="F8807" s="8">
        <v>0</v>
      </c>
      <c r="G8807" s="8">
        <v>10</v>
      </c>
      <c r="H8807" s="8" t="s">
        <v>43252</v>
      </c>
      <c r="I8807" s="8">
        <v>526.6875</v>
      </c>
      <c r="J8807" s="3">
        <f t="shared" si="137"/>
        <v>43749.115024293984</v>
      </c>
    </row>
    <row r="8808" spans="1:10" x14ac:dyDescent="0.25">
      <c r="A8808" s="5" t="s">
        <v>43253</v>
      </c>
      <c r="B8808" s="6">
        <v>393.75</v>
      </c>
      <c r="C8808" s="6">
        <v>20.478950000000001</v>
      </c>
      <c r="D8808" s="6">
        <v>54</v>
      </c>
      <c r="E8808" s="6">
        <v>0</v>
      </c>
      <c r="F8808" s="6">
        <v>0</v>
      </c>
      <c r="G8808" s="6">
        <v>5</v>
      </c>
      <c r="H8808" s="6" t="s">
        <v>43254</v>
      </c>
      <c r="I8808" s="6">
        <v>526.6875</v>
      </c>
      <c r="J8808" s="2">
        <f t="shared" si="137"/>
        <v>43749.1151077662</v>
      </c>
    </row>
    <row r="8809" spans="1:10" x14ac:dyDescent="0.25">
      <c r="A8809" s="7" t="s">
        <v>43255</v>
      </c>
      <c r="B8809" s="8">
        <v>412.5</v>
      </c>
      <c r="C8809" s="8">
        <v>20.478950000000001</v>
      </c>
      <c r="D8809" s="8">
        <v>54</v>
      </c>
      <c r="E8809" s="8">
        <v>0</v>
      </c>
      <c r="F8809" s="8">
        <v>0</v>
      </c>
      <c r="G8809" s="8">
        <v>0</v>
      </c>
      <c r="H8809" s="8" t="s">
        <v>43256</v>
      </c>
      <c r="I8809" s="8">
        <v>532.5</v>
      </c>
      <c r="J8809" s="3">
        <f t="shared" si="137"/>
        <v>43749.115191192126</v>
      </c>
    </row>
    <row r="8810" spans="1:10" x14ac:dyDescent="0.25">
      <c r="A8810" s="5" t="s">
        <v>43257</v>
      </c>
      <c r="B8810" s="6">
        <v>393.75</v>
      </c>
      <c r="C8810" s="6">
        <v>20.478950000000001</v>
      </c>
      <c r="D8810" s="6">
        <v>54</v>
      </c>
      <c r="E8810" s="6">
        <v>0</v>
      </c>
      <c r="F8810" s="6">
        <v>0</v>
      </c>
      <c r="G8810" s="6">
        <v>11</v>
      </c>
      <c r="H8810" s="6" t="s">
        <v>43258</v>
      </c>
      <c r="I8810" s="6">
        <v>526.5</v>
      </c>
      <c r="J8810" s="2">
        <f t="shared" si="137"/>
        <v>43749.115284479165</v>
      </c>
    </row>
    <row r="8811" spans="1:10" x14ac:dyDescent="0.25">
      <c r="A8811" s="7" t="s">
        <v>43259</v>
      </c>
      <c r="B8811" s="8">
        <v>412.5</v>
      </c>
      <c r="C8811" s="8">
        <v>20.478950000000001</v>
      </c>
      <c r="D8811" s="8">
        <v>57</v>
      </c>
      <c r="E8811" s="8">
        <v>0</v>
      </c>
      <c r="F8811" s="8">
        <v>0</v>
      </c>
      <c r="G8811" s="8">
        <v>3</v>
      </c>
      <c r="H8811" s="8" t="s">
        <v>43260</v>
      </c>
      <c r="I8811" s="8">
        <v>532.6875</v>
      </c>
      <c r="J8811" s="3">
        <f t="shared" si="137"/>
        <v>43749.115358206014</v>
      </c>
    </row>
    <row r="8812" spans="1:10" x14ac:dyDescent="0.25">
      <c r="A8812" s="5" t="s">
        <v>43261</v>
      </c>
      <c r="B8812" s="6">
        <v>393.75</v>
      </c>
      <c r="C8812" s="6">
        <v>20.478950000000001</v>
      </c>
      <c r="D8812" s="6">
        <v>56</v>
      </c>
      <c r="E8812" s="6">
        <v>0</v>
      </c>
      <c r="F8812" s="6">
        <v>0</v>
      </c>
      <c r="G8812" s="6">
        <v>2</v>
      </c>
      <c r="H8812" s="6" t="s">
        <v>43262</v>
      </c>
      <c r="I8812" s="6">
        <v>526.6875</v>
      </c>
      <c r="J8812" s="2">
        <f t="shared" si="137"/>
        <v>43749.115441435184</v>
      </c>
    </row>
    <row r="8813" spans="1:10" x14ac:dyDescent="0.25">
      <c r="A8813" s="7" t="s">
        <v>43263</v>
      </c>
      <c r="B8813" s="8">
        <v>393.75</v>
      </c>
      <c r="C8813" s="8">
        <v>20.478950000000001</v>
      </c>
      <c r="D8813" s="8">
        <v>55</v>
      </c>
      <c r="E8813" s="8">
        <v>0</v>
      </c>
      <c r="F8813" s="8">
        <v>0</v>
      </c>
      <c r="G8813" s="8">
        <v>6</v>
      </c>
      <c r="H8813" s="8" t="s">
        <v>43264</v>
      </c>
      <c r="I8813" s="8">
        <v>526.6875</v>
      </c>
      <c r="J8813" s="3">
        <f t="shared" si="137"/>
        <v>43749.115513240737</v>
      </c>
    </row>
    <row r="8814" spans="1:10" x14ac:dyDescent="0.25">
      <c r="A8814" s="5" t="s">
        <v>43265</v>
      </c>
      <c r="B8814" s="6">
        <v>393.75</v>
      </c>
      <c r="C8814" s="6">
        <v>20.478950000000001</v>
      </c>
      <c r="D8814" s="6">
        <v>56</v>
      </c>
      <c r="E8814" s="6">
        <v>0</v>
      </c>
      <c r="F8814" s="6">
        <v>0</v>
      </c>
      <c r="G8814" s="6">
        <v>9</v>
      </c>
      <c r="H8814" s="6" t="s">
        <v>43266</v>
      </c>
      <c r="I8814" s="6">
        <v>526.6875</v>
      </c>
      <c r="J8814" s="2">
        <f t="shared" si="137"/>
        <v>43749.115596689815</v>
      </c>
    </row>
    <row r="8815" spans="1:10" x14ac:dyDescent="0.25">
      <c r="A8815" s="7" t="s">
        <v>43267</v>
      </c>
      <c r="B8815" s="8">
        <v>393.75</v>
      </c>
      <c r="C8815" s="8">
        <v>20.478950000000001</v>
      </c>
      <c r="D8815" s="8">
        <v>56</v>
      </c>
      <c r="E8815" s="8">
        <v>0</v>
      </c>
      <c r="F8815" s="8">
        <v>0</v>
      </c>
      <c r="G8815" s="8">
        <v>8</v>
      </c>
      <c r="H8815" s="8" t="s">
        <v>43268</v>
      </c>
      <c r="I8815" s="8">
        <v>526.6875</v>
      </c>
      <c r="J8815" s="3">
        <f t="shared" si="137"/>
        <v>43749.11568012731</v>
      </c>
    </row>
    <row r="8816" spans="1:10" x14ac:dyDescent="0.25">
      <c r="A8816" s="5" t="s">
        <v>43269</v>
      </c>
      <c r="B8816" s="6">
        <v>393.75</v>
      </c>
      <c r="C8816" s="6">
        <v>20.478950000000001</v>
      </c>
      <c r="D8816" s="6">
        <v>59</v>
      </c>
      <c r="E8816" s="6">
        <v>0</v>
      </c>
      <c r="F8816" s="6">
        <v>0</v>
      </c>
      <c r="G8816" s="6">
        <v>1</v>
      </c>
      <c r="H8816" s="6" t="s">
        <v>43270</v>
      </c>
      <c r="I8816" s="6">
        <v>526.6875</v>
      </c>
      <c r="J8816" s="2">
        <f t="shared" si="137"/>
        <v>43749.115751724537</v>
      </c>
    </row>
    <row r="8817" spans="1:10" x14ac:dyDescent="0.25">
      <c r="A8817" s="7" t="s">
        <v>43271</v>
      </c>
      <c r="B8817" s="8">
        <v>412.5</v>
      </c>
      <c r="C8817" s="8">
        <v>20.478950000000001</v>
      </c>
      <c r="D8817" s="8">
        <v>59</v>
      </c>
      <c r="E8817" s="8">
        <v>0</v>
      </c>
      <c r="F8817" s="8">
        <v>0</v>
      </c>
      <c r="G8817" s="8">
        <v>10</v>
      </c>
      <c r="H8817" s="8" t="s">
        <v>43272</v>
      </c>
      <c r="I8817" s="8">
        <v>532.3125</v>
      </c>
      <c r="J8817" s="3">
        <f t="shared" si="137"/>
        <v>43749.115823078704</v>
      </c>
    </row>
    <row r="8818" spans="1:10" x14ac:dyDescent="0.25">
      <c r="A8818" s="5" t="s">
        <v>43273</v>
      </c>
      <c r="B8818" s="6">
        <v>393.75</v>
      </c>
      <c r="C8818" s="6">
        <v>20.478950000000001</v>
      </c>
      <c r="D8818" s="6">
        <v>59</v>
      </c>
      <c r="E8818" s="6">
        <v>0</v>
      </c>
      <c r="F8818" s="6">
        <v>0</v>
      </c>
      <c r="G8818" s="6">
        <v>3</v>
      </c>
      <c r="H8818" s="6" t="s">
        <v>43274</v>
      </c>
      <c r="I8818" s="6">
        <v>526.6875</v>
      </c>
      <c r="J8818" s="2">
        <f t="shared" si="137"/>
        <v>43749.115920277771</v>
      </c>
    </row>
    <row r="8819" spans="1:10" x14ac:dyDescent="0.25">
      <c r="A8819" s="7" t="s">
        <v>43275</v>
      </c>
      <c r="B8819" s="8">
        <v>393.75</v>
      </c>
      <c r="C8819" s="8">
        <v>20.478950000000001</v>
      </c>
      <c r="D8819" s="8">
        <v>58</v>
      </c>
      <c r="E8819" s="8">
        <v>0</v>
      </c>
      <c r="F8819" s="8">
        <v>0</v>
      </c>
      <c r="G8819" s="8">
        <v>9</v>
      </c>
      <c r="H8819" s="8" t="s">
        <v>43276</v>
      </c>
      <c r="I8819" s="8">
        <v>526.6875</v>
      </c>
      <c r="J8819" s="3">
        <f t="shared" si="137"/>
        <v>43749.116002129631</v>
      </c>
    </row>
    <row r="8820" spans="1:10" x14ac:dyDescent="0.25">
      <c r="A8820" s="5" t="s">
        <v>43277</v>
      </c>
      <c r="B8820" s="6">
        <v>393.75</v>
      </c>
      <c r="C8820" s="6">
        <v>20.478950000000001</v>
      </c>
      <c r="D8820" s="6">
        <v>58</v>
      </c>
      <c r="E8820" s="6">
        <v>0</v>
      </c>
      <c r="F8820" s="6">
        <v>0</v>
      </c>
      <c r="G8820" s="6">
        <v>9</v>
      </c>
      <c r="H8820" s="6" t="s">
        <v>43278</v>
      </c>
      <c r="I8820" s="6">
        <v>526.6875</v>
      </c>
      <c r="J8820" s="2">
        <f t="shared" si="137"/>
        <v>43749.116085775466</v>
      </c>
    </row>
    <row r="8821" spans="1:10" x14ac:dyDescent="0.25">
      <c r="A8821" s="7" t="s">
        <v>43279</v>
      </c>
      <c r="B8821" s="8">
        <v>393.75</v>
      </c>
      <c r="C8821" s="8">
        <v>20.478950000000001</v>
      </c>
      <c r="D8821" s="8">
        <v>58</v>
      </c>
      <c r="E8821" s="8">
        <v>0</v>
      </c>
      <c r="F8821" s="8">
        <v>0</v>
      </c>
      <c r="G8821" s="8">
        <v>9</v>
      </c>
      <c r="H8821" s="8" t="s">
        <v>43280</v>
      </c>
      <c r="I8821" s="8">
        <v>526.6875</v>
      </c>
      <c r="J8821" s="3">
        <f t="shared" si="137"/>
        <v>43749.116157337958</v>
      </c>
    </row>
    <row r="8822" spans="1:10" x14ac:dyDescent="0.25">
      <c r="A8822" s="5" t="s">
        <v>43281</v>
      </c>
      <c r="B8822" s="6">
        <v>412.5</v>
      </c>
      <c r="C8822" s="6">
        <v>20.478950000000001</v>
      </c>
      <c r="D8822" s="6">
        <v>60</v>
      </c>
      <c r="E8822" s="6">
        <v>0</v>
      </c>
      <c r="F8822" s="6">
        <v>0</v>
      </c>
      <c r="G8822" s="6">
        <v>14</v>
      </c>
      <c r="H8822" s="6" t="s">
        <v>43282</v>
      </c>
      <c r="I8822" s="6">
        <v>532.3125</v>
      </c>
      <c r="J8822" s="2">
        <f t="shared" si="137"/>
        <v>43749.116250543979</v>
      </c>
    </row>
    <row r="8823" spans="1:10" x14ac:dyDescent="0.25">
      <c r="A8823" s="7" t="s">
        <v>43283</v>
      </c>
      <c r="B8823" s="8">
        <v>393.75</v>
      </c>
      <c r="C8823" s="8">
        <v>20.478950000000001</v>
      </c>
      <c r="D8823" s="8">
        <v>60</v>
      </c>
      <c r="E8823" s="8">
        <v>0</v>
      </c>
      <c r="F8823" s="8">
        <v>0</v>
      </c>
      <c r="G8823" s="8">
        <v>10</v>
      </c>
      <c r="H8823" s="8" t="s">
        <v>43284</v>
      </c>
      <c r="I8823" s="8">
        <v>526.5</v>
      </c>
      <c r="J8823" s="3">
        <f t="shared" si="137"/>
        <v>43749.116324236107</v>
      </c>
    </row>
    <row r="8824" spans="1:10" x14ac:dyDescent="0.25">
      <c r="A8824" s="5" t="s">
        <v>43285</v>
      </c>
      <c r="B8824" s="6">
        <v>393.75</v>
      </c>
      <c r="C8824" s="6">
        <v>20.478950000000001</v>
      </c>
      <c r="D8824" s="6">
        <v>60</v>
      </c>
      <c r="E8824" s="6">
        <v>0</v>
      </c>
      <c r="F8824" s="6">
        <v>0</v>
      </c>
      <c r="G8824" s="6">
        <v>0</v>
      </c>
      <c r="H8824" s="6" t="s">
        <v>43286</v>
      </c>
      <c r="I8824" s="6">
        <v>526.6875</v>
      </c>
      <c r="J8824" s="2">
        <f t="shared" si="137"/>
        <v>43749.116395555553</v>
      </c>
    </row>
    <row r="8825" spans="1:10" x14ac:dyDescent="0.25">
      <c r="A8825" s="7" t="s">
        <v>43287</v>
      </c>
      <c r="B8825" s="8">
        <v>393.75</v>
      </c>
      <c r="C8825" s="8">
        <v>20.426300000000001</v>
      </c>
      <c r="D8825" s="8">
        <v>60</v>
      </c>
      <c r="E8825" s="8">
        <v>0</v>
      </c>
      <c r="F8825" s="8">
        <v>0</v>
      </c>
      <c r="G8825" s="8">
        <v>6</v>
      </c>
      <c r="H8825" s="8" t="s">
        <v>43288</v>
      </c>
      <c r="I8825" s="8">
        <v>526.6875</v>
      </c>
      <c r="J8825" s="3">
        <f t="shared" si="137"/>
        <v>43749.116467256943</v>
      </c>
    </row>
    <row r="8826" spans="1:10" x14ac:dyDescent="0.25">
      <c r="A8826" s="5" t="s">
        <v>43289</v>
      </c>
      <c r="B8826" s="6">
        <v>393.75</v>
      </c>
      <c r="C8826" s="6">
        <v>20.478950000000001</v>
      </c>
      <c r="D8826" s="6">
        <v>60</v>
      </c>
      <c r="E8826" s="6">
        <v>0</v>
      </c>
      <c r="F8826" s="6">
        <v>0</v>
      </c>
      <c r="G8826" s="6">
        <v>10</v>
      </c>
      <c r="H8826" s="6" t="s">
        <v>43290</v>
      </c>
      <c r="I8826" s="6">
        <v>526.6875</v>
      </c>
      <c r="J8826" s="2">
        <f t="shared" si="137"/>
        <v>43749.116538877315</v>
      </c>
    </row>
    <row r="8827" spans="1:10" x14ac:dyDescent="0.25">
      <c r="A8827" s="7" t="s">
        <v>43291</v>
      </c>
      <c r="B8827" s="8">
        <v>393.75</v>
      </c>
      <c r="C8827" s="8">
        <v>20.478950000000001</v>
      </c>
      <c r="D8827" s="8">
        <v>59</v>
      </c>
      <c r="E8827" s="8">
        <v>0</v>
      </c>
      <c r="F8827" s="8">
        <v>0</v>
      </c>
      <c r="G8827" s="8">
        <v>5</v>
      </c>
      <c r="H8827" s="8" t="s">
        <v>43292</v>
      </c>
      <c r="I8827" s="8">
        <v>526.5</v>
      </c>
      <c r="J8827" s="3">
        <f t="shared" si="137"/>
        <v>43749.116634004626</v>
      </c>
    </row>
    <row r="8828" spans="1:10" x14ac:dyDescent="0.25">
      <c r="A8828" s="5" t="s">
        <v>43293</v>
      </c>
      <c r="B8828" s="6">
        <v>393.75</v>
      </c>
      <c r="C8828" s="6">
        <v>20.478950000000001</v>
      </c>
      <c r="D8828" s="6">
        <v>60</v>
      </c>
      <c r="E8828" s="6">
        <v>0</v>
      </c>
      <c r="F8828" s="6">
        <v>0</v>
      </c>
      <c r="G8828" s="6">
        <v>12</v>
      </c>
      <c r="H8828" s="6" t="s">
        <v>43294</v>
      </c>
      <c r="I8828" s="6">
        <v>526.6875</v>
      </c>
      <c r="J8828" s="2">
        <f t="shared" si="137"/>
        <v>43749.116705775457</v>
      </c>
    </row>
    <row r="8829" spans="1:10" x14ac:dyDescent="0.25">
      <c r="A8829" s="7" t="s">
        <v>43295</v>
      </c>
      <c r="B8829" s="8">
        <v>393.75</v>
      </c>
      <c r="C8829" s="8">
        <v>20.426300000000001</v>
      </c>
      <c r="D8829" s="8">
        <v>59</v>
      </c>
      <c r="E8829" s="8">
        <v>0</v>
      </c>
      <c r="F8829" s="8">
        <v>0</v>
      </c>
      <c r="G8829" s="8">
        <v>1</v>
      </c>
      <c r="H8829" s="8" t="s">
        <v>43296</v>
      </c>
      <c r="I8829" s="8">
        <v>526.6875</v>
      </c>
      <c r="J8829" s="3">
        <f t="shared" si="137"/>
        <v>43749.116789340274</v>
      </c>
    </row>
    <row r="8830" spans="1:10" x14ac:dyDescent="0.25">
      <c r="A8830" s="5" t="s">
        <v>43297</v>
      </c>
      <c r="B8830" s="6">
        <v>393.75</v>
      </c>
      <c r="C8830" s="6">
        <v>20.478950000000001</v>
      </c>
      <c r="D8830" s="6">
        <v>59</v>
      </c>
      <c r="E8830" s="6">
        <v>0</v>
      </c>
      <c r="F8830" s="6">
        <v>0</v>
      </c>
      <c r="G8830" s="6">
        <v>14</v>
      </c>
      <c r="H8830" s="6" t="s">
        <v>43298</v>
      </c>
      <c r="I8830" s="6">
        <v>526.6875</v>
      </c>
      <c r="J8830" s="2">
        <f t="shared" si="137"/>
        <v>43749.11686052083</v>
      </c>
    </row>
    <row r="8831" spans="1:10" x14ac:dyDescent="0.25">
      <c r="A8831" s="7" t="s">
        <v>43299</v>
      </c>
      <c r="B8831" s="8">
        <v>393.75</v>
      </c>
      <c r="C8831" s="8">
        <v>20.478950000000001</v>
      </c>
      <c r="D8831" s="8">
        <v>60</v>
      </c>
      <c r="E8831" s="8">
        <v>0</v>
      </c>
      <c r="F8831" s="8">
        <v>0</v>
      </c>
      <c r="G8831" s="8">
        <v>11</v>
      </c>
      <c r="H8831" s="8" t="s">
        <v>43300</v>
      </c>
      <c r="I8831" s="8">
        <v>526.6875</v>
      </c>
      <c r="J8831" s="3">
        <f t="shared" si="137"/>
        <v>43749.116932071753</v>
      </c>
    </row>
    <row r="8832" spans="1:10" x14ac:dyDescent="0.25">
      <c r="A8832" s="5" t="s">
        <v>43301</v>
      </c>
      <c r="B8832" s="6">
        <v>393.75</v>
      </c>
      <c r="C8832" s="6">
        <v>20.478950000000001</v>
      </c>
      <c r="D8832" s="6">
        <v>59</v>
      </c>
      <c r="E8832" s="6">
        <v>0</v>
      </c>
      <c r="F8832" s="6">
        <v>0</v>
      </c>
      <c r="G8832" s="6">
        <v>7</v>
      </c>
      <c r="H8832" s="6" t="s">
        <v>43302</v>
      </c>
      <c r="I8832" s="6">
        <v>526.6875</v>
      </c>
      <c r="J8832" s="2">
        <f t="shared" si="137"/>
        <v>43749.117003981482</v>
      </c>
    </row>
    <row r="8833" spans="1:10" x14ac:dyDescent="0.25">
      <c r="A8833" s="7" t="s">
        <v>43303</v>
      </c>
      <c r="B8833" s="8">
        <v>393.75</v>
      </c>
      <c r="C8833" s="8">
        <v>20.478950000000001</v>
      </c>
      <c r="D8833" s="8">
        <v>59</v>
      </c>
      <c r="E8833" s="8">
        <v>0</v>
      </c>
      <c r="F8833" s="8">
        <v>0</v>
      </c>
      <c r="G8833" s="8">
        <v>8</v>
      </c>
      <c r="H8833" s="8" t="s">
        <v>43304</v>
      </c>
      <c r="I8833" s="8">
        <v>526.6875</v>
      </c>
      <c r="J8833" s="3">
        <f t="shared" si="137"/>
        <v>43749.117076180548</v>
      </c>
    </row>
    <row r="8834" spans="1:10" x14ac:dyDescent="0.25">
      <c r="A8834" s="5" t="s">
        <v>43305</v>
      </c>
      <c r="B8834" s="6">
        <v>393.75</v>
      </c>
      <c r="C8834" s="6">
        <v>20.478950000000001</v>
      </c>
      <c r="D8834" s="6">
        <v>60</v>
      </c>
      <c r="E8834" s="6">
        <v>0</v>
      </c>
      <c r="F8834" s="6">
        <v>0</v>
      </c>
      <c r="G8834" s="6">
        <v>7</v>
      </c>
      <c r="H8834" s="6" t="s">
        <v>43306</v>
      </c>
      <c r="I8834" s="6">
        <v>526.6875</v>
      </c>
      <c r="J8834" s="2">
        <f t="shared" ref="J8834:J8897" si="138">(H8834/86400000)+25569+(7/24)</f>
        <v>43749.117158969901</v>
      </c>
    </row>
    <row r="8835" spans="1:10" x14ac:dyDescent="0.25">
      <c r="A8835" s="7" t="s">
        <v>43307</v>
      </c>
      <c r="B8835" s="8">
        <v>393.75</v>
      </c>
      <c r="C8835" s="8">
        <v>20.478950000000001</v>
      </c>
      <c r="D8835" s="8">
        <v>59</v>
      </c>
      <c r="E8835" s="8">
        <v>0</v>
      </c>
      <c r="F8835" s="8">
        <v>0</v>
      </c>
      <c r="G8835" s="8">
        <v>7</v>
      </c>
      <c r="H8835" s="8" t="s">
        <v>43308</v>
      </c>
      <c r="I8835" s="8">
        <v>526.6875</v>
      </c>
      <c r="J8835" s="3">
        <f t="shared" si="138"/>
        <v>43749.117230208336</v>
      </c>
    </row>
    <row r="8836" spans="1:10" x14ac:dyDescent="0.25">
      <c r="A8836" s="5" t="s">
        <v>43309</v>
      </c>
      <c r="B8836" s="6">
        <v>393.75</v>
      </c>
      <c r="C8836" s="6">
        <v>20.478950000000001</v>
      </c>
      <c r="D8836" s="6">
        <v>59</v>
      </c>
      <c r="E8836" s="6">
        <v>0</v>
      </c>
      <c r="F8836" s="6">
        <v>0</v>
      </c>
      <c r="G8836" s="6">
        <v>11</v>
      </c>
      <c r="H8836" s="6" t="s">
        <v>43310</v>
      </c>
      <c r="I8836" s="6">
        <v>526.6875</v>
      </c>
      <c r="J8836" s="2">
        <f t="shared" si="138"/>
        <v>43749.117302118051</v>
      </c>
    </row>
    <row r="8837" spans="1:10" x14ac:dyDescent="0.25">
      <c r="A8837" s="7" t="s">
        <v>43311</v>
      </c>
      <c r="B8837" s="8">
        <v>393.75</v>
      </c>
      <c r="C8837" s="8">
        <v>20.478950000000001</v>
      </c>
      <c r="D8837" s="8">
        <v>59</v>
      </c>
      <c r="E8837" s="8">
        <v>0</v>
      </c>
      <c r="F8837" s="8">
        <v>0</v>
      </c>
      <c r="G8837" s="8">
        <v>16</v>
      </c>
      <c r="H8837" s="8" t="s">
        <v>43312</v>
      </c>
      <c r="I8837" s="8">
        <v>526.6875</v>
      </c>
      <c r="J8837" s="3">
        <f t="shared" si="138"/>
        <v>43749.11738560185</v>
      </c>
    </row>
    <row r="8838" spans="1:10" x14ac:dyDescent="0.25">
      <c r="A8838" s="5" t="s">
        <v>43313</v>
      </c>
      <c r="B8838" s="6">
        <v>393.75</v>
      </c>
      <c r="C8838" s="6">
        <v>20.478950000000001</v>
      </c>
      <c r="D8838" s="6">
        <v>59</v>
      </c>
      <c r="E8838" s="6">
        <v>0</v>
      </c>
      <c r="F8838" s="6">
        <v>0</v>
      </c>
      <c r="G8838" s="6">
        <v>12</v>
      </c>
      <c r="H8838" s="6" t="s">
        <v>43314</v>
      </c>
      <c r="I8838" s="6">
        <v>526.6875</v>
      </c>
      <c r="J8838" s="2">
        <f t="shared" si="138"/>
        <v>43749.11745716435</v>
      </c>
    </row>
    <row r="8839" spans="1:10" x14ac:dyDescent="0.25">
      <c r="A8839" s="7" t="s">
        <v>43315</v>
      </c>
      <c r="B8839" s="8">
        <v>393.75</v>
      </c>
      <c r="C8839" s="8">
        <v>20.478950000000001</v>
      </c>
      <c r="D8839" s="8">
        <v>58</v>
      </c>
      <c r="E8839" s="8">
        <v>0</v>
      </c>
      <c r="F8839" s="8">
        <v>0</v>
      </c>
      <c r="G8839" s="8">
        <v>6</v>
      </c>
      <c r="H8839" s="8" t="s">
        <v>43316</v>
      </c>
      <c r="I8839" s="8">
        <v>526.6875</v>
      </c>
      <c r="J8839" s="3">
        <f t="shared" si="138"/>
        <v>43749.117528692128</v>
      </c>
    </row>
    <row r="8840" spans="1:10" x14ac:dyDescent="0.25">
      <c r="A8840" s="5" t="s">
        <v>43317</v>
      </c>
      <c r="B8840" s="6">
        <v>393.75</v>
      </c>
      <c r="C8840" s="6">
        <v>20.478950000000001</v>
      </c>
      <c r="D8840" s="6">
        <v>57</v>
      </c>
      <c r="E8840" s="6">
        <v>0</v>
      </c>
      <c r="F8840" s="6">
        <v>0</v>
      </c>
      <c r="G8840" s="6">
        <v>8</v>
      </c>
      <c r="H8840" s="6" t="s">
        <v>43318</v>
      </c>
      <c r="I8840" s="6">
        <v>526.6875</v>
      </c>
      <c r="J8840" s="2">
        <f t="shared" si="138"/>
        <v>43749.117611712958</v>
      </c>
    </row>
    <row r="8841" spans="1:10" x14ac:dyDescent="0.25">
      <c r="A8841" s="7" t="s">
        <v>43319</v>
      </c>
      <c r="B8841" s="8">
        <v>393.75</v>
      </c>
      <c r="C8841" s="8">
        <v>20.478950000000001</v>
      </c>
      <c r="D8841" s="8">
        <v>57</v>
      </c>
      <c r="E8841" s="8">
        <v>0</v>
      </c>
      <c r="F8841" s="8">
        <v>0</v>
      </c>
      <c r="G8841" s="8">
        <v>6</v>
      </c>
      <c r="H8841" s="8" t="s">
        <v>43320</v>
      </c>
      <c r="I8841" s="8">
        <v>526.6875</v>
      </c>
      <c r="J8841" s="3">
        <f t="shared" si="138"/>
        <v>43749.11768358796</v>
      </c>
    </row>
    <row r="8842" spans="1:10" x14ac:dyDescent="0.25">
      <c r="A8842" s="5" t="s">
        <v>43321</v>
      </c>
      <c r="B8842" s="6">
        <v>393.75</v>
      </c>
      <c r="C8842" s="6">
        <v>20.478950000000001</v>
      </c>
      <c r="D8842" s="6">
        <v>57</v>
      </c>
      <c r="E8842" s="6">
        <v>0</v>
      </c>
      <c r="F8842" s="6">
        <v>0</v>
      </c>
      <c r="G8842" s="6">
        <v>0</v>
      </c>
      <c r="H8842" s="6" t="s">
        <v>43322</v>
      </c>
      <c r="I8842" s="6">
        <v>526.6875</v>
      </c>
      <c r="J8842" s="2">
        <f t="shared" si="138"/>
        <v>43749.117767152777</v>
      </c>
    </row>
    <row r="8843" spans="1:10" x14ac:dyDescent="0.25">
      <c r="A8843" s="7" t="s">
        <v>43323</v>
      </c>
      <c r="B8843" s="8">
        <v>393.75</v>
      </c>
      <c r="C8843" s="8">
        <v>20.478950000000001</v>
      </c>
      <c r="D8843" s="8">
        <v>57</v>
      </c>
      <c r="E8843" s="8">
        <v>0</v>
      </c>
      <c r="F8843" s="8">
        <v>0</v>
      </c>
      <c r="G8843" s="8">
        <v>1</v>
      </c>
      <c r="H8843" s="8" t="s">
        <v>43324</v>
      </c>
      <c r="I8843" s="8">
        <v>526.6875</v>
      </c>
      <c r="J8843" s="3">
        <f t="shared" si="138"/>
        <v>43749.117838784725</v>
      </c>
    </row>
    <row r="8844" spans="1:10" x14ac:dyDescent="0.25">
      <c r="A8844" s="5" t="s">
        <v>43325</v>
      </c>
      <c r="B8844" s="6">
        <v>393.75</v>
      </c>
      <c r="C8844" s="6">
        <v>20.478950000000001</v>
      </c>
      <c r="D8844" s="6">
        <v>57</v>
      </c>
      <c r="E8844" s="6">
        <v>0</v>
      </c>
      <c r="F8844" s="6">
        <v>0</v>
      </c>
      <c r="G8844" s="6">
        <v>0</v>
      </c>
      <c r="H8844" s="6" t="s">
        <v>43326</v>
      </c>
      <c r="I8844" s="6">
        <v>526.6875</v>
      </c>
      <c r="J8844" s="2">
        <f t="shared" si="138"/>
        <v>43749.117922187499</v>
      </c>
    </row>
    <row r="8845" spans="1:10" x14ac:dyDescent="0.25">
      <c r="A8845" s="7" t="s">
        <v>43327</v>
      </c>
      <c r="B8845" s="8">
        <v>393.75</v>
      </c>
      <c r="C8845" s="8">
        <v>20.478950000000001</v>
      </c>
      <c r="D8845" s="8">
        <v>57</v>
      </c>
      <c r="E8845" s="8">
        <v>0</v>
      </c>
      <c r="F8845" s="8">
        <v>0</v>
      </c>
      <c r="G8845" s="8">
        <v>8</v>
      </c>
      <c r="H8845" s="8" t="s">
        <v>43328</v>
      </c>
      <c r="I8845" s="8">
        <v>526.6875</v>
      </c>
      <c r="J8845" s="3">
        <f t="shared" si="138"/>
        <v>43749.11800574074</v>
      </c>
    </row>
    <row r="8846" spans="1:10" x14ac:dyDescent="0.25">
      <c r="A8846" s="5" t="s">
        <v>43329</v>
      </c>
      <c r="B8846" s="6">
        <v>393.75</v>
      </c>
      <c r="C8846" s="6">
        <v>20.478950000000001</v>
      </c>
      <c r="D8846" s="6">
        <v>57</v>
      </c>
      <c r="E8846" s="6">
        <v>0</v>
      </c>
      <c r="F8846" s="6">
        <v>0</v>
      </c>
      <c r="G8846" s="6">
        <v>5</v>
      </c>
      <c r="H8846" s="6" t="s">
        <v>43330</v>
      </c>
      <c r="I8846" s="6">
        <v>526.6875</v>
      </c>
      <c r="J8846" s="2">
        <f t="shared" si="138"/>
        <v>43749.118089432865</v>
      </c>
    </row>
    <row r="8847" spans="1:10" x14ac:dyDescent="0.25">
      <c r="A8847" s="7" t="s">
        <v>43331</v>
      </c>
      <c r="B8847" s="8">
        <v>393.75</v>
      </c>
      <c r="C8847" s="8">
        <v>20.426300000000001</v>
      </c>
      <c r="D8847" s="8">
        <v>57</v>
      </c>
      <c r="E8847" s="8">
        <v>0</v>
      </c>
      <c r="F8847" s="8">
        <v>0</v>
      </c>
      <c r="G8847" s="8">
        <v>4</v>
      </c>
      <c r="H8847" s="8" t="s">
        <v>43332</v>
      </c>
      <c r="I8847" s="8">
        <v>526.6875</v>
      </c>
      <c r="J8847" s="3">
        <f t="shared" si="138"/>
        <v>43749.118160671293</v>
      </c>
    </row>
    <row r="8848" spans="1:10" x14ac:dyDescent="0.25">
      <c r="A8848" s="5" t="s">
        <v>43333</v>
      </c>
      <c r="B8848" s="6">
        <v>393.75</v>
      </c>
      <c r="C8848" s="6">
        <v>20.478950000000001</v>
      </c>
      <c r="D8848" s="6">
        <v>58</v>
      </c>
      <c r="E8848" s="6">
        <v>0</v>
      </c>
      <c r="F8848" s="6">
        <v>0</v>
      </c>
      <c r="G8848" s="6">
        <v>6</v>
      </c>
      <c r="H8848" s="6" t="s">
        <v>43334</v>
      </c>
      <c r="I8848" s="6">
        <v>526.6875</v>
      </c>
      <c r="J8848" s="2">
        <f t="shared" si="138"/>
        <v>43749.118244201389</v>
      </c>
    </row>
    <row r="8849" spans="1:10" x14ac:dyDescent="0.25">
      <c r="A8849" s="7" t="s">
        <v>43335</v>
      </c>
      <c r="B8849" s="8">
        <v>393.75</v>
      </c>
      <c r="C8849" s="8">
        <v>20.478950000000001</v>
      </c>
      <c r="D8849" s="8">
        <v>58</v>
      </c>
      <c r="E8849" s="8">
        <v>0</v>
      </c>
      <c r="F8849" s="8">
        <v>0</v>
      </c>
      <c r="G8849" s="8">
        <v>3</v>
      </c>
      <c r="H8849" s="8" t="s">
        <v>43336</v>
      </c>
      <c r="I8849" s="8">
        <v>526.6875</v>
      </c>
      <c r="J8849" s="3">
        <f t="shared" si="138"/>
        <v>43749.118315509259</v>
      </c>
    </row>
    <row r="8850" spans="1:10" x14ac:dyDescent="0.25">
      <c r="A8850" s="5" t="s">
        <v>43337</v>
      </c>
      <c r="B8850" s="6">
        <v>393.75</v>
      </c>
      <c r="C8850" s="6">
        <v>20.426300000000001</v>
      </c>
      <c r="D8850" s="6">
        <v>58</v>
      </c>
      <c r="E8850" s="6">
        <v>0</v>
      </c>
      <c r="F8850" s="6">
        <v>0</v>
      </c>
      <c r="G8850" s="6">
        <v>7</v>
      </c>
      <c r="H8850" s="6" t="s">
        <v>43338</v>
      </c>
      <c r="I8850" s="6">
        <v>526.6875</v>
      </c>
      <c r="J8850" s="2">
        <f t="shared" si="138"/>
        <v>43749.118387210641</v>
      </c>
    </row>
    <row r="8851" spans="1:10" x14ac:dyDescent="0.25">
      <c r="A8851" s="7" t="s">
        <v>43339</v>
      </c>
      <c r="B8851" s="8">
        <v>393.75</v>
      </c>
      <c r="C8851" s="8">
        <v>20.478950000000001</v>
      </c>
      <c r="D8851" s="8">
        <v>59</v>
      </c>
      <c r="E8851" s="8">
        <v>0</v>
      </c>
      <c r="F8851" s="8">
        <v>0</v>
      </c>
      <c r="G8851" s="8">
        <v>7</v>
      </c>
      <c r="H8851" s="8" t="s">
        <v>43340</v>
      </c>
      <c r="I8851" s="8">
        <v>526.6875</v>
      </c>
      <c r="J8851" s="3">
        <f t="shared" si="138"/>
        <v>43749.118470706017</v>
      </c>
    </row>
    <row r="8852" spans="1:10" x14ac:dyDescent="0.25">
      <c r="A8852" s="5" t="s">
        <v>43341</v>
      </c>
      <c r="B8852" s="6">
        <v>393.75</v>
      </c>
      <c r="C8852" s="6">
        <v>20.478950000000001</v>
      </c>
      <c r="D8852" s="6">
        <v>59</v>
      </c>
      <c r="E8852" s="6">
        <v>0</v>
      </c>
      <c r="F8852" s="6">
        <v>0</v>
      </c>
      <c r="G8852" s="6">
        <v>5</v>
      </c>
      <c r="H8852" s="6" t="s">
        <v>43342</v>
      </c>
      <c r="I8852" s="6">
        <v>526.6875</v>
      </c>
      <c r="J8852" s="2">
        <f t="shared" si="138"/>
        <v>43749.118578402777</v>
      </c>
    </row>
    <row r="8853" spans="1:10" x14ac:dyDescent="0.25">
      <c r="A8853" s="7" t="s">
        <v>43343</v>
      </c>
      <c r="B8853" s="8">
        <v>393.75</v>
      </c>
      <c r="C8853" s="8">
        <v>20.426300000000001</v>
      </c>
      <c r="D8853" s="8">
        <v>59</v>
      </c>
      <c r="E8853" s="8">
        <v>0</v>
      </c>
      <c r="F8853" s="8">
        <v>0</v>
      </c>
      <c r="G8853" s="8">
        <v>7</v>
      </c>
      <c r="H8853" s="8" t="s">
        <v>43344</v>
      </c>
      <c r="I8853" s="8">
        <v>526.6875</v>
      </c>
      <c r="J8853" s="3">
        <f t="shared" si="138"/>
        <v>43749.118661284716</v>
      </c>
    </row>
    <row r="8854" spans="1:10" x14ac:dyDescent="0.25">
      <c r="A8854" s="5" t="s">
        <v>43345</v>
      </c>
      <c r="B8854" s="6">
        <v>393.75</v>
      </c>
      <c r="C8854" s="6">
        <v>20.478950000000001</v>
      </c>
      <c r="D8854" s="6">
        <v>59</v>
      </c>
      <c r="E8854" s="6">
        <v>0</v>
      </c>
      <c r="F8854" s="6">
        <v>0</v>
      </c>
      <c r="G8854" s="6">
        <v>5</v>
      </c>
      <c r="H8854" s="6" t="s">
        <v>43346</v>
      </c>
      <c r="I8854" s="6">
        <v>526.6875</v>
      </c>
      <c r="J8854" s="2">
        <f t="shared" si="138"/>
        <v>43749.118745138891</v>
      </c>
    </row>
    <row r="8855" spans="1:10" x14ac:dyDescent="0.25">
      <c r="A8855" s="7" t="s">
        <v>43347</v>
      </c>
      <c r="B8855" s="8">
        <v>393.75</v>
      </c>
      <c r="C8855" s="8">
        <v>20.426300000000001</v>
      </c>
      <c r="D8855" s="8">
        <v>59</v>
      </c>
      <c r="E8855" s="8">
        <v>0</v>
      </c>
      <c r="F8855" s="8">
        <v>0</v>
      </c>
      <c r="G8855" s="8">
        <v>13</v>
      </c>
      <c r="H8855" s="8" t="s">
        <v>43348</v>
      </c>
      <c r="I8855" s="8">
        <v>526.6875</v>
      </c>
      <c r="J8855" s="3">
        <f t="shared" si="138"/>
        <v>43749.118828391198</v>
      </c>
    </row>
    <row r="8856" spans="1:10" x14ac:dyDescent="0.25">
      <c r="A8856" s="5" t="s">
        <v>43349</v>
      </c>
      <c r="B8856" s="6">
        <v>393.75</v>
      </c>
      <c r="C8856" s="6">
        <v>20.478950000000001</v>
      </c>
      <c r="D8856" s="6">
        <v>58</v>
      </c>
      <c r="E8856" s="6">
        <v>0</v>
      </c>
      <c r="F8856" s="6">
        <v>0</v>
      </c>
      <c r="G8856" s="6">
        <v>0</v>
      </c>
      <c r="H8856" s="6" t="s">
        <v>43350</v>
      </c>
      <c r="I8856" s="6">
        <v>526.6875</v>
      </c>
      <c r="J8856" s="2">
        <f t="shared" si="138"/>
        <v>43749.118900057867</v>
      </c>
    </row>
    <row r="8857" spans="1:10" x14ac:dyDescent="0.25">
      <c r="A8857" s="7" t="s">
        <v>43351</v>
      </c>
      <c r="B8857" s="8">
        <v>393.75</v>
      </c>
      <c r="C8857" s="8">
        <v>20.478950000000001</v>
      </c>
      <c r="D8857" s="8">
        <v>58</v>
      </c>
      <c r="E8857" s="8">
        <v>0</v>
      </c>
      <c r="F8857" s="8">
        <v>0</v>
      </c>
      <c r="G8857" s="8">
        <v>6</v>
      </c>
      <c r="H8857" s="8" t="s">
        <v>43352</v>
      </c>
      <c r="I8857" s="8">
        <v>526.6875</v>
      </c>
      <c r="J8857" s="3">
        <f t="shared" si="138"/>
        <v>43749.118983576387</v>
      </c>
    </row>
    <row r="8858" spans="1:10" x14ac:dyDescent="0.25">
      <c r="A8858" s="5" t="s">
        <v>43353</v>
      </c>
      <c r="B8858" s="6">
        <v>393.75</v>
      </c>
      <c r="C8858" s="6">
        <v>20.478950000000001</v>
      </c>
      <c r="D8858" s="6">
        <v>58</v>
      </c>
      <c r="E8858" s="6">
        <v>0</v>
      </c>
      <c r="F8858" s="6">
        <v>0</v>
      </c>
      <c r="G8858" s="6">
        <v>0</v>
      </c>
      <c r="H8858" s="6" t="s">
        <v>43354</v>
      </c>
      <c r="I8858" s="6">
        <v>526.6875</v>
      </c>
      <c r="J8858" s="2">
        <f t="shared" si="138"/>
        <v>43749.119067013882</v>
      </c>
    </row>
    <row r="8859" spans="1:10" x14ac:dyDescent="0.25">
      <c r="A8859" s="7" t="s">
        <v>43355</v>
      </c>
      <c r="B8859" s="8">
        <v>412.5</v>
      </c>
      <c r="C8859" s="8">
        <v>20.478950000000001</v>
      </c>
      <c r="D8859" s="8">
        <v>58</v>
      </c>
      <c r="E8859" s="8">
        <v>0</v>
      </c>
      <c r="F8859" s="8">
        <v>0</v>
      </c>
      <c r="G8859" s="8">
        <v>5</v>
      </c>
      <c r="H8859" s="8" t="s">
        <v>43356</v>
      </c>
      <c r="I8859" s="8">
        <v>532.3125</v>
      </c>
      <c r="J8859" s="3">
        <f t="shared" si="138"/>
        <v>43749.119150451392</v>
      </c>
    </row>
    <row r="8860" spans="1:10" x14ac:dyDescent="0.25">
      <c r="A8860" s="5" t="s">
        <v>43357</v>
      </c>
      <c r="B8860" s="6">
        <v>393.75</v>
      </c>
      <c r="C8860" s="6">
        <v>20.478950000000001</v>
      </c>
      <c r="D8860" s="6">
        <v>58</v>
      </c>
      <c r="E8860" s="6">
        <v>0</v>
      </c>
      <c r="F8860" s="6">
        <v>0</v>
      </c>
      <c r="G8860" s="6">
        <v>6</v>
      </c>
      <c r="H8860" s="6" t="s">
        <v>43358</v>
      </c>
      <c r="I8860" s="6">
        <v>526.6875</v>
      </c>
      <c r="J8860" s="2">
        <f t="shared" si="138"/>
        <v>43749.119222060188</v>
      </c>
    </row>
    <row r="8861" spans="1:10" x14ac:dyDescent="0.25">
      <c r="A8861" s="7" t="s">
        <v>43359</v>
      </c>
      <c r="B8861" s="8">
        <v>393.75</v>
      </c>
      <c r="C8861" s="8">
        <v>20.478950000000001</v>
      </c>
      <c r="D8861" s="8">
        <v>58</v>
      </c>
      <c r="E8861" s="8">
        <v>0</v>
      </c>
      <c r="F8861" s="8">
        <v>0</v>
      </c>
      <c r="G8861" s="8">
        <v>3</v>
      </c>
      <c r="H8861" s="8" t="s">
        <v>43360</v>
      </c>
      <c r="I8861" s="8">
        <v>526.6875</v>
      </c>
      <c r="J8861" s="3">
        <f t="shared" si="138"/>
        <v>43749.119293194446</v>
      </c>
    </row>
    <row r="8862" spans="1:10" x14ac:dyDescent="0.25">
      <c r="A8862" s="5" t="s">
        <v>43361</v>
      </c>
      <c r="B8862" s="6">
        <v>393.75</v>
      </c>
      <c r="C8862" s="6">
        <v>20.478950000000001</v>
      </c>
      <c r="D8862" s="6">
        <v>58</v>
      </c>
      <c r="E8862" s="6">
        <v>0</v>
      </c>
      <c r="F8862" s="6">
        <v>0</v>
      </c>
      <c r="G8862" s="6">
        <v>4</v>
      </c>
      <c r="H8862" s="6" t="s">
        <v>43362</v>
      </c>
      <c r="I8862" s="6">
        <v>526.6875</v>
      </c>
      <c r="J8862" s="2">
        <f t="shared" si="138"/>
        <v>43749.11936517361</v>
      </c>
    </row>
    <row r="8863" spans="1:10" x14ac:dyDescent="0.25">
      <c r="A8863" s="7" t="s">
        <v>43363</v>
      </c>
      <c r="B8863" s="8">
        <v>393.75</v>
      </c>
      <c r="C8863" s="8">
        <v>20.478950000000001</v>
      </c>
      <c r="D8863" s="8">
        <v>57</v>
      </c>
      <c r="E8863" s="8">
        <v>0</v>
      </c>
      <c r="F8863" s="8">
        <v>0</v>
      </c>
      <c r="G8863" s="8">
        <v>9</v>
      </c>
      <c r="H8863" s="8" t="s">
        <v>43364</v>
      </c>
      <c r="I8863" s="8">
        <v>526.6875</v>
      </c>
      <c r="J8863" s="3">
        <f t="shared" si="138"/>
        <v>43749.119436747678</v>
      </c>
    </row>
    <row r="8864" spans="1:10" x14ac:dyDescent="0.25">
      <c r="A8864" s="5" t="s">
        <v>43365</v>
      </c>
      <c r="B8864" s="6">
        <v>393.75</v>
      </c>
      <c r="C8864" s="6">
        <v>20.478950000000001</v>
      </c>
      <c r="D8864" s="6">
        <v>56</v>
      </c>
      <c r="E8864" s="6">
        <v>0</v>
      </c>
      <c r="F8864" s="6">
        <v>0</v>
      </c>
      <c r="G8864" s="6">
        <v>7</v>
      </c>
      <c r="H8864" s="6" t="s">
        <v>43366</v>
      </c>
      <c r="I8864" s="6">
        <v>526.6875</v>
      </c>
      <c r="J8864" s="2">
        <f t="shared" si="138"/>
        <v>43749.119508043979</v>
      </c>
    </row>
    <row r="8865" spans="1:10" x14ac:dyDescent="0.25">
      <c r="A8865" s="7" t="s">
        <v>43367</v>
      </c>
      <c r="B8865" s="8">
        <v>393.75</v>
      </c>
      <c r="C8865" s="8">
        <v>20.478950000000001</v>
      </c>
      <c r="D8865" s="8">
        <v>56</v>
      </c>
      <c r="E8865" s="8">
        <v>0</v>
      </c>
      <c r="F8865" s="8">
        <v>0</v>
      </c>
      <c r="G8865" s="8">
        <v>18</v>
      </c>
      <c r="H8865" s="8" t="s">
        <v>43368</v>
      </c>
      <c r="I8865" s="8">
        <v>526.6875</v>
      </c>
      <c r="J8865" s="3">
        <f t="shared" si="138"/>
        <v>43749.119579861108</v>
      </c>
    </row>
    <row r="8866" spans="1:10" x14ac:dyDescent="0.25">
      <c r="A8866" s="5" t="s">
        <v>43369</v>
      </c>
      <c r="B8866" s="6">
        <v>393.75</v>
      </c>
      <c r="C8866" s="6">
        <v>20.478950000000001</v>
      </c>
      <c r="D8866" s="6">
        <v>57</v>
      </c>
      <c r="E8866" s="6">
        <v>0</v>
      </c>
      <c r="F8866" s="6">
        <v>0</v>
      </c>
      <c r="G8866" s="6">
        <v>11</v>
      </c>
      <c r="H8866" s="6" t="s">
        <v>43370</v>
      </c>
      <c r="I8866" s="6">
        <v>526.6875</v>
      </c>
      <c r="J8866" s="2">
        <f t="shared" si="138"/>
        <v>43749.119663229161</v>
      </c>
    </row>
    <row r="8867" spans="1:10" x14ac:dyDescent="0.25">
      <c r="A8867" s="7" t="s">
        <v>43371</v>
      </c>
      <c r="B8867" s="8">
        <v>393.75</v>
      </c>
      <c r="C8867" s="8">
        <v>20.426300000000001</v>
      </c>
      <c r="D8867" s="8">
        <v>56</v>
      </c>
      <c r="E8867" s="8">
        <v>0</v>
      </c>
      <c r="F8867" s="8">
        <v>0</v>
      </c>
      <c r="G8867" s="8">
        <v>4</v>
      </c>
      <c r="H8867" s="8" t="s">
        <v>43372</v>
      </c>
      <c r="I8867" s="8">
        <v>526.6875</v>
      </c>
      <c r="J8867" s="3">
        <f t="shared" si="138"/>
        <v>43749.119734618049</v>
      </c>
    </row>
    <row r="8868" spans="1:10" x14ac:dyDescent="0.25">
      <c r="A8868" s="5" t="s">
        <v>43373</v>
      </c>
      <c r="B8868" s="6">
        <v>393.75</v>
      </c>
      <c r="C8868" s="6">
        <v>20.426300000000001</v>
      </c>
      <c r="D8868" s="6">
        <v>57</v>
      </c>
      <c r="E8868" s="6">
        <v>0</v>
      </c>
      <c r="F8868" s="6">
        <v>0</v>
      </c>
      <c r="G8868" s="6">
        <v>9</v>
      </c>
      <c r="H8868" s="6" t="s">
        <v>43374</v>
      </c>
      <c r="I8868" s="6">
        <v>526.6875</v>
      </c>
      <c r="J8868" s="2">
        <f t="shared" si="138"/>
        <v>43749.119806342591</v>
      </c>
    </row>
    <row r="8869" spans="1:10" x14ac:dyDescent="0.25">
      <c r="A8869" s="7" t="s">
        <v>43375</v>
      </c>
      <c r="B8869" s="8">
        <v>393.75</v>
      </c>
      <c r="C8869" s="8">
        <v>20.478950000000001</v>
      </c>
      <c r="D8869" s="8">
        <v>53</v>
      </c>
      <c r="E8869" s="8">
        <v>0</v>
      </c>
      <c r="F8869" s="8">
        <v>0</v>
      </c>
      <c r="G8869" s="8">
        <v>1</v>
      </c>
      <c r="H8869" s="8" t="s">
        <v>43376</v>
      </c>
      <c r="I8869" s="8">
        <v>526.6875</v>
      </c>
      <c r="J8869" s="3">
        <f t="shared" si="138"/>
        <v>43749.119889594906</v>
      </c>
    </row>
    <row r="8870" spans="1:10" x14ac:dyDescent="0.25">
      <c r="A8870" s="5" t="s">
        <v>43377</v>
      </c>
      <c r="B8870" s="6">
        <v>393.75</v>
      </c>
      <c r="C8870" s="6">
        <v>20.478950000000001</v>
      </c>
      <c r="D8870" s="6">
        <v>54</v>
      </c>
      <c r="E8870" s="6">
        <v>0</v>
      </c>
      <c r="F8870" s="6">
        <v>0</v>
      </c>
      <c r="G8870" s="6">
        <v>7</v>
      </c>
      <c r="H8870" s="6" t="s">
        <v>43378</v>
      </c>
      <c r="I8870" s="6">
        <v>526.6875</v>
      </c>
      <c r="J8870" s="2">
        <f t="shared" si="138"/>
        <v>43749.119973333327</v>
      </c>
    </row>
    <row r="8871" spans="1:10" x14ac:dyDescent="0.25">
      <c r="A8871" s="7" t="s">
        <v>43379</v>
      </c>
      <c r="B8871" s="8">
        <v>393.75</v>
      </c>
      <c r="C8871" s="8">
        <v>20.426300000000001</v>
      </c>
      <c r="D8871" s="8">
        <v>55</v>
      </c>
      <c r="E8871" s="8">
        <v>0</v>
      </c>
      <c r="F8871" s="8">
        <v>0</v>
      </c>
      <c r="G8871" s="8">
        <v>17</v>
      </c>
      <c r="H8871" s="8" t="s">
        <v>43380</v>
      </c>
      <c r="I8871" s="8">
        <v>526.6875</v>
      </c>
      <c r="J8871" s="3">
        <f t="shared" si="138"/>
        <v>43749.120057002314</v>
      </c>
    </row>
    <row r="8872" spans="1:10" x14ac:dyDescent="0.25">
      <c r="A8872" s="5" t="s">
        <v>43381</v>
      </c>
      <c r="B8872" s="6">
        <v>412.5</v>
      </c>
      <c r="C8872" s="6">
        <v>20.478950000000001</v>
      </c>
      <c r="D8872" s="6">
        <v>58</v>
      </c>
      <c r="E8872" s="6">
        <v>0</v>
      </c>
      <c r="F8872" s="6">
        <v>0</v>
      </c>
      <c r="G8872" s="6">
        <v>5</v>
      </c>
      <c r="H8872" s="6" t="s">
        <v>43382</v>
      </c>
      <c r="I8872" s="6">
        <v>532.5</v>
      </c>
      <c r="J8872" s="2">
        <f t="shared" si="138"/>
        <v>43749.120128275455</v>
      </c>
    </row>
    <row r="8873" spans="1:10" x14ac:dyDescent="0.25">
      <c r="A8873" s="7" t="s">
        <v>43383</v>
      </c>
      <c r="B8873" s="8">
        <v>393.75</v>
      </c>
      <c r="C8873" s="8">
        <v>20.478950000000001</v>
      </c>
      <c r="D8873" s="8">
        <v>58</v>
      </c>
      <c r="E8873" s="8">
        <v>0</v>
      </c>
      <c r="F8873" s="8">
        <v>0</v>
      </c>
      <c r="G8873" s="8">
        <v>7</v>
      </c>
      <c r="H8873" s="8" t="s">
        <v>43384</v>
      </c>
      <c r="I8873" s="8">
        <v>526.6875</v>
      </c>
      <c r="J8873" s="3">
        <f t="shared" si="138"/>
        <v>43749.120211828696</v>
      </c>
    </row>
    <row r="8874" spans="1:10" x14ac:dyDescent="0.25">
      <c r="A8874" s="5" t="s">
        <v>43385</v>
      </c>
      <c r="B8874" s="6">
        <v>393.75</v>
      </c>
      <c r="C8874" s="6">
        <v>20.478950000000001</v>
      </c>
      <c r="D8874" s="6">
        <v>57</v>
      </c>
      <c r="E8874" s="6">
        <v>0</v>
      </c>
      <c r="F8874" s="6">
        <v>0</v>
      </c>
      <c r="G8874" s="6">
        <v>5</v>
      </c>
      <c r="H8874" s="6" t="s">
        <v>43386</v>
      </c>
      <c r="I8874" s="6">
        <v>526.6875</v>
      </c>
      <c r="J8874" s="2">
        <f t="shared" si="138"/>
        <v>43749.120283402772</v>
      </c>
    </row>
    <row r="8875" spans="1:10" x14ac:dyDescent="0.25">
      <c r="A8875" s="7" t="s">
        <v>43387</v>
      </c>
      <c r="B8875" s="8">
        <v>415.625</v>
      </c>
      <c r="C8875" s="8">
        <v>20.478950000000001</v>
      </c>
      <c r="D8875" s="8">
        <v>57</v>
      </c>
      <c r="E8875" s="8">
        <v>0</v>
      </c>
      <c r="F8875" s="8">
        <v>0</v>
      </c>
      <c r="G8875" s="8">
        <v>6</v>
      </c>
      <c r="H8875" s="8" t="s">
        <v>43388</v>
      </c>
      <c r="I8875" s="8">
        <v>533.8125</v>
      </c>
      <c r="J8875" s="3">
        <f t="shared" si="138"/>
        <v>43749.120366898147</v>
      </c>
    </row>
    <row r="8876" spans="1:10" x14ac:dyDescent="0.25">
      <c r="A8876" s="5" t="s">
        <v>43389</v>
      </c>
      <c r="B8876" s="6">
        <v>393.75</v>
      </c>
      <c r="C8876" s="6">
        <v>20.478950000000001</v>
      </c>
      <c r="D8876" s="6">
        <v>57</v>
      </c>
      <c r="E8876" s="6">
        <v>0</v>
      </c>
      <c r="F8876" s="6">
        <v>0</v>
      </c>
      <c r="G8876" s="6">
        <v>1</v>
      </c>
      <c r="H8876" s="6" t="s">
        <v>43390</v>
      </c>
      <c r="I8876" s="6">
        <v>526.6875</v>
      </c>
      <c r="J8876" s="2">
        <f t="shared" si="138"/>
        <v>43749.120438530088</v>
      </c>
    </row>
    <row r="8877" spans="1:10" x14ac:dyDescent="0.25">
      <c r="A8877" s="7" t="s">
        <v>43391</v>
      </c>
      <c r="B8877" s="8">
        <v>393.75</v>
      </c>
      <c r="C8877" s="8">
        <v>20.478950000000001</v>
      </c>
      <c r="D8877" s="8">
        <v>53</v>
      </c>
      <c r="E8877" s="8">
        <v>0</v>
      </c>
      <c r="F8877" s="8">
        <v>0</v>
      </c>
      <c r="G8877" s="8">
        <v>4</v>
      </c>
      <c r="H8877" s="8" t="s">
        <v>43392</v>
      </c>
      <c r="I8877" s="8">
        <v>526.6875</v>
      </c>
      <c r="J8877" s="3">
        <f t="shared" si="138"/>
        <v>43749.120509930552</v>
      </c>
    </row>
    <row r="8878" spans="1:10" x14ac:dyDescent="0.25">
      <c r="A8878" s="5" t="s">
        <v>43393</v>
      </c>
      <c r="B8878" s="6">
        <v>393.75</v>
      </c>
      <c r="C8878" s="6">
        <v>20.478950000000001</v>
      </c>
      <c r="D8878" s="6">
        <v>54</v>
      </c>
      <c r="E8878" s="6">
        <v>0</v>
      </c>
      <c r="F8878" s="6">
        <v>0</v>
      </c>
      <c r="G8878" s="6">
        <v>6</v>
      </c>
      <c r="H8878" s="6" t="s">
        <v>43394</v>
      </c>
      <c r="I8878" s="6">
        <v>526.5</v>
      </c>
      <c r="J8878" s="2">
        <f t="shared" si="138"/>
        <v>43749.120593298612</v>
      </c>
    </row>
    <row r="8879" spans="1:10" x14ac:dyDescent="0.25">
      <c r="A8879" s="7" t="s">
        <v>43395</v>
      </c>
      <c r="B8879" s="8">
        <v>393.75</v>
      </c>
      <c r="C8879" s="8">
        <v>20.478950000000001</v>
      </c>
      <c r="D8879" s="8">
        <v>55</v>
      </c>
      <c r="E8879" s="8">
        <v>0</v>
      </c>
      <c r="F8879" s="8">
        <v>0</v>
      </c>
      <c r="G8879" s="8">
        <v>3</v>
      </c>
      <c r="H8879" s="8" t="s">
        <v>43396</v>
      </c>
      <c r="I8879" s="8">
        <v>526.6875</v>
      </c>
      <c r="J8879" s="3">
        <f t="shared" si="138"/>
        <v>43749.120664988419</v>
      </c>
    </row>
    <row r="8880" spans="1:10" x14ac:dyDescent="0.25">
      <c r="A8880" s="5" t="s">
        <v>43397</v>
      </c>
      <c r="B8880" s="6">
        <v>393.75</v>
      </c>
      <c r="C8880" s="6">
        <v>20.478950000000001</v>
      </c>
      <c r="D8880" s="6">
        <v>55</v>
      </c>
      <c r="E8880" s="6">
        <v>0</v>
      </c>
      <c r="F8880" s="6">
        <v>0</v>
      </c>
      <c r="G8880" s="6">
        <v>7</v>
      </c>
      <c r="H8880" s="6" t="s">
        <v>43398</v>
      </c>
      <c r="I8880" s="6">
        <v>526.6875</v>
      </c>
      <c r="J8880" s="2">
        <f t="shared" si="138"/>
        <v>43749.120748414345</v>
      </c>
    </row>
    <row r="8881" spans="1:10" x14ac:dyDescent="0.25">
      <c r="A8881" s="7" t="s">
        <v>43399</v>
      </c>
      <c r="B8881" s="8">
        <v>393.75</v>
      </c>
      <c r="C8881" s="8">
        <v>20.478950000000001</v>
      </c>
      <c r="D8881" s="8">
        <v>56</v>
      </c>
      <c r="E8881" s="8">
        <v>0</v>
      </c>
      <c r="F8881" s="8">
        <v>0</v>
      </c>
      <c r="G8881" s="8">
        <v>4</v>
      </c>
      <c r="H8881" s="8" t="s">
        <v>43400</v>
      </c>
      <c r="I8881" s="8">
        <v>526.6875</v>
      </c>
      <c r="J8881" s="3">
        <f t="shared" si="138"/>
        <v>43749.120819930555</v>
      </c>
    </row>
    <row r="8882" spans="1:10" x14ac:dyDescent="0.25">
      <c r="A8882" s="5" t="s">
        <v>43401</v>
      </c>
      <c r="B8882" s="6">
        <v>393.75</v>
      </c>
      <c r="C8882" s="6">
        <v>20.478950000000001</v>
      </c>
      <c r="D8882" s="6">
        <v>54</v>
      </c>
      <c r="E8882" s="6">
        <v>0</v>
      </c>
      <c r="F8882" s="6">
        <v>0</v>
      </c>
      <c r="G8882" s="6">
        <v>8</v>
      </c>
      <c r="H8882" s="6" t="s">
        <v>43402</v>
      </c>
      <c r="I8882" s="6">
        <v>526.6875</v>
      </c>
      <c r="J8882" s="2">
        <f t="shared" si="138"/>
        <v>43749.120891562496</v>
      </c>
    </row>
    <row r="8883" spans="1:10" x14ac:dyDescent="0.25">
      <c r="A8883" s="7" t="s">
        <v>43403</v>
      </c>
      <c r="B8883" s="8">
        <v>393.75</v>
      </c>
      <c r="C8883" s="8">
        <v>20.478950000000001</v>
      </c>
      <c r="D8883" s="8">
        <v>54</v>
      </c>
      <c r="E8883" s="8">
        <v>0</v>
      </c>
      <c r="F8883" s="8">
        <v>0</v>
      </c>
      <c r="G8883" s="8">
        <v>0</v>
      </c>
      <c r="H8883" s="8" t="s">
        <v>43404</v>
      </c>
      <c r="I8883" s="8">
        <v>526.6875</v>
      </c>
      <c r="J8883" s="3">
        <f t="shared" si="138"/>
        <v>43749.120974791666</v>
      </c>
    </row>
    <row r="8884" spans="1:10" x14ac:dyDescent="0.25">
      <c r="A8884" s="5" t="s">
        <v>43405</v>
      </c>
      <c r="B8884" s="6">
        <v>393.75</v>
      </c>
      <c r="C8884" s="6">
        <v>20.478950000000001</v>
      </c>
      <c r="D8884" s="6">
        <v>55</v>
      </c>
      <c r="E8884" s="6">
        <v>0</v>
      </c>
      <c r="F8884" s="6">
        <v>0</v>
      </c>
      <c r="G8884" s="6">
        <v>3</v>
      </c>
      <c r="H8884" s="6" t="s">
        <v>43406</v>
      </c>
      <c r="I8884" s="6">
        <v>526.6875</v>
      </c>
      <c r="J8884" s="2">
        <f t="shared" si="138"/>
        <v>43749.12104677083</v>
      </c>
    </row>
    <row r="8885" spans="1:10" x14ac:dyDescent="0.25">
      <c r="A8885" s="7" t="s">
        <v>43407</v>
      </c>
      <c r="B8885" s="8">
        <v>393.75</v>
      </c>
      <c r="C8885" s="8">
        <v>20.478950000000001</v>
      </c>
      <c r="D8885" s="8">
        <v>55</v>
      </c>
      <c r="E8885" s="8">
        <v>0</v>
      </c>
      <c r="F8885" s="8">
        <v>0</v>
      </c>
      <c r="G8885" s="8">
        <v>12</v>
      </c>
      <c r="H8885" s="8" t="s">
        <v>43408</v>
      </c>
      <c r="I8885" s="8">
        <v>526.6875</v>
      </c>
      <c r="J8885" s="3">
        <f t="shared" si="138"/>
        <v>43749.121141724536</v>
      </c>
    </row>
    <row r="8886" spans="1:10" x14ac:dyDescent="0.25">
      <c r="A8886" s="5" t="s">
        <v>43409</v>
      </c>
      <c r="B8886" s="6">
        <v>393.75</v>
      </c>
      <c r="C8886" s="6">
        <v>20.478950000000001</v>
      </c>
      <c r="D8886" s="6">
        <v>56</v>
      </c>
      <c r="E8886" s="6">
        <v>0</v>
      </c>
      <c r="F8886" s="6">
        <v>0</v>
      </c>
      <c r="G8886" s="6">
        <v>9</v>
      </c>
      <c r="H8886" s="6" t="s">
        <v>43410</v>
      </c>
      <c r="I8886" s="6">
        <v>526.6875</v>
      </c>
      <c r="J8886" s="2">
        <f t="shared" si="138"/>
        <v>43749.121213634258</v>
      </c>
    </row>
    <row r="8887" spans="1:10" x14ac:dyDescent="0.25">
      <c r="A8887" s="7" t="s">
        <v>43411</v>
      </c>
      <c r="B8887" s="8">
        <v>393.75</v>
      </c>
      <c r="C8887" s="8">
        <v>20.426300000000001</v>
      </c>
      <c r="D8887" s="8">
        <v>55</v>
      </c>
      <c r="E8887" s="8">
        <v>0</v>
      </c>
      <c r="F8887" s="8">
        <v>0</v>
      </c>
      <c r="G8887" s="8">
        <v>8</v>
      </c>
      <c r="H8887" s="8" t="s">
        <v>43412</v>
      </c>
      <c r="I8887" s="8">
        <v>526.6875</v>
      </c>
      <c r="J8887" s="3">
        <f t="shared" si="138"/>
        <v>43749.121297083329</v>
      </c>
    </row>
    <row r="8888" spans="1:10" x14ac:dyDescent="0.25">
      <c r="A8888" s="5" t="s">
        <v>43413</v>
      </c>
      <c r="B8888" s="6">
        <v>393.75</v>
      </c>
      <c r="C8888" s="6">
        <v>20.478950000000001</v>
      </c>
      <c r="D8888" s="6">
        <v>56</v>
      </c>
      <c r="E8888" s="6">
        <v>0</v>
      </c>
      <c r="F8888" s="6">
        <v>0</v>
      </c>
      <c r="G8888" s="6">
        <v>7</v>
      </c>
      <c r="H8888" s="6" t="s">
        <v>43414</v>
      </c>
      <c r="I8888" s="6">
        <v>526.6875</v>
      </c>
      <c r="J8888" s="2">
        <f t="shared" si="138"/>
        <v>43749.121368506945</v>
      </c>
    </row>
    <row r="8889" spans="1:10" x14ac:dyDescent="0.25">
      <c r="A8889" s="7" t="s">
        <v>43415</v>
      </c>
      <c r="B8889" s="8">
        <v>393.75</v>
      </c>
      <c r="C8889" s="8">
        <v>20.478950000000001</v>
      </c>
      <c r="D8889" s="8">
        <v>55</v>
      </c>
      <c r="E8889" s="8">
        <v>0</v>
      </c>
      <c r="F8889" s="8">
        <v>0</v>
      </c>
      <c r="G8889" s="8">
        <v>6</v>
      </c>
      <c r="H8889" s="8" t="s">
        <v>43416</v>
      </c>
      <c r="I8889" s="8">
        <v>526.6875</v>
      </c>
      <c r="J8889" s="3">
        <f t="shared" si="138"/>
        <v>43749.121452314816</v>
      </c>
    </row>
    <row r="8890" spans="1:10" x14ac:dyDescent="0.25">
      <c r="A8890" s="5" t="s">
        <v>43417</v>
      </c>
      <c r="B8890" s="6">
        <v>412.5</v>
      </c>
      <c r="C8890" s="6">
        <v>20.478950000000001</v>
      </c>
      <c r="D8890" s="6">
        <v>56</v>
      </c>
      <c r="E8890" s="6">
        <v>0</v>
      </c>
      <c r="F8890" s="6">
        <v>0</v>
      </c>
      <c r="G8890" s="6">
        <v>2</v>
      </c>
      <c r="H8890" s="6" t="s">
        <v>43418</v>
      </c>
      <c r="I8890" s="6">
        <v>532.3125</v>
      </c>
      <c r="J8890" s="2">
        <f t="shared" si="138"/>
        <v>43749.121535196762</v>
      </c>
    </row>
    <row r="8891" spans="1:10" x14ac:dyDescent="0.25">
      <c r="A8891" s="7" t="s">
        <v>43419</v>
      </c>
      <c r="B8891" s="8">
        <v>393.75</v>
      </c>
      <c r="C8891" s="8">
        <v>20.478950000000001</v>
      </c>
      <c r="D8891" s="8">
        <v>56</v>
      </c>
      <c r="E8891" s="8">
        <v>0</v>
      </c>
      <c r="F8891" s="8">
        <v>0</v>
      </c>
      <c r="G8891" s="8">
        <v>10</v>
      </c>
      <c r="H8891" s="8" t="s">
        <v>43420</v>
      </c>
      <c r="I8891" s="8">
        <v>526.6875</v>
      </c>
      <c r="J8891" s="3">
        <f t="shared" si="138"/>
        <v>43749.121619050922</v>
      </c>
    </row>
    <row r="8892" spans="1:10" x14ac:dyDescent="0.25">
      <c r="A8892" s="5" t="s">
        <v>43421</v>
      </c>
      <c r="B8892" s="6">
        <v>393.75</v>
      </c>
      <c r="C8892" s="6">
        <v>20.478950000000001</v>
      </c>
      <c r="D8892" s="6">
        <v>55</v>
      </c>
      <c r="E8892" s="6">
        <v>0</v>
      </c>
      <c r="F8892" s="6">
        <v>0</v>
      </c>
      <c r="G8892" s="6">
        <v>16</v>
      </c>
      <c r="H8892" s="6" t="s">
        <v>43422</v>
      </c>
      <c r="I8892" s="6">
        <v>526.6875</v>
      </c>
      <c r="J8892" s="2">
        <f t="shared" si="138"/>
        <v>43749.121690752312</v>
      </c>
    </row>
    <row r="8893" spans="1:10" x14ac:dyDescent="0.25">
      <c r="A8893" s="7" t="s">
        <v>43423</v>
      </c>
      <c r="B8893" s="8">
        <v>393.75</v>
      </c>
      <c r="C8893" s="8">
        <v>20.478950000000001</v>
      </c>
      <c r="D8893" s="8">
        <v>55</v>
      </c>
      <c r="E8893" s="8">
        <v>0</v>
      </c>
      <c r="F8893" s="8">
        <v>0</v>
      </c>
      <c r="G8893" s="8">
        <v>4</v>
      </c>
      <c r="H8893" s="8" t="s">
        <v>43424</v>
      </c>
      <c r="I8893" s="8">
        <v>526.6875</v>
      </c>
      <c r="J8893" s="3">
        <f t="shared" si="138"/>
        <v>43749.121774050924</v>
      </c>
    </row>
    <row r="8894" spans="1:10" x14ac:dyDescent="0.25">
      <c r="A8894" s="5" t="s">
        <v>43425</v>
      </c>
      <c r="B8894" s="6">
        <v>393.75</v>
      </c>
      <c r="C8894" s="6">
        <v>20.478950000000001</v>
      </c>
      <c r="D8894" s="6">
        <v>56</v>
      </c>
      <c r="E8894" s="6">
        <v>0</v>
      </c>
      <c r="F8894" s="6">
        <v>0</v>
      </c>
      <c r="G8894" s="6">
        <v>8</v>
      </c>
      <c r="H8894" s="6" t="s">
        <v>43426</v>
      </c>
      <c r="I8894" s="6">
        <v>526.6875</v>
      </c>
      <c r="J8894" s="2">
        <f t="shared" si="138"/>
        <v>43749.121857199068</v>
      </c>
    </row>
    <row r="8895" spans="1:10" x14ac:dyDescent="0.25">
      <c r="A8895" s="7" t="s">
        <v>43427</v>
      </c>
      <c r="B8895" s="8">
        <v>393.75</v>
      </c>
      <c r="C8895" s="8">
        <v>20.478950000000001</v>
      </c>
      <c r="D8895" s="8">
        <v>56</v>
      </c>
      <c r="E8895" s="8">
        <v>0</v>
      </c>
      <c r="F8895" s="8">
        <v>0</v>
      </c>
      <c r="G8895" s="8">
        <v>7</v>
      </c>
      <c r="H8895" s="8" t="s">
        <v>43428</v>
      </c>
      <c r="I8895" s="8">
        <v>526.6875</v>
      </c>
      <c r="J8895" s="3">
        <f t="shared" si="138"/>
        <v>43749.121929120367</v>
      </c>
    </row>
    <row r="8896" spans="1:10" x14ac:dyDescent="0.25">
      <c r="A8896" s="5" t="s">
        <v>43429</v>
      </c>
      <c r="B8896" s="6">
        <v>393.75</v>
      </c>
      <c r="C8896" s="6">
        <v>20.478950000000001</v>
      </c>
      <c r="D8896" s="6">
        <v>56</v>
      </c>
      <c r="E8896" s="6">
        <v>0</v>
      </c>
      <c r="F8896" s="6">
        <v>0</v>
      </c>
      <c r="G8896" s="6">
        <v>7</v>
      </c>
      <c r="H8896" s="6" t="s">
        <v>43430</v>
      </c>
      <c r="I8896" s="6">
        <v>526.6875</v>
      </c>
      <c r="J8896" s="2">
        <f t="shared" si="138"/>
        <v>43749.122000787036</v>
      </c>
    </row>
    <row r="8897" spans="1:10" x14ac:dyDescent="0.25">
      <c r="A8897" s="7" t="s">
        <v>43431</v>
      </c>
      <c r="B8897" s="8">
        <v>393.75</v>
      </c>
      <c r="C8897" s="8">
        <v>20.478950000000001</v>
      </c>
      <c r="D8897" s="8">
        <v>55</v>
      </c>
      <c r="E8897" s="8">
        <v>0</v>
      </c>
      <c r="F8897" s="8">
        <v>0</v>
      </c>
      <c r="G8897" s="8">
        <v>5</v>
      </c>
      <c r="H8897" s="8" t="s">
        <v>43432</v>
      </c>
      <c r="I8897" s="8">
        <v>526.6875</v>
      </c>
      <c r="J8897" s="3">
        <f t="shared" si="138"/>
        <v>43749.122072175924</v>
      </c>
    </row>
    <row r="8898" spans="1:10" x14ac:dyDescent="0.25">
      <c r="A8898" s="5" t="s">
        <v>43433</v>
      </c>
      <c r="B8898" s="6">
        <v>393.75</v>
      </c>
      <c r="C8898" s="6">
        <v>20.478950000000001</v>
      </c>
      <c r="D8898" s="6">
        <v>55</v>
      </c>
      <c r="E8898" s="6">
        <v>0</v>
      </c>
      <c r="F8898" s="6">
        <v>0</v>
      </c>
      <c r="G8898" s="6">
        <v>11</v>
      </c>
      <c r="H8898" s="6" t="s">
        <v>43434</v>
      </c>
      <c r="I8898" s="6">
        <v>526.6875</v>
      </c>
      <c r="J8898" s="2">
        <f t="shared" ref="J8898:J8961" si="139">(H8898/86400000)+25569+(7/24)</f>
        <v>43749.122155671292</v>
      </c>
    </row>
    <row r="8899" spans="1:10" x14ac:dyDescent="0.25">
      <c r="A8899" s="7" t="s">
        <v>43435</v>
      </c>
      <c r="B8899" s="8">
        <v>393.75</v>
      </c>
      <c r="C8899" s="8">
        <v>20.478950000000001</v>
      </c>
      <c r="D8899" s="8">
        <v>56</v>
      </c>
      <c r="E8899" s="8">
        <v>0</v>
      </c>
      <c r="F8899" s="8">
        <v>0</v>
      </c>
      <c r="G8899" s="8">
        <v>3</v>
      </c>
      <c r="H8899" s="8" t="s">
        <v>43436</v>
      </c>
      <c r="I8899" s="8">
        <v>526.6875</v>
      </c>
      <c r="J8899" s="3">
        <f t="shared" si="139"/>
        <v>43749.122258136573</v>
      </c>
    </row>
    <row r="8900" spans="1:10" x14ac:dyDescent="0.25">
      <c r="A8900" s="5" t="s">
        <v>43437</v>
      </c>
      <c r="B8900" s="6">
        <v>393.75</v>
      </c>
      <c r="C8900" s="6">
        <v>20.478950000000001</v>
      </c>
      <c r="D8900" s="6">
        <v>56</v>
      </c>
      <c r="E8900" s="6">
        <v>0</v>
      </c>
      <c r="F8900" s="6">
        <v>0</v>
      </c>
      <c r="G8900" s="6">
        <v>2</v>
      </c>
      <c r="H8900" s="6" t="s">
        <v>43438</v>
      </c>
      <c r="I8900" s="6">
        <v>526.6875</v>
      </c>
      <c r="J8900" s="2">
        <f t="shared" si="139"/>
        <v>43749.122334780091</v>
      </c>
    </row>
    <row r="8901" spans="1:10" x14ac:dyDescent="0.25">
      <c r="A8901" s="7" t="s">
        <v>43439</v>
      </c>
      <c r="B8901" s="8">
        <v>393.75</v>
      </c>
      <c r="C8901" s="8">
        <v>20.478950000000001</v>
      </c>
      <c r="D8901" s="8">
        <v>56</v>
      </c>
      <c r="E8901" s="8">
        <v>0</v>
      </c>
      <c r="F8901" s="8">
        <v>0</v>
      </c>
      <c r="G8901" s="8">
        <v>6</v>
      </c>
      <c r="H8901" s="8" t="s">
        <v>43440</v>
      </c>
      <c r="I8901" s="8">
        <v>526.6875</v>
      </c>
      <c r="J8901" s="3">
        <f t="shared" si="139"/>
        <v>43749.122406145827</v>
      </c>
    </row>
    <row r="8902" spans="1:10" x14ac:dyDescent="0.25">
      <c r="A8902" s="5" t="s">
        <v>43441</v>
      </c>
      <c r="B8902" s="6">
        <v>393.75</v>
      </c>
      <c r="C8902" s="6">
        <v>20.478950000000001</v>
      </c>
      <c r="D8902" s="6">
        <v>56</v>
      </c>
      <c r="E8902" s="6">
        <v>0</v>
      </c>
      <c r="F8902" s="6">
        <v>0</v>
      </c>
      <c r="G8902" s="6">
        <v>1</v>
      </c>
      <c r="H8902" s="6" t="s">
        <v>43442</v>
      </c>
      <c r="I8902" s="6">
        <v>526.6875</v>
      </c>
      <c r="J8902" s="2">
        <f t="shared" si="139"/>
        <v>43749.122477743054</v>
      </c>
    </row>
    <row r="8903" spans="1:10" x14ac:dyDescent="0.25">
      <c r="A8903" s="7" t="s">
        <v>43443</v>
      </c>
      <c r="B8903" s="8">
        <v>393.75</v>
      </c>
      <c r="C8903" s="8">
        <v>20.478950000000001</v>
      </c>
      <c r="D8903" s="8">
        <v>57</v>
      </c>
      <c r="E8903" s="8">
        <v>0</v>
      </c>
      <c r="F8903" s="8">
        <v>0</v>
      </c>
      <c r="G8903" s="8">
        <v>6</v>
      </c>
      <c r="H8903" s="8" t="s">
        <v>43444</v>
      </c>
      <c r="I8903" s="8">
        <v>526.6875</v>
      </c>
      <c r="J8903" s="3">
        <f t="shared" si="139"/>
        <v>43749.122561192125</v>
      </c>
    </row>
    <row r="8904" spans="1:10" x14ac:dyDescent="0.25">
      <c r="A8904" s="5" t="s">
        <v>43445</v>
      </c>
      <c r="B8904" s="6">
        <v>393.75</v>
      </c>
      <c r="C8904" s="6">
        <v>20.478950000000001</v>
      </c>
      <c r="D8904" s="6">
        <v>56</v>
      </c>
      <c r="E8904" s="6">
        <v>0</v>
      </c>
      <c r="F8904" s="6">
        <v>0</v>
      </c>
      <c r="G8904" s="6">
        <v>2</v>
      </c>
      <c r="H8904" s="6" t="s">
        <v>43446</v>
      </c>
      <c r="I8904" s="6">
        <v>526.6875</v>
      </c>
      <c r="J8904" s="2">
        <f t="shared" si="139"/>
        <v>43749.122644675925</v>
      </c>
    </row>
    <row r="8905" spans="1:10" x14ac:dyDescent="0.25">
      <c r="A8905" s="7" t="s">
        <v>43447</v>
      </c>
      <c r="B8905" s="8">
        <v>393.75</v>
      </c>
      <c r="C8905" s="8">
        <v>20.478950000000001</v>
      </c>
      <c r="D8905" s="8">
        <v>53</v>
      </c>
      <c r="E8905" s="8">
        <v>0</v>
      </c>
      <c r="F8905" s="8">
        <v>0</v>
      </c>
      <c r="G8905" s="8">
        <v>1</v>
      </c>
      <c r="H8905" s="8" t="s">
        <v>43448</v>
      </c>
      <c r="I8905" s="8">
        <v>526.6875</v>
      </c>
      <c r="J8905" s="3">
        <f t="shared" si="139"/>
        <v>43749.122716400459</v>
      </c>
    </row>
    <row r="8906" spans="1:10" x14ac:dyDescent="0.25">
      <c r="A8906" s="5" t="s">
        <v>43449</v>
      </c>
      <c r="B8906" s="6">
        <v>393.75</v>
      </c>
      <c r="C8906" s="6">
        <v>20.478950000000001</v>
      </c>
      <c r="D8906" s="6">
        <v>54</v>
      </c>
      <c r="E8906" s="6">
        <v>0</v>
      </c>
      <c r="F8906" s="6">
        <v>0</v>
      </c>
      <c r="G8906" s="6">
        <v>3</v>
      </c>
      <c r="H8906" s="6" t="s">
        <v>43450</v>
      </c>
      <c r="I8906" s="6">
        <v>526.5</v>
      </c>
      <c r="J8906" s="2">
        <f t="shared" si="139"/>
        <v>43749.122787800923</v>
      </c>
    </row>
    <row r="8907" spans="1:10" x14ac:dyDescent="0.25">
      <c r="A8907" s="7" t="s">
        <v>43451</v>
      </c>
      <c r="B8907" s="8">
        <v>415.625</v>
      </c>
      <c r="C8907" s="8">
        <v>20.478950000000001</v>
      </c>
      <c r="D8907" s="8">
        <v>54</v>
      </c>
      <c r="E8907" s="8">
        <v>0</v>
      </c>
      <c r="F8907" s="8">
        <v>0</v>
      </c>
      <c r="G8907" s="8">
        <v>4</v>
      </c>
      <c r="H8907" s="8" t="s">
        <v>43452</v>
      </c>
      <c r="I8907" s="8">
        <v>533.0625</v>
      </c>
      <c r="J8907" s="3">
        <f t="shared" si="139"/>
        <v>43749.122871064814</v>
      </c>
    </row>
    <row r="8908" spans="1:10" x14ac:dyDescent="0.25">
      <c r="A8908" s="5" t="s">
        <v>43453</v>
      </c>
      <c r="B8908" s="6">
        <v>393.75</v>
      </c>
      <c r="C8908" s="6">
        <v>20.478950000000001</v>
      </c>
      <c r="D8908" s="6">
        <v>55</v>
      </c>
      <c r="E8908" s="6">
        <v>0</v>
      </c>
      <c r="F8908" s="6">
        <v>0</v>
      </c>
      <c r="G8908" s="6">
        <v>1</v>
      </c>
      <c r="H8908" s="6" t="s">
        <v>43454</v>
      </c>
      <c r="I8908" s="6">
        <v>526.5</v>
      </c>
      <c r="J8908" s="2">
        <f t="shared" si="139"/>
        <v>43749.12294285879</v>
      </c>
    </row>
    <row r="8909" spans="1:10" x14ac:dyDescent="0.25">
      <c r="A8909" s="7" t="s">
        <v>43455</v>
      </c>
      <c r="B8909" s="8">
        <v>393.75</v>
      </c>
      <c r="C8909" s="8">
        <v>20.478950000000001</v>
      </c>
      <c r="D8909" s="8">
        <v>54</v>
      </c>
      <c r="E8909" s="8">
        <v>0</v>
      </c>
      <c r="F8909" s="8">
        <v>0</v>
      </c>
      <c r="G8909" s="8">
        <v>1</v>
      </c>
      <c r="H8909" s="8" t="s">
        <v>43456</v>
      </c>
      <c r="I8909" s="8">
        <v>526.6875</v>
      </c>
      <c r="J8909" s="3">
        <f t="shared" si="139"/>
        <v>43749.123029606482</v>
      </c>
    </row>
    <row r="8910" spans="1:10" x14ac:dyDescent="0.25">
      <c r="A8910" s="5" t="s">
        <v>43457</v>
      </c>
      <c r="B8910" s="6">
        <v>393.75</v>
      </c>
      <c r="C8910" s="6">
        <v>20.478950000000001</v>
      </c>
      <c r="D8910" s="6">
        <v>55</v>
      </c>
      <c r="E8910" s="6">
        <v>0</v>
      </c>
      <c r="F8910" s="6">
        <v>0</v>
      </c>
      <c r="G8910" s="6">
        <v>4</v>
      </c>
      <c r="H8910" s="6" t="s">
        <v>43458</v>
      </c>
      <c r="I8910" s="6">
        <v>526.6875</v>
      </c>
      <c r="J8910" s="2">
        <f t="shared" si="139"/>
        <v>43749.123109722219</v>
      </c>
    </row>
    <row r="8911" spans="1:10" x14ac:dyDescent="0.25">
      <c r="A8911" s="7" t="s">
        <v>43459</v>
      </c>
      <c r="B8911" s="8">
        <v>393.75</v>
      </c>
      <c r="C8911" s="8">
        <v>20.478950000000001</v>
      </c>
      <c r="D8911" s="8">
        <v>57</v>
      </c>
      <c r="E8911" s="8">
        <v>0</v>
      </c>
      <c r="F8911" s="8">
        <v>0</v>
      </c>
      <c r="G8911" s="8">
        <v>4</v>
      </c>
      <c r="H8911" s="8" t="s">
        <v>43460</v>
      </c>
      <c r="I8911" s="8">
        <v>526.6875</v>
      </c>
      <c r="J8911" s="3">
        <f t="shared" si="139"/>
        <v>43749.123193298605</v>
      </c>
    </row>
    <row r="8912" spans="1:10" x14ac:dyDescent="0.25">
      <c r="A8912" s="5" t="s">
        <v>43461</v>
      </c>
      <c r="B8912" s="6">
        <v>437.5</v>
      </c>
      <c r="C8912" s="6">
        <v>20.478950000000001</v>
      </c>
      <c r="D8912" s="6">
        <v>58</v>
      </c>
      <c r="E8912" s="6">
        <v>0</v>
      </c>
      <c r="F8912" s="6">
        <v>0</v>
      </c>
      <c r="G8912" s="6">
        <v>2</v>
      </c>
      <c r="H8912" s="6" t="s">
        <v>43462</v>
      </c>
      <c r="I8912" s="6">
        <v>540.9375</v>
      </c>
      <c r="J8912" s="2">
        <f t="shared" si="139"/>
        <v>43749.123276770835</v>
      </c>
    </row>
    <row r="8913" spans="1:10" x14ac:dyDescent="0.25">
      <c r="A8913" s="7" t="s">
        <v>43463</v>
      </c>
      <c r="B8913" s="8">
        <v>393.75</v>
      </c>
      <c r="C8913" s="8">
        <v>20.478950000000001</v>
      </c>
      <c r="D8913" s="8">
        <v>56</v>
      </c>
      <c r="E8913" s="8">
        <v>0</v>
      </c>
      <c r="F8913" s="8">
        <v>0</v>
      </c>
      <c r="G8913" s="8">
        <v>4</v>
      </c>
      <c r="H8913" s="8" t="s">
        <v>43464</v>
      </c>
      <c r="I8913" s="8">
        <v>526.6875</v>
      </c>
      <c r="J8913" s="3">
        <f t="shared" si="139"/>
        <v>43749.123359953701</v>
      </c>
    </row>
    <row r="8914" spans="1:10" x14ac:dyDescent="0.25">
      <c r="A8914" s="5" t="s">
        <v>43465</v>
      </c>
      <c r="B8914" s="6">
        <v>393.75</v>
      </c>
      <c r="C8914" s="6">
        <v>20.478950000000001</v>
      </c>
      <c r="D8914" s="6">
        <v>56</v>
      </c>
      <c r="E8914" s="6">
        <v>0</v>
      </c>
      <c r="F8914" s="6">
        <v>0</v>
      </c>
      <c r="G8914" s="6">
        <v>11</v>
      </c>
      <c r="H8914" s="6" t="s">
        <v>43466</v>
      </c>
      <c r="I8914" s="6">
        <v>526.6875</v>
      </c>
      <c r="J8914" s="2">
        <f t="shared" si="139"/>
        <v>43749.123431770829</v>
      </c>
    </row>
    <row r="8915" spans="1:10" x14ac:dyDescent="0.25">
      <c r="A8915" s="7" t="s">
        <v>43467</v>
      </c>
      <c r="B8915" s="8">
        <v>393.75</v>
      </c>
      <c r="C8915" s="8">
        <v>20.478950000000001</v>
      </c>
      <c r="D8915" s="8">
        <v>57</v>
      </c>
      <c r="E8915" s="8">
        <v>0</v>
      </c>
      <c r="F8915" s="8">
        <v>0</v>
      </c>
      <c r="G8915" s="8">
        <v>5</v>
      </c>
      <c r="H8915" s="8" t="s">
        <v>43468</v>
      </c>
      <c r="I8915" s="8">
        <v>526.6875</v>
      </c>
      <c r="J8915" s="3">
        <f t="shared" si="139"/>
        <v>43749.123515277774</v>
      </c>
    </row>
    <row r="8916" spans="1:10" x14ac:dyDescent="0.25">
      <c r="A8916" s="5" t="s">
        <v>43469</v>
      </c>
      <c r="B8916" s="6">
        <v>393.75</v>
      </c>
      <c r="C8916" s="6">
        <v>20.426300000000001</v>
      </c>
      <c r="D8916" s="6">
        <v>57</v>
      </c>
      <c r="E8916" s="6">
        <v>0</v>
      </c>
      <c r="F8916" s="6">
        <v>0</v>
      </c>
      <c r="G8916" s="6">
        <v>0</v>
      </c>
      <c r="H8916" s="6" t="s">
        <v>43470</v>
      </c>
      <c r="I8916" s="6">
        <v>526.5</v>
      </c>
      <c r="J8916" s="2">
        <f t="shared" si="139"/>
        <v>43749.123587071757</v>
      </c>
    </row>
    <row r="8917" spans="1:10" x14ac:dyDescent="0.25">
      <c r="A8917" s="7" t="s">
        <v>43471</v>
      </c>
      <c r="B8917" s="8">
        <v>393.75</v>
      </c>
      <c r="C8917" s="8">
        <v>20.478950000000001</v>
      </c>
      <c r="D8917" s="8">
        <v>57</v>
      </c>
      <c r="E8917" s="8">
        <v>0</v>
      </c>
      <c r="F8917" s="8">
        <v>0</v>
      </c>
      <c r="G8917" s="8">
        <v>6</v>
      </c>
      <c r="H8917" s="8" t="s">
        <v>43472</v>
      </c>
      <c r="I8917" s="8">
        <v>526.6875</v>
      </c>
      <c r="J8917" s="3">
        <f t="shared" si="139"/>
        <v>43749.123670312496</v>
      </c>
    </row>
    <row r="8918" spans="1:10" x14ac:dyDescent="0.25">
      <c r="A8918" s="5" t="s">
        <v>43473</v>
      </c>
      <c r="B8918" s="6">
        <v>393.75</v>
      </c>
      <c r="C8918" s="6">
        <v>20.426300000000001</v>
      </c>
      <c r="D8918" s="6">
        <v>57</v>
      </c>
      <c r="E8918" s="6">
        <v>0</v>
      </c>
      <c r="F8918" s="6">
        <v>0</v>
      </c>
      <c r="G8918" s="6">
        <v>0</v>
      </c>
      <c r="H8918" s="6" t="s">
        <v>43474</v>
      </c>
      <c r="I8918" s="6">
        <v>526.6875</v>
      </c>
      <c r="J8918" s="2">
        <f t="shared" si="139"/>
        <v>43749.123766539349</v>
      </c>
    </row>
    <row r="8919" spans="1:10" x14ac:dyDescent="0.25">
      <c r="A8919" s="7" t="s">
        <v>43475</v>
      </c>
      <c r="B8919" s="8">
        <v>393.75</v>
      </c>
      <c r="C8919" s="8">
        <v>20.426300000000001</v>
      </c>
      <c r="D8919" s="8">
        <v>57</v>
      </c>
      <c r="E8919" s="8">
        <v>0</v>
      </c>
      <c r="F8919" s="8">
        <v>0</v>
      </c>
      <c r="G8919" s="8">
        <v>8</v>
      </c>
      <c r="H8919" s="8" t="s">
        <v>43476</v>
      </c>
      <c r="I8919" s="8">
        <v>526.6875</v>
      </c>
      <c r="J8919" s="3">
        <f t="shared" si="139"/>
        <v>43749.123837210645</v>
      </c>
    </row>
    <row r="8920" spans="1:10" x14ac:dyDescent="0.25">
      <c r="A8920" s="5" t="s">
        <v>43477</v>
      </c>
      <c r="B8920" s="6">
        <v>412.5</v>
      </c>
      <c r="C8920" s="6">
        <v>20.478950000000001</v>
      </c>
      <c r="D8920" s="6">
        <v>58</v>
      </c>
      <c r="E8920" s="6">
        <v>0</v>
      </c>
      <c r="F8920" s="6">
        <v>0</v>
      </c>
      <c r="G8920" s="6">
        <v>0</v>
      </c>
      <c r="H8920" s="6" t="s">
        <v>43478</v>
      </c>
      <c r="I8920" s="6">
        <v>532.3125</v>
      </c>
      <c r="J8920" s="2">
        <f t="shared" si="139"/>
        <v>43749.123908969901</v>
      </c>
    </row>
    <row r="8921" spans="1:10" x14ac:dyDescent="0.25">
      <c r="A8921" s="7" t="s">
        <v>43479</v>
      </c>
      <c r="B8921" s="8">
        <v>393.75</v>
      </c>
      <c r="C8921" s="8">
        <v>20.478950000000001</v>
      </c>
      <c r="D8921" s="8">
        <v>59</v>
      </c>
      <c r="E8921" s="8">
        <v>0</v>
      </c>
      <c r="F8921" s="8">
        <v>0</v>
      </c>
      <c r="G8921" s="8">
        <v>1</v>
      </c>
      <c r="H8921" s="8" t="s">
        <v>43480</v>
      </c>
      <c r="I8921" s="8">
        <v>526.6875</v>
      </c>
      <c r="J8921" s="3">
        <f t="shared" si="139"/>
        <v>43749.123992361107</v>
      </c>
    </row>
    <row r="8922" spans="1:10" x14ac:dyDescent="0.25">
      <c r="A8922" s="5" t="s">
        <v>43481</v>
      </c>
      <c r="B8922" s="6">
        <v>393.75</v>
      </c>
      <c r="C8922" s="6">
        <v>20.478950000000001</v>
      </c>
      <c r="D8922" s="6">
        <v>58</v>
      </c>
      <c r="E8922" s="6">
        <v>0</v>
      </c>
      <c r="F8922" s="6">
        <v>0</v>
      </c>
      <c r="G8922" s="6">
        <v>2</v>
      </c>
      <c r="H8922" s="6" t="s">
        <v>43482</v>
      </c>
      <c r="I8922" s="6">
        <v>526.6875</v>
      </c>
      <c r="J8922" s="2">
        <f t="shared" si="139"/>
        <v>43749.1240636574</v>
      </c>
    </row>
    <row r="8923" spans="1:10" x14ac:dyDescent="0.25">
      <c r="A8923" s="7" t="s">
        <v>43483</v>
      </c>
      <c r="B8923" s="8">
        <v>393.75</v>
      </c>
      <c r="C8923" s="8">
        <v>20.478950000000001</v>
      </c>
      <c r="D8923" s="8">
        <v>58</v>
      </c>
      <c r="E8923" s="8">
        <v>0</v>
      </c>
      <c r="F8923" s="8">
        <v>0</v>
      </c>
      <c r="G8923" s="8">
        <v>11</v>
      </c>
      <c r="H8923" s="8" t="s">
        <v>43484</v>
      </c>
      <c r="I8923" s="8">
        <v>526.6875</v>
      </c>
      <c r="J8923" s="3">
        <f t="shared" si="139"/>
        <v>43749.124135428239</v>
      </c>
    </row>
    <row r="8924" spans="1:10" x14ac:dyDescent="0.25">
      <c r="A8924" s="5" t="s">
        <v>43485</v>
      </c>
      <c r="B8924" s="6">
        <v>393.75</v>
      </c>
      <c r="C8924" s="6">
        <v>20.478950000000001</v>
      </c>
      <c r="D8924" s="6">
        <v>58</v>
      </c>
      <c r="E8924" s="6">
        <v>0</v>
      </c>
      <c r="F8924" s="6">
        <v>0</v>
      </c>
      <c r="G8924" s="6">
        <v>10</v>
      </c>
      <c r="H8924" s="6" t="s">
        <v>43486</v>
      </c>
      <c r="I8924" s="6">
        <v>526.6875</v>
      </c>
      <c r="J8924" s="2">
        <f t="shared" si="139"/>
        <v>43749.124206990738</v>
      </c>
    </row>
    <row r="8925" spans="1:10" x14ac:dyDescent="0.25">
      <c r="A8925" s="7" t="s">
        <v>43487</v>
      </c>
      <c r="B8925" s="8">
        <v>393.75</v>
      </c>
      <c r="C8925" s="8">
        <v>20.478950000000001</v>
      </c>
      <c r="D8925" s="8">
        <v>59</v>
      </c>
      <c r="E8925" s="8">
        <v>0</v>
      </c>
      <c r="F8925" s="8">
        <v>0</v>
      </c>
      <c r="G8925" s="8">
        <v>0</v>
      </c>
      <c r="H8925" s="8" t="s">
        <v>43488</v>
      </c>
      <c r="I8925" s="8">
        <v>526.6875</v>
      </c>
      <c r="J8925" s="3">
        <f t="shared" si="139"/>
        <v>43749.12427847222</v>
      </c>
    </row>
    <row r="8926" spans="1:10" x14ac:dyDescent="0.25">
      <c r="A8926" s="5" t="s">
        <v>43489</v>
      </c>
      <c r="B8926" s="6">
        <v>393.75</v>
      </c>
      <c r="C8926" s="6">
        <v>20.478950000000001</v>
      </c>
      <c r="D8926" s="6">
        <v>59</v>
      </c>
      <c r="E8926" s="6">
        <v>0</v>
      </c>
      <c r="F8926" s="6">
        <v>0</v>
      </c>
      <c r="G8926" s="6">
        <v>8</v>
      </c>
      <c r="H8926" s="6" t="s">
        <v>43490</v>
      </c>
      <c r="I8926" s="6">
        <v>526.6875</v>
      </c>
      <c r="J8926" s="2">
        <f t="shared" si="139"/>
        <v>43749.124350057864</v>
      </c>
    </row>
    <row r="8927" spans="1:10" x14ac:dyDescent="0.25">
      <c r="A8927" s="7" t="s">
        <v>43491</v>
      </c>
      <c r="B8927" s="8">
        <v>393.75</v>
      </c>
      <c r="C8927" s="8">
        <v>20.478950000000001</v>
      </c>
      <c r="D8927" s="8">
        <v>58</v>
      </c>
      <c r="E8927" s="8">
        <v>0</v>
      </c>
      <c r="F8927" s="8">
        <v>0</v>
      </c>
      <c r="G8927" s="8">
        <v>6</v>
      </c>
      <c r="H8927" s="8" t="s">
        <v>43492</v>
      </c>
      <c r="I8927" s="8">
        <v>526.6875</v>
      </c>
      <c r="J8927" s="3">
        <f t="shared" si="139"/>
        <v>43749.124433564815</v>
      </c>
    </row>
    <row r="8928" spans="1:10" x14ac:dyDescent="0.25">
      <c r="A8928" s="5" t="s">
        <v>43493</v>
      </c>
      <c r="B8928" s="6">
        <v>393.75</v>
      </c>
      <c r="C8928" s="6">
        <v>20.478950000000001</v>
      </c>
      <c r="D8928" s="6">
        <v>59</v>
      </c>
      <c r="E8928" s="6">
        <v>0</v>
      </c>
      <c r="F8928" s="6">
        <v>0</v>
      </c>
      <c r="G8928" s="6">
        <v>3</v>
      </c>
      <c r="H8928" s="6" t="s">
        <v>43494</v>
      </c>
      <c r="I8928" s="6">
        <v>526.6875</v>
      </c>
      <c r="J8928" s="2">
        <f t="shared" si="139"/>
        <v>43749.12451700231</v>
      </c>
    </row>
    <row r="8929" spans="1:10" x14ac:dyDescent="0.25">
      <c r="A8929" s="7" t="s">
        <v>43495</v>
      </c>
      <c r="B8929" s="8">
        <v>393.75</v>
      </c>
      <c r="C8929" s="8">
        <v>20.478950000000001</v>
      </c>
      <c r="D8929" s="8">
        <v>59</v>
      </c>
      <c r="E8929" s="8">
        <v>0</v>
      </c>
      <c r="F8929" s="8">
        <v>0</v>
      </c>
      <c r="G8929" s="8">
        <v>0</v>
      </c>
      <c r="H8929" s="8" t="s">
        <v>43496</v>
      </c>
      <c r="I8929" s="8">
        <v>526.6875</v>
      </c>
      <c r="J8929" s="3">
        <f t="shared" si="139"/>
        <v>43749.124588252314</v>
      </c>
    </row>
    <row r="8930" spans="1:10" x14ac:dyDescent="0.25">
      <c r="A8930" s="5" t="s">
        <v>43497</v>
      </c>
      <c r="B8930" s="6">
        <v>393.75</v>
      </c>
      <c r="C8930" s="6">
        <v>20.478950000000001</v>
      </c>
      <c r="D8930" s="6">
        <v>59</v>
      </c>
      <c r="E8930" s="6">
        <v>0</v>
      </c>
      <c r="F8930" s="6">
        <v>0</v>
      </c>
      <c r="G8930" s="6">
        <v>5</v>
      </c>
      <c r="H8930" s="6" t="s">
        <v>43498</v>
      </c>
      <c r="I8930" s="6">
        <v>526.5</v>
      </c>
      <c r="J8930" s="2">
        <f t="shared" si="139"/>
        <v>43749.124660034715</v>
      </c>
    </row>
    <row r="8931" spans="1:10" x14ac:dyDescent="0.25">
      <c r="A8931" s="7" t="s">
        <v>43499</v>
      </c>
      <c r="B8931" s="8">
        <v>393.75</v>
      </c>
      <c r="C8931" s="8">
        <v>20.478950000000001</v>
      </c>
      <c r="D8931" s="8">
        <v>58</v>
      </c>
      <c r="E8931" s="8">
        <v>0</v>
      </c>
      <c r="F8931" s="8">
        <v>0</v>
      </c>
      <c r="G8931" s="8">
        <v>10</v>
      </c>
      <c r="H8931" s="8" t="s">
        <v>43500</v>
      </c>
      <c r="I8931" s="8">
        <v>526.6875</v>
      </c>
      <c r="J8931" s="3">
        <f t="shared" si="139"/>
        <v>43749.12473160879</v>
      </c>
    </row>
    <row r="8932" spans="1:10" x14ac:dyDescent="0.25">
      <c r="A8932" s="5" t="s">
        <v>43501</v>
      </c>
      <c r="B8932" s="6">
        <v>393.75</v>
      </c>
      <c r="C8932" s="6">
        <v>20.478950000000001</v>
      </c>
      <c r="D8932" s="6">
        <v>58</v>
      </c>
      <c r="E8932" s="6">
        <v>0</v>
      </c>
      <c r="F8932" s="6">
        <v>0</v>
      </c>
      <c r="G8932" s="6">
        <v>9</v>
      </c>
      <c r="H8932" s="6" t="s">
        <v>43502</v>
      </c>
      <c r="I8932" s="6">
        <v>526.6875</v>
      </c>
      <c r="J8932" s="2">
        <f t="shared" si="139"/>
        <v>43749.124818796299</v>
      </c>
    </row>
    <row r="8933" spans="1:10" x14ac:dyDescent="0.25">
      <c r="A8933" s="7" t="s">
        <v>43503</v>
      </c>
      <c r="B8933" s="8">
        <v>393.75</v>
      </c>
      <c r="C8933" s="8">
        <v>20.478950000000001</v>
      </c>
      <c r="D8933" s="8">
        <v>54</v>
      </c>
      <c r="E8933" s="8">
        <v>0</v>
      </c>
      <c r="F8933" s="8">
        <v>0</v>
      </c>
      <c r="G8933" s="8">
        <v>6</v>
      </c>
      <c r="H8933" s="8" t="s">
        <v>43504</v>
      </c>
      <c r="I8933" s="8">
        <v>526.6875</v>
      </c>
      <c r="J8933" s="3">
        <f t="shared" si="139"/>
        <v>43749.12489861111</v>
      </c>
    </row>
    <row r="8934" spans="1:10" x14ac:dyDescent="0.25">
      <c r="A8934" s="5" t="s">
        <v>43505</v>
      </c>
      <c r="B8934" s="6">
        <v>393.75</v>
      </c>
      <c r="C8934" s="6">
        <v>20.478950000000001</v>
      </c>
      <c r="D8934" s="6">
        <v>54</v>
      </c>
      <c r="E8934" s="6">
        <v>0</v>
      </c>
      <c r="F8934" s="6">
        <v>0</v>
      </c>
      <c r="G8934" s="6">
        <v>11</v>
      </c>
      <c r="H8934" s="6" t="s">
        <v>43506</v>
      </c>
      <c r="I8934" s="6">
        <v>526.5</v>
      </c>
      <c r="J8934" s="2">
        <f t="shared" si="139"/>
        <v>43749.124970474535</v>
      </c>
    </row>
    <row r="8935" spans="1:10" x14ac:dyDescent="0.25">
      <c r="A8935" s="7" t="s">
        <v>43507</v>
      </c>
      <c r="B8935" s="8">
        <v>393.75</v>
      </c>
      <c r="C8935" s="8">
        <v>20.478950000000001</v>
      </c>
      <c r="D8935" s="8">
        <v>55</v>
      </c>
      <c r="E8935" s="8">
        <v>0</v>
      </c>
      <c r="F8935" s="8">
        <v>0</v>
      </c>
      <c r="G8935" s="8">
        <v>10</v>
      </c>
      <c r="H8935" s="8" t="s">
        <v>43508</v>
      </c>
      <c r="I8935" s="8">
        <v>526.6875</v>
      </c>
      <c r="J8935" s="3">
        <f t="shared" si="139"/>
        <v>43749.12505383102</v>
      </c>
    </row>
    <row r="8936" spans="1:10" x14ac:dyDescent="0.25">
      <c r="A8936" s="5" t="s">
        <v>43509</v>
      </c>
      <c r="B8936" s="6">
        <v>393.75</v>
      </c>
      <c r="C8936" s="6">
        <v>20.426300000000001</v>
      </c>
      <c r="D8936" s="6">
        <v>55</v>
      </c>
      <c r="E8936" s="6">
        <v>0</v>
      </c>
      <c r="F8936" s="6">
        <v>0</v>
      </c>
      <c r="G8936" s="6">
        <v>0</v>
      </c>
      <c r="H8936" s="6" t="s">
        <v>43510</v>
      </c>
      <c r="I8936" s="6">
        <v>526.6875</v>
      </c>
      <c r="J8936" s="2">
        <f t="shared" si="139"/>
        <v>43749.12513709491</v>
      </c>
    </row>
    <row r="8937" spans="1:10" x14ac:dyDescent="0.25">
      <c r="A8937" s="7" t="s">
        <v>43511</v>
      </c>
      <c r="B8937" s="8">
        <v>393.75</v>
      </c>
      <c r="C8937" s="8">
        <v>20.478950000000001</v>
      </c>
      <c r="D8937" s="8">
        <v>56</v>
      </c>
      <c r="E8937" s="8">
        <v>0</v>
      </c>
      <c r="F8937" s="8">
        <v>0</v>
      </c>
      <c r="G8937" s="8">
        <v>7</v>
      </c>
      <c r="H8937" s="8" t="s">
        <v>43512</v>
      </c>
      <c r="I8937" s="8">
        <v>526.6875</v>
      </c>
      <c r="J8937" s="3">
        <f t="shared" si="139"/>
        <v>43749.125208761572</v>
      </c>
    </row>
    <row r="8938" spans="1:10" x14ac:dyDescent="0.25">
      <c r="A8938" s="5" t="s">
        <v>43513</v>
      </c>
      <c r="B8938" s="6">
        <v>393.75</v>
      </c>
      <c r="C8938" s="6">
        <v>20.478950000000001</v>
      </c>
      <c r="D8938" s="6">
        <v>58</v>
      </c>
      <c r="E8938" s="6">
        <v>0</v>
      </c>
      <c r="F8938" s="6">
        <v>0</v>
      </c>
      <c r="G8938" s="6">
        <v>4</v>
      </c>
      <c r="H8938" s="6" t="s">
        <v>43514</v>
      </c>
      <c r="I8938" s="6">
        <v>526.6875</v>
      </c>
      <c r="J8938" s="2">
        <f t="shared" si="139"/>
        <v>43749.12528025463</v>
      </c>
    </row>
    <row r="8939" spans="1:10" x14ac:dyDescent="0.25">
      <c r="A8939" s="7" t="s">
        <v>43515</v>
      </c>
      <c r="B8939" s="8">
        <v>393.75</v>
      </c>
      <c r="C8939" s="8">
        <v>20.478950000000001</v>
      </c>
      <c r="D8939" s="8">
        <v>58</v>
      </c>
      <c r="E8939" s="8">
        <v>0</v>
      </c>
      <c r="F8939" s="8">
        <v>0</v>
      </c>
      <c r="G8939" s="8">
        <v>7</v>
      </c>
      <c r="H8939" s="8" t="s">
        <v>43516</v>
      </c>
      <c r="I8939" s="8">
        <v>526.6875</v>
      </c>
      <c r="J8939" s="3">
        <f t="shared" si="139"/>
        <v>43749.125351793984</v>
      </c>
    </row>
    <row r="8940" spans="1:10" x14ac:dyDescent="0.25">
      <c r="A8940" s="5" t="s">
        <v>43517</v>
      </c>
      <c r="B8940" s="6">
        <v>412.5</v>
      </c>
      <c r="C8940" s="6">
        <v>20.478950000000001</v>
      </c>
      <c r="D8940" s="6">
        <v>54</v>
      </c>
      <c r="E8940" s="6">
        <v>0</v>
      </c>
      <c r="F8940" s="6">
        <v>0</v>
      </c>
      <c r="G8940" s="6">
        <v>6</v>
      </c>
      <c r="H8940" s="6" t="s">
        <v>43518</v>
      </c>
      <c r="I8940" s="6">
        <v>532.3125</v>
      </c>
      <c r="J8940" s="2">
        <f t="shared" si="139"/>
        <v>43749.125422962963</v>
      </c>
    </row>
    <row r="8941" spans="1:10" x14ac:dyDescent="0.25">
      <c r="A8941" s="7" t="s">
        <v>43519</v>
      </c>
      <c r="B8941" s="8">
        <v>393.75</v>
      </c>
      <c r="C8941" s="8">
        <v>20.478950000000001</v>
      </c>
      <c r="D8941" s="8">
        <v>54</v>
      </c>
      <c r="E8941" s="8">
        <v>0</v>
      </c>
      <c r="F8941" s="8">
        <v>0</v>
      </c>
      <c r="G8941" s="8">
        <v>8</v>
      </c>
      <c r="H8941" s="8" t="s">
        <v>43520</v>
      </c>
      <c r="I8941" s="8">
        <v>526.6875</v>
      </c>
      <c r="J8941" s="3">
        <f t="shared" si="139"/>
        <v>43749.125494837957</v>
      </c>
    </row>
    <row r="8942" spans="1:10" x14ac:dyDescent="0.25">
      <c r="A8942" s="5" t="s">
        <v>43521</v>
      </c>
      <c r="B8942" s="6">
        <v>393.75</v>
      </c>
      <c r="C8942" s="6">
        <v>20.478950000000001</v>
      </c>
      <c r="D8942" s="6">
        <v>54</v>
      </c>
      <c r="E8942" s="6">
        <v>0</v>
      </c>
      <c r="F8942" s="6">
        <v>0</v>
      </c>
      <c r="G8942" s="6">
        <v>15</v>
      </c>
      <c r="H8942" s="6" t="s">
        <v>43522</v>
      </c>
      <c r="I8942" s="6">
        <v>526.6875</v>
      </c>
      <c r="J8942" s="2">
        <f t="shared" si="139"/>
        <v>43749.125578460647</v>
      </c>
    </row>
    <row r="8943" spans="1:10" x14ac:dyDescent="0.25">
      <c r="A8943" s="7" t="s">
        <v>43523</v>
      </c>
      <c r="B8943" s="8">
        <v>421.875</v>
      </c>
      <c r="C8943" s="8">
        <v>20.478950000000001</v>
      </c>
      <c r="D8943" s="8">
        <v>54</v>
      </c>
      <c r="E8943" s="8">
        <v>0</v>
      </c>
      <c r="F8943" s="8">
        <v>0</v>
      </c>
      <c r="G8943" s="8">
        <v>7</v>
      </c>
      <c r="H8943" s="8" t="s">
        <v>43524</v>
      </c>
      <c r="I8943" s="8">
        <v>535.5</v>
      </c>
      <c r="J8943" s="3">
        <f t="shared" si="139"/>
        <v>43749.125665520834</v>
      </c>
    </row>
    <row r="8944" spans="1:10" x14ac:dyDescent="0.25">
      <c r="A8944" s="5" t="s">
        <v>43525</v>
      </c>
      <c r="B8944" s="6">
        <v>393.75</v>
      </c>
      <c r="C8944" s="6">
        <v>20.478950000000001</v>
      </c>
      <c r="D8944" s="6">
        <v>54</v>
      </c>
      <c r="E8944" s="6">
        <v>0</v>
      </c>
      <c r="F8944" s="6">
        <v>0</v>
      </c>
      <c r="G8944" s="6">
        <v>0</v>
      </c>
      <c r="H8944" s="6" t="s">
        <v>43526</v>
      </c>
      <c r="I8944" s="6">
        <v>526.6875</v>
      </c>
      <c r="J8944" s="2">
        <f t="shared" si="139"/>
        <v>43749.125745150457</v>
      </c>
    </row>
    <row r="8945" spans="1:10" x14ac:dyDescent="0.25">
      <c r="A8945" s="7" t="s">
        <v>43527</v>
      </c>
      <c r="B8945" s="8">
        <v>393.75</v>
      </c>
      <c r="C8945" s="8">
        <v>20.478950000000001</v>
      </c>
      <c r="D8945" s="8">
        <v>55</v>
      </c>
      <c r="E8945" s="8">
        <v>0</v>
      </c>
      <c r="F8945" s="8">
        <v>0</v>
      </c>
      <c r="G8945" s="8">
        <v>7</v>
      </c>
      <c r="H8945" s="8" t="s">
        <v>43528</v>
      </c>
      <c r="I8945" s="8">
        <v>526.5</v>
      </c>
      <c r="J8945" s="3">
        <f t="shared" si="139"/>
        <v>43749.125816828702</v>
      </c>
    </row>
    <row r="8946" spans="1:10" x14ac:dyDescent="0.25">
      <c r="A8946" s="5" t="s">
        <v>43529</v>
      </c>
      <c r="B8946" s="6">
        <v>393.75</v>
      </c>
      <c r="C8946" s="6">
        <v>20.478950000000001</v>
      </c>
      <c r="D8946" s="6">
        <v>56</v>
      </c>
      <c r="E8946" s="6">
        <v>0</v>
      </c>
      <c r="F8946" s="6">
        <v>0</v>
      </c>
      <c r="G8946" s="6">
        <v>3</v>
      </c>
      <c r="H8946" s="6" t="s">
        <v>43530</v>
      </c>
      <c r="I8946" s="6">
        <v>526.6875</v>
      </c>
      <c r="J8946" s="2">
        <f t="shared" si="139"/>
        <v>43749.1259002199</v>
      </c>
    </row>
    <row r="8947" spans="1:10" x14ac:dyDescent="0.25">
      <c r="A8947" s="7" t="s">
        <v>43531</v>
      </c>
      <c r="B8947" s="8">
        <v>393.75</v>
      </c>
      <c r="C8947" s="8">
        <v>20.478950000000001</v>
      </c>
      <c r="D8947" s="8">
        <v>55</v>
      </c>
      <c r="E8947" s="8">
        <v>0</v>
      </c>
      <c r="F8947" s="8">
        <v>0</v>
      </c>
      <c r="G8947" s="8">
        <v>2</v>
      </c>
      <c r="H8947" s="8" t="s">
        <v>43532</v>
      </c>
      <c r="I8947" s="8">
        <v>526.5</v>
      </c>
      <c r="J8947" s="3">
        <f t="shared" si="139"/>
        <v>43749.12598373842</v>
      </c>
    </row>
    <row r="8948" spans="1:10" x14ac:dyDescent="0.25">
      <c r="A8948" s="5" t="s">
        <v>43533</v>
      </c>
      <c r="B8948" s="6">
        <v>393.75</v>
      </c>
      <c r="C8948" s="6">
        <v>20.478950000000001</v>
      </c>
      <c r="D8948" s="6">
        <v>54</v>
      </c>
      <c r="E8948" s="6">
        <v>0</v>
      </c>
      <c r="F8948" s="6">
        <v>0</v>
      </c>
      <c r="G8948" s="6">
        <v>9</v>
      </c>
      <c r="H8948" s="6" t="s">
        <v>43534</v>
      </c>
      <c r="I8948" s="6">
        <v>526.6875</v>
      </c>
      <c r="J8948" s="2">
        <f t="shared" si="139"/>
        <v>43749.126067372687</v>
      </c>
    </row>
    <row r="8949" spans="1:10" x14ac:dyDescent="0.25">
      <c r="A8949" s="7" t="s">
        <v>43535</v>
      </c>
      <c r="B8949" s="8">
        <v>393.75</v>
      </c>
      <c r="C8949" s="8">
        <v>20.478950000000001</v>
      </c>
      <c r="D8949" s="8">
        <v>56</v>
      </c>
      <c r="E8949" s="8">
        <v>0</v>
      </c>
      <c r="F8949" s="8">
        <v>0</v>
      </c>
      <c r="G8949" s="8">
        <v>0</v>
      </c>
      <c r="H8949" s="8" t="s">
        <v>43536</v>
      </c>
      <c r="I8949" s="8">
        <v>526.5</v>
      </c>
      <c r="J8949" s="3">
        <f t="shared" si="139"/>
        <v>43749.126162685185</v>
      </c>
    </row>
    <row r="8950" spans="1:10" x14ac:dyDescent="0.25">
      <c r="A8950" s="5" t="s">
        <v>43537</v>
      </c>
      <c r="B8950" s="6">
        <v>393.75</v>
      </c>
      <c r="C8950" s="6">
        <v>20.478950000000001</v>
      </c>
      <c r="D8950" s="6">
        <v>56</v>
      </c>
      <c r="E8950" s="6">
        <v>0</v>
      </c>
      <c r="F8950" s="6">
        <v>0</v>
      </c>
      <c r="G8950" s="6">
        <v>8</v>
      </c>
      <c r="H8950" s="6" t="s">
        <v>43538</v>
      </c>
      <c r="I8950" s="6">
        <v>526.5</v>
      </c>
      <c r="J8950" s="2">
        <f t="shared" si="139"/>
        <v>43749.12623405092</v>
      </c>
    </row>
    <row r="8951" spans="1:10" x14ac:dyDescent="0.25">
      <c r="A8951" s="7" t="s">
        <v>43539</v>
      </c>
      <c r="B8951" s="8">
        <v>393.75</v>
      </c>
      <c r="C8951" s="8">
        <v>20.478950000000001</v>
      </c>
      <c r="D8951" s="8">
        <v>56</v>
      </c>
      <c r="E8951" s="8">
        <v>0</v>
      </c>
      <c r="F8951" s="8">
        <v>0</v>
      </c>
      <c r="G8951" s="8">
        <v>7</v>
      </c>
      <c r="H8951" s="8" t="s">
        <v>43540</v>
      </c>
      <c r="I8951" s="8">
        <v>526.6875</v>
      </c>
      <c r="J8951" s="3">
        <f t="shared" si="139"/>
        <v>43749.126305798607</v>
      </c>
    </row>
    <row r="8952" spans="1:10" x14ac:dyDescent="0.25">
      <c r="A8952" s="5" t="s">
        <v>43541</v>
      </c>
      <c r="B8952" s="6">
        <v>393.75</v>
      </c>
      <c r="C8952" s="6">
        <v>20.478950000000001</v>
      </c>
      <c r="D8952" s="6">
        <v>57</v>
      </c>
      <c r="E8952" s="6">
        <v>0</v>
      </c>
      <c r="F8952" s="6">
        <v>0</v>
      </c>
      <c r="G8952" s="6">
        <v>7</v>
      </c>
      <c r="H8952" s="6" t="s">
        <v>43542</v>
      </c>
      <c r="I8952" s="6">
        <v>526.6875</v>
      </c>
      <c r="J8952" s="2">
        <f t="shared" si="139"/>
        <v>43749.126436921295</v>
      </c>
    </row>
    <row r="8953" spans="1:10" x14ac:dyDescent="0.25">
      <c r="A8953" s="7" t="s">
        <v>43543</v>
      </c>
      <c r="B8953" s="8">
        <v>393.75</v>
      </c>
      <c r="C8953" s="8">
        <v>20.478950000000001</v>
      </c>
      <c r="D8953" s="8">
        <v>57</v>
      </c>
      <c r="E8953" s="8">
        <v>0</v>
      </c>
      <c r="F8953" s="8">
        <v>0</v>
      </c>
      <c r="G8953" s="8">
        <v>3</v>
      </c>
      <c r="H8953" s="8" t="s">
        <v>43544</v>
      </c>
      <c r="I8953" s="8">
        <v>526.6875</v>
      </c>
      <c r="J8953" s="3">
        <f t="shared" si="139"/>
        <v>43749.126508159716</v>
      </c>
    </row>
    <row r="8954" spans="1:10" x14ac:dyDescent="0.25">
      <c r="A8954" s="5" t="s">
        <v>43545</v>
      </c>
      <c r="B8954" s="6">
        <v>393.75</v>
      </c>
      <c r="C8954" s="6">
        <v>20.478950000000001</v>
      </c>
      <c r="D8954" s="6">
        <v>57</v>
      </c>
      <c r="E8954" s="6">
        <v>0</v>
      </c>
      <c r="F8954" s="6">
        <v>0</v>
      </c>
      <c r="G8954" s="6">
        <v>8</v>
      </c>
      <c r="H8954" s="6" t="s">
        <v>43546</v>
      </c>
      <c r="I8954" s="6">
        <v>526.6875</v>
      </c>
      <c r="J8954" s="2">
        <f t="shared" si="139"/>
        <v>43749.126579965276</v>
      </c>
    </row>
    <row r="8955" spans="1:10" x14ac:dyDescent="0.25">
      <c r="A8955" s="7" t="s">
        <v>43547</v>
      </c>
      <c r="B8955" s="8">
        <v>393.75</v>
      </c>
      <c r="C8955" s="8">
        <v>20.478950000000001</v>
      </c>
      <c r="D8955" s="8">
        <v>60</v>
      </c>
      <c r="E8955" s="8">
        <v>0</v>
      </c>
      <c r="F8955" s="8">
        <v>0</v>
      </c>
      <c r="G8955" s="8">
        <v>7</v>
      </c>
      <c r="H8955" s="8" t="s">
        <v>43548</v>
      </c>
      <c r="I8955" s="8">
        <v>526.6875</v>
      </c>
      <c r="J8955" s="3">
        <f t="shared" si="139"/>
        <v>43749.126663657407</v>
      </c>
    </row>
    <row r="8956" spans="1:10" x14ac:dyDescent="0.25">
      <c r="A8956" s="5" t="s">
        <v>43549</v>
      </c>
      <c r="B8956" s="6">
        <v>393.75</v>
      </c>
      <c r="C8956" s="6">
        <v>20.478950000000001</v>
      </c>
      <c r="D8956" s="6">
        <v>59</v>
      </c>
      <c r="E8956" s="6">
        <v>0</v>
      </c>
      <c r="F8956" s="6">
        <v>0</v>
      </c>
      <c r="G8956" s="6">
        <v>4</v>
      </c>
      <c r="H8956" s="6" t="s">
        <v>43550</v>
      </c>
      <c r="I8956" s="6">
        <v>526.6875</v>
      </c>
      <c r="J8956" s="2">
        <f t="shared" si="139"/>
        <v>43749.12673491898</v>
      </c>
    </row>
    <row r="8957" spans="1:10" x14ac:dyDescent="0.25">
      <c r="A8957" s="7" t="s">
        <v>43551</v>
      </c>
      <c r="B8957" s="8">
        <v>393.75</v>
      </c>
      <c r="C8957" s="8">
        <v>20.478950000000001</v>
      </c>
      <c r="D8957" s="8">
        <v>59</v>
      </c>
      <c r="E8957" s="8">
        <v>0</v>
      </c>
      <c r="F8957" s="8">
        <v>0</v>
      </c>
      <c r="G8957" s="8">
        <v>3</v>
      </c>
      <c r="H8957" s="8" t="s">
        <v>43552</v>
      </c>
      <c r="I8957" s="8">
        <v>526.6875</v>
      </c>
      <c r="J8957" s="3">
        <f t="shared" si="139"/>
        <v>43749.126806446759</v>
      </c>
    </row>
    <row r="8958" spans="1:10" x14ac:dyDescent="0.25">
      <c r="A8958" s="5" t="s">
        <v>43553</v>
      </c>
      <c r="B8958" s="6">
        <v>393.75</v>
      </c>
      <c r="C8958" s="6">
        <v>20.426300000000001</v>
      </c>
      <c r="D8958" s="6">
        <v>57</v>
      </c>
      <c r="E8958" s="6">
        <v>0</v>
      </c>
      <c r="F8958" s="6">
        <v>0</v>
      </c>
      <c r="G8958" s="6">
        <v>10</v>
      </c>
      <c r="H8958" s="6" t="s">
        <v>43554</v>
      </c>
      <c r="I8958" s="6">
        <v>526.6875</v>
      </c>
      <c r="J8958" s="2">
        <f t="shared" si="139"/>
        <v>43749.126889664352</v>
      </c>
    </row>
    <row r="8959" spans="1:10" x14ac:dyDescent="0.25">
      <c r="A8959" s="7" t="s">
        <v>43555</v>
      </c>
      <c r="B8959" s="8">
        <v>393.75</v>
      </c>
      <c r="C8959" s="8">
        <v>20.478950000000001</v>
      </c>
      <c r="D8959" s="8">
        <v>57</v>
      </c>
      <c r="E8959" s="8">
        <v>0</v>
      </c>
      <c r="F8959" s="8">
        <v>0</v>
      </c>
      <c r="G8959" s="8">
        <v>0</v>
      </c>
      <c r="H8959" s="8" t="s">
        <v>43556</v>
      </c>
      <c r="I8959" s="8">
        <v>526.6875</v>
      </c>
      <c r="J8959" s="3">
        <f t="shared" si="139"/>
        <v>43749.126961284717</v>
      </c>
    </row>
    <row r="8960" spans="1:10" x14ac:dyDescent="0.25">
      <c r="A8960" s="5" t="s">
        <v>43557</v>
      </c>
      <c r="B8960" s="6">
        <v>393.75</v>
      </c>
      <c r="C8960" s="6">
        <v>20.478950000000001</v>
      </c>
      <c r="D8960" s="6">
        <v>57</v>
      </c>
      <c r="E8960" s="6">
        <v>0</v>
      </c>
      <c r="F8960" s="6">
        <v>0</v>
      </c>
      <c r="G8960" s="6">
        <v>7</v>
      </c>
      <c r="H8960" s="6" t="s">
        <v>43558</v>
      </c>
      <c r="I8960" s="6">
        <v>526.6875</v>
      </c>
      <c r="J8960" s="2">
        <f t="shared" si="139"/>
        <v>43749.127046851849</v>
      </c>
    </row>
    <row r="8961" spans="1:10" x14ac:dyDescent="0.25">
      <c r="A8961" s="7" t="s">
        <v>43559</v>
      </c>
      <c r="B8961" s="8">
        <v>393.75</v>
      </c>
      <c r="C8961" s="8">
        <v>20.478950000000001</v>
      </c>
      <c r="D8961" s="8">
        <v>57</v>
      </c>
      <c r="E8961" s="8">
        <v>0</v>
      </c>
      <c r="F8961" s="8">
        <v>0</v>
      </c>
      <c r="G8961" s="8">
        <v>4</v>
      </c>
      <c r="H8961" s="8" t="s">
        <v>43560</v>
      </c>
      <c r="I8961" s="8">
        <v>526.6875</v>
      </c>
      <c r="J8961" s="3">
        <f t="shared" si="139"/>
        <v>43749.127128518514</v>
      </c>
    </row>
    <row r="8962" spans="1:10" x14ac:dyDescent="0.25">
      <c r="A8962" s="5" t="s">
        <v>43561</v>
      </c>
      <c r="B8962" s="6">
        <v>393.75</v>
      </c>
      <c r="C8962" s="6">
        <v>20.478950000000001</v>
      </c>
      <c r="D8962" s="6">
        <v>57</v>
      </c>
      <c r="E8962" s="6">
        <v>0</v>
      </c>
      <c r="F8962" s="6">
        <v>0</v>
      </c>
      <c r="G8962" s="6">
        <v>6</v>
      </c>
      <c r="H8962" s="6" t="s">
        <v>43562</v>
      </c>
      <c r="I8962" s="6">
        <v>526.6875</v>
      </c>
      <c r="J8962" s="2">
        <f t="shared" ref="J8962:J9025" si="140">(H8962/86400000)+25569+(7/24)</f>
        <v>43749.127211793981</v>
      </c>
    </row>
    <row r="8963" spans="1:10" x14ac:dyDescent="0.25">
      <c r="A8963" s="7" t="s">
        <v>43563</v>
      </c>
      <c r="B8963" s="8">
        <v>412.5</v>
      </c>
      <c r="C8963" s="8">
        <v>20.478950000000001</v>
      </c>
      <c r="D8963" s="8">
        <v>57</v>
      </c>
      <c r="E8963" s="8">
        <v>0</v>
      </c>
      <c r="F8963" s="8">
        <v>0</v>
      </c>
      <c r="G8963" s="8">
        <v>9</v>
      </c>
      <c r="H8963" s="8" t="s">
        <v>43564</v>
      </c>
      <c r="I8963" s="8">
        <v>532.5</v>
      </c>
      <c r="J8963" s="3">
        <f t="shared" si="140"/>
        <v>43749.127283622678</v>
      </c>
    </row>
    <row r="8964" spans="1:10" x14ac:dyDescent="0.25">
      <c r="A8964" s="5" t="s">
        <v>43565</v>
      </c>
      <c r="B8964" s="6">
        <v>393.75</v>
      </c>
      <c r="C8964" s="6">
        <v>20.478950000000001</v>
      </c>
      <c r="D8964" s="6">
        <v>56</v>
      </c>
      <c r="E8964" s="6">
        <v>0</v>
      </c>
      <c r="F8964" s="6">
        <v>0</v>
      </c>
      <c r="G8964" s="6">
        <v>7</v>
      </c>
      <c r="H8964" s="6" t="s">
        <v>43566</v>
      </c>
      <c r="I8964" s="6">
        <v>526.5</v>
      </c>
      <c r="J8964" s="2">
        <f t="shared" si="140"/>
        <v>43749.127367453701</v>
      </c>
    </row>
    <row r="8965" spans="1:10" x14ac:dyDescent="0.25">
      <c r="A8965" s="7" t="s">
        <v>43567</v>
      </c>
      <c r="B8965" s="8">
        <v>393.75</v>
      </c>
      <c r="C8965" s="8">
        <v>20.478950000000001</v>
      </c>
      <c r="D8965" s="8">
        <v>56</v>
      </c>
      <c r="E8965" s="8">
        <v>0</v>
      </c>
      <c r="F8965" s="8">
        <v>0</v>
      </c>
      <c r="G8965" s="8">
        <v>9</v>
      </c>
      <c r="H8965" s="8" t="s">
        <v>43568</v>
      </c>
      <c r="I8965" s="8">
        <v>526.6875</v>
      </c>
      <c r="J8965" s="3">
        <f t="shared" si="140"/>
        <v>43749.127438310185</v>
      </c>
    </row>
    <row r="8966" spans="1:10" x14ac:dyDescent="0.25">
      <c r="A8966" s="5" t="s">
        <v>43569</v>
      </c>
      <c r="B8966" s="6">
        <v>393.75</v>
      </c>
      <c r="C8966" s="6">
        <v>20.478950000000001</v>
      </c>
      <c r="D8966" s="6">
        <v>56</v>
      </c>
      <c r="E8966" s="6">
        <v>0</v>
      </c>
      <c r="F8966" s="6">
        <v>0</v>
      </c>
      <c r="G8966" s="6">
        <v>0</v>
      </c>
      <c r="H8966" s="6" t="s">
        <v>43570</v>
      </c>
      <c r="I8966" s="6">
        <v>526.6875</v>
      </c>
      <c r="J8966" s="2">
        <f t="shared" si="140"/>
        <v>43749.127510034719</v>
      </c>
    </row>
    <row r="8967" spans="1:10" x14ac:dyDescent="0.25">
      <c r="A8967" s="7" t="s">
        <v>43571</v>
      </c>
      <c r="B8967" s="8">
        <v>393.75</v>
      </c>
      <c r="C8967" s="8">
        <v>20.478950000000001</v>
      </c>
      <c r="D8967" s="8">
        <v>56</v>
      </c>
      <c r="E8967" s="8">
        <v>0</v>
      </c>
      <c r="F8967" s="8">
        <v>0</v>
      </c>
      <c r="G8967" s="8">
        <v>1</v>
      </c>
      <c r="H8967" s="8" t="s">
        <v>43572</v>
      </c>
      <c r="I8967" s="8">
        <v>526.6875</v>
      </c>
      <c r="J8967" s="3">
        <f t="shared" si="140"/>
        <v>43749.127581701388</v>
      </c>
    </row>
    <row r="8968" spans="1:10" x14ac:dyDescent="0.25">
      <c r="A8968" s="5" t="s">
        <v>43573</v>
      </c>
      <c r="B8968" s="6">
        <v>393.75</v>
      </c>
      <c r="C8968" s="6">
        <v>20.478950000000001</v>
      </c>
      <c r="D8968" s="6">
        <v>55</v>
      </c>
      <c r="E8968" s="6">
        <v>0</v>
      </c>
      <c r="F8968" s="6">
        <v>0</v>
      </c>
      <c r="G8968" s="6">
        <v>2</v>
      </c>
      <c r="H8968" s="6" t="s">
        <v>43574</v>
      </c>
      <c r="I8968" s="6">
        <v>526.6875</v>
      </c>
      <c r="J8968" s="2">
        <f t="shared" si="140"/>
        <v>43749.127665219909</v>
      </c>
    </row>
    <row r="8969" spans="1:10" x14ac:dyDescent="0.25">
      <c r="A8969" s="7" t="s">
        <v>43575</v>
      </c>
      <c r="B8969" s="8">
        <v>393.75</v>
      </c>
      <c r="C8969" s="8">
        <v>20.478950000000001</v>
      </c>
      <c r="D8969" s="8">
        <v>55</v>
      </c>
      <c r="E8969" s="8">
        <v>0</v>
      </c>
      <c r="F8969" s="8">
        <v>0</v>
      </c>
      <c r="G8969" s="8">
        <v>0</v>
      </c>
      <c r="H8969" s="8" t="s">
        <v>43576</v>
      </c>
      <c r="I8969" s="8">
        <v>526.6875</v>
      </c>
      <c r="J8969" s="3">
        <f t="shared" si="140"/>
        <v>43749.127748831015</v>
      </c>
    </row>
    <row r="8970" spans="1:10" x14ac:dyDescent="0.25">
      <c r="A8970" s="5" t="s">
        <v>43577</v>
      </c>
      <c r="B8970" s="6">
        <v>393.75</v>
      </c>
      <c r="C8970" s="6">
        <v>20.478950000000001</v>
      </c>
      <c r="D8970" s="6">
        <v>55</v>
      </c>
      <c r="E8970" s="6">
        <v>0</v>
      </c>
      <c r="F8970" s="6">
        <v>0</v>
      </c>
      <c r="G8970" s="6">
        <v>2</v>
      </c>
      <c r="H8970" s="6" t="s">
        <v>43578</v>
      </c>
      <c r="I8970" s="6">
        <v>526.6875</v>
      </c>
      <c r="J8970" s="2">
        <f t="shared" si="140"/>
        <v>43749.127819745372</v>
      </c>
    </row>
    <row r="8971" spans="1:10" x14ac:dyDescent="0.25">
      <c r="A8971" s="7" t="s">
        <v>43579</v>
      </c>
      <c r="B8971" s="8">
        <v>393.75</v>
      </c>
      <c r="C8971" s="8">
        <v>20.478950000000001</v>
      </c>
      <c r="D8971" s="8">
        <v>55</v>
      </c>
      <c r="E8971" s="8">
        <v>0</v>
      </c>
      <c r="F8971" s="8">
        <v>0</v>
      </c>
      <c r="G8971" s="8">
        <v>9</v>
      </c>
      <c r="H8971" s="8" t="s">
        <v>43580</v>
      </c>
      <c r="I8971" s="8">
        <v>526.6875</v>
      </c>
      <c r="J8971" s="3">
        <f t="shared" si="140"/>
        <v>43749.127891770833</v>
      </c>
    </row>
    <row r="8972" spans="1:10" x14ac:dyDescent="0.25">
      <c r="A8972" s="5" t="s">
        <v>43581</v>
      </c>
      <c r="B8972" s="6">
        <v>393.75</v>
      </c>
      <c r="C8972" s="6">
        <v>20.478950000000001</v>
      </c>
      <c r="D8972" s="6">
        <v>55</v>
      </c>
      <c r="E8972" s="6">
        <v>0</v>
      </c>
      <c r="F8972" s="6">
        <v>0</v>
      </c>
      <c r="G8972" s="6">
        <v>9</v>
      </c>
      <c r="H8972" s="6" t="s">
        <v>43582</v>
      </c>
      <c r="I8972" s="6">
        <v>526.6875</v>
      </c>
      <c r="J8972" s="2">
        <f t="shared" si="140"/>
        <v>43749.127963148145</v>
      </c>
    </row>
    <row r="8973" spans="1:10" x14ac:dyDescent="0.25">
      <c r="A8973" s="7" t="s">
        <v>43583</v>
      </c>
      <c r="B8973" s="8">
        <v>393.75</v>
      </c>
      <c r="C8973" s="8">
        <v>20.478950000000001</v>
      </c>
      <c r="D8973" s="8">
        <v>56</v>
      </c>
      <c r="E8973" s="8">
        <v>0</v>
      </c>
      <c r="F8973" s="8">
        <v>0</v>
      </c>
      <c r="G8973" s="8">
        <v>8</v>
      </c>
      <c r="H8973" s="8" t="s">
        <v>43584</v>
      </c>
      <c r="I8973" s="8">
        <v>526.6875</v>
      </c>
      <c r="J8973" s="3">
        <f t="shared" si="140"/>
        <v>43749.128034884256</v>
      </c>
    </row>
    <row r="8974" spans="1:10" x14ac:dyDescent="0.25">
      <c r="A8974" s="5" t="s">
        <v>43585</v>
      </c>
      <c r="B8974" s="6">
        <v>393.75</v>
      </c>
      <c r="C8974" s="6">
        <v>20.426300000000001</v>
      </c>
      <c r="D8974" s="6">
        <v>54</v>
      </c>
      <c r="E8974" s="6">
        <v>0</v>
      </c>
      <c r="F8974" s="6">
        <v>0</v>
      </c>
      <c r="G8974" s="6">
        <v>10</v>
      </c>
      <c r="H8974" s="6" t="s">
        <v>43586</v>
      </c>
      <c r="I8974" s="6">
        <v>526.6875</v>
      </c>
      <c r="J8974" s="2">
        <f t="shared" si="140"/>
        <v>43749.128106481476</v>
      </c>
    </row>
    <row r="8975" spans="1:10" x14ac:dyDescent="0.25">
      <c r="A8975" s="7" t="s">
        <v>43587</v>
      </c>
      <c r="B8975" s="8">
        <v>393.75</v>
      </c>
      <c r="C8975" s="8">
        <v>20.478950000000001</v>
      </c>
      <c r="D8975" s="8">
        <v>56</v>
      </c>
      <c r="E8975" s="8">
        <v>0</v>
      </c>
      <c r="F8975" s="8">
        <v>0</v>
      </c>
      <c r="G8975" s="8">
        <v>2</v>
      </c>
      <c r="H8975" s="8" t="s">
        <v>43588</v>
      </c>
      <c r="I8975" s="8">
        <v>526.6875</v>
      </c>
      <c r="J8975" s="3">
        <f t="shared" si="140"/>
        <v>43749.1281895949</v>
      </c>
    </row>
    <row r="8976" spans="1:10" x14ac:dyDescent="0.25">
      <c r="A8976" s="5" t="s">
        <v>43589</v>
      </c>
      <c r="B8976" s="6">
        <v>393.75</v>
      </c>
      <c r="C8976" s="6">
        <v>20.478950000000001</v>
      </c>
      <c r="D8976" s="6">
        <v>56</v>
      </c>
      <c r="E8976" s="6">
        <v>0</v>
      </c>
      <c r="F8976" s="6">
        <v>0</v>
      </c>
      <c r="G8976" s="6">
        <v>0</v>
      </c>
      <c r="H8976" s="6" t="s">
        <v>43590</v>
      </c>
      <c r="I8976" s="6">
        <v>526.6875</v>
      </c>
      <c r="J8976" s="2">
        <f t="shared" si="140"/>
        <v>43749.128261377315</v>
      </c>
    </row>
    <row r="8977" spans="1:10" x14ac:dyDescent="0.25">
      <c r="A8977" s="7" t="s">
        <v>43591</v>
      </c>
      <c r="B8977" s="8">
        <v>393.75</v>
      </c>
      <c r="C8977" s="8">
        <v>20.478950000000001</v>
      </c>
      <c r="D8977" s="8">
        <v>60</v>
      </c>
      <c r="E8977" s="8">
        <v>0</v>
      </c>
      <c r="F8977" s="8">
        <v>0</v>
      </c>
      <c r="G8977" s="8">
        <v>9</v>
      </c>
      <c r="H8977" s="8" t="s">
        <v>43592</v>
      </c>
      <c r="I8977" s="8">
        <v>526.6875</v>
      </c>
      <c r="J8977" s="3">
        <f t="shared" si="140"/>
        <v>43749.128345034718</v>
      </c>
    </row>
    <row r="8978" spans="1:10" x14ac:dyDescent="0.25">
      <c r="A8978" s="5" t="s">
        <v>43593</v>
      </c>
      <c r="B8978" s="6">
        <v>393.75</v>
      </c>
      <c r="C8978" s="6">
        <v>20.478950000000001</v>
      </c>
      <c r="D8978" s="6">
        <v>57</v>
      </c>
      <c r="E8978" s="6">
        <v>0</v>
      </c>
      <c r="F8978" s="6">
        <v>0</v>
      </c>
      <c r="G8978" s="6">
        <v>1</v>
      </c>
      <c r="H8978" s="6" t="s">
        <v>43594</v>
      </c>
      <c r="I8978" s="6">
        <v>526.6875</v>
      </c>
      <c r="J8978" s="2">
        <f t="shared" si="140"/>
        <v>43749.12842854167</v>
      </c>
    </row>
    <row r="8979" spans="1:10" x14ac:dyDescent="0.25">
      <c r="A8979" s="7" t="s">
        <v>43595</v>
      </c>
      <c r="B8979" s="8">
        <v>418.75</v>
      </c>
      <c r="C8979" s="8">
        <v>20.478950000000001</v>
      </c>
      <c r="D8979" s="8">
        <v>56</v>
      </c>
      <c r="E8979" s="8">
        <v>0</v>
      </c>
      <c r="F8979" s="8">
        <v>0</v>
      </c>
      <c r="G8979" s="8">
        <v>0</v>
      </c>
      <c r="H8979" s="8" t="s">
        <v>43596</v>
      </c>
      <c r="I8979" s="8">
        <v>534.1875</v>
      </c>
      <c r="J8979" s="3">
        <f t="shared" si="140"/>
        <v>43749.128511712959</v>
      </c>
    </row>
    <row r="8980" spans="1:10" x14ac:dyDescent="0.25">
      <c r="A8980" s="5" t="s">
        <v>43597</v>
      </c>
      <c r="B8980" s="6">
        <v>393.75</v>
      </c>
      <c r="C8980" s="6">
        <v>20.478950000000001</v>
      </c>
      <c r="D8980" s="6">
        <v>56</v>
      </c>
      <c r="E8980" s="6">
        <v>0</v>
      </c>
      <c r="F8980" s="6">
        <v>0</v>
      </c>
      <c r="G8980" s="6">
        <v>8</v>
      </c>
      <c r="H8980" s="6" t="s">
        <v>43598</v>
      </c>
      <c r="I8980" s="6">
        <v>526.6875</v>
      </c>
      <c r="J8980" s="2">
        <f t="shared" si="140"/>
        <v>43749.128595138885</v>
      </c>
    </row>
    <row r="8981" spans="1:10" x14ac:dyDescent="0.25">
      <c r="A8981" s="7" t="s">
        <v>43599</v>
      </c>
      <c r="B8981" s="8">
        <v>393.75</v>
      </c>
      <c r="C8981" s="8">
        <v>20.478950000000001</v>
      </c>
      <c r="D8981" s="8">
        <v>56</v>
      </c>
      <c r="E8981" s="8">
        <v>0</v>
      </c>
      <c r="F8981" s="8">
        <v>0</v>
      </c>
      <c r="G8981" s="8">
        <v>7</v>
      </c>
      <c r="H8981" s="8" t="s">
        <v>43600</v>
      </c>
      <c r="I8981" s="8">
        <v>526.6875</v>
      </c>
      <c r="J8981" s="3">
        <f t="shared" si="140"/>
        <v>43749.128683287032</v>
      </c>
    </row>
    <row r="8982" spans="1:10" x14ac:dyDescent="0.25">
      <c r="A8982" s="5" t="s">
        <v>43601</v>
      </c>
      <c r="B8982" s="6">
        <v>393.75</v>
      </c>
      <c r="C8982" s="6">
        <v>20.478950000000001</v>
      </c>
      <c r="D8982" s="6">
        <v>54</v>
      </c>
      <c r="E8982" s="6">
        <v>0</v>
      </c>
      <c r="F8982" s="6">
        <v>0</v>
      </c>
      <c r="G8982" s="6">
        <v>7</v>
      </c>
      <c r="H8982" s="6" t="s">
        <v>43602</v>
      </c>
      <c r="I8982" s="6">
        <v>526.6875</v>
      </c>
      <c r="J8982" s="2">
        <f t="shared" si="140"/>
        <v>43749.128762256943</v>
      </c>
    </row>
    <row r="8983" spans="1:10" x14ac:dyDescent="0.25">
      <c r="A8983" s="7" t="s">
        <v>43603</v>
      </c>
      <c r="B8983" s="8">
        <v>393.75</v>
      </c>
      <c r="C8983" s="8">
        <v>20.478950000000001</v>
      </c>
      <c r="D8983" s="8">
        <v>54</v>
      </c>
      <c r="E8983" s="8">
        <v>0</v>
      </c>
      <c r="F8983" s="8">
        <v>0</v>
      </c>
      <c r="G8983" s="8">
        <v>8</v>
      </c>
      <c r="H8983" s="8" t="s">
        <v>43604</v>
      </c>
      <c r="I8983" s="8">
        <v>526.6875</v>
      </c>
      <c r="J8983" s="3">
        <f t="shared" si="140"/>
        <v>43749.128845486113</v>
      </c>
    </row>
    <row r="8984" spans="1:10" x14ac:dyDescent="0.25">
      <c r="A8984" s="5" t="s">
        <v>43605</v>
      </c>
      <c r="B8984" s="6">
        <v>393.75</v>
      </c>
      <c r="C8984" s="6">
        <v>20.478950000000001</v>
      </c>
      <c r="D8984" s="6">
        <v>52</v>
      </c>
      <c r="E8984" s="6">
        <v>0</v>
      </c>
      <c r="F8984" s="6">
        <v>0</v>
      </c>
      <c r="G8984" s="6">
        <v>8</v>
      </c>
      <c r="H8984" s="6" t="s">
        <v>43606</v>
      </c>
      <c r="I8984" s="6">
        <v>526.6875</v>
      </c>
      <c r="J8984" s="2">
        <f t="shared" si="140"/>
        <v>43749.128917291666</v>
      </c>
    </row>
    <row r="8985" spans="1:10" x14ac:dyDescent="0.25">
      <c r="A8985" s="7" t="s">
        <v>43607</v>
      </c>
      <c r="B8985" s="8">
        <v>393.75</v>
      </c>
      <c r="C8985" s="8">
        <v>20.478950000000001</v>
      </c>
      <c r="D8985" s="8">
        <v>52</v>
      </c>
      <c r="E8985" s="8">
        <v>0</v>
      </c>
      <c r="F8985" s="8">
        <v>0</v>
      </c>
      <c r="G8985" s="8">
        <v>12</v>
      </c>
      <c r="H8985" s="8" t="s">
        <v>43608</v>
      </c>
      <c r="I8985" s="8">
        <v>526.6875</v>
      </c>
      <c r="J8985" s="3">
        <f t="shared" si="140"/>
        <v>43749.129012650461</v>
      </c>
    </row>
    <row r="8986" spans="1:10" x14ac:dyDescent="0.25">
      <c r="A8986" s="5" t="s">
        <v>43609</v>
      </c>
      <c r="B8986" s="6">
        <v>393.75</v>
      </c>
      <c r="C8986" s="6">
        <v>20.478950000000001</v>
      </c>
      <c r="D8986" s="6">
        <v>53</v>
      </c>
      <c r="E8986" s="6">
        <v>0</v>
      </c>
      <c r="F8986" s="6">
        <v>0</v>
      </c>
      <c r="G8986" s="6">
        <v>7</v>
      </c>
      <c r="H8986" s="6" t="s">
        <v>43610</v>
      </c>
      <c r="I8986" s="6">
        <v>526.6875</v>
      </c>
      <c r="J8986" s="2">
        <f t="shared" si="140"/>
        <v>43749.129088611109</v>
      </c>
    </row>
    <row r="8987" spans="1:10" x14ac:dyDescent="0.25">
      <c r="A8987" s="7" t="s">
        <v>43611</v>
      </c>
      <c r="B8987" s="8">
        <v>393.75</v>
      </c>
      <c r="C8987" s="8">
        <v>20.478950000000001</v>
      </c>
      <c r="D8987" s="8">
        <v>48</v>
      </c>
      <c r="E8987" s="8">
        <v>0</v>
      </c>
      <c r="F8987" s="8">
        <v>0</v>
      </c>
      <c r="G8987" s="8">
        <v>12</v>
      </c>
      <c r="H8987" s="8" t="s">
        <v>43612</v>
      </c>
      <c r="I8987" s="8">
        <v>526.6875</v>
      </c>
      <c r="J8987" s="3">
        <f t="shared" si="140"/>
        <v>43749.129167314815</v>
      </c>
    </row>
    <row r="8988" spans="1:10" x14ac:dyDescent="0.25">
      <c r="A8988" s="5" t="s">
        <v>43613</v>
      </c>
      <c r="B8988" s="6">
        <v>393.75</v>
      </c>
      <c r="C8988" s="6">
        <v>20.478950000000001</v>
      </c>
      <c r="D8988" s="6">
        <v>48</v>
      </c>
      <c r="E8988" s="6">
        <v>0</v>
      </c>
      <c r="F8988" s="6">
        <v>0</v>
      </c>
      <c r="G8988" s="6">
        <v>6</v>
      </c>
      <c r="H8988" s="6" t="s">
        <v>43614</v>
      </c>
      <c r="I8988" s="6">
        <v>526.6875</v>
      </c>
      <c r="J8988" s="2">
        <f t="shared" si="140"/>
        <v>43749.12923922453</v>
      </c>
    </row>
    <row r="8989" spans="1:10" x14ac:dyDescent="0.25">
      <c r="A8989" s="7" t="s">
        <v>43615</v>
      </c>
      <c r="B8989" s="8">
        <v>393.75</v>
      </c>
      <c r="C8989" s="8">
        <v>20.478950000000001</v>
      </c>
      <c r="D8989" s="8">
        <v>52</v>
      </c>
      <c r="E8989" s="8">
        <v>0</v>
      </c>
      <c r="F8989" s="8">
        <v>0</v>
      </c>
      <c r="G8989" s="8">
        <v>7</v>
      </c>
      <c r="H8989" s="8" t="s">
        <v>43616</v>
      </c>
      <c r="I8989" s="8">
        <v>526.6875</v>
      </c>
      <c r="J8989" s="3">
        <f t="shared" si="140"/>
        <v>43749.129322766203</v>
      </c>
    </row>
    <row r="8990" spans="1:10" x14ac:dyDescent="0.25">
      <c r="A8990" s="5" t="s">
        <v>43617</v>
      </c>
      <c r="B8990" s="6">
        <v>393.75</v>
      </c>
      <c r="C8990" s="6">
        <v>20.478950000000001</v>
      </c>
      <c r="D8990" s="6">
        <v>50</v>
      </c>
      <c r="E8990" s="6">
        <v>0</v>
      </c>
      <c r="F8990" s="6">
        <v>0</v>
      </c>
      <c r="G8990" s="6">
        <v>10</v>
      </c>
      <c r="H8990" s="6" t="s">
        <v>43618</v>
      </c>
      <c r="I8990" s="6">
        <v>526.6875</v>
      </c>
      <c r="J8990" s="2">
        <f t="shared" si="140"/>
        <v>43749.129394317126</v>
      </c>
    </row>
    <row r="8991" spans="1:10" x14ac:dyDescent="0.25">
      <c r="A8991" s="7" t="s">
        <v>43619</v>
      </c>
      <c r="B8991" s="8">
        <v>393.75</v>
      </c>
      <c r="C8991" s="8">
        <v>20.478950000000001</v>
      </c>
      <c r="D8991" s="8">
        <v>52</v>
      </c>
      <c r="E8991" s="8">
        <v>0</v>
      </c>
      <c r="F8991" s="8">
        <v>0</v>
      </c>
      <c r="G8991" s="8">
        <v>4</v>
      </c>
      <c r="H8991" s="8" t="s">
        <v>43620</v>
      </c>
      <c r="I8991" s="8">
        <v>526.6875</v>
      </c>
      <c r="J8991" s="3">
        <f t="shared" si="140"/>
        <v>43749.129477766204</v>
      </c>
    </row>
    <row r="8992" spans="1:10" x14ac:dyDescent="0.25">
      <c r="A8992" s="5" t="s">
        <v>43621</v>
      </c>
      <c r="B8992" s="6">
        <v>431.25</v>
      </c>
      <c r="C8992" s="6">
        <v>20.478950000000001</v>
      </c>
      <c r="D8992" s="6">
        <v>53</v>
      </c>
      <c r="E8992" s="6">
        <v>0</v>
      </c>
      <c r="F8992" s="6">
        <v>0</v>
      </c>
      <c r="G8992" s="6">
        <v>8</v>
      </c>
      <c r="H8992" s="6" t="s">
        <v>43622</v>
      </c>
      <c r="I8992" s="6">
        <v>538.6875</v>
      </c>
      <c r="J8992" s="2">
        <f t="shared" si="140"/>
        <v>43749.129548865742</v>
      </c>
    </row>
    <row r="8993" spans="1:10" x14ac:dyDescent="0.25">
      <c r="A8993" s="7" t="s">
        <v>43623</v>
      </c>
      <c r="B8993" s="8">
        <v>393.75</v>
      </c>
      <c r="C8993" s="8">
        <v>20.478950000000001</v>
      </c>
      <c r="D8993" s="8">
        <v>53</v>
      </c>
      <c r="E8993" s="8">
        <v>0</v>
      </c>
      <c r="F8993" s="8">
        <v>0</v>
      </c>
      <c r="G8993" s="8">
        <v>0</v>
      </c>
      <c r="H8993" s="8" t="s">
        <v>43624</v>
      </c>
      <c r="I8993" s="8">
        <v>526.6875</v>
      </c>
      <c r="J8993" s="3">
        <f t="shared" si="140"/>
        <v>43749.129620798609</v>
      </c>
    </row>
    <row r="8994" spans="1:10" x14ac:dyDescent="0.25">
      <c r="A8994" s="5" t="s">
        <v>43625</v>
      </c>
      <c r="B8994" s="6">
        <v>393.75</v>
      </c>
      <c r="C8994" s="6">
        <v>20.478950000000001</v>
      </c>
      <c r="D8994" s="6">
        <v>53</v>
      </c>
      <c r="E8994" s="6">
        <v>0</v>
      </c>
      <c r="F8994" s="6">
        <v>0</v>
      </c>
      <c r="G8994" s="6">
        <v>8</v>
      </c>
      <c r="H8994" s="6" t="s">
        <v>43626</v>
      </c>
      <c r="I8994" s="6">
        <v>526.6875</v>
      </c>
      <c r="J8994" s="2">
        <f t="shared" si="140"/>
        <v>43749.129705173611</v>
      </c>
    </row>
    <row r="8995" spans="1:10" x14ac:dyDescent="0.25">
      <c r="A8995" s="7" t="s">
        <v>43627</v>
      </c>
      <c r="B8995" s="8">
        <v>393.75</v>
      </c>
      <c r="C8995" s="8">
        <v>20.478950000000001</v>
      </c>
      <c r="D8995" s="8">
        <v>53</v>
      </c>
      <c r="E8995" s="8">
        <v>0</v>
      </c>
      <c r="F8995" s="8">
        <v>0</v>
      </c>
      <c r="G8995" s="8">
        <v>5</v>
      </c>
      <c r="H8995" s="8" t="s">
        <v>43628</v>
      </c>
      <c r="I8995" s="8">
        <v>526.6875</v>
      </c>
      <c r="J8995" s="3">
        <f t="shared" si="140"/>
        <v>43749.129775856483</v>
      </c>
    </row>
    <row r="8996" spans="1:10" x14ac:dyDescent="0.25">
      <c r="A8996" s="5" t="s">
        <v>43629</v>
      </c>
      <c r="B8996" s="6">
        <v>393.75</v>
      </c>
      <c r="C8996" s="6">
        <v>20.478950000000001</v>
      </c>
      <c r="D8996" s="6">
        <v>53</v>
      </c>
      <c r="E8996" s="6">
        <v>0</v>
      </c>
      <c r="F8996" s="6">
        <v>0</v>
      </c>
      <c r="G8996" s="6">
        <v>6</v>
      </c>
      <c r="H8996" s="6" t="s">
        <v>43630</v>
      </c>
      <c r="I8996" s="6">
        <v>526.6875</v>
      </c>
      <c r="J8996" s="2">
        <f t="shared" si="140"/>
        <v>43749.12985928241</v>
      </c>
    </row>
    <row r="8997" spans="1:10" x14ac:dyDescent="0.25">
      <c r="A8997" s="7" t="s">
        <v>43631</v>
      </c>
      <c r="B8997" s="8">
        <v>393.75</v>
      </c>
      <c r="C8997" s="8">
        <v>20.478950000000001</v>
      </c>
      <c r="D8997" s="8">
        <v>54</v>
      </c>
      <c r="E8997" s="8">
        <v>0</v>
      </c>
      <c r="F8997" s="8">
        <v>0</v>
      </c>
      <c r="G8997" s="8">
        <v>7</v>
      </c>
      <c r="H8997" s="8" t="s">
        <v>43632</v>
      </c>
      <c r="I8997" s="8">
        <v>526.6875</v>
      </c>
      <c r="J8997" s="3">
        <f t="shared" si="140"/>
        <v>43749.129944062493</v>
      </c>
    </row>
    <row r="8998" spans="1:10" x14ac:dyDescent="0.25">
      <c r="A8998" s="5" t="s">
        <v>43633</v>
      </c>
      <c r="B8998" s="6">
        <v>412.5</v>
      </c>
      <c r="C8998" s="6">
        <v>20.426300000000001</v>
      </c>
      <c r="D8998" s="6">
        <v>55</v>
      </c>
      <c r="E8998" s="6">
        <v>0</v>
      </c>
      <c r="F8998" s="6">
        <v>0</v>
      </c>
      <c r="G8998" s="6">
        <v>8</v>
      </c>
      <c r="H8998" s="6" t="s">
        <v>43634</v>
      </c>
      <c r="I8998" s="6">
        <v>532.3125</v>
      </c>
      <c r="J8998" s="2">
        <f t="shared" si="140"/>
        <v>43749.130026215273</v>
      </c>
    </row>
    <row r="8999" spans="1:10" x14ac:dyDescent="0.25">
      <c r="A8999" s="7" t="s">
        <v>43635</v>
      </c>
      <c r="B8999" s="8">
        <v>393.75</v>
      </c>
      <c r="C8999" s="8">
        <v>20.478950000000001</v>
      </c>
      <c r="D8999" s="8">
        <v>54</v>
      </c>
      <c r="E8999" s="8">
        <v>0</v>
      </c>
      <c r="F8999" s="8">
        <v>0</v>
      </c>
      <c r="G8999" s="8">
        <v>7</v>
      </c>
      <c r="H8999" s="8" t="s">
        <v>43636</v>
      </c>
      <c r="I8999" s="8">
        <v>526.6875</v>
      </c>
      <c r="J8999" s="3">
        <f t="shared" si="140"/>
        <v>43749.130109756945</v>
      </c>
    </row>
    <row r="9000" spans="1:10" x14ac:dyDescent="0.25">
      <c r="A9000" s="5" t="s">
        <v>43637</v>
      </c>
      <c r="B9000" s="6">
        <v>393.75</v>
      </c>
      <c r="C9000" s="6">
        <v>20.478950000000001</v>
      </c>
      <c r="D9000" s="6">
        <v>52</v>
      </c>
      <c r="E9000" s="6">
        <v>0</v>
      </c>
      <c r="F9000" s="6">
        <v>0</v>
      </c>
      <c r="G9000" s="6">
        <v>11</v>
      </c>
      <c r="H9000" s="6" t="s">
        <v>43638</v>
      </c>
      <c r="I9000" s="6">
        <v>526.6875</v>
      </c>
      <c r="J9000" s="2">
        <f t="shared" si="140"/>
        <v>43749.130193240737</v>
      </c>
    </row>
    <row r="9001" spans="1:10" x14ac:dyDescent="0.25">
      <c r="A9001" s="7" t="s">
        <v>43639</v>
      </c>
      <c r="B9001" s="8">
        <v>393.75</v>
      </c>
      <c r="C9001" s="8">
        <v>20.478950000000001</v>
      </c>
      <c r="D9001" s="8">
        <v>52</v>
      </c>
      <c r="E9001" s="8">
        <v>0</v>
      </c>
      <c r="F9001" s="8">
        <v>0</v>
      </c>
      <c r="G9001" s="8">
        <v>6</v>
      </c>
      <c r="H9001" s="8" t="s">
        <v>43640</v>
      </c>
      <c r="I9001" s="8">
        <v>526.6875</v>
      </c>
      <c r="J9001" s="3">
        <f t="shared" si="140"/>
        <v>43749.130276643518</v>
      </c>
    </row>
    <row r="9002" spans="1:10" x14ac:dyDescent="0.25">
      <c r="A9002" s="5" t="s">
        <v>43641</v>
      </c>
      <c r="B9002" s="6">
        <v>393.75</v>
      </c>
      <c r="C9002" s="6">
        <v>20.478950000000001</v>
      </c>
      <c r="D9002" s="6">
        <v>52</v>
      </c>
      <c r="E9002" s="6">
        <v>0</v>
      </c>
      <c r="F9002" s="6">
        <v>0</v>
      </c>
      <c r="G9002" s="6">
        <v>6</v>
      </c>
      <c r="H9002" s="6" t="s">
        <v>43642</v>
      </c>
      <c r="I9002" s="6">
        <v>526.6875</v>
      </c>
      <c r="J9002" s="2">
        <f t="shared" si="140"/>
        <v>43749.130359884257</v>
      </c>
    </row>
    <row r="9003" spans="1:10" x14ac:dyDescent="0.25">
      <c r="A9003" s="7" t="s">
        <v>43643</v>
      </c>
      <c r="B9003" s="8">
        <v>393.75</v>
      </c>
      <c r="C9003" s="8">
        <v>20.478950000000001</v>
      </c>
      <c r="D9003" s="8">
        <v>53</v>
      </c>
      <c r="E9003" s="8">
        <v>0</v>
      </c>
      <c r="F9003" s="8">
        <v>0</v>
      </c>
      <c r="G9003" s="8">
        <v>10</v>
      </c>
      <c r="H9003" s="8" t="s">
        <v>43644</v>
      </c>
      <c r="I9003" s="8">
        <v>526.6875</v>
      </c>
      <c r="J9003" s="3">
        <f t="shared" si="140"/>
        <v>43749.130432013888</v>
      </c>
    </row>
    <row r="9004" spans="1:10" x14ac:dyDescent="0.25">
      <c r="A9004" s="5" t="s">
        <v>43645</v>
      </c>
      <c r="B9004" s="6">
        <v>393.75</v>
      </c>
      <c r="C9004" s="6">
        <v>20.478950000000001</v>
      </c>
      <c r="D9004" s="6">
        <v>53</v>
      </c>
      <c r="E9004" s="6">
        <v>0</v>
      </c>
      <c r="F9004" s="6">
        <v>0</v>
      </c>
      <c r="G9004" s="6">
        <v>13</v>
      </c>
      <c r="H9004" s="6" t="s">
        <v>43646</v>
      </c>
      <c r="I9004" s="6">
        <v>526.6875</v>
      </c>
      <c r="J9004" s="2">
        <f t="shared" si="140"/>
        <v>43749.130515150457</v>
      </c>
    </row>
    <row r="9005" spans="1:10" x14ac:dyDescent="0.25">
      <c r="A9005" s="7" t="s">
        <v>43647</v>
      </c>
      <c r="B9005" s="8">
        <v>393.75</v>
      </c>
      <c r="C9005" s="8">
        <v>20.478950000000001</v>
      </c>
      <c r="D9005" s="8">
        <v>53</v>
      </c>
      <c r="E9005" s="8">
        <v>0</v>
      </c>
      <c r="F9005" s="8">
        <v>0</v>
      </c>
      <c r="G9005" s="8">
        <v>6</v>
      </c>
      <c r="H9005" s="8" t="s">
        <v>43648</v>
      </c>
      <c r="I9005" s="8">
        <v>526.6875</v>
      </c>
      <c r="J9005" s="3">
        <f t="shared" si="140"/>
        <v>43749.130586782405</v>
      </c>
    </row>
    <row r="9006" spans="1:10" x14ac:dyDescent="0.25">
      <c r="A9006" s="5" t="s">
        <v>43649</v>
      </c>
      <c r="B9006" s="6">
        <v>412.5</v>
      </c>
      <c r="C9006" s="6">
        <v>20.478950000000001</v>
      </c>
      <c r="D9006" s="6">
        <v>56</v>
      </c>
      <c r="E9006" s="6">
        <v>0</v>
      </c>
      <c r="F9006" s="6">
        <v>0</v>
      </c>
      <c r="G9006" s="6">
        <v>6</v>
      </c>
      <c r="H9006" s="6" t="s">
        <v>43650</v>
      </c>
      <c r="I9006" s="6">
        <v>532.6875</v>
      </c>
      <c r="J9006" s="2">
        <f t="shared" si="140"/>
        <v>43749.130658263886</v>
      </c>
    </row>
    <row r="9007" spans="1:10" x14ac:dyDescent="0.25">
      <c r="A9007" s="7" t="s">
        <v>43651</v>
      </c>
      <c r="B9007" s="8">
        <v>393.75</v>
      </c>
      <c r="C9007" s="8">
        <v>20.478950000000001</v>
      </c>
      <c r="D9007" s="8">
        <v>55</v>
      </c>
      <c r="E9007" s="8">
        <v>0</v>
      </c>
      <c r="F9007" s="8">
        <v>0</v>
      </c>
      <c r="G9007" s="8">
        <v>8</v>
      </c>
      <c r="H9007" s="8" t="s">
        <v>43652</v>
      </c>
      <c r="I9007" s="8">
        <v>526.6875</v>
      </c>
      <c r="J9007" s="3">
        <f t="shared" si="140"/>
        <v>43749.130741469904</v>
      </c>
    </row>
    <row r="9008" spans="1:10" x14ac:dyDescent="0.25">
      <c r="A9008" s="5" t="s">
        <v>43653</v>
      </c>
      <c r="B9008" s="6">
        <v>393.75</v>
      </c>
      <c r="C9008" s="6">
        <v>20.478950000000001</v>
      </c>
      <c r="D9008" s="6">
        <v>55</v>
      </c>
      <c r="E9008" s="6">
        <v>0</v>
      </c>
      <c r="F9008" s="6">
        <v>0</v>
      </c>
      <c r="G9008" s="6">
        <v>7</v>
      </c>
      <c r="H9008" s="6" t="s">
        <v>43654</v>
      </c>
      <c r="I9008" s="6">
        <v>526.6875</v>
      </c>
      <c r="J9008" s="2">
        <f t="shared" si="140"/>
        <v>43749.130813124997</v>
      </c>
    </row>
    <row r="9009" spans="1:10" x14ac:dyDescent="0.25">
      <c r="A9009" s="7" t="s">
        <v>43655</v>
      </c>
      <c r="B9009" s="8">
        <v>418.75</v>
      </c>
      <c r="C9009" s="8">
        <v>20.478950000000001</v>
      </c>
      <c r="D9009" s="8">
        <v>55</v>
      </c>
      <c r="E9009" s="8">
        <v>0</v>
      </c>
      <c r="F9009" s="8">
        <v>0</v>
      </c>
      <c r="G9009" s="8">
        <v>8</v>
      </c>
      <c r="H9009" s="8" t="s">
        <v>43656</v>
      </c>
      <c r="I9009" s="8">
        <v>534.375</v>
      </c>
      <c r="J9009" s="3">
        <f t="shared" si="140"/>
        <v>43749.130897013885</v>
      </c>
    </row>
    <row r="9010" spans="1:10" x14ac:dyDescent="0.25">
      <c r="A9010" s="5" t="s">
        <v>43657</v>
      </c>
      <c r="B9010" s="6">
        <v>393.75</v>
      </c>
      <c r="C9010" s="6">
        <v>20.478950000000001</v>
      </c>
      <c r="D9010" s="6">
        <v>55</v>
      </c>
      <c r="E9010" s="6">
        <v>0</v>
      </c>
      <c r="F9010" s="6">
        <v>0</v>
      </c>
      <c r="G9010" s="6">
        <v>9</v>
      </c>
      <c r="H9010" s="6" t="s">
        <v>43658</v>
      </c>
      <c r="I9010" s="6">
        <v>526.6875</v>
      </c>
      <c r="J9010" s="2">
        <f t="shared" si="140"/>
        <v>43749.130968321755</v>
      </c>
    </row>
    <row r="9011" spans="1:10" x14ac:dyDescent="0.25">
      <c r="A9011" s="7" t="s">
        <v>43659</v>
      </c>
      <c r="B9011" s="8">
        <v>393.75</v>
      </c>
      <c r="C9011" s="8">
        <v>20.478950000000001</v>
      </c>
      <c r="D9011" s="8">
        <v>54</v>
      </c>
      <c r="E9011" s="8">
        <v>0</v>
      </c>
      <c r="F9011" s="8">
        <v>0</v>
      </c>
      <c r="G9011" s="8">
        <v>12</v>
      </c>
      <c r="H9011" s="8" t="s">
        <v>43660</v>
      </c>
      <c r="I9011" s="8">
        <v>526.6875</v>
      </c>
      <c r="J9011" s="3">
        <f t="shared" si="140"/>
        <v>43749.131039965279</v>
      </c>
    </row>
    <row r="9012" spans="1:10" x14ac:dyDescent="0.25">
      <c r="A9012" s="5" t="s">
        <v>43661</v>
      </c>
      <c r="B9012" s="6">
        <v>393.75</v>
      </c>
      <c r="C9012" s="6">
        <v>20.478950000000001</v>
      </c>
      <c r="D9012" s="6">
        <v>55</v>
      </c>
      <c r="E9012" s="6">
        <v>0</v>
      </c>
      <c r="F9012" s="6">
        <v>0</v>
      </c>
      <c r="G9012" s="6">
        <v>8</v>
      </c>
      <c r="H9012" s="6" t="s">
        <v>43662</v>
      </c>
      <c r="I9012" s="6">
        <v>526.6875</v>
      </c>
      <c r="J9012" s="2">
        <f t="shared" si="140"/>
        <v>43749.131123055551</v>
      </c>
    </row>
    <row r="9013" spans="1:10" x14ac:dyDescent="0.25">
      <c r="A9013" s="7" t="s">
        <v>43663</v>
      </c>
      <c r="B9013" s="8">
        <v>393.75</v>
      </c>
      <c r="C9013" s="8">
        <v>20.478950000000001</v>
      </c>
      <c r="D9013" s="8">
        <v>55</v>
      </c>
      <c r="E9013" s="8">
        <v>0</v>
      </c>
      <c r="F9013" s="8">
        <v>0</v>
      </c>
      <c r="G9013" s="8">
        <v>11</v>
      </c>
      <c r="H9013" s="8" t="s">
        <v>43664</v>
      </c>
      <c r="I9013" s="8">
        <v>526.6875</v>
      </c>
      <c r="J9013" s="3">
        <f t="shared" si="140"/>
        <v>43749.131212708329</v>
      </c>
    </row>
    <row r="9014" spans="1:10" x14ac:dyDescent="0.25">
      <c r="A9014" s="5" t="s">
        <v>43665</v>
      </c>
      <c r="B9014" s="6">
        <v>393.75</v>
      </c>
      <c r="C9014" s="6">
        <v>20.478950000000001</v>
      </c>
      <c r="D9014" s="6">
        <v>53</v>
      </c>
      <c r="E9014" s="6">
        <v>0</v>
      </c>
      <c r="F9014" s="6">
        <v>0</v>
      </c>
      <c r="G9014" s="6">
        <v>11</v>
      </c>
      <c r="H9014" s="6" t="s">
        <v>43666</v>
      </c>
      <c r="I9014" s="6">
        <v>526.6875</v>
      </c>
      <c r="J9014" s="2">
        <f t="shared" si="140"/>
        <v>43749.131300775458</v>
      </c>
    </row>
    <row r="9015" spans="1:10" x14ac:dyDescent="0.25">
      <c r="A9015" s="7" t="s">
        <v>43667</v>
      </c>
      <c r="B9015" s="8">
        <v>393.75</v>
      </c>
      <c r="C9015" s="8">
        <v>20.478950000000001</v>
      </c>
      <c r="D9015" s="8">
        <v>53</v>
      </c>
      <c r="E9015" s="8">
        <v>0</v>
      </c>
      <c r="F9015" s="8">
        <v>0</v>
      </c>
      <c r="G9015" s="8">
        <v>4</v>
      </c>
      <c r="H9015" s="8" t="s">
        <v>43668</v>
      </c>
      <c r="I9015" s="8">
        <v>526.6875</v>
      </c>
      <c r="J9015" s="3">
        <f t="shared" si="140"/>
        <v>43749.131373935183</v>
      </c>
    </row>
    <row r="9016" spans="1:10" x14ac:dyDescent="0.25">
      <c r="A9016" s="5" t="s">
        <v>43669</v>
      </c>
      <c r="B9016" s="6">
        <v>393.75</v>
      </c>
      <c r="C9016" s="6">
        <v>20.478950000000001</v>
      </c>
      <c r="D9016" s="6">
        <v>54</v>
      </c>
      <c r="E9016" s="6">
        <v>0</v>
      </c>
      <c r="F9016" s="6">
        <v>0</v>
      </c>
      <c r="G9016" s="6">
        <v>1</v>
      </c>
      <c r="H9016" s="6" t="s">
        <v>43670</v>
      </c>
      <c r="I9016" s="6">
        <v>526.6875</v>
      </c>
      <c r="J9016" s="2">
        <f t="shared" si="140"/>
        <v>43749.131445173603</v>
      </c>
    </row>
    <row r="9017" spans="1:10" x14ac:dyDescent="0.25">
      <c r="A9017" s="7" t="s">
        <v>43671</v>
      </c>
      <c r="B9017" s="8">
        <v>393.75</v>
      </c>
      <c r="C9017" s="8">
        <v>20.478950000000001</v>
      </c>
      <c r="D9017" s="8">
        <v>54</v>
      </c>
      <c r="E9017" s="8">
        <v>0</v>
      </c>
      <c r="F9017" s="8">
        <v>0</v>
      </c>
      <c r="G9017" s="8">
        <v>3</v>
      </c>
      <c r="H9017" s="8" t="s">
        <v>43672</v>
      </c>
      <c r="I9017" s="8">
        <v>526.6875</v>
      </c>
      <c r="J9017" s="3">
        <f t="shared" si="140"/>
        <v>43749.131516932866</v>
      </c>
    </row>
    <row r="9018" spans="1:10" x14ac:dyDescent="0.25">
      <c r="A9018" s="5" t="s">
        <v>43673</v>
      </c>
      <c r="B9018" s="6">
        <v>393.75</v>
      </c>
      <c r="C9018" s="6">
        <v>20.426300000000001</v>
      </c>
      <c r="D9018" s="6">
        <v>55</v>
      </c>
      <c r="E9018" s="6">
        <v>0</v>
      </c>
      <c r="F9018" s="6">
        <v>0</v>
      </c>
      <c r="G9018" s="6">
        <v>5</v>
      </c>
      <c r="H9018" s="6" t="s">
        <v>43674</v>
      </c>
      <c r="I9018" s="6">
        <v>526.6875</v>
      </c>
      <c r="J9018" s="2">
        <f t="shared" si="140"/>
        <v>43749.131612037039</v>
      </c>
    </row>
    <row r="9019" spans="1:10" x14ac:dyDescent="0.25">
      <c r="A9019" s="7" t="s">
        <v>43675</v>
      </c>
      <c r="B9019" s="8">
        <v>393.75</v>
      </c>
      <c r="C9019" s="8">
        <v>20.478950000000001</v>
      </c>
      <c r="D9019" s="8">
        <v>53</v>
      </c>
      <c r="E9019" s="8">
        <v>0</v>
      </c>
      <c r="F9019" s="8">
        <v>0</v>
      </c>
      <c r="G9019" s="8">
        <v>1</v>
      </c>
      <c r="H9019" s="8" t="s">
        <v>43676</v>
      </c>
      <c r="I9019" s="8">
        <v>526.6875</v>
      </c>
      <c r="J9019" s="3">
        <f t="shared" si="140"/>
        <v>43749.131683796295</v>
      </c>
    </row>
    <row r="9020" spans="1:10" x14ac:dyDescent="0.25">
      <c r="A9020" s="5" t="s">
        <v>43677</v>
      </c>
      <c r="B9020" s="6">
        <v>393.75</v>
      </c>
      <c r="C9020" s="6">
        <v>20.478950000000001</v>
      </c>
      <c r="D9020" s="6">
        <v>53</v>
      </c>
      <c r="E9020" s="6">
        <v>0</v>
      </c>
      <c r="F9020" s="6">
        <v>0</v>
      </c>
      <c r="G9020" s="6">
        <v>0</v>
      </c>
      <c r="H9020" s="6" t="s">
        <v>43678</v>
      </c>
      <c r="I9020" s="6">
        <v>526.6875</v>
      </c>
      <c r="J9020" s="2">
        <f t="shared" si="140"/>
        <v>43749.131767280087</v>
      </c>
    </row>
    <row r="9021" spans="1:10" x14ac:dyDescent="0.25">
      <c r="A9021" s="7" t="s">
        <v>43679</v>
      </c>
      <c r="B9021" s="8">
        <v>393.75</v>
      </c>
      <c r="C9021" s="8">
        <v>20.478950000000001</v>
      </c>
      <c r="D9021" s="8">
        <v>54</v>
      </c>
      <c r="E9021" s="8">
        <v>0</v>
      </c>
      <c r="F9021" s="8">
        <v>0</v>
      </c>
      <c r="G9021" s="8">
        <v>11</v>
      </c>
      <c r="H9021" s="8" t="s">
        <v>43680</v>
      </c>
      <c r="I9021" s="8">
        <v>526.6875</v>
      </c>
      <c r="J9021" s="3">
        <f t="shared" si="140"/>
        <v>43749.131838912035</v>
      </c>
    </row>
    <row r="9022" spans="1:10" x14ac:dyDescent="0.25">
      <c r="A9022" s="5" t="s">
        <v>43681</v>
      </c>
      <c r="B9022" s="6">
        <v>393.75</v>
      </c>
      <c r="C9022" s="6">
        <v>20.478950000000001</v>
      </c>
      <c r="D9022" s="6">
        <v>53</v>
      </c>
      <c r="E9022" s="6">
        <v>0</v>
      </c>
      <c r="F9022" s="6">
        <v>0</v>
      </c>
      <c r="G9022" s="6">
        <v>0</v>
      </c>
      <c r="H9022" s="6" t="s">
        <v>43682</v>
      </c>
      <c r="I9022" s="6">
        <v>526.6875</v>
      </c>
      <c r="J9022" s="2">
        <f t="shared" si="140"/>
        <v>43749.131922418979</v>
      </c>
    </row>
    <row r="9023" spans="1:10" x14ac:dyDescent="0.25">
      <c r="A9023" s="7" t="s">
        <v>43683</v>
      </c>
      <c r="B9023" s="8">
        <v>415.625</v>
      </c>
      <c r="C9023" s="8">
        <v>20.478950000000001</v>
      </c>
      <c r="D9023" s="8">
        <v>53</v>
      </c>
      <c r="E9023" s="8">
        <v>0</v>
      </c>
      <c r="F9023" s="8">
        <v>0</v>
      </c>
      <c r="G9023" s="8">
        <v>0</v>
      </c>
      <c r="H9023" s="8" t="s">
        <v>43684</v>
      </c>
      <c r="I9023" s="8">
        <v>533.8125</v>
      </c>
      <c r="J9023" s="3">
        <f t="shared" si="140"/>
        <v>43749.13199396991</v>
      </c>
    </row>
    <row r="9024" spans="1:10" x14ac:dyDescent="0.25">
      <c r="A9024" s="5" t="s">
        <v>43685</v>
      </c>
      <c r="B9024" s="6">
        <v>393.75</v>
      </c>
      <c r="C9024" s="6">
        <v>20.478950000000001</v>
      </c>
      <c r="D9024" s="6">
        <v>53</v>
      </c>
      <c r="E9024" s="6">
        <v>0</v>
      </c>
      <c r="F9024" s="6">
        <v>0</v>
      </c>
      <c r="G9024" s="6">
        <v>7</v>
      </c>
      <c r="H9024" s="6" t="s">
        <v>43686</v>
      </c>
      <c r="I9024" s="6">
        <v>526.6875</v>
      </c>
      <c r="J9024" s="2">
        <f t="shared" si="140"/>
        <v>43749.132065532402</v>
      </c>
    </row>
    <row r="9025" spans="1:10" x14ac:dyDescent="0.25">
      <c r="A9025" s="7" t="s">
        <v>43687</v>
      </c>
      <c r="B9025" s="8">
        <v>393.75</v>
      </c>
      <c r="C9025" s="8">
        <v>20.478950000000001</v>
      </c>
      <c r="D9025" s="8">
        <v>54</v>
      </c>
      <c r="E9025" s="8">
        <v>0</v>
      </c>
      <c r="F9025" s="8">
        <v>0</v>
      </c>
      <c r="G9025" s="8">
        <v>13</v>
      </c>
      <c r="H9025" s="8" t="s">
        <v>43688</v>
      </c>
      <c r="I9025" s="8">
        <v>526.6875</v>
      </c>
      <c r="J9025" s="3">
        <f t="shared" si="140"/>
        <v>43749.132137106477</v>
      </c>
    </row>
    <row r="9026" spans="1:10" x14ac:dyDescent="0.25">
      <c r="A9026" s="5" t="s">
        <v>43689</v>
      </c>
      <c r="B9026" s="6">
        <v>393.75</v>
      </c>
      <c r="C9026" s="6">
        <v>20.426300000000001</v>
      </c>
      <c r="D9026" s="6">
        <v>54</v>
      </c>
      <c r="E9026" s="6">
        <v>0</v>
      </c>
      <c r="F9026" s="6">
        <v>0</v>
      </c>
      <c r="G9026" s="6">
        <v>6</v>
      </c>
      <c r="H9026" s="6" t="s">
        <v>43690</v>
      </c>
      <c r="I9026" s="6">
        <v>526.6875</v>
      </c>
      <c r="J9026" s="2">
        <f t="shared" ref="J9026:J9089" si="141">(H9026/86400000)+25569+(7/24)</f>
        <v>43749.132208240735</v>
      </c>
    </row>
    <row r="9027" spans="1:10" x14ac:dyDescent="0.25">
      <c r="A9027" s="7" t="s">
        <v>43691</v>
      </c>
      <c r="B9027" s="8">
        <v>393.75</v>
      </c>
      <c r="C9027" s="8">
        <v>20.478950000000001</v>
      </c>
      <c r="D9027" s="8">
        <v>51</v>
      </c>
      <c r="E9027" s="8">
        <v>0</v>
      </c>
      <c r="F9027" s="8">
        <v>0</v>
      </c>
      <c r="G9027" s="8">
        <v>6</v>
      </c>
      <c r="H9027" s="8" t="s">
        <v>43692</v>
      </c>
      <c r="I9027" s="8">
        <v>526.6875</v>
      </c>
      <c r="J9027" s="3">
        <f t="shared" si="141"/>
        <v>43749.132280104161</v>
      </c>
    </row>
    <row r="9028" spans="1:10" x14ac:dyDescent="0.25">
      <c r="A9028" s="5" t="s">
        <v>43693</v>
      </c>
      <c r="B9028" s="6">
        <v>393.75</v>
      </c>
      <c r="C9028" s="6">
        <v>20.478950000000001</v>
      </c>
      <c r="D9028" s="6">
        <v>54</v>
      </c>
      <c r="E9028" s="6">
        <v>0</v>
      </c>
      <c r="F9028" s="6">
        <v>0</v>
      </c>
      <c r="G9028" s="6">
        <v>10</v>
      </c>
      <c r="H9028" s="6" t="s">
        <v>43694</v>
      </c>
      <c r="I9028" s="6">
        <v>526.6875</v>
      </c>
      <c r="J9028" s="2">
        <f t="shared" si="141"/>
        <v>43749.132363680554</v>
      </c>
    </row>
    <row r="9029" spans="1:10" x14ac:dyDescent="0.25">
      <c r="A9029" s="7" t="s">
        <v>43695</v>
      </c>
      <c r="B9029" s="8">
        <v>393.75</v>
      </c>
      <c r="C9029" s="8">
        <v>20.478950000000001</v>
      </c>
      <c r="D9029" s="8">
        <v>54</v>
      </c>
      <c r="E9029" s="8">
        <v>0</v>
      </c>
      <c r="F9029" s="8">
        <v>0</v>
      </c>
      <c r="G9029" s="8">
        <v>2</v>
      </c>
      <c r="H9029" s="8" t="s">
        <v>43696</v>
      </c>
      <c r="I9029" s="8">
        <v>526.6875</v>
      </c>
      <c r="J9029" s="3">
        <f t="shared" si="141"/>
        <v>43749.132447118049</v>
      </c>
    </row>
    <row r="9030" spans="1:10" x14ac:dyDescent="0.25">
      <c r="A9030" s="5" t="s">
        <v>43697</v>
      </c>
      <c r="B9030" s="6">
        <v>412.5</v>
      </c>
      <c r="C9030" s="6">
        <v>20.478950000000001</v>
      </c>
      <c r="D9030" s="6">
        <v>54</v>
      </c>
      <c r="E9030" s="6">
        <v>0</v>
      </c>
      <c r="F9030" s="6">
        <v>0</v>
      </c>
      <c r="G9030" s="6">
        <v>8</v>
      </c>
      <c r="H9030" s="6" t="s">
        <v>43698</v>
      </c>
      <c r="I9030" s="6">
        <v>532.3125</v>
      </c>
      <c r="J9030" s="2">
        <f t="shared" si="141"/>
        <v>43749.13253023148</v>
      </c>
    </row>
    <row r="9031" spans="1:10" x14ac:dyDescent="0.25">
      <c r="A9031" s="7" t="s">
        <v>43699</v>
      </c>
      <c r="B9031" s="8">
        <v>393.75</v>
      </c>
      <c r="C9031" s="8">
        <v>20.478950000000001</v>
      </c>
      <c r="D9031" s="8">
        <v>53</v>
      </c>
      <c r="E9031" s="8">
        <v>0</v>
      </c>
      <c r="F9031" s="8">
        <v>0</v>
      </c>
      <c r="G9031" s="8">
        <v>17</v>
      </c>
      <c r="H9031" s="8" t="s">
        <v>43700</v>
      </c>
      <c r="I9031" s="8">
        <v>526.6875</v>
      </c>
      <c r="J9031" s="3">
        <f t="shared" si="141"/>
        <v>43749.132614085647</v>
      </c>
    </row>
    <row r="9032" spans="1:10" x14ac:dyDescent="0.25">
      <c r="A9032" s="5" t="s">
        <v>43701</v>
      </c>
      <c r="B9032" s="6">
        <v>393.75</v>
      </c>
      <c r="C9032" s="6">
        <v>20.426300000000001</v>
      </c>
      <c r="D9032" s="6">
        <v>53</v>
      </c>
      <c r="E9032" s="6">
        <v>0</v>
      </c>
      <c r="F9032" s="6">
        <v>0</v>
      </c>
      <c r="G9032" s="6">
        <v>5</v>
      </c>
      <c r="H9032" s="6" t="s">
        <v>43702</v>
      </c>
      <c r="I9032" s="6">
        <v>526.5</v>
      </c>
      <c r="J9032" s="2">
        <f t="shared" si="141"/>
        <v>43749.132685335644</v>
      </c>
    </row>
    <row r="9033" spans="1:10" x14ac:dyDescent="0.25">
      <c r="A9033" s="7" t="s">
        <v>43703</v>
      </c>
      <c r="B9033" s="8">
        <v>393.75</v>
      </c>
      <c r="C9033" s="8">
        <v>20.478950000000001</v>
      </c>
      <c r="D9033" s="8">
        <v>53</v>
      </c>
      <c r="E9033" s="8">
        <v>0</v>
      </c>
      <c r="F9033" s="8">
        <v>0</v>
      </c>
      <c r="G9033" s="8">
        <v>11</v>
      </c>
      <c r="H9033" s="8" t="s">
        <v>43704</v>
      </c>
      <c r="I9033" s="8">
        <v>526.5</v>
      </c>
      <c r="J9033" s="3">
        <f t="shared" si="141"/>
        <v>43749.13276912037</v>
      </c>
    </row>
    <row r="9034" spans="1:10" x14ac:dyDescent="0.25">
      <c r="A9034" s="5" t="s">
        <v>43705</v>
      </c>
      <c r="B9034" s="6">
        <v>393.75</v>
      </c>
      <c r="C9034" s="6">
        <v>20.478950000000001</v>
      </c>
      <c r="D9034" s="6">
        <v>53</v>
      </c>
      <c r="E9034" s="6">
        <v>0</v>
      </c>
      <c r="F9034" s="6">
        <v>0</v>
      </c>
      <c r="G9034" s="6">
        <v>1</v>
      </c>
      <c r="H9034" s="6" t="s">
        <v>43706</v>
      </c>
      <c r="I9034" s="6">
        <v>526.6875</v>
      </c>
      <c r="J9034" s="2">
        <f t="shared" si="141"/>
        <v>43749.132848749992</v>
      </c>
    </row>
    <row r="9035" spans="1:10" x14ac:dyDescent="0.25">
      <c r="A9035" s="7" t="s">
        <v>43707</v>
      </c>
      <c r="B9035" s="8">
        <v>393.75</v>
      </c>
      <c r="C9035" s="8">
        <v>20.478950000000001</v>
      </c>
      <c r="D9035" s="8">
        <v>53</v>
      </c>
      <c r="E9035" s="8">
        <v>0</v>
      </c>
      <c r="F9035" s="8">
        <v>0</v>
      </c>
      <c r="G9035" s="8">
        <v>4</v>
      </c>
      <c r="H9035" s="8" t="s">
        <v>43708</v>
      </c>
      <c r="I9035" s="8">
        <v>526.6875</v>
      </c>
      <c r="J9035" s="3">
        <f t="shared" si="141"/>
        <v>43749.132924143516</v>
      </c>
    </row>
    <row r="9036" spans="1:10" x14ac:dyDescent="0.25">
      <c r="A9036" s="5" t="s">
        <v>43709</v>
      </c>
      <c r="B9036" s="6">
        <v>393.75</v>
      </c>
      <c r="C9036" s="6">
        <v>20.478950000000001</v>
      </c>
      <c r="D9036" s="6">
        <v>53</v>
      </c>
      <c r="E9036" s="6">
        <v>0</v>
      </c>
      <c r="F9036" s="6">
        <v>0</v>
      </c>
      <c r="G9036" s="6">
        <v>5</v>
      </c>
      <c r="H9036" s="6" t="s">
        <v>43710</v>
      </c>
      <c r="I9036" s="6">
        <v>526.6875</v>
      </c>
      <c r="J9036" s="2">
        <f t="shared" si="141"/>
        <v>43749.133007662036</v>
      </c>
    </row>
    <row r="9037" spans="1:10" x14ac:dyDescent="0.25">
      <c r="A9037" s="7" t="s">
        <v>43711</v>
      </c>
      <c r="B9037" s="8">
        <v>393.75</v>
      </c>
      <c r="C9037" s="8">
        <v>20.478950000000001</v>
      </c>
      <c r="D9037" s="8">
        <v>53</v>
      </c>
      <c r="E9037" s="8">
        <v>0</v>
      </c>
      <c r="F9037" s="8">
        <v>0</v>
      </c>
      <c r="G9037" s="8">
        <v>16</v>
      </c>
      <c r="H9037" s="8" t="s">
        <v>43712</v>
      </c>
      <c r="I9037" s="8">
        <v>526.6875</v>
      </c>
      <c r="J9037" s="3">
        <f t="shared" si="141"/>
        <v>43749.133079189814</v>
      </c>
    </row>
    <row r="9038" spans="1:10" x14ac:dyDescent="0.25">
      <c r="A9038" s="5" t="s">
        <v>43713</v>
      </c>
      <c r="B9038" s="6">
        <v>393.75</v>
      </c>
      <c r="C9038" s="6">
        <v>20.426300000000001</v>
      </c>
      <c r="D9038" s="6">
        <v>54</v>
      </c>
      <c r="E9038" s="6">
        <v>0</v>
      </c>
      <c r="F9038" s="6">
        <v>0</v>
      </c>
      <c r="G9038" s="6">
        <v>9</v>
      </c>
      <c r="H9038" s="6" t="s">
        <v>43714</v>
      </c>
      <c r="I9038" s="6">
        <v>526.6875</v>
      </c>
      <c r="J9038" s="2">
        <f t="shared" si="141"/>
        <v>43749.133150648144</v>
      </c>
    </row>
    <row r="9039" spans="1:10" x14ac:dyDescent="0.25">
      <c r="A9039" s="7" t="s">
        <v>43715</v>
      </c>
      <c r="B9039" s="8">
        <v>393.75</v>
      </c>
      <c r="C9039" s="8">
        <v>20.426300000000001</v>
      </c>
      <c r="D9039" s="8">
        <v>54</v>
      </c>
      <c r="E9039" s="8">
        <v>0</v>
      </c>
      <c r="F9039" s="8">
        <v>0</v>
      </c>
      <c r="G9039" s="8">
        <v>11</v>
      </c>
      <c r="H9039" s="8" t="s">
        <v>43716</v>
      </c>
      <c r="I9039" s="8">
        <v>526.6875</v>
      </c>
      <c r="J9039" s="3">
        <f t="shared" si="141"/>
        <v>43749.133233946755</v>
      </c>
    </row>
    <row r="9040" spans="1:10" x14ac:dyDescent="0.25">
      <c r="A9040" s="5" t="s">
        <v>43717</v>
      </c>
      <c r="B9040" s="6">
        <v>393.75</v>
      </c>
      <c r="C9040" s="6">
        <v>20.478950000000001</v>
      </c>
      <c r="D9040" s="6">
        <v>54</v>
      </c>
      <c r="E9040" s="6">
        <v>0</v>
      </c>
      <c r="F9040" s="6">
        <v>0</v>
      </c>
      <c r="G9040" s="6">
        <v>8</v>
      </c>
      <c r="H9040" s="6" t="s">
        <v>43718</v>
      </c>
      <c r="I9040" s="6">
        <v>526.6875</v>
      </c>
      <c r="J9040" s="2">
        <f t="shared" si="141"/>
        <v>43749.133305856478</v>
      </c>
    </row>
    <row r="9041" spans="1:10" x14ac:dyDescent="0.25">
      <c r="A9041" s="7" t="s">
        <v>43719</v>
      </c>
      <c r="B9041" s="8">
        <v>393.75</v>
      </c>
      <c r="C9041" s="8">
        <v>20.478950000000001</v>
      </c>
      <c r="D9041" s="8">
        <v>54</v>
      </c>
      <c r="E9041" s="8">
        <v>0</v>
      </c>
      <c r="F9041" s="8">
        <v>0</v>
      </c>
      <c r="G9041" s="8">
        <v>7</v>
      </c>
      <c r="H9041" s="8" t="s">
        <v>43720</v>
      </c>
      <c r="I9041" s="8">
        <v>526.6875</v>
      </c>
      <c r="J9041" s="3">
        <f t="shared" si="141"/>
        <v>43749.133389212962</v>
      </c>
    </row>
    <row r="9042" spans="1:10" x14ac:dyDescent="0.25">
      <c r="A9042" s="5" t="s">
        <v>43721</v>
      </c>
      <c r="B9042" s="6">
        <v>393.75</v>
      </c>
      <c r="C9042" s="6">
        <v>20.478950000000001</v>
      </c>
      <c r="D9042" s="6">
        <v>55</v>
      </c>
      <c r="E9042" s="6">
        <v>0</v>
      </c>
      <c r="F9042" s="6">
        <v>0</v>
      </c>
      <c r="G9042" s="6">
        <v>8</v>
      </c>
      <c r="H9042" s="6" t="s">
        <v>43722</v>
      </c>
      <c r="I9042" s="6">
        <v>526.6875</v>
      </c>
      <c r="J9042" s="2">
        <f t="shared" si="141"/>
        <v>43749.1334728125</v>
      </c>
    </row>
    <row r="9043" spans="1:10" x14ac:dyDescent="0.25">
      <c r="A9043" s="7" t="s">
        <v>43723</v>
      </c>
      <c r="B9043" s="8">
        <v>393.75</v>
      </c>
      <c r="C9043" s="8">
        <v>20.478950000000001</v>
      </c>
      <c r="D9043" s="8">
        <v>55</v>
      </c>
      <c r="E9043" s="8">
        <v>0</v>
      </c>
      <c r="F9043" s="8">
        <v>0</v>
      </c>
      <c r="G9043" s="8">
        <v>9</v>
      </c>
      <c r="H9043" s="8" t="s">
        <v>43724</v>
      </c>
      <c r="I9043" s="8">
        <v>526.6875</v>
      </c>
      <c r="J9043" s="3">
        <f t="shared" si="141"/>
        <v>43749.133556249995</v>
      </c>
    </row>
    <row r="9044" spans="1:10" x14ac:dyDescent="0.25">
      <c r="A9044" s="5" t="s">
        <v>43725</v>
      </c>
      <c r="B9044" s="6">
        <v>400</v>
      </c>
      <c r="C9044" s="6">
        <v>20.478950000000001</v>
      </c>
      <c r="D9044" s="6">
        <v>54</v>
      </c>
      <c r="E9044" s="6">
        <v>0</v>
      </c>
      <c r="F9044" s="6">
        <v>0</v>
      </c>
      <c r="G9044" s="6">
        <v>1</v>
      </c>
      <c r="H9044" s="6" t="s">
        <v>43726</v>
      </c>
      <c r="I9044" s="6">
        <v>528.1875</v>
      </c>
      <c r="J9044" s="2">
        <f t="shared" si="141"/>
        <v>43749.133627499999</v>
      </c>
    </row>
    <row r="9045" spans="1:10" x14ac:dyDescent="0.25">
      <c r="A9045" s="7" t="s">
        <v>43727</v>
      </c>
      <c r="B9045" s="8">
        <v>393.75</v>
      </c>
      <c r="C9045" s="8">
        <v>20.478950000000001</v>
      </c>
      <c r="D9045" s="8">
        <v>55</v>
      </c>
      <c r="E9045" s="8">
        <v>0</v>
      </c>
      <c r="F9045" s="8">
        <v>0</v>
      </c>
      <c r="G9045" s="8">
        <v>4</v>
      </c>
      <c r="H9045" s="8" t="s">
        <v>43728</v>
      </c>
      <c r="I9045" s="8">
        <v>526.6875</v>
      </c>
      <c r="J9045" s="3">
        <f t="shared" si="141"/>
        <v>43749.133699374994</v>
      </c>
    </row>
    <row r="9046" spans="1:10" x14ac:dyDescent="0.25">
      <c r="A9046" s="5" t="s">
        <v>43729</v>
      </c>
      <c r="B9046" s="6">
        <v>393.75</v>
      </c>
      <c r="C9046" s="6">
        <v>20.478950000000001</v>
      </c>
      <c r="D9046" s="6">
        <v>55</v>
      </c>
      <c r="E9046" s="6">
        <v>0</v>
      </c>
      <c r="F9046" s="6">
        <v>0</v>
      </c>
      <c r="G9046" s="6">
        <v>3</v>
      </c>
      <c r="H9046" s="6" t="s">
        <v>43730</v>
      </c>
      <c r="I9046" s="6">
        <v>526.6875</v>
      </c>
      <c r="J9046" s="2">
        <f t="shared" si="141"/>
        <v>43749.133770613422</v>
      </c>
    </row>
    <row r="9047" spans="1:10" x14ac:dyDescent="0.25">
      <c r="A9047" s="7" t="s">
        <v>43731</v>
      </c>
      <c r="B9047" s="8">
        <v>393.75</v>
      </c>
      <c r="C9047" s="8">
        <v>20.478950000000001</v>
      </c>
      <c r="D9047" s="8">
        <v>54</v>
      </c>
      <c r="E9047" s="8">
        <v>0</v>
      </c>
      <c r="F9047" s="8">
        <v>0</v>
      </c>
      <c r="G9047" s="8">
        <v>14</v>
      </c>
      <c r="H9047" s="8" t="s">
        <v>43732</v>
      </c>
      <c r="I9047" s="8">
        <v>526.6875</v>
      </c>
      <c r="J9047" s="3">
        <f t="shared" si="141"/>
        <v>43749.133842546296</v>
      </c>
    </row>
    <row r="9048" spans="1:10" x14ac:dyDescent="0.25">
      <c r="A9048" s="5" t="s">
        <v>43733</v>
      </c>
      <c r="B9048" s="6">
        <v>412.5</v>
      </c>
      <c r="C9048" s="6">
        <v>20.426300000000001</v>
      </c>
      <c r="D9048" s="6">
        <v>57</v>
      </c>
      <c r="E9048" s="6">
        <v>0</v>
      </c>
      <c r="F9048" s="6">
        <v>0</v>
      </c>
      <c r="G9048" s="6">
        <v>11</v>
      </c>
      <c r="H9048" s="6" t="s">
        <v>43734</v>
      </c>
      <c r="I9048" s="6">
        <v>532.3125</v>
      </c>
      <c r="J9048" s="2">
        <f t="shared" si="141"/>
        <v>43749.133926006944</v>
      </c>
    </row>
    <row r="9049" spans="1:10" x14ac:dyDescent="0.25">
      <c r="A9049" s="7" t="s">
        <v>43735</v>
      </c>
      <c r="B9049" s="8">
        <v>393.75</v>
      </c>
      <c r="C9049" s="8">
        <v>20.478950000000001</v>
      </c>
      <c r="D9049" s="8">
        <v>57</v>
      </c>
      <c r="E9049" s="8">
        <v>0</v>
      </c>
      <c r="F9049" s="8">
        <v>0</v>
      </c>
      <c r="G9049" s="8">
        <v>8</v>
      </c>
      <c r="H9049" s="8" t="s">
        <v>43736</v>
      </c>
      <c r="I9049" s="8">
        <v>526.6875</v>
      </c>
      <c r="J9049" s="3">
        <f t="shared" si="141"/>
        <v>43749.133997106481</v>
      </c>
    </row>
    <row r="9050" spans="1:10" x14ac:dyDescent="0.25">
      <c r="A9050" s="5" t="s">
        <v>43737</v>
      </c>
      <c r="B9050" s="6">
        <v>393.75</v>
      </c>
      <c r="C9050" s="6">
        <v>20.478950000000001</v>
      </c>
      <c r="D9050" s="6">
        <v>57</v>
      </c>
      <c r="E9050" s="6">
        <v>0</v>
      </c>
      <c r="F9050" s="6">
        <v>0</v>
      </c>
      <c r="G9050" s="6">
        <v>10</v>
      </c>
      <c r="H9050" s="6" t="s">
        <v>43738</v>
      </c>
      <c r="I9050" s="6">
        <v>526.6875</v>
      </c>
      <c r="J9050" s="2">
        <f t="shared" si="141"/>
        <v>43749.134069016196</v>
      </c>
    </row>
    <row r="9051" spans="1:10" x14ac:dyDescent="0.25">
      <c r="A9051" s="7" t="s">
        <v>43739</v>
      </c>
      <c r="B9051" s="8">
        <v>393.75</v>
      </c>
      <c r="C9051" s="8">
        <v>20.478950000000001</v>
      </c>
      <c r="D9051" s="8">
        <v>55</v>
      </c>
      <c r="E9051" s="8">
        <v>0</v>
      </c>
      <c r="F9051" s="8">
        <v>0</v>
      </c>
      <c r="G9051" s="8">
        <v>11</v>
      </c>
      <c r="H9051" s="8" t="s">
        <v>43740</v>
      </c>
      <c r="I9051" s="8">
        <v>526.6875</v>
      </c>
      <c r="J9051" s="3">
        <f t="shared" si="141"/>
        <v>43749.134152569437</v>
      </c>
    </row>
    <row r="9052" spans="1:10" x14ac:dyDescent="0.25">
      <c r="A9052" s="5" t="s">
        <v>43741</v>
      </c>
      <c r="B9052" s="6">
        <v>393.75</v>
      </c>
      <c r="C9052" s="6">
        <v>20.478950000000001</v>
      </c>
      <c r="D9052" s="6">
        <v>55</v>
      </c>
      <c r="E9052" s="6">
        <v>0</v>
      </c>
      <c r="F9052" s="6">
        <v>0</v>
      </c>
      <c r="G9052" s="6">
        <v>14</v>
      </c>
      <c r="H9052" s="6" t="s">
        <v>43742</v>
      </c>
      <c r="I9052" s="6">
        <v>526.5</v>
      </c>
      <c r="J9052" s="2">
        <f t="shared" si="141"/>
        <v>43749.134248032402</v>
      </c>
    </row>
    <row r="9053" spans="1:10" x14ac:dyDescent="0.25">
      <c r="A9053" s="7" t="s">
        <v>43743</v>
      </c>
      <c r="B9053" s="8">
        <v>412.5</v>
      </c>
      <c r="C9053" s="8">
        <v>20.478950000000001</v>
      </c>
      <c r="D9053" s="8">
        <v>55</v>
      </c>
      <c r="E9053" s="8">
        <v>0</v>
      </c>
      <c r="F9053" s="8">
        <v>0</v>
      </c>
      <c r="G9053" s="8">
        <v>11</v>
      </c>
      <c r="H9053" s="8" t="s">
        <v>43744</v>
      </c>
      <c r="I9053" s="8">
        <v>532.875</v>
      </c>
      <c r="J9053" s="3">
        <f t="shared" si="141"/>
        <v>43749.134331504632</v>
      </c>
    </row>
    <row r="9054" spans="1:10" x14ac:dyDescent="0.25">
      <c r="A9054" s="5" t="s">
        <v>43745</v>
      </c>
      <c r="B9054" s="6">
        <v>393.75</v>
      </c>
      <c r="C9054" s="6">
        <v>20.478950000000001</v>
      </c>
      <c r="D9054" s="6">
        <v>56</v>
      </c>
      <c r="E9054" s="6">
        <v>0</v>
      </c>
      <c r="F9054" s="6">
        <v>0</v>
      </c>
      <c r="G9054" s="6">
        <v>7</v>
      </c>
      <c r="H9054" s="6" t="s">
        <v>43746</v>
      </c>
      <c r="I9054" s="6">
        <v>526.6875</v>
      </c>
      <c r="J9054" s="2">
        <f t="shared" si="141"/>
        <v>43749.13441504629</v>
      </c>
    </row>
    <row r="9055" spans="1:10" x14ac:dyDescent="0.25">
      <c r="A9055" s="7" t="s">
        <v>43747</v>
      </c>
      <c r="B9055" s="8">
        <v>393.75</v>
      </c>
      <c r="C9055" s="8">
        <v>20.426300000000001</v>
      </c>
      <c r="D9055" s="8">
        <v>56</v>
      </c>
      <c r="E9055" s="8">
        <v>0</v>
      </c>
      <c r="F9055" s="8">
        <v>0</v>
      </c>
      <c r="G9055" s="8">
        <v>0</v>
      </c>
      <c r="H9055" s="8" t="s">
        <v>43748</v>
      </c>
      <c r="I9055" s="8">
        <v>526.6875</v>
      </c>
      <c r="J9055" s="3">
        <f t="shared" si="141"/>
        <v>43749.134498483792</v>
      </c>
    </row>
    <row r="9056" spans="1:10" x14ac:dyDescent="0.25">
      <c r="A9056" s="5" t="s">
        <v>43749</v>
      </c>
      <c r="B9056" s="6">
        <v>393.75</v>
      </c>
      <c r="C9056" s="6">
        <v>20.478950000000001</v>
      </c>
      <c r="D9056" s="6">
        <v>56</v>
      </c>
      <c r="E9056" s="6">
        <v>0</v>
      </c>
      <c r="F9056" s="6">
        <v>0</v>
      </c>
      <c r="G9056" s="6">
        <v>4</v>
      </c>
      <c r="H9056" s="6" t="s">
        <v>43750</v>
      </c>
      <c r="I9056" s="6">
        <v>526.6875</v>
      </c>
      <c r="J9056" s="2">
        <f t="shared" si="141"/>
        <v>43749.134581990736</v>
      </c>
    </row>
    <row r="9057" spans="1:10" x14ac:dyDescent="0.25">
      <c r="A9057" s="7" t="s">
        <v>43751</v>
      </c>
      <c r="B9057" s="8">
        <v>393.75</v>
      </c>
      <c r="C9057" s="8">
        <v>20.478950000000001</v>
      </c>
      <c r="D9057" s="8">
        <v>55</v>
      </c>
      <c r="E9057" s="8">
        <v>0</v>
      </c>
      <c r="F9057" s="8">
        <v>0</v>
      </c>
      <c r="G9057" s="8">
        <v>7</v>
      </c>
      <c r="H9057" s="8" t="s">
        <v>43752</v>
      </c>
      <c r="I9057" s="8">
        <v>526.5</v>
      </c>
      <c r="J9057" s="3">
        <f t="shared" si="141"/>
        <v>43749.134665393511</v>
      </c>
    </row>
    <row r="9058" spans="1:10" x14ac:dyDescent="0.25">
      <c r="A9058" s="5" t="s">
        <v>43753</v>
      </c>
      <c r="B9058" s="6">
        <v>393.75</v>
      </c>
      <c r="C9058" s="6">
        <v>20.478950000000001</v>
      </c>
      <c r="D9058" s="6">
        <v>55</v>
      </c>
      <c r="E9058" s="6">
        <v>0</v>
      </c>
      <c r="F9058" s="6">
        <v>0</v>
      </c>
      <c r="G9058" s="6">
        <v>2</v>
      </c>
      <c r="H9058" s="6" t="s">
        <v>43754</v>
      </c>
      <c r="I9058" s="6">
        <v>526.6875</v>
      </c>
      <c r="J9058" s="2">
        <f t="shared" si="141"/>
        <v>43749.134748912031</v>
      </c>
    </row>
    <row r="9059" spans="1:10" x14ac:dyDescent="0.25">
      <c r="A9059" s="7" t="s">
        <v>43755</v>
      </c>
      <c r="B9059" s="8">
        <v>393.75</v>
      </c>
      <c r="C9059" s="8">
        <v>20.478950000000001</v>
      </c>
      <c r="D9059" s="8">
        <v>55</v>
      </c>
      <c r="E9059" s="8">
        <v>0</v>
      </c>
      <c r="F9059" s="8">
        <v>0</v>
      </c>
      <c r="G9059" s="8">
        <v>7</v>
      </c>
      <c r="H9059" s="8" t="s">
        <v>43756</v>
      </c>
      <c r="I9059" s="8">
        <v>526.6875</v>
      </c>
      <c r="J9059" s="3">
        <f t="shared" si="141"/>
        <v>43749.13483239583</v>
      </c>
    </row>
    <row r="9060" spans="1:10" x14ac:dyDescent="0.25">
      <c r="A9060" s="5" t="s">
        <v>43757</v>
      </c>
      <c r="B9060" s="6">
        <v>412.5</v>
      </c>
      <c r="C9060" s="6">
        <v>20.478950000000001</v>
      </c>
      <c r="D9060" s="6">
        <v>56</v>
      </c>
      <c r="E9060" s="6">
        <v>0</v>
      </c>
      <c r="F9060" s="6">
        <v>0</v>
      </c>
      <c r="G9060" s="6">
        <v>6</v>
      </c>
      <c r="H9060" s="6" t="s">
        <v>43758</v>
      </c>
      <c r="I9060" s="6">
        <v>532.3125</v>
      </c>
      <c r="J9060" s="2">
        <f t="shared" si="141"/>
        <v>43749.134915578703</v>
      </c>
    </row>
    <row r="9061" spans="1:10" x14ac:dyDescent="0.25">
      <c r="A9061" s="7" t="s">
        <v>43759</v>
      </c>
      <c r="B9061" s="8">
        <v>393.75</v>
      </c>
      <c r="C9061" s="8">
        <v>20.478950000000001</v>
      </c>
      <c r="D9061" s="8">
        <v>56</v>
      </c>
      <c r="E9061" s="8">
        <v>0</v>
      </c>
      <c r="F9061" s="8">
        <v>0</v>
      </c>
      <c r="G9061" s="8">
        <v>0</v>
      </c>
      <c r="H9061" s="8" t="s">
        <v>43760</v>
      </c>
      <c r="I9061" s="8">
        <v>526.6875</v>
      </c>
      <c r="J9061" s="3">
        <f t="shared" si="141"/>
        <v>43749.134996157409</v>
      </c>
    </row>
    <row r="9062" spans="1:10" x14ac:dyDescent="0.25">
      <c r="A9062" s="5" t="s">
        <v>43761</v>
      </c>
      <c r="B9062" s="6">
        <v>393.75</v>
      </c>
      <c r="C9062" s="6">
        <v>20.478950000000001</v>
      </c>
      <c r="D9062" s="6">
        <v>55</v>
      </c>
      <c r="E9062" s="6">
        <v>0</v>
      </c>
      <c r="F9062" s="6">
        <v>0</v>
      </c>
      <c r="G9062" s="6">
        <v>2</v>
      </c>
      <c r="H9062" s="6" t="s">
        <v>43762</v>
      </c>
      <c r="I9062" s="6">
        <v>526.6875</v>
      </c>
      <c r="J9062" s="2">
        <f t="shared" si="141"/>
        <v>43749.135070821758</v>
      </c>
    </row>
    <row r="9063" spans="1:10" x14ac:dyDescent="0.25">
      <c r="A9063" s="7" t="s">
        <v>43763</v>
      </c>
      <c r="B9063" s="8">
        <v>393.75</v>
      </c>
      <c r="C9063" s="8">
        <v>20.478950000000001</v>
      </c>
      <c r="D9063" s="8">
        <v>55</v>
      </c>
      <c r="E9063" s="8">
        <v>0</v>
      </c>
      <c r="F9063" s="8">
        <v>0</v>
      </c>
      <c r="G9063" s="8">
        <v>5</v>
      </c>
      <c r="H9063" s="8" t="s">
        <v>43764</v>
      </c>
      <c r="I9063" s="8">
        <v>526.6875</v>
      </c>
      <c r="J9063" s="3">
        <f t="shared" si="141"/>
        <v>43749.135142604166</v>
      </c>
    </row>
    <row r="9064" spans="1:10" x14ac:dyDescent="0.25">
      <c r="A9064" s="5" t="s">
        <v>43765</v>
      </c>
      <c r="B9064" s="6">
        <v>393.75</v>
      </c>
      <c r="C9064" s="6">
        <v>20.478950000000001</v>
      </c>
      <c r="D9064" s="6">
        <v>54</v>
      </c>
      <c r="E9064" s="6">
        <v>0</v>
      </c>
      <c r="F9064" s="6">
        <v>0</v>
      </c>
      <c r="G9064" s="6">
        <v>0</v>
      </c>
      <c r="H9064" s="6" t="s">
        <v>43766</v>
      </c>
      <c r="I9064" s="6">
        <v>526.6875</v>
      </c>
      <c r="J9064" s="2">
        <f t="shared" si="141"/>
        <v>43749.135213900459</v>
      </c>
    </row>
    <row r="9065" spans="1:10" x14ac:dyDescent="0.25">
      <c r="A9065" s="7" t="s">
        <v>43767</v>
      </c>
      <c r="B9065" s="8">
        <v>393.75</v>
      </c>
      <c r="C9065" s="8">
        <v>20.478950000000001</v>
      </c>
      <c r="D9065" s="8">
        <v>55</v>
      </c>
      <c r="E9065" s="8">
        <v>0</v>
      </c>
      <c r="F9065" s="8">
        <v>0</v>
      </c>
      <c r="G9065" s="8">
        <v>3</v>
      </c>
      <c r="H9065" s="8" t="s">
        <v>43768</v>
      </c>
      <c r="I9065" s="8">
        <v>526.6875</v>
      </c>
      <c r="J9065" s="3">
        <f t="shared" si="141"/>
        <v>43749.13529716435</v>
      </c>
    </row>
    <row r="9066" spans="1:10" x14ac:dyDescent="0.25">
      <c r="A9066" s="5" t="s">
        <v>43769</v>
      </c>
      <c r="B9066" s="6">
        <v>428.125</v>
      </c>
      <c r="C9066" s="6">
        <v>20.478950000000001</v>
      </c>
      <c r="D9066" s="6">
        <v>54</v>
      </c>
      <c r="E9066" s="6">
        <v>0</v>
      </c>
      <c r="F9066" s="6">
        <v>0</v>
      </c>
      <c r="G9066" s="6">
        <v>0</v>
      </c>
      <c r="H9066" s="6" t="s">
        <v>43770</v>
      </c>
      <c r="I9066" s="6">
        <v>537.5625</v>
      </c>
      <c r="J9066" s="2">
        <f t="shared" si="141"/>
        <v>43749.135369097225</v>
      </c>
    </row>
    <row r="9067" spans="1:10" x14ac:dyDescent="0.25">
      <c r="A9067" s="7" t="s">
        <v>43771</v>
      </c>
      <c r="B9067" s="8">
        <v>393.75</v>
      </c>
      <c r="C9067" s="8">
        <v>20.478950000000001</v>
      </c>
      <c r="D9067" s="8">
        <v>54</v>
      </c>
      <c r="E9067" s="8">
        <v>0</v>
      </c>
      <c r="F9067" s="8">
        <v>0</v>
      </c>
      <c r="G9067" s="8">
        <v>7</v>
      </c>
      <c r="H9067" s="8" t="s">
        <v>43772</v>
      </c>
      <c r="I9067" s="8">
        <v>526.6875</v>
      </c>
      <c r="J9067" s="3">
        <f t="shared" si="141"/>
        <v>43749.135452615737</v>
      </c>
    </row>
    <row r="9068" spans="1:10" x14ac:dyDescent="0.25">
      <c r="A9068" s="5" t="s">
        <v>43773</v>
      </c>
      <c r="B9068" s="6">
        <v>393.75</v>
      </c>
      <c r="C9068" s="6">
        <v>20.478950000000001</v>
      </c>
      <c r="D9068" s="6">
        <v>54</v>
      </c>
      <c r="E9068" s="6">
        <v>0</v>
      </c>
      <c r="F9068" s="6">
        <v>0</v>
      </c>
      <c r="G9068" s="6">
        <v>12</v>
      </c>
      <c r="H9068" s="6" t="s">
        <v>43774</v>
      </c>
      <c r="I9068" s="6">
        <v>526.5</v>
      </c>
      <c r="J9068" s="2">
        <f t="shared" si="141"/>
        <v>43749.135536018519</v>
      </c>
    </row>
    <row r="9069" spans="1:10" x14ac:dyDescent="0.25">
      <c r="A9069" s="7" t="s">
        <v>43775</v>
      </c>
      <c r="B9069" s="8">
        <v>393.75</v>
      </c>
      <c r="C9069" s="8">
        <v>20.478950000000001</v>
      </c>
      <c r="D9069" s="8">
        <v>54</v>
      </c>
      <c r="E9069" s="8">
        <v>0</v>
      </c>
      <c r="F9069" s="8">
        <v>0</v>
      </c>
      <c r="G9069" s="8">
        <v>8</v>
      </c>
      <c r="H9069" s="8" t="s">
        <v>43776</v>
      </c>
      <c r="I9069" s="8">
        <v>526.6875</v>
      </c>
      <c r="J9069" s="3">
        <f t="shared" si="141"/>
        <v>43749.135619166664</v>
      </c>
    </row>
    <row r="9070" spans="1:10" x14ac:dyDescent="0.25">
      <c r="A9070" s="5" t="s">
        <v>43777</v>
      </c>
      <c r="B9070" s="6">
        <v>393.75</v>
      </c>
      <c r="C9070" s="6">
        <v>20.478950000000001</v>
      </c>
      <c r="D9070" s="6">
        <v>54</v>
      </c>
      <c r="E9070" s="6">
        <v>0</v>
      </c>
      <c r="F9070" s="6">
        <v>0</v>
      </c>
      <c r="G9070" s="6">
        <v>4</v>
      </c>
      <c r="H9070" s="6" t="s">
        <v>43778</v>
      </c>
      <c r="I9070" s="6">
        <v>526.5</v>
      </c>
      <c r="J9070" s="2">
        <f t="shared" si="141"/>
        <v>43749.135690983792</v>
      </c>
    </row>
    <row r="9071" spans="1:10" x14ac:dyDescent="0.25">
      <c r="A9071" s="7" t="s">
        <v>43779</v>
      </c>
      <c r="B9071" s="8">
        <v>393.75</v>
      </c>
      <c r="C9071" s="8">
        <v>20.426300000000001</v>
      </c>
      <c r="D9071" s="8">
        <v>52</v>
      </c>
      <c r="E9071" s="8">
        <v>0</v>
      </c>
      <c r="F9071" s="8">
        <v>0</v>
      </c>
      <c r="G9071" s="8">
        <v>3</v>
      </c>
      <c r="H9071" s="8" t="s">
        <v>43780</v>
      </c>
      <c r="I9071" s="8">
        <v>526.5</v>
      </c>
      <c r="J9071" s="3">
        <f t="shared" si="141"/>
        <v>43749.135774525457</v>
      </c>
    </row>
    <row r="9072" spans="1:10" x14ac:dyDescent="0.25">
      <c r="A9072" s="5" t="s">
        <v>43781</v>
      </c>
      <c r="B9072" s="6">
        <v>393.75</v>
      </c>
      <c r="C9072" s="6">
        <v>20.478950000000001</v>
      </c>
      <c r="D9072" s="6">
        <v>53</v>
      </c>
      <c r="E9072" s="6">
        <v>0</v>
      </c>
      <c r="F9072" s="6">
        <v>0</v>
      </c>
      <c r="G9072" s="6">
        <v>5</v>
      </c>
      <c r="H9072" s="6" t="s">
        <v>43782</v>
      </c>
      <c r="I9072" s="6">
        <v>526.6875</v>
      </c>
      <c r="J9072" s="2">
        <f t="shared" si="141"/>
        <v>43749.135857974536</v>
      </c>
    </row>
    <row r="9073" spans="1:10" x14ac:dyDescent="0.25">
      <c r="A9073" s="7" t="s">
        <v>43783</v>
      </c>
      <c r="B9073" s="8">
        <v>393.75</v>
      </c>
      <c r="C9073" s="8">
        <v>20.426300000000001</v>
      </c>
      <c r="D9073" s="8">
        <v>53</v>
      </c>
      <c r="E9073" s="8">
        <v>0</v>
      </c>
      <c r="F9073" s="8">
        <v>0</v>
      </c>
      <c r="G9073" s="8">
        <v>5</v>
      </c>
      <c r="H9073" s="8" t="s">
        <v>43784</v>
      </c>
      <c r="I9073" s="8">
        <v>526.6875</v>
      </c>
      <c r="J9073" s="3">
        <f t="shared" si="141"/>
        <v>43749.135941504624</v>
      </c>
    </row>
    <row r="9074" spans="1:10" x14ac:dyDescent="0.25">
      <c r="A9074" s="5" t="s">
        <v>43785</v>
      </c>
      <c r="B9074" s="6">
        <v>393.75</v>
      </c>
      <c r="C9074" s="6">
        <v>20.478950000000001</v>
      </c>
      <c r="D9074" s="6">
        <v>53</v>
      </c>
      <c r="E9074" s="6">
        <v>0</v>
      </c>
      <c r="F9074" s="6">
        <v>0</v>
      </c>
      <c r="G9074" s="6">
        <v>0</v>
      </c>
      <c r="H9074" s="6" t="s">
        <v>43786</v>
      </c>
      <c r="I9074" s="6">
        <v>526.6875</v>
      </c>
      <c r="J9074" s="2">
        <f t="shared" si="141"/>
        <v>43749.136024999993</v>
      </c>
    </row>
    <row r="9075" spans="1:10" x14ac:dyDescent="0.25">
      <c r="A9075" s="7" t="s">
        <v>43787</v>
      </c>
      <c r="B9075" s="8">
        <v>393.75</v>
      </c>
      <c r="C9075" s="8">
        <v>20.478950000000001</v>
      </c>
      <c r="D9075" s="8">
        <v>55</v>
      </c>
      <c r="E9075" s="8">
        <v>0</v>
      </c>
      <c r="F9075" s="8">
        <v>0</v>
      </c>
      <c r="G9075" s="8">
        <v>0</v>
      </c>
      <c r="H9075" s="8" t="s">
        <v>43788</v>
      </c>
      <c r="I9075" s="8">
        <v>526.6875</v>
      </c>
      <c r="J9075" s="3">
        <f t="shared" si="141"/>
        <v>43749.136108171289</v>
      </c>
    </row>
    <row r="9076" spans="1:10" x14ac:dyDescent="0.25">
      <c r="A9076" s="5" t="s">
        <v>43789</v>
      </c>
      <c r="B9076" s="6">
        <v>393.75</v>
      </c>
      <c r="C9076" s="6">
        <v>20.478950000000001</v>
      </c>
      <c r="D9076" s="6">
        <v>55</v>
      </c>
      <c r="E9076" s="6">
        <v>0</v>
      </c>
      <c r="F9076" s="6">
        <v>0</v>
      </c>
      <c r="G9076" s="6">
        <v>7</v>
      </c>
      <c r="H9076" s="6" t="s">
        <v>43790</v>
      </c>
      <c r="I9076" s="6">
        <v>526.5</v>
      </c>
      <c r="J9076" s="2">
        <f t="shared" si="141"/>
        <v>43749.136179930552</v>
      </c>
    </row>
    <row r="9077" spans="1:10" x14ac:dyDescent="0.25">
      <c r="A9077" s="7" t="s">
        <v>43791</v>
      </c>
      <c r="B9077" s="8">
        <v>393.75</v>
      </c>
      <c r="C9077" s="8">
        <v>20.478950000000001</v>
      </c>
      <c r="D9077" s="8">
        <v>56</v>
      </c>
      <c r="E9077" s="8">
        <v>0</v>
      </c>
      <c r="F9077" s="8">
        <v>0</v>
      </c>
      <c r="G9077" s="8">
        <v>0</v>
      </c>
      <c r="H9077" s="8" t="s">
        <v>43792</v>
      </c>
      <c r="I9077" s="8">
        <v>526.6875</v>
      </c>
      <c r="J9077" s="3">
        <f t="shared" si="141"/>
        <v>43749.136251458331</v>
      </c>
    </row>
    <row r="9078" spans="1:10" x14ac:dyDescent="0.25">
      <c r="A9078" s="5" t="s">
        <v>43793</v>
      </c>
      <c r="B9078" s="6">
        <v>393.75</v>
      </c>
      <c r="C9078" s="6">
        <v>20.478950000000001</v>
      </c>
      <c r="D9078" s="6">
        <v>56</v>
      </c>
      <c r="E9078" s="6">
        <v>0</v>
      </c>
      <c r="F9078" s="6">
        <v>0</v>
      </c>
      <c r="G9078" s="6">
        <v>4</v>
      </c>
      <c r="H9078" s="6" t="s">
        <v>43794</v>
      </c>
      <c r="I9078" s="6">
        <v>526.6875</v>
      </c>
      <c r="J9078" s="2">
        <f t="shared" si="141"/>
        <v>43749.136322974533</v>
      </c>
    </row>
    <row r="9079" spans="1:10" x14ac:dyDescent="0.25">
      <c r="A9079" s="7" t="s">
        <v>43795</v>
      </c>
      <c r="B9079" s="8">
        <v>393.75</v>
      </c>
      <c r="C9079" s="8">
        <v>20.478950000000001</v>
      </c>
      <c r="D9079" s="8">
        <v>54</v>
      </c>
      <c r="E9079" s="8">
        <v>0</v>
      </c>
      <c r="F9079" s="8">
        <v>0</v>
      </c>
      <c r="G9079" s="8">
        <v>10</v>
      </c>
      <c r="H9079" s="8" t="s">
        <v>43796</v>
      </c>
      <c r="I9079" s="8">
        <v>526.6875</v>
      </c>
      <c r="J9079" s="3">
        <f t="shared" si="141"/>
        <v>43749.136418541668</v>
      </c>
    </row>
    <row r="9080" spans="1:10" x14ac:dyDescent="0.25">
      <c r="A9080" s="5" t="s">
        <v>43797</v>
      </c>
      <c r="B9080" s="6">
        <v>393.75</v>
      </c>
      <c r="C9080" s="6">
        <v>20.478950000000001</v>
      </c>
      <c r="D9080" s="6">
        <v>54</v>
      </c>
      <c r="E9080" s="6">
        <v>0</v>
      </c>
      <c r="F9080" s="6">
        <v>0</v>
      </c>
      <c r="G9080" s="6">
        <v>18</v>
      </c>
      <c r="H9080" s="6" t="s">
        <v>43798</v>
      </c>
      <c r="I9080" s="6">
        <v>526.6875</v>
      </c>
      <c r="J9080" s="2">
        <f t="shared" si="141"/>
        <v>43749.136489710647</v>
      </c>
    </row>
    <row r="9081" spans="1:10" x14ac:dyDescent="0.25">
      <c r="A9081" s="7" t="s">
        <v>43799</v>
      </c>
      <c r="B9081" s="8">
        <v>393.75</v>
      </c>
      <c r="C9081" s="8">
        <v>20.478950000000001</v>
      </c>
      <c r="D9081" s="8">
        <v>56</v>
      </c>
      <c r="E9081" s="8">
        <v>0</v>
      </c>
      <c r="F9081" s="8">
        <v>0</v>
      </c>
      <c r="G9081" s="8">
        <v>5</v>
      </c>
      <c r="H9081" s="8" t="s">
        <v>43800</v>
      </c>
      <c r="I9081" s="8">
        <v>526.6875</v>
      </c>
      <c r="J9081" s="3">
        <f t="shared" si="141"/>
        <v>43749.136561539352</v>
      </c>
    </row>
    <row r="9082" spans="1:10" x14ac:dyDescent="0.25">
      <c r="A9082" s="5" t="s">
        <v>43801</v>
      </c>
      <c r="B9082" s="6">
        <v>393.75</v>
      </c>
      <c r="C9082" s="6">
        <v>20.478950000000001</v>
      </c>
      <c r="D9082" s="6">
        <v>55</v>
      </c>
      <c r="E9082" s="6">
        <v>0</v>
      </c>
      <c r="F9082" s="6">
        <v>0</v>
      </c>
      <c r="G9082" s="6">
        <v>17</v>
      </c>
      <c r="H9082" s="6" t="s">
        <v>43802</v>
      </c>
      <c r="I9082" s="6">
        <v>526.6875</v>
      </c>
      <c r="J9082" s="2">
        <f t="shared" si="141"/>
        <v>43749.136645104161</v>
      </c>
    </row>
    <row r="9083" spans="1:10" x14ac:dyDescent="0.25">
      <c r="A9083" s="7" t="s">
        <v>43803</v>
      </c>
      <c r="B9083" s="8">
        <v>393.75</v>
      </c>
      <c r="C9083" s="8">
        <v>20.478950000000001</v>
      </c>
      <c r="D9083" s="8">
        <v>56</v>
      </c>
      <c r="E9083" s="8">
        <v>0</v>
      </c>
      <c r="F9083" s="8">
        <v>0</v>
      </c>
      <c r="G9083" s="8">
        <v>14</v>
      </c>
      <c r="H9083" s="8" t="s">
        <v>43804</v>
      </c>
      <c r="I9083" s="8">
        <v>526.6875</v>
      </c>
      <c r="J9083" s="3">
        <f t="shared" si="141"/>
        <v>43749.136716562498</v>
      </c>
    </row>
    <row r="9084" spans="1:10" x14ac:dyDescent="0.25">
      <c r="A9084" s="5" t="s">
        <v>43805</v>
      </c>
      <c r="B9084" s="6">
        <v>393.75</v>
      </c>
      <c r="C9084" s="6">
        <v>20.478950000000001</v>
      </c>
      <c r="D9084" s="6">
        <v>56</v>
      </c>
      <c r="E9084" s="6">
        <v>0</v>
      </c>
      <c r="F9084" s="6">
        <v>0</v>
      </c>
      <c r="G9084" s="6">
        <v>18</v>
      </c>
      <c r="H9084" s="6" t="s">
        <v>43806</v>
      </c>
      <c r="I9084" s="6">
        <v>526.6875</v>
      </c>
      <c r="J9084" s="2">
        <f t="shared" si="141"/>
        <v>43749.136800023145</v>
      </c>
    </row>
    <row r="9085" spans="1:10" x14ac:dyDescent="0.25">
      <c r="A9085" s="7" t="s">
        <v>43807</v>
      </c>
      <c r="B9085" s="8">
        <v>393.75</v>
      </c>
      <c r="C9085" s="8">
        <v>20.478950000000001</v>
      </c>
      <c r="D9085" s="8">
        <v>56</v>
      </c>
      <c r="E9085" s="8">
        <v>0</v>
      </c>
      <c r="F9085" s="8">
        <v>0</v>
      </c>
      <c r="G9085" s="8">
        <v>3</v>
      </c>
      <c r="H9085" s="8" t="s">
        <v>43808</v>
      </c>
      <c r="I9085" s="8">
        <v>526.6875</v>
      </c>
      <c r="J9085" s="3">
        <f t="shared" si="141"/>
        <v>43749.136895324067</v>
      </c>
    </row>
    <row r="9086" spans="1:10" x14ac:dyDescent="0.25">
      <c r="A9086" s="5" t="s">
        <v>43809</v>
      </c>
      <c r="B9086" s="6">
        <v>393.75</v>
      </c>
      <c r="C9086" s="6">
        <v>20.426300000000001</v>
      </c>
      <c r="D9086" s="6">
        <v>56</v>
      </c>
      <c r="E9086" s="6">
        <v>0</v>
      </c>
      <c r="F9086" s="6">
        <v>0</v>
      </c>
      <c r="G9086" s="6">
        <v>8</v>
      </c>
      <c r="H9086" s="6" t="s">
        <v>43810</v>
      </c>
      <c r="I9086" s="6">
        <v>526.6875</v>
      </c>
      <c r="J9086" s="2">
        <f t="shared" si="141"/>
        <v>43749.136966932863</v>
      </c>
    </row>
    <row r="9087" spans="1:10" x14ac:dyDescent="0.25">
      <c r="A9087" s="7" t="s">
        <v>43811</v>
      </c>
      <c r="B9087" s="8">
        <v>393.75</v>
      </c>
      <c r="C9087" s="8">
        <v>20.478950000000001</v>
      </c>
      <c r="D9087" s="8">
        <v>54</v>
      </c>
      <c r="E9087" s="8">
        <v>0</v>
      </c>
      <c r="F9087" s="8">
        <v>0</v>
      </c>
      <c r="G9087" s="8">
        <v>9</v>
      </c>
      <c r="H9087" s="8" t="s">
        <v>43812</v>
      </c>
      <c r="I9087" s="8">
        <v>526.6875</v>
      </c>
      <c r="J9087" s="3">
        <f t="shared" si="141"/>
        <v>43749.137057696753</v>
      </c>
    </row>
    <row r="9088" spans="1:10" x14ac:dyDescent="0.25">
      <c r="A9088" s="5" t="s">
        <v>43813</v>
      </c>
      <c r="B9088" s="6">
        <v>393.75</v>
      </c>
      <c r="C9088" s="6">
        <v>20.478950000000001</v>
      </c>
      <c r="D9088" s="6">
        <v>54</v>
      </c>
      <c r="E9088" s="6">
        <v>0</v>
      </c>
      <c r="F9088" s="6">
        <v>0</v>
      </c>
      <c r="G9088" s="6">
        <v>11</v>
      </c>
      <c r="H9088" s="6" t="s">
        <v>43814</v>
      </c>
      <c r="I9088" s="6">
        <v>526.6875</v>
      </c>
      <c r="J9088" s="2">
        <f t="shared" si="141"/>
        <v>43749.137134004624</v>
      </c>
    </row>
    <row r="9089" spans="1:10" x14ac:dyDescent="0.25">
      <c r="A9089" s="7" t="s">
        <v>43815</v>
      </c>
      <c r="B9089" s="8">
        <v>393.75</v>
      </c>
      <c r="C9089" s="8">
        <v>20.478950000000001</v>
      </c>
      <c r="D9089" s="8">
        <v>55</v>
      </c>
      <c r="E9089" s="8">
        <v>0</v>
      </c>
      <c r="F9089" s="8">
        <v>0</v>
      </c>
      <c r="G9089" s="8">
        <v>9</v>
      </c>
      <c r="H9089" s="8" t="s">
        <v>43816</v>
      </c>
      <c r="I9089" s="8">
        <v>526.6875</v>
      </c>
      <c r="J9089" s="3">
        <f t="shared" si="141"/>
        <v>43749.137205497682</v>
      </c>
    </row>
    <row r="9090" spans="1:10" x14ac:dyDescent="0.25">
      <c r="A9090" s="5" t="s">
        <v>43817</v>
      </c>
      <c r="B9090" s="6">
        <v>393.75</v>
      </c>
      <c r="C9090" s="6">
        <v>20.426300000000001</v>
      </c>
      <c r="D9090" s="6">
        <v>55</v>
      </c>
      <c r="E9090" s="6">
        <v>0</v>
      </c>
      <c r="F9090" s="6">
        <v>0</v>
      </c>
      <c r="G9090" s="6">
        <v>1</v>
      </c>
      <c r="H9090" s="6" t="s">
        <v>43818</v>
      </c>
      <c r="I9090" s="6">
        <v>526.6875</v>
      </c>
      <c r="J9090" s="2">
        <f t="shared" ref="J9090:J9153" si="142">(H9090/86400000)+25569+(7/24)</f>
        <v>43749.137276909722</v>
      </c>
    </row>
    <row r="9091" spans="1:10" x14ac:dyDescent="0.25">
      <c r="A9091" s="7" t="s">
        <v>43819</v>
      </c>
      <c r="B9091" s="8">
        <v>412.5</v>
      </c>
      <c r="C9091" s="8">
        <v>20.478950000000001</v>
      </c>
      <c r="D9091" s="8">
        <v>55</v>
      </c>
      <c r="E9091" s="8">
        <v>0</v>
      </c>
      <c r="F9091" s="8">
        <v>0</v>
      </c>
      <c r="G9091" s="8">
        <v>6</v>
      </c>
      <c r="H9091" s="8" t="s">
        <v>43820</v>
      </c>
      <c r="I9091" s="8">
        <v>532.3125</v>
      </c>
      <c r="J9091" s="3">
        <f t="shared" si="142"/>
        <v>43749.137348379627</v>
      </c>
    </row>
    <row r="9092" spans="1:10" x14ac:dyDescent="0.25">
      <c r="A9092" s="5" t="s">
        <v>43821</v>
      </c>
      <c r="B9092" s="6">
        <v>393.75</v>
      </c>
      <c r="C9092" s="6">
        <v>20.478950000000001</v>
      </c>
      <c r="D9092" s="6">
        <v>54</v>
      </c>
      <c r="E9092" s="6">
        <v>0</v>
      </c>
      <c r="F9092" s="6">
        <v>0</v>
      </c>
      <c r="G9092" s="6">
        <v>6</v>
      </c>
      <c r="H9092" s="6" t="s">
        <v>43822</v>
      </c>
      <c r="I9092" s="6">
        <v>526.6875</v>
      </c>
      <c r="J9092" s="2">
        <f t="shared" si="142"/>
        <v>43749.137420081017</v>
      </c>
    </row>
    <row r="9093" spans="1:10" x14ac:dyDescent="0.25">
      <c r="A9093" s="7" t="s">
        <v>43823</v>
      </c>
      <c r="B9093" s="8">
        <v>393.75</v>
      </c>
      <c r="C9093" s="8">
        <v>20.478950000000001</v>
      </c>
      <c r="D9093" s="8">
        <v>54</v>
      </c>
      <c r="E9093" s="8">
        <v>0</v>
      </c>
      <c r="F9093" s="8">
        <v>0</v>
      </c>
      <c r="G9093" s="8">
        <v>8</v>
      </c>
      <c r="H9093" s="8" t="s">
        <v>43824</v>
      </c>
      <c r="I9093" s="8">
        <v>526.6875</v>
      </c>
      <c r="J9093" s="3">
        <f t="shared" si="142"/>
        <v>43749.137491701382</v>
      </c>
    </row>
    <row r="9094" spans="1:10" x14ac:dyDescent="0.25">
      <c r="A9094" s="5" t="s">
        <v>43825</v>
      </c>
      <c r="B9094" s="6">
        <v>393.75</v>
      </c>
      <c r="C9094" s="6">
        <v>20.478950000000001</v>
      </c>
      <c r="D9094" s="6">
        <v>54</v>
      </c>
      <c r="E9094" s="6">
        <v>0</v>
      </c>
      <c r="F9094" s="6">
        <v>0</v>
      </c>
      <c r="G9094" s="6">
        <v>7</v>
      </c>
      <c r="H9094" s="6" t="s">
        <v>43826</v>
      </c>
      <c r="I9094" s="6">
        <v>526.6875</v>
      </c>
      <c r="J9094" s="2">
        <f t="shared" si="142"/>
        <v>43749.137574791668</v>
      </c>
    </row>
    <row r="9095" spans="1:10" x14ac:dyDescent="0.25">
      <c r="A9095" s="7" t="s">
        <v>43827</v>
      </c>
      <c r="B9095" s="8">
        <v>393.75</v>
      </c>
      <c r="C9095" s="8">
        <v>20.478950000000001</v>
      </c>
      <c r="D9095" s="8">
        <v>54</v>
      </c>
      <c r="E9095" s="8">
        <v>0</v>
      </c>
      <c r="F9095" s="8">
        <v>0</v>
      </c>
      <c r="G9095" s="8">
        <v>13</v>
      </c>
      <c r="H9095" s="8" t="s">
        <v>43828</v>
      </c>
      <c r="I9095" s="8">
        <v>526.6875</v>
      </c>
      <c r="J9095" s="3">
        <f t="shared" si="142"/>
        <v>43749.137646446754</v>
      </c>
    </row>
    <row r="9096" spans="1:10" x14ac:dyDescent="0.25">
      <c r="A9096" s="5" t="s">
        <v>43829</v>
      </c>
      <c r="B9096" s="6">
        <v>393.75</v>
      </c>
      <c r="C9096" s="6">
        <v>20.478950000000001</v>
      </c>
      <c r="D9096" s="6">
        <v>53</v>
      </c>
      <c r="E9096" s="6">
        <v>0</v>
      </c>
      <c r="F9096" s="6">
        <v>0</v>
      </c>
      <c r="G9096" s="6">
        <v>11</v>
      </c>
      <c r="H9096" s="6" t="s">
        <v>43830</v>
      </c>
      <c r="I9096" s="6">
        <v>526.5</v>
      </c>
      <c r="J9096" s="2">
        <f t="shared" si="142"/>
        <v>43749.137730324073</v>
      </c>
    </row>
    <row r="9097" spans="1:10" x14ac:dyDescent="0.25">
      <c r="A9097" s="7" t="s">
        <v>43831</v>
      </c>
      <c r="B9097" s="8">
        <v>393.75</v>
      </c>
      <c r="C9097" s="8">
        <v>20.478950000000001</v>
      </c>
      <c r="D9097" s="8">
        <v>54</v>
      </c>
      <c r="E9097" s="8">
        <v>0</v>
      </c>
      <c r="F9097" s="8">
        <v>0</v>
      </c>
      <c r="G9097" s="8">
        <v>11</v>
      </c>
      <c r="H9097" s="8" t="s">
        <v>43832</v>
      </c>
      <c r="I9097" s="8">
        <v>526.6875</v>
      </c>
      <c r="J9097" s="3">
        <f t="shared" si="142"/>
        <v>43749.137813912035</v>
      </c>
    </row>
    <row r="9098" spans="1:10" x14ac:dyDescent="0.25">
      <c r="A9098" s="5" t="s">
        <v>43833</v>
      </c>
      <c r="B9098" s="6">
        <v>393.75</v>
      </c>
      <c r="C9098" s="6">
        <v>20.478950000000001</v>
      </c>
      <c r="D9098" s="6">
        <v>54</v>
      </c>
      <c r="E9098" s="6">
        <v>0</v>
      </c>
      <c r="F9098" s="6">
        <v>0</v>
      </c>
      <c r="G9098" s="6">
        <v>12</v>
      </c>
      <c r="H9098" s="6" t="s">
        <v>43834</v>
      </c>
      <c r="I9098" s="6">
        <v>526.6875</v>
      </c>
      <c r="J9098" s="2">
        <f t="shared" si="142"/>
        <v>43749.137885243057</v>
      </c>
    </row>
    <row r="9099" spans="1:10" x14ac:dyDescent="0.25">
      <c r="A9099" s="7" t="s">
        <v>43835</v>
      </c>
      <c r="B9099" s="8">
        <v>393.75</v>
      </c>
      <c r="C9099" s="8">
        <v>20.478950000000001</v>
      </c>
      <c r="D9099" s="8">
        <v>55</v>
      </c>
      <c r="E9099" s="8">
        <v>0</v>
      </c>
      <c r="F9099" s="8">
        <v>0</v>
      </c>
      <c r="G9099" s="8">
        <v>6</v>
      </c>
      <c r="H9099" s="8" t="s">
        <v>43836</v>
      </c>
      <c r="I9099" s="8">
        <v>526.6875</v>
      </c>
      <c r="J9099" s="3">
        <f t="shared" si="142"/>
        <v>43749.137968749994</v>
      </c>
    </row>
    <row r="9100" spans="1:10" x14ac:dyDescent="0.25">
      <c r="A9100" s="5" t="s">
        <v>43837</v>
      </c>
      <c r="B9100" s="6">
        <v>393.75</v>
      </c>
      <c r="C9100" s="6">
        <v>20.426300000000001</v>
      </c>
      <c r="D9100" s="6">
        <v>54</v>
      </c>
      <c r="E9100" s="6">
        <v>0</v>
      </c>
      <c r="F9100" s="6">
        <v>0</v>
      </c>
      <c r="G9100" s="6">
        <v>13</v>
      </c>
      <c r="H9100" s="6" t="s">
        <v>43838</v>
      </c>
      <c r="I9100" s="6">
        <v>526.6875</v>
      </c>
      <c r="J9100" s="2">
        <f t="shared" si="142"/>
        <v>43749.138052256945</v>
      </c>
    </row>
    <row r="9101" spans="1:10" x14ac:dyDescent="0.25">
      <c r="A9101" s="7" t="s">
        <v>43839</v>
      </c>
      <c r="B9101" s="8">
        <v>393.75</v>
      </c>
      <c r="C9101" s="8">
        <v>20.478950000000001</v>
      </c>
      <c r="D9101" s="8">
        <v>54</v>
      </c>
      <c r="E9101" s="8">
        <v>0</v>
      </c>
      <c r="F9101" s="8">
        <v>0</v>
      </c>
      <c r="G9101" s="8">
        <v>4</v>
      </c>
      <c r="H9101" s="8" t="s">
        <v>43840</v>
      </c>
      <c r="I9101" s="8">
        <v>526.5</v>
      </c>
      <c r="J9101" s="3">
        <f t="shared" si="142"/>
        <v>43749.138123796292</v>
      </c>
    </row>
    <row r="9102" spans="1:10" x14ac:dyDescent="0.25">
      <c r="A9102" s="5" t="s">
        <v>43841</v>
      </c>
      <c r="B9102" s="6">
        <v>393.75</v>
      </c>
      <c r="C9102" s="6">
        <v>20.478950000000001</v>
      </c>
      <c r="D9102" s="6">
        <v>53</v>
      </c>
      <c r="E9102" s="6">
        <v>0</v>
      </c>
      <c r="F9102" s="6">
        <v>0</v>
      </c>
      <c r="G9102" s="6">
        <v>3</v>
      </c>
      <c r="H9102" s="6" t="s">
        <v>43842</v>
      </c>
      <c r="I9102" s="6">
        <v>526.6875</v>
      </c>
      <c r="J9102" s="2">
        <f t="shared" si="142"/>
        <v>43749.138195335647</v>
      </c>
    </row>
    <row r="9103" spans="1:10" x14ac:dyDescent="0.25">
      <c r="A9103" s="7" t="s">
        <v>43843</v>
      </c>
      <c r="B9103" s="8">
        <v>393.75</v>
      </c>
      <c r="C9103" s="8">
        <v>20.478950000000001</v>
      </c>
      <c r="D9103" s="8">
        <v>53</v>
      </c>
      <c r="E9103" s="8">
        <v>0</v>
      </c>
      <c r="F9103" s="8">
        <v>0</v>
      </c>
      <c r="G9103" s="8">
        <v>9</v>
      </c>
      <c r="H9103" s="8" t="s">
        <v>43844</v>
      </c>
      <c r="I9103" s="8">
        <v>526.6875</v>
      </c>
      <c r="J9103" s="3">
        <f t="shared" si="142"/>
        <v>43749.138278483799</v>
      </c>
    </row>
    <row r="9104" spans="1:10" x14ac:dyDescent="0.25">
      <c r="A9104" s="5" t="s">
        <v>43845</v>
      </c>
      <c r="B9104" s="6">
        <v>393.75</v>
      </c>
      <c r="C9104" s="6">
        <v>20.478950000000001</v>
      </c>
      <c r="D9104" s="6">
        <v>54</v>
      </c>
      <c r="E9104" s="6">
        <v>0</v>
      </c>
      <c r="F9104" s="6">
        <v>0</v>
      </c>
      <c r="G9104" s="6">
        <v>7</v>
      </c>
      <c r="H9104" s="6" t="s">
        <v>43846</v>
      </c>
      <c r="I9104" s="6">
        <v>526.6875</v>
      </c>
      <c r="J9104" s="2">
        <f t="shared" si="142"/>
        <v>43749.138351863425</v>
      </c>
    </row>
    <row r="9105" spans="1:10" x14ac:dyDescent="0.25">
      <c r="A9105" s="7" t="s">
        <v>43847</v>
      </c>
      <c r="B9105" s="8">
        <v>393.75</v>
      </c>
      <c r="C9105" s="8">
        <v>20.478950000000001</v>
      </c>
      <c r="D9105" s="8">
        <v>53</v>
      </c>
      <c r="E9105" s="8">
        <v>0</v>
      </c>
      <c r="F9105" s="8">
        <v>0</v>
      </c>
      <c r="G9105" s="8">
        <v>20</v>
      </c>
      <c r="H9105" s="8" t="s">
        <v>43848</v>
      </c>
      <c r="I9105" s="8">
        <v>526.6875</v>
      </c>
      <c r="J9105" s="3">
        <f t="shared" si="142"/>
        <v>43749.138433877313</v>
      </c>
    </row>
    <row r="9106" spans="1:10" x14ac:dyDescent="0.25">
      <c r="A9106" s="5" t="s">
        <v>43849</v>
      </c>
      <c r="B9106" s="6">
        <v>393.75</v>
      </c>
      <c r="C9106" s="6">
        <v>20.478950000000001</v>
      </c>
      <c r="D9106" s="6">
        <v>54</v>
      </c>
      <c r="E9106" s="6">
        <v>0</v>
      </c>
      <c r="F9106" s="6">
        <v>0</v>
      </c>
      <c r="G9106" s="6">
        <v>3</v>
      </c>
      <c r="H9106" s="6" t="s">
        <v>43850</v>
      </c>
      <c r="I9106" s="6">
        <v>526.6875</v>
      </c>
      <c r="J9106" s="2">
        <f t="shared" si="142"/>
        <v>43749.138505960647</v>
      </c>
    </row>
    <row r="9107" spans="1:10" x14ac:dyDescent="0.25">
      <c r="A9107" s="7" t="s">
        <v>43851</v>
      </c>
      <c r="B9107" s="8">
        <v>393.75</v>
      </c>
      <c r="C9107" s="8">
        <v>20.478950000000001</v>
      </c>
      <c r="D9107" s="8">
        <v>53</v>
      </c>
      <c r="E9107" s="8">
        <v>0</v>
      </c>
      <c r="F9107" s="8">
        <v>0</v>
      </c>
      <c r="G9107" s="8">
        <v>8</v>
      </c>
      <c r="H9107" s="8" t="s">
        <v>43852</v>
      </c>
      <c r="I9107" s="8">
        <v>526.6875</v>
      </c>
      <c r="J9107" s="3">
        <f t="shared" si="142"/>
        <v>43749.13857693287</v>
      </c>
    </row>
    <row r="9108" spans="1:10" x14ac:dyDescent="0.25">
      <c r="A9108" s="5" t="s">
        <v>43853</v>
      </c>
      <c r="B9108" s="6">
        <v>393.75</v>
      </c>
      <c r="C9108" s="6">
        <v>20.478950000000001</v>
      </c>
      <c r="D9108" s="6">
        <v>53</v>
      </c>
      <c r="E9108" s="6">
        <v>0</v>
      </c>
      <c r="F9108" s="6">
        <v>0</v>
      </c>
      <c r="G9108" s="6">
        <v>10</v>
      </c>
      <c r="H9108" s="6" t="s">
        <v>43854</v>
      </c>
      <c r="I9108" s="6">
        <v>526.6875</v>
      </c>
      <c r="J9108" s="2">
        <f t="shared" si="142"/>
        <v>43749.138660081015</v>
      </c>
    </row>
    <row r="9109" spans="1:10" x14ac:dyDescent="0.25">
      <c r="A9109" s="7" t="s">
        <v>43855</v>
      </c>
      <c r="B9109" s="8">
        <v>393.75</v>
      </c>
      <c r="C9109" s="8">
        <v>20.478950000000001</v>
      </c>
      <c r="D9109" s="8">
        <v>53</v>
      </c>
      <c r="E9109" s="8">
        <v>0</v>
      </c>
      <c r="F9109" s="8">
        <v>0</v>
      </c>
      <c r="G9109" s="8">
        <v>15</v>
      </c>
      <c r="H9109" s="8" t="s">
        <v>43856</v>
      </c>
      <c r="I9109" s="8">
        <v>526.6875</v>
      </c>
      <c r="J9109" s="3">
        <f t="shared" si="142"/>
        <v>43749.138732025465</v>
      </c>
    </row>
    <row r="9110" spans="1:10" x14ac:dyDescent="0.25">
      <c r="A9110" s="5" t="s">
        <v>43857</v>
      </c>
      <c r="B9110" s="6">
        <v>393.75</v>
      </c>
      <c r="C9110" s="6">
        <v>20.478950000000001</v>
      </c>
      <c r="D9110" s="6">
        <v>53</v>
      </c>
      <c r="E9110" s="6">
        <v>0</v>
      </c>
      <c r="F9110" s="6">
        <v>0</v>
      </c>
      <c r="G9110" s="6">
        <v>9</v>
      </c>
      <c r="H9110" s="6" t="s">
        <v>43858</v>
      </c>
      <c r="I9110" s="6">
        <v>526.6875</v>
      </c>
      <c r="J9110" s="2">
        <f t="shared" si="142"/>
        <v>43749.138815543978</v>
      </c>
    </row>
    <row r="9111" spans="1:10" x14ac:dyDescent="0.25">
      <c r="A9111" s="7" t="s">
        <v>43859</v>
      </c>
      <c r="B9111" s="8">
        <v>393.75</v>
      </c>
      <c r="C9111" s="8">
        <v>20.478950000000001</v>
      </c>
      <c r="D9111" s="8">
        <v>53</v>
      </c>
      <c r="E9111" s="8">
        <v>0</v>
      </c>
      <c r="F9111" s="8">
        <v>0</v>
      </c>
      <c r="G9111" s="8">
        <v>11</v>
      </c>
      <c r="H9111" s="8" t="s">
        <v>43860</v>
      </c>
      <c r="I9111" s="8">
        <v>526.6875</v>
      </c>
      <c r="J9111" s="3">
        <f t="shared" si="142"/>
        <v>43749.138887048604</v>
      </c>
    </row>
    <row r="9112" spans="1:10" x14ac:dyDescent="0.25">
      <c r="A9112" s="5" t="s">
        <v>43861</v>
      </c>
      <c r="B9112" s="6">
        <v>393.75</v>
      </c>
      <c r="C9112" s="6">
        <v>20.478950000000001</v>
      </c>
      <c r="D9112" s="6">
        <v>53</v>
      </c>
      <c r="E9112" s="6">
        <v>0</v>
      </c>
      <c r="F9112" s="6">
        <v>0</v>
      </c>
      <c r="G9112" s="6">
        <v>17</v>
      </c>
      <c r="H9112" s="6" t="s">
        <v>43862</v>
      </c>
      <c r="I9112" s="6">
        <v>526.6875</v>
      </c>
      <c r="J9112" s="2">
        <f t="shared" si="142"/>
        <v>43749.138970428241</v>
      </c>
    </row>
    <row r="9113" spans="1:10" x14ac:dyDescent="0.25">
      <c r="A9113" s="7" t="s">
        <v>43863</v>
      </c>
      <c r="B9113" s="8">
        <v>393.75</v>
      </c>
      <c r="C9113" s="8">
        <v>20.478950000000001</v>
      </c>
      <c r="D9113" s="8">
        <v>53</v>
      </c>
      <c r="E9113" s="8">
        <v>0</v>
      </c>
      <c r="F9113" s="8">
        <v>0</v>
      </c>
      <c r="G9113" s="8">
        <v>3</v>
      </c>
      <c r="H9113" s="8" t="s">
        <v>43864</v>
      </c>
      <c r="I9113" s="8">
        <v>526.6875</v>
      </c>
      <c r="J9113" s="3">
        <f t="shared" si="142"/>
        <v>43749.139041620372</v>
      </c>
    </row>
    <row r="9114" spans="1:10" x14ac:dyDescent="0.25">
      <c r="A9114" s="5" t="s">
        <v>43865</v>
      </c>
      <c r="B9114" s="6">
        <v>393.75</v>
      </c>
      <c r="C9114" s="6">
        <v>20.478950000000001</v>
      </c>
      <c r="D9114" s="6">
        <v>54</v>
      </c>
      <c r="E9114" s="6">
        <v>0</v>
      </c>
      <c r="F9114" s="6">
        <v>0</v>
      </c>
      <c r="G9114" s="6">
        <v>6</v>
      </c>
      <c r="H9114" s="6" t="s">
        <v>43866</v>
      </c>
      <c r="I9114" s="6">
        <v>526.6875</v>
      </c>
      <c r="J9114" s="2">
        <f t="shared" si="142"/>
        <v>43749.139113611112</v>
      </c>
    </row>
    <row r="9115" spans="1:10" x14ac:dyDescent="0.25">
      <c r="A9115" s="7" t="s">
        <v>43867</v>
      </c>
      <c r="B9115" s="8">
        <v>393.75</v>
      </c>
      <c r="C9115" s="8">
        <v>20.478950000000001</v>
      </c>
      <c r="D9115" s="8">
        <v>55</v>
      </c>
      <c r="E9115" s="8">
        <v>0</v>
      </c>
      <c r="F9115" s="8">
        <v>0</v>
      </c>
      <c r="G9115" s="8">
        <v>5</v>
      </c>
      <c r="H9115" s="8" t="s">
        <v>43868</v>
      </c>
      <c r="I9115" s="8">
        <v>526.6875</v>
      </c>
      <c r="J9115" s="3">
        <f t="shared" si="142"/>
        <v>43749.139196921293</v>
      </c>
    </row>
    <row r="9116" spans="1:10" x14ac:dyDescent="0.25">
      <c r="A9116" s="5" t="s">
        <v>43869</v>
      </c>
      <c r="B9116" s="6">
        <v>412.5</v>
      </c>
      <c r="C9116" s="6">
        <v>20.478950000000001</v>
      </c>
      <c r="D9116" s="6">
        <v>55</v>
      </c>
      <c r="E9116" s="6">
        <v>0</v>
      </c>
      <c r="F9116" s="6">
        <v>0</v>
      </c>
      <c r="G9116" s="6">
        <v>11</v>
      </c>
      <c r="H9116" s="6" t="s">
        <v>43870</v>
      </c>
      <c r="I9116" s="6">
        <v>532.125</v>
      </c>
      <c r="J9116" s="2">
        <f t="shared" si="142"/>
        <v>43749.139280497686</v>
      </c>
    </row>
    <row r="9117" spans="1:10" x14ac:dyDescent="0.25">
      <c r="A9117" s="7" t="s">
        <v>43871</v>
      </c>
      <c r="B9117" s="8">
        <v>393.75</v>
      </c>
      <c r="C9117" s="8">
        <v>20.478950000000001</v>
      </c>
      <c r="D9117" s="8">
        <v>53</v>
      </c>
      <c r="E9117" s="8">
        <v>0</v>
      </c>
      <c r="F9117" s="8">
        <v>0</v>
      </c>
      <c r="G9117" s="8">
        <v>11</v>
      </c>
      <c r="H9117" s="8" t="s">
        <v>43872</v>
      </c>
      <c r="I9117" s="8">
        <v>526.6875</v>
      </c>
      <c r="J9117" s="3">
        <f t="shared" si="142"/>
        <v>43749.139363680551</v>
      </c>
    </row>
    <row r="9118" spans="1:10" x14ac:dyDescent="0.25">
      <c r="A9118" s="5" t="s">
        <v>43873</v>
      </c>
      <c r="B9118" s="6">
        <v>393.75</v>
      </c>
      <c r="C9118" s="6">
        <v>20.478950000000001</v>
      </c>
      <c r="D9118" s="6">
        <v>53</v>
      </c>
      <c r="E9118" s="6">
        <v>0</v>
      </c>
      <c r="F9118" s="6">
        <v>0</v>
      </c>
      <c r="G9118" s="6">
        <v>7</v>
      </c>
      <c r="H9118" s="6" t="s">
        <v>43874</v>
      </c>
      <c r="I9118" s="6">
        <v>526.6875</v>
      </c>
      <c r="J9118" s="2">
        <f t="shared" si="142"/>
        <v>43749.139448275462</v>
      </c>
    </row>
    <row r="9119" spans="1:10" x14ac:dyDescent="0.25">
      <c r="A9119" s="7" t="s">
        <v>43875</v>
      </c>
      <c r="B9119" s="8">
        <v>393.75</v>
      </c>
      <c r="C9119" s="8">
        <v>20.478950000000001</v>
      </c>
      <c r="D9119" s="8">
        <v>53</v>
      </c>
      <c r="E9119" s="8">
        <v>0</v>
      </c>
      <c r="F9119" s="8">
        <v>0</v>
      </c>
      <c r="G9119" s="8">
        <v>8</v>
      </c>
      <c r="H9119" s="8" t="s">
        <v>43876</v>
      </c>
      <c r="I9119" s="8">
        <v>526.6875</v>
      </c>
      <c r="J9119" s="3">
        <f t="shared" si="142"/>
        <v>43749.139518923614</v>
      </c>
    </row>
    <row r="9120" spans="1:10" x14ac:dyDescent="0.25">
      <c r="A9120" s="5" t="s">
        <v>43877</v>
      </c>
      <c r="B9120" s="6">
        <v>393.75</v>
      </c>
      <c r="C9120" s="6">
        <v>20.478950000000001</v>
      </c>
      <c r="D9120" s="6">
        <v>53</v>
      </c>
      <c r="E9120" s="6">
        <v>0</v>
      </c>
      <c r="F9120" s="6">
        <v>0</v>
      </c>
      <c r="G9120" s="6">
        <v>9</v>
      </c>
      <c r="H9120" s="6" t="s">
        <v>43878</v>
      </c>
      <c r="I9120" s="6">
        <v>526.6875</v>
      </c>
      <c r="J9120" s="2">
        <f t="shared" si="142"/>
        <v>43749.13959061342</v>
      </c>
    </row>
    <row r="9121" spans="1:10" x14ac:dyDescent="0.25">
      <c r="A9121" s="7" t="s">
        <v>43879</v>
      </c>
      <c r="B9121" s="8">
        <v>393.75</v>
      </c>
      <c r="C9121" s="8">
        <v>20.478950000000001</v>
      </c>
      <c r="D9121" s="8">
        <v>55</v>
      </c>
      <c r="E9121" s="8">
        <v>0</v>
      </c>
      <c r="F9121" s="8">
        <v>0</v>
      </c>
      <c r="G9121" s="8">
        <v>9</v>
      </c>
      <c r="H9121" s="8" t="s">
        <v>43880</v>
      </c>
      <c r="I9121" s="8">
        <v>526.6875</v>
      </c>
      <c r="J9121" s="3">
        <f t="shared" si="142"/>
        <v>43749.139674074067</v>
      </c>
    </row>
    <row r="9122" spans="1:10" x14ac:dyDescent="0.25">
      <c r="A9122" s="5" t="s">
        <v>43881</v>
      </c>
      <c r="B9122" s="6">
        <v>393.75</v>
      </c>
      <c r="C9122" s="6">
        <v>20.478950000000001</v>
      </c>
      <c r="D9122" s="6">
        <v>55</v>
      </c>
      <c r="E9122" s="6">
        <v>0</v>
      </c>
      <c r="F9122" s="6">
        <v>0</v>
      </c>
      <c r="G9122" s="6">
        <v>11</v>
      </c>
      <c r="H9122" s="6" t="s">
        <v>43882</v>
      </c>
      <c r="I9122" s="6">
        <v>526.6875</v>
      </c>
      <c r="J9122" s="2">
        <f t="shared" si="142"/>
        <v>43749.139757650461</v>
      </c>
    </row>
    <row r="9123" spans="1:10" x14ac:dyDescent="0.25">
      <c r="A9123" s="7" t="s">
        <v>43883</v>
      </c>
      <c r="B9123" s="8">
        <v>393.75</v>
      </c>
      <c r="C9123" s="8">
        <v>20.478950000000001</v>
      </c>
      <c r="D9123" s="8">
        <v>55</v>
      </c>
      <c r="E9123" s="8">
        <v>0</v>
      </c>
      <c r="F9123" s="8">
        <v>0</v>
      </c>
      <c r="G9123" s="8">
        <v>11</v>
      </c>
      <c r="H9123" s="8" t="s">
        <v>43884</v>
      </c>
      <c r="I9123" s="8">
        <v>526.6875</v>
      </c>
      <c r="J9123" s="3">
        <f t="shared" si="142"/>
        <v>43749.139841111108</v>
      </c>
    </row>
    <row r="9124" spans="1:10" x14ac:dyDescent="0.25">
      <c r="A9124" s="5" t="s">
        <v>43885</v>
      </c>
      <c r="B9124" s="6">
        <v>393.75</v>
      </c>
      <c r="C9124" s="6">
        <v>20.478950000000001</v>
      </c>
      <c r="D9124" s="6">
        <v>53</v>
      </c>
      <c r="E9124" s="6">
        <v>0</v>
      </c>
      <c r="F9124" s="6">
        <v>0</v>
      </c>
      <c r="G9124" s="6">
        <v>5</v>
      </c>
      <c r="H9124" s="6" t="s">
        <v>43886</v>
      </c>
      <c r="I9124" s="6">
        <v>526.5</v>
      </c>
      <c r="J9124" s="2">
        <f t="shared" si="142"/>
        <v>43749.139924780095</v>
      </c>
    </row>
    <row r="9125" spans="1:10" x14ac:dyDescent="0.25">
      <c r="A9125" s="7" t="s">
        <v>43887</v>
      </c>
      <c r="B9125" s="8">
        <v>393.75</v>
      </c>
      <c r="C9125" s="8">
        <v>20.478950000000001</v>
      </c>
      <c r="D9125" s="8">
        <v>54</v>
      </c>
      <c r="E9125" s="8">
        <v>0</v>
      </c>
      <c r="F9125" s="8">
        <v>0</v>
      </c>
      <c r="G9125" s="8">
        <v>18</v>
      </c>
      <c r="H9125" s="8" t="s">
        <v>43888</v>
      </c>
      <c r="I9125" s="8">
        <v>526.6875</v>
      </c>
      <c r="J9125" s="3">
        <f t="shared" si="142"/>
        <v>43749.140008136572</v>
      </c>
    </row>
    <row r="9126" spans="1:10" x14ac:dyDescent="0.25">
      <c r="A9126" s="5" t="s">
        <v>43889</v>
      </c>
      <c r="B9126" s="6">
        <v>412.5</v>
      </c>
      <c r="C9126" s="6">
        <v>20.478950000000001</v>
      </c>
      <c r="D9126" s="6">
        <v>54</v>
      </c>
      <c r="E9126" s="6">
        <v>0</v>
      </c>
      <c r="F9126" s="6">
        <v>0</v>
      </c>
      <c r="G9126" s="6">
        <v>12</v>
      </c>
      <c r="H9126" s="6" t="s">
        <v>43890</v>
      </c>
      <c r="I9126" s="6">
        <v>532.875</v>
      </c>
      <c r="J9126" s="2">
        <f t="shared" si="142"/>
        <v>43749.14009152777</v>
      </c>
    </row>
    <row r="9127" spans="1:10" x14ac:dyDescent="0.25">
      <c r="A9127" s="7" t="s">
        <v>43891</v>
      </c>
      <c r="B9127" s="8">
        <v>393.75</v>
      </c>
      <c r="C9127" s="8">
        <v>20.478950000000001</v>
      </c>
      <c r="D9127" s="8">
        <v>54</v>
      </c>
      <c r="E9127" s="8">
        <v>0</v>
      </c>
      <c r="F9127" s="8">
        <v>0</v>
      </c>
      <c r="G9127" s="8">
        <v>5</v>
      </c>
      <c r="H9127" s="8" t="s">
        <v>43892</v>
      </c>
      <c r="I9127" s="8">
        <v>526.6875</v>
      </c>
      <c r="J9127" s="3">
        <f t="shared" si="142"/>
        <v>43749.140174803237</v>
      </c>
    </row>
    <row r="9128" spans="1:10" x14ac:dyDescent="0.25">
      <c r="A9128" s="5" t="s">
        <v>43893</v>
      </c>
      <c r="B9128" s="6">
        <v>393.75</v>
      </c>
      <c r="C9128" s="6">
        <v>20.426300000000001</v>
      </c>
      <c r="D9128" s="6">
        <v>54</v>
      </c>
      <c r="E9128" s="6">
        <v>0</v>
      </c>
      <c r="F9128" s="6">
        <v>0</v>
      </c>
      <c r="G9128" s="6">
        <v>10</v>
      </c>
      <c r="H9128" s="6" t="s">
        <v>43894</v>
      </c>
      <c r="I9128" s="6">
        <v>526.6875</v>
      </c>
      <c r="J9128" s="2">
        <f t="shared" si="142"/>
        <v>43749.140246782401</v>
      </c>
    </row>
    <row r="9129" spans="1:10" x14ac:dyDescent="0.25">
      <c r="A9129" s="7" t="s">
        <v>43895</v>
      </c>
      <c r="B9129" s="8">
        <v>393.75</v>
      </c>
      <c r="C9129" s="8">
        <v>20.478950000000001</v>
      </c>
      <c r="D9129" s="8">
        <v>55</v>
      </c>
      <c r="E9129" s="8">
        <v>0</v>
      </c>
      <c r="F9129" s="8">
        <v>0</v>
      </c>
      <c r="G9129" s="8">
        <v>10</v>
      </c>
      <c r="H9129" s="8" t="s">
        <v>43896</v>
      </c>
      <c r="I9129" s="8">
        <v>526.6875</v>
      </c>
      <c r="J9129" s="3">
        <f t="shared" si="142"/>
        <v>43749.140330011571</v>
      </c>
    </row>
    <row r="9130" spans="1:10" x14ac:dyDescent="0.25">
      <c r="A9130" s="5" t="s">
        <v>43897</v>
      </c>
      <c r="B9130" s="6">
        <v>393.75</v>
      </c>
      <c r="C9130" s="6">
        <v>20.426300000000001</v>
      </c>
      <c r="D9130" s="6">
        <v>55</v>
      </c>
      <c r="E9130" s="6">
        <v>0</v>
      </c>
      <c r="F9130" s="6">
        <v>0</v>
      </c>
      <c r="G9130" s="6">
        <v>6</v>
      </c>
      <c r="H9130" s="6" t="s">
        <v>43898</v>
      </c>
      <c r="I9130" s="6">
        <v>526.6875</v>
      </c>
      <c r="J9130" s="2">
        <f t="shared" si="142"/>
        <v>43749.140413553243</v>
      </c>
    </row>
    <row r="9131" spans="1:10" x14ac:dyDescent="0.25">
      <c r="A9131" s="7" t="s">
        <v>43899</v>
      </c>
      <c r="B9131" s="8">
        <v>434.375</v>
      </c>
      <c r="C9131" s="8">
        <v>20.478950000000001</v>
      </c>
      <c r="D9131" s="8">
        <v>55</v>
      </c>
      <c r="E9131" s="8">
        <v>0</v>
      </c>
      <c r="F9131" s="8">
        <v>0</v>
      </c>
      <c r="G9131" s="8">
        <v>3</v>
      </c>
      <c r="H9131" s="8" t="s">
        <v>43900</v>
      </c>
      <c r="I9131" s="8">
        <v>539.625</v>
      </c>
      <c r="J9131" s="3">
        <f t="shared" si="142"/>
        <v>43749.14049701389</v>
      </c>
    </row>
    <row r="9132" spans="1:10" x14ac:dyDescent="0.25">
      <c r="A9132" s="5" t="s">
        <v>43901</v>
      </c>
      <c r="B9132" s="6">
        <v>393.75</v>
      </c>
      <c r="C9132" s="6">
        <v>20.478950000000001</v>
      </c>
      <c r="D9132" s="6">
        <v>56</v>
      </c>
      <c r="E9132" s="6">
        <v>0</v>
      </c>
      <c r="F9132" s="6">
        <v>0</v>
      </c>
      <c r="G9132" s="6">
        <v>9</v>
      </c>
      <c r="H9132" s="6" t="s">
        <v>43902</v>
      </c>
      <c r="I9132" s="6">
        <v>526.6875</v>
      </c>
      <c r="J9132" s="2">
        <f t="shared" si="142"/>
        <v>43749.140580509258</v>
      </c>
    </row>
    <row r="9133" spans="1:10" x14ac:dyDescent="0.25">
      <c r="A9133" s="7" t="s">
        <v>43903</v>
      </c>
      <c r="B9133" s="8">
        <v>393.75</v>
      </c>
      <c r="C9133" s="8">
        <v>20.478950000000001</v>
      </c>
      <c r="D9133" s="8">
        <v>54</v>
      </c>
      <c r="E9133" s="8">
        <v>0</v>
      </c>
      <c r="F9133" s="8">
        <v>0</v>
      </c>
      <c r="G9133" s="8">
        <v>7</v>
      </c>
      <c r="H9133" s="8" t="s">
        <v>43904</v>
      </c>
      <c r="I9133" s="8">
        <v>526.6875</v>
      </c>
      <c r="J9133" s="3">
        <f t="shared" si="142"/>
        <v>43749.140663680555</v>
      </c>
    </row>
    <row r="9134" spans="1:10" x14ac:dyDescent="0.25">
      <c r="A9134" s="5" t="s">
        <v>43905</v>
      </c>
      <c r="B9134" s="6">
        <v>393.75</v>
      </c>
      <c r="C9134" s="6">
        <v>20.478950000000001</v>
      </c>
      <c r="D9134" s="6">
        <v>55</v>
      </c>
      <c r="E9134" s="6">
        <v>0</v>
      </c>
      <c r="F9134" s="6">
        <v>0</v>
      </c>
      <c r="G9134" s="6">
        <v>4</v>
      </c>
      <c r="H9134" s="6" t="s">
        <v>43906</v>
      </c>
      <c r="I9134" s="6">
        <v>526.6875</v>
      </c>
      <c r="J9134" s="2">
        <f t="shared" si="142"/>
        <v>43749.140735532405</v>
      </c>
    </row>
    <row r="9135" spans="1:10" x14ac:dyDescent="0.25">
      <c r="A9135" s="7" t="s">
        <v>43907</v>
      </c>
      <c r="B9135" s="8">
        <v>393.75</v>
      </c>
      <c r="C9135" s="8">
        <v>20.478950000000001</v>
      </c>
      <c r="D9135" s="8">
        <v>55</v>
      </c>
      <c r="E9135" s="8">
        <v>0</v>
      </c>
      <c r="F9135" s="8">
        <v>0</v>
      </c>
      <c r="G9135" s="8">
        <v>8</v>
      </c>
      <c r="H9135" s="8" t="s">
        <v>43908</v>
      </c>
      <c r="I9135" s="8">
        <v>526.6875</v>
      </c>
      <c r="J9135" s="3">
        <f t="shared" si="142"/>
        <v>43749.140819131942</v>
      </c>
    </row>
    <row r="9136" spans="1:10" x14ac:dyDescent="0.25">
      <c r="A9136" s="5" t="s">
        <v>43909</v>
      </c>
      <c r="B9136" s="6">
        <v>393.75</v>
      </c>
      <c r="C9136" s="6">
        <v>20.478950000000001</v>
      </c>
      <c r="D9136" s="6">
        <v>54</v>
      </c>
      <c r="E9136" s="6">
        <v>0</v>
      </c>
      <c r="F9136" s="6">
        <v>0</v>
      </c>
      <c r="G9136" s="6">
        <v>0</v>
      </c>
      <c r="H9136" s="6" t="s">
        <v>43910</v>
      </c>
      <c r="I9136" s="6">
        <v>526.6875</v>
      </c>
      <c r="J9136" s="2">
        <f t="shared" si="142"/>
        <v>43749.140902476851</v>
      </c>
    </row>
    <row r="9137" spans="1:10" x14ac:dyDescent="0.25">
      <c r="A9137" s="7" t="s">
        <v>43911</v>
      </c>
      <c r="B9137" s="8">
        <v>393.75</v>
      </c>
      <c r="C9137" s="8">
        <v>20.478950000000001</v>
      </c>
      <c r="D9137" s="8">
        <v>54</v>
      </c>
      <c r="E9137" s="8">
        <v>0</v>
      </c>
      <c r="F9137" s="8">
        <v>0</v>
      </c>
      <c r="G9137" s="8">
        <v>8</v>
      </c>
      <c r="H9137" s="8" t="s">
        <v>43912</v>
      </c>
      <c r="I9137" s="8">
        <v>526.6875</v>
      </c>
      <c r="J9137" s="3">
        <f t="shared" si="142"/>
        <v>43749.140985798607</v>
      </c>
    </row>
    <row r="9138" spans="1:10" x14ac:dyDescent="0.25">
      <c r="A9138" s="5" t="s">
        <v>43913</v>
      </c>
      <c r="B9138" s="6">
        <v>393.75</v>
      </c>
      <c r="C9138" s="6">
        <v>20.478950000000001</v>
      </c>
      <c r="D9138" s="6">
        <v>53</v>
      </c>
      <c r="E9138" s="6">
        <v>0</v>
      </c>
      <c r="F9138" s="6">
        <v>0</v>
      </c>
      <c r="G9138" s="6">
        <v>1</v>
      </c>
      <c r="H9138" s="6" t="s">
        <v>43914</v>
      </c>
      <c r="I9138" s="6">
        <v>526.6875</v>
      </c>
      <c r="J9138" s="2">
        <f t="shared" si="142"/>
        <v>43749.141069224534</v>
      </c>
    </row>
    <row r="9139" spans="1:10" x14ac:dyDescent="0.25">
      <c r="A9139" s="7" t="s">
        <v>43915</v>
      </c>
      <c r="B9139" s="8">
        <v>393.75</v>
      </c>
      <c r="C9139" s="8">
        <v>20.426300000000001</v>
      </c>
      <c r="D9139" s="8">
        <v>53</v>
      </c>
      <c r="E9139" s="8">
        <v>0</v>
      </c>
      <c r="F9139" s="8">
        <v>0</v>
      </c>
      <c r="G9139" s="8">
        <v>6</v>
      </c>
      <c r="H9139" s="8" t="s">
        <v>43916</v>
      </c>
      <c r="I9139" s="8">
        <v>526.5</v>
      </c>
      <c r="J9139" s="3">
        <f t="shared" si="142"/>
        <v>43749.141152569442</v>
      </c>
    </row>
    <row r="9140" spans="1:10" x14ac:dyDescent="0.25">
      <c r="A9140" s="5" t="s">
        <v>43917</v>
      </c>
      <c r="B9140" s="6">
        <v>393.75</v>
      </c>
      <c r="C9140" s="6">
        <v>20.478950000000001</v>
      </c>
      <c r="D9140" s="6">
        <v>53</v>
      </c>
      <c r="E9140" s="6">
        <v>0</v>
      </c>
      <c r="F9140" s="6">
        <v>0</v>
      </c>
      <c r="G9140" s="6">
        <v>9</v>
      </c>
      <c r="H9140" s="6" t="s">
        <v>43918</v>
      </c>
      <c r="I9140" s="6">
        <v>526.6875</v>
      </c>
      <c r="J9140" s="2">
        <f t="shared" si="142"/>
        <v>43749.141224270832</v>
      </c>
    </row>
    <row r="9141" spans="1:10" x14ac:dyDescent="0.25">
      <c r="A9141" s="7" t="s">
        <v>43919</v>
      </c>
      <c r="B9141" s="8">
        <v>393.75</v>
      </c>
      <c r="C9141" s="8">
        <v>20.478950000000001</v>
      </c>
      <c r="D9141" s="8">
        <v>53</v>
      </c>
      <c r="E9141" s="8">
        <v>0</v>
      </c>
      <c r="F9141" s="8">
        <v>0</v>
      </c>
      <c r="G9141" s="8">
        <v>0</v>
      </c>
      <c r="H9141" s="8" t="s">
        <v>43920</v>
      </c>
      <c r="I9141" s="8">
        <v>526.6875</v>
      </c>
      <c r="J9141" s="3">
        <f t="shared" si="142"/>
        <v>43749.141308136568</v>
      </c>
    </row>
    <row r="9142" spans="1:10" x14ac:dyDescent="0.25">
      <c r="A9142" s="5" t="s">
        <v>43921</v>
      </c>
      <c r="B9142" s="6">
        <v>393.75</v>
      </c>
      <c r="C9142" s="6">
        <v>20.478950000000001</v>
      </c>
      <c r="D9142" s="6">
        <v>53</v>
      </c>
      <c r="E9142" s="6">
        <v>0</v>
      </c>
      <c r="F9142" s="6">
        <v>0</v>
      </c>
      <c r="G9142" s="6">
        <v>13</v>
      </c>
      <c r="H9142" s="6" t="s">
        <v>43922</v>
      </c>
      <c r="I9142" s="6">
        <v>526.6875</v>
      </c>
      <c r="J9142" s="2">
        <f t="shared" si="142"/>
        <v>43749.141379641202</v>
      </c>
    </row>
    <row r="9143" spans="1:10" x14ac:dyDescent="0.25">
      <c r="A9143" s="7" t="s">
        <v>43923</v>
      </c>
      <c r="B9143" s="8">
        <v>393.75</v>
      </c>
      <c r="C9143" s="8">
        <v>20.478950000000001</v>
      </c>
      <c r="D9143" s="8">
        <v>52</v>
      </c>
      <c r="E9143" s="8">
        <v>0</v>
      </c>
      <c r="F9143" s="8">
        <v>0</v>
      </c>
      <c r="G9143" s="8">
        <v>6</v>
      </c>
      <c r="H9143" s="8" t="s">
        <v>43924</v>
      </c>
      <c r="I9143" s="8">
        <v>526.6875</v>
      </c>
      <c r="J9143" s="3">
        <f t="shared" si="142"/>
        <v>43749.141462939813</v>
      </c>
    </row>
    <row r="9144" spans="1:10" x14ac:dyDescent="0.25">
      <c r="A9144" s="5" t="s">
        <v>43925</v>
      </c>
      <c r="B9144" s="6">
        <v>393.75</v>
      </c>
      <c r="C9144" s="6">
        <v>20.478950000000001</v>
      </c>
      <c r="D9144" s="6">
        <v>53</v>
      </c>
      <c r="E9144" s="6">
        <v>0</v>
      </c>
      <c r="F9144" s="6">
        <v>0</v>
      </c>
      <c r="G9144" s="6">
        <v>5</v>
      </c>
      <c r="H9144" s="6" t="s">
        <v>43926</v>
      </c>
      <c r="I9144" s="6">
        <v>526.6875</v>
      </c>
      <c r="J9144" s="2">
        <f t="shared" si="142"/>
        <v>43749.141546504623</v>
      </c>
    </row>
    <row r="9145" spans="1:10" x14ac:dyDescent="0.25">
      <c r="A9145" s="7" t="s">
        <v>43927</v>
      </c>
      <c r="B9145" s="8">
        <v>393.75</v>
      </c>
      <c r="C9145" s="8">
        <v>20.478950000000001</v>
      </c>
      <c r="D9145" s="8">
        <v>55</v>
      </c>
      <c r="E9145" s="8">
        <v>0</v>
      </c>
      <c r="F9145" s="8">
        <v>0</v>
      </c>
      <c r="G9145" s="8">
        <v>6</v>
      </c>
      <c r="H9145" s="8" t="s">
        <v>43928</v>
      </c>
      <c r="I9145" s="8">
        <v>526.6875</v>
      </c>
      <c r="J9145" s="3">
        <f t="shared" si="142"/>
        <v>43749.141629953701</v>
      </c>
    </row>
    <row r="9146" spans="1:10" x14ac:dyDescent="0.25">
      <c r="A9146" s="5" t="s">
        <v>43929</v>
      </c>
      <c r="B9146" s="6">
        <v>393.75</v>
      </c>
      <c r="C9146" s="6">
        <v>20.478950000000001</v>
      </c>
      <c r="D9146" s="6">
        <v>54</v>
      </c>
      <c r="E9146" s="6">
        <v>0</v>
      </c>
      <c r="F9146" s="6">
        <v>0</v>
      </c>
      <c r="G9146" s="6">
        <v>11</v>
      </c>
      <c r="H9146" s="6" t="s">
        <v>43930</v>
      </c>
      <c r="I9146" s="6">
        <v>526.6875</v>
      </c>
      <c r="J9146" s="2">
        <f t="shared" si="142"/>
        <v>43749.141713726851</v>
      </c>
    </row>
    <row r="9147" spans="1:10" x14ac:dyDescent="0.25">
      <c r="A9147" s="7" t="s">
        <v>43931</v>
      </c>
      <c r="B9147" s="8">
        <v>393.75</v>
      </c>
      <c r="C9147" s="8">
        <v>20.478950000000001</v>
      </c>
      <c r="D9147" s="8">
        <v>54</v>
      </c>
      <c r="E9147" s="8">
        <v>0</v>
      </c>
      <c r="F9147" s="8">
        <v>0</v>
      </c>
      <c r="G9147" s="8">
        <v>7</v>
      </c>
      <c r="H9147" s="8" t="s">
        <v>43932</v>
      </c>
      <c r="I9147" s="8">
        <v>526.6875</v>
      </c>
      <c r="J9147" s="3">
        <f t="shared" si="142"/>
        <v>43749.14179700231</v>
      </c>
    </row>
    <row r="9148" spans="1:10" x14ac:dyDescent="0.25">
      <c r="A9148" s="5" t="s">
        <v>43933</v>
      </c>
      <c r="B9148" s="6">
        <v>393.75</v>
      </c>
      <c r="C9148" s="6">
        <v>20.478950000000001</v>
      </c>
      <c r="D9148" s="6">
        <v>54</v>
      </c>
      <c r="E9148" s="6">
        <v>0</v>
      </c>
      <c r="F9148" s="6">
        <v>0</v>
      </c>
      <c r="G9148" s="6">
        <v>9</v>
      </c>
      <c r="H9148" s="6" t="s">
        <v>43934</v>
      </c>
      <c r="I9148" s="6">
        <v>526.6875</v>
      </c>
      <c r="J9148" s="2">
        <f t="shared" si="142"/>
        <v>43749.141880405092</v>
      </c>
    </row>
    <row r="9149" spans="1:10" x14ac:dyDescent="0.25">
      <c r="A9149" s="7" t="s">
        <v>43935</v>
      </c>
      <c r="B9149" s="8">
        <v>393.75</v>
      </c>
      <c r="C9149" s="8">
        <v>20.478950000000001</v>
      </c>
      <c r="D9149" s="8">
        <v>53</v>
      </c>
      <c r="E9149" s="8">
        <v>0</v>
      </c>
      <c r="F9149" s="8">
        <v>0</v>
      </c>
      <c r="G9149" s="8">
        <v>9</v>
      </c>
      <c r="H9149" s="8" t="s">
        <v>43936</v>
      </c>
      <c r="I9149" s="8">
        <v>526.6875</v>
      </c>
      <c r="J9149" s="3">
        <f t="shared" si="142"/>
        <v>43749.141951840276</v>
      </c>
    </row>
    <row r="9150" spans="1:10" x14ac:dyDescent="0.25">
      <c r="A9150" s="5" t="s">
        <v>43937</v>
      </c>
      <c r="B9150" s="6">
        <v>393.75</v>
      </c>
      <c r="C9150" s="6">
        <v>20.478950000000001</v>
      </c>
      <c r="D9150" s="6">
        <v>52</v>
      </c>
      <c r="E9150" s="6">
        <v>0</v>
      </c>
      <c r="F9150" s="6">
        <v>0</v>
      </c>
      <c r="G9150" s="6">
        <v>9</v>
      </c>
      <c r="H9150" s="6" t="s">
        <v>43938</v>
      </c>
      <c r="I9150" s="6">
        <v>526.6875</v>
      </c>
      <c r="J9150" s="2">
        <f t="shared" si="142"/>
        <v>43749.142035393517</v>
      </c>
    </row>
    <row r="9151" spans="1:10" x14ac:dyDescent="0.25">
      <c r="A9151" s="7" t="s">
        <v>43939</v>
      </c>
      <c r="B9151" s="8">
        <v>393.75</v>
      </c>
      <c r="C9151" s="8">
        <v>20.478950000000001</v>
      </c>
      <c r="D9151" s="8">
        <v>51</v>
      </c>
      <c r="E9151" s="8">
        <v>0</v>
      </c>
      <c r="F9151" s="8">
        <v>0</v>
      </c>
      <c r="G9151" s="8">
        <v>17</v>
      </c>
      <c r="H9151" s="8" t="s">
        <v>43940</v>
      </c>
      <c r="I9151" s="8">
        <v>526.6875</v>
      </c>
      <c r="J9151" s="3">
        <f t="shared" si="142"/>
        <v>43749.142118796291</v>
      </c>
    </row>
    <row r="9152" spans="1:10" x14ac:dyDescent="0.25">
      <c r="A9152" s="5" t="s">
        <v>43941</v>
      </c>
      <c r="B9152" s="6">
        <v>393.75</v>
      </c>
      <c r="C9152" s="6">
        <v>20.478950000000001</v>
      </c>
      <c r="D9152" s="6">
        <v>53</v>
      </c>
      <c r="E9152" s="6">
        <v>0</v>
      </c>
      <c r="F9152" s="6">
        <v>0</v>
      </c>
      <c r="G9152" s="6">
        <v>0</v>
      </c>
      <c r="H9152" s="6" t="s">
        <v>43942</v>
      </c>
      <c r="I9152" s="6">
        <v>526.6875</v>
      </c>
      <c r="J9152" s="2">
        <f t="shared" si="142"/>
        <v>43749.142214305553</v>
      </c>
    </row>
    <row r="9153" spans="1:10" x14ac:dyDescent="0.25">
      <c r="A9153" s="7" t="s">
        <v>43943</v>
      </c>
      <c r="B9153" s="8">
        <v>393.75</v>
      </c>
      <c r="C9153" s="8">
        <v>20.478950000000001</v>
      </c>
      <c r="D9153" s="8">
        <v>52</v>
      </c>
      <c r="E9153" s="8">
        <v>0</v>
      </c>
      <c r="F9153" s="8">
        <v>0</v>
      </c>
      <c r="G9153" s="8">
        <v>6</v>
      </c>
      <c r="H9153" s="8" t="s">
        <v>43944</v>
      </c>
      <c r="I9153" s="8">
        <v>526.6875</v>
      </c>
      <c r="J9153" s="3">
        <f t="shared" si="142"/>
        <v>43749.142297511571</v>
      </c>
    </row>
    <row r="9154" spans="1:10" x14ac:dyDescent="0.25">
      <c r="A9154" s="5" t="s">
        <v>43945</v>
      </c>
      <c r="B9154" s="6">
        <v>393.75</v>
      </c>
      <c r="C9154" s="6">
        <v>20.478950000000001</v>
      </c>
      <c r="D9154" s="6">
        <v>56</v>
      </c>
      <c r="E9154" s="6">
        <v>0</v>
      </c>
      <c r="F9154" s="6">
        <v>0</v>
      </c>
      <c r="G9154" s="6">
        <v>5</v>
      </c>
      <c r="H9154" s="6" t="s">
        <v>43946</v>
      </c>
      <c r="I9154" s="6">
        <v>526.6875</v>
      </c>
      <c r="J9154" s="2">
        <f t="shared" ref="J9154:J9217" si="143">(H9154/86400000)+25569+(7/24)</f>
        <v>43749.142369201385</v>
      </c>
    </row>
    <row r="9155" spans="1:10" x14ac:dyDescent="0.25">
      <c r="A9155" s="7" t="s">
        <v>43947</v>
      </c>
      <c r="B9155" s="8">
        <v>393.75</v>
      </c>
      <c r="C9155" s="8">
        <v>20.478950000000001</v>
      </c>
      <c r="D9155" s="8">
        <v>55</v>
      </c>
      <c r="E9155" s="8">
        <v>0</v>
      </c>
      <c r="F9155" s="8">
        <v>0</v>
      </c>
      <c r="G9155" s="8">
        <v>15</v>
      </c>
      <c r="H9155" s="8" t="s">
        <v>43948</v>
      </c>
      <c r="I9155" s="8">
        <v>526.6875</v>
      </c>
      <c r="J9155" s="3">
        <f t="shared" si="143"/>
        <v>43749.142452465276</v>
      </c>
    </row>
    <row r="9156" spans="1:10" x14ac:dyDescent="0.25">
      <c r="A9156" s="5" t="s">
        <v>43949</v>
      </c>
      <c r="B9156" s="6">
        <v>412.5</v>
      </c>
      <c r="C9156" s="6">
        <v>20.426300000000001</v>
      </c>
      <c r="D9156" s="6">
        <v>55</v>
      </c>
      <c r="E9156" s="6">
        <v>0</v>
      </c>
      <c r="F9156" s="6">
        <v>0</v>
      </c>
      <c r="G9156" s="6">
        <v>6</v>
      </c>
      <c r="H9156" s="6" t="s">
        <v>43950</v>
      </c>
      <c r="I9156" s="6">
        <v>532.5</v>
      </c>
      <c r="J9156" s="2">
        <f t="shared" si="143"/>
        <v>43749.142523807866</v>
      </c>
    </row>
    <row r="9157" spans="1:10" x14ac:dyDescent="0.25">
      <c r="A9157" s="7" t="s">
        <v>43951</v>
      </c>
      <c r="B9157" s="8">
        <v>393.75</v>
      </c>
      <c r="C9157" s="8">
        <v>20.478950000000001</v>
      </c>
      <c r="D9157" s="8">
        <v>54</v>
      </c>
      <c r="E9157" s="8">
        <v>0</v>
      </c>
      <c r="F9157" s="8">
        <v>0</v>
      </c>
      <c r="G9157" s="8">
        <v>7</v>
      </c>
      <c r="H9157" s="8" t="s">
        <v>43952</v>
      </c>
      <c r="I9157" s="8">
        <v>526.6875</v>
      </c>
      <c r="J9157" s="3">
        <f t="shared" si="143"/>
        <v>43749.142595798614</v>
      </c>
    </row>
    <row r="9158" spans="1:10" x14ac:dyDescent="0.25">
      <c r="A9158" s="5" t="s">
        <v>43953</v>
      </c>
      <c r="B9158" s="6">
        <v>393.75</v>
      </c>
      <c r="C9158" s="6">
        <v>20.478950000000001</v>
      </c>
      <c r="D9158" s="6">
        <v>54</v>
      </c>
      <c r="E9158" s="6">
        <v>0</v>
      </c>
      <c r="F9158" s="6">
        <v>0</v>
      </c>
      <c r="G9158" s="6">
        <v>4</v>
      </c>
      <c r="H9158" s="6" t="s">
        <v>43954</v>
      </c>
      <c r="I9158" s="6">
        <v>526.6875</v>
      </c>
      <c r="J9158" s="2">
        <f t="shared" si="143"/>
        <v>43749.142667361106</v>
      </c>
    </row>
    <row r="9159" spans="1:10" x14ac:dyDescent="0.25">
      <c r="A9159" s="7" t="s">
        <v>43955</v>
      </c>
      <c r="B9159" s="8">
        <v>393.75</v>
      </c>
      <c r="C9159" s="8">
        <v>20.478950000000001</v>
      </c>
      <c r="D9159" s="8">
        <v>54</v>
      </c>
      <c r="E9159" s="8">
        <v>0</v>
      </c>
      <c r="F9159" s="8">
        <v>0</v>
      </c>
      <c r="G9159" s="8">
        <v>14</v>
      </c>
      <c r="H9159" s="8" t="s">
        <v>43956</v>
      </c>
      <c r="I9159" s="8">
        <v>526.6875</v>
      </c>
      <c r="J9159" s="3">
        <f t="shared" si="143"/>
        <v>43749.142750949068</v>
      </c>
    </row>
    <row r="9160" spans="1:10" x14ac:dyDescent="0.25">
      <c r="A9160" s="5" t="s">
        <v>43957</v>
      </c>
      <c r="B9160" s="6">
        <v>393.75</v>
      </c>
      <c r="C9160" s="6">
        <v>20.478950000000001</v>
      </c>
      <c r="D9160" s="6">
        <v>54</v>
      </c>
      <c r="E9160" s="6">
        <v>0</v>
      </c>
      <c r="F9160" s="6">
        <v>0</v>
      </c>
      <c r="G9160" s="6">
        <v>5</v>
      </c>
      <c r="H9160" s="6" t="s">
        <v>43958</v>
      </c>
      <c r="I9160" s="6">
        <v>526.6875</v>
      </c>
      <c r="J9160" s="2">
        <f t="shared" si="143"/>
        <v>43749.142835266197</v>
      </c>
    </row>
    <row r="9161" spans="1:10" x14ac:dyDescent="0.25">
      <c r="A9161" s="7" t="s">
        <v>43959</v>
      </c>
      <c r="B9161" s="8">
        <v>393.75</v>
      </c>
      <c r="C9161" s="8">
        <v>20.478950000000001</v>
      </c>
      <c r="D9161" s="8">
        <v>55</v>
      </c>
      <c r="E9161" s="8">
        <v>0</v>
      </c>
      <c r="F9161" s="8">
        <v>0</v>
      </c>
      <c r="G9161" s="8">
        <v>3</v>
      </c>
      <c r="H9161" s="8" t="s">
        <v>43960</v>
      </c>
      <c r="I9161" s="8">
        <v>526.6875</v>
      </c>
      <c r="J9161" s="3">
        <f t="shared" si="143"/>
        <v>43749.14291790509</v>
      </c>
    </row>
    <row r="9162" spans="1:10" x14ac:dyDescent="0.25">
      <c r="A9162" s="5" t="s">
        <v>43961</v>
      </c>
      <c r="B9162" s="6">
        <v>412.5</v>
      </c>
      <c r="C9162" s="6">
        <v>20.478950000000001</v>
      </c>
      <c r="D9162" s="6">
        <v>55</v>
      </c>
      <c r="E9162" s="6">
        <v>0</v>
      </c>
      <c r="F9162" s="6">
        <v>0</v>
      </c>
      <c r="G9162" s="6">
        <v>4</v>
      </c>
      <c r="H9162" s="6" t="s">
        <v>43962</v>
      </c>
      <c r="I9162" s="6">
        <v>532.5</v>
      </c>
      <c r="J9162" s="2">
        <f t="shared" si="143"/>
        <v>43749.142989131942</v>
      </c>
    </row>
    <row r="9163" spans="1:10" x14ac:dyDescent="0.25">
      <c r="A9163" s="7" t="s">
        <v>43963</v>
      </c>
      <c r="B9163" s="8">
        <v>393.75</v>
      </c>
      <c r="C9163" s="8">
        <v>20.426300000000001</v>
      </c>
      <c r="D9163" s="8">
        <v>56</v>
      </c>
      <c r="E9163" s="8">
        <v>0</v>
      </c>
      <c r="F9163" s="8">
        <v>0</v>
      </c>
      <c r="G9163" s="8">
        <v>8</v>
      </c>
      <c r="H9163" s="8" t="s">
        <v>43964</v>
      </c>
      <c r="I9163" s="8">
        <v>526.6875</v>
      </c>
      <c r="J9163" s="3">
        <f t="shared" si="143"/>
        <v>43749.143061006944</v>
      </c>
    </row>
    <row r="9164" spans="1:10" x14ac:dyDescent="0.25">
      <c r="A9164" s="5" t="s">
        <v>43965</v>
      </c>
      <c r="B9164" s="6">
        <v>393.75</v>
      </c>
      <c r="C9164" s="6">
        <v>20.478950000000001</v>
      </c>
      <c r="D9164" s="6">
        <v>56</v>
      </c>
      <c r="E9164" s="6">
        <v>0</v>
      </c>
      <c r="F9164" s="6">
        <v>0</v>
      </c>
      <c r="G9164" s="6">
        <v>7</v>
      </c>
      <c r="H9164" s="6" t="s">
        <v>43966</v>
      </c>
      <c r="I9164" s="6">
        <v>526.6875</v>
      </c>
      <c r="J9164" s="2">
        <f t="shared" si="143"/>
        <v>43749.143144502312</v>
      </c>
    </row>
    <row r="9165" spans="1:10" x14ac:dyDescent="0.25">
      <c r="A9165" s="7" t="s">
        <v>43967</v>
      </c>
      <c r="B9165" s="8">
        <v>393.75</v>
      </c>
      <c r="C9165" s="8">
        <v>20.478950000000001</v>
      </c>
      <c r="D9165" s="8">
        <v>56</v>
      </c>
      <c r="E9165" s="8">
        <v>0</v>
      </c>
      <c r="F9165" s="8">
        <v>0</v>
      </c>
      <c r="G9165" s="8">
        <v>10</v>
      </c>
      <c r="H9165" s="8" t="s">
        <v>43968</v>
      </c>
      <c r="I9165" s="8">
        <v>526.6875</v>
      </c>
      <c r="J9165" s="3">
        <f t="shared" si="143"/>
        <v>43749.143215798606</v>
      </c>
    </row>
    <row r="9166" spans="1:10" x14ac:dyDescent="0.25">
      <c r="A9166" s="5" t="s">
        <v>43969</v>
      </c>
      <c r="B9166" s="6">
        <v>393.75</v>
      </c>
      <c r="C9166" s="6">
        <v>20.426300000000001</v>
      </c>
      <c r="D9166" s="6">
        <v>56</v>
      </c>
      <c r="E9166" s="6">
        <v>0</v>
      </c>
      <c r="F9166" s="6">
        <v>0</v>
      </c>
      <c r="G9166" s="6">
        <v>13</v>
      </c>
      <c r="H9166" s="6" t="s">
        <v>43970</v>
      </c>
      <c r="I9166" s="6">
        <v>526.5</v>
      </c>
      <c r="J9166" s="2">
        <f t="shared" si="143"/>
        <v>43749.143299560186</v>
      </c>
    </row>
    <row r="9167" spans="1:10" x14ac:dyDescent="0.25">
      <c r="A9167" s="7" t="s">
        <v>43971</v>
      </c>
      <c r="B9167" s="8">
        <v>393.75</v>
      </c>
      <c r="C9167" s="8">
        <v>20.478950000000001</v>
      </c>
      <c r="D9167" s="8">
        <v>56</v>
      </c>
      <c r="E9167" s="8">
        <v>0</v>
      </c>
      <c r="F9167" s="8">
        <v>0</v>
      </c>
      <c r="G9167" s="8">
        <v>4</v>
      </c>
      <c r="H9167" s="8" t="s">
        <v>43972</v>
      </c>
      <c r="I9167" s="8">
        <v>526.6875</v>
      </c>
      <c r="J9167" s="3">
        <f t="shared" si="143"/>
        <v>43749.143382986113</v>
      </c>
    </row>
    <row r="9168" spans="1:10" x14ac:dyDescent="0.25">
      <c r="A9168" s="5" t="s">
        <v>43973</v>
      </c>
      <c r="B9168" s="6">
        <v>434.375</v>
      </c>
      <c r="C9168" s="6">
        <v>20.478950000000001</v>
      </c>
      <c r="D9168" s="6">
        <v>55</v>
      </c>
      <c r="E9168" s="6">
        <v>0</v>
      </c>
      <c r="F9168" s="6">
        <v>0</v>
      </c>
      <c r="G9168" s="6">
        <v>10</v>
      </c>
      <c r="H9168" s="6" t="s">
        <v>43974</v>
      </c>
      <c r="I9168" s="6">
        <v>539.25</v>
      </c>
      <c r="J9168" s="2">
        <f t="shared" si="143"/>
        <v>43749.14345452546</v>
      </c>
    </row>
    <row r="9169" spans="1:10" x14ac:dyDescent="0.25">
      <c r="A9169" s="7" t="s">
        <v>43975</v>
      </c>
      <c r="B9169" s="8">
        <v>393.75</v>
      </c>
      <c r="C9169" s="8">
        <v>20.478950000000001</v>
      </c>
      <c r="D9169" s="8">
        <v>57</v>
      </c>
      <c r="E9169" s="8">
        <v>0</v>
      </c>
      <c r="F9169" s="8">
        <v>0</v>
      </c>
      <c r="G9169" s="8">
        <v>16</v>
      </c>
      <c r="H9169" s="8" t="s">
        <v>43976</v>
      </c>
      <c r="I9169" s="8">
        <v>526.6875</v>
      </c>
      <c r="J9169" s="3">
        <f t="shared" si="143"/>
        <v>43749.143537754622</v>
      </c>
    </row>
    <row r="9170" spans="1:10" x14ac:dyDescent="0.25">
      <c r="A9170" s="5" t="s">
        <v>43977</v>
      </c>
      <c r="B9170" s="6">
        <v>393.75</v>
      </c>
      <c r="C9170" s="6">
        <v>20.478950000000001</v>
      </c>
      <c r="D9170" s="6">
        <v>55</v>
      </c>
      <c r="E9170" s="6">
        <v>0</v>
      </c>
      <c r="F9170" s="6">
        <v>0</v>
      </c>
      <c r="G9170" s="6">
        <v>9</v>
      </c>
      <c r="H9170" s="6" t="s">
        <v>43978</v>
      </c>
      <c r="I9170" s="6">
        <v>526.6875</v>
      </c>
      <c r="J9170" s="2">
        <f t="shared" si="143"/>
        <v>43749.143609571758</v>
      </c>
    </row>
    <row r="9171" spans="1:10" x14ac:dyDescent="0.25">
      <c r="A9171" s="7" t="s">
        <v>43979</v>
      </c>
      <c r="B9171" s="8">
        <v>393.75</v>
      </c>
      <c r="C9171" s="8">
        <v>20.426300000000001</v>
      </c>
      <c r="D9171" s="8">
        <v>55</v>
      </c>
      <c r="E9171" s="8">
        <v>0</v>
      </c>
      <c r="F9171" s="8">
        <v>0</v>
      </c>
      <c r="G9171" s="8">
        <v>8</v>
      </c>
      <c r="H9171" s="8" t="s">
        <v>43980</v>
      </c>
      <c r="I9171" s="8">
        <v>526.6875</v>
      </c>
      <c r="J9171" s="3">
        <f t="shared" si="143"/>
        <v>43749.143693344908</v>
      </c>
    </row>
    <row r="9172" spans="1:10" x14ac:dyDescent="0.25">
      <c r="A9172" s="5" t="s">
        <v>43981</v>
      </c>
      <c r="B9172" s="6">
        <v>393.75</v>
      </c>
      <c r="C9172" s="6">
        <v>20.478950000000001</v>
      </c>
      <c r="D9172" s="6">
        <v>55</v>
      </c>
      <c r="E9172" s="6">
        <v>0</v>
      </c>
      <c r="F9172" s="6">
        <v>0</v>
      </c>
      <c r="G9172" s="6">
        <v>5</v>
      </c>
      <c r="H9172" s="6" t="s">
        <v>43982</v>
      </c>
      <c r="I9172" s="6">
        <v>526.6875</v>
      </c>
      <c r="J9172" s="2">
        <f t="shared" si="143"/>
        <v>43749.14377657407</v>
      </c>
    </row>
    <row r="9173" spans="1:10" x14ac:dyDescent="0.25">
      <c r="A9173" s="7" t="s">
        <v>43983</v>
      </c>
      <c r="B9173" s="8">
        <v>393.75</v>
      </c>
      <c r="C9173" s="8">
        <v>20.478950000000001</v>
      </c>
      <c r="D9173" s="8">
        <v>55</v>
      </c>
      <c r="E9173" s="8">
        <v>0</v>
      </c>
      <c r="F9173" s="8">
        <v>0</v>
      </c>
      <c r="G9173" s="8">
        <v>17</v>
      </c>
      <c r="H9173" s="8" t="s">
        <v>43984</v>
      </c>
      <c r="I9173" s="8">
        <v>526.6875</v>
      </c>
      <c r="J9173" s="3">
        <f t="shared" si="143"/>
        <v>43749.1438599537</v>
      </c>
    </row>
    <row r="9174" spans="1:10" x14ac:dyDescent="0.25">
      <c r="A9174" s="5" t="s">
        <v>43985</v>
      </c>
      <c r="B9174" s="6">
        <v>393.75</v>
      </c>
      <c r="C9174" s="6">
        <v>20.478950000000001</v>
      </c>
      <c r="D9174" s="6">
        <v>55</v>
      </c>
      <c r="E9174" s="6">
        <v>0</v>
      </c>
      <c r="F9174" s="6">
        <v>0</v>
      </c>
      <c r="G9174" s="6">
        <v>11</v>
      </c>
      <c r="H9174" s="6" t="s">
        <v>43986</v>
      </c>
      <c r="I9174" s="6">
        <v>526.6875</v>
      </c>
      <c r="J9174" s="2">
        <f t="shared" si="143"/>
        <v>43749.143931608793</v>
      </c>
    </row>
    <row r="9175" spans="1:10" x14ac:dyDescent="0.25">
      <c r="A9175" s="7" t="s">
        <v>43987</v>
      </c>
      <c r="B9175" s="8">
        <v>393.75</v>
      </c>
      <c r="C9175" s="8">
        <v>20.478950000000001</v>
      </c>
      <c r="D9175" s="8">
        <v>55</v>
      </c>
      <c r="E9175" s="8">
        <v>0</v>
      </c>
      <c r="F9175" s="8">
        <v>0</v>
      </c>
      <c r="G9175" s="8">
        <v>0</v>
      </c>
      <c r="H9175" s="8" t="s">
        <v>43988</v>
      </c>
      <c r="I9175" s="8">
        <v>526.6875</v>
      </c>
      <c r="J9175" s="3">
        <f t="shared" si="143"/>
        <v>43749.144015127313</v>
      </c>
    </row>
    <row r="9176" spans="1:10" x14ac:dyDescent="0.25">
      <c r="A9176" s="5" t="s">
        <v>43989</v>
      </c>
      <c r="B9176" s="6">
        <v>393.75</v>
      </c>
      <c r="C9176" s="6">
        <v>20.478950000000001</v>
      </c>
      <c r="D9176" s="6">
        <v>54</v>
      </c>
      <c r="E9176" s="6">
        <v>0</v>
      </c>
      <c r="F9176" s="6">
        <v>0</v>
      </c>
      <c r="G9176" s="6">
        <v>12</v>
      </c>
      <c r="H9176" s="6" t="s">
        <v>43990</v>
      </c>
      <c r="I9176" s="6">
        <v>526.6875</v>
      </c>
      <c r="J9176" s="2">
        <f t="shared" si="143"/>
        <v>43749.144087002314</v>
      </c>
    </row>
    <row r="9177" spans="1:10" x14ac:dyDescent="0.25">
      <c r="A9177" s="7" t="s">
        <v>43991</v>
      </c>
      <c r="B9177" s="8">
        <v>393.75</v>
      </c>
      <c r="C9177" s="8">
        <v>20.478950000000001</v>
      </c>
      <c r="D9177" s="8">
        <v>54</v>
      </c>
      <c r="E9177" s="8">
        <v>0</v>
      </c>
      <c r="F9177" s="8">
        <v>0</v>
      </c>
      <c r="G9177" s="8">
        <v>2</v>
      </c>
      <c r="H9177" s="8" t="s">
        <v>43992</v>
      </c>
      <c r="I9177" s="8">
        <v>526.6875</v>
      </c>
      <c r="J9177" s="3">
        <f t="shared" si="143"/>
        <v>43749.144170115738</v>
      </c>
    </row>
    <row r="9178" spans="1:10" x14ac:dyDescent="0.25">
      <c r="A9178" s="5" t="s">
        <v>43993</v>
      </c>
      <c r="B9178" s="6">
        <v>393.75</v>
      </c>
      <c r="C9178" s="6">
        <v>20.478950000000001</v>
      </c>
      <c r="D9178" s="6">
        <v>55</v>
      </c>
      <c r="E9178" s="6">
        <v>0</v>
      </c>
      <c r="F9178" s="6">
        <v>0</v>
      </c>
      <c r="G9178" s="6">
        <v>10</v>
      </c>
      <c r="H9178" s="6" t="s">
        <v>43994</v>
      </c>
      <c r="I9178" s="6">
        <v>526.6875</v>
      </c>
      <c r="J9178" s="2">
        <f t="shared" si="143"/>
        <v>43749.144241435184</v>
      </c>
    </row>
    <row r="9179" spans="1:10" x14ac:dyDescent="0.25">
      <c r="A9179" s="7" t="s">
        <v>43995</v>
      </c>
      <c r="B9179" s="8">
        <v>393.75</v>
      </c>
      <c r="C9179" s="8">
        <v>20.478950000000001</v>
      </c>
      <c r="D9179" s="8">
        <v>56</v>
      </c>
      <c r="E9179" s="8">
        <v>0</v>
      </c>
      <c r="F9179" s="8">
        <v>0</v>
      </c>
      <c r="G9179" s="8">
        <v>13</v>
      </c>
      <c r="H9179" s="8" t="s">
        <v>43996</v>
      </c>
      <c r="I9179" s="8">
        <v>526.6875</v>
      </c>
      <c r="J9179" s="3">
        <f t="shared" si="143"/>
        <v>43749.144313136574</v>
      </c>
    </row>
    <row r="9180" spans="1:10" x14ac:dyDescent="0.25">
      <c r="A9180" s="5" t="s">
        <v>43997</v>
      </c>
      <c r="B9180" s="6">
        <v>412.5</v>
      </c>
      <c r="C9180" s="6">
        <v>20.478950000000001</v>
      </c>
      <c r="D9180" s="6">
        <v>57</v>
      </c>
      <c r="E9180" s="6">
        <v>0</v>
      </c>
      <c r="F9180" s="6">
        <v>0</v>
      </c>
      <c r="G9180" s="6">
        <v>2</v>
      </c>
      <c r="H9180" s="6" t="s">
        <v>43998</v>
      </c>
      <c r="I9180" s="6">
        <v>532.5</v>
      </c>
      <c r="J9180" s="2">
        <f t="shared" si="143"/>
        <v>43749.144396666663</v>
      </c>
    </row>
    <row r="9181" spans="1:10" x14ac:dyDescent="0.25">
      <c r="A9181" s="7" t="s">
        <v>43999</v>
      </c>
      <c r="B9181" s="8">
        <v>393.75</v>
      </c>
      <c r="C9181" s="8">
        <v>20.478950000000001</v>
      </c>
      <c r="D9181" s="8">
        <v>57</v>
      </c>
      <c r="E9181" s="8">
        <v>0</v>
      </c>
      <c r="F9181" s="8">
        <v>0</v>
      </c>
      <c r="G9181" s="8">
        <v>7</v>
      </c>
      <c r="H9181" s="8" t="s">
        <v>44000</v>
      </c>
      <c r="I9181" s="8">
        <v>526.6875</v>
      </c>
      <c r="J9181" s="3">
        <f t="shared" si="143"/>
        <v>43749.144480150462</v>
      </c>
    </row>
    <row r="9182" spans="1:10" x14ac:dyDescent="0.25">
      <c r="A9182" s="5" t="s">
        <v>44001</v>
      </c>
      <c r="B9182" s="6">
        <v>393.75</v>
      </c>
      <c r="C9182" s="6">
        <v>20.478950000000001</v>
      </c>
      <c r="D9182" s="6">
        <v>56</v>
      </c>
      <c r="E9182" s="6">
        <v>0</v>
      </c>
      <c r="F9182" s="6">
        <v>0</v>
      </c>
      <c r="G9182" s="6">
        <v>2</v>
      </c>
      <c r="H9182" s="6" t="s">
        <v>44002</v>
      </c>
      <c r="I9182" s="6">
        <v>526.6875</v>
      </c>
      <c r="J9182" s="2">
        <f t="shared" si="143"/>
        <v>43749.144563668982</v>
      </c>
    </row>
    <row r="9183" spans="1:10" x14ac:dyDescent="0.25">
      <c r="A9183" s="7" t="s">
        <v>44003</v>
      </c>
      <c r="B9183" s="8">
        <v>393.75</v>
      </c>
      <c r="C9183" s="8">
        <v>20.478950000000001</v>
      </c>
      <c r="D9183" s="8">
        <v>54</v>
      </c>
      <c r="E9183" s="8">
        <v>0</v>
      </c>
      <c r="F9183" s="8">
        <v>0</v>
      </c>
      <c r="G9183" s="8">
        <v>6</v>
      </c>
      <c r="H9183" s="8" t="s">
        <v>44004</v>
      </c>
      <c r="I9183" s="8">
        <v>526.5</v>
      </c>
      <c r="J9183" s="3">
        <f t="shared" si="143"/>
        <v>43749.144635196753</v>
      </c>
    </row>
    <row r="9184" spans="1:10" x14ac:dyDescent="0.25">
      <c r="A9184" s="5" t="s">
        <v>44005</v>
      </c>
      <c r="B9184" s="6">
        <v>393.75</v>
      </c>
      <c r="C9184" s="6">
        <v>20.478950000000001</v>
      </c>
      <c r="D9184" s="6">
        <v>55</v>
      </c>
      <c r="E9184" s="6">
        <v>0</v>
      </c>
      <c r="F9184" s="6">
        <v>0</v>
      </c>
      <c r="G9184" s="6">
        <v>8</v>
      </c>
      <c r="H9184" s="6" t="s">
        <v>44006</v>
      </c>
      <c r="I9184" s="6">
        <v>526.6875</v>
      </c>
      <c r="J9184" s="2">
        <f t="shared" si="143"/>
        <v>43749.144718692129</v>
      </c>
    </row>
    <row r="9185" spans="1:10" x14ac:dyDescent="0.25">
      <c r="A9185" s="7" t="s">
        <v>44007</v>
      </c>
      <c r="B9185" s="8">
        <v>393.75</v>
      </c>
      <c r="C9185" s="8">
        <v>20.478950000000001</v>
      </c>
      <c r="D9185" s="8">
        <v>54</v>
      </c>
      <c r="E9185" s="8">
        <v>0</v>
      </c>
      <c r="F9185" s="8">
        <v>0</v>
      </c>
      <c r="G9185" s="8">
        <v>0</v>
      </c>
      <c r="H9185" s="8" t="s">
        <v>44008</v>
      </c>
      <c r="I9185" s="8">
        <v>526.6875</v>
      </c>
      <c r="J9185" s="3">
        <f t="shared" si="143"/>
        <v>43749.14481416667</v>
      </c>
    </row>
    <row r="9186" spans="1:10" x14ac:dyDescent="0.25">
      <c r="A9186" s="5" t="s">
        <v>44009</v>
      </c>
      <c r="B9186" s="6">
        <v>393.75</v>
      </c>
      <c r="C9186" s="6">
        <v>20.478950000000001</v>
      </c>
      <c r="D9186" s="6">
        <v>54</v>
      </c>
      <c r="E9186" s="6">
        <v>0</v>
      </c>
      <c r="F9186" s="6">
        <v>0</v>
      </c>
      <c r="G9186" s="6">
        <v>4</v>
      </c>
      <c r="H9186" s="6" t="s">
        <v>44010</v>
      </c>
      <c r="I9186" s="6">
        <v>526.6875</v>
      </c>
      <c r="J9186" s="2">
        <f t="shared" si="143"/>
        <v>43749.144897754632</v>
      </c>
    </row>
    <row r="9187" spans="1:10" x14ac:dyDescent="0.25">
      <c r="A9187" s="7" t="s">
        <v>44011</v>
      </c>
      <c r="B9187" s="8">
        <v>412.5</v>
      </c>
      <c r="C9187" s="8">
        <v>20.478950000000001</v>
      </c>
      <c r="D9187" s="8">
        <v>53</v>
      </c>
      <c r="E9187" s="8">
        <v>0</v>
      </c>
      <c r="F9187" s="8">
        <v>0</v>
      </c>
      <c r="G9187" s="8">
        <v>3</v>
      </c>
      <c r="H9187" s="8" t="s">
        <v>44012</v>
      </c>
      <c r="I9187" s="8">
        <v>532.6875</v>
      </c>
      <c r="J9187" s="3">
        <f t="shared" si="143"/>
        <v>43749.144969085646</v>
      </c>
    </row>
    <row r="9188" spans="1:10" x14ac:dyDescent="0.25">
      <c r="A9188" s="5" t="s">
        <v>44013</v>
      </c>
      <c r="B9188" s="6">
        <v>393.75</v>
      </c>
      <c r="C9188" s="6">
        <v>20.426300000000001</v>
      </c>
      <c r="D9188" s="6">
        <v>54</v>
      </c>
      <c r="E9188" s="6">
        <v>0</v>
      </c>
      <c r="F9188" s="6">
        <v>0</v>
      </c>
      <c r="G9188" s="6">
        <v>9</v>
      </c>
      <c r="H9188" s="6" t="s">
        <v>44014</v>
      </c>
      <c r="I9188" s="6">
        <v>526.6875</v>
      </c>
      <c r="J9188" s="2">
        <f t="shared" si="143"/>
        <v>43749.145064594901</v>
      </c>
    </row>
    <row r="9189" spans="1:10" x14ac:dyDescent="0.25">
      <c r="A9189" s="7" t="s">
        <v>44015</v>
      </c>
      <c r="B9189" s="8">
        <v>393.75</v>
      </c>
      <c r="C9189" s="8">
        <v>20.478950000000001</v>
      </c>
      <c r="D9189" s="8">
        <v>54</v>
      </c>
      <c r="E9189" s="8">
        <v>0</v>
      </c>
      <c r="F9189" s="8">
        <v>0</v>
      </c>
      <c r="G9189" s="8">
        <v>7</v>
      </c>
      <c r="H9189" s="8" t="s">
        <v>44016</v>
      </c>
      <c r="I9189" s="8">
        <v>526.6875</v>
      </c>
      <c r="J9189" s="3">
        <f t="shared" si="143"/>
        <v>43749.145136041661</v>
      </c>
    </row>
    <row r="9190" spans="1:10" x14ac:dyDescent="0.25">
      <c r="A9190" s="5" t="s">
        <v>44017</v>
      </c>
      <c r="B9190" s="6">
        <v>393.75</v>
      </c>
      <c r="C9190" s="6">
        <v>20.426300000000001</v>
      </c>
      <c r="D9190" s="6">
        <v>54</v>
      </c>
      <c r="E9190" s="6">
        <v>0</v>
      </c>
      <c r="F9190" s="6">
        <v>0</v>
      </c>
      <c r="G9190" s="6">
        <v>12</v>
      </c>
      <c r="H9190" s="6" t="s">
        <v>44018</v>
      </c>
      <c r="I9190" s="6">
        <v>526.6875</v>
      </c>
      <c r="J9190" s="2">
        <f t="shared" si="143"/>
        <v>43749.145207986112</v>
      </c>
    </row>
    <row r="9191" spans="1:10" x14ac:dyDescent="0.25">
      <c r="A9191" s="7" t="s">
        <v>44019</v>
      </c>
      <c r="B9191" s="8">
        <v>393.75</v>
      </c>
      <c r="C9191" s="8">
        <v>20.478950000000001</v>
      </c>
      <c r="D9191" s="8">
        <v>55</v>
      </c>
      <c r="E9191" s="8">
        <v>0</v>
      </c>
      <c r="F9191" s="8">
        <v>0</v>
      </c>
      <c r="G9191" s="8">
        <v>0</v>
      </c>
      <c r="H9191" s="8" t="s">
        <v>44020</v>
      </c>
      <c r="I9191" s="8">
        <v>526.6875</v>
      </c>
      <c r="J9191" s="3">
        <f t="shared" si="143"/>
        <v>43749.14527891203</v>
      </c>
    </row>
    <row r="9192" spans="1:10" x14ac:dyDescent="0.25">
      <c r="A9192" s="5" t="s">
        <v>44021</v>
      </c>
      <c r="B9192" s="6">
        <v>393.75</v>
      </c>
      <c r="C9192" s="6">
        <v>20.478950000000001</v>
      </c>
      <c r="D9192" s="6">
        <v>54</v>
      </c>
      <c r="E9192" s="6">
        <v>0</v>
      </c>
      <c r="F9192" s="6">
        <v>0</v>
      </c>
      <c r="G9192" s="6">
        <v>8</v>
      </c>
      <c r="H9192" s="6" t="s">
        <v>44022</v>
      </c>
      <c r="I9192" s="6">
        <v>526.5</v>
      </c>
      <c r="J9192" s="2">
        <f t="shared" si="143"/>
        <v>43749.145350879626</v>
      </c>
    </row>
    <row r="9193" spans="1:10" x14ac:dyDescent="0.25">
      <c r="A9193" s="7" t="s">
        <v>44023</v>
      </c>
      <c r="B9193" s="8">
        <v>393.75</v>
      </c>
      <c r="C9193" s="8">
        <v>20.478950000000001</v>
      </c>
      <c r="D9193" s="8">
        <v>54</v>
      </c>
      <c r="E9193" s="8">
        <v>0</v>
      </c>
      <c r="F9193" s="8">
        <v>0</v>
      </c>
      <c r="G9193" s="8">
        <v>3</v>
      </c>
      <c r="H9193" s="8" t="s">
        <v>44024</v>
      </c>
      <c r="I9193" s="8">
        <v>526.5</v>
      </c>
      <c r="J9193" s="3">
        <f t="shared" si="143"/>
        <v>43749.145434143516</v>
      </c>
    </row>
    <row r="9194" spans="1:10" x14ac:dyDescent="0.25">
      <c r="A9194" s="5" t="s">
        <v>44025</v>
      </c>
      <c r="B9194" s="6">
        <v>393.75</v>
      </c>
      <c r="C9194" s="6">
        <v>20.478950000000001</v>
      </c>
      <c r="D9194" s="6">
        <v>54</v>
      </c>
      <c r="E9194" s="6">
        <v>0</v>
      </c>
      <c r="F9194" s="6">
        <v>0</v>
      </c>
      <c r="G9194" s="6">
        <v>3</v>
      </c>
      <c r="H9194" s="6" t="s">
        <v>44026</v>
      </c>
      <c r="I9194" s="6">
        <v>526.6875</v>
      </c>
      <c r="J9194" s="2">
        <f t="shared" si="143"/>
        <v>43749.145505763889</v>
      </c>
    </row>
    <row r="9195" spans="1:10" x14ac:dyDescent="0.25">
      <c r="A9195" s="7" t="s">
        <v>44027</v>
      </c>
      <c r="B9195" s="8">
        <v>393.75</v>
      </c>
      <c r="C9195" s="8">
        <v>20.478950000000001</v>
      </c>
      <c r="D9195" s="8">
        <v>54</v>
      </c>
      <c r="E9195" s="8">
        <v>0</v>
      </c>
      <c r="F9195" s="8">
        <v>0</v>
      </c>
      <c r="G9195" s="8">
        <v>13</v>
      </c>
      <c r="H9195" s="8" t="s">
        <v>44028</v>
      </c>
      <c r="I9195" s="8">
        <v>526.6875</v>
      </c>
      <c r="J9195" s="3">
        <f t="shared" si="143"/>
        <v>43749.145589583328</v>
      </c>
    </row>
    <row r="9196" spans="1:10" x14ac:dyDescent="0.25">
      <c r="A9196" s="5" t="s">
        <v>44029</v>
      </c>
      <c r="B9196" s="6">
        <v>393.75</v>
      </c>
      <c r="C9196" s="6">
        <v>20.478950000000001</v>
      </c>
      <c r="D9196" s="6">
        <v>53</v>
      </c>
      <c r="E9196" s="6">
        <v>0</v>
      </c>
      <c r="F9196" s="6">
        <v>0</v>
      </c>
      <c r="G9196" s="6">
        <v>10</v>
      </c>
      <c r="H9196" s="6" t="s">
        <v>44030</v>
      </c>
      <c r="I9196" s="6">
        <v>526.6875</v>
      </c>
      <c r="J9196" s="2">
        <f t="shared" si="143"/>
        <v>43749.14567273148</v>
      </c>
    </row>
    <row r="9197" spans="1:10" x14ac:dyDescent="0.25">
      <c r="A9197" s="7" t="s">
        <v>44031</v>
      </c>
      <c r="B9197" s="8">
        <v>393.75</v>
      </c>
      <c r="C9197" s="8">
        <v>20.478950000000001</v>
      </c>
      <c r="D9197" s="8">
        <v>53</v>
      </c>
      <c r="E9197" s="8">
        <v>0</v>
      </c>
      <c r="F9197" s="8">
        <v>0</v>
      </c>
      <c r="G9197" s="8">
        <v>9</v>
      </c>
      <c r="H9197" s="8" t="s">
        <v>44032</v>
      </c>
      <c r="I9197" s="8">
        <v>526.6875</v>
      </c>
      <c r="J9197" s="3">
        <f t="shared" si="143"/>
        <v>43749.145756284721</v>
      </c>
    </row>
    <row r="9198" spans="1:10" x14ac:dyDescent="0.25">
      <c r="A9198" s="5" t="s">
        <v>44033</v>
      </c>
      <c r="B9198" s="6">
        <v>393.75</v>
      </c>
      <c r="C9198" s="6">
        <v>20.478950000000001</v>
      </c>
      <c r="D9198" s="6">
        <v>57</v>
      </c>
      <c r="E9198" s="6">
        <v>0</v>
      </c>
      <c r="F9198" s="6">
        <v>0</v>
      </c>
      <c r="G9198" s="6">
        <v>5</v>
      </c>
      <c r="H9198" s="6" t="s">
        <v>44034</v>
      </c>
      <c r="I9198" s="6">
        <v>526.6875</v>
      </c>
      <c r="J9198" s="2">
        <f t="shared" si="143"/>
        <v>43749.145827812499</v>
      </c>
    </row>
    <row r="9199" spans="1:10" x14ac:dyDescent="0.25">
      <c r="A9199" s="7" t="s">
        <v>44035</v>
      </c>
      <c r="B9199" s="8">
        <v>393.75</v>
      </c>
      <c r="C9199" s="8">
        <v>20.478950000000001</v>
      </c>
      <c r="D9199" s="8">
        <v>54</v>
      </c>
      <c r="E9199" s="8">
        <v>0</v>
      </c>
      <c r="F9199" s="8">
        <v>0</v>
      </c>
      <c r="G9199" s="8">
        <v>11</v>
      </c>
      <c r="H9199" s="8" t="s">
        <v>44036</v>
      </c>
      <c r="I9199" s="8">
        <v>526.6875</v>
      </c>
      <c r="J9199" s="3">
        <f t="shared" si="143"/>
        <v>43749.1459111574</v>
      </c>
    </row>
    <row r="9200" spans="1:10" x14ac:dyDescent="0.25">
      <c r="A9200" s="5" t="s">
        <v>44037</v>
      </c>
      <c r="B9200" s="6">
        <v>393.75</v>
      </c>
      <c r="C9200" s="6">
        <v>20.478950000000001</v>
      </c>
      <c r="D9200" s="6">
        <v>55</v>
      </c>
      <c r="E9200" s="6">
        <v>0</v>
      </c>
      <c r="F9200" s="6">
        <v>0</v>
      </c>
      <c r="G9200" s="6">
        <v>13</v>
      </c>
      <c r="H9200" s="6" t="s">
        <v>44038</v>
      </c>
      <c r="I9200" s="6">
        <v>526.6875</v>
      </c>
      <c r="J9200" s="2">
        <f t="shared" si="143"/>
        <v>43749.145982453701</v>
      </c>
    </row>
    <row r="9201" spans="1:10" x14ac:dyDescent="0.25">
      <c r="A9201" s="7" t="s">
        <v>44039</v>
      </c>
      <c r="B9201" s="8">
        <v>393.75</v>
      </c>
      <c r="C9201" s="8">
        <v>20.478950000000001</v>
      </c>
      <c r="D9201" s="8">
        <v>55</v>
      </c>
      <c r="E9201" s="8">
        <v>0</v>
      </c>
      <c r="F9201" s="8">
        <v>0</v>
      </c>
      <c r="G9201" s="8">
        <v>14</v>
      </c>
      <c r="H9201" s="8" t="s">
        <v>44040</v>
      </c>
      <c r="I9201" s="8">
        <v>526.6875</v>
      </c>
      <c r="J9201" s="3">
        <f t="shared" si="143"/>
        <v>43749.146054293982</v>
      </c>
    </row>
    <row r="9202" spans="1:10" x14ac:dyDescent="0.25">
      <c r="A9202" s="5" t="s">
        <v>44041</v>
      </c>
      <c r="B9202" s="6">
        <v>393.75</v>
      </c>
      <c r="C9202" s="6">
        <v>20.426300000000001</v>
      </c>
      <c r="D9202" s="6">
        <v>55</v>
      </c>
      <c r="E9202" s="6">
        <v>0</v>
      </c>
      <c r="F9202" s="6">
        <v>0</v>
      </c>
      <c r="G9202" s="6">
        <v>0</v>
      </c>
      <c r="H9202" s="6" t="s">
        <v>44042</v>
      </c>
      <c r="I9202" s="6">
        <v>526.6875</v>
      </c>
      <c r="J9202" s="2">
        <f t="shared" si="143"/>
        <v>43749.146137754629</v>
      </c>
    </row>
    <row r="9203" spans="1:10" x14ac:dyDescent="0.25">
      <c r="A9203" s="7" t="s">
        <v>44043</v>
      </c>
      <c r="B9203" s="8">
        <v>393.75</v>
      </c>
      <c r="C9203" s="8">
        <v>20.478950000000001</v>
      </c>
      <c r="D9203" s="8">
        <v>55</v>
      </c>
      <c r="E9203" s="8">
        <v>0</v>
      </c>
      <c r="F9203" s="8">
        <v>0</v>
      </c>
      <c r="G9203" s="8">
        <v>5</v>
      </c>
      <c r="H9203" s="8" t="s">
        <v>44044</v>
      </c>
      <c r="I9203" s="8">
        <v>526.6875</v>
      </c>
      <c r="J9203" s="3">
        <f t="shared" si="143"/>
        <v>43749.14620920139</v>
      </c>
    </row>
    <row r="9204" spans="1:10" x14ac:dyDescent="0.25">
      <c r="A9204" s="5" t="s">
        <v>44045</v>
      </c>
      <c r="B9204" s="6">
        <v>393.75</v>
      </c>
      <c r="C9204" s="6">
        <v>20.478950000000001</v>
      </c>
      <c r="D9204" s="6">
        <v>59</v>
      </c>
      <c r="E9204" s="6">
        <v>0</v>
      </c>
      <c r="F9204" s="6">
        <v>0</v>
      </c>
      <c r="G9204" s="6">
        <v>16</v>
      </c>
      <c r="H9204" s="6" t="s">
        <v>44046</v>
      </c>
      <c r="I9204" s="6">
        <v>526.6875</v>
      </c>
      <c r="J9204" s="2">
        <f t="shared" si="143"/>
        <v>43749.146292708327</v>
      </c>
    </row>
    <row r="9205" spans="1:10" x14ac:dyDescent="0.25">
      <c r="A9205" s="7" t="s">
        <v>44047</v>
      </c>
      <c r="B9205" s="8">
        <v>412.5</v>
      </c>
      <c r="C9205" s="8">
        <v>20.478950000000001</v>
      </c>
      <c r="D9205" s="8">
        <v>58</v>
      </c>
      <c r="E9205" s="8">
        <v>0</v>
      </c>
      <c r="F9205" s="8">
        <v>0</v>
      </c>
      <c r="G9205" s="8">
        <v>6</v>
      </c>
      <c r="H9205" s="8" t="s">
        <v>44048</v>
      </c>
      <c r="I9205" s="8">
        <v>532.3125</v>
      </c>
      <c r="J9205" s="3">
        <f t="shared" si="143"/>
        <v>43749.146376238423</v>
      </c>
    </row>
    <row r="9206" spans="1:10" x14ac:dyDescent="0.25">
      <c r="A9206" s="5" t="s">
        <v>44049</v>
      </c>
      <c r="B9206" s="6">
        <v>393.75</v>
      </c>
      <c r="C9206" s="6">
        <v>20.478950000000001</v>
      </c>
      <c r="D9206" s="6">
        <v>58</v>
      </c>
      <c r="E9206" s="6">
        <v>0</v>
      </c>
      <c r="F9206" s="6">
        <v>0</v>
      </c>
      <c r="G9206" s="6">
        <v>6</v>
      </c>
      <c r="H9206" s="6" t="s">
        <v>44050</v>
      </c>
      <c r="I9206" s="6">
        <v>526.5</v>
      </c>
      <c r="J9206" s="2">
        <f t="shared" si="143"/>
        <v>43749.146447546293</v>
      </c>
    </row>
    <row r="9207" spans="1:10" x14ac:dyDescent="0.25">
      <c r="A9207" s="7" t="s">
        <v>44051</v>
      </c>
      <c r="B9207" s="8">
        <v>393.75</v>
      </c>
      <c r="C9207" s="8">
        <v>20.478950000000001</v>
      </c>
      <c r="D9207" s="8">
        <v>56</v>
      </c>
      <c r="E9207" s="8">
        <v>0</v>
      </c>
      <c r="F9207" s="8">
        <v>0</v>
      </c>
      <c r="G9207" s="8">
        <v>8</v>
      </c>
      <c r="H9207" s="8" t="s">
        <v>44052</v>
      </c>
      <c r="I9207" s="8">
        <v>526.5</v>
      </c>
      <c r="J9207" s="3">
        <f t="shared" si="143"/>
        <v>43749.14651929398</v>
      </c>
    </row>
    <row r="9208" spans="1:10" x14ac:dyDescent="0.25">
      <c r="A9208" s="5" t="s">
        <v>44053</v>
      </c>
      <c r="B9208" s="6">
        <v>393.75</v>
      </c>
      <c r="C9208" s="6">
        <v>20.478950000000001</v>
      </c>
      <c r="D9208" s="6">
        <v>56</v>
      </c>
      <c r="E9208" s="6">
        <v>0</v>
      </c>
      <c r="F9208" s="6">
        <v>0</v>
      </c>
      <c r="G9208" s="6">
        <v>12</v>
      </c>
      <c r="H9208" s="6" t="s">
        <v>44054</v>
      </c>
      <c r="I9208" s="6">
        <v>526.6875</v>
      </c>
      <c r="J9208" s="2">
        <f t="shared" si="143"/>
        <v>43749.146602777771</v>
      </c>
    </row>
    <row r="9209" spans="1:10" x14ac:dyDescent="0.25">
      <c r="A9209" s="7" t="s">
        <v>44055</v>
      </c>
      <c r="B9209" s="8">
        <v>393.75</v>
      </c>
      <c r="C9209" s="8">
        <v>20.478950000000001</v>
      </c>
      <c r="D9209" s="8">
        <v>56</v>
      </c>
      <c r="E9209" s="8">
        <v>0</v>
      </c>
      <c r="F9209" s="8">
        <v>0</v>
      </c>
      <c r="G9209" s="8">
        <v>12</v>
      </c>
      <c r="H9209" s="8" t="s">
        <v>44056</v>
      </c>
      <c r="I9209" s="8">
        <v>526.5</v>
      </c>
      <c r="J9209" s="3">
        <f t="shared" si="143"/>
        <v>43749.146674270836</v>
      </c>
    </row>
    <row r="9210" spans="1:10" x14ac:dyDescent="0.25">
      <c r="A9210" s="5" t="s">
        <v>44057</v>
      </c>
      <c r="B9210" s="6">
        <v>393.75</v>
      </c>
      <c r="C9210" s="6">
        <v>20.478950000000001</v>
      </c>
      <c r="D9210" s="6">
        <v>56</v>
      </c>
      <c r="E9210" s="6">
        <v>0</v>
      </c>
      <c r="F9210" s="6">
        <v>0</v>
      </c>
      <c r="G9210" s="6">
        <v>14</v>
      </c>
      <c r="H9210" s="6" t="s">
        <v>44058</v>
      </c>
      <c r="I9210" s="6">
        <v>526.6875</v>
      </c>
      <c r="J9210" s="2">
        <f t="shared" si="143"/>
        <v>43749.14675782407</v>
      </c>
    </row>
    <row r="9211" spans="1:10" x14ac:dyDescent="0.25">
      <c r="A9211" s="7" t="s">
        <v>44059</v>
      </c>
      <c r="B9211" s="8">
        <v>415.625</v>
      </c>
      <c r="C9211" s="8">
        <v>20.478950000000001</v>
      </c>
      <c r="D9211" s="8">
        <v>55</v>
      </c>
      <c r="E9211" s="8">
        <v>0</v>
      </c>
      <c r="F9211" s="8">
        <v>0</v>
      </c>
      <c r="G9211" s="8">
        <v>3</v>
      </c>
      <c r="H9211" s="8" t="s">
        <v>44060</v>
      </c>
      <c r="I9211" s="8">
        <v>533.0625</v>
      </c>
      <c r="J9211" s="3">
        <f t="shared" si="143"/>
        <v>43749.146829409721</v>
      </c>
    </row>
    <row r="9212" spans="1:10" x14ac:dyDescent="0.25">
      <c r="A9212" s="5" t="s">
        <v>44061</v>
      </c>
      <c r="B9212" s="6">
        <v>393.75</v>
      </c>
      <c r="C9212" s="6">
        <v>20.478950000000001</v>
      </c>
      <c r="D9212" s="6">
        <v>58</v>
      </c>
      <c r="E9212" s="6">
        <v>0</v>
      </c>
      <c r="F9212" s="6">
        <v>0</v>
      </c>
      <c r="G9212" s="6">
        <v>12</v>
      </c>
      <c r="H9212" s="6" t="s">
        <v>44062</v>
      </c>
      <c r="I9212" s="6">
        <v>526.5</v>
      </c>
      <c r="J9212" s="2">
        <f t="shared" si="143"/>
        <v>43749.146900729167</v>
      </c>
    </row>
    <row r="9213" spans="1:10" x14ac:dyDescent="0.25">
      <c r="A9213" s="7" t="s">
        <v>44063</v>
      </c>
      <c r="B9213" s="8">
        <v>393.75</v>
      </c>
      <c r="C9213" s="8">
        <v>20.478950000000001</v>
      </c>
      <c r="D9213" s="8">
        <v>58</v>
      </c>
      <c r="E9213" s="8">
        <v>0</v>
      </c>
      <c r="F9213" s="8">
        <v>0</v>
      </c>
      <c r="G9213" s="8">
        <v>4</v>
      </c>
      <c r="H9213" s="8" t="s">
        <v>44064</v>
      </c>
      <c r="I9213" s="8">
        <v>526.6875</v>
      </c>
      <c r="J9213" s="3">
        <f t="shared" si="143"/>
        <v>43749.146972083334</v>
      </c>
    </row>
    <row r="9214" spans="1:10" x14ac:dyDescent="0.25">
      <c r="A9214" s="5" t="s">
        <v>44065</v>
      </c>
      <c r="B9214" s="6">
        <v>393.75</v>
      </c>
      <c r="C9214" s="6">
        <v>20.478950000000001</v>
      </c>
      <c r="D9214" s="6">
        <v>57</v>
      </c>
      <c r="E9214" s="6">
        <v>0</v>
      </c>
      <c r="F9214" s="6">
        <v>0</v>
      </c>
      <c r="G9214" s="6">
        <v>13</v>
      </c>
      <c r="H9214" s="6" t="s">
        <v>44066</v>
      </c>
      <c r="I9214" s="6">
        <v>526.6875</v>
      </c>
      <c r="J9214" s="2">
        <f t="shared" si="143"/>
        <v>43749.147044155092</v>
      </c>
    </row>
    <row r="9215" spans="1:10" x14ac:dyDescent="0.25">
      <c r="A9215" s="7" t="s">
        <v>44067</v>
      </c>
      <c r="B9215" s="8">
        <v>418.75</v>
      </c>
      <c r="C9215" s="8">
        <v>20.478950000000001</v>
      </c>
      <c r="D9215" s="8">
        <v>57</v>
      </c>
      <c r="E9215" s="8">
        <v>0</v>
      </c>
      <c r="F9215" s="8">
        <v>0</v>
      </c>
      <c r="G9215" s="8">
        <v>0</v>
      </c>
      <c r="H9215" s="8" t="s">
        <v>44068</v>
      </c>
      <c r="I9215" s="8">
        <v>534.1875</v>
      </c>
      <c r="J9215" s="3">
        <f t="shared" si="143"/>
        <v>43749.147127222219</v>
      </c>
    </row>
    <row r="9216" spans="1:10" x14ac:dyDescent="0.25">
      <c r="A9216" s="5" t="s">
        <v>44069</v>
      </c>
      <c r="B9216" s="6">
        <v>393.75</v>
      </c>
      <c r="C9216" s="6">
        <v>20.478950000000001</v>
      </c>
      <c r="D9216" s="6">
        <v>55</v>
      </c>
      <c r="E9216" s="6">
        <v>0</v>
      </c>
      <c r="F9216" s="6">
        <v>0</v>
      </c>
      <c r="G9216" s="6">
        <v>11</v>
      </c>
      <c r="H9216" s="6" t="s">
        <v>44070</v>
      </c>
      <c r="I9216" s="6">
        <v>526.5</v>
      </c>
      <c r="J9216" s="2">
        <f t="shared" si="143"/>
        <v>43749.147199074076</v>
      </c>
    </row>
    <row r="9217" spans="1:10" x14ac:dyDescent="0.25">
      <c r="A9217" s="7" t="s">
        <v>44071</v>
      </c>
      <c r="B9217" s="8">
        <v>393.75</v>
      </c>
      <c r="C9217" s="8">
        <v>20.478950000000001</v>
      </c>
      <c r="D9217" s="8">
        <v>54</v>
      </c>
      <c r="E9217" s="8">
        <v>0</v>
      </c>
      <c r="F9217" s="8">
        <v>0</v>
      </c>
      <c r="G9217" s="8">
        <v>12</v>
      </c>
      <c r="H9217" s="8" t="s">
        <v>44072</v>
      </c>
      <c r="I9217" s="8">
        <v>526.6875</v>
      </c>
      <c r="J9217" s="3">
        <f t="shared" si="143"/>
        <v>43749.147282233789</v>
      </c>
    </row>
    <row r="9218" spans="1:10" x14ac:dyDescent="0.25">
      <c r="A9218" s="5" t="s">
        <v>44073</v>
      </c>
      <c r="B9218" s="6">
        <v>412.5</v>
      </c>
      <c r="C9218" s="6">
        <v>20.478950000000001</v>
      </c>
      <c r="D9218" s="6">
        <v>53</v>
      </c>
      <c r="E9218" s="6">
        <v>0</v>
      </c>
      <c r="F9218" s="6">
        <v>0</v>
      </c>
      <c r="G9218" s="6">
        <v>3</v>
      </c>
      <c r="H9218" s="6" t="s">
        <v>44074</v>
      </c>
      <c r="I9218" s="6">
        <v>532.6875</v>
      </c>
      <c r="J9218" s="2">
        <f t="shared" ref="J9218:J9281" si="144">(H9218/86400000)+25569+(7/24)</f>
        <v>43749.14736761574</v>
      </c>
    </row>
    <row r="9219" spans="1:10" x14ac:dyDescent="0.25">
      <c r="A9219" s="7" t="s">
        <v>44075</v>
      </c>
      <c r="B9219" s="8">
        <v>393.75</v>
      </c>
      <c r="C9219" s="8">
        <v>20.478950000000001</v>
      </c>
      <c r="D9219" s="8">
        <v>54</v>
      </c>
      <c r="E9219" s="8">
        <v>0</v>
      </c>
      <c r="F9219" s="8">
        <v>0</v>
      </c>
      <c r="G9219" s="8">
        <v>8</v>
      </c>
      <c r="H9219" s="8" t="s">
        <v>44076</v>
      </c>
      <c r="I9219" s="8">
        <v>526.6875</v>
      </c>
      <c r="J9219" s="3">
        <f t="shared" si="144"/>
        <v>43749.147449525459</v>
      </c>
    </row>
    <row r="9220" spans="1:10" x14ac:dyDescent="0.25">
      <c r="A9220" s="5" t="s">
        <v>44077</v>
      </c>
      <c r="B9220" s="6">
        <v>393.75</v>
      </c>
      <c r="C9220" s="6">
        <v>20.478950000000001</v>
      </c>
      <c r="D9220" s="6">
        <v>52</v>
      </c>
      <c r="E9220" s="6">
        <v>0</v>
      </c>
      <c r="F9220" s="6">
        <v>0</v>
      </c>
      <c r="G9220" s="6">
        <v>15</v>
      </c>
      <c r="H9220" s="6" t="s">
        <v>44078</v>
      </c>
      <c r="I9220" s="6">
        <v>526.6875</v>
      </c>
      <c r="J9220" s="2">
        <f t="shared" si="144"/>
        <v>43749.147521168976</v>
      </c>
    </row>
    <row r="9221" spans="1:10" x14ac:dyDescent="0.25">
      <c r="A9221" s="7" t="s">
        <v>44079</v>
      </c>
      <c r="B9221" s="8">
        <v>393.75</v>
      </c>
      <c r="C9221" s="8">
        <v>20.478950000000001</v>
      </c>
      <c r="D9221" s="8">
        <v>52</v>
      </c>
      <c r="E9221" s="8">
        <v>0</v>
      </c>
      <c r="F9221" s="8">
        <v>0</v>
      </c>
      <c r="G9221" s="8">
        <v>16</v>
      </c>
      <c r="H9221" s="8" t="s">
        <v>44080</v>
      </c>
      <c r="I9221" s="8">
        <v>526.6875</v>
      </c>
      <c r="J9221" s="3">
        <f t="shared" si="144"/>
        <v>43749.147604328704</v>
      </c>
    </row>
    <row r="9222" spans="1:10" x14ac:dyDescent="0.25">
      <c r="A9222" s="5" t="s">
        <v>44081</v>
      </c>
      <c r="B9222" s="6">
        <v>393.75</v>
      </c>
      <c r="C9222" s="6">
        <v>20.478950000000001</v>
      </c>
      <c r="D9222" s="6">
        <v>51</v>
      </c>
      <c r="E9222" s="6">
        <v>0</v>
      </c>
      <c r="F9222" s="6">
        <v>0</v>
      </c>
      <c r="G9222" s="6">
        <v>5</v>
      </c>
      <c r="H9222" s="6" t="s">
        <v>44082</v>
      </c>
      <c r="I9222" s="6">
        <v>526.6875</v>
      </c>
      <c r="J9222" s="2">
        <f t="shared" si="144"/>
        <v>43749.147676319444</v>
      </c>
    </row>
    <row r="9223" spans="1:10" x14ac:dyDescent="0.25">
      <c r="A9223" s="7" t="s">
        <v>44083</v>
      </c>
      <c r="B9223" s="8">
        <v>393.75</v>
      </c>
      <c r="C9223" s="8">
        <v>20.426300000000001</v>
      </c>
      <c r="D9223" s="8">
        <v>52</v>
      </c>
      <c r="E9223" s="8">
        <v>0</v>
      </c>
      <c r="F9223" s="8">
        <v>0</v>
      </c>
      <c r="G9223" s="8">
        <v>3</v>
      </c>
      <c r="H9223" s="8" t="s">
        <v>44084</v>
      </c>
      <c r="I9223" s="8">
        <v>526.6875</v>
      </c>
      <c r="J9223" s="3">
        <f t="shared" si="144"/>
        <v>43749.14774768518</v>
      </c>
    </row>
    <row r="9224" spans="1:10" x14ac:dyDescent="0.25">
      <c r="A9224" s="5" t="s">
        <v>44085</v>
      </c>
      <c r="B9224" s="6">
        <v>412.5</v>
      </c>
      <c r="C9224" s="6">
        <v>20.478950000000001</v>
      </c>
      <c r="D9224" s="6">
        <v>53</v>
      </c>
      <c r="E9224" s="6">
        <v>0</v>
      </c>
      <c r="F9224" s="6">
        <v>0</v>
      </c>
      <c r="G9224" s="6">
        <v>10</v>
      </c>
      <c r="H9224" s="6" t="s">
        <v>44086</v>
      </c>
      <c r="I9224" s="6">
        <v>532.125</v>
      </c>
      <c r="J9224" s="2">
        <f t="shared" si="144"/>
        <v>43749.147830798604</v>
      </c>
    </row>
    <row r="9225" spans="1:10" x14ac:dyDescent="0.25">
      <c r="A9225" s="7" t="s">
        <v>44087</v>
      </c>
      <c r="B9225" s="8">
        <v>393.75</v>
      </c>
      <c r="C9225" s="8">
        <v>20.478950000000001</v>
      </c>
      <c r="D9225" s="8">
        <v>53</v>
      </c>
      <c r="E9225" s="8">
        <v>0</v>
      </c>
      <c r="F9225" s="8">
        <v>0</v>
      </c>
      <c r="G9225" s="8">
        <v>10</v>
      </c>
      <c r="H9225" s="8" t="s">
        <v>44088</v>
      </c>
      <c r="I9225" s="8">
        <v>526.5</v>
      </c>
      <c r="J9225" s="3">
        <f t="shared" si="144"/>
        <v>43749.147902731478</v>
      </c>
    </row>
    <row r="9226" spans="1:10" x14ac:dyDescent="0.25">
      <c r="A9226" s="5" t="s">
        <v>44089</v>
      </c>
      <c r="B9226" s="6">
        <v>393.75</v>
      </c>
      <c r="C9226" s="6">
        <v>20.478950000000001</v>
      </c>
      <c r="D9226" s="6">
        <v>52</v>
      </c>
      <c r="E9226" s="6">
        <v>0</v>
      </c>
      <c r="F9226" s="6">
        <v>0</v>
      </c>
      <c r="G9226" s="6">
        <v>9</v>
      </c>
      <c r="H9226" s="6" t="s">
        <v>44090</v>
      </c>
      <c r="I9226" s="6">
        <v>526.6875</v>
      </c>
      <c r="J9226" s="2">
        <f t="shared" si="144"/>
        <v>43749.147985821757</v>
      </c>
    </row>
    <row r="9227" spans="1:10" x14ac:dyDescent="0.25">
      <c r="A9227" s="7" t="s">
        <v>44091</v>
      </c>
      <c r="B9227" s="8">
        <v>393.75</v>
      </c>
      <c r="C9227" s="8">
        <v>20.478950000000001</v>
      </c>
      <c r="D9227" s="8">
        <v>52</v>
      </c>
      <c r="E9227" s="8">
        <v>0</v>
      </c>
      <c r="F9227" s="8">
        <v>0</v>
      </c>
      <c r="G9227" s="8">
        <v>6</v>
      </c>
      <c r="H9227" s="8" t="s">
        <v>44092</v>
      </c>
      <c r="I9227" s="8">
        <v>526.6875</v>
      </c>
      <c r="J9227" s="3">
        <f t="shared" si="144"/>
        <v>43749.148057789345</v>
      </c>
    </row>
    <row r="9228" spans="1:10" x14ac:dyDescent="0.25">
      <c r="A9228" s="5" t="s">
        <v>44093</v>
      </c>
      <c r="B9228" s="6">
        <v>393.75</v>
      </c>
      <c r="C9228" s="6">
        <v>20.478950000000001</v>
      </c>
      <c r="D9228" s="6">
        <v>54</v>
      </c>
      <c r="E9228" s="6">
        <v>0</v>
      </c>
      <c r="F9228" s="6">
        <v>0</v>
      </c>
      <c r="G9228" s="6">
        <v>18</v>
      </c>
      <c r="H9228" s="6" t="s">
        <v>44094</v>
      </c>
      <c r="I9228" s="6">
        <v>526.6875</v>
      </c>
      <c r="J9228" s="2">
        <f t="shared" si="144"/>
        <v>43749.148141157406</v>
      </c>
    </row>
    <row r="9229" spans="1:10" x14ac:dyDescent="0.25">
      <c r="A9229" s="7" t="s">
        <v>44095</v>
      </c>
      <c r="B9229" s="8">
        <v>393.75</v>
      </c>
      <c r="C9229" s="8">
        <v>20.426300000000001</v>
      </c>
      <c r="D9229" s="8">
        <v>55</v>
      </c>
      <c r="E9229" s="8">
        <v>0</v>
      </c>
      <c r="F9229" s="8">
        <v>0</v>
      </c>
      <c r="G9229" s="8">
        <v>7</v>
      </c>
      <c r="H9229" s="8" t="s">
        <v>44096</v>
      </c>
      <c r="I9229" s="8">
        <v>526.6875</v>
      </c>
      <c r="J9229" s="3">
        <f t="shared" si="144"/>
        <v>43749.148212708336</v>
      </c>
    </row>
    <row r="9230" spans="1:10" x14ac:dyDescent="0.25">
      <c r="A9230" s="5" t="s">
        <v>44097</v>
      </c>
      <c r="B9230" s="6">
        <v>418.75</v>
      </c>
      <c r="C9230" s="6">
        <v>20.426300000000001</v>
      </c>
      <c r="D9230" s="6">
        <v>55</v>
      </c>
      <c r="E9230" s="6">
        <v>0</v>
      </c>
      <c r="F9230" s="6">
        <v>0</v>
      </c>
      <c r="G9230" s="6">
        <v>4</v>
      </c>
      <c r="H9230" s="6" t="s">
        <v>44098</v>
      </c>
      <c r="I9230" s="6">
        <v>534.5625</v>
      </c>
      <c r="J9230" s="2">
        <f t="shared" si="144"/>
        <v>43749.148284317132</v>
      </c>
    </row>
    <row r="9231" spans="1:10" x14ac:dyDescent="0.25">
      <c r="A9231" s="7" t="s">
        <v>44099</v>
      </c>
      <c r="B9231" s="8">
        <v>393.75</v>
      </c>
      <c r="C9231" s="8">
        <v>20.478950000000001</v>
      </c>
      <c r="D9231" s="8">
        <v>55</v>
      </c>
      <c r="E9231" s="8">
        <v>0</v>
      </c>
      <c r="F9231" s="8">
        <v>0</v>
      </c>
      <c r="G9231" s="8">
        <v>10</v>
      </c>
      <c r="H9231" s="8" t="s">
        <v>44100</v>
      </c>
      <c r="I9231" s="8">
        <v>526.6875</v>
      </c>
      <c r="J9231" s="3">
        <f t="shared" si="144"/>
        <v>43749.148355717589</v>
      </c>
    </row>
    <row r="9232" spans="1:10" x14ac:dyDescent="0.25">
      <c r="A9232" s="5" t="s">
        <v>44101</v>
      </c>
      <c r="B9232" s="6">
        <v>393.75</v>
      </c>
      <c r="C9232" s="6">
        <v>20.478950000000001</v>
      </c>
      <c r="D9232" s="6">
        <v>55</v>
      </c>
      <c r="E9232" s="6">
        <v>0</v>
      </c>
      <c r="F9232" s="6">
        <v>0</v>
      </c>
      <c r="G9232" s="6">
        <v>7</v>
      </c>
      <c r="H9232" s="6" t="s">
        <v>44102</v>
      </c>
      <c r="I9232" s="6">
        <v>526.6875</v>
      </c>
      <c r="J9232" s="2">
        <f t="shared" si="144"/>
        <v>43749.148427418979</v>
      </c>
    </row>
    <row r="9233" spans="1:10" x14ac:dyDescent="0.25">
      <c r="A9233" s="7" t="s">
        <v>44103</v>
      </c>
      <c r="B9233" s="8">
        <v>393.75</v>
      </c>
      <c r="C9233" s="8">
        <v>20.426300000000001</v>
      </c>
      <c r="D9233" s="8">
        <v>55</v>
      </c>
      <c r="E9233" s="8">
        <v>0</v>
      </c>
      <c r="F9233" s="8">
        <v>0</v>
      </c>
      <c r="G9233" s="8">
        <v>5</v>
      </c>
      <c r="H9233" s="8" t="s">
        <v>44104</v>
      </c>
      <c r="I9233" s="8">
        <v>526.6875</v>
      </c>
      <c r="J9233" s="3">
        <f t="shared" si="144"/>
        <v>43749.148498958333</v>
      </c>
    </row>
    <row r="9234" spans="1:10" x14ac:dyDescent="0.25">
      <c r="A9234" s="5" t="s">
        <v>44105</v>
      </c>
      <c r="B9234" s="6">
        <v>393.75</v>
      </c>
      <c r="C9234" s="6">
        <v>20.478950000000001</v>
      </c>
      <c r="D9234" s="6">
        <v>57</v>
      </c>
      <c r="E9234" s="6">
        <v>0</v>
      </c>
      <c r="F9234" s="6">
        <v>0</v>
      </c>
      <c r="G9234" s="6">
        <v>9</v>
      </c>
      <c r="H9234" s="6" t="s">
        <v>44106</v>
      </c>
      <c r="I9234" s="6">
        <v>526.6875</v>
      </c>
      <c r="J9234" s="2">
        <f t="shared" si="144"/>
        <v>43749.148582118054</v>
      </c>
    </row>
    <row r="9235" spans="1:10" x14ac:dyDescent="0.25">
      <c r="A9235" s="7" t="s">
        <v>44107</v>
      </c>
      <c r="B9235" s="8">
        <v>393.75</v>
      </c>
      <c r="C9235" s="8">
        <v>20.478950000000001</v>
      </c>
      <c r="D9235" s="8">
        <v>57</v>
      </c>
      <c r="E9235" s="8">
        <v>0</v>
      </c>
      <c r="F9235" s="8">
        <v>0</v>
      </c>
      <c r="G9235" s="8">
        <v>5</v>
      </c>
      <c r="H9235" s="8" t="s">
        <v>44108</v>
      </c>
      <c r="I9235" s="8">
        <v>526.5</v>
      </c>
      <c r="J9235" s="3">
        <f t="shared" si="144"/>
        <v>43749.148653888886</v>
      </c>
    </row>
    <row r="9236" spans="1:10" x14ac:dyDescent="0.25">
      <c r="A9236" s="5" t="s">
        <v>44109</v>
      </c>
      <c r="B9236" s="6">
        <v>393.75</v>
      </c>
      <c r="C9236" s="6">
        <v>20.478950000000001</v>
      </c>
      <c r="D9236" s="6">
        <v>56</v>
      </c>
      <c r="E9236" s="6">
        <v>0</v>
      </c>
      <c r="F9236" s="6">
        <v>0</v>
      </c>
      <c r="G9236" s="6">
        <v>11</v>
      </c>
      <c r="H9236" s="6" t="s">
        <v>44110</v>
      </c>
      <c r="I9236" s="6">
        <v>526.6875</v>
      </c>
      <c r="J9236" s="2">
        <f t="shared" si="144"/>
        <v>43749.148737465272</v>
      </c>
    </row>
    <row r="9237" spans="1:10" x14ac:dyDescent="0.25">
      <c r="A9237" s="7" t="s">
        <v>44111</v>
      </c>
      <c r="B9237" s="8">
        <v>412.5</v>
      </c>
      <c r="C9237" s="8">
        <v>20.478950000000001</v>
      </c>
      <c r="D9237" s="8">
        <v>48</v>
      </c>
      <c r="E9237" s="8">
        <v>0</v>
      </c>
      <c r="F9237" s="8">
        <v>0</v>
      </c>
      <c r="G9237" s="8">
        <v>0</v>
      </c>
      <c r="H9237" s="8" t="s">
        <v>44112</v>
      </c>
      <c r="I9237" s="8">
        <v>532.3125</v>
      </c>
      <c r="J9237" s="3">
        <f t="shared" si="144"/>
        <v>43749.148808969905</v>
      </c>
    </row>
    <row r="9238" spans="1:10" x14ac:dyDescent="0.25">
      <c r="A9238" s="5" t="s">
        <v>44113</v>
      </c>
      <c r="B9238" s="6">
        <v>393.75</v>
      </c>
      <c r="C9238" s="6">
        <v>20.478950000000001</v>
      </c>
      <c r="D9238" s="6">
        <v>49</v>
      </c>
      <c r="E9238" s="6">
        <v>0</v>
      </c>
      <c r="F9238" s="6">
        <v>0</v>
      </c>
      <c r="G9238" s="6">
        <v>12</v>
      </c>
      <c r="H9238" s="6" t="s">
        <v>44114</v>
      </c>
      <c r="I9238" s="6">
        <v>526.6875</v>
      </c>
      <c r="J9238" s="2">
        <f t="shared" si="144"/>
        <v>43749.148892476849</v>
      </c>
    </row>
    <row r="9239" spans="1:10" x14ac:dyDescent="0.25">
      <c r="A9239" s="7" t="s">
        <v>44115</v>
      </c>
      <c r="B9239" s="8">
        <v>393.75</v>
      </c>
      <c r="C9239" s="8">
        <v>20.478950000000001</v>
      </c>
      <c r="D9239" s="8">
        <v>49</v>
      </c>
      <c r="E9239" s="8">
        <v>0</v>
      </c>
      <c r="F9239" s="8">
        <v>0</v>
      </c>
      <c r="G9239" s="8">
        <v>15</v>
      </c>
      <c r="H9239" s="8" t="s">
        <v>44116</v>
      </c>
      <c r="I9239" s="8">
        <v>526.6875</v>
      </c>
      <c r="J9239" s="3">
        <f t="shared" si="144"/>
        <v>43749.14897592592</v>
      </c>
    </row>
    <row r="9240" spans="1:10" x14ac:dyDescent="0.25">
      <c r="A9240" s="5" t="s">
        <v>44117</v>
      </c>
      <c r="B9240" s="6">
        <v>393.75</v>
      </c>
      <c r="C9240" s="6">
        <v>20.478950000000001</v>
      </c>
      <c r="D9240" s="6">
        <v>51</v>
      </c>
      <c r="E9240" s="6">
        <v>0</v>
      </c>
      <c r="F9240" s="6">
        <v>0</v>
      </c>
      <c r="G9240" s="6">
        <v>10</v>
      </c>
      <c r="H9240" s="6" t="s">
        <v>44118</v>
      </c>
      <c r="I9240" s="6">
        <v>526.6875</v>
      </c>
      <c r="J9240" s="2">
        <f t="shared" si="144"/>
        <v>43749.14905944444</v>
      </c>
    </row>
    <row r="9241" spans="1:10" x14ac:dyDescent="0.25">
      <c r="A9241" s="7" t="s">
        <v>44119</v>
      </c>
      <c r="B9241" s="8">
        <v>393.75</v>
      </c>
      <c r="C9241" s="8">
        <v>20.478950000000001</v>
      </c>
      <c r="D9241" s="8">
        <v>51</v>
      </c>
      <c r="E9241" s="8">
        <v>0</v>
      </c>
      <c r="F9241" s="8">
        <v>0</v>
      </c>
      <c r="G9241" s="8">
        <v>5</v>
      </c>
      <c r="H9241" s="8" t="s">
        <v>44120</v>
      </c>
      <c r="I9241" s="8">
        <v>526.6875</v>
      </c>
      <c r="J9241" s="3">
        <f t="shared" si="144"/>
        <v>43749.149131076389</v>
      </c>
    </row>
    <row r="9242" spans="1:10" x14ac:dyDescent="0.25">
      <c r="A9242" s="5" t="s">
        <v>44121</v>
      </c>
      <c r="B9242" s="6">
        <v>393.75</v>
      </c>
      <c r="C9242" s="6">
        <v>20.478950000000001</v>
      </c>
      <c r="D9242" s="6">
        <v>52</v>
      </c>
      <c r="E9242" s="6">
        <v>0</v>
      </c>
      <c r="F9242" s="6">
        <v>0</v>
      </c>
      <c r="G9242" s="6">
        <v>4</v>
      </c>
      <c r="H9242" s="6" t="s">
        <v>44122</v>
      </c>
      <c r="I9242" s="6">
        <v>526.6875</v>
      </c>
      <c r="J9242" s="2">
        <f t="shared" si="144"/>
        <v>43749.14920255787</v>
      </c>
    </row>
    <row r="9243" spans="1:10" x14ac:dyDescent="0.25">
      <c r="A9243" s="7" t="s">
        <v>44123</v>
      </c>
      <c r="B9243" s="8">
        <v>412.5</v>
      </c>
      <c r="C9243" s="8">
        <v>20.478950000000001</v>
      </c>
      <c r="D9243" s="8">
        <v>54</v>
      </c>
      <c r="E9243" s="8">
        <v>0</v>
      </c>
      <c r="F9243" s="8">
        <v>0</v>
      </c>
      <c r="G9243" s="8">
        <v>5</v>
      </c>
      <c r="H9243" s="8" t="s">
        <v>44124</v>
      </c>
      <c r="I9243" s="8">
        <v>532.3125</v>
      </c>
      <c r="J9243" s="3">
        <f t="shared" si="144"/>
        <v>43749.149285833329</v>
      </c>
    </row>
    <row r="9244" spans="1:10" x14ac:dyDescent="0.25">
      <c r="A9244" s="5" t="s">
        <v>44125</v>
      </c>
      <c r="B9244" s="6">
        <v>393.75</v>
      </c>
      <c r="C9244" s="6">
        <v>20.478950000000001</v>
      </c>
      <c r="D9244" s="6">
        <v>54</v>
      </c>
      <c r="E9244" s="6">
        <v>0</v>
      </c>
      <c r="F9244" s="6">
        <v>0</v>
      </c>
      <c r="G9244" s="6">
        <v>9</v>
      </c>
      <c r="H9244" s="6" t="s">
        <v>44126</v>
      </c>
      <c r="I9244" s="6">
        <v>526.6875</v>
      </c>
      <c r="J9244" s="2">
        <f t="shared" si="144"/>
        <v>43749.149357511567</v>
      </c>
    </row>
    <row r="9245" spans="1:10" x14ac:dyDescent="0.25">
      <c r="A9245" s="7" t="s">
        <v>44127</v>
      </c>
      <c r="B9245" s="8">
        <v>393.75</v>
      </c>
      <c r="C9245" s="8">
        <v>20.478950000000001</v>
      </c>
      <c r="D9245" s="8">
        <v>54</v>
      </c>
      <c r="E9245" s="8">
        <v>0</v>
      </c>
      <c r="F9245" s="8">
        <v>0</v>
      </c>
      <c r="G9245" s="8">
        <v>12</v>
      </c>
      <c r="H9245" s="8" t="s">
        <v>44128</v>
      </c>
      <c r="I9245" s="8">
        <v>526.6875</v>
      </c>
      <c r="J9245" s="3">
        <f t="shared" si="144"/>
        <v>43749.149441018519</v>
      </c>
    </row>
    <row r="9246" spans="1:10" x14ac:dyDescent="0.25">
      <c r="A9246" s="5" t="s">
        <v>44129</v>
      </c>
      <c r="B9246" s="6">
        <v>393.75</v>
      </c>
      <c r="C9246" s="6">
        <v>20.478950000000001</v>
      </c>
      <c r="D9246" s="6">
        <v>55</v>
      </c>
      <c r="E9246" s="6">
        <v>0</v>
      </c>
      <c r="F9246" s="6">
        <v>0</v>
      </c>
      <c r="G9246" s="6">
        <v>5</v>
      </c>
      <c r="H9246" s="6" t="s">
        <v>44130</v>
      </c>
      <c r="I9246" s="6">
        <v>526.6875</v>
      </c>
      <c r="J9246" s="2">
        <f t="shared" si="144"/>
        <v>43749.149512326381</v>
      </c>
    </row>
    <row r="9247" spans="1:10" x14ac:dyDescent="0.25">
      <c r="A9247" s="7" t="s">
        <v>44131</v>
      </c>
      <c r="B9247" s="8">
        <v>393.75</v>
      </c>
      <c r="C9247" s="8">
        <v>20.478950000000001</v>
      </c>
      <c r="D9247" s="8">
        <v>58</v>
      </c>
      <c r="E9247" s="8">
        <v>0</v>
      </c>
      <c r="F9247" s="8">
        <v>0</v>
      </c>
      <c r="G9247" s="8">
        <v>14</v>
      </c>
      <c r="H9247" s="8" t="s">
        <v>44132</v>
      </c>
      <c r="I9247" s="8">
        <v>526.6875</v>
      </c>
      <c r="J9247" s="3">
        <f t="shared" si="144"/>
        <v>43749.149587824075</v>
      </c>
    </row>
    <row r="9248" spans="1:10" x14ac:dyDescent="0.25">
      <c r="A9248" s="5" t="s">
        <v>44133</v>
      </c>
      <c r="B9248" s="6">
        <v>393.75</v>
      </c>
      <c r="C9248" s="6">
        <v>20.426300000000001</v>
      </c>
      <c r="D9248" s="6">
        <v>58</v>
      </c>
      <c r="E9248" s="6">
        <v>0</v>
      </c>
      <c r="F9248" s="6">
        <v>0</v>
      </c>
      <c r="G9248" s="6">
        <v>10</v>
      </c>
      <c r="H9248" s="6" t="s">
        <v>44134</v>
      </c>
      <c r="I9248" s="6">
        <v>526.6875</v>
      </c>
      <c r="J9248" s="2">
        <f t="shared" si="144"/>
        <v>43749.149667303238</v>
      </c>
    </row>
    <row r="9249" spans="1:10" x14ac:dyDescent="0.25">
      <c r="A9249" s="7" t="s">
        <v>44135</v>
      </c>
      <c r="B9249" s="8">
        <v>412.5</v>
      </c>
      <c r="C9249" s="8">
        <v>20.478950000000001</v>
      </c>
      <c r="D9249" s="8">
        <v>57</v>
      </c>
      <c r="E9249" s="8">
        <v>0</v>
      </c>
      <c r="F9249" s="8">
        <v>0</v>
      </c>
      <c r="G9249" s="8">
        <v>12</v>
      </c>
      <c r="H9249" s="8" t="s">
        <v>44136</v>
      </c>
      <c r="I9249" s="8">
        <v>532.6875</v>
      </c>
      <c r="J9249" s="3">
        <f t="shared" si="144"/>
        <v>43749.149738784719</v>
      </c>
    </row>
    <row r="9250" spans="1:10" x14ac:dyDescent="0.25">
      <c r="A9250" s="5" t="s">
        <v>44137</v>
      </c>
      <c r="B9250" s="6">
        <v>393.75</v>
      </c>
      <c r="C9250" s="6">
        <v>20.478950000000001</v>
      </c>
      <c r="D9250" s="6">
        <v>53</v>
      </c>
      <c r="E9250" s="6">
        <v>0</v>
      </c>
      <c r="F9250" s="6">
        <v>0</v>
      </c>
      <c r="G9250" s="6">
        <v>7</v>
      </c>
      <c r="H9250" s="6" t="s">
        <v>44138</v>
      </c>
      <c r="I9250" s="6">
        <v>526.6875</v>
      </c>
      <c r="J9250" s="2">
        <f t="shared" si="144"/>
        <v>43749.149822858795</v>
      </c>
    </row>
    <row r="9251" spans="1:10" x14ac:dyDescent="0.25">
      <c r="A9251" s="7" t="s">
        <v>44139</v>
      </c>
      <c r="B9251" s="8">
        <v>393.75</v>
      </c>
      <c r="C9251" s="8">
        <v>20.478950000000001</v>
      </c>
      <c r="D9251" s="8">
        <v>53</v>
      </c>
      <c r="E9251" s="8">
        <v>0</v>
      </c>
      <c r="F9251" s="8">
        <v>0</v>
      </c>
      <c r="G9251" s="8">
        <v>10</v>
      </c>
      <c r="H9251" s="8" t="s">
        <v>44140</v>
      </c>
      <c r="I9251" s="8">
        <v>526.6875</v>
      </c>
      <c r="J9251" s="3">
        <f t="shared" si="144"/>
        <v>43749.149894270835</v>
      </c>
    </row>
    <row r="9252" spans="1:10" x14ac:dyDescent="0.25">
      <c r="A9252" s="5" t="s">
        <v>44141</v>
      </c>
      <c r="B9252" s="6">
        <v>393.75</v>
      </c>
      <c r="C9252" s="6">
        <v>20.478950000000001</v>
      </c>
      <c r="D9252" s="6">
        <v>53</v>
      </c>
      <c r="E9252" s="6">
        <v>0</v>
      </c>
      <c r="F9252" s="6">
        <v>0</v>
      </c>
      <c r="G9252" s="6">
        <v>8</v>
      </c>
      <c r="H9252" s="6" t="s">
        <v>44142</v>
      </c>
      <c r="I9252" s="6">
        <v>526.6875</v>
      </c>
      <c r="J9252" s="2">
        <f t="shared" si="144"/>
        <v>43749.149989537036</v>
      </c>
    </row>
    <row r="9253" spans="1:10" x14ac:dyDescent="0.25">
      <c r="A9253" s="7" t="s">
        <v>44143</v>
      </c>
      <c r="B9253" s="8">
        <v>393.75</v>
      </c>
      <c r="C9253" s="8">
        <v>20.478950000000001</v>
      </c>
      <c r="D9253" s="8">
        <v>53</v>
      </c>
      <c r="E9253" s="8">
        <v>0</v>
      </c>
      <c r="F9253" s="8">
        <v>0</v>
      </c>
      <c r="G9253" s="8">
        <v>13</v>
      </c>
      <c r="H9253" s="8" t="s">
        <v>44144</v>
      </c>
      <c r="I9253" s="8">
        <v>526.6875</v>
      </c>
      <c r="J9253" s="3">
        <f t="shared" si="144"/>
        <v>43749.15007280092</v>
      </c>
    </row>
    <row r="9254" spans="1:10" x14ac:dyDescent="0.25">
      <c r="A9254" s="5" t="s">
        <v>44145</v>
      </c>
      <c r="B9254" s="6">
        <v>412.5</v>
      </c>
      <c r="C9254" s="6">
        <v>20.426300000000001</v>
      </c>
      <c r="D9254" s="6">
        <v>52</v>
      </c>
      <c r="E9254" s="6">
        <v>0</v>
      </c>
      <c r="F9254" s="6">
        <v>0</v>
      </c>
      <c r="G9254" s="6">
        <v>7</v>
      </c>
      <c r="H9254" s="6" t="s">
        <v>44146</v>
      </c>
      <c r="I9254" s="6">
        <v>532.5</v>
      </c>
      <c r="J9254" s="2">
        <f t="shared" si="144"/>
        <v>43749.150156284719</v>
      </c>
    </row>
    <row r="9255" spans="1:10" x14ac:dyDescent="0.25">
      <c r="A9255" s="7" t="s">
        <v>44147</v>
      </c>
      <c r="B9255" s="8">
        <v>393.75</v>
      </c>
      <c r="C9255" s="8">
        <v>20.478950000000001</v>
      </c>
      <c r="D9255" s="8">
        <v>52</v>
      </c>
      <c r="E9255" s="8">
        <v>0</v>
      </c>
      <c r="F9255" s="8">
        <v>0</v>
      </c>
      <c r="G9255" s="8">
        <v>18</v>
      </c>
      <c r="H9255" s="8" t="s">
        <v>44148</v>
      </c>
      <c r="I9255" s="8">
        <v>526.6875</v>
      </c>
      <c r="J9255" s="3">
        <f t="shared" si="144"/>
        <v>43749.150228055551</v>
      </c>
    </row>
    <row r="9256" spans="1:10" x14ac:dyDescent="0.25">
      <c r="A9256" s="5" t="s">
        <v>44149</v>
      </c>
      <c r="B9256" s="6">
        <v>393.75</v>
      </c>
      <c r="C9256" s="6">
        <v>20.478950000000001</v>
      </c>
      <c r="D9256" s="6">
        <v>52</v>
      </c>
      <c r="E9256" s="6">
        <v>0</v>
      </c>
      <c r="F9256" s="6">
        <v>0</v>
      </c>
      <c r="G9256" s="6">
        <v>3</v>
      </c>
      <c r="H9256" s="6" t="s">
        <v>44150</v>
      </c>
      <c r="I9256" s="6">
        <v>526.6875</v>
      </c>
      <c r="J9256" s="2">
        <f t="shared" si="144"/>
        <v>43749.150311736106</v>
      </c>
    </row>
    <row r="9257" spans="1:10" x14ac:dyDescent="0.25">
      <c r="A9257" s="7" t="s">
        <v>44151</v>
      </c>
      <c r="B9257" s="8">
        <v>393.75</v>
      </c>
      <c r="C9257" s="8">
        <v>20.478950000000001</v>
      </c>
      <c r="D9257" s="8">
        <v>51</v>
      </c>
      <c r="E9257" s="8">
        <v>0</v>
      </c>
      <c r="F9257" s="8">
        <v>0</v>
      </c>
      <c r="G9257" s="8">
        <v>9</v>
      </c>
      <c r="H9257" s="8" t="s">
        <v>44152</v>
      </c>
      <c r="I9257" s="8">
        <v>526.6875</v>
      </c>
      <c r="J9257" s="3">
        <f t="shared" si="144"/>
        <v>43749.150383101849</v>
      </c>
    </row>
    <row r="9258" spans="1:10" x14ac:dyDescent="0.25">
      <c r="A9258" s="5" t="s">
        <v>44153</v>
      </c>
      <c r="B9258" s="6">
        <v>393.75</v>
      </c>
      <c r="C9258" s="6">
        <v>20.478950000000001</v>
      </c>
      <c r="D9258" s="6">
        <v>51</v>
      </c>
      <c r="E9258" s="6">
        <v>0</v>
      </c>
      <c r="F9258" s="6">
        <v>0</v>
      </c>
      <c r="G9258" s="6">
        <v>3</v>
      </c>
      <c r="H9258" s="6" t="s">
        <v>44154</v>
      </c>
      <c r="I9258" s="6">
        <v>526.6875</v>
      </c>
      <c r="J9258" s="2">
        <f t="shared" si="144"/>
        <v>43749.150454340277</v>
      </c>
    </row>
    <row r="9259" spans="1:10" x14ac:dyDescent="0.25">
      <c r="A9259" s="7" t="s">
        <v>44155</v>
      </c>
      <c r="B9259" s="8">
        <v>393.75</v>
      </c>
      <c r="C9259" s="8">
        <v>20.478950000000001</v>
      </c>
      <c r="D9259" s="8">
        <v>51</v>
      </c>
      <c r="E9259" s="8">
        <v>0</v>
      </c>
      <c r="F9259" s="8">
        <v>0</v>
      </c>
      <c r="G9259" s="8">
        <v>8</v>
      </c>
      <c r="H9259" s="8" t="s">
        <v>44156</v>
      </c>
      <c r="I9259" s="8">
        <v>526.5</v>
      </c>
      <c r="J9259" s="3">
        <f t="shared" si="144"/>
        <v>43749.150526168982</v>
      </c>
    </row>
    <row r="9260" spans="1:10" x14ac:dyDescent="0.25">
      <c r="A9260" s="5" t="s">
        <v>44157</v>
      </c>
      <c r="B9260" s="6">
        <v>393.75</v>
      </c>
      <c r="C9260" s="6">
        <v>20.478950000000001</v>
      </c>
      <c r="D9260" s="6">
        <v>53</v>
      </c>
      <c r="E9260" s="6">
        <v>0</v>
      </c>
      <c r="F9260" s="6">
        <v>0</v>
      </c>
      <c r="G9260" s="6">
        <v>2</v>
      </c>
      <c r="H9260" s="6" t="s">
        <v>44158</v>
      </c>
      <c r="I9260" s="6">
        <v>526.6875</v>
      </c>
      <c r="J9260" s="2">
        <f t="shared" si="144"/>
        <v>43749.150597835651</v>
      </c>
    </row>
    <row r="9261" spans="1:10" x14ac:dyDescent="0.25">
      <c r="A9261" s="7" t="s">
        <v>44159</v>
      </c>
      <c r="B9261" s="8">
        <v>418.75</v>
      </c>
      <c r="C9261" s="8">
        <v>20.478950000000001</v>
      </c>
      <c r="D9261" s="8">
        <v>53</v>
      </c>
      <c r="E9261" s="8">
        <v>0</v>
      </c>
      <c r="F9261" s="8">
        <v>0</v>
      </c>
      <c r="G9261" s="8">
        <v>12</v>
      </c>
      <c r="H9261" s="8" t="s">
        <v>44160</v>
      </c>
      <c r="I9261" s="8">
        <v>534.375</v>
      </c>
      <c r="J9261" s="3">
        <f t="shared" si="144"/>
        <v>43749.150669398143</v>
      </c>
    </row>
    <row r="9262" spans="1:10" x14ac:dyDescent="0.25">
      <c r="A9262" s="5" t="s">
        <v>44161</v>
      </c>
      <c r="B9262" s="6">
        <v>393.75</v>
      </c>
      <c r="C9262" s="6">
        <v>20.478950000000001</v>
      </c>
      <c r="D9262" s="6">
        <v>51</v>
      </c>
      <c r="E9262" s="6">
        <v>0</v>
      </c>
      <c r="F9262" s="6">
        <v>0</v>
      </c>
      <c r="G9262" s="6">
        <v>0</v>
      </c>
      <c r="H9262" s="6" t="s">
        <v>44162</v>
      </c>
      <c r="I9262" s="6">
        <v>526.6875</v>
      </c>
      <c r="J9262" s="2">
        <f t="shared" si="144"/>
        <v>43749.150752476846</v>
      </c>
    </row>
    <row r="9263" spans="1:10" x14ac:dyDescent="0.25">
      <c r="A9263" s="7" t="s">
        <v>44163</v>
      </c>
      <c r="B9263" s="8">
        <v>393.75</v>
      </c>
      <c r="C9263" s="8">
        <v>20.478950000000001</v>
      </c>
      <c r="D9263" s="8">
        <v>51</v>
      </c>
      <c r="E9263" s="8">
        <v>0</v>
      </c>
      <c r="F9263" s="8">
        <v>0</v>
      </c>
      <c r="G9263" s="8">
        <v>7</v>
      </c>
      <c r="H9263" s="8" t="s">
        <v>44164</v>
      </c>
      <c r="I9263" s="8">
        <v>526.6875</v>
      </c>
      <c r="J9263" s="3">
        <f t="shared" si="144"/>
        <v>43749.150824363423</v>
      </c>
    </row>
    <row r="9264" spans="1:10" x14ac:dyDescent="0.25">
      <c r="A9264" s="5" t="s">
        <v>44165</v>
      </c>
      <c r="B9264" s="6">
        <v>393.75</v>
      </c>
      <c r="C9264" s="6">
        <v>20.478950000000001</v>
      </c>
      <c r="D9264" s="6">
        <v>52</v>
      </c>
      <c r="E9264" s="6">
        <v>0</v>
      </c>
      <c r="F9264" s="6">
        <v>0</v>
      </c>
      <c r="G9264" s="6">
        <v>4</v>
      </c>
      <c r="H9264" s="6" t="s">
        <v>44166</v>
      </c>
      <c r="I9264" s="6">
        <v>526.6875</v>
      </c>
      <c r="J9264" s="2">
        <f t="shared" si="144"/>
        <v>43749.150907858791</v>
      </c>
    </row>
    <row r="9265" spans="1:10" x14ac:dyDescent="0.25">
      <c r="A9265" s="7" t="s">
        <v>44167</v>
      </c>
      <c r="B9265" s="8">
        <v>393.75</v>
      </c>
      <c r="C9265" s="8">
        <v>20.478950000000001</v>
      </c>
      <c r="D9265" s="8">
        <v>54</v>
      </c>
      <c r="E9265" s="8">
        <v>0</v>
      </c>
      <c r="F9265" s="8">
        <v>0</v>
      </c>
      <c r="G9265" s="8">
        <v>1</v>
      </c>
      <c r="H9265" s="8" t="s">
        <v>44168</v>
      </c>
      <c r="I9265" s="8">
        <v>526.6875</v>
      </c>
      <c r="J9265" s="3">
        <f t="shared" si="144"/>
        <v>43749.150979560181</v>
      </c>
    </row>
    <row r="9266" spans="1:10" x14ac:dyDescent="0.25">
      <c r="A9266" s="5" t="s">
        <v>44169</v>
      </c>
      <c r="B9266" s="6">
        <v>393.75</v>
      </c>
      <c r="C9266" s="6">
        <v>20.426300000000001</v>
      </c>
      <c r="D9266" s="6">
        <v>56</v>
      </c>
      <c r="E9266" s="6">
        <v>0</v>
      </c>
      <c r="F9266" s="6">
        <v>0</v>
      </c>
      <c r="G9266" s="6">
        <v>1</v>
      </c>
      <c r="H9266" s="6" t="s">
        <v>44170</v>
      </c>
      <c r="I9266" s="6">
        <v>526.6875</v>
      </c>
      <c r="J9266" s="2">
        <f t="shared" si="144"/>
        <v>43749.151062916666</v>
      </c>
    </row>
    <row r="9267" spans="1:10" x14ac:dyDescent="0.25">
      <c r="A9267" s="7" t="s">
        <v>44171</v>
      </c>
      <c r="B9267" s="8">
        <v>393.75</v>
      </c>
      <c r="C9267" s="8">
        <v>20.478950000000001</v>
      </c>
      <c r="D9267" s="8">
        <v>57</v>
      </c>
      <c r="E9267" s="8">
        <v>0</v>
      </c>
      <c r="F9267" s="8">
        <v>0</v>
      </c>
      <c r="G9267" s="8">
        <v>16</v>
      </c>
      <c r="H9267" s="8" t="s">
        <v>44172</v>
      </c>
      <c r="I9267" s="8">
        <v>526.6875</v>
      </c>
      <c r="J9267" s="3">
        <f t="shared" si="144"/>
        <v>43749.151146342592</v>
      </c>
    </row>
    <row r="9268" spans="1:10" x14ac:dyDescent="0.25">
      <c r="A9268" s="5" t="s">
        <v>44173</v>
      </c>
      <c r="B9268" s="6">
        <v>393.75</v>
      </c>
      <c r="C9268" s="6">
        <v>20.478950000000001</v>
      </c>
      <c r="D9268" s="6">
        <v>57</v>
      </c>
      <c r="E9268" s="6">
        <v>0</v>
      </c>
      <c r="F9268" s="6">
        <v>0</v>
      </c>
      <c r="G9268" s="6">
        <v>1</v>
      </c>
      <c r="H9268" s="6" t="s">
        <v>44174</v>
      </c>
      <c r="I9268" s="6">
        <v>526.6875</v>
      </c>
      <c r="J9268" s="2">
        <f t="shared" si="144"/>
        <v>43749.151229872681</v>
      </c>
    </row>
    <row r="9269" spans="1:10" x14ac:dyDescent="0.25">
      <c r="A9269" s="7" t="s">
        <v>44175</v>
      </c>
      <c r="B9269" s="8">
        <v>393.75</v>
      </c>
      <c r="C9269" s="8">
        <v>20.478950000000001</v>
      </c>
      <c r="D9269" s="8">
        <v>57</v>
      </c>
      <c r="E9269" s="8">
        <v>0</v>
      </c>
      <c r="F9269" s="8">
        <v>0</v>
      </c>
      <c r="G9269" s="8">
        <v>7</v>
      </c>
      <c r="H9269" s="8" t="s">
        <v>44176</v>
      </c>
      <c r="I9269" s="8">
        <v>526.6875</v>
      </c>
      <c r="J9269" s="3">
        <f t="shared" si="144"/>
        <v>43749.151301493053</v>
      </c>
    </row>
    <row r="9270" spans="1:10" x14ac:dyDescent="0.25">
      <c r="A9270" s="5" t="s">
        <v>44177</v>
      </c>
      <c r="B9270" s="6">
        <v>393.75</v>
      </c>
      <c r="C9270" s="6">
        <v>20.478950000000001</v>
      </c>
      <c r="D9270" s="6">
        <v>56</v>
      </c>
      <c r="E9270" s="6">
        <v>0</v>
      </c>
      <c r="F9270" s="6">
        <v>0</v>
      </c>
      <c r="G9270" s="6">
        <v>0</v>
      </c>
      <c r="H9270" s="6" t="s">
        <v>44178</v>
      </c>
      <c r="I9270" s="6">
        <v>526.6875</v>
      </c>
      <c r="J9270" s="2">
        <f t="shared" si="144"/>
        <v>43749.151372974535</v>
      </c>
    </row>
    <row r="9271" spans="1:10" x14ac:dyDescent="0.25">
      <c r="A9271" s="7" t="s">
        <v>44179</v>
      </c>
      <c r="B9271" s="8">
        <v>393.75</v>
      </c>
      <c r="C9271" s="8">
        <v>20.478950000000001</v>
      </c>
      <c r="D9271" s="8">
        <v>55</v>
      </c>
      <c r="E9271" s="8">
        <v>0</v>
      </c>
      <c r="F9271" s="8">
        <v>0</v>
      </c>
      <c r="G9271" s="8">
        <v>7</v>
      </c>
      <c r="H9271" s="8" t="s">
        <v>44180</v>
      </c>
      <c r="I9271" s="8">
        <v>526.6875</v>
      </c>
      <c r="J9271" s="3">
        <f t="shared" si="144"/>
        <v>43749.151456180552</v>
      </c>
    </row>
    <row r="9272" spans="1:10" x14ac:dyDescent="0.25">
      <c r="A9272" s="5" t="s">
        <v>44181</v>
      </c>
      <c r="B9272" s="6">
        <v>393.75</v>
      </c>
      <c r="C9272" s="6">
        <v>20.478950000000001</v>
      </c>
      <c r="D9272" s="6">
        <v>55</v>
      </c>
      <c r="E9272" s="6">
        <v>0</v>
      </c>
      <c r="F9272" s="6">
        <v>0</v>
      </c>
      <c r="G9272" s="6">
        <v>3</v>
      </c>
      <c r="H9272" s="6" t="s">
        <v>44182</v>
      </c>
      <c r="I9272" s="6">
        <v>526.6875</v>
      </c>
      <c r="J9272" s="2">
        <f t="shared" si="144"/>
        <v>43749.151528009257</v>
      </c>
    </row>
    <row r="9273" spans="1:10" x14ac:dyDescent="0.25">
      <c r="A9273" s="7" t="s">
        <v>44183</v>
      </c>
      <c r="B9273" s="8">
        <v>412.5</v>
      </c>
      <c r="C9273" s="8">
        <v>20.478950000000001</v>
      </c>
      <c r="D9273" s="8">
        <v>55</v>
      </c>
      <c r="E9273" s="8">
        <v>0</v>
      </c>
      <c r="F9273" s="8">
        <v>0</v>
      </c>
      <c r="G9273" s="8">
        <v>8</v>
      </c>
      <c r="H9273" s="8" t="s">
        <v>44184</v>
      </c>
      <c r="I9273" s="8">
        <v>532.3125</v>
      </c>
      <c r="J9273" s="3">
        <f t="shared" si="144"/>
        <v>43749.15161152777</v>
      </c>
    </row>
    <row r="9274" spans="1:10" x14ac:dyDescent="0.25">
      <c r="A9274" s="5" t="s">
        <v>44185</v>
      </c>
      <c r="B9274" s="6">
        <v>393.75</v>
      </c>
      <c r="C9274" s="6">
        <v>20.478950000000001</v>
      </c>
      <c r="D9274" s="6">
        <v>55</v>
      </c>
      <c r="E9274" s="6">
        <v>0</v>
      </c>
      <c r="F9274" s="6">
        <v>0</v>
      </c>
      <c r="G9274" s="6">
        <v>10</v>
      </c>
      <c r="H9274" s="6" t="s">
        <v>44186</v>
      </c>
      <c r="I9274" s="6">
        <v>526.5</v>
      </c>
      <c r="J9274" s="2">
        <f t="shared" si="144"/>
        <v>43749.151683055556</v>
      </c>
    </row>
    <row r="9275" spans="1:10" x14ac:dyDescent="0.25">
      <c r="A9275" s="7" t="s">
        <v>44187</v>
      </c>
      <c r="B9275" s="8">
        <v>393.75</v>
      </c>
      <c r="C9275" s="8">
        <v>20.478950000000001</v>
      </c>
      <c r="D9275" s="8">
        <v>55</v>
      </c>
      <c r="E9275" s="8">
        <v>0</v>
      </c>
      <c r="F9275" s="8">
        <v>0</v>
      </c>
      <c r="G9275" s="8">
        <v>6</v>
      </c>
      <c r="H9275" s="8" t="s">
        <v>44188</v>
      </c>
      <c r="I9275" s="8">
        <v>526.6875</v>
      </c>
      <c r="J9275" s="3">
        <f t="shared" si="144"/>
        <v>43749.151754583327</v>
      </c>
    </row>
    <row r="9276" spans="1:10" x14ac:dyDescent="0.25">
      <c r="A9276" s="5" t="s">
        <v>44189</v>
      </c>
      <c r="B9276" s="6">
        <v>393.75</v>
      </c>
      <c r="C9276" s="6">
        <v>20.478950000000001</v>
      </c>
      <c r="D9276" s="6">
        <v>53</v>
      </c>
      <c r="E9276" s="6">
        <v>0</v>
      </c>
      <c r="F9276" s="6">
        <v>0</v>
      </c>
      <c r="G9276" s="6">
        <v>13</v>
      </c>
      <c r="H9276" s="6" t="s">
        <v>44190</v>
      </c>
      <c r="I9276" s="6">
        <v>526.6875</v>
      </c>
      <c r="J9276" s="2">
        <f t="shared" si="144"/>
        <v>43749.151837916659</v>
      </c>
    </row>
    <row r="9277" spans="1:10" x14ac:dyDescent="0.25">
      <c r="A9277" s="7" t="s">
        <v>44191</v>
      </c>
      <c r="B9277" s="8">
        <v>393.75</v>
      </c>
      <c r="C9277" s="8">
        <v>20.478950000000001</v>
      </c>
      <c r="D9277" s="8">
        <v>54</v>
      </c>
      <c r="E9277" s="8">
        <v>0</v>
      </c>
      <c r="F9277" s="8">
        <v>0</v>
      </c>
      <c r="G9277" s="8">
        <v>11</v>
      </c>
      <c r="H9277" s="8" t="s">
        <v>44192</v>
      </c>
      <c r="I9277" s="8">
        <v>526.6875</v>
      </c>
      <c r="J9277" s="3">
        <f t="shared" si="144"/>
        <v>43749.151909675922</v>
      </c>
    </row>
    <row r="9278" spans="1:10" x14ac:dyDescent="0.25">
      <c r="A9278" s="5" t="s">
        <v>44193</v>
      </c>
      <c r="B9278" s="6">
        <v>393.75</v>
      </c>
      <c r="C9278" s="6">
        <v>20.478950000000001</v>
      </c>
      <c r="D9278" s="6">
        <v>54</v>
      </c>
      <c r="E9278" s="6">
        <v>0</v>
      </c>
      <c r="F9278" s="6">
        <v>0</v>
      </c>
      <c r="G9278" s="6">
        <v>6</v>
      </c>
      <c r="H9278" s="6" t="s">
        <v>44194</v>
      </c>
      <c r="I9278" s="6">
        <v>526.6875</v>
      </c>
      <c r="J9278" s="2">
        <f t="shared" si="144"/>
        <v>43749.151993229163</v>
      </c>
    </row>
    <row r="9279" spans="1:10" x14ac:dyDescent="0.25">
      <c r="A9279" s="7" t="s">
        <v>44195</v>
      </c>
      <c r="B9279" s="8">
        <v>412.5</v>
      </c>
      <c r="C9279" s="8">
        <v>20.426300000000001</v>
      </c>
      <c r="D9279" s="8">
        <v>55</v>
      </c>
      <c r="E9279" s="8">
        <v>0</v>
      </c>
      <c r="F9279" s="8">
        <v>0</v>
      </c>
      <c r="G9279" s="8">
        <v>9</v>
      </c>
      <c r="H9279" s="8" t="s">
        <v>44196</v>
      </c>
      <c r="I9279" s="8">
        <v>532.6875</v>
      </c>
      <c r="J9279" s="3">
        <f t="shared" si="144"/>
        <v>43749.152064768517</v>
      </c>
    </row>
    <row r="9280" spans="1:10" x14ac:dyDescent="0.25">
      <c r="A9280" s="5" t="s">
        <v>44197</v>
      </c>
      <c r="B9280" s="6">
        <v>393.75</v>
      </c>
      <c r="C9280" s="6">
        <v>20.478950000000001</v>
      </c>
      <c r="D9280" s="6">
        <v>54</v>
      </c>
      <c r="E9280" s="6">
        <v>0</v>
      </c>
      <c r="F9280" s="6">
        <v>0</v>
      </c>
      <c r="G9280" s="6">
        <v>3</v>
      </c>
      <c r="H9280" s="6" t="s">
        <v>44198</v>
      </c>
      <c r="I9280" s="6">
        <v>526.5</v>
      </c>
      <c r="J9280" s="2">
        <f t="shared" si="144"/>
        <v>43749.152148171292</v>
      </c>
    </row>
    <row r="9281" spans="1:10" x14ac:dyDescent="0.25">
      <c r="A9281" s="7" t="s">
        <v>44199</v>
      </c>
      <c r="B9281" s="8">
        <v>393.75</v>
      </c>
      <c r="C9281" s="8">
        <v>20.478950000000001</v>
      </c>
      <c r="D9281" s="8">
        <v>54</v>
      </c>
      <c r="E9281" s="8">
        <v>0</v>
      </c>
      <c r="F9281" s="8">
        <v>0</v>
      </c>
      <c r="G9281" s="8">
        <v>8</v>
      </c>
      <c r="H9281" s="8" t="s">
        <v>44200</v>
      </c>
      <c r="I9281" s="8">
        <v>526.6875</v>
      </c>
      <c r="J9281" s="3">
        <f t="shared" si="144"/>
        <v>43749.152231689812</v>
      </c>
    </row>
    <row r="9282" spans="1:10" x14ac:dyDescent="0.25">
      <c r="A9282" s="5" t="s">
        <v>44201</v>
      </c>
      <c r="B9282" s="6">
        <v>393.75</v>
      </c>
      <c r="C9282" s="6">
        <v>20.478950000000001</v>
      </c>
      <c r="D9282" s="6">
        <v>55</v>
      </c>
      <c r="E9282" s="6">
        <v>0</v>
      </c>
      <c r="F9282" s="6">
        <v>0</v>
      </c>
      <c r="G9282" s="6">
        <v>6</v>
      </c>
      <c r="H9282" s="6" t="s">
        <v>44202</v>
      </c>
      <c r="I9282" s="6">
        <v>526.6875</v>
      </c>
      <c r="J9282" s="2">
        <f t="shared" ref="J9282:J9345" si="145">(H9282/86400000)+25569+(7/24)</f>
        <v>43749.152315104169</v>
      </c>
    </row>
    <row r="9283" spans="1:10" x14ac:dyDescent="0.25">
      <c r="A9283" s="7" t="s">
        <v>44203</v>
      </c>
      <c r="B9283" s="8">
        <v>393.75</v>
      </c>
      <c r="C9283" s="8">
        <v>20.478950000000001</v>
      </c>
      <c r="D9283" s="8">
        <v>54</v>
      </c>
      <c r="E9283" s="8">
        <v>0</v>
      </c>
      <c r="F9283" s="8">
        <v>0</v>
      </c>
      <c r="G9283" s="8">
        <v>13</v>
      </c>
      <c r="H9283" s="8" t="s">
        <v>44204</v>
      </c>
      <c r="I9283" s="8">
        <v>526.6875</v>
      </c>
      <c r="J9283" s="3">
        <f t="shared" si="145"/>
        <v>43749.152386400463</v>
      </c>
    </row>
    <row r="9284" spans="1:10" x14ac:dyDescent="0.25">
      <c r="A9284" s="5" t="s">
        <v>44205</v>
      </c>
      <c r="B9284" s="6">
        <v>393.75</v>
      </c>
      <c r="C9284" s="6">
        <v>20.478950000000001</v>
      </c>
      <c r="D9284" s="6">
        <v>54</v>
      </c>
      <c r="E9284" s="6">
        <v>0</v>
      </c>
      <c r="F9284" s="6">
        <v>0</v>
      </c>
      <c r="G9284" s="6">
        <v>12</v>
      </c>
      <c r="H9284" s="6" t="s">
        <v>44206</v>
      </c>
      <c r="I9284" s="6">
        <v>526.6875</v>
      </c>
      <c r="J9284" s="2">
        <f t="shared" si="145"/>
        <v>43749.152458159719</v>
      </c>
    </row>
    <row r="9285" spans="1:10" x14ac:dyDescent="0.25">
      <c r="A9285" s="7" t="s">
        <v>44207</v>
      </c>
      <c r="B9285" s="8">
        <v>393.75</v>
      </c>
      <c r="C9285" s="8">
        <v>20.478950000000001</v>
      </c>
      <c r="D9285" s="8">
        <v>54</v>
      </c>
      <c r="E9285" s="8">
        <v>0</v>
      </c>
      <c r="F9285" s="8">
        <v>0</v>
      </c>
      <c r="G9285" s="8">
        <v>9</v>
      </c>
      <c r="H9285" s="8" t="s">
        <v>44208</v>
      </c>
      <c r="I9285" s="8">
        <v>526.6875</v>
      </c>
      <c r="J9285" s="3">
        <f t="shared" si="145"/>
        <v>43749.152553611108</v>
      </c>
    </row>
    <row r="9286" spans="1:10" x14ac:dyDescent="0.25">
      <c r="A9286" s="5" t="s">
        <v>44209</v>
      </c>
      <c r="B9286" s="6">
        <v>393.75</v>
      </c>
      <c r="C9286" s="6">
        <v>20.478950000000001</v>
      </c>
      <c r="D9286" s="6">
        <v>55</v>
      </c>
      <c r="E9286" s="6">
        <v>0</v>
      </c>
      <c r="F9286" s="6">
        <v>0</v>
      </c>
      <c r="G9286" s="6">
        <v>10</v>
      </c>
      <c r="H9286" s="6" t="s">
        <v>44210</v>
      </c>
      <c r="I9286" s="6">
        <v>526.5</v>
      </c>
      <c r="J9286" s="2">
        <f t="shared" si="145"/>
        <v>43749.15263733796</v>
      </c>
    </row>
    <row r="9287" spans="1:10" x14ac:dyDescent="0.25">
      <c r="A9287" s="7" t="s">
        <v>44211</v>
      </c>
      <c r="B9287" s="8">
        <v>400</v>
      </c>
      <c r="C9287" s="8">
        <v>20.478950000000001</v>
      </c>
      <c r="D9287" s="8">
        <v>48</v>
      </c>
      <c r="E9287" s="8">
        <v>0</v>
      </c>
      <c r="F9287" s="8">
        <v>0</v>
      </c>
      <c r="G9287" s="8">
        <v>3</v>
      </c>
      <c r="H9287" s="8" t="s">
        <v>44212</v>
      </c>
      <c r="I9287" s="8">
        <v>528.375</v>
      </c>
      <c r="J9287" s="3">
        <f t="shared" si="145"/>
        <v>43749.152708819442</v>
      </c>
    </row>
    <row r="9288" spans="1:10" x14ac:dyDescent="0.25">
      <c r="A9288" s="5" t="s">
        <v>44213</v>
      </c>
      <c r="B9288" s="6">
        <v>393.75</v>
      </c>
      <c r="C9288" s="6">
        <v>20.478950000000001</v>
      </c>
      <c r="D9288" s="6">
        <v>51</v>
      </c>
      <c r="E9288" s="6">
        <v>0</v>
      </c>
      <c r="F9288" s="6">
        <v>0</v>
      </c>
      <c r="G9288" s="6">
        <v>7</v>
      </c>
      <c r="H9288" s="6" t="s">
        <v>44214</v>
      </c>
      <c r="I9288" s="6">
        <v>526.6875</v>
      </c>
      <c r="J9288" s="2">
        <f t="shared" si="145"/>
        <v>43749.152780127311</v>
      </c>
    </row>
    <row r="9289" spans="1:10" x14ac:dyDescent="0.25">
      <c r="A9289" s="7" t="s">
        <v>44215</v>
      </c>
      <c r="B9289" s="8">
        <v>393.75</v>
      </c>
      <c r="C9289" s="8">
        <v>20.478950000000001</v>
      </c>
      <c r="D9289" s="8">
        <v>54</v>
      </c>
      <c r="E9289" s="8">
        <v>0</v>
      </c>
      <c r="F9289" s="8">
        <v>0</v>
      </c>
      <c r="G9289" s="8">
        <v>14</v>
      </c>
      <c r="H9289" s="8" t="s">
        <v>44216</v>
      </c>
      <c r="I9289" s="8">
        <v>526.6875</v>
      </c>
      <c r="J9289" s="3">
        <f t="shared" si="145"/>
        <v>43749.152863599535</v>
      </c>
    </row>
    <row r="9290" spans="1:10" x14ac:dyDescent="0.25">
      <c r="A9290" s="5" t="s">
        <v>44217</v>
      </c>
      <c r="B9290" s="6">
        <v>393.75</v>
      </c>
      <c r="C9290" s="6">
        <v>20.478950000000001</v>
      </c>
      <c r="D9290" s="6">
        <v>54</v>
      </c>
      <c r="E9290" s="6">
        <v>0</v>
      </c>
      <c r="F9290" s="6">
        <v>0</v>
      </c>
      <c r="G9290" s="6">
        <v>6</v>
      </c>
      <c r="H9290" s="6" t="s">
        <v>44218</v>
      </c>
      <c r="I9290" s="6">
        <v>526.6875</v>
      </c>
      <c r="J9290" s="2">
        <f t="shared" si="145"/>
        <v>43749.152935196755</v>
      </c>
    </row>
    <row r="9291" spans="1:10" x14ac:dyDescent="0.25">
      <c r="A9291" s="7" t="s">
        <v>44219</v>
      </c>
      <c r="B9291" s="8">
        <v>393.75</v>
      </c>
      <c r="C9291" s="8">
        <v>20.478950000000001</v>
      </c>
      <c r="D9291" s="8">
        <v>53</v>
      </c>
      <c r="E9291" s="8">
        <v>0</v>
      </c>
      <c r="F9291" s="8">
        <v>0</v>
      </c>
      <c r="G9291" s="8">
        <v>4</v>
      </c>
      <c r="H9291" s="8" t="s">
        <v>44220</v>
      </c>
      <c r="I9291" s="8">
        <v>526.6875</v>
      </c>
      <c r="J9291" s="3">
        <f t="shared" si="145"/>
        <v>43749.153018703706</v>
      </c>
    </row>
    <row r="9292" spans="1:10" x14ac:dyDescent="0.25">
      <c r="A9292" s="5" t="s">
        <v>44221</v>
      </c>
      <c r="B9292" s="6">
        <v>393.75</v>
      </c>
      <c r="C9292" s="6">
        <v>20.478950000000001</v>
      </c>
      <c r="D9292" s="6">
        <v>53</v>
      </c>
      <c r="E9292" s="6">
        <v>0</v>
      </c>
      <c r="F9292" s="6">
        <v>0</v>
      </c>
      <c r="G9292" s="6">
        <v>4</v>
      </c>
      <c r="H9292" s="6" t="s">
        <v>44222</v>
      </c>
      <c r="I9292" s="6">
        <v>526.6875</v>
      </c>
      <c r="J9292" s="2">
        <f t="shared" si="145"/>
        <v>43749.153129247679</v>
      </c>
    </row>
    <row r="9293" spans="1:10" x14ac:dyDescent="0.25">
      <c r="A9293" s="7" t="s">
        <v>44223</v>
      </c>
      <c r="B9293" s="8">
        <v>393.75</v>
      </c>
      <c r="C9293" s="8">
        <v>20.478950000000001</v>
      </c>
      <c r="D9293" s="8">
        <v>53</v>
      </c>
      <c r="E9293" s="8">
        <v>0</v>
      </c>
      <c r="F9293" s="8">
        <v>0</v>
      </c>
      <c r="G9293" s="8">
        <v>13</v>
      </c>
      <c r="H9293" s="8" t="s">
        <v>44224</v>
      </c>
      <c r="I9293" s="8">
        <v>526.6875</v>
      </c>
      <c r="J9293" s="3">
        <f t="shared" si="145"/>
        <v>43749.153197025465</v>
      </c>
    </row>
    <row r="9294" spans="1:10" x14ac:dyDescent="0.25">
      <c r="A9294" s="5" t="s">
        <v>44225</v>
      </c>
      <c r="B9294" s="6">
        <v>393.75</v>
      </c>
      <c r="C9294" s="6">
        <v>20.426300000000001</v>
      </c>
      <c r="D9294" s="6">
        <v>54</v>
      </c>
      <c r="E9294" s="6">
        <v>0</v>
      </c>
      <c r="F9294" s="6">
        <v>0</v>
      </c>
      <c r="G9294" s="6">
        <v>18</v>
      </c>
      <c r="H9294" s="6" t="s">
        <v>44226</v>
      </c>
      <c r="I9294" s="6">
        <v>526.6875</v>
      </c>
      <c r="J9294" s="2">
        <f t="shared" si="145"/>
        <v>43749.153269131937</v>
      </c>
    </row>
    <row r="9295" spans="1:10" x14ac:dyDescent="0.25">
      <c r="A9295" s="7" t="s">
        <v>44227</v>
      </c>
      <c r="B9295" s="8">
        <v>393.75</v>
      </c>
      <c r="C9295" s="8">
        <v>20.478950000000001</v>
      </c>
      <c r="D9295" s="8">
        <v>53</v>
      </c>
      <c r="E9295" s="8">
        <v>0</v>
      </c>
      <c r="F9295" s="8">
        <v>0</v>
      </c>
      <c r="G9295" s="8">
        <v>0</v>
      </c>
      <c r="H9295" s="8" t="s">
        <v>44228</v>
      </c>
      <c r="I9295" s="8">
        <v>526.6875</v>
      </c>
      <c r="J9295" s="3">
        <f t="shared" si="145"/>
        <v>43749.153352511574</v>
      </c>
    </row>
    <row r="9296" spans="1:10" x14ac:dyDescent="0.25">
      <c r="A9296" s="5" t="s">
        <v>44229</v>
      </c>
      <c r="B9296" s="6">
        <v>393.75</v>
      </c>
      <c r="C9296" s="6">
        <v>20.426300000000001</v>
      </c>
      <c r="D9296" s="6">
        <v>52</v>
      </c>
      <c r="E9296" s="6">
        <v>0</v>
      </c>
      <c r="F9296" s="6">
        <v>0</v>
      </c>
      <c r="G9296" s="6">
        <v>7</v>
      </c>
      <c r="H9296" s="6" t="s">
        <v>44230</v>
      </c>
      <c r="I9296" s="6">
        <v>526.6875</v>
      </c>
      <c r="J9296" s="2">
        <f t="shared" si="145"/>
        <v>43749.153436006942</v>
      </c>
    </row>
    <row r="9297" spans="1:10" x14ac:dyDescent="0.25">
      <c r="A9297" s="7" t="s">
        <v>44231</v>
      </c>
      <c r="B9297" s="8">
        <v>393.75</v>
      </c>
      <c r="C9297" s="8">
        <v>20.478950000000001</v>
      </c>
      <c r="D9297" s="8">
        <v>50</v>
      </c>
      <c r="E9297" s="8">
        <v>0</v>
      </c>
      <c r="F9297" s="8">
        <v>0</v>
      </c>
      <c r="G9297" s="8">
        <v>8</v>
      </c>
      <c r="H9297" s="8" t="s">
        <v>44232</v>
      </c>
      <c r="I9297" s="8">
        <v>526.5</v>
      </c>
      <c r="J9297" s="3">
        <f t="shared" si="145"/>
        <v>43749.153519178239</v>
      </c>
    </row>
    <row r="9298" spans="1:10" x14ac:dyDescent="0.25">
      <c r="A9298" s="5" t="s">
        <v>44233</v>
      </c>
      <c r="B9298" s="6">
        <v>393.75</v>
      </c>
      <c r="C9298" s="6">
        <v>20.478950000000001</v>
      </c>
      <c r="D9298" s="6">
        <v>53</v>
      </c>
      <c r="E9298" s="6">
        <v>0</v>
      </c>
      <c r="F9298" s="6">
        <v>0</v>
      </c>
      <c r="G9298" s="6">
        <v>7</v>
      </c>
      <c r="H9298" s="6" t="s">
        <v>44234</v>
      </c>
      <c r="I9298" s="6">
        <v>526.6875</v>
      </c>
      <c r="J9298" s="2">
        <f t="shared" si="145"/>
        <v>43749.153591122682</v>
      </c>
    </row>
    <row r="9299" spans="1:10" x14ac:dyDescent="0.25">
      <c r="A9299" s="7" t="s">
        <v>44235</v>
      </c>
      <c r="B9299" s="8">
        <v>393.75</v>
      </c>
      <c r="C9299" s="8">
        <v>20.478950000000001</v>
      </c>
      <c r="D9299" s="8">
        <v>53</v>
      </c>
      <c r="E9299" s="8">
        <v>0</v>
      </c>
      <c r="F9299" s="8">
        <v>0</v>
      </c>
      <c r="G9299" s="8">
        <v>2</v>
      </c>
      <c r="H9299" s="8" t="s">
        <v>44236</v>
      </c>
      <c r="I9299" s="8">
        <v>526.6875</v>
      </c>
      <c r="J9299" s="3">
        <f t="shared" si="145"/>
        <v>43749.153674733789</v>
      </c>
    </row>
    <row r="9300" spans="1:10" x14ac:dyDescent="0.25">
      <c r="A9300" s="5" t="s">
        <v>44237</v>
      </c>
      <c r="B9300" s="6">
        <v>393.75</v>
      </c>
      <c r="C9300" s="6">
        <v>20.478950000000001</v>
      </c>
      <c r="D9300" s="6">
        <v>54</v>
      </c>
      <c r="E9300" s="6">
        <v>0</v>
      </c>
      <c r="F9300" s="6">
        <v>0</v>
      </c>
      <c r="G9300" s="6">
        <v>1</v>
      </c>
      <c r="H9300" s="6" t="s">
        <v>44238</v>
      </c>
      <c r="I9300" s="6">
        <v>526.5</v>
      </c>
      <c r="J9300" s="2">
        <f t="shared" si="145"/>
        <v>43749.153746122684</v>
      </c>
    </row>
    <row r="9301" spans="1:10" x14ac:dyDescent="0.25">
      <c r="A9301" s="7" t="s">
        <v>44239</v>
      </c>
      <c r="B9301" s="8">
        <v>393.75</v>
      </c>
      <c r="C9301" s="8">
        <v>20.478950000000001</v>
      </c>
      <c r="D9301" s="8">
        <v>54</v>
      </c>
      <c r="E9301" s="8">
        <v>0</v>
      </c>
      <c r="F9301" s="8">
        <v>0</v>
      </c>
      <c r="G9301" s="8">
        <v>0</v>
      </c>
      <c r="H9301" s="8" t="s">
        <v>44240</v>
      </c>
      <c r="I9301" s="8">
        <v>526.6875</v>
      </c>
      <c r="J9301" s="3">
        <f t="shared" si="145"/>
        <v>43749.153817708335</v>
      </c>
    </row>
    <row r="9302" spans="1:10" x14ac:dyDescent="0.25">
      <c r="A9302" s="5" t="s">
        <v>44241</v>
      </c>
      <c r="B9302" s="6">
        <v>393.75</v>
      </c>
      <c r="C9302" s="6">
        <v>20.478950000000001</v>
      </c>
      <c r="D9302" s="6">
        <v>54</v>
      </c>
      <c r="E9302" s="6">
        <v>0</v>
      </c>
      <c r="F9302" s="6">
        <v>0</v>
      </c>
      <c r="G9302" s="6">
        <v>2</v>
      </c>
      <c r="H9302" s="6" t="s">
        <v>44242</v>
      </c>
      <c r="I9302" s="6">
        <v>526.6875</v>
      </c>
      <c r="J9302" s="2">
        <f t="shared" si="145"/>
        <v>43749.153901400459</v>
      </c>
    </row>
    <row r="9303" spans="1:10" x14ac:dyDescent="0.25">
      <c r="A9303" s="7" t="s">
        <v>44243</v>
      </c>
      <c r="B9303" s="8">
        <v>393.75</v>
      </c>
      <c r="C9303" s="8">
        <v>20.478950000000001</v>
      </c>
      <c r="D9303" s="8">
        <v>53</v>
      </c>
      <c r="E9303" s="8">
        <v>0</v>
      </c>
      <c r="F9303" s="8">
        <v>0</v>
      </c>
      <c r="G9303" s="8">
        <v>11</v>
      </c>
      <c r="H9303" s="8" t="s">
        <v>44244</v>
      </c>
      <c r="I9303" s="8">
        <v>526.6875</v>
      </c>
      <c r="J9303" s="3">
        <f t="shared" si="145"/>
        <v>43749.153972754626</v>
      </c>
    </row>
    <row r="9304" spans="1:10" x14ac:dyDescent="0.25">
      <c r="A9304" s="5" t="s">
        <v>44245</v>
      </c>
      <c r="B9304" s="6">
        <v>412.5</v>
      </c>
      <c r="C9304" s="6">
        <v>20.478950000000001</v>
      </c>
      <c r="D9304" s="6">
        <v>53</v>
      </c>
      <c r="E9304" s="6">
        <v>0</v>
      </c>
      <c r="F9304" s="6">
        <v>0</v>
      </c>
      <c r="G9304" s="6">
        <v>8</v>
      </c>
      <c r="H9304" s="6" t="s">
        <v>44246</v>
      </c>
      <c r="I9304" s="6">
        <v>532.3125</v>
      </c>
      <c r="J9304" s="2">
        <f t="shared" si="145"/>
        <v>43749.154056215273</v>
      </c>
    </row>
    <row r="9305" spans="1:10" x14ac:dyDescent="0.25">
      <c r="A9305" s="7" t="s">
        <v>44247</v>
      </c>
      <c r="B9305" s="8">
        <v>393.75</v>
      </c>
      <c r="C9305" s="8">
        <v>20.478950000000001</v>
      </c>
      <c r="D9305" s="8">
        <v>53</v>
      </c>
      <c r="E9305" s="8">
        <v>0</v>
      </c>
      <c r="F9305" s="8">
        <v>0</v>
      </c>
      <c r="G9305" s="8">
        <v>6</v>
      </c>
      <c r="H9305" s="8" t="s">
        <v>44248</v>
      </c>
      <c r="I9305" s="8">
        <v>526.6875</v>
      </c>
      <c r="J9305" s="3">
        <f t="shared" si="145"/>
        <v>43749.154139849539</v>
      </c>
    </row>
    <row r="9306" spans="1:10" x14ac:dyDescent="0.25">
      <c r="A9306" s="5" t="s">
        <v>44249</v>
      </c>
      <c r="B9306" s="6">
        <v>393.75</v>
      </c>
      <c r="C9306" s="6">
        <v>20.478950000000001</v>
      </c>
      <c r="D9306" s="6">
        <v>54</v>
      </c>
      <c r="E9306" s="6">
        <v>0</v>
      </c>
      <c r="F9306" s="6">
        <v>0</v>
      </c>
      <c r="G9306" s="6">
        <v>10</v>
      </c>
      <c r="H9306" s="6" t="s">
        <v>44250</v>
      </c>
      <c r="I9306" s="6">
        <v>526.6875</v>
      </c>
      <c r="J9306" s="2">
        <f t="shared" si="145"/>
        <v>43749.154222881938</v>
      </c>
    </row>
    <row r="9307" spans="1:10" x14ac:dyDescent="0.25">
      <c r="A9307" s="7" t="s">
        <v>44251</v>
      </c>
      <c r="B9307" s="8">
        <v>393.75</v>
      </c>
      <c r="C9307" s="8">
        <v>20.478950000000001</v>
      </c>
      <c r="D9307" s="8">
        <v>54</v>
      </c>
      <c r="E9307" s="8">
        <v>0</v>
      </c>
      <c r="F9307" s="8">
        <v>0</v>
      </c>
      <c r="G9307" s="8">
        <v>10</v>
      </c>
      <c r="H9307" s="8" t="s">
        <v>44252</v>
      </c>
      <c r="I9307" s="8">
        <v>526.6875</v>
      </c>
      <c r="J9307" s="3">
        <f t="shared" si="145"/>
        <v>43749.154294756947</v>
      </c>
    </row>
    <row r="9308" spans="1:10" x14ac:dyDescent="0.25">
      <c r="A9308" s="5" t="s">
        <v>44253</v>
      </c>
      <c r="B9308" s="6">
        <v>393.75</v>
      </c>
      <c r="C9308" s="6">
        <v>20.478950000000001</v>
      </c>
      <c r="D9308" s="6">
        <v>55</v>
      </c>
      <c r="E9308" s="6">
        <v>0</v>
      </c>
      <c r="F9308" s="6">
        <v>0</v>
      </c>
      <c r="G9308" s="6">
        <v>9</v>
      </c>
      <c r="H9308" s="6" t="s">
        <v>44254</v>
      </c>
      <c r="I9308" s="6">
        <v>526.6875</v>
      </c>
      <c r="J9308" s="2">
        <f t="shared" si="145"/>
        <v>43749.154378425919</v>
      </c>
    </row>
    <row r="9309" spans="1:10" x14ac:dyDescent="0.25">
      <c r="A9309" s="7" t="s">
        <v>44255</v>
      </c>
      <c r="B9309" s="8">
        <v>415.625</v>
      </c>
      <c r="C9309" s="8">
        <v>20.478950000000001</v>
      </c>
      <c r="D9309" s="8">
        <v>55</v>
      </c>
      <c r="E9309" s="8">
        <v>0</v>
      </c>
      <c r="F9309" s="8">
        <v>0</v>
      </c>
      <c r="G9309" s="8">
        <v>3</v>
      </c>
      <c r="H9309" s="8" t="s">
        <v>44256</v>
      </c>
      <c r="I9309" s="8">
        <v>533.8125</v>
      </c>
      <c r="J9309" s="3">
        <f t="shared" si="145"/>
        <v>43749.154449444446</v>
      </c>
    </row>
    <row r="9310" spans="1:10" x14ac:dyDescent="0.25">
      <c r="A9310" s="5" t="s">
        <v>44257</v>
      </c>
      <c r="B9310" s="6">
        <v>393.75</v>
      </c>
      <c r="C9310" s="6">
        <v>20.478950000000001</v>
      </c>
      <c r="D9310" s="6">
        <v>55</v>
      </c>
      <c r="E9310" s="6">
        <v>0</v>
      </c>
      <c r="F9310" s="6">
        <v>0</v>
      </c>
      <c r="G9310" s="6">
        <v>11</v>
      </c>
      <c r="H9310" s="6" t="s">
        <v>44258</v>
      </c>
      <c r="I9310" s="6">
        <v>526.6875</v>
      </c>
      <c r="J9310" s="2">
        <f t="shared" si="145"/>
        <v>43749.15452131944</v>
      </c>
    </row>
    <row r="9311" spans="1:10" x14ac:dyDescent="0.25">
      <c r="A9311" s="7" t="s">
        <v>44259</v>
      </c>
      <c r="B9311" s="8">
        <v>393.75</v>
      </c>
      <c r="C9311" s="8">
        <v>20.478950000000001</v>
      </c>
      <c r="D9311" s="8">
        <v>55</v>
      </c>
      <c r="E9311" s="8">
        <v>0</v>
      </c>
      <c r="F9311" s="8">
        <v>0</v>
      </c>
      <c r="G9311" s="8">
        <v>6</v>
      </c>
      <c r="H9311" s="8" t="s">
        <v>44260</v>
      </c>
      <c r="I9311" s="8">
        <v>526.5</v>
      </c>
      <c r="J9311" s="3">
        <f t="shared" si="145"/>
        <v>43749.154592847219</v>
      </c>
    </row>
    <row r="9312" spans="1:10" x14ac:dyDescent="0.25">
      <c r="A9312" s="5" t="s">
        <v>44261</v>
      </c>
      <c r="B9312" s="6">
        <v>393.75</v>
      </c>
      <c r="C9312" s="6">
        <v>20.478950000000001</v>
      </c>
      <c r="D9312" s="6">
        <v>55</v>
      </c>
      <c r="E9312" s="6">
        <v>0</v>
      </c>
      <c r="F9312" s="6">
        <v>0</v>
      </c>
      <c r="G9312" s="6">
        <v>0</v>
      </c>
      <c r="H9312" s="6" t="s">
        <v>44262</v>
      </c>
      <c r="I9312" s="6">
        <v>526.6875</v>
      </c>
      <c r="J9312" s="2">
        <f t="shared" si="145"/>
        <v>43749.15466447916</v>
      </c>
    </row>
    <row r="9313" spans="1:10" x14ac:dyDescent="0.25">
      <c r="A9313" s="7" t="s">
        <v>44263</v>
      </c>
      <c r="B9313" s="8">
        <v>393.75</v>
      </c>
      <c r="C9313" s="8">
        <v>20.478950000000001</v>
      </c>
      <c r="D9313" s="8">
        <v>55</v>
      </c>
      <c r="E9313" s="8">
        <v>0</v>
      </c>
      <c r="F9313" s="8">
        <v>0</v>
      </c>
      <c r="G9313" s="8">
        <v>6</v>
      </c>
      <c r="H9313" s="8" t="s">
        <v>44264</v>
      </c>
      <c r="I9313" s="8">
        <v>526.6875</v>
      </c>
      <c r="J9313" s="3">
        <f t="shared" si="145"/>
        <v>43749.154736018514</v>
      </c>
    </row>
    <row r="9314" spans="1:10" x14ac:dyDescent="0.25">
      <c r="A9314" s="5" t="s">
        <v>44265</v>
      </c>
      <c r="B9314" s="6">
        <v>393.75</v>
      </c>
      <c r="C9314" s="6">
        <v>20.478950000000001</v>
      </c>
      <c r="D9314" s="6">
        <v>55</v>
      </c>
      <c r="E9314" s="6">
        <v>0</v>
      </c>
      <c r="F9314" s="6">
        <v>0</v>
      </c>
      <c r="G9314" s="6">
        <v>12</v>
      </c>
      <c r="H9314" s="6" t="s">
        <v>44266</v>
      </c>
      <c r="I9314" s="6">
        <v>526.6875</v>
      </c>
      <c r="J9314" s="2">
        <f t="shared" si="145"/>
        <v>43749.154807488427</v>
      </c>
    </row>
    <row r="9315" spans="1:10" x14ac:dyDescent="0.25">
      <c r="A9315" s="7" t="s">
        <v>44267</v>
      </c>
      <c r="B9315" s="8">
        <v>393.75</v>
      </c>
      <c r="C9315" s="8">
        <v>20.478950000000001</v>
      </c>
      <c r="D9315" s="8">
        <v>53</v>
      </c>
      <c r="E9315" s="8">
        <v>0</v>
      </c>
      <c r="F9315" s="8">
        <v>0</v>
      </c>
      <c r="G9315" s="8">
        <v>7</v>
      </c>
      <c r="H9315" s="8" t="s">
        <v>44268</v>
      </c>
      <c r="I9315" s="8">
        <v>526.6875</v>
      </c>
      <c r="J9315" s="3">
        <f t="shared" si="145"/>
        <v>43749.154879166665</v>
      </c>
    </row>
    <row r="9316" spans="1:10" x14ac:dyDescent="0.25">
      <c r="A9316" s="5" t="s">
        <v>44269</v>
      </c>
      <c r="B9316" s="6">
        <v>393.75</v>
      </c>
      <c r="C9316" s="6">
        <v>20.478950000000001</v>
      </c>
      <c r="D9316" s="6">
        <v>53</v>
      </c>
      <c r="E9316" s="6">
        <v>0</v>
      </c>
      <c r="F9316" s="6">
        <v>0</v>
      </c>
      <c r="G9316" s="6">
        <v>0</v>
      </c>
      <c r="H9316" s="6" t="s">
        <v>44270</v>
      </c>
      <c r="I9316" s="6">
        <v>526.6875</v>
      </c>
      <c r="J9316" s="2">
        <f t="shared" si="145"/>
        <v>43749.154950717588</v>
      </c>
    </row>
    <row r="9317" spans="1:10" x14ac:dyDescent="0.25">
      <c r="A9317" s="7" t="s">
        <v>44271</v>
      </c>
      <c r="B9317" s="8">
        <v>393.75</v>
      </c>
      <c r="C9317" s="8">
        <v>20.478950000000001</v>
      </c>
      <c r="D9317" s="8">
        <v>54</v>
      </c>
      <c r="E9317" s="8">
        <v>0</v>
      </c>
      <c r="F9317" s="8">
        <v>0</v>
      </c>
      <c r="G9317" s="8">
        <v>10</v>
      </c>
      <c r="H9317" s="8" t="s">
        <v>44272</v>
      </c>
      <c r="I9317" s="8">
        <v>526.6875</v>
      </c>
      <c r="J9317" s="3">
        <f t="shared" si="145"/>
        <v>43749.155033981478</v>
      </c>
    </row>
    <row r="9318" spans="1:10" x14ac:dyDescent="0.25">
      <c r="A9318" s="5" t="s">
        <v>44273</v>
      </c>
      <c r="B9318" s="6">
        <v>393.75</v>
      </c>
      <c r="C9318" s="6">
        <v>20.478950000000001</v>
      </c>
      <c r="D9318" s="6">
        <v>54</v>
      </c>
      <c r="E9318" s="6">
        <v>0</v>
      </c>
      <c r="F9318" s="6">
        <v>0</v>
      </c>
      <c r="G9318" s="6">
        <v>12</v>
      </c>
      <c r="H9318" s="6" t="s">
        <v>44274</v>
      </c>
      <c r="I9318" s="6">
        <v>526.6875</v>
      </c>
      <c r="J9318" s="2">
        <f t="shared" si="145"/>
        <v>43749.155120254632</v>
      </c>
    </row>
    <row r="9319" spans="1:10" x14ac:dyDescent="0.25">
      <c r="A9319" s="7" t="s">
        <v>44275</v>
      </c>
      <c r="B9319" s="8">
        <v>393.75</v>
      </c>
      <c r="C9319" s="8">
        <v>20.478950000000001</v>
      </c>
      <c r="D9319" s="8">
        <v>53</v>
      </c>
      <c r="E9319" s="8">
        <v>0</v>
      </c>
      <c r="F9319" s="8">
        <v>0</v>
      </c>
      <c r="G9319" s="8">
        <v>0</v>
      </c>
      <c r="H9319" s="8" t="s">
        <v>44276</v>
      </c>
      <c r="I9319" s="8">
        <v>526.5</v>
      </c>
      <c r="J9319" s="3">
        <f t="shared" si="145"/>
        <v>43749.155200763889</v>
      </c>
    </row>
    <row r="9320" spans="1:10" x14ac:dyDescent="0.25">
      <c r="A9320" s="5" t="s">
        <v>44277</v>
      </c>
      <c r="B9320" s="6">
        <v>393.75</v>
      </c>
      <c r="C9320" s="6">
        <v>20.478950000000001</v>
      </c>
      <c r="D9320" s="6">
        <v>54</v>
      </c>
      <c r="E9320" s="6">
        <v>0</v>
      </c>
      <c r="F9320" s="6">
        <v>0</v>
      </c>
      <c r="G9320" s="6">
        <v>10</v>
      </c>
      <c r="H9320" s="6" t="s">
        <v>44278</v>
      </c>
      <c r="I9320" s="6">
        <v>526.6875</v>
      </c>
      <c r="J9320" s="2">
        <f t="shared" si="145"/>
        <v>43749.155272696757</v>
      </c>
    </row>
    <row r="9321" spans="1:10" x14ac:dyDescent="0.25">
      <c r="A9321" s="7" t="s">
        <v>44279</v>
      </c>
      <c r="B9321" s="8">
        <v>393.75</v>
      </c>
      <c r="C9321" s="8">
        <v>20.478950000000001</v>
      </c>
      <c r="D9321" s="8">
        <v>54</v>
      </c>
      <c r="E9321" s="8">
        <v>0</v>
      </c>
      <c r="F9321" s="8">
        <v>0</v>
      </c>
      <c r="G9321" s="8">
        <v>9</v>
      </c>
      <c r="H9321" s="8" t="s">
        <v>44280</v>
      </c>
      <c r="I9321" s="8">
        <v>526.5</v>
      </c>
      <c r="J9321" s="3">
        <f t="shared" si="145"/>
        <v>43749.155356192125</v>
      </c>
    </row>
    <row r="9322" spans="1:10" x14ac:dyDescent="0.25">
      <c r="A9322" s="5" t="s">
        <v>44281</v>
      </c>
      <c r="B9322" s="6">
        <v>393.75</v>
      </c>
      <c r="C9322" s="6">
        <v>20.426300000000001</v>
      </c>
      <c r="D9322" s="6">
        <v>54</v>
      </c>
      <c r="E9322" s="6">
        <v>0</v>
      </c>
      <c r="F9322" s="6">
        <v>0</v>
      </c>
      <c r="G9322" s="6">
        <v>9</v>
      </c>
      <c r="H9322" s="6" t="s">
        <v>44282</v>
      </c>
      <c r="I9322" s="6">
        <v>526.6875</v>
      </c>
      <c r="J9322" s="2">
        <f t="shared" si="145"/>
        <v>43749.155427685182</v>
      </c>
    </row>
    <row r="9323" spans="1:10" x14ac:dyDescent="0.25">
      <c r="A9323" s="7" t="s">
        <v>44283</v>
      </c>
      <c r="B9323" s="8">
        <v>393.75</v>
      </c>
      <c r="C9323" s="8">
        <v>20.478950000000001</v>
      </c>
      <c r="D9323" s="8">
        <v>53</v>
      </c>
      <c r="E9323" s="8">
        <v>0</v>
      </c>
      <c r="F9323" s="8">
        <v>0</v>
      </c>
      <c r="G9323" s="8">
        <v>4</v>
      </c>
      <c r="H9323" s="8" t="s">
        <v>44284</v>
      </c>
      <c r="I9323" s="8">
        <v>526.6875</v>
      </c>
      <c r="J9323" s="3">
        <f t="shared" si="145"/>
        <v>43749.155511168974</v>
      </c>
    </row>
    <row r="9324" spans="1:10" x14ac:dyDescent="0.25">
      <c r="A9324" s="5" t="s">
        <v>44285</v>
      </c>
      <c r="B9324" s="6">
        <v>393.75</v>
      </c>
      <c r="C9324" s="6">
        <v>20.478950000000001</v>
      </c>
      <c r="D9324" s="6">
        <v>55</v>
      </c>
      <c r="E9324" s="6">
        <v>0</v>
      </c>
      <c r="F9324" s="6">
        <v>0</v>
      </c>
      <c r="G9324" s="6">
        <v>8</v>
      </c>
      <c r="H9324" s="6" t="s">
        <v>44286</v>
      </c>
      <c r="I9324" s="6">
        <v>526.6875</v>
      </c>
      <c r="J9324" s="2">
        <f t="shared" si="145"/>
        <v>43749.15559469907</v>
      </c>
    </row>
    <row r="9325" spans="1:10" x14ac:dyDescent="0.25">
      <c r="A9325" s="7" t="s">
        <v>44287</v>
      </c>
      <c r="B9325" s="8">
        <v>393.75</v>
      </c>
      <c r="C9325" s="8">
        <v>20.478950000000001</v>
      </c>
      <c r="D9325" s="8">
        <v>55</v>
      </c>
      <c r="E9325" s="8">
        <v>0</v>
      </c>
      <c r="F9325" s="8">
        <v>0</v>
      </c>
      <c r="G9325" s="8">
        <v>0</v>
      </c>
      <c r="H9325" s="8" t="s">
        <v>44288</v>
      </c>
      <c r="I9325" s="8">
        <v>526.5</v>
      </c>
      <c r="J9325" s="3">
        <f t="shared" si="145"/>
        <v>43749.155678437499</v>
      </c>
    </row>
    <row r="9326" spans="1:10" x14ac:dyDescent="0.25">
      <c r="A9326" s="5" t="s">
        <v>44289</v>
      </c>
      <c r="B9326" s="6">
        <v>393.75</v>
      </c>
      <c r="C9326" s="6">
        <v>20.478950000000001</v>
      </c>
      <c r="D9326" s="6">
        <v>57</v>
      </c>
      <c r="E9326" s="6">
        <v>0</v>
      </c>
      <c r="F9326" s="6">
        <v>0</v>
      </c>
      <c r="G9326" s="6">
        <v>7</v>
      </c>
      <c r="H9326" s="6" t="s">
        <v>44290</v>
      </c>
      <c r="I9326" s="6">
        <v>526.6875</v>
      </c>
      <c r="J9326" s="2">
        <f t="shared" si="145"/>
        <v>43749.155749363425</v>
      </c>
    </row>
    <row r="9327" spans="1:10" x14ac:dyDescent="0.25">
      <c r="A9327" s="7" t="s">
        <v>44291</v>
      </c>
      <c r="B9327" s="8">
        <v>393.75</v>
      </c>
      <c r="C9327" s="8">
        <v>20.478950000000001</v>
      </c>
      <c r="D9327" s="8">
        <v>56</v>
      </c>
      <c r="E9327" s="8">
        <v>0</v>
      </c>
      <c r="F9327" s="8">
        <v>0</v>
      </c>
      <c r="G9327" s="8">
        <v>13</v>
      </c>
      <c r="H9327" s="8" t="s">
        <v>44292</v>
      </c>
      <c r="I9327" s="8">
        <v>526.6875</v>
      </c>
      <c r="J9327" s="3">
        <f t="shared" si="145"/>
        <v>43749.155821250002</v>
      </c>
    </row>
    <row r="9328" spans="1:10" x14ac:dyDescent="0.25">
      <c r="A9328" s="5" t="s">
        <v>44293</v>
      </c>
      <c r="B9328" s="6">
        <v>393.75</v>
      </c>
      <c r="C9328" s="6">
        <v>20.478950000000001</v>
      </c>
      <c r="D9328" s="6">
        <v>58</v>
      </c>
      <c r="E9328" s="6">
        <v>0</v>
      </c>
      <c r="F9328" s="6">
        <v>0</v>
      </c>
      <c r="G9328" s="6">
        <v>10</v>
      </c>
      <c r="H9328" s="6" t="s">
        <v>44294</v>
      </c>
      <c r="I9328" s="6">
        <v>526.6875</v>
      </c>
      <c r="J9328" s="2">
        <f t="shared" si="145"/>
        <v>43749.15590435185</v>
      </c>
    </row>
    <row r="9329" spans="1:10" x14ac:dyDescent="0.25">
      <c r="A9329" s="7" t="s">
        <v>44295</v>
      </c>
      <c r="B9329" s="8">
        <v>393.75</v>
      </c>
      <c r="C9329" s="8">
        <v>20.478950000000001</v>
      </c>
      <c r="D9329" s="8">
        <v>58</v>
      </c>
      <c r="E9329" s="8">
        <v>0</v>
      </c>
      <c r="F9329" s="8">
        <v>0</v>
      </c>
      <c r="G9329" s="8">
        <v>6</v>
      </c>
      <c r="H9329" s="8" t="s">
        <v>44296</v>
      </c>
      <c r="I9329" s="8">
        <v>526.5</v>
      </c>
      <c r="J9329" s="3">
        <f t="shared" si="145"/>
        <v>43749.155976284725</v>
      </c>
    </row>
    <row r="9330" spans="1:10" x14ac:dyDescent="0.25">
      <c r="A9330" s="5" t="s">
        <v>44297</v>
      </c>
      <c r="B9330" s="6">
        <v>393.75</v>
      </c>
      <c r="C9330" s="6">
        <v>20.478950000000001</v>
      </c>
      <c r="D9330" s="6">
        <v>57</v>
      </c>
      <c r="E9330" s="6">
        <v>0</v>
      </c>
      <c r="F9330" s="6">
        <v>0</v>
      </c>
      <c r="G9330" s="6">
        <v>13</v>
      </c>
      <c r="H9330" s="6" t="s">
        <v>44298</v>
      </c>
      <c r="I9330" s="6">
        <v>526.6875</v>
      </c>
      <c r="J9330" s="2">
        <f t="shared" si="145"/>
        <v>43749.156059733788</v>
      </c>
    </row>
    <row r="9331" spans="1:10" x14ac:dyDescent="0.25">
      <c r="A9331" s="7" t="s">
        <v>44299</v>
      </c>
      <c r="B9331" s="8">
        <v>393.75</v>
      </c>
      <c r="C9331" s="8">
        <v>20.426300000000001</v>
      </c>
      <c r="D9331" s="8">
        <v>57</v>
      </c>
      <c r="E9331" s="8">
        <v>0</v>
      </c>
      <c r="F9331" s="8">
        <v>0</v>
      </c>
      <c r="G9331" s="8">
        <v>0</v>
      </c>
      <c r="H9331" s="8" t="s">
        <v>44300</v>
      </c>
      <c r="I9331" s="8">
        <v>526.6875</v>
      </c>
      <c r="J9331" s="3">
        <f t="shared" si="145"/>
        <v>43749.156131331016</v>
      </c>
    </row>
    <row r="9332" spans="1:10" x14ac:dyDescent="0.25">
      <c r="A9332" s="5" t="s">
        <v>44301</v>
      </c>
      <c r="B9332" s="6">
        <v>393.75</v>
      </c>
      <c r="C9332" s="6">
        <v>20.478950000000001</v>
      </c>
      <c r="D9332" s="6">
        <v>55</v>
      </c>
      <c r="E9332" s="6">
        <v>0</v>
      </c>
      <c r="F9332" s="6">
        <v>0</v>
      </c>
      <c r="G9332" s="6">
        <v>11</v>
      </c>
      <c r="H9332" s="6" t="s">
        <v>44302</v>
      </c>
      <c r="I9332" s="6">
        <v>526.6875</v>
      </c>
      <c r="J9332" s="2">
        <f t="shared" si="145"/>
        <v>43749.156202835649</v>
      </c>
    </row>
    <row r="9333" spans="1:10" x14ac:dyDescent="0.25">
      <c r="A9333" s="7" t="s">
        <v>44303</v>
      </c>
      <c r="B9333" s="8">
        <v>393.75</v>
      </c>
      <c r="C9333" s="8">
        <v>20.478950000000001</v>
      </c>
      <c r="D9333" s="8">
        <v>55</v>
      </c>
      <c r="E9333" s="8">
        <v>0</v>
      </c>
      <c r="F9333" s="8">
        <v>0</v>
      </c>
      <c r="G9333" s="8">
        <v>7</v>
      </c>
      <c r="H9333" s="8" t="s">
        <v>44304</v>
      </c>
      <c r="I9333" s="8">
        <v>526.6875</v>
      </c>
      <c r="J9333" s="3">
        <f t="shared" si="145"/>
        <v>43749.156281099531</v>
      </c>
    </row>
    <row r="9334" spans="1:10" x14ac:dyDescent="0.25">
      <c r="A9334" s="5" t="s">
        <v>44305</v>
      </c>
      <c r="B9334" s="6">
        <v>393.75</v>
      </c>
      <c r="C9334" s="6">
        <v>20.478950000000001</v>
      </c>
      <c r="D9334" s="6">
        <v>54</v>
      </c>
      <c r="E9334" s="6">
        <v>0</v>
      </c>
      <c r="F9334" s="6">
        <v>0</v>
      </c>
      <c r="G9334" s="6">
        <v>11</v>
      </c>
      <c r="H9334" s="6" t="s">
        <v>44306</v>
      </c>
      <c r="I9334" s="6">
        <v>526.6875</v>
      </c>
      <c r="J9334" s="2">
        <f t="shared" si="145"/>
        <v>43749.156357824068</v>
      </c>
    </row>
    <row r="9335" spans="1:10" x14ac:dyDescent="0.25">
      <c r="A9335" s="7" t="s">
        <v>44307</v>
      </c>
      <c r="B9335" s="8">
        <v>393.75</v>
      </c>
      <c r="C9335" s="8">
        <v>20.478950000000001</v>
      </c>
      <c r="D9335" s="8">
        <v>54</v>
      </c>
      <c r="E9335" s="8">
        <v>0</v>
      </c>
      <c r="F9335" s="8">
        <v>0</v>
      </c>
      <c r="G9335" s="8">
        <v>4</v>
      </c>
      <c r="H9335" s="8" t="s">
        <v>44308</v>
      </c>
      <c r="I9335" s="8">
        <v>526.6875</v>
      </c>
      <c r="J9335" s="3">
        <f t="shared" si="145"/>
        <v>43749.15644136574</v>
      </c>
    </row>
    <row r="9336" spans="1:10" x14ac:dyDescent="0.25">
      <c r="A9336" s="5" t="s">
        <v>44309</v>
      </c>
      <c r="B9336" s="6">
        <v>393.75</v>
      </c>
      <c r="C9336" s="6">
        <v>20.478950000000001</v>
      </c>
      <c r="D9336" s="6">
        <v>54</v>
      </c>
      <c r="E9336" s="6">
        <v>0</v>
      </c>
      <c r="F9336" s="6">
        <v>0</v>
      </c>
      <c r="G9336" s="6">
        <v>9</v>
      </c>
      <c r="H9336" s="6" t="s">
        <v>44310</v>
      </c>
      <c r="I9336" s="6">
        <v>526.5</v>
      </c>
      <c r="J9336" s="2">
        <f t="shared" si="145"/>
        <v>43749.156512824069</v>
      </c>
    </row>
    <row r="9337" spans="1:10" x14ac:dyDescent="0.25">
      <c r="A9337" s="7" t="s">
        <v>44311</v>
      </c>
      <c r="B9337" s="8">
        <v>393.75</v>
      </c>
      <c r="C9337" s="8">
        <v>20.478950000000001</v>
      </c>
      <c r="D9337" s="8">
        <v>54</v>
      </c>
      <c r="E9337" s="8">
        <v>0</v>
      </c>
      <c r="F9337" s="8">
        <v>0</v>
      </c>
      <c r="G9337" s="8">
        <v>7</v>
      </c>
      <c r="H9337" s="8" t="s">
        <v>44312</v>
      </c>
      <c r="I9337" s="8">
        <v>526.6875</v>
      </c>
      <c r="J9337" s="3">
        <f t="shared" si="145"/>
        <v>43749.156584004631</v>
      </c>
    </row>
    <row r="9338" spans="1:10" x14ac:dyDescent="0.25">
      <c r="A9338" s="5" t="s">
        <v>44313</v>
      </c>
      <c r="B9338" s="6">
        <v>393.75</v>
      </c>
      <c r="C9338" s="6">
        <v>20.478950000000001</v>
      </c>
      <c r="D9338" s="6">
        <v>54</v>
      </c>
      <c r="E9338" s="6">
        <v>0</v>
      </c>
      <c r="F9338" s="6">
        <v>0</v>
      </c>
      <c r="G9338" s="6">
        <v>8</v>
      </c>
      <c r="H9338" s="6" t="s">
        <v>44314</v>
      </c>
      <c r="I9338" s="6">
        <v>526.6875</v>
      </c>
      <c r="J9338" s="2">
        <f t="shared" si="145"/>
        <v>43749.156655856474</v>
      </c>
    </row>
    <row r="9339" spans="1:10" x14ac:dyDescent="0.25">
      <c r="A9339" s="7" t="s">
        <v>44315</v>
      </c>
      <c r="B9339" s="8">
        <v>393.75</v>
      </c>
      <c r="C9339" s="8">
        <v>20.478950000000001</v>
      </c>
      <c r="D9339" s="8">
        <v>57</v>
      </c>
      <c r="E9339" s="8">
        <v>0</v>
      </c>
      <c r="F9339" s="8">
        <v>0</v>
      </c>
      <c r="G9339" s="8">
        <v>8</v>
      </c>
      <c r="H9339" s="8" t="s">
        <v>44316</v>
      </c>
      <c r="I9339" s="8">
        <v>526.6875</v>
      </c>
      <c r="J9339" s="3">
        <f t="shared" si="145"/>
        <v>43749.156727164351</v>
      </c>
    </row>
    <row r="9340" spans="1:10" x14ac:dyDescent="0.25">
      <c r="A9340" s="5" t="s">
        <v>44317</v>
      </c>
      <c r="B9340" s="6">
        <v>393.75</v>
      </c>
      <c r="C9340" s="6">
        <v>20.478950000000001</v>
      </c>
      <c r="D9340" s="6">
        <v>56</v>
      </c>
      <c r="E9340" s="6">
        <v>0</v>
      </c>
      <c r="F9340" s="6">
        <v>0</v>
      </c>
      <c r="G9340" s="6">
        <v>4</v>
      </c>
      <c r="H9340" s="6" t="s">
        <v>44318</v>
      </c>
      <c r="I9340" s="6">
        <v>526.6875</v>
      </c>
      <c r="J9340" s="2">
        <f t="shared" si="145"/>
        <v>43749.156799108794</v>
      </c>
    </row>
    <row r="9341" spans="1:10" x14ac:dyDescent="0.25">
      <c r="A9341" s="7" t="s">
        <v>44319</v>
      </c>
      <c r="B9341" s="8">
        <v>393.75</v>
      </c>
      <c r="C9341" s="8">
        <v>20.478950000000001</v>
      </c>
      <c r="D9341" s="8">
        <v>56</v>
      </c>
      <c r="E9341" s="8">
        <v>0</v>
      </c>
      <c r="F9341" s="8">
        <v>0</v>
      </c>
      <c r="G9341" s="8">
        <v>7</v>
      </c>
      <c r="H9341" s="8" t="s">
        <v>44320</v>
      </c>
      <c r="I9341" s="8">
        <v>526.6875</v>
      </c>
      <c r="J9341" s="3">
        <f t="shared" si="145"/>
        <v>43749.156870555555</v>
      </c>
    </row>
    <row r="9342" spans="1:10" x14ac:dyDescent="0.25">
      <c r="A9342" s="5" t="s">
        <v>44321</v>
      </c>
      <c r="B9342" s="6">
        <v>393.75</v>
      </c>
      <c r="C9342" s="6">
        <v>20.478950000000001</v>
      </c>
      <c r="D9342" s="6">
        <v>54</v>
      </c>
      <c r="E9342" s="6">
        <v>0</v>
      </c>
      <c r="F9342" s="6">
        <v>0</v>
      </c>
      <c r="G9342" s="6">
        <v>0</v>
      </c>
      <c r="H9342" s="6" t="s">
        <v>44322</v>
      </c>
      <c r="I9342" s="6">
        <v>526.6875</v>
      </c>
      <c r="J9342" s="2">
        <f t="shared" si="145"/>
        <v>43749.156954050923</v>
      </c>
    </row>
    <row r="9343" spans="1:10" x14ac:dyDescent="0.25">
      <c r="A9343" s="7" t="s">
        <v>44323</v>
      </c>
      <c r="B9343" s="8">
        <v>393.75</v>
      </c>
      <c r="C9343" s="8">
        <v>20.478950000000001</v>
      </c>
      <c r="D9343" s="8">
        <v>54</v>
      </c>
      <c r="E9343" s="8">
        <v>0</v>
      </c>
      <c r="F9343" s="8">
        <v>0</v>
      </c>
      <c r="G9343" s="8">
        <v>13</v>
      </c>
      <c r="H9343" s="8" t="s">
        <v>44324</v>
      </c>
      <c r="I9343" s="8">
        <v>526.6875</v>
      </c>
      <c r="J9343" s="3">
        <f t="shared" si="145"/>
        <v>43749.157049606474</v>
      </c>
    </row>
    <row r="9344" spans="1:10" x14ac:dyDescent="0.25">
      <c r="A9344" s="5" t="s">
        <v>44325</v>
      </c>
      <c r="B9344" s="6">
        <v>393.75</v>
      </c>
      <c r="C9344" s="6">
        <v>20.478950000000001</v>
      </c>
      <c r="D9344" s="6">
        <v>54</v>
      </c>
      <c r="E9344" s="6">
        <v>0</v>
      </c>
      <c r="F9344" s="6">
        <v>0</v>
      </c>
      <c r="G9344" s="6">
        <v>8</v>
      </c>
      <c r="H9344" s="6" t="s">
        <v>44326</v>
      </c>
      <c r="I9344" s="6">
        <v>526.6875</v>
      </c>
      <c r="J9344" s="2">
        <f t="shared" si="145"/>
        <v>43749.15712103009</v>
      </c>
    </row>
    <row r="9345" spans="1:10" x14ac:dyDescent="0.25">
      <c r="A9345" s="7" t="s">
        <v>44327</v>
      </c>
      <c r="B9345" s="8">
        <v>393.75</v>
      </c>
      <c r="C9345" s="8">
        <v>20.478950000000001</v>
      </c>
      <c r="D9345" s="8">
        <v>54</v>
      </c>
      <c r="E9345" s="8">
        <v>0</v>
      </c>
      <c r="F9345" s="8">
        <v>0</v>
      </c>
      <c r="G9345" s="8">
        <v>8</v>
      </c>
      <c r="H9345" s="8" t="s">
        <v>44328</v>
      </c>
      <c r="I9345" s="8">
        <v>526.6875</v>
      </c>
      <c r="J9345" s="3">
        <f t="shared" si="145"/>
        <v>43749.157204351846</v>
      </c>
    </row>
    <row r="9346" spans="1:10" x14ac:dyDescent="0.25">
      <c r="A9346" s="5" t="s">
        <v>44329</v>
      </c>
      <c r="B9346" s="6">
        <v>393.75</v>
      </c>
      <c r="C9346" s="6">
        <v>20.478950000000001</v>
      </c>
      <c r="D9346" s="6">
        <v>54</v>
      </c>
      <c r="E9346" s="6">
        <v>0</v>
      </c>
      <c r="F9346" s="6">
        <v>0</v>
      </c>
      <c r="G9346" s="6">
        <v>13</v>
      </c>
      <c r="H9346" s="6" t="s">
        <v>44330</v>
      </c>
      <c r="I9346" s="6">
        <v>526.5</v>
      </c>
      <c r="J9346" s="2">
        <f t="shared" ref="J9346:J9409" si="146">(H9346/86400000)+25569+(7/24)</f>
        <v>43749.157275983795</v>
      </c>
    </row>
    <row r="9347" spans="1:10" x14ac:dyDescent="0.25">
      <c r="A9347" s="7" t="s">
        <v>44331</v>
      </c>
      <c r="B9347" s="8">
        <v>393.75</v>
      </c>
      <c r="C9347" s="8">
        <v>20.478950000000001</v>
      </c>
      <c r="D9347" s="8">
        <v>53</v>
      </c>
      <c r="E9347" s="8">
        <v>0</v>
      </c>
      <c r="F9347" s="8">
        <v>0</v>
      </c>
      <c r="G9347" s="8">
        <v>11</v>
      </c>
      <c r="H9347" s="8" t="s">
        <v>44332</v>
      </c>
      <c r="I9347" s="8">
        <v>526.5</v>
      </c>
      <c r="J9347" s="3">
        <f t="shared" si="146"/>
        <v>43749.157347685185</v>
      </c>
    </row>
    <row r="9348" spans="1:10" x14ac:dyDescent="0.25">
      <c r="A9348" s="5" t="s">
        <v>44333</v>
      </c>
      <c r="B9348" s="6">
        <v>412.5</v>
      </c>
      <c r="C9348" s="6">
        <v>20.478950000000001</v>
      </c>
      <c r="D9348" s="6">
        <v>53</v>
      </c>
      <c r="E9348" s="6">
        <v>0</v>
      </c>
      <c r="F9348" s="6">
        <v>0</v>
      </c>
      <c r="G9348" s="6">
        <v>18</v>
      </c>
      <c r="H9348" s="6" t="s">
        <v>44334</v>
      </c>
      <c r="I9348" s="6">
        <v>532.3125</v>
      </c>
      <c r="J9348" s="2">
        <f t="shared" si="146"/>
        <v>43749.157431030086</v>
      </c>
    </row>
    <row r="9349" spans="1:10" x14ac:dyDescent="0.25">
      <c r="A9349" s="7" t="s">
        <v>44335</v>
      </c>
      <c r="B9349" s="8">
        <v>393.75</v>
      </c>
      <c r="C9349" s="8">
        <v>20.478950000000001</v>
      </c>
      <c r="D9349" s="8">
        <v>59</v>
      </c>
      <c r="E9349" s="8">
        <v>0</v>
      </c>
      <c r="F9349" s="8">
        <v>0</v>
      </c>
      <c r="G9349" s="8">
        <v>7</v>
      </c>
      <c r="H9349" s="8" t="s">
        <v>44336</v>
      </c>
      <c r="I9349" s="8">
        <v>526.6875</v>
      </c>
      <c r="J9349" s="3">
        <f t="shared" si="146"/>
        <v>43749.157502627313</v>
      </c>
    </row>
    <row r="9350" spans="1:10" x14ac:dyDescent="0.25">
      <c r="A9350" s="5" t="s">
        <v>44337</v>
      </c>
      <c r="B9350" s="6">
        <v>393.75</v>
      </c>
      <c r="C9350" s="6">
        <v>20.426300000000001</v>
      </c>
      <c r="D9350" s="6">
        <v>59</v>
      </c>
      <c r="E9350" s="6">
        <v>0</v>
      </c>
      <c r="F9350" s="6">
        <v>0</v>
      </c>
      <c r="G9350" s="6">
        <v>10</v>
      </c>
      <c r="H9350" s="6" t="s">
        <v>44338</v>
      </c>
      <c r="I9350" s="6">
        <v>526.6875</v>
      </c>
      <c r="J9350" s="2">
        <f t="shared" si="146"/>
        <v>43749.157585856483</v>
      </c>
    </row>
    <row r="9351" spans="1:10" x14ac:dyDescent="0.25">
      <c r="A9351" s="7" t="s">
        <v>44339</v>
      </c>
      <c r="B9351" s="8">
        <v>393.75</v>
      </c>
      <c r="C9351" s="8">
        <v>20.478950000000001</v>
      </c>
      <c r="D9351" s="8">
        <v>57</v>
      </c>
      <c r="E9351" s="8">
        <v>0</v>
      </c>
      <c r="F9351" s="8">
        <v>0</v>
      </c>
      <c r="G9351" s="8">
        <v>9</v>
      </c>
      <c r="H9351" s="8" t="s">
        <v>44340</v>
      </c>
      <c r="I9351" s="8">
        <v>526.6875</v>
      </c>
      <c r="J9351" s="3">
        <f t="shared" si="146"/>
        <v>43749.157657627315</v>
      </c>
    </row>
    <row r="9352" spans="1:10" x14ac:dyDescent="0.25">
      <c r="A9352" s="5" t="s">
        <v>44341</v>
      </c>
      <c r="B9352" s="6">
        <v>393.75</v>
      </c>
      <c r="C9352" s="6">
        <v>20.478950000000001</v>
      </c>
      <c r="D9352" s="6">
        <v>57</v>
      </c>
      <c r="E9352" s="6">
        <v>0</v>
      </c>
      <c r="F9352" s="6">
        <v>0</v>
      </c>
      <c r="G9352" s="6">
        <v>7</v>
      </c>
      <c r="H9352" s="6" t="s">
        <v>44342</v>
      </c>
      <c r="I9352" s="6">
        <v>526.6875</v>
      </c>
      <c r="J9352" s="2">
        <f t="shared" si="146"/>
        <v>43749.157764884258</v>
      </c>
    </row>
    <row r="9353" spans="1:10" x14ac:dyDescent="0.25">
      <c r="A9353" s="7" t="s">
        <v>44343</v>
      </c>
      <c r="B9353" s="8">
        <v>393.75</v>
      </c>
      <c r="C9353" s="8">
        <v>20.478950000000001</v>
      </c>
      <c r="D9353" s="8">
        <v>57</v>
      </c>
      <c r="E9353" s="8">
        <v>0</v>
      </c>
      <c r="F9353" s="8">
        <v>0</v>
      </c>
      <c r="G9353" s="8">
        <v>5</v>
      </c>
      <c r="H9353" s="8" t="s">
        <v>44344</v>
      </c>
      <c r="I9353" s="8">
        <v>526.6875</v>
      </c>
      <c r="J9353" s="3">
        <f t="shared" si="146"/>
        <v>43749.157836249993</v>
      </c>
    </row>
    <row r="9354" spans="1:10" x14ac:dyDescent="0.25">
      <c r="A9354" s="5" t="s">
        <v>44345</v>
      </c>
      <c r="B9354" s="6">
        <v>393.75</v>
      </c>
      <c r="C9354" s="6">
        <v>20.478950000000001</v>
      </c>
      <c r="D9354" s="6">
        <v>56</v>
      </c>
      <c r="E9354" s="6">
        <v>0</v>
      </c>
      <c r="F9354" s="6">
        <v>0</v>
      </c>
      <c r="G9354" s="6">
        <v>12</v>
      </c>
      <c r="H9354" s="6" t="s">
        <v>44346</v>
      </c>
      <c r="I9354" s="6">
        <v>526.6875</v>
      </c>
      <c r="J9354" s="2">
        <f t="shared" si="146"/>
        <v>43749.157907997687</v>
      </c>
    </row>
    <row r="9355" spans="1:10" x14ac:dyDescent="0.25">
      <c r="A9355" s="7" t="s">
        <v>44347</v>
      </c>
      <c r="B9355" s="8">
        <v>393.75</v>
      </c>
      <c r="C9355" s="8">
        <v>20.478950000000001</v>
      </c>
      <c r="D9355" s="8">
        <v>58</v>
      </c>
      <c r="E9355" s="8">
        <v>0</v>
      </c>
      <c r="F9355" s="8">
        <v>0</v>
      </c>
      <c r="G9355" s="8">
        <v>16</v>
      </c>
      <c r="H9355" s="8" t="s">
        <v>44348</v>
      </c>
      <c r="I9355" s="8">
        <v>526.6875</v>
      </c>
      <c r="J9355" s="3">
        <f t="shared" si="146"/>
        <v>43749.157979560179</v>
      </c>
    </row>
    <row r="9356" spans="1:10" x14ac:dyDescent="0.25">
      <c r="A9356" s="5" t="s">
        <v>44349</v>
      </c>
      <c r="B9356" s="6">
        <v>393.75</v>
      </c>
      <c r="C9356" s="6">
        <v>20.478950000000001</v>
      </c>
      <c r="D9356" s="6">
        <v>57</v>
      </c>
      <c r="E9356" s="6">
        <v>0</v>
      </c>
      <c r="F9356" s="6">
        <v>0</v>
      </c>
      <c r="G9356" s="6">
        <v>20</v>
      </c>
      <c r="H9356" s="6" t="s">
        <v>44350</v>
      </c>
      <c r="I9356" s="6">
        <v>526.6875</v>
      </c>
      <c r="J9356" s="2">
        <f t="shared" si="146"/>
        <v>43749.158062974537</v>
      </c>
    </row>
    <row r="9357" spans="1:10" x14ac:dyDescent="0.25">
      <c r="A9357" s="7" t="s">
        <v>44351</v>
      </c>
      <c r="B9357" s="8">
        <v>393.75</v>
      </c>
      <c r="C9357" s="8">
        <v>20.478950000000001</v>
      </c>
      <c r="D9357" s="8">
        <v>50</v>
      </c>
      <c r="E9357" s="8">
        <v>0</v>
      </c>
      <c r="F9357" s="8">
        <v>0</v>
      </c>
      <c r="G9357" s="8">
        <v>5</v>
      </c>
      <c r="H9357" s="8" t="s">
        <v>44352</v>
      </c>
      <c r="I9357" s="8">
        <v>526.6875</v>
      </c>
      <c r="J9357" s="3">
        <f t="shared" si="146"/>
        <v>43749.158134317127</v>
      </c>
    </row>
    <row r="9358" spans="1:10" x14ac:dyDescent="0.25">
      <c r="A9358" s="5" t="s">
        <v>44353</v>
      </c>
      <c r="B9358" s="6">
        <v>393.75</v>
      </c>
      <c r="C9358" s="6">
        <v>20.478950000000001</v>
      </c>
      <c r="D9358" s="6">
        <v>51</v>
      </c>
      <c r="E9358" s="6">
        <v>0</v>
      </c>
      <c r="F9358" s="6">
        <v>0</v>
      </c>
      <c r="G9358" s="6">
        <v>15</v>
      </c>
      <c r="H9358" s="6" t="s">
        <v>44354</v>
      </c>
      <c r="I9358" s="6">
        <v>526.6875</v>
      </c>
      <c r="J9358" s="2">
        <f t="shared" si="146"/>
        <v>43749.158206365733</v>
      </c>
    </row>
    <row r="9359" spans="1:10" x14ac:dyDescent="0.25">
      <c r="A9359" s="7" t="s">
        <v>44355</v>
      </c>
      <c r="B9359" s="8">
        <v>393.75</v>
      </c>
      <c r="C9359" s="8">
        <v>20.478950000000001</v>
      </c>
      <c r="D9359" s="8">
        <v>51</v>
      </c>
      <c r="E9359" s="8">
        <v>0</v>
      </c>
      <c r="F9359" s="8">
        <v>0</v>
      </c>
      <c r="G9359" s="8">
        <v>10</v>
      </c>
      <c r="H9359" s="8" t="s">
        <v>44356</v>
      </c>
      <c r="I9359" s="8">
        <v>526.6875</v>
      </c>
      <c r="J9359" s="3">
        <f t="shared" si="146"/>
        <v>43749.158277557864</v>
      </c>
    </row>
    <row r="9360" spans="1:10" x14ac:dyDescent="0.25">
      <c r="A9360" s="5" t="s">
        <v>44357</v>
      </c>
      <c r="B9360" s="6">
        <v>412.5</v>
      </c>
      <c r="C9360" s="6">
        <v>20.478950000000001</v>
      </c>
      <c r="D9360" s="6">
        <v>51</v>
      </c>
      <c r="E9360" s="6">
        <v>0</v>
      </c>
      <c r="F9360" s="6">
        <v>0</v>
      </c>
      <c r="G9360" s="6">
        <v>13</v>
      </c>
      <c r="H9360" s="6" t="s">
        <v>44358</v>
      </c>
      <c r="I9360" s="6">
        <v>532.3125</v>
      </c>
      <c r="J9360" s="2">
        <f t="shared" si="146"/>
        <v>43749.158348784717</v>
      </c>
    </row>
    <row r="9361" spans="1:10" x14ac:dyDescent="0.25">
      <c r="A9361" s="7" t="s">
        <v>44359</v>
      </c>
      <c r="B9361" s="8">
        <v>393.75</v>
      </c>
      <c r="C9361" s="8">
        <v>20.478950000000001</v>
      </c>
      <c r="D9361" s="8">
        <v>52</v>
      </c>
      <c r="E9361" s="8">
        <v>0</v>
      </c>
      <c r="F9361" s="8">
        <v>0</v>
      </c>
      <c r="G9361" s="8">
        <v>12</v>
      </c>
      <c r="H9361" s="8" t="s">
        <v>44360</v>
      </c>
      <c r="I9361" s="8">
        <v>526.6875</v>
      </c>
      <c r="J9361" s="3">
        <f t="shared" si="146"/>
        <v>43749.158420740736</v>
      </c>
    </row>
    <row r="9362" spans="1:10" x14ac:dyDescent="0.25">
      <c r="A9362" s="5" t="s">
        <v>44361</v>
      </c>
      <c r="B9362" s="6">
        <v>393.75</v>
      </c>
      <c r="C9362" s="6">
        <v>20.478950000000001</v>
      </c>
      <c r="D9362" s="6">
        <v>53</v>
      </c>
      <c r="E9362" s="6">
        <v>0</v>
      </c>
      <c r="F9362" s="6">
        <v>0</v>
      </c>
      <c r="G9362" s="6">
        <v>8</v>
      </c>
      <c r="H9362" s="6" t="s">
        <v>44362</v>
      </c>
      <c r="I9362" s="6">
        <v>526.6875</v>
      </c>
      <c r="J9362" s="2">
        <f t="shared" si="146"/>
        <v>43749.158504293977</v>
      </c>
    </row>
    <row r="9363" spans="1:10" x14ac:dyDescent="0.25">
      <c r="A9363" s="7" t="s">
        <v>44363</v>
      </c>
      <c r="B9363" s="8">
        <v>393.75</v>
      </c>
      <c r="C9363" s="8">
        <v>20.478950000000001</v>
      </c>
      <c r="D9363" s="8">
        <v>53</v>
      </c>
      <c r="E9363" s="8">
        <v>0</v>
      </c>
      <c r="F9363" s="8">
        <v>0</v>
      </c>
      <c r="G9363" s="8">
        <v>12</v>
      </c>
      <c r="H9363" s="8" t="s">
        <v>44364</v>
      </c>
      <c r="I9363" s="8">
        <v>526.6875</v>
      </c>
      <c r="J9363" s="3">
        <f t="shared" si="146"/>
        <v>43749.158575717585</v>
      </c>
    </row>
    <row r="9364" spans="1:10" x14ac:dyDescent="0.25">
      <c r="A9364" s="5" t="s">
        <v>44365</v>
      </c>
      <c r="B9364" s="6">
        <v>393.75</v>
      </c>
      <c r="C9364" s="6">
        <v>20.478950000000001</v>
      </c>
      <c r="D9364" s="6">
        <v>53</v>
      </c>
      <c r="E9364" s="6">
        <v>0</v>
      </c>
      <c r="F9364" s="6">
        <v>0</v>
      </c>
      <c r="G9364" s="6">
        <v>10</v>
      </c>
      <c r="H9364" s="6" t="s">
        <v>44366</v>
      </c>
      <c r="I9364" s="6">
        <v>526.6875</v>
      </c>
      <c r="J9364" s="2">
        <f t="shared" si="146"/>
        <v>43749.158647280092</v>
      </c>
    </row>
    <row r="9365" spans="1:10" x14ac:dyDescent="0.25">
      <c r="A9365" s="7" t="s">
        <v>44367</v>
      </c>
      <c r="B9365" s="8">
        <v>393.75</v>
      </c>
      <c r="C9365" s="8">
        <v>20.478950000000001</v>
      </c>
      <c r="D9365" s="8">
        <v>53</v>
      </c>
      <c r="E9365" s="8">
        <v>0</v>
      </c>
      <c r="F9365" s="8">
        <v>0</v>
      </c>
      <c r="G9365" s="8">
        <v>9</v>
      </c>
      <c r="H9365" s="8" t="s">
        <v>44368</v>
      </c>
      <c r="I9365" s="8">
        <v>526.6875</v>
      </c>
      <c r="J9365" s="3">
        <f t="shared" si="146"/>
        <v>43749.158731076386</v>
      </c>
    </row>
    <row r="9366" spans="1:10" x14ac:dyDescent="0.25">
      <c r="A9366" s="5" t="s">
        <v>44369</v>
      </c>
      <c r="B9366" s="6">
        <v>393.75</v>
      </c>
      <c r="C9366" s="6">
        <v>20.478950000000001</v>
      </c>
      <c r="D9366" s="6">
        <v>53</v>
      </c>
      <c r="E9366" s="6">
        <v>0</v>
      </c>
      <c r="F9366" s="6">
        <v>0</v>
      </c>
      <c r="G9366" s="6">
        <v>5</v>
      </c>
      <c r="H9366" s="6" t="s">
        <v>44370</v>
      </c>
      <c r="I9366" s="6">
        <v>526.6875</v>
      </c>
      <c r="J9366" s="2">
        <f t="shared" si="146"/>
        <v>43749.158802326383</v>
      </c>
    </row>
    <row r="9367" spans="1:10" x14ac:dyDescent="0.25">
      <c r="A9367" s="7" t="s">
        <v>44371</v>
      </c>
      <c r="B9367" s="8">
        <v>393.75</v>
      </c>
      <c r="C9367" s="8">
        <v>20.478950000000001</v>
      </c>
      <c r="D9367" s="8">
        <v>54</v>
      </c>
      <c r="E9367" s="8">
        <v>0</v>
      </c>
      <c r="F9367" s="8">
        <v>0</v>
      </c>
      <c r="G9367" s="8">
        <v>2</v>
      </c>
      <c r="H9367" s="8" t="s">
        <v>44372</v>
      </c>
      <c r="I9367" s="8">
        <v>526.6875</v>
      </c>
      <c r="J9367" s="3">
        <f t="shared" si="146"/>
        <v>43749.158895104163</v>
      </c>
    </row>
    <row r="9368" spans="1:10" x14ac:dyDescent="0.25">
      <c r="A9368" s="5" t="s">
        <v>44373</v>
      </c>
      <c r="B9368" s="6">
        <v>393.75</v>
      </c>
      <c r="C9368" s="6">
        <v>20.478950000000001</v>
      </c>
      <c r="D9368" s="6">
        <v>53</v>
      </c>
      <c r="E9368" s="6">
        <v>0</v>
      </c>
      <c r="F9368" s="6">
        <v>0</v>
      </c>
      <c r="G9368" s="6">
        <v>8</v>
      </c>
      <c r="H9368" s="6" t="s">
        <v>44374</v>
      </c>
      <c r="I9368" s="6">
        <v>526.5</v>
      </c>
      <c r="J9368" s="2">
        <f t="shared" si="146"/>
        <v>43749.158968993048</v>
      </c>
    </row>
    <row r="9369" spans="1:10" x14ac:dyDescent="0.25">
      <c r="A9369" s="7" t="s">
        <v>44375</v>
      </c>
      <c r="B9369" s="8">
        <v>393.75</v>
      </c>
      <c r="C9369" s="8">
        <v>20.478950000000001</v>
      </c>
      <c r="D9369" s="8">
        <v>53</v>
      </c>
      <c r="E9369" s="8">
        <v>0</v>
      </c>
      <c r="F9369" s="8">
        <v>0</v>
      </c>
      <c r="G9369" s="8">
        <v>8</v>
      </c>
      <c r="H9369" s="8" t="s">
        <v>44376</v>
      </c>
      <c r="I9369" s="8">
        <v>526.6875</v>
      </c>
      <c r="J9369" s="3">
        <f t="shared" si="146"/>
        <v>43749.159052430557</v>
      </c>
    </row>
    <row r="9370" spans="1:10" x14ac:dyDescent="0.25">
      <c r="A9370" s="5" t="s">
        <v>44377</v>
      </c>
      <c r="B9370" s="6">
        <v>393.75</v>
      </c>
      <c r="C9370" s="6">
        <v>20.478950000000001</v>
      </c>
      <c r="D9370" s="6">
        <v>53</v>
      </c>
      <c r="E9370" s="6">
        <v>0</v>
      </c>
      <c r="F9370" s="6">
        <v>0</v>
      </c>
      <c r="G9370" s="6">
        <v>6</v>
      </c>
      <c r="H9370" s="6" t="s">
        <v>44378</v>
      </c>
      <c r="I9370" s="6">
        <v>526.6875</v>
      </c>
      <c r="J9370" s="2">
        <f t="shared" si="146"/>
        <v>43749.159124247679</v>
      </c>
    </row>
    <row r="9371" spans="1:10" x14ac:dyDescent="0.25">
      <c r="A9371" s="7" t="s">
        <v>44379</v>
      </c>
      <c r="B9371" s="8">
        <v>393.75</v>
      </c>
      <c r="C9371" s="8">
        <v>20.478950000000001</v>
      </c>
      <c r="D9371" s="8">
        <v>53</v>
      </c>
      <c r="E9371" s="8">
        <v>0</v>
      </c>
      <c r="F9371" s="8">
        <v>0</v>
      </c>
      <c r="G9371" s="8">
        <v>4</v>
      </c>
      <c r="H9371" s="8" t="s">
        <v>44380</v>
      </c>
      <c r="I9371" s="8">
        <v>526.6875</v>
      </c>
      <c r="J9371" s="3">
        <f t="shared" si="146"/>
        <v>43749.159207719909</v>
      </c>
    </row>
    <row r="9372" spans="1:10" x14ac:dyDescent="0.25">
      <c r="A9372" s="5" t="s">
        <v>44381</v>
      </c>
      <c r="B9372" s="6">
        <v>415.625</v>
      </c>
      <c r="C9372" s="6">
        <v>20.478950000000001</v>
      </c>
      <c r="D9372" s="6">
        <v>53</v>
      </c>
      <c r="E9372" s="6">
        <v>0</v>
      </c>
      <c r="F9372" s="6">
        <v>0</v>
      </c>
      <c r="G9372" s="6">
        <v>1</v>
      </c>
      <c r="H9372" s="6" t="s">
        <v>44382</v>
      </c>
      <c r="I9372" s="6">
        <v>533.4375</v>
      </c>
      <c r="J9372" s="2">
        <f t="shared" si="146"/>
        <v>43749.159279282401</v>
      </c>
    </row>
    <row r="9373" spans="1:10" x14ac:dyDescent="0.25">
      <c r="A9373" s="7" t="s">
        <v>44383</v>
      </c>
      <c r="B9373" s="8">
        <v>393.75</v>
      </c>
      <c r="C9373" s="8">
        <v>20.478950000000001</v>
      </c>
      <c r="D9373" s="8">
        <v>53</v>
      </c>
      <c r="E9373" s="8">
        <v>0</v>
      </c>
      <c r="F9373" s="8">
        <v>0</v>
      </c>
      <c r="G9373" s="8">
        <v>0</v>
      </c>
      <c r="H9373" s="8" t="s">
        <v>44384</v>
      </c>
      <c r="I9373" s="8">
        <v>526.6875</v>
      </c>
      <c r="J9373" s="3">
        <f t="shared" si="146"/>
        <v>43749.159350821756</v>
      </c>
    </row>
    <row r="9374" spans="1:10" x14ac:dyDescent="0.25">
      <c r="A9374" s="5" t="s">
        <v>44385</v>
      </c>
      <c r="B9374" s="6">
        <v>393.75</v>
      </c>
      <c r="C9374" s="6">
        <v>20.478950000000001</v>
      </c>
      <c r="D9374" s="6">
        <v>53</v>
      </c>
      <c r="E9374" s="6">
        <v>0</v>
      </c>
      <c r="F9374" s="6">
        <v>0</v>
      </c>
      <c r="G9374" s="6">
        <v>14</v>
      </c>
      <c r="H9374" s="6" t="s">
        <v>44386</v>
      </c>
      <c r="I9374" s="6">
        <v>526.6875</v>
      </c>
      <c r="J9374" s="2">
        <f t="shared" si="146"/>
        <v>43749.159433912035</v>
      </c>
    </row>
    <row r="9375" spans="1:10" x14ac:dyDescent="0.25">
      <c r="A9375" s="7" t="s">
        <v>44387</v>
      </c>
      <c r="B9375" s="8">
        <v>393.75</v>
      </c>
      <c r="C9375" s="8">
        <v>20.478950000000001</v>
      </c>
      <c r="D9375" s="8">
        <v>53</v>
      </c>
      <c r="E9375" s="8">
        <v>0</v>
      </c>
      <c r="F9375" s="8">
        <v>0</v>
      </c>
      <c r="G9375" s="8">
        <v>6</v>
      </c>
      <c r="H9375" s="8" t="s">
        <v>44388</v>
      </c>
      <c r="I9375" s="8">
        <v>526.6875</v>
      </c>
      <c r="J9375" s="3">
        <f t="shared" si="146"/>
        <v>43749.159506377313</v>
      </c>
    </row>
    <row r="9376" spans="1:10" x14ac:dyDescent="0.25">
      <c r="A9376" s="5" t="s">
        <v>44389</v>
      </c>
      <c r="B9376" s="6">
        <v>393.75</v>
      </c>
      <c r="C9376" s="6">
        <v>20.478950000000001</v>
      </c>
      <c r="D9376" s="6">
        <v>53</v>
      </c>
      <c r="E9376" s="6">
        <v>0</v>
      </c>
      <c r="F9376" s="6">
        <v>0</v>
      </c>
      <c r="G9376" s="6">
        <v>11</v>
      </c>
      <c r="H9376" s="6" t="s">
        <v>44390</v>
      </c>
      <c r="I9376" s="6">
        <v>526.6875</v>
      </c>
      <c r="J9376" s="2">
        <f t="shared" si="146"/>
        <v>43749.159577118051</v>
      </c>
    </row>
    <row r="9377" spans="1:10" x14ac:dyDescent="0.25">
      <c r="A9377" s="7" t="s">
        <v>44391</v>
      </c>
      <c r="B9377" s="8">
        <v>393.75</v>
      </c>
      <c r="C9377" s="8">
        <v>20.478950000000001</v>
      </c>
      <c r="D9377" s="8">
        <v>56</v>
      </c>
      <c r="E9377" s="8">
        <v>0</v>
      </c>
      <c r="F9377" s="8">
        <v>0</v>
      </c>
      <c r="G9377" s="8">
        <v>13</v>
      </c>
      <c r="H9377" s="8" t="s">
        <v>44392</v>
      </c>
      <c r="I9377" s="8">
        <v>526.6875</v>
      </c>
      <c r="J9377" s="3">
        <f t="shared" si="146"/>
        <v>43749.159648726847</v>
      </c>
    </row>
    <row r="9378" spans="1:10" x14ac:dyDescent="0.25">
      <c r="A9378" s="5" t="s">
        <v>44393</v>
      </c>
      <c r="B9378" s="6">
        <v>393.75</v>
      </c>
      <c r="C9378" s="6">
        <v>20.478950000000001</v>
      </c>
      <c r="D9378" s="6">
        <v>56</v>
      </c>
      <c r="E9378" s="6">
        <v>0</v>
      </c>
      <c r="F9378" s="6">
        <v>0</v>
      </c>
      <c r="G9378" s="6">
        <v>1</v>
      </c>
      <c r="H9378" s="6" t="s">
        <v>44394</v>
      </c>
      <c r="I9378" s="6">
        <v>526.6875</v>
      </c>
      <c r="J9378" s="2">
        <f t="shared" si="146"/>
        <v>43749.159720393516</v>
      </c>
    </row>
    <row r="9379" spans="1:10" x14ac:dyDescent="0.25">
      <c r="A9379" s="7" t="s">
        <v>44395</v>
      </c>
      <c r="B9379" s="8">
        <v>393.75</v>
      </c>
      <c r="C9379" s="8">
        <v>20.478950000000001</v>
      </c>
      <c r="D9379" s="8">
        <v>56</v>
      </c>
      <c r="E9379" s="8">
        <v>0</v>
      </c>
      <c r="F9379" s="8">
        <v>0</v>
      </c>
      <c r="G9379" s="8">
        <v>5</v>
      </c>
      <c r="H9379" s="8" t="s">
        <v>44396</v>
      </c>
      <c r="I9379" s="8">
        <v>526.5</v>
      </c>
      <c r="J9379" s="3">
        <f t="shared" si="146"/>
        <v>43749.159803935181</v>
      </c>
    </row>
    <row r="9380" spans="1:10" x14ac:dyDescent="0.25">
      <c r="A9380" s="5" t="s">
        <v>44397</v>
      </c>
      <c r="B9380" s="6">
        <v>393.75</v>
      </c>
      <c r="C9380" s="6">
        <v>20.478950000000001</v>
      </c>
      <c r="D9380" s="6">
        <v>56</v>
      </c>
      <c r="E9380" s="6">
        <v>0</v>
      </c>
      <c r="F9380" s="6">
        <v>0</v>
      </c>
      <c r="G9380" s="6">
        <v>3</v>
      </c>
      <c r="H9380" s="6" t="s">
        <v>44398</v>
      </c>
      <c r="I9380" s="6">
        <v>526.6875</v>
      </c>
      <c r="J9380" s="2">
        <f t="shared" si="146"/>
        <v>43749.159875451391</v>
      </c>
    </row>
    <row r="9381" spans="1:10" x14ac:dyDescent="0.25">
      <c r="A9381" s="7" t="s">
        <v>44399</v>
      </c>
      <c r="B9381" s="8">
        <v>393.75</v>
      </c>
      <c r="C9381" s="8">
        <v>20.478950000000001</v>
      </c>
      <c r="D9381" s="8">
        <v>56</v>
      </c>
      <c r="E9381" s="8">
        <v>0</v>
      </c>
      <c r="F9381" s="8">
        <v>0</v>
      </c>
      <c r="G9381" s="8">
        <v>10</v>
      </c>
      <c r="H9381" s="8" t="s">
        <v>44400</v>
      </c>
      <c r="I9381" s="8">
        <v>526.6875</v>
      </c>
      <c r="J9381" s="3">
        <f t="shared" si="146"/>
        <v>43749.159946990738</v>
      </c>
    </row>
    <row r="9382" spans="1:10" x14ac:dyDescent="0.25">
      <c r="A9382" s="5" t="s">
        <v>44401</v>
      </c>
      <c r="B9382" s="6">
        <v>393.75</v>
      </c>
      <c r="C9382" s="6">
        <v>20.478950000000001</v>
      </c>
      <c r="D9382" s="6">
        <v>56</v>
      </c>
      <c r="E9382" s="6">
        <v>0</v>
      </c>
      <c r="F9382" s="6">
        <v>0</v>
      </c>
      <c r="G9382" s="6">
        <v>4</v>
      </c>
      <c r="H9382" s="6" t="s">
        <v>44402</v>
      </c>
      <c r="I9382" s="6">
        <v>526.6875</v>
      </c>
      <c r="J9382" s="2">
        <f t="shared" si="146"/>
        <v>43749.160030995372</v>
      </c>
    </row>
    <row r="9383" spans="1:10" x14ac:dyDescent="0.25">
      <c r="A9383" s="7" t="s">
        <v>44403</v>
      </c>
      <c r="B9383" s="8">
        <v>393.75</v>
      </c>
      <c r="C9383" s="8">
        <v>20.478950000000001</v>
      </c>
      <c r="D9383" s="8">
        <v>57</v>
      </c>
      <c r="E9383" s="8">
        <v>0</v>
      </c>
      <c r="F9383" s="8">
        <v>0</v>
      </c>
      <c r="G9383" s="8">
        <v>16</v>
      </c>
      <c r="H9383" s="8" t="s">
        <v>44404</v>
      </c>
      <c r="I9383" s="8">
        <v>526.6875</v>
      </c>
      <c r="J9383" s="3">
        <f t="shared" si="146"/>
        <v>43749.160101979163</v>
      </c>
    </row>
    <row r="9384" spans="1:10" x14ac:dyDescent="0.25">
      <c r="A9384" s="5" t="s">
        <v>44405</v>
      </c>
      <c r="B9384" s="6">
        <v>393.75</v>
      </c>
      <c r="C9384" s="6">
        <v>20.478950000000001</v>
      </c>
      <c r="D9384" s="6">
        <v>57</v>
      </c>
      <c r="E9384" s="6">
        <v>0</v>
      </c>
      <c r="F9384" s="6">
        <v>0</v>
      </c>
      <c r="G9384" s="6">
        <v>12</v>
      </c>
      <c r="H9384" s="6" t="s">
        <v>44406</v>
      </c>
      <c r="I9384" s="6">
        <v>526.6875</v>
      </c>
      <c r="J9384" s="2">
        <f t="shared" si="146"/>
        <v>43749.16017362268</v>
      </c>
    </row>
    <row r="9385" spans="1:10" x14ac:dyDescent="0.25">
      <c r="A9385" s="7" t="s">
        <v>44407</v>
      </c>
      <c r="B9385" s="8">
        <v>393.75</v>
      </c>
      <c r="C9385" s="8">
        <v>20.478950000000001</v>
      </c>
      <c r="D9385" s="8">
        <v>57</v>
      </c>
      <c r="E9385" s="8">
        <v>0</v>
      </c>
      <c r="F9385" s="8">
        <v>0</v>
      </c>
      <c r="G9385" s="8">
        <v>7</v>
      </c>
      <c r="H9385" s="8" t="s">
        <v>44408</v>
      </c>
      <c r="I9385" s="8">
        <v>526.6875</v>
      </c>
      <c r="J9385" s="3">
        <f t="shared" si="146"/>
        <v>43749.160269120366</v>
      </c>
    </row>
    <row r="9386" spans="1:10" x14ac:dyDescent="0.25">
      <c r="A9386" s="5" t="s">
        <v>44409</v>
      </c>
      <c r="B9386" s="6">
        <v>393.75</v>
      </c>
      <c r="C9386" s="6">
        <v>20.478950000000001</v>
      </c>
      <c r="D9386" s="6">
        <v>57</v>
      </c>
      <c r="E9386" s="6">
        <v>0</v>
      </c>
      <c r="F9386" s="6">
        <v>0</v>
      </c>
      <c r="G9386" s="6">
        <v>7</v>
      </c>
      <c r="H9386" s="6" t="s">
        <v>44410</v>
      </c>
      <c r="I9386" s="6">
        <v>526.6875</v>
      </c>
      <c r="J9386" s="2">
        <f t="shared" si="146"/>
        <v>43749.160352534724</v>
      </c>
    </row>
    <row r="9387" spans="1:10" x14ac:dyDescent="0.25">
      <c r="A9387" s="7" t="s">
        <v>44411</v>
      </c>
      <c r="B9387" s="8">
        <v>393.75</v>
      </c>
      <c r="C9387" s="8">
        <v>20.478950000000001</v>
      </c>
      <c r="D9387" s="8">
        <v>58</v>
      </c>
      <c r="E9387" s="8">
        <v>0</v>
      </c>
      <c r="F9387" s="8">
        <v>0</v>
      </c>
      <c r="G9387" s="8">
        <v>3</v>
      </c>
      <c r="H9387" s="8" t="s">
        <v>44412</v>
      </c>
      <c r="I9387" s="8">
        <v>526.6875</v>
      </c>
      <c r="J9387" s="3">
        <f t="shared" si="146"/>
        <v>43749.160423981484</v>
      </c>
    </row>
    <row r="9388" spans="1:10" x14ac:dyDescent="0.25">
      <c r="A9388" s="5" t="s">
        <v>44413</v>
      </c>
      <c r="B9388" s="6">
        <v>393.75</v>
      </c>
      <c r="C9388" s="6">
        <v>20.478950000000001</v>
      </c>
      <c r="D9388" s="6">
        <v>57</v>
      </c>
      <c r="E9388" s="6">
        <v>0</v>
      </c>
      <c r="F9388" s="6">
        <v>0</v>
      </c>
      <c r="G9388" s="6">
        <v>12</v>
      </c>
      <c r="H9388" s="6" t="s">
        <v>44414</v>
      </c>
      <c r="I9388" s="6">
        <v>526.6875</v>
      </c>
      <c r="J9388" s="2">
        <f t="shared" si="146"/>
        <v>43749.160519131947</v>
      </c>
    </row>
    <row r="9389" spans="1:10" x14ac:dyDescent="0.25">
      <c r="A9389" s="7" t="s">
        <v>44415</v>
      </c>
      <c r="B9389" s="8">
        <v>393.75</v>
      </c>
      <c r="C9389" s="8">
        <v>20.478950000000001</v>
      </c>
      <c r="D9389" s="8">
        <v>55</v>
      </c>
      <c r="E9389" s="8">
        <v>0</v>
      </c>
      <c r="F9389" s="8">
        <v>0</v>
      </c>
      <c r="G9389" s="8">
        <v>6</v>
      </c>
      <c r="H9389" s="8" t="s">
        <v>44416</v>
      </c>
      <c r="I9389" s="8">
        <v>526.6875</v>
      </c>
      <c r="J9389" s="3">
        <f t="shared" si="146"/>
        <v>43749.160590960644</v>
      </c>
    </row>
    <row r="9390" spans="1:10" x14ac:dyDescent="0.25">
      <c r="A9390" s="5" t="s">
        <v>44417</v>
      </c>
      <c r="B9390" s="6">
        <v>393.75</v>
      </c>
      <c r="C9390" s="6">
        <v>20.478950000000001</v>
      </c>
      <c r="D9390" s="6">
        <v>55</v>
      </c>
      <c r="E9390" s="6">
        <v>0</v>
      </c>
      <c r="F9390" s="6">
        <v>0</v>
      </c>
      <c r="G9390" s="6">
        <v>10</v>
      </c>
      <c r="H9390" s="6" t="s">
        <v>44418</v>
      </c>
      <c r="I9390" s="6">
        <v>526.6875</v>
      </c>
      <c r="J9390" s="2">
        <f t="shared" si="146"/>
        <v>43749.160674687497</v>
      </c>
    </row>
    <row r="9391" spans="1:10" x14ac:dyDescent="0.25">
      <c r="A9391" s="7" t="s">
        <v>44419</v>
      </c>
      <c r="B9391" s="8">
        <v>393.75</v>
      </c>
      <c r="C9391" s="8">
        <v>20.478950000000001</v>
      </c>
      <c r="D9391" s="8">
        <v>56</v>
      </c>
      <c r="E9391" s="8">
        <v>0</v>
      </c>
      <c r="F9391" s="8">
        <v>0</v>
      </c>
      <c r="G9391" s="8">
        <v>9</v>
      </c>
      <c r="H9391" s="8" t="s">
        <v>44420</v>
      </c>
      <c r="I9391" s="8">
        <v>526.6875</v>
      </c>
      <c r="J9391" s="3">
        <f t="shared" si="146"/>
        <v>43749.160746006943</v>
      </c>
    </row>
    <row r="9392" spans="1:10" x14ac:dyDescent="0.25">
      <c r="A9392" s="5" t="s">
        <v>44421</v>
      </c>
      <c r="B9392" s="6">
        <v>393.75</v>
      </c>
      <c r="C9392" s="6">
        <v>20.478950000000001</v>
      </c>
      <c r="D9392" s="6">
        <v>56</v>
      </c>
      <c r="E9392" s="6">
        <v>0</v>
      </c>
      <c r="F9392" s="6">
        <v>0</v>
      </c>
      <c r="G9392" s="6">
        <v>11</v>
      </c>
      <c r="H9392" s="6" t="s">
        <v>44422</v>
      </c>
      <c r="I9392" s="6">
        <v>526.5</v>
      </c>
      <c r="J9392" s="2">
        <f t="shared" si="146"/>
        <v>43749.160817511576</v>
      </c>
    </row>
    <row r="9393" spans="1:10" x14ac:dyDescent="0.25">
      <c r="A9393" s="7" t="s">
        <v>44423</v>
      </c>
      <c r="B9393" s="8">
        <v>393.75</v>
      </c>
      <c r="C9393" s="8">
        <v>20.478950000000001</v>
      </c>
      <c r="D9393" s="8">
        <v>56</v>
      </c>
      <c r="E9393" s="8">
        <v>0</v>
      </c>
      <c r="F9393" s="8">
        <v>0</v>
      </c>
      <c r="G9393" s="8">
        <v>13</v>
      </c>
      <c r="H9393" s="8" t="s">
        <v>44424</v>
      </c>
      <c r="I9393" s="8">
        <v>526.6875</v>
      </c>
      <c r="J9393" s="3">
        <f t="shared" si="146"/>
        <v>43749.160889027778</v>
      </c>
    </row>
    <row r="9394" spans="1:10" x14ac:dyDescent="0.25">
      <c r="A9394" s="5" t="s">
        <v>44425</v>
      </c>
      <c r="B9394" s="6">
        <v>393.75</v>
      </c>
      <c r="C9394" s="6">
        <v>20.478950000000001</v>
      </c>
      <c r="D9394" s="6">
        <v>57</v>
      </c>
      <c r="E9394" s="6">
        <v>0</v>
      </c>
      <c r="F9394" s="6">
        <v>0</v>
      </c>
      <c r="G9394" s="6">
        <v>10</v>
      </c>
      <c r="H9394" s="6" t="s">
        <v>44426</v>
      </c>
      <c r="I9394" s="6">
        <v>526.5</v>
      </c>
      <c r="J9394" s="2">
        <f t="shared" si="146"/>
        <v>43749.160960960646</v>
      </c>
    </row>
    <row r="9395" spans="1:10" x14ac:dyDescent="0.25">
      <c r="A9395" s="7" t="s">
        <v>44427</v>
      </c>
      <c r="B9395" s="8">
        <v>393.75</v>
      </c>
      <c r="C9395" s="8">
        <v>20.478950000000001</v>
      </c>
      <c r="D9395" s="8">
        <v>57</v>
      </c>
      <c r="E9395" s="8">
        <v>0</v>
      </c>
      <c r="F9395" s="8">
        <v>0</v>
      </c>
      <c r="G9395" s="8">
        <v>14</v>
      </c>
      <c r="H9395" s="8" t="s">
        <v>44428</v>
      </c>
      <c r="I9395" s="8">
        <v>526.6875</v>
      </c>
      <c r="J9395" s="3">
        <f t="shared" si="146"/>
        <v>43749.161044143511</v>
      </c>
    </row>
    <row r="9396" spans="1:10" x14ac:dyDescent="0.25">
      <c r="A9396" s="5" t="s">
        <v>44429</v>
      </c>
      <c r="B9396" s="6">
        <v>393.75</v>
      </c>
      <c r="C9396" s="6">
        <v>20.478950000000001</v>
      </c>
      <c r="D9396" s="6">
        <v>57</v>
      </c>
      <c r="E9396" s="6">
        <v>0</v>
      </c>
      <c r="F9396" s="6">
        <v>0</v>
      </c>
      <c r="G9396" s="6">
        <v>7</v>
      </c>
      <c r="H9396" s="6" t="s">
        <v>44430</v>
      </c>
      <c r="I9396" s="6">
        <v>526.6875</v>
      </c>
      <c r="J9396" s="2">
        <f t="shared" si="146"/>
        <v>43749.161115428236</v>
      </c>
    </row>
    <row r="9397" spans="1:10" x14ac:dyDescent="0.25">
      <c r="A9397" s="7" t="s">
        <v>44431</v>
      </c>
      <c r="B9397" s="8">
        <v>393.75</v>
      </c>
      <c r="C9397" s="8">
        <v>20.478950000000001</v>
      </c>
      <c r="D9397" s="8">
        <v>56</v>
      </c>
      <c r="E9397" s="8">
        <v>0</v>
      </c>
      <c r="F9397" s="8">
        <v>0</v>
      </c>
      <c r="G9397" s="8">
        <v>5</v>
      </c>
      <c r="H9397" s="8" t="s">
        <v>44432</v>
      </c>
      <c r="I9397" s="8">
        <v>526.6875</v>
      </c>
      <c r="J9397" s="3">
        <f t="shared" si="146"/>
        <v>43749.161187187499</v>
      </c>
    </row>
    <row r="9398" spans="1:10" x14ac:dyDescent="0.25">
      <c r="A9398" s="5" t="s">
        <v>44433</v>
      </c>
      <c r="B9398" s="6">
        <v>393.75</v>
      </c>
      <c r="C9398" s="6">
        <v>20.478950000000001</v>
      </c>
      <c r="D9398" s="6">
        <v>57</v>
      </c>
      <c r="E9398" s="6">
        <v>0</v>
      </c>
      <c r="F9398" s="6">
        <v>0</v>
      </c>
      <c r="G9398" s="6">
        <v>8</v>
      </c>
      <c r="H9398" s="6" t="s">
        <v>44434</v>
      </c>
      <c r="I9398" s="6">
        <v>526.6875</v>
      </c>
      <c r="J9398" s="2">
        <f t="shared" si="146"/>
        <v>43749.161270706019</v>
      </c>
    </row>
    <row r="9399" spans="1:10" x14ac:dyDescent="0.25">
      <c r="A9399" s="7" t="s">
        <v>44435</v>
      </c>
      <c r="B9399" s="8">
        <v>393.75</v>
      </c>
      <c r="C9399" s="8">
        <v>20.478950000000001</v>
      </c>
      <c r="D9399" s="8">
        <v>56</v>
      </c>
      <c r="E9399" s="8">
        <v>0</v>
      </c>
      <c r="F9399" s="8">
        <v>0</v>
      </c>
      <c r="G9399" s="8">
        <v>2</v>
      </c>
      <c r="H9399" s="8" t="s">
        <v>44436</v>
      </c>
      <c r="I9399" s="8">
        <v>526.5</v>
      </c>
      <c r="J9399" s="3">
        <f t="shared" si="146"/>
        <v>43749.161354212956</v>
      </c>
    </row>
    <row r="9400" spans="1:10" x14ac:dyDescent="0.25">
      <c r="A9400" s="5" t="s">
        <v>44437</v>
      </c>
      <c r="B9400" s="6">
        <v>393.75</v>
      </c>
      <c r="C9400" s="6">
        <v>20.426300000000001</v>
      </c>
      <c r="D9400" s="6">
        <v>55</v>
      </c>
      <c r="E9400" s="6">
        <v>0</v>
      </c>
      <c r="F9400" s="6">
        <v>0</v>
      </c>
      <c r="G9400" s="6">
        <v>6</v>
      </c>
      <c r="H9400" s="6" t="s">
        <v>44438</v>
      </c>
      <c r="I9400" s="6">
        <v>526.6875</v>
      </c>
      <c r="J9400" s="2">
        <f t="shared" si="146"/>
        <v>43749.161437800918</v>
      </c>
    </row>
    <row r="9401" spans="1:10" x14ac:dyDescent="0.25">
      <c r="A9401" s="7" t="s">
        <v>44439</v>
      </c>
      <c r="B9401" s="8">
        <v>393.75</v>
      </c>
      <c r="C9401" s="8">
        <v>20.478950000000001</v>
      </c>
      <c r="D9401" s="8">
        <v>55</v>
      </c>
      <c r="E9401" s="8">
        <v>0</v>
      </c>
      <c r="F9401" s="8">
        <v>0</v>
      </c>
      <c r="G9401" s="8">
        <v>13</v>
      </c>
      <c r="H9401" s="8" t="s">
        <v>44440</v>
      </c>
      <c r="I9401" s="8">
        <v>526.6875</v>
      </c>
      <c r="J9401" s="3">
        <f t="shared" si="146"/>
        <v>43749.161509178237</v>
      </c>
    </row>
    <row r="9402" spans="1:10" x14ac:dyDescent="0.25">
      <c r="A9402" s="5" t="s">
        <v>44441</v>
      </c>
      <c r="B9402" s="6">
        <v>393.75</v>
      </c>
      <c r="C9402" s="6">
        <v>20.478950000000001</v>
      </c>
      <c r="D9402" s="6">
        <v>55</v>
      </c>
      <c r="E9402" s="6">
        <v>0</v>
      </c>
      <c r="F9402" s="6">
        <v>0</v>
      </c>
      <c r="G9402" s="6">
        <v>5</v>
      </c>
      <c r="H9402" s="6" t="s">
        <v>44442</v>
      </c>
      <c r="I9402" s="6">
        <v>526.6875</v>
      </c>
      <c r="J9402" s="2">
        <f t="shared" si="146"/>
        <v>43749.161592638884</v>
      </c>
    </row>
    <row r="9403" spans="1:10" x14ac:dyDescent="0.25">
      <c r="A9403" s="7" t="s">
        <v>44443</v>
      </c>
      <c r="B9403" s="8">
        <v>412.5</v>
      </c>
      <c r="C9403" s="8">
        <v>20.478950000000001</v>
      </c>
      <c r="D9403" s="8">
        <v>55</v>
      </c>
      <c r="E9403" s="8">
        <v>0</v>
      </c>
      <c r="F9403" s="8">
        <v>0</v>
      </c>
      <c r="G9403" s="8">
        <v>8</v>
      </c>
      <c r="H9403" s="8" t="s">
        <v>44444</v>
      </c>
      <c r="I9403" s="8">
        <v>532.5</v>
      </c>
      <c r="J9403" s="3">
        <f t="shared" si="146"/>
        <v>43749.161664328705</v>
      </c>
    </row>
    <row r="9404" spans="1:10" x14ac:dyDescent="0.25">
      <c r="A9404" s="5" t="s">
        <v>44445</v>
      </c>
      <c r="B9404" s="6">
        <v>393.75</v>
      </c>
      <c r="C9404" s="6">
        <v>20.478950000000001</v>
      </c>
      <c r="D9404" s="6">
        <v>55</v>
      </c>
      <c r="E9404" s="6">
        <v>0</v>
      </c>
      <c r="F9404" s="6">
        <v>0</v>
      </c>
      <c r="G9404" s="6">
        <v>8</v>
      </c>
      <c r="H9404" s="6" t="s">
        <v>44446</v>
      </c>
      <c r="I9404" s="6">
        <v>526.6875</v>
      </c>
      <c r="J9404" s="2">
        <f t="shared" si="146"/>
        <v>43749.161735833331</v>
      </c>
    </row>
    <row r="9405" spans="1:10" x14ac:dyDescent="0.25">
      <c r="A9405" s="7" t="s">
        <v>44447</v>
      </c>
      <c r="B9405" s="8">
        <v>393.75</v>
      </c>
      <c r="C9405" s="8">
        <v>20.478950000000001</v>
      </c>
      <c r="D9405" s="8">
        <v>56</v>
      </c>
      <c r="E9405" s="8">
        <v>0</v>
      </c>
      <c r="F9405" s="8">
        <v>0</v>
      </c>
      <c r="G9405" s="8">
        <v>13</v>
      </c>
      <c r="H9405" s="8" t="s">
        <v>44448</v>
      </c>
      <c r="I9405" s="8">
        <v>526.6875</v>
      </c>
      <c r="J9405" s="3">
        <f t="shared" si="146"/>
        <v>43749.161819166664</v>
      </c>
    </row>
    <row r="9406" spans="1:10" x14ac:dyDescent="0.25">
      <c r="A9406" s="5" t="s">
        <v>44449</v>
      </c>
      <c r="B9406" s="6">
        <v>393.75</v>
      </c>
      <c r="C9406" s="6">
        <v>20.478950000000001</v>
      </c>
      <c r="D9406" s="6">
        <v>56</v>
      </c>
      <c r="E9406" s="6">
        <v>0</v>
      </c>
      <c r="F9406" s="6">
        <v>0</v>
      </c>
      <c r="G9406" s="6">
        <v>11</v>
      </c>
      <c r="H9406" s="6" t="s">
        <v>44450</v>
      </c>
      <c r="I9406" s="6">
        <v>526.6875</v>
      </c>
      <c r="J9406" s="2">
        <f t="shared" si="146"/>
        <v>43749.16189077546</v>
      </c>
    </row>
    <row r="9407" spans="1:10" x14ac:dyDescent="0.25">
      <c r="A9407" s="7" t="s">
        <v>44451</v>
      </c>
      <c r="B9407" s="8">
        <v>393.75</v>
      </c>
      <c r="C9407" s="8">
        <v>20.478950000000001</v>
      </c>
      <c r="D9407" s="8">
        <v>56</v>
      </c>
      <c r="E9407" s="8">
        <v>0</v>
      </c>
      <c r="F9407" s="8">
        <v>0</v>
      </c>
      <c r="G9407" s="8">
        <v>7</v>
      </c>
      <c r="H9407" s="8" t="s">
        <v>44452</v>
      </c>
      <c r="I9407" s="8">
        <v>526.6875</v>
      </c>
      <c r="J9407" s="3">
        <f t="shared" si="146"/>
        <v>43749.161974247683</v>
      </c>
    </row>
    <row r="9408" spans="1:10" x14ac:dyDescent="0.25">
      <c r="A9408" s="5" t="s">
        <v>44453</v>
      </c>
      <c r="B9408" s="6">
        <v>393.75</v>
      </c>
      <c r="C9408" s="6">
        <v>20.426300000000001</v>
      </c>
      <c r="D9408" s="6">
        <v>56</v>
      </c>
      <c r="E9408" s="6">
        <v>0</v>
      </c>
      <c r="F9408" s="6">
        <v>0</v>
      </c>
      <c r="G9408" s="6">
        <v>11</v>
      </c>
      <c r="H9408" s="6" t="s">
        <v>44454</v>
      </c>
      <c r="I9408" s="6">
        <v>526.6875</v>
      </c>
      <c r="J9408" s="2">
        <f t="shared" si="146"/>
        <v>43749.162045694444</v>
      </c>
    </row>
    <row r="9409" spans="1:10" x14ac:dyDescent="0.25">
      <c r="A9409" s="7" t="s">
        <v>44455</v>
      </c>
      <c r="B9409" s="8">
        <v>393.75</v>
      </c>
      <c r="C9409" s="8">
        <v>20.478950000000001</v>
      </c>
      <c r="D9409" s="8">
        <v>56</v>
      </c>
      <c r="E9409" s="8">
        <v>0</v>
      </c>
      <c r="F9409" s="8">
        <v>0</v>
      </c>
      <c r="G9409" s="8">
        <v>10</v>
      </c>
      <c r="H9409" s="8" t="s">
        <v>44456</v>
      </c>
      <c r="I9409" s="8">
        <v>526.6875</v>
      </c>
      <c r="J9409" s="3">
        <f t="shared" si="146"/>
        <v>43749.162117361113</v>
      </c>
    </row>
    <row r="9410" spans="1:10" x14ac:dyDescent="0.25">
      <c r="A9410" s="5" t="s">
        <v>44457</v>
      </c>
      <c r="B9410" s="6">
        <v>412.5</v>
      </c>
      <c r="C9410" s="6">
        <v>20.478950000000001</v>
      </c>
      <c r="D9410" s="6">
        <v>56</v>
      </c>
      <c r="E9410" s="6">
        <v>0</v>
      </c>
      <c r="F9410" s="6">
        <v>0</v>
      </c>
      <c r="G9410" s="6">
        <v>10</v>
      </c>
      <c r="H9410" s="6" t="s">
        <v>44458</v>
      </c>
      <c r="I9410" s="6">
        <v>532.3125</v>
      </c>
      <c r="J9410" s="2">
        <f t="shared" ref="J9410:J9473" si="147">(H9410/86400000)+25569+(7/24)</f>
        <v>43749.16220061342</v>
      </c>
    </row>
    <row r="9411" spans="1:10" x14ac:dyDescent="0.25">
      <c r="A9411" s="7" t="s">
        <v>44459</v>
      </c>
      <c r="B9411" s="8">
        <v>393.75</v>
      </c>
      <c r="C9411" s="8">
        <v>20.478950000000001</v>
      </c>
      <c r="D9411" s="8">
        <v>56</v>
      </c>
      <c r="E9411" s="8">
        <v>0</v>
      </c>
      <c r="F9411" s="8">
        <v>0</v>
      </c>
      <c r="G9411" s="8">
        <v>4</v>
      </c>
      <c r="H9411" s="8" t="s">
        <v>44460</v>
      </c>
      <c r="I9411" s="8">
        <v>526.6875</v>
      </c>
      <c r="J9411" s="3">
        <f t="shared" si="147"/>
        <v>43749.162272372683</v>
      </c>
    </row>
    <row r="9412" spans="1:10" x14ac:dyDescent="0.25">
      <c r="A9412" s="5" t="s">
        <v>44461</v>
      </c>
      <c r="B9412" s="6">
        <v>390.625</v>
      </c>
      <c r="C9412" s="6">
        <v>20.478950000000001</v>
      </c>
      <c r="D9412" s="6">
        <v>56</v>
      </c>
      <c r="E9412" s="6">
        <v>0</v>
      </c>
      <c r="F9412" s="6">
        <v>0</v>
      </c>
      <c r="G9412" s="6">
        <v>4</v>
      </c>
      <c r="H9412" s="6" t="s">
        <v>44462</v>
      </c>
      <c r="I9412" s="6">
        <v>525.75</v>
      </c>
      <c r="J9412" s="2">
        <f t="shared" si="147"/>
        <v>43749.162355821762</v>
      </c>
    </row>
    <row r="9413" spans="1:10" x14ac:dyDescent="0.25">
      <c r="A9413" s="7" t="s">
        <v>44463</v>
      </c>
      <c r="B9413" s="8">
        <v>393.75</v>
      </c>
      <c r="C9413" s="8">
        <v>20.426300000000001</v>
      </c>
      <c r="D9413" s="8">
        <v>56</v>
      </c>
      <c r="E9413" s="8">
        <v>0</v>
      </c>
      <c r="F9413" s="8">
        <v>0</v>
      </c>
      <c r="G9413" s="8">
        <v>12</v>
      </c>
      <c r="H9413" s="8" t="s">
        <v>44464</v>
      </c>
      <c r="I9413" s="8">
        <v>526.6875</v>
      </c>
      <c r="J9413" s="3">
        <f t="shared" si="147"/>
        <v>43749.162427361109</v>
      </c>
    </row>
    <row r="9414" spans="1:10" x14ac:dyDescent="0.25">
      <c r="A9414" s="5" t="s">
        <v>44465</v>
      </c>
      <c r="B9414" s="6">
        <v>393.75</v>
      </c>
      <c r="C9414" s="6">
        <v>20.478950000000001</v>
      </c>
      <c r="D9414" s="6">
        <v>56</v>
      </c>
      <c r="E9414" s="6">
        <v>0</v>
      </c>
      <c r="F9414" s="6">
        <v>0</v>
      </c>
      <c r="G9414" s="6">
        <v>5</v>
      </c>
      <c r="H9414" s="6" t="s">
        <v>44466</v>
      </c>
      <c r="I9414" s="6">
        <v>526.6875</v>
      </c>
      <c r="J9414" s="2">
        <f t="shared" si="147"/>
        <v>43749.16249894676</v>
      </c>
    </row>
    <row r="9415" spans="1:10" x14ac:dyDescent="0.25">
      <c r="A9415" s="7" t="s">
        <v>44467</v>
      </c>
      <c r="B9415" s="8">
        <v>393.75</v>
      </c>
      <c r="C9415" s="8">
        <v>20.426300000000001</v>
      </c>
      <c r="D9415" s="8">
        <v>56</v>
      </c>
      <c r="E9415" s="8">
        <v>0</v>
      </c>
      <c r="F9415" s="8">
        <v>0</v>
      </c>
      <c r="G9415" s="8">
        <v>5</v>
      </c>
      <c r="H9415" s="8" t="s">
        <v>44468</v>
      </c>
      <c r="I9415" s="8">
        <v>526.6875</v>
      </c>
      <c r="J9415" s="3">
        <f t="shared" si="147"/>
        <v>43749.162582118057</v>
      </c>
    </row>
    <row r="9416" spans="1:10" x14ac:dyDescent="0.25">
      <c r="A9416" s="5" t="s">
        <v>44469</v>
      </c>
      <c r="B9416" s="6">
        <v>412.5</v>
      </c>
      <c r="C9416" s="6">
        <v>20.426300000000001</v>
      </c>
      <c r="D9416" s="6">
        <v>56</v>
      </c>
      <c r="E9416" s="6">
        <v>0</v>
      </c>
      <c r="F9416" s="6">
        <v>0</v>
      </c>
      <c r="G9416" s="6">
        <v>9</v>
      </c>
      <c r="H9416" s="6" t="s">
        <v>44470</v>
      </c>
      <c r="I9416" s="6">
        <v>532.3125</v>
      </c>
      <c r="J9416" s="2">
        <f t="shared" si="147"/>
        <v>43749.162653993051</v>
      </c>
    </row>
    <row r="9417" spans="1:10" x14ac:dyDescent="0.25">
      <c r="A9417" s="7" t="s">
        <v>44471</v>
      </c>
      <c r="B9417" s="8">
        <v>393.75</v>
      </c>
      <c r="C9417" s="8">
        <v>20.478950000000001</v>
      </c>
      <c r="D9417" s="8">
        <v>57</v>
      </c>
      <c r="E9417" s="8">
        <v>0</v>
      </c>
      <c r="F9417" s="8">
        <v>0</v>
      </c>
      <c r="G9417" s="8">
        <v>4</v>
      </c>
      <c r="H9417" s="8" t="s">
        <v>44472</v>
      </c>
      <c r="I9417" s="8">
        <v>526.6875</v>
      </c>
      <c r="J9417" s="3">
        <f t="shared" si="147"/>
        <v>43749.16272552083</v>
      </c>
    </row>
    <row r="9418" spans="1:10" x14ac:dyDescent="0.25">
      <c r="A9418" s="5" t="s">
        <v>44473</v>
      </c>
      <c r="B9418" s="6">
        <v>393.75</v>
      </c>
      <c r="C9418" s="6">
        <v>20.478950000000001</v>
      </c>
      <c r="D9418" s="6">
        <v>56</v>
      </c>
      <c r="E9418" s="6">
        <v>0</v>
      </c>
      <c r="F9418" s="6">
        <v>0</v>
      </c>
      <c r="G9418" s="6">
        <v>1</v>
      </c>
      <c r="H9418" s="6" t="s">
        <v>44474</v>
      </c>
      <c r="I9418" s="6">
        <v>526.6875</v>
      </c>
      <c r="J9418" s="2">
        <f t="shared" si="147"/>
        <v>43749.16281217592</v>
      </c>
    </row>
    <row r="9419" spans="1:10" x14ac:dyDescent="0.25">
      <c r="A9419" s="7" t="s">
        <v>44475</v>
      </c>
      <c r="B9419" s="8">
        <v>412.5</v>
      </c>
      <c r="C9419" s="8">
        <v>20.478950000000001</v>
      </c>
      <c r="D9419" s="8">
        <v>58</v>
      </c>
      <c r="E9419" s="8">
        <v>0</v>
      </c>
      <c r="F9419" s="8">
        <v>0</v>
      </c>
      <c r="G9419" s="8">
        <v>14</v>
      </c>
      <c r="H9419" s="8" t="s">
        <v>44476</v>
      </c>
      <c r="I9419" s="8">
        <v>532.875</v>
      </c>
      <c r="J9419" s="3">
        <f t="shared" si="147"/>
        <v>43749.162892581015</v>
      </c>
    </row>
    <row r="9420" spans="1:10" x14ac:dyDescent="0.25">
      <c r="A9420" s="5" t="s">
        <v>44477</v>
      </c>
      <c r="B9420" s="6">
        <v>393.75</v>
      </c>
      <c r="C9420" s="6">
        <v>20.478950000000001</v>
      </c>
      <c r="D9420" s="6">
        <v>58</v>
      </c>
      <c r="E9420" s="6">
        <v>0</v>
      </c>
      <c r="F9420" s="6">
        <v>0</v>
      </c>
      <c r="G9420" s="6">
        <v>11</v>
      </c>
      <c r="H9420" s="6" t="s">
        <v>44478</v>
      </c>
      <c r="I9420" s="6">
        <v>526.5</v>
      </c>
      <c r="J9420" s="2">
        <f t="shared" si="147"/>
        <v>43749.162963680552</v>
      </c>
    </row>
    <row r="9421" spans="1:10" x14ac:dyDescent="0.25">
      <c r="A9421" s="7" t="s">
        <v>44479</v>
      </c>
      <c r="B9421" s="8">
        <v>393.75</v>
      </c>
      <c r="C9421" s="8">
        <v>20.478950000000001</v>
      </c>
      <c r="D9421" s="8">
        <v>58</v>
      </c>
      <c r="E9421" s="8">
        <v>0</v>
      </c>
      <c r="F9421" s="8">
        <v>0</v>
      </c>
      <c r="G9421" s="8">
        <v>6</v>
      </c>
      <c r="H9421" s="8" t="s">
        <v>44480</v>
      </c>
      <c r="I9421" s="8">
        <v>526.6875</v>
      </c>
      <c r="J9421" s="3">
        <f t="shared" si="147"/>
        <v>43749.163035613419</v>
      </c>
    </row>
    <row r="9422" spans="1:10" x14ac:dyDescent="0.25">
      <c r="A9422" s="5" t="s">
        <v>44481</v>
      </c>
      <c r="B9422" s="6">
        <v>393.75</v>
      </c>
      <c r="C9422" s="6">
        <v>20.478950000000001</v>
      </c>
      <c r="D9422" s="6">
        <v>59</v>
      </c>
      <c r="E9422" s="6">
        <v>0</v>
      </c>
      <c r="F9422" s="6">
        <v>0</v>
      </c>
      <c r="G9422" s="6">
        <v>6</v>
      </c>
      <c r="H9422" s="6" t="s">
        <v>44482</v>
      </c>
      <c r="I9422" s="6">
        <v>526.6875</v>
      </c>
      <c r="J9422" s="2">
        <f t="shared" si="147"/>
        <v>43749.163119189812</v>
      </c>
    </row>
    <row r="9423" spans="1:10" x14ac:dyDescent="0.25">
      <c r="A9423" s="7" t="s">
        <v>44483</v>
      </c>
      <c r="B9423" s="8">
        <v>393.75</v>
      </c>
      <c r="C9423" s="8">
        <v>20.478950000000001</v>
      </c>
      <c r="D9423" s="8">
        <v>58</v>
      </c>
      <c r="E9423" s="8">
        <v>0</v>
      </c>
      <c r="F9423" s="8">
        <v>0</v>
      </c>
      <c r="G9423" s="8">
        <v>11</v>
      </c>
      <c r="H9423" s="8" t="s">
        <v>44484</v>
      </c>
      <c r="I9423" s="8">
        <v>526.6875</v>
      </c>
      <c r="J9423" s="3">
        <f t="shared" si="147"/>
        <v>43749.163190601852</v>
      </c>
    </row>
    <row r="9424" spans="1:10" x14ac:dyDescent="0.25">
      <c r="A9424" s="5" t="s">
        <v>44485</v>
      </c>
      <c r="B9424" s="6">
        <v>393.75</v>
      </c>
      <c r="C9424" s="6">
        <v>20.478950000000001</v>
      </c>
      <c r="D9424" s="6">
        <v>58</v>
      </c>
      <c r="E9424" s="6">
        <v>0</v>
      </c>
      <c r="F9424" s="6">
        <v>0</v>
      </c>
      <c r="G9424" s="6">
        <v>17</v>
      </c>
      <c r="H9424" s="6" t="s">
        <v>44486</v>
      </c>
      <c r="I9424" s="6">
        <v>526.6875</v>
      </c>
      <c r="J9424" s="2">
        <f t="shared" si="147"/>
        <v>43749.163262164351</v>
      </c>
    </row>
    <row r="9425" spans="1:10" x14ac:dyDescent="0.25">
      <c r="A9425" s="7" t="s">
        <v>44487</v>
      </c>
      <c r="B9425" s="8">
        <v>393.75</v>
      </c>
      <c r="C9425" s="8">
        <v>20.478950000000001</v>
      </c>
      <c r="D9425" s="8">
        <v>58</v>
      </c>
      <c r="E9425" s="8">
        <v>0</v>
      </c>
      <c r="F9425" s="8">
        <v>0</v>
      </c>
      <c r="G9425" s="8">
        <v>12</v>
      </c>
      <c r="H9425" s="8" t="s">
        <v>44488</v>
      </c>
      <c r="I9425" s="8">
        <v>526.6875</v>
      </c>
      <c r="J9425" s="3">
        <f t="shared" si="147"/>
        <v>43749.163350034716</v>
      </c>
    </row>
    <row r="9426" spans="1:10" x14ac:dyDescent="0.25">
      <c r="A9426" s="5" t="s">
        <v>44489</v>
      </c>
      <c r="B9426" s="6">
        <v>393.75</v>
      </c>
      <c r="C9426" s="6">
        <v>20.478950000000001</v>
      </c>
      <c r="D9426" s="6">
        <v>57</v>
      </c>
      <c r="E9426" s="6">
        <v>0</v>
      </c>
      <c r="F9426" s="6">
        <v>0</v>
      </c>
      <c r="G9426" s="6">
        <v>3</v>
      </c>
      <c r="H9426" s="6" t="s">
        <v>44490</v>
      </c>
      <c r="I9426" s="6">
        <v>526.5</v>
      </c>
      <c r="J9426" s="2">
        <f t="shared" si="147"/>
        <v>43749.163429120366</v>
      </c>
    </row>
    <row r="9427" spans="1:10" x14ac:dyDescent="0.25">
      <c r="A9427" s="7" t="s">
        <v>44491</v>
      </c>
      <c r="B9427" s="8">
        <v>393.75</v>
      </c>
      <c r="C9427" s="8">
        <v>20.478950000000001</v>
      </c>
      <c r="D9427" s="8">
        <v>57</v>
      </c>
      <c r="E9427" s="8">
        <v>0</v>
      </c>
      <c r="F9427" s="8">
        <v>0</v>
      </c>
      <c r="G9427" s="8">
        <v>8</v>
      </c>
      <c r="H9427" s="8" t="s">
        <v>44492</v>
      </c>
      <c r="I9427" s="8">
        <v>526.6875</v>
      </c>
      <c r="J9427" s="3">
        <f t="shared" si="147"/>
        <v>43749.163500636576</v>
      </c>
    </row>
    <row r="9428" spans="1:10" x14ac:dyDescent="0.25">
      <c r="A9428" s="5" t="s">
        <v>44493</v>
      </c>
      <c r="B9428" s="6">
        <v>393.75</v>
      </c>
      <c r="C9428" s="6">
        <v>20.478950000000001</v>
      </c>
      <c r="D9428" s="6">
        <v>57</v>
      </c>
      <c r="E9428" s="6">
        <v>0</v>
      </c>
      <c r="F9428" s="6">
        <v>0</v>
      </c>
      <c r="G9428" s="6">
        <v>5</v>
      </c>
      <c r="H9428" s="6" t="s">
        <v>44494</v>
      </c>
      <c r="I9428" s="6">
        <v>526.6875</v>
      </c>
      <c r="J9428" s="2">
        <f t="shared" si="147"/>
        <v>43749.163572303238</v>
      </c>
    </row>
    <row r="9429" spans="1:10" x14ac:dyDescent="0.25">
      <c r="A9429" s="7" t="s">
        <v>44495</v>
      </c>
      <c r="B9429" s="8">
        <v>393.75</v>
      </c>
      <c r="C9429" s="8">
        <v>20.426300000000001</v>
      </c>
      <c r="D9429" s="8">
        <v>57</v>
      </c>
      <c r="E9429" s="8">
        <v>0</v>
      </c>
      <c r="F9429" s="8">
        <v>0</v>
      </c>
      <c r="G9429" s="8">
        <v>18</v>
      </c>
      <c r="H9429" s="8" t="s">
        <v>44496</v>
      </c>
      <c r="I9429" s="8">
        <v>526.6875</v>
      </c>
      <c r="J9429" s="3">
        <f t="shared" si="147"/>
        <v>43749.163655682867</v>
      </c>
    </row>
    <row r="9430" spans="1:10" x14ac:dyDescent="0.25">
      <c r="A9430" s="5" t="s">
        <v>44497</v>
      </c>
      <c r="B9430" s="6">
        <v>393.75</v>
      </c>
      <c r="C9430" s="6">
        <v>20.478950000000001</v>
      </c>
      <c r="D9430" s="6">
        <v>56</v>
      </c>
      <c r="E9430" s="6">
        <v>0</v>
      </c>
      <c r="F9430" s="6">
        <v>0</v>
      </c>
      <c r="G9430" s="6">
        <v>15</v>
      </c>
      <c r="H9430" s="6" t="s">
        <v>44498</v>
      </c>
      <c r="I9430" s="6">
        <v>526.6875</v>
      </c>
      <c r="J9430" s="2">
        <f t="shared" si="147"/>
        <v>43749.163727361105</v>
      </c>
    </row>
    <row r="9431" spans="1:10" x14ac:dyDescent="0.25">
      <c r="A9431" s="7" t="s">
        <v>44499</v>
      </c>
      <c r="B9431" s="8">
        <v>393.75</v>
      </c>
      <c r="C9431" s="8">
        <v>20.478950000000001</v>
      </c>
      <c r="D9431" s="8">
        <v>55</v>
      </c>
      <c r="E9431" s="8">
        <v>0</v>
      </c>
      <c r="F9431" s="8">
        <v>0</v>
      </c>
      <c r="G9431" s="8">
        <v>12</v>
      </c>
      <c r="H9431" s="8" t="s">
        <v>44500</v>
      </c>
      <c r="I9431" s="8">
        <v>526.6875</v>
      </c>
      <c r="J9431" s="3">
        <f t="shared" si="147"/>
        <v>43749.163798692127</v>
      </c>
    </row>
    <row r="9432" spans="1:10" x14ac:dyDescent="0.25">
      <c r="A9432" s="5" t="s">
        <v>44501</v>
      </c>
      <c r="B9432" s="6">
        <v>393.75</v>
      </c>
      <c r="C9432" s="6">
        <v>20.478950000000001</v>
      </c>
      <c r="D9432" s="6">
        <v>55</v>
      </c>
      <c r="E9432" s="6">
        <v>0</v>
      </c>
      <c r="F9432" s="6">
        <v>0</v>
      </c>
      <c r="G9432" s="6">
        <v>16</v>
      </c>
      <c r="H9432" s="6" t="s">
        <v>44502</v>
      </c>
      <c r="I9432" s="6">
        <v>526.6875</v>
      </c>
      <c r="J9432" s="2">
        <f t="shared" si="147"/>
        <v>43749.163882129629</v>
      </c>
    </row>
    <row r="9433" spans="1:10" x14ac:dyDescent="0.25">
      <c r="A9433" s="7" t="s">
        <v>44503</v>
      </c>
      <c r="B9433" s="8">
        <v>393.75</v>
      </c>
      <c r="C9433" s="8">
        <v>20.478950000000001</v>
      </c>
      <c r="D9433" s="8">
        <v>54</v>
      </c>
      <c r="E9433" s="8">
        <v>0</v>
      </c>
      <c r="F9433" s="8">
        <v>0</v>
      </c>
      <c r="G9433" s="8">
        <v>7</v>
      </c>
      <c r="H9433" s="8" t="s">
        <v>44504</v>
      </c>
      <c r="I9433" s="8">
        <v>526.6875</v>
      </c>
      <c r="J9433" s="3">
        <f t="shared" si="147"/>
        <v>43749.163953784715</v>
      </c>
    </row>
    <row r="9434" spans="1:10" x14ac:dyDescent="0.25">
      <c r="A9434" s="5" t="s">
        <v>44505</v>
      </c>
      <c r="B9434" s="6">
        <v>393.75</v>
      </c>
      <c r="C9434" s="6">
        <v>20.478950000000001</v>
      </c>
      <c r="D9434" s="6">
        <v>54</v>
      </c>
      <c r="E9434" s="6">
        <v>0</v>
      </c>
      <c r="F9434" s="6">
        <v>0</v>
      </c>
      <c r="G9434" s="6">
        <v>14</v>
      </c>
      <c r="H9434" s="6" t="s">
        <v>44506</v>
      </c>
      <c r="I9434" s="6">
        <v>526.5</v>
      </c>
      <c r="J9434" s="2">
        <f t="shared" si="147"/>
        <v>43749.164037222225</v>
      </c>
    </row>
    <row r="9435" spans="1:10" x14ac:dyDescent="0.25">
      <c r="A9435" s="7" t="s">
        <v>44507</v>
      </c>
      <c r="B9435" s="8">
        <v>412.5</v>
      </c>
      <c r="C9435" s="8">
        <v>20.426300000000001</v>
      </c>
      <c r="D9435" s="8">
        <v>54</v>
      </c>
      <c r="E9435" s="8">
        <v>0</v>
      </c>
      <c r="F9435" s="8">
        <v>0</v>
      </c>
      <c r="G9435" s="8">
        <v>5</v>
      </c>
      <c r="H9435" s="8" t="s">
        <v>44508</v>
      </c>
      <c r="I9435" s="8">
        <v>532.3125</v>
      </c>
      <c r="J9435" s="3">
        <f t="shared" si="147"/>
        <v>43749.164108935183</v>
      </c>
    </row>
    <row r="9436" spans="1:10" x14ac:dyDescent="0.25">
      <c r="A9436" s="5" t="s">
        <v>44509</v>
      </c>
      <c r="B9436" s="6">
        <v>393.75</v>
      </c>
      <c r="C9436" s="6">
        <v>20.478950000000001</v>
      </c>
      <c r="D9436" s="6">
        <v>51</v>
      </c>
      <c r="E9436" s="6">
        <v>0</v>
      </c>
      <c r="F9436" s="6">
        <v>0</v>
      </c>
      <c r="G9436" s="6">
        <v>15</v>
      </c>
      <c r="H9436" s="6" t="s">
        <v>44510</v>
      </c>
      <c r="I9436" s="6">
        <v>526.6875</v>
      </c>
      <c r="J9436" s="2">
        <f t="shared" si="147"/>
        <v>43749.164180347223</v>
      </c>
    </row>
    <row r="9437" spans="1:10" x14ac:dyDescent="0.25">
      <c r="A9437" s="7" t="s">
        <v>44511</v>
      </c>
      <c r="B9437" s="8">
        <v>393.75</v>
      </c>
      <c r="C9437" s="8">
        <v>20.426300000000001</v>
      </c>
      <c r="D9437" s="8">
        <v>53</v>
      </c>
      <c r="E9437" s="8">
        <v>0</v>
      </c>
      <c r="F9437" s="8">
        <v>0</v>
      </c>
      <c r="G9437" s="8">
        <v>11</v>
      </c>
      <c r="H9437" s="8" t="s">
        <v>44512</v>
      </c>
      <c r="I9437" s="8">
        <v>526.6875</v>
      </c>
      <c r="J9437" s="3">
        <f t="shared" si="147"/>
        <v>43749.164263622682</v>
      </c>
    </row>
    <row r="9438" spans="1:10" x14ac:dyDescent="0.25">
      <c r="A9438" s="5" t="s">
        <v>44513</v>
      </c>
      <c r="B9438" s="6">
        <v>393.75</v>
      </c>
      <c r="C9438" s="6">
        <v>20.478950000000001</v>
      </c>
      <c r="D9438" s="6">
        <v>52</v>
      </c>
      <c r="E9438" s="6">
        <v>0</v>
      </c>
      <c r="F9438" s="6">
        <v>0</v>
      </c>
      <c r="G9438" s="6">
        <v>10</v>
      </c>
      <c r="H9438" s="6" t="s">
        <v>44514</v>
      </c>
      <c r="I9438" s="6">
        <v>526.6875</v>
      </c>
      <c r="J9438" s="2">
        <f t="shared" si="147"/>
        <v>43749.164335370369</v>
      </c>
    </row>
    <row r="9439" spans="1:10" x14ac:dyDescent="0.25">
      <c r="A9439" s="7" t="s">
        <v>44515</v>
      </c>
      <c r="B9439" s="8">
        <v>393.75</v>
      </c>
      <c r="C9439" s="8">
        <v>20.478950000000001</v>
      </c>
      <c r="D9439" s="8">
        <v>52</v>
      </c>
      <c r="E9439" s="8">
        <v>0</v>
      </c>
      <c r="F9439" s="8">
        <v>0</v>
      </c>
      <c r="G9439" s="8">
        <v>8</v>
      </c>
      <c r="H9439" s="8" t="s">
        <v>44516</v>
      </c>
      <c r="I9439" s="8">
        <v>526.6875</v>
      </c>
      <c r="J9439" s="3">
        <f t="shared" si="147"/>
        <v>43749.164418831017</v>
      </c>
    </row>
    <row r="9440" spans="1:10" x14ac:dyDescent="0.25">
      <c r="A9440" s="5" t="s">
        <v>44517</v>
      </c>
      <c r="B9440" s="6">
        <v>393.75</v>
      </c>
      <c r="C9440" s="6">
        <v>20.478950000000001</v>
      </c>
      <c r="D9440" s="6">
        <v>53</v>
      </c>
      <c r="E9440" s="6">
        <v>0</v>
      </c>
      <c r="F9440" s="6">
        <v>0</v>
      </c>
      <c r="G9440" s="6">
        <v>5</v>
      </c>
      <c r="H9440" s="6" t="s">
        <v>44518</v>
      </c>
      <c r="I9440" s="6">
        <v>526.6875</v>
      </c>
      <c r="J9440" s="2">
        <f t="shared" si="147"/>
        <v>43749.164502256943</v>
      </c>
    </row>
    <row r="9441" spans="1:10" x14ac:dyDescent="0.25">
      <c r="A9441" s="7" t="s">
        <v>44519</v>
      </c>
      <c r="B9441" s="8">
        <v>403.125</v>
      </c>
      <c r="C9441" s="8">
        <v>20.478950000000001</v>
      </c>
      <c r="D9441" s="8">
        <v>53</v>
      </c>
      <c r="E9441" s="8">
        <v>0</v>
      </c>
      <c r="F9441" s="8">
        <v>0</v>
      </c>
      <c r="G9441" s="8">
        <v>14</v>
      </c>
      <c r="H9441" s="8" t="s">
        <v>44520</v>
      </c>
      <c r="I9441" s="8">
        <v>529.6875</v>
      </c>
      <c r="J9441" s="3">
        <f t="shared" si="147"/>
        <v>43749.164585833329</v>
      </c>
    </row>
    <row r="9442" spans="1:10" x14ac:dyDescent="0.25">
      <c r="A9442" s="5" t="s">
        <v>44521</v>
      </c>
      <c r="B9442" s="6">
        <v>393.75</v>
      </c>
      <c r="C9442" s="6">
        <v>20.478950000000001</v>
      </c>
      <c r="D9442" s="6">
        <v>53</v>
      </c>
      <c r="E9442" s="6">
        <v>0</v>
      </c>
      <c r="F9442" s="6">
        <v>0</v>
      </c>
      <c r="G9442" s="6">
        <v>12</v>
      </c>
      <c r="H9442" s="6" t="s">
        <v>44522</v>
      </c>
      <c r="I9442" s="6">
        <v>526.6875</v>
      </c>
      <c r="J9442" s="2">
        <f t="shared" si="147"/>
        <v>43749.164657349531</v>
      </c>
    </row>
    <row r="9443" spans="1:10" x14ac:dyDescent="0.25">
      <c r="A9443" s="7" t="s">
        <v>44523</v>
      </c>
      <c r="B9443" s="8">
        <v>393.75</v>
      </c>
      <c r="C9443" s="8">
        <v>20.478950000000001</v>
      </c>
      <c r="D9443" s="8">
        <v>53</v>
      </c>
      <c r="E9443" s="8">
        <v>0</v>
      </c>
      <c r="F9443" s="8">
        <v>0</v>
      </c>
      <c r="G9443" s="8">
        <v>8</v>
      </c>
      <c r="H9443" s="8" t="s">
        <v>44524</v>
      </c>
      <c r="I9443" s="8">
        <v>526.6875</v>
      </c>
      <c r="J9443" s="3">
        <f t="shared" si="147"/>
        <v>43749.164740810178</v>
      </c>
    </row>
    <row r="9444" spans="1:10" x14ac:dyDescent="0.25">
      <c r="A9444" s="5" t="s">
        <v>44525</v>
      </c>
      <c r="B9444" s="6">
        <v>393.75</v>
      </c>
      <c r="C9444" s="6">
        <v>20.478950000000001</v>
      </c>
      <c r="D9444" s="6">
        <v>53</v>
      </c>
      <c r="E9444" s="6">
        <v>0</v>
      </c>
      <c r="F9444" s="6">
        <v>0</v>
      </c>
      <c r="G9444" s="6">
        <v>7</v>
      </c>
      <c r="H9444" s="6" t="s">
        <v>44526</v>
      </c>
      <c r="I9444" s="6">
        <v>526.6875</v>
      </c>
      <c r="J9444" s="2">
        <f t="shared" si="147"/>
        <v>43749.164812523144</v>
      </c>
    </row>
    <row r="9445" spans="1:10" x14ac:dyDescent="0.25">
      <c r="A9445" s="7" t="s">
        <v>44527</v>
      </c>
      <c r="B9445" s="8">
        <v>393.75</v>
      </c>
      <c r="C9445" s="8">
        <v>20.478950000000001</v>
      </c>
      <c r="D9445" s="8">
        <v>55</v>
      </c>
      <c r="E9445" s="8">
        <v>0</v>
      </c>
      <c r="F9445" s="8">
        <v>0</v>
      </c>
      <c r="G9445" s="8">
        <v>11</v>
      </c>
      <c r="H9445" s="8" t="s">
        <v>44528</v>
      </c>
      <c r="I9445" s="8">
        <v>526.6875</v>
      </c>
      <c r="J9445" s="3">
        <f t="shared" si="147"/>
        <v>43749.164883854166</v>
      </c>
    </row>
    <row r="9446" spans="1:10" x14ac:dyDescent="0.25">
      <c r="A9446" s="5" t="s">
        <v>44529</v>
      </c>
      <c r="B9446" s="6">
        <v>393.75</v>
      </c>
      <c r="C9446" s="6">
        <v>20.478950000000001</v>
      </c>
      <c r="D9446" s="6">
        <v>59</v>
      </c>
      <c r="E9446" s="6">
        <v>0</v>
      </c>
      <c r="F9446" s="6">
        <v>0</v>
      </c>
      <c r="G9446" s="6">
        <v>13</v>
      </c>
      <c r="H9446" s="6" t="s">
        <v>44530</v>
      </c>
      <c r="I9446" s="6">
        <v>526.5</v>
      </c>
      <c r="J9446" s="2">
        <f t="shared" si="147"/>
        <v>43749.164967326382</v>
      </c>
    </row>
    <row r="9447" spans="1:10" x14ac:dyDescent="0.25">
      <c r="A9447" s="7" t="s">
        <v>44531</v>
      </c>
      <c r="B9447" s="8">
        <v>412.5</v>
      </c>
      <c r="C9447" s="8">
        <v>20.478950000000001</v>
      </c>
      <c r="D9447" s="8">
        <v>59</v>
      </c>
      <c r="E9447" s="8">
        <v>0</v>
      </c>
      <c r="F9447" s="8">
        <v>0</v>
      </c>
      <c r="G9447" s="8">
        <v>16</v>
      </c>
      <c r="H9447" s="8" t="s">
        <v>44532</v>
      </c>
      <c r="I9447" s="8">
        <v>532.5</v>
      </c>
      <c r="J9447" s="3">
        <f t="shared" si="147"/>
        <v>43749.165038831015</v>
      </c>
    </row>
    <row r="9448" spans="1:10" x14ac:dyDescent="0.25">
      <c r="A9448" s="5" t="s">
        <v>44533</v>
      </c>
      <c r="B9448" s="6">
        <v>393.75</v>
      </c>
      <c r="C9448" s="6">
        <v>20.478950000000001</v>
      </c>
      <c r="D9448" s="6">
        <v>57</v>
      </c>
      <c r="E9448" s="6">
        <v>0</v>
      </c>
      <c r="F9448" s="6">
        <v>0</v>
      </c>
      <c r="G9448" s="6">
        <v>11</v>
      </c>
      <c r="H9448" s="6" t="s">
        <v>44534</v>
      </c>
      <c r="I9448" s="6">
        <v>526.6875</v>
      </c>
      <c r="J9448" s="2">
        <f t="shared" si="147"/>
        <v>43749.165122291663</v>
      </c>
    </row>
    <row r="9449" spans="1:10" x14ac:dyDescent="0.25">
      <c r="A9449" s="7" t="s">
        <v>44535</v>
      </c>
      <c r="B9449" s="8">
        <v>393.75</v>
      </c>
      <c r="C9449" s="8">
        <v>20.478950000000001</v>
      </c>
      <c r="D9449" s="8">
        <v>57</v>
      </c>
      <c r="E9449" s="8">
        <v>0</v>
      </c>
      <c r="F9449" s="8">
        <v>0</v>
      </c>
      <c r="G9449" s="8">
        <v>7</v>
      </c>
      <c r="H9449" s="8" t="s">
        <v>44536</v>
      </c>
      <c r="I9449" s="8">
        <v>526.6875</v>
      </c>
      <c r="J9449" s="3">
        <f t="shared" si="147"/>
        <v>43749.165194108798</v>
      </c>
    </row>
    <row r="9450" spans="1:10" x14ac:dyDescent="0.25">
      <c r="A9450" s="5" t="s">
        <v>44537</v>
      </c>
      <c r="B9450" s="6">
        <v>393.75</v>
      </c>
      <c r="C9450" s="6">
        <v>20.426300000000001</v>
      </c>
      <c r="D9450" s="6">
        <v>56</v>
      </c>
      <c r="E9450" s="6">
        <v>0</v>
      </c>
      <c r="F9450" s="6">
        <v>0</v>
      </c>
      <c r="G9450" s="6">
        <v>13</v>
      </c>
      <c r="H9450" s="6" t="s">
        <v>44538</v>
      </c>
      <c r="I9450" s="6">
        <v>526.6875</v>
      </c>
      <c r="J9450" s="2">
        <f t="shared" si="147"/>
        <v>43749.165265428237</v>
      </c>
    </row>
    <row r="9451" spans="1:10" x14ac:dyDescent="0.25">
      <c r="A9451" s="7" t="s">
        <v>44539</v>
      </c>
      <c r="B9451" s="8">
        <v>393.75</v>
      </c>
      <c r="C9451" s="8">
        <v>20.478950000000001</v>
      </c>
      <c r="D9451" s="8">
        <v>56</v>
      </c>
      <c r="E9451" s="8">
        <v>0</v>
      </c>
      <c r="F9451" s="8">
        <v>0</v>
      </c>
      <c r="G9451" s="8">
        <v>1</v>
      </c>
      <c r="H9451" s="8" t="s">
        <v>44540</v>
      </c>
      <c r="I9451" s="8">
        <v>526.6875</v>
      </c>
      <c r="J9451" s="3">
        <f t="shared" si="147"/>
        <v>43749.165348819442</v>
      </c>
    </row>
    <row r="9452" spans="1:10" x14ac:dyDescent="0.25">
      <c r="A9452" s="5" t="s">
        <v>44541</v>
      </c>
      <c r="B9452" s="6">
        <v>393.75</v>
      </c>
      <c r="C9452" s="6">
        <v>20.478950000000001</v>
      </c>
      <c r="D9452" s="6">
        <v>55</v>
      </c>
      <c r="E9452" s="6">
        <v>0</v>
      </c>
      <c r="F9452" s="6">
        <v>0</v>
      </c>
      <c r="G9452" s="6">
        <v>11</v>
      </c>
      <c r="H9452" s="6" t="s">
        <v>44542</v>
      </c>
      <c r="I9452" s="6">
        <v>526.5</v>
      </c>
      <c r="J9452" s="2">
        <f t="shared" si="147"/>
        <v>43749.16544420139</v>
      </c>
    </row>
    <row r="9453" spans="1:10" x14ac:dyDescent="0.25">
      <c r="A9453" s="7" t="s">
        <v>44543</v>
      </c>
      <c r="B9453" s="8">
        <v>393.75</v>
      </c>
      <c r="C9453" s="8">
        <v>20.478950000000001</v>
      </c>
      <c r="D9453" s="8">
        <v>53</v>
      </c>
      <c r="E9453" s="8">
        <v>0</v>
      </c>
      <c r="F9453" s="8">
        <v>0</v>
      </c>
      <c r="G9453" s="8">
        <v>11</v>
      </c>
      <c r="H9453" s="8" t="s">
        <v>44544</v>
      </c>
      <c r="I9453" s="8">
        <v>526.6875</v>
      </c>
      <c r="J9453" s="3">
        <f t="shared" si="147"/>
        <v>43749.16551543981</v>
      </c>
    </row>
    <row r="9454" spans="1:10" x14ac:dyDescent="0.25">
      <c r="A9454" s="5" t="s">
        <v>44545</v>
      </c>
      <c r="B9454" s="6">
        <v>390.625</v>
      </c>
      <c r="C9454" s="6">
        <v>20.478950000000001</v>
      </c>
      <c r="D9454" s="6">
        <v>53</v>
      </c>
      <c r="E9454" s="6">
        <v>0</v>
      </c>
      <c r="F9454" s="6">
        <v>0</v>
      </c>
      <c r="G9454" s="6">
        <v>2</v>
      </c>
      <c r="H9454" s="6" t="s">
        <v>44546</v>
      </c>
      <c r="I9454" s="6">
        <v>525.75</v>
      </c>
      <c r="J9454" s="2">
        <f t="shared" si="147"/>
        <v>43749.165594305552</v>
      </c>
    </row>
    <row r="9455" spans="1:10" x14ac:dyDescent="0.25">
      <c r="A9455" s="7" t="s">
        <v>44547</v>
      </c>
      <c r="B9455" s="8">
        <v>393.75</v>
      </c>
      <c r="C9455" s="8">
        <v>20.478950000000001</v>
      </c>
      <c r="D9455" s="8">
        <v>54</v>
      </c>
      <c r="E9455" s="8">
        <v>0</v>
      </c>
      <c r="F9455" s="8">
        <v>0</v>
      </c>
      <c r="G9455" s="8">
        <v>8</v>
      </c>
      <c r="H9455" s="8" t="s">
        <v>44548</v>
      </c>
      <c r="I9455" s="8">
        <v>526.6875</v>
      </c>
      <c r="J9455" s="3">
        <f t="shared" si="147"/>
        <v>43749.165670775459</v>
      </c>
    </row>
    <row r="9456" spans="1:10" x14ac:dyDescent="0.25">
      <c r="A9456" s="5" t="s">
        <v>44549</v>
      </c>
      <c r="B9456" s="6">
        <v>393.75</v>
      </c>
      <c r="C9456" s="6">
        <v>20.478950000000001</v>
      </c>
      <c r="D9456" s="6">
        <v>54</v>
      </c>
      <c r="E9456" s="6">
        <v>0</v>
      </c>
      <c r="F9456" s="6">
        <v>0</v>
      </c>
      <c r="G9456" s="6">
        <v>11</v>
      </c>
      <c r="H9456" s="6" t="s">
        <v>44550</v>
      </c>
      <c r="I9456" s="6">
        <v>526.6875</v>
      </c>
      <c r="J9456" s="2">
        <f t="shared" si="147"/>
        <v>43749.16574236111</v>
      </c>
    </row>
    <row r="9457" spans="1:10" x14ac:dyDescent="0.25">
      <c r="A9457" s="7" t="s">
        <v>44551</v>
      </c>
      <c r="B9457" s="8">
        <v>393.75</v>
      </c>
      <c r="C9457" s="8">
        <v>20.478950000000001</v>
      </c>
      <c r="D9457" s="8">
        <v>54</v>
      </c>
      <c r="E9457" s="8">
        <v>0</v>
      </c>
      <c r="F9457" s="8">
        <v>0</v>
      </c>
      <c r="G9457" s="8">
        <v>7</v>
      </c>
      <c r="H9457" s="8" t="s">
        <v>44552</v>
      </c>
      <c r="I9457" s="8">
        <v>526.5</v>
      </c>
      <c r="J9457" s="3">
        <f t="shared" si="147"/>
        <v>43749.165813935186</v>
      </c>
    </row>
    <row r="9458" spans="1:10" x14ac:dyDescent="0.25">
      <c r="A9458" s="5" t="s">
        <v>44553</v>
      </c>
      <c r="B9458" s="6">
        <v>393.75</v>
      </c>
      <c r="C9458" s="6">
        <v>20.478950000000001</v>
      </c>
      <c r="D9458" s="6">
        <v>54</v>
      </c>
      <c r="E9458" s="6">
        <v>0</v>
      </c>
      <c r="F9458" s="6">
        <v>0</v>
      </c>
      <c r="G9458" s="6">
        <v>3</v>
      </c>
      <c r="H9458" s="6" t="s">
        <v>44554</v>
      </c>
      <c r="I9458" s="6">
        <v>526.6875</v>
      </c>
      <c r="J9458" s="2">
        <f t="shared" si="147"/>
        <v>43749.165885289352</v>
      </c>
    </row>
    <row r="9459" spans="1:10" x14ac:dyDescent="0.25">
      <c r="A9459" s="7" t="s">
        <v>44555</v>
      </c>
      <c r="B9459" s="8">
        <v>393.75</v>
      </c>
      <c r="C9459" s="8">
        <v>20.478950000000001</v>
      </c>
      <c r="D9459" s="8">
        <v>54</v>
      </c>
      <c r="E9459" s="8">
        <v>0</v>
      </c>
      <c r="F9459" s="8">
        <v>0</v>
      </c>
      <c r="G9459" s="8">
        <v>12</v>
      </c>
      <c r="H9459" s="8" t="s">
        <v>44556</v>
      </c>
      <c r="I9459" s="8">
        <v>526.6875</v>
      </c>
      <c r="J9459" s="3">
        <f t="shared" si="147"/>
        <v>43749.165956759258</v>
      </c>
    </row>
    <row r="9460" spans="1:10" x14ac:dyDescent="0.25">
      <c r="A9460" s="5" t="s">
        <v>44557</v>
      </c>
      <c r="B9460" s="6">
        <v>412.5</v>
      </c>
      <c r="C9460" s="6">
        <v>20.478950000000001</v>
      </c>
      <c r="D9460" s="6">
        <v>54</v>
      </c>
      <c r="E9460" s="6">
        <v>0</v>
      </c>
      <c r="F9460" s="6">
        <v>0</v>
      </c>
      <c r="G9460" s="6">
        <v>7</v>
      </c>
      <c r="H9460" s="6" t="s">
        <v>44558</v>
      </c>
      <c r="I9460" s="6">
        <v>532.3125</v>
      </c>
      <c r="J9460" s="2">
        <f t="shared" si="147"/>
        <v>43749.166028472224</v>
      </c>
    </row>
    <row r="9461" spans="1:10" x14ac:dyDescent="0.25">
      <c r="A9461" s="7" t="s">
        <v>44559</v>
      </c>
      <c r="B9461" s="8">
        <v>393.75</v>
      </c>
      <c r="C9461" s="8">
        <v>20.426300000000001</v>
      </c>
      <c r="D9461" s="8">
        <v>51</v>
      </c>
      <c r="E9461" s="8">
        <v>0</v>
      </c>
      <c r="F9461" s="8">
        <v>0</v>
      </c>
      <c r="G9461" s="8">
        <v>3</v>
      </c>
      <c r="H9461" s="8" t="s">
        <v>44560</v>
      </c>
      <c r="I9461" s="8">
        <v>526.6875</v>
      </c>
      <c r="J9461" s="3">
        <f t="shared" si="147"/>
        <v>43749.166111724531</v>
      </c>
    </row>
    <row r="9462" spans="1:10" x14ac:dyDescent="0.25">
      <c r="A9462" s="5" t="s">
        <v>44561</v>
      </c>
      <c r="B9462" s="6">
        <v>393.75</v>
      </c>
      <c r="C9462" s="6">
        <v>20.478950000000001</v>
      </c>
      <c r="D9462" s="6">
        <v>48</v>
      </c>
      <c r="E9462" s="6">
        <v>0</v>
      </c>
      <c r="F9462" s="6">
        <v>0</v>
      </c>
      <c r="G9462" s="6">
        <v>13</v>
      </c>
      <c r="H9462" s="6" t="s">
        <v>44562</v>
      </c>
      <c r="I9462" s="6">
        <v>526.6875</v>
      </c>
      <c r="J9462" s="2">
        <f t="shared" si="147"/>
        <v>43749.166183634261</v>
      </c>
    </row>
    <row r="9463" spans="1:10" x14ac:dyDescent="0.25">
      <c r="A9463" s="7" t="s">
        <v>44563</v>
      </c>
      <c r="B9463" s="8">
        <v>415.625</v>
      </c>
      <c r="C9463" s="8">
        <v>20.478950000000001</v>
      </c>
      <c r="D9463" s="8">
        <v>49</v>
      </c>
      <c r="E9463" s="8">
        <v>0</v>
      </c>
      <c r="F9463" s="8">
        <v>0</v>
      </c>
      <c r="G9463" s="8">
        <v>4</v>
      </c>
      <c r="H9463" s="8" t="s">
        <v>44564</v>
      </c>
      <c r="I9463" s="8">
        <v>533.8125</v>
      </c>
      <c r="J9463" s="3">
        <f t="shared" si="147"/>
        <v>43749.166266990738</v>
      </c>
    </row>
    <row r="9464" spans="1:10" x14ac:dyDescent="0.25">
      <c r="A9464" s="5" t="s">
        <v>44565</v>
      </c>
      <c r="B9464" s="6">
        <v>393.75</v>
      </c>
      <c r="C9464" s="6">
        <v>20.478950000000001</v>
      </c>
      <c r="D9464" s="6">
        <v>53</v>
      </c>
      <c r="E9464" s="6">
        <v>0</v>
      </c>
      <c r="F9464" s="6">
        <v>0</v>
      </c>
      <c r="G9464" s="6">
        <v>6</v>
      </c>
      <c r="H9464" s="6" t="s">
        <v>44566</v>
      </c>
      <c r="I9464" s="6">
        <v>526.6875</v>
      </c>
      <c r="J9464" s="2">
        <f t="shared" si="147"/>
        <v>43749.166338645831</v>
      </c>
    </row>
    <row r="9465" spans="1:10" x14ac:dyDescent="0.25">
      <c r="A9465" s="7" t="s">
        <v>44567</v>
      </c>
      <c r="B9465" s="8">
        <v>393.75</v>
      </c>
      <c r="C9465" s="8">
        <v>20.478950000000001</v>
      </c>
      <c r="D9465" s="8">
        <v>53</v>
      </c>
      <c r="E9465" s="8">
        <v>0</v>
      </c>
      <c r="F9465" s="8">
        <v>0</v>
      </c>
      <c r="G9465" s="8">
        <v>8</v>
      </c>
      <c r="H9465" s="8" t="s">
        <v>44568</v>
      </c>
      <c r="I9465" s="8">
        <v>526.6875</v>
      </c>
      <c r="J9465" s="3">
        <f t="shared" si="147"/>
        <v>43749.166410115737</v>
      </c>
    </row>
    <row r="9466" spans="1:10" x14ac:dyDescent="0.25">
      <c r="A9466" s="5" t="s">
        <v>44569</v>
      </c>
      <c r="B9466" s="6">
        <v>393.75</v>
      </c>
      <c r="C9466" s="6">
        <v>20.478950000000001</v>
      </c>
      <c r="D9466" s="6">
        <v>52</v>
      </c>
      <c r="E9466" s="6">
        <v>0</v>
      </c>
      <c r="F9466" s="6">
        <v>0</v>
      </c>
      <c r="G9466" s="6">
        <v>17</v>
      </c>
      <c r="H9466" s="6" t="s">
        <v>44570</v>
      </c>
      <c r="I9466" s="6">
        <v>526.6875</v>
      </c>
      <c r="J9466" s="2">
        <f t="shared" si="147"/>
        <v>43749.166493229168</v>
      </c>
    </row>
    <row r="9467" spans="1:10" x14ac:dyDescent="0.25">
      <c r="A9467" s="7" t="s">
        <v>44571</v>
      </c>
      <c r="B9467" s="8">
        <v>393.75</v>
      </c>
      <c r="C9467" s="8">
        <v>20.478950000000001</v>
      </c>
      <c r="D9467" s="8">
        <v>53</v>
      </c>
      <c r="E9467" s="8">
        <v>0</v>
      </c>
      <c r="F9467" s="8">
        <v>0</v>
      </c>
      <c r="G9467" s="8">
        <v>12</v>
      </c>
      <c r="H9467" s="8" t="s">
        <v>44572</v>
      </c>
      <c r="I9467" s="8">
        <v>526.6875</v>
      </c>
      <c r="J9467" s="3">
        <f t="shared" si="147"/>
        <v>43749.166565081017</v>
      </c>
    </row>
    <row r="9468" spans="1:10" x14ac:dyDescent="0.25">
      <c r="A9468" s="5" t="s">
        <v>44573</v>
      </c>
      <c r="B9468" s="6">
        <v>393.75</v>
      </c>
      <c r="C9468" s="6">
        <v>20.478950000000001</v>
      </c>
      <c r="D9468" s="6">
        <v>53</v>
      </c>
      <c r="E9468" s="6">
        <v>0</v>
      </c>
      <c r="F9468" s="6">
        <v>0</v>
      </c>
      <c r="G9468" s="6">
        <v>6</v>
      </c>
      <c r="H9468" s="6" t="s">
        <v>44574</v>
      </c>
      <c r="I9468" s="6">
        <v>526.6875</v>
      </c>
      <c r="J9468" s="2">
        <f t="shared" si="147"/>
        <v>43749.166648773149</v>
      </c>
    </row>
    <row r="9469" spans="1:10" x14ac:dyDescent="0.25">
      <c r="A9469" s="7" t="s">
        <v>44575</v>
      </c>
      <c r="B9469" s="8">
        <v>393.75</v>
      </c>
      <c r="C9469" s="8">
        <v>20.478950000000001</v>
      </c>
      <c r="D9469" s="8">
        <v>53</v>
      </c>
      <c r="E9469" s="8">
        <v>0</v>
      </c>
      <c r="F9469" s="8">
        <v>0</v>
      </c>
      <c r="G9469" s="8">
        <v>11</v>
      </c>
      <c r="H9469" s="8" t="s">
        <v>44576</v>
      </c>
      <c r="I9469" s="8">
        <v>526.6875</v>
      </c>
      <c r="J9469" s="3">
        <f t="shared" si="147"/>
        <v>43749.166720138885</v>
      </c>
    </row>
    <row r="9470" spans="1:10" x14ac:dyDescent="0.25">
      <c r="A9470" s="5" t="s">
        <v>44577</v>
      </c>
      <c r="B9470" s="6">
        <v>393.75</v>
      </c>
      <c r="C9470" s="6">
        <v>20.478950000000001</v>
      </c>
      <c r="D9470" s="6">
        <v>55</v>
      </c>
      <c r="E9470" s="6">
        <v>0</v>
      </c>
      <c r="F9470" s="6">
        <v>0</v>
      </c>
      <c r="G9470" s="6">
        <v>6</v>
      </c>
      <c r="H9470" s="6" t="s">
        <v>44578</v>
      </c>
      <c r="I9470" s="6">
        <v>526.6875</v>
      </c>
      <c r="J9470" s="2">
        <f t="shared" si="147"/>
        <v>43749.166791701391</v>
      </c>
    </row>
    <row r="9471" spans="1:10" x14ac:dyDescent="0.25">
      <c r="A9471" s="7" t="s">
        <v>44579</v>
      </c>
      <c r="B9471" s="8">
        <v>393.75</v>
      </c>
      <c r="C9471" s="8">
        <v>20.478950000000001</v>
      </c>
      <c r="D9471" s="8">
        <v>55</v>
      </c>
      <c r="E9471" s="8">
        <v>0</v>
      </c>
      <c r="F9471" s="8">
        <v>0</v>
      </c>
      <c r="G9471" s="8">
        <v>10</v>
      </c>
      <c r="H9471" s="8" t="s">
        <v>44580</v>
      </c>
      <c r="I9471" s="8">
        <v>526.6875</v>
      </c>
      <c r="J9471" s="3">
        <f t="shared" si="147"/>
        <v>43749.166874918978</v>
      </c>
    </row>
    <row r="9472" spans="1:10" x14ac:dyDescent="0.25">
      <c r="A9472" s="5" t="s">
        <v>44581</v>
      </c>
      <c r="B9472" s="6">
        <v>393.75</v>
      </c>
      <c r="C9472" s="6">
        <v>20.478950000000001</v>
      </c>
      <c r="D9472" s="6">
        <v>53</v>
      </c>
      <c r="E9472" s="6">
        <v>0</v>
      </c>
      <c r="F9472" s="6">
        <v>0</v>
      </c>
      <c r="G9472" s="6">
        <v>9</v>
      </c>
      <c r="H9472" s="6" t="s">
        <v>44582</v>
      </c>
      <c r="I9472" s="6">
        <v>526.5</v>
      </c>
      <c r="J9472" s="2">
        <f t="shared" si="147"/>
        <v>43749.166946736113</v>
      </c>
    </row>
    <row r="9473" spans="1:10" x14ac:dyDescent="0.25">
      <c r="A9473" s="7" t="s">
        <v>44583</v>
      </c>
      <c r="B9473" s="8">
        <v>393.75</v>
      </c>
      <c r="C9473" s="8">
        <v>20.478950000000001</v>
      </c>
      <c r="D9473" s="8">
        <v>53</v>
      </c>
      <c r="E9473" s="8">
        <v>0</v>
      </c>
      <c r="F9473" s="8">
        <v>0</v>
      </c>
      <c r="G9473" s="8">
        <v>11</v>
      </c>
      <c r="H9473" s="8" t="s">
        <v>44584</v>
      </c>
      <c r="I9473" s="8">
        <v>526.6875</v>
      </c>
      <c r="J9473" s="3">
        <f t="shared" si="147"/>
        <v>43749.167030266202</v>
      </c>
    </row>
    <row r="9474" spans="1:10" x14ac:dyDescent="0.25">
      <c r="A9474" s="5" t="s">
        <v>44585</v>
      </c>
      <c r="B9474" s="6">
        <v>393.75</v>
      </c>
      <c r="C9474" s="6">
        <v>20.478950000000001</v>
      </c>
      <c r="D9474" s="6">
        <v>53</v>
      </c>
      <c r="E9474" s="6">
        <v>0</v>
      </c>
      <c r="F9474" s="6">
        <v>0</v>
      </c>
      <c r="G9474" s="6">
        <v>13</v>
      </c>
      <c r="H9474" s="6" t="s">
        <v>44586</v>
      </c>
      <c r="I9474" s="6">
        <v>526.6875</v>
      </c>
      <c r="J9474" s="2">
        <f t="shared" ref="J9474:J9537" si="148">(H9474/86400000)+25569+(7/24)</f>
        <v>43749.167101793981</v>
      </c>
    </row>
    <row r="9475" spans="1:10" x14ac:dyDescent="0.25">
      <c r="A9475" s="7" t="s">
        <v>44587</v>
      </c>
      <c r="B9475" s="8">
        <v>393.75</v>
      </c>
      <c r="C9475" s="8">
        <v>20.478950000000001</v>
      </c>
      <c r="D9475" s="8">
        <v>53</v>
      </c>
      <c r="E9475" s="8">
        <v>0</v>
      </c>
      <c r="F9475" s="8">
        <v>0</v>
      </c>
      <c r="G9475" s="8">
        <v>3</v>
      </c>
      <c r="H9475" s="8" t="s">
        <v>44588</v>
      </c>
      <c r="I9475" s="8">
        <v>526.6875</v>
      </c>
      <c r="J9475" s="3">
        <f t="shared" si="148"/>
        <v>43749.167185254628</v>
      </c>
    </row>
    <row r="9476" spans="1:10" x14ac:dyDescent="0.25">
      <c r="A9476" s="5" t="s">
        <v>44589</v>
      </c>
      <c r="B9476" s="6">
        <v>393.75</v>
      </c>
      <c r="C9476" s="6">
        <v>20.478950000000001</v>
      </c>
      <c r="D9476" s="6">
        <v>53</v>
      </c>
      <c r="E9476" s="6">
        <v>0</v>
      </c>
      <c r="F9476" s="6">
        <v>0</v>
      </c>
      <c r="G9476" s="6">
        <v>10</v>
      </c>
      <c r="H9476" s="6" t="s">
        <v>44590</v>
      </c>
      <c r="I9476" s="6">
        <v>526.6875</v>
      </c>
      <c r="J9476" s="2">
        <f t="shared" si="148"/>
        <v>43749.16725692129</v>
      </c>
    </row>
    <row r="9477" spans="1:10" x14ac:dyDescent="0.25">
      <c r="A9477" s="7" t="s">
        <v>44591</v>
      </c>
      <c r="B9477" s="8">
        <v>393.75</v>
      </c>
      <c r="C9477" s="8">
        <v>20.478950000000001</v>
      </c>
      <c r="D9477" s="8">
        <v>54</v>
      </c>
      <c r="E9477" s="8">
        <v>0</v>
      </c>
      <c r="F9477" s="8">
        <v>0</v>
      </c>
      <c r="G9477" s="8">
        <v>0</v>
      </c>
      <c r="H9477" s="8" t="s">
        <v>44592</v>
      </c>
      <c r="I9477" s="8">
        <v>526.5</v>
      </c>
      <c r="J9477" s="3">
        <f t="shared" si="148"/>
        <v>43749.167328298608</v>
      </c>
    </row>
    <row r="9478" spans="1:10" x14ac:dyDescent="0.25">
      <c r="A9478" s="5" t="s">
        <v>44593</v>
      </c>
      <c r="B9478" s="6">
        <v>393.75</v>
      </c>
      <c r="C9478" s="6">
        <v>20.478950000000001</v>
      </c>
      <c r="D9478" s="6">
        <v>55</v>
      </c>
      <c r="E9478" s="6">
        <v>0</v>
      </c>
      <c r="F9478" s="6">
        <v>0</v>
      </c>
      <c r="G9478" s="6">
        <v>8</v>
      </c>
      <c r="H9478" s="6" t="s">
        <v>44594</v>
      </c>
      <c r="I9478" s="6">
        <v>526.6875</v>
      </c>
      <c r="J9478" s="2">
        <f t="shared" si="148"/>
        <v>43749.167411724535</v>
      </c>
    </row>
    <row r="9479" spans="1:10" x14ac:dyDescent="0.25">
      <c r="A9479" s="7" t="s">
        <v>44595</v>
      </c>
      <c r="B9479" s="8">
        <v>412.5</v>
      </c>
      <c r="C9479" s="8">
        <v>20.478950000000001</v>
      </c>
      <c r="D9479" s="8">
        <v>56</v>
      </c>
      <c r="E9479" s="8">
        <v>0</v>
      </c>
      <c r="F9479" s="8">
        <v>0</v>
      </c>
      <c r="G9479" s="8">
        <v>13</v>
      </c>
      <c r="H9479" s="8" t="s">
        <v>44596</v>
      </c>
      <c r="I9479" s="8">
        <v>532.3125</v>
      </c>
      <c r="J9479" s="3">
        <f t="shared" si="148"/>
        <v>43749.167483310179</v>
      </c>
    </row>
    <row r="9480" spans="1:10" x14ac:dyDescent="0.25">
      <c r="A9480" s="5" t="s">
        <v>44597</v>
      </c>
      <c r="B9480" s="6">
        <v>393.75</v>
      </c>
      <c r="C9480" s="6">
        <v>20.478950000000001</v>
      </c>
      <c r="D9480" s="6">
        <v>56</v>
      </c>
      <c r="E9480" s="6">
        <v>0</v>
      </c>
      <c r="F9480" s="6">
        <v>0</v>
      </c>
      <c r="G9480" s="6">
        <v>6</v>
      </c>
      <c r="H9480" s="6" t="s">
        <v>44598</v>
      </c>
      <c r="I9480" s="6">
        <v>526.6875</v>
      </c>
      <c r="J9480" s="2">
        <f t="shared" si="148"/>
        <v>43749.16756681713</v>
      </c>
    </row>
    <row r="9481" spans="1:10" x14ac:dyDescent="0.25">
      <c r="A9481" s="7" t="s">
        <v>44599</v>
      </c>
      <c r="B9481" s="8">
        <v>393.75</v>
      </c>
      <c r="C9481" s="8">
        <v>20.478950000000001</v>
      </c>
      <c r="D9481" s="8">
        <v>55</v>
      </c>
      <c r="E9481" s="8">
        <v>0</v>
      </c>
      <c r="F9481" s="8">
        <v>0</v>
      </c>
      <c r="G9481" s="8">
        <v>12</v>
      </c>
      <c r="H9481" s="8" t="s">
        <v>44600</v>
      </c>
      <c r="I9481" s="8">
        <v>526.6875</v>
      </c>
      <c r="J9481" s="3">
        <f t="shared" si="148"/>
        <v>43749.16763841435</v>
      </c>
    </row>
    <row r="9482" spans="1:10" x14ac:dyDescent="0.25">
      <c r="A9482" s="5" t="s">
        <v>44601</v>
      </c>
      <c r="B9482" s="6">
        <v>393.75</v>
      </c>
      <c r="C9482" s="6">
        <v>20.426300000000001</v>
      </c>
      <c r="D9482" s="6">
        <v>55</v>
      </c>
      <c r="E9482" s="6">
        <v>0</v>
      </c>
      <c r="F9482" s="6">
        <v>0</v>
      </c>
      <c r="G9482" s="6">
        <v>11</v>
      </c>
      <c r="H9482" s="6" t="s">
        <v>44602</v>
      </c>
      <c r="I9482" s="6">
        <v>526.6875</v>
      </c>
      <c r="J9482" s="2">
        <f t="shared" si="148"/>
        <v>43749.167709942129</v>
      </c>
    </row>
    <row r="9483" spans="1:10" x14ac:dyDescent="0.25">
      <c r="A9483" s="7" t="s">
        <v>44603</v>
      </c>
      <c r="B9483" s="8">
        <v>393.75</v>
      </c>
      <c r="C9483" s="8">
        <v>20.478950000000001</v>
      </c>
      <c r="D9483" s="8">
        <v>55</v>
      </c>
      <c r="E9483" s="8">
        <v>0</v>
      </c>
      <c r="F9483" s="8">
        <v>0</v>
      </c>
      <c r="G9483" s="8">
        <v>12</v>
      </c>
      <c r="H9483" s="8" t="s">
        <v>44604</v>
      </c>
      <c r="I9483" s="8">
        <v>526.6875</v>
      </c>
      <c r="J9483" s="3">
        <f t="shared" si="148"/>
        <v>43749.167793217588</v>
      </c>
    </row>
    <row r="9484" spans="1:10" x14ac:dyDescent="0.25">
      <c r="A9484" s="5" t="s">
        <v>44605</v>
      </c>
      <c r="B9484" s="6">
        <v>393.75</v>
      </c>
      <c r="C9484" s="6">
        <v>20.478950000000001</v>
      </c>
      <c r="D9484" s="6">
        <v>55</v>
      </c>
      <c r="E9484" s="6">
        <v>0</v>
      </c>
      <c r="F9484" s="6">
        <v>0</v>
      </c>
      <c r="G9484" s="6">
        <v>8</v>
      </c>
      <c r="H9484" s="6" t="s">
        <v>44606</v>
      </c>
      <c r="I9484" s="6">
        <v>526.5</v>
      </c>
      <c r="J9484" s="2">
        <f t="shared" si="148"/>
        <v>43749.167864907409</v>
      </c>
    </row>
    <row r="9485" spans="1:10" x14ac:dyDescent="0.25">
      <c r="A9485" s="7" t="s">
        <v>44607</v>
      </c>
      <c r="B9485" s="8">
        <v>393.75</v>
      </c>
      <c r="C9485" s="8">
        <v>20.478950000000001</v>
      </c>
      <c r="D9485" s="8">
        <v>55</v>
      </c>
      <c r="E9485" s="8">
        <v>0</v>
      </c>
      <c r="F9485" s="8">
        <v>0</v>
      </c>
      <c r="G9485" s="8">
        <v>2</v>
      </c>
      <c r="H9485" s="8" t="s">
        <v>44608</v>
      </c>
      <c r="I9485" s="8">
        <v>526.6875</v>
      </c>
      <c r="J9485" s="3">
        <f t="shared" si="148"/>
        <v>43749.167960069441</v>
      </c>
    </row>
    <row r="9486" spans="1:10" x14ac:dyDescent="0.25">
      <c r="A9486" s="5" t="s">
        <v>44609</v>
      </c>
      <c r="B9486" s="6">
        <v>393.75</v>
      </c>
      <c r="C9486" s="6">
        <v>20.478950000000001</v>
      </c>
      <c r="D9486" s="6">
        <v>55</v>
      </c>
      <c r="E9486" s="6">
        <v>0</v>
      </c>
      <c r="F9486" s="6">
        <v>0</v>
      </c>
      <c r="G9486" s="6">
        <v>7</v>
      </c>
      <c r="H9486" s="6" t="s">
        <v>44610</v>
      </c>
      <c r="I9486" s="6">
        <v>526.6875</v>
      </c>
      <c r="J9486" s="2">
        <f t="shared" si="148"/>
        <v>43749.16803152777</v>
      </c>
    </row>
    <row r="9487" spans="1:10" x14ac:dyDescent="0.25">
      <c r="A9487" s="7" t="s">
        <v>44611</v>
      </c>
      <c r="B9487" s="8">
        <v>393.75</v>
      </c>
      <c r="C9487" s="8">
        <v>20.478950000000001</v>
      </c>
      <c r="D9487" s="8">
        <v>51</v>
      </c>
      <c r="E9487" s="8">
        <v>0</v>
      </c>
      <c r="F9487" s="8">
        <v>0</v>
      </c>
      <c r="G9487" s="8">
        <v>13</v>
      </c>
      <c r="H9487" s="8" t="s">
        <v>44612</v>
      </c>
      <c r="I9487" s="8">
        <v>526.6875</v>
      </c>
      <c r="J9487" s="3">
        <f t="shared" si="148"/>
        <v>43749.168115532404</v>
      </c>
    </row>
    <row r="9488" spans="1:10" x14ac:dyDescent="0.25">
      <c r="A9488" s="5" t="s">
        <v>44613</v>
      </c>
      <c r="B9488" s="6">
        <v>393.75</v>
      </c>
      <c r="C9488" s="6">
        <v>20.478950000000001</v>
      </c>
      <c r="D9488" s="6">
        <v>53</v>
      </c>
      <c r="E9488" s="6">
        <v>0</v>
      </c>
      <c r="F9488" s="6">
        <v>0</v>
      </c>
      <c r="G9488" s="6">
        <v>4</v>
      </c>
      <c r="H9488" s="6" t="s">
        <v>44614</v>
      </c>
      <c r="I9488" s="6">
        <v>526.6875</v>
      </c>
      <c r="J9488" s="2">
        <f t="shared" si="148"/>
        <v>43749.168198831016</v>
      </c>
    </row>
    <row r="9489" spans="1:10" x14ac:dyDescent="0.25">
      <c r="A9489" s="7" t="s">
        <v>44615</v>
      </c>
      <c r="B9489" s="8">
        <v>393.75</v>
      </c>
      <c r="C9489" s="8">
        <v>20.478950000000001</v>
      </c>
      <c r="D9489" s="8">
        <v>53</v>
      </c>
      <c r="E9489" s="8">
        <v>0</v>
      </c>
      <c r="F9489" s="8">
        <v>0</v>
      </c>
      <c r="G9489" s="8">
        <v>7</v>
      </c>
      <c r="H9489" s="8" t="s">
        <v>44616</v>
      </c>
      <c r="I9489" s="8">
        <v>526.6875</v>
      </c>
      <c r="J9489" s="3">
        <f t="shared" si="148"/>
        <v>43749.168282245366</v>
      </c>
    </row>
    <row r="9490" spans="1:10" x14ac:dyDescent="0.25">
      <c r="A9490" s="5" t="s">
        <v>44617</v>
      </c>
      <c r="B9490" s="6">
        <v>415.625</v>
      </c>
      <c r="C9490" s="6">
        <v>20.478950000000001</v>
      </c>
      <c r="D9490" s="6">
        <v>53</v>
      </c>
      <c r="E9490" s="6">
        <v>0</v>
      </c>
      <c r="F9490" s="6">
        <v>0</v>
      </c>
      <c r="G9490" s="6">
        <v>4</v>
      </c>
      <c r="H9490" s="6" t="s">
        <v>44618</v>
      </c>
      <c r="I9490" s="6">
        <v>533.25</v>
      </c>
      <c r="J9490" s="2">
        <f t="shared" si="148"/>
        <v>43749.168353923604</v>
      </c>
    </row>
    <row r="9491" spans="1:10" x14ac:dyDescent="0.25">
      <c r="A9491" s="7" t="s">
        <v>44619</v>
      </c>
      <c r="B9491" s="8">
        <v>393.75</v>
      </c>
      <c r="C9491" s="8">
        <v>20.478950000000001</v>
      </c>
      <c r="D9491" s="8">
        <v>54</v>
      </c>
      <c r="E9491" s="8">
        <v>0</v>
      </c>
      <c r="F9491" s="8">
        <v>0</v>
      </c>
      <c r="G9491" s="8">
        <v>14</v>
      </c>
      <c r="H9491" s="8" t="s">
        <v>44620</v>
      </c>
      <c r="I9491" s="8">
        <v>526.6875</v>
      </c>
      <c r="J9491" s="3">
        <f t="shared" si="148"/>
        <v>43749.16843734953</v>
      </c>
    </row>
    <row r="9492" spans="1:10" x14ac:dyDescent="0.25">
      <c r="A9492" s="5" t="s">
        <v>44621</v>
      </c>
      <c r="B9492" s="6">
        <v>393.75</v>
      </c>
      <c r="C9492" s="6">
        <v>20.478950000000001</v>
      </c>
      <c r="D9492" s="6">
        <v>53</v>
      </c>
      <c r="E9492" s="6">
        <v>0</v>
      </c>
      <c r="F9492" s="6">
        <v>0</v>
      </c>
      <c r="G9492" s="6">
        <v>10</v>
      </c>
      <c r="H9492" s="6" t="s">
        <v>44622</v>
      </c>
      <c r="I9492" s="6">
        <v>526.6875</v>
      </c>
      <c r="J9492" s="2">
        <f t="shared" si="148"/>
        <v>43749.168508888884</v>
      </c>
    </row>
    <row r="9493" spans="1:10" x14ac:dyDescent="0.25">
      <c r="A9493" s="7" t="s">
        <v>44623</v>
      </c>
      <c r="B9493" s="8">
        <v>393.75</v>
      </c>
      <c r="C9493" s="8">
        <v>20.478950000000001</v>
      </c>
      <c r="D9493" s="8">
        <v>54</v>
      </c>
      <c r="E9493" s="8">
        <v>0</v>
      </c>
      <c r="F9493" s="8">
        <v>0</v>
      </c>
      <c r="G9493" s="8">
        <v>14</v>
      </c>
      <c r="H9493" s="8" t="s">
        <v>44624</v>
      </c>
      <c r="I9493" s="8">
        <v>526.6875</v>
      </c>
      <c r="J9493" s="3">
        <f t="shared" si="148"/>
        <v>43749.168580486112</v>
      </c>
    </row>
    <row r="9494" spans="1:10" x14ac:dyDescent="0.25">
      <c r="A9494" s="5" t="s">
        <v>44625</v>
      </c>
      <c r="B9494" s="6">
        <v>393.75</v>
      </c>
      <c r="C9494" s="6">
        <v>20.478950000000001</v>
      </c>
      <c r="D9494" s="6">
        <v>54</v>
      </c>
      <c r="E9494" s="6">
        <v>0</v>
      </c>
      <c r="F9494" s="6">
        <v>0</v>
      </c>
      <c r="G9494" s="6">
        <v>4</v>
      </c>
      <c r="H9494" s="6" t="s">
        <v>44626</v>
      </c>
      <c r="I9494" s="6">
        <v>526.6875</v>
      </c>
      <c r="J9494" s="2">
        <f t="shared" si="148"/>
        <v>43749.168663576384</v>
      </c>
    </row>
    <row r="9495" spans="1:10" x14ac:dyDescent="0.25">
      <c r="A9495" s="7" t="s">
        <v>44627</v>
      </c>
      <c r="B9495" s="8">
        <v>393.75</v>
      </c>
      <c r="C9495" s="8">
        <v>20.478950000000001</v>
      </c>
      <c r="D9495" s="8">
        <v>57</v>
      </c>
      <c r="E9495" s="8">
        <v>0</v>
      </c>
      <c r="F9495" s="8">
        <v>0</v>
      </c>
      <c r="G9495" s="8">
        <v>9</v>
      </c>
      <c r="H9495" s="8" t="s">
        <v>44628</v>
      </c>
      <c r="I9495" s="8">
        <v>526.6875</v>
      </c>
      <c r="J9495" s="3">
        <f t="shared" si="148"/>
        <v>43749.168735601845</v>
      </c>
    </row>
    <row r="9496" spans="1:10" x14ac:dyDescent="0.25">
      <c r="A9496" s="5" t="s">
        <v>44629</v>
      </c>
      <c r="B9496" s="6">
        <v>393.75</v>
      </c>
      <c r="C9496" s="6">
        <v>20.426300000000001</v>
      </c>
      <c r="D9496" s="6">
        <v>56</v>
      </c>
      <c r="E9496" s="6">
        <v>0</v>
      </c>
      <c r="F9496" s="6">
        <v>0</v>
      </c>
      <c r="G9496" s="6">
        <v>7</v>
      </c>
      <c r="H9496" s="6" t="s">
        <v>44630</v>
      </c>
      <c r="I9496" s="6">
        <v>526.6875</v>
      </c>
      <c r="J9496" s="2">
        <f t="shared" si="148"/>
        <v>43749.168819143517</v>
      </c>
    </row>
    <row r="9497" spans="1:10" x14ac:dyDescent="0.25">
      <c r="A9497" s="7" t="s">
        <v>44631</v>
      </c>
      <c r="B9497" s="8">
        <v>393.75</v>
      </c>
      <c r="C9497" s="8">
        <v>20.426300000000001</v>
      </c>
      <c r="D9497" s="8">
        <v>56</v>
      </c>
      <c r="E9497" s="8">
        <v>0</v>
      </c>
      <c r="F9497" s="8">
        <v>0</v>
      </c>
      <c r="G9497" s="8">
        <v>5</v>
      </c>
      <c r="H9497" s="8" t="s">
        <v>44632</v>
      </c>
      <c r="I9497" s="8">
        <v>526.6875</v>
      </c>
      <c r="J9497" s="3">
        <f t="shared" si="148"/>
        <v>43749.168890671295</v>
      </c>
    </row>
    <row r="9498" spans="1:10" x14ac:dyDescent="0.25">
      <c r="A9498" s="5" t="s">
        <v>44633</v>
      </c>
      <c r="B9498" s="6">
        <v>393.75</v>
      </c>
      <c r="C9498" s="6">
        <v>20.478950000000001</v>
      </c>
      <c r="D9498" s="6">
        <v>56</v>
      </c>
      <c r="E9498" s="6">
        <v>0</v>
      </c>
      <c r="F9498" s="6">
        <v>0</v>
      </c>
      <c r="G9498" s="6">
        <v>17</v>
      </c>
      <c r="H9498" s="6" t="s">
        <v>44634</v>
      </c>
      <c r="I9498" s="6">
        <v>526.6875</v>
      </c>
      <c r="J9498" s="2">
        <f t="shared" si="148"/>
        <v>43749.168974062493</v>
      </c>
    </row>
    <row r="9499" spans="1:10" x14ac:dyDescent="0.25">
      <c r="A9499" s="7" t="s">
        <v>44635</v>
      </c>
      <c r="B9499" s="8">
        <v>393.75</v>
      </c>
      <c r="C9499" s="8">
        <v>20.478950000000001</v>
      </c>
      <c r="D9499" s="8">
        <v>56</v>
      </c>
      <c r="E9499" s="8">
        <v>0</v>
      </c>
      <c r="F9499" s="8">
        <v>0</v>
      </c>
      <c r="G9499" s="8">
        <v>6</v>
      </c>
      <c r="H9499" s="8" t="s">
        <v>44636</v>
      </c>
      <c r="I9499" s="8">
        <v>526.6875</v>
      </c>
      <c r="J9499" s="3">
        <f t="shared" si="148"/>
        <v>43749.169057523141</v>
      </c>
    </row>
    <row r="9500" spans="1:10" x14ac:dyDescent="0.25">
      <c r="A9500" s="5" t="s">
        <v>44637</v>
      </c>
      <c r="B9500" s="6">
        <v>393.75</v>
      </c>
      <c r="C9500" s="6">
        <v>20.478950000000001</v>
      </c>
      <c r="D9500" s="6">
        <v>52</v>
      </c>
      <c r="E9500" s="6">
        <v>0</v>
      </c>
      <c r="F9500" s="6">
        <v>0</v>
      </c>
      <c r="G9500" s="6">
        <v>11</v>
      </c>
      <c r="H9500" s="6" t="s">
        <v>44638</v>
      </c>
      <c r="I9500" s="6">
        <v>526.5</v>
      </c>
      <c r="J9500" s="2">
        <f t="shared" si="148"/>
        <v>43749.169141018516</v>
      </c>
    </row>
    <row r="9501" spans="1:10" x14ac:dyDescent="0.25">
      <c r="A9501" s="7" t="s">
        <v>44639</v>
      </c>
      <c r="B9501" s="8">
        <v>393.75</v>
      </c>
      <c r="C9501" s="8">
        <v>20.478950000000001</v>
      </c>
      <c r="D9501" s="8">
        <v>53</v>
      </c>
      <c r="E9501" s="8">
        <v>0</v>
      </c>
      <c r="F9501" s="8">
        <v>0</v>
      </c>
      <c r="G9501" s="8">
        <v>8</v>
      </c>
      <c r="H9501" s="8" t="s">
        <v>44640</v>
      </c>
      <c r="I9501" s="8">
        <v>526.5</v>
      </c>
      <c r="J9501" s="3">
        <f t="shared" si="148"/>
        <v>43749.169212546294</v>
      </c>
    </row>
    <row r="9502" spans="1:10" x14ac:dyDescent="0.25">
      <c r="A9502" s="5" t="s">
        <v>44641</v>
      </c>
      <c r="B9502" s="6">
        <v>425</v>
      </c>
      <c r="C9502" s="6">
        <v>20.478950000000001</v>
      </c>
      <c r="D9502" s="6">
        <v>55</v>
      </c>
      <c r="E9502" s="6">
        <v>0</v>
      </c>
      <c r="F9502" s="6">
        <v>0</v>
      </c>
      <c r="G9502" s="6">
        <v>7</v>
      </c>
      <c r="H9502" s="6" t="s">
        <v>44642</v>
      </c>
      <c r="I9502" s="6">
        <v>536.8125</v>
      </c>
      <c r="J9502" s="2">
        <f t="shared" si="148"/>
        <v>43749.169284062496</v>
      </c>
    </row>
    <row r="9503" spans="1:10" x14ac:dyDescent="0.25">
      <c r="A9503" s="7" t="s">
        <v>44643</v>
      </c>
      <c r="B9503" s="8">
        <v>393.75</v>
      </c>
      <c r="C9503" s="8">
        <v>20.478950000000001</v>
      </c>
      <c r="D9503" s="8">
        <v>55</v>
      </c>
      <c r="E9503" s="8">
        <v>0</v>
      </c>
      <c r="F9503" s="8">
        <v>0</v>
      </c>
      <c r="G9503" s="8">
        <v>8</v>
      </c>
      <c r="H9503" s="8" t="s">
        <v>44644</v>
      </c>
      <c r="I9503" s="8">
        <v>526.6875</v>
      </c>
      <c r="J9503" s="3">
        <f t="shared" si="148"/>
        <v>43749.169367291666</v>
      </c>
    </row>
    <row r="9504" spans="1:10" x14ac:dyDescent="0.25">
      <c r="A9504" s="5" t="s">
        <v>44645</v>
      </c>
      <c r="B9504" s="6">
        <v>393.75</v>
      </c>
      <c r="C9504" s="6">
        <v>20.478950000000001</v>
      </c>
      <c r="D9504" s="6">
        <v>55</v>
      </c>
      <c r="E9504" s="6">
        <v>0</v>
      </c>
      <c r="F9504" s="6">
        <v>0</v>
      </c>
      <c r="G9504" s="6">
        <v>11</v>
      </c>
      <c r="H9504" s="6" t="s">
        <v>44646</v>
      </c>
      <c r="I9504" s="6">
        <v>526.6875</v>
      </c>
      <c r="J9504" s="2">
        <f t="shared" si="148"/>
        <v>43749.169439074067</v>
      </c>
    </row>
    <row r="9505" spans="1:10" x14ac:dyDescent="0.25">
      <c r="A9505" s="7" t="s">
        <v>44647</v>
      </c>
      <c r="B9505" s="8">
        <v>393.75</v>
      </c>
      <c r="C9505" s="8">
        <v>20.478950000000001</v>
      </c>
      <c r="D9505" s="8">
        <v>55</v>
      </c>
      <c r="E9505" s="8">
        <v>0</v>
      </c>
      <c r="F9505" s="8">
        <v>0</v>
      </c>
      <c r="G9505" s="8">
        <v>0</v>
      </c>
      <c r="H9505" s="8" t="s">
        <v>44648</v>
      </c>
      <c r="I9505" s="8">
        <v>526.5</v>
      </c>
      <c r="J9505" s="3">
        <f t="shared" si="148"/>
        <v>43749.169522557866</v>
      </c>
    </row>
    <row r="9506" spans="1:10" x14ac:dyDescent="0.25">
      <c r="A9506" s="5" t="s">
        <v>44649</v>
      </c>
      <c r="B9506" s="6">
        <v>393.75</v>
      </c>
      <c r="C9506" s="6">
        <v>20.478950000000001</v>
      </c>
      <c r="D9506" s="6">
        <v>55</v>
      </c>
      <c r="E9506" s="6">
        <v>0</v>
      </c>
      <c r="F9506" s="6">
        <v>0</v>
      </c>
      <c r="G9506" s="6">
        <v>18</v>
      </c>
      <c r="H9506" s="6" t="s">
        <v>44650</v>
      </c>
      <c r="I9506" s="6">
        <v>526.6875</v>
      </c>
      <c r="J9506" s="2">
        <f t="shared" si="148"/>
        <v>43749.169606064817</v>
      </c>
    </row>
    <row r="9507" spans="1:10" x14ac:dyDescent="0.25">
      <c r="A9507" s="7" t="s">
        <v>44651</v>
      </c>
      <c r="B9507" s="8">
        <v>412.5</v>
      </c>
      <c r="C9507" s="8">
        <v>20.478950000000001</v>
      </c>
      <c r="D9507" s="8">
        <v>56</v>
      </c>
      <c r="E9507" s="8">
        <v>0</v>
      </c>
      <c r="F9507" s="8">
        <v>0</v>
      </c>
      <c r="G9507" s="8">
        <v>8</v>
      </c>
      <c r="H9507" s="8" t="s">
        <v>44652</v>
      </c>
      <c r="I9507" s="8">
        <v>532.5</v>
      </c>
      <c r="J9507" s="3">
        <f t="shared" si="148"/>
        <v>43749.16970111111</v>
      </c>
    </row>
    <row r="9508" spans="1:10" x14ac:dyDescent="0.25">
      <c r="A9508" s="5" t="s">
        <v>44653</v>
      </c>
      <c r="B9508" s="6">
        <v>393.75</v>
      </c>
      <c r="C9508" s="6">
        <v>20.478950000000001</v>
      </c>
      <c r="D9508" s="6">
        <v>56</v>
      </c>
      <c r="E9508" s="6">
        <v>0</v>
      </c>
      <c r="F9508" s="6">
        <v>0</v>
      </c>
      <c r="G9508" s="6">
        <v>8</v>
      </c>
      <c r="H9508" s="6" t="s">
        <v>44654</v>
      </c>
      <c r="I9508" s="6">
        <v>526.6875</v>
      </c>
      <c r="J9508" s="2">
        <f t="shared" si="148"/>
        <v>43749.16977296296</v>
      </c>
    </row>
    <row r="9509" spans="1:10" x14ac:dyDescent="0.25">
      <c r="A9509" s="7" t="s">
        <v>44655</v>
      </c>
      <c r="B9509" s="8">
        <v>393.75</v>
      </c>
      <c r="C9509" s="8">
        <v>20.478950000000001</v>
      </c>
      <c r="D9509" s="8">
        <v>55</v>
      </c>
      <c r="E9509" s="8">
        <v>0</v>
      </c>
      <c r="F9509" s="8">
        <v>0</v>
      </c>
      <c r="G9509" s="8">
        <v>9</v>
      </c>
      <c r="H9509" s="8" t="s">
        <v>44656</v>
      </c>
      <c r="I9509" s="8">
        <v>526.6875</v>
      </c>
      <c r="J9509" s="3">
        <f t="shared" si="148"/>
        <v>43749.169856180553</v>
      </c>
    </row>
    <row r="9510" spans="1:10" x14ac:dyDescent="0.25">
      <c r="A9510" s="5" t="s">
        <v>44657</v>
      </c>
      <c r="B9510" s="6">
        <v>412.5</v>
      </c>
      <c r="C9510" s="6">
        <v>20.478950000000001</v>
      </c>
      <c r="D9510" s="6">
        <v>55</v>
      </c>
      <c r="E9510" s="6">
        <v>0</v>
      </c>
      <c r="F9510" s="6">
        <v>0</v>
      </c>
      <c r="G9510" s="6">
        <v>11</v>
      </c>
      <c r="H9510" s="6" t="s">
        <v>44658</v>
      </c>
      <c r="I9510" s="6">
        <v>532.125</v>
      </c>
      <c r="J9510" s="2">
        <f t="shared" si="148"/>
        <v>43749.169927939809</v>
      </c>
    </row>
    <row r="9511" spans="1:10" x14ac:dyDescent="0.25">
      <c r="A9511" s="7" t="s">
        <v>44659</v>
      </c>
      <c r="B9511" s="8">
        <v>393.75</v>
      </c>
      <c r="C9511" s="8">
        <v>20.478950000000001</v>
      </c>
      <c r="D9511" s="8">
        <v>55</v>
      </c>
      <c r="E9511" s="8">
        <v>0</v>
      </c>
      <c r="F9511" s="8">
        <v>0</v>
      </c>
      <c r="G9511" s="8">
        <v>8</v>
      </c>
      <c r="H9511" s="8" t="s">
        <v>44660</v>
      </c>
      <c r="I9511" s="8">
        <v>526.6875</v>
      </c>
      <c r="J9511" s="3">
        <f t="shared" si="148"/>
        <v>43749.170011388887</v>
      </c>
    </row>
    <row r="9512" spans="1:10" x14ac:dyDescent="0.25">
      <c r="A9512" s="5" t="s">
        <v>44661</v>
      </c>
      <c r="B9512" s="6">
        <v>393.75</v>
      </c>
      <c r="C9512" s="6">
        <v>20.478950000000001</v>
      </c>
      <c r="D9512" s="6">
        <v>55</v>
      </c>
      <c r="E9512" s="6">
        <v>0</v>
      </c>
      <c r="F9512" s="6">
        <v>0</v>
      </c>
      <c r="G9512" s="6">
        <v>9</v>
      </c>
      <c r="H9512" s="6" t="s">
        <v>44662</v>
      </c>
      <c r="I9512" s="6">
        <v>526.6875</v>
      </c>
      <c r="J9512" s="2">
        <f t="shared" si="148"/>
        <v>43749.170082974531</v>
      </c>
    </row>
    <row r="9513" spans="1:10" x14ac:dyDescent="0.25">
      <c r="A9513" s="7" t="s">
        <v>44663</v>
      </c>
      <c r="B9513" s="8">
        <v>393.75</v>
      </c>
      <c r="C9513" s="8">
        <v>20.478950000000001</v>
      </c>
      <c r="D9513" s="8">
        <v>54</v>
      </c>
      <c r="E9513" s="8">
        <v>0</v>
      </c>
      <c r="F9513" s="8">
        <v>0</v>
      </c>
      <c r="G9513" s="8">
        <v>7</v>
      </c>
      <c r="H9513" s="8" t="s">
        <v>44664</v>
      </c>
      <c r="I9513" s="8">
        <v>526.6875</v>
      </c>
      <c r="J9513" s="3">
        <f t="shared" si="148"/>
        <v>43749.170154340274</v>
      </c>
    </row>
    <row r="9514" spans="1:10" x14ac:dyDescent="0.25">
      <c r="A9514" s="5" t="s">
        <v>44665</v>
      </c>
      <c r="B9514" s="6">
        <v>393.75</v>
      </c>
      <c r="C9514" s="6">
        <v>20.478950000000001</v>
      </c>
      <c r="D9514" s="6">
        <v>55</v>
      </c>
      <c r="E9514" s="6">
        <v>0</v>
      </c>
      <c r="F9514" s="6">
        <v>0</v>
      </c>
      <c r="G9514" s="6">
        <v>12</v>
      </c>
      <c r="H9514" s="6" t="s">
        <v>44666</v>
      </c>
      <c r="I9514" s="6">
        <v>526.6875</v>
      </c>
      <c r="J9514" s="2">
        <f t="shared" si="148"/>
        <v>43749.170237662031</v>
      </c>
    </row>
    <row r="9515" spans="1:10" x14ac:dyDescent="0.25">
      <c r="A9515" s="7" t="s">
        <v>44667</v>
      </c>
      <c r="B9515" s="8">
        <v>393.75</v>
      </c>
      <c r="C9515" s="8">
        <v>20.478950000000001</v>
      </c>
      <c r="D9515" s="8">
        <v>56</v>
      </c>
      <c r="E9515" s="8">
        <v>0</v>
      </c>
      <c r="F9515" s="8">
        <v>0</v>
      </c>
      <c r="G9515" s="8">
        <v>0</v>
      </c>
      <c r="H9515" s="8" t="s">
        <v>44668</v>
      </c>
      <c r="I9515" s="8">
        <v>526.6875</v>
      </c>
      <c r="J9515" s="3">
        <f t="shared" si="148"/>
        <v>43749.170309513887</v>
      </c>
    </row>
    <row r="9516" spans="1:10" x14ac:dyDescent="0.25">
      <c r="A9516" s="5" t="s">
        <v>44669</v>
      </c>
      <c r="B9516" s="6">
        <v>393.75</v>
      </c>
      <c r="C9516" s="6">
        <v>20.478950000000001</v>
      </c>
      <c r="D9516" s="6">
        <v>56</v>
      </c>
      <c r="E9516" s="6">
        <v>0</v>
      </c>
      <c r="F9516" s="6">
        <v>0</v>
      </c>
      <c r="G9516" s="6">
        <v>14</v>
      </c>
      <c r="H9516" s="6" t="s">
        <v>44670</v>
      </c>
      <c r="I9516" s="6">
        <v>526.5</v>
      </c>
      <c r="J9516" s="2">
        <f t="shared" si="148"/>
        <v>43749.170392962966</v>
      </c>
    </row>
    <row r="9517" spans="1:10" x14ac:dyDescent="0.25">
      <c r="A9517" s="7" t="s">
        <v>44671</v>
      </c>
      <c r="B9517" s="8">
        <v>393.75</v>
      </c>
      <c r="C9517" s="8">
        <v>20.478950000000001</v>
      </c>
      <c r="D9517" s="8">
        <v>56</v>
      </c>
      <c r="E9517" s="8">
        <v>0</v>
      </c>
      <c r="F9517" s="8">
        <v>0</v>
      </c>
      <c r="G9517" s="8">
        <v>15</v>
      </c>
      <c r="H9517" s="8" t="s">
        <v>44672</v>
      </c>
      <c r="I9517" s="8">
        <v>526.6875</v>
      </c>
      <c r="J9517" s="3">
        <f t="shared" si="148"/>
        <v>43749.170476435182</v>
      </c>
    </row>
    <row r="9518" spans="1:10" x14ac:dyDescent="0.25">
      <c r="A9518" s="5" t="s">
        <v>44673</v>
      </c>
      <c r="B9518" s="6">
        <v>393.75</v>
      </c>
      <c r="C9518" s="6">
        <v>20.426300000000001</v>
      </c>
      <c r="D9518" s="6">
        <v>56</v>
      </c>
      <c r="E9518" s="6">
        <v>0</v>
      </c>
      <c r="F9518" s="6">
        <v>0</v>
      </c>
      <c r="G9518" s="6">
        <v>9</v>
      </c>
      <c r="H9518" s="6" t="s">
        <v>44674</v>
      </c>
      <c r="I9518" s="6">
        <v>526.6875</v>
      </c>
      <c r="J9518" s="2">
        <f t="shared" si="148"/>
        <v>43749.170575046293</v>
      </c>
    </row>
    <row r="9519" spans="1:10" x14ac:dyDescent="0.25">
      <c r="A9519" s="7" t="s">
        <v>44675</v>
      </c>
      <c r="B9519" s="8">
        <v>393.75</v>
      </c>
      <c r="C9519" s="8">
        <v>20.478950000000001</v>
      </c>
      <c r="D9519" s="8">
        <v>56</v>
      </c>
      <c r="E9519" s="8">
        <v>0</v>
      </c>
      <c r="F9519" s="8">
        <v>0</v>
      </c>
      <c r="G9519" s="8">
        <v>6</v>
      </c>
      <c r="H9519" s="8" t="s">
        <v>44676</v>
      </c>
      <c r="I9519" s="8">
        <v>526.6875</v>
      </c>
      <c r="J9519" s="3">
        <f t="shared" si="148"/>
        <v>43749.170655358794</v>
      </c>
    </row>
    <row r="9520" spans="1:10" x14ac:dyDescent="0.25">
      <c r="A9520" s="5" t="s">
        <v>44677</v>
      </c>
      <c r="B9520" s="6">
        <v>393.75</v>
      </c>
      <c r="C9520" s="6">
        <v>20.478950000000001</v>
      </c>
      <c r="D9520" s="6">
        <v>56</v>
      </c>
      <c r="E9520" s="6">
        <v>0</v>
      </c>
      <c r="F9520" s="6">
        <v>0</v>
      </c>
      <c r="G9520" s="6">
        <v>18</v>
      </c>
      <c r="H9520" s="6" t="s">
        <v>44678</v>
      </c>
      <c r="I9520" s="6">
        <v>526.6875</v>
      </c>
      <c r="J9520" s="2">
        <f t="shared" si="148"/>
        <v>43749.170726504628</v>
      </c>
    </row>
    <row r="9521" spans="1:10" x14ac:dyDescent="0.25">
      <c r="A9521" s="7" t="s">
        <v>44679</v>
      </c>
      <c r="B9521" s="8">
        <v>412.5</v>
      </c>
      <c r="C9521" s="8">
        <v>20.478950000000001</v>
      </c>
      <c r="D9521" s="8">
        <v>53</v>
      </c>
      <c r="E9521" s="8">
        <v>0</v>
      </c>
      <c r="F9521" s="8">
        <v>0</v>
      </c>
      <c r="G9521" s="8">
        <v>13</v>
      </c>
      <c r="H9521" s="8" t="s">
        <v>44680</v>
      </c>
      <c r="I9521" s="8">
        <v>532.3125</v>
      </c>
      <c r="J9521" s="3">
        <f t="shared" si="148"/>
        <v>43749.170798078696</v>
      </c>
    </row>
    <row r="9522" spans="1:10" x14ac:dyDescent="0.25">
      <c r="A9522" s="5" t="s">
        <v>44681</v>
      </c>
      <c r="B9522" s="6">
        <v>393.75</v>
      </c>
      <c r="C9522" s="6">
        <v>20.426300000000001</v>
      </c>
      <c r="D9522" s="6">
        <v>53</v>
      </c>
      <c r="E9522" s="6">
        <v>0</v>
      </c>
      <c r="F9522" s="6">
        <v>0</v>
      </c>
      <c r="G9522" s="6">
        <v>13</v>
      </c>
      <c r="H9522" s="6" t="s">
        <v>44682</v>
      </c>
      <c r="I9522" s="6">
        <v>526.6875</v>
      </c>
      <c r="J9522" s="2">
        <f t="shared" si="148"/>
        <v>43749.170869803238</v>
      </c>
    </row>
    <row r="9523" spans="1:10" x14ac:dyDescent="0.25">
      <c r="A9523" s="7" t="s">
        <v>44683</v>
      </c>
      <c r="B9523" s="8">
        <v>393.75</v>
      </c>
      <c r="C9523" s="8">
        <v>20.426300000000001</v>
      </c>
      <c r="D9523" s="8">
        <v>53</v>
      </c>
      <c r="E9523" s="8">
        <v>0</v>
      </c>
      <c r="F9523" s="8">
        <v>0</v>
      </c>
      <c r="G9523" s="8">
        <v>4</v>
      </c>
      <c r="H9523" s="8" t="s">
        <v>44684</v>
      </c>
      <c r="I9523" s="8">
        <v>526.5</v>
      </c>
      <c r="J9523" s="3">
        <f t="shared" si="148"/>
        <v>43749.170941331016</v>
      </c>
    </row>
    <row r="9524" spans="1:10" x14ac:dyDescent="0.25">
      <c r="A9524" s="5" t="s">
        <v>44685</v>
      </c>
      <c r="B9524" s="6">
        <v>393.75</v>
      </c>
      <c r="C9524" s="6">
        <v>20.478950000000001</v>
      </c>
      <c r="D9524" s="6">
        <v>52</v>
      </c>
      <c r="E9524" s="6">
        <v>0</v>
      </c>
      <c r="F9524" s="6">
        <v>0</v>
      </c>
      <c r="G9524" s="6">
        <v>19</v>
      </c>
      <c r="H9524" s="6" t="s">
        <v>44686</v>
      </c>
      <c r="I9524" s="6">
        <v>526.6875</v>
      </c>
      <c r="J9524" s="2">
        <f t="shared" si="148"/>
        <v>43749.171012962957</v>
      </c>
    </row>
    <row r="9525" spans="1:10" x14ac:dyDescent="0.25">
      <c r="A9525" s="7" t="s">
        <v>44687</v>
      </c>
      <c r="B9525" s="8">
        <v>415.625</v>
      </c>
      <c r="C9525" s="8">
        <v>20.426300000000001</v>
      </c>
      <c r="D9525" s="8">
        <v>52</v>
      </c>
      <c r="E9525" s="8">
        <v>0</v>
      </c>
      <c r="F9525" s="8">
        <v>0</v>
      </c>
      <c r="G9525" s="8">
        <v>6</v>
      </c>
      <c r="H9525" s="8" t="s">
        <v>44688</v>
      </c>
      <c r="I9525" s="8">
        <v>533.8125</v>
      </c>
      <c r="J9525" s="3">
        <f t="shared" si="148"/>
        <v>43749.171084444439</v>
      </c>
    </row>
    <row r="9526" spans="1:10" x14ac:dyDescent="0.25">
      <c r="A9526" s="5" t="s">
        <v>44689</v>
      </c>
      <c r="B9526" s="6">
        <v>393.75</v>
      </c>
      <c r="C9526" s="6">
        <v>20.426300000000001</v>
      </c>
      <c r="D9526" s="6">
        <v>53</v>
      </c>
      <c r="E9526" s="6">
        <v>0</v>
      </c>
      <c r="F9526" s="6">
        <v>0</v>
      </c>
      <c r="G9526" s="6">
        <v>7</v>
      </c>
      <c r="H9526" s="6" t="s">
        <v>44690</v>
      </c>
      <c r="I9526" s="6">
        <v>526.6875</v>
      </c>
      <c r="J9526" s="2">
        <f t="shared" si="148"/>
        <v>43749.17115613426</v>
      </c>
    </row>
    <row r="9527" spans="1:10" x14ac:dyDescent="0.25">
      <c r="A9527" s="7" t="s">
        <v>44691</v>
      </c>
      <c r="B9527" s="8">
        <v>393.75</v>
      </c>
      <c r="C9527" s="8">
        <v>20.478950000000001</v>
      </c>
      <c r="D9527" s="8">
        <v>53</v>
      </c>
      <c r="E9527" s="8">
        <v>0</v>
      </c>
      <c r="F9527" s="8">
        <v>0</v>
      </c>
      <c r="G9527" s="8">
        <v>8</v>
      </c>
      <c r="H9527" s="8" t="s">
        <v>44692</v>
      </c>
      <c r="I9527" s="8">
        <v>526.6875</v>
      </c>
      <c r="J9527" s="3">
        <f t="shared" si="148"/>
        <v>43749.171227557868</v>
      </c>
    </row>
    <row r="9528" spans="1:10" x14ac:dyDescent="0.25">
      <c r="A9528" s="5" t="s">
        <v>44693</v>
      </c>
      <c r="B9528" s="6">
        <v>393.75</v>
      </c>
      <c r="C9528" s="6">
        <v>20.478950000000001</v>
      </c>
      <c r="D9528" s="6">
        <v>53</v>
      </c>
      <c r="E9528" s="6">
        <v>0</v>
      </c>
      <c r="F9528" s="6">
        <v>0</v>
      </c>
      <c r="G9528" s="6">
        <v>8</v>
      </c>
      <c r="H9528" s="6" t="s">
        <v>44694</v>
      </c>
      <c r="I9528" s="6">
        <v>526.5</v>
      </c>
      <c r="J9528" s="2">
        <f t="shared" si="148"/>
        <v>43749.171299236106</v>
      </c>
    </row>
    <row r="9529" spans="1:10" x14ac:dyDescent="0.25">
      <c r="A9529" s="7" t="s">
        <v>44695</v>
      </c>
      <c r="B9529" s="8">
        <v>393.75</v>
      </c>
      <c r="C9529" s="8">
        <v>20.478950000000001</v>
      </c>
      <c r="D9529" s="8">
        <v>53</v>
      </c>
      <c r="E9529" s="8">
        <v>0</v>
      </c>
      <c r="F9529" s="8">
        <v>0</v>
      </c>
      <c r="G9529" s="8">
        <v>0</v>
      </c>
      <c r="H9529" s="8" t="s">
        <v>44696</v>
      </c>
      <c r="I9529" s="8">
        <v>526.6875</v>
      </c>
      <c r="J9529" s="3">
        <f t="shared" si="148"/>
        <v>43749.171382766202</v>
      </c>
    </row>
    <row r="9530" spans="1:10" x14ac:dyDescent="0.25">
      <c r="A9530" s="5" t="s">
        <v>44697</v>
      </c>
      <c r="B9530" s="6">
        <v>393.75</v>
      </c>
      <c r="C9530" s="6">
        <v>20.478950000000001</v>
      </c>
      <c r="D9530" s="6">
        <v>54</v>
      </c>
      <c r="E9530" s="6">
        <v>0</v>
      </c>
      <c r="F9530" s="6">
        <v>0</v>
      </c>
      <c r="G9530" s="6">
        <v>16</v>
      </c>
      <c r="H9530" s="6" t="s">
        <v>44698</v>
      </c>
      <c r="I9530" s="6">
        <v>526.6875</v>
      </c>
      <c r="J9530" s="2">
        <f t="shared" si="148"/>
        <v>43749.171454166666</v>
      </c>
    </row>
    <row r="9531" spans="1:10" x14ac:dyDescent="0.25">
      <c r="A9531" s="7" t="s">
        <v>44699</v>
      </c>
      <c r="B9531" s="8">
        <v>393.75</v>
      </c>
      <c r="C9531" s="8">
        <v>20.478950000000001</v>
      </c>
      <c r="D9531" s="8">
        <v>54</v>
      </c>
      <c r="E9531" s="8">
        <v>0</v>
      </c>
      <c r="F9531" s="8">
        <v>0</v>
      </c>
      <c r="G9531" s="8">
        <v>8</v>
      </c>
      <c r="H9531" s="8" t="s">
        <v>44700</v>
      </c>
      <c r="I9531" s="8">
        <v>526.6875</v>
      </c>
      <c r="J9531" s="3">
        <f t="shared" si="148"/>
        <v>43749.171525717589</v>
      </c>
    </row>
    <row r="9532" spans="1:10" x14ac:dyDescent="0.25">
      <c r="A9532" s="5" t="s">
        <v>44701</v>
      </c>
      <c r="B9532" s="6">
        <v>393.75</v>
      </c>
      <c r="C9532" s="6">
        <v>20.478950000000001</v>
      </c>
      <c r="D9532" s="6">
        <v>55</v>
      </c>
      <c r="E9532" s="6">
        <v>0</v>
      </c>
      <c r="F9532" s="6">
        <v>0</v>
      </c>
      <c r="G9532" s="6">
        <v>12</v>
      </c>
      <c r="H9532" s="6" t="s">
        <v>44702</v>
      </c>
      <c r="I9532" s="6">
        <v>526.6875</v>
      </c>
      <c r="J9532" s="2">
        <f t="shared" si="148"/>
        <v>43749.171608796292</v>
      </c>
    </row>
    <row r="9533" spans="1:10" x14ac:dyDescent="0.25">
      <c r="A9533" s="7" t="s">
        <v>44703</v>
      </c>
      <c r="B9533" s="8">
        <v>393.75</v>
      </c>
      <c r="C9533" s="8">
        <v>20.478950000000001</v>
      </c>
      <c r="D9533" s="8">
        <v>54</v>
      </c>
      <c r="E9533" s="8">
        <v>0</v>
      </c>
      <c r="F9533" s="8">
        <v>0</v>
      </c>
      <c r="G9533" s="8">
        <v>11</v>
      </c>
      <c r="H9533" s="8" t="s">
        <v>44704</v>
      </c>
      <c r="I9533" s="8">
        <v>526.6875</v>
      </c>
      <c r="J9533" s="3">
        <f t="shared" si="148"/>
        <v>43749.171704270826</v>
      </c>
    </row>
    <row r="9534" spans="1:10" x14ac:dyDescent="0.25">
      <c r="A9534" s="5" t="s">
        <v>44705</v>
      </c>
      <c r="B9534" s="6">
        <v>393.75</v>
      </c>
      <c r="C9534" s="6">
        <v>20.478950000000001</v>
      </c>
      <c r="D9534" s="6">
        <v>54</v>
      </c>
      <c r="E9534" s="6">
        <v>0</v>
      </c>
      <c r="F9534" s="6">
        <v>0</v>
      </c>
      <c r="G9534" s="6">
        <v>7</v>
      </c>
      <c r="H9534" s="6" t="s">
        <v>44706</v>
      </c>
      <c r="I9534" s="6">
        <v>526.6875</v>
      </c>
      <c r="J9534" s="2">
        <f t="shared" si="148"/>
        <v>43749.171776180556</v>
      </c>
    </row>
    <row r="9535" spans="1:10" x14ac:dyDescent="0.25">
      <c r="A9535" s="7" t="s">
        <v>44707</v>
      </c>
      <c r="B9535" s="8">
        <v>393.75</v>
      </c>
      <c r="C9535" s="8">
        <v>20.478950000000001</v>
      </c>
      <c r="D9535" s="8">
        <v>54</v>
      </c>
      <c r="E9535" s="8">
        <v>0</v>
      </c>
      <c r="F9535" s="8">
        <v>0</v>
      </c>
      <c r="G9535" s="8">
        <v>11</v>
      </c>
      <c r="H9535" s="8" t="s">
        <v>44708</v>
      </c>
      <c r="I9535" s="8">
        <v>526.6875</v>
      </c>
      <c r="J9535" s="3">
        <f t="shared" si="148"/>
        <v>43749.171871701386</v>
      </c>
    </row>
    <row r="9536" spans="1:10" x14ac:dyDescent="0.25">
      <c r="A9536" s="5" t="s">
        <v>44709</v>
      </c>
      <c r="B9536" s="6">
        <v>393.75</v>
      </c>
      <c r="C9536" s="6">
        <v>20.478950000000001</v>
      </c>
      <c r="D9536" s="6">
        <v>55</v>
      </c>
      <c r="E9536" s="6">
        <v>0</v>
      </c>
      <c r="F9536" s="6">
        <v>0</v>
      </c>
      <c r="G9536" s="6">
        <v>6</v>
      </c>
      <c r="H9536" s="6" t="s">
        <v>44710</v>
      </c>
      <c r="I9536" s="6">
        <v>526.6875</v>
      </c>
      <c r="J9536" s="2">
        <f t="shared" si="148"/>
        <v>43749.171943078698</v>
      </c>
    </row>
    <row r="9537" spans="1:10" x14ac:dyDescent="0.25">
      <c r="A9537" s="7" t="s">
        <v>44711</v>
      </c>
      <c r="B9537" s="8">
        <v>425</v>
      </c>
      <c r="C9537" s="8">
        <v>20.478950000000001</v>
      </c>
      <c r="D9537" s="8">
        <v>55</v>
      </c>
      <c r="E9537" s="8">
        <v>0</v>
      </c>
      <c r="F9537" s="8">
        <v>0</v>
      </c>
      <c r="G9537" s="8">
        <v>9</v>
      </c>
      <c r="H9537" s="8" t="s">
        <v>44712</v>
      </c>
      <c r="I9537" s="8">
        <v>536.625</v>
      </c>
      <c r="J9537" s="3">
        <f t="shared" si="148"/>
        <v>43749.1720265162</v>
      </c>
    </row>
    <row r="9538" spans="1:10" x14ac:dyDescent="0.25">
      <c r="A9538" s="5" t="s">
        <v>44713</v>
      </c>
      <c r="B9538" s="6">
        <v>393.75</v>
      </c>
      <c r="C9538" s="6">
        <v>20.478950000000001</v>
      </c>
      <c r="D9538" s="6">
        <v>55</v>
      </c>
      <c r="E9538" s="6">
        <v>0</v>
      </c>
      <c r="F9538" s="6">
        <v>0</v>
      </c>
      <c r="G9538" s="6">
        <v>3</v>
      </c>
      <c r="H9538" s="6" t="s">
        <v>44714</v>
      </c>
      <c r="I9538" s="6">
        <v>526.5</v>
      </c>
      <c r="J9538" s="2">
        <f t="shared" ref="J9538:J9601" si="149">(H9538/86400000)+25569+(7/24)</f>
        <v>43749.172098043979</v>
      </c>
    </row>
    <row r="9539" spans="1:10" x14ac:dyDescent="0.25">
      <c r="A9539" s="7" t="s">
        <v>44715</v>
      </c>
      <c r="B9539" s="8">
        <v>393.75</v>
      </c>
      <c r="C9539" s="8">
        <v>20.426300000000001</v>
      </c>
      <c r="D9539" s="8">
        <v>53</v>
      </c>
      <c r="E9539" s="8">
        <v>0</v>
      </c>
      <c r="F9539" s="8">
        <v>0</v>
      </c>
      <c r="G9539" s="8">
        <v>6</v>
      </c>
      <c r="H9539" s="8" t="s">
        <v>44716</v>
      </c>
      <c r="I9539" s="8">
        <v>526.6875</v>
      </c>
      <c r="J9539" s="3">
        <f t="shared" si="149"/>
        <v>43749.172181481474</v>
      </c>
    </row>
    <row r="9540" spans="1:10" x14ac:dyDescent="0.25">
      <c r="A9540" s="5" t="s">
        <v>44717</v>
      </c>
      <c r="B9540" s="6">
        <v>409.375</v>
      </c>
      <c r="C9540" s="6">
        <v>20.426300000000001</v>
      </c>
      <c r="D9540" s="6">
        <v>53</v>
      </c>
      <c r="E9540" s="6">
        <v>0</v>
      </c>
      <c r="F9540" s="6">
        <v>0</v>
      </c>
      <c r="G9540" s="6">
        <v>13</v>
      </c>
      <c r="H9540" s="6" t="s">
        <v>44718</v>
      </c>
      <c r="I9540" s="6">
        <v>531.375</v>
      </c>
      <c r="J9540" s="2">
        <f t="shared" si="149"/>
        <v>43749.172266759262</v>
      </c>
    </row>
    <row r="9541" spans="1:10" x14ac:dyDescent="0.25">
      <c r="A9541" s="7" t="s">
        <v>44719</v>
      </c>
      <c r="B9541" s="8">
        <v>393.75</v>
      </c>
      <c r="C9541" s="8">
        <v>20.478950000000001</v>
      </c>
      <c r="D9541" s="8">
        <v>55</v>
      </c>
      <c r="E9541" s="8">
        <v>0</v>
      </c>
      <c r="F9541" s="8">
        <v>0</v>
      </c>
      <c r="G9541" s="8">
        <v>5</v>
      </c>
      <c r="H9541" s="8" t="s">
        <v>44720</v>
      </c>
      <c r="I9541" s="8">
        <v>526.5</v>
      </c>
      <c r="J9541" s="3">
        <f t="shared" si="149"/>
        <v>43749.172348541666</v>
      </c>
    </row>
    <row r="9542" spans="1:10" x14ac:dyDescent="0.25">
      <c r="A9542" s="5" t="s">
        <v>44721</v>
      </c>
      <c r="B9542" s="6">
        <v>393.75</v>
      </c>
      <c r="C9542" s="6">
        <v>20.478950000000001</v>
      </c>
      <c r="D9542" s="6">
        <v>55</v>
      </c>
      <c r="E9542" s="6">
        <v>0</v>
      </c>
      <c r="F9542" s="6">
        <v>0</v>
      </c>
      <c r="G9542" s="6">
        <v>7</v>
      </c>
      <c r="H9542" s="6" t="s">
        <v>44722</v>
      </c>
      <c r="I9542" s="6">
        <v>526.5</v>
      </c>
      <c r="J9542" s="2">
        <f t="shared" si="149"/>
        <v>43749.172419699076</v>
      </c>
    </row>
    <row r="9543" spans="1:10" x14ac:dyDescent="0.25">
      <c r="A9543" s="7" t="s">
        <v>44723</v>
      </c>
      <c r="B9543" s="8">
        <v>393.75</v>
      </c>
      <c r="C9543" s="8">
        <v>20.478950000000001</v>
      </c>
      <c r="D9543" s="8">
        <v>56</v>
      </c>
      <c r="E9543" s="8">
        <v>0</v>
      </c>
      <c r="F9543" s="8">
        <v>0</v>
      </c>
      <c r="G9543" s="8">
        <v>5</v>
      </c>
      <c r="H9543" s="8" t="s">
        <v>44724</v>
      </c>
      <c r="I9543" s="8">
        <v>526.6875</v>
      </c>
      <c r="J9543" s="3">
        <f t="shared" si="149"/>
        <v>43749.17249153935</v>
      </c>
    </row>
    <row r="9544" spans="1:10" x14ac:dyDescent="0.25">
      <c r="A9544" s="5" t="s">
        <v>44725</v>
      </c>
      <c r="B9544" s="6">
        <v>393.75</v>
      </c>
      <c r="C9544" s="6">
        <v>20.478950000000001</v>
      </c>
      <c r="D9544" s="6">
        <v>55</v>
      </c>
      <c r="E9544" s="6">
        <v>0</v>
      </c>
      <c r="F9544" s="6">
        <v>0</v>
      </c>
      <c r="G9544" s="6">
        <v>9</v>
      </c>
      <c r="H9544" s="6" t="s">
        <v>44726</v>
      </c>
      <c r="I9544" s="6">
        <v>526.6875</v>
      </c>
      <c r="J9544" s="2">
        <f t="shared" si="149"/>
        <v>43749.172574652774</v>
      </c>
    </row>
    <row r="9545" spans="1:10" x14ac:dyDescent="0.25">
      <c r="A9545" s="7" t="s">
        <v>44727</v>
      </c>
      <c r="B9545" s="8">
        <v>393.75</v>
      </c>
      <c r="C9545" s="8">
        <v>20.478950000000001</v>
      </c>
      <c r="D9545" s="8">
        <v>56</v>
      </c>
      <c r="E9545" s="8">
        <v>0</v>
      </c>
      <c r="F9545" s="8">
        <v>0</v>
      </c>
      <c r="G9545" s="8">
        <v>4</v>
      </c>
      <c r="H9545" s="8" t="s">
        <v>44728</v>
      </c>
      <c r="I9545" s="8">
        <v>526.6875</v>
      </c>
      <c r="J9545" s="3">
        <f t="shared" si="149"/>
        <v>43749.172646516199</v>
      </c>
    </row>
    <row r="9546" spans="1:10" x14ac:dyDescent="0.25">
      <c r="A9546" s="5" t="s">
        <v>44729</v>
      </c>
      <c r="B9546" s="6">
        <v>393.75</v>
      </c>
      <c r="C9546" s="6">
        <v>20.478950000000001</v>
      </c>
      <c r="D9546" s="6">
        <v>56</v>
      </c>
      <c r="E9546" s="6">
        <v>0</v>
      </c>
      <c r="F9546" s="6">
        <v>0</v>
      </c>
      <c r="G9546" s="6">
        <v>7</v>
      </c>
      <c r="H9546" s="6" t="s">
        <v>44730</v>
      </c>
      <c r="I9546" s="6">
        <v>526.6875</v>
      </c>
      <c r="J9546" s="2">
        <f t="shared" si="149"/>
        <v>43749.172730057871</v>
      </c>
    </row>
    <row r="9547" spans="1:10" x14ac:dyDescent="0.25">
      <c r="A9547" s="7" t="s">
        <v>44731</v>
      </c>
      <c r="B9547" s="8">
        <v>393.75</v>
      </c>
      <c r="C9547" s="8">
        <v>20.478950000000001</v>
      </c>
      <c r="D9547" s="8">
        <v>54</v>
      </c>
      <c r="E9547" s="8">
        <v>0</v>
      </c>
      <c r="F9547" s="8">
        <v>0</v>
      </c>
      <c r="G9547" s="8">
        <v>0</v>
      </c>
      <c r="H9547" s="8" t="s">
        <v>44732</v>
      </c>
      <c r="I9547" s="8">
        <v>526.5</v>
      </c>
      <c r="J9547" s="3">
        <f t="shared" si="149"/>
        <v>43749.17280119213</v>
      </c>
    </row>
    <row r="9548" spans="1:10" x14ac:dyDescent="0.25">
      <c r="A9548" s="5" t="s">
        <v>44733</v>
      </c>
      <c r="B9548" s="6">
        <v>393.75</v>
      </c>
      <c r="C9548" s="6">
        <v>20.478950000000001</v>
      </c>
      <c r="D9548" s="6">
        <v>53</v>
      </c>
      <c r="E9548" s="6">
        <v>0</v>
      </c>
      <c r="F9548" s="6">
        <v>0</v>
      </c>
      <c r="G9548" s="6">
        <v>6</v>
      </c>
      <c r="H9548" s="6" t="s">
        <v>44734</v>
      </c>
      <c r="I9548" s="6">
        <v>526.6875</v>
      </c>
      <c r="J9548" s="2">
        <f t="shared" si="149"/>
        <v>43749.172873055555</v>
      </c>
    </row>
    <row r="9549" spans="1:10" x14ac:dyDescent="0.25">
      <c r="A9549" s="7" t="s">
        <v>44735</v>
      </c>
      <c r="B9549" s="8">
        <v>393.75</v>
      </c>
      <c r="C9549" s="8">
        <v>20.478950000000001</v>
      </c>
      <c r="D9549" s="8">
        <v>53</v>
      </c>
      <c r="E9549" s="8">
        <v>0</v>
      </c>
      <c r="F9549" s="8">
        <v>0</v>
      </c>
      <c r="G9549" s="8">
        <v>9</v>
      </c>
      <c r="H9549" s="8" t="s">
        <v>44736</v>
      </c>
      <c r="I9549" s="8">
        <v>526.6875</v>
      </c>
      <c r="J9549" s="3">
        <f t="shared" si="149"/>
        <v>43749.172944652775</v>
      </c>
    </row>
    <row r="9550" spans="1:10" x14ac:dyDescent="0.25">
      <c r="A9550" s="5" t="s">
        <v>44737</v>
      </c>
      <c r="B9550" s="6">
        <v>393.75</v>
      </c>
      <c r="C9550" s="6">
        <v>20.478950000000001</v>
      </c>
      <c r="D9550" s="6">
        <v>53</v>
      </c>
      <c r="E9550" s="6">
        <v>0</v>
      </c>
      <c r="F9550" s="6">
        <v>0</v>
      </c>
      <c r="G9550" s="6">
        <v>7</v>
      </c>
      <c r="H9550" s="6" t="s">
        <v>44738</v>
      </c>
      <c r="I9550" s="6">
        <v>526.6875</v>
      </c>
      <c r="J9550" s="2">
        <f t="shared" si="149"/>
        <v>43749.173040115733</v>
      </c>
    </row>
    <row r="9551" spans="1:10" x14ac:dyDescent="0.25">
      <c r="A9551" s="7" t="s">
        <v>44739</v>
      </c>
      <c r="B9551" s="8">
        <v>393.75</v>
      </c>
      <c r="C9551" s="8">
        <v>20.478950000000001</v>
      </c>
      <c r="D9551" s="8">
        <v>53</v>
      </c>
      <c r="E9551" s="8">
        <v>0</v>
      </c>
      <c r="F9551" s="8">
        <v>0</v>
      </c>
      <c r="G9551" s="8">
        <v>5</v>
      </c>
      <c r="H9551" s="8" t="s">
        <v>44740</v>
      </c>
      <c r="I9551" s="8">
        <v>526.6875</v>
      </c>
      <c r="J9551" s="3">
        <f t="shared" si="149"/>
        <v>43749.173111273143</v>
      </c>
    </row>
    <row r="9552" spans="1:10" x14ac:dyDescent="0.25">
      <c r="A9552" s="5" t="s">
        <v>44741</v>
      </c>
      <c r="B9552" s="6">
        <v>393.75</v>
      </c>
      <c r="C9552" s="6">
        <v>20.478950000000001</v>
      </c>
      <c r="D9552" s="6">
        <v>53</v>
      </c>
      <c r="E9552" s="6">
        <v>0</v>
      </c>
      <c r="F9552" s="6">
        <v>0</v>
      </c>
      <c r="G9552" s="6">
        <v>18</v>
      </c>
      <c r="H9552" s="6" t="s">
        <v>44742</v>
      </c>
      <c r="I9552" s="6">
        <v>526.6875</v>
      </c>
      <c r="J9552" s="2">
        <f t="shared" si="149"/>
        <v>43749.173206921296</v>
      </c>
    </row>
    <row r="9553" spans="1:10" x14ac:dyDescent="0.25">
      <c r="A9553" s="7" t="s">
        <v>44743</v>
      </c>
      <c r="B9553" s="8">
        <v>393.75</v>
      </c>
      <c r="C9553" s="8">
        <v>20.478950000000001</v>
      </c>
      <c r="D9553" s="8">
        <v>53</v>
      </c>
      <c r="E9553" s="8">
        <v>0</v>
      </c>
      <c r="F9553" s="8">
        <v>0</v>
      </c>
      <c r="G9553" s="8">
        <v>15</v>
      </c>
      <c r="H9553" s="8" t="s">
        <v>44744</v>
      </c>
      <c r="I9553" s="8">
        <v>526.6875</v>
      </c>
      <c r="J9553" s="3">
        <f t="shared" si="149"/>
        <v>43749.173278391201</v>
      </c>
    </row>
    <row r="9554" spans="1:10" x14ac:dyDescent="0.25">
      <c r="A9554" s="5" t="s">
        <v>44745</v>
      </c>
      <c r="B9554" s="6">
        <v>393.75</v>
      </c>
      <c r="C9554" s="6">
        <v>20.426300000000001</v>
      </c>
      <c r="D9554" s="6">
        <v>54</v>
      </c>
      <c r="E9554" s="6">
        <v>0</v>
      </c>
      <c r="F9554" s="6">
        <v>0</v>
      </c>
      <c r="G9554" s="6">
        <v>4</v>
      </c>
      <c r="H9554" s="6" t="s">
        <v>44746</v>
      </c>
      <c r="I9554" s="6">
        <v>526.5</v>
      </c>
      <c r="J9554" s="2">
        <f t="shared" si="149"/>
        <v>43749.173350057863</v>
      </c>
    </row>
    <row r="9555" spans="1:10" x14ac:dyDescent="0.25">
      <c r="A9555" s="7" t="s">
        <v>44747</v>
      </c>
      <c r="B9555" s="8">
        <v>393.75</v>
      </c>
      <c r="C9555" s="8">
        <v>20.478950000000001</v>
      </c>
      <c r="D9555" s="8">
        <v>54</v>
      </c>
      <c r="E9555" s="8">
        <v>0</v>
      </c>
      <c r="F9555" s="8">
        <v>0</v>
      </c>
      <c r="G9555" s="8">
        <v>13</v>
      </c>
      <c r="H9555" s="8" t="s">
        <v>44748</v>
      </c>
      <c r="I9555" s="8">
        <v>526.6875</v>
      </c>
      <c r="J9555" s="3">
        <f t="shared" si="149"/>
        <v>43749.173433541662</v>
      </c>
    </row>
    <row r="9556" spans="1:10" x14ac:dyDescent="0.25">
      <c r="A9556" s="5" t="s">
        <v>44749</v>
      </c>
      <c r="B9556" s="6">
        <v>393.75</v>
      </c>
      <c r="C9556" s="6">
        <v>20.478950000000001</v>
      </c>
      <c r="D9556" s="6">
        <v>52</v>
      </c>
      <c r="E9556" s="6">
        <v>0</v>
      </c>
      <c r="F9556" s="6">
        <v>0</v>
      </c>
      <c r="G9556" s="6">
        <v>0</v>
      </c>
      <c r="H9556" s="6" t="s">
        <v>44750</v>
      </c>
      <c r="I9556" s="6">
        <v>526.5</v>
      </c>
      <c r="J9556" s="2">
        <f t="shared" si="149"/>
        <v>43749.173505069441</v>
      </c>
    </row>
    <row r="9557" spans="1:10" x14ac:dyDescent="0.25">
      <c r="A9557" s="7" t="s">
        <v>44751</v>
      </c>
      <c r="B9557" s="8">
        <v>393.75</v>
      </c>
      <c r="C9557" s="8">
        <v>20.426300000000001</v>
      </c>
      <c r="D9557" s="8">
        <v>52</v>
      </c>
      <c r="E9557" s="8">
        <v>0</v>
      </c>
      <c r="F9557" s="8">
        <v>0</v>
      </c>
      <c r="G9557" s="8">
        <v>4</v>
      </c>
      <c r="H9557" s="8" t="s">
        <v>44752</v>
      </c>
      <c r="I9557" s="8">
        <v>526.6875</v>
      </c>
      <c r="J9557" s="3">
        <f t="shared" si="149"/>
        <v>43749.173576712965</v>
      </c>
    </row>
    <row r="9558" spans="1:10" x14ac:dyDescent="0.25">
      <c r="A9558" s="5" t="s">
        <v>44753</v>
      </c>
      <c r="B9558" s="6">
        <v>412.5</v>
      </c>
      <c r="C9558" s="6">
        <v>20.478950000000001</v>
      </c>
      <c r="D9558" s="6">
        <v>55</v>
      </c>
      <c r="E9558" s="6">
        <v>0</v>
      </c>
      <c r="F9558" s="6">
        <v>0</v>
      </c>
      <c r="G9558" s="6">
        <v>4</v>
      </c>
      <c r="H9558" s="6" t="s">
        <v>44754</v>
      </c>
      <c r="I9558" s="6">
        <v>532.3125</v>
      </c>
      <c r="J9558" s="2">
        <f t="shared" si="149"/>
        <v>43749.173659884262</v>
      </c>
    </row>
    <row r="9559" spans="1:10" x14ac:dyDescent="0.25">
      <c r="A9559" s="7" t="s">
        <v>44755</v>
      </c>
      <c r="B9559" s="8">
        <v>393.75</v>
      </c>
      <c r="C9559" s="8">
        <v>20.426300000000001</v>
      </c>
      <c r="D9559" s="8">
        <v>55</v>
      </c>
      <c r="E9559" s="8">
        <v>0</v>
      </c>
      <c r="F9559" s="8">
        <v>0</v>
      </c>
      <c r="G9559" s="8">
        <v>7</v>
      </c>
      <c r="H9559" s="8" t="s">
        <v>44756</v>
      </c>
      <c r="I9559" s="8">
        <v>526.6875</v>
      </c>
      <c r="J9559" s="3">
        <f t="shared" si="149"/>
        <v>43749.17373159722</v>
      </c>
    </row>
    <row r="9560" spans="1:10" x14ac:dyDescent="0.25">
      <c r="A9560" s="5" t="s">
        <v>44757</v>
      </c>
      <c r="B9560" s="6">
        <v>393.75</v>
      </c>
      <c r="C9560" s="6">
        <v>20.478950000000001</v>
      </c>
      <c r="D9560" s="6">
        <v>55</v>
      </c>
      <c r="E9560" s="6">
        <v>0</v>
      </c>
      <c r="F9560" s="6">
        <v>0</v>
      </c>
      <c r="G9560" s="6">
        <v>6</v>
      </c>
      <c r="H9560" s="6" t="s">
        <v>44758</v>
      </c>
      <c r="I9560" s="6">
        <v>526.6875</v>
      </c>
      <c r="J9560" s="2">
        <f t="shared" si="149"/>
        <v>43749.173815046299</v>
      </c>
    </row>
    <row r="9561" spans="1:10" x14ac:dyDescent="0.25">
      <c r="A9561" s="7" t="s">
        <v>44759</v>
      </c>
      <c r="B9561" s="8">
        <v>393.75</v>
      </c>
      <c r="C9561" s="8">
        <v>20.478950000000001</v>
      </c>
      <c r="D9561" s="8">
        <v>55</v>
      </c>
      <c r="E9561" s="8">
        <v>0</v>
      </c>
      <c r="F9561" s="8">
        <v>0</v>
      </c>
      <c r="G9561" s="8">
        <v>4</v>
      </c>
      <c r="H9561" s="8" t="s">
        <v>44760</v>
      </c>
      <c r="I9561" s="8">
        <v>526.6875</v>
      </c>
      <c r="J9561" s="3">
        <f t="shared" si="149"/>
        <v>43749.173898483794</v>
      </c>
    </row>
    <row r="9562" spans="1:10" x14ac:dyDescent="0.25">
      <c r="A9562" s="5" t="s">
        <v>44761</v>
      </c>
      <c r="B9562" s="6">
        <v>393.75</v>
      </c>
      <c r="C9562" s="6">
        <v>20.478950000000001</v>
      </c>
      <c r="D9562" s="6">
        <v>55</v>
      </c>
      <c r="E9562" s="6">
        <v>0</v>
      </c>
      <c r="F9562" s="6">
        <v>0</v>
      </c>
      <c r="G9562" s="6">
        <v>7</v>
      </c>
      <c r="H9562" s="6" t="s">
        <v>44762</v>
      </c>
      <c r="I9562" s="6">
        <v>526.6875</v>
      </c>
      <c r="J9562" s="2">
        <f t="shared" si="149"/>
        <v>43749.173994074074</v>
      </c>
    </row>
    <row r="9563" spans="1:10" x14ac:dyDescent="0.25">
      <c r="A9563" s="7" t="s">
        <v>44763</v>
      </c>
      <c r="B9563" s="8">
        <v>393.75</v>
      </c>
      <c r="C9563" s="8">
        <v>20.478950000000001</v>
      </c>
      <c r="D9563" s="8">
        <v>55</v>
      </c>
      <c r="E9563" s="8">
        <v>0</v>
      </c>
      <c r="F9563" s="8">
        <v>0</v>
      </c>
      <c r="G9563" s="8">
        <v>6</v>
      </c>
      <c r="H9563" s="8" t="s">
        <v>44764</v>
      </c>
      <c r="I9563" s="8">
        <v>526.6875</v>
      </c>
      <c r="J9563" s="3">
        <f t="shared" si="149"/>
        <v>43749.17406542824</v>
      </c>
    </row>
    <row r="9564" spans="1:10" x14ac:dyDescent="0.25">
      <c r="A9564" s="5" t="s">
        <v>44765</v>
      </c>
      <c r="B9564" s="6">
        <v>393.75</v>
      </c>
      <c r="C9564" s="6">
        <v>20.478950000000001</v>
      </c>
      <c r="D9564" s="6">
        <v>56</v>
      </c>
      <c r="E9564" s="6">
        <v>0</v>
      </c>
      <c r="F9564" s="6">
        <v>0</v>
      </c>
      <c r="G9564" s="6">
        <v>10</v>
      </c>
      <c r="H9564" s="6" t="s">
        <v>44766</v>
      </c>
      <c r="I9564" s="6">
        <v>526.6875</v>
      </c>
      <c r="J9564" s="2">
        <f t="shared" si="149"/>
        <v>43749.174148819446</v>
      </c>
    </row>
    <row r="9565" spans="1:10" x14ac:dyDescent="0.25">
      <c r="A9565" s="7" t="s">
        <v>44767</v>
      </c>
      <c r="B9565" s="8">
        <v>393.75</v>
      </c>
      <c r="C9565" s="8">
        <v>20.478950000000001</v>
      </c>
      <c r="D9565" s="8">
        <v>56</v>
      </c>
      <c r="E9565" s="8">
        <v>0</v>
      </c>
      <c r="F9565" s="8">
        <v>0</v>
      </c>
      <c r="G9565" s="8">
        <v>4</v>
      </c>
      <c r="H9565" s="8" t="s">
        <v>44768</v>
      </c>
      <c r="I9565" s="8">
        <v>526.6875</v>
      </c>
      <c r="J9565" s="3">
        <f t="shared" si="149"/>
        <v>43749.174220462963</v>
      </c>
    </row>
    <row r="9566" spans="1:10" x14ac:dyDescent="0.25">
      <c r="A9566" s="5" t="s">
        <v>44769</v>
      </c>
      <c r="B9566" s="6">
        <v>393.75</v>
      </c>
      <c r="C9566" s="6">
        <v>20.426300000000001</v>
      </c>
      <c r="D9566" s="6">
        <v>56</v>
      </c>
      <c r="E9566" s="6">
        <v>0</v>
      </c>
      <c r="F9566" s="6">
        <v>0</v>
      </c>
      <c r="G9566" s="6">
        <v>4</v>
      </c>
      <c r="H9566" s="6" t="s">
        <v>44770</v>
      </c>
      <c r="I9566" s="6">
        <v>526.6875</v>
      </c>
      <c r="J9566" s="2">
        <f t="shared" si="149"/>
        <v>43749.174304016204</v>
      </c>
    </row>
    <row r="9567" spans="1:10" x14ac:dyDescent="0.25">
      <c r="A9567" s="7" t="s">
        <v>44771</v>
      </c>
      <c r="B9567" s="8">
        <v>393.75</v>
      </c>
      <c r="C9567" s="8">
        <v>20.478950000000001</v>
      </c>
      <c r="D9567" s="8">
        <v>56</v>
      </c>
      <c r="E9567" s="8">
        <v>0</v>
      </c>
      <c r="F9567" s="8">
        <v>0</v>
      </c>
      <c r="G9567" s="8">
        <v>2</v>
      </c>
      <c r="H9567" s="8" t="s">
        <v>44772</v>
      </c>
      <c r="I9567" s="8">
        <v>526.6875</v>
      </c>
      <c r="J9567" s="3">
        <f t="shared" si="149"/>
        <v>43749.174375497685</v>
      </c>
    </row>
    <row r="9568" spans="1:10" x14ac:dyDescent="0.25">
      <c r="A9568" s="5" t="s">
        <v>44773</v>
      </c>
      <c r="B9568" s="6">
        <v>393.75</v>
      </c>
      <c r="C9568" s="6">
        <v>20.478950000000001</v>
      </c>
      <c r="D9568" s="6">
        <v>56</v>
      </c>
      <c r="E9568" s="6">
        <v>0</v>
      </c>
      <c r="F9568" s="6">
        <v>0</v>
      </c>
      <c r="G9568" s="6">
        <v>9</v>
      </c>
      <c r="H9568" s="6" t="s">
        <v>44774</v>
      </c>
      <c r="I9568" s="6">
        <v>526.6875</v>
      </c>
      <c r="J9568" s="2">
        <f t="shared" si="149"/>
        <v>43749.174447025456</v>
      </c>
    </row>
    <row r="9569" spans="1:10" x14ac:dyDescent="0.25">
      <c r="A9569" s="7" t="s">
        <v>44775</v>
      </c>
      <c r="B9569" s="8">
        <v>412.5</v>
      </c>
      <c r="C9569" s="8">
        <v>20.478950000000001</v>
      </c>
      <c r="D9569" s="8">
        <v>57</v>
      </c>
      <c r="E9569" s="8">
        <v>0</v>
      </c>
      <c r="F9569" s="8">
        <v>0</v>
      </c>
      <c r="G9569" s="8">
        <v>10</v>
      </c>
      <c r="H9569" s="8" t="s">
        <v>44776</v>
      </c>
      <c r="I9569" s="8">
        <v>532.3125</v>
      </c>
      <c r="J9569" s="3">
        <f t="shared" si="149"/>
        <v>43749.174530266202</v>
      </c>
    </row>
    <row r="9570" spans="1:10" x14ac:dyDescent="0.25">
      <c r="A9570" s="5" t="s">
        <v>44777</v>
      </c>
      <c r="B9570" s="6">
        <v>393.75</v>
      </c>
      <c r="C9570" s="6">
        <v>20.426300000000001</v>
      </c>
      <c r="D9570" s="6">
        <v>56</v>
      </c>
      <c r="E9570" s="6">
        <v>0</v>
      </c>
      <c r="F9570" s="6">
        <v>0</v>
      </c>
      <c r="G9570" s="6">
        <v>4</v>
      </c>
      <c r="H9570" s="6" t="s">
        <v>44778</v>
      </c>
      <c r="I9570" s="6">
        <v>526.6875</v>
      </c>
      <c r="J9570" s="2">
        <f t="shared" si="149"/>
        <v>43749.174602060179</v>
      </c>
    </row>
    <row r="9571" spans="1:10" x14ac:dyDescent="0.25">
      <c r="A9571" s="7" t="s">
        <v>44779</v>
      </c>
      <c r="B9571" s="8">
        <v>393.75</v>
      </c>
      <c r="C9571" s="8">
        <v>20.426300000000001</v>
      </c>
      <c r="D9571" s="8">
        <v>57</v>
      </c>
      <c r="E9571" s="8">
        <v>0</v>
      </c>
      <c r="F9571" s="8">
        <v>0</v>
      </c>
      <c r="G9571" s="8">
        <v>6</v>
      </c>
      <c r="H9571" s="8" t="s">
        <v>44780</v>
      </c>
      <c r="I9571" s="8">
        <v>526.5</v>
      </c>
      <c r="J9571" s="3">
        <f t="shared" si="149"/>
        <v>43749.174685578699</v>
      </c>
    </row>
    <row r="9572" spans="1:10" x14ac:dyDescent="0.25">
      <c r="A9572" s="5" t="s">
        <v>44781</v>
      </c>
      <c r="B9572" s="6">
        <v>393.75</v>
      </c>
      <c r="C9572" s="6">
        <v>20.478950000000001</v>
      </c>
      <c r="D9572" s="6">
        <v>54</v>
      </c>
      <c r="E9572" s="6">
        <v>0</v>
      </c>
      <c r="F9572" s="6">
        <v>0</v>
      </c>
      <c r="G9572" s="6">
        <v>13</v>
      </c>
      <c r="H9572" s="6" t="s">
        <v>44782</v>
      </c>
      <c r="I9572" s="6">
        <v>526.6875</v>
      </c>
      <c r="J9572" s="2">
        <f t="shared" si="149"/>
        <v>43749.174756747678</v>
      </c>
    </row>
    <row r="9573" spans="1:10" x14ac:dyDescent="0.25">
      <c r="A9573" s="7" t="s">
        <v>44783</v>
      </c>
      <c r="B9573" s="8">
        <v>393.75</v>
      </c>
      <c r="C9573" s="8">
        <v>20.478950000000001</v>
      </c>
      <c r="D9573" s="8">
        <v>53</v>
      </c>
      <c r="E9573" s="8">
        <v>0</v>
      </c>
      <c r="F9573" s="8">
        <v>0</v>
      </c>
      <c r="G9573" s="8">
        <v>17</v>
      </c>
      <c r="H9573" s="8" t="s">
        <v>44784</v>
      </c>
      <c r="I9573" s="8">
        <v>526.6875</v>
      </c>
      <c r="J9573" s="3">
        <f t="shared" si="149"/>
        <v>43749.174828645831</v>
      </c>
    </row>
    <row r="9574" spans="1:10" x14ac:dyDescent="0.25">
      <c r="A9574" s="5" t="s">
        <v>44785</v>
      </c>
      <c r="B9574" s="6">
        <v>393.75</v>
      </c>
      <c r="C9574" s="6">
        <v>20.478950000000001</v>
      </c>
      <c r="D9574" s="6">
        <v>53</v>
      </c>
      <c r="E9574" s="6">
        <v>0</v>
      </c>
      <c r="F9574" s="6">
        <v>0</v>
      </c>
      <c r="G9574" s="6">
        <v>9</v>
      </c>
      <c r="H9574" s="6" t="s">
        <v>44786</v>
      </c>
      <c r="I9574" s="6">
        <v>526.6875</v>
      </c>
      <c r="J9574" s="2">
        <f t="shared" si="149"/>
        <v>43749.174911747679</v>
      </c>
    </row>
    <row r="9575" spans="1:10" x14ac:dyDescent="0.25">
      <c r="A9575" s="7" t="s">
        <v>44787</v>
      </c>
      <c r="B9575" s="8">
        <v>428.125</v>
      </c>
      <c r="C9575" s="8">
        <v>20.478950000000001</v>
      </c>
      <c r="D9575" s="8">
        <v>54</v>
      </c>
      <c r="E9575" s="8">
        <v>0</v>
      </c>
      <c r="F9575" s="8">
        <v>0</v>
      </c>
      <c r="G9575" s="8">
        <v>13</v>
      </c>
      <c r="H9575" s="8" t="s">
        <v>44788</v>
      </c>
      <c r="I9575" s="8">
        <v>537</v>
      </c>
      <c r="J9575" s="3">
        <f t="shared" si="149"/>
        <v>43749.174983622688</v>
      </c>
    </row>
    <row r="9576" spans="1:10" x14ac:dyDescent="0.25">
      <c r="A9576" s="5" t="s">
        <v>44789</v>
      </c>
      <c r="B9576" s="6">
        <v>393.75</v>
      </c>
      <c r="C9576" s="6">
        <v>20.478950000000001</v>
      </c>
      <c r="D9576" s="6">
        <v>54</v>
      </c>
      <c r="E9576" s="6">
        <v>0</v>
      </c>
      <c r="F9576" s="6">
        <v>0</v>
      </c>
      <c r="G9576" s="6">
        <v>16</v>
      </c>
      <c r="H9576" s="6" t="s">
        <v>44790</v>
      </c>
      <c r="I9576" s="6">
        <v>526.6875</v>
      </c>
      <c r="J9576" s="2">
        <f t="shared" si="149"/>
        <v>43749.175055208332</v>
      </c>
    </row>
    <row r="9577" spans="1:10" x14ac:dyDescent="0.25">
      <c r="A9577" s="7" t="s">
        <v>44791</v>
      </c>
      <c r="B9577" s="8">
        <v>393.75</v>
      </c>
      <c r="C9577" s="8">
        <v>20.478950000000001</v>
      </c>
      <c r="D9577" s="8">
        <v>55</v>
      </c>
      <c r="E9577" s="8">
        <v>0</v>
      </c>
      <c r="F9577" s="8">
        <v>0</v>
      </c>
      <c r="G9577" s="8">
        <v>12</v>
      </c>
      <c r="H9577" s="8" t="s">
        <v>44792</v>
      </c>
      <c r="I9577" s="8">
        <v>526.6875</v>
      </c>
      <c r="J9577" s="3">
        <f t="shared" si="149"/>
        <v>43749.175138715276</v>
      </c>
    </row>
    <row r="9578" spans="1:10" x14ac:dyDescent="0.25">
      <c r="A9578" s="5" t="s">
        <v>44793</v>
      </c>
      <c r="B9578" s="6">
        <v>393.75</v>
      </c>
      <c r="C9578" s="6">
        <v>20.478950000000001</v>
      </c>
      <c r="D9578" s="6">
        <v>55</v>
      </c>
      <c r="E9578" s="6">
        <v>0</v>
      </c>
      <c r="F9578" s="6">
        <v>0</v>
      </c>
      <c r="G9578" s="6">
        <v>3</v>
      </c>
      <c r="H9578" s="6" t="s">
        <v>44794</v>
      </c>
      <c r="I9578" s="6">
        <v>526.5</v>
      </c>
      <c r="J9578" s="2">
        <f t="shared" si="149"/>
        <v>43749.175210254623</v>
      </c>
    </row>
    <row r="9579" spans="1:10" x14ac:dyDescent="0.25">
      <c r="A9579" s="7" t="s">
        <v>44795</v>
      </c>
      <c r="B9579" s="8">
        <v>393.75</v>
      </c>
      <c r="C9579" s="8">
        <v>20.426300000000001</v>
      </c>
      <c r="D9579" s="8">
        <v>55</v>
      </c>
      <c r="E9579" s="8">
        <v>0</v>
      </c>
      <c r="F9579" s="8">
        <v>0</v>
      </c>
      <c r="G9579" s="8">
        <v>18</v>
      </c>
      <c r="H9579" s="8" t="s">
        <v>44796</v>
      </c>
      <c r="I9579" s="8">
        <v>526.6875</v>
      </c>
      <c r="J9579" s="3">
        <f t="shared" si="149"/>
        <v>43749.175281805554</v>
      </c>
    </row>
    <row r="9580" spans="1:10" x14ac:dyDescent="0.25">
      <c r="A9580" s="5" t="s">
        <v>44797</v>
      </c>
      <c r="B9580" s="6">
        <v>393.75</v>
      </c>
      <c r="C9580" s="6">
        <v>20.478950000000001</v>
      </c>
      <c r="D9580" s="6">
        <v>55</v>
      </c>
      <c r="E9580" s="6">
        <v>0</v>
      </c>
      <c r="F9580" s="6">
        <v>0</v>
      </c>
      <c r="G9580" s="6">
        <v>10</v>
      </c>
      <c r="H9580" s="6" t="s">
        <v>44798</v>
      </c>
      <c r="I9580" s="6">
        <v>526.6875</v>
      </c>
      <c r="J9580" s="2">
        <f t="shared" si="149"/>
        <v>43749.175365254625</v>
      </c>
    </row>
    <row r="9581" spans="1:10" x14ac:dyDescent="0.25">
      <c r="A9581" s="7" t="s">
        <v>44799</v>
      </c>
      <c r="B9581" s="8">
        <v>393.75</v>
      </c>
      <c r="C9581" s="8">
        <v>20.478950000000001</v>
      </c>
      <c r="D9581" s="8">
        <v>55</v>
      </c>
      <c r="E9581" s="8">
        <v>0</v>
      </c>
      <c r="F9581" s="8">
        <v>0</v>
      </c>
      <c r="G9581" s="8">
        <v>0</v>
      </c>
      <c r="H9581" s="8" t="s">
        <v>44800</v>
      </c>
      <c r="I9581" s="8">
        <v>526.5</v>
      </c>
      <c r="J9581" s="3">
        <f t="shared" si="149"/>
        <v>43749.175448773145</v>
      </c>
    </row>
    <row r="9582" spans="1:10" x14ac:dyDescent="0.25">
      <c r="A9582" s="5" t="s">
        <v>44801</v>
      </c>
      <c r="B9582" s="6">
        <v>393.75</v>
      </c>
      <c r="C9582" s="6">
        <v>20.426300000000001</v>
      </c>
      <c r="D9582" s="6">
        <v>54</v>
      </c>
      <c r="E9582" s="6">
        <v>0</v>
      </c>
      <c r="F9582" s="6">
        <v>0</v>
      </c>
      <c r="G9582" s="6">
        <v>4</v>
      </c>
      <c r="H9582" s="6" t="s">
        <v>44802</v>
      </c>
      <c r="I9582" s="6">
        <v>526.6875</v>
      </c>
      <c r="J9582" s="2">
        <f t="shared" si="149"/>
        <v>43749.175520243058</v>
      </c>
    </row>
    <row r="9583" spans="1:10" x14ac:dyDescent="0.25">
      <c r="A9583" s="7" t="s">
        <v>44803</v>
      </c>
      <c r="B9583" s="8">
        <v>393.75</v>
      </c>
      <c r="C9583" s="8">
        <v>20.478950000000001</v>
      </c>
      <c r="D9583" s="8">
        <v>50</v>
      </c>
      <c r="E9583" s="8">
        <v>0</v>
      </c>
      <c r="F9583" s="8">
        <v>0</v>
      </c>
      <c r="G9583" s="8">
        <v>2</v>
      </c>
      <c r="H9583" s="8" t="s">
        <v>44804</v>
      </c>
      <c r="I9583" s="8">
        <v>526.6875</v>
      </c>
      <c r="J9583" s="3">
        <f t="shared" si="149"/>
        <v>43749.175603784715</v>
      </c>
    </row>
    <row r="9584" spans="1:10" x14ac:dyDescent="0.25">
      <c r="A9584" s="5" t="s">
        <v>44805</v>
      </c>
      <c r="B9584" s="6">
        <v>393.75</v>
      </c>
      <c r="C9584" s="6">
        <v>20.478950000000001</v>
      </c>
      <c r="D9584" s="6">
        <v>50</v>
      </c>
      <c r="E9584" s="6">
        <v>0</v>
      </c>
      <c r="F9584" s="6">
        <v>0</v>
      </c>
      <c r="G9584" s="6">
        <v>0</v>
      </c>
      <c r="H9584" s="6" t="s">
        <v>44806</v>
      </c>
      <c r="I9584" s="6">
        <v>526.6875</v>
      </c>
      <c r="J9584" s="2">
        <f t="shared" si="149"/>
        <v>43749.175675034719</v>
      </c>
    </row>
    <row r="9585" spans="1:10" x14ac:dyDescent="0.25">
      <c r="A9585" s="7" t="s">
        <v>44807</v>
      </c>
      <c r="B9585" s="8">
        <v>393.75</v>
      </c>
      <c r="C9585" s="8">
        <v>20.478950000000001</v>
      </c>
      <c r="D9585" s="8">
        <v>52</v>
      </c>
      <c r="E9585" s="8">
        <v>0</v>
      </c>
      <c r="F9585" s="8">
        <v>0</v>
      </c>
      <c r="G9585" s="8">
        <v>18</v>
      </c>
      <c r="H9585" s="8" t="s">
        <v>44808</v>
      </c>
      <c r="I9585" s="8">
        <v>526.6875</v>
      </c>
      <c r="J9585" s="3">
        <f t="shared" si="149"/>
        <v>43749.175770636568</v>
      </c>
    </row>
    <row r="9586" spans="1:10" x14ac:dyDescent="0.25">
      <c r="A9586" s="5" t="s">
        <v>44809</v>
      </c>
      <c r="B9586" s="6">
        <v>393.75</v>
      </c>
      <c r="C9586" s="6">
        <v>20.478950000000001</v>
      </c>
      <c r="D9586" s="6">
        <v>52</v>
      </c>
      <c r="E9586" s="6">
        <v>0</v>
      </c>
      <c r="F9586" s="6">
        <v>0</v>
      </c>
      <c r="G9586" s="6">
        <v>10</v>
      </c>
      <c r="H9586" s="6" t="s">
        <v>44810</v>
      </c>
      <c r="I9586" s="6">
        <v>526.6875</v>
      </c>
      <c r="J9586" s="2">
        <f t="shared" si="149"/>
        <v>43749.175842222219</v>
      </c>
    </row>
    <row r="9587" spans="1:10" x14ac:dyDescent="0.25">
      <c r="A9587" s="7" t="s">
        <v>44811</v>
      </c>
      <c r="B9587" s="8">
        <v>393.75</v>
      </c>
      <c r="C9587" s="8">
        <v>20.478950000000001</v>
      </c>
      <c r="D9587" s="8">
        <v>54</v>
      </c>
      <c r="E9587" s="8">
        <v>0</v>
      </c>
      <c r="F9587" s="8">
        <v>0</v>
      </c>
      <c r="G9587" s="8">
        <v>4</v>
      </c>
      <c r="H9587" s="8" t="s">
        <v>44812</v>
      </c>
      <c r="I9587" s="8">
        <v>526.5</v>
      </c>
      <c r="J9587" s="3">
        <f t="shared" si="149"/>
        <v>43749.175913761566</v>
      </c>
    </row>
    <row r="9588" spans="1:10" x14ac:dyDescent="0.25">
      <c r="A9588" s="5" t="s">
        <v>44813</v>
      </c>
      <c r="B9588" s="6">
        <v>393.75</v>
      </c>
      <c r="C9588" s="6">
        <v>20.478950000000001</v>
      </c>
      <c r="D9588" s="6">
        <v>54</v>
      </c>
      <c r="E9588" s="6">
        <v>0</v>
      </c>
      <c r="F9588" s="6">
        <v>0</v>
      </c>
      <c r="G9588" s="6">
        <v>5</v>
      </c>
      <c r="H9588" s="6" t="s">
        <v>44814</v>
      </c>
      <c r="I9588" s="6">
        <v>526.6875</v>
      </c>
      <c r="J9588" s="2">
        <f t="shared" si="149"/>
        <v>43749.175985347225</v>
      </c>
    </row>
    <row r="9589" spans="1:10" x14ac:dyDescent="0.25">
      <c r="A9589" s="7" t="s">
        <v>44815</v>
      </c>
      <c r="B9589" s="8">
        <v>393.75</v>
      </c>
      <c r="C9589" s="8">
        <v>20.426300000000001</v>
      </c>
      <c r="D9589" s="8">
        <v>54</v>
      </c>
      <c r="E9589" s="8">
        <v>0</v>
      </c>
      <c r="F9589" s="8">
        <v>0</v>
      </c>
      <c r="G9589" s="8">
        <v>4</v>
      </c>
      <c r="H9589" s="8" t="s">
        <v>44816</v>
      </c>
      <c r="I9589" s="8">
        <v>526.6875</v>
      </c>
      <c r="J9589" s="3">
        <f t="shared" si="149"/>
        <v>43749.176056990742</v>
      </c>
    </row>
    <row r="9590" spans="1:10" x14ac:dyDescent="0.25">
      <c r="A9590" s="5" t="s">
        <v>44817</v>
      </c>
      <c r="B9590" s="6">
        <v>393.75</v>
      </c>
      <c r="C9590" s="6">
        <v>20.478950000000001</v>
      </c>
      <c r="D9590" s="6">
        <v>56</v>
      </c>
      <c r="E9590" s="6">
        <v>0</v>
      </c>
      <c r="F9590" s="6">
        <v>0</v>
      </c>
      <c r="G9590" s="6">
        <v>2</v>
      </c>
      <c r="H9590" s="6" t="s">
        <v>44818</v>
      </c>
      <c r="I9590" s="6">
        <v>526.6875</v>
      </c>
      <c r="J9590" s="2">
        <f t="shared" si="149"/>
        <v>43749.176128402774</v>
      </c>
    </row>
    <row r="9591" spans="1:10" x14ac:dyDescent="0.25">
      <c r="A9591" s="7" t="s">
        <v>44819</v>
      </c>
      <c r="B9591" s="8">
        <v>393.75</v>
      </c>
      <c r="C9591" s="8">
        <v>20.478950000000001</v>
      </c>
      <c r="D9591" s="8">
        <v>55</v>
      </c>
      <c r="E9591" s="8">
        <v>0</v>
      </c>
      <c r="F9591" s="8">
        <v>0</v>
      </c>
      <c r="G9591" s="8">
        <v>13</v>
      </c>
      <c r="H9591" s="8" t="s">
        <v>44820</v>
      </c>
      <c r="I9591" s="8">
        <v>526.5</v>
      </c>
      <c r="J9591" s="3">
        <f t="shared" si="149"/>
        <v>43749.176211736114</v>
      </c>
    </row>
    <row r="9592" spans="1:10" x14ac:dyDescent="0.25">
      <c r="A9592" s="5" t="s">
        <v>44821</v>
      </c>
      <c r="B9592" s="6">
        <v>393.75</v>
      </c>
      <c r="C9592" s="6">
        <v>20.478950000000001</v>
      </c>
      <c r="D9592" s="6">
        <v>55</v>
      </c>
      <c r="E9592" s="6">
        <v>0</v>
      </c>
      <c r="F9592" s="6">
        <v>0</v>
      </c>
      <c r="G9592" s="6">
        <v>4</v>
      </c>
      <c r="H9592" s="6" t="s">
        <v>44822</v>
      </c>
      <c r="I9592" s="6">
        <v>526.6875</v>
      </c>
      <c r="J9592" s="2">
        <f t="shared" si="149"/>
        <v>43749.176295069446</v>
      </c>
    </row>
    <row r="9593" spans="1:10" x14ac:dyDescent="0.25">
      <c r="A9593" s="7" t="s">
        <v>44823</v>
      </c>
      <c r="B9593" s="8">
        <v>393.75</v>
      </c>
      <c r="C9593" s="8">
        <v>20.478950000000001</v>
      </c>
      <c r="D9593" s="8">
        <v>55</v>
      </c>
      <c r="E9593" s="8">
        <v>0</v>
      </c>
      <c r="F9593" s="8">
        <v>0</v>
      </c>
      <c r="G9593" s="8">
        <v>15</v>
      </c>
      <c r="H9593" s="8" t="s">
        <v>44824</v>
      </c>
      <c r="I9593" s="8">
        <v>526.5</v>
      </c>
      <c r="J9593" s="3">
        <f t="shared" si="149"/>
        <v>43749.176366944441</v>
      </c>
    </row>
    <row r="9594" spans="1:10" x14ac:dyDescent="0.25">
      <c r="A9594" s="5" t="s">
        <v>44825</v>
      </c>
      <c r="B9594" s="6">
        <v>421.875</v>
      </c>
      <c r="C9594" s="6">
        <v>20.478950000000001</v>
      </c>
      <c r="D9594" s="6">
        <v>56</v>
      </c>
      <c r="E9594" s="6">
        <v>0</v>
      </c>
      <c r="F9594" s="6">
        <v>0</v>
      </c>
      <c r="G9594" s="6">
        <v>8</v>
      </c>
      <c r="H9594" s="6" t="s">
        <v>44826</v>
      </c>
      <c r="I9594" s="6">
        <v>535.5</v>
      </c>
      <c r="J9594" s="2">
        <f t="shared" si="149"/>
        <v>43749.176438460643</v>
      </c>
    </row>
    <row r="9595" spans="1:10" x14ac:dyDescent="0.25">
      <c r="A9595" s="7" t="s">
        <v>44827</v>
      </c>
      <c r="B9595" s="8">
        <v>393.75</v>
      </c>
      <c r="C9595" s="8">
        <v>20.426300000000001</v>
      </c>
      <c r="D9595" s="8">
        <v>56</v>
      </c>
      <c r="E9595" s="8">
        <v>0</v>
      </c>
      <c r="F9595" s="8">
        <v>0</v>
      </c>
      <c r="G9595" s="8">
        <v>3</v>
      </c>
      <c r="H9595" s="8" t="s">
        <v>44828</v>
      </c>
      <c r="I9595" s="8">
        <v>526.5</v>
      </c>
      <c r="J9595" s="3">
        <f t="shared" si="149"/>
        <v>43749.176510046294</v>
      </c>
    </row>
    <row r="9596" spans="1:10" x14ac:dyDescent="0.25">
      <c r="A9596" s="5" t="s">
        <v>44829</v>
      </c>
      <c r="B9596" s="6">
        <v>393.75</v>
      </c>
      <c r="C9596" s="6">
        <v>20.426300000000001</v>
      </c>
      <c r="D9596" s="6">
        <v>56</v>
      </c>
      <c r="E9596" s="6">
        <v>0</v>
      </c>
      <c r="F9596" s="6">
        <v>0</v>
      </c>
      <c r="G9596" s="6">
        <v>12</v>
      </c>
      <c r="H9596" s="6" t="s">
        <v>44830</v>
      </c>
      <c r="I9596" s="6">
        <v>526.6875</v>
      </c>
      <c r="J9596" s="2">
        <f t="shared" si="149"/>
        <v>43749.176593206015</v>
      </c>
    </row>
    <row r="9597" spans="1:10" x14ac:dyDescent="0.25">
      <c r="A9597" s="7" t="s">
        <v>44831</v>
      </c>
      <c r="B9597" s="8">
        <v>393.75</v>
      </c>
      <c r="C9597" s="8">
        <v>20.478950000000001</v>
      </c>
      <c r="D9597" s="8">
        <v>55</v>
      </c>
      <c r="E9597" s="8">
        <v>0</v>
      </c>
      <c r="F9597" s="8">
        <v>0</v>
      </c>
      <c r="G9597" s="8">
        <v>6</v>
      </c>
      <c r="H9597" s="8" t="s">
        <v>44832</v>
      </c>
      <c r="I9597" s="8">
        <v>526.6875</v>
      </c>
      <c r="J9597" s="3">
        <f t="shared" si="149"/>
        <v>43749.176665104162</v>
      </c>
    </row>
    <row r="9598" spans="1:10" x14ac:dyDescent="0.25">
      <c r="A9598" s="5" t="s">
        <v>44833</v>
      </c>
      <c r="B9598" s="6">
        <v>393.75</v>
      </c>
      <c r="C9598" s="6">
        <v>20.478950000000001</v>
      </c>
      <c r="D9598" s="6">
        <v>55</v>
      </c>
      <c r="E9598" s="6">
        <v>0</v>
      </c>
      <c r="F9598" s="6">
        <v>0</v>
      </c>
      <c r="G9598" s="6">
        <v>9</v>
      </c>
      <c r="H9598" s="6" t="s">
        <v>44834</v>
      </c>
      <c r="I9598" s="6">
        <v>526.6875</v>
      </c>
      <c r="J9598" s="2">
        <f t="shared" si="149"/>
        <v>43749.176748194441</v>
      </c>
    </row>
    <row r="9599" spans="1:10" x14ac:dyDescent="0.25">
      <c r="A9599" s="7" t="s">
        <v>44835</v>
      </c>
      <c r="B9599" s="8">
        <v>393.75</v>
      </c>
      <c r="C9599" s="8">
        <v>20.426300000000001</v>
      </c>
      <c r="D9599" s="8">
        <v>55</v>
      </c>
      <c r="E9599" s="8">
        <v>0</v>
      </c>
      <c r="F9599" s="8">
        <v>0</v>
      </c>
      <c r="G9599" s="8">
        <v>11</v>
      </c>
      <c r="H9599" s="8" t="s">
        <v>44836</v>
      </c>
      <c r="I9599" s="8">
        <v>526.6875</v>
      </c>
      <c r="J9599" s="3">
        <f t="shared" si="149"/>
        <v>43749.176820219909</v>
      </c>
    </row>
    <row r="9600" spans="1:10" x14ac:dyDescent="0.25">
      <c r="A9600" s="5" t="s">
        <v>44837</v>
      </c>
      <c r="B9600" s="6">
        <v>393.75</v>
      </c>
      <c r="C9600" s="6">
        <v>20.478950000000001</v>
      </c>
      <c r="D9600" s="6">
        <v>56</v>
      </c>
      <c r="E9600" s="6">
        <v>0</v>
      </c>
      <c r="F9600" s="6">
        <v>0</v>
      </c>
      <c r="G9600" s="6">
        <v>12</v>
      </c>
      <c r="H9600" s="6" t="s">
        <v>44838</v>
      </c>
      <c r="I9600" s="6">
        <v>526.6875</v>
      </c>
      <c r="J9600" s="2">
        <f t="shared" si="149"/>
        <v>43749.176891701391</v>
      </c>
    </row>
    <row r="9601" spans="1:10" x14ac:dyDescent="0.25">
      <c r="A9601" s="7" t="s">
        <v>44839</v>
      </c>
      <c r="B9601" s="8">
        <v>412.5</v>
      </c>
      <c r="C9601" s="8">
        <v>20.478950000000001</v>
      </c>
      <c r="D9601" s="8">
        <v>56</v>
      </c>
      <c r="E9601" s="8">
        <v>0</v>
      </c>
      <c r="F9601" s="8">
        <v>0</v>
      </c>
      <c r="G9601" s="8">
        <v>4</v>
      </c>
      <c r="H9601" s="8" t="s">
        <v>44840</v>
      </c>
      <c r="I9601" s="8">
        <v>532.3125</v>
      </c>
      <c r="J9601" s="3">
        <f t="shared" si="149"/>
        <v>43749.176963113423</v>
      </c>
    </row>
    <row r="9602" spans="1:10" x14ac:dyDescent="0.25">
      <c r="A9602" s="5" t="s">
        <v>44841</v>
      </c>
      <c r="B9602" s="6">
        <v>393.75</v>
      </c>
      <c r="C9602" s="6">
        <v>20.478950000000001</v>
      </c>
      <c r="D9602" s="6">
        <v>56</v>
      </c>
      <c r="E9602" s="6">
        <v>0</v>
      </c>
      <c r="F9602" s="6">
        <v>0</v>
      </c>
      <c r="G9602" s="6">
        <v>5</v>
      </c>
      <c r="H9602" s="6" t="s">
        <v>44842</v>
      </c>
      <c r="I9602" s="6">
        <v>526.5</v>
      </c>
      <c r="J9602" s="2">
        <f t="shared" ref="J9602:J9665" si="150">(H9602/86400000)+25569+(7/24)</f>
        <v>43749.177034756947</v>
      </c>
    </row>
    <row r="9603" spans="1:10" x14ac:dyDescent="0.25">
      <c r="A9603" s="7" t="s">
        <v>44843</v>
      </c>
      <c r="B9603" s="8">
        <v>393.75</v>
      </c>
      <c r="C9603" s="8">
        <v>20.478950000000001</v>
      </c>
      <c r="D9603" s="8">
        <v>56</v>
      </c>
      <c r="E9603" s="8">
        <v>0</v>
      </c>
      <c r="F9603" s="8">
        <v>0</v>
      </c>
      <c r="G9603" s="8">
        <v>2</v>
      </c>
      <c r="H9603" s="8" t="s">
        <v>44844</v>
      </c>
      <c r="I9603" s="8">
        <v>526.6875</v>
      </c>
      <c r="J9603" s="3">
        <f t="shared" si="150"/>
        <v>43749.177106284718</v>
      </c>
    </row>
    <row r="9604" spans="1:10" x14ac:dyDescent="0.25">
      <c r="A9604" s="5" t="s">
        <v>44845</v>
      </c>
      <c r="B9604" s="6">
        <v>393.75</v>
      </c>
      <c r="C9604" s="6">
        <v>20.478950000000001</v>
      </c>
      <c r="D9604" s="6">
        <v>56</v>
      </c>
      <c r="E9604" s="6">
        <v>0</v>
      </c>
      <c r="F9604" s="6">
        <v>0</v>
      </c>
      <c r="G9604" s="6">
        <v>15</v>
      </c>
      <c r="H9604" s="6" t="s">
        <v>44846</v>
      </c>
      <c r="I9604" s="6">
        <v>526.6875</v>
      </c>
      <c r="J9604" s="2">
        <f t="shared" si="150"/>
        <v>43749.177189513888</v>
      </c>
    </row>
    <row r="9605" spans="1:10" x14ac:dyDescent="0.25">
      <c r="A9605" s="7" t="s">
        <v>44847</v>
      </c>
      <c r="B9605" s="8">
        <v>393.75</v>
      </c>
      <c r="C9605" s="8">
        <v>20.478950000000001</v>
      </c>
      <c r="D9605" s="8">
        <v>56</v>
      </c>
      <c r="E9605" s="8">
        <v>0</v>
      </c>
      <c r="F9605" s="8">
        <v>0</v>
      </c>
      <c r="G9605" s="8">
        <v>11</v>
      </c>
      <c r="H9605" s="8" t="s">
        <v>44848</v>
      </c>
      <c r="I9605" s="8">
        <v>526.6875</v>
      </c>
      <c r="J9605" s="3">
        <f t="shared" si="150"/>
        <v>43749.177273252317</v>
      </c>
    </row>
    <row r="9606" spans="1:10" x14ac:dyDescent="0.25">
      <c r="A9606" s="5" t="s">
        <v>44849</v>
      </c>
      <c r="B9606" s="6">
        <v>393.75</v>
      </c>
      <c r="C9606" s="6">
        <v>20.478950000000001</v>
      </c>
      <c r="D9606" s="6">
        <v>55</v>
      </c>
      <c r="E9606" s="6">
        <v>0</v>
      </c>
      <c r="F9606" s="6">
        <v>0</v>
      </c>
      <c r="G9606" s="6">
        <v>11</v>
      </c>
      <c r="H9606" s="6" t="s">
        <v>44850</v>
      </c>
      <c r="I9606" s="6">
        <v>526.6875</v>
      </c>
      <c r="J9606" s="2">
        <f t="shared" si="150"/>
        <v>43749.177356921289</v>
      </c>
    </row>
    <row r="9607" spans="1:10" x14ac:dyDescent="0.25">
      <c r="A9607" s="7" t="s">
        <v>44851</v>
      </c>
      <c r="B9607" s="8">
        <v>415.625</v>
      </c>
      <c r="C9607" s="8">
        <v>20.478950000000001</v>
      </c>
      <c r="D9607" s="8">
        <v>55</v>
      </c>
      <c r="E9607" s="8">
        <v>0</v>
      </c>
      <c r="F9607" s="8">
        <v>0</v>
      </c>
      <c r="G9607" s="8">
        <v>3</v>
      </c>
      <c r="H9607" s="8" t="s">
        <v>44852</v>
      </c>
      <c r="I9607" s="8">
        <v>533.0625</v>
      </c>
      <c r="J9607" s="3">
        <f t="shared" si="150"/>
        <v>43749.177428287039</v>
      </c>
    </row>
    <row r="9608" spans="1:10" x14ac:dyDescent="0.25">
      <c r="A9608" s="5" t="s">
        <v>44853</v>
      </c>
      <c r="B9608" s="6">
        <v>393.75</v>
      </c>
      <c r="C9608" s="6">
        <v>20.478950000000001</v>
      </c>
      <c r="D9608" s="6">
        <v>55</v>
      </c>
      <c r="E9608" s="6">
        <v>0</v>
      </c>
      <c r="F9608" s="6">
        <v>0</v>
      </c>
      <c r="G9608" s="6">
        <v>8</v>
      </c>
      <c r="H9608" s="6" t="s">
        <v>44854</v>
      </c>
      <c r="I9608" s="6">
        <v>526.6875</v>
      </c>
      <c r="J9608" s="2">
        <f t="shared" si="150"/>
        <v>43749.17751173611</v>
      </c>
    </row>
    <row r="9609" spans="1:10" x14ac:dyDescent="0.25">
      <c r="A9609" s="7" t="s">
        <v>44855</v>
      </c>
      <c r="B9609" s="8">
        <v>393.75</v>
      </c>
      <c r="C9609" s="8">
        <v>20.478950000000001</v>
      </c>
      <c r="D9609" s="8">
        <v>55</v>
      </c>
      <c r="E9609" s="8">
        <v>0</v>
      </c>
      <c r="F9609" s="8">
        <v>0</v>
      </c>
      <c r="G9609" s="8">
        <v>4</v>
      </c>
      <c r="H9609" s="8" t="s">
        <v>44856</v>
      </c>
      <c r="I9609" s="8">
        <v>526.5</v>
      </c>
      <c r="J9609" s="3">
        <f t="shared" si="150"/>
        <v>43749.177583321762</v>
      </c>
    </row>
    <row r="9610" spans="1:10" x14ac:dyDescent="0.25">
      <c r="A9610" s="5" t="s">
        <v>44857</v>
      </c>
      <c r="B9610" s="6">
        <v>393.75</v>
      </c>
      <c r="C9610" s="6">
        <v>20.478950000000001</v>
      </c>
      <c r="D9610" s="6">
        <v>55</v>
      </c>
      <c r="E9610" s="6">
        <v>0</v>
      </c>
      <c r="F9610" s="6">
        <v>0</v>
      </c>
      <c r="G9610" s="6">
        <v>17</v>
      </c>
      <c r="H9610" s="6" t="s">
        <v>44858</v>
      </c>
      <c r="I9610" s="6">
        <v>526.5</v>
      </c>
      <c r="J9610" s="2">
        <f t="shared" si="150"/>
        <v>43749.177666770825</v>
      </c>
    </row>
    <row r="9611" spans="1:10" x14ac:dyDescent="0.25">
      <c r="A9611" s="7" t="s">
        <v>44859</v>
      </c>
      <c r="B9611" s="8">
        <v>393.75</v>
      </c>
      <c r="C9611" s="8">
        <v>20.478950000000001</v>
      </c>
      <c r="D9611" s="8">
        <v>55</v>
      </c>
      <c r="E9611" s="8">
        <v>0</v>
      </c>
      <c r="F9611" s="8">
        <v>0</v>
      </c>
      <c r="G9611" s="8">
        <v>8</v>
      </c>
      <c r="H9611" s="8" t="s">
        <v>44860</v>
      </c>
      <c r="I9611" s="8">
        <v>526.5</v>
      </c>
      <c r="J9611" s="3">
        <f t="shared" si="150"/>
        <v>43749.17773851852</v>
      </c>
    </row>
    <row r="9612" spans="1:10" x14ac:dyDescent="0.25">
      <c r="A9612" s="5" t="s">
        <v>44861</v>
      </c>
      <c r="B9612" s="6">
        <v>393.75</v>
      </c>
      <c r="C9612" s="6">
        <v>20.478950000000001</v>
      </c>
      <c r="D9612" s="6">
        <v>57</v>
      </c>
      <c r="E9612" s="6">
        <v>0</v>
      </c>
      <c r="F9612" s="6">
        <v>0</v>
      </c>
      <c r="G9612" s="6">
        <v>10</v>
      </c>
      <c r="H9612" s="6" t="s">
        <v>44862</v>
      </c>
      <c r="I9612" s="6">
        <v>526.6875</v>
      </c>
      <c r="J9612" s="2">
        <f t="shared" si="150"/>
        <v>43749.177809884255</v>
      </c>
    </row>
    <row r="9613" spans="1:10" x14ac:dyDescent="0.25">
      <c r="A9613" s="7" t="s">
        <v>44863</v>
      </c>
      <c r="B9613" s="8">
        <v>393.75</v>
      </c>
      <c r="C9613" s="8">
        <v>20.478950000000001</v>
      </c>
      <c r="D9613" s="8">
        <v>57</v>
      </c>
      <c r="E9613" s="8">
        <v>0</v>
      </c>
      <c r="F9613" s="8">
        <v>0</v>
      </c>
      <c r="G9613" s="8">
        <v>2</v>
      </c>
      <c r="H9613" s="8" t="s">
        <v>44864</v>
      </c>
      <c r="I9613" s="8">
        <v>526.6875</v>
      </c>
      <c r="J9613" s="3">
        <f t="shared" si="150"/>
        <v>43749.177893206019</v>
      </c>
    </row>
    <row r="9614" spans="1:10" x14ac:dyDescent="0.25">
      <c r="A9614" s="5" t="s">
        <v>44865</v>
      </c>
      <c r="B9614" s="6">
        <v>393.75</v>
      </c>
      <c r="C9614" s="6">
        <v>20.478950000000001</v>
      </c>
      <c r="D9614" s="6">
        <v>57</v>
      </c>
      <c r="E9614" s="6">
        <v>0</v>
      </c>
      <c r="F9614" s="6">
        <v>0</v>
      </c>
      <c r="G9614" s="6">
        <v>1</v>
      </c>
      <c r="H9614" s="6" t="s">
        <v>44866</v>
      </c>
      <c r="I9614" s="6">
        <v>526.6875</v>
      </c>
      <c r="J9614" s="2">
        <f t="shared" si="150"/>
        <v>43749.177964918978</v>
      </c>
    </row>
    <row r="9615" spans="1:10" x14ac:dyDescent="0.25">
      <c r="A9615" s="7" t="s">
        <v>44867</v>
      </c>
      <c r="B9615" s="8">
        <v>393.75</v>
      </c>
      <c r="C9615" s="8">
        <v>20.478950000000001</v>
      </c>
      <c r="D9615" s="8">
        <v>58</v>
      </c>
      <c r="E9615" s="8">
        <v>0</v>
      </c>
      <c r="F9615" s="8">
        <v>0</v>
      </c>
      <c r="G9615" s="8">
        <v>9</v>
      </c>
      <c r="H9615" s="8" t="s">
        <v>44868</v>
      </c>
      <c r="I9615" s="8">
        <v>526.6875</v>
      </c>
      <c r="J9615" s="3">
        <f t="shared" si="150"/>
        <v>43749.178048425929</v>
      </c>
    </row>
    <row r="9616" spans="1:10" x14ac:dyDescent="0.25">
      <c r="A9616" s="5" t="s">
        <v>44869</v>
      </c>
      <c r="B9616" s="6">
        <v>393.75</v>
      </c>
      <c r="C9616" s="6">
        <v>20.478950000000001</v>
      </c>
      <c r="D9616" s="6">
        <v>57</v>
      </c>
      <c r="E9616" s="6">
        <v>0</v>
      </c>
      <c r="F9616" s="6">
        <v>0</v>
      </c>
      <c r="G9616" s="6">
        <v>9</v>
      </c>
      <c r="H9616" s="6" t="s">
        <v>44870</v>
      </c>
      <c r="I9616" s="6">
        <v>526.6875</v>
      </c>
      <c r="J9616" s="2">
        <f t="shared" si="150"/>
        <v>43749.178131886576</v>
      </c>
    </row>
    <row r="9617" spans="1:10" x14ac:dyDescent="0.25">
      <c r="A9617" s="7" t="s">
        <v>44871</v>
      </c>
      <c r="B9617" s="8">
        <v>393.75</v>
      </c>
      <c r="C9617" s="8">
        <v>20.478950000000001</v>
      </c>
      <c r="D9617" s="8">
        <v>56</v>
      </c>
      <c r="E9617" s="8">
        <v>0</v>
      </c>
      <c r="F9617" s="8">
        <v>0</v>
      </c>
      <c r="G9617" s="8">
        <v>5</v>
      </c>
      <c r="H9617" s="8" t="s">
        <v>44872</v>
      </c>
      <c r="I9617" s="8">
        <v>526.6875</v>
      </c>
      <c r="J9617" s="3">
        <f t="shared" si="150"/>
        <v>43749.178215428234</v>
      </c>
    </row>
    <row r="9618" spans="1:10" x14ac:dyDescent="0.25">
      <c r="A9618" s="5" t="s">
        <v>44873</v>
      </c>
      <c r="B9618" s="6">
        <v>393.75</v>
      </c>
      <c r="C9618" s="6">
        <v>20.478950000000001</v>
      </c>
      <c r="D9618" s="6">
        <v>56</v>
      </c>
      <c r="E9618" s="6">
        <v>0</v>
      </c>
      <c r="F9618" s="6">
        <v>0</v>
      </c>
      <c r="G9618" s="6">
        <v>2</v>
      </c>
      <c r="H9618" s="6" t="s">
        <v>44874</v>
      </c>
      <c r="I9618" s="6">
        <v>526.6875</v>
      </c>
      <c r="J9618" s="2">
        <f t="shared" si="150"/>
        <v>43749.17830097222</v>
      </c>
    </row>
    <row r="9619" spans="1:10" x14ac:dyDescent="0.25">
      <c r="A9619" s="7" t="s">
        <v>44875</v>
      </c>
      <c r="B9619" s="8">
        <v>393.75</v>
      </c>
      <c r="C9619" s="8">
        <v>20.478950000000001</v>
      </c>
      <c r="D9619" s="8">
        <v>56</v>
      </c>
      <c r="E9619" s="8">
        <v>0</v>
      </c>
      <c r="F9619" s="8">
        <v>0</v>
      </c>
      <c r="G9619" s="8">
        <v>7</v>
      </c>
      <c r="H9619" s="8" t="s">
        <v>44876</v>
      </c>
      <c r="I9619" s="8">
        <v>526.6875</v>
      </c>
      <c r="J9619" s="3">
        <f t="shared" si="150"/>
        <v>43749.17838208333</v>
      </c>
    </row>
    <row r="9620" spans="1:10" x14ac:dyDescent="0.25">
      <c r="A9620" s="5" t="s">
        <v>44877</v>
      </c>
      <c r="B9620" s="6">
        <v>393.75</v>
      </c>
      <c r="C9620" s="6">
        <v>20.478950000000001</v>
      </c>
      <c r="D9620" s="6">
        <v>57</v>
      </c>
      <c r="E9620" s="6">
        <v>0</v>
      </c>
      <c r="F9620" s="6">
        <v>0</v>
      </c>
      <c r="G9620" s="6">
        <v>14</v>
      </c>
      <c r="H9620" s="6" t="s">
        <v>44878</v>
      </c>
      <c r="I9620" s="6">
        <v>526.5</v>
      </c>
      <c r="J9620" s="2">
        <f t="shared" si="150"/>
        <v>43749.178453819441</v>
      </c>
    </row>
    <row r="9621" spans="1:10" x14ac:dyDescent="0.25">
      <c r="A9621" s="7" t="s">
        <v>44879</v>
      </c>
      <c r="B9621" s="8">
        <v>393.75</v>
      </c>
      <c r="C9621" s="8">
        <v>20.478950000000001</v>
      </c>
      <c r="D9621" s="8">
        <v>57</v>
      </c>
      <c r="E9621" s="8">
        <v>0</v>
      </c>
      <c r="F9621" s="8">
        <v>0</v>
      </c>
      <c r="G9621" s="8">
        <v>8</v>
      </c>
      <c r="H9621" s="8" t="s">
        <v>44880</v>
      </c>
      <c r="I9621" s="8">
        <v>526.6875</v>
      </c>
      <c r="J9621" s="3">
        <f t="shared" si="150"/>
        <v>43749.178537280088</v>
      </c>
    </row>
    <row r="9622" spans="1:10" x14ac:dyDescent="0.25">
      <c r="A9622" s="5" t="s">
        <v>44881</v>
      </c>
      <c r="B9622" s="6">
        <v>393.75</v>
      </c>
      <c r="C9622" s="6">
        <v>20.478950000000001</v>
      </c>
      <c r="D9622" s="6">
        <v>57</v>
      </c>
      <c r="E9622" s="6">
        <v>0</v>
      </c>
      <c r="F9622" s="6">
        <v>0</v>
      </c>
      <c r="G9622" s="6">
        <v>11</v>
      </c>
      <c r="H9622" s="6" t="s">
        <v>44882</v>
      </c>
      <c r="I9622" s="6">
        <v>526.6875</v>
      </c>
      <c r="J9622" s="2">
        <f t="shared" si="150"/>
        <v>43749.178609259259</v>
      </c>
    </row>
    <row r="9623" spans="1:10" x14ac:dyDescent="0.25">
      <c r="A9623" s="7" t="s">
        <v>44883</v>
      </c>
      <c r="B9623" s="8">
        <v>393.75</v>
      </c>
      <c r="C9623" s="8">
        <v>20.478950000000001</v>
      </c>
      <c r="D9623" s="8">
        <v>56</v>
      </c>
      <c r="E9623" s="8">
        <v>0</v>
      </c>
      <c r="F9623" s="8">
        <v>0</v>
      </c>
      <c r="G9623" s="8">
        <v>10</v>
      </c>
      <c r="H9623" s="8" t="s">
        <v>44884</v>
      </c>
      <c r="I9623" s="8">
        <v>526.6875</v>
      </c>
      <c r="J9623" s="3">
        <f t="shared" si="150"/>
        <v>43749.178692372683</v>
      </c>
    </row>
    <row r="9624" spans="1:10" x14ac:dyDescent="0.25">
      <c r="A9624" s="5" t="s">
        <v>44885</v>
      </c>
      <c r="B9624" s="6">
        <v>393.75</v>
      </c>
      <c r="C9624" s="6">
        <v>20.478950000000001</v>
      </c>
      <c r="D9624" s="6">
        <v>58</v>
      </c>
      <c r="E9624" s="6">
        <v>0</v>
      </c>
      <c r="F9624" s="6">
        <v>0</v>
      </c>
      <c r="G9624" s="6">
        <v>12</v>
      </c>
      <c r="H9624" s="6" t="s">
        <v>44886</v>
      </c>
      <c r="I9624" s="6">
        <v>526.6875</v>
      </c>
      <c r="J9624" s="2">
        <f t="shared" si="150"/>
        <v>43749.178763541662</v>
      </c>
    </row>
    <row r="9625" spans="1:10" x14ac:dyDescent="0.25">
      <c r="A9625" s="7" t="s">
        <v>44887</v>
      </c>
      <c r="B9625" s="8">
        <v>393.75</v>
      </c>
      <c r="C9625" s="8">
        <v>20.478950000000001</v>
      </c>
      <c r="D9625" s="8">
        <v>57</v>
      </c>
      <c r="E9625" s="8">
        <v>0</v>
      </c>
      <c r="F9625" s="8">
        <v>0</v>
      </c>
      <c r="G9625" s="8">
        <v>2</v>
      </c>
      <c r="H9625" s="8" t="s">
        <v>44888</v>
      </c>
      <c r="I9625" s="8">
        <v>526.6875</v>
      </c>
      <c r="J9625" s="3">
        <f t="shared" si="150"/>
        <v>43749.178835405088</v>
      </c>
    </row>
    <row r="9626" spans="1:10" x14ac:dyDescent="0.25">
      <c r="A9626" s="5" t="s">
        <v>44889</v>
      </c>
      <c r="B9626" s="6">
        <v>393.75</v>
      </c>
      <c r="C9626" s="6">
        <v>20.426300000000001</v>
      </c>
      <c r="D9626" s="6">
        <v>56</v>
      </c>
      <c r="E9626" s="6">
        <v>0</v>
      </c>
      <c r="F9626" s="6">
        <v>0</v>
      </c>
      <c r="G9626" s="6">
        <v>6</v>
      </c>
      <c r="H9626" s="6" t="s">
        <v>44890</v>
      </c>
      <c r="I9626" s="6">
        <v>526.6875</v>
      </c>
      <c r="J9626" s="2">
        <f t="shared" si="150"/>
        <v>43749.178907094909</v>
      </c>
    </row>
    <row r="9627" spans="1:10" x14ac:dyDescent="0.25">
      <c r="A9627" s="7" t="s">
        <v>44891</v>
      </c>
      <c r="B9627" s="8">
        <v>393.75</v>
      </c>
      <c r="C9627" s="8">
        <v>20.478950000000001</v>
      </c>
      <c r="D9627" s="8">
        <v>55</v>
      </c>
      <c r="E9627" s="8">
        <v>0</v>
      </c>
      <c r="F9627" s="8">
        <v>0</v>
      </c>
      <c r="G9627" s="8">
        <v>13</v>
      </c>
      <c r="H9627" s="8" t="s">
        <v>44892</v>
      </c>
      <c r="I9627" s="8">
        <v>526.6875</v>
      </c>
      <c r="J9627" s="3">
        <f t="shared" si="150"/>
        <v>43749.178978356482</v>
      </c>
    </row>
    <row r="9628" spans="1:10" x14ac:dyDescent="0.25">
      <c r="A9628" s="5" t="s">
        <v>44893</v>
      </c>
      <c r="B9628" s="6">
        <v>393.75</v>
      </c>
      <c r="C9628" s="6">
        <v>20.478950000000001</v>
      </c>
      <c r="D9628" s="6">
        <v>56</v>
      </c>
      <c r="E9628" s="6">
        <v>0</v>
      </c>
      <c r="F9628" s="6">
        <v>0</v>
      </c>
      <c r="G9628" s="6">
        <v>8</v>
      </c>
      <c r="H9628" s="6" t="s">
        <v>44894</v>
      </c>
      <c r="I9628" s="6">
        <v>526.6875</v>
      </c>
      <c r="J9628" s="2">
        <f t="shared" si="150"/>
        <v>43749.179050115737</v>
      </c>
    </row>
    <row r="9629" spans="1:10" x14ac:dyDescent="0.25">
      <c r="A9629" s="7" t="s">
        <v>44895</v>
      </c>
      <c r="B9629" s="8">
        <v>393.75</v>
      </c>
      <c r="C9629" s="8">
        <v>20.478950000000001</v>
      </c>
      <c r="D9629" s="8">
        <v>56</v>
      </c>
      <c r="E9629" s="8">
        <v>0</v>
      </c>
      <c r="F9629" s="8">
        <v>0</v>
      </c>
      <c r="G9629" s="8">
        <v>13</v>
      </c>
      <c r="H9629" s="8" t="s">
        <v>44896</v>
      </c>
      <c r="I9629" s="8">
        <v>526.6875</v>
      </c>
      <c r="J9629" s="3">
        <f t="shared" si="150"/>
        <v>43749.179133564809</v>
      </c>
    </row>
    <row r="9630" spans="1:10" x14ac:dyDescent="0.25">
      <c r="A9630" s="5" t="s">
        <v>44897</v>
      </c>
      <c r="B9630" s="6">
        <v>393.75</v>
      </c>
      <c r="C9630" s="6">
        <v>20.478950000000001</v>
      </c>
      <c r="D9630" s="6">
        <v>56</v>
      </c>
      <c r="E9630" s="6">
        <v>0</v>
      </c>
      <c r="F9630" s="6">
        <v>0</v>
      </c>
      <c r="G9630" s="6">
        <v>6</v>
      </c>
      <c r="H9630" s="6" t="s">
        <v>44898</v>
      </c>
      <c r="I9630" s="6">
        <v>526.6875</v>
      </c>
      <c r="J9630" s="2">
        <f t="shared" si="150"/>
        <v>43749.179217060184</v>
      </c>
    </row>
    <row r="9631" spans="1:10" x14ac:dyDescent="0.25">
      <c r="A9631" s="7" t="s">
        <v>44899</v>
      </c>
      <c r="B9631" s="8">
        <v>412.5</v>
      </c>
      <c r="C9631" s="8">
        <v>20.478950000000001</v>
      </c>
      <c r="D9631" s="8">
        <v>56</v>
      </c>
      <c r="E9631" s="8">
        <v>0</v>
      </c>
      <c r="F9631" s="8">
        <v>0</v>
      </c>
      <c r="G9631" s="8">
        <v>12</v>
      </c>
      <c r="H9631" s="8" t="s">
        <v>44900</v>
      </c>
      <c r="I9631" s="8">
        <v>532.6875</v>
      </c>
      <c r="J9631" s="3">
        <f t="shared" si="150"/>
        <v>43749.179300601849</v>
      </c>
    </row>
    <row r="9632" spans="1:10" x14ac:dyDescent="0.25">
      <c r="A9632" s="5" t="s">
        <v>44901</v>
      </c>
      <c r="B9632" s="6">
        <v>393.75</v>
      </c>
      <c r="C9632" s="6">
        <v>20.478950000000001</v>
      </c>
      <c r="D9632" s="6">
        <v>56</v>
      </c>
      <c r="E9632" s="6">
        <v>0</v>
      </c>
      <c r="F9632" s="6">
        <v>0</v>
      </c>
      <c r="G9632" s="6">
        <v>13</v>
      </c>
      <c r="H9632" s="6" t="s">
        <v>44902</v>
      </c>
      <c r="I9632" s="6">
        <v>526.6875</v>
      </c>
      <c r="J9632" s="2">
        <f t="shared" si="150"/>
        <v>43749.179372118051</v>
      </c>
    </row>
    <row r="9633" spans="1:10" x14ac:dyDescent="0.25">
      <c r="A9633" s="7" t="s">
        <v>44903</v>
      </c>
      <c r="B9633" s="8">
        <v>393.75</v>
      </c>
      <c r="C9633" s="8">
        <v>20.426300000000001</v>
      </c>
      <c r="D9633" s="8">
        <v>56</v>
      </c>
      <c r="E9633" s="8">
        <v>0</v>
      </c>
      <c r="F9633" s="8">
        <v>0</v>
      </c>
      <c r="G9633" s="8">
        <v>9</v>
      </c>
      <c r="H9633" s="8" t="s">
        <v>44904</v>
      </c>
      <c r="I9633" s="8">
        <v>526.5</v>
      </c>
      <c r="J9633" s="3">
        <f t="shared" si="150"/>
        <v>43749.179455648147</v>
      </c>
    </row>
    <row r="9634" spans="1:10" x14ac:dyDescent="0.25">
      <c r="A9634" s="5" t="s">
        <v>44905</v>
      </c>
      <c r="B9634" s="6">
        <v>393.75</v>
      </c>
      <c r="C9634" s="6">
        <v>20.478950000000001</v>
      </c>
      <c r="D9634" s="6">
        <v>55</v>
      </c>
      <c r="E9634" s="6">
        <v>0</v>
      </c>
      <c r="F9634" s="6">
        <v>0</v>
      </c>
      <c r="G9634" s="6">
        <v>16</v>
      </c>
      <c r="H9634" s="6" t="s">
        <v>44906</v>
      </c>
      <c r="I9634" s="6">
        <v>526.6875</v>
      </c>
      <c r="J9634" s="2">
        <f t="shared" si="150"/>
        <v>43749.179526851854</v>
      </c>
    </row>
    <row r="9635" spans="1:10" x14ac:dyDescent="0.25">
      <c r="A9635" s="7" t="s">
        <v>44907</v>
      </c>
      <c r="B9635" s="8">
        <v>393.75</v>
      </c>
      <c r="C9635" s="8">
        <v>20.478950000000001</v>
      </c>
      <c r="D9635" s="8">
        <v>55</v>
      </c>
      <c r="E9635" s="8">
        <v>0</v>
      </c>
      <c r="F9635" s="8">
        <v>0</v>
      </c>
      <c r="G9635" s="8">
        <v>6</v>
      </c>
      <c r="H9635" s="8" t="s">
        <v>44908</v>
      </c>
      <c r="I9635" s="8">
        <v>526.6875</v>
      </c>
      <c r="J9635" s="3">
        <f t="shared" si="150"/>
        <v>43749.179598738425</v>
      </c>
    </row>
    <row r="9636" spans="1:10" x14ac:dyDescent="0.25">
      <c r="A9636" s="5" t="s">
        <v>44909</v>
      </c>
      <c r="B9636" s="6">
        <v>393.75</v>
      </c>
      <c r="C9636" s="6">
        <v>20.478950000000001</v>
      </c>
      <c r="D9636" s="6">
        <v>55</v>
      </c>
      <c r="E9636" s="6">
        <v>0</v>
      </c>
      <c r="F9636" s="6">
        <v>0</v>
      </c>
      <c r="G9636" s="6">
        <v>8</v>
      </c>
      <c r="H9636" s="6" t="s">
        <v>44910</v>
      </c>
      <c r="I9636" s="6">
        <v>526.6875</v>
      </c>
      <c r="J9636" s="2">
        <f t="shared" si="150"/>
        <v>43749.179682071757</v>
      </c>
    </row>
    <row r="9637" spans="1:10" x14ac:dyDescent="0.25">
      <c r="A9637" s="7" t="s">
        <v>44911</v>
      </c>
      <c r="B9637" s="8">
        <v>393.75</v>
      </c>
      <c r="C9637" s="8">
        <v>20.478950000000001</v>
      </c>
      <c r="D9637" s="8">
        <v>56</v>
      </c>
      <c r="E9637" s="8">
        <v>0</v>
      </c>
      <c r="F9637" s="8">
        <v>0</v>
      </c>
      <c r="G9637" s="8">
        <v>17</v>
      </c>
      <c r="H9637" s="8" t="s">
        <v>44912</v>
      </c>
      <c r="I9637" s="8">
        <v>526.5</v>
      </c>
      <c r="J9637" s="3">
        <f t="shared" si="150"/>
        <v>43749.179753715274</v>
      </c>
    </row>
    <row r="9638" spans="1:10" x14ac:dyDescent="0.25">
      <c r="A9638" s="5" t="s">
        <v>44913</v>
      </c>
      <c r="B9638" s="6">
        <v>393.75</v>
      </c>
      <c r="C9638" s="6">
        <v>20.478950000000001</v>
      </c>
      <c r="D9638" s="6">
        <v>56</v>
      </c>
      <c r="E9638" s="6">
        <v>0</v>
      </c>
      <c r="F9638" s="6">
        <v>0</v>
      </c>
      <c r="G9638" s="6">
        <v>16</v>
      </c>
      <c r="H9638" s="6" t="s">
        <v>44914</v>
      </c>
      <c r="I9638" s="6">
        <v>526.6875</v>
      </c>
      <c r="J9638" s="2">
        <f t="shared" si="150"/>
        <v>43749.179825057865</v>
      </c>
    </row>
    <row r="9639" spans="1:10" x14ac:dyDescent="0.25">
      <c r="A9639" s="7" t="s">
        <v>44915</v>
      </c>
      <c r="B9639" s="8">
        <v>393.75</v>
      </c>
      <c r="C9639" s="8">
        <v>20.478950000000001</v>
      </c>
      <c r="D9639" s="8">
        <v>57</v>
      </c>
      <c r="E9639" s="8">
        <v>0</v>
      </c>
      <c r="F9639" s="8">
        <v>0</v>
      </c>
      <c r="G9639" s="8">
        <v>6</v>
      </c>
      <c r="H9639" s="8" t="s">
        <v>44916</v>
      </c>
      <c r="I9639" s="8">
        <v>526.6875</v>
      </c>
      <c r="J9639" s="3">
        <f t="shared" si="150"/>
        <v>43749.17989688657</v>
      </c>
    </row>
    <row r="9640" spans="1:10" x14ac:dyDescent="0.25">
      <c r="A9640" s="5" t="s">
        <v>44917</v>
      </c>
      <c r="B9640" s="6">
        <v>393.75</v>
      </c>
      <c r="C9640" s="6">
        <v>20.478950000000001</v>
      </c>
      <c r="D9640" s="6">
        <v>57</v>
      </c>
      <c r="E9640" s="6">
        <v>0</v>
      </c>
      <c r="F9640" s="6">
        <v>0</v>
      </c>
      <c r="G9640" s="6">
        <v>3</v>
      </c>
      <c r="H9640" s="6" t="s">
        <v>44918</v>
      </c>
      <c r="I9640" s="6">
        <v>526.6875</v>
      </c>
      <c r="J9640" s="2">
        <f t="shared" si="150"/>
        <v>43749.179968414348</v>
      </c>
    </row>
    <row r="9641" spans="1:10" x14ac:dyDescent="0.25">
      <c r="A9641" s="7" t="s">
        <v>44919</v>
      </c>
      <c r="B9641" s="8">
        <v>393.75</v>
      </c>
      <c r="C9641" s="8">
        <v>20.426300000000001</v>
      </c>
      <c r="D9641" s="8">
        <v>57</v>
      </c>
      <c r="E9641" s="8">
        <v>0</v>
      </c>
      <c r="F9641" s="8">
        <v>0</v>
      </c>
      <c r="G9641" s="8">
        <v>5</v>
      </c>
      <c r="H9641" s="8" t="s">
        <v>44920</v>
      </c>
      <c r="I9641" s="8">
        <v>526.5</v>
      </c>
      <c r="J9641" s="3">
        <f t="shared" si="150"/>
        <v>43749.180051875002</v>
      </c>
    </row>
    <row r="9642" spans="1:10" x14ac:dyDescent="0.25">
      <c r="A9642" s="5" t="s">
        <v>44921</v>
      </c>
      <c r="B9642" s="6">
        <v>393.75</v>
      </c>
      <c r="C9642" s="6">
        <v>20.426300000000001</v>
      </c>
      <c r="D9642" s="6">
        <v>57</v>
      </c>
      <c r="E9642" s="6">
        <v>0</v>
      </c>
      <c r="F9642" s="6">
        <v>0</v>
      </c>
      <c r="G9642" s="6">
        <v>8</v>
      </c>
      <c r="H9642" s="6" t="s">
        <v>44922</v>
      </c>
      <c r="I9642" s="6">
        <v>526.6875</v>
      </c>
      <c r="J9642" s="2">
        <f t="shared" si="150"/>
        <v>43749.180123657403</v>
      </c>
    </row>
    <row r="9643" spans="1:10" x14ac:dyDescent="0.25">
      <c r="A9643" s="7" t="s">
        <v>44923</v>
      </c>
      <c r="B9643" s="8">
        <v>393.75</v>
      </c>
      <c r="C9643" s="8">
        <v>20.478950000000001</v>
      </c>
      <c r="D9643" s="8">
        <v>57</v>
      </c>
      <c r="E9643" s="8">
        <v>0</v>
      </c>
      <c r="F9643" s="8">
        <v>0</v>
      </c>
      <c r="G9643" s="8">
        <v>12</v>
      </c>
      <c r="H9643" s="8" t="s">
        <v>44924</v>
      </c>
      <c r="I9643" s="8">
        <v>526.6875</v>
      </c>
      <c r="J9643" s="3">
        <f t="shared" si="150"/>
        <v>43749.180195081011</v>
      </c>
    </row>
    <row r="9644" spans="1:10" x14ac:dyDescent="0.25">
      <c r="A9644" s="5" t="s">
        <v>44925</v>
      </c>
      <c r="B9644" s="6">
        <v>393.75</v>
      </c>
      <c r="C9644" s="6">
        <v>20.426300000000001</v>
      </c>
      <c r="D9644" s="6">
        <v>57</v>
      </c>
      <c r="E9644" s="6">
        <v>0</v>
      </c>
      <c r="F9644" s="6">
        <v>0</v>
      </c>
      <c r="G9644" s="6">
        <v>11</v>
      </c>
      <c r="H9644" s="6" t="s">
        <v>44926</v>
      </c>
      <c r="I9644" s="6">
        <v>526.6875</v>
      </c>
      <c r="J9644" s="2">
        <f t="shared" si="150"/>
        <v>43749.180266666663</v>
      </c>
    </row>
    <row r="9645" spans="1:10" x14ac:dyDescent="0.25">
      <c r="A9645" s="7" t="s">
        <v>44927</v>
      </c>
      <c r="B9645" s="8">
        <v>412.5</v>
      </c>
      <c r="C9645" s="8">
        <v>20.478950000000001</v>
      </c>
      <c r="D9645" s="8">
        <v>57</v>
      </c>
      <c r="E9645" s="8">
        <v>0</v>
      </c>
      <c r="F9645" s="8">
        <v>0</v>
      </c>
      <c r="G9645" s="8">
        <v>12</v>
      </c>
      <c r="H9645" s="8" t="s">
        <v>44928</v>
      </c>
      <c r="I9645" s="8">
        <v>532.125</v>
      </c>
      <c r="J9645" s="3">
        <f t="shared" si="150"/>
        <v>43749.180337673613</v>
      </c>
    </row>
    <row r="9646" spans="1:10" x14ac:dyDescent="0.25">
      <c r="A9646" s="5" t="s">
        <v>44929</v>
      </c>
      <c r="B9646" s="6">
        <v>393.75</v>
      </c>
      <c r="C9646" s="6">
        <v>20.478950000000001</v>
      </c>
      <c r="D9646" s="6">
        <v>54</v>
      </c>
      <c r="E9646" s="6">
        <v>0</v>
      </c>
      <c r="F9646" s="6">
        <v>0</v>
      </c>
      <c r="G9646" s="6">
        <v>6</v>
      </c>
      <c r="H9646" s="6" t="s">
        <v>44930</v>
      </c>
      <c r="I9646" s="6">
        <v>526.6875</v>
      </c>
      <c r="J9646" s="2">
        <f t="shared" si="150"/>
        <v>43749.180409768516</v>
      </c>
    </row>
    <row r="9647" spans="1:10" x14ac:dyDescent="0.25">
      <c r="A9647" s="7" t="s">
        <v>44931</v>
      </c>
      <c r="B9647" s="8">
        <v>393.75</v>
      </c>
      <c r="C9647" s="8">
        <v>20.478950000000001</v>
      </c>
      <c r="D9647" s="8">
        <v>54</v>
      </c>
      <c r="E9647" s="8">
        <v>0</v>
      </c>
      <c r="F9647" s="8">
        <v>0</v>
      </c>
      <c r="G9647" s="8">
        <v>8</v>
      </c>
      <c r="H9647" s="8" t="s">
        <v>44932</v>
      </c>
      <c r="I9647" s="8">
        <v>526.6875</v>
      </c>
      <c r="J9647" s="3">
        <f t="shared" si="150"/>
        <v>43749.180493182866</v>
      </c>
    </row>
    <row r="9648" spans="1:10" x14ac:dyDescent="0.25">
      <c r="A9648" s="5" t="s">
        <v>44933</v>
      </c>
      <c r="B9648" s="6">
        <v>393.75</v>
      </c>
      <c r="C9648" s="6">
        <v>20.478950000000001</v>
      </c>
      <c r="D9648" s="6">
        <v>54</v>
      </c>
      <c r="E9648" s="6">
        <v>0</v>
      </c>
      <c r="F9648" s="6">
        <v>0</v>
      </c>
      <c r="G9648" s="6">
        <v>13</v>
      </c>
      <c r="H9648" s="6" t="s">
        <v>44934</v>
      </c>
      <c r="I9648" s="6">
        <v>526.6875</v>
      </c>
      <c r="J9648" s="2">
        <f t="shared" si="150"/>
        <v>43749.180564861112</v>
      </c>
    </row>
    <row r="9649" spans="1:10" x14ac:dyDescent="0.25">
      <c r="A9649" s="7" t="s">
        <v>44935</v>
      </c>
      <c r="B9649" s="8">
        <v>393.75</v>
      </c>
      <c r="C9649" s="8">
        <v>20.478950000000001</v>
      </c>
      <c r="D9649" s="8">
        <v>54</v>
      </c>
      <c r="E9649" s="8">
        <v>0</v>
      </c>
      <c r="F9649" s="8">
        <v>0</v>
      </c>
      <c r="G9649" s="8">
        <v>0</v>
      </c>
      <c r="H9649" s="8" t="s">
        <v>44936</v>
      </c>
      <c r="I9649" s="8">
        <v>526.6875</v>
      </c>
      <c r="J9649" s="3">
        <f t="shared" si="150"/>
        <v>43749.180648263886</v>
      </c>
    </row>
    <row r="9650" spans="1:10" x14ac:dyDescent="0.25">
      <c r="A9650" s="5" t="s">
        <v>44937</v>
      </c>
      <c r="B9650" s="6">
        <v>393.75</v>
      </c>
      <c r="C9650" s="6">
        <v>20.478950000000001</v>
      </c>
      <c r="D9650" s="6">
        <v>55</v>
      </c>
      <c r="E9650" s="6">
        <v>0</v>
      </c>
      <c r="F9650" s="6">
        <v>0</v>
      </c>
      <c r="G9650" s="6">
        <v>11</v>
      </c>
      <c r="H9650" s="6" t="s">
        <v>44938</v>
      </c>
      <c r="I9650" s="6">
        <v>526.6875</v>
      </c>
      <c r="J9650" s="2">
        <f t="shared" si="150"/>
        <v>43749.180719918979</v>
      </c>
    </row>
    <row r="9651" spans="1:10" x14ac:dyDescent="0.25">
      <c r="A9651" s="7" t="s">
        <v>44939</v>
      </c>
      <c r="B9651" s="8">
        <v>393.75</v>
      </c>
      <c r="C9651" s="8">
        <v>20.478950000000001</v>
      </c>
      <c r="D9651" s="8">
        <v>54</v>
      </c>
      <c r="E9651" s="8">
        <v>0</v>
      </c>
      <c r="F9651" s="8">
        <v>0</v>
      </c>
      <c r="G9651" s="8">
        <v>6</v>
      </c>
      <c r="H9651" s="8" t="s">
        <v>44940</v>
      </c>
      <c r="I9651" s="8">
        <v>526.6875</v>
      </c>
      <c r="J9651" s="3">
        <f t="shared" si="150"/>
        <v>43749.180791377315</v>
      </c>
    </row>
    <row r="9652" spans="1:10" x14ac:dyDescent="0.25">
      <c r="A9652" s="5" t="s">
        <v>44941</v>
      </c>
      <c r="B9652" s="6">
        <v>393.75</v>
      </c>
      <c r="C9652" s="6">
        <v>20.426300000000001</v>
      </c>
      <c r="D9652" s="6">
        <v>56</v>
      </c>
      <c r="E9652" s="6">
        <v>0</v>
      </c>
      <c r="F9652" s="6">
        <v>0</v>
      </c>
      <c r="G9652" s="6">
        <v>9</v>
      </c>
      <c r="H9652" s="6" t="s">
        <v>44942</v>
      </c>
      <c r="I9652" s="6">
        <v>526.5</v>
      </c>
      <c r="J9652" s="2">
        <f t="shared" si="150"/>
        <v>43749.180891979166</v>
      </c>
    </row>
    <row r="9653" spans="1:10" x14ac:dyDescent="0.25">
      <c r="A9653" s="7" t="s">
        <v>44943</v>
      </c>
      <c r="B9653" s="8">
        <v>393.75</v>
      </c>
      <c r="C9653" s="8">
        <v>20.478950000000001</v>
      </c>
      <c r="D9653" s="8">
        <v>57</v>
      </c>
      <c r="E9653" s="8">
        <v>0</v>
      </c>
      <c r="F9653" s="8">
        <v>0</v>
      </c>
      <c r="G9653" s="8">
        <v>19</v>
      </c>
      <c r="H9653" s="8" t="s">
        <v>44944</v>
      </c>
      <c r="I9653" s="8">
        <v>526.6875</v>
      </c>
      <c r="J9653" s="3">
        <f t="shared" si="150"/>
        <v>43749.180970520836</v>
      </c>
    </row>
    <row r="9654" spans="1:10" x14ac:dyDescent="0.25">
      <c r="A9654" s="5" t="s">
        <v>44945</v>
      </c>
      <c r="B9654" s="6">
        <v>393.75</v>
      </c>
      <c r="C9654" s="6">
        <v>20.478950000000001</v>
      </c>
      <c r="D9654" s="6">
        <v>56</v>
      </c>
      <c r="E9654" s="6">
        <v>0</v>
      </c>
      <c r="F9654" s="6">
        <v>0</v>
      </c>
      <c r="G9654" s="6">
        <v>7</v>
      </c>
      <c r="H9654" s="6" t="s">
        <v>44946</v>
      </c>
      <c r="I9654" s="6">
        <v>526.6875</v>
      </c>
      <c r="J9654" s="2">
        <f t="shared" si="150"/>
        <v>43749.181041458331</v>
      </c>
    </row>
    <row r="9655" spans="1:10" x14ac:dyDescent="0.25">
      <c r="A9655" s="7" t="s">
        <v>44947</v>
      </c>
      <c r="B9655" s="8">
        <v>393.75</v>
      </c>
      <c r="C9655" s="8">
        <v>20.478950000000001</v>
      </c>
      <c r="D9655" s="8">
        <v>56</v>
      </c>
      <c r="E9655" s="8">
        <v>0</v>
      </c>
      <c r="F9655" s="8">
        <v>0</v>
      </c>
      <c r="G9655" s="8">
        <v>7</v>
      </c>
      <c r="H9655" s="8" t="s">
        <v>44948</v>
      </c>
      <c r="I9655" s="8">
        <v>526.6875</v>
      </c>
      <c r="J9655" s="3">
        <f t="shared" si="150"/>
        <v>43749.181125277777</v>
      </c>
    </row>
    <row r="9656" spans="1:10" x14ac:dyDescent="0.25">
      <c r="A9656" s="5" t="s">
        <v>44949</v>
      </c>
      <c r="B9656" s="6">
        <v>393.75</v>
      </c>
      <c r="C9656" s="6">
        <v>20.478950000000001</v>
      </c>
      <c r="D9656" s="6">
        <v>56</v>
      </c>
      <c r="E9656" s="6">
        <v>0</v>
      </c>
      <c r="F9656" s="6">
        <v>0</v>
      </c>
      <c r="G9656" s="6">
        <v>2</v>
      </c>
      <c r="H9656" s="6" t="s">
        <v>44950</v>
      </c>
      <c r="I9656" s="6">
        <v>526.6875</v>
      </c>
      <c r="J9656" s="2">
        <f t="shared" si="150"/>
        <v>43749.181211875002</v>
      </c>
    </row>
    <row r="9657" spans="1:10" x14ac:dyDescent="0.25">
      <c r="A9657" s="7" t="s">
        <v>44951</v>
      </c>
      <c r="B9657" s="8">
        <v>393.75</v>
      </c>
      <c r="C9657" s="8">
        <v>20.478950000000001</v>
      </c>
      <c r="D9657" s="8">
        <v>55</v>
      </c>
      <c r="E9657" s="8">
        <v>0</v>
      </c>
      <c r="F9657" s="8">
        <v>0</v>
      </c>
      <c r="G9657" s="8">
        <v>8</v>
      </c>
      <c r="H9657" s="8" t="s">
        <v>44952</v>
      </c>
      <c r="I9657" s="8">
        <v>526.6875</v>
      </c>
      <c r="J9657" s="3">
        <f t="shared" si="150"/>
        <v>43749.181292314817</v>
      </c>
    </row>
    <row r="9658" spans="1:10" x14ac:dyDescent="0.25">
      <c r="A9658" s="5" t="s">
        <v>44953</v>
      </c>
      <c r="B9658" s="6">
        <v>393.75</v>
      </c>
      <c r="C9658" s="6">
        <v>20.426300000000001</v>
      </c>
      <c r="D9658" s="6">
        <v>56</v>
      </c>
      <c r="E9658" s="6">
        <v>0</v>
      </c>
      <c r="F9658" s="6">
        <v>0</v>
      </c>
      <c r="G9658" s="6">
        <v>6</v>
      </c>
      <c r="H9658" s="6" t="s">
        <v>44954</v>
      </c>
      <c r="I9658" s="6">
        <v>526.5</v>
      </c>
      <c r="J9658" s="2">
        <f t="shared" si="150"/>
        <v>43749.181363587959</v>
      </c>
    </row>
    <row r="9659" spans="1:10" x14ac:dyDescent="0.25">
      <c r="A9659" s="7" t="s">
        <v>44955</v>
      </c>
      <c r="B9659" s="8">
        <v>393.75</v>
      </c>
      <c r="C9659" s="8">
        <v>20.478950000000001</v>
      </c>
      <c r="D9659" s="8">
        <v>56</v>
      </c>
      <c r="E9659" s="8">
        <v>0</v>
      </c>
      <c r="F9659" s="8">
        <v>0</v>
      </c>
      <c r="G9659" s="8">
        <v>0</v>
      </c>
      <c r="H9659" s="8" t="s">
        <v>44956</v>
      </c>
      <c r="I9659" s="8">
        <v>526.5</v>
      </c>
      <c r="J9659" s="3">
        <f t="shared" si="150"/>
        <v>43749.181436516206</v>
      </c>
    </row>
    <row r="9660" spans="1:10" x14ac:dyDescent="0.25">
      <c r="A9660" s="5" t="s">
        <v>44957</v>
      </c>
      <c r="B9660" s="6">
        <v>393.75</v>
      </c>
      <c r="C9660" s="6">
        <v>20.478950000000001</v>
      </c>
      <c r="D9660" s="6">
        <v>56</v>
      </c>
      <c r="E9660" s="6">
        <v>0</v>
      </c>
      <c r="F9660" s="6">
        <v>0</v>
      </c>
      <c r="G9660" s="6">
        <v>9</v>
      </c>
      <c r="H9660" s="6" t="s">
        <v>44958</v>
      </c>
      <c r="I9660" s="6">
        <v>526.6875</v>
      </c>
      <c r="J9660" s="2">
        <f t="shared" si="150"/>
        <v>43749.181518912032</v>
      </c>
    </row>
    <row r="9661" spans="1:10" x14ac:dyDescent="0.25">
      <c r="A9661" s="7" t="s">
        <v>44959</v>
      </c>
      <c r="B9661" s="8">
        <v>393.75</v>
      </c>
      <c r="C9661" s="8">
        <v>20.478950000000001</v>
      </c>
      <c r="D9661" s="8">
        <v>56</v>
      </c>
      <c r="E9661" s="8">
        <v>0</v>
      </c>
      <c r="F9661" s="8">
        <v>0</v>
      </c>
      <c r="G9661" s="8">
        <v>2</v>
      </c>
      <c r="H9661" s="8" t="s">
        <v>44960</v>
      </c>
      <c r="I9661" s="8">
        <v>526.5</v>
      </c>
      <c r="J9661" s="3">
        <f t="shared" si="150"/>
        <v>43749.181590335647</v>
      </c>
    </row>
    <row r="9662" spans="1:10" x14ac:dyDescent="0.25">
      <c r="A9662" s="5" t="s">
        <v>44961</v>
      </c>
      <c r="B9662" s="6">
        <v>393.75</v>
      </c>
      <c r="C9662" s="6">
        <v>20.478950000000001</v>
      </c>
      <c r="D9662" s="6">
        <v>57</v>
      </c>
      <c r="E9662" s="6">
        <v>0</v>
      </c>
      <c r="F9662" s="6">
        <v>0</v>
      </c>
      <c r="G9662" s="6">
        <v>0</v>
      </c>
      <c r="H9662" s="6" t="s">
        <v>44962</v>
      </c>
      <c r="I9662" s="6">
        <v>526.6875</v>
      </c>
      <c r="J9662" s="2">
        <f t="shared" si="150"/>
        <v>43749.181661979164</v>
      </c>
    </row>
    <row r="9663" spans="1:10" x14ac:dyDescent="0.25">
      <c r="A9663" s="7" t="s">
        <v>44963</v>
      </c>
      <c r="B9663" s="8">
        <v>412.5</v>
      </c>
      <c r="C9663" s="8">
        <v>20.426300000000001</v>
      </c>
      <c r="D9663" s="8">
        <v>56</v>
      </c>
      <c r="E9663" s="8">
        <v>0</v>
      </c>
      <c r="F9663" s="8">
        <v>0</v>
      </c>
      <c r="G9663" s="8">
        <v>6</v>
      </c>
      <c r="H9663" s="8" t="s">
        <v>44964</v>
      </c>
      <c r="I9663" s="8">
        <v>532.3125</v>
      </c>
      <c r="J9663" s="3">
        <f t="shared" si="150"/>
        <v>43749.181745069443</v>
      </c>
    </row>
    <row r="9664" spans="1:10" x14ac:dyDescent="0.25">
      <c r="A9664" s="5" t="s">
        <v>44965</v>
      </c>
      <c r="B9664" s="6">
        <v>393.75</v>
      </c>
      <c r="C9664" s="6">
        <v>20.478950000000001</v>
      </c>
      <c r="D9664" s="6">
        <v>56</v>
      </c>
      <c r="E9664" s="6">
        <v>0</v>
      </c>
      <c r="F9664" s="6">
        <v>0</v>
      </c>
      <c r="G9664" s="6">
        <v>4</v>
      </c>
      <c r="H9664" s="6" t="s">
        <v>44966</v>
      </c>
      <c r="I9664" s="6">
        <v>526.6875</v>
      </c>
      <c r="J9664" s="2">
        <f t="shared" si="150"/>
        <v>43749.181816701392</v>
      </c>
    </row>
    <row r="9665" spans="1:10" x14ac:dyDescent="0.25">
      <c r="A9665" s="7" t="s">
        <v>44967</v>
      </c>
      <c r="B9665" s="8">
        <v>393.75</v>
      </c>
      <c r="C9665" s="8">
        <v>20.478950000000001</v>
      </c>
      <c r="D9665" s="8">
        <v>56</v>
      </c>
      <c r="E9665" s="8">
        <v>0</v>
      </c>
      <c r="F9665" s="8">
        <v>0</v>
      </c>
      <c r="G9665" s="8">
        <v>1</v>
      </c>
      <c r="H9665" s="8" t="s">
        <v>44968</v>
      </c>
      <c r="I9665" s="8">
        <v>526.6875</v>
      </c>
      <c r="J9665" s="3">
        <f t="shared" si="150"/>
        <v>43749.181900891206</v>
      </c>
    </row>
    <row r="9666" spans="1:10" x14ac:dyDescent="0.25">
      <c r="A9666" s="5" t="s">
        <v>44969</v>
      </c>
      <c r="B9666" s="6">
        <v>393.75</v>
      </c>
      <c r="C9666" s="6">
        <v>20.478950000000001</v>
      </c>
      <c r="D9666" s="6">
        <v>56</v>
      </c>
      <c r="E9666" s="6">
        <v>0</v>
      </c>
      <c r="F9666" s="6">
        <v>0</v>
      </c>
      <c r="G9666" s="6">
        <v>6</v>
      </c>
      <c r="H9666" s="6" t="s">
        <v>44970</v>
      </c>
      <c r="I9666" s="6">
        <v>526.6875</v>
      </c>
      <c r="J9666" s="2">
        <f t="shared" ref="J9666:J9729" si="151">(H9666/86400000)+25569+(7/24)</f>
        <v>43749.181972129627</v>
      </c>
    </row>
    <row r="9667" spans="1:10" x14ac:dyDescent="0.25">
      <c r="A9667" s="7" t="s">
        <v>44971</v>
      </c>
      <c r="B9667" s="8">
        <v>393.75</v>
      </c>
      <c r="C9667" s="8">
        <v>20.478950000000001</v>
      </c>
      <c r="D9667" s="8">
        <v>54</v>
      </c>
      <c r="E9667" s="8">
        <v>0</v>
      </c>
      <c r="F9667" s="8">
        <v>0</v>
      </c>
      <c r="G9667" s="8">
        <v>11</v>
      </c>
      <c r="H9667" s="8" t="s">
        <v>44972</v>
      </c>
      <c r="I9667" s="8">
        <v>526.6875</v>
      </c>
      <c r="J9667" s="3">
        <f t="shared" si="151"/>
        <v>43749.182106099535</v>
      </c>
    </row>
    <row r="9668" spans="1:10" x14ac:dyDescent="0.25">
      <c r="A9668" s="5" t="s">
        <v>44973</v>
      </c>
      <c r="B9668" s="6">
        <v>393.75</v>
      </c>
      <c r="C9668" s="6">
        <v>20.478950000000001</v>
      </c>
      <c r="D9668" s="6">
        <v>54</v>
      </c>
      <c r="E9668" s="6">
        <v>0</v>
      </c>
      <c r="F9668" s="6">
        <v>0</v>
      </c>
      <c r="G9668" s="6">
        <v>1</v>
      </c>
      <c r="H9668" s="6" t="s">
        <v>44974</v>
      </c>
      <c r="I9668" s="6">
        <v>526.6875</v>
      </c>
      <c r="J9668" s="2">
        <f t="shared" si="151"/>
        <v>43749.18219861111</v>
      </c>
    </row>
    <row r="9669" spans="1:10" x14ac:dyDescent="0.25">
      <c r="A9669" s="7" t="s">
        <v>44975</v>
      </c>
      <c r="B9669" s="8">
        <v>393.75</v>
      </c>
      <c r="C9669" s="8">
        <v>20.478950000000001</v>
      </c>
      <c r="D9669" s="8">
        <v>54</v>
      </c>
      <c r="E9669" s="8">
        <v>0</v>
      </c>
      <c r="F9669" s="8">
        <v>0</v>
      </c>
      <c r="G9669" s="8">
        <v>11</v>
      </c>
      <c r="H9669" s="8" t="s">
        <v>44976</v>
      </c>
      <c r="I9669" s="8">
        <v>526.6875</v>
      </c>
      <c r="J9669" s="3">
        <f t="shared" si="151"/>
        <v>43749.182282083326</v>
      </c>
    </row>
    <row r="9670" spans="1:10" x14ac:dyDescent="0.25">
      <c r="A9670" s="5" t="s">
        <v>44977</v>
      </c>
      <c r="B9670" s="6">
        <v>393.75</v>
      </c>
      <c r="C9670" s="6">
        <v>20.478950000000001</v>
      </c>
      <c r="D9670" s="6">
        <v>54</v>
      </c>
      <c r="E9670" s="6">
        <v>0</v>
      </c>
      <c r="F9670" s="6">
        <v>0</v>
      </c>
      <c r="G9670" s="6">
        <v>12</v>
      </c>
      <c r="H9670" s="6" t="s">
        <v>44978</v>
      </c>
      <c r="I9670" s="6">
        <v>526.6875</v>
      </c>
      <c r="J9670" s="2">
        <f t="shared" si="151"/>
        <v>43749.182353553238</v>
      </c>
    </row>
    <row r="9671" spans="1:10" x14ac:dyDescent="0.25">
      <c r="A9671" s="7" t="s">
        <v>44979</v>
      </c>
      <c r="B9671" s="8">
        <v>393.75</v>
      </c>
      <c r="C9671" s="8">
        <v>20.478950000000001</v>
      </c>
      <c r="D9671" s="8">
        <v>53</v>
      </c>
      <c r="E9671" s="8">
        <v>0</v>
      </c>
      <c r="F9671" s="8">
        <v>0</v>
      </c>
      <c r="G9671" s="8">
        <v>7</v>
      </c>
      <c r="H9671" s="8" t="s">
        <v>44980</v>
      </c>
      <c r="I9671" s="8">
        <v>526.6875</v>
      </c>
      <c r="J9671" s="3">
        <f t="shared" si="151"/>
        <v>43749.182425185187</v>
      </c>
    </row>
    <row r="9672" spans="1:10" x14ac:dyDescent="0.25">
      <c r="A9672" s="5" t="s">
        <v>44981</v>
      </c>
      <c r="B9672" s="6">
        <v>393.75</v>
      </c>
      <c r="C9672" s="6">
        <v>20.478950000000001</v>
      </c>
      <c r="D9672" s="6">
        <v>53</v>
      </c>
      <c r="E9672" s="6">
        <v>0</v>
      </c>
      <c r="F9672" s="6">
        <v>0</v>
      </c>
      <c r="G9672" s="6">
        <v>8</v>
      </c>
      <c r="H9672" s="6" t="s">
        <v>44982</v>
      </c>
      <c r="I9672" s="6">
        <v>526.5</v>
      </c>
      <c r="J9672" s="2">
        <f t="shared" si="151"/>
        <v>43749.182496400455</v>
      </c>
    </row>
    <row r="9673" spans="1:10" x14ac:dyDescent="0.25">
      <c r="A9673" s="7" t="s">
        <v>44983</v>
      </c>
      <c r="B9673" s="8">
        <v>393.75</v>
      </c>
      <c r="C9673" s="8">
        <v>20.426300000000001</v>
      </c>
      <c r="D9673" s="8">
        <v>53</v>
      </c>
      <c r="E9673" s="8">
        <v>0</v>
      </c>
      <c r="F9673" s="8">
        <v>0</v>
      </c>
      <c r="G9673" s="8">
        <v>10</v>
      </c>
      <c r="H9673" s="8" t="s">
        <v>44984</v>
      </c>
      <c r="I9673" s="8">
        <v>526.6875</v>
      </c>
      <c r="J9673" s="3">
        <f t="shared" si="151"/>
        <v>43749.182568194439</v>
      </c>
    </row>
    <row r="9674" spans="1:10" x14ac:dyDescent="0.25">
      <c r="A9674" s="5" t="s">
        <v>44985</v>
      </c>
      <c r="B9674" s="6">
        <v>393.75</v>
      </c>
      <c r="C9674" s="6">
        <v>20.478950000000001</v>
      </c>
      <c r="D9674" s="6">
        <v>53</v>
      </c>
      <c r="E9674" s="6">
        <v>0</v>
      </c>
      <c r="F9674" s="6">
        <v>0</v>
      </c>
      <c r="G9674" s="6">
        <v>4</v>
      </c>
      <c r="H9674" s="6" t="s">
        <v>44986</v>
      </c>
      <c r="I9674" s="6">
        <v>526.6875</v>
      </c>
      <c r="J9674" s="2">
        <f t="shared" si="151"/>
        <v>43749.182649166665</v>
      </c>
    </row>
    <row r="9675" spans="1:10" x14ac:dyDescent="0.25">
      <c r="A9675" s="7" t="s">
        <v>44987</v>
      </c>
      <c r="B9675" s="8">
        <v>393.75</v>
      </c>
      <c r="C9675" s="8">
        <v>20.478950000000001</v>
      </c>
      <c r="D9675" s="8">
        <v>53</v>
      </c>
      <c r="E9675" s="8">
        <v>0</v>
      </c>
      <c r="F9675" s="8">
        <v>0</v>
      </c>
      <c r="G9675" s="8">
        <v>6</v>
      </c>
      <c r="H9675" s="8" t="s">
        <v>44988</v>
      </c>
      <c r="I9675" s="8">
        <v>526.6875</v>
      </c>
      <c r="J9675" s="3">
        <f t="shared" si="151"/>
        <v>43749.182722847218</v>
      </c>
    </row>
    <row r="9676" spans="1:10" x14ac:dyDescent="0.25">
      <c r="A9676" s="5" t="s">
        <v>44989</v>
      </c>
      <c r="B9676" s="6">
        <v>393.75</v>
      </c>
      <c r="C9676" s="6">
        <v>20.478950000000001</v>
      </c>
      <c r="D9676" s="6">
        <v>56</v>
      </c>
      <c r="E9676" s="6">
        <v>0</v>
      </c>
      <c r="F9676" s="6">
        <v>0</v>
      </c>
      <c r="G9676" s="6">
        <v>8</v>
      </c>
      <c r="H9676" s="6" t="s">
        <v>44990</v>
      </c>
      <c r="I9676" s="6">
        <v>526.6875</v>
      </c>
      <c r="J9676" s="2">
        <f t="shared" si="151"/>
        <v>43749.182794768516</v>
      </c>
    </row>
    <row r="9677" spans="1:10" x14ac:dyDescent="0.25">
      <c r="A9677" s="7" t="s">
        <v>44991</v>
      </c>
      <c r="B9677" s="8">
        <v>393.75</v>
      </c>
      <c r="C9677" s="8">
        <v>20.478950000000001</v>
      </c>
      <c r="D9677" s="8">
        <v>48</v>
      </c>
      <c r="E9677" s="8">
        <v>0</v>
      </c>
      <c r="F9677" s="8">
        <v>0</v>
      </c>
      <c r="G9677" s="8">
        <v>15</v>
      </c>
      <c r="H9677" s="8" t="s">
        <v>44992</v>
      </c>
      <c r="I9677" s="8">
        <v>526.6875</v>
      </c>
      <c r="J9677" s="3">
        <f t="shared" si="151"/>
        <v>43749.182878402775</v>
      </c>
    </row>
    <row r="9678" spans="1:10" x14ac:dyDescent="0.25">
      <c r="A9678" s="5" t="s">
        <v>44993</v>
      </c>
      <c r="B9678" s="6">
        <v>393.75</v>
      </c>
      <c r="C9678" s="6">
        <v>20.478950000000001</v>
      </c>
      <c r="D9678" s="6">
        <v>48</v>
      </c>
      <c r="E9678" s="6">
        <v>0</v>
      </c>
      <c r="F9678" s="6">
        <v>0</v>
      </c>
      <c r="G9678" s="6">
        <v>14</v>
      </c>
      <c r="H9678" s="6" t="s">
        <v>44994</v>
      </c>
      <c r="I9678" s="6">
        <v>526.6875</v>
      </c>
      <c r="J9678" s="2">
        <f t="shared" si="151"/>
        <v>43749.182970405091</v>
      </c>
    </row>
    <row r="9679" spans="1:10" x14ac:dyDescent="0.25">
      <c r="A9679" s="7" t="s">
        <v>44995</v>
      </c>
      <c r="B9679" s="8">
        <v>393.75</v>
      </c>
      <c r="C9679" s="8">
        <v>20.478950000000001</v>
      </c>
      <c r="D9679" s="8">
        <v>50</v>
      </c>
      <c r="E9679" s="8">
        <v>0</v>
      </c>
      <c r="F9679" s="8">
        <v>0</v>
      </c>
      <c r="G9679" s="8">
        <v>13</v>
      </c>
      <c r="H9679" s="8" t="s">
        <v>44996</v>
      </c>
      <c r="I9679" s="8">
        <v>526.6875</v>
      </c>
      <c r="J9679" s="3">
        <f t="shared" si="151"/>
        <v>43749.183045069447</v>
      </c>
    </row>
    <row r="9680" spans="1:10" x14ac:dyDescent="0.25">
      <c r="A9680" s="5" t="s">
        <v>44997</v>
      </c>
      <c r="B9680" s="6">
        <v>393.75</v>
      </c>
      <c r="C9680" s="6">
        <v>20.478950000000001</v>
      </c>
      <c r="D9680" s="6">
        <v>50</v>
      </c>
      <c r="E9680" s="6">
        <v>0</v>
      </c>
      <c r="F9680" s="6">
        <v>0</v>
      </c>
      <c r="G9680" s="6">
        <v>11</v>
      </c>
      <c r="H9680" s="6" t="s">
        <v>44998</v>
      </c>
      <c r="I9680" s="6">
        <v>526.6875</v>
      </c>
      <c r="J9680" s="2">
        <f t="shared" si="151"/>
        <v>43749.18311677083</v>
      </c>
    </row>
    <row r="9681" spans="1:10" x14ac:dyDescent="0.25">
      <c r="A9681" s="7" t="s">
        <v>44999</v>
      </c>
      <c r="B9681" s="8">
        <v>421.875</v>
      </c>
      <c r="C9681" s="8">
        <v>20.478950000000001</v>
      </c>
      <c r="D9681" s="8">
        <v>50</v>
      </c>
      <c r="E9681" s="8">
        <v>0</v>
      </c>
      <c r="F9681" s="8">
        <v>0</v>
      </c>
      <c r="G9681" s="8">
        <v>9</v>
      </c>
      <c r="H9681" s="8" t="s">
        <v>45000</v>
      </c>
      <c r="I9681" s="8">
        <v>535.3125</v>
      </c>
      <c r="J9681" s="3">
        <f t="shared" si="151"/>
        <v>43749.183188287039</v>
      </c>
    </row>
    <row r="9682" spans="1:10" x14ac:dyDescent="0.25">
      <c r="A9682" s="5" t="s">
        <v>45001</v>
      </c>
      <c r="B9682" s="6">
        <v>393.75</v>
      </c>
      <c r="C9682" s="6">
        <v>20.478950000000001</v>
      </c>
      <c r="D9682" s="6">
        <v>54</v>
      </c>
      <c r="E9682" s="6">
        <v>0</v>
      </c>
      <c r="F9682" s="6">
        <v>0</v>
      </c>
      <c r="G9682" s="6">
        <v>11</v>
      </c>
      <c r="H9682" s="6" t="s">
        <v>45002</v>
      </c>
      <c r="I9682" s="6">
        <v>526.6875</v>
      </c>
      <c r="J9682" s="2">
        <f t="shared" si="151"/>
        <v>43749.183259895835</v>
      </c>
    </row>
    <row r="9683" spans="1:10" x14ac:dyDescent="0.25">
      <c r="A9683" s="7" t="s">
        <v>45003</v>
      </c>
      <c r="B9683" s="8">
        <v>393.75</v>
      </c>
      <c r="C9683" s="8">
        <v>20.478950000000001</v>
      </c>
      <c r="D9683" s="8">
        <v>54</v>
      </c>
      <c r="E9683" s="8">
        <v>0</v>
      </c>
      <c r="F9683" s="8">
        <v>0</v>
      </c>
      <c r="G9683" s="8">
        <v>0</v>
      </c>
      <c r="H9683" s="8" t="s">
        <v>45004</v>
      </c>
      <c r="I9683" s="8">
        <v>526.6875</v>
      </c>
      <c r="J9683" s="3">
        <f t="shared" si="151"/>
        <v>43749.183331388886</v>
      </c>
    </row>
    <row r="9684" spans="1:10" x14ac:dyDescent="0.25">
      <c r="A9684" s="5" t="s">
        <v>45005</v>
      </c>
      <c r="B9684" s="6">
        <v>393.75</v>
      </c>
      <c r="C9684" s="6">
        <v>20.478950000000001</v>
      </c>
      <c r="D9684" s="6">
        <v>54</v>
      </c>
      <c r="E9684" s="6">
        <v>0</v>
      </c>
      <c r="F9684" s="6">
        <v>0</v>
      </c>
      <c r="G9684" s="6">
        <v>15</v>
      </c>
      <c r="H9684" s="6" t="s">
        <v>45006</v>
      </c>
      <c r="I9684" s="6">
        <v>526.6875</v>
      </c>
      <c r="J9684" s="2">
        <f t="shared" si="151"/>
        <v>43749.183402916664</v>
      </c>
    </row>
    <row r="9685" spans="1:10" x14ac:dyDescent="0.25">
      <c r="A9685" s="7" t="s">
        <v>45007</v>
      </c>
      <c r="B9685" s="8">
        <v>393.75</v>
      </c>
      <c r="C9685" s="8">
        <v>20.478950000000001</v>
      </c>
      <c r="D9685" s="8">
        <v>55</v>
      </c>
      <c r="E9685" s="8">
        <v>0</v>
      </c>
      <c r="F9685" s="8">
        <v>0</v>
      </c>
      <c r="G9685" s="8">
        <v>6</v>
      </c>
      <c r="H9685" s="8" t="s">
        <v>45008</v>
      </c>
      <c r="I9685" s="8">
        <v>526.6875</v>
      </c>
      <c r="J9685" s="3">
        <f t="shared" si="151"/>
        <v>43749.183474687503</v>
      </c>
    </row>
    <row r="9686" spans="1:10" x14ac:dyDescent="0.25">
      <c r="A9686" s="5" t="s">
        <v>45009</v>
      </c>
      <c r="B9686" s="6">
        <v>393.75</v>
      </c>
      <c r="C9686" s="6">
        <v>20.478950000000001</v>
      </c>
      <c r="D9686" s="6">
        <v>56</v>
      </c>
      <c r="E9686" s="6">
        <v>0</v>
      </c>
      <c r="F9686" s="6">
        <v>0</v>
      </c>
      <c r="G9686" s="6">
        <v>3</v>
      </c>
      <c r="H9686" s="6" t="s">
        <v>45010</v>
      </c>
      <c r="I9686" s="6">
        <v>526.6875</v>
      </c>
      <c r="J9686" s="2">
        <f t="shared" si="151"/>
        <v>43749.183546030086</v>
      </c>
    </row>
    <row r="9687" spans="1:10" x14ac:dyDescent="0.25">
      <c r="A9687" s="7" t="s">
        <v>45011</v>
      </c>
      <c r="B9687" s="8">
        <v>393.75</v>
      </c>
      <c r="C9687" s="8">
        <v>20.478950000000001</v>
      </c>
      <c r="D9687" s="8">
        <v>54</v>
      </c>
      <c r="E9687" s="8">
        <v>0</v>
      </c>
      <c r="F9687" s="8">
        <v>0</v>
      </c>
      <c r="G9687" s="8">
        <v>7</v>
      </c>
      <c r="H9687" s="8" t="s">
        <v>45012</v>
      </c>
      <c r="I9687" s="8">
        <v>526.5</v>
      </c>
      <c r="J9687" s="3">
        <f t="shared" si="151"/>
        <v>43749.183617615738</v>
      </c>
    </row>
    <row r="9688" spans="1:10" x14ac:dyDescent="0.25">
      <c r="A9688" s="5" t="s">
        <v>45013</v>
      </c>
      <c r="B9688" s="6">
        <v>393.75</v>
      </c>
      <c r="C9688" s="6">
        <v>20.478950000000001</v>
      </c>
      <c r="D9688" s="6">
        <v>54</v>
      </c>
      <c r="E9688" s="6">
        <v>0</v>
      </c>
      <c r="F9688" s="6">
        <v>0</v>
      </c>
      <c r="G9688" s="6">
        <v>11</v>
      </c>
      <c r="H9688" s="6" t="s">
        <v>45014</v>
      </c>
      <c r="I9688" s="6">
        <v>526.5</v>
      </c>
      <c r="J9688" s="2">
        <f t="shared" si="151"/>
        <v>43749.18370065972</v>
      </c>
    </row>
    <row r="9689" spans="1:10" x14ac:dyDescent="0.25">
      <c r="A9689" s="7" t="s">
        <v>45015</v>
      </c>
      <c r="B9689" s="8">
        <v>412.5</v>
      </c>
      <c r="C9689" s="8">
        <v>20.478950000000001</v>
      </c>
      <c r="D9689" s="8">
        <v>53</v>
      </c>
      <c r="E9689" s="8">
        <v>0</v>
      </c>
      <c r="F9689" s="8">
        <v>0</v>
      </c>
      <c r="G9689" s="8">
        <v>11</v>
      </c>
      <c r="H9689" s="8" t="s">
        <v>45016</v>
      </c>
      <c r="I9689" s="8">
        <v>532.5</v>
      </c>
      <c r="J9689" s="3">
        <f t="shared" si="151"/>
        <v>43749.18378767361</v>
      </c>
    </row>
    <row r="9690" spans="1:10" x14ac:dyDescent="0.25">
      <c r="A9690" s="5" t="s">
        <v>45017</v>
      </c>
      <c r="B9690" s="6">
        <v>393.75</v>
      </c>
      <c r="C9690" s="6">
        <v>20.478950000000001</v>
      </c>
      <c r="D9690" s="6">
        <v>60</v>
      </c>
      <c r="E9690" s="6">
        <v>0</v>
      </c>
      <c r="F9690" s="6">
        <v>0</v>
      </c>
      <c r="G9690" s="6">
        <v>9</v>
      </c>
      <c r="H9690" s="6" t="s">
        <v>45018</v>
      </c>
      <c r="I9690" s="6">
        <v>526.6875</v>
      </c>
      <c r="J9690" s="2">
        <f t="shared" si="151"/>
        <v>43749.183867870372</v>
      </c>
    </row>
    <row r="9691" spans="1:10" x14ac:dyDescent="0.25">
      <c r="A9691" s="7" t="s">
        <v>45019</v>
      </c>
      <c r="B9691" s="8">
        <v>393.75</v>
      </c>
      <c r="C9691" s="8">
        <v>20.426300000000001</v>
      </c>
      <c r="D9691" s="8">
        <v>59</v>
      </c>
      <c r="E9691" s="8">
        <v>0</v>
      </c>
      <c r="F9691" s="8">
        <v>0</v>
      </c>
      <c r="G9691" s="8">
        <v>3</v>
      </c>
      <c r="H9691" s="8" t="s">
        <v>45020</v>
      </c>
      <c r="I9691" s="8">
        <v>526.6875</v>
      </c>
      <c r="J9691" s="3">
        <f t="shared" si="151"/>
        <v>43749.183939606482</v>
      </c>
    </row>
    <row r="9692" spans="1:10" x14ac:dyDescent="0.25">
      <c r="A9692" s="5" t="s">
        <v>45021</v>
      </c>
      <c r="B9692" s="6">
        <v>393.75</v>
      </c>
      <c r="C9692" s="6">
        <v>20.478950000000001</v>
      </c>
      <c r="D9692" s="6">
        <v>57</v>
      </c>
      <c r="E9692" s="6">
        <v>0</v>
      </c>
      <c r="F9692" s="6">
        <v>0</v>
      </c>
      <c r="G9692" s="6">
        <v>11</v>
      </c>
      <c r="H9692" s="6" t="s">
        <v>45022</v>
      </c>
      <c r="I9692" s="6">
        <v>526.6875</v>
      </c>
      <c r="J9692" s="2">
        <f t="shared" si="151"/>
        <v>43749.184022824069</v>
      </c>
    </row>
    <row r="9693" spans="1:10" x14ac:dyDescent="0.25">
      <c r="A9693" s="7" t="s">
        <v>45023</v>
      </c>
      <c r="B9693" s="8">
        <v>393.75</v>
      </c>
      <c r="C9693" s="8">
        <v>20.426300000000001</v>
      </c>
      <c r="D9693" s="8">
        <v>56</v>
      </c>
      <c r="E9693" s="8">
        <v>0</v>
      </c>
      <c r="F9693" s="8">
        <v>0</v>
      </c>
      <c r="G9693" s="8">
        <v>13</v>
      </c>
      <c r="H9693" s="8" t="s">
        <v>45024</v>
      </c>
      <c r="I9693" s="8">
        <v>526.5</v>
      </c>
      <c r="J9693" s="3">
        <f t="shared" si="151"/>
        <v>43749.184094583332</v>
      </c>
    </row>
    <row r="9694" spans="1:10" x14ac:dyDescent="0.25">
      <c r="A9694" s="5" t="s">
        <v>45025</v>
      </c>
      <c r="B9694" s="6">
        <v>393.75</v>
      </c>
      <c r="C9694" s="6">
        <v>20.426300000000001</v>
      </c>
      <c r="D9694" s="6">
        <v>55</v>
      </c>
      <c r="E9694" s="6">
        <v>0</v>
      </c>
      <c r="F9694" s="6">
        <v>0</v>
      </c>
      <c r="G9694" s="6">
        <v>6</v>
      </c>
      <c r="H9694" s="6" t="s">
        <v>45026</v>
      </c>
      <c r="I9694" s="6">
        <v>526.6875</v>
      </c>
      <c r="J9694" s="2">
        <f t="shared" si="151"/>
        <v>43749.184178136573</v>
      </c>
    </row>
    <row r="9695" spans="1:10" x14ac:dyDescent="0.25">
      <c r="A9695" s="7" t="s">
        <v>45027</v>
      </c>
      <c r="B9695" s="8">
        <v>393.75</v>
      </c>
      <c r="C9695" s="8">
        <v>20.478950000000001</v>
      </c>
      <c r="D9695" s="8">
        <v>55</v>
      </c>
      <c r="E9695" s="8">
        <v>0</v>
      </c>
      <c r="F9695" s="8">
        <v>0</v>
      </c>
      <c r="G9695" s="8">
        <v>15</v>
      </c>
      <c r="H9695" s="8" t="s">
        <v>45028</v>
      </c>
      <c r="I9695" s="8">
        <v>526.6875</v>
      </c>
      <c r="J9695" s="3">
        <f t="shared" si="151"/>
        <v>43749.184249293983</v>
      </c>
    </row>
    <row r="9696" spans="1:10" x14ac:dyDescent="0.25">
      <c r="A9696" s="5" t="s">
        <v>45029</v>
      </c>
      <c r="B9696" s="6">
        <v>393.75</v>
      </c>
      <c r="C9696" s="6">
        <v>20.478950000000001</v>
      </c>
      <c r="D9696" s="6">
        <v>55</v>
      </c>
      <c r="E9696" s="6">
        <v>0</v>
      </c>
      <c r="F9696" s="6">
        <v>0</v>
      </c>
      <c r="G9696" s="6">
        <v>11</v>
      </c>
      <c r="H9696" s="6" t="s">
        <v>45030</v>
      </c>
      <c r="I9696" s="6">
        <v>526.6875</v>
      </c>
      <c r="J9696" s="2">
        <f t="shared" si="151"/>
        <v>43749.184333171295</v>
      </c>
    </row>
    <row r="9697" spans="1:10" x14ac:dyDescent="0.25">
      <c r="A9697" s="7" t="s">
        <v>45031</v>
      </c>
      <c r="B9697" s="8">
        <v>393.75</v>
      </c>
      <c r="C9697" s="8">
        <v>20.478950000000001</v>
      </c>
      <c r="D9697" s="8">
        <v>56</v>
      </c>
      <c r="E9697" s="8">
        <v>0</v>
      </c>
      <c r="F9697" s="8">
        <v>0</v>
      </c>
      <c r="G9697" s="8">
        <v>6</v>
      </c>
      <c r="H9697" s="8" t="s">
        <v>45032</v>
      </c>
      <c r="I9697" s="8">
        <v>526.6875</v>
      </c>
      <c r="J9697" s="3">
        <f t="shared" si="151"/>
        <v>43749.184416689815</v>
      </c>
    </row>
    <row r="9698" spans="1:10" x14ac:dyDescent="0.25">
      <c r="A9698" s="5" t="s">
        <v>45033</v>
      </c>
      <c r="B9698" s="6">
        <v>393.75</v>
      </c>
      <c r="C9698" s="6">
        <v>20.478950000000001</v>
      </c>
      <c r="D9698" s="6">
        <v>56</v>
      </c>
      <c r="E9698" s="6">
        <v>0</v>
      </c>
      <c r="F9698" s="6">
        <v>0</v>
      </c>
      <c r="G9698" s="6">
        <v>8</v>
      </c>
      <c r="H9698" s="6" t="s">
        <v>45034</v>
      </c>
      <c r="I9698" s="6">
        <v>526.6875</v>
      </c>
      <c r="J9698" s="2">
        <f t="shared" si="151"/>
        <v>43749.184500138887</v>
      </c>
    </row>
    <row r="9699" spans="1:10" x14ac:dyDescent="0.25">
      <c r="A9699" s="7" t="s">
        <v>45035</v>
      </c>
      <c r="B9699" s="8">
        <v>393.75</v>
      </c>
      <c r="C9699" s="8">
        <v>20.478950000000001</v>
      </c>
      <c r="D9699" s="8">
        <v>56</v>
      </c>
      <c r="E9699" s="8">
        <v>0</v>
      </c>
      <c r="F9699" s="8">
        <v>0</v>
      </c>
      <c r="G9699" s="8">
        <v>13</v>
      </c>
      <c r="H9699" s="8" t="s">
        <v>45036</v>
      </c>
      <c r="I9699" s="8">
        <v>526.6875</v>
      </c>
      <c r="J9699" s="3">
        <f t="shared" si="151"/>
        <v>43749.184583576389</v>
      </c>
    </row>
    <row r="9700" spans="1:10" x14ac:dyDescent="0.25">
      <c r="A9700" s="5" t="s">
        <v>45037</v>
      </c>
      <c r="B9700" s="6">
        <v>393.75</v>
      </c>
      <c r="C9700" s="6">
        <v>20.426300000000001</v>
      </c>
      <c r="D9700" s="6">
        <v>54</v>
      </c>
      <c r="E9700" s="6">
        <v>0</v>
      </c>
      <c r="F9700" s="6">
        <v>0</v>
      </c>
      <c r="G9700" s="6">
        <v>8</v>
      </c>
      <c r="H9700" s="6" t="s">
        <v>45038</v>
      </c>
      <c r="I9700" s="6">
        <v>526.6875</v>
      </c>
      <c r="J9700" s="2">
        <f t="shared" si="151"/>
        <v>43749.184667083326</v>
      </c>
    </row>
    <row r="9701" spans="1:10" x14ac:dyDescent="0.25">
      <c r="A9701" s="7" t="s">
        <v>45039</v>
      </c>
      <c r="B9701" s="8">
        <v>393.75</v>
      </c>
      <c r="C9701" s="8">
        <v>20.478950000000001</v>
      </c>
      <c r="D9701" s="8">
        <v>51</v>
      </c>
      <c r="E9701" s="8">
        <v>0</v>
      </c>
      <c r="F9701" s="8">
        <v>0</v>
      </c>
      <c r="G9701" s="8">
        <v>10</v>
      </c>
      <c r="H9701" s="8" t="s">
        <v>45040</v>
      </c>
      <c r="I9701" s="8">
        <v>526.6875</v>
      </c>
      <c r="J9701" s="3">
        <f t="shared" si="151"/>
        <v>43749.18476246528</v>
      </c>
    </row>
    <row r="9702" spans="1:10" x14ac:dyDescent="0.25">
      <c r="A9702" s="5" t="s">
        <v>45041</v>
      </c>
      <c r="B9702" s="6">
        <v>393.75</v>
      </c>
      <c r="C9702" s="6">
        <v>20.478950000000001</v>
      </c>
      <c r="D9702" s="6">
        <v>51</v>
      </c>
      <c r="E9702" s="6">
        <v>0</v>
      </c>
      <c r="F9702" s="6">
        <v>0</v>
      </c>
      <c r="G9702" s="6">
        <v>7</v>
      </c>
      <c r="H9702" s="6" t="s">
        <v>45042</v>
      </c>
      <c r="I9702" s="6">
        <v>526.5</v>
      </c>
      <c r="J9702" s="2">
        <f t="shared" si="151"/>
        <v>43749.18483395833</v>
      </c>
    </row>
    <row r="9703" spans="1:10" x14ac:dyDescent="0.25">
      <c r="A9703" s="7" t="s">
        <v>45043</v>
      </c>
      <c r="B9703" s="8">
        <v>393.75</v>
      </c>
      <c r="C9703" s="8">
        <v>20.478950000000001</v>
      </c>
      <c r="D9703" s="8">
        <v>54</v>
      </c>
      <c r="E9703" s="8">
        <v>0</v>
      </c>
      <c r="F9703" s="8">
        <v>0</v>
      </c>
      <c r="G9703" s="8">
        <v>0</v>
      </c>
      <c r="H9703" s="8" t="s">
        <v>45044</v>
      </c>
      <c r="I9703" s="8">
        <v>526.6875</v>
      </c>
      <c r="J9703" s="3">
        <f t="shared" si="151"/>
        <v>43749.184905613423</v>
      </c>
    </row>
    <row r="9704" spans="1:10" x14ac:dyDescent="0.25">
      <c r="A9704" s="5" t="s">
        <v>45045</v>
      </c>
      <c r="B9704" s="6">
        <v>393.75</v>
      </c>
      <c r="C9704" s="6">
        <v>20.478950000000001</v>
      </c>
      <c r="D9704" s="6">
        <v>53</v>
      </c>
      <c r="E9704" s="6">
        <v>0</v>
      </c>
      <c r="F9704" s="6">
        <v>0</v>
      </c>
      <c r="G9704" s="6">
        <v>7</v>
      </c>
      <c r="H9704" s="6" t="s">
        <v>45046</v>
      </c>
      <c r="I9704" s="6">
        <v>526.5</v>
      </c>
      <c r="J9704" s="2">
        <f t="shared" si="151"/>
        <v>43749.184988946756</v>
      </c>
    </row>
    <row r="9705" spans="1:10" x14ac:dyDescent="0.25">
      <c r="A9705" s="7" t="s">
        <v>45047</v>
      </c>
      <c r="B9705" s="8">
        <v>393.75</v>
      </c>
      <c r="C9705" s="8">
        <v>20.478950000000001</v>
      </c>
      <c r="D9705" s="8">
        <v>53</v>
      </c>
      <c r="E9705" s="8">
        <v>0</v>
      </c>
      <c r="F9705" s="8">
        <v>0</v>
      </c>
      <c r="G9705" s="8">
        <v>11</v>
      </c>
      <c r="H9705" s="8" t="s">
        <v>45048</v>
      </c>
      <c r="I9705" s="8">
        <v>526.5</v>
      </c>
      <c r="J9705" s="3">
        <f t="shared" si="151"/>
        <v>43749.185090358798</v>
      </c>
    </row>
    <row r="9706" spans="1:10" x14ac:dyDescent="0.25">
      <c r="A9706" s="5" t="s">
        <v>45049</v>
      </c>
      <c r="B9706" s="6">
        <v>393.75</v>
      </c>
      <c r="C9706" s="6">
        <v>20.478950000000001</v>
      </c>
      <c r="D9706" s="6">
        <v>53</v>
      </c>
      <c r="E9706" s="6">
        <v>0</v>
      </c>
      <c r="F9706" s="6">
        <v>0</v>
      </c>
      <c r="G9706" s="6">
        <v>10</v>
      </c>
      <c r="H9706" s="6" t="s">
        <v>45050</v>
      </c>
      <c r="I9706" s="6">
        <v>526.6875</v>
      </c>
      <c r="J9706" s="2">
        <f t="shared" si="151"/>
        <v>43749.185167407406</v>
      </c>
    </row>
    <row r="9707" spans="1:10" x14ac:dyDescent="0.25">
      <c r="A9707" s="7" t="s">
        <v>45051</v>
      </c>
      <c r="B9707" s="8">
        <v>393.75</v>
      </c>
      <c r="C9707" s="8">
        <v>20.478950000000001</v>
      </c>
      <c r="D9707" s="8">
        <v>53</v>
      </c>
      <c r="E9707" s="8">
        <v>0</v>
      </c>
      <c r="F9707" s="8">
        <v>0</v>
      </c>
      <c r="G9707" s="8">
        <v>12</v>
      </c>
      <c r="H9707" s="8" t="s">
        <v>45052</v>
      </c>
      <c r="I9707" s="8">
        <v>526.6875</v>
      </c>
      <c r="J9707" s="3">
        <f t="shared" si="151"/>
        <v>43749.18523899305</v>
      </c>
    </row>
    <row r="9708" spans="1:10" x14ac:dyDescent="0.25">
      <c r="A9708" s="5" t="s">
        <v>45053</v>
      </c>
      <c r="B9708" s="6">
        <v>393.75</v>
      </c>
      <c r="C9708" s="6">
        <v>20.478950000000001</v>
      </c>
      <c r="D9708" s="6">
        <v>53</v>
      </c>
      <c r="E9708" s="6">
        <v>0</v>
      </c>
      <c r="F9708" s="6">
        <v>0</v>
      </c>
      <c r="G9708" s="6">
        <v>7</v>
      </c>
      <c r="H9708" s="6" t="s">
        <v>45054</v>
      </c>
      <c r="I9708" s="6">
        <v>526.6875</v>
      </c>
      <c r="J9708" s="2">
        <f t="shared" si="151"/>
        <v>43749.185311030094</v>
      </c>
    </row>
    <row r="9709" spans="1:10" x14ac:dyDescent="0.25">
      <c r="A9709" s="7" t="s">
        <v>45055</v>
      </c>
      <c r="B9709" s="8">
        <v>393.75</v>
      </c>
      <c r="C9709" s="8">
        <v>20.478950000000001</v>
      </c>
      <c r="D9709" s="8">
        <v>53</v>
      </c>
      <c r="E9709" s="8">
        <v>0</v>
      </c>
      <c r="F9709" s="8">
        <v>0</v>
      </c>
      <c r="G9709" s="8">
        <v>13</v>
      </c>
      <c r="H9709" s="8" t="s">
        <v>45056</v>
      </c>
      <c r="I9709" s="8">
        <v>526.5</v>
      </c>
      <c r="J9709" s="3">
        <f t="shared" si="151"/>
        <v>43749.185394490742</v>
      </c>
    </row>
    <row r="9710" spans="1:10" x14ac:dyDescent="0.25">
      <c r="A9710" s="5" t="s">
        <v>45057</v>
      </c>
      <c r="B9710" s="6">
        <v>393.75</v>
      </c>
      <c r="C9710" s="6">
        <v>20.426300000000001</v>
      </c>
      <c r="D9710" s="6">
        <v>52</v>
      </c>
      <c r="E9710" s="6">
        <v>0</v>
      </c>
      <c r="F9710" s="6">
        <v>0</v>
      </c>
      <c r="G9710" s="6">
        <v>2</v>
      </c>
      <c r="H9710" s="6" t="s">
        <v>45058</v>
      </c>
      <c r="I9710" s="6">
        <v>526.6875</v>
      </c>
      <c r="J9710" s="2">
        <f t="shared" si="151"/>
        <v>43749.185477905092</v>
      </c>
    </row>
    <row r="9711" spans="1:10" x14ac:dyDescent="0.25">
      <c r="A9711" s="7" t="s">
        <v>45059</v>
      </c>
      <c r="B9711" s="8">
        <v>393.75</v>
      </c>
      <c r="C9711" s="8">
        <v>20.478950000000001</v>
      </c>
      <c r="D9711" s="8">
        <v>53</v>
      </c>
      <c r="E9711" s="8">
        <v>0</v>
      </c>
      <c r="F9711" s="8">
        <v>0</v>
      </c>
      <c r="G9711" s="8">
        <v>12</v>
      </c>
      <c r="H9711" s="8" t="s">
        <v>45060</v>
      </c>
      <c r="I9711" s="8">
        <v>526.5</v>
      </c>
      <c r="J9711" s="3">
        <f t="shared" si="151"/>
        <v>43749.185549548609</v>
      </c>
    </row>
    <row r="9712" spans="1:10" x14ac:dyDescent="0.25">
      <c r="A9712" s="5" t="s">
        <v>45061</v>
      </c>
      <c r="B9712" s="6">
        <v>393.75</v>
      </c>
      <c r="C9712" s="6">
        <v>20.478950000000001</v>
      </c>
      <c r="D9712" s="6">
        <v>53</v>
      </c>
      <c r="E9712" s="6">
        <v>0</v>
      </c>
      <c r="F9712" s="6">
        <v>0</v>
      </c>
      <c r="G9712" s="6">
        <v>0</v>
      </c>
      <c r="H9712" s="6" t="s">
        <v>45062</v>
      </c>
      <c r="I9712" s="6">
        <v>526.6875</v>
      </c>
      <c r="J9712" s="2">
        <f t="shared" si="151"/>
        <v>43749.185621018514</v>
      </c>
    </row>
    <row r="9713" spans="1:10" x14ac:dyDescent="0.25">
      <c r="A9713" s="7" t="s">
        <v>45063</v>
      </c>
      <c r="B9713" s="8">
        <v>393.75</v>
      </c>
      <c r="C9713" s="8">
        <v>20.478950000000001</v>
      </c>
      <c r="D9713" s="8">
        <v>53</v>
      </c>
      <c r="E9713" s="8">
        <v>0</v>
      </c>
      <c r="F9713" s="8">
        <v>0</v>
      </c>
      <c r="G9713" s="8">
        <v>8</v>
      </c>
      <c r="H9713" s="8" t="s">
        <v>45064</v>
      </c>
      <c r="I9713" s="8">
        <v>526.6875</v>
      </c>
      <c r="J9713" s="3">
        <f t="shared" si="151"/>
        <v>43749.185704328702</v>
      </c>
    </row>
    <row r="9714" spans="1:10" x14ac:dyDescent="0.25">
      <c r="A9714" s="5" t="s">
        <v>45065</v>
      </c>
      <c r="B9714" s="6">
        <v>393.75</v>
      </c>
      <c r="C9714" s="6">
        <v>20.478950000000001</v>
      </c>
      <c r="D9714" s="6">
        <v>54</v>
      </c>
      <c r="E9714" s="6">
        <v>0</v>
      </c>
      <c r="F9714" s="6">
        <v>0</v>
      </c>
      <c r="G9714" s="6">
        <v>4</v>
      </c>
      <c r="H9714" s="6" t="s">
        <v>45066</v>
      </c>
      <c r="I9714" s="6">
        <v>526.5</v>
      </c>
      <c r="J9714" s="2">
        <f t="shared" si="151"/>
        <v>43749.185783206012</v>
      </c>
    </row>
    <row r="9715" spans="1:10" x14ac:dyDescent="0.25">
      <c r="A9715" s="7" t="s">
        <v>45067</v>
      </c>
      <c r="B9715" s="8">
        <v>393.75</v>
      </c>
      <c r="C9715" s="8">
        <v>20.478950000000001</v>
      </c>
      <c r="D9715" s="8">
        <v>54</v>
      </c>
      <c r="E9715" s="8">
        <v>0</v>
      </c>
      <c r="F9715" s="8">
        <v>0</v>
      </c>
      <c r="G9715" s="8">
        <v>11</v>
      </c>
      <c r="H9715" s="8" t="s">
        <v>45068</v>
      </c>
      <c r="I9715" s="8">
        <v>526.6875</v>
      </c>
      <c r="J9715" s="3">
        <f t="shared" si="151"/>
        <v>43749.185859490739</v>
      </c>
    </row>
    <row r="9716" spans="1:10" x14ac:dyDescent="0.25">
      <c r="A9716" s="5" t="s">
        <v>45069</v>
      </c>
      <c r="B9716" s="6">
        <v>393.75</v>
      </c>
      <c r="C9716" s="6">
        <v>20.478950000000001</v>
      </c>
      <c r="D9716" s="6">
        <v>54</v>
      </c>
      <c r="E9716" s="6">
        <v>0</v>
      </c>
      <c r="F9716" s="6">
        <v>0</v>
      </c>
      <c r="G9716" s="6">
        <v>5</v>
      </c>
      <c r="H9716" s="6" t="s">
        <v>45070</v>
      </c>
      <c r="I9716" s="6">
        <v>526.6875</v>
      </c>
      <c r="J9716" s="2">
        <f t="shared" si="151"/>
        <v>43749.185931215274</v>
      </c>
    </row>
    <row r="9717" spans="1:10" x14ac:dyDescent="0.25">
      <c r="A9717" s="7" t="s">
        <v>45071</v>
      </c>
      <c r="B9717" s="8">
        <v>393.75</v>
      </c>
      <c r="C9717" s="8">
        <v>20.478950000000001</v>
      </c>
      <c r="D9717" s="8">
        <v>54</v>
      </c>
      <c r="E9717" s="8">
        <v>0</v>
      </c>
      <c r="F9717" s="8">
        <v>0</v>
      </c>
      <c r="G9717" s="8">
        <v>10</v>
      </c>
      <c r="H9717" s="8" t="s">
        <v>45072</v>
      </c>
      <c r="I9717" s="8">
        <v>526.6875</v>
      </c>
      <c r="J9717" s="3">
        <f t="shared" si="151"/>
        <v>43749.186002523151</v>
      </c>
    </row>
    <row r="9718" spans="1:10" x14ac:dyDescent="0.25">
      <c r="A9718" s="5" t="s">
        <v>45073</v>
      </c>
      <c r="B9718" s="6">
        <v>393.75</v>
      </c>
      <c r="C9718" s="6">
        <v>20.478950000000001</v>
      </c>
      <c r="D9718" s="6">
        <v>54</v>
      </c>
      <c r="E9718" s="6">
        <v>0</v>
      </c>
      <c r="F9718" s="6">
        <v>0</v>
      </c>
      <c r="G9718" s="6">
        <v>9</v>
      </c>
      <c r="H9718" s="6" t="s">
        <v>45074</v>
      </c>
      <c r="I9718" s="6">
        <v>526.6875</v>
      </c>
      <c r="J9718" s="2">
        <f t="shared" si="151"/>
        <v>43749.186085879628</v>
      </c>
    </row>
    <row r="9719" spans="1:10" x14ac:dyDescent="0.25">
      <c r="A9719" s="7" t="s">
        <v>45075</v>
      </c>
      <c r="B9719" s="8">
        <v>393.75</v>
      </c>
      <c r="C9719" s="8">
        <v>20.478950000000001</v>
      </c>
      <c r="D9719" s="8">
        <v>54</v>
      </c>
      <c r="E9719" s="8">
        <v>0</v>
      </c>
      <c r="F9719" s="8">
        <v>0</v>
      </c>
      <c r="G9719" s="8">
        <v>4</v>
      </c>
      <c r="H9719" s="8" t="s">
        <v>45076</v>
      </c>
      <c r="I9719" s="8">
        <v>526.6875</v>
      </c>
      <c r="J9719" s="3">
        <f t="shared" si="151"/>
        <v>43749.186169444445</v>
      </c>
    </row>
    <row r="9720" spans="1:10" x14ac:dyDescent="0.25">
      <c r="A9720" s="5" t="s">
        <v>45077</v>
      </c>
      <c r="B9720" s="6">
        <v>393.75</v>
      </c>
      <c r="C9720" s="6">
        <v>20.478950000000001</v>
      </c>
      <c r="D9720" s="6">
        <v>54</v>
      </c>
      <c r="E9720" s="6">
        <v>0</v>
      </c>
      <c r="F9720" s="6">
        <v>0</v>
      </c>
      <c r="G9720" s="6">
        <v>9</v>
      </c>
      <c r="H9720" s="6" t="s">
        <v>45078</v>
      </c>
      <c r="I9720" s="6">
        <v>526.5</v>
      </c>
      <c r="J9720" s="2">
        <f t="shared" si="151"/>
        <v>43749.186240891206</v>
      </c>
    </row>
    <row r="9721" spans="1:10" x14ac:dyDescent="0.25">
      <c r="A9721" s="7" t="s">
        <v>45079</v>
      </c>
      <c r="B9721" s="8">
        <v>393.75</v>
      </c>
      <c r="C9721" s="8">
        <v>20.478950000000001</v>
      </c>
      <c r="D9721" s="8">
        <v>56</v>
      </c>
      <c r="E9721" s="8">
        <v>0</v>
      </c>
      <c r="F9721" s="8">
        <v>0</v>
      </c>
      <c r="G9721" s="8">
        <v>4</v>
      </c>
      <c r="H9721" s="8" t="s">
        <v>45080</v>
      </c>
      <c r="I9721" s="8">
        <v>526.6875</v>
      </c>
      <c r="J9721" s="3">
        <f t="shared" si="151"/>
        <v>43749.186312407408</v>
      </c>
    </row>
    <row r="9722" spans="1:10" x14ac:dyDescent="0.25">
      <c r="A9722" s="5" t="s">
        <v>45081</v>
      </c>
      <c r="B9722" s="6">
        <v>393.75</v>
      </c>
      <c r="C9722" s="6">
        <v>20.478950000000001</v>
      </c>
      <c r="D9722" s="6">
        <v>55</v>
      </c>
      <c r="E9722" s="6">
        <v>0</v>
      </c>
      <c r="F9722" s="6">
        <v>0</v>
      </c>
      <c r="G9722" s="6">
        <v>8</v>
      </c>
      <c r="H9722" s="6" t="s">
        <v>45082</v>
      </c>
      <c r="I9722" s="6">
        <v>526.6875</v>
      </c>
      <c r="J9722" s="2">
        <f t="shared" si="151"/>
        <v>43749.18638417824</v>
      </c>
    </row>
    <row r="9723" spans="1:10" x14ac:dyDescent="0.25">
      <c r="A9723" s="7" t="s">
        <v>45083</v>
      </c>
      <c r="B9723" s="8">
        <v>393.75</v>
      </c>
      <c r="C9723" s="8">
        <v>20.478950000000001</v>
      </c>
      <c r="D9723" s="8">
        <v>55</v>
      </c>
      <c r="E9723" s="8">
        <v>0</v>
      </c>
      <c r="F9723" s="8">
        <v>0</v>
      </c>
      <c r="G9723" s="8">
        <v>15</v>
      </c>
      <c r="H9723" s="8" t="s">
        <v>45084</v>
      </c>
      <c r="I9723" s="8">
        <v>526.6875</v>
      </c>
      <c r="J9723" s="3">
        <f t="shared" si="151"/>
        <v>43749.186467291664</v>
      </c>
    </row>
    <row r="9724" spans="1:10" x14ac:dyDescent="0.25">
      <c r="A9724" s="5" t="s">
        <v>45085</v>
      </c>
      <c r="B9724" s="6">
        <v>393.75</v>
      </c>
      <c r="C9724" s="6">
        <v>20.478950000000001</v>
      </c>
      <c r="D9724" s="6">
        <v>55</v>
      </c>
      <c r="E9724" s="6">
        <v>0</v>
      </c>
      <c r="F9724" s="6">
        <v>0</v>
      </c>
      <c r="G9724" s="6">
        <v>8</v>
      </c>
      <c r="H9724" s="6" t="s">
        <v>45086</v>
      </c>
      <c r="I9724" s="6">
        <v>526.6875</v>
      </c>
      <c r="J9724" s="2">
        <f t="shared" si="151"/>
        <v>43749.186538969901</v>
      </c>
    </row>
    <row r="9725" spans="1:10" x14ac:dyDescent="0.25">
      <c r="A9725" s="7" t="s">
        <v>45087</v>
      </c>
      <c r="B9725" s="8">
        <v>393.75</v>
      </c>
      <c r="C9725" s="8">
        <v>20.478950000000001</v>
      </c>
      <c r="D9725" s="8">
        <v>54</v>
      </c>
      <c r="E9725" s="8">
        <v>0</v>
      </c>
      <c r="F9725" s="8">
        <v>0</v>
      </c>
      <c r="G9725" s="8">
        <v>7</v>
      </c>
      <c r="H9725" s="8" t="s">
        <v>45088</v>
      </c>
      <c r="I9725" s="8">
        <v>526.6875</v>
      </c>
      <c r="J9725" s="3">
        <f t="shared" si="151"/>
        <v>43749.186622685178</v>
      </c>
    </row>
    <row r="9726" spans="1:10" x14ac:dyDescent="0.25">
      <c r="A9726" s="5" t="s">
        <v>45089</v>
      </c>
      <c r="B9726" s="6">
        <v>393.75</v>
      </c>
      <c r="C9726" s="6">
        <v>20.478950000000001</v>
      </c>
      <c r="D9726" s="6">
        <v>55</v>
      </c>
      <c r="E9726" s="6">
        <v>0</v>
      </c>
      <c r="F9726" s="6">
        <v>0</v>
      </c>
      <c r="G9726" s="6">
        <v>20</v>
      </c>
      <c r="H9726" s="6" t="s">
        <v>45090</v>
      </c>
      <c r="I9726" s="6">
        <v>526.6875</v>
      </c>
      <c r="J9726" s="2">
        <f t="shared" si="151"/>
        <v>43749.186694131939</v>
      </c>
    </row>
    <row r="9727" spans="1:10" x14ac:dyDescent="0.25">
      <c r="A9727" s="7" t="s">
        <v>45091</v>
      </c>
      <c r="B9727" s="8">
        <v>393.75</v>
      </c>
      <c r="C9727" s="8">
        <v>20.478950000000001</v>
      </c>
      <c r="D9727" s="8">
        <v>55</v>
      </c>
      <c r="E9727" s="8">
        <v>0</v>
      </c>
      <c r="F9727" s="8">
        <v>0</v>
      </c>
      <c r="G9727" s="8">
        <v>13</v>
      </c>
      <c r="H9727" s="8" t="s">
        <v>45092</v>
      </c>
      <c r="I9727" s="8">
        <v>526.6875</v>
      </c>
      <c r="J9727" s="3">
        <f t="shared" si="151"/>
        <v>43749.186765798608</v>
      </c>
    </row>
    <row r="9728" spans="1:10" x14ac:dyDescent="0.25">
      <c r="A9728" s="5" t="s">
        <v>45093</v>
      </c>
      <c r="B9728" s="6">
        <v>393.75</v>
      </c>
      <c r="C9728" s="6">
        <v>20.478950000000001</v>
      </c>
      <c r="D9728" s="6">
        <v>55</v>
      </c>
      <c r="E9728" s="6">
        <v>0</v>
      </c>
      <c r="F9728" s="6">
        <v>0</v>
      </c>
      <c r="G9728" s="6">
        <v>15</v>
      </c>
      <c r="H9728" s="6" t="s">
        <v>45094</v>
      </c>
      <c r="I9728" s="6">
        <v>526.6875</v>
      </c>
      <c r="J9728" s="2">
        <f t="shared" si="151"/>
        <v>43749.186837210647</v>
      </c>
    </row>
    <row r="9729" spans="1:10" x14ac:dyDescent="0.25">
      <c r="A9729" s="7" t="s">
        <v>45095</v>
      </c>
      <c r="B9729" s="8">
        <v>393.75</v>
      </c>
      <c r="C9729" s="8">
        <v>20.478950000000001</v>
      </c>
      <c r="D9729" s="8">
        <v>55</v>
      </c>
      <c r="E9729" s="8">
        <v>0</v>
      </c>
      <c r="F9729" s="8">
        <v>0</v>
      </c>
      <c r="G9729" s="8">
        <v>6</v>
      </c>
      <c r="H9729" s="8" t="s">
        <v>45096</v>
      </c>
      <c r="I9729" s="8">
        <v>526.6875</v>
      </c>
      <c r="J9729" s="3">
        <f t="shared" si="151"/>
        <v>43749.186908807867</v>
      </c>
    </row>
    <row r="9730" spans="1:10" x14ac:dyDescent="0.25">
      <c r="A9730" s="5" t="s">
        <v>45097</v>
      </c>
      <c r="B9730" s="6">
        <v>393.75</v>
      </c>
      <c r="C9730" s="6">
        <v>20.426300000000001</v>
      </c>
      <c r="D9730" s="6">
        <v>55</v>
      </c>
      <c r="E9730" s="6">
        <v>0</v>
      </c>
      <c r="F9730" s="6">
        <v>0</v>
      </c>
      <c r="G9730" s="6">
        <v>2</v>
      </c>
      <c r="H9730" s="6" t="s">
        <v>45098</v>
      </c>
      <c r="I9730" s="6">
        <v>526.6875</v>
      </c>
      <c r="J9730" s="2">
        <f t="shared" ref="J9730:J9793" si="152">(H9730/86400000)+25569+(7/24)</f>
        <v>43749.186980347215</v>
      </c>
    </row>
    <row r="9731" spans="1:10" x14ac:dyDescent="0.25">
      <c r="A9731" s="7" t="s">
        <v>45099</v>
      </c>
      <c r="B9731" s="8">
        <v>393.75</v>
      </c>
      <c r="C9731" s="8">
        <v>20.478950000000001</v>
      </c>
      <c r="D9731" s="8">
        <v>55</v>
      </c>
      <c r="E9731" s="8">
        <v>0</v>
      </c>
      <c r="F9731" s="8">
        <v>0</v>
      </c>
      <c r="G9731" s="8">
        <v>9</v>
      </c>
      <c r="H9731" s="8" t="s">
        <v>45100</v>
      </c>
      <c r="I9731" s="8">
        <v>526.6875</v>
      </c>
      <c r="J9731" s="3">
        <f t="shared" si="152"/>
        <v>43749.187063611105</v>
      </c>
    </row>
    <row r="9732" spans="1:10" x14ac:dyDescent="0.25">
      <c r="A9732" s="5" t="s">
        <v>45101</v>
      </c>
      <c r="B9732" s="6">
        <v>393.75</v>
      </c>
      <c r="C9732" s="6">
        <v>20.478950000000001</v>
      </c>
      <c r="D9732" s="6">
        <v>54</v>
      </c>
      <c r="E9732" s="6">
        <v>0</v>
      </c>
      <c r="F9732" s="6">
        <v>0</v>
      </c>
      <c r="G9732" s="6">
        <v>5</v>
      </c>
      <c r="H9732" s="6" t="s">
        <v>45102</v>
      </c>
      <c r="I9732" s="6">
        <v>526.6875</v>
      </c>
      <c r="J9732" s="2">
        <f t="shared" si="152"/>
        <v>43749.187135277774</v>
      </c>
    </row>
    <row r="9733" spans="1:10" x14ac:dyDescent="0.25">
      <c r="A9733" s="7" t="s">
        <v>45103</v>
      </c>
      <c r="B9733" s="8">
        <v>393.75</v>
      </c>
      <c r="C9733" s="8">
        <v>20.478950000000001</v>
      </c>
      <c r="D9733" s="8">
        <v>59</v>
      </c>
      <c r="E9733" s="8">
        <v>0</v>
      </c>
      <c r="F9733" s="8">
        <v>0</v>
      </c>
      <c r="G9733" s="8">
        <v>0</v>
      </c>
      <c r="H9733" s="8" t="s">
        <v>45104</v>
      </c>
      <c r="I9733" s="8">
        <v>526.6875</v>
      </c>
      <c r="J9733" s="3">
        <f t="shared" si="152"/>
        <v>43749.187206863418</v>
      </c>
    </row>
    <row r="9734" spans="1:10" x14ac:dyDescent="0.25">
      <c r="A9734" s="5" t="s">
        <v>45105</v>
      </c>
      <c r="B9734" s="6">
        <v>393.75</v>
      </c>
      <c r="C9734" s="6">
        <v>20.478950000000001</v>
      </c>
      <c r="D9734" s="6">
        <v>57</v>
      </c>
      <c r="E9734" s="6">
        <v>0</v>
      </c>
      <c r="F9734" s="6">
        <v>0</v>
      </c>
      <c r="G9734" s="6">
        <v>0</v>
      </c>
      <c r="H9734" s="6" t="s">
        <v>45106</v>
      </c>
      <c r="I9734" s="6">
        <v>526.5</v>
      </c>
      <c r="J9734" s="2">
        <f t="shared" si="152"/>
        <v>43749.18729361111</v>
      </c>
    </row>
    <row r="9735" spans="1:10" x14ac:dyDescent="0.25">
      <c r="A9735" s="7" t="s">
        <v>45107</v>
      </c>
      <c r="B9735" s="8">
        <v>393.75</v>
      </c>
      <c r="C9735" s="8">
        <v>20.478950000000001</v>
      </c>
      <c r="D9735" s="8">
        <v>57</v>
      </c>
      <c r="E9735" s="8">
        <v>0</v>
      </c>
      <c r="F9735" s="8">
        <v>0</v>
      </c>
      <c r="G9735" s="8">
        <v>3</v>
      </c>
      <c r="H9735" s="8" t="s">
        <v>45108</v>
      </c>
      <c r="I9735" s="8">
        <v>526.6875</v>
      </c>
      <c r="J9735" s="3">
        <f t="shared" si="152"/>
        <v>43749.187373877314</v>
      </c>
    </row>
    <row r="9736" spans="1:10" x14ac:dyDescent="0.25">
      <c r="A9736" s="5" t="s">
        <v>45109</v>
      </c>
      <c r="B9736" s="6">
        <v>393.75</v>
      </c>
      <c r="C9736" s="6">
        <v>20.478950000000001</v>
      </c>
      <c r="D9736" s="6">
        <v>57</v>
      </c>
      <c r="E9736" s="6">
        <v>0</v>
      </c>
      <c r="F9736" s="6">
        <v>0</v>
      </c>
      <c r="G9736" s="6">
        <v>11</v>
      </c>
      <c r="H9736" s="6" t="s">
        <v>45110</v>
      </c>
      <c r="I9736" s="6">
        <v>526.6875</v>
      </c>
      <c r="J9736" s="2">
        <f t="shared" si="152"/>
        <v>43749.187445057869</v>
      </c>
    </row>
    <row r="9737" spans="1:10" x14ac:dyDescent="0.25">
      <c r="A9737" s="7" t="s">
        <v>45111</v>
      </c>
      <c r="B9737" s="8">
        <v>393.75</v>
      </c>
      <c r="C9737" s="8">
        <v>20.478950000000001</v>
      </c>
      <c r="D9737" s="8">
        <v>58</v>
      </c>
      <c r="E9737" s="8">
        <v>0</v>
      </c>
      <c r="F9737" s="8">
        <v>0</v>
      </c>
      <c r="G9737" s="8">
        <v>6</v>
      </c>
      <c r="H9737" s="8" t="s">
        <v>45112</v>
      </c>
      <c r="I9737" s="8">
        <v>526.5</v>
      </c>
      <c r="J9737" s="3">
        <f t="shared" si="152"/>
        <v>43749.187516597223</v>
      </c>
    </row>
    <row r="9738" spans="1:10" x14ac:dyDescent="0.25">
      <c r="A9738" s="5" t="s">
        <v>45113</v>
      </c>
      <c r="B9738" s="6">
        <v>393.75</v>
      </c>
      <c r="C9738" s="6">
        <v>20.478950000000001</v>
      </c>
      <c r="D9738" s="6">
        <v>57</v>
      </c>
      <c r="E9738" s="6">
        <v>0</v>
      </c>
      <c r="F9738" s="6">
        <v>0</v>
      </c>
      <c r="G9738" s="6">
        <v>12</v>
      </c>
      <c r="H9738" s="6" t="s">
        <v>45114</v>
      </c>
      <c r="I9738" s="6">
        <v>526.6875</v>
      </c>
      <c r="J9738" s="2">
        <f t="shared" si="152"/>
        <v>43749.18762689815</v>
      </c>
    </row>
    <row r="9739" spans="1:10" x14ac:dyDescent="0.25">
      <c r="A9739" s="7" t="s">
        <v>45115</v>
      </c>
      <c r="B9739" s="8">
        <v>393.75</v>
      </c>
      <c r="C9739" s="8">
        <v>20.426300000000001</v>
      </c>
      <c r="D9739" s="8">
        <v>56</v>
      </c>
      <c r="E9739" s="8">
        <v>0</v>
      </c>
      <c r="F9739" s="8">
        <v>0</v>
      </c>
      <c r="G9739" s="8">
        <v>10</v>
      </c>
      <c r="H9739" s="8" t="s">
        <v>45116</v>
      </c>
      <c r="I9739" s="8">
        <v>526.6875</v>
      </c>
      <c r="J9739" s="3">
        <f t="shared" si="152"/>
        <v>43749.187707731478</v>
      </c>
    </row>
    <row r="9740" spans="1:10" x14ac:dyDescent="0.25">
      <c r="A9740" s="5" t="s">
        <v>45117</v>
      </c>
      <c r="B9740" s="6">
        <v>393.75</v>
      </c>
      <c r="C9740" s="6">
        <v>20.478950000000001</v>
      </c>
      <c r="D9740" s="6">
        <v>56</v>
      </c>
      <c r="E9740" s="6">
        <v>0</v>
      </c>
      <c r="F9740" s="6">
        <v>0</v>
      </c>
      <c r="G9740" s="6">
        <v>13</v>
      </c>
      <c r="H9740" s="6" t="s">
        <v>45118</v>
      </c>
      <c r="I9740" s="6">
        <v>526.6875</v>
      </c>
      <c r="J9740" s="2">
        <f t="shared" si="152"/>
        <v>43749.187791331016</v>
      </c>
    </row>
    <row r="9741" spans="1:10" x14ac:dyDescent="0.25">
      <c r="A9741" s="7" t="s">
        <v>45119</v>
      </c>
      <c r="B9741" s="8">
        <v>393.75</v>
      </c>
      <c r="C9741" s="8">
        <v>20.426300000000001</v>
      </c>
      <c r="D9741" s="8">
        <v>55</v>
      </c>
      <c r="E9741" s="8">
        <v>0</v>
      </c>
      <c r="F9741" s="8">
        <v>0</v>
      </c>
      <c r="G9741" s="8">
        <v>7</v>
      </c>
      <c r="H9741" s="8" t="s">
        <v>45120</v>
      </c>
      <c r="I9741" s="8">
        <v>526.6875</v>
      </c>
      <c r="J9741" s="3">
        <f t="shared" si="152"/>
        <v>43749.187874687494</v>
      </c>
    </row>
    <row r="9742" spans="1:10" x14ac:dyDescent="0.25">
      <c r="A9742" s="5" t="s">
        <v>45121</v>
      </c>
      <c r="B9742" s="6">
        <v>393.75</v>
      </c>
      <c r="C9742" s="6">
        <v>20.478950000000001</v>
      </c>
      <c r="D9742" s="6">
        <v>55</v>
      </c>
      <c r="E9742" s="6">
        <v>0</v>
      </c>
      <c r="F9742" s="6">
        <v>0</v>
      </c>
      <c r="G9742" s="6">
        <v>8</v>
      </c>
      <c r="H9742" s="6" t="s">
        <v>45122</v>
      </c>
      <c r="I9742" s="6">
        <v>526.6875</v>
      </c>
      <c r="J9742" s="2">
        <f t="shared" si="152"/>
        <v>43749.187958194445</v>
      </c>
    </row>
    <row r="9743" spans="1:10" x14ac:dyDescent="0.25">
      <c r="A9743" s="7" t="s">
        <v>45123</v>
      </c>
      <c r="B9743" s="8">
        <v>393.75</v>
      </c>
      <c r="C9743" s="8">
        <v>20.426300000000001</v>
      </c>
      <c r="D9743" s="8">
        <v>55</v>
      </c>
      <c r="E9743" s="8">
        <v>0</v>
      </c>
      <c r="F9743" s="8">
        <v>0</v>
      </c>
      <c r="G9743" s="8">
        <v>6</v>
      </c>
      <c r="H9743" s="8" t="s">
        <v>45124</v>
      </c>
      <c r="I9743" s="8">
        <v>526.6875</v>
      </c>
      <c r="J9743" s="3">
        <f t="shared" si="152"/>
        <v>43749.188041388887</v>
      </c>
    </row>
    <row r="9744" spans="1:10" x14ac:dyDescent="0.25">
      <c r="A9744" s="5" t="s">
        <v>45125</v>
      </c>
      <c r="B9744" s="6">
        <v>393.75</v>
      </c>
      <c r="C9744" s="6">
        <v>20.478950000000001</v>
      </c>
      <c r="D9744" s="6">
        <v>54</v>
      </c>
      <c r="E9744" s="6">
        <v>0</v>
      </c>
      <c r="F9744" s="6">
        <v>0</v>
      </c>
      <c r="G9744" s="6">
        <v>8</v>
      </c>
      <c r="H9744" s="6" t="s">
        <v>45126</v>
      </c>
      <c r="I9744" s="6">
        <v>526.6875</v>
      </c>
      <c r="J9744" s="2">
        <f t="shared" si="152"/>
        <v>43749.188113321761</v>
      </c>
    </row>
    <row r="9745" spans="1:10" x14ac:dyDescent="0.25">
      <c r="A9745" s="7" t="s">
        <v>45127</v>
      </c>
      <c r="B9745" s="8">
        <v>393.75</v>
      </c>
      <c r="C9745" s="8">
        <v>20.478950000000001</v>
      </c>
      <c r="D9745" s="8">
        <v>53</v>
      </c>
      <c r="E9745" s="8">
        <v>0</v>
      </c>
      <c r="F9745" s="8">
        <v>0</v>
      </c>
      <c r="G9745" s="8">
        <v>13</v>
      </c>
      <c r="H9745" s="8" t="s">
        <v>45128</v>
      </c>
      <c r="I9745" s="8">
        <v>526.6875</v>
      </c>
      <c r="J9745" s="3">
        <f t="shared" si="152"/>
        <v>43749.188196712959</v>
      </c>
    </row>
    <row r="9746" spans="1:10" x14ac:dyDescent="0.25">
      <c r="A9746" s="5" t="s">
        <v>45129</v>
      </c>
      <c r="B9746" s="6">
        <v>393.75</v>
      </c>
      <c r="C9746" s="6">
        <v>20.478950000000001</v>
      </c>
      <c r="D9746" s="6">
        <v>52</v>
      </c>
      <c r="E9746" s="6">
        <v>0</v>
      </c>
      <c r="F9746" s="6">
        <v>0</v>
      </c>
      <c r="G9746" s="6">
        <v>12</v>
      </c>
      <c r="H9746" s="6" t="s">
        <v>45130</v>
      </c>
      <c r="I9746" s="6">
        <v>526.5</v>
      </c>
      <c r="J9746" s="2">
        <f t="shared" si="152"/>
        <v>43749.188280185183</v>
      </c>
    </row>
    <row r="9747" spans="1:10" x14ac:dyDescent="0.25">
      <c r="A9747" s="7" t="s">
        <v>45131</v>
      </c>
      <c r="B9747" s="8">
        <v>393.75</v>
      </c>
      <c r="C9747" s="8">
        <v>20.478950000000001</v>
      </c>
      <c r="D9747" s="8">
        <v>52</v>
      </c>
      <c r="E9747" s="8">
        <v>0</v>
      </c>
      <c r="F9747" s="8">
        <v>0</v>
      </c>
      <c r="G9747" s="8">
        <v>2</v>
      </c>
      <c r="H9747" s="8" t="s">
        <v>45132</v>
      </c>
      <c r="I9747" s="8">
        <v>526.6875</v>
      </c>
      <c r="J9747" s="3">
        <f t="shared" si="152"/>
        <v>43749.188363692127</v>
      </c>
    </row>
    <row r="9748" spans="1:10" x14ac:dyDescent="0.25">
      <c r="A9748" s="5" t="s">
        <v>45133</v>
      </c>
      <c r="B9748" s="6">
        <v>393.75</v>
      </c>
      <c r="C9748" s="6">
        <v>20.478950000000001</v>
      </c>
      <c r="D9748" s="6">
        <v>52</v>
      </c>
      <c r="E9748" s="6">
        <v>0</v>
      </c>
      <c r="F9748" s="6">
        <v>0</v>
      </c>
      <c r="G9748" s="6">
        <v>8</v>
      </c>
      <c r="H9748" s="6" t="s">
        <v>45134</v>
      </c>
      <c r="I9748" s="6">
        <v>526.6875</v>
      </c>
      <c r="J9748" s="2">
        <f t="shared" si="152"/>
        <v>43749.18844716435</v>
      </c>
    </row>
    <row r="9749" spans="1:10" x14ac:dyDescent="0.25">
      <c r="A9749" s="7" t="s">
        <v>45135</v>
      </c>
      <c r="B9749" s="8">
        <v>393.75</v>
      </c>
      <c r="C9749" s="8">
        <v>20.478950000000001</v>
      </c>
      <c r="D9749" s="8">
        <v>49</v>
      </c>
      <c r="E9749" s="8">
        <v>0</v>
      </c>
      <c r="F9749" s="8">
        <v>0</v>
      </c>
      <c r="G9749" s="8">
        <v>6</v>
      </c>
      <c r="H9749" s="8" t="s">
        <v>45136</v>
      </c>
      <c r="I9749" s="8">
        <v>526.5</v>
      </c>
      <c r="J9749" s="3">
        <f t="shared" si="152"/>
        <v>43749.188530277774</v>
      </c>
    </row>
    <row r="9750" spans="1:10" x14ac:dyDescent="0.25">
      <c r="A9750" s="5" t="s">
        <v>45137</v>
      </c>
      <c r="B9750" s="6">
        <v>412.5</v>
      </c>
      <c r="C9750" s="6">
        <v>20.478950000000001</v>
      </c>
      <c r="D9750" s="6">
        <v>50</v>
      </c>
      <c r="E9750" s="6">
        <v>0</v>
      </c>
      <c r="F9750" s="6">
        <v>0</v>
      </c>
      <c r="G9750" s="6">
        <v>2</v>
      </c>
      <c r="H9750" s="6" t="s">
        <v>45138</v>
      </c>
      <c r="I9750" s="6">
        <v>532.3125</v>
      </c>
      <c r="J9750" s="2">
        <f t="shared" si="152"/>
        <v>43749.188602210641</v>
      </c>
    </row>
    <row r="9751" spans="1:10" x14ac:dyDescent="0.25">
      <c r="A9751" s="7" t="s">
        <v>45139</v>
      </c>
      <c r="B9751" s="8">
        <v>393.75</v>
      </c>
      <c r="C9751" s="8">
        <v>20.478950000000001</v>
      </c>
      <c r="D9751" s="8">
        <v>52</v>
      </c>
      <c r="E9751" s="8">
        <v>0</v>
      </c>
      <c r="F9751" s="8">
        <v>0</v>
      </c>
      <c r="G9751" s="8">
        <v>10</v>
      </c>
      <c r="H9751" s="8" t="s">
        <v>45140</v>
      </c>
      <c r="I9751" s="8">
        <v>526.6875</v>
      </c>
      <c r="J9751" s="3">
        <f t="shared" si="152"/>
        <v>43749.188685914349</v>
      </c>
    </row>
    <row r="9752" spans="1:10" x14ac:dyDescent="0.25">
      <c r="A9752" s="5" t="s">
        <v>45141</v>
      </c>
      <c r="B9752" s="6">
        <v>393.75</v>
      </c>
      <c r="C9752" s="6">
        <v>20.478950000000001</v>
      </c>
      <c r="D9752" s="6">
        <v>55</v>
      </c>
      <c r="E9752" s="6">
        <v>0</v>
      </c>
      <c r="F9752" s="6">
        <v>0</v>
      </c>
      <c r="G9752" s="6">
        <v>6</v>
      </c>
      <c r="H9752" s="6" t="s">
        <v>45142</v>
      </c>
      <c r="I9752" s="6">
        <v>526.6875</v>
      </c>
      <c r="J9752" s="2">
        <f t="shared" si="152"/>
        <v>43749.188757442127</v>
      </c>
    </row>
    <row r="9753" spans="1:10" x14ac:dyDescent="0.25">
      <c r="A9753" s="7" t="s">
        <v>45143</v>
      </c>
      <c r="B9753" s="8">
        <v>412.5</v>
      </c>
      <c r="C9753" s="8">
        <v>20.478950000000001</v>
      </c>
      <c r="D9753" s="8">
        <v>56</v>
      </c>
      <c r="E9753" s="8">
        <v>0</v>
      </c>
      <c r="F9753" s="8">
        <v>0</v>
      </c>
      <c r="G9753" s="8">
        <v>5</v>
      </c>
      <c r="H9753" s="8" t="s">
        <v>45144</v>
      </c>
      <c r="I9753" s="8">
        <v>532.125</v>
      </c>
      <c r="J9753" s="3">
        <f t="shared" si="152"/>
        <v>43749.188840729163</v>
      </c>
    </row>
    <row r="9754" spans="1:10" x14ac:dyDescent="0.25">
      <c r="A9754" s="5" t="s">
        <v>45145</v>
      </c>
      <c r="B9754" s="6">
        <v>393.75</v>
      </c>
      <c r="C9754" s="6">
        <v>20.426300000000001</v>
      </c>
      <c r="D9754" s="6">
        <v>56</v>
      </c>
      <c r="E9754" s="6">
        <v>0</v>
      </c>
      <c r="F9754" s="6">
        <v>0</v>
      </c>
      <c r="G9754" s="6">
        <v>9</v>
      </c>
      <c r="H9754" s="6" t="s">
        <v>45146</v>
      </c>
      <c r="I9754" s="6">
        <v>526.5</v>
      </c>
      <c r="J9754" s="2">
        <f t="shared" si="152"/>
        <v>43749.188911724537</v>
      </c>
    </row>
    <row r="9755" spans="1:10" x14ac:dyDescent="0.25">
      <c r="A9755" s="7" t="s">
        <v>45147</v>
      </c>
      <c r="B9755" s="8">
        <v>393.75</v>
      </c>
      <c r="C9755" s="8">
        <v>20.478950000000001</v>
      </c>
      <c r="D9755" s="8">
        <v>56</v>
      </c>
      <c r="E9755" s="8">
        <v>0</v>
      </c>
      <c r="F9755" s="8">
        <v>0</v>
      </c>
      <c r="G9755" s="8">
        <v>6</v>
      </c>
      <c r="H9755" s="8" t="s">
        <v>45148</v>
      </c>
      <c r="I9755" s="8">
        <v>526.6875</v>
      </c>
      <c r="J9755" s="3">
        <f t="shared" si="152"/>
        <v>43749.188983541666</v>
      </c>
    </row>
    <row r="9756" spans="1:10" x14ac:dyDescent="0.25">
      <c r="A9756" s="5" t="s">
        <v>45149</v>
      </c>
      <c r="B9756" s="6">
        <v>393.75</v>
      </c>
      <c r="C9756" s="6">
        <v>20.478950000000001</v>
      </c>
      <c r="D9756" s="6">
        <v>56</v>
      </c>
      <c r="E9756" s="6">
        <v>0</v>
      </c>
      <c r="F9756" s="6">
        <v>0</v>
      </c>
      <c r="G9756" s="6">
        <v>6</v>
      </c>
      <c r="H9756" s="6" t="s">
        <v>45150</v>
      </c>
      <c r="I9756" s="6">
        <v>526.5</v>
      </c>
      <c r="J9756" s="2">
        <f t="shared" si="152"/>
        <v>43749.189067430554</v>
      </c>
    </row>
    <row r="9757" spans="1:10" x14ac:dyDescent="0.25">
      <c r="A9757" s="7" t="s">
        <v>45151</v>
      </c>
      <c r="B9757" s="8">
        <v>393.75</v>
      </c>
      <c r="C9757" s="8">
        <v>20.478950000000001</v>
      </c>
      <c r="D9757" s="8">
        <v>55</v>
      </c>
      <c r="E9757" s="8">
        <v>0</v>
      </c>
      <c r="F9757" s="8">
        <v>0</v>
      </c>
      <c r="G9757" s="8">
        <v>5</v>
      </c>
      <c r="H9757" s="8" t="s">
        <v>45152</v>
      </c>
      <c r="I9757" s="8">
        <v>526.6875</v>
      </c>
      <c r="J9757" s="3">
        <f t="shared" si="152"/>
        <v>43749.189138842594</v>
      </c>
    </row>
    <row r="9758" spans="1:10" x14ac:dyDescent="0.25">
      <c r="A9758" s="5" t="s">
        <v>45153</v>
      </c>
      <c r="B9758" s="6">
        <v>393.75</v>
      </c>
      <c r="C9758" s="6">
        <v>20.478950000000001</v>
      </c>
      <c r="D9758" s="6">
        <v>54</v>
      </c>
      <c r="E9758" s="6">
        <v>0</v>
      </c>
      <c r="F9758" s="6">
        <v>0</v>
      </c>
      <c r="G9758" s="6">
        <v>13</v>
      </c>
      <c r="H9758" s="6" t="s">
        <v>45154</v>
      </c>
      <c r="I9758" s="6">
        <v>526.6875</v>
      </c>
      <c r="J9758" s="2">
        <f t="shared" si="152"/>
        <v>43749.18922231481</v>
      </c>
    </row>
    <row r="9759" spans="1:10" x14ac:dyDescent="0.25">
      <c r="A9759" s="7" t="s">
        <v>45155</v>
      </c>
      <c r="B9759" s="8">
        <v>418.75</v>
      </c>
      <c r="C9759" s="8">
        <v>20.478950000000001</v>
      </c>
      <c r="D9759" s="8">
        <v>54</v>
      </c>
      <c r="E9759" s="8">
        <v>0</v>
      </c>
      <c r="F9759" s="8">
        <v>0</v>
      </c>
      <c r="G9759" s="8">
        <v>5</v>
      </c>
      <c r="H9759" s="8" t="s">
        <v>45156</v>
      </c>
      <c r="I9759" s="8">
        <v>534.9375</v>
      </c>
      <c r="J9759" s="3">
        <f t="shared" si="152"/>
        <v>43749.189293368057</v>
      </c>
    </row>
    <row r="9760" spans="1:10" x14ac:dyDescent="0.25">
      <c r="A9760" s="5" t="s">
        <v>45157</v>
      </c>
      <c r="B9760" s="6">
        <v>393.75</v>
      </c>
      <c r="C9760" s="6">
        <v>20.478950000000001</v>
      </c>
      <c r="D9760" s="6">
        <v>55</v>
      </c>
      <c r="E9760" s="6">
        <v>0</v>
      </c>
      <c r="F9760" s="6">
        <v>0</v>
      </c>
      <c r="G9760" s="6">
        <v>3</v>
      </c>
      <c r="H9760" s="6" t="s">
        <v>45158</v>
      </c>
      <c r="I9760" s="6">
        <v>526.6875</v>
      </c>
      <c r="J9760" s="2">
        <f t="shared" si="152"/>
        <v>43749.189365428239</v>
      </c>
    </row>
    <row r="9761" spans="1:10" x14ac:dyDescent="0.25">
      <c r="A9761" s="7" t="s">
        <v>45159</v>
      </c>
      <c r="B9761" s="8">
        <v>393.75</v>
      </c>
      <c r="C9761" s="8">
        <v>20.478950000000001</v>
      </c>
      <c r="D9761" s="8">
        <v>55</v>
      </c>
      <c r="E9761" s="8">
        <v>0</v>
      </c>
      <c r="F9761" s="8">
        <v>0</v>
      </c>
      <c r="G9761" s="8">
        <v>7</v>
      </c>
      <c r="H9761" s="8" t="s">
        <v>45160</v>
      </c>
      <c r="I9761" s="8">
        <v>526.6875</v>
      </c>
      <c r="J9761" s="3">
        <f t="shared" si="152"/>
        <v>43749.189448888887</v>
      </c>
    </row>
    <row r="9762" spans="1:10" x14ac:dyDescent="0.25">
      <c r="A9762" s="5" t="s">
        <v>45161</v>
      </c>
      <c r="B9762" s="6">
        <v>393.75</v>
      </c>
      <c r="C9762" s="6">
        <v>20.426300000000001</v>
      </c>
      <c r="D9762" s="6">
        <v>54</v>
      </c>
      <c r="E9762" s="6">
        <v>0</v>
      </c>
      <c r="F9762" s="6">
        <v>0</v>
      </c>
      <c r="G9762" s="6">
        <v>12</v>
      </c>
      <c r="H9762" s="6" t="s">
        <v>45162</v>
      </c>
      <c r="I9762" s="6">
        <v>526.6875</v>
      </c>
      <c r="J9762" s="2">
        <f t="shared" si="152"/>
        <v>43749.189520347216</v>
      </c>
    </row>
    <row r="9763" spans="1:10" x14ac:dyDescent="0.25">
      <c r="A9763" s="7" t="s">
        <v>45163</v>
      </c>
      <c r="B9763" s="8">
        <v>393.75</v>
      </c>
      <c r="C9763" s="8">
        <v>20.426300000000001</v>
      </c>
      <c r="D9763" s="8">
        <v>54</v>
      </c>
      <c r="E9763" s="8">
        <v>0</v>
      </c>
      <c r="F9763" s="8">
        <v>0</v>
      </c>
      <c r="G9763" s="8">
        <v>7</v>
      </c>
      <c r="H9763" s="8" t="s">
        <v>45164</v>
      </c>
      <c r="I9763" s="8">
        <v>526.6875</v>
      </c>
      <c r="J9763" s="3">
        <f t="shared" si="152"/>
        <v>43749.189612418981</v>
      </c>
    </row>
    <row r="9764" spans="1:10" x14ac:dyDescent="0.25">
      <c r="A9764" s="5" t="s">
        <v>45165</v>
      </c>
      <c r="B9764" s="6">
        <v>393.75</v>
      </c>
      <c r="C9764" s="6">
        <v>20.426300000000001</v>
      </c>
      <c r="D9764" s="6">
        <v>54</v>
      </c>
      <c r="E9764" s="6">
        <v>0</v>
      </c>
      <c r="F9764" s="6">
        <v>0</v>
      </c>
      <c r="G9764" s="6">
        <v>7</v>
      </c>
      <c r="H9764" s="6" t="s">
        <v>45166</v>
      </c>
      <c r="I9764" s="6">
        <v>526.6875</v>
      </c>
      <c r="J9764" s="2">
        <f t="shared" si="152"/>
        <v>43749.189687314814</v>
      </c>
    </row>
    <row r="9765" spans="1:10" x14ac:dyDescent="0.25">
      <c r="A9765" s="7" t="s">
        <v>45167</v>
      </c>
      <c r="B9765" s="8">
        <v>412.5</v>
      </c>
      <c r="C9765" s="8">
        <v>20.478950000000001</v>
      </c>
      <c r="D9765" s="8">
        <v>55</v>
      </c>
      <c r="E9765" s="8">
        <v>0</v>
      </c>
      <c r="F9765" s="8">
        <v>0</v>
      </c>
      <c r="G9765" s="8">
        <v>3</v>
      </c>
      <c r="H9765" s="8" t="s">
        <v>45168</v>
      </c>
      <c r="I9765" s="8">
        <v>532.5</v>
      </c>
      <c r="J9765" s="3">
        <f t="shared" si="152"/>
        <v>43749.189770752309</v>
      </c>
    </row>
    <row r="9766" spans="1:10" x14ac:dyDescent="0.25">
      <c r="A9766" s="5" t="s">
        <v>45169</v>
      </c>
      <c r="B9766" s="6">
        <v>393.75</v>
      </c>
      <c r="C9766" s="6">
        <v>20.478950000000001</v>
      </c>
      <c r="D9766" s="6">
        <v>55</v>
      </c>
      <c r="E9766" s="6">
        <v>0</v>
      </c>
      <c r="F9766" s="6">
        <v>0</v>
      </c>
      <c r="G9766" s="6">
        <v>10</v>
      </c>
      <c r="H9766" s="6" t="s">
        <v>45170</v>
      </c>
      <c r="I9766" s="6">
        <v>526.6875</v>
      </c>
      <c r="J9766" s="2">
        <f t="shared" si="152"/>
        <v>43749.18984230324</v>
      </c>
    </row>
    <row r="9767" spans="1:10" x14ac:dyDescent="0.25">
      <c r="A9767" s="7" t="s">
        <v>45171</v>
      </c>
      <c r="B9767" s="8">
        <v>393.75</v>
      </c>
      <c r="C9767" s="8">
        <v>20.426300000000001</v>
      </c>
      <c r="D9767" s="8">
        <v>56</v>
      </c>
      <c r="E9767" s="8">
        <v>0</v>
      </c>
      <c r="F9767" s="8">
        <v>0</v>
      </c>
      <c r="G9767" s="8">
        <v>11</v>
      </c>
      <c r="H9767" s="8" t="s">
        <v>45172</v>
      </c>
      <c r="I9767" s="8">
        <v>526.6875</v>
      </c>
      <c r="J9767" s="3">
        <f t="shared" si="152"/>
        <v>43749.189913981478</v>
      </c>
    </row>
    <row r="9768" spans="1:10" x14ac:dyDescent="0.25">
      <c r="A9768" s="5" t="s">
        <v>45173</v>
      </c>
      <c r="B9768" s="6">
        <v>393.75</v>
      </c>
      <c r="C9768" s="6">
        <v>20.478950000000001</v>
      </c>
      <c r="D9768" s="6">
        <v>56</v>
      </c>
      <c r="E9768" s="6">
        <v>0</v>
      </c>
      <c r="F9768" s="6">
        <v>0</v>
      </c>
      <c r="G9768" s="6">
        <v>1</v>
      </c>
      <c r="H9768" s="6" t="s">
        <v>45174</v>
      </c>
      <c r="I9768" s="6">
        <v>526.6875</v>
      </c>
      <c r="J9768" s="2">
        <f t="shared" si="152"/>
        <v>43749.1900092824</v>
      </c>
    </row>
    <row r="9769" spans="1:10" x14ac:dyDescent="0.25">
      <c r="A9769" s="7" t="s">
        <v>45175</v>
      </c>
      <c r="B9769" s="8">
        <v>393.75</v>
      </c>
      <c r="C9769" s="8">
        <v>20.478950000000001</v>
      </c>
      <c r="D9769" s="8">
        <v>55</v>
      </c>
      <c r="E9769" s="8">
        <v>0</v>
      </c>
      <c r="F9769" s="8">
        <v>0</v>
      </c>
      <c r="G9769" s="8">
        <v>5</v>
      </c>
      <c r="H9769" s="8" t="s">
        <v>45176</v>
      </c>
      <c r="I9769" s="8">
        <v>526.6875</v>
      </c>
      <c r="J9769" s="3">
        <f t="shared" si="152"/>
        <v>43749.190092847224</v>
      </c>
    </row>
    <row r="9770" spans="1:10" x14ac:dyDescent="0.25">
      <c r="A9770" s="5" t="s">
        <v>45177</v>
      </c>
      <c r="B9770" s="6">
        <v>393.75</v>
      </c>
      <c r="C9770" s="6">
        <v>20.478950000000001</v>
      </c>
      <c r="D9770" s="6">
        <v>55</v>
      </c>
      <c r="E9770" s="6">
        <v>0</v>
      </c>
      <c r="F9770" s="6">
        <v>0</v>
      </c>
      <c r="G9770" s="6">
        <v>4</v>
      </c>
      <c r="H9770" s="6" t="s">
        <v>45178</v>
      </c>
      <c r="I9770" s="6">
        <v>526.5</v>
      </c>
      <c r="J9770" s="2">
        <f t="shared" si="152"/>
        <v>43749.19016515046</v>
      </c>
    </row>
    <row r="9771" spans="1:10" x14ac:dyDescent="0.25">
      <c r="A9771" s="7" t="s">
        <v>45179</v>
      </c>
      <c r="B9771" s="8">
        <v>393.75</v>
      </c>
      <c r="C9771" s="8">
        <v>20.478950000000001</v>
      </c>
      <c r="D9771" s="8">
        <v>55</v>
      </c>
      <c r="E9771" s="8">
        <v>0</v>
      </c>
      <c r="F9771" s="8">
        <v>0</v>
      </c>
      <c r="G9771" s="8">
        <v>4</v>
      </c>
      <c r="H9771" s="8" t="s">
        <v>45180</v>
      </c>
      <c r="I9771" s="8">
        <v>526.6875</v>
      </c>
      <c r="J9771" s="3">
        <f t="shared" si="152"/>
        <v>43749.190247800921</v>
      </c>
    </row>
    <row r="9772" spans="1:10" x14ac:dyDescent="0.25">
      <c r="A9772" s="5" t="s">
        <v>45181</v>
      </c>
      <c r="B9772" s="6">
        <v>393.75</v>
      </c>
      <c r="C9772" s="6">
        <v>20.478950000000001</v>
      </c>
      <c r="D9772" s="6">
        <v>55</v>
      </c>
      <c r="E9772" s="6">
        <v>0</v>
      </c>
      <c r="F9772" s="6">
        <v>0</v>
      </c>
      <c r="G9772" s="6">
        <v>11</v>
      </c>
      <c r="H9772" s="6" t="s">
        <v>45182</v>
      </c>
      <c r="I9772" s="6">
        <v>526.6875</v>
      </c>
      <c r="J9772" s="2">
        <f t="shared" si="152"/>
        <v>43749.190331157406</v>
      </c>
    </row>
    <row r="9773" spans="1:10" x14ac:dyDescent="0.25">
      <c r="A9773" s="7" t="s">
        <v>45183</v>
      </c>
      <c r="B9773" s="8">
        <v>412.5</v>
      </c>
      <c r="C9773" s="8">
        <v>20.478950000000001</v>
      </c>
      <c r="D9773" s="8">
        <v>53</v>
      </c>
      <c r="E9773" s="8">
        <v>0</v>
      </c>
      <c r="F9773" s="8">
        <v>0</v>
      </c>
      <c r="G9773" s="8">
        <v>8</v>
      </c>
      <c r="H9773" s="8" t="s">
        <v>45184</v>
      </c>
      <c r="I9773" s="8">
        <v>532.6875</v>
      </c>
      <c r="J9773" s="3">
        <f t="shared" si="152"/>
        <v>43749.190402824075</v>
      </c>
    </row>
    <row r="9774" spans="1:10" x14ac:dyDescent="0.25">
      <c r="A9774" s="5" t="s">
        <v>45185</v>
      </c>
      <c r="B9774" s="6">
        <v>393.75</v>
      </c>
      <c r="C9774" s="6">
        <v>20.478950000000001</v>
      </c>
      <c r="D9774" s="6">
        <v>53</v>
      </c>
      <c r="E9774" s="6">
        <v>0</v>
      </c>
      <c r="F9774" s="6">
        <v>0</v>
      </c>
      <c r="G9774" s="6">
        <v>7</v>
      </c>
      <c r="H9774" s="6" t="s">
        <v>45186</v>
      </c>
      <c r="I9774" s="6">
        <v>526.6875</v>
      </c>
      <c r="J9774" s="2">
        <f t="shared" si="152"/>
        <v>43749.190474421295</v>
      </c>
    </row>
    <row r="9775" spans="1:10" x14ac:dyDescent="0.25">
      <c r="A9775" s="7" t="s">
        <v>45187</v>
      </c>
      <c r="B9775" s="8">
        <v>393.75</v>
      </c>
      <c r="C9775" s="8">
        <v>20.426300000000001</v>
      </c>
      <c r="D9775" s="8">
        <v>54</v>
      </c>
      <c r="E9775" s="8">
        <v>0</v>
      </c>
      <c r="F9775" s="8">
        <v>0</v>
      </c>
      <c r="G9775" s="8">
        <v>5</v>
      </c>
      <c r="H9775" s="8" t="s">
        <v>45188</v>
      </c>
      <c r="I9775" s="8">
        <v>526.6875</v>
      </c>
      <c r="J9775" s="3">
        <f t="shared" si="152"/>
        <v>43749.190546053236</v>
      </c>
    </row>
    <row r="9776" spans="1:10" x14ac:dyDescent="0.25">
      <c r="A9776" s="5" t="s">
        <v>45189</v>
      </c>
      <c r="B9776" s="6">
        <v>393.75</v>
      </c>
      <c r="C9776" s="6">
        <v>20.478950000000001</v>
      </c>
      <c r="D9776" s="6">
        <v>53</v>
      </c>
      <c r="E9776" s="6">
        <v>0</v>
      </c>
      <c r="F9776" s="6">
        <v>0</v>
      </c>
      <c r="G9776" s="6">
        <v>4</v>
      </c>
      <c r="H9776" s="6" t="s">
        <v>45190</v>
      </c>
      <c r="I9776" s="6">
        <v>526.6875</v>
      </c>
      <c r="J9776" s="2">
        <f t="shared" si="152"/>
        <v>43749.190617546294</v>
      </c>
    </row>
    <row r="9777" spans="1:10" x14ac:dyDescent="0.25">
      <c r="A9777" s="7" t="s">
        <v>45191</v>
      </c>
      <c r="B9777" s="8">
        <v>393.75</v>
      </c>
      <c r="C9777" s="8">
        <v>20.478950000000001</v>
      </c>
      <c r="D9777" s="8">
        <v>54</v>
      </c>
      <c r="E9777" s="8">
        <v>0</v>
      </c>
      <c r="F9777" s="8">
        <v>0</v>
      </c>
      <c r="G9777" s="8">
        <v>10</v>
      </c>
      <c r="H9777" s="8" t="s">
        <v>45192</v>
      </c>
      <c r="I9777" s="8">
        <v>526.6875</v>
      </c>
      <c r="J9777" s="3">
        <f t="shared" si="152"/>
        <v>43749.19068915509</v>
      </c>
    </row>
    <row r="9778" spans="1:10" x14ac:dyDescent="0.25">
      <c r="A9778" s="5" t="s">
        <v>45193</v>
      </c>
      <c r="B9778" s="6">
        <v>393.75</v>
      </c>
      <c r="C9778" s="6">
        <v>20.426300000000001</v>
      </c>
      <c r="D9778" s="6">
        <v>54</v>
      </c>
      <c r="E9778" s="6">
        <v>0</v>
      </c>
      <c r="F9778" s="6">
        <v>0</v>
      </c>
      <c r="G9778" s="6">
        <v>3</v>
      </c>
      <c r="H9778" s="6" t="s">
        <v>45194</v>
      </c>
      <c r="I9778" s="6">
        <v>526.6875</v>
      </c>
      <c r="J9778" s="2">
        <f t="shared" si="152"/>
        <v>43749.190760717589</v>
      </c>
    </row>
    <row r="9779" spans="1:10" x14ac:dyDescent="0.25">
      <c r="A9779" s="7" t="s">
        <v>45195</v>
      </c>
      <c r="B9779" s="8">
        <v>393.75</v>
      </c>
      <c r="C9779" s="8">
        <v>20.478950000000001</v>
      </c>
      <c r="D9779" s="8">
        <v>54</v>
      </c>
      <c r="E9779" s="8">
        <v>0</v>
      </c>
      <c r="F9779" s="8">
        <v>0</v>
      </c>
      <c r="G9779" s="8">
        <v>7</v>
      </c>
      <c r="H9779" s="8" t="s">
        <v>45196</v>
      </c>
      <c r="I9779" s="8">
        <v>526.6875</v>
      </c>
      <c r="J9779" s="3">
        <f t="shared" si="152"/>
        <v>43749.19083219907</v>
      </c>
    </row>
    <row r="9780" spans="1:10" x14ac:dyDescent="0.25">
      <c r="A9780" s="5" t="s">
        <v>45197</v>
      </c>
      <c r="B9780" s="6">
        <v>393.75</v>
      </c>
      <c r="C9780" s="6">
        <v>20.478950000000001</v>
      </c>
      <c r="D9780" s="6">
        <v>54</v>
      </c>
      <c r="E9780" s="6">
        <v>0</v>
      </c>
      <c r="F9780" s="6">
        <v>0</v>
      </c>
      <c r="G9780" s="6">
        <v>9</v>
      </c>
      <c r="H9780" s="6" t="s">
        <v>45198</v>
      </c>
      <c r="I9780" s="6">
        <v>526.6875</v>
      </c>
      <c r="J9780" s="2">
        <f t="shared" si="152"/>
        <v>43749.190915439809</v>
      </c>
    </row>
    <row r="9781" spans="1:10" x14ac:dyDescent="0.25">
      <c r="A9781" s="7" t="s">
        <v>45199</v>
      </c>
      <c r="B9781" s="8">
        <v>412.5</v>
      </c>
      <c r="C9781" s="8">
        <v>20.478950000000001</v>
      </c>
      <c r="D9781" s="8">
        <v>55</v>
      </c>
      <c r="E9781" s="8">
        <v>0</v>
      </c>
      <c r="F9781" s="8">
        <v>0</v>
      </c>
      <c r="G9781" s="8">
        <v>7</v>
      </c>
      <c r="H9781" s="8" t="s">
        <v>45200</v>
      </c>
      <c r="I9781" s="8">
        <v>532.3125</v>
      </c>
      <c r="J9781" s="3">
        <f t="shared" si="152"/>
        <v>43749.19098712963</v>
      </c>
    </row>
    <row r="9782" spans="1:10" x14ac:dyDescent="0.25">
      <c r="A9782" s="5" t="s">
        <v>45201</v>
      </c>
      <c r="B9782" s="6">
        <v>393.75</v>
      </c>
      <c r="C9782" s="6">
        <v>20.478950000000001</v>
      </c>
      <c r="D9782" s="6">
        <v>55</v>
      </c>
      <c r="E9782" s="6">
        <v>0</v>
      </c>
      <c r="F9782" s="6">
        <v>0</v>
      </c>
      <c r="G9782" s="6">
        <v>3</v>
      </c>
      <c r="H9782" s="6" t="s">
        <v>45202</v>
      </c>
      <c r="I9782" s="6">
        <v>526.6875</v>
      </c>
      <c r="J9782" s="2">
        <f t="shared" si="152"/>
        <v>43749.191070682871</v>
      </c>
    </row>
    <row r="9783" spans="1:10" x14ac:dyDescent="0.25">
      <c r="A9783" s="7" t="s">
        <v>45203</v>
      </c>
      <c r="B9783" s="8">
        <v>393.75</v>
      </c>
      <c r="C9783" s="8">
        <v>20.478950000000001</v>
      </c>
      <c r="D9783" s="8">
        <v>53</v>
      </c>
      <c r="E9783" s="8">
        <v>0</v>
      </c>
      <c r="F9783" s="8">
        <v>0</v>
      </c>
      <c r="G9783" s="8">
        <v>6</v>
      </c>
      <c r="H9783" s="8" t="s">
        <v>45204</v>
      </c>
      <c r="I9783" s="8">
        <v>526.6875</v>
      </c>
      <c r="J9783" s="3">
        <f t="shared" si="152"/>
        <v>43749.191142037038</v>
      </c>
    </row>
    <row r="9784" spans="1:10" x14ac:dyDescent="0.25">
      <c r="A9784" s="5" t="s">
        <v>45205</v>
      </c>
      <c r="B9784" s="6">
        <v>421.875</v>
      </c>
      <c r="C9784" s="6">
        <v>20.478950000000001</v>
      </c>
      <c r="D9784" s="6">
        <v>52</v>
      </c>
      <c r="E9784" s="6">
        <v>0</v>
      </c>
      <c r="F9784" s="6">
        <v>0</v>
      </c>
      <c r="G9784" s="6">
        <v>9</v>
      </c>
      <c r="H9784" s="6" t="s">
        <v>45206</v>
      </c>
      <c r="I9784" s="6">
        <v>535.875</v>
      </c>
      <c r="J9784" s="2">
        <f t="shared" si="152"/>
        <v>43749.1912137037</v>
      </c>
    </row>
    <row r="9785" spans="1:10" x14ac:dyDescent="0.25">
      <c r="A9785" s="7" t="s">
        <v>45207</v>
      </c>
      <c r="B9785" s="8">
        <v>393.75</v>
      </c>
      <c r="C9785" s="8">
        <v>20.426300000000001</v>
      </c>
      <c r="D9785" s="8">
        <v>53</v>
      </c>
      <c r="E9785" s="8">
        <v>0</v>
      </c>
      <c r="F9785" s="8">
        <v>0</v>
      </c>
      <c r="G9785" s="8">
        <v>0</v>
      </c>
      <c r="H9785" s="8" t="s">
        <v>45208</v>
      </c>
      <c r="I9785" s="8">
        <v>526.6875</v>
      </c>
      <c r="J9785" s="3">
        <f t="shared" si="152"/>
        <v>43749.191297013887</v>
      </c>
    </row>
    <row r="9786" spans="1:10" x14ac:dyDescent="0.25">
      <c r="A9786" s="5" t="s">
        <v>45209</v>
      </c>
      <c r="B9786" s="6">
        <v>393.75</v>
      </c>
      <c r="C9786" s="6">
        <v>20.478950000000001</v>
      </c>
      <c r="D9786" s="6">
        <v>52</v>
      </c>
      <c r="E9786" s="6">
        <v>0</v>
      </c>
      <c r="F9786" s="6">
        <v>0</v>
      </c>
      <c r="G9786" s="6">
        <v>12</v>
      </c>
      <c r="H9786" s="6" t="s">
        <v>45210</v>
      </c>
      <c r="I9786" s="6">
        <v>526.6875</v>
      </c>
      <c r="J9786" s="2">
        <f t="shared" si="152"/>
        <v>43749.191369050925</v>
      </c>
    </row>
    <row r="9787" spans="1:10" x14ac:dyDescent="0.25">
      <c r="A9787" s="7" t="s">
        <v>45211</v>
      </c>
      <c r="B9787" s="8">
        <v>393.75</v>
      </c>
      <c r="C9787" s="8">
        <v>20.478950000000001</v>
      </c>
      <c r="D9787" s="8">
        <v>47</v>
      </c>
      <c r="E9787" s="8">
        <v>0</v>
      </c>
      <c r="F9787" s="8">
        <v>0</v>
      </c>
      <c r="G9787" s="8">
        <v>0</v>
      </c>
      <c r="H9787" s="8" t="s">
        <v>45212</v>
      </c>
      <c r="I9787" s="8">
        <v>526.6875</v>
      </c>
      <c r="J9787" s="3">
        <f t="shared" si="152"/>
        <v>43749.19148001157</v>
      </c>
    </row>
    <row r="9788" spans="1:10" x14ac:dyDescent="0.25">
      <c r="A9788" s="5" t="s">
        <v>45213</v>
      </c>
      <c r="B9788" s="6">
        <v>393.75</v>
      </c>
      <c r="C9788" s="6">
        <v>20.478950000000001</v>
      </c>
      <c r="D9788" s="6">
        <v>50</v>
      </c>
      <c r="E9788" s="6">
        <v>0</v>
      </c>
      <c r="F9788" s="6">
        <v>0</v>
      </c>
      <c r="G9788" s="6">
        <v>3</v>
      </c>
      <c r="H9788" s="6" t="s">
        <v>45214</v>
      </c>
      <c r="I9788" s="6">
        <v>526.6875</v>
      </c>
      <c r="J9788" s="2">
        <f t="shared" si="152"/>
        <v>43749.19155945602</v>
      </c>
    </row>
    <row r="9789" spans="1:10" x14ac:dyDescent="0.25">
      <c r="A9789" s="7" t="s">
        <v>45215</v>
      </c>
      <c r="B9789" s="8">
        <v>393.75</v>
      </c>
      <c r="C9789" s="8">
        <v>20.426300000000001</v>
      </c>
      <c r="D9789" s="8">
        <v>50</v>
      </c>
      <c r="E9789" s="8">
        <v>0</v>
      </c>
      <c r="F9789" s="8">
        <v>0</v>
      </c>
      <c r="G9789" s="8">
        <v>13</v>
      </c>
      <c r="H9789" s="8" t="s">
        <v>45216</v>
      </c>
      <c r="I9789" s="8">
        <v>526.6875</v>
      </c>
      <c r="J9789" s="3">
        <f t="shared" si="152"/>
        <v>43749.191630312496</v>
      </c>
    </row>
    <row r="9790" spans="1:10" x14ac:dyDescent="0.25">
      <c r="A9790" s="5" t="s">
        <v>45217</v>
      </c>
      <c r="B9790" s="6">
        <v>393.75</v>
      </c>
      <c r="C9790" s="6">
        <v>20.478950000000001</v>
      </c>
      <c r="D9790" s="6">
        <v>50</v>
      </c>
      <c r="E9790" s="6">
        <v>0</v>
      </c>
      <c r="F9790" s="6">
        <v>0</v>
      </c>
      <c r="G9790" s="6">
        <v>8</v>
      </c>
      <c r="H9790" s="6" t="s">
        <v>45218</v>
      </c>
      <c r="I9790" s="6">
        <v>526.6875</v>
      </c>
      <c r="J9790" s="2">
        <f t="shared" si="152"/>
        <v>43749.191702685181</v>
      </c>
    </row>
    <row r="9791" spans="1:10" x14ac:dyDescent="0.25">
      <c r="A9791" s="7" t="s">
        <v>45219</v>
      </c>
      <c r="B9791" s="8">
        <v>393.75</v>
      </c>
      <c r="C9791" s="8">
        <v>20.478950000000001</v>
      </c>
      <c r="D9791" s="8">
        <v>50</v>
      </c>
      <c r="E9791" s="8">
        <v>0</v>
      </c>
      <c r="F9791" s="8">
        <v>0</v>
      </c>
      <c r="G9791" s="8">
        <v>13</v>
      </c>
      <c r="H9791" s="8" t="s">
        <v>45220</v>
      </c>
      <c r="I9791" s="8">
        <v>526.6875</v>
      </c>
      <c r="J9791" s="3">
        <f t="shared" si="152"/>
        <v>43749.191785821757</v>
      </c>
    </row>
    <row r="9792" spans="1:10" x14ac:dyDescent="0.25">
      <c r="A9792" s="5" t="s">
        <v>45221</v>
      </c>
      <c r="B9792" s="6">
        <v>412.5</v>
      </c>
      <c r="C9792" s="6">
        <v>20.478950000000001</v>
      </c>
      <c r="D9792" s="6">
        <v>50</v>
      </c>
      <c r="E9792" s="6">
        <v>0</v>
      </c>
      <c r="F9792" s="6">
        <v>0</v>
      </c>
      <c r="G9792" s="6">
        <v>9</v>
      </c>
      <c r="H9792" s="6" t="s">
        <v>45222</v>
      </c>
      <c r="I9792" s="6">
        <v>532.3125</v>
      </c>
      <c r="J9792" s="2">
        <f t="shared" si="152"/>
        <v>43749.19185758102</v>
      </c>
    </row>
    <row r="9793" spans="1:10" x14ac:dyDescent="0.25">
      <c r="A9793" s="7" t="s">
        <v>45223</v>
      </c>
      <c r="B9793" s="8">
        <v>393.75</v>
      </c>
      <c r="C9793" s="8">
        <v>20.478950000000001</v>
      </c>
      <c r="D9793" s="8">
        <v>50</v>
      </c>
      <c r="E9793" s="8">
        <v>0</v>
      </c>
      <c r="F9793" s="8">
        <v>0</v>
      </c>
      <c r="G9793" s="8">
        <v>8</v>
      </c>
      <c r="H9793" s="8" t="s">
        <v>45224</v>
      </c>
      <c r="I9793" s="8">
        <v>526.6875</v>
      </c>
      <c r="J9793" s="3">
        <f t="shared" si="152"/>
        <v>43749.191941157405</v>
      </c>
    </row>
    <row r="9794" spans="1:10" x14ac:dyDescent="0.25">
      <c r="A9794" s="5" t="s">
        <v>45225</v>
      </c>
      <c r="B9794" s="6">
        <v>393.75</v>
      </c>
      <c r="C9794" s="6">
        <v>20.478950000000001</v>
      </c>
      <c r="D9794" s="6">
        <v>51</v>
      </c>
      <c r="E9794" s="6">
        <v>0</v>
      </c>
      <c r="F9794" s="6">
        <v>0</v>
      </c>
      <c r="G9794" s="6">
        <v>7</v>
      </c>
      <c r="H9794" s="6" t="s">
        <v>45226</v>
      </c>
      <c r="I9794" s="6">
        <v>526.6875</v>
      </c>
      <c r="J9794" s="2">
        <f t="shared" ref="J9794:J9857" si="153">(H9794/86400000)+25569+(7/24)</f>
        <v>43749.192012604166</v>
      </c>
    </row>
    <row r="9795" spans="1:10" x14ac:dyDescent="0.25">
      <c r="A9795" s="7" t="s">
        <v>45227</v>
      </c>
      <c r="B9795" s="8">
        <v>393.75</v>
      </c>
      <c r="C9795" s="8">
        <v>20.426300000000001</v>
      </c>
      <c r="D9795" s="8">
        <v>53</v>
      </c>
      <c r="E9795" s="8">
        <v>0</v>
      </c>
      <c r="F9795" s="8">
        <v>0</v>
      </c>
      <c r="G9795" s="8">
        <v>10</v>
      </c>
      <c r="H9795" s="8" t="s">
        <v>45228</v>
      </c>
      <c r="I9795" s="8">
        <v>526.6875</v>
      </c>
      <c r="J9795" s="3">
        <f t="shared" si="153"/>
        <v>43749.19208753472</v>
      </c>
    </row>
    <row r="9796" spans="1:10" x14ac:dyDescent="0.25">
      <c r="A9796" s="5" t="s">
        <v>45229</v>
      </c>
      <c r="B9796" s="6">
        <v>393.75</v>
      </c>
      <c r="C9796" s="6">
        <v>20.478950000000001</v>
      </c>
      <c r="D9796" s="6">
        <v>53</v>
      </c>
      <c r="E9796" s="6">
        <v>0</v>
      </c>
      <c r="F9796" s="6">
        <v>0</v>
      </c>
      <c r="G9796" s="6">
        <v>12</v>
      </c>
      <c r="H9796" s="6" t="s">
        <v>45230</v>
      </c>
      <c r="I9796" s="6">
        <v>526.6875</v>
      </c>
      <c r="J9796" s="2">
        <f t="shared" si="153"/>
        <v>43749.192167291665</v>
      </c>
    </row>
    <row r="9797" spans="1:10" x14ac:dyDescent="0.25">
      <c r="A9797" s="7" t="s">
        <v>45231</v>
      </c>
      <c r="B9797" s="8">
        <v>393.75</v>
      </c>
      <c r="C9797" s="8">
        <v>20.426300000000001</v>
      </c>
      <c r="D9797" s="8">
        <v>53</v>
      </c>
      <c r="E9797" s="8">
        <v>0</v>
      </c>
      <c r="F9797" s="8">
        <v>0</v>
      </c>
      <c r="G9797" s="8">
        <v>12</v>
      </c>
      <c r="H9797" s="8" t="s">
        <v>45232</v>
      </c>
      <c r="I9797" s="8">
        <v>526.6875</v>
      </c>
      <c r="J9797" s="3">
        <f t="shared" si="153"/>
        <v>43749.19225083333</v>
      </c>
    </row>
    <row r="9798" spans="1:10" x14ac:dyDescent="0.25">
      <c r="A9798" s="5" t="s">
        <v>45233</v>
      </c>
      <c r="B9798" s="6">
        <v>393.75</v>
      </c>
      <c r="C9798" s="6">
        <v>20.478950000000001</v>
      </c>
      <c r="D9798" s="6">
        <v>53</v>
      </c>
      <c r="E9798" s="6">
        <v>0</v>
      </c>
      <c r="F9798" s="6">
        <v>0</v>
      </c>
      <c r="G9798" s="6">
        <v>4</v>
      </c>
      <c r="H9798" s="6" t="s">
        <v>45234</v>
      </c>
      <c r="I9798" s="6">
        <v>526.6875</v>
      </c>
      <c r="J9798" s="2">
        <f t="shared" si="153"/>
        <v>43749.192334791667</v>
      </c>
    </row>
    <row r="9799" spans="1:10" x14ac:dyDescent="0.25">
      <c r="A9799" s="7" t="s">
        <v>45235</v>
      </c>
      <c r="B9799" s="8">
        <v>393.75</v>
      </c>
      <c r="C9799" s="8">
        <v>20.478950000000001</v>
      </c>
      <c r="D9799" s="8">
        <v>51</v>
      </c>
      <c r="E9799" s="8">
        <v>0</v>
      </c>
      <c r="F9799" s="8">
        <v>0</v>
      </c>
      <c r="G9799" s="8">
        <v>5</v>
      </c>
      <c r="H9799" s="8" t="s">
        <v>45236</v>
      </c>
      <c r="I9799" s="8">
        <v>526.6875</v>
      </c>
      <c r="J9799" s="3">
        <f t="shared" si="153"/>
        <v>43749.192418194441</v>
      </c>
    </row>
    <row r="9800" spans="1:10" x14ac:dyDescent="0.25">
      <c r="A9800" s="5" t="s">
        <v>45237</v>
      </c>
      <c r="B9800" s="6">
        <v>393.75</v>
      </c>
      <c r="C9800" s="6">
        <v>20.478950000000001</v>
      </c>
      <c r="D9800" s="6">
        <v>51</v>
      </c>
      <c r="E9800" s="6">
        <v>0</v>
      </c>
      <c r="F9800" s="6">
        <v>0</v>
      </c>
      <c r="G9800" s="6">
        <v>13</v>
      </c>
      <c r="H9800" s="6" t="s">
        <v>45238</v>
      </c>
      <c r="I9800" s="6">
        <v>526.6875</v>
      </c>
      <c r="J9800" s="2">
        <f t="shared" si="153"/>
        <v>43749.192489606481</v>
      </c>
    </row>
    <row r="9801" spans="1:10" x14ac:dyDescent="0.25">
      <c r="A9801" s="7" t="s">
        <v>45239</v>
      </c>
      <c r="B9801" s="8">
        <v>393.75</v>
      </c>
      <c r="C9801" s="8">
        <v>20.426300000000001</v>
      </c>
      <c r="D9801" s="8">
        <v>54</v>
      </c>
      <c r="E9801" s="8">
        <v>0</v>
      </c>
      <c r="F9801" s="8">
        <v>0</v>
      </c>
      <c r="G9801" s="8">
        <v>7</v>
      </c>
      <c r="H9801" s="8" t="s">
        <v>45240</v>
      </c>
      <c r="I9801" s="8">
        <v>526.5</v>
      </c>
      <c r="J9801" s="3">
        <f t="shared" si="153"/>
        <v>43749.192608703706</v>
      </c>
    </row>
    <row r="9802" spans="1:10" x14ac:dyDescent="0.25">
      <c r="A9802" s="5" t="s">
        <v>45241</v>
      </c>
      <c r="B9802" s="6">
        <v>393.75</v>
      </c>
      <c r="C9802" s="6">
        <v>20.426300000000001</v>
      </c>
      <c r="D9802" s="6">
        <v>53</v>
      </c>
      <c r="E9802" s="6">
        <v>0</v>
      </c>
      <c r="F9802" s="6">
        <v>0</v>
      </c>
      <c r="G9802" s="6">
        <v>4</v>
      </c>
      <c r="H9802" s="6" t="s">
        <v>45242</v>
      </c>
      <c r="I9802" s="6">
        <v>526.6875</v>
      </c>
      <c r="J9802" s="2">
        <f t="shared" si="153"/>
        <v>43749.192680358792</v>
      </c>
    </row>
    <row r="9803" spans="1:10" x14ac:dyDescent="0.25">
      <c r="A9803" s="7" t="s">
        <v>45243</v>
      </c>
      <c r="B9803" s="8">
        <v>393.75</v>
      </c>
      <c r="C9803" s="8">
        <v>20.426300000000001</v>
      </c>
      <c r="D9803" s="8">
        <v>53</v>
      </c>
      <c r="E9803" s="8">
        <v>0</v>
      </c>
      <c r="F9803" s="8">
        <v>0</v>
      </c>
      <c r="G9803" s="8">
        <v>15</v>
      </c>
      <c r="H9803" s="8" t="s">
        <v>45244</v>
      </c>
      <c r="I9803" s="8">
        <v>526.6875</v>
      </c>
      <c r="J9803" s="3">
        <f t="shared" si="153"/>
        <v>43749.192752071758</v>
      </c>
    </row>
    <row r="9804" spans="1:10" x14ac:dyDescent="0.25">
      <c r="A9804" s="5" t="s">
        <v>45245</v>
      </c>
      <c r="B9804" s="6">
        <v>393.75</v>
      </c>
      <c r="C9804" s="6">
        <v>20.478950000000001</v>
      </c>
      <c r="D9804" s="6">
        <v>53</v>
      </c>
      <c r="E9804" s="6">
        <v>0</v>
      </c>
      <c r="F9804" s="6">
        <v>0</v>
      </c>
      <c r="G9804" s="6">
        <v>7</v>
      </c>
      <c r="H9804" s="6" t="s">
        <v>45246</v>
      </c>
      <c r="I9804" s="6">
        <v>526.6875</v>
      </c>
      <c r="J9804" s="2">
        <f t="shared" si="153"/>
        <v>43749.192822997684</v>
      </c>
    </row>
    <row r="9805" spans="1:10" x14ac:dyDescent="0.25">
      <c r="A9805" s="7" t="s">
        <v>45247</v>
      </c>
      <c r="B9805" s="8">
        <v>393.75</v>
      </c>
      <c r="C9805" s="8">
        <v>20.478950000000001</v>
      </c>
      <c r="D9805" s="8">
        <v>54</v>
      </c>
      <c r="E9805" s="8">
        <v>0</v>
      </c>
      <c r="F9805" s="8">
        <v>0</v>
      </c>
      <c r="G9805" s="8">
        <v>6</v>
      </c>
      <c r="H9805" s="8" t="s">
        <v>45248</v>
      </c>
      <c r="I9805" s="8">
        <v>526.6875</v>
      </c>
      <c r="J9805" s="3">
        <f t="shared" si="153"/>
        <v>43749.192895104163</v>
      </c>
    </row>
    <row r="9806" spans="1:10" x14ac:dyDescent="0.25">
      <c r="A9806" s="5" t="s">
        <v>45249</v>
      </c>
      <c r="B9806" s="6">
        <v>393.75</v>
      </c>
      <c r="C9806" s="6">
        <v>20.426300000000001</v>
      </c>
      <c r="D9806" s="6">
        <v>57</v>
      </c>
      <c r="E9806" s="6">
        <v>0</v>
      </c>
      <c r="F9806" s="6">
        <v>0</v>
      </c>
      <c r="G9806" s="6">
        <v>11</v>
      </c>
      <c r="H9806" s="6" t="s">
        <v>45250</v>
      </c>
      <c r="I9806" s="6">
        <v>526.6875</v>
      </c>
      <c r="J9806" s="2">
        <f t="shared" si="153"/>
        <v>43749.192978495368</v>
      </c>
    </row>
    <row r="9807" spans="1:10" x14ac:dyDescent="0.25">
      <c r="A9807" s="7" t="s">
        <v>45251</v>
      </c>
      <c r="B9807" s="8">
        <v>393.75</v>
      </c>
      <c r="C9807" s="8">
        <v>20.478950000000001</v>
      </c>
      <c r="D9807" s="8">
        <v>58</v>
      </c>
      <c r="E9807" s="8">
        <v>0</v>
      </c>
      <c r="F9807" s="8">
        <v>0</v>
      </c>
      <c r="G9807" s="8">
        <v>7</v>
      </c>
      <c r="H9807" s="8" t="s">
        <v>45252</v>
      </c>
      <c r="I9807" s="8">
        <v>526.5</v>
      </c>
      <c r="J9807" s="3">
        <f t="shared" si="153"/>
        <v>43749.193062060185</v>
      </c>
    </row>
    <row r="9808" spans="1:10" x14ac:dyDescent="0.25">
      <c r="A9808" s="5" t="s">
        <v>45253</v>
      </c>
      <c r="B9808" s="6">
        <v>412.5</v>
      </c>
      <c r="C9808" s="6">
        <v>20.426300000000001</v>
      </c>
      <c r="D9808" s="6">
        <v>57</v>
      </c>
      <c r="E9808" s="6">
        <v>0</v>
      </c>
      <c r="F9808" s="6">
        <v>0</v>
      </c>
      <c r="G9808" s="6">
        <v>11</v>
      </c>
      <c r="H9808" s="6" t="s">
        <v>45254</v>
      </c>
      <c r="I9808" s="6">
        <v>532.6875</v>
      </c>
      <c r="J9808" s="2">
        <f t="shared" si="153"/>
        <v>43749.193145162033</v>
      </c>
    </row>
    <row r="9809" spans="1:10" x14ac:dyDescent="0.25">
      <c r="A9809" s="7" t="s">
        <v>45255</v>
      </c>
      <c r="B9809" s="8">
        <v>393.75</v>
      </c>
      <c r="C9809" s="8">
        <v>20.478950000000001</v>
      </c>
      <c r="D9809" s="8">
        <v>57</v>
      </c>
      <c r="E9809" s="8">
        <v>0</v>
      </c>
      <c r="F9809" s="8">
        <v>0</v>
      </c>
      <c r="G9809" s="8">
        <v>2</v>
      </c>
      <c r="H9809" s="8" t="s">
        <v>45256</v>
      </c>
      <c r="I9809" s="8">
        <v>526.6875</v>
      </c>
      <c r="J9809" s="3">
        <f t="shared" si="153"/>
        <v>43749.1932165162</v>
      </c>
    </row>
    <row r="9810" spans="1:10" x14ac:dyDescent="0.25">
      <c r="A9810" s="5" t="s">
        <v>45257</v>
      </c>
      <c r="B9810" s="6">
        <v>393.75</v>
      </c>
      <c r="C9810" s="6">
        <v>20.478950000000001</v>
      </c>
      <c r="D9810" s="6">
        <v>56</v>
      </c>
      <c r="E9810" s="6">
        <v>0</v>
      </c>
      <c r="F9810" s="6">
        <v>0</v>
      </c>
      <c r="G9810" s="6">
        <v>12</v>
      </c>
      <c r="H9810" s="6" t="s">
        <v>45258</v>
      </c>
      <c r="I9810" s="6">
        <v>526.6875</v>
      </c>
      <c r="J9810" s="2">
        <f t="shared" si="153"/>
        <v>43749.19330071759</v>
      </c>
    </row>
    <row r="9811" spans="1:10" x14ac:dyDescent="0.25">
      <c r="A9811" s="7" t="s">
        <v>45259</v>
      </c>
      <c r="B9811" s="8">
        <v>393.75</v>
      </c>
      <c r="C9811" s="8">
        <v>20.478950000000001</v>
      </c>
      <c r="D9811" s="8">
        <v>56</v>
      </c>
      <c r="E9811" s="8">
        <v>0</v>
      </c>
      <c r="F9811" s="8">
        <v>0</v>
      </c>
      <c r="G9811" s="8">
        <v>4</v>
      </c>
      <c r="H9811" s="8" t="s">
        <v>45260</v>
      </c>
      <c r="I9811" s="8">
        <v>526.6875</v>
      </c>
      <c r="J9811" s="3">
        <f t="shared" si="153"/>
        <v>43749.193384027771</v>
      </c>
    </row>
    <row r="9812" spans="1:10" x14ac:dyDescent="0.25">
      <c r="A9812" s="5" t="s">
        <v>45261</v>
      </c>
      <c r="B9812" s="6">
        <v>393.75</v>
      </c>
      <c r="C9812" s="6">
        <v>20.478950000000001</v>
      </c>
      <c r="D9812" s="6">
        <v>54</v>
      </c>
      <c r="E9812" s="6">
        <v>0</v>
      </c>
      <c r="F9812" s="6">
        <v>0</v>
      </c>
      <c r="G9812" s="6">
        <v>2</v>
      </c>
      <c r="H9812" s="6" t="s">
        <v>45262</v>
      </c>
      <c r="I9812" s="6">
        <v>526.6875</v>
      </c>
      <c r="J9812" s="2">
        <f t="shared" si="153"/>
        <v>43749.193467291661</v>
      </c>
    </row>
    <row r="9813" spans="1:10" x14ac:dyDescent="0.25">
      <c r="A9813" s="7" t="s">
        <v>45263</v>
      </c>
      <c r="B9813" s="8">
        <v>393.75</v>
      </c>
      <c r="C9813" s="8">
        <v>20.478950000000001</v>
      </c>
      <c r="D9813" s="8">
        <v>53</v>
      </c>
      <c r="E9813" s="8">
        <v>0</v>
      </c>
      <c r="F9813" s="8">
        <v>0</v>
      </c>
      <c r="G9813" s="8">
        <v>4</v>
      </c>
      <c r="H9813" s="8" t="s">
        <v>45264</v>
      </c>
      <c r="I9813" s="8">
        <v>526.6875</v>
      </c>
      <c r="J9813" s="3">
        <f t="shared" si="153"/>
        <v>43749.193539027772</v>
      </c>
    </row>
    <row r="9814" spans="1:10" x14ac:dyDescent="0.25">
      <c r="A9814" s="5" t="s">
        <v>45265</v>
      </c>
      <c r="B9814" s="6">
        <v>393.75</v>
      </c>
      <c r="C9814" s="6">
        <v>20.478950000000001</v>
      </c>
      <c r="D9814" s="6">
        <v>57</v>
      </c>
      <c r="E9814" s="6">
        <v>0</v>
      </c>
      <c r="F9814" s="6">
        <v>0</v>
      </c>
      <c r="G9814" s="6">
        <v>0</v>
      </c>
      <c r="H9814" s="6" t="s">
        <v>45266</v>
      </c>
      <c r="I9814" s="6">
        <v>526.6875</v>
      </c>
      <c r="J9814" s="2">
        <f t="shared" si="153"/>
        <v>43749.193622453698</v>
      </c>
    </row>
    <row r="9815" spans="1:10" x14ac:dyDescent="0.25">
      <c r="A9815" s="7" t="s">
        <v>45267</v>
      </c>
      <c r="B9815" s="8">
        <v>393.75</v>
      </c>
      <c r="C9815" s="8">
        <v>20.478950000000001</v>
      </c>
      <c r="D9815" s="8">
        <v>55</v>
      </c>
      <c r="E9815" s="8">
        <v>0</v>
      </c>
      <c r="F9815" s="8">
        <v>0</v>
      </c>
      <c r="G9815" s="8">
        <v>9</v>
      </c>
      <c r="H9815" s="8" t="s">
        <v>45268</v>
      </c>
      <c r="I9815" s="8">
        <v>526.6875</v>
      </c>
      <c r="J9815" s="3">
        <f t="shared" si="153"/>
        <v>43749.19370596065</v>
      </c>
    </row>
    <row r="9816" spans="1:10" x14ac:dyDescent="0.25">
      <c r="A9816" s="5" t="s">
        <v>45269</v>
      </c>
      <c r="B9816" s="6">
        <v>393.75</v>
      </c>
      <c r="C9816" s="6">
        <v>20.478950000000001</v>
      </c>
      <c r="D9816" s="6">
        <v>55</v>
      </c>
      <c r="E9816" s="6">
        <v>0</v>
      </c>
      <c r="F9816" s="6">
        <v>0</v>
      </c>
      <c r="G9816" s="6">
        <v>13</v>
      </c>
      <c r="H9816" s="6" t="s">
        <v>45270</v>
      </c>
      <c r="I9816" s="6">
        <v>526.5</v>
      </c>
      <c r="J9816" s="2">
        <f t="shared" si="153"/>
        <v>43749.193789537036</v>
      </c>
    </row>
    <row r="9817" spans="1:10" x14ac:dyDescent="0.25">
      <c r="A9817" s="7" t="s">
        <v>45271</v>
      </c>
      <c r="B9817" s="8">
        <v>393.75</v>
      </c>
      <c r="C9817" s="8">
        <v>20.478950000000001</v>
      </c>
      <c r="D9817" s="8">
        <v>50</v>
      </c>
      <c r="E9817" s="8">
        <v>0</v>
      </c>
      <c r="F9817" s="8">
        <v>0</v>
      </c>
      <c r="G9817" s="8">
        <v>7</v>
      </c>
      <c r="H9817" s="8" t="s">
        <v>45272</v>
      </c>
      <c r="I9817" s="8">
        <v>526.6875</v>
      </c>
      <c r="J9817" s="3">
        <f t="shared" si="153"/>
        <v>43749.193860659718</v>
      </c>
    </row>
    <row r="9818" spans="1:10" x14ac:dyDescent="0.25">
      <c r="A9818" s="5" t="s">
        <v>45273</v>
      </c>
      <c r="B9818" s="6">
        <v>393.75</v>
      </c>
      <c r="C9818" s="6">
        <v>20.478950000000001</v>
      </c>
      <c r="D9818" s="6">
        <v>50</v>
      </c>
      <c r="E9818" s="6">
        <v>0</v>
      </c>
      <c r="F9818" s="6">
        <v>0</v>
      </c>
      <c r="G9818" s="6">
        <v>12</v>
      </c>
      <c r="H9818" s="6" t="s">
        <v>45274</v>
      </c>
      <c r="I9818" s="6">
        <v>526.5</v>
      </c>
      <c r="J9818" s="2">
        <f t="shared" si="153"/>
        <v>43749.193932546295</v>
      </c>
    </row>
    <row r="9819" spans="1:10" x14ac:dyDescent="0.25">
      <c r="A9819" s="7" t="s">
        <v>45275</v>
      </c>
      <c r="B9819" s="8">
        <v>418.75</v>
      </c>
      <c r="C9819" s="8">
        <v>20.478950000000001</v>
      </c>
      <c r="D9819" s="8">
        <v>51</v>
      </c>
      <c r="E9819" s="8">
        <v>0</v>
      </c>
      <c r="F9819" s="8">
        <v>0</v>
      </c>
      <c r="G9819" s="8">
        <v>4</v>
      </c>
      <c r="H9819" s="8" t="s">
        <v>45276</v>
      </c>
      <c r="I9819" s="8">
        <v>534.75</v>
      </c>
      <c r="J9819" s="3">
        <f t="shared" si="153"/>
        <v>43749.194015613422</v>
      </c>
    </row>
    <row r="9820" spans="1:10" x14ac:dyDescent="0.25">
      <c r="A9820" s="5" t="s">
        <v>45277</v>
      </c>
      <c r="B9820" s="6">
        <v>393.75</v>
      </c>
      <c r="C9820" s="6">
        <v>20.478950000000001</v>
      </c>
      <c r="D9820" s="6">
        <v>53</v>
      </c>
      <c r="E9820" s="6">
        <v>0</v>
      </c>
      <c r="F9820" s="6">
        <v>0</v>
      </c>
      <c r="G9820" s="6">
        <v>13</v>
      </c>
      <c r="H9820" s="6" t="s">
        <v>45278</v>
      </c>
      <c r="I9820" s="6">
        <v>526.6875</v>
      </c>
      <c r="J9820" s="2">
        <f t="shared" si="153"/>
        <v>43749.194087569442</v>
      </c>
    </row>
    <row r="9821" spans="1:10" x14ac:dyDescent="0.25">
      <c r="A9821" s="7" t="s">
        <v>45279</v>
      </c>
      <c r="B9821" s="8">
        <v>393.75</v>
      </c>
      <c r="C9821" s="8">
        <v>20.478950000000001</v>
      </c>
      <c r="D9821" s="8">
        <v>53</v>
      </c>
      <c r="E9821" s="8">
        <v>0</v>
      </c>
      <c r="F9821" s="8">
        <v>0</v>
      </c>
      <c r="G9821" s="8">
        <v>3</v>
      </c>
      <c r="H9821" s="8" t="s">
        <v>45280</v>
      </c>
      <c r="I9821" s="8">
        <v>526.6875</v>
      </c>
      <c r="J9821" s="3">
        <f t="shared" si="153"/>
        <v>43749.19417116898</v>
      </c>
    </row>
    <row r="9822" spans="1:10" x14ac:dyDescent="0.25">
      <c r="A9822" s="5" t="s">
        <v>45281</v>
      </c>
      <c r="B9822" s="6">
        <v>412.5</v>
      </c>
      <c r="C9822" s="6">
        <v>20.478950000000001</v>
      </c>
      <c r="D9822" s="6">
        <v>54</v>
      </c>
      <c r="E9822" s="6">
        <v>0</v>
      </c>
      <c r="F9822" s="6">
        <v>0</v>
      </c>
      <c r="G9822" s="6">
        <v>4</v>
      </c>
      <c r="H9822" s="6" t="s">
        <v>45282</v>
      </c>
      <c r="I9822" s="6">
        <v>532.3125</v>
      </c>
      <c r="J9822" s="2">
        <f t="shared" si="153"/>
        <v>43749.19424261574</v>
      </c>
    </row>
    <row r="9823" spans="1:10" x14ac:dyDescent="0.25">
      <c r="A9823" s="7" t="s">
        <v>45283</v>
      </c>
      <c r="B9823" s="8">
        <v>393.75</v>
      </c>
      <c r="C9823" s="8">
        <v>20.478950000000001</v>
      </c>
      <c r="D9823" s="8">
        <v>58</v>
      </c>
      <c r="E9823" s="8">
        <v>0</v>
      </c>
      <c r="F9823" s="8">
        <v>0</v>
      </c>
      <c r="G9823" s="8">
        <v>7</v>
      </c>
      <c r="H9823" s="8" t="s">
        <v>45284</v>
      </c>
      <c r="I9823" s="8">
        <v>526.6875</v>
      </c>
      <c r="J9823" s="3">
        <f t="shared" si="153"/>
        <v>43749.194325972225</v>
      </c>
    </row>
    <row r="9824" spans="1:10" x14ac:dyDescent="0.25">
      <c r="A9824" s="5" t="s">
        <v>45285</v>
      </c>
      <c r="B9824" s="6">
        <v>393.75</v>
      </c>
      <c r="C9824" s="6">
        <v>20.478950000000001</v>
      </c>
      <c r="D9824" s="6">
        <v>57</v>
      </c>
      <c r="E9824" s="6">
        <v>0</v>
      </c>
      <c r="F9824" s="6">
        <v>0</v>
      </c>
      <c r="G9824" s="6">
        <v>7</v>
      </c>
      <c r="H9824" s="6" t="s">
        <v>45286</v>
      </c>
      <c r="I9824" s="6">
        <v>526.6875</v>
      </c>
      <c r="J9824" s="2">
        <f t="shared" si="153"/>
        <v>43749.194397743056</v>
      </c>
    </row>
    <row r="9825" spans="1:10" x14ac:dyDescent="0.25">
      <c r="A9825" s="7" t="s">
        <v>45287</v>
      </c>
      <c r="B9825" s="8">
        <v>393.75</v>
      </c>
      <c r="C9825" s="8">
        <v>20.478950000000001</v>
      </c>
      <c r="D9825" s="8">
        <v>57</v>
      </c>
      <c r="E9825" s="8">
        <v>0</v>
      </c>
      <c r="F9825" s="8">
        <v>0</v>
      </c>
      <c r="G9825" s="8">
        <v>5</v>
      </c>
      <c r="H9825" s="8" t="s">
        <v>45288</v>
      </c>
      <c r="I9825" s="8">
        <v>526.6875</v>
      </c>
      <c r="J9825" s="3">
        <f t="shared" si="153"/>
        <v>43749.194469166665</v>
      </c>
    </row>
    <row r="9826" spans="1:10" x14ac:dyDescent="0.25">
      <c r="A9826" s="5" t="s">
        <v>45289</v>
      </c>
      <c r="B9826" s="6">
        <v>393.75</v>
      </c>
      <c r="C9826" s="6">
        <v>20.478950000000001</v>
      </c>
      <c r="D9826" s="6">
        <v>56</v>
      </c>
      <c r="E9826" s="6">
        <v>0</v>
      </c>
      <c r="F9826" s="6">
        <v>0</v>
      </c>
      <c r="G9826" s="6">
        <v>9</v>
      </c>
      <c r="H9826" s="6" t="s">
        <v>45290</v>
      </c>
      <c r="I9826" s="6">
        <v>526.6875</v>
      </c>
      <c r="J9826" s="2">
        <f t="shared" si="153"/>
        <v>43749.194552546294</v>
      </c>
    </row>
    <row r="9827" spans="1:10" x14ac:dyDescent="0.25">
      <c r="A9827" s="7" t="s">
        <v>45291</v>
      </c>
      <c r="B9827" s="8">
        <v>393.75</v>
      </c>
      <c r="C9827" s="8">
        <v>20.478950000000001</v>
      </c>
      <c r="D9827" s="8">
        <v>56</v>
      </c>
      <c r="E9827" s="8">
        <v>0</v>
      </c>
      <c r="F9827" s="8">
        <v>0</v>
      </c>
      <c r="G9827" s="8">
        <v>4</v>
      </c>
      <c r="H9827" s="8" t="s">
        <v>45292</v>
      </c>
      <c r="I9827" s="8">
        <v>526.6875</v>
      </c>
      <c r="J9827" s="3">
        <f t="shared" si="153"/>
        <v>43749.194636134256</v>
      </c>
    </row>
    <row r="9828" spans="1:10" x14ac:dyDescent="0.25">
      <c r="A9828" s="5" t="s">
        <v>45293</v>
      </c>
      <c r="B9828" s="6">
        <v>412.5</v>
      </c>
      <c r="C9828" s="6">
        <v>20.478950000000001</v>
      </c>
      <c r="D9828" s="6">
        <v>56</v>
      </c>
      <c r="E9828" s="6">
        <v>0</v>
      </c>
      <c r="F9828" s="6">
        <v>0</v>
      </c>
      <c r="G9828" s="6">
        <v>11</v>
      </c>
      <c r="H9828" s="6" t="s">
        <v>45294</v>
      </c>
      <c r="I9828" s="6">
        <v>532.125</v>
      </c>
      <c r="J9828" s="2">
        <f t="shared" si="153"/>
        <v>43749.194719236104</v>
      </c>
    </row>
    <row r="9829" spans="1:10" x14ac:dyDescent="0.25">
      <c r="A9829" s="7" t="s">
        <v>45295</v>
      </c>
      <c r="B9829" s="8">
        <v>393.75</v>
      </c>
      <c r="C9829" s="8">
        <v>20.478950000000001</v>
      </c>
      <c r="D9829" s="8">
        <v>56</v>
      </c>
      <c r="E9829" s="8">
        <v>0</v>
      </c>
      <c r="F9829" s="8">
        <v>0</v>
      </c>
      <c r="G9829" s="8">
        <v>0</v>
      </c>
      <c r="H9829" s="8" t="s">
        <v>45296</v>
      </c>
      <c r="I9829" s="8">
        <v>526.6875</v>
      </c>
      <c r="J9829" s="3">
        <f t="shared" si="153"/>
        <v>43749.194790891204</v>
      </c>
    </row>
    <row r="9830" spans="1:10" x14ac:dyDescent="0.25">
      <c r="A9830" s="5" t="s">
        <v>45297</v>
      </c>
      <c r="B9830" s="6">
        <v>393.75</v>
      </c>
      <c r="C9830" s="6">
        <v>20.478950000000001</v>
      </c>
      <c r="D9830" s="6">
        <v>56</v>
      </c>
      <c r="E9830" s="6">
        <v>0</v>
      </c>
      <c r="F9830" s="6">
        <v>0</v>
      </c>
      <c r="G9830" s="6">
        <v>8</v>
      </c>
      <c r="H9830" s="6" t="s">
        <v>45298</v>
      </c>
      <c r="I9830" s="6">
        <v>526.6875</v>
      </c>
      <c r="J9830" s="2">
        <f t="shared" si="153"/>
        <v>43749.194874780085</v>
      </c>
    </row>
    <row r="9831" spans="1:10" x14ac:dyDescent="0.25">
      <c r="A9831" s="7" t="s">
        <v>45299</v>
      </c>
      <c r="B9831" s="8">
        <v>393.75</v>
      </c>
      <c r="C9831" s="8">
        <v>20.426300000000001</v>
      </c>
      <c r="D9831" s="8">
        <v>56</v>
      </c>
      <c r="E9831" s="8">
        <v>0</v>
      </c>
      <c r="F9831" s="8">
        <v>0</v>
      </c>
      <c r="G9831" s="8">
        <v>14</v>
      </c>
      <c r="H9831" s="8" t="s">
        <v>45300</v>
      </c>
      <c r="I9831" s="8">
        <v>526.6875</v>
      </c>
      <c r="J9831" s="3">
        <f t="shared" si="153"/>
        <v>43749.194958067128</v>
      </c>
    </row>
    <row r="9832" spans="1:10" x14ac:dyDescent="0.25">
      <c r="A9832" s="5" t="s">
        <v>45301</v>
      </c>
      <c r="B9832" s="6">
        <v>393.75</v>
      </c>
      <c r="C9832" s="6">
        <v>20.478950000000001</v>
      </c>
      <c r="D9832" s="6">
        <v>56</v>
      </c>
      <c r="E9832" s="6">
        <v>0</v>
      </c>
      <c r="F9832" s="6">
        <v>0</v>
      </c>
      <c r="G9832" s="6">
        <v>1</v>
      </c>
      <c r="H9832" s="6" t="s">
        <v>45302</v>
      </c>
      <c r="I9832" s="6">
        <v>526.6875</v>
      </c>
      <c r="J9832" s="2">
        <f t="shared" si="153"/>
        <v>43749.19504136574</v>
      </c>
    </row>
    <row r="9833" spans="1:10" x14ac:dyDescent="0.25">
      <c r="A9833" s="7" t="s">
        <v>45303</v>
      </c>
      <c r="B9833" s="8">
        <v>415.625</v>
      </c>
      <c r="C9833" s="8">
        <v>20.478950000000001</v>
      </c>
      <c r="D9833" s="8">
        <v>55</v>
      </c>
      <c r="E9833" s="8">
        <v>0</v>
      </c>
      <c r="F9833" s="8">
        <v>0</v>
      </c>
      <c r="G9833" s="8">
        <v>2</v>
      </c>
      <c r="H9833" s="8" t="s">
        <v>45304</v>
      </c>
      <c r="I9833" s="8">
        <v>533.8125</v>
      </c>
      <c r="J9833" s="3">
        <f t="shared" si="153"/>
        <v>43749.195113090274</v>
      </c>
    </row>
    <row r="9834" spans="1:10" x14ac:dyDescent="0.25">
      <c r="A9834" s="5" t="s">
        <v>45305</v>
      </c>
      <c r="B9834" s="6">
        <v>393.75</v>
      </c>
      <c r="C9834" s="6">
        <v>20.478950000000001</v>
      </c>
      <c r="D9834" s="6">
        <v>55</v>
      </c>
      <c r="E9834" s="6">
        <v>0</v>
      </c>
      <c r="F9834" s="6">
        <v>0</v>
      </c>
      <c r="G9834" s="6">
        <v>5</v>
      </c>
      <c r="H9834" s="6" t="s">
        <v>45306</v>
      </c>
      <c r="I9834" s="6">
        <v>526.6875</v>
      </c>
      <c r="J9834" s="2">
        <f t="shared" si="153"/>
        <v>43749.19521114583</v>
      </c>
    </row>
    <row r="9835" spans="1:10" x14ac:dyDescent="0.25">
      <c r="A9835" s="7" t="s">
        <v>45307</v>
      </c>
      <c r="B9835" s="8">
        <v>393.75</v>
      </c>
      <c r="C9835" s="8">
        <v>20.478950000000001</v>
      </c>
      <c r="D9835" s="8">
        <v>53</v>
      </c>
      <c r="E9835" s="8">
        <v>0</v>
      </c>
      <c r="F9835" s="8">
        <v>0</v>
      </c>
      <c r="G9835" s="8">
        <v>11</v>
      </c>
      <c r="H9835" s="8" t="s">
        <v>45308</v>
      </c>
      <c r="I9835" s="8">
        <v>526.6875</v>
      </c>
      <c r="J9835" s="3">
        <f t="shared" si="153"/>
        <v>43749.19530402778</v>
      </c>
    </row>
    <row r="9836" spans="1:10" x14ac:dyDescent="0.25">
      <c r="A9836" s="5" t="s">
        <v>45309</v>
      </c>
      <c r="B9836" s="6">
        <v>393.75</v>
      </c>
      <c r="C9836" s="6">
        <v>20.478950000000001</v>
      </c>
      <c r="D9836" s="6">
        <v>52</v>
      </c>
      <c r="E9836" s="6">
        <v>0</v>
      </c>
      <c r="F9836" s="6">
        <v>0</v>
      </c>
      <c r="G9836" s="6">
        <v>10</v>
      </c>
      <c r="H9836" s="6" t="s">
        <v>45310</v>
      </c>
      <c r="I9836" s="6">
        <v>526.5</v>
      </c>
      <c r="J9836" s="2">
        <f t="shared" si="153"/>
        <v>43749.195375509262</v>
      </c>
    </row>
    <row r="9837" spans="1:10" x14ac:dyDescent="0.25">
      <c r="A9837" s="7" t="s">
        <v>45311</v>
      </c>
      <c r="B9837" s="8">
        <v>393.75</v>
      </c>
      <c r="C9837" s="8">
        <v>20.478950000000001</v>
      </c>
      <c r="D9837" s="8">
        <v>54</v>
      </c>
      <c r="E9837" s="8">
        <v>0</v>
      </c>
      <c r="F9837" s="8">
        <v>0</v>
      </c>
      <c r="G9837" s="8">
        <v>14</v>
      </c>
      <c r="H9837" s="8" t="s">
        <v>45312</v>
      </c>
      <c r="I9837" s="8">
        <v>526.6875</v>
      </c>
      <c r="J9837" s="3">
        <f t="shared" si="153"/>
        <v>43749.19545879629</v>
      </c>
    </row>
    <row r="9838" spans="1:10" x14ac:dyDescent="0.25">
      <c r="A9838" s="5" t="s">
        <v>45313</v>
      </c>
      <c r="B9838" s="6">
        <v>393.75</v>
      </c>
      <c r="C9838" s="6">
        <v>20.478950000000001</v>
      </c>
      <c r="D9838" s="6">
        <v>56</v>
      </c>
      <c r="E9838" s="6">
        <v>0</v>
      </c>
      <c r="F9838" s="6">
        <v>0</v>
      </c>
      <c r="G9838" s="6">
        <v>0</v>
      </c>
      <c r="H9838" s="6" t="s">
        <v>45314</v>
      </c>
      <c r="I9838" s="6">
        <v>526.6875</v>
      </c>
      <c r="J9838" s="2">
        <f t="shared" si="153"/>
        <v>43749.195530243051</v>
      </c>
    </row>
    <row r="9839" spans="1:10" x14ac:dyDescent="0.25">
      <c r="A9839" s="7" t="s">
        <v>45315</v>
      </c>
      <c r="B9839" s="8">
        <v>393.75</v>
      </c>
      <c r="C9839" s="8">
        <v>20.478950000000001</v>
      </c>
      <c r="D9839" s="8">
        <v>57</v>
      </c>
      <c r="E9839" s="8">
        <v>0</v>
      </c>
      <c r="F9839" s="8">
        <v>0</v>
      </c>
      <c r="G9839" s="8">
        <v>10</v>
      </c>
      <c r="H9839" s="8" t="s">
        <v>45316</v>
      </c>
      <c r="I9839" s="8">
        <v>526.6875</v>
      </c>
      <c r="J9839" s="3">
        <f t="shared" si="153"/>
        <v>43749.195601886568</v>
      </c>
    </row>
    <row r="9840" spans="1:10" x14ac:dyDescent="0.25">
      <c r="A9840" s="5" t="s">
        <v>45317</v>
      </c>
      <c r="B9840" s="6">
        <v>393.75</v>
      </c>
      <c r="C9840" s="6">
        <v>20.426300000000001</v>
      </c>
      <c r="D9840" s="6">
        <v>56</v>
      </c>
      <c r="E9840" s="6">
        <v>0</v>
      </c>
      <c r="F9840" s="6">
        <v>0</v>
      </c>
      <c r="G9840" s="6">
        <v>5</v>
      </c>
      <c r="H9840" s="6" t="s">
        <v>45318</v>
      </c>
      <c r="I9840" s="6">
        <v>526.6875</v>
      </c>
      <c r="J9840" s="2">
        <f t="shared" si="153"/>
        <v>43749.195685451392</v>
      </c>
    </row>
    <row r="9841" spans="1:10" x14ac:dyDescent="0.25">
      <c r="A9841" s="7" t="s">
        <v>45319</v>
      </c>
      <c r="B9841" s="8">
        <v>412.5</v>
      </c>
      <c r="C9841" s="8">
        <v>20.478950000000001</v>
      </c>
      <c r="D9841" s="8">
        <v>56</v>
      </c>
      <c r="E9841" s="8">
        <v>0</v>
      </c>
      <c r="F9841" s="8">
        <v>0</v>
      </c>
      <c r="G9841" s="8">
        <v>5</v>
      </c>
      <c r="H9841" s="8" t="s">
        <v>45320</v>
      </c>
      <c r="I9841" s="8">
        <v>532.3125</v>
      </c>
      <c r="J9841" s="3">
        <f t="shared" si="153"/>
        <v>43749.19575684028</v>
      </c>
    </row>
    <row r="9842" spans="1:10" x14ac:dyDescent="0.25">
      <c r="A9842" s="5" t="s">
        <v>45321</v>
      </c>
      <c r="B9842" s="6">
        <v>393.75</v>
      </c>
      <c r="C9842" s="6">
        <v>20.478950000000001</v>
      </c>
      <c r="D9842" s="6">
        <v>57</v>
      </c>
      <c r="E9842" s="6">
        <v>0</v>
      </c>
      <c r="F9842" s="6">
        <v>0</v>
      </c>
      <c r="G9842" s="6">
        <v>6</v>
      </c>
      <c r="H9842" s="6" t="s">
        <v>45322</v>
      </c>
      <c r="I9842" s="6">
        <v>526.5</v>
      </c>
      <c r="J9842" s="2">
        <f t="shared" si="153"/>
        <v>43749.195828506941</v>
      </c>
    </row>
    <row r="9843" spans="1:10" x14ac:dyDescent="0.25">
      <c r="A9843" s="7" t="s">
        <v>45323</v>
      </c>
      <c r="B9843" s="8">
        <v>393.75</v>
      </c>
      <c r="C9843" s="8">
        <v>20.478950000000001</v>
      </c>
      <c r="D9843" s="8">
        <v>57</v>
      </c>
      <c r="E9843" s="8">
        <v>0</v>
      </c>
      <c r="F9843" s="8">
        <v>0</v>
      </c>
      <c r="G9843" s="8">
        <v>4</v>
      </c>
      <c r="H9843" s="8" t="s">
        <v>45324</v>
      </c>
      <c r="I9843" s="8">
        <v>526.5</v>
      </c>
      <c r="J9843" s="3">
        <f t="shared" si="153"/>
        <v>43749.195911724535</v>
      </c>
    </row>
    <row r="9844" spans="1:10" x14ac:dyDescent="0.25">
      <c r="A9844" s="5" t="s">
        <v>45325</v>
      </c>
      <c r="B9844" s="6">
        <v>393.75</v>
      </c>
      <c r="C9844" s="6">
        <v>20.478950000000001</v>
      </c>
      <c r="D9844" s="6">
        <v>56</v>
      </c>
      <c r="E9844" s="6">
        <v>0</v>
      </c>
      <c r="F9844" s="6">
        <v>0</v>
      </c>
      <c r="G9844" s="6">
        <v>7</v>
      </c>
      <c r="H9844" s="6" t="s">
        <v>45326</v>
      </c>
      <c r="I9844" s="6">
        <v>526.6875</v>
      </c>
      <c r="J9844" s="2">
        <f t="shared" si="153"/>
        <v>43749.195983483798</v>
      </c>
    </row>
    <row r="9845" spans="1:10" x14ac:dyDescent="0.25">
      <c r="A9845" s="7" t="s">
        <v>45327</v>
      </c>
      <c r="B9845" s="8">
        <v>393.75</v>
      </c>
      <c r="C9845" s="8">
        <v>20.478950000000001</v>
      </c>
      <c r="D9845" s="8">
        <v>56</v>
      </c>
      <c r="E9845" s="8">
        <v>0</v>
      </c>
      <c r="F9845" s="8">
        <v>0</v>
      </c>
      <c r="G9845" s="8">
        <v>0</v>
      </c>
      <c r="H9845" s="8" t="s">
        <v>45328</v>
      </c>
      <c r="I9845" s="8">
        <v>526.6875</v>
      </c>
      <c r="J9845" s="3">
        <f t="shared" si="153"/>
        <v>43749.196066944445</v>
      </c>
    </row>
    <row r="9846" spans="1:10" x14ac:dyDescent="0.25">
      <c r="A9846" s="5" t="s">
        <v>45329</v>
      </c>
      <c r="B9846" s="6">
        <v>393.75</v>
      </c>
      <c r="C9846" s="6">
        <v>20.478950000000001</v>
      </c>
      <c r="D9846" s="6">
        <v>56</v>
      </c>
      <c r="E9846" s="6">
        <v>0</v>
      </c>
      <c r="F9846" s="6">
        <v>0</v>
      </c>
      <c r="G9846" s="6">
        <v>7</v>
      </c>
      <c r="H9846" s="6" t="s">
        <v>45330</v>
      </c>
      <c r="I9846" s="6">
        <v>526.5</v>
      </c>
      <c r="J9846" s="2">
        <f t="shared" si="153"/>
        <v>43749.196138530089</v>
      </c>
    </row>
    <row r="9847" spans="1:10" x14ac:dyDescent="0.25">
      <c r="A9847" s="7" t="s">
        <v>45331</v>
      </c>
      <c r="B9847" s="8">
        <v>393.75</v>
      </c>
      <c r="C9847" s="8">
        <v>20.478950000000001</v>
      </c>
      <c r="D9847" s="8">
        <v>57</v>
      </c>
      <c r="E9847" s="8">
        <v>0</v>
      </c>
      <c r="F9847" s="8">
        <v>0</v>
      </c>
      <c r="G9847" s="8">
        <v>8</v>
      </c>
      <c r="H9847" s="8" t="s">
        <v>45332</v>
      </c>
      <c r="I9847" s="8">
        <v>526.6875</v>
      </c>
      <c r="J9847" s="3">
        <f t="shared" si="153"/>
        <v>43749.196234039351</v>
      </c>
    </row>
    <row r="9848" spans="1:10" x14ac:dyDescent="0.25">
      <c r="A9848" s="5" t="s">
        <v>45333</v>
      </c>
      <c r="B9848" s="6">
        <v>393.75</v>
      </c>
      <c r="C9848" s="6">
        <v>20.478950000000001</v>
      </c>
      <c r="D9848" s="6">
        <v>57</v>
      </c>
      <c r="E9848" s="6">
        <v>0</v>
      </c>
      <c r="F9848" s="6">
        <v>0</v>
      </c>
      <c r="G9848" s="6">
        <v>6</v>
      </c>
      <c r="H9848" s="6" t="s">
        <v>45334</v>
      </c>
      <c r="I9848" s="6">
        <v>526.6875</v>
      </c>
      <c r="J9848" s="2">
        <f t="shared" si="153"/>
        <v>43749.196305497688</v>
      </c>
    </row>
    <row r="9849" spans="1:10" x14ac:dyDescent="0.25">
      <c r="A9849" s="7" t="s">
        <v>45335</v>
      </c>
      <c r="B9849" s="8">
        <v>393.75</v>
      </c>
      <c r="C9849" s="8">
        <v>20.478950000000001</v>
      </c>
      <c r="D9849" s="8">
        <v>56</v>
      </c>
      <c r="E9849" s="8">
        <v>0</v>
      </c>
      <c r="F9849" s="8">
        <v>0</v>
      </c>
      <c r="G9849" s="8">
        <v>4</v>
      </c>
      <c r="H9849" s="8" t="s">
        <v>45336</v>
      </c>
      <c r="I9849" s="8">
        <v>526.6875</v>
      </c>
      <c r="J9849" s="3">
        <f t="shared" si="153"/>
        <v>43749.196388958335</v>
      </c>
    </row>
    <row r="9850" spans="1:10" x14ac:dyDescent="0.25">
      <c r="A9850" s="5" t="s">
        <v>45337</v>
      </c>
      <c r="B9850" s="6">
        <v>393.75</v>
      </c>
      <c r="C9850" s="6">
        <v>20.426300000000001</v>
      </c>
      <c r="D9850" s="6">
        <v>54</v>
      </c>
      <c r="E9850" s="6">
        <v>0</v>
      </c>
      <c r="F9850" s="6">
        <v>0</v>
      </c>
      <c r="G9850" s="6">
        <v>5</v>
      </c>
      <c r="H9850" s="6" t="s">
        <v>45338</v>
      </c>
      <c r="I9850" s="6">
        <v>526.5</v>
      </c>
      <c r="J9850" s="2">
        <f t="shared" si="153"/>
        <v>43749.196460208332</v>
      </c>
    </row>
    <row r="9851" spans="1:10" x14ac:dyDescent="0.25">
      <c r="A9851" s="7" t="s">
        <v>45339</v>
      </c>
      <c r="B9851" s="8">
        <v>393.75</v>
      </c>
      <c r="C9851" s="8">
        <v>20.478950000000001</v>
      </c>
      <c r="D9851" s="8">
        <v>55</v>
      </c>
      <c r="E9851" s="8">
        <v>0</v>
      </c>
      <c r="F9851" s="8">
        <v>0</v>
      </c>
      <c r="G9851" s="8">
        <v>16</v>
      </c>
      <c r="H9851" s="8" t="s">
        <v>45340</v>
      </c>
      <c r="I9851" s="8">
        <v>526.6875</v>
      </c>
      <c r="J9851" s="3">
        <f t="shared" si="153"/>
        <v>43749.196532071757</v>
      </c>
    </row>
    <row r="9852" spans="1:10" x14ac:dyDescent="0.25">
      <c r="A9852" s="5" t="s">
        <v>45341</v>
      </c>
      <c r="B9852" s="6">
        <v>393.75</v>
      </c>
      <c r="C9852" s="6">
        <v>20.478950000000001</v>
      </c>
      <c r="D9852" s="6">
        <v>55</v>
      </c>
      <c r="E9852" s="6">
        <v>0</v>
      </c>
      <c r="F9852" s="6">
        <v>0</v>
      </c>
      <c r="G9852" s="6">
        <v>4</v>
      </c>
      <c r="H9852" s="6" t="s">
        <v>45342</v>
      </c>
      <c r="I9852" s="6">
        <v>526.5</v>
      </c>
      <c r="J9852" s="2">
        <f t="shared" si="153"/>
        <v>43749.196603495373</v>
      </c>
    </row>
    <row r="9853" spans="1:10" x14ac:dyDescent="0.25">
      <c r="A9853" s="7" t="s">
        <v>45343</v>
      </c>
      <c r="B9853" s="8">
        <v>393.75</v>
      </c>
      <c r="C9853" s="8">
        <v>20.478950000000001</v>
      </c>
      <c r="D9853" s="8">
        <v>55</v>
      </c>
      <c r="E9853" s="8">
        <v>0</v>
      </c>
      <c r="F9853" s="8">
        <v>0</v>
      </c>
      <c r="G9853" s="8">
        <v>13</v>
      </c>
      <c r="H9853" s="8" t="s">
        <v>45344</v>
      </c>
      <c r="I9853" s="8">
        <v>526.6875</v>
      </c>
      <c r="J9853" s="3">
        <f t="shared" si="153"/>
        <v>43749.196674861108</v>
      </c>
    </row>
    <row r="9854" spans="1:10" x14ac:dyDescent="0.25">
      <c r="A9854" s="5" t="s">
        <v>45345</v>
      </c>
      <c r="B9854" s="6">
        <v>393.75</v>
      </c>
      <c r="C9854" s="6">
        <v>20.478950000000001</v>
      </c>
      <c r="D9854" s="6">
        <v>55</v>
      </c>
      <c r="E9854" s="6">
        <v>0</v>
      </c>
      <c r="F9854" s="6">
        <v>0</v>
      </c>
      <c r="G9854" s="6">
        <v>11</v>
      </c>
      <c r="H9854" s="6" t="s">
        <v>45346</v>
      </c>
      <c r="I9854" s="6">
        <v>526.6875</v>
      </c>
      <c r="J9854" s="2">
        <f t="shared" si="153"/>
        <v>43749.196746655092</v>
      </c>
    </row>
    <row r="9855" spans="1:10" x14ac:dyDescent="0.25">
      <c r="A9855" s="7" t="s">
        <v>45347</v>
      </c>
      <c r="B9855" s="8">
        <v>393.75</v>
      </c>
      <c r="C9855" s="8">
        <v>20.426300000000001</v>
      </c>
      <c r="D9855" s="8">
        <v>55</v>
      </c>
      <c r="E9855" s="8">
        <v>0</v>
      </c>
      <c r="F9855" s="8">
        <v>0</v>
      </c>
      <c r="G9855" s="8">
        <v>1</v>
      </c>
      <c r="H9855" s="8" t="s">
        <v>45348</v>
      </c>
      <c r="I9855" s="8">
        <v>526.6875</v>
      </c>
      <c r="J9855" s="3">
        <f t="shared" si="153"/>
        <v>43749.196830312496</v>
      </c>
    </row>
    <row r="9856" spans="1:10" x14ac:dyDescent="0.25">
      <c r="A9856" s="5" t="s">
        <v>45349</v>
      </c>
      <c r="B9856" s="6">
        <v>393.75</v>
      </c>
      <c r="C9856" s="6">
        <v>20.478950000000001</v>
      </c>
      <c r="D9856" s="6">
        <v>56</v>
      </c>
      <c r="E9856" s="6">
        <v>0</v>
      </c>
      <c r="F9856" s="6">
        <v>0</v>
      </c>
      <c r="G9856" s="6">
        <v>5</v>
      </c>
      <c r="H9856" s="6" t="s">
        <v>45350</v>
      </c>
      <c r="I9856" s="6">
        <v>526.6875</v>
      </c>
      <c r="J9856" s="2">
        <f t="shared" si="153"/>
        <v>43749.196901689815</v>
      </c>
    </row>
    <row r="9857" spans="1:10" x14ac:dyDescent="0.25">
      <c r="A9857" s="7" t="s">
        <v>45351</v>
      </c>
      <c r="B9857" s="8">
        <v>403.125</v>
      </c>
      <c r="C9857" s="8">
        <v>20.478950000000001</v>
      </c>
      <c r="D9857" s="8">
        <v>57</v>
      </c>
      <c r="E9857" s="8">
        <v>0</v>
      </c>
      <c r="F9857" s="8">
        <v>0</v>
      </c>
      <c r="G9857" s="8">
        <v>12</v>
      </c>
      <c r="H9857" s="8" t="s">
        <v>45352</v>
      </c>
      <c r="I9857" s="8">
        <v>529.875</v>
      </c>
      <c r="J9857" s="3">
        <f t="shared" si="153"/>
        <v>43749.196973217586</v>
      </c>
    </row>
    <row r="9858" spans="1:10" x14ac:dyDescent="0.25">
      <c r="A9858" s="5" t="s">
        <v>45353</v>
      </c>
      <c r="B9858" s="6">
        <v>393.75</v>
      </c>
      <c r="C9858" s="6">
        <v>20.478950000000001</v>
      </c>
      <c r="D9858" s="6">
        <v>57</v>
      </c>
      <c r="E9858" s="6">
        <v>0</v>
      </c>
      <c r="F9858" s="6">
        <v>0</v>
      </c>
      <c r="G9858" s="6">
        <v>16</v>
      </c>
      <c r="H9858" s="6" t="s">
        <v>45354</v>
      </c>
      <c r="I9858" s="6">
        <v>526.6875</v>
      </c>
      <c r="J9858" s="2">
        <f t="shared" ref="J9858:J9921" si="154">(H9858/86400000)+25569+(7/24)</f>
        <v>43749.197044513887</v>
      </c>
    </row>
    <row r="9859" spans="1:10" x14ac:dyDescent="0.25">
      <c r="A9859" s="7" t="s">
        <v>45355</v>
      </c>
      <c r="B9859" s="8">
        <v>393.75</v>
      </c>
      <c r="C9859" s="8">
        <v>20.478950000000001</v>
      </c>
      <c r="D9859" s="8">
        <v>55</v>
      </c>
      <c r="E9859" s="8">
        <v>0</v>
      </c>
      <c r="F9859" s="8">
        <v>0</v>
      </c>
      <c r="G9859" s="8">
        <v>11</v>
      </c>
      <c r="H9859" s="8" t="s">
        <v>45356</v>
      </c>
      <c r="I9859" s="8">
        <v>526.6875</v>
      </c>
      <c r="J9859" s="3">
        <f t="shared" si="154"/>
        <v>43749.197116423609</v>
      </c>
    </row>
    <row r="9860" spans="1:10" x14ac:dyDescent="0.25">
      <c r="A9860" s="5" t="s">
        <v>45357</v>
      </c>
      <c r="B9860" s="6">
        <v>393.75</v>
      </c>
      <c r="C9860" s="6">
        <v>20.426300000000001</v>
      </c>
      <c r="D9860" s="6">
        <v>56</v>
      </c>
      <c r="E9860" s="6">
        <v>0</v>
      </c>
      <c r="F9860" s="6">
        <v>0</v>
      </c>
      <c r="G9860" s="6">
        <v>11</v>
      </c>
      <c r="H9860" s="6" t="s">
        <v>45358</v>
      </c>
      <c r="I9860" s="6">
        <v>526.6875</v>
      </c>
      <c r="J9860" s="2">
        <f t="shared" si="154"/>
        <v>43749.197187974532</v>
      </c>
    </row>
    <row r="9861" spans="1:10" x14ac:dyDescent="0.25">
      <c r="A9861" s="7" t="s">
        <v>45359</v>
      </c>
      <c r="B9861" s="8">
        <v>393.75</v>
      </c>
      <c r="C9861" s="8">
        <v>20.478950000000001</v>
      </c>
      <c r="D9861" s="8">
        <v>56</v>
      </c>
      <c r="E9861" s="8">
        <v>0</v>
      </c>
      <c r="F9861" s="8">
        <v>0</v>
      </c>
      <c r="G9861" s="8">
        <v>11</v>
      </c>
      <c r="H9861" s="8" t="s">
        <v>45360</v>
      </c>
      <c r="I9861" s="8">
        <v>526.6875</v>
      </c>
      <c r="J9861" s="3">
        <f t="shared" si="154"/>
        <v>43749.197259537039</v>
      </c>
    </row>
    <row r="9862" spans="1:10" x14ac:dyDescent="0.25">
      <c r="A9862" s="5" t="s">
        <v>45361</v>
      </c>
      <c r="B9862" s="6">
        <v>393.75</v>
      </c>
      <c r="C9862" s="6">
        <v>20.426300000000001</v>
      </c>
      <c r="D9862" s="6">
        <v>55</v>
      </c>
      <c r="E9862" s="6">
        <v>0</v>
      </c>
      <c r="F9862" s="6">
        <v>0</v>
      </c>
      <c r="G9862" s="6">
        <v>9</v>
      </c>
      <c r="H9862" s="6" t="s">
        <v>45362</v>
      </c>
      <c r="I9862" s="6">
        <v>526.5</v>
      </c>
      <c r="J9862" s="2">
        <f t="shared" si="154"/>
        <v>43749.197331076386</v>
      </c>
    </row>
    <row r="9863" spans="1:10" x14ac:dyDescent="0.25">
      <c r="A9863" s="7" t="s">
        <v>45363</v>
      </c>
      <c r="B9863" s="8">
        <v>393.75</v>
      </c>
      <c r="C9863" s="8">
        <v>20.478950000000001</v>
      </c>
      <c r="D9863" s="8">
        <v>55</v>
      </c>
      <c r="E9863" s="8">
        <v>0</v>
      </c>
      <c r="F9863" s="8">
        <v>0</v>
      </c>
      <c r="G9863" s="8">
        <v>7</v>
      </c>
      <c r="H9863" s="8" t="s">
        <v>45364</v>
      </c>
      <c r="I9863" s="8">
        <v>526.6875</v>
      </c>
      <c r="J9863" s="3">
        <f t="shared" si="154"/>
        <v>43749.197402662037</v>
      </c>
    </row>
    <row r="9864" spans="1:10" x14ac:dyDescent="0.25">
      <c r="A9864" s="5" t="s">
        <v>45365</v>
      </c>
      <c r="B9864" s="6">
        <v>393.75</v>
      </c>
      <c r="C9864" s="6">
        <v>20.478950000000001</v>
      </c>
      <c r="D9864" s="6">
        <v>54</v>
      </c>
      <c r="E9864" s="6">
        <v>0</v>
      </c>
      <c r="F9864" s="6">
        <v>0</v>
      </c>
      <c r="G9864" s="6">
        <v>9</v>
      </c>
      <c r="H9864" s="6" t="s">
        <v>45366</v>
      </c>
      <c r="I9864" s="6">
        <v>526.6875</v>
      </c>
      <c r="J9864" s="2">
        <f t="shared" si="154"/>
        <v>43749.197474097215</v>
      </c>
    </row>
    <row r="9865" spans="1:10" x14ac:dyDescent="0.25">
      <c r="A9865" s="7" t="s">
        <v>45367</v>
      </c>
      <c r="B9865" s="8">
        <v>393.75</v>
      </c>
      <c r="C9865" s="8">
        <v>20.426300000000001</v>
      </c>
      <c r="D9865" s="8">
        <v>55</v>
      </c>
      <c r="E9865" s="8">
        <v>0</v>
      </c>
      <c r="F9865" s="8">
        <v>0</v>
      </c>
      <c r="G9865" s="8">
        <v>6</v>
      </c>
      <c r="H9865" s="8" t="s">
        <v>45368</v>
      </c>
      <c r="I9865" s="8">
        <v>526.6875</v>
      </c>
      <c r="J9865" s="3">
        <f t="shared" si="154"/>
        <v>43749.197545729163</v>
      </c>
    </row>
    <row r="9866" spans="1:10" x14ac:dyDescent="0.25">
      <c r="A9866" s="5" t="s">
        <v>45369</v>
      </c>
      <c r="B9866" s="6">
        <v>412.5</v>
      </c>
      <c r="C9866" s="6">
        <v>20.478950000000001</v>
      </c>
      <c r="D9866" s="6">
        <v>54</v>
      </c>
      <c r="E9866" s="6">
        <v>0</v>
      </c>
      <c r="F9866" s="6">
        <v>0</v>
      </c>
      <c r="G9866" s="6">
        <v>5</v>
      </c>
      <c r="H9866" s="6" t="s">
        <v>45370</v>
      </c>
      <c r="I9866" s="6">
        <v>532.3125</v>
      </c>
      <c r="J9866" s="2">
        <f t="shared" si="154"/>
        <v>43749.197617141202</v>
      </c>
    </row>
    <row r="9867" spans="1:10" x14ac:dyDescent="0.25">
      <c r="A9867" s="7" t="s">
        <v>45371</v>
      </c>
      <c r="B9867" s="8">
        <v>393.75</v>
      </c>
      <c r="C9867" s="8">
        <v>20.478950000000001</v>
      </c>
      <c r="D9867" s="8">
        <v>54</v>
      </c>
      <c r="E9867" s="8">
        <v>0</v>
      </c>
      <c r="F9867" s="8">
        <v>0</v>
      </c>
      <c r="G9867" s="8">
        <v>9</v>
      </c>
      <c r="H9867" s="8" t="s">
        <v>45372</v>
      </c>
      <c r="I9867" s="8">
        <v>526.6875</v>
      </c>
      <c r="J9867" s="3">
        <f t="shared" si="154"/>
        <v>43749.197688738423</v>
      </c>
    </row>
    <row r="9868" spans="1:10" x14ac:dyDescent="0.25">
      <c r="A9868" s="5" t="s">
        <v>45373</v>
      </c>
      <c r="B9868" s="6">
        <v>393.75</v>
      </c>
      <c r="C9868" s="6">
        <v>20.478950000000001</v>
      </c>
      <c r="D9868" s="6">
        <v>53</v>
      </c>
      <c r="E9868" s="6">
        <v>0</v>
      </c>
      <c r="F9868" s="6">
        <v>0</v>
      </c>
      <c r="G9868" s="6">
        <v>12</v>
      </c>
      <c r="H9868" s="6" t="s">
        <v>45374</v>
      </c>
      <c r="I9868" s="6">
        <v>526.6875</v>
      </c>
      <c r="J9868" s="2">
        <f t="shared" si="154"/>
        <v>43749.197772326392</v>
      </c>
    </row>
    <row r="9869" spans="1:10" x14ac:dyDescent="0.25">
      <c r="A9869" s="7" t="s">
        <v>45375</v>
      </c>
      <c r="B9869" s="8">
        <v>425</v>
      </c>
      <c r="C9869" s="8">
        <v>20.426300000000001</v>
      </c>
      <c r="D9869" s="8">
        <v>53</v>
      </c>
      <c r="E9869" s="8">
        <v>0</v>
      </c>
      <c r="F9869" s="8">
        <v>0</v>
      </c>
      <c r="G9869" s="8">
        <v>15</v>
      </c>
      <c r="H9869" s="8" t="s">
        <v>45376</v>
      </c>
      <c r="I9869" s="8">
        <v>536.4375</v>
      </c>
      <c r="J9869" s="3">
        <f t="shared" si="154"/>
        <v>43749.197855648141</v>
      </c>
    </row>
    <row r="9870" spans="1:10" x14ac:dyDescent="0.25">
      <c r="A9870" s="5" t="s">
        <v>45377</v>
      </c>
      <c r="B9870" s="6">
        <v>393.75</v>
      </c>
      <c r="C9870" s="6">
        <v>20.478950000000001</v>
      </c>
      <c r="D9870" s="6">
        <v>53</v>
      </c>
      <c r="E9870" s="6">
        <v>0</v>
      </c>
      <c r="F9870" s="6">
        <v>0</v>
      </c>
      <c r="G9870" s="6">
        <v>0</v>
      </c>
      <c r="H9870" s="6" t="s">
        <v>45378</v>
      </c>
      <c r="I9870" s="6">
        <v>526.6875</v>
      </c>
      <c r="J9870" s="2">
        <f t="shared" si="154"/>
        <v>43749.197926585643</v>
      </c>
    </row>
    <row r="9871" spans="1:10" x14ac:dyDescent="0.25">
      <c r="A9871" s="7" t="s">
        <v>45379</v>
      </c>
      <c r="B9871" s="8">
        <v>393.75</v>
      </c>
      <c r="C9871" s="8">
        <v>20.478950000000001</v>
      </c>
      <c r="D9871" s="8">
        <v>53</v>
      </c>
      <c r="E9871" s="8">
        <v>0</v>
      </c>
      <c r="F9871" s="8">
        <v>0</v>
      </c>
      <c r="G9871" s="8">
        <v>10</v>
      </c>
      <c r="H9871" s="8" t="s">
        <v>45380</v>
      </c>
      <c r="I9871" s="8">
        <v>526.6875</v>
      </c>
      <c r="J9871" s="3">
        <f t="shared" si="154"/>
        <v>43749.197998819443</v>
      </c>
    </row>
    <row r="9872" spans="1:10" x14ac:dyDescent="0.25">
      <c r="A9872" s="5" t="s">
        <v>45381</v>
      </c>
      <c r="B9872" s="6">
        <v>393.75</v>
      </c>
      <c r="C9872" s="6">
        <v>20.478950000000001</v>
      </c>
      <c r="D9872" s="6">
        <v>54</v>
      </c>
      <c r="E9872" s="6">
        <v>0</v>
      </c>
      <c r="F9872" s="6">
        <v>0</v>
      </c>
      <c r="G9872" s="6">
        <v>9</v>
      </c>
      <c r="H9872" s="6" t="s">
        <v>45382</v>
      </c>
      <c r="I9872" s="6">
        <v>526.6875</v>
      </c>
      <c r="J9872" s="2">
        <f t="shared" si="154"/>
        <v>43749.19807042824</v>
      </c>
    </row>
    <row r="9873" spans="1:10" x14ac:dyDescent="0.25">
      <c r="A9873" s="7" t="s">
        <v>45383</v>
      </c>
      <c r="B9873" s="8">
        <v>393.75</v>
      </c>
      <c r="C9873" s="8">
        <v>20.478950000000001</v>
      </c>
      <c r="D9873" s="8">
        <v>54</v>
      </c>
      <c r="E9873" s="8">
        <v>0</v>
      </c>
      <c r="F9873" s="8">
        <v>0</v>
      </c>
      <c r="G9873" s="8">
        <v>5</v>
      </c>
      <c r="H9873" s="8" t="s">
        <v>45384</v>
      </c>
      <c r="I9873" s="8">
        <v>526.6875</v>
      </c>
      <c r="J9873" s="3">
        <f t="shared" si="154"/>
        <v>43749.198142118054</v>
      </c>
    </row>
    <row r="9874" spans="1:10" x14ac:dyDescent="0.25">
      <c r="A9874" s="5" t="s">
        <v>45385</v>
      </c>
      <c r="B9874" s="6">
        <v>393.75</v>
      </c>
      <c r="C9874" s="6">
        <v>20.478950000000001</v>
      </c>
      <c r="D9874" s="6">
        <v>54</v>
      </c>
      <c r="E9874" s="6">
        <v>0</v>
      </c>
      <c r="F9874" s="6">
        <v>0</v>
      </c>
      <c r="G9874" s="6">
        <v>10</v>
      </c>
      <c r="H9874" s="6" t="s">
        <v>45386</v>
      </c>
      <c r="I9874" s="6">
        <v>526.5</v>
      </c>
      <c r="J9874" s="2">
        <f t="shared" si="154"/>
        <v>43749.198213460644</v>
      </c>
    </row>
    <row r="9875" spans="1:10" x14ac:dyDescent="0.25">
      <c r="A9875" s="7" t="s">
        <v>45387</v>
      </c>
      <c r="B9875" s="8">
        <v>393.75</v>
      </c>
      <c r="C9875" s="8">
        <v>20.478950000000001</v>
      </c>
      <c r="D9875" s="8">
        <v>54</v>
      </c>
      <c r="E9875" s="8">
        <v>0</v>
      </c>
      <c r="F9875" s="8">
        <v>0</v>
      </c>
      <c r="G9875" s="8">
        <v>2</v>
      </c>
      <c r="H9875" s="8" t="s">
        <v>45388</v>
      </c>
      <c r="I9875" s="8">
        <v>526.5</v>
      </c>
      <c r="J9875" s="3">
        <f t="shared" si="154"/>
        <v>43749.198297013885</v>
      </c>
    </row>
    <row r="9876" spans="1:10" x14ac:dyDescent="0.25">
      <c r="A9876" s="5" t="s">
        <v>45389</v>
      </c>
      <c r="B9876" s="6">
        <v>393.75</v>
      </c>
      <c r="C9876" s="6">
        <v>20.478950000000001</v>
      </c>
      <c r="D9876" s="6">
        <v>56</v>
      </c>
      <c r="E9876" s="6">
        <v>0</v>
      </c>
      <c r="F9876" s="6">
        <v>0</v>
      </c>
      <c r="G9876" s="6">
        <v>9</v>
      </c>
      <c r="H9876" s="6" t="s">
        <v>45390</v>
      </c>
      <c r="I9876" s="6">
        <v>526.6875</v>
      </c>
      <c r="J9876" s="2">
        <f t="shared" si="154"/>
        <v>43749.198368576392</v>
      </c>
    </row>
    <row r="9877" spans="1:10" x14ac:dyDescent="0.25">
      <c r="A9877" s="7" t="s">
        <v>45391</v>
      </c>
      <c r="B9877" s="8">
        <v>393.75</v>
      </c>
      <c r="C9877" s="8">
        <v>20.478950000000001</v>
      </c>
      <c r="D9877" s="8">
        <v>56</v>
      </c>
      <c r="E9877" s="8">
        <v>0</v>
      </c>
      <c r="F9877" s="8">
        <v>0</v>
      </c>
      <c r="G9877" s="8">
        <v>2</v>
      </c>
      <c r="H9877" s="8" t="s">
        <v>45392</v>
      </c>
      <c r="I9877" s="8">
        <v>526.6875</v>
      </c>
      <c r="J9877" s="3">
        <f t="shared" si="154"/>
        <v>43749.198452106481</v>
      </c>
    </row>
    <row r="9878" spans="1:10" x14ac:dyDescent="0.25">
      <c r="A9878" s="5" t="s">
        <v>45393</v>
      </c>
      <c r="B9878" s="6">
        <v>393.75</v>
      </c>
      <c r="C9878" s="6">
        <v>20.478950000000001</v>
      </c>
      <c r="D9878" s="6">
        <v>56</v>
      </c>
      <c r="E9878" s="6">
        <v>0</v>
      </c>
      <c r="F9878" s="6">
        <v>0</v>
      </c>
      <c r="G9878" s="6">
        <v>1</v>
      </c>
      <c r="H9878" s="6" t="s">
        <v>45394</v>
      </c>
      <c r="I9878" s="6">
        <v>526.6875</v>
      </c>
      <c r="J9878" s="2">
        <f t="shared" si="154"/>
        <v>43749.198535462965</v>
      </c>
    </row>
    <row r="9879" spans="1:10" x14ac:dyDescent="0.25">
      <c r="A9879" s="7" t="s">
        <v>45395</v>
      </c>
      <c r="B9879" s="8">
        <v>393.75</v>
      </c>
      <c r="C9879" s="8">
        <v>20.426300000000001</v>
      </c>
      <c r="D9879" s="8">
        <v>56</v>
      </c>
      <c r="E9879" s="8">
        <v>0</v>
      </c>
      <c r="F9879" s="8">
        <v>0</v>
      </c>
      <c r="G9879" s="8">
        <v>12</v>
      </c>
      <c r="H9879" s="8" t="s">
        <v>45396</v>
      </c>
      <c r="I9879" s="8">
        <v>526.6875</v>
      </c>
      <c r="J9879" s="3">
        <f t="shared" si="154"/>
        <v>43749.19861890046</v>
      </c>
    </row>
    <row r="9880" spans="1:10" x14ac:dyDescent="0.25">
      <c r="A9880" s="5" t="s">
        <v>45397</v>
      </c>
      <c r="B9880" s="6">
        <v>393.75</v>
      </c>
      <c r="C9880" s="6">
        <v>20.478950000000001</v>
      </c>
      <c r="D9880" s="6">
        <v>55</v>
      </c>
      <c r="E9880" s="6">
        <v>0</v>
      </c>
      <c r="F9880" s="6">
        <v>0</v>
      </c>
      <c r="G9880" s="6">
        <v>15</v>
      </c>
      <c r="H9880" s="6" t="s">
        <v>45398</v>
      </c>
      <c r="I9880" s="6">
        <v>526.6875</v>
      </c>
      <c r="J9880" s="2">
        <f t="shared" si="154"/>
        <v>43749.198702349539</v>
      </c>
    </row>
    <row r="9881" spans="1:10" x14ac:dyDescent="0.25">
      <c r="A9881" s="7" t="s">
        <v>45399</v>
      </c>
      <c r="B9881" s="8">
        <v>418.75</v>
      </c>
      <c r="C9881" s="8">
        <v>20.426300000000001</v>
      </c>
      <c r="D9881" s="8">
        <v>55</v>
      </c>
      <c r="E9881" s="8">
        <v>0</v>
      </c>
      <c r="F9881" s="8">
        <v>0</v>
      </c>
      <c r="G9881" s="8">
        <v>13</v>
      </c>
      <c r="H9881" s="8" t="s">
        <v>45400</v>
      </c>
      <c r="I9881" s="8">
        <v>534.1875</v>
      </c>
      <c r="J9881" s="3">
        <f t="shared" si="154"/>
        <v>43749.198785902779</v>
      </c>
    </row>
    <row r="9882" spans="1:10" x14ac:dyDescent="0.25">
      <c r="A9882" s="5" t="s">
        <v>45401</v>
      </c>
      <c r="B9882" s="6">
        <v>393.75</v>
      </c>
      <c r="C9882" s="6">
        <v>20.478950000000001</v>
      </c>
      <c r="D9882" s="6">
        <v>55</v>
      </c>
      <c r="E9882" s="6">
        <v>0</v>
      </c>
      <c r="F9882" s="6">
        <v>0</v>
      </c>
      <c r="G9882" s="6">
        <v>10</v>
      </c>
      <c r="H9882" s="6" t="s">
        <v>45402</v>
      </c>
      <c r="I9882" s="6">
        <v>526.5</v>
      </c>
      <c r="J9882" s="2">
        <f t="shared" si="154"/>
        <v>43749.198869444437</v>
      </c>
    </row>
    <row r="9883" spans="1:10" x14ac:dyDescent="0.25">
      <c r="A9883" s="7" t="s">
        <v>45403</v>
      </c>
      <c r="B9883" s="8">
        <v>393.75</v>
      </c>
      <c r="C9883" s="8">
        <v>20.426300000000001</v>
      </c>
      <c r="D9883" s="8">
        <v>54</v>
      </c>
      <c r="E9883" s="8">
        <v>0</v>
      </c>
      <c r="F9883" s="8">
        <v>0</v>
      </c>
      <c r="G9883" s="8">
        <v>15</v>
      </c>
      <c r="H9883" s="8" t="s">
        <v>45404</v>
      </c>
      <c r="I9883" s="8">
        <v>526.6875</v>
      </c>
      <c r="J9883" s="3">
        <f t="shared" si="154"/>
        <v>43749.198952615734</v>
      </c>
    </row>
    <row r="9884" spans="1:10" x14ac:dyDescent="0.25">
      <c r="A9884" s="5" t="s">
        <v>45405</v>
      </c>
      <c r="B9884" s="6">
        <v>393.75</v>
      </c>
      <c r="C9884" s="6">
        <v>20.426300000000001</v>
      </c>
      <c r="D9884" s="6">
        <v>54</v>
      </c>
      <c r="E9884" s="6">
        <v>0</v>
      </c>
      <c r="F9884" s="6">
        <v>0</v>
      </c>
      <c r="G9884" s="6">
        <v>6</v>
      </c>
      <c r="H9884" s="6" t="s">
        <v>45406</v>
      </c>
      <c r="I9884" s="6">
        <v>526.5</v>
      </c>
      <c r="J9884" s="2">
        <f t="shared" si="154"/>
        <v>43749.199024490743</v>
      </c>
    </row>
    <row r="9885" spans="1:10" x14ac:dyDescent="0.25">
      <c r="A9885" s="7" t="s">
        <v>45407</v>
      </c>
      <c r="B9885" s="8">
        <v>393.75</v>
      </c>
      <c r="C9885" s="8">
        <v>20.478950000000001</v>
      </c>
      <c r="D9885" s="8">
        <v>53</v>
      </c>
      <c r="E9885" s="8">
        <v>0</v>
      </c>
      <c r="F9885" s="8">
        <v>0</v>
      </c>
      <c r="G9885" s="8">
        <v>12</v>
      </c>
      <c r="H9885" s="8" t="s">
        <v>45408</v>
      </c>
      <c r="I9885" s="8">
        <v>526.6875</v>
      </c>
      <c r="J9885" s="3">
        <f t="shared" si="154"/>
        <v>43749.199108217588</v>
      </c>
    </row>
    <row r="9886" spans="1:10" x14ac:dyDescent="0.25">
      <c r="A9886" s="5" t="s">
        <v>45409</v>
      </c>
      <c r="B9886" s="6">
        <v>393.75</v>
      </c>
      <c r="C9886" s="6">
        <v>20.478950000000001</v>
      </c>
      <c r="D9886" s="6">
        <v>55</v>
      </c>
      <c r="E9886" s="6">
        <v>0</v>
      </c>
      <c r="F9886" s="6">
        <v>0</v>
      </c>
      <c r="G9886" s="6">
        <v>13</v>
      </c>
      <c r="H9886" s="6" t="s">
        <v>45410</v>
      </c>
      <c r="I9886" s="6">
        <v>526.5</v>
      </c>
      <c r="J9886" s="2">
        <f t="shared" si="154"/>
        <v>43749.199179525465</v>
      </c>
    </row>
    <row r="9887" spans="1:10" x14ac:dyDescent="0.25">
      <c r="A9887" s="7" t="s">
        <v>45411</v>
      </c>
      <c r="B9887" s="8">
        <v>393.75</v>
      </c>
      <c r="C9887" s="8">
        <v>20.478950000000001</v>
      </c>
      <c r="D9887" s="8">
        <v>56</v>
      </c>
      <c r="E9887" s="8">
        <v>0</v>
      </c>
      <c r="F9887" s="8">
        <v>0</v>
      </c>
      <c r="G9887" s="8">
        <v>11</v>
      </c>
      <c r="H9887" s="8" t="s">
        <v>45412</v>
      </c>
      <c r="I9887" s="8">
        <v>526.6875</v>
      </c>
      <c r="J9887" s="3">
        <f t="shared" si="154"/>
        <v>43749.199251030092</v>
      </c>
    </row>
    <row r="9888" spans="1:10" x14ac:dyDescent="0.25">
      <c r="A9888" s="5" t="s">
        <v>45413</v>
      </c>
      <c r="B9888" s="6">
        <v>393.75</v>
      </c>
      <c r="C9888" s="6">
        <v>20.426300000000001</v>
      </c>
      <c r="D9888" s="6">
        <v>57</v>
      </c>
      <c r="E9888" s="6">
        <v>0</v>
      </c>
      <c r="F9888" s="6">
        <v>0</v>
      </c>
      <c r="G9888" s="6">
        <v>5</v>
      </c>
      <c r="H9888" s="6" t="s">
        <v>45414</v>
      </c>
      <c r="I9888" s="6">
        <v>526.6875</v>
      </c>
      <c r="J9888" s="2">
        <f t="shared" si="154"/>
        <v>43749.199334317127</v>
      </c>
    </row>
    <row r="9889" spans="1:10" x14ac:dyDescent="0.25">
      <c r="A9889" s="7" t="s">
        <v>45415</v>
      </c>
      <c r="B9889" s="8">
        <v>393.75</v>
      </c>
      <c r="C9889" s="8">
        <v>20.478950000000001</v>
      </c>
      <c r="D9889" s="8">
        <v>57</v>
      </c>
      <c r="E9889" s="8">
        <v>0</v>
      </c>
      <c r="F9889" s="8">
        <v>0</v>
      </c>
      <c r="G9889" s="8">
        <v>18</v>
      </c>
      <c r="H9889" s="8" t="s">
        <v>45416</v>
      </c>
      <c r="I9889" s="8">
        <v>526.6875</v>
      </c>
      <c r="J9889" s="3">
        <f t="shared" si="154"/>
        <v>43749.199406111111</v>
      </c>
    </row>
    <row r="9890" spans="1:10" x14ac:dyDescent="0.25">
      <c r="A9890" s="5" t="s">
        <v>45417</v>
      </c>
      <c r="B9890" s="6">
        <v>393.75</v>
      </c>
      <c r="C9890" s="6">
        <v>20.478950000000001</v>
      </c>
      <c r="D9890" s="6">
        <v>57</v>
      </c>
      <c r="E9890" s="6">
        <v>0</v>
      </c>
      <c r="F9890" s="6">
        <v>0</v>
      </c>
      <c r="G9890" s="6">
        <v>12</v>
      </c>
      <c r="H9890" s="6" t="s">
        <v>45418</v>
      </c>
      <c r="I9890" s="6">
        <v>526.6875</v>
      </c>
      <c r="J9890" s="2">
        <f t="shared" si="154"/>
        <v>43749.199489513885</v>
      </c>
    </row>
    <row r="9891" spans="1:10" x14ac:dyDescent="0.25">
      <c r="A9891" s="7" t="s">
        <v>45419</v>
      </c>
      <c r="B9891" s="8">
        <v>393.75</v>
      </c>
      <c r="C9891" s="8">
        <v>20.478950000000001</v>
      </c>
      <c r="D9891" s="8">
        <v>56</v>
      </c>
      <c r="E9891" s="8">
        <v>0</v>
      </c>
      <c r="F9891" s="8">
        <v>0</v>
      </c>
      <c r="G9891" s="8">
        <v>7</v>
      </c>
      <c r="H9891" s="8" t="s">
        <v>45420</v>
      </c>
      <c r="I9891" s="8">
        <v>526.6875</v>
      </c>
      <c r="J9891" s="3">
        <f t="shared" si="154"/>
        <v>43749.199560983798</v>
      </c>
    </row>
    <row r="9892" spans="1:10" x14ac:dyDescent="0.25">
      <c r="A9892" s="5" t="s">
        <v>45421</v>
      </c>
      <c r="B9892" s="6">
        <v>393.75</v>
      </c>
      <c r="C9892" s="6">
        <v>20.478950000000001</v>
      </c>
      <c r="D9892" s="6">
        <v>57</v>
      </c>
      <c r="E9892" s="6">
        <v>0</v>
      </c>
      <c r="F9892" s="6">
        <v>0</v>
      </c>
      <c r="G9892" s="6">
        <v>16</v>
      </c>
      <c r="H9892" s="6" t="s">
        <v>45422</v>
      </c>
      <c r="I9892" s="6">
        <v>526.6875</v>
      </c>
      <c r="J9892" s="2">
        <f t="shared" si="154"/>
        <v>43749.199644629633</v>
      </c>
    </row>
    <row r="9893" spans="1:10" x14ac:dyDescent="0.25">
      <c r="A9893" s="7" t="s">
        <v>45423</v>
      </c>
      <c r="B9893" s="8">
        <v>393.75</v>
      </c>
      <c r="C9893" s="8">
        <v>20.426300000000001</v>
      </c>
      <c r="D9893" s="8">
        <v>55</v>
      </c>
      <c r="E9893" s="8">
        <v>0</v>
      </c>
      <c r="F9893" s="8">
        <v>0</v>
      </c>
      <c r="G9893" s="8">
        <v>11</v>
      </c>
      <c r="H9893" s="8" t="s">
        <v>45424</v>
      </c>
      <c r="I9893" s="8">
        <v>526.6875</v>
      </c>
      <c r="J9893" s="3">
        <f t="shared" si="154"/>
        <v>43749.199727939813</v>
      </c>
    </row>
    <row r="9894" spans="1:10" x14ac:dyDescent="0.25">
      <c r="A9894" s="5" t="s">
        <v>45425</v>
      </c>
      <c r="B9894" s="6">
        <v>393.75</v>
      </c>
      <c r="C9894" s="6">
        <v>20.478950000000001</v>
      </c>
      <c r="D9894" s="6">
        <v>56</v>
      </c>
      <c r="E9894" s="6">
        <v>0</v>
      </c>
      <c r="F9894" s="6">
        <v>0</v>
      </c>
      <c r="G9894" s="6">
        <v>17</v>
      </c>
      <c r="H9894" s="6" t="s">
        <v>45426</v>
      </c>
      <c r="I9894" s="6">
        <v>526.6875</v>
      </c>
      <c r="J9894" s="2">
        <f t="shared" si="154"/>
        <v>43749.199799502312</v>
      </c>
    </row>
    <row r="9895" spans="1:10" x14ac:dyDescent="0.25">
      <c r="A9895" s="7" t="s">
        <v>45427</v>
      </c>
      <c r="B9895" s="8">
        <v>393.75</v>
      </c>
      <c r="C9895" s="8">
        <v>20.426300000000001</v>
      </c>
      <c r="D9895" s="8">
        <v>55</v>
      </c>
      <c r="E9895" s="8">
        <v>0</v>
      </c>
      <c r="F9895" s="8">
        <v>0</v>
      </c>
      <c r="G9895" s="8">
        <v>2</v>
      </c>
      <c r="H9895" s="8" t="s">
        <v>45428</v>
      </c>
      <c r="I9895" s="8">
        <v>526.6875</v>
      </c>
      <c r="J9895" s="3">
        <f t="shared" si="154"/>
        <v>43749.199871203702</v>
      </c>
    </row>
    <row r="9896" spans="1:10" x14ac:dyDescent="0.25">
      <c r="A9896" s="5" t="s">
        <v>45429</v>
      </c>
      <c r="B9896" s="6">
        <v>412.5</v>
      </c>
      <c r="C9896" s="6">
        <v>20.478950000000001</v>
      </c>
      <c r="D9896" s="6">
        <v>56</v>
      </c>
      <c r="E9896" s="6">
        <v>0</v>
      </c>
      <c r="F9896" s="6">
        <v>0</v>
      </c>
      <c r="G9896" s="6">
        <v>9</v>
      </c>
      <c r="H9896" s="6" t="s">
        <v>45430</v>
      </c>
      <c r="I9896" s="6">
        <v>532.3125</v>
      </c>
      <c r="J9896" s="2">
        <f t="shared" si="154"/>
        <v>43749.199954560179</v>
      </c>
    </row>
    <row r="9897" spans="1:10" x14ac:dyDescent="0.25">
      <c r="A9897" s="7" t="s">
        <v>45431</v>
      </c>
      <c r="B9897" s="8">
        <v>393.75</v>
      </c>
      <c r="C9897" s="8">
        <v>20.478950000000001</v>
      </c>
      <c r="D9897" s="8">
        <v>58</v>
      </c>
      <c r="E9897" s="8">
        <v>0</v>
      </c>
      <c r="F9897" s="8">
        <v>0</v>
      </c>
      <c r="G9897" s="8">
        <v>8</v>
      </c>
      <c r="H9897" s="8" t="s">
        <v>45432</v>
      </c>
      <c r="I9897" s="8">
        <v>526.6875</v>
      </c>
      <c r="J9897" s="3">
        <f t="shared" si="154"/>
        <v>43749.20003767361</v>
      </c>
    </row>
    <row r="9898" spans="1:10" x14ac:dyDescent="0.25">
      <c r="A9898" s="5" t="s">
        <v>45433</v>
      </c>
      <c r="B9898" s="6">
        <v>393.75</v>
      </c>
      <c r="C9898" s="6">
        <v>20.478950000000001</v>
      </c>
      <c r="D9898" s="6">
        <v>56</v>
      </c>
      <c r="E9898" s="6">
        <v>0</v>
      </c>
      <c r="F9898" s="6">
        <v>0</v>
      </c>
      <c r="G9898" s="6">
        <v>11</v>
      </c>
      <c r="H9898" s="6" t="s">
        <v>45434</v>
      </c>
      <c r="I9898" s="6">
        <v>526.6875</v>
      </c>
      <c r="J9898" s="2">
        <f t="shared" si="154"/>
        <v>43749.20010952546</v>
      </c>
    </row>
    <row r="9899" spans="1:10" x14ac:dyDescent="0.25">
      <c r="A9899" s="7" t="s">
        <v>45435</v>
      </c>
      <c r="B9899" s="8">
        <v>393.75</v>
      </c>
      <c r="C9899" s="8">
        <v>20.478950000000001</v>
      </c>
      <c r="D9899" s="8">
        <v>55</v>
      </c>
      <c r="E9899" s="8">
        <v>0</v>
      </c>
      <c r="F9899" s="8">
        <v>0</v>
      </c>
      <c r="G9899" s="8">
        <v>4</v>
      </c>
      <c r="H9899" s="8" t="s">
        <v>45436</v>
      </c>
      <c r="I9899" s="8">
        <v>526.6875</v>
      </c>
      <c r="J9899" s="3">
        <f t="shared" si="154"/>
        <v>43749.200193217592</v>
      </c>
    </row>
    <row r="9900" spans="1:10" x14ac:dyDescent="0.25">
      <c r="A9900" s="5" t="s">
        <v>45437</v>
      </c>
      <c r="B9900" s="6">
        <v>393.75</v>
      </c>
      <c r="C9900" s="6">
        <v>20.478950000000001</v>
      </c>
      <c r="D9900" s="6">
        <v>54</v>
      </c>
      <c r="E9900" s="6">
        <v>0</v>
      </c>
      <c r="F9900" s="6">
        <v>0</v>
      </c>
      <c r="G9900" s="6">
        <v>5</v>
      </c>
      <c r="H9900" s="6" t="s">
        <v>45438</v>
      </c>
      <c r="I9900" s="6">
        <v>526.6875</v>
      </c>
      <c r="J9900" s="2">
        <f t="shared" si="154"/>
        <v>43749.200264571758</v>
      </c>
    </row>
    <row r="9901" spans="1:10" x14ac:dyDescent="0.25">
      <c r="A9901" s="7" t="s">
        <v>45439</v>
      </c>
      <c r="B9901" s="8">
        <v>412.5</v>
      </c>
      <c r="C9901" s="8">
        <v>20.478950000000001</v>
      </c>
      <c r="D9901" s="8">
        <v>53</v>
      </c>
      <c r="E9901" s="8">
        <v>0</v>
      </c>
      <c r="F9901" s="8">
        <v>0</v>
      </c>
      <c r="G9901" s="8">
        <v>6</v>
      </c>
      <c r="H9901" s="8" t="s">
        <v>45440</v>
      </c>
      <c r="I9901" s="8">
        <v>532.3125</v>
      </c>
      <c r="J9901" s="3">
        <f t="shared" si="154"/>
        <v>43749.200359942122</v>
      </c>
    </row>
    <row r="9902" spans="1:10" x14ac:dyDescent="0.25">
      <c r="A9902" s="5" t="s">
        <v>45441</v>
      </c>
      <c r="B9902" s="6">
        <v>393.75</v>
      </c>
      <c r="C9902" s="6">
        <v>20.478950000000001</v>
      </c>
      <c r="D9902" s="6">
        <v>54</v>
      </c>
      <c r="E9902" s="6">
        <v>0</v>
      </c>
      <c r="F9902" s="6">
        <v>0</v>
      </c>
      <c r="G9902" s="6">
        <v>13</v>
      </c>
      <c r="H9902" s="6" t="s">
        <v>45442</v>
      </c>
      <c r="I9902" s="6">
        <v>526.6875</v>
      </c>
      <c r="J9902" s="2">
        <f t="shared" si="154"/>
        <v>43749.200431597223</v>
      </c>
    </row>
    <row r="9903" spans="1:10" x14ac:dyDescent="0.25">
      <c r="A9903" s="7" t="s">
        <v>45443</v>
      </c>
      <c r="B9903" s="8">
        <v>393.75</v>
      </c>
      <c r="C9903" s="8">
        <v>20.478950000000001</v>
      </c>
      <c r="D9903" s="8">
        <v>53</v>
      </c>
      <c r="E9903" s="8">
        <v>0</v>
      </c>
      <c r="F9903" s="8">
        <v>0</v>
      </c>
      <c r="G9903" s="8">
        <v>3</v>
      </c>
      <c r="H9903" s="8" t="s">
        <v>45444</v>
      </c>
      <c r="I9903" s="8">
        <v>526.6875</v>
      </c>
      <c r="J9903" s="3">
        <f t="shared" si="154"/>
        <v>43749.200515104159</v>
      </c>
    </row>
    <row r="9904" spans="1:10" x14ac:dyDescent="0.25">
      <c r="A9904" s="5" t="s">
        <v>45445</v>
      </c>
      <c r="B9904" s="6">
        <v>393.75</v>
      </c>
      <c r="C9904" s="6">
        <v>20.478950000000001</v>
      </c>
      <c r="D9904" s="6">
        <v>53</v>
      </c>
      <c r="E9904" s="6">
        <v>0</v>
      </c>
      <c r="F9904" s="6">
        <v>0</v>
      </c>
      <c r="G9904" s="6">
        <v>6</v>
      </c>
      <c r="H9904" s="6" t="s">
        <v>45446</v>
      </c>
      <c r="I9904" s="6">
        <v>526.6875</v>
      </c>
      <c r="J9904" s="2">
        <f t="shared" si="154"/>
        <v>43749.200586539351</v>
      </c>
    </row>
    <row r="9905" spans="1:10" x14ac:dyDescent="0.25">
      <c r="A9905" s="7" t="s">
        <v>45447</v>
      </c>
      <c r="B9905" s="8">
        <v>393.75</v>
      </c>
      <c r="C9905" s="8">
        <v>20.426300000000001</v>
      </c>
      <c r="D9905" s="8">
        <v>53</v>
      </c>
      <c r="E9905" s="8">
        <v>0</v>
      </c>
      <c r="F9905" s="8">
        <v>0</v>
      </c>
      <c r="G9905" s="8">
        <v>8</v>
      </c>
      <c r="H9905" s="8" t="s">
        <v>45448</v>
      </c>
      <c r="I9905" s="8">
        <v>526.6875</v>
      </c>
      <c r="J9905" s="3">
        <f t="shared" si="154"/>
        <v>43749.200658090274</v>
      </c>
    </row>
    <row r="9906" spans="1:10" x14ac:dyDescent="0.25">
      <c r="A9906" s="5" t="s">
        <v>45449</v>
      </c>
      <c r="B9906" s="6">
        <v>393.75</v>
      </c>
      <c r="C9906" s="6">
        <v>20.478950000000001</v>
      </c>
      <c r="D9906" s="6">
        <v>54</v>
      </c>
      <c r="E9906" s="6">
        <v>0</v>
      </c>
      <c r="F9906" s="6">
        <v>0</v>
      </c>
      <c r="G9906" s="6">
        <v>12</v>
      </c>
      <c r="H9906" s="6" t="s">
        <v>45450</v>
      </c>
      <c r="I9906" s="6">
        <v>526.6875</v>
      </c>
      <c r="J9906" s="2">
        <f t="shared" si="154"/>
        <v>43749.20072966435</v>
      </c>
    </row>
    <row r="9907" spans="1:10" x14ac:dyDescent="0.25">
      <c r="A9907" s="7" t="s">
        <v>45451</v>
      </c>
      <c r="B9907" s="8">
        <v>393.75</v>
      </c>
      <c r="C9907" s="8">
        <v>20.478950000000001</v>
      </c>
      <c r="D9907" s="8">
        <v>54</v>
      </c>
      <c r="E9907" s="8">
        <v>0</v>
      </c>
      <c r="F9907" s="8">
        <v>0</v>
      </c>
      <c r="G9907" s="8">
        <v>11</v>
      </c>
      <c r="H9907" s="8" t="s">
        <v>45452</v>
      </c>
      <c r="I9907" s="8">
        <v>526.6875</v>
      </c>
      <c r="J9907" s="3">
        <f t="shared" si="154"/>
        <v>43749.200800810184</v>
      </c>
    </row>
    <row r="9908" spans="1:10" x14ac:dyDescent="0.25">
      <c r="A9908" s="5" t="s">
        <v>45453</v>
      </c>
      <c r="B9908" s="6">
        <v>412.5</v>
      </c>
      <c r="C9908" s="6">
        <v>20.478950000000001</v>
      </c>
      <c r="D9908" s="6">
        <v>55</v>
      </c>
      <c r="E9908" s="6">
        <v>0</v>
      </c>
      <c r="F9908" s="6">
        <v>0</v>
      </c>
      <c r="G9908" s="6">
        <v>8</v>
      </c>
      <c r="H9908" s="6" t="s">
        <v>45454</v>
      </c>
      <c r="I9908" s="6">
        <v>532.3125</v>
      </c>
      <c r="J9908" s="2">
        <f t="shared" si="154"/>
        <v>43749.200872777779</v>
      </c>
    </row>
    <row r="9909" spans="1:10" x14ac:dyDescent="0.25">
      <c r="A9909" s="7" t="s">
        <v>45455</v>
      </c>
      <c r="B9909" s="8">
        <v>393.75</v>
      </c>
      <c r="C9909" s="8">
        <v>20.478950000000001</v>
      </c>
      <c r="D9909" s="8">
        <v>55</v>
      </c>
      <c r="E9909" s="8">
        <v>0</v>
      </c>
      <c r="F9909" s="8">
        <v>0</v>
      </c>
      <c r="G9909" s="8">
        <v>11</v>
      </c>
      <c r="H9909" s="8" t="s">
        <v>45456</v>
      </c>
      <c r="I9909" s="8">
        <v>526.6875</v>
      </c>
      <c r="J9909" s="3">
        <f t="shared" si="154"/>
        <v>43749.20095622685</v>
      </c>
    </row>
    <row r="9910" spans="1:10" x14ac:dyDescent="0.25">
      <c r="A9910" s="5" t="s">
        <v>45457</v>
      </c>
      <c r="B9910" s="6">
        <v>393.75</v>
      </c>
      <c r="C9910" s="6">
        <v>20.478950000000001</v>
      </c>
      <c r="D9910" s="6">
        <v>54</v>
      </c>
      <c r="E9910" s="6">
        <v>0</v>
      </c>
      <c r="F9910" s="6">
        <v>0</v>
      </c>
      <c r="G9910" s="6">
        <v>5</v>
      </c>
      <c r="H9910" s="6" t="s">
        <v>45458</v>
      </c>
      <c r="I9910" s="6">
        <v>526.6875</v>
      </c>
      <c r="J9910" s="2">
        <f t="shared" si="154"/>
        <v>43749.201027812502</v>
      </c>
    </row>
    <row r="9911" spans="1:10" x14ac:dyDescent="0.25">
      <c r="A9911" s="7" t="s">
        <v>45459</v>
      </c>
      <c r="B9911" s="8">
        <v>393.75</v>
      </c>
      <c r="C9911" s="8">
        <v>20.478950000000001</v>
      </c>
      <c r="D9911" s="8">
        <v>55</v>
      </c>
      <c r="E9911" s="8">
        <v>0</v>
      </c>
      <c r="F9911" s="8">
        <v>0</v>
      </c>
      <c r="G9911" s="8">
        <v>0</v>
      </c>
      <c r="H9911" s="8" t="s">
        <v>45460</v>
      </c>
      <c r="I9911" s="8">
        <v>526.6875</v>
      </c>
      <c r="J9911" s="3">
        <f t="shared" si="154"/>
        <v>43749.201099398146</v>
      </c>
    </row>
    <row r="9912" spans="1:10" x14ac:dyDescent="0.25">
      <c r="A9912" s="5" t="s">
        <v>45461</v>
      </c>
      <c r="B9912" s="6">
        <v>393.75</v>
      </c>
      <c r="C9912" s="6">
        <v>20.478950000000001</v>
      </c>
      <c r="D9912" s="6">
        <v>55</v>
      </c>
      <c r="E9912" s="6">
        <v>0</v>
      </c>
      <c r="F9912" s="6">
        <v>0</v>
      </c>
      <c r="G9912" s="6">
        <v>16</v>
      </c>
      <c r="H9912" s="6" t="s">
        <v>45462</v>
      </c>
      <c r="I9912" s="6">
        <v>526.6875</v>
      </c>
      <c r="J9912" s="2">
        <f t="shared" si="154"/>
        <v>43749.201170578701</v>
      </c>
    </row>
    <row r="9913" spans="1:10" x14ac:dyDescent="0.25">
      <c r="A9913" s="7" t="s">
        <v>45463</v>
      </c>
      <c r="B9913" s="8">
        <v>393.75</v>
      </c>
      <c r="C9913" s="8">
        <v>20.426300000000001</v>
      </c>
      <c r="D9913" s="8">
        <v>53</v>
      </c>
      <c r="E9913" s="8">
        <v>0</v>
      </c>
      <c r="F9913" s="8">
        <v>0</v>
      </c>
      <c r="G9913" s="8">
        <v>12</v>
      </c>
      <c r="H9913" s="8" t="s">
        <v>45464</v>
      </c>
      <c r="I9913" s="8">
        <v>526.6875</v>
      </c>
      <c r="J9913" s="3">
        <f t="shared" si="154"/>
        <v>43749.201242523144</v>
      </c>
    </row>
    <row r="9914" spans="1:10" x14ac:dyDescent="0.25">
      <c r="A9914" s="5" t="s">
        <v>45465</v>
      </c>
      <c r="B9914" s="6">
        <v>393.75</v>
      </c>
      <c r="C9914" s="6">
        <v>20.478950000000001</v>
      </c>
      <c r="D9914" s="6">
        <v>52</v>
      </c>
      <c r="E9914" s="6">
        <v>0</v>
      </c>
      <c r="F9914" s="6">
        <v>0</v>
      </c>
      <c r="G9914" s="6">
        <v>18</v>
      </c>
      <c r="H9914" s="6" t="s">
        <v>45466</v>
      </c>
      <c r="I9914" s="6">
        <v>526.5</v>
      </c>
      <c r="J9914" s="2">
        <f t="shared" si="154"/>
        <v>43749.201325810187</v>
      </c>
    </row>
    <row r="9915" spans="1:10" x14ac:dyDescent="0.25">
      <c r="A9915" s="7" t="s">
        <v>45467</v>
      </c>
      <c r="B9915" s="8">
        <v>412.5</v>
      </c>
      <c r="C9915" s="8">
        <v>20.478950000000001</v>
      </c>
      <c r="D9915" s="8">
        <v>52</v>
      </c>
      <c r="E9915" s="8">
        <v>0</v>
      </c>
      <c r="F9915" s="8">
        <v>0</v>
      </c>
      <c r="G9915" s="8">
        <v>3</v>
      </c>
      <c r="H9915" s="8" t="s">
        <v>45468</v>
      </c>
      <c r="I9915" s="8">
        <v>532.3125</v>
      </c>
      <c r="J9915" s="3">
        <f t="shared" si="154"/>
        <v>43749.201397187499</v>
      </c>
    </row>
    <row r="9916" spans="1:10" x14ac:dyDescent="0.25">
      <c r="A9916" s="5" t="s">
        <v>45469</v>
      </c>
      <c r="B9916" s="6">
        <v>393.75</v>
      </c>
      <c r="C9916" s="6">
        <v>20.478950000000001</v>
      </c>
      <c r="D9916" s="6">
        <v>53</v>
      </c>
      <c r="E9916" s="6">
        <v>0</v>
      </c>
      <c r="F9916" s="6">
        <v>0</v>
      </c>
      <c r="G9916" s="6">
        <v>16</v>
      </c>
      <c r="H9916" s="6" t="s">
        <v>45470</v>
      </c>
      <c r="I9916" s="6">
        <v>526.6875</v>
      </c>
      <c r="J9916" s="2">
        <f t="shared" si="154"/>
        <v>43749.201468888881</v>
      </c>
    </row>
    <row r="9917" spans="1:10" x14ac:dyDescent="0.25">
      <c r="A9917" s="7" t="s">
        <v>45471</v>
      </c>
      <c r="B9917" s="8">
        <v>393.75</v>
      </c>
      <c r="C9917" s="8">
        <v>20.426300000000001</v>
      </c>
      <c r="D9917" s="8">
        <v>55</v>
      </c>
      <c r="E9917" s="8">
        <v>0</v>
      </c>
      <c r="F9917" s="8">
        <v>0</v>
      </c>
      <c r="G9917" s="8">
        <v>2</v>
      </c>
      <c r="H9917" s="8" t="s">
        <v>45472</v>
      </c>
      <c r="I9917" s="8">
        <v>526.6875</v>
      </c>
      <c r="J9917" s="3">
        <f t="shared" si="154"/>
        <v>43749.201552534716</v>
      </c>
    </row>
    <row r="9918" spans="1:10" x14ac:dyDescent="0.25">
      <c r="A9918" s="5" t="s">
        <v>45473</v>
      </c>
      <c r="B9918" s="6">
        <v>393.75</v>
      </c>
      <c r="C9918" s="6">
        <v>20.478950000000001</v>
      </c>
      <c r="D9918" s="6">
        <v>56</v>
      </c>
      <c r="E9918" s="6">
        <v>0</v>
      </c>
      <c r="F9918" s="6">
        <v>0</v>
      </c>
      <c r="G9918" s="6">
        <v>7</v>
      </c>
      <c r="H9918" s="6" t="s">
        <v>45474</v>
      </c>
      <c r="I9918" s="6">
        <v>526.6875</v>
      </c>
      <c r="J9918" s="2">
        <f t="shared" si="154"/>
        <v>43749.201636041667</v>
      </c>
    </row>
    <row r="9919" spans="1:10" x14ac:dyDescent="0.25">
      <c r="A9919" s="7" t="s">
        <v>45475</v>
      </c>
      <c r="B9919" s="8">
        <v>393.75</v>
      </c>
      <c r="C9919" s="8">
        <v>20.478950000000001</v>
      </c>
      <c r="D9919" s="8">
        <v>57</v>
      </c>
      <c r="E9919" s="8">
        <v>0</v>
      </c>
      <c r="F9919" s="8">
        <v>0</v>
      </c>
      <c r="G9919" s="8">
        <v>6</v>
      </c>
      <c r="H9919" s="8" t="s">
        <v>45476</v>
      </c>
      <c r="I9919" s="8">
        <v>526.6875</v>
      </c>
      <c r="J9919" s="3">
        <f t="shared" si="154"/>
        <v>43749.201719108794</v>
      </c>
    </row>
    <row r="9920" spans="1:10" x14ac:dyDescent="0.25">
      <c r="A9920" s="5" t="s">
        <v>45477</v>
      </c>
      <c r="B9920" s="6">
        <v>393.75</v>
      </c>
      <c r="C9920" s="6">
        <v>20.478950000000001</v>
      </c>
      <c r="D9920" s="6">
        <v>57</v>
      </c>
      <c r="E9920" s="6">
        <v>0</v>
      </c>
      <c r="F9920" s="6">
        <v>0</v>
      </c>
      <c r="G9920" s="6">
        <v>9</v>
      </c>
      <c r="H9920" s="6" t="s">
        <v>45478</v>
      </c>
      <c r="I9920" s="6">
        <v>526.6875</v>
      </c>
      <c r="J9920" s="2">
        <f t="shared" si="154"/>
        <v>43749.201791018517</v>
      </c>
    </row>
    <row r="9921" spans="1:10" x14ac:dyDescent="0.25">
      <c r="A9921" s="7" t="s">
        <v>45479</v>
      </c>
      <c r="B9921" s="8">
        <v>412.5</v>
      </c>
      <c r="C9921" s="8">
        <v>20.478950000000001</v>
      </c>
      <c r="D9921" s="8">
        <v>56</v>
      </c>
      <c r="E9921" s="8">
        <v>0</v>
      </c>
      <c r="F9921" s="8">
        <v>0</v>
      </c>
      <c r="G9921" s="8">
        <v>12</v>
      </c>
      <c r="H9921" s="8" t="s">
        <v>45480</v>
      </c>
      <c r="I9921" s="8">
        <v>532.125</v>
      </c>
      <c r="J9921" s="3">
        <f t="shared" si="154"/>
        <v>43749.201874467595</v>
      </c>
    </row>
    <row r="9922" spans="1:10" x14ac:dyDescent="0.25">
      <c r="A9922" s="5" t="s">
        <v>45481</v>
      </c>
      <c r="B9922" s="6">
        <v>393.75</v>
      </c>
      <c r="C9922" s="6">
        <v>20.478950000000001</v>
      </c>
      <c r="D9922" s="6">
        <v>55</v>
      </c>
      <c r="E9922" s="6">
        <v>0</v>
      </c>
      <c r="F9922" s="6">
        <v>0</v>
      </c>
      <c r="G9922" s="6">
        <v>0</v>
      </c>
      <c r="H9922" s="6" t="s">
        <v>45482</v>
      </c>
      <c r="I9922" s="6">
        <v>526.5</v>
      </c>
      <c r="J9922" s="2">
        <f t="shared" ref="J9922:J9985" si="155">(H9922/86400000)+25569+(7/24)</f>
        <v>43749.201957916659</v>
      </c>
    </row>
    <row r="9923" spans="1:10" x14ac:dyDescent="0.25">
      <c r="A9923" s="7" t="s">
        <v>45483</v>
      </c>
      <c r="B9923" s="8">
        <v>393.75</v>
      </c>
      <c r="C9923" s="8">
        <v>20.478950000000001</v>
      </c>
      <c r="D9923" s="8">
        <v>54</v>
      </c>
      <c r="E9923" s="8">
        <v>0</v>
      </c>
      <c r="F9923" s="8">
        <v>0</v>
      </c>
      <c r="G9923" s="8">
        <v>6</v>
      </c>
      <c r="H9923" s="8" t="s">
        <v>45484</v>
      </c>
      <c r="I9923" s="8">
        <v>526.6875</v>
      </c>
      <c r="J9923" s="3">
        <f t="shared" si="155"/>
        <v>43749.202041504628</v>
      </c>
    </row>
    <row r="9924" spans="1:10" x14ac:dyDescent="0.25">
      <c r="A9924" s="5" t="s">
        <v>45485</v>
      </c>
      <c r="B9924" s="6">
        <v>393.75</v>
      </c>
      <c r="C9924" s="6">
        <v>20.478950000000001</v>
      </c>
      <c r="D9924" s="6">
        <v>54</v>
      </c>
      <c r="E9924" s="6">
        <v>0</v>
      </c>
      <c r="F9924" s="6">
        <v>0</v>
      </c>
      <c r="G9924" s="6">
        <v>8</v>
      </c>
      <c r="H9924" s="6" t="s">
        <v>45486</v>
      </c>
      <c r="I9924" s="6">
        <v>526.6875</v>
      </c>
      <c r="J9924" s="2">
        <f t="shared" si="155"/>
        <v>43749.202112997686</v>
      </c>
    </row>
    <row r="9925" spans="1:10" x14ac:dyDescent="0.25">
      <c r="A9925" s="7" t="s">
        <v>45487</v>
      </c>
      <c r="B9925" s="8">
        <v>393.75</v>
      </c>
      <c r="C9925" s="8">
        <v>20.478950000000001</v>
      </c>
      <c r="D9925" s="8">
        <v>55</v>
      </c>
      <c r="E9925" s="8">
        <v>0</v>
      </c>
      <c r="F9925" s="8">
        <v>0</v>
      </c>
      <c r="G9925" s="8">
        <v>7</v>
      </c>
      <c r="H9925" s="8" t="s">
        <v>45488</v>
      </c>
      <c r="I9925" s="8">
        <v>526.5</v>
      </c>
      <c r="J9925" s="3">
        <f t="shared" si="155"/>
        <v>43749.202196446757</v>
      </c>
    </row>
    <row r="9926" spans="1:10" x14ac:dyDescent="0.25">
      <c r="A9926" s="5" t="s">
        <v>45489</v>
      </c>
      <c r="B9926" s="6">
        <v>415.625</v>
      </c>
      <c r="C9926" s="6">
        <v>20.426300000000001</v>
      </c>
      <c r="D9926" s="6">
        <v>55</v>
      </c>
      <c r="E9926" s="6">
        <v>0</v>
      </c>
      <c r="F9926" s="6">
        <v>0</v>
      </c>
      <c r="G9926" s="6">
        <v>7</v>
      </c>
      <c r="H9926" s="6" t="s">
        <v>45490</v>
      </c>
      <c r="I9926" s="6">
        <v>533.4375</v>
      </c>
      <c r="J9926" s="2">
        <f t="shared" si="155"/>
        <v>43749.202267673609</v>
      </c>
    </row>
    <row r="9927" spans="1:10" x14ac:dyDescent="0.25">
      <c r="A9927" s="7" t="s">
        <v>45491</v>
      </c>
      <c r="B9927" s="8">
        <v>393.75</v>
      </c>
      <c r="C9927" s="8">
        <v>20.478950000000001</v>
      </c>
      <c r="D9927" s="8">
        <v>54</v>
      </c>
      <c r="E9927" s="8">
        <v>0</v>
      </c>
      <c r="F9927" s="8">
        <v>0</v>
      </c>
      <c r="G9927" s="8">
        <v>9</v>
      </c>
      <c r="H9927" s="8" t="s">
        <v>45492</v>
      </c>
      <c r="I9927" s="8">
        <v>526.6875</v>
      </c>
      <c r="J9927" s="3">
        <f t="shared" si="155"/>
        <v>43749.202339467585</v>
      </c>
    </row>
    <row r="9928" spans="1:10" x14ac:dyDescent="0.25">
      <c r="A9928" s="5" t="s">
        <v>45493</v>
      </c>
      <c r="B9928" s="6">
        <v>393.75</v>
      </c>
      <c r="C9928" s="6">
        <v>20.478950000000001</v>
      </c>
      <c r="D9928" s="6">
        <v>53</v>
      </c>
      <c r="E9928" s="6">
        <v>0</v>
      </c>
      <c r="F9928" s="6">
        <v>0</v>
      </c>
      <c r="G9928" s="6">
        <v>15</v>
      </c>
      <c r="H9928" s="6" t="s">
        <v>45494</v>
      </c>
      <c r="I9928" s="6">
        <v>526.6875</v>
      </c>
      <c r="J9928" s="2">
        <f t="shared" si="155"/>
        <v>43749.202411018516</v>
      </c>
    </row>
    <row r="9929" spans="1:10" x14ac:dyDescent="0.25">
      <c r="A9929" s="7" t="s">
        <v>45495</v>
      </c>
      <c r="B9929" s="8">
        <v>393.75</v>
      </c>
      <c r="C9929" s="8">
        <v>20.478950000000001</v>
      </c>
      <c r="D9929" s="8">
        <v>54</v>
      </c>
      <c r="E9929" s="8">
        <v>0</v>
      </c>
      <c r="F9929" s="8">
        <v>0</v>
      </c>
      <c r="G9929" s="8">
        <v>6</v>
      </c>
      <c r="H9929" s="8" t="s">
        <v>45496</v>
      </c>
      <c r="I9929" s="8">
        <v>526.6875</v>
      </c>
      <c r="J9929" s="3">
        <f t="shared" si="155"/>
        <v>43749.202494606478</v>
      </c>
    </row>
    <row r="9930" spans="1:10" x14ac:dyDescent="0.25">
      <c r="A9930" s="5" t="s">
        <v>45497</v>
      </c>
      <c r="B9930" s="6">
        <v>393.75</v>
      </c>
      <c r="C9930" s="6">
        <v>20.478950000000001</v>
      </c>
      <c r="D9930" s="6">
        <v>54</v>
      </c>
      <c r="E9930" s="6">
        <v>0</v>
      </c>
      <c r="F9930" s="6">
        <v>0</v>
      </c>
      <c r="G9930" s="6">
        <v>13</v>
      </c>
      <c r="H9930" s="6" t="s">
        <v>45498</v>
      </c>
      <c r="I9930" s="6">
        <v>526.6875</v>
      </c>
      <c r="J9930" s="2">
        <f t="shared" si="155"/>
        <v>43749.20257804398</v>
      </c>
    </row>
    <row r="9931" spans="1:10" x14ac:dyDescent="0.25">
      <c r="A9931" s="7" t="s">
        <v>45499</v>
      </c>
      <c r="B9931" s="8">
        <v>393.75</v>
      </c>
      <c r="C9931" s="8">
        <v>20.478950000000001</v>
      </c>
      <c r="D9931" s="8">
        <v>53</v>
      </c>
      <c r="E9931" s="8">
        <v>0</v>
      </c>
      <c r="F9931" s="8">
        <v>0</v>
      </c>
      <c r="G9931" s="8">
        <v>9</v>
      </c>
      <c r="H9931" s="8" t="s">
        <v>45500</v>
      </c>
      <c r="I9931" s="8">
        <v>526.5</v>
      </c>
      <c r="J9931" s="3">
        <f t="shared" si="155"/>
        <v>43749.20264949074</v>
      </c>
    </row>
    <row r="9932" spans="1:10" x14ac:dyDescent="0.25">
      <c r="A9932" s="5" t="s">
        <v>45501</v>
      </c>
      <c r="B9932" s="6">
        <v>393.75</v>
      </c>
      <c r="C9932" s="6">
        <v>20.478950000000001</v>
      </c>
      <c r="D9932" s="6">
        <v>53</v>
      </c>
      <c r="E9932" s="6">
        <v>0</v>
      </c>
      <c r="F9932" s="6">
        <v>0</v>
      </c>
      <c r="G9932" s="6">
        <v>10</v>
      </c>
      <c r="H9932" s="6" t="s">
        <v>45502</v>
      </c>
      <c r="I9932" s="6">
        <v>526.6875</v>
      </c>
      <c r="J9932" s="2">
        <f t="shared" si="155"/>
        <v>43749.202721215275</v>
      </c>
    </row>
    <row r="9933" spans="1:10" x14ac:dyDescent="0.25">
      <c r="A9933" s="7" t="s">
        <v>45503</v>
      </c>
      <c r="B9933" s="8">
        <v>412.5</v>
      </c>
      <c r="C9933" s="8">
        <v>20.426300000000001</v>
      </c>
      <c r="D9933" s="8">
        <v>54</v>
      </c>
      <c r="E9933" s="8">
        <v>0</v>
      </c>
      <c r="F9933" s="8">
        <v>0</v>
      </c>
      <c r="G9933" s="8">
        <v>11</v>
      </c>
      <c r="H9933" s="8" t="s">
        <v>45504</v>
      </c>
      <c r="I9933" s="8">
        <v>532.3125</v>
      </c>
      <c r="J9933" s="3">
        <f t="shared" si="155"/>
        <v>43749.202804305554</v>
      </c>
    </row>
    <row r="9934" spans="1:10" x14ac:dyDescent="0.25">
      <c r="A9934" s="5" t="s">
        <v>45505</v>
      </c>
      <c r="B9934" s="6">
        <v>393.75</v>
      </c>
      <c r="C9934" s="6">
        <v>20.478950000000001</v>
      </c>
      <c r="D9934" s="6">
        <v>54</v>
      </c>
      <c r="E9934" s="6">
        <v>0</v>
      </c>
      <c r="F9934" s="6">
        <v>0</v>
      </c>
      <c r="G9934" s="6">
        <v>1</v>
      </c>
      <c r="H9934" s="6" t="s">
        <v>45506</v>
      </c>
      <c r="I9934" s="6">
        <v>526.6875</v>
      </c>
      <c r="J9934" s="2">
        <f t="shared" si="155"/>
        <v>43749.20288986111</v>
      </c>
    </row>
    <row r="9935" spans="1:10" x14ac:dyDescent="0.25">
      <c r="A9935" s="7" t="s">
        <v>45507</v>
      </c>
      <c r="B9935" s="8">
        <v>393.75</v>
      </c>
      <c r="C9935" s="8">
        <v>20.478950000000001</v>
      </c>
      <c r="D9935" s="8">
        <v>54</v>
      </c>
      <c r="E9935" s="8">
        <v>0</v>
      </c>
      <c r="F9935" s="8">
        <v>0</v>
      </c>
      <c r="G9935" s="8">
        <v>12</v>
      </c>
      <c r="H9935" s="8" t="s">
        <v>45508</v>
      </c>
      <c r="I9935" s="8">
        <v>526.6875</v>
      </c>
      <c r="J9935" s="3">
        <f t="shared" si="155"/>
        <v>43749.202959363429</v>
      </c>
    </row>
    <row r="9936" spans="1:10" x14ac:dyDescent="0.25">
      <c r="A9936" s="5" t="s">
        <v>45509</v>
      </c>
      <c r="B9936" s="6">
        <v>393.75</v>
      </c>
      <c r="C9936" s="6">
        <v>20.478950000000001</v>
      </c>
      <c r="D9936" s="6">
        <v>55</v>
      </c>
      <c r="E9936" s="6">
        <v>0</v>
      </c>
      <c r="F9936" s="6">
        <v>0</v>
      </c>
      <c r="G9936" s="6">
        <v>17</v>
      </c>
      <c r="H9936" s="6" t="s">
        <v>45510</v>
      </c>
      <c r="I9936" s="6">
        <v>526.6875</v>
      </c>
      <c r="J9936" s="2">
        <f t="shared" si="155"/>
        <v>43749.203043171299</v>
      </c>
    </row>
    <row r="9937" spans="1:10" x14ac:dyDescent="0.25">
      <c r="A9937" s="7" t="s">
        <v>45511</v>
      </c>
      <c r="B9937" s="8">
        <v>393.75</v>
      </c>
      <c r="C9937" s="8">
        <v>20.478950000000001</v>
      </c>
      <c r="D9937" s="8">
        <v>55</v>
      </c>
      <c r="E9937" s="8">
        <v>0</v>
      </c>
      <c r="F9937" s="8">
        <v>0</v>
      </c>
      <c r="G9937" s="8">
        <v>12</v>
      </c>
      <c r="H9937" s="8" t="s">
        <v>45512</v>
      </c>
      <c r="I9937" s="8">
        <v>526.6875</v>
      </c>
      <c r="J9937" s="3">
        <f t="shared" si="155"/>
        <v>43749.203126504632</v>
      </c>
    </row>
    <row r="9938" spans="1:10" x14ac:dyDescent="0.25">
      <c r="A9938" s="5" t="s">
        <v>45513</v>
      </c>
      <c r="B9938" s="6">
        <v>431.25</v>
      </c>
      <c r="C9938" s="6">
        <v>20.478950000000001</v>
      </c>
      <c r="D9938" s="6">
        <v>55</v>
      </c>
      <c r="E9938" s="6">
        <v>0</v>
      </c>
      <c r="F9938" s="6">
        <v>0</v>
      </c>
      <c r="G9938" s="6">
        <v>1</v>
      </c>
      <c r="H9938" s="6" t="s">
        <v>45514</v>
      </c>
      <c r="I9938" s="6">
        <v>538.6875</v>
      </c>
      <c r="J9938" s="2">
        <f t="shared" si="155"/>
        <v>43749.203198194438</v>
      </c>
    </row>
    <row r="9939" spans="1:10" x14ac:dyDescent="0.25">
      <c r="A9939" s="7" t="s">
        <v>45515</v>
      </c>
      <c r="B9939" s="8">
        <v>393.75</v>
      </c>
      <c r="C9939" s="8">
        <v>20.426300000000001</v>
      </c>
      <c r="D9939" s="8">
        <v>54</v>
      </c>
      <c r="E9939" s="8">
        <v>0</v>
      </c>
      <c r="F9939" s="8">
        <v>0</v>
      </c>
      <c r="G9939" s="8">
        <v>17</v>
      </c>
      <c r="H9939" s="8" t="s">
        <v>45516</v>
      </c>
      <c r="I9939" s="8">
        <v>526.5</v>
      </c>
      <c r="J9939" s="3">
        <f t="shared" si="155"/>
        <v>43749.203281574075</v>
      </c>
    </row>
    <row r="9940" spans="1:10" x14ac:dyDescent="0.25">
      <c r="A9940" s="5" t="s">
        <v>45517</v>
      </c>
      <c r="B9940" s="6">
        <v>393.75</v>
      </c>
      <c r="C9940" s="6">
        <v>20.478950000000001</v>
      </c>
      <c r="D9940" s="6">
        <v>55</v>
      </c>
      <c r="E9940" s="6">
        <v>0</v>
      </c>
      <c r="F9940" s="6">
        <v>0</v>
      </c>
      <c r="G9940" s="6">
        <v>13</v>
      </c>
      <c r="H9940" s="6" t="s">
        <v>45518</v>
      </c>
      <c r="I9940" s="6">
        <v>526.5</v>
      </c>
      <c r="J9940" s="2">
        <f t="shared" si="155"/>
        <v>43749.203353333331</v>
      </c>
    </row>
    <row r="9941" spans="1:10" x14ac:dyDescent="0.25">
      <c r="A9941" s="7" t="s">
        <v>45519</v>
      </c>
      <c r="B9941" s="8">
        <v>412.5</v>
      </c>
      <c r="C9941" s="8">
        <v>20.478950000000001</v>
      </c>
      <c r="D9941" s="8">
        <v>54</v>
      </c>
      <c r="E9941" s="8">
        <v>0</v>
      </c>
      <c r="F9941" s="8">
        <v>0</v>
      </c>
      <c r="G9941" s="8">
        <v>7</v>
      </c>
      <c r="H9941" s="8" t="s">
        <v>45520</v>
      </c>
      <c r="I9941" s="8">
        <v>532.5</v>
      </c>
      <c r="J9941" s="3">
        <f t="shared" si="155"/>
        <v>43749.203436736112</v>
      </c>
    </row>
    <row r="9942" spans="1:10" x14ac:dyDescent="0.25">
      <c r="A9942" s="5" t="s">
        <v>45521</v>
      </c>
      <c r="B9942" s="6">
        <v>393.75</v>
      </c>
      <c r="C9942" s="6">
        <v>20.478950000000001</v>
      </c>
      <c r="D9942" s="6">
        <v>54</v>
      </c>
      <c r="E9942" s="6">
        <v>0</v>
      </c>
      <c r="F9942" s="6">
        <v>0</v>
      </c>
      <c r="G9942" s="6">
        <v>0</v>
      </c>
      <c r="H9942" s="6" t="s">
        <v>45522</v>
      </c>
      <c r="I9942" s="6">
        <v>526.6875</v>
      </c>
      <c r="J9942" s="2">
        <f t="shared" si="155"/>
        <v>43749.203508101848</v>
      </c>
    </row>
    <row r="9943" spans="1:10" x14ac:dyDescent="0.25">
      <c r="A9943" s="7" t="s">
        <v>45523</v>
      </c>
      <c r="B9943" s="8">
        <v>393.75</v>
      </c>
      <c r="C9943" s="8">
        <v>20.426300000000001</v>
      </c>
      <c r="D9943" s="8">
        <v>54</v>
      </c>
      <c r="E9943" s="8">
        <v>0</v>
      </c>
      <c r="F9943" s="8">
        <v>0</v>
      </c>
      <c r="G9943" s="8">
        <v>7</v>
      </c>
      <c r="H9943" s="8" t="s">
        <v>45524</v>
      </c>
      <c r="I9943" s="8">
        <v>526.6875</v>
      </c>
      <c r="J9943" s="3">
        <f t="shared" si="155"/>
        <v>43749.203579780085</v>
      </c>
    </row>
    <row r="9944" spans="1:10" x14ac:dyDescent="0.25">
      <c r="A9944" s="5" t="s">
        <v>45525</v>
      </c>
      <c r="B9944" s="6">
        <v>393.75</v>
      </c>
      <c r="C9944" s="6">
        <v>20.478950000000001</v>
      </c>
      <c r="D9944" s="6">
        <v>53</v>
      </c>
      <c r="E9944" s="6">
        <v>0</v>
      </c>
      <c r="F9944" s="6">
        <v>0</v>
      </c>
      <c r="G9944" s="6">
        <v>5</v>
      </c>
      <c r="H9944" s="6" t="s">
        <v>45526</v>
      </c>
      <c r="I9944" s="6">
        <v>526.6875</v>
      </c>
      <c r="J9944" s="2">
        <f t="shared" si="155"/>
        <v>43749.203663333326</v>
      </c>
    </row>
    <row r="9945" spans="1:10" x14ac:dyDescent="0.25">
      <c r="A9945" s="7" t="s">
        <v>45527</v>
      </c>
      <c r="B9945" s="8">
        <v>393.75</v>
      </c>
      <c r="C9945" s="8">
        <v>20.478950000000001</v>
      </c>
      <c r="D9945" s="8">
        <v>54</v>
      </c>
      <c r="E9945" s="8">
        <v>0</v>
      </c>
      <c r="F9945" s="8">
        <v>0</v>
      </c>
      <c r="G9945" s="8">
        <v>7</v>
      </c>
      <c r="H9945" s="8" t="s">
        <v>45528</v>
      </c>
      <c r="I9945" s="8">
        <v>526.6875</v>
      </c>
      <c r="J9945" s="3">
        <f t="shared" si="155"/>
        <v>43749.203734594907</v>
      </c>
    </row>
    <row r="9946" spans="1:10" x14ac:dyDescent="0.25">
      <c r="A9946" s="5" t="s">
        <v>45529</v>
      </c>
      <c r="B9946" s="6">
        <v>393.75</v>
      </c>
      <c r="C9946" s="6">
        <v>20.478950000000001</v>
      </c>
      <c r="D9946" s="6">
        <v>53</v>
      </c>
      <c r="E9946" s="6">
        <v>0</v>
      </c>
      <c r="F9946" s="6">
        <v>0</v>
      </c>
      <c r="G9946" s="6">
        <v>7</v>
      </c>
      <c r="H9946" s="6" t="s">
        <v>45530</v>
      </c>
      <c r="I9946" s="6">
        <v>526.5</v>
      </c>
      <c r="J9946" s="2">
        <f t="shared" si="155"/>
        <v>43749.203806412035</v>
      </c>
    </row>
    <row r="9947" spans="1:10" x14ac:dyDescent="0.25">
      <c r="A9947" s="7" t="s">
        <v>45531</v>
      </c>
      <c r="B9947" s="8">
        <v>393.75</v>
      </c>
      <c r="C9947" s="8">
        <v>20.478950000000001</v>
      </c>
      <c r="D9947" s="8">
        <v>53</v>
      </c>
      <c r="E9947" s="8">
        <v>0</v>
      </c>
      <c r="F9947" s="8">
        <v>0</v>
      </c>
      <c r="G9947" s="8">
        <v>5</v>
      </c>
      <c r="H9947" s="8" t="s">
        <v>45532</v>
      </c>
      <c r="I9947" s="8">
        <v>526.6875</v>
      </c>
      <c r="J9947" s="3">
        <f t="shared" si="155"/>
        <v>43749.203894166661</v>
      </c>
    </row>
    <row r="9948" spans="1:10" x14ac:dyDescent="0.25">
      <c r="A9948" s="5" t="s">
        <v>45533</v>
      </c>
      <c r="B9948" s="6">
        <v>393.75</v>
      </c>
      <c r="C9948" s="6">
        <v>20.478950000000001</v>
      </c>
      <c r="D9948" s="6">
        <v>56</v>
      </c>
      <c r="E9948" s="6">
        <v>0</v>
      </c>
      <c r="F9948" s="6">
        <v>0</v>
      </c>
      <c r="G9948" s="6">
        <v>6</v>
      </c>
      <c r="H9948" s="6" t="s">
        <v>45534</v>
      </c>
      <c r="I9948" s="6">
        <v>526.6875</v>
      </c>
      <c r="J9948" s="2">
        <f t="shared" si="155"/>
        <v>43749.203973240736</v>
      </c>
    </row>
    <row r="9949" spans="1:10" x14ac:dyDescent="0.25">
      <c r="A9949" s="7" t="s">
        <v>45535</v>
      </c>
      <c r="B9949" s="8">
        <v>393.75</v>
      </c>
      <c r="C9949" s="8">
        <v>20.478950000000001</v>
      </c>
      <c r="D9949" s="8">
        <v>56</v>
      </c>
      <c r="E9949" s="8">
        <v>0</v>
      </c>
      <c r="F9949" s="8">
        <v>0</v>
      </c>
      <c r="G9949" s="8">
        <v>6</v>
      </c>
      <c r="H9949" s="8" t="s">
        <v>45536</v>
      </c>
      <c r="I9949" s="8">
        <v>526.5</v>
      </c>
      <c r="J9949" s="3">
        <f t="shared" si="155"/>
        <v>43749.204056979164</v>
      </c>
    </row>
    <row r="9950" spans="1:10" x14ac:dyDescent="0.25">
      <c r="A9950" s="5" t="s">
        <v>45537</v>
      </c>
      <c r="B9950" s="6">
        <v>393.75</v>
      </c>
      <c r="C9950" s="6">
        <v>20.478950000000001</v>
      </c>
      <c r="D9950" s="6">
        <v>55</v>
      </c>
      <c r="E9950" s="6">
        <v>0</v>
      </c>
      <c r="F9950" s="6">
        <v>0</v>
      </c>
      <c r="G9950" s="6">
        <v>5</v>
      </c>
      <c r="H9950" s="6" t="s">
        <v>45538</v>
      </c>
      <c r="I9950" s="6">
        <v>526.6875</v>
      </c>
      <c r="J9950" s="2">
        <f t="shared" si="155"/>
        <v>43749.204128391204</v>
      </c>
    </row>
    <row r="9951" spans="1:10" x14ac:dyDescent="0.25">
      <c r="A9951" s="7" t="s">
        <v>45539</v>
      </c>
      <c r="B9951" s="8">
        <v>393.75</v>
      </c>
      <c r="C9951" s="8">
        <v>20.478950000000001</v>
      </c>
      <c r="D9951" s="8">
        <v>54</v>
      </c>
      <c r="E9951" s="8">
        <v>0</v>
      </c>
      <c r="F9951" s="8">
        <v>0</v>
      </c>
      <c r="G9951" s="8">
        <v>5</v>
      </c>
      <c r="H9951" s="8" t="s">
        <v>45540</v>
      </c>
      <c r="I9951" s="8">
        <v>526.6875</v>
      </c>
      <c r="J9951" s="3">
        <f t="shared" si="155"/>
        <v>43749.204199930558</v>
      </c>
    </row>
    <row r="9952" spans="1:10" x14ac:dyDescent="0.25">
      <c r="A9952" s="5" t="s">
        <v>45541</v>
      </c>
      <c r="B9952" s="6">
        <v>393.75</v>
      </c>
      <c r="C9952" s="6">
        <v>20.478950000000001</v>
      </c>
      <c r="D9952" s="6">
        <v>54</v>
      </c>
      <c r="E9952" s="6">
        <v>0</v>
      </c>
      <c r="F9952" s="6">
        <v>0</v>
      </c>
      <c r="G9952" s="6">
        <v>11</v>
      </c>
      <c r="H9952" s="6" t="s">
        <v>45542</v>
      </c>
      <c r="I9952" s="6">
        <v>526.6875</v>
      </c>
      <c r="J9952" s="2">
        <f t="shared" si="155"/>
        <v>43749.204283703701</v>
      </c>
    </row>
    <row r="9953" spans="1:10" x14ac:dyDescent="0.25">
      <c r="A9953" s="7" t="s">
        <v>45543</v>
      </c>
      <c r="B9953" s="8">
        <v>393.75</v>
      </c>
      <c r="C9953" s="8">
        <v>20.478950000000001</v>
      </c>
      <c r="D9953" s="8">
        <v>55</v>
      </c>
      <c r="E9953" s="8">
        <v>0</v>
      </c>
      <c r="F9953" s="8">
        <v>0</v>
      </c>
      <c r="G9953" s="8">
        <v>14</v>
      </c>
      <c r="H9953" s="8" t="s">
        <v>45544</v>
      </c>
      <c r="I9953" s="8">
        <v>526.6875</v>
      </c>
      <c r="J9953" s="3">
        <f t="shared" si="155"/>
        <v>43749.204378587958</v>
      </c>
    </row>
    <row r="9954" spans="1:10" x14ac:dyDescent="0.25">
      <c r="A9954" s="5" t="s">
        <v>45545</v>
      </c>
      <c r="B9954" s="6">
        <v>393.75</v>
      </c>
      <c r="C9954" s="6">
        <v>20.426300000000001</v>
      </c>
      <c r="D9954" s="6">
        <v>55</v>
      </c>
      <c r="E9954" s="6">
        <v>0</v>
      </c>
      <c r="F9954" s="6">
        <v>0</v>
      </c>
      <c r="G9954" s="6">
        <v>6</v>
      </c>
      <c r="H9954" s="6" t="s">
        <v>45546</v>
      </c>
      <c r="I9954" s="6">
        <v>526.6875</v>
      </c>
      <c r="J9954" s="2">
        <f t="shared" si="155"/>
        <v>43749.204450150464</v>
      </c>
    </row>
    <row r="9955" spans="1:10" x14ac:dyDescent="0.25">
      <c r="A9955" s="7" t="s">
        <v>45547</v>
      </c>
      <c r="B9955" s="8">
        <v>393.75</v>
      </c>
      <c r="C9955" s="8">
        <v>20.478950000000001</v>
      </c>
      <c r="D9955" s="8">
        <v>56</v>
      </c>
      <c r="E9955" s="8">
        <v>0</v>
      </c>
      <c r="F9955" s="8">
        <v>0</v>
      </c>
      <c r="G9955" s="8">
        <v>14</v>
      </c>
      <c r="H9955" s="8" t="s">
        <v>45548</v>
      </c>
      <c r="I9955" s="8">
        <v>526.5</v>
      </c>
      <c r="J9955" s="3">
        <f t="shared" si="155"/>
        <v>43749.204533761571</v>
      </c>
    </row>
    <row r="9956" spans="1:10" x14ac:dyDescent="0.25">
      <c r="A9956" s="5" t="s">
        <v>45549</v>
      </c>
      <c r="B9956" s="6">
        <v>393.75</v>
      </c>
      <c r="C9956" s="6">
        <v>20.478950000000001</v>
      </c>
      <c r="D9956" s="6">
        <v>57</v>
      </c>
      <c r="E9956" s="6">
        <v>0</v>
      </c>
      <c r="F9956" s="6">
        <v>0</v>
      </c>
      <c r="G9956" s="6">
        <v>6</v>
      </c>
      <c r="H9956" s="6" t="s">
        <v>45550</v>
      </c>
      <c r="I9956" s="6">
        <v>526.6875</v>
      </c>
      <c r="J9956" s="2">
        <f t="shared" si="155"/>
        <v>43749.204605347222</v>
      </c>
    </row>
    <row r="9957" spans="1:10" x14ac:dyDescent="0.25">
      <c r="A9957" s="7" t="s">
        <v>45551</v>
      </c>
      <c r="B9957" s="8">
        <v>393.75</v>
      </c>
      <c r="C9957" s="8">
        <v>20.478950000000001</v>
      </c>
      <c r="D9957" s="8">
        <v>57</v>
      </c>
      <c r="E9957" s="8">
        <v>0</v>
      </c>
      <c r="F9957" s="8">
        <v>0</v>
      </c>
      <c r="G9957" s="8">
        <v>9</v>
      </c>
      <c r="H9957" s="8" t="s">
        <v>45552</v>
      </c>
      <c r="I9957" s="8">
        <v>526.6875</v>
      </c>
      <c r="J9957" s="3">
        <f t="shared" si="155"/>
        <v>43749.204676932866</v>
      </c>
    </row>
    <row r="9958" spans="1:10" x14ac:dyDescent="0.25">
      <c r="A9958" s="5" t="s">
        <v>45553</v>
      </c>
      <c r="B9958" s="6">
        <v>393.75</v>
      </c>
      <c r="C9958" s="6">
        <v>20.478950000000001</v>
      </c>
      <c r="D9958" s="6">
        <v>55</v>
      </c>
      <c r="E9958" s="6">
        <v>0</v>
      </c>
      <c r="F9958" s="6">
        <v>0</v>
      </c>
      <c r="G9958" s="6">
        <v>5</v>
      </c>
      <c r="H9958" s="6" t="s">
        <v>45554</v>
      </c>
      <c r="I9958" s="6">
        <v>526.6875</v>
      </c>
      <c r="J9958" s="2">
        <f t="shared" si="155"/>
        <v>43749.204759953696</v>
      </c>
    </row>
    <row r="9959" spans="1:10" x14ac:dyDescent="0.25">
      <c r="A9959" s="7" t="s">
        <v>45555</v>
      </c>
      <c r="B9959" s="8">
        <v>412.5</v>
      </c>
      <c r="C9959" s="8">
        <v>20.478950000000001</v>
      </c>
      <c r="D9959" s="8">
        <v>55</v>
      </c>
      <c r="E9959" s="8">
        <v>0</v>
      </c>
      <c r="F9959" s="8">
        <v>0</v>
      </c>
      <c r="G9959" s="8">
        <v>5</v>
      </c>
      <c r="H9959" s="8" t="s">
        <v>45556</v>
      </c>
      <c r="I9959" s="8">
        <v>532.3125</v>
      </c>
      <c r="J9959" s="3">
        <f t="shared" si="155"/>
        <v>43749.204832013886</v>
      </c>
    </row>
    <row r="9960" spans="1:10" x14ac:dyDescent="0.25">
      <c r="A9960" s="5" t="s">
        <v>45557</v>
      </c>
      <c r="B9960" s="6">
        <v>393.75</v>
      </c>
      <c r="C9960" s="6">
        <v>20.478950000000001</v>
      </c>
      <c r="D9960" s="6">
        <v>55</v>
      </c>
      <c r="E9960" s="6">
        <v>0</v>
      </c>
      <c r="F9960" s="6">
        <v>0</v>
      </c>
      <c r="G9960" s="6">
        <v>13</v>
      </c>
      <c r="H9960" s="6" t="s">
        <v>45558</v>
      </c>
      <c r="I9960" s="6">
        <v>526.6875</v>
      </c>
      <c r="J9960" s="2">
        <f t="shared" si="155"/>
        <v>43749.204903414349</v>
      </c>
    </row>
    <row r="9961" spans="1:10" x14ac:dyDescent="0.25">
      <c r="A9961" s="7" t="s">
        <v>45559</v>
      </c>
      <c r="B9961" s="8">
        <v>393.75</v>
      </c>
      <c r="C9961" s="8">
        <v>20.478950000000001</v>
      </c>
      <c r="D9961" s="8">
        <v>56</v>
      </c>
      <c r="E9961" s="8">
        <v>0</v>
      </c>
      <c r="F9961" s="8">
        <v>0</v>
      </c>
      <c r="G9961" s="8">
        <v>6</v>
      </c>
      <c r="H9961" s="8" t="s">
        <v>45560</v>
      </c>
      <c r="I9961" s="8">
        <v>526.6875</v>
      </c>
      <c r="J9961" s="3">
        <f t="shared" si="155"/>
        <v>43749.204974745364</v>
      </c>
    </row>
    <row r="9962" spans="1:10" x14ac:dyDescent="0.25">
      <c r="A9962" s="5" t="s">
        <v>45561</v>
      </c>
      <c r="B9962" s="6">
        <v>393.75</v>
      </c>
      <c r="C9962" s="6">
        <v>20.478950000000001</v>
      </c>
      <c r="D9962" s="6">
        <v>56</v>
      </c>
      <c r="E9962" s="6">
        <v>0</v>
      </c>
      <c r="F9962" s="6">
        <v>0</v>
      </c>
      <c r="G9962" s="6">
        <v>5</v>
      </c>
      <c r="H9962" s="6" t="s">
        <v>45562</v>
      </c>
      <c r="I9962" s="6">
        <v>526.6875</v>
      </c>
      <c r="J9962" s="2">
        <f t="shared" si="155"/>
        <v>43749.205046574069</v>
      </c>
    </row>
    <row r="9963" spans="1:10" x14ac:dyDescent="0.25">
      <c r="A9963" s="7" t="s">
        <v>45563</v>
      </c>
      <c r="B9963" s="8">
        <v>418.75</v>
      </c>
      <c r="C9963" s="8">
        <v>20.478950000000001</v>
      </c>
      <c r="D9963" s="8">
        <v>56</v>
      </c>
      <c r="E9963" s="8">
        <v>0</v>
      </c>
      <c r="F9963" s="8">
        <v>0</v>
      </c>
      <c r="G9963" s="8">
        <v>15</v>
      </c>
      <c r="H9963" s="8" t="s">
        <v>45564</v>
      </c>
      <c r="I9963" s="8">
        <v>534.375</v>
      </c>
      <c r="J9963" s="3">
        <f t="shared" si="155"/>
        <v>43749.205118217586</v>
      </c>
    </row>
    <row r="9964" spans="1:10" x14ac:dyDescent="0.25">
      <c r="A9964" s="5" t="s">
        <v>45565</v>
      </c>
      <c r="B9964" s="6">
        <v>393.75</v>
      </c>
      <c r="C9964" s="6">
        <v>20.478950000000001</v>
      </c>
      <c r="D9964" s="6">
        <v>57</v>
      </c>
      <c r="E9964" s="6">
        <v>0</v>
      </c>
      <c r="F9964" s="6">
        <v>0</v>
      </c>
      <c r="G9964" s="6">
        <v>0</v>
      </c>
      <c r="H9964" s="6" t="s">
        <v>45566</v>
      </c>
      <c r="I9964" s="6">
        <v>526.6875</v>
      </c>
      <c r="J9964" s="2">
        <f t="shared" si="155"/>
        <v>43749.205189548607</v>
      </c>
    </row>
    <row r="9965" spans="1:10" x14ac:dyDescent="0.25">
      <c r="A9965" s="7" t="s">
        <v>45567</v>
      </c>
      <c r="B9965" s="8">
        <v>393.75</v>
      </c>
      <c r="C9965" s="8">
        <v>20.478950000000001</v>
      </c>
      <c r="D9965" s="8">
        <v>58</v>
      </c>
      <c r="E9965" s="8">
        <v>0</v>
      </c>
      <c r="F9965" s="8">
        <v>0</v>
      </c>
      <c r="G9965" s="8">
        <v>11</v>
      </c>
      <c r="H9965" s="8" t="s">
        <v>45568</v>
      </c>
      <c r="I9965" s="8">
        <v>526.6875</v>
      </c>
      <c r="J9965" s="3">
        <f t="shared" si="155"/>
        <v>43749.205261249997</v>
      </c>
    </row>
    <row r="9966" spans="1:10" x14ac:dyDescent="0.25">
      <c r="A9966" s="5" t="s">
        <v>45569</v>
      </c>
      <c r="B9966" s="6">
        <v>393.75</v>
      </c>
      <c r="C9966" s="6">
        <v>20.426300000000001</v>
      </c>
      <c r="D9966" s="6">
        <v>53</v>
      </c>
      <c r="E9966" s="6">
        <v>0</v>
      </c>
      <c r="F9966" s="6">
        <v>0</v>
      </c>
      <c r="G9966" s="6">
        <v>10</v>
      </c>
      <c r="H9966" s="6" t="s">
        <v>45570</v>
      </c>
      <c r="I9966" s="6">
        <v>526.6875</v>
      </c>
      <c r="J9966" s="2">
        <f t="shared" si="155"/>
        <v>43749.205344722221</v>
      </c>
    </row>
    <row r="9967" spans="1:10" x14ac:dyDescent="0.25">
      <c r="A9967" s="7" t="s">
        <v>45571</v>
      </c>
      <c r="B9967" s="8">
        <v>393.75</v>
      </c>
      <c r="C9967" s="8">
        <v>20.426300000000001</v>
      </c>
      <c r="D9967" s="8">
        <v>53</v>
      </c>
      <c r="E9967" s="8">
        <v>0</v>
      </c>
      <c r="F9967" s="8">
        <v>0</v>
      </c>
      <c r="G9967" s="8">
        <v>3</v>
      </c>
      <c r="H9967" s="8" t="s">
        <v>45572</v>
      </c>
      <c r="I9967" s="8">
        <v>526.5</v>
      </c>
      <c r="J9967" s="3">
        <f t="shared" si="155"/>
        <v>43749.205416354169</v>
      </c>
    </row>
    <row r="9968" spans="1:10" x14ac:dyDescent="0.25">
      <c r="A9968" s="5" t="s">
        <v>45573</v>
      </c>
      <c r="B9968" s="6">
        <v>393.75</v>
      </c>
      <c r="C9968" s="6">
        <v>20.478950000000001</v>
      </c>
      <c r="D9968" s="6">
        <v>54</v>
      </c>
      <c r="E9968" s="6">
        <v>0</v>
      </c>
      <c r="F9968" s="6">
        <v>0</v>
      </c>
      <c r="G9968" s="6">
        <v>4</v>
      </c>
      <c r="H9968" s="6" t="s">
        <v>45574</v>
      </c>
      <c r="I9968" s="6">
        <v>526.5</v>
      </c>
      <c r="J9968" s="2">
        <f t="shared" si="155"/>
        <v>43749.20551180555</v>
      </c>
    </row>
    <row r="9969" spans="1:10" x14ac:dyDescent="0.25">
      <c r="A9969" s="7" t="s">
        <v>45575</v>
      </c>
      <c r="B9969" s="8">
        <v>425</v>
      </c>
      <c r="C9969" s="8">
        <v>20.478950000000001</v>
      </c>
      <c r="D9969" s="8">
        <v>54</v>
      </c>
      <c r="E9969" s="8">
        <v>0</v>
      </c>
      <c r="F9969" s="8">
        <v>0</v>
      </c>
      <c r="G9969" s="8">
        <v>10</v>
      </c>
      <c r="H9969" s="8" t="s">
        <v>45576</v>
      </c>
      <c r="I9969" s="8">
        <v>536.4375</v>
      </c>
      <c r="J9969" s="3">
        <f t="shared" si="155"/>
        <v>43749.20558321759</v>
      </c>
    </row>
    <row r="9970" spans="1:10" x14ac:dyDescent="0.25">
      <c r="A9970" s="5" t="s">
        <v>45577</v>
      </c>
      <c r="B9970" s="6">
        <v>393.75</v>
      </c>
      <c r="C9970" s="6">
        <v>20.478950000000001</v>
      </c>
      <c r="D9970" s="6">
        <v>54</v>
      </c>
      <c r="E9970" s="6">
        <v>0</v>
      </c>
      <c r="F9970" s="6">
        <v>0</v>
      </c>
      <c r="G9970" s="6">
        <v>10</v>
      </c>
      <c r="H9970" s="6" t="s">
        <v>45578</v>
      </c>
      <c r="I9970" s="6">
        <v>526.6875</v>
      </c>
      <c r="J9970" s="2">
        <f t="shared" si="155"/>
        <v>43749.205666712958</v>
      </c>
    </row>
    <row r="9971" spans="1:10" x14ac:dyDescent="0.25">
      <c r="A9971" s="7" t="s">
        <v>45579</v>
      </c>
      <c r="B9971" s="8">
        <v>393.75</v>
      </c>
      <c r="C9971" s="8">
        <v>20.478950000000001</v>
      </c>
      <c r="D9971" s="8">
        <v>54</v>
      </c>
      <c r="E9971" s="8">
        <v>0</v>
      </c>
      <c r="F9971" s="8">
        <v>0</v>
      </c>
      <c r="G9971" s="8">
        <v>14</v>
      </c>
      <c r="H9971" s="8" t="s">
        <v>45580</v>
      </c>
      <c r="I9971" s="8">
        <v>526.6875</v>
      </c>
      <c r="J9971" s="3">
        <f t="shared" si="155"/>
        <v>43749.205750162037</v>
      </c>
    </row>
    <row r="9972" spans="1:10" x14ac:dyDescent="0.25">
      <c r="A9972" s="5" t="s">
        <v>45581</v>
      </c>
      <c r="B9972" s="6">
        <v>393.75</v>
      </c>
      <c r="C9972" s="6">
        <v>20.478950000000001</v>
      </c>
      <c r="D9972" s="6">
        <v>54</v>
      </c>
      <c r="E9972" s="6">
        <v>0</v>
      </c>
      <c r="F9972" s="6">
        <v>0</v>
      </c>
      <c r="G9972" s="6">
        <v>3</v>
      </c>
      <c r="H9972" s="6" t="s">
        <v>45582</v>
      </c>
      <c r="I9972" s="6">
        <v>526.6875</v>
      </c>
      <c r="J9972" s="2">
        <f t="shared" si="155"/>
        <v>43749.205834039349</v>
      </c>
    </row>
    <row r="9973" spans="1:10" x14ac:dyDescent="0.25">
      <c r="A9973" s="7" t="s">
        <v>45583</v>
      </c>
      <c r="B9973" s="8">
        <v>393.75</v>
      </c>
      <c r="C9973" s="8">
        <v>20.478950000000001</v>
      </c>
      <c r="D9973" s="8">
        <v>54</v>
      </c>
      <c r="E9973" s="8">
        <v>0</v>
      </c>
      <c r="F9973" s="8">
        <v>0</v>
      </c>
      <c r="G9973" s="8">
        <v>10</v>
      </c>
      <c r="H9973" s="8" t="s">
        <v>45584</v>
      </c>
      <c r="I9973" s="8">
        <v>526.6875</v>
      </c>
      <c r="J9973" s="3">
        <f t="shared" si="155"/>
        <v>43749.205904849536</v>
      </c>
    </row>
    <row r="9974" spans="1:10" x14ac:dyDescent="0.25">
      <c r="A9974" s="5" t="s">
        <v>45585</v>
      </c>
      <c r="B9974" s="6">
        <v>393.75</v>
      </c>
      <c r="C9974" s="6">
        <v>20.478950000000001</v>
      </c>
      <c r="D9974" s="6">
        <v>56</v>
      </c>
      <c r="E9974" s="6">
        <v>0</v>
      </c>
      <c r="F9974" s="6">
        <v>0</v>
      </c>
      <c r="G9974" s="6">
        <v>16</v>
      </c>
      <c r="H9974" s="6" t="s">
        <v>45586</v>
      </c>
      <c r="I9974" s="6">
        <v>526.6875</v>
      </c>
      <c r="J9974" s="2">
        <f t="shared" si="155"/>
        <v>43749.205976944439</v>
      </c>
    </row>
    <row r="9975" spans="1:10" x14ac:dyDescent="0.25">
      <c r="A9975" s="7" t="s">
        <v>45587</v>
      </c>
      <c r="B9975" s="8">
        <v>412.5</v>
      </c>
      <c r="C9975" s="8">
        <v>20.478950000000001</v>
      </c>
      <c r="D9975" s="8">
        <v>56</v>
      </c>
      <c r="E9975" s="8">
        <v>0</v>
      </c>
      <c r="F9975" s="8">
        <v>0</v>
      </c>
      <c r="G9975" s="8">
        <v>8</v>
      </c>
      <c r="H9975" s="8" t="s">
        <v>45588</v>
      </c>
      <c r="I9975" s="8">
        <v>532.875</v>
      </c>
      <c r="J9975" s="3">
        <f t="shared" si="155"/>
        <v>43749.206059849537</v>
      </c>
    </row>
    <row r="9976" spans="1:10" x14ac:dyDescent="0.25">
      <c r="A9976" s="5" t="s">
        <v>45589</v>
      </c>
      <c r="B9976" s="6">
        <v>393.75</v>
      </c>
      <c r="C9976" s="6">
        <v>20.478950000000001</v>
      </c>
      <c r="D9976" s="6">
        <v>56</v>
      </c>
      <c r="E9976" s="6">
        <v>0</v>
      </c>
      <c r="F9976" s="6">
        <v>0</v>
      </c>
      <c r="G9976" s="6">
        <v>5</v>
      </c>
      <c r="H9976" s="6" t="s">
        <v>45590</v>
      </c>
      <c r="I9976" s="6">
        <v>526.6875</v>
      </c>
      <c r="J9976" s="2">
        <f t="shared" si="155"/>
        <v>43749.206131817125</v>
      </c>
    </row>
    <row r="9977" spans="1:10" x14ac:dyDescent="0.25">
      <c r="A9977" s="7" t="s">
        <v>45591</v>
      </c>
      <c r="B9977" s="8">
        <v>393.75</v>
      </c>
      <c r="C9977" s="8">
        <v>20.478950000000001</v>
      </c>
      <c r="D9977" s="8">
        <v>56</v>
      </c>
      <c r="E9977" s="8">
        <v>0</v>
      </c>
      <c r="F9977" s="8">
        <v>0</v>
      </c>
      <c r="G9977" s="8">
        <v>7</v>
      </c>
      <c r="H9977" s="8" t="s">
        <v>45592</v>
      </c>
      <c r="I9977" s="8">
        <v>526.5</v>
      </c>
      <c r="J9977" s="3">
        <f t="shared" si="155"/>
        <v>43749.20621517361</v>
      </c>
    </row>
    <row r="9978" spans="1:10" x14ac:dyDescent="0.25">
      <c r="A9978" s="5" t="s">
        <v>45593</v>
      </c>
      <c r="B9978" s="6">
        <v>393.75</v>
      </c>
      <c r="C9978" s="6">
        <v>20.426300000000001</v>
      </c>
      <c r="D9978" s="6">
        <v>56</v>
      </c>
      <c r="E9978" s="6">
        <v>0</v>
      </c>
      <c r="F9978" s="6">
        <v>0</v>
      </c>
      <c r="G9978" s="6">
        <v>7</v>
      </c>
      <c r="H9978" s="6" t="s">
        <v>45594</v>
      </c>
      <c r="I9978" s="6">
        <v>526.6875</v>
      </c>
      <c r="J9978" s="2">
        <f t="shared" si="155"/>
        <v>43749.206286851848</v>
      </c>
    </row>
    <row r="9979" spans="1:10" x14ac:dyDescent="0.25">
      <c r="A9979" s="7" t="s">
        <v>45595</v>
      </c>
      <c r="B9979" s="8">
        <v>393.75</v>
      </c>
      <c r="C9979" s="8">
        <v>20.426300000000001</v>
      </c>
      <c r="D9979" s="8">
        <v>55</v>
      </c>
      <c r="E9979" s="8">
        <v>0</v>
      </c>
      <c r="F9979" s="8">
        <v>0</v>
      </c>
      <c r="G9979" s="8">
        <v>4</v>
      </c>
      <c r="H9979" s="8" t="s">
        <v>45596</v>
      </c>
      <c r="I9979" s="8">
        <v>526.6875</v>
      </c>
      <c r="J9979" s="3">
        <f t="shared" si="155"/>
        <v>43749.20635828704</v>
      </c>
    </row>
    <row r="9980" spans="1:10" x14ac:dyDescent="0.25">
      <c r="A9980" s="5" t="s">
        <v>45597</v>
      </c>
      <c r="B9980" s="6">
        <v>393.75</v>
      </c>
      <c r="C9980" s="6">
        <v>20.426300000000001</v>
      </c>
      <c r="D9980" s="6">
        <v>55</v>
      </c>
      <c r="E9980" s="6">
        <v>0</v>
      </c>
      <c r="F9980" s="6">
        <v>0</v>
      </c>
      <c r="G9980" s="6">
        <v>13</v>
      </c>
      <c r="H9980" s="6" t="s">
        <v>45598</v>
      </c>
      <c r="I9980" s="6">
        <v>526.6875</v>
      </c>
      <c r="J9980" s="2">
        <f t="shared" si="155"/>
        <v>43749.206429884252</v>
      </c>
    </row>
    <row r="9981" spans="1:10" x14ac:dyDescent="0.25">
      <c r="A9981" s="7" t="s">
        <v>45599</v>
      </c>
      <c r="B9981" s="8">
        <v>393.75</v>
      </c>
      <c r="C9981" s="8">
        <v>20.426300000000001</v>
      </c>
      <c r="D9981" s="8">
        <v>55</v>
      </c>
      <c r="E9981" s="8">
        <v>0</v>
      </c>
      <c r="F9981" s="8">
        <v>0</v>
      </c>
      <c r="G9981" s="8">
        <v>5</v>
      </c>
      <c r="H9981" s="8" t="s">
        <v>45600</v>
      </c>
      <c r="I9981" s="8">
        <v>526.6875</v>
      </c>
      <c r="J9981" s="3">
        <f t="shared" si="155"/>
        <v>43749.206513240737</v>
      </c>
    </row>
    <row r="9982" spans="1:10" x14ac:dyDescent="0.25">
      <c r="A9982" s="5" t="s">
        <v>45601</v>
      </c>
      <c r="B9982" s="6">
        <v>393.75</v>
      </c>
      <c r="C9982" s="6">
        <v>20.426300000000001</v>
      </c>
      <c r="D9982" s="6">
        <v>54</v>
      </c>
      <c r="E9982" s="6">
        <v>0</v>
      </c>
      <c r="F9982" s="6">
        <v>0</v>
      </c>
      <c r="G9982" s="6">
        <v>5</v>
      </c>
      <c r="H9982" s="6" t="s">
        <v>45602</v>
      </c>
      <c r="I9982" s="6">
        <v>526.6875</v>
      </c>
      <c r="J9982" s="2">
        <f t="shared" si="155"/>
        <v>43749.206584907406</v>
      </c>
    </row>
    <row r="9983" spans="1:10" x14ac:dyDescent="0.25">
      <c r="A9983" s="7" t="s">
        <v>45603</v>
      </c>
      <c r="B9983" s="8">
        <v>393.75</v>
      </c>
      <c r="C9983" s="8">
        <v>20.478950000000001</v>
      </c>
      <c r="D9983" s="8">
        <v>51</v>
      </c>
      <c r="E9983" s="8">
        <v>0</v>
      </c>
      <c r="F9983" s="8">
        <v>0</v>
      </c>
      <c r="G9983" s="8">
        <v>11</v>
      </c>
      <c r="H9983" s="8" t="s">
        <v>45604</v>
      </c>
      <c r="I9983" s="8">
        <v>526.5</v>
      </c>
      <c r="J9983" s="3">
        <f t="shared" si="155"/>
        <v>43749.20665630787</v>
      </c>
    </row>
    <row r="9984" spans="1:10" x14ac:dyDescent="0.25">
      <c r="A9984" s="5" t="s">
        <v>45605</v>
      </c>
      <c r="B9984" s="6">
        <v>393.75</v>
      </c>
      <c r="C9984" s="6">
        <v>20.478950000000001</v>
      </c>
      <c r="D9984" s="6">
        <v>55</v>
      </c>
      <c r="E9984" s="6">
        <v>0</v>
      </c>
      <c r="F9984" s="6">
        <v>0</v>
      </c>
      <c r="G9984" s="6">
        <v>8</v>
      </c>
      <c r="H9984" s="6" t="s">
        <v>45606</v>
      </c>
      <c r="I9984" s="6">
        <v>526.5</v>
      </c>
      <c r="J9984" s="2">
        <f t="shared" si="155"/>
        <v>43749.206728055557</v>
      </c>
    </row>
    <row r="9985" spans="1:10" x14ac:dyDescent="0.25">
      <c r="A9985" s="7" t="s">
        <v>45607</v>
      </c>
      <c r="B9985" s="8">
        <v>393.75</v>
      </c>
      <c r="C9985" s="8">
        <v>20.478950000000001</v>
      </c>
      <c r="D9985" s="8">
        <v>54</v>
      </c>
      <c r="E9985" s="8">
        <v>0</v>
      </c>
      <c r="F9985" s="8">
        <v>0</v>
      </c>
      <c r="G9985" s="8">
        <v>3</v>
      </c>
      <c r="H9985" s="8" t="s">
        <v>45608</v>
      </c>
      <c r="I9985" s="8">
        <v>526.6875</v>
      </c>
      <c r="J9985" s="3">
        <f t="shared" si="155"/>
        <v>43749.206826087961</v>
      </c>
    </row>
    <row r="9986" spans="1:10" x14ac:dyDescent="0.25">
      <c r="A9986" s="5" t="s">
        <v>45609</v>
      </c>
      <c r="B9986" s="6">
        <v>393.75</v>
      </c>
      <c r="C9986" s="6">
        <v>20.478950000000001</v>
      </c>
      <c r="D9986" s="6">
        <v>54</v>
      </c>
      <c r="E9986" s="6">
        <v>0</v>
      </c>
      <c r="F9986" s="6">
        <v>0</v>
      </c>
      <c r="G9986" s="6">
        <v>10</v>
      </c>
      <c r="H9986" s="6" t="s">
        <v>45610</v>
      </c>
      <c r="I9986" s="6">
        <v>526.6875</v>
      </c>
      <c r="J9986" s="2">
        <f t="shared" ref="J9986:J10049" si="156">(H9986/86400000)+25569+(7/24)</f>
        <v>43749.206918946758</v>
      </c>
    </row>
    <row r="9987" spans="1:10" x14ac:dyDescent="0.25">
      <c r="A9987" s="7" t="s">
        <v>45611</v>
      </c>
      <c r="B9987" s="8">
        <v>393.75</v>
      </c>
      <c r="C9987" s="8">
        <v>20.426300000000001</v>
      </c>
      <c r="D9987" s="8">
        <v>54</v>
      </c>
      <c r="E9987" s="8">
        <v>0</v>
      </c>
      <c r="F9987" s="8">
        <v>0</v>
      </c>
      <c r="G9987" s="8">
        <v>6</v>
      </c>
      <c r="H9987" s="8" t="s">
        <v>45612</v>
      </c>
      <c r="I9987" s="8">
        <v>526.6875</v>
      </c>
      <c r="J9987" s="3">
        <f t="shared" si="156"/>
        <v>43749.206990439816</v>
      </c>
    </row>
    <row r="9988" spans="1:10" x14ac:dyDescent="0.25">
      <c r="A9988" s="5" t="s">
        <v>45613</v>
      </c>
      <c r="B9988" s="6">
        <v>393.75</v>
      </c>
      <c r="C9988" s="6">
        <v>20.478950000000001</v>
      </c>
      <c r="D9988" s="6">
        <v>54</v>
      </c>
      <c r="E9988" s="6">
        <v>0</v>
      </c>
      <c r="F9988" s="6">
        <v>0</v>
      </c>
      <c r="G9988" s="6">
        <v>5</v>
      </c>
      <c r="H9988" s="6" t="s">
        <v>45614</v>
      </c>
      <c r="I9988" s="6">
        <v>526.6875</v>
      </c>
      <c r="J9988" s="2">
        <f t="shared" si="156"/>
        <v>43749.207061979163</v>
      </c>
    </row>
    <row r="9989" spans="1:10" x14ac:dyDescent="0.25">
      <c r="A9989" s="7" t="s">
        <v>45615</v>
      </c>
      <c r="B9989" s="8">
        <v>393.75</v>
      </c>
      <c r="C9989" s="8">
        <v>20.478950000000001</v>
      </c>
      <c r="D9989" s="8">
        <v>55</v>
      </c>
      <c r="E9989" s="8">
        <v>0</v>
      </c>
      <c r="F9989" s="8">
        <v>0</v>
      </c>
      <c r="G9989" s="8">
        <v>15</v>
      </c>
      <c r="H9989" s="8" t="s">
        <v>45616</v>
      </c>
      <c r="I9989" s="8">
        <v>526.6875</v>
      </c>
      <c r="J9989" s="3">
        <f t="shared" si="156"/>
        <v>43749.207145011569</v>
      </c>
    </row>
    <row r="9990" spans="1:10" x14ac:dyDescent="0.25">
      <c r="A9990" s="5" t="s">
        <v>45617</v>
      </c>
      <c r="B9990" s="6">
        <v>412.5</v>
      </c>
      <c r="C9990" s="6">
        <v>20.478950000000001</v>
      </c>
      <c r="D9990" s="6">
        <v>54</v>
      </c>
      <c r="E9990" s="6">
        <v>0</v>
      </c>
      <c r="F9990" s="6">
        <v>0</v>
      </c>
      <c r="G9990" s="6">
        <v>6</v>
      </c>
      <c r="H9990" s="6" t="s">
        <v>45618</v>
      </c>
      <c r="I9990" s="6">
        <v>532.125</v>
      </c>
      <c r="J9990" s="2">
        <f t="shared" si="156"/>
        <v>43749.207216944444</v>
      </c>
    </row>
    <row r="9991" spans="1:10" x14ac:dyDescent="0.25">
      <c r="A9991" s="7" t="s">
        <v>45619</v>
      </c>
      <c r="B9991" s="8">
        <v>393.75</v>
      </c>
      <c r="C9991" s="8">
        <v>20.478950000000001</v>
      </c>
      <c r="D9991" s="8">
        <v>54</v>
      </c>
      <c r="E9991" s="8">
        <v>0</v>
      </c>
      <c r="F9991" s="8">
        <v>0</v>
      </c>
      <c r="G9991" s="8">
        <v>15</v>
      </c>
      <c r="H9991" s="8" t="s">
        <v>45620</v>
      </c>
      <c r="I9991" s="8">
        <v>526.6875</v>
      </c>
      <c r="J9991" s="3">
        <f t="shared" si="156"/>
        <v>43749.207299895832</v>
      </c>
    </row>
    <row r="9992" spans="1:10" x14ac:dyDescent="0.25">
      <c r="A9992" s="5" t="s">
        <v>45621</v>
      </c>
      <c r="B9992" s="6">
        <v>393.75</v>
      </c>
      <c r="C9992" s="6">
        <v>20.478950000000001</v>
      </c>
      <c r="D9992" s="6">
        <v>54</v>
      </c>
      <c r="E9992" s="6">
        <v>0</v>
      </c>
      <c r="F9992" s="6">
        <v>0</v>
      </c>
      <c r="G9992" s="6">
        <v>13</v>
      </c>
      <c r="H9992" s="6" t="s">
        <v>45622</v>
      </c>
      <c r="I9992" s="6">
        <v>526.6875</v>
      </c>
      <c r="J9992" s="2">
        <f t="shared" si="156"/>
        <v>43749.20739048611</v>
      </c>
    </row>
    <row r="9993" spans="1:10" x14ac:dyDescent="0.25">
      <c r="A9993" s="7" t="s">
        <v>45623</v>
      </c>
      <c r="B9993" s="8">
        <v>393.75</v>
      </c>
      <c r="C9993" s="8">
        <v>20.478950000000001</v>
      </c>
      <c r="D9993" s="8">
        <v>55</v>
      </c>
      <c r="E9993" s="8">
        <v>0</v>
      </c>
      <c r="F9993" s="8">
        <v>0</v>
      </c>
      <c r="G9993" s="8">
        <v>10</v>
      </c>
      <c r="H9993" s="8" t="s">
        <v>45624</v>
      </c>
      <c r="I9993" s="8">
        <v>526.6875</v>
      </c>
      <c r="J9993" s="3">
        <f t="shared" si="156"/>
        <v>43749.20746734953</v>
      </c>
    </row>
    <row r="9994" spans="1:10" x14ac:dyDescent="0.25">
      <c r="A9994" s="5" t="s">
        <v>45625</v>
      </c>
      <c r="B9994" s="6">
        <v>393.75</v>
      </c>
      <c r="C9994" s="6">
        <v>20.478950000000001</v>
      </c>
      <c r="D9994" s="6">
        <v>54</v>
      </c>
      <c r="E9994" s="6">
        <v>0</v>
      </c>
      <c r="F9994" s="6">
        <v>0</v>
      </c>
      <c r="G9994" s="6">
        <v>10</v>
      </c>
      <c r="H9994" s="6" t="s">
        <v>45626</v>
      </c>
      <c r="I9994" s="6">
        <v>526.6875</v>
      </c>
      <c r="J9994" s="2">
        <f t="shared" si="156"/>
        <v>43749.207538888884</v>
      </c>
    </row>
    <row r="9995" spans="1:10" x14ac:dyDescent="0.25">
      <c r="A9995" s="7" t="s">
        <v>45627</v>
      </c>
      <c r="B9995" s="8">
        <v>393.75</v>
      </c>
      <c r="C9995" s="8">
        <v>20.478950000000001</v>
      </c>
      <c r="D9995" s="8">
        <v>54</v>
      </c>
      <c r="E9995" s="8">
        <v>0</v>
      </c>
      <c r="F9995" s="8">
        <v>0</v>
      </c>
      <c r="G9995" s="8">
        <v>3</v>
      </c>
      <c r="H9995" s="8" t="s">
        <v>45628</v>
      </c>
      <c r="I9995" s="8">
        <v>526.5</v>
      </c>
      <c r="J9995" s="3">
        <f t="shared" si="156"/>
        <v>43749.207622384252</v>
      </c>
    </row>
    <row r="9996" spans="1:10" x14ac:dyDescent="0.25">
      <c r="A9996" s="5" t="s">
        <v>45629</v>
      </c>
      <c r="B9996" s="6">
        <v>393.75</v>
      </c>
      <c r="C9996" s="6">
        <v>20.478950000000001</v>
      </c>
      <c r="D9996" s="6">
        <v>55</v>
      </c>
      <c r="E9996" s="6">
        <v>0</v>
      </c>
      <c r="F9996" s="6">
        <v>0</v>
      </c>
      <c r="G9996" s="6">
        <v>11</v>
      </c>
      <c r="H9996" s="6" t="s">
        <v>45630</v>
      </c>
      <c r="I9996" s="6">
        <v>526.6875</v>
      </c>
      <c r="J9996" s="2">
        <f t="shared" si="156"/>
        <v>43749.207694085642</v>
      </c>
    </row>
    <row r="9997" spans="1:10" x14ac:dyDescent="0.25">
      <c r="A9997" s="7" t="s">
        <v>45631</v>
      </c>
      <c r="B9997" s="8">
        <v>393.75</v>
      </c>
      <c r="C9997" s="8">
        <v>20.478950000000001</v>
      </c>
      <c r="D9997" s="8">
        <v>57</v>
      </c>
      <c r="E9997" s="8">
        <v>0</v>
      </c>
      <c r="F9997" s="8">
        <v>0</v>
      </c>
      <c r="G9997" s="8">
        <v>1</v>
      </c>
      <c r="H9997" s="8" t="s">
        <v>45632</v>
      </c>
      <c r="I9997" s="8">
        <v>526.6875</v>
      </c>
      <c r="J9997" s="3">
        <f t="shared" si="156"/>
        <v>43749.207765497682</v>
      </c>
    </row>
    <row r="9998" spans="1:10" x14ac:dyDescent="0.25">
      <c r="A9998" s="5" t="s">
        <v>45633</v>
      </c>
      <c r="B9998" s="6">
        <v>393.75</v>
      </c>
      <c r="C9998" s="6">
        <v>20.478950000000001</v>
      </c>
      <c r="D9998" s="6">
        <v>56</v>
      </c>
      <c r="E9998" s="6">
        <v>0</v>
      </c>
      <c r="F9998" s="6">
        <v>0</v>
      </c>
      <c r="G9998" s="6">
        <v>10</v>
      </c>
      <c r="H9998" s="6" t="s">
        <v>45634</v>
      </c>
      <c r="I9998" s="6">
        <v>526.6875</v>
      </c>
      <c r="J9998" s="2">
        <f t="shared" si="156"/>
        <v>43749.207837002316</v>
      </c>
    </row>
    <row r="9999" spans="1:10" x14ac:dyDescent="0.25">
      <c r="A9999" s="7" t="s">
        <v>45635</v>
      </c>
      <c r="B9999" s="8">
        <v>393.75</v>
      </c>
      <c r="C9999" s="8">
        <v>20.478950000000001</v>
      </c>
      <c r="D9999" s="8">
        <v>56</v>
      </c>
      <c r="E9999" s="8">
        <v>0</v>
      </c>
      <c r="F9999" s="8">
        <v>0</v>
      </c>
      <c r="G9999" s="8">
        <v>11</v>
      </c>
      <c r="H9999" s="8" t="s">
        <v>45636</v>
      </c>
      <c r="I9999" s="8">
        <v>526.6875</v>
      </c>
      <c r="J9999" s="3">
        <f t="shared" si="156"/>
        <v>43749.207908252312</v>
      </c>
    </row>
    <row r="10000" spans="1:10" x14ac:dyDescent="0.25">
      <c r="A10000" s="5" t="s">
        <v>45637</v>
      </c>
      <c r="B10000" s="6">
        <v>393.75</v>
      </c>
      <c r="C10000" s="6">
        <v>20.426300000000001</v>
      </c>
      <c r="D10000" s="6">
        <v>57</v>
      </c>
      <c r="E10000" s="6">
        <v>0</v>
      </c>
      <c r="F10000" s="6">
        <v>0</v>
      </c>
      <c r="G10000" s="6">
        <v>14</v>
      </c>
      <c r="H10000" s="6" t="s">
        <v>45638</v>
      </c>
      <c r="I10000" s="6">
        <v>526.6875</v>
      </c>
      <c r="J10000" s="2">
        <f t="shared" si="156"/>
        <v>43749.207981712963</v>
      </c>
    </row>
    <row r="10001" spans="1:10" x14ac:dyDescent="0.25">
      <c r="A10001" s="7" t="s">
        <v>45639</v>
      </c>
      <c r="B10001" s="8">
        <v>393.75</v>
      </c>
      <c r="C10001" s="8">
        <v>20.478950000000001</v>
      </c>
      <c r="D10001" s="8">
        <v>57</v>
      </c>
      <c r="E10001" s="8">
        <v>0</v>
      </c>
      <c r="F10001" s="8">
        <v>0</v>
      </c>
      <c r="G10001" s="8">
        <v>2</v>
      </c>
      <c r="H10001" s="8" t="s">
        <v>45640</v>
      </c>
      <c r="I10001" s="8">
        <v>526.6875</v>
      </c>
      <c r="J10001" s="3">
        <f t="shared" si="156"/>
        <v>43749.208075983792</v>
      </c>
    </row>
    <row r="10002" spans="1:10" x14ac:dyDescent="0.25">
      <c r="A10002" s="5" t="s">
        <v>45641</v>
      </c>
      <c r="B10002" s="6">
        <v>393.75</v>
      </c>
      <c r="C10002" s="6">
        <v>20.478950000000001</v>
      </c>
      <c r="D10002" s="6">
        <v>58</v>
      </c>
      <c r="E10002" s="6">
        <v>0</v>
      </c>
      <c r="F10002" s="6">
        <v>0</v>
      </c>
      <c r="G10002" s="6">
        <v>10</v>
      </c>
      <c r="H10002" s="6" t="s">
        <v>45642</v>
      </c>
      <c r="I10002" s="6">
        <v>526.6875</v>
      </c>
      <c r="J10002" s="2">
        <f t="shared" si="156"/>
        <v>43749.208159050926</v>
      </c>
    </row>
    <row r="10003" spans="1:10" x14ac:dyDescent="0.25">
      <c r="A10003" s="7" t="s">
        <v>45643</v>
      </c>
      <c r="B10003" s="8">
        <v>393.75</v>
      </c>
      <c r="C10003" s="8">
        <v>20.478950000000001</v>
      </c>
      <c r="D10003" s="8">
        <v>57</v>
      </c>
      <c r="E10003" s="8">
        <v>0</v>
      </c>
      <c r="F10003" s="8">
        <v>0</v>
      </c>
      <c r="G10003" s="8">
        <v>14</v>
      </c>
      <c r="H10003" s="8" t="s">
        <v>45644</v>
      </c>
      <c r="I10003" s="8">
        <v>526.5</v>
      </c>
      <c r="J10003" s="3">
        <f t="shared" si="156"/>
        <v>43749.208242534718</v>
      </c>
    </row>
    <row r="10004" spans="1:10" x14ac:dyDescent="0.25">
      <c r="A10004" s="5" t="s">
        <v>45645</v>
      </c>
      <c r="B10004" s="6">
        <v>415.625</v>
      </c>
      <c r="C10004" s="6">
        <v>20.478950000000001</v>
      </c>
      <c r="D10004" s="6">
        <v>61</v>
      </c>
      <c r="E10004" s="6">
        <v>0</v>
      </c>
      <c r="F10004" s="6">
        <v>0</v>
      </c>
      <c r="G10004" s="6">
        <v>1</v>
      </c>
      <c r="H10004" s="6" t="s">
        <v>45646</v>
      </c>
      <c r="I10004" s="6">
        <v>533.25</v>
      </c>
      <c r="J10004" s="2">
        <f t="shared" si="156"/>
        <v>43749.208325960644</v>
      </c>
    </row>
    <row r="10005" spans="1:10" x14ac:dyDescent="0.25">
      <c r="A10005" s="7" t="s">
        <v>45647</v>
      </c>
      <c r="B10005" s="8">
        <v>393.75</v>
      </c>
      <c r="C10005" s="8">
        <v>20.426300000000001</v>
      </c>
      <c r="D10005" s="8">
        <v>60</v>
      </c>
      <c r="E10005" s="8">
        <v>0</v>
      </c>
      <c r="F10005" s="8">
        <v>0</v>
      </c>
      <c r="G10005" s="8">
        <v>11</v>
      </c>
      <c r="H10005" s="8" t="s">
        <v>45648</v>
      </c>
      <c r="I10005" s="8">
        <v>526.6875</v>
      </c>
      <c r="J10005" s="3">
        <f t="shared" si="156"/>
        <v>43749.208409444444</v>
      </c>
    </row>
    <row r="10006" spans="1:10" x14ac:dyDescent="0.25">
      <c r="A10006" s="5" t="s">
        <v>45649</v>
      </c>
      <c r="B10006" s="6">
        <v>393.75</v>
      </c>
      <c r="C10006" s="6">
        <v>20.426300000000001</v>
      </c>
      <c r="D10006" s="6">
        <v>59</v>
      </c>
      <c r="E10006" s="6">
        <v>0</v>
      </c>
      <c r="F10006" s="6">
        <v>0</v>
      </c>
      <c r="G10006" s="6">
        <v>2</v>
      </c>
      <c r="H10006" s="6" t="s">
        <v>45650</v>
      </c>
      <c r="I10006" s="6">
        <v>526.6875</v>
      </c>
      <c r="J10006" s="2">
        <f t="shared" si="156"/>
        <v>43749.208492962956</v>
      </c>
    </row>
    <row r="10007" spans="1:10" x14ac:dyDescent="0.25">
      <c r="A10007" s="7" t="s">
        <v>45651</v>
      </c>
      <c r="B10007" s="8">
        <v>393.75</v>
      </c>
      <c r="C10007" s="8">
        <v>20.478950000000001</v>
      </c>
      <c r="D10007" s="8">
        <v>58</v>
      </c>
      <c r="E10007" s="8">
        <v>0</v>
      </c>
      <c r="F10007" s="8">
        <v>0</v>
      </c>
      <c r="G10007" s="8">
        <v>9</v>
      </c>
      <c r="H10007" s="8" t="s">
        <v>45652</v>
      </c>
      <c r="I10007" s="8">
        <v>526.6875</v>
      </c>
      <c r="J10007" s="3">
        <f t="shared" si="156"/>
        <v>43749.208576388883</v>
      </c>
    </row>
    <row r="10008" spans="1:10" x14ac:dyDescent="0.25">
      <c r="A10008" s="5" t="s">
        <v>45653</v>
      </c>
      <c r="B10008" s="6">
        <v>393.75</v>
      </c>
      <c r="C10008" s="6">
        <v>20.426300000000001</v>
      </c>
      <c r="D10008" s="6">
        <v>55</v>
      </c>
      <c r="E10008" s="6">
        <v>0</v>
      </c>
      <c r="F10008" s="6">
        <v>0</v>
      </c>
      <c r="G10008" s="6">
        <v>15</v>
      </c>
      <c r="H10008" s="6" t="s">
        <v>45654</v>
      </c>
      <c r="I10008" s="6">
        <v>526.6875</v>
      </c>
      <c r="J10008" s="2">
        <f t="shared" si="156"/>
        <v>43749.208659965276</v>
      </c>
    </row>
    <row r="10009" spans="1:10" x14ac:dyDescent="0.25">
      <c r="A10009" s="7" t="s">
        <v>45655</v>
      </c>
      <c r="B10009" s="8">
        <v>393.75</v>
      </c>
      <c r="C10009" s="8">
        <v>20.478950000000001</v>
      </c>
      <c r="D10009" s="8">
        <v>56</v>
      </c>
      <c r="E10009" s="8">
        <v>0</v>
      </c>
      <c r="F10009" s="8">
        <v>0</v>
      </c>
      <c r="G10009" s="8">
        <v>2</v>
      </c>
      <c r="H10009" s="8" t="s">
        <v>45656</v>
      </c>
      <c r="I10009" s="8">
        <v>526.6875</v>
      </c>
      <c r="J10009" s="3">
        <f t="shared" si="156"/>
        <v>43749.208731365739</v>
      </c>
    </row>
    <row r="10010" spans="1:10" x14ac:dyDescent="0.25">
      <c r="A10010" s="5" t="s">
        <v>45657</v>
      </c>
      <c r="B10010" s="6">
        <v>393.75</v>
      </c>
      <c r="C10010" s="6">
        <v>20.478950000000001</v>
      </c>
      <c r="D10010" s="6">
        <v>57</v>
      </c>
      <c r="E10010" s="6">
        <v>0</v>
      </c>
      <c r="F10010" s="6">
        <v>0</v>
      </c>
      <c r="G10010" s="6">
        <v>10</v>
      </c>
      <c r="H10010" s="6" t="s">
        <v>45658</v>
      </c>
      <c r="I10010" s="6">
        <v>526.6875</v>
      </c>
      <c r="J10010" s="2">
        <f t="shared" si="156"/>
        <v>43749.208815300924</v>
      </c>
    </row>
    <row r="10011" spans="1:10" x14ac:dyDescent="0.25">
      <c r="A10011" s="7" t="s">
        <v>45659</v>
      </c>
      <c r="B10011" s="8">
        <v>393.75</v>
      </c>
      <c r="C10011" s="8">
        <v>20.478950000000001</v>
      </c>
      <c r="D10011" s="8">
        <v>56</v>
      </c>
      <c r="E10011" s="8">
        <v>0</v>
      </c>
      <c r="F10011" s="8">
        <v>0</v>
      </c>
      <c r="G10011" s="8">
        <v>8</v>
      </c>
      <c r="H10011" s="8" t="s">
        <v>45660</v>
      </c>
      <c r="I10011" s="8">
        <v>526.6875</v>
      </c>
      <c r="J10011" s="3">
        <f t="shared" si="156"/>
        <v>43749.208898333331</v>
      </c>
    </row>
    <row r="10012" spans="1:10" x14ac:dyDescent="0.25">
      <c r="A10012" s="5" t="s">
        <v>45661</v>
      </c>
      <c r="B10012" s="6">
        <v>393.75</v>
      </c>
      <c r="C10012" s="6">
        <v>20.426300000000001</v>
      </c>
      <c r="D10012" s="6">
        <v>53</v>
      </c>
      <c r="E10012" s="6">
        <v>0</v>
      </c>
      <c r="F10012" s="6">
        <v>0</v>
      </c>
      <c r="G10012" s="6">
        <v>11</v>
      </c>
      <c r="H10012" s="6" t="s">
        <v>45662</v>
      </c>
      <c r="I10012" s="6">
        <v>526.6875</v>
      </c>
      <c r="J10012" s="2">
        <f t="shared" si="156"/>
        <v>43749.208981828699</v>
      </c>
    </row>
    <row r="10013" spans="1:10" x14ac:dyDescent="0.25">
      <c r="A10013" s="7" t="s">
        <v>45663</v>
      </c>
      <c r="B10013" s="8">
        <v>393.75</v>
      </c>
      <c r="C10013" s="8">
        <v>20.478950000000001</v>
      </c>
      <c r="D10013" s="8">
        <v>51</v>
      </c>
      <c r="E10013" s="8">
        <v>0</v>
      </c>
      <c r="F10013" s="8">
        <v>0</v>
      </c>
      <c r="G10013" s="8">
        <v>6</v>
      </c>
      <c r="H10013" s="8" t="s">
        <v>45664</v>
      </c>
      <c r="I10013" s="8">
        <v>526.6875</v>
      </c>
      <c r="J10013" s="3">
        <f t="shared" si="156"/>
        <v>43749.209065347219</v>
      </c>
    </row>
    <row r="10014" spans="1:10" x14ac:dyDescent="0.25">
      <c r="A10014" s="5" t="s">
        <v>45665</v>
      </c>
      <c r="B10014" s="6">
        <v>393.75</v>
      </c>
      <c r="C10014" s="6">
        <v>20.478950000000001</v>
      </c>
      <c r="D10014" s="6">
        <v>51</v>
      </c>
      <c r="E10014" s="6">
        <v>0</v>
      </c>
      <c r="F10014" s="6">
        <v>0</v>
      </c>
      <c r="G10014" s="6">
        <v>5</v>
      </c>
      <c r="H10014" s="6" t="s">
        <v>45666</v>
      </c>
      <c r="I10014" s="6">
        <v>526.6875</v>
      </c>
      <c r="J10014" s="2">
        <f t="shared" si="156"/>
        <v>43749.209148865739</v>
      </c>
    </row>
    <row r="10015" spans="1:10" x14ac:dyDescent="0.25">
      <c r="A10015" s="7" t="s">
        <v>45667</v>
      </c>
      <c r="B10015" s="8">
        <v>393.75</v>
      </c>
      <c r="C10015" s="8">
        <v>20.478950000000001</v>
      </c>
      <c r="D10015" s="8">
        <v>51</v>
      </c>
      <c r="E10015" s="8">
        <v>0</v>
      </c>
      <c r="F10015" s="8">
        <v>0</v>
      </c>
      <c r="G10015" s="8">
        <v>2</v>
      </c>
      <c r="H10015" s="8" t="s">
        <v>45668</v>
      </c>
      <c r="I10015" s="8">
        <v>526.6875</v>
      </c>
      <c r="J10015" s="3">
        <f t="shared" si="156"/>
        <v>43749.209220694444</v>
      </c>
    </row>
    <row r="10016" spans="1:10" x14ac:dyDescent="0.25">
      <c r="A10016" s="5" t="s">
        <v>45669</v>
      </c>
      <c r="B10016" s="6">
        <v>393.75</v>
      </c>
      <c r="C10016" s="6">
        <v>20.478950000000001</v>
      </c>
      <c r="D10016" s="6">
        <v>52</v>
      </c>
      <c r="E10016" s="6">
        <v>0</v>
      </c>
      <c r="F10016" s="6">
        <v>0</v>
      </c>
      <c r="G10016" s="6">
        <v>7</v>
      </c>
      <c r="H10016" s="6" t="s">
        <v>45670</v>
      </c>
      <c r="I10016" s="6">
        <v>526.6875</v>
      </c>
      <c r="J10016" s="2">
        <f t="shared" si="156"/>
        <v>43749.209303796299</v>
      </c>
    </row>
    <row r="10017" spans="1:10" x14ac:dyDescent="0.25">
      <c r="A10017" s="7" t="s">
        <v>45671</v>
      </c>
      <c r="B10017" s="8">
        <v>393.75</v>
      </c>
      <c r="C10017" s="8">
        <v>20.478950000000001</v>
      </c>
      <c r="D10017" s="8">
        <v>52</v>
      </c>
      <c r="E10017" s="8">
        <v>0</v>
      </c>
      <c r="F10017" s="8">
        <v>0</v>
      </c>
      <c r="G10017" s="8">
        <v>5</v>
      </c>
      <c r="H10017" s="8" t="s">
        <v>45672</v>
      </c>
      <c r="I10017" s="8">
        <v>526.5</v>
      </c>
      <c r="J10017" s="3">
        <f t="shared" si="156"/>
        <v>43749.209392303237</v>
      </c>
    </row>
    <row r="10018" spans="1:10" x14ac:dyDescent="0.25">
      <c r="A10018" s="5" t="s">
        <v>45673</v>
      </c>
      <c r="B10018" s="6">
        <v>393.75</v>
      </c>
      <c r="C10018" s="6">
        <v>20.478950000000001</v>
      </c>
      <c r="D10018" s="6">
        <v>48</v>
      </c>
      <c r="E10018" s="6">
        <v>0</v>
      </c>
      <c r="F10018" s="6">
        <v>0</v>
      </c>
      <c r="G10018" s="6">
        <v>3</v>
      </c>
      <c r="H10018" s="6" t="s">
        <v>45674</v>
      </c>
      <c r="I10018" s="6">
        <v>526.6875</v>
      </c>
      <c r="J10018" s="2">
        <f t="shared" si="156"/>
        <v>43749.209470682872</v>
      </c>
    </row>
    <row r="10019" spans="1:10" x14ac:dyDescent="0.25">
      <c r="A10019" s="7" t="s">
        <v>45675</v>
      </c>
      <c r="B10019" s="8">
        <v>393.75</v>
      </c>
      <c r="C10019" s="8">
        <v>20.478950000000001</v>
      </c>
      <c r="D10019" s="8">
        <v>47</v>
      </c>
      <c r="E10019" s="8">
        <v>0</v>
      </c>
      <c r="F10019" s="8">
        <v>0</v>
      </c>
      <c r="G10019" s="8">
        <v>6</v>
      </c>
      <c r="H10019" s="8" t="s">
        <v>45676</v>
      </c>
      <c r="I10019" s="8">
        <v>526.6875</v>
      </c>
      <c r="J10019" s="3">
        <f t="shared" si="156"/>
        <v>43749.20955417824</v>
      </c>
    </row>
    <row r="10020" spans="1:10" x14ac:dyDescent="0.25">
      <c r="A10020" s="5" t="s">
        <v>45677</v>
      </c>
      <c r="B10020" s="6">
        <v>393.75</v>
      </c>
      <c r="C10020" s="6">
        <v>20.478950000000001</v>
      </c>
      <c r="D10020" s="6">
        <v>47</v>
      </c>
      <c r="E10020" s="6">
        <v>0</v>
      </c>
      <c r="F10020" s="6">
        <v>0</v>
      </c>
      <c r="G10020" s="6">
        <v>6</v>
      </c>
      <c r="H10020" s="6" t="s">
        <v>45678</v>
      </c>
      <c r="I10020" s="6">
        <v>526.6875</v>
      </c>
      <c r="J10020" s="2">
        <f t="shared" si="156"/>
        <v>43749.20963774305</v>
      </c>
    </row>
    <row r="10021" spans="1:10" x14ac:dyDescent="0.25">
      <c r="A10021" s="7" t="s">
        <v>45679</v>
      </c>
      <c r="B10021" s="8">
        <v>393.75</v>
      </c>
      <c r="C10021" s="8">
        <v>20.478950000000001</v>
      </c>
      <c r="D10021" s="8">
        <v>49</v>
      </c>
      <c r="E10021" s="8">
        <v>0</v>
      </c>
      <c r="F10021" s="8">
        <v>0</v>
      </c>
      <c r="G10021" s="8">
        <v>9</v>
      </c>
      <c r="H10021" s="8" t="s">
        <v>45680</v>
      </c>
      <c r="I10021" s="8">
        <v>526.6875</v>
      </c>
      <c r="J10021" s="3">
        <f t="shared" si="156"/>
        <v>43749.209721087966</v>
      </c>
    </row>
    <row r="10022" spans="1:10" x14ac:dyDescent="0.25">
      <c r="A10022" s="5" t="s">
        <v>45681</v>
      </c>
      <c r="B10022" s="6">
        <v>393.75</v>
      </c>
      <c r="C10022" s="6">
        <v>20.478950000000001</v>
      </c>
      <c r="D10022" s="6">
        <v>50</v>
      </c>
      <c r="E10022" s="6">
        <v>0</v>
      </c>
      <c r="F10022" s="6">
        <v>0</v>
      </c>
      <c r="G10022" s="6">
        <v>2</v>
      </c>
      <c r="H10022" s="6" t="s">
        <v>45682</v>
      </c>
      <c r="I10022" s="6">
        <v>526.6875</v>
      </c>
      <c r="J10022" s="2">
        <f t="shared" si="156"/>
        <v>43749.209804317128</v>
      </c>
    </row>
    <row r="10023" spans="1:10" x14ac:dyDescent="0.25">
      <c r="A10023" s="7" t="s">
        <v>45683</v>
      </c>
      <c r="B10023" s="8">
        <v>393.75</v>
      </c>
      <c r="C10023" s="8">
        <v>20.478950000000001</v>
      </c>
      <c r="D10023" s="8">
        <v>52</v>
      </c>
      <c r="E10023" s="8">
        <v>0</v>
      </c>
      <c r="F10023" s="8">
        <v>0</v>
      </c>
      <c r="G10023" s="8">
        <v>5</v>
      </c>
      <c r="H10023" s="8" t="s">
        <v>45684</v>
      </c>
      <c r="I10023" s="8">
        <v>526.6875</v>
      </c>
      <c r="J10023" s="3">
        <f t="shared" si="156"/>
        <v>43749.209876064815</v>
      </c>
    </row>
    <row r="10024" spans="1:10" x14ac:dyDescent="0.25">
      <c r="A10024" s="5" t="s">
        <v>45685</v>
      </c>
      <c r="B10024" s="6">
        <v>393.75</v>
      </c>
      <c r="C10024" s="6">
        <v>20.426300000000001</v>
      </c>
      <c r="D10024" s="6">
        <v>52</v>
      </c>
      <c r="E10024" s="6">
        <v>0</v>
      </c>
      <c r="F10024" s="6">
        <v>0</v>
      </c>
      <c r="G10024" s="6">
        <v>10</v>
      </c>
      <c r="H10024" s="6" t="s">
        <v>45686</v>
      </c>
      <c r="I10024" s="6">
        <v>526.6875</v>
      </c>
      <c r="J10024" s="2">
        <f t="shared" si="156"/>
        <v>43749.209959664346</v>
      </c>
    </row>
    <row r="10025" spans="1:10" x14ac:dyDescent="0.25">
      <c r="A10025" s="7" t="s">
        <v>45687</v>
      </c>
      <c r="B10025" s="8">
        <v>393.75</v>
      </c>
      <c r="C10025" s="8">
        <v>20.426300000000001</v>
      </c>
      <c r="D10025" s="8">
        <v>53</v>
      </c>
      <c r="E10025" s="8">
        <v>0</v>
      </c>
      <c r="F10025" s="8">
        <v>0</v>
      </c>
      <c r="G10025" s="8">
        <v>0</v>
      </c>
      <c r="H10025" s="8" t="s">
        <v>45688</v>
      </c>
      <c r="I10025" s="8">
        <v>526.6875</v>
      </c>
      <c r="J10025" s="3">
        <f t="shared" si="156"/>
        <v>43749.210043032406</v>
      </c>
    </row>
    <row r="10026" spans="1:10" x14ac:dyDescent="0.25">
      <c r="A10026" s="5" t="s">
        <v>45689</v>
      </c>
      <c r="B10026" s="6">
        <v>393.75</v>
      </c>
      <c r="C10026" s="6">
        <v>20.478950000000001</v>
      </c>
      <c r="D10026" s="6">
        <v>53</v>
      </c>
      <c r="E10026" s="6">
        <v>0</v>
      </c>
      <c r="F10026" s="6">
        <v>0</v>
      </c>
      <c r="G10026" s="6">
        <v>9</v>
      </c>
      <c r="H10026" s="6" t="s">
        <v>45690</v>
      </c>
      <c r="I10026" s="6">
        <v>526.5</v>
      </c>
      <c r="J10026" s="2">
        <f t="shared" si="156"/>
        <v>43749.210126620368</v>
      </c>
    </row>
    <row r="10027" spans="1:10" x14ac:dyDescent="0.25">
      <c r="A10027" s="7" t="s">
        <v>45691</v>
      </c>
      <c r="B10027" s="8">
        <v>393.75</v>
      </c>
      <c r="C10027" s="8">
        <v>20.478950000000001</v>
      </c>
      <c r="D10027" s="8">
        <v>53</v>
      </c>
      <c r="E10027" s="8">
        <v>0</v>
      </c>
      <c r="F10027" s="8">
        <v>0</v>
      </c>
      <c r="G10027" s="8">
        <v>3</v>
      </c>
      <c r="H10027" s="8" t="s">
        <v>45692</v>
      </c>
      <c r="I10027" s="8">
        <v>526.5</v>
      </c>
      <c r="J10027" s="3">
        <f t="shared" si="156"/>
        <v>43749.210198020832</v>
      </c>
    </row>
    <row r="10028" spans="1:10" x14ac:dyDescent="0.25">
      <c r="A10028" s="5" t="s">
        <v>45693</v>
      </c>
      <c r="B10028" s="6">
        <v>393.75</v>
      </c>
      <c r="C10028" s="6">
        <v>20.478950000000001</v>
      </c>
      <c r="D10028" s="6">
        <v>53</v>
      </c>
      <c r="E10028" s="6">
        <v>0</v>
      </c>
      <c r="F10028" s="6">
        <v>0</v>
      </c>
      <c r="G10028" s="6">
        <v>6</v>
      </c>
      <c r="H10028" s="6" t="s">
        <v>45694</v>
      </c>
      <c r="I10028" s="6">
        <v>526.6875</v>
      </c>
      <c r="J10028" s="2">
        <f t="shared" si="156"/>
        <v>43749.210281666667</v>
      </c>
    </row>
    <row r="10029" spans="1:10" x14ac:dyDescent="0.25">
      <c r="A10029" s="7" t="s">
        <v>45695</v>
      </c>
      <c r="B10029" s="8">
        <v>412.5</v>
      </c>
      <c r="C10029" s="8">
        <v>20.478950000000001</v>
      </c>
      <c r="D10029" s="8">
        <v>53</v>
      </c>
      <c r="E10029" s="8">
        <v>0</v>
      </c>
      <c r="F10029" s="8">
        <v>0</v>
      </c>
      <c r="G10029" s="8">
        <v>6</v>
      </c>
      <c r="H10029" s="8" t="s">
        <v>45696</v>
      </c>
      <c r="I10029" s="8">
        <v>532.3125</v>
      </c>
      <c r="J10029" s="3">
        <f t="shared" si="156"/>
        <v>43749.210365046289</v>
      </c>
    </row>
    <row r="10030" spans="1:10" x14ac:dyDescent="0.25">
      <c r="A10030" s="5" t="s">
        <v>45697</v>
      </c>
      <c r="B10030" s="6">
        <v>393.75</v>
      </c>
      <c r="C10030" s="6">
        <v>20.478950000000001</v>
      </c>
      <c r="D10030" s="6">
        <v>53</v>
      </c>
      <c r="E10030" s="6">
        <v>0</v>
      </c>
      <c r="F10030" s="6">
        <v>0</v>
      </c>
      <c r="G10030" s="6">
        <v>6</v>
      </c>
      <c r="H10030" s="6" t="s">
        <v>45698</v>
      </c>
      <c r="I10030" s="6">
        <v>526.6875</v>
      </c>
      <c r="J10030" s="2">
        <f t="shared" si="156"/>
        <v>43749.210448564809</v>
      </c>
    </row>
    <row r="10031" spans="1:10" x14ac:dyDescent="0.25">
      <c r="A10031" s="7" t="s">
        <v>45699</v>
      </c>
      <c r="B10031" s="8">
        <v>393.75</v>
      </c>
      <c r="C10031" s="8">
        <v>20.478950000000001</v>
      </c>
      <c r="D10031" s="8">
        <v>53</v>
      </c>
      <c r="E10031" s="8">
        <v>0</v>
      </c>
      <c r="F10031" s="8">
        <v>0</v>
      </c>
      <c r="G10031" s="8">
        <v>5</v>
      </c>
      <c r="H10031" s="8" t="s">
        <v>45700</v>
      </c>
      <c r="I10031" s="8">
        <v>526.6875</v>
      </c>
      <c r="J10031" s="3">
        <f t="shared" si="156"/>
        <v>43749.210532002311</v>
      </c>
    </row>
    <row r="10032" spans="1:10" x14ac:dyDescent="0.25">
      <c r="A10032" s="5" t="s">
        <v>45701</v>
      </c>
      <c r="B10032" s="6">
        <v>393.75</v>
      </c>
      <c r="C10032" s="6">
        <v>20.478950000000001</v>
      </c>
      <c r="D10032" s="6">
        <v>50</v>
      </c>
      <c r="E10032" s="6">
        <v>0</v>
      </c>
      <c r="F10032" s="6">
        <v>0</v>
      </c>
      <c r="G10032" s="6">
        <v>6</v>
      </c>
      <c r="H10032" s="6" t="s">
        <v>45702</v>
      </c>
      <c r="I10032" s="6">
        <v>526.6875</v>
      </c>
      <c r="J10032" s="2">
        <f t="shared" si="156"/>
        <v>43749.210615416661</v>
      </c>
    </row>
    <row r="10033" spans="1:10" x14ac:dyDescent="0.25">
      <c r="A10033" s="7" t="s">
        <v>45703</v>
      </c>
      <c r="B10033" s="8">
        <v>393.75</v>
      </c>
      <c r="C10033" s="8">
        <v>20.478950000000001</v>
      </c>
      <c r="D10033" s="8">
        <v>51</v>
      </c>
      <c r="E10033" s="8">
        <v>0</v>
      </c>
      <c r="F10033" s="8">
        <v>0</v>
      </c>
      <c r="G10033" s="8">
        <v>16</v>
      </c>
      <c r="H10033" s="8" t="s">
        <v>45704</v>
      </c>
      <c r="I10033" s="8">
        <v>526.5</v>
      </c>
      <c r="J10033" s="3">
        <f t="shared" si="156"/>
        <v>43749.210686909719</v>
      </c>
    </row>
    <row r="10034" spans="1:10" x14ac:dyDescent="0.25">
      <c r="A10034" s="5" t="s">
        <v>45705</v>
      </c>
      <c r="B10034" s="6">
        <v>412.5</v>
      </c>
      <c r="C10034" s="6">
        <v>20.478950000000001</v>
      </c>
      <c r="D10034" s="6">
        <v>52</v>
      </c>
      <c r="E10034" s="6">
        <v>0</v>
      </c>
      <c r="F10034" s="6">
        <v>0</v>
      </c>
      <c r="G10034" s="6">
        <v>1</v>
      </c>
      <c r="H10034" s="6" t="s">
        <v>45706</v>
      </c>
      <c r="I10034" s="6">
        <v>532.3125</v>
      </c>
      <c r="J10034" s="2">
        <f t="shared" si="156"/>
        <v>43749.210789895827</v>
      </c>
    </row>
    <row r="10035" spans="1:10" x14ac:dyDescent="0.25">
      <c r="A10035" s="7" t="s">
        <v>45707</v>
      </c>
      <c r="B10035" s="8">
        <v>393.75</v>
      </c>
      <c r="C10035" s="8">
        <v>20.478950000000001</v>
      </c>
      <c r="D10035" s="8">
        <v>53</v>
      </c>
      <c r="E10035" s="8">
        <v>0</v>
      </c>
      <c r="F10035" s="8">
        <v>0</v>
      </c>
      <c r="G10035" s="8">
        <v>8</v>
      </c>
      <c r="H10035" s="8" t="s">
        <v>45708</v>
      </c>
      <c r="I10035" s="8">
        <v>526.5</v>
      </c>
      <c r="J10035" s="3">
        <f t="shared" si="156"/>
        <v>43749.210865937501</v>
      </c>
    </row>
    <row r="10036" spans="1:10" x14ac:dyDescent="0.25">
      <c r="A10036" s="5" t="s">
        <v>45709</v>
      </c>
      <c r="B10036" s="6">
        <v>412.5</v>
      </c>
      <c r="C10036" s="6">
        <v>20.478950000000001</v>
      </c>
      <c r="D10036" s="6">
        <v>53</v>
      </c>
      <c r="E10036" s="6">
        <v>0</v>
      </c>
      <c r="F10036" s="6">
        <v>0</v>
      </c>
      <c r="G10036" s="6">
        <v>12</v>
      </c>
      <c r="H10036" s="6" t="s">
        <v>45710</v>
      </c>
      <c r="I10036" s="6">
        <v>532.125</v>
      </c>
      <c r="J10036" s="2">
        <f t="shared" si="156"/>
        <v>43749.210937210642</v>
      </c>
    </row>
    <row r="10037" spans="1:10" x14ac:dyDescent="0.25">
      <c r="A10037" s="7" t="s">
        <v>45711</v>
      </c>
      <c r="B10037" s="8">
        <v>393.75</v>
      </c>
      <c r="C10037" s="8">
        <v>20.478950000000001</v>
      </c>
      <c r="D10037" s="8">
        <v>51</v>
      </c>
      <c r="E10037" s="8">
        <v>0</v>
      </c>
      <c r="F10037" s="8">
        <v>0</v>
      </c>
      <c r="G10037" s="8">
        <v>6</v>
      </c>
      <c r="H10037" s="8" t="s">
        <v>45712</v>
      </c>
      <c r="I10037" s="8">
        <v>526.6875</v>
      </c>
      <c r="J10037" s="3">
        <f t="shared" si="156"/>
        <v>43749.211020937502</v>
      </c>
    </row>
    <row r="10038" spans="1:10" x14ac:dyDescent="0.25">
      <c r="A10038" s="5" t="s">
        <v>45713</v>
      </c>
      <c r="B10038" s="6">
        <v>393.75</v>
      </c>
      <c r="C10038" s="6">
        <v>20.478950000000001</v>
      </c>
      <c r="D10038" s="6">
        <v>51</v>
      </c>
      <c r="E10038" s="6">
        <v>0</v>
      </c>
      <c r="F10038" s="6">
        <v>0</v>
      </c>
      <c r="G10038" s="6">
        <v>9</v>
      </c>
      <c r="H10038" s="6" t="s">
        <v>45714</v>
      </c>
      <c r="I10038" s="6">
        <v>526.6875</v>
      </c>
      <c r="J10038" s="2">
        <f t="shared" si="156"/>
        <v>43749.211092476849</v>
      </c>
    </row>
    <row r="10039" spans="1:10" x14ac:dyDescent="0.25">
      <c r="A10039" s="7" t="s">
        <v>45715</v>
      </c>
      <c r="B10039" s="8">
        <v>393.75</v>
      </c>
      <c r="C10039" s="8">
        <v>20.478950000000001</v>
      </c>
      <c r="D10039" s="8">
        <v>51</v>
      </c>
      <c r="E10039" s="8">
        <v>0</v>
      </c>
      <c r="F10039" s="8">
        <v>0</v>
      </c>
      <c r="G10039" s="8">
        <v>7</v>
      </c>
      <c r="H10039" s="8" t="s">
        <v>45716</v>
      </c>
      <c r="I10039" s="8">
        <v>526.6875</v>
      </c>
      <c r="J10039" s="3">
        <f t="shared" si="156"/>
        <v>43749.211175925921</v>
      </c>
    </row>
    <row r="10040" spans="1:10" x14ac:dyDescent="0.25">
      <c r="A10040" s="5" t="s">
        <v>45717</v>
      </c>
      <c r="B10040" s="6">
        <v>393.75</v>
      </c>
      <c r="C10040" s="6">
        <v>20.478950000000001</v>
      </c>
      <c r="D10040" s="6">
        <v>55</v>
      </c>
      <c r="E10040" s="6">
        <v>0</v>
      </c>
      <c r="F10040" s="6">
        <v>0</v>
      </c>
      <c r="G10040" s="6">
        <v>4</v>
      </c>
      <c r="H10040" s="6" t="s">
        <v>45718</v>
      </c>
      <c r="I10040" s="6">
        <v>526.6875</v>
      </c>
      <c r="J10040" s="2">
        <f t="shared" si="156"/>
        <v>43749.211259432872</v>
      </c>
    </row>
    <row r="10041" spans="1:10" x14ac:dyDescent="0.25">
      <c r="A10041" s="7" t="s">
        <v>45719</v>
      </c>
      <c r="B10041" s="8">
        <v>393.75</v>
      </c>
      <c r="C10041" s="8">
        <v>20.478950000000001</v>
      </c>
      <c r="D10041" s="8">
        <v>55</v>
      </c>
      <c r="E10041" s="8">
        <v>0</v>
      </c>
      <c r="F10041" s="8">
        <v>0</v>
      </c>
      <c r="G10041" s="8">
        <v>6</v>
      </c>
      <c r="H10041" s="8" t="s">
        <v>45720</v>
      </c>
      <c r="I10041" s="8">
        <v>526.6875</v>
      </c>
      <c r="J10041" s="3">
        <f t="shared" si="156"/>
        <v>43749.21133027778</v>
      </c>
    </row>
    <row r="10042" spans="1:10" x14ac:dyDescent="0.25">
      <c r="A10042" s="5" t="s">
        <v>45721</v>
      </c>
      <c r="B10042" s="6">
        <v>440.625</v>
      </c>
      <c r="C10042" s="6">
        <v>20.478950000000001</v>
      </c>
      <c r="D10042" s="6">
        <v>52</v>
      </c>
      <c r="E10042" s="6">
        <v>0</v>
      </c>
      <c r="F10042" s="6">
        <v>0</v>
      </c>
      <c r="G10042" s="6">
        <v>1</v>
      </c>
      <c r="H10042" s="6" t="s">
        <v>45722</v>
      </c>
      <c r="I10042" s="6">
        <v>541.125</v>
      </c>
      <c r="J10042" s="2">
        <f t="shared" si="156"/>
        <v>43749.211402372683</v>
      </c>
    </row>
    <row r="10043" spans="1:10" x14ac:dyDescent="0.25">
      <c r="A10043" s="7" t="s">
        <v>45723</v>
      </c>
      <c r="B10043" s="8">
        <v>393.75</v>
      </c>
      <c r="C10043" s="8">
        <v>20.478950000000001</v>
      </c>
      <c r="D10043" s="8">
        <v>53</v>
      </c>
      <c r="E10043" s="8">
        <v>0</v>
      </c>
      <c r="F10043" s="8">
        <v>0</v>
      </c>
      <c r="G10043" s="8">
        <v>4</v>
      </c>
      <c r="H10043" s="8" t="s">
        <v>45724</v>
      </c>
      <c r="I10043" s="8">
        <v>526.6875</v>
      </c>
      <c r="J10043" s="3">
        <f t="shared" si="156"/>
        <v>43749.211485868051</v>
      </c>
    </row>
    <row r="10044" spans="1:10" x14ac:dyDescent="0.25">
      <c r="A10044" s="5" t="s">
        <v>45725</v>
      </c>
      <c r="B10044" s="6">
        <v>393.75</v>
      </c>
      <c r="C10044" s="6">
        <v>20.478950000000001</v>
      </c>
      <c r="D10044" s="6">
        <v>54</v>
      </c>
      <c r="E10044" s="6">
        <v>0</v>
      </c>
      <c r="F10044" s="6">
        <v>0</v>
      </c>
      <c r="G10044" s="6">
        <v>3</v>
      </c>
      <c r="H10044" s="6" t="s">
        <v>45726</v>
      </c>
      <c r="I10044" s="6">
        <v>526.6875</v>
      </c>
      <c r="J10044" s="2">
        <f t="shared" si="156"/>
        <v>43749.211557499999</v>
      </c>
    </row>
    <row r="10045" spans="1:10" x14ac:dyDescent="0.25">
      <c r="A10045" s="7" t="s">
        <v>45727</v>
      </c>
      <c r="B10045" s="8">
        <v>393.75</v>
      </c>
      <c r="C10045" s="8">
        <v>20.478950000000001</v>
      </c>
      <c r="D10045" s="8">
        <v>54</v>
      </c>
      <c r="E10045" s="8">
        <v>0</v>
      </c>
      <c r="F10045" s="8">
        <v>0</v>
      </c>
      <c r="G10045" s="8">
        <v>10</v>
      </c>
      <c r="H10045" s="8" t="s">
        <v>45728</v>
      </c>
      <c r="I10045" s="8">
        <v>526.6875</v>
      </c>
      <c r="J10045" s="3">
        <f t="shared" si="156"/>
        <v>43749.211640972215</v>
      </c>
    </row>
    <row r="10046" spans="1:10" x14ac:dyDescent="0.25">
      <c r="A10046" s="5" t="s">
        <v>45729</v>
      </c>
      <c r="B10046" s="6">
        <v>393.75</v>
      </c>
      <c r="C10046" s="6">
        <v>20.478950000000001</v>
      </c>
      <c r="D10046" s="6">
        <v>53</v>
      </c>
      <c r="E10046" s="6">
        <v>0</v>
      </c>
      <c r="F10046" s="6">
        <v>0</v>
      </c>
      <c r="G10046" s="6">
        <v>10</v>
      </c>
      <c r="H10046" s="6" t="s">
        <v>45730</v>
      </c>
      <c r="I10046" s="6">
        <v>526.6875</v>
      </c>
      <c r="J10046" s="2">
        <f t="shared" si="156"/>
        <v>43749.211712581011</v>
      </c>
    </row>
    <row r="10047" spans="1:10" x14ac:dyDescent="0.25">
      <c r="A10047" s="7" t="s">
        <v>45731</v>
      </c>
      <c r="B10047" s="8">
        <v>393.75</v>
      </c>
      <c r="C10047" s="8">
        <v>20.426300000000001</v>
      </c>
      <c r="D10047" s="8">
        <v>53</v>
      </c>
      <c r="E10047" s="8">
        <v>0</v>
      </c>
      <c r="F10047" s="8">
        <v>0</v>
      </c>
      <c r="G10047" s="8">
        <v>9</v>
      </c>
      <c r="H10047" s="8" t="s">
        <v>45732</v>
      </c>
      <c r="I10047" s="8">
        <v>526.6875</v>
      </c>
      <c r="J10047" s="3">
        <f t="shared" si="156"/>
        <v>43749.211784004627</v>
      </c>
    </row>
    <row r="10048" spans="1:10" x14ac:dyDescent="0.25">
      <c r="A10048" s="5" t="s">
        <v>45733</v>
      </c>
      <c r="B10048" s="6">
        <v>393.75</v>
      </c>
      <c r="C10048" s="6">
        <v>20.478950000000001</v>
      </c>
      <c r="D10048" s="6">
        <v>54</v>
      </c>
      <c r="E10048" s="6">
        <v>0</v>
      </c>
      <c r="F10048" s="6">
        <v>0</v>
      </c>
      <c r="G10048" s="6">
        <v>5</v>
      </c>
      <c r="H10048" s="6" t="s">
        <v>45734</v>
      </c>
      <c r="I10048" s="6">
        <v>526.6875</v>
      </c>
      <c r="J10048" s="2">
        <f t="shared" si="156"/>
        <v>43749.211867905091</v>
      </c>
    </row>
    <row r="10049" spans="1:10" x14ac:dyDescent="0.25">
      <c r="A10049" s="7" t="s">
        <v>45735</v>
      </c>
      <c r="B10049" s="8">
        <v>393.75</v>
      </c>
      <c r="C10049" s="8">
        <v>20.478950000000001</v>
      </c>
      <c r="D10049" s="8">
        <v>54</v>
      </c>
      <c r="E10049" s="8">
        <v>0</v>
      </c>
      <c r="F10049" s="8">
        <v>0</v>
      </c>
      <c r="G10049" s="8">
        <v>11</v>
      </c>
      <c r="H10049" s="8" t="s">
        <v>45736</v>
      </c>
      <c r="I10049" s="8">
        <v>526.6875</v>
      </c>
      <c r="J10049" s="3">
        <f t="shared" si="156"/>
        <v>43749.211939050925</v>
      </c>
    </row>
    <row r="10050" spans="1:10" x14ac:dyDescent="0.25">
      <c r="A10050" s="5" t="s">
        <v>45737</v>
      </c>
      <c r="B10050" s="6">
        <v>393.75</v>
      </c>
      <c r="C10050" s="6">
        <v>20.426300000000001</v>
      </c>
      <c r="D10050" s="6">
        <v>55</v>
      </c>
      <c r="E10050" s="6">
        <v>0</v>
      </c>
      <c r="F10050" s="6">
        <v>0</v>
      </c>
      <c r="G10050" s="6">
        <v>4</v>
      </c>
      <c r="H10050" s="6" t="s">
        <v>45738</v>
      </c>
      <c r="I10050" s="6">
        <v>526.5</v>
      </c>
      <c r="J10050" s="2">
        <f t="shared" ref="J10050:J10113" si="157">(H10050/86400000)+25569+(7/24)</f>
        <v>43749.212022453699</v>
      </c>
    </row>
    <row r="10051" spans="1:10" x14ac:dyDescent="0.25">
      <c r="A10051" s="7" t="s">
        <v>45739</v>
      </c>
      <c r="B10051" s="8">
        <v>393.75</v>
      </c>
      <c r="C10051" s="8">
        <v>20.478950000000001</v>
      </c>
      <c r="D10051" s="8">
        <v>55</v>
      </c>
      <c r="E10051" s="8">
        <v>0</v>
      </c>
      <c r="F10051" s="8">
        <v>0</v>
      </c>
      <c r="G10051" s="8">
        <v>15</v>
      </c>
      <c r="H10051" s="8" t="s">
        <v>45740</v>
      </c>
      <c r="I10051" s="8">
        <v>526.6875</v>
      </c>
      <c r="J10051" s="3">
        <f t="shared" si="157"/>
        <v>43749.212106018516</v>
      </c>
    </row>
    <row r="10052" spans="1:10" x14ac:dyDescent="0.25">
      <c r="A10052" s="5" t="s">
        <v>45741</v>
      </c>
      <c r="B10052" s="6">
        <v>393.75</v>
      </c>
      <c r="C10052" s="6">
        <v>20.478950000000001</v>
      </c>
      <c r="D10052" s="6">
        <v>55</v>
      </c>
      <c r="E10052" s="6">
        <v>0</v>
      </c>
      <c r="F10052" s="6">
        <v>0</v>
      </c>
      <c r="G10052" s="6">
        <v>0</v>
      </c>
      <c r="H10052" s="6" t="s">
        <v>45742</v>
      </c>
      <c r="I10052" s="6">
        <v>526.6875</v>
      </c>
      <c r="J10052" s="2">
        <f t="shared" si="157"/>
        <v>43749.212189583333</v>
      </c>
    </row>
    <row r="10053" spans="1:10" x14ac:dyDescent="0.25">
      <c r="A10053" s="7" t="s">
        <v>45743</v>
      </c>
      <c r="B10053" s="8">
        <v>393.75</v>
      </c>
      <c r="C10053" s="8">
        <v>20.478950000000001</v>
      </c>
      <c r="D10053" s="8">
        <v>54</v>
      </c>
      <c r="E10053" s="8">
        <v>0</v>
      </c>
      <c r="F10053" s="8">
        <v>0</v>
      </c>
      <c r="G10053" s="8">
        <v>0</v>
      </c>
      <c r="H10053" s="8" t="s">
        <v>45744</v>
      </c>
      <c r="I10053" s="8">
        <v>526.6875</v>
      </c>
      <c r="J10053" s="3">
        <f t="shared" si="157"/>
        <v>43749.212272881945</v>
      </c>
    </row>
    <row r="10054" spans="1:10" x14ac:dyDescent="0.25">
      <c r="A10054" s="5" t="s">
        <v>45745</v>
      </c>
      <c r="B10054" s="6">
        <v>393.75</v>
      </c>
      <c r="C10054" s="6">
        <v>20.478950000000001</v>
      </c>
      <c r="D10054" s="6">
        <v>53</v>
      </c>
      <c r="E10054" s="6">
        <v>0</v>
      </c>
      <c r="F10054" s="6">
        <v>0</v>
      </c>
      <c r="G10054" s="6">
        <v>12</v>
      </c>
      <c r="H10054" s="6" t="s">
        <v>45746</v>
      </c>
      <c r="I10054" s="6">
        <v>526.6875</v>
      </c>
      <c r="J10054" s="2">
        <f t="shared" si="157"/>
        <v>43749.21234450231</v>
      </c>
    </row>
    <row r="10055" spans="1:10" x14ac:dyDescent="0.25">
      <c r="A10055" s="7" t="s">
        <v>45747</v>
      </c>
      <c r="B10055" s="8">
        <v>393.75</v>
      </c>
      <c r="C10055" s="8">
        <v>20.478950000000001</v>
      </c>
      <c r="D10055" s="8">
        <v>54</v>
      </c>
      <c r="E10055" s="8">
        <v>0</v>
      </c>
      <c r="F10055" s="8">
        <v>0</v>
      </c>
      <c r="G10055" s="8">
        <v>8</v>
      </c>
      <c r="H10055" s="8" t="s">
        <v>45748</v>
      </c>
      <c r="I10055" s="8">
        <v>526.6875</v>
      </c>
      <c r="J10055" s="3">
        <f t="shared" si="157"/>
        <v>43749.212427997678</v>
      </c>
    </row>
    <row r="10056" spans="1:10" x14ac:dyDescent="0.25">
      <c r="A10056" s="5" t="s">
        <v>45749</v>
      </c>
      <c r="B10056" s="6">
        <v>393.75</v>
      </c>
      <c r="C10056" s="6">
        <v>20.426300000000001</v>
      </c>
      <c r="D10056" s="6">
        <v>58</v>
      </c>
      <c r="E10056" s="6">
        <v>0</v>
      </c>
      <c r="F10056" s="6">
        <v>0</v>
      </c>
      <c r="G10056" s="6">
        <v>11</v>
      </c>
      <c r="H10056" s="6" t="s">
        <v>45750</v>
      </c>
      <c r="I10056" s="6">
        <v>526.6875</v>
      </c>
      <c r="J10056" s="2">
        <f t="shared" si="157"/>
        <v>43749.212499467591</v>
      </c>
    </row>
    <row r="10057" spans="1:10" x14ac:dyDescent="0.25">
      <c r="A10057" s="7" t="s">
        <v>45751</v>
      </c>
      <c r="B10057" s="8">
        <v>393.75</v>
      </c>
      <c r="C10057" s="8">
        <v>20.478950000000001</v>
      </c>
      <c r="D10057" s="8">
        <v>56</v>
      </c>
      <c r="E10057" s="8">
        <v>0</v>
      </c>
      <c r="F10057" s="8">
        <v>0</v>
      </c>
      <c r="G10057" s="8">
        <v>9</v>
      </c>
      <c r="H10057" s="8" t="s">
        <v>45752</v>
      </c>
      <c r="I10057" s="8">
        <v>526.6875</v>
      </c>
      <c r="J10057" s="3">
        <f t="shared" si="157"/>
        <v>43749.21259456018</v>
      </c>
    </row>
    <row r="10058" spans="1:10" x14ac:dyDescent="0.25">
      <c r="A10058" s="5" t="s">
        <v>45753</v>
      </c>
      <c r="B10058" s="6">
        <v>393.75</v>
      </c>
      <c r="C10058" s="6">
        <v>20.478950000000001</v>
      </c>
      <c r="D10058" s="6">
        <v>56</v>
      </c>
      <c r="E10058" s="6">
        <v>0</v>
      </c>
      <c r="F10058" s="6">
        <v>0</v>
      </c>
      <c r="G10058" s="6">
        <v>17</v>
      </c>
      <c r="H10058" s="6" t="s">
        <v>45754</v>
      </c>
      <c r="I10058" s="6">
        <v>526.6875</v>
      </c>
      <c r="J10058" s="2">
        <f t="shared" si="157"/>
        <v>43749.212678460644</v>
      </c>
    </row>
    <row r="10059" spans="1:10" x14ac:dyDescent="0.25">
      <c r="A10059" s="7" t="s">
        <v>45755</v>
      </c>
      <c r="B10059" s="8">
        <v>393.75</v>
      </c>
      <c r="C10059" s="8">
        <v>20.478950000000001</v>
      </c>
      <c r="D10059" s="8">
        <v>57</v>
      </c>
      <c r="E10059" s="8">
        <v>0</v>
      </c>
      <c r="F10059" s="8">
        <v>0</v>
      </c>
      <c r="G10059" s="8">
        <v>5</v>
      </c>
      <c r="H10059" s="8" t="s">
        <v>45756</v>
      </c>
      <c r="I10059" s="8">
        <v>526.6875</v>
      </c>
      <c r="J10059" s="3">
        <f t="shared" si="157"/>
        <v>43749.212761886571</v>
      </c>
    </row>
    <row r="10060" spans="1:10" x14ac:dyDescent="0.25">
      <c r="A10060" s="5" t="s">
        <v>45757</v>
      </c>
      <c r="B10060" s="6">
        <v>393.75</v>
      </c>
      <c r="C10060" s="6">
        <v>20.478950000000001</v>
      </c>
      <c r="D10060" s="6">
        <v>57</v>
      </c>
      <c r="E10060" s="6">
        <v>0</v>
      </c>
      <c r="F10060" s="6">
        <v>0</v>
      </c>
      <c r="G10060" s="6">
        <v>2</v>
      </c>
      <c r="H10060" s="6" t="s">
        <v>45758</v>
      </c>
      <c r="I10060" s="6">
        <v>526.6875</v>
      </c>
      <c r="J10060" s="2">
        <f t="shared" si="157"/>
        <v>43749.212845127309</v>
      </c>
    </row>
    <row r="10061" spans="1:10" x14ac:dyDescent="0.25">
      <c r="A10061" s="7" t="s">
        <v>45759</v>
      </c>
      <c r="B10061" s="8">
        <v>393.75</v>
      </c>
      <c r="C10061" s="8">
        <v>20.478950000000001</v>
      </c>
      <c r="D10061" s="8">
        <v>57</v>
      </c>
      <c r="E10061" s="8">
        <v>0</v>
      </c>
      <c r="F10061" s="8">
        <v>0</v>
      </c>
      <c r="G10061" s="8">
        <v>5</v>
      </c>
      <c r="H10061" s="8" t="s">
        <v>45760</v>
      </c>
      <c r="I10061" s="8">
        <v>526.5</v>
      </c>
      <c r="J10061" s="3">
        <f t="shared" si="157"/>
        <v>43749.212916840275</v>
      </c>
    </row>
    <row r="10062" spans="1:10" x14ac:dyDescent="0.25">
      <c r="A10062" s="5" t="s">
        <v>45761</v>
      </c>
      <c r="B10062" s="6">
        <v>393.75</v>
      </c>
      <c r="C10062" s="6">
        <v>20.426300000000001</v>
      </c>
      <c r="D10062" s="6">
        <v>54</v>
      </c>
      <c r="E10062" s="6">
        <v>0</v>
      </c>
      <c r="F10062" s="6">
        <v>0</v>
      </c>
      <c r="G10062" s="6">
        <v>15</v>
      </c>
      <c r="H10062" s="6" t="s">
        <v>45762</v>
      </c>
      <c r="I10062" s="6">
        <v>526.6875</v>
      </c>
      <c r="J10062" s="2">
        <f t="shared" si="157"/>
        <v>43749.213000254626</v>
      </c>
    </row>
    <row r="10063" spans="1:10" x14ac:dyDescent="0.25">
      <c r="A10063" s="7" t="s">
        <v>45763</v>
      </c>
      <c r="B10063" s="8">
        <v>393.75</v>
      </c>
      <c r="C10063" s="8">
        <v>20.478950000000001</v>
      </c>
      <c r="D10063" s="8">
        <v>55</v>
      </c>
      <c r="E10063" s="8">
        <v>0</v>
      </c>
      <c r="F10063" s="8">
        <v>0</v>
      </c>
      <c r="G10063" s="8">
        <v>8</v>
      </c>
      <c r="H10063" s="8" t="s">
        <v>45764</v>
      </c>
      <c r="I10063" s="8">
        <v>526.6875</v>
      </c>
      <c r="J10063" s="3">
        <f t="shared" si="157"/>
        <v>43749.213071851853</v>
      </c>
    </row>
    <row r="10064" spans="1:10" x14ac:dyDescent="0.25">
      <c r="A10064" s="5" t="s">
        <v>45765</v>
      </c>
      <c r="B10064" s="6">
        <v>393.75</v>
      </c>
      <c r="C10064" s="6">
        <v>20.478950000000001</v>
      </c>
      <c r="D10064" s="6">
        <v>55</v>
      </c>
      <c r="E10064" s="6">
        <v>0</v>
      </c>
      <c r="F10064" s="6">
        <v>0</v>
      </c>
      <c r="G10064" s="6">
        <v>11</v>
      </c>
      <c r="H10064" s="6" t="s">
        <v>45766</v>
      </c>
      <c r="I10064" s="6">
        <v>526.6875</v>
      </c>
      <c r="J10064" s="2">
        <f t="shared" si="157"/>
        <v>43749.213143437497</v>
      </c>
    </row>
    <row r="10065" spans="1:10" x14ac:dyDescent="0.25">
      <c r="A10065" s="7" t="s">
        <v>45767</v>
      </c>
      <c r="B10065" s="8">
        <v>393.75</v>
      </c>
      <c r="C10065" s="8">
        <v>20.478950000000001</v>
      </c>
      <c r="D10065" s="8">
        <v>55</v>
      </c>
      <c r="E10065" s="8">
        <v>0</v>
      </c>
      <c r="F10065" s="8">
        <v>0</v>
      </c>
      <c r="G10065" s="8">
        <v>5</v>
      </c>
      <c r="H10065" s="8" t="s">
        <v>45768</v>
      </c>
      <c r="I10065" s="8">
        <v>526.6875</v>
      </c>
      <c r="J10065" s="3">
        <f t="shared" si="157"/>
        <v>43749.213226620363</v>
      </c>
    </row>
    <row r="10066" spans="1:10" x14ac:dyDescent="0.25">
      <c r="A10066" s="5" t="s">
        <v>45769</v>
      </c>
      <c r="B10066" s="6">
        <v>393.75</v>
      </c>
      <c r="C10066" s="6">
        <v>20.478950000000001</v>
      </c>
      <c r="D10066" s="6">
        <v>55</v>
      </c>
      <c r="E10066" s="6">
        <v>0</v>
      </c>
      <c r="F10066" s="6">
        <v>0</v>
      </c>
      <c r="G10066" s="6">
        <v>10</v>
      </c>
      <c r="H10066" s="6" t="s">
        <v>45770</v>
      </c>
      <c r="I10066" s="6">
        <v>526.6875</v>
      </c>
      <c r="J10066" s="2">
        <f t="shared" si="157"/>
        <v>43749.213298229166</v>
      </c>
    </row>
    <row r="10067" spans="1:10" x14ac:dyDescent="0.25">
      <c r="A10067" s="7" t="s">
        <v>45771</v>
      </c>
      <c r="B10067" s="8">
        <v>393.75</v>
      </c>
      <c r="C10067" s="8">
        <v>20.478950000000001</v>
      </c>
      <c r="D10067" s="8">
        <v>55</v>
      </c>
      <c r="E10067" s="8">
        <v>0</v>
      </c>
      <c r="F10067" s="8">
        <v>0</v>
      </c>
      <c r="G10067" s="8">
        <v>9</v>
      </c>
      <c r="H10067" s="8" t="s">
        <v>45772</v>
      </c>
      <c r="I10067" s="8">
        <v>526.6875</v>
      </c>
      <c r="J10067" s="3">
        <f t="shared" si="157"/>
        <v>43749.213370023142</v>
      </c>
    </row>
    <row r="10068" spans="1:10" x14ac:dyDescent="0.25">
      <c r="A10068" s="5" t="s">
        <v>45773</v>
      </c>
      <c r="B10068" s="6">
        <v>393.75</v>
      </c>
      <c r="C10068" s="6">
        <v>20.426300000000001</v>
      </c>
      <c r="D10068" s="6">
        <v>55</v>
      </c>
      <c r="E10068" s="6">
        <v>0</v>
      </c>
      <c r="F10068" s="6">
        <v>0</v>
      </c>
      <c r="G10068" s="6">
        <v>7</v>
      </c>
      <c r="H10068" s="6" t="s">
        <v>45774</v>
      </c>
      <c r="I10068" s="6">
        <v>526.5</v>
      </c>
      <c r="J10068" s="2">
        <f t="shared" si="157"/>
        <v>43749.213465439818</v>
      </c>
    </row>
    <row r="10069" spans="1:10" x14ac:dyDescent="0.25">
      <c r="A10069" s="7" t="s">
        <v>45775</v>
      </c>
      <c r="B10069" s="8">
        <v>393.75</v>
      </c>
      <c r="C10069" s="8">
        <v>20.478950000000001</v>
      </c>
      <c r="D10069" s="8">
        <v>55</v>
      </c>
      <c r="E10069" s="8">
        <v>0</v>
      </c>
      <c r="F10069" s="8">
        <v>0</v>
      </c>
      <c r="G10069" s="8">
        <v>6</v>
      </c>
      <c r="H10069" s="8" t="s">
        <v>45776</v>
      </c>
      <c r="I10069" s="8">
        <v>526.6875</v>
      </c>
      <c r="J10069" s="3">
        <f t="shared" si="157"/>
        <v>43749.213548900465</v>
      </c>
    </row>
    <row r="10070" spans="1:10" x14ac:dyDescent="0.25">
      <c r="A10070" s="5" t="s">
        <v>45777</v>
      </c>
      <c r="B10070" s="6">
        <v>393.75</v>
      </c>
      <c r="C10070" s="6">
        <v>20.426300000000001</v>
      </c>
      <c r="D10070" s="6">
        <v>55</v>
      </c>
      <c r="E10070" s="6">
        <v>0</v>
      </c>
      <c r="F10070" s="6">
        <v>0</v>
      </c>
      <c r="G10070" s="6">
        <v>11</v>
      </c>
      <c r="H10070" s="6" t="s">
        <v>45778</v>
      </c>
      <c r="I10070" s="6">
        <v>526.6875</v>
      </c>
      <c r="J10070" s="2">
        <f t="shared" si="157"/>
        <v>43749.213644259253</v>
      </c>
    </row>
    <row r="10071" spans="1:10" x14ac:dyDescent="0.25">
      <c r="A10071" s="7" t="s">
        <v>45779</v>
      </c>
      <c r="B10071" s="8">
        <v>393.75</v>
      </c>
      <c r="C10071" s="8">
        <v>20.478950000000001</v>
      </c>
      <c r="D10071" s="8">
        <v>55</v>
      </c>
      <c r="E10071" s="8">
        <v>0</v>
      </c>
      <c r="F10071" s="8">
        <v>0</v>
      </c>
      <c r="G10071" s="8">
        <v>13</v>
      </c>
      <c r="H10071" s="8" t="s">
        <v>45780</v>
      </c>
      <c r="I10071" s="8">
        <v>526.6875</v>
      </c>
      <c r="J10071" s="3">
        <f t="shared" si="157"/>
        <v>43749.213727337956</v>
      </c>
    </row>
    <row r="10072" spans="1:10" x14ac:dyDescent="0.25">
      <c r="A10072" s="5" t="s">
        <v>45781</v>
      </c>
      <c r="B10072" s="6">
        <v>393.75</v>
      </c>
      <c r="C10072" s="6">
        <v>20.478950000000001</v>
      </c>
      <c r="D10072" s="6">
        <v>55</v>
      </c>
      <c r="E10072" s="6">
        <v>0</v>
      </c>
      <c r="F10072" s="6">
        <v>0</v>
      </c>
      <c r="G10072" s="6">
        <v>8</v>
      </c>
      <c r="H10072" s="6" t="s">
        <v>45782</v>
      </c>
      <c r="I10072" s="6">
        <v>526.6875</v>
      </c>
      <c r="J10072" s="2">
        <f t="shared" si="157"/>
        <v>43749.213799351848</v>
      </c>
    </row>
    <row r="10073" spans="1:10" x14ac:dyDescent="0.25">
      <c r="A10073" s="7" t="s">
        <v>45783</v>
      </c>
      <c r="B10073" s="8">
        <v>393.75</v>
      </c>
      <c r="C10073" s="8">
        <v>20.426300000000001</v>
      </c>
      <c r="D10073" s="8">
        <v>55</v>
      </c>
      <c r="E10073" s="8">
        <v>0</v>
      </c>
      <c r="F10073" s="8">
        <v>0</v>
      </c>
      <c r="G10073" s="8">
        <v>13</v>
      </c>
      <c r="H10073" s="8" t="s">
        <v>45784</v>
      </c>
      <c r="I10073" s="8">
        <v>526.5</v>
      </c>
      <c r="J10073" s="3">
        <f t="shared" si="157"/>
        <v>43749.213882569442</v>
      </c>
    </row>
    <row r="10074" spans="1:10" x14ac:dyDescent="0.25">
      <c r="A10074" s="5" t="s">
        <v>45785</v>
      </c>
      <c r="B10074" s="6">
        <v>393.75</v>
      </c>
      <c r="C10074" s="6">
        <v>20.426300000000001</v>
      </c>
      <c r="D10074" s="6">
        <v>56</v>
      </c>
      <c r="E10074" s="6">
        <v>0</v>
      </c>
      <c r="F10074" s="6">
        <v>0</v>
      </c>
      <c r="G10074" s="6">
        <v>13</v>
      </c>
      <c r="H10074" s="6" t="s">
        <v>45786</v>
      </c>
      <c r="I10074" s="6">
        <v>526.6875</v>
      </c>
      <c r="J10074" s="2">
        <f t="shared" si="157"/>
        <v>43749.213954317129</v>
      </c>
    </row>
    <row r="10075" spans="1:10" x14ac:dyDescent="0.25">
      <c r="A10075" s="7" t="s">
        <v>45787</v>
      </c>
      <c r="B10075" s="8">
        <v>393.75</v>
      </c>
      <c r="C10075" s="8">
        <v>20.426300000000001</v>
      </c>
      <c r="D10075" s="8">
        <v>57</v>
      </c>
      <c r="E10075" s="8">
        <v>0</v>
      </c>
      <c r="F10075" s="8">
        <v>0</v>
      </c>
      <c r="G10075" s="8">
        <v>4</v>
      </c>
      <c r="H10075" s="8" t="s">
        <v>45788</v>
      </c>
      <c r="I10075" s="8">
        <v>526.6875</v>
      </c>
      <c r="J10075" s="3">
        <f t="shared" si="157"/>
        <v>43749.2140377662</v>
      </c>
    </row>
    <row r="10076" spans="1:10" x14ac:dyDescent="0.25">
      <c r="A10076" s="5" t="s">
        <v>45789</v>
      </c>
      <c r="B10076" s="6">
        <v>393.75</v>
      </c>
      <c r="C10076" s="6">
        <v>20.478950000000001</v>
      </c>
      <c r="D10076" s="6">
        <v>57</v>
      </c>
      <c r="E10076" s="6">
        <v>0</v>
      </c>
      <c r="F10076" s="6">
        <v>0</v>
      </c>
      <c r="G10076" s="6">
        <v>9</v>
      </c>
      <c r="H10076" s="6" t="s">
        <v>45790</v>
      </c>
      <c r="I10076" s="6">
        <v>526.6875</v>
      </c>
      <c r="J10076" s="2">
        <f t="shared" si="157"/>
        <v>43749.214121296296</v>
      </c>
    </row>
    <row r="10077" spans="1:10" x14ac:dyDescent="0.25">
      <c r="A10077" s="7" t="s">
        <v>45791</v>
      </c>
      <c r="B10077" s="8">
        <v>412.5</v>
      </c>
      <c r="C10077" s="8">
        <v>20.426300000000001</v>
      </c>
      <c r="D10077" s="8">
        <v>57</v>
      </c>
      <c r="E10077" s="8">
        <v>0</v>
      </c>
      <c r="F10077" s="8">
        <v>0</v>
      </c>
      <c r="G10077" s="8">
        <v>9</v>
      </c>
      <c r="H10077" s="8" t="s">
        <v>45792</v>
      </c>
      <c r="I10077" s="8">
        <v>532.125</v>
      </c>
      <c r="J10077" s="3">
        <f t="shared" si="157"/>
        <v>43749.214204444441</v>
      </c>
    </row>
    <row r="10078" spans="1:10" x14ac:dyDescent="0.25">
      <c r="A10078" s="5" t="s">
        <v>45793</v>
      </c>
      <c r="B10078" s="6">
        <v>393.75</v>
      </c>
      <c r="C10078" s="6">
        <v>20.478950000000001</v>
      </c>
      <c r="D10078" s="6">
        <v>57</v>
      </c>
      <c r="E10078" s="6">
        <v>0</v>
      </c>
      <c r="F10078" s="6">
        <v>0</v>
      </c>
      <c r="G10078" s="6">
        <v>12</v>
      </c>
      <c r="H10078" s="6" t="s">
        <v>45794</v>
      </c>
      <c r="I10078" s="6">
        <v>526.6875</v>
      </c>
      <c r="J10078" s="2">
        <f t="shared" si="157"/>
        <v>43749.214276249993</v>
      </c>
    </row>
    <row r="10079" spans="1:10" x14ac:dyDescent="0.25">
      <c r="A10079" s="7" t="s">
        <v>45795</v>
      </c>
      <c r="B10079" s="8">
        <v>393.75</v>
      </c>
      <c r="C10079" s="8">
        <v>20.478950000000001</v>
      </c>
      <c r="D10079" s="8">
        <v>57</v>
      </c>
      <c r="E10079" s="8">
        <v>0</v>
      </c>
      <c r="F10079" s="8">
        <v>0</v>
      </c>
      <c r="G10079" s="8">
        <v>8</v>
      </c>
      <c r="H10079" s="8" t="s">
        <v>45796</v>
      </c>
      <c r="I10079" s="8">
        <v>526.5</v>
      </c>
      <c r="J10079" s="3">
        <f t="shared" si="157"/>
        <v>43749.214359756945</v>
      </c>
    </row>
    <row r="10080" spans="1:10" x14ac:dyDescent="0.25">
      <c r="A10080" s="5" t="s">
        <v>45797</v>
      </c>
      <c r="B10080" s="6">
        <v>393.75</v>
      </c>
      <c r="C10080" s="6">
        <v>20.478950000000001</v>
      </c>
      <c r="D10080" s="6">
        <v>58</v>
      </c>
      <c r="E10080" s="6">
        <v>0</v>
      </c>
      <c r="F10080" s="6">
        <v>0</v>
      </c>
      <c r="G10080" s="6">
        <v>6</v>
      </c>
      <c r="H10080" s="6" t="s">
        <v>45798</v>
      </c>
      <c r="I10080" s="6">
        <v>526.6875</v>
      </c>
      <c r="J10080" s="2">
        <f t="shared" si="157"/>
        <v>43749.214443182871</v>
      </c>
    </row>
    <row r="10081" spans="1:10" x14ac:dyDescent="0.25">
      <c r="A10081" s="7" t="s">
        <v>45799</v>
      </c>
      <c r="B10081" s="8">
        <v>393.75</v>
      </c>
      <c r="C10081" s="8">
        <v>20.426300000000001</v>
      </c>
      <c r="D10081" s="8">
        <v>58</v>
      </c>
      <c r="E10081" s="8">
        <v>0</v>
      </c>
      <c r="F10081" s="8">
        <v>0</v>
      </c>
      <c r="G10081" s="8">
        <v>8</v>
      </c>
      <c r="H10081" s="8" t="s">
        <v>45800</v>
      </c>
      <c r="I10081" s="8">
        <v>526.5</v>
      </c>
      <c r="J10081" s="3">
        <f t="shared" si="157"/>
        <v>43749.214526574076</v>
      </c>
    </row>
    <row r="10082" spans="1:10" x14ac:dyDescent="0.25">
      <c r="A10082" s="5" t="s">
        <v>45801</v>
      </c>
      <c r="B10082" s="6">
        <v>428.125</v>
      </c>
      <c r="C10082" s="6">
        <v>20.478950000000001</v>
      </c>
      <c r="D10082" s="6">
        <v>58</v>
      </c>
      <c r="E10082" s="6">
        <v>0</v>
      </c>
      <c r="F10082" s="6">
        <v>0</v>
      </c>
      <c r="G10082" s="6">
        <v>11</v>
      </c>
      <c r="H10082" s="6" t="s">
        <v>45802</v>
      </c>
      <c r="I10082" s="6">
        <v>537</v>
      </c>
      <c r="J10082" s="2">
        <f t="shared" si="157"/>
        <v>43749.214610219904</v>
      </c>
    </row>
    <row r="10083" spans="1:10" x14ac:dyDescent="0.25">
      <c r="A10083" s="7" t="s">
        <v>45803</v>
      </c>
      <c r="B10083" s="8">
        <v>393.75</v>
      </c>
      <c r="C10083" s="8">
        <v>20.478950000000001</v>
      </c>
      <c r="D10083" s="8">
        <v>58</v>
      </c>
      <c r="E10083" s="8">
        <v>0</v>
      </c>
      <c r="F10083" s="8">
        <v>0</v>
      </c>
      <c r="G10083" s="8">
        <v>7</v>
      </c>
      <c r="H10083" s="8" t="s">
        <v>45804</v>
      </c>
      <c r="I10083" s="8">
        <v>526.5</v>
      </c>
      <c r="J10083" s="3">
        <f t="shared" si="157"/>
        <v>43749.214681597216</v>
      </c>
    </row>
    <row r="10084" spans="1:10" x14ac:dyDescent="0.25">
      <c r="A10084" s="5" t="s">
        <v>45805</v>
      </c>
      <c r="B10084" s="6">
        <v>393.75</v>
      </c>
      <c r="C10084" s="6">
        <v>20.478950000000001</v>
      </c>
      <c r="D10084" s="6">
        <v>49</v>
      </c>
      <c r="E10084" s="6">
        <v>0</v>
      </c>
      <c r="F10084" s="6">
        <v>0</v>
      </c>
      <c r="G10084" s="6">
        <v>11</v>
      </c>
      <c r="H10084" s="6" t="s">
        <v>45806</v>
      </c>
      <c r="I10084" s="6">
        <v>526.6875</v>
      </c>
      <c r="J10084" s="2">
        <f t="shared" si="157"/>
        <v>43749.214764837961</v>
      </c>
    </row>
    <row r="10085" spans="1:10" x14ac:dyDescent="0.25">
      <c r="A10085" s="7" t="s">
        <v>45807</v>
      </c>
      <c r="B10085" s="8">
        <v>393.75</v>
      </c>
      <c r="C10085" s="8">
        <v>20.478950000000001</v>
      </c>
      <c r="D10085" s="8">
        <v>50</v>
      </c>
      <c r="E10085" s="8">
        <v>0</v>
      </c>
      <c r="F10085" s="8">
        <v>0</v>
      </c>
      <c r="G10085" s="8">
        <v>11</v>
      </c>
      <c r="H10085" s="8" t="s">
        <v>45808</v>
      </c>
      <c r="I10085" s="8">
        <v>526.6875</v>
      </c>
      <c r="J10085" s="3">
        <f t="shared" si="157"/>
        <v>43749.214848645832</v>
      </c>
    </row>
    <row r="10086" spans="1:10" x14ac:dyDescent="0.25">
      <c r="A10086" s="5" t="s">
        <v>45809</v>
      </c>
      <c r="B10086" s="6">
        <v>393.75</v>
      </c>
      <c r="C10086" s="6">
        <v>20.478950000000001</v>
      </c>
      <c r="D10086" s="6">
        <v>50</v>
      </c>
      <c r="E10086" s="6">
        <v>0</v>
      </c>
      <c r="F10086" s="6">
        <v>0</v>
      </c>
      <c r="G10086" s="6">
        <v>11</v>
      </c>
      <c r="H10086" s="6" t="s">
        <v>45810</v>
      </c>
      <c r="I10086" s="6">
        <v>526.6875</v>
      </c>
      <c r="J10086" s="2">
        <f t="shared" si="157"/>
        <v>43749.214932152776</v>
      </c>
    </row>
    <row r="10087" spans="1:10" x14ac:dyDescent="0.25">
      <c r="A10087" s="7" t="s">
        <v>45811</v>
      </c>
      <c r="B10087" s="8">
        <v>393.75</v>
      </c>
      <c r="C10087" s="8">
        <v>20.478950000000001</v>
      </c>
      <c r="D10087" s="8">
        <v>50</v>
      </c>
      <c r="E10087" s="8">
        <v>0</v>
      </c>
      <c r="F10087" s="8">
        <v>0</v>
      </c>
      <c r="G10087" s="8">
        <v>11</v>
      </c>
      <c r="H10087" s="8" t="s">
        <v>45812</v>
      </c>
      <c r="I10087" s="8">
        <v>526.6875</v>
      </c>
      <c r="J10087" s="3">
        <f t="shared" si="157"/>
        <v>43749.215003599536</v>
      </c>
    </row>
    <row r="10088" spans="1:10" x14ac:dyDescent="0.25">
      <c r="A10088" s="5" t="s">
        <v>45813</v>
      </c>
      <c r="B10088" s="6">
        <v>393.75</v>
      </c>
      <c r="C10088" s="6">
        <v>20.426300000000001</v>
      </c>
      <c r="D10088" s="6">
        <v>50</v>
      </c>
      <c r="E10088" s="6">
        <v>0</v>
      </c>
      <c r="F10088" s="6">
        <v>0</v>
      </c>
      <c r="G10088" s="6">
        <v>5</v>
      </c>
      <c r="H10088" s="6" t="s">
        <v>45814</v>
      </c>
      <c r="I10088" s="6">
        <v>526.6875</v>
      </c>
      <c r="J10088" s="2">
        <f t="shared" si="157"/>
        <v>43749.215074872678</v>
      </c>
    </row>
    <row r="10089" spans="1:10" x14ac:dyDescent="0.25">
      <c r="A10089" s="7" t="s">
        <v>45815</v>
      </c>
      <c r="B10089" s="8">
        <v>393.75</v>
      </c>
      <c r="C10089" s="8">
        <v>20.478950000000001</v>
      </c>
      <c r="D10089" s="8">
        <v>51</v>
      </c>
      <c r="E10089" s="8">
        <v>0</v>
      </c>
      <c r="F10089" s="8">
        <v>0</v>
      </c>
      <c r="G10089" s="8">
        <v>11</v>
      </c>
      <c r="H10089" s="8" t="s">
        <v>45816</v>
      </c>
      <c r="I10089" s="8">
        <v>526.5</v>
      </c>
      <c r="J10089" s="3">
        <f t="shared" si="157"/>
        <v>43749.215158749997</v>
      </c>
    </row>
    <row r="10090" spans="1:10" x14ac:dyDescent="0.25">
      <c r="A10090" s="5" t="s">
        <v>45817</v>
      </c>
      <c r="B10090" s="6">
        <v>393.75</v>
      </c>
      <c r="C10090" s="6">
        <v>20.478950000000001</v>
      </c>
      <c r="D10090" s="6">
        <v>51</v>
      </c>
      <c r="E10090" s="6">
        <v>0</v>
      </c>
      <c r="F10090" s="6">
        <v>0</v>
      </c>
      <c r="G10090" s="6">
        <v>2</v>
      </c>
      <c r="H10090" s="6" t="s">
        <v>45818</v>
      </c>
      <c r="I10090" s="6">
        <v>526.6875</v>
      </c>
      <c r="J10090" s="2">
        <f t="shared" si="157"/>
        <v>43749.215229803238</v>
      </c>
    </row>
    <row r="10091" spans="1:10" x14ac:dyDescent="0.25">
      <c r="A10091" s="7" t="s">
        <v>45819</v>
      </c>
      <c r="B10091" s="8">
        <v>412.5</v>
      </c>
      <c r="C10091" s="8">
        <v>20.478950000000001</v>
      </c>
      <c r="D10091" s="8">
        <v>53</v>
      </c>
      <c r="E10091" s="8">
        <v>0</v>
      </c>
      <c r="F10091" s="8">
        <v>0</v>
      </c>
      <c r="G10091" s="8">
        <v>6</v>
      </c>
      <c r="H10091" s="8" t="s">
        <v>45820</v>
      </c>
      <c r="I10091" s="8">
        <v>532.3125</v>
      </c>
      <c r="J10091" s="3">
        <f t="shared" si="157"/>
        <v>43749.215301678239</v>
      </c>
    </row>
    <row r="10092" spans="1:10" x14ac:dyDescent="0.25">
      <c r="A10092" s="5" t="s">
        <v>45821</v>
      </c>
      <c r="B10092" s="6">
        <v>393.75</v>
      </c>
      <c r="C10092" s="6">
        <v>20.478950000000001</v>
      </c>
      <c r="D10092" s="6">
        <v>52</v>
      </c>
      <c r="E10092" s="6">
        <v>0</v>
      </c>
      <c r="F10092" s="6">
        <v>0</v>
      </c>
      <c r="G10092" s="6">
        <v>13</v>
      </c>
      <c r="H10092" s="6" t="s">
        <v>45822</v>
      </c>
      <c r="I10092" s="6">
        <v>526.5</v>
      </c>
      <c r="J10092" s="2">
        <f t="shared" si="157"/>
        <v>43749.21538533565</v>
      </c>
    </row>
    <row r="10093" spans="1:10" x14ac:dyDescent="0.25">
      <c r="A10093" s="7" t="s">
        <v>45823</v>
      </c>
      <c r="B10093" s="8">
        <v>393.75</v>
      </c>
      <c r="C10093" s="8">
        <v>20.478950000000001</v>
      </c>
      <c r="D10093" s="8">
        <v>52</v>
      </c>
      <c r="E10093" s="8">
        <v>0</v>
      </c>
      <c r="F10093" s="8">
        <v>0</v>
      </c>
      <c r="G10093" s="8">
        <v>9</v>
      </c>
      <c r="H10093" s="8" t="s">
        <v>45824</v>
      </c>
      <c r="I10093" s="8">
        <v>526.6875</v>
      </c>
      <c r="J10093" s="3">
        <f t="shared" si="157"/>
        <v>43749.215468796298</v>
      </c>
    </row>
    <row r="10094" spans="1:10" x14ac:dyDescent="0.25">
      <c r="A10094" s="5" t="s">
        <v>45825</v>
      </c>
      <c r="B10094" s="6">
        <v>393.75</v>
      </c>
      <c r="C10094" s="6">
        <v>20.426300000000001</v>
      </c>
      <c r="D10094" s="6">
        <v>53</v>
      </c>
      <c r="E10094" s="6">
        <v>0</v>
      </c>
      <c r="F10094" s="6">
        <v>0</v>
      </c>
      <c r="G10094" s="6">
        <v>6</v>
      </c>
      <c r="H10094" s="6" t="s">
        <v>45826</v>
      </c>
      <c r="I10094" s="6">
        <v>526.6875</v>
      </c>
      <c r="J10094" s="2">
        <f t="shared" si="157"/>
        <v>43749.215552152775</v>
      </c>
    </row>
    <row r="10095" spans="1:10" x14ac:dyDescent="0.25">
      <c r="A10095" s="7" t="s">
        <v>45827</v>
      </c>
      <c r="B10095" s="8">
        <v>393.75</v>
      </c>
      <c r="C10095" s="8">
        <v>20.426300000000001</v>
      </c>
      <c r="D10095" s="8">
        <v>54</v>
      </c>
      <c r="E10095" s="8">
        <v>0</v>
      </c>
      <c r="F10095" s="8">
        <v>0</v>
      </c>
      <c r="G10095" s="8">
        <v>7</v>
      </c>
      <c r="H10095" s="8" t="s">
        <v>45828</v>
      </c>
      <c r="I10095" s="8">
        <v>526.6875</v>
      </c>
      <c r="J10095" s="3">
        <f t="shared" si="157"/>
        <v>43749.215635312496</v>
      </c>
    </row>
    <row r="10096" spans="1:10" x14ac:dyDescent="0.25">
      <c r="A10096" s="5" t="s">
        <v>45829</v>
      </c>
      <c r="B10096" s="6">
        <v>393.75</v>
      </c>
      <c r="C10096" s="6">
        <v>20.478950000000001</v>
      </c>
      <c r="D10096" s="6">
        <v>54</v>
      </c>
      <c r="E10096" s="6">
        <v>0</v>
      </c>
      <c r="F10096" s="6">
        <v>0</v>
      </c>
      <c r="G10096" s="6">
        <v>7</v>
      </c>
      <c r="H10096" s="6" t="s">
        <v>45830</v>
      </c>
      <c r="I10096" s="6">
        <v>526.6875</v>
      </c>
      <c r="J10096" s="2">
        <f t="shared" si="157"/>
        <v>43749.215719259257</v>
      </c>
    </row>
    <row r="10097" spans="1:10" x14ac:dyDescent="0.25">
      <c r="A10097" s="7" t="s">
        <v>45831</v>
      </c>
      <c r="B10097" s="8">
        <v>393.75</v>
      </c>
      <c r="C10097" s="8">
        <v>20.478950000000001</v>
      </c>
      <c r="D10097" s="8">
        <v>51</v>
      </c>
      <c r="E10097" s="8">
        <v>0</v>
      </c>
      <c r="F10097" s="8">
        <v>0</v>
      </c>
      <c r="G10097" s="8">
        <v>11</v>
      </c>
      <c r="H10097" s="8" t="s">
        <v>45832</v>
      </c>
      <c r="I10097" s="8">
        <v>526.6875</v>
      </c>
      <c r="J10097" s="3">
        <f t="shared" si="157"/>
        <v>43749.215790717593</v>
      </c>
    </row>
    <row r="10098" spans="1:10" x14ac:dyDescent="0.25">
      <c r="A10098" s="5" t="s">
        <v>45833</v>
      </c>
      <c r="B10098" s="6">
        <v>393.75</v>
      </c>
      <c r="C10098" s="6">
        <v>20.478950000000001</v>
      </c>
      <c r="D10098" s="6">
        <v>55</v>
      </c>
      <c r="E10098" s="6">
        <v>0</v>
      </c>
      <c r="F10098" s="6">
        <v>0</v>
      </c>
      <c r="G10098" s="6">
        <v>9</v>
      </c>
      <c r="H10098" s="6" t="s">
        <v>45834</v>
      </c>
      <c r="I10098" s="6">
        <v>526.6875</v>
      </c>
      <c r="J10098" s="2">
        <f t="shared" si="157"/>
        <v>43749.21587422453</v>
      </c>
    </row>
    <row r="10099" spans="1:10" x14ac:dyDescent="0.25">
      <c r="A10099" s="7" t="s">
        <v>45835</v>
      </c>
      <c r="B10099" s="8">
        <v>393.75</v>
      </c>
      <c r="C10099" s="8">
        <v>20.478950000000001</v>
      </c>
      <c r="D10099" s="8">
        <v>53</v>
      </c>
      <c r="E10099" s="8">
        <v>0</v>
      </c>
      <c r="F10099" s="8">
        <v>0</v>
      </c>
      <c r="G10099" s="8">
        <v>4</v>
      </c>
      <c r="H10099" s="8" t="s">
        <v>45836</v>
      </c>
      <c r="I10099" s="8">
        <v>526.6875</v>
      </c>
      <c r="J10099" s="3">
        <f t="shared" si="157"/>
        <v>43749.21594592592</v>
      </c>
    </row>
    <row r="10100" spans="1:10" x14ac:dyDescent="0.25">
      <c r="A10100" s="5" t="s">
        <v>45837</v>
      </c>
      <c r="B10100" s="6">
        <v>393.75</v>
      </c>
      <c r="C10100" s="6">
        <v>20.478950000000001</v>
      </c>
      <c r="D10100" s="6">
        <v>52</v>
      </c>
      <c r="E10100" s="6">
        <v>0</v>
      </c>
      <c r="F10100" s="6">
        <v>0</v>
      </c>
      <c r="G10100" s="6">
        <v>15</v>
      </c>
      <c r="H10100" s="6" t="s">
        <v>45838</v>
      </c>
      <c r="I10100" s="6">
        <v>526.6875</v>
      </c>
      <c r="J10100" s="2">
        <f t="shared" si="157"/>
        <v>43749.216017291663</v>
      </c>
    </row>
    <row r="10101" spans="1:10" x14ac:dyDescent="0.25">
      <c r="A10101" s="7" t="s">
        <v>45839</v>
      </c>
      <c r="B10101" s="8">
        <v>393.75</v>
      </c>
      <c r="C10101" s="8">
        <v>20.478950000000001</v>
      </c>
      <c r="D10101" s="8">
        <v>54</v>
      </c>
      <c r="E10101" s="8">
        <v>0</v>
      </c>
      <c r="F10101" s="8">
        <v>0</v>
      </c>
      <c r="G10101" s="8">
        <v>9</v>
      </c>
      <c r="H10101" s="8" t="s">
        <v>45840</v>
      </c>
      <c r="I10101" s="8">
        <v>526.5</v>
      </c>
      <c r="J10101" s="3">
        <f t="shared" si="157"/>
        <v>43749.216112592585</v>
      </c>
    </row>
    <row r="10102" spans="1:10" x14ac:dyDescent="0.25">
      <c r="A10102" s="5" t="s">
        <v>45841</v>
      </c>
      <c r="B10102" s="6">
        <v>393.75</v>
      </c>
      <c r="C10102" s="6">
        <v>20.478950000000001</v>
      </c>
      <c r="D10102" s="6">
        <v>54</v>
      </c>
      <c r="E10102" s="6">
        <v>0</v>
      </c>
      <c r="F10102" s="6">
        <v>0</v>
      </c>
      <c r="G10102" s="6">
        <v>10</v>
      </c>
      <c r="H10102" s="6" t="s">
        <v>45842</v>
      </c>
      <c r="I10102" s="6">
        <v>526.6875</v>
      </c>
      <c r="J10102" s="2">
        <f t="shared" si="157"/>
        <v>43749.216184189812</v>
      </c>
    </row>
    <row r="10103" spans="1:10" x14ac:dyDescent="0.25">
      <c r="A10103" s="7" t="s">
        <v>45843</v>
      </c>
      <c r="B10103" s="8">
        <v>393.75</v>
      </c>
      <c r="C10103" s="8">
        <v>20.478950000000001</v>
      </c>
      <c r="D10103" s="8">
        <v>54</v>
      </c>
      <c r="E10103" s="8">
        <v>0</v>
      </c>
      <c r="F10103" s="8">
        <v>0</v>
      </c>
      <c r="G10103" s="8">
        <v>11</v>
      </c>
      <c r="H10103" s="8" t="s">
        <v>45844</v>
      </c>
      <c r="I10103" s="8">
        <v>526.6875</v>
      </c>
      <c r="J10103" s="3">
        <f t="shared" si="157"/>
        <v>43749.216267256947</v>
      </c>
    </row>
    <row r="10104" spans="1:10" x14ac:dyDescent="0.25">
      <c r="A10104" s="5" t="s">
        <v>45845</v>
      </c>
      <c r="B10104" s="6">
        <v>393.75</v>
      </c>
      <c r="C10104" s="6">
        <v>20.426300000000001</v>
      </c>
      <c r="D10104" s="6">
        <v>53</v>
      </c>
      <c r="E10104" s="6">
        <v>0</v>
      </c>
      <c r="F10104" s="6">
        <v>0</v>
      </c>
      <c r="G10104" s="6">
        <v>11</v>
      </c>
      <c r="H10104" s="6" t="s">
        <v>45846</v>
      </c>
      <c r="I10104" s="6">
        <v>526.6875</v>
      </c>
      <c r="J10104" s="2">
        <f t="shared" si="157"/>
        <v>43749.216343043976</v>
      </c>
    </row>
    <row r="10105" spans="1:10" x14ac:dyDescent="0.25">
      <c r="A10105" s="7" t="s">
        <v>45847</v>
      </c>
      <c r="B10105" s="8">
        <v>393.75</v>
      </c>
      <c r="C10105" s="8">
        <v>20.478950000000001</v>
      </c>
      <c r="D10105" s="8">
        <v>54</v>
      </c>
      <c r="E10105" s="8">
        <v>0</v>
      </c>
      <c r="F10105" s="8">
        <v>0</v>
      </c>
      <c r="G10105" s="8">
        <v>8</v>
      </c>
      <c r="H10105" s="8" t="s">
        <v>45848</v>
      </c>
      <c r="I10105" s="8">
        <v>526.6875</v>
      </c>
      <c r="J10105" s="3">
        <f t="shared" si="157"/>
        <v>43749.21642266203</v>
      </c>
    </row>
    <row r="10106" spans="1:10" x14ac:dyDescent="0.25">
      <c r="A10106" s="5" t="s">
        <v>45849</v>
      </c>
      <c r="B10106" s="6">
        <v>393.75</v>
      </c>
      <c r="C10106" s="6">
        <v>20.478950000000001</v>
      </c>
      <c r="D10106" s="6">
        <v>53</v>
      </c>
      <c r="E10106" s="6">
        <v>0</v>
      </c>
      <c r="F10106" s="6">
        <v>0</v>
      </c>
      <c r="G10106" s="6">
        <v>7</v>
      </c>
      <c r="H10106" s="6" t="s">
        <v>45850</v>
      </c>
      <c r="I10106" s="6">
        <v>526.6875</v>
      </c>
      <c r="J10106" s="2">
        <f t="shared" si="157"/>
        <v>43749.216494201384</v>
      </c>
    </row>
    <row r="10107" spans="1:10" x14ac:dyDescent="0.25">
      <c r="A10107" s="7" t="s">
        <v>45851</v>
      </c>
      <c r="B10107" s="8">
        <v>393.75</v>
      </c>
      <c r="C10107" s="8">
        <v>20.478950000000001</v>
      </c>
      <c r="D10107" s="8">
        <v>54</v>
      </c>
      <c r="E10107" s="8">
        <v>0</v>
      </c>
      <c r="F10107" s="8">
        <v>0</v>
      </c>
      <c r="G10107" s="8">
        <v>5</v>
      </c>
      <c r="H10107" s="8" t="s">
        <v>45852</v>
      </c>
      <c r="I10107" s="8">
        <v>526.6875</v>
      </c>
      <c r="J10107" s="3">
        <f t="shared" si="157"/>
        <v>43749.216565879622</v>
      </c>
    </row>
    <row r="10108" spans="1:10" x14ac:dyDescent="0.25">
      <c r="A10108" s="5" t="s">
        <v>45853</v>
      </c>
      <c r="B10108" s="6">
        <v>412.5</v>
      </c>
      <c r="C10108" s="6">
        <v>20.426300000000001</v>
      </c>
      <c r="D10108" s="6">
        <v>55</v>
      </c>
      <c r="E10108" s="6">
        <v>0</v>
      </c>
      <c r="F10108" s="6">
        <v>0</v>
      </c>
      <c r="G10108" s="6">
        <v>8</v>
      </c>
      <c r="H10108" s="6" t="s">
        <v>45854</v>
      </c>
      <c r="I10108" s="6">
        <v>532.3125</v>
      </c>
      <c r="J10108" s="2">
        <f t="shared" si="157"/>
        <v>43749.216648865739</v>
      </c>
    </row>
    <row r="10109" spans="1:10" x14ac:dyDescent="0.25">
      <c r="A10109" s="7" t="s">
        <v>45855</v>
      </c>
      <c r="B10109" s="8">
        <v>393.75</v>
      </c>
      <c r="C10109" s="8">
        <v>20.478950000000001</v>
      </c>
      <c r="D10109" s="8">
        <v>50</v>
      </c>
      <c r="E10109" s="8">
        <v>0</v>
      </c>
      <c r="F10109" s="8">
        <v>0</v>
      </c>
      <c r="G10109" s="8">
        <v>12</v>
      </c>
      <c r="H10109" s="8" t="s">
        <v>45856</v>
      </c>
      <c r="I10109" s="8">
        <v>526.6875</v>
      </c>
      <c r="J10109" s="3">
        <f t="shared" si="157"/>
        <v>43749.216720810182</v>
      </c>
    </row>
    <row r="10110" spans="1:10" x14ac:dyDescent="0.25">
      <c r="A10110" s="5" t="s">
        <v>45857</v>
      </c>
      <c r="B10110" s="6">
        <v>393.75</v>
      </c>
      <c r="C10110" s="6">
        <v>20.478950000000001</v>
      </c>
      <c r="D10110" s="6">
        <v>52</v>
      </c>
      <c r="E10110" s="6">
        <v>0</v>
      </c>
      <c r="F10110" s="6">
        <v>0</v>
      </c>
      <c r="G10110" s="6">
        <v>17</v>
      </c>
      <c r="H10110" s="6" t="s">
        <v>45858</v>
      </c>
      <c r="I10110" s="6">
        <v>526.6875</v>
      </c>
      <c r="J10110" s="2">
        <f t="shared" si="157"/>
        <v>43749.216804386575</v>
      </c>
    </row>
    <row r="10111" spans="1:10" x14ac:dyDescent="0.25">
      <c r="A10111" s="7" t="s">
        <v>45859</v>
      </c>
      <c r="B10111" s="8">
        <v>393.75</v>
      </c>
      <c r="C10111" s="8">
        <v>20.426300000000001</v>
      </c>
      <c r="D10111" s="8">
        <v>53</v>
      </c>
      <c r="E10111" s="8">
        <v>0</v>
      </c>
      <c r="F10111" s="8">
        <v>0</v>
      </c>
      <c r="G10111" s="8">
        <v>4</v>
      </c>
      <c r="H10111" s="8" t="s">
        <v>45860</v>
      </c>
      <c r="I10111" s="8">
        <v>526.6875</v>
      </c>
      <c r="J10111" s="3">
        <f t="shared" si="157"/>
        <v>43749.216875833336</v>
      </c>
    </row>
    <row r="10112" spans="1:10" x14ac:dyDescent="0.25">
      <c r="A10112" s="5" t="s">
        <v>45861</v>
      </c>
      <c r="B10112" s="6">
        <v>393.75</v>
      </c>
      <c r="C10112" s="6">
        <v>20.426300000000001</v>
      </c>
      <c r="D10112" s="6">
        <v>54</v>
      </c>
      <c r="E10112" s="6">
        <v>0</v>
      </c>
      <c r="F10112" s="6">
        <v>0</v>
      </c>
      <c r="G10112" s="6">
        <v>3</v>
      </c>
      <c r="H10112" s="6" t="s">
        <v>45862</v>
      </c>
      <c r="I10112" s="6">
        <v>526.5</v>
      </c>
      <c r="J10112" s="2">
        <f t="shared" si="157"/>
        <v>43749.216959560181</v>
      </c>
    </row>
    <row r="10113" spans="1:10" x14ac:dyDescent="0.25">
      <c r="A10113" s="7" t="s">
        <v>45863</v>
      </c>
      <c r="B10113" s="8">
        <v>393.75</v>
      </c>
      <c r="C10113" s="8">
        <v>20.478950000000001</v>
      </c>
      <c r="D10113" s="8">
        <v>53</v>
      </c>
      <c r="E10113" s="8">
        <v>0</v>
      </c>
      <c r="F10113" s="8">
        <v>0</v>
      </c>
      <c r="G10113" s="8">
        <v>12</v>
      </c>
      <c r="H10113" s="8" t="s">
        <v>45864</v>
      </c>
      <c r="I10113" s="8">
        <v>526.6875</v>
      </c>
      <c r="J10113" s="3">
        <f t="shared" si="157"/>
        <v>43749.217042696757</v>
      </c>
    </row>
    <row r="10114" spans="1:10" x14ac:dyDescent="0.25">
      <c r="A10114" s="5" t="s">
        <v>45865</v>
      </c>
      <c r="B10114" s="6">
        <v>393.75</v>
      </c>
      <c r="C10114" s="6">
        <v>20.426300000000001</v>
      </c>
      <c r="D10114" s="6">
        <v>54</v>
      </c>
      <c r="E10114" s="6">
        <v>0</v>
      </c>
      <c r="F10114" s="6">
        <v>0</v>
      </c>
      <c r="G10114" s="6">
        <v>8</v>
      </c>
      <c r="H10114" s="6" t="s">
        <v>45866</v>
      </c>
      <c r="I10114" s="6">
        <v>526.6875</v>
      </c>
      <c r="J10114" s="2">
        <f t="shared" ref="J10114:J10177" si="158">(H10114/86400000)+25569+(7/24)</f>
        <v>43749.217126099531</v>
      </c>
    </row>
    <row r="10115" spans="1:10" x14ac:dyDescent="0.25">
      <c r="A10115" s="7" t="s">
        <v>45867</v>
      </c>
      <c r="B10115" s="8">
        <v>393.75</v>
      </c>
      <c r="C10115" s="8">
        <v>20.426300000000001</v>
      </c>
      <c r="D10115" s="8">
        <v>54</v>
      </c>
      <c r="E10115" s="8">
        <v>0</v>
      </c>
      <c r="F10115" s="8">
        <v>0</v>
      </c>
      <c r="G10115" s="8">
        <v>5</v>
      </c>
      <c r="H10115" s="8" t="s">
        <v>45868</v>
      </c>
      <c r="I10115" s="8">
        <v>526.6875</v>
      </c>
      <c r="J10115" s="3">
        <f t="shared" si="158"/>
        <v>43749.217197569444</v>
      </c>
    </row>
    <row r="10116" spans="1:10" x14ac:dyDescent="0.25">
      <c r="A10116" s="5" t="s">
        <v>45869</v>
      </c>
      <c r="B10116" s="6">
        <v>393.75</v>
      </c>
      <c r="C10116" s="6">
        <v>20.426300000000001</v>
      </c>
      <c r="D10116" s="6">
        <v>55</v>
      </c>
      <c r="E10116" s="6">
        <v>0</v>
      </c>
      <c r="F10116" s="6">
        <v>0</v>
      </c>
      <c r="G10116" s="6">
        <v>12</v>
      </c>
      <c r="H10116" s="6" t="s">
        <v>45870</v>
      </c>
      <c r="I10116" s="6">
        <v>526.6875</v>
      </c>
      <c r="J10116" s="2">
        <f t="shared" si="158"/>
        <v>43749.217269212961</v>
      </c>
    </row>
    <row r="10117" spans="1:10" x14ac:dyDescent="0.25">
      <c r="A10117" s="7" t="s">
        <v>45871</v>
      </c>
      <c r="B10117" s="8">
        <v>393.75</v>
      </c>
      <c r="C10117" s="8">
        <v>20.478950000000001</v>
      </c>
      <c r="D10117" s="8">
        <v>57</v>
      </c>
      <c r="E10117" s="8">
        <v>0</v>
      </c>
      <c r="F10117" s="8">
        <v>0</v>
      </c>
      <c r="G10117" s="8">
        <v>3</v>
      </c>
      <c r="H10117" s="8" t="s">
        <v>45872</v>
      </c>
      <c r="I10117" s="8">
        <v>526.6875</v>
      </c>
      <c r="J10117" s="3">
        <f t="shared" si="158"/>
        <v>43749.217340682873</v>
      </c>
    </row>
    <row r="10118" spans="1:10" x14ac:dyDescent="0.25">
      <c r="A10118" s="5" t="s">
        <v>45873</v>
      </c>
      <c r="B10118" s="6">
        <v>393.75</v>
      </c>
      <c r="C10118" s="6">
        <v>20.478950000000001</v>
      </c>
      <c r="D10118" s="6">
        <v>57</v>
      </c>
      <c r="E10118" s="6">
        <v>0</v>
      </c>
      <c r="F10118" s="6">
        <v>0</v>
      </c>
      <c r="G10118" s="6">
        <v>7</v>
      </c>
      <c r="H10118" s="6" t="s">
        <v>45874</v>
      </c>
      <c r="I10118" s="6">
        <v>526.6875</v>
      </c>
      <c r="J10118" s="2">
        <f t="shared" si="158"/>
        <v>43749.217412546299</v>
      </c>
    </row>
    <row r="10119" spans="1:10" x14ac:dyDescent="0.25">
      <c r="A10119" s="7" t="s">
        <v>45875</v>
      </c>
      <c r="B10119" s="8">
        <v>393.75</v>
      </c>
      <c r="C10119" s="8">
        <v>20.426300000000001</v>
      </c>
      <c r="D10119" s="8">
        <v>57</v>
      </c>
      <c r="E10119" s="8">
        <v>0</v>
      </c>
      <c r="F10119" s="8">
        <v>0</v>
      </c>
      <c r="G10119" s="8">
        <v>4</v>
      </c>
      <c r="H10119" s="8" t="s">
        <v>45876</v>
      </c>
      <c r="I10119" s="8">
        <v>526.5</v>
      </c>
      <c r="J10119" s="3">
        <f t="shared" si="158"/>
        <v>43749.217483865737</v>
      </c>
    </row>
    <row r="10120" spans="1:10" x14ac:dyDescent="0.25">
      <c r="A10120" s="5" t="s">
        <v>45877</v>
      </c>
      <c r="B10120" s="6">
        <v>393.75</v>
      </c>
      <c r="C10120" s="6">
        <v>20.478950000000001</v>
      </c>
      <c r="D10120" s="6">
        <v>56</v>
      </c>
      <c r="E10120" s="6">
        <v>0</v>
      </c>
      <c r="F10120" s="6">
        <v>0</v>
      </c>
      <c r="G10120" s="6">
        <v>0</v>
      </c>
      <c r="H10120" s="6" t="s">
        <v>45878</v>
      </c>
      <c r="I10120" s="6">
        <v>526.6875</v>
      </c>
      <c r="J10120" s="2">
        <f t="shared" si="158"/>
        <v>43749.217567337961</v>
      </c>
    </row>
    <row r="10121" spans="1:10" x14ac:dyDescent="0.25">
      <c r="A10121" s="7" t="s">
        <v>45879</v>
      </c>
      <c r="B10121" s="8">
        <v>393.75</v>
      </c>
      <c r="C10121" s="8">
        <v>20.478950000000001</v>
      </c>
      <c r="D10121" s="8">
        <v>55</v>
      </c>
      <c r="E10121" s="8">
        <v>0</v>
      </c>
      <c r="F10121" s="8">
        <v>0</v>
      </c>
      <c r="G10121" s="8">
        <v>4</v>
      </c>
      <c r="H10121" s="8" t="s">
        <v>45880</v>
      </c>
      <c r="I10121" s="8">
        <v>526.6875</v>
      </c>
      <c r="J10121" s="3">
        <f t="shared" si="158"/>
        <v>43749.217638842594</v>
      </c>
    </row>
    <row r="10122" spans="1:10" x14ac:dyDescent="0.25">
      <c r="A10122" s="5" t="s">
        <v>45881</v>
      </c>
      <c r="B10122" s="6">
        <v>393.75</v>
      </c>
      <c r="C10122" s="6">
        <v>20.478950000000001</v>
      </c>
      <c r="D10122" s="6">
        <v>51</v>
      </c>
      <c r="E10122" s="6">
        <v>0</v>
      </c>
      <c r="F10122" s="6">
        <v>0</v>
      </c>
      <c r="G10122" s="6">
        <v>3</v>
      </c>
      <c r="H10122" s="6" t="s">
        <v>45882</v>
      </c>
      <c r="I10122" s="6">
        <v>526.6875</v>
      </c>
      <c r="J10122" s="2">
        <f t="shared" si="158"/>
        <v>43749.217722442125</v>
      </c>
    </row>
    <row r="10123" spans="1:10" x14ac:dyDescent="0.25">
      <c r="A10123" s="7" t="s">
        <v>45883</v>
      </c>
      <c r="B10123" s="8">
        <v>393.75</v>
      </c>
      <c r="C10123" s="8">
        <v>20.478950000000001</v>
      </c>
      <c r="D10123" s="8">
        <v>51</v>
      </c>
      <c r="E10123" s="8">
        <v>0</v>
      </c>
      <c r="F10123" s="8">
        <v>0</v>
      </c>
      <c r="G10123" s="8">
        <v>0</v>
      </c>
      <c r="H10123" s="8" t="s">
        <v>45884</v>
      </c>
      <c r="I10123" s="8">
        <v>526.6875</v>
      </c>
      <c r="J10123" s="3">
        <f t="shared" si="158"/>
        <v>43749.217806053239</v>
      </c>
    </row>
    <row r="10124" spans="1:10" x14ac:dyDescent="0.25">
      <c r="A10124" s="5" t="s">
        <v>45885</v>
      </c>
      <c r="B10124" s="6">
        <v>393.75</v>
      </c>
      <c r="C10124" s="6">
        <v>20.478950000000001</v>
      </c>
      <c r="D10124" s="6">
        <v>52</v>
      </c>
      <c r="E10124" s="6">
        <v>0</v>
      </c>
      <c r="F10124" s="6">
        <v>0</v>
      </c>
      <c r="G10124" s="6">
        <v>6</v>
      </c>
      <c r="H10124" s="6" t="s">
        <v>45886</v>
      </c>
      <c r="I10124" s="6">
        <v>526.6875</v>
      </c>
      <c r="J10124" s="2">
        <f t="shared" si="158"/>
        <v>43749.217889363419</v>
      </c>
    </row>
    <row r="10125" spans="1:10" x14ac:dyDescent="0.25">
      <c r="A10125" s="7" t="s">
        <v>45887</v>
      </c>
      <c r="B10125" s="8">
        <v>393.75</v>
      </c>
      <c r="C10125" s="8">
        <v>20.478950000000001</v>
      </c>
      <c r="D10125" s="8">
        <v>53</v>
      </c>
      <c r="E10125" s="8">
        <v>0</v>
      </c>
      <c r="F10125" s="8">
        <v>0</v>
      </c>
      <c r="G10125" s="8">
        <v>0</v>
      </c>
      <c r="H10125" s="8" t="s">
        <v>45888</v>
      </c>
      <c r="I10125" s="8">
        <v>526.6875</v>
      </c>
      <c r="J10125" s="3">
        <f t="shared" si="158"/>
        <v>43749.217972847218</v>
      </c>
    </row>
    <row r="10126" spans="1:10" x14ac:dyDescent="0.25">
      <c r="A10126" s="5" t="s">
        <v>45889</v>
      </c>
      <c r="B10126" s="6">
        <v>393.75</v>
      </c>
      <c r="C10126" s="6">
        <v>20.426300000000001</v>
      </c>
      <c r="D10126" s="6">
        <v>52</v>
      </c>
      <c r="E10126" s="6">
        <v>0</v>
      </c>
      <c r="F10126" s="6">
        <v>0</v>
      </c>
      <c r="G10126" s="6">
        <v>7</v>
      </c>
      <c r="H10126" s="6" t="s">
        <v>45890</v>
      </c>
      <c r="I10126" s="6">
        <v>526.6875</v>
      </c>
      <c r="J10126" s="2">
        <f t="shared" si="158"/>
        <v>43749.218056238424</v>
      </c>
    </row>
    <row r="10127" spans="1:10" x14ac:dyDescent="0.25">
      <c r="A10127" s="7" t="s">
        <v>45891</v>
      </c>
      <c r="B10127" s="8">
        <v>393.75</v>
      </c>
      <c r="C10127" s="8">
        <v>20.478950000000001</v>
      </c>
      <c r="D10127" s="8">
        <v>52</v>
      </c>
      <c r="E10127" s="8">
        <v>0</v>
      </c>
      <c r="F10127" s="8">
        <v>0</v>
      </c>
      <c r="G10127" s="8">
        <v>11</v>
      </c>
      <c r="H10127" s="8" t="s">
        <v>45892</v>
      </c>
      <c r="I10127" s="8">
        <v>526.6875</v>
      </c>
      <c r="J10127" s="3">
        <f t="shared" si="158"/>
        <v>43749.218127870372</v>
      </c>
    </row>
    <row r="10128" spans="1:10" x14ac:dyDescent="0.25">
      <c r="A10128" s="5" t="s">
        <v>45893</v>
      </c>
      <c r="B10128" s="6">
        <v>393.75</v>
      </c>
      <c r="C10128" s="6">
        <v>20.478950000000001</v>
      </c>
      <c r="D10128" s="6">
        <v>51</v>
      </c>
      <c r="E10128" s="6">
        <v>0</v>
      </c>
      <c r="F10128" s="6">
        <v>0</v>
      </c>
      <c r="G10128" s="6">
        <v>8</v>
      </c>
      <c r="H10128" s="6" t="s">
        <v>45894</v>
      </c>
      <c r="I10128" s="6">
        <v>526.6875</v>
      </c>
      <c r="J10128" s="2">
        <f t="shared" si="158"/>
        <v>43749.218211319443</v>
      </c>
    </row>
    <row r="10129" spans="1:10" x14ac:dyDescent="0.25">
      <c r="A10129" s="7" t="s">
        <v>45895</v>
      </c>
      <c r="B10129" s="8">
        <v>393.75</v>
      </c>
      <c r="C10129" s="8">
        <v>20.478950000000001</v>
      </c>
      <c r="D10129" s="8">
        <v>51</v>
      </c>
      <c r="E10129" s="8">
        <v>0</v>
      </c>
      <c r="F10129" s="8">
        <v>0</v>
      </c>
      <c r="G10129" s="8">
        <v>7</v>
      </c>
      <c r="H10129" s="8" t="s">
        <v>45896</v>
      </c>
      <c r="I10129" s="8">
        <v>526.6875</v>
      </c>
      <c r="J10129" s="3">
        <f t="shared" si="158"/>
        <v>43749.218282222217</v>
      </c>
    </row>
    <row r="10130" spans="1:10" x14ac:dyDescent="0.25">
      <c r="A10130" s="5" t="s">
        <v>45897</v>
      </c>
      <c r="B10130" s="6">
        <v>393.75</v>
      </c>
      <c r="C10130" s="6">
        <v>20.478950000000001</v>
      </c>
      <c r="D10130" s="6">
        <v>50</v>
      </c>
      <c r="E10130" s="6">
        <v>0</v>
      </c>
      <c r="F10130" s="6">
        <v>0</v>
      </c>
      <c r="G10130" s="6">
        <v>5</v>
      </c>
      <c r="H10130" s="6" t="s">
        <v>45898</v>
      </c>
      <c r="I10130" s="6">
        <v>526.5</v>
      </c>
      <c r="J10130" s="2">
        <f t="shared" si="158"/>
        <v>43749.218354374992</v>
      </c>
    </row>
    <row r="10131" spans="1:10" x14ac:dyDescent="0.25">
      <c r="A10131" s="7" t="s">
        <v>45899</v>
      </c>
      <c r="B10131" s="8">
        <v>393.75</v>
      </c>
      <c r="C10131" s="8">
        <v>20.478950000000001</v>
      </c>
      <c r="D10131" s="8">
        <v>51</v>
      </c>
      <c r="E10131" s="8">
        <v>0</v>
      </c>
      <c r="F10131" s="8">
        <v>0</v>
      </c>
      <c r="G10131" s="8">
        <v>12</v>
      </c>
      <c r="H10131" s="8" t="s">
        <v>45900</v>
      </c>
      <c r="I10131" s="8">
        <v>526.5</v>
      </c>
      <c r="J10131" s="3">
        <f t="shared" si="158"/>
        <v>43749.218425856474</v>
      </c>
    </row>
    <row r="10132" spans="1:10" x14ac:dyDescent="0.25">
      <c r="A10132" s="5" t="s">
        <v>45901</v>
      </c>
      <c r="B10132" s="6">
        <v>418.75</v>
      </c>
      <c r="C10132" s="6">
        <v>20.426300000000001</v>
      </c>
      <c r="D10132" s="6">
        <v>49</v>
      </c>
      <c r="E10132" s="6">
        <v>0</v>
      </c>
      <c r="F10132" s="6">
        <v>0</v>
      </c>
      <c r="G10132" s="6">
        <v>5</v>
      </c>
      <c r="H10132" s="6" t="s">
        <v>45902</v>
      </c>
      <c r="I10132" s="6">
        <v>534.1875</v>
      </c>
      <c r="J10132" s="2">
        <f t="shared" si="158"/>
        <v>43749.218497152775</v>
      </c>
    </row>
    <row r="10133" spans="1:10" x14ac:dyDescent="0.25">
      <c r="A10133" s="7" t="s">
        <v>45903</v>
      </c>
      <c r="B10133" s="8">
        <v>393.75</v>
      </c>
      <c r="C10133" s="8">
        <v>20.426300000000001</v>
      </c>
      <c r="D10133" s="8">
        <v>51</v>
      </c>
      <c r="E10133" s="8">
        <v>0</v>
      </c>
      <c r="F10133" s="8">
        <v>0</v>
      </c>
      <c r="G10133" s="8">
        <v>13</v>
      </c>
      <c r="H10133" s="8" t="s">
        <v>45904</v>
      </c>
      <c r="I10133" s="8">
        <v>526.6875</v>
      </c>
      <c r="J10133" s="3">
        <f t="shared" si="158"/>
        <v>43749.21856898148</v>
      </c>
    </row>
    <row r="10134" spans="1:10" x14ac:dyDescent="0.25">
      <c r="A10134" s="5" t="s">
        <v>45905</v>
      </c>
      <c r="B10134" s="6">
        <v>393.75</v>
      </c>
      <c r="C10134" s="6">
        <v>20.426300000000001</v>
      </c>
      <c r="D10134" s="6">
        <v>54</v>
      </c>
      <c r="E10134" s="6">
        <v>0</v>
      </c>
      <c r="F10134" s="6">
        <v>0</v>
      </c>
      <c r="G10134" s="6">
        <v>6</v>
      </c>
      <c r="H10134" s="6" t="s">
        <v>45906</v>
      </c>
      <c r="I10134" s="6">
        <v>526.6875</v>
      </c>
      <c r="J10134" s="2">
        <f t="shared" si="158"/>
        <v>43749.218667615736</v>
      </c>
    </row>
    <row r="10135" spans="1:10" x14ac:dyDescent="0.25">
      <c r="A10135" s="7" t="s">
        <v>45907</v>
      </c>
      <c r="B10135" s="8">
        <v>393.75</v>
      </c>
      <c r="C10135" s="8">
        <v>20.478950000000001</v>
      </c>
      <c r="D10135" s="8">
        <v>54</v>
      </c>
      <c r="E10135" s="8">
        <v>0</v>
      </c>
      <c r="F10135" s="8">
        <v>0</v>
      </c>
      <c r="G10135" s="8">
        <v>6</v>
      </c>
      <c r="H10135" s="8" t="s">
        <v>45908</v>
      </c>
      <c r="I10135" s="8">
        <v>526.6875</v>
      </c>
      <c r="J10135" s="3">
        <f t="shared" si="158"/>
        <v>43749.218747905092</v>
      </c>
    </row>
    <row r="10136" spans="1:10" x14ac:dyDescent="0.25">
      <c r="A10136" s="5" t="s">
        <v>45909</v>
      </c>
      <c r="B10136" s="6">
        <v>393.75</v>
      </c>
      <c r="C10136" s="6">
        <v>20.426300000000001</v>
      </c>
      <c r="D10136" s="6">
        <v>53</v>
      </c>
      <c r="E10136" s="6">
        <v>0</v>
      </c>
      <c r="F10136" s="6">
        <v>0</v>
      </c>
      <c r="G10136" s="6">
        <v>3</v>
      </c>
      <c r="H10136" s="6" t="s">
        <v>45910</v>
      </c>
      <c r="I10136" s="6">
        <v>526.6875</v>
      </c>
      <c r="J10136" s="2">
        <f t="shared" si="158"/>
        <v>43749.218819247682</v>
      </c>
    </row>
    <row r="10137" spans="1:10" x14ac:dyDescent="0.25">
      <c r="A10137" s="7" t="s">
        <v>45911</v>
      </c>
      <c r="B10137" s="8">
        <v>393.75</v>
      </c>
      <c r="C10137" s="8">
        <v>20.478950000000001</v>
      </c>
      <c r="D10137" s="8">
        <v>53</v>
      </c>
      <c r="E10137" s="8">
        <v>0</v>
      </c>
      <c r="F10137" s="8">
        <v>0</v>
      </c>
      <c r="G10137" s="8">
        <v>10</v>
      </c>
      <c r="H10137" s="8" t="s">
        <v>45912</v>
      </c>
      <c r="I10137" s="8">
        <v>526.5</v>
      </c>
      <c r="J10137" s="3">
        <f t="shared" si="158"/>
        <v>43749.218891041666</v>
      </c>
    </row>
    <row r="10138" spans="1:10" x14ac:dyDescent="0.25">
      <c r="A10138" s="5" t="s">
        <v>45913</v>
      </c>
      <c r="B10138" s="6">
        <v>412.5</v>
      </c>
      <c r="C10138" s="6">
        <v>20.478950000000001</v>
      </c>
      <c r="D10138" s="6">
        <v>55</v>
      </c>
      <c r="E10138" s="6">
        <v>0</v>
      </c>
      <c r="F10138" s="6">
        <v>0</v>
      </c>
      <c r="G10138" s="6">
        <v>13</v>
      </c>
      <c r="H10138" s="6" t="s">
        <v>45914</v>
      </c>
      <c r="I10138" s="6">
        <v>532.125</v>
      </c>
      <c r="J10138" s="2">
        <f t="shared" si="158"/>
        <v>43749.218974490737</v>
      </c>
    </row>
    <row r="10139" spans="1:10" x14ac:dyDescent="0.25">
      <c r="A10139" s="7" t="s">
        <v>45915</v>
      </c>
      <c r="B10139" s="8">
        <v>393.75</v>
      </c>
      <c r="C10139" s="8">
        <v>20.478950000000001</v>
      </c>
      <c r="D10139" s="8">
        <v>55</v>
      </c>
      <c r="E10139" s="8">
        <v>0</v>
      </c>
      <c r="F10139" s="8">
        <v>0</v>
      </c>
      <c r="G10139" s="8">
        <v>13</v>
      </c>
      <c r="H10139" s="8" t="s">
        <v>45916</v>
      </c>
      <c r="I10139" s="8">
        <v>526.5</v>
      </c>
      <c r="J10139" s="3">
        <f t="shared" si="158"/>
        <v>43749.219046018516</v>
      </c>
    </row>
    <row r="10140" spans="1:10" x14ac:dyDescent="0.25">
      <c r="A10140" s="5" t="s">
        <v>45917</v>
      </c>
      <c r="B10140" s="6">
        <v>393.75</v>
      </c>
      <c r="C10140" s="6">
        <v>20.426300000000001</v>
      </c>
      <c r="D10140" s="6">
        <v>55</v>
      </c>
      <c r="E10140" s="6">
        <v>0</v>
      </c>
      <c r="F10140" s="6">
        <v>0</v>
      </c>
      <c r="G10140" s="6">
        <v>17</v>
      </c>
      <c r="H10140" s="6" t="s">
        <v>45918</v>
      </c>
      <c r="I10140" s="6">
        <v>526.6875</v>
      </c>
      <c r="J10140" s="2">
        <f t="shared" si="158"/>
        <v>43749.219117384258</v>
      </c>
    </row>
    <row r="10141" spans="1:10" x14ac:dyDescent="0.25">
      <c r="A10141" s="7" t="s">
        <v>45919</v>
      </c>
      <c r="B10141" s="8">
        <v>393.75</v>
      </c>
      <c r="C10141" s="8">
        <v>20.426300000000001</v>
      </c>
      <c r="D10141" s="8">
        <v>55</v>
      </c>
      <c r="E10141" s="8">
        <v>0</v>
      </c>
      <c r="F10141" s="8">
        <v>0</v>
      </c>
      <c r="G10141" s="8">
        <v>4</v>
      </c>
      <c r="H10141" s="8" t="s">
        <v>45920</v>
      </c>
      <c r="I10141" s="8">
        <v>526.6875</v>
      </c>
      <c r="J10141" s="3">
        <f t="shared" si="158"/>
        <v>43749.21920078704</v>
      </c>
    </row>
    <row r="10142" spans="1:10" x14ac:dyDescent="0.25">
      <c r="A10142" s="5" t="s">
        <v>45921</v>
      </c>
      <c r="B10142" s="6">
        <v>393.75</v>
      </c>
      <c r="C10142" s="6">
        <v>20.478950000000001</v>
      </c>
      <c r="D10142" s="6">
        <v>55</v>
      </c>
      <c r="E10142" s="6">
        <v>0</v>
      </c>
      <c r="F10142" s="6">
        <v>0</v>
      </c>
      <c r="G10142" s="6">
        <v>9</v>
      </c>
      <c r="H10142" s="6" t="s">
        <v>45922</v>
      </c>
      <c r="I10142" s="6">
        <v>526.6875</v>
      </c>
      <c r="J10142" s="2">
        <f t="shared" si="158"/>
        <v>43749.219272442126</v>
      </c>
    </row>
    <row r="10143" spans="1:10" x14ac:dyDescent="0.25">
      <c r="A10143" s="7" t="s">
        <v>45923</v>
      </c>
      <c r="B10143" s="8">
        <v>393.75</v>
      </c>
      <c r="C10143" s="8">
        <v>20.478950000000001</v>
      </c>
      <c r="D10143" s="8">
        <v>54</v>
      </c>
      <c r="E10143" s="8">
        <v>0</v>
      </c>
      <c r="F10143" s="8">
        <v>0</v>
      </c>
      <c r="G10143" s="8">
        <v>10</v>
      </c>
      <c r="H10143" s="8" t="s">
        <v>45924</v>
      </c>
      <c r="I10143" s="8">
        <v>526.6875</v>
      </c>
      <c r="J10143" s="3">
        <f t="shared" si="158"/>
        <v>43749.219356284717</v>
      </c>
    </row>
    <row r="10144" spans="1:10" x14ac:dyDescent="0.25">
      <c r="A10144" s="5" t="s">
        <v>45925</v>
      </c>
      <c r="B10144" s="6">
        <v>437.5</v>
      </c>
      <c r="C10144" s="6">
        <v>20.478950000000001</v>
      </c>
      <c r="D10144" s="6">
        <v>54</v>
      </c>
      <c r="E10144" s="6">
        <v>0</v>
      </c>
      <c r="F10144" s="6">
        <v>0</v>
      </c>
      <c r="G10144" s="6">
        <v>8</v>
      </c>
      <c r="H10144" s="6" t="s">
        <v>45926</v>
      </c>
      <c r="I10144" s="6">
        <v>540.5625</v>
      </c>
      <c r="J10144" s="2">
        <f t="shared" si="158"/>
        <v>43749.219427708333</v>
      </c>
    </row>
    <row r="10145" spans="1:10" x14ac:dyDescent="0.25">
      <c r="A10145" s="7" t="s">
        <v>45927</v>
      </c>
      <c r="B10145" s="8">
        <v>393.75</v>
      </c>
      <c r="C10145" s="8">
        <v>20.478950000000001</v>
      </c>
      <c r="D10145" s="8">
        <v>55</v>
      </c>
      <c r="E10145" s="8">
        <v>0</v>
      </c>
      <c r="F10145" s="8">
        <v>0</v>
      </c>
      <c r="G10145" s="8">
        <v>5</v>
      </c>
      <c r="H10145" s="8" t="s">
        <v>45928</v>
      </c>
      <c r="I10145" s="8">
        <v>526.6875</v>
      </c>
      <c r="J10145" s="3">
        <f t="shared" si="158"/>
        <v>43749.219511238429</v>
      </c>
    </row>
    <row r="10146" spans="1:10" x14ac:dyDescent="0.25">
      <c r="A10146" s="5" t="s">
        <v>45929</v>
      </c>
      <c r="B10146" s="6">
        <v>393.75</v>
      </c>
      <c r="C10146" s="6">
        <v>20.478950000000001</v>
      </c>
      <c r="D10146" s="6">
        <v>55</v>
      </c>
      <c r="E10146" s="6">
        <v>0</v>
      </c>
      <c r="F10146" s="6">
        <v>0</v>
      </c>
      <c r="G10146" s="6">
        <v>11</v>
      </c>
      <c r="H10146" s="6" t="s">
        <v>45930</v>
      </c>
      <c r="I10146" s="6">
        <v>526.6875</v>
      </c>
      <c r="J10146" s="2">
        <f t="shared" si="158"/>
        <v>43749.219582962956</v>
      </c>
    </row>
    <row r="10147" spans="1:10" x14ac:dyDescent="0.25">
      <c r="A10147" s="7" t="s">
        <v>45931</v>
      </c>
      <c r="B10147" s="8">
        <v>393.75</v>
      </c>
      <c r="C10147" s="8">
        <v>20.478950000000001</v>
      </c>
      <c r="D10147" s="8">
        <v>53</v>
      </c>
      <c r="E10147" s="8">
        <v>0</v>
      </c>
      <c r="F10147" s="8">
        <v>0</v>
      </c>
      <c r="G10147" s="8">
        <v>2</v>
      </c>
      <c r="H10147" s="8" t="s">
        <v>45932</v>
      </c>
      <c r="I10147" s="8">
        <v>526.6875</v>
      </c>
      <c r="J10147" s="3">
        <f t="shared" si="158"/>
        <v>43749.219654363427</v>
      </c>
    </row>
    <row r="10148" spans="1:10" x14ac:dyDescent="0.25">
      <c r="A10148" s="5" t="s">
        <v>45933</v>
      </c>
      <c r="B10148" s="6">
        <v>393.75</v>
      </c>
      <c r="C10148" s="6">
        <v>20.478950000000001</v>
      </c>
      <c r="D10148" s="6">
        <v>53</v>
      </c>
      <c r="E10148" s="6">
        <v>0</v>
      </c>
      <c r="F10148" s="6">
        <v>0</v>
      </c>
      <c r="G10148" s="6">
        <v>12</v>
      </c>
      <c r="H10148" s="6" t="s">
        <v>45934</v>
      </c>
      <c r="I10148" s="6">
        <v>526.6875</v>
      </c>
      <c r="J10148" s="2">
        <f t="shared" si="158"/>
        <v>43749.21973777777</v>
      </c>
    </row>
    <row r="10149" spans="1:10" x14ac:dyDescent="0.25">
      <c r="A10149" s="7" t="s">
        <v>45935</v>
      </c>
      <c r="B10149" s="8">
        <v>393.75</v>
      </c>
      <c r="C10149" s="8">
        <v>20.478950000000001</v>
      </c>
      <c r="D10149" s="8">
        <v>54</v>
      </c>
      <c r="E10149" s="8">
        <v>0</v>
      </c>
      <c r="F10149" s="8">
        <v>0</v>
      </c>
      <c r="G10149" s="8">
        <v>7</v>
      </c>
      <c r="H10149" s="8" t="s">
        <v>45936</v>
      </c>
      <c r="I10149" s="8">
        <v>526.5</v>
      </c>
      <c r="J10149" s="3">
        <f t="shared" si="158"/>
        <v>43749.219809351845</v>
      </c>
    </row>
    <row r="10150" spans="1:10" x14ac:dyDescent="0.25">
      <c r="A10150" s="5" t="s">
        <v>45937</v>
      </c>
      <c r="B10150" s="6">
        <v>393.75</v>
      </c>
      <c r="C10150" s="6">
        <v>20.426300000000001</v>
      </c>
      <c r="D10150" s="6">
        <v>55</v>
      </c>
      <c r="E10150" s="6">
        <v>0</v>
      </c>
      <c r="F10150" s="6">
        <v>0</v>
      </c>
      <c r="G10150" s="6">
        <v>1</v>
      </c>
      <c r="H10150" s="6" t="s">
        <v>45938</v>
      </c>
      <c r="I10150" s="6">
        <v>526.5</v>
      </c>
      <c r="J10150" s="2">
        <f t="shared" si="158"/>
        <v>43749.219892870366</v>
      </c>
    </row>
    <row r="10151" spans="1:10" x14ac:dyDescent="0.25">
      <c r="A10151" s="7" t="s">
        <v>45939</v>
      </c>
      <c r="B10151" s="8">
        <v>393.75</v>
      </c>
      <c r="C10151" s="8">
        <v>20.478950000000001</v>
      </c>
      <c r="D10151" s="8">
        <v>56</v>
      </c>
      <c r="E10151" s="8">
        <v>0</v>
      </c>
      <c r="F10151" s="8">
        <v>0</v>
      </c>
      <c r="G10151" s="8">
        <v>8</v>
      </c>
      <c r="H10151" s="8" t="s">
        <v>45940</v>
      </c>
      <c r="I10151" s="8">
        <v>526.6875</v>
      </c>
      <c r="J10151" s="3">
        <f t="shared" si="158"/>
        <v>43749.219964560187</v>
      </c>
    </row>
    <row r="10152" spans="1:10" x14ac:dyDescent="0.25">
      <c r="A10152" s="5" t="s">
        <v>45941</v>
      </c>
      <c r="B10152" s="6">
        <v>393.75</v>
      </c>
      <c r="C10152" s="6">
        <v>20.478950000000001</v>
      </c>
      <c r="D10152" s="6">
        <v>56</v>
      </c>
      <c r="E10152" s="6">
        <v>0</v>
      </c>
      <c r="F10152" s="6">
        <v>0</v>
      </c>
      <c r="G10152" s="6">
        <v>3</v>
      </c>
      <c r="H10152" s="6" t="s">
        <v>45942</v>
      </c>
      <c r="I10152" s="6">
        <v>526.6875</v>
      </c>
      <c r="J10152" s="2">
        <f t="shared" si="158"/>
        <v>43749.220035925922</v>
      </c>
    </row>
    <row r="10153" spans="1:10" x14ac:dyDescent="0.25">
      <c r="A10153" s="7" t="s">
        <v>45943</v>
      </c>
      <c r="B10153" s="8">
        <v>393.75</v>
      </c>
      <c r="C10153" s="8">
        <v>20.478950000000001</v>
      </c>
      <c r="D10153" s="8">
        <v>54</v>
      </c>
      <c r="E10153" s="8">
        <v>0</v>
      </c>
      <c r="F10153" s="8">
        <v>0</v>
      </c>
      <c r="G10153" s="8">
        <v>13</v>
      </c>
      <c r="H10153" s="8" t="s">
        <v>45944</v>
      </c>
      <c r="I10153" s="8">
        <v>526.6875</v>
      </c>
      <c r="J10153" s="3">
        <f t="shared" si="158"/>
        <v>43749.220119189813</v>
      </c>
    </row>
    <row r="10154" spans="1:10" x14ac:dyDescent="0.25">
      <c r="A10154" s="5" t="s">
        <v>45945</v>
      </c>
      <c r="B10154" s="6">
        <v>393.75</v>
      </c>
      <c r="C10154" s="6">
        <v>20.426300000000001</v>
      </c>
      <c r="D10154" s="6">
        <v>55</v>
      </c>
      <c r="E10154" s="6">
        <v>0</v>
      </c>
      <c r="F10154" s="6">
        <v>0</v>
      </c>
      <c r="G10154" s="6">
        <v>12</v>
      </c>
      <c r="H10154" s="6" t="s">
        <v>45946</v>
      </c>
      <c r="I10154" s="6">
        <v>526.6875</v>
      </c>
      <c r="J10154" s="2">
        <f t="shared" si="158"/>
        <v>43749.220190925924</v>
      </c>
    </row>
    <row r="10155" spans="1:10" x14ac:dyDescent="0.25">
      <c r="A10155" s="7" t="s">
        <v>45947</v>
      </c>
      <c r="B10155" s="8">
        <v>393.75</v>
      </c>
      <c r="C10155" s="8">
        <v>20.478950000000001</v>
      </c>
      <c r="D10155" s="8">
        <v>55</v>
      </c>
      <c r="E10155" s="8">
        <v>0</v>
      </c>
      <c r="F10155" s="8">
        <v>0</v>
      </c>
      <c r="G10155" s="8">
        <v>12</v>
      </c>
      <c r="H10155" s="8" t="s">
        <v>45948</v>
      </c>
      <c r="I10155" s="8">
        <v>526.6875</v>
      </c>
      <c r="J10155" s="3">
        <f t="shared" si="158"/>
        <v>43749.220262442126</v>
      </c>
    </row>
    <row r="10156" spans="1:10" x14ac:dyDescent="0.25">
      <c r="A10156" s="5" t="s">
        <v>45949</v>
      </c>
      <c r="B10156" s="6">
        <v>393.75</v>
      </c>
      <c r="C10156" s="6">
        <v>20.478950000000001</v>
      </c>
      <c r="D10156" s="6">
        <v>55</v>
      </c>
      <c r="E10156" s="6">
        <v>0</v>
      </c>
      <c r="F10156" s="6">
        <v>0</v>
      </c>
      <c r="G10156" s="6">
        <v>16</v>
      </c>
      <c r="H10156" s="6" t="s">
        <v>45950</v>
      </c>
      <c r="I10156" s="6">
        <v>526.6875</v>
      </c>
      <c r="J10156" s="2">
        <f t="shared" si="158"/>
        <v>43749.220345995367</v>
      </c>
    </row>
    <row r="10157" spans="1:10" x14ac:dyDescent="0.25">
      <c r="A10157" s="7" t="s">
        <v>45951</v>
      </c>
      <c r="B10157" s="8">
        <v>418.75</v>
      </c>
      <c r="C10157" s="8">
        <v>20.478950000000001</v>
      </c>
      <c r="D10157" s="8">
        <v>55</v>
      </c>
      <c r="E10157" s="8">
        <v>0</v>
      </c>
      <c r="F10157" s="8">
        <v>0</v>
      </c>
      <c r="G10157" s="8">
        <v>13</v>
      </c>
      <c r="H10157" s="8" t="s">
        <v>45952</v>
      </c>
      <c r="I10157" s="8">
        <v>534.75</v>
      </c>
      <c r="J10157" s="3">
        <f t="shared" si="158"/>
        <v>43749.220417488425</v>
      </c>
    </row>
    <row r="10158" spans="1:10" x14ac:dyDescent="0.25">
      <c r="A10158" s="5" t="s">
        <v>45953</v>
      </c>
      <c r="B10158" s="6">
        <v>393.75</v>
      </c>
      <c r="C10158" s="6">
        <v>20.478950000000001</v>
      </c>
      <c r="D10158" s="6">
        <v>54</v>
      </c>
      <c r="E10158" s="6">
        <v>0</v>
      </c>
      <c r="F10158" s="6">
        <v>0</v>
      </c>
      <c r="G10158" s="6">
        <v>12</v>
      </c>
      <c r="H10158" s="6" t="s">
        <v>45954</v>
      </c>
      <c r="I10158" s="6">
        <v>526.6875</v>
      </c>
      <c r="J10158" s="2">
        <f t="shared" si="158"/>
        <v>43749.220500740739</v>
      </c>
    </row>
    <row r="10159" spans="1:10" x14ac:dyDescent="0.25">
      <c r="A10159" s="7" t="s">
        <v>45955</v>
      </c>
      <c r="B10159" s="8">
        <v>393.75</v>
      </c>
      <c r="C10159" s="8">
        <v>20.478950000000001</v>
      </c>
      <c r="D10159" s="8">
        <v>54</v>
      </c>
      <c r="E10159" s="8">
        <v>0</v>
      </c>
      <c r="F10159" s="8">
        <v>0</v>
      </c>
      <c r="G10159" s="8">
        <v>10</v>
      </c>
      <c r="H10159" s="8" t="s">
        <v>45956</v>
      </c>
      <c r="I10159" s="8">
        <v>526.6875</v>
      </c>
      <c r="J10159" s="3">
        <f t="shared" si="158"/>
        <v>43749.220572500002</v>
      </c>
    </row>
    <row r="10160" spans="1:10" x14ac:dyDescent="0.25">
      <c r="A10160" s="5" t="s">
        <v>45957</v>
      </c>
      <c r="B10160" s="6">
        <v>393.75</v>
      </c>
      <c r="C10160" s="6">
        <v>20.478950000000001</v>
      </c>
      <c r="D10160" s="6">
        <v>53</v>
      </c>
      <c r="E10160" s="6">
        <v>0</v>
      </c>
      <c r="F10160" s="6">
        <v>0</v>
      </c>
      <c r="G10160" s="6">
        <v>7</v>
      </c>
      <c r="H10160" s="6" t="s">
        <v>45958</v>
      </c>
      <c r="I10160" s="6">
        <v>526.6875</v>
      </c>
      <c r="J10160" s="2">
        <f t="shared" si="158"/>
        <v>43749.220656122685</v>
      </c>
    </row>
    <row r="10161" spans="1:10" x14ac:dyDescent="0.25">
      <c r="A10161" s="7" t="s">
        <v>45959</v>
      </c>
      <c r="B10161" s="8">
        <v>393.75</v>
      </c>
      <c r="C10161" s="8">
        <v>20.426300000000001</v>
      </c>
      <c r="D10161" s="8">
        <v>52</v>
      </c>
      <c r="E10161" s="8">
        <v>0</v>
      </c>
      <c r="F10161" s="8">
        <v>0</v>
      </c>
      <c r="G10161" s="8">
        <v>7</v>
      </c>
      <c r="H10161" s="8" t="s">
        <v>45960</v>
      </c>
      <c r="I10161" s="8">
        <v>526.6875</v>
      </c>
      <c r="J10161" s="3">
        <f t="shared" si="158"/>
        <v>43749.220739490738</v>
      </c>
    </row>
    <row r="10162" spans="1:10" x14ac:dyDescent="0.25">
      <c r="A10162" s="5" t="s">
        <v>45961</v>
      </c>
      <c r="B10162" s="6">
        <v>393.75</v>
      </c>
      <c r="C10162" s="6">
        <v>20.478950000000001</v>
      </c>
      <c r="D10162" s="6">
        <v>52</v>
      </c>
      <c r="E10162" s="6">
        <v>0</v>
      </c>
      <c r="F10162" s="6">
        <v>0</v>
      </c>
      <c r="G10162" s="6">
        <v>18</v>
      </c>
      <c r="H10162" s="6" t="s">
        <v>45962</v>
      </c>
      <c r="I10162" s="6">
        <v>526.6875</v>
      </c>
      <c r="J10162" s="2">
        <f t="shared" si="158"/>
        <v>43749.220811099534</v>
      </c>
    </row>
    <row r="10163" spans="1:10" x14ac:dyDescent="0.25">
      <c r="A10163" s="7" t="s">
        <v>45963</v>
      </c>
      <c r="B10163" s="8">
        <v>415.625</v>
      </c>
      <c r="C10163" s="8">
        <v>20.478950000000001</v>
      </c>
      <c r="D10163" s="8">
        <v>54</v>
      </c>
      <c r="E10163" s="8">
        <v>0</v>
      </c>
      <c r="F10163" s="8">
        <v>0</v>
      </c>
      <c r="G10163" s="8">
        <v>24</v>
      </c>
      <c r="H10163" s="8" t="s">
        <v>45964</v>
      </c>
      <c r="I10163" s="8">
        <v>533.625</v>
      </c>
      <c r="J10163" s="3">
        <f t="shared" si="158"/>
        <v>43749.220882337955</v>
      </c>
    </row>
    <row r="10164" spans="1:10" x14ac:dyDescent="0.25">
      <c r="A10164" s="5" t="s">
        <v>45965</v>
      </c>
      <c r="B10164" s="6">
        <v>393.75</v>
      </c>
      <c r="C10164" s="6">
        <v>20.478950000000001</v>
      </c>
      <c r="D10164" s="6">
        <v>54</v>
      </c>
      <c r="E10164" s="6">
        <v>0</v>
      </c>
      <c r="F10164" s="6">
        <v>0</v>
      </c>
      <c r="G10164" s="6">
        <v>7</v>
      </c>
      <c r="H10164" s="6" t="s">
        <v>45966</v>
      </c>
      <c r="I10164" s="6">
        <v>526.6875</v>
      </c>
      <c r="J10164" s="2">
        <f t="shared" si="158"/>
        <v>43749.220954178243</v>
      </c>
    </row>
    <row r="10165" spans="1:10" x14ac:dyDescent="0.25">
      <c r="A10165" s="7" t="s">
        <v>45967</v>
      </c>
      <c r="B10165" s="8">
        <v>393.75</v>
      </c>
      <c r="C10165" s="8">
        <v>20.478950000000001</v>
      </c>
      <c r="D10165" s="8">
        <v>52</v>
      </c>
      <c r="E10165" s="8">
        <v>0</v>
      </c>
      <c r="F10165" s="8">
        <v>0</v>
      </c>
      <c r="G10165" s="8">
        <v>9</v>
      </c>
      <c r="H10165" s="8" t="s">
        <v>45968</v>
      </c>
      <c r="I10165" s="8">
        <v>526.6875</v>
      </c>
      <c r="J10165" s="3">
        <f t="shared" si="158"/>
        <v>43749.221037766205</v>
      </c>
    </row>
    <row r="10166" spans="1:10" x14ac:dyDescent="0.25">
      <c r="A10166" s="5" t="s">
        <v>45969</v>
      </c>
      <c r="B10166" s="6">
        <v>393.75</v>
      </c>
      <c r="C10166" s="6">
        <v>20.478950000000001</v>
      </c>
      <c r="D10166" s="6">
        <v>56</v>
      </c>
      <c r="E10166" s="6">
        <v>0</v>
      </c>
      <c r="F10166" s="6">
        <v>0</v>
      </c>
      <c r="G10166" s="6">
        <v>5</v>
      </c>
      <c r="H10166" s="6" t="s">
        <v>45970</v>
      </c>
      <c r="I10166" s="6">
        <v>526.6875</v>
      </c>
      <c r="J10166" s="2">
        <f t="shared" si="158"/>
        <v>43749.22110923611</v>
      </c>
    </row>
    <row r="10167" spans="1:10" x14ac:dyDescent="0.25">
      <c r="A10167" s="7" t="s">
        <v>45971</v>
      </c>
      <c r="B10167" s="8">
        <v>393.75</v>
      </c>
      <c r="C10167" s="8">
        <v>20.426300000000001</v>
      </c>
      <c r="D10167" s="8">
        <v>54</v>
      </c>
      <c r="E10167" s="8">
        <v>0</v>
      </c>
      <c r="F10167" s="8">
        <v>0</v>
      </c>
      <c r="G10167" s="8">
        <v>5</v>
      </c>
      <c r="H10167" s="8" t="s">
        <v>45972</v>
      </c>
      <c r="I10167" s="8">
        <v>526.6875</v>
      </c>
      <c r="J10167" s="3">
        <f t="shared" si="158"/>
        <v>43749.22119222222</v>
      </c>
    </row>
    <row r="10168" spans="1:10" x14ac:dyDescent="0.25">
      <c r="A10168" s="5" t="s">
        <v>45973</v>
      </c>
      <c r="B10168" s="6">
        <v>393.75</v>
      </c>
      <c r="C10168" s="6">
        <v>20.478950000000001</v>
      </c>
      <c r="D10168" s="6">
        <v>55</v>
      </c>
      <c r="E10168" s="6">
        <v>0</v>
      </c>
      <c r="F10168" s="6">
        <v>0</v>
      </c>
      <c r="G10168" s="6">
        <v>5</v>
      </c>
      <c r="H10168" s="6" t="s">
        <v>45974</v>
      </c>
      <c r="I10168" s="6">
        <v>526.6875</v>
      </c>
      <c r="J10168" s="2">
        <f t="shared" si="158"/>
        <v>43749.221288148146</v>
      </c>
    </row>
    <row r="10169" spans="1:10" x14ac:dyDescent="0.25">
      <c r="A10169" s="7" t="s">
        <v>45975</v>
      </c>
      <c r="B10169" s="8">
        <v>393.75</v>
      </c>
      <c r="C10169" s="8">
        <v>20.478950000000001</v>
      </c>
      <c r="D10169" s="8">
        <v>55</v>
      </c>
      <c r="E10169" s="8">
        <v>0</v>
      </c>
      <c r="F10169" s="8">
        <v>0</v>
      </c>
      <c r="G10169" s="8">
        <v>3</v>
      </c>
      <c r="H10169" s="8" t="s">
        <v>45976</v>
      </c>
      <c r="I10169" s="8">
        <v>526.6875</v>
      </c>
      <c r="J10169" s="3">
        <f t="shared" si="158"/>
        <v>43749.221359675925</v>
      </c>
    </row>
    <row r="10170" spans="1:10" x14ac:dyDescent="0.25">
      <c r="A10170" s="5" t="s">
        <v>45977</v>
      </c>
      <c r="B10170" s="6">
        <v>393.75</v>
      </c>
      <c r="C10170" s="6">
        <v>20.478950000000001</v>
      </c>
      <c r="D10170" s="6">
        <v>56</v>
      </c>
      <c r="E10170" s="6">
        <v>0</v>
      </c>
      <c r="F10170" s="6">
        <v>0</v>
      </c>
      <c r="G10170" s="6">
        <v>0</v>
      </c>
      <c r="H10170" s="6" t="s">
        <v>45978</v>
      </c>
      <c r="I10170" s="6">
        <v>526.6875</v>
      </c>
      <c r="J10170" s="2">
        <f t="shared" si="158"/>
        <v>43749.221431226848</v>
      </c>
    </row>
    <row r="10171" spans="1:10" x14ac:dyDescent="0.25">
      <c r="A10171" s="7" t="s">
        <v>45979</v>
      </c>
      <c r="B10171" s="8">
        <v>393.75</v>
      </c>
      <c r="C10171" s="8">
        <v>20.478950000000001</v>
      </c>
      <c r="D10171" s="8">
        <v>55</v>
      </c>
      <c r="E10171" s="8">
        <v>0</v>
      </c>
      <c r="F10171" s="8">
        <v>0</v>
      </c>
      <c r="G10171" s="8">
        <v>0</v>
      </c>
      <c r="H10171" s="8" t="s">
        <v>45980</v>
      </c>
      <c r="I10171" s="8">
        <v>526.6875</v>
      </c>
      <c r="J10171" s="3">
        <f t="shared" si="158"/>
        <v>43749.221502812499</v>
      </c>
    </row>
    <row r="10172" spans="1:10" x14ac:dyDescent="0.25">
      <c r="A10172" s="5" t="s">
        <v>45981</v>
      </c>
      <c r="B10172" s="6">
        <v>393.75</v>
      </c>
      <c r="C10172" s="6">
        <v>20.478950000000001</v>
      </c>
      <c r="D10172" s="6">
        <v>55</v>
      </c>
      <c r="E10172" s="6">
        <v>0</v>
      </c>
      <c r="F10172" s="6">
        <v>0</v>
      </c>
      <c r="G10172" s="6">
        <v>6</v>
      </c>
      <c r="H10172" s="6" t="s">
        <v>45982</v>
      </c>
      <c r="I10172" s="6">
        <v>526.6875</v>
      </c>
      <c r="J10172" s="2">
        <f t="shared" si="158"/>
        <v>43749.221585891202</v>
      </c>
    </row>
    <row r="10173" spans="1:10" x14ac:dyDescent="0.25">
      <c r="A10173" s="7" t="s">
        <v>45983</v>
      </c>
      <c r="B10173" s="8">
        <v>393.75</v>
      </c>
      <c r="C10173" s="8">
        <v>20.426300000000001</v>
      </c>
      <c r="D10173" s="8">
        <v>55</v>
      </c>
      <c r="E10173" s="8">
        <v>0</v>
      </c>
      <c r="F10173" s="8">
        <v>0</v>
      </c>
      <c r="G10173" s="8">
        <v>9</v>
      </c>
      <c r="H10173" s="8" t="s">
        <v>45984</v>
      </c>
      <c r="I10173" s="8">
        <v>526.6875</v>
      </c>
      <c r="J10173" s="3">
        <f t="shared" si="158"/>
        <v>43749.221657534719</v>
      </c>
    </row>
    <row r="10174" spans="1:10" x14ac:dyDescent="0.25">
      <c r="A10174" s="5" t="s">
        <v>45985</v>
      </c>
      <c r="B10174" s="6">
        <v>393.75</v>
      </c>
      <c r="C10174" s="6">
        <v>20.478950000000001</v>
      </c>
      <c r="D10174" s="6">
        <v>54</v>
      </c>
      <c r="E10174" s="6">
        <v>0</v>
      </c>
      <c r="F10174" s="6">
        <v>0</v>
      </c>
      <c r="G10174" s="6">
        <v>5</v>
      </c>
      <c r="H10174" s="6" t="s">
        <v>45986</v>
      </c>
      <c r="I10174" s="6">
        <v>526.6875</v>
      </c>
      <c r="J10174" s="2">
        <f t="shared" si="158"/>
        <v>43749.221741458336</v>
      </c>
    </row>
    <row r="10175" spans="1:10" x14ac:dyDescent="0.25">
      <c r="A10175" s="7" t="s">
        <v>45987</v>
      </c>
      <c r="B10175" s="8">
        <v>431.25</v>
      </c>
      <c r="C10175" s="8">
        <v>20.478950000000001</v>
      </c>
      <c r="D10175" s="8">
        <v>54</v>
      </c>
      <c r="E10175" s="8">
        <v>0</v>
      </c>
      <c r="F10175" s="8">
        <v>0</v>
      </c>
      <c r="G10175" s="8">
        <v>15</v>
      </c>
      <c r="H10175" s="8" t="s">
        <v>45988</v>
      </c>
      <c r="I10175" s="8">
        <v>538.125</v>
      </c>
      <c r="J10175" s="3">
        <f t="shared" si="158"/>
        <v>43749.221812442127</v>
      </c>
    </row>
    <row r="10176" spans="1:10" x14ac:dyDescent="0.25">
      <c r="A10176" s="5" t="s">
        <v>45989</v>
      </c>
      <c r="B10176" s="6">
        <v>393.75</v>
      </c>
      <c r="C10176" s="6">
        <v>20.478950000000001</v>
      </c>
      <c r="D10176" s="6">
        <v>54</v>
      </c>
      <c r="E10176" s="6">
        <v>0</v>
      </c>
      <c r="F10176" s="6">
        <v>0</v>
      </c>
      <c r="G10176" s="6">
        <v>12</v>
      </c>
      <c r="H10176" s="6" t="s">
        <v>45990</v>
      </c>
      <c r="I10176" s="6">
        <v>526.6875</v>
      </c>
      <c r="J10176" s="2">
        <f t="shared" si="158"/>
        <v>43749.221884328705</v>
      </c>
    </row>
    <row r="10177" spans="1:10" x14ac:dyDescent="0.25">
      <c r="A10177" s="7" t="s">
        <v>45991</v>
      </c>
      <c r="B10177" s="8">
        <v>393.75</v>
      </c>
      <c r="C10177" s="8">
        <v>20.478950000000001</v>
      </c>
      <c r="D10177" s="8">
        <v>55</v>
      </c>
      <c r="E10177" s="8">
        <v>0</v>
      </c>
      <c r="F10177" s="8">
        <v>0</v>
      </c>
      <c r="G10177" s="8">
        <v>7</v>
      </c>
      <c r="H10177" s="8" t="s">
        <v>45992</v>
      </c>
      <c r="I10177" s="8">
        <v>526.6875</v>
      </c>
      <c r="J10177" s="3">
        <f t="shared" si="158"/>
        <v>43749.221967349535</v>
      </c>
    </row>
    <row r="10178" spans="1:10" x14ac:dyDescent="0.25">
      <c r="A10178" s="5" t="s">
        <v>45993</v>
      </c>
      <c r="B10178" s="6">
        <v>393.75</v>
      </c>
      <c r="C10178" s="6">
        <v>20.426300000000001</v>
      </c>
      <c r="D10178" s="6">
        <v>55</v>
      </c>
      <c r="E10178" s="6">
        <v>0</v>
      </c>
      <c r="F10178" s="6">
        <v>0</v>
      </c>
      <c r="G10178" s="6">
        <v>17</v>
      </c>
      <c r="H10178" s="6" t="s">
        <v>45994</v>
      </c>
      <c r="I10178" s="6">
        <v>526.6875</v>
      </c>
      <c r="J10178" s="2">
        <f t="shared" ref="J10178:J10241" si="159">(H10178/86400000)+25569+(7/24)</f>
        <v>43749.222039062493</v>
      </c>
    </row>
    <row r="10179" spans="1:10" x14ac:dyDescent="0.25">
      <c r="A10179" s="7" t="s">
        <v>45995</v>
      </c>
      <c r="B10179" s="8">
        <v>393.75</v>
      </c>
      <c r="C10179" s="8">
        <v>20.478950000000001</v>
      </c>
      <c r="D10179" s="8">
        <v>54</v>
      </c>
      <c r="E10179" s="8">
        <v>0</v>
      </c>
      <c r="F10179" s="8">
        <v>0</v>
      </c>
      <c r="G10179" s="8">
        <v>14</v>
      </c>
      <c r="H10179" s="8" t="s">
        <v>45996</v>
      </c>
      <c r="I10179" s="8">
        <v>526.6875</v>
      </c>
      <c r="J10179" s="3">
        <f t="shared" si="159"/>
        <v>43749.222122928237</v>
      </c>
    </row>
    <row r="10180" spans="1:10" x14ac:dyDescent="0.25">
      <c r="A10180" s="5" t="s">
        <v>45997</v>
      </c>
      <c r="B10180" s="6">
        <v>393.75</v>
      </c>
      <c r="C10180" s="6">
        <v>20.478950000000001</v>
      </c>
      <c r="D10180" s="6">
        <v>55</v>
      </c>
      <c r="E10180" s="6">
        <v>0</v>
      </c>
      <c r="F10180" s="6">
        <v>0</v>
      </c>
      <c r="G10180" s="6">
        <v>6</v>
      </c>
      <c r="H10180" s="6" t="s">
        <v>45998</v>
      </c>
      <c r="I10180" s="6">
        <v>526.6875</v>
      </c>
      <c r="J10180" s="2">
        <f t="shared" si="159"/>
        <v>43749.222194027774</v>
      </c>
    </row>
    <row r="10181" spans="1:10" x14ac:dyDescent="0.25">
      <c r="A10181" s="7" t="s">
        <v>45999</v>
      </c>
      <c r="B10181" s="8">
        <v>393.75</v>
      </c>
      <c r="C10181" s="8">
        <v>20.478950000000001</v>
      </c>
      <c r="D10181" s="8">
        <v>55</v>
      </c>
      <c r="E10181" s="8">
        <v>0</v>
      </c>
      <c r="F10181" s="8">
        <v>0</v>
      </c>
      <c r="G10181" s="8">
        <v>4</v>
      </c>
      <c r="H10181" s="8" t="s">
        <v>46000</v>
      </c>
      <c r="I10181" s="8">
        <v>526.6875</v>
      </c>
      <c r="J10181" s="3">
        <f t="shared" si="159"/>
        <v>43749.222265659722</v>
      </c>
    </row>
    <row r="10182" spans="1:10" x14ac:dyDescent="0.25">
      <c r="A10182" s="5" t="s">
        <v>46001</v>
      </c>
      <c r="B10182" s="6">
        <v>412.5</v>
      </c>
      <c r="C10182" s="6">
        <v>20.478950000000001</v>
      </c>
      <c r="D10182" s="6">
        <v>55</v>
      </c>
      <c r="E10182" s="6">
        <v>0</v>
      </c>
      <c r="F10182" s="6">
        <v>0</v>
      </c>
      <c r="G10182" s="6">
        <v>9</v>
      </c>
      <c r="H10182" s="6" t="s">
        <v>46002</v>
      </c>
      <c r="I10182" s="6">
        <v>532.5</v>
      </c>
      <c r="J10182" s="2">
        <f t="shared" si="159"/>
        <v>43749.222337222222</v>
      </c>
    </row>
    <row r="10183" spans="1:10" x14ac:dyDescent="0.25">
      <c r="A10183" s="7" t="s">
        <v>46003</v>
      </c>
      <c r="B10183" s="8">
        <v>393.75</v>
      </c>
      <c r="C10183" s="8">
        <v>20.478950000000001</v>
      </c>
      <c r="D10183" s="8">
        <v>54</v>
      </c>
      <c r="E10183" s="8">
        <v>0</v>
      </c>
      <c r="F10183" s="8">
        <v>0</v>
      </c>
      <c r="G10183" s="8">
        <v>10</v>
      </c>
      <c r="H10183" s="8" t="s">
        <v>46004</v>
      </c>
      <c r="I10183" s="8">
        <v>526.6875</v>
      </c>
      <c r="J10183" s="3">
        <f t="shared" si="159"/>
        <v>43749.222408969908</v>
      </c>
    </row>
    <row r="10184" spans="1:10" x14ac:dyDescent="0.25">
      <c r="A10184" s="5" t="s">
        <v>46005</v>
      </c>
      <c r="B10184" s="6">
        <v>393.75</v>
      </c>
      <c r="C10184" s="6">
        <v>20.478950000000001</v>
      </c>
      <c r="D10184" s="6">
        <v>52</v>
      </c>
      <c r="E10184" s="6">
        <v>0</v>
      </c>
      <c r="F10184" s="6">
        <v>0</v>
      </c>
      <c r="G10184" s="6">
        <v>4</v>
      </c>
      <c r="H10184" s="6" t="s">
        <v>46006</v>
      </c>
      <c r="I10184" s="6">
        <v>526.5</v>
      </c>
      <c r="J10184" s="2">
        <f t="shared" si="159"/>
        <v>43749.222480624994</v>
      </c>
    </row>
    <row r="10185" spans="1:10" x14ac:dyDescent="0.25">
      <c r="A10185" s="7" t="s">
        <v>46007</v>
      </c>
      <c r="B10185" s="8">
        <v>393.75</v>
      </c>
      <c r="C10185" s="8">
        <v>20.478950000000001</v>
      </c>
      <c r="D10185" s="8">
        <v>52</v>
      </c>
      <c r="E10185" s="8">
        <v>0</v>
      </c>
      <c r="F10185" s="8">
        <v>0</v>
      </c>
      <c r="G10185" s="8">
        <v>16</v>
      </c>
      <c r="H10185" s="8" t="s">
        <v>46008</v>
      </c>
      <c r="I10185" s="8">
        <v>526.6875</v>
      </c>
      <c r="J10185" s="3">
        <f t="shared" si="159"/>
        <v>43749.222575995365</v>
      </c>
    </row>
    <row r="10186" spans="1:10" x14ac:dyDescent="0.25">
      <c r="A10186" s="5" t="s">
        <v>46009</v>
      </c>
      <c r="B10186" s="6">
        <v>393.75</v>
      </c>
      <c r="C10186" s="6">
        <v>20.478950000000001</v>
      </c>
      <c r="D10186" s="6">
        <v>52</v>
      </c>
      <c r="E10186" s="6">
        <v>0</v>
      </c>
      <c r="F10186" s="6">
        <v>0</v>
      </c>
      <c r="G10186" s="6">
        <v>11</v>
      </c>
      <c r="H10186" s="6" t="s">
        <v>46010</v>
      </c>
      <c r="I10186" s="6">
        <v>526.6875</v>
      </c>
      <c r="J10186" s="2">
        <f t="shared" si="159"/>
        <v>43749.222659409723</v>
      </c>
    </row>
    <row r="10187" spans="1:10" x14ac:dyDescent="0.25">
      <c r="A10187" s="7" t="s">
        <v>46011</v>
      </c>
      <c r="B10187" s="8">
        <v>393.75</v>
      </c>
      <c r="C10187" s="8">
        <v>20.478950000000001</v>
      </c>
      <c r="D10187" s="8">
        <v>53</v>
      </c>
      <c r="E10187" s="8">
        <v>0</v>
      </c>
      <c r="F10187" s="8">
        <v>0</v>
      </c>
      <c r="G10187" s="8">
        <v>5</v>
      </c>
      <c r="H10187" s="8" t="s">
        <v>46012</v>
      </c>
      <c r="I10187" s="8">
        <v>526.6875</v>
      </c>
      <c r="J10187" s="3">
        <f t="shared" si="159"/>
        <v>43749.222730590271</v>
      </c>
    </row>
    <row r="10188" spans="1:10" x14ac:dyDescent="0.25">
      <c r="A10188" s="5" t="s">
        <v>46013</v>
      </c>
      <c r="B10188" s="6">
        <v>431.25</v>
      </c>
      <c r="C10188" s="6">
        <v>20.426300000000001</v>
      </c>
      <c r="D10188" s="6">
        <v>51</v>
      </c>
      <c r="E10188" s="6">
        <v>0</v>
      </c>
      <c r="F10188" s="6">
        <v>0</v>
      </c>
      <c r="G10188" s="6">
        <v>13</v>
      </c>
      <c r="H10188" s="6" t="s">
        <v>46014</v>
      </c>
      <c r="I10188" s="6">
        <v>538.3125</v>
      </c>
      <c r="J10188" s="2">
        <f t="shared" si="159"/>
        <v>43749.222802523145</v>
      </c>
    </row>
    <row r="10189" spans="1:10" x14ac:dyDescent="0.25">
      <c r="A10189" s="7" t="s">
        <v>46015</v>
      </c>
      <c r="B10189" s="8">
        <v>393.75</v>
      </c>
      <c r="C10189" s="8">
        <v>20.478950000000001</v>
      </c>
      <c r="D10189" s="8">
        <v>47</v>
      </c>
      <c r="E10189" s="8">
        <v>0</v>
      </c>
      <c r="F10189" s="8">
        <v>0</v>
      </c>
      <c r="G10189" s="8">
        <v>5</v>
      </c>
      <c r="H10189" s="8" t="s">
        <v>46016</v>
      </c>
      <c r="I10189" s="8">
        <v>526.5</v>
      </c>
      <c r="J10189" s="3">
        <f t="shared" si="159"/>
        <v>43749.222874120365</v>
      </c>
    </row>
    <row r="10190" spans="1:10" x14ac:dyDescent="0.25">
      <c r="A10190" s="5" t="s">
        <v>46017</v>
      </c>
      <c r="B10190" s="6">
        <v>393.75</v>
      </c>
      <c r="C10190" s="6">
        <v>20.426300000000001</v>
      </c>
      <c r="D10190" s="6">
        <v>49</v>
      </c>
      <c r="E10190" s="6">
        <v>0</v>
      </c>
      <c r="F10190" s="6">
        <v>0</v>
      </c>
      <c r="G10190" s="6">
        <v>17</v>
      </c>
      <c r="H10190" s="6" t="s">
        <v>46018</v>
      </c>
      <c r="I10190" s="6">
        <v>526.5</v>
      </c>
      <c r="J10190" s="2">
        <f t="shared" si="159"/>
        <v>43749.222945821755</v>
      </c>
    </row>
    <row r="10191" spans="1:10" x14ac:dyDescent="0.25">
      <c r="A10191" s="7" t="s">
        <v>46019</v>
      </c>
      <c r="B10191" s="8">
        <v>393.75</v>
      </c>
      <c r="C10191" s="8">
        <v>20.478950000000001</v>
      </c>
      <c r="D10191" s="8">
        <v>49</v>
      </c>
      <c r="E10191" s="8">
        <v>0</v>
      </c>
      <c r="F10191" s="8">
        <v>0</v>
      </c>
      <c r="G10191" s="8">
        <v>10</v>
      </c>
      <c r="H10191" s="8" t="s">
        <v>46020</v>
      </c>
      <c r="I10191" s="8">
        <v>526.6875</v>
      </c>
      <c r="J10191" s="3">
        <f t="shared" si="159"/>
        <v>43749.223017222219</v>
      </c>
    </row>
    <row r="10192" spans="1:10" x14ac:dyDescent="0.25">
      <c r="A10192" s="5" t="s">
        <v>46021</v>
      </c>
      <c r="B10192" s="6">
        <v>393.75</v>
      </c>
      <c r="C10192" s="6">
        <v>20.478950000000001</v>
      </c>
      <c r="D10192" s="6">
        <v>52</v>
      </c>
      <c r="E10192" s="6">
        <v>0</v>
      </c>
      <c r="F10192" s="6">
        <v>0</v>
      </c>
      <c r="G10192" s="6">
        <v>8</v>
      </c>
      <c r="H10192" s="6" t="s">
        <v>46022</v>
      </c>
      <c r="I10192" s="6">
        <v>526.6875</v>
      </c>
      <c r="J10192" s="2">
        <f t="shared" si="159"/>
        <v>43749.223088692124</v>
      </c>
    </row>
    <row r="10193" spans="1:10" x14ac:dyDescent="0.25">
      <c r="A10193" s="7" t="s">
        <v>46023</v>
      </c>
      <c r="B10193" s="8">
        <v>393.75</v>
      </c>
      <c r="C10193" s="8">
        <v>20.426300000000001</v>
      </c>
      <c r="D10193" s="8">
        <v>53</v>
      </c>
      <c r="E10193" s="8">
        <v>0</v>
      </c>
      <c r="F10193" s="8">
        <v>0</v>
      </c>
      <c r="G10193" s="8">
        <v>4</v>
      </c>
      <c r="H10193" s="8" t="s">
        <v>46024</v>
      </c>
      <c r="I10193" s="8">
        <v>526.6875</v>
      </c>
      <c r="J10193" s="3">
        <f t="shared" si="159"/>
        <v>43749.223172199076</v>
      </c>
    </row>
    <row r="10194" spans="1:10" x14ac:dyDescent="0.25">
      <c r="A10194" s="5" t="s">
        <v>46025</v>
      </c>
      <c r="B10194" s="6">
        <v>393.75</v>
      </c>
      <c r="C10194" s="6">
        <v>20.478950000000001</v>
      </c>
      <c r="D10194" s="6">
        <v>53</v>
      </c>
      <c r="E10194" s="6">
        <v>0</v>
      </c>
      <c r="F10194" s="6">
        <v>0</v>
      </c>
      <c r="G10194" s="6">
        <v>9</v>
      </c>
      <c r="H10194" s="6" t="s">
        <v>46026</v>
      </c>
      <c r="I10194" s="6">
        <v>526.5</v>
      </c>
      <c r="J10194" s="2">
        <f t="shared" si="159"/>
        <v>43749.223255648147</v>
      </c>
    </row>
    <row r="10195" spans="1:10" x14ac:dyDescent="0.25">
      <c r="A10195" s="7" t="s">
        <v>46027</v>
      </c>
      <c r="B10195" s="8">
        <v>412.5</v>
      </c>
      <c r="C10195" s="8">
        <v>20.478950000000001</v>
      </c>
      <c r="D10195" s="8">
        <v>53</v>
      </c>
      <c r="E10195" s="8">
        <v>0</v>
      </c>
      <c r="F10195" s="8">
        <v>0</v>
      </c>
      <c r="G10195" s="8">
        <v>8</v>
      </c>
      <c r="H10195" s="8" t="s">
        <v>46028</v>
      </c>
      <c r="I10195" s="8">
        <v>532.3125</v>
      </c>
      <c r="J10195" s="3">
        <f t="shared" si="159"/>
        <v>43749.223326620369</v>
      </c>
    </row>
    <row r="10196" spans="1:10" x14ac:dyDescent="0.25">
      <c r="A10196" s="5" t="s">
        <v>46029</v>
      </c>
      <c r="B10196" s="6">
        <v>393.75</v>
      </c>
      <c r="C10196" s="6">
        <v>20.426300000000001</v>
      </c>
      <c r="D10196" s="6">
        <v>54</v>
      </c>
      <c r="E10196" s="6">
        <v>0</v>
      </c>
      <c r="F10196" s="6">
        <v>0</v>
      </c>
      <c r="G10196" s="6">
        <v>8</v>
      </c>
      <c r="H10196" s="6" t="s">
        <v>46030</v>
      </c>
      <c r="I10196" s="6">
        <v>526.6875</v>
      </c>
      <c r="J10196" s="2">
        <f t="shared" si="159"/>
        <v>43749.223410729166</v>
      </c>
    </row>
    <row r="10197" spans="1:10" x14ac:dyDescent="0.25">
      <c r="A10197" s="7" t="s">
        <v>46031</v>
      </c>
      <c r="B10197" s="8">
        <v>393.75</v>
      </c>
      <c r="C10197" s="8">
        <v>20.478950000000001</v>
      </c>
      <c r="D10197" s="8">
        <v>54</v>
      </c>
      <c r="E10197" s="8">
        <v>0</v>
      </c>
      <c r="F10197" s="8">
        <v>0</v>
      </c>
      <c r="G10197" s="8">
        <v>8</v>
      </c>
      <c r="H10197" s="8" t="s">
        <v>46032</v>
      </c>
      <c r="I10197" s="8">
        <v>526.6875</v>
      </c>
      <c r="J10197" s="3">
        <f t="shared" si="159"/>
        <v>43749.223482187495</v>
      </c>
    </row>
    <row r="10198" spans="1:10" x14ac:dyDescent="0.25">
      <c r="A10198" s="5" t="s">
        <v>46033</v>
      </c>
      <c r="B10198" s="6">
        <v>393.75</v>
      </c>
      <c r="C10198" s="6">
        <v>20.478950000000001</v>
      </c>
      <c r="D10198" s="6">
        <v>54</v>
      </c>
      <c r="E10198" s="6">
        <v>0</v>
      </c>
      <c r="F10198" s="6">
        <v>0</v>
      </c>
      <c r="G10198" s="6">
        <v>13</v>
      </c>
      <c r="H10198" s="6" t="s">
        <v>46034</v>
      </c>
      <c r="I10198" s="6">
        <v>526.6875</v>
      </c>
      <c r="J10198" s="2">
        <f t="shared" si="159"/>
        <v>43749.223553738419</v>
      </c>
    </row>
    <row r="10199" spans="1:10" x14ac:dyDescent="0.25">
      <c r="A10199" s="7" t="s">
        <v>46035</v>
      </c>
      <c r="B10199" s="8">
        <v>393.75</v>
      </c>
      <c r="C10199" s="8">
        <v>20.478950000000001</v>
      </c>
      <c r="D10199" s="8">
        <v>53</v>
      </c>
      <c r="E10199" s="8">
        <v>0</v>
      </c>
      <c r="F10199" s="8">
        <v>0</v>
      </c>
      <c r="G10199" s="8">
        <v>18</v>
      </c>
      <c r="H10199" s="8" t="s">
        <v>46036</v>
      </c>
      <c r="I10199" s="8">
        <v>526.6875</v>
      </c>
      <c r="J10199" s="3">
        <f t="shared" si="159"/>
        <v>43749.223637256939</v>
      </c>
    </row>
    <row r="10200" spans="1:10" x14ac:dyDescent="0.25">
      <c r="A10200" s="5" t="s">
        <v>46037</v>
      </c>
      <c r="B10200" s="6">
        <v>393.75</v>
      </c>
      <c r="C10200" s="6">
        <v>20.478950000000001</v>
      </c>
      <c r="D10200" s="6">
        <v>56</v>
      </c>
      <c r="E10200" s="6">
        <v>0</v>
      </c>
      <c r="F10200" s="6">
        <v>0</v>
      </c>
      <c r="G10200" s="6">
        <v>8</v>
      </c>
      <c r="H10200" s="6" t="s">
        <v>46038</v>
      </c>
      <c r="I10200" s="6">
        <v>526.6875</v>
      </c>
      <c r="J10200" s="2">
        <f t="shared" si="159"/>
        <v>43749.223708807869</v>
      </c>
    </row>
    <row r="10201" spans="1:10" x14ac:dyDescent="0.25">
      <c r="A10201" s="7" t="s">
        <v>46039</v>
      </c>
      <c r="B10201" s="8">
        <v>412.5</v>
      </c>
      <c r="C10201" s="8">
        <v>20.426300000000001</v>
      </c>
      <c r="D10201" s="8">
        <v>55</v>
      </c>
      <c r="E10201" s="8">
        <v>0</v>
      </c>
      <c r="F10201" s="8">
        <v>0</v>
      </c>
      <c r="G10201" s="8">
        <v>8</v>
      </c>
      <c r="H10201" s="8" t="s">
        <v>46040</v>
      </c>
      <c r="I10201" s="8">
        <v>532.3125</v>
      </c>
      <c r="J10201" s="3">
        <f t="shared" si="159"/>
        <v>43749.223792349534</v>
      </c>
    </row>
    <row r="10202" spans="1:10" x14ac:dyDescent="0.25">
      <c r="A10202" s="5" t="s">
        <v>46041</v>
      </c>
      <c r="B10202" s="6">
        <v>393.75</v>
      </c>
      <c r="C10202" s="6">
        <v>20.426300000000001</v>
      </c>
      <c r="D10202" s="6">
        <v>55</v>
      </c>
      <c r="E10202" s="6">
        <v>0</v>
      </c>
      <c r="F10202" s="6">
        <v>0</v>
      </c>
      <c r="G10202" s="6">
        <v>11</v>
      </c>
      <c r="H10202" s="6" t="s">
        <v>46042</v>
      </c>
      <c r="I10202" s="6">
        <v>526.6875</v>
      </c>
      <c r="J10202" s="2">
        <f t="shared" si="159"/>
        <v>43749.223863645828</v>
      </c>
    </row>
    <row r="10203" spans="1:10" x14ac:dyDescent="0.25">
      <c r="A10203" s="7" t="s">
        <v>46043</v>
      </c>
      <c r="B10203" s="8">
        <v>393.75</v>
      </c>
      <c r="C10203" s="8">
        <v>20.478950000000001</v>
      </c>
      <c r="D10203" s="8">
        <v>55</v>
      </c>
      <c r="E10203" s="8">
        <v>0</v>
      </c>
      <c r="F10203" s="8">
        <v>0</v>
      </c>
      <c r="G10203" s="8">
        <v>0</v>
      </c>
      <c r="H10203" s="8" t="s">
        <v>46044</v>
      </c>
      <c r="I10203" s="8">
        <v>526.6875</v>
      </c>
      <c r="J10203" s="3">
        <f t="shared" si="159"/>
        <v>43749.223935347218</v>
      </c>
    </row>
    <row r="10204" spans="1:10" x14ac:dyDescent="0.25">
      <c r="A10204" s="5" t="s">
        <v>46045</v>
      </c>
      <c r="B10204" s="6">
        <v>393.75</v>
      </c>
      <c r="C10204" s="6">
        <v>20.426300000000001</v>
      </c>
      <c r="D10204" s="6">
        <v>54</v>
      </c>
      <c r="E10204" s="6">
        <v>0</v>
      </c>
      <c r="F10204" s="6">
        <v>0</v>
      </c>
      <c r="G10204" s="6">
        <v>10</v>
      </c>
      <c r="H10204" s="6" t="s">
        <v>46046</v>
      </c>
      <c r="I10204" s="6">
        <v>526.6875</v>
      </c>
      <c r="J10204" s="2">
        <f t="shared" si="159"/>
        <v>43749.224018912035</v>
      </c>
    </row>
    <row r="10205" spans="1:10" x14ac:dyDescent="0.25">
      <c r="A10205" s="7" t="s">
        <v>46047</v>
      </c>
      <c r="B10205" s="8">
        <v>393.75</v>
      </c>
      <c r="C10205" s="8">
        <v>20.478950000000001</v>
      </c>
      <c r="D10205" s="8">
        <v>55</v>
      </c>
      <c r="E10205" s="8">
        <v>0</v>
      </c>
      <c r="F10205" s="8">
        <v>0</v>
      </c>
      <c r="G10205" s="8">
        <v>7</v>
      </c>
      <c r="H10205" s="8" t="s">
        <v>46048</v>
      </c>
      <c r="I10205" s="8">
        <v>526.6875</v>
      </c>
      <c r="J10205" s="3">
        <f t="shared" si="159"/>
        <v>43749.224102372682</v>
      </c>
    </row>
    <row r="10206" spans="1:10" x14ac:dyDescent="0.25">
      <c r="A10206" s="5" t="s">
        <v>46049</v>
      </c>
      <c r="B10206" s="6">
        <v>393.75</v>
      </c>
      <c r="C10206" s="6">
        <v>20.478950000000001</v>
      </c>
      <c r="D10206" s="6">
        <v>55</v>
      </c>
      <c r="E10206" s="6">
        <v>0</v>
      </c>
      <c r="F10206" s="6">
        <v>0</v>
      </c>
      <c r="G10206" s="6">
        <v>12</v>
      </c>
      <c r="H10206" s="6" t="s">
        <v>46050</v>
      </c>
      <c r="I10206" s="6">
        <v>526.6875</v>
      </c>
      <c r="J10206" s="2">
        <f t="shared" si="159"/>
        <v>43749.224185775463</v>
      </c>
    </row>
    <row r="10207" spans="1:10" x14ac:dyDescent="0.25">
      <c r="A10207" s="7" t="s">
        <v>46051</v>
      </c>
      <c r="B10207" s="8">
        <v>412.5</v>
      </c>
      <c r="C10207" s="8">
        <v>20.478950000000001</v>
      </c>
      <c r="D10207" s="8">
        <v>55</v>
      </c>
      <c r="E10207" s="8">
        <v>0</v>
      </c>
      <c r="F10207" s="8">
        <v>0</v>
      </c>
      <c r="G10207" s="8">
        <v>15</v>
      </c>
      <c r="H10207" s="8" t="s">
        <v>46052</v>
      </c>
      <c r="I10207" s="8">
        <v>532.3125</v>
      </c>
      <c r="J10207" s="3">
        <f t="shared" si="159"/>
        <v>43749.224269374994</v>
      </c>
    </row>
    <row r="10208" spans="1:10" x14ac:dyDescent="0.25">
      <c r="A10208" s="5" t="s">
        <v>46053</v>
      </c>
      <c r="B10208" s="6">
        <v>393.75</v>
      </c>
      <c r="C10208" s="6">
        <v>20.426300000000001</v>
      </c>
      <c r="D10208" s="6">
        <v>54</v>
      </c>
      <c r="E10208" s="6">
        <v>0</v>
      </c>
      <c r="F10208" s="6">
        <v>0</v>
      </c>
      <c r="G10208" s="6">
        <v>13</v>
      </c>
      <c r="H10208" s="6" t="s">
        <v>46054</v>
      </c>
      <c r="I10208" s="6">
        <v>526.6875</v>
      </c>
      <c r="J10208" s="2">
        <f t="shared" si="159"/>
        <v>43749.224352523146</v>
      </c>
    </row>
    <row r="10209" spans="1:10" x14ac:dyDescent="0.25">
      <c r="A10209" s="7" t="s">
        <v>46055</v>
      </c>
      <c r="B10209" s="8">
        <v>393.75</v>
      </c>
      <c r="C10209" s="8">
        <v>20.426300000000001</v>
      </c>
      <c r="D10209" s="8">
        <v>54</v>
      </c>
      <c r="E10209" s="8">
        <v>0</v>
      </c>
      <c r="F10209" s="8">
        <v>0</v>
      </c>
      <c r="G10209" s="8">
        <v>11</v>
      </c>
      <c r="H10209" s="8" t="s">
        <v>46056</v>
      </c>
      <c r="I10209" s="8">
        <v>526.5</v>
      </c>
      <c r="J10209" s="3">
        <f t="shared" si="159"/>
        <v>43749.22442471065</v>
      </c>
    </row>
    <row r="10210" spans="1:10" x14ac:dyDescent="0.25">
      <c r="A10210" s="5" t="s">
        <v>46057</v>
      </c>
      <c r="B10210" s="6">
        <v>393.75</v>
      </c>
      <c r="C10210" s="6">
        <v>20.426300000000001</v>
      </c>
      <c r="D10210" s="6">
        <v>54</v>
      </c>
      <c r="E10210" s="6">
        <v>0</v>
      </c>
      <c r="F10210" s="6">
        <v>0</v>
      </c>
      <c r="G10210" s="6">
        <v>18</v>
      </c>
      <c r="H10210" s="6" t="s">
        <v>46058</v>
      </c>
      <c r="I10210" s="6">
        <v>526.6875</v>
      </c>
      <c r="J10210" s="2">
        <f t="shared" si="159"/>
        <v>43749.224507766201</v>
      </c>
    </row>
    <row r="10211" spans="1:10" x14ac:dyDescent="0.25">
      <c r="A10211" s="7" t="s">
        <v>46059</v>
      </c>
      <c r="B10211" s="8">
        <v>393.75</v>
      </c>
      <c r="C10211" s="8">
        <v>20.478950000000001</v>
      </c>
      <c r="D10211" s="8">
        <v>54</v>
      </c>
      <c r="E10211" s="8">
        <v>0</v>
      </c>
      <c r="F10211" s="8">
        <v>0</v>
      </c>
      <c r="G10211" s="8">
        <v>9</v>
      </c>
      <c r="H10211" s="8" t="s">
        <v>46060</v>
      </c>
      <c r="I10211" s="8">
        <v>526.5</v>
      </c>
      <c r="J10211" s="3">
        <f t="shared" si="159"/>
        <v>43749.22457903935</v>
      </c>
    </row>
    <row r="10212" spans="1:10" x14ac:dyDescent="0.25">
      <c r="A10212" s="5" t="s">
        <v>46061</v>
      </c>
      <c r="B10212" s="6">
        <v>393.75</v>
      </c>
      <c r="C10212" s="6">
        <v>20.478950000000001</v>
      </c>
      <c r="D10212" s="6">
        <v>55</v>
      </c>
      <c r="E10212" s="6">
        <v>0</v>
      </c>
      <c r="F10212" s="6">
        <v>0</v>
      </c>
      <c r="G10212" s="6">
        <v>14</v>
      </c>
      <c r="H10212" s="6" t="s">
        <v>46062</v>
      </c>
      <c r="I10212" s="6">
        <v>526.6875</v>
      </c>
      <c r="J10212" s="2">
        <f t="shared" si="159"/>
        <v>43749.224650810182</v>
      </c>
    </row>
    <row r="10213" spans="1:10" x14ac:dyDescent="0.25">
      <c r="A10213" s="7" t="s">
        <v>46063</v>
      </c>
      <c r="B10213" s="8">
        <v>412.5</v>
      </c>
      <c r="C10213" s="8">
        <v>20.478950000000001</v>
      </c>
      <c r="D10213" s="8">
        <v>55</v>
      </c>
      <c r="E10213" s="8">
        <v>0</v>
      </c>
      <c r="F10213" s="8">
        <v>0</v>
      </c>
      <c r="G10213" s="8">
        <v>6</v>
      </c>
      <c r="H10213" s="8" t="s">
        <v>46064</v>
      </c>
      <c r="I10213" s="8">
        <v>532.5</v>
      </c>
      <c r="J10213" s="3">
        <f t="shared" si="159"/>
        <v>43749.224722407402</v>
      </c>
    </row>
    <row r="10214" spans="1:10" x14ac:dyDescent="0.25">
      <c r="A10214" s="5" t="s">
        <v>46065</v>
      </c>
      <c r="B10214" s="6">
        <v>393.75</v>
      </c>
      <c r="C10214" s="6">
        <v>20.426300000000001</v>
      </c>
      <c r="D10214" s="6">
        <v>55</v>
      </c>
      <c r="E10214" s="6">
        <v>0</v>
      </c>
      <c r="F10214" s="6">
        <v>0</v>
      </c>
      <c r="G10214" s="6">
        <v>14</v>
      </c>
      <c r="H10214" s="6" t="s">
        <v>46066</v>
      </c>
      <c r="I10214" s="6">
        <v>526.6875</v>
      </c>
      <c r="J10214" s="2">
        <f t="shared" si="159"/>
        <v>43749.224805902777</v>
      </c>
    </row>
    <row r="10215" spans="1:10" x14ac:dyDescent="0.25">
      <c r="A10215" s="7" t="s">
        <v>46067</v>
      </c>
      <c r="B10215" s="8">
        <v>393.75</v>
      </c>
      <c r="C10215" s="8">
        <v>20.426300000000001</v>
      </c>
      <c r="D10215" s="8">
        <v>54</v>
      </c>
      <c r="E10215" s="8">
        <v>0</v>
      </c>
      <c r="F10215" s="8">
        <v>0</v>
      </c>
      <c r="G10215" s="8">
        <v>10</v>
      </c>
      <c r="H10215" s="8" t="s">
        <v>46068</v>
      </c>
      <c r="I10215" s="8">
        <v>526.5</v>
      </c>
      <c r="J10215" s="3">
        <f t="shared" si="159"/>
        <v>43749.224889479163</v>
      </c>
    </row>
    <row r="10216" spans="1:10" x14ac:dyDescent="0.25">
      <c r="A10216" s="5" t="s">
        <v>46069</v>
      </c>
      <c r="B10216" s="6">
        <v>393.75</v>
      </c>
      <c r="C10216" s="6">
        <v>20.478950000000001</v>
      </c>
      <c r="D10216" s="6">
        <v>53</v>
      </c>
      <c r="E10216" s="6">
        <v>0</v>
      </c>
      <c r="F10216" s="6">
        <v>0</v>
      </c>
      <c r="G10216" s="6">
        <v>8</v>
      </c>
      <c r="H10216" s="6" t="s">
        <v>46070</v>
      </c>
      <c r="I10216" s="6">
        <v>526.6875</v>
      </c>
      <c r="J10216" s="2">
        <f t="shared" si="159"/>
        <v>43749.224960879626</v>
      </c>
    </row>
    <row r="10217" spans="1:10" x14ac:dyDescent="0.25">
      <c r="A10217" s="7" t="s">
        <v>46071</v>
      </c>
      <c r="B10217" s="8">
        <v>393.75</v>
      </c>
      <c r="C10217" s="8">
        <v>20.478950000000001</v>
      </c>
      <c r="D10217" s="8">
        <v>53</v>
      </c>
      <c r="E10217" s="8">
        <v>0</v>
      </c>
      <c r="F10217" s="8">
        <v>0</v>
      </c>
      <c r="G10217" s="8">
        <v>9</v>
      </c>
      <c r="H10217" s="8" t="s">
        <v>46072</v>
      </c>
      <c r="I10217" s="8">
        <v>526.6875</v>
      </c>
      <c r="J10217" s="3">
        <f t="shared" si="159"/>
        <v>43749.225032962961</v>
      </c>
    </row>
    <row r="10218" spans="1:10" x14ac:dyDescent="0.25">
      <c r="A10218" s="5" t="s">
        <v>46073</v>
      </c>
      <c r="B10218" s="6">
        <v>393.75</v>
      </c>
      <c r="C10218" s="6">
        <v>20.478950000000001</v>
      </c>
      <c r="D10218" s="6">
        <v>53</v>
      </c>
      <c r="E10218" s="6">
        <v>0</v>
      </c>
      <c r="F10218" s="6">
        <v>0</v>
      </c>
      <c r="G10218" s="6">
        <v>9</v>
      </c>
      <c r="H10218" s="6" t="s">
        <v>46074</v>
      </c>
      <c r="I10218" s="6">
        <v>526.6875</v>
      </c>
      <c r="J10218" s="2">
        <f t="shared" si="159"/>
        <v>43749.225103819444</v>
      </c>
    </row>
    <row r="10219" spans="1:10" x14ac:dyDescent="0.25">
      <c r="A10219" s="7" t="s">
        <v>46075</v>
      </c>
      <c r="B10219" s="8">
        <v>393.75</v>
      </c>
      <c r="C10219" s="8">
        <v>20.478950000000001</v>
      </c>
      <c r="D10219" s="8">
        <v>55</v>
      </c>
      <c r="E10219" s="8">
        <v>0</v>
      </c>
      <c r="F10219" s="8">
        <v>0</v>
      </c>
      <c r="G10219" s="8">
        <v>16</v>
      </c>
      <c r="H10219" s="8" t="s">
        <v>46076</v>
      </c>
      <c r="I10219" s="8">
        <v>526.6875</v>
      </c>
      <c r="J10219" s="3">
        <f t="shared" si="159"/>
        <v>43749.225187523145</v>
      </c>
    </row>
    <row r="10220" spans="1:10" x14ac:dyDescent="0.25">
      <c r="A10220" s="5" t="s">
        <v>46077</v>
      </c>
      <c r="B10220" s="6">
        <v>393.75</v>
      </c>
      <c r="C10220" s="6">
        <v>20.478950000000001</v>
      </c>
      <c r="D10220" s="6">
        <v>56</v>
      </c>
      <c r="E10220" s="6">
        <v>0</v>
      </c>
      <c r="F10220" s="6">
        <v>0</v>
      </c>
      <c r="G10220" s="6">
        <v>7</v>
      </c>
      <c r="H10220" s="6" t="s">
        <v>46078</v>
      </c>
      <c r="I10220" s="6">
        <v>526.6875</v>
      </c>
      <c r="J10220" s="2">
        <f t="shared" si="159"/>
        <v>43749.225259513885</v>
      </c>
    </row>
    <row r="10221" spans="1:10" x14ac:dyDescent="0.25">
      <c r="A10221" s="7" t="s">
        <v>46079</v>
      </c>
      <c r="B10221" s="8">
        <v>393.75</v>
      </c>
      <c r="C10221" s="8">
        <v>20.478950000000001</v>
      </c>
      <c r="D10221" s="8">
        <v>57</v>
      </c>
      <c r="E10221" s="8">
        <v>0</v>
      </c>
      <c r="F10221" s="8">
        <v>0</v>
      </c>
      <c r="G10221" s="8">
        <v>1</v>
      </c>
      <c r="H10221" s="8" t="s">
        <v>46080</v>
      </c>
      <c r="I10221" s="8">
        <v>526.6875</v>
      </c>
      <c r="J10221" s="3">
        <f t="shared" si="159"/>
        <v>43749.225342141202</v>
      </c>
    </row>
    <row r="10222" spans="1:10" x14ac:dyDescent="0.25">
      <c r="A10222" s="5" t="s">
        <v>46081</v>
      </c>
      <c r="B10222" s="6">
        <v>393.75</v>
      </c>
      <c r="C10222" s="6">
        <v>20.478950000000001</v>
      </c>
      <c r="D10222" s="6">
        <v>58</v>
      </c>
      <c r="E10222" s="6">
        <v>0</v>
      </c>
      <c r="F10222" s="6">
        <v>0</v>
      </c>
      <c r="G10222" s="6">
        <v>9</v>
      </c>
      <c r="H10222" s="6" t="s">
        <v>46082</v>
      </c>
      <c r="I10222" s="6">
        <v>526.6875</v>
      </c>
      <c r="J10222" s="2">
        <f t="shared" si="159"/>
        <v>43749.225414027773</v>
      </c>
    </row>
    <row r="10223" spans="1:10" x14ac:dyDescent="0.25">
      <c r="A10223" s="7" t="s">
        <v>46083</v>
      </c>
      <c r="B10223" s="8">
        <v>393.75</v>
      </c>
      <c r="C10223" s="8">
        <v>20.478950000000001</v>
      </c>
      <c r="D10223" s="8">
        <v>58</v>
      </c>
      <c r="E10223" s="8">
        <v>0</v>
      </c>
      <c r="F10223" s="8">
        <v>0</v>
      </c>
      <c r="G10223" s="8">
        <v>9</v>
      </c>
      <c r="H10223" s="8" t="s">
        <v>46084</v>
      </c>
      <c r="I10223" s="8">
        <v>526.6875</v>
      </c>
      <c r="J10223" s="3">
        <f t="shared" si="159"/>
        <v>43749.225485393516</v>
      </c>
    </row>
    <row r="10224" spans="1:10" x14ac:dyDescent="0.25">
      <c r="A10224" s="5" t="s">
        <v>46085</v>
      </c>
      <c r="B10224" s="6">
        <v>393.75</v>
      </c>
      <c r="C10224" s="6">
        <v>20.478950000000001</v>
      </c>
      <c r="D10224" s="6">
        <v>57</v>
      </c>
      <c r="E10224" s="6">
        <v>0</v>
      </c>
      <c r="F10224" s="6">
        <v>0</v>
      </c>
      <c r="G10224" s="6">
        <v>11</v>
      </c>
      <c r="H10224" s="6" t="s">
        <v>46086</v>
      </c>
      <c r="I10224" s="6">
        <v>526.6875</v>
      </c>
      <c r="J10224" s="2">
        <f t="shared" si="159"/>
        <v>43749.225557291669</v>
      </c>
    </row>
    <row r="10225" spans="1:10" x14ac:dyDescent="0.25">
      <c r="A10225" s="7" t="s">
        <v>46087</v>
      </c>
      <c r="B10225" s="8">
        <v>393.75</v>
      </c>
      <c r="C10225" s="8">
        <v>20.426300000000001</v>
      </c>
      <c r="D10225" s="8">
        <v>59</v>
      </c>
      <c r="E10225" s="8">
        <v>0</v>
      </c>
      <c r="F10225" s="8">
        <v>0</v>
      </c>
      <c r="G10225" s="8">
        <v>9</v>
      </c>
      <c r="H10225" s="8" t="s">
        <v>46088</v>
      </c>
      <c r="I10225" s="8">
        <v>526.6875</v>
      </c>
      <c r="J10225" s="3">
        <f t="shared" si="159"/>
        <v>43749.225640625002</v>
      </c>
    </row>
    <row r="10226" spans="1:10" x14ac:dyDescent="0.25">
      <c r="A10226" s="5" t="s">
        <v>46089</v>
      </c>
      <c r="B10226" s="6">
        <v>412.5</v>
      </c>
      <c r="C10226" s="6">
        <v>20.478950000000001</v>
      </c>
      <c r="D10226" s="6">
        <v>59</v>
      </c>
      <c r="E10226" s="6">
        <v>0</v>
      </c>
      <c r="F10226" s="6">
        <v>0</v>
      </c>
      <c r="G10226" s="6">
        <v>13</v>
      </c>
      <c r="H10226" s="6" t="s">
        <v>46090</v>
      </c>
      <c r="I10226" s="6">
        <v>532.3125</v>
      </c>
      <c r="J10226" s="2">
        <f t="shared" si="159"/>
        <v>43749.225728171295</v>
      </c>
    </row>
    <row r="10227" spans="1:10" x14ac:dyDescent="0.25">
      <c r="A10227" s="7" t="s">
        <v>46091</v>
      </c>
      <c r="B10227" s="8">
        <v>393.75</v>
      </c>
      <c r="C10227" s="8">
        <v>20.426300000000001</v>
      </c>
      <c r="D10227" s="8">
        <v>58</v>
      </c>
      <c r="E10227" s="8">
        <v>0</v>
      </c>
      <c r="F10227" s="8">
        <v>0</v>
      </c>
      <c r="G10227" s="8">
        <v>4</v>
      </c>
      <c r="H10227" s="8" t="s">
        <v>46092</v>
      </c>
      <c r="I10227" s="8">
        <v>526.6875</v>
      </c>
      <c r="J10227" s="3">
        <f t="shared" si="159"/>
        <v>43749.225807581017</v>
      </c>
    </row>
    <row r="10228" spans="1:10" x14ac:dyDescent="0.25">
      <c r="A10228" s="5" t="s">
        <v>46093</v>
      </c>
      <c r="B10228" s="6">
        <v>393.75</v>
      </c>
      <c r="C10228" s="6">
        <v>20.426300000000001</v>
      </c>
      <c r="D10228" s="6">
        <v>55</v>
      </c>
      <c r="E10228" s="6">
        <v>0</v>
      </c>
      <c r="F10228" s="6">
        <v>0</v>
      </c>
      <c r="G10228" s="6">
        <v>5</v>
      </c>
      <c r="H10228" s="6" t="s">
        <v>46094</v>
      </c>
      <c r="I10228" s="6">
        <v>526.6875</v>
      </c>
      <c r="J10228" s="2">
        <f t="shared" si="159"/>
        <v>43749.22587913194</v>
      </c>
    </row>
    <row r="10229" spans="1:10" x14ac:dyDescent="0.25">
      <c r="A10229" s="7" t="s">
        <v>46095</v>
      </c>
      <c r="B10229" s="8">
        <v>393.75</v>
      </c>
      <c r="C10229" s="8">
        <v>20.426300000000001</v>
      </c>
      <c r="D10229" s="8">
        <v>54</v>
      </c>
      <c r="E10229" s="8">
        <v>0</v>
      </c>
      <c r="F10229" s="8">
        <v>0</v>
      </c>
      <c r="G10229" s="8">
        <v>15</v>
      </c>
      <c r="H10229" s="8" t="s">
        <v>46096</v>
      </c>
      <c r="I10229" s="8">
        <v>526.6875</v>
      </c>
      <c r="J10229" s="3">
        <f t="shared" si="159"/>
        <v>43749.225956215276</v>
      </c>
    </row>
    <row r="10230" spans="1:10" x14ac:dyDescent="0.25">
      <c r="A10230" s="5" t="s">
        <v>46097</v>
      </c>
      <c r="B10230" s="6">
        <v>393.75</v>
      </c>
      <c r="C10230" s="6">
        <v>20.478950000000001</v>
      </c>
      <c r="D10230" s="6">
        <v>56</v>
      </c>
      <c r="E10230" s="6">
        <v>0</v>
      </c>
      <c r="F10230" s="6">
        <v>0</v>
      </c>
      <c r="G10230" s="6">
        <v>13</v>
      </c>
      <c r="H10230" s="6" t="s">
        <v>46098</v>
      </c>
      <c r="I10230" s="6">
        <v>526.6875</v>
      </c>
      <c r="J10230" s="2">
        <f t="shared" si="159"/>
        <v>43749.226034004627</v>
      </c>
    </row>
    <row r="10231" spans="1:10" x14ac:dyDescent="0.25">
      <c r="A10231" s="7" t="s">
        <v>46099</v>
      </c>
      <c r="B10231" s="8">
        <v>393.75</v>
      </c>
      <c r="C10231" s="8">
        <v>20.426300000000001</v>
      </c>
      <c r="D10231" s="8">
        <v>57</v>
      </c>
      <c r="E10231" s="8">
        <v>0</v>
      </c>
      <c r="F10231" s="8">
        <v>0</v>
      </c>
      <c r="G10231" s="8">
        <v>11</v>
      </c>
      <c r="H10231" s="8" t="s">
        <v>46100</v>
      </c>
      <c r="I10231" s="8">
        <v>526.6875</v>
      </c>
      <c r="J10231" s="3">
        <f t="shared" si="159"/>
        <v>43749.226108773146</v>
      </c>
    </row>
    <row r="10232" spans="1:10" x14ac:dyDescent="0.25">
      <c r="A10232" s="5" t="s">
        <v>46101</v>
      </c>
      <c r="B10232" s="6">
        <v>409.375</v>
      </c>
      <c r="C10232" s="6">
        <v>20.478950000000001</v>
      </c>
      <c r="D10232" s="6">
        <v>57</v>
      </c>
      <c r="E10232" s="6">
        <v>0</v>
      </c>
      <c r="F10232" s="6">
        <v>0</v>
      </c>
      <c r="G10232" s="6">
        <v>12</v>
      </c>
      <c r="H10232" s="6" t="s">
        <v>46102</v>
      </c>
      <c r="I10232" s="6">
        <v>531.375</v>
      </c>
      <c r="J10232" s="2">
        <f t="shared" si="159"/>
        <v>43749.226189270827</v>
      </c>
    </row>
    <row r="10233" spans="1:10" x14ac:dyDescent="0.25">
      <c r="A10233" s="7" t="s">
        <v>46103</v>
      </c>
      <c r="B10233" s="8">
        <v>393.75</v>
      </c>
      <c r="C10233" s="8">
        <v>20.426300000000001</v>
      </c>
      <c r="D10233" s="8">
        <v>54</v>
      </c>
      <c r="E10233" s="8">
        <v>0</v>
      </c>
      <c r="F10233" s="8">
        <v>0</v>
      </c>
      <c r="G10233" s="8">
        <v>9</v>
      </c>
      <c r="H10233" s="8" t="s">
        <v>46104</v>
      </c>
      <c r="I10233" s="8">
        <v>526.5</v>
      </c>
      <c r="J10233" s="3">
        <f t="shared" si="159"/>
        <v>43749.226260844902</v>
      </c>
    </row>
    <row r="10234" spans="1:10" x14ac:dyDescent="0.25">
      <c r="A10234" s="5" t="s">
        <v>46105</v>
      </c>
      <c r="B10234" s="6">
        <v>393.75</v>
      </c>
      <c r="C10234" s="6">
        <v>20.426300000000001</v>
      </c>
      <c r="D10234" s="6">
        <v>53</v>
      </c>
      <c r="E10234" s="6">
        <v>0</v>
      </c>
      <c r="F10234" s="6">
        <v>0</v>
      </c>
      <c r="G10234" s="6">
        <v>9</v>
      </c>
      <c r="H10234" s="6" t="s">
        <v>46106</v>
      </c>
      <c r="I10234" s="6">
        <v>526.6875</v>
      </c>
      <c r="J10234" s="2">
        <f t="shared" si="159"/>
        <v>43749.226348159718</v>
      </c>
    </row>
    <row r="10235" spans="1:10" x14ac:dyDescent="0.25">
      <c r="A10235" s="7" t="s">
        <v>46107</v>
      </c>
      <c r="B10235" s="8">
        <v>393.75</v>
      </c>
      <c r="C10235" s="8">
        <v>20.426300000000001</v>
      </c>
      <c r="D10235" s="8">
        <v>53</v>
      </c>
      <c r="E10235" s="8">
        <v>0</v>
      </c>
      <c r="F10235" s="8">
        <v>0</v>
      </c>
      <c r="G10235" s="8">
        <v>20</v>
      </c>
      <c r="H10235" s="8" t="s">
        <v>46108</v>
      </c>
      <c r="I10235" s="8">
        <v>526.6875</v>
      </c>
      <c r="J10235" s="3">
        <f t="shared" si="159"/>
        <v>43749.226427685186</v>
      </c>
    </row>
    <row r="10236" spans="1:10" x14ac:dyDescent="0.25">
      <c r="A10236" s="5" t="s">
        <v>46109</v>
      </c>
      <c r="B10236" s="6">
        <v>393.75</v>
      </c>
      <c r="C10236" s="6">
        <v>20.478950000000001</v>
      </c>
      <c r="D10236" s="6">
        <v>54</v>
      </c>
      <c r="E10236" s="6">
        <v>0</v>
      </c>
      <c r="F10236" s="6">
        <v>0</v>
      </c>
      <c r="G10236" s="6">
        <v>9</v>
      </c>
      <c r="H10236" s="6" t="s">
        <v>46110</v>
      </c>
      <c r="I10236" s="6">
        <v>526.6875</v>
      </c>
      <c r="J10236" s="2">
        <f t="shared" si="159"/>
        <v>43749.226499317127</v>
      </c>
    </row>
    <row r="10237" spans="1:10" x14ac:dyDescent="0.25">
      <c r="A10237" s="7" t="s">
        <v>46111</v>
      </c>
      <c r="B10237" s="8">
        <v>393.75</v>
      </c>
      <c r="C10237" s="8">
        <v>20.478950000000001</v>
      </c>
      <c r="D10237" s="8">
        <v>55</v>
      </c>
      <c r="E10237" s="8">
        <v>0</v>
      </c>
      <c r="F10237" s="8">
        <v>0</v>
      </c>
      <c r="G10237" s="8">
        <v>7</v>
      </c>
      <c r="H10237" s="8" t="s">
        <v>46112</v>
      </c>
      <c r="I10237" s="8">
        <v>526.5</v>
      </c>
      <c r="J10237" s="3">
        <f t="shared" si="159"/>
        <v>43749.226570983796</v>
      </c>
    </row>
    <row r="10238" spans="1:10" x14ac:dyDescent="0.25">
      <c r="A10238" s="5" t="s">
        <v>46113</v>
      </c>
      <c r="B10238" s="6">
        <v>412.5</v>
      </c>
      <c r="C10238" s="6">
        <v>20.478950000000001</v>
      </c>
      <c r="D10238" s="6">
        <v>55</v>
      </c>
      <c r="E10238" s="6">
        <v>0</v>
      </c>
      <c r="F10238" s="6">
        <v>0</v>
      </c>
      <c r="G10238" s="6">
        <v>9</v>
      </c>
      <c r="H10238" s="6" t="s">
        <v>46114</v>
      </c>
      <c r="I10238" s="6">
        <v>532.875</v>
      </c>
      <c r="J10238" s="2">
        <f t="shared" si="159"/>
        <v>43749.226642083326</v>
      </c>
    </row>
    <row r="10239" spans="1:10" x14ac:dyDescent="0.25">
      <c r="A10239" s="7" t="s">
        <v>46115</v>
      </c>
      <c r="B10239" s="8">
        <v>393.75</v>
      </c>
      <c r="C10239" s="8">
        <v>20.478950000000001</v>
      </c>
      <c r="D10239" s="8">
        <v>56</v>
      </c>
      <c r="E10239" s="8">
        <v>0</v>
      </c>
      <c r="F10239" s="8">
        <v>0</v>
      </c>
      <c r="G10239" s="8">
        <v>8</v>
      </c>
      <c r="H10239" s="8" t="s">
        <v>46116</v>
      </c>
      <c r="I10239" s="8">
        <v>526.6875</v>
      </c>
      <c r="J10239" s="3">
        <f t="shared" si="159"/>
        <v>43749.22671391203</v>
      </c>
    </row>
    <row r="10240" spans="1:10" x14ac:dyDescent="0.25">
      <c r="A10240" s="5" t="s">
        <v>46117</v>
      </c>
      <c r="B10240" s="6">
        <v>393.75</v>
      </c>
      <c r="C10240" s="6">
        <v>20.426300000000001</v>
      </c>
      <c r="D10240" s="6">
        <v>56</v>
      </c>
      <c r="E10240" s="6">
        <v>0</v>
      </c>
      <c r="F10240" s="6">
        <v>0</v>
      </c>
      <c r="G10240" s="6">
        <v>9</v>
      </c>
      <c r="H10240" s="6" t="s">
        <v>46118</v>
      </c>
      <c r="I10240" s="6">
        <v>526.6875</v>
      </c>
      <c r="J10240" s="2">
        <f t="shared" si="159"/>
        <v>43749.226797025462</v>
      </c>
    </row>
    <row r="10241" spans="1:10" x14ac:dyDescent="0.25">
      <c r="A10241" s="7" t="s">
        <v>46119</v>
      </c>
      <c r="B10241" s="8">
        <v>393.75</v>
      </c>
      <c r="C10241" s="8">
        <v>20.426300000000001</v>
      </c>
      <c r="D10241" s="8">
        <v>55</v>
      </c>
      <c r="E10241" s="8">
        <v>0</v>
      </c>
      <c r="F10241" s="8">
        <v>0</v>
      </c>
      <c r="G10241" s="8">
        <v>9</v>
      </c>
      <c r="H10241" s="8" t="s">
        <v>46120</v>
      </c>
      <c r="I10241" s="8">
        <v>526.5</v>
      </c>
      <c r="J10241" s="3">
        <f t="shared" si="159"/>
        <v>43749.226868888887</v>
      </c>
    </row>
    <row r="10242" spans="1:10" x14ac:dyDescent="0.25">
      <c r="A10242" s="5" t="s">
        <v>46121</v>
      </c>
      <c r="B10242" s="6">
        <v>393.75</v>
      </c>
      <c r="C10242" s="6">
        <v>20.426300000000001</v>
      </c>
      <c r="D10242" s="6">
        <v>54</v>
      </c>
      <c r="E10242" s="6">
        <v>0</v>
      </c>
      <c r="F10242" s="6">
        <v>0</v>
      </c>
      <c r="G10242" s="6">
        <v>21</v>
      </c>
      <c r="H10242" s="6" t="s">
        <v>46122</v>
      </c>
      <c r="I10242" s="6">
        <v>526.6875</v>
      </c>
      <c r="J10242" s="2">
        <f t="shared" ref="J10242:J10305" si="160">(H10242/86400000)+25569+(7/24)</f>
        <v>43749.226952453704</v>
      </c>
    </row>
    <row r="10243" spans="1:10" x14ac:dyDescent="0.25">
      <c r="A10243" s="7" t="s">
        <v>46123</v>
      </c>
      <c r="B10243" s="8">
        <v>393.75</v>
      </c>
      <c r="C10243" s="8">
        <v>20.478950000000001</v>
      </c>
      <c r="D10243" s="8">
        <v>54</v>
      </c>
      <c r="E10243" s="8">
        <v>0</v>
      </c>
      <c r="F10243" s="8">
        <v>0</v>
      </c>
      <c r="G10243" s="8">
        <v>9</v>
      </c>
      <c r="H10243" s="8" t="s">
        <v>46124</v>
      </c>
      <c r="I10243" s="8">
        <v>526.6875</v>
      </c>
      <c r="J10243" s="3">
        <f t="shared" si="160"/>
        <v>43749.227023680556</v>
      </c>
    </row>
    <row r="10244" spans="1:10" x14ac:dyDescent="0.25">
      <c r="A10244" s="5" t="s">
        <v>46125</v>
      </c>
      <c r="B10244" s="6">
        <v>393.75</v>
      </c>
      <c r="C10244" s="6">
        <v>20.426300000000001</v>
      </c>
      <c r="D10244" s="6">
        <v>56</v>
      </c>
      <c r="E10244" s="6">
        <v>0</v>
      </c>
      <c r="F10244" s="6">
        <v>0</v>
      </c>
      <c r="G10244" s="6">
        <v>11</v>
      </c>
      <c r="H10244" s="6" t="s">
        <v>46126</v>
      </c>
      <c r="I10244" s="6">
        <v>526.5</v>
      </c>
      <c r="J10244" s="2">
        <f t="shared" si="160"/>
        <v>43749.227095613423</v>
      </c>
    </row>
    <row r="10245" spans="1:10" x14ac:dyDescent="0.25">
      <c r="A10245" s="7" t="s">
        <v>46127</v>
      </c>
      <c r="B10245" s="8">
        <v>412.5</v>
      </c>
      <c r="C10245" s="8">
        <v>20.478950000000001</v>
      </c>
      <c r="D10245" s="8">
        <v>56</v>
      </c>
      <c r="E10245" s="8">
        <v>0</v>
      </c>
      <c r="F10245" s="8">
        <v>0</v>
      </c>
      <c r="G10245" s="8">
        <v>5</v>
      </c>
      <c r="H10245" s="8" t="s">
        <v>46128</v>
      </c>
      <c r="I10245" s="8">
        <v>532.3125</v>
      </c>
      <c r="J10245" s="3">
        <f t="shared" si="160"/>
        <v>43749.22716696759</v>
      </c>
    </row>
    <row r="10246" spans="1:10" x14ac:dyDescent="0.25">
      <c r="A10246" s="5" t="s">
        <v>46129</v>
      </c>
      <c r="B10246" s="6">
        <v>393.75</v>
      </c>
      <c r="C10246" s="6">
        <v>20.426300000000001</v>
      </c>
      <c r="D10246" s="6">
        <v>55</v>
      </c>
      <c r="E10246" s="6">
        <v>0</v>
      </c>
      <c r="F10246" s="6">
        <v>0</v>
      </c>
      <c r="G10246" s="6">
        <v>13</v>
      </c>
      <c r="H10246" s="6" t="s">
        <v>46130</v>
      </c>
      <c r="I10246" s="6">
        <v>526.5</v>
      </c>
      <c r="J10246" s="2">
        <f t="shared" si="160"/>
        <v>43749.227238715277</v>
      </c>
    </row>
    <row r="10247" spans="1:10" x14ac:dyDescent="0.25">
      <c r="A10247" s="7" t="s">
        <v>46131</v>
      </c>
      <c r="B10247" s="8">
        <v>393.75</v>
      </c>
      <c r="C10247" s="8">
        <v>20.478950000000001</v>
      </c>
      <c r="D10247" s="8">
        <v>55</v>
      </c>
      <c r="E10247" s="8">
        <v>0</v>
      </c>
      <c r="F10247" s="8">
        <v>0</v>
      </c>
      <c r="G10247" s="8">
        <v>5</v>
      </c>
      <c r="H10247" s="8" t="s">
        <v>46132</v>
      </c>
      <c r="I10247" s="8">
        <v>526.6875</v>
      </c>
      <c r="J10247" s="3">
        <f t="shared" si="160"/>
        <v>43749.227310208335</v>
      </c>
    </row>
    <row r="10248" spans="1:10" x14ac:dyDescent="0.25">
      <c r="A10248" s="5" t="s">
        <v>46133</v>
      </c>
      <c r="B10248" s="6">
        <v>393.75</v>
      </c>
      <c r="C10248" s="6">
        <v>20.426300000000001</v>
      </c>
      <c r="D10248" s="6">
        <v>55</v>
      </c>
      <c r="E10248" s="6">
        <v>0</v>
      </c>
      <c r="F10248" s="6">
        <v>0</v>
      </c>
      <c r="G10248" s="6">
        <v>17</v>
      </c>
      <c r="H10248" s="6" t="s">
        <v>46134</v>
      </c>
      <c r="I10248" s="6">
        <v>526.6875</v>
      </c>
      <c r="J10248" s="2">
        <f t="shared" si="160"/>
        <v>43749.227381516197</v>
      </c>
    </row>
    <row r="10249" spans="1:10" x14ac:dyDescent="0.25">
      <c r="A10249" s="7" t="s">
        <v>46135</v>
      </c>
      <c r="B10249" s="8">
        <v>428.125</v>
      </c>
      <c r="C10249" s="8">
        <v>20.478950000000001</v>
      </c>
      <c r="D10249" s="8">
        <v>54</v>
      </c>
      <c r="E10249" s="8">
        <v>0</v>
      </c>
      <c r="F10249" s="8">
        <v>0</v>
      </c>
      <c r="G10249" s="8">
        <v>9</v>
      </c>
      <c r="H10249" s="8" t="s">
        <v>46136</v>
      </c>
      <c r="I10249" s="8">
        <v>537.75</v>
      </c>
      <c r="J10249" s="3">
        <f t="shared" si="160"/>
        <v>43749.227465185184</v>
      </c>
    </row>
    <row r="10250" spans="1:10" x14ac:dyDescent="0.25">
      <c r="A10250" s="5" t="s">
        <v>46137</v>
      </c>
      <c r="B10250" s="6">
        <v>393.75</v>
      </c>
      <c r="C10250" s="6">
        <v>20.426300000000001</v>
      </c>
      <c r="D10250" s="6">
        <v>53</v>
      </c>
      <c r="E10250" s="6">
        <v>0</v>
      </c>
      <c r="F10250" s="6">
        <v>0</v>
      </c>
      <c r="G10250" s="6">
        <v>11</v>
      </c>
      <c r="H10250" s="6" t="s">
        <v>46138</v>
      </c>
      <c r="I10250" s="6">
        <v>526.6875</v>
      </c>
      <c r="J10250" s="2">
        <f t="shared" si="160"/>
        <v>43749.227548749994</v>
      </c>
    </row>
    <row r="10251" spans="1:10" x14ac:dyDescent="0.25">
      <c r="A10251" s="7" t="s">
        <v>46139</v>
      </c>
      <c r="B10251" s="8">
        <v>393.75</v>
      </c>
      <c r="C10251" s="8">
        <v>20.478950000000001</v>
      </c>
      <c r="D10251" s="8">
        <v>52</v>
      </c>
      <c r="E10251" s="8">
        <v>0</v>
      </c>
      <c r="F10251" s="8">
        <v>0</v>
      </c>
      <c r="G10251" s="8">
        <v>14</v>
      </c>
      <c r="H10251" s="8" t="s">
        <v>46140</v>
      </c>
      <c r="I10251" s="8">
        <v>526.6875</v>
      </c>
      <c r="J10251" s="3">
        <f t="shared" si="160"/>
        <v>43749.227620324069</v>
      </c>
    </row>
    <row r="10252" spans="1:10" x14ac:dyDescent="0.25">
      <c r="A10252" s="5" t="s">
        <v>46141</v>
      </c>
      <c r="B10252" s="6">
        <v>393.75</v>
      </c>
      <c r="C10252" s="6">
        <v>20.478950000000001</v>
      </c>
      <c r="D10252" s="6">
        <v>52</v>
      </c>
      <c r="E10252" s="6">
        <v>0</v>
      </c>
      <c r="F10252" s="6">
        <v>0</v>
      </c>
      <c r="G10252" s="6">
        <v>6</v>
      </c>
      <c r="H10252" s="6" t="s">
        <v>46142</v>
      </c>
      <c r="I10252" s="6">
        <v>526.6875</v>
      </c>
      <c r="J10252" s="2">
        <f t="shared" si="160"/>
        <v>43749.227703773147</v>
      </c>
    </row>
    <row r="10253" spans="1:10" x14ac:dyDescent="0.25">
      <c r="A10253" s="7" t="s">
        <v>46143</v>
      </c>
      <c r="B10253" s="8">
        <v>393.75</v>
      </c>
      <c r="C10253" s="8">
        <v>20.478950000000001</v>
      </c>
      <c r="D10253" s="8">
        <v>52</v>
      </c>
      <c r="E10253" s="8">
        <v>0</v>
      </c>
      <c r="F10253" s="8">
        <v>0</v>
      </c>
      <c r="G10253" s="8">
        <v>2</v>
      </c>
      <c r="H10253" s="8" t="s">
        <v>46144</v>
      </c>
      <c r="I10253" s="8">
        <v>526.6875</v>
      </c>
      <c r="J10253" s="3">
        <f t="shared" si="160"/>
        <v>43749.227775520827</v>
      </c>
    </row>
    <row r="10254" spans="1:10" x14ac:dyDescent="0.25">
      <c r="A10254" s="5" t="s">
        <v>46145</v>
      </c>
      <c r="B10254" s="6">
        <v>393.75</v>
      </c>
      <c r="C10254" s="6">
        <v>20.426300000000001</v>
      </c>
      <c r="D10254" s="6">
        <v>52</v>
      </c>
      <c r="E10254" s="6">
        <v>0</v>
      </c>
      <c r="F10254" s="6">
        <v>0</v>
      </c>
      <c r="G10254" s="6">
        <v>2</v>
      </c>
      <c r="H10254" s="6" t="s">
        <v>46146</v>
      </c>
      <c r="I10254" s="6">
        <v>526.5</v>
      </c>
      <c r="J10254" s="2">
        <f t="shared" si="160"/>
        <v>43749.227858796294</v>
      </c>
    </row>
    <row r="10255" spans="1:10" x14ac:dyDescent="0.25">
      <c r="A10255" s="7" t="s">
        <v>46147</v>
      </c>
      <c r="B10255" s="8">
        <v>393.75</v>
      </c>
      <c r="C10255" s="8">
        <v>20.478950000000001</v>
      </c>
      <c r="D10255" s="8">
        <v>50</v>
      </c>
      <c r="E10255" s="8">
        <v>0</v>
      </c>
      <c r="F10255" s="8">
        <v>0</v>
      </c>
      <c r="G10255" s="8">
        <v>9</v>
      </c>
      <c r="H10255" s="8" t="s">
        <v>46148</v>
      </c>
      <c r="I10255" s="8">
        <v>526.6875</v>
      </c>
      <c r="J10255" s="3">
        <f t="shared" si="160"/>
        <v>43749.227930347224</v>
      </c>
    </row>
    <row r="10256" spans="1:10" x14ac:dyDescent="0.25">
      <c r="A10256" s="5" t="s">
        <v>46149</v>
      </c>
      <c r="B10256" s="6">
        <v>393.75</v>
      </c>
      <c r="C10256" s="6">
        <v>20.478950000000001</v>
      </c>
      <c r="D10256" s="6">
        <v>50</v>
      </c>
      <c r="E10256" s="6">
        <v>0</v>
      </c>
      <c r="F10256" s="6">
        <v>0</v>
      </c>
      <c r="G10256" s="6">
        <v>10</v>
      </c>
      <c r="H10256" s="6" t="s">
        <v>46150</v>
      </c>
      <c r="I10256" s="6">
        <v>526.6875</v>
      </c>
      <c r="J10256" s="2">
        <f t="shared" si="160"/>
        <v>43749.228001921292</v>
      </c>
    </row>
    <row r="10257" spans="1:10" x14ac:dyDescent="0.25">
      <c r="A10257" s="7" t="s">
        <v>46151</v>
      </c>
      <c r="B10257" s="8">
        <v>393.75</v>
      </c>
      <c r="C10257" s="8">
        <v>20.478950000000001</v>
      </c>
      <c r="D10257" s="8">
        <v>50</v>
      </c>
      <c r="E10257" s="8">
        <v>0</v>
      </c>
      <c r="F10257" s="8">
        <v>0</v>
      </c>
      <c r="G10257" s="8">
        <v>14</v>
      </c>
      <c r="H10257" s="8" t="s">
        <v>46152</v>
      </c>
      <c r="I10257" s="8">
        <v>526.6875</v>
      </c>
      <c r="J10257" s="3">
        <f t="shared" si="160"/>
        <v>43749.228085324074</v>
      </c>
    </row>
    <row r="10258" spans="1:10" x14ac:dyDescent="0.25">
      <c r="A10258" s="5" t="s">
        <v>46153</v>
      </c>
      <c r="B10258" s="6">
        <v>412.5</v>
      </c>
      <c r="C10258" s="6">
        <v>20.478950000000001</v>
      </c>
      <c r="D10258" s="6">
        <v>50</v>
      </c>
      <c r="E10258" s="6">
        <v>0</v>
      </c>
      <c r="F10258" s="6">
        <v>0</v>
      </c>
      <c r="G10258" s="6">
        <v>2</v>
      </c>
      <c r="H10258" s="6" t="s">
        <v>46154</v>
      </c>
      <c r="I10258" s="6">
        <v>532.3125</v>
      </c>
      <c r="J10258" s="2">
        <f t="shared" si="160"/>
        <v>43749.228157037032</v>
      </c>
    </row>
    <row r="10259" spans="1:10" x14ac:dyDescent="0.25">
      <c r="A10259" s="7" t="s">
        <v>46155</v>
      </c>
      <c r="B10259" s="8">
        <v>393.75</v>
      </c>
      <c r="C10259" s="8">
        <v>20.478950000000001</v>
      </c>
      <c r="D10259" s="8">
        <v>50</v>
      </c>
      <c r="E10259" s="8">
        <v>0</v>
      </c>
      <c r="F10259" s="8">
        <v>0</v>
      </c>
      <c r="G10259" s="8">
        <v>7</v>
      </c>
      <c r="H10259" s="8" t="s">
        <v>46156</v>
      </c>
      <c r="I10259" s="8">
        <v>526.6875</v>
      </c>
      <c r="J10259" s="3">
        <f t="shared" si="160"/>
        <v>43749.228228449072</v>
      </c>
    </row>
    <row r="10260" spans="1:10" x14ac:dyDescent="0.25">
      <c r="A10260" s="5" t="s">
        <v>46157</v>
      </c>
      <c r="B10260" s="6">
        <v>393.75</v>
      </c>
      <c r="C10260" s="6">
        <v>20.426300000000001</v>
      </c>
      <c r="D10260" s="6">
        <v>53</v>
      </c>
      <c r="E10260" s="6">
        <v>0</v>
      </c>
      <c r="F10260" s="6">
        <v>0</v>
      </c>
      <c r="G10260" s="6">
        <v>1</v>
      </c>
      <c r="H10260" s="6" t="s">
        <v>46158</v>
      </c>
      <c r="I10260" s="6">
        <v>526.6875</v>
      </c>
      <c r="J10260" s="2">
        <f t="shared" si="160"/>
        <v>43749.228311909719</v>
      </c>
    </row>
    <row r="10261" spans="1:10" x14ac:dyDescent="0.25">
      <c r="A10261" s="7" t="s">
        <v>46159</v>
      </c>
      <c r="B10261" s="8">
        <v>393.75</v>
      </c>
      <c r="C10261" s="8">
        <v>20.478950000000001</v>
      </c>
      <c r="D10261" s="8">
        <v>53</v>
      </c>
      <c r="E10261" s="8">
        <v>0</v>
      </c>
      <c r="F10261" s="8">
        <v>0</v>
      </c>
      <c r="G10261" s="8">
        <v>5</v>
      </c>
      <c r="H10261" s="8" t="s">
        <v>46160</v>
      </c>
      <c r="I10261" s="8">
        <v>526.6875</v>
      </c>
      <c r="J10261" s="3">
        <f t="shared" si="160"/>
        <v>43749.228383495363</v>
      </c>
    </row>
    <row r="10262" spans="1:10" x14ac:dyDescent="0.25">
      <c r="A10262" s="5" t="s">
        <v>46161</v>
      </c>
      <c r="B10262" s="6">
        <v>393.75</v>
      </c>
      <c r="C10262" s="6">
        <v>20.478950000000001</v>
      </c>
      <c r="D10262" s="6">
        <v>53</v>
      </c>
      <c r="E10262" s="6">
        <v>0</v>
      </c>
      <c r="F10262" s="6">
        <v>0</v>
      </c>
      <c r="G10262" s="6">
        <v>11</v>
      </c>
      <c r="H10262" s="6" t="s">
        <v>46162</v>
      </c>
      <c r="I10262" s="6">
        <v>526.6875</v>
      </c>
      <c r="J10262" s="2">
        <f t="shared" si="160"/>
        <v>43749.228466932873</v>
      </c>
    </row>
    <row r="10263" spans="1:10" x14ac:dyDescent="0.25">
      <c r="A10263" s="7" t="s">
        <v>46163</v>
      </c>
      <c r="B10263" s="8">
        <v>393.75</v>
      </c>
      <c r="C10263" s="8">
        <v>20.478950000000001</v>
      </c>
      <c r="D10263" s="8">
        <v>53</v>
      </c>
      <c r="E10263" s="8">
        <v>0</v>
      </c>
      <c r="F10263" s="8">
        <v>0</v>
      </c>
      <c r="G10263" s="8">
        <v>0</v>
      </c>
      <c r="H10263" s="8" t="s">
        <v>46164</v>
      </c>
      <c r="I10263" s="8">
        <v>526.5</v>
      </c>
      <c r="J10263" s="3">
        <f t="shared" si="160"/>
        <v>43749.228538449075</v>
      </c>
    </row>
    <row r="10264" spans="1:10" x14ac:dyDescent="0.25">
      <c r="A10264" s="5" t="s">
        <v>46165</v>
      </c>
      <c r="B10264" s="6">
        <v>393.75</v>
      </c>
      <c r="C10264" s="6">
        <v>20.426300000000001</v>
      </c>
      <c r="D10264" s="6">
        <v>53</v>
      </c>
      <c r="E10264" s="6">
        <v>0</v>
      </c>
      <c r="F10264" s="6">
        <v>0</v>
      </c>
      <c r="G10264" s="6">
        <v>6</v>
      </c>
      <c r="H10264" s="6" t="s">
        <v>46166</v>
      </c>
      <c r="I10264" s="6">
        <v>526.6875</v>
      </c>
      <c r="J10264" s="2">
        <f t="shared" si="160"/>
        <v>43749.228609988422</v>
      </c>
    </row>
    <row r="10265" spans="1:10" x14ac:dyDescent="0.25">
      <c r="A10265" s="7" t="s">
        <v>46167</v>
      </c>
      <c r="B10265" s="8">
        <v>393.75</v>
      </c>
      <c r="C10265" s="8">
        <v>20.478950000000001</v>
      </c>
      <c r="D10265" s="8">
        <v>53</v>
      </c>
      <c r="E10265" s="8">
        <v>0</v>
      </c>
      <c r="F10265" s="8">
        <v>0</v>
      </c>
      <c r="G10265" s="8">
        <v>10</v>
      </c>
      <c r="H10265" s="8" t="s">
        <v>46168</v>
      </c>
      <c r="I10265" s="8">
        <v>526.6875</v>
      </c>
      <c r="J10265" s="3">
        <f t="shared" si="160"/>
        <v>43749.228693333331</v>
      </c>
    </row>
    <row r="10266" spans="1:10" x14ac:dyDescent="0.25">
      <c r="A10266" s="5" t="s">
        <v>46169</v>
      </c>
      <c r="B10266" s="6">
        <v>393.75</v>
      </c>
      <c r="C10266" s="6">
        <v>20.478950000000001</v>
      </c>
      <c r="D10266" s="6">
        <v>53</v>
      </c>
      <c r="E10266" s="6">
        <v>0</v>
      </c>
      <c r="F10266" s="6">
        <v>0</v>
      </c>
      <c r="G10266" s="6">
        <v>7</v>
      </c>
      <c r="H10266" s="6" t="s">
        <v>46170</v>
      </c>
      <c r="I10266" s="6">
        <v>526.6875</v>
      </c>
      <c r="J10266" s="2">
        <f t="shared" si="160"/>
        <v>43749.228765023145</v>
      </c>
    </row>
    <row r="10267" spans="1:10" x14ac:dyDescent="0.25">
      <c r="A10267" s="7" t="s">
        <v>46171</v>
      </c>
      <c r="B10267" s="8">
        <v>393.75</v>
      </c>
      <c r="C10267" s="8">
        <v>20.478950000000001</v>
      </c>
      <c r="D10267" s="8">
        <v>55</v>
      </c>
      <c r="E10267" s="8">
        <v>0</v>
      </c>
      <c r="F10267" s="8">
        <v>0</v>
      </c>
      <c r="G10267" s="8">
        <v>6</v>
      </c>
      <c r="H10267" s="8" t="s">
        <v>46172</v>
      </c>
      <c r="I10267" s="8">
        <v>526.6875</v>
      </c>
      <c r="J10267" s="3">
        <f t="shared" si="160"/>
        <v>43749.228848460647</v>
      </c>
    </row>
    <row r="10268" spans="1:10" x14ac:dyDescent="0.25">
      <c r="A10268" s="5" t="s">
        <v>46173</v>
      </c>
      <c r="B10268" s="6">
        <v>393.75</v>
      </c>
      <c r="C10268" s="6">
        <v>20.426300000000001</v>
      </c>
      <c r="D10268" s="6">
        <v>53</v>
      </c>
      <c r="E10268" s="6">
        <v>0</v>
      </c>
      <c r="F10268" s="6">
        <v>0</v>
      </c>
      <c r="G10268" s="6">
        <v>13</v>
      </c>
      <c r="H10268" s="6" t="s">
        <v>46174</v>
      </c>
      <c r="I10268" s="6">
        <v>526.5</v>
      </c>
      <c r="J10268" s="2">
        <f t="shared" si="160"/>
        <v>43749.228943935181</v>
      </c>
    </row>
    <row r="10269" spans="1:10" x14ac:dyDescent="0.25">
      <c r="A10269" s="7" t="s">
        <v>46175</v>
      </c>
      <c r="B10269" s="8">
        <v>393.75</v>
      </c>
      <c r="C10269" s="8">
        <v>20.478950000000001</v>
      </c>
      <c r="D10269" s="8">
        <v>52</v>
      </c>
      <c r="E10269" s="8">
        <v>0</v>
      </c>
      <c r="F10269" s="8">
        <v>0</v>
      </c>
      <c r="G10269" s="8">
        <v>18</v>
      </c>
      <c r="H10269" s="8" t="s">
        <v>46176</v>
      </c>
      <c r="I10269" s="8">
        <v>526.6875</v>
      </c>
      <c r="J10269" s="3">
        <f t="shared" si="160"/>
        <v>43749.229015451383</v>
      </c>
    </row>
    <row r="10270" spans="1:10" x14ac:dyDescent="0.25">
      <c r="A10270" s="5" t="s">
        <v>46177</v>
      </c>
      <c r="B10270" s="6">
        <v>412.5</v>
      </c>
      <c r="C10270" s="6">
        <v>20.478950000000001</v>
      </c>
      <c r="D10270" s="6">
        <v>52</v>
      </c>
      <c r="E10270" s="6">
        <v>0</v>
      </c>
      <c r="F10270" s="6">
        <v>0</v>
      </c>
      <c r="G10270" s="6">
        <v>0</v>
      </c>
      <c r="H10270" s="6" t="s">
        <v>46178</v>
      </c>
      <c r="I10270" s="6">
        <v>532.3125</v>
      </c>
      <c r="J10270" s="2">
        <f t="shared" si="160"/>
        <v>43749.229091203706</v>
      </c>
    </row>
    <row r="10271" spans="1:10" x14ac:dyDescent="0.25">
      <c r="A10271" s="7" t="s">
        <v>46179</v>
      </c>
      <c r="B10271" s="8">
        <v>393.75</v>
      </c>
      <c r="C10271" s="8">
        <v>20.478950000000001</v>
      </c>
      <c r="D10271" s="8">
        <v>52</v>
      </c>
      <c r="E10271" s="8">
        <v>0</v>
      </c>
      <c r="F10271" s="8">
        <v>0</v>
      </c>
      <c r="G10271" s="8">
        <v>9</v>
      </c>
      <c r="H10271" s="8" t="s">
        <v>46180</v>
      </c>
      <c r="I10271" s="8">
        <v>526.6875</v>
      </c>
      <c r="J10271" s="3">
        <f t="shared" si="160"/>
        <v>43749.229170520826</v>
      </c>
    </row>
    <row r="10272" spans="1:10" x14ac:dyDescent="0.25">
      <c r="A10272" s="5" t="s">
        <v>46181</v>
      </c>
      <c r="B10272" s="6">
        <v>393.75</v>
      </c>
      <c r="C10272" s="6">
        <v>20.478950000000001</v>
      </c>
      <c r="D10272" s="6">
        <v>52</v>
      </c>
      <c r="E10272" s="6">
        <v>0</v>
      </c>
      <c r="F10272" s="6">
        <v>0</v>
      </c>
      <c r="G10272" s="6">
        <v>10</v>
      </c>
      <c r="H10272" s="6" t="s">
        <v>46182</v>
      </c>
      <c r="I10272" s="6">
        <v>526.6875</v>
      </c>
      <c r="J10272" s="2">
        <f t="shared" si="160"/>
        <v>43749.229242349531</v>
      </c>
    </row>
    <row r="10273" spans="1:10" x14ac:dyDescent="0.25">
      <c r="A10273" s="7" t="s">
        <v>46183</v>
      </c>
      <c r="B10273" s="8">
        <v>393.75</v>
      </c>
      <c r="C10273" s="8">
        <v>20.478950000000001</v>
      </c>
      <c r="D10273" s="8">
        <v>53</v>
      </c>
      <c r="E10273" s="8">
        <v>0</v>
      </c>
      <c r="F10273" s="8">
        <v>0</v>
      </c>
      <c r="G10273" s="8">
        <v>5</v>
      </c>
      <c r="H10273" s="8" t="s">
        <v>46184</v>
      </c>
      <c r="I10273" s="8">
        <v>526.5</v>
      </c>
      <c r="J10273" s="3">
        <f t="shared" si="160"/>
        <v>43749.229313611104</v>
      </c>
    </row>
    <row r="10274" spans="1:10" x14ac:dyDescent="0.25">
      <c r="A10274" s="5" t="s">
        <v>46185</v>
      </c>
      <c r="B10274" s="6">
        <v>393.75</v>
      </c>
      <c r="C10274" s="6">
        <v>20.478950000000001</v>
      </c>
      <c r="D10274" s="6">
        <v>52</v>
      </c>
      <c r="E10274" s="6">
        <v>0</v>
      </c>
      <c r="F10274" s="6">
        <v>0</v>
      </c>
      <c r="G10274" s="6">
        <v>8</v>
      </c>
      <c r="H10274" s="6" t="s">
        <v>46186</v>
      </c>
      <c r="I10274" s="6">
        <v>526.6875</v>
      </c>
      <c r="J10274" s="2">
        <f t="shared" si="160"/>
        <v>43749.22939695602</v>
      </c>
    </row>
    <row r="10275" spans="1:10" x14ac:dyDescent="0.25">
      <c r="A10275" s="7" t="s">
        <v>46187</v>
      </c>
      <c r="B10275" s="8">
        <v>393.75</v>
      </c>
      <c r="C10275" s="8">
        <v>20.478950000000001</v>
      </c>
      <c r="D10275" s="8">
        <v>54</v>
      </c>
      <c r="E10275" s="8">
        <v>0</v>
      </c>
      <c r="F10275" s="8">
        <v>0</v>
      </c>
      <c r="G10275" s="8">
        <v>13</v>
      </c>
      <c r="H10275" s="8" t="s">
        <v>46188</v>
      </c>
      <c r="I10275" s="8">
        <v>526.5</v>
      </c>
      <c r="J10275" s="3">
        <f t="shared" si="160"/>
        <v>43749.229480439812</v>
      </c>
    </row>
    <row r="10276" spans="1:10" x14ac:dyDescent="0.25">
      <c r="A10276" s="5" t="s">
        <v>46189</v>
      </c>
      <c r="B10276" s="6">
        <v>393.75</v>
      </c>
      <c r="C10276" s="6">
        <v>20.478950000000001</v>
      </c>
      <c r="D10276" s="6">
        <v>53</v>
      </c>
      <c r="E10276" s="6">
        <v>0</v>
      </c>
      <c r="F10276" s="6">
        <v>0</v>
      </c>
      <c r="G10276" s="6">
        <v>1</v>
      </c>
      <c r="H10276" s="6" t="s">
        <v>46190</v>
      </c>
      <c r="I10276" s="6">
        <v>526.6875</v>
      </c>
      <c r="J10276" s="2">
        <f t="shared" si="160"/>
        <v>43749.229563692126</v>
      </c>
    </row>
    <row r="10277" spans="1:10" x14ac:dyDescent="0.25">
      <c r="A10277" s="7" t="s">
        <v>46191</v>
      </c>
      <c r="B10277" s="8">
        <v>393.75</v>
      </c>
      <c r="C10277" s="8">
        <v>20.426300000000001</v>
      </c>
      <c r="D10277" s="8">
        <v>53</v>
      </c>
      <c r="E10277" s="8">
        <v>0</v>
      </c>
      <c r="F10277" s="8">
        <v>0</v>
      </c>
      <c r="G10277" s="8">
        <v>5</v>
      </c>
      <c r="H10277" s="8" t="s">
        <v>46192</v>
      </c>
      <c r="I10277" s="8">
        <v>526.6875</v>
      </c>
      <c r="J10277" s="3">
        <f t="shared" si="160"/>
        <v>43749.229635312498</v>
      </c>
    </row>
    <row r="10278" spans="1:10" x14ac:dyDescent="0.25">
      <c r="A10278" s="5" t="s">
        <v>46193</v>
      </c>
      <c r="B10278" s="6">
        <v>393.75</v>
      </c>
      <c r="C10278" s="6">
        <v>20.426300000000001</v>
      </c>
      <c r="D10278" s="6">
        <v>53</v>
      </c>
      <c r="E10278" s="6">
        <v>0</v>
      </c>
      <c r="F10278" s="6">
        <v>0</v>
      </c>
      <c r="G10278" s="6">
        <v>5</v>
      </c>
      <c r="H10278" s="6" t="s">
        <v>46194</v>
      </c>
      <c r="I10278" s="6">
        <v>526.6875</v>
      </c>
      <c r="J10278" s="2">
        <f t="shared" si="160"/>
        <v>43749.229719166666</v>
      </c>
    </row>
    <row r="10279" spans="1:10" x14ac:dyDescent="0.25">
      <c r="A10279" s="7" t="s">
        <v>46195</v>
      </c>
      <c r="B10279" s="8">
        <v>393.75</v>
      </c>
      <c r="C10279" s="8">
        <v>20.478950000000001</v>
      </c>
      <c r="D10279" s="8">
        <v>53</v>
      </c>
      <c r="E10279" s="8">
        <v>0</v>
      </c>
      <c r="F10279" s="8">
        <v>0</v>
      </c>
      <c r="G10279" s="8">
        <v>6</v>
      </c>
      <c r="H10279" s="8" t="s">
        <v>46196</v>
      </c>
      <c r="I10279" s="8">
        <v>526.6875</v>
      </c>
      <c r="J10279" s="3">
        <f t="shared" si="160"/>
        <v>43749.22979104166</v>
      </c>
    </row>
    <row r="10280" spans="1:10" x14ac:dyDescent="0.25">
      <c r="A10280" s="5" t="s">
        <v>46197</v>
      </c>
      <c r="B10280" s="6">
        <v>393.75</v>
      </c>
      <c r="C10280" s="6">
        <v>20.426300000000001</v>
      </c>
      <c r="D10280" s="6">
        <v>53</v>
      </c>
      <c r="E10280" s="6">
        <v>0</v>
      </c>
      <c r="F10280" s="6">
        <v>0</v>
      </c>
      <c r="G10280" s="6">
        <v>4</v>
      </c>
      <c r="H10280" s="6" t="s">
        <v>46198</v>
      </c>
      <c r="I10280" s="6">
        <v>526.6875</v>
      </c>
      <c r="J10280" s="2">
        <f t="shared" si="160"/>
        <v>43749.229873969904</v>
      </c>
    </row>
    <row r="10281" spans="1:10" x14ac:dyDescent="0.25">
      <c r="A10281" s="7" t="s">
        <v>46199</v>
      </c>
      <c r="B10281" s="8">
        <v>393.75</v>
      </c>
      <c r="C10281" s="8">
        <v>20.478950000000001</v>
      </c>
      <c r="D10281" s="8">
        <v>52</v>
      </c>
      <c r="E10281" s="8">
        <v>0</v>
      </c>
      <c r="F10281" s="8">
        <v>0</v>
      </c>
      <c r="G10281" s="8">
        <v>7</v>
      </c>
      <c r="H10281" s="8" t="s">
        <v>46200</v>
      </c>
      <c r="I10281" s="8">
        <v>526.5</v>
      </c>
      <c r="J10281" s="3">
        <f t="shared" si="160"/>
        <v>43749.229957627314</v>
      </c>
    </row>
    <row r="10282" spans="1:10" x14ac:dyDescent="0.25">
      <c r="A10282" s="5" t="s">
        <v>46201</v>
      </c>
      <c r="B10282" s="6">
        <v>393.75</v>
      </c>
      <c r="C10282" s="6">
        <v>20.426300000000001</v>
      </c>
      <c r="D10282" s="6">
        <v>54</v>
      </c>
      <c r="E10282" s="6">
        <v>0</v>
      </c>
      <c r="F10282" s="6">
        <v>0</v>
      </c>
      <c r="G10282" s="6">
        <v>5</v>
      </c>
      <c r="H10282" s="6" t="s">
        <v>46202</v>
      </c>
      <c r="I10282" s="6">
        <v>526.6875</v>
      </c>
      <c r="J10282" s="2">
        <f t="shared" si="160"/>
        <v>43749.23004145833</v>
      </c>
    </row>
    <row r="10283" spans="1:10" x14ac:dyDescent="0.25">
      <c r="A10283" s="7" t="s">
        <v>46203</v>
      </c>
      <c r="B10283" s="8">
        <v>393.75</v>
      </c>
      <c r="C10283" s="8">
        <v>20.478950000000001</v>
      </c>
      <c r="D10283" s="8">
        <v>54</v>
      </c>
      <c r="E10283" s="8">
        <v>0</v>
      </c>
      <c r="F10283" s="8">
        <v>0</v>
      </c>
      <c r="G10283" s="8">
        <v>8</v>
      </c>
      <c r="H10283" s="8" t="s">
        <v>46204</v>
      </c>
      <c r="I10283" s="8">
        <v>526.6875</v>
      </c>
      <c r="J10283" s="3">
        <f t="shared" si="160"/>
        <v>43749.230112523146</v>
      </c>
    </row>
    <row r="10284" spans="1:10" x14ac:dyDescent="0.25">
      <c r="A10284" s="5" t="s">
        <v>46205</v>
      </c>
      <c r="B10284" s="6">
        <v>393.75</v>
      </c>
      <c r="C10284" s="6">
        <v>20.478950000000001</v>
      </c>
      <c r="D10284" s="6">
        <v>54</v>
      </c>
      <c r="E10284" s="6">
        <v>0</v>
      </c>
      <c r="F10284" s="6">
        <v>0</v>
      </c>
      <c r="G10284" s="6">
        <v>1</v>
      </c>
      <c r="H10284" s="6" t="s">
        <v>46206</v>
      </c>
      <c r="I10284" s="6">
        <v>526.6875</v>
      </c>
      <c r="J10284" s="2">
        <f t="shared" si="160"/>
        <v>43749.230184131942</v>
      </c>
    </row>
    <row r="10285" spans="1:10" x14ac:dyDescent="0.25">
      <c r="A10285" s="7" t="s">
        <v>46207</v>
      </c>
      <c r="B10285" s="8">
        <v>393.75</v>
      </c>
      <c r="C10285" s="8">
        <v>20.426300000000001</v>
      </c>
      <c r="D10285" s="8">
        <v>54</v>
      </c>
      <c r="E10285" s="8">
        <v>0</v>
      </c>
      <c r="F10285" s="8">
        <v>0</v>
      </c>
      <c r="G10285" s="8">
        <v>18</v>
      </c>
      <c r="H10285" s="8" t="s">
        <v>46208</v>
      </c>
      <c r="I10285" s="8">
        <v>526.6875</v>
      </c>
      <c r="J10285" s="3">
        <f t="shared" si="160"/>
        <v>43749.230267395826</v>
      </c>
    </row>
    <row r="10286" spans="1:10" x14ac:dyDescent="0.25">
      <c r="A10286" s="5" t="s">
        <v>46209</v>
      </c>
      <c r="B10286" s="6">
        <v>393.75</v>
      </c>
      <c r="C10286" s="6">
        <v>20.478950000000001</v>
      </c>
      <c r="D10286" s="6">
        <v>55</v>
      </c>
      <c r="E10286" s="6">
        <v>0</v>
      </c>
      <c r="F10286" s="6">
        <v>0</v>
      </c>
      <c r="G10286" s="6">
        <v>4</v>
      </c>
      <c r="H10286" s="6" t="s">
        <v>46210</v>
      </c>
      <c r="I10286" s="6">
        <v>526.6875</v>
      </c>
      <c r="J10286" s="2">
        <f t="shared" si="160"/>
        <v>43749.230339108799</v>
      </c>
    </row>
    <row r="10287" spans="1:10" x14ac:dyDescent="0.25">
      <c r="A10287" s="7" t="s">
        <v>46211</v>
      </c>
      <c r="B10287" s="8">
        <v>393.75</v>
      </c>
      <c r="C10287" s="8">
        <v>20.478950000000001</v>
      </c>
      <c r="D10287" s="8">
        <v>56</v>
      </c>
      <c r="E10287" s="8">
        <v>0</v>
      </c>
      <c r="F10287" s="8">
        <v>0</v>
      </c>
      <c r="G10287" s="8">
        <v>0</v>
      </c>
      <c r="H10287" s="8" t="s">
        <v>46212</v>
      </c>
      <c r="I10287" s="8">
        <v>526.6875</v>
      </c>
      <c r="J10287" s="3">
        <f t="shared" si="160"/>
        <v>43749.23042295139</v>
      </c>
    </row>
    <row r="10288" spans="1:10" x14ac:dyDescent="0.25">
      <c r="A10288" s="5" t="s">
        <v>46213</v>
      </c>
      <c r="B10288" s="6">
        <v>393.75</v>
      </c>
      <c r="C10288" s="6">
        <v>20.478950000000001</v>
      </c>
      <c r="D10288" s="6">
        <v>55</v>
      </c>
      <c r="E10288" s="6">
        <v>0</v>
      </c>
      <c r="F10288" s="6">
        <v>0</v>
      </c>
      <c r="G10288" s="6">
        <v>2</v>
      </c>
      <c r="H10288" s="6" t="s">
        <v>46214</v>
      </c>
      <c r="I10288" s="6">
        <v>526.6875</v>
      </c>
      <c r="J10288" s="2">
        <f t="shared" si="160"/>
        <v>43749.230506122687</v>
      </c>
    </row>
    <row r="10289" spans="1:10" x14ac:dyDescent="0.25">
      <c r="A10289" s="7" t="s">
        <v>46215</v>
      </c>
      <c r="B10289" s="8">
        <v>393.75</v>
      </c>
      <c r="C10289" s="8">
        <v>20.426300000000001</v>
      </c>
      <c r="D10289" s="8">
        <v>55</v>
      </c>
      <c r="E10289" s="8">
        <v>0</v>
      </c>
      <c r="F10289" s="8">
        <v>0</v>
      </c>
      <c r="G10289" s="8">
        <v>10</v>
      </c>
      <c r="H10289" s="8" t="s">
        <v>46216</v>
      </c>
      <c r="I10289" s="8">
        <v>526.6875</v>
      </c>
      <c r="J10289" s="3">
        <f t="shared" si="160"/>
        <v>43749.230589629624</v>
      </c>
    </row>
    <row r="10290" spans="1:10" x14ac:dyDescent="0.25">
      <c r="A10290" s="5" t="s">
        <v>46217</v>
      </c>
      <c r="B10290" s="6">
        <v>393.75</v>
      </c>
      <c r="C10290" s="6">
        <v>20.426300000000001</v>
      </c>
      <c r="D10290" s="6">
        <v>55</v>
      </c>
      <c r="E10290" s="6">
        <v>0</v>
      </c>
      <c r="F10290" s="6">
        <v>0</v>
      </c>
      <c r="G10290" s="6">
        <v>11</v>
      </c>
      <c r="H10290" s="6" t="s">
        <v>46218</v>
      </c>
      <c r="I10290" s="6">
        <v>526.6875</v>
      </c>
      <c r="J10290" s="2">
        <f t="shared" si="160"/>
        <v>43749.230672962956</v>
      </c>
    </row>
    <row r="10291" spans="1:10" x14ac:dyDescent="0.25">
      <c r="A10291" s="7" t="s">
        <v>46219</v>
      </c>
      <c r="B10291" s="8">
        <v>396.875</v>
      </c>
      <c r="C10291" s="8">
        <v>20.426300000000001</v>
      </c>
      <c r="D10291" s="8">
        <v>57</v>
      </c>
      <c r="E10291" s="8">
        <v>0</v>
      </c>
      <c r="F10291" s="8">
        <v>0</v>
      </c>
      <c r="G10291" s="8">
        <v>8</v>
      </c>
      <c r="H10291" s="8" t="s">
        <v>46220</v>
      </c>
      <c r="I10291" s="8">
        <v>527.4375</v>
      </c>
      <c r="J10291" s="3">
        <f t="shared" si="160"/>
        <v>43749.230756400466</v>
      </c>
    </row>
    <row r="10292" spans="1:10" x14ac:dyDescent="0.25">
      <c r="A10292" s="5" t="s">
        <v>46221</v>
      </c>
      <c r="B10292" s="6">
        <v>396.875</v>
      </c>
      <c r="C10292" s="6">
        <v>20.478950000000001</v>
      </c>
      <c r="D10292" s="6">
        <v>57</v>
      </c>
      <c r="E10292" s="6">
        <v>0</v>
      </c>
      <c r="F10292" s="6">
        <v>0</v>
      </c>
      <c r="G10292" s="6">
        <v>3</v>
      </c>
      <c r="H10292" s="6" t="s">
        <v>46222</v>
      </c>
      <c r="I10292" s="6">
        <v>527.4375</v>
      </c>
      <c r="J10292" s="2">
        <f t="shared" si="160"/>
        <v>43749.230828078704</v>
      </c>
    </row>
    <row r="10293" spans="1:10" x14ac:dyDescent="0.25">
      <c r="A10293" s="7" t="s">
        <v>46223</v>
      </c>
      <c r="B10293" s="8">
        <v>396.875</v>
      </c>
      <c r="C10293" s="8">
        <v>20.478950000000001</v>
      </c>
      <c r="D10293" s="8">
        <v>55</v>
      </c>
      <c r="E10293" s="8">
        <v>0</v>
      </c>
      <c r="F10293" s="8">
        <v>0</v>
      </c>
      <c r="G10293" s="8">
        <v>7</v>
      </c>
      <c r="H10293" s="8" t="s">
        <v>46224</v>
      </c>
      <c r="I10293" s="8">
        <v>527.4375</v>
      </c>
      <c r="J10293" s="3">
        <f t="shared" si="160"/>
        <v>43749.230911527775</v>
      </c>
    </row>
    <row r="10294" spans="1:10" x14ac:dyDescent="0.25">
      <c r="A10294" s="5" t="s">
        <v>46225</v>
      </c>
      <c r="B10294" s="6">
        <v>396.875</v>
      </c>
      <c r="C10294" s="6">
        <v>20.478950000000001</v>
      </c>
      <c r="D10294" s="6">
        <v>55</v>
      </c>
      <c r="E10294" s="6">
        <v>0</v>
      </c>
      <c r="F10294" s="6">
        <v>0</v>
      </c>
      <c r="G10294" s="6">
        <v>9</v>
      </c>
      <c r="H10294" s="6" t="s">
        <v>46226</v>
      </c>
      <c r="I10294" s="6">
        <v>527.4375</v>
      </c>
      <c r="J10294" s="2">
        <f t="shared" si="160"/>
        <v>43749.230983043984</v>
      </c>
    </row>
    <row r="10295" spans="1:10" x14ac:dyDescent="0.25">
      <c r="A10295" s="7" t="s">
        <v>46227</v>
      </c>
      <c r="B10295" s="8">
        <v>396.875</v>
      </c>
      <c r="C10295" s="8">
        <v>20.478950000000001</v>
      </c>
      <c r="D10295" s="8">
        <v>55</v>
      </c>
      <c r="E10295" s="8">
        <v>0</v>
      </c>
      <c r="F10295" s="8">
        <v>0</v>
      </c>
      <c r="G10295" s="8">
        <v>4</v>
      </c>
      <c r="H10295" s="8" t="s">
        <v>46228</v>
      </c>
      <c r="I10295" s="8">
        <v>527.4375</v>
      </c>
      <c r="J10295" s="3">
        <f t="shared" si="160"/>
        <v>43749.231054675918</v>
      </c>
    </row>
    <row r="10296" spans="1:10" x14ac:dyDescent="0.25">
      <c r="A10296" s="5" t="s">
        <v>46229</v>
      </c>
      <c r="B10296" s="6">
        <v>396.875</v>
      </c>
      <c r="C10296" s="6">
        <v>20.478950000000001</v>
      </c>
      <c r="D10296" s="6">
        <v>55</v>
      </c>
      <c r="E10296" s="6">
        <v>0</v>
      </c>
      <c r="F10296" s="6">
        <v>0</v>
      </c>
      <c r="G10296" s="6">
        <v>5</v>
      </c>
      <c r="H10296" s="6" t="s">
        <v>46230</v>
      </c>
      <c r="I10296" s="6">
        <v>527.4375</v>
      </c>
      <c r="J10296" s="2">
        <f t="shared" si="160"/>
        <v>43749.231137731484</v>
      </c>
    </row>
    <row r="10297" spans="1:10" x14ac:dyDescent="0.25">
      <c r="A10297" s="7" t="s">
        <v>46231</v>
      </c>
      <c r="B10297" s="8">
        <v>396.875</v>
      </c>
      <c r="C10297" s="8">
        <v>20.478950000000001</v>
      </c>
      <c r="D10297" s="8">
        <v>55</v>
      </c>
      <c r="E10297" s="8">
        <v>0</v>
      </c>
      <c r="F10297" s="8">
        <v>0</v>
      </c>
      <c r="G10297" s="8">
        <v>3</v>
      </c>
      <c r="H10297" s="8" t="s">
        <v>46232</v>
      </c>
      <c r="I10297" s="8">
        <v>527.4375</v>
      </c>
      <c r="J10297" s="3">
        <f t="shared" si="160"/>
        <v>43749.231209618054</v>
      </c>
    </row>
    <row r="10298" spans="1:10" x14ac:dyDescent="0.25">
      <c r="A10298" s="5" t="s">
        <v>46233</v>
      </c>
      <c r="B10298" s="6">
        <v>396.875</v>
      </c>
      <c r="C10298" s="6">
        <v>20.478950000000001</v>
      </c>
      <c r="D10298" s="6">
        <v>54</v>
      </c>
      <c r="E10298" s="6">
        <v>0</v>
      </c>
      <c r="F10298" s="6">
        <v>0</v>
      </c>
      <c r="G10298" s="6">
        <v>8</v>
      </c>
      <c r="H10298" s="6" t="s">
        <v>46234</v>
      </c>
      <c r="I10298" s="6">
        <v>527.625</v>
      </c>
      <c r="J10298" s="2">
        <f t="shared" si="160"/>
        <v>43749.231293321754</v>
      </c>
    </row>
    <row r="10299" spans="1:10" x14ac:dyDescent="0.25">
      <c r="A10299" s="7" t="s">
        <v>46235</v>
      </c>
      <c r="B10299" s="8">
        <v>400</v>
      </c>
      <c r="C10299" s="8">
        <v>20.478950000000001</v>
      </c>
      <c r="D10299" s="8">
        <v>55</v>
      </c>
      <c r="E10299" s="8">
        <v>0</v>
      </c>
      <c r="F10299" s="8">
        <v>0</v>
      </c>
      <c r="G10299" s="8">
        <v>6</v>
      </c>
      <c r="H10299" s="8" t="s">
        <v>46236</v>
      </c>
      <c r="I10299" s="8">
        <v>528.375</v>
      </c>
      <c r="J10299" s="3">
        <f t="shared" si="160"/>
        <v>43749.231376574076</v>
      </c>
    </row>
    <row r="10300" spans="1:10" x14ac:dyDescent="0.25">
      <c r="A10300" s="5" t="s">
        <v>46237</v>
      </c>
      <c r="B10300" s="6">
        <v>400</v>
      </c>
      <c r="C10300" s="6">
        <v>20.426300000000001</v>
      </c>
      <c r="D10300" s="6">
        <v>55</v>
      </c>
      <c r="E10300" s="6">
        <v>0</v>
      </c>
      <c r="F10300" s="6">
        <v>0</v>
      </c>
      <c r="G10300" s="6">
        <v>9</v>
      </c>
      <c r="H10300" s="6" t="s">
        <v>46238</v>
      </c>
      <c r="I10300" s="6">
        <v>528.1875</v>
      </c>
      <c r="J10300" s="2">
        <f t="shared" si="160"/>
        <v>43749.231459907409</v>
      </c>
    </row>
    <row r="10301" spans="1:10" x14ac:dyDescent="0.25">
      <c r="A10301" s="7" t="s">
        <v>46239</v>
      </c>
      <c r="B10301" s="8">
        <v>403.125</v>
      </c>
      <c r="C10301" s="8">
        <v>20.478950000000001</v>
      </c>
      <c r="D10301" s="8">
        <v>56</v>
      </c>
      <c r="E10301" s="8">
        <v>0</v>
      </c>
      <c r="F10301" s="8">
        <v>0</v>
      </c>
      <c r="G10301" s="8">
        <v>2</v>
      </c>
      <c r="H10301" s="8" t="s">
        <v>46240</v>
      </c>
      <c r="I10301" s="8">
        <v>529.125</v>
      </c>
      <c r="J10301" s="3">
        <f t="shared" si="160"/>
        <v>43749.231555520826</v>
      </c>
    </row>
    <row r="10302" spans="1:10" x14ac:dyDescent="0.25">
      <c r="A10302" s="5" t="s">
        <v>46241</v>
      </c>
      <c r="B10302" s="6">
        <v>400</v>
      </c>
      <c r="C10302" s="6">
        <v>20.478950000000001</v>
      </c>
      <c r="D10302" s="6">
        <v>55</v>
      </c>
      <c r="E10302" s="6">
        <v>0</v>
      </c>
      <c r="F10302" s="6">
        <v>0</v>
      </c>
      <c r="G10302" s="6">
        <v>9</v>
      </c>
      <c r="H10302" s="6" t="s">
        <v>46242</v>
      </c>
      <c r="I10302" s="6">
        <v>528.375</v>
      </c>
      <c r="J10302" s="2">
        <f t="shared" si="160"/>
        <v>43749.231626666668</v>
      </c>
    </row>
    <row r="10303" spans="1:10" x14ac:dyDescent="0.25">
      <c r="A10303" s="7" t="s">
        <v>46243</v>
      </c>
      <c r="B10303" s="8">
        <v>400</v>
      </c>
      <c r="C10303" s="8">
        <v>20.426300000000001</v>
      </c>
      <c r="D10303" s="8">
        <v>55</v>
      </c>
      <c r="E10303" s="8">
        <v>0</v>
      </c>
      <c r="F10303" s="8">
        <v>0</v>
      </c>
      <c r="G10303" s="8">
        <v>14</v>
      </c>
      <c r="H10303" s="8" t="s">
        <v>46244</v>
      </c>
      <c r="I10303" s="8">
        <v>528.1875</v>
      </c>
      <c r="J10303" s="3">
        <f t="shared" si="160"/>
        <v>43749.231698483789</v>
      </c>
    </row>
    <row r="10304" spans="1:10" x14ac:dyDescent="0.25">
      <c r="A10304" s="5" t="s">
        <v>46245</v>
      </c>
      <c r="B10304" s="6">
        <v>400</v>
      </c>
      <c r="C10304" s="6">
        <v>20.478950000000001</v>
      </c>
      <c r="D10304" s="6">
        <v>55</v>
      </c>
      <c r="E10304" s="6">
        <v>0</v>
      </c>
      <c r="F10304" s="6">
        <v>0</v>
      </c>
      <c r="G10304" s="6">
        <v>4</v>
      </c>
      <c r="H10304" s="6" t="s">
        <v>46246</v>
      </c>
      <c r="I10304" s="6">
        <v>528.375</v>
      </c>
      <c r="J10304" s="2">
        <f t="shared" si="160"/>
        <v>43749.231782106479</v>
      </c>
    </row>
    <row r="10305" spans="1:10" x14ac:dyDescent="0.25">
      <c r="A10305" s="7" t="s">
        <v>46247</v>
      </c>
      <c r="B10305" s="8">
        <v>400</v>
      </c>
      <c r="C10305" s="8">
        <v>20.426300000000001</v>
      </c>
      <c r="D10305" s="8">
        <v>55</v>
      </c>
      <c r="E10305" s="8">
        <v>0</v>
      </c>
      <c r="F10305" s="8">
        <v>0</v>
      </c>
      <c r="G10305" s="8">
        <v>8</v>
      </c>
      <c r="H10305" s="8" t="s">
        <v>46248</v>
      </c>
      <c r="I10305" s="8">
        <v>528.1875</v>
      </c>
      <c r="J10305" s="3">
        <f t="shared" si="160"/>
        <v>43749.231853703699</v>
      </c>
    </row>
    <row r="10306" spans="1:10" x14ac:dyDescent="0.25">
      <c r="A10306" s="5" t="s">
        <v>46249</v>
      </c>
      <c r="B10306" s="6">
        <v>403.125</v>
      </c>
      <c r="C10306" s="6">
        <v>20.478950000000001</v>
      </c>
      <c r="D10306" s="6">
        <v>55</v>
      </c>
      <c r="E10306" s="6">
        <v>0</v>
      </c>
      <c r="F10306" s="6">
        <v>0</v>
      </c>
      <c r="G10306" s="6">
        <v>13</v>
      </c>
      <c r="H10306" s="6" t="s">
        <v>46250</v>
      </c>
      <c r="I10306" s="6">
        <v>529.125</v>
      </c>
      <c r="J10306" s="2">
        <f t="shared" ref="J10306:J10369" si="161">(H10306/86400000)+25569+(7/24)</f>
        <v>43749.231936979166</v>
      </c>
    </row>
    <row r="10307" spans="1:10" x14ac:dyDescent="0.25">
      <c r="A10307" s="7" t="s">
        <v>46251</v>
      </c>
      <c r="B10307" s="8">
        <v>403.125</v>
      </c>
      <c r="C10307" s="8">
        <v>20.478950000000001</v>
      </c>
      <c r="D10307" s="8">
        <v>56</v>
      </c>
      <c r="E10307" s="8">
        <v>0</v>
      </c>
      <c r="F10307" s="8">
        <v>0</v>
      </c>
      <c r="G10307" s="8">
        <v>4</v>
      </c>
      <c r="H10307" s="8" t="s">
        <v>46252</v>
      </c>
      <c r="I10307" s="8">
        <v>529.125</v>
      </c>
      <c r="J10307" s="3">
        <f t="shared" si="161"/>
        <v>43749.232008807863</v>
      </c>
    </row>
    <row r="10308" spans="1:10" x14ac:dyDescent="0.25">
      <c r="A10308" s="5" t="s">
        <v>46253</v>
      </c>
      <c r="B10308" s="6">
        <v>400</v>
      </c>
      <c r="C10308" s="6">
        <v>20.426300000000001</v>
      </c>
      <c r="D10308" s="6">
        <v>56</v>
      </c>
      <c r="E10308" s="6">
        <v>0</v>
      </c>
      <c r="F10308" s="6">
        <v>0</v>
      </c>
      <c r="G10308" s="6">
        <v>8</v>
      </c>
      <c r="H10308" s="6" t="s">
        <v>46254</v>
      </c>
      <c r="I10308" s="6">
        <v>528.1875</v>
      </c>
      <c r="J10308" s="2">
        <f t="shared" si="161"/>
        <v>43749.232080150461</v>
      </c>
    </row>
    <row r="10309" spans="1:10" x14ac:dyDescent="0.25">
      <c r="A10309" s="7" t="s">
        <v>46255</v>
      </c>
      <c r="B10309" s="8">
        <v>400</v>
      </c>
      <c r="C10309" s="8">
        <v>20.478950000000001</v>
      </c>
      <c r="D10309" s="8">
        <v>53</v>
      </c>
      <c r="E10309" s="8">
        <v>0</v>
      </c>
      <c r="F10309" s="8">
        <v>0</v>
      </c>
      <c r="G10309" s="8">
        <v>4</v>
      </c>
      <c r="H10309" s="8" t="s">
        <v>46256</v>
      </c>
      <c r="I10309" s="8">
        <v>528.375</v>
      </c>
      <c r="J10309" s="3">
        <f t="shared" si="161"/>
        <v>43749.232163599539</v>
      </c>
    </row>
    <row r="10310" spans="1:10" x14ac:dyDescent="0.25">
      <c r="A10310" s="5" t="s">
        <v>46257</v>
      </c>
      <c r="B10310" s="6">
        <v>400</v>
      </c>
      <c r="C10310" s="6">
        <v>20.478950000000001</v>
      </c>
      <c r="D10310" s="6">
        <v>52</v>
      </c>
      <c r="E10310" s="6">
        <v>0</v>
      </c>
      <c r="F10310" s="6">
        <v>0</v>
      </c>
      <c r="G10310" s="6">
        <v>6</v>
      </c>
      <c r="H10310" s="6" t="s">
        <v>46258</v>
      </c>
      <c r="I10310" s="6">
        <v>528.375</v>
      </c>
      <c r="J10310" s="2">
        <f t="shared" si="161"/>
        <v>43749.232247222222</v>
      </c>
    </row>
    <row r="10311" spans="1:10" x14ac:dyDescent="0.25">
      <c r="A10311" s="7" t="s">
        <v>46259</v>
      </c>
      <c r="B10311" s="8">
        <v>400</v>
      </c>
      <c r="C10311" s="8">
        <v>20.478950000000001</v>
      </c>
      <c r="D10311" s="8">
        <v>52</v>
      </c>
      <c r="E10311" s="8">
        <v>0</v>
      </c>
      <c r="F10311" s="8">
        <v>0</v>
      </c>
      <c r="G10311" s="8">
        <v>9</v>
      </c>
      <c r="H10311" s="8" t="s">
        <v>46260</v>
      </c>
      <c r="I10311" s="8">
        <v>528.1875</v>
      </c>
      <c r="J10311" s="3">
        <f t="shared" si="161"/>
        <v>43749.232330266204</v>
      </c>
    </row>
    <row r="10312" spans="1:10" x14ac:dyDescent="0.25">
      <c r="A10312" s="5" t="s">
        <v>46261</v>
      </c>
      <c r="B10312" s="6">
        <v>418.75</v>
      </c>
      <c r="C10312" s="6">
        <v>20.426300000000001</v>
      </c>
      <c r="D10312" s="6">
        <v>54</v>
      </c>
      <c r="E10312" s="6">
        <v>0</v>
      </c>
      <c r="F10312" s="6">
        <v>0</v>
      </c>
      <c r="G10312" s="6">
        <v>8</v>
      </c>
      <c r="H10312" s="6" t="s">
        <v>46262</v>
      </c>
      <c r="I10312" s="6">
        <v>534.5625</v>
      </c>
      <c r="J10312" s="2">
        <f t="shared" si="161"/>
        <v>43749.232402233793</v>
      </c>
    </row>
    <row r="10313" spans="1:10" x14ac:dyDescent="0.25">
      <c r="A10313" s="7" t="s">
        <v>46263</v>
      </c>
      <c r="B10313" s="8">
        <v>400</v>
      </c>
      <c r="C10313" s="8">
        <v>20.426300000000001</v>
      </c>
      <c r="D10313" s="8">
        <v>55</v>
      </c>
      <c r="E10313" s="8">
        <v>0</v>
      </c>
      <c r="F10313" s="8">
        <v>0</v>
      </c>
      <c r="G10313" s="8">
        <v>9</v>
      </c>
      <c r="H10313" s="8" t="s">
        <v>46264</v>
      </c>
      <c r="I10313" s="8">
        <v>528.375</v>
      </c>
      <c r="J10313" s="3">
        <f t="shared" si="161"/>
        <v>43749.232485682871</v>
      </c>
    </row>
    <row r="10314" spans="1:10" x14ac:dyDescent="0.25">
      <c r="A10314" s="5" t="s">
        <v>46265</v>
      </c>
      <c r="B10314" s="6">
        <v>400</v>
      </c>
      <c r="C10314" s="6">
        <v>20.478950000000001</v>
      </c>
      <c r="D10314" s="6">
        <v>54</v>
      </c>
      <c r="E10314" s="6">
        <v>0</v>
      </c>
      <c r="F10314" s="6">
        <v>0</v>
      </c>
      <c r="G10314" s="6">
        <v>4</v>
      </c>
      <c r="H10314" s="6" t="s">
        <v>46266</v>
      </c>
      <c r="I10314" s="6">
        <v>528.1875</v>
      </c>
      <c r="J10314" s="2">
        <f t="shared" si="161"/>
        <v>43749.232569085645</v>
      </c>
    </row>
    <row r="10315" spans="1:10" x14ac:dyDescent="0.25">
      <c r="A10315" s="7" t="s">
        <v>46267</v>
      </c>
      <c r="B10315" s="8">
        <v>400</v>
      </c>
      <c r="C10315" s="8">
        <v>20.426300000000001</v>
      </c>
      <c r="D10315" s="8">
        <v>55</v>
      </c>
      <c r="E10315" s="8">
        <v>0</v>
      </c>
      <c r="F10315" s="8">
        <v>0</v>
      </c>
      <c r="G10315" s="8">
        <v>0</v>
      </c>
      <c r="H10315" s="8" t="s">
        <v>46268</v>
      </c>
      <c r="I10315" s="8">
        <v>528.1875</v>
      </c>
      <c r="J10315" s="3">
        <f t="shared" si="161"/>
        <v>43749.232640624999</v>
      </c>
    </row>
    <row r="10316" spans="1:10" x14ac:dyDescent="0.25">
      <c r="A10316" s="5" t="s">
        <v>46269</v>
      </c>
      <c r="B10316" s="6">
        <v>400</v>
      </c>
      <c r="C10316" s="6">
        <v>20.478950000000001</v>
      </c>
      <c r="D10316" s="6">
        <v>56</v>
      </c>
      <c r="E10316" s="6">
        <v>0</v>
      </c>
      <c r="F10316" s="6">
        <v>0</v>
      </c>
      <c r="G10316" s="6">
        <v>15</v>
      </c>
      <c r="H10316" s="6" t="s">
        <v>46270</v>
      </c>
      <c r="I10316" s="6">
        <v>528.1875</v>
      </c>
      <c r="J10316" s="2">
        <f t="shared" si="161"/>
        <v>43749.232724120367</v>
      </c>
    </row>
    <row r="10317" spans="1:10" x14ac:dyDescent="0.25">
      <c r="A10317" s="7" t="s">
        <v>46271</v>
      </c>
      <c r="B10317" s="8">
        <v>396.875</v>
      </c>
      <c r="C10317" s="8">
        <v>20.426300000000001</v>
      </c>
      <c r="D10317" s="8">
        <v>56</v>
      </c>
      <c r="E10317" s="8">
        <v>0</v>
      </c>
      <c r="F10317" s="8">
        <v>0</v>
      </c>
      <c r="G10317" s="8">
        <v>12</v>
      </c>
      <c r="H10317" s="8" t="s">
        <v>46272</v>
      </c>
      <c r="I10317" s="8">
        <v>527.4375</v>
      </c>
      <c r="J10317" s="3">
        <f t="shared" si="161"/>
        <v>43749.232807592591</v>
      </c>
    </row>
    <row r="10318" spans="1:10" x14ac:dyDescent="0.25">
      <c r="A10318" s="5" t="s">
        <v>46273</v>
      </c>
      <c r="B10318" s="6">
        <v>396.875</v>
      </c>
      <c r="C10318" s="6">
        <v>20.478950000000001</v>
      </c>
      <c r="D10318" s="6">
        <v>56</v>
      </c>
      <c r="E10318" s="6">
        <v>0</v>
      </c>
      <c r="F10318" s="6">
        <v>0</v>
      </c>
      <c r="G10318" s="6">
        <v>9</v>
      </c>
      <c r="H10318" s="6" t="s">
        <v>46274</v>
      </c>
      <c r="I10318" s="6">
        <v>527.4375</v>
      </c>
      <c r="J10318" s="2">
        <f t="shared" si="161"/>
        <v>43749.232879282405</v>
      </c>
    </row>
    <row r="10319" spans="1:10" x14ac:dyDescent="0.25">
      <c r="A10319" s="7" t="s">
        <v>46275</v>
      </c>
      <c r="B10319" s="8">
        <v>393.75</v>
      </c>
      <c r="C10319" s="8">
        <v>20.478950000000001</v>
      </c>
      <c r="D10319" s="8">
        <v>56</v>
      </c>
      <c r="E10319" s="8">
        <v>0</v>
      </c>
      <c r="F10319" s="8">
        <v>0</v>
      </c>
      <c r="G10319" s="8">
        <v>8</v>
      </c>
      <c r="H10319" s="8" t="s">
        <v>46276</v>
      </c>
      <c r="I10319" s="8">
        <v>526.5</v>
      </c>
      <c r="J10319" s="3">
        <f t="shared" si="161"/>
        <v>43749.232950740734</v>
      </c>
    </row>
    <row r="10320" spans="1:10" x14ac:dyDescent="0.25">
      <c r="A10320" s="5" t="s">
        <v>46277</v>
      </c>
      <c r="B10320" s="6">
        <v>393.75</v>
      </c>
      <c r="C10320" s="6">
        <v>20.478950000000001</v>
      </c>
      <c r="D10320" s="6">
        <v>57</v>
      </c>
      <c r="E10320" s="6">
        <v>0</v>
      </c>
      <c r="F10320" s="6">
        <v>0</v>
      </c>
      <c r="G10320" s="6">
        <v>2</v>
      </c>
      <c r="H10320" s="6" t="s">
        <v>46278</v>
      </c>
      <c r="I10320" s="6">
        <v>526.6875</v>
      </c>
      <c r="J10320" s="2">
        <f t="shared" si="161"/>
        <v>43749.23303408565</v>
      </c>
    </row>
    <row r="10321" spans="1:10" x14ac:dyDescent="0.25">
      <c r="A10321" s="7" t="s">
        <v>46279</v>
      </c>
      <c r="B10321" s="8">
        <v>393.75</v>
      </c>
      <c r="C10321" s="8">
        <v>20.478950000000001</v>
      </c>
      <c r="D10321" s="8">
        <v>58</v>
      </c>
      <c r="E10321" s="8">
        <v>0</v>
      </c>
      <c r="F10321" s="8">
        <v>0</v>
      </c>
      <c r="G10321" s="8">
        <v>0</v>
      </c>
      <c r="H10321" s="8" t="s">
        <v>46280</v>
      </c>
      <c r="I10321" s="8">
        <v>526.6875</v>
      </c>
      <c r="J10321" s="3">
        <f t="shared" si="161"/>
        <v>43749.233105810184</v>
      </c>
    </row>
    <row r="10322" spans="1:10" x14ac:dyDescent="0.25">
      <c r="A10322" s="5" t="s">
        <v>46281</v>
      </c>
      <c r="B10322" s="6">
        <v>396.875</v>
      </c>
      <c r="C10322" s="6">
        <v>20.426300000000001</v>
      </c>
      <c r="D10322" s="6">
        <v>58</v>
      </c>
      <c r="E10322" s="6">
        <v>0</v>
      </c>
      <c r="F10322" s="6">
        <v>0</v>
      </c>
      <c r="G10322" s="6">
        <v>9</v>
      </c>
      <c r="H10322" s="6" t="s">
        <v>46282</v>
      </c>
      <c r="I10322" s="6">
        <v>527.4375</v>
      </c>
      <c r="J10322" s="2">
        <f t="shared" si="161"/>
        <v>43749.233189178238</v>
      </c>
    </row>
    <row r="10323" spans="1:10" x14ac:dyDescent="0.25">
      <c r="A10323" s="7" t="s">
        <v>46283</v>
      </c>
      <c r="B10323" s="8">
        <v>400</v>
      </c>
      <c r="C10323" s="8">
        <v>20.478950000000001</v>
      </c>
      <c r="D10323" s="8">
        <v>58</v>
      </c>
      <c r="E10323" s="8">
        <v>0</v>
      </c>
      <c r="F10323" s="8">
        <v>0</v>
      </c>
      <c r="G10323" s="8">
        <v>8</v>
      </c>
      <c r="H10323" s="8" t="s">
        <v>46284</v>
      </c>
      <c r="I10323" s="8">
        <v>528.1875</v>
      </c>
      <c r="J10323" s="3">
        <f t="shared" si="161"/>
        <v>43749.233260462956</v>
      </c>
    </row>
    <row r="10324" spans="1:10" x14ac:dyDescent="0.25">
      <c r="A10324" s="5" t="s">
        <v>46285</v>
      </c>
      <c r="B10324" s="6">
        <v>425</v>
      </c>
      <c r="C10324" s="6">
        <v>20.478950000000001</v>
      </c>
      <c r="D10324" s="6">
        <v>56</v>
      </c>
      <c r="E10324" s="6">
        <v>0</v>
      </c>
      <c r="F10324" s="6">
        <v>0</v>
      </c>
      <c r="G10324" s="6">
        <v>4</v>
      </c>
      <c r="H10324" s="6" t="s">
        <v>46286</v>
      </c>
      <c r="I10324" s="6">
        <v>536.4375</v>
      </c>
      <c r="J10324" s="2">
        <f t="shared" si="161"/>
        <v>43749.23333229166</v>
      </c>
    </row>
    <row r="10325" spans="1:10" x14ac:dyDescent="0.25">
      <c r="A10325" s="7" t="s">
        <v>46287</v>
      </c>
      <c r="B10325" s="8">
        <v>400</v>
      </c>
      <c r="C10325" s="8">
        <v>20.478950000000001</v>
      </c>
      <c r="D10325" s="8">
        <v>56</v>
      </c>
      <c r="E10325" s="8">
        <v>0</v>
      </c>
      <c r="F10325" s="8">
        <v>0</v>
      </c>
      <c r="G10325" s="8">
        <v>5</v>
      </c>
      <c r="H10325" s="8" t="s">
        <v>46288</v>
      </c>
      <c r="I10325" s="8">
        <v>528.375</v>
      </c>
      <c r="J10325" s="3">
        <f t="shared" si="161"/>
        <v>43749.233415462957</v>
      </c>
    </row>
    <row r="10326" spans="1:10" x14ac:dyDescent="0.25">
      <c r="A10326" s="5" t="s">
        <v>46289</v>
      </c>
      <c r="B10326" s="6">
        <v>400</v>
      </c>
      <c r="C10326" s="6">
        <v>20.478950000000001</v>
      </c>
      <c r="D10326" s="6">
        <v>55</v>
      </c>
      <c r="E10326" s="6">
        <v>0</v>
      </c>
      <c r="F10326" s="6">
        <v>0</v>
      </c>
      <c r="G10326" s="6">
        <v>5</v>
      </c>
      <c r="H10326" s="6" t="s">
        <v>46290</v>
      </c>
      <c r="I10326" s="6">
        <v>528.9375</v>
      </c>
      <c r="J10326" s="2">
        <f t="shared" si="161"/>
        <v>43749.233487256941</v>
      </c>
    </row>
    <row r="10327" spans="1:10" x14ac:dyDescent="0.25">
      <c r="A10327" s="7" t="s">
        <v>46291</v>
      </c>
      <c r="B10327" s="8">
        <v>400</v>
      </c>
      <c r="C10327" s="8">
        <v>20.478950000000001</v>
      </c>
      <c r="D10327" s="8">
        <v>55</v>
      </c>
      <c r="E10327" s="8">
        <v>0</v>
      </c>
      <c r="F10327" s="8">
        <v>0</v>
      </c>
      <c r="G10327" s="8">
        <v>0</v>
      </c>
      <c r="H10327" s="8" t="s">
        <v>46292</v>
      </c>
      <c r="I10327" s="8">
        <v>528.9375</v>
      </c>
      <c r="J10327" s="3">
        <f t="shared" si="161"/>
        <v>43749.233570868055</v>
      </c>
    </row>
    <row r="10328" spans="1:10" x14ac:dyDescent="0.25">
      <c r="A10328" s="5" t="s">
        <v>46293</v>
      </c>
      <c r="B10328" s="6">
        <v>403.125</v>
      </c>
      <c r="C10328" s="6">
        <v>20.478950000000001</v>
      </c>
      <c r="D10328" s="6">
        <v>54</v>
      </c>
      <c r="E10328" s="6">
        <v>0</v>
      </c>
      <c r="F10328" s="6">
        <v>0</v>
      </c>
      <c r="G10328" s="6">
        <v>11</v>
      </c>
      <c r="H10328" s="6" t="s">
        <v>46294</v>
      </c>
      <c r="I10328" s="6">
        <v>529.875</v>
      </c>
      <c r="J10328" s="2">
        <f t="shared" si="161"/>
        <v>43749.23365430555</v>
      </c>
    </row>
    <row r="10329" spans="1:10" x14ac:dyDescent="0.25">
      <c r="A10329" s="7" t="s">
        <v>46295</v>
      </c>
      <c r="B10329" s="8">
        <v>403.125</v>
      </c>
      <c r="C10329" s="8">
        <v>20.478950000000001</v>
      </c>
      <c r="D10329" s="8">
        <v>54</v>
      </c>
      <c r="E10329" s="8">
        <v>0</v>
      </c>
      <c r="F10329" s="8">
        <v>0</v>
      </c>
      <c r="G10329" s="8">
        <v>2</v>
      </c>
      <c r="H10329" s="8" t="s">
        <v>46296</v>
      </c>
      <c r="I10329" s="8">
        <v>529.875</v>
      </c>
      <c r="J10329" s="3">
        <f t="shared" si="161"/>
        <v>43749.233737766197</v>
      </c>
    </row>
    <row r="10330" spans="1:10" x14ac:dyDescent="0.25">
      <c r="A10330" s="5" t="s">
        <v>46297</v>
      </c>
      <c r="B10330" s="6">
        <v>403.125</v>
      </c>
      <c r="C10330" s="6">
        <v>20.478950000000001</v>
      </c>
      <c r="D10330" s="6">
        <v>55</v>
      </c>
      <c r="E10330" s="6">
        <v>0</v>
      </c>
      <c r="F10330" s="6">
        <v>0</v>
      </c>
      <c r="G10330" s="6">
        <v>15</v>
      </c>
      <c r="H10330" s="6" t="s">
        <v>46298</v>
      </c>
      <c r="I10330" s="6">
        <v>529.875</v>
      </c>
      <c r="J10330" s="2">
        <f t="shared" si="161"/>
        <v>43749.233821354159</v>
      </c>
    </row>
    <row r="10331" spans="1:10" x14ac:dyDescent="0.25">
      <c r="A10331" s="7" t="s">
        <v>46299</v>
      </c>
      <c r="B10331" s="8">
        <v>403.125</v>
      </c>
      <c r="C10331" s="8">
        <v>20.478950000000001</v>
      </c>
      <c r="D10331" s="8">
        <v>56</v>
      </c>
      <c r="E10331" s="8">
        <v>0</v>
      </c>
      <c r="F10331" s="8">
        <v>0</v>
      </c>
      <c r="G10331" s="8">
        <v>13</v>
      </c>
      <c r="H10331" s="8" t="s">
        <v>46300</v>
      </c>
      <c r="I10331" s="8">
        <v>529.875</v>
      </c>
      <c r="J10331" s="3">
        <f t="shared" si="161"/>
        <v>43749.233916631943</v>
      </c>
    </row>
    <row r="10332" spans="1:10" x14ac:dyDescent="0.25">
      <c r="A10332" s="5" t="s">
        <v>46301</v>
      </c>
      <c r="B10332" s="6">
        <v>403.125</v>
      </c>
      <c r="C10332" s="6">
        <v>20.478950000000001</v>
      </c>
      <c r="D10332" s="6">
        <v>55</v>
      </c>
      <c r="E10332" s="6">
        <v>0</v>
      </c>
      <c r="F10332" s="6">
        <v>0</v>
      </c>
      <c r="G10332" s="6">
        <v>4</v>
      </c>
      <c r="H10332" s="6" t="s">
        <v>46302</v>
      </c>
      <c r="I10332" s="6">
        <v>529.875</v>
      </c>
      <c r="J10332" s="2">
        <f t="shared" si="161"/>
        <v>43749.234000069446</v>
      </c>
    </row>
    <row r="10333" spans="1:10" x14ac:dyDescent="0.25">
      <c r="A10333" s="7" t="s">
        <v>46303</v>
      </c>
      <c r="B10333" s="8">
        <v>403.125</v>
      </c>
      <c r="C10333" s="8">
        <v>20.478950000000001</v>
      </c>
      <c r="D10333" s="8">
        <v>55</v>
      </c>
      <c r="E10333" s="8">
        <v>0</v>
      </c>
      <c r="F10333" s="8">
        <v>0</v>
      </c>
      <c r="G10333" s="8">
        <v>10</v>
      </c>
      <c r="H10333" s="8" t="s">
        <v>46304</v>
      </c>
      <c r="I10333" s="8">
        <v>529.875</v>
      </c>
      <c r="J10333" s="3">
        <f t="shared" si="161"/>
        <v>43749.234083437499</v>
      </c>
    </row>
    <row r="10334" spans="1:10" x14ac:dyDescent="0.25">
      <c r="A10334" s="5" t="s">
        <v>46305</v>
      </c>
      <c r="B10334" s="6">
        <v>403.125</v>
      </c>
      <c r="C10334" s="6">
        <v>20.478950000000001</v>
      </c>
      <c r="D10334" s="6">
        <v>50</v>
      </c>
      <c r="E10334" s="6">
        <v>0</v>
      </c>
      <c r="F10334" s="6">
        <v>0</v>
      </c>
      <c r="G10334" s="6">
        <v>6</v>
      </c>
      <c r="H10334" s="6" t="s">
        <v>46306</v>
      </c>
      <c r="I10334" s="6">
        <v>529.875</v>
      </c>
      <c r="J10334" s="2">
        <f t="shared" si="161"/>
        <v>43749.234181597225</v>
      </c>
    </row>
    <row r="10335" spans="1:10" x14ac:dyDescent="0.25">
      <c r="A10335" s="7" t="s">
        <v>46307</v>
      </c>
      <c r="B10335" s="8">
        <v>403.125</v>
      </c>
      <c r="C10335" s="8">
        <v>20.478950000000001</v>
      </c>
      <c r="D10335" s="8">
        <v>53</v>
      </c>
      <c r="E10335" s="8">
        <v>0</v>
      </c>
      <c r="F10335" s="8">
        <v>0</v>
      </c>
      <c r="G10335" s="8">
        <v>10</v>
      </c>
      <c r="H10335" s="8" t="s">
        <v>46308</v>
      </c>
      <c r="I10335" s="8">
        <v>529.125</v>
      </c>
      <c r="J10335" s="3">
        <f t="shared" si="161"/>
        <v>43749.234262361111</v>
      </c>
    </row>
    <row r="10336" spans="1:10" x14ac:dyDescent="0.25">
      <c r="A10336" s="5" t="s">
        <v>46309</v>
      </c>
      <c r="B10336" s="6">
        <v>403.125</v>
      </c>
      <c r="C10336" s="6">
        <v>20.478950000000001</v>
      </c>
      <c r="D10336" s="6">
        <v>54</v>
      </c>
      <c r="E10336" s="6">
        <v>0</v>
      </c>
      <c r="F10336" s="6">
        <v>0</v>
      </c>
      <c r="G10336" s="6">
        <v>4</v>
      </c>
      <c r="H10336" s="6" t="s">
        <v>46310</v>
      </c>
      <c r="I10336" s="6">
        <v>529.125</v>
      </c>
      <c r="J10336" s="2">
        <f t="shared" si="161"/>
        <v>43749.23434584491</v>
      </c>
    </row>
    <row r="10337" spans="1:10" x14ac:dyDescent="0.25">
      <c r="A10337" s="7" t="s">
        <v>46311</v>
      </c>
      <c r="B10337" s="8">
        <v>403.125</v>
      </c>
      <c r="C10337" s="8">
        <v>20.478950000000001</v>
      </c>
      <c r="D10337" s="8">
        <v>57</v>
      </c>
      <c r="E10337" s="8">
        <v>0</v>
      </c>
      <c r="F10337" s="8">
        <v>0</v>
      </c>
      <c r="G10337" s="8">
        <v>7</v>
      </c>
      <c r="H10337" s="8" t="s">
        <v>46312</v>
      </c>
      <c r="I10337" s="8">
        <v>529.125</v>
      </c>
      <c r="J10337" s="3">
        <f t="shared" si="161"/>
        <v>43749.234417361113</v>
      </c>
    </row>
    <row r="10338" spans="1:10" x14ac:dyDescent="0.25">
      <c r="A10338" s="5" t="s">
        <v>46313</v>
      </c>
      <c r="B10338" s="6">
        <v>403.125</v>
      </c>
      <c r="C10338" s="6">
        <v>20.478950000000001</v>
      </c>
      <c r="D10338" s="6">
        <v>57</v>
      </c>
      <c r="E10338" s="6">
        <v>0</v>
      </c>
      <c r="F10338" s="6">
        <v>0</v>
      </c>
      <c r="G10338" s="6">
        <v>8</v>
      </c>
      <c r="H10338" s="6" t="s">
        <v>46314</v>
      </c>
      <c r="I10338" s="6">
        <v>529.125</v>
      </c>
      <c r="J10338" s="2">
        <f t="shared" si="161"/>
        <v>43749.234488958326</v>
      </c>
    </row>
    <row r="10339" spans="1:10" x14ac:dyDescent="0.25">
      <c r="A10339" s="7" t="s">
        <v>46315</v>
      </c>
      <c r="B10339" s="8">
        <v>403.125</v>
      </c>
      <c r="C10339" s="8">
        <v>20.426300000000001</v>
      </c>
      <c r="D10339" s="8">
        <v>57</v>
      </c>
      <c r="E10339" s="8">
        <v>0</v>
      </c>
      <c r="F10339" s="8">
        <v>0</v>
      </c>
      <c r="G10339" s="8">
        <v>10</v>
      </c>
      <c r="H10339" s="8" t="s">
        <v>46316</v>
      </c>
      <c r="I10339" s="8">
        <v>529.125</v>
      </c>
      <c r="J10339" s="3">
        <f t="shared" si="161"/>
        <v>43749.234572453701</v>
      </c>
    </row>
    <row r="10340" spans="1:10" x14ac:dyDescent="0.25">
      <c r="A10340" s="5" t="s">
        <v>46317</v>
      </c>
      <c r="B10340" s="6">
        <v>403.125</v>
      </c>
      <c r="C10340" s="6">
        <v>20.478950000000001</v>
      </c>
      <c r="D10340" s="6">
        <v>56</v>
      </c>
      <c r="E10340" s="6">
        <v>0</v>
      </c>
      <c r="F10340" s="6">
        <v>0</v>
      </c>
      <c r="G10340" s="6">
        <v>5</v>
      </c>
      <c r="H10340" s="6" t="s">
        <v>46318</v>
      </c>
      <c r="I10340" s="6">
        <v>529.125</v>
      </c>
      <c r="J10340" s="2">
        <f t="shared" si="161"/>
        <v>43749.234655752312</v>
      </c>
    </row>
    <row r="10341" spans="1:10" x14ac:dyDescent="0.25">
      <c r="A10341" s="7" t="s">
        <v>46319</v>
      </c>
      <c r="B10341" s="8">
        <v>421.875</v>
      </c>
      <c r="C10341" s="8">
        <v>20.478950000000001</v>
      </c>
      <c r="D10341" s="8">
        <v>55</v>
      </c>
      <c r="E10341" s="8">
        <v>0</v>
      </c>
      <c r="F10341" s="8">
        <v>0</v>
      </c>
      <c r="G10341" s="8">
        <v>8</v>
      </c>
      <c r="H10341" s="8" t="s">
        <v>46320</v>
      </c>
      <c r="I10341" s="8">
        <v>535.6875</v>
      </c>
      <c r="J10341" s="3">
        <f t="shared" si="161"/>
        <v>43749.234727210649</v>
      </c>
    </row>
    <row r="10342" spans="1:10" x14ac:dyDescent="0.25">
      <c r="A10342" s="5" t="s">
        <v>46321</v>
      </c>
      <c r="B10342" s="6">
        <v>400</v>
      </c>
      <c r="C10342" s="6">
        <v>20.478950000000001</v>
      </c>
      <c r="D10342" s="6">
        <v>55</v>
      </c>
      <c r="E10342" s="6">
        <v>0</v>
      </c>
      <c r="F10342" s="6">
        <v>0</v>
      </c>
      <c r="G10342" s="6">
        <v>2</v>
      </c>
      <c r="H10342" s="6" t="s">
        <v>46322</v>
      </c>
      <c r="I10342" s="6">
        <v>528.1875</v>
      </c>
      <c r="J10342" s="2">
        <f t="shared" si="161"/>
        <v>43749.23479884259</v>
      </c>
    </row>
    <row r="10343" spans="1:10" x14ac:dyDescent="0.25">
      <c r="A10343" s="7" t="s">
        <v>46323</v>
      </c>
      <c r="B10343" s="8">
        <v>400</v>
      </c>
      <c r="C10343" s="8">
        <v>20.478950000000001</v>
      </c>
      <c r="D10343" s="8">
        <v>55</v>
      </c>
      <c r="E10343" s="8">
        <v>0</v>
      </c>
      <c r="F10343" s="8">
        <v>0</v>
      </c>
      <c r="G10343" s="8">
        <v>6</v>
      </c>
      <c r="H10343" s="8" t="s">
        <v>46324</v>
      </c>
      <c r="I10343" s="8">
        <v>528.375</v>
      </c>
      <c r="J10343" s="3">
        <f t="shared" si="161"/>
        <v>43749.23487054398</v>
      </c>
    </row>
    <row r="10344" spans="1:10" x14ac:dyDescent="0.25">
      <c r="A10344" s="5" t="s">
        <v>46325</v>
      </c>
      <c r="B10344" s="6">
        <v>400</v>
      </c>
      <c r="C10344" s="6">
        <v>20.478950000000001</v>
      </c>
      <c r="D10344" s="6">
        <v>54</v>
      </c>
      <c r="E10344" s="6">
        <v>0</v>
      </c>
      <c r="F10344" s="6">
        <v>0</v>
      </c>
      <c r="G10344" s="6">
        <v>4</v>
      </c>
      <c r="H10344" s="6" t="s">
        <v>46326</v>
      </c>
      <c r="I10344" s="6">
        <v>528.1875</v>
      </c>
      <c r="J10344" s="2">
        <f t="shared" si="161"/>
        <v>43749.234953865736</v>
      </c>
    </row>
    <row r="10345" spans="1:10" x14ac:dyDescent="0.25">
      <c r="A10345" s="7" t="s">
        <v>46327</v>
      </c>
      <c r="B10345" s="8">
        <v>400</v>
      </c>
      <c r="C10345" s="8">
        <v>20.478950000000001</v>
      </c>
      <c r="D10345" s="8">
        <v>52</v>
      </c>
      <c r="E10345" s="8">
        <v>0</v>
      </c>
      <c r="F10345" s="8">
        <v>0</v>
      </c>
      <c r="G10345" s="8">
        <v>9</v>
      </c>
      <c r="H10345" s="8" t="s">
        <v>46328</v>
      </c>
      <c r="I10345" s="8">
        <v>528.1875</v>
      </c>
      <c r="J10345" s="3">
        <f t="shared" si="161"/>
        <v>43749.235025613423</v>
      </c>
    </row>
    <row r="10346" spans="1:10" x14ac:dyDescent="0.25">
      <c r="A10346" s="5" t="s">
        <v>46329</v>
      </c>
      <c r="B10346" s="6">
        <v>403.125</v>
      </c>
      <c r="C10346" s="6">
        <v>20.426300000000001</v>
      </c>
      <c r="D10346" s="6">
        <v>53</v>
      </c>
      <c r="E10346" s="6">
        <v>0</v>
      </c>
      <c r="F10346" s="6">
        <v>0</v>
      </c>
      <c r="G10346" s="6">
        <v>7</v>
      </c>
      <c r="H10346" s="6" t="s">
        <v>46330</v>
      </c>
      <c r="I10346" s="6">
        <v>529.125</v>
      </c>
      <c r="J10346" s="2">
        <f t="shared" si="161"/>
        <v>43749.235096990735</v>
      </c>
    </row>
    <row r="10347" spans="1:10" x14ac:dyDescent="0.25">
      <c r="A10347" s="7" t="s">
        <v>46331</v>
      </c>
      <c r="B10347" s="8">
        <v>403.125</v>
      </c>
      <c r="C10347" s="8">
        <v>20.426300000000001</v>
      </c>
      <c r="D10347" s="8">
        <v>53</v>
      </c>
      <c r="E10347" s="8">
        <v>0</v>
      </c>
      <c r="F10347" s="8">
        <v>0</v>
      </c>
      <c r="G10347" s="8">
        <v>11</v>
      </c>
      <c r="H10347" s="8" t="s">
        <v>46332</v>
      </c>
      <c r="I10347" s="8">
        <v>529.6875</v>
      </c>
      <c r="J10347" s="3">
        <f t="shared" si="161"/>
        <v>43749.235168622683</v>
      </c>
    </row>
    <row r="10348" spans="1:10" x14ac:dyDescent="0.25">
      <c r="A10348" s="5" t="s">
        <v>46333</v>
      </c>
      <c r="B10348" s="6">
        <v>403.125</v>
      </c>
      <c r="C10348" s="6">
        <v>20.426300000000001</v>
      </c>
      <c r="D10348" s="6">
        <v>53</v>
      </c>
      <c r="E10348" s="6">
        <v>0</v>
      </c>
      <c r="F10348" s="6">
        <v>0</v>
      </c>
      <c r="G10348" s="6">
        <v>19</v>
      </c>
      <c r="H10348" s="6" t="s">
        <v>46334</v>
      </c>
      <c r="I10348" s="6">
        <v>529.875</v>
      </c>
      <c r="J10348" s="2">
        <f t="shared" si="161"/>
        <v>43749.235239988418</v>
      </c>
    </row>
    <row r="10349" spans="1:10" x14ac:dyDescent="0.25">
      <c r="A10349" s="7" t="s">
        <v>46335</v>
      </c>
      <c r="B10349" s="8">
        <v>421.875</v>
      </c>
      <c r="C10349" s="8">
        <v>20.426300000000001</v>
      </c>
      <c r="D10349" s="8">
        <v>53</v>
      </c>
      <c r="E10349" s="8">
        <v>0</v>
      </c>
      <c r="F10349" s="8">
        <v>0</v>
      </c>
      <c r="G10349" s="8">
        <v>5</v>
      </c>
      <c r="H10349" s="8" t="s">
        <v>46336</v>
      </c>
      <c r="I10349" s="8">
        <v>535.5</v>
      </c>
      <c r="J10349" s="3">
        <f t="shared" si="161"/>
        <v>43749.235311331016</v>
      </c>
    </row>
    <row r="10350" spans="1:10" x14ac:dyDescent="0.25">
      <c r="A10350" s="5" t="s">
        <v>46337</v>
      </c>
      <c r="B10350" s="6">
        <v>403.125</v>
      </c>
      <c r="C10350" s="6">
        <v>20.478950000000001</v>
      </c>
      <c r="D10350" s="6">
        <v>52</v>
      </c>
      <c r="E10350" s="6">
        <v>0</v>
      </c>
      <c r="F10350" s="6">
        <v>0</v>
      </c>
      <c r="G10350" s="6">
        <v>9</v>
      </c>
      <c r="H10350" s="6" t="s">
        <v>46338</v>
      </c>
      <c r="I10350" s="6">
        <v>529.875</v>
      </c>
      <c r="J10350" s="2">
        <f t="shared" si="161"/>
        <v>43749.235395138887</v>
      </c>
    </row>
    <row r="10351" spans="1:10" x14ac:dyDescent="0.25">
      <c r="A10351" s="7" t="s">
        <v>46339</v>
      </c>
      <c r="B10351" s="8">
        <v>406.25</v>
      </c>
      <c r="C10351" s="8">
        <v>20.478950000000001</v>
      </c>
      <c r="D10351" s="8">
        <v>50</v>
      </c>
      <c r="E10351" s="8">
        <v>0</v>
      </c>
      <c r="F10351" s="8">
        <v>0</v>
      </c>
      <c r="G10351" s="8">
        <v>7</v>
      </c>
      <c r="H10351" s="8" t="s">
        <v>46340</v>
      </c>
      <c r="I10351" s="8">
        <v>530.625</v>
      </c>
      <c r="J10351" s="3">
        <f t="shared" si="161"/>
        <v>43749.235467094906</v>
      </c>
    </row>
    <row r="10352" spans="1:10" x14ac:dyDescent="0.25">
      <c r="A10352" s="5" t="s">
        <v>46341</v>
      </c>
      <c r="B10352" s="6">
        <v>406.25</v>
      </c>
      <c r="C10352" s="6">
        <v>20.478950000000001</v>
      </c>
      <c r="D10352" s="6">
        <v>49</v>
      </c>
      <c r="E10352" s="6">
        <v>0</v>
      </c>
      <c r="F10352" s="6">
        <v>0</v>
      </c>
      <c r="G10352" s="6">
        <v>12</v>
      </c>
      <c r="H10352" s="6" t="s">
        <v>46342</v>
      </c>
      <c r="I10352" s="6">
        <v>530.625</v>
      </c>
      <c r="J10352" s="2">
        <f t="shared" si="161"/>
        <v>43749.235538483794</v>
      </c>
    </row>
    <row r="10353" spans="1:10" x14ac:dyDescent="0.25">
      <c r="A10353" s="7" t="s">
        <v>46343</v>
      </c>
      <c r="B10353" s="8">
        <v>406.25</v>
      </c>
      <c r="C10353" s="8">
        <v>20.478950000000001</v>
      </c>
      <c r="D10353" s="8">
        <v>51</v>
      </c>
      <c r="E10353" s="8">
        <v>0</v>
      </c>
      <c r="F10353" s="8">
        <v>0</v>
      </c>
      <c r="G10353" s="8">
        <v>0</v>
      </c>
      <c r="H10353" s="8" t="s">
        <v>46344</v>
      </c>
      <c r="I10353" s="8">
        <v>530.625</v>
      </c>
      <c r="J10353" s="3">
        <f t="shared" si="161"/>
        <v>43749.235609745367</v>
      </c>
    </row>
    <row r="10354" spans="1:10" x14ac:dyDescent="0.25">
      <c r="A10354" s="5" t="s">
        <v>46345</v>
      </c>
      <c r="B10354" s="6">
        <v>403.125</v>
      </c>
      <c r="C10354" s="6">
        <v>20.478950000000001</v>
      </c>
      <c r="D10354" s="6">
        <v>54</v>
      </c>
      <c r="E10354" s="6">
        <v>0</v>
      </c>
      <c r="F10354" s="6">
        <v>0</v>
      </c>
      <c r="G10354" s="6">
        <v>12</v>
      </c>
      <c r="H10354" s="6" t="s">
        <v>46346</v>
      </c>
      <c r="I10354" s="6">
        <v>529.875</v>
      </c>
      <c r="J10354" s="2">
        <f t="shared" si="161"/>
        <v>43749.235681331011</v>
      </c>
    </row>
    <row r="10355" spans="1:10" x14ac:dyDescent="0.25">
      <c r="A10355" s="7" t="s">
        <v>46347</v>
      </c>
      <c r="B10355" s="8">
        <v>403.125</v>
      </c>
      <c r="C10355" s="8">
        <v>20.426300000000001</v>
      </c>
      <c r="D10355" s="8">
        <v>53</v>
      </c>
      <c r="E10355" s="8">
        <v>0</v>
      </c>
      <c r="F10355" s="8">
        <v>0</v>
      </c>
      <c r="G10355" s="8">
        <v>9</v>
      </c>
      <c r="H10355" s="8" t="s">
        <v>46348</v>
      </c>
      <c r="I10355" s="8">
        <v>529.875</v>
      </c>
      <c r="J10355" s="3">
        <f t="shared" si="161"/>
        <v>43749.235764456018</v>
      </c>
    </row>
    <row r="10356" spans="1:10" x14ac:dyDescent="0.25">
      <c r="A10356" s="5" t="s">
        <v>46349</v>
      </c>
      <c r="B10356" s="6">
        <v>421.875</v>
      </c>
      <c r="C10356" s="6">
        <v>20.478950000000001</v>
      </c>
      <c r="D10356" s="6">
        <v>52</v>
      </c>
      <c r="E10356" s="6">
        <v>0</v>
      </c>
      <c r="F10356" s="6">
        <v>0</v>
      </c>
      <c r="G10356" s="6">
        <v>3</v>
      </c>
      <c r="H10356" s="6" t="s">
        <v>46350</v>
      </c>
      <c r="I10356" s="6">
        <v>535.6875</v>
      </c>
      <c r="J10356" s="2">
        <f t="shared" si="161"/>
        <v>43749.235836273147</v>
      </c>
    </row>
    <row r="10357" spans="1:10" x14ac:dyDescent="0.25">
      <c r="A10357" s="7" t="s">
        <v>46351</v>
      </c>
      <c r="B10357" s="8">
        <v>400</v>
      </c>
      <c r="C10357" s="8">
        <v>20.478950000000001</v>
      </c>
      <c r="D10357" s="8">
        <v>53</v>
      </c>
      <c r="E10357" s="8">
        <v>0</v>
      </c>
      <c r="F10357" s="8">
        <v>0</v>
      </c>
      <c r="G10357" s="8">
        <v>7</v>
      </c>
      <c r="H10357" s="8" t="s">
        <v>46352</v>
      </c>
      <c r="I10357" s="8">
        <v>528.9375</v>
      </c>
      <c r="J10357" s="3">
        <f t="shared" si="161"/>
        <v>43749.235910787036</v>
      </c>
    </row>
    <row r="10358" spans="1:10" x14ac:dyDescent="0.25">
      <c r="A10358" s="5" t="s">
        <v>46353</v>
      </c>
      <c r="B10358" s="6">
        <v>400</v>
      </c>
      <c r="C10358" s="6">
        <v>20.478950000000001</v>
      </c>
      <c r="D10358" s="6">
        <v>56</v>
      </c>
      <c r="E10358" s="6">
        <v>0</v>
      </c>
      <c r="F10358" s="6">
        <v>0</v>
      </c>
      <c r="G10358" s="6">
        <v>9</v>
      </c>
      <c r="H10358" s="6" t="s">
        <v>46354</v>
      </c>
      <c r="I10358" s="6">
        <v>528.375</v>
      </c>
      <c r="J10358" s="2">
        <f t="shared" si="161"/>
        <v>43749.23599134259</v>
      </c>
    </row>
    <row r="10359" spans="1:10" x14ac:dyDescent="0.25">
      <c r="A10359" s="7" t="s">
        <v>46355</v>
      </c>
      <c r="B10359" s="8">
        <v>431.25</v>
      </c>
      <c r="C10359" s="8">
        <v>20.426300000000001</v>
      </c>
      <c r="D10359" s="8">
        <v>55</v>
      </c>
      <c r="E10359" s="8">
        <v>0</v>
      </c>
      <c r="F10359" s="8">
        <v>0</v>
      </c>
      <c r="G10359" s="8">
        <v>2</v>
      </c>
      <c r="H10359" s="8" t="s">
        <v>46356</v>
      </c>
      <c r="I10359" s="8">
        <v>538.6875</v>
      </c>
      <c r="J10359" s="3">
        <f t="shared" si="161"/>
        <v>43749.236074664346</v>
      </c>
    </row>
    <row r="10360" spans="1:10" x14ac:dyDescent="0.25">
      <c r="A10360" s="5" t="s">
        <v>46357</v>
      </c>
      <c r="B10360" s="6">
        <v>396.875</v>
      </c>
      <c r="C10360" s="6">
        <v>20.478950000000001</v>
      </c>
      <c r="D10360" s="6">
        <v>55</v>
      </c>
      <c r="E10360" s="6">
        <v>0</v>
      </c>
      <c r="F10360" s="6">
        <v>0</v>
      </c>
      <c r="G10360" s="6">
        <v>4</v>
      </c>
      <c r="H10360" s="6" t="s">
        <v>46358</v>
      </c>
      <c r="I10360" s="6">
        <v>527.4375</v>
      </c>
      <c r="J10360" s="2">
        <f t="shared" si="161"/>
        <v>43749.236146388888</v>
      </c>
    </row>
    <row r="10361" spans="1:10" x14ac:dyDescent="0.25">
      <c r="A10361" s="7" t="s">
        <v>46359</v>
      </c>
      <c r="B10361" s="8">
        <v>393.75</v>
      </c>
      <c r="C10361" s="8">
        <v>20.478950000000001</v>
      </c>
      <c r="D10361" s="8">
        <v>55</v>
      </c>
      <c r="E10361" s="8">
        <v>0</v>
      </c>
      <c r="F10361" s="8">
        <v>0</v>
      </c>
      <c r="G10361" s="8">
        <v>3</v>
      </c>
      <c r="H10361" s="8" t="s">
        <v>46360</v>
      </c>
      <c r="I10361" s="8">
        <v>526.6875</v>
      </c>
      <c r="J10361" s="3">
        <f t="shared" si="161"/>
        <v>43749.236217847218</v>
      </c>
    </row>
    <row r="10362" spans="1:10" x14ac:dyDescent="0.25">
      <c r="A10362" s="5" t="s">
        <v>46361</v>
      </c>
      <c r="B10362" s="6">
        <v>393.75</v>
      </c>
      <c r="C10362" s="6">
        <v>20.478950000000001</v>
      </c>
      <c r="D10362" s="6">
        <v>54</v>
      </c>
      <c r="E10362" s="6">
        <v>0</v>
      </c>
      <c r="F10362" s="6">
        <v>0</v>
      </c>
      <c r="G10362" s="6">
        <v>13</v>
      </c>
      <c r="H10362" s="6" t="s">
        <v>46362</v>
      </c>
      <c r="I10362" s="6">
        <v>526.6875</v>
      </c>
      <c r="J10362" s="2">
        <f t="shared" si="161"/>
        <v>43749.236301365738</v>
      </c>
    </row>
    <row r="10363" spans="1:10" x14ac:dyDescent="0.25">
      <c r="A10363" s="7" t="s">
        <v>46363</v>
      </c>
      <c r="B10363" s="8">
        <v>393.75</v>
      </c>
      <c r="C10363" s="8">
        <v>20.478950000000001</v>
      </c>
      <c r="D10363" s="8">
        <v>55</v>
      </c>
      <c r="E10363" s="8">
        <v>0</v>
      </c>
      <c r="F10363" s="8">
        <v>0</v>
      </c>
      <c r="G10363" s="8">
        <v>7</v>
      </c>
      <c r="H10363" s="8" t="s">
        <v>46364</v>
      </c>
      <c r="I10363" s="8">
        <v>526.6875</v>
      </c>
      <c r="J10363" s="3">
        <f t="shared" si="161"/>
        <v>43749.236372939813</v>
      </c>
    </row>
    <row r="10364" spans="1:10" x14ac:dyDescent="0.25">
      <c r="A10364" s="5" t="s">
        <v>46365</v>
      </c>
      <c r="B10364" s="6">
        <v>393.75</v>
      </c>
      <c r="C10364" s="6">
        <v>20.478950000000001</v>
      </c>
      <c r="D10364" s="6">
        <v>56</v>
      </c>
      <c r="E10364" s="6">
        <v>0</v>
      </c>
      <c r="F10364" s="6">
        <v>0</v>
      </c>
      <c r="G10364" s="6">
        <v>7</v>
      </c>
      <c r="H10364" s="6" t="s">
        <v>46366</v>
      </c>
      <c r="I10364" s="6">
        <v>526.6875</v>
      </c>
      <c r="J10364" s="2">
        <f t="shared" si="161"/>
        <v>43749.236456145831</v>
      </c>
    </row>
    <row r="10365" spans="1:10" x14ac:dyDescent="0.25">
      <c r="A10365" s="7" t="s">
        <v>46367</v>
      </c>
      <c r="B10365" s="8">
        <v>393.75</v>
      </c>
      <c r="C10365" s="8">
        <v>20.478950000000001</v>
      </c>
      <c r="D10365" s="8">
        <v>56</v>
      </c>
      <c r="E10365" s="8">
        <v>0</v>
      </c>
      <c r="F10365" s="8">
        <v>0</v>
      </c>
      <c r="G10365" s="8">
        <v>0</v>
      </c>
      <c r="H10365" s="8" t="s">
        <v>46368</v>
      </c>
      <c r="I10365" s="8">
        <v>526.6875</v>
      </c>
      <c r="J10365" s="3">
        <f t="shared" si="161"/>
        <v>43749.236527905094</v>
      </c>
    </row>
    <row r="10366" spans="1:10" x14ac:dyDescent="0.25">
      <c r="A10366" s="5" t="s">
        <v>46369</v>
      </c>
      <c r="B10366" s="6">
        <v>393.75</v>
      </c>
      <c r="C10366" s="6">
        <v>20.478950000000001</v>
      </c>
      <c r="D10366" s="6">
        <v>56</v>
      </c>
      <c r="E10366" s="6">
        <v>0</v>
      </c>
      <c r="F10366" s="6">
        <v>0</v>
      </c>
      <c r="G10366" s="6">
        <v>10</v>
      </c>
      <c r="H10366" s="6" t="s">
        <v>46370</v>
      </c>
      <c r="I10366" s="6">
        <v>526.6875</v>
      </c>
      <c r="J10366" s="2">
        <f t="shared" si="161"/>
        <v>43749.236611423614</v>
      </c>
    </row>
    <row r="10367" spans="1:10" x14ac:dyDescent="0.25">
      <c r="A10367" s="7" t="s">
        <v>46371</v>
      </c>
      <c r="B10367" s="8">
        <v>393.75</v>
      </c>
      <c r="C10367" s="8">
        <v>20.478950000000001</v>
      </c>
      <c r="D10367" s="8">
        <v>53</v>
      </c>
      <c r="E10367" s="8">
        <v>0</v>
      </c>
      <c r="F10367" s="8">
        <v>0</v>
      </c>
      <c r="G10367" s="8">
        <v>7</v>
      </c>
      <c r="H10367" s="8" t="s">
        <v>46372</v>
      </c>
      <c r="I10367" s="8">
        <v>526.6875</v>
      </c>
      <c r="J10367" s="3">
        <f t="shared" si="161"/>
        <v>43749.236682673603</v>
      </c>
    </row>
    <row r="10368" spans="1:10" x14ac:dyDescent="0.25">
      <c r="A10368" s="5" t="s">
        <v>46373</v>
      </c>
      <c r="B10368" s="6">
        <v>393.75</v>
      </c>
      <c r="C10368" s="6">
        <v>20.478950000000001</v>
      </c>
      <c r="D10368" s="6">
        <v>53</v>
      </c>
      <c r="E10368" s="6">
        <v>0</v>
      </c>
      <c r="F10368" s="6">
        <v>0</v>
      </c>
      <c r="G10368" s="6">
        <v>19</v>
      </c>
      <c r="H10368" s="6" t="s">
        <v>46374</v>
      </c>
      <c r="I10368" s="6">
        <v>526.6875</v>
      </c>
      <c r="J10368" s="2">
        <f t="shared" si="161"/>
        <v>43749.23677815972</v>
      </c>
    </row>
    <row r="10369" spans="1:10" x14ac:dyDescent="0.25">
      <c r="A10369" s="7" t="s">
        <v>46375</v>
      </c>
      <c r="B10369" s="8">
        <v>393.75</v>
      </c>
      <c r="C10369" s="8">
        <v>20.478950000000001</v>
      </c>
      <c r="D10369" s="8">
        <v>51</v>
      </c>
      <c r="E10369" s="8">
        <v>0</v>
      </c>
      <c r="F10369" s="8">
        <v>0</v>
      </c>
      <c r="G10369" s="8">
        <v>3</v>
      </c>
      <c r="H10369" s="8" t="s">
        <v>46376</v>
      </c>
      <c r="I10369" s="8">
        <v>526.6875</v>
      </c>
      <c r="J10369" s="3">
        <f t="shared" si="161"/>
        <v>43749.2368499074</v>
      </c>
    </row>
    <row r="10370" spans="1:10" x14ac:dyDescent="0.25">
      <c r="A10370" s="5" t="s">
        <v>46377</v>
      </c>
      <c r="B10370" s="6">
        <v>393.75</v>
      </c>
      <c r="C10370" s="6">
        <v>20.478950000000001</v>
      </c>
      <c r="D10370" s="6">
        <v>50</v>
      </c>
      <c r="E10370" s="6">
        <v>0</v>
      </c>
      <c r="F10370" s="6">
        <v>0</v>
      </c>
      <c r="G10370" s="6">
        <v>10</v>
      </c>
      <c r="H10370" s="6" t="s">
        <v>46378</v>
      </c>
      <c r="I10370" s="6">
        <v>526.6875</v>
      </c>
      <c r="J10370" s="2">
        <f t="shared" ref="J10370:J10433" si="162">(H10370/86400000)+25569+(7/24)</f>
        <v>43749.23693342592</v>
      </c>
    </row>
    <row r="10371" spans="1:10" x14ac:dyDescent="0.25">
      <c r="A10371" s="7" t="s">
        <v>46379</v>
      </c>
      <c r="B10371" s="8">
        <v>393.75</v>
      </c>
      <c r="C10371" s="8">
        <v>20.478950000000001</v>
      </c>
      <c r="D10371" s="8">
        <v>52</v>
      </c>
      <c r="E10371" s="8">
        <v>0</v>
      </c>
      <c r="F10371" s="8">
        <v>0</v>
      </c>
      <c r="G10371" s="8">
        <v>7</v>
      </c>
      <c r="H10371" s="8" t="s">
        <v>46380</v>
      </c>
      <c r="I10371" s="8">
        <v>526.5</v>
      </c>
      <c r="J10371" s="3">
        <f t="shared" si="162"/>
        <v>43749.237005104165</v>
      </c>
    </row>
    <row r="10372" spans="1:10" x14ac:dyDescent="0.25">
      <c r="A10372" s="5" t="s">
        <v>46381</v>
      </c>
      <c r="B10372" s="6">
        <v>393.75</v>
      </c>
      <c r="C10372" s="6">
        <v>20.426300000000001</v>
      </c>
      <c r="D10372" s="6">
        <v>53</v>
      </c>
      <c r="E10372" s="6">
        <v>0</v>
      </c>
      <c r="F10372" s="6">
        <v>0</v>
      </c>
      <c r="G10372" s="6">
        <v>13</v>
      </c>
      <c r="H10372" s="6" t="s">
        <v>46382</v>
      </c>
      <c r="I10372" s="6">
        <v>526.6875</v>
      </c>
      <c r="J10372" s="2">
        <f t="shared" si="162"/>
        <v>43749.237076527774</v>
      </c>
    </row>
    <row r="10373" spans="1:10" x14ac:dyDescent="0.25">
      <c r="A10373" s="7" t="s">
        <v>46383</v>
      </c>
      <c r="B10373" s="8">
        <v>393.75</v>
      </c>
      <c r="C10373" s="8">
        <v>20.478950000000001</v>
      </c>
      <c r="D10373" s="8">
        <v>53</v>
      </c>
      <c r="E10373" s="8">
        <v>0</v>
      </c>
      <c r="F10373" s="8">
        <v>0</v>
      </c>
      <c r="G10373" s="8">
        <v>10</v>
      </c>
      <c r="H10373" s="8" t="s">
        <v>46384</v>
      </c>
      <c r="I10373" s="8">
        <v>526.6875</v>
      </c>
      <c r="J10373" s="3">
        <f t="shared" si="162"/>
        <v>43749.23715984953</v>
      </c>
    </row>
    <row r="10374" spans="1:10" x14ac:dyDescent="0.25">
      <c r="A10374" s="5" t="s">
        <v>46385</v>
      </c>
      <c r="B10374" s="6">
        <v>415.625</v>
      </c>
      <c r="C10374" s="6">
        <v>20.478950000000001</v>
      </c>
      <c r="D10374" s="6">
        <v>55</v>
      </c>
      <c r="E10374" s="6">
        <v>0</v>
      </c>
      <c r="F10374" s="6">
        <v>0</v>
      </c>
      <c r="G10374" s="6">
        <v>8</v>
      </c>
      <c r="H10374" s="6" t="s">
        <v>46386</v>
      </c>
      <c r="I10374" s="6">
        <v>533.0625</v>
      </c>
      <c r="J10374" s="2">
        <f t="shared" si="162"/>
        <v>43749.237231493054</v>
      </c>
    </row>
    <row r="10375" spans="1:10" x14ac:dyDescent="0.25">
      <c r="A10375" s="7" t="s">
        <v>46387</v>
      </c>
      <c r="B10375" s="8">
        <v>396.875</v>
      </c>
      <c r="C10375" s="8">
        <v>20.426300000000001</v>
      </c>
      <c r="D10375" s="8">
        <v>55</v>
      </c>
      <c r="E10375" s="8">
        <v>0</v>
      </c>
      <c r="F10375" s="8">
        <v>0</v>
      </c>
      <c r="G10375" s="8">
        <v>6</v>
      </c>
      <c r="H10375" s="8" t="s">
        <v>46388</v>
      </c>
      <c r="I10375" s="8">
        <v>527.4375</v>
      </c>
      <c r="J10375" s="3">
        <f t="shared" si="162"/>
        <v>43749.237314999998</v>
      </c>
    </row>
    <row r="10376" spans="1:10" x14ac:dyDescent="0.25">
      <c r="A10376" s="5" t="s">
        <v>46389</v>
      </c>
      <c r="B10376" s="6">
        <v>396.875</v>
      </c>
      <c r="C10376" s="6">
        <v>20.426300000000001</v>
      </c>
      <c r="D10376" s="6">
        <v>55</v>
      </c>
      <c r="E10376" s="6">
        <v>0</v>
      </c>
      <c r="F10376" s="6">
        <v>0</v>
      </c>
      <c r="G10376" s="6">
        <v>12</v>
      </c>
      <c r="H10376" s="6" t="s">
        <v>46390</v>
      </c>
      <c r="I10376" s="6">
        <v>527.4375</v>
      </c>
      <c r="J10376" s="2">
        <f t="shared" si="162"/>
        <v>43749.237385914348</v>
      </c>
    </row>
    <row r="10377" spans="1:10" x14ac:dyDescent="0.25">
      <c r="A10377" s="7" t="s">
        <v>46391</v>
      </c>
      <c r="B10377" s="8">
        <v>396.875</v>
      </c>
      <c r="C10377" s="8">
        <v>20.478950000000001</v>
      </c>
      <c r="D10377" s="8">
        <v>55</v>
      </c>
      <c r="E10377" s="8">
        <v>0</v>
      </c>
      <c r="F10377" s="8">
        <v>0</v>
      </c>
      <c r="G10377" s="8">
        <v>6</v>
      </c>
      <c r="H10377" s="8" t="s">
        <v>46392</v>
      </c>
      <c r="I10377" s="8">
        <v>527.4375</v>
      </c>
      <c r="J10377" s="3">
        <f t="shared" si="162"/>
        <v>43749.237458136573</v>
      </c>
    </row>
    <row r="10378" spans="1:10" x14ac:dyDescent="0.25">
      <c r="A10378" s="5" t="s">
        <v>46393</v>
      </c>
      <c r="B10378" s="6">
        <v>396.875</v>
      </c>
      <c r="C10378" s="6">
        <v>20.478950000000001</v>
      </c>
      <c r="D10378" s="6">
        <v>54</v>
      </c>
      <c r="E10378" s="6">
        <v>0</v>
      </c>
      <c r="F10378" s="6">
        <v>0</v>
      </c>
      <c r="G10378" s="6">
        <v>13</v>
      </c>
      <c r="H10378" s="6" t="s">
        <v>46394</v>
      </c>
      <c r="I10378" s="6">
        <v>527.4375</v>
      </c>
      <c r="J10378" s="2">
        <f t="shared" si="162"/>
        <v>43749.237541354167</v>
      </c>
    </row>
    <row r="10379" spans="1:10" x14ac:dyDescent="0.25">
      <c r="A10379" s="7" t="s">
        <v>46395</v>
      </c>
      <c r="B10379" s="8">
        <v>396.875</v>
      </c>
      <c r="C10379" s="8">
        <v>20.478950000000001</v>
      </c>
      <c r="D10379" s="8">
        <v>54</v>
      </c>
      <c r="E10379" s="8">
        <v>0</v>
      </c>
      <c r="F10379" s="8">
        <v>0</v>
      </c>
      <c r="G10379" s="8">
        <v>13</v>
      </c>
      <c r="H10379" s="8" t="s">
        <v>46396</v>
      </c>
      <c r="I10379" s="8">
        <v>527.4375</v>
      </c>
      <c r="J10379" s="3">
        <f t="shared" si="162"/>
        <v>43749.237613090278</v>
      </c>
    </row>
    <row r="10380" spans="1:10" x14ac:dyDescent="0.25">
      <c r="A10380" s="5" t="s">
        <v>46397</v>
      </c>
      <c r="B10380" s="6">
        <v>396.875</v>
      </c>
      <c r="C10380" s="6">
        <v>20.426300000000001</v>
      </c>
      <c r="D10380" s="6">
        <v>54</v>
      </c>
      <c r="E10380" s="6">
        <v>0</v>
      </c>
      <c r="F10380" s="6">
        <v>0</v>
      </c>
      <c r="G10380" s="6">
        <v>7</v>
      </c>
      <c r="H10380" s="6" t="s">
        <v>46398</v>
      </c>
      <c r="I10380" s="6">
        <v>527.4375</v>
      </c>
      <c r="J10380" s="2">
        <f t="shared" si="162"/>
        <v>43749.237696678239</v>
      </c>
    </row>
    <row r="10381" spans="1:10" x14ac:dyDescent="0.25">
      <c r="A10381" s="7" t="s">
        <v>46399</v>
      </c>
      <c r="B10381" s="8">
        <v>396.875</v>
      </c>
      <c r="C10381" s="8">
        <v>20.426300000000001</v>
      </c>
      <c r="D10381" s="8">
        <v>54</v>
      </c>
      <c r="E10381" s="8">
        <v>0</v>
      </c>
      <c r="F10381" s="8">
        <v>0</v>
      </c>
      <c r="G10381" s="8">
        <v>17</v>
      </c>
      <c r="H10381" s="8" t="s">
        <v>46400</v>
      </c>
      <c r="I10381" s="8">
        <v>527.4375</v>
      </c>
      <c r="J10381" s="3">
        <f t="shared" si="162"/>
        <v>43749.237768194442</v>
      </c>
    </row>
    <row r="10382" spans="1:10" x14ac:dyDescent="0.25">
      <c r="A10382" s="5" t="s">
        <v>46401</v>
      </c>
      <c r="B10382" s="6">
        <v>396.875</v>
      </c>
      <c r="C10382" s="6">
        <v>20.426300000000001</v>
      </c>
      <c r="D10382" s="6">
        <v>54</v>
      </c>
      <c r="E10382" s="6">
        <v>0</v>
      </c>
      <c r="F10382" s="6">
        <v>0</v>
      </c>
      <c r="G10382" s="6">
        <v>9</v>
      </c>
      <c r="H10382" s="6" t="s">
        <v>46402</v>
      </c>
      <c r="I10382" s="6">
        <v>527.4375</v>
      </c>
      <c r="J10382" s="2">
        <f t="shared" si="162"/>
        <v>43749.237839502312</v>
      </c>
    </row>
    <row r="10383" spans="1:10" x14ac:dyDescent="0.25">
      <c r="A10383" s="7" t="s">
        <v>46403</v>
      </c>
      <c r="B10383" s="8">
        <v>396.875</v>
      </c>
      <c r="C10383" s="8">
        <v>20.478950000000001</v>
      </c>
      <c r="D10383" s="8">
        <v>55</v>
      </c>
      <c r="E10383" s="8">
        <v>0</v>
      </c>
      <c r="F10383" s="8">
        <v>0</v>
      </c>
      <c r="G10383" s="8">
        <v>12</v>
      </c>
      <c r="H10383" s="8" t="s">
        <v>46404</v>
      </c>
      <c r="I10383" s="8">
        <v>527.4375</v>
      </c>
      <c r="J10383" s="3">
        <f t="shared" si="162"/>
        <v>43749.237911307871</v>
      </c>
    </row>
    <row r="10384" spans="1:10" x14ac:dyDescent="0.25">
      <c r="A10384" s="5" t="s">
        <v>46405</v>
      </c>
      <c r="B10384" s="6">
        <v>418.75</v>
      </c>
      <c r="C10384" s="6">
        <v>20.426300000000001</v>
      </c>
      <c r="D10384" s="6">
        <v>55</v>
      </c>
      <c r="E10384" s="6">
        <v>0</v>
      </c>
      <c r="F10384" s="6">
        <v>0</v>
      </c>
      <c r="G10384" s="6">
        <v>7</v>
      </c>
      <c r="H10384" s="6" t="s">
        <v>46406</v>
      </c>
      <c r="I10384" s="6">
        <v>534.75</v>
      </c>
      <c r="J10384" s="2">
        <f t="shared" si="162"/>
        <v>43749.237994398143</v>
      </c>
    </row>
    <row r="10385" spans="1:10" x14ac:dyDescent="0.25">
      <c r="A10385" s="7" t="s">
        <v>46407</v>
      </c>
      <c r="B10385" s="8">
        <v>396.875</v>
      </c>
      <c r="C10385" s="8">
        <v>20.478950000000001</v>
      </c>
      <c r="D10385" s="8">
        <v>55</v>
      </c>
      <c r="E10385" s="8">
        <v>0</v>
      </c>
      <c r="F10385" s="8">
        <v>0</v>
      </c>
      <c r="G10385" s="8">
        <v>9</v>
      </c>
      <c r="H10385" s="8" t="s">
        <v>46408</v>
      </c>
      <c r="I10385" s="8">
        <v>527.4375</v>
      </c>
      <c r="J10385" s="3">
        <f t="shared" si="162"/>
        <v>43749.238066354163</v>
      </c>
    </row>
    <row r="10386" spans="1:10" x14ac:dyDescent="0.25">
      <c r="A10386" s="5" t="s">
        <v>46409</v>
      </c>
      <c r="B10386" s="6">
        <v>396.875</v>
      </c>
      <c r="C10386" s="6">
        <v>20.426300000000001</v>
      </c>
      <c r="D10386" s="6">
        <v>55</v>
      </c>
      <c r="E10386" s="6">
        <v>0</v>
      </c>
      <c r="F10386" s="6">
        <v>0</v>
      </c>
      <c r="G10386" s="6">
        <v>13</v>
      </c>
      <c r="H10386" s="6" t="s">
        <v>46410</v>
      </c>
      <c r="I10386" s="6">
        <v>527.4375</v>
      </c>
      <c r="J10386" s="2">
        <f t="shared" si="162"/>
        <v>43749.23814991898</v>
      </c>
    </row>
    <row r="10387" spans="1:10" x14ac:dyDescent="0.25">
      <c r="A10387" s="7" t="s">
        <v>46411</v>
      </c>
      <c r="B10387" s="8">
        <v>396.875</v>
      </c>
      <c r="C10387" s="8">
        <v>20.478950000000001</v>
      </c>
      <c r="D10387" s="8">
        <v>55</v>
      </c>
      <c r="E10387" s="8">
        <v>0</v>
      </c>
      <c r="F10387" s="8">
        <v>0</v>
      </c>
      <c r="G10387" s="8">
        <v>7</v>
      </c>
      <c r="H10387" s="8" t="s">
        <v>46412</v>
      </c>
      <c r="I10387" s="8">
        <v>527.25</v>
      </c>
      <c r="J10387" s="3">
        <f t="shared" si="162"/>
        <v>43749.238233321761</v>
      </c>
    </row>
    <row r="10388" spans="1:10" x14ac:dyDescent="0.25">
      <c r="A10388" s="5" t="s">
        <v>46413</v>
      </c>
      <c r="B10388" s="6">
        <v>400</v>
      </c>
      <c r="C10388" s="6">
        <v>20.426300000000001</v>
      </c>
      <c r="D10388" s="6">
        <v>55</v>
      </c>
      <c r="E10388" s="6">
        <v>0</v>
      </c>
      <c r="F10388" s="6">
        <v>0</v>
      </c>
      <c r="G10388" s="6">
        <v>15</v>
      </c>
      <c r="H10388" s="6" t="s">
        <v>46414</v>
      </c>
      <c r="I10388" s="6">
        <v>528.375</v>
      </c>
      <c r="J10388" s="2">
        <f t="shared" si="162"/>
        <v>43749.238316817129</v>
      </c>
    </row>
    <row r="10389" spans="1:10" x14ac:dyDescent="0.25">
      <c r="A10389" s="7" t="s">
        <v>46415</v>
      </c>
      <c r="B10389" s="8">
        <v>431.25</v>
      </c>
      <c r="C10389" s="8">
        <v>20.426300000000001</v>
      </c>
      <c r="D10389" s="8">
        <v>55</v>
      </c>
      <c r="E10389" s="8">
        <v>0</v>
      </c>
      <c r="F10389" s="8">
        <v>0</v>
      </c>
      <c r="G10389" s="8">
        <v>12</v>
      </c>
      <c r="H10389" s="8" t="s">
        <v>46416</v>
      </c>
      <c r="I10389" s="8">
        <v>538.125</v>
      </c>
      <c r="J10389" s="3">
        <f t="shared" si="162"/>
        <v>43749.2384002662</v>
      </c>
    </row>
    <row r="10390" spans="1:10" x14ac:dyDescent="0.25">
      <c r="A10390" s="5" t="s">
        <v>46417</v>
      </c>
      <c r="B10390" s="6">
        <v>400</v>
      </c>
      <c r="C10390" s="6">
        <v>20.478950000000001</v>
      </c>
      <c r="D10390" s="6">
        <v>54</v>
      </c>
      <c r="E10390" s="6">
        <v>0</v>
      </c>
      <c r="F10390" s="6">
        <v>0</v>
      </c>
      <c r="G10390" s="6">
        <v>5</v>
      </c>
      <c r="H10390" s="6" t="s">
        <v>46418</v>
      </c>
      <c r="I10390" s="6">
        <v>528.375</v>
      </c>
      <c r="J10390" s="2">
        <f t="shared" si="162"/>
        <v>43749.238471793979</v>
      </c>
    </row>
    <row r="10391" spans="1:10" x14ac:dyDescent="0.25">
      <c r="A10391" s="7" t="s">
        <v>46419</v>
      </c>
      <c r="B10391" s="8">
        <v>400</v>
      </c>
      <c r="C10391" s="8">
        <v>20.426300000000001</v>
      </c>
      <c r="D10391" s="8">
        <v>54</v>
      </c>
      <c r="E10391" s="8">
        <v>0</v>
      </c>
      <c r="F10391" s="8">
        <v>0</v>
      </c>
      <c r="G10391" s="8">
        <v>10</v>
      </c>
      <c r="H10391" s="8" t="s">
        <v>46420</v>
      </c>
      <c r="I10391" s="8">
        <v>528.1875</v>
      </c>
      <c r="J10391" s="3">
        <f t="shared" si="162"/>
        <v>43749.238543321757</v>
      </c>
    </row>
    <row r="10392" spans="1:10" x14ac:dyDescent="0.25">
      <c r="A10392" s="5" t="s">
        <v>46421</v>
      </c>
      <c r="B10392" s="6">
        <v>400</v>
      </c>
      <c r="C10392" s="6">
        <v>20.478950000000001</v>
      </c>
      <c r="D10392" s="6">
        <v>52</v>
      </c>
      <c r="E10392" s="6">
        <v>0</v>
      </c>
      <c r="F10392" s="6">
        <v>0</v>
      </c>
      <c r="G10392" s="6">
        <v>12</v>
      </c>
      <c r="H10392" s="6" t="s">
        <v>46422</v>
      </c>
      <c r="I10392" s="6">
        <v>528.375</v>
      </c>
      <c r="J10392" s="2">
        <f t="shared" si="162"/>
        <v>43749.238626539351</v>
      </c>
    </row>
    <row r="10393" spans="1:10" x14ac:dyDescent="0.25">
      <c r="A10393" s="7" t="s">
        <v>46423</v>
      </c>
      <c r="B10393" s="8">
        <v>396.875</v>
      </c>
      <c r="C10393" s="8">
        <v>20.478950000000001</v>
      </c>
      <c r="D10393" s="8">
        <v>53</v>
      </c>
      <c r="E10393" s="8">
        <v>0</v>
      </c>
      <c r="F10393" s="8">
        <v>0</v>
      </c>
      <c r="G10393" s="8">
        <v>7</v>
      </c>
      <c r="H10393" s="8" t="s">
        <v>46424</v>
      </c>
      <c r="I10393" s="8">
        <v>527.4375</v>
      </c>
      <c r="J10393" s="3">
        <f t="shared" si="162"/>
        <v>43749.238698414345</v>
      </c>
    </row>
    <row r="10394" spans="1:10" x14ac:dyDescent="0.25">
      <c r="A10394" s="5" t="s">
        <v>46425</v>
      </c>
      <c r="B10394" s="6">
        <v>396.875</v>
      </c>
      <c r="C10394" s="6">
        <v>20.478950000000001</v>
      </c>
      <c r="D10394" s="6">
        <v>55</v>
      </c>
      <c r="E10394" s="6">
        <v>0</v>
      </c>
      <c r="F10394" s="6">
        <v>0</v>
      </c>
      <c r="G10394" s="6">
        <v>11</v>
      </c>
      <c r="H10394" s="6" t="s">
        <v>46426</v>
      </c>
      <c r="I10394" s="6">
        <v>527.4375</v>
      </c>
      <c r="J10394" s="2">
        <f t="shared" si="162"/>
        <v>43749.238781851855</v>
      </c>
    </row>
    <row r="10395" spans="1:10" x14ac:dyDescent="0.25">
      <c r="A10395" s="7" t="s">
        <v>46427</v>
      </c>
      <c r="B10395" s="8">
        <v>396.875</v>
      </c>
      <c r="C10395" s="8">
        <v>20.426300000000001</v>
      </c>
      <c r="D10395" s="8">
        <v>54</v>
      </c>
      <c r="E10395" s="8">
        <v>0</v>
      </c>
      <c r="F10395" s="8">
        <v>0</v>
      </c>
      <c r="G10395" s="8">
        <v>8</v>
      </c>
      <c r="H10395" s="8" t="s">
        <v>46428</v>
      </c>
      <c r="I10395" s="8">
        <v>527.4375</v>
      </c>
      <c r="J10395" s="3">
        <f t="shared" si="162"/>
        <v>43749.238853379626</v>
      </c>
    </row>
    <row r="10396" spans="1:10" x14ac:dyDescent="0.25">
      <c r="A10396" s="5" t="s">
        <v>46429</v>
      </c>
      <c r="B10396" s="6">
        <v>396.875</v>
      </c>
      <c r="C10396" s="6">
        <v>20.478950000000001</v>
      </c>
      <c r="D10396" s="6">
        <v>54</v>
      </c>
      <c r="E10396" s="6">
        <v>0</v>
      </c>
      <c r="F10396" s="6">
        <v>0</v>
      </c>
      <c r="G10396" s="6">
        <v>11</v>
      </c>
      <c r="H10396" s="6" t="s">
        <v>46430</v>
      </c>
      <c r="I10396" s="6">
        <v>527.4375</v>
      </c>
      <c r="J10396" s="2">
        <f t="shared" si="162"/>
        <v>43749.23892491898</v>
      </c>
    </row>
    <row r="10397" spans="1:10" x14ac:dyDescent="0.25">
      <c r="A10397" s="7" t="s">
        <v>46431</v>
      </c>
      <c r="B10397" s="8">
        <v>396.875</v>
      </c>
      <c r="C10397" s="8">
        <v>20.426300000000001</v>
      </c>
      <c r="D10397" s="8">
        <v>53</v>
      </c>
      <c r="E10397" s="8">
        <v>0</v>
      </c>
      <c r="F10397" s="8">
        <v>0</v>
      </c>
      <c r="G10397" s="8">
        <v>4</v>
      </c>
      <c r="H10397" s="8" t="s">
        <v>46432</v>
      </c>
      <c r="I10397" s="8">
        <v>527.4375</v>
      </c>
      <c r="J10397" s="3">
        <f t="shared" si="162"/>
        <v>43749.239008067125</v>
      </c>
    </row>
    <row r="10398" spans="1:10" x14ac:dyDescent="0.25">
      <c r="A10398" s="5" t="s">
        <v>46433</v>
      </c>
      <c r="B10398" s="6">
        <v>396.875</v>
      </c>
      <c r="C10398" s="6">
        <v>20.478950000000001</v>
      </c>
      <c r="D10398" s="6">
        <v>53</v>
      </c>
      <c r="E10398" s="6">
        <v>0</v>
      </c>
      <c r="F10398" s="6">
        <v>0</v>
      </c>
      <c r="G10398" s="6">
        <v>15</v>
      </c>
      <c r="H10398" s="6" t="s">
        <v>46434</v>
      </c>
      <c r="I10398" s="6">
        <v>527.4375</v>
      </c>
      <c r="J10398" s="2">
        <f t="shared" si="162"/>
        <v>43749.239091921292</v>
      </c>
    </row>
    <row r="10399" spans="1:10" x14ac:dyDescent="0.25">
      <c r="A10399" s="7" t="s">
        <v>46435</v>
      </c>
      <c r="B10399" s="8">
        <v>396.875</v>
      </c>
      <c r="C10399" s="8">
        <v>20.478950000000001</v>
      </c>
      <c r="D10399" s="8">
        <v>55</v>
      </c>
      <c r="E10399" s="8">
        <v>0</v>
      </c>
      <c r="F10399" s="8">
        <v>0</v>
      </c>
      <c r="G10399" s="8">
        <v>8</v>
      </c>
      <c r="H10399" s="8" t="s">
        <v>46436</v>
      </c>
      <c r="I10399" s="8">
        <v>527.4375</v>
      </c>
      <c r="J10399" s="3">
        <f t="shared" si="162"/>
        <v>43749.239163564816</v>
      </c>
    </row>
    <row r="10400" spans="1:10" x14ac:dyDescent="0.25">
      <c r="A10400" s="5" t="s">
        <v>46437</v>
      </c>
      <c r="B10400" s="6">
        <v>396.875</v>
      </c>
      <c r="C10400" s="6">
        <v>20.478950000000001</v>
      </c>
      <c r="D10400" s="6">
        <v>55</v>
      </c>
      <c r="E10400" s="6">
        <v>0</v>
      </c>
      <c r="F10400" s="6">
        <v>0</v>
      </c>
      <c r="G10400" s="6">
        <v>3</v>
      </c>
      <c r="H10400" s="6" t="s">
        <v>46438</v>
      </c>
      <c r="I10400" s="6">
        <v>527.4375</v>
      </c>
      <c r="J10400" s="2">
        <f t="shared" si="162"/>
        <v>43749.239246886573</v>
      </c>
    </row>
    <row r="10401" spans="1:10" x14ac:dyDescent="0.25">
      <c r="A10401" s="7" t="s">
        <v>46439</v>
      </c>
      <c r="B10401" s="8">
        <v>393.75</v>
      </c>
      <c r="C10401" s="8">
        <v>20.478950000000001</v>
      </c>
      <c r="D10401" s="8">
        <v>55</v>
      </c>
      <c r="E10401" s="8">
        <v>0</v>
      </c>
      <c r="F10401" s="8">
        <v>0</v>
      </c>
      <c r="G10401" s="8">
        <v>8</v>
      </c>
      <c r="H10401" s="8" t="s">
        <v>46440</v>
      </c>
      <c r="I10401" s="8">
        <v>526.6875</v>
      </c>
      <c r="J10401" s="3">
        <f t="shared" si="162"/>
        <v>43749.239342442124</v>
      </c>
    </row>
    <row r="10402" spans="1:10" x14ac:dyDescent="0.25">
      <c r="A10402" s="5" t="s">
        <v>46441</v>
      </c>
      <c r="B10402" s="6">
        <v>393.75</v>
      </c>
      <c r="C10402" s="6">
        <v>20.478950000000001</v>
      </c>
      <c r="D10402" s="6">
        <v>57</v>
      </c>
      <c r="E10402" s="6">
        <v>0</v>
      </c>
      <c r="F10402" s="6">
        <v>0</v>
      </c>
      <c r="G10402" s="6">
        <v>3</v>
      </c>
      <c r="H10402" s="6" t="s">
        <v>46442</v>
      </c>
      <c r="I10402" s="6">
        <v>526.6875</v>
      </c>
      <c r="J10402" s="2">
        <f t="shared" si="162"/>
        <v>43749.239413946758</v>
      </c>
    </row>
    <row r="10403" spans="1:10" x14ac:dyDescent="0.25">
      <c r="A10403" s="7" t="s">
        <v>46443</v>
      </c>
      <c r="B10403" s="8">
        <v>393.75</v>
      </c>
      <c r="C10403" s="8">
        <v>20.478950000000001</v>
      </c>
      <c r="D10403" s="8">
        <v>57</v>
      </c>
      <c r="E10403" s="8">
        <v>0</v>
      </c>
      <c r="F10403" s="8">
        <v>0</v>
      </c>
      <c r="G10403" s="8">
        <v>4</v>
      </c>
      <c r="H10403" s="8" t="s">
        <v>46444</v>
      </c>
      <c r="I10403" s="8">
        <v>526.5</v>
      </c>
      <c r="J10403" s="3">
        <f t="shared" si="162"/>
        <v>43749.239497060182</v>
      </c>
    </row>
    <row r="10404" spans="1:10" x14ac:dyDescent="0.25">
      <c r="A10404" s="5" t="s">
        <v>46445</v>
      </c>
      <c r="B10404" s="6">
        <v>393.75</v>
      </c>
      <c r="C10404" s="6">
        <v>20.478950000000001</v>
      </c>
      <c r="D10404" s="6">
        <v>57</v>
      </c>
      <c r="E10404" s="6">
        <v>0</v>
      </c>
      <c r="F10404" s="6">
        <v>0</v>
      </c>
      <c r="G10404" s="6">
        <v>4</v>
      </c>
      <c r="H10404" s="6" t="s">
        <v>46446</v>
      </c>
      <c r="I10404" s="6">
        <v>526.6875</v>
      </c>
      <c r="J10404" s="2">
        <f t="shared" si="162"/>
        <v>43749.239569004632</v>
      </c>
    </row>
    <row r="10405" spans="1:10" x14ac:dyDescent="0.25">
      <c r="A10405" s="7" t="s">
        <v>46447</v>
      </c>
      <c r="B10405" s="8">
        <v>393.75</v>
      </c>
      <c r="C10405" s="8">
        <v>20.478950000000001</v>
      </c>
      <c r="D10405" s="8">
        <v>58</v>
      </c>
      <c r="E10405" s="8">
        <v>0</v>
      </c>
      <c r="F10405" s="8">
        <v>0</v>
      </c>
      <c r="G10405" s="8">
        <v>11</v>
      </c>
      <c r="H10405" s="8" t="s">
        <v>46448</v>
      </c>
      <c r="I10405" s="8">
        <v>526.6875</v>
      </c>
      <c r="J10405" s="3">
        <f t="shared" si="162"/>
        <v>43749.239652476848</v>
      </c>
    </row>
    <row r="10406" spans="1:10" x14ac:dyDescent="0.25">
      <c r="A10406" s="5" t="s">
        <v>46449</v>
      </c>
      <c r="B10406" s="6">
        <v>393.75</v>
      </c>
      <c r="C10406" s="6">
        <v>20.478950000000001</v>
      </c>
      <c r="D10406" s="6">
        <v>58</v>
      </c>
      <c r="E10406" s="6">
        <v>0</v>
      </c>
      <c r="F10406" s="6">
        <v>0</v>
      </c>
      <c r="G10406" s="6">
        <v>6</v>
      </c>
      <c r="H10406" s="6" t="s">
        <v>46450</v>
      </c>
      <c r="I10406" s="6">
        <v>526.6875</v>
      </c>
      <c r="J10406" s="2">
        <f t="shared" si="162"/>
        <v>43749.239724085644</v>
      </c>
    </row>
    <row r="10407" spans="1:10" x14ac:dyDescent="0.25">
      <c r="A10407" s="7" t="s">
        <v>46451</v>
      </c>
      <c r="B10407" s="8">
        <v>393.75</v>
      </c>
      <c r="C10407" s="8">
        <v>20.478950000000001</v>
      </c>
      <c r="D10407" s="8">
        <v>57</v>
      </c>
      <c r="E10407" s="8">
        <v>0</v>
      </c>
      <c r="F10407" s="8">
        <v>0</v>
      </c>
      <c r="G10407" s="8">
        <v>10</v>
      </c>
      <c r="H10407" s="8" t="s">
        <v>46452</v>
      </c>
      <c r="I10407" s="8">
        <v>526.6875</v>
      </c>
      <c r="J10407" s="3">
        <f t="shared" si="162"/>
        <v>43749.239807557868</v>
      </c>
    </row>
    <row r="10408" spans="1:10" x14ac:dyDescent="0.25">
      <c r="A10408" s="5" t="s">
        <v>46453</v>
      </c>
      <c r="B10408" s="6">
        <v>393.75</v>
      </c>
      <c r="C10408" s="6">
        <v>20.478950000000001</v>
      </c>
      <c r="D10408" s="6">
        <v>57</v>
      </c>
      <c r="E10408" s="6">
        <v>0</v>
      </c>
      <c r="F10408" s="6">
        <v>0</v>
      </c>
      <c r="G10408" s="6">
        <v>11</v>
      </c>
      <c r="H10408" s="6" t="s">
        <v>46454</v>
      </c>
      <c r="I10408" s="6">
        <v>526.6875</v>
      </c>
      <c r="J10408" s="2">
        <f t="shared" si="162"/>
        <v>43749.23987907407</v>
      </c>
    </row>
    <row r="10409" spans="1:10" x14ac:dyDescent="0.25">
      <c r="A10409" s="7" t="s">
        <v>46455</v>
      </c>
      <c r="B10409" s="8">
        <v>393.75</v>
      </c>
      <c r="C10409" s="8">
        <v>20.426300000000001</v>
      </c>
      <c r="D10409" s="8">
        <v>57</v>
      </c>
      <c r="E10409" s="8">
        <v>0</v>
      </c>
      <c r="F10409" s="8">
        <v>0</v>
      </c>
      <c r="G10409" s="8">
        <v>5</v>
      </c>
      <c r="H10409" s="8" t="s">
        <v>46456</v>
      </c>
      <c r="I10409" s="8">
        <v>526.6875</v>
      </c>
      <c r="J10409" s="3">
        <f t="shared" si="162"/>
        <v>43749.239950567127</v>
      </c>
    </row>
    <row r="10410" spans="1:10" x14ac:dyDescent="0.25">
      <c r="A10410" s="5" t="s">
        <v>46457</v>
      </c>
      <c r="B10410" s="6">
        <v>412.5</v>
      </c>
      <c r="C10410" s="6">
        <v>20.426300000000001</v>
      </c>
      <c r="D10410" s="6">
        <v>55</v>
      </c>
      <c r="E10410" s="6">
        <v>0</v>
      </c>
      <c r="F10410" s="6">
        <v>0</v>
      </c>
      <c r="G10410" s="6">
        <v>1</v>
      </c>
      <c r="H10410" s="6" t="s">
        <v>46458</v>
      </c>
      <c r="I10410" s="6">
        <v>532.3125</v>
      </c>
      <c r="J10410" s="2">
        <f t="shared" si="162"/>
        <v>43749.240034016206</v>
      </c>
    </row>
    <row r="10411" spans="1:10" x14ac:dyDescent="0.25">
      <c r="A10411" s="7" t="s">
        <v>46459</v>
      </c>
      <c r="B10411" s="8">
        <v>393.75</v>
      </c>
      <c r="C10411" s="8">
        <v>20.426300000000001</v>
      </c>
      <c r="D10411" s="8">
        <v>54</v>
      </c>
      <c r="E10411" s="8">
        <v>0</v>
      </c>
      <c r="F10411" s="8">
        <v>0</v>
      </c>
      <c r="G10411" s="8">
        <v>14</v>
      </c>
      <c r="H10411" s="8" t="s">
        <v>46460</v>
      </c>
      <c r="I10411" s="8">
        <v>526.6875</v>
      </c>
      <c r="J10411" s="3">
        <f t="shared" si="162"/>
        <v>43749.240105277779</v>
      </c>
    </row>
    <row r="10412" spans="1:10" x14ac:dyDescent="0.25">
      <c r="A10412" s="5" t="s">
        <v>46461</v>
      </c>
      <c r="B10412" s="6">
        <v>393.75</v>
      </c>
      <c r="C10412" s="6">
        <v>20.426300000000001</v>
      </c>
      <c r="D10412" s="6">
        <v>54</v>
      </c>
      <c r="E10412" s="6">
        <v>0</v>
      </c>
      <c r="F10412" s="6">
        <v>0</v>
      </c>
      <c r="G10412" s="6">
        <v>4</v>
      </c>
      <c r="H10412" s="6" t="s">
        <v>46462</v>
      </c>
      <c r="I10412" s="6">
        <v>526.6875</v>
      </c>
      <c r="J10412" s="2">
        <f t="shared" si="162"/>
        <v>43749.240177187494</v>
      </c>
    </row>
    <row r="10413" spans="1:10" x14ac:dyDescent="0.25">
      <c r="A10413" s="7" t="s">
        <v>46463</v>
      </c>
      <c r="B10413" s="8">
        <v>393.75</v>
      </c>
      <c r="C10413" s="8">
        <v>20.478950000000001</v>
      </c>
      <c r="D10413" s="8">
        <v>55</v>
      </c>
      <c r="E10413" s="8">
        <v>0</v>
      </c>
      <c r="F10413" s="8">
        <v>0</v>
      </c>
      <c r="G10413" s="8">
        <v>13</v>
      </c>
      <c r="H10413" s="8" t="s">
        <v>46464</v>
      </c>
      <c r="I10413" s="8">
        <v>526.6875</v>
      </c>
      <c r="J10413" s="3">
        <f t="shared" si="162"/>
        <v>43749.240260682869</v>
      </c>
    </row>
    <row r="10414" spans="1:10" x14ac:dyDescent="0.25">
      <c r="A10414" s="5" t="s">
        <v>46465</v>
      </c>
      <c r="B10414" s="6">
        <v>393.75</v>
      </c>
      <c r="C10414" s="6">
        <v>20.426300000000001</v>
      </c>
      <c r="D10414" s="6">
        <v>55</v>
      </c>
      <c r="E10414" s="6">
        <v>0</v>
      </c>
      <c r="F10414" s="6">
        <v>0</v>
      </c>
      <c r="G10414" s="6">
        <v>4</v>
      </c>
      <c r="H10414" s="6" t="s">
        <v>46466</v>
      </c>
      <c r="I10414" s="6">
        <v>526.6875</v>
      </c>
      <c r="J10414" s="2">
        <f t="shared" si="162"/>
        <v>43749.240332094902</v>
      </c>
    </row>
    <row r="10415" spans="1:10" x14ac:dyDescent="0.25">
      <c r="A10415" s="7" t="s">
        <v>46467</v>
      </c>
      <c r="B10415" s="8">
        <v>393.75</v>
      </c>
      <c r="C10415" s="8">
        <v>20.478950000000001</v>
      </c>
      <c r="D10415" s="8">
        <v>56</v>
      </c>
      <c r="E10415" s="8">
        <v>0</v>
      </c>
      <c r="F10415" s="8">
        <v>0</v>
      </c>
      <c r="G10415" s="8">
        <v>6</v>
      </c>
      <c r="H10415" s="8" t="s">
        <v>46468</v>
      </c>
      <c r="I10415" s="8">
        <v>526.5</v>
      </c>
      <c r="J10415" s="3">
        <f t="shared" si="162"/>
        <v>43749.240415428234</v>
      </c>
    </row>
    <row r="10416" spans="1:10" x14ac:dyDescent="0.25">
      <c r="A10416" s="5" t="s">
        <v>46469</v>
      </c>
      <c r="B10416" s="6">
        <v>425</v>
      </c>
      <c r="C10416" s="6">
        <v>20.478950000000001</v>
      </c>
      <c r="D10416" s="6">
        <v>56</v>
      </c>
      <c r="E10416" s="6">
        <v>0</v>
      </c>
      <c r="F10416" s="6">
        <v>0</v>
      </c>
      <c r="G10416" s="6">
        <v>7</v>
      </c>
      <c r="H10416" s="6" t="s">
        <v>46470</v>
      </c>
      <c r="I10416" s="6">
        <v>536.8125</v>
      </c>
      <c r="J10416" s="2">
        <f t="shared" si="162"/>
        <v>43749.240487187497</v>
      </c>
    </row>
    <row r="10417" spans="1:10" x14ac:dyDescent="0.25">
      <c r="A10417" s="7" t="s">
        <v>46471</v>
      </c>
      <c r="B10417" s="8">
        <v>393.75</v>
      </c>
      <c r="C10417" s="8">
        <v>20.426300000000001</v>
      </c>
      <c r="D10417" s="8">
        <v>57</v>
      </c>
      <c r="E10417" s="8">
        <v>0</v>
      </c>
      <c r="F10417" s="8">
        <v>0</v>
      </c>
      <c r="G10417" s="8">
        <v>10</v>
      </c>
      <c r="H10417" s="8" t="s">
        <v>46472</v>
      </c>
      <c r="I10417" s="8">
        <v>526.5</v>
      </c>
      <c r="J10417" s="3">
        <f t="shared" si="162"/>
        <v>43749.240570798611</v>
      </c>
    </row>
    <row r="10418" spans="1:10" x14ac:dyDescent="0.25">
      <c r="A10418" s="5" t="s">
        <v>46473</v>
      </c>
      <c r="B10418" s="6">
        <v>393.75</v>
      </c>
      <c r="C10418" s="6">
        <v>20.426300000000001</v>
      </c>
      <c r="D10418" s="6">
        <v>57</v>
      </c>
      <c r="E10418" s="6">
        <v>0</v>
      </c>
      <c r="F10418" s="6">
        <v>0</v>
      </c>
      <c r="G10418" s="6">
        <v>7</v>
      </c>
      <c r="H10418" s="6" t="s">
        <v>46474</v>
      </c>
      <c r="I10418" s="6">
        <v>526.6875</v>
      </c>
      <c r="J10418" s="2">
        <f t="shared" si="162"/>
        <v>43749.240642233795</v>
      </c>
    </row>
    <row r="10419" spans="1:10" x14ac:dyDescent="0.25">
      <c r="A10419" s="7" t="s">
        <v>46475</v>
      </c>
      <c r="B10419" s="8">
        <v>393.75</v>
      </c>
      <c r="C10419" s="8">
        <v>20.478950000000001</v>
      </c>
      <c r="D10419" s="8">
        <v>57</v>
      </c>
      <c r="E10419" s="8">
        <v>0</v>
      </c>
      <c r="F10419" s="8">
        <v>0</v>
      </c>
      <c r="G10419" s="8">
        <v>4</v>
      </c>
      <c r="H10419" s="8" t="s">
        <v>46476</v>
      </c>
      <c r="I10419" s="8">
        <v>526.6875</v>
      </c>
      <c r="J10419" s="3">
        <f t="shared" si="162"/>
        <v>43749.240713842592</v>
      </c>
    </row>
    <row r="10420" spans="1:10" x14ac:dyDescent="0.25">
      <c r="A10420" s="5" t="s">
        <v>46477</v>
      </c>
      <c r="B10420" s="6">
        <v>393.75</v>
      </c>
      <c r="C10420" s="6">
        <v>20.426300000000001</v>
      </c>
      <c r="D10420" s="6">
        <v>56</v>
      </c>
      <c r="E10420" s="6">
        <v>0</v>
      </c>
      <c r="F10420" s="6">
        <v>0</v>
      </c>
      <c r="G10420" s="6">
        <v>13</v>
      </c>
      <c r="H10420" s="6" t="s">
        <v>46478</v>
      </c>
      <c r="I10420" s="6">
        <v>526.6875</v>
      </c>
      <c r="J10420" s="2">
        <f t="shared" si="162"/>
        <v>43749.240809224539</v>
      </c>
    </row>
    <row r="10421" spans="1:10" x14ac:dyDescent="0.25">
      <c r="A10421" s="7" t="s">
        <v>46479</v>
      </c>
      <c r="B10421" s="8">
        <v>393.75</v>
      </c>
      <c r="C10421" s="8">
        <v>20.478950000000001</v>
      </c>
      <c r="D10421" s="8">
        <v>57</v>
      </c>
      <c r="E10421" s="8">
        <v>0</v>
      </c>
      <c r="F10421" s="8">
        <v>0</v>
      </c>
      <c r="G10421" s="8">
        <v>14</v>
      </c>
      <c r="H10421" s="8" t="s">
        <v>46480</v>
      </c>
      <c r="I10421" s="8">
        <v>526.6875</v>
      </c>
      <c r="J10421" s="3">
        <f t="shared" si="162"/>
        <v>43749.240892685186</v>
      </c>
    </row>
    <row r="10422" spans="1:10" x14ac:dyDescent="0.25">
      <c r="A10422" s="5" t="s">
        <v>46481</v>
      </c>
      <c r="B10422" s="6">
        <v>393.75</v>
      </c>
      <c r="C10422" s="6">
        <v>20.426300000000001</v>
      </c>
      <c r="D10422" s="6">
        <v>57</v>
      </c>
      <c r="E10422" s="6">
        <v>0</v>
      </c>
      <c r="F10422" s="6">
        <v>0</v>
      </c>
      <c r="G10422" s="6">
        <v>2</v>
      </c>
      <c r="H10422" s="6" t="s">
        <v>46482</v>
      </c>
      <c r="I10422" s="6">
        <v>526.6875</v>
      </c>
      <c r="J10422" s="2">
        <f t="shared" si="162"/>
        <v>43749.240963680553</v>
      </c>
    </row>
    <row r="10423" spans="1:10" x14ac:dyDescent="0.25">
      <c r="A10423" s="7" t="s">
        <v>46483</v>
      </c>
      <c r="B10423" s="8">
        <v>393.75</v>
      </c>
      <c r="C10423" s="8">
        <v>20.478950000000001</v>
      </c>
      <c r="D10423" s="8">
        <v>57</v>
      </c>
      <c r="E10423" s="8">
        <v>0</v>
      </c>
      <c r="F10423" s="8">
        <v>0</v>
      </c>
      <c r="G10423" s="8">
        <v>9</v>
      </c>
      <c r="H10423" s="8" t="s">
        <v>46484</v>
      </c>
      <c r="I10423" s="8">
        <v>526.5</v>
      </c>
      <c r="J10423" s="3">
        <f t="shared" si="162"/>
        <v>43749.241035694438</v>
      </c>
    </row>
    <row r="10424" spans="1:10" x14ac:dyDescent="0.25">
      <c r="A10424" s="5" t="s">
        <v>46485</v>
      </c>
      <c r="B10424" s="6">
        <v>393.75</v>
      </c>
      <c r="C10424" s="6">
        <v>20.426300000000001</v>
      </c>
      <c r="D10424" s="6">
        <v>57</v>
      </c>
      <c r="E10424" s="6">
        <v>0</v>
      </c>
      <c r="F10424" s="6">
        <v>0</v>
      </c>
      <c r="G10424" s="6">
        <v>8</v>
      </c>
      <c r="H10424" s="6" t="s">
        <v>46486</v>
      </c>
      <c r="I10424" s="6">
        <v>526.5</v>
      </c>
      <c r="J10424" s="2">
        <f t="shared" si="162"/>
        <v>43749.241119247679</v>
      </c>
    </row>
    <row r="10425" spans="1:10" x14ac:dyDescent="0.25">
      <c r="A10425" s="7" t="s">
        <v>46487</v>
      </c>
      <c r="B10425" s="8">
        <v>393.75</v>
      </c>
      <c r="C10425" s="8">
        <v>20.478950000000001</v>
      </c>
      <c r="D10425" s="8">
        <v>57</v>
      </c>
      <c r="E10425" s="8">
        <v>0</v>
      </c>
      <c r="F10425" s="8">
        <v>0</v>
      </c>
      <c r="G10425" s="8">
        <v>6</v>
      </c>
      <c r="H10425" s="8" t="s">
        <v>46488</v>
      </c>
      <c r="I10425" s="8">
        <v>526.6875</v>
      </c>
      <c r="J10425" s="3">
        <f t="shared" si="162"/>
        <v>43749.241190821755</v>
      </c>
    </row>
    <row r="10426" spans="1:10" x14ac:dyDescent="0.25">
      <c r="A10426" s="5" t="s">
        <v>46489</v>
      </c>
      <c r="B10426" s="6">
        <v>393.75</v>
      </c>
      <c r="C10426" s="6">
        <v>20.478950000000001</v>
      </c>
      <c r="D10426" s="6">
        <v>57</v>
      </c>
      <c r="E10426" s="6">
        <v>0</v>
      </c>
      <c r="F10426" s="6">
        <v>0</v>
      </c>
      <c r="G10426" s="6">
        <v>11</v>
      </c>
      <c r="H10426" s="6" t="s">
        <v>46490</v>
      </c>
      <c r="I10426" s="6">
        <v>526.6875</v>
      </c>
      <c r="J10426" s="2">
        <f t="shared" si="162"/>
        <v>43749.241274224536</v>
      </c>
    </row>
    <row r="10427" spans="1:10" x14ac:dyDescent="0.25">
      <c r="A10427" s="7" t="s">
        <v>46491</v>
      </c>
      <c r="B10427" s="8">
        <v>393.75</v>
      </c>
      <c r="C10427" s="8">
        <v>20.478950000000001</v>
      </c>
      <c r="D10427" s="8">
        <v>57</v>
      </c>
      <c r="E10427" s="8">
        <v>0</v>
      </c>
      <c r="F10427" s="8">
        <v>0</v>
      </c>
      <c r="G10427" s="8">
        <v>8</v>
      </c>
      <c r="H10427" s="8" t="s">
        <v>46492</v>
      </c>
      <c r="I10427" s="8">
        <v>526.6875</v>
      </c>
      <c r="J10427" s="3">
        <f t="shared" si="162"/>
        <v>43749.241346030089</v>
      </c>
    </row>
    <row r="10428" spans="1:10" x14ac:dyDescent="0.25">
      <c r="A10428" s="5" t="s">
        <v>46493</v>
      </c>
      <c r="B10428" s="6">
        <v>412.5</v>
      </c>
      <c r="C10428" s="6">
        <v>20.478950000000001</v>
      </c>
      <c r="D10428" s="6">
        <v>57</v>
      </c>
      <c r="E10428" s="6">
        <v>0</v>
      </c>
      <c r="F10428" s="6">
        <v>0</v>
      </c>
      <c r="G10428" s="6">
        <v>20</v>
      </c>
      <c r="H10428" s="6" t="s">
        <v>46494</v>
      </c>
      <c r="I10428" s="6">
        <v>532.3125</v>
      </c>
      <c r="J10428" s="2">
        <f t="shared" si="162"/>
        <v>43749.241429363428</v>
      </c>
    </row>
    <row r="10429" spans="1:10" x14ac:dyDescent="0.25">
      <c r="A10429" s="7" t="s">
        <v>46495</v>
      </c>
      <c r="B10429" s="8">
        <v>393.75</v>
      </c>
      <c r="C10429" s="8">
        <v>20.426300000000001</v>
      </c>
      <c r="D10429" s="8">
        <v>58</v>
      </c>
      <c r="E10429" s="8">
        <v>0</v>
      </c>
      <c r="F10429" s="8">
        <v>0</v>
      </c>
      <c r="G10429" s="8">
        <v>9</v>
      </c>
      <c r="H10429" s="8" t="s">
        <v>46496</v>
      </c>
      <c r="I10429" s="8">
        <v>526.6875</v>
      </c>
      <c r="J10429" s="3">
        <f t="shared" si="162"/>
        <v>43749.241500717595</v>
      </c>
    </row>
    <row r="10430" spans="1:10" x14ac:dyDescent="0.25">
      <c r="A10430" s="5" t="s">
        <v>46497</v>
      </c>
      <c r="B10430" s="6">
        <v>393.75</v>
      </c>
      <c r="C10430" s="6">
        <v>20.478950000000001</v>
      </c>
      <c r="D10430" s="6">
        <v>59</v>
      </c>
      <c r="E10430" s="6">
        <v>0</v>
      </c>
      <c r="F10430" s="6">
        <v>0</v>
      </c>
      <c r="G10430" s="6">
        <v>6</v>
      </c>
      <c r="H10430" s="6" t="s">
        <v>46498</v>
      </c>
      <c r="I10430" s="6">
        <v>526.6875</v>
      </c>
      <c r="J10430" s="2">
        <f t="shared" si="162"/>
        <v>43749.241572488427</v>
      </c>
    </row>
    <row r="10431" spans="1:10" x14ac:dyDescent="0.25">
      <c r="A10431" s="7" t="s">
        <v>46499</v>
      </c>
      <c r="B10431" s="8">
        <v>393.75</v>
      </c>
      <c r="C10431" s="8">
        <v>20.426300000000001</v>
      </c>
      <c r="D10431" s="8">
        <v>58</v>
      </c>
      <c r="E10431" s="8">
        <v>0</v>
      </c>
      <c r="F10431" s="8">
        <v>0</v>
      </c>
      <c r="G10431" s="8">
        <v>0</v>
      </c>
      <c r="H10431" s="8" t="s">
        <v>46500</v>
      </c>
      <c r="I10431" s="8">
        <v>526.6875</v>
      </c>
      <c r="J10431" s="3">
        <f t="shared" si="162"/>
        <v>43749.241655810183</v>
      </c>
    </row>
    <row r="10432" spans="1:10" x14ac:dyDescent="0.25">
      <c r="A10432" s="5" t="s">
        <v>46501</v>
      </c>
      <c r="B10432" s="6">
        <v>393.75</v>
      </c>
      <c r="C10432" s="6">
        <v>20.478950000000001</v>
      </c>
      <c r="D10432" s="6">
        <v>58</v>
      </c>
      <c r="E10432" s="6">
        <v>0</v>
      </c>
      <c r="F10432" s="6">
        <v>0</v>
      </c>
      <c r="G10432" s="6">
        <v>7</v>
      </c>
      <c r="H10432" s="6" t="s">
        <v>46502</v>
      </c>
      <c r="I10432" s="6">
        <v>526.6875</v>
      </c>
      <c r="J10432" s="2">
        <f t="shared" si="162"/>
        <v>43749.241727418979</v>
      </c>
    </row>
    <row r="10433" spans="1:10" x14ac:dyDescent="0.25">
      <c r="A10433" s="7" t="s">
        <v>46503</v>
      </c>
      <c r="B10433" s="8">
        <v>393.75</v>
      </c>
      <c r="C10433" s="8">
        <v>20.478950000000001</v>
      </c>
      <c r="D10433" s="8">
        <v>58</v>
      </c>
      <c r="E10433" s="8">
        <v>0</v>
      </c>
      <c r="F10433" s="8">
        <v>0</v>
      </c>
      <c r="G10433" s="8">
        <v>4</v>
      </c>
      <c r="H10433" s="8" t="s">
        <v>46504</v>
      </c>
      <c r="I10433" s="8">
        <v>526.5</v>
      </c>
      <c r="J10433" s="3">
        <f t="shared" si="162"/>
        <v>43749.241798946758</v>
      </c>
    </row>
    <row r="10434" spans="1:10" x14ac:dyDescent="0.25">
      <c r="A10434" s="5" t="s">
        <v>46505</v>
      </c>
      <c r="B10434" s="6">
        <v>393.75</v>
      </c>
      <c r="C10434" s="6">
        <v>20.478950000000001</v>
      </c>
      <c r="D10434" s="6">
        <v>58</v>
      </c>
      <c r="E10434" s="6">
        <v>0</v>
      </c>
      <c r="F10434" s="6">
        <v>0</v>
      </c>
      <c r="G10434" s="6">
        <v>12</v>
      </c>
      <c r="H10434" s="6" t="s">
        <v>46506</v>
      </c>
      <c r="I10434" s="6">
        <v>526.6875</v>
      </c>
      <c r="J10434" s="2">
        <f t="shared" ref="J10434:J10497" si="163">(H10434/86400000)+25569+(7/24)</f>
        <v>43749.241897233798</v>
      </c>
    </row>
    <row r="10435" spans="1:10" x14ac:dyDescent="0.25">
      <c r="A10435" s="7" t="s">
        <v>46507</v>
      </c>
      <c r="B10435" s="8">
        <v>393.75</v>
      </c>
      <c r="C10435" s="8">
        <v>20.478950000000001</v>
      </c>
      <c r="D10435" s="8">
        <v>57</v>
      </c>
      <c r="E10435" s="8">
        <v>0</v>
      </c>
      <c r="F10435" s="8">
        <v>0</v>
      </c>
      <c r="G10435" s="8">
        <v>7</v>
      </c>
      <c r="H10435" s="8" t="s">
        <v>46508</v>
      </c>
      <c r="I10435" s="8">
        <v>526.6875</v>
      </c>
      <c r="J10435" s="3">
        <f t="shared" si="163"/>
        <v>43749.241977800928</v>
      </c>
    </row>
    <row r="10436" spans="1:10" x14ac:dyDescent="0.25">
      <c r="A10436" s="5" t="s">
        <v>46509</v>
      </c>
      <c r="B10436" s="6">
        <v>393.75</v>
      </c>
      <c r="C10436" s="6">
        <v>20.478950000000001</v>
      </c>
      <c r="D10436" s="6">
        <v>56</v>
      </c>
      <c r="E10436" s="6">
        <v>0</v>
      </c>
      <c r="F10436" s="6">
        <v>0</v>
      </c>
      <c r="G10436" s="6">
        <v>0</v>
      </c>
      <c r="H10436" s="6" t="s">
        <v>46510</v>
      </c>
      <c r="I10436" s="6">
        <v>526.6875</v>
      </c>
      <c r="J10436" s="2">
        <f t="shared" si="163"/>
        <v>43749.242049502311</v>
      </c>
    </row>
    <row r="10437" spans="1:10" x14ac:dyDescent="0.25">
      <c r="A10437" s="7" t="s">
        <v>46511</v>
      </c>
      <c r="B10437" s="8">
        <v>393.75</v>
      </c>
      <c r="C10437" s="8">
        <v>20.478950000000001</v>
      </c>
      <c r="D10437" s="8">
        <v>56</v>
      </c>
      <c r="E10437" s="8">
        <v>0</v>
      </c>
      <c r="F10437" s="8">
        <v>0</v>
      </c>
      <c r="G10437" s="8">
        <v>8</v>
      </c>
      <c r="H10437" s="8" t="s">
        <v>46512</v>
      </c>
      <c r="I10437" s="8">
        <v>526.6875</v>
      </c>
      <c r="J10437" s="3">
        <f t="shared" si="163"/>
        <v>43749.242120937495</v>
      </c>
    </row>
    <row r="10438" spans="1:10" x14ac:dyDescent="0.25">
      <c r="A10438" s="5" t="s">
        <v>46513</v>
      </c>
      <c r="B10438" s="6">
        <v>393.75</v>
      </c>
      <c r="C10438" s="6">
        <v>20.478950000000001</v>
      </c>
      <c r="D10438" s="6">
        <v>56</v>
      </c>
      <c r="E10438" s="6">
        <v>0</v>
      </c>
      <c r="F10438" s="6">
        <v>0</v>
      </c>
      <c r="G10438" s="6">
        <v>14</v>
      </c>
      <c r="H10438" s="6" t="s">
        <v>46514</v>
      </c>
      <c r="I10438" s="6">
        <v>526.5</v>
      </c>
      <c r="J10438" s="2">
        <f t="shared" si="163"/>
        <v>43749.242228206022</v>
      </c>
    </row>
    <row r="10439" spans="1:10" x14ac:dyDescent="0.25">
      <c r="A10439" s="7" t="s">
        <v>46515</v>
      </c>
      <c r="B10439" s="8">
        <v>393.75</v>
      </c>
      <c r="C10439" s="8">
        <v>20.478950000000001</v>
      </c>
      <c r="D10439" s="8">
        <v>56</v>
      </c>
      <c r="E10439" s="8">
        <v>0</v>
      </c>
      <c r="F10439" s="8">
        <v>0</v>
      </c>
      <c r="G10439" s="8">
        <v>11</v>
      </c>
      <c r="H10439" s="8" t="s">
        <v>46516</v>
      </c>
      <c r="I10439" s="8">
        <v>526.6875</v>
      </c>
      <c r="J10439" s="3">
        <f t="shared" si="163"/>
        <v>43749.242299837955</v>
      </c>
    </row>
    <row r="10440" spans="1:10" x14ac:dyDescent="0.25">
      <c r="A10440" s="5" t="s">
        <v>46517</v>
      </c>
      <c r="B10440" s="6">
        <v>393.75</v>
      </c>
      <c r="C10440" s="6">
        <v>20.478950000000001</v>
      </c>
      <c r="D10440" s="6">
        <v>56</v>
      </c>
      <c r="E10440" s="6">
        <v>0</v>
      </c>
      <c r="F10440" s="6">
        <v>0</v>
      </c>
      <c r="G10440" s="6">
        <v>10</v>
      </c>
      <c r="H10440" s="6" t="s">
        <v>46518</v>
      </c>
      <c r="I10440" s="6">
        <v>526.6875</v>
      </c>
      <c r="J10440" s="2">
        <f t="shared" si="163"/>
        <v>43749.242370983797</v>
      </c>
    </row>
    <row r="10441" spans="1:10" x14ac:dyDescent="0.25">
      <c r="A10441" s="7" t="s">
        <v>46519</v>
      </c>
      <c r="B10441" s="8">
        <v>393.75</v>
      </c>
      <c r="C10441" s="8">
        <v>20.426300000000001</v>
      </c>
      <c r="D10441" s="8">
        <v>54</v>
      </c>
      <c r="E10441" s="8">
        <v>0</v>
      </c>
      <c r="F10441" s="8">
        <v>0</v>
      </c>
      <c r="G10441" s="8">
        <v>12</v>
      </c>
      <c r="H10441" s="8" t="s">
        <v>46520</v>
      </c>
      <c r="I10441" s="8">
        <v>526.6875</v>
      </c>
      <c r="J10441" s="3">
        <f t="shared" si="163"/>
        <v>43749.242454884261</v>
      </c>
    </row>
    <row r="10442" spans="1:10" x14ac:dyDescent="0.25">
      <c r="A10442" s="5" t="s">
        <v>46521</v>
      </c>
      <c r="B10442" s="6">
        <v>412.5</v>
      </c>
      <c r="C10442" s="6">
        <v>20.426300000000001</v>
      </c>
      <c r="D10442" s="6">
        <v>55</v>
      </c>
      <c r="E10442" s="6">
        <v>0</v>
      </c>
      <c r="F10442" s="6">
        <v>0</v>
      </c>
      <c r="G10442" s="6">
        <v>9</v>
      </c>
      <c r="H10442" s="6" t="s">
        <v>46522</v>
      </c>
      <c r="I10442" s="6">
        <v>532.125</v>
      </c>
      <c r="J10442" s="2">
        <f t="shared" si="163"/>
        <v>43749.242526458336</v>
      </c>
    </row>
    <row r="10443" spans="1:10" x14ac:dyDescent="0.25">
      <c r="A10443" s="7" t="s">
        <v>46523</v>
      </c>
      <c r="B10443" s="8">
        <v>393.75</v>
      </c>
      <c r="C10443" s="8">
        <v>20.426300000000001</v>
      </c>
      <c r="D10443" s="8">
        <v>56</v>
      </c>
      <c r="E10443" s="8">
        <v>0</v>
      </c>
      <c r="F10443" s="8">
        <v>0</v>
      </c>
      <c r="G10443" s="8">
        <v>7</v>
      </c>
      <c r="H10443" s="8" t="s">
        <v>46524</v>
      </c>
      <c r="I10443" s="8">
        <v>526.6875</v>
      </c>
      <c r="J10443" s="3">
        <f t="shared" si="163"/>
        <v>43749.242598217592</v>
      </c>
    </row>
    <row r="10444" spans="1:10" x14ac:dyDescent="0.25">
      <c r="A10444" s="5" t="s">
        <v>46525</v>
      </c>
      <c r="B10444" s="6">
        <v>393.75</v>
      </c>
      <c r="C10444" s="6">
        <v>20.426300000000001</v>
      </c>
      <c r="D10444" s="6">
        <v>55</v>
      </c>
      <c r="E10444" s="6">
        <v>0</v>
      </c>
      <c r="F10444" s="6">
        <v>0</v>
      </c>
      <c r="G10444" s="6">
        <v>12</v>
      </c>
      <c r="H10444" s="6" t="s">
        <v>46526</v>
      </c>
      <c r="I10444" s="6">
        <v>526.6875</v>
      </c>
      <c r="J10444" s="2">
        <f t="shared" si="163"/>
        <v>43749.242681493051</v>
      </c>
    </row>
    <row r="10445" spans="1:10" x14ac:dyDescent="0.25">
      <c r="A10445" s="7" t="s">
        <v>46527</v>
      </c>
      <c r="B10445" s="8">
        <v>393.75</v>
      </c>
      <c r="C10445" s="8">
        <v>20.478950000000001</v>
      </c>
      <c r="D10445" s="8">
        <v>55</v>
      </c>
      <c r="E10445" s="8">
        <v>0</v>
      </c>
      <c r="F10445" s="8">
        <v>0</v>
      </c>
      <c r="G10445" s="8">
        <v>11</v>
      </c>
      <c r="H10445" s="8" t="s">
        <v>46528</v>
      </c>
      <c r="I10445" s="8">
        <v>526.6875</v>
      </c>
      <c r="J10445" s="3">
        <f t="shared" si="163"/>
        <v>43749.242752592589</v>
      </c>
    </row>
    <row r="10446" spans="1:10" x14ac:dyDescent="0.25">
      <c r="A10446" s="5" t="s">
        <v>46529</v>
      </c>
      <c r="B10446" s="6">
        <v>396.875</v>
      </c>
      <c r="C10446" s="6">
        <v>20.478950000000001</v>
      </c>
      <c r="D10446" s="6">
        <v>55</v>
      </c>
      <c r="E10446" s="6">
        <v>0</v>
      </c>
      <c r="F10446" s="6">
        <v>0</v>
      </c>
      <c r="G10446" s="6">
        <v>8</v>
      </c>
      <c r="H10446" s="6" t="s">
        <v>46530</v>
      </c>
      <c r="I10446" s="6">
        <v>527.4375</v>
      </c>
      <c r="J10446" s="2">
        <f t="shared" si="163"/>
        <v>43749.242824444438</v>
      </c>
    </row>
    <row r="10447" spans="1:10" x14ac:dyDescent="0.25">
      <c r="A10447" s="7" t="s">
        <v>46531</v>
      </c>
      <c r="B10447" s="8">
        <v>396.875</v>
      </c>
      <c r="C10447" s="8">
        <v>20.478950000000001</v>
      </c>
      <c r="D10447" s="8">
        <v>55</v>
      </c>
      <c r="E10447" s="8">
        <v>0</v>
      </c>
      <c r="F10447" s="8">
        <v>0</v>
      </c>
      <c r="G10447" s="8">
        <v>8</v>
      </c>
      <c r="H10447" s="8" t="s">
        <v>46532</v>
      </c>
      <c r="I10447" s="8">
        <v>527.4375</v>
      </c>
      <c r="J10447" s="3">
        <f t="shared" si="163"/>
        <v>43749.242896319447</v>
      </c>
    </row>
    <row r="10448" spans="1:10" x14ac:dyDescent="0.25">
      <c r="A10448" s="5" t="s">
        <v>46533</v>
      </c>
      <c r="B10448" s="6">
        <v>400</v>
      </c>
      <c r="C10448" s="6">
        <v>20.478950000000001</v>
      </c>
      <c r="D10448" s="6">
        <v>55</v>
      </c>
      <c r="E10448" s="6">
        <v>0</v>
      </c>
      <c r="F10448" s="6">
        <v>0</v>
      </c>
      <c r="G10448" s="6">
        <v>14</v>
      </c>
      <c r="H10448" s="6" t="s">
        <v>46534</v>
      </c>
      <c r="I10448" s="6">
        <v>528.375</v>
      </c>
      <c r="J10448" s="2">
        <f t="shared" si="163"/>
        <v>43749.24296737268</v>
      </c>
    </row>
    <row r="10449" spans="1:10" x14ac:dyDescent="0.25">
      <c r="A10449" s="7" t="s">
        <v>46535</v>
      </c>
      <c r="B10449" s="8">
        <v>400</v>
      </c>
      <c r="C10449" s="8">
        <v>20.478950000000001</v>
      </c>
      <c r="D10449" s="8">
        <v>56</v>
      </c>
      <c r="E10449" s="8">
        <v>0</v>
      </c>
      <c r="F10449" s="8">
        <v>0</v>
      </c>
      <c r="G10449" s="8">
        <v>5</v>
      </c>
      <c r="H10449" s="8" t="s">
        <v>46536</v>
      </c>
      <c r="I10449" s="8">
        <v>528.1875</v>
      </c>
      <c r="J10449" s="3">
        <f t="shared" si="163"/>
        <v>43749.243039166664</v>
      </c>
    </row>
    <row r="10450" spans="1:10" x14ac:dyDescent="0.25">
      <c r="A10450" s="5" t="s">
        <v>46537</v>
      </c>
      <c r="B10450" s="6">
        <v>400</v>
      </c>
      <c r="C10450" s="6">
        <v>20.478950000000001</v>
      </c>
      <c r="D10450" s="6">
        <v>58</v>
      </c>
      <c r="E10450" s="6">
        <v>0</v>
      </c>
      <c r="F10450" s="6">
        <v>0</v>
      </c>
      <c r="G10450" s="6">
        <v>8</v>
      </c>
      <c r="H10450" s="6" t="s">
        <v>46538</v>
      </c>
      <c r="I10450" s="6">
        <v>528.1875</v>
      </c>
      <c r="J10450" s="2">
        <f t="shared" si="163"/>
        <v>43749.243110335643</v>
      </c>
    </row>
    <row r="10451" spans="1:10" x14ac:dyDescent="0.25">
      <c r="A10451" s="7" t="s">
        <v>46539</v>
      </c>
      <c r="B10451" s="8">
        <v>403.125</v>
      </c>
      <c r="C10451" s="8">
        <v>20.478950000000001</v>
      </c>
      <c r="D10451" s="8">
        <v>54</v>
      </c>
      <c r="E10451" s="8">
        <v>0</v>
      </c>
      <c r="F10451" s="8">
        <v>0</v>
      </c>
      <c r="G10451" s="8">
        <v>14</v>
      </c>
      <c r="H10451" s="8" t="s">
        <v>46540</v>
      </c>
      <c r="I10451" s="8">
        <v>529.125</v>
      </c>
      <c r="J10451" s="3">
        <f t="shared" si="163"/>
        <v>43749.243182939812</v>
      </c>
    </row>
    <row r="10452" spans="1:10" x14ac:dyDescent="0.25">
      <c r="A10452" s="5" t="s">
        <v>46541</v>
      </c>
      <c r="B10452" s="6">
        <v>400</v>
      </c>
      <c r="C10452" s="6">
        <v>20.478950000000001</v>
      </c>
      <c r="D10452" s="6">
        <v>54</v>
      </c>
      <c r="E10452" s="6">
        <v>0</v>
      </c>
      <c r="F10452" s="6">
        <v>0</v>
      </c>
      <c r="G10452" s="6">
        <v>10</v>
      </c>
      <c r="H10452" s="6" t="s">
        <v>46542</v>
      </c>
      <c r="I10452" s="6">
        <v>528.1875</v>
      </c>
      <c r="J10452" s="2">
        <f t="shared" si="163"/>
        <v>43749.243253877314</v>
      </c>
    </row>
    <row r="10453" spans="1:10" x14ac:dyDescent="0.25">
      <c r="A10453" s="7" t="s">
        <v>46543</v>
      </c>
      <c r="B10453" s="8">
        <v>400</v>
      </c>
      <c r="C10453" s="8">
        <v>20.426300000000001</v>
      </c>
      <c r="D10453" s="8">
        <v>56</v>
      </c>
      <c r="E10453" s="8">
        <v>0</v>
      </c>
      <c r="F10453" s="8">
        <v>0</v>
      </c>
      <c r="G10453" s="8">
        <v>4</v>
      </c>
      <c r="H10453" s="8" t="s">
        <v>46544</v>
      </c>
      <c r="I10453" s="8">
        <v>528.1875</v>
      </c>
      <c r="J10453" s="3">
        <f t="shared" si="163"/>
        <v>43749.243337245367</v>
      </c>
    </row>
    <row r="10454" spans="1:10" x14ac:dyDescent="0.25">
      <c r="A10454" s="5" t="s">
        <v>46545</v>
      </c>
      <c r="B10454" s="6">
        <v>396.875</v>
      </c>
      <c r="C10454" s="6">
        <v>20.478950000000001</v>
      </c>
      <c r="D10454" s="6">
        <v>55</v>
      </c>
      <c r="E10454" s="6">
        <v>0</v>
      </c>
      <c r="F10454" s="6">
        <v>0</v>
      </c>
      <c r="G10454" s="6">
        <v>5</v>
      </c>
      <c r="H10454" s="6" t="s">
        <v>46546</v>
      </c>
      <c r="I10454" s="6">
        <v>527.4375</v>
      </c>
      <c r="J10454" s="2">
        <f t="shared" si="163"/>
        <v>43749.243408692128</v>
      </c>
    </row>
    <row r="10455" spans="1:10" x14ac:dyDescent="0.25">
      <c r="A10455" s="7" t="s">
        <v>46547</v>
      </c>
      <c r="B10455" s="8">
        <v>396.875</v>
      </c>
      <c r="C10455" s="8">
        <v>20.478950000000001</v>
      </c>
      <c r="D10455" s="8">
        <v>56</v>
      </c>
      <c r="E10455" s="8">
        <v>0</v>
      </c>
      <c r="F10455" s="8">
        <v>0</v>
      </c>
      <c r="G10455" s="8">
        <v>12</v>
      </c>
      <c r="H10455" s="8" t="s">
        <v>46548</v>
      </c>
      <c r="I10455" s="8">
        <v>527.4375</v>
      </c>
      <c r="J10455" s="3">
        <f t="shared" si="163"/>
        <v>43749.243480439814</v>
      </c>
    </row>
    <row r="10456" spans="1:10" x14ac:dyDescent="0.25">
      <c r="A10456" s="5" t="s">
        <v>46549</v>
      </c>
      <c r="B10456" s="6">
        <v>396.875</v>
      </c>
      <c r="C10456" s="6">
        <v>20.426300000000001</v>
      </c>
      <c r="D10456" s="6">
        <v>56</v>
      </c>
      <c r="E10456" s="6">
        <v>0</v>
      </c>
      <c r="F10456" s="6">
        <v>0</v>
      </c>
      <c r="G10456" s="6">
        <v>4</v>
      </c>
      <c r="H10456" s="6" t="s">
        <v>46550</v>
      </c>
      <c r="I10456" s="6">
        <v>527.4375</v>
      </c>
      <c r="J10456" s="2">
        <f t="shared" si="163"/>
        <v>43749.243563564807</v>
      </c>
    </row>
    <row r="10457" spans="1:10" x14ac:dyDescent="0.25">
      <c r="A10457" s="7" t="s">
        <v>46551</v>
      </c>
      <c r="B10457" s="8">
        <v>396.875</v>
      </c>
      <c r="C10457" s="8">
        <v>20.478950000000001</v>
      </c>
      <c r="D10457" s="8">
        <v>56</v>
      </c>
      <c r="E10457" s="8">
        <v>0</v>
      </c>
      <c r="F10457" s="8">
        <v>0</v>
      </c>
      <c r="G10457" s="8">
        <v>4</v>
      </c>
      <c r="H10457" s="8" t="s">
        <v>46552</v>
      </c>
      <c r="I10457" s="8">
        <v>527.4375</v>
      </c>
      <c r="J10457" s="3">
        <f t="shared" si="163"/>
        <v>43749.243635335646</v>
      </c>
    </row>
    <row r="10458" spans="1:10" x14ac:dyDescent="0.25">
      <c r="A10458" s="5" t="s">
        <v>46553</v>
      </c>
      <c r="B10458" s="6">
        <v>396.875</v>
      </c>
      <c r="C10458" s="6">
        <v>20.426300000000001</v>
      </c>
      <c r="D10458" s="6">
        <v>56</v>
      </c>
      <c r="E10458" s="6">
        <v>0</v>
      </c>
      <c r="F10458" s="6">
        <v>0</v>
      </c>
      <c r="G10458" s="6">
        <v>5</v>
      </c>
      <c r="H10458" s="6" t="s">
        <v>46554</v>
      </c>
      <c r="I10458" s="6">
        <v>527.4375</v>
      </c>
      <c r="J10458" s="2">
        <f t="shared" si="163"/>
        <v>43749.243718900463</v>
      </c>
    </row>
    <row r="10459" spans="1:10" x14ac:dyDescent="0.25">
      <c r="A10459" s="7" t="s">
        <v>46555</v>
      </c>
      <c r="B10459" s="8">
        <v>396.875</v>
      </c>
      <c r="C10459" s="8">
        <v>20.426300000000001</v>
      </c>
      <c r="D10459" s="8">
        <v>56</v>
      </c>
      <c r="E10459" s="8">
        <v>0</v>
      </c>
      <c r="F10459" s="8">
        <v>0</v>
      </c>
      <c r="G10459" s="8">
        <v>6</v>
      </c>
      <c r="H10459" s="8" t="s">
        <v>46556</v>
      </c>
      <c r="I10459" s="8">
        <v>527.4375</v>
      </c>
      <c r="J10459" s="3">
        <f t="shared" si="163"/>
        <v>43749.243802372679</v>
      </c>
    </row>
    <row r="10460" spans="1:10" x14ac:dyDescent="0.25">
      <c r="A10460" s="5" t="s">
        <v>46557</v>
      </c>
      <c r="B10460" s="6">
        <v>400</v>
      </c>
      <c r="C10460" s="6">
        <v>20.426300000000001</v>
      </c>
      <c r="D10460" s="6">
        <v>58</v>
      </c>
      <c r="E10460" s="6">
        <v>0</v>
      </c>
      <c r="F10460" s="6">
        <v>0</v>
      </c>
      <c r="G10460" s="6">
        <v>15</v>
      </c>
      <c r="H10460" s="6" t="s">
        <v>46558</v>
      </c>
      <c r="I10460" s="6">
        <v>528.375</v>
      </c>
      <c r="J10460" s="2">
        <f t="shared" si="163"/>
        <v>43749.24387395833</v>
      </c>
    </row>
    <row r="10461" spans="1:10" x14ac:dyDescent="0.25">
      <c r="A10461" s="7" t="s">
        <v>46559</v>
      </c>
      <c r="B10461" s="8">
        <v>396.875</v>
      </c>
      <c r="C10461" s="8">
        <v>20.426300000000001</v>
      </c>
      <c r="D10461" s="8">
        <v>57</v>
      </c>
      <c r="E10461" s="8">
        <v>0</v>
      </c>
      <c r="F10461" s="8">
        <v>0</v>
      </c>
      <c r="G10461" s="8">
        <v>10</v>
      </c>
      <c r="H10461" s="8" t="s">
        <v>46560</v>
      </c>
      <c r="I10461" s="8">
        <v>527.4375</v>
      </c>
      <c r="J10461" s="3">
        <f t="shared" si="163"/>
        <v>43749.243945150462</v>
      </c>
    </row>
    <row r="10462" spans="1:10" x14ac:dyDescent="0.25">
      <c r="A10462" s="5" t="s">
        <v>46561</v>
      </c>
      <c r="B10462" s="6">
        <v>396.875</v>
      </c>
      <c r="C10462" s="6">
        <v>20.478950000000001</v>
      </c>
      <c r="D10462" s="6">
        <v>55</v>
      </c>
      <c r="E10462" s="6">
        <v>0</v>
      </c>
      <c r="F10462" s="6">
        <v>0</v>
      </c>
      <c r="G10462" s="6">
        <v>5</v>
      </c>
      <c r="H10462" s="6" t="s">
        <v>46562</v>
      </c>
      <c r="I10462" s="6">
        <v>527.4375</v>
      </c>
      <c r="J10462" s="2">
        <f t="shared" si="163"/>
        <v>43749.244016990742</v>
      </c>
    </row>
    <row r="10463" spans="1:10" x14ac:dyDescent="0.25">
      <c r="A10463" s="7" t="s">
        <v>46563</v>
      </c>
      <c r="B10463" s="8">
        <v>396.875</v>
      </c>
      <c r="C10463" s="8">
        <v>20.478950000000001</v>
      </c>
      <c r="D10463" s="8">
        <v>55</v>
      </c>
      <c r="E10463" s="8">
        <v>0</v>
      </c>
      <c r="F10463" s="8">
        <v>0</v>
      </c>
      <c r="G10463" s="8">
        <v>5</v>
      </c>
      <c r="H10463" s="8" t="s">
        <v>46564</v>
      </c>
      <c r="I10463" s="8">
        <v>527.25</v>
      </c>
      <c r="J10463" s="3">
        <f t="shared" si="163"/>
        <v>43749.244088587962</v>
      </c>
    </row>
    <row r="10464" spans="1:10" x14ac:dyDescent="0.25">
      <c r="A10464" s="5" t="s">
        <v>46565</v>
      </c>
      <c r="B10464" s="6">
        <v>396.875</v>
      </c>
      <c r="C10464" s="6">
        <v>20.478950000000001</v>
      </c>
      <c r="D10464" s="6">
        <v>56</v>
      </c>
      <c r="E10464" s="6">
        <v>0</v>
      </c>
      <c r="F10464" s="6">
        <v>0</v>
      </c>
      <c r="G10464" s="6">
        <v>8</v>
      </c>
      <c r="H10464" s="6" t="s">
        <v>46566</v>
      </c>
      <c r="I10464" s="6">
        <v>527.4375</v>
      </c>
      <c r="J10464" s="2">
        <f t="shared" si="163"/>
        <v>43749.244159953705</v>
      </c>
    </row>
    <row r="10465" spans="1:10" x14ac:dyDescent="0.25">
      <c r="A10465" s="7" t="s">
        <v>46567</v>
      </c>
      <c r="B10465" s="8">
        <v>393.75</v>
      </c>
      <c r="C10465" s="8">
        <v>20.478950000000001</v>
      </c>
      <c r="D10465" s="8">
        <v>55</v>
      </c>
      <c r="E10465" s="8">
        <v>0</v>
      </c>
      <c r="F10465" s="8">
        <v>0</v>
      </c>
      <c r="G10465" s="8">
        <v>9</v>
      </c>
      <c r="H10465" s="8" t="s">
        <v>46568</v>
      </c>
      <c r="I10465" s="8">
        <v>526.6875</v>
      </c>
      <c r="J10465" s="3">
        <f t="shared" si="163"/>
        <v>43749.244231724537</v>
      </c>
    </row>
    <row r="10466" spans="1:10" x14ac:dyDescent="0.25">
      <c r="A10466" s="5" t="s">
        <v>46569</v>
      </c>
      <c r="B10466" s="6">
        <v>393.75</v>
      </c>
      <c r="C10466" s="6">
        <v>20.478950000000001</v>
      </c>
      <c r="D10466" s="6">
        <v>55</v>
      </c>
      <c r="E10466" s="6">
        <v>0</v>
      </c>
      <c r="F10466" s="6">
        <v>0</v>
      </c>
      <c r="G10466" s="6">
        <v>11</v>
      </c>
      <c r="H10466" s="6" t="s">
        <v>46570</v>
      </c>
      <c r="I10466" s="6">
        <v>526.6875</v>
      </c>
      <c r="J10466" s="2">
        <f t="shared" si="163"/>
        <v>43749.244315231481</v>
      </c>
    </row>
    <row r="10467" spans="1:10" x14ac:dyDescent="0.25">
      <c r="A10467" s="7" t="s">
        <v>46571</v>
      </c>
      <c r="B10467" s="8">
        <v>393.75</v>
      </c>
      <c r="C10467" s="8">
        <v>20.478950000000001</v>
      </c>
      <c r="D10467" s="8">
        <v>62</v>
      </c>
      <c r="E10467" s="8">
        <v>0</v>
      </c>
      <c r="F10467" s="8">
        <v>0</v>
      </c>
      <c r="G10467" s="8">
        <v>0</v>
      </c>
      <c r="H10467" s="8" t="s">
        <v>46572</v>
      </c>
      <c r="I10467" s="8">
        <v>526.6875</v>
      </c>
      <c r="J10467" s="3">
        <f t="shared" si="163"/>
        <v>43749.244592708332</v>
      </c>
    </row>
    <row r="10468" spans="1:10" x14ac:dyDescent="0.25">
      <c r="A10468" s="5" t="s">
        <v>46573</v>
      </c>
      <c r="B10468" s="6">
        <v>396.875</v>
      </c>
      <c r="C10468" s="6">
        <v>20.478950000000001</v>
      </c>
      <c r="D10468" s="6">
        <v>62</v>
      </c>
      <c r="E10468" s="6">
        <v>0</v>
      </c>
      <c r="F10468" s="6">
        <v>0</v>
      </c>
      <c r="G10468" s="6">
        <v>0</v>
      </c>
      <c r="H10468" s="6" t="s">
        <v>46574</v>
      </c>
      <c r="I10468" s="6">
        <v>527.4375</v>
      </c>
      <c r="J10468" s="2">
        <f t="shared" si="163"/>
        <v>43749.24466369213</v>
      </c>
    </row>
    <row r="10469" spans="1:10" x14ac:dyDescent="0.25">
      <c r="A10469" s="7" t="s">
        <v>46575</v>
      </c>
      <c r="B10469" s="8">
        <v>415.625</v>
      </c>
      <c r="C10469" s="8">
        <v>20.478950000000001</v>
      </c>
      <c r="D10469" s="8">
        <v>62</v>
      </c>
      <c r="E10469" s="8">
        <v>0</v>
      </c>
      <c r="F10469" s="8">
        <v>0</v>
      </c>
      <c r="G10469" s="8">
        <v>0</v>
      </c>
      <c r="H10469" s="8" t="s">
        <v>46576</v>
      </c>
      <c r="I10469" s="8">
        <v>533.0625</v>
      </c>
      <c r="J10469" s="3">
        <f t="shared" si="163"/>
        <v>43749.244735277774</v>
      </c>
    </row>
    <row r="10470" spans="1:10" x14ac:dyDescent="0.25">
      <c r="A10470" s="5" t="s">
        <v>46577</v>
      </c>
      <c r="B10470" s="6">
        <v>396.875</v>
      </c>
      <c r="C10470" s="6">
        <v>20.478950000000001</v>
      </c>
      <c r="D10470" s="6">
        <v>59</v>
      </c>
      <c r="E10470" s="6">
        <v>0</v>
      </c>
      <c r="F10470" s="6">
        <v>0</v>
      </c>
      <c r="G10470" s="6">
        <v>10</v>
      </c>
      <c r="H10470" s="6" t="s">
        <v>46578</v>
      </c>
      <c r="I10470" s="6">
        <v>527.4375</v>
      </c>
      <c r="J10470" s="2">
        <f t="shared" si="163"/>
        <v>43749.244818784719</v>
      </c>
    </row>
    <row r="10471" spans="1:10" x14ac:dyDescent="0.25">
      <c r="A10471" s="7" t="s">
        <v>46579</v>
      </c>
      <c r="B10471" s="8">
        <v>400</v>
      </c>
      <c r="C10471" s="8">
        <v>20.426300000000001</v>
      </c>
      <c r="D10471" s="8">
        <v>59</v>
      </c>
      <c r="E10471" s="8">
        <v>0</v>
      </c>
      <c r="F10471" s="8">
        <v>0</v>
      </c>
      <c r="G10471" s="8">
        <v>11</v>
      </c>
      <c r="H10471" s="8" t="s">
        <v>46580</v>
      </c>
      <c r="I10471" s="8">
        <v>528.375</v>
      </c>
      <c r="J10471" s="3">
        <f t="shared" si="163"/>
        <v>43749.244902245373</v>
      </c>
    </row>
    <row r="10472" spans="1:10" x14ac:dyDescent="0.25">
      <c r="A10472" s="5" t="s">
        <v>46581</v>
      </c>
      <c r="B10472" s="6">
        <v>403.125</v>
      </c>
      <c r="C10472" s="6">
        <v>20.478950000000001</v>
      </c>
      <c r="D10472" s="6">
        <v>58</v>
      </c>
      <c r="E10472" s="6">
        <v>0</v>
      </c>
      <c r="F10472" s="6">
        <v>0</v>
      </c>
      <c r="G10472" s="6">
        <v>0</v>
      </c>
      <c r="H10472" s="6" t="s">
        <v>46582</v>
      </c>
      <c r="I10472" s="6">
        <v>529.125</v>
      </c>
      <c r="J10472" s="2">
        <f t="shared" si="163"/>
        <v>43749.244985682868</v>
      </c>
    </row>
    <row r="10473" spans="1:10" x14ac:dyDescent="0.25">
      <c r="A10473" s="7" t="s">
        <v>46583</v>
      </c>
      <c r="B10473" s="8">
        <v>403.125</v>
      </c>
      <c r="C10473" s="8">
        <v>20.478950000000001</v>
      </c>
      <c r="D10473" s="8">
        <v>57</v>
      </c>
      <c r="E10473" s="8">
        <v>0</v>
      </c>
      <c r="F10473" s="8">
        <v>0</v>
      </c>
      <c r="G10473" s="8">
        <v>5</v>
      </c>
      <c r="H10473" s="8" t="s">
        <v>46584</v>
      </c>
      <c r="I10473" s="8">
        <v>529.125</v>
      </c>
      <c r="J10473" s="3">
        <f t="shared" si="163"/>
        <v>43749.245069074073</v>
      </c>
    </row>
    <row r="10474" spans="1:10" x14ac:dyDescent="0.25">
      <c r="A10474" s="5" t="s">
        <v>46585</v>
      </c>
      <c r="B10474" s="6">
        <v>421.875</v>
      </c>
      <c r="C10474" s="6">
        <v>20.478950000000001</v>
      </c>
      <c r="D10474" s="6">
        <v>55</v>
      </c>
      <c r="E10474" s="6">
        <v>0</v>
      </c>
      <c r="F10474" s="6">
        <v>0</v>
      </c>
      <c r="G10474" s="6">
        <v>9</v>
      </c>
      <c r="H10474" s="6" t="s">
        <v>46586</v>
      </c>
      <c r="I10474" s="6">
        <v>535.6875</v>
      </c>
      <c r="J10474" s="2">
        <f t="shared" si="163"/>
        <v>43749.245152569441</v>
      </c>
    </row>
    <row r="10475" spans="1:10" x14ac:dyDescent="0.25">
      <c r="A10475" s="7" t="s">
        <v>46587</v>
      </c>
      <c r="B10475" s="8">
        <v>403.125</v>
      </c>
      <c r="C10475" s="8">
        <v>20.478950000000001</v>
      </c>
      <c r="D10475" s="8">
        <v>54</v>
      </c>
      <c r="E10475" s="8">
        <v>0</v>
      </c>
      <c r="F10475" s="8">
        <v>0</v>
      </c>
      <c r="G10475" s="8">
        <v>5</v>
      </c>
      <c r="H10475" s="8" t="s">
        <v>46588</v>
      </c>
      <c r="I10475" s="8">
        <v>529.875</v>
      </c>
      <c r="J10475" s="3">
        <f t="shared" si="163"/>
        <v>43749.245224155085</v>
      </c>
    </row>
    <row r="10476" spans="1:10" x14ac:dyDescent="0.25">
      <c r="A10476" s="5" t="s">
        <v>46589</v>
      </c>
      <c r="B10476" s="6">
        <v>403.125</v>
      </c>
      <c r="C10476" s="6">
        <v>20.478950000000001</v>
      </c>
      <c r="D10476" s="6">
        <v>54</v>
      </c>
      <c r="E10476" s="6">
        <v>0</v>
      </c>
      <c r="F10476" s="6">
        <v>0</v>
      </c>
      <c r="G10476" s="6">
        <v>15</v>
      </c>
      <c r="H10476" s="6" t="s">
        <v>46590</v>
      </c>
      <c r="I10476" s="6">
        <v>529.125</v>
      </c>
      <c r="J10476" s="2">
        <f t="shared" si="163"/>
        <v>43749.245307581012</v>
      </c>
    </row>
    <row r="10477" spans="1:10" x14ac:dyDescent="0.25">
      <c r="A10477" s="7" t="s">
        <v>46591</v>
      </c>
      <c r="B10477" s="8">
        <v>403.125</v>
      </c>
      <c r="C10477" s="8">
        <v>20.478950000000001</v>
      </c>
      <c r="D10477" s="8">
        <v>53</v>
      </c>
      <c r="E10477" s="8">
        <v>0</v>
      </c>
      <c r="F10477" s="8">
        <v>0</v>
      </c>
      <c r="G10477" s="8">
        <v>9</v>
      </c>
      <c r="H10477" s="8" t="s">
        <v>46592</v>
      </c>
      <c r="I10477" s="8">
        <v>529.125</v>
      </c>
      <c r="J10477" s="3">
        <f t="shared" si="163"/>
        <v>43749.245391076387</v>
      </c>
    </row>
    <row r="10478" spans="1:10" x14ac:dyDescent="0.25">
      <c r="A10478" s="5" t="s">
        <v>46593</v>
      </c>
      <c r="B10478" s="6">
        <v>403.125</v>
      </c>
      <c r="C10478" s="6">
        <v>20.426300000000001</v>
      </c>
      <c r="D10478" s="6">
        <v>53</v>
      </c>
      <c r="E10478" s="6">
        <v>0</v>
      </c>
      <c r="F10478" s="6">
        <v>0</v>
      </c>
      <c r="G10478" s="6">
        <v>3</v>
      </c>
      <c r="H10478" s="6" t="s">
        <v>46594</v>
      </c>
      <c r="I10478" s="6">
        <v>529.875</v>
      </c>
      <c r="J10478" s="2">
        <f t="shared" si="163"/>
        <v>43749.245462777777</v>
      </c>
    </row>
    <row r="10479" spans="1:10" x14ac:dyDescent="0.25">
      <c r="A10479" s="7" t="s">
        <v>46595</v>
      </c>
      <c r="B10479" s="8">
        <v>403.125</v>
      </c>
      <c r="C10479" s="8">
        <v>20.478950000000001</v>
      </c>
      <c r="D10479" s="8">
        <v>55</v>
      </c>
      <c r="E10479" s="8">
        <v>0</v>
      </c>
      <c r="F10479" s="8">
        <v>0</v>
      </c>
      <c r="G10479" s="8">
        <v>9</v>
      </c>
      <c r="H10479" s="8" t="s">
        <v>46596</v>
      </c>
      <c r="I10479" s="8">
        <v>529.875</v>
      </c>
      <c r="J10479" s="3">
        <f t="shared" si="163"/>
        <v>43749.245546168975</v>
      </c>
    </row>
    <row r="10480" spans="1:10" x14ac:dyDescent="0.25">
      <c r="A10480" s="5" t="s">
        <v>46597</v>
      </c>
      <c r="B10480" s="6">
        <v>400</v>
      </c>
      <c r="C10480" s="6">
        <v>20.478950000000001</v>
      </c>
      <c r="D10480" s="6">
        <v>54</v>
      </c>
      <c r="E10480" s="6">
        <v>0</v>
      </c>
      <c r="F10480" s="6">
        <v>0</v>
      </c>
      <c r="G10480" s="6">
        <v>0</v>
      </c>
      <c r="H10480" s="6" t="s">
        <v>46598</v>
      </c>
      <c r="I10480" s="6">
        <v>528.9375</v>
      </c>
      <c r="J10480" s="2">
        <f t="shared" si="163"/>
        <v>43749.245629629622</v>
      </c>
    </row>
    <row r="10481" spans="1:10" x14ac:dyDescent="0.25">
      <c r="A10481" s="7" t="s">
        <v>46599</v>
      </c>
      <c r="B10481" s="8">
        <v>400</v>
      </c>
      <c r="C10481" s="8">
        <v>20.478950000000001</v>
      </c>
      <c r="D10481" s="8">
        <v>54</v>
      </c>
      <c r="E10481" s="8">
        <v>0</v>
      </c>
      <c r="F10481" s="8">
        <v>0</v>
      </c>
      <c r="G10481" s="8">
        <v>9</v>
      </c>
      <c r="H10481" s="8" t="s">
        <v>46600</v>
      </c>
      <c r="I10481" s="8">
        <v>528.9375</v>
      </c>
      <c r="J10481" s="3">
        <f t="shared" si="163"/>
        <v>43749.245701481479</v>
      </c>
    </row>
    <row r="10482" spans="1:10" x14ac:dyDescent="0.25">
      <c r="A10482" s="5" t="s">
        <v>46601</v>
      </c>
      <c r="B10482" s="6">
        <v>403.125</v>
      </c>
      <c r="C10482" s="6">
        <v>20.478950000000001</v>
      </c>
      <c r="D10482" s="6">
        <v>56</v>
      </c>
      <c r="E10482" s="6">
        <v>0</v>
      </c>
      <c r="F10482" s="6">
        <v>0</v>
      </c>
      <c r="G10482" s="6">
        <v>7</v>
      </c>
      <c r="H10482" s="6" t="s">
        <v>46602</v>
      </c>
      <c r="I10482" s="6">
        <v>529.125</v>
      </c>
      <c r="J10482" s="2">
        <f t="shared" si="163"/>
        <v>43749.245772800925</v>
      </c>
    </row>
    <row r="10483" spans="1:10" x14ac:dyDescent="0.25">
      <c r="A10483" s="7" t="s">
        <v>46603</v>
      </c>
      <c r="B10483" s="8">
        <v>403.125</v>
      </c>
      <c r="C10483" s="8">
        <v>20.426300000000001</v>
      </c>
      <c r="D10483" s="8">
        <v>55</v>
      </c>
      <c r="E10483" s="8">
        <v>0</v>
      </c>
      <c r="F10483" s="8">
        <v>0</v>
      </c>
      <c r="G10483" s="8">
        <v>8</v>
      </c>
      <c r="H10483" s="8" t="s">
        <v>46604</v>
      </c>
      <c r="I10483" s="8">
        <v>529.875</v>
      </c>
      <c r="J10483" s="3">
        <f t="shared" si="163"/>
        <v>43749.24585619213</v>
      </c>
    </row>
    <row r="10484" spans="1:10" x14ac:dyDescent="0.25">
      <c r="A10484" s="5" t="s">
        <v>46605</v>
      </c>
      <c r="B10484" s="6">
        <v>403.125</v>
      </c>
      <c r="C10484" s="6">
        <v>20.478950000000001</v>
      </c>
      <c r="D10484" s="6">
        <v>55</v>
      </c>
      <c r="E10484" s="6">
        <v>0</v>
      </c>
      <c r="F10484" s="6">
        <v>0</v>
      </c>
      <c r="G10484" s="6">
        <v>8</v>
      </c>
      <c r="H10484" s="6" t="s">
        <v>46606</v>
      </c>
      <c r="I10484" s="6">
        <v>529.875</v>
      </c>
      <c r="J10484" s="2">
        <f t="shared" si="163"/>
        <v>43749.245939837965</v>
      </c>
    </row>
    <row r="10485" spans="1:10" x14ac:dyDescent="0.25">
      <c r="A10485" s="7" t="s">
        <v>46607</v>
      </c>
      <c r="B10485" s="8">
        <v>406.25</v>
      </c>
      <c r="C10485" s="8">
        <v>20.426300000000001</v>
      </c>
      <c r="D10485" s="8">
        <v>55</v>
      </c>
      <c r="E10485" s="8">
        <v>0</v>
      </c>
      <c r="F10485" s="8">
        <v>0</v>
      </c>
      <c r="G10485" s="8">
        <v>0</v>
      </c>
      <c r="H10485" s="8" t="s">
        <v>46608</v>
      </c>
      <c r="I10485" s="8">
        <v>530.625</v>
      </c>
      <c r="J10485" s="3">
        <f t="shared" si="163"/>
        <v>43749.246035127311</v>
      </c>
    </row>
    <row r="10486" spans="1:10" x14ac:dyDescent="0.25">
      <c r="A10486" s="5" t="s">
        <v>46609</v>
      </c>
      <c r="B10486" s="6">
        <v>406.25</v>
      </c>
      <c r="C10486" s="6">
        <v>20.478950000000001</v>
      </c>
      <c r="D10486" s="6">
        <v>55</v>
      </c>
      <c r="E10486" s="6">
        <v>0</v>
      </c>
      <c r="F10486" s="6">
        <v>0</v>
      </c>
      <c r="G10486" s="6">
        <v>10</v>
      </c>
      <c r="H10486" s="6" t="s">
        <v>46610</v>
      </c>
      <c r="I10486" s="6">
        <v>530.625</v>
      </c>
      <c r="J10486" s="2">
        <f t="shared" si="163"/>
        <v>43749.246118726849</v>
      </c>
    </row>
    <row r="10487" spans="1:10" x14ac:dyDescent="0.25">
      <c r="A10487" s="7" t="s">
        <v>46611</v>
      </c>
      <c r="B10487" s="8">
        <v>425</v>
      </c>
      <c r="C10487" s="8">
        <v>20.478950000000001</v>
      </c>
      <c r="D10487" s="8">
        <v>55</v>
      </c>
      <c r="E10487" s="8">
        <v>0</v>
      </c>
      <c r="F10487" s="8">
        <v>0</v>
      </c>
      <c r="G10487" s="8">
        <v>8</v>
      </c>
      <c r="H10487" s="8" t="s">
        <v>46612</v>
      </c>
      <c r="I10487" s="8">
        <v>536.25</v>
      </c>
      <c r="J10487" s="3">
        <f t="shared" si="163"/>
        <v>43749.246189664351</v>
      </c>
    </row>
    <row r="10488" spans="1:10" x14ac:dyDescent="0.25">
      <c r="A10488" s="5" t="s">
        <v>46613</v>
      </c>
      <c r="B10488" s="6">
        <v>406.25</v>
      </c>
      <c r="C10488" s="6">
        <v>20.478950000000001</v>
      </c>
      <c r="D10488" s="6">
        <v>54</v>
      </c>
      <c r="E10488" s="6">
        <v>0</v>
      </c>
      <c r="F10488" s="6">
        <v>0</v>
      </c>
      <c r="G10488" s="6">
        <v>6</v>
      </c>
      <c r="H10488" s="6" t="s">
        <v>46614</v>
      </c>
      <c r="I10488" s="6">
        <v>530.8125</v>
      </c>
      <c r="J10488" s="2">
        <f t="shared" si="163"/>
        <v>43749.246261840271</v>
      </c>
    </row>
    <row r="10489" spans="1:10" x14ac:dyDescent="0.25">
      <c r="A10489" s="7" t="s">
        <v>46615</v>
      </c>
      <c r="B10489" s="8">
        <v>406.25</v>
      </c>
      <c r="C10489" s="8">
        <v>20.426300000000001</v>
      </c>
      <c r="D10489" s="8">
        <v>54</v>
      </c>
      <c r="E10489" s="8">
        <v>0</v>
      </c>
      <c r="F10489" s="8">
        <v>0</v>
      </c>
      <c r="G10489" s="8">
        <v>0</v>
      </c>
      <c r="H10489" s="8" t="s">
        <v>46616</v>
      </c>
      <c r="I10489" s="8">
        <v>530.625</v>
      </c>
      <c r="J10489" s="3">
        <f t="shared" si="163"/>
        <v>43749.246345254629</v>
      </c>
    </row>
    <row r="10490" spans="1:10" x14ac:dyDescent="0.25">
      <c r="A10490" s="5" t="s">
        <v>46617</v>
      </c>
      <c r="B10490" s="6">
        <v>434.375</v>
      </c>
      <c r="C10490" s="6">
        <v>20.478950000000001</v>
      </c>
      <c r="D10490" s="6">
        <v>54</v>
      </c>
      <c r="E10490" s="6">
        <v>0</v>
      </c>
      <c r="F10490" s="6">
        <v>0</v>
      </c>
      <c r="G10490" s="6">
        <v>16</v>
      </c>
      <c r="H10490" s="6" t="s">
        <v>46618</v>
      </c>
      <c r="I10490" s="6">
        <v>539.8125</v>
      </c>
      <c r="J10490" s="2">
        <f t="shared" si="163"/>
        <v>43749.246428773149</v>
      </c>
    </row>
    <row r="10491" spans="1:10" x14ac:dyDescent="0.25">
      <c r="A10491" s="7" t="s">
        <v>46619</v>
      </c>
      <c r="B10491" s="8">
        <v>403.125</v>
      </c>
      <c r="C10491" s="8">
        <v>20.478950000000001</v>
      </c>
      <c r="D10491" s="8">
        <v>54</v>
      </c>
      <c r="E10491" s="8">
        <v>0</v>
      </c>
      <c r="F10491" s="8">
        <v>0</v>
      </c>
      <c r="G10491" s="8">
        <v>5</v>
      </c>
      <c r="H10491" s="8" t="s">
        <v>46620</v>
      </c>
      <c r="I10491" s="8">
        <v>529.875</v>
      </c>
      <c r="J10491" s="3">
        <f t="shared" si="163"/>
        <v>43749.246511898142</v>
      </c>
    </row>
    <row r="10492" spans="1:10" x14ac:dyDescent="0.25">
      <c r="A10492" s="5" t="s">
        <v>46621</v>
      </c>
      <c r="B10492" s="6">
        <v>403.125</v>
      </c>
      <c r="C10492" s="6">
        <v>20.426300000000001</v>
      </c>
      <c r="D10492" s="6">
        <v>54</v>
      </c>
      <c r="E10492" s="6">
        <v>0</v>
      </c>
      <c r="F10492" s="6">
        <v>0</v>
      </c>
      <c r="G10492" s="6">
        <v>7</v>
      </c>
      <c r="H10492" s="6" t="s">
        <v>46622</v>
      </c>
      <c r="I10492" s="6">
        <v>529.875</v>
      </c>
      <c r="J10492" s="2">
        <f t="shared" si="163"/>
        <v>43749.246583611108</v>
      </c>
    </row>
    <row r="10493" spans="1:10" x14ac:dyDescent="0.25">
      <c r="A10493" s="7" t="s">
        <v>46623</v>
      </c>
      <c r="B10493" s="8">
        <v>400</v>
      </c>
      <c r="C10493" s="8">
        <v>20.478950000000001</v>
      </c>
      <c r="D10493" s="8">
        <v>56</v>
      </c>
      <c r="E10493" s="8">
        <v>0</v>
      </c>
      <c r="F10493" s="8">
        <v>0</v>
      </c>
      <c r="G10493" s="8">
        <v>11</v>
      </c>
      <c r="H10493" s="8" t="s">
        <v>46624</v>
      </c>
      <c r="I10493" s="8">
        <v>528.9375</v>
      </c>
      <c r="J10493" s="3">
        <f t="shared" si="163"/>
        <v>43749.246667418978</v>
      </c>
    </row>
    <row r="10494" spans="1:10" x14ac:dyDescent="0.25">
      <c r="A10494" s="5" t="s">
        <v>46625</v>
      </c>
      <c r="B10494" s="6">
        <v>400</v>
      </c>
      <c r="C10494" s="6">
        <v>20.426300000000001</v>
      </c>
      <c r="D10494" s="6">
        <v>54</v>
      </c>
      <c r="E10494" s="6">
        <v>0</v>
      </c>
      <c r="F10494" s="6">
        <v>0</v>
      </c>
      <c r="G10494" s="6">
        <v>12</v>
      </c>
      <c r="H10494" s="6" t="s">
        <v>46626</v>
      </c>
      <c r="I10494" s="6">
        <v>528.375</v>
      </c>
      <c r="J10494" s="2">
        <f t="shared" si="163"/>
        <v>43749.246751134262</v>
      </c>
    </row>
    <row r="10495" spans="1:10" x14ac:dyDescent="0.25">
      <c r="A10495" s="7" t="s">
        <v>46627</v>
      </c>
      <c r="B10495" s="8">
        <v>400</v>
      </c>
      <c r="C10495" s="8">
        <v>20.478950000000001</v>
      </c>
      <c r="D10495" s="8">
        <v>54</v>
      </c>
      <c r="E10495" s="8">
        <v>0</v>
      </c>
      <c r="F10495" s="8">
        <v>0</v>
      </c>
      <c r="G10495" s="8">
        <v>8</v>
      </c>
      <c r="H10495" s="8" t="s">
        <v>46628</v>
      </c>
      <c r="I10495" s="8">
        <v>528.1875</v>
      </c>
      <c r="J10495" s="3">
        <f t="shared" si="163"/>
        <v>43749.246833969904</v>
      </c>
    </row>
    <row r="10496" spans="1:10" x14ac:dyDescent="0.25">
      <c r="A10496" s="5" t="s">
        <v>46629</v>
      </c>
      <c r="B10496" s="6">
        <v>396.875</v>
      </c>
      <c r="C10496" s="6">
        <v>20.478950000000001</v>
      </c>
      <c r="D10496" s="6">
        <v>53</v>
      </c>
      <c r="E10496" s="6">
        <v>0</v>
      </c>
      <c r="F10496" s="6">
        <v>0</v>
      </c>
      <c r="G10496" s="6">
        <v>7</v>
      </c>
      <c r="H10496" s="6" t="s">
        <v>46630</v>
      </c>
      <c r="I10496" s="6">
        <v>527.4375</v>
      </c>
      <c r="J10496" s="2">
        <f t="shared" si="163"/>
        <v>43749.246905752312</v>
      </c>
    </row>
    <row r="10497" spans="1:10" x14ac:dyDescent="0.25">
      <c r="A10497" s="7" t="s">
        <v>46631</v>
      </c>
      <c r="B10497" s="8">
        <v>396.875</v>
      </c>
      <c r="C10497" s="8">
        <v>20.478950000000001</v>
      </c>
      <c r="D10497" s="8">
        <v>56</v>
      </c>
      <c r="E10497" s="8">
        <v>0</v>
      </c>
      <c r="F10497" s="8">
        <v>0</v>
      </c>
      <c r="G10497" s="8">
        <v>10</v>
      </c>
      <c r="H10497" s="8" t="s">
        <v>46632</v>
      </c>
      <c r="I10497" s="8">
        <v>527.4375</v>
      </c>
      <c r="J10497" s="3">
        <f t="shared" si="163"/>
        <v>43749.246989201383</v>
      </c>
    </row>
    <row r="10498" spans="1:10" x14ac:dyDescent="0.25">
      <c r="A10498" s="5" t="s">
        <v>46633</v>
      </c>
      <c r="B10498" s="6">
        <v>415.625</v>
      </c>
      <c r="C10498" s="6">
        <v>20.426300000000001</v>
      </c>
      <c r="D10498" s="6">
        <v>56</v>
      </c>
      <c r="E10498" s="6">
        <v>0</v>
      </c>
      <c r="F10498" s="6">
        <v>0</v>
      </c>
      <c r="G10498" s="6">
        <v>11</v>
      </c>
      <c r="H10498" s="6" t="s">
        <v>46634</v>
      </c>
      <c r="I10498" s="6">
        <v>533.0625</v>
      </c>
      <c r="J10498" s="2">
        <f t="shared" ref="J10498:J10561" si="164">(H10498/86400000)+25569+(7/24)</f>
        <v>43749.247072708335</v>
      </c>
    </row>
    <row r="10499" spans="1:10" x14ac:dyDescent="0.25">
      <c r="A10499" s="7" t="s">
        <v>46635</v>
      </c>
      <c r="B10499" s="8">
        <v>396.875</v>
      </c>
      <c r="C10499" s="8">
        <v>20.426300000000001</v>
      </c>
      <c r="D10499" s="8">
        <v>57</v>
      </c>
      <c r="E10499" s="8">
        <v>0</v>
      </c>
      <c r="F10499" s="8">
        <v>0</v>
      </c>
      <c r="G10499" s="8">
        <v>6</v>
      </c>
      <c r="H10499" s="8" t="s">
        <v>46636</v>
      </c>
      <c r="I10499" s="8">
        <v>527.4375</v>
      </c>
      <c r="J10499" s="3">
        <f t="shared" si="164"/>
        <v>43749.247156192127</v>
      </c>
    </row>
    <row r="10500" spans="1:10" x14ac:dyDescent="0.25">
      <c r="A10500" s="5" t="s">
        <v>46637</v>
      </c>
      <c r="B10500" s="6">
        <v>396.875</v>
      </c>
      <c r="C10500" s="6">
        <v>20.426300000000001</v>
      </c>
      <c r="D10500" s="6">
        <v>57</v>
      </c>
      <c r="E10500" s="6">
        <v>0</v>
      </c>
      <c r="F10500" s="6">
        <v>0</v>
      </c>
      <c r="G10500" s="6">
        <v>14</v>
      </c>
      <c r="H10500" s="6" t="s">
        <v>46638</v>
      </c>
      <c r="I10500" s="6">
        <v>527.4375</v>
      </c>
      <c r="J10500" s="2">
        <f t="shared" si="164"/>
        <v>43749.247227743057</v>
      </c>
    </row>
    <row r="10501" spans="1:10" x14ac:dyDescent="0.25">
      <c r="A10501" s="7" t="s">
        <v>46639</v>
      </c>
      <c r="B10501" s="8">
        <v>396.875</v>
      </c>
      <c r="C10501" s="8">
        <v>20.426300000000001</v>
      </c>
      <c r="D10501" s="8">
        <v>57</v>
      </c>
      <c r="E10501" s="8">
        <v>0</v>
      </c>
      <c r="F10501" s="8">
        <v>0</v>
      </c>
      <c r="G10501" s="8">
        <v>12</v>
      </c>
      <c r="H10501" s="8" t="s">
        <v>46640</v>
      </c>
      <c r="I10501" s="8">
        <v>527.4375</v>
      </c>
      <c r="J10501" s="3">
        <f t="shared" si="164"/>
        <v>43749.24732292824</v>
      </c>
    </row>
    <row r="10502" spans="1:10" x14ac:dyDescent="0.25">
      <c r="A10502" s="5" t="s">
        <v>46641</v>
      </c>
      <c r="B10502" s="6">
        <v>396.875</v>
      </c>
      <c r="C10502" s="6">
        <v>20.426300000000001</v>
      </c>
      <c r="D10502" s="6">
        <v>58</v>
      </c>
      <c r="E10502" s="6">
        <v>0</v>
      </c>
      <c r="F10502" s="6">
        <v>0</v>
      </c>
      <c r="G10502" s="6">
        <v>8</v>
      </c>
      <c r="H10502" s="6" t="s">
        <v>46642</v>
      </c>
      <c r="I10502" s="6">
        <v>527.4375</v>
      </c>
      <c r="J10502" s="2">
        <f t="shared" si="164"/>
        <v>43749.247394664351</v>
      </c>
    </row>
    <row r="10503" spans="1:10" x14ac:dyDescent="0.25">
      <c r="A10503" s="7" t="s">
        <v>46643</v>
      </c>
      <c r="B10503" s="8">
        <v>418.75</v>
      </c>
      <c r="C10503" s="8">
        <v>20.478950000000001</v>
      </c>
      <c r="D10503" s="8">
        <v>58</v>
      </c>
      <c r="E10503" s="8">
        <v>0</v>
      </c>
      <c r="F10503" s="8">
        <v>0</v>
      </c>
      <c r="G10503" s="8">
        <v>6</v>
      </c>
      <c r="H10503" s="8" t="s">
        <v>46644</v>
      </c>
      <c r="I10503" s="8">
        <v>534.75</v>
      </c>
      <c r="J10503" s="3">
        <f t="shared" si="164"/>
        <v>43749.247465960645</v>
      </c>
    </row>
    <row r="10504" spans="1:10" x14ac:dyDescent="0.25">
      <c r="A10504" s="5" t="s">
        <v>46645</v>
      </c>
      <c r="B10504" s="6">
        <v>400</v>
      </c>
      <c r="C10504" s="6">
        <v>20.426300000000001</v>
      </c>
      <c r="D10504" s="6">
        <v>58</v>
      </c>
      <c r="E10504" s="6">
        <v>0</v>
      </c>
      <c r="F10504" s="6">
        <v>0</v>
      </c>
      <c r="G10504" s="6">
        <v>5</v>
      </c>
      <c r="H10504" s="6" t="s">
        <v>46646</v>
      </c>
      <c r="I10504" s="6">
        <v>528.375</v>
      </c>
      <c r="J10504" s="2">
        <f t="shared" si="164"/>
        <v>43749.247561574077</v>
      </c>
    </row>
    <row r="10505" spans="1:10" x14ac:dyDescent="0.25">
      <c r="A10505" s="7" t="s">
        <v>46647</v>
      </c>
      <c r="B10505" s="8">
        <v>400</v>
      </c>
      <c r="C10505" s="8">
        <v>20.426300000000001</v>
      </c>
      <c r="D10505" s="8">
        <v>57</v>
      </c>
      <c r="E10505" s="8">
        <v>0</v>
      </c>
      <c r="F10505" s="8">
        <v>0</v>
      </c>
      <c r="G10505" s="8">
        <v>1</v>
      </c>
      <c r="H10505" s="8" t="s">
        <v>46648</v>
      </c>
      <c r="I10505" s="8">
        <v>528.375</v>
      </c>
      <c r="J10505" s="3">
        <f t="shared" si="164"/>
        <v>43749.247645115734</v>
      </c>
    </row>
    <row r="10506" spans="1:10" x14ac:dyDescent="0.25">
      <c r="A10506" s="5" t="s">
        <v>46649</v>
      </c>
      <c r="B10506" s="6">
        <v>400</v>
      </c>
      <c r="C10506" s="6">
        <v>20.478950000000001</v>
      </c>
      <c r="D10506" s="6">
        <v>55</v>
      </c>
      <c r="E10506" s="6">
        <v>0</v>
      </c>
      <c r="F10506" s="6">
        <v>0</v>
      </c>
      <c r="G10506" s="6">
        <v>2</v>
      </c>
      <c r="H10506" s="6" t="s">
        <v>46650</v>
      </c>
      <c r="I10506" s="6">
        <v>528.1875</v>
      </c>
      <c r="J10506" s="2">
        <f t="shared" si="164"/>
        <v>43749.247716597216</v>
      </c>
    </row>
    <row r="10507" spans="1:10" x14ac:dyDescent="0.25">
      <c r="A10507" s="7" t="s">
        <v>46651</v>
      </c>
      <c r="B10507" s="8">
        <v>396.875</v>
      </c>
      <c r="C10507" s="8">
        <v>20.478950000000001</v>
      </c>
      <c r="D10507" s="8">
        <v>54</v>
      </c>
      <c r="E10507" s="8">
        <v>0</v>
      </c>
      <c r="F10507" s="8">
        <v>0</v>
      </c>
      <c r="G10507" s="8">
        <v>5</v>
      </c>
      <c r="H10507" s="8" t="s">
        <v>46652</v>
      </c>
      <c r="I10507" s="8">
        <v>527.4375</v>
      </c>
      <c r="J10507" s="3">
        <f t="shared" si="164"/>
        <v>43749.247800057863</v>
      </c>
    </row>
    <row r="10508" spans="1:10" x14ac:dyDescent="0.25">
      <c r="A10508" s="5" t="s">
        <v>46653</v>
      </c>
      <c r="B10508" s="6">
        <v>396.875</v>
      </c>
      <c r="C10508" s="6">
        <v>20.426300000000001</v>
      </c>
      <c r="D10508" s="6">
        <v>55</v>
      </c>
      <c r="E10508" s="6">
        <v>0</v>
      </c>
      <c r="F10508" s="6">
        <v>0</v>
      </c>
      <c r="G10508" s="6">
        <v>2</v>
      </c>
      <c r="H10508" s="6" t="s">
        <v>46654</v>
      </c>
      <c r="I10508" s="6">
        <v>527.4375</v>
      </c>
      <c r="J10508" s="2">
        <f t="shared" si="164"/>
        <v>43749.247871747684</v>
      </c>
    </row>
    <row r="10509" spans="1:10" x14ac:dyDescent="0.25">
      <c r="A10509" s="7" t="s">
        <v>46655</v>
      </c>
      <c r="B10509" s="8">
        <v>400</v>
      </c>
      <c r="C10509" s="8">
        <v>20.478950000000001</v>
      </c>
      <c r="D10509" s="8">
        <v>56</v>
      </c>
      <c r="E10509" s="8">
        <v>0</v>
      </c>
      <c r="F10509" s="8">
        <v>0</v>
      </c>
      <c r="G10509" s="8">
        <v>4</v>
      </c>
      <c r="H10509" s="8" t="s">
        <v>46656</v>
      </c>
      <c r="I10509" s="8">
        <v>528.1875</v>
      </c>
      <c r="J10509" s="3">
        <f t="shared" si="164"/>
        <v>43749.247964166665</v>
      </c>
    </row>
    <row r="10510" spans="1:10" x14ac:dyDescent="0.25">
      <c r="A10510" s="5" t="s">
        <v>46657</v>
      </c>
      <c r="B10510" s="6">
        <v>396.875</v>
      </c>
      <c r="C10510" s="6">
        <v>20.426300000000001</v>
      </c>
      <c r="D10510" s="6">
        <v>56</v>
      </c>
      <c r="E10510" s="6">
        <v>0</v>
      </c>
      <c r="F10510" s="6">
        <v>0</v>
      </c>
      <c r="G10510" s="6">
        <v>11</v>
      </c>
      <c r="H10510" s="6" t="s">
        <v>46658</v>
      </c>
      <c r="I10510" s="6">
        <v>527.4375</v>
      </c>
      <c r="J10510" s="2">
        <f t="shared" si="164"/>
        <v>43749.248038472222</v>
      </c>
    </row>
    <row r="10511" spans="1:10" x14ac:dyDescent="0.25">
      <c r="A10511" s="7" t="s">
        <v>46659</v>
      </c>
      <c r="B10511" s="8">
        <v>415.625</v>
      </c>
      <c r="C10511" s="8">
        <v>20.478950000000001</v>
      </c>
      <c r="D10511" s="8">
        <v>56</v>
      </c>
      <c r="E10511" s="8">
        <v>0</v>
      </c>
      <c r="F10511" s="8">
        <v>0</v>
      </c>
      <c r="G10511" s="8">
        <v>13</v>
      </c>
      <c r="H10511" s="8" t="s">
        <v>46660</v>
      </c>
      <c r="I10511" s="8">
        <v>533.0625</v>
      </c>
      <c r="J10511" s="3">
        <f t="shared" si="164"/>
        <v>43749.24811015046</v>
      </c>
    </row>
    <row r="10512" spans="1:10" x14ac:dyDescent="0.25">
      <c r="A10512" s="5" t="s">
        <v>46661</v>
      </c>
      <c r="B10512" s="6">
        <v>396.875</v>
      </c>
      <c r="C10512" s="6">
        <v>20.426300000000001</v>
      </c>
      <c r="D10512" s="6">
        <v>57</v>
      </c>
      <c r="E10512" s="6">
        <v>0</v>
      </c>
      <c r="F10512" s="6">
        <v>0</v>
      </c>
      <c r="G10512" s="6">
        <v>8</v>
      </c>
      <c r="H10512" s="6" t="s">
        <v>46662</v>
      </c>
      <c r="I10512" s="6">
        <v>527.4375</v>
      </c>
      <c r="J10512" s="2">
        <f t="shared" si="164"/>
        <v>43749.248193229163</v>
      </c>
    </row>
    <row r="10513" spans="1:10" x14ac:dyDescent="0.25">
      <c r="A10513" s="7" t="s">
        <v>46663</v>
      </c>
      <c r="B10513" s="8">
        <v>393.75</v>
      </c>
      <c r="C10513" s="8">
        <v>20.478950000000001</v>
      </c>
      <c r="D10513" s="8">
        <v>57</v>
      </c>
      <c r="E10513" s="8">
        <v>0</v>
      </c>
      <c r="F10513" s="8">
        <v>0</v>
      </c>
      <c r="G10513" s="8">
        <v>5</v>
      </c>
      <c r="H10513" s="8" t="s">
        <v>46664</v>
      </c>
      <c r="I10513" s="8">
        <v>526.6875</v>
      </c>
      <c r="J10513" s="3">
        <f t="shared" si="164"/>
        <v>43749.248265115741</v>
      </c>
    </row>
    <row r="10514" spans="1:10" x14ac:dyDescent="0.25">
      <c r="A10514" s="5" t="s">
        <v>46665</v>
      </c>
      <c r="B10514" s="6">
        <v>412.5</v>
      </c>
      <c r="C10514" s="6">
        <v>20.478950000000001</v>
      </c>
      <c r="D10514" s="6">
        <v>60</v>
      </c>
      <c r="E10514" s="6">
        <v>0</v>
      </c>
      <c r="F10514" s="6">
        <v>0</v>
      </c>
      <c r="G10514" s="6">
        <v>12</v>
      </c>
      <c r="H10514" s="6" t="s">
        <v>46666</v>
      </c>
      <c r="I10514" s="6">
        <v>532.6875</v>
      </c>
      <c r="J10514" s="2">
        <f t="shared" si="164"/>
        <v>43749.248348553236</v>
      </c>
    </row>
    <row r="10515" spans="1:10" x14ac:dyDescent="0.25">
      <c r="A10515" s="7" t="s">
        <v>46667</v>
      </c>
      <c r="B10515" s="8">
        <v>393.75</v>
      </c>
      <c r="C10515" s="8">
        <v>20.478950000000001</v>
      </c>
      <c r="D10515" s="8">
        <v>60</v>
      </c>
      <c r="E10515" s="8">
        <v>0</v>
      </c>
      <c r="F10515" s="8">
        <v>0</v>
      </c>
      <c r="G10515" s="8">
        <v>16</v>
      </c>
      <c r="H10515" s="8" t="s">
        <v>46668</v>
      </c>
      <c r="I10515" s="8">
        <v>526.5</v>
      </c>
      <c r="J10515" s="3">
        <f t="shared" si="164"/>
        <v>43749.248431631939</v>
      </c>
    </row>
    <row r="10516" spans="1:10" x14ac:dyDescent="0.25">
      <c r="A10516" s="5" t="s">
        <v>46669</v>
      </c>
      <c r="B10516" s="6">
        <v>393.75</v>
      </c>
      <c r="C10516" s="6">
        <v>20.478950000000001</v>
      </c>
      <c r="D10516" s="6">
        <v>59</v>
      </c>
      <c r="E10516" s="6">
        <v>0</v>
      </c>
      <c r="F10516" s="6">
        <v>0</v>
      </c>
      <c r="G10516" s="6">
        <v>13</v>
      </c>
      <c r="H10516" s="6" t="s">
        <v>46670</v>
      </c>
      <c r="I10516" s="6">
        <v>526.6875</v>
      </c>
      <c r="J10516" s="2">
        <f t="shared" si="164"/>
        <v>43749.248539386572</v>
      </c>
    </row>
    <row r="10517" spans="1:10" x14ac:dyDescent="0.25">
      <c r="A10517" s="7" t="s">
        <v>46671</v>
      </c>
      <c r="B10517" s="8">
        <v>393.75</v>
      </c>
      <c r="C10517" s="8">
        <v>20.426300000000001</v>
      </c>
      <c r="D10517" s="8">
        <v>60</v>
      </c>
      <c r="E10517" s="8">
        <v>0</v>
      </c>
      <c r="F10517" s="8">
        <v>0</v>
      </c>
      <c r="G10517" s="8">
        <v>14</v>
      </c>
      <c r="H10517" s="8" t="s">
        <v>46672</v>
      </c>
      <c r="I10517" s="8">
        <v>526.6875</v>
      </c>
      <c r="J10517" s="3">
        <f t="shared" si="164"/>
        <v>43749.248622858795</v>
      </c>
    </row>
    <row r="10518" spans="1:10" x14ac:dyDescent="0.25">
      <c r="A10518" s="5" t="s">
        <v>46673</v>
      </c>
      <c r="B10518" s="6">
        <v>393.75</v>
      </c>
      <c r="C10518" s="6">
        <v>20.478950000000001</v>
      </c>
      <c r="D10518" s="6">
        <v>60</v>
      </c>
      <c r="E10518" s="6">
        <v>0</v>
      </c>
      <c r="F10518" s="6">
        <v>0</v>
      </c>
      <c r="G10518" s="6">
        <v>10</v>
      </c>
      <c r="H10518" s="6" t="s">
        <v>46674</v>
      </c>
      <c r="I10518" s="6">
        <v>526.6875</v>
      </c>
      <c r="J10518" s="2">
        <f t="shared" si="164"/>
        <v>43749.248694444446</v>
      </c>
    </row>
    <row r="10519" spans="1:10" x14ac:dyDescent="0.25">
      <c r="A10519" s="7" t="s">
        <v>46675</v>
      </c>
      <c r="B10519" s="8">
        <v>393.75</v>
      </c>
      <c r="C10519" s="8">
        <v>20.478950000000001</v>
      </c>
      <c r="D10519" s="8">
        <v>59</v>
      </c>
      <c r="E10519" s="8">
        <v>0</v>
      </c>
      <c r="F10519" s="8">
        <v>0</v>
      </c>
      <c r="G10519" s="8">
        <v>10</v>
      </c>
      <c r="H10519" s="8" t="s">
        <v>46676</v>
      </c>
      <c r="I10519" s="8">
        <v>526.6875</v>
      </c>
      <c r="J10519" s="3">
        <f t="shared" si="164"/>
        <v>43749.248765960649</v>
      </c>
    </row>
    <row r="10520" spans="1:10" x14ac:dyDescent="0.25">
      <c r="A10520" s="5" t="s">
        <v>46677</v>
      </c>
      <c r="B10520" s="6">
        <v>393.75</v>
      </c>
      <c r="C10520" s="6">
        <v>20.478950000000001</v>
      </c>
      <c r="D10520" s="6">
        <v>60</v>
      </c>
      <c r="E10520" s="6">
        <v>0</v>
      </c>
      <c r="F10520" s="6">
        <v>0</v>
      </c>
      <c r="G10520" s="6">
        <v>15</v>
      </c>
      <c r="H10520" s="6" t="s">
        <v>46678</v>
      </c>
      <c r="I10520" s="6">
        <v>526.6875</v>
      </c>
      <c r="J10520" s="2">
        <f t="shared" si="164"/>
        <v>43749.248837754632</v>
      </c>
    </row>
    <row r="10521" spans="1:10" x14ac:dyDescent="0.25">
      <c r="A10521" s="7" t="s">
        <v>46679</v>
      </c>
      <c r="B10521" s="8">
        <v>393.75</v>
      </c>
      <c r="C10521" s="8">
        <v>20.478950000000001</v>
      </c>
      <c r="D10521" s="8">
        <v>60</v>
      </c>
      <c r="E10521" s="8">
        <v>0</v>
      </c>
      <c r="F10521" s="8">
        <v>0</v>
      </c>
      <c r="G10521" s="8">
        <v>10</v>
      </c>
      <c r="H10521" s="8" t="s">
        <v>46680</v>
      </c>
      <c r="I10521" s="8">
        <v>526.6875</v>
      </c>
      <c r="J10521" s="3">
        <f t="shared" si="164"/>
        <v>43749.248909178241</v>
      </c>
    </row>
    <row r="10522" spans="1:10" x14ac:dyDescent="0.25">
      <c r="A10522" s="5" t="s">
        <v>46681</v>
      </c>
      <c r="B10522" s="6">
        <v>393.75</v>
      </c>
      <c r="C10522" s="6">
        <v>20.426300000000001</v>
      </c>
      <c r="D10522" s="6">
        <v>60</v>
      </c>
      <c r="E10522" s="6">
        <v>0</v>
      </c>
      <c r="F10522" s="6">
        <v>0</v>
      </c>
      <c r="G10522" s="6">
        <v>12</v>
      </c>
      <c r="H10522" s="6" t="s">
        <v>46682</v>
      </c>
      <c r="I10522" s="6">
        <v>526.5</v>
      </c>
      <c r="J10522" s="2">
        <f t="shared" si="164"/>
        <v>43749.248992534718</v>
      </c>
    </row>
    <row r="10523" spans="1:10" x14ac:dyDescent="0.25">
      <c r="A10523" s="7" t="s">
        <v>46683</v>
      </c>
      <c r="B10523" s="8">
        <v>393.75</v>
      </c>
      <c r="C10523" s="8">
        <v>20.426300000000001</v>
      </c>
      <c r="D10523" s="8">
        <v>60</v>
      </c>
      <c r="E10523" s="8">
        <v>0</v>
      </c>
      <c r="F10523" s="8">
        <v>0</v>
      </c>
      <c r="G10523" s="8">
        <v>0</v>
      </c>
      <c r="H10523" s="8" t="s">
        <v>46684</v>
      </c>
      <c r="I10523" s="8">
        <v>526.5</v>
      </c>
      <c r="J10523" s="3">
        <f t="shared" si="164"/>
        <v>43749.249063715273</v>
      </c>
    </row>
    <row r="10524" spans="1:10" x14ac:dyDescent="0.25">
      <c r="A10524" s="5" t="s">
        <v>46685</v>
      </c>
      <c r="B10524" s="6">
        <v>393.75</v>
      </c>
      <c r="C10524" s="6">
        <v>20.478950000000001</v>
      </c>
      <c r="D10524" s="6">
        <v>60</v>
      </c>
      <c r="E10524" s="6">
        <v>0</v>
      </c>
      <c r="F10524" s="6">
        <v>0</v>
      </c>
      <c r="G10524" s="6">
        <v>11</v>
      </c>
      <c r="H10524" s="6" t="s">
        <v>46686</v>
      </c>
      <c r="I10524" s="6">
        <v>526.6875</v>
      </c>
      <c r="J10524" s="2">
        <f t="shared" si="164"/>
        <v>43749.249147627314</v>
      </c>
    </row>
    <row r="10525" spans="1:10" x14ac:dyDescent="0.25">
      <c r="A10525" s="7" t="s">
        <v>46687</v>
      </c>
      <c r="B10525" s="8">
        <v>393.75</v>
      </c>
      <c r="C10525" s="8">
        <v>20.478950000000001</v>
      </c>
      <c r="D10525" s="8">
        <v>60</v>
      </c>
      <c r="E10525" s="8">
        <v>0</v>
      </c>
      <c r="F10525" s="8">
        <v>0</v>
      </c>
      <c r="G10525" s="8">
        <v>8</v>
      </c>
      <c r="H10525" s="8" t="s">
        <v>46688</v>
      </c>
      <c r="I10525" s="8">
        <v>526.6875</v>
      </c>
      <c r="J10525" s="3">
        <f t="shared" si="164"/>
        <v>43749.24921913194</v>
      </c>
    </row>
    <row r="10526" spans="1:10" x14ac:dyDescent="0.25">
      <c r="A10526" s="5" t="s">
        <v>46689</v>
      </c>
      <c r="B10526" s="6">
        <v>396.875</v>
      </c>
      <c r="C10526" s="6">
        <v>20.478950000000001</v>
      </c>
      <c r="D10526" s="6">
        <v>58</v>
      </c>
      <c r="E10526" s="6">
        <v>0</v>
      </c>
      <c r="F10526" s="6">
        <v>0</v>
      </c>
      <c r="G10526" s="6">
        <v>10</v>
      </c>
      <c r="H10526" s="6" t="s">
        <v>46690</v>
      </c>
      <c r="I10526" s="6">
        <v>527.4375</v>
      </c>
      <c r="J10526" s="2">
        <f t="shared" si="164"/>
        <v>43749.249290659718</v>
      </c>
    </row>
    <row r="10527" spans="1:10" x14ac:dyDescent="0.25">
      <c r="A10527" s="7" t="s">
        <v>46691</v>
      </c>
      <c r="B10527" s="8">
        <v>396.875</v>
      </c>
      <c r="C10527" s="8">
        <v>20.478950000000001</v>
      </c>
      <c r="D10527" s="8">
        <v>57</v>
      </c>
      <c r="E10527" s="8">
        <v>0</v>
      </c>
      <c r="F10527" s="8">
        <v>0</v>
      </c>
      <c r="G10527" s="8">
        <v>7</v>
      </c>
      <c r="H10527" s="8" t="s">
        <v>46692</v>
      </c>
      <c r="I10527" s="8">
        <v>527.4375</v>
      </c>
      <c r="J10527" s="3">
        <f t="shared" si="164"/>
        <v>43749.249374178238</v>
      </c>
    </row>
    <row r="10528" spans="1:10" x14ac:dyDescent="0.25">
      <c r="A10528" s="5" t="s">
        <v>46693</v>
      </c>
      <c r="B10528" s="6">
        <v>425</v>
      </c>
      <c r="C10528" s="6">
        <v>20.478950000000001</v>
      </c>
      <c r="D10528" s="6">
        <v>58</v>
      </c>
      <c r="E10528" s="6">
        <v>0</v>
      </c>
      <c r="F10528" s="6">
        <v>0</v>
      </c>
      <c r="G10528" s="6">
        <v>11</v>
      </c>
      <c r="H10528" s="6" t="s">
        <v>46694</v>
      </c>
      <c r="I10528" s="6">
        <v>536.625</v>
      </c>
      <c r="J10528" s="2">
        <f t="shared" si="164"/>
        <v>43749.249445891204</v>
      </c>
    </row>
    <row r="10529" spans="1:10" x14ac:dyDescent="0.25">
      <c r="A10529" s="7" t="s">
        <v>46695</v>
      </c>
      <c r="B10529" s="8">
        <v>396.875</v>
      </c>
      <c r="C10529" s="8">
        <v>20.426300000000001</v>
      </c>
      <c r="D10529" s="8">
        <v>58</v>
      </c>
      <c r="E10529" s="8">
        <v>0</v>
      </c>
      <c r="F10529" s="8">
        <v>0</v>
      </c>
      <c r="G10529" s="8">
        <v>4</v>
      </c>
      <c r="H10529" s="8" t="s">
        <v>46696</v>
      </c>
      <c r="I10529" s="8">
        <v>527.4375</v>
      </c>
      <c r="J10529" s="3">
        <f t="shared" si="164"/>
        <v>43749.249541134261</v>
      </c>
    </row>
    <row r="10530" spans="1:10" x14ac:dyDescent="0.25">
      <c r="A10530" s="5" t="s">
        <v>46697</v>
      </c>
      <c r="B10530" s="6">
        <v>396.875</v>
      </c>
      <c r="C10530" s="6">
        <v>20.426300000000001</v>
      </c>
      <c r="D10530" s="6">
        <v>61</v>
      </c>
      <c r="E10530" s="6">
        <v>0</v>
      </c>
      <c r="F10530" s="6">
        <v>0</v>
      </c>
      <c r="G10530" s="6">
        <v>5</v>
      </c>
      <c r="H10530" s="6" t="s">
        <v>46698</v>
      </c>
      <c r="I10530" s="6">
        <v>527.4375</v>
      </c>
      <c r="J10530" s="2">
        <f t="shared" si="164"/>
        <v>43749.249624629629</v>
      </c>
    </row>
    <row r="10531" spans="1:10" x14ac:dyDescent="0.25">
      <c r="A10531" s="7" t="s">
        <v>46699</v>
      </c>
      <c r="B10531" s="8">
        <v>393.75</v>
      </c>
      <c r="C10531" s="8">
        <v>20.478950000000001</v>
      </c>
      <c r="D10531" s="8">
        <v>59</v>
      </c>
      <c r="E10531" s="8">
        <v>0</v>
      </c>
      <c r="F10531" s="8">
        <v>0</v>
      </c>
      <c r="G10531" s="8">
        <v>8</v>
      </c>
      <c r="H10531" s="8" t="s">
        <v>46700</v>
      </c>
      <c r="I10531" s="8">
        <v>526.6875</v>
      </c>
      <c r="J10531" s="3">
        <f t="shared" si="164"/>
        <v>43749.249708124997</v>
      </c>
    </row>
    <row r="10532" spans="1:10" x14ac:dyDescent="0.25">
      <c r="A10532" s="5" t="s">
        <v>46701</v>
      </c>
      <c r="B10532" s="6">
        <v>393.75</v>
      </c>
      <c r="C10532" s="6">
        <v>20.478950000000001</v>
      </c>
      <c r="D10532" s="6">
        <v>59</v>
      </c>
      <c r="E10532" s="6">
        <v>0</v>
      </c>
      <c r="F10532" s="6">
        <v>0</v>
      </c>
      <c r="G10532" s="6">
        <v>6</v>
      </c>
      <c r="H10532" s="6" t="s">
        <v>46702</v>
      </c>
      <c r="I10532" s="6">
        <v>526.6875</v>
      </c>
      <c r="J10532" s="2">
        <f t="shared" si="164"/>
        <v>43749.249779687496</v>
      </c>
    </row>
    <row r="10533" spans="1:10" x14ac:dyDescent="0.25">
      <c r="A10533" s="7" t="s">
        <v>46703</v>
      </c>
      <c r="B10533" s="8">
        <v>412.5</v>
      </c>
      <c r="C10533" s="8">
        <v>20.426300000000001</v>
      </c>
      <c r="D10533" s="8">
        <v>58</v>
      </c>
      <c r="E10533" s="8">
        <v>0</v>
      </c>
      <c r="F10533" s="8">
        <v>0</v>
      </c>
      <c r="G10533" s="8">
        <v>9</v>
      </c>
      <c r="H10533" s="8" t="s">
        <v>46704</v>
      </c>
      <c r="I10533" s="8">
        <v>532.3125</v>
      </c>
      <c r="J10533" s="3">
        <f t="shared" si="164"/>
        <v>43749.249863136567</v>
      </c>
    </row>
    <row r="10534" spans="1:10" x14ac:dyDescent="0.25">
      <c r="A10534" s="5" t="s">
        <v>46705</v>
      </c>
      <c r="B10534" s="6">
        <v>393.75</v>
      </c>
      <c r="C10534" s="6">
        <v>20.426300000000001</v>
      </c>
      <c r="D10534" s="6">
        <v>58</v>
      </c>
      <c r="E10534" s="6">
        <v>0</v>
      </c>
      <c r="F10534" s="6">
        <v>0</v>
      </c>
      <c r="G10534" s="6">
        <v>7</v>
      </c>
      <c r="H10534" s="6" t="s">
        <v>46706</v>
      </c>
      <c r="I10534" s="6">
        <v>526.6875</v>
      </c>
      <c r="J10534" s="2">
        <f t="shared" si="164"/>
        <v>43749.24995853009</v>
      </c>
    </row>
    <row r="10535" spans="1:10" x14ac:dyDescent="0.25">
      <c r="A10535" s="7" t="s">
        <v>46707</v>
      </c>
      <c r="B10535" s="8">
        <v>412.5</v>
      </c>
      <c r="C10535" s="8">
        <v>20.478950000000001</v>
      </c>
      <c r="D10535" s="8">
        <v>57</v>
      </c>
      <c r="E10535" s="8">
        <v>0</v>
      </c>
      <c r="F10535" s="8">
        <v>0</v>
      </c>
      <c r="G10535" s="8">
        <v>0</v>
      </c>
      <c r="H10535" s="8" t="s">
        <v>46708</v>
      </c>
      <c r="I10535" s="8">
        <v>532.3125</v>
      </c>
      <c r="J10535" s="3">
        <f t="shared" si="164"/>
        <v>43749.250030243049</v>
      </c>
    </row>
    <row r="10536" spans="1:10" x14ac:dyDescent="0.25">
      <c r="A10536" s="5" t="s">
        <v>46709</v>
      </c>
      <c r="B10536" s="6">
        <v>396.875</v>
      </c>
      <c r="C10536" s="6">
        <v>20.426300000000001</v>
      </c>
      <c r="D10536" s="6">
        <v>58</v>
      </c>
      <c r="E10536" s="6">
        <v>0</v>
      </c>
      <c r="F10536" s="6">
        <v>0</v>
      </c>
      <c r="G10536" s="6">
        <v>4</v>
      </c>
      <c r="H10536" s="6" t="s">
        <v>46710</v>
      </c>
      <c r="I10536" s="6">
        <v>527.4375</v>
      </c>
      <c r="J10536" s="2">
        <f t="shared" si="164"/>
        <v>43749.250101678241</v>
      </c>
    </row>
    <row r="10537" spans="1:10" x14ac:dyDescent="0.25">
      <c r="A10537" s="7" t="s">
        <v>46711</v>
      </c>
      <c r="B10537" s="8">
        <v>393.75</v>
      </c>
      <c r="C10537" s="8">
        <v>20.478950000000001</v>
      </c>
      <c r="D10537" s="8">
        <v>59</v>
      </c>
      <c r="E10537" s="8">
        <v>0</v>
      </c>
      <c r="F10537" s="8">
        <v>0</v>
      </c>
      <c r="G10537" s="8">
        <v>4</v>
      </c>
      <c r="H10537" s="8" t="s">
        <v>46712</v>
      </c>
      <c r="I10537" s="8">
        <v>526.6875</v>
      </c>
      <c r="J10537" s="3">
        <f t="shared" si="164"/>
        <v>43749.250173171291</v>
      </c>
    </row>
    <row r="10538" spans="1:10" x14ac:dyDescent="0.25">
      <c r="A10538" s="5" t="s">
        <v>46713</v>
      </c>
      <c r="B10538" s="6">
        <v>393.75</v>
      </c>
      <c r="C10538" s="6">
        <v>20.478950000000001</v>
      </c>
      <c r="D10538" s="6">
        <v>59</v>
      </c>
      <c r="E10538" s="6">
        <v>0</v>
      </c>
      <c r="F10538" s="6">
        <v>0</v>
      </c>
      <c r="G10538" s="6">
        <v>13</v>
      </c>
      <c r="H10538" s="6" t="s">
        <v>46714</v>
      </c>
      <c r="I10538" s="6">
        <v>526.5</v>
      </c>
      <c r="J10538" s="2">
        <f t="shared" si="164"/>
        <v>43749.250256307867</v>
      </c>
    </row>
    <row r="10539" spans="1:10" x14ac:dyDescent="0.25">
      <c r="A10539" s="7" t="s">
        <v>46715</v>
      </c>
      <c r="B10539" s="8">
        <v>393.75</v>
      </c>
      <c r="C10539" s="8">
        <v>20.426300000000001</v>
      </c>
      <c r="D10539" s="8">
        <v>58</v>
      </c>
      <c r="E10539" s="8">
        <v>0</v>
      </c>
      <c r="F10539" s="8">
        <v>0</v>
      </c>
      <c r="G10539" s="8">
        <v>6</v>
      </c>
      <c r="H10539" s="8" t="s">
        <v>46716</v>
      </c>
      <c r="I10539" s="8">
        <v>526.6875</v>
      </c>
      <c r="J10539" s="3">
        <f t="shared" si="164"/>
        <v>43749.250328217589</v>
      </c>
    </row>
    <row r="10540" spans="1:10" x14ac:dyDescent="0.25">
      <c r="A10540" s="5" t="s">
        <v>46717</v>
      </c>
      <c r="B10540" s="6">
        <v>393.75</v>
      </c>
      <c r="C10540" s="6">
        <v>20.478950000000001</v>
      </c>
      <c r="D10540" s="6">
        <v>58</v>
      </c>
      <c r="E10540" s="6">
        <v>0</v>
      </c>
      <c r="F10540" s="6">
        <v>0</v>
      </c>
      <c r="G10540" s="6">
        <v>10</v>
      </c>
      <c r="H10540" s="6" t="s">
        <v>46718</v>
      </c>
      <c r="I10540" s="6">
        <v>526.5</v>
      </c>
      <c r="J10540" s="2">
        <f t="shared" si="164"/>
        <v>43749.25041173611</v>
      </c>
    </row>
    <row r="10541" spans="1:10" x14ac:dyDescent="0.25">
      <c r="A10541" s="7" t="s">
        <v>46719</v>
      </c>
      <c r="B10541" s="8">
        <v>415.625</v>
      </c>
      <c r="C10541" s="8">
        <v>20.478950000000001</v>
      </c>
      <c r="D10541" s="8">
        <v>57</v>
      </c>
      <c r="E10541" s="8">
        <v>0</v>
      </c>
      <c r="F10541" s="8">
        <v>0</v>
      </c>
      <c r="G10541" s="8">
        <v>5</v>
      </c>
      <c r="H10541" s="8" t="s">
        <v>46720</v>
      </c>
      <c r="I10541" s="8">
        <v>533.0625</v>
      </c>
      <c r="J10541" s="3">
        <f t="shared" si="164"/>
        <v>43749.250495173612</v>
      </c>
    </row>
    <row r="10542" spans="1:10" x14ac:dyDescent="0.25">
      <c r="A10542" s="5" t="s">
        <v>46721</v>
      </c>
      <c r="B10542" s="6">
        <v>396.875</v>
      </c>
      <c r="C10542" s="6">
        <v>20.478950000000001</v>
      </c>
      <c r="D10542" s="6">
        <v>57</v>
      </c>
      <c r="E10542" s="6">
        <v>0</v>
      </c>
      <c r="F10542" s="6">
        <v>0</v>
      </c>
      <c r="G10542" s="6">
        <v>1</v>
      </c>
      <c r="H10542" s="6" t="s">
        <v>46722</v>
      </c>
      <c r="I10542" s="6">
        <v>527.4375</v>
      </c>
      <c r="J10542" s="2">
        <f t="shared" si="164"/>
        <v>43749.250578391198</v>
      </c>
    </row>
    <row r="10543" spans="1:10" x14ac:dyDescent="0.25">
      <c r="A10543" s="7" t="s">
        <v>46723</v>
      </c>
      <c r="B10543" s="8">
        <v>396.875</v>
      </c>
      <c r="C10543" s="8">
        <v>20.478950000000001</v>
      </c>
      <c r="D10543" s="8">
        <v>55</v>
      </c>
      <c r="E10543" s="8">
        <v>0</v>
      </c>
      <c r="F10543" s="8">
        <v>0</v>
      </c>
      <c r="G10543" s="8">
        <v>3</v>
      </c>
      <c r="H10543" s="8" t="s">
        <v>46724</v>
      </c>
      <c r="I10543" s="8">
        <v>527.4375</v>
      </c>
      <c r="J10543" s="3">
        <f t="shared" si="164"/>
        <v>43749.250650208334</v>
      </c>
    </row>
    <row r="10544" spans="1:10" x14ac:dyDescent="0.25">
      <c r="A10544" s="5" t="s">
        <v>46725</v>
      </c>
      <c r="B10544" s="6">
        <v>428.125</v>
      </c>
      <c r="C10544" s="6">
        <v>20.478950000000001</v>
      </c>
      <c r="D10544" s="6">
        <v>56</v>
      </c>
      <c r="E10544" s="6">
        <v>0</v>
      </c>
      <c r="F10544" s="6">
        <v>0</v>
      </c>
      <c r="G10544" s="6">
        <v>13</v>
      </c>
      <c r="H10544" s="6" t="s">
        <v>46726</v>
      </c>
      <c r="I10544" s="6">
        <v>537.375</v>
      </c>
      <c r="J10544" s="2">
        <f t="shared" si="164"/>
        <v>43749.250733645829</v>
      </c>
    </row>
    <row r="10545" spans="1:10" x14ac:dyDescent="0.25">
      <c r="A10545" s="7" t="s">
        <v>46727</v>
      </c>
      <c r="B10545" s="8">
        <v>400</v>
      </c>
      <c r="C10545" s="8">
        <v>20.478950000000001</v>
      </c>
      <c r="D10545" s="8">
        <v>58</v>
      </c>
      <c r="E10545" s="8">
        <v>0</v>
      </c>
      <c r="F10545" s="8">
        <v>0</v>
      </c>
      <c r="G10545" s="8">
        <v>12</v>
      </c>
      <c r="H10545" s="8" t="s">
        <v>46728</v>
      </c>
      <c r="I10545" s="8">
        <v>528.375</v>
      </c>
      <c r="J10545" s="3">
        <f t="shared" si="164"/>
        <v>43749.250805254625</v>
      </c>
    </row>
    <row r="10546" spans="1:10" x14ac:dyDescent="0.25">
      <c r="A10546" s="5" t="s">
        <v>46729</v>
      </c>
      <c r="B10546" s="6">
        <v>400</v>
      </c>
      <c r="C10546" s="6">
        <v>20.478950000000001</v>
      </c>
      <c r="D10546" s="6">
        <v>59</v>
      </c>
      <c r="E10546" s="6">
        <v>0</v>
      </c>
      <c r="F10546" s="6">
        <v>0</v>
      </c>
      <c r="G10546" s="6">
        <v>1</v>
      </c>
      <c r="H10546" s="6" t="s">
        <v>46730</v>
      </c>
      <c r="I10546" s="6">
        <v>528.1875</v>
      </c>
      <c r="J10546" s="2">
        <f t="shared" si="164"/>
        <v>43749.250876759259</v>
      </c>
    </row>
    <row r="10547" spans="1:10" x14ac:dyDescent="0.25">
      <c r="A10547" s="7" t="s">
        <v>46731</v>
      </c>
      <c r="B10547" s="8">
        <v>400</v>
      </c>
      <c r="C10547" s="8">
        <v>20.426300000000001</v>
      </c>
      <c r="D10547" s="8">
        <v>59</v>
      </c>
      <c r="E10547" s="8">
        <v>0</v>
      </c>
      <c r="F10547" s="8">
        <v>0</v>
      </c>
      <c r="G10547" s="8">
        <v>8</v>
      </c>
      <c r="H10547" s="8" t="s">
        <v>46732</v>
      </c>
      <c r="I10547" s="8">
        <v>528.375</v>
      </c>
      <c r="J10547" s="3">
        <f t="shared" si="164"/>
        <v>43749.25094828703</v>
      </c>
    </row>
    <row r="10548" spans="1:10" x14ac:dyDescent="0.25">
      <c r="A10548" s="5" t="s">
        <v>46733</v>
      </c>
      <c r="B10548" s="6">
        <v>400</v>
      </c>
      <c r="C10548" s="6">
        <v>20.478950000000001</v>
      </c>
      <c r="D10548" s="6">
        <v>59</v>
      </c>
      <c r="E10548" s="6">
        <v>0</v>
      </c>
      <c r="F10548" s="6">
        <v>0</v>
      </c>
      <c r="G10548" s="6">
        <v>8</v>
      </c>
      <c r="H10548" s="6" t="s">
        <v>46734</v>
      </c>
      <c r="I10548" s="6">
        <v>528.375</v>
      </c>
      <c r="J10548" s="2">
        <f t="shared" si="164"/>
        <v>43749.251019247684</v>
      </c>
    </row>
    <row r="10549" spans="1:10" x14ac:dyDescent="0.25">
      <c r="A10549" s="7" t="s">
        <v>46735</v>
      </c>
      <c r="B10549" s="8">
        <v>400</v>
      </c>
      <c r="C10549" s="8">
        <v>20.478950000000001</v>
      </c>
      <c r="D10549" s="8">
        <v>57</v>
      </c>
      <c r="E10549" s="8">
        <v>0</v>
      </c>
      <c r="F10549" s="8">
        <v>0</v>
      </c>
      <c r="G10549" s="8">
        <v>4</v>
      </c>
      <c r="H10549" s="8" t="s">
        <v>46736</v>
      </c>
      <c r="I10549" s="8">
        <v>528.1875</v>
      </c>
      <c r="J10549" s="3">
        <f t="shared" si="164"/>
        <v>43749.251103414346</v>
      </c>
    </row>
    <row r="10550" spans="1:10" x14ac:dyDescent="0.25">
      <c r="A10550" s="5" t="s">
        <v>46737</v>
      </c>
      <c r="B10550" s="6">
        <v>396.875</v>
      </c>
      <c r="C10550" s="6">
        <v>20.478950000000001</v>
      </c>
      <c r="D10550" s="6">
        <v>57</v>
      </c>
      <c r="E10550" s="6">
        <v>0</v>
      </c>
      <c r="F10550" s="6">
        <v>0</v>
      </c>
      <c r="G10550" s="6">
        <v>9</v>
      </c>
      <c r="H10550" s="6" t="s">
        <v>46738</v>
      </c>
      <c r="I10550" s="6">
        <v>527.4375</v>
      </c>
      <c r="J10550" s="2">
        <f t="shared" si="164"/>
        <v>43749.251174699071</v>
      </c>
    </row>
    <row r="10551" spans="1:10" x14ac:dyDescent="0.25">
      <c r="A10551" s="7" t="s">
        <v>46739</v>
      </c>
      <c r="B10551" s="8">
        <v>443.75</v>
      </c>
      <c r="C10551" s="8">
        <v>20.478950000000001</v>
      </c>
      <c r="D10551" s="8">
        <v>57</v>
      </c>
      <c r="E10551" s="8">
        <v>0</v>
      </c>
      <c r="F10551" s="8">
        <v>0</v>
      </c>
      <c r="G10551" s="8">
        <v>11</v>
      </c>
      <c r="H10551" s="8" t="s">
        <v>46740</v>
      </c>
      <c r="I10551" s="8">
        <v>542.0625</v>
      </c>
      <c r="J10551" s="3">
        <f t="shared" si="164"/>
        <v>43749.251246504624</v>
      </c>
    </row>
    <row r="10552" spans="1:10" x14ac:dyDescent="0.25">
      <c r="A10552" s="5" t="s">
        <v>46741</v>
      </c>
      <c r="B10552" s="6">
        <v>396.875</v>
      </c>
      <c r="C10552" s="6">
        <v>20.426300000000001</v>
      </c>
      <c r="D10552" s="6">
        <v>59</v>
      </c>
      <c r="E10552" s="6">
        <v>0</v>
      </c>
      <c r="F10552" s="6">
        <v>0</v>
      </c>
      <c r="G10552" s="6">
        <v>7</v>
      </c>
      <c r="H10552" s="6" t="s">
        <v>46742</v>
      </c>
      <c r="I10552" s="6">
        <v>527.4375</v>
      </c>
      <c r="J10552" s="2">
        <f t="shared" si="164"/>
        <v>43749.25133003472</v>
      </c>
    </row>
    <row r="10553" spans="1:10" x14ac:dyDescent="0.25">
      <c r="A10553" s="7" t="s">
        <v>46743</v>
      </c>
      <c r="B10553" s="8">
        <v>396.875</v>
      </c>
      <c r="C10553" s="8">
        <v>20.478950000000001</v>
      </c>
      <c r="D10553" s="8">
        <v>59</v>
      </c>
      <c r="E10553" s="8">
        <v>0</v>
      </c>
      <c r="F10553" s="8">
        <v>0</v>
      </c>
      <c r="G10553" s="8">
        <v>3</v>
      </c>
      <c r="H10553" s="8" t="s">
        <v>46744</v>
      </c>
      <c r="I10553" s="8">
        <v>527.4375</v>
      </c>
      <c r="J10553" s="3">
        <f t="shared" si="164"/>
        <v>43749.251401550922</v>
      </c>
    </row>
    <row r="10554" spans="1:10" x14ac:dyDescent="0.25">
      <c r="A10554" s="5" t="s">
        <v>46745</v>
      </c>
      <c r="B10554" s="6">
        <v>396.875</v>
      </c>
      <c r="C10554" s="6">
        <v>20.478950000000001</v>
      </c>
      <c r="D10554" s="6">
        <v>58</v>
      </c>
      <c r="E10554" s="6">
        <v>0</v>
      </c>
      <c r="F10554" s="6">
        <v>0</v>
      </c>
      <c r="G10554" s="6">
        <v>12</v>
      </c>
      <c r="H10554" s="6" t="s">
        <v>46746</v>
      </c>
      <c r="I10554" s="6">
        <v>527.4375</v>
      </c>
      <c r="J10554" s="2">
        <f t="shared" si="164"/>
        <v>43749.251472997683</v>
      </c>
    </row>
    <row r="10555" spans="1:10" x14ac:dyDescent="0.25">
      <c r="A10555" s="7" t="s">
        <v>46747</v>
      </c>
      <c r="B10555" s="8">
        <v>396.875</v>
      </c>
      <c r="C10555" s="8">
        <v>20.478950000000001</v>
      </c>
      <c r="D10555" s="8">
        <v>58</v>
      </c>
      <c r="E10555" s="8">
        <v>0</v>
      </c>
      <c r="F10555" s="8">
        <v>0</v>
      </c>
      <c r="G10555" s="8">
        <v>12</v>
      </c>
      <c r="H10555" s="8" t="s">
        <v>46748</v>
      </c>
      <c r="I10555" s="8">
        <v>527.4375</v>
      </c>
      <c r="J10555" s="3">
        <f t="shared" si="164"/>
        <v>43749.251544583334</v>
      </c>
    </row>
    <row r="10556" spans="1:10" x14ac:dyDescent="0.25">
      <c r="A10556" s="5" t="s">
        <v>46749</v>
      </c>
      <c r="B10556" s="6">
        <v>396.875</v>
      </c>
      <c r="C10556" s="6">
        <v>20.478950000000001</v>
      </c>
      <c r="D10556" s="6">
        <v>58</v>
      </c>
      <c r="E10556" s="6">
        <v>0</v>
      </c>
      <c r="F10556" s="6">
        <v>0</v>
      </c>
      <c r="G10556" s="6">
        <v>5</v>
      </c>
      <c r="H10556" s="6" t="s">
        <v>46750</v>
      </c>
      <c r="I10556" s="6">
        <v>527.4375</v>
      </c>
      <c r="J10556" s="2">
        <f t="shared" si="164"/>
        <v>43749.251628136575</v>
      </c>
    </row>
    <row r="10557" spans="1:10" x14ac:dyDescent="0.25">
      <c r="A10557" s="7" t="s">
        <v>46751</v>
      </c>
      <c r="B10557" s="8">
        <v>396.875</v>
      </c>
      <c r="C10557" s="8">
        <v>20.426300000000001</v>
      </c>
      <c r="D10557" s="8">
        <v>58</v>
      </c>
      <c r="E10557" s="8">
        <v>0</v>
      </c>
      <c r="F10557" s="8">
        <v>0</v>
      </c>
      <c r="G10557" s="8">
        <v>3</v>
      </c>
      <c r="H10557" s="8" t="s">
        <v>46752</v>
      </c>
      <c r="I10557" s="8">
        <v>527.4375</v>
      </c>
      <c r="J10557" s="3">
        <f t="shared" si="164"/>
        <v>43749.251699687498</v>
      </c>
    </row>
    <row r="10558" spans="1:10" x14ac:dyDescent="0.25">
      <c r="A10558" s="5" t="s">
        <v>46753</v>
      </c>
      <c r="B10558" s="6">
        <v>412.5</v>
      </c>
      <c r="C10558" s="6">
        <v>20.478950000000001</v>
      </c>
      <c r="D10558" s="6">
        <v>58</v>
      </c>
      <c r="E10558" s="6">
        <v>0</v>
      </c>
      <c r="F10558" s="6">
        <v>0</v>
      </c>
      <c r="G10558" s="6">
        <v>13</v>
      </c>
      <c r="H10558" s="6" t="s">
        <v>46754</v>
      </c>
      <c r="I10558" s="6">
        <v>532.5</v>
      </c>
      <c r="J10558" s="2">
        <f t="shared" si="164"/>
        <v>43749.251783090273</v>
      </c>
    </row>
    <row r="10559" spans="1:10" x14ac:dyDescent="0.25">
      <c r="A10559" s="7" t="s">
        <v>46755</v>
      </c>
      <c r="B10559" s="8">
        <v>393.75</v>
      </c>
      <c r="C10559" s="8">
        <v>20.426300000000001</v>
      </c>
      <c r="D10559" s="8">
        <v>58</v>
      </c>
      <c r="E10559" s="8">
        <v>0</v>
      </c>
      <c r="F10559" s="8">
        <v>0</v>
      </c>
      <c r="G10559" s="8">
        <v>7</v>
      </c>
      <c r="H10559" s="8" t="s">
        <v>46756</v>
      </c>
      <c r="I10559" s="8">
        <v>526.6875</v>
      </c>
      <c r="J10559" s="3">
        <f t="shared" si="164"/>
        <v>43749.251864062498</v>
      </c>
    </row>
    <row r="10560" spans="1:10" x14ac:dyDescent="0.25">
      <c r="A10560" s="5" t="s">
        <v>46757</v>
      </c>
      <c r="B10560" s="6">
        <v>393.75</v>
      </c>
      <c r="C10560" s="6">
        <v>20.478950000000001</v>
      </c>
      <c r="D10560" s="6">
        <v>58</v>
      </c>
      <c r="E10560" s="6">
        <v>0</v>
      </c>
      <c r="F10560" s="6">
        <v>0</v>
      </c>
      <c r="G10560" s="6">
        <v>12</v>
      </c>
      <c r="H10560" s="6" t="s">
        <v>46758</v>
      </c>
      <c r="I10560" s="6">
        <v>526.6875</v>
      </c>
      <c r="J10560" s="2">
        <f t="shared" si="164"/>
        <v>43749.251937766203</v>
      </c>
    </row>
    <row r="10561" spans="1:10" x14ac:dyDescent="0.25">
      <c r="A10561" s="7" t="s">
        <v>46759</v>
      </c>
      <c r="B10561" s="8">
        <v>393.75</v>
      </c>
      <c r="C10561" s="8">
        <v>20.426300000000001</v>
      </c>
      <c r="D10561" s="8">
        <v>58</v>
      </c>
      <c r="E10561" s="8">
        <v>0</v>
      </c>
      <c r="F10561" s="8">
        <v>0</v>
      </c>
      <c r="G10561" s="8">
        <v>2</v>
      </c>
      <c r="H10561" s="8" t="s">
        <v>46760</v>
      </c>
      <c r="I10561" s="8">
        <v>526.6875</v>
      </c>
      <c r="J10561" s="3">
        <f t="shared" si="164"/>
        <v>43749.252009710646</v>
      </c>
    </row>
    <row r="10562" spans="1:10" x14ac:dyDescent="0.25">
      <c r="A10562" s="5" t="s">
        <v>46761</v>
      </c>
      <c r="B10562" s="6">
        <v>393.75</v>
      </c>
      <c r="C10562" s="6">
        <v>20.426300000000001</v>
      </c>
      <c r="D10562" s="6">
        <v>58</v>
      </c>
      <c r="E10562" s="6">
        <v>0</v>
      </c>
      <c r="F10562" s="6">
        <v>0</v>
      </c>
      <c r="G10562" s="6">
        <v>7</v>
      </c>
      <c r="H10562" s="6" t="s">
        <v>46762</v>
      </c>
      <c r="I10562" s="6">
        <v>526.5</v>
      </c>
      <c r="J10562" s="2">
        <f t="shared" ref="J10562:J10625" si="165">(H10562/86400000)+25569+(7/24)</f>
        <v>43749.252093206022</v>
      </c>
    </row>
    <row r="10563" spans="1:10" x14ac:dyDescent="0.25">
      <c r="A10563" s="7" t="s">
        <v>46763</v>
      </c>
      <c r="B10563" s="8">
        <v>393.75</v>
      </c>
      <c r="C10563" s="8">
        <v>20.478950000000001</v>
      </c>
      <c r="D10563" s="8">
        <v>58</v>
      </c>
      <c r="E10563" s="8">
        <v>0</v>
      </c>
      <c r="F10563" s="8">
        <v>0</v>
      </c>
      <c r="G10563" s="8">
        <v>11</v>
      </c>
      <c r="H10563" s="8" t="s">
        <v>46764</v>
      </c>
      <c r="I10563" s="8">
        <v>526.6875</v>
      </c>
      <c r="J10563" s="3">
        <f t="shared" si="165"/>
        <v>43749.252164837955</v>
      </c>
    </row>
    <row r="10564" spans="1:10" x14ac:dyDescent="0.25">
      <c r="A10564" s="5" t="s">
        <v>46765</v>
      </c>
      <c r="B10564" s="6">
        <v>412.5</v>
      </c>
      <c r="C10564" s="6">
        <v>20.478950000000001</v>
      </c>
      <c r="D10564" s="6">
        <v>58</v>
      </c>
      <c r="E10564" s="6">
        <v>0</v>
      </c>
      <c r="F10564" s="6">
        <v>0</v>
      </c>
      <c r="G10564" s="6">
        <v>1</v>
      </c>
      <c r="H10564" s="6" t="s">
        <v>46766</v>
      </c>
      <c r="I10564" s="6">
        <v>532.125</v>
      </c>
      <c r="J10564" s="2">
        <f t="shared" si="165"/>
        <v>43749.25224819444</v>
      </c>
    </row>
    <row r="10565" spans="1:10" x14ac:dyDescent="0.25">
      <c r="A10565" s="7" t="s">
        <v>46767</v>
      </c>
      <c r="B10565" s="8">
        <v>393.75</v>
      </c>
      <c r="C10565" s="8">
        <v>20.478950000000001</v>
      </c>
      <c r="D10565" s="8">
        <v>58</v>
      </c>
      <c r="E10565" s="8">
        <v>0</v>
      </c>
      <c r="F10565" s="8">
        <v>0</v>
      </c>
      <c r="G10565" s="8">
        <v>8</v>
      </c>
      <c r="H10565" s="8" t="s">
        <v>46768</v>
      </c>
      <c r="I10565" s="8">
        <v>526.6875</v>
      </c>
      <c r="J10565" s="3">
        <f t="shared" si="165"/>
        <v>43749.252319837957</v>
      </c>
    </row>
    <row r="10566" spans="1:10" x14ac:dyDescent="0.25">
      <c r="A10566" s="5" t="s">
        <v>46769</v>
      </c>
      <c r="B10566" s="6">
        <v>393.75</v>
      </c>
      <c r="C10566" s="6">
        <v>20.478950000000001</v>
      </c>
      <c r="D10566" s="6">
        <v>58</v>
      </c>
      <c r="E10566" s="6">
        <v>0</v>
      </c>
      <c r="F10566" s="6">
        <v>0</v>
      </c>
      <c r="G10566" s="6">
        <v>9</v>
      </c>
      <c r="H10566" s="6" t="s">
        <v>46770</v>
      </c>
      <c r="I10566" s="6">
        <v>526.6875</v>
      </c>
      <c r="J10566" s="2">
        <f t="shared" si="165"/>
        <v>43749.252390891204</v>
      </c>
    </row>
    <row r="10567" spans="1:10" x14ac:dyDescent="0.25">
      <c r="A10567" s="7" t="s">
        <v>46771</v>
      </c>
      <c r="B10567" s="8">
        <v>393.75</v>
      </c>
      <c r="C10567" s="8">
        <v>20.478950000000001</v>
      </c>
      <c r="D10567" s="8">
        <v>58</v>
      </c>
      <c r="E10567" s="8">
        <v>0</v>
      </c>
      <c r="F10567" s="8">
        <v>0</v>
      </c>
      <c r="G10567" s="8">
        <v>11</v>
      </c>
      <c r="H10567" s="8" t="s">
        <v>46772</v>
      </c>
      <c r="I10567" s="8">
        <v>526.6875</v>
      </c>
      <c r="J10567" s="3">
        <f t="shared" si="165"/>
        <v>43749.252489907405</v>
      </c>
    </row>
    <row r="10568" spans="1:10" x14ac:dyDescent="0.25">
      <c r="A10568" s="5" t="s">
        <v>46773</v>
      </c>
      <c r="B10568" s="6">
        <v>396.875</v>
      </c>
      <c r="C10568" s="6">
        <v>20.426300000000001</v>
      </c>
      <c r="D10568" s="6">
        <v>59</v>
      </c>
      <c r="E10568" s="6">
        <v>0</v>
      </c>
      <c r="F10568" s="6">
        <v>0</v>
      </c>
      <c r="G10568" s="6">
        <v>12</v>
      </c>
      <c r="H10568" s="6" t="s">
        <v>46774</v>
      </c>
      <c r="I10568" s="6">
        <v>527.4375</v>
      </c>
      <c r="J10568" s="2">
        <f t="shared" si="165"/>
        <v>43749.252570081015</v>
      </c>
    </row>
    <row r="10569" spans="1:10" x14ac:dyDescent="0.25">
      <c r="A10569" s="7" t="s">
        <v>46775</v>
      </c>
      <c r="B10569" s="8">
        <v>396.875</v>
      </c>
      <c r="C10569" s="8">
        <v>20.478950000000001</v>
      </c>
      <c r="D10569" s="8">
        <v>59</v>
      </c>
      <c r="E10569" s="8">
        <v>0</v>
      </c>
      <c r="F10569" s="8">
        <v>0</v>
      </c>
      <c r="G10569" s="8">
        <v>11</v>
      </c>
      <c r="H10569" s="8" t="s">
        <v>46776</v>
      </c>
      <c r="I10569" s="8">
        <v>527.4375</v>
      </c>
      <c r="J10569" s="3">
        <f t="shared" si="165"/>
        <v>43749.252641331019</v>
      </c>
    </row>
    <row r="10570" spans="1:10" x14ac:dyDescent="0.25">
      <c r="A10570" s="5" t="s">
        <v>46777</v>
      </c>
      <c r="B10570" s="6">
        <v>396.875</v>
      </c>
      <c r="C10570" s="6">
        <v>20.478950000000001</v>
      </c>
      <c r="D10570" s="6">
        <v>58</v>
      </c>
      <c r="E10570" s="6">
        <v>0</v>
      </c>
      <c r="F10570" s="6">
        <v>0</v>
      </c>
      <c r="G10570" s="6">
        <v>2</v>
      </c>
      <c r="H10570" s="6" t="s">
        <v>46778</v>
      </c>
      <c r="I10570" s="6">
        <v>527.4375</v>
      </c>
      <c r="J10570" s="2">
        <f t="shared" si="165"/>
        <v>43749.252713182868</v>
      </c>
    </row>
    <row r="10571" spans="1:10" x14ac:dyDescent="0.25">
      <c r="A10571" s="7" t="s">
        <v>46779</v>
      </c>
      <c r="B10571" s="8">
        <v>400</v>
      </c>
      <c r="C10571" s="8">
        <v>20.426300000000001</v>
      </c>
      <c r="D10571" s="8">
        <v>58</v>
      </c>
      <c r="E10571" s="8">
        <v>0</v>
      </c>
      <c r="F10571" s="8">
        <v>0</v>
      </c>
      <c r="G10571" s="8">
        <v>3</v>
      </c>
      <c r="H10571" s="8" t="s">
        <v>46780</v>
      </c>
      <c r="I10571" s="8">
        <v>528.1875</v>
      </c>
      <c r="J10571" s="3">
        <f t="shared" si="165"/>
        <v>43749.252796701381</v>
      </c>
    </row>
    <row r="10572" spans="1:10" x14ac:dyDescent="0.25">
      <c r="A10572" s="5" t="s">
        <v>46781</v>
      </c>
      <c r="B10572" s="6">
        <v>400</v>
      </c>
      <c r="C10572" s="6">
        <v>20.478950000000001</v>
      </c>
      <c r="D10572" s="6">
        <v>57</v>
      </c>
      <c r="E10572" s="6">
        <v>0</v>
      </c>
      <c r="F10572" s="6">
        <v>0</v>
      </c>
      <c r="G10572" s="6">
        <v>6</v>
      </c>
      <c r="H10572" s="6" t="s">
        <v>46782</v>
      </c>
      <c r="I10572" s="6">
        <v>528.1875</v>
      </c>
      <c r="J10572" s="2">
        <f t="shared" si="165"/>
        <v>43749.252868159725</v>
      </c>
    </row>
    <row r="10573" spans="1:10" x14ac:dyDescent="0.25">
      <c r="A10573" s="7" t="s">
        <v>46783</v>
      </c>
      <c r="B10573" s="8">
        <v>415.625</v>
      </c>
      <c r="C10573" s="8">
        <v>20.426300000000001</v>
      </c>
      <c r="D10573" s="8">
        <v>57</v>
      </c>
      <c r="E10573" s="8">
        <v>0</v>
      </c>
      <c r="F10573" s="8">
        <v>0</v>
      </c>
      <c r="G10573" s="8">
        <v>4</v>
      </c>
      <c r="H10573" s="8" t="s">
        <v>46784</v>
      </c>
      <c r="I10573" s="8">
        <v>533.0625</v>
      </c>
      <c r="J10573" s="3">
        <f t="shared" si="165"/>
        <v>43749.252939756938</v>
      </c>
    </row>
    <row r="10574" spans="1:10" x14ac:dyDescent="0.25">
      <c r="A10574" s="5" t="s">
        <v>46785</v>
      </c>
      <c r="B10574" s="6">
        <v>396.875</v>
      </c>
      <c r="C10574" s="6">
        <v>20.478950000000001</v>
      </c>
      <c r="D10574" s="6">
        <v>57</v>
      </c>
      <c r="E10574" s="6">
        <v>0</v>
      </c>
      <c r="F10574" s="6">
        <v>0</v>
      </c>
      <c r="G10574" s="6">
        <v>10</v>
      </c>
      <c r="H10574" s="6" t="s">
        <v>46786</v>
      </c>
      <c r="I10574" s="6">
        <v>527.4375</v>
      </c>
      <c r="J10574" s="2">
        <f t="shared" si="165"/>
        <v>43749.253011284723</v>
      </c>
    </row>
    <row r="10575" spans="1:10" x14ac:dyDescent="0.25">
      <c r="A10575" s="7" t="s">
        <v>46787</v>
      </c>
      <c r="B10575" s="8">
        <v>396.875</v>
      </c>
      <c r="C10575" s="8">
        <v>20.426300000000001</v>
      </c>
      <c r="D10575" s="8">
        <v>59</v>
      </c>
      <c r="E10575" s="8">
        <v>0</v>
      </c>
      <c r="F10575" s="8">
        <v>0</v>
      </c>
      <c r="G10575" s="8">
        <v>0</v>
      </c>
      <c r="H10575" s="8" t="s">
        <v>46788</v>
      </c>
      <c r="I10575" s="8">
        <v>527.4375</v>
      </c>
      <c r="J10575" s="3">
        <f t="shared" si="165"/>
        <v>43749.25308263889</v>
      </c>
    </row>
    <row r="10576" spans="1:10" x14ac:dyDescent="0.25">
      <c r="A10576" s="5" t="s">
        <v>46789</v>
      </c>
      <c r="B10576" s="6">
        <v>393.75</v>
      </c>
      <c r="C10576" s="6">
        <v>20.426300000000001</v>
      </c>
      <c r="D10576" s="6">
        <v>58</v>
      </c>
      <c r="E10576" s="6">
        <v>0</v>
      </c>
      <c r="F10576" s="6">
        <v>0</v>
      </c>
      <c r="G10576" s="6">
        <v>10</v>
      </c>
      <c r="H10576" s="6" t="s">
        <v>46790</v>
      </c>
      <c r="I10576" s="6">
        <v>526.5</v>
      </c>
      <c r="J10576" s="2">
        <f t="shared" si="165"/>
        <v>43749.253166377312</v>
      </c>
    </row>
    <row r="10577" spans="1:10" x14ac:dyDescent="0.25">
      <c r="A10577" s="7" t="s">
        <v>46791</v>
      </c>
      <c r="B10577" s="8">
        <v>393.75</v>
      </c>
      <c r="C10577" s="8">
        <v>20.426300000000001</v>
      </c>
      <c r="D10577" s="8">
        <v>58</v>
      </c>
      <c r="E10577" s="8">
        <v>0</v>
      </c>
      <c r="F10577" s="8">
        <v>0</v>
      </c>
      <c r="G10577" s="8">
        <v>6</v>
      </c>
      <c r="H10577" s="8" t="s">
        <v>46792</v>
      </c>
      <c r="I10577" s="8">
        <v>526.6875</v>
      </c>
      <c r="J10577" s="3">
        <f t="shared" si="165"/>
        <v>43749.253237627308</v>
      </c>
    </row>
    <row r="10578" spans="1:10" x14ac:dyDescent="0.25">
      <c r="A10578" s="5" t="s">
        <v>46793</v>
      </c>
      <c r="B10578" s="6">
        <v>396.875</v>
      </c>
      <c r="C10578" s="6">
        <v>20.426300000000001</v>
      </c>
      <c r="D10578" s="6">
        <v>60</v>
      </c>
      <c r="E10578" s="6">
        <v>0</v>
      </c>
      <c r="F10578" s="6">
        <v>0</v>
      </c>
      <c r="G10578" s="6">
        <v>4</v>
      </c>
      <c r="H10578" s="6" t="s">
        <v>46794</v>
      </c>
      <c r="I10578" s="6">
        <v>527.4375</v>
      </c>
      <c r="J10578" s="2">
        <f t="shared" si="165"/>
        <v>43749.253309548607</v>
      </c>
    </row>
    <row r="10579" spans="1:10" x14ac:dyDescent="0.25">
      <c r="A10579" s="7" t="s">
        <v>46795</v>
      </c>
      <c r="B10579" s="8">
        <v>396.875</v>
      </c>
      <c r="C10579" s="8">
        <v>20.478950000000001</v>
      </c>
      <c r="D10579" s="8">
        <v>58</v>
      </c>
      <c r="E10579" s="8">
        <v>0</v>
      </c>
      <c r="F10579" s="8">
        <v>0</v>
      </c>
      <c r="G10579" s="8">
        <v>5</v>
      </c>
      <c r="H10579" s="8" t="s">
        <v>46796</v>
      </c>
      <c r="I10579" s="8">
        <v>527.4375</v>
      </c>
      <c r="J10579" s="3">
        <f t="shared" si="165"/>
        <v>43749.253381064809</v>
      </c>
    </row>
    <row r="10580" spans="1:10" x14ac:dyDescent="0.25">
      <c r="A10580" s="5" t="s">
        <v>46797</v>
      </c>
      <c r="B10580" s="6">
        <v>396.875</v>
      </c>
      <c r="C10580" s="6">
        <v>20.478950000000001</v>
      </c>
      <c r="D10580" s="6">
        <v>58</v>
      </c>
      <c r="E10580" s="6">
        <v>0</v>
      </c>
      <c r="F10580" s="6">
        <v>0</v>
      </c>
      <c r="G10580" s="6">
        <v>7</v>
      </c>
      <c r="H10580" s="6" t="s">
        <v>46798</v>
      </c>
      <c r="I10580" s="6">
        <v>527.4375</v>
      </c>
      <c r="J10580" s="2">
        <f t="shared" si="165"/>
        <v>43749.253452442128</v>
      </c>
    </row>
    <row r="10581" spans="1:10" x14ac:dyDescent="0.25">
      <c r="A10581" s="7" t="s">
        <v>46799</v>
      </c>
      <c r="B10581" s="8">
        <v>400</v>
      </c>
      <c r="C10581" s="8">
        <v>20.478950000000001</v>
      </c>
      <c r="D10581" s="8">
        <v>57</v>
      </c>
      <c r="E10581" s="8">
        <v>0</v>
      </c>
      <c r="F10581" s="8">
        <v>0</v>
      </c>
      <c r="G10581" s="8">
        <v>1</v>
      </c>
      <c r="H10581" s="8" t="s">
        <v>46800</v>
      </c>
      <c r="I10581" s="8">
        <v>528.1875</v>
      </c>
      <c r="J10581" s="3">
        <f t="shared" si="165"/>
        <v>43749.253524178239</v>
      </c>
    </row>
    <row r="10582" spans="1:10" x14ac:dyDescent="0.25">
      <c r="A10582" s="5" t="s">
        <v>46801</v>
      </c>
      <c r="B10582" s="6">
        <v>396.875</v>
      </c>
      <c r="C10582" s="6">
        <v>20.426300000000001</v>
      </c>
      <c r="D10582" s="6">
        <v>58</v>
      </c>
      <c r="E10582" s="6">
        <v>0</v>
      </c>
      <c r="F10582" s="6">
        <v>0</v>
      </c>
      <c r="G10582" s="6">
        <v>11</v>
      </c>
      <c r="H10582" s="6" t="s">
        <v>46802</v>
      </c>
      <c r="I10582" s="6">
        <v>527.4375</v>
      </c>
      <c r="J10582" s="2">
        <f t="shared" si="165"/>
        <v>43749.253607696759</v>
      </c>
    </row>
    <row r="10583" spans="1:10" x14ac:dyDescent="0.25">
      <c r="A10583" s="7" t="s">
        <v>46803</v>
      </c>
      <c r="B10583" s="8">
        <v>415.625</v>
      </c>
      <c r="C10583" s="8">
        <v>20.478950000000001</v>
      </c>
      <c r="D10583" s="8">
        <v>58</v>
      </c>
      <c r="E10583" s="8">
        <v>0</v>
      </c>
      <c r="F10583" s="8">
        <v>0</v>
      </c>
      <c r="G10583" s="8">
        <v>4</v>
      </c>
      <c r="H10583" s="8" t="s">
        <v>46804</v>
      </c>
      <c r="I10583" s="8">
        <v>533.25</v>
      </c>
      <c r="J10583" s="3">
        <f t="shared" si="165"/>
        <v>43749.253691134254</v>
      </c>
    </row>
    <row r="10584" spans="1:10" x14ac:dyDescent="0.25">
      <c r="A10584" s="5" t="s">
        <v>46805</v>
      </c>
      <c r="B10584" s="6">
        <v>400</v>
      </c>
      <c r="C10584" s="6">
        <v>20.426300000000001</v>
      </c>
      <c r="D10584" s="6">
        <v>56</v>
      </c>
      <c r="E10584" s="6">
        <v>0</v>
      </c>
      <c r="F10584" s="6">
        <v>0</v>
      </c>
      <c r="G10584" s="6">
        <v>5</v>
      </c>
      <c r="H10584" s="6" t="s">
        <v>46806</v>
      </c>
      <c r="I10584" s="6">
        <v>528.375</v>
      </c>
      <c r="J10584" s="2">
        <f t="shared" si="165"/>
        <v>43749.253774641205</v>
      </c>
    </row>
    <row r="10585" spans="1:10" x14ac:dyDescent="0.25">
      <c r="A10585" s="7" t="s">
        <v>46807</v>
      </c>
      <c r="B10585" s="8">
        <v>396.875</v>
      </c>
      <c r="C10585" s="8">
        <v>20.478950000000001</v>
      </c>
      <c r="D10585" s="8">
        <v>56</v>
      </c>
      <c r="E10585" s="8">
        <v>0</v>
      </c>
      <c r="F10585" s="8">
        <v>0</v>
      </c>
      <c r="G10585" s="8">
        <v>9</v>
      </c>
      <c r="H10585" s="8" t="s">
        <v>46808</v>
      </c>
      <c r="I10585" s="8">
        <v>527.4375</v>
      </c>
      <c r="J10585" s="3">
        <f t="shared" si="165"/>
        <v>43749.253846250002</v>
      </c>
    </row>
    <row r="10586" spans="1:10" x14ac:dyDescent="0.25">
      <c r="A10586" s="5" t="s">
        <v>46809</v>
      </c>
      <c r="B10586" s="6">
        <v>396.875</v>
      </c>
      <c r="C10586" s="6">
        <v>20.426300000000001</v>
      </c>
      <c r="D10586" s="6">
        <v>56</v>
      </c>
      <c r="E10586" s="6">
        <v>0</v>
      </c>
      <c r="F10586" s="6">
        <v>0</v>
      </c>
      <c r="G10586" s="6">
        <v>8</v>
      </c>
      <c r="H10586" s="6" t="s">
        <v>46810</v>
      </c>
      <c r="I10586" s="6">
        <v>527.25</v>
      </c>
      <c r="J10586" s="2">
        <f t="shared" si="165"/>
        <v>43749.253917708331</v>
      </c>
    </row>
    <row r="10587" spans="1:10" x14ac:dyDescent="0.25">
      <c r="A10587" s="7" t="s">
        <v>46811</v>
      </c>
      <c r="B10587" s="8">
        <v>396.875</v>
      </c>
      <c r="C10587" s="8">
        <v>20.478950000000001</v>
      </c>
      <c r="D10587" s="8">
        <v>54</v>
      </c>
      <c r="E10587" s="8">
        <v>0</v>
      </c>
      <c r="F10587" s="8">
        <v>0</v>
      </c>
      <c r="G10587" s="8">
        <v>10</v>
      </c>
      <c r="H10587" s="8" t="s">
        <v>46812</v>
      </c>
      <c r="I10587" s="8">
        <v>527.4375</v>
      </c>
      <c r="J10587" s="3">
        <f t="shared" si="165"/>
        <v>43749.253989467594</v>
      </c>
    </row>
    <row r="10588" spans="1:10" x14ac:dyDescent="0.25">
      <c r="A10588" s="5" t="s">
        <v>46813</v>
      </c>
      <c r="B10588" s="6">
        <v>396.875</v>
      </c>
      <c r="C10588" s="6">
        <v>20.478950000000001</v>
      </c>
      <c r="D10588" s="6">
        <v>53</v>
      </c>
      <c r="E10588" s="6">
        <v>0</v>
      </c>
      <c r="F10588" s="6">
        <v>0</v>
      </c>
      <c r="G10588" s="6">
        <v>5</v>
      </c>
      <c r="H10588" s="6" t="s">
        <v>46814</v>
      </c>
      <c r="I10588" s="6">
        <v>527.4375</v>
      </c>
      <c r="J10588" s="2">
        <f t="shared" si="165"/>
        <v>43749.254061099535</v>
      </c>
    </row>
    <row r="10589" spans="1:10" x14ac:dyDescent="0.25">
      <c r="A10589" s="7" t="s">
        <v>46815</v>
      </c>
      <c r="B10589" s="8">
        <v>396.875</v>
      </c>
      <c r="C10589" s="8">
        <v>20.426300000000001</v>
      </c>
      <c r="D10589" s="8">
        <v>53</v>
      </c>
      <c r="E10589" s="8">
        <v>0</v>
      </c>
      <c r="F10589" s="8">
        <v>0</v>
      </c>
      <c r="G10589" s="8">
        <v>10</v>
      </c>
      <c r="H10589" s="8" t="s">
        <v>46816</v>
      </c>
      <c r="I10589" s="8">
        <v>527.4375</v>
      </c>
      <c r="J10589" s="3">
        <f t="shared" si="165"/>
        <v>43749.254144328697</v>
      </c>
    </row>
    <row r="10590" spans="1:10" x14ac:dyDescent="0.25">
      <c r="A10590" s="5" t="s">
        <v>46817</v>
      </c>
      <c r="B10590" s="6">
        <v>415.625</v>
      </c>
      <c r="C10590" s="6">
        <v>20.426300000000001</v>
      </c>
      <c r="D10590" s="6">
        <v>54</v>
      </c>
      <c r="E10590" s="6">
        <v>0</v>
      </c>
      <c r="F10590" s="6">
        <v>0</v>
      </c>
      <c r="G10590" s="6">
        <v>6</v>
      </c>
      <c r="H10590" s="6" t="s">
        <v>46818</v>
      </c>
      <c r="I10590" s="6">
        <v>533.0625</v>
      </c>
      <c r="J10590" s="2">
        <f t="shared" si="165"/>
        <v>43749.254215567133</v>
      </c>
    </row>
    <row r="10591" spans="1:10" x14ac:dyDescent="0.25">
      <c r="A10591" s="7" t="s">
        <v>46819</v>
      </c>
      <c r="B10591" s="8">
        <v>393.75</v>
      </c>
      <c r="C10591" s="8">
        <v>20.426300000000001</v>
      </c>
      <c r="D10591" s="8">
        <v>54</v>
      </c>
      <c r="E10591" s="8">
        <v>0</v>
      </c>
      <c r="F10591" s="8">
        <v>0</v>
      </c>
      <c r="G10591" s="8">
        <v>1</v>
      </c>
      <c r="H10591" s="8" t="s">
        <v>46820</v>
      </c>
      <c r="I10591" s="8">
        <v>526.6875</v>
      </c>
      <c r="J10591" s="3">
        <f t="shared" si="165"/>
        <v>43749.254299409724</v>
      </c>
    </row>
    <row r="10592" spans="1:10" x14ac:dyDescent="0.25">
      <c r="A10592" s="5" t="s">
        <v>46821</v>
      </c>
      <c r="B10592" s="6">
        <v>393.75</v>
      </c>
      <c r="C10592" s="6">
        <v>20.478950000000001</v>
      </c>
      <c r="D10592" s="6">
        <v>54</v>
      </c>
      <c r="E10592" s="6">
        <v>0</v>
      </c>
      <c r="F10592" s="6">
        <v>0</v>
      </c>
      <c r="G10592" s="6">
        <v>5</v>
      </c>
      <c r="H10592" s="6" t="s">
        <v>46822</v>
      </c>
      <c r="I10592" s="6">
        <v>526.5</v>
      </c>
      <c r="J10592" s="2">
        <f t="shared" si="165"/>
        <v>43749.254370960647</v>
      </c>
    </row>
    <row r="10593" spans="1:10" x14ac:dyDescent="0.25">
      <c r="A10593" s="7" t="s">
        <v>46823</v>
      </c>
      <c r="B10593" s="8">
        <v>393.75</v>
      </c>
      <c r="C10593" s="8">
        <v>20.478950000000001</v>
      </c>
      <c r="D10593" s="8">
        <v>55</v>
      </c>
      <c r="E10593" s="8">
        <v>0</v>
      </c>
      <c r="F10593" s="8">
        <v>0</v>
      </c>
      <c r="G10593" s="8">
        <v>7</v>
      </c>
      <c r="H10593" s="8" t="s">
        <v>46824</v>
      </c>
      <c r="I10593" s="8">
        <v>526.5</v>
      </c>
      <c r="J10593" s="3">
        <f t="shared" si="165"/>
        <v>43749.254442650461</v>
      </c>
    </row>
    <row r="10594" spans="1:10" x14ac:dyDescent="0.25">
      <c r="A10594" s="5" t="s">
        <v>46825</v>
      </c>
      <c r="B10594" s="6">
        <v>393.75</v>
      </c>
      <c r="C10594" s="6">
        <v>20.478950000000001</v>
      </c>
      <c r="D10594" s="6">
        <v>56</v>
      </c>
      <c r="E10594" s="6">
        <v>0</v>
      </c>
      <c r="F10594" s="6">
        <v>0</v>
      </c>
      <c r="G10594" s="6">
        <v>0</v>
      </c>
      <c r="H10594" s="6" t="s">
        <v>46826</v>
      </c>
      <c r="I10594" s="6">
        <v>526.5</v>
      </c>
      <c r="J10594" s="2">
        <f t="shared" si="165"/>
        <v>43749.254525960649</v>
      </c>
    </row>
    <row r="10595" spans="1:10" x14ac:dyDescent="0.25">
      <c r="A10595" s="7" t="s">
        <v>46827</v>
      </c>
      <c r="B10595" s="8">
        <v>393.75</v>
      </c>
      <c r="C10595" s="8">
        <v>20.426300000000001</v>
      </c>
      <c r="D10595" s="8">
        <v>56</v>
      </c>
      <c r="E10595" s="8">
        <v>0</v>
      </c>
      <c r="F10595" s="8">
        <v>0</v>
      </c>
      <c r="G10595" s="8">
        <v>5</v>
      </c>
      <c r="H10595" s="8" t="s">
        <v>46828</v>
      </c>
      <c r="I10595" s="8">
        <v>526.5</v>
      </c>
      <c r="J10595" s="3">
        <f t="shared" si="165"/>
        <v>43749.254597696759</v>
      </c>
    </row>
    <row r="10596" spans="1:10" x14ac:dyDescent="0.25">
      <c r="A10596" s="5" t="s">
        <v>46829</v>
      </c>
      <c r="B10596" s="6">
        <v>393.75</v>
      </c>
      <c r="C10596" s="6">
        <v>20.426300000000001</v>
      </c>
      <c r="D10596" s="6">
        <v>55</v>
      </c>
      <c r="E10596" s="6">
        <v>0</v>
      </c>
      <c r="F10596" s="6">
        <v>0</v>
      </c>
      <c r="G10596" s="6">
        <v>7</v>
      </c>
      <c r="H10596" s="6" t="s">
        <v>46830</v>
      </c>
      <c r="I10596" s="6">
        <v>526.5</v>
      </c>
      <c r="J10596" s="2">
        <f t="shared" si="165"/>
        <v>43749.254669097216</v>
      </c>
    </row>
    <row r="10597" spans="1:10" x14ac:dyDescent="0.25">
      <c r="A10597" s="7" t="s">
        <v>46831</v>
      </c>
      <c r="B10597" s="8">
        <v>412.5</v>
      </c>
      <c r="C10597" s="8">
        <v>20.478950000000001</v>
      </c>
      <c r="D10597" s="8">
        <v>56</v>
      </c>
      <c r="E10597" s="8">
        <v>0</v>
      </c>
      <c r="F10597" s="8">
        <v>0</v>
      </c>
      <c r="G10597" s="8">
        <v>7</v>
      </c>
      <c r="H10597" s="8" t="s">
        <v>46832</v>
      </c>
      <c r="I10597" s="8">
        <v>532.875</v>
      </c>
      <c r="J10597" s="3">
        <f t="shared" si="165"/>
        <v>43749.25474063657</v>
      </c>
    </row>
    <row r="10598" spans="1:10" x14ac:dyDescent="0.25">
      <c r="A10598" s="5" t="s">
        <v>46833</v>
      </c>
      <c r="B10598" s="6">
        <v>393.75</v>
      </c>
      <c r="C10598" s="6">
        <v>20.478950000000001</v>
      </c>
      <c r="D10598" s="6">
        <v>56</v>
      </c>
      <c r="E10598" s="6">
        <v>0</v>
      </c>
      <c r="F10598" s="6">
        <v>0</v>
      </c>
      <c r="G10598" s="6">
        <v>13</v>
      </c>
      <c r="H10598" s="6" t="s">
        <v>46834</v>
      </c>
      <c r="I10598" s="6">
        <v>526.5</v>
      </c>
      <c r="J10598" s="2">
        <f t="shared" si="165"/>
        <v>43749.254811817133</v>
      </c>
    </row>
    <row r="10599" spans="1:10" x14ac:dyDescent="0.25">
      <c r="A10599" s="7" t="s">
        <v>46835</v>
      </c>
      <c r="B10599" s="8">
        <v>393.75</v>
      </c>
      <c r="C10599" s="8">
        <v>20.478950000000001</v>
      </c>
      <c r="D10599" s="8">
        <v>57</v>
      </c>
      <c r="E10599" s="8">
        <v>0</v>
      </c>
      <c r="F10599" s="8">
        <v>0</v>
      </c>
      <c r="G10599" s="8">
        <v>2</v>
      </c>
      <c r="H10599" s="8" t="s">
        <v>46836</v>
      </c>
      <c r="I10599" s="8">
        <v>526.6875</v>
      </c>
      <c r="J10599" s="3">
        <f t="shared" si="165"/>
        <v>43749.254907627314</v>
      </c>
    </row>
    <row r="10600" spans="1:10" x14ac:dyDescent="0.25">
      <c r="A10600" s="5" t="s">
        <v>46837</v>
      </c>
      <c r="B10600" s="6">
        <v>393.75</v>
      </c>
      <c r="C10600" s="6">
        <v>20.426300000000001</v>
      </c>
      <c r="D10600" s="6">
        <v>58</v>
      </c>
      <c r="E10600" s="6">
        <v>0</v>
      </c>
      <c r="F10600" s="6">
        <v>0</v>
      </c>
      <c r="G10600" s="6">
        <v>3</v>
      </c>
      <c r="H10600" s="6" t="s">
        <v>46838</v>
      </c>
      <c r="I10600" s="6">
        <v>526.6875</v>
      </c>
      <c r="J10600" s="2">
        <f t="shared" si="165"/>
        <v>43749.254978854166</v>
      </c>
    </row>
    <row r="10601" spans="1:10" x14ac:dyDescent="0.25">
      <c r="A10601" s="7" t="s">
        <v>46839</v>
      </c>
      <c r="B10601" s="8">
        <v>393.75</v>
      </c>
      <c r="C10601" s="8">
        <v>20.478950000000001</v>
      </c>
      <c r="D10601" s="8">
        <v>57</v>
      </c>
      <c r="E10601" s="8">
        <v>0</v>
      </c>
      <c r="F10601" s="8">
        <v>0</v>
      </c>
      <c r="G10601" s="8">
        <v>7</v>
      </c>
      <c r="H10601" s="8" t="s">
        <v>46840</v>
      </c>
      <c r="I10601" s="8">
        <v>526.6875</v>
      </c>
      <c r="J10601" s="3">
        <f t="shared" si="165"/>
        <v>43749.255074652778</v>
      </c>
    </row>
    <row r="10602" spans="1:10" x14ac:dyDescent="0.25">
      <c r="A10602" s="5" t="s">
        <v>46841</v>
      </c>
      <c r="B10602" s="6">
        <v>412.5</v>
      </c>
      <c r="C10602" s="6">
        <v>20.426300000000001</v>
      </c>
      <c r="D10602" s="6">
        <v>56</v>
      </c>
      <c r="E10602" s="6">
        <v>0</v>
      </c>
      <c r="F10602" s="6">
        <v>0</v>
      </c>
      <c r="G10602" s="6">
        <v>0</v>
      </c>
      <c r="H10602" s="6" t="s">
        <v>46842</v>
      </c>
      <c r="I10602" s="6">
        <v>532.3125</v>
      </c>
      <c r="J10602" s="2">
        <f t="shared" si="165"/>
        <v>43749.255146064817</v>
      </c>
    </row>
    <row r="10603" spans="1:10" x14ac:dyDescent="0.25">
      <c r="A10603" s="7" t="s">
        <v>46843</v>
      </c>
      <c r="B10603" s="8">
        <v>393.75</v>
      </c>
      <c r="C10603" s="8">
        <v>20.478950000000001</v>
      </c>
      <c r="D10603" s="8">
        <v>56</v>
      </c>
      <c r="E10603" s="8">
        <v>0</v>
      </c>
      <c r="F10603" s="8">
        <v>0</v>
      </c>
      <c r="G10603" s="8">
        <v>1</v>
      </c>
      <c r="H10603" s="8" t="s">
        <v>46844</v>
      </c>
      <c r="I10603" s="8">
        <v>526.6875</v>
      </c>
      <c r="J10603" s="3">
        <f t="shared" si="165"/>
        <v>43749.255217650461</v>
      </c>
    </row>
    <row r="10604" spans="1:10" x14ac:dyDescent="0.25">
      <c r="A10604" s="5" t="s">
        <v>46845</v>
      </c>
      <c r="B10604" s="6">
        <v>393.75</v>
      </c>
      <c r="C10604" s="6">
        <v>20.478950000000001</v>
      </c>
      <c r="D10604" s="6">
        <v>56</v>
      </c>
      <c r="E10604" s="6">
        <v>0</v>
      </c>
      <c r="F10604" s="6">
        <v>0</v>
      </c>
      <c r="G10604" s="6">
        <v>12</v>
      </c>
      <c r="H10604" s="6" t="s">
        <v>46846</v>
      </c>
      <c r="I10604" s="6">
        <v>526.5</v>
      </c>
      <c r="J10604" s="2">
        <f t="shared" si="165"/>
        <v>43749.255289189816</v>
      </c>
    </row>
    <row r="10605" spans="1:10" x14ac:dyDescent="0.25">
      <c r="A10605" s="7" t="s">
        <v>46847</v>
      </c>
      <c r="B10605" s="8">
        <v>393.75</v>
      </c>
      <c r="C10605" s="8">
        <v>20.426300000000001</v>
      </c>
      <c r="D10605" s="8">
        <v>56</v>
      </c>
      <c r="E10605" s="8">
        <v>0</v>
      </c>
      <c r="F10605" s="8">
        <v>0</v>
      </c>
      <c r="G10605" s="8">
        <v>2</v>
      </c>
      <c r="H10605" s="8" t="s">
        <v>46848</v>
      </c>
      <c r="I10605" s="8">
        <v>526.6875</v>
      </c>
      <c r="J10605" s="3">
        <f t="shared" si="165"/>
        <v>43749.255360729163</v>
      </c>
    </row>
    <row r="10606" spans="1:10" x14ac:dyDescent="0.25">
      <c r="A10606" s="5" t="s">
        <v>46849</v>
      </c>
      <c r="B10606" s="6">
        <v>393.75</v>
      </c>
      <c r="C10606" s="6">
        <v>20.478950000000001</v>
      </c>
      <c r="D10606" s="6">
        <v>56</v>
      </c>
      <c r="E10606" s="6">
        <v>0</v>
      </c>
      <c r="F10606" s="6">
        <v>0</v>
      </c>
      <c r="G10606" s="6">
        <v>18</v>
      </c>
      <c r="H10606" s="6" t="s">
        <v>46850</v>
      </c>
      <c r="I10606" s="6">
        <v>526.6875</v>
      </c>
      <c r="J10606" s="2">
        <f t="shared" si="165"/>
        <v>43749.255432071754</v>
      </c>
    </row>
    <row r="10607" spans="1:10" x14ac:dyDescent="0.25">
      <c r="A10607" s="7" t="s">
        <v>46851</v>
      </c>
      <c r="B10607" s="8">
        <v>396.875</v>
      </c>
      <c r="C10607" s="8">
        <v>20.426300000000001</v>
      </c>
      <c r="D10607" s="8">
        <v>57</v>
      </c>
      <c r="E10607" s="8">
        <v>0</v>
      </c>
      <c r="F10607" s="8">
        <v>0</v>
      </c>
      <c r="G10607" s="8">
        <v>8</v>
      </c>
      <c r="H10607" s="8" t="s">
        <v>46852</v>
      </c>
      <c r="I10607" s="8">
        <v>527.625</v>
      </c>
      <c r="J10607" s="3">
        <f t="shared" si="165"/>
        <v>43749.255515393517</v>
      </c>
    </row>
    <row r="10608" spans="1:10" x14ac:dyDescent="0.25">
      <c r="A10608" s="5" t="s">
        <v>46853</v>
      </c>
      <c r="B10608" s="6">
        <v>396.875</v>
      </c>
      <c r="C10608" s="6">
        <v>20.426300000000001</v>
      </c>
      <c r="D10608" s="6">
        <v>56</v>
      </c>
      <c r="E10608" s="6">
        <v>0</v>
      </c>
      <c r="F10608" s="6">
        <v>0</v>
      </c>
      <c r="G10608" s="6">
        <v>6</v>
      </c>
      <c r="H10608" s="6" t="s">
        <v>46854</v>
      </c>
      <c r="I10608" s="6">
        <v>527.4375</v>
      </c>
      <c r="J10608" s="2">
        <f t="shared" si="165"/>
        <v>43749.255587268512</v>
      </c>
    </row>
    <row r="10609" spans="1:10" x14ac:dyDescent="0.25">
      <c r="A10609" s="7" t="s">
        <v>46855</v>
      </c>
      <c r="B10609" s="8">
        <v>396.875</v>
      </c>
      <c r="C10609" s="8">
        <v>20.426300000000001</v>
      </c>
      <c r="D10609" s="8">
        <v>56</v>
      </c>
      <c r="E10609" s="8">
        <v>0</v>
      </c>
      <c r="F10609" s="8">
        <v>0</v>
      </c>
      <c r="G10609" s="8">
        <v>7</v>
      </c>
      <c r="H10609" s="8" t="s">
        <v>46856</v>
      </c>
      <c r="I10609" s="8">
        <v>527.4375</v>
      </c>
      <c r="J10609" s="3">
        <f t="shared" si="165"/>
        <v>43749.255670787032</v>
      </c>
    </row>
    <row r="10610" spans="1:10" x14ac:dyDescent="0.25">
      <c r="A10610" s="5" t="s">
        <v>46857</v>
      </c>
      <c r="B10610" s="6">
        <v>396.875</v>
      </c>
      <c r="C10610" s="6">
        <v>20.478950000000001</v>
      </c>
      <c r="D10610" s="6">
        <v>58</v>
      </c>
      <c r="E10610" s="6">
        <v>0</v>
      </c>
      <c r="F10610" s="6">
        <v>0</v>
      </c>
      <c r="G10610" s="6">
        <v>9</v>
      </c>
      <c r="H10610" s="6" t="s">
        <v>46858</v>
      </c>
      <c r="I10610" s="6">
        <v>527.4375</v>
      </c>
      <c r="J10610" s="2">
        <f t="shared" si="165"/>
        <v>43749.255742719906</v>
      </c>
    </row>
    <row r="10611" spans="1:10" x14ac:dyDescent="0.25">
      <c r="A10611" s="7" t="s">
        <v>46859</v>
      </c>
      <c r="B10611" s="8">
        <v>396.875</v>
      </c>
      <c r="C10611" s="8">
        <v>20.478950000000001</v>
      </c>
      <c r="D10611" s="8">
        <v>58</v>
      </c>
      <c r="E10611" s="8">
        <v>0</v>
      </c>
      <c r="F10611" s="8">
        <v>0</v>
      </c>
      <c r="G10611" s="8">
        <v>0</v>
      </c>
      <c r="H10611" s="8" t="s">
        <v>46860</v>
      </c>
      <c r="I10611" s="8">
        <v>527.4375</v>
      </c>
      <c r="J10611" s="3">
        <f t="shared" si="165"/>
        <v>43749.255825821754</v>
      </c>
    </row>
    <row r="10612" spans="1:10" x14ac:dyDescent="0.25">
      <c r="A10612" s="5" t="s">
        <v>46861</v>
      </c>
      <c r="B10612" s="6">
        <v>396.875</v>
      </c>
      <c r="C10612" s="6">
        <v>20.478950000000001</v>
      </c>
      <c r="D10612" s="6">
        <v>58</v>
      </c>
      <c r="E10612" s="6">
        <v>0</v>
      </c>
      <c r="F10612" s="6">
        <v>0</v>
      </c>
      <c r="G10612" s="6">
        <v>18</v>
      </c>
      <c r="H10612" s="6" t="s">
        <v>46862</v>
      </c>
      <c r="I10612" s="6">
        <v>527.4375</v>
      </c>
      <c r="J10612" s="2">
        <f t="shared" si="165"/>
        <v>43749.255909259256</v>
      </c>
    </row>
    <row r="10613" spans="1:10" x14ac:dyDescent="0.25">
      <c r="A10613" s="7" t="s">
        <v>46863</v>
      </c>
      <c r="B10613" s="8">
        <v>396.875</v>
      </c>
      <c r="C10613" s="8">
        <v>20.478950000000001</v>
      </c>
      <c r="D10613" s="8">
        <v>58</v>
      </c>
      <c r="E10613" s="8">
        <v>0</v>
      </c>
      <c r="F10613" s="8">
        <v>0</v>
      </c>
      <c r="G10613" s="8">
        <v>3</v>
      </c>
      <c r="H10613" s="8" t="s">
        <v>46864</v>
      </c>
      <c r="I10613" s="8">
        <v>527.4375</v>
      </c>
      <c r="J10613" s="3">
        <f t="shared" si="165"/>
        <v>43749.255980416659</v>
      </c>
    </row>
    <row r="10614" spans="1:10" x14ac:dyDescent="0.25">
      <c r="A10614" s="5" t="s">
        <v>46865</v>
      </c>
      <c r="B10614" s="6">
        <v>396.875</v>
      </c>
      <c r="C10614" s="6">
        <v>20.426300000000001</v>
      </c>
      <c r="D10614" s="6">
        <v>58</v>
      </c>
      <c r="E10614" s="6">
        <v>0</v>
      </c>
      <c r="F10614" s="6">
        <v>0</v>
      </c>
      <c r="G10614" s="6">
        <v>9</v>
      </c>
      <c r="H10614" s="6" t="s">
        <v>46866</v>
      </c>
      <c r="I10614" s="6">
        <v>527.4375</v>
      </c>
      <c r="J10614" s="2">
        <f t="shared" si="165"/>
        <v>43749.256052430552</v>
      </c>
    </row>
    <row r="10615" spans="1:10" x14ac:dyDescent="0.25">
      <c r="A10615" s="7" t="s">
        <v>46867</v>
      </c>
      <c r="B10615" s="8">
        <v>396.875</v>
      </c>
      <c r="C10615" s="8">
        <v>20.478950000000001</v>
      </c>
      <c r="D10615" s="8">
        <v>59</v>
      </c>
      <c r="E10615" s="8">
        <v>0</v>
      </c>
      <c r="F10615" s="8">
        <v>0</v>
      </c>
      <c r="G10615" s="8">
        <v>9</v>
      </c>
      <c r="H10615" s="8" t="s">
        <v>46868</v>
      </c>
      <c r="I10615" s="8">
        <v>527.4375</v>
      </c>
      <c r="J10615" s="3">
        <f t="shared" si="165"/>
        <v>43749.256123784719</v>
      </c>
    </row>
    <row r="10616" spans="1:10" x14ac:dyDescent="0.25">
      <c r="A10616" s="5" t="s">
        <v>46869</v>
      </c>
      <c r="B10616" s="6">
        <v>415.625</v>
      </c>
      <c r="C10616" s="6">
        <v>20.478950000000001</v>
      </c>
      <c r="D10616" s="6">
        <v>58</v>
      </c>
      <c r="E10616" s="6">
        <v>0</v>
      </c>
      <c r="F10616" s="6">
        <v>0</v>
      </c>
      <c r="G10616" s="6">
        <v>6</v>
      </c>
      <c r="H10616" s="6" t="s">
        <v>46870</v>
      </c>
      <c r="I10616" s="6">
        <v>533.0625</v>
      </c>
      <c r="J10616" s="2">
        <f t="shared" si="165"/>
        <v>43749.256207199076</v>
      </c>
    </row>
    <row r="10617" spans="1:10" x14ac:dyDescent="0.25">
      <c r="A10617" s="7" t="s">
        <v>46871</v>
      </c>
      <c r="B10617" s="8">
        <v>400</v>
      </c>
      <c r="C10617" s="8">
        <v>20.478950000000001</v>
      </c>
      <c r="D10617" s="8">
        <v>57</v>
      </c>
      <c r="E10617" s="8">
        <v>0</v>
      </c>
      <c r="F10617" s="8">
        <v>0</v>
      </c>
      <c r="G10617" s="8">
        <v>6</v>
      </c>
      <c r="H10617" s="8" t="s">
        <v>46872</v>
      </c>
      <c r="I10617" s="8">
        <v>528.1875</v>
      </c>
      <c r="J10617" s="3">
        <f t="shared" si="165"/>
        <v>43749.256279108791</v>
      </c>
    </row>
    <row r="10618" spans="1:10" x14ac:dyDescent="0.25">
      <c r="A10618" s="5" t="s">
        <v>46873</v>
      </c>
      <c r="B10618" s="6">
        <v>400</v>
      </c>
      <c r="C10618" s="6">
        <v>20.478950000000001</v>
      </c>
      <c r="D10618" s="6">
        <v>57</v>
      </c>
      <c r="E10618" s="6">
        <v>0</v>
      </c>
      <c r="F10618" s="6">
        <v>0</v>
      </c>
      <c r="G10618" s="6">
        <v>12</v>
      </c>
      <c r="H10618" s="6" t="s">
        <v>46874</v>
      </c>
      <c r="I10618" s="6">
        <v>528.1875</v>
      </c>
      <c r="J10618" s="2">
        <f t="shared" si="165"/>
        <v>43749.256350462958</v>
      </c>
    </row>
    <row r="10619" spans="1:10" x14ac:dyDescent="0.25">
      <c r="A10619" s="7" t="s">
        <v>46875</v>
      </c>
      <c r="B10619" s="8">
        <v>434.375</v>
      </c>
      <c r="C10619" s="8">
        <v>20.426300000000001</v>
      </c>
      <c r="D10619" s="8">
        <v>57</v>
      </c>
      <c r="E10619" s="8">
        <v>0</v>
      </c>
      <c r="F10619" s="8">
        <v>0</v>
      </c>
      <c r="G10619" s="8">
        <v>6</v>
      </c>
      <c r="H10619" s="8" t="s">
        <v>46876</v>
      </c>
      <c r="I10619" s="8">
        <v>539.8125</v>
      </c>
      <c r="J10619" s="3">
        <f t="shared" si="165"/>
        <v>43749.256433912036</v>
      </c>
    </row>
    <row r="10620" spans="1:10" x14ac:dyDescent="0.25">
      <c r="A10620" s="5" t="s">
        <v>46877</v>
      </c>
      <c r="B10620" s="6">
        <v>396.875</v>
      </c>
      <c r="C10620" s="6">
        <v>20.426300000000001</v>
      </c>
      <c r="D10620" s="6">
        <v>57</v>
      </c>
      <c r="E10620" s="6">
        <v>0</v>
      </c>
      <c r="F10620" s="6">
        <v>0</v>
      </c>
      <c r="G10620" s="6">
        <v>11</v>
      </c>
      <c r="H10620" s="6" t="s">
        <v>46878</v>
      </c>
      <c r="I10620" s="6">
        <v>527.4375</v>
      </c>
      <c r="J10620" s="2">
        <f t="shared" si="165"/>
        <v>43749.256505590274</v>
      </c>
    </row>
    <row r="10621" spans="1:10" x14ac:dyDescent="0.25">
      <c r="A10621" s="7" t="s">
        <v>46879</v>
      </c>
      <c r="B10621" s="8">
        <v>396.875</v>
      </c>
      <c r="C10621" s="8">
        <v>20.478950000000001</v>
      </c>
      <c r="D10621" s="8">
        <v>57</v>
      </c>
      <c r="E10621" s="8">
        <v>0</v>
      </c>
      <c r="F10621" s="8">
        <v>0</v>
      </c>
      <c r="G10621" s="8">
        <v>17</v>
      </c>
      <c r="H10621" s="8" t="s">
        <v>46880</v>
      </c>
      <c r="I10621" s="8">
        <v>527.4375</v>
      </c>
      <c r="J10621" s="3">
        <f t="shared" si="165"/>
        <v>43749.256577037035</v>
      </c>
    </row>
    <row r="10622" spans="1:10" x14ac:dyDescent="0.25">
      <c r="A10622" s="5" t="s">
        <v>46881</v>
      </c>
      <c r="B10622" s="6">
        <v>393.75</v>
      </c>
      <c r="C10622" s="6">
        <v>20.478950000000001</v>
      </c>
      <c r="D10622" s="6">
        <v>60</v>
      </c>
      <c r="E10622" s="6">
        <v>0</v>
      </c>
      <c r="F10622" s="6">
        <v>0</v>
      </c>
      <c r="G10622" s="6">
        <v>5</v>
      </c>
      <c r="H10622" s="6" t="s">
        <v>46882</v>
      </c>
      <c r="I10622" s="6">
        <v>526.5</v>
      </c>
      <c r="J10622" s="2">
        <f t="shared" si="165"/>
        <v>43749.256648726849</v>
      </c>
    </row>
    <row r="10623" spans="1:10" x14ac:dyDescent="0.25">
      <c r="A10623" s="7" t="s">
        <v>46883</v>
      </c>
      <c r="B10623" s="8">
        <v>412.5</v>
      </c>
      <c r="C10623" s="8">
        <v>20.478950000000001</v>
      </c>
      <c r="D10623" s="8">
        <v>59</v>
      </c>
      <c r="E10623" s="8">
        <v>0</v>
      </c>
      <c r="F10623" s="8">
        <v>0</v>
      </c>
      <c r="G10623" s="8">
        <v>0</v>
      </c>
      <c r="H10623" s="8" t="s">
        <v>46884</v>
      </c>
      <c r="I10623" s="8">
        <v>532.125</v>
      </c>
      <c r="J10623" s="3">
        <f t="shared" si="165"/>
        <v>43749.256719803241</v>
      </c>
    </row>
    <row r="10624" spans="1:10" x14ac:dyDescent="0.25">
      <c r="A10624" s="5" t="s">
        <v>46885</v>
      </c>
      <c r="B10624" s="6">
        <v>393.75</v>
      </c>
      <c r="C10624" s="6">
        <v>20.426300000000001</v>
      </c>
      <c r="D10624" s="6">
        <v>59</v>
      </c>
      <c r="E10624" s="6">
        <v>0</v>
      </c>
      <c r="F10624" s="6">
        <v>0</v>
      </c>
      <c r="G10624" s="6">
        <v>11</v>
      </c>
      <c r="H10624" s="6" t="s">
        <v>46886</v>
      </c>
      <c r="I10624" s="6">
        <v>526.5</v>
      </c>
      <c r="J10624" s="2">
        <f t="shared" si="165"/>
        <v>43749.256791620362</v>
      </c>
    </row>
    <row r="10625" spans="1:10" x14ac:dyDescent="0.25">
      <c r="A10625" s="7" t="s">
        <v>46887</v>
      </c>
      <c r="B10625" s="8">
        <v>393.75</v>
      </c>
      <c r="C10625" s="8">
        <v>20.426300000000001</v>
      </c>
      <c r="D10625" s="8">
        <v>59</v>
      </c>
      <c r="E10625" s="8">
        <v>0</v>
      </c>
      <c r="F10625" s="8">
        <v>0</v>
      </c>
      <c r="G10625" s="8">
        <v>11</v>
      </c>
      <c r="H10625" s="8" t="s">
        <v>46888</v>
      </c>
      <c r="I10625" s="8">
        <v>526.6875</v>
      </c>
      <c r="J10625" s="3">
        <f t="shared" si="165"/>
        <v>43749.256863252311</v>
      </c>
    </row>
    <row r="10626" spans="1:10" x14ac:dyDescent="0.25">
      <c r="A10626" s="5" t="s">
        <v>46889</v>
      </c>
      <c r="B10626" s="6">
        <v>393.75</v>
      </c>
      <c r="C10626" s="6">
        <v>20.478950000000001</v>
      </c>
      <c r="D10626" s="6">
        <v>59</v>
      </c>
      <c r="E10626" s="6">
        <v>0</v>
      </c>
      <c r="F10626" s="6">
        <v>0</v>
      </c>
      <c r="G10626" s="6">
        <v>6</v>
      </c>
      <c r="H10626" s="6" t="s">
        <v>46890</v>
      </c>
      <c r="I10626" s="6">
        <v>526.6875</v>
      </c>
      <c r="J10626" s="2">
        <f t="shared" ref="J10626:J10689" si="166">(H10626/86400000)+25569+(7/24)</f>
        <v>43749.256934537036</v>
      </c>
    </row>
    <row r="10627" spans="1:10" x14ac:dyDescent="0.25">
      <c r="A10627" s="7" t="s">
        <v>46891</v>
      </c>
      <c r="B10627" s="8">
        <v>418.75</v>
      </c>
      <c r="C10627" s="8">
        <v>20.478950000000001</v>
      </c>
      <c r="D10627" s="8">
        <v>59</v>
      </c>
      <c r="E10627" s="8">
        <v>0</v>
      </c>
      <c r="F10627" s="8">
        <v>0</v>
      </c>
      <c r="G10627" s="8">
        <v>7</v>
      </c>
      <c r="H10627" s="8" t="s">
        <v>46892</v>
      </c>
      <c r="I10627" s="8">
        <v>534.5625</v>
      </c>
      <c r="J10627" s="3">
        <f t="shared" si="166"/>
        <v>43749.257006655091</v>
      </c>
    </row>
    <row r="10628" spans="1:10" x14ac:dyDescent="0.25">
      <c r="A10628" s="5" t="s">
        <v>46893</v>
      </c>
      <c r="B10628" s="6">
        <v>393.75</v>
      </c>
      <c r="C10628" s="6">
        <v>20.478950000000001</v>
      </c>
      <c r="D10628" s="6">
        <v>59</v>
      </c>
      <c r="E10628" s="6">
        <v>0</v>
      </c>
      <c r="F10628" s="6">
        <v>0</v>
      </c>
      <c r="G10628" s="6">
        <v>8</v>
      </c>
      <c r="H10628" s="6" t="s">
        <v>46894</v>
      </c>
      <c r="I10628" s="6">
        <v>526.6875</v>
      </c>
      <c r="J10628" s="2">
        <f t="shared" si="166"/>
        <v>43749.257089513885</v>
      </c>
    </row>
    <row r="10629" spans="1:10" x14ac:dyDescent="0.25">
      <c r="A10629" s="7" t="s">
        <v>46895</v>
      </c>
      <c r="B10629" s="8">
        <v>393.75</v>
      </c>
      <c r="C10629" s="8">
        <v>20.426300000000001</v>
      </c>
      <c r="D10629" s="8">
        <v>58</v>
      </c>
      <c r="E10629" s="8">
        <v>0</v>
      </c>
      <c r="F10629" s="8">
        <v>0</v>
      </c>
      <c r="G10629" s="8">
        <v>8</v>
      </c>
      <c r="H10629" s="8" t="s">
        <v>46896</v>
      </c>
      <c r="I10629" s="8">
        <v>526.6875</v>
      </c>
      <c r="J10629" s="3">
        <f t="shared" si="166"/>
        <v>43749.257161122681</v>
      </c>
    </row>
    <row r="10630" spans="1:10" x14ac:dyDescent="0.25">
      <c r="A10630" s="5" t="s">
        <v>46897</v>
      </c>
      <c r="B10630" s="6">
        <v>393.75</v>
      </c>
      <c r="C10630" s="6">
        <v>20.478950000000001</v>
      </c>
      <c r="D10630" s="6">
        <v>59</v>
      </c>
      <c r="E10630" s="6">
        <v>0</v>
      </c>
      <c r="F10630" s="6">
        <v>0</v>
      </c>
      <c r="G10630" s="6">
        <v>6</v>
      </c>
      <c r="H10630" s="6" t="s">
        <v>46898</v>
      </c>
      <c r="I10630" s="6">
        <v>526.6875</v>
      </c>
      <c r="J10630" s="2">
        <f t="shared" si="166"/>
        <v>43749.257244826389</v>
      </c>
    </row>
    <row r="10631" spans="1:10" x14ac:dyDescent="0.25">
      <c r="A10631" s="7" t="s">
        <v>46899</v>
      </c>
      <c r="B10631" s="8">
        <v>393.75</v>
      </c>
      <c r="C10631" s="8">
        <v>20.478950000000001</v>
      </c>
      <c r="D10631" s="8">
        <v>58</v>
      </c>
      <c r="E10631" s="8">
        <v>0</v>
      </c>
      <c r="F10631" s="8">
        <v>0</v>
      </c>
      <c r="G10631" s="8">
        <v>11</v>
      </c>
      <c r="H10631" s="8" t="s">
        <v>46900</v>
      </c>
      <c r="I10631" s="8">
        <v>526.6875</v>
      </c>
      <c r="J10631" s="3">
        <f t="shared" si="166"/>
        <v>43749.257316134252</v>
      </c>
    </row>
    <row r="10632" spans="1:10" x14ac:dyDescent="0.25">
      <c r="A10632" s="5" t="s">
        <v>46901</v>
      </c>
      <c r="B10632" s="6">
        <v>393.75</v>
      </c>
      <c r="C10632" s="6">
        <v>20.478950000000001</v>
      </c>
      <c r="D10632" s="6">
        <v>59</v>
      </c>
      <c r="E10632" s="6">
        <v>0</v>
      </c>
      <c r="F10632" s="6">
        <v>0</v>
      </c>
      <c r="G10632" s="6">
        <v>0</v>
      </c>
      <c r="H10632" s="6" t="s">
        <v>46902</v>
      </c>
      <c r="I10632" s="6">
        <v>526.6875</v>
      </c>
      <c r="J10632" s="2">
        <f t="shared" si="166"/>
        <v>43749.257387916667</v>
      </c>
    </row>
    <row r="10633" spans="1:10" x14ac:dyDescent="0.25">
      <c r="A10633" s="7" t="s">
        <v>46903</v>
      </c>
      <c r="B10633" s="8">
        <v>393.75</v>
      </c>
      <c r="C10633" s="8">
        <v>20.426300000000001</v>
      </c>
      <c r="D10633" s="8">
        <v>67</v>
      </c>
      <c r="E10633" s="8">
        <v>0</v>
      </c>
      <c r="F10633" s="8">
        <v>0</v>
      </c>
      <c r="G10633" s="8">
        <v>0</v>
      </c>
      <c r="H10633" s="8" t="s">
        <v>46904</v>
      </c>
      <c r="I10633" s="8">
        <v>526.6875</v>
      </c>
      <c r="J10633" s="3">
        <f t="shared" si="166"/>
        <v>43749.257692650463</v>
      </c>
    </row>
    <row r="10634" spans="1:10" x14ac:dyDescent="0.25">
      <c r="A10634" s="5" t="s">
        <v>46905</v>
      </c>
      <c r="B10634" s="6">
        <v>412.5</v>
      </c>
      <c r="C10634" s="6">
        <v>20.478950000000001</v>
      </c>
      <c r="D10634" s="6">
        <v>63</v>
      </c>
      <c r="E10634" s="6">
        <v>0</v>
      </c>
      <c r="F10634" s="6">
        <v>0</v>
      </c>
      <c r="G10634" s="6">
        <v>0</v>
      </c>
      <c r="H10634" s="6" t="s">
        <v>46906</v>
      </c>
      <c r="I10634" s="6">
        <v>532.3125</v>
      </c>
      <c r="J10634" s="2">
        <f t="shared" si="166"/>
        <v>43749.257775810183</v>
      </c>
    </row>
    <row r="10635" spans="1:10" x14ac:dyDescent="0.25">
      <c r="A10635" s="7" t="s">
        <v>46907</v>
      </c>
      <c r="B10635" s="8">
        <v>393.75</v>
      </c>
      <c r="C10635" s="8">
        <v>20.426300000000001</v>
      </c>
      <c r="D10635" s="8">
        <v>63</v>
      </c>
      <c r="E10635" s="8">
        <v>0</v>
      </c>
      <c r="F10635" s="8">
        <v>0</v>
      </c>
      <c r="G10635" s="8">
        <v>0</v>
      </c>
      <c r="H10635" s="8" t="s">
        <v>46908</v>
      </c>
      <c r="I10635" s="8">
        <v>526.6875</v>
      </c>
      <c r="J10635" s="3">
        <f t="shared" si="166"/>
        <v>43749.257847326386</v>
      </c>
    </row>
    <row r="10636" spans="1:10" x14ac:dyDescent="0.25">
      <c r="A10636" s="5" t="s">
        <v>46909</v>
      </c>
      <c r="B10636" s="6">
        <v>393.75</v>
      </c>
      <c r="C10636" s="6">
        <v>20.478950000000001</v>
      </c>
      <c r="D10636" s="6">
        <v>62</v>
      </c>
      <c r="E10636" s="6">
        <v>0</v>
      </c>
      <c r="F10636" s="6">
        <v>0</v>
      </c>
      <c r="G10636" s="6">
        <v>0</v>
      </c>
      <c r="H10636" s="6" t="s">
        <v>46910</v>
      </c>
      <c r="I10636" s="6">
        <v>526.6875</v>
      </c>
      <c r="J10636" s="2">
        <f t="shared" si="166"/>
        <v>43749.257919097225</v>
      </c>
    </row>
    <row r="10637" spans="1:10" x14ac:dyDescent="0.25">
      <c r="A10637" s="7" t="s">
        <v>46911</v>
      </c>
      <c r="B10637" s="8">
        <v>393.75</v>
      </c>
      <c r="C10637" s="8">
        <v>20.426300000000001</v>
      </c>
      <c r="D10637" s="8">
        <v>62</v>
      </c>
      <c r="E10637" s="8">
        <v>0</v>
      </c>
      <c r="F10637" s="8">
        <v>0</v>
      </c>
      <c r="G10637" s="8">
        <v>0</v>
      </c>
      <c r="H10637" s="8" t="s">
        <v>46912</v>
      </c>
      <c r="I10637" s="8">
        <v>526.6875</v>
      </c>
      <c r="J10637" s="3">
        <f t="shared" si="166"/>
        <v>43749.257990671293</v>
      </c>
    </row>
    <row r="10638" spans="1:10" x14ac:dyDescent="0.25">
      <c r="A10638" s="5" t="s">
        <v>46913</v>
      </c>
      <c r="B10638" s="6">
        <v>393.75</v>
      </c>
      <c r="C10638" s="6">
        <v>20.426300000000001</v>
      </c>
      <c r="D10638" s="6">
        <v>63</v>
      </c>
      <c r="E10638" s="6">
        <v>0</v>
      </c>
      <c r="F10638" s="6">
        <v>0</v>
      </c>
      <c r="G10638" s="6">
        <v>0</v>
      </c>
      <c r="H10638" s="6" t="s">
        <v>46914</v>
      </c>
      <c r="I10638" s="6">
        <v>526.6875</v>
      </c>
      <c r="J10638" s="2">
        <f t="shared" si="166"/>
        <v>43749.258074108795</v>
      </c>
    </row>
    <row r="10639" spans="1:10" x14ac:dyDescent="0.25">
      <c r="A10639" s="7" t="s">
        <v>46915</v>
      </c>
      <c r="B10639" s="8">
        <v>393.75</v>
      </c>
      <c r="C10639" s="8">
        <v>20.478950000000001</v>
      </c>
      <c r="D10639" s="8">
        <v>62</v>
      </c>
      <c r="E10639" s="8">
        <v>0</v>
      </c>
      <c r="F10639" s="8">
        <v>0</v>
      </c>
      <c r="G10639" s="8">
        <v>13</v>
      </c>
      <c r="H10639" s="8" t="s">
        <v>46916</v>
      </c>
      <c r="I10639" s="8">
        <v>526.5</v>
      </c>
      <c r="J10639" s="3">
        <f t="shared" si="166"/>
        <v>43749.258145787033</v>
      </c>
    </row>
    <row r="10640" spans="1:10" x14ac:dyDescent="0.25">
      <c r="A10640" s="5" t="s">
        <v>46917</v>
      </c>
      <c r="B10640" s="6">
        <v>393.75</v>
      </c>
      <c r="C10640" s="6">
        <v>20.478950000000001</v>
      </c>
      <c r="D10640" s="6">
        <v>62</v>
      </c>
      <c r="E10640" s="6">
        <v>0</v>
      </c>
      <c r="F10640" s="6">
        <v>0</v>
      </c>
      <c r="G10640" s="6">
        <v>12</v>
      </c>
      <c r="H10640" s="6" t="s">
        <v>46918</v>
      </c>
      <c r="I10640" s="6">
        <v>526.6875</v>
      </c>
      <c r="J10640" s="2">
        <f t="shared" si="166"/>
        <v>43749.25821728009</v>
      </c>
    </row>
    <row r="10641" spans="1:10" x14ac:dyDescent="0.25">
      <c r="A10641" s="7" t="s">
        <v>46919</v>
      </c>
      <c r="B10641" s="8">
        <v>393.75</v>
      </c>
      <c r="C10641" s="8">
        <v>20.426300000000001</v>
      </c>
      <c r="D10641" s="8">
        <v>62</v>
      </c>
      <c r="E10641" s="8">
        <v>0</v>
      </c>
      <c r="F10641" s="8">
        <v>0</v>
      </c>
      <c r="G10641" s="8">
        <v>9</v>
      </c>
      <c r="H10641" s="8" t="s">
        <v>46920</v>
      </c>
      <c r="I10641" s="8">
        <v>526.6875</v>
      </c>
      <c r="J10641" s="3">
        <f t="shared" si="166"/>
        <v>43749.258312256941</v>
      </c>
    </row>
    <row r="10642" spans="1:10" x14ac:dyDescent="0.25">
      <c r="A10642" s="5" t="s">
        <v>46921</v>
      </c>
      <c r="B10642" s="6">
        <v>393.75</v>
      </c>
      <c r="C10642" s="6">
        <v>20.426300000000001</v>
      </c>
      <c r="D10642" s="6">
        <v>62</v>
      </c>
      <c r="E10642" s="6">
        <v>0</v>
      </c>
      <c r="F10642" s="6">
        <v>0</v>
      </c>
      <c r="G10642" s="6">
        <v>5</v>
      </c>
      <c r="H10642" s="6" t="s">
        <v>46922</v>
      </c>
      <c r="I10642" s="6">
        <v>526.5</v>
      </c>
      <c r="J10642" s="2">
        <f t="shared" si="166"/>
        <v>43749.258384085646</v>
      </c>
    </row>
    <row r="10643" spans="1:10" x14ac:dyDescent="0.25">
      <c r="A10643" s="7" t="s">
        <v>46923</v>
      </c>
      <c r="B10643" s="8">
        <v>393.75</v>
      </c>
      <c r="C10643" s="8">
        <v>20.426300000000001</v>
      </c>
      <c r="D10643" s="8">
        <v>62</v>
      </c>
      <c r="E10643" s="8">
        <v>0</v>
      </c>
      <c r="F10643" s="8">
        <v>0</v>
      </c>
      <c r="G10643" s="8">
        <v>11</v>
      </c>
      <c r="H10643" s="8" t="s">
        <v>46924</v>
      </c>
      <c r="I10643" s="8">
        <v>526.5</v>
      </c>
      <c r="J10643" s="3">
        <f t="shared" si="166"/>
        <v>43749.258455439813</v>
      </c>
    </row>
    <row r="10644" spans="1:10" x14ac:dyDescent="0.25">
      <c r="A10644" s="5" t="s">
        <v>46925</v>
      </c>
      <c r="B10644" s="6">
        <v>393.75</v>
      </c>
      <c r="C10644" s="6">
        <v>20.478950000000001</v>
      </c>
      <c r="D10644" s="6">
        <v>60</v>
      </c>
      <c r="E10644" s="6">
        <v>0</v>
      </c>
      <c r="F10644" s="6">
        <v>0</v>
      </c>
      <c r="G10644" s="6">
        <v>8</v>
      </c>
      <c r="H10644" s="6" t="s">
        <v>46926</v>
      </c>
      <c r="I10644" s="6">
        <v>526.5</v>
      </c>
      <c r="J10644" s="2">
        <f t="shared" si="166"/>
        <v>43749.25852737268</v>
      </c>
    </row>
    <row r="10645" spans="1:10" x14ac:dyDescent="0.25">
      <c r="A10645" s="7" t="s">
        <v>46927</v>
      </c>
      <c r="B10645" s="8">
        <v>393.75</v>
      </c>
      <c r="C10645" s="8">
        <v>20.478950000000001</v>
      </c>
      <c r="D10645" s="8">
        <v>58</v>
      </c>
      <c r="E10645" s="8">
        <v>0</v>
      </c>
      <c r="F10645" s="8">
        <v>0</v>
      </c>
      <c r="G10645" s="8">
        <v>12</v>
      </c>
      <c r="H10645" s="8" t="s">
        <v>46928</v>
      </c>
      <c r="I10645" s="8">
        <v>526.6875</v>
      </c>
      <c r="J10645" s="3">
        <f t="shared" si="166"/>
        <v>43749.258598726847</v>
      </c>
    </row>
    <row r="10646" spans="1:10" x14ac:dyDescent="0.25">
      <c r="A10646" s="5" t="s">
        <v>46929</v>
      </c>
      <c r="B10646" s="6">
        <v>393.75</v>
      </c>
      <c r="C10646" s="6">
        <v>20.478950000000001</v>
      </c>
      <c r="D10646" s="6">
        <v>58</v>
      </c>
      <c r="E10646" s="6">
        <v>0</v>
      </c>
      <c r="F10646" s="6">
        <v>0</v>
      </c>
      <c r="G10646" s="6">
        <v>15</v>
      </c>
      <c r="H10646" s="6" t="s">
        <v>46930</v>
      </c>
      <c r="I10646" s="6">
        <v>526.6875</v>
      </c>
      <c r="J10646" s="2">
        <f t="shared" si="166"/>
        <v>43749.25868204861</v>
      </c>
    </row>
    <row r="10647" spans="1:10" x14ac:dyDescent="0.25">
      <c r="A10647" s="7" t="s">
        <v>46931</v>
      </c>
      <c r="B10647" s="8">
        <v>412.5</v>
      </c>
      <c r="C10647" s="8">
        <v>20.426300000000001</v>
      </c>
      <c r="D10647" s="8">
        <v>59</v>
      </c>
      <c r="E10647" s="8">
        <v>0</v>
      </c>
      <c r="F10647" s="8">
        <v>0</v>
      </c>
      <c r="G10647" s="8">
        <v>8</v>
      </c>
      <c r="H10647" s="8" t="s">
        <v>46932</v>
      </c>
      <c r="I10647" s="8">
        <v>532.3125</v>
      </c>
      <c r="J10647" s="3">
        <f t="shared" si="166"/>
        <v>43749.258753680559</v>
      </c>
    </row>
    <row r="10648" spans="1:10" x14ac:dyDescent="0.25">
      <c r="A10648" s="5" t="s">
        <v>46933</v>
      </c>
      <c r="B10648" s="6">
        <v>393.75</v>
      </c>
      <c r="C10648" s="6">
        <v>20.478950000000001</v>
      </c>
      <c r="D10648" s="6">
        <v>59</v>
      </c>
      <c r="E10648" s="6">
        <v>0</v>
      </c>
      <c r="F10648" s="6">
        <v>0</v>
      </c>
      <c r="G10648" s="6">
        <v>4</v>
      </c>
      <c r="H10648" s="6" t="s">
        <v>46934</v>
      </c>
      <c r="I10648" s="6">
        <v>526.6875</v>
      </c>
      <c r="J10648" s="2">
        <f t="shared" si="166"/>
        <v>43749.258837222216</v>
      </c>
    </row>
    <row r="10649" spans="1:10" x14ac:dyDescent="0.25">
      <c r="A10649" s="7" t="s">
        <v>46935</v>
      </c>
      <c r="B10649" s="8">
        <v>393.75</v>
      </c>
      <c r="C10649" s="8">
        <v>20.478950000000001</v>
      </c>
      <c r="D10649" s="8">
        <v>59</v>
      </c>
      <c r="E10649" s="8">
        <v>0</v>
      </c>
      <c r="F10649" s="8">
        <v>0</v>
      </c>
      <c r="G10649" s="8">
        <v>5</v>
      </c>
      <c r="H10649" s="8" t="s">
        <v>46936</v>
      </c>
      <c r="I10649" s="8">
        <v>526.6875</v>
      </c>
      <c r="J10649" s="3">
        <f t="shared" si="166"/>
        <v>43749.258908391203</v>
      </c>
    </row>
    <row r="10650" spans="1:10" x14ac:dyDescent="0.25">
      <c r="A10650" s="5" t="s">
        <v>46937</v>
      </c>
      <c r="B10650" s="6">
        <v>393.75</v>
      </c>
      <c r="C10650" s="6">
        <v>20.478950000000001</v>
      </c>
      <c r="D10650" s="6">
        <v>59</v>
      </c>
      <c r="E10650" s="6">
        <v>0</v>
      </c>
      <c r="F10650" s="6">
        <v>0</v>
      </c>
      <c r="G10650" s="6">
        <v>8</v>
      </c>
      <c r="H10650" s="6" t="s">
        <v>46938</v>
      </c>
      <c r="I10650" s="6">
        <v>526.6875</v>
      </c>
      <c r="J10650" s="2">
        <f t="shared" si="166"/>
        <v>43749.258980104169</v>
      </c>
    </row>
    <row r="10651" spans="1:10" x14ac:dyDescent="0.25">
      <c r="A10651" s="7" t="s">
        <v>46939</v>
      </c>
      <c r="B10651" s="8">
        <v>393.75</v>
      </c>
      <c r="C10651" s="8">
        <v>20.426300000000001</v>
      </c>
      <c r="D10651" s="8">
        <v>59</v>
      </c>
      <c r="E10651" s="8">
        <v>0</v>
      </c>
      <c r="F10651" s="8">
        <v>0</v>
      </c>
      <c r="G10651" s="8">
        <v>7</v>
      </c>
      <c r="H10651" s="8" t="s">
        <v>46940</v>
      </c>
      <c r="I10651" s="8">
        <v>526.6875</v>
      </c>
      <c r="J10651" s="3">
        <f t="shared" si="166"/>
        <v>43749.259063530095</v>
      </c>
    </row>
    <row r="10652" spans="1:10" x14ac:dyDescent="0.25">
      <c r="A10652" s="5" t="s">
        <v>46941</v>
      </c>
      <c r="B10652" s="6">
        <v>393.75</v>
      </c>
      <c r="C10652" s="6">
        <v>20.478950000000001</v>
      </c>
      <c r="D10652" s="6">
        <v>59</v>
      </c>
      <c r="E10652" s="6">
        <v>0</v>
      </c>
      <c r="F10652" s="6">
        <v>0</v>
      </c>
      <c r="G10652" s="6">
        <v>7</v>
      </c>
      <c r="H10652" s="6" t="s">
        <v>46942</v>
      </c>
      <c r="I10652" s="6">
        <v>526.5</v>
      </c>
      <c r="J10652" s="2">
        <f t="shared" si="166"/>
        <v>43749.259147280092</v>
      </c>
    </row>
    <row r="10653" spans="1:10" x14ac:dyDescent="0.25">
      <c r="A10653" s="7" t="s">
        <v>46943</v>
      </c>
      <c r="B10653" s="8">
        <v>412.5</v>
      </c>
      <c r="C10653" s="8">
        <v>20.426300000000001</v>
      </c>
      <c r="D10653" s="8">
        <v>59</v>
      </c>
      <c r="E10653" s="8">
        <v>0</v>
      </c>
      <c r="F10653" s="8">
        <v>0</v>
      </c>
      <c r="G10653" s="8">
        <v>5</v>
      </c>
      <c r="H10653" s="8" t="s">
        <v>46944</v>
      </c>
      <c r="I10653" s="8">
        <v>532.125</v>
      </c>
      <c r="J10653" s="3">
        <f t="shared" si="166"/>
        <v>43749.259218518513</v>
      </c>
    </row>
    <row r="10654" spans="1:10" x14ac:dyDescent="0.25">
      <c r="A10654" s="5" t="s">
        <v>46945</v>
      </c>
      <c r="B10654" s="6">
        <v>393.75</v>
      </c>
      <c r="C10654" s="6">
        <v>20.478950000000001</v>
      </c>
      <c r="D10654" s="6">
        <v>59</v>
      </c>
      <c r="E10654" s="6">
        <v>0</v>
      </c>
      <c r="F10654" s="6">
        <v>0</v>
      </c>
      <c r="G10654" s="6">
        <v>9</v>
      </c>
      <c r="H10654" s="6" t="s">
        <v>46946</v>
      </c>
      <c r="I10654" s="6">
        <v>526.5</v>
      </c>
      <c r="J10654" s="2">
        <f t="shared" si="166"/>
        <v>43749.259290034715</v>
      </c>
    </row>
    <row r="10655" spans="1:10" x14ac:dyDescent="0.25">
      <c r="A10655" s="7" t="s">
        <v>46947</v>
      </c>
      <c r="B10655" s="8">
        <v>393.75</v>
      </c>
      <c r="C10655" s="8">
        <v>20.478950000000001</v>
      </c>
      <c r="D10655" s="8">
        <v>58</v>
      </c>
      <c r="E10655" s="8">
        <v>0</v>
      </c>
      <c r="F10655" s="8">
        <v>0</v>
      </c>
      <c r="G10655" s="8">
        <v>11</v>
      </c>
      <c r="H10655" s="8" t="s">
        <v>46948</v>
      </c>
      <c r="I10655" s="8">
        <v>526.6875</v>
      </c>
      <c r="J10655" s="3">
        <f t="shared" si="166"/>
        <v>43749.259361921293</v>
      </c>
    </row>
    <row r="10656" spans="1:10" x14ac:dyDescent="0.25">
      <c r="A10656" s="5" t="s">
        <v>46949</v>
      </c>
      <c r="B10656" s="6">
        <v>393.75</v>
      </c>
      <c r="C10656" s="6">
        <v>20.478950000000001</v>
      </c>
      <c r="D10656" s="6">
        <v>62</v>
      </c>
      <c r="E10656" s="6">
        <v>0</v>
      </c>
      <c r="F10656" s="6">
        <v>0</v>
      </c>
      <c r="G10656" s="6">
        <v>7</v>
      </c>
      <c r="H10656" s="6" t="s">
        <v>46950</v>
      </c>
      <c r="I10656" s="6">
        <v>526.6875</v>
      </c>
      <c r="J10656" s="2">
        <f t="shared" si="166"/>
        <v>43749.259433576386</v>
      </c>
    </row>
    <row r="10657" spans="1:10" x14ac:dyDescent="0.25">
      <c r="A10657" s="7" t="s">
        <v>46951</v>
      </c>
      <c r="B10657" s="8">
        <v>393.75</v>
      </c>
      <c r="C10657" s="8">
        <v>20.478950000000001</v>
      </c>
      <c r="D10657" s="8">
        <v>62</v>
      </c>
      <c r="E10657" s="8">
        <v>0</v>
      </c>
      <c r="F10657" s="8">
        <v>0</v>
      </c>
      <c r="G10657" s="8">
        <v>6</v>
      </c>
      <c r="H10657" s="8" t="s">
        <v>46952</v>
      </c>
      <c r="I10657" s="8">
        <v>526.6875</v>
      </c>
      <c r="J10657" s="3">
        <f t="shared" si="166"/>
        <v>43749.259504687499</v>
      </c>
    </row>
    <row r="10658" spans="1:10" x14ac:dyDescent="0.25">
      <c r="A10658" s="5" t="s">
        <v>46953</v>
      </c>
      <c r="B10658" s="6">
        <v>393.75</v>
      </c>
      <c r="C10658" s="6">
        <v>20.478950000000001</v>
      </c>
      <c r="D10658" s="6">
        <v>62</v>
      </c>
      <c r="E10658" s="6">
        <v>0</v>
      </c>
      <c r="F10658" s="6">
        <v>0</v>
      </c>
      <c r="G10658" s="6">
        <v>6</v>
      </c>
      <c r="H10658" s="6" t="s">
        <v>46954</v>
      </c>
      <c r="I10658" s="6">
        <v>526.6875</v>
      </c>
      <c r="J10658" s="2">
        <f t="shared" si="166"/>
        <v>43749.259576608798</v>
      </c>
    </row>
    <row r="10659" spans="1:10" x14ac:dyDescent="0.25">
      <c r="A10659" s="7" t="s">
        <v>46955</v>
      </c>
      <c r="B10659" s="8">
        <v>393.75</v>
      </c>
      <c r="C10659" s="8">
        <v>20.478950000000001</v>
      </c>
      <c r="D10659" s="8">
        <v>62</v>
      </c>
      <c r="E10659" s="8">
        <v>0</v>
      </c>
      <c r="F10659" s="8">
        <v>0</v>
      </c>
      <c r="G10659" s="8">
        <v>7</v>
      </c>
      <c r="H10659" s="8" t="s">
        <v>46956</v>
      </c>
      <c r="I10659" s="8">
        <v>526.5</v>
      </c>
      <c r="J10659" s="3">
        <f t="shared" si="166"/>
        <v>43749.25965983796</v>
      </c>
    </row>
    <row r="10660" spans="1:10" x14ac:dyDescent="0.25">
      <c r="A10660" s="5" t="s">
        <v>46957</v>
      </c>
      <c r="B10660" s="6">
        <v>393.75</v>
      </c>
      <c r="C10660" s="6">
        <v>20.478950000000001</v>
      </c>
      <c r="D10660" s="6">
        <v>62</v>
      </c>
      <c r="E10660" s="6">
        <v>0</v>
      </c>
      <c r="F10660" s="6">
        <v>0</v>
      </c>
      <c r="G10660" s="6">
        <v>10</v>
      </c>
      <c r="H10660" s="6" t="s">
        <v>46958</v>
      </c>
      <c r="I10660" s="6">
        <v>526.5</v>
      </c>
      <c r="J10660" s="2">
        <f t="shared" si="166"/>
        <v>43749.259731597216</v>
      </c>
    </row>
    <row r="10661" spans="1:10" x14ac:dyDescent="0.25">
      <c r="A10661" s="7" t="s">
        <v>46959</v>
      </c>
      <c r="B10661" s="8">
        <v>393.75</v>
      </c>
      <c r="C10661" s="8">
        <v>20.478950000000001</v>
      </c>
      <c r="D10661" s="8">
        <v>62</v>
      </c>
      <c r="E10661" s="8">
        <v>0</v>
      </c>
      <c r="F10661" s="8">
        <v>0</v>
      </c>
      <c r="G10661" s="8">
        <v>2</v>
      </c>
      <c r="H10661" s="8" t="s">
        <v>46960</v>
      </c>
      <c r="I10661" s="8">
        <v>526.6875</v>
      </c>
      <c r="J10661" s="3">
        <f t="shared" si="166"/>
        <v>43749.259815046295</v>
      </c>
    </row>
    <row r="10662" spans="1:10" x14ac:dyDescent="0.25">
      <c r="A10662" s="5" t="s">
        <v>46961</v>
      </c>
      <c r="B10662" s="6">
        <v>393.75</v>
      </c>
      <c r="C10662" s="6">
        <v>20.478950000000001</v>
      </c>
      <c r="D10662" s="6">
        <v>63</v>
      </c>
      <c r="E10662" s="6">
        <v>0</v>
      </c>
      <c r="F10662" s="6">
        <v>0</v>
      </c>
      <c r="G10662" s="6">
        <v>6</v>
      </c>
      <c r="H10662" s="6" t="s">
        <v>46962</v>
      </c>
      <c r="I10662" s="6">
        <v>526.5</v>
      </c>
      <c r="J10662" s="2">
        <f t="shared" si="166"/>
        <v>43749.259886562497</v>
      </c>
    </row>
    <row r="10663" spans="1:10" x14ac:dyDescent="0.25">
      <c r="A10663" s="7" t="s">
        <v>46963</v>
      </c>
      <c r="B10663" s="8">
        <v>393.75</v>
      </c>
      <c r="C10663" s="8">
        <v>20.426300000000001</v>
      </c>
      <c r="D10663" s="8">
        <v>62</v>
      </c>
      <c r="E10663" s="8">
        <v>0</v>
      </c>
      <c r="F10663" s="8">
        <v>0</v>
      </c>
      <c r="G10663" s="8">
        <v>7</v>
      </c>
      <c r="H10663" s="8" t="s">
        <v>46964</v>
      </c>
      <c r="I10663" s="8">
        <v>526.6875</v>
      </c>
      <c r="J10663" s="3">
        <f t="shared" si="166"/>
        <v>43749.259958148141</v>
      </c>
    </row>
    <row r="10664" spans="1:10" x14ac:dyDescent="0.25">
      <c r="A10664" s="5" t="s">
        <v>46965</v>
      </c>
      <c r="B10664" s="6">
        <v>418.75</v>
      </c>
      <c r="C10664" s="6">
        <v>20.478950000000001</v>
      </c>
      <c r="D10664" s="6">
        <v>62</v>
      </c>
      <c r="E10664" s="6">
        <v>0</v>
      </c>
      <c r="F10664" s="6">
        <v>0</v>
      </c>
      <c r="G10664" s="6">
        <v>13</v>
      </c>
      <c r="H10664" s="6" t="s">
        <v>46966</v>
      </c>
      <c r="I10664" s="6">
        <v>534.375</v>
      </c>
      <c r="J10664" s="2">
        <f t="shared" si="166"/>
        <v>43749.260029537036</v>
      </c>
    </row>
    <row r="10665" spans="1:10" x14ac:dyDescent="0.25">
      <c r="A10665" s="7" t="s">
        <v>46967</v>
      </c>
      <c r="B10665" s="8">
        <v>393.75</v>
      </c>
      <c r="C10665" s="8">
        <v>20.426300000000001</v>
      </c>
      <c r="D10665" s="8">
        <v>63</v>
      </c>
      <c r="E10665" s="8">
        <v>0</v>
      </c>
      <c r="F10665" s="8">
        <v>0</v>
      </c>
      <c r="G10665" s="8">
        <v>4</v>
      </c>
      <c r="H10665" s="8" t="s">
        <v>46968</v>
      </c>
      <c r="I10665" s="8">
        <v>526.6875</v>
      </c>
      <c r="J10665" s="3">
        <f t="shared" si="166"/>
        <v>43749.260113217591</v>
      </c>
    </row>
    <row r="10666" spans="1:10" x14ac:dyDescent="0.25">
      <c r="A10666" s="5" t="s">
        <v>46969</v>
      </c>
      <c r="B10666" s="6">
        <v>393.75</v>
      </c>
      <c r="C10666" s="6">
        <v>20.478950000000001</v>
      </c>
      <c r="D10666" s="6">
        <v>62</v>
      </c>
      <c r="E10666" s="6">
        <v>0</v>
      </c>
      <c r="F10666" s="6">
        <v>0</v>
      </c>
      <c r="G10666" s="6">
        <v>10</v>
      </c>
      <c r="H10666" s="6" t="s">
        <v>46970</v>
      </c>
      <c r="I10666" s="6">
        <v>526.6875</v>
      </c>
      <c r="J10666" s="2">
        <f t="shared" si="166"/>
        <v>43749.260184849532</v>
      </c>
    </row>
    <row r="10667" spans="1:10" x14ac:dyDescent="0.25">
      <c r="A10667" s="7" t="s">
        <v>46971</v>
      </c>
      <c r="B10667" s="8">
        <v>393.75</v>
      </c>
      <c r="C10667" s="8">
        <v>20.426300000000001</v>
      </c>
      <c r="D10667" s="8">
        <v>63</v>
      </c>
      <c r="E10667" s="8">
        <v>0</v>
      </c>
      <c r="F10667" s="8">
        <v>0</v>
      </c>
      <c r="G10667" s="8">
        <v>10</v>
      </c>
      <c r="H10667" s="8" t="s">
        <v>46972</v>
      </c>
      <c r="I10667" s="8">
        <v>526.6875</v>
      </c>
      <c r="J10667" s="3">
        <f t="shared" si="166"/>
        <v>43749.260280289345</v>
      </c>
    </row>
    <row r="10668" spans="1:10" x14ac:dyDescent="0.25">
      <c r="A10668" s="5" t="s">
        <v>46973</v>
      </c>
      <c r="B10668" s="6">
        <v>393.75</v>
      </c>
      <c r="C10668" s="6">
        <v>20.478950000000001</v>
      </c>
      <c r="D10668" s="6">
        <v>63</v>
      </c>
      <c r="E10668" s="6">
        <v>0</v>
      </c>
      <c r="F10668" s="6">
        <v>0</v>
      </c>
      <c r="G10668" s="6">
        <v>15</v>
      </c>
      <c r="H10668" s="6" t="s">
        <v>46974</v>
      </c>
      <c r="I10668" s="6">
        <v>526.6875</v>
      </c>
      <c r="J10668" s="2">
        <f t="shared" si="166"/>
        <v>43749.260363622678</v>
      </c>
    </row>
    <row r="10669" spans="1:10" x14ac:dyDescent="0.25">
      <c r="A10669" s="7" t="s">
        <v>46975</v>
      </c>
      <c r="B10669" s="8">
        <v>393.75</v>
      </c>
      <c r="C10669" s="8">
        <v>20.426300000000001</v>
      </c>
      <c r="D10669" s="8">
        <v>62</v>
      </c>
      <c r="E10669" s="8">
        <v>0</v>
      </c>
      <c r="F10669" s="8">
        <v>0</v>
      </c>
      <c r="G10669" s="8">
        <v>11</v>
      </c>
      <c r="H10669" s="8" t="s">
        <v>46976</v>
      </c>
      <c r="I10669" s="8">
        <v>526.5</v>
      </c>
      <c r="J10669" s="3">
        <f t="shared" si="166"/>
        <v>43749.260435312499</v>
      </c>
    </row>
    <row r="10670" spans="1:10" x14ac:dyDescent="0.25">
      <c r="A10670" s="5" t="s">
        <v>46977</v>
      </c>
      <c r="B10670" s="6">
        <v>393.75</v>
      </c>
      <c r="C10670" s="6">
        <v>20.426300000000001</v>
      </c>
      <c r="D10670" s="6">
        <v>61</v>
      </c>
      <c r="E10670" s="6">
        <v>0</v>
      </c>
      <c r="F10670" s="6">
        <v>0</v>
      </c>
      <c r="G10670" s="6">
        <v>3</v>
      </c>
      <c r="H10670" s="6" t="s">
        <v>46978</v>
      </c>
      <c r="I10670" s="6">
        <v>526.5</v>
      </c>
      <c r="J10670" s="2">
        <f t="shared" si="166"/>
        <v>43749.26051876157</v>
      </c>
    </row>
    <row r="10671" spans="1:10" x14ac:dyDescent="0.25">
      <c r="A10671" s="7" t="s">
        <v>46979</v>
      </c>
      <c r="B10671" s="8">
        <v>393.75</v>
      </c>
      <c r="C10671" s="8">
        <v>20.478950000000001</v>
      </c>
      <c r="D10671" s="8">
        <v>61</v>
      </c>
      <c r="E10671" s="8">
        <v>0</v>
      </c>
      <c r="F10671" s="8">
        <v>0</v>
      </c>
      <c r="G10671" s="8">
        <v>10</v>
      </c>
      <c r="H10671" s="8" t="s">
        <v>46980</v>
      </c>
      <c r="I10671" s="8">
        <v>526.6875</v>
      </c>
      <c r="J10671" s="3">
        <f t="shared" si="166"/>
        <v>43749.260589953701</v>
      </c>
    </row>
    <row r="10672" spans="1:10" x14ac:dyDescent="0.25">
      <c r="A10672" s="5" t="s">
        <v>46981</v>
      </c>
      <c r="B10672" s="6">
        <v>393.75</v>
      </c>
      <c r="C10672" s="6">
        <v>20.478950000000001</v>
      </c>
      <c r="D10672" s="6">
        <v>61</v>
      </c>
      <c r="E10672" s="6">
        <v>0</v>
      </c>
      <c r="F10672" s="6">
        <v>0</v>
      </c>
      <c r="G10672" s="6">
        <v>11</v>
      </c>
      <c r="H10672" s="6" t="s">
        <v>46982</v>
      </c>
      <c r="I10672" s="6">
        <v>526.6875</v>
      </c>
      <c r="J10672" s="2">
        <f t="shared" si="166"/>
        <v>43749.260661886576</v>
      </c>
    </row>
    <row r="10673" spans="1:10" x14ac:dyDescent="0.25">
      <c r="A10673" s="7" t="s">
        <v>46983</v>
      </c>
      <c r="B10673" s="8">
        <v>393.75</v>
      </c>
      <c r="C10673" s="8">
        <v>20.478950000000001</v>
      </c>
      <c r="D10673" s="8">
        <v>61</v>
      </c>
      <c r="E10673" s="8">
        <v>0</v>
      </c>
      <c r="F10673" s="8">
        <v>0</v>
      </c>
      <c r="G10673" s="8">
        <v>6</v>
      </c>
      <c r="H10673" s="8" t="s">
        <v>46984</v>
      </c>
      <c r="I10673" s="8">
        <v>526.6875</v>
      </c>
      <c r="J10673" s="3">
        <f t="shared" si="166"/>
        <v>43749.260745092593</v>
      </c>
    </row>
    <row r="10674" spans="1:10" x14ac:dyDescent="0.25">
      <c r="A10674" s="5" t="s">
        <v>46985</v>
      </c>
      <c r="B10674" s="6">
        <v>396.875</v>
      </c>
      <c r="C10674" s="6">
        <v>20.426300000000001</v>
      </c>
      <c r="D10674" s="6">
        <v>62</v>
      </c>
      <c r="E10674" s="6">
        <v>0</v>
      </c>
      <c r="F10674" s="6">
        <v>0</v>
      </c>
      <c r="G10674" s="6">
        <v>4</v>
      </c>
      <c r="H10674" s="6" t="s">
        <v>46986</v>
      </c>
      <c r="I10674" s="6">
        <v>527.4375</v>
      </c>
      <c r="J10674" s="2">
        <f t="shared" si="166"/>
        <v>43749.260816851849</v>
      </c>
    </row>
    <row r="10675" spans="1:10" x14ac:dyDescent="0.25">
      <c r="A10675" s="7" t="s">
        <v>46987</v>
      </c>
      <c r="B10675" s="8">
        <v>396.875</v>
      </c>
      <c r="C10675" s="8">
        <v>20.478950000000001</v>
      </c>
      <c r="D10675" s="8">
        <v>62</v>
      </c>
      <c r="E10675" s="8">
        <v>0</v>
      </c>
      <c r="F10675" s="8">
        <v>0</v>
      </c>
      <c r="G10675" s="8">
        <v>0</v>
      </c>
      <c r="H10675" s="8" t="s">
        <v>46988</v>
      </c>
      <c r="I10675" s="8">
        <v>527.4375</v>
      </c>
      <c r="J10675" s="3">
        <f t="shared" si="166"/>
        <v>43749.260900462956</v>
      </c>
    </row>
    <row r="10676" spans="1:10" x14ac:dyDescent="0.25">
      <c r="A10676" s="5" t="s">
        <v>46989</v>
      </c>
      <c r="B10676" s="6">
        <v>396.875</v>
      </c>
      <c r="C10676" s="6">
        <v>20.426300000000001</v>
      </c>
      <c r="D10676" s="6">
        <v>62</v>
      </c>
      <c r="E10676" s="6">
        <v>0</v>
      </c>
      <c r="F10676" s="6">
        <v>0</v>
      </c>
      <c r="G10676" s="6">
        <v>7</v>
      </c>
      <c r="H10676" s="6" t="s">
        <v>46990</v>
      </c>
      <c r="I10676" s="6">
        <v>527.4375</v>
      </c>
      <c r="J10676" s="2">
        <f t="shared" si="166"/>
        <v>43749.260971979165</v>
      </c>
    </row>
    <row r="10677" spans="1:10" x14ac:dyDescent="0.25">
      <c r="A10677" s="7" t="s">
        <v>46991</v>
      </c>
      <c r="B10677" s="8">
        <v>396.875</v>
      </c>
      <c r="C10677" s="8">
        <v>20.478950000000001</v>
      </c>
      <c r="D10677" s="8">
        <v>63</v>
      </c>
      <c r="E10677" s="8">
        <v>0</v>
      </c>
      <c r="F10677" s="8">
        <v>0</v>
      </c>
      <c r="G10677" s="8">
        <v>12</v>
      </c>
      <c r="H10677" s="8" t="s">
        <v>46992</v>
      </c>
      <c r="I10677" s="8">
        <v>527.4375</v>
      </c>
      <c r="J10677" s="3">
        <f t="shared" si="166"/>
        <v>43749.261043472223</v>
      </c>
    </row>
    <row r="10678" spans="1:10" x14ac:dyDescent="0.25">
      <c r="A10678" s="5" t="s">
        <v>46993</v>
      </c>
      <c r="B10678" s="6">
        <v>396.875</v>
      </c>
      <c r="C10678" s="6">
        <v>20.426300000000001</v>
      </c>
      <c r="D10678" s="6">
        <v>63</v>
      </c>
      <c r="E10678" s="6">
        <v>0</v>
      </c>
      <c r="F10678" s="6">
        <v>0</v>
      </c>
      <c r="G10678" s="6">
        <v>11</v>
      </c>
      <c r="H10678" s="6" t="s">
        <v>46994</v>
      </c>
      <c r="I10678" s="6">
        <v>527.4375</v>
      </c>
      <c r="J10678" s="2">
        <f t="shared" si="166"/>
        <v>43749.261115046298</v>
      </c>
    </row>
    <row r="10679" spans="1:10" x14ac:dyDescent="0.25">
      <c r="A10679" s="7" t="s">
        <v>46995</v>
      </c>
      <c r="B10679" s="8">
        <v>396.875</v>
      </c>
      <c r="C10679" s="8">
        <v>20.478950000000001</v>
      </c>
      <c r="D10679" s="8">
        <v>63</v>
      </c>
      <c r="E10679" s="8">
        <v>0</v>
      </c>
      <c r="F10679" s="8">
        <v>0</v>
      </c>
      <c r="G10679" s="8">
        <v>8</v>
      </c>
      <c r="H10679" s="8" t="s">
        <v>46996</v>
      </c>
      <c r="I10679" s="8">
        <v>527.4375</v>
      </c>
      <c r="J10679" s="3">
        <f t="shared" si="166"/>
        <v>43749.26118606481</v>
      </c>
    </row>
    <row r="10680" spans="1:10" x14ac:dyDescent="0.25">
      <c r="A10680" s="5" t="s">
        <v>46997</v>
      </c>
      <c r="B10680" s="6">
        <v>396.875</v>
      </c>
      <c r="C10680" s="6">
        <v>20.478950000000001</v>
      </c>
      <c r="D10680" s="6">
        <v>60</v>
      </c>
      <c r="E10680" s="6">
        <v>0</v>
      </c>
      <c r="F10680" s="6">
        <v>0</v>
      </c>
      <c r="G10680" s="6">
        <v>5</v>
      </c>
      <c r="H10680" s="6" t="s">
        <v>46998</v>
      </c>
      <c r="I10680" s="6">
        <v>527.4375</v>
      </c>
      <c r="J10680" s="2">
        <f t="shared" si="166"/>
        <v>43749.261258148144</v>
      </c>
    </row>
    <row r="10681" spans="1:10" x14ac:dyDescent="0.25">
      <c r="A10681" s="7" t="s">
        <v>46999</v>
      </c>
      <c r="B10681" s="8">
        <v>396.875</v>
      </c>
      <c r="C10681" s="8">
        <v>20.478950000000001</v>
      </c>
      <c r="D10681" s="8">
        <v>60</v>
      </c>
      <c r="E10681" s="8">
        <v>0</v>
      </c>
      <c r="F10681" s="8">
        <v>0</v>
      </c>
      <c r="G10681" s="8">
        <v>6</v>
      </c>
      <c r="H10681" s="8" t="s">
        <v>47000</v>
      </c>
      <c r="I10681" s="8">
        <v>527.4375</v>
      </c>
      <c r="J10681" s="3">
        <f t="shared" si="166"/>
        <v>43749.261341388883</v>
      </c>
    </row>
    <row r="10682" spans="1:10" x14ac:dyDescent="0.25">
      <c r="A10682" s="5" t="s">
        <v>47001</v>
      </c>
      <c r="B10682" s="6">
        <v>400</v>
      </c>
      <c r="C10682" s="6">
        <v>20.478950000000001</v>
      </c>
      <c r="D10682" s="6">
        <v>60</v>
      </c>
      <c r="E10682" s="6">
        <v>0</v>
      </c>
      <c r="F10682" s="6">
        <v>0</v>
      </c>
      <c r="G10682" s="6">
        <v>9</v>
      </c>
      <c r="H10682" s="6" t="s">
        <v>47002</v>
      </c>
      <c r="I10682" s="6">
        <v>528.1875</v>
      </c>
      <c r="J10682" s="2">
        <f t="shared" si="166"/>
        <v>43749.261413171298</v>
      </c>
    </row>
    <row r="10683" spans="1:10" x14ac:dyDescent="0.25">
      <c r="A10683" s="7" t="s">
        <v>47003</v>
      </c>
      <c r="B10683" s="8">
        <v>415.625</v>
      </c>
      <c r="C10683" s="8">
        <v>20.478950000000001</v>
      </c>
      <c r="D10683" s="8">
        <v>59</v>
      </c>
      <c r="E10683" s="8">
        <v>0</v>
      </c>
      <c r="F10683" s="8">
        <v>0</v>
      </c>
      <c r="G10683" s="8">
        <v>6</v>
      </c>
      <c r="H10683" s="8" t="s">
        <v>47004</v>
      </c>
      <c r="I10683" s="8">
        <v>533.8125</v>
      </c>
      <c r="J10683" s="3">
        <f t="shared" si="166"/>
        <v>43749.261496666666</v>
      </c>
    </row>
    <row r="10684" spans="1:10" x14ac:dyDescent="0.25">
      <c r="A10684" s="5" t="s">
        <v>47005</v>
      </c>
      <c r="B10684" s="6">
        <v>400</v>
      </c>
      <c r="C10684" s="6">
        <v>20.478950000000001</v>
      </c>
      <c r="D10684" s="6">
        <v>59</v>
      </c>
      <c r="E10684" s="6">
        <v>0</v>
      </c>
      <c r="F10684" s="6">
        <v>0</v>
      </c>
      <c r="G10684" s="6">
        <v>6</v>
      </c>
      <c r="H10684" s="6" t="s">
        <v>47006</v>
      </c>
      <c r="I10684" s="6">
        <v>528.1875</v>
      </c>
      <c r="J10684" s="2">
        <f t="shared" si="166"/>
        <v>43749.261568148147</v>
      </c>
    </row>
    <row r="10685" spans="1:10" x14ac:dyDescent="0.25">
      <c r="A10685" s="7" t="s">
        <v>47007</v>
      </c>
      <c r="B10685" s="8">
        <v>400</v>
      </c>
      <c r="C10685" s="8">
        <v>20.478950000000001</v>
      </c>
      <c r="D10685" s="8">
        <v>59</v>
      </c>
      <c r="E10685" s="8">
        <v>0</v>
      </c>
      <c r="F10685" s="8">
        <v>0</v>
      </c>
      <c r="G10685" s="8">
        <v>12</v>
      </c>
      <c r="H10685" s="8" t="s">
        <v>47008</v>
      </c>
      <c r="I10685" s="8">
        <v>528.1875</v>
      </c>
      <c r="J10685" s="3">
        <f t="shared" si="166"/>
        <v>43749.261639722223</v>
      </c>
    </row>
    <row r="10686" spans="1:10" x14ac:dyDescent="0.25">
      <c r="A10686" s="5" t="s">
        <v>47009</v>
      </c>
      <c r="B10686" s="6">
        <v>400</v>
      </c>
      <c r="C10686" s="6">
        <v>20.478950000000001</v>
      </c>
      <c r="D10686" s="6">
        <v>59</v>
      </c>
      <c r="E10686" s="6">
        <v>0</v>
      </c>
      <c r="F10686" s="6">
        <v>0</v>
      </c>
      <c r="G10686" s="6">
        <v>9</v>
      </c>
      <c r="H10686" s="6" t="s">
        <v>47010</v>
      </c>
      <c r="I10686" s="6">
        <v>528.1875</v>
      </c>
      <c r="J10686" s="2">
        <f t="shared" si="166"/>
        <v>43749.26172289352</v>
      </c>
    </row>
    <row r="10687" spans="1:10" x14ac:dyDescent="0.25">
      <c r="A10687" s="7" t="s">
        <v>47011</v>
      </c>
      <c r="B10687" s="8">
        <v>400</v>
      </c>
      <c r="C10687" s="8">
        <v>20.426300000000001</v>
      </c>
      <c r="D10687" s="8">
        <v>59</v>
      </c>
      <c r="E10687" s="8">
        <v>0</v>
      </c>
      <c r="F10687" s="8">
        <v>0</v>
      </c>
      <c r="G10687" s="8">
        <v>11</v>
      </c>
      <c r="H10687" s="8" t="s">
        <v>47012</v>
      </c>
      <c r="I10687" s="8">
        <v>528.1875</v>
      </c>
      <c r="J10687" s="3">
        <f t="shared" si="166"/>
        <v>43749.261794791666</v>
      </c>
    </row>
    <row r="10688" spans="1:10" x14ac:dyDescent="0.25">
      <c r="A10688" s="5" t="s">
        <v>47013</v>
      </c>
      <c r="B10688" s="6">
        <v>400</v>
      </c>
      <c r="C10688" s="6">
        <v>20.478950000000001</v>
      </c>
      <c r="D10688" s="6">
        <v>58</v>
      </c>
      <c r="E10688" s="6">
        <v>0</v>
      </c>
      <c r="F10688" s="6">
        <v>0</v>
      </c>
      <c r="G10688" s="6">
        <v>11</v>
      </c>
      <c r="H10688" s="6" t="s">
        <v>47014</v>
      </c>
      <c r="I10688" s="6">
        <v>528.1875</v>
      </c>
      <c r="J10688" s="2">
        <f t="shared" si="166"/>
        <v>43749.261878263882</v>
      </c>
    </row>
    <row r="10689" spans="1:10" x14ac:dyDescent="0.25">
      <c r="A10689" s="7" t="s">
        <v>47015</v>
      </c>
      <c r="B10689" s="8">
        <v>431.25</v>
      </c>
      <c r="C10689" s="8">
        <v>20.426300000000001</v>
      </c>
      <c r="D10689" s="8">
        <v>58</v>
      </c>
      <c r="E10689" s="8">
        <v>0</v>
      </c>
      <c r="F10689" s="8">
        <v>0</v>
      </c>
      <c r="G10689" s="8">
        <v>16</v>
      </c>
      <c r="H10689" s="8" t="s">
        <v>47016</v>
      </c>
      <c r="I10689" s="8">
        <v>538.875</v>
      </c>
      <c r="J10689" s="3">
        <f t="shared" si="166"/>
        <v>43749.261949884261</v>
      </c>
    </row>
    <row r="10690" spans="1:10" x14ac:dyDescent="0.25">
      <c r="A10690" s="5" t="s">
        <v>47017</v>
      </c>
      <c r="B10690" s="6">
        <v>396.875</v>
      </c>
      <c r="C10690" s="6">
        <v>20.478950000000001</v>
      </c>
      <c r="D10690" s="6">
        <v>58</v>
      </c>
      <c r="E10690" s="6">
        <v>0</v>
      </c>
      <c r="F10690" s="6">
        <v>0</v>
      </c>
      <c r="G10690" s="6">
        <v>10</v>
      </c>
      <c r="H10690" s="6" t="s">
        <v>47018</v>
      </c>
      <c r="I10690" s="6">
        <v>527.4375</v>
      </c>
      <c r="J10690" s="2">
        <f t="shared" ref="J10690:J10753" si="167">(H10690/86400000)+25569+(7/24)</f>
        <v>43749.262033344909</v>
      </c>
    </row>
    <row r="10691" spans="1:10" x14ac:dyDescent="0.25">
      <c r="A10691" s="7" t="s">
        <v>47019</v>
      </c>
      <c r="B10691" s="8">
        <v>396.875</v>
      </c>
      <c r="C10691" s="8">
        <v>20.478950000000001</v>
      </c>
      <c r="D10691" s="8">
        <v>58</v>
      </c>
      <c r="E10691" s="8">
        <v>0</v>
      </c>
      <c r="F10691" s="8">
        <v>0</v>
      </c>
      <c r="G10691" s="8">
        <v>6</v>
      </c>
      <c r="H10691" s="8" t="s">
        <v>47020</v>
      </c>
      <c r="I10691" s="8">
        <v>527.4375</v>
      </c>
      <c r="J10691" s="3">
        <f t="shared" si="167"/>
        <v>43749.262104421294</v>
      </c>
    </row>
    <row r="10692" spans="1:10" x14ac:dyDescent="0.25">
      <c r="A10692" s="5" t="s">
        <v>47021</v>
      </c>
      <c r="B10692" s="6">
        <v>396.875</v>
      </c>
      <c r="C10692" s="6">
        <v>20.478950000000001</v>
      </c>
      <c r="D10692" s="6">
        <v>58</v>
      </c>
      <c r="E10692" s="6">
        <v>0</v>
      </c>
      <c r="F10692" s="6">
        <v>0</v>
      </c>
      <c r="G10692" s="6">
        <v>3</v>
      </c>
      <c r="H10692" s="6" t="s">
        <v>47022</v>
      </c>
      <c r="I10692" s="6">
        <v>527.4375</v>
      </c>
      <c r="J10692" s="2">
        <f t="shared" si="167"/>
        <v>43749.262176354161</v>
      </c>
    </row>
    <row r="10693" spans="1:10" x14ac:dyDescent="0.25">
      <c r="A10693" s="7" t="s">
        <v>47023</v>
      </c>
      <c r="B10693" s="8">
        <v>396.875</v>
      </c>
      <c r="C10693" s="8">
        <v>20.426300000000001</v>
      </c>
      <c r="D10693" s="8">
        <v>58</v>
      </c>
      <c r="E10693" s="8">
        <v>0</v>
      </c>
      <c r="F10693" s="8">
        <v>0</v>
      </c>
      <c r="G10693" s="8">
        <v>8</v>
      </c>
      <c r="H10693" s="8" t="s">
        <v>47024</v>
      </c>
      <c r="I10693" s="8">
        <v>527.4375</v>
      </c>
      <c r="J10693" s="3">
        <f t="shared" si="167"/>
        <v>43749.262259930554</v>
      </c>
    </row>
    <row r="10694" spans="1:10" x14ac:dyDescent="0.25">
      <c r="A10694" s="5" t="s">
        <v>47025</v>
      </c>
      <c r="B10694" s="6">
        <v>396.875</v>
      </c>
      <c r="C10694" s="6">
        <v>20.426300000000001</v>
      </c>
      <c r="D10694" s="6">
        <v>59</v>
      </c>
      <c r="E10694" s="6">
        <v>0</v>
      </c>
      <c r="F10694" s="6">
        <v>0</v>
      </c>
      <c r="G10694" s="6">
        <v>10</v>
      </c>
      <c r="H10694" s="6" t="s">
        <v>47026</v>
      </c>
      <c r="I10694" s="6">
        <v>527.4375</v>
      </c>
      <c r="J10694" s="2">
        <f t="shared" si="167"/>
        <v>43749.262331388883</v>
      </c>
    </row>
    <row r="10695" spans="1:10" x14ac:dyDescent="0.25">
      <c r="A10695" s="7" t="s">
        <v>47027</v>
      </c>
      <c r="B10695" s="8">
        <v>396.875</v>
      </c>
      <c r="C10695" s="8">
        <v>20.478950000000001</v>
      </c>
      <c r="D10695" s="8">
        <v>60</v>
      </c>
      <c r="E10695" s="8">
        <v>0</v>
      </c>
      <c r="F10695" s="8">
        <v>0</v>
      </c>
      <c r="G10695" s="8">
        <v>13</v>
      </c>
      <c r="H10695" s="8" t="s">
        <v>47028</v>
      </c>
      <c r="I10695" s="8">
        <v>527.4375</v>
      </c>
      <c r="J10695" s="3">
        <f t="shared" si="167"/>
        <v>43749.26241491898</v>
      </c>
    </row>
    <row r="10696" spans="1:10" x14ac:dyDescent="0.25">
      <c r="A10696" s="5" t="s">
        <v>47029</v>
      </c>
      <c r="B10696" s="6">
        <v>396.875</v>
      </c>
      <c r="C10696" s="6">
        <v>20.426300000000001</v>
      </c>
      <c r="D10696" s="6">
        <v>60</v>
      </c>
      <c r="E10696" s="6">
        <v>0</v>
      </c>
      <c r="F10696" s="6">
        <v>0</v>
      </c>
      <c r="G10696" s="6">
        <v>5</v>
      </c>
      <c r="H10696" s="6" t="s">
        <v>47030</v>
      </c>
      <c r="I10696" s="6">
        <v>527.4375</v>
      </c>
      <c r="J10696" s="2">
        <f t="shared" si="167"/>
        <v>43749.262498356482</v>
      </c>
    </row>
    <row r="10697" spans="1:10" x14ac:dyDescent="0.25">
      <c r="A10697" s="7" t="s">
        <v>47031</v>
      </c>
      <c r="B10697" s="8">
        <v>400</v>
      </c>
      <c r="C10697" s="8">
        <v>20.478950000000001</v>
      </c>
      <c r="D10697" s="8">
        <v>60</v>
      </c>
      <c r="E10697" s="8">
        <v>0</v>
      </c>
      <c r="F10697" s="8">
        <v>0</v>
      </c>
      <c r="G10697" s="8">
        <v>9</v>
      </c>
      <c r="H10697" s="8" t="s">
        <v>47032</v>
      </c>
      <c r="I10697" s="8">
        <v>528.375</v>
      </c>
      <c r="J10697" s="3">
        <f t="shared" si="167"/>
        <v>43749.262581898147</v>
      </c>
    </row>
    <row r="10698" spans="1:10" x14ac:dyDescent="0.25">
      <c r="A10698" s="5" t="s">
        <v>47033</v>
      </c>
      <c r="B10698" s="6">
        <v>400</v>
      </c>
      <c r="C10698" s="6">
        <v>20.478950000000001</v>
      </c>
      <c r="D10698" s="6">
        <v>59</v>
      </c>
      <c r="E10698" s="6">
        <v>0</v>
      </c>
      <c r="F10698" s="6">
        <v>0</v>
      </c>
      <c r="G10698" s="6">
        <v>8</v>
      </c>
      <c r="H10698" s="6" t="s">
        <v>47034</v>
      </c>
      <c r="I10698" s="6">
        <v>528.375</v>
      </c>
      <c r="J10698" s="2">
        <f t="shared" si="167"/>
        <v>43749.262653101854</v>
      </c>
    </row>
    <row r="10699" spans="1:10" x14ac:dyDescent="0.25">
      <c r="A10699" s="7" t="s">
        <v>47035</v>
      </c>
      <c r="B10699" s="8">
        <v>400</v>
      </c>
      <c r="C10699" s="8">
        <v>20.478950000000001</v>
      </c>
      <c r="D10699" s="8">
        <v>64</v>
      </c>
      <c r="E10699" s="8">
        <v>0</v>
      </c>
      <c r="F10699" s="8">
        <v>0</v>
      </c>
      <c r="G10699" s="8">
        <v>3</v>
      </c>
      <c r="H10699" s="8" t="s">
        <v>47036</v>
      </c>
      <c r="I10699" s="8">
        <v>528.1875</v>
      </c>
      <c r="J10699" s="3">
        <f t="shared" si="167"/>
        <v>43749.262725011569</v>
      </c>
    </row>
    <row r="10700" spans="1:10" x14ac:dyDescent="0.25">
      <c r="A10700" s="5" t="s">
        <v>47037</v>
      </c>
      <c r="B10700" s="6">
        <v>400</v>
      </c>
      <c r="C10700" s="6">
        <v>20.478950000000001</v>
      </c>
      <c r="D10700" s="6">
        <v>63</v>
      </c>
      <c r="E10700" s="6">
        <v>0</v>
      </c>
      <c r="F10700" s="6">
        <v>0</v>
      </c>
      <c r="G10700" s="6">
        <v>8</v>
      </c>
      <c r="H10700" s="6" t="s">
        <v>47038</v>
      </c>
      <c r="I10700" s="6">
        <v>528.375</v>
      </c>
      <c r="J10700" s="2">
        <f t="shared" si="167"/>
        <v>43749.262820439813</v>
      </c>
    </row>
    <row r="10701" spans="1:10" x14ac:dyDescent="0.25">
      <c r="A10701" s="7" t="s">
        <v>47039</v>
      </c>
      <c r="B10701" s="8">
        <v>400</v>
      </c>
      <c r="C10701" s="8">
        <v>20.478950000000001</v>
      </c>
      <c r="D10701" s="8">
        <v>63</v>
      </c>
      <c r="E10701" s="8">
        <v>0</v>
      </c>
      <c r="F10701" s="8">
        <v>0</v>
      </c>
      <c r="G10701" s="8">
        <v>9</v>
      </c>
      <c r="H10701" s="8" t="s">
        <v>47040</v>
      </c>
      <c r="I10701" s="8">
        <v>528.375</v>
      </c>
      <c r="J10701" s="3">
        <f t="shared" si="167"/>
        <v>43749.262903726849</v>
      </c>
    </row>
    <row r="10702" spans="1:10" x14ac:dyDescent="0.25">
      <c r="A10702" s="5" t="s">
        <v>47041</v>
      </c>
      <c r="B10702" s="6">
        <v>400</v>
      </c>
      <c r="C10702" s="6">
        <v>20.478950000000001</v>
      </c>
      <c r="D10702" s="6">
        <v>64</v>
      </c>
      <c r="E10702" s="6">
        <v>0</v>
      </c>
      <c r="F10702" s="6">
        <v>0</v>
      </c>
      <c r="G10702" s="6">
        <v>3</v>
      </c>
      <c r="H10702" s="6" t="s">
        <v>47042</v>
      </c>
      <c r="I10702" s="6">
        <v>528.1875</v>
      </c>
      <c r="J10702" s="2">
        <f t="shared" si="167"/>
        <v>43749.262975393511</v>
      </c>
    </row>
    <row r="10703" spans="1:10" x14ac:dyDescent="0.25">
      <c r="A10703" s="7" t="s">
        <v>47043</v>
      </c>
      <c r="B10703" s="8">
        <v>400</v>
      </c>
      <c r="C10703" s="8">
        <v>20.426300000000001</v>
      </c>
      <c r="D10703" s="8">
        <v>64</v>
      </c>
      <c r="E10703" s="8">
        <v>0</v>
      </c>
      <c r="F10703" s="8">
        <v>0</v>
      </c>
      <c r="G10703" s="8">
        <v>5</v>
      </c>
      <c r="H10703" s="8" t="s">
        <v>47044</v>
      </c>
      <c r="I10703" s="8">
        <v>528.1875</v>
      </c>
      <c r="J10703" s="3">
        <f t="shared" si="167"/>
        <v>43749.263046863423</v>
      </c>
    </row>
    <row r="10704" spans="1:10" x14ac:dyDescent="0.25">
      <c r="A10704" s="5" t="s">
        <v>47045</v>
      </c>
      <c r="B10704" s="6">
        <v>403.125</v>
      </c>
      <c r="C10704" s="6">
        <v>20.426300000000001</v>
      </c>
      <c r="D10704" s="6">
        <v>59</v>
      </c>
      <c r="E10704" s="6">
        <v>0</v>
      </c>
      <c r="F10704" s="6">
        <v>0</v>
      </c>
      <c r="G10704" s="6">
        <v>7</v>
      </c>
      <c r="H10704" s="6" t="s">
        <v>47046</v>
      </c>
      <c r="I10704" s="6">
        <v>529.125</v>
      </c>
      <c r="J10704" s="2">
        <f t="shared" si="167"/>
        <v>43749.263130243053</v>
      </c>
    </row>
    <row r="10705" spans="1:10" x14ac:dyDescent="0.25">
      <c r="A10705" s="7" t="s">
        <v>47047</v>
      </c>
      <c r="B10705" s="8">
        <v>403.125</v>
      </c>
      <c r="C10705" s="8">
        <v>20.478950000000001</v>
      </c>
      <c r="D10705" s="8">
        <v>55</v>
      </c>
      <c r="E10705" s="8">
        <v>0</v>
      </c>
      <c r="F10705" s="8">
        <v>0</v>
      </c>
      <c r="G10705" s="8">
        <v>6</v>
      </c>
      <c r="H10705" s="8" t="s">
        <v>47048</v>
      </c>
      <c r="I10705" s="8">
        <v>529.125</v>
      </c>
      <c r="J10705" s="3">
        <f t="shared" si="167"/>
        <v>43749.263201921298</v>
      </c>
    </row>
    <row r="10706" spans="1:10" x14ac:dyDescent="0.25">
      <c r="A10706" s="5" t="s">
        <v>47049</v>
      </c>
      <c r="B10706" s="6">
        <v>403.125</v>
      </c>
      <c r="C10706" s="6">
        <v>20.478950000000001</v>
      </c>
      <c r="D10706" s="6">
        <v>56</v>
      </c>
      <c r="E10706" s="6">
        <v>0</v>
      </c>
      <c r="F10706" s="6">
        <v>0</v>
      </c>
      <c r="G10706" s="6">
        <v>7</v>
      </c>
      <c r="H10706" s="6" t="s">
        <v>47050</v>
      </c>
      <c r="I10706" s="6">
        <v>529.125</v>
      </c>
      <c r="J10706" s="2">
        <f t="shared" si="167"/>
        <v>43749.263285335641</v>
      </c>
    </row>
    <row r="10707" spans="1:10" x14ac:dyDescent="0.25">
      <c r="A10707" s="7" t="s">
        <v>47051</v>
      </c>
      <c r="B10707" s="8">
        <v>400</v>
      </c>
      <c r="C10707" s="8">
        <v>20.426300000000001</v>
      </c>
      <c r="D10707" s="8">
        <v>56</v>
      </c>
      <c r="E10707" s="8">
        <v>0</v>
      </c>
      <c r="F10707" s="8">
        <v>0</v>
      </c>
      <c r="G10707" s="8">
        <v>8</v>
      </c>
      <c r="H10707" s="8" t="s">
        <v>47052</v>
      </c>
      <c r="I10707" s="8">
        <v>528.375</v>
      </c>
      <c r="J10707" s="3">
        <f t="shared" si="167"/>
        <v>43749.263357048614</v>
      </c>
    </row>
    <row r="10708" spans="1:10" x14ac:dyDescent="0.25">
      <c r="A10708" s="5" t="s">
        <v>47053</v>
      </c>
      <c r="B10708" s="6">
        <v>400</v>
      </c>
      <c r="C10708" s="6">
        <v>20.426300000000001</v>
      </c>
      <c r="D10708" s="6">
        <v>58</v>
      </c>
      <c r="E10708" s="6">
        <v>0</v>
      </c>
      <c r="F10708" s="6">
        <v>0</v>
      </c>
      <c r="G10708" s="6">
        <v>6</v>
      </c>
      <c r="H10708" s="6" t="s">
        <v>47054</v>
      </c>
      <c r="I10708" s="6">
        <v>528.375</v>
      </c>
      <c r="J10708" s="2">
        <f t="shared" si="167"/>
        <v>43749.263428541664</v>
      </c>
    </row>
    <row r="10709" spans="1:10" x14ac:dyDescent="0.25">
      <c r="A10709" s="7" t="s">
        <v>47055</v>
      </c>
      <c r="B10709" s="8">
        <v>400</v>
      </c>
      <c r="C10709" s="8">
        <v>20.426300000000001</v>
      </c>
      <c r="D10709" s="8">
        <v>58</v>
      </c>
      <c r="E10709" s="8">
        <v>0</v>
      </c>
      <c r="F10709" s="8">
        <v>0</v>
      </c>
      <c r="G10709" s="8">
        <v>9</v>
      </c>
      <c r="H10709" s="8" t="s">
        <v>47056</v>
      </c>
      <c r="I10709" s="8">
        <v>528.1875</v>
      </c>
      <c r="J10709" s="3">
        <f t="shared" si="167"/>
        <v>43749.263511736113</v>
      </c>
    </row>
    <row r="10710" spans="1:10" x14ac:dyDescent="0.25">
      <c r="A10710" s="5" t="s">
        <v>47057</v>
      </c>
      <c r="B10710" s="6">
        <v>415.625</v>
      </c>
      <c r="C10710" s="6">
        <v>20.478950000000001</v>
      </c>
      <c r="D10710" s="6">
        <v>57</v>
      </c>
      <c r="E10710" s="6">
        <v>0</v>
      </c>
      <c r="F10710" s="6">
        <v>0</v>
      </c>
      <c r="G10710" s="6">
        <v>3</v>
      </c>
      <c r="H10710" s="6" t="s">
        <v>47058</v>
      </c>
      <c r="I10710" s="6">
        <v>533.8125</v>
      </c>
      <c r="J10710" s="2">
        <f t="shared" si="167"/>
        <v>43749.263583518514</v>
      </c>
    </row>
    <row r="10711" spans="1:10" x14ac:dyDescent="0.25">
      <c r="A10711" s="7" t="s">
        <v>47059</v>
      </c>
      <c r="B10711" s="8">
        <v>396.875</v>
      </c>
      <c r="C10711" s="8">
        <v>20.426300000000001</v>
      </c>
      <c r="D10711" s="8">
        <v>57</v>
      </c>
      <c r="E10711" s="8">
        <v>0</v>
      </c>
      <c r="F10711" s="8">
        <v>0</v>
      </c>
      <c r="G10711" s="8">
        <v>5</v>
      </c>
      <c r="H10711" s="8" t="s">
        <v>47060</v>
      </c>
      <c r="I10711" s="8">
        <v>527.4375</v>
      </c>
      <c r="J10711" s="3">
        <f t="shared" si="167"/>
        <v>43749.26366694444</v>
      </c>
    </row>
    <row r="10712" spans="1:10" x14ac:dyDescent="0.25">
      <c r="A10712" s="5" t="s">
        <v>47061</v>
      </c>
      <c r="B10712" s="6">
        <v>396.875</v>
      </c>
      <c r="C10712" s="6">
        <v>20.426300000000001</v>
      </c>
      <c r="D10712" s="6">
        <v>57</v>
      </c>
      <c r="E10712" s="6">
        <v>0</v>
      </c>
      <c r="F10712" s="6">
        <v>0</v>
      </c>
      <c r="G10712" s="6">
        <v>6</v>
      </c>
      <c r="H10712" s="6" t="s">
        <v>47062</v>
      </c>
      <c r="I10712" s="6">
        <v>527.4375</v>
      </c>
      <c r="J10712" s="2">
        <f t="shared" si="167"/>
        <v>43749.263738391201</v>
      </c>
    </row>
    <row r="10713" spans="1:10" x14ac:dyDescent="0.25">
      <c r="A10713" s="7" t="s">
        <v>47063</v>
      </c>
      <c r="B10713" s="8">
        <v>396.875</v>
      </c>
      <c r="C10713" s="8">
        <v>20.478950000000001</v>
      </c>
      <c r="D10713" s="8">
        <v>58</v>
      </c>
      <c r="E10713" s="8">
        <v>0</v>
      </c>
      <c r="F10713" s="8">
        <v>0</v>
      </c>
      <c r="G10713" s="8">
        <v>4</v>
      </c>
      <c r="H10713" s="8" t="s">
        <v>47064</v>
      </c>
      <c r="I10713" s="8">
        <v>527.4375</v>
      </c>
      <c r="J10713" s="3">
        <f t="shared" si="167"/>
        <v>43749.263810150464</v>
      </c>
    </row>
    <row r="10714" spans="1:10" x14ac:dyDescent="0.25">
      <c r="A10714" s="5" t="s">
        <v>47065</v>
      </c>
      <c r="B10714" s="6">
        <v>396.875</v>
      </c>
      <c r="C10714" s="6">
        <v>20.426300000000001</v>
      </c>
      <c r="D10714" s="6">
        <v>61</v>
      </c>
      <c r="E10714" s="6">
        <v>0</v>
      </c>
      <c r="F10714" s="6">
        <v>0</v>
      </c>
      <c r="G10714" s="6">
        <v>9</v>
      </c>
      <c r="H10714" s="6" t="s">
        <v>47066</v>
      </c>
      <c r="I10714" s="6">
        <v>527.4375</v>
      </c>
      <c r="J10714" s="2">
        <f t="shared" si="167"/>
        <v>43749.263893483796</v>
      </c>
    </row>
    <row r="10715" spans="1:10" x14ac:dyDescent="0.25">
      <c r="A10715" s="7" t="s">
        <v>47067</v>
      </c>
      <c r="B10715" s="8">
        <v>396.875</v>
      </c>
      <c r="C10715" s="8">
        <v>20.426300000000001</v>
      </c>
      <c r="D10715" s="8">
        <v>62</v>
      </c>
      <c r="E10715" s="8">
        <v>0</v>
      </c>
      <c r="F10715" s="8">
        <v>0</v>
      </c>
      <c r="G10715" s="8">
        <v>7</v>
      </c>
      <c r="H10715" s="8" t="s">
        <v>47068</v>
      </c>
      <c r="I10715" s="8">
        <v>527.4375</v>
      </c>
      <c r="J10715" s="3">
        <f t="shared" si="167"/>
        <v>43749.263964976846</v>
      </c>
    </row>
    <row r="10716" spans="1:10" x14ac:dyDescent="0.25">
      <c r="A10716" s="5" t="s">
        <v>47069</v>
      </c>
      <c r="B10716" s="6">
        <v>393.75</v>
      </c>
      <c r="C10716" s="6">
        <v>20.426300000000001</v>
      </c>
      <c r="D10716" s="6">
        <v>61</v>
      </c>
      <c r="E10716" s="6">
        <v>0</v>
      </c>
      <c r="F10716" s="6">
        <v>0</v>
      </c>
      <c r="G10716" s="6">
        <v>10</v>
      </c>
      <c r="H10716" s="6" t="s">
        <v>47070</v>
      </c>
      <c r="I10716" s="6">
        <v>526.6875</v>
      </c>
      <c r="J10716" s="2">
        <f t="shared" si="167"/>
        <v>43749.264048541663</v>
      </c>
    </row>
    <row r="10717" spans="1:10" x14ac:dyDescent="0.25">
      <c r="A10717" s="7" t="s">
        <v>47071</v>
      </c>
      <c r="B10717" s="8">
        <v>393.75</v>
      </c>
      <c r="C10717" s="8">
        <v>20.478950000000001</v>
      </c>
      <c r="D10717" s="8">
        <v>61</v>
      </c>
      <c r="E10717" s="8">
        <v>0</v>
      </c>
      <c r="F10717" s="8">
        <v>0</v>
      </c>
      <c r="G10717" s="8">
        <v>4</v>
      </c>
      <c r="H10717" s="8" t="s">
        <v>47072</v>
      </c>
      <c r="I10717" s="8">
        <v>526.6875</v>
      </c>
      <c r="J10717" s="3">
        <f t="shared" si="167"/>
        <v>43749.264120474538</v>
      </c>
    </row>
    <row r="10718" spans="1:10" x14ac:dyDescent="0.25">
      <c r="A10718" s="5" t="s">
        <v>47073</v>
      </c>
      <c r="B10718" s="6">
        <v>393.75</v>
      </c>
      <c r="C10718" s="6">
        <v>20.426300000000001</v>
      </c>
      <c r="D10718" s="6">
        <v>59</v>
      </c>
      <c r="E10718" s="6">
        <v>0</v>
      </c>
      <c r="F10718" s="6">
        <v>0</v>
      </c>
      <c r="G10718" s="6">
        <v>9</v>
      </c>
      <c r="H10718" s="6" t="s">
        <v>47074</v>
      </c>
      <c r="I10718" s="6">
        <v>526.6875</v>
      </c>
      <c r="J10718" s="2">
        <f t="shared" si="167"/>
        <v>43749.264203495368</v>
      </c>
    </row>
    <row r="10719" spans="1:10" x14ac:dyDescent="0.25">
      <c r="A10719" s="7" t="s">
        <v>47075</v>
      </c>
      <c r="B10719" s="8">
        <v>396.875</v>
      </c>
      <c r="C10719" s="8">
        <v>20.478950000000001</v>
      </c>
      <c r="D10719" s="8">
        <v>59</v>
      </c>
      <c r="E10719" s="8">
        <v>0</v>
      </c>
      <c r="F10719" s="8">
        <v>0</v>
      </c>
      <c r="G10719" s="8">
        <v>5</v>
      </c>
      <c r="H10719" s="8" t="s">
        <v>47076</v>
      </c>
      <c r="I10719" s="8">
        <v>527.4375</v>
      </c>
      <c r="J10719" s="3">
        <f t="shared" si="167"/>
        <v>43749.264274675923</v>
      </c>
    </row>
    <row r="10720" spans="1:10" x14ac:dyDescent="0.25">
      <c r="A10720" s="5" t="s">
        <v>47077</v>
      </c>
      <c r="B10720" s="6">
        <v>396.875</v>
      </c>
      <c r="C10720" s="6">
        <v>20.478950000000001</v>
      </c>
      <c r="D10720" s="6">
        <v>59</v>
      </c>
      <c r="E10720" s="6">
        <v>0</v>
      </c>
      <c r="F10720" s="6">
        <v>0</v>
      </c>
      <c r="G10720" s="6">
        <v>1</v>
      </c>
      <c r="H10720" s="6" t="s">
        <v>47078</v>
      </c>
      <c r="I10720" s="6">
        <v>527.4375</v>
      </c>
      <c r="J10720" s="2">
        <f t="shared" si="167"/>
        <v>43749.264346631942</v>
      </c>
    </row>
    <row r="10721" spans="1:10" x14ac:dyDescent="0.25">
      <c r="A10721" s="7" t="s">
        <v>47079</v>
      </c>
      <c r="B10721" s="8">
        <v>396.875</v>
      </c>
      <c r="C10721" s="8">
        <v>20.426300000000001</v>
      </c>
      <c r="D10721" s="8">
        <v>58</v>
      </c>
      <c r="E10721" s="8">
        <v>0</v>
      </c>
      <c r="F10721" s="8">
        <v>0</v>
      </c>
      <c r="G10721" s="8">
        <v>7</v>
      </c>
      <c r="H10721" s="8" t="s">
        <v>47080</v>
      </c>
      <c r="I10721" s="8">
        <v>527.4375</v>
      </c>
      <c r="J10721" s="3">
        <f t="shared" si="167"/>
        <v>43749.26443023148</v>
      </c>
    </row>
    <row r="10722" spans="1:10" x14ac:dyDescent="0.25">
      <c r="A10722" s="5" t="s">
        <v>47081</v>
      </c>
      <c r="B10722" s="6">
        <v>396.875</v>
      </c>
      <c r="C10722" s="6">
        <v>20.426300000000001</v>
      </c>
      <c r="D10722" s="6">
        <v>58</v>
      </c>
      <c r="E10722" s="6">
        <v>0</v>
      </c>
      <c r="F10722" s="6">
        <v>0</v>
      </c>
      <c r="G10722" s="6">
        <v>10</v>
      </c>
      <c r="H10722" s="6" t="s">
        <v>47082</v>
      </c>
      <c r="I10722" s="6">
        <v>527.4375</v>
      </c>
      <c r="J10722" s="2">
        <f t="shared" si="167"/>
        <v>43749.26450164352</v>
      </c>
    </row>
    <row r="10723" spans="1:10" x14ac:dyDescent="0.25">
      <c r="A10723" s="7" t="s">
        <v>47083</v>
      </c>
      <c r="B10723" s="8">
        <v>415.625</v>
      </c>
      <c r="C10723" s="8">
        <v>20.426300000000001</v>
      </c>
      <c r="D10723" s="8">
        <v>58</v>
      </c>
      <c r="E10723" s="8">
        <v>0</v>
      </c>
      <c r="F10723" s="8">
        <v>0</v>
      </c>
      <c r="G10723" s="8">
        <v>0</v>
      </c>
      <c r="H10723" s="8" t="s">
        <v>47084</v>
      </c>
      <c r="I10723" s="8">
        <v>533.0625</v>
      </c>
      <c r="J10723" s="3">
        <f t="shared" si="167"/>
        <v>43749.264572858789</v>
      </c>
    </row>
    <row r="10724" spans="1:10" x14ac:dyDescent="0.25">
      <c r="A10724" s="5" t="s">
        <v>47085</v>
      </c>
      <c r="B10724" s="6">
        <v>396.875</v>
      </c>
      <c r="C10724" s="6">
        <v>20.426300000000001</v>
      </c>
      <c r="D10724" s="6">
        <v>58</v>
      </c>
      <c r="E10724" s="6">
        <v>0</v>
      </c>
      <c r="F10724" s="6">
        <v>0</v>
      </c>
      <c r="G10724" s="6">
        <v>10</v>
      </c>
      <c r="H10724" s="6" t="s">
        <v>47086</v>
      </c>
      <c r="I10724" s="6">
        <v>527.4375</v>
      </c>
      <c r="J10724" s="2">
        <f t="shared" si="167"/>
        <v>43749.264644861112</v>
      </c>
    </row>
    <row r="10725" spans="1:10" x14ac:dyDescent="0.25">
      <c r="A10725" s="7" t="s">
        <v>47087</v>
      </c>
      <c r="B10725" s="8">
        <v>396.875</v>
      </c>
      <c r="C10725" s="8">
        <v>20.478950000000001</v>
      </c>
      <c r="D10725" s="8">
        <v>57</v>
      </c>
      <c r="E10725" s="8">
        <v>0</v>
      </c>
      <c r="F10725" s="8">
        <v>0</v>
      </c>
      <c r="G10725" s="8">
        <v>5</v>
      </c>
      <c r="H10725" s="8" t="s">
        <v>47088</v>
      </c>
      <c r="I10725" s="8">
        <v>527.4375</v>
      </c>
      <c r="J10725" s="3">
        <f t="shared" si="167"/>
        <v>43749.264716400459</v>
      </c>
    </row>
    <row r="10726" spans="1:10" x14ac:dyDescent="0.25">
      <c r="A10726" s="5" t="s">
        <v>47089</v>
      </c>
      <c r="B10726" s="6">
        <v>396.875</v>
      </c>
      <c r="C10726" s="6">
        <v>20.426300000000001</v>
      </c>
      <c r="D10726" s="6">
        <v>59</v>
      </c>
      <c r="E10726" s="6">
        <v>0</v>
      </c>
      <c r="F10726" s="6">
        <v>0</v>
      </c>
      <c r="G10726" s="6">
        <v>7</v>
      </c>
      <c r="H10726" s="6" t="s">
        <v>47090</v>
      </c>
      <c r="I10726" s="6">
        <v>527.4375</v>
      </c>
      <c r="J10726" s="2">
        <f t="shared" si="167"/>
        <v>43749.264787881941</v>
      </c>
    </row>
    <row r="10727" spans="1:10" x14ac:dyDescent="0.25">
      <c r="A10727" s="7" t="s">
        <v>47091</v>
      </c>
      <c r="B10727" s="8">
        <v>415.625</v>
      </c>
      <c r="C10727" s="8">
        <v>20.478950000000001</v>
      </c>
      <c r="D10727" s="8">
        <v>58</v>
      </c>
      <c r="E10727" s="8">
        <v>0</v>
      </c>
      <c r="F10727" s="8">
        <v>0</v>
      </c>
      <c r="G10727" s="8">
        <v>14</v>
      </c>
      <c r="H10727" s="8" t="s">
        <v>47092</v>
      </c>
      <c r="I10727" s="8">
        <v>533.0625</v>
      </c>
      <c r="J10727" s="3">
        <f t="shared" si="167"/>
        <v>43749.26487097222</v>
      </c>
    </row>
    <row r="10728" spans="1:10" x14ac:dyDescent="0.25">
      <c r="A10728" s="5" t="s">
        <v>47093</v>
      </c>
      <c r="B10728" s="6">
        <v>396.875</v>
      </c>
      <c r="C10728" s="6">
        <v>20.478950000000001</v>
      </c>
      <c r="D10728" s="6">
        <v>65</v>
      </c>
      <c r="E10728" s="6">
        <v>0</v>
      </c>
      <c r="F10728" s="6">
        <v>0</v>
      </c>
      <c r="G10728" s="6">
        <v>10</v>
      </c>
      <c r="H10728" s="6" t="s">
        <v>47094</v>
      </c>
      <c r="I10728" s="6">
        <v>527.4375</v>
      </c>
      <c r="J10728" s="2">
        <f t="shared" si="167"/>
        <v>43749.264942858797</v>
      </c>
    </row>
    <row r="10729" spans="1:10" x14ac:dyDescent="0.25">
      <c r="A10729" s="7" t="s">
        <v>47095</v>
      </c>
      <c r="B10729" s="8">
        <v>396.875</v>
      </c>
      <c r="C10729" s="8">
        <v>20.478950000000001</v>
      </c>
      <c r="D10729" s="8">
        <v>63</v>
      </c>
      <c r="E10729" s="8">
        <v>0</v>
      </c>
      <c r="F10729" s="8">
        <v>0</v>
      </c>
      <c r="G10729" s="8">
        <v>8</v>
      </c>
      <c r="H10729" s="8" t="s">
        <v>47096</v>
      </c>
      <c r="I10729" s="8">
        <v>527.4375</v>
      </c>
      <c r="J10729" s="3">
        <f t="shared" si="167"/>
        <v>43749.265026388886</v>
      </c>
    </row>
    <row r="10730" spans="1:10" x14ac:dyDescent="0.25">
      <c r="A10730" s="5" t="s">
        <v>47097</v>
      </c>
      <c r="B10730" s="6">
        <v>396.875</v>
      </c>
      <c r="C10730" s="6">
        <v>20.478950000000001</v>
      </c>
      <c r="D10730" s="6">
        <v>63</v>
      </c>
      <c r="E10730" s="6">
        <v>0</v>
      </c>
      <c r="F10730" s="6">
        <v>0</v>
      </c>
      <c r="G10730" s="6">
        <v>6</v>
      </c>
      <c r="H10730" s="6" t="s">
        <v>47098</v>
      </c>
      <c r="I10730" s="6">
        <v>527.4375</v>
      </c>
      <c r="J10730" s="2">
        <f t="shared" si="167"/>
        <v>43749.265098067124</v>
      </c>
    </row>
    <row r="10731" spans="1:10" x14ac:dyDescent="0.25">
      <c r="A10731" s="7" t="s">
        <v>47099</v>
      </c>
      <c r="B10731" s="8">
        <v>396.875</v>
      </c>
      <c r="C10731" s="8">
        <v>20.426300000000001</v>
      </c>
      <c r="D10731" s="8">
        <v>62</v>
      </c>
      <c r="E10731" s="8">
        <v>0</v>
      </c>
      <c r="F10731" s="8">
        <v>0</v>
      </c>
      <c r="G10731" s="8">
        <v>10</v>
      </c>
      <c r="H10731" s="8" t="s">
        <v>47100</v>
      </c>
      <c r="I10731" s="8">
        <v>527.4375</v>
      </c>
      <c r="J10731" s="3">
        <f t="shared" si="167"/>
        <v>43749.265181331015</v>
      </c>
    </row>
    <row r="10732" spans="1:10" x14ac:dyDescent="0.25">
      <c r="A10732" s="5" t="s">
        <v>47101</v>
      </c>
      <c r="B10732" s="6">
        <v>396.875</v>
      </c>
      <c r="C10732" s="6">
        <v>20.478950000000001</v>
      </c>
      <c r="D10732" s="6">
        <v>62</v>
      </c>
      <c r="E10732" s="6">
        <v>0</v>
      </c>
      <c r="F10732" s="6">
        <v>0</v>
      </c>
      <c r="G10732" s="6">
        <v>8</v>
      </c>
      <c r="H10732" s="6" t="s">
        <v>47102</v>
      </c>
      <c r="I10732" s="6">
        <v>527.4375</v>
      </c>
      <c r="J10732" s="2">
        <f t="shared" si="167"/>
        <v>43749.265252581019</v>
      </c>
    </row>
    <row r="10733" spans="1:10" x14ac:dyDescent="0.25">
      <c r="A10733" s="7" t="s">
        <v>47103</v>
      </c>
      <c r="B10733" s="8">
        <v>428.125</v>
      </c>
      <c r="C10733" s="8">
        <v>20.478950000000001</v>
      </c>
      <c r="D10733" s="8">
        <v>62</v>
      </c>
      <c r="E10733" s="8">
        <v>0</v>
      </c>
      <c r="F10733" s="8">
        <v>0</v>
      </c>
      <c r="G10733" s="8">
        <v>10</v>
      </c>
      <c r="H10733" s="8" t="s">
        <v>47104</v>
      </c>
      <c r="I10733" s="8">
        <v>537.75</v>
      </c>
      <c r="J10733" s="3">
        <f t="shared" si="167"/>
        <v>43749.265338402773</v>
      </c>
    </row>
    <row r="10734" spans="1:10" x14ac:dyDescent="0.25">
      <c r="A10734" s="5" t="s">
        <v>47105</v>
      </c>
      <c r="B10734" s="6">
        <v>396.875</v>
      </c>
      <c r="C10734" s="6">
        <v>20.426300000000001</v>
      </c>
      <c r="D10734" s="6">
        <v>62</v>
      </c>
      <c r="E10734" s="6">
        <v>0</v>
      </c>
      <c r="F10734" s="6">
        <v>0</v>
      </c>
      <c r="G10734" s="6">
        <v>6</v>
      </c>
      <c r="H10734" s="6" t="s">
        <v>47106</v>
      </c>
      <c r="I10734" s="6">
        <v>527.4375</v>
      </c>
      <c r="J10734" s="2">
        <f t="shared" si="167"/>
        <v>43749.26540802083</v>
      </c>
    </row>
    <row r="10735" spans="1:10" x14ac:dyDescent="0.25">
      <c r="A10735" s="7" t="s">
        <v>47107</v>
      </c>
      <c r="B10735" s="8">
        <v>396.875</v>
      </c>
      <c r="C10735" s="8">
        <v>20.478950000000001</v>
      </c>
      <c r="D10735" s="8">
        <v>63</v>
      </c>
      <c r="E10735" s="8">
        <v>0</v>
      </c>
      <c r="F10735" s="8">
        <v>0</v>
      </c>
      <c r="G10735" s="8">
        <v>12</v>
      </c>
      <c r="H10735" s="8" t="s">
        <v>47108</v>
      </c>
      <c r="I10735" s="8">
        <v>527.4375</v>
      </c>
      <c r="J10735" s="3">
        <f t="shared" si="167"/>
        <v>43749.265479490736</v>
      </c>
    </row>
    <row r="10736" spans="1:10" x14ac:dyDescent="0.25">
      <c r="A10736" s="5" t="s">
        <v>47109</v>
      </c>
      <c r="B10736" s="6">
        <v>396.875</v>
      </c>
      <c r="C10736" s="6">
        <v>20.478950000000001</v>
      </c>
      <c r="D10736" s="6">
        <v>62</v>
      </c>
      <c r="E10736" s="6">
        <v>0</v>
      </c>
      <c r="F10736" s="6">
        <v>0</v>
      </c>
      <c r="G10736" s="6">
        <v>10</v>
      </c>
      <c r="H10736" s="6" t="s">
        <v>47110</v>
      </c>
      <c r="I10736" s="6">
        <v>527.4375</v>
      </c>
      <c r="J10736" s="2">
        <f t="shared" si="167"/>
        <v>43749.265562928238</v>
      </c>
    </row>
    <row r="10737" spans="1:10" x14ac:dyDescent="0.25">
      <c r="A10737" s="7" t="s">
        <v>47111</v>
      </c>
      <c r="B10737" s="8">
        <v>396.875</v>
      </c>
      <c r="C10737" s="8">
        <v>20.478950000000001</v>
      </c>
      <c r="D10737" s="8">
        <v>62</v>
      </c>
      <c r="E10737" s="8">
        <v>0</v>
      </c>
      <c r="F10737" s="8">
        <v>0</v>
      </c>
      <c r="G10737" s="8">
        <v>6</v>
      </c>
      <c r="H10737" s="8" t="s">
        <v>47112</v>
      </c>
      <c r="I10737" s="8">
        <v>527.4375</v>
      </c>
      <c r="J10737" s="3">
        <f t="shared" si="167"/>
        <v>43749.265634768519</v>
      </c>
    </row>
    <row r="10738" spans="1:10" x14ac:dyDescent="0.25">
      <c r="A10738" s="5" t="s">
        <v>47113</v>
      </c>
      <c r="B10738" s="6">
        <v>396.875</v>
      </c>
      <c r="C10738" s="6">
        <v>20.426300000000001</v>
      </c>
      <c r="D10738" s="6">
        <v>63</v>
      </c>
      <c r="E10738" s="6">
        <v>0</v>
      </c>
      <c r="F10738" s="6">
        <v>0</v>
      </c>
      <c r="G10738" s="6">
        <v>7</v>
      </c>
      <c r="H10738" s="6" t="s">
        <v>47114</v>
      </c>
      <c r="I10738" s="6">
        <v>527.4375</v>
      </c>
      <c r="J10738" s="2">
        <f t="shared" si="167"/>
        <v>43749.26570614583</v>
      </c>
    </row>
    <row r="10739" spans="1:10" x14ac:dyDescent="0.25">
      <c r="A10739" s="7" t="s">
        <v>47115</v>
      </c>
      <c r="B10739" s="8">
        <v>396.875</v>
      </c>
      <c r="C10739" s="8">
        <v>20.478950000000001</v>
      </c>
      <c r="D10739" s="8">
        <v>64</v>
      </c>
      <c r="E10739" s="8">
        <v>0</v>
      </c>
      <c r="F10739" s="8">
        <v>0</v>
      </c>
      <c r="G10739" s="8">
        <v>0</v>
      </c>
      <c r="H10739" s="8" t="s">
        <v>47116</v>
      </c>
      <c r="I10739" s="8">
        <v>527.4375</v>
      </c>
      <c r="J10739" s="3">
        <f t="shared" si="167"/>
        <v>43749.265789490739</v>
      </c>
    </row>
    <row r="10740" spans="1:10" x14ac:dyDescent="0.25">
      <c r="A10740" s="5" t="s">
        <v>47117</v>
      </c>
      <c r="B10740" s="6">
        <v>396.875</v>
      </c>
      <c r="C10740" s="6">
        <v>20.426300000000001</v>
      </c>
      <c r="D10740" s="6">
        <v>63</v>
      </c>
      <c r="E10740" s="6">
        <v>0</v>
      </c>
      <c r="F10740" s="6">
        <v>0</v>
      </c>
      <c r="G10740" s="6">
        <v>12</v>
      </c>
      <c r="H10740" s="6" t="s">
        <v>47118</v>
      </c>
      <c r="I10740" s="6">
        <v>527.4375</v>
      </c>
      <c r="J10740" s="2">
        <f t="shared" si="167"/>
        <v>43749.265861006941</v>
      </c>
    </row>
    <row r="10741" spans="1:10" x14ac:dyDescent="0.25">
      <c r="A10741" s="7" t="s">
        <v>47119</v>
      </c>
      <c r="B10741" s="8">
        <v>393.75</v>
      </c>
      <c r="C10741" s="8">
        <v>20.478950000000001</v>
      </c>
      <c r="D10741" s="8">
        <v>62</v>
      </c>
      <c r="E10741" s="8">
        <v>0</v>
      </c>
      <c r="F10741" s="8">
        <v>0</v>
      </c>
      <c r="G10741" s="8">
        <v>6</v>
      </c>
      <c r="H10741" s="8" t="s">
        <v>47120</v>
      </c>
      <c r="I10741" s="8">
        <v>526.6875</v>
      </c>
      <c r="J10741" s="3">
        <f t="shared" si="167"/>
        <v>43749.265944571758</v>
      </c>
    </row>
    <row r="10742" spans="1:10" x14ac:dyDescent="0.25">
      <c r="A10742" s="5" t="s">
        <v>47121</v>
      </c>
      <c r="B10742" s="6">
        <v>396.875</v>
      </c>
      <c r="C10742" s="6">
        <v>20.478950000000001</v>
      </c>
      <c r="D10742" s="6">
        <v>63</v>
      </c>
      <c r="E10742" s="6">
        <v>0</v>
      </c>
      <c r="F10742" s="6">
        <v>0</v>
      </c>
      <c r="G10742" s="6">
        <v>8</v>
      </c>
      <c r="H10742" s="6" t="s">
        <v>47122</v>
      </c>
      <c r="I10742" s="6">
        <v>527.4375</v>
      </c>
      <c r="J10742" s="2">
        <f t="shared" si="167"/>
        <v>43749.266015879628</v>
      </c>
    </row>
    <row r="10743" spans="1:10" x14ac:dyDescent="0.25">
      <c r="A10743" s="7" t="s">
        <v>47123</v>
      </c>
      <c r="B10743" s="8">
        <v>393.75</v>
      </c>
      <c r="C10743" s="8">
        <v>20.478950000000001</v>
      </c>
      <c r="D10743" s="8">
        <v>62</v>
      </c>
      <c r="E10743" s="8">
        <v>0</v>
      </c>
      <c r="F10743" s="8">
        <v>0</v>
      </c>
      <c r="G10743" s="8">
        <v>11</v>
      </c>
      <c r="H10743" s="8" t="s">
        <v>47124</v>
      </c>
      <c r="I10743" s="8">
        <v>526.875</v>
      </c>
      <c r="J10743" s="3">
        <f t="shared" si="167"/>
        <v>43749.266087627308</v>
      </c>
    </row>
    <row r="10744" spans="1:10" x14ac:dyDescent="0.25">
      <c r="A10744" s="5" t="s">
        <v>47125</v>
      </c>
      <c r="B10744" s="6">
        <v>393.75</v>
      </c>
      <c r="C10744" s="6">
        <v>20.426300000000001</v>
      </c>
      <c r="D10744" s="6">
        <v>62</v>
      </c>
      <c r="E10744" s="6">
        <v>0</v>
      </c>
      <c r="F10744" s="6">
        <v>0</v>
      </c>
      <c r="G10744" s="6">
        <v>10</v>
      </c>
      <c r="H10744" s="6" t="s">
        <v>47126</v>
      </c>
      <c r="I10744" s="6">
        <v>526.6875</v>
      </c>
      <c r="J10744" s="2">
        <f t="shared" si="167"/>
        <v>43749.266159270832</v>
      </c>
    </row>
    <row r="10745" spans="1:10" x14ac:dyDescent="0.25">
      <c r="A10745" s="7" t="s">
        <v>47127</v>
      </c>
      <c r="B10745" s="8">
        <v>393.75</v>
      </c>
      <c r="C10745" s="8">
        <v>20.478950000000001</v>
      </c>
      <c r="D10745" s="8">
        <v>62</v>
      </c>
      <c r="E10745" s="8">
        <v>0</v>
      </c>
      <c r="F10745" s="8">
        <v>0</v>
      </c>
      <c r="G10745" s="8">
        <v>10</v>
      </c>
      <c r="H10745" s="8" t="s">
        <v>47128</v>
      </c>
      <c r="I10745" s="8">
        <v>526.6875</v>
      </c>
      <c r="J10745" s="3">
        <f t="shared" si="167"/>
        <v>43749.266242812497</v>
      </c>
    </row>
    <row r="10746" spans="1:10" x14ac:dyDescent="0.25">
      <c r="A10746" s="5" t="s">
        <v>47129</v>
      </c>
      <c r="B10746" s="6">
        <v>393.75</v>
      </c>
      <c r="C10746" s="6">
        <v>20.478950000000001</v>
      </c>
      <c r="D10746" s="6">
        <v>57</v>
      </c>
      <c r="E10746" s="6">
        <v>0</v>
      </c>
      <c r="F10746" s="6">
        <v>0</v>
      </c>
      <c r="G10746" s="6">
        <v>11</v>
      </c>
      <c r="H10746" s="6" t="s">
        <v>47130</v>
      </c>
      <c r="I10746" s="6">
        <v>526.6875</v>
      </c>
      <c r="J10746" s="2">
        <f t="shared" si="167"/>
        <v>43749.266326331017</v>
      </c>
    </row>
    <row r="10747" spans="1:10" x14ac:dyDescent="0.25">
      <c r="A10747" s="7" t="s">
        <v>47131</v>
      </c>
      <c r="B10747" s="8">
        <v>393.75</v>
      </c>
      <c r="C10747" s="8">
        <v>20.426300000000001</v>
      </c>
      <c r="D10747" s="8">
        <v>58</v>
      </c>
      <c r="E10747" s="8">
        <v>0</v>
      </c>
      <c r="F10747" s="8">
        <v>0</v>
      </c>
      <c r="G10747" s="8">
        <v>6</v>
      </c>
      <c r="H10747" s="8" t="s">
        <v>47132</v>
      </c>
      <c r="I10747" s="8">
        <v>526.6875</v>
      </c>
      <c r="J10747" s="3">
        <f t="shared" si="167"/>
        <v>43749.266409687501</v>
      </c>
    </row>
    <row r="10748" spans="1:10" x14ac:dyDescent="0.25">
      <c r="A10748" s="5" t="s">
        <v>47133</v>
      </c>
      <c r="B10748" s="6">
        <v>393.75</v>
      </c>
      <c r="C10748" s="6">
        <v>20.478950000000001</v>
      </c>
      <c r="D10748" s="6">
        <v>59</v>
      </c>
      <c r="E10748" s="6">
        <v>0</v>
      </c>
      <c r="F10748" s="6">
        <v>0</v>
      </c>
      <c r="G10748" s="6">
        <v>6</v>
      </c>
      <c r="H10748" s="6" t="s">
        <v>47134</v>
      </c>
      <c r="I10748" s="6">
        <v>526.6875</v>
      </c>
      <c r="J10748" s="2">
        <f t="shared" si="167"/>
        <v>43749.266493229159</v>
      </c>
    </row>
    <row r="10749" spans="1:10" x14ac:dyDescent="0.25">
      <c r="A10749" s="7" t="s">
        <v>47135</v>
      </c>
      <c r="B10749" s="8">
        <v>393.75</v>
      </c>
      <c r="C10749" s="8">
        <v>20.478950000000001</v>
      </c>
      <c r="D10749" s="8">
        <v>58</v>
      </c>
      <c r="E10749" s="8">
        <v>0</v>
      </c>
      <c r="F10749" s="8">
        <v>0</v>
      </c>
      <c r="G10749" s="8">
        <v>8</v>
      </c>
      <c r="H10749" s="8" t="s">
        <v>47136</v>
      </c>
      <c r="I10749" s="8">
        <v>526.6875</v>
      </c>
      <c r="J10749" s="3">
        <f t="shared" si="167"/>
        <v>43749.266564733793</v>
      </c>
    </row>
    <row r="10750" spans="1:10" x14ac:dyDescent="0.25">
      <c r="A10750" s="5" t="s">
        <v>47137</v>
      </c>
      <c r="B10750" s="6">
        <v>393.75</v>
      </c>
      <c r="C10750" s="6">
        <v>20.478950000000001</v>
      </c>
      <c r="D10750" s="6">
        <v>60</v>
      </c>
      <c r="E10750" s="6">
        <v>0</v>
      </c>
      <c r="F10750" s="6">
        <v>0</v>
      </c>
      <c r="G10750" s="6">
        <v>0</v>
      </c>
      <c r="H10750" s="6" t="s">
        <v>47138</v>
      </c>
      <c r="I10750" s="6">
        <v>526.5</v>
      </c>
      <c r="J10750" s="2">
        <f t="shared" si="167"/>
        <v>43749.266635891203</v>
      </c>
    </row>
    <row r="10751" spans="1:10" x14ac:dyDescent="0.25">
      <c r="A10751" s="7" t="s">
        <v>47139</v>
      </c>
      <c r="B10751" s="8">
        <v>393.75</v>
      </c>
      <c r="C10751" s="8">
        <v>20.426300000000001</v>
      </c>
      <c r="D10751" s="8">
        <v>61</v>
      </c>
      <c r="E10751" s="8">
        <v>0</v>
      </c>
      <c r="F10751" s="8">
        <v>0</v>
      </c>
      <c r="G10751" s="8">
        <v>12</v>
      </c>
      <c r="H10751" s="8" t="s">
        <v>47140</v>
      </c>
      <c r="I10751" s="8">
        <v>526.6875</v>
      </c>
      <c r="J10751" s="3">
        <f t="shared" si="167"/>
        <v>43749.266737291669</v>
      </c>
    </row>
    <row r="10752" spans="1:10" x14ac:dyDescent="0.25">
      <c r="A10752" s="5" t="s">
        <v>47141</v>
      </c>
      <c r="B10752" s="6">
        <v>396.875</v>
      </c>
      <c r="C10752" s="6">
        <v>20.478950000000001</v>
      </c>
      <c r="D10752" s="6">
        <v>61</v>
      </c>
      <c r="E10752" s="6">
        <v>0</v>
      </c>
      <c r="F10752" s="6">
        <v>0</v>
      </c>
      <c r="G10752" s="6">
        <v>11</v>
      </c>
      <c r="H10752" s="6" t="s">
        <v>47142</v>
      </c>
      <c r="I10752" s="6">
        <v>527.4375</v>
      </c>
      <c r="J10752" s="2">
        <f t="shared" si="167"/>
        <v>43749.266815057868</v>
      </c>
    </row>
    <row r="10753" spans="1:10" x14ac:dyDescent="0.25">
      <c r="A10753" s="7" t="s">
        <v>47143</v>
      </c>
      <c r="B10753" s="8">
        <v>396.875</v>
      </c>
      <c r="C10753" s="8">
        <v>20.426300000000001</v>
      </c>
      <c r="D10753" s="8">
        <v>61</v>
      </c>
      <c r="E10753" s="8">
        <v>0</v>
      </c>
      <c r="F10753" s="8">
        <v>0</v>
      </c>
      <c r="G10753" s="8">
        <v>13</v>
      </c>
      <c r="H10753" s="8" t="s">
        <v>47144</v>
      </c>
      <c r="I10753" s="8">
        <v>527.4375</v>
      </c>
      <c r="J10753" s="3">
        <f t="shared" si="167"/>
        <v>43749.266901712959</v>
      </c>
    </row>
    <row r="10754" spans="1:10" x14ac:dyDescent="0.25">
      <c r="A10754" s="5" t="s">
        <v>47145</v>
      </c>
      <c r="B10754" s="6">
        <v>396.875</v>
      </c>
      <c r="C10754" s="6">
        <v>20.478950000000001</v>
      </c>
      <c r="D10754" s="6">
        <v>62</v>
      </c>
      <c r="E10754" s="6">
        <v>0</v>
      </c>
      <c r="F10754" s="6">
        <v>0</v>
      </c>
      <c r="G10754" s="6">
        <v>9</v>
      </c>
      <c r="H10754" s="6" t="s">
        <v>47146</v>
      </c>
      <c r="I10754" s="6">
        <v>527.4375</v>
      </c>
      <c r="J10754" s="2">
        <f t="shared" ref="J10754:J10817" si="168">(H10754/86400000)+25569+(7/24)</f>
        <v>43749.266982071757</v>
      </c>
    </row>
    <row r="10755" spans="1:10" x14ac:dyDescent="0.25">
      <c r="A10755" s="7" t="s">
        <v>47147</v>
      </c>
      <c r="B10755" s="8">
        <v>396.875</v>
      </c>
      <c r="C10755" s="8">
        <v>20.478950000000001</v>
      </c>
      <c r="D10755" s="8">
        <v>62</v>
      </c>
      <c r="E10755" s="8">
        <v>0</v>
      </c>
      <c r="F10755" s="8">
        <v>0</v>
      </c>
      <c r="G10755" s="8">
        <v>12</v>
      </c>
      <c r="H10755" s="8" t="s">
        <v>47148</v>
      </c>
      <c r="I10755" s="8">
        <v>527.4375</v>
      </c>
      <c r="J10755" s="3">
        <f t="shared" si="168"/>
        <v>43749.267053773146</v>
      </c>
    </row>
    <row r="10756" spans="1:10" x14ac:dyDescent="0.25">
      <c r="A10756" s="5" t="s">
        <v>47149</v>
      </c>
      <c r="B10756" s="6">
        <v>415.625</v>
      </c>
      <c r="C10756" s="6">
        <v>20.478950000000001</v>
      </c>
      <c r="D10756" s="6">
        <v>62</v>
      </c>
      <c r="E10756" s="6">
        <v>0</v>
      </c>
      <c r="F10756" s="6">
        <v>0</v>
      </c>
      <c r="G10756" s="6">
        <v>11</v>
      </c>
      <c r="H10756" s="6" t="s">
        <v>47150</v>
      </c>
      <c r="I10756" s="6">
        <v>533.625</v>
      </c>
      <c r="J10756" s="2">
        <f t="shared" si="168"/>
        <v>43749.267137129624</v>
      </c>
    </row>
    <row r="10757" spans="1:10" x14ac:dyDescent="0.25">
      <c r="A10757" s="7" t="s">
        <v>47151</v>
      </c>
      <c r="B10757" s="8">
        <v>393.75</v>
      </c>
      <c r="C10757" s="8">
        <v>20.478950000000001</v>
      </c>
      <c r="D10757" s="8">
        <v>62</v>
      </c>
      <c r="E10757" s="8">
        <v>0</v>
      </c>
      <c r="F10757" s="8">
        <v>0</v>
      </c>
      <c r="G10757" s="8">
        <v>15</v>
      </c>
      <c r="H10757" s="8" t="s">
        <v>47152</v>
      </c>
      <c r="I10757" s="8">
        <v>526.6875</v>
      </c>
      <c r="J10757" s="3">
        <f t="shared" si="168"/>
        <v>43749.267208854166</v>
      </c>
    </row>
    <row r="10758" spans="1:10" x14ac:dyDescent="0.25">
      <c r="A10758" s="5" t="s">
        <v>47153</v>
      </c>
      <c r="B10758" s="6">
        <v>393.75</v>
      </c>
      <c r="C10758" s="6">
        <v>20.478950000000001</v>
      </c>
      <c r="D10758" s="6">
        <v>64</v>
      </c>
      <c r="E10758" s="6">
        <v>0</v>
      </c>
      <c r="F10758" s="6">
        <v>0</v>
      </c>
      <c r="G10758" s="6">
        <v>4</v>
      </c>
      <c r="H10758" s="6" t="s">
        <v>47154</v>
      </c>
      <c r="I10758" s="6">
        <v>526.6875</v>
      </c>
      <c r="J10758" s="2">
        <f t="shared" si="168"/>
        <v>43749.267280231477</v>
      </c>
    </row>
    <row r="10759" spans="1:10" x14ac:dyDescent="0.25">
      <c r="A10759" s="7" t="s">
        <v>47155</v>
      </c>
      <c r="B10759" s="8">
        <v>393.75</v>
      </c>
      <c r="C10759" s="8">
        <v>20.478950000000001</v>
      </c>
      <c r="D10759" s="8">
        <v>64</v>
      </c>
      <c r="E10759" s="8">
        <v>0</v>
      </c>
      <c r="F10759" s="8">
        <v>0</v>
      </c>
      <c r="G10759" s="8">
        <v>15</v>
      </c>
      <c r="H10759" s="8" t="s">
        <v>47156</v>
      </c>
      <c r="I10759" s="8">
        <v>526.6875</v>
      </c>
      <c r="J10759" s="3">
        <f t="shared" si="168"/>
        <v>43749.267363576386</v>
      </c>
    </row>
    <row r="10760" spans="1:10" x14ac:dyDescent="0.25">
      <c r="A10760" s="5" t="s">
        <v>47157</v>
      </c>
      <c r="B10760" s="6">
        <v>393.75</v>
      </c>
      <c r="C10760" s="6">
        <v>20.478950000000001</v>
      </c>
      <c r="D10760" s="6">
        <v>63</v>
      </c>
      <c r="E10760" s="6">
        <v>0</v>
      </c>
      <c r="F10760" s="6">
        <v>0</v>
      </c>
      <c r="G10760" s="6">
        <v>7</v>
      </c>
      <c r="H10760" s="6" t="s">
        <v>47158</v>
      </c>
      <c r="I10760" s="6">
        <v>526.6875</v>
      </c>
      <c r="J10760" s="2">
        <f t="shared" si="168"/>
        <v>43749.267435208334</v>
      </c>
    </row>
    <row r="10761" spans="1:10" x14ac:dyDescent="0.25">
      <c r="A10761" s="7" t="s">
        <v>47159</v>
      </c>
      <c r="B10761" s="8">
        <v>393.75</v>
      </c>
      <c r="C10761" s="8">
        <v>20.478950000000001</v>
      </c>
      <c r="D10761" s="8">
        <v>63</v>
      </c>
      <c r="E10761" s="8">
        <v>0</v>
      </c>
      <c r="F10761" s="8">
        <v>0</v>
      </c>
      <c r="G10761" s="8">
        <v>14</v>
      </c>
      <c r="H10761" s="8" t="s">
        <v>47160</v>
      </c>
      <c r="I10761" s="8">
        <v>526.6875</v>
      </c>
      <c r="J10761" s="3">
        <f t="shared" si="168"/>
        <v>43749.267518703702</v>
      </c>
    </row>
    <row r="10762" spans="1:10" x14ac:dyDescent="0.25">
      <c r="A10762" s="5" t="s">
        <v>47161</v>
      </c>
      <c r="B10762" s="6">
        <v>393.75</v>
      </c>
      <c r="C10762" s="6">
        <v>20.478950000000001</v>
      </c>
      <c r="D10762" s="6">
        <v>63</v>
      </c>
      <c r="E10762" s="6">
        <v>0</v>
      </c>
      <c r="F10762" s="6">
        <v>0</v>
      </c>
      <c r="G10762" s="6">
        <v>15</v>
      </c>
      <c r="H10762" s="6" t="s">
        <v>47162</v>
      </c>
      <c r="I10762" s="6">
        <v>526.6875</v>
      </c>
      <c r="J10762" s="2">
        <f t="shared" si="168"/>
        <v>43749.267590173607</v>
      </c>
    </row>
    <row r="10763" spans="1:10" x14ac:dyDescent="0.25">
      <c r="A10763" s="7" t="s">
        <v>47163</v>
      </c>
      <c r="B10763" s="8">
        <v>393.75</v>
      </c>
      <c r="C10763" s="8">
        <v>20.478950000000001</v>
      </c>
      <c r="D10763" s="8">
        <v>65</v>
      </c>
      <c r="E10763" s="8">
        <v>0</v>
      </c>
      <c r="F10763" s="8">
        <v>0</v>
      </c>
      <c r="G10763" s="8">
        <v>11</v>
      </c>
      <c r="H10763" s="8" t="s">
        <v>47164</v>
      </c>
      <c r="I10763" s="8">
        <v>526.6875</v>
      </c>
      <c r="J10763" s="3">
        <f t="shared" si="168"/>
        <v>43749.267661782404</v>
      </c>
    </row>
    <row r="10764" spans="1:10" x14ac:dyDescent="0.25">
      <c r="A10764" s="5" t="s">
        <v>47165</v>
      </c>
      <c r="B10764" s="6">
        <v>393.75</v>
      </c>
      <c r="C10764" s="6">
        <v>20.478950000000001</v>
      </c>
      <c r="D10764" s="6">
        <v>65</v>
      </c>
      <c r="E10764" s="6">
        <v>0</v>
      </c>
      <c r="F10764" s="6">
        <v>0</v>
      </c>
      <c r="G10764" s="6">
        <v>9</v>
      </c>
      <c r="H10764" s="6" t="s">
        <v>47166</v>
      </c>
      <c r="I10764" s="6">
        <v>526.6875</v>
      </c>
      <c r="J10764" s="2">
        <f t="shared" si="168"/>
        <v>43749.267745150464</v>
      </c>
    </row>
    <row r="10765" spans="1:10" x14ac:dyDescent="0.25">
      <c r="A10765" s="7" t="s">
        <v>47167</v>
      </c>
      <c r="B10765" s="8">
        <v>393.75</v>
      </c>
      <c r="C10765" s="8">
        <v>20.478950000000001</v>
      </c>
      <c r="D10765" s="8">
        <v>65</v>
      </c>
      <c r="E10765" s="8">
        <v>0</v>
      </c>
      <c r="F10765" s="8">
        <v>0</v>
      </c>
      <c r="G10765" s="8">
        <v>12</v>
      </c>
      <c r="H10765" s="8" t="s">
        <v>47168</v>
      </c>
      <c r="I10765" s="8">
        <v>526.5</v>
      </c>
      <c r="J10765" s="3">
        <f t="shared" si="168"/>
        <v>43749.267828784716</v>
      </c>
    </row>
    <row r="10766" spans="1:10" x14ac:dyDescent="0.25">
      <c r="A10766" s="5" t="s">
        <v>47169</v>
      </c>
      <c r="B10766" s="6">
        <v>393.75</v>
      </c>
      <c r="C10766" s="6">
        <v>20.478950000000001</v>
      </c>
      <c r="D10766" s="6">
        <v>65</v>
      </c>
      <c r="E10766" s="6">
        <v>0</v>
      </c>
      <c r="F10766" s="6">
        <v>0</v>
      </c>
      <c r="G10766" s="6">
        <v>13</v>
      </c>
      <c r="H10766" s="6" t="s">
        <v>47170</v>
      </c>
      <c r="I10766" s="6">
        <v>526.6875</v>
      </c>
      <c r="J10766" s="2">
        <f t="shared" si="168"/>
        <v>43749.267911990733</v>
      </c>
    </row>
    <row r="10767" spans="1:10" x14ac:dyDescent="0.25">
      <c r="A10767" s="7" t="s">
        <v>47171</v>
      </c>
      <c r="B10767" s="8">
        <v>393.75</v>
      </c>
      <c r="C10767" s="8">
        <v>20.478950000000001</v>
      </c>
      <c r="D10767" s="8">
        <v>65</v>
      </c>
      <c r="E10767" s="8">
        <v>0</v>
      </c>
      <c r="F10767" s="8">
        <v>0</v>
      </c>
      <c r="G10767" s="8">
        <v>8</v>
      </c>
      <c r="H10767" s="8" t="s">
        <v>47172</v>
      </c>
      <c r="I10767" s="8">
        <v>526.6875</v>
      </c>
      <c r="J10767" s="3">
        <f t="shared" si="168"/>
        <v>43749.268007650462</v>
      </c>
    </row>
    <row r="10768" spans="1:10" x14ac:dyDescent="0.25">
      <c r="A10768" s="5" t="s">
        <v>47173</v>
      </c>
      <c r="B10768" s="6">
        <v>393.75</v>
      </c>
      <c r="C10768" s="6">
        <v>20.478950000000001</v>
      </c>
      <c r="D10768" s="6">
        <v>65</v>
      </c>
      <c r="E10768" s="6">
        <v>0</v>
      </c>
      <c r="F10768" s="6">
        <v>0</v>
      </c>
      <c r="G10768" s="6">
        <v>12</v>
      </c>
      <c r="H10768" s="6" t="s">
        <v>47174</v>
      </c>
      <c r="I10768" s="6">
        <v>526.6875</v>
      </c>
      <c r="J10768" s="2">
        <f t="shared" si="168"/>
        <v>43749.268078923611</v>
      </c>
    </row>
    <row r="10769" spans="1:10" x14ac:dyDescent="0.25">
      <c r="A10769" s="7" t="s">
        <v>47175</v>
      </c>
      <c r="B10769" s="8">
        <v>393.75</v>
      </c>
      <c r="C10769" s="8">
        <v>20.478950000000001</v>
      </c>
      <c r="D10769" s="8">
        <v>62</v>
      </c>
      <c r="E10769" s="8">
        <v>0</v>
      </c>
      <c r="F10769" s="8">
        <v>0</v>
      </c>
      <c r="G10769" s="8">
        <v>4</v>
      </c>
      <c r="H10769" s="8" t="s">
        <v>47176</v>
      </c>
      <c r="I10769" s="8">
        <v>526.6875</v>
      </c>
      <c r="J10769" s="3">
        <f t="shared" si="168"/>
        <v>43749.268150868054</v>
      </c>
    </row>
    <row r="10770" spans="1:10" x14ac:dyDescent="0.25">
      <c r="A10770" s="5" t="s">
        <v>47177</v>
      </c>
      <c r="B10770" s="6">
        <v>393.75</v>
      </c>
      <c r="C10770" s="6">
        <v>20.478950000000001</v>
      </c>
      <c r="D10770" s="6">
        <v>60</v>
      </c>
      <c r="E10770" s="6">
        <v>0</v>
      </c>
      <c r="F10770" s="6">
        <v>0</v>
      </c>
      <c r="G10770" s="6">
        <v>12</v>
      </c>
      <c r="H10770" s="6" t="s">
        <v>47178</v>
      </c>
      <c r="I10770" s="6">
        <v>526.6875</v>
      </c>
      <c r="J10770" s="2">
        <f t="shared" si="168"/>
        <v>43749.268233935181</v>
      </c>
    </row>
    <row r="10771" spans="1:10" x14ac:dyDescent="0.25">
      <c r="A10771" s="7" t="s">
        <v>47179</v>
      </c>
      <c r="B10771" s="8">
        <v>393.75</v>
      </c>
      <c r="C10771" s="8">
        <v>20.426300000000001</v>
      </c>
      <c r="D10771" s="8">
        <v>60</v>
      </c>
      <c r="E10771" s="8">
        <v>0</v>
      </c>
      <c r="F10771" s="8">
        <v>0</v>
      </c>
      <c r="G10771" s="8">
        <v>13</v>
      </c>
      <c r="H10771" s="8" t="s">
        <v>47180</v>
      </c>
      <c r="I10771" s="8">
        <v>526.6875</v>
      </c>
      <c r="J10771" s="3">
        <f t="shared" si="168"/>
        <v>43749.268305451384</v>
      </c>
    </row>
    <row r="10772" spans="1:10" x14ac:dyDescent="0.25">
      <c r="A10772" s="5" t="s">
        <v>47181</v>
      </c>
      <c r="B10772" s="6">
        <v>396.875</v>
      </c>
      <c r="C10772" s="6">
        <v>20.478950000000001</v>
      </c>
      <c r="D10772" s="6">
        <v>61</v>
      </c>
      <c r="E10772" s="6">
        <v>0</v>
      </c>
      <c r="F10772" s="6">
        <v>0</v>
      </c>
      <c r="G10772" s="6">
        <v>11</v>
      </c>
      <c r="H10772" s="6" t="s">
        <v>47182</v>
      </c>
      <c r="I10772" s="6">
        <v>527.4375</v>
      </c>
      <c r="J10772" s="2">
        <f t="shared" si="168"/>
        <v>43749.268389236109</v>
      </c>
    </row>
    <row r="10773" spans="1:10" x14ac:dyDescent="0.25">
      <c r="A10773" s="7" t="s">
        <v>47183</v>
      </c>
      <c r="B10773" s="8">
        <v>396.875</v>
      </c>
      <c r="C10773" s="8">
        <v>20.478950000000001</v>
      </c>
      <c r="D10773" s="8">
        <v>61</v>
      </c>
      <c r="E10773" s="8">
        <v>0</v>
      </c>
      <c r="F10773" s="8">
        <v>0</v>
      </c>
      <c r="G10773" s="8">
        <v>6</v>
      </c>
      <c r="H10773" s="8" t="s">
        <v>47184</v>
      </c>
      <c r="I10773" s="8">
        <v>527.4375</v>
      </c>
      <c r="J10773" s="3">
        <f t="shared" si="168"/>
        <v>43749.26846097222</v>
      </c>
    </row>
    <row r="10774" spans="1:10" x14ac:dyDescent="0.25">
      <c r="A10774" s="5" t="s">
        <v>47185</v>
      </c>
      <c r="B10774" s="6">
        <v>396.875</v>
      </c>
      <c r="C10774" s="6">
        <v>20.478950000000001</v>
      </c>
      <c r="D10774" s="6">
        <v>61</v>
      </c>
      <c r="E10774" s="6">
        <v>0</v>
      </c>
      <c r="F10774" s="6">
        <v>0</v>
      </c>
      <c r="G10774" s="6">
        <v>11</v>
      </c>
      <c r="H10774" s="6" t="s">
        <v>47186</v>
      </c>
      <c r="I10774" s="6">
        <v>527.4375</v>
      </c>
      <c r="J10774" s="2">
        <f t="shared" si="168"/>
        <v>43749.268544328697</v>
      </c>
    </row>
    <row r="10775" spans="1:10" x14ac:dyDescent="0.25">
      <c r="A10775" s="7" t="s">
        <v>47187</v>
      </c>
      <c r="B10775" s="8">
        <v>396.875</v>
      </c>
      <c r="C10775" s="8">
        <v>20.478950000000001</v>
      </c>
      <c r="D10775" s="8">
        <v>61</v>
      </c>
      <c r="E10775" s="8">
        <v>0</v>
      </c>
      <c r="F10775" s="8">
        <v>0</v>
      </c>
      <c r="G10775" s="8">
        <v>12</v>
      </c>
      <c r="H10775" s="8" t="s">
        <v>47188</v>
      </c>
      <c r="I10775" s="8">
        <v>527.4375</v>
      </c>
      <c r="J10775" s="3">
        <f t="shared" si="168"/>
        <v>43749.26861550926</v>
      </c>
    </row>
    <row r="10776" spans="1:10" x14ac:dyDescent="0.25">
      <c r="A10776" s="5" t="s">
        <v>47189</v>
      </c>
      <c r="B10776" s="6">
        <v>400</v>
      </c>
      <c r="C10776" s="6">
        <v>20.426300000000001</v>
      </c>
      <c r="D10776" s="6">
        <v>60</v>
      </c>
      <c r="E10776" s="6">
        <v>0</v>
      </c>
      <c r="F10776" s="6">
        <v>0</v>
      </c>
      <c r="G10776" s="6">
        <v>12</v>
      </c>
      <c r="H10776" s="6" t="s">
        <v>47190</v>
      </c>
      <c r="I10776" s="6">
        <v>528.1875</v>
      </c>
      <c r="J10776" s="2">
        <f t="shared" si="168"/>
        <v>43749.26868739583</v>
      </c>
    </row>
    <row r="10777" spans="1:10" x14ac:dyDescent="0.25">
      <c r="A10777" s="7" t="s">
        <v>47191</v>
      </c>
      <c r="B10777" s="8">
        <v>400</v>
      </c>
      <c r="C10777" s="8">
        <v>20.426300000000001</v>
      </c>
      <c r="D10777" s="8">
        <v>61</v>
      </c>
      <c r="E10777" s="8">
        <v>0</v>
      </c>
      <c r="F10777" s="8">
        <v>0</v>
      </c>
      <c r="G10777" s="8">
        <v>11</v>
      </c>
      <c r="H10777" s="8" t="s">
        <v>47192</v>
      </c>
      <c r="I10777" s="8">
        <v>528.375</v>
      </c>
      <c r="J10777" s="3">
        <f t="shared" si="168"/>
        <v>43749.268770960647</v>
      </c>
    </row>
    <row r="10778" spans="1:10" x14ac:dyDescent="0.25">
      <c r="A10778" s="5" t="s">
        <v>47193</v>
      </c>
      <c r="B10778" s="6">
        <v>403.125</v>
      </c>
      <c r="C10778" s="6">
        <v>20.478950000000001</v>
      </c>
      <c r="D10778" s="6">
        <v>61</v>
      </c>
      <c r="E10778" s="6">
        <v>0</v>
      </c>
      <c r="F10778" s="6">
        <v>0</v>
      </c>
      <c r="G10778" s="6">
        <v>14</v>
      </c>
      <c r="H10778" s="6" t="s">
        <v>47194</v>
      </c>
      <c r="I10778" s="6">
        <v>529.125</v>
      </c>
      <c r="J10778" s="2">
        <f t="shared" si="168"/>
        <v>43749.268842523146</v>
      </c>
    </row>
    <row r="10779" spans="1:10" x14ac:dyDescent="0.25">
      <c r="A10779" s="7" t="s">
        <v>47195</v>
      </c>
      <c r="B10779" s="8">
        <v>403.125</v>
      </c>
      <c r="C10779" s="8">
        <v>20.478950000000001</v>
      </c>
      <c r="D10779" s="8">
        <v>61</v>
      </c>
      <c r="E10779" s="8">
        <v>0</v>
      </c>
      <c r="F10779" s="8">
        <v>0</v>
      </c>
      <c r="G10779" s="8">
        <v>9</v>
      </c>
      <c r="H10779" s="8" t="s">
        <v>47196</v>
      </c>
      <c r="I10779" s="8">
        <v>529.125</v>
      </c>
      <c r="J10779" s="3">
        <f t="shared" si="168"/>
        <v>43749.268925972217</v>
      </c>
    </row>
    <row r="10780" spans="1:10" x14ac:dyDescent="0.25">
      <c r="A10780" s="5" t="s">
        <v>47197</v>
      </c>
      <c r="B10780" s="6">
        <v>403.125</v>
      </c>
      <c r="C10780" s="6">
        <v>20.478950000000001</v>
      </c>
      <c r="D10780" s="6">
        <v>64</v>
      </c>
      <c r="E10780" s="6">
        <v>0</v>
      </c>
      <c r="F10780" s="6">
        <v>0</v>
      </c>
      <c r="G10780" s="6">
        <v>10</v>
      </c>
      <c r="H10780" s="6" t="s">
        <v>47198</v>
      </c>
      <c r="I10780" s="6">
        <v>529.875</v>
      </c>
      <c r="J10780" s="2">
        <f t="shared" si="168"/>
        <v>43749.268997638887</v>
      </c>
    </row>
    <row r="10781" spans="1:10" x14ac:dyDescent="0.25">
      <c r="A10781" s="7" t="s">
        <v>47199</v>
      </c>
      <c r="B10781" s="8">
        <v>406.25</v>
      </c>
      <c r="C10781" s="8">
        <v>20.478950000000001</v>
      </c>
      <c r="D10781" s="8">
        <v>64</v>
      </c>
      <c r="E10781" s="8">
        <v>0</v>
      </c>
      <c r="F10781" s="8">
        <v>0</v>
      </c>
      <c r="G10781" s="8">
        <v>11</v>
      </c>
      <c r="H10781" s="8" t="s">
        <v>47200</v>
      </c>
      <c r="I10781" s="8">
        <v>530.625</v>
      </c>
      <c r="J10781" s="3">
        <f t="shared" si="168"/>
        <v>43749.269068715272</v>
      </c>
    </row>
    <row r="10782" spans="1:10" x14ac:dyDescent="0.25">
      <c r="A10782" s="5" t="s">
        <v>47201</v>
      </c>
      <c r="B10782" s="6">
        <v>406.25</v>
      </c>
      <c r="C10782" s="6">
        <v>20.478950000000001</v>
      </c>
      <c r="D10782" s="6">
        <v>63</v>
      </c>
      <c r="E10782" s="6">
        <v>0</v>
      </c>
      <c r="F10782" s="6">
        <v>0</v>
      </c>
      <c r="G10782" s="6">
        <v>10</v>
      </c>
      <c r="H10782" s="6" t="s">
        <v>47202</v>
      </c>
      <c r="I10782" s="6">
        <v>530.625</v>
      </c>
      <c r="J10782" s="2">
        <f t="shared" si="168"/>
        <v>43749.269152523142</v>
      </c>
    </row>
    <row r="10783" spans="1:10" x14ac:dyDescent="0.25">
      <c r="A10783" s="7" t="s">
        <v>47203</v>
      </c>
      <c r="B10783" s="8">
        <v>425</v>
      </c>
      <c r="C10783" s="8">
        <v>20.478950000000001</v>
      </c>
      <c r="D10783" s="8">
        <v>63</v>
      </c>
      <c r="E10783" s="8">
        <v>0</v>
      </c>
      <c r="F10783" s="8">
        <v>0</v>
      </c>
      <c r="G10783" s="8">
        <v>10</v>
      </c>
      <c r="H10783" s="8" t="s">
        <v>47204</v>
      </c>
      <c r="I10783" s="8">
        <v>536.8125</v>
      </c>
      <c r="J10783" s="3">
        <f t="shared" si="168"/>
        <v>43749.269224027776</v>
      </c>
    </row>
    <row r="10784" spans="1:10" x14ac:dyDescent="0.25">
      <c r="A10784" s="5" t="s">
        <v>47205</v>
      </c>
      <c r="B10784" s="6">
        <v>406.25</v>
      </c>
      <c r="C10784" s="6">
        <v>20.478950000000001</v>
      </c>
      <c r="D10784" s="6">
        <v>63</v>
      </c>
      <c r="E10784" s="6">
        <v>0</v>
      </c>
      <c r="F10784" s="6">
        <v>0</v>
      </c>
      <c r="G10784" s="6">
        <v>16</v>
      </c>
      <c r="H10784" s="6" t="s">
        <v>47206</v>
      </c>
      <c r="I10784" s="6">
        <v>530.625</v>
      </c>
      <c r="J10784" s="2">
        <f t="shared" si="168"/>
        <v>43749.269307523144</v>
      </c>
    </row>
    <row r="10785" spans="1:10" x14ac:dyDescent="0.25">
      <c r="A10785" s="7" t="s">
        <v>47207</v>
      </c>
      <c r="B10785" s="8">
        <v>406.25</v>
      </c>
      <c r="C10785" s="8">
        <v>20.478950000000001</v>
      </c>
      <c r="D10785" s="8">
        <v>63</v>
      </c>
      <c r="E10785" s="8">
        <v>0</v>
      </c>
      <c r="F10785" s="8">
        <v>0</v>
      </c>
      <c r="G10785" s="8">
        <v>7</v>
      </c>
      <c r="H10785" s="8" t="s">
        <v>47208</v>
      </c>
      <c r="I10785" s="8">
        <v>530.625</v>
      </c>
      <c r="J10785" s="3">
        <f t="shared" si="168"/>
        <v>43749.269390983791</v>
      </c>
    </row>
    <row r="10786" spans="1:10" x14ac:dyDescent="0.25">
      <c r="A10786" s="5" t="s">
        <v>47209</v>
      </c>
      <c r="B10786" s="6">
        <v>406.25</v>
      </c>
      <c r="C10786" s="6">
        <v>20.426300000000001</v>
      </c>
      <c r="D10786" s="6">
        <v>65</v>
      </c>
      <c r="E10786" s="6">
        <v>0</v>
      </c>
      <c r="F10786" s="6">
        <v>0</v>
      </c>
      <c r="G10786" s="6">
        <v>11</v>
      </c>
      <c r="H10786" s="6" t="s">
        <v>47210</v>
      </c>
      <c r="I10786" s="6">
        <v>530.625</v>
      </c>
      <c r="J10786" s="2">
        <f t="shared" si="168"/>
        <v>43749.269462662036</v>
      </c>
    </row>
    <row r="10787" spans="1:10" x14ac:dyDescent="0.25">
      <c r="A10787" s="7" t="s">
        <v>47211</v>
      </c>
      <c r="B10787" s="8">
        <v>403.125</v>
      </c>
      <c r="C10787" s="8">
        <v>20.478950000000001</v>
      </c>
      <c r="D10787" s="8">
        <v>64</v>
      </c>
      <c r="E10787" s="8">
        <v>0</v>
      </c>
      <c r="F10787" s="8">
        <v>0</v>
      </c>
      <c r="G10787" s="8">
        <v>15</v>
      </c>
      <c r="H10787" s="8" t="s">
        <v>47212</v>
      </c>
      <c r="I10787" s="8">
        <v>529.6875</v>
      </c>
      <c r="J10787" s="3">
        <f t="shared" si="168"/>
        <v>43749.269546006944</v>
      </c>
    </row>
    <row r="10788" spans="1:10" x14ac:dyDescent="0.25">
      <c r="A10788" s="5" t="s">
        <v>47213</v>
      </c>
      <c r="B10788" s="6">
        <v>403.125</v>
      </c>
      <c r="C10788" s="6">
        <v>20.478950000000001</v>
      </c>
      <c r="D10788" s="6">
        <v>65</v>
      </c>
      <c r="E10788" s="6">
        <v>0</v>
      </c>
      <c r="F10788" s="6">
        <v>0</v>
      </c>
      <c r="G10788" s="6">
        <v>13</v>
      </c>
      <c r="H10788" s="6" t="s">
        <v>47214</v>
      </c>
      <c r="I10788" s="6">
        <v>529.125</v>
      </c>
      <c r="J10788" s="2">
        <f t="shared" si="168"/>
        <v>43749.269617546299</v>
      </c>
    </row>
    <row r="10789" spans="1:10" x14ac:dyDescent="0.25">
      <c r="A10789" s="7" t="s">
        <v>47215</v>
      </c>
      <c r="B10789" s="8">
        <v>418.75</v>
      </c>
      <c r="C10789" s="8">
        <v>20.478950000000001</v>
      </c>
      <c r="D10789" s="8">
        <v>65</v>
      </c>
      <c r="E10789" s="8">
        <v>0</v>
      </c>
      <c r="F10789" s="8">
        <v>0</v>
      </c>
      <c r="G10789" s="8">
        <v>10</v>
      </c>
      <c r="H10789" s="8" t="s">
        <v>47216</v>
      </c>
      <c r="I10789" s="8">
        <v>534.5625</v>
      </c>
      <c r="J10789" s="3">
        <f t="shared" si="168"/>
        <v>43749.269689166664</v>
      </c>
    </row>
    <row r="10790" spans="1:10" x14ac:dyDescent="0.25">
      <c r="A10790" s="5" t="s">
        <v>47217</v>
      </c>
      <c r="B10790" s="6">
        <v>403.125</v>
      </c>
      <c r="C10790" s="6">
        <v>20.478950000000001</v>
      </c>
      <c r="D10790" s="6">
        <v>64</v>
      </c>
      <c r="E10790" s="6">
        <v>0</v>
      </c>
      <c r="F10790" s="6">
        <v>0</v>
      </c>
      <c r="G10790" s="6">
        <v>10</v>
      </c>
      <c r="H10790" s="6" t="s">
        <v>47218</v>
      </c>
      <c r="I10790" s="6">
        <v>529.125</v>
      </c>
      <c r="J10790" s="2">
        <f t="shared" si="168"/>
        <v>43749.269760671297</v>
      </c>
    </row>
    <row r="10791" spans="1:10" x14ac:dyDescent="0.25">
      <c r="A10791" s="7" t="s">
        <v>47219</v>
      </c>
      <c r="B10791" s="8">
        <v>400</v>
      </c>
      <c r="C10791" s="8">
        <v>20.426300000000001</v>
      </c>
      <c r="D10791" s="8">
        <v>64</v>
      </c>
      <c r="E10791" s="8">
        <v>0</v>
      </c>
      <c r="F10791" s="8">
        <v>0</v>
      </c>
      <c r="G10791" s="8">
        <v>14</v>
      </c>
      <c r="H10791" s="8" t="s">
        <v>47220</v>
      </c>
      <c r="I10791" s="8">
        <v>528.375</v>
      </c>
      <c r="J10791" s="3">
        <f t="shared" si="168"/>
        <v>43749.269844270828</v>
      </c>
    </row>
    <row r="10792" spans="1:10" x14ac:dyDescent="0.25">
      <c r="A10792" s="5" t="s">
        <v>47221</v>
      </c>
      <c r="B10792" s="6">
        <v>396.875</v>
      </c>
      <c r="C10792" s="6">
        <v>20.478950000000001</v>
      </c>
      <c r="D10792" s="6">
        <v>65</v>
      </c>
      <c r="E10792" s="6">
        <v>0</v>
      </c>
      <c r="F10792" s="6">
        <v>0</v>
      </c>
      <c r="G10792" s="6">
        <v>13</v>
      </c>
      <c r="H10792" s="6" t="s">
        <v>47222</v>
      </c>
      <c r="I10792" s="6">
        <v>527.4375</v>
      </c>
      <c r="J10792" s="2">
        <f t="shared" si="168"/>
        <v>43749.269927881942</v>
      </c>
    </row>
    <row r="10793" spans="1:10" x14ac:dyDescent="0.25">
      <c r="A10793" s="7" t="s">
        <v>47223</v>
      </c>
      <c r="B10793" s="8">
        <v>396.875</v>
      </c>
      <c r="C10793" s="8">
        <v>20.478950000000001</v>
      </c>
      <c r="D10793" s="8">
        <v>64</v>
      </c>
      <c r="E10793" s="8">
        <v>0</v>
      </c>
      <c r="F10793" s="8">
        <v>0</v>
      </c>
      <c r="G10793" s="8">
        <v>10</v>
      </c>
      <c r="H10793" s="8" t="s">
        <v>47224</v>
      </c>
      <c r="I10793" s="8">
        <v>527.4375</v>
      </c>
      <c r="J10793" s="3">
        <f t="shared" si="168"/>
        <v>43749.270011064807</v>
      </c>
    </row>
    <row r="10794" spans="1:10" x14ac:dyDescent="0.25">
      <c r="A10794" s="5" t="s">
        <v>47225</v>
      </c>
      <c r="B10794" s="6">
        <v>393.75</v>
      </c>
      <c r="C10794" s="6">
        <v>20.478950000000001</v>
      </c>
      <c r="D10794" s="6">
        <v>63</v>
      </c>
      <c r="E10794" s="6">
        <v>0</v>
      </c>
      <c r="F10794" s="6">
        <v>0</v>
      </c>
      <c r="G10794" s="6">
        <v>8</v>
      </c>
      <c r="H10794" s="6" t="s">
        <v>47226</v>
      </c>
      <c r="I10794" s="6">
        <v>526.6875</v>
      </c>
      <c r="J10794" s="2">
        <f t="shared" si="168"/>
        <v>43749.270094664353</v>
      </c>
    </row>
    <row r="10795" spans="1:10" x14ac:dyDescent="0.25">
      <c r="A10795" s="7" t="s">
        <v>47227</v>
      </c>
      <c r="B10795" s="8">
        <v>393.75</v>
      </c>
      <c r="C10795" s="8">
        <v>20.426300000000001</v>
      </c>
      <c r="D10795" s="8">
        <v>65</v>
      </c>
      <c r="E10795" s="8">
        <v>0</v>
      </c>
      <c r="F10795" s="8">
        <v>0</v>
      </c>
      <c r="G10795" s="8">
        <v>6</v>
      </c>
      <c r="H10795" s="8" t="s">
        <v>47228</v>
      </c>
      <c r="I10795" s="8">
        <v>526.6875</v>
      </c>
      <c r="J10795" s="3">
        <f t="shared" si="168"/>
        <v>43749.270178182873</v>
      </c>
    </row>
    <row r="10796" spans="1:10" x14ac:dyDescent="0.25">
      <c r="A10796" s="5" t="s">
        <v>47229</v>
      </c>
      <c r="B10796" s="6">
        <v>393.75</v>
      </c>
      <c r="C10796" s="6">
        <v>20.478950000000001</v>
      </c>
      <c r="D10796" s="6">
        <v>65</v>
      </c>
      <c r="E10796" s="6">
        <v>0</v>
      </c>
      <c r="F10796" s="6">
        <v>0</v>
      </c>
      <c r="G10796" s="6">
        <v>15</v>
      </c>
      <c r="H10796" s="6" t="s">
        <v>47230</v>
      </c>
      <c r="I10796" s="6">
        <v>526.6875</v>
      </c>
      <c r="J10796" s="2">
        <f t="shared" si="168"/>
        <v>43749.270249699075</v>
      </c>
    </row>
    <row r="10797" spans="1:10" x14ac:dyDescent="0.25">
      <c r="A10797" s="7" t="s">
        <v>47231</v>
      </c>
      <c r="B10797" s="8">
        <v>396.875</v>
      </c>
      <c r="C10797" s="8">
        <v>20.478950000000001</v>
      </c>
      <c r="D10797" s="8">
        <v>66</v>
      </c>
      <c r="E10797" s="8">
        <v>0</v>
      </c>
      <c r="F10797" s="8">
        <v>0</v>
      </c>
      <c r="G10797" s="8">
        <v>12</v>
      </c>
      <c r="H10797" s="8" t="s">
        <v>47232</v>
      </c>
      <c r="I10797" s="8">
        <v>527.4375</v>
      </c>
      <c r="J10797" s="3">
        <f t="shared" si="168"/>
        <v>43749.270321226846</v>
      </c>
    </row>
    <row r="10798" spans="1:10" x14ac:dyDescent="0.25">
      <c r="A10798" s="5" t="s">
        <v>47233</v>
      </c>
      <c r="B10798" s="6">
        <v>396.875</v>
      </c>
      <c r="C10798" s="6">
        <v>20.478950000000001</v>
      </c>
      <c r="D10798" s="6">
        <v>64</v>
      </c>
      <c r="E10798" s="6">
        <v>0</v>
      </c>
      <c r="F10798" s="6">
        <v>0</v>
      </c>
      <c r="G10798" s="6">
        <v>8</v>
      </c>
      <c r="H10798" s="6" t="s">
        <v>47234</v>
      </c>
      <c r="I10798" s="6">
        <v>527.4375</v>
      </c>
      <c r="J10798" s="2">
        <f t="shared" si="168"/>
        <v>43749.270404374998</v>
      </c>
    </row>
    <row r="10799" spans="1:10" x14ac:dyDescent="0.25">
      <c r="A10799" s="7" t="s">
        <v>47235</v>
      </c>
      <c r="B10799" s="8">
        <v>396.875</v>
      </c>
      <c r="C10799" s="8">
        <v>20.478950000000001</v>
      </c>
      <c r="D10799" s="8">
        <v>64</v>
      </c>
      <c r="E10799" s="8">
        <v>0</v>
      </c>
      <c r="F10799" s="8">
        <v>0</v>
      </c>
      <c r="G10799" s="8">
        <v>10</v>
      </c>
      <c r="H10799" s="8" t="s">
        <v>47236</v>
      </c>
      <c r="I10799" s="8">
        <v>527.4375</v>
      </c>
      <c r="J10799" s="3">
        <f t="shared" si="168"/>
        <v>43749.270476157406</v>
      </c>
    </row>
    <row r="10800" spans="1:10" x14ac:dyDescent="0.25">
      <c r="A10800" s="5" t="s">
        <v>47237</v>
      </c>
      <c r="B10800" s="6">
        <v>396.875</v>
      </c>
      <c r="C10800" s="6">
        <v>20.478950000000001</v>
      </c>
      <c r="D10800" s="6">
        <v>60</v>
      </c>
      <c r="E10800" s="6">
        <v>0</v>
      </c>
      <c r="F10800" s="6">
        <v>0</v>
      </c>
      <c r="G10800" s="6">
        <v>7</v>
      </c>
      <c r="H10800" s="6" t="s">
        <v>47238</v>
      </c>
      <c r="I10800" s="6">
        <v>527.4375</v>
      </c>
      <c r="J10800" s="2">
        <f t="shared" si="168"/>
        <v>43749.270571805559</v>
      </c>
    </row>
    <row r="10801" spans="1:10" x14ac:dyDescent="0.25">
      <c r="A10801" s="7" t="s">
        <v>47239</v>
      </c>
      <c r="B10801" s="8">
        <v>393.75</v>
      </c>
      <c r="C10801" s="8">
        <v>20.478950000000001</v>
      </c>
      <c r="D10801" s="8">
        <v>60</v>
      </c>
      <c r="E10801" s="8">
        <v>0</v>
      </c>
      <c r="F10801" s="8">
        <v>0</v>
      </c>
      <c r="G10801" s="8">
        <v>7</v>
      </c>
      <c r="H10801" s="8" t="s">
        <v>47240</v>
      </c>
      <c r="I10801" s="8">
        <v>526.6875</v>
      </c>
      <c r="J10801" s="3">
        <f t="shared" si="168"/>
        <v>43749.270643194446</v>
      </c>
    </row>
    <row r="10802" spans="1:10" x14ac:dyDescent="0.25">
      <c r="A10802" s="5" t="s">
        <v>47241</v>
      </c>
      <c r="B10802" s="6">
        <v>393.75</v>
      </c>
      <c r="C10802" s="6">
        <v>20.478950000000001</v>
      </c>
      <c r="D10802" s="6">
        <v>60</v>
      </c>
      <c r="E10802" s="6">
        <v>0</v>
      </c>
      <c r="F10802" s="6">
        <v>0</v>
      </c>
      <c r="G10802" s="6">
        <v>14</v>
      </c>
      <c r="H10802" s="6" t="s">
        <v>47242</v>
      </c>
      <c r="I10802" s="6">
        <v>526.6875</v>
      </c>
      <c r="J10802" s="2">
        <f t="shared" si="168"/>
        <v>43749.270714745369</v>
      </c>
    </row>
    <row r="10803" spans="1:10" x14ac:dyDescent="0.25">
      <c r="A10803" s="7" t="s">
        <v>47243</v>
      </c>
      <c r="B10803" s="8">
        <v>393.75</v>
      </c>
      <c r="C10803" s="8">
        <v>20.478950000000001</v>
      </c>
      <c r="D10803" s="8">
        <v>60</v>
      </c>
      <c r="E10803" s="8">
        <v>0</v>
      </c>
      <c r="F10803" s="8">
        <v>0</v>
      </c>
      <c r="G10803" s="8">
        <v>17</v>
      </c>
      <c r="H10803" s="8" t="s">
        <v>47244</v>
      </c>
      <c r="I10803" s="8">
        <v>526.6875</v>
      </c>
      <c r="J10803" s="3">
        <f t="shared" si="168"/>
        <v>43749.270785925924</v>
      </c>
    </row>
    <row r="10804" spans="1:10" x14ac:dyDescent="0.25">
      <c r="A10804" s="5" t="s">
        <v>47245</v>
      </c>
      <c r="B10804" s="6">
        <v>393.75</v>
      </c>
      <c r="C10804" s="6">
        <v>20.478950000000001</v>
      </c>
      <c r="D10804" s="6">
        <v>60</v>
      </c>
      <c r="E10804" s="6">
        <v>0</v>
      </c>
      <c r="F10804" s="6">
        <v>0</v>
      </c>
      <c r="G10804" s="6">
        <v>7</v>
      </c>
      <c r="H10804" s="6" t="s">
        <v>47246</v>
      </c>
      <c r="I10804" s="6">
        <v>526.6875</v>
      </c>
      <c r="J10804" s="2">
        <f t="shared" si="168"/>
        <v>43749.270857951386</v>
      </c>
    </row>
    <row r="10805" spans="1:10" x14ac:dyDescent="0.25">
      <c r="A10805" s="7" t="s">
        <v>47247</v>
      </c>
      <c r="B10805" s="8">
        <v>393.75</v>
      </c>
      <c r="C10805" s="8">
        <v>20.478950000000001</v>
      </c>
      <c r="D10805" s="8">
        <v>60</v>
      </c>
      <c r="E10805" s="8">
        <v>0</v>
      </c>
      <c r="F10805" s="8">
        <v>0</v>
      </c>
      <c r="G10805" s="8">
        <v>6</v>
      </c>
      <c r="H10805" s="8" t="s">
        <v>47248</v>
      </c>
      <c r="I10805" s="8">
        <v>526.6875</v>
      </c>
      <c r="J10805" s="3">
        <f t="shared" si="168"/>
        <v>43749.270929456012</v>
      </c>
    </row>
    <row r="10806" spans="1:10" x14ac:dyDescent="0.25">
      <c r="A10806" s="5" t="s">
        <v>47249</v>
      </c>
      <c r="B10806" s="6">
        <v>393.75</v>
      </c>
      <c r="C10806" s="6">
        <v>20.478950000000001</v>
      </c>
      <c r="D10806" s="6">
        <v>60</v>
      </c>
      <c r="E10806" s="6">
        <v>0</v>
      </c>
      <c r="F10806" s="6">
        <v>0</v>
      </c>
      <c r="G10806" s="6">
        <v>12</v>
      </c>
      <c r="H10806" s="6" t="s">
        <v>47250</v>
      </c>
      <c r="I10806" s="6">
        <v>526.5</v>
      </c>
      <c r="J10806" s="2">
        <f t="shared" si="168"/>
        <v>43749.271000601853</v>
      </c>
    </row>
    <row r="10807" spans="1:10" x14ac:dyDescent="0.25">
      <c r="A10807" s="7" t="s">
        <v>47251</v>
      </c>
      <c r="B10807" s="8">
        <v>396.875</v>
      </c>
      <c r="C10807" s="8">
        <v>20.478950000000001</v>
      </c>
      <c r="D10807" s="8">
        <v>60</v>
      </c>
      <c r="E10807" s="8">
        <v>0</v>
      </c>
      <c r="F10807" s="8">
        <v>0</v>
      </c>
      <c r="G10807" s="8">
        <v>11</v>
      </c>
      <c r="H10807" s="8" t="s">
        <v>47252</v>
      </c>
      <c r="I10807" s="8">
        <v>527.4375</v>
      </c>
      <c r="J10807" s="3">
        <f t="shared" si="168"/>
        <v>43749.271072442127</v>
      </c>
    </row>
    <row r="10808" spans="1:10" x14ac:dyDescent="0.25">
      <c r="A10808" s="5" t="s">
        <v>47253</v>
      </c>
      <c r="B10808" s="6">
        <v>396.875</v>
      </c>
      <c r="C10808" s="6">
        <v>20.478950000000001</v>
      </c>
      <c r="D10808" s="6">
        <v>62</v>
      </c>
      <c r="E10808" s="6">
        <v>0</v>
      </c>
      <c r="F10808" s="6">
        <v>0</v>
      </c>
      <c r="G10808" s="6">
        <v>13</v>
      </c>
      <c r="H10808" s="6" t="s">
        <v>47254</v>
      </c>
      <c r="I10808" s="6">
        <v>527.4375</v>
      </c>
      <c r="J10808" s="2">
        <f t="shared" si="168"/>
        <v>43749.271155960647</v>
      </c>
    </row>
    <row r="10809" spans="1:10" x14ac:dyDescent="0.25">
      <c r="A10809" s="7" t="s">
        <v>47255</v>
      </c>
      <c r="B10809" s="8">
        <v>396.875</v>
      </c>
      <c r="C10809" s="8">
        <v>20.478950000000001</v>
      </c>
      <c r="D10809" s="8">
        <v>61</v>
      </c>
      <c r="E10809" s="8">
        <v>0</v>
      </c>
      <c r="F10809" s="8">
        <v>0</v>
      </c>
      <c r="G10809" s="8">
        <v>11</v>
      </c>
      <c r="H10809" s="8" t="s">
        <v>47256</v>
      </c>
      <c r="I10809" s="8">
        <v>527.4375</v>
      </c>
      <c r="J10809" s="3">
        <f t="shared" si="168"/>
        <v>43749.271227418976</v>
      </c>
    </row>
    <row r="10810" spans="1:10" x14ac:dyDescent="0.25">
      <c r="A10810" s="5" t="s">
        <v>47257</v>
      </c>
      <c r="B10810" s="6">
        <v>396.875</v>
      </c>
      <c r="C10810" s="6">
        <v>20.478950000000001</v>
      </c>
      <c r="D10810" s="6">
        <v>61</v>
      </c>
      <c r="E10810" s="6">
        <v>0</v>
      </c>
      <c r="F10810" s="6">
        <v>0</v>
      </c>
      <c r="G10810" s="6">
        <v>5</v>
      </c>
      <c r="H10810" s="6" t="s">
        <v>47258</v>
      </c>
      <c r="I10810" s="6">
        <v>527.4375</v>
      </c>
      <c r="J10810" s="2">
        <f t="shared" si="168"/>
        <v>43749.271298969907</v>
      </c>
    </row>
    <row r="10811" spans="1:10" x14ac:dyDescent="0.25">
      <c r="A10811" s="7" t="s">
        <v>47259</v>
      </c>
      <c r="B10811" s="8">
        <v>421.875</v>
      </c>
      <c r="C10811" s="8">
        <v>20.478950000000001</v>
      </c>
      <c r="D10811" s="8">
        <v>61</v>
      </c>
      <c r="E10811" s="8">
        <v>0</v>
      </c>
      <c r="F10811" s="8">
        <v>0</v>
      </c>
      <c r="G10811" s="8">
        <v>17</v>
      </c>
      <c r="H10811" s="8" t="s">
        <v>47260</v>
      </c>
      <c r="I10811" s="8">
        <v>535.6875</v>
      </c>
      <c r="J10811" s="3">
        <f t="shared" si="168"/>
        <v>43749.271382071754</v>
      </c>
    </row>
    <row r="10812" spans="1:10" x14ac:dyDescent="0.25">
      <c r="A10812" s="5" t="s">
        <v>47261</v>
      </c>
      <c r="B10812" s="6">
        <v>393.75</v>
      </c>
      <c r="C10812" s="6">
        <v>20.478950000000001</v>
      </c>
      <c r="D10812" s="6">
        <v>62</v>
      </c>
      <c r="E10812" s="6">
        <v>0</v>
      </c>
      <c r="F10812" s="6">
        <v>0</v>
      </c>
      <c r="G10812" s="6">
        <v>19</v>
      </c>
      <c r="H10812" s="6" t="s">
        <v>47262</v>
      </c>
      <c r="I10812" s="6">
        <v>526.5</v>
      </c>
      <c r="J10812" s="2">
        <f t="shared" si="168"/>
        <v>43749.271453946756</v>
      </c>
    </row>
    <row r="10813" spans="1:10" x14ac:dyDescent="0.25">
      <c r="A10813" s="7" t="s">
        <v>47263</v>
      </c>
      <c r="B10813" s="8">
        <v>393.75</v>
      </c>
      <c r="C10813" s="8">
        <v>20.478950000000001</v>
      </c>
      <c r="D10813" s="8">
        <v>62</v>
      </c>
      <c r="E10813" s="8">
        <v>0</v>
      </c>
      <c r="F10813" s="8">
        <v>0</v>
      </c>
      <c r="G10813" s="8">
        <v>14</v>
      </c>
      <c r="H10813" s="8" t="s">
        <v>47264</v>
      </c>
      <c r="I10813" s="8">
        <v>526.6875</v>
      </c>
      <c r="J10813" s="3">
        <f t="shared" si="168"/>
        <v>43749.27152563657</v>
      </c>
    </row>
    <row r="10814" spans="1:10" x14ac:dyDescent="0.25">
      <c r="A10814" s="5" t="s">
        <v>47265</v>
      </c>
      <c r="B10814" s="6">
        <v>393.75</v>
      </c>
      <c r="C10814" s="6">
        <v>20.426300000000001</v>
      </c>
      <c r="D10814" s="6">
        <v>61</v>
      </c>
      <c r="E10814" s="6">
        <v>0</v>
      </c>
      <c r="F10814" s="6">
        <v>0</v>
      </c>
      <c r="G10814" s="6">
        <v>18</v>
      </c>
      <c r="H10814" s="6" t="s">
        <v>47266</v>
      </c>
      <c r="I10814" s="6">
        <v>526.5</v>
      </c>
      <c r="J10814" s="2">
        <f t="shared" si="168"/>
        <v>43749.271596898143</v>
      </c>
    </row>
    <row r="10815" spans="1:10" x14ac:dyDescent="0.25">
      <c r="A10815" s="7" t="s">
        <v>47267</v>
      </c>
      <c r="B10815" s="8">
        <v>412.5</v>
      </c>
      <c r="C10815" s="8">
        <v>20.478950000000001</v>
      </c>
      <c r="D10815" s="8">
        <v>60</v>
      </c>
      <c r="E10815" s="8">
        <v>0</v>
      </c>
      <c r="F10815" s="8">
        <v>0</v>
      </c>
      <c r="G10815" s="8">
        <v>7</v>
      </c>
      <c r="H10815" s="8" t="s">
        <v>47268</v>
      </c>
      <c r="I10815" s="8">
        <v>532.3125</v>
      </c>
      <c r="J10815" s="3">
        <f t="shared" si="168"/>
        <v>43749.271669062502</v>
      </c>
    </row>
    <row r="10816" spans="1:10" x14ac:dyDescent="0.25">
      <c r="A10816" s="5" t="s">
        <v>47269</v>
      </c>
      <c r="B10816" s="6">
        <v>393.75</v>
      </c>
      <c r="C10816" s="6">
        <v>20.478950000000001</v>
      </c>
      <c r="D10816" s="6">
        <v>61</v>
      </c>
      <c r="E10816" s="6">
        <v>0</v>
      </c>
      <c r="F10816" s="6">
        <v>0</v>
      </c>
      <c r="G10816" s="6">
        <v>14</v>
      </c>
      <c r="H10816" s="6" t="s">
        <v>47270</v>
      </c>
      <c r="I10816" s="6">
        <v>526.6875</v>
      </c>
      <c r="J10816" s="2">
        <f t="shared" si="168"/>
        <v>43749.27175234953</v>
      </c>
    </row>
    <row r="10817" spans="1:10" x14ac:dyDescent="0.25">
      <c r="A10817" s="7" t="s">
        <v>47271</v>
      </c>
      <c r="B10817" s="8">
        <v>396.875</v>
      </c>
      <c r="C10817" s="8">
        <v>20.478950000000001</v>
      </c>
      <c r="D10817" s="8">
        <v>60</v>
      </c>
      <c r="E10817" s="8">
        <v>0</v>
      </c>
      <c r="F10817" s="8">
        <v>0</v>
      </c>
      <c r="G10817" s="8">
        <v>15</v>
      </c>
      <c r="H10817" s="8" t="s">
        <v>47272</v>
      </c>
      <c r="I10817" s="8">
        <v>527.4375</v>
      </c>
      <c r="J10817" s="3">
        <f t="shared" si="168"/>
        <v>43749.271823414347</v>
      </c>
    </row>
    <row r="10818" spans="1:10" x14ac:dyDescent="0.25">
      <c r="A10818" s="5" t="s">
        <v>47273</v>
      </c>
      <c r="B10818" s="6">
        <v>396.875</v>
      </c>
      <c r="C10818" s="6">
        <v>20.478950000000001</v>
      </c>
      <c r="D10818" s="6">
        <v>60</v>
      </c>
      <c r="E10818" s="6">
        <v>0</v>
      </c>
      <c r="F10818" s="6">
        <v>0</v>
      </c>
      <c r="G10818" s="6">
        <v>13</v>
      </c>
      <c r="H10818" s="6" t="s">
        <v>47274</v>
      </c>
      <c r="I10818" s="6">
        <v>527.4375</v>
      </c>
      <c r="J10818" s="2">
        <f t="shared" ref="J10818:J10881" si="169">(H10818/86400000)+25569+(7/24)</f>
        <v>43749.271895277772</v>
      </c>
    </row>
    <row r="10819" spans="1:10" x14ac:dyDescent="0.25">
      <c r="A10819" s="7" t="s">
        <v>47275</v>
      </c>
      <c r="B10819" s="8">
        <v>403.125</v>
      </c>
      <c r="C10819" s="8">
        <v>20.478950000000001</v>
      </c>
      <c r="D10819" s="8">
        <v>61</v>
      </c>
      <c r="E10819" s="8">
        <v>0</v>
      </c>
      <c r="F10819" s="8">
        <v>0</v>
      </c>
      <c r="G10819" s="8">
        <v>15</v>
      </c>
      <c r="H10819" s="8" t="s">
        <v>47276</v>
      </c>
      <c r="I10819" s="8">
        <v>529.125</v>
      </c>
      <c r="J10819" s="3">
        <f t="shared" si="169"/>
        <v>43749.271978391196</v>
      </c>
    </row>
    <row r="10820" spans="1:10" x14ac:dyDescent="0.25">
      <c r="A10820" s="5" t="s">
        <v>47277</v>
      </c>
      <c r="B10820" s="6">
        <v>403.125</v>
      </c>
      <c r="C10820" s="6">
        <v>20.478950000000001</v>
      </c>
      <c r="D10820" s="6">
        <v>63</v>
      </c>
      <c r="E10820" s="6">
        <v>0</v>
      </c>
      <c r="F10820" s="6">
        <v>0</v>
      </c>
      <c r="G10820" s="6">
        <v>18</v>
      </c>
      <c r="H10820" s="6" t="s">
        <v>47278</v>
      </c>
      <c r="I10820" s="6">
        <v>529.125</v>
      </c>
      <c r="J10820" s="2">
        <f t="shared" si="169"/>
        <v>43749.272050196756</v>
      </c>
    </row>
    <row r="10821" spans="1:10" x14ac:dyDescent="0.25">
      <c r="A10821" s="7" t="s">
        <v>47279</v>
      </c>
      <c r="B10821" s="8">
        <v>400</v>
      </c>
      <c r="C10821" s="8">
        <v>20.478950000000001</v>
      </c>
      <c r="D10821" s="8">
        <v>63</v>
      </c>
      <c r="E10821" s="8">
        <v>0</v>
      </c>
      <c r="F10821" s="8">
        <v>0</v>
      </c>
      <c r="G10821" s="8">
        <v>11</v>
      </c>
      <c r="H10821" s="8" t="s">
        <v>47280</v>
      </c>
      <c r="I10821" s="8">
        <v>528.9375</v>
      </c>
      <c r="J10821" s="3">
        <f t="shared" si="169"/>
        <v>43749.272121585651</v>
      </c>
    </row>
    <row r="10822" spans="1:10" x14ac:dyDescent="0.25">
      <c r="A10822" s="5" t="s">
        <v>47281</v>
      </c>
      <c r="B10822" s="6">
        <v>403.125</v>
      </c>
      <c r="C10822" s="6">
        <v>20.478950000000001</v>
      </c>
      <c r="D10822" s="6">
        <v>63</v>
      </c>
      <c r="E10822" s="6">
        <v>0</v>
      </c>
      <c r="F10822" s="6">
        <v>0</v>
      </c>
      <c r="G10822" s="6">
        <v>16</v>
      </c>
      <c r="H10822" s="6" t="s">
        <v>47282</v>
      </c>
      <c r="I10822" s="6">
        <v>529.125</v>
      </c>
      <c r="J10822" s="2">
        <f t="shared" si="169"/>
        <v>43749.272193275458</v>
      </c>
    </row>
    <row r="10823" spans="1:10" x14ac:dyDescent="0.25">
      <c r="A10823" s="7" t="s">
        <v>47283</v>
      </c>
      <c r="B10823" s="8">
        <v>400</v>
      </c>
      <c r="C10823" s="8">
        <v>20.478950000000001</v>
      </c>
      <c r="D10823" s="8">
        <v>60</v>
      </c>
      <c r="E10823" s="8">
        <v>0</v>
      </c>
      <c r="F10823" s="8">
        <v>0</v>
      </c>
      <c r="G10823" s="8">
        <v>15</v>
      </c>
      <c r="H10823" s="8" t="s">
        <v>47284</v>
      </c>
      <c r="I10823" s="8">
        <v>528.9375</v>
      </c>
      <c r="J10823" s="3">
        <f t="shared" si="169"/>
        <v>43749.27226489583</v>
      </c>
    </row>
    <row r="10824" spans="1:10" x14ac:dyDescent="0.25">
      <c r="A10824" s="5" t="s">
        <v>47285</v>
      </c>
      <c r="B10824" s="6">
        <v>403.125</v>
      </c>
      <c r="C10824" s="6">
        <v>20.426300000000001</v>
      </c>
      <c r="D10824" s="6">
        <v>62</v>
      </c>
      <c r="E10824" s="6">
        <v>0</v>
      </c>
      <c r="F10824" s="6">
        <v>0</v>
      </c>
      <c r="G10824" s="6">
        <v>17</v>
      </c>
      <c r="H10824" s="6" t="s">
        <v>47286</v>
      </c>
      <c r="I10824" s="6">
        <v>529.875</v>
      </c>
      <c r="J10824" s="2">
        <f t="shared" si="169"/>
        <v>43749.272348495368</v>
      </c>
    </row>
    <row r="10825" spans="1:10" x14ac:dyDescent="0.25">
      <c r="A10825" s="7" t="s">
        <v>47287</v>
      </c>
      <c r="B10825" s="8">
        <v>403.125</v>
      </c>
      <c r="C10825" s="8">
        <v>20.478950000000001</v>
      </c>
      <c r="D10825" s="8">
        <v>61</v>
      </c>
      <c r="E10825" s="8">
        <v>0</v>
      </c>
      <c r="F10825" s="8">
        <v>0</v>
      </c>
      <c r="G10825" s="8">
        <v>14</v>
      </c>
      <c r="H10825" s="8" t="s">
        <v>47288</v>
      </c>
      <c r="I10825" s="8">
        <v>529.125</v>
      </c>
      <c r="J10825" s="3">
        <f t="shared" si="169"/>
        <v>43749.272443854163</v>
      </c>
    </row>
    <row r="10826" spans="1:10" x14ac:dyDescent="0.25">
      <c r="A10826" s="5" t="s">
        <v>47289</v>
      </c>
      <c r="B10826" s="6">
        <v>400</v>
      </c>
      <c r="C10826" s="6">
        <v>20.478950000000001</v>
      </c>
      <c r="D10826" s="6">
        <v>61</v>
      </c>
      <c r="E10826" s="6">
        <v>0</v>
      </c>
      <c r="F10826" s="6">
        <v>0</v>
      </c>
      <c r="G10826" s="6">
        <v>14</v>
      </c>
      <c r="H10826" s="6" t="s">
        <v>47290</v>
      </c>
      <c r="I10826" s="6">
        <v>528.9375</v>
      </c>
      <c r="J10826" s="2">
        <f t="shared" si="169"/>
        <v>43749.272515324068</v>
      </c>
    </row>
    <row r="10827" spans="1:10" x14ac:dyDescent="0.25">
      <c r="A10827" s="7" t="s">
        <v>47291</v>
      </c>
      <c r="B10827" s="8">
        <v>400</v>
      </c>
      <c r="C10827" s="8">
        <v>20.478950000000001</v>
      </c>
      <c r="D10827" s="8">
        <v>60</v>
      </c>
      <c r="E10827" s="8">
        <v>0</v>
      </c>
      <c r="F10827" s="8">
        <v>0</v>
      </c>
      <c r="G10827" s="8">
        <v>14</v>
      </c>
      <c r="H10827" s="8" t="s">
        <v>47292</v>
      </c>
      <c r="I10827" s="8">
        <v>528.9375</v>
      </c>
      <c r="J10827" s="3">
        <f t="shared" si="169"/>
        <v>43749.27258694444</v>
      </c>
    </row>
    <row r="10828" spans="1:10" x14ac:dyDescent="0.25">
      <c r="A10828" s="5" t="s">
        <v>47293</v>
      </c>
      <c r="B10828" s="6">
        <v>403.125</v>
      </c>
      <c r="C10828" s="6">
        <v>20.478950000000001</v>
      </c>
      <c r="D10828" s="6">
        <v>60</v>
      </c>
      <c r="E10828" s="6">
        <v>0</v>
      </c>
      <c r="F10828" s="6">
        <v>0</v>
      </c>
      <c r="G10828" s="6">
        <v>12</v>
      </c>
      <c r="H10828" s="6" t="s">
        <v>47294</v>
      </c>
      <c r="I10828" s="6">
        <v>529.125</v>
      </c>
      <c r="J10828" s="2">
        <f t="shared" si="169"/>
        <v>43749.272670370367</v>
      </c>
    </row>
    <row r="10829" spans="1:10" x14ac:dyDescent="0.25">
      <c r="A10829" s="7" t="s">
        <v>47295</v>
      </c>
      <c r="B10829" s="8">
        <v>403.125</v>
      </c>
      <c r="C10829" s="8">
        <v>20.478950000000001</v>
      </c>
      <c r="D10829" s="8">
        <v>60</v>
      </c>
      <c r="E10829" s="8">
        <v>0</v>
      </c>
      <c r="F10829" s="8">
        <v>0</v>
      </c>
      <c r="G10829" s="8">
        <v>12</v>
      </c>
      <c r="H10829" s="8" t="s">
        <v>47296</v>
      </c>
      <c r="I10829" s="8">
        <v>529.125</v>
      </c>
      <c r="J10829" s="3">
        <f t="shared" si="169"/>
        <v>43749.272753900463</v>
      </c>
    </row>
    <row r="10830" spans="1:10" x14ac:dyDescent="0.25">
      <c r="A10830" s="5" t="s">
        <v>47297</v>
      </c>
      <c r="B10830" s="6">
        <v>437.5</v>
      </c>
      <c r="C10830" s="6">
        <v>20.478950000000001</v>
      </c>
      <c r="D10830" s="6">
        <v>61</v>
      </c>
      <c r="E10830" s="6">
        <v>0</v>
      </c>
      <c r="F10830" s="6">
        <v>0</v>
      </c>
      <c r="G10830" s="6">
        <v>13</v>
      </c>
      <c r="H10830" s="6" t="s">
        <v>47298</v>
      </c>
      <c r="I10830" s="6">
        <v>540.1875</v>
      </c>
      <c r="J10830" s="2">
        <f t="shared" si="169"/>
        <v>43749.272837731478</v>
      </c>
    </row>
    <row r="10831" spans="1:10" x14ac:dyDescent="0.25">
      <c r="A10831" s="7" t="s">
        <v>47299</v>
      </c>
      <c r="B10831" s="8">
        <v>403.125</v>
      </c>
      <c r="C10831" s="8">
        <v>20.478950000000001</v>
      </c>
      <c r="D10831" s="8">
        <v>61</v>
      </c>
      <c r="E10831" s="8">
        <v>0</v>
      </c>
      <c r="F10831" s="8">
        <v>0</v>
      </c>
      <c r="G10831" s="8">
        <v>11</v>
      </c>
      <c r="H10831" s="8" t="s">
        <v>47300</v>
      </c>
      <c r="I10831" s="8">
        <v>529.125</v>
      </c>
      <c r="J10831" s="3">
        <f t="shared" si="169"/>
        <v>43749.27292087963</v>
      </c>
    </row>
    <row r="10832" spans="1:10" x14ac:dyDescent="0.25">
      <c r="A10832" s="5" t="s">
        <v>47301</v>
      </c>
      <c r="B10832" s="6">
        <v>403.125</v>
      </c>
      <c r="C10832" s="6">
        <v>20.426300000000001</v>
      </c>
      <c r="D10832" s="6">
        <v>64</v>
      </c>
      <c r="E10832" s="6">
        <v>0</v>
      </c>
      <c r="F10832" s="6">
        <v>0</v>
      </c>
      <c r="G10832" s="6">
        <v>12</v>
      </c>
      <c r="H10832" s="6" t="s">
        <v>47302</v>
      </c>
      <c r="I10832" s="6">
        <v>529.125</v>
      </c>
      <c r="J10832" s="2">
        <f t="shared" si="169"/>
        <v>43749.27300429398</v>
      </c>
    </row>
    <row r="10833" spans="1:10" x14ac:dyDescent="0.25">
      <c r="A10833" s="7" t="s">
        <v>47303</v>
      </c>
      <c r="B10833" s="8">
        <v>400</v>
      </c>
      <c r="C10833" s="8">
        <v>20.478950000000001</v>
      </c>
      <c r="D10833" s="8">
        <v>64</v>
      </c>
      <c r="E10833" s="8">
        <v>0</v>
      </c>
      <c r="F10833" s="8">
        <v>0</v>
      </c>
      <c r="G10833" s="8">
        <v>11</v>
      </c>
      <c r="H10833" s="8" t="s">
        <v>47304</v>
      </c>
      <c r="I10833" s="8">
        <v>528.375</v>
      </c>
      <c r="J10833" s="3">
        <f t="shared" si="169"/>
        <v>43749.273089791663</v>
      </c>
    </row>
    <row r="10834" spans="1:10" x14ac:dyDescent="0.25">
      <c r="A10834" s="5" t="s">
        <v>47305</v>
      </c>
      <c r="B10834" s="6">
        <v>400</v>
      </c>
      <c r="C10834" s="6">
        <v>20.426300000000001</v>
      </c>
      <c r="D10834" s="6">
        <v>63</v>
      </c>
      <c r="E10834" s="6">
        <v>0</v>
      </c>
      <c r="F10834" s="6">
        <v>0</v>
      </c>
      <c r="G10834" s="6">
        <v>13</v>
      </c>
      <c r="H10834" s="6" t="s">
        <v>47306</v>
      </c>
      <c r="I10834" s="6">
        <v>528.1875</v>
      </c>
      <c r="J10834" s="2">
        <f t="shared" si="169"/>
        <v>43749.273171064815</v>
      </c>
    </row>
    <row r="10835" spans="1:10" x14ac:dyDescent="0.25">
      <c r="A10835" s="7" t="s">
        <v>47307</v>
      </c>
      <c r="B10835" s="8">
        <v>400</v>
      </c>
      <c r="C10835" s="8">
        <v>20.426300000000001</v>
      </c>
      <c r="D10835" s="8">
        <v>62</v>
      </c>
      <c r="E10835" s="8">
        <v>0</v>
      </c>
      <c r="F10835" s="8">
        <v>0</v>
      </c>
      <c r="G10835" s="8">
        <v>24</v>
      </c>
      <c r="H10835" s="8" t="s">
        <v>47308</v>
      </c>
      <c r="I10835" s="8">
        <v>528.375</v>
      </c>
      <c r="J10835" s="3">
        <f t="shared" si="169"/>
        <v>43749.273242766205</v>
      </c>
    </row>
    <row r="10836" spans="1:10" x14ac:dyDescent="0.25">
      <c r="A10836" s="5" t="s">
        <v>47309</v>
      </c>
      <c r="B10836" s="6">
        <v>396.875</v>
      </c>
      <c r="C10836" s="6">
        <v>20.478950000000001</v>
      </c>
      <c r="D10836" s="6">
        <v>62</v>
      </c>
      <c r="E10836" s="6">
        <v>0</v>
      </c>
      <c r="F10836" s="6">
        <v>0</v>
      </c>
      <c r="G10836" s="6">
        <v>7</v>
      </c>
      <c r="H10836" s="6" t="s">
        <v>47310</v>
      </c>
      <c r="I10836" s="6">
        <v>527.4375</v>
      </c>
      <c r="J10836" s="2">
        <f t="shared" si="169"/>
        <v>43749.273314039347</v>
      </c>
    </row>
    <row r="10837" spans="1:10" x14ac:dyDescent="0.25">
      <c r="A10837" s="7" t="s">
        <v>47311</v>
      </c>
      <c r="B10837" s="8">
        <v>396.875</v>
      </c>
      <c r="C10837" s="8">
        <v>20.426300000000001</v>
      </c>
      <c r="D10837" s="8">
        <v>61</v>
      </c>
      <c r="E10837" s="8">
        <v>0</v>
      </c>
      <c r="F10837" s="8">
        <v>0</v>
      </c>
      <c r="G10837" s="8">
        <v>10</v>
      </c>
      <c r="H10837" s="8" t="s">
        <v>47312</v>
      </c>
      <c r="I10837" s="8">
        <v>527.4375</v>
      </c>
      <c r="J10837" s="3">
        <f t="shared" si="169"/>
        <v>43749.273385775457</v>
      </c>
    </row>
    <row r="10838" spans="1:10" x14ac:dyDescent="0.25">
      <c r="A10838" s="5" t="s">
        <v>47313</v>
      </c>
      <c r="B10838" s="6">
        <v>396.875</v>
      </c>
      <c r="C10838" s="6">
        <v>20.426300000000001</v>
      </c>
      <c r="D10838" s="6">
        <v>61</v>
      </c>
      <c r="E10838" s="6">
        <v>0</v>
      </c>
      <c r="F10838" s="6">
        <v>0</v>
      </c>
      <c r="G10838" s="6">
        <v>7</v>
      </c>
      <c r="H10838" s="6" t="s">
        <v>47314</v>
      </c>
      <c r="I10838" s="6">
        <v>527.4375</v>
      </c>
      <c r="J10838" s="2">
        <f t="shared" si="169"/>
        <v>43749.273457488423</v>
      </c>
    </row>
    <row r="10839" spans="1:10" x14ac:dyDescent="0.25">
      <c r="A10839" s="7" t="s">
        <v>47315</v>
      </c>
      <c r="B10839" s="8">
        <v>415.625</v>
      </c>
      <c r="C10839" s="8">
        <v>20.478950000000001</v>
      </c>
      <c r="D10839" s="8">
        <v>61</v>
      </c>
      <c r="E10839" s="8">
        <v>0</v>
      </c>
      <c r="F10839" s="8">
        <v>0</v>
      </c>
      <c r="G10839" s="8">
        <v>14</v>
      </c>
      <c r="H10839" s="8" t="s">
        <v>47316</v>
      </c>
      <c r="I10839" s="8">
        <v>533.8125</v>
      </c>
      <c r="J10839" s="3">
        <f t="shared" si="169"/>
        <v>43749.27352913194</v>
      </c>
    </row>
    <row r="10840" spans="1:10" x14ac:dyDescent="0.25">
      <c r="A10840" s="5" t="s">
        <v>47317</v>
      </c>
      <c r="B10840" s="6">
        <v>400</v>
      </c>
      <c r="C10840" s="6">
        <v>20.478950000000001</v>
      </c>
      <c r="D10840" s="6">
        <v>64</v>
      </c>
      <c r="E10840" s="6">
        <v>0</v>
      </c>
      <c r="F10840" s="6">
        <v>0</v>
      </c>
      <c r="G10840" s="6">
        <v>13</v>
      </c>
      <c r="H10840" s="6" t="s">
        <v>47318</v>
      </c>
      <c r="I10840" s="6">
        <v>528.375</v>
      </c>
      <c r="J10840" s="2">
        <f t="shared" si="169"/>
        <v>43749.273600601846</v>
      </c>
    </row>
    <row r="10841" spans="1:10" x14ac:dyDescent="0.25">
      <c r="A10841" s="7" t="s">
        <v>47319</v>
      </c>
      <c r="B10841" s="8">
        <v>400</v>
      </c>
      <c r="C10841" s="8">
        <v>20.478950000000001</v>
      </c>
      <c r="D10841" s="8">
        <v>64</v>
      </c>
      <c r="E10841" s="8">
        <v>0</v>
      </c>
      <c r="F10841" s="8">
        <v>0</v>
      </c>
      <c r="G10841" s="8">
        <v>2</v>
      </c>
      <c r="H10841" s="8" t="s">
        <v>47320</v>
      </c>
      <c r="I10841" s="8">
        <v>528.1875</v>
      </c>
      <c r="J10841" s="3">
        <f t="shared" si="169"/>
        <v>43749.273672129631</v>
      </c>
    </row>
    <row r="10842" spans="1:10" x14ac:dyDescent="0.25">
      <c r="A10842" s="5" t="s">
        <v>47321</v>
      </c>
      <c r="B10842" s="6">
        <v>400</v>
      </c>
      <c r="C10842" s="6">
        <v>20.426300000000001</v>
      </c>
      <c r="D10842" s="6">
        <v>62</v>
      </c>
      <c r="E10842" s="6">
        <v>0</v>
      </c>
      <c r="F10842" s="6">
        <v>0</v>
      </c>
      <c r="G10842" s="6">
        <v>9</v>
      </c>
      <c r="H10842" s="6" t="s">
        <v>47322</v>
      </c>
      <c r="I10842" s="6">
        <v>528.1875</v>
      </c>
      <c r="J10842" s="2">
        <f t="shared" si="169"/>
        <v>43749.273743749996</v>
      </c>
    </row>
    <row r="10843" spans="1:10" x14ac:dyDescent="0.25">
      <c r="A10843" s="7" t="s">
        <v>47323</v>
      </c>
      <c r="B10843" s="8">
        <v>400</v>
      </c>
      <c r="C10843" s="8">
        <v>20.478950000000001</v>
      </c>
      <c r="D10843" s="8">
        <v>62</v>
      </c>
      <c r="E10843" s="8">
        <v>0</v>
      </c>
      <c r="F10843" s="8">
        <v>0</v>
      </c>
      <c r="G10843" s="8">
        <v>13</v>
      </c>
      <c r="H10843" s="8" t="s">
        <v>47324</v>
      </c>
      <c r="I10843" s="8">
        <v>528.375</v>
      </c>
      <c r="J10843" s="3">
        <f t="shared" si="169"/>
        <v>43749.273815416665</v>
      </c>
    </row>
    <row r="10844" spans="1:10" x14ac:dyDescent="0.25">
      <c r="A10844" s="5" t="s">
        <v>47325</v>
      </c>
      <c r="B10844" s="6">
        <v>400</v>
      </c>
      <c r="C10844" s="6">
        <v>20.478950000000001</v>
      </c>
      <c r="D10844" s="6">
        <v>63</v>
      </c>
      <c r="E10844" s="6">
        <v>0</v>
      </c>
      <c r="F10844" s="6">
        <v>0</v>
      </c>
      <c r="G10844" s="6">
        <v>6</v>
      </c>
      <c r="H10844" s="6" t="s">
        <v>47326</v>
      </c>
      <c r="I10844" s="6">
        <v>528.375</v>
      </c>
      <c r="J10844" s="2">
        <f t="shared" si="169"/>
        <v>43749.273886759256</v>
      </c>
    </row>
    <row r="10845" spans="1:10" x14ac:dyDescent="0.25">
      <c r="A10845" s="7" t="s">
        <v>47327</v>
      </c>
      <c r="B10845" s="8">
        <v>396.875</v>
      </c>
      <c r="C10845" s="8">
        <v>20.478950000000001</v>
      </c>
      <c r="D10845" s="8">
        <v>63</v>
      </c>
      <c r="E10845" s="8">
        <v>0</v>
      </c>
      <c r="F10845" s="8">
        <v>0</v>
      </c>
      <c r="G10845" s="8">
        <v>12</v>
      </c>
      <c r="H10845" s="8" t="s">
        <v>47328</v>
      </c>
      <c r="I10845" s="8">
        <v>527.4375</v>
      </c>
      <c r="J10845" s="3">
        <f t="shared" si="169"/>
        <v>43749.273958287034</v>
      </c>
    </row>
    <row r="10846" spans="1:10" x14ac:dyDescent="0.25">
      <c r="A10846" s="5" t="s">
        <v>47329</v>
      </c>
      <c r="B10846" s="6">
        <v>396.875</v>
      </c>
      <c r="C10846" s="6">
        <v>20.478950000000001</v>
      </c>
      <c r="D10846" s="6">
        <v>63</v>
      </c>
      <c r="E10846" s="6">
        <v>0</v>
      </c>
      <c r="F10846" s="6">
        <v>0</v>
      </c>
      <c r="G10846" s="6">
        <v>16</v>
      </c>
      <c r="H10846" s="6" t="s">
        <v>47330</v>
      </c>
      <c r="I10846" s="6">
        <v>527.4375</v>
      </c>
      <c r="J10846" s="2">
        <f t="shared" si="169"/>
        <v>43749.274041504628</v>
      </c>
    </row>
    <row r="10847" spans="1:10" x14ac:dyDescent="0.25">
      <c r="A10847" s="7" t="s">
        <v>47331</v>
      </c>
      <c r="B10847" s="8">
        <v>396.875</v>
      </c>
      <c r="C10847" s="8">
        <v>20.478950000000001</v>
      </c>
      <c r="D10847" s="8">
        <v>62</v>
      </c>
      <c r="E10847" s="8">
        <v>0</v>
      </c>
      <c r="F10847" s="8">
        <v>0</v>
      </c>
      <c r="G10847" s="8">
        <v>11</v>
      </c>
      <c r="H10847" s="8" t="s">
        <v>47332</v>
      </c>
      <c r="I10847" s="8">
        <v>527.4375</v>
      </c>
      <c r="J10847" s="3">
        <f t="shared" si="169"/>
        <v>43749.274113414351</v>
      </c>
    </row>
    <row r="10848" spans="1:10" x14ac:dyDescent="0.25">
      <c r="A10848" s="5" t="s">
        <v>47333</v>
      </c>
      <c r="B10848" s="6">
        <v>396.875</v>
      </c>
      <c r="C10848" s="6">
        <v>20.478950000000001</v>
      </c>
      <c r="D10848" s="6">
        <v>62</v>
      </c>
      <c r="E10848" s="6">
        <v>0</v>
      </c>
      <c r="F10848" s="6">
        <v>0</v>
      </c>
      <c r="G10848" s="6">
        <v>11</v>
      </c>
      <c r="H10848" s="6" t="s">
        <v>47334</v>
      </c>
      <c r="I10848" s="6">
        <v>527.4375</v>
      </c>
      <c r="J10848" s="2">
        <f t="shared" si="169"/>
        <v>43749.274196886567</v>
      </c>
    </row>
    <row r="10849" spans="1:10" x14ac:dyDescent="0.25">
      <c r="A10849" s="7" t="s">
        <v>47335</v>
      </c>
      <c r="B10849" s="8">
        <v>393.75</v>
      </c>
      <c r="C10849" s="8">
        <v>20.478950000000001</v>
      </c>
      <c r="D10849" s="8">
        <v>63</v>
      </c>
      <c r="E10849" s="8">
        <v>0</v>
      </c>
      <c r="F10849" s="8">
        <v>0</v>
      </c>
      <c r="G10849" s="8">
        <v>5</v>
      </c>
      <c r="H10849" s="8" t="s">
        <v>47336</v>
      </c>
      <c r="I10849" s="8">
        <v>526.6875</v>
      </c>
      <c r="J10849" s="3">
        <f t="shared" si="169"/>
        <v>43749.274268078698</v>
      </c>
    </row>
    <row r="10850" spans="1:10" x14ac:dyDescent="0.25">
      <c r="A10850" s="5" t="s">
        <v>47337</v>
      </c>
      <c r="B10850" s="6">
        <v>393.75</v>
      </c>
      <c r="C10850" s="6">
        <v>20.478950000000001</v>
      </c>
      <c r="D10850" s="6">
        <v>62</v>
      </c>
      <c r="E10850" s="6">
        <v>0</v>
      </c>
      <c r="F10850" s="6">
        <v>0</v>
      </c>
      <c r="G10850" s="6">
        <v>12</v>
      </c>
      <c r="H10850" s="6" t="s">
        <v>47338</v>
      </c>
      <c r="I10850" s="6">
        <v>526.6875</v>
      </c>
      <c r="J10850" s="2">
        <f t="shared" si="169"/>
        <v>43749.274340069438</v>
      </c>
    </row>
    <row r="10851" spans="1:10" x14ac:dyDescent="0.25">
      <c r="A10851" s="7" t="s">
        <v>47339</v>
      </c>
      <c r="B10851" s="8">
        <v>393.75</v>
      </c>
      <c r="C10851" s="8">
        <v>20.426300000000001</v>
      </c>
      <c r="D10851" s="8">
        <v>62</v>
      </c>
      <c r="E10851" s="8">
        <v>0</v>
      </c>
      <c r="F10851" s="8">
        <v>0</v>
      </c>
      <c r="G10851" s="8">
        <v>17</v>
      </c>
      <c r="H10851" s="8" t="s">
        <v>47340</v>
      </c>
      <c r="I10851" s="8">
        <v>526.6875</v>
      </c>
      <c r="J10851" s="3">
        <f t="shared" si="169"/>
        <v>43749.274423634255</v>
      </c>
    </row>
    <row r="10852" spans="1:10" x14ac:dyDescent="0.25">
      <c r="A10852" s="5" t="s">
        <v>47341</v>
      </c>
      <c r="B10852" s="6">
        <v>393.75</v>
      </c>
      <c r="C10852" s="6">
        <v>20.478950000000001</v>
      </c>
      <c r="D10852" s="6">
        <v>61</v>
      </c>
      <c r="E10852" s="6">
        <v>0</v>
      </c>
      <c r="F10852" s="6">
        <v>0</v>
      </c>
      <c r="G10852" s="6">
        <v>16</v>
      </c>
      <c r="H10852" s="6" t="s">
        <v>47342</v>
      </c>
      <c r="I10852" s="6">
        <v>526.6875</v>
      </c>
      <c r="J10852" s="2">
        <f t="shared" si="169"/>
        <v>43749.27449502315</v>
      </c>
    </row>
    <row r="10853" spans="1:10" x14ac:dyDescent="0.25">
      <c r="A10853" s="7" t="s">
        <v>47343</v>
      </c>
      <c r="B10853" s="8">
        <v>393.75</v>
      </c>
      <c r="C10853" s="8">
        <v>20.478950000000001</v>
      </c>
      <c r="D10853" s="8">
        <v>61</v>
      </c>
      <c r="E10853" s="8">
        <v>0</v>
      </c>
      <c r="F10853" s="8">
        <v>0</v>
      </c>
      <c r="G10853" s="8">
        <v>17</v>
      </c>
      <c r="H10853" s="8" t="s">
        <v>47344</v>
      </c>
      <c r="I10853" s="8">
        <v>526.5</v>
      </c>
      <c r="J10853" s="3">
        <f t="shared" si="169"/>
        <v>43749.274578368051</v>
      </c>
    </row>
    <row r="10854" spans="1:10" x14ac:dyDescent="0.25">
      <c r="A10854" s="5" t="s">
        <v>47345</v>
      </c>
      <c r="B10854" s="6">
        <v>393.75</v>
      </c>
      <c r="C10854" s="6">
        <v>20.426300000000001</v>
      </c>
      <c r="D10854" s="6">
        <v>62</v>
      </c>
      <c r="E10854" s="6">
        <v>0</v>
      </c>
      <c r="F10854" s="6">
        <v>0</v>
      </c>
      <c r="G10854" s="6">
        <v>15</v>
      </c>
      <c r="H10854" s="6" t="s">
        <v>47346</v>
      </c>
      <c r="I10854" s="6">
        <v>526.6875</v>
      </c>
      <c r="J10854" s="2">
        <f t="shared" si="169"/>
        <v>43749.274661979165</v>
      </c>
    </row>
    <row r="10855" spans="1:10" x14ac:dyDescent="0.25">
      <c r="A10855" s="7" t="s">
        <v>47347</v>
      </c>
      <c r="B10855" s="8">
        <v>393.75</v>
      </c>
      <c r="C10855" s="8">
        <v>20.478950000000001</v>
      </c>
      <c r="D10855" s="8">
        <v>62</v>
      </c>
      <c r="E10855" s="8">
        <v>0</v>
      </c>
      <c r="F10855" s="8">
        <v>0</v>
      </c>
      <c r="G10855" s="8">
        <v>25</v>
      </c>
      <c r="H10855" s="8" t="s">
        <v>47348</v>
      </c>
      <c r="I10855" s="8">
        <v>526.5</v>
      </c>
      <c r="J10855" s="3">
        <f t="shared" si="169"/>
        <v>43749.274733472215</v>
      </c>
    </row>
    <row r="10856" spans="1:10" x14ac:dyDescent="0.25">
      <c r="A10856" s="5" t="s">
        <v>47349</v>
      </c>
      <c r="B10856" s="6">
        <v>431.25</v>
      </c>
      <c r="C10856" s="6">
        <v>20.478950000000001</v>
      </c>
      <c r="D10856" s="6">
        <v>64</v>
      </c>
      <c r="E10856" s="6">
        <v>0</v>
      </c>
      <c r="F10856" s="6">
        <v>0</v>
      </c>
      <c r="G10856" s="6">
        <v>15</v>
      </c>
      <c r="H10856" s="6" t="s">
        <v>47350</v>
      </c>
      <c r="I10856" s="6">
        <v>538.5</v>
      </c>
      <c r="J10856" s="2">
        <f t="shared" si="169"/>
        <v>43749.274805057867</v>
      </c>
    </row>
    <row r="10857" spans="1:10" x14ac:dyDescent="0.25">
      <c r="A10857" s="7" t="s">
        <v>47351</v>
      </c>
      <c r="B10857" s="8">
        <v>393.75</v>
      </c>
      <c r="C10857" s="8">
        <v>20.426300000000001</v>
      </c>
      <c r="D10857" s="8">
        <v>62</v>
      </c>
      <c r="E10857" s="8">
        <v>0</v>
      </c>
      <c r="F10857" s="8">
        <v>0</v>
      </c>
      <c r="G10857" s="8">
        <v>3</v>
      </c>
      <c r="H10857" s="8" t="s">
        <v>47352</v>
      </c>
      <c r="I10857" s="8">
        <v>526.6875</v>
      </c>
      <c r="J10857" s="3">
        <f t="shared" si="169"/>
        <v>43749.274900590281</v>
      </c>
    </row>
    <row r="10858" spans="1:10" x14ac:dyDescent="0.25">
      <c r="A10858" s="5" t="s">
        <v>47353</v>
      </c>
      <c r="B10858" s="6">
        <v>393.75</v>
      </c>
      <c r="C10858" s="6">
        <v>20.478950000000001</v>
      </c>
      <c r="D10858" s="6">
        <v>65</v>
      </c>
      <c r="E10858" s="6">
        <v>0</v>
      </c>
      <c r="F10858" s="6">
        <v>0</v>
      </c>
      <c r="G10858" s="6">
        <v>11</v>
      </c>
      <c r="H10858" s="6" t="s">
        <v>47354</v>
      </c>
      <c r="I10858" s="6">
        <v>526.6875</v>
      </c>
      <c r="J10858" s="2">
        <f t="shared" si="169"/>
        <v>43749.274972164349</v>
      </c>
    </row>
    <row r="10859" spans="1:10" x14ac:dyDescent="0.25">
      <c r="A10859" s="7" t="s">
        <v>47355</v>
      </c>
      <c r="B10859" s="8">
        <v>393.75</v>
      </c>
      <c r="C10859" s="8">
        <v>20.426300000000001</v>
      </c>
      <c r="D10859" s="8">
        <v>65</v>
      </c>
      <c r="E10859" s="8">
        <v>0</v>
      </c>
      <c r="F10859" s="8">
        <v>0</v>
      </c>
      <c r="G10859" s="8">
        <v>12</v>
      </c>
      <c r="H10859" s="8" t="s">
        <v>47356</v>
      </c>
      <c r="I10859" s="8">
        <v>526.6875</v>
      </c>
      <c r="J10859" s="3">
        <f t="shared" si="169"/>
        <v>43749.275055520826</v>
      </c>
    </row>
    <row r="10860" spans="1:10" x14ac:dyDescent="0.25">
      <c r="A10860" s="5" t="s">
        <v>47357</v>
      </c>
      <c r="B10860" s="6">
        <v>393.75</v>
      </c>
      <c r="C10860" s="6">
        <v>20.426300000000001</v>
      </c>
      <c r="D10860" s="6">
        <v>66</v>
      </c>
      <c r="E10860" s="6">
        <v>0</v>
      </c>
      <c r="F10860" s="6">
        <v>0</v>
      </c>
      <c r="G10860" s="6">
        <v>12</v>
      </c>
      <c r="H10860" s="6" t="s">
        <v>47358</v>
      </c>
      <c r="I10860" s="6">
        <v>526.6875</v>
      </c>
      <c r="J10860" s="2">
        <f t="shared" si="169"/>
        <v>43749.275126805551</v>
      </c>
    </row>
    <row r="10861" spans="1:10" x14ac:dyDescent="0.25">
      <c r="A10861" s="7" t="s">
        <v>47359</v>
      </c>
      <c r="B10861" s="8">
        <v>393.75</v>
      </c>
      <c r="C10861" s="8">
        <v>20.478950000000001</v>
      </c>
      <c r="D10861" s="8">
        <v>65</v>
      </c>
      <c r="E10861" s="8">
        <v>0</v>
      </c>
      <c r="F10861" s="8">
        <v>0</v>
      </c>
      <c r="G10861" s="8">
        <v>11</v>
      </c>
      <c r="H10861" s="8" t="s">
        <v>47360</v>
      </c>
      <c r="I10861" s="8">
        <v>526.6875</v>
      </c>
      <c r="J10861" s="3">
        <f t="shared" si="169"/>
        <v>43749.275198726849</v>
      </c>
    </row>
    <row r="10862" spans="1:10" x14ac:dyDescent="0.25">
      <c r="A10862" s="5" t="s">
        <v>47361</v>
      </c>
      <c r="B10862" s="6">
        <v>415.625</v>
      </c>
      <c r="C10862" s="6">
        <v>20.426300000000001</v>
      </c>
      <c r="D10862" s="6">
        <v>65</v>
      </c>
      <c r="E10862" s="6">
        <v>0</v>
      </c>
      <c r="F10862" s="6">
        <v>0</v>
      </c>
      <c r="G10862" s="6">
        <v>13</v>
      </c>
      <c r="H10862" s="6" t="s">
        <v>47362</v>
      </c>
      <c r="I10862" s="6">
        <v>533.25</v>
      </c>
      <c r="J10862" s="2">
        <f t="shared" si="169"/>
        <v>43749.275282083334</v>
      </c>
    </row>
    <row r="10863" spans="1:10" x14ac:dyDescent="0.25">
      <c r="A10863" s="7" t="s">
        <v>47363</v>
      </c>
      <c r="B10863" s="8">
        <v>393.75</v>
      </c>
      <c r="C10863" s="8">
        <v>20.478950000000001</v>
      </c>
      <c r="D10863" s="8">
        <v>65</v>
      </c>
      <c r="E10863" s="8">
        <v>0</v>
      </c>
      <c r="F10863" s="8">
        <v>0</v>
      </c>
      <c r="G10863" s="8">
        <v>21</v>
      </c>
      <c r="H10863" s="8" t="s">
        <v>47364</v>
      </c>
      <c r="I10863" s="8">
        <v>526.5</v>
      </c>
      <c r="J10863" s="3">
        <f t="shared" si="169"/>
        <v>43749.275353321755</v>
      </c>
    </row>
    <row r="10864" spans="1:10" x14ac:dyDescent="0.25">
      <c r="A10864" s="5" t="s">
        <v>47365</v>
      </c>
      <c r="B10864" s="6">
        <v>393.75</v>
      </c>
      <c r="C10864" s="6">
        <v>20.426300000000001</v>
      </c>
      <c r="D10864" s="6">
        <v>63</v>
      </c>
      <c r="E10864" s="6">
        <v>0</v>
      </c>
      <c r="F10864" s="6">
        <v>0</v>
      </c>
      <c r="G10864" s="6">
        <v>12</v>
      </c>
      <c r="H10864" s="6" t="s">
        <v>47366</v>
      </c>
      <c r="I10864" s="6">
        <v>526.6875</v>
      </c>
      <c r="J10864" s="2">
        <f t="shared" si="169"/>
        <v>43749.275425208332</v>
      </c>
    </row>
    <row r="10865" spans="1:10" x14ac:dyDescent="0.25">
      <c r="A10865" s="7" t="s">
        <v>47367</v>
      </c>
      <c r="B10865" s="8">
        <v>393.75</v>
      </c>
      <c r="C10865" s="8">
        <v>20.426300000000001</v>
      </c>
      <c r="D10865" s="8">
        <v>63</v>
      </c>
      <c r="E10865" s="8">
        <v>0</v>
      </c>
      <c r="F10865" s="8">
        <v>0</v>
      </c>
      <c r="G10865" s="8">
        <v>11</v>
      </c>
      <c r="H10865" s="8" t="s">
        <v>47368</v>
      </c>
      <c r="I10865" s="8">
        <v>526.6875</v>
      </c>
      <c r="J10865" s="3">
        <f t="shared" si="169"/>
        <v>43749.275496504626</v>
      </c>
    </row>
    <row r="10866" spans="1:10" x14ac:dyDescent="0.25">
      <c r="A10866" s="5" t="s">
        <v>47369</v>
      </c>
      <c r="B10866" s="6">
        <v>393.75</v>
      </c>
      <c r="C10866" s="6">
        <v>20.478950000000001</v>
      </c>
      <c r="D10866" s="6">
        <v>63</v>
      </c>
      <c r="E10866" s="6">
        <v>0</v>
      </c>
      <c r="F10866" s="6">
        <v>0</v>
      </c>
      <c r="G10866" s="6">
        <v>20</v>
      </c>
      <c r="H10866" s="6" t="s">
        <v>47370</v>
      </c>
      <c r="I10866" s="6">
        <v>526.6875</v>
      </c>
      <c r="J10866" s="2">
        <f t="shared" si="169"/>
        <v>43749.275568344907</v>
      </c>
    </row>
    <row r="10867" spans="1:10" x14ac:dyDescent="0.25">
      <c r="A10867" s="7" t="s">
        <v>47371</v>
      </c>
      <c r="B10867" s="8">
        <v>393.75</v>
      </c>
      <c r="C10867" s="8">
        <v>20.426300000000001</v>
      </c>
      <c r="D10867" s="8">
        <v>63</v>
      </c>
      <c r="E10867" s="8">
        <v>0</v>
      </c>
      <c r="F10867" s="8">
        <v>0</v>
      </c>
      <c r="G10867" s="8">
        <v>13</v>
      </c>
      <c r="H10867" s="8" t="s">
        <v>47372</v>
      </c>
      <c r="I10867" s="8">
        <v>526.6875</v>
      </c>
      <c r="J10867" s="3">
        <f t="shared" si="169"/>
        <v>43749.275663564811</v>
      </c>
    </row>
    <row r="10868" spans="1:10" x14ac:dyDescent="0.25">
      <c r="A10868" s="5" t="s">
        <v>47373</v>
      </c>
      <c r="B10868" s="6">
        <v>393.75</v>
      </c>
      <c r="C10868" s="6">
        <v>20.478950000000001</v>
      </c>
      <c r="D10868" s="6">
        <v>63</v>
      </c>
      <c r="E10868" s="6">
        <v>0</v>
      </c>
      <c r="F10868" s="6">
        <v>0</v>
      </c>
      <c r="G10868" s="6">
        <v>9</v>
      </c>
      <c r="H10868" s="6" t="s">
        <v>47374</v>
      </c>
      <c r="I10868" s="6">
        <v>526.6875</v>
      </c>
      <c r="J10868" s="2">
        <f t="shared" si="169"/>
        <v>43749.275738252312</v>
      </c>
    </row>
    <row r="10869" spans="1:10" x14ac:dyDescent="0.25">
      <c r="A10869" s="7" t="s">
        <v>47375</v>
      </c>
      <c r="B10869" s="8">
        <v>393.75</v>
      </c>
      <c r="C10869" s="8">
        <v>20.426300000000001</v>
      </c>
      <c r="D10869" s="8">
        <v>65</v>
      </c>
      <c r="E10869" s="8">
        <v>0</v>
      </c>
      <c r="F10869" s="8">
        <v>0</v>
      </c>
      <c r="G10869" s="8">
        <v>14</v>
      </c>
      <c r="H10869" s="8" t="s">
        <v>47376</v>
      </c>
      <c r="I10869" s="8">
        <v>526.6875</v>
      </c>
      <c r="J10869" s="3">
        <f t="shared" si="169"/>
        <v>43749.275818773145</v>
      </c>
    </row>
    <row r="10870" spans="1:10" x14ac:dyDescent="0.25">
      <c r="A10870" s="5" t="s">
        <v>47377</v>
      </c>
      <c r="B10870" s="6">
        <v>393.75</v>
      </c>
      <c r="C10870" s="6">
        <v>20.478950000000001</v>
      </c>
      <c r="D10870" s="6">
        <v>65</v>
      </c>
      <c r="E10870" s="6">
        <v>0</v>
      </c>
      <c r="F10870" s="6">
        <v>0</v>
      </c>
      <c r="G10870" s="6">
        <v>8</v>
      </c>
      <c r="H10870" s="6" t="s">
        <v>47378</v>
      </c>
      <c r="I10870" s="6">
        <v>526.6875</v>
      </c>
      <c r="J10870" s="2">
        <f t="shared" si="169"/>
        <v>43749.275890289347</v>
      </c>
    </row>
    <row r="10871" spans="1:10" x14ac:dyDescent="0.25">
      <c r="A10871" s="7" t="s">
        <v>47379</v>
      </c>
      <c r="B10871" s="8">
        <v>393.75</v>
      </c>
      <c r="C10871" s="8">
        <v>20.478950000000001</v>
      </c>
      <c r="D10871" s="8">
        <v>64</v>
      </c>
      <c r="E10871" s="8">
        <v>0</v>
      </c>
      <c r="F10871" s="8">
        <v>0</v>
      </c>
      <c r="G10871" s="8">
        <v>12</v>
      </c>
      <c r="H10871" s="8" t="s">
        <v>47380</v>
      </c>
      <c r="I10871" s="8">
        <v>526.5</v>
      </c>
      <c r="J10871" s="3">
        <f t="shared" si="169"/>
        <v>43749.275961863423</v>
      </c>
    </row>
    <row r="10872" spans="1:10" x14ac:dyDescent="0.25">
      <c r="A10872" s="5" t="s">
        <v>47381</v>
      </c>
      <c r="B10872" s="6">
        <v>393.75</v>
      </c>
      <c r="C10872" s="6">
        <v>20.426300000000001</v>
      </c>
      <c r="D10872" s="6">
        <v>66</v>
      </c>
      <c r="E10872" s="6">
        <v>0</v>
      </c>
      <c r="F10872" s="6">
        <v>0</v>
      </c>
      <c r="G10872" s="6">
        <v>17</v>
      </c>
      <c r="H10872" s="6" t="s">
        <v>47382</v>
      </c>
      <c r="I10872" s="6">
        <v>526.6875</v>
      </c>
      <c r="J10872" s="2">
        <f t="shared" si="169"/>
        <v>43749.276045127313</v>
      </c>
    </row>
    <row r="10873" spans="1:10" x14ac:dyDescent="0.25">
      <c r="A10873" s="7" t="s">
        <v>47383</v>
      </c>
      <c r="B10873" s="8">
        <v>393.75</v>
      </c>
      <c r="C10873" s="8">
        <v>20.478950000000001</v>
      </c>
      <c r="D10873" s="8">
        <v>63</v>
      </c>
      <c r="E10873" s="8">
        <v>0</v>
      </c>
      <c r="F10873" s="8">
        <v>0</v>
      </c>
      <c r="G10873" s="8">
        <v>13</v>
      </c>
      <c r="H10873" s="8" t="s">
        <v>47384</v>
      </c>
      <c r="I10873" s="8">
        <v>526.6875</v>
      </c>
      <c r="J10873" s="3">
        <f t="shared" si="169"/>
        <v>43749.276116932866</v>
      </c>
    </row>
    <row r="10874" spans="1:10" x14ac:dyDescent="0.25">
      <c r="A10874" s="5" t="s">
        <v>47385</v>
      </c>
      <c r="B10874" s="6">
        <v>393.75</v>
      </c>
      <c r="C10874" s="6">
        <v>20.426300000000001</v>
      </c>
      <c r="D10874" s="6">
        <v>59</v>
      </c>
      <c r="E10874" s="6">
        <v>0</v>
      </c>
      <c r="F10874" s="6">
        <v>0</v>
      </c>
      <c r="G10874" s="6">
        <v>17</v>
      </c>
      <c r="H10874" s="6" t="s">
        <v>47386</v>
      </c>
      <c r="I10874" s="6">
        <v>526.6875</v>
      </c>
      <c r="J10874" s="2">
        <f t="shared" si="169"/>
        <v>43749.276200416665</v>
      </c>
    </row>
    <row r="10875" spans="1:10" x14ac:dyDescent="0.25">
      <c r="A10875" s="7" t="s">
        <v>47387</v>
      </c>
      <c r="B10875" s="8">
        <v>393.75</v>
      </c>
      <c r="C10875" s="8">
        <v>20.478950000000001</v>
      </c>
      <c r="D10875" s="8">
        <v>61</v>
      </c>
      <c r="E10875" s="8">
        <v>0</v>
      </c>
      <c r="F10875" s="8">
        <v>0</v>
      </c>
      <c r="G10875" s="8">
        <v>7</v>
      </c>
      <c r="H10875" s="8" t="s">
        <v>47388</v>
      </c>
      <c r="I10875" s="8">
        <v>526.5</v>
      </c>
      <c r="J10875" s="3">
        <f t="shared" si="169"/>
        <v>43749.276271944444</v>
      </c>
    </row>
    <row r="10876" spans="1:10" x14ac:dyDescent="0.25">
      <c r="A10876" s="5" t="s">
        <v>47389</v>
      </c>
      <c r="B10876" s="6">
        <v>393.75</v>
      </c>
      <c r="C10876" s="6">
        <v>20.478950000000001</v>
      </c>
      <c r="D10876" s="6">
        <v>63</v>
      </c>
      <c r="E10876" s="6">
        <v>0</v>
      </c>
      <c r="F10876" s="6">
        <v>0</v>
      </c>
      <c r="G10876" s="6">
        <v>14</v>
      </c>
      <c r="H10876" s="6" t="s">
        <v>47390</v>
      </c>
      <c r="I10876" s="6">
        <v>526.5</v>
      </c>
      <c r="J10876" s="2">
        <f t="shared" si="169"/>
        <v>43749.276343182872</v>
      </c>
    </row>
    <row r="10877" spans="1:10" x14ac:dyDescent="0.25">
      <c r="A10877" s="7" t="s">
        <v>47391</v>
      </c>
      <c r="B10877" s="8">
        <v>393.75</v>
      </c>
      <c r="C10877" s="8">
        <v>20.426300000000001</v>
      </c>
      <c r="D10877" s="8">
        <v>63</v>
      </c>
      <c r="E10877" s="8">
        <v>0</v>
      </c>
      <c r="F10877" s="8">
        <v>0</v>
      </c>
      <c r="G10877" s="8">
        <v>15</v>
      </c>
      <c r="H10877" s="8" t="s">
        <v>47392</v>
      </c>
      <c r="I10877" s="8">
        <v>526.6875</v>
      </c>
      <c r="J10877" s="3">
        <f t="shared" si="169"/>
        <v>43749.276415034721</v>
      </c>
    </row>
    <row r="10878" spans="1:10" x14ac:dyDescent="0.25">
      <c r="A10878" s="5" t="s">
        <v>47393</v>
      </c>
      <c r="B10878" s="6">
        <v>393.75</v>
      </c>
      <c r="C10878" s="6">
        <v>20.478950000000001</v>
      </c>
      <c r="D10878" s="6">
        <v>62</v>
      </c>
      <c r="E10878" s="6">
        <v>0</v>
      </c>
      <c r="F10878" s="6">
        <v>0</v>
      </c>
      <c r="G10878" s="6">
        <v>6</v>
      </c>
      <c r="H10878" s="6" t="s">
        <v>47394</v>
      </c>
      <c r="I10878" s="6">
        <v>526.6875</v>
      </c>
      <c r="J10878" s="2">
        <f t="shared" si="169"/>
        <v>43749.276486574068</v>
      </c>
    </row>
    <row r="10879" spans="1:10" x14ac:dyDescent="0.25">
      <c r="A10879" s="7" t="s">
        <v>47395</v>
      </c>
      <c r="B10879" s="8">
        <v>393.75</v>
      </c>
      <c r="C10879" s="8">
        <v>20.478950000000001</v>
      </c>
      <c r="D10879" s="8">
        <v>62</v>
      </c>
      <c r="E10879" s="8">
        <v>0</v>
      </c>
      <c r="F10879" s="8">
        <v>0</v>
      </c>
      <c r="G10879" s="8">
        <v>15</v>
      </c>
      <c r="H10879" s="8" t="s">
        <v>47396</v>
      </c>
      <c r="I10879" s="8">
        <v>526.6875</v>
      </c>
      <c r="J10879" s="3">
        <f t="shared" si="169"/>
        <v>43749.276558171296</v>
      </c>
    </row>
    <row r="10880" spans="1:10" x14ac:dyDescent="0.25">
      <c r="A10880" s="5" t="s">
        <v>47397</v>
      </c>
      <c r="B10880" s="6">
        <v>393.75</v>
      </c>
      <c r="C10880" s="6">
        <v>20.478950000000001</v>
      </c>
      <c r="D10880" s="6">
        <v>65</v>
      </c>
      <c r="E10880" s="6">
        <v>0</v>
      </c>
      <c r="F10880" s="6">
        <v>0</v>
      </c>
      <c r="G10880" s="6">
        <v>10</v>
      </c>
      <c r="H10880" s="6" t="s">
        <v>47398</v>
      </c>
      <c r="I10880" s="6">
        <v>526.5</v>
      </c>
      <c r="J10880" s="2">
        <f t="shared" si="169"/>
        <v>43749.27664131944</v>
      </c>
    </row>
    <row r="10881" spans="1:10" x14ac:dyDescent="0.25">
      <c r="A10881" s="7" t="s">
        <v>47399</v>
      </c>
      <c r="B10881" s="8">
        <v>393.75</v>
      </c>
      <c r="C10881" s="8">
        <v>20.426300000000001</v>
      </c>
      <c r="D10881" s="8">
        <v>64</v>
      </c>
      <c r="E10881" s="8">
        <v>0</v>
      </c>
      <c r="F10881" s="8">
        <v>0</v>
      </c>
      <c r="G10881" s="8">
        <v>11</v>
      </c>
      <c r="H10881" s="8" t="s">
        <v>47400</v>
      </c>
      <c r="I10881" s="8">
        <v>526.6875</v>
      </c>
      <c r="J10881" s="3">
        <f t="shared" si="169"/>
        <v>43749.276713148145</v>
      </c>
    </row>
    <row r="10882" spans="1:10" x14ac:dyDescent="0.25">
      <c r="A10882" s="5" t="s">
        <v>47401</v>
      </c>
      <c r="B10882" s="6">
        <v>412.5</v>
      </c>
      <c r="C10882" s="6">
        <v>20.478950000000001</v>
      </c>
      <c r="D10882" s="6">
        <v>64</v>
      </c>
      <c r="E10882" s="6">
        <v>0</v>
      </c>
      <c r="F10882" s="6">
        <v>0</v>
      </c>
      <c r="G10882" s="6">
        <v>14</v>
      </c>
      <c r="H10882" s="6" t="s">
        <v>47402</v>
      </c>
      <c r="I10882" s="6">
        <v>532.3125</v>
      </c>
      <c r="J10882" s="2">
        <f t="shared" ref="J10882:J10945" si="170">(H10882/86400000)+25569+(7/24)</f>
        <v>43749.276784178241</v>
      </c>
    </row>
    <row r="10883" spans="1:10" x14ac:dyDescent="0.25">
      <c r="A10883" s="7" t="s">
        <v>47403</v>
      </c>
      <c r="B10883" s="8">
        <v>393.75</v>
      </c>
      <c r="C10883" s="8">
        <v>20.478950000000001</v>
      </c>
      <c r="D10883" s="8">
        <v>62</v>
      </c>
      <c r="E10883" s="8">
        <v>0</v>
      </c>
      <c r="F10883" s="8">
        <v>0</v>
      </c>
      <c r="G10883" s="8">
        <v>5</v>
      </c>
      <c r="H10883" s="8" t="s">
        <v>47404</v>
      </c>
      <c r="I10883" s="8">
        <v>526.6875</v>
      </c>
      <c r="J10883" s="3">
        <f t="shared" si="170"/>
        <v>43749.276856145829</v>
      </c>
    </row>
    <row r="10884" spans="1:10" x14ac:dyDescent="0.25">
      <c r="A10884" s="5" t="s">
        <v>47405</v>
      </c>
      <c r="B10884" s="6">
        <v>393.75</v>
      </c>
      <c r="C10884" s="6">
        <v>20.478950000000001</v>
      </c>
      <c r="D10884" s="6">
        <v>63</v>
      </c>
      <c r="E10884" s="6">
        <v>0</v>
      </c>
      <c r="F10884" s="6">
        <v>0</v>
      </c>
      <c r="G10884" s="6">
        <v>12</v>
      </c>
      <c r="H10884" s="6" t="s">
        <v>47406</v>
      </c>
      <c r="I10884" s="6">
        <v>526.6875</v>
      </c>
      <c r="J10884" s="2">
        <f t="shared" si="170"/>
        <v>43749.276927847219</v>
      </c>
    </row>
    <row r="10885" spans="1:10" x14ac:dyDescent="0.25">
      <c r="A10885" s="7" t="s">
        <v>47407</v>
      </c>
      <c r="B10885" s="8">
        <v>393.75</v>
      </c>
      <c r="C10885" s="8">
        <v>20.426300000000001</v>
      </c>
      <c r="D10885" s="8">
        <v>64</v>
      </c>
      <c r="E10885" s="8">
        <v>0</v>
      </c>
      <c r="F10885" s="8">
        <v>0</v>
      </c>
      <c r="G10885" s="8">
        <v>12</v>
      </c>
      <c r="H10885" s="8" t="s">
        <v>47408</v>
      </c>
      <c r="I10885" s="8">
        <v>526.6875</v>
      </c>
      <c r="J10885" s="3">
        <f t="shared" si="170"/>
        <v>43749.277011284721</v>
      </c>
    </row>
    <row r="10886" spans="1:10" x14ac:dyDescent="0.25">
      <c r="A10886" s="5" t="s">
        <v>47409</v>
      </c>
      <c r="B10886" s="6">
        <v>393.75</v>
      </c>
      <c r="C10886" s="6">
        <v>20.478950000000001</v>
      </c>
      <c r="D10886" s="6">
        <v>64</v>
      </c>
      <c r="E10886" s="6">
        <v>0</v>
      </c>
      <c r="F10886" s="6">
        <v>0</v>
      </c>
      <c r="G10886" s="6">
        <v>14</v>
      </c>
      <c r="H10886" s="6" t="s">
        <v>47410</v>
      </c>
      <c r="I10886" s="6">
        <v>526.6875</v>
      </c>
      <c r="J10886" s="2">
        <f t="shared" si="170"/>
        <v>43749.277082650464</v>
      </c>
    </row>
    <row r="10887" spans="1:10" x14ac:dyDescent="0.25">
      <c r="A10887" s="7" t="s">
        <v>47411</v>
      </c>
      <c r="B10887" s="8">
        <v>393.75</v>
      </c>
      <c r="C10887" s="8">
        <v>20.426300000000001</v>
      </c>
      <c r="D10887" s="8">
        <v>64</v>
      </c>
      <c r="E10887" s="8">
        <v>0</v>
      </c>
      <c r="F10887" s="8">
        <v>0</v>
      </c>
      <c r="G10887" s="8">
        <v>11</v>
      </c>
      <c r="H10887" s="8" t="s">
        <v>47412</v>
      </c>
      <c r="I10887" s="8">
        <v>526.6875</v>
      </c>
      <c r="J10887" s="3">
        <f t="shared" si="170"/>
        <v>43749.277166574073</v>
      </c>
    </row>
    <row r="10888" spans="1:10" x14ac:dyDescent="0.25">
      <c r="A10888" s="5" t="s">
        <v>47413</v>
      </c>
      <c r="B10888" s="6">
        <v>393.75</v>
      </c>
      <c r="C10888" s="6">
        <v>20.478950000000001</v>
      </c>
      <c r="D10888" s="6">
        <v>64</v>
      </c>
      <c r="E10888" s="6">
        <v>0</v>
      </c>
      <c r="F10888" s="6">
        <v>0</v>
      </c>
      <c r="G10888" s="6">
        <v>8</v>
      </c>
      <c r="H10888" s="6" t="s">
        <v>47414</v>
      </c>
      <c r="I10888" s="6">
        <v>526.6875</v>
      </c>
      <c r="J10888" s="2">
        <f t="shared" si="170"/>
        <v>43749.277237627313</v>
      </c>
    </row>
    <row r="10889" spans="1:10" x14ac:dyDescent="0.25">
      <c r="A10889" s="7" t="s">
        <v>47415</v>
      </c>
      <c r="B10889" s="8">
        <v>412.5</v>
      </c>
      <c r="C10889" s="8">
        <v>20.478950000000001</v>
      </c>
      <c r="D10889" s="8">
        <v>64</v>
      </c>
      <c r="E10889" s="8">
        <v>0</v>
      </c>
      <c r="F10889" s="8">
        <v>0</v>
      </c>
      <c r="G10889" s="8">
        <v>15</v>
      </c>
      <c r="H10889" s="8" t="s">
        <v>47416</v>
      </c>
      <c r="I10889" s="8">
        <v>532.5</v>
      </c>
      <c r="J10889" s="3">
        <f t="shared" si="170"/>
        <v>43749.277309467587</v>
      </c>
    </row>
    <row r="10890" spans="1:10" x14ac:dyDescent="0.25">
      <c r="A10890" s="5" t="s">
        <v>47417</v>
      </c>
      <c r="B10890" s="6">
        <v>393.75</v>
      </c>
      <c r="C10890" s="6">
        <v>20.478950000000001</v>
      </c>
      <c r="D10890" s="6">
        <v>64</v>
      </c>
      <c r="E10890" s="6">
        <v>0</v>
      </c>
      <c r="F10890" s="6">
        <v>0</v>
      </c>
      <c r="G10890" s="6">
        <v>21</v>
      </c>
      <c r="H10890" s="6" t="s">
        <v>47418</v>
      </c>
      <c r="I10890" s="6">
        <v>526.6875</v>
      </c>
      <c r="J10890" s="2">
        <f t="shared" si="170"/>
        <v>43749.277392951386</v>
      </c>
    </row>
    <row r="10891" spans="1:10" x14ac:dyDescent="0.25">
      <c r="A10891" s="7" t="s">
        <v>47419</v>
      </c>
      <c r="B10891" s="8">
        <v>393.75</v>
      </c>
      <c r="C10891" s="8">
        <v>20.478950000000001</v>
      </c>
      <c r="D10891" s="8">
        <v>64</v>
      </c>
      <c r="E10891" s="8">
        <v>0</v>
      </c>
      <c r="F10891" s="8">
        <v>0</v>
      </c>
      <c r="G10891" s="8">
        <v>19</v>
      </c>
      <c r="H10891" s="8" t="s">
        <v>47420</v>
      </c>
      <c r="I10891" s="8">
        <v>526.6875</v>
      </c>
      <c r="J10891" s="3">
        <f t="shared" si="170"/>
        <v>43749.27746449074</v>
      </c>
    </row>
    <row r="10892" spans="1:10" x14ac:dyDescent="0.25">
      <c r="A10892" s="5" t="s">
        <v>47421</v>
      </c>
      <c r="B10892" s="6">
        <v>393.75</v>
      </c>
      <c r="C10892" s="6">
        <v>20.478950000000001</v>
      </c>
      <c r="D10892" s="6">
        <v>65</v>
      </c>
      <c r="E10892" s="6">
        <v>0</v>
      </c>
      <c r="F10892" s="6">
        <v>0</v>
      </c>
      <c r="G10892" s="6">
        <v>8</v>
      </c>
      <c r="H10892" s="6" t="s">
        <v>47422</v>
      </c>
      <c r="I10892" s="6">
        <v>526.5</v>
      </c>
      <c r="J10892" s="2">
        <f t="shared" si="170"/>
        <v>43749.27753605324</v>
      </c>
    </row>
    <row r="10893" spans="1:10" x14ac:dyDescent="0.25">
      <c r="A10893" s="7" t="s">
        <v>47423</v>
      </c>
      <c r="B10893" s="8">
        <v>393.75</v>
      </c>
      <c r="C10893" s="8">
        <v>20.478950000000001</v>
      </c>
      <c r="D10893" s="8">
        <v>65</v>
      </c>
      <c r="E10893" s="8">
        <v>0</v>
      </c>
      <c r="F10893" s="8">
        <v>0</v>
      </c>
      <c r="G10893" s="8">
        <v>15</v>
      </c>
      <c r="H10893" s="8" t="s">
        <v>47424</v>
      </c>
      <c r="I10893" s="8">
        <v>526.5</v>
      </c>
      <c r="J10893" s="3">
        <f t="shared" si="170"/>
        <v>43749.277619247681</v>
      </c>
    </row>
    <row r="10894" spans="1:10" x14ac:dyDescent="0.25">
      <c r="A10894" s="5" t="s">
        <v>47425</v>
      </c>
      <c r="B10894" s="6">
        <v>393.75</v>
      </c>
      <c r="C10894" s="6">
        <v>20.478950000000001</v>
      </c>
      <c r="D10894" s="6">
        <v>66</v>
      </c>
      <c r="E10894" s="6">
        <v>0</v>
      </c>
      <c r="F10894" s="6">
        <v>0</v>
      </c>
      <c r="G10894" s="6">
        <v>16</v>
      </c>
      <c r="H10894" s="6" t="s">
        <v>47426</v>
      </c>
      <c r="I10894" s="6">
        <v>526.6875</v>
      </c>
      <c r="J10894" s="2">
        <f t="shared" si="170"/>
        <v>43749.277702962958</v>
      </c>
    </row>
    <row r="10895" spans="1:10" x14ac:dyDescent="0.25">
      <c r="A10895" s="7" t="s">
        <v>47427</v>
      </c>
      <c r="B10895" s="8">
        <v>412.5</v>
      </c>
      <c r="C10895" s="8">
        <v>20.478950000000001</v>
      </c>
      <c r="D10895" s="8">
        <v>66</v>
      </c>
      <c r="E10895" s="8">
        <v>0</v>
      </c>
      <c r="F10895" s="8">
        <v>0</v>
      </c>
      <c r="G10895" s="8">
        <v>19</v>
      </c>
      <c r="H10895" s="8" t="s">
        <v>47428</v>
      </c>
      <c r="I10895" s="8">
        <v>532.125</v>
      </c>
      <c r="J10895" s="3">
        <f t="shared" si="170"/>
        <v>43749.277774317125</v>
      </c>
    </row>
    <row r="10896" spans="1:10" x14ac:dyDescent="0.25">
      <c r="A10896" s="5" t="s">
        <v>47429</v>
      </c>
      <c r="B10896" s="6">
        <v>393.75</v>
      </c>
      <c r="C10896" s="6">
        <v>20.478950000000001</v>
      </c>
      <c r="D10896" s="6">
        <v>64</v>
      </c>
      <c r="E10896" s="6">
        <v>0</v>
      </c>
      <c r="F10896" s="6">
        <v>0</v>
      </c>
      <c r="G10896" s="6">
        <v>12</v>
      </c>
      <c r="H10896" s="6" t="s">
        <v>47430</v>
      </c>
      <c r="I10896" s="6">
        <v>526.6875</v>
      </c>
      <c r="J10896" s="2">
        <f t="shared" si="170"/>
        <v>43749.277858136571</v>
      </c>
    </row>
    <row r="10897" spans="1:10" x14ac:dyDescent="0.25">
      <c r="A10897" s="7" t="s">
        <v>47431</v>
      </c>
      <c r="B10897" s="8">
        <v>393.75</v>
      </c>
      <c r="C10897" s="8">
        <v>20.426300000000001</v>
      </c>
      <c r="D10897" s="8">
        <v>64</v>
      </c>
      <c r="E10897" s="8">
        <v>0</v>
      </c>
      <c r="F10897" s="8">
        <v>0</v>
      </c>
      <c r="G10897" s="8">
        <v>24</v>
      </c>
      <c r="H10897" s="8" t="s">
        <v>47432</v>
      </c>
      <c r="I10897" s="8">
        <v>526.6875</v>
      </c>
      <c r="J10897" s="3">
        <f t="shared" si="170"/>
        <v>43749.277941296292</v>
      </c>
    </row>
    <row r="10898" spans="1:10" x14ac:dyDescent="0.25">
      <c r="A10898" s="5" t="s">
        <v>47433</v>
      </c>
      <c r="B10898" s="6">
        <v>393.75</v>
      </c>
      <c r="C10898" s="6">
        <v>20.478950000000001</v>
      </c>
      <c r="D10898" s="6">
        <v>65</v>
      </c>
      <c r="E10898" s="6">
        <v>0</v>
      </c>
      <c r="F10898" s="6">
        <v>0</v>
      </c>
      <c r="G10898" s="6">
        <v>9</v>
      </c>
      <c r="H10898" s="6" t="s">
        <v>47434</v>
      </c>
      <c r="I10898" s="6">
        <v>526.6875</v>
      </c>
      <c r="J10898" s="2">
        <f t="shared" si="170"/>
        <v>43749.2780130787</v>
      </c>
    </row>
    <row r="10899" spans="1:10" x14ac:dyDescent="0.25">
      <c r="A10899" s="7" t="s">
        <v>47435</v>
      </c>
      <c r="B10899" s="8">
        <v>393.75</v>
      </c>
      <c r="C10899" s="8">
        <v>20.478950000000001</v>
      </c>
      <c r="D10899" s="8">
        <v>65</v>
      </c>
      <c r="E10899" s="8">
        <v>0</v>
      </c>
      <c r="F10899" s="8">
        <v>0</v>
      </c>
      <c r="G10899" s="8">
        <v>13</v>
      </c>
      <c r="H10899" s="8" t="s">
        <v>47436</v>
      </c>
      <c r="I10899" s="8">
        <v>526.6875</v>
      </c>
      <c r="J10899" s="3">
        <f t="shared" si="170"/>
        <v>43749.278096608796</v>
      </c>
    </row>
    <row r="10900" spans="1:10" x14ac:dyDescent="0.25">
      <c r="A10900" s="5" t="s">
        <v>47437</v>
      </c>
      <c r="B10900" s="6">
        <v>393.75</v>
      </c>
      <c r="C10900" s="6">
        <v>20.478950000000001</v>
      </c>
      <c r="D10900" s="6">
        <v>64</v>
      </c>
      <c r="E10900" s="6">
        <v>0</v>
      </c>
      <c r="F10900" s="6">
        <v>0</v>
      </c>
      <c r="G10900" s="6">
        <v>17</v>
      </c>
      <c r="H10900" s="6" t="s">
        <v>47438</v>
      </c>
      <c r="I10900" s="6">
        <v>526.6875</v>
      </c>
      <c r="J10900" s="2">
        <f t="shared" si="170"/>
        <v>43749.278191990736</v>
      </c>
    </row>
    <row r="10901" spans="1:10" x14ac:dyDescent="0.25">
      <c r="A10901" s="7" t="s">
        <v>47439</v>
      </c>
      <c r="B10901" s="8">
        <v>393.75</v>
      </c>
      <c r="C10901" s="8">
        <v>20.478950000000001</v>
      </c>
      <c r="D10901" s="8">
        <v>65</v>
      </c>
      <c r="E10901" s="8">
        <v>0</v>
      </c>
      <c r="F10901" s="8">
        <v>0</v>
      </c>
      <c r="G10901" s="8">
        <v>10</v>
      </c>
      <c r="H10901" s="8" t="s">
        <v>47440</v>
      </c>
      <c r="I10901" s="8">
        <v>526.6875</v>
      </c>
      <c r="J10901" s="3">
        <f t="shared" si="170"/>
        <v>43749.278276018515</v>
      </c>
    </row>
    <row r="10902" spans="1:10" x14ac:dyDescent="0.25">
      <c r="A10902" s="5" t="s">
        <v>47441</v>
      </c>
      <c r="B10902" s="6">
        <v>393.75</v>
      </c>
      <c r="C10902" s="6">
        <v>20.478950000000001</v>
      </c>
      <c r="D10902" s="6">
        <v>69</v>
      </c>
      <c r="E10902" s="6">
        <v>0</v>
      </c>
      <c r="F10902" s="6">
        <v>0</v>
      </c>
      <c r="G10902" s="6">
        <v>12</v>
      </c>
      <c r="H10902" s="6" t="s">
        <v>47442</v>
      </c>
      <c r="I10902" s="6">
        <v>526.6875</v>
      </c>
      <c r="J10902" s="2">
        <f t="shared" si="170"/>
        <v>43749.278358958334</v>
      </c>
    </row>
    <row r="10903" spans="1:10" x14ac:dyDescent="0.25">
      <c r="A10903" s="7" t="s">
        <v>47443</v>
      </c>
      <c r="B10903" s="8">
        <v>393.75</v>
      </c>
      <c r="C10903" s="8">
        <v>20.478950000000001</v>
      </c>
      <c r="D10903" s="8">
        <v>69</v>
      </c>
      <c r="E10903" s="8">
        <v>0</v>
      </c>
      <c r="F10903" s="8">
        <v>0</v>
      </c>
      <c r="G10903" s="8">
        <v>12</v>
      </c>
      <c r="H10903" s="8" t="s">
        <v>47444</v>
      </c>
      <c r="I10903" s="8">
        <v>526.5</v>
      </c>
      <c r="J10903" s="3">
        <f t="shared" si="170"/>
        <v>43749.278430196755</v>
      </c>
    </row>
    <row r="10904" spans="1:10" x14ac:dyDescent="0.25">
      <c r="A10904" s="5" t="s">
        <v>47445</v>
      </c>
      <c r="B10904" s="6">
        <v>393.75</v>
      </c>
      <c r="C10904" s="6">
        <v>20.478950000000001</v>
      </c>
      <c r="D10904" s="6">
        <v>69</v>
      </c>
      <c r="E10904" s="6">
        <v>0</v>
      </c>
      <c r="F10904" s="6">
        <v>0</v>
      </c>
      <c r="G10904" s="6">
        <v>6</v>
      </c>
      <c r="H10904" s="6" t="s">
        <v>47446</v>
      </c>
      <c r="I10904" s="6">
        <v>526.6875</v>
      </c>
      <c r="J10904" s="2">
        <f t="shared" si="170"/>
        <v>43749.27850202546</v>
      </c>
    </row>
    <row r="10905" spans="1:10" x14ac:dyDescent="0.25">
      <c r="A10905" s="7" t="s">
        <v>47447</v>
      </c>
      <c r="B10905" s="8">
        <v>393.75</v>
      </c>
      <c r="C10905" s="8">
        <v>20.426300000000001</v>
      </c>
      <c r="D10905" s="8">
        <v>70</v>
      </c>
      <c r="E10905" s="8">
        <v>0</v>
      </c>
      <c r="F10905" s="8">
        <v>0</v>
      </c>
      <c r="G10905" s="8">
        <v>15</v>
      </c>
      <c r="H10905" s="8" t="s">
        <v>47448</v>
      </c>
      <c r="I10905" s="8">
        <v>526.6875</v>
      </c>
      <c r="J10905" s="3">
        <f t="shared" si="170"/>
        <v>43749.278585636574</v>
      </c>
    </row>
    <row r="10906" spans="1:10" x14ac:dyDescent="0.25">
      <c r="A10906" s="5" t="s">
        <v>47449</v>
      </c>
      <c r="B10906" s="6">
        <v>393.75</v>
      </c>
      <c r="C10906" s="6">
        <v>20.478950000000001</v>
      </c>
      <c r="D10906" s="6">
        <v>70</v>
      </c>
      <c r="E10906" s="6">
        <v>0</v>
      </c>
      <c r="F10906" s="6">
        <v>0</v>
      </c>
      <c r="G10906" s="6">
        <v>16</v>
      </c>
      <c r="H10906" s="6" t="s">
        <v>47450</v>
      </c>
      <c r="I10906" s="6">
        <v>526.5</v>
      </c>
      <c r="J10906" s="2">
        <f t="shared" si="170"/>
        <v>43749.278657152776</v>
      </c>
    </row>
    <row r="10907" spans="1:10" x14ac:dyDescent="0.25">
      <c r="A10907" s="7" t="s">
        <v>47451</v>
      </c>
      <c r="B10907" s="8">
        <v>393.75</v>
      </c>
      <c r="C10907" s="8">
        <v>20.478950000000001</v>
      </c>
      <c r="D10907" s="8">
        <v>67</v>
      </c>
      <c r="E10907" s="8">
        <v>0</v>
      </c>
      <c r="F10907" s="8">
        <v>0</v>
      </c>
      <c r="G10907" s="8">
        <v>12</v>
      </c>
      <c r="H10907" s="8" t="s">
        <v>47452</v>
      </c>
      <c r="I10907" s="8">
        <v>526.6875</v>
      </c>
      <c r="J10907" s="3">
        <f t="shared" si="170"/>
        <v>43749.278728657409</v>
      </c>
    </row>
    <row r="10908" spans="1:10" x14ac:dyDescent="0.25">
      <c r="A10908" s="5" t="s">
        <v>47453</v>
      </c>
      <c r="B10908" s="6">
        <v>393.75</v>
      </c>
      <c r="C10908" s="6">
        <v>20.478950000000001</v>
      </c>
      <c r="D10908" s="6">
        <v>67</v>
      </c>
      <c r="E10908" s="6">
        <v>0</v>
      </c>
      <c r="F10908" s="6">
        <v>0</v>
      </c>
      <c r="G10908" s="6">
        <v>22</v>
      </c>
      <c r="H10908" s="6" t="s">
        <v>47454</v>
      </c>
      <c r="I10908" s="6">
        <v>526.5</v>
      </c>
      <c r="J10908" s="2">
        <f t="shared" si="170"/>
        <v>43749.278800115739</v>
      </c>
    </row>
    <row r="10909" spans="1:10" x14ac:dyDescent="0.25">
      <c r="A10909" s="7" t="s">
        <v>47455</v>
      </c>
      <c r="B10909" s="8">
        <v>393.75</v>
      </c>
      <c r="C10909" s="8">
        <v>20.478950000000001</v>
      </c>
      <c r="D10909" s="8">
        <v>68</v>
      </c>
      <c r="E10909" s="8">
        <v>0</v>
      </c>
      <c r="F10909" s="8">
        <v>0</v>
      </c>
      <c r="G10909" s="8">
        <v>16</v>
      </c>
      <c r="H10909" s="8" t="s">
        <v>47456</v>
      </c>
      <c r="I10909" s="8">
        <v>526.6875</v>
      </c>
      <c r="J10909" s="3">
        <f t="shared" si="170"/>
        <v>43749.278871747687</v>
      </c>
    </row>
    <row r="10910" spans="1:10" x14ac:dyDescent="0.25">
      <c r="A10910" s="5" t="s">
        <v>47457</v>
      </c>
      <c r="B10910" s="6">
        <v>393.75</v>
      </c>
      <c r="C10910" s="6">
        <v>20.478950000000001</v>
      </c>
      <c r="D10910" s="6">
        <v>67</v>
      </c>
      <c r="E10910" s="6">
        <v>0</v>
      </c>
      <c r="F10910" s="6">
        <v>0</v>
      </c>
      <c r="G10910" s="6">
        <v>11</v>
      </c>
      <c r="H10910" s="6" t="s">
        <v>47458</v>
      </c>
      <c r="I10910" s="6">
        <v>526.5</v>
      </c>
      <c r="J10910" s="2">
        <f t="shared" si="170"/>
        <v>43749.278943356483</v>
      </c>
    </row>
    <row r="10911" spans="1:10" x14ac:dyDescent="0.25">
      <c r="A10911" s="7" t="s">
        <v>47459</v>
      </c>
      <c r="B10911" s="8">
        <v>393.75</v>
      </c>
      <c r="C10911" s="8">
        <v>20.478950000000001</v>
      </c>
      <c r="D10911" s="8">
        <v>68</v>
      </c>
      <c r="E10911" s="8">
        <v>0</v>
      </c>
      <c r="F10911" s="8">
        <v>0</v>
      </c>
      <c r="G10911" s="8">
        <v>9</v>
      </c>
      <c r="H10911" s="8" t="s">
        <v>47460</v>
      </c>
      <c r="I10911" s="8">
        <v>526.6875</v>
      </c>
      <c r="J10911" s="3">
        <f t="shared" si="170"/>
        <v>43749.27902652778</v>
      </c>
    </row>
    <row r="10912" spans="1:10" x14ac:dyDescent="0.25">
      <c r="A10912" s="5" t="s">
        <v>47461</v>
      </c>
      <c r="B10912" s="6">
        <v>393.75</v>
      </c>
      <c r="C10912" s="6">
        <v>20.478950000000001</v>
      </c>
      <c r="D10912" s="6">
        <v>68</v>
      </c>
      <c r="E10912" s="6">
        <v>0</v>
      </c>
      <c r="F10912" s="6">
        <v>0</v>
      </c>
      <c r="G10912" s="6">
        <v>7</v>
      </c>
      <c r="H10912" s="6" t="s">
        <v>47462</v>
      </c>
      <c r="I10912" s="6">
        <v>526.5</v>
      </c>
      <c r="J10912" s="2">
        <f t="shared" si="170"/>
        <v>43749.279098321756</v>
      </c>
    </row>
    <row r="10913" spans="1:10" x14ac:dyDescent="0.25">
      <c r="A10913" s="7" t="s">
        <v>47463</v>
      </c>
      <c r="B10913" s="8">
        <v>412.5</v>
      </c>
      <c r="C10913" s="8">
        <v>20.478950000000001</v>
      </c>
      <c r="D10913" s="8">
        <v>68</v>
      </c>
      <c r="E10913" s="8">
        <v>0</v>
      </c>
      <c r="F10913" s="8">
        <v>0</v>
      </c>
      <c r="G10913" s="8">
        <v>9</v>
      </c>
      <c r="H10913" s="8" t="s">
        <v>47464</v>
      </c>
      <c r="I10913" s="8">
        <v>532.125</v>
      </c>
      <c r="J10913" s="3">
        <f t="shared" si="170"/>
        <v>43749.279182071761</v>
      </c>
    </row>
    <row r="10914" spans="1:10" x14ac:dyDescent="0.25">
      <c r="A10914" s="5" t="s">
        <v>47465</v>
      </c>
      <c r="B10914" s="6">
        <v>393.75</v>
      </c>
      <c r="C10914" s="6">
        <v>20.478950000000001</v>
      </c>
      <c r="D10914" s="6">
        <v>66</v>
      </c>
      <c r="E10914" s="6">
        <v>0</v>
      </c>
      <c r="F10914" s="6">
        <v>0</v>
      </c>
      <c r="G10914" s="6">
        <v>20</v>
      </c>
      <c r="H10914" s="6" t="s">
        <v>47466</v>
      </c>
      <c r="I10914" s="6">
        <v>526.5</v>
      </c>
      <c r="J10914" s="2">
        <f t="shared" si="170"/>
        <v>43749.279253414345</v>
      </c>
    </row>
    <row r="10915" spans="1:10" x14ac:dyDescent="0.25">
      <c r="A10915" s="7" t="s">
        <v>47467</v>
      </c>
      <c r="B10915" s="8">
        <v>393.75</v>
      </c>
      <c r="C10915" s="8">
        <v>20.478950000000001</v>
      </c>
      <c r="D10915" s="8">
        <v>66</v>
      </c>
      <c r="E10915" s="8">
        <v>0</v>
      </c>
      <c r="F10915" s="8">
        <v>0</v>
      </c>
      <c r="G10915" s="8">
        <v>12</v>
      </c>
      <c r="H10915" s="8" t="s">
        <v>47468</v>
      </c>
      <c r="I10915" s="8">
        <v>526.5</v>
      </c>
      <c r="J10915" s="3">
        <f t="shared" si="170"/>
        <v>43749.27932494213</v>
      </c>
    </row>
    <row r="10916" spans="1:10" x14ac:dyDescent="0.25">
      <c r="A10916" s="5" t="s">
        <v>47469</v>
      </c>
      <c r="B10916" s="6">
        <v>393.75</v>
      </c>
      <c r="C10916" s="6">
        <v>20.426300000000001</v>
      </c>
      <c r="D10916" s="6">
        <v>66</v>
      </c>
      <c r="E10916" s="6">
        <v>0</v>
      </c>
      <c r="F10916" s="6">
        <v>0</v>
      </c>
      <c r="G10916" s="6">
        <v>16</v>
      </c>
      <c r="H10916" s="6" t="s">
        <v>47470</v>
      </c>
      <c r="I10916" s="6">
        <v>526.5</v>
      </c>
      <c r="J10916" s="2">
        <f t="shared" si="170"/>
        <v>43749.279396423612</v>
      </c>
    </row>
    <row r="10917" spans="1:10" x14ac:dyDescent="0.25">
      <c r="A10917" s="7" t="s">
        <v>47471</v>
      </c>
      <c r="B10917" s="8">
        <v>393.75</v>
      </c>
      <c r="C10917" s="8">
        <v>20.478950000000001</v>
      </c>
      <c r="D10917" s="8">
        <v>66</v>
      </c>
      <c r="E10917" s="8">
        <v>0</v>
      </c>
      <c r="F10917" s="8">
        <v>0</v>
      </c>
      <c r="G10917" s="8">
        <v>12</v>
      </c>
      <c r="H10917" s="8" t="s">
        <v>47472</v>
      </c>
      <c r="I10917" s="8">
        <v>526.6875</v>
      </c>
      <c r="J10917" s="3">
        <f t="shared" si="170"/>
        <v>43749.279467812499</v>
      </c>
    </row>
    <row r="10918" spans="1:10" x14ac:dyDescent="0.25">
      <c r="A10918" s="5" t="s">
        <v>47473</v>
      </c>
      <c r="B10918" s="6">
        <v>393.75</v>
      </c>
      <c r="C10918" s="6">
        <v>20.478950000000001</v>
      </c>
      <c r="D10918" s="6">
        <v>67</v>
      </c>
      <c r="E10918" s="6">
        <v>0</v>
      </c>
      <c r="F10918" s="6">
        <v>0</v>
      </c>
      <c r="G10918" s="6">
        <v>6</v>
      </c>
      <c r="H10918" s="6" t="s">
        <v>47474</v>
      </c>
      <c r="I10918" s="6">
        <v>526.6875</v>
      </c>
      <c r="J10918" s="2">
        <f t="shared" si="170"/>
        <v>43749.279539930554</v>
      </c>
    </row>
    <row r="10919" spans="1:10" x14ac:dyDescent="0.25">
      <c r="A10919" s="7" t="s">
        <v>47475</v>
      </c>
      <c r="B10919" s="8">
        <v>393.75</v>
      </c>
      <c r="C10919" s="8">
        <v>20.478950000000001</v>
      </c>
      <c r="D10919" s="8">
        <v>68</v>
      </c>
      <c r="E10919" s="8">
        <v>0</v>
      </c>
      <c r="F10919" s="8">
        <v>0</v>
      </c>
      <c r="G10919" s="8">
        <v>9</v>
      </c>
      <c r="H10919" s="8" t="s">
        <v>47476</v>
      </c>
      <c r="I10919" s="8">
        <v>526.6875</v>
      </c>
      <c r="J10919" s="3">
        <f t="shared" si="170"/>
        <v>43749.279611157406</v>
      </c>
    </row>
    <row r="10920" spans="1:10" x14ac:dyDescent="0.25">
      <c r="A10920" s="5" t="s">
        <v>47477</v>
      </c>
      <c r="B10920" s="6">
        <v>393.75</v>
      </c>
      <c r="C10920" s="6">
        <v>20.478950000000001</v>
      </c>
      <c r="D10920" s="6">
        <v>67</v>
      </c>
      <c r="E10920" s="6">
        <v>0</v>
      </c>
      <c r="F10920" s="6">
        <v>0</v>
      </c>
      <c r="G10920" s="6">
        <v>15</v>
      </c>
      <c r="H10920" s="6" t="s">
        <v>47478</v>
      </c>
      <c r="I10920" s="6">
        <v>526.6875</v>
      </c>
      <c r="J10920" s="2">
        <f t="shared" si="170"/>
        <v>43749.279682800923</v>
      </c>
    </row>
    <row r="10921" spans="1:10" x14ac:dyDescent="0.25">
      <c r="A10921" s="7" t="s">
        <v>47479</v>
      </c>
      <c r="B10921" s="8">
        <v>393.75</v>
      </c>
      <c r="C10921" s="8">
        <v>20.478950000000001</v>
      </c>
      <c r="D10921" s="8">
        <v>66</v>
      </c>
      <c r="E10921" s="8">
        <v>0</v>
      </c>
      <c r="F10921" s="8">
        <v>0</v>
      </c>
      <c r="G10921" s="8">
        <v>10</v>
      </c>
      <c r="H10921" s="8" t="s">
        <v>47480</v>
      </c>
      <c r="I10921" s="8">
        <v>526.6875</v>
      </c>
      <c r="J10921" s="3">
        <f t="shared" si="170"/>
        <v>43749.279754270836</v>
      </c>
    </row>
    <row r="10922" spans="1:10" x14ac:dyDescent="0.25">
      <c r="A10922" s="5" t="s">
        <v>47481</v>
      </c>
      <c r="B10922" s="6">
        <v>393.75</v>
      </c>
      <c r="C10922" s="6">
        <v>20.426300000000001</v>
      </c>
      <c r="D10922" s="6">
        <v>63</v>
      </c>
      <c r="E10922" s="6">
        <v>0</v>
      </c>
      <c r="F10922" s="6">
        <v>0</v>
      </c>
      <c r="G10922" s="6">
        <v>15</v>
      </c>
      <c r="H10922" s="6" t="s">
        <v>47482</v>
      </c>
      <c r="I10922" s="6">
        <v>526.6875</v>
      </c>
      <c r="J10922" s="2">
        <f t="shared" si="170"/>
        <v>43749.279837708331</v>
      </c>
    </row>
    <row r="10923" spans="1:10" x14ac:dyDescent="0.25">
      <c r="A10923" s="7" t="s">
        <v>47483</v>
      </c>
      <c r="B10923" s="8">
        <v>393.75</v>
      </c>
      <c r="C10923" s="8">
        <v>20.478950000000001</v>
      </c>
      <c r="D10923" s="8">
        <v>63</v>
      </c>
      <c r="E10923" s="8">
        <v>0</v>
      </c>
      <c r="F10923" s="8">
        <v>0</v>
      </c>
      <c r="G10923" s="8">
        <v>6</v>
      </c>
      <c r="H10923" s="8" t="s">
        <v>47484</v>
      </c>
      <c r="I10923" s="8">
        <v>526.5</v>
      </c>
      <c r="J10923" s="3">
        <f t="shared" si="170"/>
        <v>43749.279909328703</v>
      </c>
    </row>
    <row r="10924" spans="1:10" x14ac:dyDescent="0.25">
      <c r="A10924" s="5" t="s">
        <v>47485</v>
      </c>
      <c r="B10924" s="6">
        <v>418.75</v>
      </c>
      <c r="C10924" s="6">
        <v>20.478950000000001</v>
      </c>
      <c r="D10924" s="6">
        <v>64</v>
      </c>
      <c r="E10924" s="6">
        <v>0</v>
      </c>
      <c r="F10924" s="6">
        <v>0</v>
      </c>
      <c r="G10924" s="6">
        <v>22</v>
      </c>
      <c r="H10924" s="6" t="s">
        <v>47486</v>
      </c>
      <c r="I10924" s="6">
        <v>534.375</v>
      </c>
      <c r="J10924" s="2">
        <f t="shared" si="170"/>
        <v>43749.279992824071</v>
      </c>
    </row>
    <row r="10925" spans="1:10" x14ac:dyDescent="0.25">
      <c r="A10925" s="7" t="s">
        <v>47487</v>
      </c>
      <c r="B10925" s="8">
        <v>393.75</v>
      </c>
      <c r="C10925" s="8">
        <v>20.478950000000001</v>
      </c>
      <c r="D10925" s="8">
        <v>71</v>
      </c>
      <c r="E10925" s="8">
        <v>0</v>
      </c>
      <c r="F10925" s="8">
        <v>0</v>
      </c>
      <c r="G10925" s="8">
        <v>9</v>
      </c>
      <c r="H10925" s="8" t="s">
        <v>47488</v>
      </c>
      <c r="I10925" s="8">
        <v>526.6875</v>
      </c>
      <c r="J10925" s="3">
        <f t="shared" si="170"/>
        <v>43749.280063946753</v>
      </c>
    </row>
    <row r="10926" spans="1:10" x14ac:dyDescent="0.25">
      <c r="A10926" s="5" t="s">
        <v>47489</v>
      </c>
      <c r="B10926" s="6">
        <v>393.75</v>
      </c>
      <c r="C10926" s="6">
        <v>20.478950000000001</v>
      </c>
      <c r="D10926" s="6">
        <v>67</v>
      </c>
      <c r="E10926" s="6">
        <v>0</v>
      </c>
      <c r="F10926" s="6">
        <v>0</v>
      </c>
      <c r="G10926" s="6">
        <v>21</v>
      </c>
      <c r="H10926" s="6" t="s">
        <v>47490</v>
      </c>
      <c r="I10926" s="6">
        <v>526.6875</v>
      </c>
      <c r="J10926" s="2">
        <f t="shared" si="170"/>
        <v>43749.280135891204</v>
      </c>
    </row>
    <row r="10927" spans="1:10" x14ac:dyDescent="0.25">
      <c r="A10927" s="7" t="s">
        <v>47491</v>
      </c>
      <c r="B10927" s="8">
        <v>393.75</v>
      </c>
      <c r="C10927" s="8">
        <v>20.426300000000001</v>
      </c>
      <c r="D10927" s="8">
        <v>66</v>
      </c>
      <c r="E10927" s="8">
        <v>0</v>
      </c>
      <c r="F10927" s="8">
        <v>0</v>
      </c>
      <c r="G10927" s="8">
        <v>19</v>
      </c>
      <c r="H10927" s="8" t="s">
        <v>47492</v>
      </c>
      <c r="I10927" s="8">
        <v>526.6875</v>
      </c>
      <c r="J10927" s="3">
        <f t="shared" si="170"/>
        <v>43749.280219189815</v>
      </c>
    </row>
    <row r="10928" spans="1:10" x14ac:dyDescent="0.25">
      <c r="A10928" s="5" t="s">
        <v>47493</v>
      </c>
      <c r="B10928" s="6">
        <v>393.75</v>
      </c>
      <c r="C10928" s="6">
        <v>20.478950000000001</v>
      </c>
      <c r="D10928" s="6">
        <v>66</v>
      </c>
      <c r="E10928" s="6">
        <v>0</v>
      </c>
      <c r="F10928" s="6">
        <v>0</v>
      </c>
      <c r="G10928" s="6">
        <v>7</v>
      </c>
      <c r="H10928" s="6" t="s">
        <v>47494</v>
      </c>
      <c r="I10928" s="6">
        <v>526.6875</v>
      </c>
      <c r="J10928" s="2">
        <f t="shared" si="170"/>
        <v>43749.280290821756</v>
      </c>
    </row>
    <row r="10929" spans="1:10" x14ac:dyDescent="0.25">
      <c r="A10929" s="7" t="s">
        <v>47495</v>
      </c>
      <c r="B10929" s="8">
        <v>412.5</v>
      </c>
      <c r="C10929" s="8">
        <v>20.478950000000001</v>
      </c>
      <c r="D10929" s="8">
        <v>66</v>
      </c>
      <c r="E10929" s="8">
        <v>0</v>
      </c>
      <c r="F10929" s="8">
        <v>0</v>
      </c>
      <c r="G10929" s="8">
        <v>11</v>
      </c>
      <c r="H10929" s="8" t="s">
        <v>47496</v>
      </c>
      <c r="I10929" s="8">
        <v>532.5</v>
      </c>
      <c r="J10929" s="3">
        <f t="shared" si="170"/>
        <v>43749.280398298608</v>
      </c>
    </row>
    <row r="10930" spans="1:10" x14ac:dyDescent="0.25">
      <c r="A10930" s="5" t="s">
        <v>47497</v>
      </c>
      <c r="B10930" s="6">
        <v>393.75</v>
      </c>
      <c r="C10930" s="6">
        <v>20.478950000000001</v>
      </c>
      <c r="D10930" s="6">
        <v>66</v>
      </c>
      <c r="E10930" s="6">
        <v>0</v>
      </c>
      <c r="F10930" s="6">
        <v>0</v>
      </c>
      <c r="G10930" s="6">
        <v>15</v>
      </c>
      <c r="H10930" s="6" t="s">
        <v>47498</v>
      </c>
      <c r="I10930" s="6">
        <v>526.6875</v>
      </c>
      <c r="J10930" s="2">
        <f t="shared" si="170"/>
        <v>43749.280481655085</v>
      </c>
    </row>
    <row r="10931" spans="1:10" x14ac:dyDescent="0.25">
      <c r="A10931" s="7" t="s">
        <v>47499</v>
      </c>
      <c r="B10931" s="8">
        <v>396.875</v>
      </c>
      <c r="C10931" s="8">
        <v>20.478950000000001</v>
      </c>
      <c r="D10931" s="8">
        <v>66</v>
      </c>
      <c r="E10931" s="8">
        <v>0</v>
      </c>
      <c r="F10931" s="8">
        <v>0</v>
      </c>
      <c r="G10931" s="8">
        <v>19</v>
      </c>
      <c r="H10931" s="8" t="s">
        <v>47500</v>
      </c>
      <c r="I10931" s="8">
        <v>527.4375</v>
      </c>
      <c r="J10931" s="3">
        <f t="shared" si="170"/>
        <v>43749.280565162037</v>
      </c>
    </row>
    <row r="10932" spans="1:10" x14ac:dyDescent="0.25">
      <c r="A10932" s="5" t="s">
        <v>47501</v>
      </c>
      <c r="B10932" s="6">
        <v>393.75</v>
      </c>
      <c r="C10932" s="6">
        <v>20.478950000000001</v>
      </c>
      <c r="D10932" s="6">
        <v>68</v>
      </c>
      <c r="E10932" s="6">
        <v>0</v>
      </c>
      <c r="F10932" s="6">
        <v>0</v>
      </c>
      <c r="G10932" s="6">
        <v>15</v>
      </c>
      <c r="H10932" s="6" t="s">
        <v>47502</v>
      </c>
      <c r="I10932" s="6">
        <v>526.6875</v>
      </c>
      <c r="J10932" s="2">
        <f t="shared" si="170"/>
        <v>43749.280648726846</v>
      </c>
    </row>
    <row r="10933" spans="1:10" x14ac:dyDescent="0.25">
      <c r="A10933" s="7" t="s">
        <v>47503</v>
      </c>
      <c r="B10933" s="8">
        <v>396.875</v>
      </c>
      <c r="C10933" s="8">
        <v>20.478950000000001</v>
      </c>
      <c r="D10933" s="8">
        <v>76</v>
      </c>
      <c r="E10933" s="8">
        <v>0</v>
      </c>
      <c r="F10933" s="8">
        <v>0</v>
      </c>
      <c r="G10933" s="8">
        <v>0</v>
      </c>
      <c r="H10933" s="8" t="s">
        <v>47504</v>
      </c>
      <c r="I10933" s="8">
        <v>527.4375</v>
      </c>
      <c r="J10933" s="3">
        <f t="shared" si="170"/>
        <v>43749.280960543976</v>
      </c>
    </row>
    <row r="10934" spans="1:10" x14ac:dyDescent="0.25">
      <c r="A10934" s="5" t="s">
        <v>47505</v>
      </c>
      <c r="B10934" s="6">
        <v>415.625</v>
      </c>
      <c r="C10934" s="6">
        <v>20.478950000000001</v>
      </c>
      <c r="D10934" s="6">
        <v>75</v>
      </c>
      <c r="E10934" s="6">
        <v>0</v>
      </c>
      <c r="F10934" s="6">
        <v>0</v>
      </c>
      <c r="G10934" s="6">
        <v>0</v>
      </c>
      <c r="H10934" s="6" t="s">
        <v>47506</v>
      </c>
      <c r="I10934" s="6">
        <v>533.4375</v>
      </c>
      <c r="J10934" s="2">
        <f t="shared" si="170"/>
        <v>43749.281041898146</v>
      </c>
    </row>
    <row r="10935" spans="1:10" x14ac:dyDescent="0.25">
      <c r="A10935" s="7" t="s">
        <v>47507</v>
      </c>
      <c r="B10935" s="8">
        <v>396.875</v>
      </c>
      <c r="C10935" s="8">
        <v>20.478950000000001</v>
      </c>
      <c r="D10935" s="8">
        <v>75</v>
      </c>
      <c r="E10935" s="8">
        <v>0</v>
      </c>
      <c r="F10935" s="8">
        <v>0</v>
      </c>
      <c r="G10935" s="8">
        <v>0</v>
      </c>
      <c r="H10935" s="8" t="s">
        <v>47508</v>
      </c>
      <c r="I10935" s="8">
        <v>527.4375</v>
      </c>
      <c r="J10935" s="3">
        <f t="shared" si="170"/>
        <v>43749.281113263882</v>
      </c>
    </row>
    <row r="10936" spans="1:10" x14ac:dyDescent="0.25">
      <c r="A10936" s="5" t="s">
        <v>47509</v>
      </c>
      <c r="B10936" s="6">
        <v>400</v>
      </c>
      <c r="C10936" s="6">
        <v>20.478950000000001</v>
      </c>
      <c r="D10936" s="6">
        <v>75</v>
      </c>
      <c r="E10936" s="6">
        <v>0</v>
      </c>
      <c r="F10936" s="6">
        <v>0</v>
      </c>
      <c r="G10936" s="6">
        <v>5</v>
      </c>
      <c r="H10936" s="6" t="s">
        <v>47510</v>
      </c>
      <c r="I10936" s="6">
        <v>528.375</v>
      </c>
      <c r="J10936" s="2">
        <f t="shared" si="170"/>
        <v>43749.281184768515</v>
      </c>
    </row>
    <row r="10937" spans="1:10" x14ac:dyDescent="0.25">
      <c r="A10937" s="7" t="s">
        <v>47511</v>
      </c>
      <c r="B10937" s="8">
        <v>396.875</v>
      </c>
      <c r="C10937" s="8">
        <v>20.478950000000001</v>
      </c>
      <c r="D10937" s="8">
        <v>73</v>
      </c>
      <c r="E10937" s="8">
        <v>0</v>
      </c>
      <c r="F10937" s="8">
        <v>0</v>
      </c>
      <c r="G10937" s="8">
        <v>2</v>
      </c>
      <c r="H10937" s="8" t="s">
        <v>47512</v>
      </c>
      <c r="I10937" s="8">
        <v>527.4375</v>
      </c>
      <c r="J10937" s="3">
        <f t="shared" si="170"/>
        <v>43749.281256701383</v>
      </c>
    </row>
    <row r="10938" spans="1:10" x14ac:dyDescent="0.25">
      <c r="A10938" s="5" t="s">
        <v>47513</v>
      </c>
      <c r="B10938" s="6">
        <v>396.875</v>
      </c>
      <c r="C10938" s="6">
        <v>20.426300000000001</v>
      </c>
      <c r="D10938" s="6">
        <v>69</v>
      </c>
      <c r="E10938" s="6">
        <v>0</v>
      </c>
      <c r="F10938" s="6">
        <v>0</v>
      </c>
      <c r="G10938" s="6">
        <v>12</v>
      </c>
      <c r="H10938" s="6" t="s">
        <v>47514</v>
      </c>
      <c r="I10938" s="6">
        <v>527.625</v>
      </c>
      <c r="J10938" s="2">
        <f t="shared" si="170"/>
        <v>43749.281328020828</v>
      </c>
    </row>
    <row r="10939" spans="1:10" x14ac:dyDescent="0.25">
      <c r="A10939" s="7" t="s">
        <v>47515</v>
      </c>
      <c r="B10939" s="8">
        <v>396.875</v>
      </c>
      <c r="C10939" s="8">
        <v>20.478950000000001</v>
      </c>
      <c r="D10939" s="8">
        <v>70</v>
      </c>
      <c r="E10939" s="8">
        <v>0</v>
      </c>
      <c r="F10939" s="8">
        <v>0</v>
      </c>
      <c r="G10939" s="8">
        <v>5</v>
      </c>
      <c r="H10939" s="8" t="s">
        <v>47516</v>
      </c>
      <c r="I10939" s="8">
        <v>527.4375</v>
      </c>
      <c r="J10939" s="3">
        <f t="shared" si="170"/>
        <v>43749.281400127315</v>
      </c>
    </row>
    <row r="10940" spans="1:10" x14ac:dyDescent="0.25">
      <c r="A10940" s="5" t="s">
        <v>47517</v>
      </c>
      <c r="B10940" s="6">
        <v>393.75</v>
      </c>
      <c r="C10940" s="6">
        <v>20.478950000000001</v>
      </c>
      <c r="D10940" s="6">
        <v>70</v>
      </c>
      <c r="E10940" s="6">
        <v>0</v>
      </c>
      <c r="F10940" s="6">
        <v>0</v>
      </c>
      <c r="G10940" s="6">
        <v>8</v>
      </c>
      <c r="H10940" s="6" t="s">
        <v>47518</v>
      </c>
      <c r="I10940" s="6">
        <v>526.5</v>
      </c>
      <c r="J10940" s="2">
        <f t="shared" si="170"/>
        <v>43749.281471550923</v>
      </c>
    </row>
    <row r="10941" spans="1:10" x14ac:dyDescent="0.25">
      <c r="A10941" s="7" t="s">
        <v>47519</v>
      </c>
      <c r="B10941" s="8">
        <v>393.75</v>
      </c>
      <c r="C10941" s="8">
        <v>20.478950000000001</v>
      </c>
      <c r="D10941" s="8">
        <v>70</v>
      </c>
      <c r="E10941" s="8">
        <v>0</v>
      </c>
      <c r="F10941" s="8">
        <v>0</v>
      </c>
      <c r="G10941" s="8">
        <v>1</v>
      </c>
      <c r="H10941" s="8" t="s">
        <v>47520</v>
      </c>
      <c r="I10941" s="8">
        <v>526.6875</v>
      </c>
      <c r="J10941" s="3">
        <f t="shared" si="170"/>
        <v>43749.281542719902</v>
      </c>
    </row>
    <row r="10942" spans="1:10" x14ac:dyDescent="0.25">
      <c r="A10942" s="5" t="s">
        <v>47521</v>
      </c>
      <c r="B10942" s="6">
        <v>415.625</v>
      </c>
      <c r="C10942" s="6">
        <v>20.478950000000001</v>
      </c>
      <c r="D10942" s="6">
        <v>69</v>
      </c>
      <c r="E10942" s="6">
        <v>0</v>
      </c>
      <c r="F10942" s="6">
        <v>0</v>
      </c>
      <c r="G10942" s="6">
        <v>2</v>
      </c>
      <c r="H10942" s="6" t="s">
        <v>47522</v>
      </c>
      <c r="I10942" s="6">
        <v>533.0625</v>
      </c>
      <c r="J10942" s="2">
        <f t="shared" si="170"/>
        <v>43749.281614120373</v>
      </c>
    </row>
    <row r="10943" spans="1:10" x14ac:dyDescent="0.25">
      <c r="A10943" s="7" t="s">
        <v>47523</v>
      </c>
      <c r="B10943" s="8">
        <v>396.875</v>
      </c>
      <c r="C10943" s="8">
        <v>20.478950000000001</v>
      </c>
      <c r="D10943" s="8">
        <v>69</v>
      </c>
      <c r="E10943" s="8">
        <v>0</v>
      </c>
      <c r="F10943" s="8">
        <v>0</v>
      </c>
      <c r="G10943" s="8">
        <v>11</v>
      </c>
      <c r="H10943" s="8" t="s">
        <v>47524</v>
      </c>
      <c r="I10943" s="8">
        <v>527.4375</v>
      </c>
      <c r="J10943" s="3">
        <f t="shared" si="170"/>
        <v>43749.281685891205</v>
      </c>
    </row>
    <row r="10944" spans="1:10" x14ac:dyDescent="0.25">
      <c r="A10944" s="5" t="s">
        <v>47525</v>
      </c>
      <c r="B10944" s="6">
        <v>400</v>
      </c>
      <c r="C10944" s="6">
        <v>20.478950000000001</v>
      </c>
      <c r="D10944" s="6">
        <v>69</v>
      </c>
      <c r="E10944" s="6">
        <v>0</v>
      </c>
      <c r="F10944" s="6">
        <v>0</v>
      </c>
      <c r="G10944" s="6">
        <v>2</v>
      </c>
      <c r="H10944" s="6" t="s">
        <v>47526</v>
      </c>
      <c r="I10944" s="6">
        <v>528.375</v>
      </c>
      <c r="J10944" s="2">
        <f t="shared" si="170"/>
        <v>43749.281769224537</v>
      </c>
    </row>
    <row r="10945" spans="1:10" x14ac:dyDescent="0.25">
      <c r="A10945" s="7" t="s">
        <v>47527</v>
      </c>
      <c r="B10945" s="8">
        <v>400</v>
      </c>
      <c r="C10945" s="8">
        <v>20.426300000000001</v>
      </c>
      <c r="D10945" s="8">
        <v>69</v>
      </c>
      <c r="E10945" s="8">
        <v>0</v>
      </c>
      <c r="F10945" s="8">
        <v>0</v>
      </c>
      <c r="G10945" s="8">
        <v>8</v>
      </c>
      <c r="H10945" s="8" t="s">
        <v>47528</v>
      </c>
      <c r="I10945" s="8">
        <v>528.1875</v>
      </c>
      <c r="J10945" s="3">
        <f t="shared" si="170"/>
        <v>43749.281841342592</v>
      </c>
    </row>
    <row r="10946" spans="1:10" x14ac:dyDescent="0.25">
      <c r="A10946" s="5" t="s">
        <v>47529</v>
      </c>
      <c r="B10946" s="6">
        <v>403.125</v>
      </c>
      <c r="C10946" s="6">
        <v>20.426300000000001</v>
      </c>
      <c r="D10946" s="6">
        <v>69</v>
      </c>
      <c r="E10946" s="6">
        <v>0</v>
      </c>
      <c r="F10946" s="6">
        <v>0</v>
      </c>
      <c r="G10946" s="6">
        <v>10</v>
      </c>
      <c r="H10946" s="6" t="s">
        <v>47530</v>
      </c>
      <c r="I10946" s="6">
        <v>529.125</v>
      </c>
      <c r="J10946" s="2">
        <f t="shared" ref="J10946:J11009" si="171">(H10946/86400000)+25569+(7/24)</f>
        <v>43749.281912372688</v>
      </c>
    </row>
    <row r="10947" spans="1:10" x14ac:dyDescent="0.25">
      <c r="A10947" s="7" t="s">
        <v>47531</v>
      </c>
      <c r="B10947" s="8">
        <v>400</v>
      </c>
      <c r="C10947" s="8">
        <v>20.478950000000001</v>
      </c>
      <c r="D10947" s="8">
        <v>67</v>
      </c>
      <c r="E10947" s="8">
        <v>0</v>
      </c>
      <c r="F10947" s="8">
        <v>0</v>
      </c>
      <c r="G10947" s="8">
        <v>5</v>
      </c>
      <c r="H10947" s="8" t="s">
        <v>47532</v>
      </c>
      <c r="I10947" s="8">
        <v>528.1875</v>
      </c>
      <c r="J10947" s="3">
        <f t="shared" si="171"/>
        <v>43749.281984027773</v>
      </c>
    </row>
    <row r="10948" spans="1:10" x14ac:dyDescent="0.25">
      <c r="A10948" s="5" t="s">
        <v>47533</v>
      </c>
      <c r="B10948" s="6">
        <v>400</v>
      </c>
      <c r="C10948" s="6">
        <v>20.426300000000001</v>
      </c>
      <c r="D10948" s="6">
        <v>65</v>
      </c>
      <c r="E10948" s="6">
        <v>0</v>
      </c>
      <c r="F10948" s="6">
        <v>0</v>
      </c>
      <c r="G10948" s="6">
        <v>1</v>
      </c>
      <c r="H10948" s="6" t="s">
        <v>47534</v>
      </c>
      <c r="I10948" s="6">
        <v>528.375</v>
      </c>
      <c r="J10948" s="2">
        <f t="shared" si="171"/>
        <v>43749.282056064811</v>
      </c>
    </row>
    <row r="10949" spans="1:10" x14ac:dyDescent="0.25">
      <c r="A10949" s="7" t="s">
        <v>47535</v>
      </c>
      <c r="B10949" s="8">
        <v>396.875</v>
      </c>
      <c r="C10949" s="8">
        <v>20.478950000000001</v>
      </c>
      <c r="D10949" s="8">
        <v>66</v>
      </c>
      <c r="E10949" s="8">
        <v>0</v>
      </c>
      <c r="F10949" s="8">
        <v>0</v>
      </c>
      <c r="G10949" s="8">
        <v>11</v>
      </c>
      <c r="H10949" s="8" t="s">
        <v>47536</v>
      </c>
      <c r="I10949" s="8">
        <v>527.4375</v>
      </c>
      <c r="J10949" s="3">
        <f t="shared" si="171"/>
        <v>43749.282127430553</v>
      </c>
    </row>
    <row r="10950" spans="1:10" x14ac:dyDescent="0.25">
      <c r="A10950" s="5" t="s">
        <v>47537</v>
      </c>
      <c r="B10950" s="6">
        <v>396.875</v>
      </c>
      <c r="C10950" s="6">
        <v>20.478950000000001</v>
      </c>
      <c r="D10950" s="6">
        <v>65</v>
      </c>
      <c r="E10950" s="6">
        <v>0</v>
      </c>
      <c r="F10950" s="6">
        <v>0</v>
      </c>
      <c r="G10950" s="6">
        <v>13</v>
      </c>
      <c r="H10950" s="6" t="s">
        <v>47538</v>
      </c>
      <c r="I10950" s="6">
        <v>527.4375</v>
      </c>
      <c r="J10950" s="2">
        <f t="shared" si="171"/>
        <v>43749.282198854162</v>
      </c>
    </row>
    <row r="10951" spans="1:10" x14ac:dyDescent="0.25">
      <c r="A10951" s="7" t="s">
        <v>47539</v>
      </c>
      <c r="B10951" s="8">
        <v>393.75</v>
      </c>
      <c r="C10951" s="8">
        <v>20.478950000000001</v>
      </c>
      <c r="D10951" s="8">
        <v>67</v>
      </c>
      <c r="E10951" s="8">
        <v>0</v>
      </c>
      <c r="F10951" s="8">
        <v>0</v>
      </c>
      <c r="G10951" s="8">
        <v>6</v>
      </c>
      <c r="H10951" s="8" t="s">
        <v>47540</v>
      </c>
      <c r="I10951" s="8">
        <v>526.5</v>
      </c>
      <c r="J10951" s="3">
        <f t="shared" si="171"/>
        <v>43749.282270150456</v>
      </c>
    </row>
    <row r="10952" spans="1:10" x14ac:dyDescent="0.25">
      <c r="A10952" s="5" t="s">
        <v>47541</v>
      </c>
      <c r="B10952" s="6">
        <v>396.875</v>
      </c>
      <c r="C10952" s="6">
        <v>20.478950000000001</v>
      </c>
      <c r="D10952" s="6">
        <v>66</v>
      </c>
      <c r="E10952" s="6">
        <v>0</v>
      </c>
      <c r="F10952" s="6">
        <v>0</v>
      </c>
      <c r="G10952" s="6">
        <v>8</v>
      </c>
      <c r="H10952" s="6" t="s">
        <v>47542</v>
      </c>
      <c r="I10952" s="6">
        <v>527.4375</v>
      </c>
      <c r="J10952" s="2">
        <f t="shared" si="171"/>
        <v>43749.282341655089</v>
      </c>
    </row>
    <row r="10953" spans="1:10" x14ac:dyDescent="0.25">
      <c r="A10953" s="7" t="s">
        <v>47543</v>
      </c>
      <c r="B10953" s="8">
        <v>396.875</v>
      </c>
      <c r="C10953" s="8">
        <v>20.478950000000001</v>
      </c>
      <c r="D10953" s="8">
        <v>65</v>
      </c>
      <c r="E10953" s="8">
        <v>0</v>
      </c>
      <c r="F10953" s="8">
        <v>0</v>
      </c>
      <c r="G10953" s="8">
        <v>3</v>
      </c>
      <c r="H10953" s="8" t="s">
        <v>47544</v>
      </c>
      <c r="I10953" s="8">
        <v>527.4375</v>
      </c>
      <c r="J10953" s="3">
        <f t="shared" si="171"/>
        <v>43749.282413541667</v>
      </c>
    </row>
    <row r="10954" spans="1:10" x14ac:dyDescent="0.25">
      <c r="A10954" s="5" t="s">
        <v>47545</v>
      </c>
      <c r="B10954" s="6">
        <v>425</v>
      </c>
      <c r="C10954" s="6">
        <v>20.478950000000001</v>
      </c>
      <c r="D10954" s="6">
        <v>66</v>
      </c>
      <c r="E10954" s="6">
        <v>0</v>
      </c>
      <c r="F10954" s="6">
        <v>0</v>
      </c>
      <c r="G10954" s="6">
        <v>2</v>
      </c>
      <c r="H10954" s="6" t="s">
        <v>47546</v>
      </c>
      <c r="I10954" s="6">
        <v>536.25</v>
      </c>
      <c r="J10954" s="2">
        <f t="shared" si="171"/>
        <v>43749.282485138887</v>
      </c>
    </row>
    <row r="10955" spans="1:10" x14ac:dyDescent="0.25">
      <c r="A10955" s="7" t="s">
        <v>47547</v>
      </c>
      <c r="B10955" s="8">
        <v>400</v>
      </c>
      <c r="C10955" s="8">
        <v>20.478950000000001</v>
      </c>
      <c r="D10955" s="8">
        <v>66</v>
      </c>
      <c r="E10955" s="8">
        <v>0</v>
      </c>
      <c r="F10955" s="8">
        <v>0</v>
      </c>
      <c r="G10955" s="8">
        <v>15</v>
      </c>
      <c r="H10955" s="8" t="s">
        <v>47548</v>
      </c>
      <c r="I10955" s="8">
        <v>528.375</v>
      </c>
      <c r="J10955" s="3">
        <f t="shared" si="171"/>
        <v>43749.282568460643</v>
      </c>
    </row>
    <row r="10956" spans="1:10" x14ac:dyDescent="0.25">
      <c r="A10956" s="5" t="s">
        <v>47549</v>
      </c>
      <c r="B10956" s="6">
        <v>400</v>
      </c>
      <c r="C10956" s="6">
        <v>20.478950000000001</v>
      </c>
      <c r="D10956" s="6">
        <v>61</v>
      </c>
      <c r="E10956" s="6">
        <v>0</v>
      </c>
      <c r="F10956" s="6">
        <v>0</v>
      </c>
      <c r="G10956" s="6">
        <v>7</v>
      </c>
      <c r="H10956" s="6" t="s">
        <v>47550</v>
      </c>
      <c r="I10956" s="6">
        <v>528.1875</v>
      </c>
      <c r="J10956" s="2">
        <f t="shared" si="171"/>
        <v>43749.282639803241</v>
      </c>
    </row>
    <row r="10957" spans="1:10" x14ac:dyDescent="0.25">
      <c r="A10957" s="7" t="s">
        <v>47551</v>
      </c>
      <c r="B10957" s="8">
        <v>403.125</v>
      </c>
      <c r="C10957" s="8">
        <v>20.478950000000001</v>
      </c>
      <c r="D10957" s="8">
        <v>61</v>
      </c>
      <c r="E10957" s="8">
        <v>0</v>
      </c>
      <c r="F10957" s="8">
        <v>0</v>
      </c>
      <c r="G10957" s="8">
        <v>10</v>
      </c>
      <c r="H10957" s="8" t="s">
        <v>47552</v>
      </c>
      <c r="I10957" s="8">
        <v>529.125</v>
      </c>
      <c r="J10957" s="3">
        <f t="shared" si="171"/>
        <v>43749.282711990738</v>
      </c>
    </row>
    <row r="10958" spans="1:10" x14ac:dyDescent="0.25">
      <c r="A10958" s="5" t="s">
        <v>47553</v>
      </c>
      <c r="B10958" s="6">
        <v>400</v>
      </c>
      <c r="C10958" s="6">
        <v>20.478950000000001</v>
      </c>
      <c r="D10958" s="6">
        <v>63</v>
      </c>
      <c r="E10958" s="6">
        <v>0</v>
      </c>
      <c r="F10958" s="6">
        <v>0</v>
      </c>
      <c r="G10958" s="6">
        <v>9</v>
      </c>
      <c r="H10958" s="6" t="s">
        <v>47554</v>
      </c>
      <c r="I10958" s="6">
        <v>528.1875</v>
      </c>
      <c r="J10958" s="2">
        <f t="shared" si="171"/>
        <v>43749.282783287032</v>
      </c>
    </row>
    <row r="10959" spans="1:10" x14ac:dyDescent="0.25">
      <c r="A10959" s="7" t="s">
        <v>47555</v>
      </c>
      <c r="B10959" s="8">
        <v>400</v>
      </c>
      <c r="C10959" s="8">
        <v>20.478950000000001</v>
      </c>
      <c r="D10959" s="8">
        <v>63</v>
      </c>
      <c r="E10959" s="8">
        <v>0</v>
      </c>
      <c r="F10959" s="8">
        <v>0</v>
      </c>
      <c r="G10959" s="8">
        <v>9</v>
      </c>
      <c r="H10959" s="8" t="s">
        <v>47556</v>
      </c>
      <c r="I10959" s="8">
        <v>528.1875</v>
      </c>
      <c r="J10959" s="3">
        <f t="shared" si="171"/>
        <v>43749.282854641198</v>
      </c>
    </row>
    <row r="10960" spans="1:10" x14ac:dyDescent="0.25">
      <c r="A10960" s="5" t="s">
        <v>47557</v>
      </c>
      <c r="B10960" s="6">
        <v>400</v>
      </c>
      <c r="C10960" s="6">
        <v>20.478950000000001</v>
      </c>
      <c r="D10960" s="6">
        <v>64</v>
      </c>
      <c r="E10960" s="6">
        <v>0</v>
      </c>
      <c r="F10960" s="6">
        <v>0</v>
      </c>
      <c r="G10960" s="6">
        <v>9</v>
      </c>
      <c r="H10960" s="6" t="s">
        <v>47558</v>
      </c>
      <c r="I10960" s="6">
        <v>528.1875</v>
      </c>
      <c r="J10960" s="2">
        <f t="shared" si="171"/>
        <v>43749.282925937499</v>
      </c>
    </row>
    <row r="10961" spans="1:10" x14ac:dyDescent="0.25">
      <c r="A10961" s="7" t="s">
        <v>47559</v>
      </c>
      <c r="B10961" s="8">
        <v>400</v>
      </c>
      <c r="C10961" s="8">
        <v>20.478950000000001</v>
      </c>
      <c r="D10961" s="8">
        <v>65</v>
      </c>
      <c r="E10961" s="8">
        <v>0</v>
      </c>
      <c r="F10961" s="8">
        <v>0</v>
      </c>
      <c r="G10961" s="8">
        <v>7</v>
      </c>
      <c r="H10961" s="8" t="s">
        <v>47560</v>
      </c>
      <c r="I10961" s="8">
        <v>528.375</v>
      </c>
      <c r="J10961" s="3">
        <f t="shared" si="171"/>
        <v>43749.283009375002</v>
      </c>
    </row>
    <row r="10962" spans="1:10" x14ac:dyDescent="0.25">
      <c r="A10962" s="5" t="s">
        <v>47561</v>
      </c>
      <c r="B10962" s="6">
        <v>400</v>
      </c>
      <c r="C10962" s="6">
        <v>20.478950000000001</v>
      </c>
      <c r="D10962" s="6">
        <v>64</v>
      </c>
      <c r="E10962" s="6">
        <v>0</v>
      </c>
      <c r="F10962" s="6">
        <v>0</v>
      </c>
      <c r="G10962" s="6">
        <v>6</v>
      </c>
      <c r="H10962" s="6" t="s">
        <v>47562</v>
      </c>
      <c r="I10962" s="6">
        <v>528.1875</v>
      </c>
      <c r="J10962" s="2">
        <f t="shared" si="171"/>
        <v>43749.283081481481</v>
      </c>
    </row>
    <row r="10963" spans="1:10" x14ac:dyDescent="0.25">
      <c r="A10963" s="7" t="s">
        <v>47563</v>
      </c>
      <c r="B10963" s="8">
        <v>400</v>
      </c>
      <c r="C10963" s="8">
        <v>20.478950000000001</v>
      </c>
      <c r="D10963" s="8">
        <v>64</v>
      </c>
      <c r="E10963" s="8">
        <v>0</v>
      </c>
      <c r="F10963" s="8">
        <v>0</v>
      </c>
      <c r="G10963" s="8">
        <v>6</v>
      </c>
      <c r="H10963" s="8" t="s">
        <v>47564</v>
      </c>
      <c r="I10963" s="8">
        <v>528.1875</v>
      </c>
      <c r="J10963" s="3">
        <f t="shared" si="171"/>
        <v>43749.283152731477</v>
      </c>
    </row>
    <row r="10964" spans="1:10" x14ac:dyDescent="0.25">
      <c r="A10964" s="5" t="s">
        <v>47565</v>
      </c>
      <c r="B10964" s="6">
        <v>400</v>
      </c>
      <c r="C10964" s="6">
        <v>20.426300000000001</v>
      </c>
      <c r="D10964" s="6">
        <v>66</v>
      </c>
      <c r="E10964" s="6">
        <v>0</v>
      </c>
      <c r="F10964" s="6">
        <v>0</v>
      </c>
      <c r="G10964" s="6">
        <v>16</v>
      </c>
      <c r="H10964" s="6" t="s">
        <v>47566</v>
      </c>
      <c r="I10964" s="6">
        <v>528.1875</v>
      </c>
      <c r="J10964" s="2">
        <f t="shared" si="171"/>
        <v>43749.283235949071</v>
      </c>
    </row>
    <row r="10965" spans="1:10" x14ac:dyDescent="0.25">
      <c r="A10965" s="7" t="s">
        <v>47567</v>
      </c>
      <c r="B10965" s="8">
        <v>400</v>
      </c>
      <c r="C10965" s="8">
        <v>20.478950000000001</v>
      </c>
      <c r="D10965" s="8">
        <v>69</v>
      </c>
      <c r="E10965" s="8">
        <v>0</v>
      </c>
      <c r="F10965" s="8">
        <v>0</v>
      </c>
      <c r="G10965" s="8">
        <v>0</v>
      </c>
      <c r="H10965" s="8" t="s">
        <v>47568</v>
      </c>
      <c r="I10965" s="8">
        <v>528.375</v>
      </c>
      <c r="J10965" s="3">
        <f t="shared" si="171"/>
        <v>43749.28330747685</v>
      </c>
    </row>
    <row r="10966" spans="1:10" x14ac:dyDescent="0.25">
      <c r="A10966" s="5" t="s">
        <v>47569</v>
      </c>
      <c r="B10966" s="6">
        <v>400</v>
      </c>
      <c r="C10966" s="6">
        <v>20.426300000000001</v>
      </c>
      <c r="D10966" s="6">
        <v>69</v>
      </c>
      <c r="E10966" s="6">
        <v>0</v>
      </c>
      <c r="F10966" s="6">
        <v>0</v>
      </c>
      <c r="G10966" s="6">
        <v>6</v>
      </c>
      <c r="H10966" s="6" t="s">
        <v>47570</v>
      </c>
      <c r="I10966" s="6">
        <v>528.1875</v>
      </c>
      <c r="J10966" s="2">
        <f t="shared" si="171"/>
        <v>43749.283379050925</v>
      </c>
    </row>
    <row r="10967" spans="1:10" x14ac:dyDescent="0.25">
      <c r="A10967" s="7" t="s">
        <v>47571</v>
      </c>
      <c r="B10967" s="8">
        <v>400</v>
      </c>
      <c r="C10967" s="8">
        <v>20.426300000000001</v>
      </c>
      <c r="D10967" s="8">
        <v>66</v>
      </c>
      <c r="E10967" s="8">
        <v>0</v>
      </c>
      <c r="F10967" s="8">
        <v>0</v>
      </c>
      <c r="G10967" s="8">
        <v>15</v>
      </c>
      <c r="H10967" s="8" t="s">
        <v>47572</v>
      </c>
      <c r="I10967" s="8">
        <v>528.1875</v>
      </c>
      <c r="J10967" s="3">
        <f t="shared" si="171"/>
        <v>43749.283462939813</v>
      </c>
    </row>
    <row r="10968" spans="1:10" x14ac:dyDescent="0.25">
      <c r="A10968" s="5" t="s">
        <v>47573</v>
      </c>
      <c r="B10968" s="6">
        <v>415.625</v>
      </c>
      <c r="C10968" s="6">
        <v>20.478950000000001</v>
      </c>
      <c r="D10968" s="6">
        <v>67</v>
      </c>
      <c r="E10968" s="6">
        <v>0</v>
      </c>
      <c r="F10968" s="6">
        <v>0</v>
      </c>
      <c r="G10968" s="6">
        <v>11</v>
      </c>
      <c r="H10968" s="6" t="s">
        <v>47574</v>
      </c>
      <c r="I10968" s="6">
        <v>533.0625</v>
      </c>
      <c r="J10968" s="2">
        <f t="shared" si="171"/>
        <v>43749.283534178241</v>
      </c>
    </row>
    <row r="10969" spans="1:10" x14ac:dyDescent="0.25">
      <c r="A10969" s="7" t="s">
        <v>47575</v>
      </c>
      <c r="B10969" s="8">
        <v>396.875</v>
      </c>
      <c r="C10969" s="8">
        <v>20.478950000000001</v>
      </c>
      <c r="D10969" s="8">
        <v>68</v>
      </c>
      <c r="E10969" s="8">
        <v>0</v>
      </c>
      <c r="F10969" s="8">
        <v>0</v>
      </c>
      <c r="G10969" s="8">
        <v>3</v>
      </c>
      <c r="H10969" s="8" t="s">
        <v>47576</v>
      </c>
      <c r="I10969" s="8">
        <v>527.4375</v>
      </c>
      <c r="J10969" s="3">
        <f t="shared" si="171"/>
        <v>43749.283605509256</v>
      </c>
    </row>
    <row r="10970" spans="1:10" x14ac:dyDescent="0.25">
      <c r="A10970" s="5" t="s">
        <v>47577</v>
      </c>
      <c r="B10970" s="6">
        <v>396.875</v>
      </c>
      <c r="C10970" s="6">
        <v>20.478950000000001</v>
      </c>
      <c r="D10970" s="6">
        <v>68</v>
      </c>
      <c r="E10970" s="6">
        <v>0</v>
      </c>
      <c r="F10970" s="6">
        <v>0</v>
      </c>
      <c r="G10970" s="6">
        <v>8</v>
      </c>
      <c r="H10970" s="6" t="s">
        <v>47578</v>
      </c>
      <c r="I10970" s="6">
        <v>527.4375</v>
      </c>
      <c r="J10970" s="2">
        <f t="shared" si="171"/>
        <v>43749.283677511572</v>
      </c>
    </row>
    <row r="10971" spans="1:10" x14ac:dyDescent="0.25">
      <c r="A10971" s="7" t="s">
        <v>47579</v>
      </c>
      <c r="B10971" s="8">
        <v>396.875</v>
      </c>
      <c r="C10971" s="8">
        <v>20.478950000000001</v>
      </c>
      <c r="D10971" s="8">
        <v>69</v>
      </c>
      <c r="E10971" s="8">
        <v>0</v>
      </c>
      <c r="F10971" s="8">
        <v>0</v>
      </c>
      <c r="G10971" s="8">
        <v>12</v>
      </c>
      <c r="H10971" s="8" t="s">
        <v>47580</v>
      </c>
      <c r="I10971" s="8">
        <v>527.4375</v>
      </c>
      <c r="J10971" s="3">
        <f t="shared" si="171"/>
        <v>43749.283748807873</v>
      </c>
    </row>
    <row r="10972" spans="1:10" x14ac:dyDescent="0.25">
      <c r="A10972" s="5" t="s">
        <v>47581</v>
      </c>
      <c r="B10972" s="6">
        <v>396.875</v>
      </c>
      <c r="C10972" s="6">
        <v>20.478950000000001</v>
      </c>
      <c r="D10972" s="6">
        <v>69</v>
      </c>
      <c r="E10972" s="6">
        <v>0</v>
      </c>
      <c r="F10972" s="6">
        <v>0</v>
      </c>
      <c r="G10972" s="6">
        <v>11</v>
      </c>
      <c r="H10972" s="6" t="s">
        <v>47582</v>
      </c>
      <c r="I10972" s="6">
        <v>527.4375</v>
      </c>
      <c r="J10972" s="2">
        <f t="shared" si="171"/>
        <v>43749.283820219905</v>
      </c>
    </row>
    <row r="10973" spans="1:10" x14ac:dyDescent="0.25">
      <c r="A10973" s="7" t="s">
        <v>47583</v>
      </c>
      <c r="B10973" s="8">
        <v>393.75</v>
      </c>
      <c r="C10973" s="8">
        <v>20.478950000000001</v>
      </c>
      <c r="D10973" s="8">
        <v>65</v>
      </c>
      <c r="E10973" s="8">
        <v>0</v>
      </c>
      <c r="F10973" s="8">
        <v>0</v>
      </c>
      <c r="G10973" s="8">
        <v>11</v>
      </c>
      <c r="H10973" s="8" t="s">
        <v>47584</v>
      </c>
      <c r="I10973" s="8">
        <v>526.6875</v>
      </c>
      <c r="J10973" s="3">
        <f t="shared" si="171"/>
        <v>43749.283892395826</v>
      </c>
    </row>
    <row r="10974" spans="1:10" x14ac:dyDescent="0.25">
      <c r="A10974" s="5" t="s">
        <v>47585</v>
      </c>
      <c r="B10974" s="6">
        <v>393.75</v>
      </c>
      <c r="C10974" s="6">
        <v>20.478950000000001</v>
      </c>
      <c r="D10974" s="6">
        <v>66</v>
      </c>
      <c r="E10974" s="6">
        <v>0</v>
      </c>
      <c r="F10974" s="6">
        <v>0</v>
      </c>
      <c r="G10974" s="6">
        <v>10</v>
      </c>
      <c r="H10974" s="6" t="s">
        <v>47586</v>
      </c>
      <c r="I10974" s="6">
        <v>526.6875</v>
      </c>
      <c r="J10974" s="2">
        <f t="shared" si="171"/>
        <v>43749.283963449074</v>
      </c>
    </row>
    <row r="10975" spans="1:10" x14ac:dyDescent="0.25">
      <c r="A10975" s="7" t="s">
        <v>47587</v>
      </c>
      <c r="B10975" s="8">
        <v>393.75</v>
      </c>
      <c r="C10975" s="8">
        <v>20.478950000000001</v>
      </c>
      <c r="D10975" s="8">
        <v>66</v>
      </c>
      <c r="E10975" s="8">
        <v>0</v>
      </c>
      <c r="F10975" s="8">
        <v>0</v>
      </c>
      <c r="G10975" s="8">
        <v>11</v>
      </c>
      <c r="H10975" s="8" t="s">
        <v>47588</v>
      </c>
      <c r="I10975" s="8">
        <v>526.6875</v>
      </c>
      <c r="J10975" s="3">
        <f t="shared" si="171"/>
        <v>43749.284034872682</v>
      </c>
    </row>
    <row r="10976" spans="1:10" x14ac:dyDescent="0.25">
      <c r="A10976" s="5" t="s">
        <v>47589</v>
      </c>
      <c r="B10976" s="6">
        <v>393.75</v>
      </c>
      <c r="C10976" s="6">
        <v>20.478950000000001</v>
      </c>
      <c r="D10976" s="6">
        <v>65</v>
      </c>
      <c r="E10976" s="6">
        <v>0</v>
      </c>
      <c r="F10976" s="6">
        <v>0</v>
      </c>
      <c r="G10976" s="6">
        <v>5</v>
      </c>
      <c r="H10976" s="6" t="s">
        <v>47590</v>
      </c>
      <c r="I10976" s="6">
        <v>526.6875</v>
      </c>
      <c r="J10976" s="2">
        <f t="shared" si="171"/>
        <v>43749.284107141204</v>
      </c>
    </row>
    <row r="10977" spans="1:10" x14ac:dyDescent="0.25">
      <c r="A10977" s="7" t="s">
        <v>47591</v>
      </c>
      <c r="B10977" s="8">
        <v>393.75</v>
      </c>
      <c r="C10977" s="8">
        <v>20.478950000000001</v>
      </c>
      <c r="D10977" s="8">
        <v>67</v>
      </c>
      <c r="E10977" s="8">
        <v>0</v>
      </c>
      <c r="F10977" s="8">
        <v>0</v>
      </c>
      <c r="G10977" s="8">
        <v>15</v>
      </c>
      <c r="H10977" s="8" t="s">
        <v>47592</v>
      </c>
      <c r="I10977" s="8">
        <v>526.6875</v>
      </c>
      <c r="J10977" s="3">
        <f t="shared" si="171"/>
        <v>43749.284178437498</v>
      </c>
    </row>
    <row r="10978" spans="1:10" x14ac:dyDescent="0.25">
      <c r="A10978" s="5" t="s">
        <v>47593</v>
      </c>
      <c r="B10978" s="6">
        <v>396.875</v>
      </c>
      <c r="C10978" s="6">
        <v>20.478950000000001</v>
      </c>
      <c r="D10978" s="6">
        <v>67</v>
      </c>
      <c r="E10978" s="6">
        <v>0</v>
      </c>
      <c r="F10978" s="6">
        <v>0</v>
      </c>
      <c r="G10978" s="6">
        <v>8</v>
      </c>
      <c r="H10978" s="6" t="s">
        <v>47594</v>
      </c>
      <c r="I10978" s="6">
        <v>527.4375</v>
      </c>
      <c r="J10978" s="2">
        <f t="shared" si="171"/>
        <v>43749.284249745368</v>
      </c>
    </row>
    <row r="10979" spans="1:10" x14ac:dyDescent="0.25">
      <c r="A10979" s="7" t="s">
        <v>47595</v>
      </c>
      <c r="B10979" s="8">
        <v>396.875</v>
      </c>
      <c r="C10979" s="8">
        <v>20.478950000000001</v>
      </c>
      <c r="D10979" s="8">
        <v>67</v>
      </c>
      <c r="E10979" s="8">
        <v>0</v>
      </c>
      <c r="F10979" s="8">
        <v>0</v>
      </c>
      <c r="G10979" s="8">
        <v>4</v>
      </c>
      <c r="H10979" s="8" t="s">
        <v>47596</v>
      </c>
      <c r="I10979" s="8">
        <v>527.4375</v>
      </c>
      <c r="J10979" s="3">
        <f t="shared" si="171"/>
        <v>43749.284321087958</v>
      </c>
    </row>
    <row r="10980" spans="1:10" x14ac:dyDescent="0.25">
      <c r="A10980" s="5" t="s">
        <v>47597</v>
      </c>
      <c r="B10980" s="6">
        <v>400</v>
      </c>
      <c r="C10980" s="6">
        <v>20.478950000000001</v>
      </c>
      <c r="D10980" s="6">
        <v>66</v>
      </c>
      <c r="E10980" s="6">
        <v>0</v>
      </c>
      <c r="F10980" s="6">
        <v>0</v>
      </c>
      <c r="G10980" s="6">
        <v>5</v>
      </c>
      <c r="H10980" s="6" t="s">
        <v>47598</v>
      </c>
      <c r="I10980" s="6">
        <v>528.375</v>
      </c>
      <c r="J10980" s="2">
        <f t="shared" si="171"/>
        <v>43749.284393379632</v>
      </c>
    </row>
    <row r="10981" spans="1:10" x14ac:dyDescent="0.25">
      <c r="A10981" s="7" t="s">
        <v>47599</v>
      </c>
      <c r="B10981" s="8">
        <v>418.75</v>
      </c>
      <c r="C10981" s="8">
        <v>20.478950000000001</v>
      </c>
      <c r="D10981" s="8">
        <v>68</v>
      </c>
      <c r="E10981" s="8">
        <v>0</v>
      </c>
      <c r="F10981" s="8">
        <v>0</v>
      </c>
      <c r="G10981" s="8">
        <v>10</v>
      </c>
      <c r="H10981" s="8" t="s">
        <v>47600</v>
      </c>
      <c r="I10981" s="8">
        <v>534</v>
      </c>
      <c r="J10981" s="3">
        <f t="shared" si="171"/>
        <v>43749.28446456018</v>
      </c>
    </row>
    <row r="10982" spans="1:10" x14ac:dyDescent="0.25">
      <c r="A10982" s="5" t="s">
        <v>47601</v>
      </c>
      <c r="B10982" s="6">
        <v>400</v>
      </c>
      <c r="C10982" s="6">
        <v>20.478950000000001</v>
      </c>
      <c r="D10982" s="6">
        <v>69</v>
      </c>
      <c r="E10982" s="6">
        <v>0</v>
      </c>
      <c r="F10982" s="6">
        <v>0</v>
      </c>
      <c r="G10982" s="6">
        <v>10</v>
      </c>
      <c r="H10982" s="6" t="s">
        <v>47602</v>
      </c>
      <c r="I10982" s="6">
        <v>528.1875</v>
      </c>
      <c r="J10982" s="2">
        <f t="shared" si="171"/>
        <v>43749.284536018517</v>
      </c>
    </row>
    <row r="10983" spans="1:10" x14ac:dyDescent="0.25">
      <c r="A10983" s="7" t="s">
        <v>47603</v>
      </c>
      <c r="B10983" s="8">
        <v>396.875</v>
      </c>
      <c r="C10983" s="8">
        <v>20.478950000000001</v>
      </c>
      <c r="D10983" s="8">
        <v>69</v>
      </c>
      <c r="E10983" s="8">
        <v>0</v>
      </c>
      <c r="F10983" s="8">
        <v>0</v>
      </c>
      <c r="G10983" s="8">
        <v>4</v>
      </c>
      <c r="H10983" s="8" t="s">
        <v>47604</v>
      </c>
      <c r="I10983" s="8">
        <v>527.4375</v>
      </c>
      <c r="J10983" s="3">
        <f t="shared" si="171"/>
        <v>43749.284607372683</v>
      </c>
    </row>
    <row r="10984" spans="1:10" x14ac:dyDescent="0.25">
      <c r="A10984" s="5" t="s">
        <v>47605</v>
      </c>
      <c r="B10984" s="6">
        <v>400</v>
      </c>
      <c r="C10984" s="6">
        <v>20.478950000000001</v>
      </c>
      <c r="D10984" s="6">
        <v>69</v>
      </c>
      <c r="E10984" s="6">
        <v>0</v>
      </c>
      <c r="F10984" s="6">
        <v>0</v>
      </c>
      <c r="G10984" s="6">
        <v>11</v>
      </c>
      <c r="H10984" s="6" t="s">
        <v>47606</v>
      </c>
      <c r="I10984" s="6">
        <v>528.1875</v>
      </c>
      <c r="J10984" s="2">
        <f t="shared" si="171"/>
        <v>43749.284678796299</v>
      </c>
    </row>
    <row r="10985" spans="1:10" x14ac:dyDescent="0.25">
      <c r="A10985" s="7" t="s">
        <v>47607</v>
      </c>
      <c r="B10985" s="8">
        <v>396.875</v>
      </c>
      <c r="C10985" s="8">
        <v>20.478950000000001</v>
      </c>
      <c r="D10985" s="8">
        <v>69</v>
      </c>
      <c r="E10985" s="8">
        <v>0</v>
      </c>
      <c r="F10985" s="8">
        <v>0</v>
      </c>
      <c r="G10985" s="8">
        <v>7</v>
      </c>
      <c r="H10985" s="8" t="s">
        <v>47608</v>
      </c>
      <c r="I10985" s="8">
        <v>527.4375</v>
      </c>
      <c r="J10985" s="3">
        <f t="shared" si="171"/>
        <v>43749.284750960644</v>
      </c>
    </row>
    <row r="10986" spans="1:10" x14ac:dyDescent="0.25">
      <c r="A10986" s="5" t="s">
        <v>47609</v>
      </c>
      <c r="B10986" s="6">
        <v>396.875</v>
      </c>
      <c r="C10986" s="6">
        <v>20.478950000000001</v>
      </c>
      <c r="D10986" s="6">
        <v>68</v>
      </c>
      <c r="E10986" s="6">
        <v>0</v>
      </c>
      <c r="F10986" s="6">
        <v>0</v>
      </c>
      <c r="G10986" s="6">
        <v>21</v>
      </c>
      <c r="H10986" s="6" t="s">
        <v>47610</v>
      </c>
      <c r="I10986" s="6">
        <v>527.4375</v>
      </c>
      <c r="J10986" s="2">
        <f t="shared" si="171"/>
        <v>43749.284822187496</v>
      </c>
    </row>
    <row r="10987" spans="1:10" x14ac:dyDescent="0.25">
      <c r="A10987" s="7" t="s">
        <v>47611</v>
      </c>
      <c r="B10987" s="8">
        <v>396.875</v>
      </c>
      <c r="C10987" s="8">
        <v>20.478950000000001</v>
      </c>
      <c r="D10987" s="8">
        <v>67</v>
      </c>
      <c r="E10987" s="8">
        <v>0</v>
      </c>
      <c r="F10987" s="8">
        <v>0</v>
      </c>
      <c r="G10987" s="8">
        <v>4</v>
      </c>
      <c r="H10987" s="8" t="s">
        <v>47612</v>
      </c>
      <c r="I10987" s="8">
        <v>527.4375</v>
      </c>
      <c r="J10987" s="3">
        <f t="shared" si="171"/>
        <v>43749.284893495373</v>
      </c>
    </row>
    <row r="10988" spans="1:10" x14ac:dyDescent="0.25">
      <c r="A10988" s="5" t="s">
        <v>47613</v>
      </c>
      <c r="B10988" s="6">
        <v>396.875</v>
      </c>
      <c r="C10988" s="6">
        <v>20.478950000000001</v>
      </c>
      <c r="D10988" s="6">
        <v>67</v>
      </c>
      <c r="E10988" s="6">
        <v>0</v>
      </c>
      <c r="F10988" s="6">
        <v>0</v>
      </c>
      <c r="G10988" s="6">
        <v>14</v>
      </c>
      <c r="H10988" s="6" t="s">
        <v>47614</v>
      </c>
      <c r="I10988" s="6">
        <v>527.4375</v>
      </c>
      <c r="J10988" s="2">
        <f t="shared" si="171"/>
        <v>43749.284964895829</v>
      </c>
    </row>
    <row r="10989" spans="1:10" x14ac:dyDescent="0.25">
      <c r="A10989" s="7" t="s">
        <v>47615</v>
      </c>
      <c r="B10989" s="8">
        <v>396.875</v>
      </c>
      <c r="C10989" s="8">
        <v>20.478950000000001</v>
      </c>
      <c r="D10989" s="8">
        <v>67</v>
      </c>
      <c r="E10989" s="8">
        <v>0</v>
      </c>
      <c r="F10989" s="8">
        <v>0</v>
      </c>
      <c r="G10989" s="8">
        <v>14</v>
      </c>
      <c r="H10989" s="8" t="s">
        <v>47616</v>
      </c>
      <c r="I10989" s="8">
        <v>527.4375</v>
      </c>
      <c r="J10989" s="3">
        <f t="shared" si="171"/>
        <v>43749.285036909721</v>
      </c>
    </row>
    <row r="10990" spans="1:10" x14ac:dyDescent="0.25">
      <c r="A10990" s="5" t="s">
        <v>47617</v>
      </c>
      <c r="B10990" s="6">
        <v>396.875</v>
      </c>
      <c r="C10990" s="6">
        <v>20.478950000000001</v>
      </c>
      <c r="D10990" s="6">
        <v>67</v>
      </c>
      <c r="E10990" s="6">
        <v>0</v>
      </c>
      <c r="F10990" s="6">
        <v>0</v>
      </c>
      <c r="G10990" s="6">
        <v>14</v>
      </c>
      <c r="H10990" s="6" t="s">
        <v>47618</v>
      </c>
      <c r="I10990" s="6">
        <v>527.4375</v>
      </c>
      <c r="J10990" s="2">
        <f t="shared" si="171"/>
        <v>43749.285108009259</v>
      </c>
    </row>
    <row r="10991" spans="1:10" x14ac:dyDescent="0.25">
      <c r="A10991" s="7" t="s">
        <v>47619</v>
      </c>
      <c r="B10991" s="8">
        <v>396.875</v>
      </c>
      <c r="C10991" s="8">
        <v>20.478950000000001</v>
      </c>
      <c r="D10991" s="8">
        <v>67</v>
      </c>
      <c r="E10991" s="8">
        <v>0</v>
      </c>
      <c r="F10991" s="8">
        <v>0</v>
      </c>
      <c r="G10991" s="8">
        <v>6</v>
      </c>
      <c r="H10991" s="8" t="s">
        <v>47620</v>
      </c>
      <c r="I10991" s="8">
        <v>527.4375</v>
      </c>
      <c r="J10991" s="3">
        <f t="shared" si="171"/>
        <v>43749.28517978009</v>
      </c>
    </row>
    <row r="10992" spans="1:10" x14ac:dyDescent="0.25">
      <c r="A10992" s="5" t="s">
        <v>47621</v>
      </c>
      <c r="B10992" s="6">
        <v>396.875</v>
      </c>
      <c r="C10992" s="6">
        <v>20.478950000000001</v>
      </c>
      <c r="D10992" s="6">
        <v>67</v>
      </c>
      <c r="E10992" s="6">
        <v>0</v>
      </c>
      <c r="F10992" s="6">
        <v>0</v>
      </c>
      <c r="G10992" s="6">
        <v>14</v>
      </c>
      <c r="H10992" s="6" t="s">
        <v>47622</v>
      </c>
      <c r="I10992" s="6">
        <v>527.25</v>
      </c>
      <c r="J10992" s="2">
        <f t="shared" si="171"/>
        <v>43749.285251597219</v>
      </c>
    </row>
    <row r="10993" spans="1:10" x14ac:dyDescent="0.25">
      <c r="A10993" s="7" t="s">
        <v>47623</v>
      </c>
      <c r="B10993" s="8">
        <v>400</v>
      </c>
      <c r="C10993" s="8">
        <v>20.478950000000001</v>
      </c>
      <c r="D10993" s="8">
        <v>68</v>
      </c>
      <c r="E10993" s="8">
        <v>0</v>
      </c>
      <c r="F10993" s="8">
        <v>0</v>
      </c>
      <c r="G10993" s="8">
        <v>11</v>
      </c>
      <c r="H10993" s="8" t="s">
        <v>47624</v>
      </c>
      <c r="I10993" s="8">
        <v>528.1875</v>
      </c>
      <c r="J10993" s="3">
        <f t="shared" si="171"/>
        <v>43749.285322777774</v>
      </c>
    </row>
    <row r="10994" spans="1:10" x14ac:dyDescent="0.25">
      <c r="A10994" s="5" t="s">
        <v>47625</v>
      </c>
      <c r="B10994" s="6">
        <v>415.625</v>
      </c>
      <c r="C10994" s="6">
        <v>20.478950000000001</v>
      </c>
      <c r="D10994" s="6">
        <v>69</v>
      </c>
      <c r="E10994" s="6">
        <v>0</v>
      </c>
      <c r="F10994" s="6">
        <v>0</v>
      </c>
      <c r="G10994" s="6">
        <v>9</v>
      </c>
      <c r="H10994" s="6" t="s">
        <v>47626</v>
      </c>
      <c r="I10994" s="6">
        <v>533.4375</v>
      </c>
      <c r="J10994" s="2">
        <f t="shared" si="171"/>
        <v>43749.285394282408</v>
      </c>
    </row>
    <row r="10995" spans="1:10" x14ac:dyDescent="0.25">
      <c r="A10995" s="7" t="s">
        <v>47627</v>
      </c>
      <c r="B10995" s="8">
        <v>396.875</v>
      </c>
      <c r="C10995" s="8">
        <v>20.478950000000001</v>
      </c>
      <c r="D10995" s="8">
        <v>69</v>
      </c>
      <c r="E10995" s="8">
        <v>0</v>
      </c>
      <c r="F10995" s="8">
        <v>0</v>
      </c>
      <c r="G10995" s="8">
        <v>3</v>
      </c>
      <c r="H10995" s="8" t="s">
        <v>47628</v>
      </c>
      <c r="I10995" s="8">
        <v>527.4375</v>
      </c>
      <c r="J10995" s="3">
        <f t="shared" si="171"/>
        <v>43749.285466400463</v>
      </c>
    </row>
    <row r="10996" spans="1:10" x14ac:dyDescent="0.25">
      <c r="A10996" s="5" t="s">
        <v>47629</v>
      </c>
      <c r="B10996" s="6">
        <v>396.875</v>
      </c>
      <c r="C10996" s="6">
        <v>20.426300000000001</v>
      </c>
      <c r="D10996" s="6">
        <v>69</v>
      </c>
      <c r="E10996" s="6">
        <v>0</v>
      </c>
      <c r="F10996" s="6">
        <v>0</v>
      </c>
      <c r="G10996" s="6">
        <v>5</v>
      </c>
      <c r="H10996" s="6" t="s">
        <v>47630</v>
      </c>
      <c r="I10996" s="6">
        <v>527.4375</v>
      </c>
      <c r="J10996" s="2">
        <f t="shared" si="171"/>
        <v>43749.285549664353</v>
      </c>
    </row>
    <row r="10997" spans="1:10" x14ac:dyDescent="0.25">
      <c r="A10997" s="7" t="s">
        <v>47631</v>
      </c>
      <c r="B10997" s="8">
        <v>396.875</v>
      </c>
      <c r="C10997" s="8">
        <v>20.478950000000001</v>
      </c>
      <c r="D10997" s="8">
        <v>69</v>
      </c>
      <c r="E10997" s="8">
        <v>0</v>
      </c>
      <c r="F10997" s="8">
        <v>0</v>
      </c>
      <c r="G10997" s="8">
        <v>6</v>
      </c>
      <c r="H10997" s="8" t="s">
        <v>47632</v>
      </c>
      <c r="I10997" s="8">
        <v>527.4375</v>
      </c>
      <c r="J10997" s="3">
        <f t="shared" si="171"/>
        <v>43749.285621041665</v>
      </c>
    </row>
    <row r="10998" spans="1:10" x14ac:dyDescent="0.25">
      <c r="A10998" s="5" t="s">
        <v>47633</v>
      </c>
      <c r="B10998" s="6">
        <v>396.875</v>
      </c>
      <c r="C10998" s="6">
        <v>20.478950000000001</v>
      </c>
      <c r="D10998" s="6">
        <v>70</v>
      </c>
      <c r="E10998" s="6">
        <v>0</v>
      </c>
      <c r="F10998" s="6">
        <v>0</v>
      </c>
      <c r="G10998" s="6">
        <v>2</v>
      </c>
      <c r="H10998" s="6" t="s">
        <v>47634</v>
      </c>
      <c r="I10998" s="6">
        <v>527.4375</v>
      </c>
      <c r="J10998" s="2">
        <f t="shared" si="171"/>
        <v>43749.285692442128</v>
      </c>
    </row>
    <row r="10999" spans="1:10" x14ac:dyDescent="0.25">
      <c r="A10999" s="7" t="s">
        <v>47635</v>
      </c>
      <c r="B10999" s="8">
        <v>400</v>
      </c>
      <c r="C10999" s="8">
        <v>20.478950000000001</v>
      </c>
      <c r="D10999" s="8">
        <v>69</v>
      </c>
      <c r="E10999" s="8">
        <v>0</v>
      </c>
      <c r="F10999" s="8">
        <v>0</v>
      </c>
      <c r="G10999" s="8">
        <v>14</v>
      </c>
      <c r="H10999" s="8" t="s">
        <v>47636</v>
      </c>
      <c r="I10999" s="8">
        <v>528.1875</v>
      </c>
      <c r="J10999" s="3">
        <f t="shared" si="171"/>
        <v>43749.285764131942</v>
      </c>
    </row>
    <row r="11000" spans="1:10" x14ac:dyDescent="0.25">
      <c r="A11000" s="5" t="s">
        <v>47637</v>
      </c>
      <c r="B11000" s="6">
        <v>400</v>
      </c>
      <c r="C11000" s="6">
        <v>20.478950000000001</v>
      </c>
      <c r="D11000" s="6">
        <v>69</v>
      </c>
      <c r="E11000" s="6">
        <v>0</v>
      </c>
      <c r="F11000" s="6">
        <v>0</v>
      </c>
      <c r="G11000" s="6">
        <v>11</v>
      </c>
      <c r="H11000" s="6" t="s">
        <v>47638</v>
      </c>
      <c r="I11000" s="6">
        <v>528.9375</v>
      </c>
      <c r="J11000" s="2">
        <f t="shared" si="171"/>
        <v>43749.285884004632</v>
      </c>
    </row>
    <row r="11001" spans="1:10" x14ac:dyDescent="0.25">
      <c r="A11001" s="7" t="s">
        <v>47639</v>
      </c>
      <c r="B11001" s="8">
        <v>400</v>
      </c>
      <c r="C11001" s="8">
        <v>20.478950000000001</v>
      </c>
      <c r="D11001" s="8">
        <v>70</v>
      </c>
      <c r="E11001" s="8">
        <v>0</v>
      </c>
      <c r="F11001" s="8">
        <v>0</v>
      </c>
      <c r="G11001" s="8">
        <v>10</v>
      </c>
      <c r="H11001" s="8" t="s">
        <v>47640</v>
      </c>
      <c r="I11001" s="8">
        <v>528.9375</v>
      </c>
      <c r="J11001" s="3">
        <f t="shared" si="171"/>
        <v>43749.285955347215</v>
      </c>
    </row>
    <row r="11002" spans="1:10" x14ac:dyDescent="0.25">
      <c r="A11002" s="5" t="s">
        <v>47641</v>
      </c>
      <c r="B11002" s="6">
        <v>403.125</v>
      </c>
      <c r="C11002" s="6">
        <v>20.478950000000001</v>
      </c>
      <c r="D11002" s="6">
        <v>70</v>
      </c>
      <c r="E11002" s="6">
        <v>0</v>
      </c>
      <c r="F11002" s="6">
        <v>0</v>
      </c>
      <c r="G11002" s="6">
        <v>12</v>
      </c>
      <c r="H11002" s="6" t="s">
        <v>47642</v>
      </c>
      <c r="I11002" s="6">
        <v>529.125</v>
      </c>
      <c r="J11002" s="2">
        <f t="shared" si="171"/>
        <v>43749.286026655092</v>
      </c>
    </row>
    <row r="11003" spans="1:10" x14ac:dyDescent="0.25">
      <c r="A11003" s="7" t="s">
        <v>47643</v>
      </c>
      <c r="B11003" s="8">
        <v>400</v>
      </c>
      <c r="C11003" s="8">
        <v>20.426300000000001</v>
      </c>
      <c r="D11003" s="8">
        <v>70</v>
      </c>
      <c r="E11003" s="8">
        <v>0</v>
      </c>
      <c r="F11003" s="8">
        <v>0</v>
      </c>
      <c r="G11003" s="8">
        <v>14</v>
      </c>
      <c r="H11003" s="8" t="s">
        <v>47644</v>
      </c>
      <c r="I11003" s="8">
        <v>528.1875</v>
      </c>
      <c r="J11003" s="3">
        <f t="shared" si="171"/>
        <v>43749.286110092587</v>
      </c>
    </row>
    <row r="11004" spans="1:10" x14ac:dyDescent="0.25">
      <c r="A11004" s="5" t="s">
        <v>47645</v>
      </c>
      <c r="B11004" s="6">
        <v>403.125</v>
      </c>
      <c r="C11004" s="6">
        <v>20.426300000000001</v>
      </c>
      <c r="D11004" s="6">
        <v>72</v>
      </c>
      <c r="E11004" s="6">
        <v>0</v>
      </c>
      <c r="F11004" s="6">
        <v>0</v>
      </c>
      <c r="G11004" s="6">
        <v>9</v>
      </c>
      <c r="H11004" s="6" t="s">
        <v>47646</v>
      </c>
      <c r="I11004" s="6">
        <v>529.125</v>
      </c>
      <c r="J11004" s="2">
        <f t="shared" si="171"/>
        <v>43749.286182199074</v>
      </c>
    </row>
    <row r="11005" spans="1:10" x14ac:dyDescent="0.25">
      <c r="A11005" s="7" t="s">
        <v>47647</v>
      </c>
      <c r="B11005" s="8">
        <v>403.125</v>
      </c>
      <c r="C11005" s="8">
        <v>20.478950000000001</v>
      </c>
      <c r="D11005" s="8">
        <v>71</v>
      </c>
      <c r="E11005" s="8">
        <v>0</v>
      </c>
      <c r="F11005" s="8">
        <v>0</v>
      </c>
      <c r="G11005" s="8">
        <v>14</v>
      </c>
      <c r="H11005" s="8" t="s">
        <v>47648</v>
      </c>
      <c r="I11005" s="8">
        <v>529.125</v>
      </c>
      <c r="J11005" s="3">
        <f t="shared" si="171"/>
        <v>43749.286253090271</v>
      </c>
    </row>
    <row r="11006" spans="1:10" x14ac:dyDescent="0.25">
      <c r="A11006" s="5" t="s">
        <v>47649</v>
      </c>
      <c r="B11006" s="6">
        <v>425</v>
      </c>
      <c r="C11006" s="6">
        <v>20.478950000000001</v>
      </c>
      <c r="D11006" s="6">
        <v>71</v>
      </c>
      <c r="E11006" s="6">
        <v>0</v>
      </c>
      <c r="F11006" s="6">
        <v>0</v>
      </c>
      <c r="G11006" s="6">
        <v>5</v>
      </c>
      <c r="H11006" s="6" t="s">
        <v>47650</v>
      </c>
      <c r="I11006" s="6">
        <v>536.0625</v>
      </c>
      <c r="J11006" s="2">
        <f t="shared" si="171"/>
        <v>43749.286324780092</v>
      </c>
    </row>
    <row r="11007" spans="1:10" x14ac:dyDescent="0.25">
      <c r="A11007" s="7" t="s">
        <v>47651</v>
      </c>
      <c r="B11007" s="8">
        <v>403.125</v>
      </c>
      <c r="C11007" s="8">
        <v>20.478950000000001</v>
      </c>
      <c r="D11007" s="8">
        <v>69</v>
      </c>
      <c r="E11007" s="8">
        <v>0</v>
      </c>
      <c r="F11007" s="8">
        <v>0</v>
      </c>
      <c r="G11007" s="8">
        <v>15</v>
      </c>
      <c r="H11007" s="8" t="s">
        <v>47652</v>
      </c>
      <c r="I11007" s="8">
        <v>529.125</v>
      </c>
      <c r="J11007" s="3">
        <f t="shared" si="171"/>
        <v>43749.286396099538</v>
      </c>
    </row>
    <row r="11008" spans="1:10" x14ac:dyDescent="0.25">
      <c r="A11008" s="5" t="s">
        <v>47653</v>
      </c>
      <c r="B11008" s="6">
        <v>403.125</v>
      </c>
      <c r="C11008" s="6">
        <v>20.478950000000001</v>
      </c>
      <c r="D11008" s="6">
        <v>69</v>
      </c>
      <c r="E11008" s="6">
        <v>0</v>
      </c>
      <c r="F11008" s="6">
        <v>0</v>
      </c>
      <c r="G11008" s="6">
        <v>12</v>
      </c>
      <c r="H11008" s="6" t="s">
        <v>47654</v>
      </c>
      <c r="I11008" s="6">
        <v>529.125</v>
      </c>
      <c r="J11008" s="2">
        <f t="shared" si="171"/>
        <v>43749.286468321756</v>
      </c>
    </row>
    <row r="11009" spans="1:10" x14ac:dyDescent="0.25">
      <c r="A11009" s="7" t="s">
        <v>47655</v>
      </c>
      <c r="B11009" s="8">
        <v>415.625</v>
      </c>
      <c r="C11009" s="8">
        <v>20.426300000000001</v>
      </c>
      <c r="D11009" s="8">
        <v>70</v>
      </c>
      <c r="E11009" s="8">
        <v>0</v>
      </c>
      <c r="F11009" s="8">
        <v>0</v>
      </c>
      <c r="G11009" s="8">
        <v>3</v>
      </c>
      <c r="H11009" s="8" t="s">
        <v>47656</v>
      </c>
      <c r="I11009" s="8">
        <v>533.8125</v>
      </c>
      <c r="J11009" s="3">
        <f t="shared" si="171"/>
        <v>43749.286563634254</v>
      </c>
    </row>
    <row r="11010" spans="1:10" x14ac:dyDescent="0.25">
      <c r="A11010" s="5" t="s">
        <v>47657</v>
      </c>
      <c r="B11010" s="6">
        <v>396.875</v>
      </c>
      <c r="C11010" s="6">
        <v>20.426300000000001</v>
      </c>
      <c r="D11010" s="6">
        <v>69</v>
      </c>
      <c r="E11010" s="6">
        <v>0</v>
      </c>
      <c r="F11010" s="6">
        <v>0</v>
      </c>
      <c r="G11010" s="6">
        <v>6</v>
      </c>
      <c r="H11010" s="6" t="s">
        <v>47658</v>
      </c>
      <c r="I11010" s="6">
        <v>527.4375</v>
      </c>
      <c r="J11010" s="2">
        <f t="shared" ref="J11010:J11073" si="172">(H11010/86400000)+25569+(7/24)</f>
        <v>43749.286634930548</v>
      </c>
    </row>
    <row r="11011" spans="1:10" x14ac:dyDescent="0.25">
      <c r="A11011" s="7" t="s">
        <v>47659</v>
      </c>
      <c r="B11011" s="8">
        <v>396.875</v>
      </c>
      <c r="C11011" s="8">
        <v>20.426300000000001</v>
      </c>
      <c r="D11011" s="8">
        <v>69</v>
      </c>
      <c r="E11011" s="8">
        <v>0</v>
      </c>
      <c r="F11011" s="8">
        <v>0</v>
      </c>
      <c r="G11011" s="8">
        <v>6</v>
      </c>
      <c r="H11011" s="8" t="s">
        <v>47660</v>
      </c>
      <c r="I11011" s="8">
        <v>527.4375</v>
      </c>
      <c r="J11011" s="3">
        <f t="shared" si="172"/>
        <v>43749.286706284714</v>
      </c>
    </row>
    <row r="11012" spans="1:10" x14ac:dyDescent="0.25">
      <c r="A11012" s="5" t="s">
        <v>47661</v>
      </c>
      <c r="B11012" s="6">
        <v>396.875</v>
      </c>
      <c r="C11012" s="6">
        <v>20.478950000000001</v>
      </c>
      <c r="D11012" s="6">
        <v>70</v>
      </c>
      <c r="E11012" s="6">
        <v>0</v>
      </c>
      <c r="F11012" s="6">
        <v>0</v>
      </c>
      <c r="G11012" s="6">
        <v>12</v>
      </c>
      <c r="H11012" s="6" t="s">
        <v>47662</v>
      </c>
      <c r="I11012" s="6">
        <v>527.4375</v>
      </c>
      <c r="J11012" s="2">
        <f t="shared" si="172"/>
        <v>43749.286780254632</v>
      </c>
    </row>
    <row r="11013" spans="1:10" x14ac:dyDescent="0.25">
      <c r="A11013" s="7" t="s">
        <v>47663</v>
      </c>
      <c r="B11013" s="8">
        <v>415.625</v>
      </c>
      <c r="C11013" s="8">
        <v>20.478950000000001</v>
      </c>
      <c r="D11013" s="8">
        <v>70</v>
      </c>
      <c r="E11013" s="8">
        <v>0</v>
      </c>
      <c r="F11013" s="8">
        <v>0</v>
      </c>
      <c r="G11013" s="8">
        <v>10</v>
      </c>
      <c r="H11013" s="8" t="s">
        <v>47664</v>
      </c>
      <c r="I11013" s="8">
        <v>533.0625</v>
      </c>
      <c r="J11013" s="3">
        <f t="shared" si="172"/>
        <v>43749.286848935182</v>
      </c>
    </row>
    <row r="11014" spans="1:10" x14ac:dyDescent="0.25">
      <c r="A11014" s="5" t="s">
        <v>47665</v>
      </c>
      <c r="B11014" s="6">
        <v>396.875</v>
      </c>
      <c r="C11014" s="6">
        <v>20.426300000000001</v>
      </c>
      <c r="D11014" s="6">
        <v>70</v>
      </c>
      <c r="E11014" s="6">
        <v>0</v>
      </c>
      <c r="F11014" s="6">
        <v>0</v>
      </c>
      <c r="G11014" s="6">
        <v>9</v>
      </c>
      <c r="H11014" s="6" t="s">
        <v>47666</v>
      </c>
      <c r="I11014" s="6">
        <v>527.4375</v>
      </c>
      <c r="J11014" s="2">
        <f t="shared" si="172"/>
        <v>43749.286933136573</v>
      </c>
    </row>
    <row r="11015" spans="1:10" x14ac:dyDescent="0.25">
      <c r="A11015" s="7" t="s">
        <v>47667</v>
      </c>
      <c r="B11015" s="8">
        <v>396.875</v>
      </c>
      <c r="C11015" s="8">
        <v>20.478950000000001</v>
      </c>
      <c r="D11015" s="8">
        <v>71</v>
      </c>
      <c r="E11015" s="8">
        <v>0</v>
      </c>
      <c r="F11015" s="8">
        <v>0</v>
      </c>
      <c r="G11015" s="8">
        <v>10</v>
      </c>
      <c r="H11015" s="8" t="s">
        <v>47668</v>
      </c>
      <c r="I11015" s="8">
        <v>527.4375</v>
      </c>
      <c r="J11015" s="3">
        <f t="shared" si="172"/>
        <v>43749.287004432867</v>
      </c>
    </row>
    <row r="11016" spans="1:10" x14ac:dyDescent="0.25">
      <c r="A11016" s="5" t="s">
        <v>47669</v>
      </c>
      <c r="B11016" s="6">
        <v>396.875</v>
      </c>
      <c r="C11016" s="6">
        <v>20.478950000000001</v>
      </c>
      <c r="D11016" s="6">
        <v>72</v>
      </c>
      <c r="E11016" s="6">
        <v>0</v>
      </c>
      <c r="F11016" s="6">
        <v>0</v>
      </c>
      <c r="G11016" s="6">
        <v>10</v>
      </c>
      <c r="H11016" s="6" t="s">
        <v>47670</v>
      </c>
      <c r="I11016" s="6">
        <v>527.4375</v>
      </c>
      <c r="J11016" s="2">
        <f t="shared" si="172"/>
        <v>43749.287076469904</v>
      </c>
    </row>
    <row r="11017" spans="1:10" x14ac:dyDescent="0.25">
      <c r="A11017" s="7" t="s">
        <v>47671</v>
      </c>
      <c r="B11017" s="8">
        <v>396.875</v>
      </c>
      <c r="C11017" s="8">
        <v>20.478950000000001</v>
      </c>
      <c r="D11017" s="8">
        <v>72</v>
      </c>
      <c r="E11017" s="8">
        <v>0</v>
      </c>
      <c r="F11017" s="8">
        <v>0</v>
      </c>
      <c r="G11017" s="8">
        <v>12</v>
      </c>
      <c r="H11017" s="8" t="s">
        <v>47672</v>
      </c>
      <c r="I11017" s="8">
        <v>527.4375</v>
      </c>
      <c r="J11017" s="3">
        <f t="shared" si="172"/>
        <v>43749.287147893519</v>
      </c>
    </row>
    <row r="11018" spans="1:10" x14ac:dyDescent="0.25">
      <c r="A11018" s="5" t="s">
        <v>47673</v>
      </c>
      <c r="B11018" s="6">
        <v>400</v>
      </c>
      <c r="C11018" s="6">
        <v>20.478950000000001</v>
      </c>
      <c r="D11018" s="6">
        <v>72</v>
      </c>
      <c r="E11018" s="6">
        <v>0</v>
      </c>
      <c r="F11018" s="6">
        <v>0</v>
      </c>
      <c r="G11018" s="6">
        <v>11</v>
      </c>
      <c r="H11018" s="6" t="s">
        <v>47674</v>
      </c>
      <c r="I11018" s="6">
        <v>528.9375</v>
      </c>
      <c r="J11018" s="2">
        <f t="shared" si="172"/>
        <v>43749.287219247686</v>
      </c>
    </row>
    <row r="11019" spans="1:10" x14ac:dyDescent="0.25">
      <c r="A11019" s="7" t="s">
        <v>47675</v>
      </c>
      <c r="B11019" s="8">
        <v>400</v>
      </c>
      <c r="C11019" s="8">
        <v>20.478950000000001</v>
      </c>
      <c r="D11019" s="8">
        <v>71</v>
      </c>
      <c r="E11019" s="8">
        <v>0</v>
      </c>
      <c r="F11019" s="8">
        <v>0</v>
      </c>
      <c r="G11019" s="8">
        <v>5</v>
      </c>
      <c r="H11019" s="8" t="s">
        <v>47676</v>
      </c>
      <c r="I11019" s="8">
        <v>528.1875</v>
      </c>
      <c r="J11019" s="3">
        <f t="shared" si="172"/>
        <v>43749.287290497683</v>
      </c>
    </row>
    <row r="11020" spans="1:10" x14ac:dyDescent="0.25">
      <c r="A11020" s="5" t="s">
        <v>47677</v>
      </c>
      <c r="B11020" s="6">
        <v>400</v>
      </c>
      <c r="C11020" s="6">
        <v>20.478950000000001</v>
      </c>
      <c r="D11020" s="6">
        <v>71</v>
      </c>
      <c r="E11020" s="6">
        <v>0</v>
      </c>
      <c r="F11020" s="6">
        <v>0</v>
      </c>
      <c r="G11020" s="6">
        <v>12</v>
      </c>
      <c r="H11020" s="6" t="s">
        <v>47678</v>
      </c>
      <c r="I11020" s="6">
        <v>528.1875</v>
      </c>
      <c r="J11020" s="2">
        <f t="shared" si="172"/>
        <v>43749.287362881943</v>
      </c>
    </row>
    <row r="11021" spans="1:10" x14ac:dyDescent="0.25">
      <c r="A11021" s="7" t="s">
        <v>47679</v>
      </c>
      <c r="B11021" s="8">
        <v>403.125</v>
      </c>
      <c r="C11021" s="8">
        <v>20.478950000000001</v>
      </c>
      <c r="D11021" s="8">
        <v>68</v>
      </c>
      <c r="E11021" s="8">
        <v>0</v>
      </c>
      <c r="F11021" s="8">
        <v>0</v>
      </c>
      <c r="G11021" s="8">
        <v>8</v>
      </c>
      <c r="H11021" s="8" t="s">
        <v>47680</v>
      </c>
      <c r="I11021" s="8">
        <v>529.125</v>
      </c>
      <c r="J11021" s="3">
        <f t="shared" si="172"/>
        <v>43749.287433981481</v>
      </c>
    </row>
    <row r="11022" spans="1:10" x14ac:dyDescent="0.25">
      <c r="A11022" s="5" t="s">
        <v>47681</v>
      </c>
      <c r="B11022" s="6">
        <v>403.125</v>
      </c>
      <c r="C11022" s="6">
        <v>20.478950000000001</v>
      </c>
      <c r="D11022" s="6">
        <v>68</v>
      </c>
      <c r="E11022" s="6">
        <v>0</v>
      </c>
      <c r="F11022" s="6">
        <v>0</v>
      </c>
      <c r="G11022" s="6">
        <v>15</v>
      </c>
      <c r="H11022" s="6" t="s">
        <v>47682</v>
      </c>
      <c r="I11022" s="6">
        <v>529.875</v>
      </c>
      <c r="J11022" s="2">
        <f t="shared" si="172"/>
        <v>43749.287505347216</v>
      </c>
    </row>
    <row r="11023" spans="1:10" x14ac:dyDescent="0.25">
      <c r="A11023" s="7" t="s">
        <v>47683</v>
      </c>
      <c r="B11023" s="8">
        <v>403.125</v>
      </c>
      <c r="C11023" s="8">
        <v>20.478950000000001</v>
      </c>
      <c r="D11023" s="8">
        <v>68</v>
      </c>
      <c r="E11023" s="8">
        <v>0</v>
      </c>
      <c r="F11023" s="8">
        <v>0</v>
      </c>
      <c r="G11023" s="8">
        <v>10</v>
      </c>
      <c r="H11023" s="8" t="s">
        <v>47684</v>
      </c>
      <c r="I11023" s="8">
        <v>529.875</v>
      </c>
      <c r="J11023" s="3">
        <f t="shared" si="172"/>
        <v>43749.287576701383</v>
      </c>
    </row>
    <row r="11024" spans="1:10" x14ac:dyDescent="0.25">
      <c r="A11024" s="5" t="s">
        <v>47685</v>
      </c>
      <c r="B11024" s="6">
        <v>403.125</v>
      </c>
      <c r="C11024" s="6">
        <v>20.478950000000001</v>
      </c>
      <c r="D11024" s="6">
        <v>68</v>
      </c>
      <c r="E11024" s="6">
        <v>0</v>
      </c>
      <c r="F11024" s="6">
        <v>0</v>
      </c>
      <c r="G11024" s="6">
        <v>5</v>
      </c>
      <c r="H11024" s="6" t="s">
        <v>47686</v>
      </c>
      <c r="I11024" s="6">
        <v>529.875</v>
      </c>
      <c r="J11024" s="2">
        <f t="shared" si="172"/>
        <v>43749.287647997684</v>
      </c>
    </row>
    <row r="11025" spans="1:10" x14ac:dyDescent="0.25">
      <c r="A11025" s="7" t="s">
        <v>47687</v>
      </c>
      <c r="B11025" s="8">
        <v>428.125</v>
      </c>
      <c r="C11025" s="8">
        <v>20.478950000000001</v>
      </c>
      <c r="D11025" s="8">
        <v>68</v>
      </c>
      <c r="E11025" s="8">
        <v>0</v>
      </c>
      <c r="F11025" s="8">
        <v>0</v>
      </c>
      <c r="G11025" s="8">
        <v>11</v>
      </c>
      <c r="H11025" s="8" t="s">
        <v>47688</v>
      </c>
      <c r="I11025" s="8">
        <v>537.5625</v>
      </c>
      <c r="J11025" s="3">
        <f t="shared" si="172"/>
        <v>43749.287719826381</v>
      </c>
    </row>
    <row r="11026" spans="1:10" x14ac:dyDescent="0.25">
      <c r="A11026" s="5" t="s">
        <v>47689</v>
      </c>
      <c r="B11026" s="6">
        <v>403.125</v>
      </c>
      <c r="C11026" s="6">
        <v>20.478950000000001</v>
      </c>
      <c r="D11026" s="6">
        <v>68</v>
      </c>
      <c r="E11026" s="6">
        <v>0</v>
      </c>
      <c r="F11026" s="6">
        <v>0</v>
      </c>
      <c r="G11026" s="6">
        <v>1</v>
      </c>
      <c r="H11026" s="6" t="s">
        <v>47690</v>
      </c>
      <c r="I11026" s="6">
        <v>529.125</v>
      </c>
      <c r="J11026" s="2">
        <f t="shared" si="172"/>
        <v>43749.287791481482</v>
      </c>
    </row>
    <row r="11027" spans="1:10" x14ac:dyDescent="0.25">
      <c r="A11027" s="7" t="s">
        <v>47691</v>
      </c>
      <c r="B11027" s="8">
        <v>400</v>
      </c>
      <c r="C11027" s="8">
        <v>20.478950000000001</v>
      </c>
      <c r="D11027" s="8">
        <v>68</v>
      </c>
      <c r="E11027" s="8">
        <v>0</v>
      </c>
      <c r="F11027" s="8">
        <v>0</v>
      </c>
      <c r="G11027" s="8">
        <v>14</v>
      </c>
      <c r="H11027" s="8" t="s">
        <v>47692</v>
      </c>
      <c r="I11027" s="8">
        <v>528.9375</v>
      </c>
      <c r="J11027" s="3">
        <f t="shared" si="172"/>
        <v>43749.287863506943</v>
      </c>
    </row>
    <row r="11028" spans="1:10" x14ac:dyDescent="0.25">
      <c r="A11028" s="5" t="s">
        <v>47693</v>
      </c>
      <c r="B11028" s="6">
        <v>403.125</v>
      </c>
      <c r="C11028" s="6">
        <v>20.478950000000001</v>
      </c>
      <c r="D11028" s="6">
        <v>69</v>
      </c>
      <c r="E11028" s="6">
        <v>0</v>
      </c>
      <c r="F11028" s="6">
        <v>0</v>
      </c>
      <c r="G11028" s="6">
        <v>9</v>
      </c>
      <c r="H11028" s="6" t="s">
        <v>47694</v>
      </c>
      <c r="I11028" s="6">
        <v>529.125</v>
      </c>
      <c r="J11028" s="2">
        <f t="shared" si="172"/>
        <v>43749.287934942127</v>
      </c>
    </row>
    <row r="11029" spans="1:10" x14ac:dyDescent="0.25">
      <c r="A11029" s="7" t="s">
        <v>47695</v>
      </c>
      <c r="B11029" s="8">
        <v>400</v>
      </c>
      <c r="C11029" s="8">
        <v>20.426300000000001</v>
      </c>
      <c r="D11029" s="8">
        <v>69</v>
      </c>
      <c r="E11029" s="8">
        <v>0</v>
      </c>
      <c r="F11029" s="8">
        <v>0</v>
      </c>
      <c r="G11029" s="8">
        <v>11</v>
      </c>
      <c r="H11029" s="8" t="s">
        <v>47696</v>
      </c>
      <c r="I11029" s="8">
        <v>528.9375</v>
      </c>
      <c r="J11029" s="3">
        <f t="shared" si="172"/>
        <v>43749.288017858795</v>
      </c>
    </row>
    <row r="11030" spans="1:10" x14ac:dyDescent="0.25">
      <c r="A11030" s="5" t="s">
        <v>47697</v>
      </c>
      <c r="B11030" s="6">
        <v>403.125</v>
      </c>
      <c r="C11030" s="6">
        <v>20.478950000000001</v>
      </c>
      <c r="D11030" s="6">
        <v>69</v>
      </c>
      <c r="E11030" s="6">
        <v>0</v>
      </c>
      <c r="F11030" s="6">
        <v>0</v>
      </c>
      <c r="G11030" s="6">
        <v>7</v>
      </c>
      <c r="H11030" s="6" t="s">
        <v>47698</v>
      </c>
      <c r="I11030" s="6">
        <v>529.125</v>
      </c>
      <c r="J11030" s="2">
        <f t="shared" si="172"/>
        <v>43749.288089745365</v>
      </c>
    </row>
    <row r="11031" spans="1:10" x14ac:dyDescent="0.25">
      <c r="A11031" s="7" t="s">
        <v>47699</v>
      </c>
      <c r="B11031" s="8">
        <v>403.125</v>
      </c>
      <c r="C11031" s="8">
        <v>20.478950000000001</v>
      </c>
      <c r="D11031" s="8">
        <v>69</v>
      </c>
      <c r="E11031" s="8">
        <v>0</v>
      </c>
      <c r="F11031" s="8">
        <v>0</v>
      </c>
      <c r="G11031" s="8">
        <v>1</v>
      </c>
      <c r="H11031" s="8" t="s">
        <v>47700</v>
      </c>
      <c r="I11031" s="8">
        <v>529.125</v>
      </c>
      <c r="J11031" s="3">
        <f t="shared" si="172"/>
        <v>43749.288161666664</v>
      </c>
    </row>
    <row r="11032" spans="1:10" x14ac:dyDescent="0.25">
      <c r="A11032" s="5" t="s">
        <v>47701</v>
      </c>
      <c r="B11032" s="6">
        <v>400</v>
      </c>
      <c r="C11032" s="6">
        <v>20.478950000000001</v>
      </c>
      <c r="D11032" s="6">
        <v>68</v>
      </c>
      <c r="E11032" s="6">
        <v>0</v>
      </c>
      <c r="F11032" s="6">
        <v>0</v>
      </c>
      <c r="G11032" s="6">
        <v>1</v>
      </c>
      <c r="H11032" s="6" t="s">
        <v>47702</v>
      </c>
      <c r="I11032" s="6">
        <v>528.9375</v>
      </c>
      <c r="J11032" s="2">
        <f t="shared" si="172"/>
        <v>43749.288233159721</v>
      </c>
    </row>
    <row r="11033" spans="1:10" x14ac:dyDescent="0.25">
      <c r="A11033" s="7" t="s">
        <v>47703</v>
      </c>
      <c r="B11033" s="8">
        <v>418.75</v>
      </c>
      <c r="C11033" s="8">
        <v>20.426300000000001</v>
      </c>
      <c r="D11033" s="8">
        <v>69</v>
      </c>
      <c r="E11033" s="8">
        <v>0</v>
      </c>
      <c r="F11033" s="8">
        <v>0</v>
      </c>
      <c r="G11033" s="8">
        <v>10</v>
      </c>
      <c r="H11033" s="8" t="s">
        <v>47704</v>
      </c>
      <c r="I11033" s="8">
        <v>534.5625</v>
      </c>
      <c r="J11033" s="3">
        <f t="shared" si="172"/>
        <v>43749.28831762731</v>
      </c>
    </row>
    <row r="11034" spans="1:10" x14ac:dyDescent="0.25">
      <c r="A11034" s="5" t="s">
        <v>47705</v>
      </c>
      <c r="B11034" s="6">
        <v>403.125</v>
      </c>
      <c r="C11034" s="6">
        <v>20.478950000000001</v>
      </c>
      <c r="D11034" s="6">
        <v>69</v>
      </c>
      <c r="E11034" s="6">
        <v>0</v>
      </c>
      <c r="F11034" s="6">
        <v>0</v>
      </c>
      <c r="G11034" s="6">
        <v>9</v>
      </c>
      <c r="H11034" s="6" t="s">
        <v>47706</v>
      </c>
      <c r="I11034" s="6">
        <v>529.125</v>
      </c>
      <c r="J11034" s="2">
        <f t="shared" si="172"/>
        <v>43749.28838770833</v>
      </c>
    </row>
    <row r="11035" spans="1:10" x14ac:dyDescent="0.25">
      <c r="A11035" s="7" t="s">
        <v>47707</v>
      </c>
      <c r="B11035" s="8">
        <v>403.125</v>
      </c>
      <c r="C11035" s="8">
        <v>20.478950000000001</v>
      </c>
      <c r="D11035" s="8">
        <v>69</v>
      </c>
      <c r="E11035" s="8">
        <v>0</v>
      </c>
      <c r="F11035" s="8">
        <v>0</v>
      </c>
      <c r="G11035" s="8">
        <v>15</v>
      </c>
      <c r="H11035" s="8" t="s">
        <v>47708</v>
      </c>
      <c r="I11035" s="8">
        <v>529.125</v>
      </c>
      <c r="J11035" s="3">
        <f t="shared" si="172"/>
        <v>43749.288459756943</v>
      </c>
    </row>
    <row r="11036" spans="1:10" x14ac:dyDescent="0.25">
      <c r="A11036" s="5" t="s">
        <v>47709</v>
      </c>
      <c r="B11036" s="6">
        <v>403.125</v>
      </c>
      <c r="C11036" s="6">
        <v>20.478950000000001</v>
      </c>
      <c r="D11036" s="6">
        <v>69</v>
      </c>
      <c r="E11036" s="6">
        <v>0</v>
      </c>
      <c r="F11036" s="6">
        <v>0</v>
      </c>
      <c r="G11036" s="6">
        <v>12</v>
      </c>
      <c r="H11036" s="6" t="s">
        <v>47710</v>
      </c>
      <c r="I11036" s="6">
        <v>529.125</v>
      </c>
      <c r="J11036" s="2">
        <f t="shared" si="172"/>
        <v>43749.288544131945</v>
      </c>
    </row>
    <row r="11037" spans="1:10" x14ac:dyDescent="0.25">
      <c r="A11037" s="7" t="s">
        <v>47711</v>
      </c>
      <c r="B11037" s="8">
        <v>400</v>
      </c>
      <c r="C11037" s="8">
        <v>20.426300000000001</v>
      </c>
      <c r="D11037" s="8">
        <v>70</v>
      </c>
      <c r="E11037" s="8">
        <v>0</v>
      </c>
      <c r="F11037" s="8">
        <v>0</v>
      </c>
      <c r="G11037" s="8">
        <v>6</v>
      </c>
      <c r="H11037" s="8" t="s">
        <v>47712</v>
      </c>
      <c r="I11037" s="8">
        <v>528.9375</v>
      </c>
      <c r="J11037" s="3">
        <f t="shared" si="172"/>
        <v>43749.288614560188</v>
      </c>
    </row>
    <row r="11038" spans="1:10" x14ac:dyDescent="0.25">
      <c r="A11038" s="5" t="s">
        <v>47713</v>
      </c>
      <c r="B11038" s="6">
        <v>403.125</v>
      </c>
      <c r="C11038" s="6">
        <v>20.478950000000001</v>
      </c>
      <c r="D11038" s="6">
        <v>70</v>
      </c>
      <c r="E11038" s="6">
        <v>0</v>
      </c>
      <c r="F11038" s="6">
        <v>0</v>
      </c>
      <c r="G11038" s="6">
        <v>13</v>
      </c>
      <c r="H11038" s="6" t="s">
        <v>47714</v>
      </c>
      <c r="I11038" s="6">
        <v>529.125</v>
      </c>
      <c r="J11038" s="2">
        <f t="shared" si="172"/>
        <v>43749.288685856482</v>
      </c>
    </row>
    <row r="11039" spans="1:10" x14ac:dyDescent="0.25">
      <c r="A11039" s="7" t="s">
        <v>47715</v>
      </c>
      <c r="B11039" s="8">
        <v>403.125</v>
      </c>
      <c r="C11039" s="8">
        <v>20.478950000000001</v>
      </c>
      <c r="D11039" s="8">
        <v>68</v>
      </c>
      <c r="E11039" s="8">
        <v>0</v>
      </c>
      <c r="F11039" s="8">
        <v>0</v>
      </c>
      <c r="G11039" s="8">
        <v>7</v>
      </c>
      <c r="H11039" s="8" t="s">
        <v>47716</v>
      </c>
      <c r="I11039" s="8">
        <v>529.125</v>
      </c>
      <c r="J11039" s="3">
        <f t="shared" si="172"/>
        <v>43749.28875728009</v>
      </c>
    </row>
    <row r="11040" spans="1:10" x14ac:dyDescent="0.25">
      <c r="A11040" s="5" t="s">
        <v>47717</v>
      </c>
      <c r="B11040" s="6">
        <v>418.75</v>
      </c>
      <c r="C11040" s="6">
        <v>20.478950000000001</v>
      </c>
      <c r="D11040" s="6">
        <v>69</v>
      </c>
      <c r="E11040" s="6">
        <v>0</v>
      </c>
      <c r="F11040" s="6">
        <v>0</v>
      </c>
      <c r="G11040" s="6">
        <v>1</v>
      </c>
      <c r="H11040" s="6" t="s">
        <v>47718</v>
      </c>
      <c r="I11040" s="6">
        <v>534.5625</v>
      </c>
      <c r="J11040" s="2">
        <f t="shared" si="172"/>
        <v>43749.288829305551</v>
      </c>
    </row>
    <row r="11041" spans="1:10" x14ac:dyDescent="0.25">
      <c r="A11041" s="7" t="s">
        <v>47719</v>
      </c>
      <c r="B11041" s="8">
        <v>400</v>
      </c>
      <c r="C11041" s="8">
        <v>20.478950000000001</v>
      </c>
      <c r="D11041" s="8">
        <v>69</v>
      </c>
      <c r="E11041" s="8">
        <v>0</v>
      </c>
      <c r="F11041" s="8">
        <v>0</v>
      </c>
      <c r="G11041" s="8">
        <v>5</v>
      </c>
      <c r="H11041" s="8" t="s">
        <v>47720</v>
      </c>
      <c r="I11041" s="8">
        <v>528.9375</v>
      </c>
      <c r="J11041" s="3">
        <f t="shared" si="172"/>
        <v>43749.28890068287</v>
      </c>
    </row>
    <row r="11042" spans="1:10" x14ac:dyDescent="0.25">
      <c r="A11042" s="5" t="s">
        <v>47721</v>
      </c>
      <c r="B11042" s="6">
        <v>403.125</v>
      </c>
      <c r="C11042" s="6">
        <v>20.478950000000001</v>
      </c>
      <c r="D11042" s="6">
        <v>70</v>
      </c>
      <c r="E11042" s="6">
        <v>0</v>
      </c>
      <c r="F11042" s="6">
        <v>0</v>
      </c>
      <c r="G11042" s="6">
        <v>11</v>
      </c>
      <c r="H11042" s="6" t="s">
        <v>47722</v>
      </c>
      <c r="I11042" s="6">
        <v>529.875</v>
      </c>
      <c r="J11042" s="2">
        <f t="shared" si="172"/>
        <v>43749.288971944443</v>
      </c>
    </row>
    <row r="11043" spans="1:10" x14ac:dyDescent="0.25">
      <c r="A11043" s="7" t="s">
        <v>47723</v>
      </c>
      <c r="B11043" s="8">
        <v>403.125</v>
      </c>
      <c r="C11043" s="8">
        <v>20.478950000000001</v>
      </c>
      <c r="D11043" s="8">
        <v>69</v>
      </c>
      <c r="E11043" s="8">
        <v>0</v>
      </c>
      <c r="F11043" s="8">
        <v>0</v>
      </c>
      <c r="G11043" s="8">
        <v>9</v>
      </c>
      <c r="H11043" s="8" t="s">
        <v>47724</v>
      </c>
      <c r="I11043" s="8">
        <v>529.875</v>
      </c>
      <c r="J11043" s="3">
        <f t="shared" si="172"/>
        <v>43749.289044201381</v>
      </c>
    </row>
    <row r="11044" spans="1:10" x14ac:dyDescent="0.25">
      <c r="A11044" s="5" t="s">
        <v>47725</v>
      </c>
      <c r="B11044" s="6">
        <v>428.125</v>
      </c>
      <c r="C11044" s="6">
        <v>20.478950000000001</v>
      </c>
      <c r="D11044" s="6">
        <v>69</v>
      </c>
      <c r="E11044" s="6">
        <v>0</v>
      </c>
      <c r="F11044" s="6">
        <v>0</v>
      </c>
      <c r="G11044" s="6">
        <v>7</v>
      </c>
      <c r="H11044" s="6" t="s">
        <v>47726</v>
      </c>
      <c r="I11044" s="6">
        <v>537</v>
      </c>
      <c r="J11044" s="2">
        <f t="shared" si="172"/>
        <v>43749.289115486106</v>
      </c>
    </row>
    <row r="11045" spans="1:10" x14ac:dyDescent="0.25">
      <c r="A11045" s="7" t="s">
        <v>47727</v>
      </c>
      <c r="B11045" s="8">
        <v>406.25</v>
      </c>
      <c r="C11045" s="8">
        <v>20.478950000000001</v>
      </c>
      <c r="D11045" s="8">
        <v>69</v>
      </c>
      <c r="E11045" s="8">
        <v>0</v>
      </c>
      <c r="F11045" s="8">
        <v>0</v>
      </c>
      <c r="G11045" s="8">
        <v>11</v>
      </c>
      <c r="H11045" s="8" t="s">
        <v>47728</v>
      </c>
      <c r="I11045" s="8">
        <v>530.625</v>
      </c>
      <c r="J11045" s="3">
        <f t="shared" si="172"/>
        <v>43749.2891867824</v>
      </c>
    </row>
    <row r="11046" spans="1:10" x14ac:dyDescent="0.25">
      <c r="A11046" s="5" t="s">
        <v>47729</v>
      </c>
      <c r="B11046" s="6">
        <v>406.25</v>
      </c>
      <c r="C11046" s="6">
        <v>20.478950000000001</v>
      </c>
      <c r="D11046" s="6">
        <v>70</v>
      </c>
      <c r="E11046" s="6">
        <v>0</v>
      </c>
      <c r="F11046" s="6">
        <v>0</v>
      </c>
      <c r="G11046" s="6">
        <v>9</v>
      </c>
      <c r="H11046" s="6" t="s">
        <v>47730</v>
      </c>
      <c r="I11046" s="6">
        <v>530.625</v>
      </c>
      <c r="J11046" s="2">
        <f t="shared" si="172"/>
        <v>43749.28925819444</v>
      </c>
    </row>
    <row r="11047" spans="1:10" x14ac:dyDescent="0.25">
      <c r="A11047" s="7" t="s">
        <v>47731</v>
      </c>
      <c r="B11047" s="8">
        <v>406.25</v>
      </c>
      <c r="C11047" s="8">
        <v>20.426300000000001</v>
      </c>
      <c r="D11047" s="8">
        <v>65</v>
      </c>
      <c r="E11047" s="8">
        <v>0</v>
      </c>
      <c r="F11047" s="8">
        <v>0</v>
      </c>
      <c r="G11047" s="8">
        <v>10</v>
      </c>
      <c r="H11047" s="8" t="s">
        <v>47732</v>
      </c>
      <c r="I11047" s="8">
        <v>530.625</v>
      </c>
      <c r="J11047" s="3">
        <f t="shared" si="172"/>
        <v>43749.289329722218</v>
      </c>
    </row>
    <row r="11048" spans="1:10" x14ac:dyDescent="0.25">
      <c r="A11048" s="5" t="s">
        <v>47733</v>
      </c>
      <c r="B11048" s="6">
        <v>403.125</v>
      </c>
      <c r="C11048" s="6">
        <v>20.478950000000001</v>
      </c>
      <c r="D11048" s="6">
        <v>70</v>
      </c>
      <c r="E11048" s="6">
        <v>0</v>
      </c>
      <c r="F11048" s="6">
        <v>0</v>
      </c>
      <c r="G11048" s="6">
        <v>7</v>
      </c>
      <c r="H11048" s="6" t="s">
        <v>47734</v>
      </c>
      <c r="I11048" s="6">
        <v>529.875</v>
      </c>
      <c r="J11048" s="2">
        <f t="shared" si="172"/>
        <v>43749.289401516202</v>
      </c>
    </row>
    <row r="11049" spans="1:10" x14ac:dyDescent="0.25">
      <c r="A11049" s="7" t="s">
        <v>47735</v>
      </c>
      <c r="B11049" s="8">
        <v>403.125</v>
      </c>
      <c r="C11049" s="8">
        <v>20.478950000000001</v>
      </c>
      <c r="D11049" s="8">
        <v>70</v>
      </c>
      <c r="E11049" s="8">
        <v>0</v>
      </c>
      <c r="F11049" s="8">
        <v>0</v>
      </c>
      <c r="G11049" s="8">
        <v>10</v>
      </c>
      <c r="H11049" s="8" t="s">
        <v>47736</v>
      </c>
      <c r="I11049" s="8">
        <v>529.875</v>
      </c>
      <c r="J11049" s="3">
        <f t="shared" si="172"/>
        <v>43749.289472870369</v>
      </c>
    </row>
    <row r="11050" spans="1:10" x14ac:dyDescent="0.25">
      <c r="A11050" s="5" t="s">
        <v>47737</v>
      </c>
      <c r="B11050" s="6">
        <v>400</v>
      </c>
      <c r="C11050" s="6">
        <v>20.426300000000001</v>
      </c>
      <c r="D11050" s="6">
        <v>70</v>
      </c>
      <c r="E11050" s="6">
        <v>0</v>
      </c>
      <c r="F11050" s="6">
        <v>0</v>
      </c>
      <c r="G11050" s="6">
        <v>15</v>
      </c>
      <c r="H11050" s="6" t="s">
        <v>47738</v>
      </c>
      <c r="I11050" s="6">
        <v>528.9375</v>
      </c>
      <c r="J11050" s="2">
        <f t="shared" si="172"/>
        <v>43749.289547337961</v>
      </c>
    </row>
    <row r="11051" spans="1:10" x14ac:dyDescent="0.25">
      <c r="A11051" s="7" t="s">
        <v>47739</v>
      </c>
      <c r="B11051" s="8">
        <v>400</v>
      </c>
      <c r="C11051" s="8">
        <v>20.478950000000001</v>
      </c>
      <c r="D11051" s="8">
        <v>70</v>
      </c>
      <c r="E11051" s="8">
        <v>0</v>
      </c>
      <c r="F11051" s="8">
        <v>0</v>
      </c>
      <c r="G11051" s="8">
        <v>7</v>
      </c>
      <c r="H11051" s="8" t="s">
        <v>47740</v>
      </c>
      <c r="I11051" s="8">
        <v>528.9375</v>
      </c>
      <c r="J11051" s="3">
        <f t="shared" si="172"/>
        <v>43749.289628391205</v>
      </c>
    </row>
    <row r="11052" spans="1:10" x14ac:dyDescent="0.25">
      <c r="A11052" s="5" t="s">
        <v>47741</v>
      </c>
      <c r="B11052" s="6">
        <v>418.75</v>
      </c>
      <c r="C11052" s="6">
        <v>20.478950000000001</v>
      </c>
      <c r="D11052" s="6">
        <v>69</v>
      </c>
      <c r="E11052" s="6">
        <v>0</v>
      </c>
      <c r="F11052" s="6">
        <v>0</v>
      </c>
      <c r="G11052" s="6">
        <v>7</v>
      </c>
      <c r="H11052" s="6" t="s">
        <v>47742</v>
      </c>
      <c r="I11052" s="6">
        <v>534.75</v>
      </c>
      <c r="J11052" s="2">
        <f t="shared" si="172"/>
        <v>43749.289699664347</v>
      </c>
    </row>
    <row r="11053" spans="1:10" x14ac:dyDescent="0.25">
      <c r="A11053" s="7" t="s">
        <v>47743</v>
      </c>
      <c r="B11053" s="8">
        <v>403.125</v>
      </c>
      <c r="C11053" s="8">
        <v>20.478950000000001</v>
      </c>
      <c r="D11053" s="8">
        <v>69</v>
      </c>
      <c r="E11053" s="8">
        <v>0</v>
      </c>
      <c r="F11053" s="8">
        <v>0</v>
      </c>
      <c r="G11053" s="8">
        <v>7</v>
      </c>
      <c r="H11053" s="8" t="s">
        <v>47744</v>
      </c>
      <c r="I11053" s="8">
        <v>529.125</v>
      </c>
      <c r="J11053" s="3">
        <f t="shared" si="172"/>
        <v>43749.289771053234</v>
      </c>
    </row>
    <row r="11054" spans="1:10" x14ac:dyDescent="0.25">
      <c r="A11054" s="5" t="s">
        <v>47745</v>
      </c>
      <c r="B11054" s="6">
        <v>403.125</v>
      </c>
      <c r="C11054" s="6">
        <v>20.478950000000001</v>
      </c>
      <c r="D11054" s="6">
        <v>68</v>
      </c>
      <c r="E11054" s="6">
        <v>0</v>
      </c>
      <c r="F11054" s="6">
        <v>0</v>
      </c>
      <c r="G11054" s="6">
        <v>1</v>
      </c>
      <c r="H11054" s="6" t="s">
        <v>47746</v>
      </c>
      <c r="I11054" s="6">
        <v>529.125</v>
      </c>
      <c r="J11054" s="2">
        <f t="shared" si="172"/>
        <v>43749.28984315972</v>
      </c>
    </row>
    <row r="11055" spans="1:10" x14ac:dyDescent="0.25">
      <c r="A11055" s="7" t="s">
        <v>47747</v>
      </c>
      <c r="B11055" s="8">
        <v>403.125</v>
      </c>
      <c r="C11055" s="8">
        <v>20.478950000000001</v>
      </c>
      <c r="D11055" s="8">
        <v>68</v>
      </c>
      <c r="E11055" s="8">
        <v>0</v>
      </c>
      <c r="F11055" s="8">
        <v>0</v>
      </c>
      <c r="G11055" s="8">
        <v>12</v>
      </c>
      <c r="H11055" s="8" t="s">
        <v>47748</v>
      </c>
      <c r="I11055" s="8">
        <v>529.125</v>
      </c>
      <c r="J11055" s="3">
        <f t="shared" si="172"/>
        <v>43749.289914259258</v>
      </c>
    </row>
    <row r="11056" spans="1:10" x14ac:dyDescent="0.25">
      <c r="A11056" s="5" t="s">
        <v>47749</v>
      </c>
      <c r="B11056" s="6">
        <v>403.125</v>
      </c>
      <c r="C11056" s="6">
        <v>20.426300000000001</v>
      </c>
      <c r="D11056" s="6">
        <v>68</v>
      </c>
      <c r="E11056" s="6">
        <v>0</v>
      </c>
      <c r="F11056" s="6">
        <v>0</v>
      </c>
      <c r="G11056" s="6">
        <v>14</v>
      </c>
      <c r="H11056" s="6" t="s">
        <v>47750</v>
      </c>
      <c r="I11056" s="6">
        <v>529.125</v>
      </c>
      <c r="J11056" s="2">
        <f t="shared" si="172"/>
        <v>43749.289985659721</v>
      </c>
    </row>
    <row r="11057" spans="1:10" x14ac:dyDescent="0.25">
      <c r="A11057" s="7" t="s">
        <v>47751</v>
      </c>
      <c r="B11057" s="8">
        <v>403.125</v>
      </c>
      <c r="C11057" s="8">
        <v>20.478950000000001</v>
      </c>
      <c r="D11057" s="8">
        <v>69</v>
      </c>
      <c r="E11057" s="8">
        <v>0</v>
      </c>
      <c r="F11057" s="8">
        <v>0</v>
      </c>
      <c r="G11057" s="8">
        <v>9</v>
      </c>
      <c r="H11057" s="8" t="s">
        <v>47752</v>
      </c>
      <c r="I11057" s="8">
        <v>529.125</v>
      </c>
      <c r="J11057" s="3">
        <f t="shared" si="172"/>
        <v>43749.290057210645</v>
      </c>
    </row>
    <row r="11058" spans="1:10" x14ac:dyDescent="0.25">
      <c r="A11058" s="5" t="s">
        <v>47753</v>
      </c>
      <c r="B11058" s="6">
        <v>403.125</v>
      </c>
      <c r="C11058" s="6">
        <v>20.478950000000001</v>
      </c>
      <c r="D11058" s="6">
        <v>69</v>
      </c>
      <c r="E11058" s="6">
        <v>0</v>
      </c>
      <c r="F11058" s="6">
        <v>0</v>
      </c>
      <c r="G11058" s="6">
        <v>12</v>
      </c>
      <c r="H11058" s="6" t="s">
        <v>47754</v>
      </c>
      <c r="I11058" s="6">
        <v>529.125</v>
      </c>
      <c r="J11058" s="2">
        <f t="shared" si="172"/>
        <v>43749.290129143519</v>
      </c>
    </row>
    <row r="11059" spans="1:10" x14ac:dyDescent="0.25">
      <c r="A11059" s="7" t="s">
        <v>47755</v>
      </c>
      <c r="B11059" s="8">
        <v>403.125</v>
      </c>
      <c r="C11059" s="8">
        <v>20.426300000000001</v>
      </c>
      <c r="D11059" s="8">
        <v>69</v>
      </c>
      <c r="E11059" s="8">
        <v>0</v>
      </c>
      <c r="F11059" s="8">
        <v>0</v>
      </c>
      <c r="G11059" s="8">
        <v>10</v>
      </c>
      <c r="H11059" s="8" t="s">
        <v>47756</v>
      </c>
      <c r="I11059" s="8">
        <v>529.125</v>
      </c>
      <c r="J11059" s="3">
        <f t="shared" si="172"/>
        <v>43749.290200428237</v>
      </c>
    </row>
    <row r="11060" spans="1:10" x14ac:dyDescent="0.25">
      <c r="A11060" s="5" t="s">
        <v>47757</v>
      </c>
      <c r="B11060" s="6">
        <v>403.125</v>
      </c>
      <c r="C11060" s="6">
        <v>20.478950000000001</v>
      </c>
      <c r="D11060" s="6">
        <v>69</v>
      </c>
      <c r="E11060" s="6">
        <v>0</v>
      </c>
      <c r="F11060" s="6">
        <v>0</v>
      </c>
      <c r="G11060" s="6">
        <v>9</v>
      </c>
      <c r="H11060" s="6" t="s">
        <v>47758</v>
      </c>
      <c r="I11060" s="6">
        <v>529.125</v>
      </c>
      <c r="J11060" s="2">
        <f t="shared" si="172"/>
        <v>43749.290271840277</v>
      </c>
    </row>
    <row r="11061" spans="1:10" x14ac:dyDescent="0.25">
      <c r="A11061" s="7" t="s">
        <v>47759</v>
      </c>
      <c r="B11061" s="8">
        <v>403.125</v>
      </c>
      <c r="C11061" s="8">
        <v>20.478950000000001</v>
      </c>
      <c r="D11061" s="8">
        <v>69</v>
      </c>
      <c r="E11061" s="8">
        <v>0</v>
      </c>
      <c r="F11061" s="8">
        <v>0</v>
      </c>
      <c r="G11061" s="8">
        <v>16</v>
      </c>
      <c r="H11061" s="8" t="s">
        <v>47760</v>
      </c>
      <c r="I11061" s="8">
        <v>529.125</v>
      </c>
      <c r="J11061" s="3">
        <f t="shared" si="172"/>
        <v>43749.290343888882</v>
      </c>
    </row>
    <row r="11062" spans="1:10" x14ac:dyDescent="0.25">
      <c r="A11062" s="5" t="s">
        <v>47761</v>
      </c>
      <c r="B11062" s="6">
        <v>400</v>
      </c>
      <c r="C11062" s="6">
        <v>20.478950000000001</v>
      </c>
      <c r="D11062" s="6">
        <v>69</v>
      </c>
      <c r="E11062" s="6">
        <v>0</v>
      </c>
      <c r="F11062" s="6">
        <v>0</v>
      </c>
      <c r="G11062" s="6">
        <v>0</v>
      </c>
      <c r="H11062" s="6" t="s">
        <v>47762</v>
      </c>
      <c r="I11062" s="6">
        <v>528.375</v>
      </c>
      <c r="J11062" s="2">
        <f t="shared" si="172"/>
        <v>43749.290415312498</v>
      </c>
    </row>
    <row r="11063" spans="1:10" x14ac:dyDescent="0.25">
      <c r="A11063" s="7" t="s">
        <v>47763</v>
      </c>
      <c r="B11063" s="8">
        <v>400</v>
      </c>
      <c r="C11063" s="8">
        <v>20.478950000000001</v>
      </c>
      <c r="D11063" s="8">
        <v>71</v>
      </c>
      <c r="E11063" s="8">
        <v>0</v>
      </c>
      <c r="F11063" s="8">
        <v>0</v>
      </c>
      <c r="G11063" s="8">
        <v>20</v>
      </c>
      <c r="H11063" s="8" t="s">
        <v>47764</v>
      </c>
      <c r="I11063" s="8">
        <v>528.375</v>
      </c>
      <c r="J11063" s="3">
        <f t="shared" si="172"/>
        <v>43749.290486597216</v>
      </c>
    </row>
    <row r="11064" spans="1:10" x14ac:dyDescent="0.25">
      <c r="A11064" s="5" t="s">
        <v>47765</v>
      </c>
      <c r="B11064" s="6">
        <v>400</v>
      </c>
      <c r="C11064" s="6">
        <v>20.478950000000001</v>
      </c>
      <c r="D11064" s="6">
        <v>71</v>
      </c>
      <c r="E11064" s="6">
        <v>0</v>
      </c>
      <c r="F11064" s="6">
        <v>0</v>
      </c>
      <c r="G11064" s="6">
        <v>10</v>
      </c>
      <c r="H11064" s="6" t="s">
        <v>47766</v>
      </c>
      <c r="I11064" s="6">
        <v>528.1875</v>
      </c>
      <c r="J11064" s="2">
        <f t="shared" si="172"/>
        <v>43749.290558576387</v>
      </c>
    </row>
    <row r="11065" spans="1:10" x14ac:dyDescent="0.25">
      <c r="A11065" s="7" t="s">
        <v>47767</v>
      </c>
      <c r="B11065" s="8">
        <v>415.625</v>
      </c>
      <c r="C11065" s="8">
        <v>20.478950000000001</v>
      </c>
      <c r="D11065" s="8">
        <v>71</v>
      </c>
      <c r="E11065" s="8">
        <v>0</v>
      </c>
      <c r="F11065" s="8">
        <v>0</v>
      </c>
      <c r="G11065" s="8">
        <v>3</v>
      </c>
      <c r="H11065" s="8" t="s">
        <v>47768</v>
      </c>
      <c r="I11065" s="8">
        <v>533.4375</v>
      </c>
      <c r="J11065" s="3">
        <f t="shared" si="172"/>
        <v>43749.290630104166</v>
      </c>
    </row>
    <row r="11066" spans="1:10" x14ac:dyDescent="0.25">
      <c r="A11066" s="5" t="s">
        <v>47769</v>
      </c>
      <c r="B11066" s="6">
        <v>396.875</v>
      </c>
      <c r="C11066" s="6">
        <v>20.478950000000001</v>
      </c>
      <c r="D11066" s="6">
        <v>72</v>
      </c>
      <c r="E11066" s="6">
        <v>0</v>
      </c>
      <c r="F11066" s="6">
        <v>0</v>
      </c>
      <c r="G11066" s="6">
        <v>11</v>
      </c>
      <c r="H11066" s="6" t="s">
        <v>47770</v>
      </c>
      <c r="I11066" s="6">
        <v>527.4375</v>
      </c>
      <c r="J11066" s="2">
        <f t="shared" si="172"/>
        <v>43749.290701423604</v>
      </c>
    </row>
    <row r="11067" spans="1:10" x14ac:dyDescent="0.25">
      <c r="A11067" s="7" t="s">
        <v>47771</v>
      </c>
      <c r="B11067" s="8">
        <v>396.875</v>
      </c>
      <c r="C11067" s="8">
        <v>20.478950000000001</v>
      </c>
      <c r="D11067" s="8">
        <v>71</v>
      </c>
      <c r="E11067" s="8">
        <v>0</v>
      </c>
      <c r="F11067" s="8">
        <v>0</v>
      </c>
      <c r="G11067" s="8">
        <v>13</v>
      </c>
      <c r="H11067" s="8" t="s">
        <v>47772</v>
      </c>
      <c r="I11067" s="8">
        <v>527.4375</v>
      </c>
      <c r="J11067" s="3">
        <f t="shared" si="172"/>
        <v>43749.29078476852</v>
      </c>
    </row>
    <row r="11068" spans="1:10" x14ac:dyDescent="0.25">
      <c r="A11068" s="5" t="s">
        <v>47773</v>
      </c>
      <c r="B11068" s="6">
        <v>396.875</v>
      </c>
      <c r="C11068" s="6">
        <v>20.478950000000001</v>
      </c>
      <c r="D11068" s="6">
        <v>71</v>
      </c>
      <c r="E11068" s="6">
        <v>0</v>
      </c>
      <c r="F11068" s="6">
        <v>0</v>
      </c>
      <c r="G11068" s="6">
        <v>13</v>
      </c>
      <c r="H11068" s="6" t="s">
        <v>47774</v>
      </c>
      <c r="I11068" s="6">
        <v>527.4375</v>
      </c>
      <c r="J11068" s="2">
        <f t="shared" si="172"/>
        <v>43749.290856168976</v>
      </c>
    </row>
    <row r="11069" spans="1:10" x14ac:dyDescent="0.25">
      <c r="A11069" s="7" t="s">
        <v>47775</v>
      </c>
      <c r="B11069" s="8">
        <v>396.875</v>
      </c>
      <c r="C11069" s="8">
        <v>20.478950000000001</v>
      </c>
      <c r="D11069" s="8">
        <v>71</v>
      </c>
      <c r="E11069" s="8">
        <v>0</v>
      </c>
      <c r="F11069" s="8">
        <v>0</v>
      </c>
      <c r="G11069" s="8">
        <v>11</v>
      </c>
      <c r="H11069" s="8" t="s">
        <v>47776</v>
      </c>
      <c r="I11069" s="8">
        <v>527.4375</v>
      </c>
      <c r="J11069" s="3">
        <f t="shared" si="172"/>
        <v>43749.290928287031</v>
      </c>
    </row>
    <row r="11070" spans="1:10" x14ac:dyDescent="0.25">
      <c r="A11070" s="5" t="s">
        <v>47777</v>
      </c>
      <c r="B11070" s="6">
        <v>396.875</v>
      </c>
      <c r="C11070" s="6">
        <v>20.426300000000001</v>
      </c>
      <c r="D11070" s="6">
        <v>70</v>
      </c>
      <c r="E11070" s="6">
        <v>0</v>
      </c>
      <c r="F11070" s="6">
        <v>0</v>
      </c>
      <c r="G11070" s="6">
        <v>7</v>
      </c>
      <c r="H11070" s="6" t="s">
        <v>47778</v>
      </c>
      <c r="I11070" s="6">
        <v>527.4375</v>
      </c>
      <c r="J11070" s="2">
        <f t="shared" si="172"/>
        <v>43749.290999571756</v>
      </c>
    </row>
    <row r="11071" spans="1:10" x14ac:dyDescent="0.25">
      <c r="A11071" s="7" t="s">
        <v>47779</v>
      </c>
      <c r="B11071" s="8">
        <v>400</v>
      </c>
      <c r="C11071" s="8">
        <v>20.426300000000001</v>
      </c>
      <c r="D11071" s="8">
        <v>68</v>
      </c>
      <c r="E11071" s="8">
        <v>0</v>
      </c>
      <c r="F11071" s="8">
        <v>0</v>
      </c>
      <c r="G11071" s="8">
        <v>16</v>
      </c>
      <c r="H11071" s="8" t="s">
        <v>47780</v>
      </c>
      <c r="I11071" s="8">
        <v>528.1875</v>
      </c>
      <c r="J11071" s="3">
        <f t="shared" si="172"/>
        <v>43749.291070856481</v>
      </c>
    </row>
    <row r="11072" spans="1:10" x14ac:dyDescent="0.25">
      <c r="A11072" s="5" t="s">
        <v>47781</v>
      </c>
      <c r="B11072" s="6">
        <v>396.875</v>
      </c>
      <c r="C11072" s="6">
        <v>20.478950000000001</v>
      </c>
      <c r="D11072" s="6">
        <v>69</v>
      </c>
      <c r="E11072" s="6">
        <v>0</v>
      </c>
      <c r="F11072" s="6">
        <v>0</v>
      </c>
      <c r="G11072" s="6">
        <v>12</v>
      </c>
      <c r="H11072" s="6" t="s">
        <v>47782</v>
      </c>
      <c r="I11072" s="6">
        <v>527.4375</v>
      </c>
      <c r="J11072" s="2">
        <f t="shared" si="172"/>
        <v>43749.291143090275</v>
      </c>
    </row>
    <row r="11073" spans="1:10" x14ac:dyDescent="0.25">
      <c r="A11073" s="7" t="s">
        <v>47783</v>
      </c>
      <c r="B11073" s="8">
        <v>415.625</v>
      </c>
      <c r="C11073" s="8">
        <v>20.478950000000001</v>
      </c>
      <c r="D11073" s="8">
        <v>64</v>
      </c>
      <c r="E11073" s="8">
        <v>0</v>
      </c>
      <c r="F11073" s="8">
        <v>0</v>
      </c>
      <c r="G11073" s="8">
        <v>7</v>
      </c>
      <c r="H11073" s="8" t="s">
        <v>47784</v>
      </c>
      <c r="I11073" s="8">
        <v>533.0625</v>
      </c>
      <c r="J11073" s="3">
        <f t="shared" si="172"/>
        <v>43749.291214386576</v>
      </c>
    </row>
    <row r="11074" spans="1:10" x14ac:dyDescent="0.25">
      <c r="A11074" s="5" t="s">
        <v>47785</v>
      </c>
      <c r="B11074" s="6">
        <v>393.75</v>
      </c>
      <c r="C11074" s="6">
        <v>20.426300000000001</v>
      </c>
      <c r="D11074" s="6">
        <v>64</v>
      </c>
      <c r="E11074" s="6">
        <v>0</v>
      </c>
      <c r="F11074" s="6">
        <v>0</v>
      </c>
      <c r="G11074" s="6">
        <v>7</v>
      </c>
      <c r="H11074" s="6" t="s">
        <v>47786</v>
      </c>
      <c r="I11074" s="6">
        <v>526.6875</v>
      </c>
      <c r="J11074" s="2">
        <f t="shared" ref="J11074:J11137" si="173">(H11074/86400000)+25569+(7/24)</f>
        <v>43749.291285740743</v>
      </c>
    </row>
    <row r="11075" spans="1:10" x14ac:dyDescent="0.25">
      <c r="A11075" s="7" t="s">
        <v>47787</v>
      </c>
      <c r="B11075" s="8">
        <v>393.75</v>
      </c>
      <c r="C11075" s="8">
        <v>20.478950000000001</v>
      </c>
      <c r="D11075" s="8">
        <v>64</v>
      </c>
      <c r="E11075" s="8">
        <v>0</v>
      </c>
      <c r="F11075" s="8">
        <v>0</v>
      </c>
      <c r="G11075" s="8">
        <v>13</v>
      </c>
      <c r="H11075" s="8" t="s">
        <v>47788</v>
      </c>
      <c r="I11075" s="8">
        <v>526.6875</v>
      </c>
      <c r="J11075" s="3">
        <f t="shared" si="173"/>
        <v>43749.291357048605</v>
      </c>
    </row>
    <row r="11076" spans="1:10" x14ac:dyDescent="0.25">
      <c r="A11076" s="5" t="s">
        <v>47789</v>
      </c>
      <c r="B11076" s="6">
        <v>393.75</v>
      </c>
      <c r="C11076" s="6">
        <v>20.478950000000001</v>
      </c>
      <c r="D11076" s="6">
        <v>64</v>
      </c>
      <c r="E11076" s="6">
        <v>0</v>
      </c>
      <c r="F11076" s="6">
        <v>0</v>
      </c>
      <c r="G11076" s="6">
        <v>9</v>
      </c>
      <c r="H11076" s="6" t="s">
        <v>47790</v>
      </c>
      <c r="I11076" s="6">
        <v>526.5</v>
      </c>
      <c r="J11076" s="2">
        <f t="shared" si="173"/>
        <v>43749.291428680554</v>
      </c>
    </row>
    <row r="11077" spans="1:10" x14ac:dyDescent="0.25">
      <c r="A11077" s="7" t="s">
        <v>47791</v>
      </c>
      <c r="B11077" s="8">
        <v>434.375</v>
      </c>
      <c r="C11077" s="8">
        <v>20.478950000000001</v>
      </c>
      <c r="D11077" s="8">
        <v>66</v>
      </c>
      <c r="E11077" s="8">
        <v>0</v>
      </c>
      <c r="F11077" s="8">
        <v>0</v>
      </c>
      <c r="G11077" s="8">
        <v>9</v>
      </c>
      <c r="H11077" s="8" t="s">
        <v>47792</v>
      </c>
      <c r="I11077" s="8">
        <v>539.625</v>
      </c>
      <c r="J11077" s="3">
        <f t="shared" si="173"/>
        <v>43749.291500497682</v>
      </c>
    </row>
    <row r="11078" spans="1:10" x14ac:dyDescent="0.25">
      <c r="A11078" s="5" t="s">
        <v>47793</v>
      </c>
      <c r="B11078" s="6">
        <v>393.75</v>
      </c>
      <c r="C11078" s="6">
        <v>20.478950000000001</v>
      </c>
      <c r="D11078" s="6">
        <v>65</v>
      </c>
      <c r="E11078" s="6">
        <v>0</v>
      </c>
      <c r="F11078" s="6">
        <v>0</v>
      </c>
      <c r="G11078" s="6">
        <v>8</v>
      </c>
      <c r="H11078" s="6" t="s">
        <v>47794</v>
      </c>
      <c r="I11078" s="6">
        <v>526.5</v>
      </c>
      <c r="J11078" s="2">
        <f t="shared" si="173"/>
        <v>43749.29157173611</v>
      </c>
    </row>
    <row r="11079" spans="1:10" x14ac:dyDescent="0.25">
      <c r="A11079" s="7" t="s">
        <v>47795</v>
      </c>
      <c r="B11079" s="8">
        <v>393.75</v>
      </c>
      <c r="C11079" s="8">
        <v>20.478950000000001</v>
      </c>
      <c r="D11079" s="8">
        <v>65</v>
      </c>
      <c r="E11079" s="8">
        <v>0</v>
      </c>
      <c r="F11079" s="8">
        <v>0</v>
      </c>
      <c r="G11079" s="8">
        <v>4</v>
      </c>
      <c r="H11079" s="8" t="s">
        <v>47796</v>
      </c>
      <c r="I11079" s="8">
        <v>526.6875</v>
      </c>
      <c r="J11079" s="3">
        <f t="shared" si="173"/>
        <v>43749.291643495373</v>
      </c>
    </row>
    <row r="11080" spans="1:10" x14ac:dyDescent="0.25">
      <c r="A11080" s="5" t="s">
        <v>47797</v>
      </c>
      <c r="B11080" s="6">
        <v>393.75</v>
      </c>
      <c r="C11080" s="6">
        <v>20.478950000000001</v>
      </c>
      <c r="D11080" s="6">
        <v>64</v>
      </c>
      <c r="E11080" s="6">
        <v>0</v>
      </c>
      <c r="F11080" s="6">
        <v>0</v>
      </c>
      <c r="G11080" s="6">
        <v>14</v>
      </c>
      <c r="H11080" s="6" t="s">
        <v>47798</v>
      </c>
      <c r="I11080" s="6">
        <v>526.6875</v>
      </c>
      <c r="J11080" s="2">
        <f t="shared" si="173"/>
        <v>43749.291715115738</v>
      </c>
    </row>
    <row r="11081" spans="1:10" x14ac:dyDescent="0.25">
      <c r="A11081" s="7" t="s">
        <v>47799</v>
      </c>
      <c r="B11081" s="8">
        <v>393.75</v>
      </c>
      <c r="C11081" s="8">
        <v>20.426300000000001</v>
      </c>
      <c r="D11081" s="8">
        <v>67</v>
      </c>
      <c r="E11081" s="8">
        <v>0</v>
      </c>
      <c r="F11081" s="8">
        <v>0</v>
      </c>
      <c r="G11081" s="8">
        <v>13</v>
      </c>
      <c r="H11081" s="8" t="s">
        <v>47800</v>
      </c>
      <c r="I11081" s="8">
        <v>526.6875</v>
      </c>
      <c r="J11081" s="3">
        <f t="shared" si="173"/>
        <v>43749.291786331021</v>
      </c>
    </row>
    <row r="11082" spans="1:10" x14ac:dyDescent="0.25">
      <c r="A11082" s="5" t="s">
        <v>47801</v>
      </c>
      <c r="B11082" s="6">
        <v>393.75</v>
      </c>
      <c r="C11082" s="6">
        <v>20.478950000000001</v>
      </c>
      <c r="D11082" s="6">
        <v>66</v>
      </c>
      <c r="E11082" s="6">
        <v>0</v>
      </c>
      <c r="F11082" s="6">
        <v>0</v>
      </c>
      <c r="G11082" s="6">
        <v>1</v>
      </c>
      <c r="H11082" s="6" t="s">
        <v>47802</v>
      </c>
      <c r="I11082" s="6">
        <v>526.6875</v>
      </c>
      <c r="J11082" s="2">
        <f t="shared" si="173"/>
        <v>43749.291858090277</v>
      </c>
    </row>
    <row r="11083" spans="1:10" x14ac:dyDescent="0.25">
      <c r="A11083" s="7" t="s">
        <v>47803</v>
      </c>
      <c r="B11083" s="8">
        <v>393.75</v>
      </c>
      <c r="C11083" s="8">
        <v>20.478950000000001</v>
      </c>
      <c r="D11083" s="8">
        <v>66</v>
      </c>
      <c r="E11083" s="8">
        <v>0</v>
      </c>
      <c r="F11083" s="8">
        <v>0</v>
      </c>
      <c r="G11083" s="8">
        <v>12</v>
      </c>
      <c r="H11083" s="8" t="s">
        <v>47804</v>
      </c>
      <c r="I11083" s="8">
        <v>526.6875</v>
      </c>
      <c r="J11083" s="3">
        <f t="shared" si="173"/>
        <v>43749.291929826388</v>
      </c>
    </row>
    <row r="11084" spans="1:10" x14ac:dyDescent="0.25">
      <c r="A11084" s="5" t="s">
        <v>47805</v>
      </c>
      <c r="B11084" s="6">
        <v>393.75</v>
      </c>
      <c r="C11084" s="6">
        <v>20.478950000000001</v>
      </c>
      <c r="D11084" s="6">
        <v>65</v>
      </c>
      <c r="E11084" s="6">
        <v>0</v>
      </c>
      <c r="F11084" s="6">
        <v>0</v>
      </c>
      <c r="G11084" s="6">
        <v>15</v>
      </c>
      <c r="H11084" s="6" t="s">
        <v>47806</v>
      </c>
      <c r="I11084" s="6">
        <v>526.5</v>
      </c>
      <c r="J11084" s="2">
        <f t="shared" si="173"/>
        <v>43749.292001354166</v>
      </c>
    </row>
    <row r="11085" spans="1:10" x14ac:dyDescent="0.25">
      <c r="A11085" s="7" t="s">
        <v>47807</v>
      </c>
      <c r="B11085" s="8">
        <v>393.75</v>
      </c>
      <c r="C11085" s="8">
        <v>20.478950000000001</v>
      </c>
      <c r="D11085" s="8">
        <v>66</v>
      </c>
      <c r="E11085" s="8">
        <v>0</v>
      </c>
      <c r="F11085" s="8">
        <v>0</v>
      </c>
      <c r="G11085" s="8">
        <v>0</v>
      </c>
      <c r="H11085" s="8" t="s">
        <v>47808</v>
      </c>
      <c r="I11085" s="8">
        <v>526.5</v>
      </c>
      <c r="J11085" s="3">
        <f t="shared" si="173"/>
        <v>43749.292084699067</v>
      </c>
    </row>
    <row r="11086" spans="1:10" x14ac:dyDescent="0.25">
      <c r="A11086" s="5" t="s">
        <v>47809</v>
      </c>
      <c r="B11086" s="6">
        <v>393.75</v>
      </c>
      <c r="C11086" s="6">
        <v>20.478950000000001</v>
      </c>
      <c r="D11086" s="6">
        <v>67</v>
      </c>
      <c r="E11086" s="6">
        <v>0</v>
      </c>
      <c r="F11086" s="6">
        <v>0</v>
      </c>
      <c r="G11086" s="6">
        <v>16</v>
      </c>
      <c r="H11086" s="6" t="s">
        <v>47810</v>
      </c>
      <c r="I11086" s="6">
        <v>526.6875</v>
      </c>
      <c r="J11086" s="2">
        <f t="shared" si="173"/>
        <v>43749.292156666663</v>
      </c>
    </row>
    <row r="11087" spans="1:10" x14ac:dyDescent="0.25">
      <c r="A11087" s="7" t="s">
        <v>47811</v>
      </c>
      <c r="B11087" s="8">
        <v>393.75</v>
      </c>
      <c r="C11087" s="8">
        <v>20.478950000000001</v>
      </c>
      <c r="D11087" s="8">
        <v>67</v>
      </c>
      <c r="E11087" s="8">
        <v>0</v>
      </c>
      <c r="F11087" s="8">
        <v>0</v>
      </c>
      <c r="G11087" s="8">
        <v>15</v>
      </c>
      <c r="H11087" s="8" t="s">
        <v>47812</v>
      </c>
      <c r="I11087" s="8">
        <v>526.5</v>
      </c>
      <c r="J11087" s="3">
        <f t="shared" si="173"/>
        <v>43749.292227974533</v>
      </c>
    </row>
    <row r="11088" spans="1:10" x14ac:dyDescent="0.25">
      <c r="A11088" s="5" t="s">
        <v>47813</v>
      </c>
      <c r="B11088" s="6">
        <v>393.75</v>
      </c>
      <c r="C11088" s="6">
        <v>20.478950000000001</v>
      </c>
      <c r="D11088" s="6">
        <v>66</v>
      </c>
      <c r="E11088" s="6">
        <v>0</v>
      </c>
      <c r="F11088" s="6">
        <v>0</v>
      </c>
      <c r="G11088" s="6">
        <v>3</v>
      </c>
      <c r="H11088" s="6" t="s">
        <v>47814</v>
      </c>
      <c r="I11088" s="6">
        <v>526.5</v>
      </c>
      <c r="J11088" s="2">
        <f t="shared" si="173"/>
        <v>43749.292299513887</v>
      </c>
    </row>
    <row r="11089" spans="1:10" x14ac:dyDescent="0.25">
      <c r="A11089" s="7" t="s">
        <v>47815</v>
      </c>
      <c r="B11089" s="8">
        <v>393.75</v>
      </c>
      <c r="C11089" s="8">
        <v>20.478950000000001</v>
      </c>
      <c r="D11089" s="8">
        <v>66</v>
      </c>
      <c r="E11089" s="8">
        <v>0</v>
      </c>
      <c r="F11089" s="8">
        <v>0</v>
      </c>
      <c r="G11089" s="8">
        <v>4</v>
      </c>
      <c r="H11089" s="8" t="s">
        <v>47816</v>
      </c>
      <c r="I11089" s="8">
        <v>526.6875</v>
      </c>
      <c r="J11089" s="3">
        <f t="shared" si="173"/>
        <v>43749.292370578703</v>
      </c>
    </row>
    <row r="11090" spans="1:10" x14ac:dyDescent="0.25">
      <c r="A11090" s="5" t="s">
        <v>47817</v>
      </c>
      <c r="B11090" s="6">
        <v>393.75</v>
      </c>
      <c r="C11090" s="6">
        <v>20.478950000000001</v>
      </c>
      <c r="D11090" s="6">
        <v>66</v>
      </c>
      <c r="E11090" s="6">
        <v>0</v>
      </c>
      <c r="F11090" s="6">
        <v>0</v>
      </c>
      <c r="G11090" s="6">
        <v>13</v>
      </c>
      <c r="H11090" s="6" t="s">
        <v>47818</v>
      </c>
      <c r="I11090" s="6">
        <v>526.6875</v>
      </c>
      <c r="J11090" s="2">
        <f t="shared" si="173"/>
        <v>43749.292442800921</v>
      </c>
    </row>
    <row r="11091" spans="1:10" x14ac:dyDescent="0.25">
      <c r="A11091" s="7" t="s">
        <v>47819</v>
      </c>
      <c r="B11091" s="8">
        <v>396.875</v>
      </c>
      <c r="C11091" s="8">
        <v>20.478950000000001</v>
      </c>
      <c r="D11091" s="8">
        <v>68</v>
      </c>
      <c r="E11091" s="8">
        <v>0</v>
      </c>
      <c r="F11091" s="8">
        <v>0</v>
      </c>
      <c r="G11091" s="8">
        <v>8</v>
      </c>
      <c r="H11091" s="8" t="s">
        <v>47820</v>
      </c>
      <c r="I11091" s="8">
        <v>527.625</v>
      </c>
      <c r="J11091" s="3">
        <f t="shared" si="173"/>
        <v>43749.292514097215</v>
      </c>
    </row>
    <row r="11092" spans="1:10" x14ac:dyDescent="0.25">
      <c r="A11092" s="5" t="s">
        <v>47821</v>
      </c>
      <c r="B11092" s="6">
        <v>396.875</v>
      </c>
      <c r="C11092" s="6">
        <v>20.478950000000001</v>
      </c>
      <c r="D11092" s="6">
        <v>68</v>
      </c>
      <c r="E11092" s="6">
        <v>0</v>
      </c>
      <c r="F11092" s="6">
        <v>0</v>
      </c>
      <c r="G11092" s="6">
        <v>14</v>
      </c>
      <c r="H11092" s="6" t="s">
        <v>47822</v>
      </c>
      <c r="I11092" s="6">
        <v>527.4375</v>
      </c>
      <c r="J11092" s="2">
        <f t="shared" si="173"/>
        <v>43749.292585613424</v>
      </c>
    </row>
    <row r="11093" spans="1:10" x14ac:dyDescent="0.25">
      <c r="A11093" s="7" t="s">
        <v>47823</v>
      </c>
      <c r="B11093" s="8">
        <v>396.875</v>
      </c>
      <c r="C11093" s="8">
        <v>20.478950000000001</v>
      </c>
      <c r="D11093" s="8">
        <v>68</v>
      </c>
      <c r="E11093" s="8">
        <v>0</v>
      </c>
      <c r="F11093" s="8">
        <v>0</v>
      </c>
      <c r="G11093" s="8">
        <v>7</v>
      </c>
      <c r="H11093" s="8" t="s">
        <v>47824</v>
      </c>
      <c r="I11093" s="8">
        <v>527.4375</v>
      </c>
      <c r="J11093" s="3">
        <f t="shared" si="173"/>
        <v>43749.292657615741</v>
      </c>
    </row>
    <row r="11094" spans="1:10" x14ac:dyDescent="0.25">
      <c r="A11094" s="5" t="s">
        <v>47825</v>
      </c>
      <c r="B11094" s="6">
        <v>396.875</v>
      </c>
      <c r="C11094" s="6">
        <v>20.426300000000001</v>
      </c>
      <c r="D11094" s="6">
        <v>68</v>
      </c>
      <c r="E11094" s="6">
        <v>0</v>
      </c>
      <c r="F11094" s="6">
        <v>0</v>
      </c>
      <c r="G11094" s="6">
        <v>14</v>
      </c>
      <c r="H11094" s="6" t="s">
        <v>47826</v>
      </c>
      <c r="I11094" s="6">
        <v>527.4375</v>
      </c>
      <c r="J11094" s="2">
        <f t="shared" si="173"/>
        <v>43749.292728912034</v>
      </c>
    </row>
    <row r="11095" spans="1:10" x14ac:dyDescent="0.25">
      <c r="A11095" s="7" t="s">
        <v>47827</v>
      </c>
      <c r="B11095" s="8">
        <v>396.875</v>
      </c>
      <c r="C11095" s="8">
        <v>20.478950000000001</v>
      </c>
      <c r="D11095" s="8">
        <v>68</v>
      </c>
      <c r="E11095" s="8">
        <v>0</v>
      </c>
      <c r="F11095" s="8">
        <v>0</v>
      </c>
      <c r="G11095" s="8">
        <v>14</v>
      </c>
      <c r="H11095" s="8" t="s">
        <v>47828</v>
      </c>
      <c r="I11095" s="8">
        <v>527.4375</v>
      </c>
      <c r="J11095" s="3">
        <f t="shared" si="173"/>
        <v>43749.292812245367</v>
      </c>
    </row>
    <row r="11096" spans="1:10" x14ac:dyDescent="0.25">
      <c r="A11096" s="5" t="s">
        <v>47829</v>
      </c>
      <c r="B11096" s="6">
        <v>396.875</v>
      </c>
      <c r="C11096" s="6">
        <v>20.478950000000001</v>
      </c>
      <c r="D11096" s="6">
        <v>68</v>
      </c>
      <c r="E11096" s="6">
        <v>0</v>
      </c>
      <c r="F11096" s="6">
        <v>0</v>
      </c>
      <c r="G11096" s="6">
        <v>8</v>
      </c>
      <c r="H11096" s="6" t="s">
        <v>47830</v>
      </c>
      <c r="I11096" s="6">
        <v>527.4375</v>
      </c>
      <c r="J11096" s="2">
        <f t="shared" si="173"/>
        <v>43749.292883761569</v>
      </c>
    </row>
    <row r="11097" spans="1:10" x14ac:dyDescent="0.25">
      <c r="A11097" s="7" t="s">
        <v>47831</v>
      </c>
      <c r="B11097" s="8">
        <v>418.75</v>
      </c>
      <c r="C11097" s="8">
        <v>20.478950000000001</v>
      </c>
      <c r="D11097" s="8">
        <v>70</v>
      </c>
      <c r="E11097" s="8">
        <v>0</v>
      </c>
      <c r="F11097" s="8">
        <v>0</v>
      </c>
      <c r="G11097" s="8">
        <v>9</v>
      </c>
      <c r="H11097" s="8" t="s">
        <v>47832</v>
      </c>
      <c r="I11097" s="8">
        <v>534</v>
      </c>
      <c r="J11097" s="3">
        <f t="shared" si="173"/>
        <v>43749.292955752309</v>
      </c>
    </row>
    <row r="11098" spans="1:10" x14ac:dyDescent="0.25">
      <c r="A11098" s="5" t="s">
        <v>47833</v>
      </c>
      <c r="B11098" s="6">
        <v>393.75</v>
      </c>
      <c r="C11098" s="6">
        <v>20.478950000000001</v>
      </c>
      <c r="D11098" s="6">
        <v>70</v>
      </c>
      <c r="E11098" s="6">
        <v>0</v>
      </c>
      <c r="F11098" s="6">
        <v>0</v>
      </c>
      <c r="G11098" s="6">
        <v>9</v>
      </c>
      <c r="H11098" s="6" t="s">
        <v>47834</v>
      </c>
      <c r="I11098" s="6">
        <v>526.6875</v>
      </c>
      <c r="J11098" s="2">
        <f t="shared" si="173"/>
        <v>43749.293027280095</v>
      </c>
    </row>
    <row r="11099" spans="1:10" x14ac:dyDescent="0.25">
      <c r="A11099" s="7" t="s">
        <v>47835</v>
      </c>
      <c r="B11099" s="8">
        <v>393.75</v>
      </c>
      <c r="C11099" s="8">
        <v>20.426300000000001</v>
      </c>
      <c r="D11099" s="8">
        <v>70</v>
      </c>
      <c r="E11099" s="8">
        <v>0</v>
      </c>
      <c r="F11099" s="8">
        <v>0</v>
      </c>
      <c r="G11099" s="8">
        <v>8</v>
      </c>
      <c r="H11099" s="8" t="s">
        <v>47836</v>
      </c>
      <c r="I11099" s="8">
        <v>526.6875</v>
      </c>
      <c r="J11099" s="3">
        <f t="shared" si="173"/>
        <v>43749.293098576389</v>
      </c>
    </row>
    <row r="11100" spans="1:10" x14ac:dyDescent="0.25">
      <c r="A11100" s="5" t="s">
        <v>47837</v>
      </c>
      <c r="B11100" s="6">
        <v>396.875</v>
      </c>
      <c r="C11100" s="6">
        <v>20.426300000000001</v>
      </c>
      <c r="D11100" s="6">
        <v>70</v>
      </c>
      <c r="E11100" s="6">
        <v>0</v>
      </c>
      <c r="F11100" s="6">
        <v>0</v>
      </c>
      <c r="G11100" s="6">
        <v>11</v>
      </c>
      <c r="H11100" s="6" t="s">
        <v>47838</v>
      </c>
      <c r="I11100" s="6">
        <v>527.4375</v>
      </c>
      <c r="J11100" s="2">
        <f t="shared" si="173"/>
        <v>43749.29319373842</v>
      </c>
    </row>
    <row r="11101" spans="1:10" x14ac:dyDescent="0.25">
      <c r="A11101" s="7" t="s">
        <v>47839</v>
      </c>
      <c r="B11101" s="8">
        <v>396.875</v>
      </c>
      <c r="C11101" s="8">
        <v>20.478950000000001</v>
      </c>
      <c r="D11101" s="8">
        <v>70</v>
      </c>
      <c r="E11101" s="8">
        <v>0</v>
      </c>
      <c r="F11101" s="8">
        <v>0</v>
      </c>
      <c r="G11101" s="8">
        <v>13</v>
      </c>
      <c r="H11101" s="8" t="s">
        <v>47840</v>
      </c>
      <c r="I11101" s="8">
        <v>527.4375</v>
      </c>
      <c r="J11101" s="3">
        <f t="shared" si="173"/>
        <v>43749.293265300927</v>
      </c>
    </row>
    <row r="11102" spans="1:10" x14ac:dyDescent="0.25">
      <c r="A11102" s="5" t="s">
        <v>47841</v>
      </c>
      <c r="B11102" s="6">
        <v>396.875</v>
      </c>
      <c r="C11102" s="6">
        <v>20.478950000000001</v>
      </c>
      <c r="D11102" s="6">
        <v>71</v>
      </c>
      <c r="E11102" s="6">
        <v>0</v>
      </c>
      <c r="F11102" s="6">
        <v>0</v>
      </c>
      <c r="G11102" s="6">
        <v>7</v>
      </c>
      <c r="H11102" s="6" t="s">
        <v>47842</v>
      </c>
      <c r="I11102" s="6">
        <v>527.4375</v>
      </c>
      <c r="J11102" s="2">
        <f t="shared" si="173"/>
        <v>43749.293337303236</v>
      </c>
    </row>
    <row r="11103" spans="1:10" x14ac:dyDescent="0.25">
      <c r="A11103" s="7" t="s">
        <v>47843</v>
      </c>
      <c r="B11103" s="8">
        <v>396.875</v>
      </c>
      <c r="C11103" s="8">
        <v>20.478950000000001</v>
      </c>
      <c r="D11103" s="8">
        <v>71</v>
      </c>
      <c r="E11103" s="8">
        <v>0</v>
      </c>
      <c r="F11103" s="8">
        <v>0</v>
      </c>
      <c r="G11103" s="8">
        <v>10</v>
      </c>
      <c r="H11103" s="8" t="s">
        <v>47844</v>
      </c>
      <c r="I11103" s="8">
        <v>527.4375</v>
      </c>
      <c r="J11103" s="3">
        <f t="shared" si="173"/>
        <v>43749.293408530088</v>
      </c>
    </row>
    <row r="11104" spans="1:10" x14ac:dyDescent="0.25">
      <c r="A11104" s="5" t="s">
        <v>47845</v>
      </c>
      <c r="B11104" s="6">
        <v>415.625</v>
      </c>
      <c r="C11104" s="6">
        <v>20.478950000000001</v>
      </c>
      <c r="D11104" s="6">
        <v>70</v>
      </c>
      <c r="E11104" s="6">
        <v>0</v>
      </c>
      <c r="F11104" s="6">
        <v>0</v>
      </c>
      <c r="G11104" s="6">
        <v>10</v>
      </c>
      <c r="H11104" s="6" t="s">
        <v>47846</v>
      </c>
      <c r="I11104" s="6">
        <v>533.25</v>
      </c>
      <c r="J11104" s="2">
        <f t="shared" si="173"/>
        <v>43749.293480069442</v>
      </c>
    </row>
    <row r="11105" spans="1:10" x14ac:dyDescent="0.25">
      <c r="A11105" s="7" t="s">
        <v>47847</v>
      </c>
      <c r="B11105" s="8">
        <v>396.875</v>
      </c>
      <c r="C11105" s="8">
        <v>20.478950000000001</v>
      </c>
      <c r="D11105" s="8">
        <v>70</v>
      </c>
      <c r="E11105" s="8">
        <v>0</v>
      </c>
      <c r="F11105" s="8">
        <v>0</v>
      </c>
      <c r="G11105" s="8">
        <v>0</v>
      </c>
      <c r="H11105" s="8" t="s">
        <v>47848</v>
      </c>
      <c r="I11105" s="8">
        <v>527.4375</v>
      </c>
      <c r="J11105" s="3">
        <f t="shared" si="173"/>
        <v>43749.293551377312</v>
      </c>
    </row>
    <row r="11106" spans="1:10" x14ac:dyDescent="0.25">
      <c r="A11106" s="5" t="s">
        <v>47849</v>
      </c>
      <c r="B11106" s="6">
        <v>396.875</v>
      </c>
      <c r="C11106" s="6">
        <v>20.426300000000001</v>
      </c>
      <c r="D11106" s="6">
        <v>67</v>
      </c>
      <c r="E11106" s="6">
        <v>0</v>
      </c>
      <c r="F11106" s="6">
        <v>0</v>
      </c>
      <c r="G11106" s="6">
        <v>12</v>
      </c>
      <c r="H11106" s="6" t="s">
        <v>47850</v>
      </c>
      <c r="I11106" s="6">
        <v>527.4375</v>
      </c>
      <c r="J11106" s="2">
        <f t="shared" si="173"/>
        <v>43749.293635462956</v>
      </c>
    </row>
    <row r="11107" spans="1:10" x14ac:dyDescent="0.25">
      <c r="A11107" s="7" t="s">
        <v>47851</v>
      </c>
      <c r="B11107" s="8">
        <v>393.75</v>
      </c>
      <c r="C11107" s="8">
        <v>20.478950000000001</v>
      </c>
      <c r="D11107" s="8">
        <v>67</v>
      </c>
      <c r="E11107" s="8">
        <v>0</v>
      </c>
      <c r="F11107" s="8">
        <v>0</v>
      </c>
      <c r="G11107" s="8">
        <v>10</v>
      </c>
      <c r="H11107" s="8" t="s">
        <v>47852</v>
      </c>
      <c r="I11107" s="8">
        <v>526.6875</v>
      </c>
      <c r="J11107" s="3">
        <f t="shared" si="173"/>
        <v>43749.29370667824</v>
      </c>
    </row>
    <row r="11108" spans="1:10" x14ac:dyDescent="0.25">
      <c r="A11108" s="5" t="s">
        <v>47853</v>
      </c>
      <c r="B11108" s="6">
        <v>396.875</v>
      </c>
      <c r="C11108" s="6">
        <v>20.478950000000001</v>
      </c>
      <c r="D11108" s="6">
        <v>68</v>
      </c>
      <c r="E11108" s="6">
        <v>0</v>
      </c>
      <c r="F11108" s="6">
        <v>0</v>
      </c>
      <c r="G11108" s="6">
        <v>14</v>
      </c>
      <c r="H11108" s="6" t="s">
        <v>47854</v>
      </c>
      <c r="I11108" s="6">
        <v>527.4375</v>
      </c>
      <c r="J11108" s="2">
        <f t="shared" si="173"/>
        <v>43749.293778206011</v>
      </c>
    </row>
    <row r="11109" spans="1:10" x14ac:dyDescent="0.25">
      <c r="A11109" s="7" t="s">
        <v>47855</v>
      </c>
      <c r="B11109" s="8">
        <v>396.875</v>
      </c>
      <c r="C11109" s="8">
        <v>20.478950000000001</v>
      </c>
      <c r="D11109" s="8">
        <v>67</v>
      </c>
      <c r="E11109" s="8">
        <v>0</v>
      </c>
      <c r="F11109" s="8">
        <v>0</v>
      </c>
      <c r="G11109" s="8">
        <v>1</v>
      </c>
      <c r="H11109" s="8" t="s">
        <v>47856</v>
      </c>
      <c r="I11109" s="8">
        <v>527.4375</v>
      </c>
      <c r="J11109" s="3">
        <f t="shared" si="173"/>
        <v>43749.293849525457</v>
      </c>
    </row>
    <row r="11110" spans="1:10" x14ac:dyDescent="0.25">
      <c r="A11110" s="5" t="s">
        <v>47857</v>
      </c>
      <c r="B11110" s="6">
        <v>396.875</v>
      </c>
      <c r="C11110" s="6">
        <v>20.478950000000001</v>
      </c>
      <c r="D11110" s="6">
        <v>68</v>
      </c>
      <c r="E11110" s="6">
        <v>0</v>
      </c>
      <c r="F11110" s="6">
        <v>0</v>
      </c>
      <c r="G11110" s="6">
        <v>11</v>
      </c>
      <c r="H11110" s="6" t="s">
        <v>47858</v>
      </c>
      <c r="I11110" s="6">
        <v>527.4375</v>
      </c>
      <c r="J11110" s="2">
        <f t="shared" si="173"/>
        <v>43749.29392181713</v>
      </c>
    </row>
    <row r="11111" spans="1:10" x14ac:dyDescent="0.25">
      <c r="A11111" s="7" t="s">
        <v>47859</v>
      </c>
      <c r="B11111" s="8">
        <v>393.75</v>
      </c>
      <c r="C11111" s="8">
        <v>20.478950000000001</v>
      </c>
      <c r="D11111" s="8">
        <v>67</v>
      </c>
      <c r="E11111" s="8">
        <v>0</v>
      </c>
      <c r="F11111" s="8">
        <v>0</v>
      </c>
      <c r="G11111" s="8">
        <v>4</v>
      </c>
      <c r="H11111" s="8" t="s">
        <v>47860</v>
      </c>
      <c r="I11111" s="8">
        <v>526.6875</v>
      </c>
      <c r="J11111" s="3">
        <f t="shared" si="173"/>
        <v>43749.294004849529</v>
      </c>
    </row>
    <row r="11112" spans="1:10" x14ac:dyDescent="0.25">
      <c r="A11112" s="5" t="s">
        <v>47861</v>
      </c>
      <c r="B11112" s="6">
        <v>393.75</v>
      </c>
      <c r="C11112" s="6">
        <v>20.478950000000001</v>
      </c>
      <c r="D11112" s="6">
        <v>67</v>
      </c>
      <c r="E11112" s="6">
        <v>0</v>
      </c>
      <c r="F11112" s="6">
        <v>0</v>
      </c>
      <c r="G11112" s="6">
        <v>8</v>
      </c>
      <c r="H11112" s="6" t="s">
        <v>47862</v>
      </c>
      <c r="I11112" s="6">
        <v>526.6875</v>
      </c>
      <c r="J11112" s="2">
        <f t="shared" si="173"/>
        <v>43749.294076365739</v>
      </c>
    </row>
    <row r="11113" spans="1:10" x14ac:dyDescent="0.25">
      <c r="A11113" s="7" t="s">
        <v>47863</v>
      </c>
      <c r="B11113" s="8">
        <v>393.75</v>
      </c>
      <c r="C11113" s="8">
        <v>20.478950000000001</v>
      </c>
      <c r="D11113" s="8">
        <v>68</v>
      </c>
      <c r="E11113" s="8">
        <v>0</v>
      </c>
      <c r="F11113" s="8">
        <v>0</v>
      </c>
      <c r="G11113" s="8">
        <v>7</v>
      </c>
      <c r="H11113" s="8" t="s">
        <v>47864</v>
      </c>
      <c r="I11113" s="8">
        <v>526.6875</v>
      </c>
      <c r="J11113" s="3">
        <f t="shared" si="173"/>
        <v>43749.29414766204</v>
      </c>
    </row>
    <row r="11114" spans="1:10" x14ac:dyDescent="0.25">
      <c r="A11114" s="5" t="s">
        <v>47865</v>
      </c>
      <c r="B11114" s="6">
        <v>393.75</v>
      </c>
      <c r="C11114" s="6">
        <v>20.478950000000001</v>
      </c>
      <c r="D11114" s="6">
        <v>69</v>
      </c>
      <c r="E11114" s="6">
        <v>0</v>
      </c>
      <c r="F11114" s="6">
        <v>0</v>
      </c>
      <c r="G11114" s="6">
        <v>8</v>
      </c>
      <c r="H11114" s="6" t="s">
        <v>47866</v>
      </c>
      <c r="I11114" s="6">
        <v>526.6875</v>
      </c>
      <c r="J11114" s="2">
        <f t="shared" si="173"/>
        <v>43749.294219664349</v>
      </c>
    </row>
    <row r="11115" spans="1:10" x14ac:dyDescent="0.25">
      <c r="A11115" s="7" t="s">
        <v>47867</v>
      </c>
      <c r="B11115" s="8">
        <v>396.875</v>
      </c>
      <c r="C11115" s="8">
        <v>20.478950000000001</v>
      </c>
      <c r="D11115" s="8">
        <v>69</v>
      </c>
      <c r="E11115" s="8">
        <v>0</v>
      </c>
      <c r="F11115" s="8">
        <v>0</v>
      </c>
      <c r="G11115" s="8">
        <v>10</v>
      </c>
      <c r="H11115" s="8" t="s">
        <v>47868</v>
      </c>
      <c r="I11115" s="8">
        <v>527.4375</v>
      </c>
      <c r="J11115" s="3">
        <f t="shared" si="173"/>
        <v>43749.294290937498</v>
      </c>
    </row>
    <row r="11116" spans="1:10" x14ac:dyDescent="0.25">
      <c r="A11116" s="5" t="s">
        <v>47869</v>
      </c>
      <c r="B11116" s="6">
        <v>396.875</v>
      </c>
      <c r="C11116" s="6">
        <v>20.478950000000001</v>
      </c>
      <c r="D11116" s="6">
        <v>72</v>
      </c>
      <c r="E11116" s="6">
        <v>0</v>
      </c>
      <c r="F11116" s="6">
        <v>0</v>
      </c>
      <c r="G11116" s="6">
        <v>9</v>
      </c>
      <c r="H11116" s="6" t="s">
        <v>47870</v>
      </c>
      <c r="I11116" s="6">
        <v>527.4375</v>
      </c>
      <c r="J11116" s="2">
        <f t="shared" si="173"/>
        <v>43749.294362465276</v>
      </c>
    </row>
    <row r="11117" spans="1:10" x14ac:dyDescent="0.25">
      <c r="A11117" s="7" t="s">
        <v>47871</v>
      </c>
      <c r="B11117" s="8">
        <v>396.875</v>
      </c>
      <c r="C11117" s="8">
        <v>20.478950000000001</v>
      </c>
      <c r="D11117" s="8">
        <v>72</v>
      </c>
      <c r="E11117" s="8">
        <v>0</v>
      </c>
      <c r="F11117" s="8">
        <v>0</v>
      </c>
      <c r="G11117" s="8">
        <v>4</v>
      </c>
      <c r="H11117" s="8" t="s">
        <v>47872</v>
      </c>
      <c r="I11117" s="8">
        <v>527.4375</v>
      </c>
      <c r="J11117" s="3">
        <f t="shared" si="173"/>
        <v>43749.294434525458</v>
      </c>
    </row>
    <row r="11118" spans="1:10" x14ac:dyDescent="0.25">
      <c r="A11118" s="5" t="s">
        <v>47873</v>
      </c>
      <c r="B11118" s="6">
        <v>396.875</v>
      </c>
      <c r="C11118" s="6">
        <v>20.478950000000001</v>
      </c>
      <c r="D11118" s="6">
        <v>72</v>
      </c>
      <c r="E11118" s="6">
        <v>0</v>
      </c>
      <c r="F11118" s="6">
        <v>0</v>
      </c>
      <c r="G11118" s="6">
        <v>8</v>
      </c>
      <c r="H11118" s="6" t="s">
        <v>47874</v>
      </c>
      <c r="I11118" s="6">
        <v>527.4375</v>
      </c>
      <c r="J11118" s="2">
        <f t="shared" si="173"/>
        <v>43749.294505069447</v>
      </c>
    </row>
    <row r="11119" spans="1:10" x14ac:dyDescent="0.25">
      <c r="A11119" s="7" t="s">
        <v>47875</v>
      </c>
      <c r="B11119" s="8">
        <v>396.875</v>
      </c>
      <c r="C11119" s="8">
        <v>20.478950000000001</v>
      </c>
      <c r="D11119" s="8">
        <v>72</v>
      </c>
      <c r="E11119" s="8">
        <v>0</v>
      </c>
      <c r="F11119" s="8">
        <v>0</v>
      </c>
      <c r="G11119" s="8">
        <v>8</v>
      </c>
      <c r="H11119" s="8" t="s">
        <v>47876</v>
      </c>
      <c r="I11119" s="8">
        <v>527.4375</v>
      </c>
      <c r="J11119" s="3">
        <f t="shared" si="173"/>
        <v>43749.294577071756</v>
      </c>
    </row>
    <row r="11120" spans="1:10" x14ac:dyDescent="0.25">
      <c r="A11120" s="5" t="s">
        <v>47877</v>
      </c>
      <c r="B11120" s="6">
        <v>396.875</v>
      </c>
      <c r="C11120" s="6">
        <v>20.426300000000001</v>
      </c>
      <c r="D11120" s="6">
        <v>72</v>
      </c>
      <c r="E11120" s="6">
        <v>0</v>
      </c>
      <c r="F11120" s="6">
        <v>0</v>
      </c>
      <c r="G11120" s="6">
        <v>13</v>
      </c>
      <c r="H11120" s="6" t="s">
        <v>47878</v>
      </c>
      <c r="I11120" s="6">
        <v>527.4375</v>
      </c>
      <c r="J11120" s="2">
        <f t="shared" si="173"/>
        <v>43749.294648599534</v>
      </c>
    </row>
    <row r="11121" spans="1:10" x14ac:dyDescent="0.25">
      <c r="A11121" s="7" t="s">
        <v>47879</v>
      </c>
      <c r="B11121" s="8">
        <v>396.875</v>
      </c>
      <c r="C11121" s="8">
        <v>20.478950000000001</v>
      </c>
      <c r="D11121" s="8">
        <v>71</v>
      </c>
      <c r="E11121" s="8">
        <v>0</v>
      </c>
      <c r="F11121" s="8">
        <v>0</v>
      </c>
      <c r="G11121" s="8">
        <v>9</v>
      </c>
      <c r="H11121" s="8" t="s">
        <v>47880</v>
      </c>
      <c r="I11121" s="8">
        <v>527.4375</v>
      </c>
      <c r="J11121" s="3">
        <f t="shared" si="173"/>
        <v>43749.29472056713</v>
      </c>
    </row>
    <row r="11122" spans="1:10" x14ac:dyDescent="0.25">
      <c r="A11122" s="5" t="s">
        <v>47881</v>
      </c>
      <c r="B11122" s="6">
        <v>396.875</v>
      </c>
      <c r="C11122" s="6">
        <v>20.478950000000001</v>
      </c>
      <c r="D11122" s="6">
        <v>71</v>
      </c>
      <c r="E11122" s="6">
        <v>0</v>
      </c>
      <c r="F11122" s="6">
        <v>0</v>
      </c>
      <c r="G11122" s="6">
        <v>8</v>
      </c>
      <c r="H11122" s="6" t="s">
        <v>47882</v>
      </c>
      <c r="I11122" s="6">
        <v>527.4375</v>
      </c>
      <c r="J11122" s="2">
        <f t="shared" si="173"/>
        <v>43749.294803958335</v>
      </c>
    </row>
    <row r="11123" spans="1:10" x14ac:dyDescent="0.25">
      <c r="A11123" s="7" t="s">
        <v>47883</v>
      </c>
      <c r="B11123" s="8">
        <v>415.625</v>
      </c>
      <c r="C11123" s="8">
        <v>20.478950000000001</v>
      </c>
      <c r="D11123" s="8">
        <v>71</v>
      </c>
      <c r="E11123" s="8">
        <v>0</v>
      </c>
      <c r="F11123" s="8">
        <v>0</v>
      </c>
      <c r="G11123" s="8">
        <v>4</v>
      </c>
      <c r="H11123" s="8" t="s">
        <v>47884</v>
      </c>
      <c r="I11123" s="8">
        <v>533.625</v>
      </c>
      <c r="J11123" s="3">
        <f t="shared" si="173"/>
        <v>43749.294875439817</v>
      </c>
    </row>
    <row r="11124" spans="1:10" x14ac:dyDescent="0.25">
      <c r="A11124" s="5" t="s">
        <v>47885</v>
      </c>
      <c r="B11124" s="6">
        <v>400</v>
      </c>
      <c r="C11124" s="6">
        <v>20.478950000000001</v>
      </c>
      <c r="D11124" s="6">
        <v>71</v>
      </c>
      <c r="E11124" s="6">
        <v>0</v>
      </c>
      <c r="F11124" s="6">
        <v>0</v>
      </c>
      <c r="G11124" s="6">
        <v>4</v>
      </c>
      <c r="H11124" s="6" t="s">
        <v>47886</v>
      </c>
      <c r="I11124" s="6">
        <v>528.1875</v>
      </c>
      <c r="J11124" s="2">
        <f t="shared" si="173"/>
        <v>43749.294946793983</v>
      </c>
    </row>
    <row r="11125" spans="1:10" x14ac:dyDescent="0.25">
      <c r="A11125" s="7" t="s">
        <v>47887</v>
      </c>
      <c r="B11125" s="8">
        <v>400</v>
      </c>
      <c r="C11125" s="8">
        <v>20.478950000000001</v>
      </c>
      <c r="D11125" s="8">
        <v>71</v>
      </c>
      <c r="E11125" s="8">
        <v>0</v>
      </c>
      <c r="F11125" s="8">
        <v>0</v>
      </c>
      <c r="G11125" s="8">
        <v>9</v>
      </c>
      <c r="H11125" s="8" t="s">
        <v>47888</v>
      </c>
      <c r="I11125" s="8">
        <v>528.1875</v>
      </c>
      <c r="J11125" s="3">
        <f t="shared" si="173"/>
        <v>43749.295018726851</v>
      </c>
    </row>
    <row r="11126" spans="1:10" x14ac:dyDescent="0.25">
      <c r="A11126" s="5" t="s">
        <v>47889</v>
      </c>
      <c r="B11126" s="6">
        <v>400</v>
      </c>
      <c r="C11126" s="6">
        <v>20.478950000000001</v>
      </c>
      <c r="D11126" s="6">
        <v>71</v>
      </c>
      <c r="E11126" s="6">
        <v>0</v>
      </c>
      <c r="F11126" s="6">
        <v>0</v>
      </c>
      <c r="G11126" s="6">
        <v>7</v>
      </c>
      <c r="H11126" s="6" t="s">
        <v>47890</v>
      </c>
      <c r="I11126" s="6">
        <v>528.1875</v>
      </c>
      <c r="J11126" s="2">
        <f t="shared" si="173"/>
        <v>43749.295090023144</v>
      </c>
    </row>
    <row r="11127" spans="1:10" x14ac:dyDescent="0.25">
      <c r="A11127" s="7" t="s">
        <v>47891</v>
      </c>
      <c r="B11127" s="8">
        <v>400</v>
      </c>
      <c r="C11127" s="8">
        <v>20.478950000000001</v>
      </c>
      <c r="D11127" s="8">
        <v>71</v>
      </c>
      <c r="E11127" s="8">
        <v>0</v>
      </c>
      <c r="F11127" s="8">
        <v>0</v>
      </c>
      <c r="G11127" s="8">
        <v>12</v>
      </c>
      <c r="H11127" s="8" t="s">
        <v>47892</v>
      </c>
      <c r="I11127" s="8">
        <v>528.375</v>
      </c>
      <c r="J11127" s="3">
        <f t="shared" si="173"/>
        <v>43749.295161550923</v>
      </c>
    </row>
    <row r="11128" spans="1:10" x14ac:dyDescent="0.25">
      <c r="A11128" s="5" t="s">
        <v>47893</v>
      </c>
      <c r="B11128" s="6">
        <v>400</v>
      </c>
      <c r="C11128" s="6">
        <v>20.478950000000001</v>
      </c>
      <c r="D11128" s="6">
        <v>72</v>
      </c>
      <c r="E11128" s="6">
        <v>0</v>
      </c>
      <c r="F11128" s="6">
        <v>0</v>
      </c>
      <c r="G11128" s="6">
        <v>7</v>
      </c>
      <c r="H11128" s="6" t="s">
        <v>47894</v>
      </c>
      <c r="I11128" s="6">
        <v>528.375</v>
      </c>
      <c r="J11128" s="2">
        <f t="shared" si="173"/>
        <v>43749.295232604163</v>
      </c>
    </row>
    <row r="11129" spans="1:10" x14ac:dyDescent="0.25">
      <c r="A11129" s="7" t="s">
        <v>47895</v>
      </c>
      <c r="B11129" s="8">
        <v>403.125</v>
      </c>
      <c r="C11129" s="8">
        <v>20.478950000000001</v>
      </c>
      <c r="D11129" s="8">
        <v>73</v>
      </c>
      <c r="E11129" s="8">
        <v>0</v>
      </c>
      <c r="F11129" s="8">
        <v>0</v>
      </c>
      <c r="G11129" s="8">
        <v>8</v>
      </c>
      <c r="H11129" s="8" t="s">
        <v>47896</v>
      </c>
      <c r="I11129" s="8">
        <v>529.125</v>
      </c>
      <c r="J11129" s="3">
        <f t="shared" si="173"/>
        <v>43749.295305</v>
      </c>
    </row>
    <row r="11130" spans="1:10" x14ac:dyDescent="0.25">
      <c r="A11130" s="5" t="s">
        <v>47897</v>
      </c>
      <c r="B11130" s="6">
        <v>400</v>
      </c>
      <c r="C11130" s="6">
        <v>20.478950000000001</v>
      </c>
      <c r="D11130" s="6">
        <v>72</v>
      </c>
      <c r="E11130" s="6">
        <v>0</v>
      </c>
      <c r="F11130" s="6">
        <v>0</v>
      </c>
      <c r="G11130" s="6">
        <v>11</v>
      </c>
      <c r="H11130" s="6" t="s">
        <v>47898</v>
      </c>
      <c r="I11130" s="6">
        <v>528.9375</v>
      </c>
      <c r="J11130" s="2">
        <f t="shared" si="173"/>
        <v>43749.295376215276</v>
      </c>
    </row>
    <row r="11131" spans="1:10" x14ac:dyDescent="0.25">
      <c r="A11131" s="7" t="s">
        <v>47899</v>
      </c>
      <c r="B11131" s="8">
        <v>403.125</v>
      </c>
      <c r="C11131" s="8">
        <v>20.478950000000001</v>
      </c>
      <c r="D11131" s="8">
        <v>70</v>
      </c>
      <c r="E11131" s="8">
        <v>0</v>
      </c>
      <c r="F11131" s="8">
        <v>0</v>
      </c>
      <c r="G11131" s="8">
        <v>13</v>
      </c>
      <c r="H11131" s="8" t="s">
        <v>47900</v>
      </c>
      <c r="I11131" s="8">
        <v>529.125</v>
      </c>
      <c r="J11131" s="3">
        <f t="shared" si="173"/>
        <v>43749.295447615739</v>
      </c>
    </row>
    <row r="11132" spans="1:10" x14ac:dyDescent="0.25">
      <c r="A11132" s="5" t="s">
        <v>47901</v>
      </c>
      <c r="B11132" s="6">
        <v>418.75</v>
      </c>
      <c r="C11132" s="6">
        <v>20.478950000000001</v>
      </c>
      <c r="D11132" s="6">
        <v>71</v>
      </c>
      <c r="E11132" s="6">
        <v>0</v>
      </c>
      <c r="F11132" s="6">
        <v>0</v>
      </c>
      <c r="G11132" s="6">
        <v>6</v>
      </c>
      <c r="H11132" s="6" t="s">
        <v>47902</v>
      </c>
      <c r="I11132" s="6">
        <v>534.75</v>
      </c>
      <c r="J11132" s="2">
        <f t="shared" si="173"/>
        <v>43749.295519016203</v>
      </c>
    </row>
    <row r="11133" spans="1:10" x14ac:dyDescent="0.25">
      <c r="A11133" s="7" t="s">
        <v>47903</v>
      </c>
      <c r="B11133" s="8">
        <v>403.125</v>
      </c>
      <c r="C11133" s="8">
        <v>20.478950000000001</v>
      </c>
      <c r="D11133" s="8">
        <v>70</v>
      </c>
      <c r="E11133" s="8">
        <v>0</v>
      </c>
      <c r="F11133" s="8">
        <v>0</v>
      </c>
      <c r="G11133" s="8">
        <v>12</v>
      </c>
      <c r="H11133" s="8" t="s">
        <v>47904</v>
      </c>
      <c r="I11133" s="8">
        <v>529.125</v>
      </c>
      <c r="J11133" s="3">
        <f t="shared" si="173"/>
        <v>43749.295603298604</v>
      </c>
    </row>
    <row r="11134" spans="1:10" x14ac:dyDescent="0.25">
      <c r="A11134" s="5" t="s">
        <v>47905</v>
      </c>
      <c r="B11134" s="6">
        <v>400</v>
      </c>
      <c r="C11134" s="6">
        <v>20.478950000000001</v>
      </c>
      <c r="D11134" s="6">
        <v>71</v>
      </c>
      <c r="E11134" s="6">
        <v>0</v>
      </c>
      <c r="F11134" s="6">
        <v>0</v>
      </c>
      <c r="G11134" s="6">
        <v>6</v>
      </c>
      <c r="H11134" s="6" t="s">
        <v>47906</v>
      </c>
      <c r="I11134" s="6">
        <v>528.1875</v>
      </c>
      <c r="J11134" s="2">
        <f t="shared" si="173"/>
        <v>43749.295674374996</v>
      </c>
    </row>
    <row r="11135" spans="1:10" x14ac:dyDescent="0.25">
      <c r="A11135" s="7" t="s">
        <v>47907</v>
      </c>
      <c r="B11135" s="8">
        <v>400</v>
      </c>
      <c r="C11135" s="8">
        <v>20.478950000000001</v>
      </c>
      <c r="D11135" s="8">
        <v>71</v>
      </c>
      <c r="E11135" s="8">
        <v>0</v>
      </c>
      <c r="F11135" s="8">
        <v>0</v>
      </c>
      <c r="G11135" s="8">
        <v>9</v>
      </c>
      <c r="H11135" s="8" t="s">
        <v>47908</v>
      </c>
      <c r="I11135" s="8">
        <v>528.1875</v>
      </c>
      <c r="J11135" s="3">
        <f t="shared" si="173"/>
        <v>43749.295745555552</v>
      </c>
    </row>
    <row r="11136" spans="1:10" x14ac:dyDescent="0.25">
      <c r="A11136" s="5" t="s">
        <v>47909</v>
      </c>
      <c r="B11136" s="6">
        <v>400</v>
      </c>
      <c r="C11136" s="6">
        <v>20.478950000000001</v>
      </c>
      <c r="D11136" s="6">
        <v>71</v>
      </c>
      <c r="E11136" s="6">
        <v>0</v>
      </c>
      <c r="F11136" s="6">
        <v>0</v>
      </c>
      <c r="G11136" s="6">
        <v>2</v>
      </c>
      <c r="H11136" s="6" t="s">
        <v>47910</v>
      </c>
      <c r="I11136" s="6">
        <v>528.1875</v>
      </c>
      <c r="J11136" s="2">
        <f t="shared" si="173"/>
        <v>43749.295817210645</v>
      </c>
    </row>
    <row r="11137" spans="1:10" x14ac:dyDescent="0.25">
      <c r="A11137" s="7" t="s">
        <v>47911</v>
      </c>
      <c r="B11137" s="8">
        <v>400</v>
      </c>
      <c r="C11137" s="8">
        <v>20.478950000000001</v>
      </c>
      <c r="D11137" s="8">
        <v>71</v>
      </c>
      <c r="E11137" s="8">
        <v>0</v>
      </c>
      <c r="F11137" s="8">
        <v>0</v>
      </c>
      <c r="G11137" s="8">
        <v>11</v>
      </c>
      <c r="H11137" s="8" t="s">
        <v>47912</v>
      </c>
      <c r="I11137" s="8">
        <v>528.1875</v>
      </c>
      <c r="J11137" s="3">
        <f t="shared" si="173"/>
        <v>43749.295892210641</v>
      </c>
    </row>
    <row r="11138" spans="1:10" x14ac:dyDescent="0.25">
      <c r="A11138" s="5" t="s">
        <v>47913</v>
      </c>
      <c r="B11138" s="6">
        <v>400</v>
      </c>
      <c r="C11138" s="6">
        <v>20.478950000000001</v>
      </c>
      <c r="D11138" s="6">
        <v>71</v>
      </c>
      <c r="E11138" s="6">
        <v>0</v>
      </c>
      <c r="F11138" s="6">
        <v>0</v>
      </c>
      <c r="G11138" s="6">
        <v>9</v>
      </c>
      <c r="H11138" s="6" t="s">
        <v>47914</v>
      </c>
      <c r="I11138" s="6">
        <v>528.1875</v>
      </c>
      <c r="J11138" s="2">
        <f t="shared" ref="J11138:J11201" si="174">(H11138/86400000)+25569+(7/24)</f>
        <v>43749.295972615735</v>
      </c>
    </row>
    <row r="11139" spans="1:10" x14ac:dyDescent="0.25">
      <c r="A11139" s="7" t="s">
        <v>47915</v>
      </c>
      <c r="B11139" s="8">
        <v>400</v>
      </c>
      <c r="C11139" s="8">
        <v>20.426300000000001</v>
      </c>
      <c r="D11139" s="8">
        <v>72</v>
      </c>
      <c r="E11139" s="8">
        <v>0</v>
      </c>
      <c r="F11139" s="8">
        <v>0</v>
      </c>
      <c r="G11139" s="8">
        <v>6</v>
      </c>
      <c r="H11139" s="8" t="s">
        <v>47916</v>
      </c>
      <c r="I11139" s="8">
        <v>528.1875</v>
      </c>
      <c r="J11139" s="3">
        <f t="shared" si="174"/>
        <v>43749.296043935181</v>
      </c>
    </row>
    <row r="11140" spans="1:10" x14ac:dyDescent="0.25">
      <c r="A11140" s="5" t="s">
        <v>47917</v>
      </c>
      <c r="B11140" s="6">
        <v>400</v>
      </c>
      <c r="C11140" s="6">
        <v>20.478950000000001</v>
      </c>
      <c r="D11140" s="6">
        <v>70</v>
      </c>
      <c r="E11140" s="6">
        <v>0</v>
      </c>
      <c r="F11140" s="6">
        <v>0</v>
      </c>
      <c r="G11140" s="6">
        <v>7</v>
      </c>
      <c r="H11140" s="6" t="s">
        <v>47918</v>
      </c>
      <c r="I11140" s="6">
        <v>528.1875</v>
      </c>
      <c r="J11140" s="2">
        <f t="shared" si="174"/>
        <v>43749.296115347221</v>
      </c>
    </row>
    <row r="11141" spans="1:10" x14ac:dyDescent="0.25">
      <c r="A11141" s="7" t="s">
        <v>47919</v>
      </c>
      <c r="B11141" s="8">
        <v>400</v>
      </c>
      <c r="C11141" s="8">
        <v>20.478950000000001</v>
      </c>
      <c r="D11141" s="8">
        <v>70</v>
      </c>
      <c r="E11141" s="8">
        <v>0</v>
      </c>
      <c r="F11141" s="8">
        <v>0</v>
      </c>
      <c r="G11141" s="8">
        <v>11</v>
      </c>
      <c r="H11141" s="8" t="s">
        <v>47920</v>
      </c>
      <c r="I11141" s="8">
        <v>528.375</v>
      </c>
      <c r="J11141" s="3">
        <f t="shared" si="174"/>
        <v>43749.296187546293</v>
      </c>
    </row>
    <row r="11142" spans="1:10" x14ac:dyDescent="0.25">
      <c r="A11142" s="5" t="s">
        <v>47921</v>
      </c>
      <c r="B11142" s="6">
        <v>400</v>
      </c>
      <c r="C11142" s="6">
        <v>20.478950000000001</v>
      </c>
      <c r="D11142" s="6">
        <v>70</v>
      </c>
      <c r="E11142" s="6">
        <v>0</v>
      </c>
      <c r="F11142" s="6">
        <v>0</v>
      </c>
      <c r="G11142" s="6">
        <v>8</v>
      </c>
      <c r="H11142" s="6" t="s">
        <v>47922</v>
      </c>
      <c r="I11142" s="6">
        <v>528.375</v>
      </c>
      <c r="J11142" s="2">
        <f t="shared" si="174"/>
        <v>43749.296258055554</v>
      </c>
    </row>
    <row r="11143" spans="1:10" x14ac:dyDescent="0.25">
      <c r="A11143" s="7" t="s">
        <v>47923</v>
      </c>
      <c r="B11143" s="8">
        <v>396.875</v>
      </c>
      <c r="C11143" s="8">
        <v>20.478950000000001</v>
      </c>
      <c r="D11143" s="8">
        <v>72</v>
      </c>
      <c r="E11143" s="8">
        <v>0</v>
      </c>
      <c r="F11143" s="8">
        <v>0</v>
      </c>
      <c r="G11143" s="8">
        <v>9</v>
      </c>
      <c r="H11143" s="8" t="s">
        <v>47924</v>
      </c>
      <c r="I11143" s="8">
        <v>527.4375</v>
      </c>
      <c r="J11143" s="3">
        <f t="shared" si="174"/>
        <v>43749.296341967587</v>
      </c>
    </row>
    <row r="11144" spans="1:10" x14ac:dyDescent="0.25">
      <c r="A11144" s="5" t="s">
        <v>47925</v>
      </c>
      <c r="B11144" s="6">
        <v>396.875</v>
      </c>
      <c r="C11144" s="6">
        <v>20.478950000000001</v>
      </c>
      <c r="D11144" s="6">
        <v>70</v>
      </c>
      <c r="E11144" s="6">
        <v>0</v>
      </c>
      <c r="F11144" s="6">
        <v>0</v>
      </c>
      <c r="G11144" s="6">
        <v>7</v>
      </c>
      <c r="H11144" s="6" t="s">
        <v>47926</v>
      </c>
      <c r="I11144" s="6">
        <v>527.4375</v>
      </c>
      <c r="J11144" s="2">
        <f t="shared" si="174"/>
        <v>43749.296413506941</v>
      </c>
    </row>
    <row r="11145" spans="1:10" x14ac:dyDescent="0.25">
      <c r="A11145" s="7" t="s">
        <v>47927</v>
      </c>
      <c r="B11145" s="8">
        <v>396.875</v>
      </c>
      <c r="C11145" s="8">
        <v>20.478950000000001</v>
      </c>
      <c r="D11145" s="8">
        <v>70</v>
      </c>
      <c r="E11145" s="8">
        <v>0</v>
      </c>
      <c r="F11145" s="8">
        <v>0</v>
      </c>
      <c r="G11145" s="8">
        <v>10</v>
      </c>
      <c r="H11145" s="8" t="s">
        <v>47928</v>
      </c>
      <c r="I11145" s="8">
        <v>527.4375</v>
      </c>
      <c r="J11145" s="3">
        <f t="shared" si="174"/>
        <v>43749.296485462961</v>
      </c>
    </row>
    <row r="11146" spans="1:10" x14ac:dyDescent="0.25">
      <c r="A11146" s="5" t="s">
        <v>47929</v>
      </c>
      <c r="B11146" s="6">
        <v>396.875</v>
      </c>
      <c r="C11146" s="6">
        <v>20.478950000000001</v>
      </c>
      <c r="D11146" s="6">
        <v>70</v>
      </c>
      <c r="E11146" s="6">
        <v>0</v>
      </c>
      <c r="F11146" s="6">
        <v>0</v>
      </c>
      <c r="G11146" s="6">
        <v>2</v>
      </c>
      <c r="H11146" s="6" t="s">
        <v>47930</v>
      </c>
      <c r="I11146" s="6">
        <v>527.4375</v>
      </c>
      <c r="J11146" s="2">
        <f t="shared" si="174"/>
        <v>43749.296569050923</v>
      </c>
    </row>
    <row r="11147" spans="1:10" x14ac:dyDescent="0.25">
      <c r="A11147" s="7" t="s">
        <v>47931</v>
      </c>
      <c r="B11147" s="8">
        <v>396.875</v>
      </c>
      <c r="C11147" s="8">
        <v>20.478950000000001</v>
      </c>
      <c r="D11147" s="8">
        <v>70</v>
      </c>
      <c r="E11147" s="8">
        <v>0</v>
      </c>
      <c r="F11147" s="8">
        <v>0</v>
      </c>
      <c r="G11147" s="8">
        <v>12</v>
      </c>
      <c r="H11147" s="8" t="s">
        <v>47932</v>
      </c>
      <c r="I11147" s="8">
        <v>527.4375</v>
      </c>
      <c r="J11147" s="3">
        <f t="shared" si="174"/>
        <v>43749.296640347216</v>
      </c>
    </row>
    <row r="11148" spans="1:10" x14ac:dyDescent="0.25">
      <c r="A11148" s="5" t="s">
        <v>47933</v>
      </c>
      <c r="B11148" s="6">
        <v>396.875</v>
      </c>
      <c r="C11148" s="6">
        <v>20.478950000000001</v>
      </c>
      <c r="D11148" s="6">
        <v>70</v>
      </c>
      <c r="E11148" s="6">
        <v>0</v>
      </c>
      <c r="F11148" s="6">
        <v>0</v>
      </c>
      <c r="G11148" s="6">
        <v>2</v>
      </c>
      <c r="H11148" s="6" t="s">
        <v>47934</v>
      </c>
      <c r="I11148" s="6">
        <v>527.4375</v>
      </c>
      <c r="J11148" s="2">
        <f t="shared" si="174"/>
        <v>43749.296711689814</v>
      </c>
    </row>
    <row r="11149" spans="1:10" x14ac:dyDescent="0.25">
      <c r="A11149" s="7" t="s">
        <v>47935</v>
      </c>
      <c r="B11149" s="8">
        <v>396.875</v>
      </c>
      <c r="C11149" s="8">
        <v>20.478950000000001</v>
      </c>
      <c r="D11149" s="8">
        <v>71</v>
      </c>
      <c r="E11149" s="8">
        <v>0</v>
      </c>
      <c r="F11149" s="8">
        <v>0</v>
      </c>
      <c r="G11149" s="8">
        <v>10</v>
      </c>
      <c r="H11149" s="8" t="s">
        <v>47936</v>
      </c>
      <c r="I11149" s="8">
        <v>527.4375</v>
      </c>
      <c r="J11149" s="3">
        <f t="shared" si="174"/>
        <v>43749.296783634258</v>
      </c>
    </row>
    <row r="11150" spans="1:10" x14ac:dyDescent="0.25">
      <c r="A11150" s="5" t="s">
        <v>47937</v>
      </c>
      <c r="B11150" s="6">
        <v>415.625</v>
      </c>
      <c r="C11150" s="6">
        <v>20.478950000000001</v>
      </c>
      <c r="D11150" s="6">
        <v>71</v>
      </c>
      <c r="E11150" s="6">
        <v>0</v>
      </c>
      <c r="F11150" s="6">
        <v>0</v>
      </c>
      <c r="G11150" s="6">
        <v>17</v>
      </c>
      <c r="H11150" s="6" t="s">
        <v>47938</v>
      </c>
      <c r="I11150" s="6">
        <v>533.625</v>
      </c>
      <c r="J11150" s="2">
        <f t="shared" si="174"/>
        <v>43749.29685504629</v>
      </c>
    </row>
    <row r="11151" spans="1:10" x14ac:dyDescent="0.25">
      <c r="A11151" s="7" t="s">
        <v>47939</v>
      </c>
      <c r="B11151" s="8">
        <v>396.875</v>
      </c>
      <c r="C11151" s="8">
        <v>20.478950000000001</v>
      </c>
      <c r="D11151" s="8">
        <v>71</v>
      </c>
      <c r="E11151" s="8">
        <v>0</v>
      </c>
      <c r="F11151" s="8">
        <v>0</v>
      </c>
      <c r="G11151" s="8">
        <v>10</v>
      </c>
      <c r="H11151" s="8" t="s">
        <v>47940</v>
      </c>
      <c r="I11151" s="8">
        <v>527.4375</v>
      </c>
      <c r="J11151" s="3">
        <f t="shared" si="174"/>
        <v>43749.29692645833</v>
      </c>
    </row>
    <row r="11152" spans="1:10" x14ac:dyDescent="0.25">
      <c r="A11152" s="5" t="s">
        <v>47941</v>
      </c>
      <c r="B11152" s="6">
        <v>396.875</v>
      </c>
      <c r="C11152" s="6">
        <v>20.478950000000001</v>
      </c>
      <c r="D11152" s="6">
        <v>70</v>
      </c>
      <c r="E11152" s="6">
        <v>0</v>
      </c>
      <c r="F11152" s="6">
        <v>0</v>
      </c>
      <c r="G11152" s="6">
        <v>2</v>
      </c>
      <c r="H11152" s="6" t="s">
        <v>47942</v>
      </c>
      <c r="I11152" s="6">
        <v>527.4375</v>
      </c>
      <c r="J11152" s="2">
        <f t="shared" si="174"/>
        <v>43749.2969977662</v>
      </c>
    </row>
    <row r="11153" spans="1:10" x14ac:dyDescent="0.25">
      <c r="A11153" s="7" t="s">
        <v>47943</v>
      </c>
      <c r="B11153" s="8">
        <v>396.875</v>
      </c>
      <c r="C11153" s="8">
        <v>20.426300000000001</v>
      </c>
      <c r="D11153" s="8">
        <v>71</v>
      </c>
      <c r="E11153" s="8">
        <v>0</v>
      </c>
      <c r="F11153" s="8">
        <v>0</v>
      </c>
      <c r="G11153" s="8">
        <v>12</v>
      </c>
      <c r="H11153" s="8" t="s">
        <v>47944</v>
      </c>
      <c r="I11153" s="8">
        <v>527.4375</v>
      </c>
      <c r="J11153" s="3">
        <f t="shared" si="174"/>
        <v>43749.297081145829</v>
      </c>
    </row>
    <row r="11154" spans="1:10" x14ac:dyDescent="0.25">
      <c r="A11154" s="5" t="s">
        <v>47945</v>
      </c>
      <c r="B11154" s="6">
        <v>396.875</v>
      </c>
      <c r="C11154" s="6">
        <v>20.426300000000001</v>
      </c>
      <c r="D11154" s="6">
        <v>71</v>
      </c>
      <c r="E11154" s="6">
        <v>0</v>
      </c>
      <c r="F11154" s="6">
        <v>0</v>
      </c>
      <c r="G11154" s="6">
        <v>2</v>
      </c>
      <c r="H11154" s="6" t="s">
        <v>47946</v>
      </c>
      <c r="I11154" s="6">
        <v>527.4375</v>
      </c>
      <c r="J11154" s="2">
        <f t="shared" si="174"/>
        <v>43749.297165208329</v>
      </c>
    </row>
    <row r="11155" spans="1:10" x14ac:dyDescent="0.25">
      <c r="A11155" s="7" t="s">
        <v>47947</v>
      </c>
      <c r="B11155" s="8">
        <v>396.875</v>
      </c>
      <c r="C11155" s="8">
        <v>20.478950000000001</v>
      </c>
      <c r="D11155" s="8">
        <v>72</v>
      </c>
      <c r="E11155" s="8">
        <v>0</v>
      </c>
      <c r="F11155" s="8">
        <v>0</v>
      </c>
      <c r="G11155" s="8">
        <v>9</v>
      </c>
      <c r="H11155" s="8" t="s">
        <v>47948</v>
      </c>
      <c r="I11155" s="8">
        <v>527.4375</v>
      </c>
      <c r="J11155" s="3">
        <f t="shared" si="174"/>
        <v>43749.297236620368</v>
      </c>
    </row>
    <row r="11156" spans="1:10" x14ac:dyDescent="0.25">
      <c r="A11156" s="5" t="s">
        <v>47949</v>
      </c>
      <c r="B11156" s="6">
        <v>396.875</v>
      </c>
      <c r="C11156" s="6">
        <v>20.478950000000001</v>
      </c>
      <c r="D11156" s="6">
        <v>72</v>
      </c>
      <c r="E11156" s="6">
        <v>0</v>
      </c>
      <c r="F11156" s="6">
        <v>0</v>
      </c>
      <c r="G11156" s="6">
        <v>8</v>
      </c>
      <c r="H11156" s="6" t="s">
        <v>47950</v>
      </c>
      <c r="I11156" s="6">
        <v>527.4375</v>
      </c>
      <c r="J11156" s="2">
        <f t="shared" si="174"/>
        <v>43749.297307939814</v>
      </c>
    </row>
    <row r="11157" spans="1:10" x14ac:dyDescent="0.25">
      <c r="A11157" s="7" t="s">
        <v>47951</v>
      </c>
      <c r="B11157" s="8">
        <v>396.875</v>
      </c>
      <c r="C11157" s="8">
        <v>20.478950000000001</v>
      </c>
      <c r="D11157" s="8">
        <v>72</v>
      </c>
      <c r="E11157" s="8">
        <v>0</v>
      </c>
      <c r="F11157" s="8">
        <v>0</v>
      </c>
      <c r="G11157" s="8">
        <v>13</v>
      </c>
      <c r="H11157" s="8" t="s">
        <v>47952</v>
      </c>
      <c r="I11157" s="8">
        <v>527.4375</v>
      </c>
      <c r="J11157" s="3">
        <f t="shared" si="174"/>
        <v>43749.297391296299</v>
      </c>
    </row>
    <row r="11158" spans="1:10" x14ac:dyDescent="0.25">
      <c r="A11158" s="5" t="s">
        <v>47953</v>
      </c>
      <c r="B11158" s="6">
        <v>396.875</v>
      </c>
      <c r="C11158" s="6">
        <v>20.478950000000001</v>
      </c>
      <c r="D11158" s="6">
        <v>73</v>
      </c>
      <c r="E11158" s="6">
        <v>0</v>
      </c>
      <c r="F11158" s="6">
        <v>0</v>
      </c>
      <c r="G11158" s="6">
        <v>7</v>
      </c>
      <c r="H11158" s="6" t="s">
        <v>47954</v>
      </c>
      <c r="I11158" s="6">
        <v>527.4375</v>
      </c>
      <c r="J11158" s="2">
        <f t="shared" si="174"/>
        <v>43749.29746336805</v>
      </c>
    </row>
    <row r="11159" spans="1:10" x14ac:dyDescent="0.25">
      <c r="A11159" s="7" t="s">
        <v>47955</v>
      </c>
      <c r="B11159" s="8">
        <v>400</v>
      </c>
      <c r="C11159" s="8">
        <v>20.478950000000001</v>
      </c>
      <c r="D11159" s="8">
        <v>73</v>
      </c>
      <c r="E11159" s="8">
        <v>0</v>
      </c>
      <c r="F11159" s="8">
        <v>0</v>
      </c>
      <c r="G11159" s="8">
        <v>13</v>
      </c>
      <c r="H11159" s="8" t="s">
        <v>47956</v>
      </c>
      <c r="I11159" s="8">
        <v>528.1875</v>
      </c>
      <c r="J11159" s="3">
        <f t="shared" si="174"/>
        <v>43749.297534675927</v>
      </c>
    </row>
    <row r="11160" spans="1:10" x14ac:dyDescent="0.25">
      <c r="A11160" s="5" t="s">
        <v>47957</v>
      </c>
      <c r="B11160" s="6">
        <v>403.125</v>
      </c>
      <c r="C11160" s="6">
        <v>20.478950000000001</v>
      </c>
      <c r="D11160" s="6">
        <v>79</v>
      </c>
      <c r="E11160" s="6">
        <v>0</v>
      </c>
      <c r="F11160" s="6">
        <v>0</v>
      </c>
      <c r="G11160" s="6">
        <v>9</v>
      </c>
      <c r="H11160" s="6" t="s">
        <v>47958</v>
      </c>
      <c r="I11160" s="6">
        <v>529.125</v>
      </c>
      <c r="J11160" s="2">
        <f t="shared" si="174"/>
        <v>43749.297605960644</v>
      </c>
    </row>
    <row r="11161" spans="1:10" x14ac:dyDescent="0.25">
      <c r="A11161" s="7" t="s">
        <v>47959</v>
      </c>
      <c r="B11161" s="8">
        <v>403.125</v>
      </c>
      <c r="C11161" s="8">
        <v>20.478950000000001</v>
      </c>
      <c r="D11161" s="8">
        <v>73</v>
      </c>
      <c r="E11161" s="8">
        <v>0</v>
      </c>
      <c r="F11161" s="8">
        <v>0</v>
      </c>
      <c r="G11161" s="8">
        <v>3</v>
      </c>
      <c r="H11161" s="8" t="s">
        <v>47960</v>
      </c>
      <c r="I11161" s="8">
        <v>529.125</v>
      </c>
      <c r="J11161" s="3">
        <f t="shared" si="174"/>
        <v>43749.29767738426</v>
      </c>
    </row>
    <row r="11162" spans="1:10" x14ac:dyDescent="0.25">
      <c r="A11162" s="5" t="s">
        <v>47961</v>
      </c>
      <c r="B11162" s="6">
        <v>403.125</v>
      </c>
      <c r="C11162" s="6">
        <v>20.478950000000001</v>
      </c>
      <c r="D11162" s="6">
        <v>72</v>
      </c>
      <c r="E11162" s="6">
        <v>0</v>
      </c>
      <c r="F11162" s="6">
        <v>0</v>
      </c>
      <c r="G11162" s="6">
        <v>0</v>
      </c>
      <c r="H11162" s="6" t="s">
        <v>47962</v>
      </c>
      <c r="I11162" s="6">
        <v>529.125</v>
      </c>
      <c r="J11162" s="2">
        <f t="shared" si="174"/>
        <v>43749.297749027777</v>
      </c>
    </row>
    <row r="11163" spans="1:10" x14ac:dyDescent="0.25">
      <c r="A11163" s="7" t="s">
        <v>47963</v>
      </c>
      <c r="B11163" s="8">
        <v>400</v>
      </c>
      <c r="C11163" s="8">
        <v>20.478950000000001</v>
      </c>
      <c r="D11163" s="8">
        <v>71</v>
      </c>
      <c r="E11163" s="8">
        <v>0</v>
      </c>
      <c r="F11163" s="8">
        <v>0</v>
      </c>
      <c r="G11163" s="8">
        <v>11</v>
      </c>
      <c r="H11163" s="8" t="s">
        <v>47964</v>
      </c>
      <c r="I11163" s="8">
        <v>528.9375</v>
      </c>
      <c r="J11163" s="3">
        <f t="shared" si="174"/>
        <v>43749.297820960644</v>
      </c>
    </row>
    <row r="11164" spans="1:10" x14ac:dyDescent="0.25">
      <c r="A11164" s="5" t="s">
        <v>47965</v>
      </c>
      <c r="B11164" s="6">
        <v>403.125</v>
      </c>
      <c r="C11164" s="6">
        <v>20.478950000000001</v>
      </c>
      <c r="D11164" s="6">
        <v>69</v>
      </c>
      <c r="E11164" s="6">
        <v>0</v>
      </c>
      <c r="F11164" s="6">
        <v>0</v>
      </c>
      <c r="G11164" s="6">
        <v>9</v>
      </c>
      <c r="H11164" s="6" t="s">
        <v>47966</v>
      </c>
      <c r="I11164" s="6">
        <v>529.125</v>
      </c>
      <c r="J11164" s="2">
        <f t="shared" si="174"/>
        <v>43749.297892199073</v>
      </c>
    </row>
    <row r="11165" spans="1:10" x14ac:dyDescent="0.25">
      <c r="A11165" s="7" t="s">
        <v>47967</v>
      </c>
      <c r="B11165" s="8">
        <v>403.125</v>
      </c>
      <c r="C11165" s="8">
        <v>20.478950000000001</v>
      </c>
      <c r="D11165" s="8">
        <v>69</v>
      </c>
      <c r="E11165" s="8">
        <v>0</v>
      </c>
      <c r="F11165" s="8">
        <v>0</v>
      </c>
      <c r="G11165" s="8">
        <v>3</v>
      </c>
      <c r="H11165" s="8" t="s">
        <v>47968</v>
      </c>
      <c r="I11165" s="8">
        <v>529.125</v>
      </c>
      <c r="J11165" s="3">
        <f t="shared" si="174"/>
        <v>43749.297964189813</v>
      </c>
    </row>
    <row r="11166" spans="1:10" x14ac:dyDescent="0.25">
      <c r="A11166" s="5" t="s">
        <v>47969</v>
      </c>
      <c r="B11166" s="6">
        <v>400</v>
      </c>
      <c r="C11166" s="6">
        <v>20.478950000000001</v>
      </c>
      <c r="D11166" s="6">
        <v>69</v>
      </c>
      <c r="E11166" s="6">
        <v>0</v>
      </c>
      <c r="F11166" s="6">
        <v>0</v>
      </c>
      <c r="G11166" s="6">
        <v>6</v>
      </c>
      <c r="H11166" s="6" t="s">
        <v>47970</v>
      </c>
      <c r="I11166" s="6">
        <v>528.9375</v>
      </c>
      <c r="J11166" s="2">
        <f t="shared" si="174"/>
        <v>43749.298035717591</v>
      </c>
    </row>
    <row r="11167" spans="1:10" x14ac:dyDescent="0.25">
      <c r="A11167" s="7" t="s">
        <v>47971</v>
      </c>
      <c r="B11167" s="8">
        <v>403.125</v>
      </c>
      <c r="C11167" s="8">
        <v>20.478950000000001</v>
      </c>
      <c r="D11167" s="8">
        <v>69</v>
      </c>
      <c r="E11167" s="8">
        <v>0</v>
      </c>
      <c r="F11167" s="8">
        <v>0</v>
      </c>
      <c r="G11167" s="8">
        <v>5</v>
      </c>
      <c r="H11167" s="8" t="s">
        <v>47972</v>
      </c>
      <c r="I11167" s="8">
        <v>529.125</v>
      </c>
      <c r="J11167" s="3">
        <f t="shared" si="174"/>
        <v>43749.298131076386</v>
      </c>
    </row>
    <row r="11168" spans="1:10" x14ac:dyDescent="0.25">
      <c r="A11168" s="5" t="s">
        <v>47973</v>
      </c>
      <c r="B11168" s="6">
        <v>400</v>
      </c>
      <c r="C11168" s="6">
        <v>20.478950000000001</v>
      </c>
      <c r="D11168" s="6">
        <v>68</v>
      </c>
      <c r="E11168" s="6">
        <v>0</v>
      </c>
      <c r="F11168" s="6">
        <v>0</v>
      </c>
      <c r="G11168" s="6">
        <v>13</v>
      </c>
      <c r="H11168" s="6" t="s">
        <v>47974</v>
      </c>
      <c r="I11168" s="6">
        <v>528.1875</v>
      </c>
      <c r="J11168" s="2">
        <f t="shared" si="174"/>
        <v>43749.298202361104</v>
      </c>
    </row>
    <row r="11169" spans="1:10" x14ac:dyDescent="0.25">
      <c r="A11169" s="7" t="s">
        <v>47975</v>
      </c>
      <c r="B11169" s="8">
        <v>400</v>
      </c>
      <c r="C11169" s="8">
        <v>20.478950000000001</v>
      </c>
      <c r="D11169" s="8">
        <v>69</v>
      </c>
      <c r="E11169" s="8">
        <v>0</v>
      </c>
      <c r="F11169" s="8">
        <v>0</v>
      </c>
      <c r="G11169" s="8">
        <v>8</v>
      </c>
      <c r="H11169" s="8" t="s">
        <v>47976</v>
      </c>
      <c r="I11169" s="8">
        <v>528.1875</v>
      </c>
      <c r="J11169" s="3">
        <f t="shared" si="174"/>
        <v>43749.29827378472</v>
      </c>
    </row>
    <row r="11170" spans="1:10" x14ac:dyDescent="0.25">
      <c r="A11170" s="5" t="s">
        <v>47977</v>
      </c>
      <c r="B11170" s="6">
        <v>400</v>
      </c>
      <c r="C11170" s="6">
        <v>20.426300000000001</v>
      </c>
      <c r="D11170" s="6">
        <v>69</v>
      </c>
      <c r="E11170" s="6">
        <v>0</v>
      </c>
      <c r="F11170" s="6">
        <v>0</v>
      </c>
      <c r="G11170" s="6">
        <v>9</v>
      </c>
      <c r="H11170" s="6" t="s">
        <v>47978</v>
      </c>
      <c r="I11170" s="6">
        <v>528.1875</v>
      </c>
      <c r="J11170" s="2">
        <f t="shared" si="174"/>
        <v>43749.29834577546</v>
      </c>
    </row>
    <row r="11171" spans="1:10" x14ac:dyDescent="0.25">
      <c r="A11171" s="7" t="s">
        <v>47979</v>
      </c>
      <c r="B11171" s="8">
        <v>400</v>
      </c>
      <c r="C11171" s="8">
        <v>20.478950000000001</v>
      </c>
      <c r="D11171" s="8">
        <v>69</v>
      </c>
      <c r="E11171" s="8">
        <v>0</v>
      </c>
      <c r="F11171" s="8">
        <v>0</v>
      </c>
      <c r="G11171" s="8">
        <v>6</v>
      </c>
      <c r="H11171" s="8" t="s">
        <v>47980</v>
      </c>
      <c r="I11171" s="8">
        <v>528.375</v>
      </c>
      <c r="J11171" s="3">
        <f t="shared" si="174"/>
        <v>43749.298417199076</v>
      </c>
    </row>
    <row r="11172" spans="1:10" x14ac:dyDescent="0.25">
      <c r="A11172" s="5" t="s">
        <v>47981</v>
      </c>
      <c r="B11172" s="6">
        <v>400</v>
      </c>
      <c r="C11172" s="6">
        <v>20.478950000000001</v>
      </c>
      <c r="D11172" s="6">
        <v>70</v>
      </c>
      <c r="E11172" s="6">
        <v>0</v>
      </c>
      <c r="F11172" s="6">
        <v>0</v>
      </c>
      <c r="G11172" s="6">
        <v>7</v>
      </c>
      <c r="H11172" s="6" t="s">
        <v>47982</v>
      </c>
      <c r="I11172" s="6">
        <v>528.1875</v>
      </c>
      <c r="J11172" s="2">
        <f t="shared" si="174"/>
        <v>43749.298488483793</v>
      </c>
    </row>
    <row r="11173" spans="1:10" x14ac:dyDescent="0.25">
      <c r="A11173" s="7" t="s">
        <v>47983</v>
      </c>
      <c r="B11173" s="8">
        <v>400</v>
      </c>
      <c r="C11173" s="8">
        <v>20.478950000000001</v>
      </c>
      <c r="D11173" s="8">
        <v>69</v>
      </c>
      <c r="E11173" s="8">
        <v>0</v>
      </c>
      <c r="F11173" s="8">
        <v>0</v>
      </c>
      <c r="G11173" s="8">
        <v>1</v>
      </c>
      <c r="H11173" s="8" t="s">
        <v>47984</v>
      </c>
      <c r="I11173" s="8">
        <v>528.9375</v>
      </c>
      <c r="J11173" s="3">
        <f t="shared" si="174"/>
        <v>43749.298559780094</v>
      </c>
    </row>
    <row r="11174" spans="1:10" x14ac:dyDescent="0.25">
      <c r="A11174" s="5" t="s">
        <v>47985</v>
      </c>
      <c r="B11174" s="6">
        <v>403.125</v>
      </c>
      <c r="C11174" s="6">
        <v>20.478950000000001</v>
      </c>
      <c r="D11174" s="6">
        <v>69</v>
      </c>
      <c r="E11174" s="6">
        <v>0</v>
      </c>
      <c r="F11174" s="6">
        <v>0</v>
      </c>
      <c r="G11174" s="6">
        <v>11</v>
      </c>
      <c r="H11174" s="6" t="s">
        <v>47986</v>
      </c>
      <c r="I11174" s="6">
        <v>529.125</v>
      </c>
      <c r="J11174" s="2">
        <f t="shared" si="174"/>
        <v>43749.298643923605</v>
      </c>
    </row>
    <row r="11175" spans="1:10" x14ac:dyDescent="0.25">
      <c r="A11175" s="7" t="s">
        <v>47987</v>
      </c>
      <c r="B11175" s="8">
        <v>421.875</v>
      </c>
      <c r="C11175" s="8">
        <v>20.478950000000001</v>
      </c>
      <c r="D11175" s="8">
        <v>69</v>
      </c>
      <c r="E11175" s="8">
        <v>0</v>
      </c>
      <c r="F11175" s="8">
        <v>0</v>
      </c>
      <c r="G11175" s="8">
        <v>4</v>
      </c>
      <c r="H11175" s="8" t="s">
        <v>47988</v>
      </c>
      <c r="I11175" s="8">
        <v>535.6875</v>
      </c>
      <c r="J11175" s="3">
        <f t="shared" si="174"/>
        <v>43749.298715219906</v>
      </c>
    </row>
    <row r="11176" spans="1:10" x14ac:dyDescent="0.25">
      <c r="A11176" s="5" t="s">
        <v>47989</v>
      </c>
      <c r="B11176" s="6">
        <v>403.125</v>
      </c>
      <c r="C11176" s="6">
        <v>20.478950000000001</v>
      </c>
      <c r="D11176" s="6">
        <v>70</v>
      </c>
      <c r="E11176" s="6">
        <v>0</v>
      </c>
      <c r="F11176" s="6">
        <v>0</v>
      </c>
      <c r="G11176" s="6">
        <v>9</v>
      </c>
      <c r="H11176" s="6" t="s">
        <v>47990</v>
      </c>
      <c r="I11176" s="6">
        <v>529.875</v>
      </c>
      <c r="J11176" s="2">
        <f t="shared" si="174"/>
        <v>43749.298800868048</v>
      </c>
    </row>
    <row r="11177" spans="1:10" x14ac:dyDescent="0.25">
      <c r="A11177" s="7" t="s">
        <v>47991</v>
      </c>
      <c r="B11177" s="8">
        <v>403.125</v>
      </c>
      <c r="C11177" s="8">
        <v>20.478950000000001</v>
      </c>
      <c r="D11177" s="8">
        <v>72</v>
      </c>
      <c r="E11177" s="8">
        <v>0</v>
      </c>
      <c r="F11177" s="8">
        <v>0</v>
      </c>
      <c r="G11177" s="8">
        <v>8</v>
      </c>
      <c r="H11177" s="8" t="s">
        <v>47992</v>
      </c>
      <c r="I11177" s="8">
        <v>529.875</v>
      </c>
      <c r="J11177" s="3">
        <f t="shared" si="174"/>
        <v>43749.298882013885</v>
      </c>
    </row>
    <row r="11178" spans="1:10" x14ac:dyDescent="0.25">
      <c r="A11178" s="5" t="s">
        <v>47993</v>
      </c>
      <c r="B11178" s="6">
        <v>403.125</v>
      </c>
      <c r="C11178" s="6">
        <v>20.478950000000001</v>
      </c>
      <c r="D11178" s="6">
        <v>72</v>
      </c>
      <c r="E11178" s="6">
        <v>0</v>
      </c>
      <c r="F11178" s="6">
        <v>0</v>
      </c>
      <c r="G11178" s="6">
        <v>11</v>
      </c>
      <c r="H11178" s="6" t="s">
        <v>47994</v>
      </c>
      <c r="I11178" s="6">
        <v>529.875</v>
      </c>
      <c r="J11178" s="2">
        <f t="shared" si="174"/>
        <v>43749.298953368052</v>
      </c>
    </row>
    <row r="11179" spans="1:10" x14ac:dyDescent="0.25">
      <c r="A11179" s="7" t="s">
        <v>47995</v>
      </c>
      <c r="B11179" s="8">
        <v>403.125</v>
      </c>
      <c r="C11179" s="8">
        <v>20.478950000000001</v>
      </c>
      <c r="D11179" s="8">
        <v>71</v>
      </c>
      <c r="E11179" s="8">
        <v>0</v>
      </c>
      <c r="F11179" s="8">
        <v>0</v>
      </c>
      <c r="G11179" s="8">
        <v>4</v>
      </c>
      <c r="H11179" s="8" t="s">
        <v>47996</v>
      </c>
      <c r="I11179" s="8">
        <v>529.875</v>
      </c>
      <c r="J11179" s="3">
        <f t="shared" si="174"/>
        <v>43749.299049594905</v>
      </c>
    </row>
    <row r="11180" spans="1:10" x14ac:dyDescent="0.25">
      <c r="A11180" s="5" t="s">
        <v>47997</v>
      </c>
      <c r="B11180" s="6">
        <v>428.125</v>
      </c>
      <c r="C11180" s="6">
        <v>20.478950000000001</v>
      </c>
      <c r="D11180" s="6">
        <v>71</v>
      </c>
      <c r="E11180" s="6">
        <v>0</v>
      </c>
      <c r="F11180" s="6">
        <v>0</v>
      </c>
      <c r="G11180" s="6">
        <v>8</v>
      </c>
      <c r="H11180" s="6" t="s">
        <v>47998</v>
      </c>
      <c r="I11180" s="6">
        <v>537.75</v>
      </c>
      <c r="J11180" s="2">
        <f t="shared" si="174"/>
        <v>43749.299120694443</v>
      </c>
    </row>
    <row r="11181" spans="1:10" x14ac:dyDescent="0.25">
      <c r="A11181" s="7" t="s">
        <v>47999</v>
      </c>
      <c r="B11181" s="8">
        <v>403.125</v>
      </c>
      <c r="C11181" s="8">
        <v>20.426300000000001</v>
      </c>
      <c r="D11181" s="8">
        <v>77</v>
      </c>
      <c r="E11181" s="8">
        <v>0</v>
      </c>
      <c r="F11181" s="8">
        <v>0</v>
      </c>
      <c r="G11181" s="8">
        <v>11</v>
      </c>
      <c r="H11181" s="8" t="s">
        <v>48000</v>
      </c>
      <c r="I11181" s="8">
        <v>529.125</v>
      </c>
      <c r="J11181" s="3">
        <f t="shared" si="174"/>
        <v>43749.299191932871</v>
      </c>
    </row>
    <row r="11182" spans="1:10" x14ac:dyDescent="0.25">
      <c r="A11182" s="5" t="s">
        <v>48001</v>
      </c>
      <c r="B11182" s="6">
        <v>403.125</v>
      </c>
      <c r="C11182" s="6">
        <v>20.478950000000001</v>
      </c>
      <c r="D11182" s="6">
        <v>77</v>
      </c>
      <c r="E11182" s="6">
        <v>0</v>
      </c>
      <c r="F11182" s="6">
        <v>0</v>
      </c>
      <c r="G11182" s="6">
        <v>5</v>
      </c>
      <c r="H11182" s="6" t="s">
        <v>48002</v>
      </c>
      <c r="I11182" s="6">
        <v>529.125</v>
      </c>
      <c r="J11182" s="2">
        <f t="shared" si="174"/>
        <v>43749.299263773144</v>
      </c>
    </row>
    <row r="11183" spans="1:10" x14ac:dyDescent="0.25">
      <c r="A11183" s="7" t="s">
        <v>48003</v>
      </c>
      <c r="B11183" s="8">
        <v>403.125</v>
      </c>
      <c r="C11183" s="8">
        <v>20.478950000000001</v>
      </c>
      <c r="D11183" s="8">
        <v>77</v>
      </c>
      <c r="E11183" s="8">
        <v>0</v>
      </c>
      <c r="F11183" s="8">
        <v>0</v>
      </c>
      <c r="G11183" s="8">
        <v>0</v>
      </c>
      <c r="H11183" s="8" t="s">
        <v>48004</v>
      </c>
      <c r="I11183" s="8">
        <v>529.125</v>
      </c>
      <c r="J11183" s="3">
        <f t="shared" si="174"/>
        <v>43749.299335185184</v>
      </c>
    </row>
    <row r="11184" spans="1:10" x14ac:dyDescent="0.25">
      <c r="A11184" s="5" t="s">
        <v>48005</v>
      </c>
      <c r="B11184" s="6">
        <v>403.125</v>
      </c>
      <c r="C11184" s="6">
        <v>20.478950000000001</v>
      </c>
      <c r="D11184" s="6">
        <v>76</v>
      </c>
      <c r="E11184" s="6">
        <v>0</v>
      </c>
      <c r="F11184" s="6">
        <v>0</v>
      </c>
      <c r="G11184" s="6">
        <v>11</v>
      </c>
      <c r="H11184" s="6" t="s">
        <v>48006</v>
      </c>
      <c r="I11184" s="6">
        <v>529.125</v>
      </c>
      <c r="J11184" s="2">
        <f t="shared" si="174"/>
        <v>43749.299406423605</v>
      </c>
    </row>
    <row r="11185" spans="1:10" x14ac:dyDescent="0.25">
      <c r="A11185" s="7" t="s">
        <v>48007</v>
      </c>
      <c r="B11185" s="8">
        <v>400</v>
      </c>
      <c r="C11185" s="8">
        <v>20.478950000000001</v>
      </c>
      <c r="D11185" s="8">
        <v>76</v>
      </c>
      <c r="E11185" s="8">
        <v>0</v>
      </c>
      <c r="F11185" s="8">
        <v>0</v>
      </c>
      <c r="G11185" s="8">
        <v>3</v>
      </c>
      <c r="H11185" s="8" t="s">
        <v>48008</v>
      </c>
      <c r="I11185" s="8">
        <v>528.9375</v>
      </c>
      <c r="J11185" s="3">
        <f t="shared" si="174"/>
        <v>43749.29947799768</v>
      </c>
    </row>
    <row r="11186" spans="1:10" x14ac:dyDescent="0.25">
      <c r="A11186" s="5" t="s">
        <v>48009</v>
      </c>
      <c r="B11186" s="6">
        <v>403.125</v>
      </c>
      <c r="C11186" s="6">
        <v>20.478950000000001</v>
      </c>
      <c r="D11186" s="6">
        <v>73</v>
      </c>
      <c r="E11186" s="6">
        <v>0</v>
      </c>
      <c r="F11186" s="6">
        <v>0</v>
      </c>
      <c r="G11186" s="6">
        <v>0</v>
      </c>
      <c r="H11186" s="6" t="s">
        <v>48010</v>
      </c>
      <c r="I11186" s="6">
        <v>529.875</v>
      </c>
      <c r="J11186" s="2">
        <f t="shared" si="174"/>
        <v>43749.299550115735</v>
      </c>
    </row>
    <row r="11187" spans="1:10" x14ac:dyDescent="0.25">
      <c r="A11187" s="7" t="s">
        <v>48011</v>
      </c>
      <c r="B11187" s="8">
        <v>403.125</v>
      </c>
      <c r="C11187" s="8">
        <v>20.478950000000001</v>
      </c>
      <c r="D11187" s="8">
        <v>72</v>
      </c>
      <c r="E11187" s="8">
        <v>0</v>
      </c>
      <c r="F11187" s="8">
        <v>0</v>
      </c>
      <c r="G11187" s="8">
        <v>14</v>
      </c>
      <c r="H11187" s="8" t="s">
        <v>48012</v>
      </c>
      <c r="I11187" s="8">
        <v>529.125</v>
      </c>
      <c r="J11187" s="3">
        <f t="shared" si="174"/>
        <v>43749.299621354163</v>
      </c>
    </row>
    <row r="11188" spans="1:10" x14ac:dyDescent="0.25">
      <c r="A11188" s="5" t="s">
        <v>48013</v>
      </c>
      <c r="B11188" s="6">
        <v>400</v>
      </c>
      <c r="C11188" s="6">
        <v>20.478950000000001</v>
      </c>
      <c r="D11188" s="6">
        <v>71</v>
      </c>
      <c r="E11188" s="6">
        <v>0</v>
      </c>
      <c r="F11188" s="6">
        <v>0</v>
      </c>
      <c r="G11188" s="6">
        <v>7</v>
      </c>
      <c r="H11188" s="6" t="s">
        <v>48014</v>
      </c>
      <c r="I11188" s="6">
        <v>528.9375</v>
      </c>
      <c r="J11188" s="2">
        <f t="shared" si="174"/>
        <v>43749.299692638888</v>
      </c>
    </row>
    <row r="11189" spans="1:10" x14ac:dyDescent="0.25">
      <c r="A11189" s="7" t="s">
        <v>48015</v>
      </c>
      <c r="B11189" s="8">
        <v>418.75</v>
      </c>
      <c r="C11189" s="8">
        <v>20.478950000000001</v>
      </c>
      <c r="D11189" s="8">
        <v>71</v>
      </c>
      <c r="E11189" s="8">
        <v>0</v>
      </c>
      <c r="F11189" s="8">
        <v>0</v>
      </c>
      <c r="G11189" s="8">
        <v>3</v>
      </c>
      <c r="H11189" s="8" t="s">
        <v>48016</v>
      </c>
      <c r="I11189" s="8">
        <v>534.75</v>
      </c>
      <c r="J11189" s="3">
        <f t="shared" si="174"/>
        <v>43749.299764236108</v>
      </c>
    </row>
    <row r="11190" spans="1:10" x14ac:dyDescent="0.25">
      <c r="A11190" s="5" t="s">
        <v>48017</v>
      </c>
      <c r="B11190" s="6">
        <v>396.875</v>
      </c>
      <c r="C11190" s="6">
        <v>20.478950000000001</v>
      </c>
      <c r="D11190" s="6">
        <v>72</v>
      </c>
      <c r="E11190" s="6">
        <v>0</v>
      </c>
      <c r="F11190" s="6">
        <v>0</v>
      </c>
      <c r="G11190" s="6">
        <v>15</v>
      </c>
      <c r="H11190" s="6" t="s">
        <v>48018</v>
      </c>
      <c r="I11190" s="6">
        <v>527.4375</v>
      </c>
      <c r="J11190" s="2">
        <f t="shared" si="174"/>
        <v>43749.299836168975</v>
      </c>
    </row>
    <row r="11191" spans="1:10" x14ac:dyDescent="0.25">
      <c r="A11191" s="7" t="s">
        <v>48019</v>
      </c>
      <c r="B11191" s="8">
        <v>396.875</v>
      </c>
      <c r="C11191" s="8">
        <v>20.478950000000001</v>
      </c>
      <c r="D11191" s="8">
        <v>72</v>
      </c>
      <c r="E11191" s="8">
        <v>0</v>
      </c>
      <c r="F11191" s="8">
        <v>0</v>
      </c>
      <c r="G11191" s="8">
        <v>6</v>
      </c>
      <c r="H11191" s="8" t="s">
        <v>48020</v>
      </c>
      <c r="I11191" s="8">
        <v>527.4375</v>
      </c>
      <c r="J11191" s="3">
        <f t="shared" si="174"/>
        <v>43749.299907812492</v>
      </c>
    </row>
    <row r="11192" spans="1:10" x14ac:dyDescent="0.25">
      <c r="A11192" s="5" t="s">
        <v>48021</v>
      </c>
      <c r="B11192" s="6">
        <v>396.875</v>
      </c>
      <c r="C11192" s="6">
        <v>20.478950000000001</v>
      </c>
      <c r="D11192" s="6">
        <v>72</v>
      </c>
      <c r="E11192" s="6">
        <v>0</v>
      </c>
      <c r="F11192" s="6">
        <v>0</v>
      </c>
      <c r="G11192" s="6">
        <v>9</v>
      </c>
      <c r="H11192" s="6" t="s">
        <v>48022</v>
      </c>
      <c r="I11192" s="6">
        <v>527.4375</v>
      </c>
      <c r="J11192" s="2">
        <f t="shared" si="174"/>
        <v>43749.299979317126</v>
      </c>
    </row>
    <row r="11193" spans="1:10" x14ac:dyDescent="0.25">
      <c r="A11193" s="7" t="s">
        <v>48023</v>
      </c>
      <c r="B11193" s="8">
        <v>396.875</v>
      </c>
      <c r="C11193" s="8">
        <v>20.478950000000001</v>
      </c>
      <c r="D11193" s="8">
        <v>71</v>
      </c>
      <c r="E11193" s="8">
        <v>0</v>
      </c>
      <c r="F11193" s="8">
        <v>0</v>
      </c>
      <c r="G11193" s="8">
        <v>13</v>
      </c>
      <c r="H11193" s="8" t="s">
        <v>48024</v>
      </c>
      <c r="I11193" s="8">
        <v>527.4375</v>
      </c>
      <c r="J11193" s="3">
        <f t="shared" si="174"/>
        <v>43749.300064768518</v>
      </c>
    </row>
    <row r="11194" spans="1:10" x14ac:dyDescent="0.25">
      <c r="A11194" s="5" t="s">
        <v>48025</v>
      </c>
      <c r="B11194" s="6">
        <v>396.875</v>
      </c>
      <c r="C11194" s="6">
        <v>20.478950000000001</v>
      </c>
      <c r="D11194" s="6">
        <v>71</v>
      </c>
      <c r="E11194" s="6">
        <v>0</v>
      </c>
      <c r="F11194" s="6">
        <v>0</v>
      </c>
      <c r="G11194" s="6">
        <v>8</v>
      </c>
      <c r="H11194" s="6" t="s">
        <v>48026</v>
      </c>
      <c r="I11194" s="6">
        <v>527.4375</v>
      </c>
      <c r="J11194" s="2">
        <f t="shared" si="174"/>
        <v>43749.300133923607</v>
      </c>
    </row>
    <row r="11195" spans="1:10" x14ac:dyDescent="0.25">
      <c r="A11195" s="7" t="s">
        <v>48027</v>
      </c>
      <c r="B11195" s="8">
        <v>396.875</v>
      </c>
      <c r="C11195" s="8">
        <v>20.478950000000001</v>
      </c>
      <c r="D11195" s="8">
        <v>70</v>
      </c>
      <c r="E11195" s="8">
        <v>0</v>
      </c>
      <c r="F11195" s="8">
        <v>0</v>
      </c>
      <c r="G11195" s="8">
        <v>1</v>
      </c>
      <c r="H11195" s="8" t="s">
        <v>48028</v>
      </c>
      <c r="I11195" s="8">
        <v>527.4375</v>
      </c>
      <c r="J11195" s="3">
        <f t="shared" si="174"/>
        <v>43749.30020622685</v>
      </c>
    </row>
    <row r="11196" spans="1:10" x14ac:dyDescent="0.25">
      <c r="A11196" s="5" t="s">
        <v>48029</v>
      </c>
      <c r="B11196" s="6">
        <v>396.875</v>
      </c>
      <c r="C11196" s="6">
        <v>20.478950000000001</v>
      </c>
      <c r="D11196" s="6">
        <v>68</v>
      </c>
      <c r="E11196" s="6">
        <v>0</v>
      </c>
      <c r="F11196" s="6">
        <v>0</v>
      </c>
      <c r="G11196" s="6">
        <v>6</v>
      </c>
      <c r="H11196" s="6" t="s">
        <v>48030</v>
      </c>
      <c r="I11196" s="6">
        <v>527.4375</v>
      </c>
      <c r="J11196" s="2">
        <f t="shared" si="174"/>
        <v>43749.300277523151</v>
      </c>
    </row>
    <row r="11197" spans="1:10" x14ac:dyDescent="0.25">
      <c r="A11197" s="7" t="s">
        <v>48031</v>
      </c>
      <c r="B11197" s="8">
        <v>400</v>
      </c>
      <c r="C11197" s="8">
        <v>20.478950000000001</v>
      </c>
      <c r="D11197" s="8">
        <v>68</v>
      </c>
      <c r="E11197" s="8">
        <v>0</v>
      </c>
      <c r="F11197" s="8">
        <v>0</v>
      </c>
      <c r="G11197" s="8">
        <v>13</v>
      </c>
      <c r="H11197" s="8" t="s">
        <v>48032</v>
      </c>
      <c r="I11197" s="8">
        <v>528.1875</v>
      </c>
      <c r="J11197" s="3">
        <f t="shared" si="174"/>
        <v>43749.30036079861</v>
      </c>
    </row>
    <row r="11198" spans="1:10" x14ac:dyDescent="0.25">
      <c r="A11198" s="5" t="s">
        <v>48033</v>
      </c>
      <c r="B11198" s="6">
        <v>400</v>
      </c>
      <c r="C11198" s="6">
        <v>20.478950000000001</v>
      </c>
      <c r="D11198" s="6">
        <v>68</v>
      </c>
      <c r="E11198" s="6">
        <v>0</v>
      </c>
      <c r="F11198" s="6">
        <v>0</v>
      </c>
      <c r="G11198" s="6">
        <v>1</v>
      </c>
      <c r="H11198" s="6" t="s">
        <v>48034</v>
      </c>
      <c r="I11198" s="6">
        <v>528.1875</v>
      </c>
      <c r="J11198" s="2">
        <f t="shared" si="174"/>
        <v>43749.300432129625</v>
      </c>
    </row>
    <row r="11199" spans="1:10" x14ac:dyDescent="0.25">
      <c r="A11199" s="7" t="s">
        <v>48035</v>
      </c>
      <c r="B11199" s="8">
        <v>400</v>
      </c>
      <c r="C11199" s="8">
        <v>20.478950000000001</v>
      </c>
      <c r="D11199" s="8">
        <v>68</v>
      </c>
      <c r="E11199" s="8">
        <v>0</v>
      </c>
      <c r="F11199" s="8">
        <v>0</v>
      </c>
      <c r="G11199" s="8">
        <v>7</v>
      </c>
      <c r="H11199" s="8" t="s">
        <v>48036</v>
      </c>
      <c r="I11199" s="8">
        <v>528.1875</v>
      </c>
      <c r="J11199" s="3">
        <f t="shared" si="174"/>
        <v>43749.300503506944</v>
      </c>
    </row>
    <row r="11200" spans="1:10" x14ac:dyDescent="0.25">
      <c r="A11200" s="5" t="s">
        <v>48037</v>
      </c>
      <c r="B11200" s="6">
        <v>403.125</v>
      </c>
      <c r="C11200" s="6">
        <v>20.478950000000001</v>
      </c>
      <c r="D11200" s="6">
        <v>68</v>
      </c>
      <c r="E11200" s="6">
        <v>0</v>
      </c>
      <c r="F11200" s="6">
        <v>0</v>
      </c>
      <c r="G11200" s="6">
        <v>0</v>
      </c>
      <c r="H11200" s="6" t="s">
        <v>48038</v>
      </c>
      <c r="I11200" s="6">
        <v>529.125</v>
      </c>
      <c r="J11200" s="2">
        <f t="shared" si="174"/>
        <v>43749.300586851845</v>
      </c>
    </row>
    <row r="11201" spans="1:10" x14ac:dyDescent="0.25">
      <c r="A11201" s="7" t="s">
        <v>48039</v>
      </c>
      <c r="B11201" s="8">
        <v>403.125</v>
      </c>
      <c r="C11201" s="8">
        <v>20.478950000000001</v>
      </c>
      <c r="D11201" s="8">
        <v>67</v>
      </c>
      <c r="E11201" s="8">
        <v>0</v>
      </c>
      <c r="F11201" s="8">
        <v>0</v>
      </c>
      <c r="G11201" s="8">
        <v>0</v>
      </c>
      <c r="H11201" s="8" t="s">
        <v>48040</v>
      </c>
      <c r="I11201" s="8">
        <v>529.125</v>
      </c>
      <c r="J11201" s="3">
        <f t="shared" si="174"/>
        <v>43749.300658981483</v>
      </c>
    </row>
    <row r="11202" spans="1:10" x14ac:dyDescent="0.25">
      <c r="A11202" s="5" t="s">
        <v>48041</v>
      </c>
      <c r="B11202" s="6">
        <v>403.125</v>
      </c>
      <c r="C11202" s="6">
        <v>20.478950000000001</v>
      </c>
      <c r="D11202" s="6">
        <v>70</v>
      </c>
      <c r="E11202" s="6">
        <v>0</v>
      </c>
      <c r="F11202" s="6">
        <v>0</v>
      </c>
      <c r="G11202" s="6">
        <v>10</v>
      </c>
      <c r="H11202" s="6" t="s">
        <v>48042</v>
      </c>
      <c r="I11202" s="6">
        <v>529.125</v>
      </c>
      <c r="J11202" s="2">
        <f t="shared" ref="J11202:J11265" si="175">(H11202/86400000)+25569+(7/24)</f>
        <v>43749.30074219907</v>
      </c>
    </row>
    <row r="11203" spans="1:10" x14ac:dyDescent="0.25">
      <c r="A11203" s="7" t="s">
        <v>48043</v>
      </c>
      <c r="B11203" s="8">
        <v>400</v>
      </c>
      <c r="C11203" s="8">
        <v>20.478950000000001</v>
      </c>
      <c r="D11203" s="8">
        <v>69</v>
      </c>
      <c r="E11203" s="8">
        <v>0</v>
      </c>
      <c r="F11203" s="8">
        <v>0</v>
      </c>
      <c r="G11203" s="8">
        <v>1</v>
      </c>
      <c r="H11203" s="8" t="s">
        <v>48044</v>
      </c>
      <c r="I11203" s="8">
        <v>528.9375</v>
      </c>
      <c r="J11203" s="3">
        <f t="shared" si="175"/>
        <v>43749.300813680551</v>
      </c>
    </row>
    <row r="11204" spans="1:10" x14ac:dyDescent="0.25">
      <c r="A11204" s="5" t="s">
        <v>48045</v>
      </c>
      <c r="B11204" s="6">
        <v>400</v>
      </c>
      <c r="C11204" s="6">
        <v>20.478950000000001</v>
      </c>
      <c r="D11204" s="6">
        <v>69</v>
      </c>
      <c r="E11204" s="6">
        <v>0</v>
      </c>
      <c r="F11204" s="6">
        <v>0</v>
      </c>
      <c r="G11204" s="6">
        <v>2</v>
      </c>
      <c r="H11204" s="6" t="s">
        <v>48046</v>
      </c>
      <c r="I11204" s="6">
        <v>528.1875</v>
      </c>
      <c r="J11204" s="2">
        <f t="shared" si="175"/>
        <v>43749.300884976845</v>
      </c>
    </row>
    <row r="11205" spans="1:10" x14ac:dyDescent="0.25">
      <c r="A11205" s="7" t="s">
        <v>48047</v>
      </c>
      <c r="B11205" s="8">
        <v>400</v>
      </c>
      <c r="C11205" s="8">
        <v>20.478950000000001</v>
      </c>
      <c r="D11205" s="8">
        <v>69</v>
      </c>
      <c r="E11205" s="8">
        <v>0</v>
      </c>
      <c r="F11205" s="8">
        <v>0</v>
      </c>
      <c r="G11205" s="8">
        <v>9</v>
      </c>
      <c r="H11205" s="8" t="s">
        <v>48048</v>
      </c>
      <c r="I11205" s="8">
        <v>528.1875</v>
      </c>
      <c r="J11205" s="3">
        <f t="shared" si="175"/>
        <v>43749.300957152773</v>
      </c>
    </row>
    <row r="11206" spans="1:10" x14ac:dyDescent="0.25">
      <c r="A11206" s="5" t="s">
        <v>48049</v>
      </c>
      <c r="B11206" s="6">
        <v>396.875</v>
      </c>
      <c r="C11206" s="6">
        <v>20.478950000000001</v>
      </c>
      <c r="D11206" s="6">
        <v>70</v>
      </c>
      <c r="E11206" s="6">
        <v>0</v>
      </c>
      <c r="F11206" s="6">
        <v>0</v>
      </c>
      <c r="G11206" s="6">
        <v>3</v>
      </c>
      <c r="H11206" s="6" t="s">
        <v>48050</v>
      </c>
      <c r="I11206" s="6">
        <v>527.4375</v>
      </c>
      <c r="J11206" s="2">
        <f t="shared" si="175"/>
        <v>43749.301028414346</v>
      </c>
    </row>
    <row r="11207" spans="1:10" x14ac:dyDescent="0.25">
      <c r="A11207" s="7" t="s">
        <v>48051</v>
      </c>
      <c r="B11207" s="8">
        <v>415.625</v>
      </c>
      <c r="C11207" s="8">
        <v>20.478950000000001</v>
      </c>
      <c r="D11207" s="8">
        <v>70</v>
      </c>
      <c r="E11207" s="8">
        <v>0</v>
      </c>
      <c r="F11207" s="8">
        <v>0</v>
      </c>
      <c r="G11207" s="8">
        <v>5</v>
      </c>
      <c r="H11207" s="8" t="s">
        <v>48052</v>
      </c>
      <c r="I11207" s="8">
        <v>533.625</v>
      </c>
      <c r="J11207" s="3">
        <f t="shared" si="175"/>
        <v>43749.301100543984</v>
      </c>
    </row>
    <row r="11208" spans="1:10" x14ac:dyDescent="0.25">
      <c r="A11208" s="5" t="s">
        <v>48053</v>
      </c>
      <c r="B11208" s="6">
        <v>396.875</v>
      </c>
      <c r="C11208" s="6">
        <v>20.478950000000001</v>
      </c>
      <c r="D11208" s="6">
        <v>69</v>
      </c>
      <c r="E11208" s="6">
        <v>0</v>
      </c>
      <c r="F11208" s="6">
        <v>0</v>
      </c>
      <c r="G11208" s="6">
        <v>7</v>
      </c>
      <c r="H11208" s="6" t="s">
        <v>48054</v>
      </c>
      <c r="I11208" s="6">
        <v>527.4375</v>
      </c>
      <c r="J11208" s="2">
        <f t="shared" si="175"/>
        <v>43749.301171539344</v>
      </c>
    </row>
    <row r="11209" spans="1:10" x14ac:dyDescent="0.25">
      <c r="A11209" s="7" t="s">
        <v>48055</v>
      </c>
      <c r="B11209" s="8">
        <v>396.875</v>
      </c>
      <c r="C11209" s="8">
        <v>20.426300000000001</v>
      </c>
      <c r="D11209" s="8">
        <v>68</v>
      </c>
      <c r="E11209" s="8">
        <v>0</v>
      </c>
      <c r="F11209" s="8">
        <v>0</v>
      </c>
      <c r="G11209" s="8">
        <v>5</v>
      </c>
      <c r="H11209" s="8" t="s">
        <v>48056</v>
      </c>
      <c r="I11209" s="8">
        <v>527.4375</v>
      </c>
      <c r="J11209" s="3">
        <f t="shared" si="175"/>
        <v>43749.301243263886</v>
      </c>
    </row>
    <row r="11210" spans="1:10" x14ac:dyDescent="0.25">
      <c r="A11210" s="5" t="s">
        <v>48057</v>
      </c>
      <c r="B11210" s="6">
        <v>400</v>
      </c>
      <c r="C11210" s="6">
        <v>20.478950000000001</v>
      </c>
      <c r="D11210" s="6">
        <v>69</v>
      </c>
      <c r="E11210" s="6">
        <v>0</v>
      </c>
      <c r="F11210" s="6">
        <v>0</v>
      </c>
      <c r="G11210" s="6">
        <v>6</v>
      </c>
      <c r="H11210" s="6" t="s">
        <v>48058</v>
      </c>
      <c r="I11210" s="6">
        <v>528.1875</v>
      </c>
      <c r="J11210" s="2">
        <f t="shared" si="175"/>
        <v>43749.301315416662</v>
      </c>
    </row>
    <row r="11211" spans="1:10" x14ac:dyDescent="0.25">
      <c r="A11211" s="7" t="s">
        <v>48059</v>
      </c>
      <c r="B11211" s="8">
        <v>400</v>
      </c>
      <c r="C11211" s="8">
        <v>20.478950000000001</v>
      </c>
      <c r="D11211" s="8">
        <v>68</v>
      </c>
      <c r="E11211" s="8">
        <v>0</v>
      </c>
      <c r="F11211" s="8">
        <v>0</v>
      </c>
      <c r="G11211" s="8">
        <v>7</v>
      </c>
      <c r="H11211" s="8" t="s">
        <v>48060</v>
      </c>
      <c r="I11211" s="8">
        <v>528.1875</v>
      </c>
      <c r="J11211" s="3">
        <f t="shared" si="175"/>
        <v>43749.30138675926</v>
      </c>
    </row>
    <row r="11212" spans="1:10" x14ac:dyDescent="0.25">
      <c r="A11212" s="5" t="s">
        <v>48061</v>
      </c>
      <c r="B11212" s="6">
        <v>400</v>
      </c>
      <c r="C11212" s="6">
        <v>20.478950000000001</v>
      </c>
      <c r="D11212" s="6">
        <v>69</v>
      </c>
      <c r="E11212" s="6">
        <v>0</v>
      </c>
      <c r="F11212" s="6">
        <v>0</v>
      </c>
      <c r="G11212" s="6">
        <v>17</v>
      </c>
      <c r="H11212" s="6" t="s">
        <v>48062</v>
      </c>
      <c r="I11212" s="6">
        <v>528.375</v>
      </c>
      <c r="J11212" s="2">
        <f t="shared" si="175"/>
        <v>43749.301470092592</v>
      </c>
    </row>
    <row r="11213" spans="1:10" x14ac:dyDescent="0.25">
      <c r="A11213" s="7" t="s">
        <v>48063</v>
      </c>
      <c r="B11213" s="8">
        <v>400</v>
      </c>
      <c r="C11213" s="8">
        <v>20.478950000000001</v>
      </c>
      <c r="D11213" s="8">
        <v>69</v>
      </c>
      <c r="E11213" s="8">
        <v>0</v>
      </c>
      <c r="F11213" s="8">
        <v>0</v>
      </c>
      <c r="G11213" s="8">
        <v>10</v>
      </c>
      <c r="H11213" s="8" t="s">
        <v>48064</v>
      </c>
      <c r="I11213" s="8">
        <v>528.1875</v>
      </c>
      <c r="J11213" s="3">
        <f t="shared" si="175"/>
        <v>43749.301541458328</v>
      </c>
    </row>
    <row r="11214" spans="1:10" x14ac:dyDescent="0.25">
      <c r="A11214" s="5" t="s">
        <v>48065</v>
      </c>
      <c r="B11214" s="6">
        <v>400</v>
      </c>
      <c r="C11214" s="6">
        <v>20.478950000000001</v>
      </c>
      <c r="D11214" s="6">
        <v>69</v>
      </c>
      <c r="E11214" s="6">
        <v>0</v>
      </c>
      <c r="F11214" s="6">
        <v>0</v>
      </c>
      <c r="G11214" s="6">
        <v>10</v>
      </c>
      <c r="H11214" s="6" t="s">
        <v>48066</v>
      </c>
      <c r="I11214" s="6">
        <v>528.1875</v>
      </c>
      <c r="J11214" s="2">
        <f t="shared" si="175"/>
        <v>43749.30161268518</v>
      </c>
    </row>
    <row r="11215" spans="1:10" x14ac:dyDescent="0.25">
      <c r="A11215" s="7" t="s">
        <v>48067</v>
      </c>
      <c r="B11215" s="8">
        <v>415.625</v>
      </c>
      <c r="C11215" s="8">
        <v>20.478950000000001</v>
      </c>
      <c r="D11215" s="8">
        <v>69</v>
      </c>
      <c r="E11215" s="8">
        <v>0</v>
      </c>
      <c r="F11215" s="8">
        <v>0</v>
      </c>
      <c r="G11215" s="8">
        <v>13</v>
      </c>
      <c r="H11215" s="8" t="s">
        <v>48068</v>
      </c>
      <c r="I11215" s="8">
        <v>533.8125</v>
      </c>
      <c r="J11215" s="3">
        <f t="shared" si="175"/>
        <v>43749.301684918981</v>
      </c>
    </row>
    <row r="11216" spans="1:10" x14ac:dyDescent="0.25">
      <c r="A11216" s="5" t="s">
        <v>48069</v>
      </c>
      <c r="B11216" s="6">
        <v>400</v>
      </c>
      <c r="C11216" s="6">
        <v>20.478950000000001</v>
      </c>
      <c r="D11216" s="6">
        <v>69</v>
      </c>
      <c r="E11216" s="6">
        <v>0</v>
      </c>
      <c r="F11216" s="6">
        <v>0</v>
      </c>
      <c r="G11216" s="6">
        <v>14</v>
      </c>
      <c r="H11216" s="6" t="s">
        <v>48070</v>
      </c>
      <c r="I11216" s="6">
        <v>528.375</v>
      </c>
      <c r="J11216" s="2">
        <f t="shared" si="175"/>
        <v>43749.30175533564</v>
      </c>
    </row>
    <row r="11217" spans="1:10" x14ac:dyDescent="0.25">
      <c r="A11217" s="7" t="s">
        <v>48071</v>
      </c>
      <c r="B11217" s="8">
        <v>400</v>
      </c>
      <c r="C11217" s="8">
        <v>20.478950000000001</v>
      </c>
      <c r="D11217" s="8">
        <v>69</v>
      </c>
      <c r="E11217" s="8">
        <v>0</v>
      </c>
      <c r="F11217" s="8">
        <v>0</v>
      </c>
      <c r="G11217" s="8">
        <v>13</v>
      </c>
      <c r="H11217" s="8" t="s">
        <v>48072</v>
      </c>
      <c r="I11217" s="8">
        <v>528.1875</v>
      </c>
      <c r="J11217" s="3">
        <f t="shared" si="175"/>
        <v>43749.301839490734</v>
      </c>
    </row>
    <row r="11218" spans="1:10" x14ac:dyDescent="0.25">
      <c r="A11218" s="5" t="s">
        <v>48073</v>
      </c>
      <c r="B11218" s="6">
        <v>400</v>
      </c>
      <c r="C11218" s="6">
        <v>20.478950000000001</v>
      </c>
      <c r="D11218" s="6">
        <v>71</v>
      </c>
      <c r="E11218" s="6">
        <v>0</v>
      </c>
      <c r="F11218" s="6">
        <v>0</v>
      </c>
      <c r="G11218" s="6">
        <v>1</v>
      </c>
      <c r="H11218" s="6" t="s">
        <v>48074</v>
      </c>
      <c r="I11218" s="6">
        <v>528.1875</v>
      </c>
      <c r="J11218" s="2">
        <f t="shared" si="175"/>
        <v>43749.301922708335</v>
      </c>
    </row>
    <row r="11219" spans="1:10" x14ac:dyDescent="0.25">
      <c r="A11219" s="7" t="s">
        <v>48075</v>
      </c>
      <c r="B11219" s="8">
        <v>396.875</v>
      </c>
      <c r="C11219" s="8">
        <v>20.478950000000001</v>
      </c>
      <c r="D11219" s="8">
        <v>70</v>
      </c>
      <c r="E11219" s="8">
        <v>0</v>
      </c>
      <c r="F11219" s="8">
        <v>0</v>
      </c>
      <c r="G11219" s="8">
        <v>12</v>
      </c>
      <c r="H11219" s="8" t="s">
        <v>48076</v>
      </c>
      <c r="I11219" s="8">
        <v>527.4375</v>
      </c>
      <c r="J11219" s="3">
        <f t="shared" si="175"/>
        <v>43749.301994178233</v>
      </c>
    </row>
    <row r="11220" spans="1:10" x14ac:dyDescent="0.25">
      <c r="A11220" s="5" t="s">
        <v>48077</v>
      </c>
      <c r="B11220" s="6">
        <v>396.875</v>
      </c>
      <c r="C11220" s="6">
        <v>20.478950000000001</v>
      </c>
      <c r="D11220" s="6">
        <v>70</v>
      </c>
      <c r="E11220" s="6">
        <v>0</v>
      </c>
      <c r="F11220" s="6">
        <v>0</v>
      </c>
      <c r="G11220" s="6">
        <v>8</v>
      </c>
      <c r="H11220" s="6" t="s">
        <v>48078</v>
      </c>
      <c r="I11220" s="6">
        <v>527.4375</v>
      </c>
      <c r="J11220" s="2">
        <f t="shared" si="175"/>
        <v>43749.302066435186</v>
      </c>
    </row>
    <row r="11221" spans="1:10" x14ac:dyDescent="0.25">
      <c r="A11221" s="7" t="s">
        <v>48079</v>
      </c>
      <c r="B11221" s="8">
        <v>396.875</v>
      </c>
      <c r="C11221" s="8">
        <v>20.478950000000001</v>
      </c>
      <c r="D11221" s="8">
        <v>70</v>
      </c>
      <c r="E11221" s="8">
        <v>0</v>
      </c>
      <c r="F11221" s="8">
        <v>0</v>
      </c>
      <c r="G11221" s="8">
        <v>8</v>
      </c>
      <c r="H11221" s="8" t="s">
        <v>48080</v>
      </c>
      <c r="I11221" s="8">
        <v>527.4375</v>
      </c>
      <c r="J11221" s="3">
        <f t="shared" si="175"/>
        <v>43749.302137280094</v>
      </c>
    </row>
    <row r="11222" spans="1:10" x14ac:dyDescent="0.25">
      <c r="A11222" s="5" t="s">
        <v>48081</v>
      </c>
      <c r="B11222" s="6">
        <v>412.5</v>
      </c>
      <c r="C11222" s="6">
        <v>20.478950000000001</v>
      </c>
      <c r="D11222" s="6">
        <v>69</v>
      </c>
      <c r="E11222" s="6">
        <v>0</v>
      </c>
      <c r="F11222" s="6">
        <v>0</v>
      </c>
      <c r="G11222" s="6">
        <v>12</v>
      </c>
      <c r="H11222" s="6" t="s">
        <v>48082</v>
      </c>
      <c r="I11222" s="6">
        <v>532.3125</v>
      </c>
      <c r="J11222" s="2">
        <f t="shared" si="175"/>
        <v>43749.302209409718</v>
      </c>
    </row>
    <row r="11223" spans="1:10" x14ac:dyDescent="0.25">
      <c r="A11223" s="7" t="s">
        <v>48083</v>
      </c>
      <c r="B11223" s="8">
        <v>393.75</v>
      </c>
      <c r="C11223" s="8">
        <v>20.478950000000001</v>
      </c>
      <c r="D11223" s="8">
        <v>69</v>
      </c>
      <c r="E11223" s="8">
        <v>0</v>
      </c>
      <c r="F11223" s="8">
        <v>0</v>
      </c>
      <c r="G11223" s="8">
        <v>6</v>
      </c>
      <c r="H11223" s="8" t="s">
        <v>48084</v>
      </c>
      <c r="I11223" s="8">
        <v>526.6875</v>
      </c>
      <c r="J11223" s="3">
        <f t="shared" si="175"/>
        <v>43749.302280405092</v>
      </c>
    </row>
    <row r="11224" spans="1:10" x14ac:dyDescent="0.25">
      <c r="A11224" s="5" t="s">
        <v>48085</v>
      </c>
      <c r="B11224" s="6">
        <v>393.75</v>
      </c>
      <c r="C11224" s="6">
        <v>20.478950000000001</v>
      </c>
      <c r="D11224" s="6">
        <v>68</v>
      </c>
      <c r="E11224" s="6">
        <v>0</v>
      </c>
      <c r="F11224" s="6">
        <v>0</v>
      </c>
      <c r="G11224" s="6">
        <v>12</v>
      </c>
      <c r="H11224" s="6" t="s">
        <v>48086</v>
      </c>
      <c r="I11224" s="6">
        <v>526.6875</v>
      </c>
      <c r="J11224" s="2">
        <f t="shared" si="175"/>
        <v>43749.302352499995</v>
      </c>
    </row>
    <row r="11225" spans="1:10" x14ac:dyDescent="0.25">
      <c r="A11225" s="7" t="s">
        <v>48087</v>
      </c>
      <c r="B11225" s="8">
        <v>393.75</v>
      </c>
      <c r="C11225" s="8">
        <v>20.478950000000001</v>
      </c>
      <c r="D11225" s="8">
        <v>68</v>
      </c>
      <c r="E11225" s="8">
        <v>0</v>
      </c>
      <c r="F11225" s="8">
        <v>0</v>
      </c>
      <c r="G11225" s="8">
        <v>9</v>
      </c>
      <c r="H11225" s="8" t="s">
        <v>48088</v>
      </c>
      <c r="I11225" s="8">
        <v>526.6875</v>
      </c>
      <c r="J11225" s="3">
        <f t="shared" si="175"/>
        <v>43749.302423807872</v>
      </c>
    </row>
    <row r="11226" spans="1:10" x14ac:dyDescent="0.25">
      <c r="A11226" s="5" t="s">
        <v>48089</v>
      </c>
      <c r="B11226" s="6">
        <v>434.375</v>
      </c>
      <c r="C11226" s="6">
        <v>20.478950000000001</v>
      </c>
      <c r="D11226" s="6">
        <v>70</v>
      </c>
      <c r="E11226" s="6">
        <v>0</v>
      </c>
      <c r="F11226" s="6">
        <v>0</v>
      </c>
      <c r="G11226" s="6">
        <v>5</v>
      </c>
      <c r="H11226" s="6" t="s">
        <v>48090</v>
      </c>
      <c r="I11226" s="6">
        <v>539.0625</v>
      </c>
      <c r="J11226" s="2">
        <f t="shared" si="175"/>
        <v>43749.302495104166</v>
      </c>
    </row>
    <row r="11227" spans="1:10" x14ac:dyDescent="0.25">
      <c r="A11227" s="7" t="s">
        <v>48091</v>
      </c>
      <c r="B11227" s="8">
        <v>396.875</v>
      </c>
      <c r="C11227" s="8">
        <v>20.478950000000001</v>
      </c>
      <c r="D11227" s="8">
        <v>70</v>
      </c>
      <c r="E11227" s="8">
        <v>0</v>
      </c>
      <c r="F11227" s="8">
        <v>0</v>
      </c>
      <c r="G11227" s="8">
        <v>9</v>
      </c>
      <c r="H11227" s="8" t="s">
        <v>48092</v>
      </c>
      <c r="I11227" s="8">
        <v>527.625</v>
      </c>
      <c r="J11227" s="3">
        <f t="shared" si="175"/>
        <v>43749.302578657407</v>
      </c>
    </row>
    <row r="11228" spans="1:10" x14ac:dyDescent="0.25">
      <c r="A11228" s="5" t="s">
        <v>48093</v>
      </c>
      <c r="B11228" s="6">
        <v>396.875</v>
      </c>
      <c r="C11228" s="6">
        <v>20.478950000000001</v>
      </c>
      <c r="D11228" s="6">
        <v>70</v>
      </c>
      <c r="E11228" s="6">
        <v>0</v>
      </c>
      <c r="F11228" s="6">
        <v>0</v>
      </c>
      <c r="G11228" s="6">
        <v>5</v>
      </c>
      <c r="H11228" s="6" t="s">
        <v>48094</v>
      </c>
      <c r="I11228" s="6">
        <v>527.4375</v>
      </c>
      <c r="J11228" s="2">
        <f t="shared" si="175"/>
        <v>43749.302650486112</v>
      </c>
    </row>
    <row r="11229" spans="1:10" x14ac:dyDescent="0.25">
      <c r="A11229" s="7" t="s">
        <v>48095</v>
      </c>
      <c r="B11229" s="8">
        <v>421.875</v>
      </c>
      <c r="C11229" s="8">
        <v>20.478950000000001</v>
      </c>
      <c r="D11229" s="8">
        <v>68</v>
      </c>
      <c r="E11229" s="8">
        <v>0</v>
      </c>
      <c r="F11229" s="8">
        <v>0</v>
      </c>
      <c r="G11229" s="8">
        <v>9</v>
      </c>
      <c r="H11229" s="8" t="s">
        <v>48096</v>
      </c>
      <c r="I11229" s="8">
        <v>535.875</v>
      </c>
      <c r="J11229" s="3">
        <f t="shared" si="175"/>
        <v>43749.302733993049</v>
      </c>
    </row>
    <row r="11230" spans="1:10" x14ac:dyDescent="0.25">
      <c r="A11230" s="5" t="s">
        <v>48097</v>
      </c>
      <c r="B11230" s="6">
        <v>396.875</v>
      </c>
      <c r="C11230" s="6">
        <v>20.478950000000001</v>
      </c>
      <c r="D11230" s="6">
        <v>69</v>
      </c>
      <c r="E11230" s="6">
        <v>0</v>
      </c>
      <c r="F11230" s="6">
        <v>0</v>
      </c>
      <c r="G11230" s="6">
        <v>5</v>
      </c>
      <c r="H11230" s="6" t="s">
        <v>48098</v>
      </c>
      <c r="I11230" s="6">
        <v>527.4375</v>
      </c>
      <c r="J11230" s="2">
        <f t="shared" si="175"/>
        <v>43749.30280528935</v>
      </c>
    </row>
    <row r="11231" spans="1:10" x14ac:dyDescent="0.25">
      <c r="A11231" s="7" t="s">
        <v>48099</v>
      </c>
      <c r="B11231" s="8">
        <v>396.875</v>
      </c>
      <c r="C11231" s="8">
        <v>20.478950000000001</v>
      </c>
      <c r="D11231" s="8">
        <v>70</v>
      </c>
      <c r="E11231" s="8">
        <v>0</v>
      </c>
      <c r="F11231" s="8">
        <v>0</v>
      </c>
      <c r="G11231" s="8">
        <v>14</v>
      </c>
      <c r="H11231" s="8" t="s">
        <v>48100</v>
      </c>
      <c r="I11231" s="8">
        <v>527.625</v>
      </c>
      <c r="J11231" s="3">
        <f t="shared" si="175"/>
        <v>43749.302876643516</v>
      </c>
    </row>
    <row r="11232" spans="1:10" x14ac:dyDescent="0.25">
      <c r="A11232" s="5" t="s">
        <v>48101</v>
      </c>
      <c r="B11232" s="6">
        <v>396.875</v>
      </c>
      <c r="C11232" s="6">
        <v>20.478950000000001</v>
      </c>
      <c r="D11232" s="6">
        <v>70</v>
      </c>
      <c r="E11232" s="6">
        <v>0</v>
      </c>
      <c r="F11232" s="6">
        <v>0</v>
      </c>
      <c r="G11232" s="6">
        <v>14</v>
      </c>
      <c r="H11232" s="6" t="s">
        <v>48102</v>
      </c>
      <c r="I11232" s="6">
        <v>527.4375</v>
      </c>
      <c r="J11232" s="2">
        <f t="shared" si="175"/>
        <v>43749.302947916665</v>
      </c>
    </row>
    <row r="11233" spans="1:10" x14ac:dyDescent="0.25">
      <c r="A11233" s="7" t="s">
        <v>48103</v>
      </c>
      <c r="B11233" s="8">
        <v>421.875</v>
      </c>
      <c r="C11233" s="8">
        <v>20.478950000000001</v>
      </c>
      <c r="D11233" s="8">
        <v>70</v>
      </c>
      <c r="E11233" s="8">
        <v>0</v>
      </c>
      <c r="F11233" s="8">
        <v>0</v>
      </c>
      <c r="G11233" s="8">
        <v>11</v>
      </c>
      <c r="H11233" s="8" t="s">
        <v>48104</v>
      </c>
      <c r="I11233" s="8">
        <v>535.6875</v>
      </c>
      <c r="J11233" s="3">
        <f t="shared" si="175"/>
        <v>43749.303034918979</v>
      </c>
    </row>
    <row r="11234" spans="1:10" x14ac:dyDescent="0.25">
      <c r="A11234" s="5" t="s">
        <v>48105</v>
      </c>
      <c r="B11234" s="6">
        <v>396.875</v>
      </c>
      <c r="C11234" s="6">
        <v>20.478950000000001</v>
      </c>
      <c r="D11234" s="6">
        <v>70</v>
      </c>
      <c r="E11234" s="6">
        <v>0</v>
      </c>
      <c r="F11234" s="6">
        <v>0</v>
      </c>
      <c r="G11234" s="6">
        <v>14</v>
      </c>
      <c r="H11234" s="6" t="s">
        <v>48106</v>
      </c>
      <c r="I11234" s="6">
        <v>527.4375</v>
      </c>
      <c r="J11234" s="2">
        <f t="shared" si="175"/>
        <v>43749.303115474533</v>
      </c>
    </row>
    <row r="11235" spans="1:10" x14ac:dyDescent="0.25">
      <c r="A11235" s="7" t="s">
        <v>48107</v>
      </c>
      <c r="B11235" s="8">
        <v>396.875</v>
      </c>
      <c r="C11235" s="8">
        <v>20.478950000000001</v>
      </c>
      <c r="D11235" s="8">
        <v>71</v>
      </c>
      <c r="E11235" s="8">
        <v>0</v>
      </c>
      <c r="F11235" s="8">
        <v>0</v>
      </c>
      <c r="G11235" s="8">
        <v>9</v>
      </c>
      <c r="H11235" s="8" t="s">
        <v>48108</v>
      </c>
      <c r="I11235" s="8">
        <v>527.4375</v>
      </c>
      <c r="J11235" s="3">
        <f t="shared" si="175"/>
        <v>43749.303210844904</v>
      </c>
    </row>
    <row r="11236" spans="1:10" x14ac:dyDescent="0.25">
      <c r="A11236" s="5" t="s">
        <v>48109</v>
      </c>
      <c r="B11236" s="6">
        <v>396.875</v>
      </c>
      <c r="C11236" s="6">
        <v>20.478950000000001</v>
      </c>
      <c r="D11236" s="6">
        <v>71</v>
      </c>
      <c r="E11236" s="6">
        <v>0</v>
      </c>
      <c r="F11236" s="6">
        <v>0</v>
      </c>
      <c r="G11236" s="6">
        <v>8</v>
      </c>
      <c r="H11236" s="6" t="s">
        <v>48110</v>
      </c>
      <c r="I11236" s="6">
        <v>527.4375</v>
      </c>
      <c r="J11236" s="2">
        <f t="shared" si="175"/>
        <v>43749.303282106477</v>
      </c>
    </row>
    <row r="11237" spans="1:10" x14ac:dyDescent="0.25">
      <c r="A11237" s="7" t="s">
        <v>48111</v>
      </c>
      <c r="B11237" s="8">
        <v>396.875</v>
      </c>
      <c r="C11237" s="8">
        <v>20.426300000000001</v>
      </c>
      <c r="D11237" s="8">
        <v>73</v>
      </c>
      <c r="E11237" s="8">
        <v>0</v>
      </c>
      <c r="F11237" s="8">
        <v>0</v>
      </c>
      <c r="G11237" s="8">
        <v>5</v>
      </c>
      <c r="H11237" s="8" t="s">
        <v>48112</v>
      </c>
      <c r="I11237" s="8">
        <v>527.4375</v>
      </c>
      <c r="J11237" s="3">
        <f t="shared" si="175"/>
        <v>43749.30335415509</v>
      </c>
    </row>
    <row r="11238" spans="1:10" x14ac:dyDescent="0.25">
      <c r="A11238" s="5" t="s">
        <v>48113</v>
      </c>
      <c r="B11238" s="6">
        <v>440.625</v>
      </c>
      <c r="C11238" s="6">
        <v>20.478950000000001</v>
      </c>
      <c r="D11238" s="6">
        <v>73</v>
      </c>
      <c r="E11238" s="6">
        <v>0</v>
      </c>
      <c r="F11238" s="6">
        <v>0</v>
      </c>
      <c r="G11238" s="6">
        <v>9</v>
      </c>
      <c r="H11238" s="6" t="s">
        <v>48114</v>
      </c>
      <c r="I11238" s="6">
        <v>541.5</v>
      </c>
      <c r="J11238" s="2">
        <f t="shared" si="175"/>
        <v>43749.303425590275</v>
      </c>
    </row>
    <row r="11239" spans="1:10" x14ac:dyDescent="0.25">
      <c r="A11239" s="7" t="s">
        <v>48115</v>
      </c>
      <c r="B11239" s="8">
        <v>396.875</v>
      </c>
      <c r="C11239" s="8">
        <v>20.478950000000001</v>
      </c>
      <c r="D11239" s="8">
        <v>73</v>
      </c>
      <c r="E11239" s="8">
        <v>0</v>
      </c>
      <c r="F11239" s="8">
        <v>0</v>
      </c>
      <c r="G11239" s="8">
        <v>4</v>
      </c>
      <c r="H11239" s="8" t="s">
        <v>48116</v>
      </c>
      <c r="I11239" s="8">
        <v>527.4375</v>
      </c>
      <c r="J11239" s="3">
        <f t="shared" si="175"/>
        <v>43749.303496967586</v>
      </c>
    </row>
    <row r="11240" spans="1:10" x14ac:dyDescent="0.25">
      <c r="A11240" s="5" t="s">
        <v>48117</v>
      </c>
      <c r="B11240" s="6">
        <v>396.875</v>
      </c>
      <c r="C11240" s="6">
        <v>20.478950000000001</v>
      </c>
      <c r="D11240" s="6">
        <v>73</v>
      </c>
      <c r="E11240" s="6">
        <v>0</v>
      </c>
      <c r="F11240" s="6">
        <v>0</v>
      </c>
      <c r="G11240" s="6">
        <v>15</v>
      </c>
      <c r="H11240" s="6" t="s">
        <v>48118</v>
      </c>
      <c r="I11240" s="6">
        <v>527.4375</v>
      </c>
      <c r="J11240" s="2">
        <f t="shared" si="175"/>
        <v>43749.303568252311</v>
      </c>
    </row>
    <row r="11241" spans="1:10" x14ac:dyDescent="0.25">
      <c r="A11241" s="7" t="s">
        <v>48119</v>
      </c>
      <c r="B11241" s="8">
        <v>396.875</v>
      </c>
      <c r="C11241" s="8">
        <v>20.478950000000001</v>
      </c>
      <c r="D11241" s="8">
        <v>73</v>
      </c>
      <c r="E11241" s="8">
        <v>0</v>
      </c>
      <c r="F11241" s="8">
        <v>0</v>
      </c>
      <c r="G11241" s="8">
        <v>9</v>
      </c>
      <c r="H11241" s="8" t="s">
        <v>48120</v>
      </c>
      <c r="I11241" s="8">
        <v>527.4375</v>
      </c>
      <c r="J11241" s="3">
        <f t="shared" si="175"/>
        <v>43749.303640474536</v>
      </c>
    </row>
    <row r="11242" spans="1:10" x14ac:dyDescent="0.25">
      <c r="A11242" s="5" t="s">
        <v>48121</v>
      </c>
      <c r="B11242" s="6">
        <v>396.875</v>
      </c>
      <c r="C11242" s="6">
        <v>20.478950000000001</v>
      </c>
      <c r="D11242" s="6">
        <v>73</v>
      </c>
      <c r="E11242" s="6">
        <v>0</v>
      </c>
      <c r="F11242" s="6">
        <v>0</v>
      </c>
      <c r="G11242" s="6">
        <v>11</v>
      </c>
      <c r="H11242" s="6" t="s">
        <v>48122</v>
      </c>
      <c r="I11242" s="6">
        <v>527.4375</v>
      </c>
      <c r="J11242" s="2">
        <f t="shared" si="175"/>
        <v>43749.303711793975</v>
      </c>
    </row>
    <row r="11243" spans="1:10" x14ac:dyDescent="0.25">
      <c r="A11243" s="7" t="s">
        <v>48123</v>
      </c>
      <c r="B11243" s="8">
        <v>396.875</v>
      </c>
      <c r="C11243" s="8">
        <v>20.478950000000001</v>
      </c>
      <c r="D11243" s="8">
        <v>70</v>
      </c>
      <c r="E11243" s="8">
        <v>0</v>
      </c>
      <c r="F11243" s="8">
        <v>0</v>
      </c>
      <c r="G11243" s="8">
        <v>1</v>
      </c>
      <c r="H11243" s="8" t="s">
        <v>48124</v>
      </c>
      <c r="I11243" s="8">
        <v>527.4375</v>
      </c>
      <c r="J11243" s="3">
        <f t="shared" si="175"/>
        <v>43749.303794918982</v>
      </c>
    </row>
    <row r="11244" spans="1:10" x14ac:dyDescent="0.25">
      <c r="A11244" s="5" t="s">
        <v>48125</v>
      </c>
      <c r="B11244" s="6">
        <v>396.875</v>
      </c>
      <c r="C11244" s="6">
        <v>20.426300000000001</v>
      </c>
      <c r="D11244" s="6">
        <v>70</v>
      </c>
      <c r="E11244" s="6">
        <v>0</v>
      </c>
      <c r="F11244" s="6">
        <v>0</v>
      </c>
      <c r="G11244" s="6">
        <v>18</v>
      </c>
      <c r="H11244" s="6" t="s">
        <v>48126</v>
      </c>
      <c r="I11244" s="6">
        <v>527.4375</v>
      </c>
      <c r="J11244" s="2">
        <f t="shared" si="175"/>
        <v>43749.303866388887</v>
      </c>
    </row>
    <row r="11245" spans="1:10" x14ac:dyDescent="0.25">
      <c r="A11245" s="7" t="s">
        <v>48127</v>
      </c>
      <c r="B11245" s="8">
        <v>393.75</v>
      </c>
      <c r="C11245" s="8">
        <v>20.478950000000001</v>
      </c>
      <c r="D11245" s="8">
        <v>70</v>
      </c>
      <c r="E11245" s="8">
        <v>0</v>
      </c>
      <c r="F11245" s="8">
        <v>0</v>
      </c>
      <c r="G11245" s="8">
        <v>11</v>
      </c>
      <c r="H11245" s="8" t="s">
        <v>48128</v>
      </c>
      <c r="I11245" s="8">
        <v>526.6875</v>
      </c>
      <c r="J11245" s="3">
        <f t="shared" si="175"/>
        <v>43749.303938645833</v>
      </c>
    </row>
    <row r="11246" spans="1:10" x14ac:dyDescent="0.25">
      <c r="A11246" s="5" t="s">
        <v>48129</v>
      </c>
      <c r="B11246" s="6">
        <v>412.5</v>
      </c>
      <c r="C11246" s="6">
        <v>20.426300000000001</v>
      </c>
      <c r="D11246" s="6">
        <v>70</v>
      </c>
      <c r="E11246" s="6">
        <v>0</v>
      </c>
      <c r="F11246" s="6">
        <v>0</v>
      </c>
      <c r="G11246" s="6">
        <v>4</v>
      </c>
      <c r="H11246" s="6" t="s">
        <v>48130</v>
      </c>
      <c r="I11246" s="6">
        <v>532.5</v>
      </c>
      <c r="J11246" s="2">
        <f t="shared" si="175"/>
        <v>43749.304009930558</v>
      </c>
    </row>
    <row r="11247" spans="1:10" x14ac:dyDescent="0.25">
      <c r="A11247" s="7" t="s">
        <v>48131</v>
      </c>
      <c r="B11247" s="8">
        <v>393.75</v>
      </c>
      <c r="C11247" s="8">
        <v>20.478950000000001</v>
      </c>
      <c r="D11247" s="8">
        <v>70</v>
      </c>
      <c r="E11247" s="8">
        <v>0</v>
      </c>
      <c r="F11247" s="8">
        <v>0</v>
      </c>
      <c r="G11247" s="8">
        <v>16</v>
      </c>
      <c r="H11247" s="8" t="s">
        <v>48132</v>
      </c>
      <c r="I11247" s="8">
        <v>526.6875</v>
      </c>
      <c r="J11247" s="3">
        <f t="shared" si="175"/>
        <v>43749.3040812037</v>
      </c>
    </row>
    <row r="11248" spans="1:10" x14ac:dyDescent="0.25">
      <c r="A11248" s="5" t="s">
        <v>48133</v>
      </c>
      <c r="B11248" s="6">
        <v>393.75</v>
      </c>
      <c r="C11248" s="6">
        <v>20.478950000000001</v>
      </c>
      <c r="D11248" s="6">
        <v>70</v>
      </c>
      <c r="E11248" s="6">
        <v>0</v>
      </c>
      <c r="F11248" s="6">
        <v>0</v>
      </c>
      <c r="G11248" s="6">
        <v>1</v>
      </c>
      <c r="H11248" s="6" t="s">
        <v>48134</v>
      </c>
      <c r="I11248" s="6">
        <v>526.6875</v>
      </c>
      <c r="J11248" s="2">
        <f t="shared" si="175"/>
        <v>43749.304152557866</v>
      </c>
    </row>
    <row r="11249" spans="1:10" x14ac:dyDescent="0.25">
      <c r="A11249" s="7" t="s">
        <v>48135</v>
      </c>
      <c r="B11249" s="8">
        <v>393.75</v>
      </c>
      <c r="C11249" s="8">
        <v>20.478950000000001</v>
      </c>
      <c r="D11249" s="8">
        <v>70</v>
      </c>
      <c r="E11249" s="8">
        <v>0</v>
      </c>
      <c r="F11249" s="8">
        <v>0</v>
      </c>
      <c r="G11249" s="8">
        <v>14</v>
      </c>
      <c r="H11249" s="8" t="s">
        <v>48136</v>
      </c>
      <c r="I11249" s="8">
        <v>526.6875</v>
      </c>
      <c r="J11249" s="3">
        <f t="shared" si="175"/>
        <v>43749.304236759257</v>
      </c>
    </row>
    <row r="11250" spans="1:10" x14ac:dyDescent="0.25">
      <c r="A11250" s="5" t="s">
        <v>48137</v>
      </c>
      <c r="B11250" s="6">
        <v>396.875</v>
      </c>
      <c r="C11250" s="6">
        <v>20.478950000000001</v>
      </c>
      <c r="D11250" s="6">
        <v>70</v>
      </c>
      <c r="E11250" s="6">
        <v>0</v>
      </c>
      <c r="F11250" s="6">
        <v>0</v>
      </c>
      <c r="G11250" s="6">
        <v>4</v>
      </c>
      <c r="H11250" s="6" t="s">
        <v>48138</v>
      </c>
      <c r="I11250" s="6">
        <v>527.4375</v>
      </c>
      <c r="J11250" s="2">
        <f t="shared" si="175"/>
        <v>43749.304320104166</v>
      </c>
    </row>
    <row r="11251" spans="1:10" x14ac:dyDescent="0.25">
      <c r="A11251" s="7" t="s">
        <v>48139</v>
      </c>
      <c r="B11251" s="8">
        <v>393.75</v>
      </c>
      <c r="C11251" s="8">
        <v>20.478950000000001</v>
      </c>
      <c r="D11251" s="8">
        <v>71</v>
      </c>
      <c r="E11251" s="8">
        <v>0</v>
      </c>
      <c r="F11251" s="8">
        <v>0</v>
      </c>
      <c r="G11251" s="8">
        <v>14</v>
      </c>
      <c r="H11251" s="8" t="s">
        <v>48140</v>
      </c>
      <c r="I11251" s="8">
        <v>526.6875</v>
      </c>
      <c r="J11251" s="3">
        <f t="shared" si="175"/>
        <v>43749.304391412035</v>
      </c>
    </row>
    <row r="11252" spans="1:10" x14ac:dyDescent="0.25">
      <c r="A11252" s="5" t="s">
        <v>48141</v>
      </c>
      <c r="B11252" s="6">
        <v>393.75</v>
      </c>
      <c r="C11252" s="6">
        <v>20.426300000000001</v>
      </c>
      <c r="D11252" s="6">
        <v>68</v>
      </c>
      <c r="E11252" s="6">
        <v>0</v>
      </c>
      <c r="F11252" s="6">
        <v>0</v>
      </c>
      <c r="G11252" s="6">
        <v>9</v>
      </c>
      <c r="H11252" s="6" t="s">
        <v>48142</v>
      </c>
      <c r="I11252" s="6">
        <v>526.5</v>
      </c>
      <c r="J11252" s="2">
        <f t="shared" si="175"/>
        <v>43749.304462685184</v>
      </c>
    </row>
    <row r="11253" spans="1:10" x14ac:dyDescent="0.25">
      <c r="A11253" s="7" t="s">
        <v>48143</v>
      </c>
      <c r="B11253" s="8">
        <v>412.5</v>
      </c>
      <c r="C11253" s="8">
        <v>20.478950000000001</v>
      </c>
      <c r="D11253" s="8">
        <v>70</v>
      </c>
      <c r="E11253" s="8">
        <v>0</v>
      </c>
      <c r="F11253" s="8">
        <v>0</v>
      </c>
      <c r="G11253" s="8">
        <v>12</v>
      </c>
      <c r="H11253" s="8" t="s">
        <v>48144</v>
      </c>
      <c r="I11253" s="8">
        <v>532.6875</v>
      </c>
      <c r="J11253" s="3">
        <f t="shared" si="175"/>
        <v>43749.304534212955</v>
      </c>
    </row>
    <row r="11254" spans="1:10" x14ac:dyDescent="0.25">
      <c r="A11254" s="5" t="s">
        <v>48145</v>
      </c>
      <c r="B11254" s="6">
        <v>393.75</v>
      </c>
      <c r="C11254" s="6">
        <v>20.478950000000001</v>
      </c>
      <c r="D11254" s="6">
        <v>70</v>
      </c>
      <c r="E11254" s="6">
        <v>0</v>
      </c>
      <c r="F11254" s="6">
        <v>0</v>
      </c>
      <c r="G11254" s="6">
        <v>9</v>
      </c>
      <c r="H11254" s="6" t="s">
        <v>48146</v>
      </c>
      <c r="I11254" s="6">
        <v>526.6875</v>
      </c>
      <c r="J11254" s="2">
        <f t="shared" si="175"/>
        <v>43749.30461274305</v>
      </c>
    </row>
    <row r="11255" spans="1:10" x14ac:dyDescent="0.25">
      <c r="A11255" s="7" t="s">
        <v>48147</v>
      </c>
      <c r="B11255" s="8">
        <v>393.75</v>
      </c>
      <c r="C11255" s="8">
        <v>20.478950000000001</v>
      </c>
      <c r="D11255" s="8">
        <v>69</v>
      </c>
      <c r="E11255" s="8">
        <v>0</v>
      </c>
      <c r="F11255" s="8">
        <v>0</v>
      </c>
      <c r="G11255" s="8">
        <v>5</v>
      </c>
      <c r="H11255" s="8" t="s">
        <v>48148</v>
      </c>
      <c r="I11255" s="8">
        <v>526.6875</v>
      </c>
      <c r="J11255" s="3">
        <f t="shared" si="175"/>
        <v>43749.304689548611</v>
      </c>
    </row>
    <row r="11256" spans="1:10" x14ac:dyDescent="0.25">
      <c r="A11256" s="5" t="s">
        <v>48149</v>
      </c>
      <c r="B11256" s="6">
        <v>393.75</v>
      </c>
      <c r="C11256" s="6">
        <v>20.478950000000001</v>
      </c>
      <c r="D11256" s="6">
        <v>69</v>
      </c>
      <c r="E11256" s="6">
        <v>0</v>
      </c>
      <c r="F11256" s="6">
        <v>0</v>
      </c>
      <c r="G11256" s="6">
        <v>11</v>
      </c>
      <c r="H11256" s="6" t="s">
        <v>48150</v>
      </c>
      <c r="I11256" s="6">
        <v>526.6875</v>
      </c>
      <c r="J11256" s="2">
        <f t="shared" si="175"/>
        <v>43749.304760833336</v>
      </c>
    </row>
    <row r="11257" spans="1:10" x14ac:dyDescent="0.25">
      <c r="A11257" s="7" t="s">
        <v>48151</v>
      </c>
      <c r="B11257" s="8">
        <v>393.75</v>
      </c>
      <c r="C11257" s="8">
        <v>20.478950000000001</v>
      </c>
      <c r="D11257" s="8">
        <v>69</v>
      </c>
      <c r="E11257" s="8">
        <v>0</v>
      </c>
      <c r="F11257" s="8">
        <v>0</v>
      </c>
      <c r="G11257" s="8">
        <v>11</v>
      </c>
      <c r="H11257" s="8" t="s">
        <v>48152</v>
      </c>
      <c r="I11257" s="8">
        <v>526.6875</v>
      </c>
      <c r="J11257" s="3">
        <f t="shared" si="175"/>
        <v>43749.304832546295</v>
      </c>
    </row>
    <row r="11258" spans="1:10" x14ac:dyDescent="0.25">
      <c r="A11258" s="5" t="s">
        <v>48153</v>
      </c>
      <c r="B11258" s="6">
        <v>393.75</v>
      </c>
      <c r="C11258" s="6">
        <v>20.426300000000001</v>
      </c>
      <c r="D11258" s="6">
        <v>65</v>
      </c>
      <c r="E11258" s="6">
        <v>0</v>
      </c>
      <c r="F11258" s="6">
        <v>0</v>
      </c>
      <c r="G11258" s="6">
        <v>3</v>
      </c>
      <c r="H11258" s="6" t="s">
        <v>48154</v>
      </c>
      <c r="I11258" s="6">
        <v>526.6875</v>
      </c>
      <c r="J11258" s="2">
        <f t="shared" si="175"/>
        <v>43749.304903900462</v>
      </c>
    </row>
    <row r="11259" spans="1:10" x14ac:dyDescent="0.25">
      <c r="A11259" s="7" t="s">
        <v>48155</v>
      </c>
      <c r="B11259" s="8">
        <v>393.75</v>
      </c>
      <c r="C11259" s="8">
        <v>20.478950000000001</v>
      </c>
      <c r="D11259" s="8">
        <v>65</v>
      </c>
      <c r="E11259" s="8">
        <v>0</v>
      </c>
      <c r="F11259" s="8">
        <v>0</v>
      </c>
      <c r="G11259" s="8">
        <v>9</v>
      </c>
      <c r="H11259" s="8" t="s">
        <v>48156</v>
      </c>
      <c r="I11259" s="8">
        <v>526.6875</v>
      </c>
      <c r="J11259" s="3">
        <f t="shared" si="175"/>
        <v>43749.304975995365</v>
      </c>
    </row>
    <row r="11260" spans="1:10" x14ac:dyDescent="0.25">
      <c r="A11260" s="5" t="s">
        <v>48157</v>
      </c>
      <c r="B11260" s="6">
        <v>393.75</v>
      </c>
      <c r="C11260" s="6">
        <v>20.478950000000001</v>
      </c>
      <c r="D11260" s="6">
        <v>67</v>
      </c>
      <c r="E11260" s="6">
        <v>0</v>
      </c>
      <c r="F11260" s="6">
        <v>0</v>
      </c>
      <c r="G11260" s="6">
        <v>2</v>
      </c>
      <c r="H11260" s="6" t="s">
        <v>48158</v>
      </c>
      <c r="I11260" s="6">
        <v>526.6875</v>
      </c>
      <c r="J11260" s="2">
        <f t="shared" si="175"/>
        <v>43749.305047361107</v>
      </c>
    </row>
    <row r="11261" spans="1:10" x14ac:dyDescent="0.25">
      <c r="A11261" s="7" t="s">
        <v>48159</v>
      </c>
      <c r="B11261" s="8">
        <v>393.75</v>
      </c>
      <c r="C11261" s="8">
        <v>20.478950000000001</v>
      </c>
      <c r="D11261" s="8">
        <v>75</v>
      </c>
      <c r="E11261" s="8">
        <v>0</v>
      </c>
      <c r="F11261" s="8">
        <v>0</v>
      </c>
      <c r="G11261" s="8">
        <v>5</v>
      </c>
      <c r="H11261" s="8" t="s">
        <v>48160</v>
      </c>
      <c r="I11261" s="8">
        <v>526.5</v>
      </c>
      <c r="J11261" s="3">
        <f t="shared" si="175"/>
        <v>43749.305118761571</v>
      </c>
    </row>
    <row r="11262" spans="1:10" x14ac:dyDescent="0.25">
      <c r="A11262" s="5" t="s">
        <v>48161</v>
      </c>
      <c r="B11262" s="6">
        <v>393.75</v>
      </c>
      <c r="C11262" s="6">
        <v>20.478950000000001</v>
      </c>
      <c r="D11262" s="6">
        <v>75</v>
      </c>
      <c r="E11262" s="6">
        <v>0</v>
      </c>
      <c r="F11262" s="6">
        <v>0</v>
      </c>
      <c r="G11262" s="6">
        <v>12</v>
      </c>
      <c r="H11262" s="6" t="s">
        <v>48162</v>
      </c>
      <c r="I11262" s="6">
        <v>526.6875</v>
      </c>
      <c r="J11262" s="2">
        <f t="shared" si="175"/>
        <v>43749.305190023144</v>
      </c>
    </row>
    <row r="11263" spans="1:10" x14ac:dyDescent="0.25">
      <c r="A11263" s="7" t="s">
        <v>48163</v>
      </c>
      <c r="B11263" s="8">
        <v>393.75</v>
      </c>
      <c r="C11263" s="8">
        <v>20.478950000000001</v>
      </c>
      <c r="D11263" s="8">
        <v>75</v>
      </c>
      <c r="E11263" s="8">
        <v>0</v>
      </c>
      <c r="F11263" s="8">
        <v>0</v>
      </c>
      <c r="G11263" s="8">
        <v>11</v>
      </c>
      <c r="H11263" s="8" t="s">
        <v>48164</v>
      </c>
      <c r="I11263" s="8">
        <v>526.6875</v>
      </c>
      <c r="J11263" s="3">
        <f t="shared" si="175"/>
        <v>43749.305274039354</v>
      </c>
    </row>
    <row r="11264" spans="1:10" x14ac:dyDescent="0.25">
      <c r="A11264" s="5" t="s">
        <v>48165</v>
      </c>
      <c r="B11264" s="6">
        <v>412.5</v>
      </c>
      <c r="C11264" s="6">
        <v>20.478950000000001</v>
      </c>
      <c r="D11264" s="6">
        <v>74</v>
      </c>
      <c r="E11264" s="6">
        <v>0</v>
      </c>
      <c r="F11264" s="6">
        <v>0</v>
      </c>
      <c r="G11264" s="6">
        <v>13</v>
      </c>
      <c r="H11264" s="6" t="s">
        <v>48166</v>
      </c>
      <c r="I11264" s="6">
        <v>532.3125</v>
      </c>
      <c r="J11264" s="2">
        <f t="shared" si="175"/>
        <v>43749.30535696759</v>
      </c>
    </row>
    <row r="11265" spans="1:10" x14ac:dyDescent="0.25">
      <c r="A11265" s="7" t="s">
        <v>48167</v>
      </c>
      <c r="B11265" s="8">
        <v>393.75</v>
      </c>
      <c r="C11265" s="8">
        <v>20.478950000000001</v>
      </c>
      <c r="D11265" s="8">
        <v>74</v>
      </c>
      <c r="E11265" s="8">
        <v>0</v>
      </c>
      <c r="F11265" s="8">
        <v>0</v>
      </c>
      <c r="G11265" s="8">
        <v>8</v>
      </c>
      <c r="H11265" s="8" t="s">
        <v>48168</v>
      </c>
      <c r="I11265" s="8">
        <v>526.6875</v>
      </c>
      <c r="J11265" s="3">
        <f t="shared" si="175"/>
        <v>43749.305428958331</v>
      </c>
    </row>
    <row r="11266" spans="1:10" x14ac:dyDescent="0.25">
      <c r="A11266" s="5" t="s">
        <v>48169</v>
      </c>
      <c r="B11266" s="6">
        <v>393.75</v>
      </c>
      <c r="C11266" s="6">
        <v>20.478950000000001</v>
      </c>
      <c r="D11266" s="6">
        <v>74</v>
      </c>
      <c r="E11266" s="6">
        <v>0</v>
      </c>
      <c r="F11266" s="6">
        <v>0</v>
      </c>
      <c r="G11266" s="6">
        <v>7</v>
      </c>
      <c r="H11266" s="6" t="s">
        <v>48170</v>
      </c>
      <c r="I11266" s="6">
        <v>526.5</v>
      </c>
      <c r="J11266" s="2">
        <f t="shared" ref="J11266:J11329" si="176">(H11266/86400000)+25569+(7/24)</f>
        <v>43749.305500219903</v>
      </c>
    </row>
    <row r="11267" spans="1:10" x14ac:dyDescent="0.25">
      <c r="A11267" s="7" t="s">
        <v>48171</v>
      </c>
      <c r="B11267" s="8">
        <v>393.75</v>
      </c>
      <c r="C11267" s="8">
        <v>20.478950000000001</v>
      </c>
      <c r="D11267" s="8">
        <v>74</v>
      </c>
      <c r="E11267" s="8">
        <v>0</v>
      </c>
      <c r="F11267" s="8">
        <v>0</v>
      </c>
      <c r="G11267" s="8">
        <v>8</v>
      </c>
      <c r="H11267" s="8" t="s">
        <v>48172</v>
      </c>
      <c r="I11267" s="8">
        <v>526.6875</v>
      </c>
      <c r="J11267" s="3">
        <f t="shared" si="176"/>
        <v>43749.305593067133</v>
      </c>
    </row>
    <row r="11268" spans="1:10" x14ac:dyDescent="0.25">
      <c r="A11268" s="5" t="s">
        <v>48173</v>
      </c>
      <c r="B11268" s="6">
        <v>393.75</v>
      </c>
      <c r="C11268" s="6">
        <v>20.478950000000001</v>
      </c>
      <c r="D11268" s="6">
        <v>73</v>
      </c>
      <c r="E11268" s="6">
        <v>0</v>
      </c>
      <c r="F11268" s="6">
        <v>0</v>
      </c>
      <c r="G11268" s="6">
        <v>7</v>
      </c>
      <c r="H11268" s="6" t="s">
        <v>48174</v>
      </c>
      <c r="I11268" s="6">
        <v>526.6875</v>
      </c>
      <c r="J11268" s="2">
        <f t="shared" si="176"/>
        <v>43749.305667824075</v>
      </c>
    </row>
    <row r="11269" spans="1:10" x14ac:dyDescent="0.25">
      <c r="A11269" s="7" t="s">
        <v>48175</v>
      </c>
      <c r="B11269" s="8">
        <v>393.75</v>
      </c>
      <c r="C11269" s="8">
        <v>20.426300000000001</v>
      </c>
      <c r="D11269" s="8">
        <v>73</v>
      </c>
      <c r="E11269" s="8">
        <v>0</v>
      </c>
      <c r="F11269" s="8">
        <v>0</v>
      </c>
      <c r="G11269" s="8">
        <v>9</v>
      </c>
      <c r="H11269" s="8" t="s">
        <v>48176</v>
      </c>
      <c r="I11269" s="8">
        <v>526.6875</v>
      </c>
      <c r="J11269" s="3">
        <f t="shared" si="176"/>
        <v>43749.305739074072</v>
      </c>
    </row>
    <row r="11270" spans="1:10" x14ac:dyDescent="0.25">
      <c r="A11270" s="5" t="s">
        <v>48177</v>
      </c>
      <c r="B11270" s="6">
        <v>396.875</v>
      </c>
      <c r="C11270" s="6">
        <v>20.478950000000001</v>
      </c>
      <c r="D11270" s="6">
        <v>73</v>
      </c>
      <c r="E11270" s="6">
        <v>0</v>
      </c>
      <c r="F11270" s="6">
        <v>0</v>
      </c>
      <c r="G11270" s="6">
        <v>8</v>
      </c>
      <c r="H11270" s="6" t="s">
        <v>48178</v>
      </c>
      <c r="I11270" s="6">
        <v>527.0625</v>
      </c>
      <c r="J11270" s="2">
        <f t="shared" si="176"/>
        <v>43749.305810405094</v>
      </c>
    </row>
    <row r="11271" spans="1:10" x14ac:dyDescent="0.25">
      <c r="A11271" s="7" t="s">
        <v>48179</v>
      </c>
      <c r="B11271" s="8">
        <v>396.875</v>
      </c>
      <c r="C11271" s="8">
        <v>20.478950000000001</v>
      </c>
      <c r="D11271" s="8">
        <v>72</v>
      </c>
      <c r="E11271" s="8">
        <v>0</v>
      </c>
      <c r="F11271" s="8">
        <v>0</v>
      </c>
      <c r="G11271" s="8">
        <v>11</v>
      </c>
      <c r="H11271" s="8" t="s">
        <v>48180</v>
      </c>
      <c r="I11271" s="8">
        <v>527.4375</v>
      </c>
      <c r="J11271" s="3">
        <f t="shared" si="176"/>
        <v>43749.305881712957</v>
      </c>
    </row>
    <row r="11272" spans="1:10" x14ac:dyDescent="0.25">
      <c r="A11272" s="5" t="s">
        <v>48181</v>
      </c>
      <c r="B11272" s="6">
        <v>396.875</v>
      </c>
      <c r="C11272" s="6">
        <v>20.478950000000001</v>
      </c>
      <c r="D11272" s="6">
        <v>72</v>
      </c>
      <c r="E11272" s="6">
        <v>0</v>
      </c>
      <c r="F11272" s="6">
        <v>0</v>
      </c>
      <c r="G11272" s="6">
        <v>4</v>
      </c>
      <c r="H11272" s="6" t="s">
        <v>48182</v>
      </c>
      <c r="I11272" s="6">
        <v>527.4375</v>
      </c>
      <c r="J11272" s="2">
        <f t="shared" si="176"/>
        <v>43749.305953935182</v>
      </c>
    </row>
    <row r="11273" spans="1:10" x14ac:dyDescent="0.25">
      <c r="A11273" s="7" t="s">
        <v>48183</v>
      </c>
      <c r="B11273" s="8">
        <v>393.75</v>
      </c>
      <c r="C11273" s="8">
        <v>20.478950000000001</v>
      </c>
      <c r="D11273" s="8">
        <v>72</v>
      </c>
      <c r="E11273" s="8">
        <v>0</v>
      </c>
      <c r="F11273" s="8">
        <v>0</v>
      </c>
      <c r="G11273" s="8">
        <v>8</v>
      </c>
      <c r="H11273" s="8" t="s">
        <v>48184</v>
      </c>
      <c r="I11273" s="8">
        <v>526.6875</v>
      </c>
      <c r="J11273" s="3">
        <f t="shared" si="176"/>
        <v>43749.306025231483</v>
      </c>
    </row>
    <row r="11274" spans="1:10" x14ac:dyDescent="0.25">
      <c r="A11274" s="5" t="s">
        <v>48185</v>
      </c>
      <c r="B11274" s="6">
        <v>393.75</v>
      </c>
      <c r="C11274" s="6">
        <v>20.478950000000001</v>
      </c>
      <c r="D11274" s="6">
        <v>71</v>
      </c>
      <c r="E11274" s="6">
        <v>0</v>
      </c>
      <c r="F11274" s="6">
        <v>0</v>
      </c>
      <c r="G11274" s="6">
        <v>12</v>
      </c>
      <c r="H11274" s="6" t="s">
        <v>48186</v>
      </c>
      <c r="I11274" s="6">
        <v>526.6875</v>
      </c>
      <c r="J11274" s="2">
        <f t="shared" si="176"/>
        <v>43749.306096469903</v>
      </c>
    </row>
    <row r="11275" spans="1:10" x14ac:dyDescent="0.25">
      <c r="A11275" s="7" t="s">
        <v>48187</v>
      </c>
      <c r="B11275" s="8">
        <v>393.75</v>
      </c>
      <c r="C11275" s="8">
        <v>20.478950000000001</v>
      </c>
      <c r="D11275" s="8">
        <v>71</v>
      </c>
      <c r="E11275" s="8">
        <v>0</v>
      </c>
      <c r="F11275" s="8">
        <v>0</v>
      </c>
      <c r="G11275" s="8">
        <v>18</v>
      </c>
      <c r="H11275" s="8" t="s">
        <v>48188</v>
      </c>
      <c r="I11275" s="8">
        <v>526.6875</v>
      </c>
      <c r="J11275" s="3">
        <f t="shared" si="176"/>
        <v>43749.306169490737</v>
      </c>
    </row>
    <row r="11276" spans="1:10" x14ac:dyDescent="0.25">
      <c r="A11276" s="5" t="s">
        <v>48189</v>
      </c>
      <c r="B11276" s="6">
        <v>396.875</v>
      </c>
      <c r="C11276" s="6">
        <v>20.426300000000001</v>
      </c>
      <c r="D11276" s="6">
        <v>71</v>
      </c>
      <c r="E11276" s="6">
        <v>0</v>
      </c>
      <c r="F11276" s="6">
        <v>0</v>
      </c>
      <c r="G11276" s="6">
        <v>12</v>
      </c>
      <c r="H11276" s="6" t="s">
        <v>48190</v>
      </c>
      <c r="I11276" s="6">
        <v>527.4375</v>
      </c>
      <c r="J11276" s="2">
        <f t="shared" si="176"/>
        <v>43749.306239178237</v>
      </c>
    </row>
    <row r="11277" spans="1:10" x14ac:dyDescent="0.25">
      <c r="A11277" s="7" t="s">
        <v>48191</v>
      </c>
      <c r="B11277" s="8">
        <v>396.875</v>
      </c>
      <c r="C11277" s="8">
        <v>20.478950000000001</v>
      </c>
      <c r="D11277" s="8">
        <v>69</v>
      </c>
      <c r="E11277" s="8">
        <v>0</v>
      </c>
      <c r="F11277" s="8">
        <v>0</v>
      </c>
      <c r="G11277" s="8">
        <v>5</v>
      </c>
      <c r="H11277" s="8" t="s">
        <v>48192</v>
      </c>
      <c r="I11277" s="8">
        <v>527.625</v>
      </c>
      <c r="J11277" s="3">
        <f t="shared" si="176"/>
        <v>43749.306311331013</v>
      </c>
    </row>
    <row r="11278" spans="1:10" x14ac:dyDescent="0.25">
      <c r="A11278" s="5" t="s">
        <v>48193</v>
      </c>
      <c r="B11278" s="6">
        <v>400</v>
      </c>
      <c r="C11278" s="6">
        <v>20.478950000000001</v>
      </c>
      <c r="D11278" s="6">
        <v>70</v>
      </c>
      <c r="E11278" s="6">
        <v>0</v>
      </c>
      <c r="F11278" s="6">
        <v>0</v>
      </c>
      <c r="G11278" s="6">
        <v>4</v>
      </c>
      <c r="H11278" s="6" t="s">
        <v>48194</v>
      </c>
      <c r="I11278" s="6">
        <v>528.375</v>
      </c>
      <c r="J11278" s="2">
        <f t="shared" si="176"/>
        <v>43749.306382685179</v>
      </c>
    </row>
    <row r="11279" spans="1:10" x14ac:dyDescent="0.25">
      <c r="A11279" s="7" t="s">
        <v>48195</v>
      </c>
      <c r="B11279" s="8">
        <v>415.625</v>
      </c>
      <c r="C11279" s="8">
        <v>20.478950000000001</v>
      </c>
      <c r="D11279" s="8">
        <v>70</v>
      </c>
      <c r="E11279" s="8">
        <v>0</v>
      </c>
      <c r="F11279" s="8">
        <v>0</v>
      </c>
      <c r="G11279" s="8">
        <v>14</v>
      </c>
      <c r="H11279" s="8" t="s">
        <v>48196</v>
      </c>
      <c r="I11279" s="8">
        <v>533.8125</v>
      </c>
      <c r="J11279" s="3">
        <f t="shared" si="176"/>
        <v>43749.30645398148</v>
      </c>
    </row>
    <row r="11280" spans="1:10" x14ac:dyDescent="0.25">
      <c r="A11280" s="5" t="s">
        <v>48197</v>
      </c>
      <c r="B11280" s="6">
        <v>400</v>
      </c>
      <c r="C11280" s="6">
        <v>20.478950000000001</v>
      </c>
      <c r="D11280" s="6">
        <v>70</v>
      </c>
      <c r="E11280" s="6">
        <v>0</v>
      </c>
      <c r="F11280" s="6">
        <v>0</v>
      </c>
      <c r="G11280" s="6">
        <v>7</v>
      </c>
      <c r="H11280" s="6" t="s">
        <v>48198</v>
      </c>
      <c r="I11280" s="6">
        <v>528.1875</v>
      </c>
      <c r="J11280" s="2">
        <f t="shared" si="176"/>
        <v>43749.306526203705</v>
      </c>
    </row>
    <row r="11281" spans="1:10" x14ac:dyDescent="0.25">
      <c r="A11281" s="7" t="s">
        <v>48199</v>
      </c>
      <c r="B11281" s="8">
        <v>400</v>
      </c>
      <c r="C11281" s="8">
        <v>20.478950000000001</v>
      </c>
      <c r="D11281" s="8">
        <v>71</v>
      </c>
      <c r="E11281" s="8">
        <v>0</v>
      </c>
      <c r="F11281" s="8">
        <v>0</v>
      </c>
      <c r="G11281" s="8">
        <v>5</v>
      </c>
      <c r="H11281" s="8" t="s">
        <v>48200</v>
      </c>
      <c r="I11281" s="8">
        <v>528.1875</v>
      </c>
      <c r="J11281" s="3">
        <f t="shared" si="176"/>
        <v>43749.306597499999</v>
      </c>
    </row>
    <row r="11282" spans="1:10" x14ac:dyDescent="0.25">
      <c r="A11282" s="5" t="s">
        <v>48201</v>
      </c>
      <c r="B11282" s="6">
        <v>400</v>
      </c>
      <c r="C11282" s="6">
        <v>20.478950000000001</v>
      </c>
      <c r="D11282" s="6">
        <v>68</v>
      </c>
      <c r="E11282" s="6">
        <v>0</v>
      </c>
      <c r="F11282" s="6">
        <v>0</v>
      </c>
      <c r="G11282" s="6">
        <v>8</v>
      </c>
      <c r="H11282" s="6" t="s">
        <v>48202</v>
      </c>
      <c r="I11282" s="6">
        <v>528.1875</v>
      </c>
      <c r="J11282" s="2">
        <f t="shared" si="176"/>
        <v>43749.306669490739</v>
      </c>
    </row>
    <row r="11283" spans="1:10" x14ac:dyDescent="0.25">
      <c r="A11283" s="7" t="s">
        <v>48203</v>
      </c>
      <c r="B11283" s="8">
        <v>400</v>
      </c>
      <c r="C11283" s="8">
        <v>20.478950000000001</v>
      </c>
      <c r="D11283" s="8">
        <v>69</v>
      </c>
      <c r="E11283" s="8">
        <v>0</v>
      </c>
      <c r="F11283" s="8">
        <v>0</v>
      </c>
      <c r="G11283" s="8">
        <v>10</v>
      </c>
      <c r="H11283" s="8" t="s">
        <v>48204</v>
      </c>
      <c r="I11283" s="8">
        <v>528.375</v>
      </c>
      <c r="J11283" s="3">
        <f t="shared" si="176"/>
        <v>43749.306741053239</v>
      </c>
    </row>
    <row r="11284" spans="1:10" x14ac:dyDescent="0.25">
      <c r="A11284" s="5" t="s">
        <v>48205</v>
      </c>
      <c r="B11284" s="6">
        <v>400</v>
      </c>
      <c r="C11284" s="6">
        <v>20.478950000000001</v>
      </c>
      <c r="D11284" s="6">
        <v>70</v>
      </c>
      <c r="E11284" s="6">
        <v>0</v>
      </c>
      <c r="F11284" s="6">
        <v>0</v>
      </c>
      <c r="G11284" s="6">
        <v>7</v>
      </c>
      <c r="H11284" s="6" t="s">
        <v>48206</v>
      </c>
      <c r="I11284" s="6">
        <v>528.375</v>
      </c>
      <c r="J11284" s="2">
        <f t="shared" si="176"/>
        <v>43749.306811921291</v>
      </c>
    </row>
    <row r="11285" spans="1:10" x14ac:dyDescent="0.25">
      <c r="A11285" s="7" t="s">
        <v>48207</v>
      </c>
      <c r="B11285" s="8">
        <v>400</v>
      </c>
      <c r="C11285" s="8">
        <v>20.478950000000001</v>
      </c>
      <c r="D11285" s="8">
        <v>69</v>
      </c>
      <c r="E11285" s="8">
        <v>0</v>
      </c>
      <c r="F11285" s="8">
        <v>0</v>
      </c>
      <c r="G11285" s="8">
        <v>11</v>
      </c>
      <c r="H11285" s="8" t="s">
        <v>48208</v>
      </c>
      <c r="I11285" s="8">
        <v>528.1875</v>
      </c>
      <c r="J11285" s="3">
        <f t="shared" si="176"/>
        <v>43749.306883611112</v>
      </c>
    </row>
    <row r="11286" spans="1:10" x14ac:dyDescent="0.25">
      <c r="A11286" s="5" t="s">
        <v>48209</v>
      </c>
      <c r="B11286" s="6">
        <v>400</v>
      </c>
      <c r="C11286" s="6">
        <v>20.478950000000001</v>
      </c>
      <c r="D11286" s="6">
        <v>68</v>
      </c>
      <c r="E11286" s="6">
        <v>0</v>
      </c>
      <c r="F11286" s="6">
        <v>0</v>
      </c>
      <c r="G11286" s="6">
        <v>0</v>
      </c>
      <c r="H11286" s="6" t="s">
        <v>48210</v>
      </c>
      <c r="I11286" s="6">
        <v>528.375</v>
      </c>
      <c r="J11286" s="2">
        <f t="shared" si="176"/>
        <v>43749.306954965279</v>
      </c>
    </row>
    <row r="11287" spans="1:10" x14ac:dyDescent="0.25">
      <c r="A11287" s="7" t="s">
        <v>48211</v>
      </c>
      <c r="B11287" s="8">
        <v>403.125</v>
      </c>
      <c r="C11287" s="8">
        <v>20.478950000000001</v>
      </c>
      <c r="D11287" s="8">
        <v>68</v>
      </c>
      <c r="E11287" s="8">
        <v>0</v>
      </c>
      <c r="F11287" s="8">
        <v>0</v>
      </c>
      <c r="G11287" s="8">
        <v>12</v>
      </c>
      <c r="H11287" s="8" t="s">
        <v>48212</v>
      </c>
      <c r="I11287" s="8">
        <v>529.125</v>
      </c>
      <c r="J11287" s="3">
        <f t="shared" si="176"/>
        <v>43749.307026342591</v>
      </c>
    </row>
    <row r="11288" spans="1:10" x14ac:dyDescent="0.25">
      <c r="A11288" s="5" t="s">
        <v>48213</v>
      </c>
      <c r="B11288" s="6">
        <v>403.125</v>
      </c>
      <c r="C11288" s="6">
        <v>20.478950000000001</v>
      </c>
      <c r="D11288" s="6">
        <v>67</v>
      </c>
      <c r="E11288" s="6">
        <v>0</v>
      </c>
      <c r="F11288" s="6">
        <v>0</v>
      </c>
      <c r="G11288" s="6">
        <v>1</v>
      </c>
      <c r="H11288" s="6" t="s">
        <v>48214</v>
      </c>
      <c r="I11288" s="6">
        <v>529.125</v>
      </c>
      <c r="J11288" s="2">
        <f t="shared" si="176"/>
        <v>43749.307100798607</v>
      </c>
    </row>
    <row r="11289" spans="1:10" x14ac:dyDescent="0.25">
      <c r="A11289" s="7" t="s">
        <v>48215</v>
      </c>
      <c r="B11289" s="8">
        <v>403.125</v>
      </c>
      <c r="C11289" s="8">
        <v>20.478950000000001</v>
      </c>
      <c r="D11289" s="8">
        <v>70</v>
      </c>
      <c r="E11289" s="8">
        <v>0</v>
      </c>
      <c r="F11289" s="8">
        <v>0</v>
      </c>
      <c r="G11289" s="8">
        <v>13</v>
      </c>
      <c r="H11289" s="8" t="s">
        <v>48216</v>
      </c>
      <c r="I11289" s="8">
        <v>529.875</v>
      </c>
      <c r="J11289" s="3">
        <f t="shared" si="176"/>
        <v>43749.307181701392</v>
      </c>
    </row>
    <row r="11290" spans="1:10" x14ac:dyDescent="0.25">
      <c r="A11290" s="5" t="s">
        <v>48217</v>
      </c>
      <c r="B11290" s="6">
        <v>403.125</v>
      </c>
      <c r="C11290" s="6">
        <v>20.478950000000001</v>
      </c>
      <c r="D11290" s="6">
        <v>72</v>
      </c>
      <c r="E11290" s="6">
        <v>0</v>
      </c>
      <c r="F11290" s="6">
        <v>0</v>
      </c>
      <c r="G11290" s="6">
        <v>11</v>
      </c>
      <c r="H11290" s="6" t="s">
        <v>48218</v>
      </c>
      <c r="I11290" s="6">
        <v>529.875</v>
      </c>
      <c r="J11290" s="2">
        <f t="shared" si="176"/>
        <v>43749.307265034724</v>
      </c>
    </row>
    <row r="11291" spans="1:10" x14ac:dyDescent="0.25">
      <c r="A11291" s="7" t="s">
        <v>48219</v>
      </c>
      <c r="B11291" s="8">
        <v>403.125</v>
      </c>
      <c r="C11291" s="8">
        <v>20.478950000000001</v>
      </c>
      <c r="D11291" s="8">
        <v>72</v>
      </c>
      <c r="E11291" s="8">
        <v>0</v>
      </c>
      <c r="F11291" s="8">
        <v>0</v>
      </c>
      <c r="G11291" s="8">
        <v>7</v>
      </c>
      <c r="H11291" s="8" t="s">
        <v>48220</v>
      </c>
      <c r="I11291" s="8">
        <v>529.875</v>
      </c>
      <c r="J11291" s="3">
        <f t="shared" si="176"/>
        <v>43749.307336666665</v>
      </c>
    </row>
    <row r="11292" spans="1:10" x14ac:dyDescent="0.25">
      <c r="A11292" s="5" t="s">
        <v>48221</v>
      </c>
      <c r="B11292" s="6">
        <v>403.125</v>
      </c>
      <c r="C11292" s="6">
        <v>20.478950000000001</v>
      </c>
      <c r="D11292" s="6">
        <v>72</v>
      </c>
      <c r="E11292" s="6">
        <v>0</v>
      </c>
      <c r="F11292" s="6">
        <v>0</v>
      </c>
      <c r="G11292" s="6">
        <v>5</v>
      </c>
      <c r="H11292" s="6" t="s">
        <v>48222</v>
      </c>
      <c r="I11292" s="6">
        <v>529.6875</v>
      </c>
      <c r="J11292" s="2">
        <f t="shared" si="176"/>
        <v>43749.307408587956</v>
      </c>
    </row>
    <row r="11293" spans="1:10" x14ac:dyDescent="0.25">
      <c r="A11293" s="7" t="s">
        <v>48223</v>
      </c>
      <c r="B11293" s="8">
        <v>403.125</v>
      </c>
      <c r="C11293" s="8">
        <v>20.426300000000001</v>
      </c>
      <c r="D11293" s="8">
        <v>72</v>
      </c>
      <c r="E11293" s="8">
        <v>0</v>
      </c>
      <c r="F11293" s="8">
        <v>0</v>
      </c>
      <c r="G11293" s="8">
        <v>4</v>
      </c>
      <c r="H11293" s="8" t="s">
        <v>48224</v>
      </c>
      <c r="I11293" s="8">
        <v>529.875</v>
      </c>
      <c r="J11293" s="3">
        <f t="shared" si="176"/>
        <v>43749.307479976851</v>
      </c>
    </row>
    <row r="11294" spans="1:10" x14ac:dyDescent="0.25">
      <c r="A11294" s="5" t="s">
        <v>48225</v>
      </c>
      <c r="B11294" s="6">
        <v>403.125</v>
      </c>
      <c r="C11294" s="6">
        <v>20.478950000000001</v>
      </c>
      <c r="D11294" s="6">
        <v>73</v>
      </c>
      <c r="E11294" s="6">
        <v>0</v>
      </c>
      <c r="F11294" s="6">
        <v>0</v>
      </c>
      <c r="G11294" s="6">
        <v>17</v>
      </c>
      <c r="H11294" s="6" t="s">
        <v>48226</v>
      </c>
      <c r="I11294" s="6">
        <v>529.875</v>
      </c>
      <c r="J11294" s="2">
        <f t="shared" si="176"/>
        <v>43749.307551284721</v>
      </c>
    </row>
    <row r="11295" spans="1:10" x14ac:dyDescent="0.25">
      <c r="A11295" s="7" t="s">
        <v>48227</v>
      </c>
      <c r="B11295" s="8">
        <v>403.125</v>
      </c>
      <c r="C11295" s="8">
        <v>20.478950000000001</v>
      </c>
      <c r="D11295" s="8">
        <v>74</v>
      </c>
      <c r="E11295" s="8">
        <v>0</v>
      </c>
      <c r="F11295" s="8">
        <v>0</v>
      </c>
      <c r="G11295" s="8">
        <v>10</v>
      </c>
      <c r="H11295" s="8" t="s">
        <v>48228</v>
      </c>
      <c r="I11295" s="8">
        <v>529.875</v>
      </c>
      <c r="J11295" s="3">
        <f t="shared" si="176"/>
        <v>43749.30762313657</v>
      </c>
    </row>
    <row r="11296" spans="1:10" x14ac:dyDescent="0.25">
      <c r="A11296" s="5" t="s">
        <v>48229</v>
      </c>
      <c r="B11296" s="6">
        <v>403.125</v>
      </c>
      <c r="C11296" s="6">
        <v>20.478950000000001</v>
      </c>
      <c r="D11296" s="6">
        <v>74</v>
      </c>
      <c r="E11296" s="6">
        <v>0</v>
      </c>
      <c r="F11296" s="6">
        <v>0</v>
      </c>
      <c r="G11296" s="6">
        <v>6</v>
      </c>
      <c r="H11296" s="6" t="s">
        <v>48230</v>
      </c>
      <c r="I11296" s="6">
        <v>529.875</v>
      </c>
      <c r="J11296" s="2">
        <f t="shared" si="176"/>
        <v>43749.307695011572</v>
      </c>
    </row>
    <row r="11297" spans="1:10" x14ac:dyDescent="0.25">
      <c r="A11297" s="7" t="s">
        <v>48231</v>
      </c>
      <c r="B11297" s="8">
        <v>403.125</v>
      </c>
      <c r="C11297" s="8">
        <v>20.426300000000001</v>
      </c>
      <c r="D11297" s="8">
        <v>73</v>
      </c>
      <c r="E11297" s="8">
        <v>0</v>
      </c>
      <c r="F11297" s="8">
        <v>0</v>
      </c>
      <c r="G11297" s="8">
        <v>14</v>
      </c>
      <c r="H11297" s="8" t="s">
        <v>48232</v>
      </c>
      <c r="I11297" s="8">
        <v>529.125</v>
      </c>
      <c r="J11297" s="3">
        <f t="shared" si="176"/>
        <v>43749.307778425922</v>
      </c>
    </row>
    <row r="11298" spans="1:10" x14ac:dyDescent="0.25">
      <c r="A11298" s="5" t="s">
        <v>48233</v>
      </c>
      <c r="B11298" s="6">
        <v>418.75</v>
      </c>
      <c r="C11298" s="6">
        <v>20.426300000000001</v>
      </c>
      <c r="D11298" s="6">
        <v>73</v>
      </c>
      <c r="E11298" s="6">
        <v>0</v>
      </c>
      <c r="F11298" s="6">
        <v>0</v>
      </c>
      <c r="G11298" s="6">
        <v>2</v>
      </c>
      <c r="H11298" s="6" t="s">
        <v>48234</v>
      </c>
      <c r="I11298" s="6">
        <v>534.75</v>
      </c>
      <c r="J11298" s="2">
        <f t="shared" si="176"/>
        <v>43749.307849467594</v>
      </c>
    </row>
    <row r="11299" spans="1:10" x14ac:dyDescent="0.25">
      <c r="A11299" s="7" t="s">
        <v>48235</v>
      </c>
      <c r="B11299" s="8">
        <v>400</v>
      </c>
      <c r="C11299" s="8">
        <v>20.478950000000001</v>
      </c>
      <c r="D11299" s="8">
        <v>73</v>
      </c>
      <c r="E11299" s="8">
        <v>0</v>
      </c>
      <c r="F11299" s="8">
        <v>0</v>
      </c>
      <c r="G11299" s="8">
        <v>6</v>
      </c>
      <c r="H11299" s="8" t="s">
        <v>48236</v>
      </c>
      <c r="I11299" s="8">
        <v>528.9375</v>
      </c>
      <c r="J11299" s="3">
        <f t="shared" si="176"/>
        <v>43749.30792112268</v>
      </c>
    </row>
    <row r="11300" spans="1:10" x14ac:dyDescent="0.25">
      <c r="A11300" s="5" t="s">
        <v>48237</v>
      </c>
      <c r="B11300" s="6">
        <v>403.125</v>
      </c>
      <c r="C11300" s="6">
        <v>20.478950000000001</v>
      </c>
      <c r="D11300" s="6">
        <v>72</v>
      </c>
      <c r="E11300" s="6">
        <v>0</v>
      </c>
      <c r="F11300" s="6">
        <v>0</v>
      </c>
      <c r="G11300" s="6">
        <v>12</v>
      </c>
      <c r="H11300" s="6" t="s">
        <v>48238</v>
      </c>
      <c r="I11300" s="6">
        <v>529.125</v>
      </c>
      <c r="J11300" s="2">
        <f t="shared" si="176"/>
        <v>43749.308017083335</v>
      </c>
    </row>
    <row r="11301" spans="1:10" x14ac:dyDescent="0.25">
      <c r="A11301" s="7" t="s">
        <v>48239</v>
      </c>
      <c r="B11301" s="8">
        <v>403.125</v>
      </c>
      <c r="C11301" s="8">
        <v>20.478950000000001</v>
      </c>
      <c r="D11301" s="8">
        <v>72</v>
      </c>
      <c r="E11301" s="8">
        <v>0</v>
      </c>
      <c r="F11301" s="8">
        <v>0</v>
      </c>
      <c r="G11301" s="8">
        <v>11</v>
      </c>
      <c r="H11301" s="8" t="s">
        <v>48240</v>
      </c>
      <c r="I11301" s="8">
        <v>529.875</v>
      </c>
      <c r="J11301" s="3">
        <f t="shared" si="176"/>
        <v>43749.308088541664</v>
      </c>
    </row>
    <row r="11302" spans="1:10" x14ac:dyDescent="0.25">
      <c r="A11302" s="5" t="s">
        <v>48241</v>
      </c>
      <c r="B11302" s="6">
        <v>400</v>
      </c>
      <c r="C11302" s="6">
        <v>20.478950000000001</v>
      </c>
      <c r="D11302" s="6">
        <v>72</v>
      </c>
      <c r="E11302" s="6">
        <v>0</v>
      </c>
      <c r="F11302" s="6">
        <v>0</v>
      </c>
      <c r="G11302" s="6">
        <v>16</v>
      </c>
      <c r="H11302" s="6" t="s">
        <v>48242</v>
      </c>
      <c r="I11302" s="6">
        <v>528.9375</v>
      </c>
      <c r="J11302" s="2">
        <f t="shared" si="176"/>
        <v>43749.308159386572</v>
      </c>
    </row>
    <row r="11303" spans="1:10" x14ac:dyDescent="0.25">
      <c r="A11303" s="7" t="s">
        <v>48243</v>
      </c>
      <c r="B11303" s="8">
        <v>403.125</v>
      </c>
      <c r="C11303" s="8">
        <v>20.478950000000001</v>
      </c>
      <c r="D11303" s="8">
        <v>73</v>
      </c>
      <c r="E11303" s="8">
        <v>0</v>
      </c>
      <c r="F11303" s="8">
        <v>0</v>
      </c>
      <c r="G11303" s="8">
        <v>3</v>
      </c>
      <c r="H11303" s="8" t="s">
        <v>48244</v>
      </c>
      <c r="I11303" s="8">
        <v>529.125</v>
      </c>
      <c r="J11303" s="3">
        <f t="shared" si="176"/>
        <v>43749.308231215276</v>
      </c>
    </row>
    <row r="11304" spans="1:10" x14ac:dyDescent="0.25">
      <c r="A11304" s="5" t="s">
        <v>48245</v>
      </c>
      <c r="B11304" s="6">
        <v>403.125</v>
      </c>
      <c r="C11304" s="6">
        <v>20.478950000000001</v>
      </c>
      <c r="D11304" s="6">
        <v>72</v>
      </c>
      <c r="E11304" s="6">
        <v>0</v>
      </c>
      <c r="F11304" s="6">
        <v>0</v>
      </c>
      <c r="G11304" s="6">
        <v>15</v>
      </c>
      <c r="H11304" s="6" t="s">
        <v>48246</v>
      </c>
      <c r="I11304" s="6">
        <v>529.125</v>
      </c>
      <c r="J11304" s="2">
        <f t="shared" si="176"/>
        <v>43749.308314490736</v>
      </c>
    </row>
    <row r="11305" spans="1:10" x14ac:dyDescent="0.25">
      <c r="A11305" s="7" t="s">
        <v>48247</v>
      </c>
      <c r="B11305" s="8">
        <v>403.125</v>
      </c>
      <c r="C11305" s="8">
        <v>20.478950000000001</v>
      </c>
      <c r="D11305" s="8">
        <v>71</v>
      </c>
      <c r="E11305" s="8">
        <v>0</v>
      </c>
      <c r="F11305" s="8">
        <v>0</v>
      </c>
      <c r="G11305" s="8">
        <v>0</v>
      </c>
      <c r="H11305" s="8" t="s">
        <v>48248</v>
      </c>
      <c r="I11305" s="8">
        <v>529.125</v>
      </c>
      <c r="J11305" s="3">
        <f t="shared" si="176"/>
        <v>43749.308386076387</v>
      </c>
    </row>
    <row r="11306" spans="1:10" x14ac:dyDescent="0.25">
      <c r="A11306" s="5" t="s">
        <v>48249</v>
      </c>
      <c r="B11306" s="6">
        <v>403.125</v>
      </c>
      <c r="C11306" s="6">
        <v>20.478950000000001</v>
      </c>
      <c r="D11306" s="6">
        <v>73</v>
      </c>
      <c r="E11306" s="6">
        <v>0</v>
      </c>
      <c r="F11306" s="6">
        <v>0</v>
      </c>
      <c r="G11306" s="6">
        <v>5</v>
      </c>
      <c r="H11306" s="6" t="s">
        <v>48250</v>
      </c>
      <c r="I11306" s="6">
        <v>529.125</v>
      </c>
      <c r="J11306" s="2">
        <f t="shared" si="176"/>
        <v>43749.308457997678</v>
      </c>
    </row>
    <row r="11307" spans="1:10" x14ac:dyDescent="0.25">
      <c r="A11307" s="7" t="s">
        <v>48251</v>
      </c>
      <c r="B11307" s="8">
        <v>403.125</v>
      </c>
      <c r="C11307" s="8">
        <v>20.478950000000001</v>
      </c>
      <c r="D11307" s="8">
        <v>73</v>
      </c>
      <c r="E11307" s="8">
        <v>0</v>
      </c>
      <c r="F11307" s="8">
        <v>0</v>
      </c>
      <c r="G11307" s="8">
        <v>9</v>
      </c>
      <c r="H11307" s="8" t="s">
        <v>48252</v>
      </c>
      <c r="I11307" s="8">
        <v>529.125</v>
      </c>
      <c r="J11307" s="3">
        <f t="shared" si="176"/>
        <v>43749.308529305556</v>
      </c>
    </row>
    <row r="11308" spans="1:10" x14ac:dyDescent="0.25">
      <c r="A11308" s="5" t="s">
        <v>48253</v>
      </c>
      <c r="B11308" s="6">
        <v>400</v>
      </c>
      <c r="C11308" s="6">
        <v>20.478950000000001</v>
      </c>
      <c r="D11308" s="6">
        <v>73</v>
      </c>
      <c r="E11308" s="6">
        <v>0</v>
      </c>
      <c r="F11308" s="6">
        <v>0</v>
      </c>
      <c r="G11308" s="6">
        <v>4</v>
      </c>
      <c r="H11308" s="6" t="s">
        <v>48254</v>
      </c>
      <c r="I11308" s="6">
        <v>528.9375</v>
      </c>
      <c r="J11308" s="2">
        <f t="shared" si="176"/>
        <v>43749.30860063657</v>
      </c>
    </row>
    <row r="11309" spans="1:10" x14ac:dyDescent="0.25">
      <c r="A11309" s="7" t="s">
        <v>48255</v>
      </c>
      <c r="B11309" s="8">
        <v>403.125</v>
      </c>
      <c r="C11309" s="8">
        <v>20.478950000000001</v>
      </c>
      <c r="D11309" s="8">
        <v>72</v>
      </c>
      <c r="E11309" s="8">
        <v>0</v>
      </c>
      <c r="F11309" s="8">
        <v>0</v>
      </c>
      <c r="G11309" s="8">
        <v>12</v>
      </c>
      <c r="H11309" s="8" t="s">
        <v>48256</v>
      </c>
      <c r="I11309" s="8">
        <v>529.125</v>
      </c>
      <c r="J11309" s="3">
        <f t="shared" si="176"/>
        <v>43749.308672245366</v>
      </c>
    </row>
    <row r="11310" spans="1:10" x14ac:dyDescent="0.25">
      <c r="A11310" s="5" t="s">
        <v>48257</v>
      </c>
      <c r="B11310" s="6">
        <v>403.125</v>
      </c>
      <c r="C11310" s="6">
        <v>20.478950000000001</v>
      </c>
      <c r="D11310" s="6">
        <v>71</v>
      </c>
      <c r="E11310" s="6">
        <v>0</v>
      </c>
      <c r="F11310" s="6">
        <v>0</v>
      </c>
      <c r="G11310" s="6">
        <v>9</v>
      </c>
      <c r="H11310" s="6" t="s">
        <v>48258</v>
      </c>
      <c r="I11310" s="6">
        <v>529.125</v>
      </c>
      <c r="J11310" s="2">
        <f t="shared" si="176"/>
        <v>43749.308744120368</v>
      </c>
    </row>
    <row r="11311" spans="1:10" x14ac:dyDescent="0.25">
      <c r="A11311" s="7" t="s">
        <v>48259</v>
      </c>
      <c r="B11311" s="8">
        <v>403.125</v>
      </c>
      <c r="C11311" s="8">
        <v>20.478950000000001</v>
      </c>
      <c r="D11311" s="8">
        <v>72</v>
      </c>
      <c r="E11311" s="8">
        <v>0</v>
      </c>
      <c r="F11311" s="8">
        <v>0</v>
      </c>
      <c r="G11311" s="8">
        <v>21</v>
      </c>
      <c r="H11311" s="8" t="s">
        <v>48260</v>
      </c>
      <c r="I11311" s="8">
        <v>529.125</v>
      </c>
      <c r="J11311" s="3">
        <f t="shared" si="176"/>
        <v>43749.3088274537</v>
      </c>
    </row>
    <row r="11312" spans="1:10" x14ac:dyDescent="0.25">
      <c r="A11312" s="5" t="s">
        <v>48261</v>
      </c>
      <c r="B11312" s="6">
        <v>421.875</v>
      </c>
      <c r="C11312" s="6">
        <v>20.478950000000001</v>
      </c>
      <c r="D11312" s="6">
        <v>73</v>
      </c>
      <c r="E11312" s="6">
        <v>0</v>
      </c>
      <c r="F11312" s="6">
        <v>0</v>
      </c>
      <c r="G11312" s="6">
        <v>8</v>
      </c>
      <c r="H11312" s="6" t="s">
        <v>48262</v>
      </c>
      <c r="I11312" s="6">
        <v>535.5</v>
      </c>
      <c r="J11312" s="2">
        <f t="shared" si="176"/>
        <v>43749.308898750001</v>
      </c>
    </row>
    <row r="11313" spans="1:10" x14ac:dyDescent="0.25">
      <c r="A11313" s="7" t="s">
        <v>48263</v>
      </c>
      <c r="B11313" s="8">
        <v>406.25</v>
      </c>
      <c r="C11313" s="8">
        <v>20.478950000000001</v>
      </c>
      <c r="D11313" s="8">
        <v>71</v>
      </c>
      <c r="E11313" s="8">
        <v>0</v>
      </c>
      <c r="F11313" s="8">
        <v>0</v>
      </c>
      <c r="G11313" s="8">
        <v>12</v>
      </c>
      <c r="H11313" s="8" t="s">
        <v>48264</v>
      </c>
      <c r="I11313" s="8">
        <v>530.625</v>
      </c>
      <c r="J11313" s="3">
        <f t="shared" si="176"/>
        <v>43749.308970254628</v>
      </c>
    </row>
    <row r="11314" spans="1:10" x14ac:dyDescent="0.25">
      <c r="A11314" s="5" t="s">
        <v>48265</v>
      </c>
      <c r="B11314" s="6">
        <v>406.25</v>
      </c>
      <c r="C11314" s="6">
        <v>20.478950000000001</v>
      </c>
      <c r="D11314" s="6">
        <v>71</v>
      </c>
      <c r="E11314" s="6">
        <v>0</v>
      </c>
      <c r="F11314" s="6">
        <v>0</v>
      </c>
      <c r="G11314" s="6">
        <v>16</v>
      </c>
      <c r="H11314" s="6" t="s">
        <v>48266</v>
      </c>
      <c r="I11314" s="6">
        <v>530.625</v>
      </c>
      <c r="J11314" s="2">
        <f t="shared" si="176"/>
        <v>43749.309058009261</v>
      </c>
    </row>
    <row r="11315" spans="1:10" x14ac:dyDescent="0.25">
      <c r="A11315" s="7" t="s">
        <v>48267</v>
      </c>
      <c r="B11315" s="8">
        <v>425</v>
      </c>
      <c r="C11315" s="8">
        <v>20.478950000000001</v>
      </c>
      <c r="D11315" s="8">
        <v>72</v>
      </c>
      <c r="E11315" s="8">
        <v>0</v>
      </c>
      <c r="F11315" s="8">
        <v>0</v>
      </c>
      <c r="G11315" s="8">
        <v>5</v>
      </c>
      <c r="H11315" s="8" t="s">
        <v>48268</v>
      </c>
      <c r="I11315" s="8">
        <v>536.25</v>
      </c>
      <c r="J11315" s="3">
        <f t="shared" si="176"/>
        <v>43749.309137569442</v>
      </c>
    </row>
    <row r="11316" spans="1:10" x14ac:dyDescent="0.25">
      <c r="A11316" s="5" t="s">
        <v>48269</v>
      </c>
      <c r="B11316" s="6">
        <v>406.25</v>
      </c>
      <c r="C11316" s="6">
        <v>20.478950000000001</v>
      </c>
      <c r="D11316" s="6">
        <v>70</v>
      </c>
      <c r="E11316" s="6">
        <v>0</v>
      </c>
      <c r="F11316" s="6">
        <v>0</v>
      </c>
      <c r="G11316" s="6">
        <v>11</v>
      </c>
      <c r="H11316" s="6" t="s">
        <v>48270</v>
      </c>
      <c r="I11316" s="6">
        <v>530.625</v>
      </c>
      <c r="J11316" s="2">
        <f t="shared" si="176"/>
        <v>43749.309209039355</v>
      </c>
    </row>
    <row r="11317" spans="1:10" x14ac:dyDescent="0.25">
      <c r="A11317" s="7" t="s">
        <v>48271</v>
      </c>
      <c r="B11317" s="8">
        <v>406.25</v>
      </c>
      <c r="C11317" s="8">
        <v>20.478950000000001</v>
      </c>
      <c r="D11317" s="8">
        <v>70</v>
      </c>
      <c r="E11317" s="8">
        <v>0</v>
      </c>
      <c r="F11317" s="8">
        <v>0</v>
      </c>
      <c r="G11317" s="8">
        <v>14</v>
      </c>
      <c r="H11317" s="8" t="s">
        <v>48272</v>
      </c>
      <c r="I11317" s="8">
        <v>530.625</v>
      </c>
      <c r="J11317" s="3">
        <f t="shared" si="176"/>
        <v>43749.30928040509</v>
      </c>
    </row>
    <row r="11318" spans="1:10" x14ac:dyDescent="0.25">
      <c r="A11318" s="5" t="s">
        <v>48273</v>
      </c>
      <c r="B11318" s="6">
        <v>403.125</v>
      </c>
      <c r="C11318" s="6">
        <v>20.478950000000001</v>
      </c>
      <c r="D11318" s="6">
        <v>68</v>
      </c>
      <c r="E11318" s="6">
        <v>0</v>
      </c>
      <c r="F11318" s="6">
        <v>0</v>
      </c>
      <c r="G11318" s="6">
        <v>3</v>
      </c>
      <c r="H11318" s="6" t="s">
        <v>48274</v>
      </c>
      <c r="I11318" s="6">
        <v>529.875</v>
      </c>
      <c r="J11318" s="2">
        <f t="shared" si="176"/>
        <v>43749.309364317123</v>
      </c>
    </row>
    <row r="11319" spans="1:10" x14ac:dyDescent="0.25">
      <c r="A11319" s="7" t="s">
        <v>48275</v>
      </c>
      <c r="B11319" s="8">
        <v>403.125</v>
      </c>
      <c r="C11319" s="8">
        <v>20.478950000000001</v>
      </c>
      <c r="D11319" s="8">
        <v>68</v>
      </c>
      <c r="E11319" s="8">
        <v>0</v>
      </c>
      <c r="F11319" s="8">
        <v>0</v>
      </c>
      <c r="G11319" s="8">
        <v>8</v>
      </c>
      <c r="H11319" s="8" t="s">
        <v>48276</v>
      </c>
      <c r="I11319" s="8">
        <v>529.875</v>
      </c>
      <c r="J11319" s="3">
        <f t="shared" si="176"/>
        <v>43749.30943577546</v>
      </c>
    </row>
    <row r="11320" spans="1:10" x14ac:dyDescent="0.25">
      <c r="A11320" s="5" t="s">
        <v>48277</v>
      </c>
      <c r="B11320" s="6">
        <v>403.125</v>
      </c>
      <c r="C11320" s="6">
        <v>20.426300000000001</v>
      </c>
      <c r="D11320" s="6">
        <v>69</v>
      </c>
      <c r="E11320" s="6">
        <v>0</v>
      </c>
      <c r="F11320" s="6">
        <v>0</v>
      </c>
      <c r="G11320" s="6">
        <v>0</v>
      </c>
      <c r="H11320" s="6" t="s">
        <v>48278</v>
      </c>
      <c r="I11320" s="6">
        <v>529.875</v>
      </c>
      <c r="J11320" s="2">
        <f t="shared" si="176"/>
        <v>43749.309506898142</v>
      </c>
    </row>
    <row r="11321" spans="1:10" x14ac:dyDescent="0.25">
      <c r="A11321" s="7" t="s">
        <v>48279</v>
      </c>
      <c r="B11321" s="8">
        <v>403.125</v>
      </c>
      <c r="C11321" s="8">
        <v>20.478950000000001</v>
      </c>
      <c r="D11321" s="8">
        <v>69</v>
      </c>
      <c r="E11321" s="8">
        <v>0</v>
      </c>
      <c r="F11321" s="8">
        <v>0</v>
      </c>
      <c r="G11321" s="8">
        <v>4</v>
      </c>
      <c r="H11321" s="8" t="s">
        <v>48280</v>
      </c>
      <c r="I11321" s="8">
        <v>529.875</v>
      </c>
      <c r="J11321" s="3">
        <f t="shared" si="176"/>
        <v>43749.309578483793</v>
      </c>
    </row>
    <row r="11322" spans="1:10" x14ac:dyDescent="0.25">
      <c r="A11322" s="5" t="s">
        <v>48281</v>
      </c>
      <c r="B11322" s="6">
        <v>403.125</v>
      </c>
      <c r="C11322" s="6">
        <v>20.478950000000001</v>
      </c>
      <c r="D11322" s="6">
        <v>69</v>
      </c>
      <c r="E11322" s="6">
        <v>0</v>
      </c>
      <c r="F11322" s="6">
        <v>0</v>
      </c>
      <c r="G11322" s="6">
        <v>9</v>
      </c>
      <c r="H11322" s="6" t="s">
        <v>48282</v>
      </c>
      <c r="I11322" s="6">
        <v>529.875</v>
      </c>
      <c r="J11322" s="2">
        <f t="shared" si="176"/>
        <v>43749.309650196759</v>
      </c>
    </row>
    <row r="11323" spans="1:10" x14ac:dyDescent="0.25">
      <c r="A11323" s="7" t="s">
        <v>48283</v>
      </c>
      <c r="B11323" s="8">
        <v>403.125</v>
      </c>
      <c r="C11323" s="8">
        <v>20.478950000000001</v>
      </c>
      <c r="D11323" s="8">
        <v>70</v>
      </c>
      <c r="E11323" s="8">
        <v>0</v>
      </c>
      <c r="F11323" s="8">
        <v>0</v>
      </c>
      <c r="G11323" s="8">
        <v>14</v>
      </c>
      <c r="H11323" s="8" t="s">
        <v>48284</v>
      </c>
      <c r="I11323" s="8">
        <v>529.875</v>
      </c>
      <c r="J11323" s="3">
        <f t="shared" si="176"/>
        <v>43749.309721817124</v>
      </c>
    </row>
    <row r="11324" spans="1:10" x14ac:dyDescent="0.25">
      <c r="A11324" s="5" t="s">
        <v>48285</v>
      </c>
      <c r="B11324" s="6">
        <v>403.125</v>
      </c>
      <c r="C11324" s="6">
        <v>20.478950000000001</v>
      </c>
      <c r="D11324" s="6">
        <v>70</v>
      </c>
      <c r="E11324" s="6">
        <v>0</v>
      </c>
      <c r="F11324" s="6">
        <v>0</v>
      </c>
      <c r="G11324" s="6">
        <v>5</v>
      </c>
      <c r="H11324" s="6" t="s">
        <v>48286</v>
      </c>
      <c r="I11324" s="6">
        <v>529.875</v>
      </c>
      <c r="J11324" s="2">
        <f t="shared" si="176"/>
        <v>43749.309793333327</v>
      </c>
    </row>
    <row r="11325" spans="1:10" x14ac:dyDescent="0.25">
      <c r="A11325" s="7" t="s">
        <v>48287</v>
      </c>
      <c r="B11325" s="8">
        <v>403.125</v>
      </c>
      <c r="C11325" s="8">
        <v>20.426300000000001</v>
      </c>
      <c r="D11325" s="8">
        <v>70</v>
      </c>
      <c r="E11325" s="8">
        <v>0</v>
      </c>
      <c r="F11325" s="8">
        <v>0</v>
      </c>
      <c r="G11325" s="8">
        <v>10</v>
      </c>
      <c r="H11325" s="8" t="s">
        <v>48288</v>
      </c>
      <c r="I11325" s="8">
        <v>529.875</v>
      </c>
      <c r="J11325" s="3">
        <f t="shared" si="176"/>
        <v>43749.309865358795</v>
      </c>
    </row>
    <row r="11326" spans="1:10" x14ac:dyDescent="0.25">
      <c r="A11326" s="5" t="s">
        <v>48289</v>
      </c>
      <c r="B11326" s="6">
        <v>406.25</v>
      </c>
      <c r="C11326" s="6">
        <v>20.426300000000001</v>
      </c>
      <c r="D11326" s="6">
        <v>70</v>
      </c>
      <c r="E11326" s="6">
        <v>0</v>
      </c>
      <c r="F11326" s="6">
        <v>0</v>
      </c>
      <c r="G11326" s="6">
        <v>11</v>
      </c>
      <c r="H11326" s="6" t="s">
        <v>48290</v>
      </c>
      <c r="I11326" s="6">
        <v>530.625</v>
      </c>
      <c r="J11326" s="2">
        <f t="shared" si="176"/>
        <v>43749.309936770827</v>
      </c>
    </row>
    <row r="11327" spans="1:10" x14ac:dyDescent="0.25">
      <c r="A11327" s="7" t="s">
        <v>48291</v>
      </c>
      <c r="B11327" s="8">
        <v>403.125</v>
      </c>
      <c r="C11327" s="8">
        <v>20.478950000000001</v>
      </c>
      <c r="D11327" s="8">
        <v>67</v>
      </c>
      <c r="E11327" s="8">
        <v>0</v>
      </c>
      <c r="F11327" s="8">
        <v>0</v>
      </c>
      <c r="G11327" s="8">
        <v>8</v>
      </c>
      <c r="H11327" s="8" t="s">
        <v>48292</v>
      </c>
      <c r="I11327" s="8">
        <v>529.875</v>
      </c>
      <c r="J11327" s="3">
        <f t="shared" si="176"/>
        <v>43749.310008067128</v>
      </c>
    </row>
    <row r="11328" spans="1:10" x14ac:dyDescent="0.25">
      <c r="A11328" s="5" t="s">
        <v>48293</v>
      </c>
      <c r="B11328" s="6">
        <v>403.125</v>
      </c>
      <c r="C11328" s="6">
        <v>20.478950000000001</v>
      </c>
      <c r="D11328" s="6">
        <v>68</v>
      </c>
      <c r="E11328" s="6">
        <v>0</v>
      </c>
      <c r="F11328" s="6">
        <v>0</v>
      </c>
      <c r="G11328" s="6">
        <v>0</v>
      </c>
      <c r="H11328" s="6" t="s">
        <v>48294</v>
      </c>
      <c r="I11328" s="6">
        <v>529.125</v>
      </c>
      <c r="J11328" s="2">
        <f t="shared" si="176"/>
        <v>43749.31007939815</v>
      </c>
    </row>
    <row r="11329" spans="1:10" x14ac:dyDescent="0.25">
      <c r="A11329" s="7" t="s">
        <v>48295</v>
      </c>
      <c r="B11329" s="8">
        <v>403.125</v>
      </c>
      <c r="C11329" s="8">
        <v>20.478950000000001</v>
      </c>
      <c r="D11329" s="8">
        <v>67</v>
      </c>
      <c r="E11329" s="8">
        <v>0</v>
      </c>
      <c r="F11329" s="8">
        <v>0</v>
      </c>
      <c r="G11329" s="8">
        <v>9</v>
      </c>
      <c r="H11329" s="8" t="s">
        <v>48296</v>
      </c>
      <c r="I11329" s="8">
        <v>529.125</v>
      </c>
      <c r="J11329" s="3">
        <f t="shared" si="176"/>
        <v>43749.310151527774</v>
      </c>
    </row>
    <row r="11330" spans="1:10" x14ac:dyDescent="0.25">
      <c r="A11330" s="5" t="s">
        <v>48297</v>
      </c>
      <c r="B11330" s="6">
        <v>400</v>
      </c>
      <c r="C11330" s="6">
        <v>20.478950000000001</v>
      </c>
      <c r="D11330" s="6">
        <v>68</v>
      </c>
      <c r="E11330" s="6">
        <v>0</v>
      </c>
      <c r="F11330" s="6">
        <v>0</v>
      </c>
      <c r="G11330" s="6">
        <v>13</v>
      </c>
      <c r="H11330" s="6" t="s">
        <v>48298</v>
      </c>
      <c r="I11330" s="6">
        <v>528.9375</v>
      </c>
      <c r="J11330" s="2">
        <f t="shared" ref="J11330:J11393" si="177">(H11330/86400000)+25569+(7/24)</f>
        <v>43749.310222824068</v>
      </c>
    </row>
    <row r="11331" spans="1:10" x14ac:dyDescent="0.25">
      <c r="A11331" s="7" t="s">
        <v>48299</v>
      </c>
      <c r="B11331" s="8">
        <v>418.75</v>
      </c>
      <c r="C11331" s="8">
        <v>20.478950000000001</v>
      </c>
      <c r="D11331" s="8">
        <v>68</v>
      </c>
      <c r="E11331" s="8">
        <v>0</v>
      </c>
      <c r="F11331" s="8">
        <v>0</v>
      </c>
      <c r="G11331" s="8">
        <v>11</v>
      </c>
      <c r="H11331" s="8" t="s">
        <v>48300</v>
      </c>
      <c r="I11331" s="8">
        <v>534.75</v>
      </c>
      <c r="J11331" s="3">
        <f t="shared" si="177"/>
        <v>43749.310294236107</v>
      </c>
    </row>
    <row r="11332" spans="1:10" x14ac:dyDescent="0.25">
      <c r="A11332" s="5" t="s">
        <v>48301</v>
      </c>
      <c r="B11332" s="6">
        <v>403.125</v>
      </c>
      <c r="C11332" s="6">
        <v>20.478950000000001</v>
      </c>
      <c r="D11332" s="6">
        <v>68</v>
      </c>
      <c r="E11332" s="6">
        <v>0</v>
      </c>
      <c r="F11332" s="6">
        <v>0</v>
      </c>
      <c r="G11332" s="6">
        <v>6</v>
      </c>
      <c r="H11332" s="6" t="s">
        <v>48302</v>
      </c>
      <c r="I11332" s="6">
        <v>529.125</v>
      </c>
      <c r="J11332" s="2">
        <f t="shared" si="177"/>
        <v>43749.310366099533</v>
      </c>
    </row>
    <row r="11333" spans="1:10" x14ac:dyDescent="0.25">
      <c r="A11333" s="7" t="s">
        <v>48303</v>
      </c>
      <c r="B11333" s="8">
        <v>403.125</v>
      </c>
      <c r="C11333" s="8">
        <v>20.478950000000001</v>
      </c>
      <c r="D11333" s="8">
        <v>70</v>
      </c>
      <c r="E11333" s="8">
        <v>0</v>
      </c>
      <c r="F11333" s="8">
        <v>0</v>
      </c>
      <c r="G11333" s="8">
        <v>7</v>
      </c>
      <c r="H11333" s="8" t="s">
        <v>48304</v>
      </c>
      <c r="I11333" s="8">
        <v>529.125</v>
      </c>
      <c r="J11333" s="3">
        <f t="shared" si="177"/>
        <v>43749.310449861114</v>
      </c>
    </row>
    <row r="11334" spans="1:10" x14ac:dyDescent="0.25">
      <c r="A11334" s="5" t="s">
        <v>48305</v>
      </c>
      <c r="B11334" s="6">
        <v>403.125</v>
      </c>
      <c r="C11334" s="6">
        <v>20.478950000000001</v>
      </c>
      <c r="D11334" s="6">
        <v>70</v>
      </c>
      <c r="E11334" s="6">
        <v>0</v>
      </c>
      <c r="F11334" s="6">
        <v>0</v>
      </c>
      <c r="G11334" s="6">
        <v>10</v>
      </c>
      <c r="H11334" s="6" t="s">
        <v>48306</v>
      </c>
      <c r="I11334" s="6">
        <v>529.125</v>
      </c>
      <c r="J11334" s="2">
        <f t="shared" si="177"/>
        <v>43749.310520960651</v>
      </c>
    </row>
    <row r="11335" spans="1:10" x14ac:dyDescent="0.25">
      <c r="A11335" s="7" t="s">
        <v>48307</v>
      </c>
      <c r="B11335" s="8">
        <v>403.125</v>
      </c>
      <c r="C11335" s="8">
        <v>20.478950000000001</v>
      </c>
      <c r="D11335" s="8">
        <v>69</v>
      </c>
      <c r="E11335" s="8">
        <v>0</v>
      </c>
      <c r="F11335" s="8">
        <v>0</v>
      </c>
      <c r="G11335" s="8">
        <v>9</v>
      </c>
      <c r="H11335" s="8" t="s">
        <v>48308</v>
      </c>
      <c r="I11335" s="8">
        <v>529.125</v>
      </c>
      <c r="J11335" s="3">
        <f t="shared" si="177"/>
        <v>43749.31059228009</v>
      </c>
    </row>
    <row r="11336" spans="1:10" x14ac:dyDescent="0.25">
      <c r="A11336" s="5" t="s">
        <v>48309</v>
      </c>
      <c r="B11336" s="6">
        <v>400</v>
      </c>
      <c r="C11336" s="6">
        <v>20.478950000000001</v>
      </c>
      <c r="D11336" s="6">
        <v>69</v>
      </c>
      <c r="E11336" s="6">
        <v>0</v>
      </c>
      <c r="F11336" s="6">
        <v>0</v>
      </c>
      <c r="G11336" s="6">
        <v>12</v>
      </c>
      <c r="H11336" s="6" t="s">
        <v>48310</v>
      </c>
      <c r="I11336" s="6">
        <v>528.9375</v>
      </c>
      <c r="J11336" s="2">
        <f t="shared" si="177"/>
        <v>43749.310664259254</v>
      </c>
    </row>
    <row r="11337" spans="1:10" x14ac:dyDescent="0.25">
      <c r="A11337" s="7" t="s">
        <v>48311</v>
      </c>
      <c r="B11337" s="8">
        <v>403.125</v>
      </c>
      <c r="C11337" s="8">
        <v>20.478950000000001</v>
      </c>
      <c r="D11337" s="8">
        <v>68</v>
      </c>
      <c r="E11337" s="8">
        <v>0</v>
      </c>
      <c r="F11337" s="8">
        <v>0</v>
      </c>
      <c r="G11337" s="8">
        <v>11</v>
      </c>
      <c r="H11337" s="8" t="s">
        <v>48312</v>
      </c>
      <c r="I11337" s="8">
        <v>529.125</v>
      </c>
      <c r="J11337" s="3">
        <f t="shared" si="177"/>
        <v>43749.310735196756</v>
      </c>
    </row>
    <row r="11338" spans="1:10" x14ac:dyDescent="0.25">
      <c r="A11338" s="5" t="s">
        <v>48313</v>
      </c>
      <c r="B11338" s="6">
        <v>400</v>
      </c>
      <c r="C11338" s="6">
        <v>20.478950000000001</v>
      </c>
      <c r="D11338" s="6">
        <v>69</v>
      </c>
      <c r="E11338" s="6">
        <v>0</v>
      </c>
      <c r="F11338" s="6">
        <v>0</v>
      </c>
      <c r="G11338" s="6">
        <v>4</v>
      </c>
      <c r="H11338" s="6" t="s">
        <v>48314</v>
      </c>
      <c r="I11338" s="6">
        <v>528.1875</v>
      </c>
      <c r="J11338" s="2">
        <f t="shared" si="177"/>
        <v>43749.310807071757</v>
      </c>
    </row>
    <row r="11339" spans="1:10" x14ac:dyDescent="0.25">
      <c r="A11339" s="7" t="s">
        <v>48315</v>
      </c>
      <c r="B11339" s="8">
        <v>396.875</v>
      </c>
      <c r="C11339" s="8">
        <v>20.478950000000001</v>
      </c>
      <c r="D11339" s="8">
        <v>70</v>
      </c>
      <c r="E11339" s="8">
        <v>0</v>
      </c>
      <c r="F11339" s="8">
        <v>0</v>
      </c>
      <c r="G11339" s="8">
        <v>16</v>
      </c>
      <c r="H11339" s="8" t="s">
        <v>48316</v>
      </c>
      <c r="I11339" s="8">
        <v>527.4375</v>
      </c>
      <c r="J11339" s="3">
        <f t="shared" si="177"/>
        <v>43749.310890347224</v>
      </c>
    </row>
    <row r="11340" spans="1:10" x14ac:dyDescent="0.25">
      <c r="A11340" s="5" t="s">
        <v>48317</v>
      </c>
      <c r="B11340" s="6">
        <v>396.875</v>
      </c>
      <c r="C11340" s="6">
        <v>20.478950000000001</v>
      </c>
      <c r="D11340" s="6">
        <v>69</v>
      </c>
      <c r="E11340" s="6">
        <v>0</v>
      </c>
      <c r="F11340" s="6">
        <v>0</v>
      </c>
      <c r="G11340" s="6">
        <v>7</v>
      </c>
      <c r="H11340" s="6" t="s">
        <v>48318</v>
      </c>
      <c r="I11340" s="6">
        <v>527.4375</v>
      </c>
      <c r="J11340" s="2">
        <f t="shared" si="177"/>
        <v>43749.310973749998</v>
      </c>
    </row>
    <row r="11341" spans="1:10" x14ac:dyDescent="0.25">
      <c r="A11341" s="7" t="s">
        <v>48319</v>
      </c>
      <c r="B11341" s="8">
        <v>396.875</v>
      </c>
      <c r="C11341" s="8">
        <v>20.478950000000001</v>
      </c>
      <c r="D11341" s="8">
        <v>68</v>
      </c>
      <c r="E11341" s="8">
        <v>0</v>
      </c>
      <c r="F11341" s="8">
        <v>0</v>
      </c>
      <c r="G11341" s="8">
        <v>12</v>
      </c>
      <c r="H11341" s="8" t="s">
        <v>48320</v>
      </c>
      <c r="I11341" s="8">
        <v>527.4375</v>
      </c>
      <c r="J11341" s="3">
        <f t="shared" si="177"/>
        <v>43749.311045949071</v>
      </c>
    </row>
    <row r="11342" spans="1:10" x14ac:dyDescent="0.25">
      <c r="A11342" s="5" t="s">
        <v>48321</v>
      </c>
      <c r="B11342" s="6">
        <v>400</v>
      </c>
      <c r="C11342" s="6">
        <v>20.478950000000001</v>
      </c>
      <c r="D11342" s="6">
        <v>69</v>
      </c>
      <c r="E11342" s="6">
        <v>0</v>
      </c>
      <c r="F11342" s="6">
        <v>0</v>
      </c>
      <c r="G11342" s="6">
        <v>5</v>
      </c>
      <c r="H11342" s="6" t="s">
        <v>48322</v>
      </c>
      <c r="I11342" s="6">
        <v>528.1875</v>
      </c>
      <c r="J11342" s="2">
        <f t="shared" si="177"/>
        <v>43749.311117430552</v>
      </c>
    </row>
    <row r="11343" spans="1:10" x14ac:dyDescent="0.25">
      <c r="A11343" s="7" t="s">
        <v>48323</v>
      </c>
      <c r="B11343" s="8">
        <v>400</v>
      </c>
      <c r="C11343" s="8">
        <v>20.426300000000001</v>
      </c>
      <c r="D11343" s="8">
        <v>70</v>
      </c>
      <c r="E11343" s="8">
        <v>0</v>
      </c>
      <c r="F11343" s="8">
        <v>0</v>
      </c>
      <c r="G11343" s="8">
        <v>9</v>
      </c>
      <c r="H11343" s="8" t="s">
        <v>48324</v>
      </c>
      <c r="I11343" s="8">
        <v>528.1875</v>
      </c>
      <c r="J11343" s="3">
        <f t="shared" si="177"/>
        <v>43749.31120063657</v>
      </c>
    </row>
    <row r="11344" spans="1:10" x14ac:dyDescent="0.25">
      <c r="A11344" s="5" t="s">
        <v>48325</v>
      </c>
      <c r="B11344" s="6">
        <v>400</v>
      </c>
      <c r="C11344" s="6">
        <v>20.478950000000001</v>
      </c>
      <c r="D11344" s="6">
        <v>70</v>
      </c>
      <c r="E11344" s="6">
        <v>0</v>
      </c>
      <c r="F11344" s="6">
        <v>0</v>
      </c>
      <c r="G11344" s="6">
        <v>3</v>
      </c>
      <c r="H11344" s="6" t="s">
        <v>48326</v>
      </c>
      <c r="I11344" s="6">
        <v>528.1875</v>
      </c>
      <c r="J11344" s="2">
        <f t="shared" si="177"/>
        <v>43749.311272650462</v>
      </c>
    </row>
    <row r="11345" spans="1:10" x14ac:dyDescent="0.25">
      <c r="A11345" s="7" t="s">
        <v>48327</v>
      </c>
      <c r="B11345" s="8">
        <v>400</v>
      </c>
      <c r="C11345" s="8">
        <v>20.478950000000001</v>
      </c>
      <c r="D11345" s="8">
        <v>70</v>
      </c>
      <c r="E11345" s="8">
        <v>0</v>
      </c>
      <c r="F11345" s="8">
        <v>0</v>
      </c>
      <c r="G11345" s="8">
        <v>4</v>
      </c>
      <c r="H11345" s="8" t="s">
        <v>48328</v>
      </c>
      <c r="I11345" s="8">
        <v>528.1875</v>
      </c>
      <c r="J11345" s="3">
        <f t="shared" si="177"/>
        <v>43749.311355439808</v>
      </c>
    </row>
    <row r="11346" spans="1:10" x14ac:dyDescent="0.25">
      <c r="A11346" s="5" t="s">
        <v>48329</v>
      </c>
      <c r="B11346" s="6">
        <v>403.125</v>
      </c>
      <c r="C11346" s="6">
        <v>20.478950000000001</v>
      </c>
      <c r="D11346" s="6">
        <v>70</v>
      </c>
      <c r="E11346" s="6">
        <v>0</v>
      </c>
      <c r="F11346" s="6">
        <v>0</v>
      </c>
      <c r="G11346" s="6">
        <v>10</v>
      </c>
      <c r="H11346" s="6" t="s">
        <v>48330</v>
      </c>
      <c r="I11346" s="6">
        <v>529.125</v>
      </c>
      <c r="J11346" s="2">
        <f t="shared" si="177"/>
        <v>43749.311427465276</v>
      </c>
    </row>
    <row r="11347" spans="1:10" x14ac:dyDescent="0.25">
      <c r="A11347" s="7" t="s">
        <v>48331</v>
      </c>
      <c r="B11347" s="8">
        <v>403.125</v>
      </c>
      <c r="C11347" s="8">
        <v>20.426300000000001</v>
      </c>
      <c r="D11347" s="8">
        <v>69</v>
      </c>
      <c r="E11347" s="8">
        <v>0</v>
      </c>
      <c r="F11347" s="8">
        <v>0</v>
      </c>
      <c r="G11347" s="8">
        <v>16</v>
      </c>
      <c r="H11347" s="8" t="s">
        <v>48332</v>
      </c>
      <c r="I11347" s="8">
        <v>529.125</v>
      </c>
      <c r="J11347" s="3">
        <f t="shared" si="177"/>
        <v>43749.311498749994</v>
      </c>
    </row>
    <row r="11348" spans="1:10" x14ac:dyDescent="0.25">
      <c r="A11348" s="5" t="s">
        <v>48333</v>
      </c>
      <c r="B11348" s="6">
        <v>443.75</v>
      </c>
      <c r="C11348" s="6">
        <v>20.478950000000001</v>
      </c>
      <c r="D11348" s="6">
        <v>69</v>
      </c>
      <c r="E11348" s="6">
        <v>0</v>
      </c>
      <c r="F11348" s="6">
        <v>0</v>
      </c>
      <c r="G11348" s="6">
        <v>7</v>
      </c>
      <c r="H11348" s="6" t="s">
        <v>48334</v>
      </c>
      <c r="I11348" s="6">
        <v>542.0625</v>
      </c>
      <c r="J11348" s="2">
        <f t="shared" si="177"/>
        <v>43749.311571018516</v>
      </c>
    </row>
    <row r="11349" spans="1:10" x14ac:dyDescent="0.25">
      <c r="A11349" s="7" t="s">
        <v>48335</v>
      </c>
      <c r="B11349" s="8">
        <v>403.125</v>
      </c>
      <c r="C11349" s="8">
        <v>20.426300000000001</v>
      </c>
      <c r="D11349" s="8">
        <v>69</v>
      </c>
      <c r="E11349" s="8">
        <v>0</v>
      </c>
      <c r="F11349" s="8">
        <v>0</v>
      </c>
      <c r="G11349" s="8">
        <v>7</v>
      </c>
      <c r="H11349" s="8" t="s">
        <v>48336</v>
      </c>
      <c r="I11349" s="8">
        <v>529.875</v>
      </c>
      <c r="J11349" s="3">
        <f t="shared" si="177"/>
        <v>43749.311642245368</v>
      </c>
    </row>
    <row r="11350" spans="1:10" x14ac:dyDescent="0.25">
      <c r="A11350" s="5" t="s">
        <v>48337</v>
      </c>
      <c r="B11350" s="6">
        <v>403.125</v>
      </c>
      <c r="C11350" s="6">
        <v>20.426300000000001</v>
      </c>
      <c r="D11350" s="6">
        <v>69</v>
      </c>
      <c r="E11350" s="6">
        <v>0</v>
      </c>
      <c r="F11350" s="6">
        <v>0</v>
      </c>
      <c r="G11350" s="6">
        <v>7</v>
      </c>
      <c r="H11350" s="6" t="s">
        <v>48338</v>
      </c>
      <c r="I11350" s="6">
        <v>529.875</v>
      </c>
      <c r="J11350" s="2">
        <f t="shared" si="177"/>
        <v>43749.311713668976</v>
      </c>
    </row>
    <row r="11351" spans="1:10" x14ac:dyDescent="0.25">
      <c r="A11351" s="7" t="s">
        <v>48339</v>
      </c>
      <c r="B11351" s="8">
        <v>403.125</v>
      </c>
      <c r="C11351" s="8">
        <v>20.478950000000001</v>
      </c>
      <c r="D11351" s="8">
        <v>70</v>
      </c>
      <c r="E11351" s="8">
        <v>0</v>
      </c>
      <c r="F11351" s="8">
        <v>0</v>
      </c>
      <c r="G11351" s="8">
        <v>9</v>
      </c>
      <c r="H11351" s="8" t="s">
        <v>48340</v>
      </c>
      <c r="I11351" s="8">
        <v>529.875</v>
      </c>
      <c r="J11351" s="3">
        <f t="shared" si="177"/>
        <v>43749.311796874994</v>
      </c>
    </row>
    <row r="11352" spans="1:10" x14ac:dyDescent="0.25">
      <c r="A11352" s="5" t="s">
        <v>48341</v>
      </c>
      <c r="B11352" s="6">
        <v>403.125</v>
      </c>
      <c r="C11352" s="6">
        <v>20.478950000000001</v>
      </c>
      <c r="D11352" s="6">
        <v>68</v>
      </c>
      <c r="E11352" s="6">
        <v>0</v>
      </c>
      <c r="F11352" s="6">
        <v>0</v>
      </c>
      <c r="G11352" s="6">
        <v>2</v>
      </c>
      <c r="H11352" s="6" t="s">
        <v>48342</v>
      </c>
      <c r="I11352" s="6">
        <v>529.875</v>
      </c>
      <c r="J11352" s="2">
        <f t="shared" si="177"/>
        <v>43749.311880162037</v>
      </c>
    </row>
    <row r="11353" spans="1:10" x14ac:dyDescent="0.25">
      <c r="A11353" s="7" t="s">
        <v>48343</v>
      </c>
      <c r="B11353" s="8">
        <v>403.125</v>
      </c>
      <c r="C11353" s="8">
        <v>20.426300000000001</v>
      </c>
      <c r="D11353" s="8">
        <v>69</v>
      </c>
      <c r="E11353" s="8">
        <v>0</v>
      </c>
      <c r="F11353" s="8">
        <v>0</v>
      </c>
      <c r="G11353" s="8">
        <v>12</v>
      </c>
      <c r="H11353" s="8" t="s">
        <v>48344</v>
      </c>
      <c r="I11353" s="8">
        <v>529.875</v>
      </c>
      <c r="J11353" s="3">
        <f t="shared" si="177"/>
        <v>43749.311951574076</v>
      </c>
    </row>
    <row r="11354" spans="1:10" x14ac:dyDescent="0.25">
      <c r="A11354" s="5" t="s">
        <v>48345</v>
      </c>
      <c r="B11354" s="6">
        <v>403.125</v>
      </c>
      <c r="C11354" s="6">
        <v>20.478950000000001</v>
      </c>
      <c r="D11354" s="6">
        <v>69</v>
      </c>
      <c r="E11354" s="6">
        <v>0</v>
      </c>
      <c r="F11354" s="6">
        <v>0</v>
      </c>
      <c r="G11354" s="6">
        <v>11</v>
      </c>
      <c r="H11354" s="6" t="s">
        <v>48346</v>
      </c>
      <c r="I11354" s="6">
        <v>529.875</v>
      </c>
      <c r="J11354" s="2">
        <f t="shared" si="177"/>
        <v>43749.312023738421</v>
      </c>
    </row>
    <row r="11355" spans="1:10" x14ac:dyDescent="0.25">
      <c r="A11355" s="7" t="s">
        <v>48347</v>
      </c>
      <c r="B11355" s="8">
        <v>425</v>
      </c>
      <c r="C11355" s="8">
        <v>20.478950000000001</v>
      </c>
      <c r="D11355" s="8">
        <v>68</v>
      </c>
      <c r="E11355" s="8">
        <v>0</v>
      </c>
      <c r="F11355" s="8">
        <v>0</v>
      </c>
      <c r="G11355" s="8">
        <v>11</v>
      </c>
      <c r="H11355" s="8" t="s">
        <v>48348</v>
      </c>
      <c r="I11355" s="8">
        <v>536.625</v>
      </c>
      <c r="J11355" s="3">
        <f t="shared" si="177"/>
        <v>43749.312094965273</v>
      </c>
    </row>
    <row r="11356" spans="1:10" x14ac:dyDescent="0.25">
      <c r="A11356" s="5" t="s">
        <v>48349</v>
      </c>
      <c r="B11356" s="6">
        <v>406.25</v>
      </c>
      <c r="C11356" s="6">
        <v>20.426300000000001</v>
      </c>
      <c r="D11356" s="6">
        <v>69</v>
      </c>
      <c r="E11356" s="6">
        <v>0</v>
      </c>
      <c r="F11356" s="6">
        <v>0</v>
      </c>
      <c r="G11356" s="6">
        <v>1</v>
      </c>
      <c r="H11356" s="6" t="s">
        <v>48350</v>
      </c>
      <c r="I11356" s="6">
        <v>530.625</v>
      </c>
      <c r="J11356" s="2">
        <f t="shared" si="177"/>
        <v>43749.312166342592</v>
      </c>
    </row>
    <row r="11357" spans="1:10" x14ac:dyDescent="0.25">
      <c r="A11357" s="7" t="s">
        <v>48351</v>
      </c>
      <c r="B11357" s="8">
        <v>406.25</v>
      </c>
      <c r="C11357" s="8">
        <v>20.478950000000001</v>
      </c>
      <c r="D11357" s="8">
        <v>69</v>
      </c>
      <c r="E11357" s="8">
        <v>0</v>
      </c>
      <c r="F11357" s="8">
        <v>0</v>
      </c>
      <c r="G11357" s="8">
        <v>12</v>
      </c>
      <c r="H11357" s="8" t="s">
        <v>48352</v>
      </c>
      <c r="I11357" s="8">
        <v>530.625</v>
      </c>
      <c r="J11357" s="3">
        <f t="shared" si="177"/>
        <v>43749.312237858794</v>
      </c>
    </row>
    <row r="11358" spans="1:10" x14ac:dyDescent="0.25">
      <c r="A11358" s="5" t="s">
        <v>48353</v>
      </c>
      <c r="B11358" s="6">
        <v>406.25</v>
      </c>
      <c r="C11358" s="6">
        <v>20.478950000000001</v>
      </c>
      <c r="D11358" s="6">
        <v>69</v>
      </c>
      <c r="E11358" s="6">
        <v>0</v>
      </c>
      <c r="F11358" s="6">
        <v>0</v>
      </c>
      <c r="G11358" s="6">
        <v>10</v>
      </c>
      <c r="H11358" s="6" t="s">
        <v>48354</v>
      </c>
      <c r="I11358" s="6">
        <v>530.625</v>
      </c>
      <c r="J11358" s="2">
        <f t="shared" si="177"/>
        <v>43749.312310266199</v>
      </c>
    </row>
    <row r="11359" spans="1:10" x14ac:dyDescent="0.25">
      <c r="A11359" s="7" t="s">
        <v>48355</v>
      </c>
      <c r="B11359" s="8">
        <v>406.25</v>
      </c>
      <c r="C11359" s="8">
        <v>20.478950000000001</v>
      </c>
      <c r="D11359" s="8">
        <v>69</v>
      </c>
      <c r="E11359" s="8">
        <v>0</v>
      </c>
      <c r="F11359" s="8">
        <v>0</v>
      </c>
      <c r="G11359" s="8">
        <v>7</v>
      </c>
      <c r="H11359" s="8" t="s">
        <v>48356</v>
      </c>
      <c r="I11359" s="8">
        <v>530.8125</v>
      </c>
      <c r="J11359" s="3">
        <f t="shared" si="177"/>
        <v>43749.312381134259</v>
      </c>
    </row>
    <row r="11360" spans="1:10" x14ac:dyDescent="0.25">
      <c r="A11360" s="5" t="s">
        <v>48357</v>
      </c>
      <c r="B11360" s="6">
        <v>406.25</v>
      </c>
      <c r="C11360" s="6">
        <v>20.478950000000001</v>
      </c>
      <c r="D11360" s="6">
        <v>69</v>
      </c>
      <c r="E11360" s="6">
        <v>0</v>
      </c>
      <c r="F11360" s="6">
        <v>0</v>
      </c>
      <c r="G11360" s="6">
        <v>10</v>
      </c>
      <c r="H11360" s="6" t="s">
        <v>48358</v>
      </c>
      <c r="I11360" s="6">
        <v>530.8125</v>
      </c>
      <c r="J11360" s="2">
        <f t="shared" si="177"/>
        <v>43749.312452442122</v>
      </c>
    </row>
    <row r="11361" spans="1:10" x14ac:dyDescent="0.25">
      <c r="A11361" s="7" t="s">
        <v>48359</v>
      </c>
      <c r="B11361" s="8">
        <v>406.25</v>
      </c>
      <c r="C11361" s="8">
        <v>20.478950000000001</v>
      </c>
      <c r="D11361" s="8">
        <v>69</v>
      </c>
      <c r="E11361" s="8">
        <v>0</v>
      </c>
      <c r="F11361" s="8">
        <v>0</v>
      </c>
      <c r="G11361" s="8">
        <v>8</v>
      </c>
      <c r="H11361" s="8" t="s">
        <v>48360</v>
      </c>
      <c r="I11361" s="8">
        <v>530.625</v>
      </c>
      <c r="J11361" s="3">
        <f t="shared" si="177"/>
        <v>43749.312524039349</v>
      </c>
    </row>
    <row r="11362" spans="1:10" x14ac:dyDescent="0.25">
      <c r="A11362" s="5" t="s">
        <v>48361</v>
      </c>
      <c r="B11362" s="6">
        <v>406.25</v>
      </c>
      <c r="C11362" s="6">
        <v>20.478950000000001</v>
      </c>
      <c r="D11362" s="6">
        <v>69</v>
      </c>
      <c r="E11362" s="6">
        <v>0</v>
      </c>
      <c r="F11362" s="6">
        <v>0</v>
      </c>
      <c r="G11362" s="6">
        <v>11</v>
      </c>
      <c r="H11362" s="6" t="s">
        <v>48362</v>
      </c>
      <c r="I11362" s="6">
        <v>530.625</v>
      </c>
      <c r="J11362" s="2">
        <f t="shared" si="177"/>
        <v>43749.312596261567</v>
      </c>
    </row>
    <row r="11363" spans="1:10" x14ac:dyDescent="0.25">
      <c r="A11363" s="7" t="s">
        <v>48363</v>
      </c>
      <c r="B11363" s="8">
        <v>406.25</v>
      </c>
      <c r="C11363" s="8">
        <v>20.478950000000001</v>
      </c>
      <c r="D11363" s="8">
        <v>69</v>
      </c>
      <c r="E11363" s="8">
        <v>0</v>
      </c>
      <c r="F11363" s="8">
        <v>0</v>
      </c>
      <c r="G11363" s="8">
        <v>11</v>
      </c>
      <c r="H11363" s="8" t="s">
        <v>48364</v>
      </c>
      <c r="I11363" s="8">
        <v>530.8125</v>
      </c>
      <c r="J11363" s="3">
        <f t="shared" si="177"/>
        <v>43749.312667534723</v>
      </c>
    </row>
    <row r="11364" spans="1:10" x14ac:dyDescent="0.25">
      <c r="A11364" s="5" t="s">
        <v>48365</v>
      </c>
      <c r="B11364" s="6">
        <v>425</v>
      </c>
      <c r="C11364" s="6">
        <v>20.478950000000001</v>
      </c>
      <c r="D11364" s="6">
        <v>68</v>
      </c>
      <c r="E11364" s="6">
        <v>0</v>
      </c>
      <c r="F11364" s="6">
        <v>0</v>
      </c>
      <c r="G11364" s="6">
        <v>12</v>
      </c>
      <c r="H11364" s="6" t="s">
        <v>48366</v>
      </c>
      <c r="I11364" s="6">
        <v>536.25</v>
      </c>
      <c r="J11364" s="2">
        <f t="shared" si="177"/>
        <v>43749.312738831017</v>
      </c>
    </row>
    <row r="11365" spans="1:10" x14ac:dyDescent="0.25">
      <c r="A11365" s="7" t="s">
        <v>48367</v>
      </c>
      <c r="B11365" s="8">
        <v>406.25</v>
      </c>
      <c r="C11365" s="8">
        <v>20.426300000000001</v>
      </c>
      <c r="D11365" s="8">
        <v>67</v>
      </c>
      <c r="E11365" s="8">
        <v>0</v>
      </c>
      <c r="F11365" s="8">
        <v>0</v>
      </c>
      <c r="G11365" s="8">
        <v>0</v>
      </c>
      <c r="H11365" s="8" t="s">
        <v>48368</v>
      </c>
      <c r="I11365" s="8">
        <v>530.8125</v>
      </c>
      <c r="J11365" s="3">
        <f t="shared" si="177"/>
        <v>43749.312810196752</v>
      </c>
    </row>
    <row r="11366" spans="1:10" x14ac:dyDescent="0.25">
      <c r="A11366" s="5" t="s">
        <v>48369</v>
      </c>
      <c r="B11366" s="6">
        <v>406.25</v>
      </c>
      <c r="C11366" s="6">
        <v>20.478950000000001</v>
      </c>
      <c r="D11366" s="6">
        <v>67</v>
      </c>
      <c r="E11366" s="6">
        <v>0</v>
      </c>
      <c r="F11366" s="6">
        <v>0</v>
      </c>
      <c r="G11366" s="6">
        <v>0</v>
      </c>
      <c r="H11366" s="6" t="s">
        <v>48370</v>
      </c>
      <c r="I11366" s="6">
        <v>530.8125</v>
      </c>
      <c r="J11366" s="2">
        <f t="shared" si="177"/>
        <v>43749.312882407401</v>
      </c>
    </row>
    <row r="11367" spans="1:10" x14ac:dyDescent="0.25">
      <c r="A11367" s="7" t="s">
        <v>48371</v>
      </c>
      <c r="B11367" s="8">
        <v>425</v>
      </c>
      <c r="C11367" s="8">
        <v>20.478950000000001</v>
      </c>
      <c r="D11367" s="8">
        <v>67</v>
      </c>
      <c r="E11367" s="8">
        <v>0</v>
      </c>
      <c r="F11367" s="8">
        <v>0</v>
      </c>
      <c r="G11367" s="8">
        <v>9</v>
      </c>
      <c r="H11367" s="8" t="s">
        <v>48372</v>
      </c>
      <c r="I11367" s="8">
        <v>536.625</v>
      </c>
      <c r="J11367" s="3">
        <f t="shared" si="177"/>
        <v>43749.312977824076</v>
      </c>
    </row>
    <row r="11368" spans="1:10" x14ac:dyDescent="0.25">
      <c r="A11368" s="5" t="s">
        <v>48373</v>
      </c>
      <c r="B11368" s="6">
        <v>403.125</v>
      </c>
      <c r="C11368" s="6">
        <v>20.426300000000001</v>
      </c>
      <c r="D11368" s="6">
        <v>69</v>
      </c>
      <c r="E11368" s="6">
        <v>0</v>
      </c>
      <c r="F11368" s="6">
        <v>0</v>
      </c>
      <c r="G11368" s="6">
        <v>8</v>
      </c>
      <c r="H11368" s="6" t="s">
        <v>48374</v>
      </c>
      <c r="I11368" s="6">
        <v>529.125</v>
      </c>
      <c r="J11368" s="2">
        <f t="shared" si="177"/>
        <v>43749.313049062497</v>
      </c>
    </row>
    <row r="11369" spans="1:10" x14ac:dyDescent="0.25">
      <c r="A11369" s="7" t="s">
        <v>48375</v>
      </c>
      <c r="B11369" s="8">
        <v>403.125</v>
      </c>
      <c r="C11369" s="8">
        <v>20.478950000000001</v>
      </c>
      <c r="D11369" s="8">
        <v>69</v>
      </c>
      <c r="E11369" s="8">
        <v>0</v>
      </c>
      <c r="F11369" s="8">
        <v>0</v>
      </c>
      <c r="G11369" s="8">
        <v>6</v>
      </c>
      <c r="H11369" s="8" t="s">
        <v>48376</v>
      </c>
      <c r="I11369" s="8">
        <v>529.125</v>
      </c>
      <c r="J11369" s="3">
        <f t="shared" si="177"/>
        <v>43749.31313243055</v>
      </c>
    </row>
    <row r="11370" spans="1:10" x14ac:dyDescent="0.25">
      <c r="A11370" s="5" t="s">
        <v>48377</v>
      </c>
      <c r="B11370" s="6">
        <v>418.75</v>
      </c>
      <c r="C11370" s="6">
        <v>20.478950000000001</v>
      </c>
      <c r="D11370" s="6">
        <v>69</v>
      </c>
      <c r="E11370" s="6">
        <v>0</v>
      </c>
      <c r="F11370" s="6">
        <v>0</v>
      </c>
      <c r="G11370" s="6">
        <v>7</v>
      </c>
      <c r="H11370" s="6" t="s">
        <v>48378</v>
      </c>
      <c r="I11370" s="6">
        <v>534.75</v>
      </c>
      <c r="J11370" s="2">
        <f t="shared" si="177"/>
        <v>43749.313203749996</v>
      </c>
    </row>
    <row r="11371" spans="1:10" x14ac:dyDescent="0.25">
      <c r="A11371" s="7" t="s">
        <v>48379</v>
      </c>
      <c r="B11371" s="8">
        <v>400</v>
      </c>
      <c r="C11371" s="8">
        <v>20.478950000000001</v>
      </c>
      <c r="D11371" s="8">
        <v>69</v>
      </c>
      <c r="E11371" s="8">
        <v>0</v>
      </c>
      <c r="F11371" s="8">
        <v>0</v>
      </c>
      <c r="G11371" s="8">
        <v>14</v>
      </c>
      <c r="H11371" s="8" t="s">
        <v>48380</v>
      </c>
      <c r="I11371" s="8">
        <v>528.375</v>
      </c>
      <c r="J11371" s="3">
        <f t="shared" si="177"/>
        <v>43749.313275300919</v>
      </c>
    </row>
    <row r="11372" spans="1:10" x14ac:dyDescent="0.25">
      <c r="A11372" s="5" t="s">
        <v>48381</v>
      </c>
      <c r="B11372" s="6">
        <v>400</v>
      </c>
      <c r="C11372" s="6">
        <v>20.426300000000001</v>
      </c>
      <c r="D11372" s="6">
        <v>69</v>
      </c>
      <c r="E11372" s="6">
        <v>0</v>
      </c>
      <c r="F11372" s="6">
        <v>0</v>
      </c>
      <c r="G11372" s="6">
        <v>8</v>
      </c>
      <c r="H11372" s="6" t="s">
        <v>48382</v>
      </c>
      <c r="I11372" s="6">
        <v>528.1875</v>
      </c>
      <c r="J11372" s="2">
        <f t="shared" si="177"/>
        <v>43749.313347222218</v>
      </c>
    </row>
    <row r="11373" spans="1:10" x14ac:dyDescent="0.25">
      <c r="A11373" s="7" t="s">
        <v>48383</v>
      </c>
      <c r="B11373" s="8">
        <v>400</v>
      </c>
      <c r="C11373" s="8">
        <v>20.478950000000001</v>
      </c>
      <c r="D11373" s="8">
        <v>69</v>
      </c>
      <c r="E11373" s="8">
        <v>0</v>
      </c>
      <c r="F11373" s="8">
        <v>0</v>
      </c>
      <c r="G11373" s="8">
        <v>4</v>
      </c>
      <c r="H11373" s="8" t="s">
        <v>48384</v>
      </c>
      <c r="I11373" s="8">
        <v>528.375</v>
      </c>
      <c r="J11373" s="3">
        <f t="shared" si="177"/>
        <v>43749.313430578703</v>
      </c>
    </row>
    <row r="11374" spans="1:10" x14ac:dyDescent="0.25">
      <c r="A11374" s="5" t="s">
        <v>48385</v>
      </c>
      <c r="B11374" s="6">
        <v>403.125</v>
      </c>
      <c r="C11374" s="6">
        <v>20.478950000000001</v>
      </c>
      <c r="D11374" s="6">
        <v>68</v>
      </c>
      <c r="E11374" s="6">
        <v>0</v>
      </c>
      <c r="F11374" s="6">
        <v>0</v>
      </c>
      <c r="G11374" s="6">
        <v>0</v>
      </c>
      <c r="H11374" s="6" t="s">
        <v>48386</v>
      </c>
      <c r="I11374" s="6">
        <v>529.125</v>
      </c>
      <c r="J11374" s="2">
        <f t="shared" si="177"/>
        <v>43749.313501840275</v>
      </c>
    </row>
    <row r="11375" spans="1:10" x14ac:dyDescent="0.25">
      <c r="A11375" s="7" t="s">
        <v>48387</v>
      </c>
      <c r="B11375" s="8">
        <v>403.125</v>
      </c>
      <c r="C11375" s="8">
        <v>20.478950000000001</v>
      </c>
      <c r="D11375" s="8">
        <v>68</v>
      </c>
      <c r="E11375" s="8">
        <v>0</v>
      </c>
      <c r="F11375" s="8">
        <v>0</v>
      </c>
      <c r="G11375" s="8">
        <v>8</v>
      </c>
      <c r="H11375" s="8" t="s">
        <v>48388</v>
      </c>
      <c r="I11375" s="8">
        <v>529.125</v>
      </c>
      <c r="J11375" s="3">
        <f t="shared" si="177"/>
        <v>43749.313574074076</v>
      </c>
    </row>
    <row r="11376" spans="1:10" x14ac:dyDescent="0.25">
      <c r="A11376" s="5" t="s">
        <v>48389</v>
      </c>
      <c r="B11376" s="6">
        <v>403.125</v>
      </c>
      <c r="C11376" s="6">
        <v>20.478950000000001</v>
      </c>
      <c r="D11376" s="6">
        <v>67</v>
      </c>
      <c r="E11376" s="6">
        <v>0</v>
      </c>
      <c r="F11376" s="6">
        <v>0</v>
      </c>
      <c r="G11376" s="6">
        <v>8</v>
      </c>
      <c r="H11376" s="6" t="s">
        <v>48390</v>
      </c>
      <c r="I11376" s="6">
        <v>529.125</v>
      </c>
      <c r="J11376" s="2">
        <f t="shared" si="177"/>
        <v>43749.31364537037</v>
      </c>
    </row>
    <row r="11377" spans="1:10" x14ac:dyDescent="0.25">
      <c r="A11377" s="7" t="s">
        <v>48391</v>
      </c>
      <c r="B11377" s="8">
        <v>403.125</v>
      </c>
      <c r="C11377" s="8">
        <v>20.478950000000001</v>
      </c>
      <c r="D11377" s="8">
        <v>69</v>
      </c>
      <c r="E11377" s="8">
        <v>0</v>
      </c>
      <c r="F11377" s="8">
        <v>0</v>
      </c>
      <c r="G11377" s="8">
        <v>12</v>
      </c>
      <c r="H11377" s="8" t="s">
        <v>48392</v>
      </c>
      <c r="I11377" s="8">
        <v>529.125</v>
      </c>
      <c r="J11377" s="3">
        <f t="shared" si="177"/>
        <v>43749.313716655095</v>
      </c>
    </row>
    <row r="11378" spans="1:10" x14ac:dyDescent="0.25">
      <c r="A11378" s="5" t="s">
        <v>48393</v>
      </c>
      <c r="B11378" s="6">
        <v>403.125</v>
      </c>
      <c r="C11378" s="6">
        <v>20.478950000000001</v>
      </c>
      <c r="D11378" s="6">
        <v>69</v>
      </c>
      <c r="E11378" s="6">
        <v>0</v>
      </c>
      <c r="F11378" s="6">
        <v>0</v>
      </c>
      <c r="G11378" s="6">
        <v>14</v>
      </c>
      <c r="H11378" s="6" t="s">
        <v>48394</v>
      </c>
      <c r="I11378" s="6">
        <v>529.875</v>
      </c>
      <c r="J11378" s="2">
        <f t="shared" si="177"/>
        <v>43749.313788009262</v>
      </c>
    </row>
    <row r="11379" spans="1:10" x14ac:dyDescent="0.25">
      <c r="A11379" s="7" t="s">
        <v>48395</v>
      </c>
      <c r="B11379" s="8">
        <v>403.125</v>
      </c>
      <c r="C11379" s="8">
        <v>20.478950000000001</v>
      </c>
      <c r="D11379" s="8">
        <v>67</v>
      </c>
      <c r="E11379" s="8">
        <v>0</v>
      </c>
      <c r="F11379" s="8">
        <v>0</v>
      </c>
      <c r="G11379" s="8">
        <v>8</v>
      </c>
      <c r="H11379" s="8" t="s">
        <v>48396</v>
      </c>
      <c r="I11379" s="8">
        <v>529.875</v>
      </c>
      <c r="J11379" s="3">
        <f t="shared" si="177"/>
        <v>43749.313860185182</v>
      </c>
    </row>
    <row r="11380" spans="1:10" x14ac:dyDescent="0.25">
      <c r="A11380" s="5" t="s">
        <v>48397</v>
      </c>
      <c r="B11380" s="6">
        <v>403.125</v>
      </c>
      <c r="C11380" s="6">
        <v>20.478950000000001</v>
      </c>
      <c r="D11380" s="6">
        <v>68</v>
      </c>
      <c r="E11380" s="6">
        <v>0</v>
      </c>
      <c r="F11380" s="6">
        <v>0</v>
      </c>
      <c r="G11380" s="6">
        <v>12</v>
      </c>
      <c r="H11380" s="6" t="s">
        <v>48398</v>
      </c>
      <c r="I11380" s="6">
        <v>529.875</v>
      </c>
      <c r="J11380" s="2">
        <f t="shared" si="177"/>
        <v>43749.313941157401</v>
      </c>
    </row>
    <row r="11381" spans="1:10" x14ac:dyDescent="0.25">
      <c r="A11381" s="7" t="s">
        <v>48399</v>
      </c>
      <c r="B11381" s="8">
        <v>406.25</v>
      </c>
      <c r="C11381" s="8">
        <v>20.478950000000001</v>
      </c>
      <c r="D11381" s="8">
        <v>68</v>
      </c>
      <c r="E11381" s="8">
        <v>0</v>
      </c>
      <c r="F11381" s="8">
        <v>0</v>
      </c>
      <c r="G11381" s="8">
        <v>13</v>
      </c>
      <c r="H11381" s="8" t="s">
        <v>48400</v>
      </c>
      <c r="I11381" s="8">
        <v>530.625</v>
      </c>
      <c r="J11381" s="3">
        <f t="shared" si="177"/>
        <v>43749.31401480324</v>
      </c>
    </row>
    <row r="11382" spans="1:10" x14ac:dyDescent="0.25">
      <c r="A11382" s="5" t="s">
        <v>48401</v>
      </c>
      <c r="B11382" s="6">
        <v>406.25</v>
      </c>
      <c r="C11382" s="6">
        <v>20.478950000000001</v>
      </c>
      <c r="D11382" s="6">
        <v>66</v>
      </c>
      <c r="E11382" s="6">
        <v>0</v>
      </c>
      <c r="F11382" s="6">
        <v>0</v>
      </c>
      <c r="G11382" s="6">
        <v>13</v>
      </c>
      <c r="H11382" s="6" t="s">
        <v>48402</v>
      </c>
      <c r="I11382" s="6">
        <v>530.625</v>
      </c>
      <c r="J11382" s="2">
        <f t="shared" si="177"/>
        <v>43749.314086053237</v>
      </c>
    </row>
    <row r="11383" spans="1:10" x14ac:dyDescent="0.25">
      <c r="A11383" s="7" t="s">
        <v>48403</v>
      </c>
      <c r="B11383" s="8">
        <v>406.25</v>
      </c>
      <c r="C11383" s="8">
        <v>20.478950000000001</v>
      </c>
      <c r="D11383" s="8">
        <v>66</v>
      </c>
      <c r="E11383" s="8">
        <v>0</v>
      </c>
      <c r="F11383" s="8">
        <v>0</v>
      </c>
      <c r="G11383" s="8">
        <v>12</v>
      </c>
      <c r="H11383" s="8" t="s">
        <v>48404</v>
      </c>
      <c r="I11383" s="8">
        <v>530.625</v>
      </c>
      <c r="J11383" s="3">
        <f t="shared" si="177"/>
        <v>43749.314158321758</v>
      </c>
    </row>
    <row r="11384" spans="1:10" x14ac:dyDescent="0.25">
      <c r="A11384" s="5" t="s">
        <v>48405</v>
      </c>
      <c r="B11384" s="6">
        <v>406.25</v>
      </c>
      <c r="C11384" s="6">
        <v>20.478950000000001</v>
      </c>
      <c r="D11384" s="6">
        <v>67</v>
      </c>
      <c r="E11384" s="6">
        <v>0</v>
      </c>
      <c r="F11384" s="6">
        <v>0</v>
      </c>
      <c r="G11384" s="6">
        <v>8</v>
      </c>
      <c r="H11384" s="6" t="s">
        <v>48406</v>
      </c>
      <c r="I11384" s="6">
        <v>530.625</v>
      </c>
      <c r="J11384" s="2">
        <f t="shared" si="177"/>
        <v>43749.314229618052</v>
      </c>
    </row>
    <row r="11385" spans="1:10" x14ac:dyDescent="0.25">
      <c r="A11385" s="7" t="s">
        <v>48407</v>
      </c>
      <c r="B11385" s="8">
        <v>406.25</v>
      </c>
      <c r="C11385" s="8">
        <v>20.478950000000001</v>
      </c>
      <c r="D11385" s="8">
        <v>69</v>
      </c>
      <c r="E11385" s="8">
        <v>0</v>
      </c>
      <c r="F11385" s="8">
        <v>0</v>
      </c>
      <c r="G11385" s="8">
        <v>14</v>
      </c>
      <c r="H11385" s="8" t="s">
        <v>48408</v>
      </c>
      <c r="I11385" s="8">
        <v>530.625</v>
      </c>
      <c r="J11385" s="3">
        <f t="shared" si="177"/>
        <v>43749.314300983795</v>
      </c>
    </row>
    <row r="11386" spans="1:10" x14ac:dyDescent="0.25">
      <c r="A11386" s="5" t="s">
        <v>48409</v>
      </c>
      <c r="B11386" s="6">
        <v>403.125</v>
      </c>
      <c r="C11386" s="6">
        <v>20.426300000000001</v>
      </c>
      <c r="D11386" s="6">
        <v>69</v>
      </c>
      <c r="E11386" s="6">
        <v>0</v>
      </c>
      <c r="F11386" s="6">
        <v>0</v>
      </c>
      <c r="G11386" s="6">
        <v>11</v>
      </c>
      <c r="H11386" s="6" t="s">
        <v>48410</v>
      </c>
      <c r="I11386" s="6">
        <v>529.875</v>
      </c>
      <c r="J11386" s="2">
        <f t="shared" si="177"/>
        <v>43749.314384259262</v>
      </c>
    </row>
    <row r="11387" spans="1:10" x14ac:dyDescent="0.25">
      <c r="A11387" s="7" t="s">
        <v>48411</v>
      </c>
      <c r="B11387" s="8">
        <v>403.125</v>
      </c>
      <c r="C11387" s="8">
        <v>20.478950000000001</v>
      </c>
      <c r="D11387" s="8">
        <v>69</v>
      </c>
      <c r="E11387" s="8">
        <v>0</v>
      </c>
      <c r="F11387" s="8">
        <v>0</v>
      </c>
      <c r="G11387" s="8">
        <v>15</v>
      </c>
      <c r="H11387" s="8" t="s">
        <v>48412</v>
      </c>
      <c r="I11387" s="8">
        <v>529.875</v>
      </c>
      <c r="J11387" s="3">
        <f t="shared" si="177"/>
        <v>43749.314455810185</v>
      </c>
    </row>
    <row r="11388" spans="1:10" x14ac:dyDescent="0.25">
      <c r="A11388" s="5" t="s">
        <v>48413</v>
      </c>
      <c r="B11388" s="6">
        <v>400</v>
      </c>
      <c r="C11388" s="6">
        <v>20.478950000000001</v>
      </c>
      <c r="D11388" s="6">
        <v>71</v>
      </c>
      <c r="E11388" s="6">
        <v>0</v>
      </c>
      <c r="F11388" s="6">
        <v>0</v>
      </c>
      <c r="G11388" s="6">
        <v>12</v>
      </c>
      <c r="H11388" s="6" t="s">
        <v>48414</v>
      </c>
      <c r="I11388" s="6">
        <v>528.9375</v>
      </c>
      <c r="J11388" s="2">
        <f t="shared" si="177"/>
        <v>43749.314539525461</v>
      </c>
    </row>
    <row r="11389" spans="1:10" x14ac:dyDescent="0.25">
      <c r="A11389" s="7" t="s">
        <v>48415</v>
      </c>
      <c r="B11389" s="8">
        <v>403.125</v>
      </c>
      <c r="C11389" s="8">
        <v>20.478950000000001</v>
      </c>
      <c r="D11389" s="8">
        <v>68</v>
      </c>
      <c r="E11389" s="8">
        <v>0</v>
      </c>
      <c r="F11389" s="8">
        <v>0</v>
      </c>
      <c r="G11389" s="8">
        <v>10</v>
      </c>
      <c r="H11389" s="8" t="s">
        <v>48416</v>
      </c>
      <c r="I11389" s="8">
        <v>529.125</v>
      </c>
      <c r="J11389" s="3">
        <f t="shared" si="177"/>
        <v>43749.314610937501</v>
      </c>
    </row>
    <row r="11390" spans="1:10" x14ac:dyDescent="0.25">
      <c r="A11390" s="5" t="s">
        <v>48417</v>
      </c>
      <c r="B11390" s="6">
        <v>400</v>
      </c>
      <c r="C11390" s="6">
        <v>20.426300000000001</v>
      </c>
      <c r="D11390" s="6">
        <v>68</v>
      </c>
      <c r="E11390" s="6">
        <v>0</v>
      </c>
      <c r="F11390" s="6">
        <v>0</v>
      </c>
      <c r="G11390" s="6">
        <v>16</v>
      </c>
      <c r="H11390" s="6" t="s">
        <v>48418</v>
      </c>
      <c r="I11390" s="6">
        <v>528.1875</v>
      </c>
      <c r="J11390" s="2">
        <f t="shared" si="177"/>
        <v>43749.314682523145</v>
      </c>
    </row>
    <row r="11391" spans="1:10" x14ac:dyDescent="0.25">
      <c r="A11391" s="7" t="s">
        <v>48419</v>
      </c>
      <c r="B11391" s="8">
        <v>400</v>
      </c>
      <c r="C11391" s="8">
        <v>20.478950000000001</v>
      </c>
      <c r="D11391" s="8">
        <v>68</v>
      </c>
      <c r="E11391" s="8">
        <v>0</v>
      </c>
      <c r="F11391" s="8">
        <v>0</v>
      </c>
      <c r="G11391" s="8">
        <v>13</v>
      </c>
      <c r="H11391" s="8" t="s">
        <v>48420</v>
      </c>
      <c r="I11391" s="8">
        <v>528.1875</v>
      </c>
      <c r="J11391" s="3">
        <f t="shared" si="177"/>
        <v>43749.31475435185</v>
      </c>
    </row>
    <row r="11392" spans="1:10" x14ac:dyDescent="0.25">
      <c r="A11392" s="5" t="s">
        <v>48421</v>
      </c>
      <c r="B11392" s="6">
        <v>400</v>
      </c>
      <c r="C11392" s="6">
        <v>20.478950000000001</v>
      </c>
      <c r="D11392" s="6">
        <v>68</v>
      </c>
      <c r="E11392" s="6">
        <v>0</v>
      </c>
      <c r="F11392" s="6">
        <v>0</v>
      </c>
      <c r="G11392" s="6">
        <v>20</v>
      </c>
      <c r="H11392" s="6" t="s">
        <v>48422</v>
      </c>
      <c r="I11392" s="6">
        <v>528.375</v>
      </c>
      <c r="J11392" s="2">
        <f t="shared" si="177"/>
        <v>43749.314837673614</v>
      </c>
    </row>
    <row r="11393" spans="1:10" x14ac:dyDescent="0.25">
      <c r="A11393" s="7" t="s">
        <v>48423</v>
      </c>
      <c r="B11393" s="8">
        <v>400</v>
      </c>
      <c r="C11393" s="8">
        <v>20.478950000000001</v>
      </c>
      <c r="D11393" s="8">
        <v>68</v>
      </c>
      <c r="E11393" s="8">
        <v>0</v>
      </c>
      <c r="F11393" s="8">
        <v>0</v>
      </c>
      <c r="G11393" s="8">
        <v>18</v>
      </c>
      <c r="H11393" s="8" t="s">
        <v>48424</v>
      </c>
      <c r="I11393" s="8">
        <v>528.1875</v>
      </c>
      <c r="J11393" s="3">
        <f t="shared" si="177"/>
        <v>43749.314909016197</v>
      </c>
    </row>
    <row r="11394" spans="1:10" x14ac:dyDescent="0.25">
      <c r="A11394" s="5" t="s">
        <v>48425</v>
      </c>
      <c r="B11394" s="6">
        <v>400</v>
      </c>
      <c r="C11394" s="6">
        <v>20.478950000000001</v>
      </c>
      <c r="D11394" s="6">
        <v>68</v>
      </c>
      <c r="E11394" s="6">
        <v>0</v>
      </c>
      <c r="F11394" s="6">
        <v>0</v>
      </c>
      <c r="G11394" s="6">
        <v>11</v>
      </c>
      <c r="H11394" s="6" t="s">
        <v>48426</v>
      </c>
      <c r="I11394" s="6">
        <v>528.1875</v>
      </c>
      <c r="J11394" s="2">
        <f t="shared" ref="J11394:J11457" si="178">(H11394/86400000)+25569+(7/24)</f>
        <v>43749.314981122683</v>
      </c>
    </row>
    <row r="11395" spans="1:10" x14ac:dyDescent="0.25">
      <c r="A11395" s="7" t="s">
        <v>48427</v>
      </c>
      <c r="B11395" s="8">
        <v>400</v>
      </c>
      <c r="C11395" s="8">
        <v>20.478950000000001</v>
      </c>
      <c r="D11395" s="8">
        <v>66</v>
      </c>
      <c r="E11395" s="8">
        <v>0</v>
      </c>
      <c r="F11395" s="8">
        <v>0</v>
      </c>
      <c r="G11395" s="8">
        <v>13</v>
      </c>
      <c r="H11395" s="8" t="s">
        <v>48428</v>
      </c>
      <c r="I11395" s="8">
        <v>528.1875</v>
      </c>
      <c r="J11395" s="3">
        <f t="shared" si="178"/>
        <v>43749.31505247685</v>
      </c>
    </row>
    <row r="11396" spans="1:10" x14ac:dyDescent="0.25">
      <c r="A11396" s="5" t="s">
        <v>48429</v>
      </c>
      <c r="B11396" s="6">
        <v>418.75</v>
      </c>
      <c r="C11396" s="6">
        <v>20.478950000000001</v>
      </c>
      <c r="D11396" s="6">
        <v>72</v>
      </c>
      <c r="E11396" s="6">
        <v>0</v>
      </c>
      <c r="F11396" s="6">
        <v>0</v>
      </c>
      <c r="G11396" s="6">
        <v>12</v>
      </c>
      <c r="H11396" s="6" t="s">
        <v>48430</v>
      </c>
      <c r="I11396" s="6">
        <v>534.5625</v>
      </c>
      <c r="J11396" s="2">
        <f t="shared" si="178"/>
        <v>43749.315123773144</v>
      </c>
    </row>
    <row r="11397" spans="1:10" x14ac:dyDescent="0.25">
      <c r="A11397" s="7" t="s">
        <v>48431</v>
      </c>
      <c r="B11397" s="8">
        <v>400</v>
      </c>
      <c r="C11397" s="8">
        <v>20.478950000000001</v>
      </c>
      <c r="D11397" s="8">
        <v>73</v>
      </c>
      <c r="E11397" s="8">
        <v>0</v>
      </c>
      <c r="F11397" s="8">
        <v>0</v>
      </c>
      <c r="G11397" s="8">
        <v>11</v>
      </c>
      <c r="H11397" s="8" t="s">
        <v>48432</v>
      </c>
      <c r="I11397" s="8">
        <v>528.9375</v>
      </c>
      <c r="J11397" s="3">
        <f t="shared" si="178"/>
        <v>43749.315195196752</v>
      </c>
    </row>
    <row r="11398" spans="1:10" x14ac:dyDescent="0.25">
      <c r="A11398" s="5" t="s">
        <v>48433</v>
      </c>
      <c r="B11398" s="6">
        <v>403.125</v>
      </c>
      <c r="C11398" s="6">
        <v>20.478950000000001</v>
      </c>
      <c r="D11398" s="6">
        <v>70</v>
      </c>
      <c r="E11398" s="6">
        <v>0</v>
      </c>
      <c r="F11398" s="6">
        <v>0</v>
      </c>
      <c r="G11398" s="6">
        <v>5</v>
      </c>
      <c r="H11398" s="6" t="s">
        <v>48434</v>
      </c>
      <c r="I11398" s="6">
        <v>529.125</v>
      </c>
      <c r="J11398" s="2">
        <f t="shared" si="178"/>
        <v>43749.315267291669</v>
      </c>
    </row>
    <row r="11399" spans="1:10" x14ac:dyDescent="0.25">
      <c r="A11399" s="7" t="s">
        <v>48435</v>
      </c>
      <c r="B11399" s="8">
        <v>400</v>
      </c>
      <c r="C11399" s="8">
        <v>20.426300000000001</v>
      </c>
      <c r="D11399" s="8">
        <v>72</v>
      </c>
      <c r="E11399" s="8">
        <v>0</v>
      </c>
      <c r="F11399" s="8">
        <v>0</v>
      </c>
      <c r="G11399" s="8">
        <v>13</v>
      </c>
      <c r="H11399" s="8" t="s">
        <v>48436</v>
      </c>
      <c r="I11399" s="8">
        <v>528.9375</v>
      </c>
      <c r="J11399" s="3">
        <f t="shared" si="178"/>
        <v>43749.315338611108</v>
      </c>
    </row>
    <row r="11400" spans="1:10" x14ac:dyDescent="0.25">
      <c r="A11400" s="5" t="s">
        <v>48437</v>
      </c>
      <c r="B11400" s="6">
        <v>400</v>
      </c>
      <c r="C11400" s="6">
        <v>20.478950000000001</v>
      </c>
      <c r="D11400" s="6">
        <v>72</v>
      </c>
      <c r="E11400" s="6">
        <v>0</v>
      </c>
      <c r="F11400" s="6">
        <v>0</v>
      </c>
      <c r="G11400" s="6">
        <v>5</v>
      </c>
      <c r="H11400" s="6" t="s">
        <v>48438</v>
      </c>
      <c r="I11400" s="6">
        <v>528.1875</v>
      </c>
      <c r="J11400" s="2">
        <f t="shared" si="178"/>
        <v>43749.315447893518</v>
      </c>
    </row>
    <row r="11401" spans="1:10" x14ac:dyDescent="0.25">
      <c r="A11401" s="7" t="s">
        <v>48439</v>
      </c>
      <c r="B11401" s="8">
        <v>400</v>
      </c>
      <c r="C11401" s="8">
        <v>20.478950000000001</v>
      </c>
      <c r="D11401" s="8">
        <v>72</v>
      </c>
      <c r="E11401" s="8">
        <v>0</v>
      </c>
      <c r="F11401" s="8">
        <v>0</v>
      </c>
      <c r="G11401" s="8">
        <v>10</v>
      </c>
      <c r="H11401" s="8" t="s">
        <v>48440</v>
      </c>
      <c r="I11401" s="8">
        <v>528.375</v>
      </c>
      <c r="J11401" s="3">
        <f t="shared" si="178"/>
        <v>43749.315529432868</v>
      </c>
    </row>
    <row r="11402" spans="1:10" x14ac:dyDescent="0.25">
      <c r="A11402" s="5" t="s">
        <v>48441</v>
      </c>
      <c r="B11402" s="6">
        <v>400</v>
      </c>
      <c r="C11402" s="6">
        <v>20.478950000000001</v>
      </c>
      <c r="D11402" s="6">
        <v>72</v>
      </c>
      <c r="E11402" s="6">
        <v>0</v>
      </c>
      <c r="F11402" s="6">
        <v>0</v>
      </c>
      <c r="G11402" s="6">
        <v>5</v>
      </c>
      <c r="H11402" s="6" t="s">
        <v>48442</v>
      </c>
      <c r="I11402" s="6">
        <v>528.375</v>
      </c>
      <c r="J11402" s="2">
        <f t="shared" si="178"/>
        <v>43749.315600601847</v>
      </c>
    </row>
    <row r="11403" spans="1:10" x14ac:dyDescent="0.25">
      <c r="A11403" s="7" t="s">
        <v>48443</v>
      </c>
      <c r="B11403" s="8">
        <v>400</v>
      </c>
      <c r="C11403" s="8">
        <v>20.478950000000001</v>
      </c>
      <c r="D11403" s="8">
        <v>72</v>
      </c>
      <c r="E11403" s="8">
        <v>0</v>
      </c>
      <c r="F11403" s="8">
        <v>0</v>
      </c>
      <c r="G11403" s="8">
        <v>4</v>
      </c>
      <c r="H11403" s="8" t="s">
        <v>48444</v>
      </c>
      <c r="I11403" s="8">
        <v>528.1875</v>
      </c>
      <c r="J11403" s="3">
        <f t="shared" si="178"/>
        <v>43749.315671886572</v>
      </c>
    </row>
    <row r="11404" spans="1:10" x14ac:dyDescent="0.25">
      <c r="A11404" s="5" t="s">
        <v>48445</v>
      </c>
      <c r="B11404" s="6">
        <v>400</v>
      </c>
      <c r="C11404" s="6">
        <v>20.478950000000001</v>
      </c>
      <c r="D11404" s="6">
        <v>72</v>
      </c>
      <c r="E11404" s="6">
        <v>0</v>
      </c>
      <c r="F11404" s="6">
        <v>0</v>
      </c>
      <c r="G11404" s="6">
        <v>5</v>
      </c>
      <c r="H11404" s="6" t="s">
        <v>48446</v>
      </c>
      <c r="I11404" s="6">
        <v>528.1875</v>
      </c>
      <c r="J11404" s="2">
        <f t="shared" si="178"/>
        <v>43749.315744131942</v>
      </c>
    </row>
    <row r="11405" spans="1:10" x14ac:dyDescent="0.25">
      <c r="A11405" s="7" t="s">
        <v>48447</v>
      </c>
      <c r="B11405" s="8">
        <v>400</v>
      </c>
      <c r="C11405" s="8">
        <v>20.478950000000001</v>
      </c>
      <c r="D11405" s="8">
        <v>71</v>
      </c>
      <c r="E11405" s="8">
        <v>0</v>
      </c>
      <c r="F11405" s="8">
        <v>0</v>
      </c>
      <c r="G11405" s="8">
        <v>9</v>
      </c>
      <c r="H11405" s="8" t="s">
        <v>48448</v>
      </c>
      <c r="I11405" s="8">
        <v>528.1875</v>
      </c>
      <c r="J11405" s="3">
        <f t="shared" si="178"/>
        <v>43749.315815405091</v>
      </c>
    </row>
    <row r="11406" spans="1:10" x14ac:dyDescent="0.25">
      <c r="A11406" s="5" t="s">
        <v>48449</v>
      </c>
      <c r="B11406" s="6">
        <v>400</v>
      </c>
      <c r="C11406" s="6">
        <v>20.426300000000001</v>
      </c>
      <c r="D11406" s="6">
        <v>68</v>
      </c>
      <c r="E11406" s="6">
        <v>0</v>
      </c>
      <c r="F11406" s="6">
        <v>0</v>
      </c>
      <c r="G11406" s="6">
        <v>5</v>
      </c>
      <c r="H11406" s="6" t="s">
        <v>48450</v>
      </c>
      <c r="I11406" s="6">
        <v>528.375</v>
      </c>
      <c r="J11406" s="2">
        <f t="shared" si="178"/>
        <v>43749.315886828706</v>
      </c>
    </row>
    <row r="11407" spans="1:10" x14ac:dyDescent="0.25">
      <c r="A11407" s="7" t="s">
        <v>48451</v>
      </c>
      <c r="B11407" s="8">
        <v>403.125</v>
      </c>
      <c r="C11407" s="8">
        <v>20.478950000000001</v>
      </c>
      <c r="D11407" s="8">
        <v>69</v>
      </c>
      <c r="E11407" s="8">
        <v>0</v>
      </c>
      <c r="F11407" s="8">
        <v>0</v>
      </c>
      <c r="G11407" s="8">
        <v>11</v>
      </c>
      <c r="H11407" s="8" t="s">
        <v>48452</v>
      </c>
      <c r="I11407" s="8">
        <v>529.125</v>
      </c>
      <c r="J11407" s="3">
        <f t="shared" si="178"/>
        <v>43749.315958865736</v>
      </c>
    </row>
    <row r="11408" spans="1:10" x14ac:dyDescent="0.25">
      <c r="A11408" s="5" t="s">
        <v>48453</v>
      </c>
      <c r="B11408" s="6">
        <v>403.125</v>
      </c>
      <c r="C11408" s="6">
        <v>20.478950000000001</v>
      </c>
      <c r="D11408" s="6">
        <v>68</v>
      </c>
      <c r="E11408" s="6">
        <v>0</v>
      </c>
      <c r="F11408" s="6">
        <v>0</v>
      </c>
      <c r="G11408" s="6">
        <v>5</v>
      </c>
      <c r="H11408" s="6" t="s">
        <v>48454</v>
      </c>
      <c r="I11408" s="6">
        <v>529.125</v>
      </c>
      <c r="J11408" s="2">
        <f t="shared" si="178"/>
        <v>43749.316030231479</v>
      </c>
    </row>
    <row r="11409" spans="1:10" x14ac:dyDescent="0.25">
      <c r="A11409" s="7" t="s">
        <v>48455</v>
      </c>
      <c r="B11409" s="8">
        <v>403.125</v>
      </c>
      <c r="C11409" s="8">
        <v>20.478950000000001</v>
      </c>
      <c r="D11409" s="8">
        <v>68</v>
      </c>
      <c r="E11409" s="8">
        <v>0</v>
      </c>
      <c r="F11409" s="8">
        <v>0</v>
      </c>
      <c r="G11409" s="8">
        <v>14</v>
      </c>
      <c r="H11409" s="8" t="s">
        <v>48456</v>
      </c>
      <c r="I11409" s="8">
        <v>529.125</v>
      </c>
      <c r="J11409" s="3">
        <f t="shared" si="178"/>
        <v>43749.31610152778</v>
      </c>
    </row>
    <row r="11410" spans="1:10" x14ac:dyDescent="0.25">
      <c r="A11410" s="5" t="s">
        <v>48457</v>
      </c>
      <c r="B11410" s="6">
        <v>403.125</v>
      </c>
      <c r="C11410" s="6">
        <v>20.478950000000001</v>
      </c>
      <c r="D11410" s="6">
        <v>67</v>
      </c>
      <c r="E11410" s="6">
        <v>0</v>
      </c>
      <c r="F11410" s="6">
        <v>0</v>
      </c>
      <c r="G11410" s="6">
        <v>6</v>
      </c>
      <c r="H11410" s="6" t="s">
        <v>48458</v>
      </c>
      <c r="I11410" s="6">
        <v>529.125</v>
      </c>
      <c r="J11410" s="2">
        <f t="shared" si="178"/>
        <v>43749.316173761566</v>
      </c>
    </row>
    <row r="11411" spans="1:10" x14ac:dyDescent="0.25">
      <c r="A11411" s="7" t="s">
        <v>48459</v>
      </c>
      <c r="B11411" s="8">
        <v>400</v>
      </c>
      <c r="C11411" s="8">
        <v>20.478950000000001</v>
      </c>
      <c r="D11411" s="8">
        <v>67</v>
      </c>
      <c r="E11411" s="8">
        <v>0</v>
      </c>
      <c r="F11411" s="8">
        <v>0</v>
      </c>
      <c r="G11411" s="8">
        <v>10</v>
      </c>
      <c r="H11411" s="8" t="s">
        <v>48460</v>
      </c>
      <c r="I11411" s="8">
        <v>528.1875</v>
      </c>
      <c r="J11411" s="3">
        <f t="shared" si="178"/>
        <v>43749.316245046291</v>
      </c>
    </row>
    <row r="11412" spans="1:10" x14ac:dyDescent="0.25">
      <c r="A11412" s="5" t="s">
        <v>48461</v>
      </c>
      <c r="B11412" s="6">
        <v>400</v>
      </c>
      <c r="C11412" s="6">
        <v>20.478950000000001</v>
      </c>
      <c r="D11412" s="6">
        <v>67</v>
      </c>
      <c r="E11412" s="6">
        <v>0</v>
      </c>
      <c r="F11412" s="6">
        <v>0</v>
      </c>
      <c r="G11412" s="6">
        <v>2</v>
      </c>
      <c r="H11412" s="6" t="s">
        <v>48462</v>
      </c>
      <c r="I11412" s="6">
        <v>528.1875</v>
      </c>
      <c r="J11412" s="2">
        <f t="shared" si="178"/>
        <v>43749.316316342585</v>
      </c>
    </row>
    <row r="11413" spans="1:10" x14ac:dyDescent="0.25">
      <c r="A11413" s="7" t="s">
        <v>48463</v>
      </c>
      <c r="B11413" s="8">
        <v>400</v>
      </c>
      <c r="C11413" s="8">
        <v>20.478950000000001</v>
      </c>
      <c r="D11413" s="8">
        <v>72</v>
      </c>
      <c r="E11413" s="8">
        <v>0</v>
      </c>
      <c r="F11413" s="8">
        <v>0</v>
      </c>
      <c r="G11413" s="8">
        <v>2</v>
      </c>
      <c r="H11413" s="8" t="s">
        <v>48464</v>
      </c>
      <c r="I11413" s="8">
        <v>528.375</v>
      </c>
      <c r="J11413" s="3">
        <f t="shared" si="178"/>
        <v>43749.316387766201</v>
      </c>
    </row>
    <row r="11414" spans="1:10" x14ac:dyDescent="0.25">
      <c r="A11414" s="5" t="s">
        <v>48465</v>
      </c>
      <c r="B11414" s="6">
        <v>418.75</v>
      </c>
      <c r="C11414" s="6">
        <v>20.478950000000001</v>
      </c>
      <c r="D11414" s="6">
        <v>71</v>
      </c>
      <c r="E11414" s="6">
        <v>0</v>
      </c>
      <c r="F11414" s="6">
        <v>0</v>
      </c>
      <c r="G11414" s="6">
        <v>2</v>
      </c>
      <c r="H11414" s="6" t="s">
        <v>48466</v>
      </c>
      <c r="I11414" s="6">
        <v>534.1875</v>
      </c>
      <c r="J11414" s="2">
        <f t="shared" si="178"/>
        <v>43749.316459849535</v>
      </c>
    </row>
    <row r="11415" spans="1:10" x14ac:dyDescent="0.25">
      <c r="A11415" s="7" t="s">
        <v>48467</v>
      </c>
      <c r="B11415" s="8">
        <v>400</v>
      </c>
      <c r="C11415" s="8">
        <v>20.426300000000001</v>
      </c>
      <c r="D11415" s="8">
        <v>70</v>
      </c>
      <c r="E11415" s="8">
        <v>0</v>
      </c>
      <c r="F11415" s="8">
        <v>0</v>
      </c>
      <c r="G11415" s="8">
        <v>2</v>
      </c>
      <c r="H11415" s="8" t="s">
        <v>48468</v>
      </c>
      <c r="I11415" s="8">
        <v>528.375</v>
      </c>
      <c r="J11415" s="3">
        <f t="shared" si="178"/>
        <v>43749.316531145836</v>
      </c>
    </row>
    <row r="11416" spans="1:10" x14ac:dyDescent="0.25">
      <c r="A11416" s="5" t="s">
        <v>48469</v>
      </c>
      <c r="B11416" s="6">
        <v>400</v>
      </c>
      <c r="C11416" s="6">
        <v>20.478950000000001</v>
      </c>
      <c r="D11416" s="6">
        <v>69</v>
      </c>
      <c r="E11416" s="6">
        <v>0</v>
      </c>
      <c r="F11416" s="6">
        <v>0</v>
      </c>
      <c r="G11416" s="6">
        <v>9</v>
      </c>
      <c r="H11416" s="6" t="s">
        <v>48470</v>
      </c>
      <c r="I11416" s="6">
        <v>528.1875</v>
      </c>
      <c r="J11416" s="2">
        <f t="shared" si="178"/>
        <v>43749.31660244213</v>
      </c>
    </row>
    <row r="11417" spans="1:10" x14ac:dyDescent="0.25">
      <c r="A11417" s="7" t="s">
        <v>48471</v>
      </c>
      <c r="B11417" s="8">
        <v>400</v>
      </c>
      <c r="C11417" s="8">
        <v>20.478950000000001</v>
      </c>
      <c r="D11417" s="8">
        <v>69</v>
      </c>
      <c r="E11417" s="8">
        <v>0</v>
      </c>
      <c r="F11417" s="8">
        <v>0</v>
      </c>
      <c r="G11417" s="8">
        <v>14</v>
      </c>
      <c r="H11417" s="8" t="s">
        <v>48472</v>
      </c>
      <c r="I11417" s="8">
        <v>528.1875</v>
      </c>
      <c r="J11417" s="3">
        <f t="shared" si="178"/>
        <v>43749.316674490743</v>
      </c>
    </row>
    <row r="11418" spans="1:10" x14ac:dyDescent="0.25">
      <c r="A11418" s="5" t="s">
        <v>48473</v>
      </c>
      <c r="B11418" s="6">
        <v>400</v>
      </c>
      <c r="C11418" s="6">
        <v>20.478950000000001</v>
      </c>
      <c r="D11418" s="6">
        <v>71</v>
      </c>
      <c r="E11418" s="6">
        <v>0</v>
      </c>
      <c r="F11418" s="6">
        <v>0</v>
      </c>
      <c r="G11418" s="6">
        <v>5</v>
      </c>
      <c r="H11418" s="6" t="s">
        <v>48474</v>
      </c>
      <c r="I11418" s="6">
        <v>528.375</v>
      </c>
      <c r="J11418" s="2">
        <f t="shared" si="178"/>
        <v>43749.316745914351</v>
      </c>
    </row>
    <row r="11419" spans="1:10" x14ac:dyDescent="0.25">
      <c r="A11419" s="7" t="s">
        <v>48475</v>
      </c>
      <c r="B11419" s="8">
        <v>400</v>
      </c>
      <c r="C11419" s="8">
        <v>20.478950000000001</v>
      </c>
      <c r="D11419" s="8">
        <v>71</v>
      </c>
      <c r="E11419" s="8">
        <v>0</v>
      </c>
      <c r="F11419" s="8">
        <v>0</v>
      </c>
      <c r="G11419" s="8">
        <v>6</v>
      </c>
      <c r="H11419" s="8" t="s">
        <v>48476</v>
      </c>
      <c r="I11419" s="8">
        <v>528.1875</v>
      </c>
      <c r="J11419" s="3">
        <f t="shared" si="178"/>
        <v>43749.316817268518</v>
      </c>
    </row>
    <row r="11420" spans="1:10" x14ac:dyDescent="0.25">
      <c r="A11420" s="5" t="s">
        <v>48477</v>
      </c>
      <c r="B11420" s="6">
        <v>400</v>
      </c>
      <c r="C11420" s="6">
        <v>20.426300000000001</v>
      </c>
      <c r="D11420" s="6">
        <v>71</v>
      </c>
      <c r="E11420" s="6">
        <v>0</v>
      </c>
      <c r="F11420" s="6">
        <v>0</v>
      </c>
      <c r="G11420" s="6">
        <v>11</v>
      </c>
      <c r="H11420" s="6" t="s">
        <v>48478</v>
      </c>
      <c r="I11420" s="6">
        <v>528.375</v>
      </c>
      <c r="J11420" s="2">
        <f t="shared" si="178"/>
        <v>43749.316888576388</v>
      </c>
    </row>
    <row r="11421" spans="1:10" x14ac:dyDescent="0.25">
      <c r="A11421" s="7" t="s">
        <v>48479</v>
      </c>
      <c r="B11421" s="8">
        <v>400</v>
      </c>
      <c r="C11421" s="8">
        <v>20.478950000000001</v>
      </c>
      <c r="D11421" s="8">
        <v>71</v>
      </c>
      <c r="E11421" s="8">
        <v>0</v>
      </c>
      <c r="F11421" s="8">
        <v>0</v>
      </c>
      <c r="G11421" s="8">
        <v>7</v>
      </c>
      <c r="H11421" s="8" t="s">
        <v>48480</v>
      </c>
      <c r="I11421" s="8">
        <v>528.1875</v>
      </c>
      <c r="J11421" s="3">
        <f t="shared" si="178"/>
        <v>43749.31696078703</v>
      </c>
    </row>
    <row r="11422" spans="1:10" x14ac:dyDescent="0.25">
      <c r="A11422" s="5" t="s">
        <v>48481</v>
      </c>
      <c r="B11422" s="6">
        <v>400</v>
      </c>
      <c r="C11422" s="6">
        <v>20.426300000000001</v>
      </c>
      <c r="D11422" s="6">
        <v>70</v>
      </c>
      <c r="E11422" s="6">
        <v>0</v>
      </c>
      <c r="F11422" s="6">
        <v>0</v>
      </c>
      <c r="G11422" s="6">
        <v>5</v>
      </c>
      <c r="H11422" s="6" t="s">
        <v>48482</v>
      </c>
      <c r="I11422" s="6">
        <v>528.1875</v>
      </c>
      <c r="J11422" s="2">
        <f t="shared" si="178"/>
        <v>43749.317032083331</v>
      </c>
    </row>
    <row r="11423" spans="1:10" x14ac:dyDescent="0.25">
      <c r="A11423" s="7" t="s">
        <v>48483</v>
      </c>
      <c r="B11423" s="8">
        <v>400</v>
      </c>
      <c r="C11423" s="8">
        <v>20.478950000000001</v>
      </c>
      <c r="D11423" s="8">
        <v>69</v>
      </c>
      <c r="E11423" s="8">
        <v>0</v>
      </c>
      <c r="F11423" s="8">
        <v>0</v>
      </c>
      <c r="G11423" s="8">
        <v>4</v>
      </c>
      <c r="H11423" s="8" t="s">
        <v>48484</v>
      </c>
      <c r="I11423" s="8">
        <v>528.1875</v>
      </c>
      <c r="J11423" s="3">
        <f t="shared" si="178"/>
        <v>43749.317103368048</v>
      </c>
    </row>
    <row r="11424" spans="1:10" x14ac:dyDescent="0.25">
      <c r="A11424" s="5" t="s">
        <v>48485</v>
      </c>
      <c r="B11424" s="6">
        <v>396.875</v>
      </c>
      <c r="C11424" s="6">
        <v>20.478950000000001</v>
      </c>
      <c r="D11424" s="6">
        <v>70</v>
      </c>
      <c r="E11424" s="6">
        <v>0</v>
      </c>
      <c r="F11424" s="6">
        <v>0</v>
      </c>
      <c r="G11424" s="6">
        <v>14</v>
      </c>
      <c r="H11424" s="6" t="s">
        <v>48486</v>
      </c>
      <c r="I11424" s="6">
        <v>527.4375</v>
      </c>
      <c r="J11424" s="2">
        <f t="shared" si="178"/>
        <v>43749.317174780088</v>
      </c>
    </row>
    <row r="11425" spans="1:10" x14ac:dyDescent="0.25">
      <c r="A11425" s="7" t="s">
        <v>48487</v>
      </c>
      <c r="B11425" s="8">
        <v>396.875</v>
      </c>
      <c r="C11425" s="8">
        <v>20.478950000000001</v>
      </c>
      <c r="D11425" s="8">
        <v>70</v>
      </c>
      <c r="E11425" s="8">
        <v>0</v>
      </c>
      <c r="F11425" s="8">
        <v>0</v>
      </c>
      <c r="G11425" s="8">
        <v>9</v>
      </c>
      <c r="H11425" s="8" t="s">
        <v>48488</v>
      </c>
      <c r="I11425" s="8">
        <v>527.4375</v>
      </c>
      <c r="J11425" s="3">
        <f t="shared" si="178"/>
        <v>43749.317246886574</v>
      </c>
    </row>
    <row r="11426" spans="1:10" x14ac:dyDescent="0.25">
      <c r="A11426" s="5" t="s">
        <v>48489</v>
      </c>
      <c r="B11426" s="6">
        <v>396.875</v>
      </c>
      <c r="C11426" s="6">
        <v>20.426300000000001</v>
      </c>
      <c r="D11426" s="6">
        <v>72</v>
      </c>
      <c r="E11426" s="6">
        <v>0</v>
      </c>
      <c r="F11426" s="6">
        <v>0</v>
      </c>
      <c r="G11426" s="6">
        <v>19</v>
      </c>
      <c r="H11426" s="6" t="s">
        <v>48490</v>
      </c>
      <c r="I11426" s="6">
        <v>527.4375</v>
      </c>
      <c r="J11426" s="2">
        <f t="shared" si="178"/>
        <v>43749.317318194437</v>
      </c>
    </row>
    <row r="11427" spans="1:10" x14ac:dyDescent="0.25">
      <c r="A11427" s="7" t="s">
        <v>48491</v>
      </c>
      <c r="B11427" s="8">
        <v>412.5</v>
      </c>
      <c r="C11427" s="8">
        <v>20.478950000000001</v>
      </c>
      <c r="D11427" s="8">
        <v>72</v>
      </c>
      <c r="E11427" s="8">
        <v>0</v>
      </c>
      <c r="F11427" s="8">
        <v>0</v>
      </c>
      <c r="G11427" s="8">
        <v>4</v>
      </c>
      <c r="H11427" s="8" t="s">
        <v>48492</v>
      </c>
      <c r="I11427" s="8">
        <v>532.3125</v>
      </c>
      <c r="J11427" s="3">
        <f t="shared" si="178"/>
        <v>43749.317389502314</v>
      </c>
    </row>
    <row r="11428" spans="1:10" x14ac:dyDescent="0.25">
      <c r="A11428" s="5" t="s">
        <v>48493</v>
      </c>
      <c r="B11428" s="6">
        <v>393.75</v>
      </c>
      <c r="C11428" s="6">
        <v>20.478950000000001</v>
      </c>
      <c r="D11428" s="6">
        <v>73</v>
      </c>
      <c r="E11428" s="6">
        <v>0</v>
      </c>
      <c r="F11428" s="6">
        <v>0</v>
      </c>
      <c r="G11428" s="6">
        <v>10</v>
      </c>
      <c r="H11428" s="6" t="s">
        <v>48494</v>
      </c>
      <c r="I11428" s="6">
        <v>526.5</v>
      </c>
      <c r="J11428" s="2">
        <f t="shared" si="178"/>
        <v>43749.317473541661</v>
      </c>
    </row>
    <row r="11429" spans="1:10" x14ac:dyDescent="0.25">
      <c r="A11429" s="7" t="s">
        <v>48495</v>
      </c>
      <c r="B11429" s="8">
        <v>393.75</v>
      </c>
      <c r="C11429" s="8">
        <v>20.478950000000001</v>
      </c>
      <c r="D11429" s="8">
        <v>74</v>
      </c>
      <c r="E11429" s="8">
        <v>0</v>
      </c>
      <c r="F11429" s="8">
        <v>0</v>
      </c>
      <c r="G11429" s="8">
        <v>10</v>
      </c>
      <c r="H11429" s="8" t="s">
        <v>48496</v>
      </c>
      <c r="I11429" s="8">
        <v>526.6875</v>
      </c>
      <c r="J11429" s="3">
        <f t="shared" si="178"/>
        <v>43749.317545046295</v>
      </c>
    </row>
    <row r="11430" spans="1:10" x14ac:dyDescent="0.25">
      <c r="A11430" s="5" t="s">
        <v>48497</v>
      </c>
      <c r="B11430" s="6">
        <v>393.75</v>
      </c>
      <c r="C11430" s="6">
        <v>20.426300000000001</v>
      </c>
      <c r="D11430" s="6">
        <v>70</v>
      </c>
      <c r="E11430" s="6">
        <v>0</v>
      </c>
      <c r="F11430" s="6">
        <v>0</v>
      </c>
      <c r="G11430" s="6">
        <v>3</v>
      </c>
      <c r="H11430" s="6" t="s">
        <v>48498</v>
      </c>
      <c r="I11430" s="6">
        <v>526.6875</v>
      </c>
      <c r="J11430" s="2">
        <f t="shared" si="178"/>
        <v>43749.317616006942</v>
      </c>
    </row>
    <row r="11431" spans="1:10" x14ac:dyDescent="0.25">
      <c r="A11431" s="7" t="s">
        <v>48499</v>
      </c>
      <c r="B11431" s="8">
        <v>396.875</v>
      </c>
      <c r="C11431" s="8">
        <v>20.478950000000001</v>
      </c>
      <c r="D11431" s="8">
        <v>72</v>
      </c>
      <c r="E11431" s="8">
        <v>0</v>
      </c>
      <c r="F11431" s="8">
        <v>0</v>
      </c>
      <c r="G11431" s="8">
        <v>6</v>
      </c>
      <c r="H11431" s="8" t="s">
        <v>48500</v>
      </c>
      <c r="I11431" s="8">
        <v>527.4375</v>
      </c>
      <c r="J11431" s="3">
        <f t="shared" si="178"/>
        <v>43749.317687650466</v>
      </c>
    </row>
    <row r="11432" spans="1:10" x14ac:dyDescent="0.25">
      <c r="A11432" s="5" t="s">
        <v>48501</v>
      </c>
      <c r="B11432" s="6">
        <v>396.875</v>
      </c>
      <c r="C11432" s="6">
        <v>20.478950000000001</v>
      </c>
      <c r="D11432" s="6">
        <v>73</v>
      </c>
      <c r="E11432" s="6">
        <v>0</v>
      </c>
      <c r="F11432" s="6">
        <v>0</v>
      </c>
      <c r="G11432" s="6">
        <v>7</v>
      </c>
      <c r="H11432" s="6" t="s">
        <v>48502</v>
      </c>
      <c r="I11432" s="6">
        <v>527.4375</v>
      </c>
      <c r="J11432" s="2">
        <f t="shared" si="178"/>
        <v>43749.317759803242</v>
      </c>
    </row>
    <row r="11433" spans="1:10" x14ac:dyDescent="0.25">
      <c r="A11433" s="7" t="s">
        <v>48503</v>
      </c>
      <c r="B11433" s="8">
        <v>396.875</v>
      </c>
      <c r="C11433" s="8">
        <v>20.478950000000001</v>
      </c>
      <c r="D11433" s="8">
        <v>74</v>
      </c>
      <c r="E11433" s="8">
        <v>0</v>
      </c>
      <c r="F11433" s="8">
        <v>0</v>
      </c>
      <c r="G11433" s="8">
        <v>7</v>
      </c>
      <c r="H11433" s="8" t="s">
        <v>48504</v>
      </c>
      <c r="I11433" s="8">
        <v>527.4375</v>
      </c>
      <c r="J11433" s="3">
        <f t="shared" si="178"/>
        <v>43749.31784452546</v>
      </c>
    </row>
    <row r="11434" spans="1:10" x14ac:dyDescent="0.25">
      <c r="A11434" s="5" t="s">
        <v>48505</v>
      </c>
      <c r="B11434" s="6">
        <v>415.625</v>
      </c>
      <c r="C11434" s="6">
        <v>20.478950000000001</v>
      </c>
      <c r="D11434" s="6">
        <v>73</v>
      </c>
      <c r="E11434" s="6">
        <v>0</v>
      </c>
      <c r="F11434" s="6">
        <v>0</v>
      </c>
      <c r="G11434" s="6">
        <v>14</v>
      </c>
      <c r="H11434" s="6" t="s">
        <v>48506</v>
      </c>
      <c r="I11434" s="6">
        <v>533.0625</v>
      </c>
      <c r="J11434" s="2">
        <f t="shared" si="178"/>
        <v>43749.317926886572</v>
      </c>
    </row>
    <row r="11435" spans="1:10" x14ac:dyDescent="0.25">
      <c r="A11435" s="7" t="s">
        <v>48507</v>
      </c>
      <c r="B11435" s="8">
        <v>396.875</v>
      </c>
      <c r="C11435" s="8">
        <v>20.478950000000001</v>
      </c>
      <c r="D11435" s="8">
        <v>73</v>
      </c>
      <c r="E11435" s="8">
        <v>0</v>
      </c>
      <c r="F11435" s="8">
        <v>0</v>
      </c>
      <c r="G11435" s="8">
        <v>13</v>
      </c>
      <c r="H11435" s="8" t="s">
        <v>48508</v>
      </c>
      <c r="I11435" s="8">
        <v>527.4375</v>
      </c>
      <c r="J11435" s="3">
        <f t="shared" si="178"/>
        <v>43749.318010069437</v>
      </c>
    </row>
    <row r="11436" spans="1:10" x14ac:dyDescent="0.25">
      <c r="A11436" s="5" t="s">
        <v>48509</v>
      </c>
      <c r="B11436" s="6">
        <v>396.875</v>
      </c>
      <c r="C11436" s="6">
        <v>20.478950000000001</v>
      </c>
      <c r="D11436" s="6">
        <v>74</v>
      </c>
      <c r="E11436" s="6">
        <v>0</v>
      </c>
      <c r="F11436" s="6">
        <v>0</v>
      </c>
      <c r="G11436" s="6">
        <v>2</v>
      </c>
      <c r="H11436" s="6" t="s">
        <v>48510</v>
      </c>
      <c r="I11436" s="6">
        <v>527.4375</v>
      </c>
      <c r="J11436" s="2">
        <f t="shared" si="178"/>
        <v>43749.318081388883</v>
      </c>
    </row>
    <row r="11437" spans="1:10" x14ac:dyDescent="0.25">
      <c r="A11437" s="7" t="s">
        <v>48511</v>
      </c>
      <c r="B11437" s="8">
        <v>396.875</v>
      </c>
      <c r="C11437" s="8">
        <v>20.478950000000001</v>
      </c>
      <c r="D11437" s="8">
        <v>73</v>
      </c>
      <c r="E11437" s="8">
        <v>0</v>
      </c>
      <c r="F11437" s="8">
        <v>0</v>
      </c>
      <c r="G11437" s="8">
        <v>10</v>
      </c>
      <c r="H11437" s="8" t="s">
        <v>48512</v>
      </c>
      <c r="I11437" s="8">
        <v>527.4375</v>
      </c>
      <c r="J11437" s="3">
        <f t="shared" si="178"/>
        <v>43749.318152939813</v>
      </c>
    </row>
    <row r="11438" spans="1:10" x14ac:dyDescent="0.25">
      <c r="A11438" s="5" t="s">
        <v>48513</v>
      </c>
      <c r="B11438" s="6">
        <v>396.875</v>
      </c>
      <c r="C11438" s="6">
        <v>20.478950000000001</v>
      </c>
      <c r="D11438" s="6">
        <v>76</v>
      </c>
      <c r="E11438" s="6">
        <v>0</v>
      </c>
      <c r="F11438" s="6">
        <v>0</v>
      </c>
      <c r="G11438" s="6">
        <v>10</v>
      </c>
      <c r="H11438" s="6" t="s">
        <v>48514</v>
      </c>
      <c r="I11438" s="6">
        <v>527.4375</v>
      </c>
      <c r="J11438" s="2">
        <f t="shared" si="178"/>
        <v>43749.318224861105</v>
      </c>
    </row>
    <row r="11439" spans="1:10" x14ac:dyDescent="0.25">
      <c r="A11439" s="7" t="s">
        <v>48515</v>
      </c>
      <c r="B11439" s="8">
        <v>393.75</v>
      </c>
      <c r="C11439" s="8">
        <v>20.478950000000001</v>
      </c>
      <c r="D11439" s="8">
        <v>76</v>
      </c>
      <c r="E11439" s="8">
        <v>0</v>
      </c>
      <c r="F11439" s="8">
        <v>0</v>
      </c>
      <c r="G11439" s="8">
        <v>13</v>
      </c>
      <c r="H11439" s="8" t="s">
        <v>48516</v>
      </c>
      <c r="I11439" s="8">
        <v>526.6875</v>
      </c>
      <c r="J11439" s="3">
        <f t="shared" si="178"/>
        <v>43749.318296203703</v>
      </c>
    </row>
    <row r="11440" spans="1:10" x14ac:dyDescent="0.25">
      <c r="A11440" s="5" t="s">
        <v>48517</v>
      </c>
      <c r="B11440" s="6">
        <v>396.875</v>
      </c>
      <c r="C11440" s="6">
        <v>20.478950000000001</v>
      </c>
      <c r="D11440" s="6">
        <v>75</v>
      </c>
      <c r="E11440" s="6">
        <v>0</v>
      </c>
      <c r="F11440" s="6">
        <v>0</v>
      </c>
      <c r="G11440" s="6">
        <v>16</v>
      </c>
      <c r="H11440" s="6" t="s">
        <v>48518</v>
      </c>
      <c r="I11440" s="6">
        <v>527.4375</v>
      </c>
      <c r="J11440" s="2">
        <f t="shared" si="178"/>
        <v>43749.318367453699</v>
      </c>
    </row>
    <row r="11441" spans="1:10" x14ac:dyDescent="0.25">
      <c r="A11441" s="7" t="s">
        <v>48519</v>
      </c>
      <c r="B11441" s="8">
        <v>415.625</v>
      </c>
      <c r="C11441" s="8">
        <v>20.478950000000001</v>
      </c>
      <c r="D11441" s="8">
        <v>74</v>
      </c>
      <c r="E11441" s="8">
        <v>0</v>
      </c>
      <c r="F11441" s="8">
        <v>0</v>
      </c>
      <c r="G11441" s="8">
        <v>14</v>
      </c>
      <c r="H11441" s="8" t="s">
        <v>48520</v>
      </c>
      <c r="I11441" s="8">
        <v>533.0625</v>
      </c>
      <c r="J11441" s="3">
        <f t="shared" si="178"/>
        <v>43749.318438865739</v>
      </c>
    </row>
    <row r="11442" spans="1:10" x14ac:dyDescent="0.25">
      <c r="A11442" s="5" t="s">
        <v>48521</v>
      </c>
      <c r="B11442" s="6">
        <v>396.875</v>
      </c>
      <c r="C11442" s="6">
        <v>20.426300000000001</v>
      </c>
      <c r="D11442" s="6">
        <v>74</v>
      </c>
      <c r="E11442" s="6">
        <v>0</v>
      </c>
      <c r="F11442" s="6">
        <v>0</v>
      </c>
      <c r="G11442" s="6">
        <v>15</v>
      </c>
      <c r="H11442" s="6" t="s">
        <v>48522</v>
      </c>
      <c r="I11442" s="6">
        <v>527.4375</v>
      </c>
      <c r="J11442" s="2">
        <f t="shared" si="178"/>
        <v>43749.318511030091</v>
      </c>
    </row>
    <row r="11443" spans="1:10" x14ac:dyDescent="0.25">
      <c r="A11443" s="7" t="s">
        <v>48523</v>
      </c>
      <c r="B11443" s="8">
        <v>396.875</v>
      </c>
      <c r="C11443" s="8">
        <v>20.478950000000001</v>
      </c>
      <c r="D11443" s="8">
        <v>74</v>
      </c>
      <c r="E11443" s="8">
        <v>0</v>
      </c>
      <c r="F11443" s="8">
        <v>0</v>
      </c>
      <c r="G11443" s="8">
        <v>5</v>
      </c>
      <c r="H11443" s="8" t="s">
        <v>48524</v>
      </c>
      <c r="I11443" s="8">
        <v>527.4375</v>
      </c>
      <c r="J11443" s="3">
        <f t="shared" si="178"/>
        <v>43749.318582291664</v>
      </c>
    </row>
    <row r="11444" spans="1:10" x14ac:dyDescent="0.25">
      <c r="A11444" s="5" t="s">
        <v>48525</v>
      </c>
      <c r="B11444" s="6">
        <v>393.75</v>
      </c>
      <c r="C11444" s="6">
        <v>20.478950000000001</v>
      </c>
      <c r="D11444" s="6">
        <v>73</v>
      </c>
      <c r="E11444" s="6">
        <v>0</v>
      </c>
      <c r="F11444" s="6">
        <v>0</v>
      </c>
      <c r="G11444" s="6">
        <v>9</v>
      </c>
      <c r="H11444" s="6" t="s">
        <v>48526</v>
      </c>
      <c r="I11444" s="6">
        <v>526.5</v>
      </c>
      <c r="J11444" s="2">
        <f t="shared" si="178"/>
        <v>43749.318653564813</v>
      </c>
    </row>
    <row r="11445" spans="1:10" x14ac:dyDescent="0.25">
      <c r="A11445" s="7" t="s">
        <v>48527</v>
      </c>
      <c r="B11445" s="8">
        <v>396.875</v>
      </c>
      <c r="C11445" s="8">
        <v>20.478950000000001</v>
      </c>
      <c r="D11445" s="8">
        <v>73</v>
      </c>
      <c r="E11445" s="8">
        <v>0</v>
      </c>
      <c r="F11445" s="8">
        <v>0</v>
      </c>
      <c r="G11445" s="8">
        <v>10</v>
      </c>
      <c r="H11445" s="8" t="s">
        <v>48528</v>
      </c>
      <c r="I11445" s="8">
        <v>527.625</v>
      </c>
      <c r="J11445" s="3">
        <f t="shared" si="178"/>
        <v>43749.318725034718</v>
      </c>
    </row>
    <row r="11446" spans="1:10" x14ac:dyDescent="0.25">
      <c r="A11446" s="5" t="s">
        <v>48529</v>
      </c>
      <c r="B11446" s="6">
        <v>396.875</v>
      </c>
      <c r="C11446" s="6">
        <v>20.478950000000001</v>
      </c>
      <c r="D11446" s="6">
        <v>73</v>
      </c>
      <c r="E11446" s="6">
        <v>0</v>
      </c>
      <c r="F11446" s="6">
        <v>0</v>
      </c>
      <c r="G11446" s="6">
        <v>6</v>
      </c>
      <c r="H11446" s="6" t="s">
        <v>48530</v>
      </c>
      <c r="I11446" s="6">
        <v>527.4375</v>
      </c>
      <c r="J11446" s="2">
        <f t="shared" si="178"/>
        <v>43749.318797083331</v>
      </c>
    </row>
    <row r="11447" spans="1:10" x14ac:dyDescent="0.25">
      <c r="A11447" s="7" t="s">
        <v>48531</v>
      </c>
      <c r="B11447" s="8">
        <v>393.75</v>
      </c>
      <c r="C11447" s="8">
        <v>20.426300000000001</v>
      </c>
      <c r="D11447" s="8">
        <v>74</v>
      </c>
      <c r="E11447" s="8">
        <v>0</v>
      </c>
      <c r="F11447" s="8">
        <v>0</v>
      </c>
      <c r="G11447" s="8">
        <v>9</v>
      </c>
      <c r="H11447" s="8" t="s">
        <v>48532</v>
      </c>
      <c r="I11447" s="8">
        <v>526.6875</v>
      </c>
      <c r="J11447" s="3">
        <f t="shared" si="178"/>
        <v>43749.318868425922</v>
      </c>
    </row>
    <row r="11448" spans="1:10" x14ac:dyDescent="0.25">
      <c r="A11448" s="5" t="s">
        <v>48533</v>
      </c>
      <c r="B11448" s="6">
        <v>393.75</v>
      </c>
      <c r="C11448" s="6">
        <v>20.478950000000001</v>
      </c>
      <c r="D11448" s="6">
        <v>73</v>
      </c>
      <c r="E11448" s="6">
        <v>0</v>
      </c>
      <c r="F11448" s="6">
        <v>0</v>
      </c>
      <c r="G11448" s="6">
        <v>10</v>
      </c>
      <c r="H11448" s="6" t="s">
        <v>48534</v>
      </c>
      <c r="I11448" s="6">
        <v>526.6875</v>
      </c>
      <c r="J11448" s="2">
        <f t="shared" si="178"/>
        <v>43749.318939733792</v>
      </c>
    </row>
    <row r="11449" spans="1:10" x14ac:dyDescent="0.25">
      <c r="A11449" s="7" t="s">
        <v>48535</v>
      </c>
      <c r="B11449" s="8">
        <v>393.75</v>
      </c>
      <c r="C11449" s="8">
        <v>20.478950000000001</v>
      </c>
      <c r="D11449" s="8">
        <v>73</v>
      </c>
      <c r="E11449" s="8">
        <v>0</v>
      </c>
      <c r="F11449" s="8">
        <v>0</v>
      </c>
      <c r="G11449" s="8">
        <v>10</v>
      </c>
      <c r="H11449" s="8" t="s">
        <v>48536</v>
      </c>
      <c r="I11449" s="8">
        <v>526.6875</v>
      </c>
      <c r="J11449" s="3">
        <f t="shared" si="178"/>
        <v>43749.319012002314</v>
      </c>
    </row>
    <row r="11450" spans="1:10" x14ac:dyDescent="0.25">
      <c r="A11450" s="5" t="s">
        <v>48537</v>
      </c>
      <c r="B11450" s="6">
        <v>393.75</v>
      </c>
      <c r="C11450" s="6">
        <v>20.426300000000001</v>
      </c>
      <c r="D11450" s="6">
        <v>74</v>
      </c>
      <c r="E11450" s="6">
        <v>0</v>
      </c>
      <c r="F11450" s="6">
        <v>0</v>
      </c>
      <c r="G11450" s="6">
        <v>9</v>
      </c>
      <c r="H11450" s="6" t="s">
        <v>48538</v>
      </c>
      <c r="I11450" s="6">
        <v>526.6875</v>
      </c>
      <c r="J11450" s="2">
        <f t="shared" si="178"/>
        <v>43749.319095289349</v>
      </c>
    </row>
    <row r="11451" spans="1:10" x14ac:dyDescent="0.25">
      <c r="A11451" s="7" t="s">
        <v>48539</v>
      </c>
      <c r="B11451" s="8">
        <v>393.75</v>
      </c>
      <c r="C11451" s="8">
        <v>20.478950000000001</v>
      </c>
      <c r="D11451" s="8">
        <v>74</v>
      </c>
      <c r="E11451" s="8">
        <v>0</v>
      </c>
      <c r="F11451" s="8">
        <v>0</v>
      </c>
      <c r="G11451" s="8">
        <v>8</v>
      </c>
      <c r="H11451" s="8" t="s">
        <v>48540</v>
      </c>
      <c r="I11451" s="8">
        <v>526.5</v>
      </c>
      <c r="J11451" s="3">
        <f t="shared" si="178"/>
        <v>43749.31916658565</v>
      </c>
    </row>
    <row r="11452" spans="1:10" x14ac:dyDescent="0.25">
      <c r="A11452" s="5" t="s">
        <v>48541</v>
      </c>
      <c r="B11452" s="6">
        <v>393.75</v>
      </c>
      <c r="C11452" s="6">
        <v>20.478950000000001</v>
      </c>
      <c r="D11452" s="6">
        <v>74</v>
      </c>
      <c r="E11452" s="6">
        <v>0</v>
      </c>
      <c r="F11452" s="6">
        <v>0</v>
      </c>
      <c r="G11452" s="6">
        <v>7</v>
      </c>
      <c r="H11452" s="6" t="s">
        <v>48542</v>
      </c>
      <c r="I11452" s="6">
        <v>526.6875</v>
      </c>
      <c r="J11452" s="2">
        <f t="shared" si="178"/>
        <v>43749.319237870368</v>
      </c>
    </row>
    <row r="11453" spans="1:10" x14ac:dyDescent="0.25">
      <c r="A11453" s="7" t="s">
        <v>48543</v>
      </c>
      <c r="B11453" s="8">
        <v>412.5</v>
      </c>
      <c r="C11453" s="8">
        <v>20.426300000000001</v>
      </c>
      <c r="D11453" s="8">
        <v>74</v>
      </c>
      <c r="E11453" s="8">
        <v>0</v>
      </c>
      <c r="F11453" s="8">
        <v>0</v>
      </c>
      <c r="G11453" s="8">
        <v>2</v>
      </c>
      <c r="H11453" s="8" t="s">
        <v>48544</v>
      </c>
      <c r="I11453" s="8">
        <v>532.3125</v>
      </c>
      <c r="J11453" s="3">
        <f t="shared" si="178"/>
        <v>43749.319309212959</v>
      </c>
    </row>
    <row r="11454" spans="1:10" x14ac:dyDescent="0.25">
      <c r="A11454" s="5" t="s">
        <v>48545</v>
      </c>
      <c r="B11454" s="6">
        <v>393.75</v>
      </c>
      <c r="C11454" s="6">
        <v>20.426300000000001</v>
      </c>
      <c r="D11454" s="6">
        <v>75</v>
      </c>
      <c r="E11454" s="6">
        <v>0</v>
      </c>
      <c r="F11454" s="6">
        <v>0</v>
      </c>
      <c r="G11454" s="6">
        <v>11</v>
      </c>
      <c r="H11454" s="6" t="s">
        <v>48546</v>
      </c>
      <c r="I11454" s="6">
        <v>526.6875</v>
      </c>
      <c r="J11454" s="2">
        <f t="shared" si="178"/>
        <v>43749.319381504632</v>
      </c>
    </row>
    <row r="11455" spans="1:10" x14ac:dyDescent="0.25">
      <c r="A11455" s="7" t="s">
        <v>48547</v>
      </c>
      <c r="B11455" s="8">
        <v>393.75</v>
      </c>
      <c r="C11455" s="8">
        <v>20.426300000000001</v>
      </c>
      <c r="D11455" s="8">
        <v>73</v>
      </c>
      <c r="E11455" s="8">
        <v>0</v>
      </c>
      <c r="F11455" s="8">
        <v>0</v>
      </c>
      <c r="G11455" s="8">
        <v>12</v>
      </c>
      <c r="H11455" s="8" t="s">
        <v>48548</v>
      </c>
      <c r="I11455" s="8">
        <v>526.6875</v>
      </c>
      <c r="J11455" s="3">
        <f t="shared" si="178"/>
        <v>43749.319452696756</v>
      </c>
    </row>
    <row r="11456" spans="1:10" x14ac:dyDescent="0.25">
      <c r="A11456" s="5" t="s">
        <v>48549</v>
      </c>
      <c r="B11456" s="6">
        <v>393.75</v>
      </c>
      <c r="C11456" s="6">
        <v>20.478950000000001</v>
      </c>
      <c r="D11456" s="6">
        <v>71</v>
      </c>
      <c r="E11456" s="6">
        <v>0</v>
      </c>
      <c r="F11456" s="6">
        <v>0</v>
      </c>
      <c r="G11456" s="6">
        <v>0</v>
      </c>
      <c r="H11456" s="6" t="s">
        <v>48550</v>
      </c>
      <c r="I11456" s="6">
        <v>526.6875</v>
      </c>
      <c r="J11456" s="2">
        <f t="shared" si="178"/>
        <v>43749.31952474537</v>
      </c>
    </row>
    <row r="11457" spans="1:10" x14ac:dyDescent="0.25">
      <c r="A11457" s="7" t="s">
        <v>48551</v>
      </c>
      <c r="B11457" s="8">
        <v>393.75</v>
      </c>
      <c r="C11457" s="8">
        <v>20.478950000000001</v>
      </c>
      <c r="D11457" s="8">
        <v>71</v>
      </c>
      <c r="E11457" s="8">
        <v>0</v>
      </c>
      <c r="F11457" s="8">
        <v>0</v>
      </c>
      <c r="G11457" s="8">
        <v>9</v>
      </c>
      <c r="H11457" s="8" t="s">
        <v>48552</v>
      </c>
      <c r="I11457" s="8">
        <v>526.6875</v>
      </c>
      <c r="J11457" s="3">
        <f t="shared" si="178"/>
        <v>43749.319596157402</v>
      </c>
    </row>
    <row r="11458" spans="1:10" x14ac:dyDescent="0.25">
      <c r="A11458" s="5" t="s">
        <v>48553</v>
      </c>
      <c r="B11458" s="6">
        <v>393.75</v>
      </c>
      <c r="C11458" s="6">
        <v>20.478950000000001</v>
      </c>
      <c r="D11458" s="6">
        <v>74</v>
      </c>
      <c r="E11458" s="6">
        <v>0</v>
      </c>
      <c r="F11458" s="6">
        <v>0</v>
      </c>
      <c r="G11458" s="6">
        <v>6</v>
      </c>
      <c r="H11458" s="6" t="s">
        <v>48554</v>
      </c>
      <c r="I11458" s="6">
        <v>526.6875</v>
      </c>
      <c r="J11458" s="2">
        <f t="shared" ref="J11458:J11521" si="179">(H11458/86400000)+25569+(7/24)</f>
        <v>43749.319667511569</v>
      </c>
    </row>
    <row r="11459" spans="1:10" x14ac:dyDescent="0.25">
      <c r="A11459" s="7" t="s">
        <v>48555</v>
      </c>
      <c r="B11459" s="8">
        <v>393.75</v>
      </c>
      <c r="C11459" s="8">
        <v>20.478950000000001</v>
      </c>
      <c r="D11459" s="8">
        <v>74</v>
      </c>
      <c r="E11459" s="8">
        <v>0</v>
      </c>
      <c r="F11459" s="8">
        <v>0</v>
      </c>
      <c r="G11459" s="8">
        <v>4</v>
      </c>
      <c r="H11459" s="8" t="s">
        <v>48556</v>
      </c>
      <c r="I11459" s="8">
        <v>526.6875</v>
      </c>
      <c r="J11459" s="3">
        <f t="shared" si="179"/>
        <v>43749.319738726852</v>
      </c>
    </row>
    <row r="11460" spans="1:10" x14ac:dyDescent="0.25">
      <c r="A11460" s="5" t="s">
        <v>48557</v>
      </c>
      <c r="B11460" s="6">
        <v>393.75</v>
      </c>
      <c r="C11460" s="6">
        <v>20.478950000000001</v>
      </c>
      <c r="D11460" s="6">
        <v>74</v>
      </c>
      <c r="E11460" s="6">
        <v>0</v>
      </c>
      <c r="F11460" s="6">
        <v>0</v>
      </c>
      <c r="G11460" s="6">
        <v>17</v>
      </c>
      <c r="H11460" s="6" t="s">
        <v>48558</v>
      </c>
      <c r="I11460" s="6">
        <v>526.6875</v>
      </c>
      <c r="J11460" s="2">
        <f t="shared" si="179"/>
        <v>43749.319811018511</v>
      </c>
    </row>
    <row r="11461" spans="1:10" x14ac:dyDescent="0.25">
      <c r="A11461" s="7" t="s">
        <v>48559</v>
      </c>
      <c r="B11461" s="8">
        <v>393.75</v>
      </c>
      <c r="C11461" s="8">
        <v>20.478950000000001</v>
      </c>
      <c r="D11461" s="8">
        <v>74</v>
      </c>
      <c r="E11461" s="8">
        <v>0</v>
      </c>
      <c r="F11461" s="8">
        <v>0</v>
      </c>
      <c r="G11461" s="8">
        <v>8</v>
      </c>
      <c r="H11461" s="8" t="s">
        <v>48560</v>
      </c>
      <c r="I11461" s="8">
        <v>526.6875</v>
      </c>
      <c r="J11461" s="3">
        <f t="shared" si="179"/>
        <v>43749.3198815625</v>
      </c>
    </row>
    <row r="11462" spans="1:10" x14ac:dyDescent="0.25">
      <c r="A11462" s="5" t="s">
        <v>48561</v>
      </c>
      <c r="B11462" s="6">
        <v>393.75</v>
      </c>
      <c r="C11462" s="6">
        <v>20.426300000000001</v>
      </c>
      <c r="D11462" s="6">
        <v>73</v>
      </c>
      <c r="E11462" s="6">
        <v>0</v>
      </c>
      <c r="F11462" s="6">
        <v>0</v>
      </c>
      <c r="G11462" s="6">
        <v>8</v>
      </c>
      <c r="H11462" s="6" t="s">
        <v>48562</v>
      </c>
      <c r="I11462" s="6">
        <v>526.6875</v>
      </c>
      <c r="J11462" s="2">
        <f t="shared" si="179"/>
        <v>43749.319953715276</v>
      </c>
    </row>
    <row r="11463" spans="1:10" x14ac:dyDescent="0.25">
      <c r="A11463" s="7" t="s">
        <v>48563</v>
      </c>
      <c r="B11463" s="8">
        <v>393.75</v>
      </c>
      <c r="C11463" s="8">
        <v>20.478950000000001</v>
      </c>
      <c r="D11463" s="8">
        <v>73</v>
      </c>
      <c r="E11463" s="8">
        <v>0</v>
      </c>
      <c r="F11463" s="8">
        <v>0</v>
      </c>
      <c r="G11463" s="8">
        <v>9</v>
      </c>
      <c r="H11463" s="8" t="s">
        <v>48564</v>
      </c>
      <c r="I11463" s="8">
        <v>526.6875</v>
      </c>
      <c r="J11463" s="3">
        <f t="shared" si="179"/>
        <v>43749.320025034722</v>
      </c>
    </row>
    <row r="11464" spans="1:10" x14ac:dyDescent="0.25">
      <c r="A11464" s="5" t="s">
        <v>48565</v>
      </c>
      <c r="B11464" s="6">
        <v>393.75</v>
      </c>
      <c r="C11464" s="6">
        <v>20.478950000000001</v>
      </c>
      <c r="D11464" s="6">
        <v>75</v>
      </c>
      <c r="E11464" s="6">
        <v>0</v>
      </c>
      <c r="F11464" s="6">
        <v>0</v>
      </c>
      <c r="G11464" s="6">
        <v>8</v>
      </c>
      <c r="H11464" s="6" t="s">
        <v>48566</v>
      </c>
      <c r="I11464" s="6">
        <v>526.6875</v>
      </c>
      <c r="J11464" s="2">
        <f t="shared" si="179"/>
        <v>43749.320097361109</v>
      </c>
    </row>
    <row r="11465" spans="1:10" x14ac:dyDescent="0.25">
      <c r="A11465" s="7" t="s">
        <v>48567</v>
      </c>
      <c r="B11465" s="8">
        <v>393.75</v>
      </c>
      <c r="C11465" s="8">
        <v>20.478950000000001</v>
      </c>
      <c r="D11465" s="8">
        <v>74</v>
      </c>
      <c r="E11465" s="8">
        <v>0</v>
      </c>
      <c r="F11465" s="8">
        <v>0</v>
      </c>
      <c r="G11465" s="8">
        <v>16</v>
      </c>
      <c r="H11465" s="8" t="s">
        <v>48568</v>
      </c>
      <c r="I11465" s="8">
        <v>526.6875</v>
      </c>
      <c r="J11465" s="3">
        <f t="shared" si="179"/>
        <v>43749.320168495367</v>
      </c>
    </row>
    <row r="11466" spans="1:10" x14ac:dyDescent="0.25">
      <c r="A11466" s="5" t="s">
        <v>48569</v>
      </c>
      <c r="B11466" s="6">
        <v>412.5</v>
      </c>
      <c r="C11466" s="6">
        <v>20.478950000000001</v>
      </c>
      <c r="D11466" s="6">
        <v>71</v>
      </c>
      <c r="E11466" s="6">
        <v>0</v>
      </c>
      <c r="F11466" s="6">
        <v>0</v>
      </c>
      <c r="G11466" s="6">
        <v>9</v>
      </c>
      <c r="H11466" s="6" t="s">
        <v>48570</v>
      </c>
      <c r="I11466" s="6">
        <v>532.5</v>
      </c>
      <c r="J11466" s="2">
        <f t="shared" si="179"/>
        <v>43749.320239791668</v>
      </c>
    </row>
    <row r="11467" spans="1:10" x14ac:dyDescent="0.25">
      <c r="A11467" s="7" t="s">
        <v>48571</v>
      </c>
      <c r="B11467" s="8">
        <v>393.75</v>
      </c>
      <c r="C11467" s="8">
        <v>20.478950000000001</v>
      </c>
      <c r="D11467" s="8">
        <v>71</v>
      </c>
      <c r="E11467" s="8">
        <v>0</v>
      </c>
      <c r="F11467" s="8">
        <v>0</v>
      </c>
      <c r="G11467" s="8">
        <v>6</v>
      </c>
      <c r="H11467" s="8" t="s">
        <v>48572</v>
      </c>
      <c r="I11467" s="8">
        <v>526.6875</v>
      </c>
      <c r="J11467" s="3">
        <f t="shared" si="179"/>
        <v>43749.320323182867</v>
      </c>
    </row>
    <row r="11468" spans="1:10" x14ac:dyDescent="0.25">
      <c r="A11468" s="5" t="s">
        <v>48573</v>
      </c>
      <c r="B11468" s="6">
        <v>393.75</v>
      </c>
      <c r="C11468" s="6">
        <v>20.478950000000001</v>
      </c>
      <c r="D11468" s="6">
        <v>70</v>
      </c>
      <c r="E11468" s="6">
        <v>0</v>
      </c>
      <c r="F11468" s="6">
        <v>0</v>
      </c>
      <c r="G11468" s="6">
        <v>10</v>
      </c>
      <c r="H11468" s="6" t="s">
        <v>48574</v>
      </c>
      <c r="I11468" s="6">
        <v>526.6875</v>
      </c>
      <c r="J11468" s="2">
        <f t="shared" si="179"/>
        <v>43749.320395370371</v>
      </c>
    </row>
    <row r="11469" spans="1:10" x14ac:dyDescent="0.25">
      <c r="A11469" s="7" t="s">
        <v>48575</v>
      </c>
      <c r="B11469" s="8">
        <v>393.75</v>
      </c>
      <c r="C11469" s="8">
        <v>20.478950000000001</v>
      </c>
      <c r="D11469" s="8">
        <v>69</v>
      </c>
      <c r="E11469" s="8">
        <v>0</v>
      </c>
      <c r="F11469" s="8">
        <v>0</v>
      </c>
      <c r="G11469" s="8">
        <v>0</v>
      </c>
      <c r="H11469" s="8" t="s">
        <v>48576</v>
      </c>
      <c r="I11469" s="8">
        <v>526.6875</v>
      </c>
      <c r="J11469" s="3">
        <f t="shared" si="179"/>
        <v>43749.320466643512</v>
      </c>
    </row>
    <row r="11470" spans="1:10" x14ac:dyDescent="0.25">
      <c r="A11470" s="5" t="s">
        <v>48577</v>
      </c>
      <c r="B11470" s="6">
        <v>393.75</v>
      </c>
      <c r="C11470" s="6">
        <v>20.478950000000001</v>
      </c>
      <c r="D11470" s="6">
        <v>69</v>
      </c>
      <c r="E11470" s="6">
        <v>0</v>
      </c>
      <c r="F11470" s="6">
        <v>0</v>
      </c>
      <c r="G11470" s="6">
        <v>1</v>
      </c>
      <c r="H11470" s="6" t="s">
        <v>48578</v>
      </c>
      <c r="I11470" s="6">
        <v>526.6875</v>
      </c>
      <c r="J11470" s="2">
        <f t="shared" si="179"/>
        <v>43749.320538055552</v>
      </c>
    </row>
    <row r="11471" spans="1:10" x14ac:dyDescent="0.25">
      <c r="A11471" s="7" t="s">
        <v>48579</v>
      </c>
      <c r="B11471" s="8">
        <v>393.75</v>
      </c>
      <c r="C11471" s="8">
        <v>20.478950000000001</v>
      </c>
      <c r="D11471" s="8">
        <v>69</v>
      </c>
      <c r="E11471" s="8">
        <v>0</v>
      </c>
      <c r="F11471" s="8">
        <v>0</v>
      </c>
      <c r="G11471" s="8">
        <v>0</v>
      </c>
      <c r="H11471" s="8" t="s">
        <v>48580</v>
      </c>
      <c r="I11471" s="8">
        <v>526.6875</v>
      </c>
      <c r="J11471" s="3">
        <f t="shared" si="179"/>
        <v>43749.320621354163</v>
      </c>
    </row>
    <row r="11472" spans="1:10" x14ac:dyDescent="0.25">
      <c r="A11472" s="5" t="s">
        <v>48581</v>
      </c>
      <c r="B11472" s="6">
        <v>396.875</v>
      </c>
      <c r="C11472" s="6">
        <v>20.478950000000001</v>
      </c>
      <c r="D11472" s="6">
        <v>69</v>
      </c>
      <c r="E11472" s="6">
        <v>0</v>
      </c>
      <c r="F11472" s="6">
        <v>0</v>
      </c>
      <c r="G11472" s="6">
        <v>0</v>
      </c>
      <c r="H11472" s="6" t="s">
        <v>48582</v>
      </c>
      <c r="I11472" s="6">
        <v>527.4375</v>
      </c>
      <c r="J11472" s="2">
        <f t="shared" si="179"/>
        <v>43749.320692650457</v>
      </c>
    </row>
    <row r="11473" spans="1:10" x14ac:dyDescent="0.25">
      <c r="A11473" s="7" t="s">
        <v>48583</v>
      </c>
      <c r="B11473" s="8">
        <v>415.625</v>
      </c>
      <c r="C11473" s="8">
        <v>20.478950000000001</v>
      </c>
      <c r="D11473" s="8">
        <v>68</v>
      </c>
      <c r="E11473" s="8">
        <v>0</v>
      </c>
      <c r="F11473" s="8">
        <v>0</v>
      </c>
      <c r="G11473" s="8">
        <v>8</v>
      </c>
      <c r="H11473" s="8" t="s">
        <v>48584</v>
      </c>
      <c r="I11473" s="8">
        <v>533.25</v>
      </c>
      <c r="J11473" s="3">
        <f t="shared" si="179"/>
        <v>43749.32076490741</v>
      </c>
    </row>
    <row r="11474" spans="1:10" x14ac:dyDescent="0.25">
      <c r="A11474" s="5" t="s">
        <v>48585</v>
      </c>
      <c r="B11474" s="6">
        <v>400</v>
      </c>
      <c r="C11474" s="6">
        <v>20.478950000000001</v>
      </c>
      <c r="D11474" s="6">
        <v>68</v>
      </c>
      <c r="E11474" s="6">
        <v>0</v>
      </c>
      <c r="F11474" s="6">
        <v>0</v>
      </c>
      <c r="G11474" s="6">
        <v>13</v>
      </c>
      <c r="H11474" s="6" t="s">
        <v>48586</v>
      </c>
      <c r="I11474" s="6">
        <v>528.1875</v>
      </c>
      <c r="J11474" s="2">
        <f t="shared" si="179"/>
        <v>43749.32083611111</v>
      </c>
    </row>
    <row r="11475" spans="1:10" x14ac:dyDescent="0.25">
      <c r="A11475" s="7" t="s">
        <v>48587</v>
      </c>
      <c r="B11475" s="8">
        <v>400</v>
      </c>
      <c r="C11475" s="8">
        <v>20.478950000000001</v>
      </c>
      <c r="D11475" s="8">
        <v>70</v>
      </c>
      <c r="E11475" s="8">
        <v>0</v>
      </c>
      <c r="F11475" s="8">
        <v>0</v>
      </c>
      <c r="G11475" s="8">
        <v>4</v>
      </c>
      <c r="H11475" s="8" t="s">
        <v>48588</v>
      </c>
      <c r="I11475" s="8">
        <v>528.1875</v>
      </c>
      <c r="J11475" s="3">
        <f t="shared" si="179"/>
        <v>43749.32090785879</v>
      </c>
    </row>
    <row r="11476" spans="1:10" x14ac:dyDescent="0.25">
      <c r="A11476" s="5" t="s">
        <v>48589</v>
      </c>
      <c r="B11476" s="6">
        <v>400</v>
      </c>
      <c r="C11476" s="6">
        <v>20.478950000000001</v>
      </c>
      <c r="D11476" s="6">
        <v>72</v>
      </c>
      <c r="E11476" s="6">
        <v>0</v>
      </c>
      <c r="F11476" s="6">
        <v>0</v>
      </c>
      <c r="G11476" s="6">
        <v>13</v>
      </c>
      <c r="H11476" s="6" t="s">
        <v>48590</v>
      </c>
      <c r="I11476" s="6">
        <v>528.375</v>
      </c>
      <c r="J11476" s="2">
        <f t="shared" si="179"/>
        <v>43749.320979270829</v>
      </c>
    </row>
    <row r="11477" spans="1:10" x14ac:dyDescent="0.25">
      <c r="A11477" s="7" t="s">
        <v>48591</v>
      </c>
      <c r="B11477" s="8">
        <v>396.875</v>
      </c>
      <c r="C11477" s="8">
        <v>20.478950000000001</v>
      </c>
      <c r="D11477" s="8">
        <v>72</v>
      </c>
      <c r="E11477" s="8">
        <v>0</v>
      </c>
      <c r="F11477" s="8">
        <v>0</v>
      </c>
      <c r="G11477" s="8">
        <v>10</v>
      </c>
      <c r="H11477" s="8" t="s">
        <v>48592</v>
      </c>
      <c r="I11477" s="8">
        <v>527.4375</v>
      </c>
      <c r="J11477" s="3">
        <f t="shared" si="179"/>
        <v>43749.321050752311</v>
      </c>
    </row>
    <row r="11478" spans="1:10" x14ac:dyDescent="0.25">
      <c r="A11478" s="5" t="s">
        <v>48593</v>
      </c>
      <c r="B11478" s="6">
        <v>396.875</v>
      </c>
      <c r="C11478" s="6">
        <v>20.478950000000001</v>
      </c>
      <c r="D11478" s="6">
        <v>66</v>
      </c>
      <c r="E11478" s="6">
        <v>0</v>
      </c>
      <c r="F11478" s="6">
        <v>0</v>
      </c>
      <c r="G11478" s="6">
        <v>14</v>
      </c>
      <c r="H11478" s="6" t="s">
        <v>48594</v>
      </c>
      <c r="I11478" s="6">
        <v>527.4375</v>
      </c>
      <c r="J11478" s="2">
        <f t="shared" si="179"/>
        <v>43749.321134490739</v>
      </c>
    </row>
    <row r="11479" spans="1:10" x14ac:dyDescent="0.25">
      <c r="A11479" s="7" t="s">
        <v>48595</v>
      </c>
      <c r="B11479" s="8">
        <v>396.875</v>
      </c>
      <c r="C11479" s="8">
        <v>20.478950000000001</v>
      </c>
      <c r="D11479" s="8">
        <v>69</v>
      </c>
      <c r="E11479" s="8">
        <v>0</v>
      </c>
      <c r="F11479" s="8">
        <v>0</v>
      </c>
      <c r="G11479" s="8">
        <v>10</v>
      </c>
      <c r="H11479" s="8" t="s">
        <v>48596</v>
      </c>
      <c r="I11479" s="8">
        <v>527.4375</v>
      </c>
      <c r="J11479" s="3">
        <f t="shared" si="179"/>
        <v>43749.321217824072</v>
      </c>
    </row>
    <row r="11480" spans="1:10" x14ac:dyDescent="0.25">
      <c r="A11480" s="5" t="s">
        <v>48597</v>
      </c>
      <c r="B11480" s="6">
        <v>415.625</v>
      </c>
      <c r="C11480" s="6">
        <v>20.478950000000001</v>
      </c>
      <c r="D11480" s="6">
        <v>69</v>
      </c>
      <c r="E11480" s="6">
        <v>0</v>
      </c>
      <c r="F11480" s="6">
        <v>0</v>
      </c>
      <c r="G11480" s="6">
        <v>13</v>
      </c>
      <c r="H11480" s="6" t="s">
        <v>48598</v>
      </c>
      <c r="I11480" s="6">
        <v>533.0625</v>
      </c>
      <c r="J11480" s="2">
        <f t="shared" si="179"/>
        <v>43749.321289224536</v>
      </c>
    </row>
    <row r="11481" spans="1:10" x14ac:dyDescent="0.25">
      <c r="A11481" s="7" t="s">
        <v>48599</v>
      </c>
      <c r="B11481" s="8">
        <v>396.875</v>
      </c>
      <c r="C11481" s="8">
        <v>20.426300000000001</v>
      </c>
      <c r="D11481" s="8">
        <v>68</v>
      </c>
      <c r="E11481" s="8">
        <v>0</v>
      </c>
      <c r="F11481" s="8">
        <v>0</v>
      </c>
      <c r="G11481" s="8">
        <v>15</v>
      </c>
      <c r="H11481" s="8" t="s">
        <v>48600</v>
      </c>
      <c r="I11481" s="8">
        <v>527.4375</v>
      </c>
      <c r="J11481" s="3">
        <f t="shared" si="179"/>
        <v>43749.321361273142</v>
      </c>
    </row>
    <row r="11482" spans="1:10" x14ac:dyDescent="0.25">
      <c r="A11482" s="5" t="s">
        <v>48601</v>
      </c>
      <c r="B11482" s="6">
        <v>400</v>
      </c>
      <c r="C11482" s="6">
        <v>20.478950000000001</v>
      </c>
      <c r="D11482" s="6">
        <v>68</v>
      </c>
      <c r="E11482" s="6">
        <v>0</v>
      </c>
      <c r="F11482" s="6">
        <v>0</v>
      </c>
      <c r="G11482" s="6">
        <v>13</v>
      </c>
      <c r="H11482" s="6" t="s">
        <v>48602</v>
      </c>
      <c r="I11482" s="6">
        <v>528.1875</v>
      </c>
      <c r="J11482" s="2">
        <f t="shared" si="179"/>
        <v>43749.321432557867</v>
      </c>
    </row>
    <row r="11483" spans="1:10" x14ac:dyDescent="0.25">
      <c r="A11483" s="7" t="s">
        <v>48603</v>
      </c>
      <c r="B11483" s="8">
        <v>400</v>
      </c>
      <c r="C11483" s="8">
        <v>20.426300000000001</v>
      </c>
      <c r="D11483" s="8">
        <v>70</v>
      </c>
      <c r="E11483" s="8">
        <v>0</v>
      </c>
      <c r="F11483" s="8">
        <v>0</v>
      </c>
      <c r="G11483" s="8">
        <v>6</v>
      </c>
      <c r="H11483" s="8" t="s">
        <v>48604</v>
      </c>
      <c r="I11483" s="8">
        <v>528.375</v>
      </c>
      <c r="J11483" s="3">
        <f t="shared" si="179"/>
        <v>43749.321503981475</v>
      </c>
    </row>
    <row r="11484" spans="1:10" x14ac:dyDescent="0.25">
      <c r="A11484" s="5" t="s">
        <v>48605</v>
      </c>
      <c r="B11484" s="6">
        <v>437.5</v>
      </c>
      <c r="C11484" s="6">
        <v>20.478950000000001</v>
      </c>
      <c r="D11484" s="6">
        <v>70</v>
      </c>
      <c r="E11484" s="6">
        <v>0</v>
      </c>
      <c r="F11484" s="6">
        <v>0</v>
      </c>
      <c r="G11484" s="6">
        <v>10</v>
      </c>
      <c r="H11484" s="6" t="s">
        <v>48606</v>
      </c>
      <c r="I11484" s="6">
        <v>540.9375</v>
      </c>
      <c r="J11484" s="2">
        <f t="shared" si="179"/>
        <v>43749.321576215276</v>
      </c>
    </row>
    <row r="11485" spans="1:10" x14ac:dyDescent="0.25">
      <c r="A11485" s="7" t="s">
        <v>48607</v>
      </c>
      <c r="B11485" s="8">
        <v>403.125</v>
      </c>
      <c r="C11485" s="8">
        <v>20.478950000000001</v>
      </c>
      <c r="D11485" s="8">
        <v>70</v>
      </c>
      <c r="E11485" s="8">
        <v>0</v>
      </c>
      <c r="F11485" s="8">
        <v>0</v>
      </c>
      <c r="G11485" s="8">
        <v>11</v>
      </c>
      <c r="H11485" s="8" t="s">
        <v>48608</v>
      </c>
      <c r="I11485" s="8">
        <v>529.125</v>
      </c>
      <c r="J11485" s="3">
        <f t="shared" si="179"/>
        <v>43749.321647384255</v>
      </c>
    </row>
    <row r="11486" spans="1:10" x14ac:dyDescent="0.25">
      <c r="A11486" s="5" t="s">
        <v>48609</v>
      </c>
      <c r="B11486" s="6">
        <v>400</v>
      </c>
      <c r="C11486" s="6">
        <v>20.478950000000001</v>
      </c>
      <c r="D11486" s="6">
        <v>70</v>
      </c>
      <c r="E11486" s="6">
        <v>0</v>
      </c>
      <c r="F11486" s="6">
        <v>0</v>
      </c>
      <c r="G11486" s="6">
        <v>19</v>
      </c>
      <c r="H11486" s="6" t="s">
        <v>48610</v>
      </c>
      <c r="I11486" s="6">
        <v>528.9375</v>
      </c>
      <c r="J11486" s="2">
        <f t="shared" si="179"/>
        <v>43749.321719097221</v>
      </c>
    </row>
    <row r="11487" spans="1:10" x14ac:dyDescent="0.25">
      <c r="A11487" s="7" t="s">
        <v>48611</v>
      </c>
      <c r="B11487" s="8">
        <v>400</v>
      </c>
      <c r="C11487" s="8">
        <v>20.478950000000001</v>
      </c>
      <c r="D11487" s="8">
        <v>70</v>
      </c>
      <c r="E11487" s="8">
        <v>0</v>
      </c>
      <c r="F11487" s="8">
        <v>0</v>
      </c>
      <c r="G11487" s="8">
        <v>8</v>
      </c>
      <c r="H11487" s="8" t="s">
        <v>48612</v>
      </c>
      <c r="I11487" s="8">
        <v>528.9375</v>
      </c>
      <c r="J11487" s="3">
        <f t="shared" si="179"/>
        <v>43749.321790393515</v>
      </c>
    </row>
    <row r="11488" spans="1:10" x14ac:dyDescent="0.25">
      <c r="A11488" s="5" t="s">
        <v>48613</v>
      </c>
      <c r="B11488" s="6">
        <v>403.125</v>
      </c>
      <c r="C11488" s="6">
        <v>20.478950000000001</v>
      </c>
      <c r="D11488" s="6">
        <v>70</v>
      </c>
      <c r="E11488" s="6">
        <v>0</v>
      </c>
      <c r="F11488" s="6">
        <v>0</v>
      </c>
      <c r="G11488" s="6">
        <v>9</v>
      </c>
      <c r="H11488" s="6" t="s">
        <v>48614</v>
      </c>
      <c r="I11488" s="6">
        <v>529.875</v>
      </c>
      <c r="J11488" s="2">
        <f t="shared" si="179"/>
        <v>43749.321862210643</v>
      </c>
    </row>
    <row r="11489" spans="1:10" x14ac:dyDescent="0.25">
      <c r="A11489" s="7" t="s">
        <v>48615</v>
      </c>
      <c r="B11489" s="8">
        <v>403.125</v>
      </c>
      <c r="C11489" s="8">
        <v>20.478950000000001</v>
      </c>
      <c r="D11489" s="8">
        <v>70</v>
      </c>
      <c r="E11489" s="8">
        <v>0</v>
      </c>
      <c r="F11489" s="8">
        <v>0</v>
      </c>
      <c r="G11489" s="8">
        <v>8</v>
      </c>
      <c r="H11489" s="8" t="s">
        <v>48616</v>
      </c>
      <c r="I11489" s="8">
        <v>529.875</v>
      </c>
      <c r="J11489" s="3">
        <f t="shared" si="179"/>
        <v>43749.321933101848</v>
      </c>
    </row>
    <row r="11490" spans="1:10" x14ac:dyDescent="0.25">
      <c r="A11490" s="5" t="s">
        <v>48617</v>
      </c>
      <c r="B11490" s="6">
        <v>403.125</v>
      </c>
      <c r="C11490" s="6">
        <v>20.478950000000001</v>
      </c>
      <c r="D11490" s="6">
        <v>70</v>
      </c>
      <c r="E11490" s="6">
        <v>0</v>
      </c>
      <c r="F11490" s="6">
        <v>0</v>
      </c>
      <c r="G11490" s="6">
        <v>16</v>
      </c>
      <c r="H11490" s="6" t="s">
        <v>48618</v>
      </c>
      <c r="I11490" s="6">
        <v>529.875</v>
      </c>
      <c r="J11490" s="2">
        <f t="shared" si="179"/>
        <v>43749.322004907408</v>
      </c>
    </row>
    <row r="11491" spans="1:10" x14ac:dyDescent="0.25">
      <c r="A11491" s="7" t="s">
        <v>48619</v>
      </c>
      <c r="B11491" s="8">
        <v>403.125</v>
      </c>
      <c r="C11491" s="8">
        <v>20.478950000000001</v>
      </c>
      <c r="D11491" s="8">
        <v>71</v>
      </c>
      <c r="E11491" s="8">
        <v>0</v>
      </c>
      <c r="F11491" s="8">
        <v>0</v>
      </c>
      <c r="G11491" s="8">
        <v>9</v>
      </c>
      <c r="H11491" s="8" t="s">
        <v>48620</v>
      </c>
      <c r="I11491" s="8">
        <v>529.875</v>
      </c>
      <c r="J11491" s="3">
        <f t="shared" si="179"/>
        <v>43749.322076493052</v>
      </c>
    </row>
    <row r="11492" spans="1:10" x14ac:dyDescent="0.25">
      <c r="A11492" s="5" t="s">
        <v>48621</v>
      </c>
      <c r="B11492" s="6">
        <v>403.125</v>
      </c>
      <c r="C11492" s="6">
        <v>20.478950000000001</v>
      </c>
      <c r="D11492" s="6">
        <v>70</v>
      </c>
      <c r="E11492" s="6">
        <v>0</v>
      </c>
      <c r="F11492" s="6">
        <v>0</v>
      </c>
      <c r="G11492" s="6">
        <v>11</v>
      </c>
      <c r="H11492" s="6" t="s">
        <v>48622</v>
      </c>
      <c r="I11492" s="6">
        <v>529.875</v>
      </c>
      <c r="J11492" s="2">
        <f t="shared" si="179"/>
        <v>43749.322148125</v>
      </c>
    </row>
    <row r="11493" spans="1:10" x14ac:dyDescent="0.25">
      <c r="A11493" s="7" t="s">
        <v>48623</v>
      </c>
      <c r="B11493" s="8">
        <v>418.75</v>
      </c>
      <c r="C11493" s="8">
        <v>20.478950000000001</v>
      </c>
      <c r="D11493" s="8">
        <v>70</v>
      </c>
      <c r="E11493" s="8">
        <v>0</v>
      </c>
      <c r="F11493" s="8">
        <v>0</v>
      </c>
      <c r="G11493" s="8">
        <v>20</v>
      </c>
      <c r="H11493" s="8" t="s">
        <v>48624</v>
      </c>
      <c r="I11493" s="8">
        <v>534.75</v>
      </c>
      <c r="J11493" s="3">
        <f t="shared" si="179"/>
        <v>43749.32221953704</v>
      </c>
    </row>
    <row r="11494" spans="1:10" x14ac:dyDescent="0.25">
      <c r="A11494" s="5" t="s">
        <v>48625</v>
      </c>
      <c r="B11494" s="6">
        <v>403.125</v>
      </c>
      <c r="C11494" s="6">
        <v>20.478950000000001</v>
      </c>
      <c r="D11494" s="6">
        <v>71</v>
      </c>
      <c r="E11494" s="6">
        <v>0</v>
      </c>
      <c r="F11494" s="6">
        <v>0</v>
      </c>
      <c r="G11494" s="6">
        <v>6</v>
      </c>
      <c r="H11494" s="6" t="s">
        <v>48626</v>
      </c>
      <c r="I11494" s="6">
        <v>529.125</v>
      </c>
      <c r="J11494" s="2">
        <f t="shared" si="179"/>
        <v>43749.322291180557</v>
      </c>
    </row>
    <row r="11495" spans="1:10" x14ac:dyDescent="0.25">
      <c r="A11495" s="7" t="s">
        <v>48627</v>
      </c>
      <c r="B11495" s="8">
        <v>403.125</v>
      </c>
      <c r="C11495" s="8">
        <v>20.478950000000001</v>
      </c>
      <c r="D11495" s="8">
        <v>72</v>
      </c>
      <c r="E11495" s="8">
        <v>0</v>
      </c>
      <c r="F11495" s="8">
        <v>0</v>
      </c>
      <c r="G11495" s="8">
        <v>11</v>
      </c>
      <c r="H11495" s="8" t="s">
        <v>48628</v>
      </c>
      <c r="I11495" s="8">
        <v>529.125</v>
      </c>
      <c r="J11495" s="3">
        <f t="shared" si="179"/>
        <v>43749.322362557868</v>
      </c>
    </row>
    <row r="11496" spans="1:10" x14ac:dyDescent="0.25">
      <c r="A11496" s="5" t="s">
        <v>48629</v>
      </c>
      <c r="B11496" s="6">
        <v>403.125</v>
      </c>
      <c r="C11496" s="6">
        <v>20.478950000000001</v>
      </c>
      <c r="D11496" s="6">
        <v>72</v>
      </c>
      <c r="E11496" s="6">
        <v>0</v>
      </c>
      <c r="F11496" s="6">
        <v>0</v>
      </c>
      <c r="G11496" s="6">
        <v>0</v>
      </c>
      <c r="H11496" s="6" t="s">
        <v>48630</v>
      </c>
      <c r="I11496" s="6">
        <v>529.125</v>
      </c>
      <c r="J11496" s="2">
        <f t="shared" si="179"/>
        <v>43749.322434178241</v>
      </c>
    </row>
    <row r="11497" spans="1:10" x14ac:dyDescent="0.25">
      <c r="A11497" s="7" t="s">
        <v>48631</v>
      </c>
      <c r="B11497" s="8">
        <v>403.125</v>
      </c>
      <c r="C11497" s="8">
        <v>20.478950000000001</v>
      </c>
      <c r="D11497" s="8">
        <v>71</v>
      </c>
      <c r="E11497" s="8">
        <v>0</v>
      </c>
      <c r="F11497" s="8">
        <v>0</v>
      </c>
      <c r="G11497" s="8">
        <v>8</v>
      </c>
      <c r="H11497" s="8" t="s">
        <v>48632</v>
      </c>
      <c r="I11497" s="8">
        <v>529.125</v>
      </c>
      <c r="J11497" s="3">
        <f t="shared" si="179"/>
        <v>43749.322506064811</v>
      </c>
    </row>
    <row r="11498" spans="1:10" x14ac:dyDescent="0.25">
      <c r="A11498" s="5" t="s">
        <v>48633</v>
      </c>
      <c r="B11498" s="6">
        <v>403.125</v>
      </c>
      <c r="C11498" s="6">
        <v>20.478950000000001</v>
      </c>
      <c r="D11498" s="6">
        <v>71</v>
      </c>
      <c r="E11498" s="6">
        <v>0</v>
      </c>
      <c r="F11498" s="6">
        <v>0</v>
      </c>
      <c r="G11498" s="6">
        <v>6</v>
      </c>
      <c r="H11498" s="6" t="s">
        <v>48634</v>
      </c>
      <c r="I11498" s="6">
        <v>529.125</v>
      </c>
      <c r="J11498" s="2">
        <f t="shared" si="179"/>
        <v>43749.322577361112</v>
      </c>
    </row>
    <row r="11499" spans="1:10" x14ac:dyDescent="0.25">
      <c r="A11499" s="7" t="s">
        <v>48635</v>
      </c>
      <c r="B11499" s="8">
        <v>403.125</v>
      </c>
      <c r="C11499" s="8">
        <v>20.478950000000001</v>
      </c>
      <c r="D11499" s="8">
        <v>71</v>
      </c>
      <c r="E11499" s="8">
        <v>0</v>
      </c>
      <c r="F11499" s="8">
        <v>0</v>
      </c>
      <c r="G11499" s="8">
        <v>8</v>
      </c>
      <c r="H11499" s="8" t="s">
        <v>48636</v>
      </c>
      <c r="I11499" s="8">
        <v>529.125</v>
      </c>
      <c r="J11499" s="3">
        <f t="shared" si="179"/>
        <v>43749.322649097223</v>
      </c>
    </row>
    <row r="11500" spans="1:10" x14ac:dyDescent="0.25">
      <c r="A11500" s="5" t="s">
        <v>48637</v>
      </c>
      <c r="B11500" s="6">
        <v>403.125</v>
      </c>
      <c r="C11500" s="6">
        <v>20.478950000000001</v>
      </c>
      <c r="D11500" s="6">
        <v>72</v>
      </c>
      <c r="E11500" s="6">
        <v>0</v>
      </c>
      <c r="F11500" s="6">
        <v>0</v>
      </c>
      <c r="G11500" s="6">
        <v>13</v>
      </c>
      <c r="H11500" s="6" t="s">
        <v>48638</v>
      </c>
      <c r="I11500" s="6">
        <v>529.125</v>
      </c>
      <c r="J11500" s="2">
        <f t="shared" si="179"/>
        <v>43749.322744386569</v>
      </c>
    </row>
    <row r="11501" spans="1:10" x14ac:dyDescent="0.25">
      <c r="A11501" s="7" t="s">
        <v>48639</v>
      </c>
      <c r="B11501" s="8">
        <v>400</v>
      </c>
      <c r="C11501" s="8">
        <v>20.478950000000001</v>
      </c>
      <c r="D11501" s="8">
        <v>71</v>
      </c>
      <c r="E11501" s="8">
        <v>0</v>
      </c>
      <c r="F11501" s="8">
        <v>0</v>
      </c>
      <c r="G11501" s="8">
        <v>14</v>
      </c>
      <c r="H11501" s="8" t="s">
        <v>48640</v>
      </c>
      <c r="I11501" s="8">
        <v>528.375</v>
      </c>
      <c r="J11501" s="3">
        <f t="shared" si="179"/>
        <v>43749.322815717591</v>
      </c>
    </row>
    <row r="11502" spans="1:10" x14ac:dyDescent="0.25">
      <c r="A11502" s="5" t="s">
        <v>48641</v>
      </c>
      <c r="B11502" s="6">
        <v>400</v>
      </c>
      <c r="C11502" s="6">
        <v>20.478950000000001</v>
      </c>
      <c r="D11502" s="6">
        <v>71</v>
      </c>
      <c r="E11502" s="6">
        <v>0</v>
      </c>
      <c r="F11502" s="6">
        <v>0</v>
      </c>
      <c r="G11502" s="6">
        <v>23</v>
      </c>
      <c r="H11502" s="6" t="s">
        <v>48642</v>
      </c>
      <c r="I11502" s="6">
        <v>528.375</v>
      </c>
      <c r="J11502" s="2">
        <f t="shared" si="179"/>
        <v>43749.322887256938</v>
      </c>
    </row>
    <row r="11503" spans="1:10" x14ac:dyDescent="0.25">
      <c r="A11503" s="7" t="s">
        <v>48643</v>
      </c>
      <c r="B11503" s="8">
        <v>400</v>
      </c>
      <c r="C11503" s="8">
        <v>20.478950000000001</v>
      </c>
      <c r="D11503" s="8">
        <v>71</v>
      </c>
      <c r="E11503" s="8">
        <v>0</v>
      </c>
      <c r="F11503" s="8">
        <v>0</v>
      </c>
      <c r="G11503" s="8">
        <v>17</v>
      </c>
      <c r="H11503" s="8" t="s">
        <v>48644</v>
      </c>
      <c r="I11503" s="8">
        <v>528.1875</v>
      </c>
      <c r="J11503" s="3">
        <f t="shared" si="179"/>
        <v>43749.322958854165</v>
      </c>
    </row>
    <row r="11504" spans="1:10" x14ac:dyDescent="0.25">
      <c r="A11504" s="5" t="s">
        <v>48645</v>
      </c>
      <c r="B11504" s="6">
        <v>437.5</v>
      </c>
      <c r="C11504" s="6">
        <v>20.478950000000001</v>
      </c>
      <c r="D11504" s="6">
        <v>71</v>
      </c>
      <c r="E11504" s="6">
        <v>0</v>
      </c>
      <c r="F11504" s="6">
        <v>0</v>
      </c>
      <c r="G11504" s="6">
        <v>9</v>
      </c>
      <c r="H11504" s="6" t="s">
        <v>48646</v>
      </c>
      <c r="I11504" s="6">
        <v>540.9375</v>
      </c>
      <c r="J11504" s="2">
        <f t="shared" si="179"/>
        <v>43749.323030358799</v>
      </c>
    </row>
    <row r="11505" spans="1:10" x14ac:dyDescent="0.25">
      <c r="A11505" s="7" t="s">
        <v>48647</v>
      </c>
      <c r="B11505" s="8">
        <v>400</v>
      </c>
      <c r="C11505" s="8">
        <v>20.478950000000001</v>
      </c>
      <c r="D11505" s="8">
        <v>71</v>
      </c>
      <c r="E11505" s="8">
        <v>0</v>
      </c>
      <c r="F11505" s="8">
        <v>0</v>
      </c>
      <c r="G11505" s="8">
        <v>10</v>
      </c>
      <c r="H11505" s="8" t="s">
        <v>48648</v>
      </c>
      <c r="I11505" s="8">
        <v>528.1875</v>
      </c>
      <c r="J11505" s="3">
        <f t="shared" si="179"/>
        <v>43749.323101655093</v>
      </c>
    </row>
    <row r="11506" spans="1:10" x14ac:dyDescent="0.25">
      <c r="A11506" s="5" t="s">
        <v>48649</v>
      </c>
      <c r="B11506" s="6">
        <v>396.875</v>
      </c>
      <c r="C11506" s="6">
        <v>20.478950000000001</v>
      </c>
      <c r="D11506" s="6">
        <v>71</v>
      </c>
      <c r="E11506" s="6">
        <v>0</v>
      </c>
      <c r="F11506" s="6">
        <v>0</v>
      </c>
      <c r="G11506" s="6">
        <v>18</v>
      </c>
      <c r="H11506" s="6" t="s">
        <v>48650</v>
      </c>
      <c r="I11506" s="6">
        <v>527.4375</v>
      </c>
      <c r="J11506" s="2">
        <f t="shared" si="179"/>
        <v>43749.323174016201</v>
      </c>
    </row>
    <row r="11507" spans="1:10" x14ac:dyDescent="0.25">
      <c r="A11507" s="7" t="s">
        <v>48651</v>
      </c>
      <c r="B11507" s="8">
        <v>396.875</v>
      </c>
      <c r="C11507" s="8">
        <v>20.478950000000001</v>
      </c>
      <c r="D11507" s="8">
        <v>71</v>
      </c>
      <c r="E11507" s="8">
        <v>0</v>
      </c>
      <c r="F11507" s="8">
        <v>0</v>
      </c>
      <c r="G11507" s="8">
        <v>18</v>
      </c>
      <c r="H11507" s="8" t="s">
        <v>48652</v>
      </c>
      <c r="I11507" s="8">
        <v>527.4375</v>
      </c>
      <c r="J11507" s="3">
        <f t="shared" si="179"/>
        <v>43749.323257337957</v>
      </c>
    </row>
    <row r="11508" spans="1:10" x14ac:dyDescent="0.25">
      <c r="A11508" s="5" t="s">
        <v>48653</v>
      </c>
      <c r="B11508" s="6">
        <v>400</v>
      </c>
      <c r="C11508" s="6">
        <v>20.478950000000001</v>
      </c>
      <c r="D11508" s="6">
        <v>70</v>
      </c>
      <c r="E11508" s="6">
        <v>0</v>
      </c>
      <c r="F11508" s="6">
        <v>0</v>
      </c>
      <c r="G11508" s="6">
        <v>8</v>
      </c>
      <c r="H11508" s="6" t="s">
        <v>48654</v>
      </c>
      <c r="I11508" s="6">
        <v>528.1875</v>
      </c>
      <c r="J11508" s="2">
        <f t="shared" si="179"/>
        <v>43749.32334077546</v>
      </c>
    </row>
    <row r="11509" spans="1:10" x14ac:dyDescent="0.25">
      <c r="A11509" s="7" t="s">
        <v>48655</v>
      </c>
      <c r="B11509" s="8">
        <v>403.125</v>
      </c>
      <c r="C11509" s="8">
        <v>20.478950000000001</v>
      </c>
      <c r="D11509" s="8">
        <v>70</v>
      </c>
      <c r="E11509" s="8">
        <v>0</v>
      </c>
      <c r="F11509" s="8">
        <v>0</v>
      </c>
      <c r="G11509" s="8">
        <v>14</v>
      </c>
      <c r="H11509" s="8" t="s">
        <v>48656</v>
      </c>
      <c r="I11509" s="8">
        <v>529.125</v>
      </c>
      <c r="J11509" s="3">
        <f t="shared" si="179"/>
        <v>43749.323412141202</v>
      </c>
    </row>
    <row r="11510" spans="1:10" x14ac:dyDescent="0.25">
      <c r="A11510" s="5" t="s">
        <v>48657</v>
      </c>
      <c r="B11510" s="6">
        <v>400</v>
      </c>
      <c r="C11510" s="6">
        <v>20.478950000000001</v>
      </c>
      <c r="D11510" s="6">
        <v>70</v>
      </c>
      <c r="E11510" s="6">
        <v>0</v>
      </c>
      <c r="F11510" s="6">
        <v>0</v>
      </c>
      <c r="G11510" s="6">
        <v>5</v>
      </c>
      <c r="H11510" s="6" t="s">
        <v>48658</v>
      </c>
      <c r="I11510" s="6">
        <v>528.9375</v>
      </c>
      <c r="J11510" s="2">
        <f t="shared" si="179"/>
        <v>43749.323484293978</v>
      </c>
    </row>
    <row r="11511" spans="1:10" x14ac:dyDescent="0.25">
      <c r="A11511" s="7" t="s">
        <v>48659</v>
      </c>
      <c r="B11511" s="8">
        <v>418.75</v>
      </c>
      <c r="C11511" s="8">
        <v>20.478950000000001</v>
      </c>
      <c r="D11511" s="8">
        <v>70</v>
      </c>
      <c r="E11511" s="8">
        <v>0</v>
      </c>
      <c r="F11511" s="8">
        <v>0</v>
      </c>
      <c r="G11511" s="8">
        <v>12</v>
      </c>
      <c r="H11511" s="8" t="s">
        <v>48660</v>
      </c>
      <c r="I11511" s="8">
        <v>534.9375</v>
      </c>
      <c r="J11511" s="3">
        <f t="shared" si="179"/>
        <v>43749.323555717587</v>
      </c>
    </row>
    <row r="11512" spans="1:10" x14ac:dyDescent="0.25">
      <c r="A11512" s="5" t="s">
        <v>48661</v>
      </c>
      <c r="B11512" s="6">
        <v>403.125</v>
      </c>
      <c r="C11512" s="6">
        <v>20.478950000000001</v>
      </c>
      <c r="D11512" s="6">
        <v>70</v>
      </c>
      <c r="E11512" s="6">
        <v>0</v>
      </c>
      <c r="F11512" s="6">
        <v>0</v>
      </c>
      <c r="G11512" s="6">
        <v>12</v>
      </c>
      <c r="H11512" s="6" t="s">
        <v>48662</v>
      </c>
      <c r="I11512" s="6">
        <v>529.125</v>
      </c>
      <c r="J11512" s="2">
        <f t="shared" si="179"/>
        <v>43749.323639050919</v>
      </c>
    </row>
    <row r="11513" spans="1:10" x14ac:dyDescent="0.25">
      <c r="A11513" s="7" t="s">
        <v>48663</v>
      </c>
      <c r="B11513" s="8">
        <v>400</v>
      </c>
      <c r="C11513" s="8">
        <v>20.478950000000001</v>
      </c>
      <c r="D11513" s="8">
        <v>70</v>
      </c>
      <c r="E11513" s="8">
        <v>0</v>
      </c>
      <c r="F11513" s="8">
        <v>0</v>
      </c>
      <c r="G11513" s="8">
        <v>10</v>
      </c>
      <c r="H11513" s="8" t="s">
        <v>48664</v>
      </c>
      <c r="I11513" s="8">
        <v>528.1875</v>
      </c>
      <c r="J11513" s="3">
        <f t="shared" si="179"/>
        <v>43749.323710300923</v>
      </c>
    </row>
    <row r="11514" spans="1:10" x14ac:dyDescent="0.25">
      <c r="A11514" s="5" t="s">
        <v>48665</v>
      </c>
      <c r="B11514" s="6">
        <v>400</v>
      </c>
      <c r="C11514" s="6">
        <v>20.478950000000001</v>
      </c>
      <c r="D11514" s="6">
        <v>73</v>
      </c>
      <c r="E11514" s="6">
        <v>0</v>
      </c>
      <c r="F11514" s="6">
        <v>0</v>
      </c>
      <c r="G11514" s="6">
        <v>6</v>
      </c>
      <c r="H11514" s="6" t="s">
        <v>48666</v>
      </c>
      <c r="I11514" s="6">
        <v>528.1875</v>
      </c>
      <c r="J11514" s="2">
        <f t="shared" si="179"/>
        <v>43749.323782499996</v>
      </c>
    </row>
    <row r="11515" spans="1:10" x14ac:dyDescent="0.25">
      <c r="A11515" s="7" t="s">
        <v>48667</v>
      </c>
      <c r="B11515" s="8">
        <v>400</v>
      </c>
      <c r="C11515" s="8">
        <v>20.478950000000001</v>
      </c>
      <c r="D11515" s="8">
        <v>74</v>
      </c>
      <c r="E11515" s="8">
        <v>0</v>
      </c>
      <c r="F11515" s="8">
        <v>0</v>
      </c>
      <c r="G11515" s="8">
        <v>14</v>
      </c>
      <c r="H11515" s="8" t="s">
        <v>48668</v>
      </c>
      <c r="I11515" s="8">
        <v>528.1875</v>
      </c>
      <c r="J11515" s="3">
        <f t="shared" si="179"/>
        <v>43749.323853749993</v>
      </c>
    </row>
    <row r="11516" spans="1:10" x14ac:dyDescent="0.25">
      <c r="A11516" s="5" t="s">
        <v>48669</v>
      </c>
      <c r="B11516" s="6">
        <v>396.875</v>
      </c>
      <c r="C11516" s="6">
        <v>20.478950000000001</v>
      </c>
      <c r="D11516" s="6">
        <v>74</v>
      </c>
      <c r="E11516" s="6">
        <v>0</v>
      </c>
      <c r="F11516" s="6">
        <v>0</v>
      </c>
      <c r="G11516" s="6">
        <v>2</v>
      </c>
      <c r="H11516" s="6" t="s">
        <v>48670</v>
      </c>
      <c r="I11516" s="6">
        <v>527.4375</v>
      </c>
      <c r="J11516" s="2">
        <f t="shared" si="179"/>
        <v>43749.323924976845</v>
      </c>
    </row>
    <row r="11517" spans="1:10" x14ac:dyDescent="0.25">
      <c r="A11517" s="7" t="s">
        <v>48671</v>
      </c>
      <c r="B11517" s="8">
        <v>396.875</v>
      </c>
      <c r="C11517" s="8">
        <v>20.478950000000001</v>
      </c>
      <c r="D11517" s="8">
        <v>73</v>
      </c>
      <c r="E11517" s="8">
        <v>0</v>
      </c>
      <c r="F11517" s="8">
        <v>0</v>
      </c>
      <c r="G11517" s="8">
        <v>14</v>
      </c>
      <c r="H11517" s="8" t="s">
        <v>48672</v>
      </c>
      <c r="I11517" s="8">
        <v>527.4375</v>
      </c>
      <c r="J11517" s="3">
        <f t="shared" si="179"/>
        <v>43749.323996539351</v>
      </c>
    </row>
    <row r="11518" spans="1:10" x14ac:dyDescent="0.25">
      <c r="A11518" s="5" t="s">
        <v>48673</v>
      </c>
      <c r="B11518" s="6">
        <v>400</v>
      </c>
      <c r="C11518" s="6">
        <v>20.478950000000001</v>
      </c>
      <c r="D11518" s="6">
        <v>73</v>
      </c>
      <c r="E11518" s="6">
        <v>0</v>
      </c>
      <c r="F11518" s="6">
        <v>0</v>
      </c>
      <c r="G11518" s="6">
        <v>2</v>
      </c>
      <c r="H11518" s="6" t="s">
        <v>48674</v>
      </c>
      <c r="I11518" s="6">
        <v>528.375</v>
      </c>
      <c r="J11518" s="2">
        <f t="shared" si="179"/>
        <v>43749.324068564812</v>
      </c>
    </row>
    <row r="11519" spans="1:10" x14ac:dyDescent="0.25">
      <c r="A11519" s="7" t="s">
        <v>48675</v>
      </c>
      <c r="B11519" s="8">
        <v>418.75</v>
      </c>
      <c r="C11519" s="8">
        <v>20.478950000000001</v>
      </c>
      <c r="D11519" s="8">
        <v>74</v>
      </c>
      <c r="E11519" s="8">
        <v>0</v>
      </c>
      <c r="F11519" s="8">
        <v>0</v>
      </c>
      <c r="G11519" s="8">
        <v>11</v>
      </c>
      <c r="H11519" s="8" t="s">
        <v>48676</v>
      </c>
      <c r="I11519" s="8">
        <v>534</v>
      </c>
      <c r="J11519" s="3">
        <f t="shared" si="179"/>
        <v>43749.324139745368</v>
      </c>
    </row>
    <row r="11520" spans="1:10" x14ac:dyDescent="0.25">
      <c r="A11520" s="5" t="s">
        <v>48677</v>
      </c>
      <c r="B11520" s="6">
        <v>400</v>
      </c>
      <c r="C11520" s="6">
        <v>20.478950000000001</v>
      </c>
      <c r="D11520" s="6">
        <v>73</v>
      </c>
      <c r="E11520" s="6">
        <v>0</v>
      </c>
      <c r="F11520" s="6">
        <v>0</v>
      </c>
      <c r="G11520" s="6">
        <v>8</v>
      </c>
      <c r="H11520" s="6" t="s">
        <v>48678</v>
      </c>
      <c r="I11520" s="6">
        <v>528.1875</v>
      </c>
      <c r="J11520" s="2">
        <f t="shared" si="179"/>
        <v>43749.324211145831</v>
      </c>
    </row>
    <row r="11521" spans="1:10" x14ac:dyDescent="0.25">
      <c r="A11521" s="7" t="s">
        <v>48679</v>
      </c>
      <c r="B11521" s="8">
        <v>396.875</v>
      </c>
      <c r="C11521" s="8">
        <v>20.478950000000001</v>
      </c>
      <c r="D11521" s="8">
        <v>72</v>
      </c>
      <c r="E11521" s="8">
        <v>0</v>
      </c>
      <c r="F11521" s="8">
        <v>0</v>
      </c>
      <c r="G11521" s="8">
        <v>9</v>
      </c>
      <c r="H11521" s="8" t="s">
        <v>48680</v>
      </c>
      <c r="I11521" s="8">
        <v>527.4375</v>
      </c>
      <c r="J11521" s="3">
        <f t="shared" si="179"/>
        <v>43749.324282685186</v>
      </c>
    </row>
    <row r="11522" spans="1:10" x14ac:dyDescent="0.25">
      <c r="A11522" s="5" t="s">
        <v>48681</v>
      </c>
      <c r="B11522" s="6">
        <v>396.875</v>
      </c>
      <c r="C11522" s="6">
        <v>20.478950000000001</v>
      </c>
      <c r="D11522" s="6">
        <v>72</v>
      </c>
      <c r="E11522" s="6">
        <v>0</v>
      </c>
      <c r="F11522" s="6">
        <v>0</v>
      </c>
      <c r="G11522" s="6">
        <v>7</v>
      </c>
      <c r="H11522" s="6" t="s">
        <v>48682</v>
      </c>
      <c r="I11522" s="6">
        <v>527.4375</v>
      </c>
      <c r="J11522" s="2">
        <f t="shared" ref="J11522:J11585" si="180">(H11522/86400000)+25569+(7/24)</f>
        <v>43749.324354432865</v>
      </c>
    </row>
    <row r="11523" spans="1:10" x14ac:dyDescent="0.25">
      <c r="A11523" s="7" t="s">
        <v>48683</v>
      </c>
      <c r="B11523" s="8">
        <v>431.25</v>
      </c>
      <c r="C11523" s="8">
        <v>20.478950000000001</v>
      </c>
      <c r="D11523" s="8">
        <v>73</v>
      </c>
      <c r="E11523" s="8">
        <v>0</v>
      </c>
      <c r="F11523" s="8">
        <v>0</v>
      </c>
      <c r="G11523" s="8">
        <v>18</v>
      </c>
      <c r="H11523" s="8" t="s">
        <v>48684</v>
      </c>
      <c r="I11523" s="8">
        <v>538.6875</v>
      </c>
      <c r="J11523" s="3">
        <f t="shared" si="180"/>
        <v>43749.324425810184</v>
      </c>
    </row>
    <row r="11524" spans="1:10" x14ac:dyDescent="0.25">
      <c r="A11524" s="5" t="s">
        <v>48685</v>
      </c>
      <c r="B11524" s="6">
        <v>400</v>
      </c>
      <c r="C11524" s="6">
        <v>20.426300000000001</v>
      </c>
      <c r="D11524" s="6">
        <v>72</v>
      </c>
      <c r="E11524" s="6">
        <v>0</v>
      </c>
      <c r="F11524" s="6">
        <v>0</v>
      </c>
      <c r="G11524" s="6">
        <v>7</v>
      </c>
      <c r="H11524" s="6" t="s">
        <v>48686</v>
      </c>
      <c r="I11524" s="6">
        <v>528.375</v>
      </c>
      <c r="J11524" s="2">
        <f t="shared" si="180"/>
        <v>43749.324512013882</v>
      </c>
    </row>
    <row r="11525" spans="1:10" x14ac:dyDescent="0.25">
      <c r="A11525" s="7" t="s">
        <v>48687</v>
      </c>
      <c r="B11525" s="8">
        <v>403.125</v>
      </c>
      <c r="C11525" s="8">
        <v>20.426300000000001</v>
      </c>
      <c r="D11525" s="8">
        <v>72</v>
      </c>
      <c r="E11525" s="8">
        <v>0</v>
      </c>
      <c r="F11525" s="8">
        <v>0</v>
      </c>
      <c r="G11525" s="8">
        <v>2</v>
      </c>
      <c r="H11525" s="8" t="s">
        <v>48688</v>
      </c>
      <c r="I11525" s="8">
        <v>529.125</v>
      </c>
      <c r="J11525" s="3">
        <f t="shared" si="180"/>
        <v>43749.324592812496</v>
      </c>
    </row>
    <row r="11526" spans="1:10" x14ac:dyDescent="0.25">
      <c r="A11526" s="5" t="s">
        <v>48689</v>
      </c>
      <c r="B11526" s="6">
        <v>418.75</v>
      </c>
      <c r="C11526" s="6">
        <v>20.426300000000001</v>
      </c>
      <c r="D11526" s="6">
        <v>72</v>
      </c>
      <c r="E11526" s="6">
        <v>0</v>
      </c>
      <c r="F11526" s="6">
        <v>0</v>
      </c>
      <c r="G11526" s="6">
        <v>13</v>
      </c>
      <c r="H11526" s="6" t="s">
        <v>48690</v>
      </c>
      <c r="I11526" s="6">
        <v>534.75</v>
      </c>
      <c r="J11526" s="2">
        <f t="shared" si="180"/>
        <v>43749.324664571752</v>
      </c>
    </row>
    <row r="11527" spans="1:10" x14ac:dyDescent="0.25">
      <c r="A11527" s="7" t="s">
        <v>48691</v>
      </c>
      <c r="B11527" s="8">
        <v>403.125</v>
      </c>
      <c r="C11527" s="8">
        <v>20.478950000000001</v>
      </c>
      <c r="D11527" s="8">
        <v>72</v>
      </c>
      <c r="E11527" s="8">
        <v>0</v>
      </c>
      <c r="F11527" s="8">
        <v>0</v>
      </c>
      <c r="G11527" s="8">
        <v>2</v>
      </c>
      <c r="H11527" s="8" t="s">
        <v>48692</v>
      </c>
      <c r="I11527" s="8">
        <v>529.125</v>
      </c>
      <c r="J11527" s="3">
        <f t="shared" si="180"/>
        <v>43749.324747905091</v>
      </c>
    </row>
    <row r="11528" spans="1:10" x14ac:dyDescent="0.25">
      <c r="A11528" s="5" t="s">
        <v>48693</v>
      </c>
      <c r="B11528" s="6">
        <v>400</v>
      </c>
      <c r="C11528" s="6">
        <v>20.478950000000001</v>
      </c>
      <c r="D11528" s="6">
        <v>70</v>
      </c>
      <c r="E11528" s="6">
        <v>0</v>
      </c>
      <c r="F11528" s="6">
        <v>0</v>
      </c>
      <c r="G11528" s="6">
        <v>7</v>
      </c>
      <c r="H11528" s="6" t="s">
        <v>48694</v>
      </c>
      <c r="I11528" s="6">
        <v>528.9375</v>
      </c>
      <c r="J11528" s="2">
        <f t="shared" si="180"/>
        <v>43749.324831331018</v>
      </c>
    </row>
    <row r="11529" spans="1:10" x14ac:dyDescent="0.25">
      <c r="A11529" s="7" t="s">
        <v>48695</v>
      </c>
      <c r="B11529" s="8">
        <v>403.125</v>
      </c>
      <c r="C11529" s="8">
        <v>20.478950000000001</v>
      </c>
      <c r="D11529" s="8">
        <v>71</v>
      </c>
      <c r="E11529" s="8">
        <v>0</v>
      </c>
      <c r="F11529" s="8">
        <v>0</v>
      </c>
      <c r="G11529" s="8">
        <v>15</v>
      </c>
      <c r="H11529" s="8" t="s">
        <v>48696</v>
      </c>
      <c r="I11529" s="8">
        <v>529.125</v>
      </c>
      <c r="J11529" s="3">
        <f t="shared" si="180"/>
        <v>43749.32490299768</v>
      </c>
    </row>
    <row r="11530" spans="1:10" x14ac:dyDescent="0.25">
      <c r="A11530" s="5" t="s">
        <v>48697</v>
      </c>
      <c r="B11530" s="6">
        <v>403.125</v>
      </c>
      <c r="C11530" s="6">
        <v>20.478950000000001</v>
      </c>
      <c r="D11530" s="6">
        <v>73</v>
      </c>
      <c r="E11530" s="6">
        <v>0</v>
      </c>
      <c r="F11530" s="6">
        <v>0</v>
      </c>
      <c r="G11530" s="6">
        <v>11</v>
      </c>
      <c r="H11530" s="6" t="s">
        <v>48698</v>
      </c>
      <c r="I11530" s="6">
        <v>529.125</v>
      </c>
      <c r="J11530" s="2">
        <f t="shared" si="180"/>
        <v>43749.32497494213</v>
      </c>
    </row>
    <row r="11531" spans="1:10" x14ac:dyDescent="0.25">
      <c r="A11531" s="7" t="s">
        <v>48699</v>
      </c>
      <c r="B11531" s="8">
        <v>400</v>
      </c>
      <c r="C11531" s="8">
        <v>20.478950000000001</v>
      </c>
      <c r="D11531" s="8">
        <v>73</v>
      </c>
      <c r="E11531" s="8">
        <v>0</v>
      </c>
      <c r="F11531" s="8">
        <v>0</v>
      </c>
      <c r="G11531" s="8">
        <v>5</v>
      </c>
      <c r="H11531" s="8" t="s">
        <v>48700</v>
      </c>
      <c r="I11531" s="8">
        <v>528.9375</v>
      </c>
      <c r="J11531" s="3">
        <f t="shared" si="180"/>
        <v>43749.325046284721</v>
      </c>
    </row>
    <row r="11532" spans="1:10" x14ac:dyDescent="0.25">
      <c r="A11532" s="5" t="s">
        <v>48701</v>
      </c>
      <c r="B11532" s="6">
        <v>403.125</v>
      </c>
      <c r="C11532" s="6">
        <v>20.478950000000001</v>
      </c>
      <c r="D11532" s="6">
        <v>72</v>
      </c>
      <c r="E11532" s="6">
        <v>0</v>
      </c>
      <c r="F11532" s="6">
        <v>0</v>
      </c>
      <c r="G11532" s="6">
        <v>2</v>
      </c>
      <c r="H11532" s="6" t="s">
        <v>48702</v>
      </c>
      <c r="I11532" s="6">
        <v>529.125</v>
      </c>
      <c r="J11532" s="2">
        <f t="shared" si="180"/>
        <v>43749.325117662032</v>
      </c>
    </row>
    <row r="11533" spans="1:10" x14ac:dyDescent="0.25">
      <c r="A11533" s="7" t="s">
        <v>48703</v>
      </c>
      <c r="B11533" s="8">
        <v>403.125</v>
      </c>
      <c r="C11533" s="8">
        <v>20.478950000000001</v>
      </c>
      <c r="D11533" s="8">
        <v>72</v>
      </c>
      <c r="E11533" s="8">
        <v>0</v>
      </c>
      <c r="F11533" s="8">
        <v>0</v>
      </c>
      <c r="G11533" s="8">
        <v>22</v>
      </c>
      <c r="H11533" s="8" t="s">
        <v>48704</v>
      </c>
      <c r="I11533" s="8">
        <v>529.125</v>
      </c>
      <c r="J11533" s="3">
        <f t="shared" si="180"/>
        <v>43749.325202905085</v>
      </c>
    </row>
    <row r="11534" spans="1:10" x14ac:dyDescent="0.25">
      <c r="A11534" s="5" t="s">
        <v>48705</v>
      </c>
      <c r="B11534" s="6">
        <v>403.125</v>
      </c>
      <c r="C11534" s="6">
        <v>20.478950000000001</v>
      </c>
      <c r="D11534" s="6">
        <v>73</v>
      </c>
      <c r="E11534" s="6">
        <v>0</v>
      </c>
      <c r="F11534" s="6">
        <v>0</v>
      </c>
      <c r="G11534" s="6">
        <v>14</v>
      </c>
      <c r="H11534" s="6" t="s">
        <v>48706</v>
      </c>
      <c r="I11534" s="6">
        <v>529.125</v>
      </c>
      <c r="J11534" s="2">
        <f t="shared" si="180"/>
        <v>43749.325273090275</v>
      </c>
    </row>
    <row r="11535" spans="1:10" x14ac:dyDescent="0.25">
      <c r="A11535" s="7" t="s">
        <v>48707</v>
      </c>
      <c r="B11535" s="8">
        <v>403.125</v>
      </c>
      <c r="C11535" s="8">
        <v>20.478950000000001</v>
      </c>
      <c r="D11535" s="8">
        <v>73</v>
      </c>
      <c r="E11535" s="8">
        <v>0</v>
      </c>
      <c r="F11535" s="8">
        <v>0</v>
      </c>
      <c r="G11535" s="8">
        <v>13</v>
      </c>
      <c r="H11535" s="8" t="s">
        <v>48708</v>
      </c>
      <c r="I11535" s="8">
        <v>529.875</v>
      </c>
      <c r="J11535" s="3">
        <f t="shared" si="180"/>
        <v>43749.325344398145</v>
      </c>
    </row>
    <row r="11536" spans="1:10" x14ac:dyDescent="0.25">
      <c r="A11536" s="5" t="s">
        <v>48709</v>
      </c>
      <c r="B11536" s="6">
        <v>403.125</v>
      </c>
      <c r="C11536" s="6">
        <v>20.478950000000001</v>
      </c>
      <c r="D11536" s="6">
        <v>74</v>
      </c>
      <c r="E11536" s="6">
        <v>0</v>
      </c>
      <c r="F11536" s="6">
        <v>0</v>
      </c>
      <c r="G11536" s="6">
        <v>7</v>
      </c>
      <c r="H11536" s="6" t="s">
        <v>48710</v>
      </c>
      <c r="I11536" s="6">
        <v>529.875</v>
      </c>
      <c r="J11536" s="2">
        <f t="shared" si="180"/>
        <v>43749.325415798608</v>
      </c>
    </row>
    <row r="11537" spans="1:10" x14ac:dyDescent="0.25">
      <c r="A11537" s="7" t="s">
        <v>48711</v>
      </c>
      <c r="B11537" s="8">
        <v>400</v>
      </c>
      <c r="C11537" s="8">
        <v>20.478950000000001</v>
      </c>
      <c r="D11537" s="8">
        <v>72</v>
      </c>
      <c r="E11537" s="8">
        <v>0</v>
      </c>
      <c r="F11537" s="8">
        <v>0</v>
      </c>
      <c r="G11537" s="8">
        <v>12</v>
      </c>
      <c r="H11537" s="8" t="s">
        <v>48712</v>
      </c>
      <c r="I11537" s="8">
        <v>528.9375</v>
      </c>
      <c r="J11537" s="3">
        <f t="shared" si="180"/>
        <v>43749.325487916663</v>
      </c>
    </row>
    <row r="11538" spans="1:10" x14ac:dyDescent="0.25">
      <c r="A11538" s="5" t="s">
        <v>48713</v>
      </c>
      <c r="B11538" s="6">
        <v>403.125</v>
      </c>
      <c r="C11538" s="6">
        <v>20.478950000000001</v>
      </c>
      <c r="D11538" s="6">
        <v>71</v>
      </c>
      <c r="E11538" s="6">
        <v>0</v>
      </c>
      <c r="F11538" s="6">
        <v>0</v>
      </c>
      <c r="G11538" s="6">
        <v>2</v>
      </c>
      <c r="H11538" s="6" t="s">
        <v>48714</v>
      </c>
      <c r="I11538" s="6">
        <v>529.125</v>
      </c>
      <c r="J11538" s="2">
        <f t="shared" si="180"/>
        <v>43749.325571203699</v>
      </c>
    </row>
    <row r="11539" spans="1:10" x14ac:dyDescent="0.25">
      <c r="A11539" s="7" t="s">
        <v>48715</v>
      </c>
      <c r="B11539" s="8">
        <v>400</v>
      </c>
      <c r="C11539" s="8">
        <v>20.478950000000001</v>
      </c>
      <c r="D11539" s="8">
        <v>70</v>
      </c>
      <c r="E11539" s="8">
        <v>0</v>
      </c>
      <c r="F11539" s="8">
        <v>0</v>
      </c>
      <c r="G11539" s="8">
        <v>16</v>
      </c>
      <c r="H11539" s="8" t="s">
        <v>48716</v>
      </c>
      <c r="I11539" s="8">
        <v>528.1875</v>
      </c>
      <c r="J11539" s="3">
        <f t="shared" si="180"/>
        <v>43749.325643298609</v>
      </c>
    </row>
    <row r="11540" spans="1:10" x14ac:dyDescent="0.25">
      <c r="A11540" s="5" t="s">
        <v>48717</v>
      </c>
      <c r="B11540" s="6">
        <v>396.875</v>
      </c>
      <c r="C11540" s="6">
        <v>20.478950000000001</v>
      </c>
      <c r="D11540" s="6">
        <v>69</v>
      </c>
      <c r="E11540" s="6">
        <v>0</v>
      </c>
      <c r="F11540" s="6">
        <v>0</v>
      </c>
      <c r="G11540" s="6">
        <v>13</v>
      </c>
      <c r="H11540" s="6" t="s">
        <v>48718</v>
      </c>
      <c r="I11540" s="6">
        <v>527.4375</v>
      </c>
      <c r="J11540" s="2">
        <f t="shared" si="180"/>
        <v>43749.325713946753</v>
      </c>
    </row>
    <row r="11541" spans="1:10" x14ac:dyDescent="0.25">
      <c r="A11541" s="7" t="s">
        <v>48719</v>
      </c>
      <c r="B11541" s="8">
        <v>393.75</v>
      </c>
      <c r="C11541" s="8">
        <v>20.478950000000001</v>
      </c>
      <c r="D11541" s="8">
        <v>69</v>
      </c>
      <c r="E11541" s="8">
        <v>0</v>
      </c>
      <c r="F11541" s="8">
        <v>0</v>
      </c>
      <c r="G11541" s="8">
        <v>13</v>
      </c>
      <c r="H11541" s="8" t="s">
        <v>48720</v>
      </c>
      <c r="I11541" s="8">
        <v>526.6875</v>
      </c>
      <c r="J11541" s="3">
        <f t="shared" si="180"/>
        <v>43749.325786053239</v>
      </c>
    </row>
    <row r="11542" spans="1:10" x14ac:dyDescent="0.25">
      <c r="A11542" s="5" t="s">
        <v>48721</v>
      </c>
      <c r="B11542" s="6">
        <v>396.875</v>
      </c>
      <c r="C11542" s="6">
        <v>20.478950000000001</v>
      </c>
      <c r="D11542" s="6">
        <v>71</v>
      </c>
      <c r="E11542" s="6">
        <v>0</v>
      </c>
      <c r="F11542" s="6">
        <v>0</v>
      </c>
      <c r="G11542" s="6">
        <v>9</v>
      </c>
      <c r="H11542" s="6" t="s">
        <v>48722</v>
      </c>
      <c r="I11542" s="6">
        <v>527.4375</v>
      </c>
      <c r="J11542" s="2">
        <f t="shared" si="180"/>
        <v>43749.325857303244</v>
      </c>
    </row>
    <row r="11543" spans="1:10" x14ac:dyDescent="0.25">
      <c r="A11543" s="7" t="s">
        <v>48723</v>
      </c>
      <c r="B11543" s="8">
        <v>396.875</v>
      </c>
      <c r="C11543" s="8">
        <v>20.478950000000001</v>
      </c>
      <c r="D11543" s="8">
        <v>71</v>
      </c>
      <c r="E11543" s="8">
        <v>0</v>
      </c>
      <c r="F11543" s="8">
        <v>0</v>
      </c>
      <c r="G11543" s="8">
        <v>11</v>
      </c>
      <c r="H11543" s="8" t="s">
        <v>48724</v>
      </c>
      <c r="I11543" s="8">
        <v>527.4375</v>
      </c>
      <c r="J11543" s="3">
        <f t="shared" si="180"/>
        <v>43749.325928645827</v>
      </c>
    </row>
    <row r="11544" spans="1:10" x14ac:dyDescent="0.25">
      <c r="A11544" s="5" t="s">
        <v>48725</v>
      </c>
      <c r="B11544" s="6">
        <v>415.625</v>
      </c>
      <c r="C11544" s="6">
        <v>20.478950000000001</v>
      </c>
      <c r="D11544" s="6">
        <v>71</v>
      </c>
      <c r="E11544" s="6">
        <v>0</v>
      </c>
      <c r="F11544" s="6">
        <v>0</v>
      </c>
      <c r="G11544" s="6">
        <v>17</v>
      </c>
      <c r="H11544" s="6" t="s">
        <v>48726</v>
      </c>
      <c r="I11544" s="6">
        <v>533.0625</v>
      </c>
      <c r="J11544" s="2">
        <f t="shared" si="180"/>
        <v>43749.326012210644</v>
      </c>
    </row>
    <row r="11545" spans="1:10" x14ac:dyDescent="0.25">
      <c r="A11545" s="7" t="s">
        <v>48727</v>
      </c>
      <c r="B11545" s="8">
        <v>396.875</v>
      </c>
      <c r="C11545" s="8">
        <v>20.478950000000001</v>
      </c>
      <c r="D11545" s="8">
        <v>72</v>
      </c>
      <c r="E11545" s="8">
        <v>0</v>
      </c>
      <c r="F11545" s="8">
        <v>0</v>
      </c>
      <c r="G11545" s="8">
        <v>9</v>
      </c>
      <c r="H11545" s="8" t="s">
        <v>48728</v>
      </c>
      <c r="I11545" s="8">
        <v>527.4375</v>
      </c>
      <c r="J11545" s="3">
        <f t="shared" si="180"/>
        <v>43749.326096249999</v>
      </c>
    </row>
    <row r="11546" spans="1:10" x14ac:dyDescent="0.25">
      <c r="A11546" s="5" t="s">
        <v>48729</v>
      </c>
      <c r="B11546" s="6">
        <v>393.75</v>
      </c>
      <c r="C11546" s="6">
        <v>20.426300000000001</v>
      </c>
      <c r="D11546" s="6">
        <v>71</v>
      </c>
      <c r="E11546" s="6">
        <v>0</v>
      </c>
      <c r="F11546" s="6">
        <v>0</v>
      </c>
      <c r="G11546" s="6">
        <v>5</v>
      </c>
      <c r="H11546" s="6" t="s">
        <v>48730</v>
      </c>
      <c r="I11546" s="6">
        <v>526.6875</v>
      </c>
      <c r="J11546" s="2">
        <f t="shared" si="180"/>
        <v>43749.326167141196</v>
      </c>
    </row>
    <row r="11547" spans="1:10" x14ac:dyDescent="0.25">
      <c r="A11547" s="7" t="s">
        <v>48731</v>
      </c>
      <c r="B11547" s="8">
        <v>393.75</v>
      </c>
      <c r="C11547" s="8">
        <v>20.478950000000001</v>
      </c>
      <c r="D11547" s="8">
        <v>71</v>
      </c>
      <c r="E11547" s="8">
        <v>0</v>
      </c>
      <c r="F11547" s="8">
        <v>0</v>
      </c>
      <c r="G11547" s="8">
        <v>13</v>
      </c>
      <c r="H11547" s="8" t="s">
        <v>48732</v>
      </c>
      <c r="I11547" s="8">
        <v>526.6875</v>
      </c>
      <c r="J11547" s="3">
        <f t="shared" si="180"/>
        <v>43749.326239131937</v>
      </c>
    </row>
    <row r="11548" spans="1:10" x14ac:dyDescent="0.25">
      <c r="A11548" s="5" t="s">
        <v>48733</v>
      </c>
      <c r="B11548" s="6">
        <v>393.75</v>
      </c>
      <c r="C11548" s="6">
        <v>20.478950000000001</v>
      </c>
      <c r="D11548" s="6">
        <v>70</v>
      </c>
      <c r="E11548" s="6">
        <v>0</v>
      </c>
      <c r="F11548" s="6">
        <v>0</v>
      </c>
      <c r="G11548" s="6">
        <v>10</v>
      </c>
      <c r="H11548" s="6" t="s">
        <v>48734</v>
      </c>
      <c r="I11548" s="6">
        <v>526.6875</v>
      </c>
      <c r="J11548" s="2">
        <f t="shared" si="180"/>
        <v>43749.326310428238</v>
      </c>
    </row>
    <row r="11549" spans="1:10" x14ac:dyDescent="0.25">
      <c r="A11549" s="7" t="s">
        <v>48735</v>
      </c>
      <c r="B11549" s="8">
        <v>393.75</v>
      </c>
      <c r="C11549" s="8">
        <v>20.478950000000001</v>
      </c>
      <c r="D11549" s="8">
        <v>71</v>
      </c>
      <c r="E11549" s="8">
        <v>0</v>
      </c>
      <c r="F11549" s="8">
        <v>0</v>
      </c>
      <c r="G11549" s="8">
        <v>11</v>
      </c>
      <c r="H11549" s="8" t="s">
        <v>48736</v>
      </c>
      <c r="I11549" s="8">
        <v>526.6875</v>
      </c>
      <c r="J11549" s="3">
        <f t="shared" si="180"/>
        <v>43749.326382418978</v>
      </c>
    </row>
    <row r="11550" spans="1:10" x14ac:dyDescent="0.25">
      <c r="A11550" s="5" t="s">
        <v>48737</v>
      </c>
      <c r="B11550" s="6">
        <v>393.75</v>
      </c>
      <c r="C11550" s="6">
        <v>20.478950000000001</v>
      </c>
      <c r="D11550" s="6">
        <v>72</v>
      </c>
      <c r="E11550" s="6">
        <v>0</v>
      </c>
      <c r="F11550" s="6">
        <v>0</v>
      </c>
      <c r="G11550" s="6">
        <v>18</v>
      </c>
      <c r="H11550" s="6" t="s">
        <v>48738</v>
      </c>
      <c r="I11550" s="6">
        <v>526.6875</v>
      </c>
      <c r="J11550" s="2">
        <f t="shared" si="180"/>
        <v>43749.326453946756</v>
      </c>
    </row>
    <row r="11551" spans="1:10" x14ac:dyDescent="0.25">
      <c r="A11551" s="7" t="s">
        <v>48739</v>
      </c>
      <c r="B11551" s="8">
        <v>412.5</v>
      </c>
      <c r="C11551" s="8">
        <v>20.478950000000001</v>
      </c>
      <c r="D11551" s="8">
        <v>71</v>
      </c>
      <c r="E11551" s="8">
        <v>0</v>
      </c>
      <c r="F11551" s="8">
        <v>0</v>
      </c>
      <c r="G11551" s="8">
        <v>6</v>
      </c>
      <c r="H11551" s="8" t="s">
        <v>48740</v>
      </c>
      <c r="I11551" s="8">
        <v>532.125</v>
      </c>
      <c r="J11551" s="3">
        <f t="shared" si="180"/>
        <v>43749.326525173608</v>
      </c>
    </row>
    <row r="11552" spans="1:10" x14ac:dyDescent="0.25">
      <c r="A11552" s="5" t="s">
        <v>48741</v>
      </c>
      <c r="B11552" s="6">
        <v>393.75</v>
      </c>
      <c r="C11552" s="6">
        <v>20.478950000000001</v>
      </c>
      <c r="D11552" s="6">
        <v>71</v>
      </c>
      <c r="E11552" s="6">
        <v>0</v>
      </c>
      <c r="F11552" s="6">
        <v>0</v>
      </c>
      <c r="G11552" s="6">
        <v>5</v>
      </c>
      <c r="H11552" s="6" t="s">
        <v>48742</v>
      </c>
      <c r="I11552" s="6">
        <v>526.6875</v>
      </c>
      <c r="J11552" s="2">
        <f t="shared" si="180"/>
        <v>43749.32659665509</v>
      </c>
    </row>
    <row r="11553" spans="1:10" x14ac:dyDescent="0.25">
      <c r="A11553" s="7" t="s">
        <v>48743</v>
      </c>
      <c r="B11553" s="8">
        <v>393.75</v>
      </c>
      <c r="C11553" s="8">
        <v>20.478950000000001</v>
      </c>
      <c r="D11553" s="8">
        <v>71</v>
      </c>
      <c r="E11553" s="8">
        <v>0</v>
      </c>
      <c r="F11553" s="8">
        <v>0</v>
      </c>
      <c r="G11553" s="8">
        <v>11</v>
      </c>
      <c r="H11553" s="8" t="s">
        <v>48744</v>
      </c>
      <c r="I11553" s="8">
        <v>526.6875</v>
      </c>
      <c r="J11553" s="3">
        <f t="shared" si="180"/>
        <v>43749.326668715272</v>
      </c>
    </row>
    <row r="11554" spans="1:10" x14ac:dyDescent="0.25">
      <c r="A11554" s="5" t="s">
        <v>48745</v>
      </c>
      <c r="B11554" s="6">
        <v>393.75</v>
      </c>
      <c r="C11554" s="6">
        <v>20.478950000000001</v>
      </c>
      <c r="D11554" s="6">
        <v>71</v>
      </c>
      <c r="E11554" s="6">
        <v>0</v>
      </c>
      <c r="F11554" s="6">
        <v>0</v>
      </c>
      <c r="G11554" s="6">
        <v>11</v>
      </c>
      <c r="H11554" s="6" t="s">
        <v>48746</v>
      </c>
      <c r="I11554" s="6">
        <v>526.5</v>
      </c>
      <c r="J11554" s="2">
        <f t="shared" si="180"/>
        <v>43749.326740115743</v>
      </c>
    </row>
    <row r="11555" spans="1:10" x14ac:dyDescent="0.25">
      <c r="A11555" s="7" t="s">
        <v>48747</v>
      </c>
      <c r="B11555" s="8">
        <v>418.75</v>
      </c>
      <c r="C11555" s="8">
        <v>20.478950000000001</v>
      </c>
      <c r="D11555" s="8">
        <v>72</v>
      </c>
      <c r="E11555" s="8">
        <v>0</v>
      </c>
      <c r="F11555" s="8">
        <v>0</v>
      </c>
      <c r="G11555" s="8">
        <v>7</v>
      </c>
      <c r="H11555" s="8" t="s">
        <v>48748</v>
      </c>
      <c r="I11555" s="8">
        <v>534.5625</v>
      </c>
      <c r="J11555" s="3">
        <f t="shared" si="180"/>
        <v>43749.326811412036</v>
      </c>
    </row>
    <row r="11556" spans="1:10" x14ac:dyDescent="0.25">
      <c r="A11556" s="5" t="s">
        <v>48749</v>
      </c>
      <c r="B11556" s="6">
        <v>393.75</v>
      </c>
      <c r="C11556" s="6">
        <v>20.426300000000001</v>
      </c>
      <c r="D11556" s="6">
        <v>72</v>
      </c>
      <c r="E11556" s="6">
        <v>0</v>
      </c>
      <c r="F11556" s="6">
        <v>0</v>
      </c>
      <c r="G11556" s="6">
        <v>15</v>
      </c>
      <c r="H11556" s="6" t="s">
        <v>48750</v>
      </c>
      <c r="I11556" s="6">
        <v>526.6875</v>
      </c>
      <c r="J11556" s="2">
        <f t="shared" si="180"/>
        <v>43749.326882719906</v>
      </c>
    </row>
    <row r="11557" spans="1:10" x14ac:dyDescent="0.25">
      <c r="A11557" s="7" t="s">
        <v>48751</v>
      </c>
      <c r="B11557" s="8">
        <v>393.75</v>
      </c>
      <c r="C11557" s="8">
        <v>20.478950000000001</v>
      </c>
      <c r="D11557" s="8">
        <v>72</v>
      </c>
      <c r="E11557" s="8">
        <v>0</v>
      </c>
      <c r="F11557" s="8">
        <v>0</v>
      </c>
      <c r="G11557" s="8">
        <v>12</v>
      </c>
      <c r="H11557" s="8" t="s">
        <v>48752</v>
      </c>
      <c r="I11557" s="8">
        <v>526.6875</v>
      </c>
      <c r="J11557" s="3">
        <f t="shared" si="180"/>
        <v>43749.326954872682</v>
      </c>
    </row>
    <row r="11558" spans="1:10" x14ac:dyDescent="0.25">
      <c r="A11558" s="5" t="s">
        <v>48753</v>
      </c>
      <c r="B11558" s="6">
        <v>393.75</v>
      </c>
      <c r="C11558" s="6">
        <v>20.478950000000001</v>
      </c>
      <c r="D11558" s="6">
        <v>72</v>
      </c>
      <c r="E11558" s="6">
        <v>0</v>
      </c>
      <c r="F11558" s="6">
        <v>0</v>
      </c>
      <c r="G11558" s="6">
        <v>9</v>
      </c>
      <c r="H11558" s="6" t="s">
        <v>48754</v>
      </c>
      <c r="I11558" s="6">
        <v>526.6875</v>
      </c>
      <c r="J11558" s="2">
        <f t="shared" si="180"/>
        <v>43749.3270261574</v>
      </c>
    </row>
    <row r="11559" spans="1:10" x14ac:dyDescent="0.25">
      <c r="A11559" s="7" t="s">
        <v>48755</v>
      </c>
      <c r="B11559" s="8">
        <v>393.75</v>
      </c>
      <c r="C11559" s="8">
        <v>20.426300000000001</v>
      </c>
      <c r="D11559" s="8">
        <v>72</v>
      </c>
      <c r="E11559" s="8">
        <v>0</v>
      </c>
      <c r="F11559" s="8">
        <v>0</v>
      </c>
      <c r="G11559" s="8">
        <v>4</v>
      </c>
      <c r="H11559" s="8" t="s">
        <v>48756</v>
      </c>
      <c r="I11559" s="8">
        <v>526.6875</v>
      </c>
      <c r="J11559" s="3">
        <f t="shared" si="180"/>
        <v>43749.327112268518</v>
      </c>
    </row>
    <row r="11560" spans="1:10" x14ac:dyDescent="0.25">
      <c r="A11560" s="5" t="s">
        <v>48757</v>
      </c>
      <c r="B11560" s="6">
        <v>393.75</v>
      </c>
      <c r="C11560" s="6">
        <v>20.478950000000001</v>
      </c>
      <c r="D11560" s="6">
        <v>72</v>
      </c>
      <c r="E11560" s="6">
        <v>0</v>
      </c>
      <c r="F11560" s="6">
        <v>0</v>
      </c>
      <c r="G11560" s="6">
        <v>13</v>
      </c>
      <c r="H11560" s="6" t="s">
        <v>48758</v>
      </c>
      <c r="I11560" s="6">
        <v>526.6875</v>
      </c>
      <c r="J11560" s="2">
        <f t="shared" si="180"/>
        <v>43749.327192893521</v>
      </c>
    </row>
    <row r="11561" spans="1:10" x14ac:dyDescent="0.25">
      <c r="A11561" s="7" t="s">
        <v>48759</v>
      </c>
      <c r="B11561" s="8">
        <v>393.75</v>
      </c>
      <c r="C11561" s="8">
        <v>20.478950000000001</v>
      </c>
      <c r="D11561" s="8">
        <v>73</v>
      </c>
      <c r="E11561" s="8">
        <v>0</v>
      </c>
      <c r="F11561" s="8">
        <v>0</v>
      </c>
      <c r="G11561" s="8">
        <v>4</v>
      </c>
      <c r="H11561" s="8" t="s">
        <v>48760</v>
      </c>
      <c r="I11561" s="8">
        <v>526.6875</v>
      </c>
      <c r="J11561" s="3">
        <f t="shared" si="180"/>
        <v>43749.327276284719</v>
      </c>
    </row>
    <row r="11562" spans="1:10" x14ac:dyDescent="0.25">
      <c r="A11562" s="5" t="s">
        <v>48761</v>
      </c>
      <c r="B11562" s="6">
        <v>393.75</v>
      </c>
      <c r="C11562" s="6">
        <v>20.478950000000001</v>
      </c>
      <c r="D11562" s="6">
        <v>72</v>
      </c>
      <c r="E11562" s="6">
        <v>0</v>
      </c>
      <c r="F11562" s="6">
        <v>0</v>
      </c>
      <c r="G11562" s="6">
        <v>10</v>
      </c>
      <c r="H11562" s="6" t="s">
        <v>48762</v>
      </c>
      <c r="I11562" s="6">
        <v>526.6875</v>
      </c>
      <c r="J11562" s="2">
        <f t="shared" si="180"/>
        <v>43749.327348402774</v>
      </c>
    </row>
    <row r="11563" spans="1:10" x14ac:dyDescent="0.25">
      <c r="A11563" s="7" t="s">
        <v>48763</v>
      </c>
      <c r="B11563" s="8">
        <v>393.75</v>
      </c>
      <c r="C11563" s="8">
        <v>20.426300000000001</v>
      </c>
      <c r="D11563" s="8">
        <v>72</v>
      </c>
      <c r="E11563" s="8">
        <v>0</v>
      </c>
      <c r="F11563" s="8">
        <v>0</v>
      </c>
      <c r="G11563" s="8">
        <v>6</v>
      </c>
      <c r="H11563" s="8" t="s">
        <v>48764</v>
      </c>
      <c r="I11563" s="8">
        <v>526.6875</v>
      </c>
      <c r="J11563" s="3">
        <f t="shared" si="180"/>
        <v>43749.327419988425</v>
      </c>
    </row>
    <row r="11564" spans="1:10" x14ac:dyDescent="0.25">
      <c r="A11564" s="5" t="s">
        <v>48765</v>
      </c>
      <c r="B11564" s="6">
        <v>396.875</v>
      </c>
      <c r="C11564" s="6">
        <v>20.478950000000001</v>
      </c>
      <c r="D11564" s="6">
        <v>72</v>
      </c>
      <c r="E11564" s="6">
        <v>0</v>
      </c>
      <c r="F11564" s="6">
        <v>0</v>
      </c>
      <c r="G11564" s="6">
        <v>7</v>
      </c>
      <c r="H11564" s="6" t="s">
        <v>48766</v>
      </c>
      <c r="I11564" s="6">
        <v>527.4375</v>
      </c>
      <c r="J11564" s="2">
        <f t="shared" si="180"/>
        <v>43749.327491446755</v>
      </c>
    </row>
    <row r="11565" spans="1:10" x14ac:dyDescent="0.25">
      <c r="A11565" s="7" t="s">
        <v>48767</v>
      </c>
      <c r="B11565" s="8">
        <v>396.875</v>
      </c>
      <c r="C11565" s="8">
        <v>20.478950000000001</v>
      </c>
      <c r="D11565" s="8">
        <v>72</v>
      </c>
      <c r="E11565" s="8">
        <v>0</v>
      </c>
      <c r="F11565" s="8">
        <v>0</v>
      </c>
      <c r="G11565" s="8">
        <v>7</v>
      </c>
      <c r="H11565" s="8" t="s">
        <v>48768</v>
      </c>
      <c r="I11565" s="8">
        <v>527.4375</v>
      </c>
      <c r="J11565" s="3">
        <f t="shared" si="180"/>
        <v>43749.327562789353</v>
      </c>
    </row>
    <row r="11566" spans="1:10" x14ac:dyDescent="0.25">
      <c r="A11566" s="5" t="s">
        <v>48769</v>
      </c>
      <c r="B11566" s="6">
        <v>396.875</v>
      </c>
      <c r="C11566" s="6">
        <v>20.478950000000001</v>
      </c>
      <c r="D11566" s="6">
        <v>72</v>
      </c>
      <c r="E11566" s="6">
        <v>0</v>
      </c>
      <c r="F11566" s="6">
        <v>0</v>
      </c>
      <c r="G11566" s="6">
        <v>5</v>
      </c>
      <c r="H11566" s="6" t="s">
        <v>48770</v>
      </c>
      <c r="I11566" s="6">
        <v>527.4375</v>
      </c>
      <c r="J11566" s="2">
        <f t="shared" si="180"/>
        <v>43749.32765811342</v>
      </c>
    </row>
    <row r="11567" spans="1:10" x14ac:dyDescent="0.25">
      <c r="A11567" s="7" t="s">
        <v>48771</v>
      </c>
      <c r="B11567" s="8">
        <v>396.875</v>
      </c>
      <c r="C11567" s="8">
        <v>20.426300000000001</v>
      </c>
      <c r="D11567" s="8">
        <v>74</v>
      </c>
      <c r="E11567" s="8">
        <v>0</v>
      </c>
      <c r="F11567" s="8">
        <v>0</v>
      </c>
      <c r="G11567" s="8">
        <v>12</v>
      </c>
      <c r="H11567" s="8" t="s">
        <v>48772</v>
      </c>
      <c r="I11567" s="8">
        <v>527.4375</v>
      </c>
      <c r="J11567" s="3">
        <f t="shared" si="180"/>
        <v>43749.327741643516</v>
      </c>
    </row>
    <row r="11568" spans="1:10" x14ac:dyDescent="0.25">
      <c r="A11568" s="5" t="s">
        <v>48773</v>
      </c>
      <c r="B11568" s="6">
        <v>400</v>
      </c>
      <c r="C11568" s="6">
        <v>20.478950000000001</v>
      </c>
      <c r="D11568" s="6">
        <v>74</v>
      </c>
      <c r="E11568" s="6">
        <v>0</v>
      </c>
      <c r="F11568" s="6">
        <v>0</v>
      </c>
      <c r="G11568" s="6">
        <v>16</v>
      </c>
      <c r="H11568" s="6" t="s">
        <v>48774</v>
      </c>
      <c r="I11568" s="6">
        <v>528.375</v>
      </c>
      <c r="J11568" s="2">
        <f t="shared" si="180"/>
        <v>43749.327812870368</v>
      </c>
    </row>
    <row r="11569" spans="1:10" x14ac:dyDescent="0.25">
      <c r="A11569" s="7" t="s">
        <v>48775</v>
      </c>
      <c r="B11569" s="8">
        <v>400</v>
      </c>
      <c r="C11569" s="8">
        <v>20.478950000000001</v>
      </c>
      <c r="D11569" s="8">
        <v>73</v>
      </c>
      <c r="E11569" s="8">
        <v>0</v>
      </c>
      <c r="F11569" s="8">
        <v>0</v>
      </c>
      <c r="G11569" s="8">
        <v>5</v>
      </c>
      <c r="H11569" s="8" t="s">
        <v>48776</v>
      </c>
      <c r="I11569" s="8">
        <v>528.1875</v>
      </c>
      <c r="J11569" s="3">
        <f t="shared" si="180"/>
        <v>43749.327885092593</v>
      </c>
    </row>
    <row r="11570" spans="1:10" x14ac:dyDescent="0.25">
      <c r="A11570" s="5" t="s">
        <v>48777</v>
      </c>
      <c r="B11570" s="6">
        <v>396.875</v>
      </c>
      <c r="C11570" s="6">
        <v>20.426300000000001</v>
      </c>
      <c r="D11570" s="6">
        <v>73</v>
      </c>
      <c r="E11570" s="6">
        <v>0</v>
      </c>
      <c r="F11570" s="6">
        <v>0</v>
      </c>
      <c r="G11570" s="6">
        <v>14</v>
      </c>
      <c r="H11570" s="6" t="s">
        <v>48778</v>
      </c>
      <c r="I11570" s="6">
        <v>527.4375</v>
      </c>
      <c r="J11570" s="2">
        <f t="shared" si="180"/>
        <v>43749.327956493049</v>
      </c>
    </row>
    <row r="11571" spans="1:10" x14ac:dyDescent="0.25">
      <c r="A11571" s="7" t="s">
        <v>48779</v>
      </c>
      <c r="B11571" s="8">
        <v>415.625</v>
      </c>
      <c r="C11571" s="8">
        <v>20.478950000000001</v>
      </c>
      <c r="D11571" s="8">
        <v>72</v>
      </c>
      <c r="E11571" s="8">
        <v>0</v>
      </c>
      <c r="F11571" s="8">
        <v>0</v>
      </c>
      <c r="G11571" s="8">
        <v>13</v>
      </c>
      <c r="H11571" s="8" t="s">
        <v>48780</v>
      </c>
      <c r="I11571" s="8">
        <v>533.25</v>
      </c>
      <c r="J11571" s="3">
        <f t="shared" si="180"/>
        <v>43749.328039733795</v>
      </c>
    </row>
    <row r="11572" spans="1:10" x14ac:dyDescent="0.25">
      <c r="A11572" s="5" t="s">
        <v>48781</v>
      </c>
      <c r="B11572" s="6">
        <v>396.875</v>
      </c>
      <c r="C11572" s="6">
        <v>20.478950000000001</v>
      </c>
      <c r="D11572" s="6">
        <v>74</v>
      </c>
      <c r="E11572" s="6">
        <v>0</v>
      </c>
      <c r="F11572" s="6">
        <v>0</v>
      </c>
      <c r="G11572" s="6">
        <v>9</v>
      </c>
      <c r="H11572" s="6" t="s">
        <v>48782</v>
      </c>
      <c r="I11572" s="6">
        <v>527.4375</v>
      </c>
      <c r="J11572" s="2">
        <f t="shared" si="180"/>
        <v>43749.328111724535</v>
      </c>
    </row>
    <row r="11573" spans="1:10" x14ac:dyDescent="0.25">
      <c r="A11573" s="7" t="s">
        <v>48783</v>
      </c>
      <c r="B11573" s="8">
        <v>396.875</v>
      </c>
      <c r="C11573" s="8">
        <v>20.478950000000001</v>
      </c>
      <c r="D11573" s="8">
        <v>73</v>
      </c>
      <c r="E11573" s="8">
        <v>0</v>
      </c>
      <c r="F11573" s="8">
        <v>0</v>
      </c>
      <c r="G11573" s="8">
        <v>10</v>
      </c>
      <c r="H11573" s="8" t="s">
        <v>48784</v>
      </c>
      <c r="I11573" s="8">
        <v>527.4375</v>
      </c>
      <c r="J11573" s="3">
        <f t="shared" si="180"/>
        <v>43749.32818319444</v>
      </c>
    </row>
    <row r="11574" spans="1:10" x14ac:dyDescent="0.25">
      <c r="A11574" s="5" t="s">
        <v>48785</v>
      </c>
      <c r="B11574" s="6">
        <v>396.875</v>
      </c>
      <c r="C11574" s="6">
        <v>20.478950000000001</v>
      </c>
      <c r="D11574" s="6">
        <v>74</v>
      </c>
      <c r="E11574" s="6">
        <v>0</v>
      </c>
      <c r="F11574" s="6">
        <v>0</v>
      </c>
      <c r="G11574" s="6">
        <v>8</v>
      </c>
      <c r="H11574" s="6" t="s">
        <v>48786</v>
      </c>
      <c r="I11574" s="6">
        <v>527.4375</v>
      </c>
      <c r="J11574" s="2">
        <f t="shared" si="180"/>
        <v>43749.328254537038</v>
      </c>
    </row>
    <row r="11575" spans="1:10" x14ac:dyDescent="0.25">
      <c r="A11575" s="7" t="s">
        <v>48787</v>
      </c>
      <c r="B11575" s="8">
        <v>418.75</v>
      </c>
      <c r="C11575" s="8">
        <v>20.478950000000001</v>
      </c>
      <c r="D11575" s="8">
        <v>74</v>
      </c>
      <c r="E11575" s="8">
        <v>0</v>
      </c>
      <c r="F11575" s="8">
        <v>0</v>
      </c>
      <c r="G11575" s="8">
        <v>12</v>
      </c>
      <c r="H11575" s="8" t="s">
        <v>48788</v>
      </c>
      <c r="I11575" s="8">
        <v>534</v>
      </c>
      <c r="J11575" s="3">
        <f t="shared" si="180"/>
        <v>43749.328325856484</v>
      </c>
    </row>
    <row r="11576" spans="1:10" x14ac:dyDescent="0.25">
      <c r="A11576" s="5" t="s">
        <v>48789</v>
      </c>
      <c r="B11576" s="6">
        <v>400</v>
      </c>
      <c r="C11576" s="6">
        <v>20.478950000000001</v>
      </c>
      <c r="D11576" s="6">
        <v>74</v>
      </c>
      <c r="E11576" s="6">
        <v>0</v>
      </c>
      <c r="F11576" s="6">
        <v>0</v>
      </c>
      <c r="G11576" s="6">
        <v>18</v>
      </c>
      <c r="H11576" s="6" t="s">
        <v>48790</v>
      </c>
      <c r="I11576" s="6">
        <v>528.1875</v>
      </c>
      <c r="J11576" s="2">
        <f t="shared" si="180"/>
        <v>43749.328398067126</v>
      </c>
    </row>
    <row r="11577" spans="1:10" x14ac:dyDescent="0.25">
      <c r="A11577" s="7" t="s">
        <v>48791</v>
      </c>
      <c r="B11577" s="8">
        <v>403.125</v>
      </c>
      <c r="C11577" s="8">
        <v>20.478950000000001</v>
      </c>
      <c r="D11577" s="8">
        <v>74</v>
      </c>
      <c r="E11577" s="8">
        <v>0</v>
      </c>
      <c r="F11577" s="8">
        <v>0</v>
      </c>
      <c r="G11577" s="8">
        <v>11</v>
      </c>
      <c r="H11577" s="8" t="s">
        <v>48792</v>
      </c>
      <c r="I11577" s="8">
        <v>529.125</v>
      </c>
      <c r="J11577" s="3">
        <f t="shared" si="180"/>
        <v>43749.328469016204</v>
      </c>
    </row>
    <row r="11578" spans="1:10" x14ac:dyDescent="0.25">
      <c r="A11578" s="5" t="s">
        <v>48793</v>
      </c>
      <c r="B11578" s="6">
        <v>403.125</v>
      </c>
      <c r="C11578" s="6">
        <v>20.478950000000001</v>
      </c>
      <c r="D11578" s="6">
        <v>74</v>
      </c>
      <c r="E11578" s="6">
        <v>0</v>
      </c>
      <c r="F11578" s="6">
        <v>0</v>
      </c>
      <c r="G11578" s="6">
        <v>4</v>
      </c>
      <c r="H11578" s="6" t="s">
        <v>48794</v>
      </c>
      <c r="I11578" s="6">
        <v>529.125</v>
      </c>
      <c r="J11578" s="2">
        <f t="shared" si="180"/>
        <v>43749.328540497685</v>
      </c>
    </row>
    <row r="11579" spans="1:10" x14ac:dyDescent="0.25">
      <c r="A11579" s="7" t="s">
        <v>48795</v>
      </c>
      <c r="B11579" s="8">
        <v>403.125</v>
      </c>
      <c r="C11579" s="8">
        <v>20.478950000000001</v>
      </c>
      <c r="D11579" s="8">
        <v>73</v>
      </c>
      <c r="E11579" s="8">
        <v>0</v>
      </c>
      <c r="F11579" s="8">
        <v>0</v>
      </c>
      <c r="G11579" s="8">
        <v>11</v>
      </c>
      <c r="H11579" s="8" t="s">
        <v>48796</v>
      </c>
      <c r="I11579" s="8">
        <v>529.875</v>
      </c>
      <c r="J11579" s="3">
        <f t="shared" si="180"/>
        <v>43749.328612210644</v>
      </c>
    </row>
    <row r="11580" spans="1:10" x14ac:dyDescent="0.25">
      <c r="A11580" s="5" t="s">
        <v>48797</v>
      </c>
      <c r="B11580" s="6">
        <v>403.125</v>
      </c>
      <c r="C11580" s="6">
        <v>20.478950000000001</v>
      </c>
      <c r="D11580" s="6">
        <v>74</v>
      </c>
      <c r="E11580" s="6">
        <v>0</v>
      </c>
      <c r="F11580" s="6">
        <v>0</v>
      </c>
      <c r="G11580" s="6">
        <v>12</v>
      </c>
      <c r="H11580" s="6" t="s">
        <v>48798</v>
      </c>
      <c r="I11580" s="6">
        <v>529.875</v>
      </c>
      <c r="J11580" s="2">
        <f t="shared" si="180"/>
        <v>43749.328683587963</v>
      </c>
    </row>
    <row r="11581" spans="1:10" x14ac:dyDescent="0.25">
      <c r="A11581" s="7" t="s">
        <v>48799</v>
      </c>
      <c r="B11581" s="8">
        <v>403.125</v>
      </c>
      <c r="C11581" s="8">
        <v>20.478950000000001</v>
      </c>
      <c r="D11581" s="8">
        <v>74</v>
      </c>
      <c r="E11581" s="8">
        <v>0</v>
      </c>
      <c r="F11581" s="8">
        <v>0</v>
      </c>
      <c r="G11581" s="8">
        <v>8</v>
      </c>
      <c r="H11581" s="8" t="s">
        <v>48800</v>
      </c>
      <c r="I11581" s="8">
        <v>529.875</v>
      </c>
      <c r="J11581" s="3">
        <f t="shared" si="180"/>
        <v>43749.328755196759</v>
      </c>
    </row>
    <row r="11582" spans="1:10" x14ac:dyDescent="0.25">
      <c r="A11582" s="5" t="s">
        <v>48801</v>
      </c>
      <c r="B11582" s="6">
        <v>403.125</v>
      </c>
      <c r="C11582" s="6">
        <v>20.478950000000001</v>
      </c>
      <c r="D11582" s="6">
        <v>74</v>
      </c>
      <c r="E11582" s="6">
        <v>0</v>
      </c>
      <c r="F11582" s="6">
        <v>0</v>
      </c>
      <c r="G11582" s="6">
        <v>5</v>
      </c>
      <c r="H11582" s="6" t="s">
        <v>48802</v>
      </c>
      <c r="I11582" s="6">
        <v>529.875</v>
      </c>
      <c r="J11582" s="2">
        <f t="shared" si="180"/>
        <v>43749.32882693287</v>
      </c>
    </row>
    <row r="11583" spans="1:10" x14ac:dyDescent="0.25">
      <c r="A11583" s="7" t="s">
        <v>48803</v>
      </c>
      <c r="B11583" s="8">
        <v>403.125</v>
      </c>
      <c r="C11583" s="8">
        <v>20.478950000000001</v>
      </c>
      <c r="D11583" s="8">
        <v>73</v>
      </c>
      <c r="E11583" s="8">
        <v>0</v>
      </c>
      <c r="F11583" s="8">
        <v>0</v>
      </c>
      <c r="G11583" s="8">
        <v>0</v>
      </c>
      <c r="H11583" s="8" t="s">
        <v>48804</v>
      </c>
      <c r="I11583" s="8">
        <v>529.875</v>
      </c>
      <c r="J11583" s="3">
        <f t="shared" si="180"/>
        <v>43749.328898298605</v>
      </c>
    </row>
    <row r="11584" spans="1:10" x14ac:dyDescent="0.25">
      <c r="A11584" s="5" t="s">
        <v>48805</v>
      </c>
      <c r="B11584" s="6">
        <v>406.25</v>
      </c>
      <c r="C11584" s="6">
        <v>20.478950000000001</v>
      </c>
      <c r="D11584" s="6">
        <v>73</v>
      </c>
      <c r="E11584" s="6">
        <v>0</v>
      </c>
      <c r="F11584" s="6">
        <v>0</v>
      </c>
      <c r="G11584" s="6">
        <v>0</v>
      </c>
      <c r="H11584" s="6" t="s">
        <v>48806</v>
      </c>
      <c r="I11584" s="6">
        <v>530.8125</v>
      </c>
      <c r="J11584" s="2">
        <f t="shared" si="180"/>
        <v>43749.328972025462</v>
      </c>
    </row>
    <row r="11585" spans="1:10" x14ac:dyDescent="0.25">
      <c r="A11585" s="7" t="s">
        <v>48807</v>
      </c>
      <c r="B11585" s="8">
        <v>403.125</v>
      </c>
      <c r="C11585" s="8">
        <v>20.478950000000001</v>
      </c>
      <c r="D11585" s="8">
        <v>72</v>
      </c>
      <c r="E11585" s="8">
        <v>0</v>
      </c>
      <c r="F11585" s="8">
        <v>0</v>
      </c>
      <c r="G11585" s="8">
        <v>6</v>
      </c>
      <c r="H11585" s="8" t="s">
        <v>48808</v>
      </c>
      <c r="I11585" s="8">
        <v>529.875</v>
      </c>
      <c r="J11585" s="3">
        <f t="shared" si="180"/>
        <v>43749.329053807865</v>
      </c>
    </row>
    <row r="11586" spans="1:10" x14ac:dyDescent="0.25">
      <c r="A11586" s="5" t="s">
        <v>48809</v>
      </c>
      <c r="B11586" s="6">
        <v>403.125</v>
      </c>
      <c r="C11586" s="6">
        <v>20.478950000000001</v>
      </c>
      <c r="D11586" s="6">
        <v>73</v>
      </c>
      <c r="E11586" s="6">
        <v>0</v>
      </c>
      <c r="F11586" s="6">
        <v>0</v>
      </c>
      <c r="G11586" s="6">
        <v>6</v>
      </c>
      <c r="H11586" s="6" t="s">
        <v>48810</v>
      </c>
      <c r="I11586" s="6">
        <v>529.875</v>
      </c>
      <c r="J11586" s="2">
        <f t="shared" ref="J11586:J11649" si="181">(H11586/86400000)+25569+(7/24)</f>
        <v>43749.329125497687</v>
      </c>
    </row>
    <row r="11587" spans="1:10" x14ac:dyDescent="0.25">
      <c r="A11587" s="7" t="s">
        <v>48811</v>
      </c>
      <c r="B11587" s="8">
        <v>434.375</v>
      </c>
      <c r="C11587" s="8">
        <v>20.478950000000001</v>
      </c>
      <c r="D11587" s="8">
        <v>73</v>
      </c>
      <c r="E11587" s="8">
        <v>0</v>
      </c>
      <c r="F11587" s="8">
        <v>0</v>
      </c>
      <c r="G11587" s="8">
        <v>5</v>
      </c>
      <c r="H11587" s="8" t="s">
        <v>48812</v>
      </c>
      <c r="I11587" s="8">
        <v>539.25</v>
      </c>
      <c r="J11587" s="3">
        <f t="shared" si="181"/>
        <v>43749.32919679398</v>
      </c>
    </row>
    <row r="11588" spans="1:10" x14ac:dyDescent="0.25">
      <c r="A11588" s="5" t="s">
        <v>48813</v>
      </c>
      <c r="B11588" s="6">
        <v>403.125</v>
      </c>
      <c r="C11588" s="6">
        <v>20.478950000000001</v>
      </c>
      <c r="D11588" s="6">
        <v>73</v>
      </c>
      <c r="E11588" s="6">
        <v>0</v>
      </c>
      <c r="F11588" s="6">
        <v>0</v>
      </c>
      <c r="G11588" s="6">
        <v>13</v>
      </c>
      <c r="H11588" s="6" t="s">
        <v>48814</v>
      </c>
      <c r="I11588" s="6">
        <v>529.125</v>
      </c>
      <c r="J11588" s="2">
        <f t="shared" si="181"/>
        <v>43749.329268506939</v>
      </c>
    </row>
    <row r="11589" spans="1:10" x14ac:dyDescent="0.25">
      <c r="A11589" s="7" t="s">
        <v>48815</v>
      </c>
      <c r="B11589" s="8">
        <v>403.125</v>
      </c>
      <c r="C11589" s="8">
        <v>20.478950000000001</v>
      </c>
      <c r="D11589" s="8">
        <v>73</v>
      </c>
      <c r="E11589" s="8">
        <v>0</v>
      </c>
      <c r="F11589" s="8">
        <v>0</v>
      </c>
      <c r="G11589" s="8">
        <v>5</v>
      </c>
      <c r="H11589" s="8" t="s">
        <v>48816</v>
      </c>
      <c r="I11589" s="8">
        <v>529.125</v>
      </c>
      <c r="J11589" s="3">
        <f t="shared" si="181"/>
        <v>43749.329340162039</v>
      </c>
    </row>
    <row r="11590" spans="1:10" x14ac:dyDescent="0.25">
      <c r="A11590" s="5" t="s">
        <v>48817</v>
      </c>
      <c r="B11590" s="6">
        <v>403.125</v>
      </c>
      <c r="C11590" s="6">
        <v>20.478950000000001</v>
      </c>
      <c r="D11590" s="6">
        <v>73</v>
      </c>
      <c r="E11590" s="6">
        <v>0</v>
      </c>
      <c r="F11590" s="6">
        <v>0</v>
      </c>
      <c r="G11590" s="6">
        <v>0</v>
      </c>
      <c r="H11590" s="6" t="s">
        <v>48818</v>
      </c>
      <c r="I11590" s="6">
        <v>529.125</v>
      </c>
      <c r="J11590" s="2">
        <f t="shared" si="181"/>
        <v>43749.3294111574</v>
      </c>
    </row>
    <row r="11591" spans="1:10" x14ac:dyDescent="0.25">
      <c r="A11591" s="7" t="s">
        <v>48819</v>
      </c>
      <c r="B11591" s="8">
        <v>403.125</v>
      </c>
      <c r="C11591" s="8">
        <v>20.478950000000001</v>
      </c>
      <c r="D11591" s="8">
        <v>71</v>
      </c>
      <c r="E11591" s="8">
        <v>0</v>
      </c>
      <c r="F11591" s="8">
        <v>0</v>
      </c>
      <c r="G11591" s="8">
        <v>5</v>
      </c>
      <c r="H11591" s="8" t="s">
        <v>48820</v>
      </c>
      <c r="I11591" s="8">
        <v>529.125</v>
      </c>
      <c r="J11591" s="3">
        <f t="shared" si="181"/>
        <v>43749.329482754627</v>
      </c>
    </row>
    <row r="11592" spans="1:10" x14ac:dyDescent="0.25">
      <c r="A11592" s="5" t="s">
        <v>48821</v>
      </c>
      <c r="B11592" s="6">
        <v>403.125</v>
      </c>
      <c r="C11592" s="6">
        <v>20.478950000000001</v>
      </c>
      <c r="D11592" s="6">
        <v>71</v>
      </c>
      <c r="E11592" s="6">
        <v>0</v>
      </c>
      <c r="F11592" s="6">
        <v>0</v>
      </c>
      <c r="G11592" s="6">
        <v>3</v>
      </c>
      <c r="H11592" s="6" t="s">
        <v>48822</v>
      </c>
      <c r="I11592" s="6">
        <v>529.125</v>
      </c>
      <c r="J11592" s="2">
        <f t="shared" si="181"/>
        <v>43749.329554444441</v>
      </c>
    </row>
    <row r="11593" spans="1:10" x14ac:dyDescent="0.25">
      <c r="A11593" s="7" t="s">
        <v>48823</v>
      </c>
      <c r="B11593" s="8">
        <v>400</v>
      </c>
      <c r="C11593" s="8">
        <v>20.478950000000001</v>
      </c>
      <c r="D11593" s="8">
        <v>71</v>
      </c>
      <c r="E11593" s="8">
        <v>0</v>
      </c>
      <c r="F11593" s="8">
        <v>0</v>
      </c>
      <c r="G11593" s="8">
        <v>8</v>
      </c>
      <c r="H11593" s="8" t="s">
        <v>48824</v>
      </c>
      <c r="I11593" s="8">
        <v>528.1875</v>
      </c>
      <c r="J11593" s="3">
        <f t="shared" si="181"/>
        <v>43749.329626585641</v>
      </c>
    </row>
    <row r="11594" spans="1:10" x14ac:dyDescent="0.25">
      <c r="A11594" s="5" t="s">
        <v>48825</v>
      </c>
      <c r="B11594" s="6">
        <v>400</v>
      </c>
      <c r="C11594" s="6">
        <v>20.478950000000001</v>
      </c>
      <c r="D11594" s="6">
        <v>71</v>
      </c>
      <c r="E11594" s="6">
        <v>0</v>
      </c>
      <c r="F11594" s="6">
        <v>0</v>
      </c>
      <c r="G11594" s="6">
        <v>10</v>
      </c>
      <c r="H11594" s="6" t="s">
        <v>48826</v>
      </c>
      <c r="I11594" s="6">
        <v>528.1875</v>
      </c>
      <c r="J11594" s="2">
        <f t="shared" si="181"/>
        <v>43749.329734560182</v>
      </c>
    </row>
    <row r="11595" spans="1:10" x14ac:dyDescent="0.25">
      <c r="A11595" s="7" t="s">
        <v>48827</v>
      </c>
      <c r="B11595" s="8">
        <v>396.875</v>
      </c>
      <c r="C11595" s="8">
        <v>20.478950000000001</v>
      </c>
      <c r="D11595" s="8">
        <v>71</v>
      </c>
      <c r="E11595" s="8">
        <v>0</v>
      </c>
      <c r="F11595" s="8">
        <v>0</v>
      </c>
      <c r="G11595" s="8">
        <v>7</v>
      </c>
      <c r="H11595" s="8" t="s">
        <v>48828</v>
      </c>
      <c r="I11595" s="8">
        <v>527.4375</v>
      </c>
      <c r="J11595" s="3">
        <f t="shared" si="181"/>
        <v>43749.329805312496</v>
      </c>
    </row>
    <row r="11596" spans="1:10" x14ac:dyDescent="0.25">
      <c r="A11596" s="5" t="s">
        <v>48829</v>
      </c>
      <c r="B11596" s="6">
        <v>393.75</v>
      </c>
      <c r="C11596" s="6">
        <v>20.478950000000001</v>
      </c>
      <c r="D11596" s="6">
        <v>70</v>
      </c>
      <c r="E11596" s="6">
        <v>0</v>
      </c>
      <c r="F11596" s="6">
        <v>0</v>
      </c>
      <c r="G11596" s="6">
        <v>5</v>
      </c>
      <c r="H11596" s="6" t="s">
        <v>48830</v>
      </c>
      <c r="I11596" s="6">
        <v>526.6875</v>
      </c>
      <c r="J11596" s="2">
        <f t="shared" si="181"/>
        <v>43749.329876585645</v>
      </c>
    </row>
    <row r="11597" spans="1:10" x14ac:dyDescent="0.25">
      <c r="A11597" s="7" t="s">
        <v>48831</v>
      </c>
      <c r="B11597" s="8">
        <v>393.75</v>
      </c>
      <c r="C11597" s="8">
        <v>20.478950000000001</v>
      </c>
      <c r="D11597" s="8">
        <v>70</v>
      </c>
      <c r="E11597" s="8">
        <v>0</v>
      </c>
      <c r="F11597" s="8">
        <v>0</v>
      </c>
      <c r="G11597" s="8">
        <v>10</v>
      </c>
      <c r="H11597" s="8" t="s">
        <v>48832</v>
      </c>
      <c r="I11597" s="8">
        <v>526.6875</v>
      </c>
      <c r="J11597" s="3">
        <f t="shared" si="181"/>
        <v>43749.329959699076</v>
      </c>
    </row>
    <row r="11598" spans="1:10" x14ac:dyDescent="0.25">
      <c r="A11598" s="5" t="s">
        <v>48833</v>
      </c>
      <c r="B11598" s="6">
        <v>393.75</v>
      </c>
      <c r="C11598" s="6">
        <v>20.478950000000001</v>
      </c>
      <c r="D11598" s="6">
        <v>69</v>
      </c>
      <c r="E11598" s="6">
        <v>0</v>
      </c>
      <c r="F11598" s="6">
        <v>0</v>
      </c>
      <c r="G11598" s="6">
        <v>8</v>
      </c>
      <c r="H11598" s="6" t="s">
        <v>48834</v>
      </c>
      <c r="I11598" s="6">
        <v>526.6875</v>
      </c>
      <c r="J11598" s="2">
        <f t="shared" si="181"/>
        <v>43749.330031342593</v>
      </c>
    </row>
    <row r="11599" spans="1:10" x14ac:dyDescent="0.25">
      <c r="A11599" s="7" t="s">
        <v>48835</v>
      </c>
      <c r="B11599" s="8">
        <v>393.75</v>
      </c>
      <c r="C11599" s="8">
        <v>20.478950000000001</v>
      </c>
      <c r="D11599" s="8">
        <v>69</v>
      </c>
      <c r="E11599" s="8">
        <v>0</v>
      </c>
      <c r="F11599" s="8">
        <v>0</v>
      </c>
      <c r="G11599" s="8">
        <v>8</v>
      </c>
      <c r="H11599" s="8" t="s">
        <v>48836</v>
      </c>
      <c r="I11599" s="8">
        <v>526.5</v>
      </c>
      <c r="J11599" s="3">
        <f t="shared" si="181"/>
        <v>43749.330102974534</v>
      </c>
    </row>
    <row r="11600" spans="1:10" x14ac:dyDescent="0.25">
      <c r="A11600" s="5" t="s">
        <v>48837</v>
      </c>
      <c r="B11600" s="6">
        <v>415.625</v>
      </c>
      <c r="C11600" s="6">
        <v>20.478950000000001</v>
      </c>
      <c r="D11600" s="6">
        <v>71</v>
      </c>
      <c r="E11600" s="6">
        <v>0</v>
      </c>
      <c r="F11600" s="6">
        <v>0</v>
      </c>
      <c r="G11600" s="6">
        <v>6</v>
      </c>
      <c r="H11600" s="6" t="s">
        <v>48838</v>
      </c>
      <c r="I11600" s="6">
        <v>533.8125</v>
      </c>
      <c r="J11600" s="2">
        <f t="shared" si="181"/>
        <v>43749.33018655092</v>
      </c>
    </row>
    <row r="11601" spans="1:10" x14ac:dyDescent="0.25">
      <c r="A11601" s="7" t="s">
        <v>48839</v>
      </c>
      <c r="B11601" s="8">
        <v>396.875</v>
      </c>
      <c r="C11601" s="8">
        <v>20.478950000000001</v>
      </c>
      <c r="D11601" s="8">
        <v>70</v>
      </c>
      <c r="E11601" s="8">
        <v>0</v>
      </c>
      <c r="F11601" s="8">
        <v>0</v>
      </c>
      <c r="G11601" s="8">
        <v>10</v>
      </c>
      <c r="H11601" s="8" t="s">
        <v>48840</v>
      </c>
      <c r="I11601" s="8">
        <v>527.4375</v>
      </c>
      <c r="J11601" s="3">
        <f t="shared" si="181"/>
        <v>43749.33025825231</v>
      </c>
    </row>
    <row r="11602" spans="1:10" x14ac:dyDescent="0.25">
      <c r="A11602" s="5" t="s">
        <v>48841</v>
      </c>
      <c r="B11602" s="6">
        <v>396.875</v>
      </c>
      <c r="C11602" s="6">
        <v>20.478950000000001</v>
      </c>
      <c r="D11602" s="6">
        <v>67</v>
      </c>
      <c r="E11602" s="6">
        <v>0</v>
      </c>
      <c r="F11602" s="6">
        <v>0</v>
      </c>
      <c r="G11602" s="6">
        <v>13</v>
      </c>
      <c r="H11602" s="6" t="s">
        <v>48842</v>
      </c>
      <c r="I11602" s="6">
        <v>527.4375</v>
      </c>
      <c r="J11602" s="2">
        <f t="shared" si="181"/>
        <v>43749.330329594908</v>
      </c>
    </row>
    <row r="11603" spans="1:10" x14ac:dyDescent="0.25">
      <c r="A11603" s="7" t="s">
        <v>48843</v>
      </c>
      <c r="B11603" s="8">
        <v>396.875</v>
      </c>
      <c r="C11603" s="8">
        <v>20.478950000000001</v>
      </c>
      <c r="D11603" s="8">
        <v>68</v>
      </c>
      <c r="E11603" s="8">
        <v>0</v>
      </c>
      <c r="F11603" s="8">
        <v>0</v>
      </c>
      <c r="G11603" s="8">
        <v>5</v>
      </c>
      <c r="H11603" s="8" t="s">
        <v>48844</v>
      </c>
      <c r="I11603" s="8">
        <v>527.4375</v>
      </c>
      <c r="J11603" s="3">
        <f t="shared" si="181"/>
        <v>43749.330401134255</v>
      </c>
    </row>
    <row r="11604" spans="1:10" x14ac:dyDescent="0.25">
      <c r="A11604" s="5" t="s">
        <v>48845</v>
      </c>
      <c r="B11604" s="6">
        <v>396.875</v>
      </c>
      <c r="C11604" s="6">
        <v>20.478950000000001</v>
      </c>
      <c r="D11604" s="6">
        <v>74</v>
      </c>
      <c r="E11604" s="6">
        <v>0</v>
      </c>
      <c r="F11604" s="6">
        <v>0</v>
      </c>
      <c r="G11604" s="6">
        <v>10</v>
      </c>
      <c r="H11604" s="6" t="s">
        <v>48846</v>
      </c>
      <c r="I11604" s="6">
        <v>527.4375</v>
      </c>
      <c r="J11604" s="2">
        <f t="shared" si="181"/>
        <v>43749.330484583326</v>
      </c>
    </row>
    <row r="11605" spans="1:10" x14ac:dyDescent="0.25">
      <c r="A11605" s="7" t="s">
        <v>48847</v>
      </c>
      <c r="B11605" s="8">
        <v>396.875</v>
      </c>
      <c r="C11605" s="8">
        <v>20.478950000000001</v>
      </c>
      <c r="D11605" s="8">
        <v>74</v>
      </c>
      <c r="E11605" s="8">
        <v>0</v>
      </c>
      <c r="F11605" s="8">
        <v>0</v>
      </c>
      <c r="G11605" s="8">
        <v>11</v>
      </c>
      <c r="H11605" s="8" t="s">
        <v>48848</v>
      </c>
      <c r="I11605" s="8">
        <v>527.4375</v>
      </c>
      <c r="J11605" s="3">
        <f t="shared" si="181"/>
        <v>43749.33055663194</v>
      </c>
    </row>
    <row r="11606" spans="1:10" x14ac:dyDescent="0.25">
      <c r="A11606" s="5" t="s">
        <v>48849</v>
      </c>
      <c r="B11606" s="6">
        <v>396.875</v>
      </c>
      <c r="C11606" s="6">
        <v>20.426300000000001</v>
      </c>
      <c r="D11606" s="6">
        <v>74</v>
      </c>
      <c r="E11606" s="6">
        <v>0</v>
      </c>
      <c r="F11606" s="6">
        <v>0</v>
      </c>
      <c r="G11606" s="6">
        <v>9</v>
      </c>
      <c r="H11606" s="6" t="s">
        <v>48850</v>
      </c>
      <c r="I11606" s="6">
        <v>527.4375</v>
      </c>
      <c r="J11606" s="2">
        <f t="shared" si="181"/>
        <v>43749.330627696756</v>
      </c>
    </row>
    <row r="11607" spans="1:10" x14ac:dyDescent="0.25">
      <c r="A11607" s="7" t="s">
        <v>48851</v>
      </c>
      <c r="B11607" s="8">
        <v>393.75</v>
      </c>
      <c r="C11607" s="8">
        <v>20.478950000000001</v>
      </c>
      <c r="D11607" s="8">
        <v>73</v>
      </c>
      <c r="E11607" s="8">
        <v>0</v>
      </c>
      <c r="F11607" s="8">
        <v>0</v>
      </c>
      <c r="G11607" s="8">
        <v>11</v>
      </c>
      <c r="H11607" s="8" t="s">
        <v>48852</v>
      </c>
      <c r="I11607" s="8">
        <v>526.6875</v>
      </c>
      <c r="J11607" s="3">
        <f t="shared" si="181"/>
        <v>43749.330699340273</v>
      </c>
    </row>
    <row r="11608" spans="1:10" x14ac:dyDescent="0.25">
      <c r="A11608" s="5" t="s">
        <v>48853</v>
      </c>
      <c r="B11608" s="6">
        <v>412.5</v>
      </c>
      <c r="C11608" s="6">
        <v>20.478950000000001</v>
      </c>
      <c r="D11608" s="6">
        <v>74</v>
      </c>
      <c r="E11608" s="6">
        <v>0</v>
      </c>
      <c r="F11608" s="6">
        <v>0</v>
      </c>
      <c r="G11608" s="6">
        <v>15</v>
      </c>
      <c r="H11608" s="6" t="s">
        <v>48854</v>
      </c>
      <c r="I11608" s="6">
        <v>532.3125</v>
      </c>
      <c r="J11608" s="2">
        <f t="shared" si="181"/>
        <v>43749.330771168978</v>
      </c>
    </row>
    <row r="11609" spans="1:10" x14ac:dyDescent="0.25">
      <c r="A11609" s="7" t="s">
        <v>48855</v>
      </c>
      <c r="B11609" s="8">
        <v>393.75</v>
      </c>
      <c r="C11609" s="8">
        <v>20.478950000000001</v>
      </c>
      <c r="D11609" s="8">
        <v>73</v>
      </c>
      <c r="E11609" s="8">
        <v>0</v>
      </c>
      <c r="F11609" s="8">
        <v>0</v>
      </c>
      <c r="G11609" s="8">
        <v>8</v>
      </c>
      <c r="H11609" s="8" t="s">
        <v>48856</v>
      </c>
      <c r="I11609" s="8">
        <v>526.6875</v>
      </c>
      <c r="J11609" s="3">
        <f t="shared" si="181"/>
        <v>43749.33084239583</v>
      </c>
    </row>
    <row r="11610" spans="1:10" x14ac:dyDescent="0.25">
      <c r="A11610" s="5" t="s">
        <v>48857</v>
      </c>
      <c r="B11610" s="6">
        <v>393.75</v>
      </c>
      <c r="C11610" s="6">
        <v>20.478950000000001</v>
      </c>
      <c r="D11610" s="6">
        <v>74</v>
      </c>
      <c r="E11610" s="6">
        <v>0</v>
      </c>
      <c r="F11610" s="6">
        <v>0</v>
      </c>
      <c r="G11610" s="6">
        <v>3</v>
      </c>
      <c r="H11610" s="6" t="s">
        <v>48858</v>
      </c>
      <c r="I11610" s="6">
        <v>526.6875</v>
      </c>
      <c r="J11610" s="2">
        <f t="shared" si="181"/>
        <v>43749.330914201382</v>
      </c>
    </row>
    <row r="11611" spans="1:10" x14ac:dyDescent="0.25">
      <c r="A11611" s="7" t="s">
        <v>48859</v>
      </c>
      <c r="B11611" s="8">
        <v>393.75</v>
      </c>
      <c r="C11611" s="8">
        <v>20.478950000000001</v>
      </c>
      <c r="D11611" s="8">
        <v>74</v>
      </c>
      <c r="E11611" s="8">
        <v>0</v>
      </c>
      <c r="F11611" s="8">
        <v>0</v>
      </c>
      <c r="G11611" s="8">
        <v>7</v>
      </c>
      <c r="H11611" s="8" t="s">
        <v>48860</v>
      </c>
      <c r="I11611" s="8">
        <v>526.6875</v>
      </c>
      <c r="J11611" s="3">
        <f t="shared" si="181"/>
        <v>43749.330985509259</v>
      </c>
    </row>
    <row r="11612" spans="1:10" x14ac:dyDescent="0.25">
      <c r="A11612" s="5" t="s">
        <v>48861</v>
      </c>
      <c r="B11612" s="6">
        <v>409.375</v>
      </c>
      <c r="C11612" s="6">
        <v>20.478950000000001</v>
      </c>
      <c r="D11612" s="6">
        <v>74</v>
      </c>
      <c r="E11612" s="6">
        <v>0</v>
      </c>
      <c r="F11612" s="6">
        <v>0</v>
      </c>
      <c r="G11612" s="6">
        <v>9</v>
      </c>
      <c r="H11612" s="6" t="s">
        <v>48862</v>
      </c>
      <c r="I11612" s="6">
        <v>531.375</v>
      </c>
      <c r="J11612" s="2">
        <f t="shared" si="181"/>
        <v>43749.331057719908</v>
      </c>
    </row>
    <row r="11613" spans="1:10" x14ac:dyDescent="0.25">
      <c r="A11613" s="7" t="s">
        <v>48863</v>
      </c>
      <c r="B11613" s="8">
        <v>393.75</v>
      </c>
      <c r="C11613" s="8">
        <v>20.478950000000001</v>
      </c>
      <c r="D11613" s="8">
        <v>74</v>
      </c>
      <c r="E11613" s="8">
        <v>0</v>
      </c>
      <c r="F11613" s="8">
        <v>0</v>
      </c>
      <c r="G11613" s="8">
        <v>16</v>
      </c>
      <c r="H11613" s="8" t="s">
        <v>48864</v>
      </c>
      <c r="I11613" s="8">
        <v>526.6875</v>
      </c>
      <c r="J11613" s="3">
        <f t="shared" si="181"/>
        <v>43749.331129039354</v>
      </c>
    </row>
    <row r="11614" spans="1:10" x14ac:dyDescent="0.25">
      <c r="A11614" s="5" t="s">
        <v>48865</v>
      </c>
      <c r="B11614" s="6">
        <v>393.75</v>
      </c>
      <c r="C11614" s="6">
        <v>20.478950000000001</v>
      </c>
      <c r="D11614" s="6">
        <v>72</v>
      </c>
      <c r="E11614" s="6">
        <v>0</v>
      </c>
      <c r="F11614" s="6">
        <v>0</v>
      </c>
      <c r="G11614" s="6">
        <v>7</v>
      </c>
      <c r="H11614" s="6" t="s">
        <v>48866</v>
      </c>
      <c r="I11614" s="6">
        <v>526.6875</v>
      </c>
      <c r="J11614" s="2">
        <f t="shared" si="181"/>
        <v>43749.331200335648</v>
      </c>
    </row>
    <row r="11615" spans="1:10" x14ac:dyDescent="0.25">
      <c r="A11615" s="7" t="s">
        <v>48867</v>
      </c>
      <c r="B11615" s="8">
        <v>396.875</v>
      </c>
      <c r="C11615" s="8">
        <v>20.478950000000001</v>
      </c>
      <c r="D11615" s="8">
        <v>72</v>
      </c>
      <c r="E11615" s="8">
        <v>0</v>
      </c>
      <c r="F11615" s="8">
        <v>0</v>
      </c>
      <c r="G11615" s="8">
        <v>9</v>
      </c>
      <c r="H11615" s="8" t="s">
        <v>48868</v>
      </c>
      <c r="I11615" s="8">
        <v>527.4375</v>
      </c>
      <c r="J11615" s="3">
        <f t="shared" si="181"/>
        <v>43749.331272314812</v>
      </c>
    </row>
    <row r="11616" spans="1:10" x14ac:dyDescent="0.25">
      <c r="A11616" s="5" t="s">
        <v>48869</v>
      </c>
      <c r="B11616" s="6">
        <v>396.875</v>
      </c>
      <c r="C11616" s="6">
        <v>20.478950000000001</v>
      </c>
      <c r="D11616" s="6">
        <v>71</v>
      </c>
      <c r="E11616" s="6">
        <v>0</v>
      </c>
      <c r="F11616" s="6">
        <v>0</v>
      </c>
      <c r="G11616" s="6">
        <v>16</v>
      </c>
      <c r="H11616" s="6" t="s">
        <v>48870</v>
      </c>
      <c r="I11616" s="6">
        <v>527.4375</v>
      </c>
      <c r="J11616" s="2">
        <f t="shared" si="181"/>
        <v>43749.33134384259</v>
      </c>
    </row>
    <row r="11617" spans="1:10" x14ac:dyDescent="0.25">
      <c r="A11617" s="7" t="s">
        <v>48871</v>
      </c>
      <c r="B11617" s="8">
        <v>396.875</v>
      </c>
      <c r="C11617" s="8">
        <v>20.478950000000001</v>
      </c>
      <c r="D11617" s="8">
        <v>71</v>
      </c>
      <c r="E11617" s="8">
        <v>0</v>
      </c>
      <c r="F11617" s="8">
        <v>0</v>
      </c>
      <c r="G11617" s="8">
        <v>13</v>
      </c>
      <c r="H11617" s="8" t="s">
        <v>48872</v>
      </c>
      <c r="I11617" s="8">
        <v>527.4375</v>
      </c>
      <c r="J11617" s="3">
        <f t="shared" si="181"/>
        <v>43749.331415138884</v>
      </c>
    </row>
    <row r="11618" spans="1:10" x14ac:dyDescent="0.25">
      <c r="A11618" s="5" t="s">
        <v>48873</v>
      </c>
      <c r="B11618" s="6">
        <v>396.875</v>
      </c>
      <c r="C11618" s="6">
        <v>20.478950000000001</v>
      </c>
      <c r="D11618" s="6">
        <v>71</v>
      </c>
      <c r="E11618" s="6">
        <v>0</v>
      </c>
      <c r="F11618" s="6">
        <v>0</v>
      </c>
      <c r="G11618" s="6">
        <v>6</v>
      </c>
      <c r="H11618" s="6" t="s">
        <v>48874</v>
      </c>
      <c r="I11618" s="6">
        <v>527.4375</v>
      </c>
      <c r="J11618" s="2">
        <f t="shared" si="181"/>
        <v>43749.331486435178</v>
      </c>
    </row>
    <row r="11619" spans="1:10" x14ac:dyDescent="0.25">
      <c r="A11619" s="7" t="s">
        <v>48875</v>
      </c>
      <c r="B11619" s="8">
        <v>400</v>
      </c>
      <c r="C11619" s="8">
        <v>20.478950000000001</v>
      </c>
      <c r="D11619" s="8">
        <v>71</v>
      </c>
      <c r="E11619" s="8">
        <v>0</v>
      </c>
      <c r="F11619" s="8">
        <v>0</v>
      </c>
      <c r="G11619" s="8">
        <v>14</v>
      </c>
      <c r="H11619" s="8" t="s">
        <v>48876</v>
      </c>
      <c r="I11619" s="8">
        <v>528.1875</v>
      </c>
      <c r="J11619" s="3">
        <f t="shared" si="181"/>
        <v>43749.33155865741</v>
      </c>
    </row>
    <row r="11620" spans="1:10" x14ac:dyDescent="0.25">
      <c r="A11620" s="5" t="s">
        <v>48877</v>
      </c>
      <c r="B11620" s="6">
        <v>400</v>
      </c>
      <c r="C11620" s="6">
        <v>20.478950000000001</v>
      </c>
      <c r="D11620" s="6">
        <v>71</v>
      </c>
      <c r="E11620" s="6">
        <v>0</v>
      </c>
      <c r="F11620" s="6">
        <v>0</v>
      </c>
      <c r="G11620" s="6">
        <v>8</v>
      </c>
      <c r="H11620" s="6" t="s">
        <v>48878</v>
      </c>
      <c r="I11620" s="6">
        <v>528.1875</v>
      </c>
      <c r="J11620" s="2">
        <f t="shared" si="181"/>
        <v>43749.331629895831</v>
      </c>
    </row>
    <row r="11621" spans="1:10" x14ac:dyDescent="0.25">
      <c r="A11621" s="7" t="s">
        <v>48879</v>
      </c>
      <c r="B11621" s="8">
        <v>415.625</v>
      </c>
      <c r="C11621" s="8">
        <v>20.426300000000001</v>
      </c>
      <c r="D11621" s="8">
        <v>70</v>
      </c>
      <c r="E11621" s="8">
        <v>0</v>
      </c>
      <c r="F11621" s="8">
        <v>0</v>
      </c>
      <c r="G11621" s="8">
        <v>5</v>
      </c>
      <c r="H11621" s="8" t="s">
        <v>48880</v>
      </c>
      <c r="I11621" s="8">
        <v>533.8125</v>
      </c>
      <c r="J11621" s="3">
        <f t="shared" si="181"/>
        <v>43749.331701261566</v>
      </c>
    </row>
    <row r="11622" spans="1:10" x14ac:dyDescent="0.25">
      <c r="A11622" s="5" t="s">
        <v>48881</v>
      </c>
      <c r="B11622" s="6">
        <v>403.125</v>
      </c>
      <c r="C11622" s="6">
        <v>20.478950000000001</v>
      </c>
      <c r="D11622" s="6">
        <v>70</v>
      </c>
      <c r="E11622" s="6">
        <v>0</v>
      </c>
      <c r="F11622" s="6">
        <v>0</v>
      </c>
      <c r="G11622" s="6">
        <v>6</v>
      </c>
      <c r="H11622" s="6" t="s">
        <v>48882</v>
      </c>
      <c r="I11622" s="6">
        <v>529.125</v>
      </c>
      <c r="J11622" s="2">
        <f t="shared" si="181"/>
        <v>43749.331773287035</v>
      </c>
    </row>
    <row r="11623" spans="1:10" x14ac:dyDescent="0.25">
      <c r="A11623" s="7" t="s">
        <v>48883</v>
      </c>
      <c r="B11623" s="8">
        <v>400</v>
      </c>
      <c r="C11623" s="8">
        <v>20.478950000000001</v>
      </c>
      <c r="D11623" s="8">
        <v>70</v>
      </c>
      <c r="E11623" s="8">
        <v>0</v>
      </c>
      <c r="F11623" s="8">
        <v>0</v>
      </c>
      <c r="G11623" s="8">
        <v>11</v>
      </c>
      <c r="H11623" s="8" t="s">
        <v>48884</v>
      </c>
      <c r="I11623" s="8">
        <v>528.9375</v>
      </c>
      <c r="J11623" s="3">
        <f t="shared" si="181"/>
        <v>43749.331844247681</v>
      </c>
    </row>
    <row r="11624" spans="1:10" x14ac:dyDescent="0.25">
      <c r="A11624" s="5" t="s">
        <v>48885</v>
      </c>
      <c r="B11624" s="6">
        <v>403.125</v>
      </c>
      <c r="C11624" s="6">
        <v>20.478950000000001</v>
      </c>
      <c r="D11624" s="6">
        <v>70</v>
      </c>
      <c r="E11624" s="6">
        <v>0</v>
      </c>
      <c r="F11624" s="6">
        <v>0</v>
      </c>
      <c r="G11624" s="6">
        <v>13</v>
      </c>
      <c r="H11624" s="6" t="s">
        <v>48886</v>
      </c>
      <c r="I11624" s="6">
        <v>529.125</v>
      </c>
      <c r="J11624" s="2">
        <f t="shared" si="181"/>
        <v>43749.331916423609</v>
      </c>
    </row>
    <row r="11625" spans="1:10" x14ac:dyDescent="0.25">
      <c r="A11625" s="7" t="s">
        <v>48887</v>
      </c>
      <c r="B11625" s="8">
        <v>443.75</v>
      </c>
      <c r="C11625" s="8">
        <v>20.478950000000001</v>
      </c>
      <c r="D11625" s="8">
        <v>70</v>
      </c>
      <c r="E11625" s="8">
        <v>0</v>
      </c>
      <c r="F11625" s="8">
        <v>0</v>
      </c>
      <c r="G11625" s="8">
        <v>9</v>
      </c>
      <c r="H11625" s="8" t="s">
        <v>48888</v>
      </c>
      <c r="I11625" s="8">
        <v>542.8125</v>
      </c>
      <c r="J11625" s="3">
        <f t="shared" si="181"/>
        <v>43749.331987708334</v>
      </c>
    </row>
    <row r="11626" spans="1:10" x14ac:dyDescent="0.25">
      <c r="A11626" s="5" t="s">
        <v>48889</v>
      </c>
      <c r="B11626" s="6">
        <v>400</v>
      </c>
      <c r="C11626" s="6">
        <v>20.478950000000001</v>
      </c>
      <c r="D11626" s="6">
        <v>70</v>
      </c>
      <c r="E11626" s="6">
        <v>0</v>
      </c>
      <c r="F11626" s="6">
        <v>0</v>
      </c>
      <c r="G11626" s="6">
        <v>12</v>
      </c>
      <c r="H11626" s="6" t="s">
        <v>48890</v>
      </c>
      <c r="I11626" s="6">
        <v>528.9375</v>
      </c>
      <c r="J11626" s="2">
        <f t="shared" si="181"/>
        <v>43749.332059004628</v>
      </c>
    </row>
    <row r="11627" spans="1:10" x14ac:dyDescent="0.25">
      <c r="A11627" s="7" t="s">
        <v>48891</v>
      </c>
      <c r="B11627" s="8">
        <v>403.125</v>
      </c>
      <c r="C11627" s="8">
        <v>20.478950000000001</v>
      </c>
      <c r="D11627" s="8">
        <v>70</v>
      </c>
      <c r="E11627" s="8">
        <v>0</v>
      </c>
      <c r="F11627" s="8">
        <v>0</v>
      </c>
      <c r="G11627" s="8">
        <v>0</v>
      </c>
      <c r="H11627" s="8" t="s">
        <v>48892</v>
      </c>
      <c r="I11627" s="8">
        <v>529.125</v>
      </c>
      <c r="J11627" s="3">
        <f t="shared" si="181"/>
        <v>43749.332130289353</v>
      </c>
    </row>
    <row r="11628" spans="1:10" x14ac:dyDescent="0.25">
      <c r="A11628" s="5" t="s">
        <v>48893</v>
      </c>
      <c r="B11628" s="6">
        <v>400</v>
      </c>
      <c r="C11628" s="6">
        <v>20.478950000000001</v>
      </c>
      <c r="D11628" s="6">
        <v>73</v>
      </c>
      <c r="E11628" s="6">
        <v>0</v>
      </c>
      <c r="F11628" s="6">
        <v>0</v>
      </c>
      <c r="G11628" s="6">
        <v>5</v>
      </c>
      <c r="H11628" s="6" t="s">
        <v>48894</v>
      </c>
      <c r="I11628" s="6">
        <v>528.9375</v>
      </c>
      <c r="J11628" s="2">
        <f t="shared" si="181"/>
        <v>43749.33220251157</v>
      </c>
    </row>
    <row r="11629" spans="1:10" x14ac:dyDescent="0.25">
      <c r="A11629" s="7" t="s">
        <v>48895</v>
      </c>
      <c r="B11629" s="8">
        <v>403.125</v>
      </c>
      <c r="C11629" s="8">
        <v>20.478950000000001</v>
      </c>
      <c r="D11629" s="8">
        <v>73</v>
      </c>
      <c r="E11629" s="8">
        <v>0</v>
      </c>
      <c r="F11629" s="8">
        <v>0</v>
      </c>
      <c r="G11629" s="8">
        <v>15</v>
      </c>
      <c r="H11629" s="8" t="s">
        <v>48896</v>
      </c>
      <c r="I11629" s="8">
        <v>529.125</v>
      </c>
      <c r="J11629" s="3">
        <f t="shared" si="181"/>
        <v>43749.332273819447</v>
      </c>
    </row>
    <row r="11630" spans="1:10" x14ac:dyDescent="0.25">
      <c r="A11630" s="5" t="s">
        <v>48897</v>
      </c>
      <c r="B11630" s="6">
        <v>403.125</v>
      </c>
      <c r="C11630" s="6">
        <v>20.478950000000001</v>
      </c>
      <c r="D11630" s="6">
        <v>73</v>
      </c>
      <c r="E11630" s="6">
        <v>0</v>
      </c>
      <c r="F11630" s="6">
        <v>0</v>
      </c>
      <c r="G11630" s="6">
        <v>6</v>
      </c>
      <c r="H11630" s="6" t="s">
        <v>48898</v>
      </c>
      <c r="I11630" s="6">
        <v>529.125</v>
      </c>
      <c r="J11630" s="2">
        <f t="shared" si="181"/>
        <v>43749.332345069437</v>
      </c>
    </row>
    <row r="11631" spans="1:10" x14ac:dyDescent="0.25">
      <c r="A11631" s="7" t="s">
        <v>48899</v>
      </c>
      <c r="B11631" s="8">
        <v>400</v>
      </c>
      <c r="C11631" s="8">
        <v>20.478950000000001</v>
      </c>
      <c r="D11631" s="8">
        <v>73</v>
      </c>
      <c r="E11631" s="8">
        <v>0</v>
      </c>
      <c r="F11631" s="8">
        <v>0</v>
      </c>
      <c r="G11631" s="8">
        <v>14</v>
      </c>
      <c r="H11631" s="8" t="s">
        <v>48900</v>
      </c>
      <c r="I11631" s="8">
        <v>528.375</v>
      </c>
      <c r="J11631" s="3">
        <f t="shared" si="181"/>
        <v>43749.332416874997</v>
      </c>
    </row>
    <row r="11632" spans="1:10" x14ac:dyDescent="0.25">
      <c r="A11632" s="5" t="s">
        <v>48901</v>
      </c>
      <c r="B11632" s="6">
        <v>400</v>
      </c>
      <c r="C11632" s="6">
        <v>20.478950000000001</v>
      </c>
      <c r="D11632" s="6">
        <v>74</v>
      </c>
      <c r="E11632" s="6">
        <v>0</v>
      </c>
      <c r="F11632" s="6">
        <v>0</v>
      </c>
      <c r="G11632" s="6">
        <v>13</v>
      </c>
      <c r="H11632" s="6" t="s">
        <v>48902</v>
      </c>
      <c r="I11632" s="6">
        <v>528.1875</v>
      </c>
      <c r="J11632" s="2">
        <f t="shared" si="181"/>
        <v>43749.332488287029</v>
      </c>
    </row>
    <row r="11633" spans="1:10" x14ac:dyDescent="0.25">
      <c r="A11633" s="7" t="s">
        <v>48903</v>
      </c>
      <c r="B11633" s="8">
        <v>400</v>
      </c>
      <c r="C11633" s="8">
        <v>20.478950000000001</v>
      </c>
      <c r="D11633" s="8">
        <v>74</v>
      </c>
      <c r="E11633" s="8">
        <v>0</v>
      </c>
      <c r="F11633" s="8">
        <v>0</v>
      </c>
      <c r="G11633" s="8">
        <v>17</v>
      </c>
      <c r="H11633" s="8" t="s">
        <v>48904</v>
      </c>
      <c r="I11633" s="8">
        <v>528.1875</v>
      </c>
      <c r="J11633" s="3">
        <f t="shared" si="181"/>
        <v>43749.332573657404</v>
      </c>
    </row>
    <row r="11634" spans="1:10" x14ac:dyDescent="0.25">
      <c r="A11634" s="5" t="s">
        <v>48905</v>
      </c>
      <c r="B11634" s="6">
        <v>400</v>
      </c>
      <c r="C11634" s="6">
        <v>20.478950000000001</v>
      </c>
      <c r="D11634" s="6">
        <v>71</v>
      </c>
      <c r="E11634" s="6">
        <v>0</v>
      </c>
      <c r="F11634" s="6">
        <v>0</v>
      </c>
      <c r="G11634" s="6">
        <v>12</v>
      </c>
      <c r="H11634" s="6" t="s">
        <v>48906</v>
      </c>
      <c r="I11634" s="6">
        <v>528.1875</v>
      </c>
      <c r="J11634" s="2">
        <f t="shared" si="181"/>
        <v>43749.33265585648</v>
      </c>
    </row>
    <row r="11635" spans="1:10" x14ac:dyDescent="0.25">
      <c r="A11635" s="7" t="s">
        <v>48907</v>
      </c>
      <c r="B11635" s="8">
        <v>400</v>
      </c>
      <c r="C11635" s="8">
        <v>20.478950000000001</v>
      </c>
      <c r="D11635" s="8">
        <v>72</v>
      </c>
      <c r="E11635" s="8">
        <v>0</v>
      </c>
      <c r="F11635" s="8">
        <v>0</v>
      </c>
      <c r="G11635" s="8">
        <v>11</v>
      </c>
      <c r="H11635" s="8" t="s">
        <v>48908</v>
      </c>
      <c r="I11635" s="8">
        <v>528.1875</v>
      </c>
      <c r="J11635" s="3">
        <f t="shared" si="181"/>
        <v>43749.332727048612</v>
      </c>
    </row>
    <row r="11636" spans="1:10" x14ac:dyDescent="0.25">
      <c r="A11636" s="5" t="s">
        <v>48909</v>
      </c>
      <c r="B11636" s="6">
        <v>400</v>
      </c>
      <c r="C11636" s="6">
        <v>20.478950000000001</v>
      </c>
      <c r="D11636" s="6">
        <v>73</v>
      </c>
      <c r="E11636" s="6">
        <v>0</v>
      </c>
      <c r="F11636" s="6">
        <v>0</v>
      </c>
      <c r="G11636" s="6">
        <v>7</v>
      </c>
      <c r="H11636" s="6" t="s">
        <v>48910</v>
      </c>
      <c r="I11636" s="6">
        <v>528.1875</v>
      </c>
      <c r="J11636" s="2">
        <f t="shared" si="181"/>
        <v>43749.332799340271</v>
      </c>
    </row>
    <row r="11637" spans="1:10" x14ac:dyDescent="0.25">
      <c r="A11637" s="7" t="s">
        <v>48911</v>
      </c>
      <c r="B11637" s="8">
        <v>400</v>
      </c>
      <c r="C11637" s="8">
        <v>20.478950000000001</v>
      </c>
      <c r="D11637" s="8">
        <v>73</v>
      </c>
      <c r="E11637" s="8">
        <v>0</v>
      </c>
      <c r="F11637" s="8">
        <v>0</v>
      </c>
      <c r="G11637" s="8">
        <v>6</v>
      </c>
      <c r="H11637" s="8" t="s">
        <v>48912</v>
      </c>
      <c r="I11637" s="8">
        <v>528.375</v>
      </c>
      <c r="J11637" s="3">
        <f t="shared" si="181"/>
        <v>43749.332870624996</v>
      </c>
    </row>
    <row r="11638" spans="1:10" x14ac:dyDescent="0.25">
      <c r="A11638" s="5" t="s">
        <v>48913</v>
      </c>
      <c r="B11638" s="6">
        <v>400</v>
      </c>
      <c r="C11638" s="6">
        <v>20.478950000000001</v>
      </c>
      <c r="D11638" s="6">
        <v>73</v>
      </c>
      <c r="E11638" s="6">
        <v>0</v>
      </c>
      <c r="F11638" s="6">
        <v>0</v>
      </c>
      <c r="G11638" s="6">
        <v>10</v>
      </c>
      <c r="H11638" s="6" t="s">
        <v>48914</v>
      </c>
      <c r="I11638" s="6">
        <v>528.1875</v>
      </c>
      <c r="J11638" s="2">
        <f t="shared" si="181"/>
        <v>43749.332942094909</v>
      </c>
    </row>
    <row r="11639" spans="1:10" x14ac:dyDescent="0.25">
      <c r="A11639" s="7" t="s">
        <v>48915</v>
      </c>
      <c r="B11639" s="8">
        <v>400</v>
      </c>
      <c r="C11639" s="8">
        <v>20.478950000000001</v>
      </c>
      <c r="D11639" s="8">
        <v>73</v>
      </c>
      <c r="E11639" s="8">
        <v>0</v>
      </c>
      <c r="F11639" s="8">
        <v>0</v>
      </c>
      <c r="G11639" s="8">
        <v>8</v>
      </c>
      <c r="H11639" s="8" t="s">
        <v>48916</v>
      </c>
      <c r="I11639" s="8">
        <v>528.1875</v>
      </c>
      <c r="J11639" s="3">
        <f t="shared" si="181"/>
        <v>43749.333013425923</v>
      </c>
    </row>
    <row r="11640" spans="1:10" x14ac:dyDescent="0.25">
      <c r="A11640" s="5" t="s">
        <v>48917</v>
      </c>
      <c r="B11640" s="6">
        <v>403.125</v>
      </c>
      <c r="C11640" s="6">
        <v>20.478950000000001</v>
      </c>
      <c r="D11640" s="6">
        <v>73</v>
      </c>
      <c r="E11640" s="6">
        <v>0</v>
      </c>
      <c r="F11640" s="6">
        <v>0</v>
      </c>
      <c r="G11640" s="6">
        <v>14</v>
      </c>
      <c r="H11640" s="6" t="s">
        <v>48918</v>
      </c>
      <c r="I11640" s="6">
        <v>529.125</v>
      </c>
      <c r="J11640" s="2">
        <f t="shared" si="181"/>
        <v>43749.333084861108</v>
      </c>
    </row>
    <row r="11641" spans="1:10" x14ac:dyDescent="0.25">
      <c r="A11641" s="7" t="s">
        <v>48919</v>
      </c>
      <c r="B11641" s="8">
        <v>403.125</v>
      </c>
      <c r="C11641" s="8">
        <v>20.478950000000001</v>
      </c>
      <c r="D11641" s="8">
        <v>73</v>
      </c>
      <c r="E11641" s="8">
        <v>0</v>
      </c>
      <c r="F11641" s="8">
        <v>0</v>
      </c>
      <c r="G11641" s="8">
        <v>18</v>
      </c>
      <c r="H11641" s="8" t="s">
        <v>48920</v>
      </c>
      <c r="I11641" s="8">
        <v>529.125</v>
      </c>
      <c r="J11641" s="3">
        <f t="shared" si="181"/>
        <v>43749.333156064815</v>
      </c>
    </row>
    <row r="11642" spans="1:10" x14ac:dyDescent="0.25">
      <c r="A11642" s="5" t="s">
        <v>48921</v>
      </c>
      <c r="B11642" s="6">
        <v>403.125</v>
      </c>
      <c r="C11642" s="6">
        <v>20.478950000000001</v>
      </c>
      <c r="D11642" s="6">
        <v>74</v>
      </c>
      <c r="E11642" s="6">
        <v>0</v>
      </c>
      <c r="F11642" s="6">
        <v>0</v>
      </c>
      <c r="G11642" s="6">
        <v>3</v>
      </c>
      <c r="H11642" s="6" t="s">
        <v>48922</v>
      </c>
      <c r="I11642" s="6">
        <v>529.125</v>
      </c>
      <c r="J11642" s="2">
        <f t="shared" si="181"/>
        <v>43749.333227858799</v>
      </c>
    </row>
    <row r="11643" spans="1:10" x14ac:dyDescent="0.25">
      <c r="A11643" s="7" t="s">
        <v>48923</v>
      </c>
      <c r="B11643" s="8">
        <v>403.125</v>
      </c>
      <c r="C11643" s="8">
        <v>20.478950000000001</v>
      </c>
      <c r="D11643" s="8">
        <v>72</v>
      </c>
      <c r="E11643" s="8">
        <v>0</v>
      </c>
      <c r="F11643" s="8">
        <v>0</v>
      </c>
      <c r="G11643" s="8">
        <v>9</v>
      </c>
      <c r="H11643" s="8" t="s">
        <v>48924</v>
      </c>
      <c r="I11643" s="8">
        <v>529.875</v>
      </c>
      <c r="J11643" s="3">
        <f t="shared" si="181"/>
        <v>43749.333299618054</v>
      </c>
    </row>
    <row r="11644" spans="1:10" x14ac:dyDescent="0.25">
      <c r="A11644" s="5" t="s">
        <v>48925</v>
      </c>
      <c r="B11644" s="6">
        <v>403.125</v>
      </c>
      <c r="C11644" s="6">
        <v>20.478950000000001</v>
      </c>
      <c r="D11644" s="6">
        <v>74</v>
      </c>
      <c r="E11644" s="6">
        <v>0</v>
      </c>
      <c r="F11644" s="6">
        <v>0</v>
      </c>
      <c r="G11644" s="6">
        <v>4</v>
      </c>
      <c r="H11644" s="6" t="s">
        <v>48926</v>
      </c>
      <c r="I11644" s="6">
        <v>529.875</v>
      </c>
      <c r="J11644" s="2">
        <f t="shared" si="181"/>
        <v>43749.333371562498</v>
      </c>
    </row>
    <row r="11645" spans="1:10" x14ac:dyDescent="0.25">
      <c r="A11645" s="7" t="s">
        <v>48927</v>
      </c>
      <c r="B11645" s="8">
        <v>446.875</v>
      </c>
      <c r="C11645" s="8">
        <v>20.478950000000001</v>
      </c>
      <c r="D11645" s="8">
        <v>73</v>
      </c>
      <c r="E11645" s="8">
        <v>0</v>
      </c>
      <c r="F11645" s="8">
        <v>0</v>
      </c>
      <c r="G11645" s="8">
        <v>10</v>
      </c>
      <c r="H11645" s="8" t="s">
        <v>48928</v>
      </c>
      <c r="I11645" s="8">
        <v>543</v>
      </c>
      <c r="J11645" s="3">
        <f t="shared" si="181"/>
        <v>43749.333443043979</v>
      </c>
    </row>
    <row r="11646" spans="1:10" x14ac:dyDescent="0.25">
      <c r="A11646" s="5" t="s">
        <v>48929</v>
      </c>
      <c r="B11646" s="6">
        <v>403.125</v>
      </c>
      <c r="C11646" s="6">
        <v>20.478950000000001</v>
      </c>
      <c r="D11646" s="6">
        <v>73</v>
      </c>
      <c r="E11646" s="6">
        <v>0</v>
      </c>
      <c r="F11646" s="6">
        <v>0</v>
      </c>
      <c r="G11646" s="6">
        <v>7</v>
      </c>
      <c r="H11646" s="6" t="s">
        <v>48930</v>
      </c>
      <c r="I11646" s="6">
        <v>529.875</v>
      </c>
      <c r="J11646" s="2">
        <f t="shared" si="181"/>
        <v>43749.333514340273</v>
      </c>
    </row>
    <row r="11647" spans="1:10" x14ac:dyDescent="0.25">
      <c r="A11647" s="7" t="s">
        <v>48931</v>
      </c>
      <c r="B11647" s="8">
        <v>403.125</v>
      </c>
      <c r="C11647" s="8">
        <v>20.478950000000001</v>
      </c>
      <c r="D11647" s="8">
        <v>72</v>
      </c>
      <c r="E11647" s="8">
        <v>0</v>
      </c>
      <c r="F11647" s="8">
        <v>0</v>
      </c>
      <c r="G11647" s="8">
        <v>10</v>
      </c>
      <c r="H11647" s="8" t="s">
        <v>48932</v>
      </c>
      <c r="I11647" s="8">
        <v>529.875</v>
      </c>
      <c r="J11647" s="3">
        <f t="shared" si="181"/>
        <v>43749.333585671295</v>
      </c>
    </row>
    <row r="11648" spans="1:10" x14ac:dyDescent="0.25">
      <c r="A11648" s="5" t="s">
        <v>48933</v>
      </c>
      <c r="B11648" s="6">
        <v>403.125</v>
      </c>
      <c r="C11648" s="6">
        <v>20.478950000000001</v>
      </c>
      <c r="D11648" s="6">
        <v>72</v>
      </c>
      <c r="E11648" s="6">
        <v>0</v>
      </c>
      <c r="F11648" s="6">
        <v>0</v>
      </c>
      <c r="G11648" s="6">
        <v>9</v>
      </c>
      <c r="H11648" s="6" t="s">
        <v>48934</v>
      </c>
      <c r="I11648" s="6">
        <v>529.875</v>
      </c>
      <c r="J11648" s="2">
        <f t="shared" si="181"/>
        <v>43749.333657222225</v>
      </c>
    </row>
    <row r="11649" spans="1:10" x14ac:dyDescent="0.25">
      <c r="A11649" s="7" t="s">
        <v>48935</v>
      </c>
      <c r="B11649" s="8">
        <v>403.125</v>
      </c>
      <c r="C11649" s="8">
        <v>20.478950000000001</v>
      </c>
      <c r="D11649" s="8">
        <v>72</v>
      </c>
      <c r="E11649" s="8">
        <v>0</v>
      </c>
      <c r="F11649" s="8">
        <v>0</v>
      </c>
      <c r="G11649" s="8">
        <v>10</v>
      </c>
      <c r="H11649" s="8" t="s">
        <v>48936</v>
      </c>
      <c r="I11649" s="8">
        <v>529.875</v>
      </c>
      <c r="J11649" s="3">
        <f t="shared" si="181"/>
        <v>43749.333728865742</v>
      </c>
    </row>
    <row r="11650" spans="1:10" x14ac:dyDescent="0.25">
      <c r="A11650" s="5" t="s">
        <v>48937</v>
      </c>
      <c r="B11650" s="6">
        <v>403.125</v>
      </c>
      <c r="C11650" s="6">
        <v>20.478950000000001</v>
      </c>
      <c r="D11650" s="6">
        <v>72</v>
      </c>
      <c r="E11650" s="6">
        <v>0</v>
      </c>
      <c r="F11650" s="6">
        <v>0</v>
      </c>
      <c r="G11650" s="6">
        <v>10</v>
      </c>
      <c r="H11650" s="6" t="s">
        <v>48938</v>
      </c>
      <c r="I11650" s="6">
        <v>529.125</v>
      </c>
      <c r="J11650" s="2">
        <f t="shared" ref="J11650:J11713" si="182">(H11650/86400000)+25569+(7/24)</f>
        <v>43749.333800162036</v>
      </c>
    </row>
    <row r="11651" spans="1:10" x14ac:dyDescent="0.25">
      <c r="A11651" s="7" t="s">
        <v>48939</v>
      </c>
      <c r="B11651" s="8">
        <v>403.125</v>
      </c>
      <c r="C11651" s="8">
        <v>20.478950000000001</v>
      </c>
      <c r="D11651" s="8">
        <v>71</v>
      </c>
      <c r="E11651" s="8">
        <v>0</v>
      </c>
      <c r="F11651" s="8">
        <v>0</v>
      </c>
      <c r="G11651" s="8">
        <v>14</v>
      </c>
      <c r="H11651" s="8" t="s">
        <v>48940</v>
      </c>
      <c r="I11651" s="8">
        <v>529.125</v>
      </c>
      <c r="J11651" s="3">
        <f t="shared" si="182"/>
        <v>43749.333871898147</v>
      </c>
    </row>
    <row r="11652" spans="1:10" x14ac:dyDescent="0.25">
      <c r="A11652" s="5" t="s">
        <v>48941</v>
      </c>
      <c r="B11652" s="6">
        <v>400</v>
      </c>
      <c r="C11652" s="6">
        <v>20.478950000000001</v>
      </c>
      <c r="D11652" s="6">
        <v>71</v>
      </c>
      <c r="E11652" s="6">
        <v>0</v>
      </c>
      <c r="F11652" s="6">
        <v>0</v>
      </c>
      <c r="G11652" s="6">
        <v>12</v>
      </c>
      <c r="H11652" s="6" t="s">
        <v>48942</v>
      </c>
      <c r="I11652" s="6">
        <v>528.1875</v>
      </c>
      <c r="J11652" s="2">
        <f t="shared" si="182"/>
        <v>43749.333943495367</v>
      </c>
    </row>
    <row r="11653" spans="1:10" x14ac:dyDescent="0.25">
      <c r="A11653" s="7" t="s">
        <v>48943</v>
      </c>
      <c r="B11653" s="8">
        <v>400</v>
      </c>
      <c r="C11653" s="8">
        <v>20.478950000000001</v>
      </c>
      <c r="D11653" s="8">
        <v>71</v>
      </c>
      <c r="E11653" s="8">
        <v>0</v>
      </c>
      <c r="F11653" s="8">
        <v>0</v>
      </c>
      <c r="G11653" s="8">
        <v>12</v>
      </c>
      <c r="H11653" s="8" t="s">
        <v>48944</v>
      </c>
      <c r="I11653" s="8">
        <v>528.375</v>
      </c>
      <c r="J11653" s="3">
        <f t="shared" si="182"/>
        <v>43749.33401543981</v>
      </c>
    </row>
    <row r="11654" spans="1:10" x14ac:dyDescent="0.25">
      <c r="A11654" s="5" t="s">
        <v>48945</v>
      </c>
      <c r="B11654" s="6">
        <v>403.125</v>
      </c>
      <c r="C11654" s="6">
        <v>20.478950000000001</v>
      </c>
      <c r="D11654" s="6">
        <v>69</v>
      </c>
      <c r="E11654" s="6">
        <v>0</v>
      </c>
      <c r="F11654" s="6">
        <v>0</v>
      </c>
      <c r="G11654" s="6">
        <v>20</v>
      </c>
      <c r="H11654" s="6" t="s">
        <v>48946</v>
      </c>
      <c r="I11654" s="6">
        <v>529.125</v>
      </c>
      <c r="J11654" s="2">
        <f t="shared" si="182"/>
        <v>43749.334098761574</v>
      </c>
    </row>
    <row r="11655" spans="1:10" x14ac:dyDescent="0.25">
      <c r="A11655" s="7" t="s">
        <v>48947</v>
      </c>
      <c r="B11655" s="8">
        <v>403.125</v>
      </c>
      <c r="C11655" s="8">
        <v>20.478950000000001</v>
      </c>
      <c r="D11655" s="8">
        <v>69</v>
      </c>
      <c r="E11655" s="8">
        <v>0</v>
      </c>
      <c r="F11655" s="8">
        <v>0</v>
      </c>
      <c r="G11655" s="8">
        <v>17</v>
      </c>
      <c r="H11655" s="8" t="s">
        <v>48948</v>
      </c>
      <c r="I11655" s="8">
        <v>529.125</v>
      </c>
      <c r="J11655" s="3">
        <f t="shared" si="182"/>
        <v>43749.33417016203</v>
      </c>
    </row>
    <row r="11656" spans="1:10" x14ac:dyDescent="0.25">
      <c r="A11656" s="5" t="s">
        <v>48949</v>
      </c>
      <c r="B11656" s="6">
        <v>403.125</v>
      </c>
      <c r="C11656" s="6">
        <v>20.478950000000001</v>
      </c>
      <c r="D11656" s="6">
        <v>71</v>
      </c>
      <c r="E11656" s="6">
        <v>0</v>
      </c>
      <c r="F11656" s="6">
        <v>0</v>
      </c>
      <c r="G11656" s="6">
        <v>14</v>
      </c>
      <c r="H11656" s="6" t="s">
        <v>48950</v>
      </c>
      <c r="I11656" s="6">
        <v>529.125</v>
      </c>
      <c r="J11656" s="2">
        <f t="shared" si="182"/>
        <v>43749.334241516197</v>
      </c>
    </row>
    <row r="11657" spans="1:10" x14ac:dyDescent="0.25">
      <c r="A11657" s="7" t="s">
        <v>48951</v>
      </c>
      <c r="B11657" s="8">
        <v>403.125</v>
      </c>
      <c r="C11657" s="8">
        <v>20.478950000000001</v>
      </c>
      <c r="D11657" s="8">
        <v>71</v>
      </c>
      <c r="E11657" s="8">
        <v>0</v>
      </c>
      <c r="F11657" s="8">
        <v>0</v>
      </c>
      <c r="G11657" s="8">
        <v>20</v>
      </c>
      <c r="H11657" s="8" t="s">
        <v>48952</v>
      </c>
      <c r="I11657" s="8">
        <v>529.125</v>
      </c>
      <c r="J11657" s="3">
        <f t="shared" si="182"/>
        <v>43749.334313101848</v>
      </c>
    </row>
    <row r="11658" spans="1:10" x14ac:dyDescent="0.25">
      <c r="A11658" s="5" t="s">
        <v>48953</v>
      </c>
      <c r="B11658" s="6">
        <v>403.125</v>
      </c>
      <c r="C11658" s="6">
        <v>20.478950000000001</v>
      </c>
      <c r="D11658" s="6">
        <v>71</v>
      </c>
      <c r="E11658" s="6">
        <v>0</v>
      </c>
      <c r="F11658" s="6">
        <v>0</v>
      </c>
      <c r="G11658" s="6">
        <v>18</v>
      </c>
      <c r="H11658" s="6" t="s">
        <v>48954</v>
      </c>
      <c r="I11658" s="6">
        <v>529.125</v>
      </c>
      <c r="J11658" s="2">
        <f t="shared" si="182"/>
        <v>43749.334385208327</v>
      </c>
    </row>
    <row r="11659" spans="1:10" x14ac:dyDescent="0.25">
      <c r="A11659" s="7" t="s">
        <v>48955</v>
      </c>
      <c r="B11659" s="8">
        <v>403.125</v>
      </c>
      <c r="C11659" s="8">
        <v>20.478950000000001</v>
      </c>
      <c r="D11659" s="8">
        <v>71</v>
      </c>
      <c r="E11659" s="8">
        <v>0</v>
      </c>
      <c r="F11659" s="8">
        <v>0</v>
      </c>
      <c r="G11659" s="8">
        <v>15</v>
      </c>
      <c r="H11659" s="8" t="s">
        <v>48956</v>
      </c>
      <c r="I11659" s="8">
        <v>529.125</v>
      </c>
      <c r="J11659" s="3">
        <f t="shared" si="182"/>
        <v>43749.334468506939</v>
      </c>
    </row>
    <row r="11660" spans="1:10" x14ac:dyDescent="0.25">
      <c r="A11660" s="5" t="s">
        <v>48957</v>
      </c>
      <c r="B11660" s="6">
        <v>403.125</v>
      </c>
      <c r="C11660" s="6">
        <v>20.478950000000001</v>
      </c>
      <c r="D11660" s="6">
        <v>71</v>
      </c>
      <c r="E11660" s="6">
        <v>0</v>
      </c>
      <c r="F11660" s="6">
        <v>0</v>
      </c>
      <c r="G11660" s="6">
        <v>24</v>
      </c>
      <c r="H11660" s="6" t="s">
        <v>48958</v>
      </c>
      <c r="I11660" s="6">
        <v>529.125</v>
      </c>
      <c r="J11660" s="2">
        <f t="shared" si="182"/>
        <v>43749.334539861105</v>
      </c>
    </row>
    <row r="11661" spans="1:10" x14ac:dyDescent="0.25">
      <c r="A11661" s="7" t="s">
        <v>48959</v>
      </c>
      <c r="B11661" s="8">
        <v>403.125</v>
      </c>
      <c r="C11661" s="8">
        <v>20.478950000000001</v>
      </c>
      <c r="D11661" s="8">
        <v>72</v>
      </c>
      <c r="E11661" s="8">
        <v>0</v>
      </c>
      <c r="F11661" s="8">
        <v>0</v>
      </c>
      <c r="G11661" s="8">
        <v>15</v>
      </c>
      <c r="H11661" s="8" t="s">
        <v>48960</v>
      </c>
      <c r="I11661" s="8">
        <v>529.125</v>
      </c>
      <c r="J11661" s="3">
        <f t="shared" si="182"/>
        <v>43749.334611134262</v>
      </c>
    </row>
    <row r="11662" spans="1:10" x14ac:dyDescent="0.25">
      <c r="A11662" s="5" t="s">
        <v>48961</v>
      </c>
      <c r="B11662" s="6">
        <v>403.125</v>
      </c>
      <c r="C11662" s="6">
        <v>20.478950000000001</v>
      </c>
      <c r="D11662" s="6">
        <v>72</v>
      </c>
      <c r="E11662" s="6">
        <v>0</v>
      </c>
      <c r="F11662" s="6">
        <v>0</v>
      </c>
      <c r="G11662" s="6">
        <v>19</v>
      </c>
      <c r="H11662" s="6" t="s">
        <v>48962</v>
      </c>
      <c r="I11662" s="6">
        <v>529.125</v>
      </c>
      <c r="J11662" s="2">
        <f t="shared" si="182"/>
        <v>43749.334682858789</v>
      </c>
    </row>
    <row r="11663" spans="1:10" x14ac:dyDescent="0.25">
      <c r="A11663" s="7" t="s">
        <v>48963</v>
      </c>
      <c r="B11663" s="8">
        <v>403.125</v>
      </c>
      <c r="C11663" s="8">
        <v>20.426300000000001</v>
      </c>
      <c r="D11663" s="8">
        <v>72</v>
      </c>
      <c r="E11663" s="8">
        <v>0</v>
      </c>
      <c r="F11663" s="8">
        <v>0</v>
      </c>
      <c r="G11663" s="8">
        <v>13</v>
      </c>
      <c r="H11663" s="8" t="s">
        <v>48964</v>
      </c>
      <c r="I11663" s="8">
        <v>529.125</v>
      </c>
      <c r="J11663" s="3">
        <f t="shared" si="182"/>
        <v>43749.334754386575</v>
      </c>
    </row>
    <row r="11664" spans="1:10" x14ac:dyDescent="0.25">
      <c r="A11664" s="5" t="s">
        <v>48965</v>
      </c>
      <c r="B11664" s="6">
        <v>403.125</v>
      </c>
      <c r="C11664" s="6">
        <v>20.478950000000001</v>
      </c>
      <c r="D11664" s="6">
        <v>72</v>
      </c>
      <c r="E11664" s="6">
        <v>0</v>
      </c>
      <c r="F11664" s="6">
        <v>0</v>
      </c>
      <c r="G11664" s="6">
        <v>16</v>
      </c>
      <c r="H11664" s="6" t="s">
        <v>48966</v>
      </c>
      <c r="I11664" s="6">
        <v>529.125</v>
      </c>
      <c r="J11664" s="2">
        <f t="shared" si="182"/>
        <v>43749.334828136569</v>
      </c>
    </row>
    <row r="11665" spans="1:10" x14ac:dyDescent="0.25">
      <c r="A11665" s="7" t="s">
        <v>48967</v>
      </c>
      <c r="B11665" s="8">
        <v>421.875</v>
      </c>
      <c r="C11665" s="8">
        <v>20.478950000000001</v>
      </c>
      <c r="D11665" s="8">
        <v>72</v>
      </c>
      <c r="E11665" s="8">
        <v>0</v>
      </c>
      <c r="F11665" s="8">
        <v>0</v>
      </c>
      <c r="G11665" s="8">
        <v>14</v>
      </c>
      <c r="H11665" s="8" t="s">
        <v>48968</v>
      </c>
      <c r="I11665" s="8">
        <v>535.125</v>
      </c>
      <c r="J11665" s="3">
        <f t="shared" si="182"/>
        <v>43749.334909699071</v>
      </c>
    </row>
    <row r="11666" spans="1:10" x14ac:dyDescent="0.25">
      <c r="A11666" s="5" t="s">
        <v>48969</v>
      </c>
      <c r="B11666" s="6">
        <v>400</v>
      </c>
      <c r="C11666" s="6">
        <v>20.478950000000001</v>
      </c>
      <c r="D11666" s="6">
        <v>72</v>
      </c>
      <c r="E11666" s="6">
        <v>0</v>
      </c>
      <c r="F11666" s="6">
        <v>0</v>
      </c>
      <c r="G11666" s="6">
        <v>10</v>
      </c>
      <c r="H11666" s="6" t="s">
        <v>48970</v>
      </c>
      <c r="I11666" s="6">
        <v>528.1875</v>
      </c>
      <c r="J11666" s="2">
        <f t="shared" si="182"/>
        <v>43749.334981111104</v>
      </c>
    </row>
    <row r="11667" spans="1:10" x14ac:dyDescent="0.25">
      <c r="A11667" s="7" t="s">
        <v>48971</v>
      </c>
      <c r="B11667" s="8">
        <v>421.875</v>
      </c>
      <c r="C11667" s="8">
        <v>20.478950000000001</v>
      </c>
      <c r="D11667" s="8">
        <v>74</v>
      </c>
      <c r="E11667" s="8">
        <v>0</v>
      </c>
      <c r="F11667" s="8">
        <v>0</v>
      </c>
      <c r="G11667" s="8">
        <v>14</v>
      </c>
      <c r="H11667" s="8" t="s">
        <v>48972</v>
      </c>
      <c r="I11667" s="8">
        <v>535.875</v>
      </c>
      <c r="J11667" s="3">
        <f t="shared" si="182"/>
        <v>43749.33507660879</v>
      </c>
    </row>
    <row r="11668" spans="1:10" x14ac:dyDescent="0.25">
      <c r="A11668" s="5" t="s">
        <v>48973</v>
      </c>
      <c r="B11668" s="6">
        <v>400</v>
      </c>
      <c r="C11668" s="6">
        <v>20.478950000000001</v>
      </c>
      <c r="D11668" s="6">
        <v>74</v>
      </c>
      <c r="E11668" s="6">
        <v>0</v>
      </c>
      <c r="F11668" s="6">
        <v>0</v>
      </c>
      <c r="G11668" s="6">
        <v>15</v>
      </c>
      <c r="H11668" s="6" t="s">
        <v>48974</v>
      </c>
      <c r="I11668" s="6">
        <v>528.375</v>
      </c>
      <c r="J11668" s="2">
        <f t="shared" si="182"/>
        <v>43749.335150254628</v>
      </c>
    </row>
    <row r="11669" spans="1:10" x14ac:dyDescent="0.25">
      <c r="A11669" s="7" t="s">
        <v>48975</v>
      </c>
      <c r="B11669" s="8">
        <v>400</v>
      </c>
      <c r="C11669" s="8">
        <v>20.478950000000001</v>
      </c>
      <c r="D11669" s="8">
        <v>74</v>
      </c>
      <c r="E11669" s="8">
        <v>0</v>
      </c>
      <c r="F11669" s="8">
        <v>0</v>
      </c>
      <c r="G11669" s="8">
        <v>6</v>
      </c>
      <c r="H11669" s="8" t="s">
        <v>48976</v>
      </c>
      <c r="I11669" s="8">
        <v>528.375</v>
      </c>
      <c r="J11669" s="3">
        <f t="shared" si="182"/>
        <v>43749.335219548608</v>
      </c>
    </row>
    <row r="11670" spans="1:10" x14ac:dyDescent="0.25">
      <c r="A11670" s="5" t="s">
        <v>48977</v>
      </c>
      <c r="B11670" s="6">
        <v>400</v>
      </c>
      <c r="C11670" s="6">
        <v>20.478950000000001</v>
      </c>
      <c r="D11670" s="6">
        <v>72</v>
      </c>
      <c r="E11670" s="6">
        <v>0</v>
      </c>
      <c r="F11670" s="6">
        <v>0</v>
      </c>
      <c r="G11670" s="6">
        <v>1</v>
      </c>
      <c r="H11670" s="6" t="s">
        <v>48978</v>
      </c>
      <c r="I11670" s="6">
        <v>528.375</v>
      </c>
      <c r="J11670" s="2">
        <f t="shared" si="182"/>
        <v>43749.335291412033</v>
      </c>
    </row>
    <row r="11671" spans="1:10" x14ac:dyDescent="0.25">
      <c r="A11671" s="7" t="s">
        <v>48979</v>
      </c>
      <c r="B11671" s="8">
        <v>425</v>
      </c>
      <c r="C11671" s="8">
        <v>20.478950000000001</v>
      </c>
      <c r="D11671" s="8">
        <v>73</v>
      </c>
      <c r="E11671" s="8">
        <v>0</v>
      </c>
      <c r="F11671" s="8">
        <v>0</v>
      </c>
      <c r="G11671" s="8">
        <v>2</v>
      </c>
      <c r="H11671" s="8" t="s">
        <v>48980</v>
      </c>
      <c r="I11671" s="8">
        <v>536.0625</v>
      </c>
      <c r="J11671" s="3">
        <f t="shared" si="182"/>
        <v>43749.335363240738</v>
      </c>
    </row>
    <row r="11672" spans="1:10" x14ac:dyDescent="0.25">
      <c r="A11672" s="5" t="s">
        <v>48981</v>
      </c>
      <c r="B11672" s="6">
        <v>400</v>
      </c>
      <c r="C11672" s="6">
        <v>20.478950000000001</v>
      </c>
      <c r="D11672" s="6">
        <v>73</v>
      </c>
      <c r="E11672" s="6">
        <v>0</v>
      </c>
      <c r="F11672" s="6">
        <v>0</v>
      </c>
      <c r="G11672" s="6">
        <v>10</v>
      </c>
      <c r="H11672" s="6" t="s">
        <v>48982</v>
      </c>
      <c r="I11672" s="6">
        <v>528.375</v>
      </c>
      <c r="J11672" s="2">
        <f t="shared" si="182"/>
        <v>43749.335434270826</v>
      </c>
    </row>
    <row r="11673" spans="1:10" x14ac:dyDescent="0.25">
      <c r="A11673" s="7" t="s">
        <v>48983</v>
      </c>
      <c r="B11673" s="8">
        <v>400</v>
      </c>
      <c r="C11673" s="8">
        <v>20.478950000000001</v>
      </c>
      <c r="D11673" s="8">
        <v>73</v>
      </c>
      <c r="E11673" s="8">
        <v>0</v>
      </c>
      <c r="F11673" s="8">
        <v>0</v>
      </c>
      <c r="G11673" s="8">
        <v>15</v>
      </c>
      <c r="H11673" s="8" t="s">
        <v>48984</v>
      </c>
      <c r="I11673" s="8">
        <v>528.1875</v>
      </c>
      <c r="J11673" s="3">
        <f t="shared" si="182"/>
        <v>43749.33550635416</v>
      </c>
    </row>
    <row r="11674" spans="1:10" x14ac:dyDescent="0.25">
      <c r="A11674" s="5" t="s">
        <v>48985</v>
      </c>
      <c r="B11674" s="6">
        <v>403.125</v>
      </c>
      <c r="C11674" s="6">
        <v>20.426300000000001</v>
      </c>
      <c r="D11674" s="6">
        <v>73</v>
      </c>
      <c r="E11674" s="6">
        <v>0</v>
      </c>
      <c r="F11674" s="6">
        <v>0</v>
      </c>
      <c r="G11674" s="6">
        <v>4</v>
      </c>
      <c r="H11674" s="6" t="s">
        <v>48986</v>
      </c>
      <c r="I11674" s="6">
        <v>529.125</v>
      </c>
      <c r="J11674" s="2">
        <f t="shared" si="182"/>
        <v>43749.335577662037</v>
      </c>
    </row>
    <row r="11675" spans="1:10" x14ac:dyDescent="0.25">
      <c r="A11675" s="7" t="s">
        <v>48987</v>
      </c>
      <c r="B11675" s="8">
        <v>403.125</v>
      </c>
      <c r="C11675" s="8">
        <v>20.478950000000001</v>
      </c>
      <c r="D11675" s="8">
        <v>72</v>
      </c>
      <c r="E11675" s="8">
        <v>0</v>
      </c>
      <c r="F11675" s="8">
        <v>0</v>
      </c>
      <c r="G11675" s="8">
        <v>2</v>
      </c>
      <c r="H11675" s="8" t="s">
        <v>48988</v>
      </c>
      <c r="I11675" s="8">
        <v>529.125</v>
      </c>
      <c r="J11675" s="3">
        <f t="shared" si="182"/>
        <v>43749.335661157405</v>
      </c>
    </row>
    <row r="11676" spans="1:10" x14ac:dyDescent="0.25">
      <c r="A11676" s="5" t="s">
        <v>48989</v>
      </c>
      <c r="B11676" s="6">
        <v>403.125</v>
      </c>
      <c r="C11676" s="6">
        <v>20.478950000000001</v>
      </c>
      <c r="D11676" s="6">
        <v>74</v>
      </c>
      <c r="E11676" s="6">
        <v>0</v>
      </c>
      <c r="F11676" s="6">
        <v>0</v>
      </c>
      <c r="G11676" s="6">
        <v>16</v>
      </c>
      <c r="H11676" s="6" t="s">
        <v>48990</v>
      </c>
      <c r="I11676" s="6">
        <v>529.875</v>
      </c>
      <c r="J11676" s="2">
        <f t="shared" si="182"/>
        <v>43749.33573244213</v>
      </c>
    </row>
    <row r="11677" spans="1:10" x14ac:dyDescent="0.25">
      <c r="A11677" s="7" t="s">
        <v>48991</v>
      </c>
      <c r="B11677" s="8">
        <v>403.125</v>
      </c>
      <c r="C11677" s="8">
        <v>20.478950000000001</v>
      </c>
      <c r="D11677" s="8">
        <v>74</v>
      </c>
      <c r="E11677" s="8">
        <v>0</v>
      </c>
      <c r="F11677" s="8">
        <v>0</v>
      </c>
      <c r="G11677" s="8">
        <v>7</v>
      </c>
      <c r="H11677" s="8" t="s">
        <v>48992</v>
      </c>
      <c r="I11677" s="8">
        <v>529.875</v>
      </c>
      <c r="J11677" s="3">
        <f t="shared" si="182"/>
        <v>43749.335816180552</v>
      </c>
    </row>
    <row r="11678" spans="1:10" x14ac:dyDescent="0.25">
      <c r="A11678" s="5" t="s">
        <v>48993</v>
      </c>
      <c r="B11678" s="6">
        <v>425</v>
      </c>
      <c r="C11678" s="6">
        <v>20.478950000000001</v>
      </c>
      <c r="D11678" s="6">
        <v>73</v>
      </c>
      <c r="E11678" s="6">
        <v>0</v>
      </c>
      <c r="F11678" s="6">
        <v>0</v>
      </c>
      <c r="G11678" s="6">
        <v>10</v>
      </c>
      <c r="H11678" s="6" t="s">
        <v>48994</v>
      </c>
      <c r="I11678" s="6">
        <v>536.25</v>
      </c>
      <c r="J11678" s="2">
        <f t="shared" si="182"/>
        <v>43749.33588796296</v>
      </c>
    </row>
    <row r="11679" spans="1:10" x14ac:dyDescent="0.25">
      <c r="A11679" s="7" t="s">
        <v>48995</v>
      </c>
      <c r="B11679" s="8">
        <v>403.125</v>
      </c>
      <c r="C11679" s="8">
        <v>20.478950000000001</v>
      </c>
      <c r="D11679" s="8">
        <v>74</v>
      </c>
      <c r="E11679" s="8">
        <v>0</v>
      </c>
      <c r="F11679" s="8">
        <v>0</v>
      </c>
      <c r="G11679" s="8">
        <v>5</v>
      </c>
      <c r="H11679" s="8" t="s">
        <v>48996</v>
      </c>
      <c r="I11679" s="8">
        <v>529.875</v>
      </c>
      <c r="J11679" s="3">
        <f t="shared" si="182"/>
        <v>43749.335959027776</v>
      </c>
    </row>
    <row r="11680" spans="1:10" x14ac:dyDescent="0.25">
      <c r="A11680" s="5" t="s">
        <v>48997</v>
      </c>
      <c r="B11680" s="6">
        <v>403.125</v>
      </c>
      <c r="C11680" s="6">
        <v>20.478950000000001</v>
      </c>
      <c r="D11680" s="6">
        <v>73</v>
      </c>
      <c r="E11680" s="6">
        <v>0</v>
      </c>
      <c r="F11680" s="6">
        <v>0</v>
      </c>
      <c r="G11680" s="6">
        <v>5</v>
      </c>
      <c r="H11680" s="6" t="s">
        <v>48998</v>
      </c>
      <c r="I11680" s="6">
        <v>529.875</v>
      </c>
      <c r="J11680" s="2">
        <f t="shared" si="182"/>
        <v>43749.336030937498</v>
      </c>
    </row>
    <row r="11681" spans="1:10" x14ac:dyDescent="0.25">
      <c r="A11681" s="7" t="s">
        <v>48999</v>
      </c>
      <c r="B11681" s="8">
        <v>406.25</v>
      </c>
      <c r="C11681" s="8">
        <v>20.478950000000001</v>
      </c>
      <c r="D11681" s="8">
        <v>74</v>
      </c>
      <c r="E11681" s="8">
        <v>0</v>
      </c>
      <c r="F11681" s="8">
        <v>0</v>
      </c>
      <c r="G11681" s="8">
        <v>7</v>
      </c>
      <c r="H11681" s="8" t="s">
        <v>49000</v>
      </c>
      <c r="I11681" s="8">
        <v>530.625</v>
      </c>
      <c r="J11681" s="3">
        <f t="shared" si="182"/>
        <v>43749.336102824069</v>
      </c>
    </row>
    <row r="11682" spans="1:10" x14ac:dyDescent="0.25">
      <c r="A11682" s="5" t="s">
        <v>49001</v>
      </c>
      <c r="B11682" s="6">
        <v>406.25</v>
      </c>
      <c r="C11682" s="6">
        <v>20.478950000000001</v>
      </c>
      <c r="D11682" s="6">
        <v>74</v>
      </c>
      <c r="E11682" s="6">
        <v>0</v>
      </c>
      <c r="F11682" s="6">
        <v>0</v>
      </c>
      <c r="G11682" s="6">
        <v>6</v>
      </c>
      <c r="H11682" s="6" t="s">
        <v>49002</v>
      </c>
      <c r="I11682" s="6">
        <v>530.625</v>
      </c>
      <c r="J11682" s="2">
        <f t="shared" si="182"/>
        <v>43749.336174108794</v>
      </c>
    </row>
    <row r="11683" spans="1:10" x14ac:dyDescent="0.25">
      <c r="A11683" s="7" t="s">
        <v>49003</v>
      </c>
      <c r="B11683" s="8">
        <v>409.375</v>
      </c>
      <c r="C11683" s="8">
        <v>20.478950000000001</v>
      </c>
      <c r="D11683" s="8">
        <v>72</v>
      </c>
      <c r="E11683" s="8">
        <v>0</v>
      </c>
      <c r="F11683" s="8">
        <v>0</v>
      </c>
      <c r="G11683" s="8">
        <v>10</v>
      </c>
      <c r="H11683" s="8" t="s">
        <v>49004</v>
      </c>
      <c r="I11683" s="8">
        <v>531.375</v>
      </c>
      <c r="J11683" s="3">
        <f t="shared" si="182"/>
        <v>43749.336245405088</v>
      </c>
    </row>
    <row r="11684" spans="1:10" x14ac:dyDescent="0.25">
      <c r="A11684" s="5" t="s">
        <v>49005</v>
      </c>
      <c r="B11684" s="6">
        <v>409.375</v>
      </c>
      <c r="C11684" s="6">
        <v>20.478950000000001</v>
      </c>
      <c r="D11684" s="6">
        <v>72</v>
      </c>
      <c r="E11684" s="6">
        <v>0</v>
      </c>
      <c r="F11684" s="6">
        <v>0</v>
      </c>
      <c r="G11684" s="6">
        <v>10</v>
      </c>
      <c r="H11684" s="6" t="s">
        <v>49006</v>
      </c>
      <c r="I11684" s="6">
        <v>531.5625</v>
      </c>
      <c r="J11684" s="2">
        <f t="shared" si="182"/>
        <v>43749.336317627312</v>
      </c>
    </row>
    <row r="11685" spans="1:10" x14ac:dyDescent="0.25">
      <c r="A11685" s="7" t="s">
        <v>49007</v>
      </c>
      <c r="B11685" s="8">
        <v>412.5</v>
      </c>
      <c r="C11685" s="8">
        <v>20.478950000000001</v>
      </c>
      <c r="D11685" s="8">
        <v>72</v>
      </c>
      <c r="E11685" s="8">
        <v>0</v>
      </c>
      <c r="F11685" s="8">
        <v>0</v>
      </c>
      <c r="G11685" s="8">
        <v>1</v>
      </c>
      <c r="H11685" s="8" t="s">
        <v>49008</v>
      </c>
      <c r="I11685" s="8">
        <v>532.3125</v>
      </c>
      <c r="J11685" s="3">
        <f t="shared" si="182"/>
        <v>43749.336388935182</v>
      </c>
    </row>
    <row r="11686" spans="1:10" x14ac:dyDescent="0.25">
      <c r="A11686" s="5" t="s">
        <v>49009</v>
      </c>
      <c r="B11686" s="6">
        <v>412.5</v>
      </c>
      <c r="C11686" s="6">
        <v>20.478950000000001</v>
      </c>
      <c r="D11686" s="6">
        <v>72</v>
      </c>
      <c r="E11686" s="6">
        <v>0</v>
      </c>
      <c r="F11686" s="6">
        <v>0</v>
      </c>
      <c r="G11686" s="6">
        <v>7</v>
      </c>
      <c r="H11686" s="6" t="s">
        <v>49010</v>
      </c>
      <c r="I11686" s="6">
        <v>532.3125</v>
      </c>
      <c r="J11686" s="2">
        <f t="shared" si="182"/>
        <v>43749.336460347222</v>
      </c>
    </row>
    <row r="11687" spans="1:10" x14ac:dyDescent="0.25">
      <c r="A11687" s="7" t="s">
        <v>49011</v>
      </c>
      <c r="B11687" s="8">
        <v>425</v>
      </c>
      <c r="C11687" s="8">
        <v>20.478950000000001</v>
      </c>
      <c r="D11687" s="8">
        <v>74</v>
      </c>
      <c r="E11687" s="8">
        <v>0</v>
      </c>
      <c r="F11687" s="8">
        <v>0</v>
      </c>
      <c r="G11687" s="8">
        <v>3</v>
      </c>
      <c r="H11687" s="8" t="s">
        <v>49012</v>
      </c>
      <c r="I11687" s="8">
        <v>536.25</v>
      </c>
      <c r="J11687" s="3">
        <f t="shared" si="182"/>
        <v>43749.336531550922</v>
      </c>
    </row>
    <row r="11688" spans="1:10" x14ac:dyDescent="0.25">
      <c r="A11688" s="5" t="s">
        <v>49013</v>
      </c>
      <c r="B11688" s="6">
        <v>409.375</v>
      </c>
      <c r="C11688" s="6">
        <v>20.478950000000001</v>
      </c>
      <c r="D11688" s="6">
        <v>73</v>
      </c>
      <c r="E11688" s="6">
        <v>0</v>
      </c>
      <c r="F11688" s="6">
        <v>0</v>
      </c>
      <c r="G11688" s="6">
        <v>15</v>
      </c>
      <c r="H11688" s="6" t="s">
        <v>49014</v>
      </c>
      <c r="I11688" s="6">
        <v>531.5625</v>
      </c>
      <c r="J11688" s="2">
        <f t="shared" si="182"/>
        <v>43749.336615416665</v>
      </c>
    </row>
    <row r="11689" spans="1:10" x14ac:dyDescent="0.25">
      <c r="A11689" s="7" t="s">
        <v>49015</v>
      </c>
      <c r="B11689" s="8">
        <v>409.375</v>
      </c>
      <c r="C11689" s="8">
        <v>20.478950000000001</v>
      </c>
      <c r="D11689" s="8">
        <v>74</v>
      </c>
      <c r="E11689" s="8">
        <v>0</v>
      </c>
      <c r="F11689" s="8">
        <v>0</v>
      </c>
      <c r="G11689" s="8">
        <v>4</v>
      </c>
      <c r="H11689" s="8" t="s">
        <v>49016</v>
      </c>
      <c r="I11689" s="8">
        <v>531.375</v>
      </c>
      <c r="J11689" s="3">
        <f t="shared" si="182"/>
        <v>43749.336687094903</v>
      </c>
    </row>
    <row r="11690" spans="1:10" x14ac:dyDescent="0.25">
      <c r="A11690" s="5" t="s">
        <v>49017</v>
      </c>
      <c r="B11690" s="6">
        <v>440.625</v>
      </c>
      <c r="C11690" s="6">
        <v>20.426300000000001</v>
      </c>
      <c r="D11690" s="6">
        <v>75</v>
      </c>
      <c r="E11690" s="6">
        <v>0</v>
      </c>
      <c r="F11690" s="6">
        <v>0</v>
      </c>
      <c r="G11690" s="6">
        <v>4</v>
      </c>
      <c r="H11690" s="6" t="s">
        <v>49018</v>
      </c>
      <c r="I11690" s="6">
        <v>541.125</v>
      </c>
      <c r="J11690" s="2">
        <f t="shared" si="182"/>
        <v>43749.33675855324</v>
      </c>
    </row>
    <row r="11691" spans="1:10" x14ac:dyDescent="0.25">
      <c r="A11691" s="7" t="s">
        <v>49019</v>
      </c>
      <c r="B11691" s="8">
        <v>403.125</v>
      </c>
      <c r="C11691" s="8">
        <v>20.478950000000001</v>
      </c>
      <c r="D11691" s="8">
        <v>75</v>
      </c>
      <c r="E11691" s="8">
        <v>0</v>
      </c>
      <c r="F11691" s="8">
        <v>0</v>
      </c>
      <c r="G11691" s="8">
        <v>1</v>
      </c>
      <c r="H11691" s="8" t="s">
        <v>49020</v>
      </c>
      <c r="I11691" s="8">
        <v>529.875</v>
      </c>
      <c r="J11691" s="3">
        <f t="shared" si="182"/>
        <v>43749.336829629632</v>
      </c>
    </row>
    <row r="11692" spans="1:10" x14ac:dyDescent="0.25">
      <c r="A11692" s="5" t="s">
        <v>49021</v>
      </c>
      <c r="B11692" s="6">
        <v>403.125</v>
      </c>
      <c r="C11692" s="6">
        <v>20.426300000000001</v>
      </c>
      <c r="D11692" s="6">
        <v>72</v>
      </c>
      <c r="E11692" s="6">
        <v>0</v>
      </c>
      <c r="F11692" s="6">
        <v>0</v>
      </c>
      <c r="G11692" s="6">
        <v>13</v>
      </c>
      <c r="H11692" s="6" t="s">
        <v>49022</v>
      </c>
      <c r="I11692" s="6">
        <v>529.875</v>
      </c>
      <c r="J11692" s="2">
        <f t="shared" si="182"/>
        <v>43749.336901886571</v>
      </c>
    </row>
    <row r="11693" spans="1:10" x14ac:dyDescent="0.25">
      <c r="A11693" s="7" t="s">
        <v>49023</v>
      </c>
      <c r="B11693" s="8">
        <v>403.125</v>
      </c>
      <c r="C11693" s="8">
        <v>20.478950000000001</v>
      </c>
      <c r="D11693" s="8">
        <v>72</v>
      </c>
      <c r="E11693" s="8">
        <v>0</v>
      </c>
      <c r="F11693" s="8">
        <v>0</v>
      </c>
      <c r="G11693" s="8">
        <v>13</v>
      </c>
      <c r="H11693" s="8" t="s">
        <v>49024</v>
      </c>
      <c r="I11693" s="8">
        <v>529.125</v>
      </c>
      <c r="J11693" s="3">
        <f t="shared" si="182"/>
        <v>43749.336973182864</v>
      </c>
    </row>
    <row r="11694" spans="1:10" x14ac:dyDescent="0.25">
      <c r="A11694" s="5" t="s">
        <v>49025</v>
      </c>
      <c r="B11694" s="6">
        <v>403.125</v>
      </c>
      <c r="C11694" s="6">
        <v>20.478950000000001</v>
      </c>
      <c r="D11694" s="6">
        <v>72</v>
      </c>
      <c r="E11694" s="6">
        <v>0</v>
      </c>
      <c r="F11694" s="6">
        <v>0</v>
      </c>
      <c r="G11694" s="6">
        <v>6</v>
      </c>
      <c r="H11694" s="6" t="s">
        <v>49026</v>
      </c>
      <c r="I11694" s="6">
        <v>529.125</v>
      </c>
      <c r="J11694" s="2">
        <f t="shared" si="182"/>
        <v>43749.337044490741</v>
      </c>
    </row>
    <row r="11695" spans="1:10" x14ac:dyDescent="0.25">
      <c r="A11695" s="7" t="s">
        <v>49027</v>
      </c>
      <c r="B11695" s="8">
        <v>403.125</v>
      </c>
      <c r="C11695" s="8">
        <v>20.478950000000001</v>
      </c>
      <c r="D11695" s="8">
        <v>72</v>
      </c>
      <c r="E11695" s="8">
        <v>0</v>
      </c>
      <c r="F11695" s="8">
        <v>0</v>
      </c>
      <c r="G11695" s="8">
        <v>0</v>
      </c>
      <c r="H11695" s="8" t="s">
        <v>49028</v>
      </c>
      <c r="I11695" s="8">
        <v>529.875</v>
      </c>
      <c r="J11695" s="3">
        <f t="shared" si="182"/>
        <v>43749.337116712959</v>
      </c>
    </row>
    <row r="11696" spans="1:10" x14ac:dyDescent="0.25">
      <c r="A11696" s="5" t="s">
        <v>49029</v>
      </c>
      <c r="B11696" s="6">
        <v>403.125</v>
      </c>
      <c r="C11696" s="6">
        <v>20.478950000000001</v>
      </c>
      <c r="D11696" s="6">
        <v>72</v>
      </c>
      <c r="E11696" s="6">
        <v>0</v>
      </c>
      <c r="F11696" s="6">
        <v>0</v>
      </c>
      <c r="G11696" s="6">
        <v>10</v>
      </c>
      <c r="H11696" s="6" t="s">
        <v>49030</v>
      </c>
      <c r="I11696" s="6">
        <v>529.125</v>
      </c>
      <c r="J11696" s="2">
        <f t="shared" si="182"/>
        <v>43749.337187997684</v>
      </c>
    </row>
    <row r="11697" spans="1:10" x14ac:dyDescent="0.25">
      <c r="A11697" s="7" t="s">
        <v>49031</v>
      </c>
      <c r="B11697" s="8">
        <v>403.125</v>
      </c>
      <c r="C11697" s="8">
        <v>20.478950000000001</v>
      </c>
      <c r="D11697" s="8">
        <v>71</v>
      </c>
      <c r="E11697" s="8">
        <v>0</v>
      </c>
      <c r="F11697" s="8">
        <v>0</v>
      </c>
      <c r="G11697" s="8">
        <v>11</v>
      </c>
      <c r="H11697" s="8" t="s">
        <v>49032</v>
      </c>
      <c r="I11697" s="8">
        <v>529.125</v>
      </c>
      <c r="J11697" s="3">
        <f t="shared" si="182"/>
        <v>43749.337259259257</v>
      </c>
    </row>
    <row r="11698" spans="1:10" x14ac:dyDescent="0.25">
      <c r="A11698" s="5" t="s">
        <v>49033</v>
      </c>
      <c r="B11698" s="6">
        <v>403.125</v>
      </c>
      <c r="C11698" s="6">
        <v>20.478950000000001</v>
      </c>
      <c r="D11698" s="6">
        <v>71</v>
      </c>
      <c r="E11698" s="6">
        <v>0</v>
      </c>
      <c r="F11698" s="6">
        <v>0</v>
      </c>
      <c r="G11698" s="6">
        <v>5</v>
      </c>
      <c r="H11698" s="6" t="s">
        <v>49034</v>
      </c>
      <c r="I11698" s="6">
        <v>529.125</v>
      </c>
      <c r="J11698" s="2">
        <f t="shared" si="182"/>
        <v>43749.337331238428</v>
      </c>
    </row>
    <row r="11699" spans="1:10" x14ac:dyDescent="0.25">
      <c r="A11699" s="7" t="s">
        <v>49035</v>
      </c>
      <c r="B11699" s="8">
        <v>418.75</v>
      </c>
      <c r="C11699" s="8">
        <v>20.478950000000001</v>
      </c>
      <c r="D11699" s="8">
        <v>71</v>
      </c>
      <c r="E11699" s="8">
        <v>0</v>
      </c>
      <c r="F11699" s="8">
        <v>0</v>
      </c>
      <c r="G11699" s="8">
        <v>3</v>
      </c>
      <c r="H11699" s="8" t="s">
        <v>49036</v>
      </c>
      <c r="I11699" s="8">
        <v>534.75</v>
      </c>
      <c r="J11699" s="3">
        <f t="shared" si="182"/>
        <v>43749.337401956021</v>
      </c>
    </row>
    <row r="11700" spans="1:10" x14ac:dyDescent="0.25">
      <c r="A11700" s="5" t="s">
        <v>49037</v>
      </c>
      <c r="B11700" s="6">
        <v>403.125</v>
      </c>
      <c r="C11700" s="6">
        <v>20.478950000000001</v>
      </c>
      <c r="D11700" s="6">
        <v>71</v>
      </c>
      <c r="E11700" s="6">
        <v>0</v>
      </c>
      <c r="F11700" s="6">
        <v>0</v>
      </c>
      <c r="G11700" s="6">
        <v>2</v>
      </c>
      <c r="H11700" s="6" t="s">
        <v>49038</v>
      </c>
      <c r="I11700" s="6">
        <v>529.125</v>
      </c>
      <c r="J11700" s="2">
        <f t="shared" si="182"/>
        <v>43749.337522152775</v>
      </c>
    </row>
    <row r="11701" spans="1:10" x14ac:dyDescent="0.25">
      <c r="A11701" s="7" t="s">
        <v>49039</v>
      </c>
      <c r="B11701" s="8">
        <v>403.125</v>
      </c>
      <c r="C11701" s="8">
        <v>20.478950000000001</v>
      </c>
      <c r="D11701" s="8">
        <v>75</v>
      </c>
      <c r="E11701" s="8">
        <v>0</v>
      </c>
      <c r="F11701" s="8">
        <v>0</v>
      </c>
      <c r="G11701" s="8">
        <v>8</v>
      </c>
      <c r="H11701" s="8" t="s">
        <v>49040</v>
      </c>
      <c r="I11701" s="8">
        <v>529.125</v>
      </c>
      <c r="J11701" s="3">
        <f t="shared" si="182"/>
        <v>43749.337593425924</v>
      </c>
    </row>
    <row r="11702" spans="1:10" x14ac:dyDescent="0.25">
      <c r="A11702" s="5" t="s">
        <v>49041</v>
      </c>
      <c r="B11702" s="6">
        <v>403.125</v>
      </c>
      <c r="C11702" s="6">
        <v>20.478950000000001</v>
      </c>
      <c r="D11702" s="6">
        <v>75</v>
      </c>
      <c r="E11702" s="6">
        <v>0</v>
      </c>
      <c r="F11702" s="6">
        <v>0</v>
      </c>
      <c r="G11702" s="6">
        <v>8</v>
      </c>
      <c r="H11702" s="6" t="s">
        <v>49042</v>
      </c>
      <c r="I11702" s="6">
        <v>529.125</v>
      </c>
      <c r="J11702" s="2">
        <f t="shared" si="182"/>
        <v>43749.337664733794</v>
      </c>
    </row>
    <row r="11703" spans="1:10" x14ac:dyDescent="0.25">
      <c r="A11703" s="7" t="s">
        <v>49043</v>
      </c>
      <c r="B11703" s="8">
        <v>403.125</v>
      </c>
      <c r="C11703" s="8">
        <v>20.426300000000001</v>
      </c>
      <c r="D11703" s="8">
        <v>74</v>
      </c>
      <c r="E11703" s="8">
        <v>0</v>
      </c>
      <c r="F11703" s="8">
        <v>0</v>
      </c>
      <c r="G11703" s="8">
        <v>11</v>
      </c>
      <c r="H11703" s="8" t="s">
        <v>49044</v>
      </c>
      <c r="I11703" s="8">
        <v>529.125</v>
      </c>
      <c r="J11703" s="3">
        <f t="shared" si="182"/>
        <v>43749.337742233794</v>
      </c>
    </row>
    <row r="11704" spans="1:10" x14ac:dyDescent="0.25">
      <c r="A11704" s="5" t="s">
        <v>49045</v>
      </c>
      <c r="B11704" s="6">
        <v>403.125</v>
      </c>
      <c r="C11704" s="6">
        <v>20.478950000000001</v>
      </c>
      <c r="D11704" s="6">
        <v>74</v>
      </c>
      <c r="E11704" s="6">
        <v>0</v>
      </c>
      <c r="F11704" s="6">
        <v>0</v>
      </c>
      <c r="G11704" s="6">
        <v>13</v>
      </c>
      <c r="H11704" s="6" t="s">
        <v>49046</v>
      </c>
      <c r="I11704" s="6">
        <v>529.125</v>
      </c>
      <c r="J11704" s="2">
        <f t="shared" si="182"/>
        <v>43749.337820347217</v>
      </c>
    </row>
    <row r="11705" spans="1:10" x14ac:dyDescent="0.25">
      <c r="A11705" s="7" t="s">
        <v>49047</v>
      </c>
      <c r="B11705" s="8">
        <v>400</v>
      </c>
      <c r="C11705" s="8">
        <v>20.478950000000001</v>
      </c>
      <c r="D11705" s="8">
        <v>74</v>
      </c>
      <c r="E11705" s="8">
        <v>0</v>
      </c>
      <c r="F11705" s="8">
        <v>0</v>
      </c>
      <c r="G11705" s="8">
        <v>16</v>
      </c>
      <c r="H11705" s="8" t="s">
        <v>49048</v>
      </c>
      <c r="I11705" s="8">
        <v>528.375</v>
      </c>
      <c r="J11705" s="3">
        <f t="shared" si="182"/>
        <v>43749.337891643518</v>
      </c>
    </row>
    <row r="11706" spans="1:10" x14ac:dyDescent="0.25">
      <c r="A11706" s="5" t="s">
        <v>49049</v>
      </c>
      <c r="B11706" s="6">
        <v>400</v>
      </c>
      <c r="C11706" s="6">
        <v>20.478950000000001</v>
      </c>
      <c r="D11706" s="6">
        <v>72</v>
      </c>
      <c r="E11706" s="6">
        <v>0</v>
      </c>
      <c r="F11706" s="6">
        <v>0</v>
      </c>
      <c r="G11706" s="6">
        <v>11</v>
      </c>
      <c r="H11706" s="6" t="s">
        <v>49050</v>
      </c>
      <c r="I11706" s="6">
        <v>528.1875</v>
      </c>
      <c r="J11706" s="2">
        <f t="shared" si="182"/>
        <v>43749.337962893514</v>
      </c>
    </row>
    <row r="11707" spans="1:10" x14ac:dyDescent="0.25">
      <c r="A11707" s="7" t="s">
        <v>49051</v>
      </c>
      <c r="B11707" s="8">
        <v>400</v>
      </c>
      <c r="C11707" s="8">
        <v>20.478950000000001</v>
      </c>
      <c r="D11707" s="8">
        <v>72</v>
      </c>
      <c r="E11707" s="8">
        <v>0</v>
      </c>
      <c r="F11707" s="8">
        <v>0</v>
      </c>
      <c r="G11707" s="8">
        <v>12</v>
      </c>
      <c r="H11707" s="8" t="s">
        <v>49052</v>
      </c>
      <c r="I11707" s="8">
        <v>528.1875</v>
      </c>
      <c r="J11707" s="3">
        <f t="shared" si="182"/>
        <v>43749.338058252317</v>
      </c>
    </row>
    <row r="11708" spans="1:10" x14ac:dyDescent="0.25">
      <c r="A11708" s="5" t="s">
        <v>49053</v>
      </c>
      <c r="B11708" s="6">
        <v>400</v>
      </c>
      <c r="C11708" s="6">
        <v>20.426300000000001</v>
      </c>
      <c r="D11708" s="6">
        <v>72</v>
      </c>
      <c r="E11708" s="6">
        <v>0</v>
      </c>
      <c r="F11708" s="6">
        <v>0</v>
      </c>
      <c r="G11708" s="6">
        <v>8</v>
      </c>
      <c r="H11708" s="6" t="s">
        <v>49054</v>
      </c>
      <c r="I11708" s="6">
        <v>528.1875</v>
      </c>
      <c r="J11708" s="2">
        <f t="shared" si="182"/>
        <v>43749.338130219905</v>
      </c>
    </row>
    <row r="11709" spans="1:10" x14ac:dyDescent="0.25">
      <c r="A11709" s="7" t="s">
        <v>49055</v>
      </c>
      <c r="B11709" s="8">
        <v>400</v>
      </c>
      <c r="C11709" s="8">
        <v>20.478950000000001</v>
      </c>
      <c r="D11709" s="8">
        <v>72</v>
      </c>
      <c r="E11709" s="8">
        <v>0</v>
      </c>
      <c r="F11709" s="8">
        <v>0</v>
      </c>
      <c r="G11709" s="8">
        <v>18</v>
      </c>
      <c r="H11709" s="8" t="s">
        <v>49056</v>
      </c>
      <c r="I11709" s="8">
        <v>528.375</v>
      </c>
      <c r="J11709" s="3">
        <f t="shared" si="182"/>
        <v>43749.338201284721</v>
      </c>
    </row>
    <row r="11710" spans="1:10" x14ac:dyDescent="0.25">
      <c r="A11710" s="5" t="s">
        <v>49057</v>
      </c>
      <c r="B11710" s="6">
        <v>418.75</v>
      </c>
      <c r="C11710" s="6">
        <v>20.478950000000001</v>
      </c>
      <c r="D11710" s="6">
        <v>72</v>
      </c>
      <c r="E11710" s="6">
        <v>0</v>
      </c>
      <c r="F11710" s="6">
        <v>0</v>
      </c>
      <c r="G11710" s="6">
        <v>12</v>
      </c>
      <c r="H11710" s="6" t="s">
        <v>49058</v>
      </c>
      <c r="I11710" s="6">
        <v>534.375</v>
      </c>
      <c r="J11710" s="2">
        <f t="shared" si="182"/>
        <v>43749.338272812493</v>
      </c>
    </row>
    <row r="11711" spans="1:10" x14ac:dyDescent="0.25">
      <c r="A11711" s="7" t="s">
        <v>49059</v>
      </c>
      <c r="B11711" s="8">
        <v>396.875</v>
      </c>
      <c r="C11711" s="8">
        <v>20.478950000000001</v>
      </c>
      <c r="D11711" s="8">
        <v>73</v>
      </c>
      <c r="E11711" s="8">
        <v>0</v>
      </c>
      <c r="F11711" s="8">
        <v>0</v>
      </c>
      <c r="G11711" s="8">
        <v>2</v>
      </c>
      <c r="H11711" s="8" t="s">
        <v>49060</v>
      </c>
      <c r="I11711" s="8">
        <v>527.4375</v>
      </c>
      <c r="J11711" s="3">
        <f t="shared" si="182"/>
        <v>43749.338344641197</v>
      </c>
    </row>
    <row r="11712" spans="1:10" x14ac:dyDescent="0.25">
      <c r="A11712" s="5" t="s">
        <v>49061</v>
      </c>
      <c r="B11712" s="6">
        <v>396.875</v>
      </c>
      <c r="C11712" s="6">
        <v>20.478950000000001</v>
      </c>
      <c r="D11712" s="6">
        <v>73</v>
      </c>
      <c r="E11712" s="6">
        <v>0</v>
      </c>
      <c r="F11712" s="6">
        <v>0</v>
      </c>
      <c r="G11712" s="6">
        <v>11</v>
      </c>
      <c r="H11712" s="6" t="s">
        <v>49062</v>
      </c>
      <c r="I11712" s="6">
        <v>527.4375</v>
      </c>
      <c r="J11712" s="2">
        <f t="shared" si="182"/>
        <v>43749.33841571759</v>
      </c>
    </row>
    <row r="11713" spans="1:10" x14ac:dyDescent="0.25">
      <c r="A11713" s="7" t="s">
        <v>49063</v>
      </c>
      <c r="B11713" s="8">
        <v>396.875</v>
      </c>
      <c r="C11713" s="8">
        <v>20.478950000000001</v>
      </c>
      <c r="D11713" s="8">
        <v>72</v>
      </c>
      <c r="E11713" s="8">
        <v>0</v>
      </c>
      <c r="F11713" s="8">
        <v>0</v>
      </c>
      <c r="G11713" s="8">
        <v>11</v>
      </c>
      <c r="H11713" s="8" t="s">
        <v>49064</v>
      </c>
      <c r="I11713" s="8">
        <v>527.4375</v>
      </c>
      <c r="J11713" s="3">
        <f t="shared" si="182"/>
        <v>43749.338487256937</v>
      </c>
    </row>
    <row r="11714" spans="1:10" x14ac:dyDescent="0.25">
      <c r="A11714" s="5" t="s">
        <v>49065</v>
      </c>
      <c r="B11714" s="6">
        <v>396.875</v>
      </c>
      <c r="C11714" s="6">
        <v>20.478950000000001</v>
      </c>
      <c r="D11714" s="6">
        <v>72</v>
      </c>
      <c r="E11714" s="6">
        <v>0</v>
      </c>
      <c r="F11714" s="6">
        <v>0</v>
      </c>
      <c r="G11714" s="6">
        <v>11</v>
      </c>
      <c r="H11714" s="6" t="s">
        <v>49066</v>
      </c>
      <c r="I11714" s="6">
        <v>527.4375</v>
      </c>
      <c r="J11714" s="2">
        <f t="shared" ref="J11714:J11777" si="183">(H11714/86400000)+25569+(7/24)</f>
        <v>43749.338571284716</v>
      </c>
    </row>
    <row r="11715" spans="1:10" x14ac:dyDescent="0.25">
      <c r="A11715" s="7" t="s">
        <v>49067</v>
      </c>
      <c r="B11715" s="8">
        <v>396.875</v>
      </c>
      <c r="C11715" s="8">
        <v>20.478950000000001</v>
      </c>
      <c r="D11715" s="8">
        <v>72</v>
      </c>
      <c r="E11715" s="8">
        <v>0</v>
      </c>
      <c r="F11715" s="8">
        <v>0</v>
      </c>
      <c r="G11715" s="8">
        <v>18</v>
      </c>
      <c r="H11715" s="8" t="s">
        <v>49068</v>
      </c>
      <c r="I11715" s="8">
        <v>527.625</v>
      </c>
      <c r="J11715" s="3">
        <f t="shared" si="183"/>
        <v>43749.338642685187</v>
      </c>
    </row>
    <row r="11716" spans="1:10" x14ac:dyDescent="0.25">
      <c r="A11716" s="5" t="s">
        <v>49069</v>
      </c>
      <c r="B11716" s="6">
        <v>396.875</v>
      </c>
      <c r="C11716" s="6">
        <v>20.478950000000001</v>
      </c>
      <c r="D11716" s="6">
        <v>71</v>
      </c>
      <c r="E11716" s="6">
        <v>0</v>
      </c>
      <c r="F11716" s="6">
        <v>0</v>
      </c>
      <c r="G11716" s="6">
        <v>15</v>
      </c>
      <c r="H11716" s="6" t="s">
        <v>49070</v>
      </c>
      <c r="I11716" s="6">
        <v>527.4375</v>
      </c>
      <c r="J11716" s="2">
        <f t="shared" si="183"/>
        <v>43749.338714212958</v>
      </c>
    </row>
    <row r="11717" spans="1:10" x14ac:dyDescent="0.25">
      <c r="A11717" s="7" t="s">
        <v>49071</v>
      </c>
      <c r="B11717" s="8">
        <v>396.875</v>
      </c>
      <c r="C11717" s="8">
        <v>20.478950000000001</v>
      </c>
      <c r="D11717" s="8">
        <v>71</v>
      </c>
      <c r="E11717" s="8">
        <v>0</v>
      </c>
      <c r="F11717" s="8">
        <v>0</v>
      </c>
      <c r="G11717" s="8">
        <v>6</v>
      </c>
      <c r="H11717" s="8" t="s">
        <v>49072</v>
      </c>
      <c r="I11717" s="8">
        <v>527.4375</v>
      </c>
      <c r="J11717" s="3">
        <f t="shared" si="183"/>
        <v>43749.338785497683</v>
      </c>
    </row>
    <row r="11718" spans="1:10" x14ac:dyDescent="0.25">
      <c r="A11718" s="5" t="s">
        <v>49073</v>
      </c>
      <c r="B11718" s="6">
        <v>415.625</v>
      </c>
      <c r="C11718" s="6">
        <v>20.478950000000001</v>
      </c>
      <c r="D11718" s="6">
        <v>73</v>
      </c>
      <c r="E11718" s="6">
        <v>0</v>
      </c>
      <c r="F11718" s="6">
        <v>0</v>
      </c>
      <c r="G11718" s="6">
        <v>8</v>
      </c>
      <c r="H11718" s="6" t="s">
        <v>49074</v>
      </c>
      <c r="I11718" s="6">
        <v>533.0625</v>
      </c>
      <c r="J11718" s="2">
        <f t="shared" si="183"/>
        <v>43749.338857361108</v>
      </c>
    </row>
    <row r="11719" spans="1:10" x14ac:dyDescent="0.25">
      <c r="A11719" s="7" t="s">
        <v>49075</v>
      </c>
      <c r="B11719" s="8">
        <v>396.875</v>
      </c>
      <c r="C11719" s="8">
        <v>20.478950000000001</v>
      </c>
      <c r="D11719" s="8">
        <v>73</v>
      </c>
      <c r="E11719" s="8">
        <v>0</v>
      </c>
      <c r="F11719" s="8">
        <v>0</v>
      </c>
      <c r="G11719" s="8">
        <v>5</v>
      </c>
      <c r="H11719" s="8" t="s">
        <v>49076</v>
      </c>
      <c r="I11719" s="8">
        <v>527.4375</v>
      </c>
      <c r="J11719" s="3">
        <f t="shared" si="183"/>
        <v>43749.338928923607</v>
      </c>
    </row>
    <row r="11720" spans="1:10" x14ac:dyDescent="0.25">
      <c r="A11720" s="5" t="s">
        <v>49077</v>
      </c>
      <c r="B11720" s="6">
        <v>396.875</v>
      </c>
      <c r="C11720" s="6">
        <v>20.478950000000001</v>
      </c>
      <c r="D11720" s="6">
        <v>73</v>
      </c>
      <c r="E11720" s="6">
        <v>0</v>
      </c>
      <c r="F11720" s="6">
        <v>0</v>
      </c>
      <c r="G11720" s="6">
        <v>6</v>
      </c>
      <c r="H11720" s="6" t="s">
        <v>49078</v>
      </c>
      <c r="I11720" s="6">
        <v>527.4375</v>
      </c>
      <c r="J11720" s="2">
        <f t="shared" si="183"/>
        <v>43749.339000439817</v>
      </c>
    </row>
    <row r="11721" spans="1:10" x14ac:dyDescent="0.25">
      <c r="A11721" s="7" t="s">
        <v>49079</v>
      </c>
      <c r="B11721" s="8">
        <v>400</v>
      </c>
      <c r="C11721" s="8">
        <v>20.478950000000001</v>
      </c>
      <c r="D11721" s="8">
        <v>73</v>
      </c>
      <c r="E11721" s="8">
        <v>0</v>
      </c>
      <c r="F11721" s="8">
        <v>0</v>
      </c>
      <c r="G11721" s="8">
        <v>6</v>
      </c>
      <c r="H11721" s="8" t="s">
        <v>49080</v>
      </c>
      <c r="I11721" s="8">
        <v>528.375</v>
      </c>
      <c r="J11721" s="3">
        <f t="shared" si="183"/>
        <v>43749.339072060182</v>
      </c>
    </row>
    <row r="11722" spans="1:10" x14ac:dyDescent="0.25">
      <c r="A11722" s="5" t="s">
        <v>49081</v>
      </c>
      <c r="B11722" s="6">
        <v>400</v>
      </c>
      <c r="C11722" s="6">
        <v>20.478950000000001</v>
      </c>
      <c r="D11722" s="6">
        <v>73</v>
      </c>
      <c r="E11722" s="6">
        <v>0</v>
      </c>
      <c r="F11722" s="6">
        <v>0</v>
      </c>
      <c r="G11722" s="6">
        <v>0</v>
      </c>
      <c r="H11722" s="6" t="s">
        <v>49082</v>
      </c>
      <c r="I11722" s="6">
        <v>528.375</v>
      </c>
      <c r="J11722" s="2">
        <f t="shared" si="183"/>
        <v>43749.339143622681</v>
      </c>
    </row>
    <row r="11723" spans="1:10" x14ac:dyDescent="0.25">
      <c r="A11723" s="7" t="s">
        <v>49083</v>
      </c>
      <c r="B11723" s="8">
        <v>403.125</v>
      </c>
      <c r="C11723" s="8">
        <v>20.478950000000001</v>
      </c>
      <c r="D11723" s="8">
        <v>75</v>
      </c>
      <c r="E11723" s="8">
        <v>0</v>
      </c>
      <c r="F11723" s="8">
        <v>0</v>
      </c>
      <c r="G11723" s="8">
        <v>7</v>
      </c>
      <c r="H11723" s="8" t="s">
        <v>49084</v>
      </c>
      <c r="I11723" s="8">
        <v>529.125</v>
      </c>
      <c r="J11723" s="3">
        <f t="shared" si="183"/>
        <v>43749.339226828706</v>
      </c>
    </row>
    <row r="11724" spans="1:10" x14ac:dyDescent="0.25">
      <c r="A11724" s="5" t="s">
        <v>49085</v>
      </c>
      <c r="B11724" s="6">
        <v>403.125</v>
      </c>
      <c r="C11724" s="6">
        <v>20.478950000000001</v>
      </c>
      <c r="D11724" s="6">
        <v>74</v>
      </c>
      <c r="E11724" s="6">
        <v>0</v>
      </c>
      <c r="F11724" s="6">
        <v>0</v>
      </c>
      <c r="G11724" s="6">
        <v>1</v>
      </c>
      <c r="H11724" s="6" t="s">
        <v>49086</v>
      </c>
      <c r="I11724" s="6">
        <v>529.125</v>
      </c>
      <c r="J11724" s="2">
        <f t="shared" si="183"/>
        <v>43749.339298587962</v>
      </c>
    </row>
    <row r="11725" spans="1:10" x14ac:dyDescent="0.25">
      <c r="A11725" s="7" t="s">
        <v>49087</v>
      </c>
      <c r="B11725" s="8">
        <v>403.125</v>
      </c>
      <c r="C11725" s="8">
        <v>20.426300000000001</v>
      </c>
      <c r="D11725" s="8">
        <v>72</v>
      </c>
      <c r="E11725" s="8">
        <v>0</v>
      </c>
      <c r="F11725" s="8">
        <v>0</v>
      </c>
      <c r="G11725" s="8">
        <v>6</v>
      </c>
      <c r="H11725" s="8" t="s">
        <v>49088</v>
      </c>
      <c r="I11725" s="8">
        <v>529.125</v>
      </c>
      <c r="J11725" s="3">
        <f t="shared" si="183"/>
        <v>43749.339382141203</v>
      </c>
    </row>
    <row r="11726" spans="1:10" x14ac:dyDescent="0.25">
      <c r="A11726" s="5" t="s">
        <v>49089</v>
      </c>
      <c r="B11726" s="6">
        <v>400</v>
      </c>
      <c r="C11726" s="6">
        <v>20.478950000000001</v>
      </c>
      <c r="D11726" s="6">
        <v>72</v>
      </c>
      <c r="E11726" s="6">
        <v>0</v>
      </c>
      <c r="F11726" s="6">
        <v>0</v>
      </c>
      <c r="G11726" s="6">
        <v>0</v>
      </c>
      <c r="H11726" s="6" t="s">
        <v>49090</v>
      </c>
      <c r="I11726" s="6">
        <v>528.9375</v>
      </c>
      <c r="J11726" s="2">
        <f t="shared" si="183"/>
        <v>43749.33945368055</v>
      </c>
    </row>
    <row r="11727" spans="1:10" x14ac:dyDescent="0.25">
      <c r="A11727" s="7" t="s">
        <v>49091</v>
      </c>
      <c r="B11727" s="8">
        <v>403.125</v>
      </c>
      <c r="C11727" s="8">
        <v>20.478950000000001</v>
      </c>
      <c r="D11727" s="8">
        <v>71</v>
      </c>
      <c r="E11727" s="8">
        <v>0</v>
      </c>
      <c r="F11727" s="8">
        <v>0</v>
      </c>
      <c r="G11727" s="8">
        <v>3</v>
      </c>
      <c r="H11727" s="8" t="s">
        <v>49092</v>
      </c>
      <c r="I11727" s="8">
        <v>529.125</v>
      </c>
      <c r="J11727" s="3">
        <f t="shared" si="183"/>
        <v>43749.339525312498</v>
      </c>
    </row>
    <row r="11728" spans="1:10" x14ac:dyDescent="0.25">
      <c r="A11728" s="5" t="s">
        <v>49093</v>
      </c>
      <c r="B11728" s="6">
        <v>403.125</v>
      </c>
      <c r="C11728" s="6">
        <v>20.478950000000001</v>
      </c>
      <c r="D11728" s="6">
        <v>68</v>
      </c>
      <c r="E11728" s="6">
        <v>0</v>
      </c>
      <c r="F11728" s="6">
        <v>0</v>
      </c>
      <c r="G11728" s="6">
        <v>10</v>
      </c>
      <c r="H11728" s="6" t="s">
        <v>49094</v>
      </c>
      <c r="I11728" s="6">
        <v>529.125</v>
      </c>
      <c r="J11728" s="2">
        <f t="shared" si="183"/>
        <v>43749.339596840276</v>
      </c>
    </row>
    <row r="11729" spans="1:10" x14ac:dyDescent="0.25">
      <c r="A11729" s="7" t="s">
        <v>49095</v>
      </c>
      <c r="B11729" s="8">
        <v>403.125</v>
      </c>
      <c r="C11729" s="8">
        <v>20.478950000000001</v>
      </c>
      <c r="D11729" s="8">
        <v>70</v>
      </c>
      <c r="E11729" s="8">
        <v>0</v>
      </c>
      <c r="F11729" s="8">
        <v>0</v>
      </c>
      <c r="G11729" s="8">
        <v>3</v>
      </c>
      <c r="H11729" s="8" t="s">
        <v>49096</v>
      </c>
      <c r="I11729" s="8">
        <v>529.125</v>
      </c>
      <c r="J11729" s="3">
        <f t="shared" si="183"/>
        <v>43749.339668368055</v>
      </c>
    </row>
    <row r="11730" spans="1:10" x14ac:dyDescent="0.25">
      <c r="A11730" s="5" t="s">
        <v>49097</v>
      </c>
      <c r="B11730" s="6">
        <v>403.125</v>
      </c>
      <c r="C11730" s="6">
        <v>20.478950000000001</v>
      </c>
      <c r="D11730" s="6">
        <v>70</v>
      </c>
      <c r="E11730" s="6">
        <v>0</v>
      </c>
      <c r="F11730" s="6">
        <v>0</v>
      </c>
      <c r="G11730" s="6">
        <v>6</v>
      </c>
      <c r="H11730" s="6" t="s">
        <v>49098</v>
      </c>
      <c r="I11730" s="6">
        <v>529.125</v>
      </c>
      <c r="J11730" s="2">
        <f t="shared" si="183"/>
        <v>43749.339739895826</v>
      </c>
    </row>
    <row r="11731" spans="1:10" x14ac:dyDescent="0.25">
      <c r="A11731" s="7" t="s">
        <v>49099</v>
      </c>
      <c r="B11731" s="8">
        <v>403.125</v>
      </c>
      <c r="C11731" s="8">
        <v>20.478950000000001</v>
      </c>
      <c r="D11731" s="8">
        <v>70</v>
      </c>
      <c r="E11731" s="8">
        <v>0</v>
      </c>
      <c r="F11731" s="8">
        <v>0</v>
      </c>
      <c r="G11731" s="8">
        <v>0</v>
      </c>
      <c r="H11731" s="8" t="s">
        <v>49100</v>
      </c>
      <c r="I11731" s="8">
        <v>529.125</v>
      </c>
      <c r="J11731" s="3">
        <f t="shared" si="183"/>
        <v>43749.33981143518</v>
      </c>
    </row>
    <row r="11732" spans="1:10" x14ac:dyDescent="0.25">
      <c r="A11732" s="5" t="s">
        <v>49101</v>
      </c>
      <c r="B11732" s="6">
        <v>403.125</v>
      </c>
      <c r="C11732" s="6">
        <v>20.478950000000001</v>
      </c>
      <c r="D11732" s="6">
        <v>69</v>
      </c>
      <c r="E11732" s="6">
        <v>0</v>
      </c>
      <c r="F11732" s="6">
        <v>0</v>
      </c>
      <c r="G11732" s="6">
        <v>4</v>
      </c>
      <c r="H11732" s="6" t="s">
        <v>49102</v>
      </c>
      <c r="I11732" s="6">
        <v>529.125</v>
      </c>
      <c r="J11732" s="2">
        <f t="shared" si="183"/>
        <v>43749.339883182867</v>
      </c>
    </row>
    <row r="11733" spans="1:10" x14ac:dyDescent="0.25">
      <c r="A11733" s="7" t="s">
        <v>49103</v>
      </c>
      <c r="B11733" s="8">
        <v>403.125</v>
      </c>
      <c r="C11733" s="8">
        <v>20.478950000000001</v>
      </c>
      <c r="D11733" s="8">
        <v>69</v>
      </c>
      <c r="E11733" s="8">
        <v>0</v>
      </c>
      <c r="F11733" s="8">
        <v>0</v>
      </c>
      <c r="G11733" s="8">
        <v>5</v>
      </c>
      <c r="H11733" s="8" t="s">
        <v>49104</v>
      </c>
      <c r="I11733" s="8">
        <v>529.125</v>
      </c>
      <c r="J11733" s="3">
        <f t="shared" si="183"/>
        <v>43749.339966550928</v>
      </c>
    </row>
    <row r="11734" spans="1:10" x14ac:dyDescent="0.25">
      <c r="A11734" s="5" t="s">
        <v>49105</v>
      </c>
      <c r="B11734" s="6">
        <v>400</v>
      </c>
      <c r="C11734" s="6">
        <v>20.478950000000001</v>
      </c>
      <c r="D11734" s="6">
        <v>69</v>
      </c>
      <c r="E11734" s="6">
        <v>0</v>
      </c>
      <c r="F11734" s="6">
        <v>0</v>
      </c>
      <c r="G11734" s="6">
        <v>11</v>
      </c>
      <c r="H11734" s="6" t="s">
        <v>49106</v>
      </c>
      <c r="I11734" s="6">
        <v>528.1875</v>
      </c>
      <c r="J11734" s="2">
        <f t="shared" si="183"/>
        <v>43749.340037974536</v>
      </c>
    </row>
    <row r="11735" spans="1:10" x14ac:dyDescent="0.25">
      <c r="A11735" s="7" t="s">
        <v>49107</v>
      </c>
      <c r="B11735" s="8">
        <v>400</v>
      </c>
      <c r="C11735" s="8">
        <v>20.426300000000001</v>
      </c>
      <c r="D11735" s="8">
        <v>69</v>
      </c>
      <c r="E11735" s="8">
        <v>0</v>
      </c>
      <c r="F11735" s="8">
        <v>0</v>
      </c>
      <c r="G11735" s="8">
        <v>4</v>
      </c>
      <c r="H11735" s="8" t="s">
        <v>49108</v>
      </c>
      <c r="I11735" s="8">
        <v>528.1875</v>
      </c>
      <c r="J11735" s="3">
        <f t="shared" si="183"/>
        <v>43749.340109745368</v>
      </c>
    </row>
    <row r="11736" spans="1:10" x14ac:dyDescent="0.25">
      <c r="A11736" s="5" t="s">
        <v>49109</v>
      </c>
      <c r="B11736" s="6">
        <v>400</v>
      </c>
      <c r="C11736" s="6">
        <v>20.478950000000001</v>
      </c>
      <c r="D11736" s="6">
        <v>70</v>
      </c>
      <c r="E11736" s="6">
        <v>0</v>
      </c>
      <c r="F11736" s="6">
        <v>0</v>
      </c>
      <c r="G11736" s="6">
        <v>3</v>
      </c>
      <c r="H11736" s="6" t="s">
        <v>49110</v>
      </c>
      <c r="I11736" s="6">
        <v>528.375</v>
      </c>
      <c r="J11736" s="2">
        <f t="shared" si="183"/>
        <v>43749.340193182863</v>
      </c>
    </row>
    <row r="11737" spans="1:10" x14ac:dyDescent="0.25">
      <c r="A11737" s="7" t="s">
        <v>49111</v>
      </c>
      <c r="B11737" s="8">
        <v>400</v>
      </c>
      <c r="C11737" s="8">
        <v>20.478950000000001</v>
      </c>
      <c r="D11737" s="8">
        <v>69</v>
      </c>
      <c r="E11737" s="8">
        <v>0</v>
      </c>
      <c r="F11737" s="8">
        <v>0</v>
      </c>
      <c r="G11737" s="8">
        <v>15</v>
      </c>
      <c r="H11737" s="8" t="s">
        <v>49112</v>
      </c>
      <c r="I11737" s="8">
        <v>528.1875</v>
      </c>
      <c r="J11737" s="3">
        <f t="shared" si="183"/>
        <v>43749.340284756945</v>
      </c>
    </row>
    <row r="11738" spans="1:10" x14ac:dyDescent="0.25">
      <c r="A11738" s="5" t="s">
        <v>49113</v>
      </c>
      <c r="B11738" s="6">
        <v>400</v>
      </c>
      <c r="C11738" s="6">
        <v>20.426300000000001</v>
      </c>
      <c r="D11738" s="6">
        <v>69</v>
      </c>
      <c r="E11738" s="6">
        <v>0</v>
      </c>
      <c r="F11738" s="6">
        <v>0</v>
      </c>
      <c r="G11738" s="6">
        <v>12</v>
      </c>
      <c r="H11738" s="6" t="s">
        <v>49114</v>
      </c>
      <c r="I11738" s="6">
        <v>528.375</v>
      </c>
      <c r="J11738" s="2">
        <f t="shared" si="183"/>
        <v>43749.340360243055</v>
      </c>
    </row>
    <row r="11739" spans="1:10" x14ac:dyDescent="0.25">
      <c r="A11739" s="7" t="s">
        <v>49115</v>
      </c>
      <c r="B11739" s="8">
        <v>396.875</v>
      </c>
      <c r="C11739" s="8">
        <v>20.426300000000001</v>
      </c>
      <c r="D11739" s="8">
        <v>69</v>
      </c>
      <c r="E11739" s="8">
        <v>0</v>
      </c>
      <c r="F11739" s="8">
        <v>0</v>
      </c>
      <c r="G11739" s="8">
        <v>2</v>
      </c>
      <c r="H11739" s="8" t="s">
        <v>49116</v>
      </c>
      <c r="I11739" s="8">
        <v>527.625</v>
      </c>
      <c r="J11739" s="3">
        <f t="shared" si="183"/>
        <v>43749.340443634261</v>
      </c>
    </row>
    <row r="11740" spans="1:10" x14ac:dyDescent="0.25">
      <c r="A11740" s="5" t="s">
        <v>49117</v>
      </c>
      <c r="B11740" s="6">
        <v>396.875</v>
      </c>
      <c r="C11740" s="6">
        <v>20.478950000000001</v>
      </c>
      <c r="D11740" s="6">
        <v>69</v>
      </c>
      <c r="E11740" s="6">
        <v>0</v>
      </c>
      <c r="F11740" s="6">
        <v>0</v>
      </c>
      <c r="G11740" s="6">
        <v>6</v>
      </c>
      <c r="H11740" s="6" t="s">
        <v>49118</v>
      </c>
      <c r="I11740" s="6">
        <v>527.4375</v>
      </c>
      <c r="J11740" s="2">
        <f t="shared" si="183"/>
        <v>43749.340526921289</v>
      </c>
    </row>
    <row r="11741" spans="1:10" x14ac:dyDescent="0.25">
      <c r="A11741" s="7" t="s">
        <v>49119</v>
      </c>
      <c r="B11741" s="8">
        <v>415.625</v>
      </c>
      <c r="C11741" s="8">
        <v>20.478950000000001</v>
      </c>
      <c r="D11741" s="8">
        <v>69</v>
      </c>
      <c r="E11741" s="8">
        <v>0</v>
      </c>
      <c r="F11741" s="8">
        <v>0</v>
      </c>
      <c r="G11741" s="8">
        <v>6</v>
      </c>
      <c r="H11741" s="8" t="s">
        <v>49120</v>
      </c>
      <c r="I11741" s="8">
        <v>533.625</v>
      </c>
      <c r="J11741" s="3">
        <f t="shared" si="183"/>
        <v>43749.340598599534</v>
      </c>
    </row>
    <row r="11742" spans="1:10" x14ac:dyDescent="0.25">
      <c r="A11742" s="5" t="s">
        <v>49121</v>
      </c>
      <c r="B11742" s="6">
        <v>396.875</v>
      </c>
      <c r="C11742" s="6">
        <v>20.478950000000001</v>
      </c>
      <c r="D11742" s="6">
        <v>70</v>
      </c>
      <c r="E11742" s="6">
        <v>0</v>
      </c>
      <c r="F11742" s="6">
        <v>0</v>
      </c>
      <c r="G11742" s="6">
        <v>2</v>
      </c>
      <c r="H11742" s="6" t="s">
        <v>49122</v>
      </c>
      <c r="I11742" s="6">
        <v>527.4375</v>
      </c>
      <c r="J11742" s="2">
        <f t="shared" si="183"/>
        <v>43749.340681828697</v>
      </c>
    </row>
    <row r="11743" spans="1:10" x14ac:dyDescent="0.25">
      <c r="A11743" s="7" t="s">
        <v>49123</v>
      </c>
      <c r="B11743" s="8">
        <v>396.875</v>
      </c>
      <c r="C11743" s="8">
        <v>20.478950000000001</v>
      </c>
      <c r="D11743" s="8">
        <v>70</v>
      </c>
      <c r="E11743" s="8">
        <v>0</v>
      </c>
      <c r="F11743" s="8">
        <v>0</v>
      </c>
      <c r="G11743" s="8">
        <v>12</v>
      </c>
      <c r="H11743" s="8" t="s">
        <v>49124</v>
      </c>
      <c r="I11743" s="8">
        <v>527.4375</v>
      </c>
      <c r="J11743" s="3">
        <f t="shared" si="183"/>
        <v>43749.340765740737</v>
      </c>
    </row>
    <row r="11744" spans="1:10" x14ac:dyDescent="0.25">
      <c r="A11744" s="5" t="s">
        <v>49125</v>
      </c>
      <c r="B11744" s="6">
        <v>396.875</v>
      </c>
      <c r="C11744" s="6">
        <v>20.478950000000001</v>
      </c>
      <c r="D11744" s="6">
        <v>71</v>
      </c>
      <c r="E11744" s="6">
        <v>0</v>
      </c>
      <c r="F11744" s="6">
        <v>0</v>
      </c>
      <c r="G11744" s="6">
        <v>3</v>
      </c>
      <c r="H11744" s="6" t="s">
        <v>49126</v>
      </c>
      <c r="I11744" s="6">
        <v>527.4375</v>
      </c>
      <c r="J11744" s="2">
        <f t="shared" si="183"/>
        <v>43749.340849085645</v>
      </c>
    </row>
    <row r="11745" spans="1:10" x14ac:dyDescent="0.25">
      <c r="A11745" s="7" t="s">
        <v>49127</v>
      </c>
      <c r="B11745" s="8">
        <v>396.875</v>
      </c>
      <c r="C11745" s="8">
        <v>20.478950000000001</v>
      </c>
      <c r="D11745" s="8">
        <v>68</v>
      </c>
      <c r="E11745" s="8">
        <v>0</v>
      </c>
      <c r="F11745" s="8">
        <v>0</v>
      </c>
      <c r="G11745" s="8">
        <v>10</v>
      </c>
      <c r="H11745" s="8" t="s">
        <v>49128</v>
      </c>
      <c r="I11745" s="8">
        <v>527.4375</v>
      </c>
      <c r="J11745" s="3">
        <f t="shared" si="183"/>
        <v>43749.340932627318</v>
      </c>
    </row>
    <row r="11746" spans="1:10" x14ac:dyDescent="0.25">
      <c r="A11746" s="5" t="s">
        <v>49129</v>
      </c>
      <c r="B11746" s="6">
        <v>415.625</v>
      </c>
      <c r="C11746" s="6">
        <v>20.478950000000001</v>
      </c>
      <c r="D11746" s="6">
        <v>68</v>
      </c>
      <c r="E11746" s="6">
        <v>0</v>
      </c>
      <c r="F11746" s="6">
        <v>0</v>
      </c>
      <c r="G11746" s="6">
        <v>9</v>
      </c>
      <c r="H11746" s="6" t="s">
        <v>49130</v>
      </c>
      <c r="I11746" s="6">
        <v>533.4375</v>
      </c>
      <c r="J11746" s="2">
        <f t="shared" si="183"/>
        <v>43749.341015740742</v>
      </c>
    </row>
    <row r="11747" spans="1:10" x14ac:dyDescent="0.25">
      <c r="A11747" s="7" t="s">
        <v>49131</v>
      </c>
      <c r="B11747" s="8">
        <v>396.875</v>
      </c>
      <c r="C11747" s="8">
        <v>20.426300000000001</v>
      </c>
      <c r="D11747" s="8">
        <v>70</v>
      </c>
      <c r="E11747" s="8">
        <v>0</v>
      </c>
      <c r="F11747" s="8">
        <v>0</v>
      </c>
      <c r="G11747" s="8">
        <v>7</v>
      </c>
      <c r="H11747" s="8" t="s">
        <v>49132</v>
      </c>
      <c r="I11747" s="8">
        <v>527.4375</v>
      </c>
      <c r="J11747" s="3">
        <f t="shared" si="183"/>
        <v>43749.341087627312</v>
      </c>
    </row>
    <row r="11748" spans="1:10" x14ac:dyDescent="0.25">
      <c r="A11748" s="5" t="s">
        <v>49133</v>
      </c>
      <c r="B11748" s="6">
        <v>396.875</v>
      </c>
      <c r="C11748" s="6">
        <v>20.478950000000001</v>
      </c>
      <c r="D11748" s="6">
        <v>71</v>
      </c>
      <c r="E11748" s="6">
        <v>0</v>
      </c>
      <c r="F11748" s="6">
        <v>0</v>
      </c>
      <c r="G11748" s="6">
        <v>19</v>
      </c>
      <c r="H11748" s="6" t="s">
        <v>49134</v>
      </c>
      <c r="I11748" s="6">
        <v>527.4375</v>
      </c>
      <c r="J11748" s="2">
        <f t="shared" si="183"/>
        <v>43749.341171307868</v>
      </c>
    </row>
    <row r="11749" spans="1:10" x14ac:dyDescent="0.25">
      <c r="A11749" s="7" t="s">
        <v>49135</v>
      </c>
      <c r="B11749" s="8">
        <v>393.75</v>
      </c>
      <c r="C11749" s="8">
        <v>20.478950000000001</v>
      </c>
      <c r="D11749" s="8">
        <v>71</v>
      </c>
      <c r="E11749" s="8">
        <v>0</v>
      </c>
      <c r="F11749" s="8">
        <v>0</v>
      </c>
      <c r="G11749" s="8">
        <v>4</v>
      </c>
      <c r="H11749" s="8" t="s">
        <v>49136</v>
      </c>
      <c r="I11749" s="8">
        <v>526.6875</v>
      </c>
      <c r="J11749" s="3">
        <f t="shared" si="183"/>
        <v>43749.34125474537</v>
      </c>
    </row>
    <row r="11750" spans="1:10" x14ac:dyDescent="0.25">
      <c r="A11750" s="5" t="s">
        <v>49137</v>
      </c>
      <c r="B11750" s="6">
        <v>393.75</v>
      </c>
      <c r="C11750" s="6">
        <v>20.478950000000001</v>
      </c>
      <c r="D11750" s="6">
        <v>70</v>
      </c>
      <c r="E11750" s="6">
        <v>0</v>
      </c>
      <c r="F11750" s="6">
        <v>0</v>
      </c>
      <c r="G11750" s="6">
        <v>13</v>
      </c>
      <c r="H11750" s="6" t="s">
        <v>49138</v>
      </c>
      <c r="I11750" s="6">
        <v>526.6875</v>
      </c>
      <c r="J11750" s="2">
        <f t="shared" si="183"/>
        <v>43749.341337986109</v>
      </c>
    </row>
    <row r="11751" spans="1:10" x14ac:dyDescent="0.25">
      <c r="A11751" s="7" t="s">
        <v>49139</v>
      </c>
      <c r="B11751" s="8">
        <v>393.75</v>
      </c>
      <c r="C11751" s="8">
        <v>20.478950000000001</v>
      </c>
      <c r="D11751" s="8">
        <v>70</v>
      </c>
      <c r="E11751" s="8">
        <v>0</v>
      </c>
      <c r="F11751" s="8">
        <v>0</v>
      </c>
      <c r="G11751" s="8">
        <v>6</v>
      </c>
      <c r="H11751" s="8" t="s">
        <v>49140</v>
      </c>
      <c r="I11751" s="8">
        <v>526.6875</v>
      </c>
      <c r="J11751" s="3">
        <f t="shared" si="183"/>
        <v>43749.341409618057</v>
      </c>
    </row>
    <row r="11752" spans="1:10" x14ac:dyDescent="0.25">
      <c r="A11752" s="5" t="s">
        <v>49141</v>
      </c>
      <c r="B11752" s="6">
        <v>396.875</v>
      </c>
      <c r="C11752" s="6">
        <v>20.426300000000001</v>
      </c>
      <c r="D11752" s="6">
        <v>70</v>
      </c>
      <c r="E11752" s="6">
        <v>0</v>
      </c>
      <c r="F11752" s="6">
        <v>0</v>
      </c>
      <c r="G11752" s="6">
        <v>1</v>
      </c>
      <c r="H11752" s="6" t="s">
        <v>49142</v>
      </c>
      <c r="I11752" s="6">
        <v>527.4375</v>
      </c>
      <c r="J11752" s="2">
        <f t="shared" si="183"/>
        <v>43749.341493206019</v>
      </c>
    </row>
    <row r="11753" spans="1:10" x14ac:dyDescent="0.25">
      <c r="A11753" s="7" t="s">
        <v>49143</v>
      </c>
      <c r="B11753" s="8">
        <v>396.875</v>
      </c>
      <c r="C11753" s="8">
        <v>20.478950000000001</v>
      </c>
      <c r="D11753" s="8">
        <v>70</v>
      </c>
      <c r="E11753" s="8">
        <v>0</v>
      </c>
      <c r="F11753" s="8">
        <v>0</v>
      </c>
      <c r="G11753" s="8">
        <v>9</v>
      </c>
      <c r="H11753" s="8" t="s">
        <v>49144</v>
      </c>
      <c r="I11753" s="8">
        <v>527.4375</v>
      </c>
      <c r="J11753" s="3">
        <f t="shared" si="183"/>
        <v>43749.341576736108</v>
      </c>
    </row>
    <row r="11754" spans="1:10" x14ac:dyDescent="0.25">
      <c r="A11754" s="5" t="s">
        <v>49145</v>
      </c>
      <c r="B11754" s="6">
        <v>415.625</v>
      </c>
      <c r="C11754" s="6">
        <v>20.478950000000001</v>
      </c>
      <c r="D11754" s="6">
        <v>70</v>
      </c>
      <c r="E11754" s="6">
        <v>0</v>
      </c>
      <c r="F11754" s="6">
        <v>0</v>
      </c>
      <c r="G11754" s="6">
        <v>6</v>
      </c>
      <c r="H11754" s="6" t="s">
        <v>49146</v>
      </c>
      <c r="I11754" s="6">
        <v>533.0625</v>
      </c>
      <c r="J11754" s="2">
        <f t="shared" si="183"/>
        <v>43749.341660196755</v>
      </c>
    </row>
    <row r="11755" spans="1:10" x14ac:dyDescent="0.25">
      <c r="A11755" s="7" t="s">
        <v>49147</v>
      </c>
      <c r="B11755" s="8">
        <v>396.875</v>
      </c>
      <c r="C11755" s="8">
        <v>20.478950000000001</v>
      </c>
      <c r="D11755" s="8">
        <v>70</v>
      </c>
      <c r="E11755" s="8">
        <v>0</v>
      </c>
      <c r="F11755" s="8">
        <v>0</v>
      </c>
      <c r="G11755" s="8">
        <v>5</v>
      </c>
      <c r="H11755" s="8" t="s">
        <v>49148</v>
      </c>
      <c r="I11755" s="8">
        <v>527.4375</v>
      </c>
      <c r="J11755" s="3">
        <f t="shared" si="183"/>
        <v>43749.341731828703</v>
      </c>
    </row>
    <row r="11756" spans="1:10" x14ac:dyDescent="0.25">
      <c r="A11756" s="5" t="s">
        <v>49149</v>
      </c>
      <c r="B11756" s="6">
        <v>396.875</v>
      </c>
      <c r="C11756" s="6">
        <v>20.478950000000001</v>
      </c>
      <c r="D11756" s="6">
        <v>70</v>
      </c>
      <c r="E11756" s="6">
        <v>0</v>
      </c>
      <c r="F11756" s="6">
        <v>0</v>
      </c>
      <c r="G11756" s="6">
        <v>2</v>
      </c>
      <c r="H11756" s="6" t="s">
        <v>49150</v>
      </c>
      <c r="I11756" s="6">
        <v>527.4375</v>
      </c>
      <c r="J11756" s="2">
        <f t="shared" si="183"/>
        <v>43749.34181528935</v>
      </c>
    </row>
    <row r="11757" spans="1:10" x14ac:dyDescent="0.25">
      <c r="A11757" s="7" t="s">
        <v>49151</v>
      </c>
      <c r="B11757" s="8">
        <v>396.875</v>
      </c>
      <c r="C11757" s="8">
        <v>20.478950000000001</v>
      </c>
      <c r="D11757" s="8">
        <v>71</v>
      </c>
      <c r="E11757" s="8">
        <v>0</v>
      </c>
      <c r="F11757" s="8">
        <v>0</v>
      </c>
      <c r="G11757" s="8">
        <v>3</v>
      </c>
      <c r="H11757" s="8" t="s">
        <v>49152</v>
      </c>
      <c r="I11757" s="8">
        <v>527.4375</v>
      </c>
      <c r="J11757" s="3">
        <f t="shared" si="183"/>
        <v>43749.341886828704</v>
      </c>
    </row>
    <row r="11758" spans="1:10" x14ac:dyDescent="0.25">
      <c r="A11758" s="5" t="s">
        <v>49153</v>
      </c>
      <c r="B11758" s="6">
        <v>400</v>
      </c>
      <c r="C11758" s="6">
        <v>20.478950000000001</v>
      </c>
      <c r="D11758" s="6">
        <v>71</v>
      </c>
      <c r="E11758" s="6">
        <v>0</v>
      </c>
      <c r="F11758" s="6">
        <v>0</v>
      </c>
      <c r="G11758" s="6">
        <v>4</v>
      </c>
      <c r="H11758" s="6" t="s">
        <v>49154</v>
      </c>
      <c r="I11758" s="6">
        <v>528.1875</v>
      </c>
      <c r="J11758" s="2">
        <f t="shared" si="183"/>
        <v>43749.341958460645</v>
      </c>
    </row>
    <row r="11759" spans="1:10" x14ac:dyDescent="0.25">
      <c r="A11759" s="7" t="s">
        <v>49155</v>
      </c>
      <c r="B11759" s="8">
        <v>400</v>
      </c>
      <c r="C11759" s="8">
        <v>20.426300000000001</v>
      </c>
      <c r="D11759" s="8">
        <v>71</v>
      </c>
      <c r="E11759" s="8">
        <v>0</v>
      </c>
      <c r="F11759" s="8">
        <v>0</v>
      </c>
      <c r="G11759" s="8">
        <v>8</v>
      </c>
      <c r="H11759" s="8" t="s">
        <v>49156</v>
      </c>
      <c r="I11759" s="8">
        <v>528.1875</v>
      </c>
      <c r="J11759" s="3">
        <f t="shared" si="183"/>
        <v>43749.342041666663</v>
      </c>
    </row>
    <row r="11760" spans="1:10" x14ac:dyDescent="0.25">
      <c r="A11760" s="5" t="s">
        <v>49157</v>
      </c>
      <c r="B11760" s="6">
        <v>415.625</v>
      </c>
      <c r="C11760" s="6">
        <v>20.426300000000001</v>
      </c>
      <c r="D11760" s="6">
        <v>71</v>
      </c>
      <c r="E11760" s="6">
        <v>0</v>
      </c>
      <c r="F11760" s="6">
        <v>0</v>
      </c>
      <c r="G11760" s="6">
        <v>6</v>
      </c>
      <c r="H11760" s="6" t="s">
        <v>49158</v>
      </c>
      <c r="I11760" s="6">
        <v>533.8125</v>
      </c>
      <c r="J11760" s="2">
        <f t="shared" si="183"/>
        <v>43749.342113321756</v>
      </c>
    </row>
    <row r="11761" spans="1:10" x14ac:dyDescent="0.25">
      <c r="A11761" s="7" t="s">
        <v>49159</v>
      </c>
      <c r="B11761" s="8">
        <v>403.125</v>
      </c>
      <c r="C11761" s="8">
        <v>20.478950000000001</v>
      </c>
      <c r="D11761" s="8">
        <v>71</v>
      </c>
      <c r="E11761" s="8">
        <v>0</v>
      </c>
      <c r="F11761" s="8">
        <v>0</v>
      </c>
      <c r="G11761" s="8">
        <v>9</v>
      </c>
      <c r="H11761" s="8" t="s">
        <v>49160</v>
      </c>
      <c r="I11761" s="8">
        <v>529.125</v>
      </c>
      <c r="J11761" s="3">
        <f t="shared" si="183"/>
        <v>43749.342197002312</v>
      </c>
    </row>
    <row r="11762" spans="1:10" x14ac:dyDescent="0.25">
      <c r="A11762" s="5" t="s">
        <v>49161</v>
      </c>
      <c r="B11762" s="6">
        <v>403.125</v>
      </c>
      <c r="C11762" s="6">
        <v>20.478950000000001</v>
      </c>
      <c r="D11762" s="6">
        <v>70</v>
      </c>
      <c r="E11762" s="6">
        <v>0</v>
      </c>
      <c r="F11762" s="6">
        <v>0</v>
      </c>
      <c r="G11762" s="6">
        <v>8</v>
      </c>
      <c r="H11762" s="6" t="s">
        <v>49162</v>
      </c>
      <c r="I11762" s="6">
        <v>529.125</v>
      </c>
      <c r="J11762" s="2">
        <f t="shared" si="183"/>
        <v>43749.34228045139</v>
      </c>
    </row>
    <row r="11763" spans="1:10" x14ac:dyDescent="0.25">
      <c r="A11763" s="7" t="s">
        <v>49163</v>
      </c>
      <c r="B11763" s="8">
        <v>403.125</v>
      </c>
      <c r="C11763" s="8">
        <v>20.478950000000001</v>
      </c>
      <c r="D11763" s="8">
        <v>70</v>
      </c>
      <c r="E11763" s="8">
        <v>0</v>
      </c>
      <c r="F11763" s="8">
        <v>0</v>
      </c>
      <c r="G11763" s="8">
        <v>12</v>
      </c>
      <c r="H11763" s="8" t="s">
        <v>49164</v>
      </c>
      <c r="I11763" s="8">
        <v>529.125</v>
      </c>
      <c r="J11763" s="3">
        <f t="shared" si="183"/>
        <v>43749.342363888885</v>
      </c>
    </row>
    <row r="11764" spans="1:10" x14ac:dyDescent="0.25">
      <c r="A11764" s="5" t="s">
        <v>49165</v>
      </c>
      <c r="B11764" s="6">
        <v>403.125</v>
      </c>
      <c r="C11764" s="6">
        <v>20.478950000000001</v>
      </c>
      <c r="D11764" s="6">
        <v>71</v>
      </c>
      <c r="E11764" s="6">
        <v>0</v>
      </c>
      <c r="F11764" s="6">
        <v>0</v>
      </c>
      <c r="G11764" s="6">
        <v>11</v>
      </c>
      <c r="H11764" s="6" t="s">
        <v>49166</v>
      </c>
      <c r="I11764" s="6">
        <v>529.125</v>
      </c>
      <c r="J11764" s="2">
        <f t="shared" si="183"/>
        <v>43749.342435532402</v>
      </c>
    </row>
    <row r="11765" spans="1:10" x14ac:dyDescent="0.25">
      <c r="A11765" s="7" t="s">
        <v>49167</v>
      </c>
      <c r="B11765" s="8">
        <v>403.125</v>
      </c>
      <c r="C11765" s="8">
        <v>20.478950000000001</v>
      </c>
      <c r="D11765" s="8">
        <v>70</v>
      </c>
      <c r="E11765" s="8">
        <v>0</v>
      </c>
      <c r="F11765" s="8">
        <v>0</v>
      </c>
      <c r="G11765" s="8">
        <v>4</v>
      </c>
      <c r="H11765" s="8" t="s">
        <v>49168</v>
      </c>
      <c r="I11765" s="8">
        <v>529.125</v>
      </c>
      <c r="J11765" s="3">
        <f t="shared" si="183"/>
        <v>43749.342518981481</v>
      </c>
    </row>
    <row r="11766" spans="1:10" x14ac:dyDescent="0.25">
      <c r="A11766" s="5" t="s">
        <v>49169</v>
      </c>
      <c r="B11766" s="6">
        <v>406.25</v>
      </c>
      <c r="C11766" s="6">
        <v>20.478950000000001</v>
      </c>
      <c r="D11766" s="6">
        <v>70</v>
      </c>
      <c r="E11766" s="6">
        <v>0</v>
      </c>
      <c r="F11766" s="6">
        <v>0</v>
      </c>
      <c r="G11766" s="6">
        <v>16</v>
      </c>
      <c r="H11766" s="6" t="s">
        <v>49170</v>
      </c>
      <c r="I11766" s="6">
        <v>530.625</v>
      </c>
      <c r="J11766" s="2">
        <f t="shared" si="183"/>
        <v>43749.342590520835</v>
      </c>
    </row>
    <row r="11767" spans="1:10" x14ac:dyDescent="0.25">
      <c r="A11767" s="7" t="s">
        <v>49171</v>
      </c>
      <c r="B11767" s="8">
        <v>406.25</v>
      </c>
      <c r="C11767" s="8">
        <v>20.478950000000001</v>
      </c>
      <c r="D11767" s="8">
        <v>72</v>
      </c>
      <c r="E11767" s="8">
        <v>0</v>
      </c>
      <c r="F11767" s="8">
        <v>0</v>
      </c>
      <c r="G11767" s="8">
        <v>1</v>
      </c>
      <c r="H11767" s="8" t="s">
        <v>49172</v>
      </c>
      <c r="I11767" s="8">
        <v>530.8125</v>
      </c>
      <c r="J11767" s="3">
        <f t="shared" si="183"/>
        <v>43749.342673923609</v>
      </c>
    </row>
    <row r="11768" spans="1:10" x14ac:dyDescent="0.25">
      <c r="A11768" s="5" t="s">
        <v>49173</v>
      </c>
      <c r="B11768" s="6">
        <v>406.25</v>
      </c>
      <c r="C11768" s="6">
        <v>20.478950000000001</v>
      </c>
      <c r="D11768" s="6">
        <v>75</v>
      </c>
      <c r="E11768" s="6">
        <v>0</v>
      </c>
      <c r="F11768" s="6">
        <v>0</v>
      </c>
      <c r="G11768" s="6">
        <v>0</v>
      </c>
      <c r="H11768" s="6" t="s">
        <v>49174</v>
      </c>
      <c r="I11768" s="6">
        <v>530.625</v>
      </c>
      <c r="J11768" s="2">
        <f t="shared" si="183"/>
        <v>43749.342757500002</v>
      </c>
    </row>
    <row r="11769" spans="1:10" x14ac:dyDescent="0.25">
      <c r="A11769" s="7" t="s">
        <v>49175</v>
      </c>
      <c r="B11769" s="8">
        <v>403.125</v>
      </c>
      <c r="C11769" s="8">
        <v>20.426300000000001</v>
      </c>
      <c r="D11769" s="8">
        <v>74</v>
      </c>
      <c r="E11769" s="8">
        <v>0</v>
      </c>
      <c r="F11769" s="8">
        <v>0</v>
      </c>
      <c r="G11769" s="8">
        <v>0</v>
      </c>
      <c r="H11769" s="8" t="s">
        <v>49176</v>
      </c>
      <c r="I11769" s="8">
        <v>529.875</v>
      </c>
      <c r="J11769" s="3">
        <f t="shared" si="183"/>
        <v>43749.342829039349</v>
      </c>
    </row>
    <row r="11770" spans="1:10" x14ac:dyDescent="0.25">
      <c r="A11770" s="5" t="s">
        <v>49177</v>
      </c>
      <c r="B11770" s="6">
        <v>403.125</v>
      </c>
      <c r="C11770" s="6">
        <v>20.478950000000001</v>
      </c>
      <c r="D11770" s="6">
        <v>75</v>
      </c>
      <c r="E11770" s="6">
        <v>0</v>
      </c>
      <c r="F11770" s="6">
        <v>0</v>
      </c>
      <c r="G11770" s="6">
        <v>3</v>
      </c>
      <c r="H11770" s="6" t="s">
        <v>49178</v>
      </c>
      <c r="I11770" s="6">
        <v>529.875</v>
      </c>
      <c r="J11770" s="2">
        <f t="shared" si="183"/>
        <v>43749.342900543976</v>
      </c>
    </row>
    <row r="11771" spans="1:10" x14ac:dyDescent="0.25">
      <c r="A11771" s="7" t="s">
        <v>49179</v>
      </c>
      <c r="B11771" s="8">
        <v>403.125</v>
      </c>
      <c r="C11771" s="8">
        <v>20.478950000000001</v>
      </c>
      <c r="D11771" s="8">
        <v>75</v>
      </c>
      <c r="E11771" s="8">
        <v>0</v>
      </c>
      <c r="F11771" s="8">
        <v>0</v>
      </c>
      <c r="G11771" s="8">
        <v>6</v>
      </c>
      <c r="H11771" s="8" t="s">
        <v>49180</v>
      </c>
      <c r="I11771" s="8">
        <v>529.125</v>
      </c>
      <c r="J11771" s="3">
        <f t="shared" si="183"/>
        <v>43749.342972199076</v>
      </c>
    </row>
    <row r="11772" spans="1:10" x14ac:dyDescent="0.25">
      <c r="A11772" s="5" t="s">
        <v>49181</v>
      </c>
      <c r="B11772" s="6">
        <v>431.25</v>
      </c>
      <c r="C11772" s="6">
        <v>20.478950000000001</v>
      </c>
      <c r="D11772" s="6">
        <v>75</v>
      </c>
      <c r="E11772" s="6">
        <v>0</v>
      </c>
      <c r="F11772" s="6">
        <v>0</v>
      </c>
      <c r="G11772" s="6">
        <v>1</v>
      </c>
      <c r="H11772" s="6" t="s">
        <v>49182</v>
      </c>
      <c r="I11772" s="6">
        <v>538.3125</v>
      </c>
      <c r="J11772" s="2">
        <f t="shared" si="183"/>
        <v>43749.343043715278</v>
      </c>
    </row>
    <row r="11773" spans="1:10" x14ac:dyDescent="0.25">
      <c r="A11773" s="7" t="s">
        <v>49183</v>
      </c>
      <c r="B11773" s="8">
        <v>403.125</v>
      </c>
      <c r="C11773" s="8">
        <v>20.478950000000001</v>
      </c>
      <c r="D11773" s="8">
        <v>74</v>
      </c>
      <c r="E11773" s="8">
        <v>0</v>
      </c>
      <c r="F11773" s="8">
        <v>0</v>
      </c>
      <c r="G11773" s="8">
        <v>6</v>
      </c>
      <c r="H11773" s="8" t="s">
        <v>49184</v>
      </c>
      <c r="I11773" s="8">
        <v>529.125</v>
      </c>
      <c r="J11773" s="3">
        <f t="shared" si="183"/>
        <v>43749.343126944441</v>
      </c>
    </row>
    <row r="11774" spans="1:10" x14ac:dyDescent="0.25">
      <c r="A11774" s="5" t="s">
        <v>49185</v>
      </c>
      <c r="B11774" s="6">
        <v>403.125</v>
      </c>
      <c r="C11774" s="6">
        <v>20.478950000000001</v>
      </c>
      <c r="D11774" s="6">
        <v>73</v>
      </c>
      <c r="E11774" s="6">
        <v>0</v>
      </c>
      <c r="F11774" s="6">
        <v>0</v>
      </c>
      <c r="G11774" s="6">
        <v>4</v>
      </c>
      <c r="H11774" s="6" t="s">
        <v>49186</v>
      </c>
      <c r="I11774" s="6">
        <v>529.125</v>
      </c>
      <c r="J11774" s="2">
        <f t="shared" si="183"/>
        <v>43749.343198819442</v>
      </c>
    </row>
    <row r="11775" spans="1:10" x14ac:dyDescent="0.25">
      <c r="A11775" s="7" t="s">
        <v>49187</v>
      </c>
      <c r="B11775" s="8">
        <v>403.125</v>
      </c>
      <c r="C11775" s="8">
        <v>20.478950000000001</v>
      </c>
      <c r="D11775" s="8">
        <v>73</v>
      </c>
      <c r="E11775" s="8">
        <v>0</v>
      </c>
      <c r="F11775" s="8">
        <v>0</v>
      </c>
      <c r="G11775" s="8">
        <v>13</v>
      </c>
      <c r="H11775" s="8" t="s">
        <v>49188</v>
      </c>
      <c r="I11775" s="8">
        <v>529.125</v>
      </c>
      <c r="J11775" s="3">
        <f t="shared" si="183"/>
        <v>43749.343282372683</v>
      </c>
    </row>
    <row r="11776" spans="1:10" x14ac:dyDescent="0.25">
      <c r="A11776" s="5" t="s">
        <v>49189</v>
      </c>
      <c r="B11776" s="6">
        <v>403.125</v>
      </c>
      <c r="C11776" s="6">
        <v>20.478950000000001</v>
      </c>
      <c r="D11776" s="6">
        <v>73</v>
      </c>
      <c r="E11776" s="6">
        <v>0</v>
      </c>
      <c r="F11776" s="6">
        <v>0</v>
      </c>
      <c r="G11776" s="6">
        <v>6</v>
      </c>
      <c r="H11776" s="6" t="s">
        <v>49190</v>
      </c>
      <c r="I11776" s="6">
        <v>529.125</v>
      </c>
      <c r="J11776" s="2">
        <f t="shared" si="183"/>
        <v>43749.343353773147</v>
      </c>
    </row>
    <row r="11777" spans="1:10" x14ac:dyDescent="0.25">
      <c r="A11777" s="7" t="s">
        <v>49191</v>
      </c>
      <c r="B11777" s="8">
        <v>403.125</v>
      </c>
      <c r="C11777" s="8">
        <v>20.478950000000001</v>
      </c>
      <c r="D11777" s="8">
        <v>71</v>
      </c>
      <c r="E11777" s="8">
        <v>0</v>
      </c>
      <c r="F11777" s="8">
        <v>0</v>
      </c>
      <c r="G11777" s="8">
        <v>12</v>
      </c>
      <c r="H11777" s="8" t="s">
        <v>49192</v>
      </c>
      <c r="I11777" s="8">
        <v>529.875</v>
      </c>
      <c r="J11777" s="3">
        <f t="shared" si="183"/>
        <v>43749.34342542824</v>
      </c>
    </row>
    <row r="11778" spans="1:10" x14ac:dyDescent="0.25">
      <c r="A11778" s="5" t="s">
        <v>49193</v>
      </c>
      <c r="B11778" s="6">
        <v>403.125</v>
      </c>
      <c r="C11778" s="6">
        <v>20.478950000000001</v>
      </c>
      <c r="D11778" s="6">
        <v>71</v>
      </c>
      <c r="E11778" s="6">
        <v>0</v>
      </c>
      <c r="F11778" s="6">
        <v>0</v>
      </c>
      <c r="G11778" s="6">
        <v>2</v>
      </c>
      <c r="H11778" s="6" t="s">
        <v>49194</v>
      </c>
      <c r="I11778" s="6">
        <v>529.125</v>
      </c>
      <c r="J11778" s="2">
        <f t="shared" ref="J11778:J11841" si="184">(H11778/86400000)+25569+(7/24)</f>
        <v>43749.343496724534</v>
      </c>
    </row>
    <row r="11779" spans="1:10" x14ac:dyDescent="0.25">
      <c r="A11779" s="7" t="s">
        <v>49195</v>
      </c>
      <c r="B11779" s="8">
        <v>421.875</v>
      </c>
      <c r="C11779" s="8">
        <v>20.478950000000001</v>
      </c>
      <c r="D11779" s="8">
        <v>70</v>
      </c>
      <c r="E11779" s="8">
        <v>0</v>
      </c>
      <c r="F11779" s="8">
        <v>0</v>
      </c>
      <c r="G11779" s="8">
        <v>12</v>
      </c>
      <c r="H11779" s="8" t="s">
        <v>49196</v>
      </c>
      <c r="I11779" s="8">
        <v>535.5</v>
      </c>
      <c r="J11779" s="3">
        <f t="shared" si="184"/>
        <v>43749.343568599536</v>
      </c>
    </row>
    <row r="11780" spans="1:10" x14ac:dyDescent="0.25">
      <c r="A11780" s="5" t="s">
        <v>49197</v>
      </c>
      <c r="B11780" s="6">
        <v>403.125</v>
      </c>
      <c r="C11780" s="6">
        <v>20.478950000000001</v>
      </c>
      <c r="D11780" s="6">
        <v>72</v>
      </c>
      <c r="E11780" s="6">
        <v>0</v>
      </c>
      <c r="F11780" s="6">
        <v>0</v>
      </c>
      <c r="G11780" s="6">
        <v>13</v>
      </c>
      <c r="H11780" s="6" t="s">
        <v>49198</v>
      </c>
      <c r="I11780" s="6">
        <v>529.875</v>
      </c>
      <c r="J11780" s="2">
        <f t="shared" si="184"/>
        <v>43749.343640138883</v>
      </c>
    </row>
    <row r="11781" spans="1:10" x14ac:dyDescent="0.25">
      <c r="A11781" s="7" t="s">
        <v>49199</v>
      </c>
      <c r="B11781" s="8">
        <v>403.125</v>
      </c>
      <c r="C11781" s="8">
        <v>20.478950000000001</v>
      </c>
      <c r="D11781" s="8">
        <v>72</v>
      </c>
      <c r="E11781" s="8">
        <v>0</v>
      </c>
      <c r="F11781" s="8">
        <v>0</v>
      </c>
      <c r="G11781" s="8">
        <v>5</v>
      </c>
      <c r="H11781" s="8" t="s">
        <v>49200</v>
      </c>
      <c r="I11781" s="8">
        <v>529.875</v>
      </c>
      <c r="J11781" s="3">
        <f t="shared" si="184"/>
        <v>43749.343711585643</v>
      </c>
    </row>
    <row r="11782" spans="1:10" x14ac:dyDescent="0.25">
      <c r="A11782" s="5" t="s">
        <v>49201</v>
      </c>
      <c r="B11782" s="6">
        <v>406.25</v>
      </c>
      <c r="C11782" s="6">
        <v>20.478950000000001</v>
      </c>
      <c r="D11782" s="6">
        <v>71</v>
      </c>
      <c r="E11782" s="6">
        <v>0</v>
      </c>
      <c r="F11782" s="6">
        <v>0</v>
      </c>
      <c r="G11782" s="6">
        <v>5</v>
      </c>
      <c r="H11782" s="6" t="s">
        <v>49202</v>
      </c>
      <c r="I11782" s="6">
        <v>530.0625</v>
      </c>
      <c r="J11782" s="2">
        <f t="shared" si="184"/>
        <v>43749.34378322916</v>
      </c>
    </row>
    <row r="11783" spans="1:10" x14ac:dyDescent="0.25">
      <c r="A11783" s="7" t="s">
        <v>49203</v>
      </c>
      <c r="B11783" s="8">
        <v>403.125</v>
      </c>
      <c r="C11783" s="8">
        <v>20.478950000000001</v>
      </c>
      <c r="D11783" s="8">
        <v>72</v>
      </c>
      <c r="E11783" s="8">
        <v>0</v>
      </c>
      <c r="F11783" s="8">
        <v>0</v>
      </c>
      <c r="G11783" s="8">
        <v>11</v>
      </c>
      <c r="H11783" s="8" t="s">
        <v>49204</v>
      </c>
      <c r="I11783" s="8">
        <v>529.875</v>
      </c>
      <c r="J11783" s="3">
        <f t="shared" si="184"/>
        <v>43749.34385474537</v>
      </c>
    </row>
    <row r="11784" spans="1:10" x14ac:dyDescent="0.25">
      <c r="A11784" s="5" t="s">
        <v>49205</v>
      </c>
      <c r="B11784" s="6">
        <v>406.25</v>
      </c>
      <c r="C11784" s="6">
        <v>20.478950000000001</v>
      </c>
      <c r="D11784" s="6">
        <v>72</v>
      </c>
      <c r="E11784" s="6">
        <v>0</v>
      </c>
      <c r="F11784" s="6">
        <v>0</v>
      </c>
      <c r="G11784" s="6">
        <v>11</v>
      </c>
      <c r="H11784" s="6" t="s">
        <v>49206</v>
      </c>
      <c r="I11784" s="6">
        <v>530.8125</v>
      </c>
      <c r="J11784" s="2">
        <f t="shared" si="184"/>
        <v>43749.343926388887</v>
      </c>
    </row>
    <row r="11785" spans="1:10" x14ac:dyDescent="0.25">
      <c r="A11785" s="7" t="s">
        <v>49207</v>
      </c>
      <c r="B11785" s="8">
        <v>403.125</v>
      </c>
      <c r="C11785" s="8">
        <v>20.478950000000001</v>
      </c>
      <c r="D11785" s="8">
        <v>72</v>
      </c>
      <c r="E11785" s="8">
        <v>0</v>
      </c>
      <c r="F11785" s="8">
        <v>0</v>
      </c>
      <c r="G11785" s="8">
        <v>0</v>
      </c>
      <c r="H11785" s="8" t="s">
        <v>49208</v>
      </c>
      <c r="I11785" s="8">
        <v>529.875</v>
      </c>
      <c r="J11785" s="3">
        <f t="shared" si="184"/>
        <v>43749.343998379627</v>
      </c>
    </row>
    <row r="11786" spans="1:10" x14ac:dyDescent="0.25">
      <c r="A11786" s="5" t="s">
        <v>49209</v>
      </c>
      <c r="B11786" s="6">
        <v>403.125</v>
      </c>
      <c r="C11786" s="6">
        <v>20.478950000000001</v>
      </c>
      <c r="D11786" s="6">
        <v>72</v>
      </c>
      <c r="E11786" s="6">
        <v>0</v>
      </c>
      <c r="F11786" s="6">
        <v>0</v>
      </c>
      <c r="G11786" s="6">
        <v>5</v>
      </c>
      <c r="H11786" s="6" t="s">
        <v>49210</v>
      </c>
      <c r="I11786" s="6">
        <v>529.875</v>
      </c>
      <c r="J11786" s="2">
        <f t="shared" si="184"/>
        <v>43749.34408135416</v>
      </c>
    </row>
    <row r="11787" spans="1:10" x14ac:dyDescent="0.25">
      <c r="A11787" s="7" t="s">
        <v>49211</v>
      </c>
      <c r="B11787" s="8">
        <v>403.125</v>
      </c>
      <c r="C11787" s="8">
        <v>20.478950000000001</v>
      </c>
      <c r="D11787" s="8">
        <v>72</v>
      </c>
      <c r="E11787" s="8">
        <v>0</v>
      </c>
      <c r="F11787" s="8">
        <v>0</v>
      </c>
      <c r="G11787" s="8">
        <v>0</v>
      </c>
      <c r="H11787" s="8" t="s">
        <v>49212</v>
      </c>
      <c r="I11787" s="8">
        <v>529.875</v>
      </c>
      <c r="J11787" s="3">
        <f t="shared" si="184"/>
        <v>43749.344164918984</v>
      </c>
    </row>
    <row r="11788" spans="1:10" x14ac:dyDescent="0.25">
      <c r="A11788" s="5" t="s">
        <v>49213</v>
      </c>
      <c r="B11788" s="6">
        <v>406.25</v>
      </c>
      <c r="C11788" s="6">
        <v>20.478950000000001</v>
      </c>
      <c r="D11788" s="6">
        <v>73</v>
      </c>
      <c r="E11788" s="6">
        <v>0</v>
      </c>
      <c r="F11788" s="6">
        <v>0</v>
      </c>
      <c r="G11788" s="6">
        <v>10</v>
      </c>
      <c r="H11788" s="6" t="s">
        <v>49214</v>
      </c>
      <c r="I11788" s="6">
        <v>530.625</v>
      </c>
      <c r="J11788" s="2">
        <f t="shared" si="184"/>
        <v>43749.344248368048</v>
      </c>
    </row>
    <row r="11789" spans="1:10" x14ac:dyDescent="0.25">
      <c r="A11789" s="7" t="s">
        <v>49215</v>
      </c>
      <c r="B11789" s="8">
        <v>406.25</v>
      </c>
      <c r="C11789" s="8">
        <v>20.478950000000001</v>
      </c>
      <c r="D11789" s="8">
        <v>72</v>
      </c>
      <c r="E11789" s="8">
        <v>0</v>
      </c>
      <c r="F11789" s="8">
        <v>0</v>
      </c>
      <c r="G11789" s="8">
        <v>14</v>
      </c>
      <c r="H11789" s="8" t="s">
        <v>49216</v>
      </c>
      <c r="I11789" s="8">
        <v>530.8125</v>
      </c>
      <c r="J11789" s="3">
        <f t="shared" si="184"/>
        <v>43749.344319548611</v>
      </c>
    </row>
    <row r="11790" spans="1:10" x14ac:dyDescent="0.25">
      <c r="A11790" s="5" t="s">
        <v>49217</v>
      </c>
      <c r="B11790" s="6">
        <v>406.25</v>
      </c>
      <c r="C11790" s="6">
        <v>20.478950000000001</v>
      </c>
      <c r="D11790" s="6">
        <v>72</v>
      </c>
      <c r="E11790" s="6">
        <v>0</v>
      </c>
      <c r="F11790" s="6">
        <v>0</v>
      </c>
      <c r="G11790" s="6">
        <v>3</v>
      </c>
      <c r="H11790" s="6" t="s">
        <v>49218</v>
      </c>
      <c r="I11790" s="6">
        <v>530.8125</v>
      </c>
      <c r="J11790" s="2">
        <f t="shared" si="184"/>
        <v>43749.34439155092</v>
      </c>
    </row>
    <row r="11791" spans="1:10" x14ac:dyDescent="0.25">
      <c r="A11791" s="7" t="s">
        <v>49219</v>
      </c>
      <c r="B11791" s="8">
        <v>403.125</v>
      </c>
      <c r="C11791" s="8">
        <v>20.478950000000001</v>
      </c>
      <c r="D11791" s="8">
        <v>72</v>
      </c>
      <c r="E11791" s="8">
        <v>0</v>
      </c>
      <c r="F11791" s="8">
        <v>0</v>
      </c>
      <c r="G11791" s="8">
        <v>13</v>
      </c>
      <c r="H11791" s="8" t="s">
        <v>49220</v>
      </c>
      <c r="I11791" s="8">
        <v>529.875</v>
      </c>
      <c r="J11791" s="3">
        <f t="shared" si="184"/>
        <v>43749.344475104161</v>
      </c>
    </row>
    <row r="11792" spans="1:10" x14ac:dyDescent="0.25">
      <c r="A11792" s="5" t="s">
        <v>49221</v>
      </c>
      <c r="B11792" s="6">
        <v>403.125</v>
      </c>
      <c r="C11792" s="6">
        <v>20.478950000000001</v>
      </c>
      <c r="D11792" s="6">
        <v>72</v>
      </c>
      <c r="E11792" s="6">
        <v>0</v>
      </c>
      <c r="F11792" s="6">
        <v>0</v>
      </c>
      <c r="G11792" s="6">
        <v>8</v>
      </c>
      <c r="H11792" s="6" t="s">
        <v>49222</v>
      </c>
      <c r="I11792" s="6">
        <v>529.875</v>
      </c>
      <c r="J11792" s="2">
        <f t="shared" si="184"/>
        <v>43749.344558449076</v>
      </c>
    </row>
    <row r="11793" spans="1:10" x14ac:dyDescent="0.25">
      <c r="A11793" s="7" t="s">
        <v>49223</v>
      </c>
      <c r="B11793" s="8">
        <v>403.125</v>
      </c>
      <c r="C11793" s="8">
        <v>20.478950000000001</v>
      </c>
      <c r="D11793" s="8">
        <v>72</v>
      </c>
      <c r="E11793" s="8">
        <v>0</v>
      </c>
      <c r="F11793" s="8">
        <v>0</v>
      </c>
      <c r="G11793" s="8">
        <v>9</v>
      </c>
      <c r="H11793" s="8" t="s">
        <v>49224</v>
      </c>
      <c r="I11793" s="8">
        <v>529.875</v>
      </c>
      <c r="J11793" s="3">
        <f t="shared" si="184"/>
        <v>43749.344641655094</v>
      </c>
    </row>
    <row r="11794" spans="1:10" x14ac:dyDescent="0.25">
      <c r="A11794" s="5" t="s">
        <v>49225</v>
      </c>
      <c r="B11794" s="6">
        <v>403.125</v>
      </c>
      <c r="C11794" s="6">
        <v>20.478950000000001</v>
      </c>
      <c r="D11794" s="6">
        <v>72</v>
      </c>
      <c r="E11794" s="6">
        <v>0</v>
      </c>
      <c r="F11794" s="6">
        <v>0</v>
      </c>
      <c r="G11794" s="6">
        <v>6</v>
      </c>
      <c r="H11794" s="6" t="s">
        <v>49226</v>
      </c>
      <c r="I11794" s="6">
        <v>529.875</v>
      </c>
      <c r="J11794" s="2">
        <f t="shared" si="184"/>
        <v>43749.34471341435</v>
      </c>
    </row>
    <row r="11795" spans="1:10" x14ac:dyDescent="0.25">
      <c r="A11795" s="7" t="s">
        <v>49227</v>
      </c>
      <c r="B11795" s="8">
        <v>418.75</v>
      </c>
      <c r="C11795" s="8">
        <v>20.478950000000001</v>
      </c>
      <c r="D11795" s="8">
        <v>74</v>
      </c>
      <c r="E11795" s="8">
        <v>0</v>
      </c>
      <c r="F11795" s="8">
        <v>0</v>
      </c>
      <c r="G11795" s="8">
        <v>6</v>
      </c>
      <c r="H11795" s="8" t="s">
        <v>49228</v>
      </c>
      <c r="I11795" s="8">
        <v>534.9375</v>
      </c>
      <c r="J11795" s="3">
        <f t="shared" si="184"/>
        <v>43749.34479722222</v>
      </c>
    </row>
    <row r="11796" spans="1:10" x14ac:dyDescent="0.25">
      <c r="A11796" s="5" t="s">
        <v>49229</v>
      </c>
      <c r="B11796" s="6">
        <v>400</v>
      </c>
      <c r="C11796" s="6">
        <v>20.478950000000001</v>
      </c>
      <c r="D11796" s="6">
        <v>73</v>
      </c>
      <c r="E11796" s="6">
        <v>0</v>
      </c>
      <c r="F11796" s="6">
        <v>0</v>
      </c>
      <c r="G11796" s="6">
        <v>6</v>
      </c>
      <c r="H11796" s="6" t="s">
        <v>49230</v>
      </c>
      <c r="I11796" s="6">
        <v>528.1875</v>
      </c>
      <c r="J11796" s="2">
        <f t="shared" si="184"/>
        <v>43749.344880428238</v>
      </c>
    </row>
    <row r="11797" spans="1:10" x14ac:dyDescent="0.25">
      <c r="A11797" s="7" t="s">
        <v>49231</v>
      </c>
      <c r="B11797" s="8">
        <v>400</v>
      </c>
      <c r="C11797" s="8">
        <v>20.478950000000001</v>
      </c>
      <c r="D11797" s="8">
        <v>71</v>
      </c>
      <c r="E11797" s="8">
        <v>0</v>
      </c>
      <c r="F11797" s="8">
        <v>0</v>
      </c>
      <c r="G11797" s="8">
        <v>0</v>
      </c>
      <c r="H11797" s="8" t="s">
        <v>49232</v>
      </c>
      <c r="I11797" s="8">
        <v>528.1875</v>
      </c>
      <c r="J11797" s="3">
        <f t="shared" si="184"/>
        <v>43749.344951956016</v>
      </c>
    </row>
    <row r="11798" spans="1:10" x14ac:dyDescent="0.25">
      <c r="A11798" s="5" t="s">
        <v>49233</v>
      </c>
      <c r="B11798" s="6">
        <v>403.125</v>
      </c>
      <c r="C11798" s="6">
        <v>20.478950000000001</v>
      </c>
      <c r="D11798" s="6">
        <v>71</v>
      </c>
      <c r="E11798" s="6">
        <v>0</v>
      </c>
      <c r="F11798" s="6">
        <v>0</v>
      </c>
      <c r="G11798" s="6">
        <v>10</v>
      </c>
      <c r="H11798" s="6" t="s">
        <v>49234</v>
      </c>
      <c r="I11798" s="6">
        <v>529.125</v>
      </c>
      <c r="J11798" s="2">
        <f t="shared" si="184"/>
        <v>43749.345035520826</v>
      </c>
    </row>
    <row r="11799" spans="1:10" x14ac:dyDescent="0.25">
      <c r="A11799" s="7" t="s">
        <v>49235</v>
      </c>
      <c r="B11799" s="8">
        <v>403.125</v>
      </c>
      <c r="C11799" s="8">
        <v>20.478950000000001</v>
      </c>
      <c r="D11799" s="8">
        <v>71</v>
      </c>
      <c r="E11799" s="8">
        <v>0</v>
      </c>
      <c r="F11799" s="8">
        <v>0</v>
      </c>
      <c r="G11799" s="8">
        <v>6</v>
      </c>
      <c r="H11799" s="8" t="s">
        <v>49236</v>
      </c>
      <c r="I11799" s="8">
        <v>529.125</v>
      </c>
      <c r="J11799" s="3">
        <f t="shared" si="184"/>
        <v>43749.345118969904</v>
      </c>
    </row>
    <row r="11800" spans="1:10" x14ac:dyDescent="0.25">
      <c r="A11800" s="5" t="s">
        <v>49237</v>
      </c>
      <c r="B11800" s="6">
        <v>403.125</v>
      </c>
      <c r="C11800" s="6">
        <v>20.478950000000001</v>
      </c>
      <c r="D11800" s="6">
        <v>71</v>
      </c>
      <c r="E11800" s="6">
        <v>0</v>
      </c>
      <c r="F11800" s="6">
        <v>0</v>
      </c>
      <c r="G11800" s="6">
        <v>6</v>
      </c>
      <c r="H11800" s="6" t="s">
        <v>49238</v>
      </c>
      <c r="I11800" s="6">
        <v>529.125</v>
      </c>
      <c r="J11800" s="2">
        <f t="shared" si="184"/>
        <v>43749.345202337958</v>
      </c>
    </row>
    <row r="11801" spans="1:10" x14ac:dyDescent="0.25">
      <c r="A11801" s="7" t="s">
        <v>49239</v>
      </c>
      <c r="B11801" s="8">
        <v>400</v>
      </c>
      <c r="C11801" s="8">
        <v>20.478950000000001</v>
      </c>
      <c r="D11801" s="8">
        <v>70</v>
      </c>
      <c r="E11801" s="8">
        <v>0</v>
      </c>
      <c r="F11801" s="8">
        <v>0</v>
      </c>
      <c r="G11801" s="8">
        <v>3</v>
      </c>
      <c r="H11801" s="8" t="s">
        <v>49240</v>
      </c>
      <c r="I11801" s="8">
        <v>528.375</v>
      </c>
      <c r="J11801" s="3">
        <f t="shared" si="184"/>
        <v>43749.345274004627</v>
      </c>
    </row>
    <row r="11802" spans="1:10" x14ac:dyDescent="0.25">
      <c r="A11802" s="5" t="s">
        <v>49241</v>
      </c>
      <c r="B11802" s="6">
        <v>400</v>
      </c>
      <c r="C11802" s="6">
        <v>20.478950000000001</v>
      </c>
      <c r="D11802" s="6">
        <v>71</v>
      </c>
      <c r="E11802" s="6">
        <v>0</v>
      </c>
      <c r="F11802" s="6">
        <v>0</v>
      </c>
      <c r="G11802" s="6">
        <v>4</v>
      </c>
      <c r="H11802" s="6" t="s">
        <v>49242</v>
      </c>
      <c r="I11802" s="6">
        <v>528.1875</v>
      </c>
      <c r="J11802" s="2">
        <f t="shared" si="184"/>
        <v>43749.345357569437</v>
      </c>
    </row>
    <row r="11803" spans="1:10" x14ac:dyDescent="0.25">
      <c r="A11803" s="7" t="s">
        <v>49243</v>
      </c>
      <c r="B11803" s="8">
        <v>400</v>
      </c>
      <c r="C11803" s="8">
        <v>20.478950000000001</v>
      </c>
      <c r="D11803" s="8">
        <v>70</v>
      </c>
      <c r="E11803" s="8">
        <v>0</v>
      </c>
      <c r="F11803" s="8">
        <v>0</v>
      </c>
      <c r="G11803" s="8">
        <v>4</v>
      </c>
      <c r="H11803" s="8" t="s">
        <v>49244</v>
      </c>
      <c r="I11803" s="8">
        <v>528.1875</v>
      </c>
      <c r="J11803" s="3">
        <f t="shared" si="184"/>
        <v>43749.345441122678</v>
      </c>
    </row>
    <row r="11804" spans="1:10" x14ac:dyDescent="0.25">
      <c r="A11804" s="5" t="s">
        <v>49245</v>
      </c>
      <c r="B11804" s="6">
        <v>400</v>
      </c>
      <c r="C11804" s="6">
        <v>20.478950000000001</v>
      </c>
      <c r="D11804" s="6">
        <v>70</v>
      </c>
      <c r="E11804" s="6">
        <v>0</v>
      </c>
      <c r="F11804" s="6">
        <v>0</v>
      </c>
      <c r="G11804" s="6">
        <v>3</v>
      </c>
      <c r="H11804" s="6" t="s">
        <v>49246</v>
      </c>
      <c r="I11804" s="6">
        <v>528.1875</v>
      </c>
      <c r="J11804" s="2">
        <f t="shared" si="184"/>
        <v>43749.345524560187</v>
      </c>
    </row>
    <row r="11805" spans="1:10" x14ac:dyDescent="0.25">
      <c r="A11805" s="7" t="s">
        <v>49247</v>
      </c>
      <c r="B11805" s="8">
        <v>400</v>
      </c>
      <c r="C11805" s="8">
        <v>20.478950000000001</v>
      </c>
      <c r="D11805" s="8">
        <v>71</v>
      </c>
      <c r="E11805" s="8">
        <v>0</v>
      </c>
      <c r="F11805" s="8">
        <v>0</v>
      </c>
      <c r="G11805" s="8">
        <v>4</v>
      </c>
      <c r="H11805" s="8" t="s">
        <v>49248</v>
      </c>
      <c r="I11805" s="8">
        <v>528.375</v>
      </c>
      <c r="J11805" s="3">
        <f t="shared" si="184"/>
        <v>43749.345607997682</v>
      </c>
    </row>
    <row r="11806" spans="1:10" x14ac:dyDescent="0.25">
      <c r="A11806" s="5" t="s">
        <v>49249</v>
      </c>
      <c r="B11806" s="6">
        <v>396.875</v>
      </c>
      <c r="C11806" s="6">
        <v>20.426300000000001</v>
      </c>
      <c r="D11806" s="6">
        <v>71</v>
      </c>
      <c r="E11806" s="6">
        <v>0</v>
      </c>
      <c r="F11806" s="6">
        <v>0</v>
      </c>
      <c r="G11806" s="6">
        <v>7</v>
      </c>
      <c r="H11806" s="6" t="s">
        <v>49250</v>
      </c>
      <c r="I11806" s="6">
        <v>527.4375</v>
      </c>
      <c r="J11806" s="2">
        <f t="shared" si="184"/>
        <v>43749.345691469905</v>
      </c>
    </row>
    <row r="11807" spans="1:10" x14ac:dyDescent="0.25">
      <c r="A11807" s="7" t="s">
        <v>49251</v>
      </c>
      <c r="B11807" s="8">
        <v>396.875</v>
      </c>
      <c r="C11807" s="8">
        <v>20.478950000000001</v>
      </c>
      <c r="D11807" s="8">
        <v>71</v>
      </c>
      <c r="E11807" s="8">
        <v>0</v>
      </c>
      <c r="F11807" s="8">
        <v>0</v>
      </c>
      <c r="G11807" s="8">
        <v>9</v>
      </c>
      <c r="H11807" s="8" t="s">
        <v>49252</v>
      </c>
      <c r="I11807" s="8">
        <v>527.4375</v>
      </c>
      <c r="J11807" s="3">
        <f t="shared" si="184"/>
        <v>43749.34577501157</v>
      </c>
    </row>
    <row r="11808" spans="1:10" x14ac:dyDescent="0.25">
      <c r="A11808" s="5" t="s">
        <v>49253</v>
      </c>
      <c r="B11808" s="6">
        <v>400</v>
      </c>
      <c r="C11808" s="6">
        <v>20.478950000000001</v>
      </c>
      <c r="D11808" s="6">
        <v>71</v>
      </c>
      <c r="E11808" s="6">
        <v>0</v>
      </c>
      <c r="F11808" s="6">
        <v>0</v>
      </c>
      <c r="G11808" s="6">
        <v>1</v>
      </c>
      <c r="H11808" s="6" t="s">
        <v>49254</v>
      </c>
      <c r="I11808" s="6">
        <v>528.375</v>
      </c>
      <c r="J11808" s="2">
        <f t="shared" si="184"/>
        <v>43749.345858483794</v>
      </c>
    </row>
    <row r="11809" spans="1:10" x14ac:dyDescent="0.25">
      <c r="A11809" s="7" t="s">
        <v>49255</v>
      </c>
      <c r="B11809" s="8">
        <v>400</v>
      </c>
      <c r="C11809" s="8">
        <v>20.478950000000001</v>
      </c>
      <c r="D11809" s="8">
        <v>71</v>
      </c>
      <c r="E11809" s="8">
        <v>0</v>
      </c>
      <c r="F11809" s="8">
        <v>0</v>
      </c>
      <c r="G11809" s="8">
        <v>8</v>
      </c>
      <c r="H11809" s="8" t="s">
        <v>49256</v>
      </c>
      <c r="I11809" s="8">
        <v>528.1875</v>
      </c>
      <c r="J11809" s="3">
        <f t="shared" si="184"/>
        <v>43749.345941689811</v>
      </c>
    </row>
    <row r="11810" spans="1:10" x14ac:dyDescent="0.25">
      <c r="A11810" s="5" t="s">
        <v>49257</v>
      </c>
      <c r="B11810" s="6">
        <v>400</v>
      </c>
      <c r="C11810" s="6">
        <v>20.478950000000001</v>
      </c>
      <c r="D11810" s="6">
        <v>69</v>
      </c>
      <c r="E11810" s="6">
        <v>0</v>
      </c>
      <c r="F11810" s="6">
        <v>0</v>
      </c>
      <c r="G11810" s="6">
        <v>12</v>
      </c>
      <c r="H11810" s="6" t="s">
        <v>49258</v>
      </c>
      <c r="I11810" s="6">
        <v>528.1875</v>
      </c>
      <c r="J11810" s="2">
        <f t="shared" si="184"/>
        <v>43749.346025370367</v>
      </c>
    </row>
    <row r="11811" spans="1:10" x14ac:dyDescent="0.25">
      <c r="A11811" s="7" t="s">
        <v>49259</v>
      </c>
      <c r="B11811" s="8">
        <v>396.875</v>
      </c>
      <c r="C11811" s="8">
        <v>20.478950000000001</v>
      </c>
      <c r="D11811" s="8">
        <v>69</v>
      </c>
      <c r="E11811" s="8">
        <v>0</v>
      </c>
      <c r="F11811" s="8">
        <v>0</v>
      </c>
      <c r="G11811" s="8">
        <v>3</v>
      </c>
      <c r="H11811" s="8" t="s">
        <v>49260</v>
      </c>
      <c r="I11811" s="8">
        <v>527.4375</v>
      </c>
      <c r="J11811" s="3">
        <f t="shared" si="184"/>
        <v>43749.346096678237</v>
      </c>
    </row>
    <row r="11812" spans="1:10" x14ac:dyDescent="0.25">
      <c r="A11812" s="5" t="s">
        <v>49261</v>
      </c>
      <c r="B11812" s="6">
        <v>396.875</v>
      </c>
      <c r="C11812" s="6">
        <v>20.478950000000001</v>
      </c>
      <c r="D11812" s="6">
        <v>73</v>
      </c>
      <c r="E11812" s="6">
        <v>0</v>
      </c>
      <c r="F11812" s="6">
        <v>0</v>
      </c>
      <c r="G11812" s="6">
        <v>4</v>
      </c>
      <c r="H11812" s="6" t="s">
        <v>49262</v>
      </c>
      <c r="I11812" s="6">
        <v>527.4375</v>
      </c>
      <c r="J11812" s="2">
        <f t="shared" si="184"/>
        <v>43749.346180474538</v>
      </c>
    </row>
    <row r="11813" spans="1:10" x14ac:dyDescent="0.25">
      <c r="A11813" s="7" t="s">
        <v>49263</v>
      </c>
      <c r="B11813" s="8">
        <v>396.875</v>
      </c>
      <c r="C11813" s="8">
        <v>20.478950000000001</v>
      </c>
      <c r="D11813" s="8">
        <v>74</v>
      </c>
      <c r="E11813" s="8">
        <v>0</v>
      </c>
      <c r="F11813" s="8">
        <v>0</v>
      </c>
      <c r="G11813" s="8">
        <v>6</v>
      </c>
      <c r="H11813" s="8" t="s">
        <v>49264</v>
      </c>
      <c r="I11813" s="8">
        <v>527.4375</v>
      </c>
      <c r="J11813" s="3">
        <f t="shared" si="184"/>
        <v>43749.34626392361</v>
      </c>
    </row>
    <row r="11814" spans="1:10" x14ac:dyDescent="0.25">
      <c r="A11814" s="5" t="s">
        <v>49265</v>
      </c>
      <c r="B11814" s="6">
        <v>400</v>
      </c>
      <c r="C11814" s="6">
        <v>20.426300000000001</v>
      </c>
      <c r="D11814" s="6">
        <v>74</v>
      </c>
      <c r="E11814" s="6">
        <v>0</v>
      </c>
      <c r="F11814" s="6">
        <v>0</v>
      </c>
      <c r="G11814" s="6">
        <v>2</v>
      </c>
      <c r="H11814" s="6" t="s">
        <v>49266</v>
      </c>
      <c r="I11814" s="6">
        <v>528.1875</v>
      </c>
      <c r="J11814" s="2">
        <f t="shared" si="184"/>
        <v>43749.34634747685</v>
      </c>
    </row>
    <row r="11815" spans="1:10" x14ac:dyDescent="0.25">
      <c r="A11815" s="7" t="s">
        <v>49267</v>
      </c>
      <c r="B11815" s="8">
        <v>400</v>
      </c>
      <c r="C11815" s="8">
        <v>20.478950000000001</v>
      </c>
      <c r="D11815" s="8">
        <v>74</v>
      </c>
      <c r="E11815" s="8">
        <v>0</v>
      </c>
      <c r="F11815" s="8">
        <v>0</v>
      </c>
      <c r="G11815" s="8">
        <v>13</v>
      </c>
      <c r="H11815" s="8" t="s">
        <v>49268</v>
      </c>
      <c r="I11815" s="8">
        <v>528.1875</v>
      </c>
      <c r="J11815" s="3">
        <f t="shared" si="184"/>
        <v>43749.346430578698</v>
      </c>
    </row>
    <row r="11816" spans="1:10" x14ac:dyDescent="0.25">
      <c r="A11816" s="5" t="s">
        <v>49269</v>
      </c>
      <c r="B11816" s="6">
        <v>403.125</v>
      </c>
      <c r="C11816" s="6">
        <v>20.478950000000001</v>
      </c>
      <c r="D11816" s="6">
        <v>74</v>
      </c>
      <c r="E11816" s="6">
        <v>0</v>
      </c>
      <c r="F11816" s="6">
        <v>0</v>
      </c>
      <c r="G11816" s="6">
        <v>7</v>
      </c>
      <c r="H11816" s="6" t="s">
        <v>49270</v>
      </c>
      <c r="I11816" s="6">
        <v>529.125</v>
      </c>
      <c r="J11816" s="2">
        <f t="shared" si="184"/>
        <v>43749.346502222215</v>
      </c>
    </row>
    <row r="11817" spans="1:10" x14ac:dyDescent="0.25">
      <c r="A11817" s="7" t="s">
        <v>49271</v>
      </c>
      <c r="B11817" s="8">
        <v>400</v>
      </c>
      <c r="C11817" s="8">
        <v>20.478950000000001</v>
      </c>
      <c r="D11817" s="8">
        <v>74</v>
      </c>
      <c r="E11817" s="8">
        <v>0</v>
      </c>
      <c r="F11817" s="8">
        <v>0</v>
      </c>
      <c r="G11817" s="8">
        <v>4</v>
      </c>
      <c r="H11817" s="8" t="s">
        <v>49272</v>
      </c>
      <c r="I11817" s="8">
        <v>528.375</v>
      </c>
      <c r="J11817" s="3">
        <f t="shared" si="184"/>
        <v>43749.346586134256</v>
      </c>
    </row>
    <row r="11818" spans="1:10" x14ac:dyDescent="0.25">
      <c r="A11818" s="5" t="s">
        <v>49273</v>
      </c>
      <c r="B11818" s="6">
        <v>400</v>
      </c>
      <c r="C11818" s="6">
        <v>20.478950000000001</v>
      </c>
      <c r="D11818" s="6">
        <v>72</v>
      </c>
      <c r="E11818" s="6">
        <v>0</v>
      </c>
      <c r="F11818" s="6">
        <v>0</v>
      </c>
      <c r="G11818" s="6">
        <v>11</v>
      </c>
      <c r="H11818" s="6" t="s">
        <v>49274</v>
      </c>
      <c r="I11818" s="6">
        <v>528.375</v>
      </c>
      <c r="J11818" s="2">
        <f t="shared" si="184"/>
        <v>43749.346669467595</v>
      </c>
    </row>
    <row r="11819" spans="1:10" x14ac:dyDescent="0.25">
      <c r="A11819" s="7" t="s">
        <v>49275</v>
      </c>
      <c r="B11819" s="8">
        <v>396.875</v>
      </c>
      <c r="C11819" s="8">
        <v>20.426300000000001</v>
      </c>
      <c r="D11819" s="8">
        <v>72</v>
      </c>
      <c r="E11819" s="8">
        <v>0</v>
      </c>
      <c r="F11819" s="8">
        <v>0</v>
      </c>
      <c r="G11819" s="8">
        <v>8</v>
      </c>
      <c r="H11819" s="8" t="s">
        <v>49276</v>
      </c>
      <c r="I11819" s="8">
        <v>527.4375</v>
      </c>
      <c r="J11819" s="3">
        <f t="shared" si="184"/>
        <v>43749.346752812497</v>
      </c>
    </row>
    <row r="11820" spans="1:10" x14ac:dyDescent="0.25">
      <c r="A11820" s="5" t="s">
        <v>49277</v>
      </c>
      <c r="B11820" s="6">
        <v>415.625</v>
      </c>
      <c r="C11820" s="6">
        <v>20.478950000000001</v>
      </c>
      <c r="D11820" s="6">
        <v>72</v>
      </c>
      <c r="E11820" s="6">
        <v>0</v>
      </c>
      <c r="F11820" s="6">
        <v>0</v>
      </c>
      <c r="G11820" s="6">
        <v>0</v>
      </c>
      <c r="H11820" s="6" t="s">
        <v>49278</v>
      </c>
      <c r="I11820" s="6">
        <v>533.0625</v>
      </c>
      <c r="J11820" s="2">
        <f t="shared" si="184"/>
        <v>43749.346824456014</v>
      </c>
    </row>
    <row r="11821" spans="1:10" x14ac:dyDescent="0.25">
      <c r="A11821" s="7" t="s">
        <v>49279</v>
      </c>
      <c r="B11821" s="8">
        <v>393.75</v>
      </c>
      <c r="C11821" s="8">
        <v>20.426300000000001</v>
      </c>
      <c r="D11821" s="8">
        <v>70</v>
      </c>
      <c r="E11821" s="8">
        <v>0</v>
      </c>
      <c r="F11821" s="8">
        <v>0</v>
      </c>
      <c r="G11821" s="8">
        <v>1</v>
      </c>
      <c r="H11821" s="8" t="s">
        <v>49280</v>
      </c>
      <c r="I11821" s="8">
        <v>526.6875</v>
      </c>
      <c r="J11821" s="3">
        <f t="shared" si="184"/>
        <v>43749.346908020831</v>
      </c>
    </row>
    <row r="11822" spans="1:10" x14ac:dyDescent="0.25">
      <c r="A11822" s="5" t="s">
        <v>49281</v>
      </c>
      <c r="B11822" s="6">
        <v>393.75</v>
      </c>
      <c r="C11822" s="6">
        <v>20.426300000000001</v>
      </c>
      <c r="D11822" s="6">
        <v>70</v>
      </c>
      <c r="E11822" s="6">
        <v>0</v>
      </c>
      <c r="F11822" s="6">
        <v>0</v>
      </c>
      <c r="G11822" s="6">
        <v>7</v>
      </c>
      <c r="H11822" s="6" t="s">
        <v>49282</v>
      </c>
      <c r="I11822" s="6">
        <v>526.6875</v>
      </c>
      <c r="J11822" s="2">
        <f t="shared" si="184"/>
        <v>43749.346991469902</v>
      </c>
    </row>
    <row r="11823" spans="1:10" x14ac:dyDescent="0.25">
      <c r="A11823" s="7" t="s">
        <v>49283</v>
      </c>
      <c r="B11823" s="8">
        <v>393.75</v>
      </c>
      <c r="C11823" s="8">
        <v>20.426300000000001</v>
      </c>
      <c r="D11823" s="8">
        <v>70</v>
      </c>
      <c r="E11823" s="8">
        <v>0</v>
      </c>
      <c r="F11823" s="8">
        <v>0</v>
      </c>
      <c r="G11823" s="8">
        <v>4</v>
      </c>
      <c r="H11823" s="8" t="s">
        <v>49284</v>
      </c>
      <c r="I11823" s="8">
        <v>526.5</v>
      </c>
      <c r="J11823" s="3">
        <f t="shared" si="184"/>
        <v>43749.347075011574</v>
      </c>
    </row>
    <row r="11824" spans="1:10" x14ac:dyDescent="0.25">
      <c r="A11824" s="5" t="s">
        <v>49285</v>
      </c>
      <c r="B11824" s="6">
        <v>396.875</v>
      </c>
      <c r="C11824" s="6">
        <v>20.478950000000001</v>
      </c>
      <c r="D11824" s="6">
        <v>70</v>
      </c>
      <c r="E11824" s="6">
        <v>0</v>
      </c>
      <c r="F11824" s="6">
        <v>0</v>
      </c>
      <c r="G11824" s="6">
        <v>0</v>
      </c>
      <c r="H11824" s="6" t="s">
        <v>49286</v>
      </c>
      <c r="I11824" s="6">
        <v>527.4375</v>
      </c>
      <c r="J11824" s="2">
        <f t="shared" si="184"/>
        <v>43749.347158356475</v>
      </c>
    </row>
    <row r="11825" spans="1:10" x14ac:dyDescent="0.25">
      <c r="A11825" s="7" t="s">
        <v>49287</v>
      </c>
      <c r="B11825" s="8">
        <v>412.5</v>
      </c>
      <c r="C11825" s="8">
        <v>20.478950000000001</v>
      </c>
      <c r="D11825" s="8">
        <v>70</v>
      </c>
      <c r="E11825" s="8">
        <v>0</v>
      </c>
      <c r="F11825" s="8">
        <v>0</v>
      </c>
      <c r="G11825" s="8">
        <v>5</v>
      </c>
      <c r="H11825" s="8" t="s">
        <v>49288</v>
      </c>
      <c r="I11825" s="8">
        <v>532.3125</v>
      </c>
      <c r="J11825" s="3">
        <f t="shared" si="184"/>
        <v>43749.347241689808</v>
      </c>
    </row>
    <row r="11826" spans="1:10" x14ac:dyDescent="0.25">
      <c r="A11826" s="5" t="s">
        <v>49289</v>
      </c>
      <c r="B11826" s="6">
        <v>393.75</v>
      </c>
      <c r="C11826" s="6">
        <v>20.478950000000001</v>
      </c>
      <c r="D11826" s="6">
        <v>70</v>
      </c>
      <c r="E11826" s="6">
        <v>0</v>
      </c>
      <c r="F11826" s="6">
        <v>0</v>
      </c>
      <c r="G11826" s="6">
        <v>13</v>
      </c>
      <c r="H11826" s="6" t="s">
        <v>49290</v>
      </c>
      <c r="I11826" s="6">
        <v>526.5</v>
      </c>
      <c r="J11826" s="2">
        <f t="shared" si="184"/>
        <v>43749.347313356477</v>
      </c>
    </row>
    <row r="11827" spans="1:10" x14ac:dyDescent="0.25">
      <c r="A11827" s="7" t="s">
        <v>49291</v>
      </c>
      <c r="B11827" s="8">
        <v>396.875</v>
      </c>
      <c r="C11827" s="8">
        <v>20.478950000000001</v>
      </c>
      <c r="D11827" s="8">
        <v>70</v>
      </c>
      <c r="E11827" s="8">
        <v>0</v>
      </c>
      <c r="F11827" s="8">
        <v>0</v>
      </c>
      <c r="G11827" s="8">
        <v>6</v>
      </c>
      <c r="H11827" s="8" t="s">
        <v>49292</v>
      </c>
      <c r="I11827" s="8">
        <v>527.4375</v>
      </c>
      <c r="J11827" s="3">
        <f t="shared" si="184"/>
        <v>43749.347397280093</v>
      </c>
    </row>
    <row r="11828" spans="1:10" x14ac:dyDescent="0.25">
      <c r="A11828" s="5" t="s">
        <v>49293</v>
      </c>
      <c r="B11828" s="6">
        <v>396.875</v>
      </c>
      <c r="C11828" s="6">
        <v>20.478950000000001</v>
      </c>
      <c r="D11828" s="6">
        <v>70</v>
      </c>
      <c r="E11828" s="6">
        <v>0</v>
      </c>
      <c r="F11828" s="6">
        <v>0</v>
      </c>
      <c r="G11828" s="6">
        <v>9</v>
      </c>
      <c r="H11828" s="6" t="s">
        <v>49294</v>
      </c>
      <c r="I11828" s="6">
        <v>527.4375</v>
      </c>
      <c r="J11828" s="2">
        <f t="shared" si="184"/>
        <v>43749.347480555552</v>
      </c>
    </row>
    <row r="11829" spans="1:10" x14ac:dyDescent="0.25">
      <c r="A11829" s="7" t="s">
        <v>49295</v>
      </c>
      <c r="B11829" s="8">
        <v>400</v>
      </c>
      <c r="C11829" s="8">
        <v>20.478950000000001</v>
      </c>
      <c r="D11829" s="8">
        <v>71</v>
      </c>
      <c r="E11829" s="8">
        <v>0</v>
      </c>
      <c r="F11829" s="8">
        <v>0</v>
      </c>
      <c r="G11829" s="8">
        <v>0</v>
      </c>
      <c r="H11829" s="8" t="s">
        <v>49296</v>
      </c>
      <c r="I11829" s="8">
        <v>528.1875</v>
      </c>
      <c r="J11829" s="3">
        <f t="shared" si="184"/>
        <v>43749.347563935182</v>
      </c>
    </row>
    <row r="11830" spans="1:10" x14ac:dyDescent="0.25">
      <c r="A11830" s="5" t="s">
        <v>49297</v>
      </c>
      <c r="B11830" s="6">
        <v>440.625</v>
      </c>
      <c r="C11830" s="6">
        <v>20.478950000000001</v>
      </c>
      <c r="D11830" s="6">
        <v>71</v>
      </c>
      <c r="E11830" s="6">
        <v>0</v>
      </c>
      <c r="F11830" s="6">
        <v>0</v>
      </c>
      <c r="G11830" s="6">
        <v>4</v>
      </c>
      <c r="H11830" s="6" t="s">
        <v>49298</v>
      </c>
      <c r="I11830" s="6">
        <v>541.6875</v>
      </c>
      <c r="J11830" s="2">
        <f t="shared" si="184"/>
        <v>43749.347647476847</v>
      </c>
    </row>
    <row r="11831" spans="1:10" x14ac:dyDescent="0.25">
      <c r="A11831" s="7" t="s">
        <v>49299</v>
      </c>
      <c r="B11831" s="8">
        <v>403.125</v>
      </c>
      <c r="C11831" s="8">
        <v>20.478950000000001</v>
      </c>
      <c r="D11831" s="8">
        <v>71</v>
      </c>
      <c r="E11831" s="8">
        <v>0</v>
      </c>
      <c r="F11831" s="8">
        <v>0</v>
      </c>
      <c r="G11831" s="8">
        <v>2</v>
      </c>
      <c r="H11831" s="8" t="s">
        <v>49300</v>
      </c>
      <c r="I11831" s="8">
        <v>529.125</v>
      </c>
      <c r="J11831" s="3">
        <f t="shared" si="184"/>
        <v>43749.347730590271</v>
      </c>
    </row>
    <row r="11832" spans="1:10" x14ac:dyDescent="0.25">
      <c r="A11832" s="5" t="s">
        <v>49301</v>
      </c>
      <c r="B11832" s="6">
        <v>403.125</v>
      </c>
      <c r="C11832" s="6">
        <v>20.478950000000001</v>
      </c>
      <c r="D11832" s="6">
        <v>71</v>
      </c>
      <c r="E11832" s="6">
        <v>0</v>
      </c>
      <c r="F11832" s="6">
        <v>0</v>
      </c>
      <c r="G11832" s="6">
        <v>11</v>
      </c>
      <c r="H11832" s="6" t="s">
        <v>49302</v>
      </c>
      <c r="I11832" s="6">
        <v>529.125</v>
      </c>
      <c r="J11832" s="2">
        <f t="shared" si="184"/>
        <v>43749.34780221065</v>
      </c>
    </row>
    <row r="11833" spans="1:10" x14ac:dyDescent="0.25">
      <c r="A11833" s="7" t="s">
        <v>49303</v>
      </c>
      <c r="B11833" s="8">
        <v>403.125</v>
      </c>
      <c r="C11833" s="8">
        <v>20.478950000000001</v>
      </c>
      <c r="D11833" s="8">
        <v>71</v>
      </c>
      <c r="E11833" s="8">
        <v>0</v>
      </c>
      <c r="F11833" s="8">
        <v>0</v>
      </c>
      <c r="G11833" s="8">
        <v>1</v>
      </c>
      <c r="H11833" s="8" t="s">
        <v>49304</v>
      </c>
      <c r="I11833" s="8">
        <v>529.125</v>
      </c>
      <c r="J11833" s="3">
        <f t="shared" si="184"/>
        <v>43749.347900081011</v>
      </c>
    </row>
    <row r="11834" spans="1:10" x14ac:dyDescent="0.25">
      <c r="A11834" s="5" t="s">
        <v>49305</v>
      </c>
      <c r="B11834" s="6">
        <v>403.125</v>
      </c>
      <c r="C11834" s="6">
        <v>20.426300000000001</v>
      </c>
      <c r="D11834" s="6">
        <v>71</v>
      </c>
      <c r="E11834" s="6">
        <v>0</v>
      </c>
      <c r="F11834" s="6">
        <v>0</v>
      </c>
      <c r="G11834" s="6">
        <v>4</v>
      </c>
      <c r="H11834" s="6" t="s">
        <v>49306</v>
      </c>
      <c r="I11834" s="6">
        <v>529.125</v>
      </c>
      <c r="J11834" s="2">
        <f t="shared" si="184"/>
        <v>43749.347981388892</v>
      </c>
    </row>
    <row r="11835" spans="1:10" x14ac:dyDescent="0.25">
      <c r="A11835" s="7" t="s">
        <v>49307</v>
      </c>
      <c r="B11835" s="8">
        <v>403.125</v>
      </c>
      <c r="C11835" s="8">
        <v>20.478950000000001</v>
      </c>
      <c r="D11835" s="8">
        <v>71</v>
      </c>
      <c r="E11835" s="8">
        <v>0</v>
      </c>
      <c r="F11835" s="8">
        <v>0</v>
      </c>
      <c r="G11835" s="8">
        <v>2</v>
      </c>
      <c r="H11835" s="8" t="s">
        <v>49308</v>
      </c>
      <c r="I11835" s="8">
        <v>529.125</v>
      </c>
      <c r="J11835" s="3">
        <f t="shared" si="184"/>
        <v>43749.348064803235</v>
      </c>
    </row>
    <row r="11836" spans="1:10" x14ac:dyDescent="0.25">
      <c r="A11836" s="5" t="s">
        <v>49309</v>
      </c>
      <c r="B11836" s="6">
        <v>403.125</v>
      </c>
      <c r="C11836" s="6">
        <v>20.478950000000001</v>
      </c>
      <c r="D11836" s="6">
        <v>71</v>
      </c>
      <c r="E11836" s="6">
        <v>0</v>
      </c>
      <c r="F11836" s="6">
        <v>0</v>
      </c>
      <c r="G11836" s="6">
        <v>14</v>
      </c>
      <c r="H11836" s="6" t="s">
        <v>49310</v>
      </c>
      <c r="I11836" s="6">
        <v>529.875</v>
      </c>
      <c r="J11836" s="2">
        <f t="shared" si="184"/>
        <v>43749.348136307868</v>
      </c>
    </row>
    <row r="11837" spans="1:10" x14ac:dyDescent="0.25">
      <c r="A11837" s="7" t="s">
        <v>49311</v>
      </c>
      <c r="B11837" s="8">
        <v>403.125</v>
      </c>
      <c r="C11837" s="8">
        <v>20.426300000000001</v>
      </c>
      <c r="D11837" s="8">
        <v>71</v>
      </c>
      <c r="E11837" s="8">
        <v>0</v>
      </c>
      <c r="F11837" s="8">
        <v>0</v>
      </c>
      <c r="G11837" s="8">
        <v>4</v>
      </c>
      <c r="H11837" s="8" t="s">
        <v>49312</v>
      </c>
      <c r="I11837" s="8">
        <v>529.875</v>
      </c>
      <c r="J11837" s="3">
        <f t="shared" si="184"/>
        <v>43749.348207708332</v>
      </c>
    </row>
    <row r="11838" spans="1:10" x14ac:dyDescent="0.25">
      <c r="A11838" s="5" t="s">
        <v>49313</v>
      </c>
      <c r="B11838" s="6">
        <v>421.875</v>
      </c>
      <c r="C11838" s="6">
        <v>20.478950000000001</v>
      </c>
      <c r="D11838" s="6">
        <v>74</v>
      </c>
      <c r="E11838" s="6">
        <v>0</v>
      </c>
      <c r="F11838" s="6">
        <v>0</v>
      </c>
      <c r="G11838" s="6">
        <v>3</v>
      </c>
      <c r="H11838" s="6" t="s">
        <v>49314</v>
      </c>
      <c r="I11838" s="6">
        <v>535.6875</v>
      </c>
      <c r="J11838" s="2">
        <f t="shared" si="184"/>
        <v>43749.348279594902</v>
      </c>
    </row>
    <row r="11839" spans="1:10" x14ac:dyDescent="0.25">
      <c r="A11839" s="7" t="s">
        <v>49315</v>
      </c>
      <c r="B11839" s="8">
        <v>403.125</v>
      </c>
      <c r="C11839" s="8">
        <v>20.478950000000001</v>
      </c>
      <c r="D11839" s="8">
        <v>76</v>
      </c>
      <c r="E11839" s="8">
        <v>0</v>
      </c>
      <c r="F11839" s="8">
        <v>0</v>
      </c>
      <c r="G11839" s="8">
        <v>8</v>
      </c>
      <c r="H11839" s="8" t="s">
        <v>49316</v>
      </c>
      <c r="I11839" s="8">
        <v>529.875</v>
      </c>
      <c r="J11839" s="3">
        <f t="shared" si="184"/>
        <v>43749.348351006942</v>
      </c>
    </row>
    <row r="11840" spans="1:10" x14ac:dyDescent="0.25">
      <c r="A11840" s="5" t="s">
        <v>49317</v>
      </c>
      <c r="B11840" s="6">
        <v>403.125</v>
      </c>
      <c r="C11840" s="6">
        <v>20.478950000000001</v>
      </c>
      <c r="D11840" s="6">
        <v>76</v>
      </c>
      <c r="E11840" s="6">
        <v>0</v>
      </c>
      <c r="F11840" s="6">
        <v>0</v>
      </c>
      <c r="G11840" s="6">
        <v>5</v>
      </c>
      <c r="H11840" s="6" t="s">
        <v>49318</v>
      </c>
      <c r="I11840" s="6">
        <v>529.875</v>
      </c>
      <c r="J11840" s="2">
        <f t="shared" si="184"/>
        <v>43749.348434224536</v>
      </c>
    </row>
    <row r="11841" spans="1:10" x14ac:dyDescent="0.25">
      <c r="A11841" s="7" t="s">
        <v>49319</v>
      </c>
      <c r="B11841" s="8">
        <v>403.125</v>
      </c>
      <c r="C11841" s="8">
        <v>20.478950000000001</v>
      </c>
      <c r="D11841" s="8">
        <v>76</v>
      </c>
      <c r="E11841" s="8">
        <v>0</v>
      </c>
      <c r="F11841" s="8">
        <v>0</v>
      </c>
      <c r="G11841" s="8">
        <v>5</v>
      </c>
      <c r="H11841" s="8" t="s">
        <v>49320</v>
      </c>
      <c r="I11841" s="8">
        <v>529.875</v>
      </c>
      <c r="J11841" s="3">
        <f t="shared" si="184"/>
        <v>43749.348505983791</v>
      </c>
    </row>
    <row r="11842" spans="1:10" x14ac:dyDescent="0.25">
      <c r="A11842" s="5" t="s">
        <v>49321</v>
      </c>
      <c r="B11842" s="6">
        <v>403.125</v>
      </c>
      <c r="C11842" s="6">
        <v>20.478950000000001</v>
      </c>
      <c r="D11842" s="6">
        <v>76</v>
      </c>
      <c r="E11842" s="6">
        <v>0</v>
      </c>
      <c r="F11842" s="6">
        <v>0</v>
      </c>
      <c r="G11842" s="6">
        <v>9</v>
      </c>
      <c r="H11842" s="6" t="s">
        <v>49322</v>
      </c>
      <c r="I11842" s="6">
        <v>529.5</v>
      </c>
      <c r="J11842" s="2">
        <f t="shared" ref="J11842:J11905" si="185">(H11842/86400000)+25569+(7/24)</f>
        <v>43749.348576932869</v>
      </c>
    </row>
    <row r="11843" spans="1:10" x14ac:dyDescent="0.25">
      <c r="A11843" s="7" t="s">
        <v>49323</v>
      </c>
      <c r="B11843" s="8">
        <v>403.125</v>
      </c>
      <c r="C11843" s="8">
        <v>20.478950000000001</v>
      </c>
      <c r="D11843" s="8">
        <v>75</v>
      </c>
      <c r="E11843" s="8">
        <v>0</v>
      </c>
      <c r="F11843" s="8">
        <v>0</v>
      </c>
      <c r="G11843" s="8">
        <v>4</v>
      </c>
      <c r="H11843" s="8" t="s">
        <v>49324</v>
      </c>
      <c r="I11843" s="8">
        <v>529.125</v>
      </c>
      <c r="J11843" s="3">
        <f t="shared" si="185"/>
        <v>43749.3486490625</v>
      </c>
    </row>
    <row r="11844" spans="1:10" x14ac:dyDescent="0.25">
      <c r="A11844" s="5" t="s">
        <v>49325</v>
      </c>
      <c r="B11844" s="6">
        <v>403.125</v>
      </c>
      <c r="C11844" s="6">
        <v>20.478950000000001</v>
      </c>
      <c r="D11844" s="6">
        <v>75</v>
      </c>
      <c r="E11844" s="6">
        <v>0</v>
      </c>
      <c r="F11844" s="6">
        <v>0</v>
      </c>
      <c r="G11844" s="6">
        <v>1</v>
      </c>
      <c r="H11844" s="6" t="s">
        <v>49326</v>
      </c>
      <c r="I11844" s="6">
        <v>529.125</v>
      </c>
      <c r="J11844" s="2">
        <f t="shared" si="185"/>
        <v>43749.348732499995</v>
      </c>
    </row>
    <row r="11845" spans="1:10" x14ac:dyDescent="0.25">
      <c r="A11845" s="7" t="s">
        <v>49327</v>
      </c>
      <c r="B11845" s="8">
        <v>418.75</v>
      </c>
      <c r="C11845" s="8">
        <v>20.478950000000001</v>
      </c>
      <c r="D11845" s="8">
        <v>75</v>
      </c>
      <c r="E11845" s="8">
        <v>0</v>
      </c>
      <c r="F11845" s="8">
        <v>0</v>
      </c>
      <c r="G11845" s="8">
        <v>3</v>
      </c>
      <c r="H11845" s="8" t="s">
        <v>49328</v>
      </c>
      <c r="I11845" s="8">
        <v>534</v>
      </c>
      <c r="J11845" s="3">
        <f t="shared" si="185"/>
        <v>43749.348804108791</v>
      </c>
    </row>
    <row r="11846" spans="1:10" x14ac:dyDescent="0.25">
      <c r="A11846" s="5" t="s">
        <v>49329</v>
      </c>
      <c r="B11846" s="6">
        <v>400</v>
      </c>
      <c r="C11846" s="6">
        <v>20.478950000000001</v>
      </c>
      <c r="D11846" s="6">
        <v>75</v>
      </c>
      <c r="E11846" s="6">
        <v>0</v>
      </c>
      <c r="F11846" s="6">
        <v>0</v>
      </c>
      <c r="G11846" s="6">
        <v>10</v>
      </c>
      <c r="H11846" s="6" t="s">
        <v>49330</v>
      </c>
      <c r="I11846" s="6">
        <v>528.375</v>
      </c>
      <c r="J11846" s="2">
        <f t="shared" si="185"/>
        <v>43749.34887577546</v>
      </c>
    </row>
    <row r="11847" spans="1:10" x14ac:dyDescent="0.25">
      <c r="A11847" s="7" t="s">
        <v>49331</v>
      </c>
      <c r="B11847" s="8">
        <v>400</v>
      </c>
      <c r="C11847" s="8">
        <v>20.478950000000001</v>
      </c>
      <c r="D11847" s="8">
        <v>75</v>
      </c>
      <c r="E11847" s="8">
        <v>0</v>
      </c>
      <c r="F11847" s="8">
        <v>0</v>
      </c>
      <c r="G11847" s="8">
        <v>5</v>
      </c>
      <c r="H11847" s="8" t="s">
        <v>49332</v>
      </c>
      <c r="I11847" s="8">
        <v>528.375</v>
      </c>
      <c r="J11847" s="3">
        <f t="shared" si="185"/>
        <v>43749.348947199069</v>
      </c>
    </row>
    <row r="11848" spans="1:10" x14ac:dyDescent="0.25">
      <c r="A11848" s="5" t="s">
        <v>49333</v>
      </c>
      <c r="B11848" s="6">
        <v>396.875</v>
      </c>
      <c r="C11848" s="6">
        <v>20.478950000000001</v>
      </c>
      <c r="D11848" s="6">
        <v>74</v>
      </c>
      <c r="E11848" s="6">
        <v>0</v>
      </c>
      <c r="F11848" s="6">
        <v>0</v>
      </c>
      <c r="G11848" s="6">
        <v>8</v>
      </c>
      <c r="H11848" s="6" t="s">
        <v>49334</v>
      </c>
      <c r="I11848" s="6">
        <v>527.4375</v>
      </c>
      <c r="J11848" s="2">
        <f t="shared" si="185"/>
        <v>43749.349030636571</v>
      </c>
    </row>
    <row r="11849" spans="1:10" x14ac:dyDescent="0.25">
      <c r="A11849" s="7" t="s">
        <v>49335</v>
      </c>
      <c r="B11849" s="8">
        <v>396.875</v>
      </c>
      <c r="C11849" s="8">
        <v>20.478950000000001</v>
      </c>
      <c r="D11849" s="8">
        <v>74</v>
      </c>
      <c r="E11849" s="8">
        <v>0</v>
      </c>
      <c r="F11849" s="8">
        <v>0</v>
      </c>
      <c r="G11849" s="8">
        <v>15</v>
      </c>
      <c r="H11849" s="8" t="s">
        <v>49336</v>
      </c>
      <c r="I11849" s="8">
        <v>527.4375</v>
      </c>
      <c r="J11849" s="3">
        <f t="shared" si="185"/>
        <v>43749.349101851847</v>
      </c>
    </row>
    <row r="11850" spans="1:10" x14ac:dyDescent="0.25">
      <c r="A11850" s="5" t="s">
        <v>49337</v>
      </c>
      <c r="B11850" s="6">
        <v>393.75</v>
      </c>
      <c r="C11850" s="6">
        <v>20.478950000000001</v>
      </c>
      <c r="D11850" s="6">
        <v>73</v>
      </c>
      <c r="E11850" s="6">
        <v>0</v>
      </c>
      <c r="F11850" s="6">
        <v>0</v>
      </c>
      <c r="G11850" s="6">
        <v>7</v>
      </c>
      <c r="H11850" s="6" t="s">
        <v>49338</v>
      </c>
      <c r="I11850" s="6">
        <v>526.6875</v>
      </c>
      <c r="J11850" s="2">
        <f t="shared" si="185"/>
        <v>43749.349173819443</v>
      </c>
    </row>
    <row r="11851" spans="1:10" x14ac:dyDescent="0.25">
      <c r="A11851" s="7" t="s">
        <v>49339</v>
      </c>
      <c r="B11851" s="8">
        <v>396.875</v>
      </c>
      <c r="C11851" s="8">
        <v>20.478950000000001</v>
      </c>
      <c r="D11851" s="8">
        <v>73</v>
      </c>
      <c r="E11851" s="8">
        <v>0</v>
      </c>
      <c r="F11851" s="8">
        <v>0</v>
      </c>
      <c r="G11851" s="8">
        <v>4</v>
      </c>
      <c r="H11851" s="8" t="s">
        <v>49340</v>
      </c>
      <c r="I11851" s="8">
        <v>527.4375</v>
      </c>
      <c r="J11851" s="3">
        <f t="shared" si="185"/>
        <v>43749.349257349539</v>
      </c>
    </row>
    <row r="11852" spans="1:10" x14ac:dyDescent="0.25">
      <c r="A11852" s="5" t="s">
        <v>49341</v>
      </c>
      <c r="B11852" s="6">
        <v>396.875</v>
      </c>
      <c r="C11852" s="6">
        <v>20.478950000000001</v>
      </c>
      <c r="D11852" s="6">
        <v>73</v>
      </c>
      <c r="E11852" s="6">
        <v>0</v>
      </c>
      <c r="F11852" s="6">
        <v>0</v>
      </c>
      <c r="G11852" s="6">
        <v>3</v>
      </c>
      <c r="H11852" s="6" t="s">
        <v>49342</v>
      </c>
      <c r="I11852" s="6">
        <v>527.4375</v>
      </c>
      <c r="J11852" s="2">
        <f t="shared" si="185"/>
        <v>43749.349328796299</v>
      </c>
    </row>
    <row r="11853" spans="1:10" x14ac:dyDescent="0.25">
      <c r="A11853" s="7" t="s">
        <v>49343</v>
      </c>
      <c r="B11853" s="8">
        <v>393.75</v>
      </c>
      <c r="C11853" s="8">
        <v>20.426300000000001</v>
      </c>
      <c r="D11853" s="8">
        <v>72</v>
      </c>
      <c r="E11853" s="8">
        <v>0</v>
      </c>
      <c r="F11853" s="8">
        <v>0</v>
      </c>
      <c r="G11853" s="8">
        <v>11</v>
      </c>
      <c r="H11853" s="8" t="s">
        <v>49344</v>
      </c>
      <c r="I11853" s="8">
        <v>526.6875</v>
      </c>
      <c r="J11853" s="3">
        <f t="shared" si="185"/>
        <v>43749.34940032407</v>
      </c>
    </row>
    <row r="11854" spans="1:10" x14ac:dyDescent="0.25">
      <c r="A11854" s="5" t="s">
        <v>49345</v>
      </c>
      <c r="B11854" s="6">
        <v>393.75</v>
      </c>
      <c r="C11854" s="6">
        <v>20.478950000000001</v>
      </c>
      <c r="D11854" s="6">
        <v>73</v>
      </c>
      <c r="E11854" s="6">
        <v>0</v>
      </c>
      <c r="F11854" s="6">
        <v>0</v>
      </c>
      <c r="G11854" s="6">
        <v>7</v>
      </c>
      <c r="H11854" s="6" t="s">
        <v>49346</v>
      </c>
      <c r="I11854" s="6">
        <v>526.6875</v>
      </c>
      <c r="J11854" s="2">
        <f t="shared" si="185"/>
        <v>43749.349472083333</v>
      </c>
    </row>
    <row r="11855" spans="1:10" x14ac:dyDescent="0.25">
      <c r="A11855" s="7" t="s">
        <v>49347</v>
      </c>
      <c r="B11855" s="8">
        <v>393.75</v>
      </c>
      <c r="C11855" s="8">
        <v>20.478950000000001</v>
      </c>
      <c r="D11855" s="8">
        <v>73</v>
      </c>
      <c r="E11855" s="8">
        <v>0</v>
      </c>
      <c r="F11855" s="8">
        <v>0</v>
      </c>
      <c r="G11855" s="8">
        <v>7</v>
      </c>
      <c r="H11855" s="8" t="s">
        <v>49348</v>
      </c>
      <c r="I11855" s="8">
        <v>526.6875</v>
      </c>
      <c r="J11855" s="3">
        <f t="shared" si="185"/>
        <v>43749.349543495373</v>
      </c>
    </row>
    <row r="11856" spans="1:10" x14ac:dyDescent="0.25">
      <c r="A11856" s="5" t="s">
        <v>49349</v>
      </c>
      <c r="B11856" s="6">
        <v>434.375</v>
      </c>
      <c r="C11856" s="6">
        <v>20.426300000000001</v>
      </c>
      <c r="D11856" s="6">
        <v>74</v>
      </c>
      <c r="E11856" s="6">
        <v>0</v>
      </c>
      <c r="F11856" s="6">
        <v>0</v>
      </c>
      <c r="G11856" s="6">
        <v>5</v>
      </c>
      <c r="H11856" s="6" t="s">
        <v>49350</v>
      </c>
      <c r="I11856" s="6">
        <v>539.25</v>
      </c>
      <c r="J11856" s="2">
        <f t="shared" si="185"/>
        <v>43749.349615057865</v>
      </c>
    </row>
    <row r="11857" spans="1:10" x14ac:dyDescent="0.25">
      <c r="A11857" s="7" t="s">
        <v>49351</v>
      </c>
      <c r="B11857" s="8">
        <v>393.75</v>
      </c>
      <c r="C11857" s="8">
        <v>20.426300000000001</v>
      </c>
      <c r="D11857" s="8">
        <v>77</v>
      </c>
      <c r="E11857" s="8">
        <v>0</v>
      </c>
      <c r="F11857" s="8">
        <v>0</v>
      </c>
      <c r="G11857" s="8">
        <v>0</v>
      </c>
      <c r="H11857" s="8" t="s">
        <v>49352</v>
      </c>
      <c r="I11857" s="8">
        <v>526.6875</v>
      </c>
      <c r="J11857" s="3">
        <f t="shared" si="185"/>
        <v>43749.34969077546</v>
      </c>
    </row>
    <row r="11858" spans="1:10" x14ac:dyDescent="0.25">
      <c r="A11858" s="5" t="s">
        <v>49353</v>
      </c>
      <c r="B11858" s="6">
        <v>396.875</v>
      </c>
      <c r="C11858" s="6">
        <v>20.478950000000001</v>
      </c>
      <c r="D11858" s="6">
        <v>78</v>
      </c>
      <c r="E11858" s="6">
        <v>0</v>
      </c>
      <c r="F11858" s="6">
        <v>0</v>
      </c>
      <c r="G11858" s="6">
        <v>13</v>
      </c>
      <c r="H11858" s="6" t="s">
        <v>49354</v>
      </c>
      <c r="I11858" s="6">
        <v>527.4375</v>
      </c>
      <c r="J11858" s="2">
        <f t="shared" si="185"/>
        <v>43749.349770219902</v>
      </c>
    </row>
    <row r="11859" spans="1:10" x14ac:dyDescent="0.25">
      <c r="A11859" s="7" t="s">
        <v>49355</v>
      </c>
      <c r="B11859" s="8">
        <v>396.875</v>
      </c>
      <c r="C11859" s="8">
        <v>20.478950000000001</v>
      </c>
      <c r="D11859" s="8">
        <v>77</v>
      </c>
      <c r="E11859" s="8">
        <v>0</v>
      </c>
      <c r="F11859" s="8">
        <v>0</v>
      </c>
      <c r="G11859" s="8">
        <v>10</v>
      </c>
      <c r="H11859" s="8" t="s">
        <v>49356</v>
      </c>
      <c r="I11859" s="8">
        <v>527.625</v>
      </c>
      <c r="J11859" s="3">
        <f t="shared" si="185"/>
        <v>43749.349853854168</v>
      </c>
    </row>
    <row r="11860" spans="1:10" x14ac:dyDescent="0.25">
      <c r="A11860" s="5" t="s">
        <v>49357</v>
      </c>
      <c r="B11860" s="6">
        <v>400</v>
      </c>
      <c r="C11860" s="6">
        <v>20.478950000000001</v>
      </c>
      <c r="D11860" s="6">
        <v>78</v>
      </c>
      <c r="E11860" s="6">
        <v>0</v>
      </c>
      <c r="F11860" s="6">
        <v>0</v>
      </c>
      <c r="G11860" s="6">
        <v>10</v>
      </c>
      <c r="H11860" s="6" t="s">
        <v>49358</v>
      </c>
      <c r="I11860" s="6">
        <v>528.375</v>
      </c>
      <c r="J11860" s="2">
        <f t="shared" si="185"/>
        <v>43749.349937025465</v>
      </c>
    </row>
    <row r="11861" spans="1:10" x14ac:dyDescent="0.25">
      <c r="A11861" s="7" t="s">
        <v>49359</v>
      </c>
      <c r="B11861" s="8">
        <v>400</v>
      </c>
      <c r="C11861" s="8">
        <v>20.478950000000001</v>
      </c>
      <c r="D11861" s="8">
        <v>78</v>
      </c>
      <c r="E11861" s="8">
        <v>0</v>
      </c>
      <c r="F11861" s="8">
        <v>0</v>
      </c>
      <c r="G11861" s="8">
        <v>10</v>
      </c>
      <c r="H11861" s="8" t="s">
        <v>49360</v>
      </c>
      <c r="I11861" s="8">
        <v>528.375</v>
      </c>
      <c r="J11861" s="3">
        <f t="shared" si="185"/>
        <v>43749.350020486112</v>
      </c>
    </row>
    <row r="11862" spans="1:10" x14ac:dyDescent="0.25">
      <c r="A11862" s="5" t="s">
        <v>49361</v>
      </c>
      <c r="B11862" s="6">
        <v>400</v>
      </c>
      <c r="C11862" s="6">
        <v>20.478950000000001</v>
      </c>
      <c r="D11862" s="6">
        <v>77</v>
      </c>
      <c r="E11862" s="6">
        <v>0</v>
      </c>
      <c r="F11862" s="6">
        <v>0</v>
      </c>
      <c r="G11862" s="6">
        <v>14</v>
      </c>
      <c r="H11862" s="6" t="s">
        <v>49362</v>
      </c>
      <c r="I11862" s="6">
        <v>528.375</v>
      </c>
      <c r="J11862" s="2">
        <f t="shared" si="185"/>
        <v>43749.350103935183</v>
      </c>
    </row>
    <row r="11863" spans="1:10" x14ac:dyDescent="0.25">
      <c r="A11863" s="7" t="s">
        <v>49363</v>
      </c>
      <c r="B11863" s="8">
        <v>400</v>
      </c>
      <c r="C11863" s="8">
        <v>20.478950000000001</v>
      </c>
      <c r="D11863" s="8">
        <v>74</v>
      </c>
      <c r="E11863" s="8">
        <v>0</v>
      </c>
      <c r="F11863" s="8">
        <v>0</v>
      </c>
      <c r="G11863" s="8">
        <v>6</v>
      </c>
      <c r="H11863" s="8" t="s">
        <v>49364</v>
      </c>
      <c r="I11863" s="8">
        <v>528.375</v>
      </c>
      <c r="J11863" s="3">
        <f t="shared" si="185"/>
        <v>43749.350175694439</v>
      </c>
    </row>
    <row r="11864" spans="1:10" x14ac:dyDescent="0.25">
      <c r="A11864" s="5" t="s">
        <v>49365</v>
      </c>
      <c r="B11864" s="6">
        <v>400</v>
      </c>
      <c r="C11864" s="6">
        <v>20.478950000000001</v>
      </c>
      <c r="D11864" s="6">
        <v>74</v>
      </c>
      <c r="E11864" s="6">
        <v>0</v>
      </c>
      <c r="F11864" s="6">
        <v>0</v>
      </c>
      <c r="G11864" s="6">
        <v>5</v>
      </c>
      <c r="H11864" s="6" t="s">
        <v>49366</v>
      </c>
      <c r="I11864" s="6">
        <v>528.1875</v>
      </c>
      <c r="J11864" s="2">
        <f t="shared" si="185"/>
        <v>43749.350282534717</v>
      </c>
    </row>
    <row r="11865" spans="1:10" x14ac:dyDescent="0.25">
      <c r="A11865" s="7" t="s">
        <v>49367</v>
      </c>
      <c r="B11865" s="8">
        <v>400</v>
      </c>
      <c r="C11865" s="8">
        <v>20.478950000000001</v>
      </c>
      <c r="D11865" s="8">
        <v>74</v>
      </c>
      <c r="E11865" s="8">
        <v>0</v>
      </c>
      <c r="F11865" s="8">
        <v>0</v>
      </c>
      <c r="G11865" s="8">
        <v>9</v>
      </c>
      <c r="H11865" s="8" t="s">
        <v>49368</v>
      </c>
      <c r="I11865" s="8">
        <v>528.1875</v>
      </c>
      <c r="J11865" s="3">
        <f t="shared" si="185"/>
        <v>43749.350354178234</v>
      </c>
    </row>
    <row r="11866" spans="1:10" x14ac:dyDescent="0.25">
      <c r="A11866" s="5" t="s">
        <v>49369</v>
      </c>
      <c r="B11866" s="6">
        <v>434.375</v>
      </c>
      <c r="C11866" s="6">
        <v>20.478950000000001</v>
      </c>
      <c r="D11866" s="6">
        <v>73</v>
      </c>
      <c r="E11866" s="6">
        <v>0</v>
      </c>
      <c r="F11866" s="6">
        <v>0</v>
      </c>
      <c r="G11866" s="6">
        <v>3</v>
      </c>
      <c r="H11866" s="6" t="s">
        <v>49370</v>
      </c>
      <c r="I11866" s="6">
        <v>539.4375</v>
      </c>
      <c r="J11866" s="2">
        <f t="shared" si="185"/>
        <v>43749.350437986104</v>
      </c>
    </row>
    <row r="11867" spans="1:10" x14ac:dyDescent="0.25">
      <c r="A11867" s="7" t="s">
        <v>49371</v>
      </c>
      <c r="B11867" s="8">
        <v>403.125</v>
      </c>
      <c r="C11867" s="8">
        <v>20.478950000000001</v>
      </c>
      <c r="D11867" s="8">
        <v>73</v>
      </c>
      <c r="E11867" s="8">
        <v>0</v>
      </c>
      <c r="F11867" s="8">
        <v>0</v>
      </c>
      <c r="G11867" s="8">
        <v>8</v>
      </c>
      <c r="H11867" s="8" t="s">
        <v>49372</v>
      </c>
      <c r="I11867" s="8">
        <v>529.125</v>
      </c>
      <c r="J11867" s="3">
        <f t="shared" si="185"/>
        <v>43749.350533240737</v>
      </c>
    </row>
    <row r="11868" spans="1:10" x14ac:dyDescent="0.25">
      <c r="A11868" s="5" t="s">
        <v>49373</v>
      </c>
      <c r="B11868" s="6">
        <v>418.75</v>
      </c>
      <c r="C11868" s="6">
        <v>20.478950000000001</v>
      </c>
      <c r="D11868" s="6">
        <v>72</v>
      </c>
      <c r="E11868" s="6">
        <v>0</v>
      </c>
      <c r="F11868" s="6">
        <v>0</v>
      </c>
      <c r="G11868" s="6">
        <v>12</v>
      </c>
      <c r="H11868" s="6" t="s">
        <v>49374</v>
      </c>
      <c r="I11868" s="6">
        <v>534.75</v>
      </c>
      <c r="J11868" s="2">
        <f t="shared" si="185"/>
        <v>43749.350616701391</v>
      </c>
    </row>
    <row r="11869" spans="1:10" x14ac:dyDescent="0.25">
      <c r="A11869" s="7" t="s">
        <v>49375</v>
      </c>
      <c r="B11869" s="8">
        <v>403.125</v>
      </c>
      <c r="C11869" s="8">
        <v>20.478950000000001</v>
      </c>
      <c r="D11869" s="8">
        <v>72</v>
      </c>
      <c r="E11869" s="8">
        <v>0</v>
      </c>
      <c r="F11869" s="8">
        <v>0</v>
      </c>
      <c r="G11869" s="8">
        <v>13</v>
      </c>
      <c r="H11869" s="8" t="s">
        <v>49376</v>
      </c>
      <c r="I11869" s="8">
        <v>529.125</v>
      </c>
      <c r="J11869" s="3">
        <f t="shared" si="185"/>
        <v>43749.350688229162</v>
      </c>
    </row>
    <row r="11870" spans="1:10" x14ac:dyDescent="0.25">
      <c r="A11870" s="5" t="s">
        <v>49377</v>
      </c>
      <c r="B11870" s="6">
        <v>403.125</v>
      </c>
      <c r="C11870" s="6">
        <v>20.478950000000001</v>
      </c>
      <c r="D11870" s="6">
        <v>74</v>
      </c>
      <c r="E11870" s="6">
        <v>0</v>
      </c>
      <c r="F11870" s="6">
        <v>0</v>
      </c>
      <c r="G11870" s="6">
        <v>9</v>
      </c>
      <c r="H11870" s="6" t="s">
        <v>49378</v>
      </c>
      <c r="I11870" s="6">
        <v>529.125</v>
      </c>
      <c r="J11870" s="2">
        <f t="shared" si="185"/>
        <v>43749.350771446756</v>
      </c>
    </row>
    <row r="11871" spans="1:10" x14ac:dyDescent="0.25">
      <c r="A11871" s="7" t="s">
        <v>49379</v>
      </c>
      <c r="B11871" s="8">
        <v>403.125</v>
      </c>
      <c r="C11871" s="8">
        <v>20.478950000000001</v>
      </c>
      <c r="D11871" s="8">
        <v>74</v>
      </c>
      <c r="E11871" s="8">
        <v>0</v>
      </c>
      <c r="F11871" s="8">
        <v>0</v>
      </c>
      <c r="G11871" s="8">
        <v>9</v>
      </c>
      <c r="H11871" s="8" t="s">
        <v>49380</v>
      </c>
      <c r="I11871" s="8">
        <v>529.125</v>
      </c>
      <c r="J11871" s="3">
        <f t="shared" si="185"/>
        <v>43749.350842962966</v>
      </c>
    </row>
    <row r="11872" spans="1:10" x14ac:dyDescent="0.25">
      <c r="A11872" s="5" t="s">
        <v>49381</v>
      </c>
      <c r="B11872" s="6">
        <v>403.125</v>
      </c>
      <c r="C11872" s="6">
        <v>20.478950000000001</v>
      </c>
      <c r="D11872" s="6">
        <v>74</v>
      </c>
      <c r="E11872" s="6">
        <v>0</v>
      </c>
      <c r="F11872" s="6">
        <v>0</v>
      </c>
      <c r="G11872" s="6">
        <v>3</v>
      </c>
      <c r="H11872" s="6" t="s">
        <v>49382</v>
      </c>
      <c r="I11872" s="6">
        <v>529.125</v>
      </c>
      <c r="J11872" s="2">
        <f t="shared" si="185"/>
        <v>43749.350926874999</v>
      </c>
    </row>
    <row r="11873" spans="1:10" x14ac:dyDescent="0.25">
      <c r="A11873" s="7" t="s">
        <v>49383</v>
      </c>
      <c r="B11873" s="8">
        <v>403.125</v>
      </c>
      <c r="C11873" s="8">
        <v>20.426300000000001</v>
      </c>
      <c r="D11873" s="8">
        <v>73</v>
      </c>
      <c r="E11873" s="8">
        <v>0</v>
      </c>
      <c r="F11873" s="8">
        <v>0</v>
      </c>
      <c r="G11873" s="8">
        <v>2</v>
      </c>
      <c r="H11873" s="8" t="s">
        <v>49384</v>
      </c>
      <c r="I11873" s="8">
        <v>529.125</v>
      </c>
      <c r="J11873" s="3">
        <f t="shared" si="185"/>
        <v>43749.351010324077</v>
      </c>
    </row>
    <row r="11874" spans="1:10" x14ac:dyDescent="0.25">
      <c r="A11874" s="5" t="s">
        <v>49385</v>
      </c>
      <c r="B11874" s="6">
        <v>400</v>
      </c>
      <c r="C11874" s="6">
        <v>20.478950000000001</v>
      </c>
      <c r="D11874" s="6">
        <v>73</v>
      </c>
      <c r="E11874" s="6">
        <v>0</v>
      </c>
      <c r="F11874" s="6">
        <v>0</v>
      </c>
      <c r="G11874" s="6">
        <v>0</v>
      </c>
      <c r="H11874" s="6" t="s">
        <v>49386</v>
      </c>
      <c r="I11874" s="6">
        <v>528.9375</v>
      </c>
      <c r="J11874" s="2">
        <f t="shared" si="185"/>
        <v>43749.351093553239</v>
      </c>
    </row>
    <row r="11875" spans="1:10" x14ac:dyDescent="0.25">
      <c r="A11875" s="7" t="s">
        <v>49387</v>
      </c>
      <c r="B11875" s="8">
        <v>403.125</v>
      </c>
      <c r="C11875" s="8">
        <v>20.478950000000001</v>
      </c>
      <c r="D11875" s="8">
        <v>73</v>
      </c>
      <c r="E11875" s="8">
        <v>0</v>
      </c>
      <c r="F11875" s="8">
        <v>0</v>
      </c>
      <c r="G11875" s="8">
        <v>0</v>
      </c>
      <c r="H11875" s="8" t="s">
        <v>49388</v>
      </c>
      <c r="I11875" s="8">
        <v>529.125</v>
      </c>
      <c r="J11875" s="3">
        <f t="shared" si="185"/>
        <v>43749.35116518518</v>
      </c>
    </row>
    <row r="11876" spans="1:10" x14ac:dyDescent="0.25">
      <c r="A11876" s="5" t="s">
        <v>49389</v>
      </c>
      <c r="B11876" s="6">
        <v>428.125</v>
      </c>
      <c r="C11876" s="6">
        <v>20.478950000000001</v>
      </c>
      <c r="D11876" s="6">
        <v>74</v>
      </c>
      <c r="E11876" s="6">
        <v>0</v>
      </c>
      <c r="F11876" s="6">
        <v>0</v>
      </c>
      <c r="G11876" s="6">
        <v>9</v>
      </c>
      <c r="H11876" s="6" t="s">
        <v>49390</v>
      </c>
      <c r="I11876" s="6">
        <v>537.75</v>
      </c>
      <c r="J11876" s="2">
        <f t="shared" si="185"/>
        <v>43749.351248761574</v>
      </c>
    </row>
    <row r="11877" spans="1:10" x14ac:dyDescent="0.25">
      <c r="A11877" s="7" t="s">
        <v>49391</v>
      </c>
      <c r="B11877" s="8">
        <v>400</v>
      </c>
      <c r="C11877" s="8">
        <v>20.478950000000001</v>
      </c>
      <c r="D11877" s="8">
        <v>74</v>
      </c>
      <c r="E11877" s="8">
        <v>0</v>
      </c>
      <c r="F11877" s="8">
        <v>0</v>
      </c>
      <c r="G11877" s="8">
        <v>8</v>
      </c>
      <c r="H11877" s="8" t="s">
        <v>49392</v>
      </c>
      <c r="I11877" s="8">
        <v>528.1875</v>
      </c>
      <c r="J11877" s="3">
        <f t="shared" si="185"/>
        <v>43749.351332199069</v>
      </c>
    </row>
    <row r="11878" spans="1:10" x14ac:dyDescent="0.25">
      <c r="A11878" s="5" t="s">
        <v>49393</v>
      </c>
      <c r="B11878" s="6">
        <v>400</v>
      </c>
      <c r="C11878" s="6">
        <v>20.478950000000001</v>
      </c>
      <c r="D11878" s="6">
        <v>75</v>
      </c>
      <c r="E11878" s="6">
        <v>0</v>
      </c>
      <c r="F11878" s="6">
        <v>0</v>
      </c>
      <c r="G11878" s="6">
        <v>9</v>
      </c>
      <c r="H11878" s="6" t="s">
        <v>49394</v>
      </c>
      <c r="I11878" s="6">
        <v>528.1875</v>
      </c>
      <c r="J11878" s="2">
        <f t="shared" si="185"/>
        <v>43749.351415763886</v>
      </c>
    </row>
    <row r="11879" spans="1:10" x14ac:dyDescent="0.25">
      <c r="A11879" s="7" t="s">
        <v>49395</v>
      </c>
      <c r="B11879" s="8">
        <v>400</v>
      </c>
      <c r="C11879" s="8">
        <v>20.478950000000001</v>
      </c>
      <c r="D11879" s="8">
        <v>73</v>
      </c>
      <c r="E11879" s="8">
        <v>0</v>
      </c>
      <c r="F11879" s="8">
        <v>0</v>
      </c>
      <c r="G11879" s="8">
        <v>3</v>
      </c>
      <c r="H11879" s="8" t="s">
        <v>49396</v>
      </c>
      <c r="I11879" s="8">
        <v>528.375</v>
      </c>
      <c r="J11879" s="3">
        <f t="shared" si="185"/>
        <v>43749.35149922454</v>
      </c>
    </row>
    <row r="11880" spans="1:10" x14ac:dyDescent="0.25">
      <c r="A11880" s="5" t="s">
        <v>49397</v>
      </c>
      <c r="B11880" s="6">
        <v>400</v>
      </c>
      <c r="C11880" s="6">
        <v>20.478950000000001</v>
      </c>
      <c r="D11880" s="6">
        <v>73</v>
      </c>
      <c r="E11880" s="6">
        <v>0</v>
      </c>
      <c r="F11880" s="6">
        <v>0</v>
      </c>
      <c r="G11880" s="6">
        <v>1</v>
      </c>
      <c r="H11880" s="6" t="s">
        <v>49398</v>
      </c>
      <c r="I11880" s="6">
        <v>528.1875</v>
      </c>
      <c r="J11880" s="2">
        <f t="shared" si="185"/>
        <v>43749.351582465279</v>
      </c>
    </row>
    <row r="11881" spans="1:10" x14ac:dyDescent="0.25">
      <c r="A11881" s="7" t="s">
        <v>49399</v>
      </c>
      <c r="B11881" s="8">
        <v>415.625</v>
      </c>
      <c r="C11881" s="8">
        <v>20.478950000000001</v>
      </c>
      <c r="D11881" s="8">
        <v>73</v>
      </c>
      <c r="E11881" s="8">
        <v>0</v>
      </c>
      <c r="F11881" s="8">
        <v>0</v>
      </c>
      <c r="G11881" s="8">
        <v>17</v>
      </c>
      <c r="H11881" s="8" t="s">
        <v>49400</v>
      </c>
      <c r="I11881" s="8">
        <v>533.8125</v>
      </c>
      <c r="J11881" s="3">
        <f t="shared" si="185"/>
        <v>43749.351654166669</v>
      </c>
    </row>
    <row r="11882" spans="1:10" x14ac:dyDescent="0.25">
      <c r="A11882" s="5" t="s">
        <v>49401</v>
      </c>
      <c r="B11882" s="6">
        <v>400</v>
      </c>
      <c r="C11882" s="6">
        <v>20.478950000000001</v>
      </c>
      <c r="D11882" s="6">
        <v>72</v>
      </c>
      <c r="E11882" s="6">
        <v>0</v>
      </c>
      <c r="F11882" s="6">
        <v>0</v>
      </c>
      <c r="G11882" s="6">
        <v>5</v>
      </c>
      <c r="H11882" s="6" t="s">
        <v>49402</v>
      </c>
      <c r="I11882" s="6">
        <v>528.375</v>
      </c>
      <c r="J11882" s="2">
        <f t="shared" si="185"/>
        <v>43749.35173775463</v>
      </c>
    </row>
    <row r="11883" spans="1:10" x14ac:dyDescent="0.25">
      <c r="A11883" s="7" t="s">
        <v>49403</v>
      </c>
      <c r="B11883" s="8">
        <v>400</v>
      </c>
      <c r="C11883" s="8">
        <v>20.478950000000001</v>
      </c>
      <c r="D11883" s="8">
        <v>72</v>
      </c>
      <c r="E11883" s="8">
        <v>0</v>
      </c>
      <c r="F11883" s="8">
        <v>0</v>
      </c>
      <c r="G11883" s="8">
        <v>9</v>
      </c>
      <c r="H11883" s="8" t="s">
        <v>49404</v>
      </c>
      <c r="I11883" s="8">
        <v>528.375</v>
      </c>
      <c r="J11883" s="3">
        <f t="shared" si="185"/>
        <v>43749.351821215278</v>
      </c>
    </row>
    <row r="11884" spans="1:10" x14ac:dyDescent="0.25">
      <c r="A11884" s="5" t="s">
        <v>49405</v>
      </c>
      <c r="B11884" s="6">
        <v>400</v>
      </c>
      <c r="C11884" s="6">
        <v>20.478950000000001</v>
      </c>
      <c r="D11884" s="6">
        <v>72</v>
      </c>
      <c r="E11884" s="6">
        <v>0</v>
      </c>
      <c r="F11884" s="6">
        <v>0</v>
      </c>
      <c r="G11884" s="6">
        <v>13</v>
      </c>
      <c r="H11884" s="6" t="s">
        <v>49406</v>
      </c>
      <c r="I11884" s="6">
        <v>528.1875</v>
      </c>
      <c r="J11884" s="2">
        <f t="shared" si="185"/>
        <v>43749.351904675925</v>
      </c>
    </row>
    <row r="11885" spans="1:10" x14ac:dyDescent="0.25">
      <c r="A11885" s="7" t="s">
        <v>49407</v>
      </c>
      <c r="B11885" s="8">
        <v>400</v>
      </c>
      <c r="C11885" s="8">
        <v>20.426300000000001</v>
      </c>
      <c r="D11885" s="8">
        <v>72</v>
      </c>
      <c r="E11885" s="8">
        <v>0</v>
      </c>
      <c r="F11885" s="8">
        <v>0</v>
      </c>
      <c r="G11885" s="8">
        <v>17</v>
      </c>
      <c r="H11885" s="8" t="s">
        <v>49408</v>
      </c>
      <c r="I11885" s="8">
        <v>528.1875</v>
      </c>
      <c r="J11885" s="3">
        <f t="shared" si="185"/>
        <v>43749.35198821759</v>
      </c>
    </row>
    <row r="11886" spans="1:10" x14ac:dyDescent="0.25">
      <c r="A11886" s="5" t="s">
        <v>49409</v>
      </c>
      <c r="B11886" s="6">
        <v>415.625</v>
      </c>
      <c r="C11886" s="6">
        <v>20.478950000000001</v>
      </c>
      <c r="D11886" s="6">
        <v>71</v>
      </c>
      <c r="E11886" s="6">
        <v>0</v>
      </c>
      <c r="F11886" s="6">
        <v>0</v>
      </c>
      <c r="G11886" s="6">
        <v>7</v>
      </c>
      <c r="H11886" s="6" t="s">
        <v>49410</v>
      </c>
      <c r="I11886" s="6">
        <v>533.8125</v>
      </c>
      <c r="J11886" s="2">
        <f t="shared" si="185"/>
        <v>43749.352071319438</v>
      </c>
    </row>
    <row r="11887" spans="1:10" x14ac:dyDescent="0.25">
      <c r="A11887" s="7" t="s">
        <v>49411</v>
      </c>
      <c r="B11887" s="8">
        <v>400</v>
      </c>
      <c r="C11887" s="8">
        <v>20.478950000000001</v>
      </c>
      <c r="D11887" s="8">
        <v>71</v>
      </c>
      <c r="E11887" s="8">
        <v>0</v>
      </c>
      <c r="F11887" s="8">
        <v>0</v>
      </c>
      <c r="G11887" s="8">
        <v>4</v>
      </c>
      <c r="H11887" s="8" t="s">
        <v>49412</v>
      </c>
      <c r="I11887" s="8">
        <v>528.1875</v>
      </c>
      <c r="J11887" s="3">
        <f t="shared" si="185"/>
        <v>43749.352155138891</v>
      </c>
    </row>
    <row r="11888" spans="1:10" x14ac:dyDescent="0.25">
      <c r="A11888" s="5" t="s">
        <v>49413</v>
      </c>
      <c r="B11888" s="6">
        <v>400</v>
      </c>
      <c r="C11888" s="6">
        <v>20.426300000000001</v>
      </c>
      <c r="D11888" s="6">
        <v>70</v>
      </c>
      <c r="E11888" s="6">
        <v>0</v>
      </c>
      <c r="F11888" s="6">
        <v>0</v>
      </c>
      <c r="G11888" s="6">
        <v>8</v>
      </c>
      <c r="H11888" s="6" t="s">
        <v>49414</v>
      </c>
      <c r="I11888" s="6">
        <v>528.375</v>
      </c>
      <c r="J11888" s="2">
        <f t="shared" si="185"/>
        <v>43749.352238333326</v>
      </c>
    </row>
    <row r="11889" spans="1:10" x14ac:dyDescent="0.25">
      <c r="A11889" s="7" t="s">
        <v>49415</v>
      </c>
      <c r="B11889" s="8">
        <v>403.125</v>
      </c>
      <c r="C11889" s="8">
        <v>20.478950000000001</v>
      </c>
      <c r="D11889" s="8">
        <v>71</v>
      </c>
      <c r="E11889" s="8">
        <v>0</v>
      </c>
      <c r="F11889" s="8">
        <v>0</v>
      </c>
      <c r="G11889" s="8">
        <v>2</v>
      </c>
      <c r="H11889" s="8" t="s">
        <v>49416</v>
      </c>
      <c r="I11889" s="8">
        <v>529.125</v>
      </c>
      <c r="J11889" s="3">
        <f t="shared" si="185"/>
        <v>43749.352310104165</v>
      </c>
    </row>
    <row r="11890" spans="1:10" x14ac:dyDescent="0.25">
      <c r="A11890" s="5" t="s">
        <v>49417</v>
      </c>
      <c r="B11890" s="6">
        <v>403.125</v>
      </c>
      <c r="C11890" s="6">
        <v>20.478950000000001</v>
      </c>
      <c r="D11890" s="6">
        <v>71</v>
      </c>
      <c r="E11890" s="6">
        <v>0</v>
      </c>
      <c r="F11890" s="6">
        <v>0</v>
      </c>
      <c r="G11890" s="6">
        <v>3</v>
      </c>
      <c r="H11890" s="6" t="s">
        <v>49418</v>
      </c>
      <c r="I11890" s="6">
        <v>529.125</v>
      </c>
      <c r="J11890" s="2">
        <f t="shared" si="185"/>
        <v>43749.352393541667</v>
      </c>
    </row>
    <row r="11891" spans="1:10" x14ac:dyDescent="0.25">
      <c r="A11891" s="7" t="s">
        <v>49419</v>
      </c>
      <c r="B11891" s="8">
        <v>421.875</v>
      </c>
      <c r="C11891" s="8">
        <v>20.478950000000001</v>
      </c>
      <c r="D11891" s="8">
        <v>72</v>
      </c>
      <c r="E11891" s="8">
        <v>0</v>
      </c>
      <c r="F11891" s="8">
        <v>0</v>
      </c>
      <c r="G11891" s="8">
        <v>8</v>
      </c>
      <c r="H11891" s="8" t="s">
        <v>49420</v>
      </c>
      <c r="I11891" s="8">
        <v>535.5</v>
      </c>
      <c r="J11891" s="3">
        <f t="shared" si="185"/>
        <v>43749.352477002314</v>
      </c>
    </row>
    <row r="11892" spans="1:10" x14ac:dyDescent="0.25">
      <c r="A11892" s="5" t="s">
        <v>49421</v>
      </c>
      <c r="B11892" s="6">
        <v>396.875</v>
      </c>
      <c r="C11892" s="6">
        <v>20.478950000000001</v>
      </c>
      <c r="D11892" s="6">
        <v>71</v>
      </c>
      <c r="E11892" s="6">
        <v>0</v>
      </c>
      <c r="F11892" s="6">
        <v>0</v>
      </c>
      <c r="G11892" s="6">
        <v>10</v>
      </c>
      <c r="H11892" s="6" t="s">
        <v>49422</v>
      </c>
      <c r="I11892" s="6">
        <v>527.4375</v>
      </c>
      <c r="J11892" s="2">
        <f t="shared" si="185"/>
        <v>43749.352562129628</v>
      </c>
    </row>
    <row r="11893" spans="1:10" x14ac:dyDescent="0.25">
      <c r="A11893" s="7" t="s">
        <v>49423</v>
      </c>
      <c r="B11893" s="8">
        <v>396.875</v>
      </c>
      <c r="C11893" s="8">
        <v>20.478950000000001</v>
      </c>
      <c r="D11893" s="8">
        <v>71</v>
      </c>
      <c r="E11893" s="8">
        <v>0</v>
      </c>
      <c r="F11893" s="8">
        <v>0</v>
      </c>
      <c r="G11893" s="8">
        <v>1</v>
      </c>
      <c r="H11893" s="8" t="s">
        <v>49424</v>
      </c>
      <c r="I11893" s="8">
        <v>527.4375</v>
      </c>
      <c r="J11893" s="3">
        <f t="shared" si="185"/>
        <v>43749.35264399305</v>
      </c>
    </row>
    <row r="11894" spans="1:10" x14ac:dyDescent="0.25">
      <c r="A11894" s="5" t="s">
        <v>49425</v>
      </c>
      <c r="B11894" s="6">
        <v>396.875</v>
      </c>
      <c r="C11894" s="6">
        <v>20.478950000000001</v>
      </c>
      <c r="D11894" s="6">
        <v>71</v>
      </c>
      <c r="E11894" s="6">
        <v>0</v>
      </c>
      <c r="F11894" s="6">
        <v>0</v>
      </c>
      <c r="G11894" s="6">
        <v>1</v>
      </c>
      <c r="H11894" s="6" t="s">
        <v>49426</v>
      </c>
      <c r="I11894" s="6">
        <v>527.4375</v>
      </c>
      <c r="J11894" s="2">
        <f t="shared" si="185"/>
        <v>43749.352715219902</v>
      </c>
    </row>
    <row r="11895" spans="1:10" x14ac:dyDescent="0.25">
      <c r="A11895" s="7" t="s">
        <v>49427</v>
      </c>
      <c r="B11895" s="8">
        <v>396.875</v>
      </c>
      <c r="C11895" s="8">
        <v>20.478950000000001</v>
      </c>
      <c r="D11895" s="8">
        <v>73</v>
      </c>
      <c r="E11895" s="8">
        <v>0</v>
      </c>
      <c r="F11895" s="8">
        <v>0</v>
      </c>
      <c r="G11895" s="8">
        <v>1</v>
      </c>
      <c r="H11895" s="8" t="s">
        <v>49428</v>
      </c>
      <c r="I11895" s="8">
        <v>527.4375</v>
      </c>
      <c r="J11895" s="3">
        <f t="shared" si="185"/>
        <v>43749.352799004628</v>
      </c>
    </row>
    <row r="11896" spans="1:10" x14ac:dyDescent="0.25">
      <c r="A11896" s="5" t="s">
        <v>49429</v>
      </c>
      <c r="B11896" s="6">
        <v>431.25</v>
      </c>
      <c r="C11896" s="6">
        <v>20.478950000000001</v>
      </c>
      <c r="D11896" s="6">
        <v>72</v>
      </c>
      <c r="E11896" s="6">
        <v>0</v>
      </c>
      <c r="F11896" s="6">
        <v>0</v>
      </c>
      <c r="G11896" s="6">
        <v>2</v>
      </c>
      <c r="H11896" s="6" t="s">
        <v>49430</v>
      </c>
      <c r="I11896" s="6">
        <v>538.3125</v>
      </c>
      <c r="J11896" s="2">
        <f t="shared" si="185"/>
        <v>43749.352882418978</v>
      </c>
    </row>
    <row r="11897" spans="1:10" x14ac:dyDescent="0.25">
      <c r="A11897" s="7" t="s">
        <v>49431</v>
      </c>
      <c r="B11897" s="8">
        <v>400</v>
      </c>
      <c r="C11897" s="8">
        <v>20.478950000000001</v>
      </c>
      <c r="D11897" s="8">
        <v>72</v>
      </c>
      <c r="E11897" s="8">
        <v>0</v>
      </c>
      <c r="F11897" s="8">
        <v>0</v>
      </c>
      <c r="G11897" s="8">
        <v>9</v>
      </c>
      <c r="H11897" s="8" t="s">
        <v>49432</v>
      </c>
      <c r="I11897" s="8">
        <v>528.1875</v>
      </c>
      <c r="J11897" s="3">
        <f t="shared" si="185"/>
        <v>43749.352965682869</v>
      </c>
    </row>
    <row r="11898" spans="1:10" x14ac:dyDescent="0.25">
      <c r="A11898" s="5" t="s">
        <v>49433</v>
      </c>
      <c r="B11898" s="6">
        <v>396.875</v>
      </c>
      <c r="C11898" s="6">
        <v>20.478950000000001</v>
      </c>
      <c r="D11898" s="6">
        <v>71</v>
      </c>
      <c r="E11898" s="6">
        <v>0</v>
      </c>
      <c r="F11898" s="6">
        <v>0</v>
      </c>
      <c r="G11898" s="6">
        <v>4</v>
      </c>
      <c r="H11898" s="6" t="s">
        <v>49434</v>
      </c>
      <c r="I11898" s="6">
        <v>527.4375</v>
      </c>
      <c r="J11898" s="2">
        <f t="shared" si="185"/>
        <v>43749.353049120364</v>
      </c>
    </row>
    <row r="11899" spans="1:10" x14ac:dyDescent="0.25">
      <c r="A11899" s="7" t="s">
        <v>49435</v>
      </c>
      <c r="B11899" s="8">
        <v>396.875</v>
      </c>
      <c r="C11899" s="8">
        <v>20.478950000000001</v>
      </c>
      <c r="D11899" s="8">
        <v>71</v>
      </c>
      <c r="E11899" s="8">
        <v>0</v>
      </c>
      <c r="F11899" s="8">
        <v>0</v>
      </c>
      <c r="G11899" s="8">
        <v>5</v>
      </c>
      <c r="H11899" s="8" t="s">
        <v>49436</v>
      </c>
      <c r="I11899" s="8">
        <v>527.4375</v>
      </c>
      <c r="J11899" s="3">
        <f t="shared" si="185"/>
        <v>43749.353120752312</v>
      </c>
    </row>
    <row r="11900" spans="1:10" x14ac:dyDescent="0.25">
      <c r="A11900" s="5" t="s">
        <v>49437</v>
      </c>
      <c r="B11900" s="6">
        <v>400</v>
      </c>
      <c r="C11900" s="6">
        <v>20.478950000000001</v>
      </c>
      <c r="D11900" s="6">
        <v>71</v>
      </c>
      <c r="E11900" s="6">
        <v>0</v>
      </c>
      <c r="F11900" s="6">
        <v>0</v>
      </c>
      <c r="G11900" s="6">
        <v>2</v>
      </c>
      <c r="H11900" s="6" t="s">
        <v>49438</v>
      </c>
      <c r="I11900" s="6">
        <v>528.1875</v>
      </c>
      <c r="J11900" s="2">
        <f t="shared" si="185"/>
        <v>43749.353216111107</v>
      </c>
    </row>
    <row r="11901" spans="1:10" x14ac:dyDescent="0.25">
      <c r="A11901" s="7" t="s">
        <v>49439</v>
      </c>
      <c r="B11901" s="8">
        <v>400</v>
      </c>
      <c r="C11901" s="8">
        <v>20.478950000000001</v>
      </c>
      <c r="D11901" s="8">
        <v>72</v>
      </c>
      <c r="E11901" s="8">
        <v>0</v>
      </c>
      <c r="F11901" s="8">
        <v>0</v>
      </c>
      <c r="G11901" s="8">
        <v>0</v>
      </c>
      <c r="H11901" s="8" t="s">
        <v>49440</v>
      </c>
      <c r="I11901" s="8">
        <v>528.375</v>
      </c>
      <c r="J11901" s="3">
        <f t="shared" si="185"/>
        <v>43749.353287870363</v>
      </c>
    </row>
    <row r="11902" spans="1:10" x14ac:dyDescent="0.25">
      <c r="A11902" s="5" t="s">
        <v>49441</v>
      </c>
      <c r="B11902" s="6">
        <v>400</v>
      </c>
      <c r="C11902" s="6">
        <v>20.478950000000001</v>
      </c>
      <c r="D11902" s="6">
        <v>71</v>
      </c>
      <c r="E11902" s="6">
        <v>0</v>
      </c>
      <c r="F11902" s="6">
        <v>0</v>
      </c>
      <c r="G11902" s="6">
        <v>0</v>
      </c>
      <c r="H11902" s="6" t="s">
        <v>49442</v>
      </c>
      <c r="I11902" s="6">
        <v>528.9375</v>
      </c>
      <c r="J11902" s="2">
        <f t="shared" si="185"/>
        <v>43749.353371319441</v>
      </c>
    </row>
    <row r="11903" spans="1:10" x14ac:dyDescent="0.25">
      <c r="A11903" s="7" t="s">
        <v>49443</v>
      </c>
      <c r="B11903" s="8">
        <v>403.125</v>
      </c>
      <c r="C11903" s="8">
        <v>20.478950000000001</v>
      </c>
      <c r="D11903" s="8">
        <v>73</v>
      </c>
      <c r="E11903" s="8">
        <v>0</v>
      </c>
      <c r="F11903" s="8">
        <v>0</v>
      </c>
      <c r="G11903" s="8">
        <v>11</v>
      </c>
      <c r="H11903" s="8" t="s">
        <v>49444</v>
      </c>
      <c r="I11903" s="8">
        <v>529.125</v>
      </c>
      <c r="J11903" s="3">
        <f t="shared" si="185"/>
        <v>43749.353443206019</v>
      </c>
    </row>
    <row r="11904" spans="1:10" x14ac:dyDescent="0.25">
      <c r="A11904" s="5" t="s">
        <v>49445</v>
      </c>
      <c r="B11904" s="6">
        <v>400</v>
      </c>
      <c r="C11904" s="6">
        <v>20.478950000000001</v>
      </c>
      <c r="D11904" s="6">
        <v>76</v>
      </c>
      <c r="E11904" s="6">
        <v>0</v>
      </c>
      <c r="F11904" s="6">
        <v>0</v>
      </c>
      <c r="G11904" s="6">
        <v>18</v>
      </c>
      <c r="H11904" s="6" t="s">
        <v>49446</v>
      </c>
      <c r="I11904" s="6">
        <v>528.375</v>
      </c>
      <c r="J11904" s="2">
        <f t="shared" si="185"/>
        <v>43749.353526412036</v>
      </c>
    </row>
    <row r="11905" spans="1:10" x14ac:dyDescent="0.25">
      <c r="A11905" s="7" t="s">
        <v>49447</v>
      </c>
      <c r="B11905" s="8">
        <v>400</v>
      </c>
      <c r="C11905" s="8">
        <v>20.478950000000001</v>
      </c>
      <c r="D11905" s="8">
        <v>75</v>
      </c>
      <c r="E11905" s="8">
        <v>0</v>
      </c>
      <c r="F11905" s="8">
        <v>0</v>
      </c>
      <c r="G11905" s="8">
        <v>12</v>
      </c>
      <c r="H11905" s="8" t="s">
        <v>49448</v>
      </c>
      <c r="I11905" s="8">
        <v>528.375</v>
      </c>
      <c r="J11905" s="3">
        <f t="shared" si="185"/>
        <v>43749.353598055553</v>
      </c>
    </row>
    <row r="11906" spans="1:10" x14ac:dyDescent="0.25">
      <c r="A11906" s="5" t="s">
        <v>49449</v>
      </c>
      <c r="B11906" s="6">
        <v>400</v>
      </c>
      <c r="C11906" s="6">
        <v>20.478950000000001</v>
      </c>
      <c r="D11906" s="6">
        <v>75</v>
      </c>
      <c r="E11906" s="6">
        <v>0</v>
      </c>
      <c r="F11906" s="6">
        <v>0</v>
      </c>
      <c r="G11906" s="6">
        <v>0</v>
      </c>
      <c r="H11906" s="6" t="s">
        <v>49450</v>
      </c>
      <c r="I11906" s="6">
        <v>528.375</v>
      </c>
      <c r="J11906" s="2">
        <f t="shared" ref="J11906:J11969" si="186">(H11906/86400000)+25569+(7/24)</f>
        <v>43749.353669571756</v>
      </c>
    </row>
    <row r="11907" spans="1:10" x14ac:dyDescent="0.25">
      <c r="A11907" s="7" t="s">
        <v>49451</v>
      </c>
      <c r="B11907" s="8">
        <v>396.875</v>
      </c>
      <c r="C11907" s="8">
        <v>20.478950000000001</v>
      </c>
      <c r="D11907" s="8">
        <v>74</v>
      </c>
      <c r="E11907" s="8">
        <v>0</v>
      </c>
      <c r="F11907" s="8">
        <v>0</v>
      </c>
      <c r="G11907" s="8">
        <v>0</v>
      </c>
      <c r="H11907" s="8" t="s">
        <v>49452</v>
      </c>
      <c r="I11907" s="8">
        <v>527.4375</v>
      </c>
      <c r="J11907" s="3">
        <f t="shared" si="186"/>
        <v>43749.353752800926</v>
      </c>
    </row>
    <row r="11908" spans="1:10" x14ac:dyDescent="0.25">
      <c r="A11908" s="5" t="s">
        <v>49453</v>
      </c>
      <c r="B11908" s="6">
        <v>396.875</v>
      </c>
      <c r="C11908" s="6">
        <v>20.478950000000001</v>
      </c>
      <c r="D11908" s="6">
        <v>74</v>
      </c>
      <c r="E11908" s="6">
        <v>0</v>
      </c>
      <c r="F11908" s="6">
        <v>0</v>
      </c>
      <c r="G11908" s="6">
        <v>9</v>
      </c>
      <c r="H11908" s="6" t="s">
        <v>49454</v>
      </c>
      <c r="I11908" s="6">
        <v>527.4375</v>
      </c>
      <c r="J11908" s="2">
        <f t="shared" si="186"/>
        <v>43749.353824432867</v>
      </c>
    </row>
    <row r="11909" spans="1:10" x14ac:dyDescent="0.25">
      <c r="A11909" s="7" t="s">
        <v>49455</v>
      </c>
      <c r="B11909" s="8">
        <v>396.875</v>
      </c>
      <c r="C11909" s="8">
        <v>20.478950000000001</v>
      </c>
      <c r="D11909" s="8">
        <v>71</v>
      </c>
      <c r="E11909" s="8">
        <v>0</v>
      </c>
      <c r="F11909" s="8">
        <v>0</v>
      </c>
      <c r="G11909" s="8">
        <v>4</v>
      </c>
      <c r="H11909" s="8" t="s">
        <v>49456</v>
      </c>
      <c r="I11909" s="8">
        <v>527.4375</v>
      </c>
      <c r="J11909" s="3">
        <f t="shared" si="186"/>
        <v>43749.353908124998</v>
      </c>
    </row>
    <row r="11910" spans="1:10" x14ac:dyDescent="0.25">
      <c r="A11910" s="5" t="s">
        <v>49457</v>
      </c>
      <c r="B11910" s="6">
        <v>418.75</v>
      </c>
      <c r="C11910" s="6">
        <v>20.478950000000001</v>
      </c>
      <c r="D11910" s="6">
        <v>71</v>
      </c>
      <c r="E11910" s="6">
        <v>0</v>
      </c>
      <c r="F11910" s="6">
        <v>0</v>
      </c>
      <c r="G11910" s="6">
        <v>11</v>
      </c>
      <c r="H11910" s="6" t="s">
        <v>49458</v>
      </c>
      <c r="I11910" s="6">
        <v>534</v>
      </c>
      <c r="J11910" s="2">
        <f t="shared" si="186"/>
        <v>43749.353991574077</v>
      </c>
    </row>
    <row r="11911" spans="1:10" x14ac:dyDescent="0.25">
      <c r="A11911" s="7" t="s">
        <v>49459</v>
      </c>
      <c r="B11911" s="8">
        <v>400</v>
      </c>
      <c r="C11911" s="8">
        <v>20.478950000000001</v>
      </c>
      <c r="D11911" s="8">
        <v>70</v>
      </c>
      <c r="E11911" s="8">
        <v>0</v>
      </c>
      <c r="F11911" s="8">
        <v>0</v>
      </c>
      <c r="G11911" s="8">
        <v>10</v>
      </c>
      <c r="H11911" s="8" t="s">
        <v>49460</v>
      </c>
      <c r="I11911" s="8">
        <v>528.375</v>
      </c>
      <c r="J11911" s="3">
        <f t="shared" si="186"/>
        <v>43749.354075011572</v>
      </c>
    </row>
    <row r="11912" spans="1:10" x14ac:dyDescent="0.25">
      <c r="A11912" s="5" t="s">
        <v>49461</v>
      </c>
      <c r="B11912" s="6">
        <v>400</v>
      </c>
      <c r="C11912" s="6">
        <v>20.478950000000001</v>
      </c>
      <c r="D11912" s="6">
        <v>70</v>
      </c>
      <c r="E11912" s="6">
        <v>0</v>
      </c>
      <c r="F11912" s="6">
        <v>0</v>
      </c>
      <c r="G11912" s="6">
        <v>15</v>
      </c>
      <c r="H11912" s="6" t="s">
        <v>49462</v>
      </c>
      <c r="I11912" s="6">
        <v>528.375</v>
      </c>
      <c r="J11912" s="2">
        <f t="shared" si="186"/>
        <v>43749.354158472219</v>
      </c>
    </row>
    <row r="11913" spans="1:10" x14ac:dyDescent="0.25">
      <c r="A11913" s="7" t="s">
        <v>49463</v>
      </c>
      <c r="B11913" s="8">
        <v>400</v>
      </c>
      <c r="C11913" s="8">
        <v>20.478950000000001</v>
      </c>
      <c r="D11913" s="8">
        <v>71</v>
      </c>
      <c r="E11913" s="8">
        <v>0</v>
      </c>
      <c r="F11913" s="8">
        <v>0</v>
      </c>
      <c r="G11913" s="8">
        <v>16</v>
      </c>
      <c r="H11913" s="8" t="s">
        <v>49464</v>
      </c>
      <c r="I11913" s="8">
        <v>528.375</v>
      </c>
      <c r="J11913" s="3">
        <f t="shared" si="186"/>
        <v>43749.354241701389</v>
      </c>
    </row>
    <row r="11914" spans="1:10" x14ac:dyDescent="0.25">
      <c r="A11914" s="5" t="s">
        <v>49465</v>
      </c>
      <c r="B11914" s="6">
        <v>400</v>
      </c>
      <c r="C11914" s="6">
        <v>20.478950000000001</v>
      </c>
      <c r="D11914" s="6">
        <v>71</v>
      </c>
      <c r="E11914" s="6">
        <v>0</v>
      </c>
      <c r="F11914" s="6">
        <v>0</v>
      </c>
      <c r="G11914" s="6">
        <v>4</v>
      </c>
      <c r="H11914" s="6" t="s">
        <v>49466</v>
      </c>
      <c r="I11914" s="6">
        <v>528.1875</v>
      </c>
      <c r="J11914" s="2">
        <f t="shared" si="186"/>
        <v>43749.354313449068</v>
      </c>
    </row>
    <row r="11915" spans="1:10" x14ac:dyDescent="0.25">
      <c r="A11915" s="7" t="s">
        <v>49467</v>
      </c>
      <c r="B11915" s="8">
        <v>415.625</v>
      </c>
      <c r="C11915" s="8">
        <v>20.478950000000001</v>
      </c>
      <c r="D11915" s="8">
        <v>72</v>
      </c>
      <c r="E11915" s="8">
        <v>0</v>
      </c>
      <c r="F11915" s="8">
        <v>0</v>
      </c>
      <c r="G11915" s="8">
        <v>19</v>
      </c>
      <c r="H11915" s="8" t="s">
        <v>49468</v>
      </c>
      <c r="I11915" s="8">
        <v>533.8125</v>
      </c>
      <c r="J11915" s="3">
        <f t="shared" si="186"/>
        <v>43749.354397256939</v>
      </c>
    </row>
    <row r="11916" spans="1:10" x14ac:dyDescent="0.25">
      <c r="A11916" s="5" t="s">
        <v>49469</v>
      </c>
      <c r="B11916" s="6">
        <v>403.125</v>
      </c>
      <c r="C11916" s="6">
        <v>20.478950000000001</v>
      </c>
      <c r="D11916" s="6">
        <v>72</v>
      </c>
      <c r="E11916" s="6">
        <v>0</v>
      </c>
      <c r="F11916" s="6">
        <v>0</v>
      </c>
      <c r="G11916" s="6">
        <v>8</v>
      </c>
      <c r="H11916" s="6" t="s">
        <v>49470</v>
      </c>
      <c r="I11916" s="6">
        <v>529.125</v>
      </c>
      <c r="J11916" s="2">
        <f t="shared" si="186"/>
        <v>43749.354468541664</v>
      </c>
    </row>
    <row r="11917" spans="1:10" x14ac:dyDescent="0.25">
      <c r="A11917" s="7" t="s">
        <v>49471</v>
      </c>
      <c r="B11917" s="8">
        <v>403.125</v>
      </c>
      <c r="C11917" s="8">
        <v>20.478950000000001</v>
      </c>
      <c r="D11917" s="8">
        <v>73</v>
      </c>
      <c r="E11917" s="8">
        <v>0</v>
      </c>
      <c r="F11917" s="8">
        <v>0</v>
      </c>
      <c r="G11917" s="8">
        <v>3</v>
      </c>
      <c r="H11917" s="8" t="s">
        <v>49472</v>
      </c>
      <c r="I11917" s="8">
        <v>529.125</v>
      </c>
      <c r="J11917" s="3">
        <f t="shared" si="186"/>
        <v>43749.354540185181</v>
      </c>
    </row>
    <row r="11918" spans="1:10" x14ac:dyDescent="0.25">
      <c r="A11918" s="5" t="s">
        <v>49473</v>
      </c>
      <c r="B11918" s="6">
        <v>403.125</v>
      </c>
      <c r="C11918" s="6">
        <v>20.478950000000001</v>
      </c>
      <c r="D11918" s="6">
        <v>73</v>
      </c>
      <c r="E11918" s="6">
        <v>0</v>
      </c>
      <c r="F11918" s="6">
        <v>0</v>
      </c>
      <c r="G11918" s="6">
        <v>6</v>
      </c>
      <c r="H11918" s="6" t="s">
        <v>49474</v>
      </c>
      <c r="I11918" s="6">
        <v>529.125</v>
      </c>
      <c r="J11918" s="2">
        <f t="shared" si="186"/>
        <v>43749.354623263884</v>
      </c>
    </row>
    <row r="11919" spans="1:10" x14ac:dyDescent="0.25">
      <c r="A11919" s="7" t="s">
        <v>49475</v>
      </c>
      <c r="B11919" s="8">
        <v>403.125</v>
      </c>
      <c r="C11919" s="8">
        <v>20.478950000000001</v>
      </c>
      <c r="D11919" s="8">
        <v>73</v>
      </c>
      <c r="E11919" s="8">
        <v>0</v>
      </c>
      <c r="F11919" s="8">
        <v>0</v>
      </c>
      <c r="G11919" s="8">
        <v>10</v>
      </c>
      <c r="H11919" s="8" t="s">
        <v>49476</v>
      </c>
      <c r="I11919" s="8">
        <v>529.125</v>
      </c>
      <c r="J11919" s="3">
        <f t="shared" si="186"/>
        <v>43749.354694814814</v>
      </c>
    </row>
    <row r="11920" spans="1:10" x14ac:dyDescent="0.25">
      <c r="A11920" s="5" t="s">
        <v>49477</v>
      </c>
      <c r="B11920" s="6">
        <v>403.125</v>
      </c>
      <c r="C11920" s="6">
        <v>20.478950000000001</v>
      </c>
      <c r="D11920" s="6">
        <v>72</v>
      </c>
      <c r="E11920" s="6">
        <v>0</v>
      </c>
      <c r="F11920" s="6">
        <v>0</v>
      </c>
      <c r="G11920" s="6">
        <v>4</v>
      </c>
      <c r="H11920" s="6" t="s">
        <v>49478</v>
      </c>
      <c r="I11920" s="6">
        <v>529.125</v>
      </c>
      <c r="J11920" s="2">
        <f t="shared" si="186"/>
        <v>43749.354778819441</v>
      </c>
    </row>
    <row r="11921" spans="1:10" x14ac:dyDescent="0.25">
      <c r="A11921" s="7" t="s">
        <v>49479</v>
      </c>
      <c r="B11921" s="8">
        <v>425</v>
      </c>
      <c r="C11921" s="8">
        <v>20.478950000000001</v>
      </c>
      <c r="D11921" s="8">
        <v>71</v>
      </c>
      <c r="E11921" s="8">
        <v>0</v>
      </c>
      <c r="F11921" s="8">
        <v>0</v>
      </c>
      <c r="G11921" s="8">
        <v>9</v>
      </c>
      <c r="H11921" s="8" t="s">
        <v>49480</v>
      </c>
      <c r="I11921" s="8">
        <v>536.4375</v>
      </c>
      <c r="J11921" s="3">
        <f t="shared" si="186"/>
        <v>43749.354862187502</v>
      </c>
    </row>
    <row r="11922" spans="1:10" x14ac:dyDescent="0.25">
      <c r="A11922" s="5" t="s">
        <v>49481</v>
      </c>
      <c r="B11922" s="6">
        <v>403.125</v>
      </c>
      <c r="C11922" s="6">
        <v>20.478950000000001</v>
      </c>
      <c r="D11922" s="6">
        <v>70</v>
      </c>
      <c r="E11922" s="6">
        <v>0</v>
      </c>
      <c r="F11922" s="6">
        <v>0</v>
      </c>
      <c r="G11922" s="6">
        <v>12</v>
      </c>
      <c r="H11922" s="6" t="s">
        <v>49482</v>
      </c>
      <c r="I11922" s="6">
        <v>529.125</v>
      </c>
      <c r="J11922" s="2">
        <f t="shared" si="186"/>
        <v>43749.354945370367</v>
      </c>
    </row>
    <row r="11923" spans="1:10" x14ac:dyDescent="0.25">
      <c r="A11923" s="7" t="s">
        <v>49483</v>
      </c>
      <c r="B11923" s="8">
        <v>403.125</v>
      </c>
      <c r="C11923" s="8">
        <v>20.426300000000001</v>
      </c>
      <c r="D11923" s="8">
        <v>70</v>
      </c>
      <c r="E11923" s="8">
        <v>0</v>
      </c>
      <c r="F11923" s="8">
        <v>0</v>
      </c>
      <c r="G11923" s="8">
        <v>7</v>
      </c>
      <c r="H11923" s="8" t="s">
        <v>49484</v>
      </c>
      <c r="I11923" s="8">
        <v>529.125</v>
      </c>
      <c r="J11923" s="3">
        <f t="shared" si="186"/>
        <v>43749.355017037036</v>
      </c>
    </row>
    <row r="11924" spans="1:10" x14ac:dyDescent="0.25">
      <c r="A11924" s="5" t="s">
        <v>49485</v>
      </c>
      <c r="B11924" s="6">
        <v>403.125</v>
      </c>
      <c r="C11924" s="6">
        <v>20.478950000000001</v>
      </c>
      <c r="D11924" s="6">
        <v>71</v>
      </c>
      <c r="E11924" s="6">
        <v>0</v>
      </c>
      <c r="F11924" s="6">
        <v>0</v>
      </c>
      <c r="G11924" s="6">
        <v>13</v>
      </c>
      <c r="H11924" s="6" t="s">
        <v>49486</v>
      </c>
      <c r="I11924" s="6">
        <v>529.125</v>
      </c>
      <c r="J11924" s="2">
        <f t="shared" si="186"/>
        <v>43749.355100590277</v>
      </c>
    </row>
    <row r="11925" spans="1:10" x14ac:dyDescent="0.25">
      <c r="A11925" s="7" t="s">
        <v>49487</v>
      </c>
      <c r="B11925" s="8">
        <v>403.125</v>
      </c>
      <c r="C11925" s="8">
        <v>20.478950000000001</v>
      </c>
      <c r="D11925" s="8">
        <v>71</v>
      </c>
      <c r="E11925" s="8">
        <v>0</v>
      </c>
      <c r="F11925" s="8">
        <v>0</v>
      </c>
      <c r="G11925" s="8">
        <v>16</v>
      </c>
      <c r="H11925" s="8" t="s">
        <v>49488</v>
      </c>
      <c r="I11925" s="8">
        <v>529.125</v>
      </c>
      <c r="J11925" s="3">
        <f t="shared" si="186"/>
        <v>43749.355184050924</v>
      </c>
    </row>
    <row r="11926" spans="1:10" x14ac:dyDescent="0.25">
      <c r="A11926" s="5" t="s">
        <v>49489</v>
      </c>
      <c r="B11926" s="6">
        <v>421.875</v>
      </c>
      <c r="C11926" s="6">
        <v>20.478950000000001</v>
      </c>
      <c r="D11926" s="6">
        <v>71</v>
      </c>
      <c r="E11926" s="6">
        <v>0</v>
      </c>
      <c r="F11926" s="6">
        <v>0</v>
      </c>
      <c r="G11926" s="6">
        <v>2</v>
      </c>
      <c r="H11926" s="6" t="s">
        <v>49490</v>
      </c>
      <c r="I11926" s="6">
        <v>535.3125</v>
      </c>
      <c r="J11926" s="2">
        <f t="shared" si="186"/>
        <v>43749.355267604165</v>
      </c>
    </row>
    <row r="11927" spans="1:10" x14ac:dyDescent="0.25">
      <c r="A11927" s="7" t="s">
        <v>49491</v>
      </c>
      <c r="B11927" s="8">
        <v>396.875</v>
      </c>
      <c r="C11927" s="8">
        <v>20.478950000000001</v>
      </c>
      <c r="D11927" s="8">
        <v>71</v>
      </c>
      <c r="E11927" s="8">
        <v>0</v>
      </c>
      <c r="F11927" s="8">
        <v>0</v>
      </c>
      <c r="G11927" s="8">
        <v>17</v>
      </c>
      <c r="H11927" s="8" t="s">
        <v>49492</v>
      </c>
      <c r="I11927" s="8">
        <v>527.4375</v>
      </c>
      <c r="J11927" s="3">
        <f t="shared" si="186"/>
        <v>43749.355338784721</v>
      </c>
    </row>
    <row r="11928" spans="1:10" x14ac:dyDescent="0.25">
      <c r="A11928" s="5" t="s">
        <v>49493</v>
      </c>
      <c r="B11928" s="6">
        <v>396.875</v>
      </c>
      <c r="C11928" s="6">
        <v>20.478950000000001</v>
      </c>
      <c r="D11928" s="6">
        <v>71</v>
      </c>
      <c r="E11928" s="6">
        <v>0</v>
      </c>
      <c r="F11928" s="6">
        <v>0</v>
      </c>
      <c r="G11928" s="6">
        <v>11</v>
      </c>
      <c r="H11928" s="6" t="s">
        <v>49494</v>
      </c>
      <c r="I11928" s="6">
        <v>527.4375</v>
      </c>
      <c r="J11928" s="2">
        <f t="shared" si="186"/>
        <v>43749.355410671291</v>
      </c>
    </row>
    <row r="11929" spans="1:10" x14ac:dyDescent="0.25">
      <c r="A11929" s="7" t="s">
        <v>49495</v>
      </c>
      <c r="B11929" s="8">
        <v>396.875</v>
      </c>
      <c r="C11929" s="8">
        <v>20.478950000000001</v>
      </c>
      <c r="D11929" s="8">
        <v>72</v>
      </c>
      <c r="E11929" s="8">
        <v>0</v>
      </c>
      <c r="F11929" s="8">
        <v>0</v>
      </c>
      <c r="G11929" s="8">
        <v>12</v>
      </c>
      <c r="H11929" s="8" t="s">
        <v>49496</v>
      </c>
      <c r="I11929" s="8">
        <v>527.4375</v>
      </c>
      <c r="J11929" s="3">
        <f t="shared" si="186"/>
        <v>43749.355494351847</v>
      </c>
    </row>
    <row r="11930" spans="1:10" x14ac:dyDescent="0.25">
      <c r="A11930" s="5" t="s">
        <v>49497</v>
      </c>
      <c r="B11930" s="6">
        <v>396.875</v>
      </c>
      <c r="C11930" s="6">
        <v>20.478950000000001</v>
      </c>
      <c r="D11930" s="6">
        <v>73</v>
      </c>
      <c r="E11930" s="6">
        <v>0</v>
      </c>
      <c r="F11930" s="6">
        <v>0</v>
      </c>
      <c r="G11930" s="6">
        <v>11</v>
      </c>
      <c r="H11930" s="6" t="s">
        <v>49498</v>
      </c>
      <c r="I11930" s="6">
        <v>527.4375</v>
      </c>
      <c r="J11930" s="2">
        <f t="shared" si="186"/>
        <v>43749.35556564814</v>
      </c>
    </row>
    <row r="11931" spans="1:10" x14ac:dyDescent="0.25">
      <c r="A11931" s="7" t="s">
        <v>49499</v>
      </c>
      <c r="B11931" s="8">
        <v>396.875</v>
      </c>
      <c r="C11931" s="8">
        <v>20.478950000000001</v>
      </c>
      <c r="D11931" s="8">
        <v>73</v>
      </c>
      <c r="E11931" s="8">
        <v>0</v>
      </c>
      <c r="F11931" s="8">
        <v>0</v>
      </c>
      <c r="G11931" s="8">
        <v>10</v>
      </c>
      <c r="H11931" s="8" t="s">
        <v>49500</v>
      </c>
      <c r="I11931" s="8">
        <v>527.4375</v>
      </c>
      <c r="J11931" s="3">
        <f t="shared" si="186"/>
        <v>43749.355649097219</v>
      </c>
    </row>
    <row r="11932" spans="1:10" x14ac:dyDescent="0.25">
      <c r="A11932" s="5" t="s">
        <v>49501</v>
      </c>
      <c r="B11932" s="6">
        <v>393.75</v>
      </c>
      <c r="C11932" s="6">
        <v>20.478950000000001</v>
      </c>
      <c r="D11932" s="6">
        <v>73</v>
      </c>
      <c r="E11932" s="6">
        <v>0</v>
      </c>
      <c r="F11932" s="6">
        <v>0</v>
      </c>
      <c r="G11932" s="6">
        <v>17</v>
      </c>
      <c r="H11932" s="6" t="s">
        <v>49502</v>
      </c>
      <c r="I11932" s="6">
        <v>526.6875</v>
      </c>
      <c r="J11932" s="2">
        <f t="shared" si="186"/>
        <v>43749.35573265046</v>
      </c>
    </row>
    <row r="11933" spans="1:10" x14ac:dyDescent="0.25">
      <c r="A11933" s="7" t="s">
        <v>49503</v>
      </c>
      <c r="B11933" s="8">
        <v>393.75</v>
      </c>
      <c r="C11933" s="8">
        <v>20.478950000000001</v>
      </c>
      <c r="D11933" s="8">
        <v>67</v>
      </c>
      <c r="E11933" s="8">
        <v>0</v>
      </c>
      <c r="F11933" s="8">
        <v>0</v>
      </c>
      <c r="G11933" s="8">
        <v>7</v>
      </c>
      <c r="H11933" s="8" t="s">
        <v>49504</v>
      </c>
      <c r="I11933" s="8">
        <v>526.6875</v>
      </c>
      <c r="J11933" s="3">
        <f t="shared" si="186"/>
        <v>43749.35582936342</v>
      </c>
    </row>
    <row r="11934" spans="1:10" x14ac:dyDescent="0.25">
      <c r="A11934" s="5" t="s">
        <v>49505</v>
      </c>
      <c r="B11934" s="6">
        <v>412.5</v>
      </c>
      <c r="C11934" s="6">
        <v>20.478950000000001</v>
      </c>
      <c r="D11934" s="6">
        <v>72</v>
      </c>
      <c r="E11934" s="6">
        <v>0</v>
      </c>
      <c r="F11934" s="6">
        <v>0</v>
      </c>
      <c r="G11934" s="6">
        <v>7</v>
      </c>
      <c r="H11934" s="6" t="s">
        <v>49506</v>
      </c>
      <c r="I11934" s="6">
        <v>532.3125</v>
      </c>
      <c r="J11934" s="2">
        <f t="shared" si="186"/>
        <v>43749.355911412036</v>
      </c>
    </row>
    <row r="11935" spans="1:10" x14ac:dyDescent="0.25">
      <c r="A11935" s="7" t="s">
        <v>49507</v>
      </c>
      <c r="B11935" s="8">
        <v>393.75</v>
      </c>
      <c r="C11935" s="8">
        <v>20.478950000000001</v>
      </c>
      <c r="D11935" s="8">
        <v>73</v>
      </c>
      <c r="E11935" s="8">
        <v>0</v>
      </c>
      <c r="F11935" s="8">
        <v>0</v>
      </c>
      <c r="G11935" s="8">
        <v>11</v>
      </c>
      <c r="H11935" s="8" t="s">
        <v>49508</v>
      </c>
      <c r="I11935" s="8">
        <v>526.6875</v>
      </c>
      <c r="J11935" s="3">
        <f t="shared" si="186"/>
        <v>43749.35599502315</v>
      </c>
    </row>
    <row r="11936" spans="1:10" x14ac:dyDescent="0.25">
      <c r="A11936" s="5" t="s">
        <v>49509</v>
      </c>
      <c r="B11936" s="6">
        <v>393.75</v>
      </c>
      <c r="C11936" s="6">
        <v>20.478950000000001</v>
      </c>
      <c r="D11936" s="6">
        <v>73</v>
      </c>
      <c r="E11936" s="6">
        <v>0</v>
      </c>
      <c r="F11936" s="6">
        <v>0</v>
      </c>
      <c r="G11936" s="6">
        <v>9</v>
      </c>
      <c r="H11936" s="6" t="s">
        <v>49510</v>
      </c>
      <c r="I11936" s="6">
        <v>526.6875</v>
      </c>
      <c r="J11936" s="2">
        <f t="shared" si="186"/>
        <v>43749.356078668978</v>
      </c>
    </row>
    <row r="11937" spans="1:10" x14ac:dyDescent="0.25">
      <c r="A11937" s="7" t="s">
        <v>49511</v>
      </c>
      <c r="B11937" s="8">
        <v>393.75</v>
      </c>
      <c r="C11937" s="8">
        <v>20.478950000000001</v>
      </c>
      <c r="D11937" s="8">
        <v>73</v>
      </c>
      <c r="E11937" s="8">
        <v>0</v>
      </c>
      <c r="F11937" s="8">
        <v>0</v>
      </c>
      <c r="G11937" s="8">
        <v>21</v>
      </c>
      <c r="H11937" s="8" t="s">
        <v>49512</v>
      </c>
      <c r="I11937" s="8">
        <v>526.6875</v>
      </c>
      <c r="J11937" s="3">
        <f t="shared" si="186"/>
        <v>43749.356161886571</v>
      </c>
    </row>
    <row r="11938" spans="1:10" x14ac:dyDescent="0.25">
      <c r="A11938" s="5" t="s">
        <v>49513</v>
      </c>
      <c r="B11938" s="6">
        <v>393.75</v>
      </c>
      <c r="C11938" s="6">
        <v>20.478950000000001</v>
      </c>
      <c r="D11938" s="6">
        <v>74</v>
      </c>
      <c r="E11938" s="6">
        <v>0</v>
      </c>
      <c r="F11938" s="6">
        <v>0</v>
      </c>
      <c r="G11938" s="6">
        <v>8</v>
      </c>
      <c r="H11938" s="6" t="s">
        <v>49514</v>
      </c>
      <c r="I11938" s="6">
        <v>526.6875</v>
      </c>
      <c r="J11938" s="2">
        <f t="shared" si="186"/>
        <v>43749.356245347219</v>
      </c>
    </row>
    <row r="11939" spans="1:10" x14ac:dyDescent="0.25">
      <c r="A11939" s="7" t="s">
        <v>49515</v>
      </c>
      <c r="B11939" s="8">
        <v>396.875</v>
      </c>
      <c r="C11939" s="8">
        <v>20.478950000000001</v>
      </c>
      <c r="D11939" s="8">
        <v>73</v>
      </c>
      <c r="E11939" s="8">
        <v>0</v>
      </c>
      <c r="F11939" s="8">
        <v>0</v>
      </c>
      <c r="G11939" s="8">
        <v>2</v>
      </c>
      <c r="H11939" s="8" t="s">
        <v>49516</v>
      </c>
      <c r="I11939" s="8">
        <v>527.4375</v>
      </c>
      <c r="J11939" s="3">
        <f t="shared" si="186"/>
        <v>43749.356316990736</v>
      </c>
    </row>
    <row r="11940" spans="1:10" x14ac:dyDescent="0.25">
      <c r="A11940" s="5" t="s">
        <v>49517</v>
      </c>
      <c r="B11940" s="6">
        <v>393.75</v>
      </c>
      <c r="C11940" s="6">
        <v>20.478950000000001</v>
      </c>
      <c r="D11940" s="6">
        <v>74</v>
      </c>
      <c r="E11940" s="6">
        <v>0</v>
      </c>
      <c r="F11940" s="6">
        <v>0</v>
      </c>
      <c r="G11940" s="6">
        <v>16</v>
      </c>
      <c r="H11940" s="6" t="s">
        <v>49518</v>
      </c>
      <c r="I11940" s="6">
        <v>526.6875</v>
      </c>
      <c r="J11940" s="2">
        <f t="shared" si="186"/>
        <v>43749.356400532408</v>
      </c>
    </row>
    <row r="11941" spans="1:10" x14ac:dyDescent="0.25">
      <c r="A11941" s="7" t="s">
        <v>49519</v>
      </c>
      <c r="B11941" s="8">
        <v>393.75</v>
      </c>
      <c r="C11941" s="8">
        <v>20.478950000000001</v>
      </c>
      <c r="D11941" s="8">
        <v>74</v>
      </c>
      <c r="E11941" s="8">
        <v>0</v>
      </c>
      <c r="F11941" s="8">
        <v>0</v>
      </c>
      <c r="G11941" s="8">
        <v>17</v>
      </c>
      <c r="H11941" s="8" t="s">
        <v>49520</v>
      </c>
      <c r="I11941" s="8">
        <v>526.5</v>
      </c>
      <c r="J11941" s="3">
        <f t="shared" si="186"/>
        <v>43749.356483993055</v>
      </c>
    </row>
    <row r="11942" spans="1:10" x14ac:dyDescent="0.25">
      <c r="A11942" s="5" t="s">
        <v>49521</v>
      </c>
      <c r="B11942" s="6">
        <v>393.75</v>
      </c>
      <c r="C11942" s="6">
        <v>20.478950000000001</v>
      </c>
      <c r="D11942" s="6">
        <v>75</v>
      </c>
      <c r="E11942" s="6">
        <v>0</v>
      </c>
      <c r="F11942" s="6">
        <v>0</v>
      </c>
      <c r="G11942" s="6">
        <v>13</v>
      </c>
      <c r="H11942" s="6" t="s">
        <v>49522</v>
      </c>
      <c r="I11942" s="6">
        <v>526.6875</v>
      </c>
      <c r="J11942" s="2">
        <f t="shared" si="186"/>
        <v>43749.356567569441</v>
      </c>
    </row>
    <row r="11943" spans="1:10" x14ac:dyDescent="0.25">
      <c r="A11943" s="7" t="s">
        <v>49523</v>
      </c>
      <c r="B11943" s="8">
        <v>393.75</v>
      </c>
      <c r="C11943" s="8">
        <v>20.478950000000001</v>
      </c>
      <c r="D11943" s="8">
        <v>74</v>
      </c>
      <c r="E11943" s="8">
        <v>0</v>
      </c>
      <c r="F11943" s="8">
        <v>0</v>
      </c>
      <c r="G11943" s="8">
        <v>23</v>
      </c>
      <c r="H11943" s="8" t="s">
        <v>49524</v>
      </c>
      <c r="I11943" s="8">
        <v>526.6875</v>
      </c>
      <c r="J11943" s="3">
        <f t="shared" si="186"/>
        <v>43749.356639004625</v>
      </c>
    </row>
    <row r="11944" spans="1:10" x14ac:dyDescent="0.25">
      <c r="A11944" s="5" t="s">
        <v>49525</v>
      </c>
      <c r="B11944" s="6">
        <v>393.75</v>
      </c>
      <c r="C11944" s="6">
        <v>20.478950000000001</v>
      </c>
      <c r="D11944" s="6">
        <v>74</v>
      </c>
      <c r="E11944" s="6">
        <v>0</v>
      </c>
      <c r="F11944" s="6">
        <v>0</v>
      </c>
      <c r="G11944" s="6">
        <v>23</v>
      </c>
      <c r="H11944" s="6" t="s">
        <v>49526</v>
      </c>
      <c r="I11944" s="6">
        <v>526.6875</v>
      </c>
      <c r="J11944" s="2">
        <f t="shared" si="186"/>
        <v>43749.356710520828</v>
      </c>
    </row>
    <row r="11945" spans="1:10" x14ac:dyDescent="0.25">
      <c r="A11945" s="7" t="s">
        <v>49527</v>
      </c>
      <c r="B11945" s="8">
        <v>393.75</v>
      </c>
      <c r="C11945" s="8">
        <v>20.478950000000001</v>
      </c>
      <c r="D11945" s="8">
        <v>74</v>
      </c>
      <c r="E11945" s="8">
        <v>0</v>
      </c>
      <c r="F11945" s="8">
        <v>0</v>
      </c>
      <c r="G11945" s="8">
        <v>19</v>
      </c>
      <c r="H11945" s="8" t="s">
        <v>49528</v>
      </c>
      <c r="I11945" s="8">
        <v>526.6875</v>
      </c>
      <c r="J11945" s="3">
        <f t="shared" si="186"/>
        <v>43749.356781944443</v>
      </c>
    </row>
    <row r="11946" spans="1:10" x14ac:dyDescent="0.25">
      <c r="A11946" s="5" t="s">
        <v>49529</v>
      </c>
      <c r="B11946" s="6">
        <v>393.75</v>
      </c>
      <c r="C11946" s="6">
        <v>20.478950000000001</v>
      </c>
      <c r="D11946" s="6">
        <v>69</v>
      </c>
      <c r="E11946" s="6">
        <v>0</v>
      </c>
      <c r="F11946" s="6">
        <v>0</v>
      </c>
      <c r="G11946" s="6">
        <v>16</v>
      </c>
      <c r="H11946" s="6" t="s">
        <v>49530</v>
      </c>
      <c r="I11946" s="6">
        <v>526.6875</v>
      </c>
      <c r="J11946" s="2">
        <f t="shared" si="186"/>
        <v>43749.356865729169</v>
      </c>
    </row>
    <row r="11947" spans="1:10" x14ac:dyDescent="0.25">
      <c r="A11947" s="7" t="s">
        <v>49531</v>
      </c>
      <c r="B11947" s="8">
        <v>393.75</v>
      </c>
      <c r="C11947" s="8">
        <v>20.478950000000001</v>
      </c>
      <c r="D11947" s="8">
        <v>69</v>
      </c>
      <c r="E11947" s="8">
        <v>0</v>
      </c>
      <c r="F11947" s="8">
        <v>0</v>
      </c>
      <c r="G11947" s="8">
        <v>25</v>
      </c>
      <c r="H11947" s="8" t="s">
        <v>49532</v>
      </c>
      <c r="I11947" s="8">
        <v>526.6875</v>
      </c>
      <c r="J11947" s="3">
        <f t="shared" si="186"/>
        <v>43749.356937175922</v>
      </c>
    </row>
    <row r="11948" spans="1:10" x14ac:dyDescent="0.25">
      <c r="A11948" s="5" t="s">
        <v>49533</v>
      </c>
      <c r="B11948" s="6">
        <v>393.75</v>
      </c>
      <c r="C11948" s="6">
        <v>20.478950000000001</v>
      </c>
      <c r="D11948" s="6">
        <v>70</v>
      </c>
      <c r="E11948" s="6">
        <v>0</v>
      </c>
      <c r="F11948" s="6">
        <v>0</v>
      </c>
      <c r="G11948" s="6">
        <v>20</v>
      </c>
      <c r="H11948" s="6" t="s">
        <v>49534</v>
      </c>
      <c r="I11948" s="6">
        <v>526.6875</v>
      </c>
      <c r="J11948" s="2">
        <f t="shared" si="186"/>
        <v>43749.357020590272</v>
      </c>
    </row>
    <row r="11949" spans="1:10" x14ac:dyDescent="0.25">
      <c r="A11949" s="7" t="s">
        <v>49535</v>
      </c>
      <c r="B11949" s="8">
        <v>393.75</v>
      </c>
      <c r="C11949" s="8">
        <v>20.478950000000001</v>
      </c>
      <c r="D11949" s="8">
        <v>72</v>
      </c>
      <c r="E11949" s="8">
        <v>0</v>
      </c>
      <c r="F11949" s="8">
        <v>0</v>
      </c>
      <c r="G11949" s="8">
        <v>18</v>
      </c>
      <c r="H11949" s="8" t="s">
        <v>49536</v>
      </c>
      <c r="I11949" s="8">
        <v>526.6875</v>
      </c>
      <c r="J11949" s="3">
        <f t="shared" si="186"/>
        <v>43749.357104039351</v>
      </c>
    </row>
    <row r="11950" spans="1:10" x14ac:dyDescent="0.25">
      <c r="A11950" s="5" t="s">
        <v>49537</v>
      </c>
      <c r="B11950" s="6">
        <v>393.75</v>
      </c>
      <c r="C11950" s="6">
        <v>20.478950000000001</v>
      </c>
      <c r="D11950" s="6">
        <v>73</v>
      </c>
      <c r="E11950" s="6">
        <v>0</v>
      </c>
      <c r="F11950" s="6">
        <v>0</v>
      </c>
      <c r="G11950" s="6">
        <v>14</v>
      </c>
      <c r="H11950" s="6" t="s">
        <v>49538</v>
      </c>
      <c r="I11950" s="6">
        <v>526.6875</v>
      </c>
      <c r="J11950" s="2">
        <f t="shared" si="186"/>
        <v>43749.357187604161</v>
      </c>
    </row>
    <row r="11951" spans="1:10" x14ac:dyDescent="0.25">
      <c r="A11951" s="7" t="s">
        <v>49539</v>
      </c>
      <c r="B11951" s="8">
        <v>393.75</v>
      </c>
      <c r="C11951" s="8">
        <v>20.478950000000001</v>
      </c>
      <c r="D11951" s="8">
        <v>72</v>
      </c>
      <c r="E11951" s="8">
        <v>0</v>
      </c>
      <c r="F11951" s="8">
        <v>0</v>
      </c>
      <c r="G11951" s="8">
        <v>10</v>
      </c>
      <c r="H11951" s="8" t="s">
        <v>49540</v>
      </c>
      <c r="I11951" s="8">
        <v>526.6875</v>
      </c>
      <c r="J11951" s="3">
        <f t="shared" si="186"/>
        <v>43749.357271168978</v>
      </c>
    </row>
    <row r="11952" spans="1:10" x14ac:dyDescent="0.25">
      <c r="A11952" s="5" t="s">
        <v>49541</v>
      </c>
      <c r="B11952" s="6">
        <v>393.75</v>
      </c>
      <c r="C11952" s="6">
        <v>20.478950000000001</v>
      </c>
      <c r="D11952" s="6">
        <v>73</v>
      </c>
      <c r="E11952" s="6">
        <v>0</v>
      </c>
      <c r="F11952" s="6">
        <v>0</v>
      </c>
      <c r="G11952" s="6">
        <v>5</v>
      </c>
      <c r="H11952" s="6" t="s">
        <v>49542</v>
      </c>
      <c r="I11952" s="6">
        <v>526.6875</v>
      </c>
      <c r="J11952" s="2">
        <f t="shared" si="186"/>
        <v>43749.357342581017</v>
      </c>
    </row>
    <row r="11953" spans="1:10" x14ac:dyDescent="0.25">
      <c r="A11953" s="7" t="s">
        <v>49543</v>
      </c>
      <c r="B11953" s="8">
        <v>412.5</v>
      </c>
      <c r="C11953" s="8">
        <v>20.426300000000001</v>
      </c>
      <c r="D11953" s="8">
        <v>74</v>
      </c>
      <c r="E11953" s="8">
        <v>0</v>
      </c>
      <c r="F11953" s="8">
        <v>0</v>
      </c>
      <c r="G11953" s="8">
        <v>12</v>
      </c>
      <c r="H11953" s="8" t="s">
        <v>49544</v>
      </c>
      <c r="I11953" s="8">
        <v>532.3125</v>
      </c>
      <c r="J11953" s="3">
        <f t="shared" si="186"/>
        <v>43749.357426157403</v>
      </c>
    </row>
    <row r="11954" spans="1:10" x14ac:dyDescent="0.25">
      <c r="A11954" s="5" t="s">
        <v>49545</v>
      </c>
      <c r="B11954" s="6">
        <v>393.75</v>
      </c>
      <c r="C11954" s="6">
        <v>20.478950000000001</v>
      </c>
      <c r="D11954" s="6">
        <v>76</v>
      </c>
      <c r="E11954" s="6">
        <v>0</v>
      </c>
      <c r="F11954" s="6">
        <v>0</v>
      </c>
      <c r="G11954" s="6">
        <v>7</v>
      </c>
      <c r="H11954" s="6" t="s">
        <v>49546</v>
      </c>
      <c r="I11954" s="6">
        <v>526.6875</v>
      </c>
      <c r="J11954" s="2">
        <f t="shared" si="186"/>
        <v>43749.357509594905</v>
      </c>
    </row>
    <row r="11955" spans="1:10" x14ac:dyDescent="0.25">
      <c r="A11955" s="7" t="s">
        <v>49547</v>
      </c>
      <c r="B11955" s="8">
        <v>437.5</v>
      </c>
      <c r="C11955" s="8">
        <v>20.478950000000001</v>
      </c>
      <c r="D11955" s="8">
        <v>75</v>
      </c>
      <c r="E11955" s="8">
        <v>0</v>
      </c>
      <c r="F11955" s="8">
        <v>0</v>
      </c>
      <c r="G11955" s="8">
        <v>13</v>
      </c>
      <c r="H11955" s="8" t="s">
        <v>49548</v>
      </c>
      <c r="I11955" s="8">
        <v>540.375</v>
      </c>
      <c r="J11955" s="3">
        <f t="shared" si="186"/>
        <v>43749.357593148146</v>
      </c>
    </row>
    <row r="11956" spans="1:10" x14ac:dyDescent="0.25">
      <c r="A11956" s="5" t="s">
        <v>49549</v>
      </c>
      <c r="B11956" s="6">
        <v>393.75</v>
      </c>
      <c r="C11956" s="6">
        <v>20.478950000000001</v>
      </c>
      <c r="D11956" s="6">
        <v>76</v>
      </c>
      <c r="E11956" s="6">
        <v>0</v>
      </c>
      <c r="F11956" s="6">
        <v>0</v>
      </c>
      <c r="G11956" s="6">
        <v>3</v>
      </c>
      <c r="H11956" s="6" t="s">
        <v>49550</v>
      </c>
      <c r="I11956" s="6">
        <v>526.6875</v>
      </c>
      <c r="J11956" s="2">
        <f t="shared" si="186"/>
        <v>43749.357676504624</v>
      </c>
    </row>
    <row r="11957" spans="1:10" x14ac:dyDescent="0.25">
      <c r="A11957" s="7" t="s">
        <v>49551</v>
      </c>
      <c r="B11957" s="8">
        <v>393.75</v>
      </c>
      <c r="C11957" s="8">
        <v>20.478950000000001</v>
      </c>
      <c r="D11957" s="8">
        <v>77</v>
      </c>
      <c r="E11957" s="8">
        <v>0</v>
      </c>
      <c r="F11957" s="8">
        <v>0</v>
      </c>
      <c r="G11957" s="8">
        <v>0</v>
      </c>
      <c r="H11957" s="8" t="s">
        <v>49552</v>
      </c>
      <c r="I11957" s="8">
        <v>526.6875</v>
      </c>
      <c r="J11957" s="3">
        <f t="shared" si="186"/>
        <v>43749.357760173611</v>
      </c>
    </row>
    <row r="11958" spans="1:10" x14ac:dyDescent="0.25">
      <c r="A11958" s="5" t="s">
        <v>49553</v>
      </c>
      <c r="B11958" s="6">
        <v>393.75</v>
      </c>
      <c r="C11958" s="6">
        <v>20.478950000000001</v>
      </c>
      <c r="D11958" s="6">
        <v>76</v>
      </c>
      <c r="E11958" s="6">
        <v>0</v>
      </c>
      <c r="F11958" s="6">
        <v>0</v>
      </c>
      <c r="G11958" s="6">
        <v>0</v>
      </c>
      <c r="H11958" s="6" t="s">
        <v>49554</v>
      </c>
      <c r="I11958" s="6">
        <v>526.6875</v>
      </c>
      <c r="J11958" s="2">
        <f t="shared" si="186"/>
        <v>43749.357843483791</v>
      </c>
    </row>
    <row r="11959" spans="1:10" x14ac:dyDescent="0.25">
      <c r="A11959" s="7" t="s">
        <v>49555</v>
      </c>
      <c r="B11959" s="8">
        <v>393.75</v>
      </c>
      <c r="C11959" s="8">
        <v>20.478950000000001</v>
      </c>
      <c r="D11959" s="8">
        <v>75</v>
      </c>
      <c r="E11959" s="8">
        <v>0</v>
      </c>
      <c r="F11959" s="8">
        <v>0</v>
      </c>
      <c r="G11959" s="8">
        <v>10</v>
      </c>
      <c r="H11959" s="8" t="s">
        <v>49556</v>
      </c>
      <c r="I11959" s="8">
        <v>526.6875</v>
      </c>
      <c r="J11959" s="3">
        <f t="shared" si="186"/>
        <v>43749.357926851844</v>
      </c>
    </row>
    <row r="11960" spans="1:10" x14ac:dyDescent="0.25">
      <c r="A11960" s="5" t="s">
        <v>49557</v>
      </c>
      <c r="B11960" s="6">
        <v>396.875</v>
      </c>
      <c r="C11960" s="6">
        <v>20.478950000000001</v>
      </c>
      <c r="D11960" s="6">
        <v>74</v>
      </c>
      <c r="E11960" s="6">
        <v>0</v>
      </c>
      <c r="F11960" s="6">
        <v>0</v>
      </c>
      <c r="G11960" s="6">
        <v>5</v>
      </c>
      <c r="H11960" s="6" t="s">
        <v>49558</v>
      </c>
      <c r="I11960" s="6">
        <v>527.4375</v>
      </c>
      <c r="J11960" s="2">
        <f t="shared" si="186"/>
        <v>43749.358010405085</v>
      </c>
    </row>
    <row r="11961" spans="1:10" x14ac:dyDescent="0.25">
      <c r="A11961" s="7" t="s">
        <v>49559</v>
      </c>
      <c r="B11961" s="8">
        <v>396.875</v>
      </c>
      <c r="C11961" s="8">
        <v>20.478950000000001</v>
      </c>
      <c r="D11961" s="8">
        <v>74</v>
      </c>
      <c r="E11961" s="8">
        <v>0</v>
      </c>
      <c r="F11961" s="8">
        <v>0</v>
      </c>
      <c r="G11961" s="8">
        <v>10</v>
      </c>
      <c r="H11961" s="8" t="s">
        <v>49560</v>
      </c>
      <c r="I11961" s="8">
        <v>527.4375</v>
      </c>
      <c r="J11961" s="3">
        <f t="shared" si="186"/>
        <v>43749.358093645831</v>
      </c>
    </row>
    <row r="11962" spans="1:10" x14ac:dyDescent="0.25">
      <c r="A11962" s="5" t="s">
        <v>49561</v>
      </c>
      <c r="B11962" s="6">
        <v>396.875</v>
      </c>
      <c r="C11962" s="6">
        <v>20.478950000000001</v>
      </c>
      <c r="D11962" s="6">
        <v>73</v>
      </c>
      <c r="E11962" s="6">
        <v>0</v>
      </c>
      <c r="F11962" s="6">
        <v>0</v>
      </c>
      <c r="G11962" s="6">
        <v>11</v>
      </c>
      <c r="H11962" s="6" t="s">
        <v>49562</v>
      </c>
      <c r="I11962" s="6">
        <v>527.4375</v>
      </c>
      <c r="J11962" s="2">
        <f t="shared" si="186"/>
        <v>43749.358165497681</v>
      </c>
    </row>
    <row r="11963" spans="1:10" x14ac:dyDescent="0.25">
      <c r="A11963" s="7" t="s">
        <v>49563</v>
      </c>
      <c r="B11963" s="8">
        <v>393.75</v>
      </c>
      <c r="C11963" s="8">
        <v>20.478950000000001</v>
      </c>
      <c r="D11963" s="8">
        <v>71</v>
      </c>
      <c r="E11963" s="8">
        <v>0</v>
      </c>
      <c r="F11963" s="8">
        <v>0</v>
      </c>
      <c r="G11963" s="8">
        <v>3</v>
      </c>
      <c r="H11963" s="8" t="s">
        <v>49564</v>
      </c>
      <c r="I11963" s="8">
        <v>526.6875</v>
      </c>
      <c r="J11963" s="3">
        <f t="shared" si="186"/>
        <v>43749.358249062498</v>
      </c>
    </row>
    <row r="11964" spans="1:10" x14ac:dyDescent="0.25">
      <c r="A11964" s="5" t="s">
        <v>49565</v>
      </c>
      <c r="B11964" s="6">
        <v>393.75</v>
      </c>
      <c r="C11964" s="6">
        <v>20.478950000000001</v>
      </c>
      <c r="D11964" s="6">
        <v>71</v>
      </c>
      <c r="E11964" s="6">
        <v>0</v>
      </c>
      <c r="F11964" s="6">
        <v>0</v>
      </c>
      <c r="G11964" s="6">
        <v>2</v>
      </c>
      <c r="H11964" s="6" t="s">
        <v>49566</v>
      </c>
      <c r="I11964" s="6">
        <v>526.6875</v>
      </c>
      <c r="J11964" s="2">
        <f t="shared" si="186"/>
        <v>43749.358332418975</v>
      </c>
    </row>
    <row r="11965" spans="1:10" x14ac:dyDescent="0.25">
      <c r="A11965" s="7" t="s">
        <v>49567</v>
      </c>
      <c r="B11965" s="8">
        <v>393.75</v>
      </c>
      <c r="C11965" s="8">
        <v>20.478950000000001</v>
      </c>
      <c r="D11965" s="8">
        <v>70</v>
      </c>
      <c r="E11965" s="8">
        <v>0</v>
      </c>
      <c r="F11965" s="8">
        <v>0</v>
      </c>
      <c r="G11965" s="8">
        <v>8</v>
      </c>
      <c r="H11965" s="8" t="s">
        <v>49568</v>
      </c>
      <c r="I11965" s="8">
        <v>526.6875</v>
      </c>
      <c r="J11965" s="3">
        <f t="shared" si="186"/>
        <v>43749.358415729163</v>
      </c>
    </row>
    <row r="11966" spans="1:10" x14ac:dyDescent="0.25">
      <c r="A11966" s="5" t="s">
        <v>49569</v>
      </c>
      <c r="B11966" s="6">
        <v>393.75</v>
      </c>
      <c r="C11966" s="6">
        <v>20.478950000000001</v>
      </c>
      <c r="D11966" s="6">
        <v>70</v>
      </c>
      <c r="E11966" s="6">
        <v>0</v>
      </c>
      <c r="F11966" s="6">
        <v>0</v>
      </c>
      <c r="G11966" s="6">
        <v>9</v>
      </c>
      <c r="H11966" s="6" t="s">
        <v>49570</v>
      </c>
      <c r="I11966" s="6">
        <v>526.6875</v>
      </c>
      <c r="J11966" s="2">
        <f t="shared" si="186"/>
        <v>43749.358487418976</v>
      </c>
    </row>
    <row r="11967" spans="1:10" x14ac:dyDescent="0.25">
      <c r="A11967" s="7" t="s">
        <v>49571</v>
      </c>
      <c r="B11967" s="8">
        <v>412.5</v>
      </c>
      <c r="C11967" s="8">
        <v>20.478950000000001</v>
      </c>
      <c r="D11967" s="8">
        <v>70</v>
      </c>
      <c r="E11967" s="8">
        <v>0</v>
      </c>
      <c r="F11967" s="8">
        <v>0</v>
      </c>
      <c r="G11967" s="8">
        <v>4</v>
      </c>
      <c r="H11967" s="8" t="s">
        <v>49572</v>
      </c>
      <c r="I11967" s="8">
        <v>532.875</v>
      </c>
      <c r="J11967" s="3">
        <f t="shared" si="186"/>
        <v>43749.358582581015</v>
      </c>
    </row>
    <row r="11968" spans="1:10" x14ac:dyDescent="0.25">
      <c r="A11968" s="5" t="s">
        <v>49573</v>
      </c>
      <c r="B11968" s="6">
        <v>396.875</v>
      </c>
      <c r="C11968" s="6">
        <v>20.478950000000001</v>
      </c>
      <c r="D11968" s="6">
        <v>70</v>
      </c>
      <c r="E11968" s="6">
        <v>0</v>
      </c>
      <c r="F11968" s="6">
        <v>0</v>
      </c>
      <c r="G11968" s="6">
        <v>10</v>
      </c>
      <c r="H11968" s="6" t="s">
        <v>49574</v>
      </c>
      <c r="I11968" s="6">
        <v>527.625</v>
      </c>
      <c r="J11968" s="2">
        <f t="shared" si="186"/>
        <v>43749.35865405092</v>
      </c>
    </row>
    <row r="11969" spans="1:10" x14ac:dyDescent="0.25">
      <c r="A11969" s="7" t="s">
        <v>49575</v>
      </c>
      <c r="B11969" s="8">
        <v>396.875</v>
      </c>
      <c r="C11969" s="8">
        <v>20.426300000000001</v>
      </c>
      <c r="D11969" s="8">
        <v>71</v>
      </c>
      <c r="E11969" s="8">
        <v>0</v>
      </c>
      <c r="F11969" s="8">
        <v>0</v>
      </c>
      <c r="G11969" s="8">
        <v>9</v>
      </c>
      <c r="H11969" s="8" t="s">
        <v>49576</v>
      </c>
      <c r="I11969" s="8">
        <v>527.4375</v>
      </c>
      <c r="J11969" s="3">
        <f t="shared" si="186"/>
        <v>43749.358737974537</v>
      </c>
    </row>
    <row r="11970" spans="1:10" x14ac:dyDescent="0.25">
      <c r="A11970" s="5" t="s">
        <v>49577</v>
      </c>
      <c r="B11970" s="6">
        <v>415.625</v>
      </c>
      <c r="C11970" s="6">
        <v>20.478950000000001</v>
      </c>
      <c r="D11970" s="6">
        <v>72</v>
      </c>
      <c r="E11970" s="6">
        <v>0</v>
      </c>
      <c r="F11970" s="6">
        <v>0</v>
      </c>
      <c r="G11970" s="6">
        <v>10</v>
      </c>
      <c r="H11970" s="6" t="s">
        <v>49578</v>
      </c>
      <c r="I11970" s="6">
        <v>533.0625</v>
      </c>
      <c r="J11970" s="2">
        <f t="shared" ref="J11970:J12033" si="187">(H11970/86400000)+25569+(7/24)</f>
        <v>43749.358821412032</v>
      </c>
    </row>
    <row r="11971" spans="1:10" x14ac:dyDescent="0.25">
      <c r="A11971" s="7" t="s">
        <v>49579</v>
      </c>
      <c r="B11971" s="8">
        <v>393.75</v>
      </c>
      <c r="C11971" s="8">
        <v>20.478950000000001</v>
      </c>
      <c r="D11971" s="8">
        <v>72</v>
      </c>
      <c r="E11971" s="8">
        <v>0</v>
      </c>
      <c r="F11971" s="8">
        <v>0</v>
      </c>
      <c r="G11971" s="8">
        <v>1</v>
      </c>
      <c r="H11971" s="8" t="s">
        <v>49580</v>
      </c>
      <c r="I11971" s="8">
        <v>526.6875</v>
      </c>
      <c r="J11971" s="3">
        <f t="shared" si="187"/>
        <v>43749.358904629626</v>
      </c>
    </row>
    <row r="11972" spans="1:10" x14ac:dyDescent="0.25">
      <c r="A11972" s="5" t="s">
        <v>49581</v>
      </c>
      <c r="B11972" s="6">
        <v>393.75</v>
      </c>
      <c r="C11972" s="6">
        <v>20.478950000000001</v>
      </c>
      <c r="D11972" s="6">
        <v>73</v>
      </c>
      <c r="E11972" s="6">
        <v>0</v>
      </c>
      <c r="F11972" s="6">
        <v>0</v>
      </c>
      <c r="G11972" s="6">
        <v>17</v>
      </c>
      <c r="H11972" s="6" t="s">
        <v>49582</v>
      </c>
      <c r="I11972" s="6">
        <v>526.6875</v>
      </c>
      <c r="J11972" s="2">
        <f t="shared" si="187"/>
        <v>43749.358976377313</v>
      </c>
    </row>
    <row r="11973" spans="1:10" x14ac:dyDescent="0.25">
      <c r="A11973" s="7" t="s">
        <v>49583</v>
      </c>
      <c r="B11973" s="8">
        <v>393.75</v>
      </c>
      <c r="C11973" s="8">
        <v>20.478950000000001</v>
      </c>
      <c r="D11973" s="8">
        <v>74</v>
      </c>
      <c r="E11973" s="8">
        <v>0</v>
      </c>
      <c r="F11973" s="8">
        <v>0</v>
      </c>
      <c r="G11973" s="8">
        <v>6</v>
      </c>
      <c r="H11973" s="8" t="s">
        <v>49584</v>
      </c>
      <c r="I11973" s="8">
        <v>526.6875</v>
      </c>
      <c r="J11973" s="3">
        <f t="shared" si="187"/>
        <v>43749.359071979161</v>
      </c>
    </row>
    <row r="11974" spans="1:10" x14ac:dyDescent="0.25">
      <c r="A11974" s="5" t="s">
        <v>49585</v>
      </c>
      <c r="B11974" s="6">
        <v>393.75</v>
      </c>
      <c r="C11974" s="6">
        <v>20.478950000000001</v>
      </c>
      <c r="D11974" s="6">
        <v>74</v>
      </c>
      <c r="E11974" s="6">
        <v>0</v>
      </c>
      <c r="F11974" s="6">
        <v>0</v>
      </c>
      <c r="G11974" s="6">
        <v>5</v>
      </c>
      <c r="H11974" s="6" t="s">
        <v>49586</v>
      </c>
      <c r="I11974" s="6">
        <v>526.6875</v>
      </c>
      <c r="J11974" s="2">
        <f t="shared" si="187"/>
        <v>43749.359155208331</v>
      </c>
    </row>
    <row r="11975" spans="1:10" x14ac:dyDescent="0.25">
      <c r="A11975" s="7" t="s">
        <v>49587</v>
      </c>
      <c r="B11975" s="8">
        <v>393.75</v>
      </c>
      <c r="C11975" s="8">
        <v>20.478950000000001</v>
      </c>
      <c r="D11975" s="8">
        <v>74</v>
      </c>
      <c r="E11975" s="8">
        <v>0</v>
      </c>
      <c r="F11975" s="8">
        <v>0</v>
      </c>
      <c r="G11975" s="8">
        <v>0</v>
      </c>
      <c r="H11975" s="8" t="s">
        <v>49588</v>
      </c>
      <c r="I11975" s="8">
        <v>526.6875</v>
      </c>
      <c r="J11975" s="3">
        <f t="shared" si="187"/>
        <v>43749.359238761572</v>
      </c>
    </row>
    <row r="11976" spans="1:10" x14ac:dyDescent="0.25">
      <c r="A11976" s="5" t="s">
        <v>49589</v>
      </c>
      <c r="B11976" s="6">
        <v>393.75</v>
      </c>
      <c r="C11976" s="6">
        <v>20.478950000000001</v>
      </c>
      <c r="D11976" s="6">
        <v>75</v>
      </c>
      <c r="E11976" s="6">
        <v>0</v>
      </c>
      <c r="F11976" s="6">
        <v>0</v>
      </c>
      <c r="G11976" s="6">
        <v>7</v>
      </c>
      <c r="H11976" s="6" t="s">
        <v>49590</v>
      </c>
      <c r="I11976" s="6">
        <v>526.6875</v>
      </c>
      <c r="J11976" s="2">
        <f t="shared" si="187"/>
        <v>43749.359310300926</v>
      </c>
    </row>
    <row r="11977" spans="1:10" x14ac:dyDescent="0.25">
      <c r="A11977" s="7" t="s">
        <v>49591</v>
      </c>
      <c r="B11977" s="8">
        <v>393.75</v>
      </c>
      <c r="C11977" s="8">
        <v>20.478950000000001</v>
      </c>
      <c r="D11977" s="8">
        <v>75</v>
      </c>
      <c r="E11977" s="8">
        <v>0</v>
      </c>
      <c r="F11977" s="8">
        <v>0</v>
      </c>
      <c r="G11977" s="8">
        <v>4</v>
      </c>
      <c r="H11977" s="8" t="s">
        <v>49592</v>
      </c>
      <c r="I11977" s="8">
        <v>526.6875</v>
      </c>
      <c r="J11977" s="3">
        <f t="shared" si="187"/>
        <v>43749.359393530089</v>
      </c>
    </row>
    <row r="11978" spans="1:10" x14ac:dyDescent="0.25">
      <c r="A11978" s="5" t="s">
        <v>49593</v>
      </c>
      <c r="B11978" s="6">
        <v>393.75</v>
      </c>
      <c r="C11978" s="6">
        <v>20.478950000000001</v>
      </c>
      <c r="D11978" s="6">
        <v>76</v>
      </c>
      <c r="E11978" s="6">
        <v>0</v>
      </c>
      <c r="F11978" s="6">
        <v>0</v>
      </c>
      <c r="G11978" s="6">
        <v>6</v>
      </c>
      <c r="H11978" s="6" t="s">
        <v>49594</v>
      </c>
      <c r="I11978" s="6">
        <v>526.6875</v>
      </c>
      <c r="J11978" s="2">
        <f t="shared" si="187"/>
        <v>43749.359465254624</v>
      </c>
    </row>
    <row r="11979" spans="1:10" x14ac:dyDescent="0.25">
      <c r="A11979" s="7" t="s">
        <v>49595</v>
      </c>
      <c r="B11979" s="8">
        <v>393.75</v>
      </c>
      <c r="C11979" s="8">
        <v>20.478950000000001</v>
      </c>
      <c r="D11979" s="8">
        <v>73</v>
      </c>
      <c r="E11979" s="8">
        <v>0</v>
      </c>
      <c r="F11979" s="8">
        <v>0</v>
      </c>
      <c r="G11979" s="8">
        <v>8</v>
      </c>
      <c r="H11979" s="8" t="s">
        <v>49596</v>
      </c>
      <c r="I11979" s="8">
        <v>526.5</v>
      </c>
      <c r="J11979" s="3">
        <f t="shared" si="187"/>
        <v>43749.359548842585</v>
      </c>
    </row>
    <row r="11980" spans="1:10" x14ac:dyDescent="0.25">
      <c r="A11980" s="5" t="s">
        <v>49597</v>
      </c>
      <c r="B11980" s="6">
        <v>418.75</v>
      </c>
      <c r="C11980" s="6">
        <v>20.478950000000001</v>
      </c>
      <c r="D11980" s="6">
        <v>73</v>
      </c>
      <c r="E11980" s="6">
        <v>0</v>
      </c>
      <c r="F11980" s="6">
        <v>0</v>
      </c>
      <c r="G11980" s="6">
        <v>8</v>
      </c>
      <c r="H11980" s="6" t="s">
        <v>49598</v>
      </c>
      <c r="I11980" s="6">
        <v>534.5625</v>
      </c>
      <c r="J11980" s="2">
        <f t="shared" si="187"/>
        <v>43749.359632280095</v>
      </c>
    </row>
    <row r="11981" spans="1:10" x14ac:dyDescent="0.25">
      <c r="A11981" s="7" t="s">
        <v>49599</v>
      </c>
      <c r="B11981" s="8">
        <v>393.75</v>
      </c>
      <c r="C11981" s="8">
        <v>20.478950000000001</v>
      </c>
      <c r="D11981" s="8">
        <v>73</v>
      </c>
      <c r="E11981" s="8">
        <v>0</v>
      </c>
      <c r="F11981" s="8">
        <v>0</v>
      </c>
      <c r="G11981" s="8">
        <v>4</v>
      </c>
      <c r="H11981" s="8" t="s">
        <v>49600</v>
      </c>
      <c r="I11981" s="8">
        <v>526.5</v>
      </c>
      <c r="J11981" s="3">
        <f t="shared" si="187"/>
        <v>43749.359715752311</v>
      </c>
    </row>
    <row r="11982" spans="1:10" x14ac:dyDescent="0.25">
      <c r="A11982" s="5" t="s">
        <v>49601</v>
      </c>
      <c r="B11982" s="6">
        <v>393.75</v>
      </c>
      <c r="C11982" s="6">
        <v>20.478950000000001</v>
      </c>
      <c r="D11982" s="6">
        <v>76</v>
      </c>
      <c r="E11982" s="6">
        <v>0</v>
      </c>
      <c r="F11982" s="6">
        <v>0</v>
      </c>
      <c r="G11982" s="6">
        <v>6</v>
      </c>
      <c r="H11982" s="6" t="s">
        <v>49602</v>
      </c>
      <c r="I11982" s="6">
        <v>526.6875</v>
      </c>
      <c r="J11982" s="2">
        <f t="shared" si="187"/>
        <v>43749.359799166668</v>
      </c>
    </row>
    <row r="11983" spans="1:10" x14ac:dyDescent="0.25">
      <c r="A11983" s="7" t="s">
        <v>49603</v>
      </c>
      <c r="B11983" s="8">
        <v>393.75</v>
      </c>
      <c r="C11983" s="8">
        <v>20.478950000000001</v>
      </c>
      <c r="D11983" s="8">
        <v>76</v>
      </c>
      <c r="E11983" s="8">
        <v>0</v>
      </c>
      <c r="F11983" s="8">
        <v>0</v>
      </c>
      <c r="G11983" s="8">
        <v>11</v>
      </c>
      <c r="H11983" s="8" t="s">
        <v>49604</v>
      </c>
      <c r="I11983" s="8">
        <v>526.5</v>
      </c>
      <c r="J11983" s="3">
        <f t="shared" si="187"/>
        <v>43749.359882407407</v>
      </c>
    </row>
    <row r="11984" spans="1:10" x14ac:dyDescent="0.25">
      <c r="A11984" s="5" t="s">
        <v>49605</v>
      </c>
      <c r="B11984" s="6">
        <v>393.75</v>
      </c>
      <c r="C11984" s="6">
        <v>20.478950000000001</v>
      </c>
      <c r="D11984" s="6">
        <v>75</v>
      </c>
      <c r="E11984" s="6">
        <v>0</v>
      </c>
      <c r="F11984" s="6">
        <v>0</v>
      </c>
      <c r="G11984" s="6">
        <v>4</v>
      </c>
      <c r="H11984" s="6" t="s">
        <v>49606</v>
      </c>
      <c r="I11984" s="6">
        <v>526.6875</v>
      </c>
      <c r="J11984" s="2">
        <f t="shared" si="187"/>
        <v>43749.359972650462</v>
      </c>
    </row>
    <row r="11985" spans="1:10" x14ac:dyDescent="0.25">
      <c r="A11985" s="7" t="s">
        <v>49607</v>
      </c>
      <c r="B11985" s="8">
        <v>393.75</v>
      </c>
      <c r="C11985" s="8">
        <v>20.478950000000001</v>
      </c>
      <c r="D11985" s="8">
        <v>75</v>
      </c>
      <c r="E11985" s="8">
        <v>0</v>
      </c>
      <c r="F11985" s="8">
        <v>0</v>
      </c>
      <c r="G11985" s="8">
        <v>0</v>
      </c>
      <c r="H11985" s="8" t="s">
        <v>49608</v>
      </c>
      <c r="I11985" s="8">
        <v>526.6875</v>
      </c>
      <c r="J11985" s="3">
        <f t="shared" si="187"/>
        <v>43749.360050162031</v>
      </c>
    </row>
    <row r="11986" spans="1:10" x14ac:dyDescent="0.25">
      <c r="A11986" s="5" t="s">
        <v>49609</v>
      </c>
      <c r="B11986" s="6">
        <v>393.75</v>
      </c>
      <c r="C11986" s="6">
        <v>20.478950000000001</v>
      </c>
      <c r="D11986" s="6">
        <v>75</v>
      </c>
      <c r="E11986" s="6">
        <v>0</v>
      </c>
      <c r="F11986" s="6">
        <v>0</v>
      </c>
      <c r="G11986" s="6">
        <v>6</v>
      </c>
      <c r="H11986" s="6" t="s">
        <v>49610</v>
      </c>
      <c r="I11986" s="6">
        <v>526.6875</v>
      </c>
      <c r="J11986" s="2">
        <f t="shared" si="187"/>
        <v>43749.360133171293</v>
      </c>
    </row>
    <row r="11987" spans="1:10" x14ac:dyDescent="0.25">
      <c r="A11987" s="7" t="s">
        <v>49611</v>
      </c>
      <c r="B11987" s="8">
        <v>421.875</v>
      </c>
      <c r="C11987" s="8">
        <v>20.478950000000001</v>
      </c>
      <c r="D11987" s="8">
        <v>75</v>
      </c>
      <c r="E11987" s="8">
        <v>0</v>
      </c>
      <c r="F11987" s="8">
        <v>0</v>
      </c>
      <c r="G11987" s="8">
        <v>7</v>
      </c>
      <c r="H11987" s="8" t="s">
        <v>49612</v>
      </c>
      <c r="I11987" s="8">
        <v>535.875</v>
      </c>
      <c r="J11987" s="3">
        <f t="shared" si="187"/>
        <v>43749.360204606484</v>
      </c>
    </row>
    <row r="11988" spans="1:10" x14ac:dyDescent="0.25">
      <c r="A11988" s="5" t="s">
        <v>49613</v>
      </c>
      <c r="B11988" s="6">
        <v>393.75</v>
      </c>
      <c r="C11988" s="6">
        <v>20.478950000000001</v>
      </c>
      <c r="D11988" s="6">
        <v>74</v>
      </c>
      <c r="E11988" s="6">
        <v>0</v>
      </c>
      <c r="F11988" s="6">
        <v>0</v>
      </c>
      <c r="G11988" s="6">
        <v>5</v>
      </c>
      <c r="H11988" s="6" t="s">
        <v>49614</v>
      </c>
      <c r="I11988" s="6">
        <v>526.6875</v>
      </c>
      <c r="J11988" s="2">
        <f t="shared" si="187"/>
        <v>43749.360288171294</v>
      </c>
    </row>
    <row r="11989" spans="1:10" x14ac:dyDescent="0.25">
      <c r="A11989" s="7" t="s">
        <v>49615</v>
      </c>
      <c r="B11989" s="8">
        <v>393.75</v>
      </c>
      <c r="C11989" s="8">
        <v>20.478950000000001</v>
      </c>
      <c r="D11989" s="8">
        <v>74</v>
      </c>
      <c r="E11989" s="8">
        <v>0</v>
      </c>
      <c r="F11989" s="8">
        <v>0</v>
      </c>
      <c r="G11989" s="8">
        <v>11</v>
      </c>
      <c r="H11989" s="8" t="s">
        <v>49616</v>
      </c>
      <c r="I11989" s="8">
        <v>526.6875</v>
      </c>
      <c r="J11989" s="3">
        <f t="shared" si="187"/>
        <v>43749.360371296294</v>
      </c>
    </row>
    <row r="11990" spans="1:10" x14ac:dyDescent="0.25">
      <c r="A11990" s="5" t="s">
        <v>49617</v>
      </c>
      <c r="B11990" s="6">
        <v>393.75</v>
      </c>
      <c r="C11990" s="6">
        <v>20.478950000000001</v>
      </c>
      <c r="D11990" s="6">
        <v>74</v>
      </c>
      <c r="E11990" s="6">
        <v>0</v>
      </c>
      <c r="F11990" s="6">
        <v>0</v>
      </c>
      <c r="G11990" s="6">
        <v>6</v>
      </c>
      <c r="H11990" s="6" t="s">
        <v>49618</v>
      </c>
      <c r="I11990" s="6">
        <v>526.6875</v>
      </c>
      <c r="J11990" s="2">
        <f t="shared" si="187"/>
        <v>43749.360442939811</v>
      </c>
    </row>
    <row r="11991" spans="1:10" x14ac:dyDescent="0.25">
      <c r="A11991" s="7" t="s">
        <v>49619</v>
      </c>
      <c r="B11991" s="8">
        <v>393.75</v>
      </c>
      <c r="C11991" s="8">
        <v>20.478950000000001</v>
      </c>
      <c r="D11991" s="8">
        <v>74</v>
      </c>
      <c r="E11991" s="8">
        <v>0</v>
      </c>
      <c r="F11991" s="8">
        <v>0</v>
      </c>
      <c r="G11991" s="8">
        <v>10</v>
      </c>
      <c r="H11991" s="8" t="s">
        <v>49620</v>
      </c>
      <c r="I11991" s="8">
        <v>526.6875</v>
      </c>
      <c r="J11991" s="3">
        <f t="shared" si="187"/>
        <v>43749.360526840275</v>
      </c>
    </row>
    <row r="11992" spans="1:10" x14ac:dyDescent="0.25">
      <c r="A11992" s="5" t="s">
        <v>49621</v>
      </c>
      <c r="B11992" s="6">
        <v>393.75</v>
      </c>
      <c r="C11992" s="6">
        <v>20.478950000000001</v>
      </c>
      <c r="D11992" s="6">
        <v>74</v>
      </c>
      <c r="E11992" s="6">
        <v>0</v>
      </c>
      <c r="F11992" s="6">
        <v>0</v>
      </c>
      <c r="G11992" s="6">
        <v>1</v>
      </c>
      <c r="H11992" s="6" t="s">
        <v>49622</v>
      </c>
      <c r="I11992" s="6">
        <v>526.5</v>
      </c>
      <c r="J11992" s="2">
        <f t="shared" si="187"/>
        <v>43749.360610046293</v>
      </c>
    </row>
    <row r="11993" spans="1:10" x14ac:dyDescent="0.25">
      <c r="A11993" s="7" t="s">
        <v>49623</v>
      </c>
      <c r="B11993" s="8">
        <v>393.75</v>
      </c>
      <c r="C11993" s="8">
        <v>20.478950000000001</v>
      </c>
      <c r="D11993" s="8">
        <v>74</v>
      </c>
      <c r="E11993" s="8">
        <v>0</v>
      </c>
      <c r="F11993" s="8">
        <v>0</v>
      </c>
      <c r="G11993" s="8">
        <v>2</v>
      </c>
      <c r="H11993" s="8" t="s">
        <v>49624</v>
      </c>
      <c r="I11993" s="8">
        <v>526.6875</v>
      </c>
      <c r="J11993" s="3">
        <f t="shared" si="187"/>
        <v>43749.360693506947</v>
      </c>
    </row>
    <row r="11994" spans="1:10" x14ac:dyDescent="0.25">
      <c r="A11994" s="5" t="s">
        <v>49625</v>
      </c>
      <c r="B11994" s="6">
        <v>393.75</v>
      </c>
      <c r="C11994" s="6">
        <v>20.478950000000001</v>
      </c>
      <c r="D11994" s="6">
        <v>75</v>
      </c>
      <c r="E11994" s="6">
        <v>0</v>
      </c>
      <c r="F11994" s="6">
        <v>0</v>
      </c>
      <c r="G11994" s="6">
        <v>10</v>
      </c>
      <c r="H11994" s="6" t="s">
        <v>49626</v>
      </c>
      <c r="I11994" s="6">
        <v>526.6875</v>
      </c>
      <c r="J11994" s="2">
        <f t="shared" si="187"/>
        <v>43749.36077717592</v>
      </c>
    </row>
    <row r="11995" spans="1:10" x14ac:dyDescent="0.25">
      <c r="A11995" s="7" t="s">
        <v>49627</v>
      </c>
      <c r="B11995" s="8">
        <v>393.75</v>
      </c>
      <c r="C11995" s="8">
        <v>20.478950000000001</v>
      </c>
      <c r="D11995" s="8">
        <v>76</v>
      </c>
      <c r="E11995" s="8">
        <v>0</v>
      </c>
      <c r="F11995" s="8">
        <v>0</v>
      </c>
      <c r="G11995" s="8">
        <v>5</v>
      </c>
      <c r="H11995" s="8" t="s">
        <v>49628</v>
      </c>
      <c r="I11995" s="8">
        <v>526.6875</v>
      </c>
      <c r="J11995" s="3">
        <f t="shared" si="187"/>
        <v>43749.360860185181</v>
      </c>
    </row>
    <row r="11996" spans="1:10" x14ac:dyDescent="0.25">
      <c r="A11996" s="5" t="s">
        <v>49629</v>
      </c>
      <c r="B11996" s="6">
        <v>393.75</v>
      </c>
      <c r="C11996" s="6">
        <v>20.478950000000001</v>
      </c>
      <c r="D11996" s="6">
        <v>76</v>
      </c>
      <c r="E11996" s="6">
        <v>0</v>
      </c>
      <c r="F11996" s="6">
        <v>0</v>
      </c>
      <c r="G11996" s="6">
        <v>11</v>
      </c>
      <c r="H11996" s="6" t="s">
        <v>49630</v>
      </c>
      <c r="I11996" s="6">
        <v>526.6875</v>
      </c>
      <c r="J11996" s="2">
        <f t="shared" si="187"/>
        <v>43749.360931828698</v>
      </c>
    </row>
    <row r="11997" spans="1:10" x14ac:dyDescent="0.25">
      <c r="A11997" s="7" t="s">
        <v>49631</v>
      </c>
      <c r="B11997" s="8">
        <v>393.75</v>
      </c>
      <c r="C11997" s="8">
        <v>20.478950000000001</v>
      </c>
      <c r="D11997" s="8">
        <v>76</v>
      </c>
      <c r="E11997" s="8">
        <v>0</v>
      </c>
      <c r="F11997" s="8">
        <v>0</v>
      </c>
      <c r="G11997" s="8">
        <v>6</v>
      </c>
      <c r="H11997" s="8" t="s">
        <v>49632</v>
      </c>
      <c r="I11997" s="8">
        <v>526.5</v>
      </c>
      <c r="J11997" s="3">
        <f t="shared" si="187"/>
        <v>43749.361015729162</v>
      </c>
    </row>
    <row r="11998" spans="1:10" x14ac:dyDescent="0.25">
      <c r="A11998" s="5" t="s">
        <v>49633</v>
      </c>
      <c r="B11998" s="6">
        <v>393.75</v>
      </c>
      <c r="C11998" s="6">
        <v>20.478950000000001</v>
      </c>
      <c r="D11998" s="6">
        <v>76</v>
      </c>
      <c r="E11998" s="6">
        <v>0</v>
      </c>
      <c r="F11998" s="6">
        <v>0</v>
      </c>
      <c r="G11998" s="6">
        <v>4</v>
      </c>
      <c r="H11998" s="6" t="s">
        <v>49634</v>
      </c>
      <c r="I11998" s="6">
        <v>526.5</v>
      </c>
      <c r="J11998" s="2">
        <f t="shared" si="187"/>
        <v>43749.361099062495</v>
      </c>
    </row>
    <row r="11999" spans="1:10" x14ac:dyDescent="0.25">
      <c r="A11999" s="7" t="s">
        <v>49635</v>
      </c>
      <c r="B11999" s="8">
        <v>393.75</v>
      </c>
      <c r="C11999" s="8">
        <v>20.478950000000001</v>
      </c>
      <c r="D11999" s="8">
        <v>77</v>
      </c>
      <c r="E11999" s="8">
        <v>0</v>
      </c>
      <c r="F11999" s="8">
        <v>0</v>
      </c>
      <c r="G11999" s="8">
        <v>12</v>
      </c>
      <c r="H11999" s="8" t="s">
        <v>49636</v>
      </c>
      <c r="I11999" s="8">
        <v>526.5</v>
      </c>
      <c r="J11999" s="3">
        <f t="shared" si="187"/>
        <v>43749.361182395827</v>
      </c>
    </row>
    <row r="12000" spans="1:10" x14ac:dyDescent="0.25">
      <c r="A12000" s="5" t="s">
        <v>49637</v>
      </c>
      <c r="B12000" s="6">
        <v>393.75</v>
      </c>
      <c r="C12000" s="6">
        <v>20.478950000000001</v>
      </c>
      <c r="D12000" s="6">
        <v>76</v>
      </c>
      <c r="E12000" s="6">
        <v>0</v>
      </c>
      <c r="F12000" s="6">
        <v>0</v>
      </c>
      <c r="G12000" s="6">
        <v>9</v>
      </c>
      <c r="H12000" s="6" t="s">
        <v>49638</v>
      </c>
      <c r="I12000" s="6">
        <v>526.6875</v>
      </c>
      <c r="J12000" s="2">
        <f t="shared" si="187"/>
        <v>43749.361278090277</v>
      </c>
    </row>
    <row r="12001" spans="1:10" x14ac:dyDescent="0.25">
      <c r="A12001" s="7" t="s">
        <v>49639</v>
      </c>
      <c r="B12001" s="8">
        <v>393.75</v>
      </c>
      <c r="C12001" s="8">
        <v>20.478950000000001</v>
      </c>
      <c r="D12001" s="8">
        <v>75</v>
      </c>
      <c r="E12001" s="8">
        <v>0</v>
      </c>
      <c r="F12001" s="8">
        <v>0</v>
      </c>
      <c r="G12001" s="8">
        <v>13</v>
      </c>
      <c r="H12001" s="8" t="s">
        <v>49640</v>
      </c>
      <c r="I12001" s="8">
        <v>526.6875</v>
      </c>
      <c r="J12001" s="3">
        <f t="shared" si="187"/>
        <v>43749.361361527779</v>
      </c>
    </row>
    <row r="12002" spans="1:10" x14ac:dyDescent="0.25">
      <c r="A12002" s="5" t="s">
        <v>49641</v>
      </c>
      <c r="B12002" s="6">
        <v>393.75</v>
      </c>
      <c r="C12002" s="6">
        <v>20.478950000000001</v>
      </c>
      <c r="D12002" s="6">
        <v>75</v>
      </c>
      <c r="E12002" s="6">
        <v>0</v>
      </c>
      <c r="F12002" s="6">
        <v>0</v>
      </c>
      <c r="G12002" s="6">
        <v>12</v>
      </c>
      <c r="H12002" s="6" t="s">
        <v>49642</v>
      </c>
      <c r="I12002" s="6">
        <v>526.6875</v>
      </c>
      <c r="J12002" s="2">
        <f t="shared" si="187"/>
        <v>43749.361444548609</v>
      </c>
    </row>
    <row r="12003" spans="1:10" x14ac:dyDescent="0.25">
      <c r="A12003" s="7" t="s">
        <v>49643</v>
      </c>
      <c r="B12003" s="8">
        <v>393.75</v>
      </c>
      <c r="C12003" s="8">
        <v>20.478950000000001</v>
      </c>
      <c r="D12003" s="8">
        <v>75</v>
      </c>
      <c r="E12003" s="8">
        <v>0</v>
      </c>
      <c r="F12003" s="8">
        <v>0</v>
      </c>
      <c r="G12003" s="8">
        <v>9</v>
      </c>
      <c r="H12003" s="8" t="s">
        <v>49644</v>
      </c>
      <c r="I12003" s="8">
        <v>526.5</v>
      </c>
      <c r="J12003" s="3">
        <f t="shared" si="187"/>
        <v>43749.361528333327</v>
      </c>
    </row>
    <row r="12004" spans="1:10" x14ac:dyDescent="0.25">
      <c r="A12004" s="5" t="s">
        <v>49645</v>
      </c>
      <c r="B12004" s="6">
        <v>412.5</v>
      </c>
      <c r="C12004" s="6">
        <v>20.478950000000001</v>
      </c>
      <c r="D12004" s="6">
        <v>74</v>
      </c>
      <c r="E12004" s="6">
        <v>0</v>
      </c>
      <c r="F12004" s="6">
        <v>0</v>
      </c>
      <c r="G12004" s="6">
        <v>4</v>
      </c>
      <c r="H12004" s="6" t="s">
        <v>49646</v>
      </c>
      <c r="I12004" s="6">
        <v>532.125</v>
      </c>
      <c r="J12004" s="2">
        <f t="shared" si="187"/>
        <v>43749.361612106477</v>
      </c>
    </row>
    <row r="12005" spans="1:10" x14ac:dyDescent="0.25">
      <c r="A12005" s="7" t="s">
        <v>49647</v>
      </c>
      <c r="B12005" s="8">
        <v>393.75</v>
      </c>
      <c r="C12005" s="8">
        <v>20.426300000000001</v>
      </c>
      <c r="D12005" s="8">
        <v>74</v>
      </c>
      <c r="E12005" s="8">
        <v>0</v>
      </c>
      <c r="F12005" s="8">
        <v>0</v>
      </c>
      <c r="G12005" s="8">
        <v>7</v>
      </c>
      <c r="H12005" s="8" t="s">
        <v>49648</v>
      </c>
      <c r="I12005" s="8">
        <v>526.6875</v>
      </c>
      <c r="J12005" s="3">
        <f t="shared" si="187"/>
        <v>43749.361695347216</v>
      </c>
    </row>
    <row r="12006" spans="1:10" x14ac:dyDescent="0.25">
      <c r="A12006" s="5" t="s">
        <v>49649</v>
      </c>
      <c r="B12006" s="6">
        <v>393.75</v>
      </c>
      <c r="C12006" s="6">
        <v>20.478950000000001</v>
      </c>
      <c r="D12006" s="6">
        <v>74</v>
      </c>
      <c r="E12006" s="6">
        <v>0</v>
      </c>
      <c r="F12006" s="6">
        <v>0</v>
      </c>
      <c r="G12006" s="6">
        <v>8</v>
      </c>
      <c r="H12006" s="6" t="s">
        <v>49650</v>
      </c>
      <c r="I12006" s="6">
        <v>526.6875</v>
      </c>
      <c r="J12006" s="2">
        <f t="shared" si="187"/>
        <v>43749.361778680548</v>
      </c>
    </row>
    <row r="12007" spans="1:10" x14ac:dyDescent="0.25">
      <c r="A12007" s="7" t="s">
        <v>49651</v>
      </c>
      <c r="B12007" s="8">
        <v>393.75</v>
      </c>
      <c r="C12007" s="8">
        <v>20.478950000000001</v>
      </c>
      <c r="D12007" s="8">
        <v>74</v>
      </c>
      <c r="E12007" s="8">
        <v>0</v>
      </c>
      <c r="F12007" s="8">
        <v>0</v>
      </c>
      <c r="G12007" s="8">
        <v>11</v>
      </c>
      <c r="H12007" s="8" t="s">
        <v>49652</v>
      </c>
      <c r="I12007" s="8">
        <v>526.6875</v>
      </c>
      <c r="J12007" s="3">
        <f t="shared" si="187"/>
        <v>43749.361850335648</v>
      </c>
    </row>
    <row r="12008" spans="1:10" x14ac:dyDescent="0.25">
      <c r="A12008" s="5" t="s">
        <v>49653</v>
      </c>
      <c r="B12008" s="6">
        <v>393.75</v>
      </c>
      <c r="C12008" s="6">
        <v>20.478950000000001</v>
      </c>
      <c r="D12008" s="6">
        <v>73</v>
      </c>
      <c r="E12008" s="6">
        <v>0</v>
      </c>
      <c r="F12008" s="6">
        <v>0</v>
      </c>
      <c r="G12008" s="6">
        <v>1</v>
      </c>
      <c r="H12008" s="6" t="s">
        <v>49654</v>
      </c>
      <c r="I12008" s="6">
        <v>526.6875</v>
      </c>
      <c r="J12008" s="2">
        <f t="shared" si="187"/>
        <v>43749.361933877313</v>
      </c>
    </row>
    <row r="12009" spans="1:10" x14ac:dyDescent="0.25">
      <c r="A12009" s="7" t="s">
        <v>49655</v>
      </c>
      <c r="B12009" s="8">
        <v>418.75</v>
      </c>
      <c r="C12009" s="8">
        <v>20.478950000000001</v>
      </c>
      <c r="D12009" s="8">
        <v>72</v>
      </c>
      <c r="E12009" s="8">
        <v>0</v>
      </c>
      <c r="F12009" s="8">
        <v>0</v>
      </c>
      <c r="G12009" s="8">
        <v>11</v>
      </c>
      <c r="H12009" s="8" t="s">
        <v>49656</v>
      </c>
      <c r="I12009" s="8">
        <v>534.9375</v>
      </c>
      <c r="J12009" s="3">
        <f t="shared" si="187"/>
        <v>43749.362029074073</v>
      </c>
    </row>
    <row r="12010" spans="1:10" x14ac:dyDescent="0.25">
      <c r="A12010" s="5" t="s">
        <v>49657</v>
      </c>
      <c r="B12010" s="6">
        <v>393.75</v>
      </c>
      <c r="C12010" s="6">
        <v>20.478950000000001</v>
      </c>
      <c r="D12010" s="6">
        <v>72</v>
      </c>
      <c r="E12010" s="6">
        <v>0</v>
      </c>
      <c r="F12010" s="6">
        <v>0</v>
      </c>
      <c r="G12010" s="6">
        <v>15</v>
      </c>
      <c r="H12010" s="6" t="s">
        <v>49658</v>
      </c>
      <c r="I12010" s="6">
        <v>526.6875</v>
      </c>
      <c r="J12010" s="2">
        <f t="shared" si="187"/>
        <v>43749.362112708332</v>
      </c>
    </row>
    <row r="12011" spans="1:10" x14ac:dyDescent="0.25">
      <c r="A12011" s="7" t="s">
        <v>49659</v>
      </c>
      <c r="B12011" s="8">
        <v>412.5</v>
      </c>
      <c r="C12011" s="8">
        <v>20.478950000000001</v>
      </c>
      <c r="D12011" s="8">
        <v>71</v>
      </c>
      <c r="E12011" s="8">
        <v>0</v>
      </c>
      <c r="F12011" s="8">
        <v>0</v>
      </c>
      <c r="G12011" s="8">
        <v>9</v>
      </c>
      <c r="H12011" s="8" t="s">
        <v>49660</v>
      </c>
      <c r="I12011" s="8">
        <v>532.3125</v>
      </c>
      <c r="J12011" s="3">
        <f t="shared" si="187"/>
        <v>43749.362184351849</v>
      </c>
    </row>
    <row r="12012" spans="1:10" x14ac:dyDescent="0.25">
      <c r="A12012" s="5" t="s">
        <v>49661</v>
      </c>
      <c r="B12012" s="6">
        <v>393.75</v>
      </c>
      <c r="C12012" s="6">
        <v>20.478950000000001</v>
      </c>
      <c r="D12012" s="6">
        <v>71</v>
      </c>
      <c r="E12012" s="6">
        <v>0</v>
      </c>
      <c r="F12012" s="6">
        <v>0</v>
      </c>
      <c r="G12012" s="6">
        <v>1</v>
      </c>
      <c r="H12012" s="6" t="s">
        <v>49662</v>
      </c>
      <c r="I12012" s="6">
        <v>526.6875</v>
      </c>
      <c r="J12012" s="2">
        <f t="shared" si="187"/>
        <v>43749.362267581011</v>
      </c>
    </row>
    <row r="12013" spans="1:10" x14ac:dyDescent="0.25">
      <c r="A12013" s="7" t="s">
        <v>49663</v>
      </c>
      <c r="B12013" s="8">
        <v>393.75</v>
      </c>
      <c r="C12013" s="8">
        <v>20.478950000000001</v>
      </c>
      <c r="D12013" s="8">
        <v>71</v>
      </c>
      <c r="E12013" s="8">
        <v>0</v>
      </c>
      <c r="F12013" s="8">
        <v>0</v>
      </c>
      <c r="G12013" s="8">
        <v>9</v>
      </c>
      <c r="H12013" s="8" t="s">
        <v>49664</v>
      </c>
      <c r="I12013" s="8">
        <v>526.6875</v>
      </c>
      <c r="J12013" s="3">
        <f t="shared" si="187"/>
        <v>43749.362351261567</v>
      </c>
    </row>
    <row r="12014" spans="1:10" x14ac:dyDescent="0.25">
      <c r="A12014" s="5" t="s">
        <v>49665</v>
      </c>
      <c r="B12014" s="6">
        <v>393.75</v>
      </c>
      <c r="C12014" s="6">
        <v>20.478950000000001</v>
      </c>
      <c r="D12014" s="6">
        <v>72</v>
      </c>
      <c r="E12014" s="6">
        <v>0</v>
      </c>
      <c r="F12014" s="6">
        <v>0</v>
      </c>
      <c r="G12014" s="6">
        <v>3</v>
      </c>
      <c r="H12014" s="6" t="s">
        <v>49666</v>
      </c>
      <c r="I12014" s="6">
        <v>526.6875</v>
      </c>
      <c r="J12014" s="2">
        <f t="shared" si="187"/>
        <v>43749.362434363422</v>
      </c>
    </row>
    <row r="12015" spans="1:10" x14ac:dyDescent="0.25">
      <c r="A12015" s="7" t="s">
        <v>49667</v>
      </c>
      <c r="B12015" s="8">
        <v>393.75</v>
      </c>
      <c r="C12015" s="8">
        <v>20.478950000000001</v>
      </c>
      <c r="D12015" s="8">
        <v>72</v>
      </c>
      <c r="E12015" s="8">
        <v>0</v>
      </c>
      <c r="F12015" s="8">
        <v>0</v>
      </c>
      <c r="G12015" s="8">
        <v>9</v>
      </c>
      <c r="H12015" s="8" t="s">
        <v>49668</v>
      </c>
      <c r="I12015" s="8">
        <v>526.6875</v>
      </c>
      <c r="J12015" s="3">
        <f t="shared" si="187"/>
        <v>43749.3625058912</v>
      </c>
    </row>
    <row r="12016" spans="1:10" x14ac:dyDescent="0.25">
      <c r="A12016" s="5" t="s">
        <v>49669</v>
      </c>
      <c r="B12016" s="6">
        <v>393.75</v>
      </c>
      <c r="C12016" s="6">
        <v>20.478950000000001</v>
      </c>
      <c r="D12016" s="6">
        <v>72</v>
      </c>
      <c r="E12016" s="6">
        <v>0</v>
      </c>
      <c r="F12016" s="6">
        <v>0</v>
      </c>
      <c r="G12016" s="6">
        <v>11</v>
      </c>
      <c r="H12016" s="6" t="s">
        <v>49670</v>
      </c>
      <c r="I12016" s="6">
        <v>526.6875</v>
      </c>
      <c r="J12016" s="2">
        <f t="shared" si="187"/>
        <v>43749.362589895834</v>
      </c>
    </row>
    <row r="12017" spans="1:10" x14ac:dyDescent="0.25">
      <c r="A12017" s="7" t="s">
        <v>49671</v>
      </c>
      <c r="B12017" s="8">
        <v>393.75</v>
      </c>
      <c r="C12017" s="8">
        <v>20.478950000000001</v>
      </c>
      <c r="D12017" s="8">
        <v>75</v>
      </c>
      <c r="E12017" s="8">
        <v>0</v>
      </c>
      <c r="F12017" s="8">
        <v>0</v>
      </c>
      <c r="G12017" s="8">
        <v>7</v>
      </c>
      <c r="H12017" s="8" t="s">
        <v>49672</v>
      </c>
      <c r="I12017" s="8">
        <v>526.6875</v>
      </c>
      <c r="J12017" s="3">
        <f t="shared" si="187"/>
        <v>43749.362673252312</v>
      </c>
    </row>
    <row r="12018" spans="1:10" x14ac:dyDescent="0.25">
      <c r="A12018" s="5" t="s">
        <v>49673</v>
      </c>
      <c r="B12018" s="6">
        <v>393.75</v>
      </c>
      <c r="C12018" s="6">
        <v>20.478950000000001</v>
      </c>
      <c r="D12018" s="6">
        <v>75</v>
      </c>
      <c r="E12018" s="6">
        <v>0</v>
      </c>
      <c r="F12018" s="6">
        <v>0</v>
      </c>
      <c r="G12018" s="6">
        <v>4</v>
      </c>
      <c r="H12018" s="6" t="s">
        <v>49674</v>
      </c>
      <c r="I12018" s="6">
        <v>526.5</v>
      </c>
      <c r="J12018" s="2">
        <f t="shared" si="187"/>
        <v>43749.362756458329</v>
      </c>
    </row>
    <row r="12019" spans="1:10" x14ac:dyDescent="0.25">
      <c r="A12019" s="7" t="s">
        <v>49675</v>
      </c>
      <c r="B12019" s="8">
        <v>393.75</v>
      </c>
      <c r="C12019" s="8">
        <v>20.478950000000001</v>
      </c>
      <c r="D12019" s="8">
        <v>75</v>
      </c>
      <c r="E12019" s="8">
        <v>0</v>
      </c>
      <c r="F12019" s="8">
        <v>0</v>
      </c>
      <c r="G12019" s="8">
        <v>10</v>
      </c>
      <c r="H12019" s="8" t="s">
        <v>49676</v>
      </c>
      <c r="I12019" s="8">
        <v>526.6875</v>
      </c>
      <c r="J12019" s="3">
        <f t="shared" si="187"/>
        <v>43749.36284016203</v>
      </c>
    </row>
    <row r="12020" spans="1:10" x14ac:dyDescent="0.25">
      <c r="A12020" s="5" t="s">
        <v>49677</v>
      </c>
      <c r="B12020" s="6">
        <v>393.75</v>
      </c>
      <c r="C12020" s="6">
        <v>20.478950000000001</v>
      </c>
      <c r="D12020" s="6">
        <v>75</v>
      </c>
      <c r="E12020" s="6">
        <v>0</v>
      </c>
      <c r="F12020" s="6">
        <v>0</v>
      </c>
      <c r="G12020" s="6">
        <v>5</v>
      </c>
      <c r="H12020" s="6" t="s">
        <v>49678</v>
      </c>
      <c r="I12020" s="6">
        <v>526.6875</v>
      </c>
      <c r="J12020" s="2">
        <f t="shared" si="187"/>
        <v>43749.362923275461</v>
      </c>
    </row>
    <row r="12021" spans="1:10" x14ac:dyDescent="0.25">
      <c r="A12021" s="7" t="s">
        <v>49679</v>
      </c>
      <c r="B12021" s="8">
        <v>421.875</v>
      </c>
      <c r="C12021" s="8">
        <v>20.478950000000001</v>
      </c>
      <c r="D12021" s="8">
        <v>75</v>
      </c>
      <c r="E12021" s="8">
        <v>0</v>
      </c>
      <c r="F12021" s="8">
        <v>0</v>
      </c>
      <c r="G12021" s="8">
        <v>7</v>
      </c>
      <c r="H12021" s="8" t="s">
        <v>49680</v>
      </c>
      <c r="I12021" s="8">
        <v>535.5</v>
      </c>
      <c r="J12021" s="3">
        <f t="shared" si="187"/>
        <v>43749.362995115742</v>
      </c>
    </row>
    <row r="12022" spans="1:10" x14ac:dyDescent="0.25">
      <c r="A12022" s="5" t="s">
        <v>49681</v>
      </c>
      <c r="B12022" s="6">
        <v>393.75</v>
      </c>
      <c r="C12022" s="6">
        <v>20.478950000000001</v>
      </c>
      <c r="D12022" s="6">
        <v>75</v>
      </c>
      <c r="E12022" s="6">
        <v>0</v>
      </c>
      <c r="F12022" s="6">
        <v>0</v>
      </c>
      <c r="G12022" s="6">
        <v>10</v>
      </c>
      <c r="H12022" s="6" t="s">
        <v>49682</v>
      </c>
      <c r="I12022" s="6">
        <v>526.6875</v>
      </c>
      <c r="J12022" s="2">
        <f t="shared" si="187"/>
        <v>43749.363078680552</v>
      </c>
    </row>
    <row r="12023" spans="1:10" x14ac:dyDescent="0.25">
      <c r="A12023" s="7" t="s">
        <v>49683</v>
      </c>
      <c r="B12023" s="8">
        <v>393.75</v>
      </c>
      <c r="C12023" s="8">
        <v>20.478950000000001</v>
      </c>
      <c r="D12023" s="8">
        <v>73</v>
      </c>
      <c r="E12023" s="8">
        <v>0</v>
      </c>
      <c r="F12023" s="8">
        <v>0</v>
      </c>
      <c r="G12023" s="8">
        <v>10</v>
      </c>
      <c r="H12023" s="8" t="s">
        <v>49684</v>
      </c>
      <c r="I12023" s="8">
        <v>526.6875</v>
      </c>
      <c r="J12023" s="3">
        <f t="shared" si="187"/>
        <v>43749.363162152775</v>
      </c>
    </row>
    <row r="12024" spans="1:10" x14ac:dyDescent="0.25">
      <c r="A12024" s="5" t="s">
        <v>49685</v>
      </c>
      <c r="B12024" s="6">
        <v>393.75</v>
      </c>
      <c r="C12024" s="6">
        <v>20.478950000000001</v>
      </c>
      <c r="D12024" s="6">
        <v>72</v>
      </c>
      <c r="E12024" s="6">
        <v>0</v>
      </c>
      <c r="F12024" s="6">
        <v>0</v>
      </c>
      <c r="G12024" s="6">
        <v>14</v>
      </c>
      <c r="H12024" s="6" t="s">
        <v>49686</v>
      </c>
      <c r="I12024" s="6">
        <v>526.6875</v>
      </c>
      <c r="J12024" s="2">
        <f t="shared" si="187"/>
        <v>43749.363247905094</v>
      </c>
    </row>
    <row r="12025" spans="1:10" x14ac:dyDescent="0.25">
      <c r="A12025" s="7" t="s">
        <v>49687</v>
      </c>
      <c r="B12025" s="8">
        <v>393.75</v>
      </c>
      <c r="C12025" s="8">
        <v>20.478950000000001</v>
      </c>
      <c r="D12025" s="8">
        <v>73</v>
      </c>
      <c r="E12025" s="8">
        <v>0</v>
      </c>
      <c r="F12025" s="8">
        <v>0</v>
      </c>
      <c r="G12025" s="8">
        <v>14</v>
      </c>
      <c r="H12025" s="8" t="s">
        <v>49688</v>
      </c>
      <c r="I12025" s="8">
        <v>526.6875</v>
      </c>
      <c r="J12025" s="3">
        <f t="shared" si="187"/>
        <v>43749.363329039348</v>
      </c>
    </row>
    <row r="12026" spans="1:10" x14ac:dyDescent="0.25">
      <c r="A12026" s="5" t="s">
        <v>49689</v>
      </c>
      <c r="B12026" s="6">
        <v>418.75</v>
      </c>
      <c r="C12026" s="6">
        <v>20.478950000000001</v>
      </c>
      <c r="D12026" s="6">
        <v>73</v>
      </c>
      <c r="E12026" s="6">
        <v>0</v>
      </c>
      <c r="F12026" s="6">
        <v>0</v>
      </c>
      <c r="G12026" s="6">
        <v>8</v>
      </c>
      <c r="H12026" s="6" t="s">
        <v>49690</v>
      </c>
      <c r="I12026" s="6">
        <v>534.9375</v>
      </c>
      <c r="J12026" s="2">
        <f t="shared" si="187"/>
        <v>43749.363412719904</v>
      </c>
    </row>
    <row r="12027" spans="1:10" x14ac:dyDescent="0.25">
      <c r="A12027" s="7" t="s">
        <v>49691</v>
      </c>
      <c r="B12027" s="8">
        <v>393.75</v>
      </c>
      <c r="C12027" s="8">
        <v>20.478950000000001</v>
      </c>
      <c r="D12027" s="8">
        <v>71</v>
      </c>
      <c r="E12027" s="8">
        <v>0</v>
      </c>
      <c r="F12027" s="8">
        <v>0</v>
      </c>
      <c r="G12027" s="8">
        <v>2</v>
      </c>
      <c r="H12027" s="8" t="s">
        <v>49692</v>
      </c>
      <c r="I12027" s="8">
        <v>526.6875</v>
      </c>
      <c r="J12027" s="3">
        <f t="shared" si="187"/>
        <v>43749.36349604166</v>
      </c>
    </row>
    <row r="12028" spans="1:10" x14ac:dyDescent="0.25">
      <c r="A12028" s="5" t="s">
        <v>49693</v>
      </c>
      <c r="B12028" s="6">
        <v>393.75</v>
      </c>
      <c r="C12028" s="6">
        <v>20.478950000000001</v>
      </c>
      <c r="D12028" s="6">
        <v>69</v>
      </c>
      <c r="E12028" s="6">
        <v>0</v>
      </c>
      <c r="F12028" s="6">
        <v>0</v>
      </c>
      <c r="G12028" s="6">
        <v>7</v>
      </c>
      <c r="H12028" s="6" t="s">
        <v>49694</v>
      </c>
      <c r="I12028" s="6">
        <v>526.6875</v>
      </c>
      <c r="J12028" s="2">
        <f t="shared" si="187"/>
        <v>43749.363579525459</v>
      </c>
    </row>
    <row r="12029" spans="1:10" x14ac:dyDescent="0.25">
      <c r="A12029" s="7" t="s">
        <v>49695</v>
      </c>
      <c r="B12029" s="8">
        <v>393.75</v>
      </c>
      <c r="C12029" s="8">
        <v>20.478950000000001</v>
      </c>
      <c r="D12029" s="8">
        <v>70</v>
      </c>
      <c r="E12029" s="8">
        <v>0</v>
      </c>
      <c r="F12029" s="8">
        <v>0</v>
      </c>
      <c r="G12029" s="8">
        <v>8</v>
      </c>
      <c r="H12029" s="8" t="s">
        <v>49696</v>
      </c>
      <c r="I12029" s="8">
        <v>526.6875</v>
      </c>
      <c r="J12029" s="3">
        <f t="shared" si="187"/>
        <v>43749.363662939817</v>
      </c>
    </row>
    <row r="12030" spans="1:10" x14ac:dyDescent="0.25">
      <c r="A12030" s="5" t="s">
        <v>49697</v>
      </c>
      <c r="B12030" s="6">
        <v>393.75</v>
      </c>
      <c r="C12030" s="6">
        <v>20.426300000000001</v>
      </c>
      <c r="D12030" s="6">
        <v>71</v>
      </c>
      <c r="E12030" s="6">
        <v>0</v>
      </c>
      <c r="F12030" s="6">
        <v>0</v>
      </c>
      <c r="G12030" s="6">
        <v>7</v>
      </c>
      <c r="H12030" s="6" t="s">
        <v>49698</v>
      </c>
      <c r="I12030" s="6">
        <v>526.6875</v>
      </c>
      <c r="J12030" s="2">
        <f t="shared" si="187"/>
        <v>43749.363746400464</v>
      </c>
    </row>
    <row r="12031" spans="1:10" x14ac:dyDescent="0.25">
      <c r="A12031" s="7" t="s">
        <v>49699</v>
      </c>
      <c r="B12031" s="8">
        <v>393.75</v>
      </c>
      <c r="C12031" s="8">
        <v>20.478950000000001</v>
      </c>
      <c r="D12031" s="8">
        <v>72</v>
      </c>
      <c r="E12031" s="8">
        <v>0</v>
      </c>
      <c r="F12031" s="8">
        <v>0</v>
      </c>
      <c r="G12031" s="8">
        <v>16</v>
      </c>
      <c r="H12031" s="8" t="s">
        <v>49700</v>
      </c>
      <c r="I12031" s="8">
        <v>526.5</v>
      </c>
      <c r="J12031" s="3">
        <f t="shared" si="187"/>
        <v>43749.363829837959</v>
      </c>
    </row>
    <row r="12032" spans="1:10" x14ac:dyDescent="0.25">
      <c r="A12032" s="5" t="s">
        <v>49701</v>
      </c>
      <c r="B12032" s="6">
        <v>393.75</v>
      </c>
      <c r="C12032" s="6">
        <v>20.478950000000001</v>
      </c>
      <c r="D12032" s="6">
        <v>74</v>
      </c>
      <c r="E12032" s="6">
        <v>0</v>
      </c>
      <c r="F12032" s="6">
        <v>0</v>
      </c>
      <c r="G12032" s="6">
        <v>11</v>
      </c>
      <c r="H12032" s="6" t="s">
        <v>49702</v>
      </c>
      <c r="I12032" s="6">
        <v>526.5</v>
      </c>
      <c r="J12032" s="2">
        <f t="shared" si="187"/>
        <v>43749.363901620367</v>
      </c>
    </row>
    <row r="12033" spans="1:10" x14ac:dyDescent="0.25">
      <c r="A12033" s="7" t="s">
        <v>49703</v>
      </c>
      <c r="B12033" s="8">
        <v>393.75</v>
      </c>
      <c r="C12033" s="8">
        <v>20.478950000000001</v>
      </c>
      <c r="D12033" s="8">
        <v>69</v>
      </c>
      <c r="E12033" s="8">
        <v>0</v>
      </c>
      <c r="F12033" s="8">
        <v>0</v>
      </c>
      <c r="G12033" s="8">
        <v>7</v>
      </c>
      <c r="H12033" s="8" t="s">
        <v>49704</v>
      </c>
      <c r="I12033" s="8">
        <v>526.6875</v>
      </c>
      <c r="J12033" s="3">
        <f t="shared" si="187"/>
        <v>43749.363986516204</v>
      </c>
    </row>
    <row r="12034" spans="1:10" x14ac:dyDescent="0.25">
      <c r="A12034" s="5" t="s">
        <v>49705</v>
      </c>
      <c r="B12034" s="6">
        <v>393.75</v>
      </c>
      <c r="C12034" s="6">
        <v>20.478950000000001</v>
      </c>
      <c r="D12034" s="6">
        <v>70</v>
      </c>
      <c r="E12034" s="6">
        <v>0</v>
      </c>
      <c r="F12034" s="6">
        <v>0</v>
      </c>
      <c r="G12034" s="6">
        <v>6</v>
      </c>
      <c r="H12034" s="6" t="s">
        <v>49706</v>
      </c>
      <c r="I12034" s="6">
        <v>526.6875</v>
      </c>
      <c r="J12034" s="2">
        <f t="shared" ref="J12034:J12097" si="188">(H12034/86400000)+25569+(7/24)</f>
        <v>43749.36406840277</v>
      </c>
    </row>
    <row r="12035" spans="1:10" x14ac:dyDescent="0.25">
      <c r="A12035" s="7" t="s">
        <v>49707</v>
      </c>
      <c r="B12035" s="8">
        <v>393.75</v>
      </c>
      <c r="C12035" s="8">
        <v>20.478950000000001</v>
      </c>
      <c r="D12035" s="8">
        <v>70</v>
      </c>
      <c r="E12035" s="8">
        <v>0</v>
      </c>
      <c r="F12035" s="8">
        <v>0</v>
      </c>
      <c r="G12035" s="8">
        <v>8</v>
      </c>
      <c r="H12035" s="8" t="s">
        <v>49708</v>
      </c>
      <c r="I12035" s="8">
        <v>526.6875</v>
      </c>
      <c r="J12035" s="3">
        <f t="shared" si="188"/>
        <v>43749.364139895835</v>
      </c>
    </row>
    <row r="12036" spans="1:10" x14ac:dyDescent="0.25">
      <c r="A12036" s="5" t="s">
        <v>49709</v>
      </c>
      <c r="B12036" s="6">
        <v>393.75</v>
      </c>
      <c r="C12036" s="6">
        <v>20.478950000000001</v>
      </c>
      <c r="D12036" s="6">
        <v>75</v>
      </c>
      <c r="E12036" s="6">
        <v>0</v>
      </c>
      <c r="F12036" s="6">
        <v>0</v>
      </c>
      <c r="G12036" s="6">
        <v>1</v>
      </c>
      <c r="H12036" s="6" t="s">
        <v>49710</v>
      </c>
      <c r="I12036" s="6">
        <v>526.6875</v>
      </c>
      <c r="J12036" s="2">
        <f t="shared" si="188"/>
        <v>43749.364223124998</v>
      </c>
    </row>
    <row r="12037" spans="1:10" x14ac:dyDescent="0.25">
      <c r="A12037" s="7" t="s">
        <v>49711</v>
      </c>
      <c r="B12037" s="8">
        <v>393.75</v>
      </c>
      <c r="C12037" s="8">
        <v>20.478950000000001</v>
      </c>
      <c r="D12037" s="8">
        <v>75</v>
      </c>
      <c r="E12037" s="8">
        <v>0</v>
      </c>
      <c r="F12037" s="8">
        <v>0</v>
      </c>
      <c r="G12037" s="8">
        <v>0</v>
      </c>
      <c r="H12037" s="8" t="s">
        <v>49712</v>
      </c>
      <c r="I12037" s="8">
        <v>526.6875</v>
      </c>
      <c r="J12037" s="3">
        <f t="shared" si="188"/>
        <v>43749.364294861109</v>
      </c>
    </row>
    <row r="12038" spans="1:10" x14ac:dyDescent="0.25">
      <c r="A12038" s="5" t="s">
        <v>49713</v>
      </c>
      <c r="B12038" s="6">
        <v>393.75</v>
      </c>
      <c r="C12038" s="6">
        <v>20.478950000000001</v>
      </c>
      <c r="D12038" s="6">
        <v>73</v>
      </c>
      <c r="E12038" s="6">
        <v>0</v>
      </c>
      <c r="F12038" s="6">
        <v>0</v>
      </c>
      <c r="G12038" s="6">
        <v>6</v>
      </c>
      <c r="H12038" s="6" t="s">
        <v>49714</v>
      </c>
      <c r="I12038" s="6">
        <v>526.5</v>
      </c>
      <c r="J12038" s="2">
        <f t="shared" si="188"/>
        <v>43749.364378437494</v>
      </c>
    </row>
    <row r="12039" spans="1:10" x14ac:dyDescent="0.25">
      <c r="A12039" s="7" t="s">
        <v>49715</v>
      </c>
      <c r="B12039" s="8">
        <v>437.5</v>
      </c>
      <c r="C12039" s="8">
        <v>20.478950000000001</v>
      </c>
      <c r="D12039" s="8">
        <v>73</v>
      </c>
      <c r="E12039" s="8">
        <v>0</v>
      </c>
      <c r="F12039" s="8">
        <v>0</v>
      </c>
      <c r="G12039" s="8">
        <v>11</v>
      </c>
      <c r="H12039" s="8" t="s">
        <v>49716</v>
      </c>
      <c r="I12039" s="8">
        <v>540.1875</v>
      </c>
      <c r="J12039" s="3">
        <f t="shared" si="188"/>
        <v>43749.364449988425</v>
      </c>
    </row>
    <row r="12040" spans="1:10" x14ac:dyDescent="0.25">
      <c r="A12040" s="5" t="s">
        <v>49717</v>
      </c>
      <c r="B12040" s="6">
        <v>393.75</v>
      </c>
      <c r="C12040" s="6">
        <v>20.478950000000001</v>
      </c>
      <c r="D12040" s="6">
        <v>73</v>
      </c>
      <c r="E12040" s="6">
        <v>0</v>
      </c>
      <c r="F12040" s="6">
        <v>0</v>
      </c>
      <c r="G12040" s="6">
        <v>7</v>
      </c>
      <c r="H12040" s="6" t="s">
        <v>49718</v>
      </c>
      <c r="I12040" s="6">
        <v>526.6875</v>
      </c>
      <c r="J12040" s="2">
        <f t="shared" si="188"/>
        <v>43749.364521481482</v>
      </c>
    </row>
    <row r="12041" spans="1:10" x14ac:dyDescent="0.25">
      <c r="A12041" s="7" t="s">
        <v>49719</v>
      </c>
      <c r="B12041" s="8">
        <v>396.875</v>
      </c>
      <c r="C12041" s="8">
        <v>20.478950000000001</v>
      </c>
      <c r="D12041" s="8">
        <v>72</v>
      </c>
      <c r="E12041" s="8">
        <v>0</v>
      </c>
      <c r="F12041" s="8">
        <v>0</v>
      </c>
      <c r="G12041" s="8">
        <v>8</v>
      </c>
      <c r="H12041" s="8" t="s">
        <v>49720</v>
      </c>
      <c r="I12041" s="8">
        <v>527.4375</v>
      </c>
      <c r="J12041" s="3">
        <f t="shared" si="188"/>
        <v>43749.364604722221</v>
      </c>
    </row>
    <row r="12042" spans="1:10" x14ac:dyDescent="0.25">
      <c r="A12042" s="5" t="s">
        <v>49721</v>
      </c>
      <c r="B12042" s="6">
        <v>396.875</v>
      </c>
      <c r="C12042" s="6">
        <v>20.478950000000001</v>
      </c>
      <c r="D12042" s="6">
        <v>73</v>
      </c>
      <c r="E12042" s="6">
        <v>0</v>
      </c>
      <c r="F12042" s="6">
        <v>0</v>
      </c>
      <c r="G12042" s="6">
        <v>5</v>
      </c>
      <c r="H12042" s="6" t="s">
        <v>49722</v>
      </c>
      <c r="I12042" s="6">
        <v>527.4375</v>
      </c>
      <c r="J12042" s="2">
        <f t="shared" si="188"/>
        <v>43749.364676597215</v>
      </c>
    </row>
    <row r="12043" spans="1:10" x14ac:dyDescent="0.25">
      <c r="A12043" s="7" t="s">
        <v>49723</v>
      </c>
      <c r="B12043" s="8">
        <v>400</v>
      </c>
      <c r="C12043" s="8">
        <v>20.478950000000001</v>
      </c>
      <c r="D12043" s="8">
        <v>72</v>
      </c>
      <c r="E12043" s="8">
        <v>0</v>
      </c>
      <c r="F12043" s="8">
        <v>0</v>
      </c>
      <c r="G12043" s="8">
        <v>6</v>
      </c>
      <c r="H12043" s="8" t="s">
        <v>49724</v>
      </c>
      <c r="I12043" s="8">
        <v>528.375</v>
      </c>
      <c r="J12043" s="3">
        <f t="shared" si="188"/>
        <v>43749.364760150456</v>
      </c>
    </row>
    <row r="12044" spans="1:10" x14ac:dyDescent="0.25">
      <c r="A12044" s="5" t="s">
        <v>49725</v>
      </c>
      <c r="B12044" s="6">
        <v>400</v>
      </c>
      <c r="C12044" s="6">
        <v>20.478950000000001</v>
      </c>
      <c r="D12044" s="6">
        <v>72</v>
      </c>
      <c r="E12044" s="6">
        <v>0</v>
      </c>
      <c r="F12044" s="6">
        <v>0</v>
      </c>
      <c r="G12044" s="6">
        <v>17</v>
      </c>
      <c r="H12044" s="6" t="s">
        <v>49726</v>
      </c>
      <c r="I12044" s="6">
        <v>528.375</v>
      </c>
      <c r="J12044" s="2">
        <f t="shared" si="188"/>
        <v>43749.36484347222</v>
      </c>
    </row>
    <row r="12045" spans="1:10" x14ac:dyDescent="0.25">
      <c r="A12045" s="7" t="s">
        <v>49727</v>
      </c>
      <c r="B12045" s="8">
        <v>418.75</v>
      </c>
      <c r="C12045" s="8">
        <v>20.478950000000001</v>
      </c>
      <c r="D12045" s="8">
        <v>73</v>
      </c>
      <c r="E12045" s="8">
        <v>0</v>
      </c>
      <c r="F12045" s="8">
        <v>0</v>
      </c>
      <c r="G12045" s="8">
        <v>12</v>
      </c>
      <c r="H12045" s="8" t="s">
        <v>49728</v>
      </c>
      <c r="I12045" s="8">
        <v>534</v>
      </c>
      <c r="J12045" s="3">
        <f t="shared" si="188"/>
        <v>43749.364926805552</v>
      </c>
    </row>
    <row r="12046" spans="1:10" x14ac:dyDescent="0.25">
      <c r="A12046" s="5" t="s">
        <v>49729</v>
      </c>
      <c r="B12046" s="6">
        <v>400</v>
      </c>
      <c r="C12046" s="6">
        <v>20.478950000000001</v>
      </c>
      <c r="D12046" s="6">
        <v>73</v>
      </c>
      <c r="E12046" s="6">
        <v>0</v>
      </c>
      <c r="F12046" s="6">
        <v>0</v>
      </c>
      <c r="G12046" s="6">
        <v>10</v>
      </c>
      <c r="H12046" s="6" t="s">
        <v>49730</v>
      </c>
      <c r="I12046" s="6">
        <v>528.1875</v>
      </c>
      <c r="J12046" s="2">
        <f t="shared" si="188"/>
        <v>43749.364998472221</v>
      </c>
    </row>
    <row r="12047" spans="1:10" x14ac:dyDescent="0.25">
      <c r="A12047" s="7" t="s">
        <v>49731</v>
      </c>
      <c r="B12047" s="8">
        <v>400</v>
      </c>
      <c r="C12047" s="8">
        <v>20.478950000000001</v>
      </c>
      <c r="D12047" s="8">
        <v>71</v>
      </c>
      <c r="E12047" s="8">
        <v>0</v>
      </c>
      <c r="F12047" s="8">
        <v>0</v>
      </c>
      <c r="G12047" s="8">
        <v>6</v>
      </c>
      <c r="H12047" s="8" t="s">
        <v>49732</v>
      </c>
      <c r="I12047" s="8">
        <v>528.1875</v>
      </c>
      <c r="J12047" s="3">
        <f t="shared" si="188"/>
        <v>43749.365082025462</v>
      </c>
    </row>
    <row r="12048" spans="1:10" x14ac:dyDescent="0.25">
      <c r="A12048" s="5" t="s">
        <v>49733</v>
      </c>
      <c r="B12048" s="6">
        <v>400</v>
      </c>
      <c r="C12048" s="6">
        <v>20.478950000000001</v>
      </c>
      <c r="D12048" s="6">
        <v>71</v>
      </c>
      <c r="E12048" s="6">
        <v>0</v>
      </c>
      <c r="F12048" s="6">
        <v>0</v>
      </c>
      <c r="G12048" s="6">
        <v>7</v>
      </c>
      <c r="H12048" s="6" t="s">
        <v>49734</v>
      </c>
      <c r="I12048" s="6">
        <v>528.375</v>
      </c>
      <c r="J12048" s="2">
        <f t="shared" si="188"/>
        <v>43749.365165462958</v>
      </c>
    </row>
    <row r="12049" spans="1:10" x14ac:dyDescent="0.25">
      <c r="A12049" s="7" t="s">
        <v>49735</v>
      </c>
      <c r="B12049" s="8">
        <v>396.875</v>
      </c>
      <c r="C12049" s="8">
        <v>20.478950000000001</v>
      </c>
      <c r="D12049" s="8">
        <v>72</v>
      </c>
      <c r="E12049" s="8">
        <v>0</v>
      </c>
      <c r="F12049" s="8">
        <v>0</v>
      </c>
      <c r="G12049" s="8">
        <v>13</v>
      </c>
      <c r="H12049" s="8" t="s">
        <v>49736</v>
      </c>
      <c r="I12049" s="8">
        <v>527.4375</v>
      </c>
      <c r="J12049" s="3">
        <f t="shared" si="188"/>
        <v>43749.365237511571</v>
      </c>
    </row>
    <row r="12050" spans="1:10" x14ac:dyDescent="0.25">
      <c r="A12050" s="5" t="s">
        <v>49737</v>
      </c>
      <c r="B12050" s="6">
        <v>396.875</v>
      </c>
      <c r="C12050" s="6">
        <v>20.478950000000001</v>
      </c>
      <c r="D12050" s="6">
        <v>73</v>
      </c>
      <c r="E12050" s="6">
        <v>0</v>
      </c>
      <c r="F12050" s="6">
        <v>0</v>
      </c>
      <c r="G12050" s="6">
        <v>7</v>
      </c>
      <c r="H12050" s="6" t="s">
        <v>49738</v>
      </c>
      <c r="I12050" s="6">
        <v>527.4375</v>
      </c>
      <c r="J12050" s="2">
        <f t="shared" si="188"/>
        <v>43749.365320439807</v>
      </c>
    </row>
    <row r="12051" spans="1:10" x14ac:dyDescent="0.25">
      <c r="A12051" s="7" t="s">
        <v>49739</v>
      </c>
      <c r="B12051" s="8">
        <v>400</v>
      </c>
      <c r="C12051" s="8">
        <v>20.478950000000001</v>
      </c>
      <c r="D12051" s="8">
        <v>74</v>
      </c>
      <c r="E12051" s="8">
        <v>0</v>
      </c>
      <c r="F12051" s="8">
        <v>0</v>
      </c>
      <c r="G12051" s="8">
        <v>8</v>
      </c>
      <c r="H12051" s="8" t="s">
        <v>49740</v>
      </c>
      <c r="I12051" s="8">
        <v>528.1875</v>
      </c>
      <c r="J12051" s="3">
        <f t="shared" si="188"/>
        <v>43749.365391979161</v>
      </c>
    </row>
    <row r="12052" spans="1:10" x14ac:dyDescent="0.25">
      <c r="A12052" s="5" t="s">
        <v>49741</v>
      </c>
      <c r="B12052" s="6">
        <v>400</v>
      </c>
      <c r="C12052" s="6">
        <v>20.478950000000001</v>
      </c>
      <c r="D12052" s="6">
        <v>73</v>
      </c>
      <c r="E12052" s="6">
        <v>0</v>
      </c>
      <c r="F12052" s="6">
        <v>0</v>
      </c>
      <c r="G12052" s="6">
        <v>12</v>
      </c>
      <c r="H12052" s="6" t="s">
        <v>49742</v>
      </c>
      <c r="I12052" s="6">
        <v>528.375</v>
      </c>
      <c r="J12052" s="2">
        <f t="shared" si="188"/>
        <v>43749.365475104169</v>
      </c>
    </row>
    <row r="12053" spans="1:10" x14ac:dyDescent="0.25">
      <c r="A12053" s="7" t="s">
        <v>49743</v>
      </c>
      <c r="B12053" s="8">
        <v>400</v>
      </c>
      <c r="C12053" s="8">
        <v>20.478950000000001</v>
      </c>
      <c r="D12053" s="8">
        <v>73</v>
      </c>
      <c r="E12053" s="8">
        <v>0</v>
      </c>
      <c r="F12053" s="8">
        <v>0</v>
      </c>
      <c r="G12053" s="8">
        <v>9</v>
      </c>
      <c r="H12053" s="8" t="s">
        <v>49744</v>
      </c>
      <c r="I12053" s="8">
        <v>528.1875</v>
      </c>
      <c r="J12053" s="3">
        <f t="shared" si="188"/>
        <v>43749.365546724533</v>
      </c>
    </row>
    <row r="12054" spans="1:10" x14ac:dyDescent="0.25">
      <c r="A12054" s="5" t="s">
        <v>49745</v>
      </c>
      <c r="B12054" s="6">
        <v>403.125</v>
      </c>
      <c r="C12054" s="6">
        <v>20.478950000000001</v>
      </c>
      <c r="D12054" s="6">
        <v>73</v>
      </c>
      <c r="E12054" s="6">
        <v>0</v>
      </c>
      <c r="F12054" s="6">
        <v>0</v>
      </c>
      <c r="G12054" s="6">
        <v>9</v>
      </c>
      <c r="H12054" s="6" t="s">
        <v>49746</v>
      </c>
      <c r="I12054" s="6">
        <v>529.125</v>
      </c>
      <c r="J12054" s="2">
        <f t="shared" si="188"/>
        <v>43749.365630520835</v>
      </c>
    </row>
    <row r="12055" spans="1:10" x14ac:dyDescent="0.25">
      <c r="A12055" s="7" t="s">
        <v>49747</v>
      </c>
      <c r="B12055" s="8">
        <v>403.125</v>
      </c>
      <c r="C12055" s="8">
        <v>20.478950000000001</v>
      </c>
      <c r="D12055" s="8">
        <v>72</v>
      </c>
      <c r="E12055" s="8">
        <v>0</v>
      </c>
      <c r="F12055" s="8">
        <v>0</v>
      </c>
      <c r="G12055" s="8">
        <v>9</v>
      </c>
      <c r="H12055" s="8" t="s">
        <v>49748</v>
      </c>
      <c r="I12055" s="8">
        <v>529.125</v>
      </c>
      <c r="J12055" s="3">
        <f t="shared" si="188"/>
        <v>43749.365713969906</v>
      </c>
    </row>
    <row r="12056" spans="1:10" x14ac:dyDescent="0.25">
      <c r="A12056" s="5" t="s">
        <v>49749</v>
      </c>
      <c r="B12056" s="6">
        <v>403.125</v>
      </c>
      <c r="C12056" s="6">
        <v>20.478950000000001</v>
      </c>
      <c r="D12056" s="6">
        <v>75</v>
      </c>
      <c r="E12056" s="6">
        <v>0</v>
      </c>
      <c r="F12056" s="6">
        <v>0</v>
      </c>
      <c r="G12056" s="6">
        <v>9</v>
      </c>
      <c r="H12056" s="6" t="s">
        <v>49750</v>
      </c>
      <c r="I12056" s="6">
        <v>529.125</v>
      </c>
      <c r="J12056" s="2">
        <f t="shared" si="188"/>
        <v>43749.365797175924</v>
      </c>
    </row>
    <row r="12057" spans="1:10" x14ac:dyDescent="0.25">
      <c r="A12057" s="7" t="s">
        <v>49751</v>
      </c>
      <c r="B12057" s="8">
        <v>403.125</v>
      </c>
      <c r="C12057" s="8">
        <v>20.478950000000001</v>
      </c>
      <c r="D12057" s="8">
        <v>75</v>
      </c>
      <c r="E12057" s="8">
        <v>0</v>
      </c>
      <c r="F12057" s="8">
        <v>0</v>
      </c>
      <c r="G12057" s="8">
        <v>8</v>
      </c>
      <c r="H12057" s="8" t="s">
        <v>49752</v>
      </c>
      <c r="I12057" s="8">
        <v>529.125</v>
      </c>
      <c r="J12057" s="3">
        <f t="shared" si="188"/>
        <v>43749.365869062494</v>
      </c>
    </row>
    <row r="12058" spans="1:10" x14ac:dyDescent="0.25">
      <c r="A12058" s="5" t="s">
        <v>49753</v>
      </c>
      <c r="B12058" s="6">
        <v>403.125</v>
      </c>
      <c r="C12058" s="6">
        <v>20.478950000000001</v>
      </c>
      <c r="D12058" s="6">
        <v>76</v>
      </c>
      <c r="E12058" s="6">
        <v>0</v>
      </c>
      <c r="F12058" s="6">
        <v>0</v>
      </c>
      <c r="G12058" s="6">
        <v>5</v>
      </c>
      <c r="H12058" s="6" t="s">
        <v>49754</v>
      </c>
      <c r="I12058" s="6">
        <v>529.875</v>
      </c>
      <c r="J12058" s="2">
        <f t="shared" si="188"/>
        <v>43749.365952511573</v>
      </c>
    </row>
    <row r="12059" spans="1:10" x14ac:dyDescent="0.25">
      <c r="A12059" s="7" t="s">
        <v>49755</v>
      </c>
      <c r="B12059" s="8">
        <v>421.875</v>
      </c>
      <c r="C12059" s="8">
        <v>20.478950000000001</v>
      </c>
      <c r="D12059" s="8">
        <v>75</v>
      </c>
      <c r="E12059" s="8">
        <v>0</v>
      </c>
      <c r="F12059" s="8">
        <v>0</v>
      </c>
      <c r="G12059" s="8">
        <v>17</v>
      </c>
      <c r="H12059" s="8" t="s">
        <v>49756</v>
      </c>
      <c r="I12059" s="8">
        <v>535.5</v>
      </c>
      <c r="J12059" s="3">
        <f t="shared" si="188"/>
        <v>43749.366035960651</v>
      </c>
    </row>
    <row r="12060" spans="1:10" x14ac:dyDescent="0.25">
      <c r="A12060" s="5" t="s">
        <v>49757</v>
      </c>
      <c r="B12060" s="6">
        <v>403.125</v>
      </c>
      <c r="C12060" s="6">
        <v>20.478950000000001</v>
      </c>
      <c r="D12060" s="6">
        <v>75</v>
      </c>
      <c r="E12060" s="6">
        <v>0</v>
      </c>
      <c r="F12060" s="6">
        <v>0</v>
      </c>
      <c r="G12060" s="6">
        <v>8</v>
      </c>
      <c r="H12060" s="6" t="s">
        <v>49758</v>
      </c>
      <c r="I12060" s="6">
        <v>529.125</v>
      </c>
      <c r="J12060" s="2">
        <f t="shared" si="188"/>
        <v>43749.366119409715</v>
      </c>
    </row>
    <row r="12061" spans="1:10" x14ac:dyDescent="0.25">
      <c r="A12061" s="7" t="s">
        <v>49759</v>
      </c>
      <c r="B12061" s="8">
        <v>403.125</v>
      </c>
      <c r="C12061" s="8">
        <v>20.478950000000001</v>
      </c>
      <c r="D12061" s="8">
        <v>75</v>
      </c>
      <c r="E12061" s="8">
        <v>0</v>
      </c>
      <c r="F12061" s="8">
        <v>0</v>
      </c>
      <c r="G12061" s="8">
        <v>11</v>
      </c>
      <c r="H12061" s="8" t="s">
        <v>49760</v>
      </c>
      <c r="I12061" s="8">
        <v>529.125</v>
      </c>
      <c r="J12061" s="3">
        <f t="shared" si="188"/>
        <v>43749.366202847224</v>
      </c>
    </row>
    <row r="12062" spans="1:10" x14ac:dyDescent="0.25">
      <c r="A12062" s="5" t="s">
        <v>49761</v>
      </c>
      <c r="B12062" s="6">
        <v>400</v>
      </c>
      <c r="C12062" s="6">
        <v>20.478950000000001</v>
      </c>
      <c r="D12062" s="6">
        <v>75</v>
      </c>
      <c r="E12062" s="6">
        <v>0</v>
      </c>
      <c r="F12062" s="6">
        <v>0</v>
      </c>
      <c r="G12062" s="6">
        <v>7</v>
      </c>
      <c r="H12062" s="6" t="s">
        <v>49762</v>
      </c>
      <c r="I12062" s="6">
        <v>528.375</v>
      </c>
      <c r="J12062" s="2">
        <f t="shared" si="188"/>
        <v>43749.366286087963</v>
      </c>
    </row>
    <row r="12063" spans="1:10" x14ac:dyDescent="0.25">
      <c r="A12063" s="7" t="s">
        <v>49763</v>
      </c>
      <c r="B12063" s="8">
        <v>400</v>
      </c>
      <c r="C12063" s="8">
        <v>20.478950000000001</v>
      </c>
      <c r="D12063" s="8">
        <v>75</v>
      </c>
      <c r="E12063" s="8">
        <v>0</v>
      </c>
      <c r="F12063" s="8">
        <v>0</v>
      </c>
      <c r="G12063" s="8">
        <v>6</v>
      </c>
      <c r="H12063" s="8" t="s">
        <v>49764</v>
      </c>
      <c r="I12063" s="8">
        <v>528.375</v>
      </c>
      <c r="J12063" s="3">
        <f t="shared" si="188"/>
        <v>43749.366365891205</v>
      </c>
    </row>
    <row r="12064" spans="1:10" x14ac:dyDescent="0.25">
      <c r="A12064" s="5" t="s">
        <v>49765</v>
      </c>
      <c r="B12064" s="6">
        <v>396.875</v>
      </c>
      <c r="C12064" s="6">
        <v>20.478950000000001</v>
      </c>
      <c r="D12064" s="6">
        <v>73</v>
      </c>
      <c r="E12064" s="6">
        <v>0</v>
      </c>
      <c r="F12064" s="6">
        <v>0</v>
      </c>
      <c r="G12064" s="6">
        <v>0</v>
      </c>
      <c r="H12064" s="6" t="s">
        <v>49766</v>
      </c>
      <c r="I12064" s="6">
        <v>527.4375</v>
      </c>
      <c r="J12064" s="2">
        <f t="shared" si="188"/>
        <v>43749.36644140046</v>
      </c>
    </row>
    <row r="12065" spans="1:10" x14ac:dyDescent="0.25">
      <c r="A12065" s="7" t="s">
        <v>49767</v>
      </c>
      <c r="B12065" s="8">
        <v>396.875</v>
      </c>
      <c r="C12065" s="8">
        <v>20.478950000000001</v>
      </c>
      <c r="D12065" s="8">
        <v>73</v>
      </c>
      <c r="E12065" s="8">
        <v>0</v>
      </c>
      <c r="F12065" s="8">
        <v>0</v>
      </c>
      <c r="G12065" s="8">
        <v>16</v>
      </c>
      <c r="H12065" s="8" t="s">
        <v>49768</v>
      </c>
      <c r="I12065" s="8">
        <v>527.4375</v>
      </c>
      <c r="J12065" s="3">
        <f t="shared" si="188"/>
        <v>43749.366512928238</v>
      </c>
    </row>
    <row r="12066" spans="1:10" x14ac:dyDescent="0.25">
      <c r="A12066" s="5" t="s">
        <v>49769</v>
      </c>
      <c r="B12066" s="6">
        <v>393.75</v>
      </c>
      <c r="C12066" s="6">
        <v>20.478950000000001</v>
      </c>
      <c r="D12066" s="6">
        <v>73</v>
      </c>
      <c r="E12066" s="6">
        <v>0</v>
      </c>
      <c r="F12066" s="6">
        <v>0</v>
      </c>
      <c r="G12066" s="6">
        <v>4</v>
      </c>
      <c r="H12066" s="6" t="s">
        <v>49770</v>
      </c>
      <c r="I12066" s="6">
        <v>526.5</v>
      </c>
      <c r="J12066" s="2">
        <f t="shared" si="188"/>
        <v>43749.36658444444</v>
      </c>
    </row>
    <row r="12067" spans="1:10" x14ac:dyDescent="0.25">
      <c r="A12067" s="7" t="s">
        <v>49771</v>
      </c>
      <c r="B12067" s="8">
        <v>393.75</v>
      </c>
      <c r="C12067" s="8">
        <v>20.478950000000001</v>
      </c>
      <c r="D12067" s="8">
        <v>72</v>
      </c>
      <c r="E12067" s="8">
        <v>0</v>
      </c>
      <c r="F12067" s="8">
        <v>0</v>
      </c>
      <c r="G12067" s="8">
        <v>7</v>
      </c>
      <c r="H12067" s="8" t="s">
        <v>49772</v>
      </c>
      <c r="I12067" s="8">
        <v>526.6875</v>
      </c>
      <c r="J12067" s="3">
        <f t="shared" si="188"/>
        <v>43749.366679965278</v>
      </c>
    </row>
    <row r="12068" spans="1:10" x14ac:dyDescent="0.25">
      <c r="A12068" s="5" t="s">
        <v>49773</v>
      </c>
      <c r="B12068" s="6">
        <v>393.75</v>
      </c>
      <c r="C12068" s="6">
        <v>20.478950000000001</v>
      </c>
      <c r="D12068" s="6">
        <v>72</v>
      </c>
      <c r="E12068" s="6">
        <v>0</v>
      </c>
      <c r="F12068" s="6">
        <v>0</v>
      </c>
      <c r="G12068" s="6">
        <v>8</v>
      </c>
      <c r="H12068" s="6" t="s">
        <v>49774</v>
      </c>
      <c r="I12068" s="6">
        <v>526.6875</v>
      </c>
      <c r="J12068" s="2">
        <f t="shared" si="188"/>
        <v>43749.366763391205</v>
      </c>
    </row>
    <row r="12069" spans="1:10" x14ac:dyDescent="0.25">
      <c r="A12069" s="7" t="s">
        <v>49775</v>
      </c>
      <c r="B12069" s="8">
        <v>412.5</v>
      </c>
      <c r="C12069" s="8">
        <v>20.478950000000001</v>
      </c>
      <c r="D12069" s="8">
        <v>71</v>
      </c>
      <c r="E12069" s="8">
        <v>0</v>
      </c>
      <c r="F12069" s="8">
        <v>0</v>
      </c>
      <c r="G12069" s="8">
        <v>12</v>
      </c>
      <c r="H12069" s="8" t="s">
        <v>49776</v>
      </c>
      <c r="I12069" s="8">
        <v>532.875</v>
      </c>
      <c r="J12069" s="3">
        <f t="shared" si="188"/>
        <v>43749.366846863421</v>
      </c>
    </row>
    <row r="12070" spans="1:10" x14ac:dyDescent="0.25">
      <c r="A12070" s="5" t="s">
        <v>49777</v>
      </c>
      <c r="B12070" s="6">
        <v>393.75</v>
      </c>
      <c r="C12070" s="6">
        <v>20.478950000000001</v>
      </c>
      <c r="D12070" s="6">
        <v>75</v>
      </c>
      <c r="E12070" s="6">
        <v>0</v>
      </c>
      <c r="F12070" s="6">
        <v>0</v>
      </c>
      <c r="G12070" s="6">
        <v>20</v>
      </c>
      <c r="H12070" s="6" t="s">
        <v>49778</v>
      </c>
      <c r="I12070" s="6">
        <v>526.6875</v>
      </c>
      <c r="J12070" s="2">
        <f t="shared" si="188"/>
        <v>43749.366930543976</v>
      </c>
    </row>
    <row r="12071" spans="1:10" x14ac:dyDescent="0.25">
      <c r="A12071" s="7" t="s">
        <v>49779</v>
      </c>
      <c r="B12071" s="8">
        <v>393.75</v>
      </c>
      <c r="C12071" s="8">
        <v>20.478950000000001</v>
      </c>
      <c r="D12071" s="8">
        <v>75</v>
      </c>
      <c r="E12071" s="8">
        <v>0</v>
      </c>
      <c r="F12071" s="8">
        <v>0</v>
      </c>
      <c r="G12071" s="8">
        <v>13</v>
      </c>
      <c r="H12071" s="8" t="s">
        <v>49780</v>
      </c>
      <c r="I12071" s="8">
        <v>526.6875</v>
      </c>
      <c r="J12071" s="3">
        <f t="shared" si="188"/>
        <v>43749.367013749994</v>
      </c>
    </row>
    <row r="12072" spans="1:10" x14ac:dyDescent="0.25">
      <c r="A12072" s="5" t="s">
        <v>49781</v>
      </c>
      <c r="B12072" s="6">
        <v>390.625</v>
      </c>
      <c r="C12072" s="6">
        <v>20.478950000000001</v>
      </c>
      <c r="D12072" s="6">
        <v>75</v>
      </c>
      <c r="E12072" s="6">
        <v>0</v>
      </c>
      <c r="F12072" s="6">
        <v>0</v>
      </c>
      <c r="G12072" s="6">
        <v>15</v>
      </c>
      <c r="H12072" s="6" t="s">
        <v>49782</v>
      </c>
      <c r="I12072" s="6">
        <v>525.9375</v>
      </c>
      <c r="J12072" s="2">
        <f t="shared" si="188"/>
        <v>43749.367097187496</v>
      </c>
    </row>
    <row r="12073" spans="1:10" x14ac:dyDescent="0.25">
      <c r="A12073" s="7" t="s">
        <v>49783</v>
      </c>
      <c r="B12073" s="8">
        <v>393.75</v>
      </c>
      <c r="C12073" s="8">
        <v>20.478950000000001</v>
      </c>
      <c r="D12073" s="8">
        <v>74</v>
      </c>
      <c r="E12073" s="8">
        <v>0</v>
      </c>
      <c r="F12073" s="8">
        <v>0</v>
      </c>
      <c r="G12073" s="8">
        <v>13</v>
      </c>
      <c r="H12073" s="8" t="s">
        <v>49784</v>
      </c>
      <c r="I12073" s="8">
        <v>526.6875</v>
      </c>
      <c r="J12073" s="3">
        <f t="shared" si="188"/>
        <v>43749.367180659719</v>
      </c>
    </row>
    <row r="12074" spans="1:10" x14ac:dyDescent="0.25">
      <c r="A12074" s="5" t="s">
        <v>49785</v>
      </c>
      <c r="B12074" s="6">
        <v>393.75</v>
      </c>
      <c r="C12074" s="6">
        <v>20.478950000000001</v>
      </c>
      <c r="D12074" s="6">
        <v>75</v>
      </c>
      <c r="E12074" s="6">
        <v>0</v>
      </c>
      <c r="F12074" s="6">
        <v>0</v>
      </c>
      <c r="G12074" s="6">
        <v>2</v>
      </c>
      <c r="H12074" s="6" t="s">
        <v>49786</v>
      </c>
      <c r="I12074" s="6">
        <v>526.6875</v>
      </c>
      <c r="J12074" s="2">
        <f t="shared" si="188"/>
        <v>43749.367263854168</v>
      </c>
    </row>
    <row r="12075" spans="1:10" x14ac:dyDescent="0.25">
      <c r="A12075" s="7" t="s">
        <v>49787</v>
      </c>
      <c r="B12075" s="8">
        <v>393.75</v>
      </c>
      <c r="C12075" s="8">
        <v>20.478950000000001</v>
      </c>
      <c r="D12075" s="8">
        <v>75</v>
      </c>
      <c r="E12075" s="8">
        <v>0</v>
      </c>
      <c r="F12075" s="8">
        <v>0</v>
      </c>
      <c r="G12075" s="8">
        <v>4</v>
      </c>
      <c r="H12075" s="8" t="s">
        <v>49788</v>
      </c>
      <c r="I12075" s="8">
        <v>526.6875</v>
      </c>
      <c r="J12075" s="3">
        <f t="shared" si="188"/>
        <v>43749.367335497685</v>
      </c>
    </row>
    <row r="12076" spans="1:10" x14ac:dyDescent="0.25">
      <c r="A12076" s="5" t="s">
        <v>49789</v>
      </c>
      <c r="B12076" s="6">
        <v>393.75</v>
      </c>
      <c r="C12076" s="6">
        <v>20.478950000000001</v>
      </c>
      <c r="D12076" s="6">
        <v>75</v>
      </c>
      <c r="E12076" s="6">
        <v>0</v>
      </c>
      <c r="F12076" s="6">
        <v>0</v>
      </c>
      <c r="G12076" s="6">
        <v>12</v>
      </c>
      <c r="H12076" s="6" t="s">
        <v>49790</v>
      </c>
      <c r="I12076" s="6">
        <v>526.6875</v>
      </c>
      <c r="J12076" s="2">
        <f t="shared" si="188"/>
        <v>43749.367419409718</v>
      </c>
    </row>
    <row r="12077" spans="1:10" x14ac:dyDescent="0.25">
      <c r="A12077" s="7" t="s">
        <v>49791</v>
      </c>
      <c r="B12077" s="8">
        <v>393.75</v>
      </c>
      <c r="C12077" s="8">
        <v>20.478950000000001</v>
      </c>
      <c r="D12077" s="8">
        <v>75</v>
      </c>
      <c r="E12077" s="8">
        <v>0</v>
      </c>
      <c r="F12077" s="8">
        <v>0</v>
      </c>
      <c r="G12077" s="8">
        <v>11</v>
      </c>
      <c r="H12077" s="8" t="s">
        <v>49792</v>
      </c>
      <c r="I12077" s="8">
        <v>526.6875</v>
      </c>
      <c r="J12077" s="3">
        <f t="shared" si="188"/>
        <v>43749.367502638888</v>
      </c>
    </row>
    <row r="12078" spans="1:10" x14ac:dyDescent="0.25">
      <c r="A12078" s="5" t="s">
        <v>49793</v>
      </c>
      <c r="B12078" s="6">
        <v>393.75</v>
      </c>
      <c r="C12078" s="6">
        <v>20.478950000000001</v>
      </c>
      <c r="D12078" s="6">
        <v>75</v>
      </c>
      <c r="E12078" s="6">
        <v>0</v>
      </c>
      <c r="F12078" s="6">
        <v>0</v>
      </c>
      <c r="G12078" s="6">
        <v>8</v>
      </c>
      <c r="H12078" s="6" t="s">
        <v>49794</v>
      </c>
      <c r="I12078" s="6">
        <v>526.6875</v>
      </c>
      <c r="J12078" s="2">
        <f t="shared" si="188"/>
        <v>43749.367586111104</v>
      </c>
    </row>
    <row r="12079" spans="1:10" x14ac:dyDescent="0.25">
      <c r="A12079" s="7" t="s">
        <v>49795</v>
      </c>
      <c r="B12079" s="8">
        <v>396.875</v>
      </c>
      <c r="C12079" s="8">
        <v>20.478950000000001</v>
      </c>
      <c r="D12079" s="8">
        <v>75</v>
      </c>
      <c r="E12079" s="8">
        <v>0</v>
      </c>
      <c r="F12079" s="8">
        <v>0</v>
      </c>
      <c r="G12079" s="8">
        <v>1</v>
      </c>
      <c r="H12079" s="8" t="s">
        <v>49796</v>
      </c>
      <c r="I12079" s="8">
        <v>527.4375</v>
      </c>
      <c r="J12079" s="3">
        <f t="shared" si="188"/>
        <v>43749.3676696412</v>
      </c>
    </row>
    <row r="12080" spans="1:10" x14ac:dyDescent="0.25">
      <c r="A12080" s="5" t="s">
        <v>49797</v>
      </c>
      <c r="B12080" s="6">
        <v>400</v>
      </c>
      <c r="C12080" s="6">
        <v>20.478950000000001</v>
      </c>
      <c r="D12080" s="6">
        <v>72</v>
      </c>
      <c r="E12080" s="6">
        <v>0</v>
      </c>
      <c r="F12080" s="6">
        <v>0</v>
      </c>
      <c r="G12080" s="6">
        <v>10</v>
      </c>
      <c r="H12080" s="6" t="s">
        <v>49798</v>
      </c>
      <c r="I12080" s="6">
        <v>528.375</v>
      </c>
      <c r="J12080" s="2">
        <f t="shared" si="188"/>
        <v>43749.367752754632</v>
      </c>
    </row>
    <row r="12081" spans="1:10" x14ac:dyDescent="0.25">
      <c r="A12081" s="7" t="s">
        <v>49799</v>
      </c>
      <c r="B12081" s="8">
        <v>418.75</v>
      </c>
      <c r="C12081" s="8">
        <v>20.478950000000001</v>
      </c>
      <c r="D12081" s="8">
        <v>72</v>
      </c>
      <c r="E12081" s="8">
        <v>0</v>
      </c>
      <c r="F12081" s="8">
        <v>0</v>
      </c>
      <c r="G12081" s="8">
        <v>5</v>
      </c>
      <c r="H12081" s="8" t="s">
        <v>49800</v>
      </c>
      <c r="I12081" s="8">
        <v>534.75</v>
      </c>
      <c r="J12081" s="3">
        <f t="shared" si="188"/>
        <v>43749.367824502311</v>
      </c>
    </row>
    <row r="12082" spans="1:10" x14ac:dyDescent="0.25">
      <c r="A12082" s="5" t="s">
        <v>49801</v>
      </c>
      <c r="B12082" s="6">
        <v>403.125</v>
      </c>
      <c r="C12082" s="6">
        <v>20.478950000000001</v>
      </c>
      <c r="D12082" s="6">
        <v>73</v>
      </c>
      <c r="E12082" s="6">
        <v>0</v>
      </c>
      <c r="F12082" s="6">
        <v>0</v>
      </c>
      <c r="G12082" s="6">
        <v>12</v>
      </c>
      <c r="H12082" s="6" t="s">
        <v>49802</v>
      </c>
      <c r="I12082" s="6">
        <v>529.125</v>
      </c>
      <c r="J12082" s="2">
        <f t="shared" si="188"/>
        <v>43749.367908298613</v>
      </c>
    </row>
    <row r="12083" spans="1:10" x14ac:dyDescent="0.25">
      <c r="A12083" s="7" t="s">
        <v>49803</v>
      </c>
      <c r="B12083" s="8">
        <v>403.125</v>
      </c>
      <c r="C12083" s="8">
        <v>20.426300000000001</v>
      </c>
      <c r="D12083" s="8">
        <v>73</v>
      </c>
      <c r="E12083" s="8">
        <v>0</v>
      </c>
      <c r="F12083" s="8">
        <v>0</v>
      </c>
      <c r="G12083" s="8">
        <v>10</v>
      </c>
      <c r="H12083" s="8" t="s">
        <v>49804</v>
      </c>
      <c r="I12083" s="8">
        <v>529.125</v>
      </c>
      <c r="J12083" s="3">
        <f t="shared" si="188"/>
        <v>43749.367991539351</v>
      </c>
    </row>
    <row r="12084" spans="1:10" x14ac:dyDescent="0.25">
      <c r="A12084" s="5" t="s">
        <v>49805</v>
      </c>
      <c r="B12084" s="6">
        <v>403.125</v>
      </c>
      <c r="C12084" s="6">
        <v>20.478950000000001</v>
      </c>
      <c r="D12084" s="6">
        <v>69</v>
      </c>
      <c r="E12084" s="6">
        <v>0</v>
      </c>
      <c r="F12084" s="6">
        <v>0</v>
      </c>
      <c r="G12084" s="6">
        <v>7</v>
      </c>
      <c r="H12084" s="6" t="s">
        <v>49806</v>
      </c>
      <c r="I12084" s="6">
        <v>529.125</v>
      </c>
      <c r="J12084" s="2">
        <f t="shared" si="188"/>
        <v>43749.368075092592</v>
      </c>
    </row>
    <row r="12085" spans="1:10" x14ac:dyDescent="0.25">
      <c r="A12085" s="7" t="s">
        <v>49807</v>
      </c>
      <c r="B12085" s="8">
        <v>400</v>
      </c>
      <c r="C12085" s="8">
        <v>20.478950000000001</v>
      </c>
      <c r="D12085" s="8">
        <v>70</v>
      </c>
      <c r="E12085" s="8">
        <v>0</v>
      </c>
      <c r="F12085" s="8">
        <v>0</v>
      </c>
      <c r="G12085" s="8">
        <v>7</v>
      </c>
      <c r="H12085" s="8" t="s">
        <v>49808</v>
      </c>
      <c r="I12085" s="8">
        <v>528.9375</v>
      </c>
      <c r="J12085" s="3">
        <f t="shared" si="188"/>
        <v>43749.368158437494</v>
      </c>
    </row>
    <row r="12086" spans="1:10" x14ac:dyDescent="0.25">
      <c r="A12086" s="5" t="s">
        <v>49809</v>
      </c>
      <c r="B12086" s="6">
        <v>418.75</v>
      </c>
      <c r="C12086" s="6">
        <v>20.478950000000001</v>
      </c>
      <c r="D12086" s="6">
        <v>71</v>
      </c>
      <c r="E12086" s="6">
        <v>0</v>
      </c>
      <c r="F12086" s="6">
        <v>0</v>
      </c>
      <c r="G12086" s="6">
        <v>16</v>
      </c>
      <c r="H12086" s="6" t="s">
        <v>49810</v>
      </c>
      <c r="I12086" s="6">
        <v>534.5625</v>
      </c>
      <c r="J12086" s="2">
        <f t="shared" si="188"/>
        <v>43749.368241655095</v>
      </c>
    </row>
    <row r="12087" spans="1:10" x14ac:dyDescent="0.25">
      <c r="A12087" s="7" t="s">
        <v>49811</v>
      </c>
      <c r="B12087" s="8">
        <v>396.875</v>
      </c>
      <c r="C12087" s="8">
        <v>20.478950000000001</v>
      </c>
      <c r="D12087" s="8">
        <v>71</v>
      </c>
      <c r="E12087" s="8">
        <v>0</v>
      </c>
      <c r="F12087" s="8">
        <v>0</v>
      </c>
      <c r="G12087" s="8">
        <v>18</v>
      </c>
      <c r="H12087" s="8" t="s">
        <v>49812</v>
      </c>
      <c r="I12087" s="8">
        <v>527.4375</v>
      </c>
      <c r="J12087" s="3">
        <f t="shared" si="188"/>
        <v>43749.36831327546</v>
      </c>
    </row>
    <row r="12088" spans="1:10" x14ac:dyDescent="0.25">
      <c r="A12088" s="5" t="s">
        <v>49813</v>
      </c>
      <c r="B12088" s="6">
        <v>396.875</v>
      </c>
      <c r="C12088" s="6">
        <v>20.478950000000001</v>
      </c>
      <c r="D12088" s="6">
        <v>74</v>
      </c>
      <c r="E12088" s="6">
        <v>0</v>
      </c>
      <c r="F12088" s="6">
        <v>0</v>
      </c>
      <c r="G12088" s="6">
        <v>10</v>
      </c>
      <c r="H12088" s="6" t="s">
        <v>49814</v>
      </c>
      <c r="I12088" s="6">
        <v>527.4375</v>
      </c>
      <c r="J12088" s="2">
        <f t="shared" si="188"/>
        <v>43749.368397210645</v>
      </c>
    </row>
    <row r="12089" spans="1:10" x14ac:dyDescent="0.25">
      <c r="A12089" s="7" t="s">
        <v>49815</v>
      </c>
      <c r="B12089" s="8">
        <v>415.625</v>
      </c>
      <c r="C12089" s="8">
        <v>20.478950000000001</v>
      </c>
      <c r="D12089" s="8">
        <v>74</v>
      </c>
      <c r="E12089" s="8">
        <v>0</v>
      </c>
      <c r="F12089" s="8">
        <v>0</v>
      </c>
      <c r="G12089" s="8">
        <v>12</v>
      </c>
      <c r="H12089" s="8" t="s">
        <v>49816</v>
      </c>
      <c r="I12089" s="8">
        <v>533.0625</v>
      </c>
      <c r="J12089" s="3">
        <f t="shared" si="188"/>
        <v>43749.368468506938</v>
      </c>
    </row>
    <row r="12090" spans="1:10" x14ac:dyDescent="0.25">
      <c r="A12090" s="5" t="s">
        <v>49817</v>
      </c>
      <c r="B12090" s="6">
        <v>393.75</v>
      </c>
      <c r="C12090" s="6">
        <v>20.478950000000001</v>
      </c>
      <c r="D12090" s="6">
        <v>74</v>
      </c>
      <c r="E12090" s="6">
        <v>0</v>
      </c>
      <c r="F12090" s="6">
        <v>0</v>
      </c>
      <c r="G12090" s="6">
        <v>14</v>
      </c>
      <c r="H12090" s="6" t="s">
        <v>49818</v>
      </c>
      <c r="I12090" s="6">
        <v>526.6875</v>
      </c>
      <c r="J12090" s="2">
        <f t="shared" si="188"/>
        <v>43749.368540138887</v>
      </c>
    </row>
    <row r="12091" spans="1:10" x14ac:dyDescent="0.25">
      <c r="A12091" s="7" t="s">
        <v>49819</v>
      </c>
      <c r="B12091" s="8">
        <v>393.75</v>
      </c>
      <c r="C12091" s="8">
        <v>20.478950000000001</v>
      </c>
      <c r="D12091" s="8">
        <v>74</v>
      </c>
      <c r="E12091" s="8">
        <v>0</v>
      </c>
      <c r="F12091" s="8">
        <v>0</v>
      </c>
      <c r="G12091" s="8">
        <v>0</v>
      </c>
      <c r="H12091" s="8" t="s">
        <v>49820</v>
      </c>
      <c r="I12091" s="8">
        <v>526.6875</v>
      </c>
      <c r="J12091" s="3">
        <f t="shared" si="188"/>
        <v>43749.368623229166</v>
      </c>
    </row>
    <row r="12092" spans="1:10" x14ac:dyDescent="0.25">
      <c r="A12092" s="5" t="s">
        <v>49821</v>
      </c>
      <c r="B12092" s="6">
        <v>393.75</v>
      </c>
      <c r="C12092" s="6">
        <v>20.478950000000001</v>
      </c>
      <c r="D12092" s="6">
        <v>74</v>
      </c>
      <c r="E12092" s="6">
        <v>0</v>
      </c>
      <c r="F12092" s="6">
        <v>0</v>
      </c>
      <c r="G12092" s="6">
        <v>0</v>
      </c>
      <c r="H12092" s="6" t="s">
        <v>49822</v>
      </c>
      <c r="I12092" s="6">
        <v>526.6875</v>
      </c>
      <c r="J12092" s="2">
        <f t="shared" si="188"/>
        <v>43749.368694780089</v>
      </c>
    </row>
    <row r="12093" spans="1:10" x14ac:dyDescent="0.25">
      <c r="A12093" s="7" t="s">
        <v>49823</v>
      </c>
      <c r="B12093" s="8">
        <v>396.875</v>
      </c>
      <c r="C12093" s="8">
        <v>20.478950000000001</v>
      </c>
      <c r="D12093" s="8">
        <v>76</v>
      </c>
      <c r="E12093" s="8">
        <v>0</v>
      </c>
      <c r="F12093" s="8">
        <v>0</v>
      </c>
      <c r="G12093" s="8">
        <v>14</v>
      </c>
      <c r="H12093" s="8" t="s">
        <v>49824</v>
      </c>
      <c r="I12093" s="8">
        <v>527.4375</v>
      </c>
      <c r="J12093" s="3">
        <f t="shared" si="188"/>
        <v>43749.368778680553</v>
      </c>
    </row>
    <row r="12094" spans="1:10" x14ac:dyDescent="0.25">
      <c r="A12094" s="5" t="s">
        <v>49825</v>
      </c>
      <c r="B12094" s="6">
        <v>396.875</v>
      </c>
      <c r="C12094" s="6">
        <v>20.478950000000001</v>
      </c>
      <c r="D12094" s="6">
        <v>75</v>
      </c>
      <c r="E12094" s="6">
        <v>0</v>
      </c>
      <c r="F12094" s="6">
        <v>0</v>
      </c>
      <c r="G12094" s="6">
        <v>11</v>
      </c>
      <c r="H12094" s="6" t="s">
        <v>49826</v>
      </c>
      <c r="I12094" s="6">
        <v>527.4375</v>
      </c>
      <c r="J12094" s="2">
        <f t="shared" si="188"/>
        <v>43749.368862048614</v>
      </c>
    </row>
    <row r="12095" spans="1:10" x14ac:dyDescent="0.25">
      <c r="A12095" s="7" t="s">
        <v>49827</v>
      </c>
      <c r="B12095" s="8">
        <v>396.875</v>
      </c>
      <c r="C12095" s="8">
        <v>20.478950000000001</v>
      </c>
      <c r="D12095" s="8">
        <v>75</v>
      </c>
      <c r="E12095" s="8">
        <v>0</v>
      </c>
      <c r="F12095" s="8">
        <v>0</v>
      </c>
      <c r="G12095" s="8">
        <v>8</v>
      </c>
      <c r="H12095" s="8" t="s">
        <v>49828</v>
      </c>
      <c r="I12095" s="8">
        <v>527.4375</v>
      </c>
      <c r="J12095" s="3">
        <f t="shared" si="188"/>
        <v>43749.368945335642</v>
      </c>
    </row>
    <row r="12096" spans="1:10" x14ac:dyDescent="0.25">
      <c r="A12096" s="5" t="s">
        <v>49829</v>
      </c>
      <c r="B12096" s="6">
        <v>396.875</v>
      </c>
      <c r="C12096" s="6">
        <v>20.478950000000001</v>
      </c>
      <c r="D12096" s="6">
        <v>75</v>
      </c>
      <c r="E12096" s="6">
        <v>0</v>
      </c>
      <c r="F12096" s="6">
        <v>0</v>
      </c>
      <c r="G12096" s="6">
        <v>5</v>
      </c>
      <c r="H12096" s="6" t="s">
        <v>49830</v>
      </c>
      <c r="I12096" s="6">
        <v>527.4375</v>
      </c>
      <c r="J12096" s="2">
        <f t="shared" si="188"/>
        <v>43749.369016990742</v>
      </c>
    </row>
    <row r="12097" spans="1:10" x14ac:dyDescent="0.25">
      <c r="A12097" s="7" t="s">
        <v>49831</v>
      </c>
      <c r="B12097" s="8">
        <v>400</v>
      </c>
      <c r="C12097" s="8">
        <v>20.478950000000001</v>
      </c>
      <c r="D12097" s="8">
        <v>74</v>
      </c>
      <c r="E12097" s="8">
        <v>0</v>
      </c>
      <c r="F12097" s="8">
        <v>0</v>
      </c>
      <c r="G12097" s="8">
        <v>12</v>
      </c>
      <c r="H12097" s="8" t="s">
        <v>49832</v>
      </c>
      <c r="I12097" s="8">
        <v>528.1875</v>
      </c>
      <c r="J12097" s="3">
        <f t="shared" si="188"/>
        <v>43749.369100567128</v>
      </c>
    </row>
    <row r="12098" spans="1:10" x14ac:dyDescent="0.25">
      <c r="A12098" s="5" t="s">
        <v>49833</v>
      </c>
      <c r="B12098" s="6">
        <v>400</v>
      </c>
      <c r="C12098" s="6">
        <v>20.478950000000001</v>
      </c>
      <c r="D12098" s="6">
        <v>73</v>
      </c>
      <c r="E12098" s="6">
        <v>0</v>
      </c>
      <c r="F12098" s="6">
        <v>0</v>
      </c>
      <c r="G12098" s="6">
        <v>16</v>
      </c>
      <c r="H12098" s="6" t="s">
        <v>49834</v>
      </c>
      <c r="I12098" s="6">
        <v>528.1875</v>
      </c>
      <c r="J12098" s="2">
        <f t="shared" ref="J12098:J12161" si="189">(H12098/86400000)+25569+(7/24)</f>
        <v>43749.369184027775</v>
      </c>
    </row>
    <row r="12099" spans="1:10" x14ac:dyDescent="0.25">
      <c r="A12099" s="7" t="s">
        <v>49835</v>
      </c>
      <c r="B12099" s="8">
        <v>400</v>
      </c>
      <c r="C12099" s="8">
        <v>20.478950000000001</v>
      </c>
      <c r="D12099" s="8">
        <v>73</v>
      </c>
      <c r="E12099" s="8">
        <v>0</v>
      </c>
      <c r="F12099" s="8">
        <v>0</v>
      </c>
      <c r="G12099" s="8">
        <v>15</v>
      </c>
      <c r="H12099" s="8" t="s">
        <v>49836</v>
      </c>
      <c r="I12099" s="8">
        <v>528.1875</v>
      </c>
      <c r="J12099" s="3">
        <f t="shared" si="189"/>
        <v>43749.36926756944</v>
      </c>
    </row>
    <row r="12100" spans="1:10" x14ac:dyDescent="0.25">
      <c r="A12100" s="5" t="s">
        <v>49837</v>
      </c>
      <c r="B12100" s="6">
        <v>396.875</v>
      </c>
      <c r="C12100" s="6">
        <v>20.478950000000001</v>
      </c>
      <c r="D12100" s="6">
        <v>74</v>
      </c>
      <c r="E12100" s="6">
        <v>0</v>
      </c>
      <c r="F12100" s="6">
        <v>0</v>
      </c>
      <c r="G12100" s="6">
        <v>19</v>
      </c>
      <c r="H12100" s="6" t="s">
        <v>49838</v>
      </c>
      <c r="I12100" s="6">
        <v>527.4375</v>
      </c>
      <c r="J12100" s="2">
        <f t="shared" si="189"/>
        <v>43749.369362835649</v>
      </c>
    </row>
    <row r="12101" spans="1:10" x14ac:dyDescent="0.25">
      <c r="A12101" s="7" t="s">
        <v>49839</v>
      </c>
      <c r="B12101" s="8">
        <v>396.875</v>
      </c>
      <c r="C12101" s="8">
        <v>20.478950000000001</v>
      </c>
      <c r="D12101" s="8">
        <v>74</v>
      </c>
      <c r="E12101" s="8">
        <v>0</v>
      </c>
      <c r="F12101" s="8">
        <v>0</v>
      </c>
      <c r="G12101" s="8">
        <v>18</v>
      </c>
      <c r="H12101" s="8" t="s">
        <v>49840</v>
      </c>
      <c r="I12101" s="8">
        <v>527.4375</v>
      </c>
      <c r="J12101" s="3">
        <f t="shared" si="189"/>
        <v>43749.369434259257</v>
      </c>
    </row>
    <row r="12102" spans="1:10" x14ac:dyDescent="0.25">
      <c r="A12102" s="5" t="s">
        <v>49841</v>
      </c>
      <c r="B12102" s="6">
        <v>396.875</v>
      </c>
      <c r="C12102" s="6">
        <v>20.478950000000001</v>
      </c>
      <c r="D12102" s="6">
        <v>75</v>
      </c>
      <c r="E12102" s="6">
        <v>0</v>
      </c>
      <c r="F12102" s="6">
        <v>0</v>
      </c>
      <c r="G12102" s="6">
        <v>24</v>
      </c>
      <c r="H12102" s="6" t="s">
        <v>49842</v>
      </c>
      <c r="I12102" s="6">
        <v>527.4375</v>
      </c>
      <c r="J12102" s="2">
        <f t="shared" si="189"/>
        <v>43749.369518020831</v>
      </c>
    </row>
    <row r="12103" spans="1:10" x14ac:dyDescent="0.25">
      <c r="A12103" s="7" t="s">
        <v>49843</v>
      </c>
      <c r="B12103" s="8">
        <v>396.875</v>
      </c>
      <c r="C12103" s="8">
        <v>20.478950000000001</v>
      </c>
      <c r="D12103" s="8">
        <v>76</v>
      </c>
      <c r="E12103" s="8">
        <v>0</v>
      </c>
      <c r="F12103" s="8">
        <v>0</v>
      </c>
      <c r="G12103" s="8">
        <v>20</v>
      </c>
      <c r="H12103" s="8" t="s">
        <v>49844</v>
      </c>
      <c r="I12103" s="8">
        <v>527.4375</v>
      </c>
      <c r="J12103" s="3">
        <f t="shared" si="189"/>
        <v>43749.369601041668</v>
      </c>
    </row>
    <row r="12104" spans="1:10" x14ac:dyDescent="0.25">
      <c r="A12104" s="5" t="s">
        <v>49845</v>
      </c>
      <c r="B12104" s="6">
        <v>396.875</v>
      </c>
      <c r="C12104" s="6">
        <v>20.478950000000001</v>
      </c>
      <c r="D12104" s="6">
        <v>76</v>
      </c>
      <c r="E12104" s="6">
        <v>0</v>
      </c>
      <c r="F12104" s="6">
        <v>0</v>
      </c>
      <c r="G12104" s="6">
        <v>18</v>
      </c>
      <c r="H12104" s="6" t="s">
        <v>49846</v>
      </c>
      <c r="I12104" s="6">
        <v>527.4375</v>
      </c>
      <c r="J12104" s="2">
        <f t="shared" si="189"/>
        <v>43749.36967255787</v>
      </c>
    </row>
    <row r="12105" spans="1:10" x14ac:dyDescent="0.25">
      <c r="A12105" s="7" t="s">
        <v>49847</v>
      </c>
      <c r="B12105" s="8">
        <v>415.625</v>
      </c>
      <c r="C12105" s="8">
        <v>20.478950000000001</v>
      </c>
      <c r="D12105" s="8">
        <v>76</v>
      </c>
      <c r="E12105" s="8">
        <v>0</v>
      </c>
      <c r="F12105" s="8">
        <v>0</v>
      </c>
      <c r="G12105" s="8">
        <v>20</v>
      </c>
      <c r="H12105" s="8" t="s">
        <v>49848</v>
      </c>
      <c r="I12105" s="8">
        <v>533.0625</v>
      </c>
      <c r="J12105" s="3">
        <f t="shared" si="189"/>
        <v>43749.369756481479</v>
      </c>
    </row>
    <row r="12106" spans="1:10" x14ac:dyDescent="0.25">
      <c r="A12106" s="5" t="s">
        <v>49849</v>
      </c>
      <c r="B12106" s="6">
        <v>393.75</v>
      </c>
      <c r="C12106" s="6">
        <v>20.478950000000001</v>
      </c>
      <c r="D12106" s="6">
        <v>76</v>
      </c>
      <c r="E12106" s="6">
        <v>0</v>
      </c>
      <c r="F12106" s="6">
        <v>0</v>
      </c>
      <c r="G12106" s="6">
        <v>32</v>
      </c>
      <c r="H12106" s="6" t="s">
        <v>49850</v>
      </c>
      <c r="I12106" s="6">
        <v>526.6875</v>
      </c>
      <c r="J12106" s="2">
        <f t="shared" si="189"/>
        <v>43749.36983993055</v>
      </c>
    </row>
    <row r="12107" spans="1:10" x14ac:dyDescent="0.25">
      <c r="A12107" s="7" t="s">
        <v>49851</v>
      </c>
      <c r="B12107" s="8">
        <v>393.75</v>
      </c>
      <c r="C12107" s="8">
        <v>20.478950000000001</v>
      </c>
      <c r="D12107" s="8">
        <v>77</v>
      </c>
      <c r="E12107" s="8">
        <v>0</v>
      </c>
      <c r="F12107" s="8">
        <v>0</v>
      </c>
      <c r="G12107" s="8">
        <v>21</v>
      </c>
      <c r="H12107" s="8" t="s">
        <v>49852</v>
      </c>
      <c r="I12107" s="8">
        <v>526.6875</v>
      </c>
      <c r="J12107" s="3">
        <f t="shared" si="189"/>
        <v>43749.369923148144</v>
      </c>
    </row>
    <row r="12108" spans="1:10" x14ac:dyDescent="0.25">
      <c r="A12108" s="5" t="s">
        <v>49853</v>
      </c>
      <c r="B12108" s="6">
        <v>393.75</v>
      </c>
      <c r="C12108" s="6">
        <v>20.478950000000001</v>
      </c>
      <c r="D12108" s="6">
        <v>77</v>
      </c>
      <c r="E12108" s="6">
        <v>0</v>
      </c>
      <c r="F12108" s="6">
        <v>0</v>
      </c>
      <c r="G12108" s="6">
        <v>18</v>
      </c>
      <c r="H12108" s="6" t="s">
        <v>49854</v>
      </c>
      <c r="I12108" s="6">
        <v>526.6875</v>
      </c>
      <c r="J12108" s="2">
        <f t="shared" si="189"/>
        <v>43749.369994560184</v>
      </c>
    </row>
    <row r="12109" spans="1:10" x14ac:dyDescent="0.25">
      <c r="A12109" s="7" t="s">
        <v>49855</v>
      </c>
      <c r="B12109" s="8">
        <v>393.75</v>
      </c>
      <c r="C12109" s="8">
        <v>20.478950000000001</v>
      </c>
      <c r="D12109" s="8">
        <v>76</v>
      </c>
      <c r="E12109" s="8">
        <v>0</v>
      </c>
      <c r="F12109" s="8">
        <v>0</v>
      </c>
      <c r="G12109" s="8">
        <v>14</v>
      </c>
      <c r="H12109" s="8" t="s">
        <v>49856</v>
      </c>
      <c r="I12109" s="8">
        <v>526.6875</v>
      </c>
      <c r="J12109" s="3">
        <f t="shared" si="189"/>
        <v>43749.370078344909</v>
      </c>
    </row>
    <row r="12110" spans="1:10" x14ac:dyDescent="0.25">
      <c r="A12110" s="5" t="s">
        <v>49857</v>
      </c>
      <c r="B12110" s="6">
        <v>425</v>
      </c>
      <c r="C12110" s="6">
        <v>20.478950000000001</v>
      </c>
      <c r="D12110" s="6">
        <v>76</v>
      </c>
      <c r="E12110" s="6">
        <v>0</v>
      </c>
      <c r="F12110" s="6">
        <v>0</v>
      </c>
      <c r="G12110" s="6">
        <v>19</v>
      </c>
      <c r="H12110" s="6" t="s">
        <v>49858</v>
      </c>
      <c r="I12110" s="6">
        <v>536.625</v>
      </c>
      <c r="J12110" s="2">
        <f t="shared" si="189"/>
        <v>43749.370161921295</v>
      </c>
    </row>
    <row r="12111" spans="1:10" x14ac:dyDescent="0.25">
      <c r="A12111" s="7" t="s">
        <v>49859</v>
      </c>
      <c r="B12111" s="8">
        <v>393.75</v>
      </c>
      <c r="C12111" s="8">
        <v>20.478950000000001</v>
      </c>
      <c r="D12111" s="8">
        <v>76</v>
      </c>
      <c r="E12111" s="8">
        <v>0</v>
      </c>
      <c r="F12111" s="8">
        <v>0</v>
      </c>
      <c r="G12111" s="8">
        <v>21</v>
      </c>
      <c r="H12111" s="8" t="s">
        <v>49860</v>
      </c>
      <c r="I12111" s="8">
        <v>526.6875</v>
      </c>
      <c r="J12111" s="3">
        <f t="shared" si="189"/>
        <v>43749.370245370366</v>
      </c>
    </row>
    <row r="12112" spans="1:10" x14ac:dyDescent="0.25">
      <c r="A12112" s="5" t="s">
        <v>49861</v>
      </c>
      <c r="B12112" s="6">
        <v>393.75</v>
      </c>
      <c r="C12112" s="6">
        <v>20.478950000000001</v>
      </c>
      <c r="D12112" s="6">
        <v>74</v>
      </c>
      <c r="E12112" s="6">
        <v>0</v>
      </c>
      <c r="F12112" s="6">
        <v>0</v>
      </c>
      <c r="G12112" s="6">
        <v>19</v>
      </c>
      <c r="H12112" s="6" t="s">
        <v>49862</v>
      </c>
      <c r="I12112" s="6">
        <v>526.6875</v>
      </c>
      <c r="J12112" s="2">
        <f t="shared" si="189"/>
        <v>43749.3703527662</v>
      </c>
    </row>
    <row r="12113" spans="1:10" x14ac:dyDescent="0.25">
      <c r="A12113" s="7" t="s">
        <v>49863</v>
      </c>
      <c r="B12113" s="8">
        <v>393.75</v>
      </c>
      <c r="C12113" s="8">
        <v>20.426300000000001</v>
      </c>
      <c r="D12113" s="8">
        <v>73</v>
      </c>
      <c r="E12113" s="8">
        <v>0</v>
      </c>
      <c r="F12113" s="8">
        <v>0</v>
      </c>
      <c r="G12113" s="8">
        <v>19</v>
      </c>
      <c r="H12113" s="8" t="s">
        <v>49864</v>
      </c>
      <c r="I12113" s="8">
        <v>526.6875</v>
      </c>
      <c r="J12113" s="3">
        <f t="shared" si="189"/>
        <v>43749.370436111109</v>
      </c>
    </row>
    <row r="12114" spans="1:10" x14ac:dyDescent="0.25">
      <c r="A12114" s="5" t="s">
        <v>49865</v>
      </c>
      <c r="B12114" s="6">
        <v>393.75</v>
      </c>
      <c r="C12114" s="6">
        <v>20.478950000000001</v>
      </c>
      <c r="D12114" s="6">
        <v>72</v>
      </c>
      <c r="E12114" s="6">
        <v>0</v>
      </c>
      <c r="F12114" s="6">
        <v>0</v>
      </c>
      <c r="G12114" s="6">
        <v>16</v>
      </c>
      <c r="H12114" s="6" t="s">
        <v>49866</v>
      </c>
      <c r="I12114" s="6">
        <v>526.6875</v>
      </c>
      <c r="J12114" s="2">
        <f t="shared" si="189"/>
        <v>43749.37053148148</v>
      </c>
    </row>
    <row r="12115" spans="1:10" x14ac:dyDescent="0.25">
      <c r="A12115" s="7" t="s">
        <v>49867</v>
      </c>
      <c r="B12115" s="8">
        <v>393.75</v>
      </c>
      <c r="C12115" s="8">
        <v>20.478950000000001</v>
      </c>
      <c r="D12115" s="8">
        <v>71</v>
      </c>
      <c r="E12115" s="8">
        <v>0</v>
      </c>
      <c r="F12115" s="8">
        <v>0</v>
      </c>
      <c r="G12115" s="8">
        <v>8</v>
      </c>
      <c r="H12115" s="8" t="s">
        <v>49868</v>
      </c>
      <c r="I12115" s="8">
        <v>526.6875</v>
      </c>
      <c r="J12115" s="3">
        <f t="shared" si="189"/>
        <v>43749.370603009258</v>
      </c>
    </row>
    <row r="12116" spans="1:10" x14ac:dyDescent="0.25">
      <c r="A12116" s="5" t="s">
        <v>49869</v>
      </c>
      <c r="B12116" s="6">
        <v>412.5</v>
      </c>
      <c r="C12116" s="6">
        <v>20.478950000000001</v>
      </c>
      <c r="D12116" s="6">
        <v>68</v>
      </c>
      <c r="E12116" s="6">
        <v>0</v>
      </c>
      <c r="F12116" s="6">
        <v>0</v>
      </c>
      <c r="G12116" s="6">
        <v>13</v>
      </c>
      <c r="H12116" s="6" t="s">
        <v>49870</v>
      </c>
      <c r="I12116" s="6">
        <v>532.3125</v>
      </c>
      <c r="J12116" s="2">
        <f t="shared" si="189"/>
        <v>43749.370686226852</v>
      </c>
    </row>
    <row r="12117" spans="1:10" x14ac:dyDescent="0.25">
      <c r="A12117" s="7" t="s">
        <v>49871</v>
      </c>
      <c r="B12117" s="8">
        <v>393.75</v>
      </c>
      <c r="C12117" s="8">
        <v>20.478950000000001</v>
      </c>
      <c r="D12117" s="8">
        <v>68</v>
      </c>
      <c r="E12117" s="8">
        <v>0</v>
      </c>
      <c r="F12117" s="8">
        <v>0</v>
      </c>
      <c r="G12117" s="8">
        <v>1</v>
      </c>
      <c r="H12117" s="8" t="s">
        <v>49872</v>
      </c>
      <c r="I12117" s="8">
        <v>526.6875</v>
      </c>
      <c r="J12117" s="3">
        <f t="shared" si="189"/>
        <v>43749.370757951387</v>
      </c>
    </row>
    <row r="12118" spans="1:10" x14ac:dyDescent="0.25">
      <c r="A12118" s="5" t="s">
        <v>49873</v>
      </c>
      <c r="B12118" s="6">
        <v>393.75</v>
      </c>
      <c r="C12118" s="6">
        <v>20.478950000000001</v>
      </c>
      <c r="D12118" s="6">
        <v>69</v>
      </c>
      <c r="E12118" s="6">
        <v>0</v>
      </c>
      <c r="F12118" s="6">
        <v>0</v>
      </c>
      <c r="G12118" s="6">
        <v>9</v>
      </c>
      <c r="H12118" s="6" t="s">
        <v>49874</v>
      </c>
      <c r="I12118" s="6">
        <v>526.6875</v>
      </c>
      <c r="J12118" s="2">
        <f t="shared" si="189"/>
        <v>43749.370841666663</v>
      </c>
    </row>
    <row r="12119" spans="1:10" x14ac:dyDescent="0.25">
      <c r="A12119" s="7" t="s">
        <v>49875</v>
      </c>
      <c r="B12119" s="8">
        <v>393.75</v>
      </c>
      <c r="C12119" s="8">
        <v>20.478950000000001</v>
      </c>
      <c r="D12119" s="8">
        <v>69</v>
      </c>
      <c r="E12119" s="8">
        <v>0</v>
      </c>
      <c r="F12119" s="8">
        <v>0</v>
      </c>
      <c r="G12119" s="8">
        <v>10</v>
      </c>
      <c r="H12119" s="8" t="s">
        <v>49876</v>
      </c>
      <c r="I12119" s="8">
        <v>526.6875</v>
      </c>
      <c r="J12119" s="3">
        <f t="shared" si="189"/>
        <v>43749.370925104166</v>
      </c>
    </row>
    <row r="12120" spans="1:10" x14ac:dyDescent="0.25">
      <c r="A12120" s="5" t="s">
        <v>49877</v>
      </c>
      <c r="B12120" s="6">
        <v>393.75</v>
      </c>
      <c r="C12120" s="6">
        <v>20.478950000000001</v>
      </c>
      <c r="D12120" s="6">
        <v>69</v>
      </c>
      <c r="E12120" s="6">
        <v>0</v>
      </c>
      <c r="F12120" s="6">
        <v>0</v>
      </c>
      <c r="G12120" s="6">
        <v>12</v>
      </c>
      <c r="H12120" s="6" t="s">
        <v>49878</v>
      </c>
      <c r="I12120" s="6">
        <v>526.6875</v>
      </c>
      <c r="J12120" s="2">
        <f t="shared" si="189"/>
        <v>43749.371008425922</v>
      </c>
    </row>
    <row r="12121" spans="1:10" x14ac:dyDescent="0.25">
      <c r="A12121" s="7" t="s">
        <v>49879</v>
      </c>
      <c r="B12121" s="8">
        <v>393.75</v>
      </c>
      <c r="C12121" s="8">
        <v>20.478950000000001</v>
      </c>
      <c r="D12121" s="8">
        <v>69</v>
      </c>
      <c r="E12121" s="8">
        <v>0</v>
      </c>
      <c r="F12121" s="8">
        <v>0</v>
      </c>
      <c r="G12121" s="8">
        <v>12</v>
      </c>
      <c r="H12121" s="8" t="s">
        <v>49880</v>
      </c>
      <c r="I12121" s="8">
        <v>526.6875</v>
      </c>
      <c r="J12121" s="3">
        <f t="shared" si="189"/>
        <v>43749.371079988421</v>
      </c>
    </row>
    <row r="12122" spans="1:10" x14ac:dyDescent="0.25">
      <c r="A12122" s="5" t="s">
        <v>49881</v>
      </c>
      <c r="B12122" s="6">
        <v>393.75</v>
      </c>
      <c r="C12122" s="6">
        <v>20.478950000000001</v>
      </c>
      <c r="D12122" s="6">
        <v>69</v>
      </c>
      <c r="E12122" s="6">
        <v>0</v>
      </c>
      <c r="F12122" s="6">
        <v>0</v>
      </c>
      <c r="G12122" s="6">
        <v>5</v>
      </c>
      <c r="H12122" s="6" t="s">
        <v>49882</v>
      </c>
      <c r="I12122" s="6">
        <v>526.6875</v>
      </c>
      <c r="J12122" s="2">
        <f t="shared" si="189"/>
        <v>43749.371163541662</v>
      </c>
    </row>
    <row r="12123" spans="1:10" x14ac:dyDescent="0.25">
      <c r="A12123" s="7" t="s">
        <v>49883</v>
      </c>
      <c r="B12123" s="8">
        <v>393.75</v>
      </c>
      <c r="C12123" s="8">
        <v>20.478950000000001</v>
      </c>
      <c r="D12123" s="8">
        <v>69</v>
      </c>
      <c r="E12123" s="8">
        <v>0</v>
      </c>
      <c r="F12123" s="8">
        <v>0</v>
      </c>
      <c r="G12123" s="8">
        <v>9</v>
      </c>
      <c r="H12123" s="8" t="s">
        <v>49884</v>
      </c>
      <c r="I12123" s="8">
        <v>526.6875</v>
      </c>
      <c r="J12123" s="3">
        <f t="shared" si="189"/>
        <v>43749.371246979164</v>
      </c>
    </row>
    <row r="12124" spans="1:10" x14ac:dyDescent="0.25">
      <c r="A12124" s="5" t="s">
        <v>49885</v>
      </c>
      <c r="B12124" s="6">
        <v>412.5</v>
      </c>
      <c r="C12124" s="6">
        <v>20.478950000000001</v>
      </c>
      <c r="D12124" s="6">
        <v>69</v>
      </c>
      <c r="E12124" s="6">
        <v>0</v>
      </c>
      <c r="F12124" s="6">
        <v>0</v>
      </c>
      <c r="G12124" s="6">
        <v>19</v>
      </c>
      <c r="H12124" s="6" t="s">
        <v>49886</v>
      </c>
      <c r="I12124" s="6">
        <v>532.3125</v>
      </c>
      <c r="J12124" s="2">
        <f t="shared" si="189"/>
        <v>43749.371318530095</v>
      </c>
    </row>
    <row r="12125" spans="1:10" x14ac:dyDescent="0.25">
      <c r="A12125" s="7" t="s">
        <v>49887</v>
      </c>
      <c r="B12125" s="8">
        <v>393.75</v>
      </c>
      <c r="C12125" s="8">
        <v>20.478950000000001</v>
      </c>
      <c r="D12125" s="8">
        <v>70</v>
      </c>
      <c r="E12125" s="8">
        <v>0</v>
      </c>
      <c r="F12125" s="8">
        <v>0</v>
      </c>
      <c r="G12125" s="8">
        <v>14</v>
      </c>
      <c r="H12125" s="8" t="s">
        <v>49888</v>
      </c>
      <c r="I12125" s="8">
        <v>526.5</v>
      </c>
      <c r="J12125" s="3">
        <f t="shared" si="189"/>
        <v>43749.37140196759</v>
      </c>
    </row>
    <row r="12126" spans="1:10" x14ac:dyDescent="0.25">
      <c r="A12126" s="5" t="s">
        <v>49889</v>
      </c>
      <c r="B12126" s="6">
        <v>393.75</v>
      </c>
      <c r="C12126" s="6">
        <v>20.478950000000001</v>
      </c>
      <c r="D12126" s="6">
        <v>70</v>
      </c>
      <c r="E12126" s="6">
        <v>0</v>
      </c>
      <c r="F12126" s="6">
        <v>0</v>
      </c>
      <c r="G12126" s="6">
        <v>19</v>
      </c>
      <c r="H12126" s="6" t="s">
        <v>49890</v>
      </c>
      <c r="I12126" s="6">
        <v>526.6875</v>
      </c>
      <c r="J12126" s="2">
        <f t="shared" si="189"/>
        <v>43749.371485543983</v>
      </c>
    </row>
    <row r="12127" spans="1:10" x14ac:dyDescent="0.25">
      <c r="A12127" s="7" t="s">
        <v>49891</v>
      </c>
      <c r="B12127" s="8">
        <v>393.75</v>
      </c>
      <c r="C12127" s="8">
        <v>20.478950000000001</v>
      </c>
      <c r="D12127" s="8">
        <v>71</v>
      </c>
      <c r="E12127" s="8">
        <v>0</v>
      </c>
      <c r="F12127" s="8">
        <v>0</v>
      </c>
      <c r="G12127" s="8">
        <v>11</v>
      </c>
      <c r="H12127" s="8" t="s">
        <v>49892</v>
      </c>
      <c r="I12127" s="8">
        <v>526.6875</v>
      </c>
      <c r="J12127" s="3">
        <f t="shared" si="189"/>
        <v>43749.371568969909</v>
      </c>
    </row>
    <row r="12128" spans="1:10" x14ac:dyDescent="0.25">
      <c r="A12128" s="5" t="s">
        <v>49893</v>
      </c>
      <c r="B12128" s="6">
        <v>393.75</v>
      </c>
      <c r="C12128" s="6">
        <v>20.478950000000001</v>
      </c>
      <c r="D12128" s="6">
        <v>71</v>
      </c>
      <c r="E12128" s="6">
        <v>0</v>
      </c>
      <c r="F12128" s="6">
        <v>0</v>
      </c>
      <c r="G12128" s="6">
        <v>21</v>
      </c>
      <c r="H12128" s="6" t="s">
        <v>49894</v>
      </c>
      <c r="I12128" s="6">
        <v>526.6875</v>
      </c>
      <c r="J12128" s="2">
        <f t="shared" si="189"/>
        <v>43749.371652430556</v>
      </c>
    </row>
    <row r="12129" spans="1:10" x14ac:dyDescent="0.25">
      <c r="A12129" s="7" t="s">
        <v>49895</v>
      </c>
      <c r="B12129" s="8">
        <v>412.5</v>
      </c>
      <c r="C12129" s="8">
        <v>20.478950000000001</v>
      </c>
      <c r="D12129" s="8">
        <v>72</v>
      </c>
      <c r="E12129" s="8">
        <v>0</v>
      </c>
      <c r="F12129" s="8">
        <v>0</v>
      </c>
      <c r="G12129" s="8">
        <v>16</v>
      </c>
      <c r="H12129" s="8" t="s">
        <v>49896</v>
      </c>
      <c r="I12129" s="8">
        <v>532.125</v>
      </c>
      <c r="J12129" s="3">
        <f t="shared" si="189"/>
        <v>43749.371736168978</v>
      </c>
    </row>
    <row r="12130" spans="1:10" x14ac:dyDescent="0.25">
      <c r="A12130" s="5" t="s">
        <v>49897</v>
      </c>
      <c r="B12130" s="6">
        <v>393.75</v>
      </c>
      <c r="C12130" s="6">
        <v>20.478950000000001</v>
      </c>
      <c r="D12130" s="6">
        <v>69</v>
      </c>
      <c r="E12130" s="6">
        <v>0</v>
      </c>
      <c r="F12130" s="6">
        <v>0</v>
      </c>
      <c r="G12130" s="6">
        <v>20</v>
      </c>
      <c r="H12130" s="6" t="s">
        <v>49898</v>
      </c>
      <c r="I12130" s="6">
        <v>526.6875</v>
      </c>
      <c r="J12130" s="2">
        <f t="shared" si="189"/>
        <v>43749.371819444445</v>
      </c>
    </row>
    <row r="12131" spans="1:10" x14ac:dyDescent="0.25">
      <c r="A12131" s="7" t="s">
        <v>49899</v>
      </c>
      <c r="B12131" s="8">
        <v>393.75</v>
      </c>
      <c r="C12131" s="8">
        <v>20.478950000000001</v>
      </c>
      <c r="D12131" s="8">
        <v>70</v>
      </c>
      <c r="E12131" s="8">
        <v>0</v>
      </c>
      <c r="F12131" s="8">
        <v>0</v>
      </c>
      <c r="G12131" s="8">
        <v>23</v>
      </c>
      <c r="H12131" s="8" t="s">
        <v>49900</v>
      </c>
      <c r="I12131" s="8">
        <v>526.6875</v>
      </c>
      <c r="J12131" s="3">
        <f t="shared" si="189"/>
        <v>43749.37190288194</v>
      </c>
    </row>
    <row r="12132" spans="1:10" x14ac:dyDescent="0.25">
      <c r="A12132" s="5" t="s">
        <v>49901</v>
      </c>
      <c r="B12132" s="6">
        <v>393.75</v>
      </c>
      <c r="C12132" s="6">
        <v>20.478950000000001</v>
      </c>
      <c r="D12132" s="6">
        <v>71</v>
      </c>
      <c r="E12132" s="6">
        <v>0</v>
      </c>
      <c r="F12132" s="6">
        <v>0</v>
      </c>
      <c r="G12132" s="6">
        <v>22</v>
      </c>
      <c r="H12132" s="6" t="s">
        <v>49902</v>
      </c>
      <c r="I12132" s="6">
        <v>526.6875</v>
      </c>
      <c r="J12132" s="2">
        <f t="shared" si="189"/>
        <v>43749.371986122678</v>
      </c>
    </row>
    <row r="12133" spans="1:10" x14ac:dyDescent="0.25">
      <c r="A12133" s="7" t="s">
        <v>49903</v>
      </c>
      <c r="B12133" s="8">
        <v>393.75</v>
      </c>
      <c r="C12133" s="8">
        <v>20.478950000000001</v>
      </c>
      <c r="D12133" s="8">
        <v>71</v>
      </c>
      <c r="E12133" s="8">
        <v>0</v>
      </c>
      <c r="F12133" s="8">
        <v>0</v>
      </c>
      <c r="G12133" s="8">
        <v>18</v>
      </c>
      <c r="H12133" s="8" t="s">
        <v>49904</v>
      </c>
      <c r="I12133" s="8">
        <v>526.6875</v>
      </c>
      <c r="J12133" s="3">
        <f t="shared" si="189"/>
        <v>43749.372070358797</v>
      </c>
    </row>
    <row r="12134" spans="1:10" x14ac:dyDescent="0.25">
      <c r="A12134" s="5" t="s">
        <v>49905</v>
      </c>
      <c r="B12134" s="6">
        <v>393.75</v>
      </c>
      <c r="C12134" s="6">
        <v>20.478950000000001</v>
      </c>
      <c r="D12134" s="6">
        <v>72</v>
      </c>
      <c r="E12134" s="6">
        <v>0</v>
      </c>
      <c r="F12134" s="6">
        <v>0</v>
      </c>
      <c r="G12134" s="6">
        <v>16</v>
      </c>
      <c r="H12134" s="6" t="s">
        <v>49906</v>
      </c>
      <c r="I12134" s="6">
        <v>526.6875</v>
      </c>
      <c r="J12134" s="2">
        <f t="shared" si="189"/>
        <v>43749.372153506942</v>
      </c>
    </row>
    <row r="12135" spans="1:10" x14ac:dyDescent="0.25">
      <c r="A12135" s="7" t="s">
        <v>49907</v>
      </c>
      <c r="B12135" s="8">
        <v>393.75</v>
      </c>
      <c r="C12135" s="8">
        <v>20.478950000000001</v>
      </c>
      <c r="D12135" s="8">
        <v>74</v>
      </c>
      <c r="E12135" s="8">
        <v>0</v>
      </c>
      <c r="F12135" s="8">
        <v>0</v>
      </c>
      <c r="G12135" s="8">
        <v>18</v>
      </c>
      <c r="H12135" s="8" t="s">
        <v>49908</v>
      </c>
      <c r="I12135" s="8">
        <v>526.6875</v>
      </c>
      <c r="J12135" s="3">
        <f t="shared" si="189"/>
        <v>43749.372224907405</v>
      </c>
    </row>
    <row r="12136" spans="1:10" x14ac:dyDescent="0.25">
      <c r="A12136" s="5" t="s">
        <v>49909</v>
      </c>
      <c r="B12136" s="6">
        <v>412.5</v>
      </c>
      <c r="C12136" s="6">
        <v>20.478950000000001</v>
      </c>
      <c r="D12136" s="6">
        <v>73</v>
      </c>
      <c r="E12136" s="6">
        <v>0</v>
      </c>
      <c r="F12136" s="6">
        <v>0</v>
      </c>
      <c r="G12136" s="6">
        <v>14</v>
      </c>
      <c r="H12136" s="6" t="s">
        <v>49910</v>
      </c>
      <c r="I12136" s="6">
        <v>532.875</v>
      </c>
      <c r="J12136" s="2">
        <f t="shared" si="189"/>
        <v>43749.372308368052</v>
      </c>
    </row>
    <row r="12137" spans="1:10" x14ac:dyDescent="0.25">
      <c r="A12137" s="7" t="s">
        <v>49911</v>
      </c>
      <c r="B12137" s="8">
        <v>393.75</v>
      </c>
      <c r="C12137" s="8">
        <v>20.478950000000001</v>
      </c>
      <c r="D12137" s="8">
        <v>71</v>
      </c>
      <c r="E12137" s="8">
        <v>0</v>
      </c>
      <c r="F12137" s="8">
        <v>0</v>
      </c>
      <c r="G12137" s="8">
        <v>27</v>
      </c>
      <c r="H12137" s="8" t="s">
        <v>49912</v>
      </c>
      <c r="I12137" s="8">
        <v>526.5</v>
      </c>
      <c r="J12137" s="3">
        <f t="shared" si="189"/>
        <v>43749.372380115739</v>
      </c>
    </row>
    <row r="12138" spans="1:10" x14ac:dyDescent="0.25">
      <c r="A12138" s="5" t="s">
        <v>49913</v>
      </c>
      <c r="B12138" s="6">
        <v>393.75</v>
      </c>
      <c r="C12138" s="6">
        <v>20.478950000000001</v>
      </c>
      <c r="D12138" s="6">
        <v>70</v>
      </c>
      <c r="E12138" s="6">
        <v>0</v>
      </c>
      <c r="F12138" s="6">
        <v>0</v>
      </c>
      <c r="G12138" s="6">
        <v>17</v>
      </c>
      <c r="H12138" s="6" t="s">
        <v>49914</v>
      </c>
      <c r="I12138" s="6">
        <v>526.6875</v>
      </c>
      <c r="J12138" s="2">
        <f t="shared" si="189"/>
        <v>43749.372463344909</v>
      </c>
    </row>
    <row r="12139" spans="1:10" x14ac:dyDescent="0.25">
      <c r="A12139" s="7" t="s">
        <v>49915</v>
      </c>
      <c r="B12139" s="8">
        <v>425</v>
      </c>
      <c r="C12139" s="8">
        <v>20.478950000000001</v>
      </c>
      <c r="D12139" s="8">
        <v>71</v>
      </c>
      <c r="E12139" s="8">
        <v>0</v>
      </c>
      <c r="F12139" s="8">
        <v>0</v>
      </c>
      <c r="G12139" s="8">
        <v>14</v>
      </c>
      <c r="H12139" s="8" t="s">
        <v>49916</v>
      </c>
      <c r="I12139" s="8">
        <v>536.25</v>
      </c>
      <c r="J12139" s="3">
        <f t="shared" si="189"/>
        <v>43749.37254689815</v>
      </c>
    </row>
    <row r="12140" spans="1:10" x14ac:dyDescent="0.25">
      <c r="A12140" s="5" t="s">
        <v>49917</v>
      </c>
      <c r="B12140" s="6">
        <v>393.75</v>
      </c>
      <c r="C12140" s="6">
        <v>20.478950000000001</v>
      </c>
      <c r="D12140" s="6">
        <v>70</v>
      </c>
      <c r="E12140" s="6">
        <v>0</v>
      </c>
      <c r="F12140" s="6">
        <v>0</v>
      </c>
      <c r="G12140" s="6">
        <v>22</v>
      </c>
      <c r="H12140" s="6" t="s">
        <v>49918</v>
      </c>
      <c r="I12140" s="6">
        <v>526.6875</v>
      </c>
      <c r="J12140" s="2">
        <f t="shared" si="189"/>
        <v>43749.372630347221</v>
      </c>
    </row>
    <row r="12141" spans="1:10" x14ac:dyDescent="0.25">
      <c r="A12141" s="7" t="s">
        <v>49919</v>
      </c>
      <c r="B12141" s="8">
        <v>393.75</v>
      </c>
      <c r="C12141" s="8">
        <v>20.426300000000001</v>
      </c>
      <c r="D12141" s="8">
        <v>70</v>
      </c>
      <c r="E12141" s="8">
        <v>0</v>
      </c>
      <c r="F12141" s="8">
        <v>0</v>
      </c>
      <c r="G12141" s="8">
        <v>22</v>
      </c>
      <c r="H12141" s="8" t="s">
        <v>49920</v>
      </c>
      <c r="I12141" s="8">
        <v>526.6875</v>
      </c>
      <c r="J12141" s="3">
        <f t="shared" si="189"/>
        <v>43749.372713807868</v>
      </c>
    </row>
    <row r="12142" spans="1:10" x14ac:dyDescent="0.25">
      <c r="A12142" s="5" t="s">
        <v>49921</v>
      </c>
      <c r="B12142" s="6">
        <v>393.75</v>
      </c>
      <c r="C12142" s="6">
        <v>20.478950000000001</v>
      </c>
      <c r="D12142" s="6">
        <v>75</v>
      </c>
      <c r="E12142" s="6">
        <v>0</v>
      </c>
      <c r="F12142" s="6">
        <v>0</v>
      </c>
      <c r="G12142" s="6">
        <v>16</v>
      </c>
      <c r="H12142" s="6" t="s">
        <v>49922</v>
      </c>
      <c r="I12142" s="6">
        <v>526.6875</v>
      </c>
      <c r="J12142" s="2">
        <f t="shared" si="189"/>
        <v>43749.372797245371</v>
      </c>
    </row>
    <row r="12143" spans="1:10" x14ac:dyDescent="0.25">
      <c r="A12143" s="7" t="s">
        <v>49923</v>
      </c>
      <c r="B12143" s="8">
        <v>393.75</v>
      </c>
      <c r="C12143" s="8">
        <v>20.478950000000001</v>
      </c>
      <c r="D12143" s="8">
        <v>67</v>
      </c>
      <c r="E12143" s="8">
        <v>0</v>
      </c>
      <c r="F12143" s="8">
        <v>0</v>
      </c>
      <c r="G12143" s="8">
        <v>21</v>
      </c>
      <c r="H12143" s="8" t="s">
        <v>49924</v>
      </c>
      <c r="I12143" s="8">
        <v>526.6875</v>
      </c>
      <c r="J12143" s="3">
        <f t="shared" si="189"/>
        <v>43749.372868900457</v>
      </c>
    </row>
    <row r="12144" spans="1:10" x14ac:dyDescent="0.25">
      <c r="A12144" s="5" t="s">
        <v>49925</v>
      </c>
      <c r="B12144" s="6">
        <v>421.875</v>
      </c>
      <c r="C12144" s="6">
        <v>20.478950000000001</v>
      </c>
      <c r="D12144" s="6">
        <v>68</v>
      </c>
      <c r="E12144" s="6">
        <v>0</v>
      </c>
      <c r="F12144" s="6">
        <v>0</v>
      </c>
      <c r="G12144" s="6">
        <v>27</v>
      </c>
      <c r="H12144" s="6" t="s">
        <v>49926</v>
      </c>
      <c r="I12144" s="6">
        <v>535.3125</v>
      </c>
      <c r="J12144" s="2">
        <f t="shared" si="189"/>
        <v>43749.372952349535</v>
      </c>
    </row>
    <row r="12145" spans="1:10" x14ac:dyDescent="0.25">
      <c r="A12145" s="7" t="s">
        <v>49927</v>
      </c>
      <c r="B12145" s="8">
        <v>393.75</v>
      </c>
      <c r="C12145" s="8">
        <v>20.478950000000001</v>
      </c>
      <c r="D12145" s="8">
        <v>68</v>
      </c>
      <c r="E12145" s="8">
        <v>0</v>
      </c>
      <c r="F12145" s="8">
        <v>0</v>
      </c>
      <c r="G12145" s="8">
        <v>14</v>
      </c>
      <c r="H12145" s="8" t="s">
        <v>49928</v>
      </c>
      <c r="I12145" s="8">
        <v>526.6875</v>
      </c>
      <c r="J12145" s="3">
        <f t="shared" si="189"/>
        <v>43749.373035775461</v>
      </c>
    </row>
    <row r="12146" spans="1:10" x14ac:dyDescent="0.25">
      <c r="A12146" s="5" t="s">
        <v>49929</v>
      </c>
      <c r="B12146" s="6">
        <v>393.75</v>
      </c>
      <c r="C12146" s="6">
        <v>20.478950000000001</v>
      </c>
      <c r="D12146" s="6">
        <v>68</v>
      </c>
      <c r="E12146" s="6">
        <v>0</v>
      </c>
      <c r="F12146" s="6">
        <v>0</v>
      </c>
      <c r="G12146" s="6">
        <v>18</v>
      </c>
      <c r="H12146" s="6" t="s">
        <v>49930</v>
      </c>
      <c r="I12146" s="6">
        <v>526.6875</v>
      </c>
      <c r="J12146" s="2">
        <f t="shared" si="189"/>
        <v>43749.373119479169</v>
      </c>
    </row>
    <row r="12147" spans="1:10" x14ac:dyDescent="0.25">
      <c r="A12147" s="7" t="s">
        <v>49931</v>
      </c>
      <c r="B12147" s="8">
        <v>393.75</v>
      </c>
      <c r="C12147" s="8">
        <v>20.478950000000001</v>
      </c>
      <c r="D12147" s="8">
        <v>69</v>
      </c>
      <c r="E12147" s="8">
        <v>0</v>
      </c>
      <c r="F12147" s="8">
        <v>0</v>
      </c>
      <c r="G12147" s="8">
        <v>10</v>
      </c>
      <c r="H12147" s="8" t="s">
        <v>49932</v>
      </c>
      <c r="I12147" s="8">
        <v>526.6875</v>
      </c>
      <c r="J12147" s="3">
        <f t="shared" si="189"/>
        <v>43749.373202800918</v>
      </c>
    </row>
    <row r="12148" spans="1:10" x14ac:dyDescent="0.25">
      <c r="A12148" s="5" t="s">
        <v>49933</v>
      </c>
      <c r="B12148" s="6">
        <v>393.75</v>
      </c>
      <c r="C12148" s="6">
        <v>20.478950000000001</v>
      </c>
      <c r="D12148" s="6">
        <v>70</v>
      </c>
      <c r="E12148" s="6">
        <v>0</v>
      </c>
      <c r="F12148" s="6">
        <v>0</v>
      </c>
      <c r="G12148" s="6">
        <v>11</v>
      </c>
      <c r="H12148" s="6" t="s">
        <v>49934</v>
      </c>
      <c r="I12148" s="6">
        <v>526.6875</v>
      </c>
      <c r="J12148" s="2">
        <f t="shared" si="189"/>
        <v>43749.373286134258</v>
      </c>
    </row>
    <row r="12149" spans="1:10" x14ac:dyDescent="0.25">
      <c r="A12149" s="7" t="s">
        <v>49935</v>
      </c>
      <c r="B12149" s="8">
        <v>393.75</v>
      </c>
      <c r="C12149" s="8">
        <v>20.478950000000001</v>
      </c>
      <c r="D12149" s="8">
        <v>71</v>
      </c>
      <c r="E12149" s="8">
        <v>0</v>
      </c>
      <c r="F12149" s="8">
        <v>0</v>
      </c>
      <c r="G12149" s="8">
        <v>17</v>
      </c>
      <c r="H12149" s="8" t="s">
        <v>49936</v>
      </c>
      <c r="I12149" s="8">
        <v>526.6875</v>
      </c>
      <c r="J12149" s="3">
        <f t="shared" si="189"/>
        <v>43749.373369710644</v>
      </c>
    </row>
    <row r="12150" spans="1:10" x14ac:dyDescent="0.25">
      <c r="A12150" s="5" t="s">
        <v>49937</v>
      </c>
      <c r="B12150" s="6">
        <v>393.75</v>
      </c>
      <c r="C12150" s="6">
        <v>20.478950000000001</v>
      </c>
      <c r="D12150" s="6">
        <v>71</v>
      </c>
      <c r="E12150" s="6">
        <v>0</v>
      </c>
      <c r="F12150" s="6">
        <v>0</v>
      </c>
      <c r="G12150" s="6">
        <v>18</v>
      </c>
      <c r="H12150" s="6" t="s">
        <v>49938</v>
      </c>
      <c r="I12150" s="6">
        <v>526.6875</v>
      </c>
      <c r="J12150" s="2">
        <f t="shared" si="189"/>
        <v>43749.373452916661</v>
      </c>
    </row>
    <row r="12151" spans="1:10" x14ac:dyDescent="0.25">
      <c r="A12151" s="7" t="s">
        <v>49939</v>
      </c>
      <c r="B12151" s="8">
        <v>425</v>
      </c>
      <c r="C12151" s="8">
        <v>20.478950000000001</v>
      </c>
      <c r="D12151" s="8">
        <v>71</v>
      </c>
      <c r="E12151" s="8">
        <v>0</v>
      </c>
      <c r="F12151" s="8">
        <v>0</v>
      </c>
      <c r="G12151" s="8">
        <v>15</v>
      </c>
      <c r="H12151" s="8" t="s">
        <v>49940</v>
      </c>
      <c r="I12151" s="8">
        <v>536.0625</v>
      </c>
      <c r="J12151" s="3">
        <f t="shared" si="189"/>
        <v>43749.373524675924</v>
      </c>
    </row>
    <row r="12152" spans="1:10" x14ac:dyDescent="0.25">
      <c r="A12152" s="5" t="s">
        <v>49941</v>
      </c>
      <c r="B12152" s="6">
        <v>393.75</v>
      </c>
      <c r="C12152" s="6">
        <v>20.478950000000001</v>
      </c>
      <c r="D12152" s="6">
        <v>71</v>
      </c>
      <c r="E12152" s="6">
        <v>0</v>
      </c>
      <c r="F12152" s="6">
        <v>0</v>
      </c>
      <c r="G12152" s="6">
        <v>25</v>
      </c>
      <c r="H12152" s="6" t="s">
        <v>49942</v>
      </c>
      <c r="I12152" s="6">
        <v>526.6875</v>
      </c>
      <c r="J12152" s="2">
        <f t="shared" si="189"/>
        <v>43749.37360835648</v>
      </c>
    </row>
    <row r="12153" spans="1:10" x14ac:dyDescent="0.25">
      <c r="A12153" s="7" t="s">
        <v>49943</v>
      </c>
      <c r="B12153" s="8">
        <v>393.75</v>
      </c>
      <c r="C12153" s="8">
        <v>20.478950000000001</v>
      </c>
      <c r="D12153" s="8">
        <v>70</v>
      </c>
      <c r="E12153" s="8">
        <v>0</v>
      </c>
      <c r="F12153" s="8">
        <v>0</v>
      </c>
      <c r="G12153" s="8">
        <v>20</v>
      </c>
      <c r="H12153" s="8" t="s">
        <v>49944</v>
      </c>
      <c r="I12153" s="8">
        <v>526.5</v>
      </c>
      <c r="J12153" s="3">
        <f t="shared" si="189"/>
        <v>43749.373691712965</v>
      </c>
    </row>
    <row r="12154" spans="1:10" x14ac:dyDescent="0.25">
      <c r="A12154" s="5" t="s">
        <v>49945</v>
      </c>
      <c r="B12154" s="6">
        <v>393.75</v>
      </c>
      <c r="C12154" s="6">
        <v>20.478950000000001</v>
      </c>
      <c r="D12154" s="6">
        <v>71</v>
      </c>
      <c r="E12154" s="6">
        <v>0</v>
      </c>
      <c r="F12154" s="6">
        <v>0</v>
      </c>
      <c r="G12154" s="6">
        <v>12</v>
      </c>
      <c r="H12154" s="6" t="s">
        <v>49946</v>
      </c>
      <c r="I12154" s="6">
        <v>526.6875</v>
      </c>
      <c r="J12154" s="2">
        <f t="shared" si="189"/>
        <v>43749.373775023145</v>
      </c>
    </row>
    <row r="12155" spans="1:10" x14ac:dyDescent="0.25">
      <c r="A12155" s="7" t="s">
        <v>49947</v>
      </c>
      <c r="B12155" s="8">
        <v>393.75</v>
      </c>
      <c r="C12155" s="8">
        <v>20.478950000000001</v>
      </c>
      <c r="D12155" s="8">
        <v>71</v>
      </c>
      <c r="E12155" s="8">
        <v>0</v>
      </c>
      <c r="F12155" s="8">
        <v>0</v>
      </c>
      <c r="G12155" s="8">
        <v>16</v>
      </c>
      <c r="H12155" s="8" t="s">
        <v>49948</v>
      </c>
      <c r="I12155" s="8">
        <v>526.6875</v>
      </c>
      <c r="J12155" s="3">
        <f t="shared" si="189"/>
        <v>43749.373846666662</v>
      </c>
    </row>
    <row r="12156" spans="1:10" x14ac:dyDescent="0.25">
      <c r="A12156" s="5" t="s">
        <v>49949</v>
      </c>
      <c r="B12156" s="6">
        <v>393.75</v>
      </c>
      <c r="C12156" s="6">
        <v>20.478950000000001</v>
      </c>
      <c r="D12156" s="6">
        <v>74</v>
      </c>
      <c r="E12156" s="6">
        <v>0</v>
      </c>
      <c r="F12156" s="6">
        <v>0</v>
      </c>
      <c r="G12156" s="6">
        <v>14</v>
      </c>
      <c r="H12156" s="6" t="s">
        <v>49950</v>
      </c>
      <c r="I12156" s="6">
        <v>526.6875</v>
      </c>
      <c r="J12156" s="2">
        <f t="shared" si="189"/>
        <v>43749.373930231479</v>
      </c>
    </row>
    <row r="12157" spans="1:10" x14ac:dyDescent="0.25">
      <c r="A12157" s="7" t="s">
        <v>49951</v>
      </c>
      <c r="B12157" s="8">
        <v>393.75</v>
      </c>
      <c r="C12157" s="8">
        <v>20.478950000000001</v>
      </c>
      <c r="D12157" s="8">
        <v>75</v>
      </c>
      <c r="E12157" s="8">
        <v>0</v>
      </c>
      <c r="F12157" s="8">
        <v>0</v>
      </c>
      <c r="G12157" s="8">
        <v>17</v>
      </c>
      <c r="H12157" s="8" t="s">
        <v>49952</v>
      </c>
      <c r="I12157" s="8">
        <v>526.6875</v>
      </c>
      <c r="J12157" s="3">
        <f t="shared" si="189"/>
        <v>43749.37401368055</v>
      </c>
    </row>
    <row r="12158" spans="1:10" x14ac:dyDescent="0.25">
      <c r="A12158" s="5" t="s">
        <v>49953</v>
      </c>
      <c r="B12158" s="6">
        <v>393.75</v>
      </c>
      <c r="C12158" s="6">
        <v>20.478950000000001</v>
      </c>
      <c r="D12158" s="6">
        <v>75</v>
      </c>
      <c r="E12158" s="6">
        <v>0</v>
      </c>
      <c r="F12158" s="6">
        <v>0</v>
      </c>
      <c r="G12158" s="6">
        <v>13</v>
      </c>
      <c r="H12158" s="6" t="s">
        <v>49954</v>
      </c>
      <c r="I12158" s="6">
        <v>526.6875</v>
      </c>
      <c r="J12158" s="2">
        <f t="shared" si="189"/>
        <v>43749.374097245367</v>
      </c>
    </row>
    <row r="12159" spans="1:10" x14ac:dyDescent="0.25">
      <c r="A12159" s="7" t="s">
        <v>49955</v>
      </c>
      <c r="B12159" s="8">
        <v>412.5</v>
      </c>
      <c r="C12159" s="8">
        <v>20.478950000000001</v>
      </c>
      <c r="D12159" s="8">
        <v>75</v>
      </c>
      <c r="E12159" s="8">
        <v>0</v>
      </c>
      <c r="F12159" s="8">
        <v>0</v>
      </c>
      <c r="G12159" s="8">
        <v>16</v>
      </c>
      <c r="H12159" s="8" t="s">
        <v>49956</v>
      </c>
      <c r="I12159" s="8">
        <v>532.3125</v>
      </c>
      <c r="J12159" s="3">
        <f t="shared" si="189"/>
        <v>43749.374180798608</v>
      </c>
    </row>
    <row r="12160" spans="1:10" x14ac:dyDescent="0.25">
      <c r="A12160" s="5" t="s">
        <v>49957</v>
      </c>
      <c r="B12160" s="6">
        <v>393.75</v>
      </c>
      <c r="C12160" s="6">
        <v>20.478950000000001</v>
      </c>
      <c r="D12160" s="6">
        <v>76</v>
      </c>
      <c r="E12160" s="6">
        <v>0</v>
      </c>
      <c r="F12160" s="6">
        <v>0</v>
      </c>
      <c r="G12160" s="6">
        <v>13</v>
      </c>
      <c r="H12160" s="6" t="s">
        <v>49958</v>
      </c>
      <c r="I12160" s="6">
        <v>526.6875</v>
      </c>
      <c r="J12160" s="2">
        <f t="shared" si="189"/>
        <v>43749.374263900456</v>
      </c>
    </row>
    <row r="12161" spans="1:10" x14ac:dyDescent="0.25">
      <c r="A12161" s="7" t="s">
        <v>49959</v>
      </c>
      <c r="B12161" s="8">
        <v>393.75</v>
      </c>
      <c r="C12161" s="8">
        <v>20.478950000000001</v>
      </c>
      <c r="D12161" s="8">
        <v>76</v>
      </c>
      <c r="E12161" s="8">
        <v>0</v>
      </c>
      <c r="F12161" s="8">
        <v>0</v>
      </c>
      <c r="G12161" s="8">
        <v>14</v>
      </c>
      <c r="H12161" s="8" t="s">
        <v>49960</v>
      </c>
      <c r="I12161" s="8">
        <v>526.5</v>
      </c>
      <c r="J12161" s="3">
        <f t="shared" si="189"/>
        <v>43749.374335428241</v>
      </c>
    </row>
    <row r="12162" spans="1:10" x14ac:dyDescent="0.25">
      <c r="A12162" s="5" t="s">
        <v>49961</v>
      </c>
      <c r="B12162" s="6">
        <v>393.75</v>
      </c>
      <c r="C12162" s="6">
        <v>20.478950000000001</v>
      </c>
      <c r="D12162" s="6">
        <v>76</v>
      </c>
      <c r="E12162" s="6">
        <v>0</v>
      </c>
      <c r="F12162" s="6">
        <v>0</v>
      </c>
      <c r="G12162" s="6">
        <v>16</v>
      </c>
      <c r="H12162" s="6" t="s">
        <v>49962</v>
      </c>
      <c r="I12162" s="6">
        <v>526.6875</v>
      </c>
      <c r="J12162" s="2">
        <f t="shared" ref="J12162:J12225" si="190">(H12162/86400000)+25569+(7/24)</f>
        <v>43749.374407199073</v>
      </c>
    </row>
    <row r="12163" spans="1:10" x14ac:dyDescent="0.25">
      <c r="A12163" s="7" t="s">
        <v>49963</v>
      </c>
      <c r="B12163" s="8">
        <v>393.75</v>
      </c>
      <c r="C12163" s="8">
        <v>20.478950000000001</v>
      </c>
      <c r="D12163" s="8">
        <v>76</v>
      </c>
      <c r="E12163" s="8">
        <v>0</v>
      </c>
      <c r="F12163" s="8">
        <v>0</v>
      </c>
      <c r="G12163" s="8">
        <v>22</v>
      </c>
      <c r="H12163" s="8" t="s">
        <v>49964</v>
      </c>
      <c r="I12163" s="8">
        <v>526.6875</v>
      </c>
      <c r="J12163" s="3">
        <f t="shared" si="190"/>
        <v>43749.374490821756</v>
      </c>
    </row>
    <row r="12164" spans="1:10" x14ac:dyDescent="0.25">
      <c r="A12164" s="5" t="s">
        <v>49965</v>
      </c>
      <c r="B12164" s="6">
        <v>393.75</v>
      </c>
      <c r="C12164" s="6">
        <v>20.478950000000001</v>
      </c>
      <c r="D12164" s="6">
        <v>74</v>
      </c>
      <c r="E12164" s="6">
        <v>0</v>
      </c>
      <c r="F12164" s="6">
        <v>0</v>
      </c>
      <c r="G12164" s="6">
        <v>14</v>
      </c>
      <c r="H12164" s="6" t="s">
        <v>49966</v>
      </c>
      <c r="I12164" s="6">
        <v>526.5</v>
      </c>
      <c r="J12164" s="2">
        <f t="shared" si="190"/>
        <v>43749.374569710642</v>
      </c>
    </row>
    <row r="12165" spans="1:10" x14ac:dyDescent="0.25">
      <c r="A12165" s="7" t="s">
        <v>49967</v>
      </c>
      <c r="B12165" s="8">
        <v>393.75</v>
      </c>
      <c r="C12165" s="8">
        <v>20.478950000000001</v>
      </c>
      <c r="D12165" s="8">
        <v>74</v>
      </c>
      <c r="E12165" s="8">
        <v>0</v>
      </c>
      <c r="F12165" s="8">
        <v>0</v>
      </c>
      <c r="G12165" s="8">
        <v>10</v>
      </c>
      <c r="H12165" s="8" t="s">
        <v>49968</v>
      </c>
      <c r="I12165" s="8">
        <v>526.6875</v>
      </c>
      <c r="J12165" s="3">
        <f t="shared" si="190"/>
        <v>43749.374645393516</v>
      </c>
    </row>
    <row r="12166" spans="1:10" x14ac:dyDescent="0.25">
      <c r="A12166" s="5" t="s">
        <v>49969</v>
      </c>
      <c r="B12166" s="6">
        <v>393.75</v>
      </c>
      <c r="C12166" s="6">
        <v>20.478950000000001</v>
      </c>
      <c r="D12166" s="6">
        <v>74</v>
      </c>
      <c r="E12166" s="6">
        <v>0</v>
      </c>
      <c r="F12166" s="6">
        <v>0</v>
      </c>
      <c r="G12166" s="6">
        <v>18</v>
      </c>
      <c r="H12166" s="6" t="s">
        <v>49970</v>
      </c>
      <c r="I12166" s="6">
        <v>526.6875</v>
      </c>
      <c r="J12166" s="2">
        <f t="shared" si="190"/>
        <v>43749.374717037033</v>
      </c>
    </row>
    <row r="12167" spans="1:10" x14ac:dyDescent="0.25">
      <c r="A12167" s="7" t="s">
        <v>49971</v>
      </c>
      <c r="B12167" s="8">
        <v>393.75</v>
      </c>
      <c r="C12167" s="8">
        <v>20.478950000000001</v>
      </c>
      <c r="D12167" s="8">
        <v>74</v>
      </c>
      <c r="E12167" s="8">
        <v>0</v>
      </c>
      <c r="F12167" s="8">
        <v>0</v>
      </c>
      <c r="G12167" s="8">
        <v>16</v>
      </c>
      <c r="H12167" s="8" t="s">
        <v>49972</v>
      </c>
      <c r="I12167" s="8">
        <v>526.6875</v>
      </c>
      <c r="J12167" s="3">
        <f t="shared" si="190"/>
        <v>43749.374812812493</v>
      </c>
    </row>
    <row r="12168" spans="1:10" x14ac:dyDescent="0.25">
      <c r="A12168" s="5" t="s">
        <v>49973</v>
      </c>
      <c r="B12168" s="6">
        <v>393.75</v>
      </c>
      <c r="C12168" s="6">
        <v>20.478950000000001</v>
      </c>
      <c r="D12168" s="6">
        <v>73</v>
      </c>
      <c r="E12168" s="6">
        <v>0</v>
      </c>
      <c r="F12168" s="6">
        <v>0</v>
      </c>
      <c r="G12168" s="6">
        <v>11</v>
      </c>
      <c r="H12168" s="6" t="s">
        <v>49974</v>
      </c>
      <c r="I12168" s="6">
        <v>526.6875</v>
      </c>
      <c r="J12168" s="2">
        <f t="shared" si="190"/>
        <v>43749.374884097218</v>
      </c>
    </row>
    <row r="12169" spans="1:10" x14ac:dyDescent="0.25">
      <c r="A12169" s="7" t="s">
        <v>49975</v>
      </c>
      <c r="B12169" s="8">
        <v>393.75</v>
      </c>
      <c r="C12169" s="8">
        <v>20.478950000000001</v>
      </c>
      <c r="D12169" s="8">
        <v>73</v>
      </c>
      <c r="E12169" s="8">
        <v>0</v>
      </c>
      <c r="F12169" s="8">
        <v>0</v>
      </c>
      <c r="G12169" s="8">
        <v>13</v>
      </c>
      <c r="H12169" s="8" t="s">
        <v>49976</v>
      </c>
      <c r="I12169" s="8">
        <v>526.6875</v>
      </c>
      <c r="J12169" s="3">
        <f t="shared" si="190"/>
        <v>43749.374967557866</v>
      </c>
    </row>
    <row r="12170" spans="1:10" x14ac:dyDescent="0.25">
      <c r="A12170" s="5" t="s">
        <v>49977</v>
      </c>
      <c r="B12170" s="6">
        <v>415.625</v>
      </c>
      <c r="C12170" s="6">
        <v>20.478950000000001</v>
      </c>
      <c r="D12170" s="6">
        <v>74</v>
      </c>
      <c r="E12170" s="6">
        <v>0</v>
      </c>
      <c r="F12170" s="6">
        <v>0</v>
      </c>
      <c r="G12170" s="6">
        <v>17</v>
      </c>
      <c r="H12170" s="6" t="s">
        <v>49978</v>
      </c>
      <c r="I12170" s="6">
        <v>533.8125</v>
      </c>
      <c r="J12170" s="2">
        <f t="shared" si="190"/>
        <v>43749.375039212966</v>
      </c>
    </row>
    <row r="12171" spans="1:10" x14ac:dyDescent="0.25">
      <c r="A12171" s="7" t="s">
        <v>49979</v>
      </c>
      <c r="B12171" s="8">
        <v>393.75</v>
      </c>
      <c r="C12171" s="8">
        <v>20.478950000000001</v>
      </c>
      <c r="D12171" s="8">
        <v>73</v>
      </c>
      <c r="E12171" s="8">
        <v>0</v>
      </c>
      <c r="F12171" s="8">
        <v>0</v>
      </c>
      <c r="G12171" s="8">
        <v>18</v>
      </c>
      <c r="H12171" s="8" t="s">
        <v>49980</v>
      </c>
      <c r="I12171" s="8">
        <v>526.6875</v>
      </c>
      <c r="J12171" s="3">
        <f t="shared" si="190"/>
        <v>43749.37512266203</v>
      </c>
    </row>
    <row r="12172" spans="1:10" x14ac:dyDescent="0.25">
      <c r="A12172" s="5" t="s">
        <v>49981</v>
      </c>
      <c r="B12172" s="6">
        <v>393.75</v>
      </c>
      <c r="C12172" s="6">
        <v>20.478950000000001</v>
      </c>
      <c r="D12172" s="6">
        <v>71</v>
      </c>
      <c r="E12172" s="6">
        <v>0</v>
      </c>
      <c r="F12172" s="6">
        <v>0</v>
      </c>
      <c r="G12172" s="6">
        <v>4</v>
      </c>
      <c r="H12172" s="6" t="s">
        <v>49982</v>
      </c>
      <c r="I12172" s="6">
        <v>526.5</v>
      </c>
      <c r="J12172" s="2">
        <f t="shared" si="190"/>
        <v>43749.375206087956</v>
      </c>
    </row>
    <row r="12173" spans="1:10" x14ac:dyDescent="0.25">
      <c r="A12173" s="7" t="s">
        <v>49983</v>
      </c>
      <c r="B12173" s="8">
        <v>393.75</v>
      </c>
      <c r="C12173" s="8">
        <v>20.478950000000001</v>
      </c>
      <c r="D12173" s="8">
        <v>72</v>
      </c>
      <c r="E12173" s="8">
        <v>0</v>
      </c>
      <c r="F12173" s="8">
        <v>0</v>
      </c>
      <c r="G12173" s="8">
        <v>10</v>
      </c>
      <c r="H12173" s="8" t="s">
        <v>49984</v>
      </c>
      <c r="I12173" s="8">
        <v>526.6875</v>
      </c>
      <c r="J12173" s="3">
        <f t="shared" si="190"/>
        <v>43749.375289791664</v>
      </c>
    </row>
    <row r="12174" spans="1:10" x14ac:dyDescent="0.25">
      <c r="A12174" s="5" t="s">
        <v>49985</v>
      </c>
      <c r="B12174" s="6">
        <v>393.75</v>
      </c>
      <c r="C12174" s="6">
        <v>20.478950000000001</v>
      </c>
      <c r="D12174" s="6">
        <v>72</v>
      </c>
      <c r="E12174" s="6">
        <v>0</v>
      </c>
      <c r="F12174" s="6">
        <v>0</v>
      </c>
      <c r="G12174" s="6">
        <v>14</v>
      </c>
      <c r="H12174" s="6" t="s">
        <v>49986</v>
      </c>
      <c r="I12174" s="6">
        <v>526.6875</v>
      </c>
      <c r="J12174" s="2">
        <f t="shared" si="190"/>
        <v>43749.37537321759</v>
      </c>
    </row>
    <row r="12175" spans="1:10" x14ac:dyDescent="0.25">
      <c r="A12175" s="7" t="s">
        <v>49987</v>
      </c>
      <c r="B12175" s="8">
        <v>415.625</v>
      </c>
      <c r="C12175" s="8">
        <v>20.478950000000001</v>
      </c>
      <c r="D12175" s="8">
        <v>73</v>
      </c>
      <c r="E12175" s="8">
        <v>0</v>
      </c>
      <c r="F12175" s="8">
        <v>0</v>
      </c>
      <c r="G12175" s="8">
        <v>14</v>
      </c>
      <c r="H12175" s="8" t="s">
        <v>49988</v>
      </c>
      <c r="I12175" s="8">
        <v>533.8125</v>
      </c>
      <c r="J12175" s="3">
        <f t="shared" si="190"/>
        <v>43749.375463067125</v>
      </c>
    </row>
    <row r="12176" spans="1:10" x14ac:dyDescent="0.25">
      <c r="A12176" s="5" t="s">
        <v>49989</v>
      </c>
      <c r="B12176" s="6">
        <v>393.75</v>
      </c>
      <c r="C12176" s="6">
        <v>20.478950000000001</v>
      </c>
      <c r="D12176" s="6">
        <v>73</v>
      </c>
      <c r="E12176" s="6">
        <v>0</v>
      </c>
      <c r="F12176" s="6">
        <v>0</v>
      </c>
      <c r="G12176" s="6">
        <v>14</v>
      </c>
      <c r="H12176" s="6" t="s">
        <v>49990</v>
      </c>
      <c r="I12176" s="6">
        <v>526.6875</v>
      </c>
      <c r="J12176" s="2">
        <f t="shared" si="190"/>
        <v>43749.375540138884</v>
      </c>
    </row>
    <row r="12177" spans="1:10" x14ac:dyDescent="0.25">
      <c r="A12177" s="7" t="s">
        <v>49991</v>
      </c>
      <c r="B12177" s="8">
        <v>393.75</v>
      </c>
      <c r="C12177" s="8">
        <v>20.478950000000001</v>
      </c>
      <c r="D12177" s="8">
        <v>74</v>
      </c>
      <c r="E12177" s="8">
        <v>0</v>
      </c>
      <c r="F12177" s="8">
        <v>0</v>
      </c>
      <c r="G12177" s="8">
        <v>19</v>
      </c>
      <c r="H12177" s="8" t="s">
        <v>49992</v>
      </c>
      <c r="I12177" s="8">
        <v>526.6875</v>
      </c>
      <c r="J12177" s="3">
        <f t="shared" si="190"/>
        <v>43749.375623807871</v>
      </c>
    </row>
    <row r="12178" spans="1:10" x14ac:dyDescent="0.25">
      <c r="A12178" s="5" t="s">
        <v>49993</v>
      </c>
      <c r="B12178" s="6">
        <v>393.75</v>
      </c>
      <c r="C12178" s="6">
        <v>20.478950000000001</v>
      </c>
      <c r="D12178" s="6">
        <v>74</v>
      </c>
      <c r="E12178" s="6">
        <v>0</v>
      </c>
      <c r="F12178" s="6">
        <v>0</v>
      </c>
      <c r="G12178" s="6">
        <v>24</v>
      </c>
      <c r="H12178" s="6" t="s">
        <v>49994</v>
      </c>
      <c r="I12178" s="6">
        <v>526.6875</v>
      </c>
      <c r="J12178" s="2">
        <f t="shared" si="190"/>
        <v>43749.375695115734</v>
      </c>
    </row>
    <row r="12179" spans="1:10" x14ac:dyDescent="0.25">
      <c r="A12179" s="7" t="s">
        <v>49995</v>
      </c>
      <c r="B12179" s="8">
        <v>393.75</v>
      </c>
      <c r="C12179" s="8">
        <v>20.478950000000001</v>
      </c>
      <c r="D12179" s="8">
        <v>74</v>
      </c>
      <c r="E12179" s="8">
        <v>0</v>
      </c>
      <c r="F12179" s="8">
        <v>0</v>
      </c>
      <c r="G12179" s="8">
        <v>17</v>
      </c>
      <c r="H12179" s="8" t="s">
        <v>49996</v>
      </c>
      <c r="I12179" s="8">
        <v>526.6875</v>
      </c>
      <c r="J12179" s="3">
        <f t="shared" si="190"/>
        <v>43749.375778668975</v>
      </c>
    </row>
    <row r="12180" spans="1:10" x14ac:dyDescent="0.25">
      <c r="A12180" s="5" t="s">
        <v>49997</v>
      </c>
      <c r="B12180" s="6">
        <v>393.75</v>
      </c>
      <c r="C12180" s="6">
        <v>20.478950000000001</v>
      </c>
      <c r="D12180" s="6">
        <v>74</v>
      </c>
      <c r="E12180" s="6">
        <v>0</v>
      </c>
      <c r="F12180" s="6">
        <v>0</v>
      </c>
      <c r="G12180" s="6">
        <v>8</v>
      </c>
      <c r="H12180" s="6" t="s">
        <v>49998</v>
      </c>
      <c r="I12180" s="6">
        <v>526.6875</v>
      </c>
      <c r="J12180" s="2">
        <f t="shared" si="190"/>
        <v>43749.375861886576</v>
      </c>
    </row>
    <row r="12181" spans="1:10" x14ac:dyDescent="0.25">
      <c r="A12181" s="7" t="s">
        <v>49999</v>
      </c>
      <c r="B12181" s="8">
        <v>393.75</v>
      </c>
      <c r="C12181" s="8">
        <v>20.478950000000001</v>
      </c>
      <c r="D12181" s="8">
        <v>72</v>
      </c>
      <c r="E12181" s="8">
        <v>0</v>
      </c>
      <c r="F12181" s="8">
        <v>0</v>
      </c>
      <c r="G12181" s="8">
        <v>16</v>
      </c>
      <c r="H12181" s="8" t="s">
        <v>50000</v>
      </c>
      <c r="I12181" s="8">
        <v>526.6875</v>
      </c>
      <c r="J12181" s="3">
        <f t="shared" si="190"/>
        <v>43749.375945347223</v>
      </c>
    </row>
    <row r="12182" spans="1:10" x14ac:dyDescent="0.25">
      <c r="A12182" s="5" t="s">
        <v>50001</v>
      </c>
      <c r="B12182" s="6">
        <v>393.75</v>
      </c>
      <c r="C12182" s="6">
        <v>20.478950000000001</v>
      </c>
      <c r="D12182" s="6">
        <v>72</v>
      </c>
      <c r="E12182" s="6">
        <v>0</v>
      </c>
      <c r="F12182" s="6">
        <v>0</v>
      </c>
      <c r="G12182" s="6">
        <v>20</v>
      </c>
      <c r="H12182" s="6" t="s">
        <v>50002</v>
      </c>
      <c r="I12182" s="6">
        <v>526.6875</v>
      </c>
      <c r="J12182" s="2">
        <f t="shared" si="190"/>
        <v>43749.376017303242</v>
      </c>
    </row>
    <row r="12183" spans="1:10" x14ac:dyDescent="0.25">
      <c r="A12183" s="7" t="s">
        <v>50003</v>
      </c>
      <c r="B12183" s="8">
        <v>393.75</v>
      </c>
      <c r="C12183" s="8">
        <v>20.426300000000001</v>
      </c>
      <c r="D12183" s="8">
        <v>73</v>
      </c>
      <c r="E12183" s="8">
        <v>0</v>
      </c>
      <c r="F12183" s="8">
        <v>0</v>
      </c>
      <c r="G12183" s="8">
        <v>16</v>
      </c>
      <c r="H12183" s="8" t="s">
        <v>50004</v>
      </c>
      <c r="I12183" s="8">
        <v>526.6875</v>
      </c>
      <c r="J12183" s="3">
        <f t="shared" si="190"/>
        <v>43749.376115208332</v>
      </c>
    </row>
    <row r="12184" spans="1:10" x14ac:dyDescent="0.25">
      <c r="A12184" s="5" t="s">
        <v>50005</v>
      </c>
      <c r="B12184" s="6">
        <v>393.75</v>
      </c>
      <c r="C12184" s="6">
        <v>20.478950000000001</v>
      </c>
      <c r="D12184" s="6">
        <v>71</v>
      </c>
      <c r="E12184" s="6">
        <v>0</v>
      </c>
      <c r="F12184" s="6">
        <v>0</v>
      </c>
      <c r="G12184" s="6">
        <v>17</v>
      </c>
      <c r="H12184" s="6" t="s">
        <v>50006</v>
      </c>
      <c r="I12184" s="6">
        <v>526.6875</v>
      </c>
      <c r="J12184" s="2">
        <f t="shared" si="190"/>
        <v>43749.376196053236</v>
      </c>
    </row>
    <row r="12185" spans="1:10" x14ac:dyDescent="0.25">
      <c r="A12185" s="7" t="s">
        <v>50007</v>
      </c>
      <c r="B12185" s="8">
        <v>393.75</v>
      </c>
      <c r="C12185" s="8">
        <v>20.478950000000001</v>
      </c>
      <c r="D12185" s="8">
        <v>71</v>
      </c>
      <c r="E12185" s="8">
        <v>0</v>
      </c>
      <c r="F12185" s="8">
        <v>0</v>
      </c>
      <c r="G12185" s="8">
        <v>19</v>
      </c>
      <c r="H12185" s="8" t="s">
        <v>50008</v>
      </c>
      <c r="I12185" s="8">
        <v>526.6875</v>
      </c>
      <c r="J12185" s="3">
        <f t="shared" si="190"/>
        <v>43749.376279594908</v>
      </c>
    </row>
    <row r="12186" spans="1:10" x14ac:dyDescent="0.25">
      <c r="A12186" s="5" t="s">
        <v>50009</v>
      </c>
      <c r="B12186" s="6">
        <v>393.75</v>
      </c>
      <c r="C12186" s="6">
        <v>20.478950000000001</v>
      </c>
      <c r="D12186" s="6">
        <v>76</v>
      </c>
      <c r="E12186" s="6">
        <v>0</v>
      </c>
      <c r="F12186" s="6">
        <v>0</v>
      </c>
      <c r="G12186" s="6">
        <v>24</v>
      </c>
      <c r="H12186" s="6" t="s">
        <v>50010</v>
      </c>
      <c r="I12186" s="6">
        <v>526.6875</v>
      </c>
      <c r="J12186" s="2">
        <f t="shared" si="190"/>
        <v>43749.376351249994</v>
      </c>
    </row>
    <row r="12187" spans="1:10" x14ac:dyDescent="0.25">
      <c r="A12187" s="7" t="s">
        <v>50011</v>
      </c>
      <c r="B12187" s="8">
        <v>393.75</v>
      </c>
      <c r="C12187" s="8">
        <v>20.478950000000001</v>
      </c>
      <c r="D12187" s="8">
        <v>76</v>
      </c>
      <c r="E12187" s="8">
        <v>0</v>
      </c>
      <c r="F12187" s="8">
        <v>0</v>
      </c>
      <c r="G12187" s="8">
        <v>24</v>
      </c>
      <c r="H12187" s="8" t="s">
        <v>50012</v>
      </c>
      <c r="I12187" s="8">
        <v>526.6875</v>
      </c>
      <c r="J12187" s="3">
        <f t="shared" si="190"/>
        <v>43749.376422627312</v>
      </c>
    </row>
    <row r="12188" spans="1:10" x14ac:dyDescent="0.25">
      <c r="A12188" s="5" t="s">
        <v>50013</v>
      </c>
      <c r="B12188" s="6">
        <v>412.5</v>
      </c>
      <c r="C12188" s="6">
        <v>20.426300000000001</v>
      </c>
      <c r="D12188" s="6">
        <v>72</v>
      </c>
      <c r="E12188" s="6">
        <v>0</v>
      </c>
      <c r="F12188" s="6">
        <v>0</v>
      </c>
      <c r="G12188" s="6">
        <v>15</v>
      </c>
      <c r="H12188" s="6" t="s">
        <v>50014</v>
      </c>
      <c r="I12188" s="6">
        <v>532.3125</v>
      </c>
      <c r="J12188" s="2">
        <f t="shared" si="190"/>
        <v>43749.376506192122</v>
      </c>
    </row>
    <row r="12189" spans="1:10" x14ac:dyDescent="0.25">
      <c r="A12189" s="7" t="s">
        <v>50015</v>
      </c>
      <c r="B12189" s="8">
        <v>393.75</v>
      </c>
      <c r="C12189" s="8">
        <v>20.478950000000001</v>
      </c>
      <c r="D12189" s="8">
        <v>73</v>
      </c>
      <c r="E12189" s="8">
        <v>0</v>
      </c>
      <c r="F12189" s="8">
        <v>0</v>
      </c>
      <c r="G12189" s="8">
        <v>14</v>
      </c>
      <c r="H12189" s="8" t="s">
        <v>50016</v>
      </c>
      <c r="I12189" s="8">
        <v>526.5</v>
      </c>
      <c r="J12189" s="3">
        <f t="shared" si="190"/>
        <v>43749.376589768515</v>
      </c>
    </row>
    <row r="12190" spans="1:10" x14ac:dyDescent="0.25">
      <c r="A12190" s="5" t="s">
        <v>50017</v>
      </c>
      <c r="B12190" s="6">
        <v>393.75</v>
      </c>
      <c r="C12190" s="6">
        <v>20.478950000000001</v>
      </c>
      <c r="D12190" s="6">
        <v>74</v>
      </c>
      <c r="E12190" s="6">
        <v>0</v>
      </c>
      <c r="F12190" s="6">
        <v>0</v>
      </c>
      <c r="G12190" s="6">
        <v>18</v>
      </c>
      <c r="H12190" s="6" t="s">
        <v>50018</v>
      </c>
      <c r="I12190" s="6">
        <v>526.6875</v>
      </c>
      <c r="J12190" s="2">
        <f t="shared" si="190"/>
        <v>43749.376673125</v>
      </c>
    </row>
    <row r="12191" spans="1:10" x14ac:dyDescent="0.25">
      <c r="A12191" s="7" t="s">
        <v>50019</v>
      </c>
      <c r="B12191" s="8">
        <v>393.75</v>
      </c>
      <c r="C12191" s="8">
        <v>20.478950000000001</v>
      </c>
      <c r="D12191" s="8">
        <v>75</v>
      </c>
      <c r="E12191" s="8">
        <v>0</v>
      </c>
      <c r="F12191" s="8">
        <v>0</v>
      </c>
      <c r="G12191" s="8">
        <v>21</v>
      </c>
      <c r="H12191" s="8" t="s">
        <v>50020</v>
      </c>
      <c r="I12191" s="8">
        <v>526.6875</v>
      </c>
      <c r="J12191" s="3">
        <f t="shared" si="190"/>
        <v>43749.376756446756</v>
      </c>
    </row>
    <row r="12192" spans="1:10" x14ac:dyDescent="0.25">
      <c r="A12192" s="5" t="s">
        <v>50021</v>
      </c>
      <c r="B12192" s="6">
        <v>393.75</v>
      </c>
      <c r="C12192" s="6">
        <v>20.478950000000001</v>
      </c>
      <c r="D12192" s="6">
        <v>74</v>
      </c>
      <c r="E12192" s="6">
        <v>0</v>
      </c>
      <c r="F12192" s="6">
        <v>0</v>
      </c>
      <c r="G12192" s="6">
        <v>20</v>
      </c>
      <c r="H12192" s="6" t="s">
        <v>50022</v>
      </c>
      <c r="I12192" s="6">
        <v>526.6875</v>
      </c>
      <c r="J12192" s="2">
        <f t="shared" si="190"/>
        <v>43749.376840023142</v>
      </c>
    </row>
    <row r="12193" spans="1:10" x14ac:dyDescent="0.25">
      <c r="A12193" s="7" t="s">
        <v>50023</v>
      </c>
      <c r="B12193" s="8">
        <v>393.75</v>
      </c>
      <c r="C12193" s="8">
        <v>20.478950000000001</v>
      </c>
      <c r="D12193" s="8">
        <v>74</v>
      </c>
      <c r="E12193" s="8">
        <v>0</v>
      </c>
      <c r="F12193" s="8">
        <v>0</v>
      </c>
      <c r="G12193" s="8">
        <v>20</v>
      </c>
      <c r="H12193" s="8" t="s">
        <v>50024</v>
      </c>
      <c r="I12193" s="8">
        <v>526.5</v>
      </c>
      <c r="J12193" s="3">
        <f t="shared" si="190"/>
        <v>43749.37692322916</v>
      </c>
    </row>
    <row r="12194" spans="1:10" x14ac:dyDescent="0.25">
      <c r="A12194" s="5" t="s">
        <v>50025</v>
      </c>
      <c r="B12194" s="6">
        <v>393.75</v>
      </c>
      <c r="C12194" s="6">
        <v>20.478950000000001</v>
      </c>
      <c r="D12194" s="6">
        <v>74</v>
      </c>
      <c r="E12194" s="6">
        <v>0</v>
      </c>
      <c r="F12194" s="6">
        <v>0</v>
      </c>
      <c r="G12194" s="6">
        <v>13</v>
      </c>
      <c r="H12194" s="6" t="s">
        <v>50026</v>
      </c>
      <c r="I12194" s="6">
        <v>526.6875</v>
      </c>
      <c r="J12194" s="2">
        <f t="shared" si="190"/>
        <v>43749.376994745369</v>
      </c>
    </row>
    <row r="12195" spans="1:10" x14ac:dyDescent="0.25">
      <c r="A12195" s="7" t="s">
        <v>50027</v>
      </c>
      <c r="B12195" s="8">
        <v>393.75</v>
      </c>
      <c r="C12195" s="8">
        <v>20.478950000000001</v>
      </c>
      <c r="D12195" s="8">
        <v>75</v>
      </c>
      <c r="E12195" s="8">
        <v>0</v>
      </c>
      <c r="F12195" s="8">
        <v>0</v>
      </c>
      <c r="G12195" s="8">
        <v>20</v>
      </c>
      <c r="H12195" s="8" t="s">
        <v>50028</v>
      </c>
      <c r="I12195" s="8">
        <v>526.6875</v>
      </c>
      <c r="J12195" s="3">
        <f t="shared" si="190"/>
        <v>43749.377086412038</v>
      </c>
    </row>
    <row r="12196" spans="1:10" x14ac:dyDescent="0.25">
      <c r="A12196" s="5" t="s">
        <v>50029</v>
      </c>
      <c r="B12196" s="6">
        <v>393.75</v>
      </c>
      <c r="C12196" s="6">
        <v>20.478950000000001</v>
      </c>
      <c r="D12196" s="6">
        <v>75</v>
      </c>
      <c r="E12196" s="6">
        <v>0</v>
      </c>
      <c r="F12196" s="6">
        <v>0</v>
      </c>
      <c r="G12196" s="6">
        <v>16</v>
      </c>
      <c r="H12196" s="6" t="s">
        <v>50030</v>
      </c>
      <c r="I12196" s="6">
        <v>526.6875</v>
      </c>
      <c r="J12196" s="2">
        <f t="shared" si="190"/>
        <v>43749.377161990742</v>
      </c>
    </row>
    <row r="12197" spans="1:10" x14ac:dyDescent="0.25">
      <c r="A12197" s="7" t="s">
        <v>50031</v>
      </c>
      <c r="B12197" s="8">
        <v>393.75</v>
      </c>
      <c r="C12197" s="8">
        <v>20.478950000000001</v>
      </c>
      <c r="D12197" s="8">
        <v>75</v>
      </c>
      <c r="E12197" s="8">
        <v>0</v>
      </c>
      <c r="F12197" s="8">
        <v>0</v>
      </c>
      <c r="G12197" s="8">
        <v>13</v>
      </c>
      <c r="H12197" s="8" t="s">
        <v>50032</v>
      </c>
      <c r="I12197" s="8">
        <v>526.5</v>
      </c>
      <c r="J12197" s="3">
        <f t="shared" si="190"/>
        <v>43749.377245335643</v>
      </c>
    </row>
    <row r="12198" spans="1:10" x14ac:dyDescent="0.25">
      <c r="A12198" s="5" t="s">
        <v>50033</v>
      </c>
      <c r="B12198" s="6">
        <v>393.75</v>
      </c>
      <c r="C12198" s="6">
        <v>20.478950000000001</v>
      </c>
      <c r="D12198" s="6">
        <v>75</v>
      </c>
      <c r="E12198" s="6">
        <v>0</v>
      </c>
      <c r="F12198" s="6">
        <v>0</v>
      </c>
      <c r="G12198" s="6">
        <v>18</v>
      </c>
      <c r="H12198" s="6" t="s">
        <v>50034</v>
      </c>
      <c r="I12198" s="6">
        <v>526.6875</v>
      </c>
      <c r="J12198" s="2">
        <f t="shared" si="190"/>
        <v>43749.37731697916</v>
      </c>
    </row>
    <row r="12199" spans="1:10" x14ac:dyDescent="0.25">
      <c r="A12199" s="7" t="s">
        <v>50035</v>
      </c>
      <c r="B12199" s="8">
        <v>393.75</v>
      </c>
      <c r="C12199" s="8">
        <v>20.478950000000001</v>
      </c>
      <c r="D12199" s="8">
        <v>74</v>
      </c>
      <c r="E12199" s="8">
        <v>0</v>
      </c>
      <c r="F12199" s="8">
        <v>0</v>
      </c>
      <c r="G12199" s="8">
        <v>12</v>
      </c>
      <c r="H12199" s="8" t="s">
        <v>50036</v>
      </c>
      <c r="I12199" s="8">
        <v>526.5</v>
      </c>
      <c r="J12199" s="3">
        <f t="shared" si="190"/>
        <v>43749.377414780094</v>
      </c>
    </row>
    <row r="12200" spans="1:10" x14ac:dyDescent="0.25">
      <c r="A12200" s="5" t="s">
        <v>50037</v>
      </c>
      <c r="B12200" s="6">
        <v>393.75</v>
      </c>
      <c r="C12200" s="6">
        <v>20.478950000000001</v>
      </c>
      <c r="D12200" s="6">
        <v>73</v>
      </c>
      <c r="E12200" s="6">
        <v>0</v>
      </c>
      <c r="F12200" s="6">
        <v>0</v>
      </c>
      <c r="G12200" s="6">
        <v>14</v>
      </c>
      <c r="H12200" s="6" t="s">
        <v>50038</v>
      </c>
      <c r="I12200" s="6">
        <v>526.6875</v>
      </c>
      <c r="J12200" s="2">
        <f t="shared" si="190"/>
        <v>43749.377507847217</v>
      </c>
    </row>
    <row r="12201" spans="1:10" x14ac:dyDescent="0.25">
      <c r="A12201" s="7" t="s">
        <v>50039</v>
      </c>
      <c r="B12201" s="8">
        <v>393.75</v>
      </c>
      <c r="C12201" s="8">
        <v>20.478950000000001</v>
      </c>
      <c r="D12201" s="8">
        <v>73</v>
      </c>
      <c r="E12201" s="8">
        <v>0</v>
      </c>
      <c r="F12201" s="8">
        <v>0</v>
      </c>
      <c r="G12201" s="8">
        <v>15</v>
      </c>
      <c r="H12201" s="8" t="s">
        <v>50040</v>
      </c>
      <c r="I12201" s="8">
        <v>526.6875</v>
      </c>
      <c r="J12201" s="3">
        <f t="shared" si="190"/>
        <v>43749.377591273143</v>
      </c>
    </row>
    <row r="12202" spans="1:10" x14ac:dyDescent="0.25">
      <c r="A12202" s="5" t="s">
        <v>50041</v>
      </c>
      <c r="B12202" s="6">
        <v>393.75</v>
      </c>
      <c r="C12202" s="6">
        <v>20.478950000000001</v>
      </c>
      <c r="D12202" s="6">
        <v>73</v>
      </c>
      <c r="E12202" s="6">
        <v>0</v>
      </c>
      <c r="F12202" s="6">
        <v>0</v>
      </c>
      <c r="G12202" s="6">
        <v>19</v>
      </c>
      <c r="H12202" s="6" t="s">
        <v>50042</v>
      </c>
      <c r="I12202" s="6">
        <v>526.6875</v>
      </c>
      <c r="J12202" s="2">
        <f t="shared" si="190"/>
        <v>43749.377674965275</v>
      </c>
    </row>
    <row r="12203" spans="1:10" x14ac:dyDescent="0.25">
      <c r="A12203" s="7" t="s">
        <v>50043</v>
      </c>
      <c r="B12203" s="8">
        <v>393.75</v>
      </c>
      <c r="C12203" s="8">
        <v>20.478950000000001</v>
      </c>
      <c r="D12203" s="8">
        <v>74</v>
      </c>
      <c r="E12203" s="8">
        <v>0</v>
      </c>
      <c r="F12203" s="8">
        <v>0</v>
      </c>
      <c r="G12203" s="8">
        <v>17</v>
      </c>
      <c r="H12203" s="8" t="s">
        <v>50044</v>
      </c>
      <c r="I12203" s="8">
        <v>526.6875</v>
      </c>
      <c r="J12203" s="3">
        <f t="shared" si="190"/>
        <v>43749.377758194438</v>
      </c>
    </row>
    <row r="12204" spans="1:10" x14ac:dyDescent="0.25">
      <c r="A12204" s="5" t="s">
        <v>50045</v>
      </c>
      <c r="B12204" s="6">
        <v>412.5</v>
      </c>
      <c r="C12204" s="6">
        <v>20.478950000000001</v>
      </c>
      <c r="D12204" s="6">
        <v>74</v>
      </c>
      <c r="E12204" s="6">
        <v>0</v>
      </c>
      <c r="F12204" s="6">
        <v>0</v>
      </c>
      <c r="G12204" s="6">
        <v>21</v>
      </c>
      <c r="H12204" s="6" t="s">
        <v>50046</v>
      </c>
      <c r="I12204" s="6">
        <v>532.3125</v>
      </c>
      <c r="J12204" s="2">
        <f t="shared" si="190"/>
        <v>43749.377841655085</v>
      </c>
    </row>
    <row r="12205" spans="1:10" x14ac:dyDescent="0.25">
      <c r="A12205" s="7" t="s">
        <v>50047</v>
      </c>
      <c r="B12205" s="8">
        <v>393.75</v>
      </c>
      <c r="C12205" s="8">
        <v>20.478950000000001</v>
      </c>
      <c r="D12205" s="8">
        <v>74</v>
      </c>
      <c r="E12205" s="8">
        <v>0</v>
      </c>
      <c r="F12205" s="8">
        <v>0</v>
      </c>
      <c r="G12205" s="8">
        <v>26</v>
      </c>
      <c r="H12205" s="8" t="s">
        <v>50048</v>
      </c>
      <c r="I12205" s="8">
        <v>526.6875</v>
      </c>
      <c r="J12205" s="3">
        <f t="shared" si="190"/>
        <v>43749.377925196757</v>
      </c>
    </row>
    <row r="12206" spans="1:10" x14ac:dyDescent="0.25">
      <c r="A12206" s="5" t="s">
        <v>50049</v>
      </c>
      <c r="B12206" s="6">
        <v>393.75</v>
      </c>
      <c r="C12206" s="6">
        <v>20.478950000000001</v>
      </c>
      <c r="D12206" s="6">
        <v>74</v>
      </c>
      <c r="E12206" s="6">
        <v>0</v>
      </c>
      <c r="F12206" s="6">
        <v>0</v>
      </c>
      <c r="G12206" s="6">
        <v>25</v>
      </c>
      <c r="H12206" s="6" t="s">
        <v>50050</v>
      </c>
      <c r="I12206" s="6">
        <v>526.6875</v>
      </c>
      <c r="J12206" s="2">
        <f t="shared" si="190"/>
        <v>43749.378008321757</v>
      </c>
    </row>
    <row r="12207" spans="1:10" x14ac:dyDescent="0.25">
      <c r="A12207" s="7" t="s">
        <v>50051</v>
      </c>
      <c r="B12207" s="8">
        <v>393.75</v>
      </c>
      <c r="C12207" s="8">
        <v>20.478950000000001</v>
      </c>
      <c r="D12207" s="8">
        <v>74</v>
      </c>
      <c r="E12207" s="8">
        <v>0</v>
      </c>
      <c r="F12207" s="8">
        <v>0</v>
      </c>
      <c r="G12207" s="8">
        <v>22</v>
      </c>
      <c r="H12207" s="8" t="s">
        <v>50052</v>
      </c>
      <c r="I12207" s="8">
        <v>526.5</v>
      </c>
      <c r="J12207" s="3">
        <f t="shared" si="190"/>
        <v>43749.378079942129</v>
      </c>
    </row>
    <row r="12208" spans="1:10" x14ac:dyDescent="0.25">
      <c r="A12208" s="5" t="s">
        <v>50053</v>
      </c>
      <c r="B12208" s="6">
        <v>393.75</v>
      </c>
      <c r="C12208" s="6">
        <v>20.478950000000001</v>
      </c>
      <c r="D12208" s="6">
        <v>74</v>
      </c>
      <c r="E12208" s="6">
        <v>0</v>
      </c>
      <c r="F12208" s="6">
        <v>0</v>
      </c>
      <c r="G12208" s="6">
        <v>13</v>
      </c>
      <c r="H12208" s="6" t="s">
        <v>50054</v>
      </c>
      <c r="I12208" s="6">
        <v>526.6875</v>
      </c>
      <c r="J12208" s="2">
        <f t="shared" si="190"/>
        <v>43749.378163865738</v>
      </c>
    </row>
    <row r="12209" spans="1:10" x14ac:dyDescent="0.25">
      <c r="A12209" s="7" t="s">
        <v>50055</v>
      </c>
      <c r="B12209" s="8">
        <v>393.75</v>
      </c>
      <c r="C12209" s="8">
        <v>20.478950000000001</v>
      </c>
      <c r="D12209" s="8">
        <v>73</v>
      </c>
      <c r="E12209" s="8">
        <v>0</v>
      </c>
      <c r="F12209" s="8">
        <v>0</v>
      </c>
      <c r="G12209" s="8">
        <v>22</v>
      </c>
      <c r="H12209" s="8" t="s">
        <v>50056</v>
      </c>
      <c r="I12209" s="8">
        <v>526.5</v>
      </c>
      <c r="J12209" s="3">
        <f t="shared" si="190"/>
        <v>43749.378247199071</v>
      </c>
    </row>
    <row r="12210" spans="1:10" x14ac:dyDescent="0.25">
      <c r="A12210" s="5" t="s">
        <v>50057</v>
      </c>
      <c r="B12210" s="6">
        <v>393.75</v>
      </c>
      <c r="C12210" s="6">
        <v>20.478950000000001</v>
      </c>
      <c r="D12210" s="6">
        <v>73</v>
      </c>
      <c r="E12210" s="6">
        <v>0</v>
      </c>
      <c r="F12210" s="6">
        <v>0</v>
      </c>
      <c r="G12210" s="6">
        <v>21</v>
      </c>
      <c r="H12210" s="6" t="s">
        <v>50058</v>
      </c>
      <c r="I12210" s="6">
        <v>526.6875</v>
      </c>
      <c r="J12210" s="2">
        <f t="shared" si="190"/>
        <v>43749.378330520827</v>
      </c>
    </row>
    <row r="12211" spans="1:10" x14ac:dyDescent="0.25">
      <c r="A12211" s="7" t="s">
        <v>50059</v>
      </c>
      <c r="B12211" s="8">
        <v>393.75</v>
      </c>
      <c r="C12211" s="8">
        <v>20.478950000000001</v>
      </c>
      <c r="D12211" s="8">
        <v>73</v>
      </c>
      <c r="E12211" s="8">
        <v>0</v>
      </c>
      <c r="F12211" s="8">
        <v>0</v>
      </c>
      <c r="G12211" s="8">
        <v>18</v>
      </c>
      <c r="H12211" s="8" t="s">
        <v>50060</v>
      </c>
      <c r="I12211" s="8">
        <v>526.6875</v>
      </c>
      <c r="J12211" s="3">
        <f t="shared" si="190"/>
        <v>43749.378402175927</v>
      </c>
    </row>
    <row r="12212" spans="1:10" x14ac:dyDescent="0.25">
      <c r="A12212" s="5" t="s">
        <v>50061</v>
      </c>
      <c r="B12212" s="6">
        <v>393.75</v>
      </c>
      <c r="C12212" s="6">
        <v>20.478950000000001</v>
      </c>
      <c r="D12212" s="6">
        <v>73</v>
      </c>
      <c r="E12212" s="6">
        <v>0</v>
      </c>
      <c r="F12212" s="6">
        <v>0</v>
      </c>
      <c r="G12212" s="6">
        <v>18</v>
      </c>
      <c r="H12212" s="6" t="s">
        <v>50062</v>
      </c>
      <c r="I12212" s="6">
        <v>526.6875</v>
      </c>
      <c r="J12212" s="2">
        <f t="shared" si="190"/>
        <v>43749.378485740737</v>
      </c>
    </row>
    <row r="12213" spans="1:10" x14ac:dyDescent="0.25">
      <c r="A12213" s="7" t="s">
        <v>50063</v>
      </c>
      <c r="B12213" s="8">
        <v>393.75</v>
      </c>
      <c r="C12213" s="8">
        <v>20.478950000000001</v>
      </c>
      <c r="D12213" s="8">
        <v>73</v>
      </c>
      <c r="E12213" s="8">
        <v>0</v>
      </c>
      <c r="F12213" s="8">
        <v>0</v>
      </c>
      <c r="G12213" s="8">
        <v>22</v>
      </c>
      <c r="H12213" s="8" t="s">
        <v>50064</v>
      </c>
      <c r="I12213" s="8">
        <v>526.6875</v>
      </c>
      <c r="J12213" s="3">
        <f t="shared" si="190"/>
        <v>43749.37855729166</v>
      </c>
    </row>
    <row r="12214" spans="1:10" x14ac:dyDescent="0.25">
      <c r="A12214" s="5" t="s">
        <v>50065</v>
      </c>
      <c r="B12214" s="6">
        <v>393.75</v>
      </c>
      <c r="C12214" s="6">
        <v>20.478950000000001</v>
      </c>
      <c r="D12214" s="6">
        <v>72</v>
      </c>
      <c r="E12214" s="6">
        <v>0</v>
      </c>
      <c r="F12214" s="6">
        <v>0</v>
      </c>
      <c r="G12214" s="6">
        <v>18</v>
      </c>
      <c r="H12214" s="6" t="s">
        <v>50066</v>
      </c>
      <c r="I12214" s="6">
        <v>526.5</v>
      </c>
      <c r="J12214" s="2">
        <f t="shared" si="190"/>
        <v>43749.378629004626</v>
      </c>
    </row>
    <row r="12215" spans="1:10" x14ac:dyDescent="0.25">
      <c r="A12215" s="7" t="s">
        <v>50067</v>
      </c>
      <c r="B12215" s="8">
        <v>412.5</v>
      </c>
      <c r="C12215" s="8">
        <v>20.478950000000001</v>
      </c>
      <c r="D12215" s="8">
        <v>72</v>
      </c>
      <c r="E12215" s="8">
        <v>0</v>
      </c>
      <c r="F12215" s="8">
        <v>0</v>
      </c>
      <c r="G12215" s="8">
        <v>18</v>
      </c>
      <c r="H12215" s="8" t="s">
        <v>50068</v>
      </c>
      <c r="I12215" s="8">
        <v>532.3125</v>
      </c>
      <c r="J12215" s="3">
        <f t="shared" si="190"/>
        <v>43749.378712002312</v>
      </c>
    </row>
    <row r="12216" spans="1:10" x14ac:dyDescent="0.25">
      <c r="A12216" s="5" t="s">
        <v>50069</v>
      </c>
      <c r="B12216" s="6">
        <v>393.75</v>
      </c>
      <c r="C12216" s="6">
        <v>20.478950000000001</v>
      </c>
      <c r="D12216" s="6">
        <v>72</v>
      </c>
      <c r="E12216" s="6">
        <v>0</v>
      </c>
      <c r="F12216" s="6">
        <v>0</v>
      </c>
      <c r="G12216" s="6">
        <v>20</v>
      </c>
      <c r="H12216" s="6" t="s">
        <v>50070</v>
      </c>
      <c r="I12216" s="6">
        <v>526.6875</v>
      </c>
      <c r="J12216" s="2">
        <f t="shared" si="190"/>
        <v>43749.378783761575</v>
      </c>
    </row>
    <row r="12217" spans="1:10" x14ac:dyDescent="0.25">
      <c r="A12217" s="7" t="s">
        <v>50071</v>
      </c>
      <c r="B12217" s="8">
        <v>393.75</v>
      </c>
      <c r="C12217" s="8">
        <v>20.478950000000001</v>
      </c>
      <c r="D12217" s="8">
        <v>72</v>
      </c>
      <c r="E12217" s="8">
        <v>0</v>
      </c>
      <c r="F12217" s="8">
        <v>0</v>
      </c>
      <c r="G12217" s="8">
        <v>17</v>
      </c>
      <c r="H12217" s="8" t="s">
        <v>50072</v>
      </c>
      <c r="I12217" s="8">
        <v>526.6875</v>
      </c>
      <c r="J12217" s="3">
        <f t="shared" si="190"/>
        <v>43749.37886733796</v>
      </c>
    </row>
    <row r="12218" spans="1:10" x14ac:dyDescent="0.25">
      <c r="A12218" s="5" t="s">
        <v>50073</v>
      </c>
      <c r="B12218" s="6">
        <v>412.5</v>
      </c>
      <c r="C12218" s="6">
        <v>20.478950000000001</v>
      </c>
      <c r="D12218" s="6">
        <v>72</v>
      </c>
      <c r="E12218" s="6">
        <v>0</v>
      </c>
      <c r="F12218" s="6">
        <v>0</v>
      </c>
      <c r="G12218" s="6">
        <v>18</v>
      </c>
      <c r="H12218" s="6" t="s">
        <v>50074</v>
      </c>
      <c r="I12218" s="6">
        <v>532.3125</v>
      </c>
      <c r="J12218" s="2">
        <f t="shared" si="190"/>
        <v>43749.378950798608</v>
      </c>
    </row>
    <row r="12219" spans="1:10" x14ac:dyDescent="0.25">
      <c r="A12219" s="7" t="s">
        <v>50075</v>
      </c>
      <c r="B12219" s="8">
        <v>393.75</v>
      </c>
      <c r="C12219" s="8">
        <v>20.478950000000001</v>
      </c>
      <c r="D12219" s="8">
        <v>72</v>
      </c>
      <c r="E12219" s="8">
        <v>0</v>
      </c>
      <c r="F12219" s="8">
        <v>0</v>
      </c>
      <c r="G12219" s="8">
        <v>18</v>
      </c>
      <c r="H12219" s="8" t="s">
        <v>50076</v>
      </c>
      <c r="I12219" s="8">
        <v>526.6875</v>
      </c>
      <c r="J12219" s="3">
        <f t="shared" si="190"/>
        <v>43749.37903423611</v>
      </c>
    </row>
    <row r="12220" spans="1:10" x14ac:dyDescent="0.25">
      <c r="A12220" s="5" t="s">
        <v>50077</v>
      </c>
      <c r="B12220" s="6">
        <v>393.75</v>
      </c>
      <c r="C12220" s="6">
        <v>20.478950000000001</v>
      </c>
      <c r="D12220" s="6">
        <v>73</v>
      </c>
      <c r="E12220" s="6">
        <v>0</v>
      </c>
      <c r="F12220" s="6">
        <v>0</v>
      </c>
      <c r="G12220" s="6">
        <v>21</v>
      </c>
      <c r="H12220" s="6" t="s">
        <v>50078</v>
      </c>
      <c r="I12220" s="6">
        <v>526.6875</v>
      </c>
      <c r="J12220" s="2">
        <f t="shared" si="190"/>
        <v>43749.37911780092</v>
      </c>
    </row>
    <row r="12221" spans="1:10" x14ac:dyDescent="0.25">
      <c r="A12221" s="7" t="s">
        <v>50079</v>
      </c>
      <c r="B12221" s="8">
        <v>393.75</v>
      </c>
      <c r="C12221" s="8">
        <v>20.478950000000001</v>
      </c>
      <c r="D12221" s="8">
        <v>72</v>
      </c>
      <c r="E12221" s="8">
        <v>0</v>
      </c>
      <c r="F12221" s="8">
        <v>0</v>
      </c>
      <c r="G12221" s="8">
        <v>27</v>
      </c>
      <c r="H12221" s="8" t="s">
        <v>50080</v>
      </c>
      <c r="I12221" s="8">
        <v>526.6875</v>
      </c>
      <c r="J12221" s="3">
        <f t="shared" si="190"/>
        <v>43749.379201006937</v>
      </c>
    </row>
    <row r="12222" spans="1:10" x14ac:dyDescent="0.25">
      <c r="A12222" s="5" t="s">
        <v>50081</v>
      </c>
      <c r="B12222" s="6">
        <v>393.75</v>
      </c>
      <c r="C12222" s="6">
        <v>20.478950000000001</v>
      </c>
      <c r="D12222" s="6">
        <v>72</v>
      </c>
      <c r="E12222" s="6">
        <v>0</v>
      </c>
      <c r="F12222" s="6">
        <v>0</v>
      </c>
      <c r="G12222" s="6">
        <v>18</v>
      </c>
      <c r="H12222" s="6" t="s">
        <v>50082</v>
      </c>
      <c r="I12222" s="6">
        <v>526.6875</v>
      </c>
      <c r="J12222" s="2">
        <f t="shared" si="190"/>
        <v>43749.379272662038</v>
      </c>
    </row>
    <row r="12223" spans="1:10" x14ac:dyDescent="0.25">
      <c r="A12223" s="7" t="s">
        <v>50083</v>
      </c>
      <c r="B12223" s="8">
        <v>393.75</v>
      </c>
      <c r="C12223" s="8">
        <v>20.478950000000001</v>
      </c>
      <c r="D12223" s="8">
        <v>73</v>
      </c>
      <c r="E12223" s="8">
        <v>0</v>
      </c>
      <c r="F12223" s="8">
        <v>0</v>
      </c>
      <c r="G12223" s="8">
        <v>23</v>
      </c>
      <c r="H12223" s="8" t="s">
        <v>50084</v>
      </c>
      <c r="I12223" s="8">
        <v>526.6875</v>
      </c>
      <c r="J12223" s="3">
        <f t="shared" si="190"/>
        <v>43749.379356226847</v>
      </c>
    </row>
    <row r="12224" spans="1:10" x14ac:dyDescent="0.25">
      <c r="A12224" s="5" t="s">
        <v>50085</v>
      </c>
      <c r="B12224" s="6">
        <v>393.75</v>
      </c>
      <c r="C12224" s="6">
        <v>20.478950000000001</v>
      </c>
      <c r="D12224" s="6">
        <v>74</v>
      </c>
      <c r="E12224" s="6">
        <v>0</v>
      </c>
      <c r="F12224" s="6">
        <v>0</v>
      </c>
      <c r="G12224" s="6">
        <v>30</v>
      </c>
      <c r="H12224" s="6" t="s">
        <v>50086</v>
      </c>
      <c r="I12224" s="6">
        <v>526.5</v>
      </c>
      <c r="J12224" s="2">
        <f t="shared" si="190"/>
        <v>43749.379439791664</v>
      </c>
    </row>
    <row r="12225" spans="1:10" x14ac:dyDescent="0.25">
      <c r="A12225" s="7" t="s">
        <v>50087</v>
      </c>
      <c r="B12225" s="8">
        <v>393.75</v>
      </c>
      <c r="C12225" s="8">
        <v>20.478950000000001</v>
      </c>
      <c r="D12225" s="8">
        <v>74</v>
      </c>
      <c r="E12225" s="8">
        <v>0</v>
      </c>
      <c r="F12225" s="8">
        <v>0</v>
      </c>
      <c r="G12225" s="8">
        <v>26</v>
      </c>
      <c r="H12225" s="8" t="s">
        <v>50088</v>
      </c>
      <c r="I12225" s="8">
        <v>526.6875</v>
      </c>
      <c r="J12225" s="3">
        <f t="shared" si="190"/>
        <v>43749.379523240736</v>
      </c>
    </row>
    <row r="12226" spans="1:10" x14ac:dyDescent="0.25">
      <c r="A12226" s="5" t="s">
        <v>50089</v>
      </c>
      <c r="B12226" s="6">
        <v>393.75</v>
      </c>
      <c r="C12226" s="6">
        <v>20.478950000000001</v>
      </c>
      <c r="D12226" s="6">
        <v>70</v>
      </c>
      <c r="E12226" s="6">
        <v>0</v>
      </c>
      <c r="F12226" s="6">
        <v>0</v>
      </c>
      <c r="G12226" s="6">
        <v>22</v>
      </c>
      <c r="H12226" s="6" t="s">
        <v>50090</v>
      </c>
      <c r="I12226" s="6">
        <v>526.6875</v>
      </c>
      <c r="J12226" s="2">
        <f t="shared" ref="J12226:J12289" si="191">(H12226/86400000)+25569+(7/24)</f>
        <v>43749.379606678238</v>
      </c>
    </row>
    <row r="12227" spans="1:10" x14ac:dyDescent="0.25">
      <c r="A12227" s="7" t="s">
        <v>50091</v>
      </c>
      <c r="B12227" s="8">
        <v>393.75</v>
      </c>
      <c r="C12227" s="8">
        <v>20.478950000000001</v>
      </c>
      <c r="D12227" s="8">
        <v>71</v>
      </c>
      <c r="E12227" s="8">
        <v>0</v>
      </c>
      <c r="F12227" s="8">
        <v>0</v>
      </c>
      <c r="G12227" s="8">
        <v>23</v>
      </c>
      <c r="H12227" s="8" t="s">
        <v>50092</v>
      </c>
      <c r="I12227" s="8">
        <v>526.6875</v>
      </c>
      <c r="J12227" s="3">
        <f t="shared" si="191"/>
        <v>43749.379689791669</v>
      </c>
    </row>
    <row r="12228" spans="1:10" x14ac:dyDescent="0.25">
      <c r="A12228" s="5" t="s">
        <v>50093</v>
      </c>
      <c r="B12228" s="6">
        <v>393.75</v>
      </c>
      <c r="C12228" s="6">
        <v>20.478950000000001</v>
      </c>
      <c r="D12228" s="6">
        <v>71</v>
      </c>
      <c r="E12228" s="6">
        <v>0</v>
      </c>
      <c r="F12228" s="6">
        <v>0</v>
      </c>
      <c r="G12228" s="6">
        <v>25</v>
      </c>
      <c r="H12228" s="6" t="s">
        <v>50094</v>
      </c>
      <c r="I12228" s="6">
        <v>526.6875</v>
      </c>
      <c r="J12228" s="2">
        <f t="shared" si="191"/>
        <v>43749.379761412034</v>
      </c>
    </row>
    <row r="12229" spans="1:10" x14ac:dyDescent="0.25">
      <c r="A12229" s="7" t="s">
        <v>50095</v>
      </c>
      <c r="B12229" s="8">
        <v>393.75</v>
      </c>
      <c r="C12229" s="8">
        <v>20.478950000000001</v>
      </c>
      <c r="D12229" s="8">
        <v>71</v>
      </c>
      <c r="E12229" s="8">
        <v>0</v>
      </c>
      <c r="F12229" s="8">
        <v>0</v>
      </c>
      <c r="G12229" s="8">
        <v>23</v>
      </c>
      <c r="H12229" s="8" t="s">
        <v>50096</v>
      </c>
      <c r="I12229" s="8">
        <v>526.6875</v>
      </c>
      <c r="J12229" s="3">
        <f t="shared" si="191"/>
        <v>43749.379833437495</v>
      </c>
    </row>
    <row r="12230" spans="1:10" x14ac:dyDescent="0.25">
      <c r="A12230" s="5" t="s">
        <v>50097</v>
      </c>
      <c r="B12230" s="6">
        <v>393.75</v>
      </c>
      <c r="C12230" s="6">
        <v>20.478950000000001</v>
      </c>
      <c r="D12230" s="6">
        <v>71</v>
      </c>
      <c r="E12230" s="6">
        <v>0</v>
      </c>
      <c r="F12230" s="6">
        <v>0</v>
      </c>
      <c r="G12230" s="6">
        <v>22</v>
      </c>
      <c r="H12230" s="6" t="s">
        <v>50098</v>
      </c>
      <c r="I12230" s="6">
        <v>526.5</v>
      </c>
      <c r="J12230" s="2">
        <f t="shared" si="191"/>
        <v>43749.379916759259</v>
      </c>
    </row>
    <row r="12231" spans="1:10" x14ac:dyDescent="0.25">
      <c r="A12231" s="7" t="s">
        <v>50099</v>
      </c>
      <c r="B12231" s="8">
        <v>393.75</v>
      </c>
      <c r="C12231" s="8">
        <v>20.478950000000001</v>
      </c>
      <c r="D12231" s="8">
        <v>70</v>
      </c>
      <c r="E12231" s="8">
        <v>0</v>
      </c>
      <c r="F12231" s="8">
        <v>0</v>
      </c>
      <c r="G12231" s="8">
        <v>10</v>
      </c>
      <c r="H12231" s="8" t="s">
        <v>50100</v>
      </c>
      <c r="I12231" s="8">
        <v>526.6875</v>
      </c>
      <c r="J12231" s="3">
        <f t="shared" si="191"/>
        <v>43749.37998828703</v>
      </c>
    </row>
    <row r="12232" spans="1:10" x14ac:dyDescent="0.25">
      <c r="A12232" s="5" t="s">
        <v>50101</v>
      </c>
      <c r="B12232" s="6">
        <v>393.75</v>
      </c>
      <c r="C12232" s="6">
        <v>20.478950000000001</v>
      </c>
      <c r="D12232" s="6">
        <v>70</v>
      </c>
      <c r="E12232" s="6">
        <v>0</v>
      </c>
      <c r="F12232" s="6">
        <v>0</v>
      </c>
      <c r="G12232" s="6">
        <v>31</v>
      </c>
      <c r="H12232" s="6" t="s">
        <v>50102</v>
      </c>
      <c r="I12232" s="6">
        <v>526.6875</v>
      </c>
      <c r="J12232" s="2">
        <f t="shared" si="191"/>
        <v>43749.380071365733</v>
      </c>
    </row>
    <row r="12233" spans="1:10" x14ac:dyDescent="0.25">
      <c r="A12233" s="7" t="s">
        <v>50103</v>
      </c>
      <c r="B12233" s="8">
        <v>393.75</v>
      </c>
      <c r="C12233" s="8">
        <v>20.478950000000001</v>
      </c>
      <c r="D12233" s="8">
        <v>70</v>
      </c>
      <c r="E12233" s="8">
        <v>0</v>
      </c>
      <c r="F12233" s="8">
        <v>0</v>
      </c>
      <c r="G12233" s="8">
        <v>23</v>
      </c>
      <c r="H12233" s="8" t="s">
        <v>50104</v>
      </c>
      <c r="I12233" s="8">
        <v>526.6875</v>
      </c>
      <c r="J12233" s="3">
        <f t="shared" si="191"/>
        <v>43749.380156701387</v>
      </c>
    </row>
    <row r="12234" spans="1:10" x14ac:dyDescent="0.25">
      <c r="A12234" s="5" t="s">
        <v>50105</v>
      </c>
      <c r="B12234" s="6">
        <v>393.75</v>
      </c>
      <c r="C12234" s="6">
        <v>20.478950000000001</v>
      </c>
      <c r="D12234" s="6">
        <v>70</v>
      </c>
      <c r="E12234" s="6">
        <v>0</v>
      </c>
      <c r="F12234" s="6">
        <v>0</v>
      </c>
      <c r="G12234" s="6">
        <v>24</v>
      </c>
      <c r="H12234" s="6" t="s">
        <v>50106</v>
      </c>
      <c r="I12234" s="6">
        <v>526.6875</v>
      </c>
      <c r="J12234" s="2">
        <f t="shared" si="191"/>
        <v>43749.380238877311</v>
      </c>
    </row>
    <row r="12235" spans="1:10" x14ac:dyDescent="0.25">
      <c r="A12235" s="7" t="s">
        <v>50107</v>
      </c>
      <c r="B12235" s="8">
        <v>393.75</v>
      </c>
      <c r="C12235" s="8">
        <v>20.478950000000001</v>
      </c>
      <c r="D12235" s="8">
        <v>70</v>
      </c>
      <c r="E12235" s="8">
        <v>0</v>
      </c>
      <c r="F12235" s="8">
        <v>0</v>
      </c>
      <c r="G12235" s="8">
        <v>16</v>
      </c>
      <c r="H12235" s="8" t="s">
        <v>50108</v>
      </c>
      <c r="I12235" s="8">
        <v>526.5</v>
      </c>
      <c r="J12235" s="3">
        <f t="shared" si="191"/>
        <v>43749.380310289351</v>
      </c>
    </row>
    <row r="12236" spans="1:10" x14ac:dyDescent="0.25">
      <c r="A12236" s="5" t="s">
        <v>50109</v>
      </c>
      <c r="B12236" s="6">
        <v>393.75</v>
      </c>
      <c r="C12236" s="6">
        <v>20.478950000000001</v>
      </c>
      <c r="D12236" s="6">
        <v>71</v>
      </c>
      <c r="E12236" s="6">
        <v>0</v>
      </c>
      <c r="F12236" s="6">
        <v>0</v>
      </c>
      <c r="G12236" s="6">
        <v>16</v>
      </c>
      <c r="H12236" s="6" t="s">
        <v>50110</v>
      </c>
      <c r="I12236" s="6">
        <v>526.6875</v>
      </c>
      <c r="J12236" s="2">
        <f t="shared" si="191"/>
        <v>43749.380393634252</v>
      </c>
    </row>
    <row r="12237" spans="1:10" x14ac:dyDescent="0.25">
      <c r="A12237" s="7" t="s">
        <v>50111</v>
      </c>
      <c r="B12237" s="8">
        <v>393.75</v>
      </c>
      <c r="C12237" s="8">
        <v>20.478950000000001</v>
      </c>
      <c r="D12237" s="8">
        <v>71</v>
      </c>
      <c r="E12237" s="8">
        <v>0</v>
      </c>
      <c r="F12237" s="8">
        <v>0</v>
      </c>
      <c r="G12237" s="8">
        <v>15</v>
      </c>
      <c r="H12237" s="8" t="s">
        <v>50112</v>
      </c>
      <c r="I12237" s="8">
        <v>526.6875</v>
      </c>
      <c r="J12237" s="3">
        <f t="shared" si="191"/>
        <v>43749.380489120369</v>
      </c>
    </row>
    <row r="12238" spans="1:10" x14ac:dyDescent="0.25">
      <c r="A12238" s="5" t="s">
        <v>50113</v>
      </c>
      <c r="B12238" s="6">
        <v>393.75</v>
      </c>
      <c r="C12238" s="6">
        <v>20.478950000000001</v>
      </c>
      <c r="D12238" s="6">
        <v>70</v>
      </c>
      <c r="E12238" s="6">
        <v>0</v>
      </c>
      <c r="F12238" s="6">
        <v>0</v>
      </c>
      <c r="G12238" s="6">
        <v>12</v>
      </c>
      <c r="H12238" s="6" t="s">
        <v>50114</v>
      </c>
      <c r="I12238" s="6">
        <v>526.6875</v>
      </c>
      <c r="J12238" s="2">
        <f t="shared" si="191"/>
        <v>43749.380572685179</v>
      </c>
    </row>
    <row r="12239" spans="1:10" x14ac:dyDescent="0.25">
      <c r="A12239" s="7" t="s">
        <v>50115</v>
      </c>
      <c r="B12239" s="8">
        <v>396.875</v>
      </c>
      <c r="C12239" s="8">
        <v>20.478950000000001</v>
      </c>
      <c r="D12239" s="8">
        <v>71</v>
      </c>
      <c r="E12239" s="8">
        <v>0</v>
      </c>
      <c r="F12239" s="8">
        <v>0</v>
      </c>
      <c r="G12239" s="8">
        <v>13</v>
      </c>
      <c r="H12239" s="8" t="s">
        <v>50116</v>
      </c>
      <c r="I12239" s="8">
        <v>527.4375</v>
      </c>
      <c r="J12239" s="3">
        <f t="shared" si="191"/>
        <v>43749.380656134257</v>
      </c>
    </row>
    <row r="12240" spans="1:10" x14ac:dyDescent="0.25">
      <c r="A12240" s="5" t="s">
        <v>50117</v>
      </c>
      <c r="B12240" s="6">
        <v>396.875</v>
      </c>
      <c r="C12240" s="6">
        <v>20.478950000000001</v>
      </c>
      <c r="D12240" s="6">
        <v>71</v>
      </c>
      <c r="E12240" s="6">
        <v>0</v>
      </c>
      <c r="F12240" s="6">
        <v>0</v>
      </c>
      <c r="G12240" s="6">
        <v>20</v>
      </c>
      <c r="H12240" s="6" t="s">
        <v>50118</v>
      </c>
      <c r="I12240" s="6">
        <v>527.4375</v>
      </c>
      <c r="J12240" s="2">
        <f t="shared" si="191"/>
        <v>43749.380739571752</v>
      </c>
    </row>
    <row r="12241" spans="1:10" x14ac:dyDescent="0.25">
      <c r="A12241" s="7" t="s">
        <v>50119</v>
      </c>
      <c r="B12241" s="8">
        <v>396.875</v>
      </c>
      <c r="C12241" s="8">
        <v>20.478950000000001</v>
      </c>
      <c r="D12241" s="8">
        <v>71</v>
      </c>
      <c r="E12241" s="8">
        <v>0</v>
      </c>
      <c r="F12241" s="8">
        <v>0</v>
      </c>
      <c r="G12241" s="8">
        <v>12</v>
      </c>
      <c r="H12241" s="8" t="s">
        <v>50120</v>
      </c>
      <c r="I12241" s="8">
        <v>527.4375</v>
      </c>
      <c r="J12241" s="3">
        <f t="shared" si="191"/>
        <v>43749.380823136577</v>
      </c>
    </row>
    <row r="12242" spans="1:10" x14ac:dyDescent="0.25">
      <c r="A12242" s="5" t="s">
        <v>50121</v>
      </c>
      <c r="B12242" s="6">
        <v>396.875</v>
      </c>
      <c r="C12242" s="6">
        <v>20.478950000000001</v>
      </c>
      <c r="D12242" s="6">
        <v>72</v>
      </c>
      <c r="E12242" s="6">
        <v>0</v>
      </c>
      <c r="F12242" s="6">
        <v>0</v>
      </c>
      <c r="G12242" s="6">
        <v>23</v>
      </c>
      <c r="H12242" s="6" t="s">
        <v>50122</v>
      </c>
      <c r="I12242" s="6">
        <v>527.4375</v>
      </c>
      <c r="J12242" s="2">
        <f t="shared" si="191"/>
        <v>43749.380906689817</v>
      </c>
    </row>
    <row r="12243" spans="1:10" x14ac:dyDescent="0.25">
      <c r="A12243" s="7" t="s">
        <v>50123</v>
      </c>
      <c r="B12243" s="8">
        <v>396.875</v>
      </c>
      <c r="C12243" s="8">
        <v>20.426300000000001</v>
      </c>
      <c r="D12243" s="8">
        <v>73</v>
      </c>
      <c r="E12243" s="8">
        <v>0</v>
      </c>
      <c r="F12243" s="8">
        <v>0</v>
      </c>
      <c r="G12243" s="8">
        <v>16</v>
      </c>
      <c r="H12243" s="8" t="s">
        <v>50124</v>
      </c>
      <c r="I12243" s="8">
        <v>527.4375</v>
      </c>
      <c r="J12243" s="3">
        <f t="shared" si="191"/>
        <v>43749.380989803241</v>
      </c>
    </row>
    <row r="12244" spans="1:10" x14ac:dyDescent="0.25">
      <c r="A12244" s="5" t="s">
        <v>50125</v>
      </c>
      <c r="B12244" s="6">
        <v>396.875</v>
      </c>
      <c r="C12244" s="6">
        <v>20.426300000000001</v>
      </c>
      <c r="D12244" s="6">
        <v>73</v>
      </c>
      <c r="E12244" s="6">
        <v>0</v>
      </c>
      <c r="F12244" s="6">
        <v>0</v>
      </c>
      <c r="G12244" s="6">
        <v>18</v>
      </c>
      <c r="H12244" s="6" t="s">
        <v>50126</v>
      </c>
      <c r="I12244" s="6">
        <v>527.4375</v>
      </c>
      <c r="J12244" s="2">
        <f t="shared" si="191"/>
        <v>43749.381061458327</v>
      </c>
    </row>
    <row r="12245" spans="1:10" x14ac:dyDescent="0.25">
      <c r="A12245" s="7" t="s">
        <v>50127</v>
      </c>
      <c r="B12245" s="8">
        <v>396.875</v>
      </c>
      <c r="C12245" s="8">
        <v>20.478950000000001</v>
      </c>
      <c r="D12245" s="8">
        <v>70</v>
      </c>
      <c r="E12245" s="8">
        <v>0</v>
      </c>
      <c r="F12245" s="8">
        <v>0</v>
      </c>
      <c r="G12245" s="8">
        <v>26</v>
      </c>
      <c r="H12245" s="8" t="s">
        <v>50128</v>
      </c>
      <c r="I12245" s="8">
        <v>527.4375</v>
      </c>
      <c r="J12245" s="3">
        <f t="shared" si="191"/>
        <v>43749.381145023144</v>
      </c>
    </row>
    <row r="12246" spans="1:10" x14ac:dyDescent="0.25">
      <c r="A12246" s="5" t="s">
        <v>50129</v>
      </c>
      <c r="B12246" s="6">
        <v>393.75</v>
      </c>
      <c r="C12246" s="6">
        <v>20.478950000000001</v>
      </c>
      <c r="D12246" s="6">
        <v>73</v>
      </c>
      <c r="E12246" s="6">
        <v>0</v>
      </c>
      <c r="F12246" s="6">
        <v>0</v>
      </c>
      <c r="G12246" s="6">
        <v>18</v>
      </c>
      <c r="H12246" s="6" t="s">
        <v>50130</v>
      </c>
      <c r="I12246" s="6">
        <v>526.6875</v>
      </c>
      <c r="J12246" s="2">
        <f t="shared" si="191"/>
        <v>43749.381229039347</v>
      </c>
    </row>
    <row r="12247" spans="1:10" x14ac:dyDescent="0.25">
      <c r="A12247" s="7" t="s">
        <v>50131</v>
      </c>
      <c r="B12247" s="8">
        <v>393.75</v>
      </c>
      <c r="C12247" s="8">
        <v>20.478950000000001</v>
      </c>
      <c r="D12247" s="8">
        <v>73</v>
      </c>
      <c r="E12247" s="8">
        <v>0</v>
      </c>
      <c r="F12247" s="8">
        <v>0</v>
      </c>
      <c r="G12247" s="8">
        <v>14</v>
      </c>
      <c r="H12247" s="8" t="s">
        <v>50132</v>
      </c>
      <c r="I12247" s="8">
        <v>526.6875</v>
      </c>
      <c r="J12247" s="3">
        <f t="shared" si="191"/>
        <v>43749.381312025456</v>
      </c>
    </row>
    <row r="12248" spans="1:10" x14ac:dyDescent="0.25">
      <c r="A12248" s="5" t="s">
        <v>50133</v>
      </c>
      <c r="B12248" s="6">
        <v>393.75</v>
      </c>
      <c r="C12248" s="6">
        <v>20.478950000000001</v>
      </c>
      <c r="D12248" s="6">
        <v>73</v>
      </c>
      <c r="E12248" s="6">
        <v>0</v>
      </c>
      <c r="F12248" s="6">
        <v>0</v>
      </c>
      <c r="G12248" s="6">
        <v>7</v>
      </c>
      <c r="H12248" s="6" t="s">
        <v>50134</v>
      </c>
      <c r="I12248" s="6">
        <v>526.6875</v>
      </c>
      <c r="J12248" s="2">
        <f t="shared" si="191"/>
        <v>43749.381395601849</v>
      </c>
    </row>
    <row r="12249" spans="1:10" x14ac:dyDescent="0.25">
      <c r="A12249" s="7" t="s">
        <v>50135</v>
      </c>
      <c r="B12249" s="8">
        <v>393.75</v>
      </c>
      <c r="C12249" s="8">
        <v>20.478950000000001</v>
      </c>
      <c r="D12249" s="8">
        <v>75</v>
      </c>
      <c r="E12249" s="8">
        <v>0</v>
      </c>
      <c r="F12249" s="8">
        <v>0</v>
      </c>
      <c r="G12249" s="8">
        <v>16</v>
      </c>
      <c r="H12249" s="8" t="s">
        <v>50136</v>
      </c>
      <c r="I12249" s="8">
        <v>526.6875</v>
      </c>
      <c r="J12249" s="3">
        <f t="shared" si="191"/>
        <v>43749.381478726849</v>
      </c>
    </row>
    <row r="12250" spans="1:10" x14ac:dyDescent="0.25">
      <c r="A12250" s="5" t="s">
        <v>50137</v>
      </c>
      <c r="B12250" s="6">
        <v>393.75</v>
      </c>
      <c r="C12250" s="6">
        <v>20.478950000000001</v>
      </c>
      <c r="D12250" s="6">
        <v>75</v>
      </c>
      <c r="E12250" s="6">
        <v>0</v>
      </c>
      <c r="F12250" s="6">
        <v>0</v>
      </c>
      <c r="G12250" s="6">
        <v>7</v>
      </c>
      <c r="H12250" s="6" t="s">
        <v>50138</v>
      </c>
      <c r="I12250" s="6">
        <v>526.6875</v>
      </c>
      <c r="J12250" s="2">
        <f t="shared" si="191"/>
        <v>43749.381550347221</v>
      </c>
    </row>
    <row r="12251" spans="1:10" x14ac:dyDescent="0.25">
      <c r="A12251" s="7" t="s">
        <v>50139</v>
      </c>
      <c r="B12251" s="8">
        <v>393.75</v>
      </c>
      <c r="C12251" s="8">
        <v>20.478950000000001</v>
      </c>
      <c r="D12251" s="8">
        <v>68</v>
      </c>
      <c r="E12251" s="8">
        <v>0</v>
      </c>
      <c r="F12251" s="8">
        <v>0</v>
      </c>
      <c r="G12251" s="8">
        <v>18</v>
      </c>
      <c r="H12251" s="8" t="s">
        <v>50140</v>
      </c>
      <c r="I12251" s="8">
        <v>526.6875</v>
      </c>
      <c r="J12251" s="3">
        <f t="shared" si="191"/>
        <v>43749.381634027777</v>
      </c>
    </row>
    <row r="12252" spans="1:10" x14ac:dyDescent="0.25">
      <c r="A12252" s="5" t="s">
        <v>50141</v>
      </c>
      <c r="B12252" s="6">
        <v>393.75</v>
      </c>
      <c r="C12252" s="6">
        <v>20.478950000000001</v>
      </c>
      <c r="D12252" s="6">
        <v>70</v>
      </c>
      <c r="E12252" s="6">
        <v>0</v>
      </c>
      <c r="F12252" s="6">
        <v>0</v>
      </c>
      <c r="G12252" s="6">
        <v>9</v>
      </c>
      <c r="H12252" s="6" t="s">
        <v>50142</v>
      </c>
      <c r="I12252" s="6">
        <v>526.6875</v>
      </c>
      <c r="J12252" s="2">
        <f t="shared" si="191"/>
        <v>43749.381717488424</v>
      </c>
    </row>
    <row r="12253" spans="1:10" x14ac:dyDescent="0.25">
      <c r="A12253" s="7" t="s">
        <v>50143</v>
      </c>
      <c r="B12253" s="8">
        <v>393.75</v>
      </c>
      <c r="C12253" s="8">
        <v>20.478950000000001</v>
      </c>
      <c r="D12253" s="8">
        <v>71</v>
      </c>
      <c r="E12253" s="8">
        <v>0</v>
      </c>
      <c r="F12253" s="8">
        <v>0</v>
      </c>
      <c r="G12253" s="8">
        <v>19</v>
      </c>
      <c r="H12253" s="8" t="s">
        <v>50144</v>
      </c>
      <c r="I12253" s="8">
        <v>526.5</v>
      </c>
      <c r="J12253" s="3">
        <f t="shared" si="191"/>
        <v>43749.381800925919</v>
      </c>
    </row>
    <row r="12254" spans="1:10" x14ac:dyDescent="0.25">
      <c r="A12254" s="5" t="s">
        <v>50145</v>
      </c>
      <c r="B12254" s="6">
        <v>393.75</v>
      </c>
      <c r="C12254" s="6">
        <v>20.478950000000001</v>
      </c>
      <c r="D12254" s="6">
        <v>71</v>
      </c>
      <c r="E12254" s="6">
        <v>0</v>
      </c>
      <c r="F12254" s="6">
        <v>0</v>
      </c>
      <c r="G12254" s="6">
        <v>6</v>
      </c>
      <c r="H12254" s="6" t="s">
        <v>50146</v>
      </c>
      <c r="I12254" s="6">
        <v>526.6875</v>
      </c>
      <c r="J12254" s="2">
        <f t="shared" si="191"/>
        <v>43749.38188447916</v>
      </c>
    </row>
    <row r="12255" spans="1:10" x14ac:dyDescent="0.25">
      <c r="A12255" s="7" t="s">
        <v>50147</v>
      </c>
      <c r="B12255" s="8">
        <v>393.75</v>
      </c>
      <c r="C12255" s="8">
        <v>20.478950000000001</v>
      </c>
      <c r="D12255" s="8">
        <v>71</v>
      </c>
      <c r="E12255" s="8">
        <v>0</v>
      </c>
      <c r="F12255" s="8">
        <v>0</v>
      </c>
      <c r="G12255" s="8">
        <v>6</v>
      </c>
      <c r="H12255" s="8" t="s">
        <v>50148</v>
      </c>
      <c r="I12255" s="8">
        <v>526.6875</v>
      </c>
      <c r="J12255" s="3">
        <f t="shared" si="191"/>
        <v>43749.381967881942</v>
      </c>
    </row>
    <row r="12256" spans="1:10" x14ac:dyDescent="0.25">
      <c r="A12256" s="5" t="s">
        <v>50149</v>
      </c>
      <c r="B12256" s="6">
        <v>393.75</v>
      </c>
      <c r="C12256" s="6">
        <v>20.478950000000001</v>
      </c>
      <c r="D12256" s="6">
        <v>71</v>
      </c>
      <c r="E12256" s="6">
        <v>0</v>
      </c>
      <c r="F12256" s="6">
        <v>0</v>
      </c>
      <c r="G12256" s="6">
        <v>21</v>
      </c>
      <c r="H12256" s="6" t="s">
        <v>50150</v>
      </c>
      <c r="I12256" s="6">
        <v>526.6875</v>
      </c>
      <c r="J12256" s="2">
        <f t="shared" si="191"/>
        <v>43749.382051388886</v>
      </c>
    </row>
    <row r="12257" spans="1:10" x14ac:dyDescent="0.25">
      <c r="A12257" s="7" t="s">
        <v>50151</v>
      </c>
      <c r="B12257" s="8">
        <v>393.75</v>
      </c>
      <c r="C12257" s="8">
        <v>20.478950000000001</v>
      </c>
      <c r="D12257" s="8">
        <v>71</v>
      </c>
      <c r="E12257" s="8">
        <v>0</v>
      </c>
      <c r="F12257" s="8">
        <v>0</v>
      </c>
      <c r="G12257" s="8">
        <v>13</v>
      </c>
      <c r="H12257" s="8" t="s">
        <v>50152</v>
      </c>
      <c r="I12257" s="8">
        <v>526.6875</v>
      </c>
      <c r="J12257" s="3">
        <f t="shared" si="191"/>
        <v>43749.382134618056</v>
      </c>
    </row>
    <row r="12258" spans="1:10" x14ac:dyDescent="0.25">
      <c r="A12258" s="5" t="s">
        <v>50153</v>
      </c>
      <c r="B12258" s="6">
        <v>393.75</v>
      </c>
      <c r="C12258" s="6">
        <v>20.478950000000001</v>
      </c>
      <c r="D12258" s="6">
        <v>71</v>
      </c>
      <c r="E12258" s="6">
        <v>0</v>
      </c>
      <c r="F12258" s="6">
        <v>0</v>
      </c>
      <c r="G12258" s="6">
        <v>14</v>
      </c>
      <c r="H12258" s="6" t="s">
        <v>50154</v>
      </c>
      <c r="I12258" s="6">
        <v>526.6875</v>
      </c>
      <c r="J12258" s="2">
        <f t="shared" si="191"/>
        <v>43749.382206469905</v>
      </c>
    </row>
    <row r="12259" spans="1:10" x14ac:dyDescent="0.25">
      <c r="A12259" s="7" t="s">
        <v>50155</v>
      </c>
      <c r="B12259" s="8">
        <v>393.75</v>
      </c>
      <c r="C12259" s="8">
        <v>20.478950000000001</v>
      </c>
      <c r="D12259" s="8">
        <v>71</v>
      </c>
      <c r="E12259" s="8">
        <v>0</v>
      </c>
      <c r="F12259" s="8">
        <v>0</v>
      </c>
      <c r="G12259" s="8">
        <v>14</v>
      </c>
      <c r="H12259" s="8" t="s">
        <v>50156</v>
      </c>
      <c r="I12259" s="8">
        <v>526.6875</v>
      </c>
      <c r="J12259" s="3">
        <f t="shared" si="191"/>
        <v>43749.382289791662</v>
      </c>
    </row>
    <row r="12260" spans="1:10" x14ac:dyDescent="0.25">
      <c r="A12260" s="5" t="s">
        <v>50157</v>
      </c>
      <c r="B12260" s="6">
        <v>393.75</v>
      </c>
      <c r="C12260" s="6">
        <v>20.478950000000001</v>
      </c>
      <c r="D12260" s="6">
        <v>71</v>
      </c>
      <c r="E12260" s="6">
        <v>0</v>
      </c>
      <c r="F12260" s="6">
        <v>0</v>
      </c>
      <c r="G12260" s="6">
        <v>16</v>
      </c>
      <c r="H12260" s="6" t="s">
        <v>50158</v>
      </c>
      <c r="I12260" s="6">
        <v>526.6875</v>
      </c>
      <c r="J12260" s="2">
        <f t="shared" si="191"/>
        <v>43749.382373379623</v>
      </c>
    </row>
    <row r="12261" spans="1:10" x14ac:dyDescent="0.25">
      <c r="A12261" s="7" t="s">
        <v>50159</v>
      </c>
      <c r="B12261" s="8">
        <v>393.75</v>
      </c>
      <c r="C12261" s="8">
        <v>20.478950000000001</v>
      </c>
      <c r="D12261" s="8">
        <v>72</v>
      </c>
      <c r="E12261" s="8">
        <v>0</v>
      </c>
      <c r="F12261" s="8">
        <v>0</v>
      </c>
      <c r="G12261" s="8">
        <v>14</v>
      </c>
      <c r="H12261" s="8" t="s">
        <v>50160</v>
      </c>
      <c r="I12261" s="8">
        <v>526.6875</v>
      </c>
      <c r="J12261" s="3">
        <f t="shared" si="191"/>
        <v>43749.382456597225</v>
      </c>
    </row>
    <row r="12262" spans="1:10" x14ac:dyDescent="0.25">
      <c r="A12262" s="5" t="s">
        <v>50161</v>
      </c>
      <c r="B12262" s="6">
        <v>393.75</v>
      </c>
      <c r="C12262" s="6">
        <v>20.478950000000001</v>
      </c>
      <c r="D12262" s="6">
        <v>72</v>
      </c>
      <c r="E12262" s="6">
        <v>0</v>
      </c>
      <c r="F12262" s="6">
        <v>0</v>
      </c>
      <c r="G12262" s="6">
        <v>16</v>
      </c>
      <c r="H12262" s="6" t="s">
        <v>50162</v>
      </c>
      <c r="I12262" s="6">
        <v>526.6875</v>
      </c>
      <c r="J12262" s="2">
        <f t="shared" si="191"/>
        <v>43749.382528124996</v>
      </c>
    </row>
    <row r="12263" spans="1:10" x14ac:dyDescent="0.25">
      <c r="A12263" s="7" t="s">
        <v>50163</v>
      </c>
      <c r="B12263" s="8">
        <v>393.75</v>
      </c>
      <c r="C12263" s="8">
        <v>20.478950000000001</v>
      </c>
      <c r="D12263" s="8">
        <v>71</v>
      </c>
      <c r="E12263" s="8">
        <v>0</v>
      </c>
      <c r="F12263" s="8">
        <v>0</v>
      </c>
      <c r="G12263" s="8">
        <v>18</v>
      </c>
      <c r="H12263" s="8" t="s">
        <v>50164</v>
      </c>
      <c r="I12263" s="8">
        <v>526.5</v>
      </c>
      <c r="J12263" s="3">
        <f t="shared" si="191"/>
        <v>43749.382599999997</v>
      </c>
    </row>
    <row r="12264" spans="1:10" x14ac:dyDescent="0.25">
      <c r="A12264" s="5" t="s">
        <v>50165</v>
      </c>
      <c r="B12264" s="6">
        <v>393.75</v>
      </c>
      <c r="C12264" s="6">
        <v>20.478950000000001</v>
      </c>
      <c r="D12264" s="6">
        <v>71</v>
      </c>
      <c r="E12264" s="6">
        <v>0</v>
      </c>
      <c r="F12264" s="6">
        <v>0</v>
      </c>
      <c r="G12264" s="6">
        <v>17</v>
      </c>
      <c r="H12264" s="6" t="s">
        <v>50166</v>
      </c>
      <c r="I12264" s="6">
        <v>526.6875</v>
      </c>
      <c r="J12264" s="2">
        <f t="shared" si="191"/>
        <v>43749.3826834375</v>
      </c>
    </row>
    <row r="12265" spans="1:10" x14ac:dyDescent="0.25">
      <c r="A12265" s="7" t="s">
        <v>50167</v>
      </c>
      <c r="B12265" s="8">
        <v>393.75</v>
      </c>
      <c r="C12265" s="8">
        <v>20.478950000000001</v>
      </c>
      <c r="D12265" s="8">
        <v>71</v>
      </c>
      <c r="E12265" s="8">
        <v>0</v>
      </c>
      <c r="F12265" s="8">
        <v>0</v>
      </c>
      <c r="G12265" s="8">
        <v>7</v>
      </c>
      <c r="H12265" s="8" t="s">
        <v>50168</v>
      </c>
      <c r="I12265" s="8">
        <v>526.6875</v>
      </c>
      <c r="J12265" s="3">
        <f t="shared" si="191"/>
        <v>43749.382766886571</v>
      </c>
    </row>
    <row r="12266" spans="1:10" x14ac:dyDescent="0.25">
      <c r="A12266" s="5" t="s">
        <v>50169</v>
      </c>
      <c r="B12266" s="6">
        <v>393.75</v>
      </c>
      <c r="C12266" s="6">
        <v>20.478950000000001</v>
      </c>
      <c r="D12266" s="6">
        <v>71</v>
      </c>
      <c r="E12266" s="6">
        <v>0</v>
      </c>
      <c r="F12266" s="6">
        <v>0</v>
      </c>
      <c r="G12266" s="6">
        <v>15</v>
      </c>
      <c r="H12266" s="6" t="s">
        <v>50170</v>
      </c>
      <c r="I12266" s="6">
        <v>526.6875</v>
      </c>
      <c r="J12266" s="2">
        <f t="shared" si="191"/>
        <v>43749.382850347225</v>
      </c>
    </row>
    <row r="12267" spans="1:10" x14ac:dyDescent="0.25">
      <c r="A12267" s="7" t="s">
        <v>50171</v>
      </c>
      <c r="B12267" s="8">
        <v>393.75</v>
      </c>
      <c r="C12267" s="8">
        <v>20.478950000000001</v>
      </c>
      <c r="D12267" s="8">
        <v>71</v>
      </c>
      <c r="E12267" s="8">
        <v>0</v>
      </c>
      <c r="F12267" s="8">
        <v>0</v>
      </c>
      <c r="G12267" s="8">
        <v>19</v>
      </c>
      <c r="H12267" s="8" t="s">
        <v>50172</v>
      </c>
      <c r="I12267" s="8">
        <v>526.6875</v>
      </c>
      <c r="J12267" s="3">
        <f t="shared" si="191"/>
        <v>43749.382945428239</v>
      </c>
    </row>
    <row r="12268" spans="1:10" x14ac:dyDescent="0.25">
      <c r="A12268" s="5" t="s">
        <v>50173</v>
      </c>
      <c r="B12268" s="6">
        <v>393.75</v>
      </c>
      <c r="C12268" s="6">
        <v>20.478950000000001</v>
      </c>
      <c r="D12268" s="6">
        <v>71</v>
      </c>
      <c r="E12268" s="6">
        <v>0</v>
      </c>
      <c r="F12268" s="6">
        <v>0</v>
      </c>
      <c r="G12268" s="6">
        <v>8</v>
      </c>
      <c r="H12268" s="6" t="s">
        <v>50174</v>
      </c>
      <c r="I12268" s="6">
        <v>526.6875</v>
      </c>
      <c r="J12268" s="2">
        <f t="shared" si="191"/>
        <v>43749.383016967586</v>
      </c>
    </row>
    <row r="12269" spans="1:10" x14ac:dyDescent="0.25">
      <c r="A12269" s="7" t="s">
        <v>50175</v>
      </c>
      <c r="B12269" s="8">
        <v>393.75</v>
      </c>
      <c r="C12269" s="8">
        <v>20.478950000000001</v>
      </c>
      <c r="D12269" s="8">
        <v>71</v>
      </c>
      <c r="E12269" s="8">
        <v>0</v>
      </c>
      <c r="F12269" s="8">
        <v>0</v>
      </c>
      <c r="G12269" s="8">
        <v>17</v>
      </c>
      <c r="H12269" s="8" t="s">
        <v>50176</v>
      </c>
      <c r="I12269" s="8">
        <v>526.6875</v>
      </c>
      <c r="J12269" s="3">
        <f t="shared" si="191"/>
        <v>43749.383100891202</v>
      </c>
    </row>
    <row r="12270" spans="1:10" x14ac:dyDescent="0.25">
      <c r="A12270" s="5" t="s">
        <v>50177</v>
      </c>
      <c r="B12270" s="6">
        <v>393.75</v>
      </c>
      <c r="C12270" s="6">
        <v>20.478950000000001</v>
      </c>
      <c r="D12270" s="6">
        <v>72</v>
      </c>
      <c r="E12270" s="6">
        <v>0</v>
      </c>
      <c r="F12270" s="6">
        <v>0</v>
      </c>
      <c r="G12270" s="6">
        <v>22</v>
      </c>
      <c r="H12270" s="6" t="s">
        <v>50178</v>
      </c>
      <c r="I12270" s="6">
        <v>526.6875</v>
      </c>
      <c r="J12270" s="2">
        <f t="shared" si="191"/>
        <v>43749.383184317128</v>
      </c>
    </row>
    <row r="12271" spans="1:10" x14ac:dyDescent="0.25">
      <c r="A12271" s="7" t="s">
        <v>50179</v>
      </c>
      <c r="B12271" s="8">
        <v>393.75</v>
      </c>
      <c r="C12271" s="8">
        <v>20.478950000000001</v>
      </c>
      <c r="D12271" s="8">
        <v>72</v>
      </c>
      <c r="E12271" s="8">
        <v>0</v>
      </c>
      <c r="F12271" s="8">
        <v>0</v>
      </c>
      <c r="G12271" s="8">
        <v>20</v>
      </c>
      <c r="H12271" s="8" t="s">
        <v>50180</v>
      </c>
      <c r="I12271" s="8">
        <v>526.6875</v>
      </c>
      <c r="J12271" s="3">
        <f t="shared" si="191"/>
        <v>43749.383267627309</v>
      </c>
    </row>
    <row r="12272" spans="1:10" x14ac:dyDescent="0.25">
      <c r="A12272" s="5" t="s">
        <v>50181</v>
      </c>
      <c r="B12272" s="6">
        <v>393.75</v>
      </c>
      <c r="C12272" s="6">
        <v>20.478950000000001</v>
      </c>
      <c r="D12272" s="6">
        <v>71</v>
      </c>
      <c r="E12272" s="6">
        <v>0</v>
      </c>
      <c r="F12272" s="6">
        <v>0</v>
      </c>
      <c r="G12272" s="6">
        <v>18</v>
      </c>
      <c r="H12272" s="6" t="s">
        <v>50182</v>
      </c>
      <c r="I12272" s="6">
        <v>526.6875</v>
      </c>
      <c r="J12272" s="2">
        <f t="shared" si="191"/>
        <v>43749.383350868055</v>
      </c>
    </row>
    <row r="12273" spans="1:10" x14ac:dyDescent="0.25">
      <c r="A12273" s="7" t="s">
        <v>50183</v>
      </c>
      <c r="B12273" s="8">
        <v>393.75</v>
      </c>
      <c r="C12273" s="8">
        <v>20.478950000000001</v>
      </c>
      <c r="D12273" s="8">
        <v>71</v>
      </c>
      <c r="E12273" s="8">
        <v>0</v>
      </c>
      <c r="F12273" s="8">
        <v>0</v>
      </c>
      <c r="G12273" s="8">
        <v>20</v>
      </c>
      <c r="H12273" s="8" t="s">
        <v>50184</v>
      </c>
      <c r="I12273" s="8">
        <v>526.6875</v>
      </c>
      <c r="J12273" s="3">
        <f t="shared" si="191"/>
        <v>43749.383434884257</v>
      </c>
    </row>
    <row r="12274" spans="1:10" x14ac:dyDescent="0.25">
      <c r="A12274" s="5" t="s">
        <v>50185</v>
      </c>
      <c r="B12274" s="6">
        <v>393.75</v>
      </c>
      <c r="C12274" s="6">
        <v>20.478950000000001</v>
      </c>
      <c r="D12274" s="6">
        <v>71</v>
      </c>
      <c r="E12274" s="6">
        <v>0</v>
      </c>
      <c r="F12274" s="6">
        <v>0</v>
      </c>
      <c r="G12274" s="6">
        <v>16</v>
      </c>
      <c r="H12274" s="6" t="s">
        <v>50186</v>
      </c>
      <c r="I12274" s="6">
        <v>526.6875</v>
      </c>
      <c r="J12274" s="2">
        <f t="shared" si="191"/>
        <v>43749.383506087957</v>
      </c>
    </row>
    <row r="12275" spans="1:10" x14ac:dyDescent="0.25">
      <c r="A12275" s="7" t="s">
        <v>50187</v>
      </c>
      <c r="B12275" s="8">
        <v>393.75</v>
      </c>
      <c r="C12275" s="8">
        <v>20.478950000000001</v>
      </c>
      <c r="D12275" s="8">
        <v>70</v>
      </c>
      <c r="E12275" s="8">
        <v>0</v>
      </c>
      <c r="F12275" s="8">
        <v>0</v>
      </c>
      <c r="G12275" s="8">
        <v>20</v>
      </c>
      <c r="H12275" s="8" t="s">
        <v>50188</v>
      </c>
      <c r="I12275" s="8">
        <v>526.6875</v>
      </c>
      <c r="J12275" s="3">
        <f t="shared" si="191"/>
        <v>43749.383589768513</v>
      </c>
    </row>
    <row r="12276" spans="1:10" x14ac:dyDescent="0.25">
      <c r="A12276" s="5" t="s">
        <v>50189</v>
      </c>
      <c r="B12276" s="6">
        <v>393.75</v>
      </c>
      <c r="C12276" s="6">
        <v>20.478950000000001</v>
      </c>
      <c r="D12276" s="6">
        <v>70</v>
      </c>
      <c r="E12276" s="6">
        <v>0</v>
      </c>
      <c r="F12276" s="6">
        <v>0</v>
      </c>
      <c r="G12276" s="6">
        <v>14</v>
      </c>
      <c r="H12276" s="6" t="s">
        <v>50190</v>
      </c>
      <c r="I12276" s="6">
        <v>526.5</v>
      </c>
      <c r="J12276" s="2">
        <f t="shared" si="191"/>
        <v>43749.383673217591</v>
      </c>
    </row>
    <row r="12277" spans="1:10" x14ac:dyDescent="0.25">
      <c r="A12277" s="7" t="s">
        <v>50191</v>
      </c>
      <c r="B12277" s="8">
        <v>393.75</v>
      </c>
      <c r="C12277" s="8">
        <v>20.478950000000001</v>
      </c>
      <c r="D12277" s="8">
        <v>73</v>
      </c>
      <c r="E12277" s="8">
        <v>0</v>
      </c>
      <c r="F12277" s="8">
        <v>0</v>
      </c>
      <c r="G12277" s="8">
        <v>14</v>
      </c>
      <c r="H12277" s="8" t="s">
        <v>50192</v>
      </c>
      <c r="I12277" s="8">
        <v>526.6875</v>
      </c>
      <c r="J12277" s="3">
        <f t="shared" si="191"/>
        <v>43749.383756435178</v>
      </c>
    </row>
    <row r="12278" spans="1:10" x14ac:dyDescent="0.25">
      <c r="A12278" s="5" t="s">
        <v>50193</v>
      </c>
      <c r="B12278" s="6">
        <v>393.75</v>
      </c>
      <c r="C12278" s="6">
        <v>20.478950000000001</v>
      </c>
      <c r="D12278" s="6">
        <v>73</v>
      </c>
      <c r="E12278" s="6">
        <v>0</v>
      </c>
      <c r="F12278" s="6">
        <v>0</v>
      </c>
      <c r="G12278" s="6">
        <v>19</v>
      </c>
      <c r="H12278" s="6" t="s">
        <v>50194</v>
      </c>
      <c r="I12278" s="6">
        <v>526.6875</v>
      </c>
      <c r="J12278" s="2">
        <f t="shared" si="191"/>
        <v>43749.383828078702</v>
      </c>
    </row>
    <row r="12279" spans="1:10" x14ac:dyDescent="0.25">
      <c r="A12279" s="7" t="s">
        <v>50195</v>
      </c>
      <c r="B12279" s="8">
        <v>393.75</v>
      </c>
      <c r="C12279" s="8">
        <v>20.478950000000001</v>
      </c>
      <c r="D12279" s="8">
        <v>73</v>
      </c>
      <c r="E12279" s="8">
        <v>0</v>
      </c>
      <c r="F12279" s="8">
        <v>0</v>
      </c>
      <c r="G12279" s="8">
        <v>12</v>
      </c>
      <c r="H12279" s="8" t="s">
        <v>50196</v>
      </c>
      <c r="I12279" s="8">
        <v>526.6875</v>
      </c>
      <c r="J12279" s="3">
        <f t="shared" si="191"/>
        <v>43749.383911979159</v>
      </c>
    </row>
    <row r="12280" spans="1:10" x14ac:dyDescent="0.25">
      <c r="A12280" s="5" t="s">
        <v>50197</v>
      </c>
      <c r="B12280" s="6">
        <v>393.75</v>
      </c>
      <c r="C12280" s="6">
        <v>20.478950000000001</v>
      </c>
      <c r="D12280" s="6">
        <v>74</v>
      </c>
      <c r="E12280" s="6">
        <v>0</v>
      </c>
      <c r="F12280" s="6">
        <v>0</v>
      </c>
      <c r="G12280" s="6">
        <v>10</v>
      </c>
      <c r="H12280" s="6" t="s">
        <v>50198</v>
      </c>
      <c r="I12280" s="6">
        <v>526.6875</v>
      </c>
      <c r="J12280" s="2">
        <f t="shared" si="191"/>
        <v>43749.38399519676</v>
      </c>
    </row>
    <row r="12281" spans="1:10" x14ac:dyDescent="0.25">
      <c r="A12281" s="7" t="s">
        <v>50199</v>
      </c>
      <c r="B12281" s="8">
        <v>393.75</v>
      </c>
      <c r="C12281" s="8">
        <v>20.478950000000001</v>
      </c>
      <c r="D12281" s="8">
        <v>73</v>
      </c>
      <c r="E12281" s="8">
        <v>0</v>
      </c>
      <c r="F12281" s="8">
        <v>0</v>
      </c>
      <c r="G12281" s="8">
        <v>9</v>
      </c>
      <c r="H12281" s="8" t="s">
        <v>50200</v>
      </c>
      <c r="I12281" s="8">
        <v>526.6875</v>
      </c>
      <c r="J12281" s="3">
        <f t="shared" si="191"/>
        <v>43749.384078668976</v>
      </c>
    </row>
    <row r="12282" spans="1:10" x14ac:dyDescent="0.25">
      <c r="A12282" s="5" t="s">
        <v>50201</v>
      </c>
      <c r="B12282" s="6">
        <v>393.75</v>
      </c>
      <c r="C12282" s="6">
        <v>20.478950000000001</v>
      </c>
      <c r="D12282" s="6">
        <v>75</v>
      </c>
      <c r="E12282" s="6">
        <v>0</v>
      </c>
      <c r="F12282" s="6">
        <v>0</v>
      </c>
      <c r="G12282" s="6">
        <v>19</v>
      </c>
      <c r="H12282" s="6" t="s">
        <v>50202</v>
      </c>
      <c r="I12282" s="6">
        <v>526.6875</v>
      </c>
      <c r="J12282" s="2">
        <f t="shared" si="191"/>
        <v>43749.384162222217</v>
      </c>
    </row>
    <row r="12283" spans="1:10" x14ac:dyDescent="0.25">
      <c r="A12283" s="7" t="s">
        <v>50203</v>
      </c>
      <c r="B12283" s="8">
        <v>393.75</v>
      </c>
      <c r="C12283" s="8">
        <v>20.478950000000001</v>
      </c>
      <c r="D12283" s="8">
        <v>75</v>
      </c>
      <c r="E12283" s="8">
        <v>0</v>
      </c>
      <c r="F12283" s="8">
        <v>0</v>
      </c>
      <c r="G12283" s="8">
        <v>13</v>
      </c>
      <c r="H12283" s="8" t="s">
        <v>50204</v>
      </c>
      <c r="I12283" s="8">
        <v>526.6875</v>
      </c>
      <c r="J12283" s="3">
        <f t="shared" si="191"/>
        <v>43749.384245324072</v>
      </c>
    </row>
    <row r="12284" spans="1:10" x14ac:dyDescent="0.25">
      <c r="A12284" s="5" t="s">
        <v>50205</v>
      </c>
      <c r="B12284" s="6">
        <v>393.75</v>
      </c>
      <c r="C12284" s="6">
        <v>20.478950000000001</v>
      </c>
      <c r="D12284" s="6">
        <v>75</v>
      </c>
      <c r="E12284" s="6">
        <v>0</v>
      </c>
      <c r="F12284" s="6">
        <v>0</v>
      </c>
      <c r="G12284" s="6">
        <v>8</v>
      </c>
      <c r="H12284" s="6" t="s">
        <v>50206</v>
      </c>
      <c r="I12284" s="6">
        <v>526.6875</v>
      </c>
      <c r="J12284" s="2">
        <f t="shared" si="191"/>
        <v>43749.38431695602</v>
      </c>
    </row>
    <row r="12285" spans="1:10" x14ac:dyDescent="0.25">
      <c r="A12285" s="7" t="s">
        <v>50207</v>
      </c>
      <c r="B12285" s="8">
        <v>393.75</v>
      </c>
      <c r="C12285" s="8">
        <v>20.478950000000001</v>
      </c>
      <c r="D12285" s="8">
        <v>75</v>
      </c>
      <c r="E12285" s="8">
        <v>0</v>
      </c>
      <c r="F12285" s="8">
        <v>0</v>
      </c>
      <c r="G12285" s="8">
        <v>13</v>
      </c>
      <c r="H12285" s="8" t="s">
        <v>50208</v>
      </c>
      <c r="I12285" s="8">
        <v>526.5</v>
      </c>
      <c r="J12285" s="3">
        <f t="shared" si="191"/>
        <v>43749.384400891206</v>
      </c>
    </row>
    <row r="12286" spans="1:10" x14ac:dyDescent="0.25">
      <c r="A12286" s="5" t="s">
        <v>50209</v>
      </c>
      <c r="B12286" s="6">
        <v>393.75</v>
      </c>
      <c r="C12286" s="6">
        <v>20.478950000000001</v>
      </c>
      <c r="D12286" s="6">
        <v>75</v>
      </c>
      <c r="E12286" s="6">
        <v>0</v>
      </c>
      <c r="F12286" s="6">
        <v>0</v>
      </c>
      <c r="G12286" s="6">
        <v>4</v>
      </c>
      <c r="H12286" s="6" t="s">
        <v>50210</v>
      </c>
      <c r="I12286" s="6">
        <v>526.6875</v>
      </c>
      <c r="J12286" s="2">
        <f t="shared" si="191"/>
        <v>43749.384484212962</v>
      </c>
    </row>
    <row r="12287" spans="1:10" x14ac:dyDescent="0.25">
      <c r="A12287" s="7" t="s">
        <v>50211</v>
      </c>
      <c r="B12287" s="8">
        <v>393.75</v>
      </c>
      <c r="C12287" s="8">
        <v>20.478950000000001</v>
      </c>
      <c r="D12287" s="8">
        <v>74</v>
      </c>
      <c r="E12287" s="8">
        <v>0</v>
      </c>
      <c r="F12287" s="8">
        <v>0</v>
      </c>
      <c r="G12287" s="8">
        <v>18</v>
      </c>
      <c r="H12287" s="8" t="s">
        <v>50212</v>
      </c>
      <c r="I12287" s="8">
        <v>526.6875</v>
      </c>
      <c r="J12287" s="3">
        <f t="shared" si="191"/>
        <v>43749.384567534718</v>
      </c>
    </row>
    <row r="12288" spans="1:10" x14ac:dyDescent="0.25">
      <c r="A12288" s="5" t="s">
        <v>50213</v>
      </c>
      <c r="B12288" s="6">
        <v>412.5</v>
      </c>
      <c r="C12288" s="6">
        <v>20.478950000000001</v>
      </c>
      <c r="D12288" s="6">
        <v>74</v>
      </c>
      <c r="E12288" s="6">
        <v>0</v>
      </c>
      <c r="F12288" s="6">
        <v>0</v>
      </c>
      <c r="G12288" s="6">
        <v>13</v>
      </c>
      <c r="H12288" s="6" t="s">
        <v>50214</v>
      </c>
      <c r="I12288" s="6">
        <v>532.3125</v>
      </c>
      <c r="J12288" s="2">
        <f t="shared" si="191"/>
        <v>43749.384639178235</v>
      </c>
    </row>
    <row r="12289" spans="1:10" x14ac:dyDescent="0.25">
      <c r="A12289" s="7" t="s">
        <v>50215</v>
      </c>
      <c r="B12289" s="8">
        <v>393.75</v>
      </c>
      <c r="C12289" s="8">
        <v>20.426300000000001</v>
      </c>
      <c r="D12289" s="8">
        <v>74</v>
      </c>
      <c r="E12289" s="8">
        <v>0</v>
      </c>
      <c r="F12289" s="8">
        <v>0</v>
      </c>
      <c r="G12289" s="8">
        <v>13</v>
      </c>
      <c r="H12289" s="8" t="s">
        <v>50216</v>
      </c>
      <c r="I12289" s="8">
        <v>526.5</v>
      </c>
      <c r="J12289" s="3">
        <f t="shared" si="191"/>
        <v>43749.384722766197</v>
      </c>
    </row>
    <row r="12290" spans="1:10" x14ac:dyDescent="0.25">
      <c r="A12290" s="5" t="s">
        <v>50217</v>
      </c>
      <c r="B12290" s="6">
        <v>393.75</v>
      </c>
      <c r="C12290" s="6">
        <v>20.478950000000001</v>
      </c>
      <c r="D12290" s="6">
        <v>74</v>
      </c>
      <c r="E12290" s="6">
        <v>0</v>
      </c>
      <c r="F12290" s="6">
        <v>0</v>
      </c>
      <c r="G12290" s="6">
        <v>11</v>
      </c>
      <c r="H12290" s="6" t="s">
        <v>50218</v>
      </c>
      <c r="I12290" s="6">
        <v>526.6875</v>
      </c>
      <c r="J12290" s="2">
        <f t="shared" ref="J12290:J12353" si="192">(H12290/86400000)+25569+(7/24)</f>
        <v>43749.384806180555</v>
      </c>
    </row>
    <row r="12291" spans="1:10" x14ac:dyDescent="0.25">
      <c r="A12291" s="7" t="s">
        <v>50219</v>
      </c>
      <c r="B12291" s="8">
        <v>393.75</v>
      </c>
      <c r="C12291" s="8">
        <v>20.478950000000001</v>
      </c>
      <c r="D12291" s="8">
        <v>75</v>
      </c>
      <c r="E12291" s="8">
        <v>0</v>
      </c>
      <c r="F12291" s="8">
        <v>0</v>
      </c>
      <c r="G12291" s="8">
        <v>11</v>
      </c>
      <c r="H12291" s="8" t="s">
        <v>50220</v>
      </c>
      <c r="I12291" s="8">
        <v>526.5</v>
      </c>
      <c r="J12291" s="3">
        <f t="shared" si="192"/>
        <v>43749.384889756941</v>
      </c>
    </row>
    <row r="12292" spans="1:10" x14ac:dyDescent="0.25">
      <c r="A12292" s="5" t="s">
        <v>50221</v>
      </c>
      <c r="B12292" s="6">
        <v>393.75</v>
      </c>
      <c r="C12292" s="6">
        <v>20.478950000000001</v>
      </c>
      <c r="D12292" s="6">
        <v>75</v>
      </c>
      <c r="E12292" s="6">
        <v>0</v>
      </c>
      <c r="F12292" s="6">
        <v>0</v>
      </c>
      <c r="G12292" s="6">
        <v>21</v>
      </c>
      <c r="H12292" s="6" t="s">
        <v>50222</v>
      </c>
      <c r="I12292" s="6">
        <v>526.6875</v>
      </c>
      <c r="J12292" s="2">
        <f t="shared" si="192"/>
        <v>43749.384973217595</v>
      </c>
    </row>
    <row r="12293" spans="1:10" x14ac:dyDescent="0.25">
      <c r="A12293" s="7" t="s">
        <v>50223</v>
      </c>
      <c r="B12293" s="8">
        <v>412.5</v>
      </c>
      <c r="C12293" s="8">
        <v>20.478950000000001</v>
      </c>
      <c r="D12293" s="8">
        <v>74</v>
      </c>
      <c r="E12293" s="8">
        <v>0</v>
      </c>
      <c r="F12293" s="8">
        <v>0</v>
      </c>
      <c r="G12293" s="8">
        <v>10</v>
      </c>
      <c r="H12293" s="8" t="s">
        <v>50224</v>
      </c>
      <c r="I12293" s="8">
        <v>532.3125</v>
      </c>
      <c r="J12293" s="3">
        <f t="shared" si="192"/>
        <v>43749.385056435181</v>
      </c>
    </row>
    <row r="12294" spans="1:10" x14ac:dyDescent="0.25">
      <c r="A12294" s="5" t="s">
        <v>50225</v>
      </c>
      <c r="B12294" s="6">
        <v>393.75</v>
      </c>
      <c r="C12294" s="6">
        <v>20.478950000000001</v>
      </c>
      <c r="D12294" s="6">
        <v>74</v>
      </c>
      <c r="E12294" s="6">
        <v>0</v>
      </c>
      <c r="F12294" s="6">
        <v>0</v>
      </c>
      <c r="G12294" s="6">
        <v>16</v>
      </c>
      <c r="H12294" s="6" t="s">
        <v>50226</v>
      </c>
      <c r="I12294" s="6">
        <v>526.6875</v>
      </c>
      <c r="J12294" s="2">
        <f t="shared" si="192"/>
        <v>43749.385140127313</v>
      </c>
    </row>
    <row r="12295" spans="1:10" x14ac:dyDescent="0.25">
      <c r="A12295" s="7" t="s">
        <v>50227</v>
      </c>
      <c r="B12295" s="8">
        <v>393.75</v>
      </c>
      <c r="C12295" s="8">
        <v>20.478950000000001</v>
      </c>
      <c r="D12295" s="8">
        <v>73</v>
      </c>
      <c r="E12295" s="8">
        <v>0</v>
      </c>
      <c r="F12295" s="8">
        <v>0</v>
      </c>
      <c r="G12295" s="8">
        <v>12</v>
      </c>
      <c r="H12295" s="8" t="s">
        <v>50228</v>
      </c>
      <c r="I12295" s="8">
        <v>526.6875</v>
      </c>
      <c r="J12295" s="3">
        <f t="shared" si="192"/>
        <v>43749.385223784724</v>
      </c>
    </row>
    <row r="12296" spans="1:10" x14ac:dyDescent="0.25">
      <c r="A12296" s="5" t="s">
        <v>50229</v>
      </c>
      <c r="B12296" s="6">
        <v>393.75</v>
      </c>
      <c r="C12296" s="6">
        <v>20.478950000000001</v>
      </c>
      <c r="D12296" s="6">
        <v>74</v>
      </c>
      <c r="E12296" s="6">
        <v>0</v>
      </c>
      <c r="F12296" s="6">
        <v>0</v>
      </c>
      <c r="G12296" s="6">
        <v>13</v>
      </c>
      <c r="H12296" s="6" t="s">
        <v>50230</v>
      </c>
      <c r="I12296" s="6">
        <v>526.6875</v>
      </c>
      <c r="J12296" s="2">
        <f t="shared" si="192"/>
        <v>43749.385295196756</v>
      </c>
    </row>
    <row r="12297" spans="1:10" x14ac:dyDescent="0.25">
      <c r="A12297" s="7" t="s">
        <v>50231</v>
      </c>
      <c r="B12297" s="8">
        <v>393.75</v>
      </c>
      <c r="C12297" s="8">
        <v>20.478950000000001</v>
      </c>
      <c r="D12297" s="8">
        <v>74</v>
      </c>
      <c r="E12297" s="8">
        <v>0</v>
      </c>
      <c r="F12297" s="8">
        <v>0</v>
      </c>
      <c r="G12297" s="8">
        <v>9</v>
      </c>
      <c r="H12297" s="8" t="s">
        <v>50232</v>
      </c>
      <c r="I12297" s="8">
        <v>526.6875</v>
      </c>
      <c r="J12297" s="3">
        <f t="shared" si="192"/>
        <v>43749.385378645828</v>
      </c>
    </row>
    <row r="12298" spans="1:10" x14ac:dyDescent="0.25">
      <c r="A12298" s="5" t="s">
        <v>50233</v>
      </c>
      <c r="B12298" s="6">
        <v>421.875</v>
      </c>
      <c r="C12298" s="6">
        <v>20.478950000000001</v>
      </c>
      <c r="D12298" s="6">
        <v>74</v>
      </c>
      <c r="E12298" s="6">
        <v>0</v>
      </c>
      <c r="F12298" s="6">
        <v>0</v>
      </c>
      <c r="G12298" s="6">
        <v>6</v>
      </c>
      <c r="H12298" s="6" t="s">
        <v>50234</v>
      </c>
      <c r="I12298" s="6">
        <v>535.125</v>
      </c>
      <c r="J12298" s="2">
        <f t="shared" si="192"/>
        <v>43749.385462222221</v>
      </c>
    </row>
    <row r="12299" spans="1:10" x14ac:dyDescent="0.25">
      <c r="A12299" s="7" t="s">
        <v>50235</v>
      </c>
      <c r="B12299" s="8">
        <v>393.75</v>
      </c>
      <c r="C12299" s="8">
        <v>20.478950000000001</v>
      </c>
      <c r="D12299" s="8">
        <v>75</v>
      </c>
      <c r="E12299" s="8">
        <v>0</v>
      </c>
      <c r="F12299" s="8">
        <v>0</v>
      </c>
      <c r="G12299" s="8">
        <v>8</v>
      </c>
      <c r="H12299" s="8" t="s">
        <v>50236</v>
      </c>
      <c r="I12299" s="8">
        <v>526.6875</v>
      </c>
      <c r="J12299" s="3">
        <f t="shared" si="192"/>
        <v>43749.385545312492</v>
      </c>
    </row>
    <row r="12300" spans="1:10" x14ac:dyDescent="0.25">
      <c r="A12300" s="5" t="s">
        <v>50237</v>
      </c>
      <c r="B12300" s="6">
        <v>393.75</v>
      </c>
      <c r="C12300" s="6">
        <v>20.478950000000001</v>
      </c>
      <c r="D12300" s="6">
        <v>75</v>
      </c>
      <c r="E12300" s="6">
        <v>0</v>
      </c>
      <c r="F12300" s="6">
        <v>0</v>
      </c>
      <c r="G12300" s="6">
        <v>7</v>
      </c>
      <c r="H12300" s="6" t="s">
        <v>50238</v>
      </c>
      <c r="I12300" s="6">
        <v>526.6875</v>
      </c>
      <c r="J12300" s="2">
        <f t="shared" si="192"/>
        <v>43749.385641099536</v>
      </c>
    </row>
    <row r="12301" spans="1:10" x14ac:dyDescent="0.25">
      <c r="A12301" s="7" t="s">
        <v>50239</v>
      </c>
      <c r="B12301" s="8">
        <v>393.75</v>
      </c>
      <c r="C12301" s="8">
        <v>20.478950000000001</v>
      </c>
      <c r="D12301" s="8">
        <v>75</v>
      </c>
      <c r="E12301" s="8">
        <v>0</v>
      </c>
      <c r="F12301" s="8">
        <v>0</v>
      </c>
      <c r="G12301" s="8">
        <v>16</v>
      </c>
      <c r="H12301" s="8" t="s">
        <v>50240</v>
      </c>
      <c r="I12301" s="8">
        <v>526.6875</v>
      </c>
      <c r="J12301" s="3">
        <f t="shared" si="192"/>
        <v>43749.385724525462</v>
      </c>
    </row>
    <row r="12302" spans="1:10" x14ac:dyDescent="0.25">
      <c r="A12302" s="5" t="s">
        <v>50241</v>
      </c>
      <c r="B12302" s="6">
        <v>440.625</v>
      </c>
      <c r="C12302" s="6">
        <v>20.478950000000001</v>
      </c>
      <c r="D12302" s="6">
        <v>74</v>
      </c>
      <c r="E12302" s="6">
        <v>0</v>
      </c>
      <c r="F12302" s="6">
        <v>0</v>
      </c>
      <c r="G12302" s="6">
        <v>11</v>
      </c>
      <c r="H12302" s="6" t="s">
        <v>50242</v>
      </c>
      <c r="I12302" s="6">
        <v>541.125</v>
      </c>
      <c r="J12302" s="2">
        <f t="shared" si="192"/>
        <v>43749.385807743056</v>
      </c>
    </row>
    <row r="12303" spans="1:10" x14ac:dyDescent="0.25">
      <c r="A12303" s="7" t="s">
        <v>50243</v>
      </c>
      <c r="B12303" s="8">
        <v>393.75</v>
      </c>
      <c r="C12303" s="8">
        <v>20.478950000000001</v>
      </c>
      <c r="D12303" s="8">
        <v>74</v>
      </c>
      <c r="E12303" s="8">
        <v>0</v>
      </c>
      <c r="F12303" s="8">
        <v>0</v>
      </c>
      <c r="G12303" s="8">
        <v>15</v>
      </c>
      <c r="H12303" s="8" t="s">
        <v>50244</v>
      </c>
      <c r="I12303" s="8">
        <v>526.6875</v>
      </c>
      <c r="J12303" s="3">
        <f t="shared" si="192"/>
        <v>43749.385891562495</v>
      </c>
    </row>
    <row r="12304" spans="1:10" x14ac:dyDescent="0.25">
      <c r="A12304" s="5" t="s">
        <v>50245</v>
      </c>
      <c r="B12304" s="6">
        <v>393.75</v>
      </c>
      <c r="C12304" s="6">
        <v>20.478950000000001</v>
      </c>
      <c r="D12304" s="6">
        <v>74</v>
      </c>
      <c r="E12304" s="6">
        <v>0</v>
      </c>
      <c r="F12304" s="6">
        <v>0</v>
      </c>
      <c r="G12304" s="6">
        <v>3</v>
      </c>
      <c r="H12304" s="6" t="s">
        <v>50246</v>
      </c>
      <c r="I12304" s="6">
        <v>526.5</v>
      </c>
      <c r="J12304" s="2">
        <f t="shared" si="192"/>
        <v>43749.385975011573</v>
      </c>
    </row>
    <row r="12305" spans="1:10" x14ac:dyDescent="0.25">
      <c r="A12305" s="7" t="s">
        <v>50247</v>
      </c>
      <c r="B12305" s="8">
        <v>393.75</v>
      </c>
      <c r="C12305" s="8">
        <v>20.478950000000001</v>
      </c>
      <c r="D12305" s="8">
        <v>74</v>
      </c>
      <c r="E12305" s="8">
        <v>0</v>
      </c>
      <c r="F12305" s="8">
        <v>0</v>
      </c>
      <c r="G12305" s="8">
        <v>8</v>
      </c>
      <c r="H12305" s="8" t="s">
        <v>50248</v>
      </c>
      <c r="I12305" s="8">
        <v>526.6875</v>
      </c>
      <c r="J12305" s="3">
        <f t="shared" si="192"/>
        <v>43749.386058564814</v>
      </c>
    </row>
    <row r="12306" spans="1:10" x14ac:dyDescent="0.25">
      <c r="A12306" s="5" t="s">
        <v>50249</v>
      </c>
      <c r="B12306" s="6">
        <v>393.75</v>
      </c>
      <c r="C12306" s="6">
        <v>20.478950000000001</v>
      </c>
      <c r="D12306" s="6">
        <v>73</v>
      </c>
      <c r="E12306" s="6">
        <v>0</v>
      </c>
      <c r="F12306" s="6">
        <v>0</v>
      </c>
      <c r="G12306" s="6">
        <v>14</v>
      </c>
      <c r="H12306" s="6" t="s">
        <v>50250</v>
      </c>
      <c r="I12306" s="6">
        <v>526.6875</v>
      </c>
      <c r="J12306" s="2">
        <f t="shared" si="192"/>
        <v>43749.386141655086</v>
      </c>
    </row>
    <row r="12307" spans="1:10" x14ac:dyDescent="0.25">
      <c r="A12307" s="7" t="s">
        <v>50251</v>
      </c>
      <c r="B12307" s="8">
        <v>393.75</v>
      </c>
      <c r="C12307" s="8">
        <v>20.478950000000001</v>
      </c>
      <c r="D12307" s="8">
        <v>73</v>
      </c>
      <c r="E12307" s="8">
        <v>0</v>
      </c>
      <c r="F12307" s="8">
        <v>0</v>
      </c>
      <c r="G12307" s="8">
        <v>3</v>
      </c>
      <c r="H12307" s="8" t="s">
        <v>50252</v>
      </c>
      <c r="I12307" s="8">
        <v>526.6875</v>
      </c>
      <c r="J12307" s="3">
        <f t="shared" si="192"/>
        <v>43749.386213437501</v>
      </c>
    </row>
    <row r="12308" spans="1:10" x14ac:dyDescent="0.25">
      <c r="A12308" s="5" t="s">
        <v>50253</v>
      </c>
      <c r="B12308" s="6">
        <v>393.75</v>
      </c>
      <c r="C12308" s="6">
        <v>20.478950000000001</v>
      </c>
      <c r="D12308" s="6">
        <v>73</v>
      </c>
      <c r="E12308" s="6">
        <v>0</v>
      </c>
      <c r="F12308" s="6">
        <v>0</v>
      </c>
      <c r="G12308" s="6">
        <v>4</v>
      </c>
      <c r="H12308" s="6" t="s">
        <v>50254</v>
      </c>
      <c r="I12308" s="6">
        <v>526.6875</v>
      </c>
      <c r="J12308" s="2">
        <f t="shared" si="192"/>
        <v>43749.386297233796</v>
      </c>
    </row>
    <row r="12309" spans="1:10" x14ac:dyDescent="0.25">
      <c r="A12309" s="7" t="s">
        <v>50255</v>
      </c>
      <c r="B12309" s="8">
        <v>393.75</v>
      </c>
      <c r="C12309" s="8">
        <v>20.478950000000001</v>
      </c>
      <c r="D12309" s="8">
        <v>73</v>
      </c>
      <c r="E12309" s="8">
        <v>0</v>
      </c>
      <c r="F12309" s="8">
        <v>0</v>
      </c>
      <c r="G12309" s="8">
        <v>12</v>
      </c>
      <c r="H12309" s="8" t="s">
        <v>50256</v>
      </c>
      <c r="I12309" s="8">
        <v>526.6875</v>
      </c>
      <c r="J12309" s="3">
        <f t="shared" si="192"/>
        <v>43749.386383252313</v>
      </c>
    </row>
    <row r="12310" spans="1:10" x14ac:dyDescent="0.25">
      <c r="A12310" s="5" t="s">
        <v>50257</v>
      </c>
      <c r="B12310" s="6">
        <v>393.75</v>
      </c>
      <c r="C12310" s="6">
        <v>20.478950000000001</v>
      </c>
      <c r="D12310" s="6">
        <v>73</v>
      </c>
      <c r="E12310" s="6">
        <v>0</v>
      </c>
      <c r="F12310" s="6">
        <v>0</v>
      </c>
      <c r="G12310" s="6">
        <v>11</v>
      </c>
      <c r="H12310" s="6" t="s">
        <v>50258</v>
      </c>
      <c r="I12310" s="6">
        <v>526.6875</v>
      </c>
      <c r="J12310" s="2">
        <f t="shared" si="192"/>
        <v>43749.386463877316</v>
      </c>
    </row>
    <row r="12311" spans="1:10" x14ac:dyDescent="0.25">
      <c r="A12311" s="7" t="s">
        <v>50259</v>
      </c>
      <c r="B12311" s="8">
        <v>393.75</v>
      </c>
      <c r="C12311" s="8">
        <v>20.478950000000001</v>
      </c>
      <c r="D12311" s="8">
        <v>73</v>
      </c>
      <c r="E12311" s="8">
        <v>0</v>
      </c>
      <c r="F12311" s="8">
        <v>0</v>
      </c>
      <c r="G12311" s="8">
        <v>8</v>
      </c>
      <c r="H12311" s="8" t="s">
        <v>50260</v>
      </c>
      <c r="I12311" s="8">
        <v>526.6875</v>
      </c>
      <c r="J12311" s="3">
        <f t="shared" si="192"/>
        <v>43749.386535520833</v>
      </c>
    </row>
    <row r="12312" spans="1:10" x14ac:dyDescent="0.25">
      <c r="A12312" s="5" t="s">
        <v>50261</v>
      </c>
      <c r="B12312" s="6">
        <v>393.75</v>
      </c>
      <c r="C12312" s="6">
        <v>20.478950000000001</v>
      </c>
      <c r="D12312" s="6">
        <v>74</v>
      </c>
      <c r="E12312" s="6">
        <v>0</v>
      </c>
      <c r="F12312" s="6">
        <v>0</v>
      </c>
      <c r="G12312" s="6">
        <v>0</v>
      </c>
      <c r="H12312" s="6" t="s">
        <v>50262</v>
      </c>
      <c r="I12312" s="6">
        <v>526.6875</v>
      </c>
      <c r="J12312" s="2">
        <f t="shared" si="192"/>
        <v>43749.386619108795</v>
      </c>
    </row>
    <row r="12313" spans="1:10" x14ac:dyDescent="0.25">
      <c r="A12313" s="7" t="s">
        <v>50263</v>
      </c>
      <c r="B12313" s="8">
        <v>393.75</v>
      </c>
      <c r="C12313" s="8">
        <v>20.426300000000001</v>
      </c>
      <c r="D12313" s="8">
        <v>74</v>
      </c>
      <c r="E12313" s="8">
        <v>0</v>
      </c>
      <c r="F12313" s="8">
        <v>0</v>
      </c>
      <c r="G12313" s="8">
        <v>3</v>
      </c>
      <c r="H12313" s="8" t="s">
        <v>50264</v>
      </c>
      <c r="I12313" s="8">
        <v>526.6875</v>
      </c>
      <c r="J12313" s="3">
        <f t="shared" si="192"/>
        <v>43749.386702557873</v>
      </c>
    </row>
    <row r="12314" spans="1:10" x14ac:dyDescent="0.25">
      <c r="A12314" s="5" t="s">
        <v>50265</v>
      </c>
      <c r="B12314" s="6">
        <v>393.75</v>
      </c>
      <c r="C12314" s="6">
        <v>20.478950000000001</v>
      </c>
      <c r="D12314" s="6">
        <v>74</v>
      </c>
      <c r="E12314" s="6">
        <v>0</v>
      </c>
      <c r="F12314" s="6">
        <v>0</v>
      </c>
      <c r="G12314" s="6">
        <v>4</v>
      </c>
      <c r="H12314" s="6" t="s">
        <v>50266</v>
      </c>
      <c r="I12314" s="6">
        <v>526.6875</v>
      </c>
      <c r="J12314" s="2">
        <f t="shared" si="192"/>
        <v>43749.386786122683</v>
      </c>
    </row>
    <row r="12315" spans="1:10" x14ac:dyDescent="0.25">
      <c r="A12315" s="7" t="s">
        <v>50267</v>
      </c>
      <c r="B12315" s="8">
        <v>393.75</v>
      </c>
      <c r="C12315" s="8">
        <v>20.478950000000001</v>
      </c>
      <c r="D12315" s="8">
        <v>74</v>
      </c>
      <c r="E12315" s="8">
        <v>0</v>
      </c>
      <c r="F12315" s="8">
        <v>0</v>
      </c>
      <c r="G12315" s="8">
        <v>3</v>
      </c>
      <c r="H12315" s="8" t="s">
        <v>50268</v>
      </c>
      <c r="I12315" s="8">
        <v>526.6875</v>
      </c>
      <c r="J12315" s="3">
        <f t="shared" si="192"/>
        <v>43749.386869560178</v>
      </c>
    </row>
    <row r="12316" spans="1:10" x14ac:dyDescent="0.25">
      <c r="A12316" s="5" t="s">
        <v>50269</v>
      </c>
      <c r="B12316" s="6">
        <v>393.75</v>
      </c>
      <c r="C12316" s="6">
        <v>20.478950000000001</v>
      </c>
      <c r="D12316" s="6">
        <v>74</v>
      </c>
      <c r="E12316" s="6">
        <v>0</v>
      </c>
      <c r="F12316" s="6">
        <v>0</v>
      </c>
      <c r="G12316" s="6">
        <v>8</v>
      </c>
      <c r="H12316" s="6" t="s">
        <v>50270</v>
      </c>
      <c r="I12316" s="6">
        <v>526.6875</v>
      </c>
      <c r="J12316" s="2">
        <f t="shared" si="192"/>
        <v>43749.386952766203</v>
      </c>
    </row>
    <row r="12317" spans="1:10" x14ac:dyDescent="0.25">
      <c r="A12317" s="7" t="s">
        <v>50271</v>
      </c>
      <c r="B12317" s="8">
        <v>412.5</v>
      </c>
      <c r="C12317" s="8">
        <v>20.478950000000001</v>
      </c>
      <c r="D12317" s="8">
        <v>74</v>
      </c>
      <c r="E12317" s="8">
        <v>0</v>
      </c>
      <c r="F12317" s="8">
        <v>0</v>
      </c>
      <c r="G12317" s="8">
        <v>6</v>
      </c>
      <c r="H12317" s="8" t="s">
        <v>50272</v>
      </c>
      <c r="I12317" s="8">
        <v>532.3125</v>
      </c>
      <c r="J12317" s="3">
        <f t="shared" si="192"/>
        <v>43749.38702440972</v>
      </c>
    </row>
    <row r="12318" spans="1:10" x14ac:dyDescent="0.25">
      <c r="A12318" s="5" t="s">
        <v>50273</v>
      </c>
      <c r="B12318" s="6">
        <v>393.75</v>
      </c>
      <c r="C12318" s="6">
        <v>20.478950000000001</v>
      </c>
      <c r="D12318" s="6">
        <v>74</v>
      </c>
      <c r="E12318" s="6">
        <v>0</v>
      </c>
      <c r="F12318" s="6">
        <v>0</v>
      </c>
      <c r="G12318" s="6">
        <v>2</v>
      </c>
      <c r="H12318" s="6" t="s">
        <v>50274</v>
      </c>
      <c r="I12318" s="6">
        <v>526.6875</v>
      </c>
      <c r="J12318" s="2">
        <f t="shared" si="192"/>
        <v>43749.387107997682</v>
      </c>
    </row>
    <row r="12319" spans="1:10" x14ac:dyDescent="0.25">
      <c r="A12319" s="7" t="s">
        <v>50275</v>
      </c>
      <c r="B12319" s="8">
        <v>393.75</v>
      </c>
      <c r="C12319" s="8">
        <v>20.478950000000001</v>
      </c>
      <c r="D12319" s="8">
        <v>73</v>
      </c>
      <c r="E12319" s="8">
        <v>0</v>
      </c>
      <c r="F12319" s="8">
        <v>0</v>
      </c>
      <c r="G12319" s="8">
        <v>12</v>
      </c>
      <c r="H12319" s="8" t="s">
        <v>50276</v>
      </c>
      <c r="I12319" s="8">
        <v>526.6875</v>
      </c>
      <c r="J12319" s="3">
        <f t="shared" si="192"/>
        <v>43749.387191562499</v>
      </c>
    </row>
    <row r="12320" spans="1:10" x14ac:dyDescent="0.25">
      <c r="A12320" s="5" t="s">
        <v>50277</v>
      </c>
      <c r="B12320" s="6">
        <v>393.75</v>
      </c>
      <c r="C12320" s="6">
        <v>20.478950000000001</v>
      </c>
      <c r="D12320" s="6">
        <v>74</v>
      </c>
      <c r="E12320" s="6">
        <v>0</v>
      </c>
      <c r="F12320" s="6">
        <v>0</v>
      </c>
      <c r="G12320" s="6">
        <v>2</v>
      </c>
      <c r="H12320" s="6" t="s">
        <v>50278</v>
      </c>
      <c r="I12320" s="6">
        <v>526.6875</v>
      </c>
      <c r="J12320" s="2">
        <f t="shared" si="192"/>
        <v>43749.387274999994</v>
      </c>
    </row>
    <row r="12321" spans="1:10" x14ac:dyDescent="0.25">
      <c r="A12321" s="7" t="s">
        <v>50279</v>
      </c>
      <c r="B12321" s="8">
        <v>393.75</v>
      </c>
      <c r="C12321" s="8">
        <v>20.478950000000001</v>
      </c>
      <c r="D12321" s="8">
        <v>74</v>
      </c>
      <c r="E12321" s="8">
        <v>0</v>
      </c>
      <c r="F12321" s="8">
        <v>0</v>
      </c>
      <c r="G12321" s="8">
        <v>3</v>
      </c>
      <c r="H12321" s="8" t="s">
        <v>50280</v>
      </c>
      <c r="I12321" s="8">
        <v>526.6875</v>
      </c>
      <c r="J12321" s="3">
        <f t="shared" si="192"/>
        <v>43749.387358437496</v>
      </c>
    </row>
    <row r="12322" spans="1:10" x14ac:dyDescent="0.25">
      <c r="A12322" s="5" t="s">
        <v>50281</v>
      </c>
      <c r="B12322" s="6">
        <v>412.5</v>
      </c>
      <c r="C12322" s="6">
        <v>20.478950000000001</v>
      </c>
      <c r="D12322" s="6">
        <v>74</v>
      </c>
      <c r="E12322" s="6">
        <v>0</v>
      </c>
      <c r="F12322" s="6">
        <v>0</v>
      </c>
      <c r="G12322" s="6">
        <v>6</v>
      </c>
      <c r="H12322" s="6" t="s">
        <v>50282</v>
      </c>
      <c r="I12322" s="6">
        <v>532.3125</v>
      </c>
      <c r="J12322" s="2">
        <f t="shared" si="192"/>
        <v>43749.387441666666</v>
      </c>
    </row>
    <row r="12323" spans="1:10" x14ac:dyDescent="0.25">
      <c r="A12323" s="7" t="s">
        <v>50283</v>
      </c>
      <c r="B12323" s="8">
        <v>393.75</v>
      </c>
      <c r="C12323" s="8">
        <v>20.478950000000001</v>
      </c>
      <c r="D12323" s="8">
        <v>74</v>
      </c>
      <c r="E12323" s="8">
        <v>0</v>
      </c>
      <c r="F12323" s="8">
        <v>0</v>
      </c>
      <c r="G12323" s="8">
        <v>8</v>
      </c>
      <c r="H12323" s="8" t="s">
        <v>50284</v>
      </c>
      <c r="I12323" s="8">
        <v>526.5</v>
      </c>
      <c r="J12323" s="3">
        <f t="shared" si="192"/>
        <v>43749.387525486112</v>
      </c>
    </row>
    <row r="12324" spans="1:10" x14ac:dyDescent="0.25">
      <c r="A12324" s="5" t="s">
        <v>50285</v>
      </c>
      <c r="B12324" s="6">
        <v>393.75</v>
      </c>
      <c r="C12324" s="6">
        <v>20.478950000000001</v>
      </c>
      <c r="D12324" s="6">
        <v>73</v>
      </c>
      <c r="E12324" s="6">
        <v>0</v>
      </c>
      <c r="F12324" s="6">
        <v>0</v>
      </c>
      <c r="G12324" s="6">
        <v>5</v>
      </c>
      <c r="H12324" s="6" t="s">
        <v>50286</v>
      </c>
      <c r="I12324" s="6">
        <v>526.5</v>
      </c>
      <c r="J12324" s="2">
        <f t="shared" si="192"/>
        <v>43749.387609155092</v>
      </c>
    </row>
    <row r="12325" spans="1:10" x14ac:dyDescent="0.25">
      <c r="A12325" s="7" t="s">
        <v>50287</v>
      </c>
      <c r="B12325" s="8">
        <v>393.75</v>
      </c>
      <c r="C12325" s="8">
        <v>20.426300000000001</v>
      </c>
      <c r="D12325" s="8">
        <v>72</v>
      </c>
      <c r="E12325" s="8">
        <v>0</v>
      </c>
      <c r="F12325" s="8">
        <v>0</v>
      </c>
      <c r="G12325" s="8">
        <v>2</v>
      </c>
      <c r="H12325" s="8" t="s">
        <v>50288</v>
      </c>
      <c r="I12325" s="8">
        <v>526.5</v>
      </c>
      <c r="J12325" s="3">
        <f t="shared" si="192"/>
        <v>43749.387680555556</v>
      </c>
    </row>
    <row r="12326" spans="1:10" x14ac:dyDescent="0.25">
      <c r="A12326" s="5" t="s">
        <v>50289</v>
      </c>
      <c r="B12326" s="6">
        <v>393.75</v>
      </c>
      <c r="C12326" s="6">
        <v>20.478950000000001</v>
      </c>
      <c r="D12326" s="6">
        <v>75</v>
      </c>
      <c r="E12326" s="6">
        <v>0</v>
      </c>
      <c r="F12326" s="6">
        <v>0</v>
      </c>
      <c r="G12326" s="6">
        <v>4</v>
      </c>
      <c r="H12326" s="6" t="s">
        <v>50290</v>
      </c>
      <c r="I12326" s="6">
        <v>526.6875</v>
      </c>
      <c r="J12326" s="2">
        <f t="shared" si="192"/>
        <v>43749.387763900457</v>
      </c>
    </row>
    <row r="12327" spans="1:10" x14ac:dyDescent="0.25">
      <c r="A12327" s="7" t="s">
        <v>50291</v>
      </c>
      <c r="B12327" s="8">
        <v>418.75</v>
      </c>
      <c r="C12327" s="8">
        <v>20.478950000000001</v>
      </c>
      <c r="D12327" s="8">
        <v>74</v>
      </c>
      <c r="E12327" s="8">
        <v>0</v>
      </c>
      <c r="F12327" s="8">
        <v>0</v>
      </c>
      <c r="G12327" s="8">
        <v>3</v>
      </c>
      <c r="H12327" s="8" t="s">
        <v>50292</v>
      </c>
      <c r="I12327" s="8">
        <v>534.375</v>
      </c>
      <c r="J12327" s="3">
        <f t="shared" si="192"/>
        <v>43749.387847465274</v>
      </c>
    </row>
    <row r="12328" spans="1:10" x14ac:dyDescent="0.25">
      <c r="A12328" s="5" t="s">
        <v>50293</v>
      </c>
      <c r="B12328" s="6">
        <v>393.75</v>
      </c>
      <c r="C12328" s="6">
        <v>20.478950000000001</v>
      </c>
      <c r="D12328" s="6">
        <v>75</v>
      </c>
      <c r="E12328" s="6">
        <v>0</v>
      </c>
      <c r="F12328" s="6">
        <v>0</v>
      </c>
      <c r="G12328" s="6">
        <v>4</v>
      </c>
      <c r="H12328" s="6" t="s">
        <v>50294</v>
      </c>
      <c r="I12328" s="6">
        <v>526.6875</v>
      </c>
      <c r="J12328" s="2">
        <f t="shared" si="192"/>
        <v>43749.387930671299</v>
      </c>
    </row>
    <row r="12329" spans="1:10" x14ac:dyDescent="0.25">
      <c r="A12329" s="7" t="s">
        <v>50295</v>
      </c>
      <c r="B12329" s="8">
        <v>393.75</v>
      </c>
      <c r="C12329" s="8">
        <v>20.478950000000001</v>
      </c>
      <c r="D12329" s="8">
        <v>75</v>
      </c>
      <c r="E12329" s="8">
        <v>0</v>
      </c>
      <c r="F12329" s="8">
        <v>0</v>
      </c>
      <c r="G12329" s="8">
        <v>8</v>
      </c>
      <c r="H12329" s="8" t="s">
        <v>50296</v>
      </c>
      <c r="I12329" s="8">
        <v>526.6875</v>
      </c>
      <c r="J12329" s="3">
        <f t="shared" si="192"/>
        <v>43749.38800219907</v>
      </c>
    </row>
    <row r="12330" spans="1:10" x14ac:dyDescent="0.25">
      <c r="A12330" s="5" t="s">
        <v>50297</v>
      </c>
      <c r="B12330" s="6">
        <v>393.75</v>
      </c>
      <c r="C12330" s="6">
        <v>20.478950000000001</v>
      </c>
      <c r="D12330" s="6">
        <v>76</v>
      </c>
      <c r="E12330" s="6">
        <v>0</v>
      </c>
      <c r="F12330" s="6">
        <v>0</v>
      </c>
      <c r="G12330" s="6">
        <v>6</v>
      </c>
      <c r="H12330" s="6" t="s">
        <v>50298</v>
      </c>
      <c r="I12330" s="6">
        <v>526.6875</v>
      </c>
      <c r="J12330" s="2">
        <f t="shared" si="192"/>
        <v>43749.388086122686</v>
      </c>
    </row>
    <row r="12331" spans="1:10" x14ac:dyDescent="0.25">
      <c r="A12331" s="7" t="s">
        <v>50299</v>
      </c>
      <c r="B12331" s="8">
        <v>393.75</v>
      </c>
      <c r="C12331" s="8">
        <v>20.478950000000001</v>
      </c>
      <c r="D12331" s="8">
        <v>75</v>
      </c>
      <c r="E12331" s="8">
        <v>0</v>
      </c>
      <c r="F12331" s="8">
        <v>0</v>
      </c>
      <c r="G12331" s="8">
        <v>10</v>
      </c>
      <c r="H12331" s="8" t="s">
        <v>50300</v>
      </c>
      <c r="I12331" s="8">
        <v>526.6875</v>
      </c>
      <c r="J12331" s="3">
        <f t="shared" si="192"/>
        <v>43749.388169432867</v>
      </c>
    </row>
    <row r="12332" spans="1:10" x14ac:dyDescent="0.25">
      <c r="A12332" s="5" t="s">
        <v>50301</v>
      </c>
      <c r="B12332" s="6">
        <v>418.75</v>
      </c>
      <c r="C12332" s="6">
        <v>20.478950000000001</v>
      </c>
      <c r="D12332" s="6">
        <v>75</v>
      </c>
      <c r="E12332" s="6">
        <v>0</v>
      </c>
      <c r="F12332" s="6">
        <v>0</v>
      </c>
      <c r="G12332" s="6">
        <v>11</v>
      </c>
      <c r="H12332" s="6" t="s">
        <v>50302</v>
      </c>
      <c r="I12332" s="6">
        <v>534.375</v>
      </c>
      <c r="J12332" s="2">
        <f t="shared" si="192"/>
        <v>43749.388252766199</v>
      </c>
    </row>
    <row r="12333" spans="1:10" x14ac:dyDescent="0.25">
      <c r="A12333" s="7" t="s">
        <v>50303</v>
      </c>
      <c r="B12333" s="8">
        <v>393.75</v>
      </c>
      <c r="C12333" s="8">
        <v>20.478950000000001</v>
      </c>
      <c r="D12333" s="8">
        <v>75</v>
      </c>
      <c r="E12333" s="8">
        <v>0</v>
      </c>
      <c r="F12333" s="8">
        <v>0</v>
      </c>
      <c r="G12333" s="8">
        <v>8</v>
      </c>
      <c r="H12333" s="8" t="s">
        <v>50304</v>
      </c>
      <c r="I12333" s="8">
        <v>526.6875</v>
      </c>
      <c r="J12333" s="3">
        <f t="shared" si="192"/>
        <v>43749.388337303237</v>
      </c>
    </row>
    <row r="12334" spans="1:10" x14ac:dyDescent="0.25">
      <c r="A12334" s="5" t="s">
        <v>50305</v>
      </c>
      <c r="B12334" s="6">
        <v>393.75</v>
      </c>
      <c r="C12334" s="6">
        <v>20.478950000000001</v>
      </c>
      <c r="D12334" s="6">
        <v>74</v>
      </c>
      <c r="E12334" s="6">
        <v>0</v>
      </c>
      <c r="F12334" s="6">
        <v>0</v>
      </c>
      <c r="G12334" s="6">
        <v>5</v>
      </c>
      <c r="H12334" s="6" t="s">
        <v>50306</v>
      </c>
      <c r="I12334" s="6">
        <v>526.6875</v>
      </c>
      <c r="J12334" s="2">
        <f t="shared" si="192"/>
        <v>43749.388419618052</v>
      </c>
    </row>
    <row r="12335" spans="1:10" x14ac:dyDescent="0.25">
      <c r="A12335" s="7" t="s">
        <v>50307</v>
      </c>
      <c r="B12335" s="8">
        <v>393.75</v>
      </c>
      <c r="C12335" s="8">
        <v>20.478950000000001</v>
      </c>
      <c r="D12335" s="8">
        <v>74</v>
      </c>
      <c r="E12335" s="8">
        <v>0</v>
      </c>
      <c r="F12335" s="8">
        <v>0</v>
      </c>
      <c r="G12335" s="8">
        <v>10</v>
      </c>
      <c r="H12335" s="8" t="s">
        <v>50308</v>
      </c>
      <c r="I12335" s="8">
        <v>526.6875</v>
      </c>
      <c r="J12335" s="3">
        <f t="shared" si="192"/>
        <v>43749.388491481477</v>
      </c>
    </row>
    <row r="12336" spans="1:10" x14ac:dyDescent="0.25">
      <c r="A12336" s="5" t="s">
        <v>50309</v>
      </c>
      <c r="B12336" s="6">
        <v>393.75</v>
      </c>
      <c r="C12336" s="6">
        <v>20.478950000000001</v>
      </c>
      <c r="D12336" s="6">
        <v>70</v>
      </c>
      <c r="E12336" s="6">
        <v>0</v>
      </c>
      <c r="F12336" s="6">
        <v>0</v>
      </c>
      <c r="G12336" s="6">
        <v>2</v>
      </c>
      <c r="H12336" s="6" t="s">
        <v>50310</v>
      </c>
      <c r="I12336" s="6">
        <v>526.6875</v>
      </c>
      <c r="J12336" s="2">
        <f t="shared" si="192"/>
        <v>43749.388575046294</v>
      </c>
    </row>
    <row r="12337" spans="1:10" x14ac:dyDescent="0.25">
      <c r="A12337" s="7" t="s">
        <v>50311</v>
      </c>
      <c r="B12337" s="8">
        <v>393.75</v>
      </c>
      <c r="C12337" s="8">
        <v>20.478950000000001</v>
      </c>
      <c r="D12337" s="8">
        <v>70</v>
      </c>
      <c r="E12337" s="8">
        <v>0</v>
      </c>
      <c r="F12337" s="8">
        <v>0</v>
      </c>
      <c r="G12337" s="8">
        <v>12</v>
      </c>
      <c r="H12337" s="8" t="s">
        <v>50312</v>
      </c>
      <c r="I12337" s="8">
        <v>526.6875</v>
      </c>
      <c r="J12337" s="3">
        <f t="shared" si="192"/>
        <v>43749.388658495365</v>
      </c>
    </row>
    <row r="12338" spans="1:10" x14ac:dyDescent="0.25">
      <c r="A12338" s="5" t="s">
        <v>50313</v>
      </c>
      <c r="B12338" s="6">
        <v>393.75</v>
      </c>
      <c r="C12338" s="6">
        <v>20.478950000000001</v>
      </c>
      <c r="D12338" s="6">
        <v>70</v>
      </c>
      <c r="E12338" s="6">
        <v>0</v>
      </c>
      <c r="F12338" s="6">
        <v>0</v>
      </c>
      <c r="G12338" s="6">
        <v>8</v>
      </c>
      <c r="H12338" s="6" t="s">
        <v>50314</v>
      </c>
      <c r="I12338" s="6">
        <v>526.6875</v>
      </c>
      <c r="J12338" s="2">
        <f t="shared" si="192"/>
        <v>43749.388741712959</v>
      </c>
    </row>
    <row r="12339" spans="1:10" x14ac:dyDescent="0.25">
      <c r="A12339" s="7" t="s">
        <v>50315</v>
      </c>
      <c r="B12339" s="8">
        <v>393.75</v>
      </c>
      <c r="C12339" s="8">
        <v>20.478950000000001</v>
      </c>
      <c r="D12339" s="8">
        <v>70</v>
      </c>
      <c r="E12339" s="8">
        <v>0</v>
      </c>
      <c r="F12339" s="8">
        <v>0</v>
      </c>
      <c r="G12339" s="8">
        <v>3</v>
      </c>
      <c r="H12339" s="8" t="s">
        <v>50316</v>
      </c>
      <c r="I12339" s="8">
        <v>526.5</v>
      </c>
      <c r="J12339" s="3">
        <f t="shared" si="192"/>
        <v>43749.38881355324</v>
      </c>
    </row>
    <row r="12340" spans="1:10" x14ac:dyDescent="0.25">
      <c r="A12340" s="5" t="s">
        <v>50317</v>
      </c>
      <c r="B12340" s="6">
        <v>412.5</v>
      </c>
      <c r="C12340" s="6">
        <v>20.478950000000001</v>
      </c>
      <c r="D12340" s="6">
        <v>69</v>
      </c>
      <c r="E12340" s="6">
        <v>0</v>
      </c>
      <c r="F12340" s="6">
        <v>0</v>
      </c>
      <c r="G12340" s="6">
        <v>8</v>
      </c>
      <c r="H12340" s="6" t="s">
        <v>50318</v>
      </c>
      <c r="I12340" s="6">
        <v>532.3125</v>
      </c>
      <c r="J12340" s="2">
        <f t="shared" si="192"/>
        <v>43749.388897025456</v>
      </c>
    </row>
    <row r="12341" spans="1:10" x14ac:dyDescent="0.25">
      <c r="A12341" s="7" t="s">
        <v>50319</v>
      </c>
      <c r="B12341" s="8">
        <v>393.75</v>
      </c>
      <c r="C12341" s="8">
        <v>20.478950000000001</v>
      </c>
      <c r="D12341" s="8">
        <v>70</v>
      </c>
      <c r="E12341" s="8">
        <v>0</v>
      </c>
      <c r="F12341" s="8">
        <v>0</v>
      </c>
      <c r="G12341" s="8">
        <v>1</v>
      </c>
      <c r="H12341" s="8" t="s">
        <v>50320</v>
      </c>
      <c r="I12341" s="8">
        <v>526.6875</v>
      </c>
      <c r="J12341" s="3">
        <f t="shared" si="192"/>
        <v>43749.38898059028</v>
      </c>
    </row>
    <row r="12342" spans="1:10" x14ac:dyDescent="0.25">
      <c r="A12342" s="5" t="s">
        <v>50321</v>
      </c>
      <c r="B12342" s="6">
        <v>393.75</v>
      </c>
      <c r="C12342" s="6">
        <v>20.478950000000001</v>
      </c>
      <c r="D12342" s="6">
        <v>67</v>
      </c>
      <c r="E12342" s="6">
        <v>0</v>
      </c>
      <c r="F12342" s="6">
        <v>0</v>
      </c>
      <c r="G12342" s="6">
        <v>9</v>
      </c>
      <c r="H12342" s="6" t="s">
        <v>50322</v>
      </c>
      <c r="I12342" s="6">
        <v>526.6875</v>
      </c>
      <c r="J12342" s="2">
        <f t="shared" si="192"/>
        <v>43749.389075416664</v>
      </c>
    </row>
    <row r="12343" spans="1:10" x14ac:dyDescent="0.25">
      <c r="A12343" s="7" t="s">
        <v>50323</v>
      </c>
      <c r="B12343" s="8">
        <v>393.75</v>
      </c>
      <c r="C12343" s="8">
        <v>20.478950000000001</v>
      </c>
      <c r="D12343" s="8">
        <v>66</v>
      </c>
      <c r="E12343" s="8">
        <v>0</v>
      </c>
      <c r="F12343" s="8">
        <v>0</v>
      </c>
      <c r="G12343" s="8">
        <v>9</v>
      </c>
      <c r="H12343" s="8" t="s">
        <v>50324</v>
      </c>
      <c r="I12343" s="8">
        <v>526.6875</v>
      </c>
      <c r="J12343" s="3">
        <f t="shared" si="192"/>
        <v>43749.389147476853</v>
      </c>
    </row>
    <row r="12344" spans="1:10" x14ac:dyDescent="0.25">
      <c r="A12344" s="5" t="s">
        <v>50325</v>
      </c>
      <c r="B12344" s="6">
        <v>393.75</v>
      </c>
      <c r="C12344" s="6">
        <v>20.478950000000001</v>
      </c>
      <c r="D12344" s="6">
        <v>68</v>
      </c>
      <c r="E12344" s="6">
        <v>0</v>
      </c>
      <c r="F12344" s="6">
        <v>0</v>
      </c>
      <c r="G12344" s="6">
        <v>7</v>
      </c>
      <c r="H12344" s="6" t="s">
        <v>50326</v>
      </c>
      <c r="I12344" s="6">
        <v>526.6875</v>
      </c>
      <c r="J12344" s="2">
        <f t="shared" si="192"/>
        <v>43749.389230590277</v>
      </c>
    </row>
    <row r="12345" spans="1:10" x14ac:dyDescent="0.25">
      <c r="A12345" s="7" t="s">
        <v>50327</v>
      </c>
      <c r="B12345" s="8">
        <v>393.75</v>
      </c>
      <c r="C12345" s="8">
        <v>20.478950000000001</v>
      </c>
      <c r="D12345" s="8">
        <v>69</v>
      </c>
      <c r="E12345" s="8">
        <v>0</v>
      </c>
      <c r="F12345" s="8">
        <v>0</v>
      </c>
      <c r="G12345" s="8">
        <v>7</v>
      </c>
      <c r="H12345" s="8" t="s">
        <v>50328</v>
      </c>
      <c r="I12345" s="8">
        <v>526.6875</v>
      </c>
      <c r="J12345" s="3">
        <f t="shared" si="192"/>
        <v>43749.389314374996</v>
      </c>
    </row>
    <row r="12346" spans="1:10" x14ac:dyDescent="0.25">
      <c r="A12346" s="5" t="s">
        <v>50329</v>
      </c>
      <c r="B12346" s="6">
        <v>393.75</v>
      </c>
      <c r="C12346" s="6">
        <v>20.478950000000001</v>
      </c>
      <c r="D12346" s="6">
        <v>70</v>
      </c>
      <c r="E12346" s="6">
        <v>0</v>
      </c>
      <c r="F12346" s="6">
        <v>0</v>
      </c>
      <c r="G12346" s="6">
        <v>2</v>
      </c>
      <c r="H12346" s="6" t="s">
        <v>50330</v>
      </c>
      <c r="I12346" s="6">
        <v>526.6875</v>
      </c>
      <c r="J12346" s="2">
        <f t="shared" si="192"/>
        <v>43749.389398055551</v>
      </c>
    </row>
    <row r="12347" spans="1:10" x14ac:dyDescent="0.25">
      <c r="A12347" s="7" t="s">
        <v>50331</v>
      </c>
      <c r="B12347" s="8">
        <v>412.5</v>
      </c>
      <c r="C12347" s="8">
        <v>20.478950000000001</v>
      </c>
      <c r="D12347" s="8">
        <v>70</v>
      </c>
      <c r="E12347" s="8">
        <v>0</v>
      </c>
      <c r="F12347" s="8">
        <v>0</v>
      </c>
      <c r="G12347" s="8">
        <v>1</v>
      </c>
      <c r="H12347" s="8" t="s">
        <v>50332</v>
      </c>
      <c r="I12347" s="8">
        <v>532.3125</v>
      </c>
      <c r="J12347" s="3">
        <f t="shared" si="192"/>
        <v>43749.38946947916</v>
      </c>
    </row>
    <row r="12348" spans="1:10" x14ac:dyDescent="0.25">
      <c r="A12348" s="5" t="s">
        <v>50333</v>
      </c>
      <c r="B12348" s="6">
        <v>393.75</v>
      </c>
      <c r="C12348" s="6">
        <v>20.478950000000001</v>
      </c>
      <c r="D12348" s="6">
        <v>70</v>
      </c>
      <c r="E12348" s="6">
        <v>0</v>
      </c>
      <c r="F12348" s="6">
        <v>0</v>
      </c>
      <c r="G12348" s="6">
        <v>8</v>
      </c>
      <c r="H12348" s="6" t="s">
        <v>50334</v>
      </c>
      <c r="I12348" s="6">
        <v>526.6875</v>
      </c>
      <c r="J12348" s="2">
        <f t="shared" si="192"/>
        <v>43749.389552812492</v>
      </c>
    </row>
    <row r="12349" spans="1:10" x14ac:dyDescent="0.25">
      <c r="A12349" s="7" t="s">
        <v>50335</v>
      </c>
      <c r="B12349" s="8">
        <v>393.75</v>
      </c>
      <c r="C12349" s="8">
        <v>20.478950000000001</v>
      </c>
      <c r="D12349" s="8">
        <v>70</v>
      </c>
      <c r="E12349" s="8">
        <v>0</v>
      </c>
      <c r="F12349" s="8">
        <v>0</v>
      </c>
      <c r="G12349" s="8">
        <v>6</v>
      </c>
      <c r="H12349" s="8" t="s">
        <v>50336</v>
      </c>
      <c r="I12349" s="8">
        <v>526.6875</v>
      </c>
      <c r="J12349" s="3">
        <f t="shared" si="192"/>
        <v>43749.389624456016</v>
      </c>
    </row>
    <row r="12350" spans="1:10" x14ac:dyDescent="0.25">
      <c r="A12350" s="5" t="s">
        <v>50337</v>
      </c>
      <c r="B12350" s="6">
        <v>415.625</v>
      </c>
      <c r="C12350" s="6">
        <v>20.478950000000001</v>
      </c>
      <c r="D12350" s="6">
        <v>71</v>
      </c>
      <c r="E12350" s="6">
        <v>0</v>
      </c>
      <c r="F12350" s="6">
        <v>0</v>
      </c>
      <c r="G12350" s="6">
        <v>7</v>
      </c>
      <c r="H12350" s="6" t="s">
        <v>50338</v>
      </c>
      <c r="I12350" s="6">
        <v>533.4375</v>
      </c>
      <c r="J12350" s="2">
        <f t="shared" si="192"/>
        <v>43749.389707905088</v>
      </c>
    </row>
    <row r="12351" spans="1:10" x14ac:dyDescent="0.25">
      <c r="A12351" s="7" t="s">
        <v>50339</v>
      </c>
      <c r="B12351" s="8">
        <v>393.75</v>
      </c>
      <c r="C12351" s="8">
        <v>20.478950000000001</v>
      </c>
      <c r="D12351" s="8">
        <v>72</v>
      </c>
      <c r="E12351" s="8">
        <v>0</v>
      </c>
      <c r="F12351" s="8">
        <v>0</v>
      </c>
      <c r="G12351" s="8">
        <v>11</v>
      </c>
      <c r="H12351" s="8" t="s">
        <v>50340</v>
      </c>
      <c r="I12351" s="8">
        <v>526.6875</v>
      </c>
      <c r="J12351" s="3">
        <f t="shared" si="192"/>
        <v>43749.389791481481</v>
      </c>
    </row>
    <row r="12352" spans="1:10" x14ac:dyDescent="0.25">
      <c r="A12352" s="5" t="s">
        <v>50341</v>
      </c>
      <c r="B12352" s="6">
        <v>393.75</v>
      </c>
      <c r="C12352" s="6">
        <v>20.478950000000001</v>
      </c>
      <c r="D12352" s="6">
        <v>72</v>
      </c>
      <c r="E12352" s="6">
        <v>0</v>
      </c>
      <c r="F12352" s="6">
        <v>0</v>
      </c>
      <c r="G12352" s="6">
        <v>13</v>
      </c>
      <c r="H12352" s="6" t="s">
        <v>50342</v>
      </c>
      <c r="I12352" s="6">
        <v>526.6875</v>
      </c>
      <c r="J12352" s="2">
        <f t="shared" si="192"/>
        <v>43749.38987504629</v>
      </c>
    </row>
    <row r="12353" spans="1:10" x14ac:dyDescent="0.25">
      <c r="A12353" s="7" t="s">
        <v>50343</v>
      </c>
      <c r="B12353" s="8">
        <v>393.75</v>
      </c>
      <c r="C12353" s="8">
        <v>20.478950000000001</v>
      </c>
      <c r="D12353" s="8">
        <v>71</v>
      </c>
      <c r="E12353" s="8">
        <v>0</v>
      </c>
      <c r="F12353" s="8">
        <v>0</v>
      </c>
      <c r="G12353" s="8">
        <v>2</v>
      </c>
      <c r="H12353" s="8" t="s">
        <v>50344</v>
      </c>
      <c r="I12353" s="8">
        <v>526.6875</v>
      </c>
      <c r="J12353" s="3">
        <f t="shared" si="192"/>
        <v>43749.389958356478</v>
      </c>
    </row>
    <row r="12354" spans="1:10" x14ac:dyDescent="0.25">
      <c r="A12354" s="5" t="s">
        <v>50345</v>
      </c>
      <c r="B12354" s="6">
        <v>393.75</v>
      </c>
      <c r="C12354" s="6">
        <v>20.478950000000001</v>
      </c>
      <c r="D12354" s="6">
        <v>71</v>
      </c>
      <c r="E12354" s="6">
        <v>0</v>
      </c>
      <c r="F12354" s="6">
        <v>0</v>
      </c>
      <c r="G12354" s="6">
        <v>12</v>
      </c>
      <c r="H12354" s="6" t="s">
        <v>50346</v>
      </c>
      <c r="I12354" s="6">
        <v>526.6875</v>
      </c>
      <c r="J12354" s="2">
        <f t="shared" ref="J12354:J12417" si="193">(H12354/86400000)+25569+(7/24)</f>
        <v>43749.390041689818</v>
      </c>
    </row>
    <row r="12355" spans="1:10" x14ac:dyDescent="0.25">
      <c r="A12355" s="7" t="s">
        <v>50347</v>
      </c>
      <c r="B12355" s="8">
        <v>393.75</v>
      </c>
      <c r="C12355" s="8">
        <v>20.478950000000001</v>
      </c>
      <c r="D12355" s="8">
        <v>71</v>
      </c>
      <c r="E12355" s="8">
        <v>0</v>
      </c>
      <c r="F12355" s="8">
        <v>0</v>
      </c>
      <c r="G12355" s="8">
        <v>9</v>
      </c>
      <c r="H12355" s="8" t="s">
        <v>50348</v>
      </c>
      <c r="I12355" s="8">
        <v>526.6875</v>
      </c>
      <c r="J12355" s="3">
        <f t="shared" si="193"/>
        <v>43749.39011335648</v>
      </c>
    </row>
    <row r="12356" spans="1:10" x14ac:dyDescent="0.25">
      <c r="A12356" s="5" t="s">
        <v>50349</v>
      </c>
      <c r="B12356" s="6">
        <v>393.75</v>
      </c>
      <c r="C12356" s="6">
        <v>20.478950000000001</v>
      </c>
      <c r="D12356" s="6">
        <v>72</v>
      </c>
      <c r="E12356" s="6">
        <v>0</v>
      </c>
      <c r="F12356" s="6">
        <v>0</v>
      </c>
      <c r="G12356" s="6">
        <v>12</v>
      </c>
      <c r="H12356" s="6" t="s">
        <v>50350</v>
      </c>
      <c r="I12356" s="6">
        <v>526.6875</v>
      </c>
      <c r="J12356" s="2">
        <f t="shared" si="193"/>
        <v>43749.390196921297</v>
      </c>
    </row>
    <row r="12357" spans="1:10" x14ac:dyDescent="0.25">
      <c r="A12357" s="7" t="s">
        <v>50351</v>
      </c>
      <c r="B12357" s="8">
        <v>393.75</v>
      </c>
      <c r="C12357" s="8">
        <v>20.478950000000001</v>
      </c>
      <c r="D12357" s="8">
        <v>73</v>
      </c>
      <c r="E12357" s="8">
        <v>0</v>
      </c>
      <c r="F12357" s="8">
        <v>0</v>
      </c>
      <c r="G12357" s="8">
        <v>7</v>
      </c>
      <c r="H12357" s="8" t="s">
        <v>50352</v>
      </c>
      <c r="I12357" s="8">
        <v>526.6875</v>
      </c>
      <c r="J12357" s="3">
        <f t="shared" si="193"/>
        <v>43749.390280486106</v>
      </c>
    </row>
    <row r="12358" spans="1:10" x14ac:dyDescent="0.25">
      <c r="A12358" s="5" t="s">
        <v>50353</v>
      </c>
      <c r="B12358" s="6">
        <v>393.75</v>
      </c>
      <c r="C12358" s="6">
        <v>20.478950000000001</v>
      </c>
      <c r="D12358" s="6">
        <v>73</v>
      </c>
      <c r="E12358" s="6">
        <v>0</v>
      </c>
      <c r="F12358" s="6">
        <v>0</v>
      </c>
      <c r="G12358" s="6">
        <v>14</v>
      </c>
      <c r="H12358" s="6" t="s">
        <v>50354</v>
      </c>
      <c r="I12358" s="6">
        <v>526.6875</v>
      </c>
      <c r="J12358" s="2">
        <f t="shared" si="193"/>
        <v>43749.390364039347</v>
      </c>
    </row>
    <row r="12359" spans="1:10" x14ac:dyDescent="0.25">
      <c r="A12359" s="7" t="s">
        <v>50355</v>
      </c>
      <c r="B12359" s="8">
        <v>393.75</v>
      </c>
      <c r="C12359" s="8">
        <v>20.478950000000001</v>
      </c>
      <c r="D12359" s="8">
        <v>73</v>
      </c>
      <c r="E12359" s="8">
        <v>0</v>
      </c>
      <c r="F12359" s="8">
        <v>0</v>
      </c>
      <c r="G12359" s="8">
        <v>3</v>
      </c>
      <c r="H12359" s="8" t="s">
        <v>50356</v>
      </c>
      <c r="I12359" s="8">
        <v>526.6875</v>
      </c>
      <c r="J12359" s="3">
        <f t="shared" si="193"/>
        <v>43749.39044737268</v>
      </c>
    </row>
    <row r="12360" spans="1:10" x14ac:dyDescent="0.25">
      <c r="A12360" s="5" t="s">
        <v>50357</v>
      </c>
      <c r="B12360" s="6">
        <v>393.75</v>
      </c>
      <c r="C12360" s="6">
        <v>20.478950000000001</v>
      </c>
      <c r="D12360" s="6">
        <v>73</v>
      </c>
      <c r="E12360" s="6">
        <v>0</v>
      </c>
      <c r="F12360" s="6">
        <v>0</v>
      </c>
      <c r="G12360" s="6">
        <v>9</v>
      </c>
      <c r="H12360" s="6" t="s">
        <v>50358</v>
      </c>
      <c r="I12360" s="6">
        <v>526.6875</v>
      </c>
      <c r="J12360" s="2">
        <f t="shared" si="193"/>
        <v>43749.390530613418</v>
      </c>
    </row>
    <row r="12361" spans="1:10" x14ac:dyDescent="0.25">
      <c r="A12361" s="7" t="s">
        <v>50359</v>
      </c>
      <c r="B12361" s="8">
        <v>393.75</v>
      </c>
      <c r="C12361" s="8">
        <v>20.426300000000001</v>
      </c>
      <c r="D12361" s="8">
        <v>73</v>
      </c>
      <c r="E12361" s="8">
        <v>0</v>
      </c>
      <c r="F12361" s="8">
        <v>0</v>
      </c>
      <c r="G12361" s="8">
        <v>7</v>
      </c>
      <c r="H12361" s="8" t="s">
        <v>50360</v>
      </c>
      <c r="I12361" s="8">
        <v>526.6875</v>
      </c>
      <c r="J12361" s="3">
        <f t="shared" si="193"/>
        <v>43749.390602268519</v>
      </c>
    </row>
    <row r="12362" spans="1:10" x14ac:dyDescent="0.25">
      <c r="A12362" s="5" t="s">
        <v>50361</v>
      </c>
      <c r="B12362" s="6">
        <v>393.75</v>
      </c>
      <c r="C12362" s="6">
        <v>20.478950000000001</v>
      </c>
      <c r="D12362" s="6">
        <v>74</v>
      </c>
      <c r="E12362" s="6">
        <v>0</v>
      </c>
      <c r="F12362" s="6">
        <v>0</v>
      </c>
      <c r="G12362" s="6">
        <v>8</v>
      </c>
      <c r="H12362" s="6" t="s">
        <v>50362</v>
      </c>
      <c r="I12362" s="6">
        <v>526.6875</v>
      </c>
      <c r="J12362" s="2">
        <f t="shared" si="193"/>
        <v>43749.390686168983</v>
      </c>
    </row>
    <row r="12363" spans="1:10" x14ac:dyDescent="0.25">
      <c r="A12363" s="7" t="s">
        <v>50363</v>
      </c>
      <c r="B12363" s="8">
        <v>393.75</v>
      </c>
      <c r="C12363" s="8">
        <v>20.478950000000001</v>
      </c>
      <c r="D12363" s="8">
        <v>76</v>
      </c>
      <c r="E12363" s="8">
        <v>0</v>
      </c>
      <c r="F12363" s="8">
        <v>0</v>
      </c>
      <c r="G12363" s="8">
        <v>9</v>
      </c>
      <c r="H12363" s="8" t="s">
        <v>50364</v>
      </c>
      <c r="I12363" s="8">
        <v>526.6875</v>
      </c>
      <c r="J12363" s="3">
        <f t="shared" si="193"/>
        <v>43749.390769375001</v>
      </c>
    </row>
    <row r="12364" spans="1:10" x14ac:dyDescent="0.25">
      <c r="A12364" s="5" t="s">
        <v>50365</v>
      </c>
      <c r="B12364" s="6">
        <v>393.75</v>
      </c>
      <c r="C12364" s="6">
        <v>20.478950000000001</v>
      </c>
      <c r="D12364" s="6">
        <v>73</v>
      </c>
      <c r="E12364" s="6">
        <v>0</v>
      </c>
      <c r="F12364" s="6">
        <v>0</v>
      </c>
      <c r="G12364" s="6">
        <v>3</v>
      </c>
      <c r="H12364" s="6" t="s">
        <v>50366</v>
      </c>
      <c r="I12364" s="6">
        <v>526.6875</v>
      </c>
      <c r="J12364" s="2">
        <f t="shared" si="193"/>
        <v>43749.390852835648</v>
      </c>
    </row>
    <row r="12365" spans="1:10" x14ac:dyDescent="0.25">
      <c r="A12365" s="7" t="s">
        <v>50367</v>
      </c>
      <c r="B12365" s="8">
        <v>393.75</v>
      </c>
      <c r="C12365" s="8">
        <v>20.478950000000001</v>
      </c>
      <c r="D12365" s="8">
        <v>73</v>
      </c>
      <c r="E12365" s="8">
        <v>0</v>
      </c>
      <c r="F12365" s="8">
        <v>0</v>
      </c>
      <c r="G12365" s="8">
        <v>5</v>
      </c>
      <c r="H12365" s="8" t="s">
        <v>50368</v>
      </c>
      <c r="I12365" s="8">
        <v>526.6875</v>
      </c>
      <c r="J12365" s="3">
        <f t="shared" si="193"/>
        <v>43749.390924444444</v>
      </c>
    </row>
    <row r="12366" spans="1:10" x14ac:dyDescent="0.25">
      <c r="A12366" s="5" t="s">
        <v>50369</v>
      </c>
      <c r="B12366" s="6">
        <v>393.75</v>
      </c>
      <c r="C12366" s="6">
        <v>20.478950000000001</v>
      </c>
      <c r="D12366" s="6">
        <v>72</v>
      </c>
      <c r="E12366" s="6">
        <v>0</v>
      </c>
      <c r="F12366" s="6">
        <v>0</v>
      </c>
      <c r="G12366" s="6">
        <v>5</v>
      </c>
      <c r="H12366" s="6" t="s">
        <v>50370</v>
      </c>
      <c r="I12366" s="6">
        <v>526.6875</v>
      </c>
      <c r="J12366" s="2">
        <f t="shared" si="193"/>
        <v>43749.391008032406</v>
      </c>
    </row>
    <row r="12367" spans="1:10" x14ac:dyDescent="0.25">
      <c r="A12367" s="7" t="s">
        <v>50371</v>
      </c>
      <c r="B12367" s="8">
        <v>412.5</v>
      </c>
      <c r="C12367" s="8">
        <v>20.478950000000001</v>
      </c>
      <c r="D12367" s="8">
        <v>72</v>
      </c>
      <c r="E12367" s="8">
        <v>0</v>
      </c>
      <c r="F12367" s="8">
        <v>0</v>
      </c>
      <c r="G12367" s="8">
        <v>6</v>
      </c>
      <c r="H12367" s="8" t="s">
        <v>50372</v>
      </c>
      <c r="I12367" s="8">
        <v>532.6875</v>
      </c>
      <c r="J12367" s="3">
        <f t="shared" si="193"/>
        <v>43749.39110335648</v>
      </c>
    </row>
    <row r="12368" spans="1:10" x14ac:dyDescent="0.25">
      <c r="A12368" s="5" t="s">
        <v>50373</v>
      </c>
      <c r="B12368" s="6">
        <v>393.75</v>
      </c>
      <c r="C12368" s="6">
        <v>20.478950000000001</v>
      </c>
      <c r="D12368" s="6">
        <v>72</v>
      </c>
      <c r="E12368" s="6">
        <v>0</v>
      </c>
      <c r="F12368" s="6">
        <v>0</v>
      </c>
      <c r="G12368" s="6">
        <v>5</v>
      </c>
      <c r="H12368" s="6" t="s">
        <v>50374</v>
      </c>
      <c r="I12368" s="6">
        <v>526.6875</v>
      </c>
      <c r="J12368" s="2">
        <f t="shared" si="193"/>
        <v>43749.391186921297</v>
      </c>
    </row>
    <row r="12369" spans="1:10" x14ac:dyDescent="0.25">
      <c r="A12369" s="7" t="s">
        <v>50375</v>
      </c>
      <c r="B12369" s="8">
        <v>393.75</v>
      </c>
      <c r="C12369" s="8">
        <v>20.478950000000001</v>
      </c>
      <c r="D12369" s="8">
        <v>72</v>
      </c>
      <c r="E12369" s="8">
        <v>0</v>
      </c>
      <c r="F12369" s="8">
        <v>0</v>
      </c>
      <c r="G12369" s="8">
        <v>1</v>
      </c>
      <c r="H12369" s="8" t="s">
        <v>50376</v>
      </c>
      <c r="I12369" s="8">
        <v>526.6875</v>
      </c>
      <c r="J12369" s="3">
        <f t="shared" si="193"/>
        <v>43749.391258356474</v>
      </c>
    </row>
    <row r="12370" spans="1:10" x14ac:dyDescent="0.25">
      <c r="A12370" s="5" t="s">
        <v>50377</v>
      </c>
      <c r="B12370" s="6">
        <v>412.5</v>
      </c>
      <c r="C12370" s="6">
        <v>20.478950000000001</v>
      </c>
      <c r="D12370" s="6">
        <v>72</v>
      </c>
      <c r="E12370" s="6">
        <v>0</v>
      </c>
      <c r="F12370" s="6">
        <v>0</v>
      </c>
      <c r="G12370" s="6">
        <v>4</v>
      </c>
      <c r="H12370" s="6" t="s">
        <v>50378</v>
      </c>
      <c r="I12370" s="6">
        <v>532.3125</v>
      </c>
      <c r="J12370" s="2">
        <f t="shared" si="193"/>
        <v>43749.391341678238</v>
      </c>
    </row>
    <row r="12371" spans="1:10" x14ac:dyDescent="0.25">
      <c r="A12371" s="7" t="s">
        <v>50379</v>
      </c>
      <c r="B12371" s="8">
        <v>393.75</v>
      </c>
      <c r="C12371" s="8">
        <v>20.478950000000001</v>
      </c>
      <c r="D12371" s="8">
        <v>72</v>
      </c>
      <c r="E12371" s="8">
        <v>0</v>
      </c>
      <c r="F12371" s="8">
        <v>0</v>
      </c>
      <c r="G12371" s="8">
        <v>0</v>
      </c>
      <c r="H12371" s="8" t="s">
        <v>50380</v>
      </c>
      <c r="I12371" s="8">
        <v>526.6875</v>
      </c>
      <c r="J12371" s="3">
        <f t="shared" si="193"/>
        <v>43749.391413425925</v>
      </c>
    </row>
    <row r="12372" spans="1:10" x14ac:dyDescent="0.25">
      <c r="A12372" s="5" t="s">
        <v>50381</v>
      </c>
      <c r="B12372" s="6">
        <v>393.75</v>
      </c>
      <c r="C12372" s="6">
        <v>20.478950000000001</v>
      </c>
      <c r="D12372" s="6">
        <v>72</v>
      </c>
      <c r="E12372" s="6">
        <v>0</v>
      </c>
      <c r="F12372" s="6">
        <v>0</v>
      </c>
      <c r="G12372" s="6">
        <v>4</v>
      </c>
      <c r="H12372" s="6" t="s">
        <v>50382</v>
      </c>
      <c r="I12372" s="6">
        <v>526.6875</v>
      </c>
      <c r="J12372" s="2">
        <f t="shared" si="193"/>
        <v>43749.391496863427</v>
      </c>
    </row>
    <row r="12373" spans="1:10" x14ac:dyDescent="0.25">
      <c r="A12373" s="7" t="s">
        <v>50383</v>
      </c>
      <c r="B12373" s="8">
        <v>393.75</v>
      </c>
      <c r="C12373" s="8">
        <v>20.478950000000001</v>
      </c>
      <c r="D12373" s="8">
        <v>73</v>
      </c>
      <c r="E12373" s="8">
        <v>0</v>
      </c>
      <c r="F12373" s="8">
        <v>0</v>
      </c>
      <c r="G12373" s="8">
        <v>7</v>
      </c>
      <c r="H12373" s="8" t="s">
        <v>50384</v>
      </c>
      <c r="I12373" s="8">
        <v>526.6875</v>
      </c>
      <c r="J12373" s="3">
        <f t="shared" si="193"/>
        <v>43749.391580439813</v>
      </c>
    </row>
    <row r="12374" spans="1:10" x14ac:dyDescent="0.25">
      <c r="A12374" s="5" t="s">
        <v>50385</v>
      </c>
      <c r="B12374" s="6">
        <v>393.75</v>
      </c>
      <c r="C12374" s="6">
        <v>20.478950000000001</v>
      </c>
      <c r="D12374" s="6">
        <v>73</v>
      </c>
      <c r="E12374" s="6">
        <v>0</v>
      </c>
      <c r="F12374" s="6">
        <v>0</v>
      </c>
      <c r="G12374" s="6">
        <v>3</v>
      </c>
      <c r="H12374" s="6" t="s">
        <v>50386</v>
      </c>
      <c r="I12374" s="6">
        <v>526.6875</v>
      </c>
      <c r="J12374" s="2">
        <f t="shared" si="193"/>
        <v>43749.391663877315</v>
      </c>
    </row>
    <row r="12375" spans="1:10" x14ac:dyDescent="0.25">
      <c r="A12375" s="7" t="s">
        <v>50387</v>
      </c>
      <c r="B12375" s="8">
        <v>412.5</v>
      </c>
      <c r="C12375" s="8">
        <v>20.478950000000001</v>
      </c>
      <c r="D12375" s="8">
        <v>73</v>
      </c>
      <c r="E12375" s="8">
        <v>0</v>
      </c>
      <c r="F12375" s="8">
        <v>0</v>
      </c>
      <c r="G12375" s="8">
        <v>5</v>
      </c>
      <c r="H12375" s="8" t="s">
        <v>50388</v>
      </c>
      <c r="I12375" s="8">
        <v>532.3125</v>
      </c>
      <c r="J12375" s="3">
        <f t="shared" si="193"/>
        <v>43749.391747465277</v>
      </c>
    </row>
    <row r="12376" spans="1:10" x14ac:dyDescent="0.25">
      <c r="A12376" s="5" t="s">
        <v>50389</v>
      </c>
      <c r="B12376" s="6">
        <v>393.75</v>
      </c>
      <c r="C12376" s="6">
        <v>20.478950000000001</v>
      </c>
      <c r="D12376" s="6">
        <v>73</v>
      </c>
      <c r="E12376" s="6">
        <v>0</v>
      </c>
      <c r="F12376" s="6">
        <v>0</v>
      </c>
      <c r="G12376" s="6">
        <v>0</v>
      </c>
      <c r="H12376" s="6" t="s">
        <v>50390</v>
      </c>
      <c r="I12376" s="6">
        <v>526.6875</v>
      </c>
      <c r="J12376" s="2">
        <f t="shared" si="193"/>
        <v>43749.391830567132</v>
      </c>
    </row>
    <row r="12377" spans="1:10" x14ac:dyDescent="0.25">
      <c r="A12377" s="7" t="s">
        <v>50391</v>
      </c>
      <c r="B12377" s="8">
        <v>393.75</v>
      </c>
      <c r="C12377" s="8">
        <v>20.478950000000001</v>
      </c>
      <c r="D12377" s="8">
        <v>73</v>
      </c>
      <c r="E12377" s="8">
        <v>0</v>
      </c>
      <c r="F12377" s="8">
        <v>0</v>
      </c>
      <c r="G12377" s="8">
        <v>8</v>
      </c>
      <c r="H12377" s="8" t="s">
        <v>50392</v>
      </c>
      <c r="I12377" s="8">
        <v>526.6875</v>
      </c>
      <c r="J12377" s="3">
        <f t="shared" si="193"/>
        <v>43749.391902199073</v>
      </c>
    </row>
    <row r="12378" spans="1:10" x14ac:dyDescent="0.25">
      <c r="A12378" s="5" t="s">
        <v>50393</v>
      </c>
      <c r="B12378" s="6">
        <v>393.75</v>
      </c>
      <c r="C12378" s="6">
        <v>20.478950000000001</v>
      </c>
      <c r="D12378" s="6">
        <v>73</v>
      </c>
      <c r="E12378" s="6">
        <v>0</v>
      </c>
      <c r="F12378" s="6">
        <v>0</v>
      </c>
      <c r="G12378" s="6">
        <v>1</v>
      </c>
      <c r="H12378" s="6" t="s">
        <v>50394</v>
      </c>
      <c r="I12378" s="6">
        <v>526.6875</v>
      </c>
      <c r="J12378" s="2">
        <f t="shared" si="193"/>
        <v>43749.391986122682</v>
      </c>
    </row>
    <row r="12379" spans="1:10" x14ac:dyDescent="0.25">
      <c r="A12379" s="7" t="s">
        <v>50395</v>
      </c>
      <c r="B12379" s="8">
        <v>393.75</v>
      </c>
      <c r="C12379" s="8">
        <v>20.478950000000001</v>
      </c>
      <c r="D12379" s="8">
        <v>74</v>
      </c>
      <c r="E12379" s="8">
        <v>0</v>
      </c>
      <c r="F12379" s="8">
        <v>0</v>
      </c>
      <c r="G12379" s="8">
        <v>6</v>
      </c>
      <c r="H12379" s="8" t="s">
        <v>50396</v>
      </c>
      <c r="I12379" s="8">
        <v>526.6875</v>
      </c>
      <c r="J12379" s="3">
        <f t="shared" si="193"/>
        <v>43749.392069340276</v>
      </c>
    </row>
    <row r="12380" spans="1:10" x14ac:dyDescent="0.25">
      <c r="A12380" s="5" t="s">
        <v>50397</v>
      </c>
      <c r="B12380" s="6">
        <v>393.75</v>
      </c>
      <c r="C12380" s="6">
        <v>20.478950000000001</v>
      </c>
      <c r="D12380" s="6">
        <v>74</v>
      </c>
      <c r="E12380" s="6">
        <v>0</v>
      </c>
      <c r="F12380" s="6">
        <v>0</v>
      </c>
      <c r="G12380" s="6">
        <v>4</v>
      </c>
      <c r="H12380" s="6" t="s">
        <v>50398</v>
      </c>
      <c r="I12380" s="6">
        <v>526.6875</v>
      </c>
      <c r="J12380" s="2">
        <f t="shared" si="193"/>
        <v>43749.392164814817</v>
      </c>
    </row>
    <row r="12381" spans="1:10" x14ac:dyDescent="0.25">
      <c r="A12381" s="7" t="s">
        <v>50399</v>
      </c>
      <c r="B12381" s="8">
        <v>393.75</v>
      </c>
      <c r="C12381" s="8">
        <v>20.478950000000001</v>
      </c>
      <c r="D12381" s="8">
        <v>72</v>
      </c>
      <c r="E12381" s="8">
        <v>0</v>
      </c>
      <c r="F12381" s="8">
        <v>0</v>
      </c>
      <c r="G12381" s="8">
        <v>10</v>
      </c>
      <c r="H12381" s="8" t="s">
        <v>50400</v>
      </c>
      <c r="I12381" s="8">
        <v>526.5</v>
      </c>
      <c r="J12381" s="3">
        <f t="shared" si="193"/>
        <v>43749.392236331019</v>
      </c>
    </row>
    <row r="12382" spans="1:10" x14ac:dyDescent="0.25">
      <c r="A12382" s="5" t="s">
        <v>50401</v>
      </c>
      <c r="B12382" s="6">
        <v>393.75</v>
      </c>
      <c r="C12382" s="6">
        <v>20.478950000000001</v>
      </c>
      <c r="D12382" s="6">
        <v>73</v>
      </c>
      <c r="E12382" s="6">
        <v>0</v>
      </c>
      <c r="F12382" s="6">
        <v>0</v>
      </c>
      <c r="G12382" s="6">
        <v>7</v>
      </c>
      <c r="H12382" s="6" t="s">
        <v>50402</v>
      </c>
      <c r="I12382" s="6">
        <v>526.6875</v>
      </c>
      <c r="J12382" s="2">
        <f t="shared" si="193"/>
        <v>43749.392307997681</v>
      </c>
    </row>
    <row r="12383" spans="1:10" x14ac:dyDescent="0.25">
      <c r="A12383" s="7" t="s">
        <v>50403</v>
      </c>
      <c r="B12383" s="8">
        <v>393.75</v>
      </c>
      <c r="C12383" s="8">
        <v>20.478950000000001</v>
      </c>
      <c r="D12383" s="8">
        <v>73</v>
      </c>
      <c r="E12383" s="8">
        <v>0</v>
      </c>
      <c r="F12383" s="8">
        <v>0</v>
      </c>
      <c r="G12383" s="8">
        <v>8</v>
      </c>
      <c r="H12383" s="8" t="s">
        <v>50404</v>
      </c>
      <c r="I12383" s="8">
        <v>526.6875</v>
      </c>
      <c r="J12383" s="3">
        <f t="shared" si="193"/>
        <v>43749.392391458336</v>
      </c>
    </row>
    <row r="12384" spans="1:10" x14ac:dyDescent="0.25">
      <c r="A12384" s="5" t="s">
        <v>50405</v>
      </c>
      <c r="B12384" s="6">
        <v>393.75</v>
      </c>
      <c r="C12384" s="6">
        <v>20.478950000000001</v>
      </c>
      <c r="D12384" s="6">
        <v>73</v>
      </c>
      <c r="E12384" s="6">
        <v>0</v>
      </c>
      <c r="F12384" s="6">
        <v>0</v>
      </c>
      <c r="G12384" s="6">
        <v>4</v>
      </c>
      <c r="H12384" s="6" t="s">
        <v>50406</v>
      </c>
      <c r="I12384" s="6">
        <v>526.6875</v>
      </c>
      <c r="J12384" s="2">
        <f t="shared" si="193"/>
        <v>43749.392475011577</v>
      </c>
    </row>
    <row r="12385" spans="1:10" x14ac:dyDescent="0.25">
      <c r="A12385" s="7" t="s">
        <v>50407</v>
      </c>
      <c r="B12385" s="8">
        <v>393.75</v>
      </c>
      <c r="C12385" s="8">
        <v>20.478950000000001</v>
      </c>
      <c r="D12385" s="8">
        <v>72</v>
      </c>
      <c r="E12385" s="8">
        <v>0</v>
      </c>
      <c r="F12385" s="8">
        <v>0</v>
      </c>
      <c r="G12385" s="8">
        <v>0</v>
      </c>
      <c r="H12385" s="8" t="s">
        <v>50408</v>
      </c>
      <c r="I12385" s="8">
        <v>526.6875</v>
      </c>
      <c r="J12385" s="3">
        <f t="shared" si="193"/>
        <v>43749.392558437503</v>
      </c>
    </row>
    <row r="12386" spans="1:10" x14ac:dyDescent="0.25">
      <c r="A12386" s="5" t="s">
        <v>50409</v>
      </c>
      <c r="B12386" s="6">
        <v>393.75</v>
      </c>
      <c r="C12386" s="6">
        <v>20.478950000000001</v>
      </c>
      <c r="D12386" s="6">
        <v>72</v>
      </c>
      <c r="E12386" s="6">
        <v>0</v>
      </c>
      <c r="F12386" s="6">
        <v>0</v>
      </c>
      <c r="G12386" s="6">
        <v>5</v>
      </c>
      <c r="H12386" s="6" t="s">
        <v>50410</v>
      </c>
      <c r="I12386" s="6">
        <v>526.5</v>
      </c>
      <c r="J12386" s="2">
        <f t="shared" si="193"/>
        <v>43749.392641678241</v>
      </c>
    </row>
    <row r="12387" spans="1:10" x14ac:dyDescent="0.25">
      <c r="A12387" s="7" t="s">
        <v>50411</v>
      </c>
      <c r="B12387" s="8">
        <v>393.75</v>
      </c>
      <c r="C12387" s="8">
        <v>20.478950000000001</v>
      </c>
      <c r="D12387" s="8">
        <v>72</v>
      </c>
      <c r="E12387" s="8">
        <v>0</v>
      </c>
      <c r="F12387" s="8">
        <v>0</v>
      </c>
      <c r="G12387" s="8">
        <v>5</v>
      </c>
      <c r="H12387" s="8" t="s">
        <v>50412</v>
      </c>
      <c r="I12387" s="8">
        <v>526.6875</v>
      </c>
      <c r="J12387" s="3">
        <f t="shared" si="193"/>
        <v>43749.392714189809</v>
      </c>
    </row>
    <row r="12388" spans="1:10" x14ac:dyDescent="0.25">
      <c r="A12388" s="5" t="s">
        <v>50413</v>
      </c>
      <c r="B12388" s="6">
        <v>393.75</v>
      </c>
      <c r="C12388" s="6">
        <v>20.478950000000001</v>
      </c>
      <c r="D12388" s="6">
        <v>73</v>
      </c>
      <c r="E12388" s="6">
        <v>0</v>
      </c>
      <c r="F12388" s="6">
        <v>0</v>
      </c>
      <c r="G12388" s="6">
        <v>3</v>
      </c>
      <c r="H12388" s="6" t="s">
        <v>50414</v>
      </c>
      <c r="I12388" s="6">
        <v>526.6875</v>
      </c>
      <c r="J12388" s="2">
        <f t="shared" si="193"/>
        <v>43749.392796979162</v>
      </c>
    </row>
    <row r="12389" spans="1:10" x14ac:dyDescent="0.25">
      <c r="A12389" s="7" t="s">
        <v>50415</v>
      </c>
      <c r="B12389" s="8">
        <v>393.75</v>
      </c>
      <c r="C12389" s="8">
        <v>20.478950000000001</v>
      </c>
      <c r="D12389" s="8">
        <v>73</v>
      </c>
      <c r="E12389" s="8">
        <v>0</v>
      </c>
      <c r="F12389" s="8">
        <v>0</v>
      </c>
      <c r="G12389" s="8">
        <v>3</v>
      </c>
      <c r="H12389" s="8" t="s">
        <v>50416</v>
      </c>
      <c r="I12389" s="8">
        <v>526.6875</v>
      </c>
      <c r="J12389" s="3">
        <f t="shared" si="193"/>
        <v>43749.392880439809</v>
      </c>
    </row>
    <row r="12390" spans="1:10" x14ac:dyDescent="0.25">
      <c r="A12390" s="5" t="s">
        <v>50417</v>
      </c>
      <c r="B12390" s="6">
        <v>437.5</v>
      </c>
      <c r="C12390" s="6">
        <v>20.478950000000001</v>
      </c>
      <c r="D12390" s="6">
        <v>74</v>
      </c>
      <c r="E12390" s="6">
        <v>0</v>
      </c>
      <c r="F12390" s="6">
        <v>0</v>
      </c>
      <c r="G12390" s="6">
        <v>11</v>
      </c>
      <c r="H12390" s="6" t="s">
        <v>50418</v>
      </c>
      <c r="I12390" s="6">
        <v>540.75</v>
      </c>
      <c r="J12390" s="2">
        <f t="shared" si="193"/>
        <v>43749.392963900456</v>
      </c>
    </row>
    <row r="12391" spans="1:10" x14ac:dyDescent="0.25">
      <c r="A12391" s="7" t="s">
        <v>50419</v>
      </c>
      <c r="B12391" s="8">
        <v>393.75</v>
      </c>
      <c r="C12391" s="8">
        <v>20.478950000000001</v>
      </c>
      <c r="D12391" s="8">
        <v>74</v>
      </c>
      <c r="E12391" s="8">
        <v>0</v>
      </c>
      <c r="F12391" s="8">
        <v>0</v>
      </c>
      <c r="G12391" s="8">
        <v>11</v>
      </c>
      <c r="H12391" s="8" t="s">
        <v>50420</v>
      </c>
      <c r="I12391" s="8">
        <v>526.5</v>
      </c>
      <c r="J12391" s="3">
        <f t="shared" si="193"/>
        <v>43749.393048020829</v>
      </c>
    </row>
    <row r="12392" spans="1:10" x14ac:dyDescent="0.25">
      <c r="A12392" s="5" t="s">
        <v>50421</v>
      </c>
      <c r="B12392" s="6">
        <v>393.75</v>
      </c>
      <c r="C12392" s="6">
        <v>20.478950000000001</v>
      </c>
      <c r="D12392" s="6">
        <v>67</v>
      </c>
      <c r="E12392" s="6">
        <v>0</v>
      </c>
      <c r="F12392" s="6">
        <v>0</v>
      </c>
      <c r="G12392" s="6">
        <v>0</v>
      </c>
      <c r="H12392" s="6" t="s">
        <v>50422</v>
      </c>
      <c r="I12392" s="6">
        <v>526.6875</v>
      </c>
      <c r="J12392" s="2">
        <f t="shared" si="193"/>
        <v>43749.393130648146</v>
      </c>
    </row>
    <row r="12393" spans="1:10" x14ac:dyDescent="0.25">
      <c r="A12393" s="7" t="s">
        <v>50423</v>
      </c>
      <c r="B12393" s="8">
        <v>393.75</v>
      </c>
      <c r="C12393" s="8">
        <v>20.478950000000001</v>
      </c>
      <c r="D12393" s="8">
        <v>67</v>
      </c>
      <c r="E12393" s="8">
        <v>0</v>
      </c>
      <c r="F12393" s="8">
        <v>0</v>
      </c>
      <c r="G12393" s="8">
        <v>8</v>
      </c>
      <c r="H12393" s="8" t="s">
        <v>50424</v>
      </c>
      <c r="I12393" s="8">
        <v>526.6875</v>
      </c>
      <c r="J12393" s="3">
        <f t="shared" si="193"/>
        <v>43749.393202210646</v>
      </c>
    </row>
    <row r="12394" spans="1:10" x14ac:dyDescent="0.25">
      <c r="A12394" s="5" t="s">
        <v>50425</v>
      </c>
      <c r="B12394" s="6">
        <v>393.75</v>
      </c>
      <c r="C12394" s="6">
        <v>20.478950000000001</v>
      </c>
      <c r="D12394" s="6">
        <v>69</v>
      </c>
      <c r="E12394" s="6">
        <v>0</v>
      </c>
      <c r="F12394" s="6">
        <v>0</v>
      </c>
      <c r="G12394" s="6">
        <v>5</v>
      </c>
      <c r="H12394" s="6" t="s">
        <v>50426</v>
      </c>
      <c r="I12394" s="6">
        <v>526.6875</v>
      </c>
      <c r="J12394" s="2">
        <f t="shared" si="193"/>
        <v>43749.393286122686</v>
      </c>
    </row>
    <row r="12395" spans="1:10" x14ac:dyDescent="0.25">
      <c r="A12395" s="7" t="s">
        <v>50427</v>
      </c>
      <c r="B12395" s="8">
        <v>393.75</v>
      </c>
      <c r="C12395" s="8">
        <v>20.478950000000001</v>
      </c>
      <c r="D12395" s="8">
        <v>69</v>
      </c>
      <c r="E12395" s="8">
        <v>0</v>
      </c>
      <c r="F12395" s="8">
        <v>0</v>
      </c>
      <c r="G12395" s="8">
        <v>3</v>
      </c>
      <c r="H12395" s="8" t="s">
        <v>50428</v>
      </c>
      <c r="I12395" s="8">
        <v>526.6875</v>
      </c>
      <c r="J12395" s="3">
        <f t="shared" si="193"/>
        <v>43749.393369432866</v>
      </c>
    </row>
    <row r="12396" spans="1:10" x14ac:dyDescent="0.25">
      <c r="A12396" s="5" t="s">
        <v>50429</v>
      </c>
      <c r="B12396" s="6">
        <v>393.75</v>
      </c>
      <c r="C12396" s="6">
        <v>20.478950000000001</v>
      </c>
      <c r="D12396" s="6">
        <v>71</v>
      </c>
      <c r="E12396" s="6">
        <v>0</v>
      </c>
      <c r="F12396" s="6">
        <v>0</v>
      </c>
      <c r="G12396" s="6">
        <v>3</v>
      </c>
      <c r="H12396" s="6" t="s">
        <v>50430</v>
      </c>
      <c r="I12396" s="6">
        <v>526.6875</v>
      </c>
      <c r="J12396" s="2">
        <f t="shared" si="193"/>
        <v>43749.393452789351</v>
      </c>
    </row>
    <row r="12397" spans="1:10" x14ac:dyDescent="0.25">
      <c r="A12397" s="7" t="s">
        <v>50431</v>
      </c>
      <c r="B12397" s="8">
        <v>393.75</v>
      </c>
      <c r="C12397" s="8">
        <v>20.478950000000001</v>
      </c>
      <c r="D12397" s="8">
        <v>71</v>
      </c>
      <c r="E12397" s="8">
        <v>0</v>
      </c>
      <c r="F12397" s="8">
        <v>0</v>
      </c>
      <c r="G12397" s="8">
        <v>10</v>
      </c>
      <c r="H12397" s="8" t="s">
        <v>50432</v>
      </c>
      <c r="I12397" s="8">
        <v>526.6875</v>
      </c>
      <c r="J12397" s="3">
        <f t="shared" si="193"/>
        <v>43749.393524548614</v>
      </c>
    </row>
    <row r="12398" spans="1:10" x14ac:dyDescent="0.25">
      <c r="A12398" s="5" t="s">
        <v>50433</v>
      </c>
      <c r="B12398" s="6">
        <v>412.5</v>
      </c>
      <c r="C12398" s="6">
        <v>20.478950000000001</v>
      </c>
      <c r="D12398" s="6">
        <v>71</v>
      </c>
      <c r="E12398" s="6">
        <v>0</v>
      </c>
      <c r="F12398" s="6">
        <v>0</v>
      </c>
      <c r="G12398" s="6">
        <v>14</v>
      </c>
      <c r="H12398" s="6" t="s">
        <v>50434</v>
      </c>
      <c r="I12398" s="6">
        <v>532.125</v>
      </c>
      <c r="J12398" s="2">
        <f t="shared" si="193"/>
        <v>43749.393607997677</v>
      </c>
    </row>
    <row r="12399" spans="1:10" x14ac:dyDescent="0.25">
      <c r="A12399" s="7" t="s">
        <v>50435</v>
      </c>
      <c r="B12399" s="8">
        <v>393.75</v>
      </c>
      <c r="C12399" s="8">
        <v>20.478950000000001</v>
      </c>
      <c r="D12399" s="8">
        <v>73</v>
      </c>
      <c r="E12399" s="8">
        <v>0</v>
      </c>
      <c r="F12399" s="8">
        <v>0</v>
      </c>
      <c r="G12399" s="8">
        <v>9</v>
      </c>
      <c r="H12399" s="8" t="s">
        <v>50436</v>
      </c>
      <c r="I12399" s="8">
        <v>526.6875</v>
      </c>
      <c r="J12399" s="3">
        <f t="shared" si="193"/>
        <v>43749.393682604168</v>
      </c>
    </row>
    <row r="12400" spans="1:10" x14ac:dyDescent="0.25">
      <c r="A12400" s="5" t="s">
        <v>50437</v>
      </c>
      <c r="B12400" s="6">
        <v>393.75</v>
      </c>
      <c r="C12400" s="6">
        <v>20.478950000000001</v>
      </c>
      <c r="D12400" s="6">
        <v>73</v>
      </c>
      <c r="E12400" s="6">
        <v>0</v>
      </c>
      <c r="F12400" s="6">
        <v>0</v>
      </c>
      <c r="G12400" s="6">
        <v>10</v>
      </c>
      <c r="H12400" s="6" t="s">
        <v>50438</v>
      </c>
      <c r="I12400" s="6">
        <v>526.6875</v>
      </c>
      <c r="J12400" s="2">
        <f t="shared" si="193"/>
        <v>43749.393810393514</v>
      </c>
    </row>
    <row r="12401" spans="1:10" x14ac:dyDescent="0.25">
      <c r="A12401" s="7" t="s">
        <v>50439</v>
      </c>
      <c r="B12401" s="8">
        <v>393.75</v>
      </c>
      <c r="C12401" s="8">
        <v>20.478950000000001</v>
      </c>
      <c r="D12401" s="8">
        <v>75</v>
      </c>
      <c r="E12401" s="8">
        <v>0</v>
      </c>
      <c r="F12401" s="8">
        <v>0</v>
      </c>
      <c r="G12401" s="8">
        <v>13</v>
      </c>
      <c r="H12401" s="8" t="s">
        <v>50440</v>
      </c>
      <c r="I12401" s="8">
        <v>526.6875</v>
      </c>
      <c r="J12401" s="3">
        <f t="shared" si="193"/>
        <v>43749.393894305555</v>
      </c>
    </row>
    <row r="12402" spans="1:10" x14ac:dyDescent="0.25">
      <c r="A12402" s="5" t="s">
        <v>50441</v>
      </c>
      <c r="B12402" s="6">
        <v>396.875</v>
      </c>
      <c r="C12402" s="6">
        <v>20.478950000000001</v>
      </c>
      <c r="D12402" s="6">
        <v>76</v>
      </c>
      <c r="E12402" s="6">
        <v>0</v>
      </c>
      <c r="F12402" s="6">
        <v>0</v>
      </c>
      <c r="G12402" s="6">
        <v>6</v>
      </c>
      <c r="H12402" s="6" t="s">
        <v>50442</v>
      </c>
      <c r="I12402" s="6">
        <v>527.4375</v>
      </c>
      <c r="J12402" s="2">
        <f t="shared" si="193"/>
        <v>43749.393965925927</v>
      </c>
    </row>
    <row r="12403" spans="1:10" x14ac:dyDescent="0.25">
      <c r="A12403" s="7" t="s">
        <v>50443</v>
      </c>
      <c r="B12403" s="8">
        <v>396.875</v>
      </c>
      <c r="C12403" s="8">
        <v>20.478950000000001</v>
      </c>
      <c r="D12403" s="8">
        <v>75</v>
      </c>
      <c r="E12403" s="8">
        <v>0</v>
      </c>
      <c r="F12403" s="8">
        <v>0</v>
      </c>
      <c r="G12403" s="8">
        <v>12</v>
      </c>
      <c r="H12403" s="8" t="s">
        <v>50444</v>
      </c>
      <c r="I12403" s="8">
        <v>527.4375</v>
      </c>
      <c r="J12403" s="3">
        <f t="shared" si="193"/>
        <v>43749.394049027775</v>
      </c>
    </row>
    <row r="12404" spans="1:10" x14ac:dyDescent="0.25">
      <c r="A12404" s="5" t="s">
        <v>50445</v>
      </c>
      <c r="B12404" s="6">
        <v>418.75</v>
      </c>
      <c r="C12404" s="6">
        <v>20.478950000000001</v>
      </c>
      <c r="D12404" s="6">
        <v>74</v>
      </c>
      <c r="E12404" s="6">
        <v>0</v>
      </c>
      <c r="F12404" s="6">
        <v>0</v>
      </c>
      <c r="G12404" s="6">
        <v>7</v>
      </c>
      <c r="H12404" s="6" t="s">
        <v>50446</v>
      </c>
      <c r="I12404" s="6">
        <v>534</v>
      </c>
      <c r="J12404" s="2">
        <f t="shared" si="193"/>
        <v>43749.394120949073</v>
      </c>
    </row>
    <row r="12405" spans="1:10" x14ac:dyDescent="0.25">
      <c r="A12405" s="7" t="s">
        <v>50447</v>
      </c>
      <c r="B12405" s="8">
        <v>396.875</v>
      </c>
      <c r="C12405" s="8">
        <v>20.478950000000001</v>
      </c>
      <c r="D12405" s="8">
        <v>74</v>
      </c>
      <c r="E12405" s="8">
        <v>0</v>
      </c>
      <c r="F12405" s="8">
        <v>0</v>
      </c>
      <c r="G12405" s="8">
        <v>13</v>
      </c>
      <c r="H12405" s="8" t="s">
        <v>50448</v>
      </c>
      <c r="I12405" s="8">
        <v>527.4375</v>
      </c>
      <c r="J12405" s="3">
        <f t="shared" si="193"/>
        <v>43749.394204594901</v>
      </c>
    </row>
    <row r="12406" spans="1:10" x14ac:dyDescent="0.25">
      <c r="A12406" s="5" t="s">
        <v>50449</v>
      </c>
      <c r="B12406" s="6">
        <v>393.75</v>
      </c>
      <c r="C12406" s="6">
        <v>20.478950000000001</v>
      </c>
      <c r="D12406" s="6">
        <v>75</v>
      </c>
      <c r="E12406" s="6">
        <v>0</v>
      </c>
      <c r="F12406" s="6">
        <v>0</v>
      </c>
      <c r="G12406" s="6">
        <v>4</v>
      </c>
      <c r="H12406" s="6" t="s">
        <v>50450</v>
      </c>
      <c r="I12406" s="6">
        <v>526.6875</v>
      </c>
      <c r="J12406" s="2">
        <f t="shared" si="193"/>
        <v>43749.394287939816</v>
      </c>
    </row>
    <row r="12407" spans="1:10" x14ac:dyDescent="0.25">
      <c r="A12407" s="7" t="s">
        <v>50451</v>
      </c>
      <c r="B12407" s="8">
        <v>393.75</v>
      </c>
      <c r="C12407" s="8">
        <v>20.478950000000001</v>
      </c>
      <c r="D12407" s="8">
        <v>75</v>
      </c>
      <c r="E12407" s="8">
        <v>0</v>
      </c>
      <c r="F12407" s="8">
        <v>0</v>
      </c>
      <c r="G12407" s="8">
        <v>10</v>
      </c>
      <c r="H12407" s="8" t="s">
        <v>50452</v>
      </c>
      <c r="I12407" s="8">
        <v>526.6875</v>
      </c>
      <c r="J12407" s="3">
        <f t="shared" si="193"/>
        <v>43749.394371261573</v>
      </c>
    </row>
    <row r="12408" spans="1:10" x14ac:dyDescent="0.25">
      <c r="A12408" s="5" t="s">
        <v>50453</v>
      </c>
      <c r="B12408" s="6">
        <v>393.75</v>
      </c>
      <c r="C12408" s="6">
        <v>20.478950000000001</v>
      </c>
      <c r="D12408" s="6">
        <v>75</v>
      </c>
      <c r="E12408" s="6">
        <v>0</v>
      </c>
      <c r="F12408" s="6">
        <v>0</v>
      </c>
      <c r="G12408" s="6">
        <v>15</v>
      </c>
      <c r="H12408" s="6" t="s">
        <v>50454</v>
      </c>
      <c r="I12408" s="6">
        <v>526.5</v>
      </c>
      <c r="J12408" s="2">
        <f t="shared" si="193"/>
        <v>43749.394443449077</v>
      </c>
    </row>
    <row r="12409" spans="1:10" x14ac:dyDescent="0.25">
      <c r="A12409" s="7" t="s">
        <v>50455</v>
      </c>
      <c r="B12409" s="8">
        <v>393.75</v>
      </c>
      <c r="C12409" s="8">
        <v>20.426300000000001</v>
      </c>
      <c r="D12409" s="8">
        <v>74</v>
      </c>
      <c r="E12409" s="8">
        <v>0</v>
      </c>
      <c r="F12409" s="8">
        <v>0</v>
      </c>
      <c r="G12409" s="8">
        <v>9</v>
      </c>
      <c r="H12409" s="8" t="s">
        <v>50456</v>
      </c>
      <c r="I12409" s="8">
        <v>526.6875</v>
      </c>
      <c r="J12409" s="3">
        <f t="shared" si="193"/>
        <v>43749.394526493052</v>
      </c>
    </row>
    <row r="12410" spans="1:10" x14ac:dyDescent="0.25">
      <c r="A12410" s="5" t="s">
        <v>50457</v>
      </c>
      <c r="B12410" s="6">
        <v>393.75</v>
      </c>
      <c r="C12410" s="6">
        <v>20.478950000000001</v>
      </c>
      <c r="D12410" s="6">
        <v>74</v>
      </c>
      <c r="E12410" s="6">
        <v>0</v>
      </c>
      <c r="F12410" s="6">
        <v>0</v>
      </c>
      <c r="G12410" s="6">
        <v>9</v>
      </c>
      <c r="H12410" s="6" t="s">
        <v>50458</v>
      </c>
      <c r="I12410" s="6">
        <v>526.6875</v>
      </c>
      <c r="J12410" s="2">
        <f t="shared" si="193"/>
        <v>43749.394609918978</v>
      </c>
    </row>
    <row r="12411" spans="1:10" x14ac:dyDescent="0.25">
      <c r="A12411" s="7" t="s">
        <v>50459</v>
      </c>
      <c r="B12411" s="8">
        <v>393.75</v>
      </c>
      <c r="C12411" s="8">
        <v>20.478950000000001</v>
      </c>
      <c r="D12411" s="8">
        <v>73</v>
      </c>
      <c r="E12411" s="8">
        <v>0</v>
      </c>
      <c r="F12411" s="8">
        <v>0</v>
      </c>
      <c r="G12411" s="8">
        <v>7</v>
      </c>
      <c r="H12411" s="8" t="s">
        <v>50460</v>
      </c>
      <c r="I12411" s="8">
        <v>526.6875</v>
      </c>
      <c r="J12411" s="3">
        <f t="shared" si="193"/>
        <v>43749.394693495364</v>
      </c>
    </row>
    <row r="12412" spans="1:10" x14ac:dyDescent="0.25">
      <c r="A12412" s="5" t="s">
        <v>50461</v>
      </c>
      <c r="B12412" s="6">
        <v>393.75</v>
      </c>
      <c r="C12412" s="6">
        <v>20.478950000000001</v>
      </c>
      <c r="D12412" s="6">
        <v>73</v>
      </c>
      <c r="E12412" s="6">
        <v>0</v>
      </c>
      <c r="F12412" s="6">
        <v>0</v>
      </c>
      <c r="G12412" s="6">
        <v>7</v>
      </c>
      <c r="H12412" s="6" t="s">
        <v>50462</v>
      </c>
      <c r="I12412" s="6">
        <v>526.6875</v>
      </c>
      <c r="J12412" s="2">
        <f t="shared" si="193"/>
        <v>43749.394788865735</v>
      </c>
    </row>
    <row r="12413" spans="1:10" x14ac:dyDescent="0.25">
      <c r="A12413" s="7" t="s">
        <v>50463</v>
      </c>
      <c r="B12413" s="8">
        <v>393.75</v>
      </c>
      <c r="C12413" s="8">
        <v>20.426300000000001</v>
      </c>
      <c r="D12413" s="8">
        <v>73</v>
      </c>
      <c r="E12413" s="8">
        <v>0</v>
      </c>
      <c r="F12413" s="8">
        <v>0</v>
      </c>
      <c r="G12413" s="8">
        <v>7</v>
      </c>
      <c r="H12413" s="8" t="s">
        <v>50464</v>
      </c>
      <c r="I12413" s="8">
        <v>526.6875</v>
      </c>
      <c r="J12413" s="3">
        <f t="shared" si="193"/>
        <v>43749.394872326382</v>
      </c>
    </row>
    <row r="12414" spans="1:10" x14ac:dyDescent="0.25">
      <c r="A12414" s="5" t="s">
        <v>50465</v>
      </c>
      <c r="B12414" s="6">
        <v>393.75</v>
      </c>
      <c r="C12414" s="6">
        <v>20.478950000000001</v>
      </c>
      <c r="D12414" s="6">
        <v>75</v>
      </c>
      <c r="E12414" s="6">
        <v>0</v>
      </c>
      <c r="F12414" s="6">
        <v>0</v>
      </c>
      <c r="G12414" s="6">
        <v>3</v>
      </c>
      <c r="H12414" s="6" t="s">
        <v>50466</v>
      </c>
      <c r="I12414" s="6">
        <v>526.6875</v>
      </c>
      <c r="J12414" s="2">
        <f t="shared" si="193"/>
        <v>43749.39495603009</v>
      </c>
    </row>
    <row r="12415" spans="1:10" x14ac:dyDescent="0.25">
      <c r="A12415" s="7" t="s">
        <v>50467</v>
      </c>
      <c r="B12415" s="8">
        <v>393.75</v>
      </c>
      <c r="C12415" s="8">
        <v>20.478950000000001</v>
      </c>
      <c r="D12415" s="8">
        <v>74</v>
      </c>
      <c r="E12415" s="8">
        <v>0</v>
      </c>
      <c r="F12415" s="8">
        <v>0</v>
      </c>
      <c r="G12415" s="8">
        <v>8</v>
      </c>
      <c r="H12415" s="8" t="s">
        <v>50468</v>
      </c>
      <c r="I12415" s="8">
        <v>526.6875</v>
      </c>
      <c r="J12415" s="3">
        <f t="shared" si="193"/>
        <v>43749.395039432864</v>
      </c>
    </row>
    <row r="12416" spans="1:10" x14ac:dyDescent="0.25">
      <c r="A12416" s="5" t="s">
        <v>50469</v>
      </c>
      <c r="B12416" s="6">
        <v>393.75</v>
      </c>
      <c r="C12416" s="6">
        <v>20.478950000000001</v>
      </c>
      <c r="D12416" s="6">
        <v>72</v>
      </c>
      <c r="E12416" s="6">
        <v>0</v>
      </c>
      <c r="F12416" s="6">
        <v>0</v>
      </c>
      <c r="G12416" s="6">
        <v>4</v>
      </c>
      <c r="H12416" s="6" t="s">
        <v>50470</v>
      </c>
      <c r="I12416" s="6">
        <v>526.6875</v>
      </c>
      <c r="J12416" s="2">
        <f t="shared" si="193"/>
        <v>43749.395122986105</v>
      </c>
    </row>
    <row r="12417" spans="1:10" x14ac:dyDescent="0.25">
      <c r="A12417" s="7" t="s">
        <v>50471</v>
      </c>
      <c r="B12417" s="8">
        <v>393.75</v>
      </c>
      <c r="C12417" s="8">
        <v>20.478950000000001</v>
      </c>
      <c r="D12417" s="8">
        <v>73</v>
      </c>
      <c r="E12417" s="8">
        <v>0</v>
      </c>
      <c r="F12417" s="8">
        <v>0</v>
      </c>
      <c r="G12417" s="8">
        <v>0</v>
      </c>
      <c r="H12417" s="8" t="s">
        <v>50472</v>
      </c>
      <c r="I12417" s="8">
        <v>526.6875</v>
      </c>
      <c r="J12417" s="3">
        <f t="shared" si="193"/>
        <v>43749.39520634259</v>
      </c>
    </row>
    <row r="12418" spans="1:10" x14ac:dyDescent="0.25">
      <c r="A12418" s="5" t="s">
        <v>50473</v>
      </c>
      <c r="B12418" s="6">
        <v>393.75</v>
      </c>
      <c r="C12418" s="6">
        <v>20.478950000000001</v>
      </c>
      <c r="D12418" s="6">
        <v>71</v>
      </c>
      <c r="E12418" s="6">
        <v>0</v>
      </c>
      <c r="F12418" s="6">
        <v>0</v>
      </c>
      <c r="G12418" s="6">
        <v>13</v>
      </c>
      <c r="H12418" s="6" t="s">
        <v>50474</v>
      </c>
      <c r="I12418" s="6">
        <v>526.6875</v>
      </c>
      <c r="J12418" s="2">
        <f t="shared" ref="J12418:J12481" si="194">(H12418/86400000)+25569+(7/24)</f>
        <v>43749.395289791668</v>
      </c>
    </row>
    <row r="12419" spans="1:10" x14ac:dyDescent="0.25">
      <c r="A12419" s="7" t="s">
        <v>50475</v>
      </c>
      <c r="B12419" s="8">
        <v>393.75</v>
      </c>
      <c r="C12419" s="8">
        <v>20.478950000000001</v>
      </c>
      <c r="D12419" s="8">
        <v>72</v>
      </c>
      <c r="E12419" s="8">
        <v>0</v>
      </c>
      <c r="F12419" s="8">
        <v>0</v>
      </c>
      <c r="G12419" s="8">
        <v>11</v>
      </c>
      <c r="H12419" s="8" t="s">
        <v>50476</v>
      </c>
      <c r="I12419" s="8">
        <v>526.6875</v>
      </c>
      <c r="J12419" s="3">
        <f t="shared" si="194"/>
        <v>43749.395373356478</v>
      </c>
    </row>
    <row r="12420" spans="1:10" x14ac:dyDescent="0.25">
      <c r="A12420" s="5" t="s">
        <v>50477</v>
      </c>
      <c r="B12420" s="6">
        <v>393.75</v>
      </c>
      <c r="C12420" s="6">
        <v>20.478950000000001</v>
      </c>
      <c r="D12420" s="6">
        <v>71</v>
      </c>
      <c r="E12420" s="6">
        <v>0</v>
      </c>
      <c r="F12420" s="6">
        <v>0</v>
      </c>
      <c r="G12420" s="6">
        <v>2</v>
      </c>
      <c r="H12420" s="6" t="s">
        <v>50478</v>
      </c>
      <c r="I12420" s="6">
        <v>526.6875</v>
      </c>
      <c r="J12420" s="2">
        <f t="shared" si="194"/>
        <v>43749.395456458333</v>
      </c>
    </row>
    <row r="12421" spans="1:10" x14ac:dyDescent="0.25">
      <c r="A12421" s="7" t="s">
        <v>50479</v>
      </c>
      <c r="B12421" s="8">
        <v>393.75</v>
      </c>
      <c r="C12421" s="8">
        <v>20.478950000000001</v>
      </c>
      <c r="D12421" s="8">
        <v>71</v>
      </c>
      <c r="E12421" s="8">
        <v>0</v>
      </c>
      <c r="F12421" s="8">
        <v>0</v>
      </c>
      <c r="G12421" s="8">
        <v>11</v>
      </c>
      <c r="H12421" s="8" t="s">
        <v>50480</v>
      </c>
      <c r="I12421" s="8">
        <v>526.6875</v>
      </c>
      <c r="J12421" s="3">
        <f t="shared" si="194"/>
        <v>43749.395528090274</v>
      </c>
    </row>
    <row r="12422" spans="1:10" x14ac:dyDescent="0.25">
      <c r="A12422" s="5" t="s">
        <v>50481</v>
      </c>
      <c r="B12422" s="6">
        <v>393.75</v>
      </c>
      <c r="C12422" s="6">
        <v>20.478950000000001</v>
      </c>
      <c r="D12422" s="6">
        <v>75</v>
      </c>
      <c r="E12422" s="6">
        <v>0</v>
      </c>
      <c r="F12422" s="6">
        <v>0</v>
      </c>
      <c r="G12422" s="6">
        <v>15</v>
      </c>
      <c r="H12422" s="6" t="s">
        <v>50482</v>
      </c>
      <c r="I12422" s="6">
        <v>526.6875</v>
      </c>
      <c r="J12422" s="2">
        <f t="shared" si="194"/>
        <v>43749.395612013883</v>
      </c>
    </row>
    <row r="12423" spans="1:10" x14ac:dyDescent="0.25">
      <c r="A12423" s="7" t="s">
        <v>50483</v>
      </c>
      <c r="B12423" s="8">
        <v>393.75</v>
      </c>
      <c r="C12423" s="8">
        <v>20.478950000000001</v>
      </c>
      <c r="D12423" s="8">
        <v>75</v>
      </c>
      <c r="E12423" s="8">
        <v>0</v>
      </c>
      <c r="F12423" s="8">
        <v>0</v>
      </c>
      <c r="G12423" s="8">
        <v>0</v>
      </c>
      <c r="H12423" s="8" t="s">
        <v>50484</v>
      </c>
      <c r="I12423" s="8">
        <v>526.6875</v>
      </c>
      <c r="J12423" s="3">
        <f t="shared" si="194"/>
        <v>43749.395695347215</v>
      </c>
    </row>
    <row r="12424" spans="1:10" x14ac:dyDescent="0.25">
      <c r="A12424" s="5" t="s">
        <v>50485</v>
      </c>
      <c r="B12424" s="6">
        <v>393.75</v>
      </c>
      <c r="C12424" s="6">
        <v>20.478950000000001</v>
      </c>
      <c r="D12424" s="6">
        <v>75</v>
      </c>
      <c r="E12424" s="6">
        <v>0</v>
      </c>
      <c r="F12424" s="6">
        <v>0</v>
      </c>
      <c r="G12424" s="6">
        <v>6</v>
      </c>
      <c r="H12424" s="6" t="s">
        <v>50486</v>
      </c>
      <c r="I12424" s="6">
        <v>526.6875</v>
      </c>
      <c r="J12424" s="2">
        <f t="shared" si="194"/>
        <v>43749.395778958329</v>
      </c>
    </row>
    <row r="12425" spans="1:10" x14ac:dyDescent="0.25">
      <c r="A12425" s="7" t="s">
        <v>50487</v>
      </c>
      <c r="B12425" s="8">
        <v>393.75</v>
      </c>
      <c r="C12425" s="8">
        <v>20.478950000000001</v>
      </c>
      <c r="D12425" s="8">
        <v>75</v>
      </c>
      <c r="E12425" s="8">
        <v>0</v>
      </c>
      <c r="F12425" s="8">
        <v>0</v>
      </c>
      <c r="G12425" s="8">
        <v>6</v>
      </c>
      <c r="H12425" s="8" t="s">
        <v>50488</v>
      </c>
      <c r="I12425" s="8">
        <v>526.6875</v>
      </c>
      <c r="J12425" s="3">
        <f t="shared" si="194"/>
        <v>43749.395850914349</v>
      </c>
    </row>
    <row r="12426" spans="1:10" x14ac:dyDescent="0.25">
      <c r="A12426" s="5" t="s">
        <v>50489</v>
      </c>
      <c r="B12426" s="6">
        <v>440.625</v>
      </c>
      <c r="C12426" s="6">
        <v>20.478950000000001</v>
      </c>
      <c r="D12426" s="6">
        <v>75</v>
      </c>
      <c r="E12426" s="6">
        <v>0</v>
      </c>
      <c r="F12426" s="6">
        <v>0</v>
      </c>
      <c r="G12426" s="6">
        <v>0</v>
      </c>
      <c r="H12426" s="6" t="s">
        <v>50490</v>
      </c>
      <c r="I12426" s="6">
        <v>541.125</v>
      </c>
      <c r="J12426" s="2">
        <f t="shared" si="194"/>
        <v>43749.395922476848</v>
      </c>
    </row>
    <row r="12427" spans="1:10" x14ac:dyDescent="0.25">
      <c r="A12427" s="7" t="s">
        <v>50491</v>
      </c>
      <c r="B12427" s="8">
        <v>393.75</v>
      </c>
      <c r="C12427" s="8">
        <v>20.478950000000001</v>
      </c>
      <c r="D12427" s="8">
        <v>75</v>
      </c>
      <c r="E12427" s="8">
        <v>0</v>
      </c>
      <c r="F12427" s="8">
        <v>0</v>
      </c>
      <c r="G12427" s="8">
        <v>6</v>
      </c>
      <c r="H12427" s="8" t="s">
        <v>50492</v>
      </c>
      <c r="I12427" s="8">
        <v>526.6875</v>
      </c>
      <c r="J12427" s="3">
        <f t="shared" si="194"/>
        <v>43749.395993796294</v>
      </c>
    </row>
    <row r="12428" spans="1:10" x14ac:dyDescent="0.25">
      <c r="A12428" s="5" t="s">
        <v>50493</v>
      </c>
      <c r="B12428" s="6">
        <v>396.875</v>
      </c>
      <c r="C12428" s="6">
        <v>20.478950000000001</v>
      </c>
      <c r="D12428" s="6">
        <v>75</v>
      </c>
      <c r="E12428" s="6">
        <v>0</v>
      </c>
      <c r="F12428" s="6">
        <v>0</v>
      </c>
      <c r="G12428" s="6">
        <v>5</v>
      </c>
      <c r="H12428" s="6" t="s">
        <v>50494</v>
      </c>
      <c r="I12428" s="6">
        <v>527.4375</v>
      </c>
      <c r="J12428" s="2">
        <f t="shared" si="194"/>
        <v>43749.396077106481</v>
      </c>
    </row>
    <row r="12429" spans="1:10" x14ac:dyDescent="0.25">
      <c r="A12429" s="7" t="s">
        <v>50495</v>
      </c>
      <c r="B12429" s="8">
        <v>396.875</v>
      </c>
      <c r="C12429" s="8">
        <v>20.478950000000001</v>
      </c>
      <c r="D12429" s="8">
        <v>75</v>
      </c>
      <c r="E12429" s="8">
        <v>0</v>
      </c>
      <c r="F12429" s="8">
        <v>0</v>
      </c>
      <c r="G12429" s="8">
        <v>4</v>
      </c>
      <c r="H12429" s="8" t="s">
        <v>50496</v>
      </c>
      <c r="I12429" s="8">
        <v>527.4375</v>
      </c>
      <c r="J12429" s="3">
        <f t="shared" si="194"/>
        <v>43749.396148472217</v>
      </c>
    </row>
    <row r="12430" spans="1:10" x14ac:dyDescent="0.25">
      <c r="A12430" s="5" t="s">
        <v>50497</v>
      </c>
      <c r="B12430" s="6">
        <v>396.875</v>
      </c>
      <c r="C12430" s="6">
        <v>20.478950000000001</v>
      </c>
      <c r="D12430" s="6">
        <v>75</v>
      </c>
      <c r="E12430" s="6">
        <v>0</v>
      </c>
      <c r="F12430" s="6">
        <v>0</v>
      </c>
      <c r="G12430" s="6">
        <v>0</v>
      </c>
      <c r="H12430" s="6" t="s">
        <v>50498</v>
      </c>
      <c r="I12430" s="6">
        <v>527.4375</v>
      </c>
      <c r="J12430" s="2">
        <f t="shared" si="194"/>
        <v>43749.396220636576</v>
      </c>
    </row>
    <row r="12431" spans="1:10" x14ac:dyDescent="0.25">
      <c r="A12431" s="7" t="s">
        <v>50499</v>
      </c>
      <c r="B12431" s="8">
        <v>393.75</v>
      </c>
      <c r="C12431" s="8">
        <v>20.478950000000001</v>
      </c>
      <c r="D12431" s="8">
        <v>75</v>
      </c>
      <c r="E12431" s="8">
        <v>0</v>
      </c>
      <c r="F12431" s="8">
        <v>0</v>
      </c>
      <c r="G12431" s="8">
        <v>8</v>
      </c>
      <c r="H12431" s="8" t="s">
        <v>50500</v>
      </c>
      <c r="I12431" s="8">
        <v>526.6875</v>
      </c>
      <c r="J12431" s="3">
        <f t="shared" si="194"/>
        <v>43749.396292048608</v>
      </c>
    </row>
    <row r="12432" spans="1:10" x14ac:dyDescent="0.25">
      <c r="A12432" s="5" t="s">
        <v>50501</v>
      </c>
      <c r="B12432" s="6">
        <v>393.75</v>
      </c>
      <c r="C12432" s="6">
        <v>20.478950000000001</v>
      </c>
      <c r="D12432" s="6">
        <v>74</v>
      </c>
      <c r="E12432" s="6">
        <v>0</v>
      </c>
      <c r="F12432" s="6">
        <v>0</v>
      </c>
      <c r="G12432" s="6">
        <v>5</v>
      </c>
      <c r="H12432" s="6" t="s">
        <v>50502</v>
      </c>
      <c r="I12432" s="6">
        <v>526.6875</v>
      </c>
      <c r="J12432" s="2">
        <f t="shared" si="194"/>
        <v>43749.396363217595</v>
      </c>
    </row>
    <row r="12433" spans="1:10" x14ac:dyDescent="0.25">
      <c r="A12433" s="7" t="s">
        <v>50503</v>
      </c>
      <c r="B12433" s="8">
        <v>393.75</v>
      </c>
      <c r="C12433" s="8">
        <v>20.478950000000001</v>
      </c>
      <c r="D12433" s="8">
        <v>73</v>
      </c>
      <c r="E12433" s="8">
        <v>0</v>
      </c>
      <c r="F12433" s="8">
        <v>0</v>
      </c>
      <c r="G12433" s="8">
        <v>14</v>
      </c>
      <c r="H12433" s="8" t="s">
        <v>50504</v>
      </c>
      <c r="I12433" s="8">
        <v>526.6875</v>
      </c>
      <c r="J12433" s="3">
        <f t="shared" si="194"/>
        <v>43749.396448553241</v>
      </c>
    </row>
    <row r="12434" spans="1:10" x14ac:dyDescent="0.25">
      <c r="A12434" s="5" t="s">
        <v>50505</v>
      </c>
      <c r="B12434" s="6">
        <v>393.75</v>
      </c>
      <c r="C12434" s="6">
        <v>20.478950000000001</v>
      </c>
      <c r="D12434" s="6">
        <v>73</v>
      </c>
      <c r="E12434" s="6">
        <v>0</v>
      </c>
      <c r="F12434" s="6">
        <v>0</v>
      </c>
      <c r="G12434" s="6">
        <v>3</v>
      </c>
      <c r="H12434" s="6" t="s">
        <v>50506</v>
      </c>
      <c r="I12434" s="6">
        <v>526.6875</v>
      </c>
      <c r="J12434" s="2">
        <f t="shared" si="194"/>
        <v>43749.39653085648</v>
      </c>
    </row>
    <row r="12435" spans="1:10" x14ac:dyDescent="0.25">
      <c r="A12435" s="7" t="s">
        <v>50507</v>
      </c>
      <c r="B12435" s="8">
        <v>393.75</v>
      </c>
      <c r="C12435" s="8">
        <v>20.478950000000001</v>
      </c>
      <c r="D12435" s="8">
        <v>73</v>
      </c>
      <c r="E12435" s="8">
        <v>0</v>
      </c>
      <c r="F12435" s="8">
        <v>0</v>
      </c>
      <c r="G12435" s="8">
        <v>3</v>
      </c>
      <c r="H12435" s="8" t="s">
        <v>50508</v>
      </c>
      <c r="I12435" s="8">
        <v>526.5</v>
      </c>
      <c r="J12435" s="3">
        <f t="shared" si="194"/>
        <v>43749.396602152774</v>
      </c>
    </row>
    <row r="12436" spans="1:10" x14ac:dyDescent="0.25">
      <c r="A12436" s="5" t="s">
        <v>50509</v>
      </c>
      <c r="B12436" s="6">
        <v>393.75</v>
      </c>
      <c r="C12436" s="6">
        <v>20.478950000000001</v>
      </c>
      <c r="D12436" s="6">
        <v>72</v>
      </c>
      <c r="E12436" s="6">
        <v>0</v>
      </c>
      <c r="F12436" s="6">
        <v>0</v>
      </c>
      <c r="G12436" s="6">
        <v>3</v>
      </c>
      <c r="H12436" s="6" t="s">
        <v>50510</v>
      </c>
      <c r="I12436" s="6">
        <v>526.6875</v>
      </c>
      <c r="J12436" s="2">
        <f t="shared" si="194"/>
        <v>43749.396685486114</v>
      </c>
    </row>
    <row r="12437" spans="1:10" x14ac:dyDescent="0.25">
      <c r="A12437" s="7" t="s">
        <v>50511</v>
      </c>
      <c r="B12437" s="8">
        <v>393.75</v>
      </c>
      <c r="C12437" s="8">
        <v>20.478950000000001</v>
      </c>
      <c r="D12437" s="8">
        <v>73</v>
      </c>
      <c r="E12437" s="8">
        <v>0</v>
      </c>
      <c r="F12437" s="8">
        <v>0</v>
      </c>
      <c r="G12437" s="8">
        <v>3</v>
      </c>
      <c r="H12437" s="8" t="s">
        <v>50512</v>
      </c>
      <c r="I12437" s="8">
        <v>526.6875</v>
      </c>
      <c r="J12437" s="3">
        <f t="shared" si="194"/>
        <v>43749.39676945602</v>
      </c>
    </row>
    <row r="12438" spans="1:10" x14ac:dyDescent="0.25">
      <c r="A12438" s="5" t="s">
        <v>50513</v>
      </c>
      <c r="B12438" s="6">
        <v>393.75</v>
      </c>
      <c r="C12438" s="6">
        <v>20.426300000000001</v>
      </c>
      <c r="D12438" s="6">
        <v>73</v>
      </c>
      <c r="E12438" s="6">
        <v>0</v>
      </c>
      <c r="F12438" s="6">
        <v>0</v>
      </c>
      <c r="G12438" s="6">
        <v>9</v>
      </c>
      <c r="H12438" s="6" t="s">
        <v>50514</v>
      </c>
      <c r="I12438" s="6">
        <v>526.6875</v>
      </c>
      <c r="J12438" s="2">
        <f t="shared" si="194"/>
        <v>43749.396852210644</v>
      </c>
    </row>
    <row r="12439" spans="1:10" x14ac:dyDescent="0.25">
      <c r="A12439" s="7" t="s">
        <v>50515</v>
      </c>
      <c r="B12439" s="8">
        <v>393.75</v>
      </c>
      <c r="C12439" s="8">
        <v>20.478950000000001</v>
      </c>
      <c r="D12439" s="8">
        <v>73</v>
      </c>
      <c r="E12439" s="8">
        <v>0</v>
      </c>
      <c r="F12439" s="8">
        <v>0</v>
      </c>
      <c r="G12439" s="8">
        <v>0</v>
      </c>
      <c r="H12439" s="8" t="s">
        <v>50516</v>
      </c>
      <c r="I12439" s="8">
        <v>526.6875</v>
      </c>
      <c r="J12439" s="3">
        <f t="shared" si="194"/>
        <v>43749.396923506945</v>
      </c>
    </row>
    <row r="12440" spans="1:10" x14ac:dyDescent="0.25">
      <c r="A12440" s="5" t="s">
        <v>50517</v>
      </c>
      <c r="B12440" s="6">
        <v>393.75</v>
      </c>
      <c r="C12440" s="6">
        <v>20.478950000000001</v>
      </c>
      <c r="D12440" s="6">
        <v>73</v>
      </c>
      <c r="E12440" s="6">
        <v>0</v>
      </c>
      <c r="F12440" s="6">
        <v>0</v>
      </c>
      <c r="G12440" s="6">
        <v>2</v>
      </c>
      <c r="H12440" s="6" t="s">
        <v>50518</v>
      </c>
      <c r="I12440" s="6">
        <v>526.6875</v>
      </c>
      <c r="J12440" s="2">
        <f t="shared" si="194"/>
        <v>43749.396995659721</v>
      </c>
    </row>
    <row r="12441" spans="1:10" x14ac:dyDescent="0.25">
      <c r="A12441" s="7" t="s">
        <v>50519</v>
      </c>
      <c r="B12441" s="8">
        <v>393.75</v>
      </c>
      <c r="C12441" s="8">
        <v>20.478950000000001</v>
      </c>
      <c r="D12441" s="8">
        <v>73</v>
      </c>
      <c r="E12441" s="8">
        <v>0</v>
      </c>
      <c r="F12441" s="8">
        <v>0</v>
      </c>
      <c r="G12441" s="8">
        <v>14</v>
      </c>
      <c r="H12441" s="8" t="s">
        <v>50520</v>
      </c>
      <c r="I12441" s="8">
        <v>526.6875</v>
      </c>
      <c r="J12441" s="3">
        <f t="shared" si="194"/>
        <v>43749.397067314814</v>
      </c>
    </row>
    <row r="12442" spans="1:10" x14ac:dyDescent="0.25">
      <c r="A12442" s="5" t="s">
        <v>50521</v>
      </c>
      <c r="B12442" s="6">
        <v>393.75</v>
      </c>
      <c r="C12442" s="6">
        <v>20.478950000000001</v>
      </c>
      <c r="D12442" s="6">
        <v>73</v>
      </c>
      <c r="E12442" s="6">
        <v>0</v>
      </c>
      <c r="F12442" s="6">
        <v>0</v>
      </c>
      <c r="G12442" s="6">
        <v>12</v>
      </c>
      <c r="H12442" s="6" t="s">
        <v>50522</v>
      </c>
      <c r="I12442" s="6">
        <v>526.5</v>
      </c>
      <c r="J12442" s="2">
        <f t="shared" si="194"/>
        <v>43749.397139259258</v>
      </c>
    </row>
    <row r="12443" spans="1:10" x14ac:dyDescent="0.25">
      <c r="A12443" s="7" t="s">
        <v>50523</v>
      </c>
      <c r="B12443" s="8">
        <v>393.75</v>
      </c>
      <c r="C12443" s="8">
        <v>20.478950000000001</v>
      </c>
      <c r="D12443" s="8">
        <v>70</v>
      </c>
      <c r="E12443" s="8">
        <v>0</v>
      </c>
      <c r="F12443" s="8">
        <v>0</v>
      </c>
      <c r="G12443" s="8">
        <v>2</v>
      </c>
      <c r="H12443" s="8" t="s">
        <v>50524</v>
      </c>
      <c r="I12443" s="8">
        <v>526.6875</v>
      </c>
      <c r="J12443" s="3">
        <f t="shared" si="194"/>
        <v>43749.397222638887</v>
      </c>
    </row>
    <row r="12444" spans="1:10" x14ac:dyDescent="0.25">
      <c r="A12444" s="5" t="s">
        <v>50525</v>
      </c>
      <c r="B12444" s="6">
        <v>396.875</v>
      </c>
      <c r="C12444" s="6">
        <v>20.478950000000001</v>
      </c>
      <c r="D12444" s="6">
        <v>70</v>
      </c>
      <c r="E12444" s="6">
        <v>0</v>
      </c>
      <c r="F12444" s="6">
        <v>0</v>
      </c>
      <c r="G12444" s="6">
        <v>15</v>
      </c>
      <c r="H12444" s="6" t="s">
        <v>50526</v>
      </c>
      <c r="I12444" s="6">
        <v>527.4375</v>
      </c>
      <c r="J12444" s="2">
        <f t="shared" si="194"/>
        <v>43749.397293807873</v>
      </c>
    </row>
    <row r="12445" spans="1:10" x14ac:dyDescent="0.25">
      <c r="A12445" s="7" t="s">
        <v>50527</v>
      </c>
      <c r="B12445" s="8">
        <v>396.875</v>
      </c>
      <c r="C12445" s="8">
        <v>20.478950000000001</v>
      </c>
      <c r="D12445" s="8">
        <v>70</v>
      </c>
      <c r="E12445" s="8">
        <v>0</v>
      </c>
      <c r="F12445" s="8">
        <v>0</v>
      </c>
      <c r="G12445" s="8">
        <v>16</v>
      </c>
      <c r="H12445" s="8" t="s">
        <v>50528</v>
      </c>
      <c r="I12445" s="8">
        <v>527.4375</v>
      </c>
      <c r="J12445" s="3">
        <f t="shared" si="194"/>
        <v>43749.397377152774</v>
      </c>
    </row>
    <row r="12446" spans="1:10" x14ac:dyDescent="0.25">
      <c r="A12446" s="5" t="s">
        <v>50529</v>
      </c>
      <c r="B12446" s="6">
        <v>396.875</v>
      </c>
      <c r="C12446" s="6">
        <v>20.478950000000001</v>
      </c>
      <c r="D12446" s="6">
        <v>70</v>
      </c>
      <c r="E12446" s="6">
        <v>0</v>
      </c>
      <c r="F12446" s="6">
        <v>0</v>
      </c>
      <c r="G12446" s="6">
        <v>6</v>
      </c>
      <c r="H12446" s="6" t="s">
        <v>50530</v>
      </c>
      <c r="I12446" s="6">
        <v>527.4375</v>
      </c>
      <c r="J12446" s="2">
        <f t="shared" si="194"/>
        <v>43749.397450023149</v>
      </c>
    </row>
    <row r="12447" spans="1:10" x14ac:dyDescent="0.25">
      <c r="A12447" s="7" t="s">
        <v>50531</v>
      </c>
      <c r="B12447" s="8">
        <v>396.875</v>
      </c>
      <c r="C12447" s="8">
        <v>20.478950000000001</v>
      </c>
      <c r="D12447" s="8">
        <v>70</v>
      </c>
      <c r="E12447" s="8">
        <v>0</v>
      </c>
      <c r="F12447" s="8">
        <v>0</v>
      </c>
      <c r="G12447" s="8">
        <v>2</v>
      </c>
      <c r="H12447" s="8" t="s">
        <v>50532</v>
      </c>
      <c r="I12447" s="8">
        <v>527.4375</v>
      </c>
      <c r="J12447" s="3">
        <f t="shared" si="194"/>
        <v>43749.397519733793</v>
      </c>
    </row>
    <row r="12448" spans="1:10" x14ac:dyDescent="0.25">
      <c r="A12448" s="5" t="s">
        <v>50533</v>
      </c>
      <c r="B12448" s="6">
        <v>396.875</v>
      </c>
      <c r="C12448" s="6">
        <v>20.478950000000001</v>
      </c>
      <c r="D12448" s="6">
        <v>69</v>
      </c>
      <c r="E12448" s="6">
        <v>0</v>
      </c>
      <c r="F12448" s="6">
        <v>0</v>
      </c>
      <c r="G12448" s="6">
        <v>5</v>
      </c>
      <c r="H12448" s="6" t="s">
        <v>50534</v>
      </c>
      <c r="I12448" s="6">
        <v>527.4375</v>
      </c>
      <c r="J12448" s="2">
        <f t="shared" si="194"/>
        <v>43749.397591956011</v>
      </c>
    </row>
    <row r="12449" spans="1:10" x14ac:dyDescent="0.25">
      <c r="A12449" s="7" t="s">
        <v>50535</v>
      </c>
      <c r="B12449" s="8">
        <v>396.875</v>
      </c>
      <c r="C12449" s="8">
        <v>20.478950000000001</v>
      </c>
      <c r="D12449" s="8">
        <v>69</v>
      </c>
      <c r="E12449" s="8">
        <v>0</v>
      </c>
      <c r="F12449" s="8">
        <v>0</v>
      </c>
      <c r="G12449" s="8">
        <v>1</v>
      </c>
      <c r="H12449" s="8" t="s">
        <v>50536</v>
      </c>
      <c r="I12449" s="8">
        <v>527.4375</v>
      </c>
      <c r="J12449" s="3">
        <f t="shared" si="194"/>
        <v>43749.39766328704</v>
      </c>
    </row>
    <row r="12450" spans="1:10" x14ac:dyDescent="0.25">
      <c r="A12450" s="5" t="s">
        <v>50537</v>
      </c>
      <c r="B12450" s="6">
        <v>396.875</v>
      </c>
      <c r="C12450" s="6">
        <v>20.478950000000001</v>
      </c>
      <c r="D12450" s="6">
        <v>69</v>
      </c>
      <c r="E12450" s="6">
        <v>0</v>
      </c>
      <c r="F12450" s="6">
        <v>0</v>
      </c>
      <c r="G12450" s="6">
        <v>12</v>
      </c>
      <c r="H12450" s="6" t="s">
        <v>50538</v>
      </c>
      <c r="I12450" s="6">
        <v>527.4375</v>
      </c>
      <c r="J12450" s="2">
        <f t="shared" si="194"/>
        <v>43749.397735555554</v>
      </c>
    </row>
    <row r="12451" spans="1:10" x14ac:dyDescent="0.25">
      <c r="A12451" s="7" t="s">
        <v>50539</v>
      </c>
      <c r="B12451" s="8">
        <v>396.875</v>
      </c>
      <c r="C12451" s="8">
        <v>20.478950000000001</v>
      </c>
      <c r="D12451" s="8">
        <v>68</v>
      </c>
      <c r="E12451" s="8">
        <v>0</v>
      </c>
      <c r="F12451" s="8">
        <v>0</v>
      </c>
      <c r="G12451" s="8">
        <v>4</v>
      </c>
      <c r="H12451" s="8" t="s">
        <v>50540</v>
      </c>
      <c r="I12451" s="8">
        <v>527.4375</v>
      </c>
      <c r="J12451" s="3">
        <f t="shared" si="194"/>
        <v>43749.397818923608</v>
      </c>
    </row>
    <row r="12452" spans="1:10" x14ac:dyDescent="0.25">
      <c r="A12452" s="5" t="s">
        <v>50541</v>
      </c>
      <c r="B12452" s="6">
        <v>396.875</v>
      </c>
      <c r="C12452" s="6">
        <v>20.478950000000001</v>
      </c>
      <c r="D12452" s="6">
        <v>69</v>
      </c>
      <c r="E12452" s="6">
        <v>0</v>
      </c>
      <c r="F12452" s="6">
        <v>0</v>
      </c>
      <c r="G12452" s="6">
        <v>3</v>
      </c>
      <c r="H12452" s="6" t="s">
        <v>50542</v>
      </c>
      <c r="I12452" s="6">
        <v>527.4375</v>
      </c>
      <c r="J12452" s="2">
        <f t="shared" si="194"/>
        <v>43749.397890752312</v>
      </c>
    </row>
    <row r="12453" spans="1:10" x14ac:dyDescent="0.25">
      <c r="A12453" s="7" t="s">
        <v>50543</v>
      </c>
      <c r="B12453" s="8">
        <v>415.625</v>
      </c>
      <c r="C12453" s="8">
        <v>20.478950000000001</v>
      </c>
      <c r="D12453" s="8">
        <v>70</v>
      </c>
      <c r="E12453" s="8">
        <v>0</v>
      </c>
      <c r="F12453" s="8">
        <v>0</v>
      </c>
      <c r="G12453" s="8">
        <v>8</v>
      </c>
      <c r="H12453" s="8" t="s">
        <v>50544</v>
      </c>
      <c r="I12453" s="8">
        <v>533.0625</v>
      </c>
      <c r="J12453" s="3">
        <f t="shared" si="194"/>
        <v>43749.397961435177</v>
      </c>
    </row>
    <row r="12454" spans="1:10" x14ac:dyDescent="0.25">
      <c r="A12454" s="5" t="s">
        <v>50545</v>
      </c>
      <c r="B12454" s="6">
        <v>396.875</v>
      </c>
      <c r="C12454" s="6">
        <v>20.478950000000001</v>
      </c>
      <c r="D12454" s="6">
        <v>70</v>
      </c>
      <c r="E12454" s="6">
        <v>0</v>
      </c>
      <c r="F12454" s="6">
        <v>0</v>
      </c>
      <c r="G12454" s="6">
        <v>3</v>
      </c>
      <c r="H12454" s="6" t="s">
        <v>50546</v>
      </c>
      <c r="I12454" s="6">
        <v>527.4375</v>
      </c>
      <c r="J12454" s="2">
        <f t="shared" si="194"/>
        <v>43749.398032592588</v>
      </c>
    </row>
    <row r="12455" spans="1:10" x14ac:dyDescent="0.25">
      <c r="A12455" s="7" t="s">
        <v>50547</v>
      </c>
      <c r="B12455" s="8">
        <v>396.875</v>
      </c>
      <c r="C12455" s="8">
        <v>20.478950000000001</v>
      </c>
      <c r="D12455" s="8">
        <v>72</v>
      </c>
      <c r="E12455" s="8">
        <v>0</v>
      </c>
      <c r="F12455" s="8">
        <v>0</v>
      </c>
      <c r="G12455" s="8">
        <v>12</v>
      </c>
      <c r="H12455" s="8" t="s">
        <v>50548</v>
      </c>
      <c r="I12455" s="8">
        <v>527.4375</v>
      </c>
      <c r="J12455" s="3">
        <f t="shared" si="194"/>
        <v>43749.398104999993</v>
      </c>
    </row>
    <row r="12456" spans="1:10" x14ac:dyDescent="0.25">
      <c r="A12456" s="5" t="s">
        <v>50549</v>
      </c>
      <c r="B12456" s="6">
        <v>400</v>
      </c>
      <c r="C12456" s="6">
        <v>20.478950000000001</v>
      </c>
      <c r="D12456" s="6">
        <v>72</v>
      </c>
      <c r="E12456" s="6">
        <v>0</v>
      </c>
      <c r="F12456" s="6">
        <v>0</v>
      </c>
      <c r="G12456" s="6">
        <v>7</v>
      </c>
      <c r="H12456" s="6" t="s">
        <v>50550</v>
      </c>
      <c r="I12456" s="6">
        <v>528.1875</v>
      </c>
      <c r="J12456" s="2">
        <f t="shared" si="194"/>
        <v>43749.398176215276</v>
      </c>
    </row>
    <row r="12457" spans="1:10" x14ac:dyDescent="0.25">
      <c r="A12457" s="7" t="s">
        <v>50551</v>
      </c>
      <c r="B12457" s="8">
        <v>437.5</v>
      </c>
      <c r="C12457" s="8">
        <v>20.478950000000001</v>
      </c>
      <c r="D12457" s="8">
        <v>72</v>
      </c>
      <c r="E12457" s="8">
        <v>0</v>
      </c>
      <c r="F12457" s="8">
        <v>0</v>
      </c>
      <c r="G12457" s="8">
        <v>8</v>
      </c>
      <c r="H12457" s="8" t="s">
        <v>50552</v>
      </c>
      <c r="I12457" s="8">
        <v>540</v>
      </c>
      <c r="J12457" s="3">
        <f t="shared" si="194"/>
        <v>43749.398247523146</v>
      </c>
    </row>
    <row r="12458" spans="1:10" x14ac:dyDescent="0.25">
      <c r="A12458" s="5" t="s">
        <v>50553</v>
      </c>
      <c r="B12458" s="6">
        <v>400</v>
      </c>
      <c r="C12458" s="6">
        <v>20.478950000000001</v>
      </c>
      <c r="D12458" s="6">
        <v>73</v>
      </c>
      <c r="E12458" s="6">
        <v>0</v>
      </c>
      <c r="F12458" s="6">
        <v>0</v>
      </c>
      <c r="G12458" s="6">
        <v>6</v>
      </c>
      <c r="H12458" s="6" t="s">
        <v>50554</v>
      </c>
      <c r="I12458" s="6">
        <v>528.375</v>
      </c>
      <c r="J12458" s="2">
        <f t="shared" si="194"/>
        <v>43749.398319814813</v>
      </c>
    </row>
    <row r="12459" spans="1:10" x14ac:dyDescent="0.25">
      <c r="A12459" s="7" t="s">
        <v>50555</v>
      </c>
      <c r="B12459" s="8">
        <v>400</v>
      </c>
      <c r="C12459" s="8">
        <v>20.478950000000001</v>
      </c>
      <c r="D12459" s="8">
        <v>74</v>
      </c>
      <c r="E12459" s="8">
        <v>0</v>
      </c>
      <c r="F12459" s="8">
        <v>0</v>
      </c>
      <c r="G12459" s="8">
        <v>10</v>
      </c>
      <c r="H12459" s="8" t="s">
        <v>50556</v>
      </c>
      <c r="I12459" s="8">
        <v>528.1875</v>
      </c>
      <c r="J12459" s="3">
        <f t="shared" si="194"/>
        <v>43749.398391053233</v>
      </c>
    </row>
    <row r="12460" spans="1:10" x14ac:dyDescent="0.25">
      <c r="A12460" s="5" t="s">
        <v>50557</v>
      </c>
      <c r="B12460" s="6">
        <v>400</v>
      </c>
      <c r="C12460" s="6">
        <v>20.478950000000001</v>
      </c>
      <c r="D12460" s="6">
        <v>74</v>
      </c>
      <c r="E12460" s="6">
        <v>0</v>
      </c>
      <c r="F12460" s="6">
        <v>0</v>
      </c>
      <c r="G12460" s="6">
        <v>2</v>
      </c>
      <c r="H12460" s="6" t="s">
        <v>50558</v>
      </c>
      <c r="I12460" s="6">
        <v>528.375</v>
      </c>
      <c r="J12460" s="2">
        <f t="shared" si="194"/>
        <v>43749.398462349534</v>
      </c>
    </row>
    <row r="12461" spans="1:10" x14ac:dyDescent="0.25">
      <c r="A12461" s="7" t="s">
        <v>50559</v>
      </c>
      <c r="B12461" s="8">
        <v>400</v>
      </c>
      <c r="C12461" s="8">
        <v>20.478950000000001</v>
      </c>
      <c r="D12461" s="8">
        <v>74</v>
      </c>
      <c r="E12461" s="8">
        <v>0</v>
      </c>
      <c r="F12461" s="8">
        <v>0</v>
      </c>
      <c r="G12461" s="8">
        <v>2</v>
      </c>
      <c r="H12461" s="8" t="s">
        <v>50560</v>
      </c>
      <c r="I12461" s="8">
        <v>528.375</v>
      </c>
      <c r="J12461" s="3">
        <f t="shared" si="194"/>
        <v>43749.398534664353</v>
      </c>
    </row>
    <row r="12462" spans="1:10" x14ac:dyDescent="0.25">
      <c r="A12462" s="5" t="s">
        <v>50561</v>
      </c>
      <c r="B12462" s="6">
        <v>396.875</v>
      </c>
      <c r="C12462" s="6">
        <v>20.478950000000001</v>
      </c>
      <c r="D12462" s="6">
        <v>74</v>
      </c>
      <c r="E12462" s="6">
        <v>0</v>
      </c>
      <c r="F12462" s="6">
        <v>0</v>
      </c>
      <c r="G12462" s="6">
        <v>9</v>
      </c>
      <c r="H12462" s="6" t="s">
        <v>50562</v>
      </c>
      <c r="I12462" s="6">
        <v>527.4375</v>
      </c>
      <c r="J12462" s="2">
        <f t="shared" si="194"/>
        <v>43749.398605879622</v>
      </c>
    </row>
    <row r="12463" spans="1:10" x14ac:dyDescent="0.25">
      <c r="A12463" s="7" t="s">
        <v>50563</v>
      </c>
      <c r="B12463" s="8">
        <v>396.875</v>
      </c>
      <c r="C12463" s="8">
        <v>20.478950000000001</v>
      </c>
      <c r="D12463" s="8">
        <v>71</v>
      </c>
      <c r="E12463" s="8">
        <v>0</v>
      </c>
      <c r="F12463" s="8">
        <v>0</v>
      </c>
      <c r="G12463" s="8">
        <v>0</v>
      </c>
      <c r="H12463" s="8" t="s">
        <v>50564</v>
      </c>
      <c r="I12463" s="8">
        <v>527.4375</v>
      </c>
      <c r="J12463" s="3">
        <f t="shared" si="194"/>
        <v>43749.398677152778</v>
      </c>
    </row>
    <row r="12464" spans="1:10" x14ac:dyDescent="0.25">
      <c r="A12464" s="5" t="s">
        <v>50565</v>
      </c>
      <c r="B12464" s="6">
        <v>396.875</v>
      </c>
      <c r="C12464" s="6">
        <v>20.478950000000001</v>
      </c>
      <c r="D12464" s="6">
        <v>71</v>
      </c>
      <c r="E12464" s="6">
        <v>0</v>
      </c>
      <c r="F12464" s="6">
        <v>0</v>
      </c>
      <c r="G12464" s="6">
        <v>2</v>
      </c>
      <c r="H12464" s="6" t="s">
        <v>50566</v>
      </c>
      <c r="I12464" s="6">
        <v>527.4375</v>
      </c>
      <c r="J12464" s="2">
        <f t="shared" si="194"/>
        <v>43749.398748449072</v>
      </c>
    </row>
    <row r="12465" spans="1:10" x14ac:dyDescent="0.25">
      <c r="A12465" s="7" t="s">
        <v>50567</v>
      </c>
      <c r="B12465" s="8">
        <v>400</v>
      </c>
      <c r="C12465" s="8">
        <v>20.478950000000001</v>
      </c>
      <c r="D12465" s="8">
        <v>71</v>
      </c>
      <c r="E12465" s="8">
        <v>0</v>
      </c>
      <c r="F12465" s="8">
        <v>0</v>
      </c>
      <c r="G12465" s="8">
        <v>1</v>
      </c>
      <c r="H12465" s="8" t="s">
        <v>50568</v>
      </c>
      <c r="I12465" s="8">
        <v>528.1875</v>
      </c>
      <c r="J12465" s="3">
        <f t="shared" si="194"/>
        <v>43749.398820740738</v>
      </c>
    </row>
    <row r="12466" spans="1:10" x14ac:dyDescent="0.25">
      <c r="A12466" s="5" t="s">
        <v>50569</v>
      </c>
      <c r="B12466" s="6">
        <v>418.75</v>
      </c>
      <c r="C12466" s="6">
        <v>20.478950000000001</v>
      </c>
      <c r="D12466" s="6">
        <v>71</v>
      </c>
      <c r="E12466" s="6">
        <v>0</v>
      </c>
      <c r="F12466" s="6">
        <v>0</v>
      </c>
      <c r="G12466" s="6">
        <v>9</v>
      </c>
      <c r="H12466" s="6" t="s">
        <v>50570</v>
      </c>
      <c r="I12466" s="6">
        <v>534</v>
      </c>
      <c r="J12466" s="2">
        <f t="shared" si="194"/>
        <v>43749.39889196759</v>
      </c>
    </row>
    <row r="12467" spans="1:10" x14ac:dyDescent="0.25">
      <c r="A12467" s="7" t="s">
        <v>50571</v>
      </c>
      <c r="B12467" s="8">
        <v>396.875</v>
      </c>
      <c r="C12467" s="8">
        <v>20.478950000000001</v>
      </c>
      <c r="D12467" s="8">
        <v>71</v>
      </c>
      <c r="E12467" s="8">
        <v>0</v>
      </c>
      <c r="F12467" s="8">
        <v>0</v>
      </c>
      <c r="G12467" s="8">
        <v>0</v>
      </c>
      <c r="H12467" s="8" t="s">
        <v>50572</v>
      </c>
      <c r="I12467" s="8">
        <v>527.4375</v>
      </c>
      <c r="J12467" s="3">
        <f t="shared" si="194"/>
        <v>43749.398987291665</v>
      </c>
    </row>
    <row r="12468" spans="1:10" x14ac:dyDescent="0.25">
      <c r="A12468" s="5" t="s">
        <v>50573</v>
      </c>
      <c r="B12468" s="6">
        <v>396.875</v>
      </c>
      <c r="C12468" s="6">
        <v>20.478950000000001</v>
      </c>
      <c r="D12468" s="6">
        <v>71</v>
      </c>
      <c r="E12468" s="6">
        <v>0</v>
      </c>
      <c r="F12468" s="6">
        <v>0</v>
      </c>
      <c r="G12468" s="6">
        <v>3</v>
      </c>
      <c r="H12468" s="6" t="s">
        <v>50574</v>
      </c>
      <c r="I12468" s="6">
        <v>527.4375</v>
      </c>
      <c r="J12468" s="2">
        <f t="shared" si="194"/>
        <v>43749.399070740743</v>
      </c>
    </row>
    <row r="12469" spans="1:10" x14ac:dyDescent="0.25">
      <c r="A12469" s="7" t="s">
        <v>50575</v>
      </c>
      <c r="B12469" s="8">
        <v>393.75</v>
      </c>
      <c r="C12469" s="8">
        <v>20.478950000000001</v>
      </c>
      <c r="D12469" s="8">
        <v>73</v>
      </c>
      <c r="E12469" s="8">
        <v>0</v>
      </c>
      <c r="F12469" s="8">
        <v>0</v>
      </c>
      <c r="G12469" s="8">
        <v>4</v>
      </c>
      <c r="H12469" s="8" t="s">
        <v>50576</v>
      </c>
      <c r="I12469" s="8">
        <v>526.6875</v>
      </c>
      <c r="J12469" s="3">
        <f t="shared" si="194"/>
        <v>43749.399153946761</v>
      </c>
    </row>
    <row r="12470" spans="1:10" x14ac:dyDescent="0.25">
      <c r="A12470" s="5" t="s">
        <v>50577</v>
      </c>
      <c r="B12470" s="6">
        <v>393.75</v>
      </c>
      <c r="C12470" s="6">
        <v>20.478950000000001</v>
      </c>
      <c r="D12470" s="6">
        <v>73</v>
      </c>
      <c r="E12470" s="6">
        <v>0</v>
      </c>
      <c r="F12470" s="6">
        <v>0</v>
      </c>
      <c r="G12470" s="6">
        <v>7</v>
      </c>
      <c r="H12470" s="6" t="s">
        <v>50578</v>
      </c>
      <c r="I12470" s="6">
        <v>526.5</v>
      </c>
      <c r="J12470" s="2">
        <f t="shared" si="194"/>
        <v>43749.399225312496</v>
      </c>
    </row>
    <row r="12471" spans="1:10" x14ac:dyDescent="0.25">
      <c r="A12471" s="7" t="s">
        <v>50579</v>
      </c>
      <c r="B12471" s="8">
        <v>418.75</v>
      </c>
      <c r="C12471" s="8">
        <v>20.478950000000001</v>
      </c>
      <c r="D12471" s="8">
        <v>74</v>
      </c>
      <c r="E12471" s="8">
        <v>0</v>
      </c>
      <c r="F12471" s="8">
        <v>0</v>
      </c>
      <c r="G12471" s="8">
        <v>5</v>
      </c>
      <c r="H12471" s="8" t="s">
        <v>50580</v>
      </c>
      <c r="I12471" s="8">
        <v>534.5625</v>
      </c>
      <c r="J12471" s="3">
        <f t="shared" si="194"/>
        <v>43749.399297465272</v>
      </c>
    </row>
    <row r="12472" spans="1:10" x14ac:dyDescent="0.25">
      <c r="A12472" s="5" t="s">
        <v>50581</v>
      </c>
      <c r="B12472" s="6">
        <v>393.75</v>
      </c>
      <c r="C12472" s="6">
        <v>20.478950000000001</v>
      </c>
      <c r="D12472" s="6">
        <v>74</v>
      </c>
      <c r="E12472" s="6">
        <v>0</v>
      </c>
      <c r="F12472" s="6">
        <v>0</v>
      </c>
      <c r="G12472" s="6">
        <v>9</v>
      </c>
      <c r="H12472" s="6" t="s">
        <v>50582</v>
      </c>
      <c r="I12472" s="6">
        <v>526.6875</v>
      </c>
      <c r="J12472" s="2">
        <f t="shared" si="194"/>
        <v>43749.399373113425</v>
      </c>
    </row>
    <row r="12473" spans="1:10" x14ac:dyDescent="0.25">
      <c r="A12473" s="7" t="s">
        <v>50583</v>
      </c>
      <c r="B12473" s="8">
        <v>393.75</v>
      </c>
      <c r="C12473" s="8">
        <v>20.478950000000001</v>
      </c>
      <c r="D12473" s="8">
        <v>77</v>
      </c>
      <c r="E12473" s="8">
        <v>0</v>
      </c>
      <c r="F12473" s="8">
        <v>0</v>
      </c>
      <c r="G12473" s="8">
        <v>0</v>
      </c>
      <c r="H12473" s="8" t="s">
        <v>50584</v>
      </c>
      <c r="I12473" s="8">
        <v>526.6875</v>
      </c>
      <c r="J12473" s="3">
        <f t="shared" si="194"/>
        <v>43749.399452094905</v>
      </c>
    </row>
    <row r="12474" spans="1:10" x14ac:dyDescent="0.25">
      <c r="A12474" s="5" t="s">
        <v>50585</v>
      </c>
      <c r="B12474" s="6">
        <v>393.75</v>
      </c>
      <c r="C12474" s="6">
        <v>20.478950000000001</v>
      </c>
      <c r="D12474" s="6">
        <v>76</v>
      </c>
      <c r="E12474" s="6">
        <v>0</v>
      </c>
      <c r="F12474" s="6">
        <v>0</v>
      </c>
      <c r="G12474" s="6">
        <v>0</v>
      </c>
      <c r="H12474" s="6" t="s">
        <v>50586</v>
      </c>
      <c r="I12474" s="6">
        <v>526.6875</v>
      </c>
      <c r="J12474" s="2">
        <f t="shared" si="194"/>
        <v>43749.39952431713</v>
      </c>
    </row>
    <row r="12475" spans="1:10" x14ac:dyDescent="0.25">
      <c r="A12475" s="7" t="s">
        <v>50587</v>
      </c>
      <c r="B12475" s="8">
        <v>393.75</v>
      </c>
      <c r="C12475" s="8">
        <v>20.478950000000001</v>
      </c>
      <c r="D12475" s="8">
        <v>77</v>
      </c>
      <c r="E12475" s="8">
        <v>0</v>
      </c>
      <c r="F12475" s="8">
        <v>0</v>
      </c>
      <c r="G12475" s="8">
        <v>3</v>
      </c>
      <c r="H12475" s="8" t="s">
        <v>50588</v>
      </c>
      <c r="I12475" s="8">
        <v>526.6875</v>
      </c>
      <c r="J12475" s="3">
        <f t="shared" si="194"/>
        <v>43749.399595798612</v>
      </c>
    </row>
    <row r="12476" spans="1:10" x14ac:dyDescent="0.25">
      <c r="A12476" s="5" t="s">
        <v>50589</v>
      </c>
      <c r="B12476" s="6">
        <v>393.75</v>
      </c>
      <c r="C12476" s="6">
        <v>20.478950000000001</v>
      </c>
      <c r="D12476" s="6">
        <v>76</v>
      </c>
      <c r="E12476" s="6">
        <v>0</v>
      </c>
      <c r="F12476" s="6">
        <v>0</v>
      </c>
      <c r="G12476" s="6">
        <v>7</v>
      </c>
      <c r="H12476" s="6" t="s">
        <v>50590</v>
      </c>
      <c r="I12476" s="6">
        <v>526.6875</v>
      </c>
      <c r="J12476" s="2">
        <f t="shared" si="194"/>
        <v>43749.399683298609</v>
      </c>
    </row>
    <row r="12477" spans="1:10" x14ac:dyDescent="0.25">
      <c r="A12477" s="7" t="s">
        <v>50591</v>
      </c>
      <c r="B12477" s="8">
        <v>393.75</v>
      </c>
      <c r="C12477" s="8">
        <v>20.478950000000001</v>
      </c>
      <c r="D12477" s="8">
        <v>77</v>
      </c>
      <c r="E12477" s="8">
        <v>0</v>
      </c>
      <c r="F12477" s="8">
        <v>0</v>
      </c>
      <c r="G12477" s="8">
        <v>1</v>
      </c>
      <c r="H12477" s="8" t="s">
        <v>50592</v>
      </c>
      <c r="I12477" s="8">
        <v>526.6875</v>
      </c>
      <c r="J12477" s="3">
        <f t="shared" si="194"/>
        <v>43749.399762349531</v>
      </c>
    </row>
    <row r="12478" spans="1:10" x14ac:dyDescent="0.25">
      <c r="A12478" s="5" t="s">
        <v>50593</v>
      </c>
      <c r="B12478" s="6">
        <v>393.75</v>
      </c>
      <c r="C12478" s="6">
        <v>20.478950000000001</v>
      </c>
      <c r="D12478" s="6">
        <v>77</v>
      </c>
      <c r="E12478" s="6">
        <v>0</v>
      </c>
      <c r="F12478" s="6">
        <v>0</v>
      </c>
      <c r="G12478" s="6">
        <v>10</v>
      </c>
      <c r="H12478" s="6" t="s">
        <v>50594</v>
      </c>
      <c r="I12478" s="6">
        <v>526.6875</v>
      </c>
      <c r="J12478" s="2">
        <f t="shared" si="194"/>
        <v>43749.399835625001</v>
      </c>
    </row>
    <row r="12479" spans="1:10" x14ac:dyDescent="0.25">
      <c r="A12479" s="7" t="s">
        <v>50595</v>
      </c>
      <c r="B12479" s="8">
        <v>393.75</v>
      </c>
      <c r="C12479" s="8">
        <v>20.478950000000001</v>
      </c>
      <c r="D12479" s="8">
        <v>76</v>
      </c>
      <c r="E12479" s="8">
        <v>0</v>
      </c>
      <c r="F12479" s="8">
        <v>0</v>
      </c>
      <c r="G12479" s="8">
        <v>13</v>
      </c>
      <c r="H12479" s="8" t="s">
        <v>50596</v>
      </c>
      <c r="I12479" s="8">
        <v>526.6875</v>
      </c>
      <c r="J12479" s="3">
        <f t="shared" si="194"/>
        <v>43749.399917372684</v>
      </c>
    </row>
    <row r="12480" spans="1:10" x14ac:dyDescent="0.25">
      <c r="A12480" s="5" t="s">
        <v>50597</v>
      </c>
      <c r="B12480" s="6">
        <v>393.75</v>
      </c>
      <c r="C12480" s="6">
        <v>20.478950000000001</v>
      </c>
      <c r="D12480" s="6">
        <v>76</v>
      </c>
      <c r="E12480" s="6">
        <v>0</v>
      </c>
      <c r="F12480" s="6">
        <v>0</v>
      </c>
      <c r="G12480" s="6">
        <v>10</v>
      </c>
      <c r="H12480" s="6" t="s">
        <v>50598</v>
      </c>
      <c r="I12480" s="6">
        <v>526.6875</v>
      </c>
      <c r="J12480" s="2">
        <f t="shared" si="194"/>
        <v>43749.400000821755</v>
      </c>
    </row>
    <row r="12481" spans="1:10" x14ac:dyDescent="0.25">
      <c r="A12481" s="7" t="s">
        <v>50599</v>
      </c>
      <c r="B12481" s="8">
        <v>393.75</v>
      </c>
      <c r="C12481" s="8">
        <v>20.478950000000001</v>
      </c>
      <c r="D12481" s="8">
        <v>76</v>
      </c>
      <c r="E12481" s="8">
        <v>0</v>
      </c>
      <c r="F12481" s="8">
        <v>0</v>
      </c>
      <c r="G12481" s="8">
        <v>8</v>
      </c>
      <c r="H12481" s="8" t="s">
        <v>50600</v>
      </c>
      <c r="I12481" s="8">
        <v>526.6875</v>
      </c>
      <c r="J12481" s="3">
        <f t="shared" si="194"/>
        <v>43749.400072418975</v>
      </c>
    </row>
    <row r="12482" spans="1:10" x14ac:dyDescent="0.25">
      <c r="A12482" s="5" t="s">
        <v>50601</v>
      </c>
      <c r="B12482" s="6">
        <v>393.75</v>
      </c>
      <c r="C12482" s="6">
        <v>20.478950000000001</v>
      </c>
      <c r="D12482" s="6">
        <v>76</v>
      </c>
      <c r="E12482" s="6">
        <v>0</v>
      </c>
      <c r="F12482" s="6">
        <v>0</v>
      </c>
      <c r="G12482" s="6">
        <v>19</v>
      </c>
      <c r="H12482" s="6" t="s">
        <v>50602</v>
      </c>
      <c r="I12482" s="6">
        <v>526.6875</v>
      </c>
      <c r="J12482" s="2">
        <f t="shared" ref="J12482:J12545" si="195">(H12482/86400000)+25569+(7/24)</f>
        <v>43749.400144108797</v>
      </c>
    </row>
    <row r="12483" spans="1:10" x14ac:dyDescent="0.25">
      <c r="A12483" s="7" t="s">
        <v>50603</v>
      </c>
      <c r="B12483" s="8">
        <v>396.875</v>
      </c>
      <c r="C12483" s="8">
        <v>20.478950000000001</v>
      </c>
      <c r="D12483" s="8">
        <v>75</v>
      </c>
      <c r="E12483" s="8">
        <v>0</v>
      </c>
      <c r="F12483" s="8">
        <v>0</v>
      </c>
      <c r="G12483" s="8">
        <v>6</v>
      </c>
      <c r="H12483" s="8" t="s">
        <v>50604</v>
      </c>
      <c r="I12483" s="8">
        <v>527.4375</v>
      </c>
      <c r="J12483" s="3">
        <f t="shared" si="195"/>
        <v>43749.400239444447</v>
      </c>
    </row>
    <row r="12484" spans="1:10" x14ac:dyDescent="0.25">
      <c r="A12484" s="5" t="s">
        <v>50605</v>
      </c>
      <c r="B12484" s="6">
        <v>393.75</v>
      </c>
      <c r="C12484" s="6">
        <v>20.478950000000001</v>
      </c>
      <c r="D12484" s="6">
        <v>75</v>
      </c>
      <c r="E12484" s="6">
        <v>0</v>
      </c>
      <c r="F12484" s="6">
        <v>0</v>
      </c>
      <c r="G12484" s="6">
        <v>13</v>
      </c>
      <c r="H12484" s="6" t="s">
        <v>50606</v>
      </c>
      <c r="I12484" s="6">
        <v>526.6875</v>
      </c>
      <c r="J12484" s="2">
        <f t="shared" si="195"/>
        <v>43749.400323009257</v>
      </c>
    </row>
    <row r="12485" spans="1:10" x14ac:dyDescent="0.25">
      <c r="A12485" s="7" t="s">
        <v>50607</v>
      </c>
      <c r="B12485" s="8">
        <v>393.75</v>
      </c>
      <c r="C12485" s="8">
        <v>20.478950000000001</v>
      </c>
      <c r="D12485" s="8">
        <v>74</v>
      </c>
      <c r="E12485" s="8">
        <v>0</v>
      </c>
      <c r="F12485" s="8">
        <v>0</v>
      </c>
      <c r="G12485" s="8">
        <v>15</v>
      </c>
      <c r="H12485" s="8" t="s">
        <v>50608</v>
      </c>
      <c r="I12485" s="8">
        <v>526.6875</v>
      </c>
      <c r="J12485" s="3">
        <f t="shared" si="195"/>
        <v>43749.400406469904</v>
      </c>
    </row>
    <row r="12486" spans="1:10" x14ac:dyDescent="0.25">
      <c r="A12486" s="5" t="s">
        <v>50609</v>
      </c>
      <c r="B12486" s="6">
        <v>396.875</v>
      </c>
      <c r="C12486" s="6">
        <v>20.478950000000001</v>
      </c>
      <c r="D12486" s="6">
        <v>73</v>
      </c>
      <c r="E12486" s="6">
        <v>0</v>
      </c>
      <c r="F12486" s="6">
        <v>0</v>
      </c>
      <c r="G12486" s="6">
        <v>20</v>
      </c>
      <c r="H12486" s="6" t="s">
        <v>50610</v>
      </c>
      <c r="I12486" s="6">
        <v>527.4375</v>
      </c>
      <c r="J12486" s="2">
        <f t="shared" si="195"/>
        <v>43749.400477997682</v>
      </c>
    </row>
    <row r="12487" spans="1:10" x14ac:dyDescent="0.25">
      <c r="A12487" s="7" t="s">
        <v>50611</v>
      </c>
      <c r="B12487" s="8">
        <v>396.875</v>
      </c>
      <c r="C12487" s="8">
        <v>20.478950000000001</v>
      </c>
      <c r="D12487" s="8">
        <v>73</v>
      </c>
      <c r="E12487" s="8">
        <v>0</v>
      </c>
      <c r="F12487" s="8">
        <v>0</v>
      </c>
      <c r="G12487" s="8">
        <v>14</v>
      </c>
      <c r="H12487" s="8" t="s">
        <v>50612</v>
      </c>
      <c r="I12487" s="8">
        <v>527.4375</v>
      </c>
      <c r="J12487" s="3">
        <f t="shared" si="195"/>
        <v>43749.400561469905</v>
      </c>
    </row>
    <row r="12488" spans="1:10" x14ac:dyDescent="0.25">
      <c r="A12488" s="5" t="s">
        <v>50613</v>
      </c>
      <c r="B12488" s="6">
        <v>415.625</v>
      </c>
      <c r="C12488" s="6">
        <v>20.478950000000001</v>
      </c>
      <c r="D12488" s="6">
        <v>74</v>
      </c>
      <c r="E12488" s="6">
        <v>0</v>
      </c>
      <c r="F12488" s="6">
        <v>0</v>
      </c>
      <c r="G12488" s="6">
        <v>14</v>
      </c>
      <c r="H12488" s="6" t="s">
        <v>50614</v>
      </c>
      <c r="I12488" s="6">
        <v>533.25</v>
      </c>
      <c r="J12488" s="2">
        <f t="shared" si="195"/>
        <v>43749.40064501157</v>
      </c>
    </row>
    <row r="12489" spans="1:10" x14ac:dyDescent="0.25">
      <c r="A12489" s="7" t="s">
        <v>50615</v>
      </c>
      <c r="B12489" s="8">
        <v>396.875</v>
      </c>
      <c r="C12489" s="8">
        <v>20.478950000000001</v>
      </c>
      <c r="D12489" s="8">
        <v>73</v>
      </c>
      <c r="E12489" s="8">
        <v>0</v>
      </c>
      <c r="F12489" s="8">
        <v>0</v>
      </c>
      <c r="G12489" s="8">
        <v>16</v>
      </c>
      <c r="H12489" s="8" t="s">
        <v>50616</v>
      </c>
      <c r="I12489" s="8">
        <v>527.4375</v>
      </c>
      <c r="J12489" s="3">
        <f t="shared" si="195"/>
        <v>43749.400751967587</v>
      </c>
    </row>
    <row r="12490" spans="1:10" x14ac:dyDescent="0.25">
      <c r="A12490" s="5" t="s">
        <v>50617</v>
      </c>
      <c r="B12490" s="6">
        <v>396.875</v>
      </c>
      <c r="C12490" s="6">
        <v>20.478950000000001</v>
      </c>
      <c r="D12490" s="6">
        <v>73</v>
      </c>
      <c r="E12490" s="6">
        <v>0</v>
      </c>
      <c r="F12490" s="6">
        <v>0</v>
      </c>
      <c r="G12490" s="6">
        <v>13</v>
      </c>
      <c r="H12490" s="6" t="s">
        <v>50618</v>
      </c>
      <c r="I12490" s="6">
        <v>527.4375</v>
      </c>
      <c r="J12490" s="2">
        <f t="shared" si="195"/>
        <v>43749.400835405089</v>
      </c>
    </row>
    <row r="12491" spans="1:10" x14ac:dyDescent="0.25">
      <c r="A12491" s="7" t="s">
        <v>50619</v>
      </c>
      <c r="B12491" s="8">
        <v>393.75</v>
      </c>
      <c r="C12491" s="8">
        <v>20.478950000000001</v>
      </c>
      <c r="D12491" s="8">
        <v>73</v>
      </c>
      <c r="E12491" s="8">
        <v>0</v>
      </c>
      <c r="F12491" s="8">
        <v>0</v>
      </c>
      <c r="G12491" s="8">
        <v>7</v>
      </c>
      <c r="H12491" s="8" t="s">
        <v>50620</v>
      </c>
      <c r="I12491" s="8">
        <v>526.6875</v>
      </c>
      <c r="J12491" s="3">
        <f t="shared" si="195"/>
        <v>43749.400907268515</v>
      </c>
    </row>
    <row r="12492" spans="1:10" x14ac:dyDescent="0.25">
      <c r="A12492" s="5" t="s">
        <v>50621</v>
      </c>
      <c r="B12492" s="6">
        <v>393.75</v>
      </c>
      <c r="C12492" s="6">
        <v>20.478950000000001</v>
      </c>
      <c r="D12492" s="6">
        <v>73</v>
      </c>
      <c r="E12492" s="6">
        <v>0</v>
      </c>
      <c r="F12492" s="6">
        <v>0</v>
      </c>
      <c r="G12492" s="6">
        <v>7</v>
      </c>
      <c r="H12492" s="6" t="s">
        <v>50622</v>
      </c>
      <c r="I12492" s="6">
        <v>526.6875</v>
      </c>
      <c r="J12492" s="2">
        <f t="shared" si="195"/>
        <v>43749.400990856484</v>
      </c>
    </row>
    <row r="12493" spans="1:10" x14ac:dyDescent="0.25">
      <c r="A12493" s="7" t="s">
        <v>50623</v>
      </c>
      <c r="B12493" s="8">
        <v>393.75</v>
      </c>
      <c r="C12493" s="8">
        <v>20.478950000000001</v>
      </c>
      <c r="D12493" s="8">
        <v>73</v>
      </c>
      <c r="E12493" s="8">
        <v>0</v>
      </c>
      <c r="F12493" s="8">
        <v>0</v>
      </c>
      <c r="G12493" s="8">
        <v>16</v>
      </c>
      <c r="H12493" s="8" t="s">
        <v>50624</v>
      </c>
      <c r="I12493" s="8">
        <v>526.6875</v>
      </c>
      <c r="J12493" s="3">
        <f t="shared" si="195"/>
        <v>43749.401074293979</v>
      </c>
    </row>
    <row r="12494" spans="1:10" x14ac:dyDescent="0.25">
      <c r="A12494" s="5" t="s">
        <v>50625</v>
      </c>
      <c r="B12494" s="6">
        <v>393.75</v>
      </c>
      <c r="C12494" s="6">
        <v>20.478950000000001</v>
      </c>
      <c r="D12494" s="6">
        <v>73</v>
      </c>
      <c r="E12494" s="6">
        <v>0</v>
      </c>
      <c r="F12494" s="6">
        <v>0</v>
      </c>
      <c r="G12494" s="6">
        <v>7</v>
      </c>
      <c r="H12494" s="6" t="s">
        <v>50626</v>
      </c>
      <c r="I12494" s="6">
        <v>526.6875</v>
      </c>
      <c r="J12494" s="2">
        <f t="shared" si="195"/>
        <v>43749.401157754626</v>
      </c>
    </row>
    <row r="12495" spans="1:10" x14ac:dyDescent="0.25">
      <c r="A12495" s="7" t="s">
        <v>50627</v>
      </c>
      <c r="B12495" s="8">
        <v>393.75</v>
      </c>
      <c r="C12495" s="8">
        <v>20.478950000000001</v>
      </c>
      <c r="D12495" s="8">
        <v>73</v>
      </c>
      <c r="E12495" s="8">
        <v>0</v>
      </c>
      <c r="F12495" s="8">
        <v>0</v>
      </c>
      <c r="G12495" s="8">
        <v>11</v>
      </c>
      <c r="H12495" s="8" t="s">
        <v>50628</v>
      </c>
      <c r="I12495" s="8">
        <v>526.6875</v>
      </c>
      <c r="J12495" s="3">
        <f t="shared" si="195"/>
        <v>43749.401241296298</v>
      </c>
    </row>
    <row r="12496" spans="1:10" x14ac:dyDescent="0.25">
      <c r="A12496" s="5" t="s">
        <v>50629</v>
      </c>
      <c r="B12496" s="6">
        <v>393.75</v>
      </c>
      <c r="C12496" s="6">
        <v>20.478950000000001</v>
      </c>
      <c r="D12496" s="6">
        <v>73</v>
      </c>
      <c r="E12496" s="6">
        <v>0</v>
      </c>
      <c r="F12496" s="6">
        <v>0</v>
      </c>
      <c r="G12496" s="6">
        <v>10</v>
      </c>
      <c r="H12496" s="6" t="s">
        <v>50630</v>
      </c>
      <c r="I12496" s="6">
        <v>526.6875</v>
      </c>
      <c r="J12496" s="2">
        <f t="shared" si="195"/>
        <v>43749.401324756946</v>
      </c>
    </row>
    <row r="12497" spans="1:10" x14ac:dyDescent="0.25">
      <c r="A12497" s="7" t="s">
        <v>50631</v>
      </c>
      <c r="B12497" s="8">
        <v>393.75</v>
      </c>
      <c r="C12497" s="8">
        <v>20.478950000000001</v>
      </c>
      <c r="D12497" s="8">
        <v>72</v>
      </c>
      <c r="E12497" s="8">
        <v>0</v>
      </c>
      <c r="F12497" s="8">
        <v>0</v>
      </c>
      <c r="G12497" s="8">
        <v>11</v>
      </c>
      <c r="H12497" s="8" t="s">
        <v>50632</v>
      </c>
      <c r="I12497" s="8">
        <v>526.6875</v>
      </c>
      <c r="J12497" s="3">
        <f t="shared" si="195"/>
        <v>43749.401408206017</v>
      </c>
    </row>
    <row r="12498" spans="1:10" x14ac:dyDescent="0.25">
      <c r="A12498" s="5" t="s">
        <v>50633</v>
      </c>
      <c r="B12498" s="6">
        <v>393.75</v>
      </c>
      <c r="C12498" s="6">
        <v>20.478950000000001</v>
      </c>
      <c r="D12498" s="6">
        <v>74</v>
      </c>
      <c r="E12498" s="6">
        <v>0</v>
      </c>
      <c r="F12498" s="6">
        <v>0</v>
      </c>
      <c r="G12498" s="6">
        <v>18</v>
      </c>
      <c r="H12498" s="6" t="s">
        <v>50634</v>
      </c>
      <c r="I12498" s="6">
        <v>526.6875</v>
      </c>
      <c r="J12498" s="2">
        <f t="shared" si="195"/>
        <v>43749.401491643519</v>
      </c>
    </row>
    <row r="12499" spans="1:10" x14ac:dyDescent="0.25">
      <c r="A12499" s="7" t="s">
        <v>50635</v>
      </c>
      <c r="B12499" s="8">
        <v>415.625</v>
      </c>
      <c r="C12499" s="8">
        <v>20.478950000000001</v>
      </c>
      <c r="D12499" s="8">
        <v>74</v>
      </c>
      <c r="E12499" s="8">
        <v>0</v>
      </c>
      <c r="F12499" s="8">
        <v>0</v>
      </c>
      <c r="G12499" s="8">
        <v>17</v>
      </c>
      <c r="H12499" s="8" t="s">
        <v>50636</v>
      </c>
      <c r="I12499" s="8">
        <v>533.25</v>
      </c>
      <c r="J12499" s="3">
        <f t="shared" si="195"/>
        <v>43749.401574884258</v>
      </c>
    </row>
    <row r="12500" spans="1:10" x14ac:dyDescent="0.25">
      <c r="A12500" s="5" t="s">
        <v>50637</v>
      </c>
      <c r="B12500" s="6">
        <v>393.75</v>
      </c>
      <c r="C12500" s="6">
        <v>20.478950000000001</v>
      </c>
      <c r="D12500" s="6">
        <v>73</v>
      </c>
      <c r="E12500" s="6">
        <v>0</v>
      </c>
      <c r="F12500" s="6">
        <v>0</v>
      </c>
      <c r="G12500" s="6">
        <v>7</v>
      </c>
      <c r="H12500" s="6" t="s">
        <v>50638</v>
      </c>
      <c r="I12500" s="6">
        <v>526.6875</v>
      </c>
      <c r="J12500" s="2">
        <f t="shared" si="195"/>
        <v>43749.401670659725</v>
      </c>
    </row>
    <row r="12501" spans="1:10" x14ac:dyDescent="0.25">
      <c r="A12501" s="7" t="s">
        <v>50639</v>
      </c>
      <c r="B12501" s="8">
        <v>412.5</v>
      </c>
      <c r="C12501" s="8">
        <v>20.478950000000001</v>
      </c>
      <c r="D12501" s="8">
        <v>72</v>
      </c>
      <c r="E12501" s="8">
        <v>0</v>
      </c>
      <c r="F12501" s="8">
        <v>0</v>
      </c>
      <c r="G12501" s="8">
        <v>5</v>
      </c>
      <c r="H12501" s="8" t="s">
        <v>50640</v>
      </c>
      <c r="I12501" s="8">
        <v>532.3125</v>
      </c>
      <c r="J12501" s="3">
        <f t="shared" si="195"/>
        <v>43749.401754085644</v>
      </c>
    </row>
    <row r="12502" spans="1:10" x14ac:dyDescent="0.25">
      <c r="A12502" s="5" t="s">
        <v>50641</v>
      </c>
      <c r="B12502" s="6">
        <v>393.75</v>
      </c>
      <c r="C12502" s="6">
        <v>20.478950000000001</v>
      </c>
      <c r="D12502" s="6">
        <v>71</v>
      </c>
      <c r="E12502" s="6">
        <v>0</v>
      </c>
      <c r="F12502" s="6">
        <v>0</v>
      </c>
      <c r="G12502" s="6">
        <v>14</v>
      </c>
      <c r="H12502" s="6" t="s">
        <v>50642</v>
      </c>
      <c r="I12502" s="6">
        <v>526.6875</v>
      </c>
      <c r="J12502" s="2">
        <f t="shared" si="195"/>
        <v>43749.40183766203</v>
      </c>
    </row>
    <row r="12503" spans="1:10" x14ac:dyDescent="0.25">
      <c r="A12503" s="7" t="s">
        <v>50643</v>
      </c>
      <c r="B12503" s="8">
        <v>393.75</v>
      </c>
      <c r="C12503" s="8">
        <v>20.478950000000001</v>
      </c>
      <c r="D12503" s="8">
        <v>71</v>
      </c>
      <c r="E12503" s="8">
        <v>0</v>
      </c>
      <c r="F12503" s="8">
        <v>0</v>
      </c>
      <c r="G12503" s="8">
        <v>11</v>
      </c>
      <c r="H12503" s="8" t="s">
        <v>50644</v>
      </c>
      <c r="I12503" s="8">
        <v>526.6875</v>
      </c>
      <c r="J12503" s="3">
        <f t="shared" si="195"/>
        <v>43749.401921111108</v>
      </c>
    </row>
    <row r="12504" spans="1:10" x14ac:dyDescent="0.25">
      <c r="A12504" s="5" t="s">
        <v>50645</v>
      </c>
      <c r="B12504" s="6">
        <v>393.75</v>
      </c>
      <c r="C12504" s="6">
        <v>20.478950000000001</v>
      </c>
      <c r="D12504" s="6">
        <v>71</v>
      </c>
      <c r="E12504" s="6">
        <v>0</v>
      </c>
      <c r="F12504" s="6">
        <v>0</v>
      </c>
      <c r="G12504" s="6">
        <v>22</v>
      </c>
      <c r="H12504" s="6" t="s">
        <v>50646</v>
      </c>
      <c r="I12504" s="6">
        <v>526.6875</v>
      </c>
      <c r="J12504" s="2">
        <f t="shared" si="195"/>
        <v>43749.40200465278</v>
      </c>
    </row>
    <row r="12505" spans="1:10" x14ac:dyDescent="0.25">
      <c r="A12505" s="7" t="s">
        <v>50647</v>
      </c>
      <c r="B12505" s="8">
        <v>393.75</v>
      </c>
      <c r="C12505" s="8">
        <v>20.478950000000001</v>
      </c>
      <c r="D12505" s="8">
        <v>72</v>
      </c>
      <c r="E12505" s="8">
        <v>0</v>
      </c>
      <c r="F12505" s="8">
        <v>0</v>
      </c>
      <c r="G12505" s="8">
        <v>14</v>
      </c>
      <c r="H12505" s="8" t="s">
        <v>50648</v>
      </c>
      <c r="I12505" s="8">
        <v>526.6875</v>
      </c>
      <c r="J12505" s="3">
        <f t="shared" si="195"/>
        <v>43749.402076203703</v>
      </c>
    </row>
    <row r="12506" spans="1:10" x14ac:dyDescent="0.25">
      <c r="A12506" s="5" t="s">
        <v>50649</v>
      </c>
      <c r="B12506" s="6">
        <v>412.5</v>
      </c>
      <c r="C12506" s="6">
        <v>20.478950000000001</v>
      </c>
      <c r="D12506" s="6">
        <v>72</v>
      </c>
      <c r="E12506" s="6">
        <v>0</v>
      </c>
      <c r="F12506" s="6">
        <v>0</v>
      </c>
      <c r="G12506" s="6">
        <v>18</v>
      </c>
      <c r="H12506" s="6" t="s">
        <v>50650</v>
      </c>
      <c r="I12506" s="6">
        <v>532.125</v>
      </c>
      <c r="J12506" s="2">
        <f t="shared" si="195"/>
        <v>43749.402159652775</v>
      </c>
    </row>
    <row r="12507" spans="1:10" x14ac:dyDescent="0.25">
      <c r="A12507" s="7" t="s">
        <v>50651</v>
      </c>
      <c r="B12507" s="8">
        <v>393.75</v>
      </c>
      <c r="C12507" s="8">
        <v>20.478950000000001</v>
      </c>
      <c r="D12507" s="8">
        <v>72</v>
      </c>
      <c r="E12507" s="8">
        <v>0</v>
      </c>
      <c r="F12507" s="8">
        <v>0</v>
      </c>
      <c r="G12507" s="8">
        <v>19</v>
      </c>
      <c r="H12507" s="8" t="s">
        <v>50652</v>
      </c>
      <c r="I12507" s="8">
        <v>526.6875</v>
      </c>
      <c r="J12507" s="3">
        <f t="shared" si="195"/>
        <v>43749.40224322916</v>
      </c>
    </row>
    <row r="12508" spans="1:10" x14ac:dyDescent="0.25">
      <c r="A12508" s="5" t="s">
        <v>50653</v>
      </c>
      <c r="B12508" s="6">
        <v>393.75</v>
      </c>
      <c r="C12508" s="6">
        <v>20.478950000000001</v>
      </c>
      <c r="D12508" s="6">
        <v>74</v>
      </c>
      <c r="E12508" s="6">
        <v>0</v>
      </c>
      <c r="F12508" s="6">
        <v>0</v>
      </c>
      <c r="G12508" s="6">
        <v>16</v>
      </c>
      <c r="H12508" s="6" t="s">
        <v>50654</v>
      </c>
      <c r="I12508" s="6">
        <v>526.6875</v>
      </c>
      <c r="J12508" s="2">
        <f t="shared" si="195"/>
        <v>43749.402326898147</v>
      </c>
    </row>
    <row r="12509" spans="1:10" x14ac:dyDescent="0.25">
      <c r="A12509" s="7" t="s">
        <v>50655</v>
      </c>
      <c r="B12509" s="8">
        <v>393.75</v>
      </c>
      <c r="C12509" s="8">
        <v>20.478950000000001</v>
      </c>
      <c r="D12509" s="8">
        <v>75</v>
      </c>
      <c r="E12509" s="8">
        <v>0</v>
      </c>
      <c r="F12509" s="8">
        <v>0</v>
      </c>
      <c r="G12509" s="8">
        <v>9</v>
      </c>
      <c r="H12509" s="8" t="s">
        <v>50656</v>
      </c>
      <c r="I12509" s="8">
        <v>526.6875</v>
      </c>
      <c r="J12509" s="3">
        <f t="shared" si="195"/>
        <v>43749.402410104165</v>
      </c>
    </row>
    <row r="12510" spans="1:10" x14ac:dyDescent="0.25">
      <c r="A12510" s="5" t="s">
        <v>50657</v>
      </c>
      <c r="B12510" s="6">
        <v>393.75</v>
      </c>
      <c r="C12510" s="6">
        <v>20.478950000000001</v>
      </c>
      <c r="D12510" s="6">
        <v>75</v>
      </c>
      <c r="E12510" s="6">
        <v>0</v>
      </c>
      <c r="F12510" s="6">
        <v>0</v>
      </c>
      <c r="G12510" s="6">
        <v>11</v>
      </c>
      <c r="H12510" s="6" t="s">
        <v>50658</v>
      </c>
      <c r="I12510" s="6">
        <v>526.6875</v>
      </c>
      <c r="J12510" s="2">
        <f t="shared" si="195"/>
        <v>43749.40249346065</v>
      </c>
    </row>
    <row r="12511" spans="1:10" x14ac:dyDescent="0.25">
      <c r="A12511" s="7" t="s">
        <v>50659</v>
      </c>
      <c r="B12511" s="8">
        <v>393.75</v>
      </c>
      <c r="C12511" s="8">
        <v>20.478950000000001</v>
      </c>
      <c r="D12511" s="8">
        <v>75</v>
      </c>
      <c r="E12511" s="8">
        <v>0</v>
      </c>
      <c r="F12511" s="8">
        <v>0</v>
      </c>
      <c r="G12511" s="8">
        <v>14</v>
      </c>
      <c r="H12511" s="8" t="s">
        <v>50660</v>
      </c>
      <c r="I12511" s="8">
        <v>526.6875</v>
      </c>
      <c r="J12511" s="3">
        <f t="shared" si="195"/>
        <v>43749.402581006943</v>
      </c>
    </row>
    <row r="12512" spans="1:10" x14ac:dyDescent="0.25">
      <c r="A12512" s="5" t="s">
        <v>50661</v>
      </c>
      <c r="B12512" s="6">
        <v>393.75</v>
      </c>
      <c r="C12512" s="6">
        <v>20.478950000000001</v>
      </c>
      <c r="D12512" s="6">
        <v>75</v>
      </c>
      <c r="E12512" s="6">
        <v>0</v>
      </c>
      <c r="F12512" s="6">
        <v>0</v>
      </c>
      <c r="G12512" s="6">
        <v>8</v>
      </c>
      <c r="H12512" s="6" t="s">
        <v>50662</v>
      </c>
      <c r="I12512" s="6">
        <v>526.6875</v>
      </c>
      <c r="J12512" s="2">
        <f t="shared" si="195"/>
        <v>43749.402660243053</v>
      </c>
    </row>
    <row r="12513" spans="1:10" x14ac:dyDescent="0.25">
      <c r="A12513" s="7" t="s">
        <v>50663</v>
      </c>
      <c r="B12513" s="8">
        <v>412.5</v>
      </c>
      <c r="C12513" s="8">
        <v>20.478950000000001</v>
      </c>
      <c r="D12513" s="8">
        <v>74</v>
      </c>
      <c r="E12513" s="8">
        <v>0</v>
      </c>
      <c r="F12513" s="8">
        <v>0</v>
      </c>
      <c r="G12513" s="8">
        <v>9</v>
      </c>
      <c r="H12513" s="8" t="s">
        <v>50664</v>
      </c>
      <c r="I12513" s="8">
        <v>532.3125</v>
      </c>
      <c r="J12513" s="3">
        <f t="shared" si="195"/>
        <v>43749.402744143517</v>
      </c>
    </row>
    <row r="12514" spans="1:10" x14ac:dyDescent="0.25">
      <c r="A12514" s="5" t="s">
        <v>50665</v>
      </c>
      <c r="B12514" s="6">
        <v>393.75</v>
      </c>
      <c r="C12514" s="6">
        <v>20.478950000000001</v>
      </c>
      <c r="D12514" s="6">
        <v>75</v>
      </c>
      <c r="E12514" s="6">
        <v>0</v>
      </c>
      <c r="F12514" s="6">
        <v>0</v>
      </c>
      <c r="G12514" s="6">
        <v>22</v>
      </c>
      <c r="H12514" s="6" t="s">
        <v>50666</v>
      </c>
      <c r="I12514" s="6">
        <v>526.6875</v>
      </c>
      <c r="J12514" s="2">
        <f t="shared" si="195"/>
        <v>43749.402815902773</v>
      </c>
    </row>
    <row r="12515" spans="1:10" x14ac:dyDescent="0.25">
      <c r="A12515" s="7" t="s">
        <v>50667</v>
      </c>
      <c r="B12515" s="8">
        <v>393.75</v>
      </c>
      <c r="C12515" s="8">
        <v>20.478950000000001</v>
      </c>
      <c r="D12515" s="8">
        <v>80</v>
      </c>
      <c r="E12515" s="8">
        <v>0</v>
      </c>
      <c r="F12515" s="8">
        <v>0</v>
      </c>
      <c r="G12515" s="8">
        <v>22</v>
      </c>
      <c r="H12515" s="8" t="s">
        <v>50668</v>
      </c>
      <c r="I12515" s="8">
        <v>526.5</v>
      </c>
      <c r="J12515" s="3">
        <f t="shared" si="195"/>
        <v>43749.402899131943</v>
      </c>
    </row>
    <row r="12516" spans="1:10" x14ac:dyDescent="0.25">
      <c r="A12516" s="5" t="s">
        <v>50669</v>
      </c>
      <c r="B12516" s="6">
        <v>393.75</v>
      </c>
      <c r="C12516" s="6">
        <v>20.478950000000001</v>
      </c>
      <c r="D12516" s="6">
        <v>80</v>
      </c>
      <c r="E12516" s="6">
        <v>0</v>
      </c>
      <c r="F12516" s="6">
        <v>0</v>
      </c>
      <c r="G12516" s="6">
        <v>26</v>
      </c>
      <c r="H12516" s="6" t="s">
        <v>50670</v>
      </c>
      <c r="I12516" s="6">
        <v>526.6875</v>
      </c>
      <c r="J12516" s="2">
        <f t="shared" si="195"/>
        <v>43749.402982337961</v>
      </c>
    </row>
    <row r="12517" spans="1:10" x14ac:dyDescent="0.25">
      <c r="A12517" s="7" t="s">
        <v>50671</v>
      </c>
      <c r="B12517" s="8">
        <v>393.75</v>
      </c>
      <c r="C12517" s="8">
        <v>20.426300000000001</v>
      </c>
      <c r="D12517" s="8">
        <v>80</v>
      </c>
      <c r="E12517" s="8">
        <v>0</v>
      </c>
      <c r="F12517" s="8">
        <v>0</v>
      </c>
      <c r="G12517" s="8">
        <v>16</v>
      </c>
      <c r="H12517" s="8" t="s">
        <v>50672</v>
      </c>
      <c r="I12517" s="8">
        <v>526.6875</v>
      </c>
      <c r="J12517" s="3">
        <f t="shared" si="195"/>
        <v>43749.403054108792</v>
      </c>
    </row>
    <row r="12518" spans="1:10" x14ac:dyDescent="0.25">
      <c r="A12518" s="5" t="s">
        <v>50673</v>
      </c>
      <c r="B12518" s="6">
        <v>396.875</v>
      </c>
      <c r="C12518" s="6">
        <v>20.478950000000001</v>
      </c>
      <c r="D12518" s="6">
        <v>80</v>
      </c>
      <c r="E12518" s="6">
        <v>0</v>
      </c>
      <c r="F12518" s="6">
        <v>0</v>
      </c>
      <c r="G12518" s="6">
        <v>24</v>
      </c>
      <c r="H12518" s="6" t="s">
        <v>50674</v>
      </c>
      <c r="I12518" s="6">
        <v>527.4375</v>
      </c>
      <c r="J12518" s="2">
        <f t="shared" si="195"/>
        <v>43749.403137650464</v>
      </c>
    </row>
    <row r="12519" spans="1:10" x14ac:dyDescent="0.25">
      <c r="A12519" s="7" t="s">
        <v>50675</v>
      </c>
      <c r="B12519" s="8">
        <v>396.875</v>
      </c>
      <c r="C12519" s="8">
        <v>20.478950000000001</v>
      </c>
      <c r="D12519" s="8">
        <v>79</v>
      </c>
      <c r="E12519" s="8">
        <v>0</v>
      </c>
      <c r="F12519" s="8">
        <v>0</v>
      </c>
      <c r="G12519" s="8">
        <v>25</v>
      </c>
      <c r="H12519" s="8" t="s">
        <v>50676</v>
      </c>
      <c r="I12519" s="8">
        <v>527.4375</v>
      </c>
      <c r="J12519" s="3">
        <f t="shared" si="195"/>
        <v>43749.40322112268</v>
      </c>
    </row>
    <row r="12520" spans="1:10" x14ac:dyDescent="0.25">
      <c r="A12520" s="5" t="s">
        <v>50677</v>
      </c>
      <c r="B12520" s="6">
        <v>396.875</v>
      </c>
      <c r="C12520" s="6">
        <v>20.478950000000001</v>
      </c>
      <c r="D12520" s="6">
        <v>79</v>
      </c>
      <c r="E12520" s="6">
        <v>0</v>
      </c>
      <c r="F12520" s="6">
        <v>0</v>
      </c>
      <c r="G12520" s="6">
        <v>26</v>
      </c>
      <c r="H12520" s="6" t="s">
        <v>50678</v>
      </c>
      <c r="I12520" s="6">
        <v>527.4375</v>
      </c>
      <c r="J12520" s="2">
        <f t="shared" si="195"/>
        <v>43749.403304548607</v>
      </c>
    </row>
    <row r="12521" spans="1:10" x14ac:dyDescent="0.25">
      <c r="A12521" s="7" t="s">
        <v>50679</v>
      </c>
      <c r="B12521" s="8">
        <v>396.875</v>
      </c>
      <c r="C12521" s="8">
        <v>20.478950000000001</v>
      </c>
      <c r="D12521" s="8">
        <v>78</v>
      </c>
      <c r="E12521" s="8">
        <v>0</v>
      </c>
      <c r="F12521" s="8">
        <v>0</v>
      </c>
      <c r="G12521" s="8">
        <v>25</v>
      </c>
      <c r="H12521" s="8" t="s">
        <v>50680</v>
      </c>
      <c r="I12521" s="8">
        <v>527.4375</v>
      </c>
      <c r="J12521" s="3">
        <f t="shared" si="195"/>
        <v>43749.403388136569</v>
      </c>
    </row>
    <row r="12522" spans="1:10" x14ac:dyDescent="0.25">
      <c r="A12522" s="5" t="s">
        <v>50681</v>
      </c>
      <c r="B12522" s="6">
        <v>393.75</v>
      </c>
      <c r="C12522" s="6">
        <v>20.478950000000001</v>
      </c>
      <c r="D12522" s="6">
        <v>78</v>
      </c>
      <c r="E12522" s="6">
        <v>0</v>
      </c>
      <c r="F12522" s="6">
        <v>0</v>
      </c>
      <c r="G12522" s="6">
        <v>27</v>
      </c>
      <c r="H12522" s="6" t="s">
        <v>50682</v>
      </c>
      <c r="I12522" s="6">
        <v>526.6875</v>
      </c>
      <c r="J12522" s="2">
        <f t="shared" si="195"/>
        <v>43749.403471342586</v>
      </c>
    </row>
    <row r="12523" spans="1:10" x14ac:dyDescent="0.25">
      <c r="A12523" s="7" t="s">
        <v>50683</v>
      </c>
      <c r="B12523" s="8">
        <v>415.625</v>
      </c>
      <c r="C12523" s="8">
        <v>20.478950000000001</v>
      </c>
      <c r="D12523" s="8">
        <v>78</v>
      </c>
      <c r="E12523" s="8">
        <v>0</v>
      </c>
      <c r="F12523" s="8">
        <v>0</v>
      </c>
      <c r="G12523" s="8">
        <v>27</v>
      </c>
      <c r="H12523" s="8" t="s">
        <v>50684</v>
      </c>
      <c r="I12523" s="8">
        <v>533.25</v>
      </c>
      <c r="J12523" s="3">
        <f t="shared" si="195"/>
        <v>43749.403554965276</v>
      </c>
    </row>
    <row r="12524" spans="1:10" x14ac:dyDescent="0.25">
      <c r="A12524" s="5" t="s">
        <v>50685</v>
      </c>
      <c r="B12524" s="6">
        <v>393.75</v>
      </c>
      <c r="C12524" s="6">
        <v>20.478950000000001</v>
      </c>
      <c r="D12524" s="6">
        <v>77</v>
      </c>
      <c r="E12524" s="6">
        <v>0</v>
      </c>
      <c r="F12524" s="6">
        <v>0</v>
      </c>
      <c r="G12524" s="6">
        <v>28</v>
      </c>
      <c r="H12524" s="6" t="s">
        <v>50686</v>
      </c>
      <c r="I12524" s="6">
        <v>526.5</v>
      </c>
      <c r="J12524" s="2">
        <f t="shared" si="195"/>
        <v>43749.403638715274</v>
      </c>
    </row>
    <row r="12525" spans="1:10" x14ac:dyDescent="0.25">
      <c r="A12525" s="7" t="s">
        <v>50687</v>
      </c>
      <c r="B12525" s="8">
        <v>393.75</v>
      </c>
      <c r="C12525" s="8">
        <v>20.478950000000001</v>
      </c>
      <c r="D12525" s="8">
        <v>77</v>
      </c>
      <c r="E12525" s="8">
        <v>0</v>
      </c>
      <c r="F12525" s="8">
        <v>0</v>
      </c>
      <c r="G12525" s="8">
        <v>16</v>
      </c>
      <c r="H12525" s="8" t="s">
        <v>50688</v>
      </c>
      <c r="I12525" s="8">
        <v>526.6875</v>
      </c>
      <c r="J12525" s="3">
        <f t="shared" si="195"/>
        <v>43749.403710115737</v>
      </c>
    </row>
    <row r="12526" spans="1:10" x14ac:dyDescent="0.25">
      <c r="A12526" s="5" t="s">
        <v>50689</v>
      </c>
      <c r="B12526" s="6">
        <v>393.75</v>
      </c>
      <c r="C12526" s="6">
        <v>20.478950000000001</v>
      </c>
      <c r="D12526" s="6">
        <v>75</v>
      </c>
      <c r="E12526" s="6">
        <v>0</v>
      </c>
      <c r="F12526" s="6">
        <v>0</v>
      </c>
      <c r="G12526" s="6">
        <v>27</v>
      </c>
      <c r="H12526" s="6" t="s">
        <v>50690</v>
      </c>
      <c r="I12526" s="6">
        <v>526.6875</v>
      </c>
      <c r="J12526" s="2">
        <f t="shared" si="195"/>
        <v>43749.403793460646</v>
      </c>
    </row>
    <row r="12527" spans="1:10" x14ac:dyDescent="0.25">
      <c r="A12527" s="7" t="s">
        <v>50691</v>
      </c>
      <c r="B12527" s="8">
        <v>393.75</v>
      </c>
      <c r="C12527" s="8">
        <v>20.478950000000001</v>
      </c>
      <c r="D12527" s="8">
        <v>77</v>
      </c>
      <c r="E12527" s="8">
        <v>0</v>
      </c>
      <c r="F12527" s="8">
        <v>0</v>
      </c>
      <c r="G12527" s="8">
        <v>28</v>
      </c>
      <c r="H12527" s="8" t="s">
        <v>50692</v>
      </c>
      <c r="I12527" s="8">
        <v>526.6875</v>
      </c>
      <c r="J12527" s="3">
        <f t="shared" si="195"/>
        <v>43749.403877129625</v>
      </c>
    </row>
    <row r="12528" spans="1:10" x14ac:dyDescent="0.25">
      <c r="A12528" s="5" t="s">
        <v>50693</v>
      </c>
      <c r="B12528" s="6">
        <v>415.625</v>
      </c>
      <c r="C12528" s="6">
        <v>20.478950000000001</v>
      </c>
      <c r="D12528" s="6">
        <v>76</v>
      </c>
      <c r="E12528" s="6">
        <v>0</v>
      </c>
      <c r="F12528" s="6">
        <v>0</v>
      </c>
      <c r="G12528" s="6">
        <v>29</v>
      </c>
      <c r="H12528" s="6" t="s">
        <v>50694</v>
      </c>
      <c r="I12528" s="6">
        <v>533.0625</v>
      </c>
      <c r="J12528" s="2">
        <f t="shared" si="195"/>
        <v>43749.403960243049</v>
      </c>
    </row>
    <row r="12529" spans="1:10" x14ac:dyDescent="0.25">
      <c r="A12529" s="7" t="s">
        <v>50695</v>
      </c>
      <c r="B12529" s="8">
        <v>393.75</v>
      </c>
      <c r="C12529" s="8">
        <v>20.478950000000001</v>
      </c>
      <c r="D12529" s="8">
        <v>75</v>
      </c>
      <c r="E12529" s="8">
        <v>0</v>
      </c>
      <c r="F12529" s="8">
        <v>0</v>
      </c>
      <c r="G12529" s="8">
        <v>30</v>
      </c>
      <c r="H12529" s="8" t="s">
        <v>50696</v>
      </c>
      <c r="I12529" s="8">
        <v>526.6875</v>
      </c>
      <c r="J12529" s="3">
        <f t="shared" si="195"/>
        <v>43749.404032569444</v>
      </c>
    </row>
    <row r="12530" spans="1:10" x14ac:dyDescent="0.25">
      <c r="A12530" s="5" t="s">
        <v>50697</v>
      </c>
      <c r="B12530" s="6">
        <v>393.75</v>
      </c>
      <c r="C12530" s="6">
        <v>20.478950000000001</v>
      </c>
      <c r="D12530" s="6">
        <v>75</v>
      </c>
      <c r="E12530" s="6">
        <v>0</v>
      </c>
      <c r="F12530" s="6">
        <v>0</v>
      </c>
      <c r="G12530" s="6">
        <v>25</v>
      </c>
      <c r="H12530" s="6" t="s">
        <v>50698</v>
      </c>
      <c r="I12530" s="6">
        <v>526.6875</v>
      </c>
      <c r="J12530" s="2">
        <f t="shared" si="195"/>
        <v>43749.4041039699</v>
      </c>
    </row>
    <row r="12531" spans="1:10" x14ac:dyDescent="0.25">
      <c r="A12531" s="7" t="s">
        <v>50699</v>
      </c>
      <c r="B12531" s="8">
        <v>393.75</v>
      </c>
      <c r="C12531" s="8">
        <v>20.478950000000001</v>
      </c>
      <c r="D12531" s="8">
        <v>75</v>
      </c>
      <c r="E12531" s="8">
        <v>0</v>
      </c>
      <c r="F12531" s="8">
        <v>0</v>
      </c>
      <c r="G12531" s="8">
        <v>28</v>
      </c>
      <c r="H12531" s="8" t="s">
        <v>50700</v>
      </c>
      <c r="I12531" s="8">
        <v>526.5</v>
      </c>
      <c r="J12531" s="3">
        <f t="shared" si="195"/>
        <v>43749.40418719907</v>
      </c>
    </row>
    <row r="12532" spans="1:10" x14ac:dyDescent="0.25">
      <c r="A12532" s="5" t="s">
        <v>50701</v>
      </c>
      <c r="B12532" s="6">
        <v>393.75</v>
      </c>
      <c r="C12532" s="6">
        <v>20.478950000000001</v>
      </c>
      <c r="D12532" s="6">
        <v>75</v>
      </c>
      <c r="E12532" s="6">
        <v>0</v>
      </c>
      <c r="F12532" s="6">
        <v>0</v>
      </c>
      <c r="G12532" s="6">
        <v>32</v>
      </c>
      <c r="H12532" s="6" t="s">
        <v>50702</v>
      </c>
      <c r="I12532" s="6">
        <v>526.6875</v>
      </c>
      <c r="J12532" s="2">
        <f t="shared" si="195"/>
        <v>43749.404270763887</v>
      </c>
    </row>
    <row r="12533" spans="1:10" x14ac:dyDescent="0.25">
      <c r="A12533" s="7" t="s">
        <v>50703</v>
      </c>
      <c r="B12533" s="8">
        <v>393.75</v>
      </c>
      <c r="C12533" s="8">
        <v>20.478950000000001</v>
      </c>
      <c r="D12533" s="8">
        <v>75</v>
      </c>
      <c r="E12533" s="8">
        <v>0</v>
      </c>
      <c r="F12533" s="8">
        <v>0</v>
      </c>
      <c r="G12533" s="8">
        <v>29</v>
      </c>
      <c r="H12533" s="8" t="s">
        <v>50704</v>
      </c>
      <c r="I12533" s="8">
        <v>526.6875</v>
      </c>
      <c r="J12533" s="3">
        <f t="shared" si="195"/>
        <v>43749.404366342591</v>
      </c>
    </row>
    <row r="12534" spans="1:10" x14ac:dyDescent="0.25">
      <c r="A12534" s="5" t="s">
        <v>50705</v>
      </c>
      <c r="B12534" s="6">
        <v>393.75</v>
      </c>
      <c r="C12534" s="6">
        <v>20.478950000000001</v>
      </c>
      <c r="D12534" s="6">
        <v>76</v>
      </c>
      <c r="E12534" s="6">
        <v>0</v>
      </c>
      <c r="F12534" s="6">
        <v>0</v>
      </c>
      <c r="G12534" s="6">
        <v>26</v>
      </c>
      <c r="H12534" s="6" t="s">
        <v>50706</v>
      </c>
      <c r="I12534" s="6">
        <v>526.5</v>
      </c>
      <c r="J12534" s="2">
        <f t="shared" si="195"/>
        <v>43749.404449664355</v>
      </c>
    </row>
    <row r="12535" spans="1:10" x14ac:dyDescent="0.25">
      <c r="A12535" s="7" t="s">
        <v>50707</v>
      </c>
      <c r="B12535" s="8">
        <v>393.75</v>
      </c>
      <c r="C12535" s="8">
        <v>20.478950000000001</v>
      </c>
      <c r="D12535" s="8">
        <v>76</v>
      </c>
      <c r="E12535" s="8">
        <v>0</v>
      </c>
      <c r="F12535" s="8">
        <v>0</v>
      </c>
      <c r="G12535" s="8">
        <v>14</v>
      </c>
      <c r="H12535" s="8" t="s">
        <v>50708</v>
      </c>
      <c r="I12535" s="8">
        <v>526.6875</v>
      </c>
      <c r="J12535" s="3">
        <f t="shared" si="195"/>
        <v>43749.404521215278</v>
      </c>
    </row>
    <row r="12536" spans="1:10" x14ac:dyDescent="0.25">
      <c r="A12536" s="5" t="s">
        <v>50709</v>
      </c>
      <c r="B12536" s="6">
        <v>393.75</v>
      </c>
      <c r="C12536" s="6">
        <v>20.478950000000001</v>
      </c>
      <c r="D12536" s="6">
        <v>76</v>
      </c>
      <c r="E12536" s="6">
        <v>0</v>
      </c>
      <c r="F12536" s="6">
        <v>0</v>
      </c>
      <c r="G12536" s="6">
        <v>21</v>
      </c>
      <c r="H12536" s="6" t="s">
        <v>50710</v>
      </c>
      <c r="I12536" s="6">
        <v>526.6875</v>
      </c>
      <c r="J12536" s="2">
        <f t="shared" si="195"/>
        <v>43749.404604525458</v>
      </c>
    </row>
    <row r="12537" spans="1:10" x14ac:dyDescent="0.25">
      <c r="A12537" s="7" t="s">
        <v>50711</v>
      </c>
      <c r="B12537" s="8">
        <v>393.75</v>
      </c>
      <c r="C12537" s="8">
        <v>20.478950000000001</v>
      </c>
      <c r="D12537" s="8">
        <v>77</v>
      </c>
      <c r="E12537" s="8">
        <v>0</v>
      </c>
      <c r="F12537" s="8">
        <v>0</v>
      </c>
      <c r="G12537" s="8">
        <v>21</v>
      </c>
      <c r="H12537" s="8" t="s">
        <v>50712</v>
      </c>
      <c r="I12537" s="8">
        <v>526.6875</v>
      </c>
      <c r="J12537" s="3">
        <f t="shared" si="195"/>
        <v>43749.404688101851</v>
      </c>
    </row>
    <row r="12538" spans="1:10" x14ac:dyDescent="0.25">
      <c r="A12538" s="5" t="s">
        <v>50713</v>
      </c>
      <c r="B12538" s="6">
        <v>393.75</v>
      </c>
      <c r="C12538" s="6">
        <v>20.478950000000001</v>
      </c>
      <c r="D12538" s="6">
        <v>77</v>
      </c>
      <c r="E12538" s="6">
        <v>0</v>
      </c>
      <c r="F12538" s="6">
        <v>0</v>
      </c>
      <c r="G12538" s="6">
        <v>27</v>
      </c>
      <c r="H12538" s="6" t="s">
        <v>50714</v>
      </c>
      <c r="I12538" s="6">
        <v>526.6875</v>
      </c>
      <c r="J12538" s="2">
        <f t="shared" si="195"/>
        <v>43749.404771307869</v>
      </c>
    </row>
    <row r="12539" spans="1:10" x14ac:dyDescent="0.25">
      <c r="A12539" s="7" t="s">
        <v>50715</v>
      </c>
      <c r="B12539" s="8">
        <v>393.75</v>
      </c>
      <c r="C12539" s="8">
        <v>20.478950000000001</v>
      </c>
      <c r="D12539" s="8">
        <v>77</v>
      </c>
      <c r="E12539" s="8">
        <v>0</v>
      </c>
      <c r="F12539" s="8">
        <v>0</v>
      </c>
      <c r="G12539" s="8">
        <v>35</v>
      </c>
      <c r="H12539" s="8" t="s">
        <v>50716</v>
      </c>
      <c r="I12539" s="8">
        <v>526.5</v>
      </c>
      <c r="J12539" s="3">
        <f t="shared" si="195"/>
        <v>43749.404842974538</v>
      </c>
    </row>
    <row r="12540" spans="1:10" x14ac:dyDescent="0.25">
      <c r="A12540" s="5" t="s">
        <v>50717</v>
      </c>
      <c r="B12540" s="6">
        <v>393.75</v>
      </c>
      <c r="C12540" s="6">
        <v>20.478950000000001</v>
      </c>
      <c r="D12540" s="6">
        <v>77</v>
      </c>
      <c r="E12540" s="6">
        <v>0</v>
      </c>
      <c r="F12540" s="6">
        <v>0</v>
      </c>
      <c r="G12540" s="6">
        <v>25</v>
      </c>
      <c r="H12540" s="6" t="s">
        <v>50718</v>
      </c>
      <c r="I12540" s="6">
        <v>526.5</v>
      </c>
      <c r="J12540" s="2">
        <f t="shared" si="195"/>
        <v>43749.404926886571</v>
      </c>
    </row>
    <row r="12541" spans="1:10" x14ac:dyDescent="0.25">
      <c r="A12541" s="7" t="s">
        <v>50719</v>
      </c>
      <c r="B12541" s="8">
        <v>412.5</v>
      </c>
      <c r="C12541" s="8">
        <v>20.478950000000001</v>
      </c>
      <c r="D12541" s="8">
        <v>76</v>
      </c>
      <c r="E12541" s="8">
        <v>0</v>
      </c>
      <c r="F12541" s="8">
        <v>0</v>
      </c>
      <c r="G12541" s="8">
        <v>16</v>
      </c>
      <c r="H12541" s="8" t="s">
        <v>50720</v>
      </c>
      <c r="I12541" s="8">
        <v>532.5</v>
      </c>
      <c r="J12541" s="3">
        <f t="shared" si="195"/>
        <v>43749.405010092589</v>
      </c>
    </row>
    <row r="12542" spans="1:10" x14ac:dyDescent="0.25">
      <c r="A12542" s="5" t="s">
        <v>50721</v>
      </c>
      <c r="B12542" s="6">
        <v>393.75</v>
      </c>
      <c r="C12542" s="6">
        <v>20.478950000000001</v>
      </c>
      <c r="D12542" s="6">
        <v>76</v>
      </c>
      <c r="E12542" s="6">
        <v>0</v>
      </c>
      <c r="F12542" s="6">
        <v>0</v>
      </c>
      <c r="G12542" s="6">
        <v>24</v>
      </c>
      <c r="H12542" s="6" t="s">
        <v>50722</v>
      </c>
      <c r="I12542" s="6">
        <v>526.6875</v>
      </c>
      <c r="J12542" s="2">
        <f t="shared" si="195"/>
        <v>43749.405093449073</v>
      </c>
    </row>
    <row r="12543" spans="1:10" x14ac:dyDescent="0.25">
      <c r="A12543" s="7" t="s">
        <v>50723</v>
      </c>
      <c r="B12543" s="8">
        <v>393.75</v>
      </c>
      <c r="C12543" s="8">
        <v>20.478950000000001</v>
      </c>
      <c r="D12543" s="8">
        <v>76</v>
      </c>
      <c r="E12543" s="8">
        <v>0</v>
      </c>
      <c r="F12543" s="8">
        <v>0</v>
      </c>
      <c r="G12543" s="8">
        <v>20</v>
      </c>
      <c r="H12543" s="8" t="s">
        <v>50724</v>
      </c>
      <c r="I12543" s="8">
        <v>526.6875</v>
      </c>
      <c r="J12543" s="3">
        <f t="shared" si="195"/>
        <v>43749.405193715276</v>
      </c>
    </row>
    <row r="12544" spans="1:10" x14ac:dyDescent="0.25">
      <c r="A12544" s="5" t="s">
        <v>50725</v>
      </c>
      <c r="B12544" s="6">
        <v>393.75</v>
      </c>
      <c r="C12544" s="6">
        <v>20.478950000000001</v>
      </c>
      <c r="D12544" s="6">
        <v>75</v>
      </c>
      <c r="E12544" s="6">
        <v>0</v>
      </c>
      <c r="F12544" s="6">
        <v>0</v>
      </c>
      <c r="G12544" s="6">
        <v>21</v>
      </c>
      <c r="H12544" s="6" t="s">
        <v>50726</v>
      </c>
      <c r="I12544" s="6">
        <v>526.6875</v>
      </c>
      <c r="J12544" s="2">
        <f t="shared" si="195"/>
        <v>43749.405272604163</v>
      </c>
    </row>
    <row r="12545" spans="1:10" x14ac:dyDescent="0.25">
      <c r="A12545" s="7" t="s">
        <v>50727</v>
      </c>
      <c r="B12545" s="8">
        <v>412.5</v>
      </c>
      <c r="C12545" s="8">
        <v>20.478950000000001</v>
      </c>
      <c r="D12545" s="8">
        <v>75</v>
      </c>
      <c r="E12545" s="8">
        <v>0</v>
      </c>
      <c r="F12545" s="8">
        <v>0</v>
      </c>
      <c r="G12545" s="8">
        <v>23</v>
      </c>
      <c r="H12545" s="8" t="s">
        <v>50728</v>
      </c>
      <c r="I12545" s="8">
        <v>532.875</v>
      </c>
      <c r="J12545" s="3">
        <f t="shared" si="195"/>
        <v>43749.405356041665</v>
      </c>
    </row>
    <row r="12546" spans="1:10" x14ac:dyDescent="0.25">
      <c r="A12546" s="5" t="s">
        <v>50729</v>
      </c>
      <c r="B12546" s="6">
        <v>393.75</v>
      </c>
      <c r="C12546" s="6">
        <v>20.478950000000001</v>
      </c>
      <c r="D12546" s="6">
        <v>77</v>
      </c>
      <c r="E12546" s="6">
        <v>0</v>
      </c>
      <c r="F12546" s="6">
        <v>0</v>
      </c>
      <c r="G12546" s="6">
        <v>14</v>
      </c>
      <c r="H12546" s="6" t="s">
        <v>50730</v>
      </c>
      <c r="I12546" s="6">
        <v>526.6875</v>
      </c>
      <c r="J12546" s="2">
        <f t="shared" ref="J12546:J12609" si="196">(H12546/86400000)+25569+(7/24)</f>
        <v>43749.405439490736</v>
      </c>
    </row>
    <row r="12547" spans="1:10" x14ac:dyDescent="0.25">
      <c r="A12547" s="7" t="s">
        <v>50731</v>
      </c>
      <c r="B12547" s="8">
        <v>393.75</v>
      </c>
      <c r="C12547" s="8">
        <v>20.478950000000001</v>
      </c>
      <c r="D12547" s="8">
        <v>75</v>
      </c>
      <c r="E12547" s="8">
        <v>0</v>
      </c>
      <c r="F12547" s="8">
        <v>0</v>
      </c>
      <c r="G12547" s="8">
        <v>18</v>
      </c>
      <c r="H12547" s="8" t="s">
        <v>50732</v>
      </c>
      <c r="I12547" s="8">
        <v>526.6875</v>
      </c>
      <c r="J12547" s="3">
        <f t="shared" si="196"/>
        <v>43749.405523043977</v>
      </c>
    </row>
    <row r="12548" spans="1:10" x14ac:dyDescent="0.25">
      <c r="A12548" s="5" t="s">
        <v>50733</v>
      </c>
      <c r="B12548" s="6">
        <v>393.75</v>
      </c>
      <c r="C12548" s="6">
        <v>20.478950000000001</v>
      </c>
      <c r="D12548" s="6">
        <v>75</v>
      </c>
      <c r="E12548" s="6">
        <v>0</v>
      </c>
      <c r="F12548" s="6">
        <v>0</v>
      </c>
      <c r="G12548" s="6">
        <v>17</v>
      </c>
      <c r="H12548" s="6" t="s">
        <v>50734</v>
      </c>
      <c r="I12548" s="6">
        <v>526.6875</v>
      </c>
      <c r="J12548" s="2">
        <f t="shared" si="196"/>
        <v>43749.4056065162</v>
      </c>
    </row>
    <row r="12549" spans="1:10" x14ac:dyDescent="0.25">
      <c r="A12549" s="7" t="s">
        <v>50735</v>
      </c>
      <c r="B12549" s="8">
        <v>393.75</v>
      </c>
      <c r="C12549" s="8">
        <v>20.478950000000001</v>
      </c>
      <c r="D12549" s="8">
        <v>75</v>
      </c>
      <c r="E12549" s="8">
        <v>0</v>
      </c>
      <c r="F12549" s="8">
        <v>0</v>
      </c>
      <c r="G12549" s="8">
        <v>15</v>
      </c>
      <c r="H12549" s="8" t="s">
        <v>50736</v>
      </c>
      <c r="I12549" s="8">
        <v>526.6875</v>
      </c>
      <c r="J12549" s="3">
        <f t="shared" si="196"/>
        <v>43749.405689710642</v>
      </c>
    </row>
    <row r="12550" spans="1:10" x14ac:dyDescent="0.25">
      <c r="A12550" s="5" t="s">
        <v>50737</v>
      </c>
      <c r="B12550" s="6">
        <v>393.75</v>
      </c>
      <c r="C12550" s="6">
        <v>20.478950000000001</v>
      </c>
      <c r="D12550" s="6">
        <v>75</v>
      </c>
      <c r="E12550" s="6">
        <v>0</v>
      </c>
      <c r="F12550" s="6">
        <v>0</v>
      </c>
      <c r="G12550" s="6">
        <v>15</v>
      </c>
      <c r="H12550" s="6" t="s">
        <v>50738</v>
      </c>
      <c r="I12550" s="6">
        <v>526.6875</v>
      </c>
      <c r="J12550" s="2">
        <f t="shared" si="196"/>
        <v>43749.405761481474</v>
      </c>
    </row>
    <row r="12551" spans="1:10" x14ac:dyDescent="0.25">
      <c r="A12551" s="7" t="s">
        <v>50739</v>
      </c>
      <c r="B12551" s="8">
        <v>393.75</v>
      </c>
      <c r="C12551" s="8">
        <v>20.478950000000001</v>
      </c>
      <c r="D12551" s="8">
        <v>76</v>
      </c>
      <c r="E12551" s="8">
        <v>0</v>
      </c>
      <c r="F12551" s="8">
        <v>0</v>
      </c>
      <c r="G12551" s="8">
        <v>16</v>
      </c>
      <c r="H12551" s="8" t="s">
        <v>50740</v>
      </c>
      <c r="I12551" s="8">
        <v>526.6875</v>
      </c>
      <c r="J12551" s="3">
        <f t="shared" si="196"/>
        <v>43749.405845046298</v>
      </c>
    </row>
    <row r="12552" spans="1:10" x14ac:dyDescent="0.25">
      <c r="A12552" s="5" t="s">
        <v>50741</v>
      </c>
      <c r="B12552" s="6">
        <v>393.75</v>
      </c>
      <c r="C12552" s="6">
        <v>20.478950000000001</v>
      </c>
      <c r="D12552" s="6">
        <v>75</v>
      </c>
      <c r="E12552" s="6">
        <v>0</v>
      </c>
      <c r="F12552" s="6">
        <v>0</v>
      </c>
      <c r="G12552" s="6">
        <v>12</v>
      </c>
      <c r="H12552" s="6" t="s">
        <v>50742</v>
      </c>
      <c r="I12552" s="6">
        <v>526.6875</v>
      </c>
      <c r="J12552" s="2">
        <f t="shared" si="196"/>
        <v>43749.405916574069</v>
      </c>
    </row>
    <row r="12553" spans="1:10" x14ac:dyDescent="0.25">
      <c r="A12553" s="7" t="s">
        <v>50743</v>
      </c>
      <c r="B12553" s="8">
        <v>412.5</v>
      </c>
      <c r="C12553" s="8">
        <v>20.478950000000001</v>
      </c>
      <c r="D12553" s="8">
        <v>75</v>
      </c>
      <c r="E12553" s="8">
        <v>0</v>
      </c>
      <c r="F12553" s="8">
        <v>0</v>
      </c>
      <c r="G12553" s="8">
        <v>16</v>
      </c>
      <c r="H12553" s="8" t="s">
        <v>50744</v>
      </c>
      <c r="I12553" s="8">
        <v>532.5</v>
      </c>
      <c r="J12553" s="3">
        <f t="shared" si="196"/>
        <v>43749.405988217586</v>
      </c>
    </row>
    <row r="12554" spans="1:10" x14ac:dyDescent="0.25">
      <c r="A12554" s="5" t="s">
        <v>50745</v>
      </c>
      <c r="B12554" s="6">
        <v>393.75</v>
      </c>
      <c r="C12554" s="6">
        <v>20.478950000000001</v>
      </c>
      <c r="D12554" s="6">
        <v>74</v>
      </c>
      <c r="E12554" s="6">
        <v>0</v>
      </c>
      <c r="F12554" s="6">
        <v>0</v>
      </c>
      <c r="G12554" s="6">
        <v>32</v>
      </c>
      <c r="H12554" s="6" t="s">
        <v>50746</v>
      </c>
      <c r="I12554" s="6">
        <v>526.6875</v>
      </c>
      <c r="J12554" s="2">
        <f t="shared" si="196"/>
        <v>43749.406071319441</v>
      </c>
    </row>
    <row r="12555" spans="1:10" x14ac:dyDescent="0.25">
      <c r="A12555" s="7" t="s">
        <v>50747</v>
      </c>
      <c r="B12555" s="8">
        <v>393.75</v>
      </c>
      <c r="C12555" s="8">
        <v>20.478950000000001</v>
      </c>
      <c r="D12555" s="8">
        <v>74</v>
      </c>
      <c r="E12555" s="8">
        <v>0</v>
      </c>
      <c r="F12555" s="8">
        <v>0</v>
      </c>
      <c r="G12555" s="8">
        <v>24</v>
      </c>
      <c r="H12555" s="8" t="s">
        <v>50748</v>
      </c>
      <c r="I12555" s="8">
        <v>526.6875</v>
      </c>
      <c r="J12555" s="3">
        <f t="shared" si="196"/>
        <v>43749.406142951389</v>
      </c>
    </row>
    <row r="12556" spans="1:10" x14ac:dyDescent="0.25">
      <c r="A12556" s="5" t="s">
        <v>50749</v>
      </c>
      <c r="B12556" s="6">
        <v>393.75</v>
      </c>
      <c r="C12556" s="6">
        <v>20.478950000000001</v>
      </c>
      <c r="D12556" s="6">
        <v>74</v>
      </c>
      <c r="E12556" s="6">
        <v>0</v>
      </c>
      <c r="F12556" s="6">
        <v>0</v>
      </c>
      <c r="G12556" s="6">
        <v>18</v>
      </c>
      <c r="H12556" s="6" t="s">
        <v>50750</v>
      </c>
      <c r="I12556" s="6">
        <v>526.6875</v>
      </c>
      <c r="J12556" s="2">
        <f t="shared" si="196"/>
        <v>43749.406226770829</v>
      </c>
    </row>
    <row r="12557" spans="1:10" x14ac:dyDescent="0.25">
      <c r="A12557" s="7" t="s">
        <v>50751</v>
      </c>
      <c r="B12557" s="8">
        <v>393.75</v>
      </c>
      <c r="C12557" s="8">
        <v>20.478950000000001</v>
      </c>
      <c r="D12557" s="8">
        <v>74</v>
      </c>
      <c r="E12557" s="8">
        <v>0</v>
      </c>
      <c r="F12557" s="8">
        <v>0</v>
      </c>
      <c r="G12557" s="8">
        <v>19</v>
      </c>
      <c r="H12557" s="8" t="s">
        <v>50752</v>
      </c>
      <c r="I12557" s="8">
        <v>526.6875</v>
      </c>
      <c r="J12557" s="3">
        <f t="shared" si="196"/>
        <v>43749.406310219907</v>
      </c>
    </row>
    <row r="12558" spans="1:10" x14ac:dyDescent="0.25">
      <c r="A12558" s="5" t="s">
        <v>50753</v>
      </c>
      <c r="B12558" s="6">
        <v>437.5</v>
      </c>
      <c r="C12558" s="6">
        <v>20.478950000000001</v>
      </c>
      <c r="D12558" s="6">
        <v>75</v>
      </c>
      <c r="E12558" s="6">
        <v>0</v>
      </c>
      <c r="F12558" s="6">
        <v>0</v>
      </c>
      <c r="G12558" s="6">
        <v>10</v>
      </c>
      <c r="H12558" s="6" t="s">
        <v>50754</v>
      </c>
      <c r="I12558" s="6">
        <v>540.9375</v>
      </c>
      <c r="J12558" s="2">
        <f t="shared" si="196"/>
        <v>43749.406393506943</v>
      </c>
    </row>
    <row r="12559" spans="1:10" x14ac:dyDescent="0.25">
      <c r="A12559" s="7" t="s">
        <v>50755</v>
      </c>
      <c r="B12559" s="8">
        <v>393.75</v>
      </c>
      <c r="C12559" s="8">
        <v>20.478950000000001</v>
      </c>
      <c r="D12559" s="8">
        <v>81</v>
      </c>
      <c r="E12559" s="8">
        <v>0</v>
      </c>
      <c r="F12559" s="8">
        <v>0</v>
      </c>
      <c r="G12559" s="8">
        <v>22</v>
      </c>
      <c r="H12559" s="8" t="s">
        <v>50756</v>
      </c>
      <c r="I12559" s="8">
        <v>526.6875</v>
      </c>
      <c r="J12559" s="3">
        <f t="shared" si="196"/>
        <v>43749.406489155088</v>
      </c>
    </row>
    <row r="12560" spans="1:10" x14ac:dyDescent="0.25">
      <c r="A12560" s="5" t="s">
        <v>50757</v>
      </c>
      <c r="B12560" s="6">
        <v>393.75</v>
      </c>
      <c r="C12560" s="6">
        <v>20.478950000000001</v>
      </c>
      <c r="D12560" s="6">
        <v>80</v>
      </c>
      <c r="E12560" s="6">
        <v>0</v>
      </c>
      <c r="F12560" s="6">
        <v>0</v>
      </c>
      <c r="G12560" s="6">
        <v>17</v>
      </c>
      <c r="H12560" s="6" t="s">
        <v>50758</v>
      </c>
      <c r="I12560" s="6">
        <v>526.6875</v>
      </c>
      <c r="J12560" s="2">
        <f t="shared" si="196"/>
        <v>43749.406572604166</v>
      </c>
    </row>
    <row r="12561" spans="1:10" x14ac:dyDescent="0.25">
      <c r="A12561" s="7" t="s">
        <v>50759</v>
      </c>
      <c r="B12561" s="8">
        <v>393.75</v>
      </c>
      <c r="C12561" s="8">
        <v>20.478950000000001</v>
      </c>
      <c r="D12561" s="8">
        <v>80</v>
      </c>
      <c r="E12561" s="8">
        <v>0</v>
      </c>
      <c r="F12561" s="8">
        <v>0</v>
      </c>
      <c r="G12561" s="8">
        <v>24</v>
      </c>
      <c r="H12561" s="8" t="s">
        <v>50760</v>
      </c>
      <c r="I12561" s="8">
        <v>526.6875</v>
      </c>
      <c r="J12561" s="3">
        <f t="shared" si="196"/>
        <v>43749.406656041661</v>
      </c>
    </row>
    <row r="12562" spans="1:10" x14ac:dyDescent="0.25">
      <c r="A12562" s="5" t="s">
        <v>50761</v>
      </c>
      <c r="B12562" s="6">
        <v>393.75</v>
      </c>
      <c r="C12562" s="6">
        <v>20.478950000000001</v>
      </c>
      <c r="D12562" s="6">
        <v>78</v>
      </c>
      <c r="E12562" s="6">
        <v>0</v>
      </c>
      <c r="F12562" s="6">
        <v>0</v>
      </c>
      <c r="G12562" s="6">
        <v>8</v>
      </c>
      <c r="H12562" s="6" t="s">
        <v>50762</v>
      </c>
      <c r="I12562" s="6">
        <v>526.6875</v>
      </c>
      <c r="J12562" s="2">
        <f t="shared" si="196"/>
        <v>43749.406727800924</v>
      </c>
    </row>
    <row r="12563" spans="1:10" x14ac:dyDescent="0.25">
      <c r="A12563" s="7" t="s">
        <v>50763</v>
      </c>
      <c r="B12563" s="8">
        <v>393.75</v>
      </c>
      <c r="C12563" s="8">
        <v>20.478950000000001</v>
      </c>
      <c r="D12563" s="8">
        <v>77</v>
      </c>
      <c r="E12563" s="8">
        <v>0</v>
      </c>
      <c r="F12563" s="8">
        <v>0</v>
      </c>
      <c r="G12563" s="8">
        <v>8</v>
      </c>
      <c r="H12563" s="8" t="s">
        <v>50764</v>
      </c>
      <c r="I12563" s="8">
        <v>526.6875</v>
      </c>
      <c r="J12563" s="3">
        <f t="shared" si="196"/>
        <v>43749.406799201388</v>
      </c>
    </row>
    <row r="12564" spans="1:10" x14ac:dyDescent="0.25">
      <c r="A12564" s="5" t="s">
        <v>50765</v>
      </c>
      <c r="B12564" s="6">
        <v>393.75</v>
      </c>
      <c r="C12564" s="6">
        <v>20.478950000000001</v>
      </c>
      <c r="D12564" s="6">
        <v>76</v>
      </c>
      <c r="E12564" s="6">
        <v>0</v>
      </c>
      <c r="F12564" s="6">
        <v>0</v>
      </c>
      <c r="G12564" s="6">
        <v>11</v>
      </c>
      <c r="H12564" s="6" t="s">
        <v>50766</v>
      </c>
      <c r="I12564" s="6">
        <v>526.6875</v>
      </c>
      <c r="J12564" s="2">
        <f t="shared" si="196"/>
        <v>43749.406882303236</v>
      </c>
    </row>
    <row r="12565" spans="1:10" x14ac:dyDescent="0.25">
      <c r="A12565" s="7" t="s">
        <v>50767</v>
      </c>
      <c r="B12565" s="8">
        <v>393.75</v>
      </c>
      <c r="C12565" s="8">
        <v>20.478950000000001</v>
      </c>
      <c r="D12565" s="8">
        <v>76</v>
      </c>
      <c r="E12565" s="8">
        <v>0</v>
      </c>
      <c r="F12565" s="8">
        <v>0</v>
      </c>
      <c r="G12565" s="8">
        <v>6</v>
      </c>
      <c r="H12565" s="8" t="s">
        <v>50768</v>
      </c>
      <c r="I12565" s="8">
        <v>526.6875</v>
      </c>
      <c r="J12565" s="3">
        <f t="shared" si="196"/>
        <v>43749.406954062499</v>
      </c>
    </row>
    <row r="12566" spans="1:10" x14ac:dyDescent="0.25">
      <c r="A12566" s="5" t="s">
        <v>50769</v>
      </c>
      <c r="B12566" s="6">
        <v>393.75</v>
      </c>
      <c r="C12566" s="6">
        <v>20.478950000000001</v>
      </c>
      <c r="D12566" s="6">
        <v>76</v>
      </c>
      <c r="E12566" s="6">
        <v>0</v>
      </c>
      <c r="F12566" s="6">
        <v>0</v>
      </c>
      <c r="G12566" s="6">
        <v>18</v>
      </c>
      <c r="H12566" s="6" t="s">
        <v>50770</v>
      </c>
      <c r="I12566" s="6">
        <v>526.6875</v>
      </c>
      <c r="J12566" s="2">
        <f t="shared" si="196"/>
        <v>43749.407037997684</v>
      </c>
    </row>
    <row r="12567" spans="1:10" x14ac:dyDescent="0.25">
      <c r="A12567" s="7" t="s">
        <v>50771</v>
      </c>
      <c r="B12567" s="8">
        <v>393.75</v>
      </c>
      <c r="C12567" s="8">
        <v>20.478950000000001</v>
      </c>
      <c r="D12567" s="8">
        <v>72</v>
      </c>
      <c r="E12567" s="8">
        <v>0</v>
      </c>
      <c r="F12567" s="8">
        <v>0</v>
      </c>
      <c r="G12567" s="8">
        <v>11</v>
      </c>
      <c r="H12567" s="8" t="s">
        <v>50772</v>
      </c>
      <c r="I12567" s="8">
        <v>526.6875</v>
      </c>
      <c r="J12567" s="3">
        <f t="shared" si="196"/>
        <v>43749.40713313657</v>
      </c>
    </row>
    <row r="12568" spans="1:10" x14ac:dyDescent="0.25">
      <c r="A12568" s="5" t="s">
        <v>50773</v>
      </c>
      <c r="B12568" s="6">
        <v>393.75</v>
      </c>
      <c r="C12568" s="6">
        <v>20.478950000000001</v>
      </c>
      <c r="D12568" s="6">
        <v>72</v>
      </c>
      <c r="E12568" s="6">
        <v>0</v>
      </c>
      <c r="F12568" s="6">
        <v>0</v>
      </c>
      <c r="G12568" s="6">
        <v>21</v>
      </c>
      <c r="H12568" s="6" t="s">
        <v>50774</v>
      </c>
      <c r="I12568" s="6">
        <v>526.6875</v>
      </c>
      <c r="J12568" s="2">
        <f t="shared" si="196"/>
        <v>43749.40721730324</v>
      </c>
    </row>
    <row r="12569" spans="1:10" x14ac:dyDescent="0.25">
      <c r="A12569" s="7" t="s">
        <v>50775</v>
      </c>
      <c r="B12569" s="8">
        <v>393.75</v>
      </c>
      <c r="C12569" s="8">
        <v>20.478950000000001</v>
      </c>
      <c r="D12569" s="8">
        <v>72</v>
      </c>
      <c r="E12569" s="8">
        <v>0</v>
      </c>
      <c r="F12569" s="8">
        <v>0</v>
      </c>
      <c r="G12569" s="8">
        <v>17</v>
      </c>
      <c r="H12569" s="8" t="s">
        <v>50776</v>
      </c>
      <c r="I12569" s="8">
        <v>526.6875</v>
      </c>
      <c r="J12569" s="3">
        <f t="shared" si="196"/>
        <v>43749.407300023151</v>
      </c>
    </row>
    <row r="12570" spans="1:10" x14ac:dyDescent="0.25">
      <c r="A12570" s="5" t="s">
        <v>50777</v>
      </c>
      <c r="B12570" s="6">
        <v>393.75</v>
      </c>
      <c r="C12570" s="6">
        <v>20.478950000000001</v>
      </c>
      <c r="D12570" s="6">
        <v>72</v>
      </c>
      <c r="E12570" s="6">
        <v>0</v>
      </c>
      <c r="F12570" s="6">
        <v>0</v>
      </c>
      <c r="G12570" s="6">
        <v>16</v>
      </c>
      <c r="H12570" s="6" t="s">
        <v>50778</v>
      </c>
      <c r="I12570" s="6">
        <v>526.6875</v>
      </c>
      <c r="J12570" s="2">
        <f t="shared" si="196"/>
        <v>43749.40738355324</v>
      </c>
    </row>
    <row r="12571" spans="1:10" x14ac:dyDescent="0.25">
      <c r="A12571" s="7" t="s">
        <v>50779</v>
      </c>
      <c r="B12571" s="8">
        <v>393.75</v>
      </c>
      <c r="C12571" s="8">
        <v>20.478950000000001</v>
      </c>
      <c r="D12571" s="8">
        <v>72</v>
      </c>
      <c r="E12571" s="8">
        <v>0</v>
      </c>
      <c r="F12571" s="8">
        <v>0</v>
      </c>
      <c r="G12571" s="8">
        <v>14</v>
      </c>
      <c r="H12571" s="8" t="s">
        <v>50780</v>
      </c>
      <c r="I12571" s="8">
        <v>526.6875</v>
      </c>
      <c r="J12571" s="3">
        <f t="shared" si="196"/>
        <v>43749.407467141202</v>
      </c>
    </row>
    <row r="12572" spans="1:10" x14ac:dyDescent="0.25">
      <c r="A12572" s="5" t="s">
        <v>50781</v>
      </c>
      <c r="B12572" s="6">
        <v>393.75</v>
      </c>
      <c r="C12572" s="6">
        <v>20.478950000000001</v>
      </c>
      <c r="D12572" s="6">
        <v>73</v>
      </c>
      <c r="E12572" s="6">
        <v>0</v>
      </c>
      <c r="F12572" s="6">
        <v>0</v>
      </c>
      <c r="G12572" s="6">
        <v>23</v>
      </c>
      <c r="H12572" s="6" t="s">
        <v>50782</v>
      </c>
      <c r="I12572" s="6">
        <v>526.6875</v>
      </c>
      <c r="J12572" s="2">
        <f t="shared" si="196"/>
        <v>43749.40755059028</v>
      </c>
    </row>
    <row r="12573" spans="1:10" x14ac:dyDescent="0.25">
      <c r="A12573" s="7" t="s">
        <v>50783</v>
      </c>
      <c r="B12573" s="8">
        <v>393.75</v>
      </c>
      <c r="C12573" s="8">
        <v>20.426300000000001</v>
      </c>
      <c r="D12573" s="8">
        <v>73</v>
      </c>
      <c r="E12573" s="8">
        <v>0</v>
      </c>
      <c r="F12573" s="8">
        <v>0</v>
      </c>
      <c r="G12573" s="8">
        <v>13</v>
      </c>
      <c r="H12573" s="8" t="s">
        <v>50784</v>
      </c>
      <c r="I12573" s="8">
        <v>526.6875</v>
      </c>
      <c r="J12573" s="3">
        <f t="shared" si="196"/>
        <v>43749.407634178242</v>
      </c>
    </row>
    <row r="12574" spans="1:10" x14ac:dyDescent="0.25">
      <c r="A12574" s="5" t="s">
        <v>50785</v>
      </c>
      <c r="B12574" s="6">
        <v>393.75</v>
      </c>
      <c r="C12574" s="6">
        <v>20.478950000000001</v>
      </c>
      <c r="D12574" s="6">
        <v>71</v>
      </c>
      <c r="E12574" s="6">
        <v>0</v>
      </c>
      <c r="F12574" s="6">
        <v>0</v>
      </c>
      <c r="G12574" s="6">
        <v>16</v>
      </c>
      <c r="H12574" s="6" t="s">
        <v>50786</v>
      </c>
      <c r="I12574" s="6">
        <v>526.6875</v>
      </c>
      <c r="J12574" s="2">
        <f t="shared" si="196"/>
        <v>43749.407717395829</v>
      </c>
    </row>
    <row r="12575" spans="1:10" x14ac:dyDescent="0.25">
      <c r="A12575" s="7" t="s">
        <v>50787</v>
      </c>
      <c r="B12575" s="8">
        <v>412.5</v>
      </c>
      <c r="C12575" s="8">
        <v>20.478950000000001</v>
      </c>
      <c r="D12575" s="8">
        <v>70</v>
      </c>
      <c r="E12575" s="8">
        <v>0</v>
      </c>
      <c r="F12575" s="8">
        <v>0</v>
      </c>
      <c r="G12575" s="8">
        <v>13</v>
      </c>
      <c r="H12575" s="8" t="s">
        <v>50788</v>
      </c>
      <c r="I12575" s="8">
        <v>532.3125</v>
      </c>
      <c r="J12575" s="3">
        <f t="shared" si="196"/>
        <v>43749.407800844907</v>
      </c>
    </row>
    <row r="12576" spans="1:10" x14ac:dyDescent="0.25">
      <c r="A12576" s="5" t="s">
        <v>50789</v>
      </c>
      <c r="B12576" s="6">
        <v>393.75</v>
      </c>
      <c r="C12576" s="6">
        <v>20.478950000000001</v>
      </c>
      <c r="D12576" s="6">
        <v>70</v>
      </c>
      <c r="E12576" s="6">
        <v>0</v>
      </c>
      <c r="F12576" s="6">
        <v>0</v>
      </c>
      <c r="G12576" s="6">
        <v>13</v>
      </c>
      <c r="H12576" s="6" t="s">
        <v>50790</v>
      </c>
      <c r="I12576" s="6">
        <v>526.6875</v>
      </c>
      <c r="J12576" s="2">
        <f t="shared" si="196"/>
        <v>43749.407884513887</v>
      </c>
    </row>
    <row r="12577" spans="1:10" x14ac:dyDescent="0.25">
      <c r="A12577" s="7" t="s">
        <v>50791</v>
      </c>
      <c r="B12577" s="8">
        <v>393.75</v>
      </c>
      <c r="C12577" s="8">
        <v>20.478950000000001</v>
      </c>
      <c r="D12577" s="8">
        <v>71</v>
      </c>
      <c r="E12577" s="8">
        <v>0</v>
      </c>
      <c r="F12577" s="8">
        <v>0</v>
      </c>
      <c r="G12577" s="8">
        <v>18</v>
      </c>
      <c r="H12577" s="8" t="s">
        <v>50792</v>
      </c>
      <c r="I12577" s="8">
        <v>526.6875</v>
      </c>
      <c r="J12577" s="3">
        <f t="shared" si="196"/>
        <v>43749.407967615734</v>
      </c>
    </row>
    <row r="12578" spans="1:10" x14ac:dyDescent="0.25">
      <c r="A12578" s="5" t="s">
        <v>50793</v>
      </c>
      <c r="B12578" s="6">
        <v>393.75</v>
      </c>
      <c r="C12578" s="6">
        <v>20.478950000000001</v>
      </c>
      <c r="D12578" s="6">
        <v>71</v>
      </c>
      <c r="E12578" s="6">
        <v>0</v>
      </c>
      <c r="F12578" s="6">
        <v>0</v>
      </c>
      <c r="G12578" s="6">
        <v>15</v>
      </c>
      <c r="H12578" s="6" t="s">
        <v>50794</v>
      </c>
      <c r="I12578" s="6">
        <v>526.6875</v>
      </c>
      <c r="J12578" s="2">
        <f t="shared" si="196"/>
        <v>43749.408039270835</v>
      </c>
    </row>
    <row r="12579" spans="1:10" x14ac:dyDescent="0.25">
      <c r="A12579" s="7" t="s">
        <v>50795</v>
      </c>
      <c r="B12579" s="8">
        <v>393.75</v>
      </c>
      <c r="C12579" s="8">
        <v>20.478950000000001</v>
      </c>
      <c r="D12579" s="8">
        <v>71</v>
      </c>
      <c r="E12579" s="8">
        <v>0</v>
      </c>
      <c r="F12579" s="8">
        <v>0</v>
      </c>
      <c r="G12579" s="8">
        <v>19</v>
      </c>
      <c r="H12579" s="8" t="s">
        <v>50796</v>
      </c>
      <c r="I12579" s="8">
        <v>526.6875</v>
      </c>
      <c r="J12579" s="3">
        <f t="shared" si="196"/>
        <v>43749.408123067122</v>
      </c>
    </row>
    <row r="12580" spans="1:10" x14ac:dyDescent="0.25">
      <c r="A12580" s="5" t="s">
        <v>50797</v>
      </c>
      <c r="B12580" s="6">
        <v>393.75</v>
      </c>
      <c r="C12580" s="6">
        <v>20.478950000000001</v>
      </c>
      <c r="D12580" s="6">
        <v>71</v>
      </c>
      <c r="E12580" s="6">
        <v>0</v>
      </c>
      <c r="F12580" s="6">
        <v>0</v>
      </c>
      <c r="G12580" s="6">
        <v>18</v>
      </c>
      <c r="H12580" s="6" t="s">
        <v>50798</v>
      </c>
      <c r="I12580" s="6">
        <v>526.6875</v>
      </c>
      <c r="J12580" s="2">
        <f t="shared" si="196"/>
        <v>43749.4082065162</v>
      </c>
    </row>
    <row r="12581" spans="1:10" x14ac:dyDescent="0.25">
      <c r="A12581" s="7" t="s">
        <v>50799</v>
      </c>
      <c r="B12581" s="8">
        <v>393.75</v>
      </c>
      <c r="C12581" s="8">
        <v>20.478950000000001</v>
      </c>
      <c r="D12581" s="8">
        <v>71</v>
      </c>
      <c r="E12581" s="8">
        <v>0</v>
      </c>
      <c r="F12581" s="8">
        <v>0</v>
      </c>
      <c r="G12581" s="8">
        <v>16</v>
      </c>
      <c r="H12581" s="8" t="s">
        <v>50800</v>
      </c>
      <c r="I12581" s="8">
        <v>526.6875</v>
      </c>
      <c r="J12581" s="3">
        <f t="shared" si="196"/>
        <v>43749.408289722218</v>
      </c>
    </row>
    <row r="12582" spans="1:10" x14ac:dyDescent="0.25">
      <c r="A12582" s="5" t="s">
        <v>50801</v>
      </c>
      <c r="B12582" s="6">
        <v>393.75</v>
      </c>
      <c r="C12582" s="6">
        <v>20.478950000000001</v>
      </c>
      <c r="D12582" s="6">
        <v>72</v>
      </c>
      <c r="E12582" s="6">
        <v>0</v>
      </c>
      <c r="F12582" s="6">
        <v>0</v>
      </c>
      <c r="G12582" s="6">
        <v>18</v>
      </c>
      <c r="H12582" s="6" t="s">
        <v>50802</v>
      </c>
      <c r="I12582" s="6">
        <v>526.6875</v>
      </c>
      <c r="J12582" s="2">
        <f t="shared" si="196"/>
        <v>43749.408373402774</v>
      </c>
    </row>
    <row r="12583" spans="1:10" x14ac:dyDescent="0.25">
      <c r="A12583" s="7" t="s">
        <v>50803</v>
      </c>
      <c r="B12583" s="8">
        <v>393.75</v>
      </c>
      <c r="C12583" s="8">
        <v>20.478950000000001</v>
      </c>
      <c r="D12583" s="8">
        <v>72</v>
      </c>
      <c r="E12583" s="8">
        <v>0</v>
      </c>
      <c r="F12583" s="8">
        <v>0</v>
      </c>
      <c r="G12583" s="8">
        <v>15</v>
      </c>
      <c r="H12583" s="8" t="s">
        <v>50804</v>
      </c>
      <c r="I12583" s="8">
        <v>526.6875</v>
      </c>
      <c r="J12583" s="3">
        <f t="shared" si="196"/>
        <v>43749.408457094905</v>
      </c>
    </row>
    <row r="12584" spans="1:10" x14ac:dyDescent="0.25">
      <c r="A12584" s="5" t="s">
        <v>50805</v>
      </c>
      <c r="B12584" s="6">
        <v>393.75</v>
      </c>
      <c r="C12584" s="6">
        <v>20.478950000000001</v>
      </c>
      <c r="D12584" s="6">
        <v>72</v>
      </c>
      <c r="E12584" s="6">
        <v>0</v>
      </c>
      <c r="F12584" s="6">
        <v>0</v>
      </c>
      <c r="G12584" s="6">
        <v>12</v>
      </c>
      <c r="H12584" s="6" t="s">
        <v>50806</v>
      </c>
      <c r="I12584" s="6">
        <v>526.6875</v>
      </c>
      <c r="J12584" s="2">
        <f t="shared" si="196"/>
        <v>43749.408542731479</v>
      </c>
    </row>
    <row r="12585" spans="1:10" x14ac:dyDescent="0.25">
      <c r="A12585" s="7" t="s">
        <v>50807</v>
      </c>
      <c r="B12585" s="8">
        <v>393.75</v>
      </c>
      <c r="C12585" s="8">
        <v>20.478950000000001</v>
      </c>
      <c r="D12585" s="8">
        <v>72</v>
      </c>
      <c r="E12585" s="8">
        <v>0</v>
      </c>
      <c r="F12585" s="8">
        <v>0</v>
      </c>
      <c r="G12585" s="8">
        <v>15</v>
      </c>
      <c r="H12585" s="8" t="s">
        <v>50808</v>
      </c>
      <c r="I12585" s="8">
        <v>526.6875</v>
      </c>
      <c r="J12585" s="3">
        <f t="shared" si="196"/>
        <v>43749.408624108793</v>
      </c>
    </row>
    <row r="12586" spans="1:10" x14ac:dyDescent="0.25">
      <c r="A12586" s="5" t="s">
        <v>50809</v>
      </c>
      <c r="B12586" s="6">
        <v>393.75</v>
      </c>
      <c r="C12586" s="6">
        <v>20.478950000000001</v>
      </c>
      <c r="D12586" s="6">
        <v>75</v>
      </c>
      <c r="E12586" s="6">
        <v>0</v>
      </c>
      <c r="F12586" s="6">
        <v>0</v>
      </c>
      <c r="G12586" s="6">
        <v>13</v>
      </c>
      <c r="H12586" s="6" t="s">
        <v>50810</v>
      </c>
      <c r="I12586" s="6">
        <v>526.6875</v>
      </c>
      <c r="J12586" s="2">
        <f t="shared" si="196"/>
        <v>43749.408707453702</v>
      </c>
    </row>
    <row r="12587" spans="1:10" x14ac:dyDescent="0.25">
      <c r="A12587" s="7" t="s">
        <v>50811</v>
      </c>
      <c r="B12587" s="8">
        <v>412.5</v>
      </c>
      <c r="C12587" s="8">
        <v>20.478950000000001</v>
      </c>
      <c r="D12587" s="8">
        <v>74</v>
      </c>
      <c r="E12587" s="8">
        <v>0</v>
      </c>
      <c r="F12587" s="8">
        <v>0</v>
      </c>
      <c r="G12587" s="8">
        <v>18</v>
      </c>
      <c r="H12587" s="8" t="s">
        <v>50812</v>
      </c>
      <c r="I12587" s="8">
        <v>532.5</v>
      </c>
      <c r="J12587" s="3">
        <f t="shared" si="196"/>
        <v>43749.40879090278</v>
      </c>
    </row>
    <row r="12588" spans="1:10" x14ac:dyDescent="0.25">
      <c r="A12588" s="5" t="s">
        <v>50813</v>
      </c>
      <c r="B12588" s="6">
        <v>393.75</v>
      </c>
      <c r="C12588" s="6">
        <v>20.426300000000001</v>
      </c>
      <c r="D12588" s="6">
        <v>74</v>
      </c>
      <c r="E12588" s="6">
        <v>0</v>
      </c>
      <c r="F12588" s="6">
        <v>0</v>
      </c>
      <c r="G12588" s="6">
        <v>26</v>
      </c>
      <c r="H12588" s="6" t="s">
        <v>50814</v>
      </c>
      <c r="I12588" s="6">
        <v>526.6875</v>
      </c>
      <c r="J12588" s="2">
        <f t="shared" si="196"/>
        <v>43749.408874340275</v>
      </c>
    </row>
    <row r="12589" spans="1:10" x14ac:dyDescent="0.25">
      <c r="A12589" s="7" t="s">
        <v>50815</v>
      </c>
      <c r="B12589" s="8">
        <v>393.75</v>
      </c>
      <c r="C12589" s="8">
        <v>20.478950000000001</v>
      </c>
      <c r="D12589" s="8">
        <v>74</v>
      </c>
      <c r="E12589" s="8">
        <v>0</v>
      </c>
      <c r="F12589" s="8">
        <v>0</v>
      </c>
      <c r="G12589" s="8">
        <v>23</v>
      </c>
      <c r="H12589" s="8" t="s">
        <v>50816</v>
      </c>
      <c r="I12589" s="8">
        <v>526.6875</v>
      </c>
      <c r="J12589" s="3">
        <f t="shared" si="196"/>
        <v>43749.408957905085</v>
      </c>
    </row>
    <row r="12590" spans="1:10" x14ac:dyDescent="0.25">
      <c r="A12590" s="5" t="s">
        <v>50817</v>
      </c>
      <c r="B12590" s="6">
        <v>393.75</v>
      </c>
      <c r="C12590" s="6">
        <v>20.478950000000001</v>
      </c>
      <c r="D12590" s="6">
        <v>74</v>
      </c>
      <c r="E12590" s="6">
        <v>0</v>
      </c>
      <c r="F12590" s="6">
        <v>0</v>
      </c>
      <c r="G12590" s="6">
        <v>20</v>
      </c>
      <c r="H12590" s="6" t="s">
        <v>50818</v>
      </c>
      <c r="I12590" s="6">
        <v>526.5</v>
      </c>
      <c r="J12590" s="2">
        <f t="shared" si="196"/>
        <v>43749.409041354163</v>
      </c>
    </row>
    <row r="12591" spans="1:10" x14ac:dyDescent="0.25">
      <c r="A12591" s="7" t="s">
        <v>50819</v>
      </c>
      <c r="B12591" s="8">
        <v>393.75</v>
      </c>
      <c r="C12591" s="8">
        <v>20.478950000000001</v>
      </c>
      <c r="D12591" s="8">
        <v>74</v>
      </c>
      <c r="E12591" s="8">
        <v>0</v>
      </c>
      <c r="F12591" s="8">
        <v>0</v>
      </c>
      <c r="G12591" s="8">
        <v>25</v>
      </c>
      <c r="H12591" s="8" t="s">
        <v>50820</v>
      </c>
      <c r="I12591" s="8">
        <v>526.6875</v>
      </c>
      <c r="J12591" s="3">
        <f t="shared" si="196"/>
        <v>43749.409124803242</v>
      </c>
    </row>
    <row r="12592" spans="1:10" x14ac:dyDescent="0.25">
      <c r="A12592" s="5" t="s">
        <v>50821</v>
      </c>
      <c r="B12592" s="6">
        <v>393.75</v>
      </c>
      <c r="C12592" s="6">
        <v>20.478950000000001</v>
      </c>
      <c r="D12592" s="6">
        <v>75</v>
      </c>
      <c r="E12592" s="6">
        <v>0</v>
      </c>
      <c r="F12592" s="6">
        <v>0</v>
      </c>
      <c r="G12592" s="6">
        <v>22</v>
      </c>
      <c r="H12592" s="6" t="s">
        <v>50822</v>
      </c>
      <c r="I12592" s="6">
        <v>526.6875</v>
      </c>
      <c r="J12592" s="2">
        <f t="shared" si="196"/>
        <v>43749.409208263889</v>
      </c>
    </row>
    <row r="12593" spans="1:10" x14ac:dyDescent="0.25">
      <c r="A12593" s="7" t="s">
        <v>50823</v>
      </c>
      <c r="B12593" s="8">
        <v>393.75</v>
      </c>
      <c r="C12593" s="8">
        <v>20.478950000000001</v>
      </c>
      <c r="D12593" s="8">
        <v>74</v>
      </c>
      <c r="E12593" s="8">
        <v>0</v>
      </c>
      <c r="F12593" s="8">
        <v>0</v>
      </c>
      <c r="G12593" s="8">
        <v>19</v>
      </c>
      <c r="H12593" s="8" t="s">
        <v>50824</v>
      </c>
      <c r="I12593" s="8">
        <v>526.6875</v>
      </c>
      <c r="J12593" s="3">
        <f t="shared" si="196"/>
        <v>43749.409291921293</v>
      </c>
    </row>
    <row r="12594" spans="1:10" x14ac:dyDescent="0.25">
      <c r="A12594" s="5" t="s">
        <v>50825</v>
      </c>
      <c r="B12594" s="6">
        <v>393.75</v>
      </c>
      <c r="C12594" s="6">
        <v>20.478950000000001</v>
      </c>
      <c r="D12594" s="6">
        <v>74</v>
      </c>
      <c r="E12594" s="6">
        <v>0</v>
      </c>
      <c r="F12594" s="6">
        <v>0</v>
      </c>
      <c r="G12594" s="6">
        <v>18</v>
      </c>
      <c r="H12594" s="6" t="s">
        <v>50826</v>
      </c>
      <c r="I12594" s="6">
        <v>526.6875</v>
      </c>
      <c r="J12594" s="2">
        <f t="shared" si="196"/>
        <v>43749.409375034717</v>
      </c>
    </row>
    <row r="12595" spans="1:10" x14ac:dyDescent="0.25">
      <c r="A12595" s="7" t="s">
        <v>50827</v>
      </c>
      <c r="B12595" s="8">
        <v>393.75</v>
      </c>
      <c r="C12595" s="8">
        <v>20.478950000000001</v>
      </c>
      <c r="D12595" s="8">
        <v>74</v>
      </c>
      <c r="E12595" s="8">
        <v>0</v>
      </c>
      <c r="F12595" s="8">
        <v>0</v>
      </c>
      <c r="G12595" s="8">
        <v>21</v>
      </c>
      <c r="H12595" s="8" t="s">
        <v>50828</v>
      </c>
      <c r="I12595" s="8">
        <v>526.6875</v>
      </c>
      <c r="J12595" s="3">
        <f t="shared" si="196"/>
        <v>43749.409446562502</v>
      </c>
    </row>
    <row r="12596" spans="1:10" x14ac:dyDescent="0.25">
      <c r="A12596" s="5" t="s">
        <v>50829</v>
      </c>
      <c r="B12596" s="6">
        <v>393.75</v>
      </c>
      <c r="C12596" s="6">
        <v>20.478950000000001</v>
      </c>
      <c r="D12596" s="6">
        <v>75</v>
      </c>
      <c r="E12596" s="6">
        <v>0</v>
      </c>
      <c r="F12596" s="6">
        <v>0</v>
      </c>
      <c r="G12596" s="6">
        <v>25</v>
      </c>
      <c r="H12596" s="6" t="s">
        <v>50830</v>
      </c>
      <c r="I12596" s="6">
        <v>526.6875</v>
      </c>
      <c r="J12596" s="2">
        <f t="shared" si="196"/>
        <v>43749.409530474535</v>
      </c>
    </row>
    <row r="12597" spans="1:10" x14ac:dyDescent="0.25">
      <c r="A12597" s="7" t="s">
        <v>50831</v>
      </c>
      <c r="B12597" s="8">
        <v>393.75</v>
      </c>
      <c r="C12597" s="8">
        <v>20.478950000000001</v>
      </c>
      <c r="D12597" s="8">
        <v>71</v>
      </c>
      <c r="E12597" s="8">
        <v>0</v>
      </c>
      <c r="F12597" s="8">
        <v>0</v>
      </c>
      <c r="G12597" s="8">
        <v>13</v>
      </c>
      <c r="H12597" s="8" t="s">
        <v>50832</v>
      </c>
      <c r="I12597" s="8">
        <v>526.6875</v>
      </c>
      <c r="J12597" s="3">
        <f t="shared" si="196"/>
        <v>43749.409613807868</v>
      </c>
    </row>
    <row r="12598" spans="1:10" x14ac:dyDescent="0.25">
      <c r="A12598" s="5" t="s">
        <v>50833</v>
      </c>
      <c r="B12598" s="6">
        <v>393.75</v>
      </c>
      <c r="C12598" s="6">
        <v>20.478950000000001</v>
      </c>
      <c r="D12598" s="6">
        <v>71</v>
      </c>
      <c r="E12598" s="6">
        <v>0</v>
      </c>
      <c r="F12598" s="6">
        <v>0</v>
      </c>
      <c r="G12598" s="6">
        <v>10</v>
      </c>
      <c r="H12598" s="6" t="s">
        <v>50834</v>
      </c>
      <c r="I12598" s="6">
        <v>526.6875</v>
      </c>
      <c r="J12598" s="2">
        <f t="shared" si="196"/>
        <v>43749.409685451385</v>
      </c>
    </row>
    <row r="12599" spans="1:10" x14ac:dyDescent="0.25">
      <c r="A12599" s="7" t="s">
        <v>50835</v>
      </c>
      <c r="B12599" s="8">
        <v>393.75</v>
      </c>
      <c r="C12599" s="8">
        <v>20.478950000000001</v>
      </c>
      <c r="D12599" s="8">
        <v>71</v>
      </c>
      <c r="E12599" s="8">
        <v>0</v>
      </c>
      <c r="F12599" s="8">
        <v>0</v>
      </c>
      <c r="G12599" s="8">
        <v>15</v>
      </c>
      <c r="H12599" s="8" t="s">
        <v>50836</v>
      </c>
      <c r="I12599" s="8">
        <v>526.6875</v>
      </c>
      <c r="J12599" s="3">
        <f t="shared" si="196"/>
        <v>43749.409768888887</v>
      </c>
    </row>
    <row r="12600" spans="1:10" x14ac:dyDescent="0.25">
      <c r="A12600" s="5" t="s">
        <v>50837</v>
      </c>
      <c r="B12600" s="6">
        <v>393.75</v>
      </c>
      <c r="C12600" s="6">
        <v>20.478950000000001</v>
      </c>
      <c r="D12600" s="6">
        <v>71</v>
      </c>
      <c r="E12600" s="6">
        <v>0</v>
      </c>
      <c r="F12600" s="6">
        <v>0</v>
      </c>
      <c r="G12600" s="6">
        <v>9</v>
      </c>
      <c r="H12600" s="6" t="s">
        <v>50838</v>
      </c>
      <c r="I12600" s="6">
        <v>526.6875</v>
      </c>
      <c r="J12600" s="2">
        <f t="shared" si="196"/>
        <v>43749.409852199075</v>
      </c>
    </row>
    <row r="12601" spans="1:10" x14ac:dyDescent="0.25">
      <c r="A12601" s="7" t="s">
        <v>50839</v>
      </c>
      <c r="B12601" s="8">
        <v>393.75</v>
      </c>
      <c r="C12601" s="8">
        <v>20.478950000000001</v>
      </c>
      <c r="D12601" s="8">
        <v>72</v>
      </c>
      <c r="E12601" s="8">
        <v>0</v>
      </c>
      <c r="F12601" s="8">
        <v>0</v>
      </c>
      <c r="G12601" s="8">
        <v>11</v>
      </c>
      <c r="H12601" s="8" t="s">
        <v>50840</v>
      </c>
      <c r="I12601" s="8">
        <v>526.6875</v>
      </c>
      <c r="J12601" s="3">
        <f t="shared" si="196"/>
        <v>43749.409935891199</v>
      </c>
    </row>
    <row r="12602" spans="1:10" x14ac:dyDescent="0.25">
      <c r="A12602" s="5" t="s">
        <v>50841</v>
      </c>
      <c r="B12602" s="6">
        <v>393.75</v>
      </c>
      <c r="C12602" s="6">
        <v>20.478950000000001</v>
      </c>
      <c r="D12602" s="6">
        <v>72</v>
      </c>
      <c r="E12602" s="6">
        <v>0</v>
      </c>
      <c r="F12602" s="6">
        <v>0</v>
      </c>
      <c r="G12602" s="6">
        <v>7</v>
      </c>
      <c r="H12602" s="6" t="s">
        <v>50842</v>
      </c>
      <c r="I12602" s="6">
        <v>526.6875</v>
      </c>
      <c r="J12602" s="2">
        <f t="shared" si="196"/>
        <v>43749.410019456016</v>
      </c>
    </row>
    <row r="12603" spans="1:10" x14ac:dyDescent="0.25">
      <c r="A12603" s="7" t="s">
        <v>50843</v>
      </c>
      <c r="B12603" s="8">
        <v>393.75</v>
      </c>
      <c r="C12603" s="8">
        <v>20.478950000000001</v>
      </c>
      <c r="D12603" s="8">
        <v>71</v>
      </c>
      <c r="E12603" s="8">
        <v>0</v>
      </c>
      <c r="F12603" s="8">
        <v>0</v>
      </c>
      <c r="G12603" s="8">
        <v>13</v>
      </c>
      <c r="H12603" s="8" t="s">
        <v>50844</v>
      </c>
      <c r="I12603" s="8">
        <v>526.6875</v>
      </c>
      <c r="J12603" s="3">
        <f t="shared" si="196"/>
        <v>43749.410102800925</v>
      </c>
    </row>
    <row r="12604" spans="1:10" x14ac:dyDescent="0.25">
      <c r="A12604" s="5" t="s">
        <v>50845</v>
      </c>
      <c r="B12604" s="6">
        <v>412.5</v>
      </c>
      <c r="C12604" s="6">
        <v>20.478950000000001</v>
      </c>
      <c r="D12604" s="6">
        <v>72</v>
      </c>
      <c r="E12604" s="6">
        <v>0</v>
      </c>
      <c r="F12604" s="6">
        <v>0</v>
      </c>
      <c r="G12604" s="6">
        <v>12</v>
      </c>
      <c r="H12604" s="6" t="s">
        <v>50846</v>
      </c>
      <c r="I12604" s="6">
        <v>532.5</v>
      </c>
      <c r="J12604" s="2">
        <f t="shared" si="196"/>
        <v>43749.410185995366</v>
      </c>
    </row>
    <row r="12605" spans="1:10" x14ac:dyDescent="0.25">
      <c r="A12605" s="7" t="s">
        <v>50847</v>
      </c>
      <c r="B12605" s="8">
        <v>393.75</v>
      </c>
      <c r="C12605" s="8">
        <v>20.478950000000001</v>
      </c>
      <c r="D12605" s="8">
        <v>72</v>
      </c>
      <c r="E12605" s="8">
        <v>0</v>
      </c>
      <c r="F12605" s="8">
        <v>0</v>
      </c>
      <c r="G12605" s="8">
        <v>14</v>
      </c>
      <c r="H12605" s="8" t="s">
        <v>50848</v>
      </c>
      <c r="I12605" s="8">
        <v>526.6875</v>
      </c>
      <c r="J12605" s="3">
        <f t="shared" si="196"/>
        <v>43749.410269814813</v>
      </c>
    </row>
    <row r="12606" spans="1:10" x14ac:dyDescent="0.25">
      <c r="A12606" s="5" t="s">
        <v>50849</v>
      </c>
      <c r="B12606" s="6">
        <v>393.75</v>
      </c>
      <c r="C12606" s="6">
        <v>20.478950000000001</v>
      </c>
      <c r="D12606" s="6">
        <v>72</v>
      </c>
      <c r="E12606" s="6">
        <v>0</v>
      </c>
      <c r="F12606" s="6">
        <v>0</v>
      </c>
      <c r="G12606" s="6">
        <v>9</v>
      </c>
      <c r="H12606" s="6" t="s">
        <v>50850</v>
      </c>
      <c r="I12606" s="6">
        <v>526.6875</v>
      </c>
      <c r="J12606" s="2">
        <f t="shared" si="196"/>
        <v>43749.410353402774</v>
      </c>
    </row>
    <row r="12607" spans="1:10" x14ac:dyDescent="0.25">
      <c r="A12607" s="7" t="s">
        <v>50851</v>
      </c>
      <c r="B12607" s="8">
        <v>393.75</v>
      </c>
      <c r="C12607" s="8">
        <v>20.478950000000001</v>
      </c>
      <c r="D12607" s="8">
        <v>71</v>
      </c>
      <c r="E12607" s="8">
        <v>0</v>
      </c>
      <c r="F12607" s="8">
        <v>0</v>
      </c>
      <c r="G12607" s="8">
        <v>13</v>
      </c>
      <c r="H12607" s="8" t="s">
        <v>50852</v>
      </c>
      <c r="I12607" s="8">
        <v>526.6875</v>
      </c>
      <c r="J12607" s="3">
        <f t="shared" si="196"/>
        <v>43749.410424907408</v>
      </c>
    </row>
    <row r="12608" spans="1:10" x14ac:dyDescent="0.25">
      <c r="A12608" s="5" t="s">
        <v>50853</v>
      </c>
      <c r="B12608" s="6">
        <v>393.75</v>
      </c>
      <c r="C12608" s="6">
        <v>20.478950000000001</v>
      </c>
      <c r="D12608" s="6">
        <v>71</v>
      </c>
      <c r="E12608" s="6">
        <v>0</v>
      </c>
      <c r="F12608" s="6">
        <v>0</v>
      </c>
      <c r="G12608" s="6">
        <v>17</v>
      </c>
      <c r="H12608" s="6" t="s">
        <v>50854</v>
      </c>
      <c r="I12608" s="6">
        <v>526.6875</v>
      </c>
      <c r="J12608" s="2">
        <f t="shared" si="196"/>
        <v>43749.410508356479</v>
      </c>
    </row>
    <row r="12609" spans="1:10" x14ac:dyDescent="0.25">
      <c r="A12609" s="7" t="s">
        <v>50855</v>
      </c>
      <c r="B12609" s="8">
        <v>393.75</v>
      </c>
      <c r="C12609" s="8">
        <v>20.478950000000001</v>
      </c>
      <c r="D12609" s="8">
        <v>72</v>
      </c>
      <c r="E12609" s="8">
        <v>0</v>
      </c>
      <c r="F12609" s="8">
        <v>0</v>
      </c>
      <c r="G12609" s="8">
        <v>14</v>
      </c>
      <c r="H12609" s="8" t="s">
        <v>50856</v>
      </c>
      <c r="I12609" s="8">
        <v>526.6875</v>
      </c>
      <c r="J12609" s="3">
        <f t="shared" si="196"/>
        <v>43749.410602152777</v>
      </c>
    </row>
    <row r="12610" spans="1:10" x14ac:dyDescent="0.25">
      <c r="A12610" s="5" t="s">
        <v>50857</v>
      </c>
      <c r="B12610" s="6">
        <v>393.75</v>
      </c>
      <c r="C12610" s="6">
        <v>20.478950000000001</v>
      </c>
      <c r="D12610" s="6">
        <v>73</v>
      </c>
      <c r="E12610" s="6">
        <v>0</v>
      </c>
      <c r="F12610" s="6">
        <v>0</v>
      </c>
      <c r="G12610" s="6">
        <v>24</v>
      </c>
      <c r="H12610" s="6" t="s">
        <v>50858</v>
      </c>
      <c r="I12610" s="6">
        <v>526.6875</v>
      </c>
      <c r="J12610" s="2">
        <f t="shared" ref="J12610:J12673" si="197">(H12610/86400000)+25569+(7/24)</f>
        <v>43749.410687303236</v>
      </c>
    </row>
    <row r="12611" spans="1:10" x14ac:dyDescent="0.25">
      <c r="A12611" s="7" t="s">
        <v>50859</v>
      </c>
      <c r="B12611" s="8">
        <v>393.75</v>
      </c>
      <c r="C12611" s="8">
        <v>20.478950000000001</v>
      </c>
      <c r="D12611" s="8">
        <v>74</v>
      </c>
      <c r="E12611" s="8">
        <v>0</v>
      </c>
      <c r="F12611" s="8">
        <v>0</v>
      </c>
      <c r="G12611" s="8">
        <v>17</v>
      </c>
      <c r="H12611" s="8" t="s">
        <v>50860</v>
      </c>
      <c r="I12611" s="8">
        <v>526.6875</v>
      </c>
      <c r="J12611" s="3">
        <f t="shared" si="197"/>
        <v>43749.410770729162</v>
      </c>
    </row>
    <row r="12612" spans="1:10" x14ac:dyDescent="0.25">
      <c r="A12612" s="5" t="s">
        <v>50861</v>
      </c>
      <c r="B12612" s="6">
        <v>393.75</v>
      </c>
      <c r="C12612" s="6">
        <v>20.478950000000001</v>
      </c>
      <c r="D12612" s="6">
        <v>74</v>
      </c>
      <c r="E12612" s="6">
        <v>0</v>
      </c>
      <c r="F12612" s="6">
        <v>0</v>
      </c>
      <c r="G12612" s="6">
        <v>17</v>
      </c>
      <c r="H12612" s="6" t="s">
        <v>50862</v>
      </c>
      <c r="I12612" s="6">
        <v>526.6875</v>
      </c>
      <c r="J12612" s="2">
        <f t="shared" si="197"/>
        <v>43749.410854178241</v>
      </c>
    </row>
    <row r="12613" spans="1:10" x14ac:dyDescent="0.25">
      <c r="A12613" s="7" t="s">
        <v>50863</v>
      </c>
      <c r="B12613" s="8">
        <v>393.75</v>
      </c>
      <c r="C12613" s="8">
        <v>20.478950000000001</v>
      </c>
      <c r="D12613" s="8">
        <v>74</v>
      </c>
      <c r="E12613" s="8">
        <v>0</v>
      </c>
      <c r="F12613" s="8">
        <v>0</v>
      </c>
      <c r="G12613" s="8">
        <v>17</v>
      </c>
      <c r="H12613" s="8" t="s">
        <v>50864</v>
      </c>
      <c r="I12613" s="8">
        <v>526.6875</v>
      </c>
      <c r="J12613" s="3">
        <f t="shared" si="197"/>
        <v>43749.410937986111</v>
      </c>
    </row>
    <row r="12614" spans="1:10" x14ac:dyDescent="0.25">
      <c r="A12614" s="5" t="s">
        <v>50865</v>
      </c>
      <c r="B12614" s="6">
        <v>393.75</v>
      </c>
      <c r="C12614" s="6">
        <v>20.478950000000001</v>
      </c>
      <c r="D12614" s="6">
        <v>74</v>
      </c>
      <c r="E12614" s="6">
        <v>0</v>
      </c>
      <c r="F12614" s="6">
        <v>0</v>
      </c>
      <c r="G12614" s="6">
        <v>19</v>
      </c>
      <c r="H12614" s="6" t="s">
        <v>50866</v>
      </c>
      <c r="I12614" s="6">
        <v>526.6875</v>
      </c>
      <c r="J12614" s="2">
        <f t="shared" si="197"/>
        <v>43749.411021192129</v>
      </c>
    </row>
    <row r="12615" spans="1:10" x14ac:dyDescent="0.25">
      <c r="A12615" s="7" t="s">
        <v>50867</v>
      </c>
      <c r="B12615" s="8">
        <v>393.75</v>
      </c>
      <c r="C12615" s="8">
        <v>20.478950000000001</v>
      </c>
      <c r="D12615" s="8">
        <v>73</v>
      </c>
      <c r="E12615" s="8">
        <v>0</v>
      </c>
      <c r="F12615" s="8">
        <v>0</v>
      </c>
      <c r="G12615" s="8">
        <v>17</v>
      </c>
      <c r="H12615" s="8" t="s">
        <v>50868</v>
      </c>
      <c r="I12615" s="8">
        <v>526.6875</v>
      </c>
      <c r="J12615" s="3">
        <f t="shared" si="197"/>
        <v>43749.411104652776</v>
      </c>
    </row>
    <row r="12616" spans="1:10" x14ac:dyDescent="0.25">
      <c r="A12616" s="5" t="s">
        <v>50869</v>
      </c>
      <c r="B12616" s="6">
        <v>393.75</v>
      </c>
      <c r="C12616" s="6">
        <v>20.478950000000001</v>
      </c>
      <c r="D12616" s="6">
        <v>73</v>
      </c>
      <c r="E12616" s="6">
        <v>0</v>
      </c>
      <c r="F12616" s="6">
        <v>0</v>
      </c>
      <c r="G12616" s="6">
        <v>13</v>
      </c>
      <c r="H12616" s="6" t="s">
        <v>50870</v>
      </c>
      <c r="I12616" s="6">
        <v>526.6875</v>
      </c>
      <c r="J12616" s="2">
        <f t="shared" si="197"/>
        <v>43749.411188194441</v>
      </c>
    </row>
    <row r="12617" spans="1:10" x14ac:dyDescent="0.25">
      <c r="A12617" s="7" t="s">
        <v>50871</v>
      </c>
      <c r="B12617" s="8">
        <v>393.75</v>
      </c>
      <c r="C12617" s="8">
        <v>20.478950000000001</v>
      </c>
      <c r="D12617" s="8">
        <v>73</v>
      </c>
      <c r="E12617" s="8">
        <v>0</v>
      </c>
      <c r="F12617" s="8">
        <v>0</v>
      </c>
      <c r="G12617" s="8">
        <v>14</v>
      </c>
      <c r="H12617" s="8" t="s">
        <v>50872</v>
      </c>
      <c r="I12617" s="8">
        <v>526.6875</v>
      </c>
      <c r="J12617" s="3">
        <f t="shared" si="197"/>
        <v>43749.411271319441</v>
      </c>
    </row>
    <row r="12618" spans="1:10" x14ac:dyDescent="0.25">
      <c r="A12618" s="5" t="s">
        <v>50873</v>
      </c>
      <c r="B12618" s="6">
        <v>393.75</v>
      </c>
      <c r="C12618" s="6">
        <v>20.478950000000001</v>
      </c>
      <c r="D12618" s="6">
        <v>73</v>
      </c>
      <c r="E12618" s="6">
        <v>0</v>
      </c>
      <c r="F12618" s="6">
        <v>0</v>
      </c>
      <c r="G12618" s="6">
        <v>14</v>
      </c>
      <c r="H12618" s="6" t="s">
        <v>50874</v>
      </c>
      <c r="I12618" s="6">
        <v>526.6875</v>
      </c>
      <c r="J12618" s="2">
        <f t="shared" si="197"/>
        <v>43749.411342951389</v>
      </c>
    </row>
    <row r="12619" spans="1:10" x14ac:dyDescent="0.25">
      <c r="A12619" s="7" t="s">
        <v>50875</v>
      </c>
      <c r="B12619" s="8">
        <v>393.75</v>
      </c>
      <c r="C12619" s="8">
        <v>20.478950000000001</v>
      </c>
      <c r="D12619" s="8">
        <v>74</v>
      </c>
      <c r="E12619" s="8">
        <v>0</v>
      </c>
      <c r="F12619" s="8">
        <v>0</v>
      </c>
      <c r="G12619" s="8">
        <v>18</v>
      </c>
      <c r="H12619" s="8" t="s">
        <v>50876</v>
      </c>
      <c r="I12619" s="8">
        <v>526.6875</v>
      </c>
      <c r="J12619" s="3">
        <f t="shared" si="197"/>
        <v>43749.411426759259</v>
      </c>
    </row>
    <row r="12620" spans="1:10" x14ac:dyDescent="0.25">
      <c r="A12620" s="5" t="s">
        <v>50877</v>
      </c>
      <c r="B12620" s="6">
        <v>393.75</v>
      </c>
      <c r="C12620" s="6">
        <v>20.478950000000001</v>
      </c>
      <c r="D12620" s="6">
        <v>74</v>
      </c>
      <c r="E12620" s="6">
        <v>0</v>
      </c>
      <c r="F12620" s="6">
        <v>0</v>
      </c>
      <c r="G12620" s="6">
        <v>20</v>
      </c>
      <c r="H12620" s="6" t="s">
        <v>50878</v>
      </c>
      <c r="I12620" s="6">
        <v>526.6875</v>
      </c>
      <c r="J12620" s="2">
        <f t="shared" si="197"/>
        <v>43749.411510185186</v>
      </c>
    </row>
    <row r="12621" spans="1:10" x14ac:dyDescent="0.25">
      <c r="A12621" s="7" t="s">
        <v>50879</v>
      </c>
      <c r="B12621" s="8">
        <v>393.75</v>
      </c>
      <c r="C12621" s="8">
        <v>20.478950000000001</v>
      </c>
      <c r="D12621" s="8">
        <v>74</v>
      </c>
      <c r="E12621" s="8">
        <v>0</v>
      </c>
      <c r="F12621" s="8">
        <v>0</v>
      </c>
      <c r="G12621" s="8">
        <v>13</v>
      </c>
      <c r="H12621" s="8" t="s">
        <v>50880</v>
      </c>
      <c r="I12621" s="8">
        <v>526.6875</v>
      </c>
      <c r="J12621" s="3">
        <f t="shared" si="197"/>
        <v>43749.411593402772</v>
      </c>
    </row>
    <row r="12622" spans="1:10" x14ac:dyDescent="0.25">
      <c r="A12622" s="5" t="s">
        <v>50881</v>
      </c>
      <c r="B12622" s="6">
        <v>393.75</v>
      </c>
      <c r="C12622" s="6">
        <v>20.478950000000001</v>
      </c>
      <c r="D12622" s="6">
        <v>73</v>
      </c>
      <c r="E12622" s="6">
        <v>0</v>
      </c>
      <c r="F12622" s="6">
        <v>0</v>
      </c>
      <c r="G12622" s="6">
        <v>5</v>
      </c>
      <c r="H12622" s="6" t="s">
        <v>50882</v>
      </c>
      <c r="I12622" s="6">
        <v>526.6875</v>
      </c>
      <c r="J12622" s="2">
        <f t="shared" si="197"/>
        <v>43749.411688807864</v>
      </c>
    </row>
    <row r="12623" spans="1:10" x14ac:dyDescent="0.25">
      <c r="A12623" s="7" t="s">
        <v>50883</v>
      </c>
      <c r="B12623" s="8">
        <v>393.75</v>
      </c>
      <c r="C12623" s="8">
        <v>20.478950000000001</v>
      </c>
      <c r="D12623" s="8">
        <v>73</v>
      </c>
      <c r="E12623" s="8">
        <v>0</v>
      </c>
      <c r="F12623" s="8">
        <v>0</v>
      </c>
      <c r="G12623" s="8">
        <v>2</v>
      </c>
      <c r="H12623" s="8" t="s">
        <v>50884</v>
      </c>
      <c r="I12623" s="8">
        <v>526.6875</v>
      </c>
      <c r="J12623" s="3">
        <f t="shared" si="197"/>
        <v>43749.411760312498</v>
      </c>
    </row>
    <row r="12624" spans="1:10" x14ac:dyDescent="0.25">
      <c r="A12624" s="5" t="s">
        <v>50885</v>
      </c>
      <c r="B12624" s="6">
        <v>393.75</v>
      </c>
      <c r="C12624" s="6">
        <v>20.478950000000001</v>
      </c>
      <c r="D12624" s="6">
        <v>75</v>
      </c>
      <c r="E12624" s="6">
        <v>0</v>
      </c>
      <c r="F12624" s="6">
        <v>0</v>
      </c>
      <c r="G12624" s="6">
        <v>0</v>
      </c>
      <c r="H12624" s="6" t="s">
        <v>50886</v>
      </c>
      <c r="I12624" s="6">
        <v>526.6875</v>
      </c>
      <c r="J12624" s="2">
        <f t="shared" si="197"/>
        <v>43749.411832187499</v>
      </c>
    </row>
    <row r="12625" spans="1:10" x14ac:dyDescent="0.25">
      <c r="A12625" s="7" t="s">
        <v>50887</v>
      </c>
      <c r="B12625" s="8">
        <v>393.75</v>
      </c>
      <c r="C12625" s="8">
        <v>20.478950000000001</v>
      </c>
      <c r="D12625" s="8">
        <v>75</v>
      </c>
      <c r="E12625" s="8">
        <v>0</v>
      </c>
      <c r="F12625" s="8">
        <v>0</v>
      </c>
      <c r="G12625" s="8">
        <v>7</v>
      </c>
      <c r="H12625" s="8" t="s">
        <v>50888</v>
      </c>
      <c r="I12625" s="8">
        <v>526.6875</v>
      </c>
      <c r="J12625" s="3">
        <f t="shared" si="197"/>
        <v>43749.411915856479</v>
      </c>
    </row>
    <row r="12626" spans="1:10" x14ac:dyDescent="0.25">
      <c r="A12626" s="5" t="s">
        <v>50889</v>
      </c>
      <c r="B12626" s="6">
        <v>393.75</v>
      </c>
      <c r="C12626" s="6">
        <v>20.478950000000001</v>
      </c>
      <c r="D12626" s="6">
        <v>75</v>
      </c>
      <c r="E12626" s="6">
        <v>0</v>
      </c>
      <c r="F12626" s="6">
        <v>0</v>
      </c>
      <c r="G12626" s="6">
        <v>9</v>
      </c>
      <c r="H12626" s="6" t="s">
        <v>50890</v>
      </c>
      <c r="I12626" s="6">
        <v>526.6875</v>
      </c>
      <c r="J12626" s="2">
        <f t="shared" si="197"/>
        <v>43749.411999166659</v>
      </c>
    </row>
    <row r="12627" spans="1:10" x14ac:dyDescent="0.25">
      <c r="A12627" s="7" t="s">
        <v>50891</v>
      </c>
      <c r="B12627" s="8">
        <v>393.75</v>
      </c>
      <c r="C12627" s="8">
        <v>20.478950000000001</v>
      </c>
      <c r="D12627" s="8">
        <v>75</v>
      </c>
      <c r="E12627" s="8">
        <v>0</v>
      </c>
      <c r="F12627" s="8">
        <v>0</v>
      </c>
      <c r="G12627" s="8">
        <v>10</v>
      </c>
      <c r="H12627" s="8" t="s">
        <v>50892</v>
      </c>
      <c r="I12627" s="8">
        <v>526.6875</v>
      </c>
      <c r="J12627" s="3">
        <f t="shared" si="197"/>
        <v>43749.412082337956</v>
      </c>
    </row>
    <row r="12628" spans="1:10" x14ac:dyDescent="0.25">
      <c r="A12628" s="5" t="s">
        <v>50893</v>
      </c>
      <c r="B12628" s="6">
        <v>412.5</v>
      </c>
      <c r="C12628" s="6">
        <v>20.478950000000001</v>
      </c>
      <c r="D12628" s="6">
        <v>75</v>
      </c>
      <c r="E12628" s="6">
        <v>0</v>
      </c>
      <c r="F12628" s="6">
        <v>0</v>
      </c>
      <c r="G12628" s="6">
        <v>10</v>
      </c>
      <c r="H12628" s="6" t="s">
        <v>50894</v>
      </c>
      <c r="I12628" s="6">
        <v>532.5</v>
      </c>
      <c r="J12628" s="2">
        <f t="shared" si="197"/>
        <v>43749.412154062498</v>
      </c>
    </row>
    <row r="12629" spans="1:10" x14ac:dyDescent="0.25">
      <c r="A12629" s="7" t="s">
        <v>50895</v>
      </c>
      <c r="B12629" s="8">
        <v>393.75</v>
      </c>
      <c r="C12629" s="8">
        <v>20.478950000000001</v>
      </c>
      <c r="D12629" s="8">
        <v>75</v>
      </c>
      <c r="E12629" s="8">
        <v>0</v>
      </c>
      <c r="F12629" s="8">
        <v>0</v>
      </c>
      <c r="G12629" s="8">
        <v>4</v>
      </c>
      <c r="H12629" s="8" t="s">
        <v>50896</v>
      </c>
      <c r="I12629" s="8">
        <v>526.6875</v>
      </c>
      <c r="J12629" s="3">
        <f t="shared" si="197"/>
        <v>43749.412237638891</v>
      </c>
    </row>
    <row r="12630" spans="1:10" x14ac:dyDescent="0.25">
      <c r="A12630" s="5" t="s">
        <v>50897</v>
      </c>
      <c r="B12630" s="6">
        <v>393.75</v>
      </c>
      <c r="C12630" s="6">
        <v>20.478950000000001</v>
      </c>
      <c r="D12630" s="6">
        <v>75</v>
      </c>
      <c r="E12630" s="6">
        <v>0</v>
      </c>
      <c r="F12630" s="6">
        <v>0</v>
      </c>
      <c r="G12630" s="6">
        <v>3</v>
      </c>
      <c r="H12630" s="6" t="s">
        <v>50898</v>
      </c>
      <c r="I12630" s="6">
        <v>526.6875</v>
      </c>
      <c r="J12630" s="2">
        <f t="shared" si="197"/>
        <v>43749.412321192132</v>
      </c>
    </row>
    <row r="12631" spans="1:10" x14ac:dyDescent="0.25">
      <c r="A12631" s="7" t="s">
        <v>50899</v>
      </c>
      <c r="B12631" s="8">
        <v>393.75</v>
      </c>
      <c r="C12631" s="8">
        <v>20.478950000000001</v>
      </c>
      <c r="D12631" s="8">
        <v>75</v>
      </c>
      <c r="E12631" s="8">
        <v>0</v>
      </c>
      <c r="F12631" s="8">
        <v>0</v>
      </c>
      <c r="G12631" s="8">
        <v>7</v>
      </c>
      <c r="H12631" s="8" t="s">
        <v>50900</v>
      </c>
      <c r="I12631" s="8">
        <v>526.6875</v>
      </c>
      <c r="J12631" s="3">
        <f t="shared" si="197"/>
        <v>43749.412404629627</v>
      </c>
    </row>
    <row r="12632" spans="1:10" x14ac:dyDescent="0.25">
      <c r="A12632" s="5" t="s">
        <v>50901</v>
      </c>
      <c r="B12632" s="6">
        <v>393.75</v>
      </c>
      <c r="C12632" s="6">
        <v>20.478950000000001</v>
      </c>
      <c r="D12632" s="6">
        <v>75</v>
      </c>
      <c r="E12632" s="6">
        <v>0</v>
      </c>
      <c r="F12632" s="6">
        <v>0</v>
      </c>
      <c r="G12632" s="6">
        <v>12</v>
      </c>
      <c r="H12632" s="6" t="s">
        <v>50902</v>
      </c>
      <c r="I12632" s="6">
        <v>526.6875</v>
      </c>
      <c r="J12632" s="2">
        <f t="shared" si="197"/>
        <v>43749.412488101851</v>
      </c>
    </row>
    <row r="12633" spans="1:10" x14ac:dyDescent="0.25">
      <c r="A12633" s="7" t="s">
        <v>50903</v>
      </c>
      <c r="B12633" s="8">
        <v>412.5</v>
      </c>
      <c r="C12633" s="8">
        <v>20.478950000000001</v>
      </c>
      <c r="D12633" s="8">
        <v>75</v>
      </c>
      <c r="E12633" s="8">
        <v>0</v>
      </c>
      <c r="F12633" s="8">
        <v>0</v>
      </c>
      <c r="G12633" s="8">
        <v>3</v>
      </c>
      <c r="H12633" s="8" t="s">
        <v>50904</v>
      </c>
      <c r="I12633" s="8">
        <v>532.5</v>
      </c>
      <c r="J12633" s="3">
        <f t="shared" si="197"/>
        <v>43749.412584988422</v>
      </c>
    </row>
    <row r="12634" spans="1:10" x14ac:dyDescent="0.25">
      <c r="A12634" s="5" t="s">
        <v>50905</v>
      </c>
      <c r="B12634" s="6">
        <v>393.75</v>
      </c>
      <c r="C12634" s="6">
        <v>20.478950000000001</v>
      </c>
      <c r="D12634" s="6">
        <v>75</v>
      </c>
      <c r="E12634" s="6">
        <v>0</v>
      </c>
      <c r="F12634" s="6">
        <v>0</v>
      </c>
      <c r="G12634" s="6">
        <v>0</v>
      </c>
      <c r="H12634" s="6" t="s">
        <v>50906</v>
      </c>
      <c r="I12634" s="6">
        <v>526.6875</v>
      </c>
      <c r="J12634" s="2">
        <f t="shared" si="197"/>
        <v>43749.412667060184</v>
      </c>
    </row>
    <row r="12635" spans="1:10" x14ac:dyDescent="0.25">
      <c r="A12635" s="7" t="s">
        <v>50907</v>
      </c>
      <c r="B12635" s="8">
        <v>393.75</v>
      </c>
      <c r="C12635" s="8">
        <v>20.478950000000001</v>
      </c>
      <c r="D12635" s="8">
        <v>72</v>
      </c>
      <c r="E12635" s="8">
        <v>0</v>
      </c>
      <c r="F12635" s="8">
        <v>0</v>
      </c>
      <c r="G12635" s="8">
        <v>3</v>
      </c>
      <c r="H12635" s="8" t="s">
        <v>50908</v>
      </c>
      <c r="I12635" s="8">
        <v>526.6875</v>
      </c>
      <c r="J12635" s="3">
        <f t="shared" si="197"/>
        <v>43749.412750497686</v>
      </c>
    </row>
    <row r="12636" spans="1:10" x14ac:dyDescent="0.25">
      <c r="A12636" s="5" t="s">
        <v>50909</v>
      </c>
      <c r="B12636" s="6">
        <v>393.75</v>
      </c>
      <c r="C12636" s="6">
        <v>20.478950000000001</v>
      </c>
      <c r="D12636" s="6">
        <v>73</v>
      </c>
      <c r="E12636" s="6">
        <v>0</v>
      </c>
      <c r="F12636" s="6">
        <v>0</v>
      </c>
      <c r="G12636" s="6">
        <v>2</v>
      </c>
      <c r="H12636" s="6" t="s">
        <v>50910</v>
      </c>
      <c r="I12636" s="6">
        <v>526.5</v>
      </c>
      <c r="J12636" s="2">
        <f t="shared" si="197"/>
        <v>43749.412834062496</v>
      </c>
    </row>
    <row r="12637" spans="1:10" x14ac:dyDescent="0.25">
      <c r="A12637" s="7" t="s">
        <v>50911</v>
      </c>
      <c r="B12637" s="8">
        <v>393.75</v>
      </c>
      <c r="C12637" s="8">
        <v>20.478950000000001</v>
      </c>
      <c r="D12637" s="8">
        <v>73</v>
      </c>
      <c r="E12637" s="8">
        <v>0</v>
      </c>
      <c r="F12637" s="8">
        <v>0</v>
      </c>
      <c r="G12637" s="8">
        <v>0</v>
      </c>
      <c r="H12637" s="8" t="s">
        <v>50912</v>
      </c>
      <c r="I12637" s="8">
        <v>526.6875</v>
      </c>
      <c r="J12637" s="3">
        <f t="shared" si="197"/>
        <v>43749.412917523143</v>
      </c>
    </row>
    <row r="12638" spans="1:10" x14ac:dyDescent="0.25">
      <c r="A12638" s="5" t="s">
        <v>50913</v>
      </c>
      <c r="B12638" s="6">
        <v>393.75</v>
      </c>
      <c r="C12638" s="6">
        <v>20.478950000000001</v>
      </c>
      <c r="D12638" s="6">
        <v>73</v>
      </c>
      <c r="E12638" s="6">
        <v>0</v>
      </c>
      <c r="F12638" s="6">
        <v>0</v>
      </c>
      <c r="G12638" s="6">
        <v>0</v>
      </c>
      <c r="H12638" s="6" t="s">
        <v>50914</v>
      </c>
      <c r="I12638" s="6">
        <v>526.6875</v>
      </c>
      <c r="J12638" s="2">
        <f t="shared" si="197"/>
        <v>43749.413000856475</v>
      </c>
    </row>
    <row r="12639" spans="1:10" x14ac:dyDescent="0.25">
      <c r="A12639" s="7" t="s">
        <v>50915</v>
      </c>
      <c r="B12639" s="8">
        <v>393.75</v>
      </c>
      <c r="C12639" s="8">
        <v>20.478950000000001</v>
      </c>
      <c r="D12639" s="8">
        <v>73</v>
      </c>
      <c r="E12639" s="8">
        <v>0</v>
      </c>
      <c r="F12639" s="8">
        <v>0</v>
      </c>
      <c r="G12639" s="8">
        <v>0</v>
      </c>
      <c r="H12639" s="8" t="s">
        <v>50916</v>
      </c>
      <c r="I12639" s="8">
        <v>526.6875</v>
      </c>
      <c r="J12639" s="3">
        <f t="shared" si="197"/>
        <v>43749.413084432868</v>
      </c>
    </row>
    <row r="12640" spans="1:10" x14ac:dyDescent="0.25">
      <c r="A12640" s="5" t="s">
        <v>50917</v>
      </c>
      <c r="B12640" s="6">
        <v>393.75</v>
      </c>
      <c r="C12640" s="6">
        <v>20.478950000000001</v>
      </c>
      <c r="D12640" s="6">
        <v>73</v>
      </c>
      <c r="E12640" s="6">
        <v>0</v>
      </c>
      <c r="F12640" s="6">
        <v>0</v>
      </c>
      <c r="G12640" s="6">
        <v>0</v>
      </c>
      <c r="H12640" s="6" t="s">
        <v>50918</v>
      </c>
      <c r="I12640" s="6">
        <v>526.6875</v>
      </c>
      <c r="J12640" s="2">
        <f t="shared" si="197"/>
        <v>43749.413167638886</v>
      </c>
    </row>
    <row r="12641" spans="1:10" x14ac:dyDescent="0.25">
      <c r="A12641" s="7" t="s">
        <v>50919</v>
      </c>
      <c r="B12641" s="8">
        <v>393.75</v>
      </c>
      <c r="C12641" s="8">
        <v>20.478950000000001</v>
      </c>
      <c r="D12641" s="8">
        <v>73</v>
      </c>
      <c r="E12641" s="8">
        <v>0</v>
      </c>
      <c r="F12641" s="8">
        <v>0</v>
      </c>
      <c r="G12641" s="8">
        <v>0</v>
      </c>
      <c r="H12641" s="8" t="s">
        <v>50920</v>
      </c>
      <c r="I12641" s="8">
        <v>526.6875</v>
      </c>
      <c r="J12641" s="3">
        <f t="shared" si="197"/>
        <v>43749.413239166664</v>
      </c>
    </row>
    <row r="12642" spans="1:10" x14ac:dyDescent="0.25">
      <c r="A12642" s="5" t="s">
        <v>50921</v>
      </c>
      <c r="B12642" s="6">
        <v>393.75</v>
      </c>
      <c r="C12642" s="6">
        <v>20.478950000000001</v>
      </c>
      <c r="D12642" s="6">
        <v>74</v>
      </c>
      <c r="E12642" s="6">
        <v>0</v>
      </c>
      <c r="F12642" s="6">
        <v>0</v>
      </c>
      <c r="G12642" s="6">
        <v>0</v>
      </c>
      <c r="H12642" s="6" t="s">
        <v>50922</v>
      </c>
      <c r="I12642" s="6">
        <v>526.6875</v>
      </c>
      <c r="J12642" s="2">
        <f t="shared" si="197"/>
        <v>43749.413323067129</v>
      </c>
    </row>
    <row r="12643" spans="1:10" x14ac:dyDescent="0.25">
      <c r="A12643" s="7" t="s">
        <v>50923</v>
      </c>
      <c r="B12643" s="8">
        <v>393.75</v>
      </c>
      <c r="C12643" s="8">
        <v>20.478950000000001</v>
      </c>
      <c r="D12643" s="8">
        <v>74</v>
      </c>
      <c r="E12643" s="8">
        <v>0</v>
      </c>
      <c r="F12643" s="8">
        <v>0</v>
      </c>
      <c r="G12643" s="8">
        <v>0</v>
      </c>
      <c r="H12643" s="8" t="s">
        <v>50924</v>
      </c>
      <c r="I12643" s="8">
        <v>526.6875</v>
      </c>
      <c r="J12643" s="3">
        <f t="shared" si="197"/>
        <v>43749.413406562497</v>
      </c>
    </row>
    <row r="12644" spans="1:10" x14ac:dyDescent="0.25">
      <c r="A12644" s="5" t="s">
        <v>50925</v>
      </c>
      <c r="B12644" s="6">
        <v>393.75</v>
      </c>
      <c r="C12644" s="6">
        <v>20.478950000000001</v>
      </c>
      <c r="D12644" s="6">
        <v>75</v>
      </c>
      <c r="E12644" s="6">
        <v>0</v>
      </c>
      <c r="F12644" s="6">
        <v>0</v>
      </c>
      <c r="G12644" s="6">
        <v>10</v>
      </c>
      <c r="H12644" s="6" t="s">
        <v>50926</v>
      </c>
      <c r="I12644" s="6">
        <v>526.6875</v>
      </c>
      <c r="J12644" s="2">
        <f t="shared" si="197"/>
        <v>43749.41348974537</v>
      </c>
    </row>
    <row r="12645" spans="1:10" x14ac:dyDescent="0.25">
      <c r="A12645" s="7" t="s">
        <v>50927</v>
      </c>
      <c r="B12645" s="8">
        <v>393.75</v>
      </c>
      <c r="C12645" s="8">
        <v>20.478950000000001</v>
      </c>
      <c r="D12645" s="8">
        <v>75</v>
      </c>
      <c r="E12645" s="8">
        <v>0</v>
      </c>
      <c r="F12645" s="8">
        <v>0</v>
      </c>
      <c r="G12645" s="8">
        <v>2</v>
      </c>
      <c r="H12645" s="8" t="s">
        <v>50928</v>
      </c>
      <c r="I12645" s="8">
        <v>526.6875</v>
      </c>
      <c r="J12645" s="3">
        <f t="shared" si="197"/>
        <v>43749.413561516201</v>
      </c>
    </row>
    <row r="12646" spans="1:10" x14ac:dyDescent="0.25">
      <c r="A12646" s="5" t="s">
        <v>50929</v>
      </c>
      <c r="B12646" s="6">
        <v>393.75</v>
      </c>
      <c r="C12646" s="6">
        <v>20.478950000000001</v>
      </c>
      <c r="D12646" s="6">
        <v>75</v>
      </c>
      <c r="E12646" s="6">
        <v>0</v>
      </c>
      <c r="F12646" s="6">
        <v>0</v>
      </c>
      <c r="G12646" s="6">
        <v>5</v>
      </c>
      <c r="H12646" s="6" t="s">
        <v>50930</v>
      </c>
      <c r="I12646" s="6">
        <v>526.6875</v>
      </c>
      <c r="J12646" s="2">
        <f t="shared" si="197"/>
        <v>43749.413644942128</v>
      </c>
    </row>
    <row r="12647" spans="1:10" x14ac:dyDescent="0.25">
      <c r="A12647" s="7" t="s">
        <v>50931</v>
      </c>
      <c r="B12647" s="8">
        <v>393.75</v>
      </c>
      <c r="C12647" s="8">
        <v>20.478950000000001</v>
      </c>
      <c r="D12647" s="8">
        <v>75</v>
      </c>
      <c r="E12647" s="8">
        <v>0</v>
      </c>
      <c r="F12647" s="8">
        <v>0</v>
      </c>
      <c r="G12647" s="8">
        <v>1</v>
      </c>
      <c r="H12647" s="8" t="s">
        <v>50932</v>
      </c>
      <c r="I12647" s="8">
        <v>526.6875</v>
      </c>
      <c r="J12647" s="3">
        <f t="shared" si="197"/>
        <v>43749.413740324067</v>
      </c>
    </row>
    <row r="12648" spans="1:10" x14ac:dyDescent="0.25">
      <c r="A12648" s="5" t="s">
        <v>50933</v>
      </c>
      <c r="B12648" s="6">
        <v>393.75</v>
      </c>
      <c r="C12648" s="6">
        <v>20.478950000000001</v>
      </c>
      <c r="D12648" s="6">
        <v>75</v>
      </c>
      <c r="E12648" s="6">
        <v>0</v>
      </c>
      <c r="F12648" s="6">
        <v>0</v>
      </c>
      <c r="G12648" s="6">
        <v>7</v>
      </c>
      <c r="H12648" s="6" t="s">
        <v>50934</v>
      </c>
      <c r="I12648" s="6">
        <v>526.6875</v>
      </c>
      <c r="J12648" s="2">
        <f t="shared" si="197"/>
        <v>43749.413823981478</v>
      </c>
    </row>
    <row r="12649" spans="1:10" x14ac:dyDescent="0.25">
      <c r="A12649" s="7" t="s">
        <v>50935</v>
      </c>
      <c r="B12649" s="8">
        <v>393.75</v>
      </c>
      <c r="C12649" s="8">
        <v>20.478950000000001</v>
      </c>
      <c r="D12649" s="8">
        <v>75</v>
      </c>
      <c r="E12649" s="8">
        <v>0</v>
      </c>
      <c r="F12649" s="8">
        <v>0</v>
      </c>
      <c r="G12649" s="8">
        <v>13</v>
      </c>
      <c r="H12649" s="8" t="s">
        <v>50936</v>
      </c>
      <c r="I12649" s="8">
        <v>526.6875</v>
      </c>
      <c r="J12649" s="3">
        <f t="shared" si="197"/>
        <v>43749.413895405094</v>
      </c>
    </row>
    <row r="12650" spans="1:10" x14ac:dyDescent="0.25">
      <c r="A12650" s="5" t="s">
        <v>50937</v>
      </c>
      <c r="B12650" s="6">
        <v>393.75</v>
      </c>
      <c r="C12650" s="6">
        <v>20.478950000000001</v>
      </c>
      <c r="D12650" s="6">
        <v>75</v>
      </c>
      <c r="E12650" s="6">
        <v>0</v>
      </c>
      <c r="F12650" s="6">
        <v>0</v>
      </c>
      <c r="G12650" s="6">
        <v>10</v>
      </c>
      <c r="H12650" s="6" t="s">
        <v>50938</v>
      </c>
      <c r="I12650" s="6">
        <v>526.6875</v>
      </c>
      <c r="J12650" s="2">
        <f t="shared" si="197"/>
        <v>43749.413978645833</v>
      </c>
    </row>
    <row r="12651" spans="1:10" x14ac:dyDescent="0.25">
      <c r="A12651" s="7" t="s">
        <v>50939</v>
      </c>
      <c r="B12651" s="8">
        <v>393.75</v>
      </c>
      <c r="C12651" s="8">
        <v>20.478950000000001</v>
      </c>
      <c r="D12651" s="8">
        <v>75</v>
      </c>
      <c r="E12651" s="8">
        <v>0</v>
      </c>
      <c r="F12651" s="8">
        <v>0</v>
      </c>
      <c r="G12651" s="8">
        <v>1</v>
      </c>
      <c r="H12651" s="8" t="s">
        <v>50940</v>
      </c>
      <c r="I12651" s="8">
        <v>526.6875</v>
      </c>
      <c r="J12651" s="3">
        <f t="shared" si="197"/>
        <v>43749.414050405096</v>
      </c>
    </row>
    <row r="12652" spans="1:10" x14ac:dyDescent="0.25">
      <c r="A12652" s="5" t="s">
        <v>50941</v>
      </c>
      <c r="B12652" s="6">
        <v>393.75</v>
      </c>
      <c r="C12652" s="6">
        <v>20.478950000000001</v>
      </c>
      <c r="D12652" s="6">
        <v>76</v>
      </c>
      <c r="E12652" s="6">
        <v>0</v>
      </c>
      <c r="F12652" s="6">
        <v>0</v>
      </c>
      <c r="G12652" s="6">
        <v>12</v>
      </c>
      <c r="H12652" s="6" t="s">
        <v>50942</v>
      </c>
      <c r="I12652" s="6">
        <v>526.6875</v>
      </c>
      <c r="J12652" s="2">
        <f t="shared" si="197"/>
        <v>43749.414134178238</v>
      </c>
    </row>
    <row r="12653" spans="1:10" x14ac:dyDescent="0.25">
      <c r="A12653" s="7" t="s">
        <v>50943</v>
      </c>
      <c r="B12653" s="8">
        <v>393.75</v>
      </c>
      <c r="C12653" s="8">
        <v>20.478950000000001</v>
      </c>
      <c r="D12653" s="8">
        <v>76</v>
      </c>
      <c r="E12653" s="8">
        <v>0</v>
      </c>
      <c r="F12653" s="8">
        <v>0</v>
      </c>
      <c r="G12653" s="8">
        <v>9</v>
      </c>
      <c r="H12653" s="8" t="s">
        <v>50944</v>
      </c>
      <c r="I12653" s="8">
        <v>526.6875</v>
      </c>
      <c r="J12653" s="3">
        <f t="shared" si="197"/>
        <v>43749.41421751157</v>
      </c>
    </row>
    <row r="12654" spans="1:10" x14ac:dyDescent="0.25">
      <c r="A12654" s="5" t="s">
        <v>50945</v>
      </c>
      <c r="B12654" s="6">
        <v>393.75</v>
      </c>
      <c r="C12654" s="6">
        <v>20.478950000000001</v>
      </c>
      <c r="D12654" s="6">
        <v>74</v>
      </c>
      <c r="E12654" s="6">
        <v>0</v>
      </c>
      <c r="F12654" s="6">
        <v>0</v>
      </c>
      <c r="G12654" s="6">
        <v>3</v>
      </c>
      <c r="H12654" s="6" t="s">
        <v>50946</v>
      </c>
      <c r="I12654" s="6">
        <v>526.6875</v>
      </c>
      <c r="J12654" s="2">
        <f t="shared" si="197"/>
        <v>43749.414300983794</v>
      </c>
    </row>
    <row r="12655" spans="1:10" x14ac:dyDescent="0.25">
      <c r="A12655" s="7" t="s">
        <v>50947</v>
      </c>
      <c r="B12655" s="8">
        <v>393.75</v>
      </c>
      <c r="C12655" s="8">
        <v>20.478950000000001</v>
      </c>
      <c r="D12655" s="8">
        <v>74</v>
      </c>
      <c r="E12655" s="8">
        <v>0</v>
      </c>
      <c r="F12655" s="8">
        <v>0</v>
      </c>
      <c r="G12655" s="8">
        <v>0</v>
      </c>
      <c r="H12655" s="8" t="s">
        <v>50948</v>
      </c>
      <c r="I12655" s="8">
        <v>526.6875</v>
      </c>
      <c r="J12655" s="3">
        <f t="shared" si="197"/>
        <v>43749.41438440972</v>
      </c>
    </row>
    <row r="12656" spans="1:10" x14ac:dyDescent="0.25">
      <c r="A12656" s="5" t="s">
        <v>50949</v>
      </c>
      <c r="B12656" s="6">
        <v>393.75</v>
      </c>
      <c r="C12656" s="6">
        <v>20.478950000000001</v>
      </c>
      <c r="D12656" s="6">
        <v>74</v>
      </c>
      <c r="E12656" s="6">
        <v>0</v>
      </c>
      <c r="F12656" s="6">
        <v>0</v>
      </c>
      <c r="G12656" s="6">
        <v>2</v>
      </c>
      <c r="H12656" s="6" t="s">
        <v>50950</v>
      </c>
      <c r="I12656" s="6">
        <v>526.6875</v>
      </c>
      <c r="J12656" s="2">
        <f t="shared" si="197"/>
        <v>43749.41446763889</v>
      </c>
    </row>
    <row r="12657" spans="1:10" x14ac:dyDescent="0.25">
      <c r="A12657" s="7" t="s">
        <v>50951</v>
      </c>
      <c r="B12657" s="8">
        <v>412.5</v>
      </c>
      <c r="C12657" s="8">
        <v>20.478950000000001</v>
      </c>
      <c r="D12657" s="8">
        <v>74</v>
      </c>
      <c r="E12657" s="8">
        <v>0</v>
      </c>
      <c r="F12657" s="8">
        <v>0</v>
      </c>
      <c r="G12657" s="8">
        <v>3</v>
      </c>
      <c r="H12657" s="8" t="s">
        <v>50952</v>
      </c>
      <c r="I12657" s="8">
        <v>532.5</v>
      </c>
      <c r="J12657" s="3">
        <f t="shared" si="197"/>
        <v>43749.414539270831</v>
      </c>
    </row>
    <row r="12658" spans="1:10" x14ac:dyDescent="0.25">
      <c r="A12658" s="5" t="s">
        <v>50953</v>
      </c>
      <c r="B12658" s="6">
        <v>393.75</v>
      </c>
      <c r="C12658" s="6">
        <v>20.478950000000001</v>
      </c>
      <c r="D12658" s="6">
        <v>72</v>
      </c>
      <c r="E12658" s="6">
        <v>0</v>
      </c>
      <c r="F12658" s="6">
        <v>0</v>
      </c>
      <c r="G12658" s="6">
        <v>6</v>
      </c>
      <c r="H12658" s="6" t="s">
        <v>50954</v>
      </c>
      <c r="I12658" s="6">
        <v>526.6875</v>
      </c>
      <c r="J12658" s="2">
        <f t="shared" si="197"/>
        <v>43749.414623078701</v>
      </c>
    </row>
    <row r="12659" spans="1:10" x14ac:dyDescent="0.25">
      <c r="A12659" s="7" t="s">
        <v>50955</v>
      </c>
      <c r="B12659" s="8">
        <v>393.75</v>
      </c>
      <c r="C12659" s="8">
        <v>20.478950000000001</v>
      </c>
      <c r="D12659" s="8">
        <v>72</v>
      </c>
      <c r="E12659" s="8">
        <v>0</v>
      </c>
      <c r="F12659" s="8">
        <v>0</v>
      </c>
      <c r="G12659" s="8">
        <v>0</v>
      </c>
      <c r="H12659" s="8" t="s">
        <v>50956</v>
      </c>
      <c r="I12659" s="8">
        <v>526.6875</v>
      </c>
      <c r="J12659" s="3">
        <f t="shared" si="197"/>
        <v>43749.414706412033</v>
      </c>
    </row>
    <row r="12660" spans="1:10" x14ac:dyDescent="0.25">
      <c r="A12660" s="5" t="s">
        <v>50957</v>
      </c>
      <c r="B12660" s="6">
        <v>393.75</v>
      </c>
      <c r="C12660" s="6">
        <v>20.478950000000001</v>
      </c>
      <c r="D12660" s="6">
        <v>72</v>
      </c>
      <c r="E12660" s="6">
        <v>0</v>
      </c>
      <c r="F12660" s="6">
        <v>0</v>
      </c>
      <c r="G12660" s="6">
        <v>10</v>
      </c>
      <c r="H12660" s="6" t="s">
        <v>50958</v>
      </c>
      <c r="I12660" s="6">
        <v>526.6875</v>
      </c>
      <c r="J12660" s="2">
        <f t="shared" si="197"/>
        <v>43749.414789745373</v>
      </c>
    </row>
    <row r="12661" spans="1:10" x14ac:dyDescent="0.25">
      <c r="A12661" s="7" t="s">
        <v>50959</v>
      </c>
      <c r="B12661" s="8">
        <v>393.75</v>
      </c>
      <c r="C12661" s="8">
        <v>20.478950000000001</v>
      </c>
      <c r="D12661" s="8">
        <v>72</v>
      </c>
      <c r="E12661" s="8">
        <v>0</v>
      </c>
      <c r="F12661" s="8">
        <v>0</v>
      </c>
      <c r="G12661" s="8">
        <v>6</v>
      </c>
      <c r="H12661" s="8" t="s">
        <v>50960</v>
      </c>
      <c r="I12661" s="8">
        <v>526.6875</v>
      </c>
      <c r="J12661" s="3">
        <f t="shared" si="197"/>
        <v>43749.414873425929</v>
      </c>
    </row>
    <row r="12662" spans="1:10" x14ac:dyDescent="0.25">
      <c r="A12662" s="5" t="s">
        <v>50961</v>
      </c>
      <c r="B12662" s="6">
        <v>412.5</v>
      </c>
      <c r="C12662" s="6">
        <v>20.478950000000001</v>
      </c>
      <c r="D12662" s="6">
        <v>72</v>
      </c>
      <c r="E12662" s="6">
        <v>0</v>
      </c>
      <c r="F12662" s="6">
        <v>0</v>
      </c>
      <c r="G12662" s="6">
        <v>11</v>
      </c>
      <c r="H12662" s="6" t="s">
        <v>50962</v>
      </c>
      <c r="I12662" s="6">
        <v>532.3125</v>
      </c>
      <c r="J12662" s="2">
        <f t="shared" si="197"/>
        <v>43749.414956527777</v>
      </c>
    </row>
    <row r="12663" spans="1:10" x14ac:dyDescent="0.25">
      <c r="A12663" s="7" t="s">
        <v>50963</v>
      </c>
      <c r="B12663" s="8">
        <v>393.75</v>
      </c>
      <c r="C12663" s="8">
        <v>20.478950000000001</v>
      </c>
      <c r="D12663" s="8">
        <v>72</v>
      </c>
      <c r="E12663" s="8">
        <v>0</v>
      </c>
      <c r="F12663" s="8">
        <v>0</v>
      </c>
      <c r="G12663" s="8">
        <v>11</v>
      </c>
      <c r="H12663" s="8" t="s">
        <v>50964</v>
      </c>
      <c r="I12663" s="8">
        <v>526.6875</v>
      </c>
      <c r="J12663" s="3">
        <f t="shared" si="197"/>
        <v>43749.415028159718</v>
      </c>
    </row>
    <row r="12664" spans="1:10" x14ac:dyDescent="0.25">
      <c r="A12664" s="5" t="s">
        <v>50965</v>
      </c>
      <c r="B12664" s="6">
        <v>393.75</v>
      </c>
      <c r="C12664" s="6">
        <v>20.478950000000001</v>
      </c>
      <c r="D12664" s="6">
        <v>72</v>
      </c>
      <c r="E12664" s="6">
        <v>0</v>
      </c>
      <c r="F12664" s="6">
        <v>0</v>
      </c>
      <c r="G12664" s="6">
        <v>7</v>
      </c>
      <c r="H12664" s="6" t="s">
        <v>50966</v>
      </c>
      <c r="I12664" s="6">
        <v>526.6875</v>
      </c>
      <c r="J12664" s="2">
        <f t="shared" si="197"/>
        <v>43749.415111956019</v>
      </c>
    </row>
    <row r="12665" spans="1:10" x14ac:dyDescent="0.25">
      <c r="A12665" s="7" t="s">
        <v>50967</v>
      </c>
      <c r="B12665" s="8">
        <v>393.75</v>
      </c>
      <c r="C12665" s="8">
        <v>20.478950000000001</v>
      </c>
      <c r="D12665" s="8">
        <v>74</v>
      </c>
      <c r="E12665" s="8">
        <v>0</v>
      </c>
      <c r="F12665" s="8">
        <v>0</v>
      </c>
      <c r="G12665" s="8">
        <v>9</v>
      </c>
      <c r="H12665" s="8" t="s">
        <v>50968</v>
      </c>
      <c r="I12665" s="8">
        <v>526.6875</v>
      </c>
      <c r="J12665" s="3">
        <f t="shared" si="197"/>
        <v>43749.415195532405</v>
      </c>
    </row>
    <row r="12666" spans="1:10" x14ac:dyDescent="0.25">
      <c r="A12666" s="5" t="s">
        <v>50969</v>
      </c>
      <c r="B12666" s="6">
        <v>393.75</v>
      </c>
      <c r="C12666" s="6">
        <v>20.478950000000001</v>
      </c>
      <c r="D12666" s="6">
        <v>74</v>
      </c>
      <c r="E12666" s="6">
        <v>0</v>
      </c>
      <c r="F12666" s="6">
        <v>0</v>
      </c>
      <c r="G12666" s="6">
        <v>11</v>
      </c>
      <c r="H12666" s="6" t="s">
        <v>50970</v>
      </c>
      <c r="I12666" s="6">
        <v>526.6875</v>
      </c>
      <c r="J12666" s="2">
        <f t="shared" si="197"/>
        <v>43749.415278622684</v>
      </c>
    </row>
    <row r="12667" spans="1:10" x14ac:dyDescent="0.25">
      <c r="A12667" s="7" t="s">
        <v>50971</v>
      </c>
      <c r="B12667" s="8">
        <v>393.75</v>
      </c>
      <c r="C12667" s="8">
        <v>20.478950000000001</v>
      </c>
      <c r="D12667" s="8">
        <v>74</v>
      </c>
      <c r="E12667" s="8">
        <v>0</v>
      </c>
      <c r="F12667" s="8">
        <v>0</v>
      </c>
      <c r="G12667" s="8">
        <v>15</v>
      </c>
      <c r="H12667" s="8" t="s">
        <v>50972</v>
      </c>
      <c r="I12667" s="8">
        <v>526.6875</v>
      </c>
      <c r="J12667" s="3">
        <f t="shared" si="197"/>
        <v>43749.415386030094</v>
      </c>
    </row>
    <row r="12668" spans="1:10" x14ac:dyDescent="0.25">
      <c r="A12668" s="5" t="s">
        <v>50973</v>
      </c>
      <c r="B12668" s="6">
        <v>393.75</v>
      </c>
      <c r="C12668" s="6">
        <v>20.478950000000001</v>
      </c>
      <c r="D12668" s="6">
        <v>74</v>
      </c>
      <c r="E12668" s="6">
        <v>0</v>
      </c>
      <c r="F12668" s="6">
        <v>0</v>
      </c>
      <c r="G12668" s="6">
        <v>10</v>
      </c>
      <c r="H12668" s="6" t="s">
        <v>50974</v>
      </c>
      <c r="I12668" s="6">
        <v>526.5</v>
      </c>
      <c r="J12668" s="2">
        <f t="shared" si="197"/>
        <v>43749.41546971065</v>
      </c>
    </row>
    <row r="12669" spans="1:10" x14ac:dyDescent="0.25">
      <c r="A12669" s="7" t="s">
        <v>50975</v>
      </c>
      <c r="B12669" s="8">
        <v>393.75</v>
      </c>
      <c r="C12669" s="8">
        <v>20.478950000000001</v>
      </c>
      <c r="D12669" s="8">
        <v>74</v>
      </c>
      <c r="E12669" s="8">
        <v>0</v>
      </c>
      <c r="F12669" s="8">
        <v>0</v>
      </c>
      <c r="G12669" s="8">
        <v>7</v>
      </c>
      <c r="H12669" s="8" t="s">
        <v>50976</v>
      </c>
      <c r="I12669" s="8">
        <v>526.6875</v>
      </c>
      <c r="J12669" s="3">
        <f t="shared" si="197"/>
        <v>43749.415552812497</v>
      </c>
    </row>
    <row r="12670" spans="1:10" x14ac:dyDescent="0.25">
      <c r="A12670" s="5" t="s">
        <v>50977</v>
      </c>
      <c r="B12670" s="6">
        <v>393.75</v>
      </c>
      <c r="C12670" s="6">
        <v>20.478950000000001</v>
      </c>
      <c r="D12670" s="6">
        <v>74</v>
      </c>
      <c r="E12670" s="6">
        <v>0</v>
      </c>
      <c r="F12670" s="6">
        <v>0</v>
      </c>
      <c r="G12670" s="6">
        <v>17</v>
      </c>
      <c r="H12670" s="6" t="s">
        <v>50978</v>
      </c>
      <c r="I12670" s="6">
        <v>526.6875</v>
      </c>
      <c r="J12670" s="2">
        <f t="shared" si="197"/>
        <v>43749.415624571753</v>
      </c>
    </row>
    <row r="12671" spans="1:10" x14ac:dyDescent="0.25">
      <c r="A12671" s="7" t="s">
        <v>50979</v>
      </c>
      <c r="B12671" s="8">
        <v>393.75</v>
      </c>
      <c r="C12671" s="8">
        <v>20.478950000000001</v>
      </c>
      <c r="D12671" s="8">
        <v>75</v>
      </c>
      <c r="E12671" s="8">
        <v>0</v>
      </c>
      <c r="F12671" s="8">
        <v>0</v>
      </c>
      <c r="G12671" s="8">
        <v>10</v>
      </c>
      <c r="H12671" s="8" t="s">
        <v>50980</v>
      </c>
      <c r="I12671" s="8">
        <v>526.6875</v>
      </c>
      <c r="J12671" s="3">
        <f t="shared" si="197"/>
        <v>43749.415708356479</v>
      </c>
    </row>
    <row r="12672" spans="1:10" x14ac:dyDescent="0.25">
      <c r="A12672" s="5" t="s">
        <v>50981</v>
      </c>
      <c r="B12672" s="6">
        <v>393.75</v>
      </c>
      <c r="C12672" s="6">
        <v>20.478950000000001</v>
      </c>
      <c r="D12672" s="6">
        <v>73</v>
      </c>
      <c r="E12672" s="6">
        <v>0</v>
      </c>
      <c r="F12672" s="6">
        <v>0</v>
      </c>
      <c r="G12672" s="6">
        <v>10</v>
      </c>
      <c r="H12672" s="6" t="s">
        <v>50982</v>
      </c>
      <c r="I12672" s="6">
        <v>526.6875</v>
      </c>
      <c r="J12672" s="2">
        <f t="shared" si="197"/>
        <v>43749.415791701387</v>
      </c>
    </row>
    <row r="12673" spans="1:10" x14ac:dyDescent="0.25">
      <c r="A12673" s="7" t="s">
        <v>50983</v>
      </c>
      <c r="B12673" s="8">
        <v>393.75</v>
      </c>
      <c r="C12673" s="8">
        <v>20.478950000000001</v>
      </c>
      <c r="D12673" s="8">
        <v>74</v>
      </c>
      <c r="E12673" s="8">
        <v>0</v>
      </c>
      <c r="F12673" s="8">
        <v>0</v>
      </c>
      <c r="G12673" s="8">
        <v>10</v>
      </c>
      <c r="H12673" s="8" t="s">
        <v>50984</v>
      </c>
      <c r="I12673" s="8">
        <v>526.5</v>
      </c>
      <c r="J12673" s="3">
        <f t="shared" si="197"/>
        <v>43749.415875046288</v>
      </c>
    </row>
    <row r="12674" spans="1:10" x14ac:dyDescent="0.25">
      <c r="A12674" s="5" t="s">
        <v>50985</v>
      </c>
      <c r="B12674" s="6">
        <v>393.75</v>
      </c>
      <c r="C12674" s="6">
        <v>20.478950000000001</v>
      </c>
      <c r="D12674" s="6">
        <v>74</v>
      </c>
      <c r="E12674" s="6">
        <v>0</v>
      </c>
      <c r="F12674" s="6">
        <v>0</v>
      </c>
      <c r="G12674" s="6">
        <v>6</v>
      </c>
      <c r="H12674" s="6" t="s">
        <v>50986</v>
      </c>
      <c r="I12674" s="6">
        <v>526.6875</v>
      </c>
      <c r="J12674" s="2">
        <f t="shared" ref="J12674:J12737" si="198">(H12674/86400000)+25569+(7/24)</f>
        <v>43749.415946678237</v>
      </c>
    </row>
    <row r="12675" spans="1:10" x14ac:dyDescent="0.25">
      <c r="A12675" s="7" t="s">
        <v>50987</v>
      </c>
      <c r="B12675" s="8">
        <v>393.75</v>
      </c>
      <c r="C12675" s="8">
        <v>20.478950000000001</v>
      </c>
      <c r="D12675" s="8">
        <v>73</v>
      </c>
      <c r="E12675" s="8">
        <v>0</v>
      </c>
      <c r="F12675" s="8">
        <v>0</v>
      </c>
      <c r="G12675" s="8">
        <v>15</v>
      </c>
      <c r="H12675" s="8" t="s">
        <v>50988</v>
      </c>
      <c r="I12675" s="8">
        <v>526.6875</v>
      </c>
      <c r="J12675" s="3">
        <f t="shared" si="198"/>
        <v>43749.416030231478</v>
      </c>
    </row>
    <row r="12676" spans="1:10" x14ac:dyDescent="0.25">
      <c r="A12676" s="5" t="s">
        <v>50989</v>
      </c>
      <c r="B12676" s="6">
        <v>393.75</v>
      </c>
      <c r="C12676" s="6">
        <v>20.478950000000001</v>
      </c>
      <c r="D12676" s="6">
        <v>72</v>
      </c>
      <c r="E12676" s="6">
        <v>0</v>
      </c>
      <c r="F12676" s="6">
        <v>0</v>
      </c>
      <c r="G12676" s="6">
        <v>13</v>
      </c>
      <c r="H12676" s="6" t="s">
        <v>50990</v>
      </c>
      <c r="I12676" s="6">
        <v>526.6875</v>
      </c>
      <c r="J12676" s="2">
        <f t="shared" si="198"/>
        <v>43749.41611366898</v>
      </c>
    </row>
    <row r="12677" spans="1:10" x14ac:dyDescent="0.25">
      <c r="A12677" s="7" t="s">
        <v>50991</v>
      </c>
      <c r="B12677" s="8">
        <v>393.75</v>
      </c>
      <c r="C12677" s="8">
        <v>20.478950000000001</v>
      </c>
      <c r="D12677" s="8">
        <v>70</v>
      </c>
      <c r="E12677" s="8">
        <v>0</v>
      </c>
      <c r="F12677" s="8">
        <v>0</v>
      </c>
      <c r="G12677" s="8">
        <v>6</v>
      </c>
      <c r="H12677" s="8" t="s">
        <v>50992</v>
      </c>
      <c r="I12677" s="8">
        <v>526.6875</v>
      </c>
      <c r="J12677" s="3">
        <f t="shared" si="198"/>
        <v>43749.416197164348</v>
      </c>
    </row>
    <row r="12678" spans="1:10" x14ac:dyDescent="0.25">
      <c r="A12678" s="5" t="s">
        <v>50993</v>
      </c>
      <c r="B12678" s="6">
        <v>393.75</v>
      </c>
      <c r="C12678" s="6">
        <v>20.478950000000001</v>
      </c>
      <c r="D12678" s="6">
        <v>71</v>
      </c>
      <c r="E12678" s="6">
        <v>0</v>
      </c>
      <c r="F12678" s="6">
        <v>0</v>
      </c>
      <c r="G12678" s="6">
        <v>17</v>
      </c>
      <c r="H12678" s="6" t="s">
        <v>50994</v>
      </c>
      <c r="I12678" s="6">
        <v>526.6875</v>
      </c>
      <c r="J12678" s="2">
        <f t="shared" si="198"/>
        <v>43749.416268657405</v>
      </c>
    </row>
    <row r="12679" spans="1:10" x14ac:dyDescent="0.25">
      <c r="A12679" s="7" t="s">
        <v>50995</v>
      </c>
      <c r="B12679" s="8">
        <v>412.5</v>
      </c>
      <c r="C12679" s="8">
        <v>20.478950000000001</v>
      </c>
      <c r="D12679" s="8">
        <v>72</v>
      </c>
      <c r="E12679" s="8">
        <v>0</v>
      </c>
      <c r="F12679" s="8">
        <v>0</v>
      </c>
      <c r="G12679" s="8">
        <v>0</v>
      </c>
      <c r="H12679" s="8" t="s">
        <v>50996</v>
      </c>
      <c r="I12679" s="8">
        <v>532.3125</v>
      </c>
      <c r="J12679" s="3">
        <f t="shared" si="198"/>
        <v>43749.416352233799</v>
      </c>
    </row>
    <row r="12680" spans="1:10" x14ac:dyDescent="0.25">
      <c r="A12680" s="5" t="s">
        <v>50997</v>
      </c>
      <c r="B12680" s="6">
        <v>393.75</v>
      </c>
      <c r="C12680" s="6">
        <v>20.478950000000001</v>
      </c>
      <c r="D12680" s="6">
        <v>69</v>
      </c>
      <c r="E12680" s="6">
        <v>0</v>
      </c>
      <c r="F12680" s="6">
        <v>0</v>
      </c>
      <c r="G12680" s="6">
        <v>10</v>
      </c>
      <c r="H12680" s="6" t="s">
        <v>50998</v>
      </c>
      <c r="I12680" s="6">
        <v>526.6875</v>
      </c>
      <c r="J12680" s="2">
        <f t="shared" si="198"/>
        <v>43749.416435694446</v>
      </c>
    </row>
    <row r="12681" spans="1:10" x14ac:dyDescent="0.25">
      <c r="A12681" s="7" t="s">
        <v>50999</v>
      </c>
      <c r="B12681" s="8">
        <v>418.75</v>
      </c>
      <c r="C12681" s="8">
        <v>20.478950000000001</v>
      </c>
      <c r="D12681" s="8">
        <v>70</v>
      </c>
      <c r="E12681" s="8">
        <v>0</v>
      </c>
      <c r="F12681" s="8">
        <v>0</v>
      </c>
      <c r="G12681" s="8">
        <v>5</v>
      </c>
      <c r="H12681" s="8" t="s">
        <v>51000</v>
      </c>
      <c r="I12681" s="8">
        <v>534.75</v>
      </c>
      <c r="J12681" s="3">
        <f t="shared" si="198"/>
        <v>43749.416519548606</v>
      </c>
    </row>
    <row r="12682" spans="1:10" x14ac:dyDescent="0.25">
      <c r="A12682" s="5" t="s">
        <v>51001</v>
      </c>
      <c r="B12682" s="6">
        <v>393.75</v>
      </c>
      <c r="C12682" s="6">
        <v>20.478950000000001</v>
      </c>
      <c r="D12682" s="6">
        <v>67</v>
      </c>
      <c r="E12682" s="6">
        <v>0</v>
      </c>
      <c r="F12682" s="6">
        <v>0</v>
      </c>
      <c r="G12682" s="6">
        <v>11</v>
      </c>
      <c r="H12682" s="6" t="s">
        <v>51002</v>
      </c>
      <c r="I12682" s="6">
        <v>526.6875</v>
      </c>
      <c r="J12682" s="2">
        <f t="shared" si="198"/>
        <v>43749.416602685182</v>
      </c>
    </row>
    <row r="12683" spans="1:10" x14ac:dyDescent="0.25">
      <c r="A12683" s="7" t="s">
        <v>51003</v>
      </c>
      <c r="B12683" s="8">
        <v>393.75</v>
      </c>
      <c r="C12683" s="8">
        <v>20.478950000000001</v>
      </c>
      <c r="D12683" s="8">
        <v>69</v>
      </c>
      <c r="E12683" s="8">
        <v>0</v>
      </c>
      <c r="F12683" s="8">
        <v>0</v>
      </c>
      <c r="G12683" s="8">
        <v>4</v>
      </c>
      <c r="H12683" s="8" t="s">
        <v>51004</v>
      </c>
      <c r="I12683" s="8">
        <v>526.6875</v>
      </c>
      <c r="J12683" s="3">
        <f t="shared" si="198"/>
        <v>43749.416686145829</v>
      </c>
    </row>
    <row r="12684" spans="1:10" x14ac:dyDescent="0.25">
      <c r="A12684" s="5" t="s">
        <v>51005</v>
      </c>
      <c r="B12684" s="6">
        <v>393.75</v>
      </c>
      <c r="C12684" s="6">
        <v>20.478950000000001</v>
      </c>
      <c r="D12684" s="6">
        <v>69</v>
      </c>
      <c r="E12684" s="6">
        <v>0</v>
      </c>
      <c r="F12684" s="6">
        <v>0</v>
      </c>
      <c r="G12684" s="6">
        <v>0</v>
      </c>
      <c r="H12684" s="6" t="s">
        <v>51006</v>
      </c>
      <c r="I12684" s="6">
        <v>526.6875</v>
      </c>
      <c r="J12684" s="2">
        <f t="shared" si="198"/>
        <v>43749.416769710646</v>
      </c>
    </row>
    <row r="12685" spans="1:10" x14ac:dyDescent="0.25">
      <c r="A12685" s="7" t="s">
        <v>51007</v>
      </c>
      <c r="B12685" s="8">
        <v>393.75</v>
      </c>
      <c r="C12685" s="8">
        <v>20.478950000000001</v>
      </c>
      <c r="D12685" s="8">
        <v>69</v>
      </c>
      <c r="E12685" s="8">
        <v>0</v>
      </c>
      <c r="F12685" s="8">
        <v>0</v>
      </c>
      <c r="G12685" s="8">
        <v>10</v>
      </c>
      <c r="H12685" s="8" t="s">
        <v>51008</v>
      </c>
      <c r="I12685" s="8">
        <v>526.6875</v>
      </c>
      <c r="J12685" s="3">
        <f t="shared" si="198"/>
        <v>43749.416852800925</v>
      </c>
    </row>
    <row r="12686" spans="1:10" x14ac:dyDescent="0.25">
      <c r="A12686" s="5" t="s">
        <v>51009</v>
      </c>
      <c r="B12686" s="6">
        <v>437.5</v>
      </c>
      <c r="C12686" s="6">
        <v>20.478950000000001</v>
      </c>
      <c r="D12686" s="6">
        <v>69</v>
      </c>
      <c r="E12686" s="6">
        <v>0</v>
      </c>
      <c r="F12686" s="6">
        <v>0</v>
      </c>
      <c r="G12686" s="6">
        <v>20</v>
      </c>
      <c r="H12686" s="6" t="s">
        <v>51010</v>
      </c>
      <c r="I12686" s="6">
        <v>540</v>
      </c>
      <c r="J12686" s="2">
        <f t="shared" si="198"/>
        <v>43749.416924675919</v>
      </c>
    </row>
    <row r="12687" spans="1:10" x14ac:dyDescent="0.25">
      <c r="A12687" s="7" t="s">
        <v>51011</v>
      </c>
      <c r="B12687" s="8">
        <v>393.75</v>
      </c>
      <c r="C12687" s="8">
        <v>20.478950000000001</v>
      </c>
      <c r="D12687" s="8">
        <v>69</v>
      </c>
      <c r="E12687" s="8">
        <v>0</v>
      </c>
      <c r="F12687" s="8">
        <v>0</v>
      </c>
      <c r="G12687" s="8">
        <v>13</v>
      </c>
      <c r="H12687" s="8" t="s">
        <v>51012</v>
      </c>
      <c r="I12687" s="8">
        <v>526.6875</v>
      </c>
      <c r="J12687" s="3">
        <f t="shared" si="198"/>
        <v>43749.417008263881</v>
      </c>
    </row>
    <row r="12688" spans="1:10" x14ac:dyDescent="0.25">
      <c r="A12688" s="5" t="s">
        <v>51013</v>
      </c>
      <c r="B12688" s="6">
        <v>393.75</v>
      </c>
      <c r="C12688" s="6">
        <v>20.478950000000001</v>
      </c>
      <c r="D12688" s="6">
        <v>70</v>
      </c>
      <c r="E12688" s="6">
        <v>0</v>
      </c>
      <c r="F12688" s="6">
        <v>0</v>
      </c>
      <c r="G12688" s="6">
        <v>13</v>
      </c>
      <c r="H12688" s="6" t="s">
        <v>51014</v>
      </c>
      <c r="I12688" s="6">
        <v>526.6875</v>
      </c>
      <c r="J12688" s="2">
        <f t="shared" si="198"/>
        <v>43749.417079768515</v>
      </c>
    </row>
    <row r="12689" spans="1:10" x14ac:dyDescent="0.25">
      <c r="A12689" s="7" t="s">
        <v>51015</v>
      </c>
      <c r="B12689" s="8">
        <v>393.75</v>
      </c>
      <c r="C12689" s="8">
        <v>20.478950000000001</v>
      </c>
      <c r="D12689" s="8">
        <v>69</v>
      </c>
      <c r="E12689" s="8">
        <v>0</v>
      </c>
      <c r="F12689" s="8">
        <v>0</v>
      </c>
      <c r="G12689" s="8">
        <v>18</v>
      </c>
      <c r="H12689" s="8" t="s">
        <v>51016</v>
      </c>
      <c r="I12689" s="8">
        <v>526.6875</v>
      </c>
      <c r="J12689" s="3">
        <f t="shared" si="198"/>
        <v>43749.417163206017</v>
      </c>
    </row>
    <row r="12690" spans="1:10" x14ac:dyDescent="0.25">
      <c r="A12690" s="5" t="s">
        <v>51017</v>
      </c>
      <c r="B12690" s="6">
        <v>393.75</v>
      </c>
      <c r="C12690" s="6">
        <v>20.478950000000001</v>
      </c>
      <c r="D12690" s="6">
        <v>69</v>
      </c>
      <c r="E12690" s="6">
        <v>0</v>
      </c>
      <c r="F12690" s="6">
        <v>0</v>
      </c>
      <c r="G12690" s="6">
        <v>10</v>
      </c>
      <c r="H12690" s="6" t="s">
        <v>51018</v>
      </c>
      <c r="I12690" s="6">
        <v>526.6875</v>
      </c>
      <c r="J12690" s="2">
        <f t="shared" si="198"/>
        <v>43749.417246562494</v>
      </c>
    </row>
    <row r="12691" spans="1:10" x14ac:dyDescent="0.25">
      <c r="A12691" s="7" t="s">
        <v>51019</v>
      </c>
      <c r="B12691" s="8">
        <v>393.75</v>
      </c>
      <c r="C12691" s="8">
        <v>20.478950000000001</v>
      </c>
      <c r="D12691" s="8">
        <v>70</v>
      </c>
      <c r="E12691" s="8">
        <v>0</v>
      </c>
      <c r="F12691" s="8">
        <v>0</v>
      </c>
      <c r="G12691" s="8">
        <v>17</v>
      </c>
      <c r="H12691" s="8" t="s">
        <v>51020</v>
      </c>
      <c r="I12691" s="8">
        <v>526.6875</v>
      </c>
      <c r="J12691" s="3">
        <f t="shared" si="198"/>
        <v>43749.41733024305</v>
      </c>
    </row>
    <row r="12692" spans="1:10" x14ac:dyDescent="0.25">
      <c r="A12692" s="5" t="s">
        <v>51021</v>
      </c>
      <c r="B12692" s="6">
        <v>393.75</v>
      </c>
      <c r="C12692" s="6">
        <v>20.478950000000001</v>
      </c>
      <c r="D12692" s="6">
        <v>70</v>
      </c>
      <c r="E12692" s="6">
        <v>0</v>
      </c>
      <c r="F12692" s="6">
        <v>0</v>
      </c>
      <c r="G12692" s="6">
        <v>13</v>
      </c>
      <c r="H12692" s="6" t="s">
        <v>51022</v>
      </c>
      <c r="I12692" s="6">
        <v>526.6875</v>
      </c>
      <c r="J12692" s="2">
        <f t="shared" si="198"/>
        <v>43749.417413692128</v>
      </c>
    </row>
    <row r="12693" spans="1:10" x14ac:dyDescent="0.25">
      <c r="A12693" s="7" t="s">
        <v>51023</v>
      </c>
      <c r="B12693" s="8">
        <v>393.75</v>
      </c>
      <c r="C12693" s="8">
        <v>20.478950000000001</v>
      </c>
      <c r="D12693" s="8">
        <v>70</v>
      </c>
      <c r="E12693" s="8">
        <v>0</v>
      </c>
      <c r="F12693" s="8">
        <v>0</v>
      </c>
      <c r="G12693" s="8">
        <v>11</v>
      </c>
      <c r="H12693" s="8" t="s">
        <v>51024</v>
      </c>
      <c r="I12693" s="8">
        <v>526.6875</v>
      </c>
      <c r="J12693" s="3">
        <f t="shared" si="198"/>
        <v>43749.417485324077</v>
      </c>
    </row>
    <row r="12694" spans="1:10" x14ac:dyDescent="0.25">
      <c r="A12694" s="5" t="s">
        <v>51025</v>
      </c>
      <c r="B12694" s="6">
        <v>393.75</v>
      </c>
      <c r="C12694" s="6">
        <v>20.478950000000001</v>
      </c>
      <c r="D12694" s="6">
        <v>71</v>
      </c>
      <c r="E12694" s="6">
        <v>0</v>
      </c>
      <c r="F12694" s="6">
        <v>0</v>
      </c>
      <c r="G12694" s="6">
        <v>17</v>
      </c>
      <c r="H12694" s="6" t="s">
        <v>51026</v>
      </c>
      <c r="I12694" s="6">
        <v>526.6875</v>
      </c>
      <c r="J12694" s="2">
        <f t="shared" si="198"/>
        <v>43749.417568784724</v>
      </c>
    </row>
    <row r="12695" spans="1:10" x14ac:dyDescent="0.25">
      <c r="A12695" s="7" t="s">
        <v>51027</v>
      </c>
      <c r="B12695" s="8">
        <v>393.75</v>
      </c>
      <c r="C12695" s="8">
        <v>20.478950000000001</v>
      </c>
      <c r="D12695" s="8">
        <v>69</v>
      </c>
      <c r="E12695" s="8">
        <v>0</v>
      </c>
      <c r="F12695" s="8">
        <v>0</v>
      </c>
      <c r="G12695" s="8">
        <v>9</v>
      </c>
      <c r="H12695" s="8" t="s">
        <v>51028</v>
      </c>
      <c r="I12695" s="8">
        <v>526.6875</v>
      </c>
      <c r="J12695" s="3">
        <f t="shared" si="198"/>
        <v>43749.417652233795</v>
      </c>
    </row>
    <row r="12696" spans="1:10" x14ac:dyDescent="0.25">
      <c r="A12696" s="5" t="s">
        <v>51029</v>
      </c>
      <c r="B12696" s="6">
        <v>393.75</v>
      </c>
      <c r="C12696" s="6">
        <v>20.478950000000001</v>
      </c>
      <c r="D12696" s="6">
        <v>69</v>
      </c>
      <c r="E12696" s="6">
        <v>0</v>
      </c>
      <c r="F12696" s="6">
        <v>0</v>
      </c>
      <c r="G12696" s="6">
        <v>14</v>
      </c>
      <c r="H12696" s="6" t="s">
        <v>51030</v>
      </c>
      <c r="I12696" s="6">
        <v>526.5</v>
      </c>
      <c r="J12696" s="2">
        <f t="shared" si="198"/>
        <v>43749.417735671297</v>
      </c>
    </row>
    <row r="12697" spans="1:10" x14ac:dyDescent="0.25">
      <c r="A12697" s="7" t="s">
        <v>51031</v>
      </c>
      <c r="B12697" s="8">
        <v>393.75</v>
      </c>
      <c r="C12697" s="8">
        <v>20.478950000000001</v>
      </c>
      <c r="D12697" s="8">
        <v>70</v>
      </c>
      <c r="E12697" s="8">
        <v>0</v>
      </c>
      <c r="F12697" s="8">
        <v>0</v>
      </c>
      <c r="G12697" s="8">
        <v>13</v>
      </c>
      <c r="H12697" s="8" t="s">
        <v>51032</v>
      </c>
      <c r="I12697" s="8">
        <v>526.6875</v>
      </c>
      <c r="J12697" s="3">
        <f t="shared" si="198"/>
        <v>43749.417819363422</v>
      </c>
    </row>
    <row r="12698" spans="1:10" x14ac:dyDescent="0.25">
      <c r="A12698" s="5" t="s">
        <v>51033</v>
      </c>
      <c r="B12698" s="6">
        <v>393.75</v>
      </c>
      <c r="C12698" s="6">
        <v>20.478950000000001</v>
      </c>
      <c r="D12698" s="6">
        <v>70</v>
      </c>
      <c r="E12698" s="6">
        <v>0</v>
      </c>
      <c r="F12698" s="6">
        <v>0</v>
      </c>
      <c r="G12698" s="6">
        <v>24</v>
      </c>
      <c r="H12698" s="6" t="s">
        <v>51034</v>
      </c>
      <c r="I12698" s="6">
        <v>526.6875</v>
      </c>
      <c r="J12698" s="2">
        <f t="shared" si="198"/>
        <v>43749.417902696754</v>
      </c>
    </row>
    <row r="12699" spans="1:10" x14ac:dyDescent="0.25">
      <c r="A12699" s="7" t="s">
        <v>51035</v>
      </c>
      <c r="B12699" s="8">
        <v>393.75</v>
      </c>
      <c r="C12699" s="8">
        <v>20.478950000000001</v>
      </c>
      <c r="D12699" s="8">
        <v>70</v>
      </c>
      <c r="E12699" s="8">
        <v>0</v>
      </c>
      <c r="F12699" s="8">
        <v>0</v>
      </c>
      <c r="G12699" s="8">
        <v>16</v>
      </c>
      <c r="H12699" s="8" t="s">
        <v>51036</v>
      </c>
      <c r="I12699" s="8">
        <v>526.6875</v>
      </c>
      <c r="J12699" s="3">
        <f t="shared" si="198"/>
        <v>43749.417986030086</v>
      </c>
    </row>
    <row r="12700" spans="1:10" x14ac:dyDescent="0.25">
      <c r="A12700" s="5" t="s">
        <v>51037</v>
      </c>
      <c r="B12700" s="6">
        <v>393.75</v>
      </c>
      <c r="C12700" s="6">
        <v>20.478950000000001</v>
      </c>
      <c r="D12700" s="6">
        <v>70</v>
      </c>
      <c r="E12700" s="6">
        <v>0</v>
      </c>
      <c r="F12700" s="6">
        <v>0</v>
      </c>
      <c r="G12700" s="6">
        <v>19</v>
      </c>
      <c r="H12700" s="6" t="s">
        <v>51038</v>
      </c>
      <c r="I12700" s="6">
        <v>526.6875</v>
      </c>
      <c r="J12700" s="2">
        <f t="shared" si="198"/>
        <v>43749.418081608797</v>
      </c>
    </row>
    <row r="12701" spans="1:10" x14ac:dyDescent="0.25">
      <c r="A12701" s="7" t="s">
        <v>51039</v>
      </c>
      <c r="B12701" s="8">
        <v>393.75</v>
      </c>
      <c r="C12701" s="8">
        <v>20.478950000000001</v>
      </c>
      <c r="D12701" s="8">
        <v>71</v>
      </c>
      <c r="E12701" s="8">
        <v>0</v>
      </c>
      <c r="F12701" s="8">
        <v>0</v>
      </c>
      <c r="G12701" s="8">
        <v>17</v>
      </c>
      <c r="H12701" s="8" t="s">
        <v>51040</v>
      </c>
      <c r="I12701" s="8">
        <v>526.6875</v>
      </c>
      <c r="J12701" s="3">
        <f t="shared" si="198"/>
        <v>43749.418152789345</v>
      </c>
    </row>
    <row r="12702" spans="1:10" x14ac:dyDescent="0.25">
      <c r="A12702" s="5" t="s">
        <v>51041</v>
      </c>
      <c r="B12702" s="6">
        <v>393.75</v>
      </c>
      <c r="C12702" s="6">
        <v>20.478950000000001</v>
      </c>
      <c r="D12702" s="6">
        <v>71</v>
      </c>
      <c r="E12702" s="6">
        <v>0</v>
      </c>
      <c r="F12702" s="6">
        <v>0</v>
      </c>
      <c r="G12702" s="6">
        <v>15</v>
      </c>
      <c r="H12702" s="6" t="s">
        <v>51042</v>
      </c>
      <c r="I12702" s="6">
        <v>526.6875</v>
      </c>
      <c r="J12702" s="2">
        <f t="shared" si="198"/>
        <v>43749.418224120367</v>
      </c>
    </row>
    <row r="12703" spans="1:10" x14ac:dyDescent="0.25">
      <c r="A12703" s="7" t="s">
        <v>51043</v>
      </c>
      <c r="B12703" s="8">
        <v>393.75</v>
      </c>
      <c r="C12703" s="8">
        <v>20.478950000000001</v>
      </c>
      <c r="D12703" s="8">
        <v>72</v>
      </c>
      <c r="E12703" s="8">
        <v>0</v>
      </c>
      <c r="F12703" s="8">
        <v>0</v>
      </c>
      <c r="G12703" s="8">
        <v>18</v>
      </c>
      <c r="H12703" s="8" t="s">
        <v>51044</v>
      </c>
      <c r="I12703" s="8">
        <v>526.6875</v>
      </c>
      <c r="J12703" s="3">
        <f t="shared" si="198"/>
        <v>43749.41829631944</v>
      </c>
    </row>
    <row r="12704" spans="1:10" x14ac:dyDescent="0.25">
      <c r="A12704" s="5" t="s">
        <v>51045</v>
      </c>
      <c r="B12704" s="6">
        <v>393.75</v>
      </c>
      <c r="C12704" s="6">
        <v>20.478950000000001</v>
      </c>
      <c r="D12704" s="6">
        <v>72</v>
      </c>
      <c r="E12704" s="6">
        <v>0</v>
      </c>
      <c r="F12704" s="6">
        <v>0</v>
      </c>
      <c r="G12704" s="6">
        <v>17</v>
      </c>
      <c r="H12704" s="6" t="s">
        <v>51046</v>
      </c>
      <c r="I12704" s="6">
        <v>526.5</v>
      </c>
      <c r="J12704" s="2">
        <f t="shared" si="198"/>
        <v>43749.418379780087</v>
      </c>
    </row>
    <row r="12705" spans="1:10" x14ac:dyDescent="0.25">
      <c r="A12705" s="7" t="s">
        <v>51047</v>
      </c>
      <c r="B12705" s="8">
        <v>393.75</v>
      </c>
      <c r="C12705" s="8">
        <v>20.478950000000001</v>
      </c>
      <c r="D12705" s="8">
        <v>70</v>
      </c>
      <c r="E12705" s="8">
        <v>0</v>
      </c>
      <c r="F12705" s="8">
        <v>0</v>
      </c>
      <c r="G12705" s="8">
        <v>10</v>
      </c>
      <c r="H12705" s="8" t="s">
        <v>51048</v>
      </c>
      <c r="I12705" s="8">
        <v>526.6875</v>
      </c>
      <c r="J12705" s="3">
        <f t="shared" si="198"/>
        <v>43749.418474918981</v>
      </c>
    </row>
    <row r="12706" spans="1:10" x14ac:dyDescent="0.25">
      <c r="A12706" s="5" t="s">
        <v>51049</v>
      </c>
      <c r="B12706" s="6">
        <v>393.75</v>
      </c>
      <c r="C12706" s="6">
        <v>20.478950000000001</v>
      </c>
      <c r="D12706" s="6">
        <v>70</v>
      </c>
      <c r="E12706" s="6">
        <v>0</v>
      </c>
      <c r="F12706" s="6">
        <v>0</v>
      </c>
      <c r="G12706" s="6">
        <v>17</v>
      </c>
      <c r="H12706" s="6" t="s">
        <v>51050</v>
      </c>
      <c r="I12706" s="6">
        <v>526.6875</v>
      </c>
      <c r="J12706" s="2">
        <f t="shared" si="198"/>
        <v>43749.41854666666</v>
      </c>
    </row>
    <row r="12707" spans="1:10" x14ac:dyDescent="0.25">
      <c r="A12707" s="7" t="s">
        <v>51051</v>
      </c>
      <c r="B12707" s="8">
        <v>393.75</v>
      </c>
      <c r="C12707" s="8">
        <v>20.478950000000001</v>
      </c>
      <c r="D12707" s="8">
        <v>72</v>
      </c>
      <c r="E12707" s="8">
        <v>0</v>
      </c>
      <c r="F12707" s="8">
        <v>0</v>
      </c>
      <c r="G12707" s="8">
        <v>15</v>
      </c>
      <c r="H12707" s="8" t="s">
        <v>51052</v>
      </c>
      <c r="I12707" s="8">
        <v>526.6875</v>
      </c>
      <c r="J12707" s="3">
        <f t="shared" si="198"/>
        <v>43749.418630243053</v>
      </c>
    </row>
    <row r="12708" spans="1:10" x14ac:dyDescent="0.25">
      <c r="A12708" s="5" t="s">
        <v>51053</v>
      </c>
      <c r="B12708" s="6">
        <v>393.75</v>
      </c>
      <c r="C12708" s="6">
        <v>20.478950000000001</v>
      </c>
      <c r="D12708" s="6">
        <v>73</v>
      </c>
      <c r="E12708" s="6">
        <v>0</v>
      </c>
      <c r="F12708" s="6">
        <v>0</v>
      </c>
      <c r="G12708" s="6">
        <v>18</v>
      </c>
      <c r="H12708" s="6" t="s">
        <v>51054</v>
      </c>
      <c r="I12708" s="6">
        <v>526.6875</v>
      </c>
      <c r="J12708" s="2">
        <f t="shared" si="198"/>
        <v>43749.41871366898</v>
      </c>
    </row>
    <row r="12709" spans="1:10" x14ac:dyDescent="0.25">
      <c r="A12709" s="7" t="s">
        <v>51055</v>
      </c>
      <c r="B12709" s="8">
        <v>412.5</v>
      </c>
      <c r="C12709" s="8">
        <v>20.478950000000001</v>
      </c>
      <c r="D12709" s="8">
        <v>75</v>
      </c>
      <c r="E12709" s="8">
        <v>0</v>
      </c>
      <c r="F12709" s="8">
        <v>0</v>
      </c>
      <c r="G12709" s="8">
        <v>9</v>
      </c>
      <c r="H12709" s="8" t="s">
        <v>51056</v>
      </c>
      <c r="I12709" s="8">
        <v>532.3125</v>
      </c>
      <c r="J12709" s="3">
        <f t="shared" si="198"/>
        <v>43749.418797118058</v>
      </c>
    </row>
    <row r="12710" spans="1:10" x14ac:dyDescent="0.25">
      <c r="A12710" s="5" t="s">
        <v>51057</v>
      </c>
      <c r="B12710" s="6">
        <v>393.75</v>
      </c>
      <c r="C12710" s="6">
        <v>20.478950000000001</v>
      </c>
      <c r="D12710" s="6">
        <v>75</v>
      </c>
      <c r="E12710" s="6">
        <v>0</v>
      </c>
      <c r="F12710" s="6">
        <v>0</v>
      </c>
      <c r="G12710" s="6">
        <v>19</v>
      </c>
      <c r="H12710" s="6" t="s">
        <v>51058</v>
      </c>
      <c r="I12710" s="6">
        <v>526.6875</v>
      </c>
      <c r="J12710" s="2">
        <f t="shared" si="198"/>
        <v>43749.418880682868</v>
      </c>
    </row>
    <row r="12711" spans="1:10" x14ac:dyDescent="0.25">
      <c r="A12711" s="7" t="s">
        <v>51059</v>
      </c>
      <c r="B12711" s="8">
        <v>393.75</v>
      </c>
      <c r="C12711" s="8">
        <v>20.478950000000001</v>
      </c>
      <c r="D12711" s="8">
        <v>76</v>
      </c>
      <c r="E12711" s="8">
        <v>0</v>
      </c>
      <c r="F12711" s="8">
        <v>0</v>
      </c>
      <c r="G12711" s="8">
        <v>21</v>
      </c>
      <c r="H12711" s="8" t="s">
        <v>51060</v>
      </c>
      <c r="I12711" s="8">
        <v>526.6875</v>
      </c>
      <c r="J12711" s="3">
        <f t="shared" si="198"/>
        <v>43749.418968032405</v>
      </c>
    </row>
    <row r="12712" spans="1:10" x14ac:dyDescent="0.25">
      <c r="A12712" s="5" t="s">
        <v>51061</v>
      </c>
      <c r="B12712" s="6">
        <v>393.75</v>
      </c>
      <c r="C12712" s="6">
        <v>20.478950000000001</v>
      </c>
      <c r="D12712" s="6">
        <v>76</v>
      </c>
      <c r="E12712" s="6">
        <v>0</v>
      </c>
      <c r="F12712" s="6">
        <v>0</v>
      </c>
      <c r="G12712" s="6">
        <v>23</v>
      </c>
      <c r="H12712" s="6" t="s">
        <v>51062</v>
      </c>
      <c r="I12712" s="6">
        <v>526.6875</v>
      </c>
      <c r="J12712" s="2">
        <f t="shared" si="198"/>
        <v>43749.419047696756</v>
      </c>
    </row>
    <row r="12713" spans="1:10" x14ac:dyDescent="0.25">
      <c r="A12713" s="7" t="s">
        <v>51063</v>
      </c>
      <c r="B12713" s="8">
        <v>393.75</v>
      </c>
      <c r="C12713" s="8">
        <v>20.478950000000001</v>
      </c>
      <c r="D12713" s="8">
        <v>72</v>
      </c>
      <c r="E12713" s="8">
        <v>0</v>
      </c>
      <c r="F12713" s="8">
        <v>0</v>
      </c>
      <c r="G12713" s="8">
        <v>22</v>
      </c>
      <c r="H12713" s="8" t="s">
        <v>51064</v>
      </c>
      <c r="I12713" s="8">
        <v>526.6875</v>
      </c>
      <c r="J12713" s="3">
        <f t="shared" si="198"/>
        <v>43749.419131273149</v>
      </c>
    </row>
    <row r="12714" spans="1:10" x14ac:dyDescent="0.25">
      <c r="A12714" s="5" t="s">
        <v>51065</v>
      </c>
      <c r="B12714" s="6">
        <v>393.75</v>
      </c>
      <c r="C12714" s="6">
        <v>20.478950000000001</v>
      </c>
      <c r="D12714" s="6">
        <v>72</v>
      </c>
      <c r="E12714" s="6">
        <v>0</v>
      </c>
      <c r="F12714" s="6">
        <v>0</v>
      </c>
      <c r="G12714" s="6">
        <v>17</v>
      </c>
      <c r="H12714" s="6" t="s">
        <v>51066</v>
      </c>
      <c r="I12714" s="6">
        <v>526.5</v>
      </c>
      <c r="J12714" s="2">
        <f t="shared" si="198"/>
        <v>43749.419202928235</v>
      </c>
    </row>
    <row r="12715" spans="1:10" x14ac:dyDescent="0.25">
      <c r="A12715" s="7" t="s">
        <v>51067</v>
      </c>
      <c r="B12715" s="8">
        <v>393.75</v>
      </c>
      <c r="C12715" s="8">
        <v>20.478950000000001</v>
      </c>
      <c r="D12715" s="8">
        <v>71</v>
      </c>
      <c r="E12715" s="8">
        <v>0</v>
      </c>
      <c r="F12715" s="8">
        <v>0</v>
      </c>
      <c r="G12715" s="8">
        <v>15</v>
      </c>
      <c r="H12715" s="8" t="s">
        <v>51068</v>
      </c>
      <c r="I12715" s="8">
        <v>526.6875</v>
      </c>
      <c r="J12715" s="3">
        <f t="shared" si="198"/>
        <v>43749.419286006938</v>
      </c>
    </row>
    <row r="12716" spans="1:10" x14ac:dyDescent="0.25">
      <c r="A12716" s="5" t="s">
        <v>51069</v>
      </c>
      <c r="B12716" s="6">
        <v>393.75</v>
      </c>
      <c r="C12716" s="6">
        <v>20.478950000000001</v>
      </c>
      <c r="D12716" s="6">
        <v>71</v>
      </c>
      <c r="E12716" s="6">
        <v>0</v>
      </c>
      <c r="F12716" s="6">
        <v>0</v>
      </c>
      <c r="G12716" s="6">
        <v>17</v>
      </c>
      <c r="H12716" s="6" t="s">
        <v>51070</v>
      </c>
      <c r="I12716" s="6">
        <v>526.6875</v>
      </c>
      <c r="J12716" s="2">
        <f t="shared" si="198"/>
        <v>43749.419369710646</v>
      </c>
    </row>
    <row r="12717" spans="1:10" x14ac:dyDescent="0.25">
      <c r="A12717" s="7" t="s">
        <v>51071</v>
      </c>
      <c r="B12717" s="8">
        <v>393.75</v>
      </c>
      <c r="C12717" s="8">
        <v>20.478950000000001</v>
      </c>
      <c r="D12717" s="8">
        <v>74</v>
      </c>
      <c r="E12717" s="8">
        <v>0</v>
      </c>
      <c r="F12717" s="8">
        <v>0</v>
      </c>
      <c r="G12717" s="8">
        <v>17</v>
      </c>
      <c r="H12717" s="8" t="s">
        <v>51072</v>
      </c>
      <c r="I12717" s="8">
        <v>526.6875</v>
      </c>
      <c r="J12717" s="3">
        <f t="shared" si="198"/>
        <v>43749.419452789349</v>
      </c>
    </row>
    <row r="12718" spans="1:10" x14ac:dyDescent="0.25">
      <c r="A12718" s="5" t="s">
        <v>51073</v>
      </c>
      <c r="B12718" s="6">
        <v>393.75</v>
      </c>
      <c r="C12718" s="6">
        <v>20.478950000000001</v>
      </c>
      <c r="D12718" s="6">
        <v>74</v>
      </c>
      <c r="E12718" s="6">
        <v>0</v>
      </c>
      <c r="F12718" s="6">
        <v>0</v>
      </c>
      <c r="G12718" s="6">
        <v>23</v>
      </c>
      <c r="H12718" s="6" t="s">
        <v>51074</v>
      </c>
      <c r="I12718" s="6">
        <v>526.6875</v>
      </c>
      <c r="J12718" s="2">
        <f t="shared" si="198"/>
        <v>43749.419524444442</v>
      </c>
    </row>
    <row r="12719" spans="1:10" x14ac:dyDescent="0.25">
      <c r="A12719" s="7" t="s">
        <v>51075</v>
      </c>
      <c r="B12719" s="8">
        <v>415.625</v>
      </c>
      <c r="C12719" s="8">
        <v>20.478950000000001</v>
      </c>
      <c r="D12719" s="8">
        <v>77</v>
      </c>
      <c r="E12719" s="8">
        <v>0</v>
      </c>
      <c r="F12719" s="8">
        <v>0</v>
      </c>
      <c r="G12719" s="8">
        <v>16</v>
      </c>
      <c r="H12719" s="8" t="s">
        <v>51076</v>
      </c>
      <c r="I12719" s="8">
        <v>533.4375</v>
      </c>
      <c r="J12719" s="3">
        <f t="shared" si="198"/>
        <v>43749.419608344906</v>
      </c>
    </row>
    <row r="12720" spans="1:10" x14ac:dyDescent="0.25">
      <c r="A12720" s="5" t="s">
        <v>51077</v>
      </c>
      <c r="B12720" s="6">
        <v>393.75</v>
      </c>
      <c r="C12720" s="6">
        <v>20.478950000000001</v>
      </c>
      <c r="D12720" s="6">
        <v>77</v>
      </c>
      <c r="E12720" s="6">
        <v>0</v>
      </c>
      <c r="F12720" s="6">
        <v>0</v>
      </c>
      <c r="G12720" s="6">
        <v>20</v>
      </c>
      <c r="H12720" s="6" t="s">
        <v>51078</v>
      </c>
      <c r="I12720" s="6">
        <v>526.6875</v>
      </c>
      <c r="J12720" s="2">
        <f t="shared" si="198"/>
        <v>43749.419691689814</v>
      </c>
    </row>
    <row r="12721" spans="1:10" x14ac:dyDescent="0.25">
      <c r="A12721" s="7" t="s">
        <v>51079</v>
      </c>
      <c r="B12721" s="8">
        <v>393.75</v>
      </c>
      <c r="C12721" s="8">
        <v>20.478950000000001</v>
      </c>
      <c r="D12721" s="8">
        <v>77</v>
      </c>
      <c r="E12721" s="8">
        <v>0</v>
      </c>
      <c r="F12721" s="8">
        <v>0</v>
      </c>
      <c r="G12721" s="8">
        <v>16</v>
      </c>
      <c r="H12721" s="8" t="s">
        <v>51080</v>
      </c>
      <c r="I12721" s="8">
        <v>526.6875</v>
      </c>
      <c r="J12721" s="3">
        <f t="shared" si="198"/>
        <v>43749.419774907401</v>
      </c>
    </row>
    <row r="12722" spans="1:10" x14ac:dyDescent="0.25">
      <c r="A12722" s="5" t="s">
        <v>51081</v>
      </c>
      <c r="B12722" s="6">
        <v>393.75</v>
      </c>
      <c r="C12722" s="6">
        <v>20.478950000000001</v>
      </c>
      <c r="D12722" s="6">
        <v>77</v>
      </c>
      <c r="E12722" s="6">
        <v>0</v>
      </c>
      <c r="F12722" s="6">
        <v>0</v>
      </c>
      <c r="G12722" s="6">
        <v>17</v>
      </c>
      <c r="H12722" s="6" t="s">
        <v>51082</v>
      </c>
      <c r="I12722" s="6">
        <v>526.6875</v>
      </c>
      <c r="J12722" s="2">
        <f t="shared" si="198"/>
        <v>43749.419846874996</v>
      </c>
    </row>
    <row r="12723" spans="1:10" x14ac:dyDescent="0.25">
      <c r="A12723" s="7" t="s">
        <v>51083</v>
      </c>
      <c r="B12723" s="8">
        <v>393.75</v>
      </c>
      <c r="C12723" s="8">
        <v>20.478950000000001</v>
      </c>
      <c r="D12723" s="8">
        <v>76</v>
      </c>
      <c r="E12723" s="8">
        <v>0</v>
      </c>
      <c r="F12723" s="8">
        <v>0</v>
      </c>
      <c r="G12723" s="8">
        <v>11</v>
      </c>
      <c r="H12723" s="8" t="s">
        <v>51084</v>
      </c>
      <c r="I12723" s="8">
        <v>526.6875</v>
      </c>
      <c r="J12723" s="3">
        <f t="shared" si="198"/>
        <v>43749.419930578697</v>
      </c>
    </row>
    <row r="12724" spans="1:10" x14ac:dyDescent="0.25">
      <c r="A12724" s="5" t="s">
        <v>51085</v>
      </c>
      <c r="B12724" s="6">
        <v>393.75</v>
      </c>
      <c r="C12724" s="6">
        <v>20.478950000000001</v>
      </c>
      <c r="D12724" s="6">
        <v>76</v>
      </c>
      <c r="E12724" s="6">
        <v>0</v>
      </c>
      <c r="F12724" s="6">
        <v>0</v>
      </c>
      <c r="G12724" s="6">
        <v>17</v>
      </c>
      <c r="H12724" s="6" t="s">
        <v>51086</v>
      </c>
      <c r="I12724" s="6">
        <v>526.6875</v>
      </c>
      <c r="J12724" s="2">
        <f t="shared" si="198"/>
        <v>43749.420013668983</v>
      </c>
    </row>
    <row r="12725" spans="1:10" x14ac:dyDescent="0.25">
      <c r="A12725" s="7" t="s">
        <v>51087</v>
      </c>
      <c r="B12725" s="8">
        <v>393.75</v>
      </c>
      <c r="C12725" s="8">
        <v>20.478950000000001</v>
      </c>
      <c r="D12725" s="8">
        <v>74</v>
      </c>
      <c r="E12725" s="8">
        <v>0</v>
      </c>
      <c r="F12725" s="8">
        <v>0</v>
      </c>
      <c r="G12725" s="8">
        <v>16</v>
      </c>
      <c r="H12725" s="8" t="s">
        <v>51088</v>
      </c>
      <c r="I12725" s="8">
        <v>526.6875</v>
      </c>
      <c r="J12725" s="3">
        <f t="shared" si="198"/>
        <v>43749.420097233793</v>
      </c>
    </row>
    <row r="12726" spans="1:10" x14ac:dyDescent="0.25">
      <c r="A12726" s="5" t="s">
        <v>51089</v>
      </c>
      <c r="B12726" s="6">
        <v>393.75</v>
      </c>
      <c r="C12726" s="6">
        <v>20.478950000000001</v>
      </c>
      <c r="D12726" s="6">
        <v>75</v>
      </c>
      <c r="E12726" s="6">
        <v>0</v>
      </c>
      <c r="F12726" s="6">
        <v>0</v>
      </c>
      <c r="G12726" s="6">
        <v>11</v>
      </c>
      <c r="H12726" s="6" t="s">
        <v>51090</v>
      </c>
      <c r="I12726" s="6">
        <v>526.6875</v>
      </c>
      <c r="J12726" s="2">
        <f t="shared" si="198"/>
        <v>43749.420180486108</v>
      </c>
    </row>
    <row r="12727" spans="1:10" x14ac:dyDescent="0.25">
      <c r="A12727" s="7" t="s">
        <v>51091</v>
      </c>
      <c r="B12727" s="8">
        <v>393.75</v>
      </c>
      <c r="C12727" s="8">
        <v>20.478950000000001</v>
      </c>
      <c r="D12727" s="8">
        <v>75</v>
      </c>
      <c r="E12727" s="8">
        <v>0</v>
      </c>
      <c r="F12727" s="8">
        <v>0</v>
      </c>
      <c r="G12727" s="8">
        <v>16</v>
      </c>
      <c r="H12727" s="8" t="s">
        <v>51092</v>
      </c>
      <c r="I12727" s="8">
        <v>526.6875</v>
      </c>
      <c r="J12727" s="3">
        <f t="shared" si="198"/>
        <v>43749.420263912034</v>
      </c>
    </row>
    <row r="12728" spans="1:10" x14ac:dyDescent="0.25">
      <c r="A12728" s="5" t="s">
        <v>51093</v>
      </c>
      <c r="B12728" s="6">
        <v>393.75</v>
      </c>
      <c r="C12728" s="6">
        <v>20.478950000000001</v>
      </c>
      <c r="D12728" s="6">
        <v>73</v>
      </c>
      <c r="E12728" s="6">
        <v>0</v>
      </c>
      <c r="F12728" s="6">
        <v>0</v>
      </c>
      <c r="G12728" s="6">
        <v>26</v>
      </c>
      <c r="H12728" s="6" t="s">
        <v>51094</v>
      </c>
      <c r="I12728" s="6">
        <v>526.6875</v>
      </c>
      <c r="J12728" s="2">
        <f t="shared" si="198"/>
        <v>43749.42033577546</v>
      </c>
    </row>
    <row r="12729" spans="1:10" x14ac:dyDescent="0.25">
      <c r="A12729" s="7" t="s">
        <v>51095</v>
      </c>
      <c r="B12729" s="8">
        <v>393.75</v>
      </c>
      <c r="C12729" s="8">
        <v>20.478950000000001</v>
      </c>
      <c r="D12729" s="8">
        <v>73</v>
      </c>
      <c r="E12729" s="8">
        <v>0</v>
      </c>
      <c r="F12729" s="8">
        <v>0</v>
      </c>
      <c r="G12729" s="8">
        <v>24</v>
      </c>
      <c r="H12729" s="8" t="s">
        <v>51096</v>
      </c>
      <c r="I12729" s="8">
        <v>526.6875</v>
      </c>
      <c r="J12729" s="3">
        <f t="shared" si="198"/>
        <v>43749.420419363429</v>
      </c>
    </row>
    <row r="12730" spans="1:10" x14ac:dyDescent="0.25">
      <c r="A12730" s="5" t="s">
        <v>51097</v>
      </c>
      <c r="B12730" s="6">
        <v>393.75</v>
      </c>
      <c r="C12730" s="6">
        <v>20.478950000000001</v>
      </c>
      <c r="D12730" s="6">
        <v>74</v>
      </c>
      <c r="E12730" s="6">
        <v>0</v>
      </c>
      <c r="F12730" s="6">
        <v>0</v>
      </c>
      <c r="G12730" s="6">
        <v>21</v>
      </c>
      <c r="H12730" s="6" t="s">
        <v>51098</v>
      </c>
      <c r="I12730" s="6">
        <v>526.6875</v>
      </c>
      <c r="J12730" s="2">
        <f t="shared" si="198"/>
        <v>43749.420502685178</v>
      </c>
    </row>
    <row r="12731" spans="1:10" x14ac:dyDescent="0.25">
      <c r="A12731" s="7" t="s">
        <v>51099</v>
      </c>
      <c r="B12731" s="8">
        <v>393.75</v>
      </c>
      <c r="C12731" s="8">
        <v>20.478950000000001</v>
      </c>
      <c r="D12731" s="8">
        <v>75</v>
      </c>
      <c r="E12731" s="8">
        <v>0</v>
      </c>
      <c r="F12731" s="8">
        <v>0</v>
      </c>
      <c r="G12731" s="8">
        <v>15</v>
      </c>
      <c r="H12731" s="8" t="s">
        <v>51100</v>
      </c>
      <c r="I12731" s="8">
        <v>526.6875</v>
      </c>
      <c r="J12731" s="3">
        <f t="shared" si="198"/>
        <v>43749.420586006941</v>
      </c>
    </row>
    <row r="12732" spans="1:10" x14ac:dyDescent="0.25">
      <c r="A12732" s="5" t="s">
        <v>51101</v>
      </c>
      <c r="B12732" s="6">
        <v>393.75</v>
      </c>
      <c r="C12732" s="6">
        <v>20.478950000000001</v>
      </c>
      <c r="D12732" s="6">
        <v>75</v>
      </c>
      <c r="E12732" s="6">
        <v>0</v>
      </c>
      <c r="F12732" s="6">
        <v>0</v>
      </c>
      <c r="G12732" s="6">
        <v>16</v>
      </c>
      <c r="H12732" s="6" t="s">
        <v>51102</v>
      </c>
      <c r="I12732" s="6">
        <v>526.6875</v>
      </c>
      <c r="J12732" s="2">
        <f t="shared" si="198"/>
        <v>43749.420657766204</v>
      </c>
    </row>
    <row r="12733" spans="1:10" x14ac:dyDescent="0.25">
      <c r="A12733" s="7" t="s">
        <v>51103</v>
      </c>
      <c r="B12733" s="8">
        <v>393.75</v>
      </c>
      <c r="C12733" s="8">
        <v>20.478950000000001</v>
      </c>
      <c r="D12733" s="8">
        <v>76</v>
      </c>
      <c r="E12733" s="8">
        <v>0</v>
      </c>
      <c r="F12733" s="8">
        <v>0</v>
      </c>
      <c r="G12733" s="8">
        <v>27</v>
      </c>
      <c r="H12733" s="8" t="s">
        <v>51104</v>
      </c>
      <c r="I12733" s="8">
        <v>526.6875</v>
      </c>
      <c r="J12733" s="3">
        <f t="shared" si="198"/>
        <v>43749.420755891202</v>
      </c>
    </row>
    <row r="12734" spans="1:10" x14ac:dyDescent="0.25">
      <c r="A12734" s="5" t="s">
        <v>51105</v>
      </c>
      <c r="B12734" s="6">
        <v>393.75</v>
      </c>
      <c r="C12734" s="6">
        <v>20.478950000000001</v>
      </c>
      <c r="D12734" s="6">
        <v>76</v>
      </c>
      <c r="E12734" s="6">
        <v>0</v>
      </c>
      <c r="F12734" s="6">
        <v>0</v>
      </c>
      <c r="G12734" s="6">
        <v>25</v>
      </c>
      <c r="H12734" s="6" t="s">
        <v>51106</v>
      </c>
      <c r="I12734" s="6">
        <v>526.6875</v>
      </c>
      <c r="J12734" s="2">
        <f t="shared" si="198"/>
        <v>43749.420836689816</v>
      </c>
    </row>
    <row r="12735" spans="1:10" x14ac:dyDescent="0.25">
      <c r="A12735" s="7" t="s">
        <v>51107</v>
      </c>
      <c r="B12735" s="8">
        <v>393.75</v>
      </c>
      <c r="C12735" s="8">
        <v>20.478950000000001</v>
      </c>
      <c r="D12735" s="8">
        <v>76</v>
      </c>
      <c r="E12735" s="8">
        <v>0</v>
      </c>
      <c r="F12735" s="8">
        <v>0</v>
      </c>
      <c r="G12735" s="8">
        <v>22</v>
      </c>
      <c r="H12735" s="8" t="s">
        <v>51108</v>
      </c>
      <c r="I12735" s="8">
        <v>526.5</v>
      </c>
      <c r="J12735" s="3">
        <f t="shared" si="198"/>
        <v>43749.420932060188</v>
      </c>
    </row>
    <row r="12736" spans="1:10" x14ac:dyDescent="0.25">
      <c r="A12736" s="5" t="s">
        <v>51109</v>
      </c>
      <c r="B12736" s="6">
        <v>393.75</v>
      </c>
      <c r="C12736" s="6">
        <v>20.478950000000001</v>
      </c>
      <c r="D12736" s="6">
        <v>75</v>
      </c>
      <c r="E12736" s="6">
        <v>0</v>
      </c>
      <c r="F12736" s="6">
        <v>0</v>
      </c>
      <c r="G12736" s="6">
        <v>18</v>
      </c>
      <c r="H12736" s="6" t="s">
        <v>51110</v>
      </c>
      <c r="I12736" s="6">
        <v>526.6875</v>
      </c>
      <c r="J12736" s="2">
        <f t="shared" si="198"/>
        <v>43749.421015648149</v>
      </c>
    </row>
    <row r="12737" spans="1:10" x14ac:dyDescent="0.25">
      <c r="A12737" s="7" t="s">
        <v>51111</v>
      </c>
      <c r="B12737" s="8">
        <v>393.75</v>
      </c>
      <c r="C12737" s="8">
        <v>20.478950000000001</v>
      </c>
      <c r="D12737" s="8">
        <v>71</v>
      </c>
      <c r="E12737" s="8">
        <v>0</v>
      </c>
      <c r="F12737" s="8">
        <v>0</v>
      </c>
      <c r="G12737" s="8">
        <v>22</v>
      </c>
      <c r="H12737" s="8" t="s">
        <v>51112</v>
      </c>
      <c r="I12737" s="8">
        <v>526.6875</v>
      </c>
      <c r="J12737" s="3">
        <f t="shared" si="198"/>
        <v>43749.421099085645</v>
      </c>
    </row>
    <row r="12738" spans="1:10" x14ac:dyDescent="0.25">
      <c r="A12738" s="5" t="s">
        <v>51113</v>
      </c>
      <c r="B12738" s="6">
        <v>412.5</v>
      </c>
      <c r="C12738" s="6">
        <v>20.478950000000001</v>
      </c>
      <c r="D12738" s="6">
        <v>71</v>
      </c>
      <c r="E12738" s="6">
        <v>0</v>
      </c>
      <c r="F12738" s="6">
        <v>0</v>
      </c>
      <c r="G12738" s="6">
        <v>26</v>
      </c>
      <c r="H12738" s="6" t="s">
        <v>51114</v>
      </c>
      <c r="I12738" s="6">
        <v>532.3125</v>
      </c>
      <c r="J12738" s="2">
        <f t="shared" ref="J12738:J12801" si="199">(H12738/86400000)+25569+(7/24)</f>
        <v>43749.421182291662</v>
      </c>
    </row>
    <row r="12739" spans="1:10" x14ac:dyDescent="0.25">
      <c r="A12739" s="7" t="s">
        <v>51115</v>
      </c>
      <c r="B12739" s="8">
        <v>393.75</v>
      </c>
      <c r="C12739" s="8">
        <v>20.478950000000001</v>
      </c>
      <c r="D12739" s="8">
        <v>71</v>
      </c>
      <c r="E12739" s="8">
        <v>0</v>
      </c>
      <c r="F12739" s="8">
        <v>0</v>
      </c>
      <c r="G12739" s="8">
        <v>18</v>
      </c>
      <c r="H12739" s="8" t="s">
        <v>51116</v>
      </c>
      <c r="I12739" s="8">
        <v>526.5</v>
      </c>
      <c r="J12739" s="3">
        <f t="shared" si="199"/>
        <v>43749.421254062494</v>
      </c>
    </row>
    <row r="12740" spans="1:10" x14ac:dyDescent="0.25">
      <c r="A12740" s="5" t="s">
        <v>51117</v>
      </c>
      <c r="B12740" s="6">
        <v>393.75</v>
      </c>
      <c r="C12740" s="6">
        <v>20.478950000000001</v>
      </c>
      <c r="D12740" s="6">
        <v>72</v>
      </c>
      <c r="E12740" s="6">
        <v>0</v>
      </c>
      <c r="F12740" s="6">
        <v>0</v>
      </c>
      <c r="G12740" s="6">
        <v>15</v>
      </c>
      <c r="H12740" s="6" t="s">
        <v>51118</v>
      </c>
      <c r="I12740" s="6">
        <v>526.6875</v>
      </c>
      <c r="J12740" s="2">
        <f t="shared" si="199"/>
        <v>43749.421337523141</v>
      </c>
    </row>
    <row r="12741" spans="1:10" x14ac:dyDescent="0.25">
      <c r="A12741" s="7" t="s">
        <v>51119</v>
      </c>
      <c r="B12741" s="8">
        <v>393.75</v>
      </c>
      <c r="C12741" s="8">
        <v>20.478950000000001</v>
      </c>
      <c r="D12741" s="8">
        <v>75</v>
      </c>
      <c r="E12741" s="8">
        <v>0</v>
      </c>
      <c r="F12741" s="8">
        <v>0</v>
      </c>
      <c r="G12741" s="8">
        <v>14</v>
      </c>
      <c r="H12741" s="8" t="s">
        <v>51120</v>
      </c>
      <c r="I12741" s="8">
        <v>526.6875</v>
      </c>
      <c r="J12741" s="3">
        <f t="shared" si="199"/>
        <v>43749.421421076382</v>
      </c>
    </row>
    <row r="12742" spans="1:10" x14ac:dyDescent="0.25">
      <c r="A12742" s="5" t="s">
        <v>51121</v>
      </c>
      <c r="B12742" s="6">
        <v>393.75</v>
      </c>
      <c r="C12742" s="6">
        <v>20.478950000000001</v>
      </c>
      <c r="D12742" s="6">
        <v>73</v>
      </c>
      <c r="E12742" s="6">
        <v>0</v>
      </c>
      <c r="F12742" s="6">
        <v>0</v>
      </c>
      <c r="G12742" s="6">
        <v>17</v>
      </c>
      <c r="H12742" s="6" t="s">
        <v>51122</v>
      </c>
      <c r="I12742" s="6">
        <v>526.6875</v>
      </c>
      <c r="J12742" s="2">
        <f t="shared" si="199"/>
        <v>43749.421504513892</v>
      </c>
    </row>
    <row r="12743" spans="1:10" x14ac:dyDescent="0.25">
      <c r="A12743" s="7" t="s">
        <v>51123</v>
      </c>
      <c r="B12743" s="8">
        <v>428.125</v>
      </c>
      <c r="C12743" s="8">
        <v>20.478950000000001</v>
      </c>
      <c r="D12743" s="8">
        <v>72</v>
      </c>
      <c r="E12743" s="8">
        <v>0</v>
      </c>
      <c r="F12743" s="8">
        <v>0</v>
      </c>
      <c r="G12743" s="8">
        <v>14</v>
      </c>
      <c r="H12743" s="8" t="s">
        <v>51124</v>
      </c>
      <c r="I12743" s="8">
        <v>537.375</v>
      </c>
      <c r="J12743" s="3">
        <f t="shared" si="199"/>
        <v>43749.4215883449</v>
      </c>
    </row>
    <row r="12744" spans="1:10" x14ac:dyDescent="0.25">
      <c r="A12744" s="5" t="s">
        <v>51125</v>
      </c>
      <c r="B12744" s="6">
        <v>393.75</v>
      </c>
      <c r="C12744" s="6">
        <v>20.478950000000001</v>
      </c>
      <c r="D12744" s="6">
        <v>73</v>
      </c>
      <c r="E12744" s="6">
        <v>0</v>
      </c>
      <c r="F12744" s="6">
        <v>0</v>
      </c>
      <c r="G12744" s="6">
        <v>19</v>
      </c>
      <c r="H12744" s="6" t="s">
        <v>51126</v>
      </c>
      <c r="I12744" s="6">
        <v>526.6875</v>
      </c>
      <c r="J12744" s="2">
        <f t="shared" si="199"/>
        <v>43749.421671180557</v>
      </c>
    </row>
    <row r="12745" spans="1:10" x14ac:dyDescent="0.25">
      <c r="A12745" s="7" t="s">
        <v>51127</v>
      </c>
      <c r="B12745" s="8">
        <v>393.75</v>
      </c>
      <c r="C12745" s="8">
        <v>20.478950000000001</v>
      </c>
      <c r="D12745" s="8">
        <v>73</v>
      </c>
      <c r="E12745" s="8">
        <v>0</v>
      </c>
      <c r="F12745" s="8">
        <v>0</v>
      </c>
      <c r="G12745" s="8">
        <v>9</v>
      </c>
      <c r="H12745" s="8" t="s">
        <v>51128</v>
      </c>
      <c r="I12745" s="8">
        <v>526.6875</v>
      </c>
      <c r="J12745" s="3">
        <f t="shared" si="199"/>
        <v>43749.421742812498</v>
      </c>
    </row>
    <row r="12746" spans="1:10" x14ac:dyDescent="0.25">
      <c r="A12746" s="5" t="s">
        <v>51129</v>
      </c>
      <c r="B12746" s="6">
        <v>393.75</v>
      </c>
      <c r="C12746" s="6">
        <v>20.478950000000001</v>
      </c>
      <c r="D12746" s="6">
        <v>73</v>
      </c>
      <c r="E12746" s="6">
        <v>0</v>
      </c>
      <c r="F12746" s="6">
        <v>0</v>
      </c>
      <c r="G12746" s="6">
        <v>13</v>
      </c>
      <c r="H12746" s="6" t="s">
        <v>51130</v>
      </c>
      <c r="I12746" s="6">
        <v>526.5</v>
      </c>
      <c r="J12746" s="2">
        <f t="shared" si="199"/>
        <v>43749.421826747683</v>
      </c>
    </row>
    <row r="12747" spans="1:10" x14ac:dyDescent="0.25">
      <c r="A12747" s="7" t="s">
        <v>51131</v>
      </c>
      <c r="B12747" s="8">
        <v>393.75</v>
      </c>
      <c r="C12747" s="8">
        <v>20.478950000000001</v>
      </c>
      <c r="D12747" s="8">
        <v>74</v>
      </c>
      <c r="E12747" s="8">
        <v>0</v>
      </c>
      <c r="F12747" s="8">
        <v>0</v>
      </c>
      <c r="G12747" s="8">
        <v>16</v>
      </c>
      <c r="H12747" s="8" t="s">
        <v>51132</v>
      </c>
      <c r="I12747" s="8">
        <v>526.6875</v>
      </c>
      <c r="J12747" s="3">
        <f t="shared" si="199"/>
        <v>43749.42191005787</v>
      </c>
    </row>
    <row r="12748" spans="1:10" x14ac:dyDescent="0.25">
      <c r="A12748" s="5" t="s">
        <v>51133</v>
      </c>
      <c r="B12748" s="6">
        <v>425</v>
      </c>
      <c r="C12748" s="6">
        <v>20.478950000000001</v>
      </c>
      <c r="D12748" s="6">
        <v>74</v>
      </c>
      <c r="E12748" s="6">
        <v>0</v>
      </c>
      <c r="F12748" s="6">
        <v>0</v>
      </c>
      <c r="G12748" s="6">
        <v>12</v>
      </c>
      <c r="H12748" s="6" t="s">
        <v>51134</v>
      </c>
      <c r="I12748" s="6">
        <v>536.4375</v>
      </c>
      <c r="J12748" s="2">
        <f t="shared" si="199"/>
        <v>43749.421993518517</v>
      </c>
    </row>
    <row r="12749" spans="1:10" x14ac:dyDescent="0.25">
      <c r="A12749" s="7" t="s">
        <v>51135</v>
      </c>
      <c r="B12749" s="8">
        <v>393.75</v>
      </c>
      <c r="C12749" s="8">
        <v>20.478950000000001</v>
      </c>
      <c r="D12749" s="8">
        <v>74</v>
      </c>
      <c r="E12749" s="8">
        <v>0</v>
      </c>
      <c r="F12749" s="8">
        <v>0</v>
      </c>
      <c r="G12749" s="8">
        <v>14</v>
      </c>
      <c r="H12749" s="8" t="s">
        <v>51136</v>
      </c>
      <c r="I12749" s="8">
        <v>526.6875</v>
      </c>
      <c r="J12749" s="3">
        <f t="shared" si="199"/>
        <v>43749.422088877312</v>
      </c>
    </row>
    <row r="12750" spans="1:10" x14ac:dyDescent="0.25">
      <c r="A12750" s="5" t="s">
        <v>51137</v>
      </c>
      <c r="B12750" s="6">
        <v>412.5</v>
      </c>
      <c r="C12750" s="6">
        <v>20.478950000000001</v>
      </c>
      <c r="D12750" s="6">
        <v>74</v>
      </c>
      <c r="E12750" s="6">
        <v>0</v>
      </c>
      <c r="F12750" s="6">
        <v>0</v>
      </c>
      <c r="G12750" s="6">
        <v>16</v>
      </c>
      <c r="H12750" s="6" t="s">
        <v>51138</v>
      </c>
      <c r="I12750" s="6">
        <v>532.3125</v>
      </c>
      <c r="J12750" s="2">
        <f t="shared" si="199"/>
        <v>43749.422172349536</v>
      </c>
    </row>
    <row r="12751" spans="1:10" x14ac:dyDescent="0.25">
      <c r="A12751" s="7" t="s">
        <v>51139</v>
      </c>
      <c r="B12751" s="8">
        <v>393.75</v>
      </c>
      <c r="C12751" s="8">
        <v>20.478950000000001</v>
      </c>
      <c r="D12751" s="8">
        <v>74</v>
      </c>
      <c r="E12751" s="8">
        <v>0</v>
      </c>
      <c r="F12751" s="8">
        <v>0</v>
      </c>
      <c r="G12751" s="8">
        <v>16</v>
      </c>
      <c r="H12751" s="8" t="s">
        <v>51140</v>
      </c>
      <c r="I12751" s="8">
        <v>526.6875</v>
      </c>
      <c r="J12751" s="3">
        <f t="shared" si="199"/>
        <v>43749.422255902777</v>
      </c>
    </row>
    <row r="12752" spans="1:10" x14ac:dyDescent="0.25">
      <c r="A12752" s="5" t="s">
        <v>51141</v>
      </c>
      <c r="B12752" s="6">
        <v>393.75</v>
      </c>
      <c r="C12752" s="6">
        <v>20.478950000000001</v>
      </c>
      <c r="D12752" s="6">
        <v>76</v>
      </c>
      <c r="E12752" s="6">
        <v>0</v>
      </c>
      <c r="F12752" s="6">
        <v>0</v>
      </c>
      <c r="G12752" s="6">
        <v>22</v>
      </c>
      <c r="H12752" s="6" t="s">
        <v>51142</v>
      </c>
      <c r="I12752" s="6">
        <v>526.5</v>
      </c>
      <c r="J12752" s="2">
        <f t="shared" si="199"/>
        <v>43749.422339004632</v>
      </c>
    </row>
    <row r="12753" spans="1:10" x14ac:dyDescent="0.25">
      <c r="A12753" s="7" t="s">
        <v>51143</v>
      </c>
      <c r="B12753" s="8">
        <v>393.75</v>
      </c>
      <c r="C12753" s="8">
        <v>20.478950000000001</v>
      </c>
      <c r="D12753" s="8">
        <v>76</v>
      </c>
      <c r="E12753" s="8">
        <v>0</v>
      </c>
      <c r="F12753" s="8">
        <v>0</v>
      </c>
      <c r="G12753" s="8">
        <v>22</v>
      </c>
      <c r="H12753" s="8" t="s">
        <v>51144</v>
      </c>
      <c r="I12753" s="8">
        <v>526.6875</v>
      </c>
      <c r="J12753" s="3">
        <f t="shared" si="199"/>
        <v>43749.422423136573</v>
      </c>
    </row>
    <row r="12754" spans="1:10" x14ac:dyDescent="0.25">
      <c r="A12754" s="5" t="s">
        <v>51145</v>
      </c>
      <c r="B12754" s="6">
        <v>393.75</v>
      </c>
      <c r="C12754" s="6">
        <v>20.478950000000001</v>
      </c>
      <c r="D12754" s="6">
        <v>73</v>
      </c>
      <c r="E12754" s="6">
        <v>0</v>
      </c>
      <c r="F12754" s="6">
        <v>0</v>
      </c>
      <c r="G12754" s="6">
        <v>24</v>
      </c>
      <c r="H12754" s="6" t="s">
        <v>51146</v>
      </c>
      <c r="I12754" s="6">
        <v>526.6875</v>
      </c>
      <c r="J12754" s="2">
        <f t="shared" si="199"/>
        <v>43749.422506400464</v>
      </c>
    </row>
    <row r="12755" spans="1:10" x14ac:dyDescent="0.25">
      <c r="A12755" s="7" t="s">
        <v>51147</v>
      </c>
      <c r="B12755" s="8">
        <v>393.75</v>
      </c>
      <c r="C12755" s="8">
        <v>20.478950000000001</v>
      </c>
      <c r="D12755" s="8">
        <v>74</v>
      </c>
      <c r="E12755" s="8">
        <v>0</v>
      </c>
      <c r="F12755" s="8">
        <v>0</v>
      </c>
      <c r="G12755" s="8">
        <v>18</v>
      </c>
      <c r="H12755" s="8" t="s">
        <v>51148</v>
      </c>
      <c r="I12755" s="8">
        <v>526.6875</v>
      </c>
      <c r="J12755" s="3">
        <f t="shared" si="199"/>
        <v>43749.422589699076</v>
      </c>
    </row>
    <row r="12756" spans="1:10" x14ac:dyDescent="0.25">
      <c r="A12756" s="5" t="s">
        <v>51149</v>
      </c>
      <c r="B12756" s="6">
        <v>393.75</v>
      </c>
      <c r="C12756" s="6">
        <v>20.478950000000001</v>
      </c>
      <c r="D12756" s="6">
        <v>76</v>
      </c>
      <c r="E12756" s="6">
        <v>0</v>
      </c>
      <c r="F12756" s="6">
        <v>0</v>
      </c>
      <c r="G12756" s="6">
        <v>21</v>
      </c>
      <c r="H12756" s="6" t="s">
        <v>51150</v>
      </c>
      <c r="I12756" s="6">
        <v>526.6875</v>
      </c>
      <c r="J12756" s="2">
        <f t="shared" si="199"/>
        <v>43749.4226733912</v>
      </c>
    </row>
    <row r="12757" spans="1:10" x14ac:dyDescent="0.25">
      <c r="A12757" s="7" t="s">
        <v>51151</v>
      </c>
      <c r="B12757" s="8">
        <v>393.75</v>
      </c>
      <c r="C12757" s="8">
        <v>20.478950000000001</v>
      </c>
      <c r="D12757" s="8">
        <v>76</v>
      </c>
      <c r="E12757" s="8">
        <v>0</v>
      </c>
      <c r="F12757" s="8">
        <v>0</v>
      </c>
      <c r="G12757" s="8">
        <v>20</v>
      </c>
      <c r="H12757" s="8" t="s">
        <v>51152</v>
      </c>
      <c r="I12757" s="8">
        <v>526.5</v>
      </c>
      <c r="J12757" s="3">
        <f t="shared" si="199"/>
        <v>43749.422756469903</v>
      </c>
    </row>
    <row r="12758" spans="1:10" x14ac:dyDescent="0.25">
      <c r="A12758" s="5" t="s">
        <v>51153</v>
      </c>
      <c r="B12758" s="6">
        <v>393.75</v>
      </c>
      <c r="C12758" s="6">
        <v>20.478950000000001</v>
      </c>
      <c r="D12758" s="6">
        <v>78</v>
      </c>
      <c r="E12758" s="6">
        <v>0</v>
      </c>
      <c r="F12758" s="6">
        <v>0</v>
      </c>
      <c r="G12758" s="6">
        <v>17</v>
      </c>
      <c r="H12758" s="6" t="s">
        <v>51154</v>
      </c>
      <c r="I12758" s="6">
        <v>526.6875</v>
      </c>
      <c r="J12758" s="2">
        <f t="shared" si="199"/>
        <v>43749.422840277774</v>
      </c>
    </row>
    <row r="12759" spans="1:10" x14ac:dyDescent="0.25">
      <c r="A12759" s="7" t="s">
        <v>51155</v>
      </c>
      <c r="B12759" s="8">
        <v>393.75</v>
      </c>
      <c r="C12759" s="8">
        <v>20.478950000000001</v>
      </c>
      <c r="D12759" s="8">
        <v>78</v>
      </c>
      <c r="E12759" s="8">
        <v>0</v>
      </c>
      <c r="F12759" s="8">
        <v>0</v>
      </c>
      <c r="G12759" s="8">
        <v>16</v>
      </c>
      <c r="H12759" s="8" t="s">
        <v>51156</v>
      </c>
      <c r="I12759" s="8">
        <v>526.6875</v>
      </c>
      <c r="J12759" s="3">
        <f t="shared" si="199"/>
        <v>43749.422923877311</v>
      </c>
    </row>
    <row r="12760" spans="1:10" x14ac:dyDescent="0.25">
      <c r="A12760" s="5" t="s">
        <v>51157</v>
      </c>
      <c r="B12760" s="6">
        <v>393.75</v>
      </c>
      <c r="C12760" s="6">
        <v>20.478950000000001</v>
      </c>
      <c r="D12760" s="6">
        <v>77</v>
      </c>
      <c r="E12760" s="6">
        <v>0</v>
      </c>
      <c r="F12760" s="6">
        <v>0</v>
      </c>
      <c r="G12760" s="6">
        <v>19</v>
      </c>
      <c r="H12760" s="6" t="s">
        <v>51158</v>
      </c>
      <c r="I12760" s="6">
        <v>526.6875</v>
      </c>
      <c r="J12760" s="2">
        <f t="shared" si="199"/>
        <v>43749.422995370369</v>
      </c>
    </row>
    <row r="12761" spans="1:10" x14ac:dyDescent="0.25">
      <c r="A12761" s="7" t="s">
        <v>51159</v>
      </c>
      <c r="B12761" s="8">
        <v>393.75</v>
      </c>
      <c r="C12761" s="8">
        <v>20.478950000000001</v>
      </c>
      <c r="D12761" s="8">
        <v>77</v>
      </c>
      <c r="E12761" s="8">
        <v>0</v>
      </c>
      <c r="F12761" s="8">
        <v>0</v>
      </c>
      <c r="G12761" s="8">
        <v>20</v>
      </c>
      <c r="H12761" s="8" t="s">
        <v>51160</v>
      </c>
      <c r="I12761" s="8">
        <v>526.6875</v>
      </c>
      <c r="J12761" s="3">
        <f t="shared" si="199"/>
        <v>43749.423078576387</v>
      </c>
    </row>
    <row r="12762" spans="1:10" x14ac:dyDescent="0.25">
      <c r="A12762" s="5" t="s">
        <v>51161</v>
      </c>
      <c r="B12762" s="6">
        <v>412.5</v>
      </c>
      <c r="C12762" s="6">
        <v>20.478950000000001</v>
      </c>
      <c r="D12762" s="6">
        <v>77</v>
      </c>
      <c r="E12762" s="6">
        <v>0</v>
      </c>
      <c r="F12762" s="6">
        <v>0</v>
      </c>
      <c r="G12762" s="6">
        <v>12</v>
      </c>
      <c r="H12762" s="6" t="s">
        <v>51162</v>
      </c>
      <c r="I12762" s="6">
        <v>532.3125</v>
      </c>
      <c r="J12762" s="2">
        <f t="shared" si="199"/>
        <v>43749.423150358794</v>
      </c>
    </row>
    <row r="12763" spans="1:10" x14ac:dyDescent="0.25">
      <c r="A12763" s="7" t="s">
        <v>51163</v>
      </c>
      <c r="B12763" s="8">
        <v>393.75</v>
      </c>
      <c r="C12763" s="8">
        <v>20.478950000000001</v>
      </c>
      <c r="D12763" s="8">
        <v>78</v>
      </c>
      <c r="E12763" s="8">
        <v>0</v>
      </c>
      <c r="F12763" s="8">
        <v>0</v>
      </c>
      <c r="G12763" s="8">
        <v>20</v>
      </c>
      <c r="H12763" s="8" t="s">
        <v>51164</v>
      </c>
      <c r="I12763" s="8">
        <v>526.6875</v>
      </c>
      <c r="J12763" s="3">
        <f t="shared" si="199"/>
        <v>43749.423233900459</v>
      </c>
    </row>
    <row r="12764" spans="1:10" x14ac:dyDescent="0.25">
      <c r="A12764" s="5" t="s">
        <v>51165</v>
      </c>
      <c r="B12764" s="6">
        <v>393.75</v>
      </c>
      <c r="C12764" s="6">
        <v>20.478950000000001</v>
      </c>
      <c r="D12764" s="6">
        <v>78</v>
      </c>
      <c r="E12764" s="6">
        <v>0</v>
      </c>
      <c r="F12764" s="6">
        <v>0</v>
      </c>
      <c r="G12764" s="6">
        <v>18</v>
      </c>
      <c r="H12764" s="6" t="s">
        <v>51166</v>
      </c>
      <c r="I12764" s="6">
        <v>526.6875</v>
      </c>
      <c r="J12764" s="2">
        <f t="shared" si="199"/>
        <v>43749.423317349538</v>
      </c>
    </row>
    <row r="12765" spans="1:10" x14ac:dyDescent="0.25">
      <c r="A12765" s="7" t="s">
        <v>51167</v>
      </c>
      <c r="B12765" s="8">
        <v>393.75</v>
      </c>
      <c r="C12765" s="8">
        <v>20.478950000000001</v>
      </c>
      <c r="D12765" s="8">
        <v>78</v>
      </c>
      <c r="E12765" s="8">
        <v>0</v>
      </c>
      <c r="F12765" s="8">
        <v>0</v>
      </c>
      <c r="G12765" s="8">
        <v>17</v>
      </c>
      <c r="H12765" s="8" t="s">
        <v>51168</v>
      </c>
      <c r="I12765" s="8">
        <v>526.6875</v>
      </c>
      <c r="J12765" s="3">
        <f t="shared" si="199"/>
        <v>43749.423400821754</v>
      </c>
    </row>
    <row r="12766" spans="1:10" x14ac:dyDescent="0.25">
      <c r="A12766" s="5" t="s">
        <v>51169</v>
      </c>
      <c r="B12766" s="6">
        <v>393.75</v>
      </c>
      <c r="C12766" s="6">
        <v>20.478950000000001</v>
      </c>
      <c r="D12766" s="6">
        <v>77</v>
      </c>
      <c r="E12766" s="6">
        <v>0</v>
      </c>
      <c r="F12766" s="6">
        <v>0</v>
      </c>
      <c r="G12766" s="6">
        <v>12</v>
      </c>
      <c r="H12766" s="6" t="s">
        <v>51170</v>
      </c>
      <c r="I12766" s="6">
        <v>526.5</v>
      </c>
      <c r="J12766" s="2">
        <f t="shared" si="199"/>
        <v>43749.423484374995</v>
      </c>
    </row>
    <row r="12767" spans="1:10" x14ac:dyDescent="0.25">
      <c r="A12767" s="7" t="s">
        <v>51171</v>
      </c>
      <c r="B12767" s="8">
        <v>393.75</v>
      </c>
      <c r="C12767" s="8">
        <v>20.478950000000001</v>
      </c>
      <c r="D12767" s="8">
        <v>76</v>
      </c>
      <c r="E12767" s="8">
        <v>0</v>
      </c>
      <c r="F12767" s="8">
        <v>0</v>
      </c>
      <c r="G12767" s="8">
        <v>20</v>
      </c>
      <c r="H12767" s="8" t="s">
        <v>51172</v>
      </c>
      <c r="I12767" s="8">
        <v>526.6875</v>
      </c>
      <c r="J12767" s="3">
        <f t="shared" si="199"/>
        <v>43749.423579780087</v>
      </c>
    </row>
    <row r="12768" spans="1:10" x14ac:dyDescent="0.25">
      <c r="A12768" s="5" t="s">
        <v>51173</v>
      </c>
      <c r="B12768" s="6">
        <v>393.75</v>
      </c>
      <c r="C12768" s="6">
        <v>20.478950000000001</v>
      </c>
      <c r="D12768" s="6">
        <v>76</v>
      </c>
      <c r="E12768" s="6">
        <v>0</v>
      </c>
      <c r="F12768" s="6">
        <v>0</v>
      </c>
      <c r="G12768" s="6">
        <v>17</v>
      </c>
      <c r="H12768" s="6" t="s">
        <v>51174</v>
      </c>
      <c r="I12768" s="6">
        <v>526.5</v>
      </c>
      <c r="J12768" s="2">
        <f t="shared" si="199"/>
        <v>43749.423663217589</v>
      </c>
    </row>
    <row r="12769" spans="1:10" x14ac:dyDescent="0.25">
      <c r="A12769" s="7" t="s">
        <v>51175</v>
      </c>
      <c r="B12769" s="8">
        <v>393.75</v>
      </c>
      <c r="C12769" s="8">
        <v>20.478950000000001</v>
      </c>
      <c r="D12769" s="8">
        <v>74</v>
      </c>
      <c r="E12769" s="8">
        <v>0</v>
      </c>
      <c r="F12769" s="8">
        <v>0</v>
      </c>
      <c r="G12769" s="8">
        <v>16</v>
      </c>
      <c r="H12769" s="8" t="s">
        <v>51176</v>
      </c>
      <c r="I12769" s="8">
        <v>526.6875</v>
      </c>
      <c r="J12769" s="3">
        <f t="shared" si="199"/>
        <v>43749.423746793975</v>
      </c>
    </row>
    <row r="12770" spans="1:10" x14ac:dyDescent="0.25">
      <c r="A12770" s="5" t="s">
        <v>51177</v>
      </c>
      <c r="B12770" s="6">
        <v>393.75</v>
      </c>
      <c r="C12770" s="6">
        <v>20.478950000000001</v>
      </c>
      <c r="D12770" s="6">
        <v>74</v>
      </c>
      <c r="E12770" s="6">
        <v>0</v>
      </c>
      <c r="F12770" s="6">
        <v>0</v>
      </c>
      <c r="G12770" s="6">
        <v>19</v>
      </c>
      <c r="H12770" s="6" t="s">
        <v>51178</v>
      </c>
      <c r="I12770" s="6">
        <v>526.6875</v>
      </c>
      <c r="J12770" s="2">
        <f t="shared" si="199"/>
        <v>43749.423830231484</v>
      </c>
    </row>
    <row r="12771" spans="1:10" x14ac:dyDescent="0.25">
      <c r="A12771" s="7" t="s">
        <v>51179</v>
      </c>
      <c r="B12771" s="8">
        <v>393.75</v>
      </c>
      <c r="C12771" s="8">
        <v>20.478950000000001</v>
      </c>
      <c r="D12771" s="8">
        <v>75</v>
      </c>
      <c r="E12771" s="8">
        <v>0</v>
      </c>
      <c r="F12771" s="8">
        <v>0</v>
      </c>
      <c r="G12771" s="8">
        <v>19</v>
      </c>
      <c r="H12771" s="8" t="s">
        <v>51180</v>
      </c>
      <c r="I12771" s="8">
        <v>526.6875</v>
      </c>
      <c r="J12771" s="3">
        <f t="shared" si="199"/>
        <v>43749.423913692131</v>
      </c>
    </row>
    <row r="12772" spans="1:10" x14ac:dyDescent="0.25">
      <c r="A12772" s="5" t="s">
        <v>51181</v>
      </c>
      <c r="B12772" s="6">
        <v>393.75</v>
      </c>
      <c r="C12772" s="6">
        <v>20.478950000000001</v>
      </c>
      <c r="D12772" s="6">
        <v>76</v>
      </c>
      <c r="E12772" s="6">
        <v>0</v>
      </c>
      <c r="F12772" s="6">
        <v>0</v>
      </c>
      <c r="G12772" s="6">
        <v>12</v>
      </c>
      <c r="H12772" s="6" t="s">
        <v>51182</v>
      </c>
      <c r="I12772" s="6">
        <v>526.5</v>
      </c>
      <c r="J12772" s="2">
        <f t="shared" si="199"/>
        <v>43749.423985219903</v>
      </c>
    </row>
    <row r="12773" spans="1:10" x14ac:dyDescent="0.25">
      <c r="A12773" s="7" t="s">
        <v>51183</v>
      </c>
      <c r="B12773" s="8">
        <v>393.75</v>
      </c>
      <c r="C12773" s="8">
        <v>20.478950000000001</v>
      </c>
      <c r="D12773" s="8">
        <v>75</v>
      </c>
      <c r="E12773" s="8">
        <v>0</v>
      </c>
      <c r="F12773" s="8">
        <v>0</v>
      </c>
      <c r="G12773" s="8">
        <v>20</v>
      </c>
      <c r="H12773" s="8" t="s">
        <v>51184</v>
      </c>
      <c r="I12773" s="8">
        <v>526.6875</v>
      </c>
      <c r="J12773" s="3">
        <f t="shared" si="199"/>
        <v>43749.424068437496</v>
      </c>
    </row>
    <row r="12774" spans="1:10" x14ac:dyDescent="0.25">
      <c r="A12774" s="5" t="s">
        <v>51185</v>
      </c>
      <c r="B12774" s="6">
        <v>412.5</v>
      </c>
      <c r="C12774" s="6">
        <v>20.478950000000001</v>
      </c>
      <c r="D12774" s="6">
        <v>75</v>
      </c>
      <c r="E12774" s="6">
        <v>0</v>
      </c>
      <c r="F12774" s="6">
        <v>0</v>
      </c>
      <c r="G12774" s="6">
        <v>13</v>
      </c>
      <c r="H12774" s="6" t="s">
        <v>51186</v>
      </c>
      <c r="I12774" s="6">
        <v>532.3125</v>
      </c>
      <c r="J12774" s="2">
        <f t="shared" si="199"/>
        <v>43749.424140312498</v>
      </c>
    </row>
    <row r="12775" spans="1:10" x14ac:dyDescent="0.25">
      <c r="A12775" s="7" t="s">
        <v>51187</v>
      </c>
      <c r="B12775" s="8">
        <v>393.75</v>
      </c>
      <c r="C12775" s="8">
        <v>20.478950000000001</v>
      </c>
      <c r="D12775" s="8">
        <v>77</v>
      </c>
      <c r="E12775" s="8">
        <v>0</v>
      </c>
      <c r="F12775" s="8">
        <v>0</v>
      </c>
      <c r="G12775" s="8">
        <v>13</v>
      </c>
      <c r="H12775" s="8" t="s">
        <v>51188</v>
      </c>
      <c r="I12775" s="8">
        <v>526.5</v>
      </c>
      <c r="J12775" s="3">
        <f t="shared" si="199"/>
        <v>43749.424228368058</v>
      </c>
    </row>
    <row r="12776" spans="1:10" x14ac:dyDescent="0.25">
      <c r="A12776" s="5" t="s">
        <v>51189</v>
      </c>
      <c r="B12776" s="6">
        <v>393.75</v>
      </c>
      <c r="C12776" s="6">
        <v>20.478950000000001</v>
      </c>
      <c r="D12776" s="6">
        <v>75</v>
      </c>
      <c r="E12776" s="6">
        <v>0</v>
      </c>
      <c r="F12776" s="6">
        <v>0</v>
      </c>
      <c r="G12776" s="6">
        <v>13</v>
      </c>
      <c r="H12776" s="6" t="s">
        <v>51190</v>
      </c>
      <c r="I12776" s="6">
        <v>526.6875</v>
      </c>
      <c r="J12776" s="2">
        <f t="shared" si="199"/>
        <v>43749.424307337962</v>
      </c>
    </row>
    <row r="12777" spans="1:10" x14ac:dyDescent="0.25">
      <c r="A12777" s="7" t="s">
        <v>51191</v>
      </c>
      <c r="B12777" s="8">
        <v>393.75</v>
      </c>
      <c r="C12777" s="8">
        <v>20.478950000000001</v>
      </c>
      <c r="D12777" s="8">
        <v>75</v>
      </c>
      <c r="E12777" s="8">
        <v>0</v>
      </c>
      <c r="F12777" s="8">
        <v>0</v>
      </c>
      <c r="G12777" s="8">
        <v>14</v>
      </c>
      <c r="H12777" s="8" t="s">
        <v>51192</v>
      </c>
      <c r="I12777" s="8">
        <v>526.6875</v>
      </c>
      <c r="J12777" s="3">
        <f t="shared" si="199"/>
        <v>43749.424390787033</v>
      </c>
    </row>
    <row r="12778" spans="1:10" x14ac:dyDescent="0.25">
      <c r="A12778" s="5" t="s">
        <v>51193</v>
      </c>
      <c r="B12778" s="6">
        <v>393.75</v>
      </c>
      <c r="C12778" s="6">
        <v>20.478950000000001</v>
      </c>
      <c r="D12778" s="6">
        <v>75</v>
      </c>
      <c r="E12778" s="6">
        <v>0</v>
      </c>
      <c r="F12778" s="6">
        <v>0</v>
      </c>
      <c r="G12778" s="6">
        <v>21</v>
      </c>
      <c r="H12778" s="6" t="s">
        <v>51194</v>
      </c>
      <c r="I12778" s="6">
        <v>526.6875</v>
      </c>
      <c r="J12778" s="2">
        <f t="shared" si="199"/>
        <v>43749.424462303235</v>
      </c>
    </row>
    <row r="12779" spans="1:10" x14ac:dyDescent="0.25">
      <c r="A12779" s="7" t="s">
        <v>51195</v>
      </c>
      <c r="B12779" s="8">
        <v>393.75</v>
      </c>
      <c r="C12779" s="8">
        <v>20.478950000000001</v>
      </c>
      <c r="D12779" s="8">
        <v>74</v>
      </c>
      <c r="E12779" s="8">
        <v>0</v>
      </c>
      <c r="F12779" s="8">
        <v>0</v>
      </c>
      <c r="G12779" s="8">
        <v>15</v>
      </c>
      <c r="H12779" s="8" t="s">
        <v>51196</v>
      </c>
      <c r="I12779" s="8">
        <v>526.6875</v>
      </c>
      <c r="J12779" s="3">
        <f t="shared" si="199"/>
        <v>43749.424545532405</v>
      </c>
    </row>
    <row r="12780" spans="1:10" x14ac:dyDescent="0.25">
      <c r="A12780" s="5" t="s">
        <v>51197</v>
      </c>
      <c r="B12780" s="6">
        <v>393.75</v>
      </c>
      <c r="C12780" s="6">
        <v>20.478950000000001</v>
      </c>
      <c r="D12780" s="6">
        <v>74</v>
      </c>
      <c r="E12780" s="6">
        <v>0</v>
      </c>
      <c r="F12780" s="6">
        <v>0</v>
      </c>
      <c r="G12780" s="6">
        <v>10</v>
      </c>
      <c r="H12780" s="6" t="s">
        <v>51198</v>
      </c>
      <c r="I12780" s="6">
        <v>526.6875</v>
      </c>
      <c r="J12780" s="2">
        <f t="shared" si="199"/>
        <v>43749.424617048608</v>
      </c>
    </row>
    <row r="12781" spans="1:10" x14ac:dyDescent="0.25">
      <c r="A12781" s="7" t="s">
        <v>51199</v>
      </c>
      <c r="B12781" s="8">
        <v>393.75</v>
      </c>
      <c r="C12781" s="8">
        <v>20.478950000000001</v>
      </c>
      <c r="D12781" s="8">
        <v>74</v>
      </c>
      <c r="E12781" s="8">
        <v>0</v>
      </c>
      <c r="F12781" s="8">
        <v>0</v>
      </c>
      <c r="G12781" s="8">
        <v>14</v>
      </c>
      <c r="H12781" s="8" t="s">
        <v>51200</v>
      </c>
      <c r="I12781" s="8">
        <v>526.5</v>
      </c>
      <c r="J12781" s="3">
        <f t="shared" si="199"/>
        <v>43749.424700960641</v>
      </c>
    </row>
    <row r="12782" spans="1:10" x14ac:dyDescent="0.25">
      <c r="A12782" s="5" t="s">
        <v>51201</v>
      </c>
      <c r="B12782" s="6">
        <v>393.75</v>
      </c>
      <c r="C12782" s="6">
        <v>20.478950000000001</v>
      </c>
      <c r="D12782" s="6">
        <v>74</v>
      </c>
      <c r="E12782" s="6">
        <v>0</v>
      </c>
      <c r="F12782" s="6">
        <v>0</v>
      </c>
      <c r="G12782" s="6">
        <v>2</v>
      </c>
      <c r="H12782" s="6" t="s">
        <v>51202</v>
      </c>
      <c r="I12782" s="6">
        <v>526.6875</v>
      </c>
      <c r="J12782" s="2">
        <f t="shared" si="199"/>
        <v>43749.42478439815</v>
      </c>
    </row>
    <row r="12783" spans="1:10" x14ac:dyDescent="0.25">
      <c r="A12783" s="7" t="s">
        <v>51203</v>
      </c>
      <c r="B12783" s="8">
        <v>393.75</v>
      </c>
      <c r="C12783" s="8">
        <v>20.478950000000001</v>
      </c>
      <c r="D12783" s="8">
        <v>72</v>
      </c>
      <c r="E12783" s="8">
        <v>0</v>
      </c>
      <c r="F12783" s="8">
        <v>0</v>
      </c>
      <c r="G12783" s="8">
        <v>17</v>
      </c>
      <c r="H12783" s="8" t="s">
        <v>51204</v>
      </c>
      <c r="I12783" s="8">
        <v>526.6875</v>
      </c>
      <c r="J12783" s="3">
        <f t="shared" si="199"/>
        <v>43749.424867581016</v>
      </c>
    </row>
    <row r="12784" spans="1:10" x14ac:dyDescent="0.25">
      <c r="A12784" s="5" t="s">
        <v>51205</v>
      </c>
      <c r="B12784" s="6">
        <v>393.75</v>
      </c>
      <c r="C12784" s="6">
        <v>20.478950000000001</v>
      </c>
      <c r="D12784" s="6">
        <v>72</v>
      </c>
      <c r="E12784" s="6">
        <v>0</v>
      </c>
      <c r="F12784" s="6">
        <v>0</v>
      </c>
      <c r="G12784" s="6">
        <v>16</v>
      </c>
      <c r="H12784" s="6" t="s">
        <v>51206</v>
      </c>
      <c r="I12784" s="6">
        <v>526.6875</v>
      </c>
      <c r="J12784" s="2">
        <f t="shared" si="199"/>
        <v>43749.424939282406</v>
      </c>
    </row>
    <row r="12785" spans="1:10" x14ac:dyDescent="0.25">
      <c r="A12785" s="7" t="s">
        <v>51207</v>
      </c>
      <c r="B12785" s="8">
        <v>415.625</v>
      </c>
      <c r="C12785" s="8">
        <v>20.478950000000001</v>
      </c>
      <c r="D12785" s="8">
        <v>72</v>
      </c>
      <c r="E12785" s="8">
        <v>0</v>
      </c>
      <c r="F12785" s="8">
        <v>0</v>
      </c>
      <c r="G12785" s="8">
        <v>14</v>
      </c>
      <c r="H12785" s="8" t="s">
        <v>51208</v>
      </c>
      <c r="I12785" s="8">
        <v>533.625</v>
      </c>
      <c r="J12785" s="3">
        <f t="shared" si="199"/>
        <v>43749.425011006941</v>
      </c>
    </row>
    <row r="12786" spans="1:10" x14ac:dyDescent="0.25">
      <c r="A12786" s="5" t="s">
        <v>51209</v>
      </c>
      <c r="B12786" s="6">
        <v>393.75</v>
      </c>
      <c r="C12786" s="6">
        <v>20.478950000000001</v>
      </c>
      <c r="D12786" s="6">
        <v>72</v>
      </c>
      <c r="E12786" s="6">
        <v>0</v>
      </c>
      <c r="F12786" s="6">
        <v>0</v>
      </c>
      <c r="G12786" s="6">
        <v>18</v>
      </c>
      <c r="H12786" s="6" t="s">
        <v>51210</v>
      </c>
      <c r="I12786" s="6">
        <v>526.6875</v>
      </c>
      <c r="J12786" s="2">
        <f t="shared" si="199"/>
        <v>43749.425094467595</v>
      </c>
    </row>
    <row r="12787" spans="1:10" x14ac:dyDescent="0.25">
      <c r="A12787" s="7" t="s">
        <v>51211</v>
      </c>
      <c r="B12787" s="8">
        <v>393.75</v>
      </c>
      <c r="C12787" s="8">
        <v>20.478950000000001</v>
      </c>
      <c r="D12787" s="8">
        <v>72</v>
      </c>
      <c r="E12787" s="8">
        <v>0</v>
      </c>
      <c r="F12787" s="8">
        <v>0</v>
      </c>
      <c r="G12787" s="8">
        <v>14</v>
      </c>
      <c r="H12787" s="8" t="s">
        <v>51212</v>
      </c>
      <c r="I12787" s="8">
        <v>526.5</v>
      </c>
      <c r="J12787" s="3">
        <f t="shared" si="199"/>
        <v>43749.425165995366</v>
      </c>
    </row>
    <row r="12788" spans="1:10" x14ac:dyDescent="0.25">
      <c r="A12788" s="5" t="s">
        <v>51213</v>
      </c>
      <c r="B12788" s="6">
        <v>412.5</v>
      </c>
      <c r="C12788" s="6">
        <v>20.478950000000001</v>
      </c>
      <c r="D12788" s="6">
        <v>73</v>
      </c>
      <c r="E12788" s="6">
        <v>0</v>
      </c>
      <c r="F12788" s="6">
        <v>0</v>
      </c>
      <c r="G12788" s="6">
        <v>13</v>
      </c>
      <c r="H12788" s="6" t="s">
        <v>51214</v>
      </c>
      <c r="I12788" s="6">
        <v>532.875</v>
      </c>
      <c r="J12788" s="2">
        <f t="shared" si="199"/>
        <v>43749.425249097221</v>
      </c>
    </row>
    <row r="12789" spans="1:10" x14ac:dyDescent="0.25">
      <c r="A12789" s="7" t="s">
        <v>51215</v>
      </c>
      <c r="B12789" s="8">
        <v>393.75</v>
      </c>
      <c r="C12789" s="8">
        <v>20.478950000000001</v>
      </c>
      <c r="D12789" s="8">
        <v>73</v>
      </c>
      <c r="E12789" s="8">
        <v>0</v>
      </c>
      <c r="F12789" s="8">
        <v>0</v>
      </c>
      <c r="G12789" s="8">
        <v>27</v>
      </c>
      <c r="H12789" s="8" t="s">
        <v>51216</v>
      </c>
      <c r="I12789" s="8">
        <v>526.6875</v>
      </c>
      <c r="J12789" s="3">
        <f t="shared" si="199"/>
        <v>43749.425320752307</v>
      </c>
    </row>
    <row r="12790" spans="1:10" x14ac:dyDescent="0.25">
      <c r="A12790" s="5" t="s">
        <v>51217</v>
      </c>
      <c r="B12790" s="6">
        <v>393.75</v>
      </c>
      <c r="C12790" s="6">
        <v>20.478950000000001</v>
      </c>
      <c r="D12790" s="6">
        <v>73</v>
      </c>
      <c r="E12790" s="6">
        <v>0</v>
      </c>
      <c r="F12790" s="6">
        <v>0</v>
      </c>
      <c r="G12790" s="6">
        <v>14</v>
      </c>
      <c r="H12790" s="6" t="s">
        <v>51218</v>
      </c>
      <c r="I12790" s="6">
        <v>526.5</v>
      </c>
      <c r="J12790" s="2">
        <f t="shared" si="199"/>
        <v>43749.425392974539</v>
      </c>
    </row>
    <row r="12791" spans="1:10" x14ac:dyDescent="0.25">
      <c r="A12791" s="7" t="s">
        <v>51219</v>
      </c>
      <c r="B12791" s="8">
        <v>393.75</v>
      </c>
      <c r="C12791" s="8">
        <v>20.478950000000001</v>
      </c>
      <c r="D12791" s="8">
        <v>73</v>
      </c>
      <c r="E12791" s="8">
        <v>0</v>
      </c>
      <c r="F12791" s="8">
        <v>0</v>
      </c>
      <c r="G12791" s="8">
        <v>11</v>
      </c>
      <c r="H12791" s="8" t="s">
        <v>51220</v>
      </c>
      <c r="I12791" s="8">
        <v>526.6875</v>
      </c>
      <c r="J12791" s="3">
        <f t="shared" si="199"/>
        <v>43749.425476064811</v>
      </c>
    </row>
    <row r="12792" spans="1:10" x14ac:dyDescent="0.25">
      <c r="A12792" s="5" t="s">
        <v>51221</v>
      </c>
      <c r="B12792" s="6">
        <v>393.75</v>
      </c>
      <c r="C12792" s="6">
        <v>20.426300000000001</v>
      </c>
      <c r="D12792" s="6">
        <v>73</v>
      </c>
      <c r="E12792" s="6">
        <v>0</v>
      </c>
      <c r="F12792" s="6">
        <v>0</v>
      </c>
      <c r="G12792" s="6">
        <v>20</v>
      </c>
      <c r="H12792" s="6" t="s">
        <v>51222</v>
      </c>
      <c r="I12792" s="6">
        <v>526.6875</v>
      </c>
      <c r="J12792" s="2">
        <f t="shared" si="199"/>
        <v>43749.425559537034</v>
      </c>
    </row>
    <row r="12793" spans="1:10" x14ac:dyDescent="0.25">
      <c r="A12793" s="7" t="s">
        <v>51223</v>
      </c>
      <c r="B12793" s="8">
        <v>393.75</v>
      </c>
      <c r="C12793" s="8">
        <v>20.478950000000001</v>
      </c>
      <c r="D12793" s="8">
        <v>74</v>
      </c>
      <c r="E12793" s="8">
        <v>0</v>
      </c>
      <c r="F12793" s="8">
        <v>0</v>
      </c>
      <c r="G12793" s="8">
        <v>10</v>
      </c>
      <c r="H12793" s="8" t="s">
        <v>51224</v>
      </c>
      <c r="I12793" s="8">
        <v>526.6875</v>
      </c>
      <c r="J12793" s="3">
        <f t="shared" si="199"/>
        <v>43749.425630914346</v>
      </c>
    </row>
    <row r="12794" spans="1:10" x14ac:dyDescent="0.25">
      <c r="A12794" s="5" t="s">
        <v>51225</v>
      </c>
      <c r="B12794" s="6">
        <v>393.75</v>
      </c>
      <c r="C12794" s="6">
        <v>20.478950000000001</v>
      </c>
      <c r="D12794" s="6">
        <v>74</v>
      </c>
      <c r="E12794" s="6">
        <v>0</v>
      </c>
      <c r="F12794" s="6">
        <v>0</v>
      </c>
      <c r="G12794" s="6">
        <v>22</v>
      </c>
      <c r="H12794" s="6" t="s">
        <v>51226</v>
      </c>
      <c r="I12794" s="6">
        <v>526.6875</v>
      </c>
      <c r="J12794" s="2">
        <f t="shared" si="199"/>
        <v>43749.425702812499</v>
      </c>
    </row>
    <row r="12795" spans="1:10" x14ac:dyDescent="0.25">
      <c r="A12795" s="7" t="s">
        <v>51227</v>
      </c>
      <c r="B12795" s="8">
        <v>393.75</v>
      </c>
      <c r="C12795" s="8">
        <v>20.478950000000001</v>
      </c>
      <c r="D12795" s="8">
        <v>73</v>
      </c>
      <c r="E12795" s="8">
        <v>0</v>
      </c>
      <c r="F12795" s="8">
        <v>0</v>
      </c>
      <c r="G12795" s="8">
        <v>16</v>
      </c>
      <c r="H12795" s="8" t="s">
        <v>51228</v>
      </c>
      <c r="I12795" s="8">
        <v>526.6875</v>
      </c>
      <c r="J12795" s="3">
        <f t="shared" si="199"/>
        <v>43749.425786041662</v>
      </c>
    </row>
    <row r="12796" spans="1:10" x14ac:dyDescent="0.25">
      <c r="A12796" s="5" t="s">
        <v>51229</v>
      </c>
      <c r="B12796" s="6">
        <v>393.75</v>
      </c>
      <c r="C12796" s="6">
        <v>20.478950000000001</v>
      </c>
      <c r="D12796" s="6">
        <v>72</v>
      </c>
      <c r="E12796" s="6">
        <v>0</v>
      </c>
      <c r="F12796" s="6">
        <v>0</v>
      </c>
      <c r="G12796" s="6">
        <v>16</v>
      </c>
      <c r="H12796" s="6" t="s">
        <v>51230</v>
      </c>
      <c r="I12796" s="6">
        <v>526.6875</v>
      </c>
      <c r="J12796" s="2">
        <f t="shared" si="199"/>
        <v>43749.425869652776</v>
      </c>
    </row>
    <row r="12797" spans="1:10" x14ac:dyDescent="0.25">
      <c r="A12797" s="7" t="s">
        <v>51231</v>
      </c>
      <c r="B12797" s="8">
        <v>412.5</v>
      </c>
      <c r="C12797" s="8">
        <v>20.478950000000001</v>
      </c>
      <c r="D12797" s="8">
        <v>72</v>
      </c>
      <c r="E12797" s="8">
        <v>0</v>
      </c>
      <c r="F12797" s="8">
        <v>0</v>
      </c>
      <c r="G12797" s="8">
        <v>19</v>
      </c>
      <c r="H12797" s="8" t="s">
        <v>51232</v>
      </c>
      <c r="I12797" s="8">
        <v>532.3125</v>
      </c>
      <c r="J12797" s="3">
        <f t="shared" si="199"/>
        <v>43749.425952812497</v>
      </c>
    </row>
    <row r="12798" spans="1:10" x14ac:dyDescent="0.25">
      <c r="A12798" s="5" t="s">
        <v>51233</v>
      </c>
      <c r="B12798" s="6">
        <v>393.75</v>
      </c>
      <c r="C12798" s="6">
        <v>20.478950000000001</v>
      </c>
      <c r="D12798" s="6">
        <v>71</v>
      </c>
      <c r="E12798" s="6">
        <v>0</v>
      </c>
      <c r="F12798" s="6">
        <v>0</v>
      </c>
      <c r="G12798" s="6">
        <v>20</v>
      </c>
      <c r="H12798" s="6" t="s">
        <v>51234</v>
      </c>
      <c r="I12798" s="6">
        <v>526.6875</v>
      </c>
      <c r="J12798" s="2">
        <f t="shared" si="199"/>
        <v>43749.426036631943</v>
      </c>
    </row>
    <row r="12799" spans="1:10" x14ac:dyDescent="0.25">
      <c r="A12799" s="7" t="s">
        <v>51235</v>
      </c>
      <c r="B12799" s="8">
        <v>393.75</v>
      </c>
      <c r="C12799" s="8">
        <v>20.478950000000001</v>
      </c>
      <c r="D12799" s="8">
        <v>71</v>
      </c>
      <c r="E12799" s="8">
        <v>0</v>
      </c>
      <c r="F12799" s="8">
        <v>0</v>
      </c>
      <c r="G12799" s="8">
        <v>13</v>
      </c>
      <c r="H12799" s="8" t="s">
        <v>51236</v>
      </c>
      <c r="I12799" s="8">
        <v>526.6875</v>
      </c>
      <c r="J12799" s="3">
        <f t="shared" si="199"/>
        <v>43749.426131990738</v>
      </c>
    </row>
    <row r="12800" spans="1:10" x14ac:dyDescent="0.25">
      <c r="A12800" s="5" t="s">
        <v>51237</v>
      </c>
      <c r="B12800" s="6">
        <v>393.75</v>
      </c>
      <c r="C12800" s="6">
        <v>20.478950000000001</v>
      </c>
      <c r="D12800" s="6">
        <v>70</v>
      </c>
      <c r="E12800" s="6">
        <v>0</v>
      </c>
      <c r="F12800" s="6">
        <v>0</v>
      </c>
      <c r="G12800" s="6">
        <v>18</v>
      </c>
      <c r="H12800" s="6" t="s">
        <v>51238</v>
      </c>
      <c r="I12800" s="6">
        <v>526.6875</v>
      </c>
      <c r="J12800" s="2">
        <f t="shared" si="199"/>
        <v>43749.426227581018</v>
      </c>
    </row>
    <row r="12801" spans="1:10" x14ac:dyDescent="0.25">
      <c r="A12801" s="7" t="s">
        <v>51239</v>
      </c>
      <c r="B12801" s="8">
        <v>393.75</v>
      </c>
      <c r="C12801" s="8">
        <v>20.478950000000001</v>
      </c>
      <c r="D12801" s="8">
        <v>71</v>
      </c>
      <c r="E12801" s="8">
        <v>0</v>
      </c>
      <c r="F12801" s="8">
        <v>0</v>
      </c>
      <c r="G12801" s="8">
        <v>19</v>
      </c>
      <c r="H12801" s="8" t="s">
        <v>51240</v>
      </c>
      <c r="I12801" s="8">
        <v>526.5</v>
      </c>
      <c r="J12801" s="3">
        <f t="shared" si="199"/>
        <v>43749.42629899305</v>
      </c>
    </row>
    <row r="12802" spans="1:10" x14ac:dyDescent="0.25">
      <c r="A12802" s="5" t="s">
        <v>51241</v>
      </c>
      <c r="B12802" s="6">
        <v>393.75</v>
      </c>
      <c r="C12802" s="6">
        <v>20.478950000000001</v>
      </c>
      <c r="D12802" s="6">
        <v>71</v>
      </c>
      <c r="E12802" s="6">
        <v>0</v>
      </c>
      <c r="F12802" s="6">
        <v>0</v>
      </c>
      <c r="G12802" s="6">
        <v>16</v>
      </c>
      <c r="H12802" s="6" t="s">
        <v>51242</v>
      </c>
      <c r="I12802" s="6">
        <v>526.5</v>
      </c>
      <c r="J12802" s="2">
        <f t="shared" ref="J12802:J12865" si="200">(H12802/86400000)+25569+(7/24)</f>
        <v>43749.426370509253</v>
      </c>
    </row>
    <row r="12803" spans="1:10" x14ac:dyDescent="0.25">
      <c r="A12803" s="7" t="s">
        <v>51243</v>
      </c>
      <c r="B12803" s="8">
        <v>393.75</v>
      </c>
      <c r="C12803" s="8">
        <v>20.478950000000001</v>
      </c>
      <c r="D12803" s="8">
        <v>71</v>
      </c>
      <c r="E12803" s="8">
        <v>0</v>
      </c>
      <c r="F12803" s="8">
        <v>0</v>
      </c>
      <c r="G12803" s="8">
        <v>29</v>
      </c>
      <c r="H12803" s="8" t="s">
        <v>51244</v>
      </c>
      <c r="I12803" s="8">
        <v>526.6875</v>
      </c>
      <c r="J12803" s="3">
        <f t="shared" si="200"/>
        <v>43749.426453981483</v>
      </c>
    </row>
    <row r="12804" spans="1:10" x14ac:dyDescent="0.25">
      <c r="A12804" s="5" t="s">
        <v>51245</v>
      </c>
      <c r="B12804" s="6">
        <v>393.75</v>
      </c>
      <c r="C12804" s="6">
        <v>20.478950000000001</v>
      </c>
      <c r="D12804" s="6">
        <v>71</v>
      </c>
      <c r="E12804" s="6">
        <v>0</v>
      </c>
      <c r="F12804" s="6">
        <v>0</v>
      </c>
      <c r="G12804" s="6">
        <v>12</v>
      </c>
      <c r="H12804" s="6" t="s">
        <v>51246</v>
      </c>
      <c r="I12804" s="6">
        <v>526.6875</v>
      </c>
      <c r="J12804" s="2">
        <f t="shared" si="200"/>
        <v>43749.426537569445</v>
      </c>
    </row>
    <row r="12805" spans="1:10" x14ac:dyDescent="0.25">
      <c r="A12805" s="7" t="s">
        <v>51247</v>
      </c>
      <c r="B12805" s="8">
        <v>393.75</v>
      </c>
      <c r="C12805" s="8">
        <v>20.478950000000001</v>
      </c>
      <c r="D12805" s="8">
        <v>71</v>
      </c>
      <c r="E12805" s="8">
        <v>0</v>
      </c>
      <c r="F12805" s="8">
        <v>0</v>
      </c>
      <c r="G12805" s="8">
        <v>18</v>
      </c>
      <c r="H12805" s="8" t="s">
        <v>51248</v>
      </c>
      <c r="I12805" s="8">
        <v>526.6875</v>
      </c>
      <c r="J12805" s="3">
        <f t="shared" si="200"/>
        <v>43749.426609166665</v>
      </c>
    </row>
    <row r="12806" spans="1:10" x14ac:dyDescent="0.25">
      <c r="A12806" s="5" t="s">
        <v>51249</v>
      </c>
      <c r="B12806" s="6">
        <v>393.75</v>
      </c>
      <c r="C12806" s="6">
        <v>20.478950000000001</v>
      </c>
      <c r="D12806" s="6">
        <v>70</v>
      </c>
      <c r="E12806" s="6">
        <v>0</v>
      </c>
      <c r="F12806" s="6">
        <v>0</v>
      </c>
      <c r="G12806" s="6">
        <v>14</v>
      </c>
      <c r="H12806" s="6" t="s">
        <v>51250</v>
      </c>
      <c r="I12806" s="6">
        <v>526.6875</v>
      </c>
      <c r="J12806" s="2">
        <f t="shared" si="200"/>
        <v>43749.426680590281</v>
      </c>
    </row>
    <row r="12807" spans="1:10" x14ac:dyDescent="0.25">
      <c r="A12807" s="7" t="s">
        <v>51251</v>
      </c>
      <c r="B12807" s="8">
        <v>425</v>
      </c>
      <c r="C12807" s="8">
        <v>20.478950000000001</v>
      </c>
      <c r="D12807" s="8">
        <v>70</v>
      </c>
      <c r="E12807" s="8">
        <v>0</v>
      </c>
      <c r="F12807" s="8">
        <v>0</v>
      </c>
      <c r="G12807" s="8">
        <v>18</v>
      </c>
      <c r="H12807" s="8" t="s">
        <v>51252</v>
      </c>
      <c r="I12807" s="8">
        <v>536.625</v>
      </c>
      <c r="J12807" s="3">
        <f t="shared" si="200"/>
        <v>43749.426763807867</v>
      </c>
    </row>
    <row r="12808" spans="1:10" x14ac:dyDescent="0.25">
      <c r="A12808" s="5" t="s">
        <v>51253</v>
      </c>
      <c r="B12808" s="6">
        <v>393.75</v>
      </c>
      <c r="C12808" s="6">
        <v>20.478950000000001</v>
      </c>
      <c r="D12808" s="6">
        <v>70</v>
      </c>
      <c r="E12808" s="6">
        <v>0</v>
      </c>
      <c r="F12808" s="6">
        <v>0</v>
      </c>
      <c r="G12808" s="6">
        <v>5</v>
      </c>
      <c r="H12808" s="6" t="s">
        <v>51254</v>
      </c>
      <c r="I12808" s="6">
        <v>526.6875</v>
      </c>
      <c r="J12808" s="2">
        <f t="shared" si="200"/>
        <v>43749.426835555554</v>
      </c>
    </row>
    <row r="12809" spans="1:10" x14ac:dyDescent="0.25">
      <c r="A12809" s="7" t="s">
        <v>51255</v>
      </c>
      <c r="B12809" s="8">
        <v>393.75</v>
      </c>
      <c r="C12809" s="8">
        <v>20.478950000000001</v>
      </c>
      <c r="D12809" s="8">
        <v>71</v>
      </c>
      <c r="E12809" s="8">
        <v>0</v>
      </c>
      <c r="F12809" s="8">
        <v>0</v>
      </c>
      <c r="G12809" s="8">
        <v>9</v>
      </c>
      <c r="H12809" s="8" t="s">
        <v>51256</v>
      </c>
      <c r="I12809" s="8">
        <v>526.6875</v>
      </c>
      <c r="J12809" s="3">
        <f t="shared" si="200"/>
        <v>43749.426919120371</v>
      </c>
    </row>
    <row r="12810" spans="1:10" x14ac:dyDescent="0.25">
      <c r="A12810" s="5" t="s">
        <v>51257</v>
      </c>
      <c r="B12810" s="6">
        <v>412.5</v>
      </c>
      <c r="C12810" s="6">
        <v>20.478950000000001</v>
      </c>
      <c r="D12810" s="6">
        <v>71</v>
      </c>
      <c r="E12810" s="6">
        <v>0</v>
      </c>
      <c r="F12810" s="6">
        <v>0</v>
      </c>
      <c r="G12810" s="6">
        <v>8</v>
      </c>
      <c r="H12810" s="6" t="s">
        <v>51258</v>
      </c>
      <c r="I12810" s="6">
        <v>532.3125</v>
      </c>
      <c r="J12810" s="2">
        <f t="shared" si="200"/>
        <v>43749.427002581018</v>
      </c>
    </row>
    <row r="12811" spans="1:10" x14ac:dyDescent="0.25">
      <c r="A12811" s="7" t="s">
        <v>51259</v>
      </c>
      <c r="B12811" s="8">
        <v>393.75</v>
      </c>
      <c r="C12811" s="8">
        <v>20.478950000000001</v>
      </c>
      <c r="D12811" s="8">
        <v>72</v>
      </c>
      <c r="E12811" s="8">
        <v>0</v>
      </c>
      <c r="F12811" s="8">
        <v>0</v>
      </c>
      <c r="G12811" s="8">
        <v>8</v>
      </c>
      <c r="H12811" s="8" t="s">
        <v>51260</v>
      </c>
      <c r="I12811" s="8">
        <v>526.6875</v>
      </c>
      <c r="J12811" s="3">
        <f t="shared" si="200"/>
        <v>43749.427086249998</v>
      </c>
    </row>
    <row r="12812" spans="1:10" x14ac:dyDescent="0.25">
      <c r="A12812" s="5" t="s">
        <v>51261</v>
      </c>
      <c r="B12812" s="6">
        <v>393.75</v>
      </c>
      <c r="C12812" s="6">
        <v>20.478950000000001</v>
      </c>
      <c r="D12812" s="6">
        <v>70</v>
      </c>
      <c r="E12812" s="6">
        <v>0</v>
      </c>
      <c r="F12812" s="6">
        <v>0</v>
      </c>
      <c r="G12812" s="6">
        <v>9</v>
      </c>
      <c r="H12812" s="6" t="s">
        <v>51262</v>
      </c>
      <c r="I12812" s="6">
        <v>526.6875</v>
      </c>
      <c r="J12812" s="2">
        <f t="shared" si="200"/>
        <v>43749.42716958333</v>
      </c>
    </row>
    <row r="12813" spans="1:10" x14ac:dyDescent="0.25">
      <c r="A12813" s="7" t="s">
        <v>51263</v>
      </c>
      <c r="B12813" s="8">
        <v>393.75</v>
      </c>
      <c r="C12813" s="8">
        <v>20.478950000000001</v>
      </c>
      <c r="D12813" s="8">
        <v>71</v>
      </c>
      <c r="E12813" s="8">
        <v>0</v>
      </c>
      <c r="F12813" s="8">
        <v>0</v>
      </c>
      <c r="G12813" s="8">
        <v>5</v>
      </c>
      <c r="H12813" s="8" t="s">
        <v>51264</v>
      </c>
      <c r="I12813" s="8">
        <v>526.6875</v>
      </c>
      <c r="J12813" s="3">
        <f t="shared" si="200"/>
        <v>43749.427252800924</v>
      </c>
    </row>
    <row r="12814" spans="1:10" x14ac:dyDescent="0.25">
      <c r="A12814" s="5" t="s">
        <v>51265</v>
      </c>
      <c r="B12814" s="6">
        <v>393.75</v>
      </c>
      <c r="C12814" s="6">
        <v>20.478950000000001</v>
      </c>
      <c r="D12814" s="6">
        <v>71</v>
      </c>
      <c r="E12814" s="6">
        <v>0</v>
      </c>
      <c r="F12814" s="6">
        <v>0</v>
      </c>
      <c r="G12814" s="6">
        <v>11</v>
      </c>
      <c r="H12814" s="6" t="s">
        <v>51266</v>
      </c>
      <c r="I12814" s="6">
        <v>526.6875</v>
      </c>
      <c r="J12814" s="2">
        <f t="shared" si="200"/>
        <v>43749.427324560187</v>
      </c>
    </row>
    <row r="12815" spans="1:10" x14ac:dyDescent="0.25">
      <c r="A12815" s="7" t="s">
        <v>51267</v>
      </c>
      <c r="B12815" s="8">
        <v>412.5</v>
      </c>
      <c r="C12815" s="8">
        <v>20.478950000000001</v>
      </c>
      <c r="D12815" s="8">
        <v>71</v>
      </c>
      <c r="E12815" s="8">
        <v>0</v>
      </c>
      <c r="F12815" s="8">
        <v>0</v>
      </c>
      <c r="G12815" s="8">
        <v>10</v>
      </c>
      <c r="H12815" s="8" t="s">
        <v>51268</v>
      </c>
      <c r="I12815" s="8">
        <v>532.3125</v>
      </c>
      <c r="J12815" s="3">
        <f t="shared" si="200"/>
        <v>43749.427408263888</v>
      </c>
    </row>
    <row r="12816" spans="1:10" x14ac:dyDescent="0.25">
      <c r="A12816" s="5" t="s">
        <v>51269</v>
      </c>
      <c r="B12816" s="6">
        <v>393.75</v>
      </c>
      <c r="C12816" s="6">
        <v>20.478950000000001</v>
      </c>
      <c r="D12816" s="6">
        <v>73</v>
      </c>
      <c r="E12816" s="6">
        <v>0</v>
      </c>
      <c r="F12816" s="6">
        <v>0</v>
      </c>
      <c r="G12816" s="6">
        <v>11</v>
      </c>
      <c r="H12816" s="6" t="s">
        <v>51270</v>
      </c>
      <c r="I12816" s="6">
        <v>526.6875</v>
      </c>
      <c r="J12816" s="2">
        <f t="shared" si="200"/>
        <v>43749.427491712959</v>
      </c>
    </row>
    <row r="12817" spans="1:10" x14ac:dyDescent="0.25">
      <c r="A12817" s="7" t="s">
        <v>51271</v>
      </c>
      <c r="B12817" s="8">
        <v>393.75</v>
      </c>
      <c r="C12817" s="8">
        <v>20.478950000000001</v>
      </c>
      <c r="D12817" s="8">
        <v>75</v>
      </c>
      <c r="E12817" s="8">
        <v>0</v>
      </c>
      <c r="F12817" s="8">
        <v>0</v>
      </c>
      <c r="G12817" s="8">
        <v>19</v>
      </c>
      <c r="H12817" s="8" t="s">
        <v>51272</v>
      </c>
      <c r="I12817" s="8">
        <v>526.6875</v>
      </c>
      <c r="J12817" s="3">
        <f t="shared" si="200"/>
        <v>43749.427574930553</v>
      </c>
    </row>
    <row r="12818" spans="1:10" x14ac:dyDescent="0.25">
      <c r="A12818" s="5" t="s">
        <v>51273</v>
      </c>
      <c r="B12818" s="6">
        <v>393.75</v>
      </c>
      <c r="C12818" s="6">
        <v>20.478950000000001</v>
      </c>
      <c r="D12818" s="6">
        <v>75</v>
      </c>
      <c r="E12818" s="6">
        <v>0</v>
      </c>
      <c r="F12818" s="6">
        <v>0</v>
      </c>
      <c r="G12818" s="6">
        <v>16</v>
      </c>
      <c r="H12818" s="6" t="s">
        <v>51274</v>
      </c>
      <c r="I12818" s="6">
        <v>526.6875</v>
      </c>
      <c r="J12818" s="2">
        <f t="shared" si="200"/>
        <v>43749.427659259258</v>
      </c>
    </row>
    <row r="12819" spans="1:10" x14ac:dyDescent="0.25">
      <c r="A12819" s="7" t="s">
        <v>51275</v>
      </c>
      <c r="B12819" s="8">
        <v>393.75</v>
      </c>
      <c r="C12819" s="8">
        <v>20.478950000000001</v>
      </c>
      <c r="D12819" s="8">
        <v>73</v>
      </c>
      <c r="E12819" s="8">
        <v>0</v>
      </c>
      <c r="F12819" s="8">
        <v>0</v>
      </c>
      <c r="G12819" s="8">
        <v>8</v>
      </c>
      <c r="H12819" s="8" t="s">
        <v>51276</v>
      </c>
      <c r="I12819" s="8">
        <v>526.6875</v>
      </c>
      <c r="J12819" s="3">
        <f t="shared" si="200"/>
        <v>43749.42774180555</v>
      </c>
    </row>
    <row r="12820" spans="1:10" x14ac:dyDescent="0.25">
      <c r="A12820" s="5" t="s">
        <v>51277</v>
      </c>
      <c r="B12820" s="6">
        <v>393.75</v>
      </c>
      <c r="C12820" s="6">
        <v>20.478950000000001</v>
      </c>
      <c r="D12820" s="6">
        <v>73</v>
      </c>
      <c r="E12820" s="6">
        <v>0</v>
      </c>
      <c r="F12820" s="6">
        <v>0</v>
      </c>
      <c r="G12820" s="6">
        <v>18</v>
      </c>
      <c r="H12820" s="6" t="s">
        <v>51278</v>
      </c>
      <c r="I12820" s="6">
        <v>526.6875</v>
      </c>
      <c r="J12820" s="2">
        <f t="shared" si="200"/>
        <v>43749.427813344904</v>
      </c>
    </row>
    <row r="12821" spans="1:10" x14ac:dyDescent="0.25">
      <c r="A12821" s="7" t="s">
        <v>51279</v>
      </c>
      <c r="B12821" s="8">
        <v>393.75</v>
      </c>
      <c r="C12821" s="8">
        <v>20.478950000000001</v>
      </c>
      <c r="D12821" s="8">
        <v>73</v>
      </c>
      <c r="E12821" s="8">
        <v>0</v>
      </c>
      <c r="F12821" s="8">
        <v>0</v>
      </c>
      <c r="G12821" s="8">
        <v>19</v>
      </c>
      <c r="H12821" s="8" t="s">
        <v>51280</v>
      </c>
      <c r="I12821" s="8">
        <v>526.6875</v>
      </c>
      <c r="J12821" s="3">
        <f t="shared" si="200"/>
        <v>43749.427897268521</v>
      </c>
    </row>
    <row r="12822" spans="1:10" x14ac:dyDescent="0.25">
      <c r="A12822" s="5" t="s">
        <v>51281</v>
      </c>
      <c r="B12822" s="6">
        <v>393.75</v>
      </c>
      <c r="C12822" s="6">
        <v>20.478950000000001</v>
      </c>
      <c r="D12822" s="6">
        <v>73</v>
      </c>
      <c r="E12822" s="6">
        <v>0</v>
      </c>
      <c r="F12822" s="6">
        <v>0</v>
      </c>
      <c r="G12822" s="6">
        <v>16</v>
      </c>
      <c r="H12822" s="6" t="s">
        <v>51282</v>
      </c>
      <c r="I12822" s="6">
        <v>526.6875</v>
      </c>
      <c r="J12822" s="2">
        <f t="shared" si="200"/>
        <v>43749.427980590277</v>
      </c>
    </row>
    <row r="12823" spans="1:10" x14ac:dyDescent="0.25">
      <c r="A12823" s="7" t="s">
        <v>51283</v>
      </c>
      <c r="B12823" s="8">
        <v>393.75</v>
      </c>
      <c r="C12823" s="8">
        <v>20.478950000000001</v>
      </c>
      <c r="D12823" s="8">
        <v>73</v>
      </c>
      <c r="E12823" s="8">
        <v>0</v>
      </c>
      <c r="F12823" s="8">
        <v>0</v>
      </c>
      <c r="G12823" s="8">
        <v>21</v>
      </c>
      <c r="H12823" s="8" t="s">
        <v>51284</v>
      </c>
      <c r="I12823" s="8">
        <v>526.6875</v>
      </c>
      <c r="J12823" s="3">
        <f t="shared" si="200"/>
        <v>43749.428063888881</v>
      </c>
    </row>
    <row r="12824" spans="1:10" x14ac:dyDescent="0.25">
      <c r="A12824" s="5" t="s">
        <v>51285</v>
      </c>
      <c r="B12824" s="6">
        <v>393.75</v>
      </c>
      <c r="C12824" s="6">
        <v>20.478950000000001</v>
      </c>
      <c r="D12824" s="6">
        <v>73</v>
      </c>
      <c r="E12824" s="6">
        <v>0</v>
      </c>
      <c r="F12824" s="6">
        <v>0</v>
      </c>
      <c r="G12824" s="6">
        <v>15</v>
      </c>
      <c r="H12824" s="6" t="s">
        <v>51286</v>
      </c>
      <c r="I12824" s="6">
        <v>526.6875</v>
      </c>
      <c r="J12824" s="2">
        <f t="shared" si="200"/>
        <v>43749.428135567126</v>
      </c>
    </row>
    <row r="12825" spans="1:10" x14ac:dyDescent="0.25">
      <c r="A12825" s="7" t="s">
        <v>51287</v>
      </c>
      <c r="B12825" s="8">
        <v>415.625</v>
      </c>
      <c r="C12825" s="8">
        <v>20.478950000000001</v>
      </c>
      <c r="D12825" s="8">
        <v>73</v>
      </c>
      <c r="E12825" s="8">
        <v>0</v>
      </c>
      <c r="F12825" s="8">
        <v>0</v>
      </c>
      <c r="G12825" s="8">
        <v>12</v>
      </c>
      <c r="H12825" s="8" t="s">
        <v>51288</v>
      </c>
      <c r="I12825" s="8">
        <v>533.0625</v>
      </c>
      <c r="J12825" s="3">
        <f t="shared" si="200"/>
        <v>43749.428219131943</v>
      </c>
    </row>
    <row r="12826" spans="1:10" x14ac:dyDescent="0.25">
      <c r="A12826" s="5" t="s">
        <v>51289</v>
      </c>
      <c r="B12826" s="6">
        <v>393.75</v>
      </c>
      <c r="C12826" s="6">
        <v>20.478950000000001</v>
      </c>
      <c r="D12826" s="6">
        <v>72</v>
      </c>
      <c r="E12826" s="6">
        <v>0</v>
      </c>
      <c r="F12826" s="6">
        <v>0</v>
      </c>
      <c r="G12826" s="6">
        <v>18</v>
      </c>
      <c r="H12826" s="6" t="s">
        <v>51290</v>
      </c>
      <c r="I12826" s="6">
        <v>526.6875</v>
      </c>
      <c r="J12826" s="2">
        <f t="shared" si="200"/>
        <v>43749.428302581015</v>
      </c>
    </row>
    <row r="12827" spans="1:10" x14ac:dyDescent="0.25">
      <c r="A12827" s="7" t="s">
        <v>51291</v>
      </c>
      <c r="B12827" s="8">
        <v>393.75</v>
      </c>
      <c r="C12827" s="8">
        <v>20.478950000000001</v>
      </c>
      <c r="D12827" s="8">
        <v>73</v>
      </c>
      <c r="E12827" s="8">
        <v>0</v>
      </c>
      <c r="F12827" s="8">
        <v>0</v>
      </c>
      <c r="G12827" s="8">
        <v>21</v>
      </c>
      <c r="H12827" s="8" t="s">
        <v>51292</v>
      </c>
      <c r="I12827" s="8">
        <v>526.6875</v>
      </c>
      <c r="J12827" s="3">
        <f t="shared" si="200"/>
        <v>43749.428385995365</v>
      </c>
    </row>
    <row r="12828" spans="1:10" x14ac:dyDescent="0.25">
      <c r="A12828" s="5" t="s">
        <v>51293</v>
      </c>
      <c r="B12828" s="6">
        <v>393.75</v>
      </c>
      <c r="C12828" s="6">
        <v>20.478950000000001</v>
      </c>
      <c r="D12828" s="6">
        <v>76</v>
      </c>
      <c r="E12828" s="6">
        <v>0</v>
      </c>
      <c r="F12828" s="6">
        <v>0</v>
      </c>
      <c r="G12828" s="6">
        <v>11</v>
      </c>
      <c r="H12828" s="6" t="s">
        <v>51294</v>
      </c>
      <c r="I12828" s="6">
        <v>526.6875</v>
      </c>
      <c r="J12828" s="2">
        <f t="shared" si="200"/>
        <v>43749.42846959491</v>
      </c>
    </row>
    <row r="12829" spans="1:10" x14ac:dyDescent="0.25">
      <c r="A12829" s="7" t="s">
        <v>51295</v>
      </c>
      <c r="B12829" s="8">
        <v>393.75</v>
      </c>
      <c r="C12829" s="8">
        <v>20.478950000000001</v>
      </c>
      <c r="D12829" s="8">
        <v>76</v>
      </c>
      <c r="E12829" s="8">
        <v>0</v>
      </c>
      <c r="F12829" s="8">
        <v>0</v>
      </c>
      <c r="G12829" s="8">
        <v>16</v>
      </c>
      <c r="H12829" s="8" t="s">
        <v>51296</v>
      </c>
      <c r="I12829" s="8">
        <v>526.6875</v>
      </c>
      <c r="J12829" s="3">
        <f t="shared" si="200"/>
        <v>43749.428552800928</v>
      </c>
    </row>
    <row r="12830" spans="1:10" x14ac:dyDescent="0.25">
      <c r="A12830" s="5" t="s">
        <v>51297</v>
      </c>
      <c r="B12830" s="6">
        <v>393.75</v>
      </c>
      <c r="C12830" s="6">
        <v>20.478950000000001</v>
      </c>
      <c r="D12830" s="6">
        <v>76</v>
      </c>
      <c r="E12830" s="6">
        <v>0</v>
      </c>
      <c r="F12830" s="6">
        <v>0</v>
      </c>
      <c r="G12830" s="6">
        <v>9</v>
      </c>
      <c r="H12830" s="6" t="s">
        <v>51298</v>
      </c>
      <c r="I12830" s="6">
        <v>526.6875</v>
      </c>
      <c r="J12830" s="2">
        <f t="shared" si="200"/>
        <v>43749.428624571759</v>
      </c>
    </row>
    <row r="12831" spans="1:10" x14ac:dyDescent="0.25">
      <c r="A12831" s="7" t="s">
        <v>51299</v>
      </c>
      <c r="B12831" s="8">
        <v>393.75</v>
      </c>
      <c r="C12831" s="8">
        <v>20.478950000000001</v>
      </c>
      <c r="D12831" s="8">
        <v>76</v>
      </c>
      <c r="E12831" s="8">
        <v>0</v>
      </c>
      <c r="F12831" s="8">
        <v>0</v>
      </c>
      <c r="G12831" s="8">
        <v>13</v>
      </c>
      <c r="H12831" s="8" t="s">
        <v>51300</v>
      </c>
      <c r="I12831" s="8">
        <v>526.6875</v>
      </c>
      <c r="J12831" s="3">
        <f t="shared" si="200"/>
        <v>43749.42870837963</v>
      </c>
    </row>
    <row r="12832" spans="1:10" x14ac:dyDescent="0.25">
      <c r="A12832" s="5" t="s">
        <v>51301</v>
      </c>
      <c r="B12832" s="6">
        <v>393.75</v>
      </c>
      <c r="C12832" s="6">
        <v>20.478950000000001</v>
      </c>
      <c r="D12832" s="6">
        <v>76</v>
      </c>
      <c r="E12832" s="6">
        <v>0</v>
      </c>
      <c r="F12832" s="6">
        <v>0</v>
      </c>
      <c r="G12832" s="6">
        <v>12</v>
      </c>
      <c r="H12832" s="6" t="s">
        <v>51302</v>
      </c>
      <c r="I12832" s="6">
        <v>526.6875</v>
      </c>
      <c r="J12832" s="2">
        <f t="shared" si="200"/>
        <v>43749.428791574072</v>
      </c>
    </row>
    <row r="12833" spans="1:10" x14ac:dyDescent="0.25">
      <c r="A12833" s="7" t="s">
        <v>51303</v>
      </c>
      <c r="B12833" s="8">
        <v>393.75</v>
      </c>
      <c r="C12833" s="8">
        <v>20.478950000000001</v>
      </c>
      <c r="D12833" s="8">
        <v>76</v>
      </c>
      <c r="E12833" s="8">
        <v>0</v>
      </c>
      <c r="F12833" s="8">
        <v>0</v>
      </c>
      <c r="G12833" s="8">
        <v>13</v>
      </c>
      <c r="H12833" s="8" t="s">
        <v>51304</v>
      </c>
      <c r="I12833" s="8">
        <v>526.5</v>
      </c>
      <c r="J12833" s="3">
        <f t="shared" si="200"/>
        <v>43749.428890289353</v>
      </c>
    </row>
    <row r="12834" spans="1:10" x14ac:dyDescent="0.25">
      <c r="A12834" s="5" t="s">
        <v>51305</v>
      </c>
      <c r="B12834" s="6">
        <v>393.75</v>
      </c>
      <c r="C12834" s="6">
        <v>20.478950000000001</v>
      </c>
      <c r="D12834" s="6">
        <v>75</v>
      </c>
      <c r="E12834" s="6">
        <v>0</v>
      </c>
      <c r="F12834" s="6">
        <v>0</v>
      </c>
      <c r="G12834" s="6">
        <v>13</v>
      </c>
      <c r="H12834" s="6" t="s">
        <v>51306</v>
      </c>
      <c r="I12834" s="6">
        <v>526.5</v>
      </c>
      <c r="J12834" s="2">
        <f t="shared" si="200"/>
        <v>43749.428970381945</v>
      </c>
    </row>
    <row r="12835" spans="1:10" x14ac:dyDescent="0.25">
      <c r="A12835" s="7" t="s">
        <v>51307</v>
      </c>
      <c r="B12835" s="8">
        <v>393.75</v>
      </c>
      <c r="C12835" s="8">
        <v>20.478950000000001</v>
      </c>
      <c r="D12835" s="8">
        <v>75</v>
      </c>
      <c r="E12835" s="8">
        <v>0</v>
      </c>
      <c r="F12835" s="8">
        <v>0</v>
      </c>
      <c r="G12835" s="8">
        <v>17</v>
      </c>
      <c r="H12835" s="8" t="s">
        <v>51308</v>
      </c>
      <c r="I12835" s="8">
        <v>526.6875</v>
      </c>
      <c r="J12835" s="3">
        <f t="shared" si="200"/>
        <v>43749.429053946755</v>
      </c>
    </row>
    <row r="12836" spans="1:10" x14ac:dyDescent="0.25">
      <c r="A12836" s="5" t="s">
        <v>51309</v>
      </c>
      <c r="B12836" s="6">
        <v>393.75</v>
      </c>
      <c r="C12836" s="6">
        <v>20.478950000000001</v>
      </c>
      <c r="D12836" s="6">
        <v>76</v>
      </c>
      <c r="E12836" s="6">
        <v>0</v>
      </c>
      <c r="F12836" s="6">
        <v>0</v>
      </c>
      <c r="G12836" s="6">
        <v>15</v>
      </c>
      <c r="H12836" s="6" t="s">
        <v>51310</v>
      </c>
      <c r="I12836" s="6">
        <v>526.6875</v>
      </c>
      <c r="J12836" s="2">
        <f t="shared" si="200"/>
        <v>43749.429161168977</v>
      </c>
    </row>
    <row r="12837" spans="1:10" x14ac:dyDescent="0.25">
      <c r="A12837" s="7" t="s">
        <v>51311</v>
      </c>
      <c r="B12837" s="8">
        <v>393.75</v>
      </c>
      <c r="C12837" s="8">
        <v>20.478950000000001</v>
      </c>
      <c r="D12837" s="8">
        <v>76</v>
      </c>
      <c r="E12837" s="8">
        <v>0</v>
      </c>
      <c r="F12837" s="8">
        <v>0</v>
      </c>
      <c r="G12837" s="8">
        <v>21</v>
      </c>
      <c r="H12837" s="8" t="s">
        <v>51312</v>
      </c>
      <c r="I12837" s="8">
        <v>526.6875</v>
      </c>
      <c r="J12837" s="3">
        <f t="shared" si="200"/>
        <v>43749.429244710649</v>
      </c>
    </row>
    <row r="12838" spans="1:10" x14ac:dyDescent="0.25">
      <c r="A12838" s="5" t="s">
        <v>51313</v>
      </c>
      <c r="B12838" s="6">
        <v>412.5</v>
      </c>
      <c r="C12838" s="6">
        <v>20.478950000000001</v>
      </c>
      <c r="D12838" s="6">
        <v>75</v>
      </c>
      <c r="E12838" s="6">
        <v>0</v>
      </c>
      <c r="F12838" s="6">
        <v>0</v>
      </c>
      <c r="G12838" s="6">
        <v>20</v>
      </c>
      <c r="H12838" s="6" t="s">
        <v>51314</v>
      </c>
      <c r="I12838" s="6">
        <v>532.3125</v>
      </c>
      <c r="J12838" s="2">
        <f t="shared" si="200"/>
        <v>43749.429328252314</v>
      </c>
    </row>
    <row r="12839" spans="1:10" x14ac:dyDescent="0.25">
      <c r="A12839" s="7" t="s">
        <v>51315</v>
      </c>
      <c r="B12839" s="8">
        <v>393.75</v>
      </c>
      <c r="C12839" s="8">
        <v>20.478950000000001</v>
      </c>
      <c r="D12839" s="8">
        <v>76</v>
      </c>
      <c r="E12839" s="8">
        <v>0</v>
      </c>
      <c r="F12839" s="8">
        <v>0</v>
      </c>
      <c r="G12839" s="8">
        <v>12</v>
      </c>
      <c r="H12839" s="8" t="s">
        <v>51316</v>
      </c>
      <c r="I12839" s="8">
        <v>526.6875</v>
      </c>
      <c r="J12839" s="3">
        <f t="shared" si="200"/>
        <v>43749.429411701385</v>
      </c>
    </row>
    <row r="12840" spans="1:10" x14ac:dyDescent="0.25">
      <c r="A12840" s="5" t="s">
        <v>51317</v>
      </c>
      <c r="B12840" s="6">
        <v>393.75</v>
      </c>
      <c r="C12840" s="6">
        <v>20.478950000000001</v>
      </c>
      <c r="D12840" s="6">
        <v>76</v>
      </c>
      <c r="E12840" s="6">
        <v>0</v>
      </c>
      <c r="F12840" s="6">
        <v>0</v>
      </c>
      <c r="G12840" s="6">
        <v>10</v>
      </c>
      <c r="H12840" s="6" t="s">
        <v>51318</v>
      </c>
      <c r="I12840" s="6">
        <v>526.6875</v>
      </c>
      <c r="J12840" s="2">
        <f t="shared" si="200"/>
        <v>43749.429495173608</v>
      </c>
    </row>
    <row r="12841" spans="1:10" x14ac:dyDescent="0.25">
      <c r="A12841" s="7" t="s">
        <v>51319</v>
      </c>
      <c r="B12841" s="8">
        <v>393.75</v>
      </c>
      <c r="C12841" s="8">
        <v>20.478950000000001</v>
      </c>
      <c r="D12841" s="8">
        <v>76</v>
      </c>
      <c r="E12841" s="8">
        <v>0</v>
      </c>
      <c r="F12841" s="8">
        <v>0</v>
      </c>
      <c r="G12841" s="8">
        <v>15</v>
      </c>
      <c r="H12841" s="8" t="s">
        <v>51320</v>
      </c>
      <c r="I12841" s="8">
        <v>526.6875</v>
      </c>
      <c r="J12841" s="3">
        <f t="shared" si="200"/>
        <v>43749.429578726849</v>
      </c>
    </row>
    <row r="12842" spans="1:10" x14ac:dyDescent="0.25">
      <c r="A12842" s="5" t="s">
        <v>51321</v>
      </c>
      <c r="B12842" s="6">
        <v>393.75</v>
      </c>
      <c r="C12842" s="6">
        <v>20.478950000000001</v>
      </c>
      <c r="D12842" s="6">
        <v>76</v>
      </c>
      <c r="E12842" s="6">
        <v>0</v>
      </c>
      <c r="F12842" s="6">
        <v>0</v>
      </c>
      <c r="G12842" s="6">
        <v>19</v>
      </c>
      <c r="H12842" s="6" t="s">
        <v>51322</v>
      </c>
      <c r="I12842" s="6">
        <v>526.6875</v>
      </c>
      <c r="J12842" s="2">
        <f t="shared" si="200"/>
        <v>43749.429661944443</v>
      </c>
    </row>
    <row r="12843" spans="1:10" x14ac:dyDescent="0.25">
      <c r="A12843" s="7" t="s">
        <v>51323</v>
      </c>
      <c r="B12843" s="8">
        <v>393.75</v>
      </c>
      <c r="C12843" s="8">
        <v>20.478950000000001</v>
      </c>
      <c r="D12843" s="8">
        <v>77</v>
      </c>
      <c r="E12843" s="8">
        <v>0</v>
      </c>
      <c r="F12843" s="8">
        <v>0</v>
      </c>
      <c r="G12843" s="8">
        <v>23</v>
      </c>
      <c r="H12843" s="8" t="s">
        <v>51324</v>
      </c>
      <c r="I12843" s="8">
        <v>526.6875</v>
      </c>
      <c r="J12843" s="3">
        <f t="shared" si="200"/>
        <v>43749.429745486108</v>
      </c>
    </row>
    <row r="12844" spans="1:10" x14ac:dyDescent="0.25">
      <c r="A12844" s="5" t="s">
        <v>51325</v>
      </c>
      <c r="B12844" s="6">
        <v>393.75</v>
      </c>
      <c r="C12844" s="6">
        <v>20.478950000000001</v>
      </c>
      <c r="D12844" s="6">
        <v>77</v>
      </c>
      <c r="E12844" s="6">
        <v>0</v>
      </c>
      <c r="F12844" s="6">
        <v>0</v>
      </c>
      <c r="G12844" s="6">
        <v>16</v>
      </c>
      <c r="H12844" s="6" t="s">
        <v>51326</v>
      </c>
      <c r="I12844" s="6">
        <v>526.6875</v>
      </c>
      <c r="J12844" s="2">
        <f t="shared" si="200"/>
        <v>43749.429817418983</v>
      </c>
    </row>
    <row r="12845" spans="1:10" x14ac:dyDescent="0.25">
      <c r="A12845" s="7" t="s">
        <v>51327</v>
      </c>
      <c r="B12845" s="8">
        <v>393.75</v>
      </c>
      <c r="C12845" s="8">
        <v>20.478950000000001</v>
      </c>
      <c r="D12845" s="8">
        <v>77</v>
      </c>
      <c r="E12845" s="8">
        <v>0</v>
      </c>
      <c r="F12845" s="8">
        <v>0</v>
      </c>
      <c r="G12845" s="8">
        <v>19</v>
      </c>
      <c r="H12845" s="8" t="s">
        <v>51328</v>
      </c>
      <c r="I12845" s="8">
        <v>526.6875</v>
      </c>
      <c r="J12845" s="3">
        <f t="shared" si="200"/>
        <v>43749.429900960648</v>
      </c>
    </row>
    <row r="12846" spans="1:10" x14ac:dyDescent="0.25">
      <c r="A12846" s="5" t="s">
        <v>51329</v>
      </c>
      <c r="B12846" s="6">
        <v>393.75</v>
      </c>
      <c r="C12846" s="6">
        <v>20.478950000000001</v>
      </c>
      <c r="D12846" s="6">
        <v>77</v>
      </c>
      <c r="E12846" s="6">
        <v>0</v>
      </c>
      <c r="F12846" s="6">
        <v>0</v>
      </c>
      <c r="G12846" s="6">
        <v>11</v>
      </c>
      <c r="H12846" s="6" t="s">
        <v>51330</v>
      </c>
      <c r="I12846" s="6">
        <v>526.5</v>
      </c>
      <c r="J12846" s="2">
        <f t="shared" si="200"/>
        <v>43749.429984166665</v>
      </c>
    </row>
    <row r="12847" spans="1:10" x14ac:dyDescent="0.25">
      <c r="A12847" s="7" t="s">
        <v>51331</v>
      </c>
      <c r="B12847" s="8">
        <v>393.75</v>
      </c>
      <c r="C12847" s="8">
        <v>20.478950000000001</v>
      </c>
      <c r="D12847" s="8">
        <v>76</v>
      </c>
      <c r="E12847" s="8">
        <v>0</v>
      </c>
      <c r="F12847" s="8">
        <v>0</v>
      </c>
      <c r="G12847" s="8">
        <v>15</v>
      </c>
      <c r="H12847" s="8" t="s">
        <v>51332</v>
      </c>
      <c r="I12847" s="8">
        <v>526.6875</v>
      </c>
      <c r="J12847" s="3">
        <f t="shared" si="200"/>
        <v>43749.430067523142</v>
      </c>
    </row>
    <row r="12848" spans="1:10" x14ac:dyDescent="0.25">
      <c r="A12848" s="5" t="s">
        <v>51333</v>
      </c>
      <c r="B12848" s="6">
        <v>393.75</v>
      </c>
      <c r="C12848" s="6">
        <v>20.478950000000001</v>
      </c>
      <c r="D12848" s="6">
        <v>77</v>
      </c>
      <c r="E12848" s="6">
        <v>0</v>
      </c>
      <c r="F12848" s="6">
        <v>0</v>
      </c>
      <c r="G12848" s="6">
        <v>14</v>
      </c>
      <c r="H12848" s="6" t="s">
        <v>51334</v>
      </c>
      <c r="I12848" s="6">
        <v>526.6875</v>
      </c>
      <c r="J12848" s="2">
        <f t="shared" si="200"/>
        <v>43749.430151192129</v>
      </c>
    </row>
    <row r="12849" spans="1:10" x14ac:dyDescent="0.25">
      <c r="A12849" s="7" t="s">
        <v>51335</v>
      </c>
      <c r="B12849" s="8">
        <v>393.75</v>
      </c>
      <c r="C12849" s="8">
        <v>20.478950000000001</v>
      </c>
      <c r="D12849" s="8">
        <v>76</v>
      </c>
      <c r="E12849" s="8">
        <v>0</v>
      </c>
      <c r="F12849" s="8">
        <v>0</v>
      </c>
      <c r="G12849" s="8">
        <v>14</v>
      </c>
      <c r="H12849" s="8" t="s">
        <v>51336</v>
      </c>
      <c r="I12849" s="8">
        <v>526.6875</v>
      </c>
      <c r="J12849" s="3">
        <f t="shared" si="200"/>
        <v>43749.430234270832</v>
      </c>
    </row>
    <row r="12850" spans="1:10" x14ac:dyDescent="0.25">
      <c r="A12850" s="5" t="s">
        <v>51337</v>
      </c>
      <c r="B12850" s="6">
        <v>393.75</v>
      </c>
      <c r="C12850" s="6">
        <v>20.478950000000001</v>
      </c>
      <c r="D12850" s="6">
        <v>76</v>
      </c>
      <c r="E12850" s="6">
        <v>0</v>
      </c>
      <c r="F12850" s="6">
        <v>0</v>
      </c>
      <c r="G12850" s="6">
        <v>9</v>
      </c>
      <c r="H12850" s="6" t="s">
        <v>51338</v>
      </c>
      <c r="I12850" s="6">
        <v>526.6875</v>
      </c>
      <c r="J12850" s="2">
        <f t="shared" si="200"/>
        <v>43749.430318090272</v>
      </c>
    </row>
    <row r="12851" spans="1:10" x14ac:dyDescent="0.25">
      <c r="A12851" s="7" t="s">
        <v>51339</v>
      </c>
      <c r="B12851" s="8">
        <v>393.75</v>
      </c>
      <c r="C12851" s="8">
        <v>20.478950000000001</v>
      </c>
      <c r="D12851" s="8">
        <v>73</v>
      </c>
      <c r="E12851" s="8">
        <v>0</v>
      </c>
      <c r="F12851" s="8">
        <v>0</v>
      </c>
      <c r="G12851" s="8">
        <v>9</v>
      </c>
      <c r="H12851" s="8" t="s">
        <v>51340</v>
      </c>
      <c r="I12851" s="8">
        <v>526.6875</v>
      </c>
      <c r="J12851" s="3">
        <f t="shared" si="200"/>
        <v>43749.430401296289</v>
      </c>
    </row>
    <row r="12852" spans="1:10" x14ac:dyDescent="0.25">
      <c r="A12852" s="5" t="s">
        <v>51341</v>
      </c>
      <c r="B12852" s="6">
        <v>393.75</v>
      </c>
      <c r="C12852" s="6">
        <v>20.478950000000001</v>
      </c>
      <c r="D12852" s="6">
        <v>78</v>
      </c>
      <c r="E12852" s="6">
        <v>0</v>
      </c>
      <c r="F12852" s="6">
        <v>0</v>
      </c>
      <c r="G12852" s="6">
        <v>24</v>
      </c>
      <c r="H12852" s="6" t="s">
        <v>51342</v>
      </c>
      <c r="I12852" s="6">
        <v>526.6875</v>
      </c>
      <c r="J12852" s="2">
        <f t="shared" si="200"/>
        <v>43749.430484976845</v>
      </c>
    </row>
    <row r="12853" spans="1:10" x14ac:dyDescent="0.25">
      <c r="A12853" s="7" t="s">
        <v>51343</v>
      </c>
      <c r="B12853" s="8">
        <v>393.75</v>
      </c>
      <c r="C12853" s="8">
        <v>20.478950000000001</v>
      </c>
      <c r="D12853" s="8">
        <v>79</v>
      </c>
      <c r="E12853" s="8">
        <v>0</v>
      </c>
      <c r="F12853" s="8">
        <v>0</v>
      </c>
      <c r="G12853" s="8">
        <v>11</v>
      </c>
      <c r="H12853" s="8" t="s">
        <v>51344</v>
      </c>
      <c r="I12853" s="8">
        <v>526.6875</v>
      </c>
      <c r="J12853" s="3">
        <f t="shared" si="200"/>
        <v>43749.430568553238</v>
      </c>
    </row>
    <row r="12854" spans="1:10" x14ac:dyDescent="0.25">
      <c r="A12854" s="5" t="s">
        <v>51345</v>
      </c>
      <c r="B12854" s="6">
        <v>393.75</v>
      </c>
      <c r="C12854" s="6">
        <v>20.478950000000001</v>
      </c>
      <c r="D12854" s="6">
        <v>79</v>
      </c>
      <c r="E12854" s="6">
        <v>0</v>
      </c>
      <c r="F12854" s="6">
        <v>0</v>
      </c>
      <c r="G12854" s="6">
        <v>16</v>
      </c>
      <c r="H12854" s="6" t="s">
        <v>51346</v>
      </c>
      <c r="I12854" s="6">
        <v>526.6875</v>
      </c>
      <c r="J12854" s="2">
        <f t="shared" si="200"/>
        <v>43749.43064006944</v>
      </c>
    </row>
    <row r="12855" spans="1:10" x14ac:dyDescent="0.25">
      <c r="A12855" s="7" t="s">
        <v>51347</v>
      </c>
      <c r="B12855" s="8">
        <v>412.5</v>
      </c>
      <c r="C12855" s="8">
        <v>20.478950000000001</v>
      </c>
      <c r="D12855" s="8">
        <v>78</v>
      </c>
      <c r="E12855" s="8">
        <v>0</v>
      </c>
      <c r="F12855" s="8">
        <v>0</v>
      </c>
      <c r="G12855" s="8">
        <v>12</v>
      </c>
      <c r="H12855" s="8" t="s">
        <v>51348</v>
      </c>
      <c r="I12855" s="8">
        <v>532.125</v>
      </c>
      <c r="J12855" s="3">
        <f t="shared" si="200"/>
        <v>43749.430723287034</v>
      </c>
    </row>
    <row r="12856" spans="1:10" x14ac:dyDescent="0.25">
      <c r="A12856" s="5" t="s">
        <v>51349</v>
      </c>
      <c r="B12856" s="6">
        <v>393.75</v>
      </c>
      <c r="C12856" s="6">
        <v>20.478950000000001</v>
      </c>
      <c r="D12856" s="6">
        <v>78</v>
      </c>
      <c r="E12856" s="6">
        <v>0</v>
      </c>
      <c r="F12856" s="6">
        <v>0</v>
      </c>
      <c r="G12856" s="6">
        <v>18</v>
      </c>
      <c r="H12856" s="6" t="s">
        <v>51350</v>
      </c>
      <c r="I12856" s="6">
        <v>526.6875</v>
      </c>
      <c r="J12856" s="2">
        <f t="shared" si="200"/>
        <v>43749.430794803244</v>
      </c>
    </row>
    <row r="12857" spans="1:10" x14ac:dyDescent="0.25">
      <c r="A12857" s="7" t="s">
        <v>51351</v>
      </c>
      <c r="B12857" s="8">
        <v>393.75</v>
      </c>
      <c r="C12857" s="8">
        <v>20.478950000000001</v>
      </c>
      <c r="D12857" s="8">
        <v>74</v>
      </c>
      <c r="E12857" s="8">
        <v>0</v>
      </c>
      <c r="F12857" s="8">
        <v>0</v>
      </c>
      <c r="G12857" s="8">
        <v>16</v>
      </c>
      <c r="H12857" s="8" t="s">
        <v>51352</v>
      </c>
      <c r="I12857" s="8">
        <v>526.6875</v>
      </c>
      <c r="J12857" s="3">
        <f t="shared" si="200"/>
        <v>43749.430878599531</v>
      </c>
    </row>
    <row r="12858" spans="1:10" x14ac:dyDescent="0.25">
      <c r="A12858" s="5" t="s">
        <v>51353</v>
      </c>
      <c r="B12858" s="6">
        <v>393.75</v>
      </c>
      <c r="C12858" s="6">
        <v>20.478950000000001</v>
      </c>
      <c r="D12858" s="6">
        <v>72</v>
      </c>
      <c r="E12858" s="6">
        <v>0</v>
      </c>
      <c r="F12858" s="6">
        <v>0</v>
      </c>
      <c r="G12858" s="6">
        <v>14</v>
      </c>
      <c r="H12858" s="6" t="s">
        <v>51354</v>
      </c>
      <c r="I12858" s="6">
        <v>526.6875</v>
      </c>
      <c r="J12858" s="2">
        <f t="shared" si="200"/>
        <v>43749.430962187493</v>
      </c>
    </row>
    <row r="12859" spans="1:10" x14ac:dyDescent="0.25">
      <c r="A12859" s="7" t="s">
        <v>51355</v>
      </c>
      <c r="B12859" s="8">
        <v>393.75</v>
      </c>
      <c r="C12859" s="8">
        <v>20.478950000000001</v>
      </c>
      <c r="D12859" s="8">
        <v>72</v>
      </c>
      <c r="E12859" s="8">
        <v>0</v>
      </c>
      <c r="F12859" s="8">
        <v>0</v>
      </c>
      <c r="G12859" s="8">
        <v>20</v>
      </c>
      <c r="H12859" s="8" t="s">
        <v>51356</v>
      </c>
      <c r="I12859" s="8">
        <v>526.6875</v>
      </c>
      <c r="J12859" s="3">
        <f t="shared" si="200"/>
        <v>43749.431045289348</v>
      </c>
    </row>
    <row r="12860" spans="1:10" x14ac:dyDescent="0.25">
      <c r="A12860" s="5" t="s">
        <v>51357</v>
      </c>
      <c r="B12860" s="6">
        <v>415.625</v>
      </c>
      <c r="C12860" s="6">
        <v>20.478950000000001</v>
      </c>
      <c r="D12860" s="6">
        <v>73</v>
      </c>
      <c r="E12860" s="6">
        <v>0</v>
      </c>
      <c r="F12860" s="6">
        <v>0</v>
      </c>
      <c r="G12860" s="6">
        <v>22</v>
      </c>
      <c r="H12860" s="6" t="s">
        <v>51358</v>
      </c>
      <c r="I12860" s="6">
        <v>533.8125</v>
      </c>
      <c r="J12860" s="2">
        <f t="shared" si="200"/>
        <v>43749.431128796299</v>
      </c>
    </row>
    <row r="12861" spans="1:10" x14ac:dyDescent="0.25">
      <c r="A12861" s="7" t="s">
        <v>51359</v>
      </c>
      <c r="B12861" s="8">
        <v>393.75</v>
      </c>
      <c r="C12861" s="8">
        <v>20.478950000000001</v>
      </c>
      <c r="D12861" s="8">
        <v>72</v>
      </c>
      <c r="E12861" s="8">
        <v>0</v>
      </c>
      <c r="F12861" s="8">
        <v>0</v>
      </c>
      <c r="G12861" s="8">
        <v>21</v>
      </c>
      <c r="H12861" s="8" t="s">
        <v>51360</v>
      </c>
      <c r="I12861" s="8">
        <v>526.6875</v>
      </c>
      <c r="J12861" s="3">
        <f t="shared" si="200"/>
        <v>43749.43120071759</v>
      </c>
    </row>
    <row r="12862" spans="1:10" x14ac:dyDescent="0.25">
      <c r="A12862" s="5" t="s">
        <v>51361</v>
      </c>
      <c r="B12862" s="6">
        <v>393.75</v>
      </c>
      <c r="C12862" s="6">
        <v>20.478950000000001</v>
      </c>
      <c r="D12862" s="6">
        <v>72</v>
      </c>
      <c r="E12862" s="6">
        <v>0</v>
      </c>
      <c r="F12862" s="6">
        <v>0</v>
      </c>
      <c r="G12862" s="6">
        <v>17</v>
      </c>
      <c r="H12862" s="6" t="s">
        <v>51362</v>
      </c>
      <c r="I12862" s="6">
        <v>526.6875</v>
      </c>
      <c r="J12862" s="2">
        <f t="shared" si="200"/>
        <v>43749.43128409722</v>
      </c>
    </row>
    <row r="12863" spans="1:10" x14ac:dyDescent="0.25">
      <c r="A12863" s="7" t="s">
        <v>51363</v>
      </c>
      <c r="B12863" s="8">
        <v>393.75</v>
      </c>
      <c r="C12863" s="8">
        <v>20.478950000000001</v>
      </c>
      <c r="D12863" s="8">
        <v>73</v>
      </c>
      <c r="E12863" s="8">
        <v>0</v>
      </c>
      <c r="F12863" s="8">
        <v>0</v>
      </c>
      <c r="G12863" s="8">
        <v>12</v>
      </c>
      <c r="H12863" s="8" t="s">
        <v>51364</v>
      </c>
      <c r="I12863" s="8">
        <v>526.5</v>
      </c>
      <c r="J12863" s="3">
        <f t="shared" si="200"/>
        <v>43749.431367627309</v>
      </c>
    </row>
    <row r="12864" spans="1:10" x14ac:dyDescent="0.25">
      <c r="A12864" s="5" t="s">
        <v>51365</v>
      </c>
      <c r="B12864" s="6">
        <v>393.75</v>
      </c>
      <c r="C12864" s="6">
        <v>20.478950000000001</v>
      </c>
      <c r="D12864" s="6">
        <v>73</v>
      </c>
      <c r="E12864" s="6">
        <v>0</v>
      </c>
      <c r="F12864" s="6">
        <v>0</v>
      </c>
      <c r="G12864" s="6">
        <v>24</v>
      </c>
      <c r="H12864" s="6" t="s">
        <v>51366</v>
      </c>
      <c r="I12864" s="6">
        <v>526.5</v>
      </c>
      <c r="J12864" s="2">
        <f t="shared" si="200"/>
        <v>43749.431451053235</v>
      </c>
    </row>
    <row r="12865" spans="1:10" x14ac:dyDescent="0.25">
      <c r="A12865" s="7" t="s">
        <v>51367</v>
      </c>
      <c r="B12865" s="8">
        <v>421.875</v>
      </c>
      <c r="C12865" s="8">
        <v>20.478950000000001</v>
      </c>
      <c r="D12865" s="8">
        <v>74</v>
      </c>
      <c r="E12865" s="8">
        <v>0</v>
      </c>
      <c r="F12865" s="8">
        <v>0</v>
      </c>
      <c r="G12865" s="8">
        <v>13</v>
      </c>
      <c r="H12865" s="8" t="s">
        <v>51368</v>
      </c>
      <c r="I12865" s="8">
        <v>535.875</v>
      </c>
      <c r="J12865" s="3">
        <f t="shared" si="200"/>
        <v>43749.431541944439</v>
      </c>
    </row>
    <row r="12866" spans="1:10" x14ac:dyDescent="0.25">
      <c r="A12866" s="5" t="s">
        <v>51369</v>
      </c>
      <c r="B12866" s="6">
        <v>393.75</v>
      </c>
      <c r="C12866" s="6">
        <v>20.478950000000001</v>
      </c>
      <c r="D12866" s="6">
        <v>74</v>
      </c>
      <c r="E12866" s="6">
        <v>0</v>
      </c>
      <c r="F12866" s="6">
        <v>0</v>
      </c>
      <c r="G12866" s="6">
        <v>20</v>
      </c>
      <c r="H12866" s="6" t="s">
        <v>51370</v>
      </c>
      <c r="I12866" s="6">
        <v>526.5</v>
      </c>
      <c r="J12866" s="2">
        <f t="shared" ref="J12866:J12929" si="201">(H12866/86400000)+25569+(7/24)</f>
        <v>43749.43161796296</v>
      </c>
    </row>
    <row r="12867" spans="1:10" x14ac:dyDescent="0.25">
      <c r="A12867" s="7" t="s">
        <v>51371</v>
      </c>
      <c r="B12867" s="8">
        <v>393.75</v>
      </c>
      <c r="C12867" s="8">
        <v>20.478950000000001</v>
      </c>
      <c r="D12867" s="8">
        <v>74</v>
      </c>
      <c r="E12867" s="8">
        <v>0</v>
      </c>
      <c r="F12867" s="8">
        <v>0</v>
      </c>
      <c r="G12867" s="8">
        <v>23</v>
      </c>
      <c r="H12867" s="8" t="s">
        <v>51372</v>
      </c>
      <c r="I12867" s="8">
        <v>526.6875</v>
      </c>
      <c r="J12867" s="3">
        <f t="shared" si="201"/>
        <v>43749.4317133449</v>
      </c>
    </row>
    <row r="12868" spans="1:10" x14ac:dyDescent="0.25">
      <c r="A12868" s="5" t="s">
        <v>51373</v>
      </c>
      <c r="B12868" s="6">
        <v>393.75</v>
      </c>
      <c r="C12868" s="6">
        <v>20.478950000000001</v>
      </c>
      <c r="D12868" s="6">
        <v>74</v>
      </c>
      <c r="E12868" s="6">
        <v>0</v>
      </c>
      <c r="F12868" s="6">
        <v>0</v>
      </c>
      <c r="G12868" s="6">
        <v>17</v>
      </c>
      <c r="H12868" s="6" t="s">
        <v>51374</v>
      </c>
      <c r="I12868" s="6">
        <v>526.6875</v>
      </c>
      <c r="J12868" s="2">
        <f t="shared" si="201"/>
        <v>43749.43179678241</v>
      </c>
    </row>
    <row r="12869" spans="1:10" x14ac:dyDescent="0.25">
      <c r="A12869" s="7" t="s">
        <v>51375</v>
      </c>
      <c r="B12869" s="8">
        <v>393.75</v>
      </c>
      <c r="C12869" s="8">
        <v>20.478950000000001</v>
      </c>
      <c r="D12869" s="8">
        <v>74</v>
      </c>
      <c r="E12869" s="8">
        <v>0</v>
      </c>
      <c r="F12869" s="8">
        <v>0</v>
      </c>
      <c r="G12869" s="8">
        <v>14</v>
      </c>
      <c r="H12869" s="8" t="s">
        <v>51376</v>
      </c>
      <c r="I12869" s="8">
        <v>526.6875</v>
      </c>
      <c r="J12869" s="3">
        <f t="shared" si="201"/>
        <v>43749.43188034722</v>
      </c>
    </row>
    <row r="12870" spans="1:10" x14ac:dyDescent="0.25">
      <c r="A12870" s="5" t="s">
        <v>51377</v>
      </c>
      <c r="B12870" s="6">
        <v>393.75</v>
      </c>
      <c r="C12870" s="6">
        <v>20.478950000000001</v>
      </c>
      <c r="D12870" s="6">
        <v>74</v>
      </c>
      <c r="E12870" s="6">
        <v>0</v>
      </c>
      <c r="F12870" s="6">
        <v>0</v>
      </c>
      <c r="G12870" s="6">
        <v>20</v>
      </c>
      <c r="H12870" s="6" t="s">
        <v>51378</v>
      </c>
      <c r="I12870" s="6">
        <v>526.6875</v>
      </c>
      <c r="J12870" s="2">
        <f t="shared" si="201"/>
        <v>43749.431963900461</v>
      </c>
    </row>
    <row r="12871" spans="1:10" x14ac:dyDescent="0.25">
      <c r="A12871" s="7" t="s">
        <v>51379</v>
      </c>
      <c r="B12871" s="8">
        <v>393.75</v>
      </c>
      <c r="C12871" s="8">
        <v>20.478950000000001</v>
      </c>
      <c r="D12871" s="8">
        <v>74</v>
      </c>
      <c r="E12871" s="8">
        <v>0</v>
      </c>
      <c r="F12871" s="8">
        <v>0</v>
      </c>
      <c r="G12871" s="8">
        <v>14</v>
      </c>
      <c r="H12871" s="8" t="s">
        <v>51380</v>
      </c>
      <c r="I12871" s="8">
        <v>526.6875</v>
      </c>
      <c r="J12871" s="3">
        <f t="shared" si="201"/>
        <v>43749.432047488423</v>
      </c>
    </row>
    <row r="12872" spans="1:10" x14ac:dyDescent="0.25">
      <c r="A12872" s="5" t="s">
        <v>51381</v>
      </c>
      <c r="B12872" s="6">
        <v>393.75</v>
      </c>
      <c r="C12872" s="6">
        <v>20.478950000000001</v>
      </c>
      <c r="D12872" s="6">
        <v>73</v>
      </c>
      <c r="E12872" s="6">
        <v>0</v>
      </c>
      <c r="F12872" s="6">
        <v>0</v>
      </c>
      <c r="G12872" s="6">
        <v>12</v>
      </c>
      <c r="H12872" s="6" t="s">
        <v>51382</v>
      </c>
      <c r="I12872" s="6">
        <v>526.6875</v>
      </c>
      <c r="J12872" s="2">
        <f t="shared" si="201"/>
        <v>43749.432130474532</v>
      </c>
    </row>
    <row r="12873" spans="1:10" x14ac:dyDescent="0.25">
      <c r="A12873" s="7" t="s">
        <v>51383</v>
      </c>
      <c r="B12873" s="8">
        <v>393.75</v>
      </c>
      <c r="C12873" s="8">
        <v>20.478950000000001</v>
      </c>
      <c r="D12873" s="8">
        <v>73</v>
      </c>
      <c r="E12873" s="8">
        <v>0</v>
      </c>
      <c r="F12873" s="8">
        <v>0</v>
      </c>
      <c r="G12873" s="8">
        <v>19</v>
      </c>
      <c r="H12873" s="8" t="s">
        <v>51384</v>
      </c>
      <c r="I12873" s="8">
        <v>526.5</v>
      </c>
      <c r="J12873" s="3">
        <f t="shared" si="201"/>
        <v>43749.432214155087</v>
      </c>
    </row>
    <row r="12874" spans="1:10" x14ac:dyDescent="0.25">
      <c r="A12874" s="5" t="s">
        <v>51385</v>
      </c>
      <c r="B12874" s="6">
        <v>393.75</v>
      </c>
      <c r="C12874" s="6">
        <v>20.478950000000001</v>
      </c>
      <c r="D12874" s="6">
        <v>73</v>
      </c>
      <c r="E12874" s="6">
        <v>0</v>
      </c>
      <c r="F12874" s="6">
        <v>0</v>
      </c>
      <c r="G12874" s="6">
        <v>20</v>
      </c>
      <c r="H12874" s="6" t="s">
        <v>51386</v>
      </c>
      <c r="I12874" s="6">
        <v>526.6875</v>
      </c>
      <c r="J12874" s="2">
        <f t="shared" si="201"/>
        <v>43749.432297476851</v>
      </c>
    </row>
    <row r="12875" spans="1:10" x14ac:dyDescent="0.25">
      <c r="A12875" s="7" t="s">
        <v>51387</v>
      </c>
      <c r="B12875" s="8">
        <v>393.75</v>
      </c>
      <c r="C12875" s="8">
        <v>20.478950000000001</v>
      </c>
      <c r="D12875" s="8">
        <v>72</v>
      </c>
      <c r="E12875" s="8">
        <v>0</v>
      </c>
      <c r="F12875" s="8">
        <v>0</v>
      </c>
      <c r="G12875" s="8">
        <v>16</v>
      </c>
      <c r="H12875" s="8" t="s">
        <v>51388</v>
      </c>
      <c r="I12875" s="8">
        <v>526.6875</v>
      </c>
      <c r="J12875" s="3">
        <f t="shared" si="201"/>
        <v>43749.432369247683</v>
      </c>
    </row>
    <row r="12876" spans="1:10" x14ac:dyDescent="0.25">
      <c r="A12876" s="5" t="s">
        <v>51389</v>
      </c>
      <c r="B12876" s="6">
        <v>393.75</v>
      </c>
      <c r="C12876" s="6">
        <v>20.478950000000001</v>
      </c>
      <c r="D12876" s="6">
        <v>73</v>
      </c>
      <c r="E12876" s="6">
        <v>0</v>
      </c>
      <c r="F12876" s="6">
        <v>0</v>
      </c>
      <c r="G12876" s="6">
        <v>16</v>
      </c>
      <c r="H12876" s="6" t="s">
        <v>51390</v>
      </c>
      <c r="I12876" s="6">
        <v>526.6875</v>
      </c>
      <c r="J12876" s="2">
        <f t="shared" si="201"/>
        <v>43749.432452685178</v>
      </c>
    </row>
    <row r="12877" spans="1:10" x14ac:dyDescent="0.25">
      <c r="A12877" s="7" t="s">
        <v>51391</v>
      </c>
      <c r="B12877" s="8">
        <v>393.75</v>
      </c>
      <c r="C12877" s="8">
        <v>20.478950000000001</v>
      </c>
      <c r="D12877" s="8">
        <v>74</v>
      </c>
      <c r="E12877" s="8">
        <v>0</v>
      </c>
      <c r="F12877" s="8">
        <v>0</v>
      </c>
      <c r="G12877" s="8">
        <v>16</v>
      </c>
      <c r="H12877" s="8" t="s">
        <v>51392</v>
      </c>
      <c r="I12877" s="8">
        <v>526.6875</v>
      </c>
      <c r="J12877" s="3">
        <f t="shared" si="201"/>
        <v>43749.432536261571</v>
      </c>
    </row>
    <row r="12878" spans="1:10" x14ac:dyDescent="0.25">
      <c r="A12878" s="5" t="s">
        <v>51393</v>
      </c>
      <c r="B12878" s="6">
        <v>393.75</v>
      </c>
      <c r="C12878" s="6">
        <v>20.478950000000001</v>
      </c>
      <c r="D12878" s="6">
        <v>74</v>
      </c>
      <c r="E12878" s="6">
        <v>0</v>
      </c>
      <c r="F12878" s="6">
        <v>0</v>
      </c>
      <c r="G12878" s="6">
        <v>13</v>
      </c>
      <c r="H12878" s="6" t="s">
        <v>51394</v>
      </c>
      <c r="I12878" s="6">
        <v>526.6875</v>
      </c>
      <c r="J12878" s="2">
        <f t="shared" si="201"/>
        <v>43749.432619560183</v>
      </c>
    </row>
    <row r="12879" spans="1:10" x14ac:dyDescent="0.25">
      <c r="A12879" s="7" t="s">
        <v>51395</v>
      </c>
      <c r="B12879" s="8">
        <v>412.5</v>
      </c>
      <c r="C12879" s="8">
        <v>20.478950000000001</v>
      </c>
      <c r="D12879" s="8">
        <v>74</v>
      </c>
      <c r="E12879" s="8">
        <v>0</v>
      </c>
      <c r="F12879" s="8">
        <v>0</v>
      </c>
      <c r="G12879" s="8">
        <v>15</v>
      </c>
      <c r="H12879" s="8" t="s">
        <v>51396</v>
      </c>
      <c r="I12879" s="8">
        <v>532.3125</v>
      </c>
      <c r="J12879" s="3">
        <f t="shared" si="201"/>
        <v>43749.432691030095</v>
      </c>
    </row>
    <row r="12880" spans="1:10" x14ac:dyDescent="0.25">
      <c r="A12880" s="5" t="s">
        <v>51397</v>
      </c>
      <c r="B12880" s="6">
        <v>393.75</v>
      </c>
      <c r="C12880" s="6">
        <v>20.478950000000001</v>
      </c>
      <c r="D12880" s="6">
        <v>73</v>
      </c>
      <c r="E12880" s="6">
        <v>0</v>
      </c>
      <c r="F12880" s="6">
        <v>0</v>
      </c>
      <c r="G12880" s="6">
        <v>14</v>
      </c>
      <c r="H12880" s="6" t="s">
        <v>51398</v>
      </c>
      <c r="I12880" s="6">
        <v>526.6875</v>
      </c>
      <c r="J12880" s="2">
        <f t="shared" si="201"/>
        <v>43749.432775046291</v>
      </c>
    </row>
    <row r="12881" spans="1:10" x14ac:dyDescent="0.25">
      <c r="A12881" s="7" t="s">
        <v>51399</v>
      </c>
      <c r="B12881" s="8">
        <v>393.75</v>
      </c>
      <c r="C12881" s="8">
        <v>20.478950000000001</v>
      </c>
      <c r="D12881" s="8">
        <v>74</v>
      </c>
      <c r="E12881" s="8">
        <v>0</v>
      </c>
      <c r="F12881" s="8">
        <v>0</v>
      </c>
      <c r="G12881" s="8">
        <v>23</v>
      </c>
      <c r="H12881" s="8" t="s">
        <v>51400</v>
      </c>
      <c r="I12881" s="8">
        <v>526.6875</v>
      </c>
      <c r="J12881" s="3">
        <f t="shared" si="201"/>
        <v>43749.43285824074</v>
      </c>
    </row>
    <row r="12882" spans="1:10" x14ac:dyDescent="0.25">
      <c r="A12882" s="5" t="s">
        <v>51401</v>
      </c>
      <c r="B12882" s="6">
        <v>393.75</v>
      </c>
      <c r="C12882" s="6">
        <v>20.478950000000001</v>
      </c>
      <c r="D12882" s="6">
        <v>74</v>
      </c>
      <c r="E12882" s="6">
        <v>0</v>
      </c>
      <c r="F12882" s="6">
        <v>0</v>
      </c>
      <c r="G12882" s="6">
        <v>7</v>
      </c>
      <c r="H12882" s="6" t="s">
        <v>51402</v>
      </c>
      <c r="I12882" s="6">
        <v>526.6875</v>
      </c>
      <c r="J12882" s="2">
        <f t="shared" si="201"/>
        <v>43749.432941574072</v>
      </c>
    </row>
    <row r="12883" spans="1:10" x14ac:dyDescent="0.25">
      <c r="A12883" s="7" t="s">
        <v>51403</v>
      </c>
      <c r="B12883" s="8">
        <v>393.75</v>
      </c>
      <c r="C12883" s="8">
        <v>20.478950000000001</v>
      </c>
      <c r="D12883" s="8">
        <v>73</v>
      </c>
      <c r="E12883" s="8">
        <v>0</v>
      </c>
      <c r="F12883" s="8">
        <v>0</v>
      </c>
      <c r="G12883" s="8">
        <v>13</v>
      </c>
      <c r="H12883" s="8" t="s">
        <v>51404</v>
      </c>
      <c r="I12883" s="8">
        <v>526.6875</v>
      </c>
      <c r="J12883" s="3">
        <f t="shared" si="201"/>
        <v>43749.433025347222</v>
      </c>
    </row>
    <row r="12884" spans="1:10" x14ac:dyDescent="0.25">
      <c r="A12884" s="5" t="s">
        <v>51405</v>
      </c>
      <c r="B12884" s="6">
        <v>412.5</v>
      </c>
      <c r="C12884" s="6">
        <v>20.478950000000001</v>
      </c>
      <c r="D12884" s="6">
        <v>71</v>
      </c>
      <c r="E12884" s="6">
        <v>0</v>
      </c>
      <c r="F12884" s="6">
        <v>0</v>
      </c>
      <c r="G12884" s="6">
        <v>19</v>
      </c>
      <c r="H12884" s="6" t="s">
        <v>51406</v>
      </c>
      <c r="I12884" s="6">
        <v>532.3125</v>
      </c>
      <c r="J12884" s="2">
        <f t="shared" si="201"/>
        <v>43749.433108391204</v>
      </c>
    </row>
    <row r="12885" spans="1:10" x14ac:dyDescent="0.25">
      <c r="A12885" s="7" t="s">
        <v>51407</v>
      </c>
      <c r="B12885" s="8">
        <v>393.75</v>
      </c>
      <c r="C12885" s="8">
        <v>20.478950000000001</v>
      </c>
      <c r="D12885" s="8">
        <v>71</v>
      </c>
      <c r="E12885" s="8">
        <v>0</v>
      </c>
      <c r="F12885" s="8">
        <v>0</v>
      </c>
      <c r="G12885" s="8">
        <v>24</v>
      </c>
      <c r="H12885" s="8" t="s">
        <v>51408</v>
      </c>
      <c r="I12885" s="8">
        <v>526.6875</v>
      </c>
      <c r="J12885" s="3">
        <f t="shared" si="201"/>
        <v>43749.43317989583</v>
      </c>
    </row>
    <row r="12886" spans="1:10" x14ac:dyDescent="0.25">
      <c r="A12886" s="5" t="s">
        <v>51409</v>
      </c>
      <c r="B12886" s="6">
        <v>393.75</v>
      </c>
      <c r="C12886" s="6">
        <v>20.478950000000001</v>
      </c>
      <c r="D12886" s="6">
        <v>71</v>
      </c>
      <c r="E12886" s="6">
        <v>0</v>
      </c>
      <c r="F12886" s="6">
        <v>0</v>
      </c>
      <c r="G12886" s="6">
        <v>21</v>
      </c>
      <c r="H12886" s="6" t="s">
        <v>51410</v>
      </c>
      <c r="I12886" s="6">
        <v>526.6875</v>
      </c>
      <c r="J12886" s="2">
        <f t="shared" si="201"/>
        <v>43749.433263796294</v>
      </c>
    </row>
    <row r="12887" spans="1:10" x14ac:dyDescent="0.25">
      <c r="A12887" s="7" t="s">
        <v>51411</v>
      </c>
      <c r="B12887" s="8">
        <v>393.75</v>
      </c>
      <c r="C12887" s="8">
        <v>20.478950000000001</v>
      </c>
      <c r="D12887" s="8">
        <v>72</v>
      </c>
      <c r="E12887" s="8">
        <v>0</v>
      </c>
      <c r="F12887" s="8">
        <v>0</v>
      </c>
      <c r="G12887" s="8">
        <v>15</v>
      </c>
      <c r="H12887" s="8" t="s">
        <v>51412</v>
      </c>
      <c r="I12887" s="8">
        <v>526.6875</v>
      </c>
      <c r="J12887" s="3">
        <f t="shared" si="201"/>
        <v>43749.433347245365</v>
      </c>
    </row>
    <row r="12888" spans="1:10" x14ac:dyDescent="0.25">
      <c r="A12888" s="5" t="s">
        <v>51413</v>
      </c>
      <c r="B12888" s="6">
        <v>393.75</v>
      </c>
      <c r="C12888" s="6">
        <v>20.478950000000001</v>
      </c>
      <c r="D12888" s="6">
        <v>72</v>
      </c>
      <c r="E12888" s="6">
        <v>0</v>
      </c>
      <c r="F12888" s="6">
        <v>0</v>
      </c>
      <c r="G12888" s="6">
        <v>16</v>
      </c>
      <c r="H12888" s="6" t="s">
        <v>51414</v>
      </c>
      <c r="I12888" s="6">
        <v>526.6875</v>
      </c>
      <c r="J12888" s="2">
        <f t="shared" si="201"/>
        <v>43749.433430451383</v>
      </c>
    </row>
    <row r="12889" spans="1:10" x14ac:dyDescent="0.25">
      <c r="A12889" s="7" t="s">
        <v>51415</v>
      </c>
      <c r="B12889" s="8">
        <v>425</v>
      </c>
      <c r="C12889" s="8">
        <v>20.478950000000001</v>
      </c>
      <c r="D12889" s="8">
        <v>72</v>
      </c>
      <c r="E12889" s="8">
        <v>0</v>
      </c>
      <c r="F12889" s="8">
        <v>0</v>
      </c>
      <c r="G12889" s="8">
        <v>19</v>
      </c>
      <c r="H12889" s="8" t="s">
        <v>51416</v>
      </c>
      <c r="I12889" s="8">
        <v>536.8125</v>
      </c>
      <c r="J12889" s="3">
        <f t="shared" si="201"/>
        <v>43749.433502245367</v>
      </c>
    </row>
    <row r="12890" spans="1:10" x14ac:dyDescent="0.25">
      <c r="A12890" s="5" t="s">
        <v>51417</v>
      </c>
      <c r="B12890" s="6">
        <v>393.75</v>
      </c>
      <c r="C12890" s="6">
        <v>20.426300000000001</v>
      </c>
      <c r="D12890" s="6">
        <v>73</v>
      </c>
      <c r="E12890" s="6">
        <v>0</v>
      </c>
      <c r="F12890" s="6">
        <v>0</v>
      </c>
      <c r="G12890" s="6">
        <v>16</v>
      </c>
      <c r="H12890" s="6" t="s">
        <v>51418</v>
      </c>
      <c r="I12890" s="6">
        <v>526.6875</v>
      </c>
      <c r="J12890" s="2">
        <f t="shared" si="201"/>
        <v>43749.433585914354</v>
      </c>
    </row>
    <row r="12891" spans="1:10" x14ac:dyDescent="0.25">
      <c r="A12891" s="7" t="s">
        <v>51419</v>
      </c>
      <c r="B12891" s="8">
        <v>393.75</v>
      </c>
      <c r="C12891" s="8">
        <v>20.478950000000001</v>
      </c>
      <c r="D12891" s="8">
        <v>73</v>
      </c>
      <c r="E12891" s="8">
        <v>0</v>
      </c>
      <c r="F12891" s="8">
        <v>0</v>
      </c>
      <c r="G12891" s="8">
        <v>24</v>
      </c>
      <c r="H12891" s="8" t="s">
        <v>51420</v>
      </c>
      <c r="I12891" s="8">
        <v>526.6875</v>
      </c>
      <c r="J12891" s="3">
        <f t="shared" si="201"/>
        <v>43749.433669270831</v>
      </c>
    </row>
    <row r="12892" spans="1:10" x14ac:dyDescent="0.25">
      <c r="A12892" s="5" t="s">
        <v>51421</v>
      </c>
      <c r="B12892" s="6">
        <v>393.75</v>
      </c>
      <c r="C12892" s="6">
        <v>20.478950000000001</v>
      </c>
      <c r="D12892" s="6">
        <v>73</v>
      </c>
      <c r="E12892" s="6">
        <v>0</v>
      </c>
      <c r="F12892" s="6">
        <v>0</v>
      </c>
      <c r="G12892" s="6">
        <v>24</v>
      </c>
      <c r="H12892" s="6" t="s">
        <v>51422</v>
      </c>
      <c r="I12892" s="6">
        <v>526.6875</v>
      </c>
      <c r="J12892" s="2">
        <f t="shared" si="201"/>
        <v>43749.433752881938</v>
      </c>
    </row>
    <row r="12893" spans="1:10" x14ac:dyDescent="0.25">
      <c r="A12893" s="7" t="s">
        <v>51423</v>
      </c>
      <c r="B12893" s="8">
        <v>393.75</v>
      </c>
      <c r="C12893" s="8">
        <v>20.478950000000001</v>
      </c>
      <c r="D12893" s="8">
        <v>72</v>
      </c>
      <c r="E12893" s="8">
        <v>0</v>
      </c>
      <c r="F12893" s="8">
        <v>0</v>
      </c>
      <c r="G12893" s="8">
        <v>17</v>
      </c>
      <c r="H12893" s="8" t="s">
        <v>51424</v>
      </c>
      <c r="I12893" s="8">
        <v>526.6875</v>
      </c>
      <c r="J12893" s="3">
        <f t="shared" si="201"/>
        <v>43749.433836145829</v>
      </c>
    </row>
    <row r="12894" spans="1:10" x14ac:dyDescent="0.25">
      <c r="A12894" s="5" t="s">
        <v>51425</v>
      </c>
      <c r="B12894" s="6">
        <v>393.75</v>
      </c>
      <c r="C12894" s="6">
        <v>20.478950000000001</v>
      </c>
      <c r="D12894" s="6">
        <v>72</v>
      </c>
      <c r="E12894" s="6">
        <v>0</v>
      </c>
      <c r="F12894" s="6">
        <v>0</v>
      </c>
      <c r="G12894" s="6">
        <v>22</v>
      </c>
      <c r="H12894" s="6" t="s">
        <v>51426</v>
      </c>
      <c r="I12894" s="6">
        <v>526.6875</v>
      </c>
      <c r="J12894" s="2">
        <f t="shared" si="201"/>
        <v>43749.433919363422</v>
      </c>
    </row>
    <row r="12895" spans="1:10" x14ac:dyDescent="0.25">
      <c r="A12895" s="7" t="s">
        <v>51427</v>
      </c>
      <c r="B12895" s="8">
        <v>393.75</v>
      </c>
      <c r="C12895" s="8">
        <v>20.478950000000001</v>
      </c>
      <c r="D12895" s="8">
        <v>73</v>
      </c>
      <c r="E12895" s="8">
        <v>0</v>
      </c>
      <c r="F12895" s="8">
        <v>0</v>
      </c>
      <c r="G12895" s="8">
        <v>17</v>
      </c>
      <c r="H12895" s="8" t="s">
        <v>51428</v>
      </c>
      <c r="I12895" s="8">
        <v>526.6875</v>
      </c>
      <c r="J12895" s="3">
        <f t="shared" si="201"/>
        <v>43749.433991319442</v>
      </c>
    </row>
    <row r="12896" spans="1:10" x14ac:dyDescent="0.25">
      <c r="A12896" s="5" t="s">
        <v>51429</v>
      </c>
      <c r="B12896" s="6">
        <v>393.75</v>
      </c>
      <c r="C12896" s="6">
        <v>20.478950000000001</v>
      </c>
      <c r="D12896" s="6">
        <v>74</v>
      </c>
      <c r="E12896" s="6">
        <v>0</v>
      </c>
      <c r="F12896" s="6">
        <v>0</v>
      </c>
      <c r="G12896" s="6">
        <v>21</v>
      </c>
      <c r="H12896" s="6" t="s">
        <v>51430</v>
      </c>
      <c r="I12896" s="6">
        <v>526.6875</v>
      </c>
      <c r="J12896" s="2">
        <f t="shared" si="201"/>
        <v>43749.434074699071</v>
      </c>
    </row>
    <row r="12897" spans="1:10" x14ac:dyDescent="0.25">
      <c r="A12897" s="7" t="s">
        <v>51431</v>
      </c>
      <c r="B12897" s="8">
        <v>412.5</v>
      </c>
      <c r="C12897" s="8">
        <v>20.478950000000001</v>
      </c>
      <c r="D12897" s="8">
        <v>75</v>
      </c>
      <c r="E12897" s="8">
        <v>0</v>
      </c>
      <c r="F12897" s="8">
        <v>0</v>
      </c>
      <c r="G12897" s="8">
        <v>16</v>
      </c>
      <c r="H12897" s="8" t="s">
        <v>51432</v>
      </c>
      <c r="I12897" s="8">
        <v>532.3125</v>
      </c>
      <c r="J12897" s="3">
        <f t="shared" si="201"/>
        <v>43749.434158136573</v>
      </c>
    </row>
    <row r="12898" spans="1:10" x14ac:dyDescent="0.25">
      <c r="A12898" s="5" t="s">
        <v>51433</v>
      </c>
      <c r="B12898" s="6">
        <v>393.75</v>
      </c>
      <c r="C12898" s="6">
        <v>20.478950000000001</v>
      </c>
      <c r="D12898" s="6">
        <v>75</v>
      </c>
      <c r="E12898" s="6">
        <v>0</v>
      </c>
      <c r="F12898" s="6">
        <v>0</v>
      </c>
      <c r="G12898" s="6">
        <v>15</v>
      </c>
      <c r="H12898" s="6" t="s">
        <v>51434</v>
      </c>
      <c r="I12898" s="6">
        <v>526.6875</v>
      </c>
      <c r="J12898" s="2">
        <f t="shared" si="201"/>
        <v>43749.434241585644</v>
      </c>
    </row>
    <row r="12899" spans="1:10" x14ac:dyDescent="0.25">
      <c r="A12899" s="7" t="s">
        <v>51435</v>
      </c>
      <c r="B12899" s="8">
        <v>393.75</v>
      </c>
      <c r="C12899" s="8">
        <v>20.478950000000001</v>
      </c>
      <c r="D12899" s="8">
        <v>75</v>
      </c>
      <c r="E12899" s="8">
        <v>0</v>
      </c>
      <c r="F12899" s="8">
        <v>0</v>
      </c>
      <c r="G12899" s="8">
        <v>27</v>
      </c>
      <c r="H12899" s="8" t="s">
        <v>51436</v>
      </c>
      <c r="I12899" s="8">
        <v>526.6875</v>
      </c>
      <c r="J12899" s="3">
        <f t="shared" si="201"/>
        <v>43749.434335833335</v>
      </c>
    </row>
    <row r="12900" spans="1:10" x14ac:dyDescent="0.25">
      <c r="A12900" s="5" t="s">
        <v>51437</v>
      </c>
      <c r="B12900" s="6">
        <v>393.75</v>
      </c>
      <c r="C12900" s="6">
        <v>20.478950000000001</v>
      </c>
      <c r="D12900" s="6">
        <v>72</v>
      </c>
      <c r="E12900" s="6">
        <v>0</v>
      </c>
      <c r="F12900" s="6">
        <v>0</v>
      </c>
      <c r="G12900" s="6">
        <v>20</v>
      </c>
      <c r="H12900" s="6" t="s">
        <v>51438</v>
      </c>
      <c r="I12900" s="6">
        <v>526.5</v>
      </c>
      <c r="J12900" s="2">
        <f t="shared" si="201"/>
        <v>43749.434432442125</v>
      </c>
    </row>
    <row r="12901" spans="1:10" x14ac:dyDescent="0.25">
      <c r="A12901" s="7" t="s">
        <v>51439</v>
      </c>
      <c r="B12901" s="8">
        <v>393.75</v>
      </c>
      <c r="C12901" s="8">
        <v>20.478950000000001</v>
      </c>
      <c r="D12901" s="8">
        <v>71</v>
      </c>
      <c r="E12901" s="8">
        <v>0</v>
      </c>
      <c r="F12901" s="8">
        <v>0</v>
      </c>
      <c r="G12901" s="8">
        <v>18</v>
      </c>
      <c r="H12901" s="8" t="s">
        <v>51440</v>
      </c>
      <c r="I12901" s="8">
        <v>526.6875</v>
      </c>
      <c r="J12901" s="3">
        <f t="shared" si="201"/>
        <v>43749.434515659719</v>
      </c>
    </row>
    <row r="12902" spans="1:10" x14ac:dyDescent="0.25">
      <c r="A12902" s="5" t="s">
        <v>51441</v>
      </c>
      <c r="B12902" s="6">
        <v>393.75</v>
      </c>
      <c r="C12902" s="6">
        <v>20.478950000000001</v>
      </c>
      <c r="D12902" s="6">
        <v>71</v>
      </c>
      <c r="E12902" s="6">
        <v>0</v>
      </c>
      <c r="F12902" s="6">
        <v>0</v>
      </c>
      <c r="G12902" s="6">
        <v>22</v>
      </c>
      <c r="H12902" s="6" t="s">
        <v>51442</v>
      </c>
      <c r="I12902" s="6">
        <v>526.6875</v>
      </c>
      <c r="J12902" s="2">
        <f t="shared" si="201"/>
        <v>43749.434587418982</v>
      </c>
    </row>
    <row r="12903" spans="1:10" x14ac:dyDescent="0.25">
      <c r="A12903" s="7" t="s">
        <v>51443</v>
      </c>
      <c r="B12903" s="8">
        <v>393.75</v>
      </c>
      <c r="C12903" s="8">
        <v>20.478950000000001</v>
      </c>
      <c r="D12903" s="8">
        <v>72</v>
      </c>
      <c r="E12903" s="8">
        <v>0</v>
      </c>
      <c r="F12903" s="8">
        <v>0</v>
      </c>
      <c r="G12903" s="8">
        <v>10</v>
      </c>
      <c r="H12903" s="8" t="s">
        <v>51444</v>
      </c>
      <c r="I12903" s="8">
        <v>526.6875</v>
      </c>
      <c r="J12903" s="3">
        <f t="shared" si="201"/>
        <v>43749.43467116898</v>
      </c>
    </row>
    <row r="12904" spans="1:10" x14ac:dyDescent="0.25">
      <c r="A12904" s="5" t="s">
        <v>51445</v>
      </c>
      <c r="B12904" s="6">
        <v>393.75</v>
      </c>
      <c r="C12904" s="6">
        <v>20.426300000000001</v>
      </c>
      <c r="D12904" s="6">
        <v>73</v>
      </c>
      <c r="E12904" s="6">
        <v>0</v>
      </c>
      <c r="F12904" s="6">
        <v>0</v>
      </c>
      <c r="G12904" s="6">
        <v>12</v>
      </c>
      <c r="H12904" s="6" t="s">
        <v>51446</v>
      </c>
      <c r="I12904" s="6">
        <v>526.6875</v>
      </c>
      <c r="J12904" s="2">
        <f t="shared" si="201"/>
        <v>43749.434754525464</v>
      </c>
    </row>
    <row r="12905" spans="1:10" x14ac:dyDescent="0.25">
      <c r="A12905" s="7" t="s">
        <v>51447</v>
      </c>
      <c r="B12905" s="8">
        <v>393.75</v>
      </c>
      <c r="C12905" s="8">
        <v>20.478950000000001</v>
      </c>
      <c r="D12905" s="8">
        <v>74</v>
      </c>
      <c r="E12905" s="8">
        <v>0</v>
      </c>
      <c r="F12905" s="8">
        <v>0</v>
      </c>
      <c r="G12905" s="8">
        <v>17</v>
      </c>
      <c r="H12905" s="8" t="s">
        <v>51448</v>
      </c>
      <c r="I12905" s="8">
        <v>526.6875</v>
      </c>
      <c r="J12905" s="3">
        <f t="shared" si="201"/>
        <v>43749.434837870365</v>
      </c>
    </row>
    <row r="12906" spans="1:10" x14ac:dyDescent="0.25">
      <c r="A12906" s="5" t="s">
        <v>51449</v>
      </c>
      <c r="B12906" s="6">
        <v>393.75</v>
      </c>
      <c r="C12906" s="6">
        <v>20.478950000000001</v>
      </c>
      <c r="D12906" s="6">
        <v>75</v>
      </c>
      <c r="E12906" s="6">
        <v>0</v>
      </c>
      <c r="F12906" s="6">
        <v>0</v>
      </c>
      <c r="G12906" s="6">
        <v>21</v>
      </c>
      <c r="H12906" s="6" t="s">
        <v>51450</v>
      </c>
      <c r="I12906" s="6">
        <v>526.6875</v>
      </c>
      <c r="J12906" s="2">
        <f t="shared" si="201"/>
        <v>43749.434921435182</v>
      </c>
    </row>
    <row r="12907" spans="1:10" x14ac:dyDescent="0.25">
      <c r="A12907" s="7" t="s">
        <v>51451</v>
      </c>
      <c r="B12907" s="8">
        <v>393.75</v>
      </c>
      <c r="C12907" s="8">
        <v>20.478950000000001</v>
      </c>
      <c r="D12907" s="8">
        <v>75</v>
      </c>
      <c r="E12907" s="8">
        <v>0</v>
      </c>
      <c r="F12907" s="8">
        <v>0</v>
      </c>
      <c r="G12907" s="8">
        <v>16</v>
      </c>
      <c r="H12907" s="8" t="s">
        <v>51452</v>
      </c>
      <c r="I12907" s="8">
        <v>526.5</v>
      </c>
      <c r="J12907" s="3">
        <f t="shared" si="201"/>
        <v>43749.435004548614</v>
      </c>
    </row>
    <row r="12908" spans="1:10" x14ac:dyDescent="0.25">
      <c r="A12908" s="5" t="s">
        <v>51453</v>
      </c>
      <c r="B12908" s="6">
        <v>412.5</v>
      </c>
      <c r="C12908" s="6">
        <v>20.478950000000001</v>
      </c>
      <c r="D12908" s="6">
        <v>75</v>
      </c>
      <c r="E12908" s="6">
        <v>0</v>
      </c>
      <c r="F12908" s="6">
        <v>0</v>
      </c>
      <c r="G12908" s="6">
        <v>24</v>
      </c>
      <c r="H12908" s="6" t="s">
        <v>51454</v>
      </c>
      <c r="I12908" s="6">
        <v>532.3125</v>
      </c>
      <c r="J12908" s="2">
        <f t="shared" si="201"/>
        <v>43749.435076319445</v>
      </c>
    </row>
    <row r="12909" spans="1:10" x14ac:dyDescent="0.25">
      <c r="A12909" s="7" t="s">
        <v>51455</v>
      </c>
      <c r="B12909" s="8">
        <v>393.75</v>
      </c>
      <c r="C12909" s="8">
        <v>20.478950000000001</v>
      </c>
      <c r="D12909" s="8">
        <v>73</v>
      </c>
      <c r="E12909" s="8">
        <v>0</v>
      </c>
      <c r="F12909" s="8">
        <v>0</v>
      </c>
      <c r="G12909" s="8">
        <v>14</v>
      </c>
      <c r="H12909" s="8" t="s">
        <v>51456</v>
      </c>
      <c r="I12909" s="8">
        <v>526.6875</v>
      </c>
      <c r="J12909" s="3">
        <f t="shared" si="201"/>
        <v>43749.435170277771</v>
      </c>
    </row>
    <row r="12910" spans="1:10" x14ac:dyDescent="0.25">
      <c r="A12910" s="5" t="s">
        <v>51457</v>
      </c>
      <c r="B12910" s="6">
        <v>393.75</v>
      </c>
      <c r="C12910" s="6">
        <v>20.478950000000001</v>
      </c>
      <c r="D12910" s="6">
        <v>73</v>
      </c>
      <c r="E12910" s="6">
        <v>0</v>
      </c>
      <c r="F12910" s="6">
        <v>0</v>
      </c>
      <c r="G12910" s="6">
        <v>6</v>
      </c>
      <c r="H12910" s="6" t="s">
        <v>51458</v>
      </c>
      <c r="I12910" s="6">
        <v>526.5</v>
      </c>
      <c r="J12910" s="2">
        <f t="shared" si="201"/>
        <v>43749.435243310181</v>
      </c>
    </row>
    <row r="12911" spans="1:10" x14ac:dyDescent="0.25">
      <c r="A12911" s="7" t="s">
        <v>51459</v>
      </c>
      <c r="B12911" s="8">
        <v>393.75</v>
      </c>
      <c r="C12911" s="8">
        <v>20.478950000000001</v>
      </c>
      <c r="D12911" s="8">
        <v>72</v>
      </c>
      <c r="E12911" s="8">
        <v>0</v>
      </c>
      <c r="F12911" s="8">
        <v>0</v>
      </c>
      <c r="G12911" s="8">
        <v>13</v>
      </c>
      <c r="H12911" s="8" t="s">
        <v>51460</v>
      </c>
      <c r="I12911" s="8">
        <v>526.6875</v>
      </c>
      <c r="J12911" s="3">
        <f t="shared" si="201"/>
        <v>43749.435326770828</v>
      </c>
    </row>
    <row r="12912" spans="1:10" x14ac:dyDescent="0.25">
      <c r="A12912" s="5" t="s">
        <v>51461</v>
      </c>
      <c r="B12912" s="6">
        <v>393.75</v>
      </c>
      <c r="C12912" s="6">
        <v>20.478950000000001</v>
      </c>
      <c r="D12912" s="6">
        <v>72</v>
      </c>
      <c r="E12912" s="6">
        <v>0</v>
      </c>
      <c r="F12912" s="6">
        <v>0</v>
      </c>
      <c r="G12912" s="6">
        <v>11</v>
      </c>
      <c r="H12912" s="6" t="s">
        <v>51462</v>
      </c>
      <c r="I12912" s="6">
        <v>526.6875</v>
      </c>
      <c r="J12912" s="2">
        <f t="shared" si="201"/>
        <v>43749.43541035879</v>
      </c>
    </row>
    <row r="12913" spans="1:10" x14ac:dyDescent="0.25">
      <c r="A12913" s="7" t="s">
        <v>51463</v>
      </c>
      <c r="B12913" s="8">
        <v>412.5</v>
      </c>
      <c r="C12913" s="8">
        <v>20.478950000000001</v>
      </c>
      <c r="D12913" s="8">
        <v>72</v>
      </c>
      <c r="E12913" s="8">
        <v>0</v>
      </c>
      <c r="F12913" s="8">
        <v>0</v>
      </c>
      <c r="G12913" s="8">
        <v>5</v>
      </c>
      <c r="H12913" s="8" t="s">
        <v>51464</v>
      </c>
      <c r="I12913" s="8">
        <v>532.3125</v>
      </c>
      <c r="J12913" s="3">
        <f t="shared" si="201"/>
        <v>43749.435493541663</v>
      </c>
    </row>
    <row r="12914" spans="1:10" x14ac:dyDescent="0.25">
      <c r="A12914" s="5" t="s">
        <v>51465</v>
      </c>
      <c r="B12914" s="6">
        <v>393.75</v>
      </c>
      <c r="C12914" s="6">
        <v>20.478950000000001</v>
      </c>
      <c r="D12914" s="6">
        <v>72</v>
      </c>
      <c r="E12914" s="6">
        <v>0</v>
      </c>
      <c r="F12914" s="6">
        <v>0</v>
      </c>
      <c r="G12914" s="6">
        <v>17</v>
      </c>
      <c r="H12914" s="6" t="s">
        <v>51466</v>
      </c>
      <c r="I12914" s="6">
        <v>526.6875</v>
      </c>
      <c r="J12914" s="2">
        <f t="shared" si="201"/>
        <v>43749.435565069442</v>
      </c>
    </row>
    <row r="12915" spans="1:10" x14ac:dyDescent="0.25">
      <c r="A12915" s="7" t="s">
        <v>51467</v>
      </c>
      <c r="B12915" s="8">
        <v>393.75</v>
      </c>
      <c r="C12915" s="8">
        <v>20.478950000000001</v>
      </c>
      <c r="D12915" s="8">
        <v>72</v>
      </c>
      <c r="E12915" s="8">
        <v>0</v>
      </c>
      <c r="F12915" s="8">
        <v>0</v>
      </c>
      <c r="G12915" s="8">
        <v>15</v>
      </c>
      <c r="H12915" s="8" t="s">
        <v>51468</v>
      </c>
      <c r="I12915" s="8">
        <v>526.6875</v>
      </c>
      <c r="J12915" s="3">
        <f t="shared" si="201"/>
        <v>43749.435648993058</v>
      </c>
    </row>
    <row r="12916" spans="1:10" x14ac:dyDescent="0.25">
      <c r="A12916" s="5" t="s">
        <v>51469</v>
      </c>
      <c r="B12916" s="6">
        <v>393.75</v>
      </c>
      <c r="C12916" s="6">
        <v>20.478950000000001</v>
      </c>
      <c r="D12916" s="6">
        <v>72</v>
      </c>
      <c r="E12916" s="6">
        <v>0</v>
      </c>
      <c r="F12916" s="6">
        <v>0</v>
      </c>
      <c r="G12916" s="6">
        <v>21</v>
      </c>
      <c r="H12916" s="6" t="s">
        <v>51470</v>
      </c>
      <c r="I12916" s="6">
        <v>526.6875</v>
      </c>
      <c r="J12916" s="2">
        <f t="shared" si="201"/>
        <v>43749.435720856483</v>
      </c>
    </row>
    <row r="12917" spans="1:10" x14ac:dyDescent="0.25">
      <c r="A12917" s="7" t="s">
        <v>51471</v>
      </c>
      <c r="B12917" s="8">
        <v>393.75</v>
      </c>
      <c r="C12917" s="8">
        <v>20.478950000000001</v>
      </c>
      <c r="D12917" s="8">
        <v>72</v>
      </c>
      <c r="E12917" s="8">
        <v>0</v>
      </c>
      <c r="F12917" s="8">
        <v>0</v>
      </c>
      <c r="G12917" s="8">
        <v>17</v>
      </c>
      <c r="H12917" s="8" t="s">
        <v>51472</v>
      </c>
      <c r="I12917" s="8">
        <v>526.6875</v>
      </c>
      <c r="J12917" s="3">
        <f t="shared" si="201"/>
        <v>43749.435803946755</v>
      </c>
    </row>
    <row r="12918" spans="1:10" x14ac:dyDescent="0.25">
      <c r="A12918" s="5" t="s">
        <v>51473</v>
      </c>
      <c r="B12918" s="6">
        <v>393.75</v>
      </c>
      <c r="C12918" s="6">
        <v>20.478950000000001</v>
      </c>
      <c r="D12918" s="6">
        <v>72</v>
      </c>
      <c r="E12918" s="6">
        <v>0</v>
      </c>
      <c r="F12918" s="6">
        <v>0</v>
      </c>
      <c r="G12918" s="6">
        <v>17</v>
      </c>
      <c r="H12918" s="6" t="s">
        <v>51474</v>
      </c>
      <c r="I12918" s="6">
        <v>526.6875</v>
      </c>
      <c r="J12918" s="2">
        <f t="shared" si="201"/>
        <v>43749.435887418978</v>
      </c>
    </row>
    <row r="12919" spans="1:10" x14ac:dyDescent="0.25">
      <c r="A12919" s="7" t="s">
        <v>51475</v>
      </c>
      <c r="B12919" s="8">
        <v>393.75</v>
      </c>
      <c r="C12919" s="8">
        <v>20.478950000000001</v>
      </c>
      <c r="D12919" s="8">
        <v>70</v>
      </c>
      <c r="E12919" s="8">
        <v>0</v>
      </c>
      <c r="F12919" s="8">
        <v>0</v>
      </c>
      <c r="G12919" s="8">
        <v>9</v>
      </c>
      <c r="H12919" s="8" t="s">
        <v>51476</v>
      </c>
      <c r="I12919" s="8">
        <v>526.6875</v>
      </c>
      <c r="J12919" s="3">
        <f t="shared" si="201"/>
        <v>43749.435970868049</v>
      </c>
    </row>
    <row r="12920" spans="1:10" x14ac:dyDescent="0.25">
      <c r="A12920" s="5" t="s">
        <v>51477</v>
      </c>
      <c r="B12920" s="6">
        <v>393.75</v>
      </c>
      <c r="C12920" s="6">
        <v>20.478950000000001</v>
      </c>
      <c r="D12920" s="6">
        <v>71</v>
      </c>
      <c r="E12920" s="6">
        <v>0</v>
      </c>
      <c r="F12920" s="6">
        <v>0</v>
      </c>
      <c r="G12920" s="6">
        <v>14</v>
      </c>
      <c r="H12920" s="6" t="s">
        <v>51478</v>
      </c>
      <c r="I12920" s="6">
        <v>526.6875</v>
      </c>
      <c r="J12920" s="2">
        <f t="shared" si="201"/>
        <v>43749.43605442129</v>
      </c>
    </row>
    <row r="12921" spans="1:10" x14ac:dyDescent="0.25">
      <c r="A12921" s="7" t="s">
        <v>51479</v>
      </c>
      <c r="B12921" s="8">
        <v>393.75</v>
      </c>
      <c r="C12921" s="8">
        <v>20.478950000000001</v>
      </c>
      <c r="D12921" s="8">
        <v>70</v>
      </c>
      <c r="E12921" s="8">
        <v>0</v>
      </c>
      <c r="F12921" s="8">
        <v>0</v>
      </c>
      <c r="G12921" s="8">
        <v>14</v>
      </c>
      <c r="H12921" s="8" t="s">
        <v>51480</v>
      </c>
      <c r="I12921" s="8">
        <v>526.6875</v>
      </c>
      <c r="J12921" s="3">
        <f t="shared" si="201"/>
        <v>43749.436140914353</v>
      </c>
    </row>
    <row r="12922" spans="1:10" x14ac:dyDescent="0.25">
      <c r="A12922" s="5" t="s">
        <v>51481</v>
      </c>
      <c r="B12922" s="6">
        <v>393.75</v>
      </c>
      <c r="C12922" s="6">
        <v>20.478950000000001</v>
      </c>
      <c r="D12922" s="6">
        <v>71</v>
      </c>
      <c r="E12922" s="6">
        <v>0</v>
      </c>
      <c r="F12922" s="6">
        <v>0</v>
      </c>
      <c r="G12922" s="6">
        <v>17</v>
      </c>
      <c r="H12922" s="6" t="s">
        <v>51482</v>
      </c>
      <c r="I12922" s="6">
        <v>526.6875</v>
      </c>
      <c r="J12922" s="2">
        <f t="shared" si="201"/>
        <v>43749.436221319447</v>
      </c>
    </row>
    <row r="12923" spans="1:10" x14ac:dyDescent="0.25">
      <c r="A12923" s="7" t="s">
        <v>51483</v>
      </c>
      <c r="B12923" s="8">
        <v>418.75</v>
      </c>
      <c r="C12923" s="8">
        <v>20.478950000000001</v>
      </c>
      <c r="D12923" s="8">
        <v>71</v>
      </c>
      <c r="E12923" s="8">
        <v>0</v>
      </c>
      <c r="F12923" s="8">
        <v>0</v>
      </c>
      <c r="G12923" s="8">
        <v>13</v>
      </c>
      <c r="H12923" s="8" t="s">
        <v>51484</v>
      </c>
      <c r="I12923" s="8">
        <v>534.5625</v>
      </c>
      <c r="J12923" s="3">
        <f t="shared" si="201"/>
        <v>43749.43630454861</v>
      </c>
    </row>
    <row r="12924" spans="1:10" x14ac:dyDescent="0.25">
      <c r="A12924" s="5" t="s">
        <v>51485</v>
      </c>
      <c r="B12924" s="6">
        <v>393.75</v>
      </c>
      <c r="C12924" s="6">
        <v>20.478950000000001</v>
      </c>
      <c r="D12924" s="6">
        <v>70</v>
      </c>
      <c r="E12924" s="6">
        <v>0</v>
      </c>
      <c r="F12924" s="6">
        <v>0</v>
      </c>
      <c r="G12924" s="6">
        <v>15</v>
      </c>
      <c r="H12924" s="6" t="s">
        <v>51486</v>
      </c>
      <c r="I12924" s="6">
        <v>526.6875</v>
      </c>
      <c r="J12924" s="2">
        <f t="shared" si="201"/>
        <v>43749.436388275462</v>
      </c>
    </row>
    <row r="12925" spans="1:10" x14ac:dyDescent="0.25">
      <c r="A12925" s="7" t="s">
        <v>51487</v>
      </c>
      <c r="B12925" s="8">
        <v>393.75</v>
      </c>
      <c r="C12925" s="8">
        <v>20.478950000000001</v>
      </c>
      <c r="D12925" s="8">
        <v>71</v>
      </c>
      <c r="E12925" s="8">
        <v>0</v>
      </c>
      <c r="F12925" s="8">
        <v>0</v>
      </c>
      <c r="G12925" s="8">
        <v>22</v>
      </c>
      <c r="H12925" s="8" t="s">
        <v>51488</v>
      </c>
      <c r="I12925" s="8">
        <v>526.6875</v>
      </c>
      <c r="J12925" s="3">
        <f t="shared" si="201"/>
        <v>43749.436471898145</v>
      </c>
    </row>
    <row r="12926" spans="1:10" x14ac:dyDescent="0.25">
      <c r="A12926" s="5" t="s">
        <v>51489</v>
      </c>
      <c r="B12926" s="6">
        <v>393.75</v>
      </c>
      <c r="C12926" s="6">
        <v>20.478950000000001</v>
      </c>
      <c r="D12926" s="6">
        <v>71</v>
      </c>
      <c r="E12926" s="6">
        <v>0</v>
      </c>
      <c r="F12926" s="6">
        <v>0</v>
      </c>
      <c r="G12926" s="6">
        <v>22</v>
      </c>
      <c r="H12926" s="6" t="s">
        <v>51490</v>
      </c>
      <c r="I12926" s="6">
        <v>526.6875</v>
      </c>
      <c r="J12926" s="2">
        <f t="shared" si="201"/>
        <v>43749.43654297453</v>
      </c>
    </row>
    <row r="12927" spans="1:10" x14ac:dyDescent="0.25">
      <c r="A12927" s="7" t="s">
        <v>51491</v>
      </c>
      <c r="B12927" s="8">
        <v>393.75</v>
      </c>
      <c r="C12927" s="8">
        <v>20.478950000000001</v>
      </c>
      <c r="D12927" s="8">
        <v>70</v>
      </c>
      <c r="E12927" s="8">
        <v>0</v>
      </c>
      <c r="F12927" s="8">
        <v>0</v>
      </c>
      <c r="G12927" s="8">
        <v>16</v>
      </c>
      <c r="H12927" s="8" t="s">
        <v>51492</v>
      </c>
      <c r="I12927" s="8">
        <v>526.6875</v>
      </c>
      <c r="J12927" s="3">
        <f t="shared" si="201"/>
        <v>43749.436626759256</v>
      </c>
    </row>
    <row r="12928" spans="1:10" x14ac:dyDescent="0.25">
      <c r="A12928" s="5" t="s">
        <v>51493</v>
      </c>
      <c r="B12928" s="6">
        <v>393.75</v>
      </c>
      <c r="C12928" s="6">
        <v>20.478950000000001</v>
      </c>
      <c r="D12928" s="6">
        <v>70</v>
      </c>
      <c r="E12928" s="6">
        <v>0</v>
      </c>
      <c r="F12928" s="6">
        <v>0</v>
      </c>
      <c r="G12928" s="6">
        <v>22</v>
      </c>
      <c r="H12928" s="6" t="s">
        <v>51494</v>
      </c>
      <c r="I12928" s="6">
        <v>526.6875</v>
      </c>
      <c r="J12928" s="2">
        <f t="shared" si="201"/>
        <v>43749.436710335642</v>
      </c>
    </row>
    <row r="12929" spans="1:10" x14ac:dyDescent="0.25">
      <c r="A12929" s="7" t="s">
        <v>51495</v>
      </c>
      <c r="B12929" s="8">
        <v>393.75</v>
      </c>
      <c r="C12929" s="8">
        <v>20.478950000000001</v>
      </c>
      <c r="D12929" s="8">
        <v>71</v>
      </c>
      <c r="E12929" s="8">
        <v>0</v>
      </c>
      <c r="F12929" s="8">
        <v>0</v>
      </c>
      <c r="G12929" s="8">
        <v>24</v>
      </c>
      <c r="H12929" s="8" t="s">
        <v>51496</v>
      </c>
      <c r="I12929" s="8">
        <v>526.6875</v>
      </c>
      <c r="J12929" s="3">
        <f t="shared" si="201"/>
        <v>43749.436793541659</v>
      </c>
    </row>
    <row r="12930" spans="1:10" x14ac:dyDescent="0.25">
      <c r="A12930" s="5" t="s">
        <v>51497</v>
      </c>
      <c r="B12930" s="6">
        <v>393.75</v>
      </c>
      <c r="C12930" s="6">
        <v>20.478950000000001</v>
      </c>
      <c r="D12930" s="6">
        <v>71</v>
      </c>
      <c r="E12930" s="6">
        <v>0</v>
      </c>
      <c r="F12930" s="6">
        <v>0</v>
      </c>
      <c r="G12930" s="6">
        <v>18</v>
      </c>
      <c r="H12930" s="6" t="s">
        <v>51498</v>
      </c>
      <c r="I12930" s="6">
        <v>526.6875</v>
      </c>
      <c r="J12930" s="2">
        <f t="shared" ref="J12930:J12993" si="202">(H12930/86400000)+25569+(7/24)</f>
        <v>43749.436877222215</v>
      </c>
    </row>
    <row r="12931" spans="1:10" x14ac:dyDescent="0.25">
      <c r="A12931" s="7" t="s">
        <v>51499</v>
      </c>
      <c r="B12931" s="8">
        <v>393.75</v>
      </c>
      <c r="C12931" s="8">
        <v>20.478950000000001</v>
      </c>
      <c r="D12931" s="8">
        <v>71</v>
      </c>
      <c r="E12931" s="8">
        <v>0</v>
      </c>
      <c r="F12931" s="8">
        <v>0</v>
      </c>
      <c r="G12931" s="8">
        <v>25</v>
      </c>
      <c r="H12931" s="8" t="s">
        <v>51500</v>
      </c>
      <c r="I12931" s="8">
        <v>526.5</v>
      </c>
      <c r="J12931" s="3">
        <f t="shared" si="202"/>
        <v>43749.436966909721</v>
      </c>
    </row>
    <row r="12932" spans="1:10" x14ac:dyDescent="0.25">
      <c r="A12932" s="5" t="s">
        <v>51501</v>
      </c>
      <c r="B12932" s="6">
        <v>393.75</v>
      </c>
      <c r="C12932" s="6">
        <v>20.478950000000001</v>
      </c>
      <c r="D12932" s="6">
        <v>71</v>
      </c>
      <c r="E12932" s="6">
        <v>0</v>
      </c>
      <c r="F12932" s="6">
        <v>0</v>
      </c>
      <c r="G12932" s="6">
        <v>13</v>
      </c>
      <c r="H12932" s="6" t="s">
        <v>51502</v>
      </c>
      <c r="I12932" s="6">
        <v>526.6875</v>
      </c>
      <c r="J12932" s="2">
        <f t="shared" si="202"/>
        <v>43749.437044247687</v>
      </c>
    </row>
    <row r="12933" spans="1:10" x14ac:dyDescent="0.25">
      <c r="A12933" s="7" t="s">
        <v>51503</v>
      </c>
      <c r="B12933" s="8">
        <v>393.75</v>
      </c>
      <c r="C12933" s="8">
        <v>20.478950000000001</v>
      </c>
      <c r="D12933" s="8">
        <v>72</v>
      </c>
      <c r="E12933" s="8">
        <v>0</v>
      </c>
      <c r="F12933" s="8">
        <v>0</v>
      </c>
      <c r="G12933" s="8">
        <v>21</v>
      </c>
      <c r="H12933" s="8" t="s">
        <v>51504</v>
      </c>
      <c r="I12933" s="8">
        <v>526.6875</v>
      </c>
      <c r="J12933" s="3">
        <f t="shared" si="202"/>
        <v>43749.437140497677</v>
      </c>
    </row>
    <row r="12934" spans="1:10" x14ac:dyDescent="0.25">
      <c r="A12934" s="5" t="s">
        <v>51505</v>
      </c>
      <c r="B12934" s="6">
        <v>393.75</v>
      </c>
      <c r="C12934" s="6">
        <v>20.478950000000001</v>
      </c>
      <c r="D12934" s="6">
        <v>72</v>
      </c>
      <c r="E12934" s="6">
        <v>0</v>
      </c>
      <c r="F12934" s="6">
        <v>0</v>
      </c>
      <c r="G12934" s="6">
        <v>14</v>
      </c>
      <c r="H12934" s="6" t="s">
        <v>51506</v>
      </c>
      <c r="I12934" s="6">
        <v>526.6875</v>
      </c>
      <c r="J12934" s="2">
        <f t="shared" si="202"/>
        <v>43749.43722320602</v>
      </c>
    </row>
    <row r="12935" spans="1:10" x14ac:dyDescent="0.25">
      <c r="A12935" s="7" t="s">
        <v>51507</v>
      </c>
      <c r="B12935" s="8">
        <v>393.75</v>
      </c>
      <c r="C12935" s="8">
        <v>20.478950000000001</v>
      </c>
      <c r="D12935" s="8">
        <v>73</v>
      </c>
      <c r="E12935" s="8">
        <v>0</v>
      </c>
      <c r="F12935" s="8">
        <v>0</v>
      </c>
      <c r="G12935" s="8">
        <v>19</v>
      </c>
      <c r="H12935" s="8" t="s">
        <v>51508</v>
      </c>
      <c r="I12935" s="8">
        <v>526.6875</v>
      </c>
      <c r="J12935" s="3">
        <f t="shared" si="202"/>
        <v>43749.437306284723</v>
      </c>
    </row>
    <row r="12936" spans="1:10" x14ac:dyDescent="0.25">
      <c r="A12936" s="5" t="s">
        <v>51509</v>
      </c>
      <c r="B12936" s="6">
        <v>393.75</v>
      </c>
      <c r="C12936" s="6">
        <v>20.478950000000001</v>
      </c>
      <c r="D12936" s="6">
        <v>73</v>
      </c>
      <c r="E12936" s="6">
        <v>0</v>
      </c>
      <c r="F12936" s="6">
        <v>0</v>
      </c>
      <c r="G12936" s="6">
        <v>26</v>
      </c>
      <c r="H12936" s="6" t="s">
        <v>51510</v>
      </c>
      <c r="I12936" s="6">
        <v>526.6875</v>
      </c>
      <c r="J12936" s="2">
        <f t="shared" si="202"/>
        <v>43749.437389722218</v>
      </c>
    </row>
    <row r="12937" spans="1:10" x14ac:dyDescent="0.25">
      <c r="A12937" s="7" t="s">
        <v>51511</v>
      </c>
      <c r="B12937" s="8">
        <v>412.5</v>
      </c>
      <c r="C12937" s="8">
        <v>20.478950000000001</v>
      </c>
      <c r="D12937" s="8">
        <v>73</v>
      </c>
      <c r="E12937" s="8">
        <v>0</v>
      </c>
      <c r="F12937" s="8">
        <v>0</v>
      </c>
      <c r="G12937" s="8">
        <v>20</v>
      </c>
      <c r="H12937" s="8" t="s">
        <v>51512</v>
      </c>
      <c r="I12937" s="8">
        <v>532.6875</v>
      </c>
      <c r="J12937" s="3">
        <f t="shared" si="202"/>
        <v>43749.437461562498</v>
      </c>
    </row>
    <row r="12938" spans="1:10" x14ac:dyDescent="0.25">
      <c r="A12938" s="5" t="s">
        <v>51513</v>
      </c>
      <c r="B12938" s="6">
        <v>393.75</v>
      </c>
      <c r="C12938" s="6">
        <v>20.478950000000001</v>
      </c>
      <c r="D12938" s="6">
        <v>73</v>
      </c>
      <c r="E12938" s="6">
        <v>0</v>
      </c>
      <c r="F12938" s="6">
        <v>0</v>
      </c>
      <c r="G12938" s="6">
        <v>16</v>
      </c>
      <c r="H12938" s="6" t="s">
        <v>51514</v>
      </c>
      <c r="I12938" s="6">
        <v>526.6875</v>
      </c>
      <c r="J12938" s="2">
        <f t="shared" si="202"/>
        <v>43749.43754504629</v>
      </c>
    </row>
    <row r="12939" spans="1:10" x14ac:dyDescent="0.25">
      <c r="A12939" s="7" t="s">
        <v>51515</v>
      </c>
      <c r="B12939" s="8">
        <v>393.75</v>
      </c>
      <c r="C12939" s="8">
        <v>20.478950000000001</v>
      </c>
      <c r="D12939" s="8">
        <v>74</v>
      </c>
      <c r="E12939" s="8">
        <v>0</v>
      </c>
      <c r="F12939" s="8">
        <v>0</v>
      </c>
      <c r="G12939" s="8">
        <v>24</v>
      </c>
      <c r="H12939" s="8" t="s">
        <v>51516</v>
      </c>
      <c r="I12939" s="8">
        <v>526.6875</v>
      </c>
      <c r="J12939" s="3">
        <f t="shared" si="202"/>
        <v>43749.437629178239</v>
      </c>
    </row>
    <row r="12940" spans="1:10" x14ac:dyDescent="0.25">
      <c r="A12940" s="5" t="s">
        <v>51517</v>
      </c>
      <c r="B12940" s="6">
        <v>393.75</v>
      </c>
      <c r="C12940" s="6">
        <v>20.478950000000001</v>
      </c>
      <c r="D12940" s="6">
        <v>76</v>
      </c>
      <c r="E12940" s="6">
        <v>0</v>
      </c>
      <c r="F12940" s="6">
        <v>0</v>
      </c>
      <c r="G12940" s="6">
        <v>16</v>
      </c>
      <c r="H12940" s="6" t="s">
        <v>51518</v>
      </c>
      <c r="I12940" s="6">
        <v>526.5</v>
      </c>
      <c r="J12940" s="2">
        <f t="shared" si="202"/>
        <v>43749.437711921295</v>
      </c>
    </row>
    <row r="12941" spans="1:10" x14ac:dyDescent="0.25">
      <c r="A12941" s="7" t="s">
        <v>51519</v>
      </c>
      <c r="B12941" s="8">
        <v>393.75</v>
      </c>
      <c r="C12941" s="8">
        <v>20.478950000000001</v>
      </c>
      <c r="D12941" s="8">
        <v>76</v>
      </c>
      <c r="E12941" s="8">
        <v>0</v>
      </c>
      <c r="F12941" s="8">
        <v>0</v>
      </c>
      <c r="G12941" s="8">
        <v>17</v>
      </c>
      <c r="H12941" s="8" t="s">
        <v>51520</v>
      </c>
      <c r="I12941" s="8">
        <v>526.6875</v>
      </c>
      <c r="J12941" s="3">
        <f t="shared" si="202"/>
        <v>43749.437797939812</v>
      </c>
    </row>
    <row r="12942" spans="1:10" x14ac:dyDescent="0.25">
      <c r="A12942" s="5" t="s">
        <v>51521</v>
      </c>
      <c r="B12942" s="6">
        <v>412.5</v>
      </c>
      <c r="C12942" s="6">
        <v>20.478950000000001</v>
      </c>
      <c r="D12942" s="6">
        <v>75</v>
      </c>
      <c r="E12942" s="6">
        <v>0</v>
      </c>
      <c r="F12942" s="6">
        <v>0</v>
      </c>
      <c r="G12942" s="6">
        <v>22</v>
      </c>
      <c r="H12942" s="6" t="s">
        <v>51522</v>
      </c>
      <c r="I12942" s="6">
        <v>532.125</v>
      </c>
      <c r="J12942" s="2">
        <f t="shared" si="202"/>
        <v>43749.437878692122</v>
      </c>
    </row>
    <row r="12943" spans="1:10" x14ac:dyDescent="0.25">
      <c r="A12943" s="7" t="s">
        <v>51523</v>
      </c>
      <c r="B12943" s="8">
        <v>393.75</v>
      </c>
      <c r="C12943" s="8">
        <v>20.478950000000001</v>
      </c>
      <c r="D12943" s="8">
        <v>75</v>
      </c>
      <c r="E12943" s="8">
        <v>0</v>
      </c>
      <c r="F12943" s="8">
        <v>0</v>
      </c>
      <c r="G12943" s="8">
        <v>23</v>
      </c>
      <c r="H12943" s="8" t="s">
        <v>51524</v>
      </c>
      <c r="I12943" s="8">
        <v>526.6875</v>
      </c>
      <c r="J12943" s="3">
        <f t="shared" si="202"/>
        <v>43749.437950347223</v>
      </c>
    </row>
    <row r="12944" spans="1:10" x14ac:dyDescent="0.25">
      <c r="A12944" s="5" t="s">
        <v>51525</v>
      </c>
      <c r="B12944" s="6">
        <v>393.75</v>
      </c>
      <c r="C12944" s="6">
        <v>20.478950000000001</v>
      </c>
      <c r="D12944" s="6">
        <v>75</v>
      </c>
      <c r="E12944" s="6">
        <v>0</v>
      </c>
      <c r="F12944" s="6">
        <v>0</v>
      </c>
      <c r="G12944" s="6">
        <v>17</v>
      </c>
      <c r="H12944" s="6" t="s">
        <v>51526</v>
      </c>
      <c r="I12944" s="6">
        <v>526.6875</v>
      </c>
      <c r="J12944" s="2">
        <f t="shared" si="202"/>
        <v>43749.438033935185</v>
      </c>
    </row>
    <row r="12945" spans="1:10" x14ac:dyDescent="0.25">
      <c r="A12945" s="7" t="s">
        <v>51527</v>
      </c>
      <c r="B12945" s="8">
        <v>393.75</v>
      </c>
      <c r="C12945" s="8">
        <v>20.478950000000001</v>
      </c>
      <c r="D12945" s="8">
        <v>75</v>
      </c>
      <c r="E12945" s="8">
        <v>0</v>
      </c>
      <c r="F12945" s="8">
        <v>0</v>
      </c>
      <c r="G12945" s="8">
        <v>20</v>
      </c>
      <c r="H12945" s="8" t="s">
        <v>51528</v>
      </c>
      <c r="I12945" s="8">
        <v>526.6875</v>
      </c>
      <c r="J12945" s="3">
        <f t="shared" si="202"/>
        <v>43749.438117361111</v>
      </c>
    </row>
    <row r="12946" spans="1:10" x14ac:dyDescent="0.25">
      <c r="A12946" s="5" t="s">
        <v>51529</v>
      </c>
      <c r="B12946" s="6">
        <v>393.75</v>
      </c>
      <c r="C12946" s="6">
        <v>20.478950000000001</v>
      </c>
      <c r="D12946" s="6">
        <v>75</v>
      </c>
      <c r="E12946" s="6">
        <v>0</v>
      </c>
      <c r="F12946" s="6">
        <v>0</v>
      </c>
      <c r="G12946" s="6">
        <v>19</v>
      </c>
      <c r="H12946" s="6" t="s">
        <v>51530</v>
      </c>
      <c r="I12946" s="6">
        <v>526.6875</v>
      </c>
      <c r="J12946" s="2">
        <f t="shared" si="202"/>
        <v>43749.438200937497</v>
      </c>
    </row>
    <row r="12947" spans="1:10" x14ac:dyDescent="0.25">
      <c r="A12947" s="7" t="s">
        <v>51531</v>
      </c>
      <c r="B12947" s="8">
        <v>415.625</v>
      </c>
      <c r="C12947" s="8">
        <v>20.478950000000001</v>
      </c>
      <c r="D12947" s="8">
        <v>75</v>
      </c>
      <c r="E12947" s="8">
        <v>0</v>
      </c>
      <c r="F12947" s="8">
        <v>0</v>
      </c>
      <c r="G12947" s="8">
        <v>22</v>
      </c>
      <c r="H12947" s="8" t="s">
        <v>51532</v>
      </c>
      <c r="I12947" s="8">
        <v>533.0625</v>
      </c>
      <c r="J12947" s="3">
        <f t="shared" si="202"/>
        <v>43749.438284641197</v>
      </c>
    </row>
    <row r="12948" spans="1:10" x14ac:dyDescent="0.25">
      <c r="A12948" s="5" t="s">
        <v>51533</v>
      </c>
      <c r="B12948" s="6">
        <v>393.75</v>
      </c>
      <c r="C12948" s="6">
        <v>20.478950000000001</v>
      </c>
      <c r="D12948" s="6">
        <v>73</v>
      </c>
      <c r="E12948" s="6">
        <v>0</v>
      </c>
      <c r="F12948" s="6">
        <v>0</v>
      </c>
      <c r="G12948" s="6">
        <v>15</v>
      </c>
      <c r="H12948" s="6" t="s">
        <v>51534</v>
      </c>
      <c r="I12948" s="6">
        <v>526.6875</v>
      </c>
      <c r="J12948" s="2">
        <f t="shared" si="202"/>
        <v>43749.438367627314</v>
      </c>
    </row>
    <row r="12949" spans="1:10" x14ac:dyDescent="0.25">
      <c r="A12949" s="7" t="s">
        <v>51535</v>
      </c>
      <c r="B12949" s="8">
        <v>393.75</v>
      </c>
      <c r="C12949" s="8">
        <v>20.478950000000001</v>
      </c>
      <c r="D12949" s="8">
        <v>73</v>
      </c>
      <c r="E12949" s="8">
        <v>0</v>
      </c>
      <c r="F12949" s="8">
        <v>0</v>
      </c>
      <c r="G12949" s="8">
        <v>19</v>
      </c>
      <c r="H12949" s="8" t="s">
        <v>51536</v>
      </c>
      <c r="I12949" s="8">
        <v>526.6875</v>
      </c>
      <c r="J12949" s="3">
        <f t="shared" si="202"/>
        <v>43749.43843913194</v>
      </c>
    </row>
    <row r="12950" spans="1:10" x14ac:dyDescent="0.25">
      <c r="A12950" s="5" t="s">
        <v>51537</v>
      </c>
      <c r="B12950" s="6">
        <v>393.75</v>
      </c>
      <c r="C12950" s="6">
        <v>20.478950000000001</v>
      </c>
      <c r="D12950" s="6">
        <v>73</v>
      </c>
      <c r="E12950" s="6">
        <v>0</v>
      </c>
      <c r="F12950" s="6">
        <v>0</v>
      </c>
      <c r="G12950" s="6">
        <v>18</v>
      </c>
      <c r="H12950" s="6" t="s">
        <v>51538</v>
      </c>
      <c r="I12950" s="6">
        <v>526.6875</v>
      </c>
      <c r="J12950" s="2">
        <f t="shared" si="202"/>
        <v>43749.438523159719</v>
      </c>
    </row>
    <row r="12951" spans="1:10" x14ac:dyDescent="0.25">
      <c r="A12951" s="7" t="s">
        <v>51539</v>
      </c>
      <c r="B12951" s="8">
        <v>393.75</v>
      </c>
      <c r="C12951" s="8">
        <v>20.478950000000001</v>
      </c>
      <c r="D12951" s="8">
        <v>73</v>
      </c>
      <c r="E12951" s="8">
        <v>0</v>
      </c>
      <c r="F12951" s="8">
        <v>0</v>
      </c>
      <c r="G12951" s="8">
        <v>14</v>
      </c>
      <c r="H12951" s="8" t="s">
        <v>51540</v>
      </c>
      <c r="I12951" s="8">
        <v>526.6875</v>
      </c>
      <c r="J12951" s="3">
        <f t="shared" si="202"/>
        <v>43749.438606377313</v>
      </c>
    </row>
    <row r="12952" spans="1:10" x14ac:dyDescent="0.25">
      <c r="A12952" s="5" t="s">
        <v>51541</v>
      </c>
      <c r="B12952" s="6">
        <v>418.75</v>
      </c>
      <c r="C12952" s="6">
        <v>20.478950000000001</v>
      </c>
      <c r="D12952" s="6">
        <v>73</v>
      </c>
      <c r="E12952" s="6">
        <v>0</v>
      </c>
      <c r="F12952" s="6">
        <v>0</v>
      </c>
      <c r="G12952" s="6">
        <v>22</v>
      </c>
      <c r="H12952" s="6" t="s">
        <v>51542</v>
      </c>
      <c r="I12952" s="6">
        <v>534.375</v>
      </c>
      <c r="J12952" s="2">
        <f t="shared" si="202"/>
        <v>43749.438689699069</v>
      </c>
    </row>
    <row r="12953" spans="1:10" x14ac:dyDescent="0.25">
      <c r="A12953" s="7" t="s">
        <v>51543</v>
      </c>
      <c r="B12953" s="8">
        <v>393.75</v>
      </c>
      <c r="C12953" s="8">
        <v>20.478950000000001</v>
      </c>
      <c r="D12953" s="8">
        <v>73</v>
      </c>
      <c r="E12953" s="8">
        <v>0</v>
      </c>
      <c r="F12953" s="8">
        <v>0</v>
      </c>
      <c r="G12953" s="8">
        <v>15</v>
      </c>
      <c r="H12953" s="8" t="s">
        <v>51544</v>
      </c>
      <c r="I12953" s="8">
        <v>526.5</v>
      </c>
      <c r="J12953" s="3">
        <f t="shared" si="202"/>
        <v>43749.438773287031</v>
      </c>
    </row>
    <row r="12954" spans="1:10" x14ac:dyDescent="0.25">
      <c r="A12954" s="5" t="s">
        <v>51545</v>
      </c>
      <c r="B12954" s="6">
        <v>393.75</v>
      </c>
      <c r="C12954" s="6">
        <v>20.478950000000001</v>
      </c>
      <c r="D12954" s="6">
        <v>73</v>
      </c>
      <c r="E12954" s="6">
        <v>0</v>
      </c>
      <c r="F12954" s="6">
        <v>0</v>
      </c>
      <c r="G12954" s="6">
        <v>17</v>
      </c>
      <c r="H12954" s="6" t="s">
        <v>51546</v>
      </c>
      <c r="I12954" s="6">
        <v>526.6875</v>
      </c>
      <c r="J12954" s="2">
        <f t="shared" si="202"/>
        <v>43749.438856585642</v>
      </c>
    </row>
    <row r="12955" spans="1:10" x14ac:dyDescent="0.25">
      <c r="A12955" s="7" t="s">
        <v>51547</v>
      </c>
      <c r="B12955" s="8">
        <v>393.75</v>
      </c>
      <c r="C12955" s="8">
        <v>20.478950000000001</v>
      </c>
      <c r="D12955" s="8">
        <v>73</v>
      </c>
      <c r="E12955" s="8">
        <v>0</v>
      </c>
      <c r="F12955" s="8">
        <v>0</v>
      </c>
      <c r="G12955" s="8">
        <v>13</v>
      </c>
      <c r="H12955" s="8" t="s">
        <v>51548</v>
      </c>
      <c r="I12955" s="8">
        <v>526.5</v>
      </c>
      <c r="J12955" s="3">
        <f t="shared" si="202"/>
        <v>43749.438928020834</v>
      </c>
    </row>
    <row r="12956" spans="1:10" x14ac:dyDescent="0.25">
      <c r="A12956" s="5" t="s">
        <v>51549</v>
      </c>
      <c r="B12956" s="6">
        <v>393.75</v>
      </c>
      <c r="C12956" s="6">
        <v>20.478950000000001</v>
      </c>
      <c r="D12956" s="6">
        <v>74</v>
      </c>
      <c r="E12956" s="6">
        <v>0</v>
      </c>
      <c r="F12956" s="6">
        <v>0</v>
      </c>
      <c r="G12956" s="6">
        <v>17</v>
      </c>
      <c r="H12956" s="6" t="s">
        <v>51550</v>
      </c>
      <c r="I12956" s="6">
        <v>526.6875</v>
      </c>
      <c r="J12956" s="2">
        <f t="shared" si="202"/>
        <v>43749.439012048613</v>
      </c>
    </row>
    <row r="12957" spans="1:10" x14ac:dyDescent="0.25">
      <c r="A12957" s="7" t="s">
        <v>51551</v>
      </c>
      <c r="B12957" s="8">
        <v>393.75</v>
      </c>
      <c r="C12957" s="8">
        <v>20.478950000000001</v>
      </c>
      <c r="D12957" s="8">
        <v>74</v>
      </c>
      <c r="E12957" s="8">
        <v>0</v>
      </c>
      <c r="F12957" s="8">
        <v>0</v>
      </c>
      <c r="G12957" s="8">
        <v>17</v>
      </c>
      <c r="H12957" s="8" t="s">
        <v>51552</v>
      </c>
      <c r="I12957" s="8">
        <v>526.6875</v>
      </c>
      <c r="J12957" s="3">
        <f t="shared" si="202"/>
        <v>43749.439094907408</v>
      </c>
    </row>
    <row r="12958" spans="1:10" x14ac:dyDescent="0.25">
      <c r="A12958" s="5" t="s">
        <v>51553</v>
      </c>
      <c r="B12958" s="6">
        <v>393.75</v>
      </c>
      <c r="C12958" s="6">
        <v>20.478950000000001</v>
      </c>
      <c r="D12958" s="6">
        <v>74</v>
      </c>
      <c r="E12958" s="6">
        <v>0</v>
      </c>
      <c r="F12958" s="6">
        <v>0</v>
      </c>
      <c r="G12958" s="6">
        <v>17</v>
      </c>
      <c r="H12958" s="6" t="s">
        <v>51554</v>
      </c>
      <c r="I12958" s="6">
        <v>526.6875</v>
      </c>
      <c r="J12958" s="2">
        <f t="shared" si="202"/>
        <v>43749.439178611108</v>
      </c>
    </row>
    <row r="12959" spans="1:10" x14ac:dyDescent="0.25">
      <c r="A12959" s="7" t="s">
        <v>51555</v>
      </c>
      <c r="B12959" s="8">
        <v>418.75</v>
      </c>
      <c r="C12959" s="8">
        <v>20.478950000000001</v>
      </c>
      <c r="D12959" s="8">
        <v>72</v>
      </c>
      <c r="E12959" s="8">
        <v>0</v>
      </c>
      <c r="F12959" s="8">
        <v>0</v>
      </c>
      <c r="G12959" s="8">
        <v>10</v>
      </c>
      <c r="H12959" s="8" t="s">
        <v>51556</v>
      </c>
      <c r="I12959" s="8">
        <v>534.75</v>
      </c>
      <c r="J12959" s="3">
        <f t="shared" si="202"/>
        <v>43749.439262453699</v>
      </c>
    </row>
    <row r="12960" spans="1:10" x14ac:dyDescent="0.25">
      <c r="A12960" s="5" t="s">
        <v>51557</v>
      </c>
      <c r="B12960" s="6">
        <v>393.75</v>
      </c>
      <c r="C12960" s="6">
        <v>20.478950000000001</v>
      </c>
      <c r="D12960" s="6">
        <v>73</v>
      </c>
      <c r="E12960" s="6">
        <v>0</v>
      </c>
      <c r="F12960" s="6">
        <v>0</v>
      </c>
      <c r="G12960" s="6">
        <v>20</v>
      </c>
      <c r="H12960" s="6" t="s">
        <v>51558</v>
      </c>
      <c r="I12960" s="6">
        <v>526.6875</v>
      </c>
      <c r="J12960" s="2">
        <f t="shared" si="202"/>
        <v>43749.439345509258</v>
      </c>
    </row>
    <row r="12961" spans="1:10" x14ac:dyDescent="0.25">
      <c r="A12961" s="7" t="s">
        <v>51559</v>
      </c>
      <c r="B12961" s="8">
        <v>393.75</v>
      </c>
      <c r="C12961" s="8">
        <v>20.478950000000001</v>
      </c>
      <c r="D12961" s="8">
        <v>73</v>
      </c>
      <c r="E12961" s="8">
        <v>0</v>
      </c>
      <c r="F12961" s="8">
        <v>0</v>
      </c>
      <c r="G12961" s="8">
        <v>9</v>
      </c>
      <c r="H12961" s="8" t="s">
        <v>51560</v>
      </c>
      <c r="I12961" s="8">
        <v>526.6875</v>
      </c>
      <c r="J12961" s="3">
        <f t="shared" si="202"/>
        <v>43749.43941702546</v>
      </c>
    </row>
    <row r="12962" spans="1:10" x14ac:dyDescent="0.25">
      <c r="A12962" s="5" t="s">
        <v>51561</v>
      </c>
      <c r="B12962" s="6">
        <v>393.75</v>
      </c>
      <c r="C12962" s="6">
        <v>20.478950000000001</v>
      </c>
      <c r="D12962" s="6">
        <v>74</v>
      </c>
      <c r="E12962" s="6">
        <v>0</v>
      </c>
      <c r="F12962" s="6">
        <v>0</v>
      </c>
      <c r="G12962" s="6">
        <v>15</v>
      </c>
      <c r="H12962" s="6" t="s">
        <v>51562</v>
      </c>
      <c r="I12962" s="6">
        <v>526.6875</v>
      </c>
      <c r="J12962" s="2">
        <f t="shared" si="202"/>
        <v>43749.439500810178</v>
      </c>
    </row>
    <row r="12963" spans="1:10" x14ac:dyDescent="0.25">
      <c r="A12963" s="7" t="s">
        <v>51563</v>
      </c>
      <c r="B12963" s="8">
        <v>393.75</v>
      </c>
      <c r="C12963" s="8">
        <v>20.478950000000001</v>
      </c>
      <c r="D12963" s="8">
        <v>74</v>
      </c>
      <c r="E12963" s="8">
        <v>0</v>
      </c>
      <c r="F12963" s="8">
        <v>0</v>
      </c>
      <c r="G12963" s="8">
        <v>17</v>
      </c>
      <c r="H12963" s="8" t="s">
        <v>51564</v>
      </c>
      <c r="I12963" s="8">
        <v>526.6875</v>
      </c>
      <c r="J12963" s="3">
        <f t="shared" si="202"/>
        <v>43749.439584849533</v>
      </c>
    </row>
    <row r="12964" spans="1:10" x14ac:dyDescent="0.25">
      <c r="A12964" s="5" t="s">
        <v>51565</v>
      </c>
      <c r="B12964" s="6">
        <v>393.75</v>
      </c>
      <c r="C12964" s="6">
        <v>20.478950000000001</v>
      </c>
      <c r="D12964" s="6">
        <v>74</v>
      </c>
      <c r="E12964" s="6">
        <v>0</v>
      </c>
      <c r="F12964" s="6">
        <v>0</v>
      </c>
      <c r="G12964" s="6">
        <v>7</v>
      </c>
      <c r="H12964" s="6" t="s">
        <v>51566</v>
      </c>
      <c r="I12964" s="6">
        <v>526.6875</v>
      </c>
      <c r="J12964" s="2">
        <f t="shared" si="202"/>
        <v>43749.43966747685</v>
      </c>
    </row>
    <row r="12965" spans="1:10" x14ac:dyDescent="0.25">
      <c r="A12965" s="7" t="s">
        <v>51567</v>
      </c>
      <c r="B12965" s="8">
        <v>393.75</v>
      </c>
      <c r="C12965" s="8">
        <v>20.478950000000001</v>
      </c>
      <c r="D12965" s="8">
        <v>74</v>
      </c>
      <c r="E12965" s="8">
        <v>0</v>
      </c>
      <c r="F12965" s="8">
        <v>0</v>
      </c>
      <c r="G12965" s="8">
        <v>21</v>
      </c>
      <c r="H12965" s="8" t="s">
        <v>51568</v>
      </c>
      <c r="I12965" s="8">
        <v>526.6875</v>
      </c>
      <c r="J12965" s="3">
        <f t="shared" si="202"/>
        <v>43749.439739236106</v>
      </c>
    </row>
    <row r="12966" spans="1:10" x14ac:dyDescent="0.25">
      <c r="A12966" s="5" t="s">
        <v>51569</v>
      </c>
      <c r="B12966" s="6">
        <v>393.75</v>
      </c>
      <c r="C12966" s="6">
        <v>20.478950000000001</v>
      </c>
      <c r="D12966" s="6">
        <v>74</v>
      </c>
      <c r="E12966" s="6">
        <v>0</v>
      </c>
      <c r="F12966" s="6">
        <v>0</v>
      </c>
      <c r="G12966" s="6">
        <v>13</v>
      </c>
      <c r="H12966" s="6" t="s">
        <v>51570</v>
      </c>
      <c r="I12966" s="6">
        <v>526.6875</v>
      </c>
      <c r="J12966" s="2">
        <f t="shared" si="202"/>
        <v>43749.439822696753</v>
      </c>
    </row>
    <row r="12967" spans="1:10" x14ac:dyDescent="0.25">
      <c r="A12967" s="7" t="s">
        <v>51571</v>
      </c>
      <c r="B12967" s="8">
        <v>412.5</v>
      </c>
      <c r="C12967" s="8">
        <v>20.478950000000001</v>
      </c>
      <c r="D12967" s="8">
        <v>74</v>
      </c>
      <c r="E12967" s="8">
        <v>0</v>
      </c>
      <c r="F12967" s="8">
        <v>0</v>
      </c>
      <c r="G12967" s="8">
        <v>21</v>
      </c>
      <c r="H12967" s="8" t="s">
        <v>51572</v>
      </c>
      <c r="I12967" s="8">
        <v>532.3125</v>
      </c>
      <c r="J12967" s="3">
        <f t="shared" si="202"/>
        <v>43749.439905949075</v>
      </c>
    </row>
    <row r="12968" spans="1:10" x14ac:dyDescent="0.25">
      <c r="A12968" s="5" t="s">
        <v>51573</v>
      </c>
      <c r="B12968" s="6">
        <v>393.75</v>
      </c>
      <c r="C12968" s="6">
        <v>20.478950000000001</v>
      </c>
      <c r="D12968" s="6">
        <v>73</v>
      </c>
      <c r="E12968" s="6">
        <v>0</v>
      </c>
      <c r="F12968" s="6">
        <v>0</v>
      </c>
      <c r="G12968" s="6">
        <v>12</v>
      </c>
      <c r="H12968" s="6" t="s">
        <v>51574</v>
      </c>
      <c r="I12968" s="6">
        <v>526.6875</v>
      </c>
      <c r="J12968" s="2">
        <f t="shared" si="202"/>
        <v>43749.439989861108</v>
      </c>
    </row>
    <row r="12969" spans="1:10" x14ac:dyDescent="0.25">
      <c r="A12969" s="7" t="s">
        <v>51575</v>
      </c>
      <c r="B12969" s="8">
        <v>393.75</v>
      </c>
      <c r="C12969" s="8">
        <v>20.478950000000001</v>
      </c>
      <c r="D12969" s="8">
        <v>73</v>
      </c>
      <c r="E12969" s="8">
        <v>0</v>
      </c>
      <c r="F12969" s="8">
        <v>0</v>
      </c>
      <c r="G12969" s="8">
        <v>20</v>
      </c>
      <c r="H12969" s="8" t="s">
        <v>51576</v>
      </c>
      <c r="I12969" s="8">
        <v>526.6875</v>
      </c>
      <c r="J12969" s="3">
        <f t="shared" si="202"/>
        <v>43749.440073171289</v>
      </c>
    </row>
    <row r="12970" spans="1:10" x14ac:dyDescent="0.25">
      <c r="A12970" s="5" t="s">
        <v>51577</v>
      </c>
      <c r="B12970" s="6">
        <v>393.75</v>
      </c>
      <c r="C12970" s="6">
        <v>20.478950000000001</v>
      </c>
      <c r="D12970" s="6">
        <v>73</v>
      </c>
      <c r="E12970" s="6">
        <v>0</v>
      </c>
      <c r="F12970" s="6">
        <v>0</v>
      </c>
      <c r="G12970" s="6">
        <v>12</v>
      </c>
      <c r="H12970" s="6" t="s">
        <v>51578</v>
      </c>
      <c r="I12970" s="6">
        <v>526.6875</v>
      </c>
      <c r="J12970" s="2">
        <f t="shared" si="202"/>
        <v>43749.44015638889</v>
      </c>
    </row>
    <row r="12971" spans="1:10" x14ac:dyDescent="0.25">
      <c r="A12971" s="7" t="s">
        <v>51579</v>
      </c>
      <c r="B12971" s="8">
        <v>393.75</v>
      </c>
      <c r="C12971" s="8">
        <v>20.478950000000001</v>
      </c>
      <c r="D12971" s="8">
        <v>73</v>
      </c>
      <c r="E12971" s="8">
        <v>0</v>
      </c>
      <c r="F12971" s="8">
        <v>0</v>
      </c>
      <c r="G12971" s="8">
        <v>10</v>
      </c>
      <c r="H12971" s="8" t="s">
        <v>51580</v>
      </c>
      <c r="I12971" s="8">
        <v>526.6875</v>
      </c>
      <c r="J12971" s="3">
        <f t="shared" si="202"/>
        <v>43749.440228263884</v>
      </c>
    </row>
    <row r="12972" spans="1:10" x14ac:dyDescent="0.25">
      <c r="A12972" s="5" t="s">
        <v>51581</v>
      </c>
      <c r="B12972" s="6">
        <v>393.75</v>
      </c>
      <c r="C12972" s="6">
        <v>20.478950000000001</v>
      </c>
      <c r="D12972" s="6">
        <v>74</v>
      </c>
      <c r="E12972" s="6">
        <v>0</v>
      </c>
      <c r="F12972" s="6">
        <v>0</v>
      </c>
      <c r="G12972" s="6">
        <v>20</v>
      </c>
      <c r="H12972" s="6" t="s">
        <v>51582</v>
      </c>
      <c r="I12972" s="6">
        <v>526.6875</v>
      </c>
      <c r="J12972" s="2">
        <f t="shared" si="202"/>
        <v>43749.440311736107</v>
      </c>
    </row>
    <row r="12973" spans="1:10" x14ac:dyDescent="0.25">
      <c r="A12973" s="7" t="s">
        <v>51583</v>
      </c>
      <c r="B12973" s="8">
        <v>393.75</v>
      </c>
      <c r="C12973" s="8">
        <v>20.478950000000001</v>
      </c>
      <c r="D12973" s="8">
        <v>74</v>
      </c>
      <c r="E12973" s="8">
        <v>0</v>
      </c>
      <c r="F12973" s="8">
        <v>0</v>
      </c>
      <c r="G12973" s="8">
        <v>19</v>
      </c>
      <c r="H12973" s="8" t="s">
        <v>51584</v>
      </c>
      <c r="I12973" s="8">
        <v>526.6875</v>
      </c>
      <c r="J12973" s="3">
        <f t="shared" si="202"/>
        <v>43749.440395196762</v>
      </c>
    </row>
    <row r="12974" spans="1:10" x14ac:dyDescent="0.25">
      <c r="A12974" s="5" t="s">
        <v>51585</v>
      </c>
      <c r="B12974" s="6">
        <v>393.75</v>
      </c>
      <c r="C12974" s="6">
        <v>20.478950000000001</v>
      </c>
      <c r="D12974" s="6">
        <v>75</v>
      </c>
      <c r="E12974" s="6">
        <v>0</v>
      </c>
      <c r="F12974" s="6">
        <v>0</v>
      </c>
      <c r="G12974" s="6">
        <v>18</v>
      </c>
      <c r="H12974" s="6" t="s">
        <v>51586</v>
      </c>
      <c r="I12974" s="6">
        <v>526.6875</v>
      </c>
      <c r="J12974" s="2">
        <f t="shared" si="202"/>
        <v>43749.440478611104</v>
      </c>
    </row>
    <row r="12975" spans="1:10" x14ac:dyDescent="0.25">
      <c r="A12975" s="7" t="s">
        <v>51587</v>
      </c>
      <c r="B12975" s="8">
        <v>393.75</v>
      </c>
      <c r="C12975" s="8">
        <v>20.478950000000001</v>
      </c>
      <c r="D12975" s="8">
        <v>74</v>
      </c>
      <c r="E12975" s="8">
        <v>0</v>
      </c>
      <c r="F12975" s="8">
        <v>0</v>
      </c>
      <c r="G12975" s="8">
        <v>21</v>
      </c>
      <c r="H12975" s="8" t="s">
        <v>51588</v>
      </c>
      <c r="I12975" s="8">
        <v>526.6875</v>
      </c>
      <c r="J12975" s="3">
        <f t="shared" si="202"/>
        <v>43749.440562175929</v>
      </c>
    </row>
    <row r="12976" spans="1:10" x14ac:dyDescent="0.25">
      <c r="A12976" s="5" t="s">
        <v>51589</v>
      </c>
      <c r="B12976" s="6">
        <v>393.75</v>
      </c>
      <c r="C12976" s="6">
        <v>20.478950000000001</v>
      </c>
      <c r="D12976" s="6">
        <v>74</v>
      </c>
      <c r="E12976" s="6">
        <v>0</v>
      </c>
      <c r="F12976" s="6">
        <v>0</v>
      </c>
      <c r="G12976" s="6">
        <v>13</v>
      </c>
      <c r="H12976" s="6" t="s">
        <v>51590</v>
      </c>
      <c r="I12976" s="6">
        <v>526.5</v>
      </c>
      <c r="J12976" s="2">
        <f t="shared" si="202"/>
        <v>43749.440645405091</v>
      </c>
    </row>
    <row r="12977" spans="1:10" x14ac:dyDescent="0.25">
      <c r="A12977" s="7" t="s">
        <v>51591</v>
      </c>
      <c r="B12977" s="8">
        <v>412.5</v>
      </c>
      <c r="C12977" s="8">
        <v>20.478950000000001</v>
      </c>
      <c r="D12977" s="8">
        <v>74</v>
      </c>
      <c r="E12977" s="8">
        <v>0</v>
      </c>
      <c r="F12977" s="8">
        <v>0</v>
      </c>
      <c r="G12977" s="8">
        <v>27</v>
      </c>
      <c r="H12977" s="8" t="s">
        <v>51592</v>
      </c>
      <c r="I12977" s="8">
        <v>532.6875</v>
      </c>
      <c r="J12977" s="3">
        <f t="shared" si="202"/>
        <v>43749.44071693287</v>
      </c>
    </row>
    <row r="12978" spans="1:10" x14ac:dyDescent="0.25">
      <c r="A12978" s="5" t="s">
        <v>51593</v>
      </c>
      <c r="B12978" s="6">
        <v>393.75</v>
      </c>
      <c r="C12978" s="6">
        <v>20.478950000000001</v>
      </c>
      <c r="D12978" s="6">
        <v>75</v>
      </c>
      <c r="E12978" s="6">
        <v>0</v>
      </c>
      <c r="F12978" s="6">
        <v>0</v>
      </c>
      <c r="G12978" s="6">
        <v>22</v>
      </c>
      <c r="H12978" s="6" t="s">
        <v>51594</v>
      </c>
      <c r="I12978" s="6">
        <v>526.6875</v>
      </c>
      <c r="J12978" s="2">
        <f t="shared" si="202"/>
        <v>43749.440800972217</v>
      </c>
    </row>
    <row r="12979" spans="1:10" x14ac:dyDescent="0.25">
      <c r="A12979" s="7" t="s">
        <v>51595</v>
      </c>
      <c r="B12979" s="8">
        <v>393.75</v>
      </c>
      <c r="C12979" s="8">
        <v>20.478950000000001</v>
      </c>
      <c r="D12979" s="8">
        <v>74</v>
      </c>
      <c r="E12979" s="8">
        <v>0</v>
      </c>
      <c r="F12979" s="8">
        <v>0</v>
      </c>
      <c r="G12979" s="8">
        <v>15</v>
      </c>
      <c r="H12979" s="8" t="s">
        <v>51596</v>
      </c>
      <c r="I12979" s="8">
        <v>526.6875</v>
      </c>
      <c r="J12979" s="3">
        <f t="shared" si="202"/>
        <v>43749.440903078699</v>
      </c>
    </row>
    <row r="12980" spans="1:10" x14ac:dyDescent="0.25">
      <c r="A12980" s="5" t="s">
        <v>51597</v>
      </c>
      <c r="B12980" s="6">
        <v>393.75</v>
      </c>
      <c r="C12980" s="6">
        <v>20.478950000000001</v>
      </c>
      <c r="D12980" s="6">
        <v>74</v>
      </c>
      <c r="E12980" s="6">
        <v>0</v>
      </c>
      <c r="F12980" s="6">
        <v>0</v>
      </c>
      <c r="G12980" s="6">
        <v>19</v>
      </c>
      <c r="H12980" s="6" t="s">
        <v>51598</v>
      </c>
      <c r="I12980" s="6">
        <v>526.6875</v>
      </c>
      <c r="J12980" s="2">
        <f t="shared" si="202"/>
        <v>43749.440979664352</v>
      </c>
    </row>
    <row r="12981" spans="1:10" x14ac:dyDescent="0.25">
      <c r="A12981" s="7" t="s">
        <v>51599</v>
      </c>
      <c r="B12981" s="8">
        <v>393.75</v>
      </c>
      <c r="C12981" s="8">
        <v>20.478950000000001</v>
      </c>
      <c r="D12981" s="8">
        <v>75</v>
      </c>
      <c r="E12981" s="8">
        <v>0</v>
      </c>
      <c r="F12981" s="8">
        <v>0</v>
      </c>
      <c r="G12981" s="8">
        <v>17</v>
      </c>
      <c r="H12981" s="8" t="s">
        <v>51600</v>
      </c>
      <c r="I12981" s="8">
        <v>526.6875</v>
      </c>
      <c r="J12981" s="3">
        <f t="shared" si="202"/>
        <v>43749.441051087961</v>
      </c>
    </row>
    <row r="12982" spans="1:10" x14ac:dyDescent="0.25">
      <c r="A12982" s="5" t="s">
        <v>51601</v>
      </c>
      <c r="B12982" s="6">
        <v>412.5</v>
      </c>
      <c r="C12982" s="6">
        <v>20.478950000000001</v>
      </c>
      <c r="D12982" s="6">
        <v>75</v>
      </c>
      <c r="E12982" s="6">
        <v>0</v>
      </c>
      <c r="F12982" s="6">
        <v>0</v>
      </c>
      <c r="G12982" s="6">
        <v>14</v>
      </c>
      <c r="H12982" s="6" t="s">
        <v>51602</v>
      </c>
      <c r="I12982" s="6">
        <v>532.6875</v>
      </c>
      <c r="J12982" s="2">
        <f t="shared" si="202"/>
        <v>43749.441134293978</v>
      </c>
    </row>
    <row r="12983" spans="1:10" x14ac:dyDescent="0.25">
      <c r="A12983" s="7" t="s">
        <v>51603</v>
      </c>
      <c r="B12983" s="8">
        <v>393.75</v>
      </c>
      <c r="C12983" s="8">
        <v>20.478950000000001</v>
      </c>
      <c r="D12983" s="8">
        <v>75</v>
      </c>
      <c r="E12983" s="8">
        <v>0</v>
      </c>
      <c r="F12983" s="8">
        <v>0</v>
      </c>
      <c r="G12983" s="8">
        <v>17</v>
      </c>
      <c r="H12983" s="8" t="s">
        <v>51604</v>
      </c>
      <c r="I12983" s="8">
        <v>526.6875</v>
      </c>
      <c r="J12983" s="3">
        <f t="shared" si="202"/>
        <v>43749.441205972216</v>
      </c>
    </row>
    <row r="12984" spans="1:10" x14ac:dyDescent="0.25">
      <c r="A12984" s="5" t="s">
        <v>51605</v>
      </c>
      <c r="B12984" s="6">
        <v>393.75</v>
      </c>
      <c r="C12984" s="6">
        <v>20.478950000000001</v>
      </c>
      <c r="D12984" s="6">
        <v>74</v>
      </c>
      <c r="E12984" s="6">
        <v>0</v>
      </c>
      <c r="F12984" s="6">
        <v>0</v>
      </c>
      <c r="G12984" s="6">
        <v>12</v>
      </c>
      <c r="H12984" s="6" t="s">
        <v>51606</v>
      </c>
      <c r="I12984" s="6">
        <v>526.6875</v>
      </c>
      <c r="J12984" s="2">
        <f t="shared" si="202"/>
        <v>43749.441289722221</v>
      </c>
    </row>
    <row r="12985" spans="1:10" x14ac:dyDescent="0.25">
      <c r="A12985" s="7" t="s">
        <v>51607</v>
      </c>
      <c r="B12985" s="8">
        <v>393.75</v>
      </c>
      <c r="C12985" s="8">
        <v>20.478950000000001</v>
      </c>
      <c r="D12985" s="8">
        <v>74</v>
      </c>
      <c r="E12985" s="8">
        <v>0</v>
      </c>
      <c r="F12985" s="8">
        <v>0</v>
      </c>
      <c r="G12985" s="8">
        <v>14</v>
      </c>
      <c r="H12985" s="8" t="s">
        <v>51608</v>
      </c>
      <c r="I12985" s="8">
        <v>526.6875</v>
      </c>
      <c r="J12985" s="3">
        <f t="shared" si="202"/>
        <v>43749.441373055553</v>
      </c>
    </row>
    <row r="12986" spans="1:10" x14ac:dyDescent="0.25">
      <c r="A12986" s="5" t="s">
        <v>51609</v>
      </c>
      <c r="B12986" s="6">
        <v>393.75</v>
      </c>
      <c r="C12986" s="6">
        <v>20.478950000000001</v>
      </c>
      <c r="D12986" s="6">
        <v>74</v>
      </c>
      <c r="E12986" s="6">
        <v>0</v>
      </c>
      <c r="F12986" s="6">
        <v>0</v>
      </c>
      <c r="G12986" s="6">
        <v>12</v>
      </c>
      <c r="H12986" s="6" t="s">
        <v>51610</v>
      </c>
      <c r="I12986" s="6">
        <v>526.6875</v>
      </c>
      <c r="J12986" s="2">
        <f t="shared" si="202"/>
        <v>43749.441456400462</v>
      </c>
    </row>
    <row r="12987" spans="1:10" x14ac:dyDescent="0.25">
      <c r="A12987" s="7" t="s">
        <v>51611</v>
      </c>
      <c r="B12987" s="8">
        <v>393.75</v>
      </c>
      <c r="C12987" s="8">
        <v>20.478950000000001</v>
      </c>
      <c r="D12987" s="8">
        <v>74</v>
      </c>
      <c r="E12987" s="8">
        <v>0</v>
      </c>
      <c r="F12987" s="8">
        <v>0</v>
      </c>
      <c r="G12987" s="8">
        <v>9</v>
      </c>
      <c r="H12987" s="8" t="s">
        <v>51612</v>
      </c>
      <c r="I12987" s="8">
        <v>526.6875</v>
      </c>
      <c r="J12987" s="3">
        <f t="shared" si="202"/>
        <v>43749.44152803241</v>
      </c>
    </row>
    <row r="12988" spans="1:10" x14ac:dyDescent="0.25">
      <c r="A12988" s="5" t="s">
        <v>51613</v>
      </c>
      <c r="B12988" s="6">
        <v>393.75</v>
      </c>
      <c r="C12988" s="6">
        <v>20.478950000000001</v>
      </c>
      <c r="D12988" s="6">
        <v>74</v>
      </c>
      <c r="E12988" s="6">
        <v>0</v>
      </c>
      <c r="F12988" s="6">
        <v>0</v>
      </c>
      <c r="G12988" s="6">
        <v>16</v>
      </c>
      <c r="H12988" s="6" t="s">
        <v>51614</v>
      </c>
      <c r="I12988" s="6">
        <v>526.6875</v>
      </c>
      <c r="J12988" s="2">
        <f t="shared" si="202"/>
        <v>43749.441611689814</v>
      </c>
    </row>
    <row r="12989" spans="1:10" x14ac:dyDescent="0.25">
      <c r="A12989" s="7" t="s">
        <v>51615</v>
      </c>
      <c r="B12989" s="8">
        <v>393.75</v>
      </c>
      <c r="C12989" s="8">
        <v>20.478950000000001</v>
      </c>
      <c r="D12989" s="8">
        <v>76</v>
      </c>
      <c r="E12989" s="8">
        <v>0</v>
      </c>
      <c r="F12989" s="8">
        <v>0</v>
      </c>
      <c r="G12989" s="8">
        <v>14</v>
      </c>
      <c r="H12989" s="8" t="s">
        <v>51616</v>
      </c>
      <c r="I12989" s="8">
        <v>526.6875</v>
      </c>
      <c r="J12989" s="3">
        <f t="shared" si="202"/>
        <v>43749.441695185182</v>
      </c>
    </row>
    <row r="12990" spans="1:10" x14ac:dyDescent="0.25">
      <c r="A12990" s="5" t="s">
        <v>51617</v>
      </c>
      <c r="B12990" s="6">
        <v>393.75</v>
      </c>
      <c r="C12990" s="6">
        <v>20.478950000000001</v>
      </c>
      <c r="D12990" s="6">
        <v>76</v>
      </c>
      <c r="E12990" s="6">
        <v>0</v>
      </c>
      <c r="F12990" s="6">
        <v>0</v>
      </c>
      <c r="G12990" s="6">
        <v>25</v>
      </c>
      <c r="H12990" s="6" t="s">
        <v>51618</v>
      </c>
      <c r="I12990" s="6">
        <v>526.6875</v>
      </c>
      <c r="J12990" s="2">
        <f t="shared" si="202"/>
        <v>43749.441778738423</v>
      </c>
    </row>
    <row r="12991" spans="1:10" x14ac:dyDescent="0.25">
      <c r="A12991" s="7" t="s">
        <v>51619</v>
      </c>
      <c r="B12991" s="8">
        <v>393.75</v>
      </c>
      <c r="C12991" s="8">
        <v>20.478950000000001</v>
      </c>
      <c r="D12991" s="8">
        <v>75</v>
      </c>
      <c r="E12991" s="8">
        <v>0</v>
      </c>
      <c r="F12991" s="8">
        <v>0</v>
      </c>
      <c r="G12991" s="8">
        <v>12</v>
      </c>
      <c r="H12991" s="8" t="s">
        <v>51620</v>
      </c>
      <c r="I12991" s="8">
        <v>526.6875</v>
      </c>
      <c r="J12991" s="3">
        <f t="shared" si="202"/>
        <v>43749.441862083331</v>
      </c>
    </row>
    <row r="12992" spans="1:10" x14ac:dyDescent="0.25">
      <c r="A12992" s="5" t="s">
        <v>51621</v>
      </c>
      <c r="B12992" s="6">
        <v>393.75</v>
      </c>
      <c r="C12992" s="6">
        <v>20.478950000000001</v>
      </c>
      <c r="D12992" s="6">
        <v>75</v>
      </c>
      <c r="E12992" s="6">
        <v>0</v>
      </c>
      <c r="F12992" s="6">
        <v>0</v>
      </c>
      <c r="G12992" s="6">
        <v>20</v>
      </c>
      <c r="H12992" s="6" t="s">
        <v>51622</v>
      </c>
      <c r="I12992" s="6">
        <v>526.6875</v>
      </c>
      <c r="J12992" s="2">
        <f t="shared" si="202"/>
        <v>43749.441945335646</v>
      </c>
    </row>
    <row r="12993" spans="1:10" x14ac:dyDescent="0.25">
      <c r="A12993" s="7" t="s">
        <v>51623</v>
      </c>
      <c r="B12993" s="8">
        <v>393.75</v>
      </c>
      <c r="C12993" s="8">
        <v>20.478950000000001</v>
      </c>
      <c r="D12993" s="8">
        <v>75</v>
      </c>
      <c r="E12993" s="8">
        <v>0</v>
      </c>
      <c r="F12993" s="8">
        <v>0</v>
      </c>
      <c r="G12993" s="8">
        <v>22</v>
      </c>
      <c r="H12993" s="8" t="s">
        <v>51624</v>
      </c>
      <c r="I12993" s="8">
        <v>526.6875</v>
      </c>
      <c r="J12993" s="3">
        <f t="shared" si="202"/>
        <v>43749.442028958329</v>
      </c>
    </row>
    <row r="12994" spans="1:10" x14ac:dyDescent="0.25">
      <c r="A12994" s="5" t="s">
        <v>51625</v>
      </c>
      <c r="B12994" s="6">
        <v>393.75</v>
      </c>
      <c r="C12994" s="6">
        <v>20.478950000000001</v>
      </c>
      <c r="D12994" s="6">
        <v>75</v>
      </c>
      <c r="E12994" s="6">
        <v>0</v>
      </c>
      <c r="F12994" s="6">
        <v>0</v>
      </c>
      <c r="G12994" s="6">
        <v>18</v>
      </c>
      <c r="H12994" s="6" t="s">
        <v>51626</v>
      </c>
      <c r="I12994" s="6">
        <v>526.6875</v>
      </c>
      <c r="J12994" s="2">
        <f t="shared" ref="J12994:J13057" si="203">(H12994/86400000)+25569+(7/24)</f>
        <v>43749.442100659719</v>
      </c>
    </row>
    <row r="12995" spans="1:10" x14ac:dyDescent="0.25">
      <c r="A12995" s="7" t="s">
        <v>51627</v>
      </c>
      <c r="B12995" s="8">
        <v>412.5</v>
      </c>
      <c r="C12995" s="8">
        <v>20.478950000000001</v>
      </c>
      <c r="D12995" s="8">
        <v>75</v>
      </c>
      <c r="E12995" s="8">
        <v>0</v>
      </c>
      <c r="F12995" s="8">
        <v>0</v>
      </c>
      <c r="G12995" s="8">
        <v>13</v>
      </c>
      <c r="H12995" s="8" t="s">
        <v>51628</v>
      </c>
      <c r="I12995" s="8">
        <v>532.3125</v>
      </c>
      <c r="J12995" s="3">
        <f t="shared" si="203"/>
        <v>43749.442196226846</v>
      </c>
    </row>
    <row r="12996" spans="1:10" x14ac:dyDescent="0.25">
      <c r="A12996" s="5" t="s">
        <v>51629</v>
      </c>
      <c r="B12996" s="6">
        <v>393.75</v>
      </c>
      <c r="C12996" s="6">
        <v>20.478950000000001</v>
      </c>
      <c r="D12996" s="6">
        <v>75</v>
      </c>
      <c r="E12996" s="6">
        <v>0</v>
      </c>
      <c r="F12996" s="6">
        <v>0</v>
      </c>
      <c r="G12996" s="6">
        <v>21</v>
      </c>
      <c r="H12996" s="6" t="s">
        <v>51630</v>
      </c>
      <c r="I12996" s="6">
        <v>526.6875</v>
      </c>
      <c r="J12996" s="2">
        <f t="shared" si="203"/>
        <v>43749.442279421295</v>
      </c>
    </row>
    <row r="12997" spans="1:10" x14ac:dyDescent="0.25">
      <c r="A12997" s="7" t="s">
        <v>51631</v>
      </c>
      <c r="B12997" s="8">
        <v>412.5</v>
      </c>
      <c r="C12997" s="8">
        <v>20.478950000000001</v>
      </c>
      <c r="D12997" s="8">
        <v>75</v>
      </c>
      <c r="E12997" s="8">
        <v>0</v>
      </c>
      <c r="F12997" s="8">
        <v>0</v>
      </c>
      <c r="G12997" s="8">
        <v>20</v>
      </c>
      <c r="H12997" s="8" t="s">
        <v>51632</v>
      </c>
      <c r="I12997" s="8">
        <v>532.3125</v>
      </c>
      <c r="J12997" s="3">
        <f t="shared" si="203"/>
        <v>43749.442351087964</v>
      </c>
    </row>
    <row r="12998" spans="1:10" x14ac:dyDescent="0.25">
      <c r="A12998" s="5" t="s">
        <v>51633</v>
      </c>
      <c r="B12998" s="6">
        <v>393.75</v>
      </c>
      <c r="C12998" s="6">
        <v>20.478950000000001</v>
      </c>
      <c r="D12998" s="6">
        <v>73</v>
      </c>
      <c r="E12998" s="6">
        <v>0</v>
      </c>
      <c r="F12998" s="6">
        <v>0</v>
      </c>
      <c r="G12998" s="6">
        <v>13</v>
      </c>
      <c r="H12998" s="6" t="s">
        <v>51634</v>
      </c>
      <c r="I12998" s="6">
        <v>526.6875</v>
      </c>
      <c r="J12998" s="2">
        <f t="shared" si="203"/>
        <v>43749.44242259259</v>
      </c>
    </row>
    <row r="12999" spans="1:10" x14ac:dyDescent="0.25">
      <c r="A12999" s="7" t="s">
        <v>51635</v>
      </c>
      <c r="B12999" s="8">
        <v>393.75</v>
      </c>
      <c r="C12999" s="8">
        <v>20.478950000000001</v>
      </c>
      <c r="D12999" s="8">
        <v>73</v>
      </c>
      <c r="E12999" s="8">
        <v>0</v>
      </c>
      <c r="F12999" s="8">
        <v>0</v>
      </c>
      <c r="G12999" s="8">
        <v>11</v>
      </c>
      <c r="H12999" s="8" t="s">
        <v>51636</v>
      </c>
      <c r="I12999" s="8">
        <v>526.6875</v>
      </c>
      <c r="J12999" s="3">
        <f t="shared" si="203"/>
        <v>43749.442506041662</v>
      </c>
    </row>
    <row r="13000" spans="1:10" x14ac:dyDescent="0.25">
      <c r="A13000" s="5" t="s">
        <v>51637</v>
      </c>
      <c r="B13000" s="6">
        <v>393.75</v>
      </c>
      <c r="C13000" s="6">
        <v>20.478950000000001</v>
      </c>
      <c r="D13000" s="6">
        <v>73</v>
      </c>
      <c r="E13000" s="6">
        <v>0</v>
      </c>
      <c r="F13000" s="6">
        <v>0</v>
      </c>
      <c r="G13000" s="6">
        <v>12</v>
      </c>
      <c r="H13000" s="6" t="s">
        <v>51638</v>
      </c>
      <c r="I13000" s="6">
        <v>526.5</v>
      </c>
      <c r="J13000" s="2">
        <f t="shared" si="203"/>
        <v>43749.442601481474</v>
      </c>
    </row>
    <row r="13001" spans="1:10" x14ac:dyDescent="0.25">
      <c r="A13001" s="7" t="s">
        <v>51639</v>
      </c>
      <c r="B13001" s="8">
        <v>393.75</v>
      </c>
      <c r="C13001" s="8">
        <v>20.478950000000001</v>
      </c>
      <c r="D13001" s="8">
        <v>74</v>
      </c>
      <c r="E13001" s="8">
        <v>0</v>
      </c>
      <c r="F13001" s="8">
        <v>0</v>
      </c>
      <c r="G13001" s="8">
        <v>12</v>
      </c>
      <c r="H13001" s="8" t="s">
        <v>51640</v>
      </c>
      <c r="I13001" s="8">
        <v>526.6875</v>
      </c>
      <c r="J13001" s="3">
        <f t="shared" si="203"/>
        <v>43749.442672916666</v>
      </c>
    </row>
    <row r="13002" spans="1:10" x14ac:dyDescent="0.25">
      <c r="A13002" s="5" t="s">
        <v>51641</v>
      </c>
      <c r="B13002" s="6">
        <v>393.75</v>
      </c>
      <c r="C13002" s="6">
        <v>20.478950000000001</v>
      </c>
      <c r="D13002" s="6">
        <v>73</v>
      </c>
      <c r="E13002" s="6">
        <v>0</v>
      </c>
      <c r="F13002" s="6">
        <v>0</v>
      </c>
      <c r="G13002" s="6">
        <v>17</v>
      </c>
      <c r="H13002" s="6" t="s">
        <v>51642</v>
      </c>
      <c r="I13002" s="6">
        <v>526.6875</v>
      </c>
      <c r="J13002" s="2">
        <f t="shared" si="203"/>
        <v>43749.442744444437</v>
      </c>
    </row>
    <row r="13003" spans="1:10" x14ac:dyDescent="0.25">
      <c r="A13003" s="7" t="s">
        <v>51643</v>
      </c>
      <c r="B13003" s="8">
        <v>393.75</v>
      </c>
      <c r="C13003" s="8">
        <v>20.478950000000001</v>
      </c>
      <c r="D13003" s="8">
        <v>73</v>
      </c>
      <c r="E13003" s="8">
        <v>0</v>
      </c>
      <c r="F13003" s="8">
        <v>0</v>
      </c>
      <c r="G13003" s="8">
        <v>14</v>
      </c>
      <c r="H13003" s="8" t="s">
        <v>51644</v>
      </c>
      <c r="I13003" s="8">
        <v>526.6875</v>
      </c>
      <c r="J13003" s="3">
        <f t="shared" si="203"/>
        <v>43749.442828009262</v>
      </c>
    </row>
    <row r="13004" spans="1:10" x14ac:dyDescent="0.25">
      <c r="A13004" s="5" t="s">
        <v>51645</v>
      </c>
      <c r="B13004" s="6">
        <v>393.75</v>
      </c>
      <c r="C13004" s="6">
        <v>20.478950000000001</v>
      </c>
      <c r="D13004" s="6">
        <v>72</v>
      </c>
      <c r="E13004" s="6">
        <v>0</v>
      </c>
      <c r="F13004" s="6">
        <v>0</v>
      </c>
      <c r="G13004" s="6">
        <v>15</v>
      </c>
      <c r="H13004" s="6" t="s">
        <v>51646</v>
      </c>
      <c r="I13004" s="6">
        <v>526.6875</v>
      </c>
      <c r="J13004" s="2">
        <f t="shared" si="203"/>
        <v>43749.442911666665</v>
      </c>
    </row>
    <row r="13005" spans="1:10" x14ac:dyDescent="0.25">
      <c r="A13005" s="7" t="s">
        <v>51647</v>
      </c>
      <c r="B13005" s="8">
        <v>421.875</v>
      </c>
      <c r="C13005" s="8">
        <v>20.478950000000001</v>
      </c>
      <c r="D13005" s="8">
        <v>72</v>
      </c>
      <c r="E13005" s="8">
        <v>0</v>
      </c>
      <c r="F13005" s="8">
        <v>0</v>
      </c>
      <c r="G13005" s="8">
        <v>12</v>
      </c>
      <c r="H13005" s="8" t="s">
        <v>51648</v>
      </c>
      <c r="I13005" s="8">
        <v>535.5</v>
      </c>
      <c r="J13005" s="3">
        <f t="shared" si="203"/>
        <v>43749.442995011566</v>
      </c>
    </row>
    <row r="13006" spans="1:10" x14ac:dyDescent="0.25">
      <c r="A13006" s="5" t="s">
        <v>51649</v>
      </c>
      <c r="B13006" s="6">
        <v>393.75</v>
      </c>
      <c r="C13006" s="6">
        <v>20.478950000000001</v>
      </c>
      <c r="D13006" s="6">
        <v>71</v>
      </c>
      <c r="E13006" s="6">
        <v>0</v>
      </c>
      <c r="F13006" s="6">
        <v>0</v>
      </c>
      <c r="G13006" s="6">
        <v>12</v>
      </c>
      <c r="H13006" s="6" t="s">
        <v>51650</v>
      </c>
      <c r="I13006" s="6">
        <v>526.6875</v>
      </c>
      <c r="J13006" s="2">
        <f t="shared" si="203"/>
        <v>43749.443082708334</v>
      </c>
    </row>
    <row r="13007" spans="1:10" x14ac:dyDescent="0.25">
      <c r="A13007" s="7" t="s">
        <v>51651</v>
      </c>
      <c r="B13007" s="8">
        <v>393.75</v>
      </c>
      <c r="C13007" s="8">
        <v>20.478950000000001</v>
      </c>
      <c r="D13007" s="8">
        <v>72</v>
      </c>
      <c r="E13007" s="8">
        <v>0</v>
      </c>
      <c r="F13007" s="8">
        <v>0</v>
      </c>
      <c r="G13007" s="8">
        <v>6</v>
      </c>
      <c r="H13007" s="8" t="s">
        <v>51652</v>
      </c>
      <c r="I13007" s="8">
        <v>526.6875</v>
      </c>
      <c r="J13007" s="3">
        <f t="shared" si="203"/>
        <v>43749.443173842592</v>
      </c>
    </row>
    <row r="13008" spans="1:10" x14ac:dyDescent="0.25">
      <c r="A13008" s="5" t="s">
        <v>51653</v>
      </c>
      <c r="B13008" s="6">
        <v>393.75</v>
      </c>
      <c r="C13008" s="6">
        <v>20.478950000000001</v>
      </c>
      <c r="D13008" s="6">
        <v>71</v>
      </c>
      <c r="E13008" s="6">
        <v>0</v>
      </c>
      <c r="F13008" s="6">
        <v>0</v>
      </c>
      <c r="G13008" s="6">
        <v>11</v>
      </c>
      <c r="H13008" s="6" t="s">
        <v>51654</v>
      </c>
      <c r="I13008" s="6">
        <v>526.6875</v>
      </c>
      <c r="J13008" s="2">
        <f t="shared" si="203"/>
        <v>43749.443257291663</v>
      </c>
    </row>
    <row r="13009" spans="1:10" x14ac:dyDescent="0.25">
      <c r="A13009" s="7" t="s">
        <v>51655</v>
      </c>
      <c r="B13009" s="8">
        <v>393.75</v>
      </c>
      <c r="C13009" s="8">
        <v>20.478950000000001</v>
      </c>
      <c r="D13009" s="8">
        <v>72</v>
      </c>
      <c r="E13009" s="8">
        <v>0</v>
      </c>
      <c r="F13009" s="8">
        <v>0</v>
      </c>
      <c r="G13009" s="8">
        <v>7</v>
      </c>
      <c r="H13009" s="8" t="s">
        <v>51656</v>
      </c>
      <c r="I13009" s="8">
        <v>526.6875</v>
      </c>
      <c r="J13009" s="3">
        <f t="shared" si="203"/>
        <v>43749.44332893518</v>
      </c>
    </row>
    <row r="13010" spans="1:10" x14ac:dyDescent="0.25">
      <c r="A13010" s="5" t="s">
        <v>51657</v>
      </c>
      <c r="B13010" s="6">
        <v>393.75</v>
      </c>
      <c r="C13010" s="6">
        <v>20.478950000000001</v>
      </c>
      <c r="D13010" s="6">
        <v>73</v>
      </c>
      <c r="E13010" s="6">
        <v>0</v>
      </c>
      <c r="F13010" s="6">
        <v>0</v>
      </c>
      <c r="G13010" s="6">
        <v>12</v>
      </c>
      <c r="H13010" s="6" t="s">
        <v>51658</v>
      </c>
      <c r="I13010" s="6">
        <v>526.6875</v>
      </c>
      <c r="J13010" s="2">
        <f t="shared" si="203"/>
        <v>43749.443412013883</v>
      </c>
    </row>
    <row r="13011" spans="1:10" x14ac:dyDescent="0.25">
      <c r="A13011" s="7" t="s">
        <v>51659</v>
      </c>
      <c r="B13011" s="8">
        <v>393.75</v>
      </c>
      <c r="C13011" s="8">
        <v>20.478950000000001</v>
      </c>
      <c r="D13011" s="8">
        <v>73</v>
      </c>
      <c r="E13011" s="8">
        <v>0</v>
      </c>
      <c r="F13011" s="8">
        <v>0</v>
      </c>
      <c r="G13011" s="8">
        <v>13</v>
      </c>
      <c r="H13011" s="8" t="s">
        <v>51660</v>
      </c>
      <c r="I13011" s="8">
        <v>526.6875</v>
      </c>
      <c r="J13011" s="3">
        <f t="shared" si="203"/>
        <v>43749.443483668983</v>
      </c>
    </row>
    <row r="13012" spans="1:10" x14ac:dyDescent="0.25">
      <c r="A13012" s="5" t="s">
        <v>51661</v>
      </c>
      <c r="B13012" s="6">
        <v>393.75</v>
      </c>
      <c r="C13012" s="6">
        <v>20.478950000000001</v>
      </c>
      <c r="D13012" s="6">
        <v>72</v>
      </c>
      <c r="E13012" s="6">
        <v>0</v>
      </c>
      <c r="F13012" s="6">
        <v>0</v>
      </c>
      <c r="G13012" s="6">
        <v>15</v>
      </c>
      <c r="H13012" s="6" t="s">
        <v>51662</v>
      </c>
      <c r="I13012" s="6">
        <v>526.6875</v>
      </c>
      <c r="J13012" s="2">
        <f t="shared" si="203"/>
        <v>43749.443567476854</v>
      </c>
    </row>
    <row r="13013" spans="1:10" x14ac:dyDescent="0.25">
      <c r="A13013" s="7" t="s">
        <v>51663</v>
      </c>
      <c r="B13013" s="8">
        <v>393.75</v>
      </c>
      <c r="C13013" s="8">
        <v>20.478950000000001</v>
      </c>
      <c r="D13013" s="8">
        <v>71</v>
      </c>
      <c r="E13013" s="8">
        <v>0</v>
      </c>
      <c r="F13013" s="8">
        <v>0</v>
      </c>
      <c r="G13013" s="8">
        <v>12</v>
      </c>
      <c r="H13013" s="8" t="s">
        <v>51664</v>
      </c>
      <c r="I13013" s="8">
        <v>526.5</v>
      </c>
      <c r="J13013" s="3">
        <f t="shared" si="203"/>
        <v>43749.443639004625</v>
      </c>
    </row>
    <row r="13014" spans="1:10" x14ac:dyDescent="0.25">
      <c r="A13014" s="5" t="s">
        <v>51665</v>
      </c>
      <c r="B13014" s="6">
        <v>393.75</v>
      </c>
      <c r="C13014" s="6">
        <v>20.478950000000001</v>
      </c>
      <c r="D13014" s="6">
        <v>71</v>
      </c>
      <c r="E13014" s="6">
        <v>0</v>
      </c>
      <c r="F13014" s="6">
        <v>0</v>
      </c>
      <c r="G13014" s="6">
        <v>9</v>
      </c>
      <c r="H13014" s="6" t="s">
        <v>51666</v>
      </c>
      <c r="I13014" s="6">
        <v>526.6875</v>
      </c>
      <c r="J13014" s="2">
        <f t="shared" si="203"/>
        <v>43749.443722094904</v>
      </c>
    </row>
    <row r="13015" spans="1:10" x14ac:dyDescent="0.25">
      <c r="A13015" s="7" t="s">
        <v>51667</v>
      </c>
      <c r="B13015" s="8">
        <v>393.75</v>
      </c>
      <c r="C13015" s="8">
        <v>20.478950000000001</v>
      </c>
      <c r="D13015" s="8">
        <v>71</v>
      </c>
      <c r="E13015" s="8">
        <v>0</v>
      </c>
      <c r="F13015" s="8">
        <v>0</v>
      </c>
      <c r="G13015" s="8">
        <v>9</v>
      </c>
      <c r="H13015" s="8" t="s">
        <v>51668</v>
      </c>
      <c r="I13015" s="8">
        <v>526.6875</v>
      </c>
      <c r="J13015" s="3">
        <f t="shared" si="203"/>
        <v>43749.443806018513</v>
      </c>
    </row>
    <row r="13016" spans="1:10" x14ac:dyDescent="0.25">
      <c r="A13016" s="5" t="s">
        <v>51669</v>
      </c>
      <c r="B13016" s="6">
        <v>393.75</v>
      </c>
      <c r="C13016" s="6">
        <v>20.478950000000001</v>
      </c>
      <c r="D13016" s="6">
        <v>72</v>
      </c>
      <c r="E13016" s="6">
        <v>0</v>
      </c>
      <c r="F13016" s="6">
        <v>0</v>
      </c>
      <c r="G13016" s="6">
        <v>12</v>
      </c>
      <c r="H13016" s="6" t="s">
        <v>51670</v>
      </c>
      <c r="I13016" s="6">
        <v>526.6875</v>
      </c>
      <c r="J13016" s="2">
        <f t="shared" si="203"/>
        <v>43749.44388947916</v>
      </c>
    </row>
    <row r="13017" spans="1:10" x14ac:dyDescent="0.25">
      <c r="A13017" s="7" t="s">
        <v>51671</v>
      </c>
      <c r="B13017" s="8">
        <v>393.75</v>
      </c>
      <c r="C13017" s="8">
        <v>20.478950000000001</v>
      </c>
      <c r="D13017" s="8">
        <v>73</v>
      </c>
      <c r="E13017" s="8">
        <v>0</v>
      </c>
      <c r="F13017" s="8">
        <v>0</v>
      </c>
      <c r="G13017" s="8">
        <v>13</v>
      </c>
      <c r="H13017" s="8" t="s">
        <v>51672</v>
      </c>
      <c r="I13017" s="8">
        <v>526.6875</v>
      </c>
      <c r="J13017" s="3">
        <f t="shared" si="203"/>
        <v>43749.443972916662</v>
      </c>
    </row>
    <row r="13018" spans="1:10" x14ac:dyDescent="0.25">
      <c r="A13018" s="5" t="s">
        <v>51673</v>
      </c>
      <c r="B13018" s="6">
        <v>393.75</v>
      </c>
      <c r="C13018" s="6">
        <v>20.478950000000001</v>
      </c>
      <c r="D13018" s="6">
        <v>73</v>
      </c>
      <c r="E13018" s="6">
        <v>0</v>
      </c>
      <c r="F13018" s="6">
        <v>0</v>
      </c>
      <c r="G13018" s="6">
        <v>12</v>
      </c>
      <c r="H13018" s="6" t="s">
        <v>51674</v>
      </c>
      <c r="I13018" s="6">
        <v>526.6875</v>
      </c>
      <c r="J13018" s="2">
        <f t="shared" si="203"/>
        <v>43749.444056354165</v>
      </c>
    </row>
    <row r="13019" spans="1:10" x14ac:dyDescent="0.25">
      <c r="A13019" s="7" t="s">
        <v>51675</v>
      </c>
      <c r="B13019" s="8">
        <v>393.75</v>
      </c>
      <c r="C13019" s="8">
        <v>20.478950000000001</v>
      </c>
      <c r="D13019" s="8">
        <v>73</v>
      </c>
      <c r="E13019" s="8">
        <v>0</v>
      </c>
      <c r="F13019" s="8">
        <v>0</v>
      </c>
      <c r="G13019" s="8">
        <v>9</v>
      </c>
      <c r="H13019" s="8" t="s">
        <v>51676</v>
      </c>
      <c r="I13019" s="8">
        <v>526.6875</v>
      </c>
      <c r="J13019" s="3">
        <f t="shared" si="203"/>
        <v>43749.444139918975</v>
      </c>
    </row>
    <row r="13020" spans="1:10" x14ac:dyDescent="0.25">
      <c r="A13020" s="5" t="s">
        <v>51677</v>
      </c>
      <c r="B13020" s="6">
        <v>393.75</v>
      </c>
      <c r="C13020" s="6">
        <v>20.426300000000001</v>
      </c>
      <c r="D13020" s="6">
        <v>72</v>
      </c>
      <c r="E13020" s="6">
        <v>0</v>
      </c>
      <c r="F13020" s="6">
        <v>0</v>
      </c>
      <c r="G13020" s="6">
        <v>8</v>
      </c>
      <c r="H13020" s="6" t="s">
        <v>51678</v>
      </c>
      <c r="I13020" s="6">
        <v>526.6875</v>
      </c>
      <c r="J13020" s="2">
        <f t="shared" si="203"/>
        <v>43749.444223009261</v>
      </c>
    </row>
    <row r="13021" spans="1:10" x14ac:dyDescent="0.25">
      <c r="A13021" s="7" t="s">
        <v>51679</v>
      </c>
      <c r="B13021" s="8">
        <v>393.75</v>
      </c>
      <c r="C13021" s="8">
        <v>20.478950000000001</v>
      </c>
      <c r="D13021" s="8">
        <v>72</v>
      </c>
      <c r="E13021" s="8">
        <v>0</v>
      </c>
      <c r="F13021" s="8">
        <v>0</v>
      </c>
      <c r="G13021" s="8">
        <v>16</v>
      </c>
      <c r="H13021" s="8" t="s">
        <v>51680</v>
      </c>
      <c r="I13021" s="8">
        <v>526.6875</v>
      </c>
      <c r="J13021" s="3">
        <f t="shared" si="203"/>
        <v>43749.444294780093</v>
      </c>
    </row>
    <row r="13022" spans="1:10" x14ac:dyDescent="0.25">
      <c r="A13022" s="5" t="s">
        <v>51681</v>
      </c>
      <c r="B13022" s="6">
        <v>393.75</v>
      </c>
      <c r="C13022" s="6">
        <v>20.478950000000001</v>
      </c>
      <c r="D13022" s="6">
        <v>72</v>
      </c>
      <c r="E13022" s="6">
        <v>0</v>
      </c>
      <c r="F13022" s="6">
        <v>0</v>
      </c>
      <c r="G13022" s="6">
        <v>12</v>
      </c>
      <c r="H13022" s="6" t="s">
        <v>51682</v>
      </c>
      <c r="I13022" s="6">
        <v>526.6875</v>
      </c>
      <c r="J13022" s="2">
        <f t="shared" si="203"/>
        <v>43749.444378460648</v>
      </c>
    </row>
    <row r="13023" spans="1:10" x14ac:dyDescent="0.25">
      <c r="A13023" s="7" t="s">
        <v>51683</v>
      </c>
      <c r="B13023" s="8">
        <v>393.75</v>
      </c>
      <c r="C13023" s="8">
        <v>20.478950000000001</v>
      </c>
      <c r="D13023" s="8">
        <v>71</v>
      </c>
      <c r="E13023" s="8">
        <v>0</v>
      </c>
      <c r="F13023" s="8">
        <v>0</v>
      </c>
      <c r="G13023" s="8">
        <v>13</v>
      </c>
      <c r="H13023" s="8" t="s">
        <v>51684</v>
      </c>
      <c r="I13023" s="8">
        <v>526.6875</v>
      </c>
      <c r="J13023" s="3">
        <f t="shared" si="203"/>
        <v>43749.444461793981</v>
      </c>
    </row>
    <row r="13024" spans="1:10" x14ac:dyDescent="0.25">
      <c r="A13024" s="5" t="s">
        <v>51685</v>
      </c>
      <c r="B13024" s="6">
        <v>393.75</v>
      </c>
      <c r="C13024" s="6">
        <v>20.478950000000001</v>
      </c>
      <c r="D13024" s="6">
        <v>70</v>
      </c>
      <c r="E13024" s="6">
        <v>0</v>
      </c>
      <c r="F13024" s="6">
        <v>0</v>
      </c>
      <c r="G13024" s="6">
        <v>6</v>
      </c>
      <c r="H13024" s="6" t="s">
        <v>51686</v>
      </c>
      <c r="I13024" s="6">
        <v>526.6875</v>
      </c>
      <c r="J13024" s="2">
        <f t="shared" si="203"/>
        <v>43749.444545381943</v>
      </c>
    </row>
    <row r="13025" spans="1:10" x14ac:dyDescent="0.25">
      <c r="A13025" s="7" t="s">
        <v>51687</v>
      </c>
      <c r="B13025" s="8">
        <v>412.5</v>
      </c>
      <c r="C13025" s="8">
        <v>20.478950000000001</v>
      </c>
      <c r="D13025" s="8">
        <v>70</v>
      </c>
      <c r="E13025" s="8">
        <v>0</v>
      </c>
      <c r="F13025" s="8">
        <v>0</v>
      </c>
      <c r="G13025" s="8">
        <v>19</v>
      </c>
      <c r="H13025" s="8" t="s">
        <v>51688</v>
      </c>
      <c r="I13025" s="8">
        <v>532.3125</v>
      </c>
      <c r="J13025" s="3">
        <f t="shared" si="203"/>
        <v>43749.444628819438</v>
      </c>
    </row>
    <row r="13026" spans="1:10" x14ac:dyDescent="0.25">
      <c r="A13026" s="5" t="s">
        <v>51689</v>
      </c>
      <c r="B13026" s="6">
        <v>393.75</v>
      </c>
      <c r="C13026" s="6">
        <v>20.478950000000001</v>
      </c>
      <c r="D13026" s="6">
        <v>71</v>
      </c>
      <c r="E13026" s="6">
        <v>0</v>
      </c>
      <c r="F13026" s="6">
        <v>0</v>
      </c>
      <c r="G13026" s="6">
        <v>19</v>
      </c>
      <c r="H13026" s="6" t="s">
        <v>51690</v>
      </c>
      <c r="I13026" s="6">
        <v>526.5</v>
      </c>
      <c r="J13026" s="2">
        <f t="shared" si="203"/>
        <v>43749.444712025455</v>
      </c>
    </row>
    <row r="13027" spans="1:10" x14ac:dyDescent="0.25">
      <c r="A13027" s="7" t="s">
        <v>51691</v>
      </c>
      <c r="B13027" s="8">
        <v>393.75</v>
      </c>
      <c r="C13027" s="8">
        <v>20.478950000000001</v>
      </c>
      <c r="D13027" s="8">
        <v>71</v>
      </c>
      <c r="E13027" s="8">
        <v>0</v>
      </c>
      <c r="F13027" s="8">
        <v>0</v>
      </c>
      <c r="G13027" s="8">
        <v>15</v>
      </c>
      <c r="H13027" s="8" t="s">
        <v>51692</v>
      </c>
      <c r="I13027" s="8">
        <v>526.6875</v>
      </c>
      <c r="J13027" s="3">
        <f t="shared" si="203"/>
        <v>43749.44478366898</v>
      </c>
    </row>
    <row r="13028" spans="1:10" x14ac:dyDescent="0.25">
      <c r="A13028" s="5" t="s">
        <v>51693</v>
      </c>
      <c r="B13028" s="6">
        <v>393.75</v>
      </c>
      <c r="C13028" s="6">
        <v>20.478950000000001</v>
      </c>
      <c r="D13028" s="6">
        <v>71</v>
      </c>
      <c r="E13028" s="6">
        <v>0</v>
      </c>
      <c r="F13028" s="6">
        <v>0</v>
      </c>
      <c r="G13028" s="6">
        <v>17</v>
      </c>
      <c r="H13028" s="6" t="s">
        <v>51694</v>
      </c>
      <c r="I13028" s="6">
        <v>526.6875</v>
      </c>
      <c r="J13028" s="2">
        <f t="shared" si="203"/>
        <v>43749.44486747685</v>
      </c>
    </row>
    <row r="13029" spans="1:10" x14ac:dyDescent="0.25">
      <c r="A13029" s="7" t="s">
        <v>51695</v>
      </c>
      <c r="B13029" s="8">
        <v>393.75</v>
      </c>
      <c r="C13029" s="8">
        <v>20.478950000000001</v>
      </c>
      <c r="D13029" s="8">
        <v>71</v>
      </c>
      <c r="E13029" s="8">
        <v>0</v>
      </c>
      <c r="F13029" s="8">
        <v>0</v>
      </c>
      <c r="G13029" s="8">
        <v>16</v>
      </c>
      <c r="H13029" s="8" t="s">
        <v>51696</v>
      </c>
      <c r="I13029" s="8">
        <v>526.5</v>
      </c>
      <c r="J13029" s="3">
        <f t="shared" si="203"/>
        <v>43749.444950937497</v>
      </c>
    </row>
    <row r="13030" spans="1:10" x14ac:dyDescent="0.25">
      <c r="A13030" s="5" t="s">
        <v>51697</v>
      </c>
      <c r="B13030" s="6">
        <v>412.5</v>
      </c>
      <c r="C13030" s="6">
        <v>20.478950000000001</v>
      </c>
      <c r="D13030" s="6">
        <v>72</v>
      </c>
      <c r="E13030" s="6">
        <v>0</v>
      </c>
      <c r="F13030" s="6">
        <v>0</v>
      </c>
      <c r="G13030" s="6">
        <v>15</v>
      </c>
      <c r="H13030" s="6" t="s">
        <v>51698</v>
      </c>
      <c r="I13030" s="6">
        <v>532.3125</v>
      </c>
      <c r="J13030" s="2">
        <f t="shared" si="203"/>
        <v>43749.445034259254</v>
      </c>
    </row>
    <row r="13031" spans="1:10" x14ac:dyDescent="0.25">
      <c r="A13031" s="7" t="s">
        <v>51699</v>
      </c>
      <c r="B13031" s="8">
        <v>393.75</v>
      </c>
      <c r="C13031" s="8">
        <v>20.478950000000001</v>
      </c>
      <c r="D13031" s="8">
        <v>69</v>
      </c>
      <c r="E13031" s="8">
        <v>0</v>
      </c>
      <c r="F13031" s="8">
        <v>0</v>
      </c>
      <c r="G13031" s="8">
        <v>9</v>
      </c>
      <c r="H13031" s="8" t="s">
        <v>51700</v>
      </c>
      <c r="I13031" s="8">
        <v>526.6875</v>
      </c>
      <c r="J13031" s="3">
        <f t="shared" si="203"/>
        <v>43749.445125995371</v>
      </c>
    </row>
    <row r="13032" spans="1:10" x14ac:dyDescent="0.25">
      <c r="A13032" s="5" t="s">
        <v>51701</v>
      </c>
      <c r="B13032" s="6">
        <v>412.5</v>
      </c>
      <c r="C13032" s="6">
        <v>20.478950000000001</v>
      </c>
      <c r="D13032" s="6">
        <v>70</v>
      </c>
      <c r="E13032" s="6">
        <v>0</v>
      </c>
      <c r="F13032" s="6">
        <v>0</v>
      </c>
      <c r="G13032" s="6">
        <v>25</v>
      </c>
      <c r="H13032" s="6" t="s">
        <v>51702</v>
      </c>
      <c r="I13032" s="6">
        <v>532.3125</v>
      </c>
      <c r="J13032" s="2">
        <f t="shared" si="203"/>
        <v>43749.445200937502</v>
      </c>
    </row>
    <row r="13033" spans="1:10" x14ac:dyDescent="0.25">
      <c r="A13033" s="7" t="s">
        <v>51703</v>
      </c>
      <c r="B13033" s="8">
        <v>393.75</v>
      </c>
      <c r="C13033" s="8">
        <v>20.478950000000001</v>
      </c>
      <c r="D13033" s="8">
        <v>62</v>
      </c>
      <c r="E13033" s="8">
        <v>0</v>
      </c>
      <c r="F13033" s="8">
        <v>0</v>
      </c>
      <c r="G13033" s="8">
        <v>0</v>
      </c>
      <c r="H13033" s="8" t="s">
        <v>51704</v>
      </c>
      <c r="I13033" s="8">
        <v>526.6875</v>
      </c>
      <c r="J13033" s="3">
        <f t="shared" si="203"/>
        <v>43749.44548934028</v>
      </c>
    </row>
    <row r="13034" spans="1:10" x14ac:dyDescent="0.25">
      <c r="A13034" s="5" t="s">
        <v>51705</v>
      </c>
      <c r="B13034" s="6">
        <v>393.75</v>
      </c>
      <c r="C13034" s="6">
        <v>20.478950000000001</v>
      </c>
      <c r="D13034" s="6">
        <v>68</v>
      </c>
      <c r="E13034" s="6">
        <v>0</v>
      </c>
      <c r="F13034" s="6">
        <v>0</v>
      </c>
      <c r="G13034" s="6">
        <v>0</v>
      </c>
      <c r="H13034" s="6" t="s">
        <v>51706</v>
      </c>
      <c r="I13034" s="6">
        <v>526.5</v>
      </c>
      <c r="J13034" s="2">
        <f t="shared" si="203"/>
        <v>43749.445572592587</v>
      </c>
    </row>
    <row r="13035" spans="1:10" x14ac:dyDescent="0.25">
      <c r="A13035" s="7" t="s">
        <v>51707</v>
      </c>
      <c r="B13035" s="8">
        <v>393.75</v>
      </c>
      <c r="C13035" s="8">
        <v>20.478950000000001</v>
      </c>
      <c r="D13035" s="8">
        <v>68</v>
      </c>
      <c r="E13035" s="8">
        <v>0</v>
      </c>
      <c r="F13035" s="8">
        <v>0</v>
      </c>
      <c r="G13035" s="8">
        <v>0</v>
      </c>
      <c r="H13035" s="8" t="s">
        <v>51708</v>
      </c>
      <c r="I13035" s="8">
        <v>526.6875</v>
      </c>
      <c r="J13035" s="3">
        <f t="shared" si="203"/>
        <v>43749.445656053234</v>
      </c>
    </row>
    <row r="13036" spans="1:10" x14ac:dyDescent="0.25">
      <c r="A13036" s="5" t="s">
        <v>51709</v>
      </c>
      <c r="B13036" s="6">
        <v>393.75</v>
      </c>
      <c r="C13036" s="6">
        <v>20.478950000000001</v>
      </c>
      <c r="D13036" s="6">
        <v>68</v>
      </c>
      <c r="E13036" s="6">
        <v>0</v>
      </c>
      <c r="F13036" s="6">
        <v>0</v>
      </c>
      <c r="G13036" s="6">
        <v>0</v>
      </c>
      <c r="H13036" s="6" t="s">
        <v>51710</v>
      </c>
      <c r="I13036" s="6">
        <v>526.6875</v>
      </c>
      <c r="J13036" s="2">
        <f t="shared" si="203"/>
        <v>43749.445747604164</v>
      </c>
    </row>
    <row r="13037" spans="1:10" x14ac:dyDescent="0.25">
      <c r="A13037" s="7" t="s">
        <v>51711</v>
      </c>
      <c r="B13037" s="8">
        <v>393.75</v>
      </c>
      <c r="C13037" s="8">
        <v>20.478950000000001</v>
      </c>
      <c r="D13037" s="8">
        <v>69</v>
      </c>
      <c r="E13037" s="8">
        <v>0</v>
      </c>
      <c r="F13037" s="8">
        <v>0</v>
      </c>
      <c r="G13037" s="8">
        <v>3</v>
      </c>
      <c r="H13037" s="8" t="s">
        <v>51712</v>
      </c>
      <c r="I13037" s="8">
        <v>526.6875</v>
      </c>
      <c r="J13037" s="3">
        <f t="shared" si="203"/>
        <v>43749.445823182868</v>
      </c>
    </row>
    <row r="13038" spans="1:10" x14ac:dyDescent="0.25">
      <c r="A13038" s="5" t="s">
        <v>51713</v>
      </c>
      <c r="B13038" s="6">
        <v>412.5</v>
      </c>
      <c r="C13038" s="6">
        <v>20.478950000000001</v>
      </c>
      <c r="D13038" s="6">
        <v>69</v>
      </c>
      <c r="E13038" s="6">
        <v>0</v>
      </c>
      <c r="F13038" s="6">
        <v>0</v>
      </c>
      <c r="G13038" s="6">
        <v>1</v>
      </c>
      <c r="H13038" s="6" t="s">
        <v>51714</v>
      </c>
      <c r="I13038" s="6">
        <v>532.6875</v>
      </c>
      <c r="J13038" s="2">
        <f t="shared" si="203"/>
        <v>43749.445906516201</v>
      </c>
    </row>
    <row r="13039" spans="1:10" x14ac:dyDescent="0.25">
      <c r="A13039" s="7" t="s">
        <v>51715</v>
      </c>
      <c r="B13039" s="8">
        <v>393.75</v>
      </c>
      <c r="C13039" s="8">
        <v>20.478950000000001</v>
      </c>
      <c r="D13039" s="8">
        <v>70</v>
      </c>
      <c r="E13039" s="8">
        <v>0</v>
      </c>
      <c r="F13039" s="8">
        <v>0</v>
      </c>
      <c r="G13039" s="8">
        <v>4</v>
      </c>
      <c r="H13039" s="8" t="s">
        <v>51716</v>
      </c>
      <c r="I13039" s="8">
        <v>526.6875</v>
      </c>
      <c r="J13039" s="3">
        <f t="shared" si="203"/>
        <v>43749.44598971065</v>
      </c>
    </row>
    <row r="13040" spans="1:10" x14ac:dyDescent="0.25">
      <c r="A13040" s="5" t="s">
        <v>51717</v>
      </c>
      <c r="B13040" s="6">
        <v>393.75</v>
      </c>
      <c r="C13040" s="6">
        <v>20.478950000000001</v>
      </c>
      <c r="D13040" s="6">
        <v>70</v>
      </c>
      <c r="E13040" s="6">
        <v>0</v>
      </c>
      <c r="F13040" s="6">
        <v>0</v>
      </c>
      <c r="G13040" s="6">
        <v>4</v>
      </c>
      <c r="H13040" s="6" t="s">
        <v>51718</v>
      </c>
      <c r="I13040" s="6">
        <v>526.6875</v>
      </c>
      <c r="J13040" s="2">
        <f t="shared" si="203"/>
        <v>43749.446061469906</v>
      </c>
    </row>
    <row r="13041" spans="1:10" x14ac:dyDescent="0.25">
      <c r="A13041" s="7" t="s">
        <v>51719</v>
      </c>
      <c r="B13041" s="8">
        <v>393.75</v>
      </c>
      <c r="C13041" s="8">
        <v>20.478950000000001</v>
      </c>
      <c r="D13041" s="8">
        <v>71</v>
      </c>
      <c r="E13041" s="8">
        <v>0</v>
      </c>
      <c r="F13041" s="8">
        <v>0</v>
      </c>
      <c r="G13041" s="8">
        <v>0</v>
      </c>
      <c r="H13041" s="8" t="s">
        <v>51720</v>
      </c>
      <c r="I13041" s="8">
        <v>526.6875</v>
      </c>
      <c r="J13041" s="3">
        <f t="shared" si="203"/>
        <v>43749.446145034723</v>
      </c>
    </row>
    <row r="13042" spans="1:10" x14ac:dyDescent="0.25">
      <c r="A13042" s="5" t="s">
        <v>51721</v>
      </c>
      <c r="B13042" s="6">
        <v>393.75</v>
      </c>
      <c r="C13042" s="6">
        <v>20.478950000000001</v>
      </c>
      <c r="D13042" s="6">
        <v>72</v>
      </c>
      <c r="E13042" s="6">
        <v>0</v>
      </c>
      <c r="F13042" s="6">
        <v>0</v>
      </c>
      <c r="G13042" s="6">
        <v>0</v>
      </c>
      <c r="H13042" s="6" t="s">
        <v>51722</v>
      </c>
      <c r="I13042" s="6">
        <v>526.6875</v>
      </c>
      <c r="J13042" s="2">
        <f t="shared" si="203"/>
        <v>43749.446252349539</v>
      </c>
    </row>
    <row r="13043" spans="1:10" x14ac:dyDescent="0.25">
      <c r="A13043" s="7" t="s">
        <v>51723</v>
      </c>
      <c r="B13043" s="8">
        <v>393.75</v>
      </c>
      <c r="C13043" s="8">
        <v>20.478950000000001</v>
      </c>
      <c r="D13043" s="8">
        <v>74</v>
      </c>
      <c r="E13043" s="8">
        <v>0</v>
      </c>
      <c r="F13043" s="8">
        <v>0</v>
      </c>
      <c r="G13043" s="8">
        <v>7</v>
      </c>
      <c r="H13043" s="8" t="s">
        <v>51724</v>
      </c>
      <c r="I13043" s="8">
        <v>526.6875</v>
      </c>
      <c r="J13043" s="3">
        <f t="shared" si="203"/>
        <v>43749.446335787034</v>
      </c>
    </row>
    <row r="13044" spans="1:10" x14ac:dyDescent="0.25">
      <c r="A13044" s="5" t="s">
        <v>51725</v>
      </c>
      <c r="B13044" s="6">
        <v>393.75</v>
      </c>
      <c r="C13044" s="6">
        <v>20.478950000000001</v>
      </c>
      <c r="D13044" s="6">
        <v>75</v>
      </c>
      <c r="E13044" s="6">
        <v>0</v>
      </c>
      <c r="F13044" s="6">
        <v>0</v>
      </c>
      <c r="G13044" s="6">
        <v>6</v>
      </c>
      <c r="H13044" s="6" t="s">
        <v>51726</v>
      </c>
      <c r="I13044" s="6">
        <v>526.6875</v>
      </c>
      <c r="J13044" s="2">
        <f t="shared" si="203"/>
        <v>43749.446419340275</v>
      </c>
    </row>
    <row r="13045" spans="1:10" x14ac:dyDescent="0.25">
      <c r="A13045" s="7" t="s">
        <v>51727</v>
      </c>
      <c r="B13045" s="8">
        <v>393.75</v>
      </c>
      <c r="C13045" s="8">
        <v>20.478950000000001</v>
      </c>
      <c r="D13045" s="8">
        <v>75</v>
      </c>
      <c r="E13045" s="8">
        <v>0</v>
      </c>
      <c r="F13045" s="8">
        <v>0</v>
      </c>
      <c r="G13045" s="8">
        <v>6</v>
      </c>
      <c r="H13045" s="8" t="s">
        <v>51728</v>
      </c>
      <c r="I13045" s="8">
        <v>526.6875</v>
      </c>
      <c r="J13045" s="3">
        <f t="shared" si="203"/>
        <v>43749.446502986109</v>
      </c>
    </row>
    <row r="13046" spans="1:10" x14ac:dyDescent="0.25">
      <c r="A13046" s="5" t="s">
        <v>51729</v>
      </c>
      <c r="B13046" s="6">
        <v>393.75</v>
      </c>
      <c r="C13046" s="6">
        <v>20.478950000000001</v>
      </c>
      <c r="D13046" s="6">
        <v>75</v>
      </c>
      <c r="E13046" s="6">
        <v>0</v>
      </c>
      <c r="F13046" s="6">
        <v>0</v>
      </c>
      <c r="G13046" s="6">
        <v>7</v>
      </c>
      <c r="H13046" s="6" t="s">
        <v>51730</v>
      </c>
      <c r="I13046" s="6">
        <v>526.6875</v>
      </c>
      <c r="J13046" s="2">
        <f t="shared" si="203"/>
        <v>43749.446586030092</v>
      </c>
    </row>
    <row r="13047" spans="1:10" x14ac:dyDescent="0.25">
      <c r="A13047" s="7" t="s">
        <v>51731</v>
      </c>
      <c r="B13047" s="8">
        <v>393.75</v>
      </c>
      <c r="C13047" s="8">
        <v>20.478950000000001</v>
      </c>
      <c r="D13047" s="8">
        <v>73</v>
      </c>
      <c r="E13047" s="8">
        <v>0</v>
      </c>
      <c r="F13047" s="8">
        <v>0</v>
      </c>
      <c r="G13047" s="8">
        <v>7</v>
      </c>
      <c r="H13047" s="8" t="s">
        <v>51732</v>
      </c>
      <c r="I13047" s="8">
        <v>526.6875</v>
      </c>
      <c r="J13047" s="3">
        <f t="shared" si="203"/>
        <v>43749.446669687495</v>
      </c>
    </row>
    <row r="13048" spans="1:10" x14ac:dyDescent="0.25">
      <c r="A13048" s="5" t="s">
        <v>51733</v>
      </c>
      <c r="B13048" s="6">
        <v>393.75</v>
      </c>
      <c r="C13048" s="6">
        <v>20.478950000000001</v>
      </c>
      <c r="D13048" s="6">
        <v>72</v>
      </c>
      <c r="E13048" s="6">
        <v>0</v>
      </c>
      <c r="F13048" s="6">
        <v>0</v>
      </c>
      <c r="G13048" s="6">
        <v>5</v>
      </c>
      <c r="H13048" s="6" t="s">
        <v>51734</v>
      </c>
      <c r="I13048" s="6">
        <v>526.6875</v>
      </c>
      <c r="J13048" s="2">
        <f t="shared" si="203"/>
        <v>43749.446753368051</v>
      </c>
    </row>
    <row r="13049" spans="1:10" x14ac:dyDescent="0.25">
      <c r="A13049" s="7" t="s">
        <v>51735</v>
      </c>
      <c r="B13049" s="8">
        <v>418.75</v>
      </c>
      <c r="C13049" s="8">
        <v>20.478950000000001</v>
      </c>
      <c r="D13049" s="8">
        <v>71</v>
      </c>
      <c r="E13049" s="8">
        <v>0</v>
      </c>
      <c r="F13049" s="8">
        <v>0</v>
      </c>
      <c r="G13049" s="8">
        <v>3</v>
      </c>
      <c r="H13049" s="8" t="s">
        <v>51736</v>
      </c>
      <c r="I13049" s="8">
        <v>534.1875</v>
      </c>
      <c r="J13049" s="3">
        <f t="shared" si="203"/>
        <v>43749.446824803243</v>
      </c>
    </row>
    <row r="13050" spans="1:10" x14ac:dyDescent="0.25">
      <c r="A13050" s="5" t="s">
        <v>51737</v>
      </c>
      <c r="B13050" s="6">
        <v>393.75</v>
      </c>
      <c r="C13050" s="6">
        <v>20.478950000000001</v>
      </c>
      <c r="D13050" s="6">
        <v>71</v>
      </c>
      <c r="E13050" s="6">
        <v>0</v>
      </c>
      <c r="F13050" s="6">
        <v>0</v>
      </c>
      <c r="G13050" s="6">
        <v>8</v>
      </c>
      <c r="H13050" s="6" t="s">
        <v>51738</v>
      </c>
      <c r="I13050" s="6">
        <v>526.6875</v>
      </c>
      <c r="J13050" s="2">
        <f t="shared" si="203"/>
        <v>43749.446919814807</v>
      </c>
    </row>
    <row r="13051" spans="1:10" x14ac:dyDescent="0.25">
      <c r="A13051" s="7" t="s">
        <v>51739</v>
      </c>
      <c r="B13051" s="8">
        <v>393.75</v>
      </c>
      <c r="C13051" s="8">
        <v>20.478950000000001</v>
      </c>
      <c r="D13051" s="8">
        <v>73</v>
      </c>
      <c r="E13051" s="8">
        <v>0</v>
      </c>
      <c r="F13051" s="8">
        <v>0</v>
      </c>
      <c r="G13051" s="8">
        <v>14</v>
      </c>
      <c r="H13051" s="8" t="s">
        <v>51740</v>
      </c>
      <c r="I13051" s="8">
        <v>526.6875</v>
      </c>
      <c r="J13051" s="3">
        <f t="shared" si="203"/>
        <v>43749.447003726855</v>
      </c>
    </row>
    <row r="13052" spans="1:10" x14ac:dyDescent="0.25">
      <c r="A13052" s="5" t="s">
        <v>51741</v>
      </c>
      <c r="B13052" s="6">
        <v>393.75</v>
      </c>
      <c r="C13052" s="6">
        <v>20.478950000000001</v>
      </c>
      <c r="D13052" s="6">
        <v>73</v>
      </c>
      <c r="E13052" s="6">
        <v>0</v>
      </c>
      <c r="F13052" s="6">
        <v>0</v>
      </c>
      <c r="G13052" s="6">
        <v>8</v>
      </c>
      <c r="H13052" s="6" t="s">
        <v>51742</v>
      </c>
      <c r="I13052" s="6">
        <v>526.6875</v>
      </c>
      <c r="J13052" s="2">
        <f t="shared" si="203"/>
        <v>43749.447087199071</v>
      </c>
    </row>
    <row r="13053" spans="1:10" x14ac:dyDescent="0.25">
      <c r="A13053" s="7" t="s">
        <v>51743</v>
      </c>
      <c r="B13053" s="8">
        <v>393.75</v>
      </c>
      <c r="C13053" s="8">
        <v>20.478950000000001</v>
      </c>
      <c r="D13053" s="8">
        <v>72</v>
      </c>
      <c r="E13053" s="8">
        <v>0</v>
      </c>
      <c r="F13053" s="8">
        <v>0</v>
      </c>
      <c r="G13053" s="8">
        <v>9</v>
      </c>
      <c r="H13053" s="8" t="s">
        <v>51744</v>
      </c>
      <c r="I13053" s="8">
        <v>526.6875</v>
      </c>
      <c r="J13053" s="3">
        <f t="shared" si="203"/>
        <v>43749.447170613428</v>
      </c>
    </row>
    <row r="13054" spans="1:10" x14ac:dyDescent="0.25">
      <c r="A13054" s="5" t="s">
        <v>51745</v>
      </c>
      <c r="B13054" s="6">
        <v>393.75</v>
      </c>
      <c r="C13054" s="6">
        <v>20.478950000000001</v>
      </c>
      <c r="D13054" s="6">
        <v>72</v>
      </c>
      <c r="E13054" s="6">
        <v>0</v>
      </c>
      <c r="F13054" s="6">
        <v>0</v>
      </c>
      <c r="G13054" s="6">
        <v>11</v>
      </c>
      <c r="H13054" s="6" t="s">
        <v>51746</v>
      </c>
      <c r="I13054" s="6">
        <v>526.6875</v>
      </c>
      <c r="J13054" s="2">
        <f t="shared" si="203"/>
        <v>43749.447254062499</v>
      </c>
    </row>
    <row r="13055" spans="1:10" x14ac:dyDescent="0.25">
      <c r="A13055" s="7" t="s">
        <v>51747</v>
      </c>
      <c r="B13055" s="8">
        <v>393.75</v>
      </c>
      <c r="C13055" s="8">
        <v>20.478950000000001</v>
      </c>
      <c r="D13055" s="8">
        <v>72</v>
      </c>
      <c r="E13055" s="8">
        <v>0</v>
      </c>
      <c r="F13055" s="8">
        <v>0</v>
      </c>
      <c r="G13055" s="8">
        <v>6</v>
      </c>
      <c r="H13055" s="8" t="s">
        <v>51748</v>
      </c>
      <c r="I13055" s="8">
        <v>526.6875</v>
      </c>
      <c r="J13055" s="3">
        <f t="shared" si="203"/>
        <v>43749.447337523146</v>
      </c>
    </row>
    <row r="13056" spans="1:10" x14ac:dyDescent="0.25">
      <c r="A13056" s="5" t="s">
        <v>51749</v>
      </c>
      <c r="B13056" s="6">
        <v>412.5</v>
      </c>
      <c r="C13056" s="6">
        <v>20.478950000000001</v>
      </c>
      <c r="D13056" s="6">
        <v>71</v>
      </c>
      <c r="E13056" s="6">
        <v>0</v>
      </c>
      <c r="F13056" s="6">
        <v>0</v>
      </c>
      <c r="G13056" s="6">
        <v>1</v>
      </c>
      <c r="H13056" s="6" t="s">
        <v>51750</v>
      </c>
      <c r="I13056" s="6">
        <v>532.3125</v>
      </c>
      <c r="J13056" s="2">
        <f t="shared" si="203"/>
        <v>43749.447421099532</v>
      </c>
    </row>
    <row r="13057" spans="1:10" x14ac:dyDescent="0.25">
      <c r="A13057" s="7" t="s">
        <v>51751</v>
      </c>
      <c r="B13057" s="8">
        <v>393.75</v>
      </c>
      <c r="C13057" s="8">
        <v>20.478950000000001</v>
      </c>
      <c r="D13057" s="8">
        <v>71</v>
      </c>
      <c r="E13057" s="8">
        <v>0</v>
      </c>
      <c r="F13057" s="8">
        <v>0</v>
      </c>
      <c r="G13057" s="8">
        <v>8</v>
      </c>
      <c r="H13057" s="8" t="s">
        <v>51752</v>
      </c>
      <c r="I13057" s="8">
        <v>526.5</v>
      </c>
      <c r="J13057" s="3">
        <f t="shared" si="203"/>
        <v>43749.447504641204</v>
      </c>
    </row>
    <row r="13058" spans="1:10" x14ac:dyDescent="0.25">
      <c r="A13058" s="5" t="s">
        <v>51753</v>
      </c>
      <c r="B13058" s="6">
        <v>393.75</v>
      </c>
      <c r="C13058" s="6">
        <v>20.478950000000001</v>
      </c>
      <c r="D13058" s="6">
        <v>70</v>
      </c>
      <c r="E13058" s="6">
        <v>0</v>
      </c>
      <c r="F13058" s="6">
        <v>0</v>
      </c>
      <c r="G13058" s="6">
        <v>6</v>
      </c>
      <c r="H13058" s="6" t="s">
        <v>51754</v>
      </c>
      <c r="I13058" s="6">
        <v>526.6875</v>
      </c>
      <c r="J13058" s="2">
        <f t="shared" ref="J13058:J13121" si="204">(H13058/86400000)+25569+(7/24)</f>
        <v>43749.447587997682</v>
      </c>
    </row>
    <row r="13059" spans="1:10" x14ac:dyDescent="0.25">
      <c r="A13059" s="7" t="s">
        <v>51755</v>
      </c>
      <c r="B13059" s="8">
        <v>393.75</v>
      </c>
      <c r="C13059" s="8">
        <v>20.478950000000001</v>
      </c>
      <c r="D13059" s="8">
        <v>71</v>
      </c>
      <c r="E13059" s="8">
        <v>0</v>
      </c>
      <c r="F13059" s="8">
        <v>0</v>
      </c>
      <c r="G13059" s="8">
        <v>2</v>
      </c>
      <c r="H13059" s="8" t="s">
        <v>51756</v>
      </c>
      <c r="I13059" s="8">
        <v>526.6875</v>
      </c>
      <c r="J13059" s="3">
        <f t="shared" si="204"/>
        <v>43749.447671192123</v>
      </c>
    </row>
    <row r="13060" spans="1:10" x14ac:dyDescent="0.25">
      <c r="A13060" s="5" t="s">
        <v>51757</v>
      </c>
      <c r="B13060" s="6">
        <v>393.75</v>
      </c>
      <c r="C13060" s="6">
        <v>20.478950000000001</v>
      </c>
      <c r="D13060" s="6">
        <v>71</v>
      </c>
      <c r="E13060" s="6">
        <v>0</v>
      </c>
      <c r="F13060" s="6">
        <v>0</v>
      </c>
      <c r="G13060" s="6">
        <v>0</v>
      </c>
      <c r="H13060" s="6" t="s">
        <v>51758</v>
      </c>
      <c r="I13060" s="6">
        <v>526.6875</v>
      </c>
      <c r="J13060" s="2">
        <f t="shared" si="204"/>
        <v>43749.447742974538</v>
      </c>
    </row>
    <row r="13061" spans="1:10" x14ac:dyDescent="0.25">
      <c r="A13061" s="7" t="s">
        <v>51759</v>
      </c>
      <c r="B13061" s="8">
        <v>412.5</v>
      </c>
      <c r="C13061" s="8">
        <v>20.478950000000001</v>
      </c>
      <c r="D13061" s="8">
        <v>71</v>
      </c>
      <c r="E13061" s="8">
        <v>0</v>
      </c>
      <c r="F13061" s="8">
        <v>0</v>
      </c>
      <c r="G13061" s="8">
        <v>14</v>
      </c>
      <c r="H13061" s="8" t="s">
        <v>51760</v>
      </c>
      <c r="I13061" s="8">
        <v>532.3125</v>
      </c>
      <c r="J13061" s="3">
        <f t="shared" si="204"/>
        <v>43749.447826759257</v>
      </c>
    </row>
    <row r="13062" spans="1:10" x14ac:dyDescent="0.25">
      <c r="A13062" s="5" t="s">
        <v>51761</v>
      </c>
      <c r="B13062" s="6">
        <v>393.75</v>
      </c>
      <c r="C13062" s="6">
        <v>20.478950000000001</v>
      </c>
      <c r="D13062" s="6">
        <v>71</v>
      </c>
      <c r="E13062" s="6">
        <v>0</v>
      </c>
      <c r="F13062" s="6">
        <v>0</v>
      </c>
      <c r="G13062" s="6">
        <v>9</v>
      </c>
      <c r="H13062" s="6" t="s">
        <v>51762</v>
      </c>
      <c r="I13062" s="6">
        <v>526.6875</v>
      </c>
      <c r="J13062" s="2">
        <f t="shared" si="204"/>
        <v>43749.44790997685</v>
      </c>
    </row>
    <row r="13063" spans="1:10" x14ac:dyDescent="0.25">
      <c r="A13063" s="7" t="s">
        <v>51763</v>
      </c>
      <c r="B13063" s="8">
        <v>393.75</v>
      </c>
      <c r="C13063" s="8">
        <v>20.478950000000001</v>
      </c>
      <c r="D13063" s="8">
        <v>73</v>
      </c>
      <c r="E13063" s="8">
        <v>0</v>
      </c>
      <c r="F13063" s="8">
        <v>0</v>
      </c>
      <c r="G13063" s="8">
        <v>4</v>
      </c>
      <c r="H13063" s="8" t="s">
        <v>51764</v>
      </c>
      <c r="I13063" s="8">
        <v>526.6875</v>
      </c>
      <c r="J13063" s="3">
        <f t="shared" si="204"/>
        <v>43749.447981504629</v>
      </c>
    </row>
    <row r="13064" spans="1:10" x14ac:dyDescent="0.25">
      <c r="A13064" s="5" t="s">
        <v>51765</v>
      </c>
      <c r="B13064" s="6">
        <v>393.75</v>
      </c>
      <c r="C13064" s="6">
        <v>20.478950000000001</v>
      </c>
      <c r="D13064" s="6">
        <v>74</v>
      </c>
      <c r="E13064" s="6">
        <v>0</v>
      </c>
      <c r="F13064" s="6">
        <v>0</v>
      </c>
      <c r="G13064" s="6">
        <v>7</v>
      </c>
      <c r="H13064" s="6" t="s">
        <v>51766</v>
      </c>
      <c r="I13064" s="6">
        <v>526.6875</v>
      </c>
      <c r="J13064" s="2">
        <f t="shared" si="204"/>
        <v>43749.448065092591</v>
      </c>
    </row>
    <row r="13065" spans="1:10" x14ac:dyDescent="0.25">
      <c r="A13065" s="7" t="s">
        <v>51767</v>
      </c>
      <c r="B13065" s="8">
        <v>393.75</v>
      </c>
      <c r="C13065" s="8">
        <v>20.478950000000001</v>
      </c>
      <c r="D13065" s="8">
        <v>74</v>
      </c>
      <c r="E13065" s="8">
        <v>0</v>
      </c>
      <c r="F13065" s="8">
        <v>0</v>
      </c>
      <c r="G13065" s="8">
        <v>0</v>
      </c>
      <c r="H13065" s="8" t="s">
        <v>51768</v>
      </c>
      <c r="I13065" s="8">
        <v>526.6875</v>
      </c>
      <c r="J13065" s="3">
        <f t="shared" si="204"/>
        <v>43749.448148518517</v>
      </c>
    </row>
    <row r="13066" spans="1:10" x14ac:dyDescent="0.25">
      <c r="A13066" s="5" t="s">
        <v>51769</v>
      </c>
      <c r="B13066" s="6">
        <v>418.75</v>
      </c>
      <c r="C13066" s="6">
        <v>20.478950000000001</v>
      </c>
      <c r="D13066" s="6">
        <v>74</v>
      </c>
      <c r="E13066" s="6">
        <v>0</v>
      </c>
      <c r="F13066" s="6">
        <v>0</v>
      </c>
      <c r="G13066" s="6">
        <v>5</v>
      </c>
      <c r="H13066" s="6" t="s">
        <v>51770</v>
      </c>
      <c r="I13066" s="6">
        <v>534.1875</v>
      </c>
      <c r="J13066" s="2">
        <f t="shared" si="204"/>
        <v>43749.448231956012</v>
      </c>
    </row>
    <row r="13067" spans="1:10" x14ac:dyDescent="0.25">
      <c r="A13067" s="7" t="s">
        <v>51771</v>
      </c>
      <c r="B13067" s="8">
        <v>393.75</v>
      </c>
      <c r="C13067" s="8">
        <v>20.478950000000001</v>
      </c>
      <c r="D13067" s="8">
        <v>74</v>
      </c>
      <c r="E13067" s="8">
        <v>0</v>
      </c>
      <c r="F13067" s="8">
        <v>0</v>
      </c>
      <c r="G13067" s="8">
        <v>6</v>
      </c>
      <c r="H13067" s="8" t="s">
        <v>51772</v>
      </c>
      <c r="I13067" s="8">
        <v>526.6875</v>
      </c>
      <c r="J13067" s="3">
        <f t="shared" si="204"/>
        <v>43749.448327118058</v>
      </c>
    </row>
    <row r="13068" spans="1:10" x14ac:dyDescent="0.25">
      <c r="A13068" s="5" t="s">
        <v>51773</v>
      </c>
      <c r="B13068" s="6">
        <v>412.5</v>
      </c>
      <c r="C13068" s="6">
        <v>20.478950000000001</v>
      </c>
      <c r="D13068" s="6">
        <v>75</v>
      </c>
      <c r="E13068" s="6">
        <v>0</v>
      </c>
      <c r="F13068" s="6">
        <v>0</v>
      </c>
      <c r="G13068" s="6">
        <v>5</v>
      </c>
      <c r="H13068" s="6" t="s">
        <v>51774</v>
      </c>
      <c r="I13068" s="6">
        <v>532.3125</v>
      </c>
      <c r="J13068" s="2">
        <f t="shared" si="204"/>
        <v>43749.448398981483</v>
      </c>
    </row>
    <row r="13069" spans="1:10" x14ac:dyDescent="0.25">
      <c r="A13069" s="7" t="s">
        <v>51775</v>
      </c>
      <c r="B13069" s="8">
        <v>393.75</v>
      </c>
      <c r="C13069" s="8">
        <v>20.478950000000001</v>
      </c>
      <c r="D13069" s="8">
        <v>77</v>
      </c>
      <c r="E13069" s="8">
        <v>0</v>
      </c>
      <c r="F13069" s="8">
        <v>0</v>
      </c>
      <c r="G13069" s="8">
        <v>6</v>
      </c>
      <c r="H13069" s="8" t="s">
        <v>51776</v>
      </c>
      <c r="I13069" s="8">
        <v>526.6875</v>
      </c>
      <c r="J13069" s="3">
        <f t="shared" si="204"/>
        <v>43749.448482442131</v>
      </c>
    </row>
    <row r="13070" spans="1:10" x14ac:dyDescent="0.25">
      <c r="A13070" s="5" t="s">
        <v>51777</v>
      </c>
      <c r="B13070" s="6">
        <v>393.75</v>
      </c>
      <c r="C13070" s="6">
        <v>20.478950000000001</v>
      </c>
      <c r="D13070" s="6">
        <v>77</v>
      </c>
      <c r="E13070" s="6">
        <v>0</v>
      </c>
      <c r="F13070" s="6">
        <v>0</v>
      </c>
      <c r="G13070" s="6">
        <v>8</v>
      </c>
      <c r="H13070" s="6" t="s">
        <v>51778</v>
      </c>
      <c r="I13070" s="6">
        <v>526.6875</v>
      </c>
      <c r="J13070" s="2">
        <f t="shared" si="204"/>
        <v>43749.44856600694</v>
      </c>
    </row>
    <row r="13071" spans="1:10" x14ac:dyDescent="0.25">
      <c r="A13071" s="7" t="s">
        <v>51779</v>
      </c>
      <c r="B13071" s="8">
        <v>393.75</v>
      </c>
      <c r="C13071" s="8">
        <v>20.478950000000001</v>
      </c>
      <c r="D13071" s="8">
        <v>77</v>
      </c>
      <c r="E13071" s="8">
        <v>0</v>
      </c>
      <c r="F13071" s="8">
        <v>0</v>
      </c>
      <c r="G13071" s="8">
        <v>10</v>
      </c>
      <c r="H13071" s="8" t="s">
        <v>51780</v>
      </c>
      <c r="I13071" s="8">
        <v>526.6875</v>
      </c>
      <c r="J13071" s="3">
        <f t="shared" si="204"/>
        <v>43749.448649108796</v>
      </c>
    </row>
    <row r="13072" spans="1:10" x14ac:dyDescent="0.25">
      <c r="A13072" s="5" t="s">
        <v>51781</v>
      </c>
      <c r="B13072" s="6">
        <v>393.75</v>
      </c>
      <c r="C13072" s="6">
        <v>20.426300000000001</v>
      </c>
      <c r="D13072" s="6">
        <v>77</v>
      </c>
      <c r="E13072" s="6">
        <v>0</v>
      </c>
      <c r="F13072" s="6">
        <v>0</v>
      </c>
      <c r="G13072" s="6">
        <v>6</v>
      </c>
      <c r="H13072" s="6" t="s">
        <v>51782</v>
      </c>
      <c r="I13072" s="6">
        <v>526.6875</v>
      </c>
      <c r="J13072" s="2">
        <f t="shared" si="204"/>
        <v>43749.448720740744</v>
      </c>
    </row>
    <row r="13073" spans="1:10" x14ac:dyDescent="0.25">
      <c r="A13073" s="7" t="s">
        <v>51783</v>
      </c>
      <c r="B13073" s="8">
        <v>393.75</v>
      </c>
      <c r="C13073" s="8">
        <v>20.478950000000001</v>
      </c>
      <c r="D13073" s="8">
        <v>69</v>
      </c>
      <c r="E13073" s="8">
        <v>0</v>
      </c>
      <c r="F13073" s="8">
        <v>0</v>
      </c>
      <c r="G13073" s="8">
        <v>11</v>
      </c>
      <c r="H13073" s="8" t="s">
        <v>51784</v>
      </c>
      <c r="I13073" s="8">
        <v>526.6875</v>
      </c>
      <c r="J13073" s="3">
        <f t="shared" si="204"/>
        <v>43749.448804664346</v>
      </c>
    </row>
    <row r="13074" spans="1:10" x14ac:dyDescent="0.25">
      <c r="A13074" s="5" t="s">
        <v>51785</v>
      </c>
      <c r="B13074" s="6">
        <v>393.75</v>
      </c>
      <c r="C13074" s="6">
        <v>20.478950000000001</v>
      </c>
      <c r="D13074" s="6">
        <v>69</v>
      </c>
      <c r="E13074" s="6">
        <v>0</v>
      </c>
      <c r="F13074" s="6">
        <v>0</v>
      </c>
      <c r="G13074" s="6">
        <v>4</v>
      </c>
      <c r="H13074" s="6" t="s">
        <v>51786</v>
      </c>
      <c r="I13074" s="6">
        <v>526.6875</v>
      </c>
      <c r="J13074" s="2">
        <f t="shared" si="204"/>
        <v>43749.448887997678</v>
      </c>
    </row>
    <row r="13075" spans="1:10" x14ac:dyDescent="0.25">
      <c r="A13075" s="7" t="s">
        <v>51787</v>
      </c>
      <c r="B13075" s="8">
        <v>393.75</v>
      </c>
      <c r="C13075" s="8">
        <v>20.478950000000001</v>
      </c>
      <c r="D13075" s="8">
        <v>70</v>
      </c>
      <c r="E13075" s="8">
        <v>0</v>
      </c>
      <c r="F13075" s="8">
        <v>0</v>
      </c>
      <c r="G13075" s="8">
        <v>4</v>
      </c>
      <c r="H13075" s="8" t="s">
        <v>51788</v>
      </c>
      <c r="I13075" s="8">
        <v>526.6875</v>
      </c>
      <c r="J13075" s="3">
        <f t="shared" si="204"/>
        <v>43749.448971238424</v>
      </c>
    </row>
    <row r="13076" spans="1:10" x14ac:dyDescent="0.25">
      <c r="A13076" s="5" t="s">
        <v>51789</v>
      </c>
      <c r="B13076" s="6">
        <v>393.75</v>
      </c>
      <c r="C13076" s="6">
        <v>20.478950000000001</v>
      </c>
      <c r="D13076" s="6">
        <v>70</v>
      </c>
      <c r="E13076" s="6">
        <v>0</v>
      </c>
      <c r="F13076" s="6">
        <v>0</v>
      </c>
      <c r="G13076" s="6">
        <v>12</v>
      </c>
      <c r="H13076" s="6" t="s">
        <v>51790</v>
      </c>
      <c r="I13076" s="6">
        <v>526.6875</v>
      </c>
      <c r="J13076" s="2">
        <f t="shared" si="204"/>
        <v>43749.44904295139</v>
      </c>
    </row>
    <row r="13077" spans="1:10" x14ac:dyDescent="0.25">
      <c r="A13077" s="7" t="s">
        <v>51791</v>
      </c>
      <c r="B13077" s="8">
        <v>393.75</v>
      </c>
      <c r="C13077" s="8">
        <v>20.478950000000001</v>
      </c>
      <c r="D13077" s="8">
        <v>71</v>
      </c>
      <c r="E13077" s="8">
        <v>0</v>
      </c>
      <c r="F13077" s="8">
        <v>0</v>
      </c>
      <c r="G13077" s="8">
        <v>0</v>
      </c>
      <c r="H13077" s="8" t="s">
        <v>51792</v>
      </c>
      <c r="I13077" s="8">
        <v>526.6875</v>
      </c>
      <c r="J13077" s="3">
        <f t="shared" si="204"/>
        <v>43749.449126412037</v>
      </c>
    </row>
    <row r="13078" spans="1:10" x14ac:dyDescent="0.25">
      <c r="A13078" s="5" t="s">
        <v>51793</v>
      </c>
      <c r="B13078" s="6">
        <v>393.75</v>
      </c>
      <c r="C13078" s="6">
        <v>20.478950000000001</v>
      </c>
      <c r="D13078" s="6">
        <v>72</v>
      </c>
      <c r="E13078" s="6">
        <v>0</v>
      </c>
      <c r="F13078" s="6">
        <v>0</v>
      </c>
      <c r="G13078" s="6">
        <v>4</v>
      </c>
      <c r="H13078" s="6" t="s">
        <v>51794</v>
      </c>
      <c r="I13078" s="6">
        <v>526.5</v>
      </c>
      <c r="J13078" s="2">
        <f t="shared" si="204"/>
        <v>43749.449209976847</v>
      </c>
    </row>
    <row r="13079" spans="1:10" x14ac:dyDescent="0.25">
      <c r="A13079" s="7" t="s">
        <v>51795</v>
      </c>
      <c r="B13079" s="8">
        <v>393.75</v>
      </c>
      <c r="C13079" s="8">
        <v>20.478950000000001</v>
      </c>
      <c r="D13079" s="8">
        <v>75</v>
      </c>
      <c r="E13079" s="8">
        <v>0</v>
      </c>
      <c r="F13079" s="8">
        <v>0</v>
      </c>
      <c r="G13079" s="8">
        <v>1</v>
      </c>
      <c r="H13079" s="8" t="s">
        <v>51796</v>
      </c>
      <c r="I13079" s="8">
        <v>526.6875</v>
      </c>
      <c r="J13079" s="3">
        <f t="shared" si="204"/>
        <v>43749.44929355324</v>
      </c>
    </row>
    <row r="13080" spans="1:10" x14ac:dyDescent="0.25">
      <c r="A13080" s="5" t="s">
        <v>51797</v>
      </c>
      <c r="B13080" s="6">
        <v>425</v>
      </c>
      <c r="C13080" s="6">
        <v>20.478950000000001</v>
      </c>
      <c r="D13080" s="6">
        <v>74</v>
      </c>
      <c r="E13080" s="6">
        <v>0</v>
      </c>
      <c r="F13080" s="6">
        <v>0</v>
      </c>
      <c r="G13080" s="6">
        <v>0</v>
      </c>
      <c r="H13080" s="6" t="s">
        <v>51798</v>
      </c>
      <c r="I13080" s="6">
        <v>536.0625</v>
      </c>
      <c r="J13080" s="2">
        <f t="shared" si="204"/>
        <v>43749.449388923611</v>
      </c>
    </row>
    <row r="13081" spans="1:10" x14ac:dyDescent="0.25">
      <c r="A13081" s="7" t="s">
        <v>51799</v>
      </c>
      <c r="B13081" s="8">
        <v>393.75</v>
      </c>
      <c r="C13081" s="8">
        <v>20.478950000000001</v>
      </c>
      <c r="D13081" s="8">
        <v>72</v>
      </c>
      <c r="E13081" s="8">
        <v>0</v>
      </c>
      <c r="F13081" s="8">
        <v>0</v>
      </c>
      <c r="G13081" s="8">
        <v>13</v>
      </c>
      <c r="H13081" s="8" t="s">
        <v>51800</v>
      </c>
      <c r="I13081" s="8">
        <v>526.6875</v>
      </c>
      <c r="J13081" s="3">
        <f t="shared" si="204"/>
        <v>43749.449472372682</v>
      </c>
    </row>
    <row r="13082" spans="1:10" x14ac:dyDescent="0.25">
      <c r="A13082" s="5" t="s">
        <v>51801</v>
      </c>
      <c r="B13082" s="6">
        <v>393.75</v>
      </c>
      <c r="C13082" s="6">
        <v>20.478950000000001</v>
      </c>
      <c r="D13082" s="6">
        <v>72</v>
      </c>
      <c r="E13082" s="6">
        <v>0</v>
      </c>
      <c r="F13082" s="6">
        <v>0</v>
      </c>
      <c r="G13082" s="6">
        <v>9</v>
      </c>
      <c r="H13082" s="6" t="s">
        <v>51802</v>
      </c>
      <c r="I13082" s="6">
        <v>526.6875</v>
      </c>
      <c r="J13082" s="2">
        <f t="shared" si="204"/>
        <v>43749.449555810184</v>
      </c>
    </row>
    <row r="13083" spans="1:10" x14ac:dyDescent="0.25">
      <c r="A13083" s="7" t="s">
        <v>51803</v>
      </c>
      <c r="B13083" s="8">
        <v>393.75</v>
      </c>
      <c r="C13083" s="8">
        <v>20.478950000000001</v>
      </c>
      <c r="D13083" s="8">
        <v>72</v>
      </c>
      <c r="E13083" s="8">
        <v>0</v>
      </c>
      <c r="F13083" s="8">
        <v>0</v>
      </c>
      <c r="G13083" s="8">
        <v>14</v>
      </c>
      <c r="H13083" s="8" t="s">
        <v>51804</v>
      </c>
      <c r="I13083" s="8">
        <v>526.6875</v>
      </c>
      <c r="J13083" s="3">
        <f t="shared" si="204"/>
        <v>43749.449639398146</v>
      </c>
    </row>
    <row r="13084" spans="1:10" x14ac:dyDescent="0.25">
      <c r="A13084" s="5" t="s">
        <v>51805</v>
      </c>
      <c r="B13084" s="6">
        <v>393.75</v>
      </c>
      <c r="C13084" s="6">
        <v>20.478950000000001</v>
      </c>
      <c r="D13084" s="6">
        <v>73</v>
      </c>
      <c r="E13084" s="6">
        <v>0</v>
      </c>
      <c r="F13084" s="6">
        <v>0</v>
      </c>
      <c r="G13084" s="6">
        <v>4</v>
      </c>
      <c r="H13084" s="6" t="s">
        <v>51806</v>
      </c>
      <c r="I13084" s="6">
        <v>526.6875</v>
      </c>
      <c r="J13084" s="2">
        <f t="shared" si="204"/>
        <v>43749.449722824073</v>
      </c>
    </row>
    <row r="13085" spans="1:10" x14ac:dyDescent="0.25">
      <c r="A13085" s="7" t="s">
        <v>51807</v>
      </c>
      <c r="B13085" s="8">
        <v>412.5</v>
      </c>
      <c r="C13085" s="8">
        <v>20.478950000000001</v>
      </c>
      <c r="D13085" s="8">
        <v>74</v>
      </c>
      <c r="E13085" s="8">
        <v>0</v>
      </c>
      <c r="F13085" s="8">
        <v>0</v>
      </c>
      <c r="G13085" s="8">
        <v>12</v>
      </c>
      <c r="H13085" s="8" t="s">
        <v>51808</v>
      </c>
      <c r="I13085" s="8">
        <v>532.3125</v>
      </c>
      <c r="J13085" s="3">
        <f t="shared" si="204"/>
        <v>43749.44980628472</v>
      </c>
    </row>
    <row r="13086" spans="1:10" x14ac:dyDescent="0.25">
      <c r="A13086" s="5" t="s">
        <v>51809</v>
      </c>
      <c r="B13086" s="6">
        <v>393.75</v>
      </c>
      <c r="C13086" s="6">
        <v>20.478950000000001</v>
      </c>
      <c r="D13086" s="6">
        <v>74</v>
      </c>
      <c r="E13086" s="6">
        <v>0</v>
      </c>
      <c r="F13086" s="6">
        <v>0</v>
      </c>
      <c r="G13086" s="6">
        <v>8</v>
      </c>
      <c r="H13086" s="6" t="s">
        <v>51810</v>
      </c>
      <c r="I13086" s="6">
        <v>526.6875</v>
      </c>
      <c r="J13086" s="2">
        <f t="shared" si="204"/>
        <v>43749.449889722215</v>
      </c>
    </row>
    <row r="13087" spans="1:10" x14ac:dyDescent="0.25">
      <c r="A13087" s="7" t="s">
        <v>51811</v>
      </c>
      <c r="B13087" s="8">
        <v>393.75</v>
      </c>
      <c r="C13087" s="8">
        <v>20.478950000000001</v>
      </c>
      <c r="D13087" s="8">
        <v>74</v>
      </c>
      <c r="E13087" s="8">
        <v>0</v>
      </c>
      <c r="F13087" s="8">
        <v>0</v>
      </c>
      <c r="G13087" s="8">
        <v>10</v>
      </c>
      <c r="H13087" s="8" t="s">
        <v>51812</v>
      </c>
      <c r="I13087" s="8">
        <v>526.6875</v>
      </c>
      <c r="J13087" s="3">
        <f t="shared" si="204"/>
        <v>43749.449973287039</v>
      </c>
    </row>
    <row r="13088" spans="1:10" x14ac:dyDescent="0.25">
      <c r="A13088" s="5" t="s">
        <v>51813</v>
      </c>
      <c r="B13088" s="6">
        <v>393.75</v>
      </c>
      <c r="C13088" s="6">
        <v>20.478950000000001</v>
      </c>
      <c r="D13088" s="6">
        <v>74</v>
      </c>
      <c r="E13088" s="6">
        <v>0</v>
      </c>
      <c r="F13088" s="6">
        <v>0</v>
      </c>
      <c r="G13088" s="6">
        <v>14</v>
      </c>
      <c r="H13088" s="6" t="s">
        <v>51814</v>
      </c>
      <c r="I13088" s="6">
        <v>526.6875</v>
      </c>
      <c r="J13088" s="2">
        <f t="shared" si="204"/>
        <v>43749.45004481481</v>
      </c>
    </row>
    <row r="13089" spans="1:10" x14ac:dyDescent="0.25">
      <c r="A13089" s="7" t="s">
        <v>51815</v>
      </c>
      <c r="B13089" s="8">
        <v>393.75</v>
      </c>
      <c r="C13089" s="8">
        <v>20.478950000000001</v>
      </c>
      <c r="D13089" s="8">
        <v>73</v>
      </c>
      <c r="E13089" s="8">
        <v>0</v>
      </c>
      <c r="F13089" s="8">
        <v>0</v>
      </c>
      <c r="G13089" s="8">
        <v>9</v>
      </c>
      <c r="H13089" s="8" t="s">
        <v>51816</v>
      </c>
      <c r="I13089" s="8">
        <v>526.6875</v>
      </c>
      <c r="J13089" s="3">
        <f t="shared" si="204"/>
        <v>43749.450128275457</v>
      </c>
    </row>
    <row r="13090" spans="1:10" x14ac:dyDescent="0.25">
      <c r="A13090" s="5" t="s">
        <v>51817</v>
      </c>
      <c r="B13090" s="6">
        <v>412.5</v>
      </c>
      <c r="C13090" s="6">
        <v>20.478950000000001</v>
      </c>
      <c r="D13090" s="6">
        <v>73</v>
      </c>
      <c r="E13090" s="6">
        <v>0</v>
      </c>
      <c r="F13090" s="6">
        <v>0</v>
      </c>
      <c r="G13090" s="6">
        <v>5</v>
      </c>
      <c r="H13090" s="6" t="s">
        <v>51818</v>
      </c>
      <c r="I13090" s="6">
        <v>532.3125</v>
      </c>
      <c r="J13090" s="2">
        <f t="shared" si="204"/>
        <v>43749.450211956013</v>
      </c>
    </row>
    <row r="13091" spans="1:10" x14ac:dyDescent="0.25">
      <c r="A13091" s="7" t="s">
        <v>51819</v>
      </c>
      <c r="B13091" s="8">
        <v>393.75</v>
      </c>
      <c r="C13091" s="8">
        <v>20.478950000000001</v>
      </c>
      <c r="D13091" s="8">
        <v>74</v>
      </c>
      <c r="E13091" s="8">
        <v>0</v>
      </c>
      <c r="F13091" s="8">
        <v>0</v>
      </c>
      <c r="G13091" s="8">
        <v>7</v>
      </c>
      <c r="H13091" s="8" t="s">
        <v>51820</v>
      </c>
      <c r="I13091" s="8">
        <v>526.6875</v>
      </c>
      <c r="J13091" s="3">
        <f t="shared" si="204"/>
        <v>43749.450295300929</v>
      </c>
    </row>
    <row r="13092" spans="1:10" x14ac:dyDescent="0.25">
      <c r="A13092" s="5" t="s">
        <v>51821</v>
      </c>
      <c r="B13092" s="6">
        <v>393.75</v>
      </c>
      <c r="C13092" s="6">
        <v>20.478950000000001</v>
      </c>
      <c r="D13092" s="6">
        <v>73</v>
      </c>
      <c r="E13092" s="6">
        <v>0</v>
      </c>
      <c r="F13092" s="6">
        <v>0</v>
      </c>
      <c r="G13092" s="6">
        <v>0</v>
      </c>
      <c r="H13092" s="6" t="s">
        <v>51822</v>
      </c>
      <c r="I13092" s="6">
        <v>526.6875</v>
      </c>
      <c r="J13092" s="2">
        <f t="shared" si="204"/>
        <v>43749.450378749993</v>
      </c>
    </row>
    <row r="13093" spans="1:10" x14ac:dyDescent="0.25">
      <c r="A13093" s="7" t="s">
        <v>51823</v>
      </c>
      <c r="B13093" s="8">
        <v>393.75</v>
      </c>
      <c r="C13093" s="8">
        <v>20.478950000000001</v>
      </c>
      <c r="D13093" s="8">
        <v>72</v>
      </c>
      <c r="E13093" s="8">
        <v>0</v>
      </c>
      <c r="F13093" s="8">
        <v>0</v>
      </c>
      <c r="G13093" s="8">
        <v>15</v>
      </c>
      <c r="H13093" s="8" t="s">
        <v>51824</v>
      </c>
      <c r="I13093" s="8">
        <v>526.6875</v>
      </c>
      <c r="J13093" s="3">
        <f t="shared" si="204"/>
        <v>43749.450462291665</v>
      </c>
    </row>
    <row r="13094" spans="1:10" x14ac:dyDescent="0.25">
      <c r="A13094" s="5" t="s">
        <v>51825</v>
      </c>
      <c r="B13094" s="6">
        <v>393.75</v>
      </c>
      <c r="C13094" s="6">
        <v>20.478950000000001</v>
      </c>
      <c r="D13094" s="6">
        <v>72</v>
      </c>
      <c r="E13094" s="6">
        <v>0</v>
      </c>
      <c r="F13094" s="6">
        <v>0</v>
      </c>
      <c r="G13094" s="6">
        <v>0</v>
      </c>
      <c r="H13094" s="6" t="s">
        <v>51826</v>
      </c>
      <c r="I13094" s="6">
        <v>526.6875</v>
      </c>
      <c r="J13094" s="2">
        <f t="shared" si="204"/>
        <v>43749.450545497682</v>
      </c>
    </row>
    <row r="13095" spans="1:10" x14ac:dyDescent="0.25">
      <c r="A13095" s="7" t="s">
        <v>51827</v>
      </c>
      <c r="B13095" s="8">
        <v>393.75</v>
      </c>
      <c r="C13095" s="8">
        <v>20.478950000000001</v>
      </c>
      <c r="D13095" s="8">
        <v>72</v>
      </c>
      <c r="E13095" s="8">
        <v>0</v>
      </c>
      <c r="F13095" s="8">
        <v>0</v>
      </c>
      <c r="G13095" s="8">
        <v>12</v>
      </c>
      <c r="H13095" s="8" t="s">
        <v>51828</v>
      </c>
      <c r="I13095" s="8">
        <v>526.6875</v>
      </c>
      <c r="J13095" s="3">
        <f t="shared" si="204"/>
        <v>43749.450617013885</v>
      </c>
    </row>
    <row r="13096" spans="1:10" x14ac:dyDescent="0.25">
      <c r="A13096" s="5" t="s">
        <v>51829</v>
      </c>
      <c r="B13096" s="6">
        <v>393.75</v>
      </c>
      <c r="C13096" s="6">
        <v>20.478950000000001</v>
      </c>
      <c r="D13096" s="6">
        <v>72</v>
      </c>
      <c r="E13096" s="6">
        <v>0</v>
      </c>
      <c r="F13096" s="6">
        <v>0</v>
      </c>
      <c r="G13096" s="6">
        <v>6</v>
      </c>
      <c r="H13096" s="6" t="s">
        <v>51830</v>
      </c>
      <c r="I13096" s="6">
        <v>526.6875</v>
      </c>
      <c r="J13096" s="2">
        <f t="shared" si="204"/>
        <v>43749.450700810186</v>
      </c>
    </row>
    <row r="13097" spans="1:10" x14ac:dyDescent="0.25">
      <c r="A13097" s="7" t="s">
        <v>51831</v>
      </c>
      <c r="B13097" s="8">
        <v>393.75</v>
      </c>
      <c r="C13097" s="8">
        <v>20.478950000000001</v>
      </c>
      <c r="D13097" s="8">
        <v>71</v>
      </c>
      <c r="E13097" s="8">
        <v>0</v>
      </c>
      <c r="F13097" s="8">
        <v>0</v>
      </c>
      <c r="G13097" s="8">
        <v>3</v>
      </c>
      <c r="H13097" s="8" t="s">
        <v>51832</v>
      </c>
      <c r="I13097" s="8">
        <v>526.6875</v>
      </c>
      <c r="J13097" s="3">
        <f t="shared" si="204"/>
        <v>43749.450784120367</v>
      </c>
    </row>
    <row r="13098" spans="1:10" x14ac:dyDescent="0.25">
      <c r="A13098" s="5" t="s">
        <v>51833</v>
      </c>
      <c r="B13098" s="6">
        <v>393.75</v>
      </c>
      <c r="C13098" s="6">
        <v>20.478950000000001</v>
      </c>
      <c r="D13098" s="6">
        <v>71</v>
      </c>
      <c r="E13098" s="6">
        <v>0</v>
      </c>
      <c r="F13098" s="6">
        <v>0</v>
      </c>
      <c r="G13098" s="6">
        <v>12</v>
      </c>
      <c r="H13098" s="6" t="s">
        <v>51834</v>
      </c>
      <c r="I13098" s="6">
        <v>526.6875</v>
      </c>
      <c r="J13098" s="2">
        <f t="shared" si="204"/>
        <v>43749.450867465275</v>
      </c>
    </row>
    <row r="13099" spans="1:10" x14ac:dyDescent="0.25">
      <c r="A13099" s="7" t="s">
        <v>51835</v>
      </c>
      <c r="B13099" s="8">
        <v>393.75</v>
      </c>
      <c r="C13099" s="8">
        <v>20.478950000000001</v>
      </c>
      <c r="D13099" s="8">
        <v>71</v>
      </c>
      <c r="E13099" s="8">
        <v>0</v>
      </c>
      <c r="F13099" s="8">
        <v>0</v>
      </c>
      <c r="G13099" s="8">
        <v>16</v>
      </c>
      <c r="H13099" s="8" t="s">
        <v>51836</v>
      </c>
      <c r="I13099" s="8">
        <v>526.6875</v>
      </c>
      <c r="J13099" s="3">
        <f t="shared" si="204"/>
        <v>43749.450939212962</v>
      </c>
    </row>
    <row r="13100" spans="1:10" x14ac:dyDescent="0.25">
      <c r="A13100" s="5" t="s">
        <v>51837</v>
      </c>
      <c r="B13100" s="6">
        <v>393.75</v>
      </c>
      <c r="C13100" s="6">
        <v>20.478950000000001</v>
      </c>
      <c r="D13100" s="6">
        <v>71</v>
      </c>
      <c r="E13100" s="6">
        <v>0</v>
      </c>
      <c r="F13100" s="6">
        <v>0</v>
      </c>
      <c r="G13100" s="6">
        <v>2</v>
      </c>
      <c r="H13100" s="6" t="s">
        <v>51838</v>
      </c>
      <c r="I13100" s="6">
        <v>526.6875</v>
      </c>
      <c r="J13100" s="2">
        <f t="shared" si="204"/>
        <v>43749.451034259262</v>
      </c>
    </row>
    <row r="13101" spans="1:10" x14ac:dyDescent="0.25">
      <c r="A13101" s="7" t="s">
        <v>51839</v>
      </c>
      <c r="B13101" s="8">
        <v>393.75</v>
      </c>
      <c r="C13101" s="8">
        <v>20.478950000000001</v>
      </c>
      <c r="D13101" s="8">
        <v>71</v>
      </c>
      <c r="E13101" s="8">
        <v>0</v>
      </c>
      <c r="F13101" s="8">
        <v>0</v>
      </c>
      <c r="G13101" s="8">
        <v>18</v>
      </c>
      <c r="H13101" s="8" t="s">
        <v>51840</v>
      </c>
      <c r="I13101" s="8">
        <v>526.6875</v>
      </c>
      <c r="J13101" s="3">
        <f t="shared" si="204"/>
        <v>43749.451105914348</v>
      </c>
    </row>
    <row r="13102" spans="1:10" x14ac:dyDescent="0.25">
      <c r="A13102" s="5" t="s">
        <v>51841</v>
      </c>
      <c r="B13102" s="6">
        <v>393.75</v>
      </c>
      <c r="C13102" s="6">
        <v>20.478950000000001</v>
      </c>
      <c r="D13102" s="6">
        <v>73</v>
      </c>
      <c r="E13102" s="6">
        <v>0</v>
      </c>
      <c r="F13102" s="6">
        <v>0</v>
      </c>
      <c r="G13102" s="6">
        <v>9</v>
      </c>
      <c r="H13102" s="6" t="s">
        <v>51842</v>
      </c>
      <c r="I13102" s="6">
        <v>526.6875</v>
      </c>
      <c r="J13102" s="2">
        <f t="shared" si="204"/>
        <v>43749.451189733794</v>
      </c>
    </row>
    <row r="13103" spans="1:10" x14ac:dyDescent="0.25">
      <c r="A13103" s="7" t="s">
        <v>51843</v>
      </c>
      <c r="B13103" s="8">
        <v>393.75</v>
      </c>
      <c r="C13103" s="8">
        <v>20.478950000000001</v>
      </c>
      <c r="D13103" s="8">
        <v>72</v>
      </c>
      <c r="E13103" s="8">
        <v>0</v>
      </c>
      <c r="F13103" s="8">
        <v>0</v>
      </c>
      <c r="G13103" s="8">
        <v>6</v>
      </c>
      <c r="H13103" s="8" t="s">
        <v>51844</v>
      </c>
      <c r="I13103" s="8">
        <v>526.6875</v>
      </c>
      <c r="J13103" s="3">
        <f t="shared" si="204"/>
        <v>43749.451273171297</v>
      </c>
    </row>
    <row r="13104" spans="1:10" x14ac:dyDescent="0.25">
      <c r="A13104" s="5" t="s">
        <v>51845</v>
      </c>
      <c r="B13104" s="6">
        <v>393.75</v>
      </c>
      <c r="C13104" s="6">
        <v>20.478950000000001</v>
      </c>
      <c r="D13104" s="6">
        <v>71</v>
      </c>
      <c r="E13104" s="6">
        <v>0</v>
      </c>
      <c r="F13104" s="6">
        <v>0</v>
      </c>
      <c r="G13104" s="6">
        <v>12</v>
      </c>
      <c r="H13104" s="6" t="s">
        <v>51846</v>
      </c>
      <c r="I13104" s="6">
        <v>526.6875</v>
      </c>
      <c r="J13104" s="2">
        <f t="shared" si="204"/>
        <v>43749.451356481477</v>
      </c>
    </row>
    <row r="13105" spans="1:10" x14ac:dyDescent="0.25">
      <c r="A13105" s="7" t="s">
        <v>51847</v>
      </c>
      <c r="B13105" s="8">
        <v>393.75</v>
      </c>
      <c r="C13105" s="8">
        <v>20.478950000000001</v>
      </c>
      <c r="D13105" s="8">
        <v>72</v>
      </c>
      <c r="E13105" s="8">
        <v>0</v>
      </c>
      <c r="F13105" s="8">
        <v>0</v>
      </c>
      <c r="G13105" s="8">
        <v>6</v>
      </c>
      <c r="H13105" s="8" t="s">
        <v>51848</v>
      </c>
      <c r="I13105" s="8">
        <v>526.6875</v>
      </c>
      <c r="J13105" s="3">
        <f t="shared" si="204"/>
        <v>43749.45144005787</v>
      </c>
    </row>
    <row r="13106" spans="1:10" x14ac:dyDescent="0.25">
      <c r="A13106" s="5" t="s">
        <v>51849</v>
      </c>
      <c r="B13106" s="6">
        <v>393.75</v>
      </c>
      <c r="C13106" s="6">
        <v>20.478950000000001</v>
      </c>
      <c r="D13106" s="6">
        <v>71</v>
      </c>
      <c r="E13106" s="6">
        <v>0</v>
      </c>
      <c r="F13106" s="6">
        <v>0</v>
      </c>
      <c r="G13106" s="6">
        <v>6</v>
      </c>
      <c r="H13106" s="6" t="s">
        <v>51850</v>
      </c>
      <c r="I13106" s="6">
        <v>526.6875</v>
      </c>
      <c r="J13106" s="2">
        <f t="shared" si="204"/>
        <v>43749.451523738426</v>
      </c>
    </row>
    <row r="13107" spans="1:10" x14ac:dyDescent="0.25">
      <c r="A13107" s="7" t="s">
        <v>51851</v>
      </c>
      <c r="B13107" s="8">
        <v>412.5</v>
      </c>
      <c r="C13107" s="8">
        <v>20.478950000000001</v>
      </c>
      <c r="D13107" s="8">
        <v>71</v>
      </c>
      <c r="E13107" s="8">
        <v>0</v>
      </c>
      <c r="F13107" s="8">
        <v>0</v>
      </c>
      <c r="G13107" s="8">
        <v>11</v>
      </c>
      <c r="H13107" s="8" t="s">
        <v>51852</v>
      </c>
      <c r="I13107" s="8">
        <v>532.875</v>
      </c>
      <c r="J13107" s="3">
        <f t="shared" si="204"/>
        <v>43749.451607129631</v>
      </c>
    </row>
    <row r="13108" spans="1:10" x14ac:dyDescent="0.25">
      <c r="A13108" s="5" t="s">
        <v>51853</v>
      </c>
      <c r="B13108" s="6">
        <v>393.75</v>
      </c>
      <c r="C13108" s="6">
        <v>20.478950000000001</v>
      </c>
      <c r="D13108" s="6">
        <v>73</v>
      </c>
      <c r="E13108" s="6">
        <v>0</v>
      </c>
      <c r="F13108" s="6">
        <v>0</v>
      </c>
      <c r="G13108" s="6">
        <v>6</v>
      </c>
      <c r="H13108" s="6" t="s">
        <v>51854</v>
      </c>
      <c r="I13108" s="6">
        <v>526.6875</v>
      </c>
      <c r="J13108" s="2">
        <f t="shared" si="204"/>
        <v>43749.451690740738</v>
      </c>
    </row>
    <row r="13109" spans="1:10" x14ac:dyDescent="0.25">
      <c r="A13109" s="7" t="s">
        <v>51855</v>
      </c>
      <c r="B13109" s="8">
        <v>393.75</v>
      </c>
      <c r="C13109" s="8">
        <v>20.478950000000001</v>
      </c>
      <c r="D13109" s="8">
        <v>73</v>
      </c>
      <c r="E13109" s="8">
        <v>0</v>
      </c>
      <c r="F13109" s="8">
        <v>0</v>
      </c>
      <c r="G13109" s="8">
        <v>10</v>
      </c>
      <c r="H13109" s="8" t="s">
        <v>51856</v>
      </c>
      <c r="I13109" s="8">
        <v>526.5</v>
      </c>
      <c r="J13109" s="3">
        <f t="shared" si="204"/>
        <v>43749.451762175922</v>
      </c>
    </row>
    <row r="13110" spans="1:10" x14ac:dyDescent="0.25">
      <c r="A13110" s="5" t="s">
        <v>51857</v>
      </c>
      <c r="B13110" s="6">
        <v>393.75</v>
      </c>
      <c r="C13110" s="6">
        <v>20.478950000000001</v>
      </c>
      <c r="D13110" s="6">
        <v>72</v>
      </c>
      <c r="E13110" s="6">
        <v>0</v>
      </c>
      <c r="F13110" s="6">
        <v>0</v>
      </c>
      <c r="G13110" s="6">
        <v>2</v>
      </c>
      <c r="H13110" s="6" t="s">
        <v>51858</v>
      </c>
      <c r="I13110" s="6">
        <v>526.6875</v>
      </c>
      <c r="J13110" s="2">
        <f t="shared" si="204"/>
        <v>43749.451845370371</v>
      </c>
    </row>
    <row r="13111" spans="1:10" x14ac:dyDescent="0.25">
      <c r="A13111" s="7" t="s">
        <v>51859</v>
      </c>
      <c r="B13111" s="8">
        <v>393.75</v>
      </c>
      <c r="C13111" s="8">
        <v>20.478950000000001</v>
      </c>
      <c r="D13111" s="8">
        <v>72</v>
      </c>
      <c r="E13111" s="8">
        <v>0</v>
      </c>
      <c r="F13111" s="8">
        <v>0</v>
      </c>
      <c r="G13111" s="8">
        <v>12</v>
      </c>
      <c r="H13111" s="8" t="s">
        <v>51860</v>
      </c>
      <c r="I13111" s="8">
        <v>526.6875</v>
      </c>
      <c r="J13111" s="3">
        <f t="shared" si="204"/>
        <v>43749.451917245366</v>
      </c>
    </row>
    <row r="13112" spans="1:10" x14ac:dyDescent="0.25">
      <c r="A13112" s="5" t="s">
        <v>51861</v>
      </c>
      <c r="B13112" s="6">
        <v>393.75</v>
      </c>
      <c r="C13112" s="6">
        <v>20.478950000000001</v>
      </c>
      <c r="D13112" s="6">
        <v>72</v>
      </c>
      <c r="E13112" s="6">
        <v>0</v>
      </c>
      <c r="F13112" s="6">
        <v>0</v>
      </c>
      <c r="G13112" s="6">
        <v>10</v>
      </c>
      <c r="H13112" s="6" t="s">
        <v>51862</v>
      </c>
      <c r="I13112" s="6">
        <v>526.6875</v>
      </c>
      <c r="J13112" s="2">
        <f t="shared" si="204"/>
        <v>43749.452000833327</v>
      </c>
    </row>
    <row r="13113" spans="1:10" x14ac:dyDescent="0.25">
      <c r="A13113" s="7" t="s">
        <v>51863</v>
      </c>
      <c r="B13113" s="8">
        <v>393.75</v>
      </c>
      <c r="C13113" s="8">
        <v>20.478950000000001</v>
      </c>
      <c r="D13113" s="8">
        <v>72</v>
      </c>
      <c r="E13113" s="8">
        <v>0</v>
      </c>
      <c r="F13113" s="8">
        <v>0</v>
      </c>
      <c r="G13113" s="8">
        <v>14</v>
      </c>
      <c r="H13113" s="8" t="s">
        <v>51864</v>
      </c>
      <c r="I13113" s="8">
        <v>526.6875</v>
      </c>
      <c r="J13113" s="3">
        <f t="shared" si="204"/>
        <v>43749.452084247685</v>
      </c>
    </row>
    <row r="13114" spans="1:10" x14ac:dyDescent="0.25">
      <c r="A13114" s="5" t="s">
        <v>51865</v>
      </c>
      <c r="B13114" s="6">
        <v>393.75</v>
      </c>
      <c r="C13114" s="6">
        <v>20.478950000000001</v>
      </c>
      <c r="D13114" s="6">
        <v>72</v>
      </c>
      <c r="E13114" s="6">
        <v>0</v>
      </c>
      <c r="F13114" s="6">
        <v>0</v>
      </c>
      <c r="G13114" s="6">
        <v>8</v>
      </c>
      <c r="H13114" s="6" t="s">
        <v>51866</v>
      </c>
      <c r="I13114" s="6">
        <v>526.6875</v>
      </c>
      <c r="J13114" s="2">
        <f t="shared" si="204"/>
        <v>43749.452167499992</v>
      </c>
    </row>
    <row r="13115" spans="1:10" x14ac:dyDescent="0.25">
      <c r="A13115" s="7" t="s">
        <v>51867</v>
      </c>
      <c r="B13115" s="8">
        <v>409.375</v>
      </c>
      <c r="C13115" s="8">
        <v>20.478950000000001</v>
      </c>
      <c r="D13115" s="8">
        <v>72</v>
      </c>
      <c r="E13115" s="8">
        <v>0</v>
      </c>
      <c r="F13115" s="8">
        <v>0</v>
      </c>
      <c r="G13115" s="8">
        <v>3</v>
      </c>
      <c r="H13115" s="8" t="s">
        <v>51868</v>
      </c>
      <c r="I13115" s="8">
        <v>531.5625</v>
      </c>
      <c r="J13115" s="3">
        <f t="shared" si="204"/>
        <v>43749.452239143517</v>
      </c>
    </row>
    <row r="13116" spans="1:10" x14ac:dyDescent="0.25">
      <c r="A13116" s="5" t="s">
        <v>51869</v>
      </c>
      <c r="B13116" s="6">
        <v>393.75</v>
      </c>
      <c r="C13116" s="6">
        <v>20.478950000000001</v>
      </c>
      <c r="D13116" s="6">
        <v>75</v>
      </c>
      <c r="E13116" s="6">
        <v>0</v>
      </c>
      <c r="F13116" s="6">
        <v>0</v>
      </c>
      <c r="G13116" s="6">
        <v>10</v>
      </c>
      <c r="H13116" s="6" t="s">
        <v>51870</v>
      </c>
      <c r="I13116" s="6">
        <v>526.6875</v>
      </c>
      <c r="J13116" s="2">
        <f t="shared" si="204"/>
        <v>43749.452322708334</v>
      </c>
    </row>
    <row r="13117" spans="1:10" x14ac:dyDescent="0.25">
      <c r="A13117" s="7" t="s">
        <v>51871</v>
      </c>
      <c r="B13117" s="8">
        <v>393.75</v>
      </c>
      <c r="C13117" s="8">
        <v>20.478950000000001</v>
      </c>
      <c r="D13117" s="8">
        <v>74</v>
      </c>
      <c r="E13117" s="8">
        <v>0</v>
      </c>
      <c r="F13117" s="8">
        <v>0</v>
      </c>
      <c r="G13117" s="8">
        <v>12</v>
      </c>
      <c r="H13117" s="8" t="s">
        <v>51872</v>
      </c>
      <c r="I13117" s="8">
        <v>526.6875</v>
      </c>
      <c r="J13117" s="3">
        <f t="shared" si="204"/>
        <v>43749.45240631944</v>
      </c>
    </row>
    <row r="13118" spans="1:10" x14ac:dyDescent="0.25">
      <c r="A13118" s="5" t="s">
        <v>51873</v>
      </c>
      <c r="B13118" s="6">
        <v>393.75</v>
      </c>
      <c r="C13118" s="6">
        <v>20.478950000000001</v>
      </c>
      <c r="D13118" s="6">
        <v>74</v>
      </c>
      <c r="E13118" s="6">
        <v>0</v>
      </c>
      <c r="F13118" s="6">
        <v>0</v>
      </c>
      <c r="G13118" s="6">
        <v>10</v>
      </c>
      <c r="H13118" s="6" t="s">
        <v>51874</v>
      </c>
      <c r="I13118" s="6">
        <v>526.6875</v>
      </c>
      <c r="J13118" s="2">
        <f t="shared" si="204"/>
        <v>43749.45248983796</v>
      </c>
    </row>
    <row r="13119" spans="1:10" x14ac:dyDescent="0.25">
      <c r="A13119" s="7" t="s">
        <v>51875</v>
      </c>
      <c r="B13119" s="8">
        <v>393.75</v>
      </c>
      <c r="C13119" s="8">
        <v>20.478950000000001</v>
      </c>
      <c r="D13119" s="8">
        <v>72</v>
      </c>
      <c r="E13119" s="8">
        <v>0</v>
      </c>
      <c r="F13119" s="8">
        <v>0</v>
      </c>
      <c r="G13119" s="8">
        <v>12</v>
      </c>
      <c r="H13119" s="8" t="s">
        <v>51876</v>
      </c>
      <c r="I13119" s="8">
        <v>526.6875</v>
      </c>
      <c r="J13119" s="3">
        <f t="shared" si="204"/>
        <v>43749.452573171293</v>
      </c>
    </row>
    <row r="13120" spans="1:10" x14ac:dyDescent="0.25">
      <c r="A13120" s="5" t="s">
        <v>51877</v>
      </c>
      <c r="B13120" s="6">
        <v>393.75</v>
      </c>
      <c r="C13120" s="6">
        <v>20.478950000000001</v>
      </c>
      <c r="D13120" s="6">
        <v>71</v>
      </c>
      <c r="E13120" s="6">
        <v>0</v>
      </c>
      <c r="F13120" s="6">
        <v>0</v>
      </c>
      <c r="G13120" s="6">
        <v>14</v>
      </c>
      <c r="H13120" s="6" t="s">
        <v>51878</v>
      </c>
      <c r="I13120" s="6">
        <v>526.6875</v>
      </c>
      <c r="J13120" s="2">
        <f t="shared" si="204"/>
        <v>43749.452656608795</v>
      </c>
    </row>
    <row r="13121" spans="1:10" x14ac:dyDescent="0.25">
      <c r="A13121" s="7" t="s">
        <v>51879</v>
      </c>
      <c r="B13121" s="8">
        <v>393.75</v>
      </c>
      <c r="C13121" s="8">
        <v>20.478950000000001</v>
      </c>
      <c r="D13121" s="8">
        <v>71</v>
      </c>
      <c r="E13121" s="8">
        <v>0</v>
      </c>
      <c r="F13121" s="8">
        <v>0</v>
      </c>
      <c r="G13121" s="8">
        <v>15</v>
      </c>
      <c r="H13121" s="8" t="s">
        <v>51880</v>
      </c>
      <c r="I13121" s="8">
        <v>526.6875</v>
      </c>
      <c r="J13121" s="3">
        <f t="shared" si="204"/>
        <v>43749.452728136566</v>
      </c>
    </row>
    <row r="13122" spans="1:10" x14ac:dyDescent="0.25">
      <c r="A13122" s="5" t="s">
        <v>51881</v>
      </c>
      <c r="B13122" s="6">
        <v>393.75</v>
      </c>
      <c r="C13122" s="6">
        <v>20.478950000000001</v>
      </c>
      <c r="D13122" s="6">
        <v>70</v>
      </c>
      <c r="E13122" s="6">
        <v>0</v>
      </c>
      <c r="F13122" s="6">
        <v>0</v>
      </c>
      <c r="G13122" s="6">
        <v>6</v>
      </c>
      <c r="H13122" s="6" t="s">
        <v>51882</v>
      </c>
      <c r="I13122" s="6">
        <v>526.6875</v>
      </c>
      <c r="J13122" s="2">
        <f t="shared" ref="J13122:J13185" si="205">(H13122/86400000)+25569+(7/24)</f>
        <v>43749.452811712959</v>
      </c>
    </row>
    <row r="13123" spans="1:10" x14ac:dyDescent="0.25">
      <c r="A13123" s="7" t="s">
        <v>51883</v>
      </c>
      <c r="B13123" s="8">
        <v>393.75</v>
      </c>
      <c r="C13123" s="8">
        <v>20.478950000000001</v>
      </c>
      <c r="D13123" s="8">
        <v>71</v>
      </c>
      <c r="E13123" s="8">
        <v>0</v>
      </c>
      <c r="F13123" s="8">
        <v>0</v>
      </c>
      <c r="G13123" s="8">
        <v>7</v>
      </c>
      <c r="H13123" s="8" t="s">
        <v>51884</v>
      </c>
      <c r="I13123" s="8">
        <v>526.6875</v>
      </c>
      <c r="J13123" s="3">
        <f t="shared" si="205"/>
        <v>43749.452895162038</v>
      </c>
    </row>
    <row r="13124" spans="1:10" x14ac:dyDescent="0.25">
      <c r="A13124" s="5" t="s">
        <v>51885</v>
      </c>
      <c r="B13124" s="6">
        <v>393.75</v>
      </c>
      <c r="C13124" s="6">
        <v>20.478950000000001</v>
      </c>
      <c r="D13124" s="6">
        <v>71</v>
      </c>
      <c r="E13124" s="6">
        <v>0</v>
      </c>
      <c r="F13124" s="6">
        <v>0</v>
      </c>
      <c r="G13124" s="6">
        <v>13</v>
      </c>
      <c r="H13124" s="6" t="s">
        <v>51886</v>
      </c>
      <c r="I13124" s="6">
        <v>526.6875</v>
      </c>
      <c r="J13124" s="2">
        <f t="shared" si="205"/>
        <v>43749.452978703703</v>
      </c>
    </row>
    <row r="13125" spans="1:10" x14ac:dyDescent="0.25">
      <c r="A13125" s="7" t="s">
        <v>51887</v>
      </c>
      <c r="B13125" s="8">
        <v>412.5</v>
      </c>
      <c r="C13125" s="8">
        <v>20.478950000000001</v>
      </c>
      <c r="D13125" s="8">
        <v>71</v>
      </c>
      <c r="E13125" s="8">
        <v>0</v>
      </c>
      <c r="F13125" s="8">
        <v>0</v>
      </c>
      <c r="G13125" s="8">
        <v>9</v>
      </c>
      <c r="H13125" s="8" t="s">
        <v>51888</v>
      </c>
      <c r="I13125" s="8">
        <v>532.5</v>
      </c>
      <c r="J13125" s="3">
        <f t="shared" si="205"/>
        <v>43749.45306216435</v>
      </c>
    </row>
    <row r="13126" spans="1:10" x14ac:dyDescent="0.25">
      <c r="A13126" s="5" t="s">
        <v>51889</v>
      </c>
      <c r="B13126" s="6">
        <v>393.75</v>
      </c>
      <c r="C13126" s="6">
        <v>20.478950000000001</v>
      </c>
      <c r="D13126" s="6">
        <v>71</v>
      </c>
      <c r="E13126" s="6">
        <v>0</v>
      </c>
      <c r="F13126" s="6">
        <v>0</v>
      </c>
      <c r="G13126" s="6">
        <v>15</v>
      </c>
      <c r="H13126" s="6" t="s">
        <v>51890</v>
      </c>
      <c r="I13126" s="6">
        <v>526.6875</v>
      </c>
      <c r="J13126" s="2">
        <f t="shared" si="205"/>
        <v>43749.453145370368</v>
      </c>
    </row>
    <row r="13127" spans="1:10" x14ac:dyDescent="0.25">
      <c r="A13127" s="7" t="s">
        <v>51891</v>
      </c>
      <c r="B13127" s="8">
        <v>393.75</v>
      </c>
      <c r="C13127" s="8">
        <v>20.478950000000001</v>
      </c>
      <c r="D13127" s="8">
        <v>71</v>
      </c>
      <c r="E13127" s="8">
        <v>0</v>
      </c>
      <c r="F13127" s="8">
        <v>0</v>
      </c>
      <c r="G13127" s="8">
        <v>9</v>
      </c>
      <c r="H13127" s="8" t="s">
        <v>51892</v>
      </c>
      <c r="I13127" s="8">
        <v>526.5</v>
      </c>
      <c r="J13127" s="3">
        <f t="shared" si="205"/>
        <v>43749.453217164344</v>
      </c>
    </row>
    <row r="13128" spans="1:10" x14ac:dyDescent="0.25">
      <c r="A13128" s="5" t="s">
        <v>51893</v>
      </c>
      <c r="B13128" s="6">
        <v>393.75</v>
      </c>
      <c r="C13128" s="6">
        <v>20.478950000000001</v>
      </c>
      <c r="D13128" s="6">
        <v>69</v>
      </c>
      <c r="E13128" s="6">
        <v>0</v>
      </c>
      <c r="F13128" s="6">
        <v>0</v>
      </c>
      <c r="G13128" s="6">
        <v>9</v>
      </c>
      <c r="H13128" s="6" t="s">
        <v>51894</v>
      </c>
      <c r="I13128" s="6">
        <v>526.6875</v>
      </c>
      <c r="J13128" s="2">
        <f t="shared" si="205"/>
        <v>43749.453300879628</v>
      </c>
    </row>
    <row r="13129" spans="1:10" x14ac:dyDescent="0.25">
      <c r="A13129" s="7" t="s">
        <v>51895</v>
      </c>
      <c r="B13129" s="8">
        <v>393.75</v>
      </c>
      <c r="C13129" s="8">
        <v>20.478950000000001</v>
      </c>
      <c r="D13129" s="8">
        <v>69</v>
      </c>
      <c r="E13129" s="8">
        <v>0</v>
      </c>
      <c r="F13129" s="8">
        <v>0</v>
      </c>
      <c r="G13129" s="8">
        <v>12</v>
      </c>
      <c r="H13129" s="8" t="s">
        <v>51896</v>
      </c>
      <c r="I13129" s="8">
        <v>526.6875</v>
      </c>
      <c r="J13129" s="3">
        <f t="shared" si="205"/>
        <v>43749.453384270826</v>
      </c>
    </row>
    <row r="13130" spans="1:10" x14ac:dyDescent="0.25">
      <c r="A13130" s="5" t="s">
        <v>51897</v>
      </c>
      <c r="B13130" s="6">
        <v>412.5</v>
      </c>
      <c r="C13130" s="6">
        <v>20.478950000000001</v>
      </c>
      <c r="D13130" s="6">
        <v>70</v>
      </c>
      <c r="E13130" s="6">
        <v>0</v>
      </c>
      <c r="F13130" s="6">
        <v>0</v>
      </c>
      <c r="G13130" s="6">
        <v>11</v>
      </c>
      <c r="H13130" s="6" t="s">
        <v>51898</v>
      </c>
      <c r="I13130" s="6">
        <v>532.5</v>
      </c>
      <c r="J13130" s="2">
        <f t="shared" si="205"/>
        <v>43749.453467488427</v>
      </c>
    </row>
    <row r="13131" spans="1:10" x14ac:dyDescent="0.25">
      <c r="A13131" s="7" t="s">
        <v>51899</v>
      </c>
      <c r="B13131" s="8">
        <v>393.75</v>
      </c>
      <c r="C13131" s="8">
        <v>20.478950000000001</v>
      </c>
      <c r="D13131" s="8">
        <v>70</v>
      </c>
      <c r="E13131" s="8">
        <v>0</v>
      </c>
      <c r="F13131" s="8">
        <v>0</v>
      </c>
      <c r="G13131" s="8">
        <v>6</v>
      </c>
      <c r="H13131" s="8" t="s">
        <v>51900</v>
      </c>
      <c r="I13131" s="8">
        <v>526.5</v>
      </c>
      <c r="J13131" s="3">
        <f t="shared" si="205"/>
        <v>43749.453539131944</v>
      </c>
    </row>
    <row r="13132" spans="1:10" x14ac:dyDescent="0.25">
      <c r="A13132" s="5" t="s">
        <v>51901</v>
      </c>
      <c r="B13132" s="6">
        <v>393.75</v>
      </c>
      <c r="C13132" s="6">
        <v>20.478950000000001</v>
      </c>
      <c r="D13132" s="6">
        <v>70</v>
      </c>
      <c r="E13132" s="6">
        <v>0</v>
      </c>
      <c r="F13132" s="6">
        <v>0</v>
      </c>
      <c r="G13132" s="6">
        <v>10</v>
      </c>
      <c r="H13132" s="6" t="s">
        <v>51902</v>
      </c>
      <c r="I13132" s="6">
        <v>526.5</v>
      </c>
      <c r="J13132" s="2">
        <f t="shared" si="205"/>
        <v>43749.453623055553</v>
      </c>
    </row>
    <row r="13133" spans="1:10" x14ac:dyDescent="0.25">
      <c r="A13133" s="7" t="s">
        <v>51903</v>
      </c>
      <c r="B13133" s="8">
        <v>393.75</v>
      </c>
      <c r="C13133" s="8">
        <v>20.478950000000001</v>
      </c>
      <c r="D13133" s="8">
        <v>71</v>
      </c>
      <c r="E13133" s="8">
        <v>0</v>
      </c>
      <c r="F13133" s="8">
        <v>0</v>
      </c>
      <c r="G13133" s="8">
        <v>8</v>
      </c>
      <c r="H13133" s="8" t="s">
        <v>51904</v>
      </c>
      <c r="I13133" s="8">
        <v>526.6875</v>
      </c>
      <c r="J13133" s="3">
        <f t="shared" si="205"/>
        <v>43749.453718900462</v>
      </c>
    </row>
    <row r="13134" spans="1:10" x14ac:dyDescent="0.25">
      <c r="A13134" s="5" t="s">
        <v>51905</v>
      </c>
      <c r="B13134" s="6">
        <v>393.75</v>
      </c>
      <c r="C13134" s="6">
        <v>20.478950000000001</v>
      </c>
      <c r="D13134" s="6">
        <v>71</v>
      </c>
      <c r="E13134" s="6">
        <v>0</v>
      </c>
      <c r="F13134" s="6">
        <v>0</v>
      </c>
      <c r="G13134" s="6">
        <v>14</v>
      </c>
      <c r="H13134" s="6" t="s">
        <v>51906</v>
      </c>
      <c r="I13134" s="6">
        <v>526.6875</v>
      </c>
      <c r="J13134" s="2">
        <f t="shared" si="205"/>
        <v>43749.453801770833</v>
      </c>
    </row>
    <row r="13135" spans="1:10" x14ac:dyDescent="0.25">
      <c r="A13135" s="7" t="s">
        <v>51907</v>
      </c>
      <c r="B13135" s="8">
        <v>393.75</v>
      </c>
      <c r="C13135" s="8">
        <v>20.478950000000001</v>
      </c>
      <c r="D13135" s="8">
        <v>69</v>
      </c>
      <c r="E13135" s="8">
        <v>0</v>
      </c>
      <c r="F13135" s="8">
        <v>0</v>
      </c>
      <c r="G13135" s="8">
        <v>12</v>
      </c>
      <c r="H13135" s="8" t="s">
        <v>51908</v>
      </c>
      <c r="I13135" s="8">
        <v>526.6875</v>
      </c>
      <c r="J13135" s="3">
        <f t="shared" si="205"/>
        <v>43749.453873206017</v>
      </c>
    </row>
    <row r="13136" spans="1:10" x14ac:dyDescent="0.25">
      <c r="A13136" s="5" t="s">
        <v>51909</v>
      </c>
      <c r="B13136" s="6">
        <v>393.75</v>
      </c>
      <c r="C13136" s="6">
        <v>20.478950000000001</v>
      </c>
      <c r="D13136" s="6">
        <v>70</v>
      </c>
      <c r="E13136" s="6">
        <v>0</v>
      </c>
      <c r="F13136" s="6">
        <v>0</v>
      </c>
      <c r="G13136" s="6">
        <v>2</v>
      </c>
      <c r="H13136" s="6" t="s">
        <v>51910</v>
      </c>
      <c r="I13136" s="6">
        <v>526.5</v>
      </c>
      <c r="J13136" s="2">
        <f t="shared" si="205"/>
        <v>43749.453956793979</v>
      </c>
    </row>
    <row r="13137" spans="1:10" x14ac:dyDescent="0.25">
      <c r="A13137" s="7" t="s">
        <v>51911</v>
      </c>
      <c r="B13137" s="8">
        <v>393.75</v>
      </c>
      <c r="C13137" s="8">
        <v>20.478950000000001</v>
      </c>
      <c r="D13137" s="8">
        <v>70</v>
      </c>
      <c r="E13137" s="8">
        <v>0</v>
      </c>
      <c r="F13137" s="8">
        <v>0</v>
      </c>
      <c r="G13137" s="8">
        <v>6</v>
      </c>
      <c r="H13137" s="8" t="s">
        <v>51912</v>
      </c>
      <c r="I13137" s="8">
        <v>526.6875</v>
      </c>
      <c r="J13137" s="3">
        <f t="shared" si="205"/>
        <v>43749.454028182867</v>
      </c>
    </row>
    <row r="13138" spans="1:10" x14ac:dyDescent="0.25">
      <c r="A13138" s="5" t="s">
        <v>51913</v>
      </c>
      <c r="B13138" s="6">
        <v>412.5</v>
      </c>
      <c r="C13138" s="6">
        <v>20.478950000000001</v>
      </c>
      <c r="D13138" s="6">
        <v>70</v>
      </c>
      <c r="E13138" s="6">
        <v>0</v>
      </c>
      <c r="F13138" s="6">
        <v>0</v>
      </c>
      <c r="G13138" s="6">
        <v>2</v>
      </c>
      <c r="H13138" s="6" t="s">
        <v>51914</v>
      </c>
      <c r="I13138" s="6">
        <v>532.3125</v>
      </c>
      <c r="J13138" s="2">
        <f t="shared" si="205"/>
        <v>43749.454111747684</v>
      </c>
    </row>
    <row r="13139" spans="1:10" x14ac:dyDescent="0.25">
      <c r="A13139" s="7" t="s">
        <v>51915</v>
      </c>
      <c r="B13139" s="8">
        <v>393.75</v>
      </c>
      <c r="C13139" s="8">
        <v>20.478950000000001</v>
      </c>
      <c r="D13139" s="8">
        <v>69</v>
      </c>
      <c r="E13139" s="8">
        <v>0</v>
      </c>
      <c r="F13139" s="8">
        <v>0</v>
      </c>
      <c r="G13139" s="8">
        <v>0</v>
      </c>
      <c r="H13139" s="8" t="s">
        <v>51916</v>
      </c>
      <c r="I13139" s="8">
        <v>526.6875</v>
      </c>
      <c r="J13139" s="3">
        <f t="shared" si="205"/>
        <v>43749.454195196762</v>
      </c>
    </row>
    <row r="13140" spans="1:10" x14ac:dyDescent="0.25">
      <c r="A13140" s="5" t="s">
        <v>51917</v>
      </c>
      <c r="B13140" s="6">
        <v>393.75</v>
      </c>
      <c r="C13140" s="6">
        <v>20.478950000000001</v>
      </c>
      <c r="D13140" s="6">
        <v>69</v>
      </c>
      <c r="E13140" s="6">
        <v>0</v>
      </c>
      <c r="F13140" s="6">
        <v>0</v>
      </c>
      <c r="G13140" s="6">
        <v>17</v>
      </c>
      <c r="H13140" s="6" t="s">
        <v>51918</v>
      </c>
      <c r="I13140" s="6">
        <v>526.6875</v>
      </c>
      <c r="J13140" s="2">
        <f t="shared" si="205"/>
        <v>43749.454278877311</v>
      </c>
    </row>
    <row r="13141" spans="1:10" x14ac:dyDescent="0.25">
      <c r="A13141" s="7" t="s">
        <v>51919</v>
      </c>
      <c r="B13141" s="8">
        <v>393.75</v>
      </c>
      <c r="C13141" s="8">
        <v>20.478950000000001</v>
      </c>
      <c r="D13141" s="8">
        <v>70</v>
      </c>
      <c r="E13141" s="8">
        <v>0</v>
      </c>
      <c r="F13141" s="8">
        <v>0</v>
      </c>
      <c r="G13141" s="8">
        <v>10</v>
      </c>
      <c r="H13141" s="8" t="s">
        <v>51920</v>
      </c>
      <c r="I13141" s="8">
        <v>526.6875</v>
      </c>
      <c r="J13141" s="3">
        <f t="shared" si="205"/>
        <v>43749.454362222219</v>
      </c>
    </row>
    <row r="13142" spans="1:10" x14ac:dyDescent="0.25">
      <c r="A13142" s="5" t="s">
        <v>51921</v>
      </c>
      <c r="B13142" s="6">
        <v>393.75</v>
      </c>
      <c r="C13142" s="6">
        <v>20.478950000000001</v>
      </c>
      <c r="D13142" s="6">
        <v>71</v>
      </c>
      <c r="E13142" s="6">
        <v>0</v>
      </c>
      <c r="F13142" s="6">
        <v>0</v>
      </c>
      <c r="G13142" s="6">
        <v>12</v>
      </c>
      <c r="H13142" s="6" t="s">
        <v>51922</v>
      </c>
      <c r="I13142" s="6">
        <v>526.6875</v>
      </c>
      <c r="J13142" s="2">
        <f t="shared" si="205"/>
        <v>43749.454445439813</v>
      </c>
    </row>
    <row r="13143" spans="1:10" x14ac:dyDescent="0.25">
      <c r="A13143" s="7" t="s">
        <v>51923</v>
      </c>
      <c r="B13143" s="8">
        <v>393.75</v>
      </c>
      <c r="C13143" s="8">
        <v>20.478950000000001</v>
      </c>
      <c r="D13143" s="8">
        <v>72</v>
      </c>
      <c r="E13143" s="8">
        <v>0</v>
      </c>
      <c r="F13143" s="8">
        <v>0</v>
      </c>
      <c r="G13143" s="8">
        <v>13</v>
      </c>
      <c r="H13143" s="8" t="s">
        <v>51924</v>
      </c>
      <c r="I13143" s="8">
        <v>526.6875</v>
      </c>
      <c r="J13143" s="3">
        <f t="shared" si="205"/>
        <v>43749.4545171875</v>
      </c>
    </row>
    <row r="13144" spans="1:10" x14ac:dyDescent="0.25">
      <c r="A13144" s="5" t="s">
        <v>51925</v>
      </c>
      <c r="B13144" s="6">
        <v>393.75</v>
      </c>
      <c r="C13144" s="6">
        <v>20.478950000000001</v>
      </c>
      <c r="D13144" s="6">
        <v>73</v>
      </c>
      <c r="E13144" s="6">
        <v>0</v>
      </c>
      <c r="F13144" s="6">
        <v>0</v>
      </c>
      <c r="G13144" s="6">
        <v>18</v>
      </c>
      <c r="H13144" s="6" t="s">
        <v>51926</v>
      </c>
      <c r="I13144" s="6">
        <v>526.6875</v>
      </c>
      <c r="J13144" s="2">
        <f t="shared" si="205"/>
        <v>43749.4546008912</v>
      </c>
    </row>
    <row r="13145" spans="1:10" x14ac:dyDescent="0.25">
      <c r="A13145" s="7" t="s">
        <v>51927</v>
      </c>
      <c r="B13145" s="8">
        <v>393.75</v>
      </c>
      <c r="C13145" s="8">
        <v>20.478950000000001</v>
      </c>
      <c r="D13145" s="8">
        <v>73</v>
      </c>
      <c r="E13145" s="8">
        <v>0</v>
      </c>
      <c r="F13145" s="8">
        <v>0</v>
      </c>
      <c r="G13145" s="8">
        <v>9</v>
      </c>
      <c r="H13145" s="8" t="s">
        <v>51928</v>
      </c>
      <c r="I13145" s="8">
        <v>526.6875</v>
      </c>
      <c r="J13145" s="3">
        <f t="shared" si="205"/>
        <v>43749.454684340271</v>
      </c>
    </row>
    <row r="13146" spans="1:10" x14ac:dyDescent="0.25">
      <c r="A13146" s="5" t="s">
        <v>51929</v>
      </c>
      <c r="B13146" s="6">
        <v>393.75</v>
      </c>
      <c r="C13146" s="6">
        <v>20.478950000000001</v>
      </c>
      <c r="D13146" s="6">
        <v>73</v>
      </c>
      <c r="E13146" s="6">
        <v>0</v>
      </c>
      <c r="F13146" s="6">
        <v>0</v>
      </c>
      <c r="G13146" s="6">
        <v>6</v>
      </c>
      <c r="H13146" s="6" t="s">
        <v>51930</v>
      </c>
      <c r="I13146" s="6">
        <v>526.6875</v>
      </c>
      <c r="J13146" s="2">
        <f t="shared" si="205"/>
        <v>43749.454767557872</v>
      </c>
    </row>
    <row r="13147" spans="1:10" x14ac:dyDescent="0.25">
      <c r="A13147" s="7" t="s">
        <v>51931</v>
      </c>
      <c r="B13147" s="8">
        <v>393.75</v>
      </c>
      <c r="C13147" s="8">
        <v>20.478950000000001</v>
      </c>
      <c r="D13147" s="8">
        <v>73</v>
      </c>
      <c r="E13147" s="8">
        <v>0</v>
      </c>
      <c r="F13147" s="8">
        <v>0</v>
      </c>
      <c r="G13147" s="8">
        <v>1</v>
      </c>
      <c r="H13147" s="8" t="s">
        <v>51932</v>
      </c>
      <c r="I13147" s="8">
        <v>526.6875</v>
      </c>
      <c r="J13147" s="3">
        <f t="shared" si="205"/>
        <v>43749.454839317128</v>
      </c>
    </row>
    <row r="13148" spans="1:10" x14ac:dyDescent="0.25">
      <c r="A13148" s="5" t="s">
        <v>51933</v>
      </c>
      <c r="B13148" s="6">
        <v>412.5</v>
      </c>
      <c r="C13148" s="6">
        <v>20.478950000000001</v>
      </c>
      <c r="D13148" s="6">
        <v>72</v>
      </c>
      <c r="E13148" s="6">
        <v>0</v>
      </c>
      <c r="F13148" s="6">
        <v>0</v>
      </c>
      <c r="G13148" s="6">
        <v>18</v>
      </c>
      <c r="H13148" s="6" t="s">
        <v>51934</v>
      </c>
      <c r="I13148" s="6">
        <v>532.3125</v>
      </c>
      <c r="J13148" s="2">
        <f t="shared" si="205"/>
        <v>43749.45492275463</v>
      </c>
    </row>
    <row r="13149" spans="1:10" x14ac:dyDescent="0.25">
      <c r="A13149" s="7" t="s">
        <v>51935</v>
      </c>
      <c r="B13149" s="8">
        <v>393.75</v>
      </c>
      <c r="C13149" s="8">
        <v>20.478950000000001</v>
      </c>
      <c r="D13149" s="8">
        <v>72</v>
      </c>
      <c r="E13149" s="8">
        <v>0</v>
      </c>
      <c r="F13149" s="8">
        <v>0</v>
      </c>
      <c r="G13149" s="8">
        <v>8</v>
      </c>
      <c r="H13149" s="8" t="s">
        <v>51936</v>
      </c>
      <c r="I13149" s="8">
        <v>526.6875</v>
      </c>
      <c r="J13149" s="3">
        <f t="shared" si="205"/>
        <v>43749.455006307871</v>
      </c>
    </row>
    <row r="13150" spans="1:10" x14ac:dyDescent="0.25">
      <c r="A13150" s="5" t="s">
        <v>51937</v>
      </c>
      <c r="B13150" s="6">
        <v>393.75</v>
      </c>
      <c r="C13150" s="6">
        <v>20.478950000000001</v>
      </c>
      <c r="D13150" s="6">
        <v>72</v>
      </c>
      <c r="E13150" s="6">
        <v>0</v>
      </c>
      <c r="F13150" s="6">
        <v>0</v>
      </c>
      <c r="G13150" s="6">
        <v>12</v>
      </c>
      <c r="H13150" s="6" t="s">
        <v>51938</v>
      </c>
      <c r="I13150" s="6">
        <v>526.6875</v>
      </c>
      <c r="J13150" s="2">
        <f t="shared" si="205"/>
        <v>43749.455089884257</v>
      </c>
    </row>
    <row r="13151" spans="1:10" x14ac:dyDescent="0.25">
      <c r="A13151" s="7" t="s">
        <v>51939</v>
      </c>
      <c r="B13151" s="8">
        <v>393.75</v>
      </c>
      <c r="C13151" s="8">
        <v>20.478950000000001</v>
      </c>
      <c r="D13151" s="8">
        <v>72</v>
      </c>
      <c r="E13151" s="8">
        <v>0</v>
      </c>
      <c r="F13151" s="8">
        <v>0</v>
      </c>
      <c r="G13151" s="8">
        <v>4</v>
      </c>
      <c r="H13151" s="8" t="s">
        <v>51940</v>
      </c>
      <c r="I13151" s="8">
        <v>526.6875</v>
      </c>
      <c r="J13151" s="3">
        <f t="shared" si="205"/>
        <v>43749.45517321759</v>
      </c>
    </row>
    <row r="13152" spans="1:10" x14ac:dyDescent="0.25">
      <c r="A13152" s="5" t="s">
        <v>51941</v>
      </c>
      <c r="B13152" s="6">
        <v>393.75</v>
      </c>
      <c r="C13152" s="6">
        <v>20.478950000000001</v>
      </c>
      <c r="D13152" s="6">
        <v>73</v>
      </c>
      <c r="E13152" s="6">
        <v>0</v>
      </c>
      <c r="F13152" s="6">
        <v>0</v>
      </c>
      <c r="G13152" s="6">
        <v>15</v>
      </c>
      <c r="H13152" s="6" t="s">
        <v>51942</v>
      </c>
      <c r="I13152" s="6">
        <v>526.6875</v>
      </c>
      <c r="J13152" s="2">
        <f t="shared" si="205"/>
        <v>43749.455256712965</v>
      </c>
    </row>
    <row r="13153" spans="1:10" x14ac:dyDescent="0.25">
      <c r="A13153" s="7" t="s">
        <v>51943</v>
      </c>
      <c r="B13153" s="8">
        <v>393.75</v>
      </c>
      <c r="C13153" s="8">
        <v>20.478950000000001</v>
      </c>
      <c r="D13153" s="8">
        <v>73</v>
      </c>
      <c r="E13153" s="8">
        <v>0</v>
      </c>
      <c r="F13153" s="8">
        <v>0</v>
      </c>
      <c r="G13153" s="8">
        <v>7</v>
      </c>
      <c r="H13153" s="8" t="s">
        <v>51944</v>
      </c>
      <c r="I13153" s="8">
        <v>526.6875</v>
      </c>
      <c r="J13153" s="3">
        <f t="shared" si="205"/>
        <v>43749.455328194446</v>
      </c>
    </row>
    <row r="13154" spans="1:10" x14ac:dyDescent="0.25">
      <c r="A13154" s="5" t="s">
        <v>51945</v>
      </c>
      <c r="B13154" s="6">
        <v>393.75</v>
      </c>
      <c r="C13154" s="6">
        <v>20.478950000000001</v>
      </c>
      <c r="D13154" s="6">
        <v>72</v>
      </c>
      <c r="E13154" s="6">
        <v>0</v>
      </c>
      <c r="F13154" s="6">
        <v>0</v>
      </c>
      <c r="G13154" s="6">
        <v>12</v>
      </c>
      <c r="H13154" s="6" t="s">
        <v>51946</v>
      </c>
      <c r="I13154" s="6">
        <v>526.6875</v>
      </c>
      <c r="J13154" s="2">
        <f t="shared" si="205"/>
        <v>43749.455399826387</v>
      </c>
    </row>
    <row r="13155" spans="1:10" x14ac:dyDescent="0.25">
      <c r="A13155" s="7" t="s">
        <v>51947</v>
      </c>
      <c r="B13155" s="8">
        <v>393.75</v>
      </c>
      <c r="C13155" s="8">
        <v>20.478950000000001</v>
      </c>
      <c r="D13155" s="8">
        <v>72</v>
      </c>
      <c r="E13155" s="8">
        <v>0</v>
      </c>
      <c r="F13155" s="8">
        <v>0</v>
      </c>
      <c r="G13155" s="8">
        <v>13</v>
      </c>
      <c r="H13155" s="8" t="s">
        <v>51948</v>
      </c>
      <c r="I13155" s="8">
        <v>526.6875</v>
      </c>
      <c r="J13155" s="3">
        <f t="shared" si="205"/>
        <v>43749.455483414349</v>
      </c>
    </row>
    <row r="13156" spans="1:10" x14ac:dyDescent="0.25">
      <c r="A13156" s="5" t="s">
        <v>51949</v>
      </c>
      <c r="B13156" s="6">
        <v>393.75</v>
      </c>
      <c r="C13156" s="6">
        <v>20.478950000000001</v>
      </c>
      <c r="D13156" s="6">
        <v>73</v>
      </c>
      <c r="E13156" s="6">
        <v>0</v>
      </c>
      <c r="F13156" s="6">
        <v>0</v>
      </c>
      <c r="G13156" s="6">
        <v>6</v>
      </c>
      <c r="H13156" s="6" t="s">
        <v>51950</v>
      </c>
      <c r="I13156" s="6">
        <v>526.6875</v>
      </c>
      <c r="J13156" s="2">
        <f t="shared" si="205"/>
        <v>43749.455571863422</v>
      </c>
    </row>
    <row r="13157" spans="1:10" x14ac:dyDescent="0.25">
      <c r="A13157" s="7" t="s">
        <v>51951</v>
      </c>
      <c r="B13157" s="8">
        <v>393.75</v>
      </c>
      <c r="C13157" s="8">
        <v>20.478950000000001</v>
      </c>
      <c r="D13157" s="8">
        <v>73</v>
      </c>
      <c r="E13157" s="8">
        <v>0</v>
      </c>
      <c r="F13157" s="8">
        <v>0</v>
      </c>
      <c r="G13157" s="8">
        <v>16</v>
      </c>
      <c r="H13157" s="8" t="s">
        <v>51952</v>
      </c>
      <c r="I13157" s="8">
        <v>526.6875</v>
      </c>
      <c r="J13157" s="3">
        <f t="shared" si="205"/>
        <v>43749.455649965275</v>
      </c>
    </row>
    <row r="13158" spans="1:10" x14ac:dyDescent="0.25">
      <c r="A13158" s="5" t="s">
        <v>51953</v>
      </c>
      <c r="B13158" s="6">
        <v>393.75</v>
      </c>
      <c r="C13158" s="6">
        <v>20.478950000000001</v>
      </c>
      <c r="D13158" s="6">
        <v>70</v>
      </c>
      <c r="E13158" s="6">
        <v>0</v>
      </c>
      <c r="F13158" s="6">
        <v>0</v>
      </c>
      <c r="G13158" s="6">
        <v>15</v>
      </c>
      <c r="H13158" s="6" t="s">
        <v>51954</v>
      </c>
      <c r="I13158" s="6">
        <v>526.6875</v>
      </c>
      <c r="J13158" s="2">
        <f t="shared" si="205"/>
        <v>43749.455745439809</v>
      </c>
    </row>
    <row r="13159" spans="1:10" x14ac:dyDescent="0.25">
      <c r="A13159" s="7" t="s">
        <v>51955</v>
      </c>
      <c r="B13159" s="8">
        <v>393.75</v>
      </c>
      <c r="C13159" s="8">
        <v>20.478950000000001</v>
      </c>
      <c r="D13159" s="8">
        <v>69</v>
      </c>
      <c r="E13159" s="8">
        <v>0</v>
      </c>
      <c r="F13159" s="8">
        <v>0</v>
      </c>
      <c r="G13159" s="8">
        <v>16</v>
      </c>
      <c r="H13159" s="8" t="s">
        <v>51956</v>
      </c>
      <c r="I13159" s="8">
        <v>526.5</v>
      </c>
      <c r="J13159" s="3">
        <f t="shared" si="205"/>
        <v>43749.455829328705</v>
      </c>
    </row>
    <row r="13160" spans="1:10" x14ac:dyDescent="0.25">
      <c r="A13160" s="5" t="s">
        <v>51957</v>
      </c>
      <c r="B13160" s="6">
        <v>412.5</v>
      </c>
      <c r="C13160" s="6">
        <v>20.478950000000001</v>
      </c>
      <c r="D13160" s="6">
        <v>70</v>
      </c>
      <c r="E13160" s="6">
        <v>0</v>
      </c>
      <c r="F13160" s="6">
        <v>0</v>
      </c>
      <c r="G13160" s="6">
        <v>14</v>
      </c>
      <c r="H13160" s="6" t="s">
        <v>51958</v>
      </c>
      <c r="I13160" s="6">
        <v>532.3125</v>
      </c>
      <c r="J13160" s="2">
        <f t="shared" si="205"/>
        <v>43749.455912453697</v>
      </c>
    </row>
    <row r="13161" spans="1:10" x14ac:dyDescent="0.25">
      <c r="A13161" s="7" t="s">
        <v>51959</v>
      </c>
      <c r="B13161" s="8">
        <v>393.75</v>
      </c>
      <c r="C13161" s="8">
        <v>20.478950000000001</v>
      </c>
      <c r="D13161" s="8">
        <v>70</v>
      </c>
      <c r="E13161" s="8">
        <v>0</v>
      </c>
      <c r="F13161" s="8">
        <v>0</v>
      </c>
      <c r="G13161" s="8">
        <v>11</v>
      </c>
      <c r="H13161" s="8" t="s">
        <v>51960</v>
      </c>
      <c r="I13161" s="8">
        <v>526.6875</v>
      </c>
      <c r="J13161" s="3">
        <f t="shared" si="205"/>
        <v>43749.455984317123</v>
      </c>
    </row>
    <row r="13162" spans="1:10" x14ac:dyDescent="0.25">
      <c r="A13162" s="5" t="s">
        <v>51961</v>
      </c>
      <c r="B13162" s="6">
        <v>393.75</v>
      </c>
      <c r="C13162" s="6">
        <v>20.478950000000001</v>
      </c>
      <c r="D13162" s="6">
        <v>71</v>
      </c>
      <c r="E13162" s="6">
        <v>0</v>
      </c>
      <c r="F13162" s="6">
        <v>0</v>
      </c>
      <c r="G13162" s="6">
        <v>10</v>
      </c>
      <c r="H13162" s="6" t="s">
        <v>51962</v>
      </c>
      <c r="I13162" s="6">
        <v>526.6875</v>
      </c>
      <c r="J13162" s="2">
        <f t="shared" si="205"/>
        <v>43749.456067824074</v>
      </c>
    </row>
    <row r="13163" spans="1:10" x14ac:dyDescent="0.25">
      <c r="A13163" s="7" t="s">
        <v>51963</v>
      </c>
      <c r="B13163" s="8">
        <v>393.75</v>
      </c>
      <c r="C13163" s="8">
        <v>20.478950000000001</v>
      </c>
      <c r="D13163" s="8">
        <v>71</v>
      </c>
      <c r="E13163" s="8">
        <v>0</v>
      </c>
      <c r="F13163" s="8">
        <v>0</v>
      </c>
      <c r="G13163" s="8">
        <v>10</v>
      </c>
      <c r="H13163" s="8" t="s">
        <v>51964</v>
      </c>
      <c r="I13163" s="8">
        <v>526.6875</v>
      </c>
      <c r="J13163" s="3">
        <f t="shared" si="205"/>
        <v>43749.456139606475</v>
      </c>
    </row>
    <row r="13164" spans="1:10" x14ac:dyDescent="0.25">
      <c r="A13164" s="5" t="s">
        <v>51965</v>
      </c>
      <c r="B13164" s="6">
        <v>393.75</v>
      </c>
      <c r="C13164" s="6">
        <v>20.478950000000001</v>
      </c>
      <c r="D13164" s="6">
        <v>70</v>
      </c>
      <c r="E13164" s="6">
        <v>0</v>
      </c>
      <c r="F13164" s="6">
        <v>0</v>
      </c>
      <c r="G13164" s="6">
        <v>15</v>
      </c>
      <c r="H13164" s="6" t="s">
        <v>51966</v>
      </c>
      <c r="I13164" s="6">
        <v>526.6875</v>
      </c>
      <c r="J13164" s="2">
        <f t="shared" si="205"/>
        <v>43749.456235011567</v>
      </c>
    </row>
    <row r="13165" spans="1:10" x14ac:dyDescent="0.25">
      <c r="A13165" s="7" t="s">
        <v>51967</v>
      </c>
      <c r="B13165" s="8">
        <v>437.5</v>
      </c>
      <c r="C13165" s="8">
        <v>20.478950000000001</v>
      </c>
      <c r="D13165" s="8">
        <v>71</v>
      </c>
      <c r="E13165" s="8">
        <v>0</v>
      </c>
      <c r="F13165" s="8">
        <v>0</v>
      </c>
      <c r="G13165" s="8">
        <v>7</v>
      </c>
      <c r="H13165" s="8" t="s">
        <v>51968</v>
      </c>
      <c r="I13165" s="8">
        <v>540.9375</v>
      </c>
      <c r="J13165" s="3">
        <f t="shared" si="205"/>
        <v>43749.456306307868</v>
      </c>
    </row>
    <row r="13166" spans="1:10" x14ac:dyDescent="0.25">
      <c r="A13166" s="5" t="s">
        <v>51969</v>
      </c>
      <c r="B13166" s="6">
        <v>393.75</v>
      </c>
      <c r="C13166" s="6">
        <v>20.478950000000001</v>
      </c>
      <c r="D13166" s="6">
        <v>71</v>
      </c>
      <c r="E13166" s="6">
        <v>0</v>
      </c>
      <c r="F13166" s="6">
        <v>0</v>
      </c>
      <c r="G13166" s="6">
        <v>21</v>
      </c>
      <c r="H13166" s="6" t="s">
        <v>51970</v>
      </c>
      <c r="I13166" s="6">
        <v>526.6875</v>
      </c>
      <c r="J13166" s="2">
        <f t="shared" si="205"/>
        <v>43749.456389861109</v>
      </c>
    </row>
    <row r="13167" spans="1:10" x14ac:dyDescent="0.25">
      <c r="A13167" s="7" t="s">
        <v>51971</v>
      </c>
      <c r="B13167" s="8">
        <v>393.75</v>
      </c>
      <c r="C13167" s="8">
        <v>20.478950000000001</v>
      </c>
      <c r="D13167" s="8">
        <v>72</v>
      </c>
      <c r="E13167" s="8">
        <v>0</v>
      </c>
      <c r="F13167" s="8">
        <v>0</v>
      </c>
      <c r="G13167" s="8">
        <v>10</v>
      </c>
      <c r="H13167" s="8" t="s">
        <v>51972</v>
      </c>
      <c r="I13167" s="8">
        <v>526.6875</v>
      </c>
      <c r="J13167" s="3">
        <f t="shared" si="205"/>
        <v>43749.456485173614</v>
      </c>
    </row>
    <row r="13168" spans="1:10" x14ac:dyDescent="0.25">
      <c r="A13168" s="5" t="s">
        <v>51973</v>
      </c>
      <c r="B13168" s="6">
        <v>393.75</v>
      </c>
      <c r="C13168" s="6">
        <v>20.478950000000001</v>
      </c>
      <c r="D13168" s="6">
        <v>72</v>
      </c>
      <c r="E13168" s="6">
        <v>0</v>
      </c>
      <c r="F13168" s="6">
        <v>0</v>
      </c>
      <c r="G13168" s="6">
        <v>7</v>
      </c>
      <c r="H13168" s="6" t="s">
        <v>51974</v>
      </c>
      <c r="I13168" s="6">
        <v>526.6875</v>
      </c>
      <c r="J13168" s="2">
        <f t="shared" si="205"/>
        <v>43749.456568738424</v>
      </c>
    </row>
    <row r="13169" spans="1:10" x14ac:dyDescent="0.25">
      <c r="A13169" s="7" t="s">
        <v>51975</v>
      </c>
      <c r="B13169" s="8">
        <v>393.75</v>
      </c>
      <c r="C13169" s="8">
        <v>20.478950000000001</v>
      </c>
      <c r="D13169" s="8">
        <v>72</v>
      </c>
      <c r="E13169" s="8">
        <v>0</v>
      </c>
      <c r="F13169" s="8">
        <v>0</v>
      </c>
      <c r="G13169" s="8">
        <v>6</v>
      </c>
      <c r="H13169" s="8" t="s">
        <v>51976</v>
      </c>
      <c r="I13169" s="8">
        <v>526.6875</v>
      </c>
      <c r="J13169" s="3">
        <f t="shared" si="205"/>
        <v>43749.456653171299</v>
      </c>
    </row>
    <row r="13170" spans="1:10" x14ac:dyDescent="0.25">
      <c r="A13170" s="5" t="s">
        <v>51977</v>
      </c>
      <c r="B13170" s="6">
        <v>393.75</v>
      </c>
      <c r="C13170" s="6">
        <v>20.478950000000001</v>
      </c>
      <c r="D13170" s="6">
        <v>73</v>
      </c>
      <c r="E13170" s="6">
        <v>0</v>
      </c>
      <c r="F13170" s="6">
        <v>0</v>
      </c>
      <c r="G13170" s="6">
        <v>11</v>
      </c>
      <c r="H13170" s="6" t="s">
        <v>51978</v>
      </c>
      <c r="I13170" s="6">
        <v>526.6875</v>
      </c>
      <c r="J13170" s="2">
        <f t="shared" si="205"/>
        <v>43749.456735648149</v>
      </c>
    </row>
    <row r="13171" spans="1:10" x14ac:dyDescent="0.25">
      <c r="A13171" s="7" t="s">
        <v>51979</v>
      </c>
      <c r="B13171" s="8">
        <v>393.75</v>
      </c>
      <c r="C13171" s="8">
        <v>20.478950000000001</v>
      </c>
      <c r="D13171" s="8">
        <v>72</v>
      </c>
      <c r="E13171" s="8">
        <v>0</v>
      </c>
      <c r="F13171" s="8">
        <v>0</v>
      </c>
      <c r="G13171" s="8">
        <v>2</v>
      </c>
      <c r="H13171" s="8" t="s">
        <v>51980</v>
      </c>
      <c r="I13171" s="8">
        <v>526.5</v>
      </c>
      <c r="J13171" s="3">
        <f t="shared" si="205"/>
        <v>43749.456819444444</v>
      </c>
    </row>
    <row r="13172" spans="1:10" x14ac:dyDescent="0.25">
      <c r="A13172" s="5" t="s">
        <v>51981</v>
      </c>
      <c r="B13172" s="6">
        <v>412.5</v>
      </c>
      <c r="C13172" s="6">
        <v>20.478950000000001</v>
      </c>
      <c r="D13172" s="6">
        <v>71</v>
      </c>
      <c r="E13172" s="6">
        <v>0</v>
      </c>
      <c r="F13172" s="6">
        <v>0</v>
      </c>
      <c r="G13172" s="6">
        <v>8</v>
      </c>
      <c r="H13172" s="6" t="s">
        <v>51982</v>
      </c>
      <c r="I13172" s="6">
        <v>532.3125</v>
      </c>
      <c r="J13172" s="2">
        <f t="shared" si="205"/>
        <v>43749.456902743048</v>
      </c>
    </row>
    <row r="13173" spans="1:10" x14ac:dyDescent="0.25">
      <c r="A13173" s="7" t="s">
        <v>51983</v>
      </c>
      <c r="B13173" s="8">
        <v>393.75</v>
      </c>
      <c r="C13173" s="8">
        <v>20.478950000000001</v>
      </c>
      <c r="D13173" s="8">
        <v>72</v>
      </c>
      <c r="E13173" s="8">
        <v>0</v>
      </c>
      <c r="F13173" s="8">
        <v>0</v>
      </c>
      <c r="G13173" s="8">
        <v>18</v>
      </c>
      <c r="H13173" s="8" t="s">
        <v>51984</v>
      </c>
      <c r="I13173" s="8">
        <v>526.6875</v>
      </c>
      <c r="J13173" s="3">
        <f t="shared" si="205"/>
        <v>43749.45697417824</v>
      </c>
    </row>
    <row r="13174" spans="1:10" x14ac:dyDescent="0.25">
      <c r="A13174" s="5" t="s">
        <v>51985</v>
      </c>
      <c r="B13174" s="6">
        <v>393.75</v>
      </c>
      <c r="C13174" s="6">
        <v>20.478950000000001</v>
      </c>
      <c r="D13174" s="6">
        <v>71</v>
      </c>
      <c r="E13174" s="6">
        <v>0</v>
      </c>
      <c r="F13174" s="6">
        <v>0</v>
      </c>
      <c r="G13174" s="6">
        <v>11</v>
      </c>
      <c r="H13174" s="6" t="s">
        <v>51986</v>
      </c>
      <c r="I13174" s="6">
        <v>526.6875</v>
      </c>
      <c r="J13174" s="2">
        <f t="shared" si="205"/>
        <v>43749.457057395826</v>
      </c>
    </row>
    <row r="13175" spans="1:10" x14ac:dyDescent="0.25">
      <c r="A13175" s="7" t="s">
        <v>51987</v>
      </c>
      <c r="B13175" s="8">
        <v>393.75</v>
      </c>
      <c r="C13175" s="8">
        <v>20.478950000000001</v>
      </c>
      <c r="D13175" s="8">
        <v>68</v>
      </c>
      <c r="E13175" s="8">
        <v>0</v>
      </c>
      <c r="F13175" s="8">
        <v>0</v>
      </c>
      <c r="G13175" s="8">
        <v>4</v>
      </c>
      <c r="H13175" s="8" t="s">
        <v>51988</v>
      </c>
      <c r="I13175" s="8">
        <v>526.6875</v>
      </c>
      <c r="J13175" s="3">
        <f t="shared" si="205"/>
        <v>43749.457129282404</v>
      </c>
    </row>
    <row r="13176" spans="1:10" x14ac:dyDescent="0.25">
      <c r="A13176" s="5" t="s">
        <v>51989</v>
      </c>
      <c r="B13176" s="6">
        <v>393.75</v>
      </c>
      <c r="C13176" s="6">
        <v>20.478950000000001</v>
      </c>
      <c r="D13176" s="6">
        <v>70</v>
      </c>
      <c r="E13176" s="6">
        <v>0</v>
      </c>
      <c r="F13176" s="6">
        <v>0</v>
      </c>
      <c r="G13176" s="6">
        <v>5</v>
      </c>
      <c r="H13176" s="6" t="s">
        <v>51990</v>
      </c>
      <c r="I13176" s="6">
        <v>526.6875</v>
      </c>
      <c r="J13176" s="2">
        <f t="shared" si="205"/>
        <v>43749.457212858797</v>
      </c>
    </row>
    <row r="13177" spans="1:10" x14ac:dyDescent="0.25">
      <c r="A13177" s="7" t="s">
        <v>51991</v>
      </c>
      <c r="B13177" s="8">
        <v>393.75</v>
      </c>
      <c r="C13177" s="8">
        <v>20.478950000000001</v>
      </c>
      <c r="D13177" s="8">
        <v>71</v>
      </c>
      <c r="E13177" s="8">
        <v>0</v>
      </c>
      <c r="F13177" s="8">
        <v>0</v>
      </c>
      <c r="G13177" s="8">
        <v>12</v>
      </c>
      <c r="H13177" s="8" t="s">
        <v>51992</v>
      </c>
      <c r="I13177" s="8">
        <v>526.6875</v>
      </c>
      <c r="J13177" s="3">
        <f t="shared" si="205"/>
        <v>43749.457284490738</v>
      </c>
    </row>
    <row r="13178" spans="1:10" x14ac:dyDescent="0.25">
      <c r="A13178" s="5" t="s">
        <v>51993</v>
      </c>
      <c r="B13178" s="6">
        <v>412.5</v>
      </c>
      <c r="C13178" s="6">
        <v>20.478950000000001</v>
      </c>
      <c r="D13178" s="6">
        <v>70</v>
      </c>
      <c r="E13178" s="6">
        <v>0</v>
      </c>
      <c r="F13178" s="6">
        <v>0</v>
      </c>
      <c r="G13178" s="6">
        <v>6</v>
      </c>
      <c r="H13178" s="6" t="s">
        <v>51994</v>
      </c>
      <c r="I13178" s="6">
        <v>532.125</v>
      </c>
      <c r="J13178" s="2">
        <f t="shared" si="205"/>
        <v>43749.457367581017</v>
      </c>
    </row>
    <row r="13179" spans="1:10" x14ac:dyDescent="0.25">
      <c r="A13179" s="7" t="s">
        <v>51995</v>
      </c>
      <c r="B13179" s="8">
        <v>393.75</v>
      </c>
      <c r="C13179" s="8">
        <v>20.478950000000001</v>
      </c>
      <c r="D13179" s="8">
        <v>71</v>
      </c>
      <c r="E13179" s="8">
        <v>0</v>
      </c>
      <c r="F13179" s="8">
        <v>0</v>
      </c>
      <c r="G13179" s="8">
        <v>5</v>
      </c>
      <c r="H13179" s="8" t="s">
        <v>51996</v>
      </c>
      <c r="I13179" s="8">
        <v>526.5</v>
      </c>
      <c r="J13179" s="3">
        <f t="shared" si="205"/>
        <v>43749.457439351849</v>
      </c>
    </row>
    <row r="13180" spans="1:10" x14ac:dyDescent="0.25">
      <c r="A13180" s="5" t="s">
        <v>51997</v>
      </c>
      <c r="B13180" s="6">
        <v>393.75</v>
      </c>
      <c r="C13180" s="6">
        <v>20.478950000000001</v>
      </c>
      <c r="D13180" s="6">
        <v>70</v>
      </c>
      <c r="E13180" s="6">
        <v>0</v>
      </c>
      <c r="F13180" s="6">
        <v>0</v>
      </c>
      <c r="G13180" s="6">
        <v>2</v>
      </c>
      <c r="H13180" s="6" t="s">
        <v>51998</v>
      </c>
      <c r="I13180" s="6">
        <v>526.5</v>
      </c>
      <c r="J13180" s="2">
        <f t="shared" si="205"/>
        <v>43749.45752314815</v>
      </c>
    </row>
    <row r="13181" spans="1:10" x14ac:dyDescent="0.25">
      <c r="A13181" s="7" t="s">
        <v>51999</v>
      </c>
      <c r="B13181" s="8">
        <v>393.75</v>
      </c>
      <c r="C13181" s="8">
        <v>20.478950000000001</v>
      </c>
      <c r="D13181" s="8">
        <v>71</v>
      </c>
      <c r="E13181" s="8">
        <v>0</v>
      </c>
      <c r="F13181" s="8">
        <v>0</v>
      </c>
      <c r="G13181" s="8">
        <v>6</v>
      </c>
      <c r="H13181" s="8" t="s">
        <v>52000</v>
      </c>
      <c r="I13181" s="8">
        <v>526.6875</v>
      </c>
      <c r="J13181" s="3">
        <f t="shared" si="205"/>
        <v>43749.457606365737</v>
      </c>
    </row>
    <row r="13182" spans="1:10" x14ac:dyDescent="0.25">
      <c r="A13182" s="5" t="s">
        <v>52001</v>
      </c>
      <c r="B13182" s="6">
        <v>393.75</v>
      </c>
      <c r="C13182" s="6">
        <v>20.478950000000001</v>
      </c>
      <c r="D13182" s="6">
        <v>71</v>
      </c>
      <c r="E13182" s="6">
        <v>0</v>
      </c>
      <c r="F13182" s="6">
        <v>0</v>
      </c>
      <c r="G13182" s="6">
        <v>13</v>
      </c>
      <c r="H13182" s="6" t="s">
        <v>52002</v>
      </c>
      <c r="I13182" s="6">
        <v>526.6875</v>
      </c>
      <c r="J13182" s="2">
        <f t="shared" si="205"/>
        <v>43749.457689918978</v>
      </c>
    </row>
    <row r="13183" spans="1:10" x14ac:dyDescent="0.25">
      <c r="A13183" s="7" t="s">
        <v>52003</v>
      </c>
      <c r="B13183" s="8">
        <v>412.5</v>
      </c>
      <c r="C13183" s="8">
        <v>20.478950000000001</v>
      </c>
      <c r="D13183" s="8">
        <v>71</v>
      </c>
      <c r="E13183" s="8">
        <v>0</v>
      </c>
      <c r="F13183" s="8">
        <v>0</v>
      </c>
      <c r="G13183" s="8">
        <v>5</v>
      </c>
      <c r="H13183" s="8" t="s">
        <v>52004</v>
      </c>
      <c r="I13183" s="8">
        <v>532.875</v>
      </c>
      <c r="J13183" s="3">
        <f t="shared" si="205"/>
        <v>43749.457773368056</v>
      </c>
    </row>
    <row r="13184" spans="1:10" x14ac:dyDescent="0.25">
      <c r="A13184" s="5" t="s">
        <v>52005</v>
      </c>
      <c r="B13184" s="6">
        <v>393.75</v>
      </c>
      <c r="C13184" s="6">
        <v>20.478950000000001</v>
      </c>
      <c r="D13184" s="6">
        <v>71</v>
      </c>
      <c r="E13184" s="6">
        <v>0</v>
      </c>
      <c r="F13184" s="6">
        <v>0</v>
      </c>
      <c r="G13184" s="6">
        <v>3</v>
      </c>
      <c r="H13184" s="6" t="s">
        <v>52006</v>
      </c>
      <c r="I13184" s="6">
        <v>526.6875</v>
      </c>
      <c r="J13184" s="2">
        <f t="shared" si="205"/>
        <v>43749.457844907403</v>
      </c>
    </row>
    <row r="13185" spans="1:10" x14ac:dyDescent="0.25">
      <c r="A13185" s="7" t="s">
        <v>52007</v>
      </c>
      <c r="B13185" s="8">
        <v>393.75</v>
      </c>
      <c r="C13185" s="8">
        <v>20.478950000000001</v>
      </c>
      <c r="D13185" s="8">
        <v>69</v>
      </c>
      <c r="E13185" s="8">
        <v>0</v>
      </c>
      <c r="F13185" s="8">
        <v>0</v>
      </c>
      <c r="G13185" s="8">
        <v>7</v>
      </c>
      <c r="H13185" s="8" t="s">
        <v>52008</v>
      </c>
      <c r="I13185" s="8">
        <v>526.6875</v>
      </c>
      <c r="J13185" s="3">
        <f t="shared" si="205"/>
        <v>43749.457944895832</v>
      </c>
    </row>
    <row r="13186" spans="1:10" x14ac:dyDescent="0.25">
      <c r="A13186" s="5" t="s">
        <v>52009</v>
      </c>
      <c r="B13186" s="6">
        <v>393.75</v>
      </c>
      <c r="C13186" s="6">
        <v>20.478950000000001</v>
      </c>
      <c r="D13186" s="6">
        <v>70</v>
      </c>
      <c r="E13186" s="6">
        <v>0</v>
      </c>
      <c r="F13186" s="6">
        <v>0</v>
      </c>
      <c r="G13186" s="6">
        <v>7</v>
      </c>
      <c r="H13186" s="6" t="s">
        <v>52010</v>
      </c>
      <c r="I13186" s="6">
        <v>526.5</v>
      </c>
      <c r="J13186" s="2">
        <f t="shared" ref="J13186:J13249" si="206">(H13186/86400000)+25569+(7/24)</f>
        <v>43749.458023831015</v>
      </c>
    </row>
    <row r="13187" spans="1:10" x14ac:dyDescent="0.25">
      <c r="A13187" s="7" t="s">
        <v>52011</v>
      </c>
      <c r="B13187" s="8">
        <v>393.75</v>
      </c>
      <c r="C13187" s="8">
        <v>20.478950000000001</v>
      </c>
      <c r="D13187" s="8">
        <v>73</v>
      </c>
      <c r="E13187" s="8">
        <v>0</v>
      </c>
      <c r="F13187" s="8">
        <v>0</v>
      </c>
      <c r="G13187" s="8">
        <v>7</v>
      </c>
      <c r="H13187" s="8" t="s">
        <v>52012</v>
      </c>
      <c r="I13187" s="8">
        <v>526.6875</v>
      </c>
      <c r="J13187" s="3">
        <f t="shared" si="206"/>
        <v>43749.458095370363</v>
      </c>
    </row>
    <row r="13188" spans="1:10" x14ac:dyDescent="0.25">
      <c r="A13188" s="5" t="s">
        <v>52013</v>
      </c>
      <c r="B13188" s="6">
        <v>415.625</v>
      </c>
      <c r="C13188" s="6">
        <v>20.478950000000001</v>
      </c>
      <c r="D13188" s="6">
        <v>74</v>
      </c>
      <c r="E13188" s="6">
        <v>0</v>
      </c>
      <c r="F13188" s="6">
        <v>0</v>
      </c>
      <c r="G13188" s="6">
        <v>17</v>
      </c>
      <c r="H13188" s="6" t="s">
        <v>52014</v>
      </c>
      <c r="I13188" s="6">
        <v>533.25</v>
      </c>
      <c r="J13188" s="2">
        <f t="shared" si="206"/>
        <v>43749.458178587964</v>
      </c>
    </row>
    <row r="13189" spans="1:10" x14ac:dyDescent="0.25">
      <c r="A13189" s="7" t="s">
        <v>52015</v>
      </c>
      <c r="B13189" s="8">
        <v>393.75</v>
      </c>
      <c r="C13189" s="8">
        <v>20.478950000000001</v>
      </c>
      <c r="D13189" s="8">
        <v>74</v>
      </c>
      <c r="E13189" s="8">
        <v>0</v>
      </c>
      <c r="F13189" s="8">
        <v>0</v>
      </c>
      <c r="G13189" s="8">
        <v>0</v>
      </c>
      <c r="H13189" s="8" t="s">
        <v>52016</v>
      </c>
      <c r="I13189" s="8">
        <v>526.6875</v>
      </c>
      <c r="J13189" s="3">
        <f t="shared" si="206"/>
        <v>43749.458250358795</v>
      </c>
    </row>
    <row r="13190" spans="1:10" x14ac:dyDescent="0.25">
      <c r="A13190" s="5" t="s">
        <v>52017</v>
      </c>
      <c r="B13190" s="6">
        <v>393.75</v>
      </c>
      <c r="C13190" s="6">
        <v>20.531590000000001</v>
      </c>
      <c r="D13190" s="6">
        <v>71</v>
      </c>
      <c r="E13190" s="6">
        <v>0</v>
      </c>
      <c r="F13190" s="6">
        <v>0</v>
      </c>
      <c r="G13190" s="6">
        <v>9</v>
      </c>
      <c r="H13190" s="6" t="s">
        <v>52018</v>
      </c>
      <c r="I13190" s="6">
        <v>526.6875</v>
      </c>
      <c r="J13190" s="2">
        <f t="shared" si="206"/>
        <v>43749.45833390046</v>
      </c>
    </row>
    <row r="13191" spans="1:10" x14ac:dyDescent="0.25">
      <c r="A13191" s="7" t="s">
        <v>52019</v>
      </c>
      <c r="B13191" s="8">
        <v>412.5</v>
      </c>
      <c r="C13191" s="8">
        <v>20.478950000000001</v>
      </c>
      <c r="D13191" s="8">
        <v>70</v>
      </c>
      <c r="E13191" s="8">
        <v>0</v>
      </c>
      <c r="F13191" s="8">
        <v>0</v>
      </c>
      <c r="G13191" s="8">
        <v>16</v>
      </c>
      <c r="H13191" s="8" t="s">
        <v>52020</v>
      </c>
      <c r="I13191" s="8">
        <v>532.3125</v>
      </c>
      <c r="J13191" s="3">
        <f t="shared" si="206"/>
        <v>43749.458417442125</v>
      </c>
    </row>
    <row r="13192" spans="1:10" x14ac:dyDescent="0.25">
      <c r="A13192" s="5" t="s">
        <v>52021</v>
      </c>
      <c r="B13192" s="6">
        <v>393.75</v>
      </c>
      <c r="C13192" s="6">
        <v>20.478950000000001</v>
      </c>
      <c r="D13192" s="6">
        <v>70</v>
      </c>
      <c r="E13192" s="6">
        <v>0</v>
      </c>
      <c r="F13192" s="6">
        <v>0</v>
      </c>
      <c r="G13192" s="6">
        <v>6</v>
      </c>
      <c r="H13192" s="6" t="s">
        <v>52022</v>
      </c>
      <c r="I13192" s="6">
        <v>526.6875</v>
      </c>
      <c r="J13192" s="2">
        <f t="shared" si="206"/>
        <v>43749.458500810179</v>
      </c>
    </row>
    <row r="13193" spans="1:10" x14ac:dyDescent="0.25">
      <c r="A13193" s="7" t="s">
        <v>52023</v>
      </c>
      <c r="B13193" s="8">
        <v>393.75</v>
      </c>
      <c r="C13193" s="8">
        <v>20.478950000000001</v>
      </c>
      <c r="D13193" s="8">
        <v>69</v>
      </c>
      <c r="E13193" s="8">
        <v>0</v>
      </c>
      <c r="F13193" s="8">
        <v>0</v>
      </c>
      <c r="G13193" s="8">
        <v>3</v>
      </c>
      <c r="H13193" s="8" t="s">
        <v>52024</v>
      </c>
      <c r="I13193" s="8">
        <v>526.5</v>
      </c>
      <c r="J13193" s="3">
        <f t="shared" si="206"/>
        <v>43749.45858436342</v>
      </c>
    </row>
    <row r="13194" spans="1:10" x14ac:dyDescent="0.25">
      <c r="A13194" s="5" t="s">
        <v>52025</v>
      </c>
      <c r="B13194" s="6">
        <v>393.75</v>
      </c>
      <c r="C13194" s="6">
        <v>20.478950000000001</v>
      </c>
      <c r="D13194" s="6">
        <v>69</v>
      </c>
      <c r="E13194" s="6">
        <v>0</v>
      </c>
      <c r="F13194" s="6">
        <v>0</v>
      </c>
      <c r="G13194" s="6">
        <v>8</v>
      </c>
      <c r="H13194" s="6" t="s">
        <v>52026</v>
      </c>
      <c r="I13194" s="6">
        <v>526.6875</v>
      </c>
      <c r="J13194" s="2">
        <f t="shared" si="206"/>
        <v>43749.458667592589</v>
      </c>
    </row>
    <row r="13195" spans="1:10" x14ac:dyDescent="0.25">
      <c r="A13195" s="7" t="s">
        <v>52027</v>
      </c>
      <c r="B13195" s="8">
        <v>393.75</v>
      </c>
      <c r="C13195" s="8">
        <v>20.478950000000001</v>
      </c>
      <c r="D13195" s="8">
        <v>69</v>
      </c>
      <c r="E13195" s="8">
        <v>0</v>
      </c>
      <c r="F13195" s="8">
        <v>0</v>
      </c>
      <c r="G13195" s="8">
        <v>5</v>
      </c>
      <c r="H13195" s="8" t="s">
        <v>52028</v>
      </c>
      <c r="I13195" s="8">
        <v>526.6875</v>
      </c>
      <c r="J13195" s="3">
        <f t="shared" si="206"/>
        <v>43749.458739108792</v>
      </c>
    </row>
    <row r="13196" spans="1:10" x14ac:dyDescent="0.25">
      <c r="A13196" s="5" t="s">
        <v>52029</v>
      </c>
      <c r="B13196" s="6">
        <v>393.75</v>
      </c>
      <c r="C13196" s="6">
        <v>20.478950000000001</v>
      </c>
      <c r="D13196" s="6">
        <v>72</v>
      </c>
      <c r="E13196" s="6">
        <v>0</v>
      </c>
      <c r="F13196" s="6">
        <v>0</v>
      </c>
      <c r="G13196" s="6">
        <v>15</v>
      </c>
      <c r="H13196" s="6" t="s">
        <v>52030</v>
      </c>
      <c r="I13196" s="6">
        <v>526.5</v>
      </c>
      <c r="J13196" s="2">
        <f t="shared" si="206"/>
        <v>43749.458823020832</v>
      </c>
    </row>
    <row r="13197" spans="1:10" x14ac:dyDescent="0.25">
      <c r="A13197" s="7" t="s">
        <v>52031</v>
      </c>
      <c r="B13197" s="8">
        <v>393.75</v>
      </c>
      <c r="C13197" s="8">
        <v>20.478950000000001</v>
      </c>
      <c r="D13197" s="8">
        <v>73</v>
      </c>
      <c r="E13197" s="8">
        <v>0</v>
      </c>
      <c r="F13197" s="8">
        <v>0</v>
      </c>
      <c r="G13197" s="8">
        <v>5</v>
      </c>
      <c r="H13197" s="8" t="s">
        <v>52032</v>
      </c>
      <c r="I13197" s="8">
        <v>526.6875</v>
      </c>
      <c r="J13197" s="3">
        <f t="shared" si="206"/>
        <v>43749.458906423613</v>
      </c>
    </row>
    <row r="13198" spans="1:10" x14ac:dyDescent="0.25">
      <c r="A13198" s="5" t="s">
        <v>52033</v>
      </c>
      <c r="B13198" s="6">
        <v>415.625</v>
      </c>
      <c r="C13198" s="6">
        <v>20.478950000000001</v>
      </c>
      <c r="D13198" s="6">
        <v>70</v>
      </c>
      <c r="E13198" s="6">
        <v>0</v>
      </c>
      <c r="F13198" s="6">
        <v>0</v>
      </c>
      <c r="G13198" s="6">
        <v>13</v>
      </c>
      <c r="H13198" s="6" t="s">
        <v>52034</v>
      </c>
      <c r="I13198" s="6">
        <v>533.0625</v>
      </c>
      <c r="J13198" s="2">
        <f t="shared" si="206"/>
        <v>43749.458989722225</v>
      </c>
    </row>
    <row r="13199" spans="1:10" x14ac:dyDescent="0.25">
      <c r="A13199" s="7" t="s">
        <v>52035</v>
      </c>
      <c r="B13199" s="8">
        <v>393.75</v>
      </c>
      <c r="C13199" s="8">
        <v>20.478950000000001</v>
      </c>
      <c r="D13199" s="8">
        <v>70</v>
      </c>
      <c r="E13199" s="8">
        <v>0</v>
      </c>
      <c r="F13199" s="8">
        <v>0</v>
      </c>
      <c r="G13199" s="8">
        <v>9</v>
      </c>
      <c r="H13199" s="8" t="s">
        <v>52036</v>
      </c>
      <c r="I13199" s="8">
        <v>526.6875</v>
      </c>
      <c r="J13199" s="3">
        <f t="shared" si="206"/>
        <v>43749.459061458336</v>
      </c>
    </row>
    <row r="13200" spans="1:10" x14ac:dyDescent="0.25">
      <c r="A13200" s="5" t="s">
        <v>52037</v>
      </c>
      <c r="B13200" s="6">
        <v>393.75</v>
      </c>
      <c r="C13200" s="6">
        <v>20.478950000000001</v>
      </c>
      <c r="D13200" s="6">
        <v>71</v>
      </c>
      <c r="E13200" s="6">
        <v>0</v>
      </c>
      <c r="F13200" s="6">
        <v>0</v>
      </c>
      <c r="G13200" s="6">
        <v>18</v>
      </c>
      <c r="H13200" s="6" t="s">
        <v>52038</v>
      </c>
      <c r="I13200" s="6">
        <v>526.5</v>
      </c>
      <c r="J13200" s="2">
        <f t="shared" si="206"/>
        <v>43749.459156620367</v>
      </c>
    </row>
    <row r="13201" spans="1:10" x14ac:dyDescent="0.25">
      <c r="A13201" s="7" t="s">
        <v>52039</v>
      </c>
      <c r="B13201" s="8">
        <v>393.75</v>
      </c>
      <c r="C13201" s="8">
        <v>20.478950000000001</v>
      </c>
      <c r="D13201" s="8">
        <v>71</v>
      </c>
      <c r="E13201" s="8">
        <v>0</v>
      </c>
      <c r="F13201" s="8">
        <v>0</v>
      </c>
      <c r="G13201" s="8">
        <v>12</v>
      </c>
      <c r="H13201" s="8" t="s">
        <v>52040</v>
      </c>
      <c r="I13201" s="8">
        <v>526.6875</v>
      </c>
      <c r="J13201" s="3">
        <f t="shared" si="206"/>
        <v>43749.459228159722</v>
      </c>
    </row>
    <row r="13202" spans="1:10" x14ac:dyDescent="0.25">
      <c r="A13202" s="5" t="s">
        <v>52041</v>
      </c>
      <c r="B13202" s="6">
        <v>393.75</v>
      </c>
      <c r="C13202" s="6">
        <v>20.478950000000001</v>
      </c>
      <c r="D13202" s="6">
        <v>72</v>
      </c>
      <c r="E13202" s="6">
        <v>0</v>
      </c>
      <c r="F13202" s="6">
        <v>0</v>
      </c>
      <c r="G13202" s="6">
        <v>11</v>
      </c>
      <c r="H13202" s="6" t="s">
        <v>52042</v>
      </c>
      <c r="I13202" s="6">
        <v>526.6875</v>
      </c>
      <c r="J13202" s="2">
        <f t="shared" si="206"/>
        <v>43749.459312060186</v>
      </c>
    </row>
    <row r="13203" spans="1:10" x14ac:dyDescent="0.25">
      <c r="A13203" s="7" t="s">
        <v>52043</v>
      </c>
      <c r="B13203" s="8">
        <v>393.75</v>
      </c>
      <c r="C13203" s="8">
        <v>20.478950000000001</v>
      </c>
      <c r="D13203" s="8">
        <v>72</v>
      </c>
      <c r="E13203" s="8">
        <v>0</v>
      </c>
      <c r="F13203" s="8">
        <v>0</v>
      </c>
      <c r="G13203" s="8">
        <v>7</v>
      </c>
      <c r="H13203" s="8" t="s">
        <v>52044</v>
      </c>
      <c r="I13203" s="8">
        <v>526.5</v>
      </c>
      <c r="J13203" s="3">
        <f t="shared" si="206"/>
        <v>43749.459395393518</v>
      </c>
    </row>
    <row r="13204" spans="1:10" x14ac:dyDescent="0.25">
      <c r="A13204" s="5" t="s">
        <v>52045</v>
      </c>
      <c r="B13204" s="6">
        <v>393.75</v>
      </c>
      <c r="C13204" s="6">
        <v>20.478950000000001</v>
      </c>
      <c r="D13204" s="6">
        <v>71</v>
      </c>
      <c r="E13204" s="6">
        <v>0</v>
      </c>
      <c r="F13204" s="6">
        <v>0</v>
      </c>
      <c r="G13204" s="6">
        <v>9</v>
      </c>
      <c r="H13204" s="6" t="s">
        <v>52046</v>
      </c>
      <c r="I13204" s="6">
        <v>526.6875</v>
      </c>
      <c r="J13204" s="2">
        <f t="shared" si="206"/>
        <v>43749.459478738419</v>
      </c>
    </row>
    <row r="13205" spans="1:10" x14ac:dyDescent="0.25">
      <c r="A13205" s="7" t="s">
        <v>52047</v>
      </c>
      <c r="B13205" s="8">
        <v>393.75</v>
      </c>
      <c r="C13205" s="8">
        <v>20.478950000000001</v>
      </c>
      <c r="D13205" s="8">
        <v>71</v>
      </c>
      <c r="E13205" s="8">
        <v>0</v>
      </c>
      <c r="F13205" s="8">
        <v>0</v>
      </c>
      <c r="G13205" s="8">
        <v>12</v>
      </c>
      <c r="H13205" s="8" t="s">
        <v>52048</v>
      </c>
      <c r="I13205" s="8">
        <v>526.6875</v>
      </c>
      <c r="J13205" s="3">
        <f t="shared" si="206"/>
        <v>43749.459550266205</v>
      </c>
    </row>
    <row r="13206" spans="1:10" x14ac:dyDescent="0.25">
      <c r="A13206" s="5" t="s">
        <v>52049</v>
      </c>
      <c r="B13206" s="6">
        <v>412.5</v>
      </c>
      <c r="C13206" s="6">
        <v>20.478950000000001</v>
      </c>
      <c r="D13206" s="6">
        <v>70</v>
      </c>
      <c r="E13206" s="6">
        <v>0</v>
      </c>
      <c r="F13206" s="6">
        <v>0</v>
      </c>
      <c r="G13206" s="6">
        <v>21</v>
      </c>
      <c r="H13206" s="6" t="s">
        <v>52050</v>
      </c>
      <c r="I13206" s="6">
        <v>532.3125</v>
      </c>
      <c r="J13206" s="2">
        <f t="shared" si="206"/>
        <v>43749.459638298613</v>
      </c>
    </row>
    <row r="13207" spans="1:10" x14ac:dyDescent="0.25">
      <c r="A13207" s="7" t="s">
        <v>52051</v>
      </c>
      <c r="B13207" s="8">
        <v>393.75</v>
      </c>
      <c r="C13207" s="8">
        <v>20.478950000000001</v>
      </c>
      <c r="D13207" s="8">
        <v>70</v>
      </c>
      <c r="E13207" s="8">
        <v>0</v>
      </c>
      <c r="F13207" s="8">
        <v>0</v>
      </c>
      <c r="G13207" s="8">
        <v>14</v>
      </c>
      <c r="H13207" s="8" t="s">
        <v>52052</v>
      </c>
      <c r="I13207" s="8">
        <v>526.5</v>
      </c>
      <c r="J13207" s="3">
        <f t="shared" si="206"/>
        <v>43749.459717743048</v>
      </c>
    </row>
    <row r="13208" spans="1:10" x14ac:dyDescent="0.25">
      <c r="A13208" s="5" t="s">
        <v>52053</v>
      </c>
      <c r="B13208" s="6">
        <v>393.75</v>
      </c>
      <c r="C13208" s="6">
        <v>20.478950000000001</v>
      </c>
      <c r="D13208" s="6">
        <v>71</v>
      </c>
      <c r="E13208" s="6">
        <v>0</v>
      </c>
      <c r="F13208" s="6">
        <v>0</v>
      </c>
      <c r="G13208" s="6">
        <v>14</v>
      </c>
      <c r="H13208" s="6" t="s">
        <v>52054</v>
      </c>
      <c r="I13208" s="6">
        <v>526.6875</v>
      </c>
      <c r="J13208" s="2">
        <f t="shared" si="206"/>
        <v>43749.459800844903</v>
      </c>
    </row>
    <row r="13209" spans="1:10" x14ac:dyDescent="0.25">
      <c r="A13209" s="7" t="s">
        <v>52055</v>
      </c>
      <c r="B13209" s="8">
        <v>393.75</v>
      </c>
      <c r="C13209" s="8">
        <v>20.478950000000001</v>
      </c>
      <c r="D13209" s="8">
        <v>70</v>
      </c>
      <c r="E13209" s="8">
        <v>0</v>
      </c>
      <c r="F13209" s="8">
        <v>0</v>
      </c>
      <c r="G13209" s="8">
        <v>6</v>
      </c>
      <c r="H13209" s="8" t="s">
        <v>52056</v>
      </c>
      <c r="I13209" s="8">
        <v>526.6875</v>
      </c>
      <c r="J13209" s="3">
        <f t="shared" si="206"/>
        <v>43749.45988451389</v>
      </c>
    </row>
    <row r="13210" spans="1:10" x14ac:dyDescent="0.25">
      <c r="A13210" s="5" t="s">
        <v>52057</v>
      </c>
      <c r="B13210" s="6">
        <v>393.75</v>
      </c>
      <c r="C13210" s="6">
        <v>20.478950000000001</v>
      </c>
      <c r="D13210" s="6">
        <v>70</v>
      </c>
      <c r="E13210" s="6">
        <v>0</v>
      </c>
      <c r="F13210" s="6">
        <v>0</v>
      </c>
      <c r="G13210" s="6">
        <v>7</v>
      </c>
      <c r="H13210" s="6" t="s">
        <v>52058</v>
      </c>
      <c r="I13210" s="6">
        <v>526.6875</v>
      </c>
      <c r="J13210" s="2">
        <f t="shared" si="206"/>
        <v>43749.459967627314</v>
      </c>
    </row>
    <row r="13211" spans="1:10" x14ac:dyDescent="0.25">
      <c r="A13211" s="7" t="s">
        <v>52059</v>
      </c>
      <c r="B13211" s="8">
        <v>393.75</v>
      </c>
      <c r="C13211" s="8">
        <v>20.478950000000001</v>
      </c>
      <c r="D13211" s="8">
        <v>70</v>
      </c>
      <c r="E13211" s="8">
        <v>0</v>
      </c>
      <c r="F13211" s="8">
        <v>0</v>
      </c>
      <c r="G13211" s="8">
        <v>18</v>
      </c>
      <c r="H13211" s="8" t="s">
        <v>52060</v>
      </c>
      <c r="I13211" s="8">
        <v>526.6875</v>
      </c>
      <c r="J13211" s="3">
        <f t="shared" si="206"/>
        <v>43749.460039143516</v>
      </c>
    </row>
    <row r="13212" spans="1:10" x14ac:dyDescent="0.25">
      <c r="A13212" s="5" t="s">
        <v>52061</v>
      </c>
      <c r="B13212" s="6">
        <v>393.75</v>
      </c>
      <c r="C13212" s="6">
        <v>20.478950000000001</v>
      </c>
      <c r="D13212" s="6">
        <v>70</v>
      </c>
      <c r="E13212" s="6">
        <v>0</v>
      </c>
      <c r="F13212" s="6">
        <v>0</v>
      </c>
      <c r="G13212" s="6">
        <v>13</v>
      </c>
      <c r="H13212" s="6" t="s">
        <v>52062</v>
      </c>
      <c r="I13212" s="6">
        <v>526.6875</v>
      </c>
      <c r="J13212" s="2">
        <f t="shared" si="206"/>
        <v>43749.460123067132</v>
      </c>
    </row>
    <row r="13213" spans="1:10" x14ac:dyDescent="0.25">
      <c r="A13213" s="7" t="s">
        <v>52063</v>
      </c>
      <c r="B13213" s="8">
        <v>393.75</v>
      </c>
      <c r="C13213" s="8">
        <v>20.478950000000001</v>
      </c>
      <c r="D13213" s="8">
        <v>69</v>
      </c>
      <c r="E13213" s="8">
        <v>0</v>
      </c>
      <c r="F13213" s="8">
        <v>0</v>
      </c>
      <c r="G13213" s="8">
        <v>8</v>
      </c>
      <c r="H13213" s="8" t="s">
        <v>52064</v>
      </c>
      <c r="I13213" s="8">
        <v>526.6875</v>
      </c>
      <c r="J13213" s="3">
        <f t="shared" si="206"/>
        <v>43749.460206516196</v>
      </c>
    </row>
    <row r="13214" spans="1:10" x14ac:dyDescent="0.25">
      <c r="A13214" s="5" t="s">
        <v>52065</v>
      </c>
      <c r="B13214" s="6">
        <v>393.75</v>
      </c>
      <c r="C13214" s="6">
        <v>20.478950000000001</v>
      </c>
      <c r="D13214" s="6">
        <v>69</v>
      </c>
      <c r="E13214" s="6">
        <v>0</v>
      </c>
      <c r="F13214" s="6">
        <v>0</v>
      </c>
      <c r="G13214" s="6">
        <v>13</v>
      </c>
      <c r="H13214" s="6" t="s">
        <v>52066</v>
      </c>
      <c r="I13214" s="6">
        <v>526.6875</v>
      </c>
      <c r="J13214" s="2">
        <f t="shared" si="206"/>
        <v>43749.460289710645</v>
      </c>
    </row>
    <row r="13215" spans="1:10" x14ac:dyDescent="0.25">
      <c r="A13215" s="7" t="s">
        <v>52067</v>
      </c>
      <c r="B13215" s="8">
        <v>393.75</v>
      </c>
      <c r="C13215" s="8">
        <v>20.478950000000001</v>
      </c>
      <c r="D13215" s="8">
        <v>69</v>
      </c>
      <c r="E13215" s="8">
        <v>0</v>
      </c>
      <c r="F13215" s="8">
        <v>0</v>
      </c>
      <c r="G13215" s="8">
        <v>9</v>
      </c>
      <c r="H13215" s="8" t="s">
        <v>52068</v>
      </c>
      <c r="I13215" s="8">
        <v>526.6875</v>
      </c>
      <c r="J13215" s="3">
        <f t="shared" si="206"/>
        <v>43749.460361493053</v>
      </c>
    </row>
    <row r="13216" spans="1:10" x14ac:dyDescent="0.25">
      <c r="A13216" s="5" t="s">
        <v>52069</v>
      </c>
      <c r="B13216" s="6">
        <v>393.75</v>
      </c>
      <c r="C13216" s="6">
        <v>20.478950000000001</v>
      </c>
      <c r="D13216" s="6">
        <v>68</v>
      </c>
      <c r="E13216" s="6">
        <v>0</v>
      </c>
      <c r="F13216" s="6">
        <v>0</v>
      </c>
      <c r="G13216" s="6">
        <v>5</v>
      </c>
      <c r="H13216" s="6" t="s">
        <v>52070</v>
      </c>
      <c r="I13216" s="6">
        <v>526.6875</v>
      </c>
      <c r="J13216" s="2">
        <f t="shared" si="206"/>
        <v>43749.460433252309</v>
      </c>
    </row>
    <row r="13217" spans="1:10" x14ac:dyDescent="0.25">
      <c r="A13217" s="7" t="s">
        <v>52071</v>
      </c>
      <c r="B13217" s="8">
        <v>393.75</v>
      </c>
      <c r="C13217" s="8">
        <v>20.478950000000001</v>
      </c>
      <c r="D13217" s="8">
        <v>71</v>
      </c>
      <c r="E13217" s="8">
        <v>0</v>
      </c>
      <c r="F13217" s="8">
        <v>0</v>
      </c>
      <c r="G13217" s="8">
        <v>11</v>
      </c>
      <c r="H13217" s="8" t="s">
        <v>52072</v>
      </c>
      <c r="I13217" s="8">
        <v>526.6875</v>
      </c>
      <c r="J13217" s="3">
        <f t="shared" si="206"/>
        <v>43749.460516585641</v>
      </c>
    </row>
    <row r="13218" spans="1:10" x14ac:dyDescent="0.25">
      <c r="A13218" s="5" t="s">
        <v>52073</v>
      </c>
      <c r="B13218" s="6">
        <v>393.75</v>
      </c>
      <c r="C13218" s="6">
        <v>20.478950000000001</v>
      </c>
      <c r="D13218" s="6">
        <v>71</v>
      </c>
      <c r="E13218" s="6">
        <v>0</v>
      </c>
      <c r="F13218" s="6">
        <v>0</v>
      </c>
      <c r="G13218" s="6">
        <v>11</v>
      </c>
      <c r="H13218" s="6" t="s">
        <v>52074</v>
      </c>
      <c r="I13218" s="6">
        <v>526.6875</v>
      </c>
      <c r="J13218" s="2">
        <f t="shared" si="206"/>
        <v>43749.460588113427</v>
      </c>
    </row>
    <row r="13219" spans="1:10" x14ac:dyDescent="0.25">
      <c r="A13219" s="7" t="s">
        <v>52075</v>
      </c>
      <c r="B13219" s="8">
        <v>393.75</v>
      </c>
      <c r="C13219" s="8">
        <v>20.478950000000001</v>
      </c>
      <c r="D13219" s="8">
        <v>71</v>
      </c>
      <c r="E13219" s="8">
        <v>0</v>
      </c>
      <c r="F13219" s="8">
        <v>0</v>
      </c>
      <c r="G13219" s="8">
        <v>5</v>
      </c>
      <c r="H13219" s="8" t="s">
        <v>52076</v>
      </c>
      <c r="I13219" s="8">
        <v>526.6875</v>
      </c>
      <c r="J13219" s="3">
        <f t="shared" si="206"/>
        <v>43749.460671331013</v>
      </c>
    </row>
    <row r="13220" spans="1:10" x14ac:dyDescent="0.25">
      <c r="A13220" s="5" t="s">
        <v>52077</v>
      </c>
      <c r="B13220" s="6">
        <v>393.75</v>
      </c>
      <c r="C13220" s="6">
        <v>20.478950000000001</v>
      </c>
      <c r="D13220" s="6">
        <v>71</v>
      </c>
      <c r="E13220" s="6">
        <v>0</v>
      </c>
      <c r="F13220" s="6">
        <v>0</v>
      </c>
      <c r="G13220" s="6">
        <v>6</v>
      </c>
      <c r="H13220" s="6" t="s">
        <v>52078</v>
      </c>
      <c r="I13220" s="6">
        <v>526.6875</v>
      </c>
      <c r="J13220" s="2">
        <f t="shared" si="206"/>
        <v>43749.460743101845</v>
      </c>
    </row>
    <row r="13221" spans="1:10" x14ac:dyDescent="0.25">
      <c r="A13221" s="7" t="s">
        <v>52079</v>
      </c>
      <c r="B13221" s="8">
        <v>393.75</v>
      </c>
      <c r="C13221" s="8">
        <v>20.478950000000001</v>
      </c>
      <c r="D13221" s="8">
        <v>72</v>
      </c>
      <c r="E13221" s="8">
        <v>0</v>
      </c>
      <c r="F13221" s="8">
        <v>0</v>
      </c>
      <c r="G13221" s="8">
        <v>3</v>
      </c>
      <c r="H13221" s="8" t="s">
        <v>52080</v>
      </c>
      <c r="I13221" s="8">
        <v>526.6875</v>
      </c>
      <c r="J13221" s="3">
        <f t="shared" si="206"/>
        <v>43749.460826759256</v>
      </c>
    </row>
    <row r="13222" spans="1:10" x14ac:dyDescent="0.25">
      <c r="A13222" s="5" t="s">
        <v>52081</v>
      </c>
      <c r="B13222" s="6">
        <v>393.75</v>
      </c>
      <c r="C13222" s="6">
        <v>20.478950000000001</v>
      </c>
      <c r="D13222" s="6">
        <v>72</v>
      </c>
      <c r="E13222" s="6">
        <v>0</v>
      </c>
      <c r="F13222" s="6">
        <v>0</v>
      </c>
      <c r="G13222" s="6">
        <v>12</v>
      </c>
      <c r="H13222" s="6" t="s">
        <v>52082</v>
      </c>
      <c r="I13222" s="6">
        <v>526.5</v>
      </c>
      <c r="J13222" s="2">
        <f t="shared" si="206"/>
        <v>43749.460909872687</v>
      </c>
    </row>
    <row r="13223" spans="1:10" x14ac:dyDescent="0.25">
      <c r="A13223" s="7" t="s">
        <v>52083</v>
      </c>
      <c r="B13223" s="8">
        <v>393.75</v>
      </c>
      <c r="C13223" s="8">
        <v>20.478950000000001</v>
      </c>
      <c r="D13223" s="8">
        <v>73</v>
      </c>
      <c r="E13223" s="8">
        <v>0</v>
      </c>
      <c r="F13223" s="8">
        <v>0</v>
      </c>
      <c r="G13223" s="8">
        <v>7</v>
      </c>
      <c r="H13223" s="8" t="s">
        <v>52084</v>
      </c>
      <c r="I13223" s="8">
        <v>526.6875</v>
      </c>
      <c r="J13223" s="3">
        <f t="shared" si="206"/>
        <v>43749.460993437497</v>
      </c>
    </row>
    <row r="13224" spans="1:10" x14ac:dyDescent="0.25">
      <c r="A13224" s="5" t="s">
        <v>52085</v>
      </c>
      <c r="B13224" s="6">
        <v>412.5</v>
      </c>
      <c r="C13224" s="6">
        <v>20.478950000000001</v>
      </c>
      <c r="D13224" s="6">
        <v>73</v>
      </c>
      <c r="E13224" s="6">
        <v>0</v>
      </c>
      <c r="F13224" s="6">
        <v>0</v>
      </c>
      <c r="G13224" s="6">
        <v>11</v>
      </c>
      <c r="H13224" s="6" t="s">
        <v>52086</v>
      </c>
      <c r="I13224" s="6">
        <v>532.3125</v>
      </c>
      <c r="J13224" s="2">
        <f t="shared" si="206"/>
        <v>43749.461089039345</v>
      </c>
    </row>
    <row r="13225" spans="1:10" x14ac:dyDescent="0.25">
      <c r="A13225" s="7" t="s">
        <v>52087</v>
      </c>
      <c r="B13225" s="8">
        <v>393.75</v>
      </c>
      <c r="C13225" s="8">
        <v>20.478950000000001</v>
      </c>
      <c r="D13225" s="8">
        <v>73</v>
      </c>
      <c r="E13225" s="8">
        <v>0</v>
      </c>
      <c r="F13225" s="8">
        <v>0</v>
      </c>
      <c r="G13225" s="8">
        <v>0</v>
      </c>
      <c r="H13225" s="8" t="s">
        <v>52088</v>
      </c>
      <c r="I13225" s="8">
        <v>526.6875</v>
      </c>
      <c r="J13225" s="3">
        <f t="shared" si="206"/>
        <v>43749.461172499992</v>
      </c>
    </row>
    <row r="13226" spans="1:10" x14ac:dyDescent="0.25">
      <c r="A13226" s="5" t="s">
        <v>52089</v>
      </c>
      <c r="B13226" s="6">
        <v>393.75</v>
      </c>
      <c r="C13226" s="6">
        <v>20.478950000000001</v>
      </c>
      <c r="D13226" s="6">
        <v>72</v>
      </c>
      <c r="E13226" s="6">
        <v>0</v>
      </c>
      <c r="F13226" s="6">
        <v>0</v>
      </c>
      <c r="G13226" s="6">
        <v>4</v>
      </c>
      <c r="H13226" s="6" t="s">
        <v>52090</v>
      </c>
      <c r="I13226" s="6">
        <v>526.6875</v>
      </c>
      <c r="J13226" s="2">
        <f t="shared" si="206"/>
        <v>43749.461256041664</v>
      </c>
    </row>
    <row r="13227" spans="1:10" x14ac:dyDescent="0.25">
      <c r="A13227" s="7" t="s">
        <v>52091</v>
      </c>
      <c r="B13227" s="8">
        <v>393.75</v>
      </c>
      <c r="C13227" s="8">
        <v>20.478950000000001</v>
      </c>
      <c r="D13227" s="8">
        <v>72</v>
      </c>
      <c r="E13227" s="8">
        <v>0</v>
      </c>
      <c r="F13227" s="8">
        <v>0</v>
      </c>
      <c r="G13227" s="8">
        <v>5</v>
      </c>
      <c r="H13227" s="8" t="s">
        <v>52092</v>
      </c>
      <c r="I13227" s="8">
        <v>526.6875</v>
      </c>
      <c r="J13227" s="3">
        <f t="shared" si="206"/>
        <v>43749.461339502312</v>
      </c>
    </row>
    <row r="13228" spans="1:10" x14ac:dyDescent="0.25">
      <c r="A13228" s="5" t="s">
        <v>52093</v>
      </c>
      <c r="B13228" s="6">
        <v>393.75</v>
      </c>
      <c r="C13228" s="6">
        <v>20.478950000000001</v>
      </c>
      <c r="D13228" s="6">
        <v>73</v>
      </c>
      <c r="E13228" s="6">
        <v>0</v>
      </c>
      <c r="F13228" s="6">
        <v>0</v>
      </c>
      <c r="G13228" s="6">
        <v>4</v>
      </c>
      <c r="H13228" s="6" t="s">
        <v>52094</v>
      </c>
      <c r="I13228" s="6">
        <v>526.6875</v>
      </c>
      <c r="J13228" s="2">
        <f t="shared" si="206"/>
        <v>43749.461423171299</v>
      </c>
    </row>
    <row r="13229" spans="1:10" x14ac:dyDescent="0.25">
      <c r="A13229" s="7" t="s">
        <v>52095</v>
      </c>
      <c r="B13229" s="8">
        <v>393.75</v>
      </c>
      <c r="C13229" s="8">
        <v>20.478950000000001</v>
      </c>
      <c r="D13229" s="8">
        <v>73</v>
      </c>
      <c r="E13229" s="8">
        <v>0</v>
      </c>
      <c r="F13229" s="8">
        <v>0</v>
      </c>
      <c r="G13229" s="8">
        <v>0</v>
      </c>
      <c r="H13229" s="8" t="s">
        <v>52096</v>
      </c>
      <c r="I13229" s="8">
        <v>526.6875</v>
      </c>
      <c r="J13229" s="3">
        <f t="shared" si="206"/>
        <v>43749.461494583331</v>
      </c>
    </row>
    <row r="13230" spans="1:10" x14ac:dyDescent="0.25">
      <c r="A13230" s="5" t="s">
        <v>52097</v>
      </c>
      <c r="B13230" s="6">
        <v>393.75</v>
      </c>
      <c r="C13230" s="6">
        <v>20.478950000000001</v>
      </c>
      <c r="D13230" s="6">
        <v>70</v>
      </c>
      <c r="E13230" s="6">
        <v>0</v>
      </c>
      <c r="F13230" s="6">
        <v>0</v>
      </c>
      <c r="G13230" s="6">
        <v>0</v>
      </c>
      <c r="H13230" s="6" t="s">
        <v>52098</v>
      </c>
      <c r="I13230" s="6">
        <v>526.6875</v>
      </c>
      <c r="J13230" s="2">
        <f t="shared" si="206"/>
        <v>43749.461578055554</v>
      </c>
    </row>
    <row r="13231" spans="1:10" x14ac:dyDescent="0.25">
      <c r="A13231" s="7" t="s">
        <v>52099</v>
      </c>
      <c r="B13231" s="8">
        <v>393.75</v>
      </c>
      <c r="C13231" s="8">
        <v>20.478950000000001</v>
      </c>
      <c r="D13231" s="8">
        <v>70</v>
      </c>
      <c r="E13231" s="8">
        <v>0</v>
      </c>
      <c r="F13231" s="8">
        <v>0</v>
      </c>
      <c r="G13231" s="8">
        <v>10</v>
      </c>
      <c r="H13231" s="8" t="s">
        <v>52100</v>
      </c>
      <c r="I13231" s="8">
        <v>526.6875</v>
      </c>
      <c r="J13231" s="3">
        <f t="shared" si="206"/>
        <v>43749.461661608795</v>
      </c>
    </row>
    <row r="13232" spans="1:10" x14ac:dyDescent="0.25">
      <c r="A13232" s="5" t="s">
        <v>52101</v>
      </c>
      <c r="B13232" s="6">
        <v>393.75</v>
      </c>
      <c r="C13232" s="6">
        <v>20.478950000000001</v>
      </c>
      <c r="D13232" s="6">
        <v>71</v>
      </c>
      <c r="E13232" s="6">
        <v>0</v>
      </c>
      <c r="F13232" s="6">
        <v>0</v>
      </c>
      <c r="G13232" s="6">
        <v>2</v>
      </c>
      <c r="H13232" s="6" t="s">
        <v>52102</v>
      </c>
      <c r="I13232" s="6">
        <v>526.6875</v>
      </c>
      <c r="J13232" s="2">
        <f t="shared" si="206"/>
        <v>43749.46174515046</v>
      </c>
    </row>
    <row r="13233" spans="1:10" x14ac:dyDescent="0.25">
      <c r="A13233" s="7" t="s">
        <v>52103</v>
      </c>
      <c r="B13233" s="8">
        <v>393.75</v>
      </c>
      <c r="C13233" s="8">
        <v>20.478950000000001</v>
      </c>
      <c r="D13233" s="8">
        <v>71</v>
      </c>
      <c r="E13233" s="8">
        <v>0</v>
      </c>
      <c r="F13233" s="8">
        <v>0</v>
      </c>
      <c r="G13233" s="8">
        <v>2</v>
      </c>
      <c r="H13233" s="8" t="s">
        <v>52104</v>
      </c>
      <c r="I13233" s="8">
        <v>526.6875</v>
      </c>
      <c r="J13233" s="3">
        <f t="shared" si="206"/>
        <v>43749.461849398147</v>
      </c>
    </row>
    <row r="13234" spans="1:10" x14ac:dyDescent="0.25">
      <c r="A13234" s="5" t="s">
        <v>52105</v>
      </c>
      <c r="B13234" s="6">
        <v>393.75</v>
      </c>
      <c r="C13234" s="6">
        <v>20.478950000000001</v>
      </c>
      <c r="D13234" s="6">
        <v>72</v>
      </c>
      <c r="E13234" s="6">
        <v>0</v>
      </c>
      <c r="F13234" s="6">
        <v>0</v>
      </c>
      <c r="G13234" s="6">
        <v>3</v>
      </c>
      <c r="H13234" s="6" t="s">
        <v>52106</v>
      </c>
      <c r="I13234" s="6">
        <v>526.6875</v>
      </c>
      <c r="J13234" s="2">
        <f t="shared" si="206"/>
        <v>43749.461923946757</v>
      </c>
    </row>
    <row r="13235" spans="1:10" x14ac:dyDescent="0.25">
      <c r="A13235" s="7" t="s">
        <v>52107</v>
      </c>
      <c r="B13235" s="8">
        <v>393.75</v>
      </c>
      <c r="C13235" s="8">
        <v>20.478950000000001</v>
      </c>
      <c r="D13235" s="8">
        <v>72</v>
      </c>
      <c r="E13235" s="8">
        <v>0</v>
      </c>
      <c r="F13235" s="8">
        <v>0</v>
      </c>
      <c r="G13235" s="8">
        <v>4</v>
      </c>
      <c r="H13235" s="8" t="s">
        <v>52108</v>
      </c>
      <c r="I13235" s="8">
        <v>526.6875</v>
      </c>
      <c r="J13235" s="3">
        <f t="shared" si="206"/>
        <v>43749.461995486105</v>
      </c>
    </row>
    <row r="13236" spans="1:10" x14ac:dyDescent="0.25">
      <c r="A13236" s="5" t="s">
        <v>52109</v>
      </c>
      <c r="B13236" s="6">
        <v>412.5</v>
      </c>
      <c r="C13236" s="6">
        <v>20.478950000000001</v>
      </c>
      <c r="D13236" s="6">
        <v>72</v>
      </c>
      <c r="E13236" s="6">
        <v>0</v>
      </c>
      <c r="F13236" s="6">
        <v>0</v>
      </c>
      <c r="G13236" s="6">
        <v>1</v>
      </c>
      <c r="H13236" s="6" t="s">
        <v>52110</v>
      </c>
      <c r="I13236" s="6">
        <v>532.3125</v>
      </c>
      <c r="J13236" s="2">
        <f t="shared" si="206"/>
        <v>43749.462078680554</v>
      </c>
    </row>
    <row r="13237" spans="1:10" x14ac:dyDescent="0.25">
      <c r="A13237" s="7" t="s">
        <v>52111</v>
      </c>
      <c r="B13237" s="8">
        <v>393.75</v>
      </c>
      <c r="C13237" s="8">
        <v>20.478950000000001</v>
      </c>
      <c r="D13237" s="8">
        <v>72</v>
      </c>
      <c r="E13237" s="8">
        <v>0</v>
      </c>
      <c r="F13237" s="8">
        <v>0</v>
      </c>
      <c r="G13237" s="8">
        <v>4</v>
      </c>
      <c r="H13237" s="8" t="s">
        <v>52112</v>
      </c>
      <c r="I13237" s="8">
        <v>526.5</v>
      </c>
      <c r="J13237" s="3">
        <f t="shared" si="206"/>
        <v>43749.462150335647</v>
      </c>
    </row>
    <row r="13238" spans="1:10" x14ac:dyDescent="0.25">
      <c r="A13238" s="5" t="s">
        <v>52113</v>
      </c>
      <c r="B13238" s="6">
        <v>393.75</v>
      </c>
      <c r="C13238" s="6">
        <v>20.478950000000001</v>
      </c>
      <c r="D13238" s="6">
        <v>73</v>
      </c>
      <c r="E13238" s="6">
        <v>0</v>
      </c>
      <c r="F13238" s="6">
        <v>0</v>
      </c>
      <c r="G13238" s="6">
        <v>9</v>
      </c>
      <c r="H13238" s="6" t="s">
        <v>52114</v>
      </c>
      <c r="I13238" s="6">
        <v>526.6875</v>
      </c>
      <c r="J13238" s="2">
        <f t="shared" si="206"/>
        <v>43749.462233958329</v>
      </c>
    </row>
    <row r="13239" spans="1:10" x14ac:dyDescent="0.25">
      <c r="A13239" s="7" t="s">
        <v>52115</v>
      </c>
      <c r="B13239" s="8">
        <v>393.75</v>
      </c>
      <c r="C13239" s="8">
        <v>20.478950000000001</v>
      </c>
      <c r="D13239" s="8">
        <v>77</v>
      </c>
      <c r="E13239" s="8">
        <v>0</v>
      </c>
      <c r="F13239" s="8">
        <v>0</v>
      </c>
      <c r="G13239" s="8">
        <v>0</v>
      </c>
      <c r="H13239" s="8" t="s">
        <v>52116</v>
      </c>
      <c r="I13239" s="8">
        <v>526.6875</v>
      </c>
      <c r="J13239" s="3">
        <f t="shared" si="206"/>
        <v>43749.462317453705</v>
      </c>
    </row>
    <row r="13240" spans="1:10" x14ac:dyDescent="0.25">
      <c r="A13240" s="5" t="s">
        <v>52117</v>
      </c>
      <c r="B13240" s="6">
        <v>393.75</v>
      </c>
      <c r="C13240" s="6">
        <v>20.478950000000001</v>
      </c>
      <c r="D13240" s="6">
        <v>77</v>
      </c>
      <c r="E13240" s="6">
        <v>0</v>
      </c>
      <c r="F13240" s="6">
        <v>0</v>
      </c>
      <c r="G13240" s="6">
        <v>12</v>
      </c>
      <c r="H13240" s="6" t="s">
        <v>52118</v>
      </c>
      <c r="I13240" s="6">
        <v>526.6875</v>
      </c>
      <c r="J13240" s="2">
        <f t="shared" si="206"/>
        <v>43749.462400902776</v>
      </c>
    </row>
    <row r="13241" spans="1:10" x14ac:dyDescent="0.25">
      <c r="A13241" s="7" t="s">
        <v>52119</v>
      </c>
      <c r="B13241" s="8">
        <v>431.25</v>
      </c>
      <c r="C13241" s="8">
        <v>20.478950000000001</v>
      </c>
      <c r="D13241" s="8">
        <v>77</v>
      </c>
      <c r="E13241" s="8">
        <v>0</v>
      </c>
      <c r="F13241" s="8">
        <v>0</v>
      </c>
      <c r="G13241" s="8">
        <v>0</v>
      </c>
      <c r="H13241" s="8" t="s">
        <v>52120</v>
      </c>
      <c r="I13241" s="8">
        <v>538.3125</v>
      </c>
      <c r="J13241" s="3">
        <f t="shared" si="206"/>
        <v>43749.462484374999</v>
      </c>
    </row>
    <row r="13242" spans="1:10" x14ac:dyDescent="0.25">
      <c r="A13242" s="5" t="s">
        <v>52121</v>
      </c>
      <c r="B13242" s="6">
        <v>393.75</v>
      </c>
      <c r="C13242" s="6">
        <v>20.478950000000001</v>
      </c>
      <c r="D13242" s="6">
        <v>75</v>
      </c>
      <c r="E13242" s="6">
        <v>0</v>
      </c>
      <c r="F13242" s="6">
        <v>0</v>
      </c>
      <c r="G13242" s="6">
        <v>8</v>
      </c>
      <c r="H13242" s="6" t="s">
        <v>52122</v>
      </c>
      <c r="I13242" s="6">
        <v>526.5</v>
      </c>
      <c r="J13242" s="2">
        <f t="shared" si="206"/>
        <v>43749.462567569441</v>
      </c>
    </row>
    <row r="13243" spans="1:10" x14ac:dyDescent="0.25">
      <c r="A13243" s="7" t="s">
        <v>52123</v>
      </c>
      <c r="B13243" s="8">
        <v>393.75</v>
      </c>
      <c r="C13243" s="8">
        <v>20.478950000000001</v>
      </c>
      <c r="D13243" s="8">
        <v>75</v>
      </c>
      <c r="E13243" s="8">
        <v>0</v>
      </c>
      <c r="F13243" s="8">
        <v>0</v>
      </c>
      <c r="G13243" s="8">
        <v>11</v>
      </c>
      <c r="H13243" s="8" t="s">
        <v>52124</v>
      </c>
      <c r="I13243" s="8">
        <v>526.6875</v>
      </c>
      <c r="J13243" s="3">
        <f t="shared" si="206"/>
        <v>43749.462639224534</v>
      </c>
    </row>
    <row r="13244" spans="1:10" x14ac:dyDescent="0.25">
      <c r="A13244" s="5" t="s">
        <v>52125</v>
      </c>
      <c r="B13244" s="6">
        <v>393.75</v>
      </c>
      <c r="C13244" s="6">
        <v>20.478950000000001</v>
      </c>
      <c r="D13244" s="6">
        <v>76</v>
      </c>
      <c r="E13244" s="6">
        <v>0</v>
      </c>
      <c r="F13244" s="6">
        <v>0</v>
      </c>
      <c r="G13244" s="6">
        <v>4</v>
      </c>
      <c r="H13244" s="6" t="s">
        <v>52126</v>
      </c>
      <c r="I13244" s="6">
        <v>526.6875</v>
      </c>
      <c r="J13244" s="2">
        <f t="shared" si="206"/>
        <v>43749.462723171295</v>
      </c>
    </row>
    <row r="13245" spans="1:10" x14ac:dyDescent="0.25">
      <c r="A13245" s="7" t="s">
        <v>52127</v>
      </c>
      <c r="B13245" s="8">
        <v>393.75</v>
      </c>
      <c r="C13245" s="8">
        <v>20.478950000000001</v>
      </c>
      <c r="D13245" s="8">
        <v>76</v>
      </c>
      <c r="E13245" s="8">
        <v>0</v>
      </c>
      <c r="F13245" s="8">
        <v>0</v>
      </c>
      <c r="G13245" s="8">
        <v>5</v>
      </c>
      <c r="H13245" s="8" t="s">
        <v>52128</v>
      </c>
      <c r="I13245" s="8">
        <v>526.6875</v>
      </c>
      <c r="J13245" s="3">
        <f t="shared" si="206"/>
        <v>43749.462806493051</v>
      </c>
    </row>
    <row r="13246" spans="1:10" x14ac:dyDescent="0.25">
      <c r="A13246" s="5" t="s">
        <v>52129</v>
      </c>
      <c r="B13246" s="6">
        <v>428.125</v>
      </c>
      <c r="C13246" s="6">
        <v>20.478950000000001</v>
      </c>
      <c r="D13246" s="6">
        <v>76</v>
      </c>
      <c r="E13246" s="6">
        <v>0</v>
      </c>
      <c r="F13246" s="6">
        <v>0</v>
      </c>
      <c r="G13246" s="6">
        <v>5</v>
      </c>
      <c r="H13246" s="6" t="s">
        <v>52130</v>
      </c>
      <c r="I13246" s="6">
        <v>537.375</v>
      </c>
      <c r="J13246" s="2">
        <f t="shared" si="206"/>
        <v>43749.462889675924</v>
      </c>
    </row>
    <row r="13247" spans="1:10" x14ac:dyDescent="0.25">
      <c r="A13247" s="7" t="s">
        <v>52131</v>
      </c>
      <c r="B13247" s="8">
        <v>393.75</v>
      </c>
      <c r="C13247" s="8">
        <v>20.478950000000001</v>
      </c>
      <c r="D13247" s="8">
        <v>76</v>
      </c>
      <c r="E13247" s="8">
        <v>0</v>
      </c>
      <c r="F13247" s="8">
        <v>0</v>
      </c>
      <c r="G13247" s="8">
        <v>9</v>
      </c>
      <c r="H13247" s="8" t="s">
        <v>52132</v>
      </c>
      <c r="I13247" s="8">
        <v>526.5</v>
      </c>
      <c r="J13247" s="3">
        <f t="shared" si="206"/>
        <v>43749.462961446756</v>
      </c>
    </row>
    <row r="13248" spans="1:10" x14ac:dyDescent="0.25">
      <c r="A13248" s="5" t="s">
        <v>52133</v>
      </c>
      <c r="B13248" s="6">
        <v>393.75</v>
      </c>
      <c r="C13248" s="6">
        <v>20.478950000000001</v>
      </c>
      <c r="D13248" s="6">
        <v>74</v>
      </c>
      <c r="E13248" s="6">
        <v>0</v>
      </c>
      <c r="F13248" s="6">
        <v>0</v>
      </c>
      <c r="G13248" s="6">
        <v>2</v>
      </c>
      <c r="H13248" s="6" t="s">
        <v>52134</v>
      </c>
      <c r="I13248" s="6">
        <v>526.6875</v>
      </c>
      <c r="J13248" s="2">
        <f t="shared" si="206"/>
        <v>43749.463045138888</v>
      </c>
    </row>
    <row r="13249" spans="1:10" x14ac:dyDescent="0.25">
      <c r="A13249" s="7" t="s">
        <v>52135</v>
      </c>
      <c r="B13249" s="8">
        <v>412.5</v>
      </c>
      <c r="C13249" s="8">
        <v>20.478950000000001</v>
      </c>
      <c r="D13249" s="8">
        <v>74</v>
      </c>
      <c r="E13249" s="8">
        <v>0</v>
      </c>
      <c r="F13249" s="8">
        <v>0</v>
      </c>
      <c r="G13249" s="8">
        <v>15</v>
      </c>
      <c r="H13249" s="8" t="s">
        <v>52136</v>
      </c>
      <c r="I13249" s="8">
        <v>532.3125</v>
      </c>
      <c r="J13249" s="3">
        <f t="shared" si="206"/>
        <v>43749.463144849535</v>
      </c>
    </row>
    <row r="13250" spans="1:10" x14ac:dyDescent="0.25">
      <c r="A13250" s="5" t="s">
        <v>52137</v>
      </c>
      <c r="B13250" s="6">
        <v>393.75</v>
      </c>
      <c r="C13250" s="6">
        <v>20.478950000000001</v>
      </c>
      <c r="D13250" s="6">
        <v>74</v>
      </c>
      <c r="E13250" s="6">
        <v>0</v>
      </c>
      <c r="F13250" s="6">
        <v>0</v>
      </c>
      <c r="G13250" s="6">
        <v>12</v>
      </c>
      <c r="H13250" s="6" t="s">
        <v>52138</v>
      </c>
      <c r="I13250" s="6">
        <v>526.6875</v>
      </c>
      <c r="J13250" s="2">
        <f t="shared" ref="J13250:J13313" si="207">(H13250/86400000)+25569+(7/24)</f>
        <v>43749.463223472216</v>
      </c>
    </row>
    <row r="13251" spans="1:10" x14ac:dyDescent="0.25">
      <c r="A13251" s="7" t="s">
        <v>52139</v>
      </c>
      <c r="B13251" s="8">
        <v>412.5</v>
      </c>
      <c r="C13251" s="8">
        <v>20.478950000000001</v>
      </c>
      <c r="D13251" s="8">
        <v>73</v>
      </c>
      <c r="E13251" s="8">
        <v>0</v>
      </c>
      <c r="F13251" s="8">
        <v>0</v>
      </c>
      <c r="G13251" s="8">
        <v>2</v>
      </c>
      <c r="H13251" s="8" t="s">
        <v>52140</v>
      </c>
      <c r="I13251" s="8">
        <v>532.3125</v>
      </c>
      <c r="J13251" s="3">
        <f t="shared" si="207"/>
        <v>43749.463295393514</v>
      </c>
    </row>
    <row r="13252" spans="1:10" x14ac:dyDescent="0.25">
      <c r="A13252" s="5" t="s">
        <v>52141</v>
      </c>
      <c r="B13252" s="6">
        <v>393.75</v>
      </c>
      <c r="C13252" s="6">
        <v>20.478950000000001</v>
      </c>
      <c r="D13252" s="6">
        <v>72</v>
      </c>
      <c r="E13252" s="6">
        <v>0</v>
      </c>
      <c r="F13252" s="6">
        <v>0</v>
      </c>
      <c r="G13252" s="6">
        <v>8</v>
      </c>
      <c r="H13252" s="6" t="s">
        <v>52142</v>
      </c>
      <c r="I13252" s="6">
        <v>526.875</v>
      </c>
      <c r="J13252" s="2">
        <f t="shared" si="207"/>
        <v>43749.463378611108</v>
      </c>
    </row>
    <row r="13253" spans="1:10" x14ac:dyDescent="0.25">
      <c r="A13253" s="7" t="s">
        <v>52143</v>
      </c>
      <c r="B13253" s="8">
        <v>393.75</v>
      </c>
      <c r="C13253" s="8">
        <v>20.478950000000001</v>
      </c>
      <c r="D13253" s="8">
        <v>72</v>
      </c>
      <c r="E13253" s="8">
        <v>0</v>
      </c>
      <c r="F13253" s="8">
        <v>0</v>
      </c>
      <c r="G13253" s="8">
        <v>2</v>
      </c>
      <c r="H13253" s="8" t="s">
        <v>52144</v>
      </c>
      <c r="I13253" s="8">
        <v>526.6875</v>
      </c>
      <c r="J13253" s="3">
        <f t="shared" si="207"/>
        <v>43749.463450578703</v>
      </c>
    </row>
    <row r="13254" spans="1:10" x14ac:dyDescent="0.25">
      <c r="A13254" s="5" t="s">
        <v>52145</v>
      </c>
      <c r="B13254" s="6">
        <v>393.75</v>
      </c>
      <c r="C13254" s="6">
        <v>20.478950000000001</v>
      </c>
      <c r="D13254" s="6">
        <v>71</v>
      </c>
      <c r="E13254" s="6">
        <v>0</v>
      </c>
      <c r="F13254" s="6">
        <v>0</v>
      </c>
      <c r="G13254" s="6">
        <v>11</v>
      </c>
      <c r="H13254" s="6" t="s">
        <v>52146</v>
      </c>
      <c r="I13254" s="6">
        <v>526.6875</v>
      </c>
      <c r="J13254" s="2">
        <f t="shared" si="207"/>
        <v>43749.463533923605</v>
      </c>
    </row>
    <row r="13255" spans="1:10" x14ac:dyDescent="0.25">
      <c r="A13255" s="7" t="s">
        <v>52147</v>
      </c>
      <c r="B13255" s="8">
        <v>393.75</v>
      </c>
      <c r="C13255" s="8">
        <v>20.478950000000001</v>
      </c>
      <c r="D13255" s="8">
        <v>72</v>
      </c>
      <c r="E13255" s="8">
        <v>0</v>
      </c>
      <c r="F13255" s="8">
        <v>0</v>
      </c>
      <c r="G13255" s="8">
        <v>5</v>
      </c>
      <c r="H13255" s="8" t="s">
        <v>52148</v>
      </c>
      <c r="I13255" s="8">
        <v>526.6875</v>
      </c>
      <c r="J13255" s="3">
        <f t="shared" si="207"/>
        <v>43749.463617511567</v>
      </c>
    </row>
    <row r="13256" spans="1:10" x14ac:dyDescent="0.25">
      <c r="A13256" s="5" t="s">
        <v>52149</v>
      </c>
      <c r="B13256" s="6">
        <v>421.875</v>
      </c>
      <c r="C13256" s="6">
        <v>20.478950000000001</v>
      </c>
      <c r="D13256" s="6">
        <v>72</v>
      </c>
      <c r="E13256" s="6">
        <v>0</v>
      </c>
      <c r="F13256" s="6">
        <v>0</v>
      </c>
      <c r="G13256" s="6">
        <v>0</v>
      </c>
      <c r="H13256" s="6" t="s">
        <v>52150</v>
      </c>
      <c r="I13256" s="6">
        <v>535.125</v>
      </c>
      <c r="J13256" s="2">
        <f t="shared" si="207"/>
        <v>43749.463700474538</v>
      </c>
    </row>
    <row r="13257" spans="1:10" x14ac:dyDescent="0.25">
      <c r="A13257" s="7" t="s">
        <v>52151</v>
      </c>
      <c r="B13257" s="8">
        <v>393.75</v>
      </c>
      <c r="C13257" s="8">
        <v>20.478950000000001</v>
      </c>
      <c r="D13257" s="8">
        <v>72</v>
      </c>
      <c r="E13257" s="8">
        <v>0</v>
      </c>
      <c r="F13257" s="8">
        <v>0</v>
      </c>
      <c r="G13257" s="8">
        <v>5</v>
      </c>
      <c r="H13257" s="8" t="s">
        <v>52152</v>
      </c>
      <c r="I13257" s="8">
        <v>526.6875</v>
      </c>
      <c r="J13257" s="3">
        <f t="shared" si="207"/>
        <v>43749.463772604162</v>
      </c>
    </row>
    <row r="13258" spans="1:10" x14ac:dyDescent="0.25">
      <c r="A13258" s="5" t="s">
        <v>52153</v>
      </c>
      <c r="B13258" s="6">
        <v>393.75</v>
      </c>
      <c r="C13258" s="6">
        <v>20.478950000000001</v>
      </c>
      <c r="D13258" s="6">
        <v>71</v>
      </c>
      <c r="E13258" s="6">
        <v>0</v>
      </c>
      <c r="F13258" s="6">
        <v>0</v>
      </c>
      <c r="G13258" s="6">
        <v>7</v>
      </c>
      <c r="H13258" s="6" t="s">
        <v>52154</v>
      </c>
      <c r="I13258" s="6">
        <v>526.6875</v>
      </c>
      <c r="J13258" s="2">
        <f t="shared" si="207"/>
        <v>43749.463856030088</v>
      </c>
    </row>
    <row r="13259" spans="1:10" x14ac:dyDescent="0.25">
      <c r="A13259" s="7" t="s">
        <v>52155</v>
      </c>
      <c r="B13259" s="8">
        <v>415.625</v>
      </c>
      <c r="C13259" s="8">
        <v>20.478950000000001</v>
      </c>
      <c r="D13259" s="8">
        <v>71</v>
      </c>
      <c r="E13259" s="8">
        <v>0</v>
      </c>
      <c r="F13259" s="8">
        <v>0</v>
      </c>
      <c r="G13259" s="8">
        <v>13</v>
      </c>
      <c r="H13259" s="8" t="s">
        <v>52156</v>
      </c>
      <c r="I13259" s="8">
        <v>533.4375</v>
      </c>
      <c r="J13259" s="3">
        <f t="shared" si="207"/>
        <v>43749.463939490735</v>
      </c>
    </row>
    <row r="13260" spans="1:10" x14ac:dyDescent="0.25">
      <c r="A13260" s="5" t="s">
        <v>52157</v>
      </c>
      <c r="B13260" s="6">
        <v>393.75</v>
      </c>
      <c r="C13260" s="6">
        <v>20.478950000000001</v>
      </c>
      <c r="D13260" s="6">
        <v>71</v>
      </c>
      <c r="E13260" s="6">
        <v>0</v>
      </c>
      <c r="F13260" s="6">
        <v>0</v>
      </c>
      <c r="G13260" s="6">
        <v>14</v>
      </c>
      <c r="H13260" s="6" t="s">
        <v>52158</v>
      </c>
      <c r="I13260" s="6">
        <v>526.6875</v>
      </c>
      <c r="J13260" s="2">
        <f t="shared" si="207"/>
        <v>43749.464023159722</v>
      </c>
    </row>
    <row r="13261" spans="1:10" x14ac:dyDescent="0.25">
      <c r="A13261" s="7" t="s">
        <v>52159</v>
      </c>
      <c r="B13261" s="8">
        <v>393.75</v>
      </c>
      <c r="C13261" s="8">
        <v>20.478950000000001</v>
      </c>
      <c r="D13261" s="8">
        <v>71</v>
      </c>
      <c r="E13261" s="8">
        <v>0</v>
      </c>
      <c r="F13261" s="8">
        <v>0</v>
      </c>
      <c r="G13261" s="8">
        <v>4</v>
      </c>
      <c r="H13261" s="8" t="s">
        <v>52160</v>
      </c>
      <c r="I13261" s="8">
        <v>526.6875</v>
      </c>
      <c r="J13261" s="3">
        <f t="shared" si="207"/>
        <v>43749.464106388885</v>
      </c>
    </row>
    <row r="13262" spans="1:10" x14ac:dyDescent="0.25">
      <c r="A13262" s="5" t="s">
        <v>52161</v>
      </c>
      <c r="B13262" s="6">
        <v>393.75</v>
      </c>
      <c r="C13262" s="6">
        <v>20.478950000000001</v>
      </c>
      <c r="D13262" s="6">
        <v>70</v>
      </c>
      <c r="E13262" s="6">
        <v>0</v>
      </c>
      <c r="F13262" s="6">
        <v>0</v>
      </c>
      <c r="G13262" s="6">
        <v>10</v>
      </c>
      <c r="H13262" s="6" t="s">
        <v>52162</v>
      </c>
      <c r="I13262" s="6">
        <v>526.6875</v>
      </c>
      <c r="J13262" s="2">
        <f t="shared" si="207"/>
        <v>43749.464189803235</v>
      </c>
    </row>
    <row r="13263" spans="1:10" x14ac:dyDescent="0.25">
      <c r="A13263" s="7" t="s">
        <v>52163</v>
      </c>
      <c r="B13263" s="8">
        <v>393.75</v>
      </c>
      <c r="C13263" s="8">
        <v>20.478950000000001</v>
      </c>
      <c r="D13263" s="8">
        <v>71</v>
      </c>
      <c r="E13263" s="8">
        <v>0</v>
      </c>
      <c r="F13263" s="8">
        <v>0</v>
      </c>
      <c r="G13263" s="8">
        <v>0</v>
      </c>
      <c r="H13263" s="8" t="s">
        <v>52164</v>
      </c>
      <c r="I13263" s="8">
        <v>526.6875</v>
      </c>
      <c r="J13263" s="3">
        <f t="shared" si="207"/>
        <v>43749.464273483791</v>
      </c>
    </row>
    <row r="13264" spans="1:10" x14ac:dyDescent="0.25">
      <c r="A13264" s="5" t="s">
        <v>52165</v>
      </c>
      <c r="B13264" s="6">
        <v>393.75</v>
      </c>
      <c r="C13264" s="6">
        <v>20.478950000000001</v>
      </c>
      <c r="D13264" s="6">
        <v>75</v>
      </c>
      <c r="E13264" s="6">
        <v>0</v>
      </c>
      <c r="F13264" s="6">
        <v>0</v>
      </c>
      <c r="G13264" s="6">
        <v>5</v>
      </c>
      <c r="H13264" s="6" t="s">
        <v>52166</v>
      </c>
      <c r="I13264" s="6">
        <v>526.6875</v>
      </c>
      <c r="J13264" s="2">
        <f t="shared" si="207"/>
        <v>43749.464356504628</v>
      </c>
    </row>
    <row r="13265" spans="1:10" x14ac:dyDescent="0.25">
      <c r="A13265" s="7" t="s">
        <v>52167</v>
      </c>
      <c r="B13265" s="8">
        <v>393.75</v>
      </c>
      <c r="C13265" s="8">
        <v>20.478950000000001</v>
      </c>
      <c r="D13265" s="8">
        <v>75</v>
      </c>
      <c r="E13265" s="8">
        <v>0</v>
      </c>
      <c r="F13265" s="8">
        <v>0</v>
      </c>
      <c r="G13265" s="8">
        <v>5</v>
      </c>
      <c r="H13265" s="8" t="s">
        <v>52168</v>
      </c>
      <c r="I13265" s="8">
        <v>526.5</v>
      </c>
      <c r="J13265" s="3">
        <f t="shared" si="207"/>
        <v>43749.464444953701</v>
      </c>
    </row>
    <row r="13266" spans="1:10" x14ac:dyDescent="0.25">
      <c r="A13266" s="5" t="s">
        <v>52169</v>
      </c>
      <c r="B13266" s="6">
        <v>393.75</v>
      </c>
      <c r="C13266" s="6">
        <v>20.478950000000001</v>
      </c>
      <c r="D13266" s="6">
        <v>75</v>
      </c>
      <c r="E13266" s="6">
        <v>0</v>
      </c>
      <c r="F13266" s="6">
        <v>0</v>
      </c>
      <c r="G13266" s="6">
        <v>9</v>
      </c>
      <c r="H13266" s="6" t="s">
        <v>52170</v>
      </c>
      <c r="I13266" s="6">
        <v>526.6875</v>
      </c>
      <c r="J13266" s="2">
        <f t="shared" si="207"/>
        <v>43749.464523877316</v>
      </c>
    </row>
    <row r="13267" spans="1:10" x14ac:dyDescent="0.25">
      <c r="A13267" s="7" t="s">
        <v>52171</v>
      </c>
      <c r="B13267" s="8">
        <v>393.75</v>
      </c>
      <c r="C13267" s="8">
        <v>20.478950000000001</v>
      </c>
      <c r="D13267" s="8">
        <v>73</v>
      </c>
      <c r="E13267" s="8">
        <v>0</v>
      </c>
      <c r="F13267" s="8">
        <v>0</v>
      </c>
      <c r="G13267" s="8">
        <v>5</v>
      </c>
      <c r="H13267" s="8" t="s">
        <v>52172</v>
      </c>
      <c r="I13267" s="8">
        <v>526.6875</v>
      </c>
      <c r="J13267" s="3">
        <f t="shared" si="207"/>
        <v>43749.464619421291</v>
      </c>
    </row>
    <row r="13268" spans="1:10" x14ac:dyDescent="0.25">
      <c r="A13268" s="5" t="s">
        <v>52173</v>
      </c>
      <c r="B13268" s="6">
        <v>393.75</v>
      </c>
      <c r="C13268" s="6">
        <v>20.478950000000001</v>
      </c>
      <c r="D13268" s="6">
        <v>74</v>
      </c>
      <c r="E13268" s="6">
        <v>0</v>
      </c>
      <c r="F13268" s="6">
        <v>0</v>
      </c>
      <c r="G13268" s="6">
        <v>11</v>
      </c>
      <c r="H13268" s="6" t="s">
        <v>52174</v>
      </c>
      <c r="I13268" s="6">
        <v>526.6875</v>
      </c>
      <c r="J13268" s="2">
        <f t="shared" si="207"/>
        <v>43749.464702696758</v>
      </c>
    </row>
    <row r="13269" spans="1:10" x14ac:dyDescent="0.25">
      <c r="A13269" s="7" t="s">
        <v>52175</v>
      </c>
      <c r="B13269" s="8">
        <v>393.75</v>
      </c>
      <c r="C13269" s="8">
        <v>20.478950000000001</v>
      </c>
      <c r="D13269" s="8">
        <v>73</v>
      </c>
      <c r="E13269" s="8">
        <v>0</v>
      </c>
      <c r="F13269" s="8">
        <v>0</v>
      </c>
      <c r="G13269" s="8">
        <v>13</v>
      </c>
      <c r="H13269" s="8" t="s">
        <v>52176</v>
      </c>
      <c r="I13269" s="8">
        <v>526.6875</v>
      </c>
      <c r="J13269" s="3">
        <f t="shared" si="207"/>
        <v>43749.464785995369</v>
      </c>
    </row>
    <row r="13270" spans="1:10" x14ac:dyDescent="0.25">
      <c r="A13270" s="5" t="s">
        <v>52177</v>
      </c>
      <c r="B13270" s="6">
        <v>431.25</v>
      </c>
      <c r="C13270" s="6">
        <v>20.478950000000001</v>
      </c>
      <c r="D13270" s="6">
        <v>73</v>
      </c>
      <c r="E13270" s="6">
        <v>0</v>
      </c>
      <c r="F13270" s="6">
        <v>0</v>
      </c>
      <c r="G13270" s="6">
        <v>9</v>
      </c>
      <c r="H13270" s="6" t="s">
        <v>52178</v>
      </c>
      <c r="I13270" s="6">
        <v>538.3125</v>
      </c>
      <c r="J13270" s="2">
        <f t="shared" si="207"/>
        <v>43749.46485773148</v>
      </c>
    </row>
    <row r="13271" spans="1:10" x14ac:dyDescent="0.25">
      <c r="A13271" s="7" t="s">
        <v>52179</v>
      </c>
      <c r="B13271" s="8">
        <v>393.75</v>
      </c>
      <c r="C13271" s="8">
        <v>20.478950000000001</v>
      </c>
      <c r="D13271" s="8">
        <v>73</v>
      </c>
      <c r="E13271" s="8">
        <v>0</v>
      </c>
      <c r="F13271" s="8">
        <v>0</v>
      </c>
      <c r="G13271" s="8">
        <v>8</v>
      </c>
      <c r="H13271" s="8" t="s">
        <v>52180</v>
      </c>
      <c r="I13271" s="8">
        <v>526.6875</v>
      </c>
      <c r="J13271" s="3">
        <f t="shared" si="207"/>
        <v>43749.464941203703</v>
      </c>
    </row>
    <row r="13272" spans="1:10" x14ac:dyDescent="0.25">
      <c r="A13272" s="5" t="s">
        <v>52181</v>
      </c>
      <c r="B13272" s="6">
        <v>393.75</v>
      </c>
      <c r="C13272" s="6">
        <v>20.478950000000001</v>
      </c>
      <c r="D13272" s="6">
        <v>73</v>
      </c>
      <c r="E13272" s="6">
        <v>0</v>
      </c>
      <c r="F13272" s="6">
        <v>0</v>
      </c>
      <c r="G13272" s="6">
        <v>9</v>
      </c>
      <c r="H13272" s="6" t="s">
        <v>52182</v>
      </c>
      <c r="I13272" s="6">
        <v>526.6875</v>
      </c>
      <c r="J13272" s="2">
        <f t="shared" si="207"/>
        <v>43749.465024745368</v>
      </c>
    </row>
    <row r="13273" spans="1:10" x14ac:dyDescent="0.25">
      <c r="A13273" s="7" t="s">
        <v>52183</v>
      </c>
      <c r="B13273" s="8">
        <v>393.75</v>
      </c>
      <c r="C13273" s="8">
        <v>20.478950000000001</v>
      </c>
      <c r="D13273" s="8">
        <v>73</v>
      </c>
      <c r="E13273" s="8">
        <v>0</v>
      </c>
      <c r="F13273" s="8">
        <v>0</v>
      </c>
      <c r="G13273" s="8">
        <v>9</v>
      </c>
      <c r="H13273" s="8" t="s">
        <v>52184</v>
      </c>
      <c r="I13273" s="8">
        <v>526.6875</v>
      </c>
      <c r="J13273" s="3">
        <f t="shared" si="207"/>
        <v>43749.46510833333</v>
      </c>
    </row>
    <row r="13274" spans="1:10" x14ac:dyDescent="0.25">
      <c r="A13274" s="5" t="s">
        <v>52185</v>
      </c>
      <c r="B13274" s="6">
        <v>393.75</v>
      </c>
      <c r="C13274" s="6">
        <v>20.478950000000001</v>
      </c>
      <c r="D13274" s="6">
        <v>74</v>
      </c>
      <c r="E13274" s="6">
        <v>0</v>
      </c>
      <c r="F13274" s="6">
        <v>0</v>
      </c>
      <c r="G13274" s="6">
        <v>13</v>
      </c>
      <c r="H13274" s="6" t="s">
        <v>52186</v>
      </c>
      <c r="I13274" s="6">
        <v>526.6875</v>
      </c>
      <c r="J13274" s="2">
        <f t="shared" si="207"/>
        <v>43749.465191655087</v>
      </c>
    </row>
    <row r="13275" spans="1:10" x14ac:dyDescent="0.25">
      <c r="A13275" s="7" t="s">
        <v>52187</v>
      </c>
      <c r="B13275" s="8">
        <v>428.125</v>
      </c>
      <c r="C13275" s="8">
        <v>20.478950000000001</v>
      </c>
      <c r="D13275" s="8">
        <v>74</v>
      </c>
      <c r="E13275" s="8">
        <v>0</v>
      </c>
      <c r="F13275" s="8">
        <v>0</v>
      </c>
      <c r="G13275" s="8">
        <v>11</v>
      </c>
      <c r="H13275" s="8" t="s">
        <v>52188</v>
      </c>
      <c r="I13275" s="8">
        <v>537</v>
      </c>
      <c r="J13275" s="3">
        <f t="shared" si="207"/>
        <v>43749.46527497685</v>
      </c>
    </row>
    <row r="13276" spans="1:10" x14ac:dyDescent="0.25">
      <c r="A13276" s="5" t="s">
        <v>52189</v>
      </c>
      <c r="B13276" s="6">
        <v>393.75</v>
      </c>
      <c r="C13276" s="6">
        <v>20.478950000000001</v>
      </c>
      <c r="D13276" s="6">
        <v>74</v>
      </c>
      <c r="E13276" s="6">
        <v>0</v>
      </c>
      <c r="F13276" s="6">
        <v>0</v>
      </c>
      <c r="G13276" s="6">
        <v>13</v>
      </c>
      <c r="H13276" s="6" t="s">
        <v>52190</v>
      </c>
      <c r="I13276" s="6">
        <v>526.6875</v>
      </c>
      <c r="J13276" s="2">
        <f t="shared" si="207"/>
        <v>43749.465346296296</v>
      </c>
    </row>
    <row r="13277" spans="1:10" x14ac:dyDescent="0.25">
      <c r="A13277" s="7" t="s">
        <v>52191</v>
      </c>
      <c r="B13277" s="8">
        <v>393.75</v>
      </c>
      <c r="C13277" s="8">
        <v>20.478950000000001</v>
      </c>
      <c r="D13277" s="8">
        <v>72</v>
      </c>
      <c r="E13277" s="8">
        <v>0</v>
      </c>
      <c r="F13277" s="8">
        <v>0</v>
      </c>
      <c r="G13277" s="8">
        <v>6</v>
      </c>
      <c r="H13277" s="8" t="s">
        <v>52192</v>
      </c>
      <c r="I13277" s="8">
        <v>526.6875</v>
      </c>
      <c r="J13277" s="3">
        <f t="shared" si="207"/>
        <v>43749.46541827546</v>
      </c>
    </row>
    <row r="13278" spans="1:10" x14ac:dyDescent="0.25">
      <c r="A13278" s="5" t="s">
        <v>52193</v>
      </c>
      <c r="B13278" s="6">
        <v>393.75</v>
      </c>
      <c r="C13278" s="6">
        <v>20.478950000000001</v>
      </c>
      <c r="D13278" s="6">
        <v>70</v>
      </c>
      <c r="E13278" s="6">
        <v>0</v>
      </c>
      <c r="F13278" s="6">
        <v>0</v>
      </c>
      <c r="G13278" s="6">
        <v>12</v>
      </c>
      <c r="H13278" s="6" t="s">
        <v>52194</v>
      </c>
      <c r="I13278" s="6">
        <v>526.6875</v>
      </c>
      <c r="J13278" s="2">
        <f t="shared" si="207"/>
        <v>43749.465501736107</v>
      </c>
    </row>
    <row r="13279" spans="1:10" x14ac:dyDescent="0.25">
      <c r="A13279" s="7" t="s">
        <v>52195</v>
      </c>
      <c r="B13279" s="8">
        <v>393.75</v>
      </c>
      <c r="C13279" s="8">
        <v>20.478950000000001</v>
      </c>
      <c r="D13279" s="8">
        <v>70</v>
      </c>
      <c r="E13279" s="8">
        <v>0</v>
      </c>
      <c r="F13279" s="8">
        <v>0</v>
      </c>
      <c r="G13279" s="8">
        <v>8</v>
      </c>
      <c r="H13279" s="8" t="s">
        <v>52196</v>
      </c>
      <c r="I13279" s="8">
        <v>526.6875</v>
      </c>
      <c r="J13279" s="3">
        <f t="shared" si="207"/>
        <v>43749.465573379632</v>
      </c>
    </row>
    <row r="13280" spans="1:10" x14ac:dyDescent="0.25">
      <c r="A13280" s="5" t="s">
        <v>52197</v>
      </c>
      <c r="B13280" s="6">
        <v>393.75</v>
      </c>
      <c r="C13280" s="6">
        <v>20.478950000000001</v>
      </c>
      <c r="D13280" s="6">
        <v>70</v>
      </c>
      <c r="E13280" s="6">
        <v>0</v>
      </c>
      <c r="F13280" s="6">
        <v>0</v>
      </c>
      <c r="G13280" s="6">
        <v>14</v>
      </c>
      <c r="H13280" s="6" t="s">
        <v>52198</v>
      </c>
      <c r="I13280" s="6">
        <v>526.6875</v>
      </c>
      <c r="J13280" s="2">
        <f t="shared" si="207"/>
        <v>43749.465656458335</v>
      </c>
    </row>
    <row r="13281" spans="1:10" x14ac:dyDescent="0.25">
      <c r="A13281" s="7" t="s">
        <v>52199</v>
      </c>
      <c r="B13281" s="8">
        <v>393.75</v>
      </c>
      <c r="C13281" s="8">
        <v>20.478950000000001</v>
      </c>
      <c r="D13281" s="8">
        <v>70</v>
      </c>
      <c r="E13281" s="8">
        <v>0</v>
      </c>
      <c r="F13281" s="8">
        <v>0</v>
      </c>
      <c r="G13281" s="8">
        <v>9</v>
      </c>
      <c r="H13281" s="8" t="s">
        <v>52200</v>
      </c>
      <c r="I13281" s="8">
        <v>526.6875</v>
      </c>
      <c r="J13281" s="3">
        <f t="shared" si="207"/>
        <v>43749.465728124997</v>
      </c>
    </row>
    <row r="13282" spans="1:10" x14ac:dyDescent="0.25">
      <c r="A13282" s="5" t="s">
        <v>52201</v>
      </c>
      <c r="B13282" s="6">
        <v>393.75</v>
      </c>
      <c r="C13282" s="6">
        <v>20.478950000000001</v>
      </c>
      <c r="D13282" s="6">
        <v>68</v>
      </c>
      <c r="E13282" s="6">
        <v>0</v>
      </c>
      <c r="F13282" s="6">
        <v>0</v>
      </c>
      <c r="G13282" s="6">
        <v>7</v>
      </c>
      <c r="H13282" s="6" t="s">
        <v>52202</v>
      </c>
      <c r="I13282" s="6">
        <v>526.6875</v>
      </c>
      <c r="J13282" s="2">
        <f t="shared" si="207"/>
        <v>43749.465811898146</v>
      </c>
    </row>
    <row r="13283" spans="1:10" x14ac:dyDescent="0.25">
      <c r="A13283" s="7" t="s">
        <v>52203</v>
      </c>
      <c r="B13283" s="8">
        <v>393.75</v>
      </c>
      <c r="C13283" s="8">
        <v>20.478950000000001</v>
      </c>
      <c r="D13283" s="8">
        <v>70</v>
      </c>
      <c r="E13283" s="8">
        <v>0</v>
      </c>
      <c r="F13283" s="8">
        <v>0</v>
      </c>
      <c r="G13283" s="8">
        <v>6</v>
      </c>
      <c r="H13283" s="8" t="s">
        <v>52204</v>
      </c>
      <c r="I13283" s="8">
        <v>526.6875</v>
      </c>
      <c r="J13283" s="3">
        <f t="shared" si="207"/>
        <v>43749.465895266207</v>
      </c>
    </row>
    <row r="13284" spans="1:10" x14ac:dyDescent="0.25">
      <c r="A13284" s="5" t="s">
        <v>52205</v>
      </c>
      <c r="B13284" s="6">
        <v>393.75</v>
      </c>
      <c r="C13284" s="6">
        <v>20.478950000000001</v>
      </c>
      <c r="D13284" s="6">
        <v>67</v>
      </c>
      <c r="E13284" s="6">
        <v>0</v>
      </c>
      <c r="F13284" s="6">
        <v>0</v>
      </c>
      <c r="G13284" s="6">
        <v>7</v>
      </c>
      <c r="H13284" s="6" t="s">
        <v>52206</v>
      </c>
      <c r="I13284" s="6">
        <v>526.6875</v>
      </c>
      <c r="J13284" s="2">
        <f t="shared" si="207"/>
        <v>43749.465978576387</v>
      </c>
    </row>
    <row r="13285" spans="1:10" x14ac:dyDescent="0.25">
      <c r="A13285" s="7" t="s">
        <v>52207</v>
      </c>
      <c r="B13285" s="8">
        <v>393.75</v>
      </c>
      <c r="C13285" s="8">
        <v>20.478950000000001</v>
      </c>
      <c r="D13285" s="8">
        <v>67</v>
      </c>
      <c r="E13285" s="8">
        <v>0</v>
      </c>
      <c r="F13285" s="8">
        <v>0</v>
      </c>
      <c r="G13285" s="8">
        <v>8</v>
      </c>
      <c r="H13285" s="8" t="s">
        <v>52208</v>
      </c>
      <c r="I13285" s="8">
        <v>526.5</v>
      </c>
      <c r="J13285" s="3">
        <f t="shared" si="207"/>
        <v>43749.466050023148</v>
      </c>
    </row>
    <row r="13286" spans="1:10" x14ac:dyDescent="0.25">
      <c r="A13286" s="5" t="s">
        <v>52209</v>
      </c>
      <c r="B13286" s="6">
        <v>393.75</v>
      </c>
      <c r="C13286" s="6">
        <v>20.478950000000001</v>
      </c>
      <c r="D13286" s="6">
        <v>69</v>
      </c>
      <c r="E13286" s="6">
        <v>0</v>
      </c>
      <c r="F13286" s="6">
        <v>0</v>
      </c>
      <c r="G13286" s="6">
        <v>10</v>
      </c>
      <c r="H13286" s="6" t="s">
        <v>52210</v>
      </c>
      <c r="I13286" s="6">
        <v>526.6875</v>
      </c>
      <c r="J13286" s="2">
        <f t="shared" si="207"/>
        <v>43749.466145949067</v>
      </c>
    </row>
    <row r="13287" spans="1:10" x14ac:dyDescent="0.25">
      <c r="A13287" s="7" t="s">
        <v>52211</v>
      </c>
      <c r="B13287" s="8">
        <v>393.75</v>
      </c>
      <c r="C13287" s="8">
        <v>20.478950000000001</v>
      </c>
      <c r="D13287" s="8">
        <v>69</v>
      </c>
      <c r="E13287" s="8">
        <v>0</v>
      </c>
      <c r="F13287" s="8">
        <v>0</v>
      </c>
      <c r="G13287" s="8">
        <v>14</v>
      </c>
      <c r="H13287" s="8" t="s">
        <v>52212</v>
      </c>
      <c r="I13287" s="8">
        <v>526.6875</v>
      </c>
      <c r="J13287" s="3">
        <f t="shared" si="207"/>
        <v>43749.466217361107</v>
      </c>
    </row>
    <row r="13288" spans="1:10" x14ac:dyDescent="0.25">
      <c r="A13288" s="5" t="s">
        <v>52213</v>
      </c>
      <c r="B13288" s="6">
        <v>393.75</v>
      </c>
      <c r="C13288" s="6">
        <v>20.478950000000001</v>
      </c>
      <c r="D13288" s="6">
        <v>69</v>
      </c>
      <c r="E13288" s="6">
        <v>0</v>
      </c>
      <c r="F13288" s="6">
        <v>0</v>
      </c>
      <c r="G13288" s="6">
        <v>10</v>
      </c>
      <c r="H13288" s="6" t="s">
        <v>52214</v>
      </c>
      <c r="I13288" s="6">
        <v>526.6875</v>
      </c>
      <c r="J13288" s="2">
        <f t="shared" si="207"/>
        <v>43749.466288981479</v>
      </c>
    </row>
    <row r="13289" spans="1:10" x14ac:dyDescent="0.25">
      <c r="A13289" s="7" t="s">
        <v>52215</v>
      </c>
      <c r="B13289" s="8">
        <v>393.75</v>
      </c>
      <c r="C13289" s="8">
        <v>20.478950000000001</v>
      </c>
      <c r="D13289" s="8">
        <v>69</v>
      </c>
      <c r="E13289" s="8">
        <v>0</v>
      </c>
      <c r="F13289" s="8">
        <v>0</v>
      </c>
      <c r="G13289" s="8">
        <v>7</v>
      </c>
      <c r="H13289" s="8" t="s">
        <v>52216</v>
      </c>
      <c r="I13289" s="8">
        <v>526.6875</v>
      </c>
      <c r="J13289" s="3">
        <f t="shared" si="207"/>
        <v>43749.466372453702</v>
      </c>
    </row>
    <row r="13290" spans="1:10" x14ac:dyDescent="0.25">
      <c r="A13290" s="5" t="s">
        <v>52217</v>
      </c>
      <c r="B13290" s="6">
        <v>393.75</v>
      </c>
      <c r="C13290" s="6">
        <v>20.478950000000001</v>
      </c>
      <c r="D13290" s="6">
        <v>71</v>
      </c>
      <c r="E13290" s="6">
        <v>0</v>
      </c>
      <c r="F13290" s="6">
        <v>0</v>
      </c>
      <c r="G13290" s="6">
        <v>14</v>
      </c>
      <c r="H13290" s="6" t="s">
        <v>52218</v>
      </c>
      <c r="I13290" s="6">
        <v>526.6875</v>
      </c>
      <c r="J13290" s="2">
        <f t="shared" si="207"/>
        <v>43749.466455891197</v>
      </c>
    </row>
    <row r="13291" spans="1:10" x14ac:dyDescent="0.25">
      <c r="A13291" s="7" t="s">
        <v>52219</v>
      </c>
      <c r="B13291" s="8">
        <v>393.75</v>
      </c>
      <c r="C13291" s="8">
        <v>20.478950000000001</v>
      </c>
      <c r="D13291" s="8">
        <v>72</v>
      </c>
      <c r="E13291" s="8">
        <v>0</v>
      </c>
      <c r="F13291" s="8">
        <v>0</v>
      </c>
      <c r="G13291" s="8">
        <v>10</v>
      </c>
      <c r="H13291" s="8" t="s">
        <v>52220</v>
      </c>
      <c r="I13291" s="8">
        <v>526.5</v>
      </c>
      <c r="J13291" s="3">
        <f t="shared" si="207"/>
        <v>43749.466539444438</v>
      </c>
    </row>
    <row r="13292" spans="1:10" x14ac:dyDescent="0.25">
      <c r="A13292" s="5" t="s">
        <v>52221</v>
      </c>
      <c r="B13292" s="6">
        <v>393.75</v>
      </c>
      <c r="C13292" s="6">
        <v>20.478950000000001</v>
      </c>
      <c r="D13292" s="6">
        <v>71</v>
      </c>
      <c r="E13292" s="6">
        <v>0</v>
      </c>
      <c r="F13292" s="6">
        <v>0</v>
      </c>
      <c r="G13292" s="6">
        <v>13</v>
      </c>
      <c r="H13292" s="6" t="s">
        <v>52222</v>
      </c>
      <c r="I13292" s="6">
        <v>526.6875</v>
      </c>
      <c r="J13292" s="2">
        <f t="shared" si="207"/>
        <v>43749.466623414344</v>
      </c>
    </row>
    <row r="13293" spans="1:10" x14ac:dyDescent="0.25">
      <c r="A13293" s="7" t="s">
        <v>52223</v>
      </c>
      <c r="B13293" s="8">
        <v>393.75</v>
      </c>
      <c r="C13293" s="8">
        <v>20.478950000000001</v>
      </c>
      <c r="D13293" s="8">
        <v>72</v>
      </c>
      <c r="E13293" s="8">
        <v>0</v>
      </c>
      <c r="F13293" s="8">
        <v>0</v>
      </c>
      <c r="G13293" s="8">
        <v>16</v>
      </c>
      <c r="H13293" s="8" t="s">
        <v>52224</v>
      </c>
      <c r="I13293" s="8">
        <v>526.5</v>
      </c>
      <c r="J13293" s="3">
        <f t="shared" si="207"/>
        <v>43749.466706458326</v>
      </c>
    </row>
    <row r="13294" spans="1:10" x14ac:dyDescent="0.25">
      <c r="A13294" s="5" t="s">
        <v>52225</v>
      </c>
      <c r="B13294" s="6">
        <v>412.5</v>
      </c>
      <c r="C13294" s="6">
        <v>20.478950000000001</v>
      </c>
      <c r="D13294" s="6">
        <v>72</v>
      </c>
      <c r="E13294" s="6">
        <v>0</v>
      </c>
      <c r="F13294" s="6">
        <v>0</v>
      </c>
      <c r="G13294" s="6">
        <v>8</v>
      </c>
      <c r="H13294" s="6" t="s">
        <v>52226</v>
      </c>
      <c r="I13294" s="6">
        <v>532.3125</v>
      </c>
      <c r="J13294" s="2">
        <f t="shared" si="207"/>
        <v>43749.466789814811</v>
      </c>
    </row>
    <row r="13295" spans="1:10" x14ac:dyDescent="0.25">
      <c r="A13295" s="7" t="s">
        <v>52227</v>
      </c>
      <c r="B13295" s="8">
        <v>393.75</v>
      </c>
      <c r="C13295" s="8">
        <v>20.478950000000001</v>
      </c>
      <c r="D13295" s="8">
        <v>72</v>
      </c>
      <c r="E13295" s="8">
        <v>0</v>
      </c>
      <c r="F13295" s="8">
        <v>0</v>
      </c>
      <c r="G13295" s="8">
        <v>16</v>
      </c>
      <c r="H13295" s="8" t="s">
        <v>52228</v>
      </c>
      <c r="I13295" s="8">
        <v>526.6875</v>
      </c>
      <c r="J13295" s="3">
        <f t="shared" si="207"/>
        <v>43749.466861550922</v>
      </c>
    </row>
    <row r="13296" spans="1:10" x14ac:dyDescent="0.25">
      <c r="A13296" s="5" t="s">
        <v>52229</v>
      </c>
      <c r="B13296" s="6">
        <v>393.75</v>
      </c>
      <c r="C13296" s="6">
        <v>20.478950000000001</v>
      </c>
      <c r="D13296" s="6">
        <v>72</v>
      </c>
      <c r="E13296" s="6">
        <v>0</v>
      </c>
      <c r="F13296" s="6">
        <v>0</v>
      </c>
      <c r="G13296" s="6">
        <v>11</v>
      </c>
      <c r="H13296" s="6" t="s">
        <v>52230</v>
      </c>
      <c r="I13296" s="6">
        <v>526.6875</v>
      </c>
      <c r="J13296" s="2">
        <f t="shared" si="207"/>
        <v>43749.466944988424</v>
      </c>
    </row>
    <row r="13297" spans="1:10" x14ac:dyDescent="0.25">
      <c r="A13297" s="7" t="s">
        <v>52231</v>
      </c>
      <c r="B13297" s="8">
        <v>393.75</v>
      </c>
      <c r="C13297" s="8">
        <v>20.478950000000001</v>
      </c>
      <c r="D13297" s="8">
        <v>72</v>
      </c>
      <c r="E13297" s="8">
        <v>0</v>
      </c>
      <c r="F13297" s="8">
        <v>0</v>
      </c>
      <c r="G13297" s="8">
        <v>17</v>
      </c>
      <c r="H13297" s="8" t="s">
        <v>52232</v>
      </c>
      <c r="I13297" s="8">
        <v>526.6875</v>
      </c>
      <c r="J13297" s="3">
        <f t="shared" si="207"/>
        <v>43749.467028344901</v>
      </c>
    </row>
    <row r="13298" spans="1:10" x14ac:dyDescent="0.25">
      <c r="A13298" s="5" t="s">
        <v>52233</v>
      </c>
      <c r="B13298" s="6">
        <v>393.75</v>
      </c>
      <c r="C13298" s="6">
        <v>20.478950000000001</v>
      </c>
      <c r="D13298" s="6">
        <v>71</v>
      </c>
      <c r="E13298" s="6">
        <v>0</v>
      </c>
      <c r="F13298" s="6">
        <v>0</v>
      </c>
      <c r="G13298" s="6">
        <v>5</v>
      </c>
      <c r="H13298" s="6" t="s">
        <v>52234</v>
      </c>
      <c r="I13298" s="6">
        <v>526.6875</v>
      </c>
      <c r="J13298" s="2">
        <f t="shared" si="207"/>
        <v>43749.467112037033</v>
      </c>
    </row>
    <row r="13299" spans="1:10" x14ac:dyDescent="0.25">
      <c r="A13299" s="7" t="s">
        <v>52235</v>
      </c>
      <c r="B13299" s="8">
        <v>393.75</v>
      </c>
      <c r="C13299" s="8">
        <v>20.478950000000001</v>
      </c>
      <c r="D13299" s="8">
        <v>71</v>
      </c>
      <c r="E13299" s="8">
        <v>0</v>
      </c>
      <c r="F13299" s="8">
        <v>0</v>
      </c>
      <c r="G13299" s="8">
        <v>16</v>
      </c>
      <c r="H13299" s="8" t="s">
        <v>52236</v>
      </c>
      <c r="I13299" s="8">
        <v>526.6875</v>
      </c>
      <c r="J13299" s="3">
        <f t="shared" si="207"/>
        <v>43749.467195335645</v>
      </c>
    </row>
    <row r="13300" spans="1:10" x14ac:dyDescent="0.25">
      <c r="A13300" s="5" t="s">
        <v>52237</v>
      </c>
      <c r="B13300" s="6">
        <v>393.75</v>
      </c>
      <c r="C13300" s="6">
        <v>20.478950000000001</v>
      </c>
      <c r="D13300" s="6">
        <v>70</v>
      </c>
      <c r="E13300" s="6">
        <v>0</v>
      </c>
      <c r="F13300" s="6">
        <v>0</v>
      </c>
      <c r="G13300" s="6">
        <v>2</v>
      </c>
      <c r="H13300" s="6" t="s">
        <v>52238</v>
      </c>
      <c r="I13300" s="6">
        <v>526.6875</v>
      </c>
      <c r="J13300" s="2">
        <f t="shared" si="207"/>
        <v>43749.467290763881</v>
      </c>
    </row>
    <row r="13301" spans="1:10" x14ac:dyDescent="0.25">
      <c r="A13301" s="7" t="s">
        <v>52239</v>
      </c>
      <c r="B13301" s="8">
        <v>412.5</v>
      </c>
      <c r="C13301" s="8">
        <v>20.478950000000001</v>
      </c>
      <c r="D13301" s="8">
        <v>70</v>
      </c>
      <c r="E13301" s="8">
        <v>0</v>
      </c>
      <c r="F13301" s="8">
        <v>0</v>
      </c>
      <c r="G13301" s="8">
        <v>8</v>
      </c>
      <c r="H13301" s="8" t="s">
        <v>52240</v>
      </c>
      <c r="I13301" s="8">
        <v>532.5</v>
      </c>
      <c r="J13301" s="3">
        <f t="shared" si="207"/>
        <v>43749.467362060182</v>
      </c>
    </row>
    <row r="13302" spans="1:10" x14ac:dyDescent="0.25">
      <c r="A13302" s="5" t="s">
        <v>52241</v>
      </c>
      <c r="B13302" s="6">
        <v>393.75</v>
      </c>
      <c r="C13302" s="6">
        <v>20.478950000000001</v>
      </c>
      <c r="D13302" s="6">
        <v>70</v>
      </c>
      <c r="E13302" s="6">
        <v>0</v>
      </c>
      <c r="F13302" s="6">
        <v>0</v>
      </c>
      <c r="G13302" s="6">
        <v>10</v>
      </c>
      <c r="H13302" s="6" t="s">
        <v>52242</v>
      </c>
      <c r="I13302" s="6">
        <v>526.6875</v>
      </c>
      <c r="J13302" s="2">
        <f t="shared" si="207"/>
        <v>43749.467445972223</v>
      </c>
    </row>
    <row r="13303" spans="1:10" x14ac:dyDescent="0.25">
      <c r="A13303" s="7" t="s">
        <v>52243</v>
      </c>
      <c r="B13303" s="8">
        <v>393.75</v>
      </c>
      <c r="C13303" s="8">
        <v>20.478950000000001</v>
      </c>
      <c r="D13303" s="8">
        <v>69</v>
      </c>
      <c r="E13303" s="8">
        <v>0</v>
      </c>
      <c r="F13303" s="8">
        <v>0</v>
      </c>
      <c r="G13303" s="8">
        <v>1</v>
      </c>
      <c r="H13303" s="8" t="s">
        <v>52244</v>
      </c>
      <c r="I13303" s="8">
        <v>526.6875</v>
      </c>
      <c r="J13303" s="3">
        <f t="shared" si="207"/>
        <v>43749.467517372679</v>
      </c>
    </row>
    <row r="13304" spans="1:10" x14ac:dyDescent="0.25">
      <c r="A13304" s="5" t="s">
        <v>52245</v>
      </c>
      <c r="B13304" s="6">
        <v>393.75</v>
      </c>
      <c r="C13304" s="6">
        <v>20.478950000000001</v>
      </c>
      <c r="D13304" s="6">
        <v>67</v>
      </c>
      <c r="E13304" s="6">
        <v>0</v>
      </c>
      <c r="F13304" s="6">
        <v>0</v>
      </c>
      <c r="G13304" s="6">
        <v>12</v>
      </c>
      <c r="H13304" s="6" t="s">
        <v>52246</v>
      </c>
      <c r="I13304" s="6">
        <v>526.6875</v>
      </c>
      <c r="J13304" s="2">
        <f t="shared" si="207"/>
        <v>43749.467600833326</v>
      </c>
    </row>
    <row r="13305" spans="1:10" x14ac:dyDescent="0.25">
      <c r="A13305" s="7" t="s">
        <v>52247</v>
      </c>
      <c r="B13305" s="8">
        <v>393.75</v>
      </c>
      <c r="C13305" s="8">
        <v>20.478950000000001</v>
      </c>
      <c r="D13305" s="8">
        <v>66</v>
      </c>
      <c r="E13305" s="8">
        <v>0</v>
      </c>
      <c r="F13305" s="8">
        <v>0</v>
      </c>
      <c r="G13305" s="8">
        <v>8</v>
      </c>
      <c r="H13305" s="8" t="s">
        <v>52248</v>
      </c>
      <c r="I13305" s="8">
        <v>526.5</v>
      </c>
      <c r="J13305" s="3">
        <f t="shared" si="207"/>
        <v>43749.467684351846</v>
      </c>
    </row>
    <row r="13306" spans="1:10" x14ac:dyDescent="0.25">
      <c r="A13306" s="5" t="s">
        <v>52249</v>
      </c>
      <c r="B13306" s="6">
        <v>393.75</v>
      </c>
      <c r="C13306" s="6">
        <v>20.478950000000001</v>
      </c>
      <c r="D13306" s="6">
        <v>66</v>
      </c>
      <c r="E13306" s="6">
        <v>0</v>
      </c>
      <c r="F13306" s="6">
        <v>0</v>
      </c>
      <c r="G13306" s="6">
        <v>10</v>
      </c>
      <c r="H13306" s="6" t="s">
        <v>52250</v>
      </c>
      <c r="I13306" s="6">
        <v>526.6875</v>
      </c>
      <c r="J13306" s="2">
        <f t="shared" si="207"/>
        <v>43749.467767708331</v>
      </c>
    </row>
    <row r="13307" spans="1:10" x14ac:dyDescent="0.25">
      <c r="A13307" s="7" t="s">
        <v>52251</v>
      </c>
      <c r="B13307" s="8">
        <v>393.75</v>
      </c>
      <c r="C13307" s="8">
        <v>20.478950000000001</v>
      </c>
      <c r="D13307" s="8">
        <v>66</v>
      </c>
      <c r="E13307" s="8">
        <v>0</v>
      </c>
      <c r="F13307" s="8">
        <v>0</v>
      </c>
      <c r="G13307" s="8">
        <v>7</v>
      </c>
      <c r="H13307" s="8" t="s">
        <v>52252</v>
      </c>
      <c r="I13307" s="8">
        <v>526.6875</v>
      </c>
      <c r="J13307" s="3">
        <f t="shared" si="207"/>
        <v>43749.467839131939</v>
      </c>
    </row>
    <row r="13308" spans="1:10" x14ac:dyDescent="0.25">
      <c r="A13308" s="5" t="s">
        <v>52253</v>
      </c>
      <c r="B13308" s="6">
        <v>393.75</v>
      </c>
      <c r="C13308" s="6">
        <v>20.478950000000001</v>
      </c>
      <c r="D13308" s="6">
        <v>68</v>
      </c>
      <c r="E13308" s="6">
        <v>0</v>
      </c>
      <c r="F13308" s="6">
        <v>0</v>
      </c>
      <c r="G13308" s="6">
        <v>4</v>
      </c>
      <c r="H13308" s="6" t="s">
        <v>52254</v>
      </c>
      <c r="I13308" s="6">
        <v>526.6875</v>
      </c>
      <c r="J13308" s="2">
        <f t="shared" si="207"/>
        <v>43749.467923171294</v>
      </c>
    </row>
    <row r="13309" spans="1:10" x14ac:dyDescent="0.25">
      <c r="A13309" s="7" t="s">
        <v>52255</v>
      </c>
      <c r="B13309" s="8">
        <v>393.75</v>
      </c>
      <c r="C13309" s="8">
        <v>20.478950000000001</v>
      </c>
      <c r="D13309" s="8">
        <v>71</v>
      </c>
      <c r="E13309" s="8">
        <v>0</v>
      </c>
      <c r="F13309" s="8">
        <v>0</v>
      </c>
      <c r="G13309" s="8">
        <v>5</v>
      </c>
      <c r="H13309" s="8" t="s">
        <v>52256</v>
      </c>
      <c r="I13309" s="8">
        <v>526.6875</v>
      </c>
      <c r="J13309" s="3">
        <f t="shared" si="207"/>
        <v>43749.468006377312</v>
      </c>
    </row>
    <row r="13310" spans="1:10" x14ac:dyDescent="0.25">
      <c r="A13310" s="5" t="s">
        <v>52257</v>
      </c>
      <c r="B13310" s="6">
        <v>393.75</v>
      </c>
      <c r="C13310" s="6">
        <v>20.478950000000001</v>
      </c>
      <c r="D13310" s="6">
        <v>70</v>
      </c>
      <c r="E13310" s="6">
        <v>0</v>
      </c>
      <c r="F13310" s="6">
        <v>0</v>
      </c>
      <c r="G13310" s="6">
        <v>7</v>
      </c>
      <c r="H13310" s="6" t="s">
        <v>52258</v>
      </c>
      <c r="I13310" s="6">
        <v>526.6875</v>
      </c>
      <c r="J13310" s="2">
        <f t="shared" si="207"/>
        <v>43749.468089930553</v>
      </c>
    </row>
    <row r="13311" spans="1:10" x14ac:dyDescent="0.25">
      <c r="A13311" s="7" t="s">
        <v>52259</v>
      </c>
      <c r="B13311" s="8">
        <v>393.75</v>
      </c>
      <c r="C13311" s="8">
        <v>20.478950000000001</v>
      </c>
      <c r="D13311" s="8">
        <v>71</v>
      </c>
      <c r="E13311" s="8">
        <v>0</v>
      </c>
      <c r="F13311" s="8">
        <v>0</v>
      </c>
      <c r="G13311" s="8">
        <v>4</v>
      </c>
      <c r="H13311" s="8" t="s">
        <v>52260</v>
      </c>
      <c r="I13311" s="8">
        <v>526.6875</v>
      </c>
      <c r="J13311" s="3">
        <f t="shared" si="207"/>
        <v>43749.468173275462</v>
      </c>
    </row>
    <row r="13312" spans="1:10" x14ac:dyDescent="0.25">
      <c r="A13312" s="5" t="s">
        <v>52261</v>
      </c>
      <c r="B13312" s="6">
        <v>393.75</v>
      </c>
      <c r="C13312" s="6">
        <v>20.478950000000001</v>
      </c>
      <c r="D13312" s="6">
        <v>70</v>
      </c>
      <c r="E13312" s="6">
        <v>0</v>
      </c>
      <c r="F13312" s="6">
        <v>0</v>
      </c>
      <c r="G13312" s="6">
        <v>0</v>
      </c>
      <c r="H13312" s="6" t="s">
        <v>52262</v>
      </c>
      <c r="I13312" s="6">
        <v>526.5</v>
      </c>
      <c r="J13312" s="2">
        <f t="shared" si="207"/>
        <v>43749.468256493048</v>
      </c>
    </row>
    <row r="13313" spans="1:10" x14ac:dyDescent="0.25">
      <c r="A13313" s="7" t="s">
        <v>52263</v>
      </c>
      <c r="B13313" s="8">
        <v>393.75</v>
      </c>
      <c r="C13313" s="8">
        <v>20.478950000000001</v>
      </c>
      <c r="D13313" s="8">
        <v>70</v>
      </c>
      <c r="E13313" s="8">
        <v>0</v>
      </c>
      <c r="F13313" s="8">
        <v>0</v>
      </c>
      <c r="G13313" s="8">
        <v>2</v>
      </c>
      <c r="H13313" s="8" t="s">
        <v>52264</v>
      </c>
      <c r="I13313" s="8">
        <v>526.6875</v>
      </c>
      <c r="J13313" s="3">
        <f t="shared" si="207"/>
        <v>43749.468328148148</v>
      </c>
    </row>
    <row r="13314" spans="1:10" x14ac:dyDescent="0.25">
      <c r="A13314" s="5" t="s">
        <v>52265</v>
      </c>
      <c r="B13314" s="6">
        <v>393.75</v>
      </c>
      <c r="C13314" s="6">
        <v>20.478950000000001</v>
      </c>
      <c r="D13314" s="6">
        <v>69</v>
      </c>
      <c r="E13314" s="6">
        <v>0</v>
      </c>
      <c r="F13314" s="6">
        <v>0</v>
      </c>
      <c r="G13314" s="6">
        <v>11</v>
      </c>
      <c r="H13314" s="6" t="s">
        <v>52266</v>
      </c>
      <c r="I13314" s="6">
        <v>526.6875</v>
      </c>
      <c r="J13314" s="2">
        <f t="shared" ref="J13314:J13377" si="208">(H13314/86400000)+25569+(7/24)</f>
        <v>43749.468411944443</v>
      </c>
    </row>
    <row r="13315" spans="1:10" x14ac:dyDescent="0.25">
      <c r="A13315" s="7" t="s">
        <v>52267</v>
      </c>
      <c r="B13315" s="8">
        <v>393.75</v>
      </c>
      <c r="C13315" s="8">
        <v>20.478950000000001</v>
      </c>
      <c r="D13315" s="8">
        <v>68</v>
      </c>
      <c r="E13315" s="8">
        <v>0</v>
      </c>
      <c r="F13315" s="8">
        <v>0</v>
      </c>
      <c r="G13315" s="8">
        <v>0</v>
      </c>
      <c r="H13315" s="8" t="s">
        <v>52268</v>
      </c>
      <c r="I13315" s="8">
        <v>526.5</v>
      </c>
      <c r="J13315" s="3">
        <f t="shared" si="208"/>
        <v>43749.468495393514</v>
      </c>
    </row>
    <row r="13316" spans="1:10" x14ac:dyDescent="0.25">
      <c r="A13316" s="5" t="s">
        <v>52269</v>
      </c>
      <c r="B13316" s="6">
        <v>393.75</v>
      </c>
      <c r="C13316" s="6">
        <v>20.478950000000001</v>
      </c>
      <c r="D13316" s="6">
        <v>69</v>
      </c>
      <c r="E13316" s="6">
        <v>0</v>
      </c>
      <c r="F13316" s="6">
        <v>0</v>
      </c>
      <c r="G13316" s="6">
        <v>3</v>
      </c>
      <c r="H13316" s="6" t="s">
        <v>52270</v>
      </c>
      <c r="I13316" s="6">
        <v>526.6875</v>
      </c>
      <c r="J13316" s="2">
        <f t="shared" si="208"/>
        <v>43749.468578599532</v>
      </c>
    </row>
    <row r="13317" spans="1:10" x14ac:dyDescent="0.25">
      <c r="A13317" s="7" t="s">
        <v>52271</v>
      </c>
      <c r="B13317" s="8">
        <v>393.75</v>
      </c>
      <c r="C13317" s="8">
        <v>20.478950000000001</v>
      </c>
      <c r="D13317" s="8">
        <v>69</v>
      </c>
      <c r="E13317" s="8">
        <v>0</v>
      </c>
      <c r="F13317" s="8">
        <v>0</v>
      </c>
      <c r="G13317" s="8">
        <v>12</v>
      </c>
      <c r="H13317" s="8" t="s">
        <v>52272</v>
      </c>
      <c r="I13317" s="8">
        <v>526.6875</v>
      </c>
      <c r="J13317" s="3">
        <f t="shared" si="208"/>
        <v>43749.468650370363</v>
      </c>
    </row>
    <row r="13318" spans="1:10" x14ac:dyDescent="0.25">
      <c r="A13318" s="5" t="s">
        <v>52273</v>
      </c>
      <c r="B13318" s="6">
        <v>393.75</v>
      </c>
      <c r="C13318" s="6">
        <v>20.478950000000001</v>
      </c>
      <c r="D13318" s="6">
        <v>69</v>
      </c>
      <c r="E13318" s="6">
        <v>0</v>
      </c>
      <c r="F13318" s="6">
        <v>0</v>
      </c>
      <c r="G13318" s="6">
        <v>4</v>
      </c>
      <c r="H13318" s="6" t="s">
        <v>52274</v>
      </c>
      <c r="I13318" s="6">
        <v>526.6875</v>
      </c>
      <c r="J13318" s="2">
        <f t="shared" si="208"/>
        <v>43749.468721770834</v>
      </c>
    </row>
    <row r="13319" spans="1:10" x14ac:dyDescent="0.25">
      <c r="A13319" s="7" t="s">
        <v>52275</v>
      </c>
      <c r="B13319" s="8">
        <v>393.75</v>
      </c>
      <c r="C13319" s="8">
        <v>20.478950000000001</v>
      </c>
      <c r="D13319" s="8">
        <v>67</v>
      </c>
      <c r="E13319" s="8">
        <v>0</v>
      </c>
      <c r="F13319" s="8">
        <v>0</v>
      </c>
      <c r="G13319" s="8">
        <v>1</v>
      </c>
      <c r="H13319" s="8" t="s">
        <v>52276</v>
      </c>
      <c r="I13319" s="8">
        <v>526.6875</v>
      </c>
      <c r="J13319" s="3">
        <f t="shared" si="208"/>
        <v>43749.468805439814</v>
      </c>
    </row>
    <row r="13320" spans="1:10" x14ac:dyDescent="0.25">
      <c r="A13320" s="5" t="s">
        <v>52277</v>
      </c>
      <c r="B13320" s="6">
        <v>412.5</v>
      </c>
      <c r="C13320" s="6">
        <v>20.478950000000001</v>
      </c>
      <c r="D13320" s="6">
        <v>72</v>
      </c>
      <c r="E13320" s="6">
        <v>0</v>
      </c>
      <c r="F13320" s="6">
        <v>0</v>
      </c>
      <c r="G13320" s="6">
        <v>0</v>
      </c>
      <c r="H13320" s="6" t="s">
        <v>52278</v>
      </c>
      <c r="I13320" s="6">
        <v>532.3125</v>
      </c>
      <c r="J13320" s="2">
        <f t="shared" si="208"/>
        <v>43749.468876979161</v>
      </c>
    </row>
    <row r="13321" spans="1:10" x14ac:dyDescent="0.25">
      <c r="A13321" s="7" t="s">
        <v>52279</v>
      </c>
      <c r="B13321" s="8">
        <v>393.75</v>
      </c>
      <c r="C13321" s="8">
        <v>20.478950000000001</v>
      </c>
      <c r="D13321" s="8">
        <v>72</v>
      </c>
      <c r="E13321" s="8">
        <v>0</v>
      </c>
      <c r="F13321" s="8">
        <v>0</v>
      </c>
      <c r="G13321" s="8">
        <v>4</v>
      </c>
      <c r="H13321" s="8" t="s">
        <v>52280</v>
      </c>
      <c r="I13321" s="8">
        <v>526.6875</v>
      </c>
      <c r="J13321" s="3">
        <f t="shared" si="208"/>
        <v>43749.468960196762</v>
      </c>
    </row>
    <row r="13322" spans="1:10" x14ac:dyDescent="0.25">
      <c r="A13322" s="5" t="s">
        <v>52281</v>
      </c>
      <c r="B13322" s="6">
        <v>393.75</v>
      </c>
      <c r="C13322" s="6">
        <v>20.478950000000001</v>
      </c>
      <c r="D13322" s="6">
        <v>72</v>
      </c>
      <c r="E13322" s="6">
        <v>0</v>
      </c>
      <c r="F13322" s="6">
        <v>0</v>
      </c>
      <c r="G13322" s="6">
        <v>10</v>
      </c>
      <c r="H13322" s="6" t="s">
        <v>52282</v>
      </c>
      <c r="I13322" s="6">
        <v>526.6875</v>
      </c>
      <c r="J13322" s="2">
        <f t="shared" si="208"/>
        <v>43749.469031828703</v>
      </c>
    </row>
    <row r="13323" spans="1:10" x14ac:dyDescent="0.25">
      <c r="A13323" s="7" t="s">
        <v>52283</v>
      </c>
      <c r="B13323" s="8">
        <v>412.5</v>
      </c>
      <c r="C13323" s="8">
        <v>20.478950000000001</v>
      </c>
      <c r="D13323" s="8">
        <v>72</v>
      </c>
      <c r="E13323" s="8">
        <v>0</v>
      </c>
      <c r="F13323" s="8">
        <v>0</v>
      </c>
      <c r="G13323" s="8">
        <v>0</v>
      </c>
      <c r="H13323" s="8" t="s">
        <v>52284</v>
      </c>
      <c r="I13323" s="8">
        <v>532.875</v>
      </c>
      <c r="J13323" s="3">
        <f t="shared" si="208"/>
        <v>43749.469115636573</v>
      </c>
    </row>
    <row r="13324" spans="1:10" x14ac:dyDescent="0.25">
      <c r="A13324" s="5" t="s">
        <v>52285</v>
      </c>
      <c r="B13324" s="6">
        <v>393.75</v>
      </c>
      <c r="C13324" s="6">
        <v>20.478950000000001</v>
      </c>
      <c r="D13324" s="6">
        <v>68</v>
      </c>
      <c r="E13324" s="6">
        <v>0</v>
      </c>
      <c r="F13324" s="6">
        <v>0</v>
      </c>
      <c r="G13324" s="6">
        <v>5</v>
      </c>
      <c r="H13324" s="6" t="s">
        <v>52286</v>
      </c>
      <c r="I13324" s="6">
        <v>526.6875</v>
      </c>
      <c r="J13324" s="2">
        <f t="shared" si="208"/>
        <v>43749.469199085645</v>
      </c>
    </row>
    <row r="13325" spans="1:10" x14ac:dyDescent="0.25">
      <c r="A13325" s="7" t="s">
        <v>52287</v>
      </c>
      <c r="B13325" s="8">
        <v>393.75</v>
      </c>
      <c r="C13325" s="8">
        <v>20.478950000000001</v>
      </c>
      <c r="D13325" s="8">
        <v>67</v>
      </c>
      <c r="E13325" s="8">
        <v>0</v>
      </c>
      <c r="F13325" s="8">
        <v>0</v>
      </c>
      <c r="G13325" s="8">
        <v>14</v>
      </c>
      <c r="H13325" s="8" t="s">
        <v>52288</v>
      </c>
      <c r="I13325" s="8">
        <v>526.6875</v>
      </c>
      <c r="J13325" s="3">
        <f t="shared" si="208"/>
        <v>43749.469282314814</v>
      </c>
    </row>
    <row r="13326" spans="1:10" x14ac:dyDescent="0.25">
      <c r="A13326" s="5" t="s">
        <v>52289</v>
      </c>
      <c r="B13326" s="6">
        <v>393.75</v>
      </c>
      <c r="C13326" s="6">
        <v>20.478950000000001</v>
      </c>
      <c r="D13326" s="6">
        <v>67</v>
      </c>
      <c r="E13326" s="6">
        <v>0</v>
      </c>
      <c r="F13326" s="6">
        <v>0</v>
      </c>
      <c r="G13326" s="6">
        <v>14</v>
      </c>
      <c r="H13326" s="6" t="s">
        <v>52290</v>
      </c>
      <c r="I13326" s="6">
        <v>526.6875</v>
      </c>
      <c r="J13326" s="2">
        <f t="shared" si="208"/>
        <v>43749.46935407407</v>
      </c>
    </row>
    <row r="13327" spans="1:10" x14ac:dyDescent="0.25">
      <c r="A13327" s="7" t="s">
        <v>52291</v>
      </c>
      <c r="B13327" s="8">
        <v>393.75</v>
      </c>
      <c r="C13327" s="8">
        <v>20.478950000000001</v>
      </c>
      <c r="D13327" s="8">
        <v>70</v>
      </c>
      <c r="E13327" s="8">
        <v>0</v>
      </c>
      <c r="F13327" s="8">
        <v>0</v>
      </c>
      <c r="G13327" s="8">
        <v>11</v>
      </c>
      <c r="H13327" s="8" t="s">
        <v>52292</v>
      </c>
      <c r="I13327" s="8">
        <v>526.6875</v>
      </c>
      <c r="J13327" s="3">
        <f t="shared" si="208"/>
        <v>43749.469437731481</v>
      </c>
    </row>
    <row r="13328" spans="1:10" x14ac:dyDescent="0.25">
      <c r="A13328" s="5" t="s">
        <v>52293</v>
      </c>
      <c r="B13328" s="6">
        <v>393.75</v>
      </c>
      <c r="C13328" s="6">
        <v>20.478950000000001</v>
      </c>
      <c r="D13328" s="6">
        <v>69</v>
      </c>
      <c r="E13328" s="6">
        <v>0</v>
      </c>
      <c r="F13328" s="6">
        <v>0</v>
      </c>
      <c r="G13328" s="6">
        <v>4</v>
      </c>
      <c r="H13328" s="6" t="s">
        <v>52294</v>
      </c>
      <c r="I13328" s="6">
        <v>526.6875</v>
      </c>
      <c r="J13328" s="2">
        <f t="shared" si="208"/>
        <v>43749.469521087965</v>
      </c>
    </row>
    <row r="13329" spans="1:10" x14ac:dyDescent="0.25">
      <c r="A13329" s="7" t="s">
        <v>52295</v>
      </c>
      <c r="B13329" s="8">
        <v>393.75</v>
      </c>
      <c r="C13329" s="8">
        <v>20.478950000000001</v>
      </c>
      <c r="D13329" s="8">
        <v>72</v>
      </c>
      <c r="E13329" s="8">
        <v>0</v>
      </c>
      <c r="F13329" s="8">
        <v>0</v>
      </c>
      <c r="G13329" s="8">
        <v>8</v>
      </c>
      <c r="H13329" s="8" t="s">
        <v>52296</v>
      </c>
      <c r="I13329" s="8">
        <v>526.6875</v>
      </c>
      <c r="J13329" s="3">
        <f t="shared" si="208"/>
        <v>43749.469604641206</v>
      </c>
    </row>
    <row r="13330" spans="1:10" x14ac:dyDescent="0.25">
      <c r="A13330" s="5" t="s">
        <v>52297</v>
      </c>
      <c r="B13330" s="6">
        <v>393.75</v>
      </c>
      <c r="C13330" s="6">
        <v>20.478950000000001</v>
      </c>
      <c r="D13330" s="6">
        <v>71</v>
      </c>
      <c r="E13330" s="6">
        <v>0</v>
      </c>
      <c r="F13330" s="6">
        <v>0</v>
      </c>
      <c r="G13330" s="6">
        <v>8</v>
      </c>
      <c r="H13330" s="6" t="s">
        <v>52298</v>
      </c>
      <c r="I13330" s="6">
        <v>526.6875</v>
      </c>
      <c r="J13330" s="2">
        <f t="shared" si="208"/>
        <v>43749.469688113422</v>
      </c>
    </row>
    <row r="13331" spans="1:10" x14ac:dyDescent="0.25">
      <c r="A13331" s="7" t="s">
        <v>52299</v>
      </c>
      <c r="B13331" s="8">
        <v>393.75</v>
      </c>
      <c r="C13331" s="8">
        <v>20.478950000000001</v>
      </c>
      <c r="D13331" s="8">
        <v>71</v>
      </c>
      <c r="E13331" s="8">
        <v>0</v>
      </c>
      <c r="F13331" s="8">
        <v>0</v>
      </c>
      <c r="G13331" s="8">
        <v>6</v>
      </c>
      <c r="H13331" s="8" t="s">
        <v>52300</v>
      </c>
      <c r="I13331" s="8">
        <v>526.6875</v>
      </c>
      <c r="J13331" s="3">
        <f t="shared" si="208"/>
        <v>43749.469771215277</v>
      </c>
    </row>
    <row r="13332" spans="1:10" x14ac:dyDescent="0.25">
      <c r="A13332" s="5" t="s">
        <v>52301</v>
      </c>
      <c r="B13332" s="6">
        <v>393.75</v>
      </c>
      <c r="C13332" s="6">
        <v>20.478950000000001</v>
      </c>
      <c r="D13332" s="6">
        <v>71</v>
      </c>
      <c r="E13332" s="6">
        <v>0</v>
      </c>
      <c r="F13332" s="6">
        <v>0</v>
      </c>
      <c r="G13332" s="6">
        <v>3</v>
      </c>
      <c r="H13332" s="6" t="s">
        <v>52302</v>
      </c>
      <c r="I13332" s="6">
        <v>526.6875</v>
      </c>
      <c r="J13332" s="2">
        <f t="shared" si="208"/>
        <v>43749.469843067127</v>
      </c>
    </row>
    <row r="13333" spans="1:10" x14ac:dyDescent="0.25">
      <c r="A13333" s="7" t="s">
        <v>52303</v>
      </c>
      <c r="B13333" s="8">
        <v>393.75</v>
      </c>
      <c r="C13333" s="8">
        <v>20.478950000000001</v>
      </c>
      <c r="D13333" s="8">
        <v>70</v>
      </c>
      <c r="E13333" s="8">
        <v>0</v>
      </c>
      <c r="F13333" s="8">
        <v>0</v>
      </c>
      <c r="G13333" s="8">
        <v>6</v>
      </c>
      <c r="H13333" s="8" t="s">
        <v>52304</v>
      </c>
      <c r="I13333" s="8">
        <v>526.6875</v>
      </c>
      <c r="J13333" s="3">
        <f t="shared" si="208"/>
        <v>43749.469941192125</v>
      </c>
    </row>
    <row r="13334" spans="1:10" x14ac:dyDescent="0.25">
      <c r="A13334" s="5" t="s">
        <v>52305</v>
      </c>
      <c r="B13334" s="6">
        <v>393.75</v>
      </c>
      <c r="C13334" s="6">
        <v>20.478950000000001</v>
      </c>
      <c r="D13334" s="6">
        <v>70</v>
      </c>
      <c r="E13334" s="6">
        <v>0</v>
      </c>
      <c r="F13334" s="6">
        <v>0</v>
      </c>
      <c r="G13334" s="6">
        <v>1</v>
      </c>
      <c r="H13334" s="6" t="s">
        <v>52306</v>
      </c>
      <c r="I13334" s="6">
        <v>526.6875</v>
      </c>
      <c r="J13334" s="2">
        <f t="shared" si="208"/>
        <v>43749.470022002315</v>
      </c>
    </row>
    <row r="13335" spans="1:10" x14ac:dyDescent="0.25">
      <c r="A13335" s="7" t="s">
        <v>52307</v>
      </c>
      <c r="B13335" s="8">
        <v>412.5</v>
      </c>
      <c r="C13335" s="8">
        <v>20.478950000000001</v>
      </c>
      <c r="D13335" s="8">
        <v>71</v>
      </c>
      <c r="E13335" s="8">
        <v>0</v>
      </c>
      <c r="F13335" s="8">
        <v>0</v>
      </c>
      <c r="G13335" s="8">
        <v>5</v>
      </c>
      <c r="H13335" s="8" t="s">
        <v>52308</v>
      </c>
      <c r="I13335" s="8">
        <v>532.6875</v>
      </c>
      <c r="J13335" s="3">
        <f t="shared" si="208"/>
        <v>43749.470105682871</v>
      </c>
    </row>
    <row r="13336" spans="1:10" x14ac:dyDescent="0.25">
      <c r="A13336" s="5" t="s">
        <v>52309</v>
      </c>
      <c r="B13336" s="6">
        <v>393.75</v>
      </c>
      <c r="C13336" s="6">
        <v>20.478950000000001</v>
      </c>
      <c r="D13336" s="6">
        <v>71</v>
      </c>
      <c r="E13336" s="6">
        <v>0</v>
      </c>
      <c r="F13336" s="6">
        <v>0</v>
      </c>
      <c r="G13336" s="6">
        <v>15</v>
      </c>
      <c r="H13336" s="6" t="s">
        <v>52310</v>
      </c>
      <c r="I13336" s="6">
        <v>526.6875</v>
      </c>
      <c r="J13336" s="2">
        <f t="shared" si="208"/>
        <v>43749.470188923609</v>
      </c>
    </row>
    <row r="13337" spans="1:10" x14ac:dyDescent="0.25">
      <c r="A13337" s="7" t="s">
        <v>52311</v>
      </c>
      <c r="B13337" s="8">
        <v>393.75</v>
      </c>
      <c r="C13337" s="8">
        <v>20.478950000000001</v>
      </c>
      <c r="D13337" s="8">
        <v>71</v>
      </c>
      <c r="E13337" s="8">
        <v>0</v>
      </c>
      <c r="F13337" s="8">
        <v>0</v>
      </c>
      <c r="G13337" s="8">
        <v>12</v>
      </c>
      <c r="H13337" s="8" t="s">
        <v>52312</v>
      </c>
      <c r="I13337" s="8">
        <v>526.6875</v>
      </c>
      <c r="J13337" s="3">
        <f t="shared" si="208"/>
        <v>43749.470272488419</v>
      </c>
    </row>
    <row r="13338" spans="1:10" x14ac:dyDescent="0.25">
      <c r="A13338" s="5" t="s">
        <v>52313</v>
      </c>
      <c r="B13338" s="6">
        <v>393.75</v>
      </c>
      <c r="C13338" s="6">
        <v>20.478950000000001</v>
      </c>
      <c r="D13338" s="6">
        <v>73</v>
      </c>
      <c r="E13338" s="6">
        <v>0</v>
      </c>
      <c r="F13338" s="6">
        <v>0</v>
      </c>
      <c r="G13338" s="6">
        <v>10</v>
      </c>
      <c r="H13338" s="6" t="s">
        <v>52314</v>
      </c>
      <c r="I13338" s="6">
        <v>526.6875</v>
      </c>
      <c r="J13338" s="2">
        <f t="shared" si="208"/>
        <v>43749.470355925929</v>
      </c>
    </row>
    <row r="13339" spans="1:10" x14ac:dyDescent="0.25">
      <c r="A13339" s="7" t="s">
        <v>52315</v>
      </c>
      <c r="B13339" s="8">
        <v>393.75</v>
      </c>
      <c r="C13339" s="8">
        <v>20.478950000000001</v>
      </c>
      <c r="D13339" s="8">
        <v>73</v>
      </c>
      <c r="E13339" s="8">
        <v>0</v>
      </c>
      <c r="F13339" s="8">
        <v>0</v>
      </c>
      <c r="G13339" s="8">
        <v>6</v>
      </c>
      <c r="H13339" s="8" t="s">
        <v>52316</v>
      </c>
      <c r="I13339" s="8">
        <v>526.5</v>
      </c>
      <c r="J13339" s="3">
        <f t="shared" si="208"/>
        <v>43749.470439374993</v>
      </c>
    </row>
    <row r="13340" spans="1:10" x14ac:dyDescent="0.25">
      <c r="A13340" s="5" t="s">
        <v>52317</v>
      </c>
      <c r="B13340" s="6">
        <v>393.75</v>
      </c>
      <c r="C13340" s="6">
        <v>20.531590000000001</v>
      </c>
      <c r="D13340" s="6">
        <v>73</v>
      </c>
      <c r="E13340" s="6">
        <v>0</v>
      </c>
      <c r="F13340" s="6">
        <v>0</v>
      </c>
      <c r="G13340" s="6">
        <v>5</v>
      </c>
      <c r="H13340" s="6" t="s">
        <v>52318</v>
      </c>
      <c r="I13340" s="6">
        <v>526.6875</v>
      </c>
      <c r="J13340" s="2">
        <f t="shared" si="208"/>
        <v>43749.470523159718</v>
      </c>
    </row>
    <row r="13341" spans="1:10" x14ac:dyDescent="0.25">
      <c r="A13341" s="7" t="s">
        <v>52319</v>
      </c>
      <c r="B13341" s="8">
        <v>393.75</v>
      </c>
      <c r="C13341" s="8">
        <v>20.478950000000001</v>
      </c>
      <c r="D13341" s="8">
        <v>72</v>
      </c>
      <c r="E13341" s="8">
        <v>0</v>
      </c>
      <c r="F13341" s="8">
        <v>0</v>
      </c>
      <c r="G13341" s="8">
        <v>5</v>
      </c>
      <c r="H13341" s="8" t="s">
        <v>52320</v>
      </c>
      <c r="I13341" s="8">
        <v>526.6875</v>
      </c>
      <c r="J13341" s="3">
        <f t="shared" si="208"/>
        <v>43749.470606388888</v>
      </c>
    </row>
    <row r="13342" spans="1:10" x14ac:dyDescent="0.25">
      <c r="A13342" s="5" t="s">
        <v>52321</v>
      </c>
      <c r="B13342" s="6">
        <v>412.5</v>
      </c>
      <c r="C13342" s="6">
        <v>20.478950000000001</v>
      </c>
      <c r="D13342" s="6">
        <v>72</v>
      </c>
      <c r="E13342" s="6">
        <v>0</v>
      </c>
      <c r="F13342" s="6">
        <v>0</v>
      </c>
      <c r="G13342" s="6">
        <v>8</v>
      </c>
      <c r="H13342" s="6" t="s">
        <v>52322</v>
      </c>
      <c r="I13342" s="6">
        <v>532.3125</v>
      </c>
      <c r="J13342" s="2">
        <f t="shared" si="208"/>
        <v>43749.470689733796</v>
      </c>
    </row>
    <row r="13343" spans="1:10" x14ac:dyDescent="0.25">
      <c r="A13343" s="7" t="s">
        <v>52323</v>
      </c>
      <c r="B13343" s="8">
        <v>393.75</v>
      </c>
      <c r="C13343" s="8">
        <v>20.478950000000001</v>
      </c>
      <c r="D13343" s="8">
        <v>72</v>
      </c>
      <c r="E13343" s="8">
        <v>0</v>
      </c>
      <c r="F13343" s="8">
        <v>0</v>
      </c>
      <c r="G13343" s="8">
        <v>10</v>
      </c>
      <c r="H13343" s="8" t="s">
        <v>52324</v>
      </c>
      <c r="I13343" s="8">
        <v>526.6875</v>
      </c>
      <c r="J13343" s="3">
        <f t="shared" si="208"/>
        <v>43749.470761377313</v>
      </c>
    </row>
    <row r="13344" spans="1:10" x14ac:dyDescent="0.25">
      <c r="A13344" s="5" t="s">
        <v>52325</v>
      </c>
      <c r="B13344" s="6">
        <v>393.75</v>
      </c>
      <c r="C13344" s="6">
        <v>20.478950000000001</v>
      </c>
      <c r="D13344" s="6">
        <v>72</v>
      </c>
      <c r="E13344" s="6">
        <v>0</v>
      </c>
      <c r="F13344" s="6">
        <v>0</v>
      </c>
      <c r="G13344" s="6">
        <v>5</v>
      </c>
      <c r="H13344" s="6" t="s">
        <v>52326</v>
      </c>
      <c r="I13344" s="6">
        <v>526.6875</v>
      </c>
      <c r="J13344" s="2">
        <f t="shared" si="208"/>
        <v>43749.470832997678</v>
      </c>
    </row>
    <row r="13345" spans="1:10" x14ac:dyDescent="0.25">
      <c r="A13345" s="7" t="s">
        <v>52327</v>
      </c>
      <c r="B13345" s="8">
        <v>393.75</v>
      </c>
      <c r="C13345" s="8">
        <v>20.478950000000001</v>
      </c>
      <c r="D13345" s="8">
        <v>69</v>
      </c>
      <c r="E13345" s="8">
        <v>0</v>
      </c>
      <c r="F13345" s="8">
        <v>0</v>
      </c>
      <c r="G13345" s="8">
        <v>5</v>
      </c>
      <c r="H13345" s="8" t="s">
        <v>52328</v>
      </c>
      <c r="I13345" s="8">
        <v>526.6875</v>
      </c>
      <c r="J13345" s="3">
        <f t="shared" si="208"/>
        <v>43749.470916481478</v>
      </c>
    </row>
    <row r="13346" spans="1:10" x14ac:dyDescent="0.25">
      <c r="A13346" s="5" t="s">
        <v>52329</v>
      </c>
      <c r="B13346" s="6">
        <v>393.75</v>
      </c>
      <c r="C13346" s="6">
        <v>20.478950000000001</v>
      </c>
      <c r="D13346" s="6">
        <v>70</v>
      </c>
      <c r="E13346" s="6">
        <v>0</v>
      </c>
      <c r="F13346" s="6">
        <v>0</v>
      </c>
      <c r="G13346" s="6">
        <v>0</v>
      </c>
      <c r="H13346" s="6" t="s">
        <v>52330</v>
      </c>
      <c r="I13346" s="6">
        <v>526.6875</v>
      </c>
      <c r="J13346" s="2">
        <f t="shared" si="208"/>
        <v>43749.470988090274</v>
      </c>
    </row>
    <row r="13347" spans="1:10" x14ac:dyDescent="0.25">
      <c r="A13347" s="7" t="s">
        <v>52331</v>
      </c>
      <c r="B13347" s="8">
        <v>393.75</v>
      </c>
      <c r="C13347" s="8">
        <v>20.478950000000001</v>
      </c>
      <c r="D13347" s="8">
        <v>69</v>
      </c>
      <c r="E13347" s="8">
        <v>0</v>
      </c>
      <c r="F13347" s="8">
        <v>0</v>
      </c>
      <c r="G13347" s="8">
        <v>2</v>
      </c>
      <c r="H13347" s="8" t="s">
        <v>52332</v>
      </c>
      <c r="I13347" s="8">
        <v>526.6875</v>
      </c>
      <c r="J13347" s="3">
        <f t="shared" si="208"/>
        <v>43749.471071342588</v>
      </c>
    </row>
    <row r="13348" spans="1:10" x14ac:dyDescent="0.25">
      <c r="A13348" s="5" t="s">
        <v>52333</v>
      </c>
      <c r="B13348" s="6">
        <v>415.625</v>
      </c>
      <c r="C13348" s="6">
        <v>20.478950000000001</v>
      </c>
      <c r="D13348" s="6">
        <v>71</v>
      </c>
      <c r="E13348" s="6">
        <v>0</v>
      </c>
      <c r="F13348" s="6">
        <v>0</v>
      </c>
      <c r="G13348" s="6">
        <v>6</v>
      </c>
      <c r="H13348" s="6" t="s">
        <v>52334</v>
      </c>
      <c r="I13348" s="6">
        <v>533.0625</v>
      </c>
      <c r="J13348" s="2">
        <f t="shared" si="208"/>
        <v>43749.471143182869</v>
      </c>
    </row>
    <row r="13349" spans="1:10" x14ac:dyDescent="0.25">
      <c r="A13349" s="7" t="s">
        <v>52335</v>
      </c>
      <c r="B13349" s="8">
        <v>393.75</v>
      </c>
      <c r="C13349" s="8">
        <v>20.478950000000001</v>
      </c>
      <c r="D13349" s="8">
        <v>71</v>
      </c>
      <c r="E13349" s="8">
        <v>0</v>
      </c>
      <c r="F13349" s="8">
        <v>0</v>
      </c>
      <c r="G13349" s="8">
        <v>2</v>
      </c>
      <c r="H13349" s="8" t="s">
        <v>52336</v>
      </c>
      <c r="I13349" s="8">
        <v>526.6875</v>
      </c>
      <c r="J13349" s="3">
        <f t="shared" si="208"/>
        <v>43749.471226979163</v>
      </c>
    </row>
    <row r="13350" spans="1:10" x14ac:dyDescent="0.25">
      <c r="A13350" s="5" t="s">
        <v>52337</v>
      </c>
      <c r="B13350" s="6">
        <v>393.75</v>
      </c>
      <c r="C13350" s="6">
        <v>20.478950000000001</v>
      </c>
      <c r="D13350" s="6">
        <v>71</v>
      </c>
      <c r="E13350" s="6">
        <v>0</v>
      </c>
      <c r="F13350" s="6">
        <v>0</v>
      </c>
      <c r="G13350" s="6">
        <v>0</v>
      </c>
      <c r="H13350" s="6" t="s">
        <v>52338</v>
      </c>
      <c r="I13350" s="6">
        <v>526.6875</v>
      </c>
      <c r="J13350" s="2">
        <f t="shared" si="208"/>
        <v>43749.471310092595</v>
      </c>
    </row>
    <row r="13351" spans="1:10" x14ac:dyDescent="0.25">
      <c r="A13351" s="7" t="s">
        <v>52339</v>
      </c>
      <c r="B13351" s="8">
        <v>393.75</v>
      </c>
      <c r="C13351" s="8">
        <v>20.478950000000001</v>
      </c>
      <c r="D13351" s="8">
        <v>72</v>
      </c>
      <c r="E13351" s="8">
        <v>0</v>
      </c>
      <c r="F13351" s="8">
        <v>0</v>
      </c>
      <c r="G13351" s="8">
        <v>4</v>
      </c>
      <c r="H13351" s="8" t="s">
        <v>52340</v>
      </c>
      <c r="I13351" s="8">
        <v>526.6875</v>
      </c>
      <c r="J13351" s="3">
        <f t="shared" si="208"/>
        <v>43749.471393460648</v>
      </c>
    </row>
    <row r="13352" spans="1:10" x14ac:dyDescent="0.25">
      <c r="A13352" s="5" t="s">
        <v>52341</v>
      </c>
      <c r="B13352" s="6">
        <v>393.75</v>
      </c>
      <c r="C13352" s="6">
        <v>20.478950000000001</v>
      </c>
      <c r="D13352" s="6">
        <v>71</v>
      </c>
      <c r="E13352" s="6">
        <v>0</v>
      </c>
      <c r="F13352" s="6">
        <v>0</v>
      </c>
      <c r="G13352" s="6">
        <v>6</v>
      </c>
      <c r="H13352" s="6" t="s">
        <v>52342</v>
      </c>
      <c r="I13352" s="6">
        <v>526.6875</v>
      </c>
      <c r="J13352" s="2">
        <f t="shared" si="208"/>
        <v>43749.471489027776</v>
      </c>
    </row>
    <row r="13353" spans="1:10" x14ac:dyDescent="0.25">
      <c r="A13353" s="7" t="s">
        <v>52343</v>
      </c>
      <c r="B13353" s="8">
        <v>393.75</v>
      </c>
      <c r="C13353" s="8">
        <v>20.478950000000001</v>
      </c>
      <c r="D13353" s="8">
        <v>71</v>
      </c>
      <c r="E13353" s="8">
        <v>0</v>
      </c>
      <c r="F13353" s="8">
        <v>0</v>
      </c>
      <c r="G13353" s="8">
        <v>6</v>
      </c>
      <c r="H13353" s="8" t="s">
        <v>52344</v>
      </c>
      <c r="I13353" s="8">
        <v>526.6875</v>
      </c>
      <c r="J13353" s="3">
        <f t="shared" si="208"/>
        <v>43749.471560196755</v>
      </c>
    </row>
    <row r="13354" spans="1:10" x14ac:dyDescent="0.25">
      <c r="A13354" s="5" t="s">
        <v>52345</v>
      </c>
      <c r="B13354" s="6">
        <v>393.75</v>
      </c>
      <c r="C13354" s="6">
        <v>20.478950000000001</v>
      </c>
      <c r="D13354" s="6">
        <v>71</v>
      </c>
      <c r="E13354" s="6">
        <v>0</v>
      </c>
      <c r="F13354" s="6">
        <v>0</v>
      </c>
      <c r="G13354" s="6">
        <v>4</v>
      </c>
      <c r="H13354" s="6" t="s">
        <v>52346</v>
      </c>
      <c r="I13354" s="6">
        <v>526.5</v>
      </c>
      <c r="J13354" s="2">
        <f t="shared" si="208"/>
        <v>43749.471631863424</v>
      </c>
    </row>
    <row r="13355" spans="1:10" x14ac:dyDescent="0.25">
      <c r="A13355" s="7" t="s">
        <v>52347</v>
      </c>
      <c r="B13355" s="8">
        <v>393.75</v>
      </c>
      <c r="C13355" s="8">
        <v>20.478950000000001</v>
      </c>
      <c r="D13355" s="8">
        <v>71</v>
      </c>
      <c r="E13355" s="8">
        <v>0</v>
      </c>
      <c r="F13355" s="8">
        <v>0</v>
      </c>
      <c r="G13355" s="8">
        <v>3</v>
      </c>
      <c r="H13355" s="8" t="s">
        <v>52348</v>
      </c>
      <c r="I13355" s="8">
        <v>526.6875</v>
      </c>
      <c r="J13355" s="3">
        <f t="shared" si="208"/>
        <v>43749.471715752312</v>
      </c>
    </row>
    <row r="13356" spans="1:10" x14ac:dyDescent="0.25">
      <c r="A13356" s="5" t="s">
        <v>52349</v>
      </c>
      <c r="B13356" s="6">
        <v>393.75</v>
      </c>
      <c r="C13356" s="6">
        <v>20.531590000000001</v>
      </c>
      <c r="D13356" s="6">
        <v>73</v>
      </c>
      <c r="E13356" s="6">
        <v>0</v>
      </c>
      <c r="F13356" s="6">
        <v>0</v>
      </c>
      <c r="G13356" s="6">
        <v>7</v>
      </c>
      <c r="H13356" s="6" t="s">
        <v>52350</v>
      </c>
      <c r="I13356" s="6">
        <v>526.6875</v>
      </c>
      <c r="J13356" s="2">
        <f t="shared" si="208"/>
        <v>43749.471799224535</v>
      </c>
    </row>
    <row r="13357" spans="1:10" x14ac:dyDescent="0.25">
      <c r="A13357" s="7" t="s">
        <v>52351</v>
      </c>
      <c r="B13357" s="8">
        <v>393.75</v>
      </c>
      <c r="C13357" s="8">
        <v>20.478950000000001</v>
      </c>
      <c r="D13357" s="8">
        <v>74</v>
      </c>
      <c r="E13357" s="8">
        <v>0</v>
      </c>
      <c r="F13357" s="8">
        <v>0</v>
      </c>
      <c r="G13357" s="8">
        <v>8</v>
      </c>
      <c r="H13357" s="8" t="s">
        <v>52352</v>
      </c>
      <c r="I13357" s="8">
        <v>526.6875</v>
      </c>
      <c r="J13357" s="3">
        <f t="shared" si="208"/>
        <v>43749.47188232639</v>
      </c>
    </row>
    <row r="13358" spans="1:10" x14ac:dyDescent="0.25">
      <c r="A13358" s="5" t="s">
        <v>52353</v>
      </c>
      <c r="B13358" s="6">
        <v>437.5</v>
      </c>
      <c r="C13358" s="6">
        <v>20.478950000000001</v>
      </c>
      <c r="D13358" s="6">
        <v>73</v>
      </c>
      <c r="E13358" s="6">
        <v>0</v>
      </c>
      <c r="F13358" s="6">
        <v>0</v>
      </c>
      <c r="G13358" s="6">
        <v>0</v>
      </c>
      <c r="H13358" s="6" t="s">
        <v>52354</v>
      </c>
      <c r="I13358" s="6">
        <v>540</v>
      </c>
      <c r="J13358" s="2">
        <f t="shared" si="208"/>
        <v>43749.471966111108</v>
      </c>
    </row>
    <row r="13359" spans="1:10" x14ac:dyDescent="0.25">
      <c r="A13359" s="7" t="s">
        <v>52355</v>
      </c>
      <c r="B13359" s="8">
        <v>393.75</v>
      </c>
      <c r="C13359" s="8">
        <v>20.478950000000001</v>
      </c>
      <c r="D13359" s="8">
        <v>73</v>
      </c>
      <c r="E13359" s="8">
        <v>0</v>
      </c>
      <c r="F13359" s="8">
        <v>0</v>
      </c>
      <c r="G13359" s="8">
        <v>13</v>
      </c>
      <c r="H13359" s="8" t="s">
        <v>52356</v>
      </c>
      <c r="I13359" s="8">
        <v>526.6875</v>
      </c>
      <c r="J13359" s="3">
        <f t="shared" si="208"/>
        <v>43749.472049791664</v>
      </c>
    </row>
    <row r="13360" spans="1:10" x14ac:dyDescent="0.25">
      <c r="A13360" s="5" t="s">
        <v>52357</v>
      </c>
      <c r="B13360" s="6">
        <v>393.75</v>
      </c>
      <c r="C13360" s="6">
        <v>20.478950000000001</v>
      </c>
      <c r="D13360" s="6">
        <v>73</v>
      </c>
      <c r="E13360" s="6">
        <v>0</v>
      </c>
      <c r="F13360" s="6">
        <v>0</v>
      </c>
      <c r="G13360" s="6">
        <v>8</v>
      </c>
      <c r="H13360" s="6" t="s">
        <v>52358</v>
      </c>
      <c r="I13360" s="6">
        <v>526.6875</v>
      </c>
      <c r="J13360" s="2">
        <f t="shared" si="208"/>
        <v>43749.472121215273</v>
      </c>
    </row>
    <row r="13361" spans="1:10" x14ac:dyDescent="0.25">
      <c r="A13361" s="7" t="s">
        <v>52359</v>
      </c>
      <c r="B13361" s="8">
        <v>393.75</v>
      </c>
      <c r="C13361" s="8">
        <v>20.478950000000001</v>
      </c>
      <c r="D13361" s="8">
        <v>73</v>
      </c>
      <c r="E13361" s="8">
        <v>0</v>
      </c>
      <c r="F13361" s="8">
        <v>0</v>
      </c>
      <c r="G13361" s="8">
        <v>7</v>
      </c>
      <c r="H13361" s="8" t="s">
        <v>52360</v>
      </c>
      <c r="I13361" s="8">
        <v>526.6875</v>
      </c>
      <c r="J13361" s="3">
        <f t="shared" si="208"/>
        <v>43749.47220452546</v>
      </c>
    </row>
    <row r="13362" spans="1:10" x14ac:dyDescent="0.25">
      <c r="A13362" s="5" t="s">
        <v>52361</v>
      </c>
      <c r="B13362" s="6">
        <v>393.75</v>
      </c>
      <c r="C13362" s="6">
        <v>20.478950000000001</v>
      </c>
      <c r="D13362" s="6">
        <v>68</v>
      </c>
      <c r="E13362" s="6">
        <v>0</v>
      </c>
      <c r="F13362" s="6">
        <v>0</v>
      </c>
      <c r="G13362" s="6">
        <v>3</v>
      </c>
      <c r="H13362" s="6" t="s">
        <v>52362</v>
      </c>
      <c r="I13362" s="6">
        <v>526.5</v>
      </c>
      <c r="J13362" s="2">
        <f t="shared" si="208"/>
        <v>43749.472288229161</v>
      </c>
    </row>
    <row r="13363" spans="1:10" x14ac:dyDescent="0.25">
      <c r="A13363" s="7" t="s">
        <v>52363</v>
      </c>
      <c r="B13363" s="8">
        <v>393.75</v>
      </c>
      <c r="C13363" s="8">
        <v>20.478950000000001</v>
      </c>
      <c r="D13363" s="8">
        <v>68</v>
      </c>
      <c r="E13363" s="8">
        <v>0</v>
      </c>
      <c r="F13363" s="8">
        <v>0</v>
      </c>
      <c r="G13363" s="8">
        <v>1</v>
      </c>
      <c r="H13363" s="8" t="s">
        <v>52364</v>
      </c>
      <c r="I13363" s="8">
        <v>526.6875</v>
      </c>
      <c r="J13363" s="3">
        <f t="shared" si="208"/>
        <v>43749.472371331016</v>
      </c>
    </row>
    <row r="13364" spans="1:10" x14ac:dyDescent="0.25">
      <c r="A13364" s="5" t="s">
        <v>52365</v>
      </c>
      <c r="B13364" s="6">
        <v>393.75</v>
      </c>
      <c r="C13364" s="6">
        <v>20.478950000000001</v>
      </c>
      <c r="D13364" s="6">
        <v>70</v>
      </c>
      <c r="E13364" s="6">
        <v>0</v>
      </c>
      <c r="F13364" s="6">
        <v>0</v>
      </c>
      <c r="G13364" s="6">
        <v>1</v>
      </c>
      <c r="H13364" s="6" t="s">
        <v>52366</v>
      </c>
      <c r="I13364" s="6">
        <v>526.6875</v>
      </c>
      <c r="J13364" s="2">
        <f t="shared" si="208"/>
        <v>43749.47245523148</v>
      </c>
    </row>
    <row r="13365" spans="1:10" x14ac:dyDescent="0.25">
      <c r="A13365" s="7" t="s">
        <v>52367</v>
      </c>
      <c r="B13365" s="8">
        <v>393.75</v>
      </c>
      <c r="C13365" s="8">
        <v>20.478950000000001</v>
      </c>
      <c r="D13365" s="8">
        <v>70</v>
      </c>
      <c r="E13365" s="8">
        <v>0</v>
      </c>
      <c r="F13365" s="8">
        <v>0</v>
      </c>
      <c r="G13365" s="8">
        <v>0</v>
      </c>
      <c r="H13365" s="8" t="s">
        <v>52368</v>
      </c>
      <c r="I13365" s="8">
        <v>526.6875</v>
      </c>
      <c r="J13365" s="3">
        <f t="shared" si="208"/>
        <v>43749.472538692127</v>
      </c>
    </row>
    <row r="13366" spans="1:10" x14ac:dyDescent="0.25">
      <c r="A13366" s="5" t="s">
        <v>52369</v>
      </c>
      <c r="B13366" s="6">
        <v>393.75</v>
      </c>
      <c r="C13366" s="6">
        <v>20.478950000000001</v>
      </c>
      <c r="D13366" s="6">
        <v>71</v>
      </c>
      <c r="E13366" s="6">
        <v>0</v>
      </c>
      <c r="F13366" s="6">
        <v>0</v>
      </c>
      <c r="G13366" s="6">
        <v>0</v>
      </c>
      <c r="H13366" s="6" t="s">
        <v>52370</v>
      </c>
      <c r="I13366" s="6">
        <v>526.6875</v>
      </c>
      <c r="J13366" s="2">
        <f t="shared" si="208"/>
        <v>43749.472610219906</v>
      </c>
    </row>
    <row r="13367" spans="1:10" x14ac:dyDescent="0.25">
      <c r="A13367" s="7" t="s">
        <v>52371</v>
      </c>
      <c r="B13367" s="8">
        <v>393.75</v>
      </c>
      <c r="C13367" s="8">
        <v>20.478950000000001</v>
      </c>
      <c r="D13367" s="8">
        <v>74</v>
      </c>
      <c r="E13367" s="8">
        <v>0</v>
      </c>
      <c r="F13367" s="8">
        <v>0</v>
      </c>
      <c r="G13367" s="8">
        <v>6</v>
      </c>
      <c r="H13367" s="8" t="s">
        <v>52372</v>
      </c>
      <c r="I13367" s="8">
        <v>526.6875</v>
      </c>
      <c r="J13367" s="3">
        <f t="shared" si="208"/>
        <v>43749.47270554398</v>
      </c>
    </row>
    <row r="13368" spans="1:10" x14ac:dyDescent="0.25">
      <c r="A13368" s="5" t="s">
        <v>52373</v>
      </c>
      <c r="B13368" s="6">
        <v>412.5</v>
      </c>
      <c r="C13368" s="6">
        <v>20.478950000000001</v>
      </c>
      <c r="D13368" s="6">
        <v>74</v>
      </c>
      <c r="E13368" s="6">
        <v>0</v>
      </c>
      <c r="F13368" s="6">
        <v>0</v>
      </c>
      <c r="G13368" s="6">
        <v>0</v>
      </c>
      <c r="H13368" s="6" t="s">
        <v>52374</v>
      </c>
      <c r="I13368" s="6">
        <v>532.3125</v>
      </c>
      <c r="J13368" s="2">
        <f t="shared" si="208"/>
        <v>43749.472777280091</v>
      </c>
    </row>
    <row r="13369" spans="1:10" x14ac:dyDescent="0.25">
      <c r="A13369" s="7" t="s">
        <v>52375</v>
      </c>
      <c r="B13369" s="8">
        <v>393.75</v>
      </c>
      <c r="C13369" s="8">
        <v>20.478950000000001</v>
      </c>
      <c r="D13369" s="8">
        <v>74</v>
      </c>
      <c r="E13369" s="8">
        <v>0</v>
      </c>
      <c r="F13369" s="8">
        <v>0</v>
      </c>
      <c r="G13369" s="8">
        <v>6</v>
      </c>
      <c r="H13369" s="8" t="s">
        <v>52376</v>
      </c>
      <c r="I13369" s="8">
        <v>526.6875</v>
      </c>
      <c r="J13369" s="3">
        <f t="shared" si="208"/>
        <v>43749.472860405091</v>
      </c>
    </row>
    <row r="13370" spans="1:10" x14ac:dyDescent="0.25">
      <c r="A13370" s="5" t="s">
        <v>52377</v>
      </c>
      <c r="B13370" s="6">
        <v>393.75</v>
      </c>
      <c r="C13370" s="6">
        <v>20.478950000000001</v>
      </c>
      <c r="D13370" s="6">
        <v>74</v>
      </c>
      <c r="E13370" s="6">
        <v>0</v>
      </c>
      <c r="F13370" s="6">
        <v>0</v>
      </c>
      <c r="G13370" s="6">
        <v>1</v>
      </c>
      <c r="H13370" s="6" t="s">
        <v>52378</v>
      </c>
      <c r="I13370" s="6">
        <v>526.6875</v>
      </c>
      <c r="J13370" s="2">
        <f t="shared" si="208"/>
        <v>43749.472932268516</v>
      </c>
    </row>
    <row r="13371" spans="1:10" x14ac:dyDescent="0.25">
      <c r="A13371" s="7" t="s">
        <v>52379</v>
      </c>
      <c r="B13371" s="8">
        <v>412.5</v>
      </c>
      <c r="C13371" s="8">
        <v>20.478950000000001</v>
      </c>
      <c r="D13371" s="8">
        <v>73</v>
      </c>
      <c r="E13371" s="8">
        <v>0</v>
      </c>
      <c r="F13371" s="8">
        <v>0</v>
      </c>
      <c r="G13371" s="8">
        <v>5</v>
      </c>
      <c r="H13371" s="8" t="s">
        <v>52380</v>
      </c>
      <c r="I13371" s="8">
        <v>532.3125</v>
      </c>
      <c r="J13371" s="3">
        <f t="shared" si="208"/>
        <v>43749.473015613425</v>
      </c>
    </row>
    <row r="13372" spans="1:10" x14ac:dyDescent="0.25">
      <c r="A13372" s="5" t="s">
        <v>52381</v>
      </c>
      <c r="B13372" s="6">
        <v>393.75</v>
      </c>
      <c r="C13372" s="6">
        <v>20.478950000000001</v>
      </c>
      <c r="D13372" s="6">
        <v>73</v>
      </c>
      <c r="E13372" s="6">
        <v>0</v>
      </c>
      <c r="F13372" s="6">
        <v>0</v>
      </c>
      <c r="G13372" s="6">
        <v>0</v>
      </c>
      <c r="H13372" s="6" t="s">
        <v>52382</v>
      </c>
      <c r="I13372" s="6">
        <v>526.6875</v>
      </c>
      <c r="J13372" s="2">
        <f t="shared" si="208"/>
        <v>43749.473099201387</v>
      </c>
    </row>
    <row r="13373" spans="1:10" x14ac:dyDescent="0.25">
      <c r="A13373" s="7" t="s">
        <v>52383</v>
      </c>
      <c r="B13373" s="8">
        <v>393.75</v>
      </c>
      <c r="C13373" s="8">
        <v>20.478950000000001</v>
      </c>
      <c r="D13373" s="8">
        <v>73</v>
      </c>
      <c r="E13373" s="8">
        <v>0</v>
      </c>
      <c r="F13373" s="8">
        <v>0</v>
      </c>
      <c r="G13373" s="8">
        <v>3</v>
      </c>
      <c r="H13373" s="8" t="s">
        <v>52384</v>
      </c>
      <c r="I13373" s="8">
        <v>526.6875</v>
      </c>
      <c r="J13373" s="3">
        <f t="shared" si="208"/>
        <v>43749.473182384252</v>
      </c>
    </row>
    <row r="13374" spans="1:10" x14ac:dyDescent="0.25">
      <c r="A13374" s="5" t="s">
        <v>52385</v>
      </c>
      <c r="B13374" s="6">
        <v>393.75</v>
      </c>
      <c r="C13374" s="6">
        <v>20.478950000000001</v>
      </c>
      <c r="D13374" s="6">
        <v>73</v>
      </c>
      <c r="E13374" s="6">
        <v>0</v>
      </c>
      <c r="F13374" s="6">
        <v>0</v>
      </c>
      <c r="G13374" s="6">
        <v>12</v>
      </c>
      <c r="H13374" s="6" t="s">
        <v>52386</v>
      </c>
      <c r="I13374" s="6">
        <v>526.6875</v>
      </c>
      <c r="J13374" s="2">
        <f t="shared" si="208"/>
        <v>43749.473254027776</v>
      </c>
    </row>
    <row r="13375" spans="1:10" x14ac:dyDescent="0.25">
      <c r="A13375" s="7" t="s">
        <v>52387</v>
      </c>
      <c r="B13375" s="8">
        <v>393.75</v>
      </c>
      <c r="C13375" s="8">
        <v>20.478950000000001</v>
      </c>
      <c r="D13375" s="8">
        <v>74</v>
      </c>
      <c r="E13375" s="8">
        <v>0</v>
      </c>
      <c r="F13375" s="8">
        <v>0</v>
      </c>
      <c r="G13375" s="8">
        <v>9</v>
      </c>
      <c r="H13375" s="8" t="s">
        <v>52388</v>
      </c>
      <c r="I13375" s="8">
        <v>526.6875</v>
      </c>
      <c r="J13375" s="3">
        <f t="shared" si="208"/>
        <v>43749.473337824071</v>
      </c>
    </row>
    <row r="13376" spans="1:10" x14ac:dyDescent="0.25">
      <c r="A13376" s="5" t="s">
        <v>52389</v>
      </c>
      <c r="B13376" s="6">
        <v>425</v>
      </c>
      <c r="C13376" s="6">
        <v>20.478950000000001</v>
      </c>
      <c r="D13376" s="6">
        <v>74</v>
      </c>
      <c r="E13376" s="6">
        <v>0</v>
      </c>
      <c r="F13376" s="6">
        <v>0</v>
      </c>
      <c r="G13376" s="6">
        <v>8</v>
      </c>
      <c r="H13376" s="6" t="s">
        <v>52390</v>
      </c>
      <c r="I13376" s="6">
        <v>536.8125</v>
      </c>
      <c r="J13376" s="2">
        <f t="shared" si="208"/>
        <v>43749.473421296294</v>
      </c>
    </row>
    <row r="13377" spans="1:10" x14ac:dyDescent="0.25">
      <c r="A13377" s="7" t="s">
        <v>52391</v>
      </c>
      <c r="B13377" s="8">
        <v>393.75</v>
      </c>
      <c r="C13377" s="8">
        <v>20.478950000000001</v>
      </c>
      <c r="D13377" s="8">
        <v>70</v>
      </c>
      <c r="E13377" s="8">
        <v>0</v>
      </c>
      <c r="F13377" s="8">
        <v>0</v>
      </c>
      <c r="G13377" s="8">
        <v>3</v>
      </c>
      <c r="H13377" s="8" t="s">
        <v>52392</v>
      </c>
      <c r="I13377" s="8">
        <v>526.6875</v>
      </c>
      <c r="J13377" s="3">
        <f t="shared" si="208"/>
        <v>43749.473504490736</v>
      </c>
    </row>
    <row r="13378" spans="1:10" x14ac:dyDescent="0.25">
      <c r="A13378" s="5" t="s">
        <v>52393</v>
      </c>
      <c r="B13378" s="6">
        <v>393.75</v>
      </c>
      <c r="C13378" s="6">
        <v>20.478950000000001</v>
      </c>
      <c r="D13378" s="6">
        <v>69</v>
      </c>
      <c r="E13378" s="6">
        <v>0</v>
      </c>
      <c r="F13378" s="6">
        <v>0</v>
      </c>
      <c r="G13378" s="6">
        <v>8</v>
      </c>
      <c r="H13378" s="6" t="s">
        <v>52394</v>
      </c>
      <c r="I13378" s="6">
        <v>526.6875</v>
      </c>
      <c r="J13378" s="2">
        <f t="shared" ref="J13378:J13441" si="209">(H13378/86400000)+25569+(7/24)</f>
        <v>43749.473588287037</v>
      </c>
    </row>
    <row r="13379" spans="1:10" x14ac:dyDescent="0.25">
      <c r="A13379" s="7" t="s">
        <v>52395</v>
      </c>
      <c r="B13379" s="8">
        <v>393.75</v>
      </c>
      <c r="C13379" s="8">
        <v>20.478950000000001</v>
      </c>
      <c r="D13379" s="8">
        <v>69</v>
      </c>
      <c r="E13379" s="8">
        <v>0</v>
      </c>
      <c r="F13379" s="8">
        <v>0</v>
      </c>
      <c r="G13379" s="8">
        <v>8</v>
      </c>
      <c r="H13379" s="8" t="s">
        <v>52396</v>
      </c>
      <c r="I13379" s="8">
        <v>526.6875</v>
      </c>
      <c r="J13379" s="3">
        <f t="shared" si="209"/>
        <v>43749.473672326385</v>
      </c>
    </row>
    <row r="13380" spans="1:10" x14ac:dyDescent="0.25">
      <c r="A13380" s="5" t="s">
        <v>52397</v>
      </c>
      <c r="B13380" s="6">
        <v>393.75</v>
      </c>
      <c r="C13380" s="6">
        <v>20.478950000000001</v>
      </c>
      <c r="D13380" s="6">
        <v>69</v>
      </c>
      <c r="E13380" s="6">
        <v>0</v>
      </c>
      <c r="F13380" s="6">
        <v>0</v>
      </c>
      <c r="G13380" s="6">
        <v>1</v>
      </c>
      <c r="H13380" s="6" t="s">
        <v>52398</v>
      </c>
      <c r="I13380" s="6">
        <v>526.6875</v>
      </c>
      <c r="J13380" s="2">
        <f t="shared" si="209"/>
        <v>43749.473755231484</v>
      </c>
    </row>
    <row r="13381" spans="1:10" x14ac:dyDescent="0.25">
      <c r="A13381" s="7" t="s">
        <v>52399</v>
      </c>
      <c r="B13381" s="8">
        <v>393.75</v>
      </c>
      <c r="C13381" s="8">
        <v>20.531590000000001</v>
      </c>
      <c r="D13381" s="8">
        <v>69</v>
      </c>
      <c r="E13381" s="8">
        <v>0</v>
      </c>
      <c r="F13381" s="8">
        <v>0</v>
      </c>
      <c r="G13381" s="8">
        <v>9</v>
      </c>
      <c r="H13381" s="8" t="s">
        <v>52400</v>
      </c>
      <c r="I13381" s="8">
        <v>526.6875</v>
      </c>
      <c r="J13381" s="3">
        <f t="shared" si="209"/>
        <v>43749.473838391197</v>
      </c>
    </row>
    <row r="13382" spans="1:10" x14ac:dyDescent="0.25">
      <c r="A13382" s="5" t="s">
        <v>52401</v>
      </c>
      <c r="B13382" s="6">
        <v>393.75</v>
      </c>
      <c r="C13382" s="6">
        <v>20.531590000000001</v>
      </c>
      <c r="D13382" s="6">
        <v>69</v>
      </c>
      <c r="E13382" s="6">
        <v>0</v>
      </c>
      <c r="F13382" s="6">
        <v>0</v>
      </c>
      <c r="G13382" s="6">
        <v>8</v>
      </c>
      <c r="H13382" s="6" t="s">
        <v>52402</v>
      </c>
      <c r="I13382" s="6">
        <v>526.6875</v>
      </c>
      <c r="J13382" s="2">
        <f t="shared" si="209"/>
        <v>43749.473910277775</v>
      </c>
    </row>
    <row r="13383" spans="1:10" x14ac:dyDescent="0.25">
      <c r="A13383" s="7" t="s">
        <v>52403</v>
      </c>
      <c r="B13383" s="8">
        <v>393.75</v>
      </c>
      <c r="C13383" s="8">
        <v>20.478950000000001</v>
      </c>
      <c r="D13383" s="8">
        <v>68</v>
      </c>
      <c r="E13383" s="8">
        <v>0</v>
      </c>
      <c r="F13383" s="8">
        <v>0</v>
      </c>
      <c r="G13383" s="8">
        <v>9</v>
      </c>
      <c r="H13383" s="8" t="s">
        <v>52404</v>
      </c>
      <c r="I13383" s="8">
        <v>526.6875</v>
      </c>
      <c r="J13383" s="3">
        <f t="shared" si="209"/>
        <v>43749.473993495369</v>
      </c>
    </row>
    <row r="13384" spans="1:10" x14ac:dyDescent="0.25">
      <c r="A13384" s="5" t="s">
        <v>52405</v>
      </c>
      <c r="B13384" s="6">
        <v>393.75</v>
      </c>
      <c r="C13384" s="6">
        <v>20.478950000000001</v>
      </c>
      <c r="D13384" s="6">
        <v>68</v>
      </c>
      <c r="E13384" s="6">
        <v>0</v>
      </c>
      <c r="F13384" s="6">
        <v>0</v>
      </c>
      <c r="G13384" s="6">
        <v>6</v>
      </c>
      <c r="H13384" s="6" t="s">
        <v>52406</v>
      </c>
      <c r="I13384" s="6">
        <v>526.6875</v>
      </c>
      <c r="J13384" s="2">
        <f t="shared" si="209"/>
        <v>43749.474065138886</v>
      </c>
    </row>
    <row r="13385" spans="1:10" x14ac:dyDescent="0.25">
      <c r="A13385" s="7" t="s">
        <v>52407</v>
      </c>
      <c r="B13385" s="8">
        <v>393.75</v>
      </c>
      <c r="C13385" s="8">
        <v>20.478950000000001</v>
      </c>
      <c r="D13385" s="8">
        <v>68</v>
      </c>
      <c r="E13385" s="8">
        <v>0</v>
      </c>
      <c r="F13385" s="8">
        <v>0</v>
      </c>
      <c r="G13385" s="8">
        <v>9</v>
      </c>
      <c r="H13385" s="8" t="s">
        <v>52408</v>
      </c>
      <c r="I13385" s="8">
        <v>526.6875</v>
      </c>
      <c r="J13385" s="3">
        <f t="shared" si="209"/>
        <v>43749.474149050926</v>
      </c>
    </row>
    <row r="13386" spans="1:10" x14ac:dyDescent="0.25">
      <c r="A13386" s="5" t="s">
        <v>52409</v>
      </c>
      <c r="B13386" s="6">
        <v>393.75</v>
      </c>
      <c r="C13386" s="6">
        <v>20.531590000000001</v>
      </c>
      <c r="D13386" s="6">
        <v>68</v>
      </c>
      <c r="E13386" s="6">
        <v>0</v>
      </c>
      <c r="F13386" s="6">
        <v>0</v>
      </c>
      <c r="G13386" s="6">
        <v>9</v>
      </c>
      <c r="H13386" s="6" t="s">
        <v>52410</v>
      </c>
      <c r="I13386" s="6">
        <v>526.5</v>
      </c>
      <c r="J13386" s="2">
        <f t="shared" si="209"/>
        <v>43749.474232280088</v>
      </c>
    </row>
    <row r="13387" spans="1:10" x14ac:dyDescent="0.25">
      <c r="A13387" s="7" t="s">
        <v>52411</v>
      </c>
      <c r="B13387" s="8">
        <v>393.75</v>
      </c>
      <c r="C13387" s="8">
        <v>20.478950000000001</v>
      </c>
      <c r="D13387" s="8">
        <v>68</v>
      </c>
      <c r="E13387" s="8">
        <v>0</v>
      </c>
      <c r="F13387" s="8">
        <v>0</v>
      </c>
      <c r="G13387" s="8">
        <v>4</v>
      </c>
      <c r="H13387" s="8" t="s">
        <v>52412</v>
      </c>
      <c r="I13387" s="8">
        <v>526.6875</v>
      </c>
      <c r="J13387" s="3">
        <f t="shared" si="209"/>
        <v>43749.474315601845</v>
      </c>
    </row>
    <row r="13388" spans="1:10" x14ac:dyDescent="0.25">
      <c r="A13388" s="5" t="s">
        <v>52413</v>
      </c>
      <c r="B13388" s="6">
        <v>396.875</v>
      </c>
      <c r="C13388" s="6">
        <v>20.478950000000001</v>
      </c>
      <c r="D13388" s="6">
        <v>67</v>
      </c>
      <c r="E13388" s="6">
        <v>0</v>
      </c>
      <c r="F13388" s="6">
        <v>0</v>
      </c>
      <c r="G13388" s="6">
        <v>9</v>
      </c>
      <c r="H13388" s="6" t="s">
        <v>52414</v>
      </c>
      <c r="I13388" s="6">
        <v>527.4375</v>
      </c>
      <c r="J13388" s="2">
        <f t="shared" si="209"/>
        <v>43749.47439938657</v>
      </c>
    </row>
    <row r="13389" spans="1:10" x14ac:dyDescent="0.25">
      <c r="A13389" s="7" t="s">
        <v>52415</v>
      </c>
      <c r="B13389" s="8">
        <v>396.875</v>
      </c>
      <c r="C13389" s="8">
        <v>20.478950000000001</v>
      </c>
      <c r="D13389" s="8">
        <v>67</v>
      </c>
      <c r="E13389" s="8">
        <v>0</v>
      </c>
      <c r="F13389" s="8">
        <v>0</v>
      </c>
      <c r="G13389" s="8">
        <v>6</v>
      </c>
      <c r="H13389" s="8" t="s">
        <v>52416</v>
      </c>
      <c r="I13389" s="8">
        <v>527.4375</v>
      </c>
      <c r="J13389" s="3">
        <f t="shared" si="209"/>
        <v>43749.474482395832</v>
      </c>
    </row>
    <row r="13390" spans="1:10" x14ac:dyDescent="0.25">
      <c r="A13390" s="5" t="s">
        <v>52417</v>
      </c>
      <c r="B13390" s="6">
        <v>396.875</v>
      </c>
      <c r="C13390" s="6">
        <v>20.478950000000001</v>
      </c>
      <c r="D13390" s="6">
        <v>67</v>
      </c>
      <c r="E13390" s="6">
        <v>0</v>
      </c>
      <c r="F13390" s="6">
        <v>0</v>
      </c>
      <c r="G13390" s="6">
        <v>2</v>
      </c>
      <c r="H13390" s="6" t="s">
        <v>52418</v>
      </c>
      <c r="I13390" s="6">
        <v>527.4375</v>
      </c>
      <c r="J13390" s="2">
        <f t="shared" si="209"/>
        <v>43749.474554050925</v>
      </c>
    </row>
    <row r="13391" spans="1:10" x14ac:dyDescent="0.25">
      <c r="A13391" s="7" t="s">
        <v>52419</v>
      </c>
      <c r="B13391" s="8">
        <v>396.875</v>
      </c>
      <c r="C13391" s="8">
        <v>20.478950000000001</v>
      </c>
      <c r="D13391" s="8">
        <v>68</v>
      </c>
      <c r="E13391" s="8">
        <v>0</v>
      </c>
      <c r="F13391" s="8">
        <v>0</v>
      </c>
      <c r="G13391" s="8">
        <v>9</v>
      </c>
      <c r="H13391" s="8" t="s">
        <v>52420</v>
      </c>
      <c r="I13391" s="8">
        <v>527.4375</v>
      </c>
      <c r="J13391" s="3">
        <f t="shared" si="209"/>
        <v>43749.474637951389</v>
      </c>
    </row>
    <row r="13392" spans="1:10" x14ac:dyDescent="0.25">
      <c r="A13392" s="5" t="s">
        <v>52421</v>
      </c>
      <c r="B13392" s="6">
        <v>393.75</v>
      </c>
      <c r="C13392" s="6">
        <v>20.478950000000001</v>
      </c>
      <c r="D13392" s="6">
        <v>68</v>
      </c>
      <c r="E13392" s="6">
        <v>0</v>
      </c>
      <c r="F13392" s="6">
        <v>0</v>
      </c>
      <c r="G13392" s="6">
        <v>8</v>
      </c>
      <c r="H13392" s="6" t="s">
        <v>52422</v>
      </c>
      <c r="I13392" s="6">
        <v>526.6875</v>
      </c>
      <c r="J13392" s="2">
        <f t="shared" si="209"/>
        <v>43749.474721284721</v>
      </c>
    </row>
    <row r="13393" spans="1:10" x14ac:dyDescent="0.25">
      <c r="A13393" s="7" t="s">
        <v>52423</v>
      </c>
      <c r="B13393" s="8">
        <v>393.75</v>
      </c>
      <c r="C13393" s="8">
        <v>20.478950000000001</v>
      </c>
      <c r="D13393" s="8">
        <v>67</v>
      </c>
      <c r="E13393" s="8">
        <v>0</v>
      </c>
      <c r="F13393" s="8">
        <v>0</v>
      </c>
      <c r="G13393" s="8">
        <v>3</v>
      </c>
      <c r="H13393" s="8" t="s">
        <v>52424</v>
      </c>
      <c r="I13393" s="8">
        <v>526.6875</v>
      </c>
      <c r="J13393" s="3">
        <f t="shared" si="209"/>
        <v>43749.474804513891</v>
      </c>
    </row>
    <row r="13394" spans="1:10" x14ac:dyDescent="0.25">
      <c r="A13394" s="5" t="s">
        <v>52425</v>
      </c>
      <c r="B13394" s="6">
        <v>393.75</v>
      </c>
      <c r="C13394" s="6">
        <v>20.478950000000001</v>
      </c>
      <c r="D13394" s="6">
        <v>67</v>
      </c>
      <c r="E13394" s="6">
        <v>0</v>
      </c>
      <c r="F13394" s="6">
        <v>0</v>
      </c>
      <c r="G13394" s="6">
        <v>13</v>
      </c>
      <c r="H13394" s="6" t="s">
        <v>52426</v>
      </c>
      <c r="I13394" s="6">
        <v>526.6875</v>
      </c>
      <c r="J13394" s="2">
        <f t="shared" si="209"/>
        <v>43749.474876261571</v>
      </c>
    </row>
    <row r="13395" spans="1:10" x14ac:dyDescent="0.25">
      <c r="A13395" s="7" t="s">
        <v>52427</v>
      </c>
      <c r="B13395" s="8">
        <v>393.75</v>
      </c>
      <c r="C13395" s="8">
        <v>20.478950000000001</v>
      </c>
      <c r="D13395" s="8">
        <v>67</v>
      </c>
      <c r="E13395" s="8">
        <v>0</v>
      </c>
      <c r="F13395" s="8">
        <v>0</v>
      </c>
      <c r="G13395" s="8">
        <v>0</v>
      </c>
      <c r="H13395" s="8" t="s">
        <v>52428</v>
      </c>
      <c r="I13395" s="8">
        <v>526.6875</v>
      </c>
      <c r="J13395" s="3">
        <f t="shared" si="209"/>
        <v>43749.474959826388</v>
      </c>
    </row>
    <row r="13396" spans="1:10" x14ac:dyDescent="0.25">
      <c r="A13396" s="5" t="s">
        <v>52429</v>
      </c>
      <c r="B13396" s="6">
        <v>393.75</v>
      </c>
      <c r="C13396" s="6">
        <v>20.478950000000001</v>
      </c>
      <c r="D13396" s="6">
        <v>66</v>
      </c>
      <c r="E13396" s="6">
        <v>0</v>
      </c>
      <c r="F13396" s="6">
        <v>0</v>
      </c>
      <c r="G13396" s="6">
        <v>9</v>
      </c>
      <c r="H13396" s="6" t="s">
        <v>52430</v>
      </c>
      <c r="I13396" s="6">
        <v>526.6875</v>
      </c>
      <c r="J13396" s="2">
        <f t="shared" si="209"/>
        <v>43749.475043391205</v>
      </c>
    </row>
    <row r="13397" spans="1:10" x14ac:dyDescent="0.25">
      <c r="A13397" s="7" t="s">
        <v>52431</v>
      </c>
      <c r="B13397" s="8">
        <v>393.75</v>
      </c>
      <c r="C13397" s="8">
        <v>20.478950000000001</v>
      </c>
      <c r="D13397" s="8">
        <v>67</v>
      </c>
      <c r="E13397" s="8">
        <v>0</v>
      </c>
      <c r="F13397" s="8">
        <v>0</v>
      </c>
      <c r="G13397" s="8">
        <v>2</v>
      </c>
      <c r="H13397" s="8" t="s">
        <v>52432</v>
      </c>
      <c r="I13397" s="8">
        <v>526.5</v>
      </c>
      <c r="J13397" s="3">
        <f t="shared" si="209"/>
        <v>43749.475126840276</v>
      </c>
    </row>
    <row r="13398" spans="1:10" x14ac:dyDescent="0.25">
      <c r="A13398" s="5" t="s">
        <v>52433</v>
      </c>
      <c r="B13398" s="6">
        <v>393.75</v>
      </c>
      <c r="C13398" s="6">
        <v>20.478950000000001</v>
      </c>
      <c r="D13398" s="6">
        <v>67</v>
      </c>
      <c r="E13398" s="6">
        <v>0</v>
      </c>
      <c r="F13398" s="6">
        <v>0</v>
      </c>
      <c r="G13398" s="6">
        <v>11</v>
      </c>
      <c r="H13398" s="6" t="s">
        <v>52434</v>
      </c>
      <c r="I13398" s="6">
        <v>526.6875</v>
      </c>
      <c r="J13398" s="2">
        <f t="shared" si="209"/>
        <v>43749.475210289347</v>
      </c>
    </row>
    <row r="13399" spans="1:10" x14ac:dyDescent="0.25">
      <c r="A13399" s="7" t="s">
        <v>52435</v>
      </c>
      <c r="B13399" s="8">
        <v>393.75</v>
      </c>
      <c r="C13399" s="8">
        <v>20.478950000000001</v>
      </c>
      <c r="D13399" s="8">
        <v>68</v>
      </c>
      <c r="E13399" s="8">
        <v>0</v>
      </c>
      <c r="F13399" s="8">
        <v>0</v>
      </c>
      <c r="G13399" s="8">
        <v>0</v>
      </c>
      <c r="H13399" s="8" t="s">
        <v>52436</v>
      </c>
      <c r="I13399" s="8">
        <v>526.6875</v>
      </c>
      <c r="J13399" s="3">
        <f t="shared" si="209"/>
        <v>43749.475293495365</v>
      </c>
    </row>
    <row r="13400" spans="1:10" x14ac:dyDescent="0.25">
      <c r="A13400" s="5" t="s">
        <v>52437</v>
      </c>
      <c r="B13400" s="6">
        <v>393.75</v>
      </c>
      <c r="C13400" s="6">
        <v>20.478950000000001</v>
      </c>
      <c r="D13400" s="6">
        <v>68</v>
      </c>
      <c r="E13400" s="6">
        <v>0</v>
      </c>
      <c r="F13400" s="6">
        <v>0</v>
      </c>
      <c r="G13400" s="6">
        <v>1</v>
      </c>
      <c r="H13400" s="6" t="s">
        <v>52438</v>
      </c>
      <c r="I13400" s="6">
        <v>526.6875</v>
      </c>
      <c r="J13400" s="2">
        <f t="shared" si="209"/>
        <v>43749.475412719905</v>
      </c>
    </row>
    <row r="13401" spans="1:10" x14ac:dyDescent="0.25">
      <c r="A13401" s="7" t="s">
        <v>52439</v>
      </c>
      <c r="B13401" s="8">
        <v>393.75</v>
      </c>
      <c r="C13401" s="8">
        <v>20.478950000000001</v>
      </c>
      <c r="D13401" s="8">
        <v>69</v>
      </c>
      <c r="E13401" s="8">
        <v>0</v>
      </c>
      <c r="F13401" s="8">
        <v>0</v>
      </c>
      <c r="G13401" s="8">
        <v>0</v>
      </c>
      <c r="H13401" s="8" t="s">
        <v>52440</v>
      </c>
      <c r="I13401" s="8">
        <v>526.6875</v>
      </c>
      <c r="J13401" s="3">
        <f t="shared" si="209"/>
        <v>43749.475484606482</v>
      </c>
    </row>
    <row r="13402" spans="1:10" x14ac:dyDescent="0.25">
      <c r="A13402" s="5" t="s">
        <v>52441</v>
      </c>
      <c r="B13402" s="6">
        <v>393.75</v>
      </c>
      <c r="C13402" s="6">
        <v>20.478950000000001</v>
      </c>
      <c r="D13402" s="6">
        <v>69</v>
      </c>
      <c r="E13402" s="6">
        <v>0</v>
      </c>
      <c r="F13402" s="6">
        <v>0</v>
      </c>
      <c r="G13402" s="6">
        <v>1</v>
      </c>
      <c r="H13402" s="6" t="s">
        <v>52442</v>
      </c>
      <c r="I13402" s="6">
        <v>526.5</v>
      </c>
      <c r="J13402" s="2">
        <f t="shared" si="209"/>
        <v>43749.4755558912</v>
      </c>
    </row>
    <row r="13403" spans="1:10" x14ac:dyDescent="0.25">
      <c r="A13403" s="7" t="s">
        <v>52443</v>
      </c>
      <c r="B13403" s="8">
        <v>393.75</v>
      </c>
      <c r="C13403" s="8">
        <v>20.478950000000001</v>
      </c>
      <c r="D13403" s="8">
        <v>69</v>
      </c>
      <c r="E13403" s="8">
        <v>0</v>
      </c>
      <c r="F13403" s="8">
        <v>0</v>
      </c>
      <c r="G13403" s="8">
        <v>4</v>
      </c>
      <c r="H13403" s="8" t="s">
        <v>52444</v>
      </c>
      <c r="I13403" s="8">
        <v>526.6875</v>
      </c>
      <c r="J13403" s="3">
        <f t="shared" si="209"/>
        <v>43749.475639699071</v>
      </c>
    </row>
    <row r="13404" spans="1:10" x14ac:dyDescent="0.25">
      <c r="A13404" s="5" t="s">
        <v>52445</v>
      </c>
      <c r="B13404" s="6">
        <v>393.75</v>
      </c>
      <c r="C13404" s="6">
        <v>20.478950000000001</v>
      </c>
      <c r="D13404" s="6">
        <v>69</v>
      </c>
      <c r="E13404" s="6">
        <v>0</v>
      </c>
      <c r="F13404" s="6">
        <v>0</v>
      </c>
      <c r="G13404" s="6">
        <v>1</v>
      </c>
      <c r="H13404" s="6" t="s">
        <v>52446</v>
      </c>
      <c r="I13404" s="6">
        <v>526.6875</v>
      </c>
      <c r="J13404" s="2">
        <f t="shared" si="209"/>
        <v>43749.475723148142</v>
      </c>
    </row>
    <row r="13405" spans="1:10" x14ac:dyDescent="0.25">
      <c r="A13405" s="7" t="s">
        <v>52447</v>
      </c>
      <c r="B13405" s="8">
        <v>425</v>
      </c>
      <c r="C13405" s="8">
        <v>20.478950000000001</v>
      </c>
      <c r="D13405" s="8">
        <v>69</v>
      </c>
      <c r="E13405" s="8">
        <v>0</v>
      </c>
      <c r="F13405" s="8">
        <v>0</v>
      </c>
      <c r="G13405" s="8">
        <v>0</v>
      </c>
      <c r="H13405" s="8" t="s">
        <v>52448</v>
      </c>
      <c r="I13405" s="8">
        <v>536.4375</v>
      </c>
      <c r="J13405" s="3">
        <f t="shared" si="209"/>
        <v>43749.47580659722</v>
      </c>
    </row>
    <row r="13406" spans="1:10" x14ac:dyDescent="0.25">
      <c r="A13406" s="5" t="s">
        <v>52449</v>
      </c>
      <c r="B13406" s="6">
        <v>393.75</v>
      </c>
      <c r="C13406" s="6">
        <v>20.478950000000001</v>
      </c>
      <c r="D13406" s="6">
        <v>69</v>
      </c>
      <c r="E13406" s="6">
        <v>0</v>
      </c>
      <c r="F13406" s="6">
        <v>0</v>
      </c>
      <c r="G13406" s="6">
        <v>0</v>
      </c>
      <c r="H13406" s="6" t="s">
        <v>52450</v>
      </c>
      <c r="I13406" s="6">
        <v>526.6875</v>
      </c>
      <c r="J13406" s="2">
        <f t="shared" si="209"/>
        <v>43749.475889837959</v>
      </c>
    </row>
    <row r="13407" spans="1:10" x14ac:dyDescent="0.25">
      <c r="A13407" s="7" t="s">
        <v>52451</v>
      </c>
      <c r="B13407" s="8">
        <v>393.75</v>
      </c>
      <c r="C13407" s="8">
        <v>20.478950000000001</v>
      </c>
      <c r="D13407" s="8">
        <v>69</v>
      </c>
      <c r="E13407" s="8">
        <v>0</v>
      </c>
      <c r="F13407" s="8">
        <v>0</v>
      </c>
      <c r="G13407" s="8">
        <v>3</v>
      </c>
      <c r="H13407" s="8" t="s">
        <v>52452</v>
      </c>
      <c r="I13407" s="8">
        <v>526.6875</v>
      </c>
      <c r="J13407" s="3">
        <f t="shared" si="209"/>
        <v>43749.47596157407</v>
      </c>
    </row>
    <row r="13408" spans="1:10" x14ac:dyDescent="0.25">
      <c r="A13408" s="5" t="s">
        <v>52453</v>
      </c>
      <c r="B13408" s="6">
        <v>393.75</v>
      </c>
      <c r="C13408" s="6">
        <v>20.478950000000001</v>
      </c>
      <c r="D13408" s="6">
        <v>68</v>
      </c>
      <c r="E13408" s="6">
        <v>0</v>
      </c>
      <c r="F13408" s="6">
        <v>0</v>
      </c>
      <c r="G13408" s="6">
        <v>7</v>
      </c>
      <c r="H13408" s="6" t="s">
        <v>52454</v>
      </c>
      <c r="I13408" s="6">
        <v>526.6875</v>
      </c>
      <c r="J13408" s="2">
        <f t="shared" si="209"/>
        <v>43749.476045254625</v>
      </c>
    </row>
    <row r="13409" spans="1:10" x14ac:dyDescent="0.25">
      <c r="A13409" s="7" t="s">
        <v>52455</v>
      </c>
      <c r="B13409" s="8">
        <v>393.75</v>
      </c>
      <c r="C13409" s="8">
        <v>20.478950000000001</v>
      </c>
      <c r="D13409" s="8">
        <v>69</v>
      </c>
      <c r="E13409" s="8">
        <v>0</v>
      </c>
      <c r="F13409" s="8">
        <v>0</v>
      </c>
      <c r="G13409" s="8">
        <v>10</v>
      </c>
      <c r="H13409" s="8" t="s">
        <v>52456</v>
      </c>
      <c r="I13409" s="8">
        <v>526.6875</v>
      </c>
      <c r="J13409" s="3">
        <f t="shared" si="209"/>
        <v>43749.476145266199</v>
      </c>
    </row>
    <row r="13410" spans="1:10" x14ac:dyDescent="0.25">
      <c r="A13410" s="5" t="s">
        <v>52457</v>
      </c>
      <c r="B13410" s="6">
        <v>393.75</v>
      </c>
      <c r="C13410" s="6">
        <v>20.478950000000001</v>
      </c>
      <c r="D13410" s="6">
        <v>69</v>
      </c>
      <c r="E13410" s="6">
        <v>0</v>
      </c>
      <c r="F13410" s="6">
        <v>0</v>
      </c>
      <c r="G13410" s="6">
        <v>7</v>
      </c>
      <c r="H13410" s="6" t="s">
        <v>52458</v>
      </c>
      <c r="I13410" s="6">
        <v>526.6875</v>
      </c>
      <c r="J13410" s="2">
        <f t="shared" si="209"/>
        <v>43749.476223715275</v>
      </c>
    </row>
    <row r="13411" spans="1:10" x14ac:dyDescent="0.25">
      <c r="A13411" s="7" t="s">
        <v>52459</v>
      </c>
      <c r="B13411" s="8">
        <v>393.75</v>
      </c>
      <c r="C13411" s="8">
        <v>20.478950000000001</v>
      </c>
      <c r="D13411" s="8">
        <v>68</v>
      </c>
      <c r="E13411" s="8">
        <v>0</v>
      </c>
      <c r="F13411" s="8">
        <v>0</v>
      </c>
      <c r="G13411" s="8">
        <v>9</v>
      </c>
      <c r="H13411" s="8" t="s">
        <v>52460</v>
      </c>
      <c r="I13411" s="8">
        <v>526.6875</v>
      </c>
      <c r="J13411" s="3">
        <f t="shared" si="209"/>
        <v>43749.476295601846</v>
      </c>
    </row>
    <row r="13412" spans="1:10" x14ac:dyDescent="0.25">
      <c r="A13412" s="5" t="s">
        <v>52461</v>
      </c>
      <c r="B13412" s="6">
        <v>393.75</v>
      </c>
      <c r="C13412" s="6">
        <v>20.478950000000001</v>
      </c>
      <c r="D13412" s="6">
        <v>63</v>
      </c>
      <c r="E13412" s="6">
        <v>0</v>
      </c>
      <c r="F13412" s="6">
        <v>0</v>
      </c>
      <c r="G13412" s="6">
        <v>8</v>
      </c>
      <c r="H13412" s="6" t="s">
        <v>52462</v>
      </c>
      <c r="I13412" s="6">
        <v>526.6875</v>
      </c>
      <c r="J13412" s="2">
        <f t="shared" si="209"/>
        <v>43749.47637935185</v>
      </c>
    </row>
    <row r="13413" spans="1:10" x14ac:dyDescent="0.25">
      <c r="A13413" s="7" t="s">
        <v>52463</v>
      </c>
      <c r="B13413" s="8">
        <v>393.75</v>
      </c>
      <c r="C13413" s="8">
        <v>20.478950000000001</v>
      </c>
      <c r="D13413" s="8">
        <v>64</v>
      </c>
      <c r="E13413" s="8">
        <v>0</v>
      </c>
      <c r="F13413" s="8">
        <v>0</v>
      </c>
      <c r="G13413" s="8">
        <v>0</v>
      </c>
      <c r="H13413" s="8" t="s">
        <v>52464</v>
      </c>
      <c r="I13413" s="8">
        <v>526.6875</v>
      </c>
      <c r="J13413" s="3">
        <f t="shared" si="209"/>
        <v>43749.476450694441</v>
      </c>
    </row>
    <row r="13414" spans="1:10" x14ac:dyDescent="0.25">
      <c r="A13414" s="5" t="s">
        <v>52465</v>
      </c>
      <c r="B13414" s="6">
        <v>393.75</v>
      </c>
      <c r="C13414" s="6">
        <v>20.478950000000001</v>
      </c>
      <c r="D13414" s="6">
        <v>68</v>
      </c>
      <c r="E13414" s="6">
        <v>0</v>
      </c>
      <c r="F13414" s="6">
        <v>0</v>
      </c>
      <c r="G13414" s="6">
        <v>5</v>
      </c>
      <c r="H13414" s="6" t="s">
        <v>52466</v>
      </c>
      <c r="I13414" s="6">
        <v>526.6875</v>
      </c>
      <c r="J13414" s="2">
        <f t="shared" si="209"/>
        <v>43749.476534131943</v>
      </c>
    </row>
    <row r="13415" spans="1:10" x14ac:dyDescent="0.25">
      <c r="A13415" s="7" t="s">
        <v>52467</v>
      </c>
      <c r="B13415" s="8">
        <v>393.75</v>
      </c>
      <c r="C13415" s="8">
        <v>20.478950000000001</v>
      </c>
      <c r="D13415" s="8">
        <v>69</v>
      </c>
      <c r="E13415" s="8">
        <v>0</v>
      </c>
      <c r="F13415" s="8">
        <v>0</v>
      </c>
      <c r="G13415" s="8">
        <v>4</v>
      </c>
      <c r="H13415" s="8" t="s">
        <v>52468</v>
      </c>
      <c r="I13415" s="8">
        <v>526.6875</v>
      </c>
      <c r="J13415" s="3">
        <f t="shared" si="209"/>
        <v>43749.476617708329</v>
      </c>
    </row>
    <row r="13416" spans="1:10" x14ac:dyDescent="0.25">
      <c r="A13416" s="5" t="s">
        <v>52469</v>
      </c>
      <c r="B13416" s="6">
        <v>393.75</v>
      </c>
      <c r="C13416" s="6">
        <v>20.478950000000001</v>
      </c>
      <c r="D13416" s="6">
        <v>70</v>
      </c>
      <c r="E13416" s="6">
        <v>0</v>
      </c>
      <c r="F13416" s="6">
        <v>0</v>
      </c>
      <c r="G13416" s="6">
        <v>8</v>
      </c>
      <c r="H13416" s="6" t="s">
        <v>52470</v>
      </c>
      <c r="I13416" s="6">
        <v>526.6875</v>
      </c>
      <c r="J13416" s="2">
        <f t="shared" si="209"/>
        <v>43749.476700798608</v>
      </c>
    </row>
    <row r="13417" spans="1:10" x14ac:dyDescent="0.25">
      <c r="A13417" s="7" t="s">
        <v>52471</v>
      </c>
      <c r="B13417" s="8">
        <v>393.75</v>
      </c>
      <c r="C13417" s="8">
        <v>20.478950000000001</v>
      </c>
      <c r="D13417" s="8">
        <v>70</v>
      </c>
      <c r="E13417" s="8">
        <v>0</v>
      </c>
      <c r="F13417" s="8">
        <v>0</v>
      </c>
      <c r="G13417" s="8">
        <v>4</v>
      </c>
      <c r="H13417" s="8" t="s">
        <v>52472</v>
      </c>
      <c r="I13417" s="8">
        <v>526.6875</v>
      </c>
      <c r="J13417" s="3">
        <f t="shared" si="209"/>
        <v>43749.476772557864</v>
      </c>
    </row>
    <row r="13418" spans="1:10" x14ac:dyDescent="0.25">
      <c r="A13418" s="5" t="s">
        <v>52473</v>
      </c>
      <c r="B13418" s="6">
        <v>393.75</v>
      </c>
      <c r="C13418" s="6">
        <v>20.478950000000001</v>
      </c>
      <c r="D13418" s="6">
        <v>73</v>
      </c>
      <c r="E13418" s="6">
        <v>0</v>
      </c>
      <c r="F13418" s="6">
        <v>0</v>
      </c>
      <c r="G13418" s="6">
        <v>5</v>
      </c>
      <c r="H13418" s="6" t="s">
        <v>52474</v>
      </c>
      <c r="I13418" s="6">
        <v>526.6875</v>
      </c>
      <c r="J13418" s="2">
        <f t="shared" si="209"/>
        <v>43749.476856122681</v>
      </c>
    </row>
    <row r="13419" spans="1:10" x14ac:dyDescent="0.25">
      <c r="A13419" s="7" t="s">
        <v>52475</v>
      </c>
      <c r="B13419" s="8">
        <v>393.75</v>
      </c>
      <c r="C13419" s="8">
        <v>20.478950000000001</v>
      </c>
      <c r="D13419" s="8">
        <v>73</v>
      </c>
      <c r="E13419" s="8">
        <v>0</v>
      </c>
      <c r="F13419" s="8">
        <v>0</v>
      </c>
      <c r="G13419" s="8">
        <v>0</v>
      </c>
      <c r="H13419" s="8" t="s">
        <v>52476</v>
      </c>
      <c r="I13419" s="8">
        <v>526.5</v>
      </c>
      <c r="J13419" s="3">
        <f t="shared" si="209"/>
        <v>43749.476939687498</v>
      </c>
    </row>
    <row r="13420" spans="1:10" x14ac:dyDescent="0.25">
      <c r="A13420" s="5" t="s">
        <v>52477</v>
      </c>
      <c r="B13420" s="6">
        <v>393.75</v>
      </c>
      <c r="C13420" s="6">
        <v>20.478950000000001</v>
      </c>
      <c r="D13420" s="6">
        <v>72</v>
      </c>
      <c r="E13420" s="6">
        <v>0</v>
      </c>
      <c r="F13420" s="6">
        <v>0</v>
      </c>
      <c r="G13420" s="6">
        <v>8</v>
      </c>
      <c r="H13420" s="6" t="s">
        <v>52478</v>
      </c>
      <c r="I13420" s="6">
        <v>526.6875</v>
      </c>
      <c r="J13420" s="2">
        <f t="shared" si="209"/>
        <v>43749.477011215276</v>
      </c>
    </row>
    <row r="13421" spans="1:10" x14ac:dyDescent="0.25">
      <c r="A13421" s="7" t="s">
        <v>52479</v>
      </c>
      <c r="B13421" s="8">
        <v>393.75</v>
      </c>
      <c r="C13421" s="8">
        <v>20.531590000000001</v>
      </c>
      <c r="D13421" s="8">
        <v>70</v>
      </c>
      <c r="E13421" s="8">
        <v>0</v>
      </c>
      <c r="F13421" s="8">
        <v>0</v>
      </c>
      <c r="G13421" s="8">
        <v>6</v>
      </c>
      <c r="H13421" s="8" t="s">
        <v>52480</v>
      </c>
      <c r="I13421" s="8">
        <v>526.6875</v>
      </c>
      <c r="J13421" s="3">
        <f t="shared" si="209"/>
        <v>43749.477094664348</v>
      </c>
    </row>
    <row r="13422" spans="1:10" x14ac:dyDescent="0.25">
      <c r="A13422" s="5" t="s">
        <v>52481</v>
      </c>
      <c r="B13422" s="6">
        <v>393.75</v>
      </c>
      <c r="C13422" s="6">
        <v>20.478950000000001</v>
      </c>
      <c r="D13422" s="6">
        <v>68</v>
      </c>
      <c r="E13422" s="6">
        <v>0</v>
      </c>
      <c r="F13422" s="6">
        <v>0</v>
      </c>
      <c r="G13422" s="6">
        <v>0</v>
      </c>
      <c r="H13422" s="6" t="s">
        <v>52482</v>
      </c>
      <c r="I13422" s="6">
        <v>526.6875</v>
      </c>
      <c r="J13422" s="2">
        <f t="shared" si="209"/>
        <v>43749.477178252309</v>
      </c>
    </row>
    <row r="13423" spans="1:10" x14ac:dyDescent="0.25">
      <c r="A13423" s="7" t="s">
        <v>52483</v>
      </c>
      <c r="B13423" s="8">
        <v>412.5</v>
      </c>
      <c r="C13423" s="8">
        <v>20.478950000000001</v>
      </c>
      <c r="D13423" s="8">
        <v>69</v>
      </c>
      <c r="E13423" s="8">
        <v>0</v>
      </c>
      <c r="F13423" s="8">
        <v>0</v>
      </c>
      <c r="G13423" s="8">
        <v>6</v>
      </c>
      <c r="H13423" s="8" t="s">
        <v>52484</v>
      </c>
      <c r="I13423" s="8">
        <v>532.875</v>
      </c>
      <c r="J13423" s="3">
        <f t="shared" si="209"/>
        <v>43749.477261701388</v>
      </c>
    </row>
    <row r="13424" spans="1:10" x14ac:dyDescent="0.25">
      <c r="A13424" s="5" t="s">
        <v>52485</v>
      </c>
      <c r="B13424" s="6">
        <v>393.75</v>
      </c>
      <c r="C13424" s="6">
        <v>20.478950000000001</v>
      </c>
      <c r="D13424" s="6">
        <v>70</v>
      </c>
      <c r="E13424" s="6">
        <v>0</v>
      </c>
      <c r="F13424" s="6">
        <v>0</v>
      </c>
      <c r="G13424" s="6">
        <v>5</v>
      </c>
      <c r="H13424" s="6" t="s">
        <v>52486</v>
      </c>
      <c r="I13424" s="6">
        <v>526.6875</v>
      </c>
      <c r="J13424" s="2">
        <f t="shared" si="209"/>
        <v>43749.477345266198</v>
      </c>
    </row>
    <row r="13425" spans="1:10" x14ac:dyDescent="0.25">
      <c r="A13425" s="7" t="s">
        <v>52487</v>
      </c>
      <c r="B13425" s="8">
        <v>393.75</v>
      </c>
      <c r="C13425" s="8">
        <v>20.478950000000001</v>
      </c>
      <c r="D13425" s="8">
        <v>71</v>
      </c>
      <c r="E13425" s="8">
        <v>0</v>
      </c>
      <c r="F13425" s="8">
        <v>0</v>
      </c>
      <c r="G13425" s="8">
        <v>6</v>
      </c>
      <c r="H13425" s="8" t="s">
        <v>52488</v>
      </c>
      <c r="I13425" s="8">
        <v>526.6875</v>
      </c>
      <c r="J13425" s="3">
        <f t="shared" si="209"/>
        <v>43749.477442743053</v>
      </c>
    </row>
    <row r="13426" spans="1:10" x14ac:dyDescent="0.25">
      <c r="A13426" s="5" t="s">
        <v>52489</v>
      </c>
      <c r="B13426" s="6">
        <v>393.75</v>
      </c>
      <c r="C13426" s="6">
        <v>20.478950000000001</v>
      </c>
      <c r="D13426" s="6">
        <v>71</v>
      </c>
      <c r="E13426" s="6">
        <v>0</v>
      </c>
      <c r="F13426" s="6">
        <v>0</v>
      </c>
      <c r="G13426" s="6">
        <v>6</v>
      </c>
      <c r="H13426" s="6" t="s">
        <v>52490</v>
      </c>
      <c r="I13426" s="6">
        <v>526.6875</v>
      </c>
      <c r="J13426" s="2">
        <f t="shared" si="209"/>
        <v>43749.477524074071</v>
      </c>
    </row>
    <row r="13427" spans="1:10" x14ac:dyDescent="0.25">
      <c r="A13427" s="7" t="s">
        <v>52491</v>
      </c>
      <c r="B13427" s="8">
        <v>393.75</v>
      </c>
      <c r="C13427" s="8">
        <v>20.478950000000001</v>
      </c>
      <c r="D13427" s="8">
        <v>70</v>
      </c>
      <c r="E13427" s="8">
        <v>0</v>
      </c>
      <c r="F13427" s="8">
        <v>0</v>
      </c>
      <c r="G13427" s="8">
        <v>5</v>
      </c>
      <c r="H13427" s="8" t="s">
        <v>52492</v>
      </c>
      <c r="I13427" s="8">
        <v>526.6875</v>
      </c>
      <c r="J13427" s="3">
        <f t="shared" si="209"/>
        <v>43749.477595601849</v>
      </c>
    </row>
    <row r="13428" spans="1:10" x14ac:dyDescent="0.25">
      <c r="A13428" s="5" t="s">
        <v>52493</v>
      </c>
      <c r="B13428" s="6">
        <v>393.75</v>
      </c>
      <c r="C13428" s="6">
        <v>20.478950000000001</v>
      </c>
      <c r="D13428" s="6">
        <v>70</v>
      </c>
      <c r="E13428" s="6">
        <v>0</v>
      </c>
      <c r="F13428" s="6">
        <v>0</v>
      </c>
      <c r="G13428" s="6">
        <v>8</v>
      </c>
      <c r="H13428" s="6" t="s">
        <v>52494</v>
      </c>
      <c r="I13428" s="6">
        <v>526.6875</v>
      </c>
      <c r="J13428" s="2">
        <f t="shared" si="209"/>
        <v>43749.477678703704</v>
      </c>
    </row>
    <row r="13429" spans="1:10" x14ac:dyDescent="0.25">
      <c r="A13429" s="7" t="s">
        <v>52495</v>
      </c>
      <c r="B13429" s="8">
        <v>393.75</v>
      </c>
      <c r="C13429" s="8">
        <v>20.478950000000001</v>
      </c>
      <c r="D13429" s="8">
        <v>71</v>
      </c>
      <c r="E13429" s="8">
        <v>0</v>
      </c>
      <c r="F13429" s="8">
        <v>0</v>
      </c>
      <c r="G13429" s="8">
        <v>6</v>
      </c>
      <c r="H13429" s="8" t="s">
        <v>52496</v>
      </c>
      <c r="I13429" s="8">
        <v>526.6875</v>
      </c>
      <c r="J13429" s="3">
        <f t="shared" si="209"/>
        <v>43749.477762615737</v>
      </c>
    </row>
    <row r="13430" spans="1:10" x14ac:dyDescent="0.25">
      <c r="A13430" s="5" t="s">
        <v>52497</v>
      </c>
      <c r="B13430" s="6">
        <v>412.5</v>
      </c>
      <c r="C13430" s="6">
        <v>20.478950000000001</v>
      </c>
      <c r="D13430" s="6">
        <v>71</v>
      </c>
      <c r="E13430" s="6">
        <v>0</v>
      </c>
      <c r="F13430" s="6">
        <v>0</v>
      </c>
      <c r="G13430" s="6">
        <v>5</v>
      </c>
      <c r="H13430" s="6" t="s">
        <v>52498</v>
      </c>
      <c r="I13430" s="6">
        <v>532.3125</v>
      </c>
      <c r="J13430" s="2">
        <f t="shared" si="209"/>
        <v>43749.477846076385</v>
      </c>
    </row>
    <row r="13431" spans="1:10" x14ac:dyDescent="0.25">
      <c r="A13431" s="7" t="s">
        <v>52499</v>
      </c>
      <c r="B13431" s="8">
        <v>393.75</v>
      </c>
      <c r="C13431" s="8">
        <v>20.478950000000001</v>
      </c>
      <c r="D13431" s="8">
        <v>75</v>
      </c>
      <c r="E13431" s="8">
        <v>0</v>
      </c>
      <c r="F13431" s="8">
        <v>0</v>
      </c>
      <c r="G13431" s="8">
        <v>0</v>
      </c>
      <c r="H13431" s="8" t="s">
        <v>52500</v>
      </c>
      <c r="I13431" s="8">
        <v>526.6875</v>
      </c>
      <c r="J13431" s="3">
        <f t="shared" si="209"/>
        <v>43749.477917604163</v>
      </c>
    </row>
    <row r="13432" spans="1:10" x14ac:dyDescent="0.25">
      <c r="A13432" s="5" t="s">
        <v>52501</v>
      </c>
      <c r="B13432" s="6">
        <v>393.75</v>
      </c>
      <c r="C13432" s="6">
        <v>20.478950000000001</v>
      </c>
      <c r="D13432" s="6">
        <v>76</v>
      </c>
      <c r="E13432" s="6">
        <v>0</v>
      </c>
      <c r="F13432" s="6">
        <v>0</v>
      </c>
      <c r="G13432" s="6">
        <v>1</v>
      </c>
      <c r="H13432" s="6" t="s">
        <v>52502</v>
      </c>
      <c r="I13432" s="6">
        <v>526.6875</v>
      </c>
      <c r="J13432" s="2">
        <f t="shared" si="209"/>
        <v>43749.477989120373</v>
      </c>
    </row>
    <row r="13433" spans="1:10" x14ac:dyDescent="0.25">
      <c r="A13433" s="7" t="s">
        <v>52503</v>
      </c>
      <c r="B13433" s="8">
        <v>393.75</v>
      </c>
      <c r="C13433" s="8">
        <v>20.478950000000001</v>
      </c>
      <c r="D13433" s="8">
        <v>75</v>
      </c>
      <c r="E13433" s="8">
        <v>0</v>
      </c>
      <c r="F13433" s="8">
        <v>0</v>
      </c>
      <c r="G13433" s="8">
        <v>3</v>
      </c>
      <c r="H13433" s="8" t="s">
        <v>52504</v>
      </c>
      <c r="I13433" s="8">
        <v>526.6875</v>
      </c>
      <c r="J13433" s="3">
        <f t="shared" si="209"/>
        <v>43749.47808483796</v>
      </c>
    </row>
    <row r="13434" spans="1:10" x14ac:dyDescent="0.25">
      <c r="A13434" s="5" t="s">
        <v>52505</v>
      </c>
      <c r="B13434" s="6">
        <v>393.75</v>
      </c>
      <c r="C13434" s="6">
        <v>20.478950000000001</v>
      </c>
      <c r="D13434" s="6">
        <v>70</v>
      </c>
      <c r="E13434" s="6">
        <v>0</v>
      </c>
      <c r="F13434" s="6">
        <v>0</v>
      </c>
      <c r="G13434" s="6">
        <v>1</v>
      </c>
      <c r="H13434" s="6" t="s">
        <v>52506</v>
      </c>
      <c r="I13434" s="6">
        <v>526.6875</v>
      </c>
      <c r="J13434" s="2">
        <f t="shared" si="209"/>
        <v>43749.478168171292</v>
      </c>
    </row>
    <row r="13435" spans="1:10" x14ac:dyDescent="0.25">
      <c r="A13435" s="7" t="s">
        <v>52507</v>
      </c>
      <c r="B13435" s="8">
        <v>412.5</v>
      </c>
      <c r="C13435" s="8">
        <v>20.478950000000001</v>
      </c>
      <c r="D13435" s="8">
        <v>65</v>
      </c>
      <c r="E13435" s="8">
        <v>0</v>
      </c>
      <c r="F13435" s="8">
        <v>0</v>
      </c>
      <c r="G13435" s="8">
        <v>0</v>
      </c>
      <c r="H13435" s="8" t="s">
        <v>52508</v>
      </c>
      <c r="I13435" s="8">
        <v>532.875</v>
      </c>
      <c r="J13435" s="3">
        <f t="shared" si="209"/>
        <v>43749.47823969907</v>
      </c>
    </row>
    <row r="13436" spans="1:10" x14ac:dyDescent="0.25">
      <c r="A13436" s="5" t="s">
        <v>52509</v>
      </c>
      <c r="B13436" s="6">
        <v>393.75</v>
      </c>
      <c r="C13436" s="6">
        <v>20.478950000000001</v>
      </c>
      <c r="D13436" s="6">
        <v>67</v>
      </c>
      <c r="E13436" s="6">
        <v>0</v>
      </c>
      <c r="F13436" s="6">
        <v>0</v>
      </c>
      <c r="G13436" s="6">
        <v>12</v>
      </c>
      <c r="H13436" s="6" t="s">
        <v>52510</v>
      </c>
      <c r="I13436" s="6">
        <v>526.6875</v>
      </c>
      <c r="J13436" s="2">
        <f t="shared" si="209"/>
        <v>43749.478323136573</v>
      </c>
    </row>
    <row r="13437" spans="1:10" x14ac:dyDescent="0.25">
      <c r="A13437" s="7" t="s">
        <v>52511</v>
      </c>
      <c r="B13437" s="8">
        <v>393.75</v>
      </c>
      <c r="C13437" s="8">
        <v>20.478950000000001</v>
      </c>
      <c r="D13437" s="8">
        <v>70</v>
      </c>
      <c r="E13437" s="8">
        <v>0</v>
      </c>
      <c r="F13437" s="8">
        <v>0</v>
      </c>
      <c r="G13437" s="8">
        <v>8</v>
      </c>
      <c r="H13437" s="8" t="s">
        <v>52512</v>
      </c>
      <c r="I13437" s="8">
        <v>526.6875</v>
      </c>
      <c r="J13437" s="3">
        <f t="shared" si="209"/>
        <v>43749.478406585644</v>
      </c>
    </row>
    <row r="13438" spans="1:10" x14ac:dyDescent="0.25">
      <c r="A13438" s="5" t="s">
        <v>52513</v>
      </c>
      <c r="B13438" s="6">
        <v>393.75</v>
      </c>
      <c r="C13438" s="6">
        <v>20.478950000000001</v>
      </c>
      <c r="D13438" s="6">
        <v>70</v>
      </c>
      <c r="E13438" s="6">
        <v>0</v>
      </c>
      <c r="F13438" s="6">
        <v>0</v>
      </c>
      <c r="G13438" s="6">
        <v>3</v>
      </c>
      <c r="H13438" s="6" t="s">
        <v>52514</v>
      </c>
      <c r="I13438" s="6">
        <v>526.6875</v>
      </c>
      <c r="J13438" s="2">
        <f t="shared" si="209"/>
        <v>43749.478489814814</v>
      </c>
    </row>
    <row r="13439" spans="1:10" x14ac:dyDescent="0.25">
      <c r="A13439" s="7" t="s">
        <v>52515</v>
      </c>
      <c r="B13439" s="8">
        <v>393.75</v>
      </c>
      <c r="C13439" s="8">
        <v>20.478950000000001</v>
      </c>
      <c r="D13439" s="8">
        <v>70</v>
      </c>
      <c r="E13439" s="8">
        <v>0</v>
      </c>
      <c r="F13439" s="8">
        <v>0</v>
      </c>
      <c r="G13439" s="8">
        <v>3</v>
      </c>
      <c r="H13439" s="8" t="s">
        <v>52516</v>
      </c>
      <c r="I13439" s="8">
        <v>526.6875</v>
      </c>
      <c r="J13439" s="3">
        <f t="shared" si="209"/>
        <v>43749.478561354168</v>
      </c>
    </row>
    <row r="13440" spans="1:10" x14ac:dyDescent="0.25">
      <c r="A13440" s="5" t="s">
        <v>52517</v>
      </c>
      <c r="B13440" s="6">
        <v>393.75</v>
      </c>
      <c r="C13440" s="6">
        <v>20.478950000000001</v>
      </c>
      <c r="D13440" s="6">
        <v>69</v>
      </c>
      <c r="E13440" s="6">
        <v>0</v>
      </c>
      <c r="F13440" s="6">
        <v>0</v>
      </c>
      <c r="G13440" s="6">
        <v>6</v>
      </c>
      <c r="H13440" s="6" t="s">
        <v>52518</v>
      </c>
      <c r="I13440" s="6">
        <v>526.6875</v>
      </c>
      <c r="J13440" s="2">
        <f t="shared" si="209"/>
        <v>43749.478645358795</v>
      </c>
    </row>
    <row r="13441" spans="1:10" x14ac:dyDescent="0.25">
      <c r="A13441" s="7" t="s">
        <v>52519</v>
      </c>
      <c r="B13441" s="8">
        <v>393.75</v>
      </c>
      <c r="C13441" s="8">
        <v>20.478950000000001</v>
      </c>
      <c r="D13441" s="8">
        <v>69</v>
      </c>
      <c r="E13441" s="8">
        <v>0</v>
      </c>
      <c r="F13441" s="8">
        <v>0</v>
      </c>
      <c r="G13441" s="8">
        <v>15</v>
      </c>
      <c r="H13441" s="8" t="s">
        <v>52520</v>
      </c>
      <c r="I13441" s="8">
        <v>526.6875</v>
      </c>
      <c r="J13441" s="3">
        <f t="shared" si="209"/>
        <v>43749.478745358792</v>
      </c>
    </row>
    <row r="13442" spans="1:10" x14ac:dyDescent="0.25">
      <c r="A13442" s="5" t="s">
        <v>52521</v>
      </c>
      <c r="B13442" s="6">
        <v>393.75</v>
      </c>
      <c r="C13442" s="6">
        <v>20.478950000000001</v>
      </c>
      <c r="D13442" s="6">
        <v>69</v>
      </c>
      <c r="E13442" s="6">
        <v>0</v>
      </c>
      <c r="F13442" s="6">
        <v>0</v>
      </c>
      <c r="G13442" s="6">
        <v>11</v>
      </c>
      <c r="H13442" s="6" t="s">
        <v>52522</v>
      </c>
      <c r="I13442" s="6">
        <v>526.6875</v>
      </c>
      <c r="J13442" s="2">
        <f t="shared" ref="J13442:J13505" si="210">(H13442/86400000)+25569+(7/24)</f>
        <v>43749.478824050922</v>
      </c>
    </row>
    <row r="13443" spans="1:10" x14ac:dyDescent="0.25">
      <c r="A13443" s="7" t="s">
        <v>52523</v>
      </c>
      <c r="B13443" s="8">
        <v>393.75</v>
      </c>
      <c r="C13443" s="8">
        <v>20.531590000000001</v>
      </c>
      <c r="D13443" s="8">
        <v>68</v>
      </c>
      <c r="E13443" s="8">
        <v>0</v>
      </c>
      <c r="F13443" s="8">
        <v>0</v>
      </c>
      <c r="G13443" s="8">
        <v>2</v>
      </c>
      <c r="H13443" s="8" t="s">
        <v>52524</v>
      </c>
      <c r="I13443" s="8">
        <v>526.6875</v>
      </c>
      <c r="J13443" s="3">
        <f t="shared" si="210"/>
        <v>43749.478919317124</v>
      </c>
    </row>
    <row r="13444" spans="1:10" x14ac:dyDescent="0.25">
      <c r="A13444" s="5" t="s">
        <v>52525</v>
      </c>
      <c r="B13444" s="6">
        <v>393.75</v>
      </c>
      <c r="C13444" s="6">
        <v>20.478950000000001</v>
      </c>
      <c r="D13444" s="6">
        <v>67</v>
      </c>
      <c r="E13444" s="6">
        <v>0</v>
      </c>
      <c r="F13444" s="6">
        <v>0</v>
      </c>
      <c r="G13444" s="6">
        <v>10</v>
      </c>
      <c r="H13444" s="6" t="s">
        <v>52526</v>
      </c>
      <c r="I13444" s="6">
        <v>526.6875</v>
      </c>
      <c r="J13444" s="2">
        <f t="shared" si="210"/>
        <v>43749.478991087955</v>
      </c>
    </row>
    <row r="13445" spans="1:10" x14ac:dyDescent="0.25">
      <c r="A13445" s="7" t="s">
        <v>52527</v>
      </c>
      <c r="B13445" s="8">
        <v>393.75</v>
      </c>
      <c r="C13445" s="8">
        <v>20.478950000000001</v>
      </c>
      <c r="D13445" s="8">
        <v>70</v>
      </c>
      <c r="E13445" s="8">
        <v>0</v>
      </c>
      <c r="F13445" s="8">
        <v>0</v>
      </c>
      <c r="G13445" s="8">
        <v>14</v>
      </c>
      <c r="H13445" s="8" t="s">
        <v>52528</v>
      </c>
      <c r="I13445" s="8">
        <v>526.6875</v>
      </c>
      <c r="J13445" s="3">
        <f t="shared" si="210"/>
        <v>43749.47907454861</v>
      </c>
    </row>
    <row r="13446" spans="1:10" x14ac:dyDescent="0.25">
      <c r="A13446" s="5" t="s">
        <v>52529</v>
      </c>
      <c r="B13446" s="6">
        <v>393.75</v>
      </c>
      <c r="C13446" s="6">
        <v>20.478950000000001</v>
      </c>
      <c r="D13446" s="6">
        <v>71</v>
      </c>
      <c r="E13446" s="6">
        <v>0</v>
      </c>
      <c r="F13446" s="6">
        <v>0</v>
      </c>
      <c r="G13446" s="6">
        <v>12</v>
      </c>
      <c r="H13446" s="6" t="s">
        <v>52530</v>
      </c>
      <c r="I13446" s="6">
        <v>526.6875</v>
      </c>
      <c r="J13446" s="2">
        <f t="shared" si="210"/>
        <v>43749.479157986112</v>
      </c>
    </row>
    <row r="13447" spans="1:10" x14ac:dyDescent="0.25">
      <c r="A13447" s="7" t="s">
        <v>52531</v>
      </c>
      <c r="B13447" s="8">
        <v>412.5</v>
      </c>
      <c r="C13447" s="8">
        <v>20.478950000000001</v>
      </c>
      <c r="D13447" s="8">
        <v>70</v>
      </c>
      <c r="E13447" s="8">
        <v>0</v>
      </c>
      <c r="F13447" s="8">
        <v>0</v>
      </c>
      <c r="G13447" s="8">
        <v>15</v>
      </c>
      <c r="H13447" s="8" t="s">
        <v>52532</v>
      </c>
      <c r="I13447" s="8">
        <v>532.3125</v>
      </c>
      <c r="J13447" s="3">
        <f t="shared" si="210"/>
        <v>43749.479241759262</v>
      </c>
    </row>
    <row r="13448" spans="1:10" x14ac:dyDescent="0.25">
      <c r="A13448" s="5" t="s">
        <v>52533</v>
      </c>
      <c r="B13448" s="6">
        <v>393.75</v>
      </c>
      <c r="C13448" s="6">
        <v>20.478950000000001</v>
      </c>
      <c r="D13448" s="6">
        <v>70</v>
      </c>
      <c r="E13448" s="6">
        <v>0</v>
      </c>
      <c r="F13448" s="6">
        <v>0</v>
      </c>
      <c r="G13448" s="6">
        <v>10</v>
      </c>
      <c r="H13448" s="6" t="s">
        <v>52534</v>
      </c>
      <c r="I13448" s="6">
        <v>526.6875</v>
      </c>
      <c r="J13448" s="2">
        <f t="shared" si="210"/>
        <v>43749.479324988424</v>
      </c>
    </row>
    <row r="13449" spans="1:10" x14ac:dyDescent="0.25">
      <c r="A13449" s="7" t="s">
        <v>52535</v>
      </c>
      <c r="B13449" s="8">
        <v>393.75</v>
      </c>
      <c r="C13449" s="8">
        <v>20.478950000000001</v>
      </c>
      <c r="D13449" s="8">
        <v>70</v>
      </c>
      <c r="E13449" s="8">
        <v>0</v>
      </c>
      <c r="F13449" s="8">
        <v>0</v>
      </c>
      <c r="G13449" s="8">
        <v>8</v>
      </c>
      <c r="H13449" s="8" t="s">
        <v>52536</v>
      </c>
      <c r="I13449" s="8">
        <v>526.6875</v>
      </c>
      <c r="J13449" s="3">
        <f t="shared" si="210"/>
        <v>43749.479408217587</v>
      </c>
    </row>
    <row r="13450" spans="1:10" x14ac:dyDescent="0.25">
      <c r="A13450" s="5" t="s">
        <v>52537</v>
      </c>
      <c r="B13450" s="6">
        <v>393.75</v>
      </c>
      <c r="C13450" s="6">
        <v>20.478950000000001</v>
      </c>
      <c r="D13450" s="6">
        <v>69</v>
      </c>
      <c r="E13450" s="6">
        <v>0</v>
      </c>
      <c r="F13450" s="6">
        <v>0</v>
      </c>
      <c r="G13450" s="6">
        <v>12</v>
      </c>
      <c r="H13450" s="6" t="s">
        <v>52538</v>
      </c>
      <c r="I13450" s="6">
        <v>526.6875</v>
      </c>
      <c r="J13450" s="2">
        <f t="shared" si="210"/>
        <v>43749.479492002312</v>
      </c>
    </row>
    <row r="13451" spans="1:10" x14ac:dyDescent="0.25">
      <c r="A13451" s="7" t="s">
        <v>52539</v>
      </c>
      <c r="B13451" s="8">
        <v>393.75</v>
      </c>
      <c r="C13451" s="8">
        <v>20.478950000000001</v>
      </c>
      <c r="D13451" s="8">
        <v>67</v>
      </c>
      <c r="E13451" s="8">
        <v>0</v>
      </c>
      <c r="F13451" s="8">
        <v>0</v>
      </c>
      <c r="G13451" s="8">
        <v>18</v>
      </c>
      <c r="H13451" s="8" t="s">
        <v>52540</v>
      </c>
      <c r="I13451" s="8">
        <v>526.6875</v>
      </c>
      <c r="J13451" s="3">
        <f t="shared" si="210"/>
        <v>43749.479575555553</v>
      </c>
    </row>
    <row r="13452" spans="1:10" x14ac:dyDescent="0.25">
      <c r="A13452" s="5" t="s">
        <v>52541</v>
      </c>
      <c r="B13452" s="6">
        <v>393.75</v>
      </c>
      <c r="C13452" s="6">
        <v>20.478950000000001</v>
      </c>
      <c r="D13452" s="6">
        <v>68</v>
      </c>
      <c r="E13452" s="6">
        <v>0</v>
      </c>
      <c r="F13452" s="6">
        <v>0</v>
      </c>
      <c r="G13452" s="6">
        <v>8</v>
      </c>
      <c r="H13452" s="6" t="s">
        <v>52542</v>
      </c>
      <c r="I13452" s="6">
        <v>526.6875</v>
      </c>
      <c r="J13452" s="2">
        <f t="shared" si="210"/>
        <v>43749.479646979169</v>
      </c>
    </row>
    <row r="13453" spans="1:10" x14ac:dyDescent="0.25">
      <c r="A13453" s="7" t="s">
        <v>52543</v>
      </c>
      <c r="B13453" s="8">
        <v>393.75</v>
      </c>
      <c r="C13453" s="8">
        <v>20.478950000000001</v>
      </c>
      <c r="D13453" s="8">
        <v>68</v>
      </c>
      <c r="E13453" s="8">
        <v>0</v>
      </c>
      <c r="F13453" s="8">
        <v>0</v>
      </c>
      <c r="G13453" s="8">
        <v>2</v>
      </c>
      <c r="H13453" s="8" t="s">
        <v>52544</v>
      </c>
      <c r="I13453" s="8">
        <v>526.6875</v>
      </c>
      <c r="J13453" s="3">
        <f t="shared" si="210"/>
        <v>43749.479730555555</v>
      </c>
    </row>
    <row r="13454" spans="1:10" x14ac:dyDescent="0.25">
      <c r="A13454" s="5" t="s">
        <v>52545</v>
      </c>
      <c r="B13454" s="6">
        <v>393.75</v>
      </c>
      <c r="C13454" s="6">
        <v>20.478950000000001</v>
      </c>
      <c r="D13454" s="6">
        <v>68</v>
      </c>
      <c r="E13454" s="6">
        <v>0</v>
      </c>
      <c r="F13454" s="6">
        <v>0</v>
      </c>
      <c r="G13454" s="6">
        <v>15</v>
      </c>
      <c r="H13454" s="6" t="s">
        <v>52546</v>
      </c>
      <c r="I13454" s="6">
        <v>526.6875</v>
      </c>
      <c r="J13454" s="2">
        <f t="shared" si="210"/>
        <v>43749.479814120372</v>
      </c>
    </row>
    <row r="13455" spans="1:10" x14ac:dyDescent="0.25">
      <c r="A13455" s="7" t="s">
        <v>52547</v>
      </c>
      <c r="B13455" s="8">
        <v>393.75</v>
      </c>
      <c r="C13455" s="8">
        <v>20.531590000000001</v>
      </c>
      <c r="D13455" s="8">
        <v>68</v>
      </c>
      <c r="E13455" s="8">
        <v>0</v>
      </c>
      <c r="F13455" s="8">
        <v>0</v>
      </c>
      <c r="G13455" s="8">
        <v>2</v>
      </c>
      <c r="H13455" s="8" t="s">
        <v>52548</v>
      </c>
      <c r="I13455" s="8">
        <v>526.6875</v>
      </c>
      <c r="J13455" s="3">
        <f t="shared" si="210"/>
        <v>43749.47989722222</v>
      </c>
    </row>
    <row r="13456" spans="1:10" x14ac:dyDescent="0.25">
      <c r="A13456" s="5" t="s">
        <v>52549</v>
      </c>
      <c r="B13456" s="6">
        <v>393.75</v>
      </c>
      <c r="C13456" s="6">
        <v>20.531590000000001</v>
      </c>
      <c r="D13456" s="6">
        <v>68</v>
      </c>
      <c r="E13456" s="6">
        <v>0</v>
      </c>
      <c r="F13456" s="6">
        <v>0</v>
      </c>
      <c r="G13456" s="6">
        <v>4</v>
      </c>
      <c r="H13456" s="6" t="s">
        <v>52550</v>
      </c>
      <c r="I13456" s="6">
        <v>526.6875</v>
      </c>
      <c r="J13456" s="2">
        <f t="shared" si="210"/>
        <v>43749.479981018514</v>
      </c>
    </row>
    <row r="13457" spans="1:10" x14ac:dyDescent="0.25">
      <c r="A13457" s="7" t="s">
        <v>52551</v>
      </c>
      <c r="B13457" s="8">
        <v>393.75</v>
      </c>
      <c r="C13457" s="8">
        <v>20.478950000000001</v>
      </c>
      <c r="D13457" s="8">
        <v>66</v>
      </c>
      <c r="E13457" s="8">
        <v>0</v>
      </c>
      <c r="F13457" s="8">
        <v>0</v>
      </c>
      <c r="G13457" s="8">
        <v>15</v>
      </c>
      <c r="H13457" s="8" t="s">
        <v>52552</v>
      </c>
      <c r="I13457" s="8">
        <v>526.6875</v>
      </c>
      <c r="J13457" s="3">
        <f t="shared" si="210"/>
        <v>43749.480064513882</v>
      </c>
    </row>
    <row r="13458" spans="1:10" x14ac:dyDescent="0.25">
      <c r="A13458" s="5" t="s">
        <v>52553</v>
      </c>
      <c r="B13458" s="6">
        <v>393.75</v>
      </c>
      <c r="C13458" s="6">
        <v>20.478950000000001</v>
      </c>
      <c r="D13458" s="6">
        <v>66</v>
      </c>
      <c r="E13458" s="6">
        <v>0</v>
      </c>
      <c r="F13458" s="6">
        <v>0</v>
      </c>
      <c r="G13458" s="6">
        <v>5</v>
      </c>
      <c r="H13458" s="6" t="s">
        <v>52554</v>
      </c>
      <c r="I13458" s="6">
        <v>526.6875</v>
      </c>
      <c r="J13458" s="2">
        <f t="shared" si="210"/>
        <v>43749.480135995364</v>
      </c>
    </row>
    <row r="13459" spans="1:10" x14ac:dyDescent="0.25">
      <c r="A13459" s="7" t="s">
        <v>52555</v>
      </c>
      <c r="B13459" s="8">
        <v>393.75</v>
      </c>
      <c r="C13459" s="8">
        <v>20.478950000000001</v>
      </c>
      <c r="D13459" s="8">
        <v>66</v>
      </c>
      <c r="E13459" s="8">
        <v>0</v>
      </c>
      <c r="F13459" s="8">
        <v>0</v>
      </c>
      <c r="G13459" s="8">
        <v>3</v>
      </c>
      <c r="H13459" s="8" t="s">
        <v>52556</v>
      </c>
      <c r="I13459" s="8">
        <v>526.6875</v>
      </c>
      <c r="J13459" s="3">
        <f t="shared" si="210"/>
        <v>43749.480219317127</v>
      </c>
    </row>
    <row r="13460" spans="1:10" x14ac:dyDescent="0.25">
      <c r="A13460" s="5" t="s">
        <v>52557</v>
      </c>
      <c r="B13460" s="6">
        <v>393.75</v>
      </c>
      <c r="C13460" s="6">
        <v>20.426300000000001</v>
      </c>
      <c r="D13460" s="6">
        <v>66</v>
      </c>
      <c r="E13460" s="6">
        <v>0</v>
      </c>
      <c r="F13460" s="6">
        <v>0</v>
      </c>
      <c r="G13460" s="6">
        <v>8</v>
      </c>
      <c r="H13460" s="6" t="s">
        <v>52558</v>
      </c>
      <c r="I13460" s="6">
        <v>526.6875</v>
      </c>
      <c r="J13460" s="2">
        <f t="shared" si="210"/>
        <v>43749.480290729167</v>
      </c>
    </row>
    <row r="13461" spans="1:10" x14ac:dyDescent="0.25">
      <c r="A13461" s="7" t="s">
        <v>52559</v>
      </c>
      <c r="B13461" s="8">
        <v>393.75</v>
      </c>
      <c r="C13461" s="8">
        <v>20.531590000000001</v>
      </c>
      <c r="D13461" s="8">
        <v>69</v>
      </c>
      <c r="E13461" s="8">
        <v>0</v>
      </c>
      <c r="F13461" s="8">
        <v>0</v>
      </c>
      <c r="G13461" s="8">
        <v>1</v>
      </c>
      <c r="H13461" s="8" t="s">
        <v>52560</v>
      </c>
      <c r="I13461" s="8">
        <v>526.6875</v>
      </c>
      <c r="J13461" s="3">
        <f t="shared" si="210"/>
        <v>43749.480362835646</v>
      </c>
    </row>
    <row r="13462" spans="1:10" x14ac:dyDescent="0.25">
      <c r="A13462" s="5" t="s">
        <v>52561</v>
      </c>
      <c r="B13462" s="6">
        <v>393.75</v>
      </c>
      <c r="C13462" s="6">
        <v>20.478950000000001</v>
      </c>
      <c r="D13462" s="6">
        <v>69</v>
      </c>
      <c r="E13462" s="6">
        <v>0</v>
      </c>
      <c r="F13462" s="6">
        <v>0</v>
      </c>
      <c r="G13462" s="6">
        <v>6</v>
      </c>
      <c r="H13462" s="6" t="s">
        <v>52562</v>
      </c>
      <c r="I13462" s="6">
        <v>526.6875</v>
      </c>
      <c r="J13462" s="2">
        <f t="shared" si="210"/>
        <v>43749.480446319438</v>
      </c>
    </row>
    <row r="13463" spans="1:10" x14ac:dyDescent="0.25">
      <c r="A13463" s="7" t="s">
        <v>52563</v>
      </c>
      <c r="B13463" s="8">
        <v>393.75</v>
      </c>
      <c r="C13463" s="8">
        <v>20.478950000000001</v>
      </c>
      <c r="D13463" s="8">
        <v>70</v>
      </c>
      <c r="E13463" s="8">
        <v>0</v>
      </c>
      <c r="F13463" s="8">
        <v>0</v>
      </c>
      <c r="G13463" s="8">
        <v>6</v>
      </c>
      <c r="H13463" s="8" t="s">
        <v>52564</v>
      </c>
      <c r="I13463" s="8">
        <v>526.6875</v>
      </c>
      <c r="J13463" s="3">
        <f t="shared" si="210"/>
        <v>43749.480517465279</v>
      </c>
    </row>
    <row r="13464" spans="1:10" x14ac:dyDescent="0.25">
      <c r="A13464" s="5" t="s">
        <v>52565</v>
      </c>
      <c r="B13464" s="6">
        <v>393.75</v>
      </c>
      <c r="C13464" s="6">
        <v>20.478950000000001</v>
      </c>
      <c r="D13464" s="6">
        <v>69</v>
      </c>
      <c r="E13464" s="6">
        <v>0</v>
      </c>
      <c r="F13464" s="6">
        <v>0</v>
      </c>
      <c r="G13464" s="6">
        <v>9</v>
      </c>
      <c r="H13464" s="6" t="s">
        <v>52566</v>
      </c>
      <c r="I13464" s="6">
        <v>526.6875</v>
      </c>
      <c r="J13464" s="2">
        <f t="shared" si="210"/>
        <v>43749.480600949071</v>
      </c>
    </row>
    <row r="13465" spans="1:10" x14ac:dyDescent="0.25">
      <c r="A13465" s="7" t="s">
        <v>52567</v>
      </c>
      <c r="B13465" s="8">
        <v>393.75</v>
      </c>
      <c r="C13465" s="8">
        <v>20.478950000000001</v>
      </c>
      <c r="D13465" s="8">
        <v>69</v>
      </c>
      <c r="E13465" s="8">
        <v>0</v>
      </c>
      <c r="F13465" s="8">
        <v>0</v>
      </c>
      <c r="G13465" s="8">
        <v>9</v>
      </c>
      <c r="H13465" s="8" t="s">
        <v>52568</v>
      </c>
      <c r="I13465" s="8">
        <v>526.6875</v>
      </c>
      <c r="J13465" s="3">
        <f t="shared" si="210"/>
        <v>43749.480672685182</v>
      </c>
    </row>
    <row r="13466" spans="1:10" x14ac:dyDescent="0.25">
      <c r="A13466" s="5" t="s">
        <v>52569</v>
      </c>
      <c r="B13466" s="6">
        <v>393.75</v>
      </c>
      <c r="C13466" s="6">
        <v>20.478950000000001</v>
      </c>
      <c r="D13466" s="6">
        <v>69</v>
      </c>
      <c r="E13466" s="6">
        <v>0</v>
      </c>
      <c r="F13466" s="6">
        <v>0</v>
      </c>
      <c r="G13466" s="6">
        <v>10</v>
      </c>
      <c r="H13466" s="6" t="s">
        <v>52570</v>
      </c>
      <c r="I13466" s="6">
        <v>526.6875</v>
      </c>
      <c r="J13466" s="2">
        <f t="shared" si="210"/>
        <v>43749.480756354162</v>
      </c>
    </row>
    <row r="13467" spans="1:10" x14ac:dyDescent="0.25">
      <c r="A13467" s="7" t="s">
        <v>52571</v>
      </c>
      <c r="B13467" s="8">
        <v>393.75</v>
      </c>
      <c r="C13467" s="8">
        <v>20.478950000000001</v>
      </c>
      <c r="D13467" s="8">
        <v>68</v>
      </c>
      <c r="E13467" s="8">
        <v>0</v>
      </c>
      <c r="F13467" s="8">
        <v>0</v>
      </c>
      <c r="G13467" s="8">
        <v>8</v>
      </c>
      <c r="H13467" s="8" t="s">
        <v>52572</v>
      </c>
      <c r="I13467" s="8">
        <v>526.6875</v>
      </c>
      <c r="J13467" s="3">
        <f t="shared" si="210"/>
        <v>43749.480851759254</v>
      </c>
    </row>
    <row r="13468" spans="1:10" x14ac:dyDescent="0.25">
      <c r="A13468" s="5" t="s">
        <v>52573</v>
      </c>
      <c r="B13468" s="6">
        <v>393.75</v>
      </c>
      <c r="C13468" s="6">
        <v>20.478950000000001</v>
      </c>
      <c r="D13468" s="6">
        <v>68</v>
      </c>
      <c r="E13468" s="6">
        <v>0</v>
      </c>
      <c r="F13468" s="6">
        <v>0</v>
      </c>
      <c r="G13468" s="6">
        <v>0</v>
      </c>
      <c r="H13468" s="6" t="s">
        <v>52574</v>
      </c>
      <c r="I13468" s="6">
        <v>526.6875</v>
      </c>
      <c r="J13468" s="2">
        <f t="shared" si="210"/>
        <v>43749.480935243053</v>
      </c>
    </row>
    <row r="13469" spans="1:10" x14ac:dyDescent="0.25">
      <c r="A13469" s="7" t="s">
        <v>52575</v>
      </c>
      <c r="B13469" s="8">
        <v>393.75</v>
      </c>
      <c r="C13469" s="8">
        <v>20.478950000000001</v>
      </c>
      <c r="D13469" s="8">
        <v>75</v>
      </c>
      <c r="E13469" s="8">
        <v>0</v>
      </c>
      <c r="F13469" s="8">
        <v>0</v>
      </c>
      <c r="G13469" s="8">
        <v>0</v>
      </c>
      <c r="H13469" s="8" t="s">
        <v>52576</v>
      </c>
      <c r="I13469" s="8">
        <v>526.6875</v>
      </c>
      <c r="J13469" s="3">
        <f t="shared" si="210"/>
        <v>43749.481006851849</v>
      </c>
    </row>
    <row r="13470" spans="1:10" x14ac:dyDescent="0.25">
      <c r="A13470" s="5" t="s">
        <v>52577</v>
      </c>
      <c r="B13470" s="6">
        <v>393.75</v>
      </c>
      <c r="C13470" s="6">
        <v>20.478950000000001</v>
      </c>
      <c r="D13470" s="6">
        <v>75</v>
      </c>
      <c r="E13470" s="6">
        <v>0</v>
      </c>
      <c r="F13470" s="6">
        <v>0</v>
      </c>
      <c r="G13470" s="6">
        <v>3</v>
      </c>
      <c r="H13470" s="6" t="s">
        <v>52578</v>
      </c>
      <c r="I13470" s="6">
        <v>526.6875</v>
      </c>
      <c r="J13470" s="2">
        <f t="shared" si="210"/>
        <v>43749.481089965273</v>
      </c>
    </row>
    <row r="13471" spans="1:10" x14ac:dyDescent="0.25">
      <c r="A13471" s="7" t="s">
        <v>52579</v>
      </c>
      <c r="B13471" s="8">
        <v>393.75</v>
      </c>
      <c r="C13471" s="8">
        <v>20.478950000000001</v>
      </c>
      <c r="D13471" s="8">
        <v>74</v>
      </c>
      <c r="E13471" s="8">
        <v>0</v>
      </c>
      <c r="F13471" s="8">
        <v>0</v>
      </c>
      <c r="G13471" s="8">
        <v>10</v>
      </c>
      <c r="H13471" s="8" t="s">
        <v>52580</v>
      </c>
      <c r="I13471" s="8">
        <v>526.6875</v>
      </c>
      <c r="J13471" s="3">
        <f t="shared" si="210"/>
        <v>43749.481161747688</v>
      </c>
    </row>
    <row r="13472" spans="1:10" x14ac:dyDescent="0.25">
      <c r="A13472" s="5" t="s">
        <v>52581</v>
      </c>
      <c r="B13472" s="6">
        <v>393.75</v>
      </c>
      <c r="C13472" s="6">
        <v>20.531590000000001</v>
      </c>
      <c r="D13472" s="6">
        <v>74</v>
      </c>
      <c r="E13472" s="6">
        <v>0</v>
      </c>
      <c r="F13472" s="6">
        <v>0</v>
      </c>
      <c r="G13472" s="6">
        <v>12</v>
      </c>
      <c r="H13472" s="6" t="s">
        <v>52582</v>
      </c>
      <c r="I13472" s="6">
        <v>526.6875</v>
      </c>
      <c r="J13472" s="2">
        <f t="shared" si="210"/>
        <v>43749.481245300922</v>
      </c>
    </row>
    <row r="13473" spans="1:10" x14ac:dyDescent="0.25">
      <c r="A13473" s="7" t="s">
        <v>52583</v>
      </c>
      <c r="B13473" s="8">
        <v>393.75</v>
      </c>
      <c r="C13473" s="8">
        <v>20.478950000000001</v>
      </c>
      <c r="D13473" s="8">
        <v>73</v>
      </c>
      <c r="E13473" s="8">
        <v>0</v>
      </c>
      <c r="F13473" s="8">
        <v>0</v>
      </c>
      <c r="G13473" s="8">
        <v>6</v>
      </c>
      <c r="H13473" s="8" t="s">
        <v>52584</v>
      </c>
      <c r="I13473" s="8">
        <v>526.6875</v>
      </c>
      <c r="J13473" s="3">
        <f t="shared" si="210"/>
        <v>43749.481329328701</v>
      </c>
    </row>
    <row r="13474" spans="1:10" x14ac:dyDescent="0.25">
      <c r="A13474" s="5" t="s">
        <v>52585</v>
      </c>
      <c r="B13474" s="6">
        <v>393.75</v>
      </c>
      <c r="C13474" s="6">
        <v>20.478950000000001</v>
      </c>
      <c r="D13474" s="6">
        <v>72</v>
      </c>
      <c r="E13474" s="6">
        <v>0</v>
      </c>
      <c r="F13474" s="6">
        <v>0</v>
      </c>
      <c r="G13474" s="6">
        <v>0</v>
      </c>
      <c r="H13474" s="6" t="s">
        <v>52586</v>
      </c>
      <c r="I13474" s="6">
        <v>526.6875</v>
      </c>
      <c r="J13474" s="2">
        <f t="shared" si="210"/>
        <v>43749.481412083333</v>
      </c>
    </row>
    <row r="13475" spans="1:10" x14ac:dyDescent="0.25">
      <c r="A13475" s="7" t="s">
        <v>52587</v>
      </c>
      <c r="B13475" s="8">
        <v>393.75</v>
      </c>
      <c r="C13475" s="8">
        <v>20.478950000000001</v>
      </c>
      <c r="D13475" s="8">
        <v>72</v>
      </c>
      <c r="E13475" s="8">
        <v>0</v>
      </c>
      <c r="F13475" s="8">
        <v>0</v>
      </c>
      <c r="G13475" s="8">
        <v>10</v>
      </c>
      <c r="H13475" s="8" t="s">
        <v>52588</v>
      </c>
      <c r="I13475" s="8">
        <v>526.6875</v>
      </c>
      <c r="J13475" s="3">
        <f t="shared" si="210"/>
        <v>43749.481483831019</v>
      </c>
    </row>
    <row r="13476" spans="1:10" x14ac:dyDescent="0.25">
      <c r="A13476" s="5" t="s">
        <v>52589</v>
      </c>
      <c r="B13476" s="6">
        <v>412.5</v>
      </c>
      <c r="C13476" s="6">
        <v>20.478950000000001</v>
      </c>
      <c r="D13476" s="6">
        <v>67</v>
      </c>
      <c r="E13476" s="6">
        <v>0</v>
      </c>
      <c r="F13476" s="6">
        <v>0</v>
      </c>
      <c r="G13476" s="6">
        <v>7</v>
      </c>
      <c r="H13476" s="6" t="s">
        <v>52590</v>
      </c>
      <c r="I13476" s="6">
        <v>532.3125</v>
      </c>
      <c r="J13476" s="2">
        <f t="shared" si="210"/>
        <v>43749.481567499999</v>
      </c>
    </row>
    <row r="13477" spans="1:10" x14ac:dyDescent="0.25">
      <c r="A13477" s="7" t="s">
        <v>52591</v>
      </c>
      <c r="B13477" s="8">
        <v>393.75</v>
      </c>
      <c r="C13477" s="8">
        <v>20.478950000000001</v>
      </c>
      <c r="D13477" s="8">
        <v>66</v>
      </c>
      <c r="E13477" s="8">
        <v>0</v>
      </c>
      <c r="F13477" s="8">
        <v>0</v>
      </c>
      <c r="G13477" s="8">
        <v>12</v>
      </c>
      <c r="H13477" s="8" t="s">
        <v>52592</v>
      </c>
      <c r="I13477" s="8">
        <v>526.6875</v>
      </c>
      <c r="J13477" s="3">
        <f t="shared" si="210"/>
        <v>43749.481650937501</v>
      </c>
    </row>
    <row r="13478" spans="1:10" x14ac:dyDescent="0.25">
      <c r="A13478" s="5" t="s">
        <v>52593</v>
      </c>
      <c r="B13478" s="6">
        <v>393.75</v>
      </c>
      <c r="C13478" s="6">
        <v>20.478950000000001</v>
      </c>
      <c r="D13478" s="6">
        <v>65</v>
      </c>
      <c r="E13478" s="6">
        <v>0</v>
      </c>
      <c r="F13478" s="6">
        <v>0</v>
      </c>
      <c r="G13478" s="6">
        <v>1</v>
      </c>
      <c r="H13478" s="6" t="s">
        <v>52594</v>
      </c>
      <c r="I13478" s="6">
        <v>526.6875</v>
      </c>
      <c r="J13478" s="2">
        <f t="shared" si="210"/>
        <v>43749.481734189809</v>
      </c>
    </row>
    <row r="13479" spans="1:10" x14ac:dyDescent="0.25">
      <c r="A13479" s="7" t="s">
        <v>52595</v>
      </c>
      <c r="B13479" s="8">
        <v>393.75</v>
      </c>
      <c r="C13479" s="8">
        <v>20.478950000000001</v>
      </c>
      <c r="D13479" s="8">
        <v>66</v>
      </c>
      <c r="E13479" s="8">
        <v>0</v>
      </c>
      <c r="F13479" s="8">
        <v>0</v>
      </c>
      <c r="G13479" s="8">
        <v>6</v>
      </c>
      <c r="H13479" s="8" t="s">
        <v>52596</v>
      </c>
      <c r="I13479" s="8">
        <v>526.6875</v>
      </c>
      <c r="J13479" s="3">
        <f t="shared" si="210"/>
        <v>43749.48181784722</v>
      </c>
    </row>
    <row r="13480" spans="1:10" x14ac:dyDescent="0.25">
      <c r="A13480" s="5" t="s">
        <v>52597</v>
      </c>
      <c r="B13480" s="6">
        <v>393.75</v>
      </c>
      <c r="C13480" s="6">
        <v>20.478950000000001</v>
      </c>
      <c r="D13480" s="6">
        <v>66</v>
      </c>
      <c r="E13480" s="6">
        <v>0</v>
      </c>
      <c r="F13480" s="6">
        <v>0</v>
      </c>
      <c r="G13480" s="6">
        <v>0</v>
      </c>
      <c r="H13480" s="6" t="s">
        <v>52598</v>
      </c>
      <c r="I13480" s="6">
        <v>526.5</v>
      </c>
      <c r="J13480" s="2">
        <f t="shared" si="210"/>
        <v>43749.48190097222</v>
      </c>
    </row>
    <row r="13481" spans="1:10" x14ac:dyDescent="0.25">
      <c r="A13481" s="7" t="s">
        <v>52599</v>
      </c>
      <c r="B13481" s="8">
        <v>393.75</v>
      </c>
      <c r="C13481" s="8">
        <v>20.478950000000001</v>
      </c>
      <c r="D13481" s="8">
        <v>66</v>
      </c>
      <c r="E13481" s="8">
        <v>0</v>
      </c>
      <c r="F13481" s="8">
        <v>0</v>
      </c>
      <c r="G13481" s="8">
        <v>10</v>
      </c>
      <c r="H13481" s="8" t="s">
        <v>52600</v>
      </c>
      <c r="I13481" s="8">
        <v>526.6875</v>
      </c>
      <c r="J13481" s="3">
        <f t="shared" si="210"/>
        <v>43749.481972280089</v>
      </c>
    </row>
    <row r="13482" spans="1:10" x14ac:dyDescent="0.25">
      <c r="A13482" s="5" t="s">
        <v>52601</v>
      </c>
      <c r="B13482" s="6">
        <v>393.75</v>
      </c>
      <c r="C13482" s="6">
        <v>20.478950000000001</v>
      </c>
      <c r="D13482" s="6">
        <v>67</v>
      </c>
      <c r="E13482" s="6">
        <v>0</v>
      </c>
      <c r="F13482" s="6">
        <v>0</v>
      </c>
      <c r="G13482" s="6">
        <v>8</v>
      </c>
      <c r="H13482" s="6" t="s">
        <v>52602</v>
      </c>
      <c r="I13482" s="6">
        <v>526.6875</v>
      </c>
      <c r="J13482" s="2">
        <f t="shared" si="210"/>
        <v>43749.482056597219</v>
      </c>
    </row>
    <row r="13483" spans="1:10" x14ac:dyDescent="0.25">
      <c r="A13483" s="7" t="s">
        <v>52603</v>
      </c>
      <c r="B13483" s="8">
        <v>393.75</v>
      </c>
      <c r="C13483" s="8">
        <v>20.478950000000001</v>
      </c>
      <c r="D13483" s="8">
        <v>64</v>
      </c>
      <c r="E13483" s="8">
        <v>0</v>
      </c>
      <c r="F13483" s="8">
        <v>0</v>
      </c>
      <c r="G13483" s="8">
        <v>9</v>
      </c>
      <c r="H13483" s="8" t="s">
        <v>52604</v>
      </c>
      <c r="I13483" s="8">
        <v>526.6875</v>
      </c>
      <c r="J13483" s="3">
        <f t="shared" si="210"/>
        <v>43749.482139861109</v>
      </c>
    </row>
    <row r="13484" spans="1:10" x14ac:dyDescent="0.25">
      <c r="A13484" s="5" t="s">
        <v>52605</v>
      </c>
      <c r="B13484" s="6">
        <v>393.75</v>
      </c>
      <c r="C13484" s="6">
        <v>20.478950000000001</v>
      </c>
      <c r="D13484" s="6">
        <v>62</v>
      </c>
      <c r="E13484" s="6">
        <v>0</v>
      </c>
      <c r="F13484" s="6">
        <v>0</v>
      </c>
      <c r="G13484" s="6">
        <v>17</v>
      </c>
      <c r="H13484" s="6" t="s">
        <v>52606</v>
      </c>
      <c r="I13484" s="6">
        <v>526.5</v>
      </c>
      <c r="J13484" s="2">
        <f t="shared" si="210"/>
        <v>43749.482223067127</v>
      </c>
    </row>
    <row r="13485" spans="1:10" x14ac:dyDescent="0.25">
      <c r="A13485" s="7" t="s">
        <v>52607</v>
      </c>
      <c r="B13485" s="8">
        <v>393.75</v>
      </c>
      <c r="C13485" s="8">
        <v>20.478950000000001</v>
      </c>
      <c r="D13485" s="8">
        <v>62</v>
      </c>
      <c r="E13485" s="8">
        <v>0</v>
      </c>
      <c r="F13485" s="8">
        <v>0</v>
      </c>
      <c r="G13485" s="8">
        <v>8</v>
      </c>
      <c r="H13485" s="8" t="s">
        <v>52608</v>
      </c>
      <c r="I13485" s="8">
        <v>526.6875</v>
      </c>
      <c r="J13485" s="3">
        <f t="shared" si="210"/>
        <v>43749.482294826383</v>
      </c>
    </row>
    <row r="13486" spans="1:10" x14ac:dyDescent="0.25">
      <c r="A13486" s="5" t="s">
        <v>52609</v>
      </c>
      <c r="B13486" s="6">
        <v>393.75</v>
      </c>
      <c r="C13486" s="6">
        <v>20.478950000000001</v>
      </c>
      <c r="D13486" s="6">
        <v>62</v>
      </c>
      <c r="E13486" s="6">
        <v>0</v>
      </c>
      <c r="F13486" s="6">
        <v>0</v>
      </c>
      <c r="G13486" s="6">
        <v>2</v>
      </c>
      <c r="H13486" s="6" t="s">
        <v>52610</v>
      </c>
      <c r="I13486" s="6">
        <v>526.6875</v>
      </c>
      <c r="J13486" s="2">
        <f t="shared" si="210"/>
        <v>43749.482366481483</v>
      </c>
    </row>
    <row r="13487" spans="1:10" x14ac:dyDescent="0.25">
      <c r="A13487" s="7" t="s">
        <v>52611</v>
      </c>
      <c r="B13487" s="8">
        <v>393.75</v>
      </c>
      <c r="C13487" s="8">
        <v>20.478950000000001</v>
      </c>
      <c r="D13487" s="8">
        <v>63</v>
      </c>
      <c r="E13487" s="8">
        <v>0</v>
      </c>
      <c r="F13487" s="8">
        <v>0</v>
      </c>
      <c r="G13487" s="8">
        <v>5</v>
      </c>
      <c r="H13487" s="8" t="s">
        <v>52612</v>
      </c>
      <c r="I13487" s="8">
        <v>526.5</v>
      </c>
      <c r="J13487" s="3">
        <f t="shared" si="210"/>
        <v>43749.482449953699</v>
      </c>
    </row>
    <row r="13488" spans="1:10" x14ac:dyDescent="0.25">
      <c r="A13488" s="5" t="s">
        <v>52613</v>
      </c>
      <c r="B13488" s="6">
        <v>393.75</v>
      </c>
      <c r="C13488" s="6">
        <v>20.478950000000001</v>
      </c>
      <c r="D13488" s="6">
        <v>67</v>
      </c>
      <c r="E13488" s="6">
        <v>0</v>
      </c>
      <c r="F13488" s="6">
        <v>0</v>
      </c>
      <c r="G13488" s="6">
        <v>2</v>
      </c>
      <c r="H13488" s="6" t="s">
        <v>52614</v>
      </c>
      <c r="I13488" s="6">
        <v>526.6875</v>
      </c>
      <c r="J13488" s="2">
        <f t="shared" si="210"/>
        <v>43749.482521446756</v>
      </c>
    </row>
    <row r="13489" spans="1:10" x14ac:dyDescent="0.25">
      <c r="A13489" s="7" t="s">
        <v>52615</v>
      </c>
      <c r="B13489" s="8">
        <v>393.75</v>
      </c>
      <c r="C13489" s="8">
        <v>20.531590000000001</v>
      </c>
      <c r="D13489" s="8">
        <v>67</v>
      </c>
      <c r="E13489" s="8">
        <v>0</v>
      </c>
      <c r="F13489" s="8">
        <v>0</v>
      </c>
      <c r="G13489" s="8">
        <v>0</v>
      </c>
      <c r="H13489" s="8" t="s">
        <v>52616</v>
      </c>
      <c r="I13489" s="8">
        <v>526.6875</v>
      </c>
      <c r="J13489" s="3">
        <f t="shared" si="210"/>
        <v>43749.482604675919</v>
      </c>
    </row>
    <row r="13490" spans="1:10" x14ac:dyDescent="0.25">
      <c r="A13490" s="5" t="s">
        <v>52617</v>
      </c>
      <c r="B13490" s="6">
        <v>393.75</v>
      </c>
      <c r="C13490" s="6">
        <v>20.478950000000001</v>
      </c>
      <c r="D13490" s="6">
        <v>67</v>
      </c>
      <c r="E13490" s="6">
        <v>0</v>
      </c>
      <c r="F13490" s="6">
        <v>0</v>
      </c>
      <c r="G13490" s="6">
        <v>6</v>
      </c>
      <c r="H13490" s="6" t="s">
        <v>52618</v>
      </c>
      <c r="I13490" s="6">
        <v>526.6875</v>
      </c>
      <c r="J13490" s="2">
        <f t="shared" si="210"/>
        <v>43749.482676331019</v>
      </c>
    </row>
    <row r="13491" spans="1:10" x14ac:dyDescent="0.25">
      <c r="A13491" s="7" t="s">
        <v>52619</v>
      </c>
      <c r="B13491" s="8">
        <v>393.75</v>
      </c>
      <c r="C13491" s="8">
        <v>20.478950000000001</v>
      </c>
      <c r="D13491" s="8">
        <v>67</v>
      </c>
      <c r="E13491" s="8">
        <v>0</v>
      </c>
      <c r="F13491" s="8">
        <v>0</v>
      </c>
      <c r="G13491" s="8">
        <v>1</v>
      </c>
      <c r="H13491" s="8" t="s">
        <v>52620</v>
      </c>
      <c r="I13491" s="8">
        <v>526.6875</v>
      </c>
      <c r="J13491" s="3">
        <f t="shared" si="210"/>
        <v>43749.48274806713</v>
      </c>
    </row>
    <row r="13492" spans="1:10" x14ac:dyDescent="0.25">
      <c r="A13492" s="5" t="s">
        <v>52621</v>
      </c>
      <c r="B13492" s="6">
        <v>393.75</v>
      </c>
      <c r="C13492" s="6">
        <v>20.531590000000001</v>
      </c>
      <c r="D13492" s="6">
        <v>68</v>
      </c>
      <c r="E13492" s="6">
        <v>0</v>
      </c>
      <c r="F13492" s="6">
        <v>0</v>
      </c>
      <c r="G13492" s="6">
        <v>1</v>
      </c>
      <c r="H13492" s="6" t="s">
        <v>52622</v>
      </c>
      <c r="I13492" s="6">
        <v>526.6875</v>
      </c>
      <c r="J13492" s="2">
        <f t="shared" si="210"/>
        <v>43749.482831655092</v>
      </c>
    </row>
    <row r="13493" spans="1:10" x14ac:dyDescent="0.25">
      <c r="A13493" s="7" t="s">
        <v>52623</v>
      </c>
      <c r="B13493" s="8">
        <v>393.75</v>
      </c>
      <c r="C13493" s="8">
        <v>20.478950000000001</v>
      </c>
      <c r="D13493" s="8">
        <v>68</v>
      </c>
      <c r="E13493" s="8">
        <v>0</v>
      </c>
      <c r="F13493" s="8">
        <v>0</v>
      </c>
      <c r="G13493" s="8">
        <v>6</v>
      </c>
      <c r="H13493" s="8" t="s">
        <v>52624</v>
      </c>
      <c r="I13493" s="8">
        <v>526.6875</v>
      </c>
      <c r="J13493" s="3">
        <f t="shared" si="210"/>
        <v>43749.482915081018</v>
      </c>
    </row>
    <row r="13494" spans="1:10" x14ac:dyDescent="0.25">
      <c r="A13494" s="5" t="s">
        <v>52625</v>
      </c>
      <c r="B13494" s="6">
        <v>393.75</v>
      </c>
      <c r="C13494" s="6">
        <v>20.478950000000001</v>
      </c>
      <c r="D13494" s="6">
        <v>64</v>
      </c>
      <c r="E13494" s="6">
        <v>0</v>
      </c>
      <c r="F13494" s="6">
        <v>0</v>
      </c>
      <c r="G13494" s="6">
        <v>5</v>
      </c>
      <c r="H13494" s="6" t="s">
        <v>52626</v>
      </c>
      <c r="I13494" s="6">
        <v>526.6875</v>
      </c>
      <c r="J13494" s="2">
        <f t="shared" si="210"/>
        <v>43749.482998564818</v>
      </c>
    </row>
    <row r="13495" spans="1:10" x14ac:dyDescent="0.25">
      <c r="A13495" s="7" t="s">
        <v>52627</v>
      </c>
      <c r="B13495" s="8">
        <v>393.75</v>
      </c>
      <c r="C13495" s="8">
        <v>20.478950000000001</v>
      </c>
      <c r="D13495" s="8">
        <v>68</v>
      </c>
      <c r="E13495" s="8">
        <v>0</v>
      </c>
      <c r="F13495" s="8">
        <v>0</v>
      </c>
      <c r="G13495" s="8">
        <v>6</v>
      </c>
      <c r="H13495" s="8" t="s">
        <v>52628</v>
      </c>
      <c r="I13495" s="8">
        <v>526.6875</v>
      </c>
      <c r="J13495" s="3">
        <f t="shared" si="210"/>
        <v>43749.483082106475</v>
      </c>
    </row>
    <row r="13496" spans="1:10" x14ac:dyDescent="0.25">
      <c r="A13496" s="5" t="s">
        <v>52629</v>
      </c>
      <c r="B13496" s="6">
        <v>393.75</v>
      </c>
      <c r="C13496" s="6">
        <v>20.478950000000001</v>
      </c>
      <c r="D13496" s="6">
        <v>67</v>
      </c>
      <c r="E13496" s="6">
        <v>0</v>
      </c>
      <c r="F13496" s="6">
        <v>0</v>
      </c>
      <c r="G13496" s="6">
        <v>0</v>
      </c>
      <c r="H13496" s="6" t="s">
        <v>52630</v>
      </c>
      <c r="I13496" s="6">
        <v>526.6875</v>
      </c>
      <c r="J13496" s="2">
        <f t="shared" si="210"/>
        <v>43749.483165543978</v>
      </c>
    </row>
    <row r="13497" spans="1:10" x14ac:dyDescent="0.25">
      <c r="A13497" s="7" t="s">
        <v>52631</v>
      </c>
      <c r="B13497" s="8">
        <v>393.75</v>
      </c>
      <c r="C13497" s="8">
        <v>20.478950000000001</v>
      </c>
      <c r="D13497" s="8">
        <v>67</v>
      </c>
      <c r="E13497" s="8">
        <v>0</v>
      </c>
      <c r="F13497" s="8">
        <v>0</v>
      </c>
      <c r="G13497" s="8">
        <v>0</v>
      </c>
      <c r="H13497" s="8" t="s">
        <v>52632</v>
      </c>
      <c r="I13497" s="8">
        <v>526.6875</v>
      </c>
      <c r="J13497" s="3">
        <f t="shared" si="210"/>
        <v>43749.483249004632</v>
      </c>
    </row>
    <row r="13498" spans="1:10" x14ac:dyDescent="0.25">
      <c r="A13498" s="5" t="s">
        <v>52633</v>
      </c>
      <c r="B13498" s="6">
        <v>393.75</v>
      </c>
      <c r="C13498" s="6">
        <v>20.478950000000001</v>
      </c>
      <c r="D13498" s="6">
        <v>67</v>
      </c>
      <c r="E13498" s="6">
        <v>0</v>
      </c>
      <c r="F13498" s="6">
        <v>0</v>
      </c>
      <c r="G13498" s="6">
        <v>2</v>
      </c>
      <c r="H13498" s="6" t="s">
        <v>52634</v>
      </c>
      <c r="I13498" s="6">
        <v>526.6875</v>
      </c>
      <c r="J13498" s="2">
        <f t="shared" si="210"/>
        <v>43749.483332581018</v>
      </c>
    </row>
    <row r="13499" spans="1:10" x14ac:dyDescent="0.25">
      <c r="A13499" s="7" t="s">
        <v>52635</v>
      </c>
      <c r="B13499" s="8">
        <v>393.75</v>
      </c>
      <c r="C13499" s="8">
        <v>20.478950000000001</v>
      </c>
      <c r="D13499" s="8">
        <v>67</v>
      </c>
      <c r="E13499" s="8">
        <v>0</v>
      </c>
      <c r="F13499" s="8">
        <v>0</v>
      </c>
      <c r="G13499" s="8">
        <v>2</v>
      </c>
      <c r="H13499" s="8" t="s">
        <v>52636</v>
      </c>
      <c r="I13499" s="8">
        <v>526.6875</v>
      </c>
      <c r="J13499" s="3">
        <f t="shared" si="210"/>
        <v>43749.483415844901</v>
      </c>
    </row>
    <row r="13500" spans="1:10" x14ac:dyDescent="0.25">
      <c r="A13500" s="5" t="s">
        <v>52637</v>
      </c>
      <c r="B13500" s="6">
        <v>393.75</v>
      </c>
      <c r="C13500" s="6">
        <v>20.478950000000001</v>
      </c>
      <c r="D13500" s="6">
        <v>64</v>
      </c>
      <c r="E13500" s="6">
        <v>0</v>
      </c>
      <c r="F13500" s="6">
        <v>0</v>
      </c>
      <c r="G13500" s="6">
        <v>1</v>
      </c>
      <c r="H13500" s="6" t="s">
        <v>52638</v>
      </c>
      <c r="I13500" s="6">
        <v>526.6875</v>
      </c>
      <c r="J13500" s="2">
        <f t="shared" si="210"/>
        <v>43749.483511388891</v>
      </c>
    </row>
    <row r="13501" spans="1:10" x14ac:dyDescent="0.25">
      <c r="A13501" s="7" t="s">
        <v>52639</v>
      </c>
      <c r="B13501" s="8">
        <v>393.75</v>
      </c>
      <c r="C13501" s="8">
        <v>20.478950000000001</v>
      </c>
      <c r="D13501" s="8">
        <v>64</v>
      </c>
      <c r="E13501" s="8">
        <v>0</v>
      </c>
      <c r="F13501" s="8">
        <v>0</v>
      </c>
      <c r="G13501" s="8">
        <v>0</v>
      </c>
      <c r="H13501" s="8" t="s">
        <v>52640</v>
      </c>
      <c r="I13501" s="8">
        <v>526.6875</v>
      </c>
      <c r="J13501" s="3">
        <f t="shared" si="210"/>
        <v>43749.483594930549</v>
      </c>
    </row>
    <row r="13502" spans="1:10" x14ac:dyDescent="0.25">
      <c r="A13502" s="5" t="s">
        <v>52641</v>
      </c>
      <c r="B13502" s="6">
        <v>393.75</v>
      </c>
      <c r="C13502" s="6">
        <v>20.478950000000001</v>
      </c>
      <c r="D13502" s="6">
        <v>64</v>
      </c>
      <c r="E13502" s="6">
        <v>0</v>
      </c>
      <c r="F13502" s="6">
        <v>0</v>
      </c>
      <c r="G13502" s="6">
        <v>0</v>
      </c>
      <c r="H13502" s="6" t="s">
        <v>52642</v>
      </c>
      <c r="I13502" s="6">
        <v>526.6875</v>
      </c>
      <c r="J13502" s="2">
        <f t="shared" si="210"/>
        <v>43749.483678668978</v>
      </c>
    </row>
    <row r="13503" spans="1:10" x14ac:dyDescent="0.25">
      <c r="A13503" s="7" t="s">
        <v>52643</v>
      </c>
      <c r="B13503" s="8">
        <v>393.75</v>
      </c>
      <c r="C13503" s="8">
        <v>20.531590000000001</v>
      </c>
      <c r="D13503" s="8">
        <v>64</v>
      </c>
      <c r="E13503" s="8">
        <v>0</v>
      </c>
      <c r="F13503" s="8">
        <v>0</v>
      </c>
      <c r="G13503" s="8">
        <v>2</v>
      </c>
      <c r="H13503" s="8" t="s">
        <v>52644</v>
      </c>
      <c r="I13503" s="8">
        <v>526.6875</v>
      </c>
      <c r="J13503" s="3">
        <f t="shared" si="210"/>
        <v>43749.48376185185</v>
      </c>
    </row>
    <row r="13504" spans="1:10" x14ac:dyDescent="0.25">
      <c r="A13504" s="5" t="s">
        <v>52645</v>
      </c>
      <c r="B13504" s="6">
        <v>393.75</v>
      </c>
      <c r="C13504" s="6">
        <v>20.478950000000001</v>
      </c>
      <c r="D13504" s="6">
        <v>65</v>
      </c>
      <c r="E13504" s="6">
        <v>0</v>
      </c>
      <c r="F13504" s="6">
        <v>0</v>
      </c>
      <c r="G13504" s="6">
        <v>0</v>
      </c>
      <c r="H13504" s="6" t="s">
        <v>52646</v>
      </c>
      <c r="I13504" s="6">
        <v>526.6875</v>
      </c>
      <c r="J13504" s="2">
        <f t="shared" si="210"/>
        <v>43749.483845289353</v>
      </c>
    </row>
    <row r="13505" spans="1:10" x14ac:dyDescent="0.25">
      <c r="A13505" s="7" t="s">
        <v>52647</v>
      </c>
      <c r="B13505" s="8">
        <v>393.75</v>
      </c>
      <c r="C13505" s="8">
        <v>20.478950000000001</v>
      </c>
      <c r="D13505" s="8">
        <v>65</v>
      </c>
      <c r="E13505" s="8">
        <v>0</v>
      </c>
      <c r="F13505" s="8">
        <v>0</v>
      </c>
      <c r="G13505" s="8">
        <v>0</v>
      </c>
      <c r="H13505" s="8" t="s">
        <v>52648</v>
      </c>
      <c r="I13505" s="8">
        <v>526.5</v>
      </c>
      <c r="J13505" s="3">
        <f t="shared" si="210"/>
        <v>43749.483928958332</v>
      </c>
    </row>
    <row r="13506" spans="1:10" x14ac:dyDescent="0.25">
      <c r="A13506" s="5" t="s">
        <v>52649</v>
      </c>
      <c r="B13506" s="6">
        <v>412.5</v>
      </c>
      <c r="C13506" s="6">
        <v>20.531590000000001</v>
      </c>
      <c r="D13506" s="6">
        <v>66</v>
      </c>
      <c r="E13506" s="6">
        <v>0</v>
      </c>
      <c r="F13506" s="6">
        <v>0</v>
      </c>
      <c r="G13506" s="6">
        <v>0</v>
      </c>
      <c r="H13506" s="6" t="s">
        <v>52650</v>
      </c>
      <c r="I13506" s="6">
        <v>532.875</v>
      </c>
      <c r="J13506" s="2">
        <f t="shared" ref="J13506:J13569" si="211">(H13506/86400000)+25569+(7/24)</f>
        <v>43749.484000370365</v>
      </c>
    </row>
    <row r="13507" spans="1:10" x14ac:dyDescent="0.25">
      <c r="A13507" s="7" t="s">
        <v>52651</v>
      </c>
      <c r="B13507" s="8">
        <v>393.75</v>
      </c>
      <c r="C13507" s="8">
        <v>20.478950000000001</v>
      </c>
      <c r="D13507" s="8">
        <v>64</v>
      </c>
      <c r="E13507" s="8">
        <v>0</v>
      </c>
      <c r="F13507" s="8">
        <v>0</v>
      </c>
      <c r="G13507" s="8">
        <v>10</v>
      </c>
      <c r="H13507" s="8" t="s">
        <v>52652</v>
      </c>
      <c r="I13507" s="8">
        <v>526.6875</v>
      </c>
      <c r="J13507" s="3">
        <f t="shared" si="211"/>
        <v>43749.484083958327</v>
      </c>
    </row>
    <row r="13508" spans="1:10" x14ac:dyDescent="0.25">
      <c r="A13508" s="5" t="s">
        <v>52653</v>
      </c>
      <c r="B13508" s="6">
        <v>393.75</v>
      </c>
      <c r="C13508" s="6">
        <v>20.478950000000001</v>
      </c>
      <c r="D13508" s="6">
        <v>64</v>
      </c>
      <c r="E13508" s="6">
        <v>0</v>
      </c>
      <c r="F13508" s="6">
        <v>0</v>
      </c>
      <c r="G13508" s="6">
        <v>0</v>
      </c>
      <c r="H13508" s="6" t="s">
        <v>52654</v>
      </c>
      <c r="I13508" s="6">
        <v>526.6875</v>
      </c>
      <c r="J13508" s="2">
        <f t="shared" si="211"/>
        <v>43749.484167511568</v>
      </c>
    </row>
    <row r="13509" spans="1:10" x14ac:dyDescent="0.25">
      <c r="A13509" s="7" t="s">
        <v>52655</v>
      </c>
      <c r="B13509" s="8">
        <v>393.75</v>
      </c>
      <c r="C13509" s="8">
        <v>20.478950000000001</v>
      </c>
      <c r="D13509" s="8">
        <v>65</v>
      </c>
      <c r="E13509" s="8">
        <v>0</v>
      </c>
      <c r="F13509" s="8">
        <v>0</v>
      </c>
      <c r="G13509" s="8">
        <v>7</v>
      </c>
      <c r="H13509" s="8" t="s">
        <v>52656</v>
      </c>
      <c r="I13509" s="8">
        <v>526.6875</v>
      </c>
      <c r="J13509" s="3">
        <f t="shared" si="211"/>
        <v>43749.4842508449</v>
      </c>
    </row>
    <row r="13510" spans="1:10" x14ac:dyDescent="0.25">
      <c r="A13510" s="5" t="s">
        <v>52657</v>
      </c>
      <c r="B13510" s="6">
        <v>393.75</v>
      </c>
      <c r="C13510" s="6">
        <v>20.478950000000001</v>
      </c>
      <c r="D13510" s="6">
        <v>65</v>
      </c>
      <c r="E13510" s="6">
        <v>0</v>
      </c>
      <c r="F13510" s="6">
        <v>0</v>
      </c>
      <c r="G13510" s="6">
        <v>10</v>
      </c>
      <c r="H13510" s="6" t="s">
        <v>52658</v>
      </c>
      <c r="I13510" s="6">
        <v>526.6875</v>
      </c>
      <c r="J13510" s="2">
        <f t="shared" si="211"/>
        <v>43749.48433417824</v>
      </c>
    </row>
    <row r="13511" spans="1:10" x14ac:dyDescent="0.25">
      <c r="A13511" s="7" t="s">
        <v>52659</v>
      </c>
      <c r="B13511" s="8">
        <v>428.125</v>
      </c>
      <c r="C13511" s="8">
        <v>20.478950000000001</v>
      </c>
      <c r="D13511" s="8">
        <v>65</v>
      </c>
      <c r="E13511" s="8">
        <v>0</v>
      </c>
      <c r="F13511" s="8">
        <v>0</v>
      </c>
      <c r="G13511" s="8">
        <v>0</v>
      </c>
      <c r="H13511" s="8" t="s">
        <v>52660</v>
      </c>
      <c r="I13511" s="8">
        <v>537.9375</v>
      </c>
      <c r="J13511" s="3">
        <f t="shared" si="211"/>
        <v>43749.484405925927</v>
      </c>
    </row>
    <row r="13512" spans="1:10" x14ac:dyDescent="0.25">
      <c r="A13512" s="5" t="s">
        <v>52661</v>
      </c>
      <c r="B13512" s="6">
        <v>393.75</v>
      </c>
      <c r="C13512" s="6">
        <v>20.478950000000001</v>
      </c>
      <c r="D13512" s="6">
        <v>62</v>
      </c>
      <c r="E13512" s="6">
        <v>0</v>
      </c>
      <c r="F13512" s="6">
        <v>0</v>
      </c>
      <c r="G13512" s="6">
        <v>7</v>
      </c>
      <c r="H13512" s="6" t="s">
        <v>52662</v>
      </c>
      <c r="I13512" s="6">
        <v>526.6875</v>
      </c>
      <c r="J13512" s="2">
        <f t="shared" si="211"/>
        <v>43749.484489409719</v>
      </c>
    </row>
    <row r="13513" spans="1:10" x14ac:dyDescent="0.25">
      <c r="A13513" s="7" t="s">
        <v>52663</v>
      </c>
      <c r="B13513" s="8">
        <v>393.75</v>
      </c>
      <c r="C13513" s="8">
        <v>20.478950000000001</v>
      </c>
      <c r="D13513" s="8">
        <v>63</v>
      </c>
      <c r="E13513" s="8">
        <v>0</v>
      </c>
      <c r="F13513" s="8">
        <v>0</v>
      </c>
      <c r="G13513" s="8">
        <v>2</v>
      </c>
      <c r="H13513" s="8" t="s">
        <v>52664</v>
      </c>
      <c r="I13513" s="8">
        <v>526.5</v>
      </c>
      <c r="J13513" s="3">
        <f t="shared" si="211"/>
        <v>43749.484572835645</v>
      </c>
    </row>
    <row r="13514" spans="1:10" x14ac:dyDescent="0.25">
      <c r="A13514" s="5" t="s">
        <v>52665</v>
      </c>
      <c r="B13514" s="6">
        <v>393.75</v>
      </c>
      <c r="C13514" s="6">
        <v>20.478950000000001</v>
      </c>
      <c r="D13514" s="6">
        <v>63</v>
      </c>
      <c r="E13514" s="6">
        <v>0</v>
      </c>
      <c r="F13514" s="6">
        <v>0</v>
      </c>
      <c r="G13514" s="6">
        <v>2</v>
      </c>
      <c r="H13514" s="6" t="s">
        <v>52666</v>
      </c>
      <c r="I13514" s="6">
        <v>526.6875</v>
      </c>
      <c r="J13514" s="2">
        <f t="shared" si="211"/>
        <v>43749.484656412031</v>
      </c>
    </row>
    <row r="13515" spans="1:10" x14ac:dyDescent="0.25">
      <c r="A13515" s="7" t="s">
        <v>52667</v>
      </c>
      <c r="B13515" s="8">
        <v>393.75</v>
      </c>
      <c r="C13515" s="8">
        <v>20.478950000000001</v>
      </c>
      <c r="D13515" s="8">
        <v>63</v>
      </c>
      <c r="E13515" s="8">
        <v>0</v>
      </c>
      <c r="F13515" s="8">
        <v>0</v>
      </c>
      <c r="G13515" s="8">
        <v>0</v>
      </c>
      <c r="H13515" s="8" t="s">
        <v>52668</v>
      </c>
      <c r="I13515" s="8">
        <v>526.6875</v>
      </c>
      <c r="J13515" s="3">
        <f t="shared" si="211"/>
        <v>43749.484739849533</v>
      </c>
    </row>
    <row r="13516" spans="1:10" x14ac:dyDescent="0.25">
      <c r="A13516" s="5" t="s">
        <v>52669</v>
      </c>
      <c r="B13516" s="6">
        <v>428.125</v>
      </c>
      <c r="C13516" s="6">
        <v>20.531590000000001</v>
      </c>
      <c r="D13516" s="6">
        <v>64</v>
      </c>
      <c r="E13516" s="6">
        <v>0</v>
      </c>
      <c r="F13516" s="6">
        <v>0</v>
      </c>
      <c r="G13516" s="6">
        <v>0</v>
      </c>
      <c r="H13516" s="6" t="s">
        <v>52670</v>
      </c>
      <c r="I13516" s="6">
        <v>537.5625</v>
      </c>
      <c r="J13516" s="2">
        <f t="shared" si="211"/>
        <v>43749.484823055558</v>
      </c>
    </row>
    <row r="13517" spans="1:10" x14ac:dyDescent="0.25">
      <c r="A13517" s="7" t="s">
        <v>52671</v>
      </c>
      <c r="B13517" s="8">
        <v>393.75</v>
      </c>
      <c r="C13517" s="8">
        <v>20.478950000000001</v>
      </c>
      <c r="D13517" s="8">
        <v>64</v>
      </c>
      <c r="E13517" s="8">
        <v>0</v>
      </c>
      <c r="F13517" s="8">
        <v>0</v>
      </c>
      <c r="G13517" s="8">
        <v>3</v>
      </c>
      <c r="H13517" s="8" t="s">
        <v>52672</v>
      </c>
      <c r="I13517" s="8">
        <v>526.6875</v>
      </c>
      <c r="J13517" s="3">
        <f t="shared" si="211"/>
        <v>43749.48489482639</v>
      </c>
    </row>
    <row r="13518" spans="1:10" x14ac:dyDescent="0.25">
      <c r="A13518" s="5" t="s">
        <v>52673</v>
      </c>
      <c r="B13518" s="6">
        <v>393.75</v>
      </c>
      <c r="C13518" s="6">
        <v>20.478950000000001</v>
      </c>
      <c r="D13518" s="6">
        <v>65</v>
      </c>
      <c r="E13518" s="6">
        <v>0</v>
      </c>
      <c r="F13518" s="6">
        <v>0</v>
      </c>
      <c r="G13518" s="6">
        <v>0</v>
      </c>
      <c r="H13518" s="6" t="s">
        <v>52674</v>
      </c>
      <c r="I13518" s="6">
        <v>526.6875</v>
      </c>
      <c r="J13518" s="2">
        <f t="shared" si="211"/>
        <v>43749.484978402776</v>
      </c>
    </row>
    <row r="13519" spans="1:10" x14ac:dyDescent="0.25">
      <c r="A13519" s="7" t="s">
        <v>52675</v>
      </c>
      <c r="B13519" s="8">
        <v>393.75</v>
      </c>
      <c r="C13519" s="8">
        <v>20.478950000000001</v>
      </c>
      <c r="D13519" s="8">
        <v>65</v>
      </c>
      <c r="E13519" s="8">
        <v>0</v>
      </c>
      <c r="F13519" s="8">
        <v>0</v>
      </c>
      <c r="G13519" s="8">
        <v>6</v>
      </c>
      <c r="H13519" s="8" t="s">
        <v>52676</v>
      </c>
      <c r="I13519" s="8">
        <v>526.6875</v>
      </c>
      <c r="J13519" s="3">
        <f t="shared" si="211"/>
        <v>43749.485061828702</v>
      </c>
    </row>
    <row r="13520" spans="1:10" x14ac:dyDescent="0.25">
      <c r="A13520" s="5" t="s">
        <v>52677</v>
      </c>
      <c r="B13520" s="6">
        <v>393.75</v>
      </c>
      <c r="C13520" s="6">
        <v>20.478950000000001</v>
      </c>
      <c r="D13520" s="6">
        <v>63</v>
      </c>
      <c r="E13520" s="6">
        <v>0</v>
      </c>
      <c r="F13520" s="6">
        <v>0</v>
      </c>
      <c r="G13520" s="6">
        <v>1</v>
      </c>
      <c r="H13520" s="6" t="s">
        <v>52678</v>
      </c>
      <c r="I13520" s="6">
        <v>526.6875</v>
      </c>
      <c r="J13520" s="2">
        <f t="shared" si="211"/>
        <v>43749.485145300925</v>
      </c>
    </row>
    <row r="13521" spans="1:10" x14ac:dyDescent="0.25">
      <c r="A13521" s="7" t="s">
        <v>52679</v>
      </c>
      <c r="B13521" s="8">
        <v>393.75</v>
      </c>
      <c r="C13521" s="8">
        <v>20.478950000000001</v>
      </c>
      <c r="D13521" s="8">
        <v>63</v>
      </c>
      <c r="E13521" s="8">
        <v>0</v>
      </c>
      <c r="F13521" s="8">
        <v>0</v>
      </c>
      <c r="G13521" s="8">
        <v>3</v>
      </c>
      <c r="H13521" s="8" t="s">
        <v>52680</v>
      </c>
      <c r="I13521" s="8">
        <v>526.6875</v>
      </c>
      <c r="J13521" s="3">
        <f t="shared" si="211"/>
        <v>43749.485229189813</v>
      </c>
    </row>
    <row r="13522" spans="1:10" x14ac:dyDescent="0.25">
      <c r="A13522" s="5" t="s">
        <v>52681</v>
      </c>
      <c r="B13522" s="6">
        <v>393.75</v>
      </c>
      <c r="C13522" s="6">
        <v>20.478950000000001</v>
      </c>
      <c r="D13522" s="6">
        <v>63</v>
      </c>
      <c r="E13522" s="6">
        <v>0</v>
      </c>
      <c r="F13522" s="6">
        <v>0</v>
      </c>
      <c r="G13522" s="6">
        <v>8</v>
      </c>
      <c r="H13522" s="6" t="s">
        <v>52682</v>
      </c>
      <c r="I13522" s="6">
        <v>526.6875</v>
      </c>
      <c r="J13522" s="2">
        <f t="shared" si="211"/>
        <v>43749.485312071753</v>
      </c>
    </row>
    <row r="13523" spans="1:10" x14ac:dyDescent="0.25">
      <c r="A13523" s="7" t="s">
        <v>52683</v>
      </c>
      <c r="B13523" s="8">
        <v>393.75</v>
      </c>
      <c r="C13523" s="8">
        <v>20.531590000000001</v>
      </c>
      <c r="D13523" s="8">
        <v>63</v>
      </c>
      <c r="E13523" s="8">
        <v>0</v>
      </c>
      <c r="F13523" s="8">
        <v>0</v>
      </c>
      <c r="G13523" s="8">
        <v>0</v>
      </c>
      <c r="H13523" s="8" t="s">
        <v>52684</v>
      </c>
      <c r="I13523" s="8">
        <v>526.6875</v>
      </c>
      <c r="J13523" s="3">
        <f t="shared" si="211"/>
        <v>43749.485383935178</v>
      </c>
    </row>
    <row r="13524" spans="1:10" x14ac:dyDescent="0.25">
      <c r="A13524" s="5" t="s">
        <v>52685</v>
      </c>
      <c r="B13524" s="6">
        <v>412.5</v>
      </c>
      <c r="C13524" s="6">
        <v>20.478950000000001</v>
      </c>
      <c r="D13524" s="6">
        <v>63</v>
      </c>
      <c r="E13524" s="6">
        <v>0</v>
      </c>
      <c r="F13524" s="6">
        <v>0</v>
      </c>
      <c r="G13524" s="6">
        <v>0</v>
      </c>
      <c r="H13524" s="6" t="s">
        <v>52686</v>
      </c>
      <c r="I13524" s="6">
        <v>532.3125</v>
      </c>
      <c r="J13524" s="2">
        <f t="shared" si="211"/>
        <v>43749.485467500002</v>
      </c>
    </row>
    <row r="13525" spans="1:10" x14ac:dyDescent="0.25">
      <c r="A13525" s="7" t="s">
        <v>52687</v>
      </c>
      <c r="B13525" s="8">
        <v>393.75</v>
      </c>
      <c r="C13525" s="8">
        <v>20.478950000000001</v>
      </c>
      <c r="D13525" s="8">
        <v>63</v>
      </c>
      <c r="E13525" s="8">
        <v>0</v>
      </c>
      <c r="F13525" s="8">
        <v>0</v>
      </c>
      <c r="G13525" s="8">
        <v>4</v>
      </c>
      <c r="H13525" s="8" t="s">
        <v>52688</v>
      </c>
      <c r="I13525" s="8">
        <v>526.6875</v>
      </c>
      <c r="J13525" s="3">
        <f t="shared" si="211"/>
        <v>43749.485550590274</v>
      </c>
    </row>
    <row r="13526" spans="1:10" x14ac:dyDescent="0.25">
      <c r="A13526" s="5" t="s">
        <v>52689</v>
      </c>
      <c r="B13526" s="6">
        <v>393.75</v>
      </c>
      <c r="C13526" s="6">
        <v>20.478950000000001</v>
      </c>
      <c r="D13526" s="6">
        <v>63</v>
      </c>
      <c r="E13526" s="6">
        <v>0</v>
      </c>
      <c r="F13526" s="6">
        <v>0</v>
      </c>
      <c r="G13526" s="6">
        <v>0</v>
      </c>
      <c r="H13526" s="6" t="s">
        <v>52690</v>
      </c>
      <c r="I13526" s="6">
        <v>526.6875</v>
      </c>
      <c r="J13526" s="2">
        <f t="shared" si="211"/>
        <v>43749.485634166667</v>
      </c>
    </row>
    <row r="13527" spans="1:10" x14ac:dyDescent="0.25">
      <c r="A13527" s="7" t="s">
        <v>52691</v>
      </c>
      <c r="B13527" s="8">
        <v>393.75</v>
      </c>
      <c r="C13527" s="8">
        <v>20.531590000000001</v>
      </c>
      <c r="D13527" s="8">
        <v>63</v>
      </c>
      <c r="E13527" s="8">
        <v>0</v>
      </c>
      <c r="F13527" s="8">
        <v>0</v>
      </c>
      <c r="G13527" s="8">
        <v>4</v>
      </c>
      <c r="H13527" s="8" t="s">
        <v>52692</v>
      </c>
      <c r="I13527" s="8">
        <v>526.6875</v>
      </c>
      <c r="J13527" s="3">
        <f t="shared" si="211"/>
        <v>43749.485705925923</v>
      </c>
    </row>
    <row r="13528" spans="1:10" x14ac:dyDescent="0.25">
      <c r="A13528" s="5" t="s">
        <v>52693</v>
      </c>
      <c r="B13528" s="6">
        <v>393.75</v>
      </c>
      <c r="C13528" s="6">
        <v>20.531590000000001</v>
      </c>
      <c r="D13528" s="6">
        <v>63</v>
      </c>
      <c r="E13528" s="6">
        <v>0</v>
      </c>
      <c r="F13528" s="6">
        <v>0</v>
      </c>
      <c r="G13528" s="6">
        <v>3</v>
      </c>
      <c r="H13528" s="6" t="s">
        <v>52694</v>
      </c>
      <c r="I13528" s="6">
        <v>526.6875</v>
      </c>
      <c r="J13528" s="2">
        <f t="shared" si="211"/>
        <v>43749.485777476853</v>
      </c>
    </row>
    <row r="13529" spans="1:10" x14ac:dyDescent="0.25">
      <c r="A13529" s="7" t="s">
        <v>52695</v>
      </c>
      <c r="B13529" s="8">
        <v>393.75</v>
      </c>
      <c r="C13529" s="8">
        <v>20.478950000000001</v>
      </c>
      <c r="D13529" s="8">
        <v>63</v>
      </c>
      <c r="E13529" s="8">
        <v>0</v>
      </c>
      <c r="F13529" s="8">
        <v>0</v>
      </c>
      <c r="G13529" s="8">
        <v>4</v>
      </c>
      <c r="H13529" s="8" t="s">
        <v>52696</v>
      </c>
      <c r="I13529" s="8">
        <v>526.6875</v>
      </c>
      <c r="J13529" s="3">
        <f t="shared" si="211"/>
        <v>43749.485861030094</v>
      </c>
    </row>
    <row r="13530" spans="1:10" x14ac:dyDescent="0.25">
      <c r="A13530" s="5" t="s">
        <v>52697</v>
      </c>
      <c r="B13530" s="6">
        <v>393.75</v>
      </c>
      <c r="C13530" s="6">
        <v>20.531590000000001</v>
      </c>
      <c r="D13530" s="6">
        <v>62</v>
      </c>
      <c r="E13530" s="6">
        <v>0</v>
      </c>
      <c r="F13530" s="6">
        <v>0</v>
      </c>
      <c r="G13530" s="6">
        <v>0</v>
      </c>
      <c r="H13530" s="6" t="s">
        <v>52698</v>
      </c>
      <c r="I13530" s="6">
        <v>526.6875</v>
      </c>
      <c r="J13530" s="2">
        <f t="shared" si="211"/>
        <v>43749.485932581018</v>
      </c>
    </row>
    <row r="13531" spans="1:10" x14ac:dyDescent="0.25">
      <c r="A13531" s="7" t="s">
        <v>52699</v>
      </c>
      <c r="B13531" s="8">
        <v>393.75</v>
      </c>
      <c r="C13531" s="8">
        <v>20.478950000000001</v>
      </c>
      <c r="D13531" s="8">
        <v>63</v>
      </c>
      <c r="E13531" s="8">
        <v>0</v>
      </c>
      <c r="F13531" s="8">
        <v>0</v>
      </c>
      <c r="G13531" s="8">
        <v>4</v>
      </c>
      <c r="H13531" s="8" t="s">
        <v>52700</v>
      </c>
      <c r="I13531" s="8">
        <v>526.6875</v>
      </c>
      <c r="J13531" s="3">
        <f t="shared" si="211"/>
        <v>43749.486015787035</v>
      </c>
    </row>
    <row r="13532" spans="1:10" x14ac:dyDescent="0.25">
      <c r="A13532" s="5" t="s">
        <v>52701</v>
      </c>
      <c r="B13532" s="6">
        <v>393.75</v>
      </c>
      <c r="C13532" s="6">
        <v>20.478950000000001</v>
      </c>
      <c r="D13532" s="6">
        <v>65</v>
      </c>
      <c r="E13532" s="6">
        <v>0</v>
      </c>
      <c r="F13532" s="6">
        <v>0</v>
      </c>
      <c r="G13532" s="6">
        <v>6</v>
      </c>
      <c r="H13532" s="6" t="s">
        <v>52702</v>
      </c>
      <c r="I13532" s="6">
        <v>526.6875</v>
      </c>
      <c r="J13532" s="2">
        <f t="shared" si="211"/>
        <v>43749.486087650461</v>
      </c>
    </row>
    <row r="13533" spans="1:10" x14ac:dyDescent="0.25">
      <c r="A13533" s="7" t="s">
        <v>52703</v>
      </c>
      <c r="B13533" s="8">
        <v>393.75</v>
      </c>
      <c r="C13533" s="8">
        <v>20.478950000000001</v>
      </c>
      <c r="D13533" s="8">
        <v>68</v>
      </c>
      <c r="E13533" s="8">
        <v>0</v>
      </c>
      <c r="F13533" s="8">
        <v>0</v>
      </c>
      <c r="G13533" s="8">
        <v>3</v>
      </c>
      <c r="H13533" s="8" t="s">
        <v>52704</v>
      </c>
      <c r="I13533" s="8">
        <v>526.6875</v>
      </c>
      <c r="J13533" s="3">
        <f t="shared" si="211"/>
        <v>43749.486185543974</v>
      </c>
    </row>
    <row r="13534" spans="1:10" x14ac:dyDescent="0.25">
      <c r="A13534" s="5" t="s">
        <v>52705</v>
      </c>
      <c r="B13534" s="6">
        <v>393.75</v>
      </c>
      <c r="C13534" s="6">
        <v>20.478950000000001</v>
      </c>
      <c r="D13534" s="6">
        <v>69</v>
      </c>
      <c r="E13534" s="6">
        <v>0</v>
      </c>
      <c r="F13534" s="6">
        <v>0</v>
      </c>
      <c r="G13534" s="6">
        <v>0</v>
      </c>
      <c r="H13534" s="6" t="s">
        <v>52706</v>
      </c>
      <c r="I13534" s="6">
        <v>526.6875</v>
      </c>
      <c r="J13534" s="2">
        <f t="shared" si="211"/>
        <v>43749.486266446758</v>
      </c>
    </row>
    <row r="13535" spans="1:10" x14ac:dyDescent="0.25">
      <c r="A13535" s="7" t="s">
        <v>52707</v>
      </c>
      <c r="B13535" s="8">
        <v>393.75</v>
      </c>
      <c r="C13535" s="8">
        <v>20.478950000000001</v>
      </c>
      <c r="D13535" s="8">
        <v>69</v>
      </c>
      <c r="E13535" s="8">
        <v>0</v>
      </c>
      <c r="F13535" s="8">
        <v>0</v>
      </c>
      <c r="G13535" s="8">
        <v>8</v>
      </c>
      <c r="H13535" s="8" t="s">
        <v>52708</v>
      </c>
      <c r="I13535" s="8">
        <v>526.6875</v>
      </c>
      <c r="J13535" s="3">
        <f t="shared" si="211"/>
        <v>43749.486350011568</v>
      </c>
    </row>
    <row r="13536" spans="1:10" x14ac:dyDescent="0.25">
      <c r="A13536" s="5" t="s">
        <v>52709</v>
      </c>
      <c r="B13536" s="6">
        <v>393.75</v>
      </c>
      <c r="C13536" s="6">
        <v>20.478950000000001</v>
      </c>
      <c r="D13536" s="6">
        <v>66</v>
      </c>
      <c r="E13536" s="6">
        <v>0</v>
      </c>
      <c r="F13536" s="6">
        <v>0</v>
      </c>
      <c r="G13536" s="6">
        <v>9</v>
      </c>
      <c r="H13536" s="6" t="s">
        <v>52710</v>
      </c>
      <c r="I13536" s="6">
        <v>526.6875</v>
      </c>
      <c r="J13536" s="2">
        <f t="shared" si="211"/>
        <v>43749.486421550922</v>
      </c>
    </row>
    <row r="13537" spans="1:10" x14ac:dyDescent="0.25">
      <c r="A13537" s="7" t="s">
        <v>52711</v>
      </c>
      <c r="B13537" s="8">
        <v>393.75</v>
      </c>
      <c r="C13537" s="8">
        <v>20.478950000000001</v>
      </c>
      <c r="D13537" s="8">
        <v>66</v>
      </c>
      <c r="E13537" s="8">
        <v>0</v>
      </c>
      <c r="F13537" s="8">
        <v>0</v>
      </c>
      <c r="G13537" s="8">
        <v>5</v>
      </c>
      <c r="H13537" s="8" t="s">
        <v>52712</v>
      </c>
      <c r="I13537" s="8">
        <v>526.6875</v>
      </c>
      <c r="J13537" s="3">
        <f t="shared" si="211"/>
        <v>43749.486493067125</v>
      </c>
    </row>
    <row r="13538" spans="1:10" x14ac:dyDescent="0.25">
      <c r="A13538" s="5" t="s">
        <v>52713</v>
      </c>
      <c r="B13538" s="6">
        <v>393.75</v>
      </c>
      <c r="C13538" s="6">
        <v>20.478950000000001</v>
      </c>
      <c r="D13538" s="6">
        <v>67</v>
      </c>
      <c r="E13538" s="6">
        <v>0</v>
      </c>
      <c r="F13538" s="6">
        <v>0</v>
      </c>
      <c r="G13538" s="6">
        <v>0</v>
      </c>
      <c r="H13538" s="6" t="s">
        <v>52714</v>
      </c>
      <c r="I13538" s="6">
        <v>526.6875</v>
      </c>
      <c r="J13538" s="2">
        <f t="shared" si="211"/>
        <v>43749.486583356476</v>
      </c>
    </row>
    <row r="13539" spans="1:10" x14ac:dyDescent="0.25">
      <c r="A13539" s="7" t="s">
        <v>52715</v>
      </c>
      <c r="B13539" s="8">
        <v>393.75</v>
      </c>
      <c r="C13539" s="8">
        <v>20.478950000000001</v>
      </c>
      <c r="D13539" s="8">
        <v>68</v>
      </c>
      <c r="E13539" s="8">
        <v>0</v>
      </c>
      <c r="F13539" s="8">
        <v>0</v>
      </c>
      <c r="G13539" s="8">
        <v>7</v>
      </c>
      <c r="H13539" s="8" t="s">
        <v>52716</v>
      </c>
      <c r="I13539" s="8">
        <v>526.5</v>
      </c>
      <c r="J13539" s="3">
        <f t="shared" si="211"/>
        <v>43749.486660081013</v>
      </c>
    </row>
    <row r="13540" spans="1:10" x14ac:dyDescent="0.25">
      <c r="A13540" s="5" t="s">
        <v>52717</v>
      </c>
      <c r="B13540" s="6">
        <v>393.75</v>
      </c>
      <c r="C13540" s="6">
        <v>20.478950000000001</v>
      </c>
      <c r="D13540" s="6">
        <v>68</v>
      </c>
      <c r="E13540" s="6">
        <v>0</v>
      </c>
      <c r="F13540" s="6">
        <v>0</v>
      </c>
      <c r="G13540" s="6">
        <v>10</v>
      </c>
      <c r="H13540" s="6" t="s">
        <v>52718</v>
      </c>
      <c r="I13540" s="6">
        <v>526.6875</v>
      </c>
      <c r="J13540" s="2">
        <f t="shared" si="211"/>
        <v>43749.486731608798</v>
      </c>
    </row>
    <row r="13541" spans="1:10" x14ac:dyDescent="0.25">
      <c r="A13541" s="7" t="s">
        <v>52719</v>
      </c>
      <c r="B13541" s="8">
        <v>393.75</v>
      </c>
      <c r="C13541" s="8">
        <v>20.478950000000001</v>
      </c>
      <c r="D13541" s="8">
        <v>67</v>
      </c>
      <c r="E13541" s="8">
        <v>0</v>
      </c>
      <c r="F13541" s="8">
        <v>0</v>
      </c>
      <c r="G13541" s="8">
        <v>7</v>
      </c>
      <c r="H13541" s="8" t="s">
        <v>52720</v>
      </c>
      <c r="I13541" s="8">
        <v>526.6875</v>
      </c>
      <c r="J13541" s="3">
        <f t="shared" si="211"/>
        <v>43749.486815173608</v>
      </c>
    </row>
    <row r="13542" spans="1:10" x14ac:dyDescent="0.25">
      <c r="A13542" s="5" t="s">
        <v>52721</v>
      </c>
      <c r="B13542" s="6">
        <v>393.75</v>
      </c>
      <c r="C13542" s="6">
        <v>20.478950000000001</v>
      </c>
      <c r="D13542" s="6">
        <v>66</v>
      </c>
      <c r="E13542" s="6">
        <v>0</v>
      </c>
      <c r="F13542" s="6">
        <v>0</v>
      </c>
      <c r="G13542" s="6">
        <v>9</v>
      </c>
      <c r="H13542" s="6" t="s">
        <v>52722</v>
      </c>
      <c r="I13542" s="6">
        <v>526.6875</v>
      </c>
      <c r="J13542" s="2">
        <f t="shared" si="211"/>
        <v>43749.486898622687</v>
      </c>
    </row>
    <row r="13543" spans="1:10" x14ac:dyDescent="0.25">
      <c r="A13543" s="7" t="s">
        <v>52723</v>
      </c>
      <c r="B13543" s="8">
        <v>412.5</v>
      </c>
      <c r="C13543" s="8">
        <v>20.531590000000001</v>
      </c>
      <c r="D13543" s="8">
        <v>67</v>
      </c>
      <c r="E13543" s="8">
        <v>0</v>
      </c>
      <c r="F13543" s="8">
        <v>0</v>
      </c>
      <c r="G13543" s="8">
        <v>16</v>
      </c>
      <c r="H13543" s="8" t="s">
        <v>52724</v>
      </c>
      <c r="I13543" s="8">
        <v>532.3125</v>
      </c>
      <c r="J13543" s="3">
        <f t="shared" si="211"/>
        <v>43749.486970277772</v>
      </c>
    </row>
    <row r="13544" spans="1:10" x14ac:dyDescent="0.25">
      <c r="A13544" s="5" t="s">
        <v>52725</v>
      </c>
      <c r="B13544" s="6">
        <v>393.75</v>
      </c>
      <c r="C13544" s="6">
        <v>20.478950000000001</v>
      </c>
      <c r="D13544" s="6">
        <v>67</v>
      </c>
      <c r="E13544" s="6">
        <v>0</v>
      </c>
      <c r="F13544" s="6">
        <v>0</v>
      </c>
      <c r="G13544" s="6">
        <v>13</v>
      </c>
      <c r="H13544" s="6" t="s">
        <v>52726</v>
      </c>
      <c r="I13544" s="6">
        <v>526.6875</v>
      </c>
      <c r="J13544" s="2">
        <f t="shared" si="211"/>
        <v>43749.487041562497</v>
      </c>
    </row>
    <row r="13545" spans="1:10" x14ac:dyDescent="0.25">
      <c r="A13545" s="7" t="s">
        <v>52727</v>
      </c>
      <c r="B13545" s="8">
        <v>393.75</v>
      </c>
      <c r="C13545" s="8">
        <v>20.478950000000001</v>
      </c>
      <c r="D13545" s="8">
        <v>67</v>
      </c>
      <c r="E13545" s="8">
        <v>0</v>
      </c>
      <c r="F13545" s="8">
        <v>0</v>
      </c>
      <c r="G13545" s="8">
        <v>15</v>
      </c>
      <c r="H13545" s="8" t="s">
        <v>52728</v>
      </c>
      <c r="I13545" s="8">
        <v>526.6875</v>
      </c>
      <c r="J13545" s="3">
        <f t="shared" si="211"/>
        <v>43749.487125243053</v>
      </c>
    </row>
    <row r="13546" spans="1:10" x14ac:dyDescent="0.25">
      <c r="A13546" s="5" t="s">
        <v>52729</v>
      </c>
      <c r="B13546" s="6">
        <v>412.5</v>
      </c>
      <c r="C13546" s="6">
        <v>20.478950000000001</v>
      </c>
      <c r="D13546" s="6">
        <v>67</v>
      </c>
      <c r="E13546" s="6">
        <v>0</v>
      </c>
      <c r="F13546" s="6">
        <v>0</v>
      </c>
      <c r="G13546" s="6">
        <v>7</v>
      </c>
      <c r="H13546" s="6" t="s">
        <v>52730</v>
      </c>
      <c r="I13546" s="6">
        <v>532.6875</v>
      </c>
      <c r="J13546" s="2">
        <f t="shared" si="211"/>
        <v>43749.487208483792</v>
      </c>
    </row>
    <row r="13547" spans="1:10" x14ac:dyDescent="0.25">
      <c r="A13547" s="7" t="s">
        <v>52731</v>
      </c>
      <c r="B13547" s="8">
        <v>393.75</v>
      </c>
      <c r="C13547" s="8">
        <v>20.478950000000001</v>
      </c>
      <c r="D13547" s="8">
        <v>70</v>
      </c>
      <c r="E13547" s="8">
        <v>0</v>
      </c>
      <c r="F13547" s="8">
        <v>0</v>
      </c>
      <c r="G13547" s="8">
        <v>16</v>
      </c>
      <c r="H13547" s="8" t="s">
        <v>52732</v>
      </c>
      <c r="I13547" s="8">
        <v>526.6875</v>
      </c>
      <c r="J13547" s="3">
        <f t="shared" si="211"/>
        <v>43749.487292256941</v>
      </c>
    </row>
    <row r="13548" spans="1:10" x14ac:dyDescent="0.25">
      <c r="A13548" s="5" t="s">
        <v>52733</v>
      </c>
      <c r="B13548" s="6">
        <v>393.75</v>
      </c>
      <c r="C13548" s="6">
        <v>20.478950000000001</v>
      </c>
      <c r="D13548" s="6">
        <v>68</v>
      </c>
      <c r="E13548" s="6">
        <v>0</v>
      </c>
      <c r="F13548" s="6">
        <v>0</v>
      </c>
      <c r="G13548" s="6">
        <v>14</v>
      </c>
      <c r="H13548" s="6" t="s">
        <v>52734</v>
      </c>
      <c r="I13548" s="6">
        <v>526.6875</v>
      </c>
      <c r="J13548" s="2">
        <f t="shared" si="211"/>
        <v>43749.487375729164</v>
      </c>
    </row>
    <row r="13549" spans="1:10" x14ac:dyDescent="0.25">
      <c r="A13549" s="7" t="s">
        <v>52735</v>
      </c>
      <c r="B13549" s="8">
        <v>393.75</v>
      </c>
      <c r="C13549" s="8">
        <v>20.478950000000001</v>
      </c>
      <c r="D13549" s="8">
        <v>67</v>
      </c>
      <c r="E13549" s="8">
        <v>0</v>
      </c>
      <c r="F13549" s="8">
        <v>0</v>
      </c>
      <c r="G13549" s="8">
        <v>13</v>
      </c>
      <c r="H13549" s="8" t="s">
        <v>52736</v>
      </c>
      <c r="I13549" s="8">
        <v>526.6875</v>
      </c>
      <c r="J13549" s="3">
        <f t="shared" si="211"/>
        <v>43749.487447233791</v>
      </c>
    </row>
    <row r="13550" spans="1:10" x14ac:dyDescent="0.25">
      <c r="A13550" s="5" t="s">
        <v>52737</v>
      </c>
      <c r="B13550" s="6">
        <v>393.75</v>
      </c>
      <c r="C13550" s="6">
        <v>20.478950000000001</v>
      </c>
      <c r="D13550" s="6">
        <v>67</v>
      </c>
      <c r="E13550" s="6">
        <v>0</v>
      </c>
      <c r="F13550" s="6">
        <v>0</v>
      </c>
      <c r="G13550" s="6">
        <v>15</v>
      </c>
      <c r="H13550" s="6" t="s">
        <v>52738</v>
      </c>
      <c r="I13550" s="6">
        <v>526.6875</v>
      </c>
      <c r="J13550" s="2">
        <f t="shared" si="211"/>
        <v>43749.487518981477</v>
      </c>
    </row>
    <row r="13551" spans="1:10" x14ac:dyDescent="0.25">
      <c r="A13551" s="7" t="s">
        <v>52739</v>
      </c>
      <c r="B13551" s="8">
        <v>393.75</v>
      </c>
      <c r="C13551" s="8">
        <v>20.478950000000001</v>
      </c>
      <c r="D13551" s="8">
        <v>67</v>
      </c>
      <c r="E13551" s="8">
        <v>0</v>
      </c>
      <c r="F13551" s="8">
        <v>0</v>
      </c>
      <c r="G13551" s="8">
        <v>14</v>
      </c>
      <c r="H13551" s="8" t="s">
        <v>52740</v>
      </c>
      <c r="I13551" s="8">
        <v>526.6875</v>
      </c>
      <c r="J13551" s="3">
        <f t="shared" si="211"/>
        <v>43749.487602557863</v>
      </c>
    </row>
    <row r="13552" spans="1:10" x14ac:dyDescent="0.25">
      <c r="A13552" s="5" t="s">
        <v>52741</v>
      </c>
      <c r="B13552" s="6">
        <v>393.75</v>
      </c>
      <c r="C13552" s="6">
        <v>20.478950000000001</v>
      </c>
      <c r="D13552" s="6">
        <v>68</v>
      </c>
      <c r="E13552" s="6">
        <v>0</v>
      </c>
      <c r="F13552" s="6">
        <v>0</v>
      </c>
      <c r="G13552" s="6">
        <v>12</v>
      </c>
      <c r="H13552" s="6" t="s">
        <v>52742</v>
      </c>
      <c r="I13552" s="6">
        <v>526.6875</v>
      </c>
      <c r="J13552" s="2">
        <f t="shared" si="211"/>
        <v>43749.487686145832</v>
      </c>
    </row>
    <row r="13553" spans="1:10" x14ac:dyDescent="0.25">
      <c r="A13553" s="7" t="s">
        <v>52743</v>
      </c>
      <c r="B13553" s="8">
        <v>393.75</v>
      </c>
      <c r="C13553" s="8">
        <v>20.478950000000001</v>
      </c>
      <c r="D13553" s="8">
        <v>68</v>
      </c>
      <c r="E13553" s="8">
        <v>0</v>
      </c>
      <c r="F13553" s="8">
        <v>0</v>
      </c>
      <c r="G13553" s="8">
        <v>10</v>
      </c>
      <c r="H13553" s="8" t="s">
        <v>52744</v>
      </c>
      <c r="I13553" s="8">
        <v>526.6875</v>
      </c>
      <c r="J13553" s="3">
        <f t="shared" si="211"/>
        <v>43749.48776935185</v>
      </c>
    </row>
    <row r="13554" spans="1:10" x14ac:dyDescent="0.25">
      <c r="A13554" s="5" t="s">
        <v>52745</v>
      </c>
      <c r="B13554" s="6">
        <v>412.5</v>
      </c>
      <c r="C13554" s="6">
        <v>20.478950000000001</v>
      </c>
      <c r="D13554" s="6">
        <v>68</v>
      </c>
      <c r="E13554" s="6">
        <v>0</v>
      </c>
      <c r="F13554" s="6">
        <v>0</v>
      </c>
      <c r="G13554" s="6">
        <v>10</v>
      </c>
      <c r="H13554" s="6" t="s">
        <v>52746</v>
      </c>
      <c r="I13554" s="6">
        <v>532.5</v>
      </c>
      <c r="J13554" s="2">
        <f t="shared" si="211"/>
        <v>43749.487841006943</v>
      </c>
    </row>
    <row r="13555" spans="1:10" x14ac:dyDescent="0.25">
      <c r="A13555" s="7" t="s">
        <v>52747</v>
      </c>
      <c r="B13555" s="8">
        <v>393.75</v>
      </c>
      <c r="C13555" s="8">
        <v>20.478950000000001</v>
      </c>
      <c r="D13555" s="8">
        <v>69</v>
      </c>
      <c r="E13555" s="8">
        <v>0</v>
      </c>
      <c r="F13555" s="8">
        <v>0</v>
      </c>
      <c r="G13555" s="8">
        <v>16</v>
      </c>
      <c r="H13555" s="8" t="s">
        <v>52748</v>
      </c>
      <c r="I13555" s="8">
        <v>526.6875</v>
      </c>
      <c r="J13555" s="3">
        <f t="shared" si="211"/>
        <v>43749.487924085646</v>
      </c>
    </row>
    <row r="13556" spans="1:10" x14ac:dyDescent="0.25">
      <c r="A13556" s="5" t="s">
        <v>52749</v>
      </c>
      <c r="B13556" s="6">
        <v>393.75</v>
      </c>
      <c r="C13556" s="6">
        <v>20.478950000000001</v>
      </c>
      <c r="D13556" s="6">
        <v>71</v>
      </c>
      <c r="E13556" s="6">
        <v>0</v>
      </c>
      <c r="F13556" s="6">
        <v>0</v>
      </c>
      <c r="G13556" s="6">
        <v>22</v>
      </c>
      <c r="H13556" s="6" t="s">
        <v>52750</v>
      </c>
      <c r="I13556" s="6">
        <v>526.6875</v>
      </c>
      <c r="J13556" s="2">
        <f t="shared" si="211"/>
        <v>43749.487995995369</v>
      </c>
    </row>
    <row r="13557" spans="1:10" x14ac:dyDescent="0.25">
      <c r="A13557" s="7" t="s">
        <v>52751</v>
      </c>
      <c r="B13557" s="8">
        <v>428.125</v>
      </c>
      <c r="C13557" s="8">
        <v>20.478950000000001</v>
      </c>
      <c r="D13557" s="8">
        <v>71</v>
      </c>
      <c r="E13557" s="8">
        <v>0</v>
      </c>
      <c r="F13557" s="8">
        <v>0</v>
      </c>
      <c r="G13557" s="8">
        <v>11</v>
      </c>
      <c r="H13557" s="8" t="s">
        <v>52752</v>
      </c>
      <c r="I13557" s="8">
        <v>537.375</v>
      </c>
      <c r="J13557" s="3">
        <f t="shared" si="211"/>
        <v>43749.48807929398</v>
      </c>
    </row>
    <row r="13558" spans="1:10" x14ac:dyDescent="0.25">
      <c r="A13558" s="5" t="s">
        <v>52753</v>
      </c>
      <c r="B13558" s="6">
        <v>393.75</v>
      </c>
      <c r="C13558" s="6">
        <v>20.478950000000001</v>
      </c>
      <c r="D13558" s="6">
        <v>71</v>
      </c>
      <c r="E13558" s="6">
        <v>0</v>
      </c>
      <c r="F13558" s="6">
        <v>0</v>
      </c>
      <c r="G13558" s="6">
        <v>13</v>
      </c>
      <c r="H13558" s="6" t="s">
        <v>52754</v>
      </c>
      <c r="I13558" s="6">
        <v>526.5</v>
      </c>
      <c r="J13558" s="2">
        <f t="shared" si="211"/>
        <v>43749.488151064812</v>
      </c>
    </row>
    <row r="13559" spans="1:10" x14ac:dyDescent="0.25">
      <c r="A13559" s="7" t="s">
        <v>52755</v>
      </c>
      <c r="B13559" s="8">
        <v>393.75</v>
      </c>
      <c r="C13559" s="8">
        <v>20.531590000000001</v>
      </c>
      <c r="D13559" s="8">
        <v>71</v>
      </c>
      <c r="E13559" s="8">
        <v>0</v>
      </c>
      <c r="F13559" s="8">
        <v>0</v>
      </c>
      <c r="G13559" s="8">
        <v>15</v>
      </c>
      <c r="H13559" s="8" t="s">
        <v>52756</v>
      </c>
      <c r="I13559" s="8">
        <v>526.5</v>
      </c>
      <c r="J13559" s="3">
        <f t="shared" si="211"/>
        <v>43749.48822259259</v>
      </c>
    </row>
    <row r="13560" spans="1:10" x14ac:dyDescent="0.25">
      <c r="A13560" s="5" t="s">
        <v>52757</v>
      </c>
      <c r="B13560" s="6">
        <v>393.75</v>
      </c>
      <c r="C13560" s="6">
        <v>20.478950000000001</v>
      </c>
      <c r="D13560" s="6">
        <v>69</v>
      </c>
      <c r="E13560" s="6">
        <v>0</v>
      </c>
      <c r="F13560" s="6">
        <v>0</v>
      </c>
      <c r="G13560" s="6">
        <v>9</v>
      </c>
      <c r="H13560" s="6" t="s">
        <v>52758</v>
      </c>
      <c r="I13560" s="6">
        <v>526.6875</v>
      </c>
      <c r="J13560" s="2">
        <f t="shared" si="211"/>
        <v>43749.488294224539</v>
      </c>
    </row>
    <row r="13561" spans="1:10" x14ac:dyDescent="0.25">
      <c r="A13561" s="7" t="s">
        <v>52759</v>
      </c>
      <c r="B13561" s="8">
        <v>412.5</v>
      </c>
      <c r="C13561" s="8">
        <v>20.531590000000001</v>
      </c>
      <c r="D13561" s="8">
        <v>69</v>
      </c>
      <c r="E13561" s="8">
        <v>0</v>
      </c>
      <c r="F13561" s="8">
        <v>0</v>
      </c>
      <c r="G13561" s="8">
        <v>7</v>
      </c>
      <c r="H13561" s="8" t="s">
        <v>52760</v>
      </c>
      <c r="I13561" s="8">
        <v>532.3125</v>
      </c>
      <c r="J13561" s="3">
        <f t="shared" si="211"/>
        <v>43749.488365636571</v>
      </c>
    </row>
    <row r="13562" spans="1:10" x14ac:dyDescent="0.25">
      <c r="A13562" s="5" t="s">
        <v>52761</v>
      </c>
      <c r="B13562" s="6">
        <v>393.75</v>
      </c>
      <c r="C13562" s="6">
        <v>20.531590000000001</v>
      </c>
      <c r="D13562" s="6">
        <v>69</v>
      </c>
      <c r="E13562" s="6">
        <v>0</v>
      </c>
      <c r="F13562" s="6">
        <v>0</v>
      </c>
      <c r="G13562" s="6">
        <v>14</v>
      </c>
      <c r="H13562" s="6" t="s">
        <v>52762</v>
      </c>
      <c r="I13562" s="6">
        <v>526.6875</v>
      </c>
      <c r="J13562" s="2">
        <f t="shared" si="211"/>
        <v>43749.488437291664</v>
      </c>
    </row>
    <row r="13563" spans="1:10" x14ac:dyDescent="0.25">
      <c r="A13563" s="7" t="s">
        <v>52763</v>
      </c>
      <c r="B13563" s="8">
        <v>393.75</v>
      </c>
      <c r="C13563" s="8">
        <v>20.478950000000001</v>
      </c>
      <c r="D13563" s="8">
        <v>68</v>
      </c>
      <c r="E13563" s="8">
        <v>0</v>
      </c>
      <c r="F13563" s="8">
        <v>0</v>
      </c>
      <c r="G13563" s="8">
        <v>16</v>
      </c>
      <c r="H13563" s="8" t="s">
        <v>52764</v>
      </c>
      <c r="I13563" s="8">
        <v>526.6875</v>
      </c>
      <c r="J13563" s="3">
        <f t="shared" si="211"/>
        <v>43749.488520752311</v>
      </c>
    </row>
    <row r="13564" spans="1:10" x14ac:dyDescent="0.25">
      <c r="A13564" s="5" t="s">
        <v>52765</v>
      </c>
      <c r="B13564" s="6">
        <v>412.5</v>
      </c>
      <c r="C13564" s="6">
        <v>20.478950000000001</v>
      </c>
      <c r="D13564" s="6">
        <v>68</v>
      </c>
      <c r="E13564" s="6">
        <v>0</v>
      </c>
      <c r="F13564" s="6">
        <v>0</v>
      </c>
      <c r="G13564" s="6">
        <v>2</v>
      </c>
      <c r="H13564" s="6" t="s">
        <v>52766</v>
      </c>
      <c r="I13564" s="6">
        <v>532.6875</v>
      </c>
      <c r="J13564" s="2">
        <f t="shared" si="211"/>
        <v>43749.488604305552</v>
      </c>
    </row>
    <row r="13565" spans="1:10" x14ac:dyDescent="0.25">
      <c r="A13565" s="7" t="s">
        <v>52767</v>
      </c>
      <c r="B13565" s="8">
        <v>393.75</v>
      </c>
      <c r="C13565" s="8">
        <v>20.478950000000001</v>
      </c>
      <c r="D13565" s="8">
        <v>69</v>
      </c>
      <c r="E13565" s="8">
        <v>0</v>
      </c>
      <c r="F13565" s="8">
        <v>0</v>
      </c>
      <c r="G13565" s="8">
        <v>3</v>
      </c>
      <c r="H13565" s="8" t="s">
        <v>52768</v>
      </c>
      <c r="I13565" s="8">
        <v>526.6875</v>
      </c>
      <c r="J13565" s="3">
        <f t="shared" si="211"/>
        <v>43749.488687743054</v>
      </c>
    </row>
    <row r="13566" spans="1:10" x14ac:dyDescent="0.25">
      <c r="A13566" s="5" t="s">
        <v>52769</v>
      </c>
      <c r="B13566" s="6">
        <v>393.75</v>
      </c>
      <c r="C13566" s="6">
        <v>20.478950000000001</v>
      </c>
      <c r="D13566" s="6">
        <v>68</v>
      </c>
      <c r="E13566" s="6">
        <v>0</v>
      </c>
      <c r="F13566" s="6">
        <v>0</v>
      </c>
      <c r="G13566" s="6">
        <v>5</v>
      </c>
      <c r="H13566" s="6" t="s">
        <v>52770</v>
      </c>
      <c r="I13566" s="6">
        <v>526.6875</v>
      </c>
      <c r="J13566" s="2">
        <f t="shared" si="211"/>
        <v>43749.48877131944</v>
      </c>
    </row>
    <row r="13567" spans="1:10" x14ac:dyDescent="0.25">
      <c r="A13567" s="7" t="s">
        <v>52771</v>
      </c>
      <c r="B13567" s="8">
        <v>393.75</v>
      </c>
      <c r="C13567" s="8">
        <v>20.478950000000001</v>
      </c>
      <c r="D13567" s="8">
        <v>67</v>
      </c>
      <c r="E13567" s="8">
        <v>0</v>
      </c>
      <c r="F13567" s="8">
        <v>0</v>
      </c>
      <c r="G13567" s="8">
        <v>7</v>
      </c>
      <c r="H13567" s="8" t="s">
        <v>52772</v>
      </c>
      <c r="I13567" s="8">
        <v>526.6875</v>
      </c>
      <c r="J13567" s="3">
        <f t="shared" si="211"/>
        <v>43749.488866539345</v>
      </c>
    </row>
    <row r="13568" spans="1:10" x14ac:dyDescent="0.25">
      <c r="A13568" s="5" t="s">
        <v>52773</v>
      </c>
      <c r="B13568" s="6">
        <v>393.75</v>
      </c>
      <c r="C13568" s="6">
        <v>20.478950000000001</v>
      </c>
      <c r="D13568" s="6">
        <v>67</v>
      </c>
      <c r="E13568" s="6">
        <v>0</v>
      </c>
      <c r="F13568" s="6">
        <v>0</v>
      </c>
      <c r="G13568" s="6">
        <v>0</v>
      </c>
      <c r="H13568" s="6" t="s">
        <v>52774</v>
      </c>
      <c r="I13568" s="6">
        <v>526.6875</v>
      </c>
      <c r="J13568" s="2">
        <f t="shared" si="211"/>
        <v>43749.488937835646</v>
      </c>
    </row>
    <row r="13569" spans="1:10" x14ac:dyDescent="0.25">
      <c r="A13569" s="7" t="s">
        <v>52775</v>
      </c>
      <c r="B13569" s="8">
        <v>393.75</v>
      </c>
      <c r="C13569" s="8">
        <v>20.478950000000001</v>
      </c>
      <c r="D13569" s="8">
        <v>67</v>
      </c>
      <c r="E13569" s="8">
        <v>0</v>
      </c>
      <c r="F13569" s="8">
        <v>0</v>
      </c>
      <c r="G13569" s="8">
        <v>1</v>
      </c>
      <c r="H13569" s="8" t="s">
        <v>52776</v>
      </c>
      <c r="I13569" s="8">
        <v>526.6875</v>
      </c>
      <c r="J13569" s="3">
        <f t="shared" si="211"/>
        <v>43749.48902163194</v>
      </c>
    </row>
    <row r="13570" spans="1:10" x14ac:dyDescent="0.25">
      <c r="A13570" s="5" t="s">
        <v>52777</v>
      </c>
      <c r="B13570" s="6">
        <v>393.75</v>
      </c>
      <c r="C13570" s="6">
        <v>20.531590000000001</v>
      </c>
      <c r="D13570" s="6">
        <v>66</v>
      </c>
      <c r="E13570" s="6">
        <v>0</v>
      </c>
      <c r="F13570" s="6">
        <v>0</v>
      </c>
      <c r="G13570" s="6">
        <v>5</v>
      </c>
      <c r="H13570" s="6" t="s">
        <v>52778</v>
      </c>
      <c r="I13570" s="6">
        <v>526.6875</v>
      </c>
      <c r="J13570" s="2">
        <f t="shared" ref="J13570:J13633" si="212">(H13570/86400000)+25569+(7/24)</f>
        <v>43749.489093136574</v>
      </c>
    </row>
    <row r="13571" spans="1:10" x14ac:dyDescent="0.25">
      <c r="A13571" s="7" t="s">
        <v>52779</v>
      </c>
      <c r="B13571" s="8">
        <v>393.75</v>
      </c>
      <c r="C13571" s="8">
        <v>20.478950000000001</v>
      </c>
      <c r="D13571" s="8">
        <v>69</v>
      </c>
      <c r="E13571" s="8">
        <v>0</v>
      </c>
      <c r="F13571" s="8">
        <v>0</v>
      </c>
      <c r="G13571" s="8">
        <v>2</v>
      </c>
      <c r="H13571" s="8" t="s">
        <v>52780</v>
      </c>
      <c r="I13571" s="8">
        <v>526.6875</v>
      </c>
      <c r="J13571" s="3">
        <f t="shared" si="212"/>
        <v>43749.489176608789</v>
      </c>
    </row>
    <row r="13572" spans="1:10" x14ac:dyDescent="0.25">
      <c r="A13572" s="5" t="s">
        <v>52781</v>
      </c>
      <c r="B13572" s="6">
        <v>393.75</v>
      </c>
      <c r="C13572" s="6">
        <v>20.478950000000001</v>
      </c>
      <c r="D13572" s="6">
        <v>68</v>
      </c>
      <c r="E13572" s="6">
        <v>0</v>
      </c>
      <c r="F13572" s="6">
        <v>0</v>
      </c>
      <c r="G13572" s="6">
        <v>0</v>
      </c>
      <c r="H13572" s="6" t="s">
        <v>52782</v>
      </c>
      <c r="I13572" s="6">
        <v>526.6875</v>
      </c>
      <c r="J13572" s="2">
        <f t="shared" si="212"/>
        <v>43749.489260057868</v>
      </c>
    </row>
    <row r="13573" spans="1:10" x14ac:dyDescent="0.25">
      <c r="A13573" s="7" t="s">
        <v>52783</v>
      </c>
      <c r="B13573" s="8">
        <v>393.75</v>
      </c>
      <c r="C13573" s="8">
        <v>20.478950000000001</v>
      </c>
      <c r="D13573" s="8">
        <v>64</v>
      </c>
      <c r="E13573" s="8">
        <v>0</v>
      </c>
      <c r="F13573" s="8">
        <v>0</v>
      </c>
      <c r="G13573" s="8">
        <v>12</v>
      </c>
      <c r="H13573" s="8" t="s">
        <v>52784</v>
      </c>
      <c r="I13573" s="8">
        <v>526.6875</v>
      </c>
      <c r="J13573" s="3">
        <f t="shared" si="212"/>
        <v>43749.489343634261</v>
      </c>
    </row>
    <row r="13574" spans="1:10" x14ac:dyDescent="0.25">
      <c r="A13574" s="5" t="s">
        <v>52785</v>
      </c>
      <c r="B13574" s="6">
        <v>393.75</v>
      </c>
      <c r="C13574" s="6">
        <v>20.531590000000001</v>
      </c>
      <c r="D13574" s="6">
        <v>66</v>
      </c>
      <c r="E13574" s="6">
        <v>0</v>
      </c>
      <c r="F13574" s="6">
        <v>0</v>
      </c>
      <c r="G13574" s="6">
        <v>13</v>
      </c>
      <c r="H13574" s="6" t="s">
        <v>52786</v>
      </c>
      <c r="I13574" s="6">
        <v>526.6875</v>
      </c>
      <c r="J13574" s="2">
        <f t="shared" si="212"/>
        <v>43749.489415138887</v>
      </c>
    </row>
    <row r="13575" spans="1:10" x14ac:dyDescent="0.25">
      <c r="A13575" s="7" t="s">
        <v>52787</v>
      </c>
      <c r="B13575" s="8">
        <v>393.75</v>
      </c>
      <c r="C13575" s="8">
        <v>20.531590000000001</v>
      </c>
      <c r="D13575" s="8">
        <v>67</v>
      </c>
      <c r="E13575" s="8">
        <v>0</v>
      </c>
      <c r="F13575" s="8">
        <v>0</v>
      </c>
      <c r="G13575" s="8">
        <v>7</v>
      </c>
      <c r="H13575" s="8" t="s">
        <v>52788</v>
      </c>
      <c r="I13575" s="8">
        <v>526.6875</v>
      </c>
      <c r="J13575" s="3">
        <f t="shared" si="212"/>
        <v>43749.489486331011</v>
      </c>
    </row>
    <row r="13576" spans="1:10" x14ac:dyDescent="0.25">
      <c r="A13576" s="5" t="s">
        <v>52789</v>
      </c>
      <c r="B13576" s="6">
        <v>393.75</v>
      </c>
      <c r="C13576" s="6">
        <v>20.478950000000001</v>
      </c>
      <c r="D13576" s="6">
        <v>67</v>
      </c>
      <c r="E13576" s="6">
        <v>0</v>
      </c>
      <c r="F13576" s="6">
        <v>0</v>
      </c>
      <c r="G13576" s="6">
        <v>1</v>
      </c>
      <c r="H13576" s="6" t="s">
        <v>52790</v>
      </c>
      <c r="I13576" s="6">
        <v>526.6875</v>
      </c>
      <c r="J13576" s="2">
        <f t="shared" si="212"/>
        <v>43749.489558229165</v>
      </c>
    </row>
    <row r="13577" spans="1:10" x14ac:dyDescent="0.25">
      <c r="A13577" s="7" t="s">
        <v>52791</v>
      </c>
      <c r="B13577" s="8">
        <v>393.75</v>
      </c>
      <c r="C13577" s="8">
        <v>20.478950000000001</v>
      </c>
      <c r="D13577" s="8">
        <v>67</v>
      </c>
      <c r="E13577" s="8">
        <v>0</v>
      </c>
      <c r="F13577" s="8">
        <v>0</v>
      </c>
      <c r="G13577" s="8">
        <v>0</v>
      </c>
      <c r="H13577" s="8" t="s">
        <v>52792</v>
      </c>
      <c r="I13577" s="8">
        <v>526.6875</v>
      </c>
      <c r="J13577" s="3">
        <f t="shared" si="212"/>
        <v>43749.489641539352</v>
      </c>
    </row>
    <row r="13578" spans="1:10" x14ac:dyDescent="0.25">
      <c r="A13578" s="5" t="s">
        <v>52793</v>
      </c>
      <c r="B13578" s="6">
        <v>393.75</v>
      </c>
      <c r="C13578" s="6">
        <v>20.584240000000001</v>
      </c>
      <c r="D13578" s="6">
        <v>67</v>
      </c>
      <c r="E13578" s="6">
        <v>0</v>
      </c>
      <c r="F13578" s="6">
        <v>0</v>
      </c>
      <c r="G13578" s="6">
        <v>0</v>
      </c>
      <c r="H13578" s="6" t="s">
        <v>52794</v>
      </c>
      <c r="I13578" s="6">
        <v>526.6875</v>
      </c>
      <c r="J13578" s="2">
        <f t="shared" si="212"/>
        <v>43749.489716562493</v>
      </c>
    </row>
    <row r="13579" spans="1:10" x14ac:dyDescent="0.25">
      <c r="A13579" s="7" t="s">
        <v>52795</v>
      </c>
      <c r="B13579" s="8">
        <v>393.75</v>
      </c>
      <c r="C13579" s="8">
        <v>20.478950000000001</v>
      </c>
      <c r="D13579" s="8">
        <v>66</v>
      </c>
      <c r="E13579" s="8">
        <v>0</v>
      </c>
      <c r="F13579" s="8">
        <v>0</v>
      </c>
      <c r="G13579" s="8">
        <v>2</v>
      </c>
      <c r="H13579" s="8" t="s">
        <v>52796</v>
      </c>
      <c r="I13579" s="8">
        <v>526.6875</v>
      </c>
      <c r="J13579" s="3">
        <f t="shared" si="212"/>
        <v>43749.48979673611</v>
      </c>
    </row>
    <row r="13580" spans="1:10" x14ac:dyDescent="0.25">
      <c r="A13580" s="5" t="s">
        <v>52797</v>
      </c>
      <c r="B13580" s="6">
        <v>393.75</v>
      </c>
      <c r="C13580" s="6">
        <v>20.478950000000001</v>
      </c>
      <c r="D13580" s="6">
        <v>66</v>
      </c>
      <c r="E13580" s="6">
        <v>0</v>
      </c>
      <c r="F13580" s="6">
        <v>0</v>
      </c>
      <c r="G13580" s="6">
        <v>8</v>
      </c>
      <c r="H13580" s="6" t="s">
        <v>52798</v>
      </c>
      <c r="I13580" s="6">
        <v>526.6875</v>
      </c>
      <c r="J13580" s="2">
        <f t="shared" si="212"/>
        <v>43749.489880196757</v>
      </c>
    </row>
    <row r="13581" spans="1:10" x14ac:dyDescent="0.25">
      <c r="A13581" s="7" t="s">
        <v>52799</v>
      </c>
      <c r="B13581" s="8">
        <v>393.75</v>
      </c>
      <c r="C13581" s="8">
        <v>20.531590000000001</v>
      </c>
      <c r="D13581" s="8">
        <v>66</v>
      </c>
      <c r="E13581" s="8">
        <v>0</v>
      </c>
      <c r="F13581" s="8">
        <v>0</v>
      </c>
      <c r="G13581" s="8">
        <v>3</v>
      </c>
      <c r="H13581" s="8" t="s">
        <v>52800</v>
      </c>
      <c r="I13581" s="8">
        <v>526.5</v>
      </c>
      <c r="J13581" s="3">
        <f t="shared" si="212"/>
        <v>43749.489951736112</v>
      </c>
    </row>
    <row r="13582" spans="1:10" x14ac:dyDescent="0.25">
      <c r="A13582" s="5" t="s">
        <v>52801</v>
      </c>
      <c r="B13582" s="6">
        <v>393.75</v>
      </c>
      <c r="C13582" s="6">
        <v>20.478950000000001</v>
      </c>
      <c r="D13582" s="6">
        <v>65</v>
      </c>
      <c r="E13582" s="6">
        <v>0</v>
      </c>
      <c r="F13582" s="6">
        <v>0</v>
      </c>
      <c r="G13582" s="6">
        <v>6</v>
      </c>
      <c r="H13582" s="6" t="s">
        <v>52802</v>
      </c>
      <c r="I13582" s="6">
        <v>526.5</v>
      </c>
      <c r="J13582" s="2">
        <f t="shared" si="212"/>
        <v>43749.490023124999</v>
      </c>
    </row>
    <row r="13583" spans="1:10" x14ac:dyDescent="0.25">
      <c r="A13583" s="7" t="s">
        <v>52803</v>
      </c>
      <c r="B13583" s="8">
        <v>393.75</v>
      </c>
      <c r="C13583" s="8">
        <v>20.478950000000001</v>
      </c>
      <c r="D13583" s="8">
        <v>65</v>
      </c>
      <c r="E13583" s="8">
        <v>0</v>
      </c>
      <c r="F13583" s="8">
        <v>0</v>
      </c>
      <c r="G13583" s="8">
        <v>3</v>
      </c>
      <c r="H13583" s="8" t="s">
        <v>52804</v>
      </c>
      <c r="I13583" s="8">
        <v>526.6875</v>
      </c>
      <c r="J13583" s="3">
        <f t="shared" si="212"/>
        <v>43749.490094895831</v>
      </c>
    </row>
    <row r="13584" spans="1:10" x14ac:dyDescent="0.25">
      <c r="A13584" s="5" t="s">
        <v>52805</v>
      </c>
      <c r="B13584" s="6">
        <v>412.5</v>
      </c>
      <c r="C13584" s="6">
        <v>20.478950000000001</v>
      </c>
      <c r="D13584" s="6">
        <v>64</v>
      </c>
      <c r="E13584" s="6">
        <v>0</v>
      </c>
      <c r="F13584" s="6">
        <v>0</v>
      </c>
      <c r="G13584" s="6">
        <v>9</v>
      </c>
      <c r="H13584" s="6" t="s">
        <v>52806</v>
      </c>
      <c r="I13584" s="6">
        <v>532.3125</v>
      </c>
      <c r="J13584" s="2">
        <f t="shared" si="212"/>
        <v>43749.490178356478</v>
      </c>
    </row>
    <row r="13585" spans="1:10" x14ac:dyDescent="0.25">
      <c r="A13585" s="7" t="s">
        <v>52807</v>
      </c>
      <c r="B13585" s="8">
        <v>393.75</v>
      </c>
      <c r="C13585" s="8">
        <v>20.478950000000001</v>
      </c>
      <c r="D13585" s="8">
        <v>64</v>
      </c>
      <c r="E13585" s="8">
        <v>0</v>
      </c>
      <c r="F13585" s="8">
        <v>0</v>
      </c>
      <c r="G13585" s="8">
        <v>0</v>
      </c>
      <c r="H13585" s="8" t="s">
        <v>52808</v>
      </c>
      <c r="I13585" s="8">
        <v>526.6875</v>
      </c>
      <c r="J13585" s="3">
        <f t="shared" si="212"/>
        <v>43749.490261909719</v>
      </c>
    </row>
    <row r="13586" spans="1:10" x14ac:dyDescent="0.25">
      <c r="A13586" s="5" t="s">
        <v>52809</v>
      </c>
      <c r="B13586" s="6">
        <v>393.75</v>
      </c>
      <c r="C13586" s="6">
        <v>20.478950000000001</v>
      </c>
      <c r="D13586" s="6">
        <v>64</v>
      </c>
      <c r="E13586" s="6">
        <v>0</v>
      </c>
      <c r="F13586" s="6">
        <v>0</v>
      </c>
      <c r="G13586" s="6">
        <v>0</v>
      </c>
      <c r="H13586" s="6" t="s">
        <v>52810</v>
      </c>
      <c r="I13586" s="6">
        <v>526.6875</v>
      </c>
      <c r="J13586" s="2">
        <f t="shared" si="212"/>
        <v>43749.490333437498</v>
      </c>
    </row>
    <row r="13587" spans="1:10" x14ac:dyDescent="0.25">
      <c r="A13587" s="7" t="s">
        <v>52811</v>
      </c>
      <c r="B13587" s="8">
        <v>393.75</v>
      </c>
      <c r="C13587" s="8">
        <v>20.478950000000001</v>
      </c>
      <c r="D13587" s="8">
        <v>64</v>
      </c>
      <c r="E13587" s="8">
        <v>0</v>
      </c>
      <c r="F13587" s="8">
        <v>0</v>
      </c>
      <c r="G13587" s="8">
        <v>0</v>
      </c>
      <c r="H13587" s="8" t="s">
        <v>52812</v>
      </c>
      <c r="I13587" s="8">
        <v>526.6875</v>
      </c>
      <c r="J13587" s="3">
        <f t="shared" si="212"/>
        <v>43749.490404618053</v>
      </c>
    </row>
    <row r="13588" spans="1:10" x14ac:dyDescent="0.25">
      <c r="A13588" s="5" t="s">
        <v>52813</v>
      </c>
      <c r="B13588" s="6">
        <v>393.75</v>
      </c>
      <c r="C13588" s="6">
        <v>20.478950000000001</v>
      </c>
      <c r="D13588" s="6">
        <v>65</v>
      </c>
      <c r="E13588" s="6">
        <v>0</v>
      </c>
      <c r="F13588" s="6">
        <v>0</v>
      </c>
      <c r="G13588" s="6">
        <v>0</v>
      </c>
      <c r="H13588" s="6" t="s">
        <v>52814</v>
      </c>
      <c r="I13588" s="6">
        <v>526.6875</v>
      </c>
      <c r="J13588" s="2">
        <f t="shared" si="212"/>
        <v>43749.49047650463</v>
      </c>
    </row>
    <row r="13589" spans="1:10" x14ac:dyDescent="0.25">
      <c r="A13589" s="7" t="s">
        <v>52815</v>
      </c>
      <c r="B13589" s="8">
        <v>393.75</v>
      </c>
      <c r="C13589" s="8">
        <v>20.531590000000001</v>
      </c>
      <c r="D13589" s="8">
        <v>65</v>
      </c>
      <c r="E13589" s="8">
        <v>0</v>
      </c>
      <c r="F13589" s="8">
        <v>0</v>
      </c>
      <c r="G13589" s="8">
        <v>10</v>
      </c>
      <c r="H13589" s="8" t="s">
        <v>52816</v>
      </c>
      <c r="I13589" s="8">
        <v>526.6875</v>
      </c>
      <c r="J13589" s="3">
        <f t="shared" si="212"/>
        <v>43749.49056017361</v>
      </c>
    </row>
    <row r="13590" spans="1:10" x14ac:dyDescent="0.25">
      <c r="A13590" s="5" t="s">
        <v>52817</v>
      </c>
      <c r="B13590" s="6">
        <v>415.625</v>
      </c>
      <c r="C13590" s="6">
        <v>20.478950000000001</v>
      </c>
      <c r="D13590" s="6">
        <v>65</v>
      </c>
      <c r="E13590" s="6">
        <v>0</v>
      </c>
      <c r="F13590" s="6">
        <v>0</v>
      </c>
      <c r="G13590" s="6">
        <v>2</v>
      </c>
      <c r="H13590" s="6" t="s">
        <v>52818</v>
      </c>
      <c r="I13590" s="6">
        <v>533.625</v>
      </c>
      <c r="J13590" s="2">
        <f t="shared" si="212"/>
        <v>43749.490631620363</v>
      </c>
    </row>
    <row r="13591" spans="1:10" x14ac:dyDescent="0.25">
      <c r="A13591" s="7" t="s">
        <v>52819</v>
      </c>
      <c r="B13591" s="8">
        <v>393.75</v>
      </c>
      <c r="C13591" s="8">
        <v>20.478950000000001</v>
      </c>
      <c r="D13591" s="8">
        <v>66</v>
      </c>
      <c r="E13591" s="8">
        <v>0</v>
      </c>
      <c r="F13591" s="8">
        <v>0</v>
      </c>
      <c r="G13591" s="8">
        <v>5</v>
      </c>
      <c r="H13591" s="8" t="s">
        <v>52820</v>
      </c>
      <c r="I13591" s="8">
        <v>526.6875</v>
      </c>
      <c r="J13591" s="3">
        <f t="shared" si="212"/>
        <v>43749.490715023145</v>
      </c>
    </row>
    <row r="13592" spans="1:10" x14ac:dyDescent="0.25">
      <c r="A13592" s="5" t="s">
        <v>52821</v>
      </c>
      <c r="B13592" s="6">
        <v>393.75</v>
      </c>
      <c r="C13592" s="6">
        <v>20.478950000000001</v>
      </c>
      <c r="D13592" s="6">
        <v>65</v>
      </c>
      <c r="E13592" s="6">
        <v>0</v>
      </c>
      <c r="F13592" s="6">
        <v>0</v>
      </c>
      <c r="G13592" s="6">
        <v>7</v>
      </c>
      <c r="H13592" s="6" t="s">
        <v>52822</v>
      </c>
      <c r="I13592" s="6">
        <v>526.6875</v>
      </c>
      <c r="J13592" s="2">
        <f t="shared" si="212"/>
        <v>43749.490786319446</v>
      </c>
    </row>
    <row r="13593" spans="1:10" x14ac:dyDescent="0.25">
      <c r="A13593" s="7" t="s">
        <v>52823</v>
      </c>
      <c r="B13593" s="8">
        <v>393.75</v>
      </c>
      <c r="C13593" s="8">
        <v>20.478950000000001</v>
      </c>
      <c r="D13593" s="8">
        <v>65</v>
      </c>
      <c r="E13593" s="8">
        <v>0</v>
      </c>
      <c r="F13593" s="8">
        <v>0</v>
      </c>
      <c r="G13593" s="8">
        <v>1</v>
      </c>
      <c r="H13593" s="8" t="s">
        <v>52824</v>
      </c>
      <c r="I13593" s="8">
        <v>526.6875</v>
      </c>
      <c r="J13593" s="3">
        <f t="shared" si="212"/>
        <v>43749.490858263882</v>
      </c>
    </row>
    <row r="13594" spans="1:10" x14ac:dyDescent="0.25">
      <c r="A13594" s="5" t="s">
        <v>52825</v>
      </c>
      <c r="B13594" s="6">
        <v>393.75</v>
      </c>
      <c r="C13594" s="6">
        <v>20.531590000000001</v>
      </c>
      <c r="D13594" s="6">
        <v>67</v>
      </c>
      <c r="E13594" s="6">
        <v>0</v>
      </c>
      <c r="F13594" s="6">
        <v>0</v>
      </c>
      <c r="G13594" s="6">
        <v>5</v>
      </c>
      <c r="H13594" s="6" t="s">
        <v>52826</v>
      </c>
      <c r="I13594" s="6">
        <v>526.6875</v>
      </c>
      <c r="J13594" s="2">
        <f t="shared" si="212"/>
        <v>43749.490941527773</v>
      </c>
    </row>
    <row r="13595" spans="1:10" x14ac:dyDescent="0.25">
      <c r="A13595" s="7" t="s">
        <v>52827</v>
      </c>
      <c r="B13595" s="8">
        <v>393.75</v>
      </c>
      <c r="C13595" s="8">
        <v>20.531590000000001</v>
      </c>
      <c r="D13595" s="8">
        <v>67</v>
      </c>
      <c r="E13595" s="8">
        <v>0</v>
      </c>
      <c r="F13595" s="8">
        <v>0</v>
      </c>
      <c r="G13595" s="8">
        <v>4</v>
      </c>
      <c r="H13595" s="8" t="s">
        <v>52828</v>
      </c>
      <c r="I13595" s="8">
        <v>526.6875</v>
      </c>
      <c r="J13595" s="3">
        <f t="shared" si="212"/>
        <v>43749.491025127318</v>
      </c>
    </row>
    <row r="13596" spans="1:10" x14ac:dyDescent="0.25">
      <c r="A13596" s="5" t="s">
        <v>52829</v>
      </c>
      <c r="B13596" s="6">
        <v>412.5</v>
      </c>
      <c r="C13596" s="6">
        <v>20.478950000000001</v>
      </c>
      <c r="D13596" s="6">
        <v>67</v>
      </c>
      <c r="E13596" s="6">
        <v>0</v>
      </c>
      <c r="F13596" s="6">
        <v>0</v>
      </c>
      <c r="G13596" s="6">
        <v>12</v>
      </c>
      <c r="H13596" s="6" t="s">
        <v>52830</v>
      </c>
      <c r="I13596" s="6">
        <v>532.6875</v>
      </c>
      <c r="J13596" s="2">
        <f t="shared" si="212"/>
        <v>43749.491096631937</v>
      </c>
    </row>
    <row r="13597" spans="1:10" x14ac:dyDescent="0.25">
      <c r="A13597" s="7" t="s">
        <v>52831</v>
      </c>
      <c r="B13597" s="8">
        <v>393.75</v>
      </c>
      <c r="C13597" s="8">
        <v>20.478950000000001</v>
      </c>
      <c r="D13597" s="8">
        <v>63</v>
      </c>
      <c r="E13597" s="8">
        <v>0</v>
      </c>
      <c r="F13597" s="8">
        <v>0</v>
      </c>
      <c r="G13597" s="8">
        <v>0</v>
      </c>
      <c r="H13597" s="8" t="s">
        <v>52832</v>
      </c>
      <c r="I13597" s="8">
        <v>526.6875</v>
      </c>
      <c r="J13597" s="3">
        <f t="shared" si="212"/>
        <v>43749.491168275461</v>
      </c>
    </row>
    <row r="13598" spans="1:10" x14ac:dyDescent="0.25">
      <c r="A13598" s="5" t="s">
        <v>52833</v>
      </c>
      <c r="B13598" s="6">
        <v>393.75</v>
      </c>
      <c r="C13598" s="6">
        <v>20.478950000000001</v>
      </c>
      <c r="D13598" s="6">
        <v>64</v>
      </c>
      <c r="E13598" s="6">
        <v>0</v>
      </c>
      <c r="F13598" s="6">
        <v>0</v>
      </c>
      <c r="G13598" s="6">
        <v>0</v>
      </c>
      <c r="H13598" s="6" t="s">
        <v>52834</v>
      </c>
      <c r="I13598" s="6">
        <v>526.6875</v>
      </c>
      <c r="J13598" s="2">
        <f t="shared" si="212"/>
        <v>43749.491239814808</v>
      </c>
    </row>
    <row r="13599" spans="1:10" x14ac:dyDescent="0.25">
      <c r="A13599" s="7" t="s">
        <v>52835</v>
      </c>
      <c r="B13599" s="8">
        <v>393.75</v>
      </c>
      <c r="C13599" s="8">
        <v>20.478950000000001</v>
      </c>
      <c r="D13599" s="8">
        <v>61</v>
      </c>
      <c r="E13599" s="8">
        <v>0</v>
      </c>
      <c r="F13599" s="8">
        <v>0</v>
      </c>
      <c r="G13599" s="8">
        <v>1</v>
      </c>
      <c r="H13599" s="8" t="s">
        <v>52836</v>
      </c>
      <c r="I13599" s="8">
        <v>526.6875</v>
      </c>
      <c r="J13599" s="3">
        <f t="shared" si="212"/>
        <v>43749.491335289349</v>
      </c>
    </row>
    <row r="13600" spans="1:10" x14ac:dyDescent="0.25">
      <c r="A13600" s="5" t="s">
        <v>52837</v>
      </c>
      <c r="B13600" s="6">
        <v>393.75</v>
      </c>
      <c r="C13600" s="6">
        <v>20.478950000000001</v>
      </c>
      <c r="D13600" s="6">
        <v>62</v>
      </c>
      <c r="E13600" s="6">
        <v>0</v>
      </c>
      <c r="F13600" s="6">
        <v>0</v>
      </c>
      <c r="G13600" s="6">
        <v>2</v>
      </c>
      <c r="H13600" s="6" t="s">
        <v>52838</v>
      </c>
      <c r="I13600" s="6">
        <v>526.6875</v>
      </c>
      <c r="J13600" s="2">
        <f t="shared" si="212"/>
        <v>43749.491430439812</v>
      </c>
    </row>
    <row r="13601" spans="1:10" x14ac:dyDescent="0.25">
      <c r="A13601" s="7" t="s">
        <v>52839</v>
      </c>
      <c r="B13601" s="8">
        <v>421.875</v>
      </c>
      <c r="C13601" s="8">
        <v>20.478950000000001</v>
      </c>
      <c r="D13601" s="8">
        <v>62</v>
      </c>
      <c r="E13601" s="8">
        <v>0</v>
      </c>
      <c r="F13601" s="8">
        <v>0</v>
      </c>
      <c r="G13601" s="8">
        <v>6</v>
      </c>
      <c r="H13601" s="8" t="s">
        <v>52840</v>
      </c>
      <c r="I13601" s="8">
        <v>535.3125</v>
      </c>
      <c r="J13601" s="3">
        <f t="shared" si="212"/>
        <v>43749.491502094905</v>
      </c>
    </row>
    <row r="13602" spans="1:10" x14ac:dyDescent="0.25">
      <c r="A13602" s="5" t="s">
        <v>52841</v>
      </c>
      <c r="B13602" s="6">
        <v>393.75</v>
      </c>
      <c r="C13602" s="6">
        <v>20.478950000000001</v>
      </c>
      <c r="D13602" s="6">
        <v>63</v>
      </c>
      <c r="E13602" s="6">
        <v>0</v>
      </c>
      <c r="F13602" s="6">
        <v>0</v>
      </c>
      <c r="G13602" s="6">
        <v>0</v>
      </c>
      <c r="H13602" s="6" t="s">
        <v>52842</v>
      </c>
      <c r="I13602" s="6">
        <v>526.875</v>
      </c>
      <c r="J13602" s="2">
        <f t="shared" si="212"/>
        <v>43749.491585902775</v>
      </c>
    </row>
    <row r="13603" spans="1:10" x14ac:dyDescent="0.25">
      <c r="A13603" s="7" t="s">
        <v>52843</v>
      </c>
      <c r="B13603" s="8">
        <v>393.75</v>
      </c>
      <c r="C13603" s="8">
        <v>20.531590000000001</v>
      </c>
      <c r="D13603" s="8">
        <v>63</v>
      </c>
      <c r="E13603" s="8">
        <v>0</v>
      </c>
      <c r="F13603" s="8">
        <v>0</v>
      </c>
      <c r="G13603" s="8">
        <v>5</v>
      </c>
      <c r="H13603" s="8" t="s">
        <v>52844</v>
      </c>
      <c r="I13603" s="8">
        <v>526.6875</v>
      </c>
      <c r="J13603" s="3">
        <f t="shared" si="212"/>
        <v>43749.491657303239</v>
      </c>
    </row>
    <row r="13604" spans="1:10" x14ac:dyDescent="0.25">
      <c r="A13604" s="5" t="s">
        <v>52845</v>
      </c>
      <c r="B13604" s="6">
        <v>393.75</v>
      </c>
      <c r="C13604" s="6">
        <v>20.531590000000001</v>
      </c>
      <c r="D13604" s="6">
        <v>63</v>
      </c>
      <c r="E13604" s="6">
        <v>0</v>
      </c>
      <c r="F13604" s="6">
        <v>0</v>
      </c>
      <c r="G13604" s="6">
        <v>5</v>
      </c>
      <c r="H13604" s="6" t="s">
        <v>52846</v>
      </c>
      <c r="I13604" s="6">
        <v>526.6875</v>
      </c>
      <c r="J13604" s="2">
        <f t="shared" si="212"/>
        <v>43749.491742708335</v>
      </c>
    </row>
    <row r="13605" spans="1:10" x14ac:dyDescent="0.25">
      <c r="A13605" s="7" t="s">
        <v>52847</v>
      </c>
      <c r="B13605" s="8">
        <v>393.75</v>
      </c>
      <c r="C13605" s="8">
        <v>20.531590000000001</v>
      </c>
      <c r="D13605" s="8">
        <v>63</v>
      </c>
      <c r="E13605" s="8">
        <v>0</v>
      </c>
      <c r="F13605" s="8">
        <v>0</v>
      </c>
      <c r="G13605" s="8">
        <v>4</v>
      </c>
      <c r="H13605" s="8" t="s">
        <v>52848</v>
      </c>
      <c r="I13605" s="8">
        <v>526.6875</v>
      </c>
      <c r="J13605" s="3">
        <f t="shared" si="212"/>
        <v>43749.491824178236</v>
      </c>
    </row>
    <row r="13606" spans="1:10" x14ac:dyDescent="0.25">
      <c r="A13606" s="5" t="s">
        <v>52849</v>
      </c>
      <c r="B13606" s="6">
        <v>393.75</v>
      </c>
      <c r="C13606" s="6">
        <v>20.531590000000001</v>
      </c>
      <c r="D13606" s="6">
        <v>63</v>
      </c>
      <c r="E13606" s="6">
        <v>0</v>
      </c>
      <c r="F13606" s="6">
        <v>0</v>
      </c>
      <c r="G13606" s="6">
        <v>0</v>
      </c>
      <c r="H13606" s="6" t="s">
        <v>52850</v>
      </c>
      <c r="I13606" s="6">
        <v>526.6875</v>
      </c>
      <c r="J13606" s="2">
        <f t="shared" si="212"/>
        <v>43749.491907743053</v>
      </c>
    </row>
    <row r="13607" spans="1:10" x14ac:dyDescent="0.25">
      <c r="A13607" s="7" t="s">
        <v>52851</v>
      </c>
      <c r="B13607" s="8">
        <v>393.75</v>
      </c>
      <c r="C13607" s="8">
        <v>20.531590000000001</v>
      </c>
      <c r="D13607" s="8">
        <v>63</v>
      </c>
      <c r="E13607" s="8">
        <v>0</v>
      </c>
      <c r="F13607" s="8">
        <v>0</v>
      </c>
      <c r="G13607" s="8">
        <v>4</v>
      </c>
      <c r="H13607" s="8" t="s">
        <v>52852</v>
      </c>
      <c r="I13607" s="8">
        <v>526.6875</v>
      </c>
      <c r="J13607" s="3">
        <f t="shared" si="212"/>
        <v>43749.4919912037</v>
      </c>
    </row>
    <row r="13608" spans="1:10" x14ac:dyDescent="0.25">
      <c r="A13608" s="5" t="s">
        <v>52853</v>
      </c>
      <c r="B13608" s="6">
        <v>393.75</v>
      </c>
      <c r="C13608" s="6">
        <v>20.531590000000001</v>
      </c>
      <c r="D13608" s="6">
        <v>63</v>
      </c>
      <c r="E13608" s="6">
        <v>0</v>
      </c>
      <c r="F13608" s="6">
        <v>0</v>
      </c>
      <c r="G13608" s="6">
        <v>0</v>
      </c>
      <c r="H13608" s="6" t="s">
        <v>52854</v>
      </c>
      <c r="I13608" s="6">
        <v>526.6875</v>
      </c>
      <c r="J13608" s="2">
        <f t="shared" si="212"/>
        <v>43749.492074652771</v>
      </c>
    </row>
    <row r="13609" spans="1:10" x14ac:dyDescent="0.25">
      <c r="A13609" s="7" t="s">
        <v>52855</v>
      </c>
      <c r="B13609" s="8">
        <v>412.5</v>
      </c>
      <c r="C13609" s="8">
        <v>20.478950000000001</v>
      </c>
      <c r="D13609" s="8">
        <v>62</v>
      </c>
      <c r="E13609" s="8">
        <v>0</v>
      </c>
      <c r="F13609" s="8">
        <v>0</v>
      </c>
      <c r="G13609" s="8">
        <v>0</v>
      </c>
      <c r="H13609" s="8" t="s">
        <v>52856</v>
      </c>
      <c r="I13609" s="8">
        <v>532.3125</v>
      </c>
      <c r="J13609" s="3">
        <f t="shared" si="212"/>
        <v>43749.49215810185</v>
      </c>
    </row>
    <row r="13610" spans="1:10" x14ac:dyDescent="0.25">
      <c r="A13610" s="5" t="s">
        <v>52857</v>
      </c>
      <c r="B13610" s="6">
        <v>393.75</v>
      </c>
      <c r="C13610" s="6">
        <v>20.478950000000001</v>
      </c>
      <c r="D13610" s="6">
        <v>63</v>
      </c>
      <c r="E13610" s="6">
        <v>0</v>
      </c>
      <c r="F13610" s="6">
        <v>0</v>
      </c>
      <c r="G13610" s="6">
        <v>2</v>
      </c>
      <c r="H13610" s="6" t="s">
        <v>52858</v>
      </c>
      <c r="I13610" s="6">
        <v>526.6875</v>
      </c>
      <c r="J13610" s="2">
        <f t="shared" si="212"/>
        <v>43749.492229780088</v>
      </c>
    </row>
    <row r="13611" spans="1:10" x14ac:dyDescent="0.25">
      <c r="A13611" s="7" t="s">
        <v>52859</v>
      </c>
      <c r="B13611" s="8">
        <v>393.75</v>
      </c>
      <c r="C13611" s="8">
        <v>20.478950000000001</v>
      </c>
      <c r="D13611" s="8">
        <v>63</v>
      </c>
      <c r="E13611" s="8">
        <v>0</v>
      </c>
      <c r="F13611" s="8">
        <v>0</v>
      </c>
      <c r="G13611" s="8">
        <v>2</v>
      </c>
      <c r="H13611" s="8" t="s">
        <v>52860</v>
      </c>
      <c r="I13611" s="8">
        <v>526.6875</v>
      </c>
      <c r="J13611" s="3">
        <f t="shared" si="212"/>
        <v>43749.492313206014</v>
      </c>
    </row>
    <row r="13612" spans="1:10" x14ac:dyDescent="0.25">
      <c r="A13612" s="5" t="s">
        <v>52861</v>
      </c>
      <c r="B13612" s="6">
        <v>393.75</v>
      </c>
      <c r="C13612" s="6">
        <v>20.478950000000001</v>
      </c>
      <c r="D13612" s="6">
        <v>63</v>
      </c>
      <c r="E13612" s="6">
        <v>0</v>
      </c>
      <c r="F13612" s="6">
        <v>0</v>
      </c>
      <c r="G13612" s="6">
        <v>0</v>
      </c>
      <c r="H13612" s="6" t="s">
        <v>52862</v>
      </c>
      <c r="I13612" s="6">
        <v>526.6875</v>
      </c>
      <c r="J13612" s="2">
        <f t="shared" si="212"/>
        <v>43749.492396655092</v>
      </c>
    </row>
    <row r="13613" spans="1:10" x14ac:dyDescent="0.25">
      <c r="A13613" s="7" t="s">
        <v>52863</v>
      </c>
      <c r="B13613" s="8">
        <v>393.75</v>
      </c>
      <c r="C13613" s="8">
        <v>20.478950000000001</v>
      </c>
      <c r="D13613" s="8">
        <v>63</v>
      </c>
      <c r="E13613" s="8">
        <v>0</v>
      </c>
      <c r="F13613" s="8">
        <v>0</v>
      </c>
      <c r="G13613" s="8">
        <v>0</v>
      </c>
      <c r="H13613" s="8" t="s">
        <v>52864</v>
      </c>
      <c r="I13613" s="8">
        <v>526.6875</v>
      </c>
      <c r="J13613" s="3">
        <f t="shared" si="212"/>
        <v>43749.492480104163</v>
      </c>
    </row>
    <row r="13614" spans="1:10" x14ac:dyDescent="0.25">
      <c r="A13614" s="5" t="s">
        <v>52865</v>
      </c>
      <c r="B13614" s="6">
        <v>412.5</v>
      </c>
      <c r="C13614" s="6">
        <v>20.478950000000001</v>
      </c>
      <c r="D13614" s="6">
        <v>63</v>
      </c>
      <c r="E13614" s="6">
        <v>0</v>
      </c>
      <c r="F13614" s="6">
        <v>0</v>
      </c>
      <c r="G13614" s="6">
        <v>1</v>
      </c>
      <c r="H13614" s="6" t="s">
        <v>52866</v>
      </c>
      <c r="I13614" s="6">
        <v>532.5</v>
      </c>
      <c r="J13614" s="2">
        <f t="shared" si="212"/>
        <v>43749.492551261566</v>
      </c>
    </row>
    <row r="13615" spans="1:10" x14ac:dyDescent="0.25">
      <c r="A13615" s="7" t="s">
        <v>52867</v>
      </c>
      <c r="B13615" s="8">
        <v>393.75</v>
      </c>
      <c r="C13615" s="8">
        <v>20.478950000000001</v>
      </c>
      <c r="D13615" s="8">
        <v>62</v>
      </c>
      <c r="E13615" s="8">
        <v>0</v>
      </c>
      <c r="F13615" s="8">
        <v>0</v>
      </c>
      <c r="G13615" s="8">
        <v>0</v>
      </c>
      <c r="H13615" s="8" t="s">
        <v>52868</v>
      </c>
      <c r="I13615" s="8">
        <v>526.6875</v>
      </c>
      <c r="J13615" s="3">
        <f t="shared" si="212"/>
        <v>43749.492635196752</v>
      </c>
    </row>
    <row r="13616" spans="1:10" x14ac:dyDescent="0.25">
      <c r="A13616" s="5" t="s">
        <v>52869</v>
      </c>
      <c r="B13616" s="6">
        <v>393.75</v>
      </c>
      <c r="C13616" s="6">
        <v>20.478950000000001</v>
      </c>
      <c r="D13616" s="6">
        <v>62</v>
      </c>
      <c r="E13616" s="6">
        <v>0</v>
      </c>
      <c r="F13616" s="6">
        <v>0</v>
      </c>
      <c r="G13616" s="6">
        <v>0</v>
      </c>
      <c r="H13616" s="6" t="s">
        <v>52870</v>
      </c>
      <c r="I13616" s="6">
        <v>526.5</v>
      </c>
      <c r="J13616" s="2">
        <f t="shared" si="212"/>
        <v>43749.492706712961</v>
      </c>
    </row>
    <row r="13617" spans="1:10" x14ac:dyDescent="0.25">
      <c r="A13617" s="7" t="s">
        <v>52871</v>
      </c>
      <c r="B13617" s="8">
        <v>393.75</v>
      </c>
      <c r="C13617" s="8">
        <v>20.478950000000001</v>
      </c>
      <c r="D13617" s="8">
        <v>67</v>
      </c>
      <c r="E13617" s="8">
        <v>0</v>
      </c>
      <c r="F13617" s="8">
        <v>0</v>
      </c>
      <c r="G13617" s="8">
        <v>0</v>
      </c>
      <c r="H13617" s="8" t="s">
        <v>52872</v>
      </c>
      <c r="I13617" s="8">
        <v>526.6875</v>
      </c>
      <c r="J13617" s="3">
        <f t="shared" si="212"/>
        <v>43749.492796030092</v>
      </c>
    </row>
    <row r="13618" spans="1:10" x14ac:dyDescent="0.25">
      <c r="A13618" s="5" t="s">
        <v>52873</v>
      </c>
      <c r="B13618" s="6">
        <v>393.75</v>
      </c>
      <c r="C13618" s="6">
        <v>20.478950000000001</v>
      </c>
      <c r="D13618" s="6">
        <v>65</v>
      </c>
      <c r="E13618" s="6">
        <v>0</v>
      </c>
      <c r="F13618" s="6">
        <v>0</v>
      </c>
      <c r="G13618" s="6">
        <v>0</v>
      </c>
      <c r="H13618" s="6" t="s">
        <v>52874</v>
      </c>
      <c r="I13618" s="6">
        <v>526.6875</v>
      </c>
      <c r="J13618" s="2">
        <f t="shared" si="212"/>
        <v>43749.492873726849</v>
      </c>
    </row>
    <row r="13619" spans="1:10" x14ac:dyDescent="0.25">
      <c r="A13619" s="7" t="s">
        <v>52875</v>
      </c>
      <c r="B13619" s="8">
        <v>393.75</v>
      </c>
      <c r="C13619" s="8">
        <v>20.478950000000001</v>
      </c>
      <c r="D13619" s="8">
        <v>66</v>
      </c>
      <c r="E13619" s="8">
        <v>0</v>
      </c>
      <c r="F13619" s="8">
        <v>0</v>
      </c>
      <c r="G13619" s="8">
        <v>1</v>
      </c>
      <c r="H13619" s="8" t="s">
        <v>52876</v>
      </c>
      <c r="I13619" s="8">
        <v>526.6875</v>
      </c>
      <c r="J13619" s="3">
        <f t="shared" si="212"/>
        <v>43749.49295717592</v>
      </c>
    </row>
    <row r="13620" spans="1:10" x14ac:dyDescent="0.25">
      <c r="A13620" s="5" t="s">
        <v>52877</v>
      </c>
      <c r="B13620" s="6">
        <v>393.75</v>
      </c>
      <c r="C13620" s="6">
        <v>20.584240000000001</v>
      </c>
      <c r="D13620" s="6">
        <v>65</v>
      </c>
      <c r="E13620" s="6">
        <v>0</v>
      </c>
      <c r="F13620" s="6">
        <v>0</v>
      </c>
      <c r="G13620" s="6">
        <v>0</v>
      </c>
      <c r="H13620" s="6" t="s">
        <v>52878</v>
      </c>
      <c r="I13620" s="6">
        <v>526.6875</v>
      </c>
      <c r="J13620" s="2">
        <f t="shared" si="212"/>
        <v>43749.493040300928</v>
      </c>
    </row>
    <row r="13621" spans="1:10" x14ac:dyDescent="0.25">
      <c r="A13621" s="7" t="s">
        <v>52879</v>
      </c>
      <c r="B13621" s="8">
        <v>393.75</v>
      </c>
      <c r="C13621" s="8">
        <v>20.478950000000001</v>
      </c>
      <c r="D13621" s="8">
        <v>61</v>
      </c>
      <c r="E13621" s="8">
        <v>0</v>
      </c>
      <c r="F13621" s="8">
        <v>0</v>
      </c>
      <c r="G13621" s="8">
        <v>6</v>
      </c>
      <c r="H13621" s="8" t="s">
        <v>52880</v>
      </c>
      <c r="I13621" s="8">
        <v>526.6875</v>
      </c>
      <c r="J13621" s="3">
        <f t="shared" si="212"/>
        <v>43749.493111921292</v>
      </c>
    </row>
    <row r="13622" spans="1:10" x14ac:dyDescent="0.25">
      <c r="A13622" s="5" t="s">
        <v>52881</v>
      </c>
      <c r="B13622" s="6">
        <v>393.75</v>
      </c>
      <c r="C13622" s="6">
        <v>20.478950000000001</v>
      </c>
      <c r="D13622" s="6">
        <v>62</v>
      </c>
      <c r="E13622" s="6">
        <v>0</v>
      </c>
      <c r="F13622" s="6">
        <v>0</v>
      </c>
      <c r="G13622" s="6">
        <v>0</v>
      </c>
      <c r="H13622" s="6" t="s">
        <v>52882</v>
      </c>
      <c r="I13622" s="6">
        <v>526.5</v>
      </c>
      <c r="J13622" s="2">
        <f t="shared" si="212"/>
        <v>43749.493195717594</v>
      </c>
    </row>
    <row r="13623" spans="1:10" x14ac:dyDescent="0.25">
      <c r="A13623" s="7" t="s">
        <v>52883</v>
      </c>
      <c r="B13623" s="8">
        <v>393.75</v>
      </c>
      <c r="C13623" s="8">
        <v>20.478950000000001</v>
      </c>
      <c r="D13623" s="8">
        <v>61</v>
      </c>
      <c r="E13623" s="8">
        <v>0</v>
      </c>
      <c r="F13623" s="8">
        <v>0</v>
      </c>
      <c r="G13623" s="8">
        <v>2</v>
      </c>
      <c r="H13623" s="8" t="s">
        <v>52884</v>
      </c>
      <c r="I13623" s="8">
        <v>526.6875</v>
      </c>
      <c r="J13623" s="3">
        <f t="shared" si="212"/>
        <v>43749.493279270835</v>
      </c>
    </row>
    <row r="13624" spans="1:10" x14ac:dyDescent="0.25">
      <c r="A13624" s="5" t="s">
        <v>52885</v>
      </c>
      <c r="B13624" s="6">
        <v>393.75</v>
      </c>
      <c r="C13624" s="6">
        <v>20.478950000000001</v>
      </c>
      <c r="D13624" s="6">
        <v>61</v>
      </c>
      <c r="E13624" s="6">
        <v>0</v>
      </c>
      <c r="F13624" s="6">
        <v>0</v>
      </c>
      <c r="G13624" s="6">
        <v>9</v>
      </c>
      <c r="H13624" s="6" t="s">
        <v>52886</v>
      </c>
      <c r="I13624" s="6">
        <v>526.6875</v>
      </c>
      <c r="J13624" s="2">
        <f t="shared" si="212"/>
        <v>43749.493362604167</v>
      </c>
    </row>
    <row r="13625" spans="1:10" x14ac:dyDescent="0.25">
      <c r="A13625" s="7" t="s">
        <v>52887</v>
      </c>
      <c r="B13625" s="8">
        <v>393.75</v>
      </c>
      <c r="C13625" s="8">
        <v>20.478950000000001</v>
      </c>
      <c r="D13625" s="8">
        <v>62</v>
      </c>
      <c r="E13625" s="8">
        <v>0</v>
      </c>
      <c r="F13625" s="8">
        <v>0</v>
      </c>
      <c r="G13625" s="8">
        <v>0</v>
      </c>
      <c r="H13625" s="8" t="s">
        <v>52888</v>
      </c>
      <c r="I13625" s="8">
        <v>526.6875</v>
      </c>
      <c r="J13625" s="3">
        <f t="shared" si="212"/>
        <v>43749.493446064815</v>
      </c>
    </row>
    <row r="13626" spans="1:10" x14ac:dyDescent="0.25">
      <c r="A13626" s="5" t="s">
        <v>52889</v>
      </c>
      <c r="B13626" s="6">
        <v>393.75</v>
      </c>
      <c r="C13626" s="6">
        <v>20.531590000000001</v>
      </c>
      <c r="D13626" s="6">
        <v>62</v>
      </c>
      <c r="E13626" s="6">
        <v>0</v>
      </c>
      <c r="F13626" s="6">
        <v>0</v>
      </c>
      <c r="G13626" s="6">
        <v>0</v>
      </c>
      <c r="H13626" s="6" t="s">
        <v>52890</v>
      </c>
      <c r="I13626" s="6">
        <v>526.875</v>
      </c>
      <c r="J13626" s="2">
        <f t="shared" si="212"/>
        <v>43749.493517708332</v>
      </c>
    </row>
    <row r="13627" spans="1:10" x14ac:dyDescent="0.25">
      <c r="A13627" s="7" t="s">
        <v>52891</v>
      </c>
      <c r="B13627" s="8">
        <v>393.75</v>
      </c>
      <c r="C13627" s="8">
        <v>20.478950000000001</v>
      </c>
      <c r="D13627" s="8">
        <v>62</v>
      </c>
      <c r="E13627" s="8">
        <v>0</v>
      </c>
      <c r="F13627" s="8">
        <v>0</v>
      </c>
      <c r="G13627" s="8">
        <v>5</v>
      </c>
      <c r="H13627" s="8" t="s">
        <v>52892</v>
      </c>
      <c r="I13627" s="8">
        <v>526.5</v>
      </c>
      <c r="J13627" s="3">
        <f t="shared" si="212"/>
        <v>43749.493589247686</v>
      </c>
    </row>
    <row r="13628" spans="1:10" x14ac:dyDescent="0.25">
      <c r="A13628" s="5" t="s">
        <v>52893</v>
      </c>
      <c r="B13628" s="6">
        <v>393.75</v>
      </c>
      <c r="C13628" s="6">
        <v>20.478950000000001</v>
      </c>
      <c r="D13628" s="6">
        <v>62</v>
      </c>
      <c r="E13628" s="6">
        <v>0</v>
      </c>
      <c r="F13628" s="6">
        <v>0</v>
      </c>
      <c r="G13628" s="6">
        <v>0</v>
      </c>
      <c r="H13628" s="6" t="s">
        <v>52894</v>
      </c>
      <c r="I13628" s="6">
        <v>526.6875</v>
      </c>
      <c r="J13628" s="2">
        <f t="shared" si="212"/>
        <v>43749.493660520828</v>
      </c>
    </row>
    <row r="13629" spans="1:10" x14ac:dyDescent="0.25">
      <c r="A13629" s="7" t="s">
        <v>52895</v>
      </c>
      <c r="B13629" s="8">
        <v>393.75</v>
      </c>
      <c r="C13629" s="8">
        <v>20.531590000000001</v>
      </c>
      <c r="D13629" s="8">
        <v>62</v>
      </c>
      <c r="E13629" s="8">
        <v>0</v>
      </c>
      <c r="F13629" s="8">
        <v>0</v>
      </c>
      <c r="G13629" s="8">
        <v>0</v>
      </c>
      <c r="H13629" s="8" t="s">
        <v>52896</v>
      </c>
      <c r="I13629" s="8">
        <v>526.6875</v>
      </c>
      <c r="J13629" s="3">
        <f t="shared" si="212"/>
        <v>43749.493732395829</v>
      </c>
    </row>
    <row r="13630" spans="1:10" x14ac:dyDescent="0.25">
      <c r="A13630" s="5" t="s">
        <v>52897</v>
      </c>
      <c r="B13630" s="6">
        <v>393.75</v>
      </c>
      <c r="C13630" s="6">
        <v>20.478950000000001</v>
      </c>
      <c r="D13630" s="6">
        <v>62</v>
      </c>
      <c r="E13630" s="6">
        <v>0</v>
      </c>
      <c r="F13630" s="6">
        <v>0</v>
      </c>
      <c r="G13630" s="6">
        <v>2</v>
      </c>
      <c r="H13630" s="6" t="s">
        <v>52898</v>
      </c>
      <c r="I13630" s="6">
        <v>526.6875</v>
      </c>
      <c r="J13630" s="2">
        <f t="shared" si="212"/>
        <v>43749.493803958328</v>
      </c>
    </row>
    <row r="13631" spans="1:10" x14ac:dyDescent="0.25">
      <c r="A13631" s="7" t="s">
        <v>52899</v>
      </c>
      <c r="B13631" s="8">
        <v>393.75</v>
      </c>
      <c r="C13631" s="8">
        <v>20.478950000000001</v>
      </c>
      <c r="D13631" s="8">
        <v>63</v>
      </c>
      <c r="E13631" s="8">
        <v>0</v>
      </c>
      <c r="F13631" s="8">
        <v>0</v>
      </c>
      <c r="G13631" s="8">
        <v>13</v>
      </c>
      <c r="H13631" s="8" t="s">
        <v>52900</v>
      </c>
      <c r="I13631" s="8">
        <v>526.6875</v>
      </c>
      <c r="J13631" s="3">
        <f t="shared" si="212"/>
        <v>43749.493887488425</v>
      </c>
    </row>
    <row r="13632" spans="1:10" x14ac:dyDescent="0.25">
      <c r="A13632" s="5" t="s">
        <v>52901</v>
      </c>
      <c r="B13632" s="6">
        <v>393.75</v>
      </c>
      <c r="C13632" s="6">
        <v>20.531590000000001</v>
      </c>
      <c r="D13632" s="6">
        <v>63</v>
      </c>
      <c r="E13632" s="6">
        <v>0</v>
      </c>
      <c r="F13632" s="6">
        <v>0</v>
      </c>
      <c r="G13632" s="6">
        <v>8</v>
      </c>
      <c r="H13632" s="6" t="s">
        <v>52902</v>
      </c>
      <c r="I13632" s="6">
        <v>526.6875</v>
      </c>
      <c r="J13632" s="2">
        <f t="shared" si="212"/>
        <v>43749.493958912033</v>
      </c>
    </row>
    <row r="13633" spans="1:10" x14ac:dyDescent="0.25">
      <c r="A13633" s="7" t="s">
        <v>52903</v>
      </c>
      <c r="B13633" s="8">
        <v>393.75</v>
      </c>
      <c r="C13633" s="8">
        <v>20.478950000000001</v>
      </c>
      <c r="D13633" s="8">
        <v>62</v>
      </c>
      <c r="E13633" s="8">
        <v>0</v>
      </c>
      <c r="F13633" s="8">
        <v>0</v>
      </c>
      <c r="G13633" s="8">
        <v>11</v>
      </c>
      <c r="H13633" s="8" t="s">
        <v>52904</v>
      </c>
      <c r="I13633" s="8">
        <v>526.6875</v>
      </c>
      <c r="J13633" s="3">
        <f t="shared" si="212"/>
        <v>43749.494040844904</v>
      </c>
    </row>
    <row r="13634" spans="1:10" x14ac:dyDescent="0.25">
      <c r="A13634" s="5" t="s">
        <v>52905</v>
      </c>
      <c r="B13634" s="6">
        <v>393.75</v>
      </c>
      <c r="C13634" s="6">
        <v>20.584240000000001</v>
      </c>
      <c r="D13634" s="6">
        <v>62</v>
      </c>
      <c r="E13634" s="6">
        <v>0</v>
      </c>
      <c r="F13634" s="6">
        <v>0</v>
      </c>
      <c r="G13634" s="6">
        <v>4</v>
      </c>
      <c r="H13634" s="6" t="s">
        <v>52906</v>
      </c>
      <c r="I13634" s="6">
        <v>526.6875</v>
      </c>
      <c r="J13634" s="2">
        <f t="shared" ref="J13634:J13697" si="213">(H13634/86400000)+25569+(7/24)</f>
        <v>43749.494113993052</v>
      </c>
    </row>
    <row r="13635" spans="1:10" x14ac:dyDescent="0.25">
      <c r="A13635" s="7" t="s">
        <v>52907</v>
      </c>
      <c r="B13635" s="8">
        <v>393.75</v>
      </c>
      <c r="C13635" s="8">
        <v>20.531590000000001</v>
      </c>
      <c r="D13635" s="8">
        <v>62</v>
      </c>
      <c r="E13635" s="8">
        <v>0</v>
      </c>
      <c r="F13635" s="8">
        <v>0</v>
      </c>
      <c r="G13635" s="8">
        <v>13</v>
      </c>
      <c r="H13635" s="8" t="s">
        <v>52908</v>
      </c>
      <c r="I13635" s="8">
        <v>526.6875</v>
      </c>
      <c r="J13635" s="3">
        <f t="shared" si="213"/>
        <v>43749.494197314816</v>
      </c>
    </row>
    <row r="13636" spans="1:10" x14ac:dyDescent="0.25">
      <c r="A13636" s="5" t="s">
        <v>52909</v>
      </c>
      <c r="B13636" s="6">
        <v>393.75</v>
      </c>
      <c r="C13636" s="6">
        <v>20.478950000000001</v>
      </c>
      <c r="D13636" s="6">
        <v>59</v>
      </c>
      <c r="E13636" s="6">
        <v>0</v>
      </c>
      <c r="F13636" s="6">
        <v>0</v>
      </c>
      <c r="G13636" s="6">
        <v>20</v>
      </c>
      <c r="H13636" s="6" t="s">
        <v>52910</v>
      </c>
      <c r="I13636" s="6">
        <v>526.6875</v>
      </c>
      <c r="J13636" s="2">
        <f t="shared" si="213"/>
        <v>43749.494269074072</v>
      </c>
    </row>
    <row r="13637" spans="1:10" x14ac:dyDescent="0.25">
      <c r="A13637" s="7" t="s">
        <v>52911</v>
      </c>
      <c r="B13637" s="8">
        <v>393.75</v>
      </c>
      <c r="C13637" s="8">
        <v>20.478950000000001</v>
      </c>
      <c r="D13637" s="8">
        <v>60</v>
      </c>
      <c r="E13637" s="8">
        <v>0</v>
      </c>
      <c r="F13637" s="8">
        <v>0</v>
      </c>
      <c r="G13637" s="8">
        <v>15</v>
      </c>
      <c r="H13637" s="8" t="s">
        <v>52912</v>
      </c>
      <c r="I13637" s="8">
        <v>526.6875</v>
      </c>
      <c r="J13637" s="3">
        <f t="shared" si="213"/>
        <v>43749.494353032402</v>
      </c>
    </row>
    <row r="13638" spans="1:10" x14ac:dyDescent="0.25">
      <c r="A13638" s="5" t="s">
        <v>52913</v>
      </c>
      <c r="B13638" s="6">
        <v>393.75</v>
      </c>
      <c r="C13638" s="6">
        <v>20.478950000000001</v>
      </c>
      <c r="D13638" s="6">
        <v>61</v>
      </c>
      <c r="E13638" s="6">
        <v>0</v>
      </c>
      <c r="F13638" s="6">
        <v>0</v>
      </c>
      <c r="G13638" s="6">
        <v>15</v>
      </c>
      <c r="H13638" s="6" t="s">
        <v>52914</v>
      </c>
      <c r="I13638" s="6">
        <v>526.6875</v>
      </c>
      <c r="J13638" s="2">
        <f t="shared" si="213"/>
        <v>43749.494424074073</v>
      </c>
    </row>
    <row r="13639" spans="1:10" x14ac:dyDescent="0.25">
      <c r="A13639" s="7" t="s">
        <v>52915</v>
      </c>
      <c r="B13639" s="8">
        <v>393.75</v>
      </c>
      <c r="C13639" s="8">
        <v>20.478950000000001</v>
      </c>
      <c r="D13639" s="8">
        <v>62</v>
      </c>
      <c r="E13639" s="8">
        <v>0</v>
      </c>
      <c r="F13639" s="8">
        <v>0</v>
      </c>
      <c r="G13639" s="8">
        <v>17</v>
      </c>
      <c r="H13639" s="8" t="s">
        <v>52916</v>
      </c>
      <c r="I13639" s="8">
        <v>526.6875</v>
      </c>
      <c r="J13639" s="3">
        <f t="shared" si="213"/>
        <v>43749.49449571759</v>
      </c>
    </row>
    <row r="13640" spans="1:10" x14ac:dyDescent="0.25">
      <c r="A13640" s="5" t="s">
        <v>52917</v>
      </c>
      <c r="B13640" s="6">
        <v>393.75</v>
      </c>
      <c r="C13640" s="6">
        <v>20.531590000000001</v>
      </c>
      <c r="D13640" s="6">
        <v>62</v>
      </c>
      <c r="E13640" s="6">
        <v>0</v>
      </c>
      <c r="F13640" s="6">
        <v>0</v>
      </c>
      <c r="G13640" s="6">
        <v>13</v>
      </c>
      <c r="H13640" s="6" t="s">
        <v>52918</v>
      </c>
      <c r="I13640" s="6">
        <v>526.6875</v>
      </c>
      <c r="J13640" s="2">
        <f t="shared" si="213"/>
        <v>43749.494567233793</v>
      </c>
    </row>
    <row r="13641" spans="1:10" x14ac:dyDescent="0.25">
      <c r="A13641" s="7" t="s">
        <v>52919</v>
      </c>
      <c r="B13641" s="8">
        <v>393.75</v>
      </c>
      <c r="C13641" s="8">
        <v>20.478950000000001</v>
      </c>
      <c r="D13641" s="8">
        <v>64</v>
      </c>
      <c r="E13641" s="8">
        <v>0</v>
      </c>
      <c r="F13641" s="8">
        <v>0</v>
      </c>
      <c r="G13641" s="8">
        <v>11</v>
      </c>
      <c r="H13641" s="8" t="s">
        <v>52920</v>
      </c>
      <c r="I13641" s="8">
        <v>526.6875</v>
      </c>
      <c r="J13641" s="3">
        <f t="shared" si="213"/>
        <v>43749.494650694447</v>
      </c>
    </row>
    <row r="13642" spans="1:10" x14ac:dyDescent="0.25">
      <c r="A13642" s="5" t="s">
        <v>52921</v>
      </c>
      <c r="B13642" s="6">
        <v>393.75</v>
      </c>
      <c r="C13642" s="6">
        <v>20.478950000000001</v>
      </c>
      <c r="D13642" s="6">
        <v>64</v>
      </c>
      <c r="E13642" s="6">
        <v>0</v>
      </c>
      <c r="F13642" s="6">
        <v>0</v>
      </c>
      <c r="G13642" s="6">
        <v>10</v>
      </c>
      <c r="H13642" s="6" t="s">
        <v>52922</v>
      </c>
      <c r="I13642" s="6">
        <v>526.6875</v>
      </c>
      <c r="J13642" s="2">
        <f t="shared" si="213"/>
        <v>43749.494722418975</v>
      </c>
    </row>
    <row r="13643" spans="1:10" x14ac:dyDescent="0.25">
      <c r="A13643" s="7" t="s">
        <v>52923</v>
      </c>
      <c r="B13643" s="8">
        <v>393.75</v>
      </c>
      <c r="C13643" s="8">
        <v>20.531590000000001</v>
      </c>
      <c r="D13643" s="8">
        <v>63</v>
      </c>
      <c r="E13643" s="8">
        <v>0</v>
      </c>
      <c r="F13643" s="8">
        <v>0</v>
      </c>
      <c r="G13643" s="8">
        <v>19</v>
      </c>
      <c r="H13643" s="8" t="s">
        <v>52924</v>
      </c>
      <c r="I13643" s="8">
        <v>526.6875</v>
      </c>
      <c r="J13643" s="3">
        <f t="shared" si="213"/>
        <v>43749.494805775459</v>
      </c>
    </row>
    <row r="13644" spans="1:10" x14ac:dyDescent="0.25">
      <c r="A13644" s="5" t="s">
        <v>52925</v>
      </c>
      <c r="B13644" s="6">
        <v>421.875</v>
      </c>
      <c r="C13644" s="6">
        <v>20.478950000000001</v>
      </c>
      <c r="D13644" s="6">
        <v>63</v>
      </c>
      <c r="E13644" s="6">
        <v>0</v>
      </c>
      <c r="F13644" s="6">
        <v>0</v>
      </c>
      <c r="G13644" s="6">
        <v>27</v>
      </c>
      <c r="H13644" s="6" t="s">
        <v>52926</v>
      </c>
      <c r="I13644" s="6">
        <v>535.6875</v>
      </c>
      <c r="J13644" s="2">
        <f t="shared" si="213"/>
        <v>43749.494877407407</v>
      </c>
    </row>
    <row r="13645" spans="1:10" x14ac:dyDescent="0.25">
      <c r="A13645" s="7" t="s">
        <v>52927</v>
      </c>
      <c r="B13645" s="8">
        <v>393.75</v>
      </c>
      <c r="C13645" s="8">
        <v>20.478950000000001</v>
      </c>
      <c r="D13645" s="8">
        <v>63</v>
      </c>
      <c r="E13645" s="8">
        <v>0</v>
      </c>
      <c r="F13645" s="8">
        <v>0</v>
      </c>
      <c r="G13645" s="8">
        <v>18</v>
      </c>
      <c r="H13645" s="8" t="s">
        <v>52928</v>
      </c>
      <c r="I13645" s="8">
        <v>526.6875</v>
      </c>
      <c r="J13645" s="3">
        <f t="shared" si="213"/>
        <v>43749.494948495369</v>
      </c>
    </row>
    <row r="13646" spans="1:10" x14ac:dyDescent="0.25">
      <c r="A13646" s="5" t="s">
        <v>52929</v>
      </c>
      <c r="B13646" s="6">
        <v>393.75</v>
      </c>
      <c r="C13646" s="6">
        <v>20.584240000000001</v>
      </c>
      <c r="D13646" s="6">
        <v>66</v>
      </c>
      <c r="E13646" s="6">
        <v>0</v>
      </c>
      <c r="F13646" s="6">
        <v>0</v>
      </c>
      <c r="G13646" s="6">
        <v>18</v>
      </c>
      <c r="H13646" s="6" t="s">
        <v>52930</v>
      </c>
      <c r="I13646" s="6">
        <v>526.6875</v>
      </c>
      <c r="J13646" s="2">
        <f t="shared" si="213"/>
        <v>43749.495020474533</v>
      </c>
    </row>
    <row r="13647" spans="1:10" x14ac:dyDescent="0.25">
      <c r="A13647" s="7" t="s">
        <v>52931</v>
      </c>
      <c r="B13647" s="8">
        <v>393.75</v>
      </c>
      <c r="C13647" s="8">
        <v>20.478950000000001</v>
      </c>
      <c r="D13647" s="8">
        <v>66</v>
      </c>
      <c r="E13647" s="8">
        <v>0</v>
      </c>
      <c r="F13647" s="8">
        <v>0</v>
      </c>
      <c r="G13647" s="8">
        <v>22</v>
      </c>
      <c r="H13647" s="8" t="s">
        <v>52932</v>
      </c>
      <c r="I13647" s="8">
        <v>526.6875</v>
      </c>
      <c r="J13647" s="3">
        <f t="shared" si="213"/>
        <v>43749.495092013887</v>
      </c>
    </row>
    <row r="13648" spans="1:10" x14ac:dyDescent="0.25">
      <c r="A13648" s="5" t="s">
        <v>52933</v>
      </c>
      <c r="B13648" s="6">
        <v>393.75</v>
      </c>
      <c r="C13648" s="6">
        <v>20.478950000000001</v>
      </c>
      <c r="D13648" s="6">
        <v>68</v>
      </c>
      <c r="E13648" s="6">
        <v>0</v>
      </c>
      <c r="F13648" s="6">
        <v>0</v>
      </c>
      <c r="G13648" s="6">
        <v>19</v>
      </c>
      <c r="H13648" s="6" t="s">
        <v>52934</v>
      </c>
      <c r="I13648" s="6">
        <v>526.6875</v>
      </c>
      <c r="J13648" s="2">
        <f t="shared" si="213"/>
        <v>43749.495163553242</v>
      </c>
    </row>
    <row r="13649" spans="1:10" x14ac:dyDescent="0.25">
      <c r="A13649" s="7" t="s">
        <v>52935</v>
      </c>
      <c r="B13649" s="8">
        <v>393.75</v>
      </c>
      <c r="C13649" s="8">
        <v>20.478950000000001</v>
      </c>
      <c r="D13649" s="8">
        <v>68</v>
      </c>
      <c r="E13649" s="8">
        <v>0</v>
      </c>
      <c r="F13649" s="8">
        <v>0</v>
      </c>
      <c r="G13649" s="8">
        <v>21</v>
      </c>
      <c r="H13649" s="8" t="s">
        <v>52936</v>
      </c>
      <c r="I13649" s="8">
        <v>526.6875</v>
      </c>
      <c r="J13649" s="3">
        <f t="shared" si="213"/>
        <v>43749.495247106483</v>
      </c>
    </row>
    <row r="13650" spans="1:10" x14ac:dyDescent="0.25">
      <c r="A13650" s="5" t="s">
        <v>52937</v>
      </c>
      <c r="B13650" s="6">
        <v>393.75</v>
      </c>
      <c r="C13650" s="6">
        <v>20.478950000000001</v>
      </c>
      <c r="D13650" s="6">
        <v>68</v>
      </c>
      <c r="E13650" s="6">
        <v>0</v>
      </c>
      <c r="F13650" s="6">
        <v>0</v>
      </c>
      <c r="G13650" s="6">
        <v>14</v>
      </c>
      <c r="H13650" s="6" t="s">
        <v>52938</v>
      </c>
      <c r="I13650" s="6">
        <v>526.6875</v>
      </c>
      <c r="J13650" s="2">
        <f t="shared" si="213"/>
        <v>43749.495330543978</v>
      </c>
    </row>
    <row r="13651" spans="1:10" x14ac:dyDescent="0.25">
      <c r="A13651" s="7" t="s">
        <v>52939</v>
      </c>
      <c r="B13651" s="8">
        <v>412.5</v>
      </c>
      <c r="C13651" s="8">
        <v>20.478950000000001</v>
      </c>
      <c r="D13651" s="8">
        <v>68</v>
      </c>
      <c r="E13651" s="8">
        <v>0</v>
      </c>
      <c r="F13651" s="8">
        <v>0</v>
      </c>
      <c r="G13651" s="8">
        <v>16</v>
      </c>
      <c r="H13651" s="8" t="s">
        <v>52940</v>
      </c>
      <c r="I13651" s="8">
        <v>532.5</v>
      </c>
      <c r="J13651" s="3">
        <f t="shared" si="213"/>
        <v>43749.49541427083</v>
      </c>
    </row>
    <row r="13652" spans="1:10" x14ac:dyDescent="0.25">
      <c r="A13652" s="5" t="s">
        <v>52941</v>
      </c>
      <c r="B13652" s="6">
        <v>393.75</v>
      </c>
      <c r="C13652" s="6">
        <v>20.531590000000001</v>
      </c>
      <c r="D13652" s="6">
        <v>67</v>
      </c>
      <c r="E13652" s="6">
        <v>0</v>
      </c>
      <c r="F13652" s="6">
        <v>0</v>
      </c>
      <c r="G13652" s="6">
        <v>19</v>
      </c>
      <c r="H13652" s="6" t="s">
        <v>52942</v>
      </c>
      <c r="I13652" s="6">
        <v>526.6875</v>
      </c>
      <c r="J13652" s="2">
        <f t="shared" si="213"/>
        <v>43749.49548553241</v>
      </c>
    </row>
    <row r="13653" spans="1:10" x14ac:dyDescent="0.25">
      <c r="A13653" s="7" t="s">
        <v>52943</v>
      </c>
      <c r="B13653" s="8">
        <v>393.75</v>
      </c>
      <c r="C13653" s="8">
        <v>20.478950000000001</v>
      </c>
      <c r="D13653" s="8">
        <v>67</v>
      </c>
      <c r="E13653" s="8">
        <v>0</v>
      </c>
      <c r="F13653" s="8">
        <v>0</v>
      </c>
      <c r="G13653" s="8">
        <v>3</v>
      </c>
      <c r="H13653" s="8" t="s">
        <v>52944</v>
      </c>
      <c r="I13653" s="8">
        <v>526.6875</v>
      </c>
      <c r="J13653" s="3">
        <f t="shared" si="213"/>
        <v>43749.495557291666</v>
      </c>
    </row>
    <row r="13654" spans="1:10" x14ac:dyDescent="0.25">
      <c r="A13654" s="5" t="s">
        <v>52945</v>
      </c>
      <c r="B13654" s="6">
        <v>440.625</v>
      </c>
      <c r="C13654" s="6">
        <v>20.531590000000001</v>
      </c>
      <c r="D13654" s="6">
        <v>65</v>
      </c>
      <c r="E13654" s="6">
        <v>0</v>
      </c>
      <c r="F13654" s="6">
        <v>0</v>
      </c>
      <c r="G13654" s="6">
        <v>21</v>
      </c>
      <c r="H13654" s="6" t="s">
        <v>52946</v>
      </c>
      <c r="I13654" s="6">
        <v>541.3125</v>
      </c>
      <c r="J13654" s="2">
        <f t="shared" si="213"/>
        <v>43749.495640613422</v>
      </c>
    </row>
    <row r="13655" spans="1:10" x14ac:dyDescent="0.25">
      <c r="A13655" s="7" t="s">
        <v>52947</v>
      </c>
      <c r="B13655" s="8">
        <v>393.75</v>
      </c>
      <c r="C13655" s="8">
        <v>20.478950000000001</v>
      </c>
      <c r="D13655" s="8">
        <v>65</v>
      </c>
      <c r="E13655" s="8">
        <v>0</v>
      </c>
      <c r="F13655" s="8">
        <v>0</v>
      </c>
      <c r="G13655" s="8">
        <v>8</v>
      </c>
      <c r="H13655" s="8" t="s">
        <v>52948</v>
      </c>
      <c r="I13655" s="8">
        <v>526.6875</v>
      </c>
      <c r="J13655" s="3">
        <f t="shared" si="213"/>
        <v>43749.495711921292</v>
      </c>
    </row>
    <row r="13656" spans="1:10" x14ac:dyDescent="0.25">
      <c r="A13656" s="5" t="s">
        <v>52949</v>
      </c>
      <c r="B13656" s="6">
        <v>393.75</v>
      </c>
      <c r="C13656" s="6">
        <v>20.478950000000001</v>
      </c>
      <c r="D13656" s="6">
        <v>65</v>
      </c>
      <c r="E13656" s="6">
        <v>0</v>
      </c>
      <c r="F13656" s="6">
        <v>0</v>
      </c>
      <c r="G13656" s="6">
        <v>5</v>
      </c>
      <c r="H13656" s="6" t="s">
        <v>52950</v>
      </c>
      <c r="I13656" s="6">
        <v>526.6875</v>
      </c>
      <c r="J13656" s="2">
        <f t="shared" si="213"/>
        <v>43749.495783668979</v>
      </c>
    </row>
    <row r="13657" spans="1:10" x14ac:dyDescent="0.25">
      <c r="A13657" s="7" t="s">
        <v>52951</v>
      </c>
      <c r="B13657" s="8">
        <v>393.75</v>
      </c>
      <c r="C13657" s="8">
        <v>20.478950000000001</v>
      </c>
      <c r="D13657" s="8">
        <v>65</v>
      </c>
      <c r="E13657" s="8">
        <v>0</v>
      </c>
      <c r="F13657" s="8">
        <v>0</v>
      </c>
      <c r="G13657" s="8">
        <v>6</v>
      </c>
      <c r="H13657" s="8" t="s">
        <v>52952</v>
      </c>
      <c r="I13657" s="8">
        <v>526.6875</v>
      </c>
      <c r="J13657" s="3">
        <f t="shared" si="213"/>
        <v>43749.495867349535</v>
      </c>
    </row>
    <row r="13658" spans="1:10" x14ac:dyDescent="0.25">
      <c r="A13658" s="5" t="s">
        <v>52953</v>
      </c>
      <c r="B13658" s="6">
        <v>393.75</v>
      </c>
      <c r="C13658" s="6">
        <v>20.478950000000001</v>
      </c>
      <c r="D13658" s="6">
        <v>66</v>
      </c>
      <c r="E13658" s="6">
        <v>0</v>
      </c>
      <c r="F13658" s="6">
        <v>0</v>
      </c>
      <c r="G13658" s="6">
        <v>16</v>
      </c>
      <c r="H13658" s="6" t="s">
        <v>52954</v>
      </c>
      <c r="I13658" s="6">
        <v>526.6875</v>
      </c>
      <c r="J13658" s="2">
        <f t="shared" si="213"/>
        <v>43749.495950694443</v>
      </c>
    </row>
    <row r="13659" spans="1:10" x14ac:dyDescent="0.25">
      <c r="A13659" s="7" t="s">
        <v>52955</v>
      </c>
      <c r="B13659" s="8">
        <v>393.75</v>
      </c>
      <c r="C13659" s="8">
        <v>20.478950000000001</v>
      </c>
      <c r="D13659" s="8">
        <v>67</v>
      </c>
      <c r="E13659" s="8">
        <v>0</v>
      </c>
      <c r="F13659" s="8">
        <v>0</v>
      </c>
      <c r="G13659" s="8">
        <v>3</v>
      </c>
      <c r="H13659" s="8" t="s">
        <v>52956</v>
      </c>
      <c r="I13659" s="8">
        <v>526.6875</v>
      </c>
      <c r="J13659" s="3">
        <f t="shared" si="213"/>
        <v>43749.496022222222</v>
      </c>
    </row>
    <row r="13660" spans="1:10" x14ac:dyDescent="0.25">
      <c r="A13660" s="5" t="s">
        <v>52957</v>
      </c>
      <c r="B13660" s="6">
        <v>393.75</v>
      </c>
      <c r="C13660" s="6">
        <v>20.478950000000001</v>
      </c>
      <c r="D13660" s="6">
        <v>67</v>
      </c>
      <c r="E13660" s="6">
        <v>0</v>
      </c>
      <c r="F13660" s="6">
        <v>0</v>
      </c>
      <c r="G13660" s="6">
        <v>11</v>
      </c>
      <c r="H13660" s="6" t="s">
        <v>52958</v>
      </c>
      <c r="I13660" s="6">
        <v>526.6875</v>
      </c>
      <c r="J13660" s="2">
        <f t="shared" si="213"/>
        <v>43749.496093495363</v>
      </c>
    </row>
    <row r="13661" spans="1:10" x14ac:dyDescent="0.25">
      <c r="A13661" s="7" t="s">
        <v>52959</v>
      </c>
      <c r="B13661" s="8">
        <v>393.75</v>
      </c>
      <c r="C13661" s="8">
        <v>20.531590000000001</v>
      </c>
      <c r="D13661" s="8">
        <v>67</v>
      </c>
      <c r="E13661" s="8">
        <v>0</v>
      </c>
      <c r="F13661" s="8">
        <v>0</v>
      </c>
      <c r="G13661" s="8">
        <v>10</v>
      </c>
      <c r="H13661" s="8" t="s">
        <v>52960</v>
      </c>
      <c r="I13661" s="8">
        <v>526.6875</v>
      </c>
      <c r="J13661" s="3">
        <f t="shared" si="213"/>
        <v>43749.496174780092</v>
      </c>
    </row>
    <row r="13662" spans="1:10" x14ac:dyDescent="0.25">
      <c r="A13662" s="5" t="s">
        <v>52961</v>
      </c>
      <c r="B13662" s="6">
        <v>393.75</v>
      </c>
      <c r="C13662" s="6">
        <v>20.478950000000001</v>
      </c>
      <c r="D13662" s="6">
        <v>64</v>
      </c>
      <c r="E13662" s="6">
        <v>0</v>
      </c>
      <c r="F13662" s="6">
        <v>0</v>
      </c>
      <c r="G13662" s="6">
        <v>20</v>
      </c>
      <c r="H13662" s="6" t="s">
        <v>52962</v>
      </c>
      <c r="I13662" s="6">
        <v>526.5</v>
      </c>
      <c r="J13662" s="2">
        <f t="shared" si="213"/>
        <v>43749.496248969903</v>
      </c>
    </row>
    <row r="13663" spans="1:10" x14ac:dyDescent="0.25">
      <c r="A13663" s="7" t="s">
        <v>52963</v>
      </c>
      <c r="B13663" s="8">
        <v>393.75</v>
      </c>
      <c r="C13663" s="8">
        <v>20.531590000000001</v>
      </c>
      <c r="D13663" s="8">
        <v>64</v>
      </c>
      <c r="E13663" s="8">
        <v>0</v>
      </c>
      <c r="F13663" s="8">
        <v>0</v>
      </c>
      <c r="G13663" s="8">
        <v>8</v>
      </c>
      <c r="H13663" s="8" t="s">
        <v>52964</v>
      </c>
      <c r="I13663" s="8">
        <v>526.6875</v>
      </c>
      <c r="J13663" s="3">
        <f t="shared" si="213"/>
        <v>43749.496332395829</v>
      </c>
    </row>
    <row r="13664" spans="1:10" x14ac:dyDescent="0.25">
      <c r="A13664" s="5" t="s">
        <v>52965</v>
      </c>
      <c r="B13664" s="6">
        <v>393.75</v>
      </c>
      <c r="C13664" s="6">
        <v>20.478950000000001</v>
      </c>
      <c r="D13664" s="6">
        <v>64</v>
      </c>
      <c r="E13664" s="6">
        <v>0</v>
      </c>
      <c r="F13664" s="6">
        <v>0</v>
      </c>
      <c r="G13664" s="6">
        <v>7</v>
      </c>
      <c r="H13664" s="6" t="s">
        <v>52966</v>
      </c>
      <c r="I13664" s="6">
        <v>526.6875</v>
      </c>
      <c r="J13664" s="2">
        <f t="shared" si="213"/>
        <v>43749.496403472222</v>
      </c>
    </row>
    <row r="13665" spans="1:10" x14ac:dyDescent="0.25">
      <c r="A13665" s="7" t="s">
        <v>52967</v>
      </c>
      <c r="B13665" s="8">
        <v>393.75</v>
      </c>
      <c r="C13665" s="8">
        <v>20.478950000000001</v>
      </c>
      <c r="D13665" s="8">
        <v>64</v>
      </c>
      <c r="E13665" s="8">
        <v>0</v>
      </c>
      <c r="F13665" s="8">
        <v>0</v>
      </c>
      <c r="G13665" s="8">
        <v>14</v>
      </c>
      <c r="H13665" s="8" t="s">
        <v>52968</v>
      </c>
      <c r="I13665" s="8">
        <v>526.6875</v>
      </c>
      <c r="J13665" s="3">
        <f t="shared" si="213"/>
        <v>43749.496475231477</v>
      </c>
    </row>
    <row r="13666" spans="1:10" x14ac:dyDescent="0.25">
      <c r="A13666" s="5" t="s">
        <v>52969</v>
      </c>
      <c r="B13666" s="6">
        <v>393.75</v>
      </c>
      <c r="C13666" s="6">
        <v>20.478950000000001</v>
      </c>
      <c r="D13666" s="6">
        <v>64</v>
      </c>
      <c r="E13666" s="6">
        <v>0</v>
      </c>
      <c r="F13666" s="6">
        <v>0</v>
      </c>
      <c r="G13666" s="6">
        <v>8</v>
      </c>
      <c r="H13666" s="6" t="s">
        <v>52970</v>
      </c>
      <c r="I13666" s="6">
        <v>526.6875</v>
      </c>
      <c r="J13666" s="2">
        <f t="shared" si="213"/>
        <v>43749.496547118055</v>
      </c>
    </row>
    <row r="13667" spans="1:10" x14ac:dyDescent="0.25">
      <c r="A13667" s="7" t="s">
        <v>52971</v>
      </c>
      <c r="B13667" s="8">
        <v>393.75</v>
      </c>
      <c r="C13667" s="8">
        <v>20.531590000000001</v>
      </c>
      <c r="D13667" s="8">
        <v>64</v>
      </c>
      <c r="E13667" s="8">
        <v>0</v>
      </c>
      <c r="F13667" s="8">
        <v>0</v>
      </c>
      <c r="G13667" s="8">
        <v>5</v>
      </c>
      <c r="H13667" s="8" t="s">
        <v>52972</v>
      </c>
      <c r="I13667" s="8">
        <v>526.6875</v>
      </c>
      <c r="J13667" s="3">
        <f t="shared" si="213"/>
        <v>43749.496630532405</v>
      </c>
    </row>
    <row r="13668" spans="1:10" x14ac:dyDescent="0.25">
      <c r="A13668" s="5" t="s">
        <v>52973</v>
      </c>
      <c r="B13668" s="6">
        <v>393.75</v>
      </c>
      <c r="C13668" s="6">
        <v>20.478950000000001</v>
      </c>
      <c r="D13668" s="6">
        <v>64</v>
      </c>
      <c r="E13668" s="6">
        <v>0</v>
      </c>
      <c r="F13668" s="6">
        <v>0</v>
      </c>
      <c r="G13668" s="6">
        <v>14</v>
      </c>
      <c r="H13668" s="6" t="s">
        <v>52974</v>
      </c>
      <c r="I13668" s="6">
        <v>526.5</v>
      </c>
      <c r="J13668" s="2">
        <f t="shared" si="213"/>
        <v>43749.496713981476</v>
      </c>
    </row>
    <row r="13669" spans="1:10" x14ac:dyDescent="0.25">
      <c r="A13669" s="7" t="s">
        <v>52975</v>
      </c>
      <c r="B13669" s="8">
        <v>393.75</v>
      </c>
      <c r="C13669" s="8">
        <v>20.478950000000001</v>
      </c>
      <c r="D13669" s="8">
        <v>63</v>
      </c>
      <c r="E13669" s="8">
        <v>0</v>
      </c>
      <c r="F13669" s="8">
        <v>0</v>
      </c>
      <c r="G13669" s="8">
        <v>4</v>
      </c>
      <c r="H13669" s="8" t="s">
        <v>52976</v>
      </c>
      <c r="I13669" s="8">
        <v>526.6875</v>
      </c>
      <c r="J13669" s="3">
        <f t="shared" si="213"/>
        <v>43749.496797210646</v>
      </c>
    </row>
    <row r="13670" spans="1:10" x14ac:dyDescent="0.25">
      <c r="A13670" s="5" t="s">
        <v>52977</v>
      </c>
      <c r="B13670" s="6">
        <v>393.75</v>
      </c>
      <c r="C13670" s="6">
        <v>20.584240000000001</v>
      </c>
      <c r="D13670" s="6">
        <v>63</v>
      </c>
      <c r="E13670" s="6">
        <v>0</v>
      </c>
      <c r="F13670" s="6">
        <v>0</v>
      </c>
      <c r="G13670" s="6">
        <v>3</v>
      </c>
      <c r="H13670" s="6" t="s">
        <v>52978</v>
      </c>
      <c r="I13670" s="6">
        <v>526.6875</v>
      </c>
      <c r="J13670" s="2">
        <f t="shared" si="213"/>
        <v>43749.496868854163</v>
      </c>
    </row>
    <row r="13671" spans="1:10" x14ac:dyDescent="0.25">
      <c r="A13671" s="7" t="s">
        <v>52979</v>
      </c>
      <c r="B13671" s="8">
        <v>393.75</v>
      </c>
      <c r="C13671" s="8">
        <v>20.478950000000001</v>
      </c>
      <c r="D13671" s="8">
        <v>63</v>
      </c>
      <c r="E13671" s="8">
        <v>0</v>
      </c>
      <c r="F13671" s="8">
        <v>0</v>
      </c>
      <c r="G13671" s="8">
        <v>0</v>
      </c>
      <c r="H13671" s="8" t="s">
        <v>52980</v>
      </c>
      <c r="I13671" s="8">
        <v>526.6875</v>
      </c>
      <c r="J13671" s="3">
        <f t="shared" si="213"/>
        <v>43749.496952696754</v>
      </c>
    </row>
    <row r="13672" spans="1:10" x14ac:dyDescent="0.25">
      <c r="A13672" s="5" t="s">
        <v>52981</v>
      </c>
      <c r="B13672" s="6">
        <v>393.75</v>
      </c>
      <c r="C13672" s="6">
        <v>20.478950000000001</v>
      </c>
      <c r="D13672" s="6">
        <v>66</v>
      </c>
      <c r="E13672" s="6">
        <v>0</v>
      </c>
      <c r="F13672" s="6">
        <v>0</v>
      </c>
      <c r="G13672" s="6">
        <v>0</v>
      </c>
      <c r="H13672" s="6" t="s">
        <v>52982</v>
      </c>
      <c r="I13672" s="6">
        <v>526.6875</v>
      </c>
      <c r="J13672" s="2">
        <f t="shared" si="213"/>
        <v>43749.497024062497</v>
      </c>
    </row>
    <row r="13673" spans="1:10" x14ac:dyDescent="0.25">
      <c r="A13673" s="7" t="s">
        <v>52983</v>
      </c>
      <c r="B13673" s="8">
        <v>393.75</v>
      </c>
      <c r="C13673" s="8">
        <v>20.478950000000001</v>
      </c>
      <c r="D13673" s="8">
        <v>65</v>
      </c>
      <c r="E13673" s="8">
        <v>0</v>
      </c>
      <c r="F13673" s="8">
        <v>0</v>
      </c>
      <c r="G13673" s="8">
        <v>11</v>
      </c>
      <c r="H13673" s="8" t="s">
        <v>52984</v>
      </c>
      <c r="I13673" s="8">
        <v>526.5</v>
      </c>
      <c r="J13673" s="3">
        <f t="shared" si="213"/>
        <v>43749.497119293977</v>
      </c>
    </row>
    <row r="13674" spans="1:10" x14ac:dyDescent="0.25">
      <c r="A13674" s="5" t="s">
        <v>52985</v>
      </c>
      <c r="B13674" s="6">
        <v>393.75</v>
      </c>
      <c r="C13674" s="6">
        <v>20.531590000000001</v>
      </c>
      <c r="D13674" s="6">
        <v>64</v>
      </c>
      <c r="E13674" s="6">
        <v>0</v>
      </c>
      <c r="F13674" s="6">
        <v>0</v>
      </c>
      <c r="G13674" s="6">
        <v>1</v>
      </c>
      <c r="H13674" s="6" t="s">
        <v>52986</v>
      </c>
      <c r="I13674" s="6">
        <v>526.6875</v>
      </c>
      <c r="J13674" s="2">
        <f t="shared" si="213"/>
        <v>43749.497191076385</v>
      </c>
    </row>
    <row r="13675" spans="1:10" x14ac:dyDescent="0.25">
      <c r="A13675" s="7" t="s">
        <v>52987</v>
      </c>
      <c r="B13675" s="8">
        <v>415.625</v>
      </c>
      <c r="C13675" s="8">
        <v>20.531590000000001</v>
      </c>
      <c r="D13675" s="8">
        <v>64</v>
      </c>
      <c r="E13675" s="8">
        <v>0</v>
      </c>
      <c r="F13675" s="8">
        <v>0</v>
      </c>
      <c r="G13675" s="8">
        <v>3</v>
      </c>
      <c r="H13675" s="8" t="s">
        <v>52988</v>
      </c>
      <c r="I13675" s="8">
        <v>533.0625</v>
      </c>
      <c r="J13675" s="3">
        <f t="shared" si="213"/>
        <v>43749.497262384255</v>
      </c>
    </row>
    <row r="13676" spans="1:10" x14ac:dyDescent="0.25">
      <c r="A13676" s="5" t="s">
        <v>52989</v>
      </c>
      <c r="B13676" s="6">
        <v>393.75</v>
      </c>
      <c r="C13676" s="6">
        <v>20.531590000000001</v>
      </c>
      <c r="D13676" s="6">
        <v>65</v>
      </c>
      <c r="E13676" s="6">
        <v>0</v>
      </c>
      <c r="F13676" s="6">
        <v>0</v>
      </c>
      <c r="G13676" s="6">
        <v>2</v>
      </c>
      <c r="H13676" s="6" t="s">
        <v>52990</v>
      </c>
      <c r="I13676" s="6">
        <v>526.6875</v>
      </c>
      <c r="J13676" s="2">
        <f t="shared" si="213"/>
        <v>43749.497346145836</v>
      </c>
    </row>
    <row r="13677" spans="1:10" x14ac:dyDescent="0.25">
      <c r="A13677" s="7" t="s">
        <v>52991</v>
      </c>
      <c r="B13677" s="8">
        <v>393.75</v>
      </c>
      <c r="C13677" s="8">
        <v>20.531590000000001</v>
      </c>
      <c r="D13677" s="8">
        <v>65</v>
      </c>
      <c r="E13677" s="8">
        <v>0</v>
      </c>
      <c r="F13677" s="8">
        <v>0</v>
      </c>
      <c r="G13677" s="8">
        <v>6</v>
      </c>
      <c r="H13677" s="8" t="s">
        <v>52992</v>
      </c>
      <c r="I13677" s="8">
        <v>526.6875</v>
      </c>
      <c r="J13677" s="3">
        <f t="shared" si="213"/>
        <v>43749.497417673607</v>
      </c>
    </row>
    <row r="13678" spans="1:10" x14ac:dyDescent="0.25">
      <c r="A13678" s="5" t="s">
        <v>52993</v>
      </c>
      <c r="B13678" s="6">
        <v>415.625</v>
      </c>
      <c r="C13678" s="6">
        <v>20.478950000000001</v>
      </c>
      <c r="D13678" s="6">
        <v>65</v>
      </c>
      <c r="E13678" s="6">
        <v>0</v>
      </c>
      <c r="F13678" s="6">
        <v>0</v>
      </c>
      <c r="G13678" s="6">
        <v>7</v>
      </c>
      <c r="H13678" s="6" t="s">
        <v>52994</v>
      </c>
      <c r="I13678" s="6">
        <v>533.4375</v>
      </c>
      <c r="J13678" s="2">
        <f t="shared" si="213"/>
        <v>43749.497500914345</v>
      </c>
    </row>
    <row r="13679" spans="1:10" x14ac:dyDescent="0.25">
      <c r="A13679" s="7" t="s">
        <v>52995</v>
      </c>
      <c r="B13679" s="8">
        <v>393.75</v>
      </c>
      <c r="C13679" s="8">
        <v>20.478950000000001</v>
      </c>
      <c r="D13679" s="8">
        <v>64</v>
      </c>
      <c r="E13679" s="8">
        <v>0</v>
      </c>
      <c r="F13679" s="8">
        <v>0</v>
      </c>
      <c r="G13679" s="8">
        <v>6</v>
      </c>
      <c r="H13679" s="8" t="s">
        <v>52996</v>
      </c>
      <c r="I13679" s="8">
        <v>526.6875</v>
      </c>
      <c r="J13679" s="3">
        <f t="shared" si="213"/>
        <v>43749.497572777771</v>
      </c>
    </row>
    <row r="13680" spans="1:10" x14ac:dyDescent="0.25">
      <c r="A13680" s="5" t="s">
        <v>52997</v>
      </c>
      <c r="B13680" s="6">
        <v>393.75</v>
      </c>
      <c r="C13680" s="6">
        <v>20.531590000000001</v>
      </c>
      <c r="D13680" s="6">
        <v>64</v>
      </c>
      <c r="E13680" s="6">
        <v>0</v>
      </c>
      <c r="F13680" s="6">
        <v>0</v>
      </c>
      <c r="G13680" s="6">
        <v>2</v>
      </c>
      <c r="H13680" s="6" t="s">
        <v>52998</v>
      </c>
      <c r="I13680" s="6">
        <v>526.6875</v>
      </c>
      <c r="J13680" s="2">
        <f t="shared" si="213"/>
        <v>43749.497644305557</v>
      </c>
    </row>
    <row r="13681" spans="1:10" x14ac:dyDescent="0.25">
      <c r="A13681" s="7" t="s">
        <v>52999</v>
      </c>
      <c r="B13681" s="8">
        <v>393.75</v>
      </c>
      <c r="C13681" s="8">
        <v>20.478950000000001</v>
      </c>
      <c r="D13681" s="8">
        <v>63</v>
      </c>
      <c r="E13681" s="8">
        <v>0</v>
      </c>
      <c r="F13681" s="8">
        <v>0</v>
      </c>
      <c r="G13681" s="8">
        <v>0</v>
      </c>
      <c r="H13681" s="8" t="s">
        <v>53000</v>
      </c>
      <c r="I13681" s="8">
        <v>526.6875</v>
      </c>
      <c r="J13681" s="3">
        <f t="shared" si="213"/>
        <v>43749.497715613419</v>
      </c>
    </row>
    <row r="13682" spans="1:10" x14ac:dyDescent="0.25">
      <c r="A13682" s="5" t="s">
        <v>53001</v>
      </c>
      <c r="B13682" s="6">
        <v>393.75</v>
      </c>
      <c r="C13682" s="6">
        <v>20.584240000000001</v>
      </c>
      <c r="D13682" s="6">
        <v>64</v>
      </c>
      <c r="E13682" s="6">
        <v>0</v>
      </c>
      <c r="F13682" s="6">
        <v>0</v>
      </c>
      <c r="G13682" s="6">
        <v>7</v>
      </c>
      <c r="H13682" s="6" t="s">
        <v>53002</v>
      </c>
      <c r="I13682" s="6">
        <v>526.6875</v>
      </c>
      <c r="J13682" s="2">
        <f t="shared" si="213"/>
        <v>43749.497787372682</v>
      </c>
    </row>
    <row r="13683" spans="1:10" x14ac:dyDescent="0.25">
      <c r="A13683" s="7" t="s">
        <v>53003</v>
      </c>
      <c r="B13683" s="8">
        <v>393.75</v>
      </c>
      <c r="C13683" s="8">
        <v>20.531590000000001</v>
      </c>
      <c r="D13683" s="8">
        <v>64</v>
      </c>
      <c r="E13683" s="8">
        <v>0</v>
      </c>
      <c r="F13683" s="8">
        <v>0</v>
      </c>
      <c r="G13683" s="8">
        <v>3</v>
      </c>
      <c r="H13683" s="8" t="s">
        <v>53004</v>
      </c>
      <c r="I13683" s="8">
        <v>526.6875</v>
      </c>
      <c r="J13683" s="3">
        <f t="shared" si="213"/>
        <v>43749.497870914354</v>
      </c>
    </row>
    <row r="13684" spans="1:10" x14ac:dyDescent="0.25">
      <c r="A13684" s="5" t="s">
        <v>53005</v>
      </c>
      <c r="B13684" s="6">
        <v>393.75</v>
      </c>
      <c r="C13684" s="6">
        <v>20.531590000000001</v>
      </c>
      <c r="D13684" s="6">
        <v>64</v>
      </c>
      <c r="E13684" s="6">
        <v>0</v>
      </c>
      <c r="F13684" s="6">
        <v>0</v>
      </c>
      <c r="G13684" s="6">
        <v>9</v>
      </c>
      <c r="H13684" s="6" t="s">
        <v>53006</v>
      </c>
      <c r="I13684" s="6">
        <v>526.6875</v>
      </c>
      <c r="J13684" s="2">
        <f t="shared" si="213"/>
        <v>43749.497942581016</v>
      </c>
    </row>
    <row r="13685" spans="1:10" x14ac:dyDescent="0.25">
      <c r="A13685" s="7" t="s">
        <v>53007</v>
      </c>
      <c r="B13685" s="8">
        <v>393.75</v>
      </c>
      <c r="C13685" s="8">
        <v>20.531590000000001</v>
      </c>
      <c r="D13685" s="8">
        <v>63</v>
      </c>
      <c r="E13685" s="8">
        <v>0</v>
      </c>
      <c r="F13685" s="8">
        <v>0</v>
      </c>
      <c r="G13685" s="8">
        <v>3</v>
      </c>
      <c r="H13685" s="8" t="s">
        <v>53008</v>
      </c>
      <c r="I13685" s="8">
        <v>526.6875</v>
      </c>
      <c r="J13685" s="3">
        <f t="shared" si="213"/>
        <v>43749.498026030087</v>
      </c>
    </row>
    <row r="13686" spans="1:10" x14ac:dyDescent="0.25">
      <c r="A13686" s="5" t="s">
        <v>53009</v>
      </c>
      <c r="B13686" s="6">
        <v>393.75</v>
      </c>
      <c r="C13686" s="6">
        <v>20.531590000000001</v>
      </c>
      <c r="D13686" s="6">
        <v>64</v>
      </c>
      <c r="E13686" s="6">
        <v>0</v>
      </c>
      <c r="F13686" s="6">
        <v>0</v>
      </c>
      <c r="G13686" s="6">
        <v>8</v>
      </c>
      <c r="H13686" s="6" t="s">
        <v>53010</v>
      </c>
      <c r="I13686" s="6">
        <v>526.6875</v>
      </c>
      <c r="J13686" s="2">
        <f t="shared" si="213"/>
        <v>43749.498097187497</v>
      </c>
    </row>
    <row r="13687" spans="1:10" x14ac:dyDescent="0.25">
      <c r="A13687" s="7" t="s">
        <v>53011</v>
      </c>
      <c r="B13687" s="8">
        <v>393.75</v>
      </c>
      <c r="C13687" s="8">
        <v>20.531590000000001</v>
      </c>
      <c r="D13687" s="8">
        <v>63</v>
      </c>
      <c r="E13687" s="8">
        <v>0</v>
      </c>
      <c r="F13687" s="8">
        <v>0</v>
      </c>
      <c r="G13687" s="8">
        <v>16</v>
      </c>
      <c r="H13687" s="8" t="s">
        <v>53012</v>
      </c>
      <c r="I13687" s="8">
        <v>526.6875</v>
      </c>
      <c r="J13687" s="3">
        <f t="shared" si="213"/>
        <v>43749.498168773142</v>
      </c>
    </row>
    <row r="13688" spans="1:10" x14ac:dyDescent="0.25">
      <c r="A13688" s="5" t="s">
        <v>53013</v>
      </c>
      <c r="B13688" s="6">
        <v>393.75</v>
      </c>
      <c r="C13688" s="6">
        <v>20.531590000000001</v>
      </c>
      <c r="D13688" s="6">
        <v>63</v>
      </c>
      <c r="E13688" s="6">
        <v>0</v>
      </c>
      <c r="F13688" s="6">
        <v>0</v>
      </c>
      <c r="G13688" s="6">
        <v>7</v>
      </c>
      <c r="H13688" s="6" t="s">
        <v>53014</v>
      </c>
      <c r="I13688" s="6">
        <v>526.6875</v>
      </c>
      <c r="J13688" s="2">
        <f t="shared" si="213"/>
        <v>43749.498240254623</v>
      </c>
    </row>
    <row r="13689" spans="1:10" x14ac:dyDescent="0.25">
      <c r="A13689" s="7" t="s">
        <v>53015</v>
      </c>
      <c r="B13689" s="8">
        <v>412.5</v>
      </c>
      <c r="C13689" s="8">
        <v>20.478950000000001</v>
      </c>
      <c r="D13689" s="8">
        <v>63</v>
      </c>
      <c r="E13689" s="8">
        <v>0</v>
      </c>
      <c r="F13689" s="8">
        <v>0</v>
      </c>
      <c r="G13689" s="8">
        <v>4</v>
      </c>
      <c r="H13689" s="8" t="s">
        <v>53016</v>
      </c>
      <c r="I13689" s="8">
        <v>532.3125</v>
      </c>
      <c r="J13689" s="3">
        <f t="shared" si="213"/>
        <v>43749.498311909723</v>
      </c>
    </row>
    <row r="13690" spans="1:10" x14ac:dyDescent="0.25">
      <c r="A13690" s="5" t="s">
        <v>53017</v>
      </c>
      <c r="B13690" s="6">
        <v>393.75</v>
      </c>
      <c r="C13690" s="6">
        <v>20.531590000000001</v>
      </c>
      <c r="D13690" s="6">
        <v>64</v>
      </c>
      <c r="E13690" s="6">
        <v>0</v>
      </c>
      <c r="F13690" s="6">
        <v>0</v>
      </c>
      <c r="G13690" s="6">
        <v>6</v>
      </c>
      <c r="H13690" s="6" t="s">
        <v>53018</v>
      </c>
      <c r="I13690" s="6">
        <v>526.6875</v>
      </c>
      <c r="J13690" s="2">
        <f t="shared" si="213"/>
        <v>43749.498383796294</v>
      </c>
    </row>
    <row r="13691" spans="1:10" x14ac:dyDescent="0.25">
      <c r="A13691" s="7" t="s">
        <v>53019</v>
      </c>
      <c r="B13691" s="8">
        <v>393.75</v>
      </c>
      <c r="C13691" s="8">
        <v>20.478950000000001</v>
      </c>
      <c r="D13691" s="8">
        <v>68</v>
      </c>
      <c r="E13691" s="8">
        <v>0</v>
      </c>
      <c r="F13691" s="8">
        <v>0</v>
      </c>
      <c r="G13691" s="8">
        <v>10</v>
      </c>
      <c r="H13691" s="8" t="s">
        <v>53020</v>
      </c>
      <c r="I13691" s="8">
        <v>526.6875</v>
      </c>
      <c r="J13691" s="3">
        <f t="shared" si="213"/>
        <v>43749.498467233796</v>
      </c>
    </row>
    <row r="13692" spans="1:10" x14ac:dyDescent="0.25">
      <c r="A13692" s="5" t="s">
        <v>53021</v>
      </c>
      <c r="B13692" s="6">
        <v>393.75</v>
      </c>
      <c r="C13692" s="6">
        <v>20.531590000000001</v>
      </c>
      <c r="D13692" s="6">
        <v>67</v>
      </c>
      <c r="E13692" s="6">
        <v>0</v>
      </c>
      <c r="F13692" s="6">
        <v>0</v>
      </c>
      <c r="G13692" s="6">
        <v>16</v>
      </c>
      <c r="H13692" s="6" t="s">
        <v>53022</v>
      </c>
      <c r="I13692" s="6">
        <v>526.6875</v>
      </c>
      <c r="J13692" s="2">
        <f t="shared" si="213"/>
        <v>43749.49853892361</v>
      </c>
    </row>
    <row r="13693" spans="1:10" x14ac:dyDescent="0.25">
      <c r="A13693" s="7" t="s">
        <v>53023</v>
      </c>
      <c r="B13693" s="8">
        <v>393.75</v>
      </c>
      <c r="C13693" s="8">
        <v>20.478950000000001</v>
      </c>
      <c r="D13693" s="8">
        <v>66</v>
      </c>
      <c r="E13693" s="8">
        <v>0</v>
      </c>
      <c r="F13693" s="8">
        <v>0</v>
      </c>
      <c r="G13693" s="8">
        <v>9</v>
      </c>
      <c r="H13693" s="8" t="s">
        <v>53024</v>
      </c>
      <c r="I13693" s="8">
        <v>526.6875</v>
      </c>
      <c r="J13693" s="3">
        <f t="shared" si="213"/>
        <v>43749.498610405091</v>
      </c>
    </row>
    <row r="13694" spans="1:10" x14ac:dyDescent="0.25">
      <c r="A13694" s="5" t="s">
        <v>53025</v>
      </c>
      <c r="B13694" s="6">
        <v>393.75</v>
      </c>
      <c r="C13694" s="6">
        <v>20.478950000000001</v>
      </c>
      <c r="D13694" s="6">
        <v>66</v>
      </c>
      <c r="E13694" s="6">
        <v>0</v>
      </c>
      <c r="F13694" s="6">
        <v>0</v>
      </c>
      <c r="G13694" s="6">
        <v>0</v>
      </c>
      <c r="H13694" s="6" t="s">
        <v>53026</v>
      </c>
      <c r="I13694" s="6">
        <v>526.6875</v>
      </c>
      <c r="J13694" s="2">
        <f t="shared" si="213"/>
        <v>43749.498705763886</v>
      </c>
    </row>
    <row r="13695" spans="1:10" x14ac:dyDescent="0.25">
      <c r="A13695" s="7" t="s">
        <v>53027</v>
      </c>
      <c r="B13695" s="8">
        <v>418.75</v>
      </c>
      <c r="C13695" s="8">
        <v>20.531590000000001</v>
      </c>
      <c r="D13695" s="8">
        <v>65</v>
      </c>
      <c r="E13695" s="8">
        <v>0</v>
      </c>
      <c r="F13695" s="8">
        <v>0</v>
      </c>
      <c r="G13695" s="8">
        <v>8</v>
      </c>
      <c r="H13695" s="8" t="s">
        <v>53028</v>
      </c>
      <c r="I13695" s="8">
        <v>534</v>
      </c>
      <c r="J13695" s="3">
        <f t="shared" si="213"/>
        <v>43749.498777407403</v>
      </c>
    </row>
    <row r="13696" spans="1:10" x14ac:dyDescent="0.25">
      <c r="A13696" s="5" t="s">
        <v>53029</v>
      </c>
      <c r="B13696" s="6">
        <v>393.75</v>
      </c>
      <c r="C13696" s="6">
        <v>20.531590000000001</v>
      </c>
      <c r="D13696" s="6">
        <v>63</v>
      </c>
      <c r="E13696" s="6">
        <v>0</v>
      </c>
      <c r="F13696" s="6">
        <v>0</v>
      </c>
      <c r="G13696" s="6">
        <v>5</v>
      </c>
      <c r="H13696" s="6" t="s">
        <v>53030</v>
      </c>
      <c r="I13696" s="6">
        <v>526.6875</v>
      </c>
      <c r="J13696" s="2">
        <f t="shared" si="213"/>
        <v>43749.498849039352</v>
      </c>
    </row>
    <row r="13697" spans="1:10" x14ac:dyDescent="0.25">
      <c r="A13697" s="7" t="s">
        <v>53031</v>
      </c>
      <c r="B13697" s="8">
        <v>393.75</v>
      </c>
      <c r="C13697" s="8">
        <v>20.531590000000001</v>
      </c>
      <c r="D13697" s="8">
        <v>63</v>
      </c>
      <c r="E13697" s="8">
        <v>0</v>
      </c>
      <c r="F13697" s="8">
        <v>0</v>
      </c>
      <c r="G13697" s="8">
        <v>5</v>
      </c>
      <c r="H13697" s="8" t="s">
        <v>53032</v>
      </c>
      <c r="I13697" s="8">
        <v>526.6875</v>
      </c>
      <c r="J13697" s="3">
        <f t="shared" si="213"/>
        <v>43749.498932384253</v>
      </c>
    </row>
    <row r="13698" spans="1:10" x14ac:dyDescent="0.25">
      <c r="A13698" s="5" t="s">
        <v>53033</v>
      </c>
      <c r="B13698" s="6">
        <v>393.75</v>
      </c>
      <c r="C13698" s="6">
        <v>20.584240000000001</v>
      </c>
      <c r="D13698" s="6">
        <v>63</v>
      </c>
      <c r="E13698" s="6">
        <v>0</v>
      </c>
      <c r="F13698" s="6">
        <v>0</v>
      </c>
      <c r="G13698" s="6">
        <v>6</v>
      </c>
      <c r="H13698" s="6" t="s">
        <v>53034</v>
      </c>
      <c r="I13698" s="6">
        <v>526.5</v>
      </c>
      <c r="J13698" s="2">
        <f t="shared" ref="J13698:J13761" si="214">(H13698/86400000)+25569+(7/24)</f>
        <v>43749.499004016201</v>
      </c>
    </row>
    <row r="13699" spans="1:10" x14ac:dyDescent="0.25">
      <c r="A13699" s="7" t="s">
        <v>53035</v>
      </c>
      <c r="B13699" s="8">
        <v>393.75</v>
      </c>
      <c r="C13699" s="8">
        <v>20.478950000000001</v>
      </c>
      <c r="D13699" s="8">
        <v>62</v>
      </c>
      <c r="E13699" s="8">
        <v>0</v>
      </c>
      <c r="F13699" s="8">
        <v>0</v>
      </c>
      <c r="G13699" s="8">
        <v>7</v>
      </c>
      <c r="H13699" s="8" t="s">
        <v>53036</v>
      </c>
      <c r="I13699" s="8">
        <v>526.6875</v>
      </c>
      <c r="J13699" s="3">
        <f t="shared" si="214"/>
        <v>43749.499097905085</v>
      </c>
    </row>
    <row r="13700" spans="1:10" x14ac:dyDescent="0.25">
      <c r="A13700" s="5" t="s">
        <v>53037</v>
      </c>
      <c r="B13700" s="6">
        <v>412.5</v>
      </c>
      <c r="C13700" s="6">
        <v>20.478950000000001</v>
      </c>
      <c r="D13700" s="6">
        <v>63</v>
      </c>
      <c r="E13700" s="6">
        <v>0</v>
      </c>
      <c r="F13700" s="6">
        <v>0</v>
      </c>
      <c r="G13700" s="6">
        <v>8</v>
      </c>
      <c r="H13700" s="6" t="s">
        <v>53038</v>
      </c>
      <c r="I13700" s="6">
        <v>532.5</v>
      </c>
      <c r="J13700" s="2">
        <f t="shared" si="214"/>
        <v>43749.499194849537</v>
      </c>
    </row>
    <row r="13701" spans="1:10" x14ac:dyDescent="0.25">
      <c r="A13701" s="7" t="s">
        <v>53039</v>
      </c>
      <c r="B13701" s="8">
        <v>393.75</v>
      </c>
      <c r="C13701" s="8">
        <v>20.531590000000001</v>
      </c>
      <c r="D13701" s="8">
        <v>63</v>
      </c>
      <c r="E13701" s="8">
        <v>0</v>
      </c>
      <c r="F13701" s="8">
        <v>0</v>
      </c>
      <c r="G13701" s="8">
        <v>0</v>
      </c>
      <c r="H13701" s="8" t="s">
        <v>53040</v>
      </c>
      <c r="I13701" s="8">
        <v>526.6875</v>
      </c>
      <c r="J13701" s="3">
        <f t="shared" si="214"/>
        <v>43749.499278391202</v>
      </c>
    </row>
    <row r="13702" spans="1:10" x14ac:dyDescent="0.25">
      <c r="A13702" s="5" t="s">
        <v>53041</v>
      </c>
      <c r="B13702" s="6">
        <v>393.75</v>
      </c>
      <c r="C13702" s="6">
        <v>20.478950000000001</v>
      </c>
      <c r="D13702" s="6">
        <v>62</v>
      </c>
      <c r="E13702" s="6">
        <v>0</v>
      </c>
      <c r="F13702" s="6">
        <v>0</v>
      </c>
      <c r="G13702" s="6">
        <v>8</v>
      </c>
      <c r="H13702" s="6" t="s">
        <v>53042</v>
      </c>
      <c r="I13702" s="6">
        <v>526.6875</v>
      </c>
      <c r="J13702" s="2">
        <f t="shared" si="214"/>
        <v>43749.499361863425</v>
      </c>
    </row>
    <row r="13703" spans="1:10" x14ac:dyDescent="0.25">
      <c r="A13703" s="7" t="s">
        <v>53043</v>
      </c>
      <c r="B13703" s="8">
        <v>393.75</v>
      </c>
      <c r="C13703" s="8">
        <v>20.478950000000001</v>
      </c>
      <c r="D13703" s="8">
        <v>62</v>
      </c>
      <c r="E13703" s="8">
        <v>0</v>
      </c>
      <c r="F13703" s="8">
        <v>0</v>
      </c>
      <c r="G13703" s="8">
        <v>4</v>
      </c>
      <c r="H13703" s="8" t="s">
        <v>53044</v>
      </c>
      <c r="I13703" s="8">
        <v>526.6875</v>
      </c>
      <c r="J13703" s="3">
        <f t="shared" si="214"/>
        <v>43749.499445312496</v>
      </c>
    </row>
    <row r="13704" spans="1:10" x14ac:dyDescent="0.25">
      <c r="A13704" s="5" t="s">
        <v>53045</v>
      </c>
      <c r="B13704" s="6">
        <v>393.75</v>
      </c>
      <c r="C13704" s="6">
        <v>20.531590000000001</v>
      </c>
      <c r="D13704" s="6">
        <v>62</v>
      </c>
      <c r="E13704" s="6">
        <v>0</v>
      </c>
      <c r="F13704" s="6">
        <v>0</v>
      </c>
      <c r="G13704" s="6">
        <v>2</v>
      </c>
      <c r="H13704" s="6" t="s">
        <v>53046</v>
      </c>
      <c r="I13704" s="6">
        <v>526.6875</v>
      </c>
      <c r="J13704" s="2">
        <f t="shared" si="214"/>
        <v>43749.499529212961</v>
      </c>
    </row>
    <row r="13705" spans="1:10" x14ac:dyDescent="0.25">
      <c r="A13705" s="7" t="s">
        <v>53047</v>
      </c>
      <c r="B13705" s="8">
        <v>393.75</v>
      </c>
      <c r="C13705" s="8">
        <v>20.531590000000001</v>
      </c>
      <c r="D13705" s="8">
        <v>63</v>
      </c>
      <c r="E13705" s="8">
        <v>0</v>
      </c>
      <c r="F13705" s="8">
        <v>0</v>
      </c>
      <c r="G13705" s="8">
        <v>8</v>
      </c>
      <c r="H13705" s="8" t="s">
        <v>53048</v>
      </c>
      <c r="I13705" s="8">
        <v>526.6875</v>
      </c>
      <c r="J13705" s="3">
        <f t="shared" si="214"/>
        <v>43749.499611979169</v>
      </c>
    </row>
    <row r="13706" spans="1:10" x14ac:dyDescent="0.25">
      <c r="A13706" s="5" t="s">
        <v>53049</v>
      </c>
      <c r="B13706" s="6">
        <v>393.75</v>
      </c>
      <c r="C13706" s="6">
        <v>20.478950000000001</v>
      </c>
      <c r="D13706" s="6">
        <v>63</v>
      </c>
      <c r="E13706" s="6">
        <v>0</v>
      </c>
      <c r="F13706" s="6">
        <v>0</v>
      </c>
      <c r="G13706" s="6">
        <v>9</v>
      </c>
      <c r="H13706" s="6" t="s">
        <v>53050</v>
      </c>
      <c r="I13706" s="6">
        <v>526.6875</v>
      </c>
      <c r="J13706" s="2">
        <f t="shared" si="214"/>
        <v>43749.499683738424</v>
      </c>
    </row>
    <row r="13707" spans="1:10" x14ac:dyDescent="0.25">
      <c r="A13707" s="7" t="s">
        <v>53051</v>
      </c>
      <c r="B13707" s="8">
        <v>393.75</v>
      </c>
      <c r="C13707" s="8">
        <v>20.531590000000001</v>
      </c>
      <c r="D13707" s="8">
        <v>62</v>
      </c>
      <c r="E13707" s="8">
        <v>0</v>
      </c>
      <c r="F13707" s="8">
        <v>0</v>
      </c>
      <c r="G13707" s="8">
        <v>10</v>
      </c>
      <c r="H13707" s="8" t="s">
        <v>53052</v>
      </c>
      <c r="I13707" s="8">
        <v>526.6875</v>
      </c>
      <c r="J13707" s="3">
        <f t="shared" si="214"/>
        <v>43749.499755370365</v>
      </c>
    </row>
    <row r="13708" spans="1:10" x14ac:dyDescent="0.25">
      <c r="A13708" s="5" t="s">
        <v>53053</v>
      </c>
      <c r="B13708" s="6">
        <v>393.75</v>
      </c>
      <c r="C13708" s="6">
        <v>20.531590000000001</v>
      </c>
      <c r="D13708" s="6">
        <v>62</v>
      </c>
      <c r="E13708" s="6">
        <v>0</v>
      </c>
      <c r="F13708" s="6">
        <v>0</v>
      </c>
      <c r="G13708" s="6">
        <v>15</v>
      </c>
      <c r="H13708" s="6" t="s">
        <v>53054</v>
      </c>
      <c r="I13708" s="6">
        <v>526.6875</v>
      </c>
      <c r="J13708" s="2">
        <f t="shared" si="214"/>
        <v>43749.499826793974</v>
      </c>
    </row>
    <row r="13709" spans="1:10" x14ac:dyDescent="0.25">
      <c r="A13709" s="7" t="s">
        <v>53055</v>
      </c>
      <c r="B13709" s="8">
        <v>393.75</v>
      </c>
      <c r="C13709" s="8">
        <v>20.531590000000001</v>
      </c>
      <c r="D13709" s="8">
        <v>62</v>
      </c>
      <c r="E13709" s="8">
        <v>0</v>
      </c>
      <c r="F13709" s="8">
        <v>0</v>
      </c>
      <c r="G13709" s="8">
        <v>11</v>
      </c>
      <c r="H13709" s="8" t="s">
        <v>53056</v>
      </c>
      <c r="I13709" s="8">
        <v>526.6875</v>
      </c>
      <c r="J13709" s="3">
        <f t="shared" si="214"/>
        <v>43749.499898530092</v>
      </c>
    </row>
    <row r="13710" spans="1:10" x14ac:dyDescent="0.25">
      <c r="A13710" s="5" t="s">
        <v>53057</v>
      </c>
      <c r="B13710" s="6">
        <v>393.75</v>
      </c>
      <c r="C13710" s="6">
        <v>20.531590000000001</v>
      </c>
      <c r="D13710" s="6">
        <v>61</v>
      </c>
      <c r="E13710" s="6">
        <v>0</v>
      </c>
      <c r="F13710" s="6">
        <v>0</v>
      </c>
      <c r="G13710" s="6">
        <v>5</v>
      </c>
      <c r="H13710" s="6" t="s">
        <v>53058</v>
      </c>
      <c r="I13710" s="6">
        <v>526.6875</v>
      </c>
      <c r="J13710" s="2">
        <f t="shared" si="214"/>
        <v>43749.499970069439</v>
      </c>
    </row>
    <row r="13711" spans="1:10" x14ac:dyDescent="0.25">
      <c r="A13711" s="7" t="s">
        <v>53059</v>
      </c>
      <c r="B13711" s="8">
        <v>393.75</v>
      </c>
      <c r="C13711" s="8">
        <v>20.478950000000001</v>
      </c>
      <c r="D13711" s="8">
        <v>61</v>
      </c>
      <c r="E13711" s="8">
        <v>0</v>
      </c>
      <c r="F13711" s="8">
        <v>0</v>
      </c>
      <c r="G13711" s="8">
        <v>6</v>
      </c>
      <c r="H13711" s="8" t="s">
        <v>53060</v>
      </c>
      <c r="I13711" s="8">
        <v>526.6875</v>
      </c>
      <c r="J13711" s="3">
        <f t="shared" si="214"/>
        <v>43749.50005362268</v>
      </c>
    </row>
    <row r="13712" spans="1:10" x14ac:dyDescent="0.25">
      <c r="A13712" s="5" t="s">
        <v>53061</v>
      </c>
      <c r="B13712" s="6">
        <v>393.75</v>
      </c>
      <c r="C13712" s="6">
        <v>20.531590000000001</v>
      </c>
      <c r="D13712" s="6">
        <v>61</v>
      </c>
      <c r="E13712" s="6">
        <v>0</v>
      </c>
      <c r="F13712" s="6">
        <v>0</v>
      </c>
      <c r="G13712" s="6">
        <v>8</v>
      </c>
      <c r="H13712" s="6" t="s">
        <v>53062</v>
      </c>
      <c r="I13712" s="6">
        <v>526.6875</v>
      </c>
      <c r="J13712" s="2">
        <f t="shared" si="214"/>
        <v>43749.50012517361</v>
      </c>
    </row>
    <row r="13713" spans="1:10" x14ac:dyDescent="0.25">
      <c r="A13713" s="7" t="s">
        <v>53063</v>
      </c>
      <c r="B13713" s="8">
        <v>393.75</v>
      </c>
      <c r="C13713" s="8">
        <v>20.531590000000001</v>
      </c>
      <c r="D13713" s="8">
        <v>62</v>
      </c>
      <c r="E13713" s="8">
        <v>0</v>
      </c>
      <c r="F13713" s="8">
        <v>0</v>
      </c>
      <c r="G13713" s="8">
        <v>8</v>
      </c>
      <c r="H13713" s="8" t="s">
        <v>53064</v>
      </c>
      <c r="I13713" s="8">
        <v>526.5</v>
      </c>
      <c r="J13713" s="3">
        <f t="shared" si="214"/>
        <v>43749.500208402773</v>
      </c>
    </row>
    <row r="13714" spans="1:10" x14ac:dyDescent="0.25">
      <c r="A13714" s="5" t="s">
        <v>53065</v>
      </c>
      <c r="B13714" s="6">
        <v>393.75</v>
      </c>
      <c r="C13714" s="6">
        <v>20.478950000000001</v>
      </c>
      <c r="D13714" s="6">
        <v>62</v>
      </c>
      <c r="E13714" s="6">
        <v>0</v>
      </c>
      <c r="F13714" s="6">
        <v>0</v>
      </c>
      <c r="G13714" s="6">
        <v>12</v>
      </c>
      <c r="H13714" s="6" t="s">
        <v>53066</v>
      </c>
      <c r="I13714" s="6">
        <v>526.6875</v>
      </c>
      <c r="J13714" s="2">
        <f t="shared" si="214"/>
        <v>43749.500280138884</v>
      </c>
    </row>
    <row r="13715" spans="1:10" x14ac:dyDescent="0.25">
      <c r="A13715" s="7" t="s">
        <v>53067</v>
      </c>
      <c r="B13715" s="8">
        <v>393.75</v>
      </c>
      <c r="C13715" s="8">
        <v>20.478950000000001</v>
      </c>
      <c r="D13715" s="8">
        <v>61</v>
      </c>
      <c r="E13715" s="8">
        <v>0</v>
      </c>
      <c r="F13715" s="8">
        <v>0</v>
      </c>
      <c r="G13715" s="8">
        <v>11</v>
      </c>
      <c r="H13715" s="8" t="s">
        <v>53068</v>
      </c>
      <c r="I13715" s="8">
        <v>526.875</v>
      </c>
      <c r="J13715" s="3">
        <f t="shared" si="214"/>
        <v>43749.500363831015</v>
      </c>
    </row>
    <row r="13716" spans="1:10" x14ac:dyDescent="0.25">
      <c r="A13716" s="5" t="s">
        <v>53069</v>
      </c>
      <c r="B13716" s="6">
        <v>393.75</v>
      </c>
      <c r="C13716" s="6">
        <v>20.531590000000001</v>
      </c>
      <c r="D13716" s="6">
        <v>61</v>
      </c>
      <c r="E13716" s="6">
        <v>0</v>
      </c>
      <c r="F13716" s="6">
        <v>0</v>
      </c>
      <c r="G13716" s="6">
        <v>4</v>
      </c>
      <c r="H13716" s="6" t="s">
        <v>53070</v>
      </c>
      <c r="I13716" s="6">
        <v>526.6875</v>
      </c>
      <c r="J13716" s="2">
        <f t="shared" si="214"/>
        <v>43749.500435243048</v>
      </c>
    </row>
    <row r="13717" spans="1:10" x14ac:dyDescent="0.25">
      <c r="A13717" s="7" t="s">
        <v>53071</v>
      </c>
      <c r="B13717" s="8">
        <v>393.75</v>
      </c>
      <c r="C13717" s="8">
        <v>20.478950000000001</v>
      </c>
      <c r="D13717" s="8">
        <v>59</v>
      </c>
      <c r="E13717" s="8">
        <v>0</v>
      </c>
      <c r="F13717" s="8">
        <v>0</v>
      </c>
      <c r="G13717" s="8">
        <v>3</v>
      </c>
      <c r="H13717" s="8" t="s">
        <v>53072</v>
      </c>
      <c r="I13717" s="8">
        <v>526.6875</v>
      </c>
      <c r="J13717" s="3">
        <f t="shared" si="214"/>
        <v>43749.500506886572</v>
      </c>
    </row>
    <row r="13718" spans="1:10" x14ac:dyDescent="0.25">
      <c r="A13718" s="5" t="s">
        <v>53073</v>
      </c>
      <c r="B13718" s="6">
        <v>415.625</v>
      </c>
      <c r="C13718" s="6">
        <v>20.478950000000001</v>
      </c>
      <c r="D13718" s="6">
        <v>59</v>
      </c>
      <c r="E13718" s="6">
        <v>0</v>
      </c>
      <c r="F13718" s="6">
        <v>0</v>
      </c>
      <c r="G13718" s="6">
        <v>3</v>
      </c>
      <c r="H13718" s="6" t="s">
        <v>53074</v>
      </c>
      <c r="I13718" s="6">
        <v>533.4375</v>
      </c>
      <c r="J13718" s="2">
        <f t="shared" si="214"/>
        <v>43749.50057817129</v>
      </c>
    </row>
    <row r="13719" spans="1:10" x14ac:dyDescent="0.25">
      <c r="A13719" s="7" t="s">
        <v>53075</v>
      </c>
      <c r="B13719" s="8">
        <v>393.75</v>
      </c>
      <c r="C13719" s="8">
        <v>20.478950000000001</v>
      </c>
      <c r="D13719" s="8">
        <v>61</v>
      </c>
      <c r="E13719" s="8">
        <v>0</v>
      </c>
      <c r="F13719" s="8">
        <v>0</v>
      </c>
      <c r="G13719" s="8">
        <v>8</v>
      </c>
      <c r="H13719" s="8" t="s">
        <v>53076</v>
      </c>
      <c r="I13719" s="8">
        <v>526.6875</v>
      </c>
      <c r="J13719" s="3">
        <f t="shared" si="214"/>
        <v>43749.500661874998</v>
      </c>
    </row>
    <row r="13720" spans="1:10" x14ac:dyDescent="0.25">
      <c r="A13720" s="5" t="s">
        <v>53077</v>
      </c>
      <c r="B13720" s="6">
        <v>393.75</v>
      </c>
      <c r="C13720" s="6">
        <v>20.478950000000001</v>
      </c>
      <c r="D13720" s="6">
        <v>62</v>
      </c>
      <c r="E13720" s="6">
        <v>0</v>
      </c>
      <c r="F13720" s="6">
        <v>0</v>
      </c>
      <c r="G13720" s="6">
        <v>15</v>
      </c>
      <c r="H13720" s="6" t="s">
        <v>53078</v>
      </c>
      <c r="I13720" s="6">
        <v>526.6875</v>
      </c>
      <c r="J13720" s="2">
        <f t="shared" si="214"/>
        <v>43749.500745300924</v>
      </c>
    </row>
    <row r="13721" spans="1:10" x14ac:dyDescent="0.25">
      <c r="A13721" s="7" t="s">
        <v>53079</v>
      </c>
      <c r="B13721" s="8">
        <v>393.75</v>
      </c>
      <c r="C13721" s="8">
        <v>20.531590000000001</v>
      </c>
      <c r="D13721" s="8">
        <v>62</v>
      </c>
      <c r="E13721" s="8">
        <v>0</v>
      </c>
      <c r="F13721" s="8">
        <v>0</v>
      </c>
      <c r="G13721" s="8">
        <v>14</v>
      </c>
      <c r="H13721" s="8" t="s">
        <v>53080</v>
      </c>
      <c r="I13721" s="8">
        <v>526.6875</v>
      </c>
      <c r="J13721" s="3">
        <f t="shared" si="214"/>
        <v>43749.500829108794</v>
      </c>
    </row>
    <row r="13722" spans="1:10" x14ac:dyDescent="0.25">
      <c r="A13722" s="5" t="s">
        <v>53081</v>
      </c>
      <c r="B13722" s="6">
        <v>393.75</v>
      </c>
      <c r="C13722" s="6">
        <v>20.478950000000001</v>
      </c>
      <c r="D13722" s="6">
        <v>62</v>
      </c>
      <c r="E13722" s="6">
        <v>0</v>
      </c>
      <c r="F13722" s="6">
        <v>0</v>
      </c>
      <c r="G13722" s="6">
        <v>5</v>
      </c>
      <c r="H13722" s="6" t="s">
        <v>53082</v>
      </c>
      <c r="I13722" s="6">
        <v>526.6875</v>
      </c>
      <c r="J13722" s="2">
        <f t="shared" si="214"/>
        <v>43749.500900416664</v>
      </c>
    </row>
    <row r="13723" spans="1:10" x14ac:dyDescent="0.25">
      <c r="A13723" s="7" t="s">
        <v>53083</v>
      </c>
      <c r="B13723" s="8">
        <v>393.75</v>
      </c>
      <c r="C13723" s="8">
        <v>20.531590000000001</v>
      </c>
      <c r="D13723" s="8">
        <v>62</v>
      </c>
      <c r="E13723" s="8">
        <v>0</v>
      </c>
      <c r="F13723" s="8">
        <v>0</v>
      </c>
      <c r="G13723" s="8">
        <v>10</v>
      </c>
      <c r="H13723" s="8" t="s">
        <v>53084</v>
      </c>
      <c r="I13723" s="8">
        <v>526.6875</v>
      </c>
      <c r="J13723" s="3">
        <f t="shared" si="214"/>
        <v>43749.50097192129</v>
      </c>
    </row>
    <row r="13724" spans="1:10" x14ac:dyDescent="0.25">
      <c r="A13724" s="5" t="s">
        <v>53085</v>
      </c>
      <c r="B13724" s="6">
        <v>415.625</v>
      </c>
      <c r="C13724" s="6">
        <v>20.531590000000001</v>
      </c>
      <c r="D13724" s="6">
        <v>62</v>
      </c>
      <c r="E13724" s="6">
        <v>0</v>
      </c>
      <c r="F13724" s="6">
        <v>0</v>
      </c>
      <c r="G13724" s="6">
        <v>10</v>
      </c>
      <c r="H13724" s="6" t="s">
        <v>53086</v>
      </c>
      <c r="I13724" s="6">
        <v>533.0625</v>
      </c>
      <c r="J13724" s="2">
        <f t="shared" si="214"/>
        <v>43749.501055497683</v>
      </c>
    </row>
    <row r="13725" spans="1:10" x14ac:dyDescent="0.25">
      <c r="A13725" s="7" t="s">
        <v>53087</v>
      </c>
      <c r="B13725" s="8">
        <v>393.75</v>
      </c>
      <c r="C13725" s="8">
        <v>20.531590000000001</v>
      </c>
      <c r="D13725" s="8">
        <v>61</v>
      </c>
      <c r="E13725" s="8">
        <v>0</v>
      </c>
      <c r="F13725" s="8">
        <v>0</v>
      </c>
      <c r="G13725" s="8">
        <v>6</v>
      </c>
      <c r="H13725" s="8" t="s">
        <v>53088</v>
      </c>
      <c r="I13725" s="8">
        <v>526.6875</v>
      </c>
      <c r="J13725" s="3">
        <f t="shared" si="214"/>
        <v>43749.501138935178</v>
      </c>
    </row>
    <row r="13726" spans="1:10" x14ac:dyDescent="0.25">
      <c r="A13726" s="5" t="s">
        <v>53089</v>
      </c>
      <c r="B13726" s="6">
        <v>393.75</v>
      </c>
      <c r="C13726" s="6">
        <v>20.478950000000001</v>
      </c>
      <c r="D13726" s="6">
        <v>61</v>
      </c>
      <c r="E13726" s="6">
        <v>0</v>
      </c>
      <c r="F13726" s="6">
        <v>0</v>
      </c>
      <c r="G13726" s="6">
        <v>20</v>
      </c>
      <c r="H13726" s="6" t="s">
        <v>53090</v>
      </c>
      <c r="I13726" s="6">
        <v>526.6875</v>
      </c>
      <c r="J13726" s="2">
        <f t="shared" si="214"/>
        <v>43749.501210729162</v>
      </c>
    </row>
    <row r="13727" spans="1:10" x14ac:dyDescent="0.25">
      <c r="A13727" s="7" t="s">
        <v>53091</v>
      </c>
      <c r="B13727" s="8">
        <v>393.75</v>
      </c>
      <c r="C13727" s="8">
        <v>20.478950000000001</v>
      </c>
      <c r="D13727" s="8">
        <v>61</v>
      </c>
      <c r="E13727" s="8">
        <v>0</v>
      </c>
      <c r="F13727" s="8">
        <v>0</v>
      </c>
      <c r="G13727" s="8">
        <v>18</v>
      </c>
      <c r="H13727" s="8" t="s">
        <v>53092</v>
      </c>
      <c r="I13727" s="8">
        <v>526.6875</v>
      </c>
      <c r="J13727" s="3">
        <f t="shared" si="214"/>
        <v>43749.501294155089</v>
      </c>
    </row>
    <row r="13728" spans="1:10" x14ac:dyDescent="0.25">
      <c r="A13728" s="5" t="s">
        <v>53093</v>
      </c>
      <c r="B13728" s="6">
        <v>393.75</v>
      </c>
      <c r="C13728" s="6">
        <v>20.478950000000001</v>
      </c>
      <c r="D13728" s="6">
        <v>61</v>
      </c>
      <c r="E13728" s="6">
        <v>0</v>
      </c>
      <c r="F13728" s="6">
        <v>0</v>
      </c>
      <c r="G13728" s="6">
        <v>9</v>
      </c>
      <c r="H13728" s="6" t="s">
        <v>53094</v>
      </c>
      <c r="I13728" s="6">
        <v>526.5</v>
      </c>
      <c r="J13728" s="2">
        <f t="shared" si="214"/>
        <v>43749.501365555552</v>
      </c>
    </row>
    <row r="13729" spans="1:10" x14ac:dyDescent="0.25">
      <c r="A13729" s="7" t="s">
        <v>53095</v>
      </c>
      <c r="B13729" s="8">
        <v>393.75</v>
      </c>
      <c r="C13729" s="8">
        <v>20.531590000000001</v>
      </c>
      <c r="D13729" s="8">
        <v>62</v>
      </c>
      <c r="E13729" s="8">
        <v>0</v>
      </c>
      <c r="F13729" s="8">
        <v>0</v>
      </c>
      <c r="G13729" s="8">
        <v>5</v>
      </c>
      <c r="H13729" s="8" t="s">
        <v>53096</v>
      </c>
      <c r="I13729" s="8">
        <v>526.6875</v>
      </c>
      <c r="J13729" s="3">
        <f t="shared" si="214"/>
        <v>43749.501449027775</v>
      </c>
    </row>
    <row r="13730" spans="1:10" x14ac:dyDescent="0.25">
      <c r="A13730" s="5" t="s">
        <v>53097</v>
      </c>
      <c r="B13730" s="6">
        <v>393.75</v>
      </c>
      <c r="C13730" s="6">
        <v>20.531590000000001</v>
      </c>
      <c r="D13730" s="6">
        <v>63</v>
      </c>
      <c r="E13730" s="6">
        <v>0</v>
      </c>
      <c r="F13730" s="6">
        <v>0</v>
      </c>
      <c r="G13730" s="6">
        <v>9</v>
      </c>
      <c r="H13730" s="6" t="s">
        <v>53098</v>
      </c>
      <c r="I13730" s="6">
        <v>526.6875</v>
      </c>
      <c r="J13730" s="2">
        <f t="shared" si="214"/>
        <v>43749.501532581016</v>
      </c>
    </row>
    <row r="13731" spans="1:10" x14ac:dyDescent="0.25">
      <c r="A13731" s="7" t="s">
        <v>53099</v>
      </c>
      <c r="B13731" s="8">
        <v>393.75</v>
      </c>
      <c r="C13731" s="8">
        <v>20.531590000000001</v>
      </c>
      <c r="D13731" s="8">
        <v>64</v>
      </c>
      <c r="E13731" s="8">
        <v>0</v>
      </c>
      <c r="F13731" s="8">
        <v>0</v>
      </c>
      <c r="G13731" s="8">
        <v>14</v>
      </c>
      <c r="H13731" s="8" t="s">
        <v>53100</v>
      </c>
      <c r="I13731" s="8">
        <v>526.6875</v>
      </c>
      <c r="J13731" s="3">
        <f t="shared" si="214"/>
        <v>43749.50161579861</v>
      </c>
    </row>
    <row r="13732" spans="1:10" x14ac:dyDescent="0.25">
      <c r="A13732" s="5" t="s">
        <v>53101</v>
      </c>
      <c r="B13732" s="6">
        <v>412.5</v>
      </c>
      <c r="C13732" s="6">
        <v>20.478950000000001</v>
      </c>
      <c r="D13732" s="6">
        <v>64</v>
      </c>
      <c r="E13732" s="6">
        <v>0</v>
      </c>
      <c r="F13732" s="6">
        <v>0</v>
      </c>
      <c r="G13732" s="6">
        <v>12</v>
      </c>
      <c r="H13732" s="6" t="s">
        <v>53102</v>
      </c>
      <c r="I13732" s="6">
        <v>532.3125</v>
      </c>
      <c r="J13732" s="2">
        <f t="shared" si="214"/>
        <v>43749.501687418982</v>
      </c>
    </row>
    <row r="13733" spans="1:10" x14ac:dyDescent="0.25">
      <c r="A13733" s="7" t="s">
        <v>53103</v>
      </c>
      <c r="B13733" s="8">
        <v>393.75</v>
      </c>
      <c r="C13733" s="8">
        <v>20.478950000000001</v>
      </c>
      <c r="D13733" s="8">
        <v>64</v>
      </c>
      <c r="E13733" s="8">
        <v>0</v>
      </c>
      <c r="F13733" s="8">
        <v>0</v>
      </c>
      <c r="G13733" s="8">
        <v>15</v>
      </c>
      <c r="H13733" s="8" t="s">
        <v>53104</v>
      </c>
      <c r="I13733" s="8">
        <v>526.6875</v>
      </c>
      <c r="J13733" s="3">
        <f t="shared" si="214"/>
        <v>43749.501785057866</v>
      </c>
    </row>
    <row r="13734" spans="1:10" x14ac:dyDescent="0.25">
      <c r="A13734" s="5" t="s">
        <v>53105</v>
      </c>
      <c r="B13734" s="6">
        <v>418.75</v>
      </c>
      <c r="C13734" s="6">
        <v>20.478950000000001</v>
      </c>
      <c r="D13734" s="6">
        <v>61</v>
      </c>
      <c r="E13734" s="6">
        <v>0</v>
      </c>
      <c r="F13734" s="6">
        <v>0</v>
      </c>
      <c r="G13734" s="6">
        <v>19</v>
      </c>
      <c r="H13734" s="6" t="s">
        <v>53106</v>
      </c>
      <c r="I13734" s="6">
        <v>534</v>
      </c>
      <c r="J13734" s="2">
        <f t="shared" si="214"/>
        <v>43749.501866458326</v>
      </c>
    </row>
    <row r="13735" spans="1:10" x14ac:dyDescent="0.25">
      <c r="A13735" s="7" t="s">
        <v>53107</v>
      </c>
      <c r="B13735" s="8">
        <v>393.75</v>
      </c>
      <c r="C13735" s="8">
        <v>20.531590000000001</v>
      </c>
      <c r="D13735" s="8">
        <v>62</v>
      </c>
      <c r="E13735" s="8">
        <v>0</v>
      </c>
      <c r="F13735" s="8">
        <v>0</v>
      </c>
      <c r="G13735" s="8">
        <v>9</v>
      </c>
      <c r="H13735" s="8" t="s">
        <v>53108</v>
      </c>
      <c r="I13735" s="8">
        <v>526.6875</v>
      </c>
      <c r="J13735" s="3">
        <f t="shared" si="214"/>
        <v>43749.501949907404</v>
      </c>
    </row>
    <row r="13736" spans="1:10" x14ac:dyDescent="0.25">
      <c r="A13736" s="5" t="s">
        <v>53109</v>
      </c>
      <c r="B13736" s="6">
        <v>393.75</v>
      </c>
      <c r="C13736" s="6">
        <v>20.531590000000001</v>
      </c>
      <c r="D13736" s="6">
        <v>62</v>
      </c>
      <c r="E13736" s="6">
        <v>0</v>
      </c>
      <c r="F13736" s="6">
        <v>0</v>
      </c>
      <c r="G13736" s="6">
        <v>15</v>
      </c>
      <c r="H13736" s="6" t="s">
        <v>53110</v>
      </c>
      <c r="I13736" s="6">
        <v>526.6875</v>
      </c>
      <c r="J13736" s="2">
        <f t="shared" si="214"/>
        <v>43749.502021435183</v>
      </c>
    </row>
    <row r="13737" spans="1:10" x14ac:dyDescent="0.25">
      <c r="A13737" s="7" t="s">
        <v>53111</v>
      </c>
      <c r="B13737" s="8">
        <v>412.5</v>
      </c>
      <c r="C13737" s="8">
        <v>20.478950000000001</v>
      </c>
      <c r="D13737" s="8">
        <v>62</v>
      </c>
      <c r="E13737" s="8">
        <v>0</v>
      </c>
      <c r="F13737" s="8">
        <v>0</v>
      </c>
      <c r="G13737" s="8">
        <v>20</v>
      </c>
      <c r="H13737" s="8" t="s">
        <v>53112</v>
      </c>
      <c r="I13737" s="8">
        <v>532.3125</v>
      </c>
      <c r="J13737" s="3">
        <f t="shared" si="214"/>
        <v>43749.502101030092</v>
      </c>
    </row>
    <row r="13738" spans="1:10" x14ac:dyDescent="0.25">
      <c r="A13738" s="5" t="s">
        <v>53113</v>
      </c>
      <c r="B13738" s="6">
        <v>393.75</v>
      </c>
      <c r="C13738" s="6">
        <v>20.531590000000001</v>
      </c>
      <c r="D13738" s="6">
        <v>62</v>
      </c>
      <c r="E13738" s="6">
        <v>0</v>
      </c>
      <c r="F13738" s="6">
        <v>0</v>
      </c>
      <c r="G13738" s="6">
        <v>6</v>
      </c>
      <c r="H13738" s="6" t="s">
        <v>53114</v>
      </c>
      <c r="I13738" s="6">
        <v>526.6875</v>
      </c>
      <c r="J13738" s="2">
        <f t="shared" si="214"/>
        <v>43749.502176516202</v>
      </c>
    </row>
    <row r="13739" spans="1:10" x14ac:dyDescent="0.25">
      <c r="A13739" s="7" t="s">
        <v>53115</v>
      </c>
      <c r="B13739" s="8">
        <v>393.75</v>
      </c>
      <c r="C13739" s="8">
        <v>20.531590000000001</v>
      </c>
      <c r="D13739" s="8">
        <v>62</v>
      </c>
      <c r="E13739" s="8">
        <v>0</v>
      </c>
      <c r="F13739" s="8">
        <v>0</v>
      </c>
      <c r="G13739" s="8">
        <v>8</v>
      </c>
      <c r="H13739" s="8" t="s">
        <v>53116</v>
      </c>
      <c r="I13739" s="8">
        <v>526.6875</v>
      </c>
      <c r="J13739" s="3">
        <f t="shared" si="214"/>
        <v>43749.502260081012</v>
      </c>
    </row>
    <row r="13740" spans="1:10" x14ac:dyDescent="0.25">
      <c r="A13740" s="5" t="s">
        <v>53117</v>
      </c>
      <c r="B13740" s="6">
        <v>393.75</v>
      </c>
      <c r="C13740" s="6">
        <v>20.531590000000001</v>
      </c>
      <c r="D13740" s="6">
        <v>58</v>
      </c>
      <c r="E13740" s="6">
        <v>0</v>
      </c>
      <c r="F13740" s="6">
        <v>0</v>
      </c>
      <c r="G13740" s="6">
        <v>14</v>
      </c>
      <c r="H13740" s="6" t="s">
        <v>53118</v>
      </c>
      <c r="I13740" s="6">
        <v>526.875</v>
      </c>
      <c r="J13740" s="2">
        <f t="shared" si="214"/>
        <v>43749.502343506938</v>
      </c>
    </row>
    <row r="13741" spans="1:10" x14ac:dyDescent="0.25">
      <c r="A13741" s="7" t="s">
        <v>53119</v>
      </c>
      <c r="B13741" s="8">
        <v>393.75</v>
      </c>
      <c r="C13741" s="8">
        <v>20.478950000000001</v>
      </c>
      <c r="D13741" s="8">
        <v>59</v>
      </c>
      <c r="E13741" s="8">
        <v>0</v>
      </c>
      <c r="F13741" s="8">
        <v>0</v>
      </c>
      <c r="G13741" s="8">
        <v>5</v>
      </c>
      <c r="H13741" s="8" t="s">
        <v>53120</v>
      </c>
      <c r="I13741" s="8">
        <v>526.6875</v>
      </c>
      <c r="J13741" s="3">
        <f t="shared" si="214"/>
        <v>43749.502415057868</v>
      </c>
    </row>
    <row r="13742" spans="1:10" x14ac:dyDescent="0.25">
      <c r="A13742" s="5" t="s">
        <v>53121</v>
      </c>
      <c r="B13742" s="6">
        <v>393.75</v>
      </c>
      <c r="C13742" s="6">
        <v>20.531590000000001</v>
      </c>
      <c r="D13742" s="6">
        <v>59</v>
      </c>
      <c r="E13742" s="6">
        <v>0</v>
      </c>
      <c r="F13742" s="6">
        <v>0</v>
      </c>
      <c r="G13742" s="6">
        <v>19</v>
      </c>
      <c r="H13742" s="6" t="s">
        <v>53122</v>
      </c>
      <c r="I13742" s="6">
        <v>526.6875</v>
      </c>
      <c r="J13742" s="2">
        <f t="shared" si="214"/>
        <v>43749.502486331017</v>
      </c>
    </row>
    <row r="13743" spans="1:10" x14ac:dyDescent="0.25">
      <c r="A13743" s="7" t="s">
        <v>53123</v>
      </c>
      <c r="B13743" s="8">
        <v>412.5</v>
      </c>
      <c r="C13743" s="8">
        <v>20.531590000000001</v>
      </c>
      <c r="D13743" s="8">
        <v>59</v>
      </c>
      <c r="E13743" s="8">
        <v>0</v>
      </c>
      <c r="F13743" s="8">
        <v>0</v>
      </c>
      <c r="G13743" s="8">
        <v>16</v>
      </c>
      <c r="H13743" s="8" t="s">
        <v>53124</v>
      </c>
      <c r="I13743" s="8">
        <v>532.3125</v>
      </c>
      <c r="J13743" s="3">
        <f t="shared" si="214"/>
        <v>43749.502558101849</v>
      </c>
    </row>
    <row r="13744" spans="1:10" x14ac:dyDescent="0.25">
      <c r="A13744" s="5" t="s">
        <v>53125</v>
      </c>
      <c r="B13744" s="6">
        <v>393.75</v>
      </c>
      <c r="C13744" s="6">
        <v>20.531590000000001</v>
      </c>
      <c r="D13744" s="6">
        <v>60</v>
      </c>
      <c r="E13744" s="6">
        <v>0</v>
      </c>
      <c r="F13744" s="6">
        <v>0</v>
      </c>
      <c r="G13744" s="6">
        <v>16</v>
      </c>
      <c r="H13744" s="6" t="s">
        <v>53126</v>
      </c>
      <c r="I13744" s="6">
        <v>526.6875</v>
      </c>
      <c r="J13744" s="2">
        <f t="shared" si="214"/>
        <v>43749.502629942122</v>
      </c>
    </row>
    <row r="13745" spans="1:10" x14ac:dyDescent="0.25">
      <c r="A13745" s="7" t="s">
        <v>53127</v>
      </c>
      <c r="B13745" s="8">
        <v>393.75</v>
      </c>
      <c r="C13745" s="8">
        <v>20.531590000000001</v>
      </c>
      <c r="D13745" s="8">
        <v>61</v>
      </c>
      <c r="E13745" s="8">
        <v>0</v>
      </c>
      <c r="F13745" s="8">
        <v>0</v>
      </c>
      <c r="G13745" s="8">
        <v>12</v>
      </c>
      <c r="H13745" s="8" t="s">
        <v>53128</v>
      </c>
      <c r="I13745" s="8">
        <v>526.6875</v>
      </c>
      <c r="J13745" s="3">
        <f t="shared" si="214"/>
        <v>43749.502713182868</v>
      </c>
    </row>
    <row r="13746" spans="1:10" x14ac:dyDescent="0.25">
      <c r="A13746" s="5" t="s">
        <v>53129</v>
      </c>
      <c r="B13746" s="6">
        <v>393.75</v>
      </c>
      <c r="C13746" s="6">
        <v>20.478950000000001</v>
      </c>
      <c r="D13746" s="6">
        <v>61</v>
      </c>
      <c r="E13746" s="6">
        <v>0</v>
      </c>
      <c r="F13746" s="6">
        <v>0</v>
      </c>
      <c r="G13746" s="6">
        <v>14</v>
      </c>
      <c r="H13746" s="6" t="s">
        <v>53130</v>
      </c>
      <c r="I13746" s="6">
        <v>526.6875</v>
      </c>
      <c r="J13746" s="2">
        <f t="shared" si="214"/>
        <v>43749.502796643515</v>
      </c>
    </row>
    <row r="13747" spans="1:10" x14ac:dyDescent="0.25">
      <c r="A13747" s="7" t="s">
        <v>53131</v>
      </c>
      <c r="B13747" s="8">
        <v>393.75</v>
      </c>
      <c r="C13747" s="8">
        <v>20.478950000000001</v>
      </c>
      <c r="D13747" s="8">
        <v>61</v>
      </c>
      <c r="E13747" s="8">
        <v>0</v>
      </c>
      <c r="F13747" s="8">
        <v>0</v>
      </c>
      <c r="G13747" s="8">
        <v>15</v>
      </c>
      <c r="H13747" s="8" t="s">
        <v>53132</v>
      </c>
      <c r="I13747" s="8">
        <v>526.6875</v>
      </c>
      <c r="J13747" s="3">
        <f t="shared" si="214"/>
        <v>43749.502879965272</v>
      </c>
    </row>
    <row r="13748" spans="1:10" x14ac:dyDescent="0.25">
      <c r="A13748" s="5" t="s">
        <v>53133</v>
      </c>
      <c r="B13748" s="6">
        <v>393.75</v>
      </c>
      <c r="C13748" s="6">
        <v>20.478950000000001</v>
      </c>
      <c r="D13748" s="6">
        <v>62</v>
      </c>
      <c r="E13748" s="6">
        <v>0</v>
      </c>
      <c r="F13748" s="6">
        <v>0</v>
      </c>
      <c r="G13748" s="6">
        <v>15</v>
      </c>
      <c r="H13748" s="6" t="s">
        <v>53134</v>
      </c>
      <c r="I13748" s="6">
        <v>526.6875</v>
      </c>
      <c r="J13748" s="2">
        <f t="shared" si="214"/>
        <v>43749.502963773142</v>
      </c>
    </row>
    <row r="13749" spans="1:10" x14ac:dyDescent="0.25">
      <c r="A13749" s="7" t="s">
        <v>53135</v>
      </c>
      <c r="B13749" s="8">
        <v>393.75</v>
      </c>
      <c r="C13749" s="8">
        <v>20.531590000000001</v>
      </c>
      <c r="D13749" s="8">
        <v>61</v>
      </c>
      <c r="E13749" s="8">
        <v>0</v>
      </c>
      <c r="F13749" s="8">
        <v>0</v>
      </c>
      <c r="G13749" s="8">
        <v>8</v>
      </c>
      <c r="H13749" s="8" t="s">
        <v>53136</v>
      </c>
      <c r="I13749" s="8">
        <v>526.6875</v>
      </c>
      <c r="J13749" s="3">
        <f t="shared" si="214"/>
        <v>43749.503035300928</v>
      </c>
    </row>
    <row r="13750" spans="1:10" x14ac:dyDescent="0.25">
      <c r="A13750" s="5" t="s">
        <v>53137</v>
      </c>
      <c r="B13750" s="6">
        <v>393.75</v>
      </c>
      <c r="C13750" s="6">
        <v>20.531590000000001</v>
      </c>
      <c r="D13750" s="6">
        <v>61</v>
      </c>
      <c r="E13750" s="6">
        <v>0</v>
      </c>
      <c r="F13750" s="6">
        <v>0</v>
      </c>
      <c r="G13750" s="6">
        <v>11</v>
      </c>
      <c r="H13750" s="6" t="s">
        <v>53138</v>
      </c>
      <c r="I13750" s="6">
        <v>526.6875</v>
      </c>
      <c r="J13750" s="2">
        <f t="shared" si="214"/>
        <v>43749.503118738423</v>
      </c>
    </row>
    <row r="13751" spans="1:10" x14ac:dyDescent="0.25">
      <c r="A13751" s="7" t="s">
        <v>53139</v>
      </c>
      <c r="B13751" s="8">
        <v>393.75</v>
      </c>
      <c r="C13751" s="8">
        <v>20.531590000000001</v>
      </c>
      <c r="D13751" s="8">
        <v>61</v>
      </c>
      <c r="E13751" s="8">
        <v>0</v>
      </c>
      <c r="F13751" s="8">
        <v>0</v>
      </c>
      <c r="G13751" s="8">
        <v>13</v>
      </c>
      <c r="H13751" s="8" t="s">
        <v>53140</v>
      </c>
      <c r="I13751" s="8">
        <v>526.6875</v>
      </c>
      <c r="J13751" s="3">
        <f t="shared" si="214"/>
        <v>43749.503202268512</v>
      </c>
    </row>
    <row r="13752" spans="1:10" x14ac:dyDescent="0.25">
      <c r="A13752" s="5" t="s">
        <v>53141</v>
      </c>
      <c r="B13752" s="6">
        <v>393.75</v>
      </c>
      <c r="C13752" s="6">
        <v>20.584240000000001</v>
      </c>
      <c r="D13752" s="6">
        <v>61</v>
      </c>
      <c r="E13752" s="6">
        <v>0</v>
      </c>
      <c r="F13752" s="6">
        <v>0</v>
      </c>
      <c r="G13752" s="6">
        <v>9</v>
      </c>
      <c r="H13752" s="6" t="s">
        <v>53142</v>
      </c>
      <c r="I13752" s="6">
        <v>526.6875</v>
      </c>
      <c r="J13752" s="2">
        <f t="shared" si="214"/>
        <v>43749.503285775463</v>
      </c>
    </row>
    <row r="13753" spans="1:10" x14ac:dyDescent="0.25">
      <c r="A13753" s="7" t="s">
        <v>53143</v>
      </c>
      <c r="B13753" s="8">
        <v>393.75</v>
      </c>
      <c r="C13753" s="8">
        <v>20.531590000000001</v>
      </c>
      <c r="D13753" s="8">
        <v>61</v>
      </c>
      <c r="E13753" s="8">
        <v>0</v>
      </c>
      <c r="F13753" s="8">
        <v>0</v>
      </c>
      <c r="G13753" s="8">
        <v>9</v>
      </c>
      <c r="H13753" s="8" t="s">
        <v>53144</v>
      </c>
      <c r="I13753" s="8">
        <v>526.6875</v>
      </c>
      <c r="J13753" s="3">
        <f t="shared" si="214"/>
        <v>43749.503369085643</v>
      </c>
    </row>
    <row r="13754" spans="1:10" x14ac:dyDescent="0.25">
      <c r="A13754" s="5" t="s">
        <v>53145</v>
      </c>
      <c r="B13754" s="6">
        <v>393.75</v>
      </c>
      <c r="C13754" s="6">
        <v>20.478950000000001</v>
      </c>
      <c r="D13754" s="6">
        <v>62</v>
      </c>
      <c r="E13754" s="6">
        <v>0</v>
      </c>
      <c r="F13754" s="6">
        <v>0</v>
      </c>
      <c r="G13754" s="6">
        <v>0</v>
      </c>
      <c r="H13754" s="6" t="s">
        <v>53146</v>
      </c>
      <c r="I13754" s="6">
        <v>526.6875</v>
      </c>
      <c r="J13754" s="2">
        <f t="shared" si="214"/>
        <v>43749.503452662037</v>
      </c>
    </row>
    <row r="13755" spans="1:10" x14ac:dyDescent="0.25">
      <c r="A13755" s="7" t="s">
        <v>53147</v>
      </c>
      <c r="B13755" s="8">
        <v>393.75</v>
      </c>
      <c r="C13755" s="8">
        <v>20.478950000000001</v>
      </c>
      <c r="D13755" s="8">
        <v>62</v>
      </c>
      <c r="E13755" s="8">
        <v>0</v>
      </c>
      <c r="F13755" s="8">
        <v>0</v>
      </c>
      <c r="G13755" s="8">
        <v>5</v>
      </c>
      <c r="H13755" s="8" t="s">
        <v>53148</v>
      </c>
      <c r="I13755" s="8">
        <v>526.6875</v>
      </c>
      <c r="J13755" s="3">
        <f t="shared" si="214"/>
        <v>43749.503536215278</v>
      </c>
    </row>
    <row r="13756" spans="1:10" x14ac:dyDescent="0.25">
      <c r="A13756" s="5" t="s">
        <v>53149</v>
      </c>
      <c r="B13756" s="6">
        <v>393.75</v>
      </c>
      <c r="C13756" s="6">
        <v>20.584240000000001</v>
      </c>
      <c r="D13756" s="6">
        <v>57</v>
      </c>
      <c r="E13756" s="6">
        <v>0</v>
      </c>
      <c r="F13756" s="6">
        <v>0</v>
      </c>
      <c r="G13756" s="6">
        <v>3</v>
      </c>
      <c r="H13756" s="6" t="s">
        <v>53150</v>
      </c>
      <c r="I13756" s="6">
        <v>526.6875</v>
      </c>
      <c r="J13756" s="2">
        <f t="shared" si="214"/>
        <v>43749.503619432864</v>
      </c>
    </row>
    <row r="13757" spans="1:10" x14ac:dyDescent="0.25">
      <c r="A13757" s="7" t="s">
        <v>53151</v>
      </c>
      <c r="B13757" s="8">
        <v>393.75</v>
      </c>
      <c r="C13757" s="8">
        <v>20.478950000000001</v>
      </c>
      <c r="D13757" s="8">
        <v>58</v>
      </c>
      <c r="E13757" s="8">
        <v>0</v>
      </c>
      <c r="F13757" s="8">
        <v>0</v>
      </c>
      <c r="G13757" s="8">
        <v>8</v>
      </c>
      <c r="H13757" s="8" t="s">
        <v>53152</v>
      </c>
      <c r="I13757" s="8">
        <v>526.6875</v>
      </c>
      <c r="J13757" s="3">
        <f t="shared" si="214"/>
        <v>43749.503703124996</v>
      </c>
    </row>
    <row r="13758" spans="1:10" x14ac:dyDescent="0.25">
      <c r="A13758" s="5" t="s">
        <v>53153</v>
      </c>
      <c r="B13758" s="6">
        <v>393.75</v>
      </c>
      <c r="C13758" s="6">
        <v>20.531590000000001</v>
      </c>
      <c r="D13758" s="6">
        <v>61</v>
      </c>
      <c r="E13758" s="6">
        <v>0</v>
      </c>
      <c r="F13758" s="6">
        <v>0</v>
      </c>
      <c r="G13758" s="6">
        <v>5</v>
      </c>
      <c r="H13758" s="6" t="s">
        <v>53154</v>
      </c>
      <c r="I13758" s="6">
        <v>526.6875</v>
      </c>
      <c r="J13758" s="2">
        <f t="shared" si="214"/>
        <v>43749.503786909721</v>
      </c>
    </row>
    <row r="13759" spans="1:10" x14ac:dyDescent="0.25">
      <c r="A13759" s="7" t="s">
        <v>53155</v>
      </c>
      <c r="B13759" s="8">
        <v>393.75</v>
      </c>
      <c r="C13759" s="8">
        <v>20.531590000000001</v>
      </c>
      <c r="D13759" s="8">
        <v>61</v>
      </c>
      <c r="E13759" s="8">
        <v>0</v>
      </c>
      <c r="F13759" s="8">
        <v>0</v>
      </c>
      <c r="G13759" s="8">
        <v>8</v>
      </c>
      <c r="H13759" s="8" t="s">
        <v>53156</v>
      </c>
      <c r="I13759" s="8">
        <v>526.6875</v>
      </c>
      <c r="J13759" s="3">
        <f t="shared" si="214"/>
        <v>43749.503858229167</v>
      </c>
    </row>
    <row r="13760" spans="1:10" x14ac:dyDescent="0.25">
      <c r="A13760" s="5" t="s">
        <v>53157</v>
      </c>
      <c r="B13760" s="6">
        <v>393.75</v>
      </c>
      <c r="C13760" s="6">
        <v>20.531590000000001</v>
      </c>
      <c r="D13760" s="6">
        <v>61</v>
      </c>
      <c r="E13760" s="6">
        <v>0</v>
      </c>
      <c r="F13760" s="6">
        <v>0</v>
      </c>
      <c r="G13760" s="6">
        <v>3</v>
      </c>
      <c r="H13760" s="6" t="s">
        <v>53158</v>
      </c>
      <c r="I13760" s="6">
        <v>526.6875</v>
      </c>
      <c r="J13760" s="2">
        <f t="shared" si="214"/>
        <v>43749.503929733793</v>
      </c>
    </row>
    <row r="13761" spans="1:10" x14ac:dyDescent="0.25">
      <c r="A13761" s="7" t="s">
        <v>53159</v>
      </c>
      <c r="B13761" s="8">
        <v>393.75</v>
      </c>
      <c r="C13761" s="8">
        <v>20.478950000000001</v>
      </c>
      <c r="D13761" s="8">
        <v>61</v>
      </c>
      <c r="E13761" s="8">
        <v>0</v>
      </c>
      <c r="F13761" s="8">
        <v>0</v>
      </c>
      <c r="G13761" s="8">
        <v>11</v>
      </c>
      <c r="H13761" s="8" t="s">
        <v>53160</v>
      </c>
      <c r="I13761" s="8">
        <v>526.5</v>
      </c>
      <c r="J13761" s="3">
        <f t="shared" si="214"/>
        <v>43749.504013298611</v>
      </c>
    </row>
    <row r="13762" spans="1:10" x14ac:dyDescent="0.25">
      <c r="A13762" s="5" t="s">
        <v>53161</v>
      </c>
      <c r="B13762" s="6">
        <v>393.75</v>
      </c>
      <c r="C13762" s="6">
        <v>20.531590000000001</v>
      </c>
      <c r="D13762" s="6">
        <v>61</v>
      </c>
      <c r="E13762" s="6">
        <v>0</v>
      </c>
      <c r="F13762" s="6">
        <v>0</v>
      </c>
      <c r="G13762" s="6">
        <v>10</v>
      </c>
      <c r="H13762" s="6" t="s">
        <v>53162</v>
      </c>
      <c r="I13762" s="6">
        <v>526.6875</v>
      </c>
      <c r="J13762" s="2">
        <f t="shared" ref="J13762:J13825" si="215">(H13762/86400000)+25569+(7/24)</f>
        <v>43749.504096759258</v>
      </c>
    </row>
    <row r="13763" spans="1:10" x14ac:dyDescent="0.25">
      <c r="A13763" s="7" t="s">
        <v>53163</v>
      </c>
      <c r="B13763" s="8">
        <v>393.75</v>
      </c>
      <c r="C13763" s="8">
        <v>20.531590000000001</v>
      </c>
      <c r="D13763" s="8">
        <v>62</v>
      </c>
      <c r="E13763" s="8">
        <v>0</v>
      </c>
      <c r="F13763" s="8">
        <v>0</v>
      </c>
      <c r="G13763" s="8">
        <v>0</v>
      </c>
      <c r="H13763" s="8" t="s">
        <v>53164</v>
      </c>
      <c r="I13763" s="8">
        <v>526.6875</v>
      </c>
      <c r="J13763" s="3">
        <f t="shared" si="215"/>
        <v>43749.504180208336</v>
      </c>
    </row>
    <row r="13764" spans="1:10" x14ac:dyDescent="0.25">
      <c r="A13764" s="5" t="s">
        <v>53165</v>
      </c>
      <c r="B13764" s="6">
        <v>393.75</v>
      </c>
      <c r="C13764" s="6">
        <v>20.584240000000001</v>
      </c>
      <c r="D13764" s="6">
        <v>59</v>
      </c>
      <c r="E13764" s="6">
        <v>0</v>
      </c>
      <c r="F13764" s="6">
        <v>0</v>
      </c>
      <c r="G13764" s="6">
        <v>11</v>
      </c>
      <c r="H13764" s="6" t="s">
        <v>53166</v>
      </c>
      <c r="I13764" s="6">
        <v>526.6875</v>
      </c>
      <c r="J13764" s="2">
        <f t="shared" si="215"/>
        <v>43749.504263969902</v>
      </c>
    </row>
    <row r="13765" spans="1:10" x14ac:dyDescent="0.25">
      <c r="A13765" s="7" t="s">
        <v>53167</v>
      </c>
      <c r="B13765" s="8">
        <v>393.75</v>
      </c>
      <c r="C13765" s="8">
        <v>20.531590000000001</v>
      </c>
      <c r="D13765" s="8">
        <v>57</v>
      </c>
      <c r="E13765" s="8">
        <v>0</v>
      </c>
      <c r="F13765" s="8">
        <v>0</v>
      </c>
      <c r="G13765" s="8">
        <v>8</v>
      </c>
      <c r="H13765" s="8" t="s">
        <v>53168</v>
      </c>
      <c r="I13765" s="8">
        <v>526.6875</v>
      </c>
      <c r="J13765" s="3">
        <f t="shared" si="215"/>
        <v>43749.504347222224</v>
      </c>
    </row>
    <row r="13766" spans="1:10" x14ac:dyDescent="0.25">
      <c r="A13766" s="5" t="s">
        <v>53169</v>
      </c>
      <c r="B13766" s="6">
        <v>425</v>
      </c>
      <c r="C13766" s="6">
        <v>20.531590000000001</v>
      </c>
      <c r="D13766" s="6">
        <v>57</v>
      </c>
      <c r="E13766" s="6">
        <v>0</v>
      </c>
      <c r="F13766" s="6">
        <v>0</v>
      </c>
      <c r="G13766" s="6">
        <v>5</v>
      </c>
      <c r="H13766" s="6" t="s">
        <v>53170</v>
      </c>
      <c r="I13766" s="6">
        <v>536.0625</v>
      </c>
      <c r="J13766" s="2">
        <f t="shared" si="215"/>
        <v>43749.504418749995</v>
      </c>
    </row>
    <row r="13767" spans="1:10" x14ac:dyDescent="0.25">
      <c r="A13767" s="7" t="s">
        <v>53171</v>
      </c>
      <c r="B13767" s="8">
        <v>393.75</v>
      </c>
      <c r="C13767" s="8">
        <v>20.478950000000001</v>
      </c>
      <c r="D13767" s="8">
        <v>58</v>
      </c>
      <c r="E13767" s="8">
        <v>0</v>
      </c>
      <c r="F13767" s="8">
        <v>0</v>
      </c>
      <c r="G13767" s="8">
        <v>0</v>
      </c>
      <c r="H13767" s="8" t="s">
        <v>53172</v>
      </c>
      <c r="I13767" s="8">
        <v>526.6875</v>
      </c>
      <c r="J13767" s="3">
        <f t="shared" si="215"/>
        <v>43749.504514236112</v>
      </c>
    </row>
    <row r="13768" spans="1:10" x14ac:dyDescent="0.25">
      <c r="A13768" s="5" t="s">
        <v>53173</v>
      </c>
      <c r="B13768" s="6">
        <v>393.75</v>
      </c>
      <c r="C13768" s="6">
        <v>20.531590000000001</v>
      </c>
      <c r="D13768" s="6">
        <v>58</v>
      </c>
      <c r="E13768" s="6">
        <v>0</v>
      </c>
      <c r="F13768" s="6">
        <v>0</v>
      </c>
      <c r="G13768" s="6">
        <v>10</v>
      </c>
      <c r="H13768" s="6" t="s">
        <v>53174</v>
      </c>
      <c r="I13768" s="6">
        <v>526.6875</v>
      </c>
      <c r="J13768" s="2">
        <f t="shared" si="215"/>
        <v>43749.504585682873</v>
      </c>
    </row>
    <row r="13769" spans="1:10" x14ac:dyDescent="0.25">
      <c r="A13769" s="7" t="s">
        <v>53175</v>
      </c>
      <c r="B13769" s="8">
        <v>393.75</v>
      </c>
      <c r="C13769" s="8">
        <v>20.531590000000001</v>
      </c>
      <c r="D13769" s="8">
        <v>59</v>
      </c>
      <c r="E13769" s="8">
        <v>0</v>
      </c>
      <c r="F13769" s="8">
        <v>0</v>
      </c>
      <c r="G13769" s="8">
        <v>0</v>
      </c>
      <c r="H13769" s="8" t="s">
        <v>53176</v>
      </c>
      <c r="I13769" s="8">
        <v>526.6875</v>
      </c>
      <c r="J13769" s="3">
        <f t="shared" si="215"/>
        <v>43749.504669236114</v>
      </c>
    </row>
    <row r="13770" spans="1:10" x14ac:dyDescent="0.25">
      <c r="A13770" s="5" t="s">
        <v>53177</v>
      </c>
      <c r="B13770" s="6">
        <v>393.75</v>
      </c>
      <c r="C13770" s="6">
        <v>20.531590000000001</v>
      </c>
      <c r="D13770" s="6">
        <v>60</v>
      </c>
      <c r="E13770" s="6">
        <v>0</v>
      </c>
      <c r="F13770" s="6">
        <v>0</v>
      </c>
      <c r="G13770" s="6">
        <v>0</v>
      </c>
      <c r="H13770" s="6" t="s">
        <v>53178</v>
      </c>
      <c r="I13770" s="6">
        <v>526.6875</v>
      </c>
      <c r="J13770" s="2">
        <f t="shared" si="215"/>
        <v>43749.504752349538</v>
      </c>
    </row>
    <row r="13771" spans="1:10" x14ac:dyDescent="0.25">
      <c r="A13771" s="7" t="s">
        <v>53179</v>
      </c>
      <c r="B13771" s="8">
        <v>393.75</v>
      </c>
      <c r="C13771" s="8">
        <v>20.584240000000001</v>
      </c>
      <c r="D13771" s="8">
        <v>60</v>
      </c>
      <c r="E13771" s="8">
        <v>0</v>
      </c>
      <c r="F13771" s="8">
        <v>0</v>
      </c>
      <c r="G13771" s="8">
        <v>5</v>
      </c>
      <c r="H13771" s="8" t="s">
        <v>53180</v>
      </c>
      <c r="I13771" s="8">
        <v>526.6875</v>
      </c>
      <c r="J13771" s="3">
        <f t="shared" si="215"/>
        <v>43749.504848182863</v>
      </c>
    </row>
    <row r="13772" spans="1:10" x14ac:dyDescent="0.25">
      <c r="A13772" s="5" t="s">
        <v>53181</v>
      </c>
      <c r="B13772" s="6">
        <v>393.75</v>
      </c>
      <c r="C13772" s="6">
        <v>20.584240000000001</v>
      </c>
      <c r="D13772" s="6">
        <v>57</v>
      </c>
      <c r="E13772" s="6">
        <v>0</v>
      </c>
      <c r="F13772" s="6">
        <v>0</v>
      </c>
      <c r="G13772" s="6">
        <v>5</v>
      </c>
      <c r="H13772" s="6" t="s">
        <v>53182</v>
      </c>
      <c r="I13772" s="6">
        <v>526.6875</v>
      </c>
      <c r="J13772" s="2">
        <f t="shared" si="215"/>
        <v>43749.504931724536</v>
      </c>
    </row>
    <row r="13773" spans="1:10" x14ac:dyDescent="0.25">
      <c r="A13773" s="7" t="s">
        <v>53183</v>
      </c>
      <c r="B13773" s="8">
        <v>393.75</v>
      </c>
      <c r="C13773" s="8">
        <v>20.531590000000001</v>
      </c>
      <c r="D13773" s="8">
        <v>57</v>
      </c>
      <c r="E13773" s="8">
        <v>0</v>
      </c>
      <c r="F13773" s="8">
        <v>0</v>
      </c>
      <c r="G13773" s="8">
        <v>0</v>
      </c>
      <c r="H13773" s="8" t="s">
        <v>53184</v>
      </c>
      <c r="I13773" s="8">
        <v>526.6875</v>
      </c>
      <c r="J13773" s="3">
        <f t="shared" si="215"/>
        <v>43749.505015057868</v>
      </c>
    </row>
    <row r="13774" spans="1:10" x14ac:dyDescent="0.25">
      <c r="A13774" s="5" t="s">
        <v>53185</v>
      </c>
      <c r="B13774" s="6">
        <v>393.75</v>
      </c>
      <c r="C13774" s="6">
        <v>20.531590000000001</v>
      </c>
      <c r="D13774" s="6">
        <v>57</v>
      </c>
      <c r="E13774" s="6">
        <v>0</v>
      </c>
      <c r="F13774" s="6">
        <v>0</v>
      </c>
      <c r="G13774" s="6">
        <v>5</v>
      </c>
      <c r="H13774" s="6" t="s">
        <v>53186</v>
      </c>
      <c r="I13774" s="6">
        <v>526.6875</v>
      </c>
      <c r="J13774" s="2">
        <f t="shared" si="215"/>
        <v>43749.505086817131</v>
      </c>
    </row>
    <row r="13775" spans="1:10" x14ac:dyDescent="0.25">
      <c r="A13775" s="7" t="s">
        <v>53187</v>
      </c>
      <c r="B13775" s="8">
        <v>393.75</v>
      </c>
      <c r="C13775" s="8">
        <v>20.478950000000001</v>
      </c>
      <c r="D13775" s="8">
        <v>57</v>
      </c>
      <c r="E13775" s="8">
        <v>0</v>
      </c>
      <c r="F13775" s="8">
        <v>0</v>
      </c>
      <c r="G13775" s="8">
        <v>3</v>
      </c>
      <c r="H13775" s="8" t="s">
        <v>53188</v>
      </c>
      <c r="I13775" s="8">
        <v>526.6875</v>
      </c>
      <c r="J13775" s="3">
        <f t="shared" si="215"/>
        <v>43749.505158229163</v>
      </c>
    </row>
    <row r="13776" spans="1:10" x14ac:dyDescent="0.25">
      <c r="A13776" s="5" t="s">
        <v>53189</v>
      </c>
      <c r="B13776" s="6">
        <v>393.75</v>
      </c>
      <c r="C13776" s="6">
        <v>20.478950000000001</v>
      </c>
      <c r="D13776" s="6">
        <v>59</v>
      </c>
      <c r="E13776" s="6">
        <v>0</v>
      </c>
      <c r="F13776" s="6">
        <v>0</v>
      </c>
      <c r="G13776" s="6">
        <v>0</v>
      </c>
      <c r="H13776" s="6" t="s">
        <v>53190</v>
      </c>
      <c r="I13776" s="6">
        <v>526.6875</v>
      </c>
      <c r="J13776" s="2">
        <f t="shared" si="215"/>
        <v>43749.505241562496</v>
      </c>
    </row>
    <row r="13777" spans="1:10" x14ac:dyDescent="0.25">
      <c r="A13777" s="7" t="s">
        <v>53191</v>
      </c>
      <c r="B13777" s="8">
        <v>393.75</v>
      </c>
      <c r="C13777" s="8">
        <v>20.584240000000001</v>
      </c>
      <c r="D13777" s="8">
        <v>59</v>
      </c>
      <c r="E13777" s="8">
        <v>0</v>
      </c>
      <c r="F13777" s="8">
        <v>0</v>
      </c>
      <c r="G13777" s="8">
        <v>0</v>
      </c>
      <c r="H13777" s="8" t="s">
        <v>53192</v>
      </c>
      <c r="I13777" s="8">
        <v>526.6875</v>
      </c>
      <c r="J13777" s="3">
        <f t="shared" si="215"/>
        <v>43749.505313344904</v>
      </c>
    </row>
    <row r="13778" spans="1:10" x14ac:dyDescent="0.25">
      <c r="A13778" s="5" t="s">
        <v>53193</v>
      </c>
      <c r="B13778" s="6">
        <v>393.75</v>
      </c>
      <c r="C13778" s="6">
        <v>20.531590000000001</v>
      </c>
      <c r="D13778" s="6">
        <v>59</v>
      </c>
      <c r="E13778" s="6">
        <v>0</v>
      </c>
      <c r="F13778" s="6">
        <v>0</v>
      </c>
      <c r="G13778" s="6">
        <v>0</v>
      </c>
      <c r="H13778" s="6" t="s">
        <v>53194</v>
      </c>
      <c r="I13778" s="6">
        <v>526.6875</v>
      </c>
      <c r="J13778" s="2">
        <f t="shared" si="215"/>
        <v>43749.505396782406</v>
      </c>
    </row>
    <row r="13779" spans="1:10" x14ac:dyDescent="0.25">
      <c r="A13779" s="7" t="s">
        <v>53195</v>
      </c>
      <c r="B13779" s="8">
        <v>412.5</v>
      </c>
      <c r="C13779" s="8">
        <v>20.478950000000001</v>
      </c>
      <c r="D13779" s="8">
        <v>59</v>
      </c>
      <c r="E13779" s="8">
        <v>0</v>
      </c>
      <c r="F13779" s="8">
        <v>0</v>
      </c>
      <c r="G13779" s="8">
        <v>3</v>
      </c>
      <c r="H13779" s="8" t="s">
        <v>53196</v>
      </c>
      <c r="I13779" s="8">
        <v>532.3125</v>
      </c>
      <c r="J13779" s="3">
        <f t="shared" si="215"/>
        <v>43749.505468437499</v>
      </c>
    </row>
    <row r="13780" spans="1:10" x14ac:dyDescent="0.25">
      <c r="A13780" s="5" t="s">
        <v>53197</v>
      </c>
      <c r="B13780" s="6">
        <v>393.75</v>
      </c>
      <c r="C13780" s="6">
        <v>20.531590000000001</v>
      </c>
      <c r="D13780" s="6">
        <v>59</v>
      </c>
      <c r="E13780" s="6">
        <v>0</v>
      </c>
      <c r="F13780" s="6">
        <v>0</v>
      </c>
      <c r="G13780" s="6">
        <v>0</v>
      </c>
      <c r="H13780" s="6" t="s">
        <v>53198</v>
      </c>
      <c r="I13780" s="6">
        <v>526.6875</v>
      </c>
      <c r="J13780" s="2">
        <f t="shared" si="215"/>
        <v>43749.505539942133</v>
      </c>
    </row>
    <row r="13781" spans="1:10" x14ac:dyDescent="0.25">
      <c r="A13781" s="7" t="s">
        <v>53199</v>
      </c>
      <c r="B13781" s="8">
        <v>393.75</v>
      </c>
      <c r="C13781" s="8">
        <v>20.478950000000001</v>
      </c>
      <c r="D13781" s="8">
        <v>59</v>
      </c>
      <c r="E13781" s="8">
        <v>0</v>
      </c>
      <c r="F13781" s="8">
        <v>0</v>
      </c>
      <c r="G13781" s="8">
        <v>0</v>
      </c>
      <c r="H13781" s="8" t="s">
        <v>53200</v>
      </c>
      <c r="I13781" s="8">
        <v>526.6875</v>
      </c>
      <c r="J13781" s="3">
        <f t="shared" si="215"/>
        <v>43749.505635416666</v>
      </c>
    </row>
    <row r="13782" spans="1:10" x14ac:dyDescent="0.25">
      <c r="A13782" s="5" t="s">
        <v>53201</v>
      </c>
      <c r="B13782" s="6">
        <v>393.75</v>
      </c>
      <c r="C13782" s="6">
        <v>20.478950000000001</v>
      </c>
      <c r="D13782" s="6">
        <v>61</v>
      </c>
      <c r="E13782" s="6">
        <v>0</v>
      </c>
      <c r="F13782" s="6">
        <v>0</v>
      </c>
      <c r="G13782" s="6">
        <v>1</v>
      </c>
      <c r="H13782" s="6" t="s">
        <v>53202</v>
      </c>
      <c r="I13782" s="6">
        <v>526.875</v>
      </c>
      <c r="J13782" s="2">
        <f t="shared" si="215"/>
        <v>43749.505719062501</v>
      </c>
    </row>
    <row r="13783" spans="1:10" x14ac:dyDescent="0.25">
      <c r="A13783" s="7" t="s">
        <v>53203</v>
      </c>
      <c r="B13783" s="8">
        <v>393.75</v>
      </c>
      <c r="C13783" s="8">
        <v>20.478950000000001</v>
      </c>
      <c r="D13783" s="8">
        <v>61</v>
      </c>
      <c r="E13783" s="8">
        <v>0</v>
      </c>
      <c r="F13783" s="8">
        <v>0</v>
      </c>
      <c r="G13783" s="8">
        <v>0</v>
      </c>
      <c r="H13783" s="8" t="s">
        <v>53204</v>
      </c>
      <c r="I13783" s="8">
        <v>526.6875</v>
      </c>
      <c r="J13783" s="3">
        <f t="shared" si="215"/>
        <v>43749.505802326392</v>
      </c>
    </row>
    <row r="13784" spans="1:10" x14ac:dyDescent="0.25">
      <c r="A13784" s="5" t="s">
        <v>53205</v>
      </c>
      <c r="B13784" s="6">
        <v>412.5</v>
      </c>
      <c r="C13784" s="6">
        <v>20.531590000000001</v>
      </c>
      <c r="D13784" s="6">
        <v>60</v>
      </c>
      <c r="E13784" s="6">
        <v>0</v>
      </c>
      <c r="F13784" s="6">
        <v>0</v>
      </c>
      <c r="G13784" s="6">
        <v>0</v>
      </c>
      <c r="H13784" s="6" t="s">
        <v>53206</v>
      </c>
      <c r="I13784" s="6">
        <v>532.3125</v>
      </c>
      <c r="J13784" s="2">
        <f t="shared" si="215"/>
        <v>43749.505885798608</v>
      </c>
    </row>
    <row r="13785" spans="1:10" x14ac:dyDescent="0.25">
      <c r="A13785" s="7" t="s">
        <v>53207</v>
      </c>
      <c r="B13785" s="8">
        <v>393.75</v>
      </c>
      <c r="C13785" s="8">
        <v>20.584240000000001</v>
      </c>
      <c r="D13785" s="8">
        <v>61</v>
      </c>
      <c r="E13785" s="8">
        <v>0</v>
      </c>
      <c r="F13785" s="8">
        <v>0</v>
      </c>
      <c r="G13785" s="8">
        <v>2</v>
      </c>
      <c r="H13785" s="8" t="s">
        <v>53208</v>
      </c>
      <c r="I13785" s="8">
        <v>526.6875</v>
      </c>
      <c r="J13785" s="3">
        <f t="shared" si="215"/>
        <v>43749.505957546295</v>
      </c>
    </row>
    <row r="13786" spans="1:10" x14ac:dyDescent="0.25">
      <c r="A13786" s="5" t="s">
        <v>53209</v>
      </c>
      <c r="B13786" s="6">
        <v>393.75</v>
      </c>
      <c r="C13786" s="6">
        <v>20.531590000000001</v>
      </c>
      <c r="D13786" s="6">
        <v>61</v>
      </c>
      <c r="E13786" s="6">
        <v>0</v>
      </c>
      <c r="F13786" s="6">
        <v>0</v>
      </c>
      <c r="G13786" s="6">
        <v>4</v>
      </c>
      <c r="H13786" s="6" t="s">
        <v>53210</v>
      </c>
      <c r="I13786" s="6">
        <v>526.6875</v>
      </c>
      <c r="J13786" s="2">
        <f t="shared" si="215"/>
        <v>43749.506040879627</v>
      </c>
    </row>
    <row r="13787" spans="1:10" x14ac:dyDescent="0.25">
      <c r="A13787" s="7" t="s">
        <v>53211</v>
      </c>
      <c r="B13787" s="8">
        <v>393.75</v>
      </c>
      <c r="C13787" s="8">
        <v>20.584240000000001</v>
      </c>
      <c r="D13787" s="8">
        <v>59</v>
      </c>
      <c r="E13787" s="8">
        <v>0</v>
      </c>
      <c r="F13787" s="8">
        <v>0</v>
      </c>
      <c r="G13787" s="8">
        <v>2</v>
      </c>
      <c r="H13787" s="8" t="s">
        <v>53212</v>
      </c>
      <c r="I13787" s="8">
        <v>526.6875</v>
      </c>
      <c r="J13787" s="3">
        <f t="shared" si="215"/>
        <v>43749.506124340274</v>
      </c>
    </row>
    <row r="13788" spans="1:10" x14ac:dyDescent="0.25">
      <c r="A13788" s="5" t="s">
        <v>53213</v>
      </c>
      <c r="B13788" s="6">
        <v>393.75</v>
      </c>
      <c r="C13788" s="6">
        <v>20.531590000000001</v>
      </c>
      <c r="D13788" s="6">
        <v>59</v>
      </c>
      <c r="E13788" s="6">
        <v>0</v>
      </c>
      <c r="F13788" s="6">
        <v>0</v>
      </c>
      <c r="G13788" s="6">
        <v>0</v>
      </c>
      <c r="H13788" s="6" t="s">
        <v>53214</v>
      </c>
      <c r="I13788" s="6">
        <v>526.6875</v>
      </c>
      <c r="J13788" s="2">
        <f t="shared" si="215"/>
        <v>43749.506207789345</v>
      </c>
    </row>
    <row r="13789" spans="1:10" x14ac:dyDescent="0.25">
      <c r="A13789" s="7" t="s">
        <v>53215</v>
      </c>
      <c r="B13789" s="8">
        <v>412.5</v>
      </c>
      <c r="C13789" s="8">
        <v>20.531590000000001</v>
      </c>
      <c r="D13789" s="8">
        <v>59</v>
      </c>
      <c r="E13789" s="8">
        <v>0</v>
      </c>
      <c r="F13789" s="8">
        <v>0</v>
      </c>
      <c r="G13789" s="8">
        <v>7</v>
      </c>
      <c r="H13789" s="8" t="s">
        <v>53216</v>
      </c>
      <c r="I13789" s="8">
        <v>532.875</v>
      </c>
      <c r="J13789" s="3">
        <f t="shared" si="215"/>
        <v>43749.506291550926</v>
      </c>
    </row>
    <row r="13790" spans="1:10" x14ac:dyDescent="0.25">
      <c r="A13790" s="5" t="s">
        <v>53217</v>
      </c>
      <c r="B13790" s="6">
        <v>393.75</v>
      </c>
      <c r="C13790" s="6">
        <v>20.531590000000001</v>
      </c>
      <c r="D13790" s="6">
        <v>59</v>
      </c>
      <c r="E13790" s="6">
        <v>0</v>
      </c>
      <c r="F13790" s="6">
        <v>0</v>
      </c>
      <c r="G13790" s="6">
        <v>16</v>
      </c>
      <c r="H13790" s="6" t="s">
        <v>53218</v>
      </c>
      <c r="I13790" s="6">
        <v>526.6875</v>
      </c>
      <c r="J13790" s="2">
        <f t="shared" si="215"/>
        <v>43749.506374895827</v>
      </c>
    </row>
    <row r="13791" spans="1:10" x14ac:dyDescent="0.25">
      <c r="A13791" s="7" t="s">
        <v>53219</v>
      </c>
      <c r="B13791" s="8">
        <v>393.75</v>
      </c>
      <c r="C13791" s="8">
        <v>20.531590000000001</v>
      </c>
      <c r="D13791" s="8">
        <v>58</v>
      </c>
      <c r="E13791" s="8">
        <v>0</v>
      </c>
      <c r="F13791" s="8">
        <v>0</v>
      </c>
      <c r="G13791" s="8">
        <v>10</v>
      </c>
      <c r="H13791" s="8" t="s">
        <v>53220</v>
      </c>
      <c r="I13791" s="8">
        <v>526.6875</v>
      </c>
      <c r="J13791" s="3">
        <f t="shared" si="215"/>
        <v>43749.506458252312</v>
      </c>
    </row>
    <row r="13792" spans="1:10" x14ac:dyDescent="0.25">
      <c r="A13792" s="5" t="s">
        <v>53221</v>
      </c>
      <c r="B13792" s="6">
        <v>393.75</v>
      </c>
      <c r="C13792" s="6">
        <v>20.478950000000001</v>
      </c>
      <c r="D13792" s="6">
        <v>59</v>
      </c>
      <c r="E13792" s="6">
        <v>0</v>
      </c>
      <c r="F13792" s="6">
        <v>0</v>
      </c>
      <c r="G13792" s="6">
        <v>16</v>
      </c>
      <c r="H13792" s="6" t="s">
        <v>53222</v>
      </c>
      <c r="I13792" s="6">
        <v>526.6875</v>
      </c>
      <c r="J13792" s="2">
        <f t="shared" si="215"/>
        <v>43749.506541562492</v>
      </c>
    </row>
    <row r="13793" spans="1:10" x14ac:dyDescent="0.25">
      <c r="A13793" s="7" t="s">
        <v>53223</v>
      </c>
      <c r="B13793" s="8">
        <v>393.75</v>
      </c>
      <c r="C13793" s="8">
        <v>20.478950000000001</v>
      </c>
      <c r="D13793" s="8">
        <v>59</v>
      </c>
      <c r="E13793" s="8">
        <v>0</v>
      </c>
      <c r="F13793" s="8">
        <v>0</v>
      </c>
      <c r="G13793" s="8">
        <v>3</v>
      </c>
      <c r="H13793" s="8" t="s">
        <v>53224</v>
      </c>
      <c r="I13793" s="8">
        <v>526.6875</v>
      </c>
      <c r="J13793" s="3">
        <f t="shared" si="215"/>
        <v>43749.506613321755</v>
      </c>
    </row>
    <row r="13794" spans="1:10" x14ac:dyDescent="0.25">
      <c r="A13794" s="5" t="s">
        <v>53225</v>
      </c>
      <c r="B13794" s="6">
        <v>428.125</v>
      </c>
      <c r="C13794" s="6">
        <v>20.478950000000001</v>
      </c>
      <c r="D13794" s="6">
        <v>58</v>
      </c>
      <c r="E13794" s="6">
        <v>0</v>
      </c>
      <c r="F13794" s="6">
        <v>0</v>
      </c>
      <c r="G13794" s="6">
        <v>8</v>
      </c>
      <c r="H13794" s="6" t="s">
        <v>53226</v>
      </c>
      <c r="I13794" s="6">
        <v>537.9375</v>
      </c>
      <c r="J13794" s="2">
        <f t="shared" si="215"/>
        <v>43749.506696793978</v>
      </c>
    </row>
    <row r="13795" spans="1:10" x14ac:dyDescent="0.25">
      <c r="A13795" s="7" t="s">
        <v>53227</v>
      </c>
      <c r="B13795" s="8">
        <v>393.75</v>
      </c>
      <c r="C13795" s="8">
        <v>20.478950000000001</v>
      </c>
      <c r="D13795" s="8">
        <v>59</v>
      </c>
      <c r="E13795" s="8">
        <v>0</v>
      </c>
      <c r="F13795" s="8">
        <v>0</v>
      </c>
      <c r="G13795" s="8">
        <v>8</v>
      </c>
      <c r="H13795" s="8" t="s">
        <v>53228</v>
      </c>
      <c r="I13795" s="8">
        <v>526.6875</v>
      </c>
      <c r="J13795" s="3">
        <f t="shared" si="215"/>
        <v>43749.506768437503</v>
      </c>
    </row>
    <row r="13796" spans="1:10" x14ac:dyDescent="0.25">
      <c r="A13796" s="5" t="s">
        <v>53229</v>
      </c>
      <c r="B13796" s="6">
        <v>393.75</v>
      </c>
      <c r="C13796" s="6">
        <v>20.478950000000001</v>
      </c>
      <c r="D13796" s="6">
        <v>59</v>
      </c>
      <c r="E13796" s="6">
        <v>0</v>
      </c>
      <c r="F13796" s="6">
        <v>0</v>
      </c>
      <c r="G13796" s="6">
        <v>12</v>
      </c>
      <c r="H13796" s="6" t="s">
        <v>53230</v>
      </c>
      <c r="I13796" s="6">
        <v>526.6875</v>
      </c>
      <c r="J13796" s="2">
        <f t="shared" si="215"/>
        <v>43749.506839965274</v>
      </c>
    </row>
    <row r="13797" spans="1:10" x14ac:dyDescent="0.25">
      <c r="A13797" s="7" t="s">
        <v>53231</v>
      </c>
      <c r="B13797" s="8">
        <v>393.75</v>
      </c>
      <c r="C13797" s="8">
        <v>20.531590000000001</v>
      </c>
      <c r="D13797" s="8">
        <v>59</v>
      </c>
      <c r="E13797" s="8">
        <v>0</v>
      </c>
      <c r="F13797" s="8">
        <v>0</v>
      </c>
      <c r="G13797" s="8">
        <v>13</v>
      </c>
      <c r="H13797" s="8" t="s">
        <v>53232</v>
      </c>
      <c r="I13797" s="8">
        <v>526.6875</v>
      </c>
      <c r="J13797" s="3">
        <f t="shared" si="215"/>
        <v>43749.506923171291</v>
      </c>
    </row>
    <row r="13798" spans="1:10" x14ac:dyDescent="0.25">
      <c r="A13798" s="5" t="s">
        <v>53233</v>
      </c>
      <c r="B13798" s="6">
        <v>393.75</v>
      </c>
      <c r="C13798" s="6">
        <v>20.531590000000001</v>
      </c>
      <c r="D13798" s="6">
        <v>59</v>
      </c>
      <c r="E13798" s="6">
        <v>0</v>
      </c>
      <c r="F13798" s="6">
        <v>0</v>
      </c>
      <c r="G13798" s="6">
        <v>6</v>
      </c>
      <c r="H13798" s="6" t="s">
        <v>53234</v>
      </c>
      <c r="I13798" s="6">
        <v>526.6875</v>
      </c>
      <c r="J13798" s="2">
        <f t="shared" si="215"/>
        <v>43749.506994814808</v>
      </c>
    </row>
    <row r="13799" spans="1:10" x14ac:dyDescent="0.25">
      <c r="A13799" s="7" t="s">
        <v>53235</v>
      </c>
      <c r="B13799" s="8">
        <v>393.75</v>
      </c>
      <c r="C13799" s="8">
        <v>20.531590000000001</v>
      </c>
      <c r="D13799" s="8">
        <v>62</v>
      </c>
      <c r="E13799" s="8">
        <v>0</v>
      </c>
      <c r="F13799" s="8">
        <v>0</v>
      </c>
      <c r="G13799" s="8">
        <v>11</v>
      </c>
      <c r="H13799" s="8" t="s">
        <v>53236</v>
      </c>
      <c r="I13799" s="8">
        <v>526.6875</v>
      </c>
      <c r="J13799" s="3">
        <f t="shared" si="215"/>
        <v>43749.50707861111</v>
      </c>
    </row>
    <row r="13800" spans="1:10" x14ac:dyDescent="0.25">
      <c r="A13800" s="5" t="s">
        <v>53237</v>
      </c>
      <c r="B13800" s="6">
        <v>393.75</v>
      </c>
      <c r="C13800" s="6">
        <v>20.531590000000001</v>
      </c>
      <c r="D13800" s="6">
        <v>63</v>
      </c>
      <c r="E13800" s="6">
        <v>0</v>
      </c>
      <c r="F13800" s="6">
        <v>0</v>
      </c>
      <c r="G13800" s="6">
        <v>9</v>
      </c>
      <c r="H13800" s="6" t="s">
        <v>53238</v>
      </c>
      <c r="I13800" s="6">
        <v>526.6875</v>
      </c>
      <c r="J13800" s="2">
        <f t="shared" si="215"/>
        <v>43749.50717399305</v>
      </c>
    </row>
    <row r="13801" spans="1:10" x14ac:dyDescent="0.25">
      <c r="A13801" s="7" t="s">
        <v>53239</v>
      </c>
      <c r="B13801" s="8">
        <v>393.75</v>
      </c>
      <c r="C13801" s="8">
        <v>20.531590000000001</v>
      </c>
      <c r="D13801" s="8">
        <v>62</v>
      </c>
      <c r="E13801" s="8">
        <v>0</v>
      </c>
      <c r="F13801" s="8">
        <v>0</v>
      </c>
      <c r="G13801" s="8">
        <v>15</v>
      </c>
      <c r="H13801" s="8" t="s">
        <v>53240</v>
      </c>
      <c r="I13801" s="8">
        <v>526.6875</v>
      </c>
      <c r="J13801" s="3">
        <f t="shared" si="215"/>
        <v>43749.507257442128</v>
      </c>
    </row>
    <row r="13802" spans="1:10" x14ac:dyDescent="0.25">
      <c r="A13802" s="5" t="s">
        <v>53241</v>
      </c>
      <c r="B13802" s="6">
        <v>412.5</v>
      </c>
      <c r="C13802" s="6">
        <v>20.584240000000001</v>
      </c>
      <c r="D13802" s="6">
        <v>62</v>
      </c>
      <c r="E13802" s="6">
        <v>0</v>
      </c>
      <c r="F13802" s="6">
        <v>0</v>
      </c>
      <c r="G13802" s="6">
        <v>20</v>
      </c>
      <c r="H13802" s="6" t="s">
        <v>53242</v>
      </c>
      <c r="I13802" s="6">
        <v>532.5</v>
      </c>
      <c r="J13802" s="2">
        <f t="shared" si="215"/>
        <v>43749.507329317123</v>
      </c>
    </row>
    <row r="13803" spans="1:10" x14ac:dyDescent="0.25">
      <c r="A13803" s="7" t="s">
        <v>53243</v>
      </c>
      <c r="B13803" s="8">
        <v>393.75</v>
      </c>
      <c r="C13803" s="8">
        <v>20.584240000000001</v>
      </c>
      <c r="D13803" s="8">
        <v>61</v>
      </c>
      <c r="E13803" s="8">
        <v>0</v>
      </c>
      <c r="F13803" s="8">
        <v>0</v>
      </c>
      <c r="G13803" s="8">
        <v>24</v>
      </c>
      <c r="H13803" s="8" t="s">
        <v>53244</v>
      </c>
      <c r="I13803" s="8">
        <v>526.6875</v>
      </c>
      <c r="J13803" s="3">
        <f t="shared" si="215"/>
        <v>43749.507412199069</v>
      </c>
    </row>
    <row r="13804" spans="1:10" x14ac:dyDescent="0.25">
      <c r="A13804" s="5" t="s">
        <v>53245</v>
      </c>
      <c r="B13804" s="6">
        <v>393.75</v>
      </c>
      <c r="C13804" s="6">
        <v>20.531590000000001</v>
      </c>
      <c r="D13804" s="6">
        <v>62</v>
      </c>
      <c r="E13804" s="6">
        <v>0</v>
      </c>
      <c r="F13804" s="6">
        <v>0</v>
      </c>
      <c r="G13804" s="6">
        <v>24</v>
      </c>
      <c r="H13804" s="6" t="s">
        <v>53246</v>
      </c>
      <c r="I13804" s="6">
        <v>526.6875</v>
      </c>
      <c r="J13804" s="2">
        <f t="shared" si="215"/>
        <v>43749.507484074071</v>
      </c>
    </row>
    <row r="13805" spans="1:10" x14ac:dyDescent="0.25">
      <c r="A13805" s="7" t="s">
        <v>53247</v>
      </c>
      <c r="B13805" s="8">
        <v>393.75</v>
      </c>
      <c r="C13805" s="8">
        <v>20.584240000000001</v>
      </c>
      <c r="D13805" s="8">
        <v>60</v>
      </c>
      <c r="E13805" s="8">
        <v>0</v>
      </c>
      <c r="F13805" s="8">
        <v>0</v>
      </c>
      <c r="G13805" s="8">
        <v>31</v>
      </c>
      <c r="H13805" s="8" t="s">
        <v>53248</v>
      </c>
      <c r="I13805" s="8">
        <v>526.6875</v>
      </c>
      <c r="J13805" s="3">
        <f t="shared" si="215"/>
        <v>43749.507567604167</v>
      </c>
    </row>
    <row r="13806" spans="1:10" x14ac:dyDescent="0.25">
      <c r="A13806" s="5" t="s">
        <v>53249</v>
      </c>
      <c r="B13806" s="6">
        <v>393.75</v>
      </c>
      <c r="C13806" s="6">
        <v>20.531590000000001</v>
      </c>
      <c r="D13806" s="6">
        <v>59</v>
      </c>
      <c r="E13806" s="6">
        <v>0</v>
      </c>
      <c r="F13806" s="6">
        <v>0</v>
      </c>
      <c r="G13806" s="6">
        <v>16</v>
      </c>
      <c r="H13806" s="6" t="s">
        <v>53250</v>
      </c>
      <c r="I13806" s="6">
        <v>526.6875</v>
      </c>
      <c r="J13806" s="2">
        <f t="shared" si="215"/>
        <v>43749.507651087959</v>
      </c>
    </row>
    <row r="13807" spans="1:10" x14ac:dyDescent="0.25">
      <c r="A13807" s="7" t="s">
        <v>53251</v>
      </c>
      <c r="B13807" s="8">
        <v>393.75</v>
      </c>
      <c r="C13807" s="8">
        <v>20.531590000000001</v>
      </c>
      <c r="D13807" s="8">
        <v>60</v>
      </c>
      <c r="E13807" s="8">
        <v>0</v>
      </c>
      <c r="F13807" s="8">
        <v>0</v>
      </c>
      <c r="G13807" s="8">
        <v>19</v>
      </c>
      <c r="H13807" s="8" t="s">
        <v>53252</v>
      </c>
      <c r="I13807" s="8">
        <v>526.6875</v>
      </c>
      <c r="J13807" s="3">
        <f t="shared" si="215"/>
        <v>43749.507734398147</v>
      </c>
    </row>
    <row r="13808" spans="1:10" x14ac:dyDescent="0.25">
      <c r="A13808" s="5" t="s">
        <v>53253</v>
      </c>
      <c r="B13808" s="6">
        <v>393.75</v>
      </c>
      <c r="C13808" s="6">
        <v>20.531590000000001</v>
      </c>
      <c r="D13808" s="6">
        <v>59</v>
      </c>
      <c r="E13808" s="6">
        <v>0</v>
      </c>
      <c r="F13808" s="6">
        <v>0</v>
      </c>
      <c r="G13808" s="6">
        <v>7</v>
      </c>
      <c r="H13808" s="6" t="s">
        <v>53254</v>
      </c>
      <c r="I13808" s="6">
        <v>526.6875</v>
      </c>
      <c r="J13808" s="2">
        <f t="shared" si="215"/>
        <v>43749.50780615741</v>
      </c>
    </row>
    <row r="13809" spans="1:10" x14ac:dyDescent="0.25">
      <c r="A13809" s="7" t="s">
        <v>53255</v>
      </c>
      <c r="B13809" s="8">
        <v>393.75</v>
      </c>
      <c r="C13809" s="8">
        <v>20.478950000000001</v>
      </c>
      <c r="D13809" s="8">
        <v>59</v>
      </c>
      <c r="E13809" s="8">
        <v>0</v>
      </c>
      <c r="F13809" s="8">
        <v>0</v>
      </c>
      <c r="G13809" s="8">
        <v>19</v>
      </c>
      <c r="H13809" s="8" t="s">
        <v>53256</v>
      </c>
      <c r="I13809" s="8">
        <v>526.6875</v>
      </c>
      <c r="J13809" s="3">
        <f t="shared" si="215"/>
        <v>43749.507889837965</v>
      </c>
    </row>
    <row r="13810" spans="1:10" x14ac:dyDescent="0.25">
      <c r="A13810" s="5" t="s">
        <v>53257</v>
      </c>
      <c r="B13810" s="6">
        <v>393.75</v>
      </c>
      <c r="C13810" s="6">
        <v>20.531590000000001</v>
      </c>
      <c r="D13810" s="6">
        <v>59</v>
      </c>
      <c r="E13810" s="6">
        <v>0</v>
      </c>
      <c r="F13810" s="6">
        <v>0</v>
      </c>
      <c r="G13810" s="6">
        <v>15</v>
      </c>
      <c r="H13810" s="6" t="s">
        <v>53258</v>
      </c>
      <c r="I13810" s="6">
        <v>526.6875</v>
      </c>
      <c r="J13810" s="2">
        <f t="shared" si="215"/>
        <v>43749.507973078704</v>
      </c>
    </row>
    <row r="13811" spans="1:10" x14ac:dyDescent="0.25">
      <c r="A13811" s="7" t="s">
        <v>53259</v>
      </c>
      <c r="B13811" s="8">
        <v>393.75</v>
      </c>
      <c r="C13811" s="8">
        <v>20.531590000000001</v>
      </c>
      <c r="D13811" s="8">
        <v>58</v>
      </c>
      <c r="E13811" s="8">
        <v>0</v>
      </c>
      <c r="F13811" s="8">
        <v>0</v>
      </c>
      <c r="G13811" s="8">
        <v>6</v>
      </c>
      <c r="H13811" s="8" t="s">
        <v>53260</v>
      </c>
      <c r="I13811" s="8">
        <v>526.6875</v>
      </c>
      <c r="J13811" s="3">
        <f t="shared" si="215"/>
        <v>43749.508056493054</v>
      </c>
    </row>
    <row r="13812" spans="1:10" x14ac:dyDescent="0.25">
      <c r="A13812" s="5" t="s">
        <v>53261</v>
      </c>
      <c r="B13812" s="6">
        <v>393.75</v>
      </c>
      <c r="C13812" s="6">
        <v>20.531590000000001</v>
      </c>
      <c r="D13812" s="6">
        <v>58</v>
      </c>
      <c r="E13812" s="6">
        <v>0</v>
      </c>
      <c r="F13812" s="6">
        <v>0</v>
      </c>
      <c r="G13812" s="6">
        <v>7</v>
      </c>
      <c r="H13812" s="6" t="s">
        <v>53262</v>
      </c>
      <c r="I13812" s="6">
        <v>526.6875</v>
      </c>
      <c r="J13812" s="2">
        <f t="shared" si="215"/>
        <v>43749.508128171299</v>
      </c>
    </row>
    <row r="13813" spans="1:10" x14ac:dyDescent="0.25">
      <c r="A13813" s="7" t="s">
        <v>53263</v>
      </c>
      <c r="B13813" s="8">
        <v>412.5</v>
      </c>
      <c r="C13813" s="8">
        <v>20.531590000000001</v>
      </c>
      <c r="D13813" s="8">
        <v>58</v>
      </c>
      <c r="E13813" s="8">
        <v>0</v>
      </c>
      <c r="F13813" s="8">
        <v>0</v>
      </c>
      <c r="G13813" s="8">
        <v>11</v>
      </c>
      <c r="H13813" s="8" t="s">
        <v>53264</v>
      </c>
      <c r="I13813" s="8">
        <v>532.3125</v>
      </c>
      <c r="J13813" s="3">
        <f t="shared" si="215"/>
        <v>43749.508211608794</v>
      </c>
    </row>
    <row r="13814" spans="1:10" x14ac:dyDescent="0.25">
      <c r="A13814" s="5" t="s">
        <v>53265</v>
      </c>
      <c r="B13814" s="6">
        <v>393.75</v>
      </c>
      <c r="C13814" s="6">
        <v>20.531590000000001</v>
      </c>
      <c r="D13814" s="6">
        <v>57</v>
      </c>
      <c r="E13814" s="6">
        <v>0</v>
      </c>
      <c r="F13814" s="6">
        <v>0</v>
      </c>
      <c r="G13814" s="6">
        <v>13</v>
      </c>
      <c r="H13814" s="6" t="s">
        <v>53266</v>
      </c>
      <c r="I13814" s="6">
        <v>526.6875</v>
      </c>
      <c r="J13814" s="2">
        <f t="shared" si="215"/>
        <v>43749.508295162035</v>
      </c>
    </row>
    <row r="13815" spans="1:10" x14ac:dyDescent="0.25">
      <c r="A13815" s="7" t="s">
        <v>53267</v>
      </c>
      <c r="B13815" s="8">
        <v>393.75</v>
      </c>
      <c r="C13815" s="8">
        <v>20.584240000000001</v>
      </c>
      <c r="D13815" s="8">
        <v>58</v>
      </c>
      <c r="E13815" s="8">
        <v>0</v>
      </c>
      <c r="F13815" s="8">
        <v>0</v>
      </c>
      <c r="G13815" s="8">
        <v>16</v>
      </c>
      <c r="H13815" s="8" t="s">
        <v>53268</v>
      </c>
      <c r="I13815" s="8">
        <v>526.6875</v>
      </c>
      <c r="J13815" s="3">
        <f t="shared" si="215"/>
        <v>43749.508389027775</v>
      </c>
    </row>
    <row r="13816" spans="1:10" x14ac:dyDescent="0.25">
      <c r="A13816" s="5" t="s">
        <v>53269</v>
      </c>
      <c r="B13816" s="6">
        <v>393.75</v>
      </c>
      <c r="C13816" s="6">
        <v>20.531590000000001</v>
      </c>
      <c r="D13816" s="6">
        <v>59</v>
      </c>
      <c r="E13816" s="6">
        <v>0</v>
      </c>
      <c r="F13816" s="6">
        <v>0</v>
      </c>
      <c r="G13816" s="6">
        <v>9</v>
      </c>
      <c r="H13816" s="6" t="s">
        <v>53270</v>
      </c>
      <c r="I13816" s="6">
        <v>526.6875</v>
      </c>
      <c r="J13816" s="2">
        <f t="shared" si="215"/>
        <v>43749.50846208333</v>
      </c>
    </row>
    <row r="13817" spans="1:10" x14ac:dyDescent="0.25">
      <c r="A13817" s="7" t="s">
        <v>53271</v>
      </c>
      <c r="B13817" s="8">
        <v>393.75</v>
      </c>
      <c r="C13817" s="8">
        <v>20.531590000000001</v>
      </c>
      <c r="D13817" s="8">
        <v>59</v>
      </c>
      <c r="E13817" s="8">
        <v>0</v>
      </c>
      <c r="F13817" s="8">
        <v>0</v>
      </c>
      <c r="G13817" s="8">
        <v>8</v>
      </c>
      <c r="H13817" s="8" t="s">
        <v>53272</v>
      </c>
      <c r="I13817" s="8">
        <v>526.6875</v>
      </c>
      <c r="J13817" s="3">
        <f t="shared" si="215"/>
        <v>43749.508545289347</v>
      </c>
    </row>
    <row r="13818" spans="1:10" x14ac:dyDescent="0.25">
      <c r="A13818" s="5" t="s">
        <v>53273</v>
      </c>
      <c r="B13818" s="6">
        <v>393.75</v>
      </c>
      <c r="C13818" s="6">
        <v>20.478950000000001</v>
      </c>
      <c r="D13818" s="6">
        <v>59</v>
      </c>
      <c r="E13818" s="6">
        <v>0</v>
      </c>
      <c r="F13818" s="6">
        <v>0</v>
      </c>
      <c r="G13818" s="6">
        <v>8</v>
      </c>
      <c r="H13818" s="6" t="s">
        <v>53274</v>
      </c>
      <c r="I13818" s="6">
        <v>526.6875</v>
      </c>
      <c r="J13818" s="2">
        <f t="shared" si="215"/>
        <v>43749.508617152773</v>
      </c>
    </row>
    <row r="13819" spans="1:10" x14ac:dyDescent="0.25">
      <c r="A13819" s="7" t="s">
        <v>53275</v>
      </c>
      <c r="B13819" s="8">
        <v>393.75</v>
      </c>
      <c r="C13819" s="8">
        <v>20.478950000000001</v>
      </c>
      <c r="D13819" s="8">
        <v>60</v>
      </c>
      <c r="E13819" s="8">
        <v>0</v>
      </c>
      <c r="F13819" s="8">
        <v>0</v>
      </c>
      <c r="G13819" s="8">
        <v>14</v>
      </c>
      <c r="H13819" s="8" t="s">
        <v>53276</v>
      </c>
      <c r="I13819" s="8">
        <v>526.6875</v>
      </c>
      <c r="J13819" s="3">
        <f t="shared" si="215"/>
        <v>43749.508700972219</v>
      </c>
    </row>
    <row r="13820" spans="1:10" x14ac:dyDescent="0.25">
      <c r="A13820" s="5" t="s">
        <v>53277</v>
      </c>
      <c r="B13820" s="6">
        <v>393.75</v>
      </c>
      <c r="C13820" s="6">
        <v>20.531590000000001</v>
      </c>
      <c r="D13820" s="6">
        <v>60</v>
      </c>
      <c r="E13820" s="6">
        <v>0</v>
      </c>
      <c r="F13820" s="6">
        <v>0</v>
      </c>
      <c r="G13820" s="6">
        <v>19</v>
      </c>
      <c r="H13820" s="6" t="s">
        <v>53278</v>
      </c>
      <c r="I13820" s="6">
        <v>526.6875</v>
      </c>
      <c r="J13820" s="2">
        <f t="shared" si="215"/>
        <v>43749.508784189813</v>
      </c>
    </row>
    <row r="13821" spans="1:10" x14ac:dyDescent="0.25">
      <c r="A13821" s="7" t="s">
        <v>53279</v>
      </c>
      <c r="B13821" s="8">
        <v>393.75</v>
      </c>
      <c r="C13821" s="8">
        <v>20.531590000000001</v>
      </c>
      <c r="D13821" s="8">
        <v>60</v>
      </c>
      <c r="E13821" s="8">
        <v>0</v>
      </c>
      <c r="F13821" s="8">
        <v>0</v>
      </c>
      <c r="G13821" s="8">
        <v>20</v>
      </c>
      <c r="H13821" s="8" t="s">
        <v>53280</v>
      </c>
      <c r="I13821" s="8">
        <v>526.6875</v>
      </c>
      <c r="J13821" s="3">
        <f t="shared" si="215"/>
        <v>43749.508867523145</v>
      </c>
    </row>
    <row r="13822" spans="1:10" x14ac:dyDescent="0.25">
      <c r="A13822" s="5" t="s">
        <v>53281</v>
      </c>
      <c r="B13822" s="6">
        <v>393.75</v>
      </c>
      <c r="C13822" s="6">
        <v>20.531590000000001</v>
      </c>
      <c r="D13822" s="6">
        <v>59</v>
      </c>
      <c r="E13822" s="6">
        <v>0</v>
      </c>
      <c r="F13822" s="6">
        <v>0</v>
      </c>
      <c r="G13822" s="6">
        <v>3</v>
      </c>
      <c r="H13822" s="6" t="s">
        <v>53282</v>
      </c>
      <c r="I13822" s="6">
        <v>526.6875</v>
      </c>
      <c r="J13822" s="2">
        <f t="shared" si="215"/>
        <v>43749.508951087955</v>
      </c>
    </row>
    <row r="13823" spans="1:10" x14ac:dyDescent="0.25">
      <c r="A13823" s="7" t="s">
        <v>53283</v>
      </c>
      <c r="B13823" s="8">
        <v>393.75</v>
      </c>
      <c r="C13823" s="8">
        <v>20.478950000000001</v>
      </c>
      <c r="D13823" s="8">
        <v>59</v>
      </c>
      <c r="E13823" s="8">
        <v>0</v>
      </c>
      <c r="F13823" s="8">
        <v>0</v>
      </c>
      <c r="G13823" s="8">
        <v>7</v>
      </c>
      <c r="H13823" s="8" t="s">
        <v>53284</v>
      </c>
      <c r="I13823" s="8">
        <v>526.6875</v>
      </c>
      <c r="J13823" s="3">
        <f t="shared" si="215"/>
        <v>43749.509022592589</v>
      </c>
    </row>
    <row r="13824" spans="1:10" x14ac:dyDescent="0.25">
      <c r="A13824" s="5" t="s">
        <v>53285</v>
      </c>
      <c r="B13824" s="6">
        <v>393.75</v>
      </c>
      <c r="C13824" s="6">
        <v>20.478950000000001</v>
      </c>
      <c r="D13824" s="6">
        <v>59</v>
      </c>
      <c r="E13824" s="6">
        <v>0</v>
      </c>
      <c r="F13824" s="6">
        <v>0</v>
      </c>
      <c r="G13824" s="6">
        <v>6</v>
      </c>
      <c r="H13824" s="6" t="s">
        <v>53286</v>
      </c>
      <c r="I13824" s="6">
        <v>526.6875</v>
      </c>
      <c r="J13824" s="2">
        <f t="shared" si="215"/>
        <v>43749.509094247682</v>
      </c>
    </row>
    <row r="13825" spans="1:10" x14ac:dyDescent="0.25">
      <c r="A13825" s="7" t="s">
        <v>53287</v>
      </c>
      <c r="B13825" s="8">
        <v>393.75</v>
      </c>
      <c r="C13825" s="8">
        <v>20.531590000000001</v>
      </c>
      <c r="D13825" s="8">
        <v>58</v>
      </c>
      <c r="E13825" s="8">
        <v>0</v>
      </c>
      <c r="F13825" s="8">
        <v>0</v>
      </c>
      <c r="G13825" s="8">
        <v>0</v>
      </c>
      <c r="H13825" s="8" t="s">
        <v>53288</v>
      </c>
      <c r="I13825" s="8">
        <v>526.6875</v>
      </c>
      <c r="J13825" s="3">
        <f t="shared" si="215"/>
        <v>43749.509177812499</v>
      </c>
    </row>
    <row r="13826" spans="1:10" x14ac:dyDescent="0.25">
      <c r="A13826" s="5" t="s">
        <v>53289</v>
      </c>
      <c r="B13826" s="6">
        <v>412.5</v>
      </c>
      <c r="C13826" s="6">
        <v>20.531590000000001</v>
      </c>
      <c r="D13826" s="6">
        <v>59</v>
      </c>
      <c r="E13826" s="6">
        <v>0</v>
      </c>
      <c r="F13826" s="6">
        <v>0</v>
      </c>
      <c r="G13826" s="6">
        <v>5</v>
      </c>
      <c r="H13826" s="6" t="s">
        <v>53290</v>
      </c>
      <c r="I13826" s="6">
        <v>532.3125</v>
      </c>
      <c r="J13826" s="2">
        <f t="shared" ref="J13826:J13889" si="216">(H13826/86400000)+25569+(7/24)</f>
        <v>43749.509261249994</v>
      </c>
    </row>
    <row r="13827" spans="1:10" x14ac:dyDescent="0.25">
      <c r="A13827" s="7" t="s">
        <v>53291</v>
      </c>
      <c r="B13827" s="8">
        <v>393.75</v>
      </c>
      <c r="C13827" s="8">
        <v>20.478950000000001</v>
      </c>
      <c r="D13827" s="8">
        <v>58</v>
      </c>
      <c r="E13827" s="8">
        <v>0</v>
      </c>
      <c r="F13827" s="8">
        <v>0</v>
      </c>
      <c r="G13827" s="8">
        <v>6</v>
      </c>
      <c r="H13827" s="8" t="s">
        <v>53292</v>
      </c>
      <c r="I13827" s="8">
        <v>526.6875</v>
      </c>
      <c r="J13827" s="3">
        <f t="shared" si="216"/>
        <v>43749.509344837956</v>
      </c>
    </row>
    <row r="13828" spans="1:10" x14ac:dyDescent="0.25">
      <c r="A13828" s="5" t="s">
        <v>53293</v>
      </c>
      <c r="B13828" s="6">
        <v>393.75</v>
      </c>
      <c r="C13828" s="6">
        <v>20.531590000000001</v>
      </c>
      <c r="D13828" s="6">
        <v>57</v>
      </c>
      <c r="E13828" s="6">
        <v>0</v>
      </c>
      <c r="F13828" s="6">
        <v>0</v>
      </c>
      <c r="G13828" s="6">
        <v>5</v>
      </c>
      <c r="H13828" s="6" t="s">
        <v>53294</v>
      </c>
      <c r="I13828" s="6">
        <v>526.6875</v>
      </c>
      <c r="J13828" s="2">
        <f t="shared" si="216"/>
        <v>43749.50941648148</v>
      </c>
    </row>
    <row r="13829" spans="1:10" x14ac:dyDescent="0.25">
      <c r="A13829" s="7" t="s">
        <v>53295</v>
      </c>
      <c r="B13829" s="8">
        <v>393.75</v>
      </c>
      <c r="C13829" s="8">
        <v>20.531590000000001</v>
      </c>
      <c r="D13829" s="8">
        <v>56</v>
      </c>
      <c r="E13829" s="8">
        <v>0</v>
      </c>
      <c r="F13829" s="8">
        <v>0</v>
      </c>
      <c r="G13829" s="8">
        <v>7</v>
      </c>
      <c r="H13829" s="8" t="s">
        <v>53296</v>
      </c>
      <c r="I13829" s="8">
        <v>526.6875</v>
      </c>
      <c r="J13829" s="3">
        <f t="shared" si="216"/>
        <v>43749.509488020827</v>
      </c>
    </row>
    <row r="13830" spans="1:10" x14ac:dyDescent="0.25">
      <c r="A13830" s="5" t="s">
        <v>53297</v>
      </c>
      <c r="B13830" s="6">
        <v>393.75</v>
      </c>
      <c r="C13830" s="6">
        <v>20.531590000000001</v>
      </c>
      <c r="D13830" s="6">
        <v>54</v>
      </c>
      <c r="E13830" s="6">
        <v>0</v>
      </c>
      <c r="F13830" s="6">
        <v>0</v>
      </c>
      <c r="G13830" s="6">
        <v>5</v>
      </c>
      <c r="H13830" s="6" t="s">
        <v>53298</v>
      </c>
      <c r="I13830" s="6">
        <v>526.6875</v>
      </c>
      <c r="J13830" s="2">
        <f t="shared" si="216"/>
        <v>43749.509571238428</v>
      </c>
    </row>
    <row r="13831" spans="1:10" x14ac:dyDescent="0.25">
      <c r="A13831" s="7" t="s">
        <v>53299</v>
      </c>
      <c r="B13831" s="8">
        <v>393.75</v>
      </c>
      <c r="C13831" s="8">
        <v>20.531590000000001</v>
      </c>
      <c r="D13831" s="8">
        <v>54</v>
      </c>
      <c r="E13831" s="8">
        <v>0</v>
      </c>
      <c r="F13831" s="8">
        <v>0</v>
      </c>
      <c r="G13831" s="8">
        <v>0</v>
      </c>
      <c r="H13831" s="8" t="s">
        <v>53300</v>
      </c>
      <c r="I13831" s="8">
        <v>526.6875</v>
      </c>
      <c r="J13831" s="3">
        <f t="shared" si="216"/>
        <v>43749.509642974539</v>
      </c>
    </row>
    <row r="13832" spans="1:10" x14ac:dyDescent="0.25">
      <c r="A13832" s="5" t="s">
        <v>53301</v>
      </c>
      <c r="B13832" s="6">
        <v>393.75</v>
      </c>
      <c r="C13832" s="6">
        <v>20.531590000000001</v>
      </c>
      <c r="D13832" s="6">
        <v>54</v>
      </c>
      <c r="E13832" s="6">
        <v>0</v>
      </c>
      <c r="F13832" s="6">
        <v>0</v>
      </c>
      <c r="G13832" s="6">
        <v>3</v>
      </c>
      <c r="H13832" s="6" t="s">
        <v>53302</v>
      </c>
      <c r="I13832" s="6">
        <v>526.6875</v>
      </c>
      <c r="J13832" s="2">
        <f t="shared" si="216"/>
        <v>43749.509726412034</v>
      </c>
    </row>
    <row r="13833" spans="1:10" x14ac:dyDescent="0.25">
      <c r="A13833" s="7" t="s">
        <v>53303</v>
      </c>
      <c r="B13833" s="8">
        <v>393.75</v>
      </c>
      <c r="C13833" s="8">
        <v>20.478950000000001</v>
      </c>
      <c r="D13833" s="8">
        <v>55</v>
      </c>
      <c r="E13833" s="8">
        <v>0</v>
      </c>
      <c r="F13833" s="8">
        <v>0</v>
      </c>
      <c r="G13833" s="8">
        <v>0</v>
      </c>
      <c r="H13833" s="8" t="s">
        <v>53304</v>
      </c>
      <c r="I13833" s="8">
        <v>526.6875</v>
      </c>
      <c r="J13833" s="3">
        <f t="shared" si="216"/>
        <v>43749.509821863423</v>
      </c>
    </row>
    <row r="13834" spans="1:10" x14ac:dyDescent="0.25">
      <c r="A13834" s="5" t="s">
        <v>53305</v>
      </c>
      <c r="B13834" s="6">
        <v>393.75</v>
      </c>
      <c r="C13834" s="6">
        <v>20.478950000000001</v>
      </c>
      <c r="D13834" s="6">
        <v>56</v>
      </c>
      <c r="E13834" s="6">
        <v>0</v>
      </c>
      <c r="F13834" s="6">
        <v>0</v>
      </c>
      <c r="G13834" s="6">
        <v>7</v>
      </c>
      <c r="H13834" s="6" t="s">
        <v>53306</v>
      </c>
      <c r="I13834" s="6">
        <v>526.6875</v>
      </c>
      <c r="J13834" s="2">
        <f t="shared" si="216"/>
        <v>43749.509893541668</v>
      </c>
    </row>
    <row r="13835" spans="1:10" x14ac:dyDescent="0.25">
      <c r="A13835" s="7" t="s">
        <v>53307</v>
      </c>
      <c r="B13835" s="8">
        <v>393.75</v>
      </c>
      <c r="C13835" s="8">
        <v>20.531590000000001</v>
      </c>
      <c r="D13835" s="8">
        <v>57</v>
      </c>
      <c r="E13835" s="8">
        <v>0</v>
      </c>
      <c r="F13835" s="8">
        <v>0</v>
      </c>
      <c r="G13835" s="8">
        <v>0</v>
      </c>
      <c r="H13835" s="8" t="s">
        <v>53308</v>
      </c>
      <c r="I13835" s="8">
        <v>526.6875</v>
      </c>
      <c r="J13835" s="3">
        <f t="shared" si="216"/>
        <v>43749.509976875001</v>
      </c>
    </row>
    <row r="13836" spans="1:10" x14ac:dyDescent="0.25">
      <c r="A13836" s="5" t="s">
        <v>53309</v>
      </c>
      <c r="B13836" s="6">
        <v>393.75</v>
      </c>
      <c r="C13836" s="6">
        <v>20.478950000000001</v>
      </c>
      <c r="D13836" s="6">
        <v>56</v>
      </c>
      <c r="E13836" s="6">
        <v>0</v>
      </c>
      <c r="F13836" s="6">
        <v>0</v>
      </c>
      <c r="G13836" s="6">
        <v>0</v>
      </c>
      <c r="H13836" s="6" t="s">
        <v>53310</v>
      </c>
      <c r="I13836" s="6">
        <v>526.6875</v>
      </c>
      <c r="J13836" s="2">
        <f t="shared" si="216"/>
        <v>43749.510060104163</v>
      </c>
    </row>
    <row r="13837" spans="1:10" x14ac:dyDescent="0.25">
      <c r="A13837" s="7" t="s">
        <v>53311</v>
      </c>
      <c r="B13837" s="8">
        <v>393.75</v>
      </c>
      <c r="C13837" s="8">
        <v>20.584240000000001</v>
      </c>
      <c r="D13837" s="8">
        <v>56</v>
      </c>
      <c r="E13837" s="8">
        <v>0</v>
      </c>
      <c r="F13837" s="8">
        <v>0</v>
      </c>
      <c r="G13837" s="8">
        <v>0</v>
      </c>
      <c r="H13837" s="8" t="s">
        <v>53312</v>
      </c>
      <c r="I13837" s="8">
        <v>526.6875</v>
      </c>
      <c r="J13837" s="3">
        <f t="shared" si="216"/>
        <v>43749.51013185185</v>
      </c>
    </row>
    <row r="13838" spans="1:10" x14ac:dyDescent="0.25">
      <c r="A13838" s="5" t="s">
        <v>53313</v>
      </c>
      <c r="B13838" s="6">
        <v>393.75</v>
      </c>
      <c r="C13838" s="6">
        <v>20.478950000000001</v>
      </c>
      <c r="D13838" s="6">
        <v>56</v>
      </c>
      <c r="E13838" s="6">
        <v>0</v>
      </c>
      <c r="F13838" s="6">
        <v>0</v>
      </c>
      <c r="G13838" s="6">
        <v>0</v>
      </c>
      <c r="H13838" s="6" t="s">
        <v>53314</v>
      </c>
      <c r="I13838" s="6">
        <v>526.6875</v>
      </c>
      <c r="J13838" s="2">
        <f t="shared" si="216"/>
        <v>43749.510215393515</v>
      </c>
    </row>
    <row r="13839" spans="1:10" x14ac:dyDescent="0.25">
      <c r="A13839" s="7" t="s">
        <v>53315</v>
      </c>
      <c r="B13839" s="8">
        <v>393.75</v>
      </c>
      <c r="C13839" s="8">
        <v>20.531590000000001</v>
      </c>
      <c r="D13839" s="8">
        <v>57</v>
      </c>
      <c r="E13839" s="8">
        <v>0</v>
      </c>
      <c r="F13839" s="8">
        <v>0</v>
      </c>
      <c r="G13839" s="8">
        <v>8</v>
      </c>
      <c r="H13839" s="8" t="s">
        <v>53316</v>
      </c>
      <c r="I13839" s="8">
        <v>526.6875</v>
      </c>
      <c r="J13839" s="3">
        <f t="shared" si="216"/>
        <v>43749.510298842586</v>
      </c>
    </row>
    <row r="13840" spans="1:10" x14ac:dyDescent="0.25">
      <c r="A13840" s="5" t="s">
        <v>53317</v>
      </c>
      <c r="B13840" s="6">
        <v>393.75</v>
      </c>
      <c r="C13840" s="6">
        <v>20.584240000000001</v>
      </c>
      <c r="D13840" s="6">
        <v>55</v>
      </c>
      <c r="E13840" s="6">
        <v>0</v>
      </c>
      <c r="F13840" s="6">
        <v>0</v>
      </c>
      <c r="G13840" s="6">
        <v>9</v>
      </c>
      <c r="H13840" s="6" t="s">
        <v>53318</v>
      </c>
      <c r="I13840" s="6">
        <v>526.6875</v>
      </c>
      <c r="J13840" s="2">
        <f t="shared" si="216"/>
        <v>43749.510393993049</v>
      </c>
    </row>
    <row r="13841" spans="1:10" x14ac:dyDescent="0.25">
      <c r="A13841" s="7" t="s">
        <v>53319</v>
      </c>
      <c r="B13841" s="8">
        <v>393.75</v>
      </c>
      <c r="C13841" s="8">
        <v>20.478950000000001</v>
      </c>
      <c r="D13841" s="8">
        <v>55</v>
      </c>
      <c r="E13841" s="8">
        <v>0</v>
      </c>
      <c r="F13841" s="8">
        <v>0</v>
      </c>
      <c r="G13841" s="8">
        <v>8</v>
      </c>
      <c r="H13841" s="8" t="s">
        <v>53320</v>
      </c>
      <c r="I13841" s="8">
        <v>526.6875</v>
      </c>
      <c r="J13841" s="3">
        <f t="shared" si="216"/>
        <v>43749.510466678235</v>
      </c>
    </row>
    <row r="13842" spans="1:10" x14ac:dyDescent="0.25">
      <c r="A13842" s="5" t="s">
        <v>53321</v>
      </c>
      <c r="B13842" s="6">
        <v>393.75</v>
      </c>
      <c r="C13842" s="6">
        <v>20.584240000000001</v>
      </c>
      <c r="D13842" s="6">
        <v>55</v>
      </c>
      <c r="E13842" s="6">
        <v>0</v>
      </c>
      <c r="F13842" s="6">
        <v>0</v>
      </c>
      <c r="G13842" s="6">
        <v>6</v>
      </c>
      <c r="H13842" s="6" t="s">
        <v>53322</v>
      </c>
      <c r="I13842" s="6">
        <v>526.6875</v>
      </c>
      <c r="J13842" s="2">
        <f t="shared" si="216"/>
        <v>43749.510537407405</v>
      </c>
    </row>
    <row r="13843" spans="1:10" x14ac:dyDescent="0.25">
      <c r="A13843" s="7" t="s">
        <v>53323</v>
      </c>
      <c r="B13843" s="8">
        <v>393.75</v>
      </c>
      <c r="C13843" s="8">
        <v>20.531590000000001</v>
      </c>
      <c r="D13843" s="8">
        <v>58</v>
      </c>
      <c r="E13843" s="8">
        <v>0</v>
      </c>
      <c r="F13843" s="8">
        <v>0</v>
      </c>
      <c r="G13843" s="8">
        <v>4</v>
      </c>
      <c r="H13843" s="8" t="s">
        <v>53324</v>
      </c>
      <c r="I13843" s="8">
        <v>526.6875</v>
      </c>
      <c r="J13843" s="3">
        <f t="shared" si="216"/>
        <v>43749.510632569443</v>
      </c>
    </row>
    <row r="13844" spans="1:10" x14ac:dyDescent="0.25">
      <c r="A13844" s="5" t="s">
        <v>53325</v>
      </c>
      <c r="B13844" s="6">
        <v>393.75</v>
      </c>
      <c r="C13844" s="6">
        <v>20.531590000000001</v>
      </c>
      <c r="D13844" s="6">
        <v>58</v>
      </c>
      <c r="E13844" s="6">
        <v>0</v>
      </c>
      <c r="F13844" s="6">
        <v>0</v>
      </c>
      <c r="G13844" s="6">
        <v>3</v>
      </c>
      <c r="H13844" s="6" t="s">
        <v>53326</v>
      </c>
      <c r="I13844" s="6">
        <v>526.6875</v>
      </c>
      <c r="J13844" s="2">
        <f t="shared" si="216"/>
        <v>43749.510716342593</v>
      </c>
    </row>
    <row r="13845" spans="1:10" x14ac:dyDescent="0.25">
      <c r="A13845" s="7" t="s">
        <v>53327</v>
      </c>
      <c r="B13845" s="8">
        <v>393.75</v>
      </c>
      <c r="C13845" s="8">
        <v>20.584240000000001</v>
      </c>
      <c r="D13845" s="8">
        <v>57</v>
      </c>
      <c r="E13845" s="8">
        <v>0</v>
      </c>
      <c r="F13845" s="8">
        <v>0</v>
      </c>
      <c r="G13845" s="8">
        <v>2</v>
      </c>
      <c r="H13845" s="8" t="s">
        <v>53328</v>
      </c>
      <c r="I13845" s="8">
        <v>526.6875</v>
      </c>
      <c r="J13845" s="3">
        <f t="shared" si="216"/>
        <v>43749.510787962958</v>
      </c>
    </row>
    <row r="13846" spans="1:10" x14ac:dyDescent="0.25">
      <c r="A13846" s="5" t="s">
        <v>53329</v>
      </c>
      <c r="B13846" s="6">
        <v>393.75</v>
      </c>
      <c r="C13846" s="6">
        <v>20.478950000000001</v>
      </c>
      <c r="D13846" s="6">
        <v>57</v>
      </c>
      <c r="E13846" s="6">
        <v>0</v>
      </c>
      <c r="F13846" s="6">
        <v>0</v>
      </c>
      <c r="G13846" s="6">
        <v>12</v>
      </c>
      <c r="H13846" s="6" t="s">
        <v>53330</v>
      </c>
      <c r="I13846" s="6">
        <v>526.6875</v>
      </c>
      <c r="J13846" s="2">
        <f t="shared" si="216"/>
        <v>43749.510859513888</v>
      </c>
    </row>
    <row r="13847" spans="1:10" x14ac:dyDescent="0.25">
      <c r="A13847" s="7" t="s">
        <v>53331</v>
      </c>
      <c r="B13847" s="8">
        <v>393.75</v>
      </c>
      <c r="C13847" s="8">
        <v>20.531590000000001</v>
      </c>
      <c r="D13847" s="8">
        <v>57</v>
      </c>
      <c r="E13847" s="8">
        <v>0</v>
      </c>
      <c r="F13847" s="8">
        <v>0</v>
      </c>
      <c r="G13847" s="8">
        <v>0</v>
      </c>
      <c r="H13847" s="8" t="s">
        <v>53332</v>
      </c>
      <c r="I13847" s="8">
        <v>526.6875</v>
      </c>
      <c r="J13847" s="3">
        <f t="shared" si="216"/>
        <v>43749.510942939807</v>
      </c>
    </row>
    <row r="13848" spans="1:10" x14ac:dyDescent="0.25">
      <c r="A13848" s="5" t="s">
        <v>53333</v>
      </c>
      <c r="B13848" s="6">
        <v>393.75</v>
      </c>
      <c r="C13848" s="6">
        <v>20.531590000000001</v>
      </c>
      <c r="D13848" s="6">
        <v>58</v>
      </c>
      <c r="E13848" s="6">
        <v>0</v>
      </c>
      <c r="F13848" s="6">
        <v>0</v>
      </c>
      <c r="G13848" s="6">
        <v>2</v>
      </c>
      <c r="H13848" s="6" t="s">
        <v>53334</v>
      </c>
      <c r="I13848" s="6">
        <v>526.6875</v>
      </c>
      <c r="J13848" s="2">
        <f t="shared" si="216"/>
        <v>43749.511026527776</v>
      </c>
    </row>
    <row r="13849" spans="1:10" x14ac:dyDescent="0.25">
      <c r="A13849" s="7" t="s">
        <v>53335</v>
      </c>
      <c r="B13849" s="8">
        <v>393.75</v>
      </c>
      <c r="C13849" s="8">
        <v>20.531590000000001</v>
      </c>
      <c r="D13849" s="8">
        <v>59</v>
      </c>
      <c r="E13849" s="8">
        <v>0</v>
      </c>
      <c r="F13849" s="8">
        <v>0</v>
      </c>
      <c r="G13849" s="8">
        <v>7</v>
      </c>
      <c r="H13849" s="8" t="s">
        <v>53336</v>
      </c>
      <c r="I13849" s="8">
        <v>526.6875</v>
      </c>
      <c r="J13849" s="3">
        <f t="shared" si="216"/>
        <v>43749.511109976847</v>
      </c>
    </row>
    <row r="13850" spans="1:10" x14ac:dyDescent="0.25">
      <c r="A13850" s="5" t="s">
        <v>53337</v>
      </c>
      <c r="B13850" s="6">
        <v>393.75</v>
      </c>
      <c r="C13850" s="6">
        <v>20.531590000000001</v>
      </c>
      <c r="D13850" s="6">
        <v>59</v>
      </c>
      <c r="E13850" s="6">
        <v>0</v>
      </c>
      <c r="F13850" s="6">
        <v>0</v>
      </c>
      <c r="G13850" s="6">
        <v>9</v>
      </c>
      <c r="H13850" s="6" t="s">
        <v>53338</v>
      </c>
      <c r="I13850" s="6">
        <v>526.6875</v>
      </c>
      <c r="J13850" s="2">
        <f t="shared" si="216"/>
        <v>43749.511193425926</v>
      </c>
    </row>
    <row r="13851" spans="1:10" x14ac:dyDescent="0.25">
      <c r="A13851" s="7" t="s">
        <v>53339</v>
      </c>
      <c r="B13851" s="8">
        <v>393.75</v>
      </c>
      <c r="C13851" s="8">
        <v>20.531590000000001</v>
      </c>
      <c r="D13851" s="8">
        <v>58</v>
      </c>
      <c r="E13851" s="8">
        <v>0</v>
      </c>
      <c r="F13851" s="8">
        <v>0</v>
      </c>
      <c r="G13851" s="8">
        <v>10</v>
      </c>
      <c r="H13851" s="8" t="s">
        <v>53340</v>
      </c>
      <c r="I13851" s="8">
        <v>526.6875</v>
      </c>
      <c r="J13851" s="3">
        <f t="shared" si="216"/>
        <v>43749.511265416666</v>
      </c>
    </row>
    <row r="13852" spans="1:10" x14ac:dyDescent="0.25">
      <c r="A13852" s="5" t="s">
        <v>53341</v>
      </c>
      <c r="B13852" s="6">
        <v>393.75</v>
      </c>
      <c r="C13852" s="6">
        <v>20.531590000000001</v>
      </c>
      <c r="D13852" s="6">
        <v>58</v>
      </c>
      <c r="E13852" s="6">
        <v>0</v>
      </c>
      <c r="F13852" s="6">
        <v>0</v>
      </c>
      <c r="G13852" s="6">
        <v>5</v>
      </c>
      <c r="H13852" s="6" t="s">
        <v>53342</v>
      </c>
      <c r="I13852" s="6">
        <v>526.6875</v>
      </c>
      <c r="J13852" s="2">
        <f t="shared" si="216"/>
        <v>43749.511336585645</v>
      </c>
    </row>
    <row r="13853" spans="1:10" x14ac:dyDescent="0.25">
      <c r="A13853" s="7" t="s">
        <v>53343</v>
      </c>
      <c r="B13853" s="8">
        <v>393.75</v>
      </c>
      <c r="C13853" s="8">
        <v>20.531590000000001</v>
      </c>
      <c r="D13853" s="8">
        <v>58</v>
      </c>
      <c r="E13853" s="8">
        <v>0</v>
      </c>
      <c r="F13853" s="8">
        <v>0</v>
      </c>
      <c r="G13853" s="8">
        <v>0</v>
      </c>
      <c r="H13853" s="8" t="s">
        <v>53344</v>
      </c>
      <c r="I13853" s="8">
        <v>526.6875</v>
      </c>
      <c r="J13853" s="3">
        <f t="shared" si="216"/>
        <v>43749.511420277777</v>
      </c>
    </row>
    <row r="13854" spans="1:10" x14ac:dyDescent="0.25">
      <c r="A13854" s="5" t="s">
        <v>53345</v>
      </c>
      <c r="B13854" s="6">
        <v>393.75</v>
      </c>
      <c r="C13854" s="6">
        <v>20.584240000000001</v>
      </c>
      <c r="D13854" s="6">
        <v>58</v>
      </c>
      <c r="E13854" s="6">
        <v>0</v>
      </c>
      <c r="F13854" s="6">
        <v>0</v>
      </c>
      <c r="G13854" s="6">
        <v>10</v>
      </c>
      <c r="H13854" s="6" t="s">
        <v>53346</v>
      </c>
      <c r="I13854" s="6">
        <v>526.6875</v>
      </c>
      <c r="J13854" s="2">
        <f t="shared" si="216"/>
        <v>43749.511491689809</v>
      </c>
    </row>
    <row r="13855" spans="1:10" x14ac:dyDescent="0.25">
      <c r="A13855" s="7" t="s">
        <v>53347</v>
      </c>
      <c r="B13855" s="8">
        <v>393.75</v>
      </c>
      <c r="C13855" s="8">
        <v>20.478950000000001</v>
      </c>
      <c r="D13855" s="8">
        <v>57</v>
      </c>
      <c r="E13855" s="8">
        <v>0</v>
      </c>
      <c r="F13855" s="8">
        <v>0</v>
      </c>
      <c r="G13855" s="8">
        <v>7</v>
      </c>
      <c r="H13855" s="8" t="s">
        <v>53348</v>
      </c>
      <c r="I13855" s="8">
        <v>526.6875</v>
      </c>
      <c r="J13855" s="3">
        <f t="shared" si="216"/>
        <v>43749.51157490741</v>
      </c>
    </row>
    <row r="13856" spans="1:10" x14ac:dyDescent="0.25">
      <c r="A13856" s="5" t="s">
        <v>53349</v>
      </c>
      <c r="B13856" s="6">
        <v>393.75</v>
      </c>
      <c r="C13856" s="6">
        <v>20.478950000000001</v>
      </c>
      <c r="D13856" s="6">
        <v>57</v>
      </c>
      <c r="E13856" s="6">
        <v>0</v>
      </c>
      <c r="F13856" s="6">
        <v>0</v>
      </c>
      <c r="G13856" s="6">
        <v>4</v>
      </c>
      <c r="H13856" s="6" t="s">
        <v>53350</v>
      </c>
      <c r="I13856" s="6">
        <v>526.6875</v>
      </c>
      <c r="J13856" s="2">
        <f t="shared" si="216"/>
        <v>43749.511646666666</v>
      </c>
    </row>
    <row r="13857" spans="1:10" x14ac:dyDescent="0.25">
      <c r="A13857" s="7" t="s">
        <v>53351</v>
      </c>
      <c r="B13857" s="8">
        <v>393.75</v>
      </c>
      <c r="C13857" s="8">
        <v>20.531590000000001</v>
      </c>
      <c r="D13857" s="8">
        <v>54</v>
      </c>
      <c r="E13857" s="8">
        <v>0</v>
      </c>
      <c r="F13857" s="8">
        <v>0</v>
      </c>
      <c r="G13857" s="8">
        <v>7</v>
      </c>
      <c r="H13857" s="8" t="s">
        <v>53352</v>
      </c>
      <c r="I13857" s="8">
        <v>526.6875</v>
      </c>
      <c r="J13857" s="3">
        <f t="shared" si="216"/>
        <v>43749.511730231483</v>
      </c>
    </row>
    <row r="13858" spans="1:10" x14ac:dyDescent="0.25">
      <c r="A13858" s="5" t="s">
        <v>53353</v>
      </c>
      <c r="B13858" s="6">
        <v>393.75</v>
      </c>
      <c r="C13858" s="6">
        <v>20.531590000000001</v>
      </c>
      <c r="D13858" s="6">
        <v>55</v>
      </c>
      <c r="E13858" s="6">
        <v>0</v>
      </c>
      <c r="F13858" s="6">
        <v>0</v>
      </c>
      <c r="G13858" s="6">
        <v>9</v>
      </c>
      <c r="H13858" s="6" t="s">
        <v>53354</v>
      </c>
      <c r="I13858" s="6">
        <v>526.6875</v>
      </c>
      <c r="J13858" s="2">
        <f t="shared" si="216"/>
        <v>43749.51180177083</v>
      </c>
    </row>
    <row r="13859" spans="1:10" x14ac:dyDescent="0.25">
      <c r="A13859" s="7" t="s">
        <v>53355</v>
      </c>
      <c r="B13859" s="8">
        <v>393.75</v>
      </c>
      <c r="C13859" s="8">
        <v>20.531590000000001</v>
      </c>
      <c r="D13859" s="8">
        <v>55</v>
      </c>
      <c r="E13859" s="8">
        <v>0</v>
      </c>
      <c r="F13859" s="8">
        <v>0</v>
      </c>
      <c r="G13859" s="8">
        <v>9</v>
      </c>
      <c r="H13859" s="8" t="s">
        <v>53356</v>
      </c>
      <c r="I13859" s="8">
        <v>526.6875</v>
      </c>
      <c r="J13859" s="3">
        <f t="shared" si="216"/>
        <v>43749.511873298608</v>
      </c>
    </row>
    <row r="13860" spans="1:10" x14ac:dyDescent="0.25">
      <c r="A13860" s="5" t="s">
        <v>53357</v>
      </c>
      <c r="B13860" s="6">
        <v>393.75</v>
      </c>
      <c r="C13860" s="6">
        <v>20.531590000000001</v>
      </c>
      <c r="D13860" s="6">
        <v>55</v>
      </c>
      <c r="E13860" s="6">
        <v>0</v>
      </c>
      <c r="F13860" s="6">
        <v>0</v>
      </c>
      <c r="G13860" s="6">
        <v>4</v>
      </c>
      <c r="H13860" s="6" t="s">
        <v>53358</v>
      </c>
      <c r="I13860" s="6">
        <v>526.6875</v>
      </c>
      <c r="J13860" s="2">
        <f t="shared" si="216"/>
        <v>43749.511956493057</v>
      </c>
    </row>
    <row r="13861" spans="1:10" x14ac:dyDescent="0.25">
      <c r="A13861" s="7" t="s">
        <v>53359</v>
      </c>
      <c r="B13861" s="8">
        <v>393.75</v>
      </c>
      <c r="C13861" s="8">
        <v>20.531590000000001</v>
      </c>
      <c r="D13861" s="8">
        <v>55</v>
      </c>
      <c r="E13861" s="8">
        <v>0</v>
      </c>
      <c r="F13861" s="8">
        <v>0</v>
      </c>
      <c r="G13861" s="8">
        <v>7</v>
      </c>
      <c r="H13861" s="8" t="s">
        <v>53360</v>
      </c>
      <c r="I13861" s="8">
        <v>526.6875</v>
      </c>
      <c r="J13861" s="3">
        <f t="shared" si="216"/>
        <v>43749.512028379628</v>
      </c>
    </row>
    <row r="13862" spans="1:10" x14ac:dyDescent="0.25">
      <c r="A13862" s="5" t="s">
        <v>53361</v>
      </c>
      <c r="B13862" s="6">
        <v>393.75</v>
      </c>
      <c r="C13862" s="6">
        <v>20.531590000000001</v>
      </c>
      <c r="D13862" s="6">
        <v>56</v>
      </c>
      <c r="E13862" s="6">
        <v>0</v>
      </c>
      <c r="F13862" s="6">
        <v>0</v>
      </c>
      <c r="G13862" s="6">
        <v>11</v>
      </c>
      <c r="H13862" s="6" t="s">
        <v>53362</v>
      </c>
      <c r="I13862" s="6">
        <v>526.6875</v>
      </c>
      <c r="J13862" s="2">
        <f t="shared" si="216"/>
        <v>43749.512112048607</v>
      </c>
    </row>
    <row r="13863" spans="1:10" x14ac:dyDescent="0.25">
      <c r="A13863" s="7" t="s">
        <v>53363</v>
      </c>
      <c r="B13863" s="8">
        <v>393.75</v>
      </c>
      <c r="C13863" s="8">
        <v>20.531590000000001</v>
      </c>
      <c r="D13863" s="8">
        <v>56</v>
      </c>
      <c r="E13863" s="8">
        <v>0</v>
      </c>
      <c r="F13863" s="8">
        <v>0</v>
      </c>
      <c r="G13863" s="8">
        <v>6</v>
      </c>
      <c r="H13863" s="8" t="s">
        <v>53364</v>
      </c>
      <c r="I13863" s="8">
        <v>526.6875</v>
      </c>
      <c r="J13863" s="3">
        <f t="shared" si="216"/>
        <v>43749.512195277777</v>
      </c>
    </row>
    <row r="13864" spans="1:10" x14ac:dyDescent="0.25">
      <c r="A13864" s="5" t="s">
        <v>53365</v>
      </c>
      <c r="B13864" s="6">
        <v>393.75</v>
      </c>
      <c r="C13864" s="6">
        <v>20.584240000000001</v>
      </c>
      <c r="D13864" s="6">
        <v>56</v>
      </c>
      <c r="E13864" s="6">
        <v>0</v>
      </c>
      <c r="F13864" s="6">
        <v>0</v>
      </c>
      <c r="G13864" s="6">
        <v>3</v>
      </c>
      <c r="H13864" s="6" t="s">
        <v>53366</v>
      </c>
      <c r="I13864" s="6">
        <v>526.5</v>
      </c>
      <c r="J13864" s="2">
        <f t="shared" si="216"/>
        <v>43749.512266909718</v>
      </c>
    </row>
    <row r="13865" spans="1:10" x14ac:dyDescent="0.25">
      <c r="A13865" s="7" t="s">
        <v>53367</v>
      </c>
      <c r="B13865" s="8">
        <v>393.75</v>
      </c>
      <c r="C13865" s="8">
        <v>20.531590000000001</v>
      </c>
      <c r="D13865" s="8">
        <v>55</v>
      </c>
      <c r="E13865" s="8">
        <v>0</v>
      </c>
      <c r="F13865" s="8">
        <v>0</v>
      </c>
      <c r="G13865" s="8">
        <v>7</v>
      </c>
      <c r="H13865" s="8" t="s">
        <v>53368</v>
      </c>
      <c r="I13865" s="8">
        <v>526.6875</v>
      </c>
      <c r="J13865" s="3">
        <f t="shared" si="216"/>
        <v>43749.51235034722</v>
      </c>
    </row>
    <row r="13866" spans="1:10" x14ac:dyDescent="0.25">
      <c r="A13866" s="5" t="s">
        <v>53369</v>
      </c>
      <c r="B13866" s="6">
        <v>393.75</v>
      </c>
      <c r="C13866" s="6">
        <v>20.531590000000001</v>
      </c>
      <c r="D13866" s="6">
        <v>56</v>
      </c>
      <c r="E13866" s="6">
        <v>0</v>
      </c>
      <c r="F13866" s="6">
        <v>0</v>
      </c>
      <c r="G13866" s="6">
        <v>0</v>
      </c>
      <c r="H13866" s="6" t="s">
        <v>53370</v>
      </c>
      <c r="I13866" s="6">
        <v>526.6875</v>
      </c>
      <c r="J13866" s="2">
        <f t="shared" si="216"/>
        <v>43749.512433807868</v>
      </c>
    </row>
    <row r="13867" spans="1:10" x14ac:dyDescent="0.25">
      <c r="A13867" s="7" t="s">
        <v>53371</v>
      </c>
      <c r="B13867" s="8">
        <v>393.75</v>
      </c>
      <c r="C13867" s="8">
        <v>20.531590000000001</v>
      </c>
      <c r="D13867" s="8">
        <v>57</v>
      </c>
      <c r="E13867" s="8">
        <v>0</v>
      </c>
      <c r="F13867" s="8">
        <v>0</v>
      </c>
      <c r="G13867" s="8">
        <v>0</v>
      </c>
      <c r="H13867" s="8" t="s">
        <v>53372</v>
      </c>
      <c r="I13867" s="8">
        <v>526.6875</v>
      </c>
      <c r="J13867" s="3">
        <f t="shared" si="216"/>
        <v>43749.512529340274</v>
      </c>
    </row>
    <row r="13868" spans="1:10" x14ac:dyDescent="0.25">
      <c r="A13868" s="5" t="s">
        <v>53373</v>
      </c>
      <c r="B13868" s="6">
        <v>393.75</v>
      </c>
      <c r="C13868" s="6">
        <v>20.531590000000001</v>
      </c>
      <c r="D13868" s="6">
        <v>56</v>
      </c>
      <c r="E13868" s="6">
        <v>0</v>
      </c>
      <c r="F13868" s="6">
        <v>0</v>
      </c>
      <c r="G13868" s="6">
        <v>9</v>
      </c>
      <c r="H13868" s="6" t="s">
        <v>53374</v>
      </c>
      <c r="I13868" s="6">
        <v>526.6875</v>
      </c>
      <c r="J13868" s="2">
        <f t="shared" si="216"/>
        <v>43749.512612777777</v>
      </c>
    </row>
    <row r="13869" spans="1:10" x14ac:dyDescent="0.25">
      <c r="A13869" s="7" t="s">
        <v>53375</v>
      </c>
      <c r="B13869" s="8">
        <v>393.75</v>
      </c>
      <c r="C13869" s="8">
        <v>20.531590000000001</v>
      </c>
      <c r="D13869" s="8">
        <v>58</v>
      </c>
      <c r="E13869" s="8">
        <v>0</v>
      </c>
      <c r="F13869" s="8">
        <v>0</v>
      </c>
      <c r="G13869" s="8">
        <v>3</v>
      </c>
      <c r="H13869" s="8" t="s">
        <v>53376</v>
      </c>
      <c r="I13869" s="8">
        <v>526.6875</v>
      </c>
      <c r="J13869" s="3">
        <f t="shared" si="216"/>
        <v>43749.512696377315</v>
      </c>
    </row>
    <row r="13870" spans="1:10" x14ac:dyDescent="0.25">
      <c r="A13870" s="5" t="s">
        <v>53377</v>
      </c>
      <c r="B13870" s="6">
        <v>393.75</v>
      </c>
      <c r="C13870" s="6">
        <v>20.531590000000001</v>
      </c>
      <c r="D13870" s="6">
        <v>59</v>
      </c>
      <c r="E13870" s="6">
        <v>0</v>
      </c>
      <c r="F13870" s="6">
        <v>0</v>
      </c>
      <c r="G13870" s="6">
        <v>2</v>
      </c>
      <c r="H13870" s="6" t="s">
        <v>53378</v>
      </c>
      <c r="I13870" s="6">
        <v>526.6875</v>
      </c>
      <c r="J13870" s="2">
        <f t="shared" si="216"/>
        <v>43749.512779791665</v>
      </c>
    </row>
    <row r="13871" spans="1:10" x14ac:dyDescent="0.25">
      <c r="A13871" s="7" t="s">
        <v>53379</v>
      </c>
      <c r="B13871" s="8">
        <v>415.625</v>
      </c>
      <c r="C13871" s="8">
        <v>20.531590000000001</v>
      </c>
      <c r="D13871" s="8">
        <v>57</v>
      </c>
      <c r="E13871" s="8">
        <v>0</v>
      </c>
      <c r="F13871" s="8">
        <v>0</v>
      </c>
      <c r="G13871" s="8">
        <v>7</v>
      </c>
      <c r="H13871" s="8" t="s">
        <v>53380</v>
      </c>
      <c r="I13871" s="8">
        <v>533.0625</v>
      </c>
      <c r="J13871" s="3">
        <f t="shared" si="216"/>
        <v>43749.512863252312</v>
      </c>
    </row>
    <row r="13872" spans="1:10" x14ac:dyDescent="0.25">
      <c r="A13872" s="5" t="s">
        <v>53381</v>
      </c>
      <c r="B13872" s="6">
        <v>393.75</v>
      </c>
      <c r="C13872" s="6">
        <v>20.584240000000001</v>
      </c>
      <c r="D13872" s="6">
        <v>57</v>
      </c>
      <c r="E13872" s="6">
        <v>0</v>
      </c>
      <c r="F13872" s="6">
        <v>0</v>
      </c>
      <c r="G13872" s="6">
        <v>3</v>
      </c>
      <c r="H13872" s="6" t="s">
        <v>53382</v>
      </c>
      <c r="I13872" s="6">
        <v>526.6875</v>
      </c>
      <c r="J13872" s="2">
        <f t="shared" si="216"/>
        <v>43749.512946701383</v>
      </c>
    </row>
    <row r="13873" spans="1:10" x14ac:dyDescent="0.25">
      <c r="A13873" s="7" t="s">
        <v>53383</v>
      </c>
      <c r="B13873" s="8">
        <v>393.75</v>
      </c>
      <c r="C13873" s="8">
        <v>20.478950000000001</v>
      </c>
      <c r="D13873" s="8">
        <v>53</v>
      </c>
      <c r="E13873" s="8">
        <v>0</v>
      </c>
      <c r="F13873" s="8">
        <v>0</v>
      </c>
      <c r="G13873" s="8">
        <v>0</v>
      </c>
      <c r="H13873" s="8" t="s">
        <v>53384</v>
      </c>
      <c r="I13873" s="8">
        <v>526.6875</v>
      </c>
      <c r="J13873" s="3">
        <f t="shared" si="216"/>
        <v>43749.513030243055</v>
      </c>
    </row>
    <row r="13874" spans="1:10" x14ac:dyDescent="0.25">
      <c r="A13874" s="5" t="s">
        <v>53385</v>
      </c>
      <c r="B13874" s="6">
        <v>393.75</v>
      </c>
      <c r="C13874" s="6">
        <v>20.584240000000001</v>
      </c>
      <c r="D13874" s="6">
        <v>54</v>
      </c>
      <c r="E13874" s="6">
        <v>0</v>
      </c>
      <c r="F13874" s="6">
        <v>0</v>
      </c>
      <c r="G13874" s="6">
        <v>0</v>
      </c>
      <c r="H13874" s="6" t="s">
        <v>53386</v>
      </c>
      <c r="I13874" s="6">
        <v>526.6875</v>
      </c>
      <c r="J13874" s="2">
        <f t="shared" si="216"/>
        <v>43749.513113703702</v>
      </c>
    </row>
    <row r="13875" spans="1:10" x14ac:dyDescent="0.25">
      <c r="A13875" s="7" t="s">
        <v>53387</v>
      </c>
      <c r="B13875" s="8">
        <v>393.75</v>
      </c>
      <c r="C13875" s="8">
        <v>20.478950000000001</v>
      </c>
      <c r="D13875" s="8">
        <v>54</v>
      </c>
      <c r="E13875" s="8">
        <v>0</v>
      </c>
      <c r="F13875" s="8">
        <v>0</v>
      </c>
      <c r="G13875" s="8">
        <v>5</v>
      </c>
      <c r="H13875" s="8" t="s">
        <v>53388</v>
      </c>
      <c r="I13875" s="8">
        <v>526.6875</v>
      </c>
      <c r="J13875" s="3">
        <f t="shared" si="216"/>
        <v>43749.513185358795</v>
      </c>
    </row>
    <row r="13876" spans="1:10" x14ac:dyDescent="0.25">
      <c r="A13876" s="5" t="s">
        <v>53389</v>
      </c>
      <c r="B13876" s="6">
        <v>393.75</v>
      </c>
      <c r="C13876" s="6">
        <v>20.531590000000001</v>
      </c>
      <c r="D13876" s="6">
        <v>55</v>
      </c>
      <c r="E13876" s="6">
        <v>0</v>
      </c>
      <c r="F13876" s="6">
        <v>0</v>
      </c>
      <c r="G13876" s="6">
        <v>6</v>
      </c>
      <c r="H13876" s="6" t="s">
        <v>53390</v>
      </c>
      <c r="I13876" s="6">
        <v>526.6875</v>
      </c>
      <c r="J13876" s="2">
        <f t="shared" si="216"/>
        <v>43749.513268796298</v>
      </c>
    </row>
    <row r="13877" spans="1:10" x14ac:dyDescent="0.25">
      <c r="A13877" s="7" t="s">
        <v>53391</v>
      </c>
      <c r="B13877" s="8">
        <v>393.75</v>
      </c>
      <c r="C13877" s="8">
        <v>20.478950000000001</v>
      </c>
      <c r="D13877" s="8">
        <v>54</v>
      </c>
      <c r="E13877" s="8">
        <v>0</v>
      </c>
      <c r="F13877" s="8">
        <v>0</v>
      </c>
      <c r="G13877" s="8">
        <v>9</v>
      </c>
      <c r="H13877" s="8" t="s">
        <v>53392</v>
      </c>
      <c r="I13877" s="8">
        <v>526.6875</v>
      </c>
      <c r="J13877" s="3">
        <f t="shared" si="216"/>
        <v>43749.513352256945</v>
      </c>
    </row>
    <row r="13878" spans="1:10" x14ac:dyDescent="0.25">
      <c r="A13878" s="5" t="s">
        <v>53393</v>
      </c>
      <c r="B13878" s="6">
        <v>393.75</v>
      </c>
      <c r="C13878" s="6">
        <v>20.531590000000001</v>
      </c>
      <c r="D13878" s="6">
        <v>56</v>
      </c>
      <c r="E13878" s="6">
        <v>0</v>
      </c>
      <c r="F13878" s="6">
        <v>0</v>
      </c>
      <c r="G13878" s="6">
        <v>5</v>
      </c>
      <c r="H13878" s="6" t="s">
        <v>53394</v>
      </c>
      <c r="I13878" s="6">
        <v>526.6875</v>
      </c>
      <c r="J13878" s="2">
        <f t="shared" si="216"/>
        <v>43749.513435821755</v>
      </c>
    </row>
    <row r="13879" spans="1:10" x14ac:dyDescent="0.25">
      <c r="A13879" s="7" t="s">
        <v>53395</v>
      </c>
      <c r="B13879" s="8">
        <v>393.75</v>
      </c>
      <c r="C13879" s="8">
        <v>20.478950000000001</v>
      </c>
      <c r="D13879" s="8">
        <v>58</v>
      </c>
      <c r="E13879" s="8">
        <v>0</v>
      </c>
      <c r="F13879" s="8">
        <v>0</v>
      </c>
      <c r="G13879" s="8">
        <v>10</v>
      </c>
      <c r="H13879" s="8" t="s">
        <v>53396</v>
      </c>
      <c r="I13879" s="8">
        <v>526.6875</v>
      </c>
      <c r="J13879" s="3">
        <f t="shared" si="216"/>
        <v>43749.51351950231</v>
      </c>
    </row>
    <row r="13880" spans="1:10" x14ac:dyDescent="0.25">
      <c r="A13880" s="5" t="s">
        <v>53397</v>
      </c>
      <c r="B13880" s="6">
        <v>393.75</v>
      </c>
      <c r="C13880" s="6">
        <v>20.531590000000001</v>
      </c>
      <c r="D13880" s="6">
        <v>58</v>
      </c>
      <c r="E13880" s="6">
        <v>0</v>
      </c>
      <c r="F13880" s="6">
        <v>0</v>
      </c>
      <c r="G13880" s="6">
        <v>6</v>
      </c>
      <c r="H13880" s="6" t="s">
        <v>53398</v>
      </c>
      <c r="I13880" s="6">
        <v>526.6875</v>
      </c>
      <c r="J13880" s="2">
        <f t="shared" si="216"/>
        <v>43749.51360273148</v>
      </c>
    </row>
    <row r="13881" spans="1:10" x14ac:dyDescent="0.25">
      <c r="A13881" s="7" t="s">
        <v>53399</v>
      </c>
      <c r="B13881" s="8">
        <v>393.75</v>
      </c>
      <c r="C13881" s="8">
        <v>20.531590000000001</v>
      </c>
      <c r="D13881" s="8">
        <v>57</v>
      </c>
      <c r="E13881" s="8">
        <v>0</v>
      </c>
      <c r="F13881" s="8">
        <v>0</v>
      </c>
      <c r="G13881" s="8">
        <v>5</v>
      </c>
      <c r="H13881" s="8" t="s">
        <v>53400</v>
      </c>
      <c r="I13881" s="8">
        <v>526.6875</v>
      </c>
      <c r="J13881" s="3">
        <f t="shared" si="216"/>
        <v>43749.513690775457</v>
      </c>
    </row>
    <row r="13882" spans="1:10" x14ac:dyDescent="0.25">
      <c r="A13882" s="5" t="s">
        <v>53401</v>
      </c>
      <c r="B13882" s="6">
        <v>393.75</v>
      </c>
      <c r="C13882" s="6">
        <v>20.478950000000001</v>
      </c>
      <c r="D13882" s="6">
        <v>58</v>
      </c>
      <c r="E13882" s="6">
        <v>0</v>
      </c>
      <c r="F13882" s="6">
        <v>0</v>
      </c>
      <c r="G13882" s="6">
        <v>15</v>
      </c>
      <c r="H13882" s="6" t="s">
        <v>53402</v>
      </c>
      <c r="I13882" s="6">
        <v>526.6875</v>
      </c>
      <c r="J13882" s="2">
        <f t="shared" si="216"/>
        <v>43749.513769733792</v>
      </c>
    </row>
    <row r="13883" spans="1:10" x14ac:dyDescent="0.25">
      <c r="A13883" s="7" t="s">
        <v>53403</v>
      </c>
      <c r="B13883" s="8">
        <v>415.625</v>
      </c>
      <c r="C13883" s="8">
        <v>20.531590000000001</v>
      </c>
      <c r="D13883" s="8">
        <v>58</v>
      </c>
      <c r="E13883" s="8">
        <v>0</v>
      </c>
      <c r="F13883" s="8">
        <v>0</v>
      </c>
      <c r="G13883" s="8">
        <v>20</v>
      </c>
      <c r="H13883" s="8" t="s">
        <v>53404</v>
      </c>
      <c r="I13883" s="8">
        <v>533.0625</v>
      </c>
      <c r="J13883" s="3">
        <f t="shared" si="216"/>
        <v>43749.513852951386</v>
      </c>
    </row>
    <row r="13884" spans="1:10" x14ac:dyDescent="0.25">
      <c r="A13884" s="5" t="s">
        <v>53405</v>
      </c>
      <c r="B13884" s="6">
        <v>393.75</v>
      </c>
      <c r="C13884" s="6">
        <v>20.531590000000001</v>
      </c>
      <c r="D13884" s="6">
        <v>58</v>
      </c>
      <c r="E13884" s="6">
        <v>0</v>
      </c>
      <c r="F13884" s="6">
        <v>0</v>
      </c>
      <c r="G13884" s="6">
        <v>2</v>
      </c>
      <c r="H13884" s="6" t="s">
        <v>53406</v>
      </c>
      <c r="I13884" s="6">
        <v>526.6875</v>
      </c>
      <c r="J13884" s="2">
        <f t="shared" si="216"/>
        <v>43749.513924479164</v>
      </c>
    </row>
    <row r="13885" spans="1:10" x14ac:dyDescent="0.25">
      <c r="A13885" s="7" t="s">
        <v>53407</v>
      </c>
      <c r="B13885" s="8">
        <v>393.75</v>
      </c>
      <c r="C13885" s="8">
        <v>20.531590000000001</v>
      </c>
      <c r="D13885" s="8">
        <v>57</v>
      </c>
      <c r="E13885" s="8">
        <v>0</v>
      </c>
      <c r="F13885" s="8">
        <v>0</v>
      </c>
      <c r="G13885" s="8">
        <v>19</v>
      </c>
      <c r="H13885" s="8" t="s">
        <v>53408</v>
      </c>
      <c r="I13885" s="8">
        <v>526.6875</v>
      </c>
      <c r="J13885" s="3">
        <f t="shared" si="216"/>
        <v>43749.51400826389</v>
      </c>
    </row>
    <row r="13886" spans="1:10" x14ac:dyDescent="0.25">
      <c r="A13886" s="5" t="s">
        <v>53409</v>
      </c>
      <c r="B13886" s="6">
        <v>412.5</v>
      </c>
      <c r="C13886" s="6">
        <v>20.584240000000001</v>
      </c>
      <c r="D13886" s="6">
        <v>57</v>
      </c>
      <c r="E13886" s="6">
        <v>0</v>
      </c>
      <c r="F13886" s="6">
        <v>0</v>
      </c>
      <c r="G13886" s="6">
        <v>14</v>
      </c>
      <c r="H13886" s="6" t="s">
        <v>53410</v>
      </c>
      <c r="I13886" s="6">
        <v>532.3125</v>
      </c>
      <c r="J13886" s="2">
        <f t="shared" si="216"/>
        <v>43749.514081886569</v>
      </c>
    </row>
    <row r="13887" spans="1:10" x14ac:dyDescent="0.25">
      <c r="A13887" s="7" t="s">
        <v>53411</v>
      </c>
      <c r="B13887" s="8">
        <v>393.75</v>
      </c>
      <c r="C13887" s="8">
        <v>20.531590000000001</v>
      </c>
      <c r="D13887" s="8">
        <v>57</v>
      </c>
      <c r="E13887" s="8">
        <v>0</v>
      </c>
      <c r="F13887" s="8">
        <v>0</v>
      </c>
      <c r="G13887" s="8">
        <v>16</v>
      </c>
      <c r="H13887" s="8" t="s">
        <v>53412</v>
      </c>
      <c r="I13887" s="8">
        <v>526.6875</v>
      </c>
      <c r="J13887" s="3">
        <f t="shared" si="216"/>
        <v>43749.514163252308</v>
      </c>
    </row>
    <row r="13888" spans="1:10" x14ac:dyDescent="0.25">
      <c r="A13888" s="5" t="s">
        <v>53413</v>
      </c>
      <c r="B13888" s="6">
        <v>393.75</v>
      </c>
      <c r="C13888" s="6">
        <v>20.584240000000001</v>
      </c>
      <c r="D13888" s="6">
        <v>56</v>
      </c>
      <c r="E13888" s="6">
        <v>0</v>
      </c>
      <c r="F13888" s="6">
        <v>0</v>
      </c>
      <c r="G13888" s="6">
        <v>7</v>
      </c>
      <c r="H13888" s="6" t="s">
        <v>53414</v>
      </c>
      <c r="I13888" s="6">
        <v>526.6875</v>
      </c>
      <c r="J13888" s="2">
        <f t="shared" si="216"/>
        <v>43749.514235115734</v>
      </c>
    </row>
    <row r="13889" spans="1:10" x14ac:dyDescent="0.25">
      <c r="A13889" s="7" t="s">
        <v>53415</v>
      </c>
      <c r="B13889" s="8">
        <v>393.75</v>
      </c>
      <c r="C13889" s="8">
        <v>20.584240000000001</v>
      </c>
      <c r="D13889" s="8">
        <v>57</v>
      </c>
      <c r="E13889" s="8">
        <v>0</v>
      </c>
      <c r="F13889" s="8">
        <v>0</v>
      </c>
      <c r="G13889" s="8">
        <v>13</v>
      </c>
      <c r="H13889" s="8" t="s">
        <v>53416</v>
      </c>
      <c r="I13889" s="8">
        <v>526.6875</v>
      </c>
      <c r="J13889" s="3">
        <f t="shared" si="216"/>
        <v>43749.514306423611</v>
      </c>
    </row>
    <row r="13890" spans="1:10" x14ac:dyDescent="0.25">
      <c r="A13890" s="5" t="s">
        <v>53417</v>
      </c>
      <c r="B13890" s="6">
        <v>393.75</v>
      </c>
      <c r="C13890" s="6">
        <v>20.478950000000001</v>
      </c>
      <c r="D13890" s="6">
        <v>56</v>
      </c>
      <c r="E13890" s="6">
        <v>0</v>
      </c>
      <c r="F13890" s="6">
        <v>0</v>
      </c>
      <c r="G13890" s="6">
        <v>9</v>
      </c>
      <c r="H13890" s="6" t="s">
        <v>53418</v>
      </c>
      <c r="I13890" s="6">
        <v>526.6875</v>
      </c>
      <c r="J13890" s="2">
        <f t="shared" ref="J13890:J13953" si="217">(H13890/86400000)+25569+(7/24)</f>
        <v>43749.514389756943</v>
      </c>
    </row>
    <row r="13891" spans="1:10" x14ac:dyDescent="0.25">
      <c r="A13891" s="7" t="s">
        <v>53419</v>
      </c>
      <c r="B13891" s="8">
        <v>393.75</v>
      </c>
      <c r="C13891" s="8">
        <v>20.531590000000001</v>
      </c>
      <c r="D13891" s="8">
        <v>56</v>
      </c>
      <c r="E13891" s="8">
        <v>0</v>
      </c>
      <c r="F13891" s="8">
        <v>0</v>
      </c>
      <c r="G13891" s="8">
        <v>19</v>
      </c>
      <c r="H13891" s="8" t="s">
        <v>53420</v>
      </c>
      <c r="I13891" s="8">
        <v>526.5</v>
      </c>
      <c r="J13891" s="3">
        <f t="shared" si="217"/>
        <v>43749.514473414347</v>
      </c>
    </row>
    <row r="13892" spans="1:10" x14ac:dyDescent="0.25">
      <c r="A13892" s="5" t="s">
        <v>53421</v>
      </c>
      <c r="B13892" s="6">
        <v>412.5</v>
      </c>
      <c r="C13892" s="6">
        <v>20.478950000000001</v>
      </c>
      <c r="D13892" s="6">
        <v>56</v>
      </c>
      <c r="E13892" s="6">
        <v>0</v>
      </c>
      <c r="F13892" s="6">
        <v>0</v>
      </c>
      <c r="G13892" s="6">
        <v>21</v>
      </c>
      <c r="H13892" s="6" t="s">
        <v>53422</v>
      </c>
      <c r="I13892" s="6">
        <v>532.3125</v>
      </c>
      <c r="J13892" s="2">
        <f t="shared" si="217"/>
        <v>43749.514544837955</v>
      </c>
    </row>
    <row r="13893" spans="1:10" x14ac:dyDescent="0.25">
      <c r="A13893" s="7" t="s">
        <v>53423</v>
      </c>
      <c r="B13893" s="8">
        <v>393.75</v>
      </c>
      <c r="C13893" s="8">
        <v>20.531590000000001</v>
      </c>
      <c r="D13893" s="8">
        <v>53</v>
      </c>
      <c r="E13893" s="8">
        <v>0</v>
      </c>
      <c r="F13893" s="8">
        <v>0</v>
      </c>
      <c r="G13893" s="8">
        <v>14</v>
      </c>
      <c r="H13893" s="8" t="s">
        <v>53424</v>
      </c>
      <c r="I13893" s="8">
        <v>526.6875</v>
      </c>
      <c r="J13893" s="3">
        <f t="shared" si="217"/>
        <v>43749.514628425924</v>
      </c>
    </row>
    <row r="13894" spans="1:10" x14ac:dyDescent="0.25">
      <c r="A13894" s="5" t="s">
        <v>53425</v>
      </c>
      <c r="B13894" s="6">
        <v>393.75</v>
      </c>
      <c r="C13894" s="6">
        <v>20.478950000000001</v>
      </c>
      <c r="D13894" s="6">
        <v>53</v>
      </c>
      <c r="E13894" s="6">
        <v>0</v>
      </c>
      <c r="F13894" s="6">
        <v>0</v>
      </c>
      <c r="G13894" s="6">
        <v>14</v>
      </c>
      <c r="H13894" s="6" t="s">
        <v>53426</v>
      </c>
      <c r="I13894" s="6">
        <v>526.6875</v>
      </c>
      <c r="J13894" s="2">
        <f t="shared" si="217"/>
        <v>43749.514712094904</v>
      </c>
    </row>
    <row r="13895" spans="1:10" x14ac:dyDescent="0.25">
      <c r="A13895" s="7" t="s">
        <v>53427</v>
      </c>
      <c r="B13895" s="8">
        <v>393.75</v>
      </c>
      <c r="C13895" s="8">
        <v>20.531590000000001</v>
      </c>
      <c r="D13895" s="8">
        <v>55</v>
      </c>
      <c r="E13895" s="8">
        <v>0</v>
      </c>
      <c r="F13895" s="8">
        <v>0</v>
      </c>
      <c r="G13895" s="8">
        <v>5</v>
      </c>
      <c r="H13895" s="8" t="s">
        <v>53428</v>
      </c>
      <c r="I13895" s="8">
        <v>526.6875</v>
      </c>
      <c r="J13895" s="3">
        <f t="shared" si="217"/>
        <v>43749.514795428237</v>
      </c>
    </row>
    <row r="13896" spans="1:10" x14ac:dyDescent="0.25">
      <c r="A13896" s="5" t="s">
        <v>53429</v>
      </c>
      <c r="B13896" s="6">
        <v>393.75</v>
      </c>
      <c r="C13896" s="6">
        <v>20.531590000000001</v>
      </c>
      <c r="D13896" s="6">
        <v>56</v>
      </c>
      <c r="E13896" s="6">
        <v>0</v>
      </c>
      <c r="F13896" s="6">
        <v>0</v>
      </c>
      <c r="G13896" s="6">
        <v>8</v>
      </c>
      <c r="H13896" s="6" t="s">
        <v>53430</v>
      </c>
      <c r="I13896" s="6">
        <v>526.6875</v>
      </c>
      <c r="J13896" s="2">
        <f t="shared" si="217"/>
        <v>43749.51487864583</v>
      </c>
    </row>
    <row r="13897" spans="1:10" x14ac:dyDescent="0.25">
      <c r="A13897" s="7" t="s">
        <v>53431</v>
      </c>
      <c r="B13897" s="8">
        <v>412.5</v>
      </c>
      <c r="C13897" s="8">
        <v>20.531590000000001</v>
      </c>
      <c r="D13897" s="8">
        <v>52</v>
      </c>
      <c r="E13897" s="8">
        <v>0</v>
      </c>
      <c r="F13897" s="8">
        <v>0</v>
      </c>
      <c r="G13897" s="8">
        <v>18</v>
      </c>
      <c r="H13897" s="8" t="s">
        <v>53432</v>
      </c>
      <c r="I13897" s="8">
        <v>532.875</v>
      </c>
      <c r="J13897" s="3">
        <f t="shared" si="217"/>
        <v>43749.514950509256</v>
      </c>
    </row>
    <row r="13898" spans="1:10" x14ac:dyDescent="0.25">
      <c r="A13898" s="5" t="s">
        <v>53433</v>
      </c>
      <c r="B13898" s="6">
        <v>393.75</v>
      </c>
      <c r="C13898" s="6">
        <v>20.531590000000001</v>
      </c>
      <c r="D13898" s="6">
        <v>52</v>
      </c>
      <c r="E13898" s="6">
        <v>0</v>
      </c>
      <c r="F13898" s="6">
        <v>0</v>
      </c>
      <c r="G13898" s="6">
        <v>17</v>
      </c>
      <c r="H13898" s="6" t="s">
        <v>53434</v>
      </c>
      <c r="I13898" s="6">
        <v>526.6875</v>
      </c>
      <c r="J13898" s="2">
        <f t="shared" si="217"/>
        <v>43749.515039062499</v>
      </c>
    </row>
    <row r="13899" spans="1:10" x14ac:dyDescent="0.25">
      <c r="A13899" s="7" t="s">
        <v>53435</v>
      </c>
      <c r="B13899" s="8">
        <v>393.75</v>
      </c>
      <c r="C13899" s="8">
        <v>20.531590000000001</v>
      </c>
      <c r="D13899" s="8">
        <v>52</v>
      </c>
      <c r="E13899" s="8">
        <v>0</v>
      </c>
      <c r="F13899" s="8">
        <v>0</v>
      </c>
      <c r="G13899" s="8">
        <v>9</v>
      </c>
      <c r="H13899" s="8" t="s">
        <v>53436</v>
      </c>
      <c r="I13899" s="8">
        <v>526.6875</v>
      </c>
      <c r="J13899" s="3">
        <f t="shared" si="217"/>
        <v>43749.51511753472</v>
      </c>
    </row>
    <row r="13900" spans="1:10" x14ac:dyDescent="0.25">
      <c r="A13900" s="5" t="s">
        <v>53437</v>
      </c>
      <c r="B13900" s="6">
        <v>393.75</v>
      </c>
      <c r="C13900" s="6">
        <v>20.531590000000001</v>
      </c>
      <c r="D13900" s="6">
        <v>52</v>
      </c>
      <c r="E13900" s="6">
        <v>0</v>
      </c>
      <c r="F13900" s="6">
        <v>0</v>
      </c>
      <c r="G13900" s="6">
        <v>18</v>
      </c>
      <c r="H13900" s="6" t="s">
        <v>53438</v>
      </c>
      <c r="I13900" s="6">
        <v>526.6875</v>
      </c>
      <c r="J13900" s="2">
        <f t="shared" si="217"/>
        <v>43749.515212847218</v>
      </c>
    </row>
    <row r="13901" spans="1:10" x14ac:dyDescent="0.25">
      <c r="A13901" s="7" t="s">
        <v>53439</v>
      </c>
      <c r="B13901" s="8">
        <v>393.75</v>
      </c>
      <c r="C13901" s="8">
        <v>20.584240000000001</v>
      </c>
      <c r="D13901" s="8">
        <v>52</v>
      </c>
      <c r="E13901" s="8">
        <v>0</v>
      </c>
      <c r="F13901" s="8">
        <v>0</v>
      </c>
      <c r="G13901" s="8">
        <v>15</v>
      </c>
      <c r="H13901" s="8" t="s">
        <v>53440</v>
      </c>
      <c r="I13901" s="8">
        <v>526.6875</v>
      </c>
      <c r="J13901" s="3">
        <f t="shared" si="217"/>
        <v>43749.515284351852</v>
      </c>
    </row>
    <row r="13902" spans="1:10" x14ac:dyDescent="0.25">
      <c r="A13902" s="5" t="s">
        <v>53441</v>
      </c>
      <c r="B13902" s="6">
        <v>412.5</v>
      </c>
      <c r="C13902" s="6">
        <v>20.531590000000001</v>
      </c>
      <c r="D13902" s="6">
        <v>51</v>
      </c>
      <c r="E13902" s="6">
        <v>0</v>
      </c>
      <c r="F13902" s="6">
        <v>0</v>
      </c>
      <c r="G13902" s="6">
        <v>8</v>
      </c>
      <c r="H13902" s="6" t="s">
        <v>53442</v>
      </c>
      <c r="I13902" s="6">
        <v>532.3125</v>
      </c>
      <c r="J13902" s="2">
        <f t="shared" si="217"/>
        <v>43749.515367569438</v>
      </c>
    </row>
    <row r="13903" spans="1:10" x14ac:dyDescent="0.25">
      <c r="A13903" s="7" t="s">
        <v>53443</v>
      </c>
      <c r="B13903" s="8">
        <v>393.75</v>
      </c>
      <c r="C13903" s="8">
        <v>20.478950000000001</v>
      </c>
      <c r="D13903" s="8">
        <v>51</v>
      </c>
      <c r="E13903" s="8">
        <v>0</v>
      </c>
      <c r="F13903" s="8">
        <v>0</v>
      </c>
      <c r="G13903" s="8">
        <v>15</v>
      </c>
      <c r="H13903" s="8" t="s">
        <v>53444</v>
      </c>
      <c r="I13903" s="8">
        <v>526.6875</v>
      </c>
      <c r="J13903" s="3">
        <f t="shared" si="217"/>
        <v>43749.515439456016</v>
      </c>
    </row>
    <row r="13904" spans="1:10" x14ac:dyDescent="0.25">
      <c r="A13904" s="5" t="s">
        <v>53445</v>
      </c>
      <c r="B13904" s="6">
        <v>393.75</v>
      </c>
      <c r="C13904" s="6">
        <v>20.478950000000001</v>
      </c>
      <c r="D13904" s="6">
        <v>53</v>
      </c>
      <c r="E13904" s="6">
        <v>0</v>
      </c>
      <c r="F13904" s="6">
        <v>0</v>
      </c>
      <c r="G13904" s="6">
        <v>15</v>
      </c>
      <c r="H13904" s="6" t="s">
        <v>53446</v>
      </c>
      <c r="I13904" s="6">
        <v>526.6875</v>
      </c>
      <c r="J13904" s="2">
        <f t="shared" si="217"/>
        <v>43749.515523032409</v>
      </c>
    </row>
    <row r="13905" spans="1:10" x14ac:dyDescent="0.25">
      <c r="A13905" s="7" t="s">
        <v>53447</v>
      </c>
      <c r="B13905" s="8">
        <v>412.5</v>
      </c>
      <c r="C13905" s="8">
        <v>20.478950000000001</v>
      </c>
      <c r="D13905" s="8">
        <v>53</v>
      </c>
      <c r="E13905" s="8">
        <v>0</v>
      </c>
      <c r="F13905" s="8">
        <v>0</v>
      </c>
      <c r="G13905" s="8">
        <v>12</v>
      </c>
      <c r="H13905" s="8" t="s">
        <v>53448</v>
      </c>
      <c r="I13905" s="8">
        <v>532.3125</v>
      </c>
      <c r="J13905" s="3">
        <f t="shared" si="217"/>
        <v>43749.515594548611</v>
      </c>
    </row>
    <row r="13906" spans="1:10" x14ac:dyDescent="0.25">
      <c r="A13906" s="5" t="s">
        <v>53449</v>
      </c>
      <c r="B13906" s="6">
        <v>393.75</v>
      </c>
      <c r="C13906" s="6">
        <v>20.478950000000001</v>
      </c>
      <c r="D13906" s="6">
        <v>52</v>
      </c>
      <c r="E13906" s="6">
        <v>0</v>
      </c>
      <c r="F13906" s="6">
        <v>0</v>
      </c>
      <c r="G13906" s="6">
        <v>0</v>
      </c>
      <c r="H13906" s="6" t="s">
        <v>53450</v>
      </c>
      <c r="I13906" s="6">
        <v>526.6875</v>
      </c>
      <c r="J13906" s="2">
        <f t="shared" si="217"/>
        <v>43749.515677986106</v>
      </c>
    </row>
    <row r="13907" spans="1:10" x14ac:dyDescent="0.25">
      <c r="A13907" s="7" t="s">
        <v>53451</v>
      </c>
      <c r="B13907" s="8">
        <v>393.75</v>
      </c>
      <c r="C13907" s="8">
        <v>20.584240000000001</v>
      </c>
      <c r="D13907" s="8">
        <v>54</v>
      </c>
      <c r="E13907" s="8">
        <v>0</v>
      </c>
      <c r="F13907" s="8">
        <v>0</v>
      </c>
      <c r="G13907" s="8">
        <v>7</v>
      </c>
      <c r="H13907" s="8" t="s">
        <v>53452</v>
      </c>
      <c r="I13907" s="8">
        <v>526.5</v>
      </c>
      <c r="J13907" s="3">
        <f t="shared" si="217"/>
        <v>43749.515749305552</v>
      </c>
    </row>
    <row r="13908" spans="1:10" x14ac:dyDescent="0.25">
      <c r="A13908" s="5" t="s">
        <v>53453</v>
      </c>
      <c r="B13908" s="6">
        <v>415.625</v>
      </c>
      <c r="C13908" s="6">
        <v>20.531590000000001</v>
      </c>
      <c r="D13908" s="6">
        <v>54</v>
      </c>
      <c r="E13908" s="6">
        <v>0</v>
      </c>
      <c r="F13908" s="6">
        <v>0</v>
      </c>
      <c r="G13908" s="6">
        <v>4</v>
      </c>
      <c r="H13908" s="6" t="s">
        <v>53454</v>
      </c>
      <c r="I13908" s="6">
        <v>533.625</v>
      </c>
      <c r="J13908" s="2">
        <f t="shared" si="217"/>
        <v>43749.515821157409</v>
      </c>
    </row>
    <row r="13909" spans="1:10" x14ac:dyDescent="0.25">
      <c r="A13909" s="7" t="s">
        <v>53455</v>
      </c>
      <c r="B13909" s="8">
        <v>393.75</v>
      </c>
      <c r="C13909" s="8">
        <v>20.584240000000001</v>
      </c>
      <c r="D13909" s="8">
        <v>54</v>
      </c>
      <c r="E13909" s="8">
        <v>0</v>
      </c>
      <c r="F13909" s="8">
        <v>0</v>
      </c>
      <c r="G13909" s="8">
        <v>4</v>
      </c>
      <c r="H13909" s="8" t="s">
        <v>53456</v>
      </c>
      <c r="I13909" s="8">
        <v>526.5</v>
      </c>
      <c r="J13909" s="3">
        <f t="shared" si="217"/>
        <v>43749.515892569441</v>
      </c>
    </row>
    <row r="13910" spans="1:10" x14ac:dyDescent="0.25">
      <c r="A13910" s="5" t="s">
        <v>53457</v>
      </c>
      <c r="B13910" s="6">
        <v>393.75</v>
      </c>
      <c r="C13910" s="6">
        <v>20.584240000000001</v>
      </c>
      <c r="D13910" s="6">
        <v>54</v>
      </c>
      <c r="E13910" s="6">
        <v>0</v>
      </c>
      <c r="F13910" s="6">
        <v>0</v>
      </c>
      <c r="G13910" s="6">
        <v>5</v>
      </c>
      <c r="H13910" s="6" t="s">
        <v>53458</v>
      </c>
      <c r="I13910" s="6">
        <v>526.6875</v>
      </c>
      <c r="J13910" s="2">
        <f t="shared" si="217"/>
        <v>43749.515963888887</v>
      </c>
    </row>
    <row r="13911" spans="1:10" x14ac:dyDescent="0.25">
      <c r="A13911" s="7" t="s">
        <v>53459</v>
      </c>
      <c r="B13911" s="8">
        <v>393.75</v>
      </c>
      <c r="C13911" s="8">
        <v>20.584240000000001</v>
      </c>
      <c r="D13911" s="8">
        <v>52</v>
      </c>
      <c r="E13911" s="8">
        <v>0</v>
      </c>
      <c r="F13911" s="8">
        <v>0</v>
      </c>
      <c r="G13911" s="8">
        <v>0</v>
      </c>
      <c r="H13911" s="8" t="s">
        <v>53460</v>
      </c>
      <c r="I13911" s="8">
        <v>526.6875</v>
      </c>
      <c r="J13911" s="3">
        <f t="shared" si="217"/>
        <v>43749.516035763889</v>
      </c>
    </row>
    <row r="13912" spans="1:10" x14ac:dyDescent="0.25">
      <c r="A13912" s="5" t="s">
        <v>53461</v>
      </c>
      <c r="B13912" s="6">
        <v>393.75</v>
      </c>
      <c r="C13912" s="6">
        <v>20.584240000000001</v>
      </c>
      <c r="D13912" s="6">
        <v>53</v>
      </c>
      <c r="E13912" s="6">
        <v>0</v>
      </c>
      <c r="F13912" s="6">
        <v>0</v>
      </c>
      <c r="G13912" s="6">
        <v>0</v>
      </c>
      <c r="H13912" s="6" t="s">
        <v>53462</v>
      </c>
      <c r="I13912" s="6">
        <v>526.6875</v>
      </c>
      <c r="J13912" s="2">
        <f t="shared" si="217"/>
        <v>43749.516119444444</v>
      </c>
    </row>
    <row r="13913" spans="1:10" x14ac:dyDescent="0.25">
      <c r="A13913" s="7" t="s">
        <v>53463</v>
      </c>
      <c r="B13913" s="8">
        <v>393.75</v>
      </c>
      <c r="C13913" s="8">
        <v>20.531590000000001</v>
      </c>
      <c r="D13913" s="8">
        <v>53</v>
      </c>
      <c r="E13913" s="8">
        <v>0</v>
      </c>
      <c r="F13913" s="8">
        <v>0</v>
      </c>
      <c r="G13913" s="8">
        <v>0</v>
      </c>
      <c r="H13913" s="8" t="s">
        <v>53464</v>
      </c>
      <c r="I13913" s="8">
        <v>526.6875</v>
      </c>
      <c r="J13913" s="3">
        <f t="shared" si="217"/>
        <v>43749.516202754625</v>
      </c>
    </row>
    <row r="13914" spans="1:10" x14ac:dyDescent="0.25">
      <c r="A13914" s="5" t="s">
        <v>53465</v>
      </c>
      <c r="B13914" s="6">
        <v>393.75</v>
      </c>
      <c r="C13914" s="6">
        <v>20.584240000000001</v>
      </c>
      <c r="D13914" s="6">
        <v>53</v>
      </c>
      <c r="E13914" s="6">
        <v>0</v>
      </c>
      <c r="F13914" s="6">
        <v>0</v>
      </c>
      <c r="G13914" s="6">
        <v>7</v>
      </c>
      <c r="H13914" s="6" t="s">
        <v>53466</v>
      </c>
      <c r="I13914" s="6">
        <v>526.6875</v>
      </c>
      <c r="J13914" s="2">
        <f t="shared" si="217"/>
        <v>43749.516274444446</v>
      </c>
    </row>
    <row r="13915" spans="1:10" x14ac:dyDescent="0.25">
      <c r="A13915" s="7" t="s">
        <v>53467</v>
      </c>
      <c r="B13915" s="8">
        <v>412.5</v>
      </c>
      <c r="C13915" s="8">
        <v>20.531590000000001</v>
      </c>
      <c r="D13915" s="8">
        <v>52</v>
      </c>
      <c r="E13915" s="8">
        <v>0</v>
      </c>
      <c r="F13915" s="8">
        <v>0</v>
      </c>
      <c r="G13915" s="8">
        <v>0</v>
      </c>
      <c r="H13915" s="8" t="s">
        <v>53468</v>
      </c>
      <c r="I13915" s="8">
        <v>532.3125</v>
      </c>
      <c r="J13915" s="3">
        <f t="shared" si="217"/>
        <v>43749.516357858789</v>
      </c>
    </row>
    <row r="13916" spans="1:10" x14ac:dyDescent="0.25">
      <c r="A13916" s="5" t="s">
        <v>53469</v>
      </c>
      <c r="B13916" s="6">
        <v>393.75</v>
      </c>
      <c r="C13916" s="6">
        <v>20.531590000000001</v>
      </c>
      <c r="D13916" s="6">
        <v>53</v>
      </c>
      <c r="E13916" s="6">
        <v>0</v>
      </c>
      <c r="F13916" s="6">
        <v>0</v>
      </c>
      <c r="G13916" s="6">
        <v>5</v>
      </c>
      <c r="H13916" s="6" t="s">
        <v>53470</v>
      </c>
      <c r="I13916" s="6">
        <v>526.6875</v>
      </c>
      <c r="J13916" s="2">
        <f t="shared" si="217"/>
        <v>43749.516441296299</v>
      </c>
    </row>
    <row r="13917" spans="1:10" x14ac:dyDescent="0.25">
      <c r="A13917" s="7" t="s">
        <v>53471</v>
      </c>
      <c r="B13917" s="8">
        <v>393.75</v>
      </c>
      <c r="C13917" s="8">
        <v>20.531590000000001</v>
      </c>
      <c r="D13917" s="8">
        <v>53</v>
      </c>
      <c r="E13917" s="8">
        <v>0</v>
      </c>
      <c r="F13917" s="8">
        <v>0</v>
      </c>
      <c r="G13917" s="8">
        <v>0</v>
      </c>
      <c r="H13917" s="8" t="s">
        <v>53472</v>
      </c>
      <c r="I13917" s="8">
        <v>526.6875</v>
      </c>
      <c r="J13917" s="3">
        <f t="shared" si="217"/>
        <v>43749.516512847222</v>
      </c>
    </row>
    <row r="13918" spans="1:10" x14ac:dyDescent="0.25">
      <c r="A13918" s="5" t="s">
        <v>53473</v>
      </c>
      <c r="B13918" s="6">
        <v>393.75</v>
      </c>
      <c r="C13918" s="6">
        <v>20.531590000000001</v>
      </c>
      <c r="D13918" s="6">
        <v>53</v>
      </c>
      <c r="E13918" s="6">
        <v>0</v>
      </c>
      <c r="F13918" s="6">
        <v>0</v>
      </c>
      <c r="G13918" s="6">
        <v>8</v>
      </c>
      <c r="H13918" s="6" t="s">
        <v>53474</v>
      </c>
      <c r="I13918" s="6">
        <v>526.6875</v>
      </c>
      <c r="J13918" s="2">
        <f t="shared" si="217"/>
        <v>43749.516584479163</v>
      </c>
    </row>
    <row r="13919" spans="1:10" x14ac:dyDescent="0.25">
      <c r="A13919" s="7" t="s">
        <v>53475</v>
      </c>
      <c r="B13919" s="8">
        <v>393.75</v>
      </c>
      <c r="C13919" s="8">
        <v>20.478950000000001</v>
      </c>
      <c r="D13919" s="8">
        <v>53</v>
      </c>
      <c r="E13919" s="8">
        <v>0</v>
      </c>
      <c r="F13919" s="8">
        <v>0</v>
      </c>
      <c r="G13919" s="8">
        <v>10</v>
      </c>
      <c r="H13919" s="8" t="s">
        <v>53476</v>
      </c>
      <c r="I13919" s="8">
        <v>526.6875</v>
      </c>
      <c r="J13919" s="3">
        <f t="shared" si="217"/>
        <v>43749.516656006941</v>
      </c>
    </row>
    <row r="13920" spans="1:10" x14ac:dyDescent="0.25">
      <c r="A13920" s="5" t="s">
        <v>53477</v>
      </c>
      <c r="B13920" s="6">
        <v>393.75</v>
      </c>
      <c r="C13920" s="6">
        <v>20.531590000000001</v>
      </c>
      <c r="D13920" s="6">
        <v>53</v>
      </c>
      <c r="E13920" s="6">
        <v>0</v>
      </c>
      <c r="F13920" s="6">
        <v>0</v>
      </c>
      <c r="G13920" s="6">
        <v>4</v>
      </c>
      <c r="H13920" s="6" t="s">
        <v>53478</v>
      </c>
      <c r="I13920" s="6">
        <v>526.6875</v>
      </c>
      <c r="J13920" s="2">
        <f t="shared" si="217"/>
        <v>43749.516727638889</v>
      </c>
    </row>
    <row r="13921" spans="1:10" x14ac:dyDescent="0.25">
      <c r="A13921" s="7" t="s">
        <v>53479</v>
      </c>
      <c r="B13921" s="8">
        <v>393.75</v>
      </c>
      <c r="C13921" s="8">
        <v>20.531590000000001</v>
      </c>
      <c r="D13921" s="8">
        <v>53</v>
      </c>
      <c r="E13921" s="8">
        <v>0</v>
      </c>
      <c r="F13921" s="8">
        <v>0</v>
      </c>
      <c r="G13921" s="8">
        <v>6</v>
      </c>
      <c r="H13921" s="8" t="s">
        <v>53480</v>
      </c>
      <c r="I13921" s="8">
        <v>526.6875</v>
      </c>
      <c r="J13921" s="3">
        <f t="shared" si="217"/>
        <v>43749.516799189812</v>
      </c>
    </row>
    <row r="13922" spans="1:10" x14ac:dyDescent="0.25">
      <c r="A13922" s="5" t="s">
        <v>53481</v>
      </c>
      <c r="B13922" s="6">
        <v>412.5</v>
      </c>
      <c r="C13922" s="6">
        <v>20.531590000000001</v>
      </c>
      <c r="D13922" s="6">
        <v>54</v>
      </c>
      <c r="E13922" s="6">
        <v>0</v>
      </c>
      <c r="F13922" s="6">
        <v>0</v>
      </c>
      <c r="G13922" s="6">
        <v>3</v>
      </c>
      <c r="H13922" s="6" t="s">
        <v>53482</v>
      </c>
      <c r="I13922" s="6">
        <v>532.3125</v>
      </c>
      <c r="J13922" s="2">
        <f t="shared" si="217"/>
        <v>43749.516870717591</v>
      </c>
    </row>
    <row r="13923" spans="1:10" x14ac:dyDescent="0.25">
      <c r="A13923" s="7" t="s">
        <v>53483</v>
      </c>
      <c r="B13923" s="8">
        <v>393.75</v>
      </c>
      <c r="C13923" s="8">
        <v>20.584240000000001</v>
      </c>
      <c r="D13923" s="8">
        <v>54</v>
      </c>
      <c r="E13923" s="8">
        <v>0</v>
      </c>
      <c r="F13923" s="8">
        <v>0</v>
      </c>
      <c r="G13923" s="8">
        <v>0</v>
      </c>
      <c r="H13923" s="8" t="s">
        <v>53484</v>
      </c>
      <c r="I13923" s="8">
        <v>526.6875</v>
      </c>
      <c r="J13923" s="3">
        <f t="shared" si="217"/>
        <v>43749.516954282408</v>
      </c>
    </row>
    <row r="13924" spans="1:10" x14ac:dyDescent="0.25">
      <c r="A13924" s="5" t="s">
        <v>53485</v>
      </c>
      <c r="B13924" s="6">
        <v>393.75</v>
      </c>
      <c r="C13924" s="6">
        <v>20.531590000000001</v>
      </c>
      <c r="D13924" s="6">
        <v>54</v>
      </c>
      <c r="E13924" s="6">
        <v>0</v>
      </c>
      <c r="F13924" s="6">
        <v>0</v>
      </c>
      <c r="G13924" s="6">
        <v>0</v>
      </c>
      <c r="H13924" s="6" t="s">
        <v>53486</v>
      </c>
      <c r="I13924" s="6">
        <v>526.6875</v>
      </c>
      <c r="J13924" s="2">
        <f t="shared" si="217"/>
        <v>43749.51702569444</v>
      </c>
    </row>
    <row r="13925" spans="1:10" x14ac:dyDescent="0.25">
      <c r="A13925" s="7" t="s">
        <v>53487</v>
      </c>
      <c r="B13925" s="8">
        <v>393.75</v>
      </c>
      <c r="C13925" s="8">
        <v>20.531590000000001</v>
      </c>
      <c r="D13925" s="8">
        <v>54</v>
      </c>
      <c r="E13925" s="8">
        <v>0</v>
      </c>
      <c r="F13925" s="8">
        <v>0</v>
      </c>
      <c r="G13925" s="8">
        <v>9</v>
      </c>
      <c r="H13925" s="8" t="s">
        <v>53488</v>
      </c>
      <c r="I13925" s="8">
        <v>526.6875</v>
      </c>
      <c r="J13925" s="3">
        <f t="shared" si="217"/>
        <v>43749.517109247681</v>
      </c>
    </row>
    <row r="13926" spans="1:10" x14ac:dyDescent="0.25">
      <c r="A13926" s="5" t="s">
        <v>53489</v>
      </c>
      <c r="B13926" s="6">
        <v>393.75</v>
      </c>
      <c r="C13926" s="6">
        <v>20.478950000000001</v>
      </c>
      <c r="D13926" s="6">
        <v>55</v>
      </c>
      <c r="E13926" s="6">
        <v>0</v>
      </c>
      <c r="F13926" s="6">
        <v>0</v>
      </c>
      <c r="G13926" s="6">
        <v>13</v>
      </c>
      <c r="H13926" s="6" t="s">
        <v>53490</v>
      </c>
      <c r="I13926" s="6">
        <v>526.6875</v>
      </c>
      <c r="J13926" s="2">
        <f t="shared" si="217"/>
        <v>43749.51718077546</v>
      </c>
    </row>
    <row r="13927" spans="1:10" x14ac:dyDescent="0.25">
      <c r="A13927" s="7" t="s">
        <v>53491</v>
      </c>
      <c r="B13927" s="8">
        <v>393.75</v>
      </c>
      <c r="C13927" s="8">
        <v>20.531590000000001</v>
      </c>
      <c r="D13927" s="8">
        <v>55</v>
      </c>
      <c r="E13927" s="8">
        <v>0</v>
      </c>
      <c r="F13927" s="8">
        <v>0</v>
      </c>
      <c r="G13927" s="8">
        <v>0</v>
      </c>
      <c r="H13927" s="8" t="s">
        <v>53492</v>
      </c>
      <c r="I13927" s="8">
        <v>526.6875</v>
      </c>
      <c r="J13927" s="3">
        <f t="shared" si="217"/>
        <v>43749.517252407408</v>
      </c>
    </row>
    <row r="13928" spans="1:10" x14ac:dyDescent="0.25">
      <c r="A13928" s="5" t="s">
        <v>53493</v>
      </c>
      <c r="B13928" s="6">
        <v>393.75</v>
      </c>
      <c r="C13928" s="6">
        <v>20.531590000000001</v>
      </c>
      <c r="D13928" s="6">
        <v>56</v>
      </c>
      <c r="E13928" s="6">
        <v>0</v>
      </c>
      <c r="F13928" s="6">
        <v>0</v>
      </c>
      <c r="G13928" s="6">
        <v>4</v>
      </c>
      <c r="H13928" s="6" t="s">
        <v>53494</v>
      </c>
      <c r="I13928" s="6">
        <v>526.6875</v>
      </c>
      <c r="J13928" s="2">
        <f t="shared" si="217"/>
        <v>43749.517323935179</v>
      </c>
    </row>
    <row r="13929" spans="1:10" x14ac:dyDescent="0.25">
      <c r="A13929" s="7" t="s">
        <v>53495</v>
      </c>
      <c r="B13929" s="8">
        <v>412.5</v>
      </c>
      <c r="C13929" s="8">
        <v>20.584240000000001</v>
      </c>
      <c r="D13929" s="8">
        <v>54</v>
      </c>
      <c r="E13929" s="8">
        <v>0</v>
      </c>
      <c r="F13929" s="8">
        <v>0</v>
      </c>
      <c r="G13929" s="8">
        <v>5</v>
      </c>
      <c r="H13929" s="8" t="s">
        <v>53496</v>
      </c>
      <c r="I13929" s="8">
        <v>532.3125</v>
      </c>
      <c r="J13929" s="3">
        <f t="shared" si="217"/>
        <v>43749.517395578696</v>
      </c>
    </row>
    <row r="13930" spans="1:10" x14ac:dyDescent="0.25">
      <c r="A13930" s="5" t="s">
        <v>53497</v>
      </c>
      <c r="B13930" s="6">
        <v>393.75</v>
      </c>
      <c r="C13930" s="6">
        <v>20.531590000000001</v>
      </c>
      <c r="D13930" s="6">
        <v>54</v>
      </c>
      <c r="E13930" s="6">
        <v>0</v>
      </c>
      <c r="F13930" s="6">
        <v>0</v>
      </c>
      <c r="G13930" s="6">
        <v>12</v>
      </c>
      <c r="H13930" s="6" t="s">
        <v>53498</v>
      </c>
      <c r="I13930" s="6">
        <v>526.6875</v>
      </c>
      <c r="J13930" s="2">
        <f t="shared" si="217"/>
        <v>43749.517467106481</v>
      </c>
    </row>
    <row r="13931" spans="1:10" x14ac:dyDescent="0.25">
      <c r="A13931" s="7" t="s">
        <v>53499</v>
      </c>
      <c r="B13931" s="8">
        <v>393.75</v>
      </c>
      <c r="C13931" s="8">
        <v>20.584240000000001</v>
      </c>
      <c r="D13931" s="8">
        <v>54</v>
      </c>
      <c r="E13931" s="8">
        <v>0</v>
      </c>
      <c r="F13931" s="8">
        <v>0</v>
      </c>
      <c r="G13931" s="8">
        <v>8</v>
      </c>
      <c r="H13931" s="8" t="s">
        <v>53500</v>
      </c>
      <c r="I13931" s="8">
        <v>526.6875</v>
      </c>
      <c r="J13931" s="3">
        <f t="shared" si="217"/>
        <v>43749.517538657405</v>
      </c>
    </row>
    <row r="13932" spans="1:10" x14ac:dyDescent="0.25">
      <c r="A13932" s="5" t="s">
        <v>53501</v>
      </c>
      <c r="B13932" s="6">
        <v>390.625</v>
      </c>
      <c r="C13932" s="6">
        <v>20.478950000000001</v>
      </c>
      <c r="D13932" s="6">
        <v>54</v>
      </c>
      <c r="E13932" s="6">
        <v>0</v>
      </c>
      <c r="F13932" s="6">
        <v>0</v>
      </c>
      <c r="G13932" s="6">
        <v>5</v>
      </c>
      <c r="H13932" s="6" t="s">
        <v>53502</v>
      </c>
      <c r="I13932" s="6">
        <v>525.9375</v>
      </c>
      <c r="J13932" s="2">
        <f t="shared" si="217"/>
        <v>43749.517610162038</v>
      </c>
    </row>
    <row r="13933" spans="1:10" x14ac:dyDescent="0.25">
      <c r="A13933" s="7" t="s">
        <v>53503</v>
      </c>
      <c r="B13933" s="8">
        <v>393.75</v>
      </c>
      <c r="C13933" s="8">
        <v>20.531590000000001</v>
      </c>
      <c r="D13933" s="8">
        <v>54</v>
      </c>
      <c r="E13933" s="8">
        <v>0</v>
      </c>
      <c r="F13933" s="8">
        <v>0</v>
      </c>
      <c r="G13933" s="8">
        <v>11</v>
      </c>
      <c r="H13933" s="8" t="s">
        <v>53504</v>
      </c>
      <c r="I13933" s="8">
        <v>526.6875</v>
      </c>
      <c r="J13933" s="3">
        <f t="shared" si="217"/>
        <v>43749.517697569441</v>
      </c>
    </row>
    <row r="13934" spans="1:10" x14ac:dyDescent="0.25">
      <c r="A13934" s="5" t="s">
        <v>53505</v>
      </c>
      <c r="B13934" s="6">
        <v>393.75</v>
      </c>
      <c r="C13934" s="6">
        <v>20.531590000000001</v>
      </c>
      <c r="D13934" s="6">
        <v>54</v>
      </c>
      <c r="E13934" s="6">
        <v>0</v>
      </c>
      <c r="F13934" s="6">
        <v>0</v>
      </c>
      <c r="G13934" s="6">
        <v>17</v>
      </c>
      <c r="H13934" s="6" t="s">
        <v>53506</v>
      </c>
      <c r="I13934" s="6">
        <v>526.6875</v>
      </c>
      <c r="J13934" s="2">
        <f t="shared" si="217"/>
        <v>43749.517776886576</v>
      </c>
    </row>
    <row r="13935" spans="1:10" x14ac:dyDescent="0.25">
      <c r="A13935" s="7" t="s">
        <v>53507</v>
      </c>
      <c r="B13935" s="8">
        <v>393.75</v>
      </c>
      <c r="C13935" s="8">
        <v>20.531590000000001</v>
      </c>
      <c r="D13935" s="8">
        <v>52</v>
      </c>
      <c r="E13935" s="8">
        <v>0</v>
      </c>
      <c r="F13935" s="8">
        <v>0</v>
      </c>
      <c r="G13935" s="8">
        <v>19</v>
      </c>
      <c r="H13935" s="8" t="s">
        <v>53508</v>
      </c>
      <c r="I13935" s="8">
        <v>526.6875</v>
      </c>
      <c r="J13935" s="3">
        <f t="shared" si="217"/>
        <v>43749.517860902772</v>
      </c>
    </row>
    <row r="13936" spans="1:10" x14ac:dyDescent="0.25">
      <c r="A13936" s="5" t="s">
        <v>53509</v>
      </c>
      <c r="B13936" s="6">
        <v>393.75</v>
      </c>
      <c r="C13936" s="6">
        <v>20.531590000000001</v>
      </c>
      <c r="D13936" s="6">
        <v>52</v>
      </c>
      <c r="E13936" s="6">
        <v>0</v>
      </c>
      <c r="F13936" s="6">
        <v>0</v>
      </c>
      <c r="G13936" s="6">
        <v>14</v>
      </c>
      <c r="H13936" s="6" t="s">
        <v>53510</v>
      </c>
      <c r="I13936" s="6">
        <v>526.6875</v>
      </c>
      <c r="J13936" s="2">
        <f t="shared" si="217"/>
        <v>43749.517932337963</v>
      </c>
    </row>
    <row r="13937" spans="1:10" x14ac:dyDescent="0.25">
      <c r="A13937" s="7" t="s">
        <v>53511</v>
      </c>
      <c r="B13937" s="8">
        <v>393.75</v>
      </c>
      <c r="C13937" s="8">
        <v>20.531590000000001</v>
      </c>
      <c r="D13937" s="8">
        <v>54</v>
      </c>
      <c r="E13937" s="8">
        <v>0</v>
      </c>
      <c r="F13937" s="8">
        <v>0</v>
      </c>
      <c r="G13937" s="8">
        <v>14</v>
      </c>
      <c r="H13937" s="8" t="s">
        <v>53512</v>
      </c>
      <c r="I13937" s="8">
        <v>526.6875</v>
      </c>
      <c r="J13937" s="3">
        <f t="shared" si="217"/>
        <v>43749.51801565972</v>
      </c>
    </row>
    <row r="13938" spans="1:10" x14ac:dyDescent="0.25">
      <c r="A13938" s="5" t="s">
        <v>53513</v>
      </c>
      <c r="B13938" s="6">
        <v>393.75</v>
      </c>
      <c r="C13938" s="6">
        <v>20.584240000000001</v>
      </c>
      <c r="D13938" s="6">
        <v>54</v>
      </c>
      <c r="E13938" s="6">
        <v>0</v>
      </c>
      <c r="F13938" s="6">
        <v>0</v>
      </c>
      <c r="G13938" s="6">
        <v>10</v>
      </c>
      <c r="H13938" s="6" t="s">
        <v>53514</v>
      </c>
      <c r="I13938" s="6">
        <v>526.6875</v>
      </c>
      <c r="J13938" s="2">
        <f t="shared" si="217"/>
        <v>43749.518099351852</v>
      </c>
    </row>
    <row r="13939" spans="1:10" x14ac:dyDescent="0.25">
      <c r="A13939" s="7" t="s">
        <v>53515</v>
      </c>
      <c r="B13939" s="8">
        <v>393.75</v>
      </c>
      <c r="C13939" s="8">
        <v>20.531590000000001</v>
      </c>
      <c r="D13939" s="8">
        <v>54</v>
      </c>
      <c r="E13939" s="8">
        <v>0</v>
      </c>
      <c r="F13939" s="8">
        <v>0</v>
      </c>
      <c r="G13939" s="8">
        <v>7</v>
      </c>
      <c r="H13939" s="8" t="s">
        <v>53516</v>
      </c>
      <c r="I13939" s="8">
        <v>526.6875</v>
      </c>
      <c r="J13939" s="3">
        <f t="shared" si="217"/>
        <v>43749.518182442123</v>
      </c>
    </row>
    <row r="13940" spans="1:10" x14ac:dyDescent="0.25">
      <c r="A13940" s="5" t="s">
        <v>53517</v>
      </c>
      <c r="B13940" s="6">
        <v>393.75</v>
      </c>
      <c r="C13940" s="6">
        <v>20.531590000000001</v>
      </c>
      <c r="D13940" s="6">
        <v>54</v>
      </c>
      <c r="E13940" s="6">
        <v>0</v>
      </c>
      <c r="F13940" s="6">
        <v>0</v>
      </c>
      <c r="G13940" s="6">
        <v>7</v>
      </c>
      <c r="H13940" s="6" t="s">
        <v>53518</v>
      </c>
      <c r="I13940" s="6">
        <v>526.6875</v>
      </c>
      <c r="J13940" s="2">
        <f t="shared" si="217"/>
        <v>43749.518253958326</v>
      </c>
    </row>
    <row r="13941" spans="1:10" x14ac:dyDescent="0.25">
      <c r="A13941" s="7" t="s">
        <v>53519</v>
      </c>
      <c r="B13941" s="8">
        <v>393.75</v>
      </c>
      <c r="C13941" s="8">
        <v>20.478950000000001</v>
      </c>
      <c r="D13941" s="8">
        <v>53</v>
      </c>
      <c r="E13941" s="8">
        <v>0</v>
      </c>
      <c r="F13941" s="8">
        <v>0</v>
      </c>
      <c r="G13941" s="8">
        <v>13</v>
      </c>
      <c r="H13941" s="8" t="s">
        <v>53520</v>
      </c>
      <c r="I13941" s="8">
        <v>526.6875</v>
      </c>
      <c r="J13941" s="3">
        <f t="shared" si="217"/>
        <v>43749.518337905094</v>
      </c>
    </row>
    <row r="13942" spans="1:10" x14ac:dyDescent="0.25">
      <c r="A13942" s="5" t="s">
        <v>53521</v>
      </c>
      <c r="B13942" s="6">
        <v>393.75</v>
      </c>
      <c r="C13942" s="6">
        <v>20.531590000000001</v>
      </c>
      <c r="D13942" s="6">
        <v>54</v>
      </c>
      <c r="E13942" s="6">
        <v>0</v>
      </c>
      <c r="F13942" s="6">
        <v>0</v>
      </c>
      <c r="G13942" s="6">
        <v>14</v>
      </c>
      <c r="H13942" s="6" t="s">
        <v>53522</v>
      </c>
      <c r="I13942" s="6">
        <v>526.6875</v>
      </c>
      <c r="J13942" s="2">
        <f t="shared" si="217"/>
        <v>43749.518421435183</v>
      </c>
    </row>
    <row r="13943" spans="1:10" x14ac:dyDescent="0.25">
      <c r="A13943" s="7" t="s">
        <v>53523</v>
      </c>
      <c r="B13943" s="8">
        <v>393.75</v>
      </c>
      <c r="C13943" s="8">
        <v>20.531590000000001</v>
      </c>
      <c r="D13943" s="8">
        <v>54</v>
      </c>
      <c r="E13943" s="8">
        <v>0</v>
      </c>
      <c r="F13943" s="8">
        <v>0</v>
      </c>
      <c r="G13943" s="8">
        <v>15</v>
      </c>
      <c r="H13943" s="8" t="s">
        <v>53524</v>
      </c>
      <c r="I13943" s="8">
        <v>526.6875</v>
      </c>
      <c r="J13943" s="3">
        <f t="shared" si="217"/>
        <v>43749.518504537038</v>
      </c>
    </row>
    <row r="13944" spans="1:10" x14ac:dyDescent="0.25">
      <c r="A13944" s="5" t="s">
        <v>53525</v>
      </c>
      <c r="B13944" s="6">
        <v>393.75</v>
      </c>
      <c r="C13944" s="6">
        <v>20.584240000000001</v>
      </c>
      <c r="D13944" s="6">
        <v>54</v>
      </c>
      <c r="E13944" s="6">
        <v>0</v>
      </c>
      <c r="F13944" s="6">
        <v>0</v>
      </c>
      <c r="G13944" s="6">
        <v>10</v>
      </c>
      <c r="H13944" s="6" t="s">
        <v>53526</v>
      </c>
      <c r="I13944" s="6">
        <v>526.6875</v>
      </c>
      <c r="J13944" s="2">
        <f t="shared" si="217"/>
        <v>43749.518575972215</v>
      </c>
    </row>
    <row r="13945" spans="1:10" x14ac:dyDescent="0.25">
      <c r="A13945" s="7" t="s">
        <v>53527</v>
      </c>
      <c r="B13945" s="8">
        <v>393.75</v>
      </c>
      <c r="C13945" s="8">
        <v>20.531590000000001</v>
      </c>
      <c r="D13945" s="8">
        <v>53</v>
      </c>
      <c r="E13945" s="8">
        <v>0</v>
      </c>
      <c r="F13945" s="8">
        <v>0</v>
      </c>
      <c r="G13945" s="8">
        <v>13</v>
      </c>
      <c r="H13945" s="8" t="s">
        <v>53528</v>
      </c>
      <c r="I13945" s="8">
        <v>526.6875</v>
      </c>
      <c r="J13945" s="3">
        <f t="shared" si="217"/>
        <v>43749.518660231479</v>
      </c>
    </row>
    <row r="13946" spans="1:10" x14ac:dyDescent="0.25">
      <c r="A13946" s="5" t="s">
        <v>53529</v>
      </c>
      <c r="B13946" s="6">
        <v>412.5</v>
      </c>
      <c r="C13946" s="6">
        <v>20.584240000000001</v>
      </c>
      <c r="D13946" s="6">
        <v>62</v>
      </c>
      <c r="E13946" s="6">
        <v>0</v>
      </c>
      <c r="F13946" s="6">
        <v>0</v>
      </c>
      <c r="G13946" s="6">
        <v>4</v>
      </c>
      <c r="H13946" s="6" t="s">
        <v>53530</v>
      </c>
      <c r="I13946" s="6">
        <v>532.3125</v>
      </c>
      <c r="J13946" s="2">
        <f t="shared" si="217"/>
        <v>43749.518743449073</v>
      </c>
    </row>
    <row r="13947" spans="1:10" x14ac:dyDescent="0.25">
      <c r="A13947" s="7" t="s">
        <v>53531</v>
      </c>
      <c r="B13947" s="8">
        <v>393.75</v>
      </c>
      <c r="C13947" s="8">
        <v>20.584240000000001</v>
      </c>
      <c r="D13947" s="8">
        <v>63</v>
      </c>
      <c r="E13947" s="8">
        <v>0</v>
      </c>
      <c r="F13947" s="8">
        <v>0</v>
      </c>
      <c r="G13947" s="8">
        <v>16</v>
      </c>
      <c r="H13947" s="8" t="s">
        <v>53532</v>
      </c>
      <c r="I13947" s="8">
        <v>526.6875</v>
      </c>
      <c r="J13947" s="3">
        <f t="shared" si="217"/>
        <v>43749.518826759253</v>
      </c>
    </row>
    <row r="13948" spans="1:10" x14ac:dyDescent="0.25">
      <c r="A13948" s="5" t="s">
        <v>53533</v>
      </c>
      <c r="B13948" s="6">
        <v>393.75</v>
      </c>
      <c r="C13948" s="6">
        <v>20.478950000000001</v>
      </c>
      <c r="D13948" s="6">
        <v>61</v>
      </c>
      <c r="E13948" s="6">
        <v>0</v>
      </c>
      <c r="F13948" s="6">
        <v>0</v>
      </c>
      <c r="G13948" s="6">
        <v>11</v>
      </c>
      <c r="H13948" s="6" t="s">
        <v>53534</v>
      </c>
      <c r="I13948" s="6">
        <v>526.6875</v>
      </c>
      <c r="J13948" s="2">
        <f t="shared" si="217"/>
        <v>43749.518898541668</v>
      </c>
    </row>
    <row r="13949" spans="1:10" x14ac:dyDescent="0.25">
      <c r="A13949" s="7" t="s">
        <v>53535</v>
      </c>
      <c r="B13949" s="8">
        <v>393.75</v>
      </c>
      <c r="C13949" s="8">
        <v>20.531590000000001</v>
      </c>
      <c r="D13949" s="8">
        <v>59</v>
      </c>
      <c r="E13949" s="8">
        <v>0</v>
      </c>
      <c r="F13949" s="8">
        <v>0</v>
      </c>
      <c r="G13949" s="8">
        <v>8</v>
      </c>
      <c r="H13949" s="8" t="s">
        <v>53536</v>
      </c>
      <c r="I13949" s="8">
        <v>526.6875</v>
      </c>
      <c r="J13949" s="3">
        <f t="shared" si="217"/>
        <v>43749.518981990739</v>
      </c>
    </row>
    <row r="13950" spans="1:10" x14ac:dyDescent="0.25">
      <c r="A13950" s="5" t="s">
        <v>53537</v>
      </c>
      <c r="B13950" s="6">
        <v>393.75</v>
      </c>
      <c r="C13950" s="6">
        <v>20.531590000000001</v>
      </c>
      <c r="D13950" s="6">
        <v>57</v>
      </c>
      <c r="E13950" s="6">
        <v>0</v>
      </c>
      <c r="F13950" s="6">
        <v>0</v>
      </c>
      <c r="G13950" s="6">
        <v>7</v>
      </c>
      <c r="H13950" s="6" t="s">
        <v>53538</v>
      </c>
      <c r="I13950" s="6">
        <v>526.6875</v>
      </c>
      <c r="J13950" s="2">
        <f t="shared" si="217"/>
        <v>43749.519065428241</v>
      </c>
    </row>
    <row r="13951" spans="1:10" x14ac:dyDescent="0.25">
      <c r="A13951" s="7" t="s">
        <v>53539</v>
      </c>
      <c r="B13951" s="8">
        <v>415.625</v>
      </c>
      <c r="C13951" s="8">
        <v>20.531590000000001</v>
      </c>
      <c r="D13951" s="8">
        <v>53</v>
      </c>
      <c r="E13951" s="8">
        <v>0</v>
      </c>
      <c r="F13951" s="8">
        <v>0</v>
      </c>
      <c r="G13951" s="8">
        <v>3</v>
      </c>
      <c r="H13951" s="8" t="s">
        <v>53540</v>
      </c>
      <c r="I13951" s="8">
        <v>533.0625</v>
      </c>
      <c r="J13951" s="3">
        <f t="shared" si="217"/>
        <v>43749.519149108797</v>
      </c>
    </row>
    <row r="13952" spans="1:10" x14ac:dyDescent="0.25">
      <c r="A13952" s="5" t="s">
        <v>53541</v>
      </c>
      <c r="B13952" s="6">
        <v>393.75</v>
      </c>
      <c r="C13952" s="6">
        <v>20.478950000000001</v>
      </c>
      <c r="D13952" s="6">
        <v>57</v>
      </c>
      <c r="E13952" s="6">
        <v>0</v>
      </c>
      <c r="F13952" s="6">
        <v>0</v>
      </c>
      <c r="G13952" s="6">
        <v>0</v>
      </c>
      <c r="H13952" s="6" t="s">
        <v>53542</v>
      </c>
      <c r="I13952" s="6">
        <v>526.6875</v>
      </c>
      <c r="J13952" s="2">
        <f t="shared" si="217"/>
        <v>43749.51922052083</v>
      </c>
    </row>
    <row r="13953" spans="1:10" x14ac:dyDescent="0.25">
      <c r="A13953" s="7" t="s">
        <v>53543</v>
      </c>
      <c r="B13953" s="8">
        <v>393.75</v>
      </c>
      <c r="C13953" s="8">
        <v>20.531590000000001</v>
      </c>
      <c r="D13953" s="8">
        <v>57</v>
      </c>
      <c r="E13953" s="8">
        <v>0</v>
      </c>
      <c r="F13953" s="8">
        <v>0</v>
      </c>
      <c r="G13953" s="8">
        <v>3</v>
      </c>
      <c r="H13953" s="8" t="s">
        <v>53544</v>
      </c>
      <c r="I13953" s="8">
        <v>526.6875</v>
      </c>
      <c r="J13953" s="3">
        <f t="shared" si="217"/>
        <v>43749.519315763886</v>
      </c>
    </row>
    <row r="13954" spans="1:10" x14ac:dyDescent="0.25">
      <c r="A13954" s="5" t="s">
        <v>53545</v>
      </c>
      <c r="B13954" s="6">
        <v>393.75</v>
      </c>
      <c r="C13954" s="6">
        <v>20.531590000000001</v>
      </c>
      <c r="D13954" s="6">
        <v>57</v>
      </c>
      <c r="E13954" s="6">
        <v>0</v>
      </c>
      <c r="F13954" s="6">
        <v>0</v>
      </c>
      <c r="G13954" s="6">
        <v>0</v>
      </c>
      <c r="H13954" s="6" t="s">
        <v>53546</v>
      </c>
      <c r="I13954" s="6">
        <v>526.6875</v>
      </c>
      <c r="J13954" s="2">
        <f t="shared" ref="J13954:J14017" si="218">(H13954/86400000)+25569+(7/24)</f>
        <v>43749.519387430548</v>
      </c>
    </row>
    <row r="13955" spans="1:10" x14ac:dyDescent="0.25">
      <c r="A13955" s="7" t="s">
        <v>53547</v>
      </c>
      <c r="B13955" s="8">
        <v>393.75</v>
      </c>
      <c r="C13955" s="8">
        <v>20.478950000000001</v>
      </c>
      <c r="D13955" s="8">
        <v>57</v>
      </c>
      <c r="E13955" s="8">
        <v>0</v>
      </c>
      <c r="F13955" s="8">
        <v>0</v>
      </c>
      <c r="G13955" s="8">
        <v>5</v>
      </c>
      <c r="H13955" s="8" t="s">
        <v>53548</v>
      </c>
      <c r="I13955" s="8">
        <v>526.6875</v>
      </c>
      <c r="J13955" s="3">
        <f t="shared" si="218"/>
        <v>43749.519471226849</v>
      </c>
    </row>
    <row r="13956" spans="1:10" x14ac:dyDescent="0.25">
      <c r="A13956" s="5" t="s">
        <v>53549</v>
      </c>
      <c r="B13956" s="6">
        <v>393.75</v>
      </c>
      <c r="C13956" s="6">
        <v>20.531590000000001</v>
      </c>
      <c r="D13956" s="6">
        <v>57</v>
      </c>
      <c r="E13956" s="6">
        <v>0</v>
      </c>
      <c r="F13956" s="6">
        <v>0</v>
      </c>
      <c r="G13956" s="6">
        <v>0</v>
      </c>
      <c r="H13956" s="6" t="s">
        <v>53550</v>
      </c>
      <c r="I13956" s="6">
        <v>526.5</v>
      </c>
      <c r="J13956" s="2">
        <f t="shared" si="218"/>
        <v>43749.519542638889</v>
      </c>
    </row>
    <row r="13957" spans="1:10" x14ac:dyDescent="0.25">
      <c r="A13957" s="7" t="s">
        <v>53551</v>
      </c>
      <c r="B13957" s="8">
        <v>393.75</v>
      </c>
      <c r="C13957" s="8">
        <v>20.584240000000001</v>
      </c>
      <c r="D13957" s="8">
        <v>56</v>
      </c>
      <c r="E13957" s="8">
        <v>0</v>
      </c>
      <c r="F13957" s="8">
        <v>0</v>
      </c>
      <c r="G13957" s="8">
        <v>4</v>
      </c>
      <c r="H13957" s="8" t="s">
        <v>53552</v>
      </c>
      <c r="I13957" s="8">
        <v>526.6875</v>
      </c>
      <c r="J13957" s="3">
        <f t="shared" si="218"/>
        <v>43749.519626064815</v>
      </c>
    </row>
    <row r="13958" spans="1:10" x14ac:dyDescent="0.25">
      <c r="A13958" s="5" t="s">
        <v>53553</v>
      </c>
      <c r="B13958" s="6">
        <v>393.75</v>
      </c>
      <c r="C13958" s="6">
        <v>20.478950000000001</v>
      </c>
      <c r="D13958" s="6">
        <v>56</v>
      </c>
      <c r="E13958" s="6">
        <v>0</v>
      </c>
      <c r="F13958" s="6">
        <v>0</v>
      </c>
      <c r="G13958" s="6">
        <v>4</v>
      </c>
      <c r="H13958" s="6" t="s">
        <v>53554</v>
      </c>
      <c r="I13958" s="6">
        <v>526.6875</v>
      </c>
      <c r="J13958" s="2">
        <f t="shared" si="218"/>
        <v>43749.519697361109</v>
      </c>
    </row>
    <row r="13959" spans="1:10" x14ac:dyDescent="0.25">
      <c r="A13959" s="7" t="s">
        <v>53555</v>
      </c>
      <c r="B13959" s="8">
        <v>393.75</v>
      </c>
      <c r="C13959" s="8">
        <v>20.531590000000001</v>
      </c>
      <c r="D13959" s="8">
        <v>56</v>
      </c>
      <c r="E13959" s="8">
        <v>0</v>
      </c>
      <c r="F13959" s="8">
        <v>0</v>
      </c>
      <c r="G13959" s="8">
        <v>7</v>
      </c>
      <c r="H13959" s="8" t="s">
        <v>53556</v>
      </c>
      <c r="I13959" s="8">
        <v>526.6875</v>
      </c>
      <c r="J13959" s="3">
        <f t="shared" si="218"/>
        <v>43749.519769282408</v>
      </c>
    </row>
    <row r="13960" spans="1:10" x14ac:dyDescent="0.25">
      <c r="A13960" s="5" t="s">
        <v>53557</v>
      </c>
      <c r="B13960" s="6">
        <v>393.75</v>
      </c>
      <c r="C13960" s="6">
        <v>20.478950000000001</v>
      </c>
      <c r="D13960" s="6">
        <v>55</v>
      </c>
      <c r="E13960" s="6">
        <v>0</v>
      </c>
      <c r="F13960" s="6">
        <v>0</v>
      </c>
      <c r="G13960" s="6">
        <v>8</v>
      </c>
      <c r="H13960" s="6" t="s">
        <v>53558</v>
      </c>
      <c r="I13960" s="6">
        <v>526.6875</v>
      </c>
      <c r="J13960" s="2">
        <f t="shared" si="218"/>
        <v>43749.519852685182</v>
      </c>
    </row>
    <row r="13961" spans="1:10" x14ac:dyDescent="0.25">
      <c r="A13961" s="7" t="s">
        <v>53559</v>
      </c>
      <c r="B13961" s="8">
        <v>393.75</v>
      </c>
      <c r="C13961" s="8">
        <v>20.531590000000001</v>
      </c>
      <c r="D13961" s="8">
        <v>56</v>
      </c>
      <c r="E13961" s="8">
        <v>0</v>
      </c>
      <c r="F13961" s="8">
        <v>0</v>
      </c>
      <c r="G13961" s="8">
        <v>5</v>
      </c>
      <c r="H13961" s="8" t="s">
        <v>53560</v>
      </c>
      <c r="I13961" s="8">
        <v>526.6875</v>
      </c>
      <c r="J13961" s="3">
        <f t="shared" si="218"/>
        <v>43749.51993628472</v>
      </c>
    </row>
    <row r="13962" spans="1:10" x14ac:dyDescent="0.25">
      <c r="A13962" s="5" t="s">
        <v>53561</v>
      </c>
      <c r="B13962" s="6">
        <v>415.625</v>
      </c>
      <c r="C13962" s="6">
        <v>20.584240000000001</v>
      </c>
      <c r="D13962" s="6">
        <v>55</v>
      </c>
      <c r="E13962" s="6">
        <v>0</v>
      </c>
      <c r="F13962" s="6">
        <v>0</v>
      </c>
      <c r="G13962" s="6">
        <v>4</v>
      </c>
      <c r="H13962" s="6" t="s">
        <v>53562</v>
      </c>
      <c r="I13962" s="6">
        <v>533.8125</v>
      </c>
      <c r="J13962" s="2">
        <f t="shared" si="218"/>
        <v>43749.520019351847</v>
      </c>
    </row>
    <row r="13963" spans="1:10" x14ac:dyDescent="0.25">
      <c r="A13963" s="7" t="s">
        <v>53563</v>
      </c>
      <c r="B13963" s="8">
        <v>393.75</v>
      </c>
      <c r="C13963" s="8">
        <v>20.531590000000001</v>
      </c>
      <c r="D13963" s="8">
        <v>55</v>
      </c>
      <c r="E13963" s="8">
        <v>0</v>
      </c>
      <c r="F13963" s="8">
        <v>0</v>
      </c>
      <c r="G13963" s="8">
        <v>0</v>
      </c>
      <c r="H13963" s="8" t="s">
        <v>53564</v>
      </c>
      <c r="I13963" s="8">
        <v>526.6875</v>
      </c>
      <c r="J13963" s="3">
        <f t="shared" si="218"/>
        <v>43749.52009111111</v>
      </c>
    </row>
    <row r="13964" spans="1:10" x14ac:dyDescent="0.25">
      <c r="A13964" s="5" t="s">
        <v>53565</v>
      </c>
      <c r="B13964" s="6">
        <v>393.75</v>
      </c>
      <c r="C13964" s="6">
        <v>20.584240000000001</v>
      </c>
      <c r="D13964" s="6">
        <v>54</v>
      </c>
      <c r="E13964" s="6">
        <v>0</v>
      </c>
      <c r="F13964" s="6">
        <v>0</v>
      </c>
      <c r="G13964" s="6">
        <v>10</v>
      </c>
      <c r="H13964" s="6" t="s">
        <v>53566</v>
      </c>
      <c r="I13964" s="6">
        <v>526.6875</v>
      </c>
      <c r="J13964" s="2">
        <f t="shared" si="218"/>
        <v>43749.520174687503</v>
      </c>
    </row>
    <row r="13965" spans="1:10" x14ac:dyDescent="0.25">
      <c r="A13965" s="7" t="s">
        <v>53567</v>
      </c>
      <c r="B13965" s="8">
        <v>412.5</v>
      </c>
      <c r="C13965" s="8">
        <v>20.584240000000001</v>
      </c>
      <c r="D13965" s="8">
        <v>53</v>
      </c>
      <c r="E13965" s="8">
        <v>0</v>
      </c>
      <c r="F13965" s="8">
        <v>0</v>
      </c>
      <c r="G13965" s="8">
        <v>5</v>
      </c>
      <c r="H13965" s="8" t="s">
        <v>53568</v>
      </c>
      <c r="I13965" s="8">
        <v>532.3125</v>
      </c>
      <c r="J13965" s="3">
        <f t="shared" si="218"/>
        <v>43749.520246504624</v>
      </c>
    </row>
    <row r="13966" spans="1:10" x14ac:dyDescent="0.25">
      <c r="A13966" s="5" t="s">
        <v>53569</v>
      </c>
      <c r="B13966" s="6">
        <v>393.75</v>
      </c>
      <c r="C13966" s="6">
        <v>20.531590000000001</v>
      </c>
      <c r="D13966" s="6">
        <v>53</v>
      </c>
      <c r="E13966" s="6">
        <v>0</v>
      </c>
      <c r="F13966" s="6">
        <v>0</v>
      </c>
      <c r="G13966" s="6">
        <v>6</v>
      </c>
      <c r="H13966" s="6" t="s">
        <v>53570</v>
      </c>
      <c r="I13966" s="6">
        <v>526.6875</v>
      </c>
      <c r="J13966" s="2">
        <f t="shared" si="218"/>
        <v>43749.520317974537</v>
      </c>
    </row>
    <row r="13967" spans="1:10" x14ac:dyDescent="0.25">
      <c r="A13967" s="7" t="s">
        <v>53571</v>
      </c>
      <c r="B13967" s="8">
        <v>393.75</v>
      </c>
      <c r="C13967" s="8">
        <v>20.531590000000001</v>
      </c>
      <c r="D13967" s="8">
        <v>53</v>
      </c>
      <c r="E13967" s="8">
        <v>0</v>
      </c>
      <c r="F13967" s="8">
        <v>0</v>
      </c>
      <c r="G13967" s="8">
        <v>1</v>
      </c>
      <c r="H13967" s="8" t="s">
        <v>53572</v>
      </c>
      <c r="I13967" s="8">
        <v>526.6875</v>
      </c>
      <c r="J13967" s="3">
        <f t="shared" si="218"/>
        <v>43749.520413333332</v>
      </c>
    </row>
    <row r="13968" spans="1:10" x14ac:dyDescent="0.25">
      <c r="A13968" s="5" t="s">
        <v>53573</v>
      </c>
      <c r="B13968" s="6">
        <v>393.75</v>
      </c>
      <c r="C13968" s="6">
        <v>20.478950000000001</v>
      </c>
      <c r="D13968" s="6">
        <v>53</v>
      </c>
      <c r="E13968" s="6">
        <v>0</v>
      </c>
      <c r="F13968" s="6">
        <v>0</v>
      </c>
      <c r="G13968" s="6">
        <v>4</v>
      </c>
      <c r="H13968" s="6" t="s">
        <v>53574</v>
      </c>
      <c r="I13968" s="6">
        <v>526.6875</v>
      </c>
      <c r="J13968" s="2">
        <f t="shared" si="218"/>
        <v>43749.520496805555</v>
      </c>
    </row>
    <row r="13969" spans="1:10" x14ac:dyDescent="0.25">
      <c r="A13969" s="7" t="s">
        <v>53575</v>
      </c>
      <c r="B13969" s="8">
        <v>393.75</v>
      </c>
      <c r="C13969" s="8">
        <v>20.531590000000001</v>
      </c>
      <c r="D13969" s="8">
        <v>53</v>
      </c>
      <c r="E13969" s="8">
        <v>0</v>
      </c>
      <c r="F13969" s="8">
        <v>0</v>
      </c>
      <c r="G13969" s="8">
        <v>13</v>
      </c>
      <c r="H13969" s="8" t="s">
        <v>53576</v>
      </c>
      <c r="I13969" s="8">
        <v>526.6875</v>
      </c>
      <c r="J13969" s="3">
        <f t="shared" si="218"/>
        <v>43749.520568541666</v>
      </c>
    </row>
    <row r="13970" spans="1:10" x14ac:dyDescent="0.25">
      <c r="A13970" s="5" t="s">
        <v>53577</v>
      </c>
      <c r="B13970" s="6">
        <v>393.75</v>
      </c>
      <c r="C13970" s="6">
        <v>20.584240000000001</v>
      </c>
      <c r="D13970" s="6">
        <v>53</v>
      </c>
      <c r="E13970" s="6">
        <v>0</v>
      </c>
      <c r="F13970" s="6">
        <v>0</v>
      </c>
      <c r="G13970" s="6">
        <v>5</v>
      </c>
      <c r="H13970" s="6" t="s">
        <v>53578</v>
      </c>
      <c r="I13970" s="6">
        <v>526.6875</v>
      </c>
      <c r="J13970" s="2">
        <f t="shared" si="218"/>
        <v>43749.52063997685</v>
      </c>
    </row>
    <row r="13971" spans="1:10" x14ac:dyDescent="0.25">
      <c r="A13971" s="7" t="s">
        <v>53579</v>
      </c>
      <c r="B13971" s="8">
        <v>393.75</v>
      </c>
      <c r="C13971" s="8">
        <v>20.531590000000001</v>
      </c>
      <c r="D13971" s="8">
        <v>53</v>
      </c>
      <c r="E13971" s="8">
        <v>0</v>
      </c>
      <c r="F13971" s="8">
        <v>0</v>
      </c>
      <c r="G13971" s="8">
        <v>0</v>
      </c>
      <c r="H13971" s="8" t="s">
        <v>53580</v>
      </c>
      <c r="I13971" s="8">
        <v>526.6875</v>
      </c>
      <c r="J13971" s="3">
        <f t="shared" si="218"/>
        <v>43749.520723055553</v>
      </c>
    </row>
    <row r="13972" spans="1:10" x14ac:dyDescent="0.25">
      <c r="A13972" s="5" t="s">
        <v>53581</v>
      </c>
      <c r="B13972" s="6">
        <v>393.75</v>
      </c>
      <c r="C13972" s="6">
        <v>20.531590000000001</v>
      </c>
      <c r="D13972" s="6">
        <v>53</v>
      </c>
      <c r="E13972" s="6">
        <v>0</v>
      </c>
      <c r="F13972" s="6">
        <v>0</v>
      </c>
      <c r="G13972" s="6">
        <v>0</v>
      </c>
      <c r="H13972" s="6" t="s">
        <v>53582</v>
      </c>
      <c r="I13972" s="6">
        <v>526.6875</v>
      </c>
      <c r="J13972" s="2">
        <f t="shared" si="218"/>
        <v>43749.5207949537</v>
      </c>
    </row>
    <row r="13973" spans="1:10" x14ac:dyDescent="0.25">
      <c r="A13973" s="7" t="s">
        <v>53583</v>
      </c>
      <c r="B13973" s="8">
        <v>393.75</v>
      </c>
      <c r="C13973" s="8">
        <v>20.478950000000001</v>
      </c>
      <c r="D13973" s="8">
        <v>54</v>
      </c>
      <c r="E13973" s="8">
        <v>0</v>
      </c>
      <c r="F13973" s="8">
        <v>0</v>
      </c>
      <c r="G13973" s="8">
        <v>7</v>
      </c>
      <c r="H13973" s="8" t="s">
        <v>53584</v>
      </c>
      <c r="I13973" s="8">
        <v>526.6875</v>
      </c>
      <c r="J13973" s="3">
        <f t="shared" si="218"/>
        <v>43749.520878738425</v>
      </c>
    </row>
    <row r="13974" spans="1:10" x14ac:dyDescent="0.25">
      <c r="A13974" s="5" t="s">
        <v>53585</v>
      </c>
      <c r="B13974" s="6">
        <v>393.75</v>
      </c>
      <c r="C13974" s="6">
        <v>20.531590000000001</v>
      </c>
      <c r="D13974" s="6">
        <v>54</v>
      </c>
      <c r="E13974" s="6">
        <v>0</v>
      </c>
      <c r="F13974" s="6">
        <v>0</v>
      </c>
      <c r="G13974" s="6">
        <v>8</v>
      </c>
      <c r="H13974" s="6" t="s">
        <v>53586</v>
      </c>
      <c r="I13974" s="6">
        <v>526.6875</v>
      </c>
      <c r="J13974" s="2">
        <f t="shared" si="218"/>
        <v>43749.520950057871</v>
      </c>
    </row>
    <row r="13975" spans="1:10" x14ac:dyDescent="0.25">
      <c r="A13975" s="7" t="s">
        <v>53587</v>
      </c>
      <c r="B13975" s="8">
        <v>393.75</v>
      </c>
      <c r="C13975" s="8">
        <v>20.531590000000001</v>
      </c>
      <c r="D13975" s="8">
        <v>53</v>
      </c>
      <c r="E13975" s="8">
        <v>0</v>
      </c>
      <c r="F13975" s="8">
        <v>0</v>
      </c>
      <c r="G13975" s="8">
        <v>6</v>
      </c>
      <c r="H13975" s="8" t="s">
        <v>53588</v>
      </c>
      <c r="I13975" s="8">
        <v>526.6875</v>
      </c>
      <c r="J13975" s="3">
        <f t="shared" si="218"/>
        <v>43749.521021562497</v>
      </c>
    </row>
    <row r="13976" spans="1:10" x14ac:dyDescent="0.25">
      <c r="A13976" s="5" t="s">
        <v>53589</v>
      </c>
      <c r="B13976" s="6">
        <v>393.75</v>
      </c>
      <c r="C13976" s="6">
        <v>20.531590000000001</v>
      </c>
      <c r="D13976" s="6">
        <v>52</v>
      </c>
      <c r="E13976" s="6">
        <v>0</v>
      </c>
      <c r="F13976" s="6">
        <v>0</v>
      </c>
      <c r="G13976" s="6">
        <v>12</v>
      </c>
      <c r="H13976" s="6" t="s">
        <v>53590</v>
      </c>
      <c r="I13976" s="6">
        <v>526.6875</v>
      </c>
      <c r="J13976" s="2">
        <f t="shared" si="218"/>
        <v>43749.521105243053</v>
      </c>
    </row>
    <row r="13977" spans="1:10" x14ac:dyDescent="0.25">
      <c r="A13977" s="7" t="s">
        <v>53591</v>
      </c>
      <c r="B13977" s="8">
        <v>412.5</v>
      </c>
      <c r="C13977" s="8">
        <v>20.531590000000001</v>
      </c>
      <c r="D13977" s="8">
        <v>52</v>
      </c>
      <c r="E13977" s="8">
        <v>0</v>
      </c>
      <c r="F13977" s="8">
        <v>0</v>
      </c>
      <c r="G13977" s="8">
        <v>8</v>
      </c>
      <c r="H13977" s="8" t="s">
        <v>53592</v>
      </c>
      <c r="I13977" s="8">
        <v>532.3125</v>
      </c>
      <c r="J13977" s="3">
        <f t="shared" si="218"/>
        <v>43749.521176655086</v>
      </c>
    </row>
    <row r="13978" spans="1:10" x14ac:dyDescent="0.25">
      <c r="A13978" s="5" t="s">
        <v>53593</v>
      </c>
      <c r="B13978" s="6">
        <v>393.75</v>
      </c>
      <c r="C13978" s="6">
        <v>20.531590000000001</v>
      </c>
      <c r="D13978" s="6">
        <v>52</v>
      </c>
      <c r="E13978" s="6">
        <v>0</v>
      </c>
      <c r="F13978" s="6">
        <v>0</v>
      </c>
      <c r="G13978" s="6">
        <v>8</v>
      </c>
      <c r="H13978" s="6" t="s">
        <v>53594</v>
      </c>
      <c r="I13978" s="6">
        <v>526.6875</v>
      </c>
      <c r="J13978" s="2">
        <f t="shared" si="218"/>
        <v>43749.521259884255</v>
      </c>
    </row>
    <row r="13979" spans="1:10" x14ac:dyDescent="0.25">
      <c r="A13979" s="7" t="s">
        <v>53595</v>
      </c>
      <c r="B13979" s="8">
        <v>393.75</v>
      </c>
      <c r="C13979" s="8">
        <v>20.531590000000001</v>
      </c>
      <c r="D13979" s="8">
        <v>52</v>
      </c>
      <c r="E13979" s="8">
        <v>0</v>
      </c>
      <c r="F13979" s="8">
        <v>0</v>
      </c>
      <c r="G13979" s="8">
        <v>5</v>
      </c>
      <c r="H13979" s="8" t="s">
        <v>53596</v>
      </c>
      <c r="I13979" s="8">
        <v>526.6875</v>
      </c>
      <c r="J13979" s="3">
        <f t="shared" si="218"/>
        <v>43749.52134378472</v>
      </c>
    </row>
    <row r="13980" spans="1:10" x14ac:dyDescent="0.25">
      <c r="A13980" s="5" t="s">
        <v>53597</v>
      </c>
      <c r="B13980" s="6">
        <v>393.75</v>
      </c>
      <c r="C13980" s="6">
        <v>20.531590000000001</v>
      </c>
      <c r="D13980" s="6">
        <v>53</v>
      </c>
      <c r="E13980" s="6">
        <v>0</v>
      </c>
      <c r="F13980" s="6">
        <v>0</v>
      </c>
      <c r="G13980" s="6">
        <v>2</v>
      </c>
      <c r="H13980" s="6" t="s">
        <v>53598</v>
      </c>
      <c r="I13980" s="6">
        <v>526.6875</v>
      </c>
      <c r="J13980" s="2">
        <f t="shared" si="218"/>
        <v>43749.521426979169</v>
      </c>
    </row>
    <row r="13981" spans="1:10" x14ac:dyDescent="0.25">
      <c r="A13981" s="7" t="s">
        <v>53599</v>
      </c>
      <c r="B13981" s="8">
        <v>393.75</v>
      </c>
      <c r="C13981" s="8">
        <v>20.584240000000001</v>
      </c>
      <c r="D13981" s="8">
        <v>52</v>
      </c>
      <c r="E13981" s="8">
        <v>0</v>
      </c>
      <c r="F13981" s="8">
        <v>0</v>
      </c>
      <c r="G13981" s="8">
        <v>6</v>
      </c>
      <c r="H13981" s="8" t="s">
        <v>53600</v>
      </c>
      <c r="I13981" s="8">
        <v>526.6875</v>
      </c>
      <c r="J13981" s="3">
        <f t="shared" si="218"/>
        <v>43749.521510682869</v>
      </c>
    </row>
    <row r="13982" spans="1:10" x14ac:dyDescent="0.25">
      <c r="A13982" s="5" t="s">
        <v>53601</v>
      </c>
      <c r="B13982" s="6">
        <v>412.5</v>
      </c>
      <c r="C13982" s="6">
        <v>20.531590000000001</v>
      </c>
      <c r="D13982" s="6">
        <v>52</v>
      </c>
      <c r="E13982" s="6">
        <v>0</v>
      </c>
      <c r="F13982" s="6">
        <v>0</v>
      </c>
      <c r="G13982" s="6">
        <v>0</v>
      </c>
      <c r="H13982" s="6" t="s">
        <v>53602</v>
      </c>
      <c r="I13982" s="6">
        <v>532.5</v>
      </c>
      <c r="J13982" s="2">
        <f t="shared" si="218"/>
        <v>43749.521581874993</v>
      </c>
    </row>
    <row r="13983" spans="1:10" x14ac:dyDescent="0.25">
      <c r="A13983" s="7" t="s">
        <v>53603</v>
      </c>
      <c r="B13983" s="8">
        <v>393.75</v>
      </c>
      <c r="C13983" s="8">
        <v>20.584240000000001</v>
      </c>
      <c r="D13983" s="8">
        <v>51</v>
      </c>
      <c r="E13983" s="8">
        <v>0</v>
      </c>
      <c r="F13983" s="8">
        <v>0</v>
      </c>
      <c r="G13983" s="8">
        <v>8</v>
      </c>
      <c r="H13983" s="8" t="s">
        <v>53604</v>
      </c>
      <c r="I13983" s="8">
        <v>526.6875</v>
      </c>
      <c r="J13983" s="3">
        <f t="shared" si="218"/>
        <v>43749.521653738419</v>
      </c>
    </row>
    <row r="13984" spans="1:10" x14ac:dyDescent="0.25">
      <c r="A13984" s="5" t="s">
        <v>53605</v>
      </c>
      <c r="B13984" s="6">
        <v>393.75</v>
      </c>
      <c r="C13984" s="6">
        <v>20.531590000000001</v>
      </c>
      <c r="D13984" s="6">
        <v>52</v>
      </c>
      <c r="E13984" s="6">
        <v>0</v>
      </c>
      <c r="F13984" s="6">
        <v>0</v>
      </c>
      <c r="G13984" s="6">
        <v>0</v>
      </c>
      <c r="H13984" s="6" t="s">
        <v>53606</v>
      </c>
      <c r="I13984" s="6">
        <v>526.6875</v>
      </c>
      <c r="J13984" s="2">
        <f t="shared" si="218"/>
        <v>43749.521725335646</v>
      </c>
    </row>
    <row r="13985" spans="1:10" x14ac:dyDescent="0.25">
      <c r="A13985" s="7" t="s">
        <v>53607</v>
      </c>
      <c r="B13985" s="8">
        <v>393.75</v>
      </c>
      <c r="C13985" s="8">
        <v>20.584240000000001</v>
      </c>
      <c r="D13985" s="8">
        <v>52</v>
      </c>
      <c r="E13985" s="8">
        <v>0</v>
      </c>
      <c r="F13985" s="8">
        <v>0</v>
      </c>
      <c r="G13985" s="8">
        <v>11</v>
      </c>
      <c r="H13985" s="8" t="s">
        <v>53608</v>
      </c>
      <c r="I13985" s="8">
        <v>526.5</v>
      </c>
      <c r="J13985" s="3">
        <f t="shared" si="218"/>
        <v>43749.52180855324</v>
      </c>
    </row>
    <row r="13986" spans="1:10" x14ac:dyDescent="0.25">
      <c r="A13986" s="5" t="s">
        <v>53609</v>
      </c>
      <c r="B13986" s="6">
        <v>393.75</v>
      </c>
      <c r="C13986" s="6">
        <v>20.531590000000001</v>
      </c>
      <c r="D13986" s="6">
        <v>52</v>
      </c>
      <c r="E13986" s="6">
        <v>0</v>
      </c>
      <c r="F13986" s="6">
        <v>0</v>
      </c>
      <c r="G13986" s="6">
        <v>9</v>
      </c>
      <c r="H13986" s="6" t="s">
        <v>53610</v>
      </c>
      <c r="I13986" s="6">
        <v>526.6875</v>
      </c>
      <c r="J13986" s="2">
        <f t="shared" si="218"/>
        <v>43749.521892233795</v>
      </c>
    </row>
    <row r="13987" spans="1:10" x14ac:dyDescent="0.25">
      <c r="A13987" s="7" t="s">
        <v>53611</v>
      </c>
      <c r="B13987" s="8">
        <v>393.75</v>
      </c>
      <c r="C13987" s="8">
        <v>20.584240000000001</v>
      </c>
      <c r="D13987" s="8">
        <v>53</v>
      </c>
      <c r="E13987" s="8">
        <v>0</v>
      </c>
      <c r="F13987" s="8">
        <v>0</v>
      </c>
      <c r="G13987" s="8">
        <v>12</v>
      </c>
      <c r="H13987" s="8" t="s">
        <v>53612</v>
      </c>
      <c r="I13987" s="8">
        <v>526.6875</v>
      </c>
      <c r="J13987" s="3">
        <f t="shared" si="218"/>
        <v>43749.52197577546</v>
      </c>
    </row>
    <row r="13988" spans="1:10" x14ac:dyDescent="0.25">
      <c r="A13988" s="5" t="s">
        <v>53613</v>
      </c>
      <c r="B13988" s="6">
        <v>425</v>
      </c>
      <c r="C13988" s="6">
        <v>20.531590000000001</v>
      </c>
      <c r="D13988" s="6">
        <v>53</v>
      </c>
      <c r="E13988" s="6">
        <v>0</v>
      </c>
      <c r="F13988" s="6">
        <v>0</v>
      </c>
      <c r="G13988" s="6">
        <v>11</v>
      </c>
      <c r="H13988" s="6" t="s">
        <v>53614</v>
      </c>
      <c r="I13988" s="6">
        <v>536.4375</v>
      </c>
      <c r="J13988" s="2">
        <f t="shared" si="218"/>
        <v>43749.522047314815</v>
      </c>
    </row>
    <row r="13989" spans="1:10" x14ac:dyDescent="0.25">
      <c r="A13989" s="7" t="s">
        <v>53615</v>
      </c>
      <c r="B13989" s="8">
        <v>393.75</v>
      </c>
      <c r="C13989" s="8">
        <v>20.531590000000001</v>
      </c>
      <c r="D13989" s="8">
        <v>51</v>
      </c>
      <c r="E13989" s="8">
        <v>0</v>
      </c>
      <c r="F13989" s="8">
        <v>0</v>
      </c>
      <c r="G13989" s="8">
        <v>16</v>
      </c>
      <c r="H13989" s="8" t="s">
        <v>53616</v>
      </c>
      <c r="I13989" s="8">
        <v>526.6875</v>
      </c>
      <c r="J13989" s="3">
        <f t="shared" si="218"/>
        <v>43749.522142685186</v>
      </c>
    </row>
    <row r="13990" spans="1:10" x14ac:dyDescent="0.25">
      <c r="A13990" s="5" t="s">
        <v>53617</v>
      </c>
      <c r="B13990" s="6">
        <v>393.75</v>
      </c>
      <c r="C13990" s="6">
        <v>20.531590000000001</v>
      </c>
      <c r="D13990" s="6">
        <v>51</v>
      </c>
      <c r="E13990" s="6">
        <v>0</v>
      </c>
      <c r="F13990" s="6">
        <v>0</v>
      </c>
      <c r="G13990" s="6">
        <v>6</v>
      </c>
      <c r="H13990" s="6" t="s">
        <v>53618</v>
      </c>
      <c r="I13990" s="6">
        <v>526.6875</v>
      </c>
      <c r="J13990" s="2">
        <f t="shared" si="218"/>
        <v>43749.522226354165</v>
      </c>
    </row>
    <row r="13991" spans="1:10" x14ac:dyDescent="0.25">
      <c r="A13991" s="7" t="s">
        <v>53619</v>
      </c>
      <c r="B13991" s="8">
        <v>393.75</v>
      </c>
      <c r="C13991" s="8">
        <v>20.531590000000001</v>
      </c>
      <c r="D13991" s="8">
        <v>50</v>
      </c>
      <c r="E13991" s="8">
        <v>0</v>
      </c>
      <c r="F13991" s="8">
        <v>0</v>
      </c>
      <c r="G13991" s="8">
        <v>12</v>
      </c>
      <c r="H13991" s="8" t="s">
        <v>53620</v>
      </c>
      <c r="I13991" s="8">
        <v>526.6875</v>
      </c>
      <c r="J13991" s="3">
        <f t="shared" si="218"/>
        <v>43749.522309803237</v>
      </c>
    </row>
    <row r="13992" spans="1:10" x14ac:dyDescent="0.25">
      <c r="A13992" s="5" t="s">
        <v>53621</v>
      </c>
      <c r="B13992" s="6">
        <v>393.75</v>
      </c>
      <c r="C13992" s="6">
        <v>20.478950000000001</v>
      </c>
      <c r="D13992" s="6">
        <v>51</v>
      </c>
      <c r="E13992" s="6">
        <v>0</v>
      </c>
      <c r="F13992" s="6">
        <v>0</v>
      </c>
      <c r="G13992" s="6">
        <v>5</v>
      </c>
      <c r="H13992" s="6" t="s">
        <v>53622</v>
      </c>
      <c r="I13992" s="6">
        <v>526.6875</v>
      </c>
      <c r="J13992" s="2">
        <f t="shared" si="218"/>
        <v>43749.522393483792</v>
      </c>
    </row>
    <row r="13993" spans="1:10" x14ac:dyDescent="0.25">
      <c r="A13993" s="7" t="s">
        <v>53623</v>
      </c>
      <c r="B13993" s="8">
        <v>393.75</v>
      </c>
      <c r="C13993" s="8">
        <v>20.531590000000001</v>
      </c>
      <c r="D13993" s="8">
        <v>53</v>
      </c>
      <c r="E13993" s="8">
        <v>0</v>
      </c>
      <c r="F13993" s="8">
        <v>0</v>
      </c>
      <c r="G13993" s="8">
        <v>0</v>
      </c>
      <c r="H13993" s="8" t="s">
        <v>53624</v>
      </c>
      <c r="I13993" s="8">
        <v>526.5</v>
      </c>
      <c r="J13993" s="3">
        <f t="shared" si="218"/>
        <v>43749.522476701386</v>
      </c>
    </row>
    <row r="13994" spans="1:10" x14ac:dyDescent="0.25">
      <c r="A13994" s="5" t="s">
        <v>53625</v>
      </c>
      <c r="B13994" s="6">
        <v>393.75</v>
      </c>
      <c r="C13994" s="6">
        <v>20.531590000000001</v>
      </c>
      <c r="D13994" s="6">
        <v>53</v>
      </c>
      <c r="E13994" s="6">
        <v>0</v>
      </c>
      <c r="F13994" s="6">
        <v>0</v>
      </c>
      <c r="G13994" s="6">
        <v>0</v>
      </c>
      <c r="H13994" s="6" t="s">
        <v>53626</v>
      </c>
      <c r="I13994" s="6">
        <v>526.875</v>
      </c>
      <c r="J13994" s="2">
        <f t="shared" si="218"/>
        <v>43749.522572187496</v>
      </c>
    </row>
    <row r="13995" spans="1:10" x14ac:dyDescent="0.25">
      <c r="A13995" s="7" t="s">
        <v>53627</v>
      </c>
      <c r="B13995" s="8">
        <v>393.75</v>
      </c>
      <c r="C13995" s="8">
        <v>20.531590000000001</v>
      </c>
      <c r="D13995" s="8">
        <v>53</v>
      </c>
      <c r="E13995" s="8">
        <v>0</v>
      </c>
      <c r="F13995" s="8">
        <v>0</v>
      </c>
      <c r="G13995" s="8">
        <v>0</v>
      </c>
      <c r="H13995" s="8" t="s">
        <v>53628</v>
      </c>
      <c r="I13995" s="8">
        <v>526.6875</v>
      </c>
      <c r="J13995" s="3">
        <f t="shared" si="218"/>
        <v>43749.522643379627</v>
      </c>
    </row>
    <row r="13996" spans="1:10" x14ac:dyDescent="0.25">
      <c r="A13996" s="5" t="s">
        <v>53629</v>
      </c>
      <c r="B13996" s="6">
        <v>393.75</v>
      </c>
      <c r="C13996" s="6">
        <v>20.584240000000001</v>
      </c>
      <c r="D13996" s="6">
        <v>52</v>
      </c>
      <c r="E13996" s="6">
        <v>0</v>
      </c>
      <c r="F13996" s="6">
        <v>0</v>
      </c>
      <c r="G13996" s="6">
        <v>0</v>
      </c>
      <c r="H13996" s="6" t="s">
        <v>53630</v>
      </c>
      <c r="I13996" s="6">
        <v>526.6875</v>
      </c>
      <c r="J13996" s="2">
        <f t="shared" si="218"/>
        <v>43749.522727083335</v>
      </c>
    </row>
    <row r="13997" spans="1:10" x14ac:dyDescent="0.25">
      <c r="A13997" s="7" t="s">
        <v>53631</v>
      </c>
      <c r="B13997" s="8">
        <v>393.75</v>
      </c>
      <c r="C13997" s="8">
        <v>20.584240000000001</v>
      </c>
      <c r="D13997" s="8">
        <v>52</v>
      </c>
      <c r="E13997" s="8">
        <v>0</v>
      </c>
      <c r="F13997" s="8">
        <v>0</v>
      </c>
      <c r="G13997" s="8">
        <v>0</v>
      </c>
      <c r="H13997" s="8" t="s">
        <v>53632</v>
      </c>
      <c r="I13997" s="8">
        <v>526.6875</v>
      </c>
      <c r="J13997" s="3">
        <f t="shared" si="218"/>
        <v>43749.522798831014</v>
      </c>
    </row>
    <row r="13998" spans="1:10" x14ac:dyDescent="0.25">
      <c r="A13998" s="5" t="s">
        <v>53633</v>
      </c>
      <c r="B13998" s="6">
        <v>393.75</v>
      </c>
      <c r="C13998" s="6">
        <v>20.584240000000001</v>
      </c>
      <c r="D13998" s="6">
        <v>53</v>
      </c>
      <c r="E13998" s="6">
        <v>0</v>
      </c>
      <c r="F13998" s="6">
        <v>0</v>
      </c>
      <c r="G13998" s="6">
        <v>2</v>
      </c>
      <c r="H13998" s="6" t="s">
        <v>53634</v>
      </c>
      <c r="I13998" s="6">
        <v>526.6875</v>
      </c>
      <c r="J13998" s="2">
        <f t="shared" si="218"/>
        <v>43749.522882916666</v>
      </c>
    </row>
    <row r="13999" spans="1:10" x14ac:dyDescent="0.25">
      <c r="A13999" s="7" t="s">
        <v>53635</v>
      </c>
      <c r="B13999" s="8">
        <v>393.75</v>
      </c>
      <c r="C13999" s="8">
        <v>20.584240000000001</v>
      </c>
      <c r="D13999" s="8">
        <v>52</v>
      </c>
      <c r="E13999" s="8">
        <v>0</v>
      </c>
      <c r="F13999" s="8">
        <v>0</v>
      </c>
      <c r="G13999" s="8">
        <v>6</v>
      </c>
      <c r="H13999" s="8" t="s">
        <v>53636</v>
      </c>
      <c r="I13999" s="8">
        <v>526.6875</v>
      </c>
      <c r="J13999" s="3">
        <f t="shared" si="218"/>
        <v>43749.522965902775</v>
      </c>
    </row>
    <row r="14000" spans="1:10" x14ac:dyDescent="0.25">
      <c r="A14000" s="5" t="s">
        <v>53637</v>
      </c>
      <c r="B14000" s="6">
        <v>393.75</v>
      </c>
      <c r="C14000" s="6">
        <v>20.531590000000001</v>
      </c>
      <c r="D14000" s="6">
        <v>51</v>
      </c>
      <c r="E14000" s="6">
        <v>0</v>
      </c>
      <c r="F14000" s="6">
        <v>0</v>
      </c>
      <c r="G14000" s="6">
        <v>0</v>
      </c>
      <c r="H14000" s="6" t="s">
        <v>53638</v>
      </c>
      <c r="I14000" s="6">
        <v>526.6875</v>
      </c>
      <c r="J14000" s="2">
        <f t="shared" si="218"/>
        <v>43749.523061215274</v>
      </c>
    </row>
    <row r="14001" spans="1:10" x14ac:dyDescent="0.25">
      <c r="A14001" s="7" t="s">
        <v>53639</v>
      </c>
      <c r="B14001" s="8">
        <v>393.75</v>
      </c>
      <c r="C14001" s="8">
        <v>20.531590000000001</v>
      </c>
      <c r="D14001" s="8">
        <v>50</v>
      </c>
      <c r="E14001" s="8">
        <v>0</v>
      </c>
      <c r="F14001" s="8">
        <v>0</v>
      </c>
      <c r="G14001" s="8">
        <v>0</v>
      </c>
      <c r="H14001" s="8" t="s">
        <v>53640</v>
      </c>
      <c r="I14001" s="8">
        <v>526.6875</v>
      </c>
      <c r="J14001" s="3">
        <f t="shared" si="218"/>
        <v>43749.523144884261</v>
      </c>
    </row>
    <row r="14002" spans="1:10" x14ac:dyDescent="0.25">
      <c r="A14002" s="5" t="s">
        <v>53641</v>
      </c>
      <c r="B14002" s="6">
        <v>393.75</v>
      </c>
      <c r="C14002" s="6">
        <v>20.531590000000001</v>
      </c>
      <c r="D14002" s="6">
        <v>51</v>
      </c>
      <c r="E14002" s="6">
        <v>0</v>
      </c>
      <c r="F14002" s="6">
        <v>0</v>
      </c>
      <c r="G14002" s="6">
        <v>8</v>
      </c>
      <c r="H14002" s="6" t="s">
        <v>53642</v>
      </c>
      <c r="I14002" s="6">
        <v>526.6875</v>
      </c>
      <c r="J14002" s="2">
        <f t="shared" si="218"/>
        <v>43749.52321608796</v>
      </c>
    </row>
    <row r="14003" spans="1:10" x14ac:dyDescent="0.25">
      <c r="A14003" s="7" t="s">
        <v>53643</v>
      </c>
      <c r="B14003" s="8">
        <v>393.75</v>
      </c>
      <c r="C14003" s="8">
        <v>20.584240000000001</v>
      </c>
      <c r="D14003" s="8">
        <v>53</v>
      </c>
      <c r="E14003" s="8">
        <v>0</v>
      </c>
      <c r="F14003" s="8">
        <v>0</v>
      </c>
      <c r="G14003" s="8">
        <v>6</v>
      </c>
      <c r="H14003" s="8" t="s">
        <v>53644</v>
      </c>
      <c r="I14003" s="8">
        <v>526.6875</v>
      </c>
      <c r="J14003" s="3">
        <f t="shared" si="218"/>
        <v>43749.523287939817</v>
      </c>
    </row>
    <row r="14004" spans="1:10" x14ac:dyDescent="0.25">
      <c r="A14004" s="5" t="s">
        <v>53645</v>
      </c>
      <c r="B14004" s="6">
        <v>393.75</v>
      </c>
      <c r="C14004" s="6">
        <v>20.478950000000001</v>
      </c>
      <c r="D14004" s="6">
        <v>52</v>
      </c>
      <c r="E14004" s="6">
        <v>0</v>
      </c>
      <c r="F14004" s="6">
        <v>0</v>
      </c>
      <c r="G14004" s="6">
        <v>0</v>
      </c>
      <c r="H14004" s="6" t="s">
        <v>53646</v>
      </c>
      <c r="I14004" s="6">
        <v>526.6875</v>
      </c>
      <c r="J14004" s="2">
        <f t="shared" si="218"/>
        <v>43749.523371180556</v>
      </c>
    </row>
    <row r="14005" spans="1:10" x14ac:dyDescent="0.25">
      <c r="A14005" s="7" t="s">
        <v>53647</v>
      </c>
      <c r="B14005" s="8">
        <v>412.5</v>
      </c>
      <c r="C14005" s="8">
        <v>20.584240000000001</v>
      </c>
      <c r="D14005" s="8">
        <v>52</v>
      </c>
      <c r="E14005" s="8">
        <v>0</v>
      </c>
      <c r="F14005" s="8">
        <v>0</v>
      </c>
      <c r="G14005" s="8">
        <v>0</v>
      </c>
      <c r="H14005" s="8" t="s">
        <v>53648</v>
      </c>
      <c r="I14005" s="8">
        <v>532.6875</v>
      </c>
      <c r="J14005" s="3">
        <f t="shared" si="218"/>
        <v>43749.523442928235</v>
      </c>
    </row>
    <row r="14006" spans="1:10" x14ac:dyDescent="0.25">
      <c r="A14006" s="5" t="s">
        <v>53649</v>
      </c>
      <c r="B14006" s="6">
        <v>393.75</v>
      </c>
      <c r="C14006" s="6">
        <v>20.584240000000001</v>
      </c>
      <c r="D14006" s="6">
        <v>53</v>
      </c>
      <c r="E14006" s="6">
        <v>0</v>
      </c>
      <c r="F14006" s="6">
        <v>0</v>
      </c>
      <c r="G14006" s="6">
        <v>0</v>
      </c>
      <c r="H14006" s="6" t="s">
        <v>53650</v>
      </c>
      <c r="I14006" s="6">
        <v>526.6875</v>
      </c>
      <c r="J14006" s="2">
        <f t="shared" si="218"/>
        <v>43749.523526388883</v>
      </c>
    </row>
    <row r="14007" spans="1:10" x14ac:dyDescent="0.25">
      <c r="A14007" s="7" t="s">
        <v>53651</v>
      </c>
      <c r="B14007" s="8">
        <v>393.75</v>
      </c>
      <c r="C14007" s="8">
        <v>20.584240000000001</v>
      </c>
      <c r="D14007" s="8">
        <v>53</v>
      </c>
      <c r="E14007" s="8">
        <v>0</v>
      </c>
      <c r="F14007" s="8">
        <v>0</v>
      </c>
      <c r="G14007" s="8">
        <v>10</v>
      </c>
      <c r="H14007" s="8" t="s">
        <v>53652</v>
      </c>
      <c r="I14007" s="8">
        <v>526.6875</v>
      </c>
      <c r="J14007" s="3">
        <f t="shared" si="218"/>
        <v>43749.523609930555</v>
      </c>
    </row>
    <row r="14008" spans="1:10" x14ac:dyDescent="0.25">
      <c r="A14008" s="5" t="s">
        <v>53653</v>
      </c>
      <c r="B14008" s="6">
        <v>393.75</v>
      </c>
      <c r="C14008" s="6">
        <v>20.478950000000001</v>
      </c>
      <c r="D14008" s="6">
        <v>53</v>
      </c>
      <c r="E14008" s="6">
        <v>0</v>
      </c>
      <c r="F14008" s="6">
        <v>0</v>
      </c>
      <c r="G14008" s="6">
        <v>10</v>
      </c>
      <c r="H14008" s="6" t="s">
        <v>53654</v>
      </c>
      <c r="I14008" s="6">
        <v>526.6875</v>
      </c>
      <c r="J14008" s="2">
        <f t="shared" si="218"/>
        <v>43749.523693379626</v>
      </c>
    </row>
    <row r="14009" spans="1:10" x14ac:dyDescent="0.25">
      <c r="A14009" s="7" t="s">
        <v>53655</v>
      </c>
      <c r="B14009" s="8">
        <v>393.75</v>
      </c>
      <c r="C14009" s="8">
        <v>20.531590000000001</v>
      </c>
      <c r="D14009" s="8">
        <v>51</v>
      </c>
      <c r="E14009" s="8">
        <v>0</v>
      </c>
      <c r="F14009" s="8">
        <v>0</v>
      </c>
      <c r="G14009" s="8">
        <v>8</v>
      </c>
      <c r="H14009" s="8" t="s">
        <v>53656</v>
      </c>
      <c r="I14009" s="8">
        <v>526.6875</v>
      </c>
      <c r="J14009" s="3">
        <f t="shared" si="218"/>
        <v>43749.523776944443</v>
      </c>
    </row>
    <row r="14010" spans="1:10" x14ac:dyDescent="0.25">
      <c r="A14010" s="5" t="s">
        <v>53657</v>
      </c>
      <c r="B14010" s="6">
        <v>412.5</v>
      </c>
      <c r="C14010" s="6">
        <v>20.531590000000001</v>
      </c>
      <c r="D14010" s="6">
        <v>51</v>
      </c>
      <c r="E14010" s="6">
        <v>0</v>
      </c>
      <c r="F14010" s="6">
        <v>0</v>
      </c>
      <c r="G14010" s="6">
        <v>8</v>
      </c>
      <c r="H14010" s="6" t="s">
        <v>53658</v>
      </c>
      <c r="I14010" s="6">
        <v>532.6875</v>
      </c>
      <c r="J14010" s="2">
        <f t="shared" si="218"/>
        <v>43749.523860173613</v>
      </c>
    </row>
    <row r="14011" spans="1:10" x14ac:dyDescent="0.25">
      <c r="A14011" s="7" t="s">
        <v>53659</v>
      </c>
      <c r="B14011" s="8">
        <v>393.75</v>
      </c>
      <c r="C14011" s="8">
        <v>20.531590000000001</v>
      </c>
      <c r="D14011" s="8">
        <v>49</v>
      </c>
      <c r="E14011" s="8">
        <v>0</v>
      </c>
      <c r="F14011" s="8">
        <v>0</v>
      </c>
      <c r="G14011" s="8">
        <v>12</v>
      </c>
      <c r="H14011" s="8" t="s">
        <v>53660</v>
      </c>
      <c r="I14011" s="8">
        <v>526.6875</v>
      </c>
      <c r="J14011" s="3">
        <f t="shared" si="218"/>
        <v>43749.5239439699</v>
      </c>
    </row>
    <row r="14012" spans="1:10" x14ac:dyDescent="0.25">
      <c r="A14012" s="5" t="s">
        <v>53661</v>
      </c>
      <c r="B14012" s="6">
        <v>393.75</v>
      </c>
      <c r="C14012" s="6">
        <v>20.584240000000001</v>
      </c>
      <c r="D14012" s="6">
        <v>50</v>
      </c>
      <c r="E14012" s="6">
        <v>0</v>
      </c>
      <c r="F14012" s="6">
        <v>0</v>
      </c>
      <c r="G14012" s="6">
        <v>7</v>
      </c>
      <c r="H14012" s="6" t="s">
        <v>53662</v>
      </c>
      <c r="I14012" s="6">
        <v>526.6875</v>
      </c>
      <c r="J14012" s="2">
        <f t="shared" si="218"/>
        <v>43749.524027650456</v>
      </c>
    </row>
    <row r="14013" spans="1:10" x14ac:dyDescent="0.25">
      <c r="A14013" s="7" t="s">
        <v>53663</v>
      </c>
      <c r="B14013" s="8">
        <v>393.75</v>
      </c>
      <c r="C14013" s="8">
        <v>20.531590000000001</v>
      </c>
      <c r="D14013" s="8">
        <v>50</v>
      </c>
      <c r="E14013" s="8">
        <v>0</v>
      </c>
      <c r="F14013" s="8">
        <v>0</v>
      </c>
      <c r="G14013" s="8">
        <v>8</v>
      </c>
      <c r="H14013" s="8" t="s">
        <v>53664</v>
      </c>
      <c r="I14013" s="8">
        <v>526.6875</v>
      </c>
      <c r="J14013" s="3">
        <f t="shared" si="218"/>
        <v>43749.524098935181</v>
      </c>
    </row>
    <row r="14014" spans="1:10" x14ac:dyDescent="0.25">
      <c r="A14014" s="5" t="s">
        <v>53665</v>
      </c>
      <c r="B14014" s="6">
        <v>393.75</v>
      </c>
      <c r="C14014" s="6">
        <v>20.531590000000001</v>
      </c>
      <c r="D14014" s="6">
        <v>50</v>
      </c>
      <c r="E14014" s="6">
        <v>0</v>
      </c>
      <c r="F14014" s="6">
        <v>0</v>
      </c>
      <c r="G14014" s="6">
        <v>17</v>
      </c>
      <c r="H14014" s="6" t="s">
        <v>53666</v>
      </c>
      <c r="I14014" s="6">
        <v>526.6875</v>
      </c>
      <c r="J14014" s="2">
        <f t="shared" si="218"/>
        <v>43749.524182268513</v>
      </c>
    </row>
    <row r="14015" spans="1:10" x14ac:dyDescent="0.25">
      <c r="A14015" s="7" t="s">
        <v>53667</v>
      </c>
      <c r="B14015" s="8">
        <v>393.75</v>
      </c>
      <c r="C14015" s="8">
        <v>20.531590000000001</v>
      </c>
      <c r="D14015" s="8">
        <v>50</v>
      </c>
      <c r="E14015" s="8">
        <v>0</v>
      </c>
      <c r="F14015" s="8">
        <v>0</v>
      </c>
      <c r="G14015" s="8">
        <v>14</v>
      </c>
      <c r="H14015" s="8" t="s">
        <v>53668</v>
      </c>
      <c r="I14015" s="8">
        <v>526.6875</v>
      </c>
      <c r="J14015" s="3">
        <f t="shared" si="218"/>
        <v>43749.524254050928</v>
      </c>
    </row>
    <row r="14016" spans="1:10" x14ac:dyDescent="0.25">
      <c r="A14016" s="5" t="s">
        <v>53669</v>
      </c>
      <c r="B14016" s="6">
        <v>393.75</v>
      </c>
      <c r="C14016" s="6">
        <v>20.531590000000001</v>
      </c>
      <c r="D14016" s="6">
        <v>51</v>
      </c>
      <c r="E14016" s="6">
        <v>0</v>
      </c>
      <c r="F14016" s="6">
        <v>0</v>
      </c>
      <c r="G14016" s="6">
        <v>14</v>
      </c>
      <c r="H14016" s="6" t="s">
        <v>53670</v>
      </c>
      <c r="I14016" s="6">
        <v>526.6875</v>
      </c>
      <c r="J14016" s="2">
        <f t="shared" si="218"/>
        <v>43749.524337650459</v>
      </c>
    </row>
    <row r="14017" spans="1:10" x14ac:dyDescent="0.25">
      <c r="A14017" s="7" t="s">
        <v>53671</v>
      </c>
      <c r="B14017" s="8">
        <v>393.75</v>
      </c>
      <c r="C14017" s="8">
        <v>20.584240000000001</v>
      </c>
      <c r="D14017" s="8">
        <v>50</v>
      </c>
      <c r="E14017" s="8">
        <v>0</v>
      </c>
      <c r="F14017" s="8">
        <v>0</v>
      </c>
      <c r="G14017" s="8">
        <v>20</v>
      </c>
      <c r="H14017" s="8" t="s">
        <v>53672</v>
      </c>
      <c r="I14017" s="8">
        <v>526.6875</v>
      </c>
      <c r="J14017" s="3">
        <f t="shared" si="218"/>
        <v>43749.524421076385</v>
      </c>
    </row>
    <row r="14018" spans="1:10" x14ac:dyDescent="0.25">
      <c r="A14018" s="5" t="s">
        <v>53673</v>
      </c>
      <c r="B14018" s="6">
        <v>393.75</v>
      </c>
      <c r="C14018" s="6">
        <v>20.531590000000001</v>
      </c>
      <c r="D14018" s="6">
        <v>50</v>
      </c>
      <c r="E14018" s="6">
        <v>0</v>
      </c>
      <c r="F14018" s="6">
        <v>0</v>
      </c>
      <c r="G14018" s="6">
        <v>18</v>
      </c>
      <c r="H14018" s="6" t="s">
        <v>53674</v>
      </c>
      <c r="I14018" s="6">
        <v>526.6875</v>
      </c>
      <c r="J14018" s="2">
        <f t="shared" ref="J14018:J14081" si="219">(H14018/86400000)+25569+(7/24)</f>
        <v>43749.524504490742</v>
      </c>
    </row>
    <row r="14019" spans="1:10" x14ac:dyDescent="0.25">
      <c r="A14019" s="7" t="s">
        <v>53675</v>
      </c>
      <c r="B14019" s="8">
        <v>393.75</v>
      </c>
      <c r="C14019" s="8">
        <v>20.531590000000001</v>
      </c>
      <c r="D14019" s="8">
        <v>51</v>
      </c>
      <c r="E14019" s="8">
        <v>0</v>
      </c>
      <c r="F14019" s="8">
        <v>0</v>
      </c>
      <c r="G14019" s="8">
        <v>27</v>
      </c>
      <c r="H14019" s="8" t="s">
        <v>53676</v>
      </c>
      <c r="I14019" s="8">
        <v>526.6875</v>
      </c>
      <c r="J14019" s="3">
        <f t="shared" si="219"/>
        <v>43749.524599976845</v>
      </c>
    </row>
    <row r="14020" spans="1:10" x14ac:dyDescent="0.25">
      <c r="A14020" s="5" t="s">
        <v>53677</v>
      </c>
      <c r="B14020" s="6">
        <v>393.75</v>
      </c>
      <c r="C14020" s="6">
        <v>20.478950000000001</v>
      </c>
      <c r="D14020" s="6">
        <v>52</v>
      </c>
      <c r="E14020" s="6">
        <v>0</v>
      </c>
      <c r="F14020" s="6">
        <v>0</v>
      </c>
      <c r="G14020" s="6">
        <v>28</v>
      </c>
      <c r="H14020" s="6" t="s">
        <v>53678</v>
      </c>
      <c r="I14020" s="6">
        <v>526.6875</v>
      </c>
      <c r="J14020" s="2">
        <f t="shared" si="219"/>
        <v>43749.524683437499</v>
      </c>
    </row>
    <row r="14021" spans="1:10" x14ac:dyDescent="0.25">
      <c r="A14021" s="7" t="s">
        <v>53679</v>
      </c>
      <c r="B14021" s="8">
        <v>393.75</v>
      </c>
      <c r="C14021" s="8">
        <v>20.531590000000001</v>
      </c>
      <c r="D14021" s="8">
        <v>53</v>
      </c>
      <c r="E14021" s="8">
        <v>0</v>
      </c>
      <c r="F14021" s="8">
        <v>0</v>
      </c>
      <c r="G14021" s="8">
        <v>28</v>
      </c>
      <c r="H14021" s="8" t="s">
        <v>53680</v>
      </c>
      <c r="I14021" s="8">
        <v>526.6875</v>
      </c>
      <c r="J14021" s="3">
        <f t="shared" si="219"/>
        <v>43749.524767083327</v>
      </c>
    </row>
    <row r="14022" spans="1:10" x14ac:dyDescent="0.25">
      <c r="A14022" s="5" t="s">
        <v>53681</v>
      </c>
      <c r="B14022" s="6">
        <v>412.5</v>
      </c>
      <c r="C14022" s="6">
        <v>20.531590000000001</v>
      </c>
      <c r="D14022" s="6">
        <v>52</v>
      </c>
      <c r="E14022" s="6">
        <v>0</v>
      </c>
      <c r="F14022" s="6">
        <v>0</v>
      </c>
      <c r="G14022" s="6">
        <v>29</v>
      </c>
      <c r="H14022" s="6" t="s">
        <v>53682</v>
      </c>
      <c r="I14022" s="6">
        <v>532.6875</v>
      </c>
      <c r="J14022" s="2">
        <f t="shared" si="219"/>
        <v>43749.524850451387</v>
      </c>
    </row>
    <row r="14023" spans="1:10" x14ac:dyDescent="0.25">
      <c r="A14023" s="7" t="s">
        <v>53683</v>
      </c>
      <c r="B14023" s="8">
        <v>393.75</v>
      </c>
      <c r="C14023" s="8">
        <v>20.531590000000001</v>
      </c>
      <c r="D14023" s="8">
        <v>52</v>
      </c>
      <c r="E14023" s="8">
        <v>0</v>
      </c>
      <c r="F14023" s="8">
        <v>0</v>
      </c>
      <c r="G14023" s="8">
        <v>21</v>
      </c>
      <c r="H14023" s="8" t="s">
        <v>53684</v>
      </c>
      <c r="I14023" s="8">
        <v>526.6875</v>
      </c>
      <c r="J14023" s="3">
        <f t="shared" si="219"/>
        <v>43749.524934247682</v>
      </c>
    </row>
    <row r="14024" spans="1:10" x14ac:dyDescent="0.25">
      <c r="A14024" s="5" t="s">
        <v>53685</v>
      </c>
      <c r="B14024" s="6">
        <v>393.75</v>
      </c>
      <c r="C14024" s="6">
        <v>20.531590000000001</v>
      </c>
      <c r="D14024" s="6">
        <v>52</v>
      </c>
      <c r="E14024" s="6">
        <v>0</v>
      </c>
      <c r="F14024" s="6">
        <v>0</v>
      </c>
      <c r="G14024" s="6">
        <v>9</v>
      </c>
      <c r="H14024" s="6" t="s">
        <v>53686</v>
      </c>
      <c r="I14024" s="6">
        <v>526.5</v>
      </c>
      <c r="J14024" s="2">
        <f t="shared" si="219"/>
        <v>43749.525017476852</v>
      </c>
    </row>
    <row r="14025" spans="1:10" x14ac:dyDescent="0.25">
      <c r="A14025" s="7" t="s">
        <v>53687</v>
      </c>
      <c r="B14025" s="8">
        <v>393.75</v>
      </c>
      <c r="C14025" s="8">
        <v>20.531590000000001</v>
      </c>
      <c r="D14025" s="8">
        <v>52</v>
      </c>
      <c r="E14025" s="8">
        <v>0</v>
      </c>
      <c r="F14025" s="8">
        <v>0</v>
      </c>
      <c r="G14025" s="8">
        <v>18</v>
      </c>
      <c r="H14025" s="8" t="s">
        <v>53688</v>
      </c>
      <c r="I14025" s="8">
        <v>526.6875</v>
      </c>
      <c r="J14025" s="3">
        <f t="shared" si="219"/>
        <v>43749.525100798608</v>
      </c>
    </row>
    <row r="14026" spans="1:10" x14ac:dyDescent="0.25">
      <c r="A14026" s="5" t="s">
        <v>53689</v>
      </c>
      <c r="B14026" s="6">
        <v>393.75</v>
      </c>
      <c r="C14026" s="6">
        <v>20.584240000000001</v>
      </c>
      <c r="D14026" s="6">
        <v>51</v>
      </c>
      <c r="E14026" s="6">
        <v>0</v>
      </c>
      <c r="F14026" s="6">
        <v>0</v>
      </c>
      <c r="G14026" s="6">
        <v>11</v>
      </c>
      <c r="H14026" s="6" t="s">
        <v>53690</v>
      </c>
      <c r="I14026" s="6">
        <v>526.6875</v>
      </c>
      <c r="J14026" s="2">
        <f t="shared" si="219"/>
        <v>43749.525184594902</v>
      </c>
    </row>
    <row r="14027" spans="1:10" x14ac:dyDescent="0.25">
      <c r="A14027" s="7" t="s">
        <v>53691</v>
      </c>
      <c r="B14027" s="8">
        <v>393.75</v>
      </c>
      <c r="C14027" s="8">
        <v>20.584240000000001</v>
      </c>
      <c r="D14027" s="8">
        <v>50</v>
      </c>
      <c r="E14027" s="8">
        <v>0</v>
      </c>
      <c r="F14027" s="8">
        <v>0</v>
      </c>
      <c r="G14027" s="8">
        <v>10</v>
      </c>
      <c r="H14027" s="8" t="s">
        <v>53692</v>
      </c>
      <c r="I14027" s="8">
        <v>526.6875</v>
      </c>
      <c r="J14027" s="3">
        <f t="shared" si="219"/>
        <v>43749.525267627316</v>
      </c>
    </row>
    <row r="14028" spans="1:10" x14ac:dyDescent="0.25">
      <c r="A14028" s="5" t="s">
        <v>53693</v>
      </c>
      <c r="B14028" s="6">
        <v>393.75</v>
      </c>
      <c r="C14028" s="6">
        <v>20.478950000000001</v>
      </c>
      <c r="D14028" s="6">
        <v>50</v>
      </c>
      <c r="E14028" s="6">
        <v>0</v>
      </c>
      <c r="F14028" s="6">
        <v>0</v>
      </c>
      <c r="G14028" s="6">
        <v>19</v>
      </c>
      <c r="H14028" s="6" t="s">
        <v>53694</v>
      </c>
      <c r="I14028" s="6">
        <v>526.5</v>
      </c>
      <c r="J14028" s="2">
        <f t="shared" si="219"/>
        <v>43749.52533921296</v>
      </c>
    </row>
    <row r="14029" spans="1:10" x14ac:dyDescent="0.25">
      <c r="A14029" s="7" t="s">
        <v>53695</v>
      </c>
      <c r="B14029" s="8">
        <v>393.75</v>
      </c>
      <c r="C14029" s="8">
        <v>20.531590000000001</v>
      </c>
      <c r="D14029" s="8">
        <v>51</v>
      </c>
      <c r="E14029" s="8">
        <v>0</v>
      </c>
      <c r="F14029" s="8">
        <v>0</v>
      </c>
      <c r="G14029" s="8">
        <v>15</v>
      </c>
      <c r="H14029" s="8" t="s">
        <v>53696</v>
      </c>
      <c r="I14029" s="8">
        <v>526.6875</v>
      </c>
      <c r="J14029" s="3">
        <f t="shared" si="219"/>
        <v>43749.525423124993</v>
      </c>
    </row>
    <row r="14030" spans="1:10" x14ac:dyDescent="0.25">
      <c r="A14030" s="5" t="s">
        <v>53697</v>
      </c>
      <c r="B14030" s="6">
        <v>393.75</v>
      </c>
      <c r="C14030" s="6">
        <v>20.531590000000001</v>
      </c>
      <c r="D14030" s="6">
        <v>52</v>
      </c>
      <c r="E14030" s="6">
        <v>0</v>
      </c>
      <c r="F14030" s="6">
        <v>0</v>
      </c>
      <c r="G14030" s="6">
        <v>15</v>
      </c>
      <c r="H14030" s="6" t="s">
        <v>53698</v>
      </c>
      <c r="I14030" s="6">
        <v>526.6875</v>
      </c>
      <c r="J14030" s="2">
        <f t="shared" si="219"/>
        <v>43749.525494537033</v>
      </c>
    </row>
    <row r="14031" spans="1:10" x14ac:dyDescent="0.25">
      <c r="A14031" s="7" t="s">
        <v>53699</v>
      </c>
      <c r="B14031" s="8">
        <v>393.75</v>
      </c>
      <c r="C14031" s="8">
        <v>20.531590000000001</v>
      </c>
      <c r="D14031" s="8">
        <v>50</v>
      </c>
      <c r="E14031" s="8">
        <v>0</v>
      </c>
      <c r="F14031" s="8">
        <v>0</v>
      </c>
      <c r="G14031" s="8">
        <v>16</v>
      </c>
      <c r="H14031" s="8" t="s">
        <v>53700</v>
      </c>
      <c r="I14031" s="8">
        <v>526.6875</v>
      </c>
      <c r="J14031" s="3">
        <f t="shared" si="219"/>
        <v>43749.525578113426</v>
      </c>
    </row>
    <row r="14032" spans="1:10" x14ac:dyDescent="0.25">
      <c r="A14032" s="5" t="s">
        <v>53701</v>
      </c>
      <c r="B14032" s="6">
        <v>393.75</v>
      </c>
      <c r="C14032" s="6">
        <v>20.531590000000001</v>
      </c>
      <c r="D14032" s="6">
        <v>49</v>
      </c>
      <c r="E14032" s="6">
        <v>0</v>
      </c>
      <c r="F14032" s="6">
        <v>0</v>
      </c>
      <c r="G14032" s="6">
        <v>5</v>
      </c>
      <c r="H14032" s="6" t="s">
        <v>53702</v>
      </c>
      <c r="I14032" s="6">
        <v>526.6875</v>
      </c>
      <c r="J14032" s="2">
        <f t="shared" si="219"/>
        <v>43749.525661574073</v>
      </c>
    </row>
    <row r="14033" spans="1:10" x14ac:dyDescent="0.25">
      <c r="A14033" s="7" t="s">
        <v>53703</v>
      </c>
      <c r="B14033" s="8">
        <v>393.75</v>
      </c>
      <c r="C14033" s="8">
        <v>20.531590000000001</v>
      </c>
      <c r="D14033" s="8">
        <v>48</v>
      </c>
      <c r="E14033" s="8">
        <v>0</v>
      </c>
      <c r="F14033" s="8">
        <v>0</v>
      </c>
      <c r="G14033" s="8">
        <v>8</v>
      </c>
      <c r="H14033" s="8" t="s">
        <v>53704</v>
      </c>
      <c r="I14033" s="8">
        <v>526.6875</v>
      </c>
      <c r="J14033" s="3">
        <f t="shared" si="219"/>
        <v>43749.525758993048</v>
      </c>
    </row>
    <row r="14034" spans="1:10" x14ac:dyDescent="0.25">
      <c r="A14034" s="5" t="s">
        <v>53705</v>
      </c>
      <c r="B14034" s="6">
        <v>412.5</v>
      </c>
      <c r="C14034" s="6">
        <v>20.478950000000001</v>
      </c>
      <c r="D14034" s="6">
        <v>46</v>
      </c>
      <c r="E14034" s="6">
        <v>0</v>
      </c>
      <c r="F14034" s="6">
        <v>0</v>
      </c>
      <c r="G14034" s="6">
        <v>16</v>
      </c>
      <c r="H14034" s="6" t="s">
        <v>53706</v>
      </c>
      <c r="I14034" s="6">
        <v>532.5</v>
      </c>
      <c r="J14034" s="2">
        <f t="shared" si="219"/>
        <v>43749.525840486109</v>
      </c>
    </row>
    <row r="14035" spans="1:10" x14ac:dyDescent="0.25">
      <c r="A14035" s="7" t="s">
        <v>53707</v>
      </c>
      <c r="B14035" s="8">
        <v>393.75</v>
      </c>
      <c r="C14035" s="8">
        <v>20.531590000000001</v>
      </c>
      <c r="D14035" s="8">
        <v>46</v>
      </c>
      <c r="E14035" s="8">
        <v>0</v>
      </c>
      <c r="F14035" s="8">
        <v>0</v>
      </c>
      <c r="G14035" s="8">
        <v>17</v>
      </c>
      <c r="H14035" s="8" t="s">
        <v>53708</v>
      </c>
      <c r="I14035" s="8">
        <v>526.6875</v>
      </c>
      <c r="J14035" s="3">
        <f t="shared" si="219"/>
        <v>43749.525923958332</v>
      </c>
    </row>
    <row r="14036" spans="1:10" x14ac:dyDescent="0.25">
      <c r="A14036" s="5" t="s">
        <v>53709</v>
      </c>
      <c r="B14036" s="6">
        <v>412.5</v>
      </c>
      <c r="C14036" s="6">
        <v>20.531590000000001</v>
      </c>
      <c r="D14036" s="6">
        <v>46</v>
      </c>
      <c r="E14036" s="6">
        <v>0</v>
      </c>
      <c r="F14036" s="6">
        <v>0</v>
      </c>
      <c r="G14036" s="6">
        <v>9</v>
      </c>
      <c r="H14036" s="6" t="s">
        <v>53710</v>
      </c>
      <c r="I14036" s="6">
        <v>532.3125</v>
      </c>
      <c r="J14036" s="2">
        <f t="shared" si="219"/>
        <v>43749.526007511573</v>
      </c>
    </row>
    <row r="14037" spans="1:10" x14ac:dyDescent="0.25">
      <c r="A14037" s="7" t="s">
        <v>53711</v>
      </c>
      <c r="B14037" s="8">
        <v>393.75</v>
      </c>
      <c r="C14037" s="8">
        <v>20.584240000000001</v>
      </c>
      <c r="D14037" s="8">
        <v>51</v>
      </c>
      <c r="E14037" s="8">
        <v>0</v>
      </c>
      <c r="F14037" s="8">
        <v>0</v>
      </c>
      <c r="G14037" s="8">
        <v>6</v>
      </c>
      <c r="H14037" s="8" t="s">
        <v>53712</v>
      </c>
      <c r="I14037" s="8">
        <v>526.6875</v>
      </c>
      <c r="J14037" s="3">
        <f t="shared" si="219"/>
        <v>43749.526091064814</v>
      </c>
    </row>
    <row r="14038" spans="1:10" x14ac:dyDescent="0.25">
      <c r="A14038" s="5" t="s">
        <v>53713</v>
      </c>
      <c r="B14038" s="6">
        <v>393.75</v>
      </c>
      <c r="C14038" s="6">
        <v>20.531590000000001</v>
      </c>
      <c r="D14038" s="6">
        <v>49</v>
      </c>
      <c r="E14038" s="6">
        <v>0</v>
      </c>
      <c r="F14038" s="6">
        <v>0</v>
      </c>
      <c r="G14038" s="6">
        <v>4</v>
      </c>
      <c r="H14038" s="6" t="s">
        <v>53714</v>
      </c>
      <c r="I14038" s="6">
        <v>526.6875</v>
      </c>
      <c r="J14038" s="2">
        <f t="shared" si="219"/>
        <v>43749.52617438657</v>
      </c>
    </row>
    <row r="14039" spans="1:10" x14ac:dyDescent="0.25">
      <c r="A14039" s="7" t="s">
        <v>53715</v>
      </c>
      <c r="B14039" s="8">
        <v>393.75</v>
      </c>
      <c r="C14039" s="8">
        <v>20.531590000000001</v>
      </c>
      <c r="D14039" s="8">
        <v>50</v>
      </c>
      <c r="E14039" s="8">
        <v>0</v>
      </c>
      <c r="F14039" s="8">
        <v>0</v>
      </c>
      <c r="G14039" s="8">
        <v>7</v>
      </c>
      <c r="H14039" s="8" t="s">
        <v>53716</v>
      </c>
      <c r="I14039" s="8">
        <v>526.6875</v>
      </c>
      <c r="J14039" s="3">
        <f t="shared" si="219"/>
        <v>43749.526246180554</v>
      </c>
    </row>
    <row r="14040" spans="1:10" x14ac:dyDescent="0.25">
      <c r="A14040" s="5" t="s">
        <v>53717</v>
      </c>
      <c r="B14040" s="6">
        <v>393.75</v>
      </c>
      <c r="C14040" s="6">
        <v>20.584240000000001</v>
      </c>
      <c r="D14040" s="6">
        <v>48</v>
      </c>
      <c r="E14040" s="6">
        <v>0</v>
      </c>
      <c r="F14040" s="6">
        <v>0</v>
      </c>
      <c r="G14040" s="6">
        <v>7</v>
      </c>
      <c r="H14040" s="6" t="s">
        <v>53718</v>
      </c>
      <c r="I14040" s="6">
        <v>526.6875</v>
      </c>
      <c r="J14040" s="2">
        <f t="shared" si="219"/>
        <v>43749.526317569442</v>
      </c>
    </row>
    <row r="14041" spans="1:10" x14ac:dyDescent="0.25">
      <c r="A14041" s="7" t="s">
        <v>53719</v>
      </c>
      <c r="B14041" s="8">
        <v>393.75</v>
      </c>
      <c r="C14041" s="8">
        <v>20.531590000000001</v>
      </c>
      <c r="D14041" s="8">
        <v>51</v>
      </c>
      <c r="E14041" s="8">
        <v>0</v>
      </c>
      <c r="F14041" s="8">
        <v>0</v>
      </c>
      <c r="G14041" s="8">
        <v>12</v>
      </c>
      <c r="H14041" s="8" t="s">
        <v>53720</v>
      </c>
      <c r="I14041" s="8">
        <v>526.6875</v>
      </c>
      <c r="J14041" s="3">
        <f t="shared" si="219"/>
        <v>43749.526400787036</v>
      </c>
    </row>
    <row r="14042" spans="1:10" x14ac:dyDescent="0.25">
      <c r="A14042" s="5" t="s">
        <v>53721</v>
      </c>
      <c r="B14042" s="6">
        <v>393.75</v>
      </c>
      <c r="C14042" s="6">
        <v>20.584240000000001</v>
      </c>
      <c r="D14042" s="6">
        <v>51</v>
      </c>
      <c r="E14042" s="6">
        <v>0</v>
      </c>
      <c r="F14042" s="6">
        <v>0</v>
      </c>
      <c r="G14042" s="6">
        <v>4</v>
      </c>
      <c r="H14042" s="6" t="s">
        <v>53722</v>
      </c>
      <c r="I14042" s="6">
        <v>526.6875</v>
      </c>
      <c r="J14042" s="2">
        <f t="shared" si="219"/>
        <v>43749.526484606475</v>
      </c>
    </row>
    <row r="14043" spans="1:10" x14ac:dyDescent="0.25">
      <c r="A14043" s="7" t="s">
        <v>53723</v>
      </c>
      <c r="B14043" s="8">
        <v>393.75</v>
      </c>
      <c r="C14043" s="8">
        <v>20.584240000000001</v>
      </c>
      <c r="D14043" s="8">
        <v>51</v>
      </c>
      <c r="E14043" s="8">
        <v>0</v>
      </c>
      <c r="F14043" s="8">
        <v>0</v>
      </c>
      <c r="G14043" s="8">
        <v>2</v>
      </c>
      <c r="H14043" s="8" t="s">
        <v>53724</v>
      </c>
      <c r="I14043" s="8">
        <v>526.6875</v>
      </c>
      <c r="J14043" s="3">
        <f t="shared" si="219"/>
        <v>43749.52656770833</v>
      </c>
    </row>
    <row r="14044" spans="1:10" x14ac:dyDescent="0.25">
      <c r="A14044" s="5" t="s">
        <v>53725</v>
      </c>
      <c r="B14044" s="6">
        <v>393.75</v>
      </c>
      <c r="C14044" s="6">
        <v>20.531590000000001</v>
      </c>
      <c r="D14044" s="6">
        <v>51</v>
      </c>
      <c r="E14044" s="6">
        <v>0</v>
      </c>
      <c r="F14044" s="6">
        <v>0</v>
      </c>
      <c r="G14044" s="6">
        <v>6</v>
      </c>
      <c r="H14044" s="6" t="s">
        <v>53726</v>
      </c>
      <c r="I14044" s="6">
        <v>526.6875</v>
      </c>
      <c r="J14044" s="2">
        <f t="shared" si="219"/>
        <v>43749.526639571755</v>
      </c>
    </row>
    <row r="14045" spans="1:10" x14ac:dyDescent="0.25">
      <c r="A14045" s="7" t="s">
        <v>53727</v>
      </c>
      <c r="B14045" s="8">
        <v>393.75</v>
      </c>
      <c r="C14045" s="8">
        <v>20.531590000000001</v>
      </c>
      <c r="D14045" s="8">
        <v>51</v>
      </c>
      <c r="E14045" s="8">
        <v>0</v>
      </c>
      <c r="F14045" s="8">
        <v>0</v>
      </c>
      <c r="G14045" s="8">
        <v>1</v>
      </c>
      <c r="H14045" s="8" t="s">
        <v>53728</v>
      </c>
      <c r="I14045" s="8">
        <v>526.6875</v>
      </c>
      <c r="J14045" s="3">
        <f t="shared" si="219"/>
        <v>43749.526723124996</v>
      </c>
    </row>
    <row r="14046" spans="1:10" x14ac:dyDescent="0.25">
      <c r="A14046" s="5" t="s">
        <v>53729</v>
      </c>
      <c r="B14046" s="6">
        <v>393.75</v>
      </c>
      <c r="C14046" s="6">
        <v>20.584240000000001</v>
      </c>
      <c r="D14046" s="6">
        <v>52</v>
      </c>
      <c r="E14046" s="6">
        <v>0</v>
      </c>
      <c r="F14046" s="6">
        <v>0</v>
      </c>
      <c r="G14046" s="6">
        <v>6</v>
      </c>
      <c r="H14046" s="6" t="s">
        <v>53730</v>
      </c>
      <c r="I14046" s="6">
        <v>526.6875</v>
      </c>
      <c r="J14046" s="2">
        <f t="shared" si="219"/>
        <v>43749.526806678237</v>
      </c>
    </row>
    <row r="14047" spans="1:10" x14ac:dyDescent="0.25">
      <c r="A14047" s="7" t="s">
        <v>53731</v>
      </c>
      <c r="B14047" s="8">
        <v>393.75</v>
      </c>
      <c r="C14047" s="8">
        <v>20.531590000000001</v>
      </c>
      <c r="D14047" s="8">
        <v>52</v>
      </c>
      <c r="E14047" s="8">
        <v>0</v>
      </c>
      <c r="F14047" s="8">
        <v>0</v>
      </c>
      <c r="G14047" s="8">
        <v>5</v>
      </c>
      <c r="H14047" s="8" t="s">
        <v>53732</v>
      </c>
      <c r="I14047" s="8">
        <v>526.6875</v>
      </c>
      <c r="J14047" s="3">
        <f t="shared" si="219"/>
        <v>43749.526889780092</v>
      </c>
    </row>
    <row r="14048" spans="1:10" x14ac:dyDescent="0.25">
      <c r="A14048" s="5" t="s">
        <v>53733</v>
      </c>
      <c r="B14048" s="6">
        <v>393.75</v>
      </c>
      <c r="C14048" s="6">
        <v>20.531590000000001</v>
      </c>
      <c r="D14048" s="6">
        <v>52</v>
      </c>
      <c r="E14048" s="6">
        <v>0</v>
      </c>
      <c r="F14048" s="6">
        <v>0</v>
      </c>
      <c r="G14048" s="6">
        <v>15</v>
      </c>
      <c r="H14048" s="6" t="s">
        <v>53734</v>
      </c>
      <c r="I14048" s="6">
        <v>526.6875</v>
      </c>
      <c r="J14048" s="2">
        <f t="shared" si="219"/>
        <v>43749.526961307864</v>
      </c>
    </row>
    <row r="14049" spans="1:10" x14ac:dyDescent="0.25">
      <c r="A14049" s="7" t="s">
        <v>53735</v>
      </c>
      <c r="B14049" s="8">
        <v>393.75</v>
      </c>
      <c r="C14049" s="8">
        <v>20.531590000000001</v>
      </c>
      <c r="D14049" s="8">
        <v>56</v>
      </c>
      <c r="E14049" s="8">
        <v>0</v>
      </c>
      <c r="F14049" s="8">
        <v>0</v>
      </c>
      <c r="G14049" s="8">
        <v>12</v>
      </c>
      <c r="H14049" s="8" t="s">
        <v>53736</v>
      </c>
      <c r="I14049" s="8">
        <v>526.6875</v>
      </c>
      <c r="J14049" s="3">
        <f t="shared" si="219"/>
        <v>43749.527045243049</v>
      </c>
    </row>
    <row r="14050" spans="1:10" x14ac:dyDescent="0.25">
      <c r="A14050" s="5" t="s">
        <v>53737</v>
      </c>
      <c r="B14050" s="6">
        <v>393.75</v>
      </c>
      <c r="C14050" s="6">
        <v>20.531590000000001</v>
      </c>
      <c r="D14050" s="6">
        <v>56</v>
      </c>
      <c r="E14050" s="6">
        <v>0</v>
      </c>
      <c r="F14050" s="6">
        <v>0</v>
      </c>
      <c r="G14050" s="6">
        <v>17</v>
      </c>
      <c r="H14050" s="6" t="s">
        <v>53738</v>
      </c>
      <c r="I14050" s="6">
        <v>526.6875</v>
      </c>
      <c r="J14050" s="2">
        <f t="shared" si="219"/>
        <v>43749.527128668975</v>
      </c>
    </row>
    <row r="14051" spans="1:10" x14ac:dyDescent="0.25">
      <c r="A14051" s="7" t="s">
        <v>53739</v>
      </c>
      <c r="B14051" s="8">
        <v>393.75</v>
      </c>
      <c r="C14051" s="8">
        <v>20.531590000000001</v>
      </c>
      <c r="D14051" s="8">
        <v>55</v>
      </c>
      <c r="E14051" s="8">
        <v>0</v>
      </c>
      <c r="F14051" s="8">
        <v>0</v>
      </c>
      <c r="G14051" s="8">
        <v>6</v>
      </c>
      <c r="H14051" s="8" t="s">
        <v>53740</v>
      </c>
      <c r="I14051" s="8">
        <v>526.6875</v>
      </c>
      <c r="J14051" s="3">
        <f t="shared" si="219"/>
        <v>43749.527211921297</v>
      </c>
    </row>
    <row r="14052" spans="1:10" x14ac:dyDescent="0.25">
      <c r="A14052" s="5" t="s">
        <v>53741</v>
      </c>
      <c r="B14052" s="6">
        <v>412.5</v>
      </c>
      <c r="C14052" s="6">
        <v>20.531590000000001</v>
      </c>
      <c r="D14052" s="6">
        <v>55</v>
      </c>
      <c r="E14052" s="6">
        <v>0</v>
      </c>
      <c r="F14052" s="6">
        <v>0</v>
      </c>
      <c r="G14052" s="6">
        <v>16</v>
      </c>
      <c r="H14052" s="6" t="s">
        <v>53742</v>
      </c>
      <c r="I14052" s="6">
        <v>532.5</v>
      </c>
      <c r="J14052" s="2">
        <f t="shared" si="219"/>
        <v>43749.527283668976</v>
      </c>
    </row>
    <row r="14053" spans="1:10" x14ac:dyDescent="0.25">
      <c r="A14053" s="7" t="s">
        <v>53743</v>
      </c>
      <c r="B14053" s="8">
        <v>393.75</v>
      </c>
      <c r="C14053" s="8">
        <v>20.531590000000001</v>
      </c>
      <c r="D14053" s="8">
        <v>54</v>
      </c>
      <c r="E14053" s="8">
        <v>0</v>
      </c>
      <c r="F14053" s="8">
        <v>0</v>
      </c>
      <c r="G14053" s="8">
        <v>14</v>
      </c>
      <c r="H14053" s="8" t="s">
        <v>53744</v>
      </c>
      <c r="I14053" s="8">
        <v>526.6875</v>
      </c>
      <c r="J14053" s="3">
        <f t="shared" si="219"/>
        <v>43749.527367233793</v>
      </c>
    </row>
    <row r="14054" spans="1:10" x14ac:dyDescent="0.25">
      <c r="A14054" s="5" t="s">
        <v>53745</v>
      </c>
      <c r="B14054" s="6">
        <v>393.75</v>
      </c>
      <c r="C14054" s="6">
        <v>20.584240000000001</v>
      </c>
      <c r="D14054" s="6">
        <v>53</v>
      </c>
      <c r="E14054" s="6">
        <v>0</v>
      </c>
      <c r="F14054" s="6">
        <v>0</v>
      </c>
      <c r="G14054" s="6">
        <v>6</v>
      </c>
      <c r="H14054" s="6" t="s">
        <v>53746</v>
      </c>
      <c r="I14054" s="6">
        <v>526.6875</v>
      </c>
      <c r="J14054" s="2">
        <f t="shared" si="219"/>
        <v>43749.527462696758</v>
      </c>
    </row>
    <row r="14055" spans="1:10" x14ac:dyDescent="0.25">
      <c r="A14055" s="7" t="s">
        <v>53747</v>
      </c>
      <c r="B14055" s="8">
        <v>393.75</v>
      </c>
      <c r="C14055" s="8">
        <v>20.584240000000001</v>
      </c>
      <c r="D14055" s="8">
        <v>53</v>
      </c>
      <c r="E14055" s="8">
        <v>0</v>
      </c>
      <c r="F14055" s="8">
        <v>0</v>
      </c>
      <c r="G14055" s="8">
        <v>6</v>
      </c>
      <c r="H14055" s="8" t="s">
        <v>53748</v>
      </c>
      <c r="I14055" s="8">
        <v>526.6875</v>
      </c>
      <c r="J14055" s="3">
        <f t="shared" si="219"/>
        <v>43749.527546157406</v>
      </c>
    </row>
    <row r="14056" spans="1:10" x14ac:dyDescent="0.25">
      <c r="A14056" s="5" t="s">
        <v>53749</v>
      </c>
      <c r="B14056" s="6">
        <v>393.75</v>
      </c>
      <c r="C14056" s="6">
        <v>20.531590000000001</v>
      </c>
      <c r="D14056" s="6">
        <v>53</v>
      </c>
      <c r="E14056" s="6">
        <v>0</v>
      </c>
      <c r="F14056" s="6">
        <v>0</v>
      </c>
      <c r="G14056" s="6">
        <v>16</v>
      </c>
      <c r="H14056" s="6" t="s">
        <v>53750</v>
      </c>
      <c r="I14056" s="6">
        <v>526.6875</v>
      </c>
      <c r="J14056" s="2">
        <f t="shared" si="219"/>
        <v>43749.527617789347</v>
      </c>
    </row>
    <row r="14057" spans="1:10" x14ac:dyDescent="0.25">
      <c r="A14057" s="7" t="s">
        <v>53751</v>
      </c>
      <c r="B14057" s="8">
        <v>412.5</v>
      </c>
      <c r="C14057" s="8">
        <v>20.531590000000001</v>
      </c>
      <c r="D14057" s="8">
        <v>53</v>
      </c>
      <c r="E14057" s="8">
        <v>0</v>
      </c>
      <c r="F14057" s="8">
        <v>0</v>
      </c>
      <c r="G14057" s="8">
        <v>6</v>
      </c>
      <c r="H14057" s="8" t="s">
        <v>53752</v>
      </c>
      <c r="I14057" s="8">
        <v>532.3125</v>
      </c>
      <c r="J14057" s="3">
        <f t="shared" si="219"/>
        <v>43749.527700891202</v>
      </c>
    </row>
    <row r="14058" spans="1:10" x14ac:dyDescent="0.25">
      <c r="A14058" s="5" t="s">
        <v>53753</v>
      </c>
      <c r="B14058" s="6">
        <v>393.75</v>
      </c>
      <c r="C14058" s="6">
        <v>20.531590000000001</v>
      </c>
      <c r="D14058" s="6">
        <v>53</v>
      </c>
      <c r="E14058" s="6">
        <v>0</v>
      </c>
      <c r="F14058" s="6">
        <v>0</v>
      </c>
      <c r="G14058" s="6">
        <v>6</v>
      </c>
      <c r="H14058" s="6" t="s">
        <v>53754</v>
      </c>
      <c r="I14058" s="6">
        <v>526.6875</v>
      </c>
      <c r="J14058" s="2">
        <f t="shared" si="219"/>
        <v>43749.527784699072</v>
      </c>
    </row>
    <row r="14059" spans="1:10" x14ac:dyDescent="0.25">
      <c r="A14059" s="7" t="s">
        <v>53755</v>
      </c>
      <c r="B14059" s="8">
        <v>393.75</v>
      </c>
      <c r="C14059" s="8">
        <v>20.531590000000001</v>
      </c>
      <c r="D14059" s="8">
        <v>52</v>
      </c>
      <c r="E14059" s="8">
        <v>0</v>
      </c>
      <c r="F14059" s="8">
        <v>0</v>
      </c>
      <c r="G14059" s="8">
        <v>9</v>
      </c>
      <c r="H14059" s="8" t="s">
        <v>53756</v>
      </c>
      <c r="I14059" s="8">
        <v>526.6875</v>
      </c>
      <c r="J14059" s="3">
        <f t="shared" si="219"/>
        <v>43749.527867939811</v>
      </c>
    </row>
    <row r="14060" spans="1:10" x14ac:dyDescent="0.25">
      <c r="A14060" s="5" t="s">
        <v>53757</v>
      </c>
      <c r="B14060" s="6">
        <v>393.75</v>
      </c>
      <c r="C14060" s="6">
        <v>20.531590000000001</v>
      </c>
      <c r="D14060" s="6">
        <v>52</v>
      </c>
      <c r="E14060" s="6">
        <v>0</v>
      </c>
      <c r="F14060" s="6">
        <v>0</v>
      </c>
      <c r="G14060" s="6">
        <v>7</v>
      </c>
      <c r="H14060" s="6" t="s">
        <v>53758</v>
      </c>
      <c r="I14060" s="6">
        <v>526.6875</v>
      </c>
      <c r="J14060" s="2">
        <f t="shared" si="219"/>
        <v>43749.527939791667</v>
      </c>
    </row>
    <row r="14061" spans="1:10" x14ac:dyDescent="0.25">
      <c r="A14061" s="7" t="s">
        <v>53759</v>
      </c>
      <c r="B14061" s="8">
        <v>393.75</v>
      </c>
      <c r="C14061" s="8">
        <v>20.531590000000001</v>
      </c>
      <c r="D14061" s="8">
        <v>52</v>
      </c>
      <c r="E14061" s="8">
        <v>0</v>
      </c>
      <c r="F14061" s="8">
        <v>0</v>
      </c>
      <c r="G14061" s="8">
        <v>20</v>
      </c>
      <c r="H14061" s="8" t="s">
        <v>53760</v>
      </c>
      <c r="I14061" s="8">
        <v>526.6875</v>
      </c>
      <c r="J14061" s="3">
        <f t="shared" si="219"/>
        <v>43749.528022997685</v>
      </c>
    </row>
    <row r="14062" spans="1:10" x14ac:dyDescent="0.25">
      <c r="A14062" s="5" t="s">
        <v>53761</v>
      </c>
      <c r="B14062" s="6">
        <v>437.5</v>
      </c>
      <c r="C14062" s="6">
        <v>20.584240000000001</v>
      </c>
      <c r="D14062" s="6">
        <v>52</v>
      </c>
      <c r="E14062" s="6">
        <v>0</v>
      </c>
      <c r="F14062" s="6">
        <v>0</v>
      </c>
      <c r="G14062" s="6">
        <v>10</v>
      </c>
      <c r="H14062" s="6" t="s">
        <v>53762</v>
      </c>
      <c r="I14062" s="6">
        <v>540.1875</v>
      </c>
      <c r="J14062" s="2">
        <f t="shared" si="219"/>
        <v>43749.528094768517</v>
      </c>
    </row>
    <row r="14063" spans="1:10" x14ac:dyDescent="0.25">
      <c r="A14063" s="7" t="s">
        <v>53763</v>
      </c>
      <c r="B14063" s="8">
        <v>393.75</v>
      </c>
      <c r="C14063" s="8">
        <v>20.531590000000001</v>
      </c>
      <c r="D14063" s="8">
        <v>53</v>
      </c>
      <c r="E14063" s="8">
        <v>0</v>
      </c>
      <c r="F14063" s="8">
        <v>0</v>
      </c>
      <c r="G14063" s="8">
        <v>18</v>
      </c>
      <c r="H14063" s="8" t="s">
        <v>53764</v>
      </c>
      <c r="I14063" s="8">
        <v>526.6875</v>
      </c>
      <c r="J14063" s="3">
        <f t="shared" si="219"/>
        <v>43749.52817834491</v>
      </c>
    </row>
    <row r="14064" spans="1:10" x14ac:dyDescent="0.25">
      <c r="A14064" s="5" t="s">
        <v>53765</v>
      </c>
      <c r="B14064" s="6">
        <v>393.75</v>
      </c>
      <c r="C14064" s="6">
        <v>20.531590000000001</v>
      </c>
      <c r="D14064" s="6">
        <v>54</v>
      </c>
      <c r="E14064" s="6">
        <v>0</v>
      </c>
      <c r="F14064" s="6">
        <v>0</v>
      </c>
      <c r="G14064" s="6">
        <v>5</v>
      </c>
      <c r="H14064" s="6" t="s">
        <v>53766</v>
      </c>
      <c r="I14064" s="6">
        <v>526.6875</v>
      </c>
      <c r="J14064" s="2">
        <f t="shared" si="219"/>
        <v>43749.528261793974</v>
      </c>
    </row>
    <row r="14065" spans="1:10" x14ac:dyDescent="0.25">
      <c r="A14065" s="7" t="s">
        <v>53767</v>
      </c>
      <c r="B14065" s="8">
        <v>393.75</v>
      </c>
      <c r="C14065" s="8">
        <v>20.531590000000001</v>
      </c>
      <c r="D14065" s="8">
        <v>55</v>
      </c>
      <c r="E14065" s="8">
        <v>0</v>
      </c>
      <c r="F14065" s="8">
        <v>0</v>
      </c>
      <c r="G14065" s="8">
        <v>13</v>
      </c>
      <c r="H14065" s="8" t="s">
        <v>53768</v>
      </c>
      <c r="I14065" s="8">
        <v>526.6875</v>
      </c>
      <c r="J14065" s="3">
        <f t="shared" si="219"/>
        <v>43749.528346053237</v>
      </c>
    </row>
    <row r="14066" spans="1:10" x14ac:dyDescent="0.25">
      <c r="A14066" s="5" t="s">
        <v>53769</v>
      </c>
      <c r="B14066" s="6">
        <v>393.75</v>
      </c>
      <c r="C14066" s="6">
        <v>20.584240000000001</v>
      </c>
      <c r="D14066" s="6">
        <v>55</v>
      </c>
      <c r="E14066" s="6">
        <v>0</v>
      </c>
      <c r="F14066" s="6">
        <v>0</v>
      </c>
      <c r="G14066" s="6">
        <v>12</v>
      </c>
      <c r="H14066" s="6" t="s">
        <v>53770</v>
      </c>
      <c r="I14066" s="6">
        <v>526.6875</v>
      </c>
      <c r="J14066" s="2">
        <f t="shared" si="219"/>
        <v>43749.528428912039</v>
      </c>
    </row>
    <row r="14067" spans="1:10" x14ac:dyDescent="0.25">
      <c r="A14067" s="7" t="s">
        <v>53771</v>
      </c>
      <c r="B14067" s="8">
        <v>393.75</v>
      </c>
      <c r="C14067" s="8">
        <v>20.584240000000001</v>
      </c>
      <c r="D14067" s="8">
        <v>54</v>
      </c>
      <c r="E14067" s="8">
        <v>0</v>
      </c>
      <c r="F14067" s="8">
        <v>0</v>
      </c>
      <c r="G14067" s="8">
        <v>11</v>
      </c>
      <c r="H14067" s="8" t="s">
        <v>53772</v>
      </c>
      <c r="I14067" s="8">
        <v>526.6875</v>
      </c>
      <c r="J14067" s="3">
        <f t="shared" si="219"/>
        <v>43749.528524351852</v>
      </c>
    </row>
    <row r="14068" spans="1:10" x14ac:dyDescent="0.25">
      <c r="A14068" s="5" t="s">
        <v>53773</v>
      </c>
      <c r="B14068" s="6">
        <v>393.75</v>
      </c>
      <c r="C14068" s="6">
        <v>20.531590000000001</v>
      </c>
      <c r="D14068" s="6">
        <v>55</v>
      </c>
      <c r="E14068" s="6">
        <v>0</v>
      </c>
      <c r="F14068" s="6">
        <v>0</v>
      </c>
      <c r="G14068" s="6">
        <v>9</v>
      </c>
      <c r="H14068" s="6" t="s">
        <v>53774</v>
      </c>
      <c r="I14068" s="6">
        <v>526.6875</v>
      </c>
      <c r="J14068" s="2">
        <f t="shared" si="219"/>
        <v>43749.528607800923</v>
      </c>
    </row>
    <row r="14069" spans="1:10" x14ac:dyDescent="0.25">
      <c r="A14069" s="7" t="s">
        <v>53775</v>
      </c>
      <c r="B14069" s="8">
        <v>412.5</v>
      </c>
      <c r="C14069" s="8">
        <v>20.584240000000001</v>
      </c>
      <c r="D14069" s="8">
        <v>54</v>
      </c>
      <c r="E14069" s="8">
        <v>0</v>
      </c>
      <c r="F14069" s="8">
        <v>0</v>
      </c>
      <c r="G14069" s="8">
        <v>2</v>
      </c>
      <c r="H14069" s="8" t="s">
        <v>53776</v>
      </c>
      <c r="I14069" s="8">
        <v>532.5</v>
      </c>
      <c r="J14069" s="3">
        <f t="shared" si="219"/>
        <v>43749.528691388885</v>
      </c>
    </row>
    <row r="14070" spans="1:10" x14ac:dyDescent="0.25">
      <c r="A14070" s="5" t="s">
        <v>53777</v>
      </c>
      <c r="B14070" s="6">
        <v>393.75</v>
      </c>
      <c r="C14070" s="6">
        <v>20.584240000000001</v>
      </c>
      <c r="D14070" s="6">
        <v>55</v>
      </c>
      <c r="E14070" s="6">
        <v>0</v>
      </c>
      <c r="F14070" s="6">
        <v>0</v>
      </c>
      <c r="G14070" s="6">
        <v>11</v>
      </c>
      <c r="H14070" s="6" t="s">
        <v>53778</v>
      </c>
      <c r="I14070" s="6">
        <v>526.6875</v>
      </c>
      <c r="J14070" s="2">
        <f t="shared" si="219"/>
        <v>43749.528775057865</v>
      </c>
    </row>
    <row r="14071" spans="1:10" x14ac:dyDescent="0.25">
      <c r="A14071" s="7" t="s">
        <v>53779</v>
      </c>
      <c r="B14071" s="8">
        <v>393.75</v>
      </c>
      <c r="C14071" s="8">
        <v>20.531590000000001</v>
      </c>
      <c r="D14071" s="8">
        <v>55</v>
      </c>
      <c r="E14071" s="8">
        <v>0</v>
      </c>
      <c r="F14071" s="8">
        <v>0</v>
      </c>
      <c r="G14071" s="8">
        <v>0</v>
      </c>
      <c r="H14071" s="8" t="s">
        <v>53780</v>
      </c>
      <c r="I14071" s="8">
        <v>526.875</v>
      </c>
      <c r="J14071" s="3">
        <f t="shared" si="219"/>
        <v>43749.528858379628</v>
      </c>
    </row>
    <row r="14072" spans="1:10" x14ac:dyDescent="0.25">
      <c r="A14072" s="5" t="s">
        <v>53781</v>
      </c>
      <c r="B14072" s="6">
        <v>393.75</v>
      </c>
      <c r="C14072" s="6">
        <v>20.478950000000001</v>
      </c>
      <c r="D14072" s="6">
        <v>52</v>
      </c>
      <c r="E14072" s="6">
        <v>0</v>
      </c>
      <c r="F14072" s="6">
        <v>0</v>
      </c>
      <c r="G14072" s="6">
        <v>12</v>
      </c>
      <c r="H14072" s="6" t="s">
        <v>53782</v>
      </c>
      <c r="I14072" s="6">
        <v>526.6875</v>
      </c>
      <c r="J14072" s="2">
        <f t="shared" si="219"/>
        <v>43749.528941597215</v>
      </c>
    </row>
    <row r="14073" spans="1:10" x14ac:dyDescent="0.25">
      <c r="A14073" s="7" t="s">
        <v>53783</v>
      </c>
      <c r="B14073" s="8">
        <v>393.75</v>
      </c>
      <c r="C14073" s="8">
        <v>20.531590000000001</v>
      </c>
      <c r="D14073" s="8">
        <v>52</v>
      </c>
      <c r="E14073" s="8">
        <v>0</v>
      </c>
      <c r="F14073" s="8">
        <v>0</v>
      </c>
      <c r="G14073" s="8">
        <v>4</v>
      </c>
      <c r="H14073" s="8" t="s">
        <v>53784</v>
      </c>
      <c r="I14073" s="8">
        <v>526.6875</v>
      </c>
      <c r="J14073" s="3">
        <f t="shared" si="219"/>
        <v>43749.52901337963</v>
      </c>
    </row>
    <row r="14074" spans="1:10" x14ac:dyDescent="0.25">
      <c r="A14074" s="5" t="s">
        <v>53785</v>
      </c>
      <c r="B14074" s="6">
        <v>412.5</v>
      </c>
      <c r="C14074" s="6">
        <v>20.531590000000001</v>
      </c>
      <c r="D14074" s="6">
        <v>52</v>
      </c>
      <c r="E14074" s="6">
        <v>0</v>
      </c>
      <c r="F14074" s="6">
        <v>0</v>
      </c>
      <c r="G14074" s="6">
        <v>9</v>
      </c>
      <c r="H14074" s="6" t="s">
        <v>53786</v>
      </c>
      <c r="I14074" s="6">
        <v>532.3125</v>
      </c>
      <c r="J14074" s="2">
        <f t="shared" si="219"/>
        <v>43749.529096921295</v>
      </c>
    </row>
    <row r="14075" spans="1:10" x14ac:dyDescent="0.25">
      <c r="A14075" s="7" t="s">
        <v>53787</v>
      </c>
      <c r="B14075" s="8">
        <v>393.75</v>
      </c>
      <c r="C14075" s="8">
        <v>20.584240000000001</v>
      </c>
      <c r="D14075" s="8">
        <v>52</v>
      </c>
      <c r="E14075" s="8">
        <v>0</v>
      </c>
      <c r="F14075" s="8">
        <v>0</v>
      </c>
      <c r="G14075" s="8">
        <v>4</v>
      </c>
      <c r="H14075" s="8" t="s">
        <v>53788</v>
      </c>
      <c r="I14075" s="8">
        <v>526.6875</v>
      </c>
      <c r="J14075" s="3">
        <f t="shared" si="219"/>
        <v>43749.529180381942</v>
      </c>
    </row>
    <row r="14076" spans="1:10" x14ac:dyDescent="0.25">
      <c r="A14076" s="5" t="s">
        <v>53789</v>
      </c>
      <c r="B14076" s="6">
        <v>393.75</v>
      </c>
      <c r="C14076" s="6">
        <v>20.531590000000001</v>
      </c>
      <c r="D14076" s="6">
        <v>52</v>
      </c>
      <c r="E14076" s="6">
        <v>0</v>
      </c>
      <c r="F14076" s="6">
        <v>0</v>
      </c>
      <c r="G14076" s="6">
        <v>9</v>
      </c>
      <c r="H14076" s="6" t="s">
        <v>53790</v>
      </c>
      <c r="I14076" s="6">
        <v>526.6875</v>
      </c>
      <c r="J14076" s="2">
        <f t="shared" si="219"/>
        <v>43749.529263958328</v>
      </c>
    </row>
    <row r="14077" spans="1:10" x14ac:dyDescent="0.25">
      <c r="A14077" s="7" t="s">
        <v>53791</v>
      </c>
      <c r="B14077" s="8">
        <v>393.75</v>
      </c>
      <c r="C14077" s="8">
        <v>20.531590000000001</v>
      </c>
      <c r="D14077" s="8">
        <v>53</v>
      </c>
      <c r="E14077" s="8">
        <v>0</v>
      </c>
      <c r="F14077" s="8">
        <v>0</v>
      </c>
      <c r="G14077" s="8">
        <v>0</v>
      </c>
      <c r="H14077" s="8" t="s">
        <v>53792</v>
      </c>
      <c r="I14077" s="8">
        <v>526.6875</v>
      </c>
      <c r="J14077" s="3">
        <f t="shared" si="219"/>
        <v>43749.529347523145</v>
      </c>
    </row>
    <row r="14078" spans="1:10" x14ac:dyDescent="0.25">
      <c r="A14078" s="5" t="s">
        <v>53793</v>
      </c>
      <c r="B14078" s="6">
        <v>393.75</v>
      </c>
      <c r="C14078" s="6">
        <v>20.531590000000001</v>
      </c>
      <c r="D14078" s="6">
        <v>53</v>
      </c>
      <c r="E14078" s="6">
        <v>0</v>
      </c>
      <c r="F14078" s="6">
        <v>0</v>
      </c>
      <c r="G14078" s="6">
        <v>9</v>
      </c>
      <c r="H14078" s="6" t="s">
        <v>53794</v>
      </c>
      <c r="I14078" s="6">
        <v>526.6875</v>
      </c>
      <c r="J14078" s="2">
        <f t="shared" si="219"/>
        <v>43749.529430613424</v>
      </c>
    </row>
    <row r="14079" spans="1:10" x14ac:dyDescent="0.25">
      <c r="A14079" s="7" t="s">
        <v>53795</v>
      </c>
      <c r="B14079" s="8">
        <v>393.75</v>
      </c>
      <c r="C14079" s="8">
        <v>20.584240000000001</v>
      </c>
      <c r="D14079" s="8">
        <v>53</v>
      </c>
      <c r="E14079" s="8">
        <v>0</v>
      </c>
      <c r="F14079" s="8">
        <v>0</v>
      </c>
      <c r="G14079" s="8">
        <v>3</v>
      </c>
      <c r="H14079" s="8" t="s">
        <v>53796</v>
      </c>
      <c r="I14079" s="8">
        <v>526.6875</v>
      </c>
      <c r="J14079" s="3">
        <f t="shared" si="219"/>
        <v>43749.529502233789</v>
      </c>
    </row>
    <row r="14080" spans="1:10" x14ac:dyDescent="0.25">
      <c r="A14080" s="5" t="s">
        <v>53797</v>
      </c>
      <c r="B14080" s="6">
        <v>393.75</v>
      </c>
      <c r="C14080" s="6">
        <v>20.584240000000001</v>
      </c>
      <c r="D14080" s="6">
        <v>50</v>
      </c>
      <c r="E14080" s="6">
        <v>0</v>
      </c>
      <c r="F14080" s="6">
        <v>0</v>
      </c>
      <c r="G14080" s="6">
        <v>6</v>
      </c>
      <c r="H14080" s="6" t="s">
        <v>53798</v>
      </c>
      <c r="I14080" s="6">
        <v>526.6875</v>
      </c>
      <c r="J14080" s="2">
        <f t="shared" si="219"/>
        <v>43749.529586041659</v>
      </c>
    </row>
    <row r="14081" spans="1:10" x14ac:dyDescent="0.25">
      <c r="A14081" s="7" t="s">
        <v>53799</v>
      </c>
      <c r="B14081" s="8">
        <v>393.75</v>
      </c>
      <c r="C14081" s="8">
        <v>20.584240000000001</v>
      </c>
      <c r="D14081" s="8">
        <v>50</v>
      </c>
      <c r="E14081" s="8">
        <v>0</v>
      </c>
      <c r="F14081" s="8">
        <v>0</v>
      </c>
      <c r="G14081" s="8">
        <v>1</v>
      </c>
      <c r="H14081" s="8" t="s">
        <v>53800</v>
      </c>
      <c r="I14081" s="8">
        <v>526.6875</v>
      </c>
      <c r="J14081" s="3">
        <f t="shared" si="219"/>
        <v>43749.529669479169</v>
      </c>
    </row>
    <row r="14082" spans="1:10" x14ac:dyDescent="0.25">
      <c r="A14082" s="5" t="s">
        <v>53801</v>
      </c>
      <c r="B14082" s="6">
        <v>393.75</v>
      </c>
      <c r="C14082" s="6">
        <v>20.531590000000001</v>
      </c>
      <c r="D14082" s="6">
        <v>49</v>
      </c>
      <c r="E14082" s="6">
        <v>0</v>
      </c>
      <c r="F14082" s="6">
        <v>0</v>
      </c>
      <c r="G14082" s="6">
        <v>6</v>
      </c>
      <c r="H14082" s="6" t="s">
        <v>53802</v>
      </c>
      <c r="I14082" s="6">
        <v>526.6875</v>
      </c>
      <c r="J14082" s="2">
        <f t="shared" ref="J14082:J14145" si="220">(H14082/86400000)+25569+(7/24)</f>
        <v>43749.529752719907</v>
      </c>
    </row>
    <row r="14083" spans="1:10" x14ac:dyDescent="0.25">
      <c r="A14083" s="7" t="s">
        <v>53803</v>
      </c>
      <c r="B14083" s="8">
        <v>393.75</v>
      </c>
      <c r="C14083" s="8">
        <v>20.531590000000001</v>
      </c>
      <c r="D14083" s="8">
        <v>49</v>
      </c>
      <c r="E14083" s="8">
        <v>0</v>
      </c>
      <c r="F14083" s="8">
        <v>0</v>
      </c>
      <c r="G14083" s="8">
        <v>4</v>
      </c>
      <c r="H14083" s="8" t="s">
        <v>53804</v>
      </c>
      <c r="I14083" s="8">
        <v>526.6875</v>
      </c>
      <c r="J14083" s="3">
        <f t="shared" si="220"/>
        <v>43749.529824467587</v>
      </c>
    </row>
    <row r="14084" spans="1:10" x14ac:dyDescent="0.25">
      <c r="A14084" s="5" t="s">
        <v>53805</v>
      </c>
      <c r="B14084" s="6">
        <v>393.75</v>
      </c>
      <c r="C14084" s="6">
        <v>20.584240000000001</v>
      </c>
      <c r="D14084" s="6">
        <v>50</v>
      </c>
      <c r="E14084" s="6">
        <v>0</v>
      </c>
      <c r="F14084" s="6">
        <v>0</v>
      </c>
      <c r="G14084" s="6">
        <v>5</v>
      </c>
      <c r="H14084" s="6" t="s">
        <v>53806</v>
      </c>
      <c r="I14084" s="6">
        <v>526.6875</v>
      </c>
      <c r="J14084" s="2">
        <f t="shared" si="220"/>
        <v>43749.52989622685</v>
      </c>
    </row>
    <row r="14085" spans="1:10" x14ac:dyDescent="0.25">
      <c r="A14085" s="7" t="s">
        <v>53807</v>
      </c>
      <c r="B14085" s="8">
        <v>393.75</v>
      </c>
      <c r="C14085" s="8">
        <v>20.531590000000001</v>
      </c>
      <c r="D14085" s="8">
        <v>50</v>
      </c>
      <c r="E14085" s="8">
        <v>0</v>
      </c>
      <c r="F14085" s="8">
        <v>0</v>
      </c>
      <c r="G14085" s="8">
        <v>1</v>
      </c>
      <c r="H14085" s="8" t="s">
        <v>53808</v>
      </c>
      <c r="I14085" s="8">
        <v>526.6875</v>
      </c>
      <c r="J14085" s="3">
        <f t="shared" si="220"/>
        <v>43749.529979560182</v>
      </c>
    </row>
    <row r="14086" spans="1:10" x14ac:dyDescent="0.25">
      <c r="A14086" s="5" t="s">
        <v>53809</v>
      </c>
      <c r="B14086" s="6">
        <v>393.75</v>
      </c>
      <c r="C14086" s="6">
        <v>20.584240000000001</v>
      </c>
      <c r="D14086" s="6">
        <v>50</v>
      </c>
      <c r="E14086" s="6">
        <v>0</v>
      </c>
      <c r="F14086" s="6">
        <v>0</v>
      </c>
      <c r="G14086" s="6">
        <v>9</v>
      </c>
      <c r="H14086" s="6" t="s">
        <v>53810</v>
      </c>
      <c r="I14086" s="6">
        <v>526.6875</v>
      </c>
      <c r="J14086" s="2">
        <f t="shared" si="220"/>
        <v>43749.530051215275</v>
      </c>
    </row>
    <row r="14087" spans="1:10" x14ac:dyDescent="0.25">
      <c r="A14087" s="7" t="s">
        <v>53811</v>
      </c>
      <c r="B14087" s="8">
        <v>393.75</v>
      </c>
      <c r="C14087" s="8">
        <v>20.531590000000001</v>
      </c>
      <c r="D14087" s="8">
        <v>53</v>
      </c>
      <c r="E14087" s="8">
        <v>0</v>
      </c>
      <c r="F14087" s="8">
        <v>0</v>
      </c>
      <c r="G14087" s="8">
        <v>6</v>
      </c>
      <c r="H14087" s="8" t="s">
        <v>53812</v>
      </c>
      <c r="I14087" s="8">
        <v>526.6875</v>
      </c>
      <c r="J14087" s="3">
        <f t="shared" si="220"/>
        <v>43749.530134317123</v>
      </c>
    </row>
    <row r="14088" spans="1:10" x14ac:dyDescent="0.25">
      <c r="A14088" s="5" t="s">
        <v>53813</v>
      </c>
      <c r="B14088" s="6">
        <v>393.75</v>
      </c>
      <c r="C14088" s="6">
        <v>20.531590000000001</v>
      </c>
      <c r="D14088" s="6">
        <v>53</v>
      </c>
      <c r="E14088" s="6">
        <v>0</v>
      </c>
      <c r="F14088" s="6">
        <v>0</v>
      </c>
      <c r="G14088" s="6">
        <v>8</v>
      </c>
      <c r="H14088" s="6" t="s">
        <v>53814</v>
      </c>
      <c r="I14088" s="6">
        <v>526.6875</v>
      </c>
      <c r="J14088" s="2">
        <f t="shared" si="220"/>
        <v>43749.530205972223</v>
      </c>
    </row>
    <row r="14089" spans="1:10" x14ac:dyDescent="0.25">
      <c r="A14089" s="7" t="s">
        <v>53815</v>
      </c>
      <c r="B14089" s="8">
        <v>393.75</v>
      </c>
      <c r="C14089" s="8">
        <v>20.531590000000001</v>
      </c>
      <c r="D14089" s="8">
        <v>49</v>
      </c>
      <c r="E14089" s="8">
        <v>0</v>
      </c>
      <c r="F14089" s="8">
        <v>0</v>
      </c>
      <c r="G14089" s="8">
        <v>22</v>
      </c>
      <c r="H14089" s="8" t="s">
        <v>53816</v>
      </c>
      <c r="I14089" s="8">
        <v>526.6875</v>
      </c>
      <c r="J14089" s="3">
        <f t="shared" si="220"/>
        <v>43749.530289872688</v>
      </c>
    </row>
    <row r="14090" spans="1:10" x14ac:dyDescent="0.25">
      <c r="A14090" s="5" t="s">
        <v>53817</v>
      </c>
      <c r="B14090" s="6">
        <v>393.75</v>
      </c>
      <c r="C14090" s="6">
        <v>20.584240000000001</v>
      </c>
      <c r="D14090" s="6">
        <v>50</v>
      </c>
      <c r="E14090" s="6">
        <v>0</v>
      </c>
      <c r="F14090" s="6">
        <v>0</v>
      </c>
      <c r="G14090" s="6">
        <v>10</v>
      </c>
      <c r="H14090" s="6" t="s">
        <v>53818</v>
      </c>
      <c r="I14090" s="6">
        <v>526.6875</v>
      </c>
      <c r="J14090" s="2">
        <f t="shared" si="220"/>
        <v>43749.530373194437</v>
      </c>
    </row>
    <row r="14091" spans="1:10" x14ac:dyDescent="0.25">
      <c r="A14091" s="7" t="s">
        <v>53819</v>
      </c>
      <c r="B14091" s="8">
        <v>393.75</v>
      </c>
      <c r="C14091" s="8">
        <v>20.478950000000001</v>
      </c>
      <c r="D14091" s="8">
        <v>51</v>
      </c>
      <c r="E14091" s="8">
        <v>0</v>
      </c>
      <c r="F14091" s="8">
        <v>0</v>
      </c>
      <c r="G14091" s="8">
        <v>19</v>
      </c>
      <c r="H14091" s="8" t="s">
        <v>53820</v>
      </c>
      <c r="I14091" s="8">
        <v>526.6875</v>
      </c>
      <c r="J14091" s="3">
        <f t="shared" si="220"/>
        <v>43749.530456423607</v>
      </c>
    </row>
    <row r="14092" spans="1:10" x14ac:dyDescent="0.25">
      <c r="A14092" s="5" t="s">
        <v>53821</v>
      </c>
      <c r="B14092" s="6">
        <v>393.75</v>
      </c>
      <c r="C14092" s="6">
        <v>20.584240000000001</v>
      </c>
      <c r="D14092" s="6">
        <v>51</v>
      </c>
      <c r="E14092" s="6">
        <v>0</v>
      </c>
      <c r="F14092" s="6">
        <v>0</v>
      </c>
      <c r="G14092" s="6">
        <v>6</v>
      </c>
      <c r="H14092" s="6" t="s">
        <v>53822</v>
      </c>
      <c r="I14092" s="6">
        <v>526.6875</v>
      </c>
      <c r="J14092" s="2">
        <f t="shared" si="220"/>
        <v>43749.530527835646</v>
      </c>
    </row>
    <row r="14093" spans="1:10" x14ac:dyDescent="0.25">
      <c r="A14093" s="7" t="s">
        <v>53823</v>
      </c>
      <c r="B14093" s="8">
        <v>412.5</v>
      </c>
      <c r="C14093" s="8">
        <v>20.531590000000001</v>
      </c>
      <c r="D14093" s="8">
        <v>52</v>
      </c>
      <c r="E14093" s="8">
        <v>0</v>
      </c>
      <c r="F14093" s="8">
        <v>0</v>
      </c>
      <c r="G14093" s="8">
        <v>1</v>
      </c>
      <c r="H14093" s="8" t="s">
        <v>53824</v>
      </c>
      <c r="I14093" s="8">
        <v>532.875</v>
      </c>
      <c r="J14093" s="3">
        <f t="shared" si="220"/>
        <v>43749.530599942133</v>
      </c>
    </row>
    <row r="14094" spans="1:10" x14ac:dyDescent="0.25">
      <c r="A14094" s="5" t="s">
        <v>53825</v>
      </c>
      <c r="B14094" s="6">
        <v>393.75</v>
      </c>
      <c r="C14094" s="6">
        <v>20.531590000000001</v>
      </c>
      <c r="D14094" s="6">
        <v>54</v>
      </c>
      <c r="E14094" s="6">
        <v>0</v>
      </c>
      <c r="F14094" s="6">
        <v>0</v>
      </c>
      <c r="G14094" s="6">
        <v>2</v>
      </c>
      <c r="H14094" s="6" t="s">
        <v>53826</v>
      </c>
      <c r="I14094" s="6">
        <v>526.6875</v>
      </c>
      <c r="J14094" s="2">
        <f t="shared" si="220"/>
        <v>43749.530683368052</v>
      </c>
    </row>
    <row r="14095" spans="1:10" x14ac:dyDescent="0.25">
      <c r="A14095" s="7" t="s">
        <v>53827</v>
      </c>
      <c r="B14095" s="8">
        <v>393.75</v>
      </c>
      <c r="C14095" s="8">
        <v>20.584240000000001</v>
      </c>
      <c r="D14095" s="8">
        <v>54</v>
      </c>
      <c r="E14095" s="8">
        <v>0</v>
      </c>
      <c r="F14095" s="8">
        <v>0</v>
      </c>
      <c r="G14095" s="8">
        <v>13</v>
      </c>
      <c r="H14095" s="8" t="s">
        <v>53828</v>
      </c>
      <c r="I14095" s="8">
        <v>526.6875</v>
      </c>
      <c r="J14095" s="3">
        <f t="shared" si="220"/>
        <v>43749.53075489583</v>
      </c>
    </row>
    <row r="14096" spans="1:10" x14ac:dyDescent="0.25">
      <c r="A14096" s="5" t="s">
        <v>53829</v>
      </c>
      <c r="B14096" s="6">
        <v>393.75</v>
      </c>
      <c r="C14096" s="6">
        <v>20.584240000000001</v>
      </c>
      <c r="D14096" s="6">
        <v>54</v>
      </c>
      <c r="E14096" s="6">
        <v>0</v>
      </c>
      <c r="F14096" s="6">
        <v>0</v>
      </c>
      <c r="G14096" s="6">
        <v>6</v>
      </c>
      <c r="H14096" s="6" t="s">
        <v>53830</v>
      </c>
      <c r="I14096" s="6">
        <v>526.6875</v>
      </c>
      <c r="J14096" s="2">
        <f t="shared" si="220"/>
        <v>43749.530838113424</v>
      </c>
    </row>
    <row r="14097" spans="1:10" x14ac:dyDescent="0.25">
      <c r="A14097" s="7" t="s">
        <v>53831</v>
      </c>
      <c r="B14097" s="8">
        <v>393.75</v>
      </c>
      <c r="C14097" s="8">
        <v>20.531590000000001</v>
      </c>
      <c r="D14097" s="8">
        <v>54</v>
      </c>
      <c r="E14097" s="8">
        <v>0</v>
      </c>
      <c r="F14097" s="8">
        <v>0</v>
      </c>
      <c r="G14097" s="8">
        <v>2</v>
      </c>
      <c r="H14097" s="8" t="s">
        <v>53832</v>
      </c>
      <c r="I14097" s="8">
        <v>526.6875</v>
      </c>
      <c r="J14097" s="3">
        <f t="shared" si="220"/>
        <v>43749.5309099074</v>
      </c>
    </row>
    <row r="14098" spans="1:10" x14ac:dyDescent="0.25">
      <c r="A14098" s="5" t="s">
        <v>53833</v>
      </c>
      <c r="B14098" s="6">
        <v>393.75</v>
      </c>
      <c r="C14098" s="6">
        <v>20.531590000000001</v>
      </c>
      <c r="D14098" s="6">
        <v>54</v>
      </c>
      <c r="E14098" s="6">
        <v>0</v>
      </c>
      <c r="F14098" s="6">
        <v>0</v>
      </c>
      <c r="G14098" s="6">
        <v>17</v>
      </c>
      <c r="H14098" s="6" t="s">
        <v>53834</v>
      </c>
      <c r="I14098" s="6">
        <v>526.6875</v>
      </c>
      <c r="J14098" s="2">
        <f t="shared" si="220"/>
        <v>43749.530993576387</v>
      </c>
    </row>
    <row r="14099" spans="1:10" x14ac:dyDescent="0.25">
      <c r="A14099" s="7" t="s">
        <v>53835</v>
      </c>
      <c r="B14099" s="8">
        <v>412.5</v>
      </c>
      <c r="C14099" s="8">
        <v>20.531590000000001</v>
      </c>
      <c r="D14099" s="8">
        <v>51</v>
      </c>
      <c r="E14099" s="8">
        <v>0</v>
      </c>
      <c r="F14099" s="8">
        <v>0</v>
      </c>
      <c r="G14099" s="8">
        <v>11</v>
      </c>
      <c r="H14099" s="8" t="s">
        <v>53836</v>
      </c>
      <c r="I14099" s="8">
        <v>532.3125</v>
      </c>
      <c r="J14099" s="3">
        <f t="shared" si="220"/>
        <v>43749.531077025465</v>
      </c>
    </row>
    <row r="14100" spans="1:10" x14ac:dyDescent="0.25">
      <c r="A14100" s="5" t="s">
        <v>53837</v>
      </c>
      <c r="B14100" s="6">
        <v>393.75</v>
      </c>
      <c r="C14100" s="6">
        <v>20.531590000000001</v>
      </c>
      <c r="D14100" s="6">
        <v>51</v>
      </c>
      <c r="E14100" s="6">
        <v>0</v>
      </c>
      <c r="F14100" s="6">
        <v>0</v>
      </c>
      <c r="G14100" s="6">
        <v>2</v>
      </c>
      <c r="H14100" s="6" t="s">
        <v>53838</v>
      </c>
      <c r="I14100" s="6">
        <v>526.6875</v>
      </c>
      <c r="J14100" s="2">
        <f t="shared" si="220"/>
        <v>43749.531172372685</v>
      </c>
    </row>
    <row r="14101" spans="1:10" x14ac:dyDescent="0.25">
      <c r="A14101" s="7" t="s">
        <v>53839</v>
      </c>
      <c r="B14101" s="8">
        <v>393.75</v>
      </c>
      <c r="C14101" s="8">
        <v>20.584240000000001</v>
      </c>
      <c r="D14101" s="8">
        <v>51</v>
      </c>
      <c r="E14101" s="8">
        <v>0</v>
      </c>
      <c r="F14101" s="8">
        <v>0</v>
      </c>
      <c r="G14101" s="8">
        <v>8</v>
      </c>
      <c r="H14101" s="8" t="s">
        <v>53840</v>
      </c>
      <c r="I14101" s="8">
        <v>526.6875</v>
      </c>
      <c r="J14101" s="3">
        <f t="shared" si="220"/>
        <v>43749.531255937494</v>
      </c>
    </row>
    <row r="14102" spans="1:10" x14ac:dyDescent="0.25">
      <c r="A14102" s="5" t="s">
        <v>53841</v>
      </c>
      <c r="B14102" s="6">
        <v>393.75</v>
      </c>
      <c r="C14102" s="6">
        <v>20.531590000000001</v>
      </c>
      <c r="D14102" s="6">
        <v>52</v>
      </c>
      <c r="E14102" s="6">
        <v>0</v>
      </c>
      <c r="F14102" s="6">
        <v>0</v>
      </c>
      <c r="G14102" s="6">
        <v>11</v>
      </c>
      <c r="H14102" s="6" t="s">
        <v>53842</v>
      </c>
      <c r="I14102" s="6">
        <v>526.6875</v>
      </c>
      <c r="J14102" s="2">
        <f t="shared" si="220"/>
        <v>43749.531339398141</v>
      </c>
    </row>
    <row r="14103" spans="1:10" x14ac:dyDescent="0.25">
      <c r="A14103" s="7" t="s">
        <v>53843</v>
      </c>
      <c r="B14103" s="8">
        <v>393.75</v>
      </c>
      <c r="C14103" s="8">
        <v>20.531590000000001</v>
      </c>
      <c r="D14103" s="8">
        <v>52</v>
      </c>
      <c r="E14103" s="8">
        <v>0</v>
      </c>
      <c r="F14103" s="8">
        <v>0</v>
      </c>
      <c r="G14103" s="8">
        <v>11</v>
      </c>
      <c r="H14103" s="8" t="s">
        <v>53844</v>
      </c>
      <c r="I14103" s="8">
        <v>526.6875</v>
      </c>
      <c r="J14103" s="3">
        <f t="shared" si="220"/>
        <v>43749.531412916665</v>
      </c>
    </row>
    <row r="14104" spans="1:10" x14ac:dyDescent="0.25">
      <c r="A14104" s="5" t="s">
        <v>53845</v>
      </c>
      <c r="B14104" s="6">
        <v>393.75</v>
      </c>
      <c r="C14104" s="6">
        <v>20.584240000000001</v>
      </c>
      <c r="D14104" s="6">
        <v>52</v>
      </c>
      <c r="E14104" s="6">
        <v>0</v>
      </c>
      <c r="F14104" s="6">
        <v>0</v>
      </c>
      <c r="G14104" s="6">
        <v>6</v>
      </c>
      <c r="H14104" s="6" t="s">
        <v>53846</v>
      </c>
      <c r="I14104" s="6">
        <v>526.6875</v>
      </c>
      <c r="J14104" s="2">
        <f t="shared" si="220"/>
        <v>43749.531494467592</v>
      </c>
    </row>
    <row r="14105" spans="1:10" x14ac:dyDescent="0.25">
      <c r="A14105" s="7" t="s">
        <v>53847</v>
      </c>
      <c r="B14105" s="8">
        <v>393.75</v>
      </c>
      <c r="C14105" s="8">
        <v>20.584240000000001</v>
      </c>
      <c r="D14105" s="8">
        <v>52</v>
      </c>
      <c r="E14105" s="8">
        <v>0</v>
      </c>
      <c r="F14105" s="8">
        <v>0</v>
      </c>
      <c r="G14105" s="8">
        <v>9</v>
      </c>
      <c r="H14105" s="8" t="s">
        <v>53848</v>
      </c>
      <c r="I14105" s="8">
        <v>526.6875</v>
      </c>
      <c r="J14105" s="3">
        <f t="shared" si="220"/>
        <v>43749.531565983794</v>
      </c>
    </row>
    <row r="14106" spans="1:10" x14ac:dyDescent="0.25">
      <c r="A14106" s="5" t="s">
        <v>53849</v>
      </c>
      <c r="B14106" s="6">
        <v>393.75</v>
      </c>
      <c r="C14106" s="6">
        <v>20.584240000000001</v>
      </c>
      <c r="D14106" s="6">
        <v>52</v>
      </c>
      <c r="E14106" s="6">
        <v>0</v>
      </c>
      <c r="F14106" s="6">
        <v>0</v>
      </c>
      <c r="G14106" s="6">
        <v>10</v>
      </c>
      <c r="H14106" s="6" t="s">
        <v>53850</v>
      </c>
      <c r="I14106" s="6">
        <v>526.5</v>
      </c>
      <c r="J14106" s="2">
        <f t="shared" si="220"/>
        <v>43749.531649108794</v>
      </c>
    </row>
    <row r="14107" spans="1:10" x14ac:dyDescent="0.25">
      <c r="A14107" s="7" t="s">
        <v>53851</v>
      </c>
      <c r="B14107" s="8">
        <v>393.75</v>
      </c>
      <c r="C14107" s="8">
        <v>20.584240000000001</v>
      </c>
      <c r="D14107" s="8">
        <v>52</v>
      </c>
      <c r="E14107" s="8">
        <v>0</v>
      </c>
      <c r="F14107" s="8">
        <v>0</v>
      </c>
      <c r="G14107" s="8">
        <v>11</v>
      </c>
      <c r="H14107" s="8" t="s">
        <v>53852</v>
      </c>
      <c r="I14107" s="8">
        <v>526.6875</v>
      </c>
      <c r="J14107" s="3">
        <f t="shared" si="220"/>
        <v>43749.531720856474</v>
      </c>
    </row>
    <row r="14108" spans="1:10" x14ac:dyDescent="0.25">
      <c r="A14108" s="5" t="s">
        <v>53853</v>
      </c>
      <c r="B14108" s="6">
        <v>393.75</v>
      </c>
      <c r="C14108" s="6">
        <v>20.584240000000001</v>
      </c>
      <c r="D14108" s="6">
        <v>51</v>
      </c>
      <c r="E14108" s="6">
        <v>0</v>
      </c>
      <c r="F14108" s="6">
        <v>0</v>
      </c>
      <c r="G14108" s="6">
        <v>19</v>
      </c>
      <c r="H14108" s="6" t="s">
        <v>53854</v>
      </c>
      <c r="I14108" s="6">
        <v>526.6875</v>
      </c>
      <c r="J14108" s="2">
        <f t="shared" si="220"/>
        <v>43749.531804525461</v>
      </c>
    </row>
    <row r="14109" spans="1:10" x14ac:dyDescent="0.25">
      <c r="A14109" s="7" t="s">
        <v>53855</v>
      </c>
      <c r="B14109" s="8">
        <v>393.75</v>
      </c>
      <c r="C14109" s="8">
        <v>20.478950000000001</v>
      </c>
      <c r="D14109" s="8">
        <v>48</v>
      </c>
      <c r="E14109" s="8">
        <v>0</v>
      </c>
      <c r="F14109" s="8">
        <v>0</v>
      </c>
      <c r="G14109" s="8">
        <v>9</v>
      </c>
      <c r="H14109" s="8" t="s">
        <v>53856</v>
      </c>
      <c r="I14109" s="8">
        <v>526.6875</v>
      </c>
      <c r="J14109" s="3">
        <f t="shared" si="220"/>
        <v>43749.531888113423</v>
      </c>
    </row>
    <row r="14110" spans="1:10" x14ac:dyDescent="0.25">
      <c r="A14110" s="5" t="s">
        <v>53857</v>
      </c>
      <c r="B14110" s="6">
        <v>393.75</v>
      </c>
      <c r="C14110" s="6">
        <v>20.531590000000001</v>
      </c>
      <c r="D14110" s="6">
        <v>48</v>
      </c>
      <c r="E14110" s="6">
        <v>0</v>
      </c>
      <c r="F14110" s="6">
        <v>0</v>
      </c>
      <c r="G14110" s="6">
        <v>13</v>
      </c>
      <c r="H14110" s="6" t="s">
        <v>53858</v>
      </c>
      <c r="I14110" s="6">
        <v>526.5</v>
      </c>
      <c r="J14110" s="2">
        <f t="shared" si="220"/>
        <v>43749.531959618056</v>
      </c>
    </row>
    <row r="14111" spans="1:10" x14ac:dyDescent="0.25">
      <c r="A14111" s="7" t="s">
        <v>53859</v>
      </c>
      <c r="B14111" s="8">
        <v>393.75</v>
      </c>
      <c r="C14111" s="8">
        <v>20.531590000000001</v>
      </c>
      <c r="D14111" s="8">
        <v>57</v>
      </c>
      <c r="E14111" s="8">
        <v>0</v>
      </c>
      <c r="F14111" s="8">
        <v>0</v>
      </c>
      <c r="G14111" s="8">
        <v>9</v>
      </c>
      <c r="H14111" s="8" t="s">
        <v>53860</v>
      </c>
      <c r="I14111" s="8">
        <v>526.6875</v>
      </c>
      <c r="J14111" s="3">
        <f t="shared" si="220"/>
        <v>43749.532043182866</v>
      </c>
    </row>
    <row r="14112" spans="1:10" x14ac:dyDescent="0.25">
      <c r="A14112" s="5" t="s">
        <v>53861</v>
      </c>
      <c r="B14112" s="6">
        <v>393.75</v>
      </c>
      <c r="C14112" s="6">
        <v>20.531590000000001</v>
      </c>
      <c r="D14112" s="6">
        <v>56</v>
      </c>
      <c r="E14112" s="6">
        <v>0</v>
      </c>
      <c r="F14112" s="6">
        <v>0</v>
      </c>
      <c r="G14112" s="6">
        <v>6</v>
      </c>
      <c r="H14112" s="6" t="s">
        <v>53862</v>
      </c>
      <c r="I14112" s="6">
        <v>526.6875</v>
      </c>
      <c r="J14112" s="2">
        <f t="shared" si="220"/>
        <v>43749.532126979168</v>
      </c>
    </row>
    <row r="14113" spans="1:10" x14ac:dyDescent="0.25">
      <c r="A14113" s="7" t="s">
        <v>53863</v>
      </c>
      <c r="B14113" s="8">
        <v>393.75</v>
      </c>
      <c r="C14113" s="8">
        <v>20.531590000000001</v>
      </c>
      <c r="D14113" s="8">
        <v>53</v>
      </c>
      <c r="E14113" s="8">
        <v>0</v>
      </c>
      <c r="F14113" s="8">
        <v>0</v>
      </c>
      <c r="G14113" s="8">
        <v>6</v>
      </c>
      <c r="H14113" s="8" t="s">
        <v>53864</v>
      </c>
      <c r="I14113" s="8">
        <v>526.6875</v>
      </c>
      <c r="J14113" s="3">
        <f t="shared" si="220"/>
        <v>43749.53221010416</v>
      </c>
    </row>
    <row r="14114" spans="1:10" x14ac:dyDescent="0.25">
      <c r="A14114" s="5" t="s">
        <v>53865</v>
      </c>
      <c r="B14114" s="6">
        <v>437.5</v>
      </c>
      <c r="C14114" s="6">
        <v>20.531590000000001</v>
      </c>
      <c r="D14114" s="6">
        <v>55</v>
      </c>
      <c r="E14114" s="6">
        <v>0</v>
      </c>
      <c r="F14114" s="6">
        <v>0</v>
      </c>
      <c r="G14114" s="6">
        <v>4</v>
      </c>
      <c r="H14114" s="6" t="s">
        <v>53866</v>
      </c>
      <c r="I14114" s="6">
        <v>540</v>
      </c>
      <c r="J14114" s="2">
        <f t="shared" si="220"/>
        <v>43749.532293449076</v>
      </c>
    </row>
    <row r="14115" spans="1:10" x14ac:dyDescent="0.25">
      <c r="A14115" s="7" t="s">
        <v>53867</v>
      </c>
      <c r="B14115" s="8">
        <v>393.75</v>
      </c>
      <c r="C14115" s="8">
        <v>20.531590000000001</v>
      </c>
      <c r="D14115" s="8">
        <v>55</v>
      </c>
      <c r="E14115" s="8">
        <v>0</v>
      </c>
      <c r="F14115" s="8">
        <v>0</v>
      </c>
      <c r="G14115" s="8">
        <v>11</v>
      </c>
      <c r="H14115" s="8" t="s">
        <v>53868</v>
      </c>
      <c r="I14115" s="8">
        <v>526.6875</v>
      </c>
      <c r="J14115" s="3">
        <f t="shared" si="220"/>
        <v>43749.532365057872</v>
      </c>
    </row>
    <row r="14116" spans="1:10" x14ac:dyDescent="0.25">
      <c r="A14116" s="5" t="s">
        <v>53869</v>
      </c>
      <c r="B14116" s="6">
        <v>393.75</v>
      </c>
      <c r="C14116" s="6">
        <v>20.531590000000001</v>
      </c>
      <c r="D14116" s="6">
        <v>53</v>
      </c>
      <c r="E14116" s="6">
        <v>0</v>
      </c>
      <c r="F14116" s="6">
        <v>0</v>
      </c>
      <c r="G14116" s="6">
        <v>6</v>
      </c>
      <c r="H14116" s="6" t="s">
        <v>53870</v>
      </c>
      <c r="I14116" s="6">
        <v>526.6875</v>
      </c>
      <c r="J14116" s="2">
        <f t="shared" si="220"/>
        <v>43749.532448622682</v>
      </c>
    </row>
    <row r="14117" spans="1:10" x14ac:dyDescent="0.25">
      <c r="A14117" s="7" t="s">
        <v>53871</v>
      </c>
      <c r="B14117" s="8">
        <v>412.5</v>
      </c>
      <c r="C14117" s="8">
        <v>20.531590000000001</v>
      </c>
      <c r="D14117" s="8">
        <v>52</v>
      </c>
      <c r="E14117" s="8">
        <v>0</v>
      </c>
      <c r="F14117" s="8">
        <v>0</v>
      </c>
      <c r="G14117" s="8">
        <v>1</v>
      </c>
      <c r="H14117" s="8" t="s">
        <v>53872</v>
      </c>
      <c r="I14117" s="8">
        <v>532.3125</v>
      </c>
      <c r="J14117" s="3">
        <f t="shared" si="220"/>
        <v>43749.532532291669</v>
      </c>
    </row>
    <row r="14118" spans="1:10" x14ac:dyDescent="0.25">
      <c r="A14118" s="5" t="s">
        <v>53873</v>
      </c>
      <c r="B14118" s="6">
        <v>393.75</v>
      </c>
      <c r="C14118" s="6">
        <v>20.584240000000001</v>
      </c>
      <c r="D14118" s="6">
        <v>52</v>
      </c>
      <c r="E14118" s="6">
        <v>0</v>
      </c>
      <c r="F14118" s="6">
        <v>0</v>
      </c>
      <c r="G14118" s="6">
        <v>0</v>
      </c>
      <c r="H14118" s="6" t="s">
        <v>53874</v>
      </c>
      <c r="I14118" s="6">
        <v>526.6875</v>
      </c>
      <c r="J14118" s="2">
        <f t="shared" si="220"/>
        <v>43749.532615671291</v>
      </c>
    </row>
    <row r="14119" spans="1:10" x14ac:dyDescent="0.25">
      <c r="A14119" s="7" t="s">
        <v>53875</v>
      </c>
      <c r="B14119" s="8">
        <v>393.75</v>
      </c>
      <c r="C14119" s="8">
        <v>20.531590000000001</v>
      </c>
      <c r="D14119" s="8">
        <v>49</v>
      </c>
      <c r="E14119" s="8">
        <v>0</v>
      </c>
      <c r="F14119" s="8">
        <v>0</v>
      </c>
      <c r="G14119" s="8">
        <v>0</v>
      </c>
      <c r="H14119" s="8" t="s">
        <v>53876</v>
      </c>
      <c r="I14119" s="8">
        <v>526.6875</v>
      </c>
      <c r="J14119" s="3">
        <f t="shared" si="220"/>
        <v>43749.532699201387</v>
      </c>
    </row>
    <row r="14120" spans="1:10" x14ac:dyDescent="0.25">
      <c r="A14120" s="5" t="s">
        <v>53877</v>
      </c>
      <c r="B14120" s="6">
        <v>393.75</v>
      </c>
      <c r="C14120" s="6">
        <v>20.531590000000001</v>
      </c>
      <c r="D14120" s="6">
        <v>49</v>
      </c>
      <c r="E14120" s="6">
        <v>0</v>
      </c>
      <c r="F14120" s="6">
        <v>0</v>
      </c>
      <c r="G14120" s="6">
        <v>0</v>
      </c>
      <c r="H14120" s="6" t="s">
        <v>53878</v>
      </c>
      <c r="I14120" s="6">
        <v>526.6875</v>
      </c>
      <c r="J14120" s="2">
        <f t="shared" si="220"/>
        <v>43749.53278243055</v>
      </c>
    </row>
    <row r="14121" spans="1:10" x14ac:dyDescent="0.25">
      <c r="A14121" s="7" t="s">
        <v>53879</v>
      </c>
      <c r="B14121" s="8">
        <v>393.75</v>
      </c>
      <c r="C14121" s="8">
        <v>20.531590000000001</v>
      </c>
      <c r="D14121" s="8">
        <v>49</v>
      </c>
      <c r="E14121" s="8">
        <v>0</v>
      </c>
      <c r="F14121" s="8">
        <v>0</v>
      </c>
      <c r="G14121" s="8">
        <v>0</v>
      </c>
      <c r="H14121" s="8" t="s">
        <v>53880</v>
      </c>
      <c r="I14121" s="8">
        <v>526.6875</v>
      </c>
      <c r="J14121" s="3">
        <f t="shared" si="220"/>
        <v>43749.532853969904</v>
      </c>
    </row>
    <row r="14122" spans="1:10" x14ac:dyDescent="0.25">
      <c r="A14122" s="5" t="s">
        <v>53881</v>
      </c>
      <c r="B14122" s="6">
        <v>412.5</v>
      </c>
      <c r="C14122" s="6">
        <v>20.531590000000001</v>
      </c>
      <c r="D14122" s="6">
        <v>49</v>
      </c>
      <c r="E14122" s="6">
        <v>0</v>
      </c>
      <c r="F14122" s="6">
        <v>0</v>
      </c>
      <c r="G14122" s="6">
        <v>6</v>
      </c>
      <c r="H14122" s="6" t="s">
        <v>53882</v>
      </c>
      <c r="I14122" s="6">
        <v>532.3125</v>
      </c>
      <c r="J14122" s="2">
        <f t="shared" si="220"/>
        <v>43749.532937870368</v>
      </c>
    </row>
    <row r="14123" spans="1:10" x14ac:dyDescent="0.25">
      <c r="A14123" s="7" t="s">
        <v>53883</v>
      </c>
      <c r="B14123" s="8">
        <v>393.75</v>
      </c>
      <c r="C14123" s="8">
        <v>20.584240000000001</v>
      </c>
      <c r="D14123" s="8">
        <v>50</v>
      </c>
      <c r="E14123" s="8">
        <v>0</v>
      </c>
      <c r="F14123" s="8">
        <v>0</v>
      </c>
      <c r="G14123" s="8">
        <v>0</v>
      </c>
      <c r="H14123" s="8" t="s">
        <v>53884</v>
      </c>
      <c r="I14123" s="8">
        <v>526.6875</v>
      </c>
      <c r="J14123" s="3">
        <f t="shared" si="220"/>
        <v>43749.533021354167</v>
      </c>
    </row>
    <row r="14124" spans="1:10" x14ac:dyDescent="0.25">
      <c r="A14124" s="5" t="s">
        <v>53885</v>
      </c>
      <c r="B14124" s="6">
        <v>393.75</v>
      </c>
      <c r="C14124" s="6">
        <v>20.531590000000001</v>
      </c>
      <c r="D14124" s="6">
        <v>50</v>
      </c>
      <c r="E14124" s="6">
        <v>0</v>
      </c>
      <c r="F14124" s="6">
        <v>0</v>
      </c>
      <c r="G14124" s="6">
        <v>0</v>
      </c>
      <c r="H14124" s="6" t="s">
        <v>53886</v>
      </c>
      <c r="I14124" s="6">
        <v>526.6875</v>
      </c>
      <c r="J14124" s="2">
        <f t="shared" si="220"/>
        <v>43749.533104641203</v>
      </c>
    </row>
    <row r="14125" spans="1:10" x14ac:dyDescent="0.25">
      <c r="A14125" s="7" t="s">
        <v>53887</v>
      </c>
      <c r="B14125" s="8">
        <v>393.75</v>
      </c>
      <c r="C14125" s="8">
        <v>20.531590000000001</v>
      </c>
      <c r="D14125" s="8">
        <v>50</v>
      </c>
      <c r="E14125" s="8">
        <v>0</v>
      </c>
      <c r="F14125" s="8">
        <v>0</v>
      </c>
      <c r="G14125" s="8">
        <v>4</v>
      </c>
      <c r="H14125" s="8" t="s">
        <v>53888</v>
      </c>
      <c r="I14125" s="8">
        <v>526.6875</v>
      </c>
      <c r="J14125" s="3">
        <f t="shared" si="220"/>
        <v>43749.53317628472</v>
      </c>
    </row>
    <row r="14126" spans="1:10" x14ac:dyDescent="0.25">
      <c r="A14126" s="5" t="s">
        <v>53889</v>
      </c>
      <c r="B14126" s="6">
        <v>393.75</v>
      </c>
      <c r="C14126" s="6">
        <v>20.584240000000001</v>
      </c>
      <c r="D14126" s="6">
        <v>51</v>
      </c>
      <c r="E14126" s="6">
        <v>0</v>
      </c>
      <c r="F14126" s="6">
        <v>0</v>
      </c>
      <c r="G14126" s="6">
        <v>3</v>
      </c>
      <c r="H14126" s="6" t="s">
        <v>53890</v>
      </c>
      <c r="I14126" s="6">
        <v>526.6875</v>
      </c>
      <c r="J14126" s="2">
        <f t="shared" si="220"/>
        <v>43749.5332599537</v>
      </c>
    </row>
    <row r="14127" spans="1:10" x14ac:dyDescent="0.25">
      <c r="A14127" s="7" t="s">
        <v>53891</v>
      </c>
      <c r="B14127" s="8">
        <v>418.75</v>
      </c>
      <c r="C14127" s="8">
        <v>20.478950000000001</v>
      </c>
      <c r="D14127" s="8">
        <v>51</v>
      </c>
      <c r="E14127" s="8">
        <v>0</v>
      </c>
      <c r="F14127" s="8">
        <v>0</v>
      </c>
      <c r="G14127" s="8">
        <v>2</v>
      </c>
      <c r="H14127" s="8" t="s">
        <v>53892</v>
      </c>
      <c r="I14127" s="8">
        <v>534.375</v>
      </c>
      <c r="J14127" s="3">
        <f t="shared" si="220"/>
        <v>43749.533343425923</v>
      </c>
    </row>
    <row r="14128" spans="1:10" x14ac:dyDescent="0.25">
      <c r="A14128" s="5" t="s">
        <v>53893</v>
      </c>
      <c r="B14128" s="6">
        <v>393.75</v>
      </c>
      <c r="C14128" s="6">
        <v>20.584240000000001</v>
      </c>
      <c r="D14128" s="6">
        <v>51</v>
      </c>
      <c r="E14128" s="6">
        <v>0</v>
      </c>
      <c r="F14128" s="6">
        <v>0</v>
      </c>
      <c r="G14128" s="6">
        <v>0</v>
      </c>
      <c r="H14128" s="6" t="s">
        <v>53894</v>
      </c>
      <c r="I14128" s="6">
        <v>526.6875</v>
      </c>
      <c r="J14128" s="2">
        <f t="shared" si="220"/>
        <v>43749.533426759255</v>
      </c>
    </row>
    <row r="14129" spans="1:10" x14ac:dyDescent="0.25">
      <c r="A14129" s="7" t="s">
        <v>53895</v>
      </c>
      <c r="B14129" s="8">
        <v>393.75</v>
      </c>
      <c r="C14129" s="8">
        <v>20.531590000000001</v>
      </c>
      <c r="D14129" s="8">
        <v>51</v>
      </c>
      <c r="E14129" s="8">
        <v>0</v>
      </c>
      <c r="F14129" s="8">
        <v>0</v>
      </c>
      <c r="G14129" s="8">
        <v>4</v>
      </c>
      <c r="H14129" s="8" t="s">
        <v>53896</v>
      </c>
      <c r="I14129" s="8">
        <v>526.6875</v>
      </c>
      <c r="J14129" s="3">
        <f t="shared" si="220"/>
        <v>43749.533510335641</v>
      </c>
    </row>
    <row r="14130" spans="1:10" x14ac:dyDescent="0.25">
      <c r="A14130" s="5" t="s">
        <v>53897</v>
      </c>
      <c r="B14130" s="6">
        <v>393.75</v>
      </c>
      <c r="C14130" s="6">
        <v>20.478950000000001</v>
      </c>
      <c r="D14130" s="6">
        <v>51</v>
      </c>
      <c r="E14130" s="6">
        <v>0</v>
      </c>
      <c r="F14130" s="6">
        <v>0</v>
      </c>
      <c r="G14130" s="6">
        <v>0</v>
      </c>
      <c r="H14130" s="6" t="s">
        <v>53898</v>
      </c>
      <c r="I14130" s="6">
        <v>526.6875</v>
      </c>
      <c r="J14130" s="2">
        <f t="shared" si="220"/>
        <v>43749.533593541666</v>
      </c>
    </row>
    <row r="14131" spans="1:10" x14ac:dyDescent="0.25">
      <c r="A14131" s="7" t="s">
        <v>53899</v>
      </c>
      <c r="B14131" s="8">
        <v>393.75</v>
      </c>
      <c r="C14131" s="8">
        <v>20.531590000000001</v>
      </c>
      <c r="D14131" s="8">
        <v>50</v>
      </c>
      <c r="E14131" s="8">
        <v>0</v>
      </c>
      <c r="F14131" s="8">
        <v>0</v>
      </c>
      <c r="G14131" s="8">
        <v>7</v>
      </c>
      <c r="H14131" s="8" t="s">
        <v>53900</v>
      </c>
      <c r="I14131" s="8">
        <v>526.6875</v>
      </c>
      <c r="J14131" s="3">
        <f t="shared" si="220"/>
        <v>43749.53366552083</v>
      </c>
    </row>
    <row r="14132" spans="1:10" x14ac:dyDescent="0.25">
      <c r="A14132" s="5" t="s">
        <v>53901</v>
      </c>
      <c r="B14132" s="6">
        <v>418.75</v>
      </c>
      <c r="C14132" s="6">
        <v>20.584240000000001</v>
      </c>
      <c r="D14132" s="6">
        <v>51</v>
      </c>
      <c r="E14132" s="6">
        <v>0</v>
      </c>
      <c r="F14132" s="6">
        <v>0</v>
      </c>
      <c r="G14132" s="6">
        <v>0</v>
      </c>
      <c r="H14132" s="6" t="s">
        <v>53902</v>
      </c>
      <c r="I14132" s="6">
        <v>534.1875</v>
      </c>
      <c r="J14132" s="2">
        <f t="shared" si="220"/>
        <v>43749.533748969909</v>
      </c>
    </row>
    <row r="14133" spans="1:10" x14ac:dyDescent="0.25">
      <c r="A14133" s="7" t="s">
        <v>53903</v>
      </c>
      <c r="B14133" s="8">
        <v>393.75</v>
      </c>
      <c r="C14133" s="8">
        <v>20.478950000000001</v>
      </c>
      <c r="D14133" s="8">
        <v>50</v>
      </c>
      <c r="E14133" s="8">
        <v>0</v>
      </c>
      <c r="F14133" s="8">
        <v>0</v>
      </c>
      <c r="G14133" s="8">
        <v>12</v>
      </c>
      <c r="H14133" s="8" t="s">
        <v>53904</v>
      </c>
      <c r="I14133" s="8">
        <v>526.6875</v>
      </c>
      <c r="J14133" s="3">
        <f t="shared" si="220"/>
        <v>43749.533856180555</v>
      </c>
    </row>
    <row r="14134" spans="1:10" x14ac:dyDescent="0.25">
      <c r="A14134" s="5" t="s">
        <v>53905</v>
      </c>
      <c r="B14134" s="6">
        <v>393.75</v>
      </c>
      <c r="C14134" s="6">
        <v>20.584240000000001</v>
      </c>
      <c r="D14134" s="6">
        <v>52</v>
      </c>
      <c r="E14134" s="6">
        <v>0</v>
      </c>
      <c r="F14134" s="6">
        <v>0</v>
      </c>
      <c r="G14134" s="6">
        <v>10</v>
      </c>
      <c r="H14134" s="6" t="s">
        <v>53906</v>
      </c>
      <c r="I14134" s="6">
        <v>526.6875</v>
      </c>
      <c r="J14134" s="2">
        <f t="shared" si="220"/>
        <v>43749.533939733788</v>
      </c>
    </row>
    <row r="14135" spans="1:10" x14ac:dyDescent="0.25">
      <c r="A14135" s="7" t="s">
        <v>53907</v>
      </c>
      <c r="B14135" s="8">
        <v>393.75</v>
      </c>
      <c r="C14135" s="8">
        <v>20.531590000000001</v>
      </c>
      <c r="D14135" s="8">
        <v>52</v>
      </c>
      <c r="E14135" s="8">
        <v>0</v>
      </c>
      <c r="F14135" s="8">
        <v>0</v>
      </c>
      <c r="G14135" s="8">
        <v>1</v>
      </c>
      <c r="H14135" s="8" t="s">
        <v>53908</v>
      </c>
      <c r="I14135" s="8">
        <v>526.6875</v>
      </c>
      <c r="J14135" s="3">
        <f t="shared" si="220"/>
        <v>43749.534023078704</v>
      </c>
    </row>
    <row r="14136" spans="1:10" x14ac:dyDescent="0.25">
      <c r="A14136" s="5" t="s">
        <v>53909</v>
      </c>
      <c r="B14136" s="6">
        <v>393.75</v>
      </c>
      <c r="C14136" s="6">
        <v>20.531590000000001</v>
      </c>
      <c r="D14136" s="6">
        <v>52</v>
      </c>
      <c r="E14136" s="6">
        <v>0</v>
      </c>
      <c r="F14136" s="6">
        <v>0</v>
      </c>
      <c r="G14136" s="6">
        <v>2</v>
      </c>
      <c r="H14136" s="6" t="s">
        <v>53910</v>
      </c>
      <c r="I14136" s="6">
        <v>526.6875</v>
      </c>
      <c r="J14136" s="2">
        <f t="shared" si="220"/>
        <v>43749.534094826384</v>
      </c>
    </row>
    <row r="14137" spans="1:10" x14ac:dyDescent="0.25">
      <c r="A14137" s="7" t="s">
        <v>53911</v>
      </c>
      <c r="B14137" s="8">
        <v>393.75</v>
      </c>
      <c r="C14137" s="8">
        <v>20.478950000000001</v>
      </c>
      <c r="D14137" s="8">
        <v>52</v>
      </c>
      <c r="E14137" s="8">
        <v>0</v>
      </c>
      <c r="F14137" s="8">
        <v>0</v>
      </c>
      <c r="G14137" s="8">
        <v>3</v>
      </c>
      <c r="H14137" s="8" t="s">
        <v>53912</v>
      </c>
      <c r="I14137" s="8">
        <v>526.6875</v>
      </c>
      <c r="J14137" s="3">
        <f t="shared" si="220"/>
        <v>43749.534178414346</v>
      </c>
    </row>
    <row r="14138" spans="1:10" x14ac:dyDescent="0.25">
      <c r="A14138" s="5" t="s">
        <v>53913</v>
      </c>
      <c r="B14138" s="6">
        <v>393.75</v>
      </c>
      <c r="C14138" s="6">
        <v>20.531590000000001</v>
      </c>
      <c r="D14138" s="6">
        <v>51</v>
      </c>
      <c r="E14138" s="6">
        <v>0</v>
      </c>
      <c r="F14138" s="6">
        <v>0</v>
      </c>
      <c r="G14138" s="6">
        <v>0</v>
      </c>
      <c r="H14138" s="6" t="s">
        <v>53914</v>
      </c>
      <c r="I14138" s="6">
        <v>526.6875</v>
      </c>
      <c r="J14138" s="2">
        <f t="shared" si="220"/>
        <v>43749.534261863424</v>
      </c>
    </row>
    <row r="14139" spans="1:10" x14ac:dyDescent="0.25">
      <c r="A14139" s="7" t="s">
        <v>53915</v>
      </c>
      <c r="B14139" s="8">
        <v>393.75</v>
      </c>
      <c r="C14139" s="8">
        <v>20.531590000000001</v>
      </c>
      <c r="D14139" s="8">
        <v>50</v>
      </c>
      <c r="E14139" s="8">
        <v>0</v>
      </c>
      <c r="F14139" s="8">
        <v>0</v>
      </c>
      <c r="G14139" s="8">
        <v>0</v>
      </c>
      <c r="H14139" s="8" t="s">
        <v>53916</v>
      </c>
      <c r="I14139" s="8">
        <v>526.6875</v>
      </c>
      <c r="J14139" s="3">
        <f t="shared" si="220"/>
        <v>43749.534345324071</v>
      </c>
    </row>
    <row r="14140" spans="1:10" x14ac:dyDescent="0.25">
      <c r="A14140" s="5" t="s">
        <v>53917</v>
      </c>
      <c r="B14140" s="6">
        <v>393.75</v>
      </c>
      <c r="C14140" s="6">
        <v>20.531590000000001</v>
      </c>
      <c r="D14140" s="6">
        <v>50</v>
      </c>
      <c r="E14140" s="6">
        <v>0</v>
      </c>
      <c r="F14140" s="6">
        <v>0</v>
      </c>
      <c r="G14140" s="6">
        <v>0</v>
      </c>
      <c r="H14140" s="6" t="s">
        <v>53918</v>
      </c>
      <c r="I14140" s="6">
        <v>526.6875</v>
      </c>
      <c r="J14140" s="2">
        <f t="shared" si="220"/>
        <v>43749.534428877312</v>
      </c>
    </row>
    <row r="14141" spans="1:10" x14ac:dyDescent="0.25">
      <c r="A14141" s="7" t="s">
        <v>53919</v>
      </c>
      <c r="B14141" s="8">
        <v>393.75</v>
      </c>
      <c r="C14141" s="8">
        <v>20.531590000000001</v>
      </c>
      <c r="D14141" s="8">
        <v>49</v>
      </c>
      <c r="E14141" s="8">
        <v>0</v>
      </c>
      <c r="F14141" s="8">
        <v>0</v>
      </c>
      <c r="G14141" s="8">
        <v>4</v>
      </c>
      <c r="H14141" s="8" t="s">
        <v>53920</v>
      </c>
      <c r="I14141" s="8">
        <v>526.6875</v>
      </c>
      <c r="J14141" s="3">
        <f t="shared" si="220"/>
        <v>43749.53451208333</v>
      </c>
    </row>
    <row r="14142" spans="1:10" x14ac:dyDescent="0.25">
      <c r="A14142" s="5" t="s">
        <v>53921</v>
      </c>
      <c r="B14142" s="6">
        <v>393.75</v>
      </c>
      <c r="C14142" s="6">
        <v>20.584240000000001</v>
      </c>
      <c r="D14142" s="6">
        <v>49</v>
      </c>
      <c r="E14142" s="6">
        <v>0</v>
      </c>
      <c r="F14142" s="6">
        <v>0</v>
      </c>
      <c r="G14142" s="6">
        <v>7</v>
      </c>
      <c r="H14142" s="6" t="s">
        <v>53922</v>
      </c>
      <c r="I14142" s="6">
        <v>526.6875</v>
      </c>
      <c r="J14142" s="2">
        <f t="shared" si="220"/>
        <v>43749.534583854162</v>
      </c>
    </row>
    <row r="14143" spans="1:10" x14ac:dyDescent="0.25">
      <c r="A14143" s="7" t="s">
        <v>53923</v>
      </c>
      <c r="B14143" s="8">
        <v>393.75</v>
      </c>
      <c r="C14143" s="8">
        <v>20.531590000000001</v>
      </c>
      <c r="D14143" s="8">
        <v>49</v>
      </c>
      <c r="E14143" s="8">
        <v>0</v>
      </c>
      <c r="F14143" s="8">
        <v>0</v>
      </c>
      <c r="G14143" s="8">
        <v>0</v>
      </c>
      <c r="H14143" s="8" t="s">
        <v>53924</v>
      </c>
      <c r="I14143" s="8">
        <v>526.6875</v>
      </c>
      <c r="J14143" s="3">
        <f t="shared" si="220"/>
        <v>43749.534667638887</v>
      </c>
    </row>
    <row r="14144" spans="1:10" x14ac:dyDescent="0.25">
      <c r="A14144" s="5" t="s">
        <v>53925</v>
      </c>
      <c r="B14144" s="6">
        <v>393.75</v>
      </c>
      <c r="C14144" s="6">
        <v>20.531590000000001</v>
      </c>
      <c r="D14144" s="6">
        <v>48</v>
      </c>
      <c r="E14144" s="6">
        <v>0</v>
      </c>
      <c r="F14144" s="6">
        <v>0</v>
      </c>
      <c r="G14144" s="6">
        <v>6</v>
      </c>
      <c r="H14144" s="6" t="s">
        <v>53926</v>
      </c>
      <c r="I14144" s="6">
        <v>526.6875</v>
      </c>
      <c r="J14144" s="2">
        <f t="shared" si="220"/>
        <v>43749.534750983796</v>
      </c>
    </row>
    <row r="14145" spans="1:10" x14ac:dyDescent="0.25">
      <c r="A14145" s="7" t="s">
        <v>53927</v>
      </c>
      <c r="B14145" s="8">
        <v>393.75</v>
      </c>
      <c r="C14145" s="8">
        <v>20.531590000000001</v>
      </c>
      <c r="D14145" s="8">
        <v>48</v>
      </c>
      <c r="E14145" s="8">
        <v>0</v>
      </c>
      <c r="F14145" s="8">
        <v>0</v>
      </c>
      <c r="G14145" s="8">
        <v>2</v>
      </c>
      <c r="H14145" s="8" t="s">
        <v>53928</v>
      </c>
      <c r="I14145" s="8">
        <v>526.5</v>
      </c>
      <c r="J14145" s="3">
        <f t="shared" si="220"/>
        <v>43749.534834178237</v>
      </c>
    </row>
    <row r="14146" spans="1:10" x14ac:dyDescent="0.25">
      <c r="A14146" s="5" t="s">
        <v>53929</v>
      </c>
      <c r="B14146" s="6">
        <v>412.5</v>
      </c>
      <c r="C14146" s="6">
        <v>20.584240000000001</v>
      </c>
      <c r="D14146" s="6">
        <v>48</v>
      </c>
      <c r="E14146" s="6">
        <v>0</v>
      </c>
      <c r="F14146" s="6">
        <v>0</v>
      </c>
      <c r="G14146" s="6">
        <v>0</v>
      </c>
      <c r="H14146" s="6" t="s">
        <v>53930</v>
      </c>
      <c r="I14146" s="6">
        <v>532.3125</v>
      </c>
      <c r="J14146" s="2">
        <f t="shared" ref="J14146:J14209" si="221">(H14146/86400000)+25569+(7/24)</f>
        <v>43749.534905949076</v>
      </c>
    </row>
    <row r="14147" spans="1:10" x14ac:dyDescent="0.25">
      <c r="A14147" s="7" t="s">
        <v>53931</v>
      </c>
      <c r="B14147" s="8">
        <v>393.75</v>
      </c>
      <c r="C14147" s="8">
        <v>20.584240000000001</v>
      </c>
      <c r="D14147" s="8">
        <v>50</v>
      </c>
      <c r="E14147" s="8">
        <v>0</v>
      </c>
      <c r="F14147" s="8">
        <v>0</v>
      </c>
      <c r="G14147" s="8">
        <v>0</v>
      </c>
      <c r="H14147" s="8" t="s">
        <v>53932</v>
      </c>
      <c r="I14147" s="8">
        <v>526.6875</v>
      </c>
      <c r="J14147" s="3">
        <f t="shared" si="221"/>
        <v>43749.534989525462</v>
      </c>
    </row>
    <row r="14148" spans="1:10" x14ac:dyDescent="0.25">
      <c r="A14148" s="5" t="s">
        <v>53933</v>
      </c>
      <c r="B14148" s="6">
        <v>393.75</v>
      </c>
      <c r="C14148" s="6">
        <v>20.531590000000001</v>
      </c>
      <c r="D14148" s="6">
        <v>52</v>
      </c>
      <c r="E14148" s="6">
        <v>0</v>
      </c>
      <c r="F14148" s="6">
        <v>0</v>
      </c>
      <c r="G14148" s="6">
        <v>0</v>
      </c>
      <c r="H14148" s="6" t="s">
        <v>53934</v>
      </c>
      <c r="I14148" s="6">
        <v>526.6875</v>
      </c>
      <c r="J14148" s="2">
        <f t="shared" si="221"/>
        <v>43749.535072974533</v>
      </c>
    </row>
    <row r="14149" spans="1:10" x14ac:dyDescent="0.25">
      <c r="A14149" s="7" t="s">
        <v>53935</v>
      </c>
      <c r="B14149" s="8">
        <v>393.75</v>
      </c>
      <c r="C14149" s="8">
        <v>20.531590000000001</v>
      </c>
      <c r="D14149" s="8">
        <v>53</v>
      </c>
      <c r="E14149" s="8">
        <v>0</v>
      </c>
      <c r="F14149" s="8">
        <v>0</v>
      </c>
      <c r="G14149" s="8">
        <v>5</v>
      </c>
      <c r="H14149" s="8" t="s">
        <v>53936</v>
      </c>
      <c r="I14149" s="8">
        <v>526.6875</v>
      </c>
      <c r="J14149" s="3">
        <f t="shared" si="221"/>
        <v>43749.535156516205</v>
      </c>
    </row>
    <row r="14150" spans="1:10" x14ac:dyDescent="0.25">
      <c r="A14150" s="5" t="s">
        <v>53937</v>
      </c>
      <c r="B14150" s="6">
        <v>393.75</v>
      </c>
      <c r="C14150" s="6">
        <v>20.584240000000001</v>
      </c>
      <c r="D14150" s="6">
        <v>52</v>
      </c>
      <c r="E14150" s="6">
        <v>0</v>
      </c>
      <c r="F14150" s="6">
        <v>0</v>
      </c>
      <c r="G14150" s="6">
        <v>14</v>
      </c>
      <c r="H14150" s="6" t="s">
        <v>53938</v>
      </c>
      <c r="I14150" s="6">
        <v>526.6875</v>
      </c>
      <c r="J14150" s="2">
        <f t="shared" si="221"/>
        <v>43749.535251898145</v>
      </c>
    </row>
    <row r="14151" spans="1:10" x14ac:dyDescent="0.25">
      <c r="A14151" s="7" t="s">
        <v>53939</v>
      </c>
      <c r="B14151" s="8">
        <v>393.75</v>
      </c>
      <c r="C14151" s="8">
        <v>20.584240000000001</v>
      </c>
      <c r="D14151" s="8">
        <v>52</v>
      </c>
      <c r="E14151" s="8">
        <v>0</v>
      </c>
      <c r="F14151" s="8">
        <v>0</v>
      </c>
      <c r="G14151" s="8">
        <v>8</v>
      </c>
      <c r="H14151" s="8" t="s">
        <v>53940</v>
      </c>
      <c r="I14151" s="8">
        <v>526.6875</v>
      </c>
      <c r="J14151" s="3">
        <f t="shared" si="221"/>
        <v>43749.535335451386</v>
      </c>
    </row>
    <row r="14152" spans="1:10" x14ac:dyDescent="0.25">
      <c r="A14152" s="5" t="s">
        <v>53941</v>
      </c>
      <c r="B14152" s="6">
        <v>393.75</v>
      </c>
      <c r="C14152" s="6">
        <v>20.531590000000001</v>
      </c>
      <c r="D14152" s="6">
        <v>53</v>
      </c>
      <c r="E14152" s="6">
        <v>0</v>
      </c>
      <c r="F14152" s="6">
        <v>0</v>
      </c>
      <c r="G14152" s="6">
        <v>7</v>
      </c>
      <c r="H14152" s="6" t="s">
        <v>53942</v>
      </c>
      <c r="I14152" s="6">
        <v>526.6875</v>
      </c>
      <c r="J14152" s="2">
        <f t="shared" si="221"/>
        <v>43749.535406979165</v>
      </c>
    </row>
    <row r="14153" spans="1:10" x14ac:dyDescent="0.25">
      <c r="A14153" s="7" t="s">
        <v>53943</v>
      </c>
      <c r="B14153" s="8">
        <v>393.75</v>
      </c>
      <c r="C14153" s="8">
        <v>20.531590000000001</v>
      </c>
      <c r="D14153" s="8">
        <v>53</v>
      </c>
      <c r="E14153" s="8">
        <v>0</v>
      </c>
      <c r="F14153" s="8">
        <v>0</v>
      </c>
      <c r="G14153" s="8">
        <v>15</v>
      </c>
      <c r="H14153" s="8" t="s">
        <v>53944</v>
      </c>
      <c r="I14153" s="8">
        <v>526.6875</v>
      </c>
      <c r="J14153" s="3">
        <f t="shared" si="221"/>
        <v>43749.535490543982</v>
      </c>
    </row>
    <row r="14154" spans="1:10" x14ac:dyDescent="0.25">
      <c r="A14154" s="5" t="s">
        <v>53945</v>
      </c>
      <c r="B14154" s="6">
        <v>393.75</v>
      </c>
      <c r="C14154" s="6">
        <v>20.584240000000001</v>
      </c>
      <c r="D14154" s="6">
        <v>52</v>
      </c>
      <c r="E14154" s="6">
        <v>0</v>
      </c>
      <c r="F14154" s="6">
        <v>0</v>
      </c>
      <c r="G14154" s="6">
        <v>12</v>
      </c>
      <c r="H14154" s="6" t="s">
        <v>53946</v>
      </c>
      <c r="I14154" s="6">
        <v>526.5</v>
      </c>
      <c r="J14154" s="2">
        <f t="shared" si="221"/>
        <v>43749.535562094905</v>
      </c>
    </row>
    <row r="14155" spans="1:10" x14ac:dyDescent="0.25">
      <c r="A14155" s="7" t="s">
        <v>53947</v>
      </c>
      <c r="B14155" s="8">
        <v>393.75</v>
      </c>
      <c r="C14155" s="8">
        <v>20.531590000000001</v>
      </c>
      <c r="D14155" s="8">
        <v>52</v>
      </c>
      <c r="E14155" s="8">
        <v>0</v>
      </c>
      <c r="F14155" s="8">
        <v>0</v>
      </c>
      <c r="G14155" s="8">
        <v>15</v>
      </c>
      <c r="H14155" s="8" t="s">
        <v>53948</v>
      </c>
      <c r="I14155" s="8">
        <v>526.6875</v>
      </c>
      <c r="J14155" s="3">
        <f t="shared" si="221"/>
        <v>43749.535645300923</v>
      </c>
    </row>
    <row r="14156" spans="1:10" x14ac:dyDescent="0.25">
      <c r="A14156" s="5" t="s">
        <v>53949</v>
      </c>
      <c r="B14156" s="6">
        <v>418.75</v>
      </c>
      <c r="C14156" s="6">
        <v>20.531590000000001</v>
      </c>
      <c r="D14156" s="6">
        <v>52</v>
      </c>
      <c r="E14156" s="6">
        <v>0</v>
      </c>
      <c r="F14156" s="6">
        <v>0</v>
      </c>
      <c r="G14156" s="6">
        <v>12</v>
      </c>
      <c r="H14156" s="6" t="s">
        <v>53950</v>
      </c>
      <c r="I14156" s="6">
        <v>534.375</v>
      </c>
      <c r="J14156" s="2">
        <f t="shared" si="221"/>
        <v>43749.535729085641</v>
      </c>
    </row>
    <row r="14157" spans="1:10" x14ac:dyDescent="0.25">
      <c r="A14157" s="7" t="s">
        <v>53951</v>
      </c>
      <c r="B14157" s="8">
        <v>393.75</v>
      </c>
      <c r="C14157" s="8">
        <v>20.531590000000001</v>
      </c>
      <c r="D14157" s="8">
        <v>52</v>
      </c>
      <c r="E14157" s="8">
        <v>0</v>
      </c>
      <c r="F14157" s="8">
        <v>0</v>
      </c>
      <c r="G14157" s="8">
        <v>11</v>
      </c>
      <c r="H14157" s="8" t="s">
        <v>53952</v>
      </c>
      <c r="I14157" s="8">
        <v>526.6875</v>
      </c>
      <c r="J14157" s="3">
        <f t="shared" si="221"/>
        <v>43749.535812650465</v>
      </c>
    </row>
    <row r="14158" spans="1:10" x14ac:dyDescent="0.25">
      <c r="A14158" s="5" t="s">
        <v>53953</v>
      </c>
      <c r="B14158" s="6">
        <v>393.75</v>
      </c>
      <c r="C14158" s="6">
        <v>20.531590000000001</v>
      </c>
      <c r="D14158" s="6">
        <v>53</v>
      </c>
      <c r="E14158" s="6">
        <v>0</v>
      </c>
      <c r="F14158" s="6">
        <v>0</v>
      </c>
      <c r="G14158" s="6">
        <v>11</v>
      </c>
      <c r="H14158" s="6" t="s">
        <v>53954</v>
      </c>
      <c r="I14158" s="6">
        <v>526.6875</v>
      </c>
      <c r="J14158" s="2">
        <f t="shared" si="221"/>
        <v>43749.535884201388</v>
      </c>
    </row>
    <row r="14159" spans="1:10" x14ac:dyDescent="0.25">
      <c r="A14159" s="7" t="s">
        <v>53955</v>
      </c>
      <c r="B14159" s="8">
        <v>393.75</v>
      </c>
      <c r="C14159" s="8">
        <v>20.531590000000001</v>
      </c>
      <c r="D14159" s="8">
        <v>50</v>
      </c>
      <c r="E14159" s="8">
        <v>0</v>
      </c>
      <c r="F14159" s="8">
        <v>0</v>
      </c>
      <c r="G14159" s="8">
        <v>9</v>
      </c>
      <c r="H14159" s="8" t="s">
        <v>53956</v>
      </c>
      <c r="I14159" s="8">
        <v>526.6875</v>
      </c>
      <c r="J14159" s="3">
        <f t="shared" si="221"/>
        <v>43749.535967638883</v>
      </c>
    </row>
    <row r="14160" spans="1:10" x14ac:dyDescent="0.25">
      <c r="A14160" s="5" t="s">
        <v>53957</v>
      </c>
      <c r="B14160" s="6">
        <v>393.75</v>
      </c>
      <c r="C14160" s="6">
        <v>20.531590000000001</v>
      </c>
      <c r="D14160" s="6">
        <v>49</v>
      </c>
      <c r="E14160" s="6">
        <v>0</v>
      </c>
      <c r="F14160" s="6">
        <v>0</v>
      </c>
      <c r="G14160" s="6">
        <v>10</v>
      </c>
      <c r="H14160" s="6" t="s">
        <v>53958</v>
      </c>
      <c r="I14160" s="6">
        <v>526.6875</v>
      </c>
      <c r="J14160" s="2">
        <f t="shared" si="221"/>
        <v>43749.536051099531</v>
      </c>
    </row>
    <row r="14161" spans="1:10" x14ac:dyDescent="0.25">
      <c r="A14161" s="7" t="s">
        <v>53959</v>
      </c>
      <c r="B14161" s="8">
        <v>418.75</v>
      </c>
      <c r="C14161" s="8">
        <v>20.584240000000001</v>
      </c>
      <c r="D14161" s="8">
        <v>49</v>
      </c>
      <c r="E14161" s="8">
        <v>0</v>
      </c>
      <c r="F14161" s="8">
        <v>0</v>
      </c>
      <c r="G14161" s="8">
        <v>5</v>
      </c>
      <c r="H14161" s="8" t="s">
        <v>53960</v>
      </c>
      <c r="I14161" s="8">
        <v>534.5625</v>
      </c>
      <c r="J14161" s="3">
        <f t="shared" si="221"/>
        <v>43749.536134398142</v>
      </c>
    </row>
    <row r="14162" spans="1:10" x14ac:dyDescent="0.25">
      <c r="A14162" s="5" t="s">
        <v>53961</v>
      </c>
      <c r="B14162" s="6">
        <v>393.75</v>
      </c>
      <c r="C14162" s="6">
        <v>20.478950000000001</v>
      </c>
      <c r="D14162" s="6">
        <v>49</v>
      </c>
      <c r="E14162" s="6">
        <v>0</v>
      </c>
      <c r="F14162" s="6">
        <v>0</v>
      </c>
      <c r="G14162" s="6">
        <v>9</v>
      </c>
      <c r="H14162" s="6" t="s">
        <v>53962</v>
      </c>
      <c r="I14162" s="6">
        <v>526.6875</v>
      </c>
      <c r="J14162" s="2">
        <f t="shared" si="221"/>
        <v>43749.536205960649</v>
      </c>
    </row>
    <row r="14163" spans="1:10" x14ac:dyDescent="0.25">
      <c r="A14163" s="7" t="s">
        <v>53963</v>
      </c>
      <c r="B14163" s="8">
        <v>393.75</v>
      </c>
      <c r="C14163" s="8">
        <v>20.531590000000001</v>
      </c>
      <c r="D14163" s="8">
        <v>50</v>
      </c>
      <c r="E14163" s="8">
        <v>0</v>
      </c>
      <c r="F14163" s="8">
        <v>0</v>
      </c>
      <c r="G14163" s="8">
        <v>6</v>
      </c>
      <c r="H14163" s="8" t="s">
        <v>53964</v>
      </c>
      <c r="I14163" s="8">
        <v>526.6875</v>
      </c>
      <c r="J14163" s="3">
        <f t="shared" si="221"/>
        <v>43749.536305833331</v>
      </c>
    </row>
    <row r="14164" spans="1:10" x14ac:dyDescent="0.25">
      <c r="A14164" s="5" t="s">
        <v>53965</v>
      </c>
      <c r="B14164" s="6">
        <v>393.75</v>
      </c>
      <c r="C14164" s="6">
        <v>20.531590000000001</v>
      </c>
      <c r="D14164" s="6">
        <v>49</v>
      </c>
      <c r="E14164" s="6">
        <v>0</v>
      </c>
      <c r="F14164" s="6">
        <v>0</v>
      </c>
      <c r="G14164" s="6">
        <v>8</v>
      </c>
      <c r="H14164" s="6" t="s">
        <v>53966</v>
      </c>
      <c r="I14164" s="6">
        <v>526.6875</v>
      </c>
      <c r="J14164" s="2">
        <f t="shared" si="221"/>
        <v>43749.536394224539</v>
      </c>
    </row>
    <row r="14165" spans="1:10" x14ac:dyDescent="0.25">
      <c r="A14165" s="7" t="s">
        <v>53967</v>
      </c>
      <c r="B14165" s="8">
        <v>393.75</v>
      </c>
      <c r="C14165" s="8">
        <v>20.531590000000001</v>
      </c>
      <c r="D14165" s="8">
        <v>49</v>
      </c>
      <c r="E14165" s="8">
        <v>0</v>
      </c>
      <c r="F14165" s="8">
        <v>0</v>
      </c>
      <c r="G14165" s="8">
        <v>14</v>
      </c>
      <c r="H14165" s="8" t="s">
        <v>53968</v>
      </c>
      <c r="I14165" s="8">
        <v>526.6875</v>
      </c>
      <c r="J14165" s="3">
        <f t="shared" si="221"/>
        <v>43749.536468576385</v>
      </c>
    </row>
    <row r="14166" spans="1:10" x14ac:dyDescent="0.25">
      <c r="A14166" s="5" t="s">
        <v>53969</v>
      </c>
      <c r="B14166" s="6">
        <v>393.75</v>
      </c>
      <c r="C14166" s="6">
        <v>20.531590000000001</v>
      </c>
      <c r="D14166" s="6">
        <v>49</v>
      </c>
      <c r="E14166" s="6">
        <v>0</v>
      </c>
      <c r="F14166" s="6">
        <v>0</v>
      </c>
      <c r="G14166" s="6">
        <v>8</v>
      </c>
      <c r="H14166" s="6" t="s">
        <v>53970</v>
      </c>
      <c r="I14166" s="6">
        <v>526.6875</v>
      </c>
      <c r="J14166" s="2">
        <f t="shared" si="221"/>
        <v>43749.536540208333</v>
      </c>
    </row>
    <row r="14167" spans="1:10" x14ac:dyDescent="0.25">
      <c r="A14167" s="7" t="s">
        <v>53971</v>
      </c>
      <c r="B14167" s="8">
        <v>393.75</v>
      </c>
      <c r="C14167" s="8">
        <v>20.531590000000001</v>
      </c>
      <c r="D14167" s="8">
        <v>49</v>
      </c>
      <c r="E14167" s="8">
        <v>0</v>
      </c>
      <c r="F14167" s="8">
        <v>0</v>
      </c>
      <c r="G14167" s="8">
        <v>8</v>
      </c>
      <c r="H14167" s="8" t="s">
        <v>53972</v>
      </c>
      <c r="I14167" s="8">
        <v>526.6875</v>
      </c>
      <c r="J14167" s="3">
        <f t="shared" si="221"/>
        <v>43749.536635543984</v>
      </c>
    </row>
    <row r="14168" spans="1:10" x14ac:dyDescent="0.25">
      <c r="A14168" s="5" t="s">
        <v>53973</v>
      </c>
      <c r="B14168" s="6">
        <v>412.5</v>
      </c>
      <c r="C14168" s="6">
        <v>20.531590000000001</v>
      </c>
      <c r="D14168" s="6">
        <v>50</v>
      </c>
      <c r="E14168" s="6">
        <v>0</v>
      </c>
      <c r="F14168" s="6">
        <v>0</v>
      </c>
      <c r="G14168" s="6">
        <v>12</v>
      </c>
      <c r="H14168" s="6" t="s">
        <v>53974</v>
      </c>
      <c r="I14168" s="6">
        <v>532.3125</v>
      </c>
      <c r="J14168" s="2">
        <f t="shared" si="221"/>
        <v>43749.536719097225</v>
      </c>
    </row>
    <row r="14169" spans="1:10" x14ac:dyDescent="0.25">
      <c r="A14169" s="7" t="s">
        <v>53975</v>
      </c>
      <c r="B14169" s="8">
        <v>393.75</v>
      </c>
      <c r="C14169" s="8">
        <v>20.531590000000001</v>
      </c>
      <c r="D14169" s="8">
        <v>50</v>
      </c>
      <c r="E14169" s="8">
        <v>0</v>
      </c>
      <c r="F14169" s="8">
        <v>0</v>
      </c>
      <c r="G14169" s="8">
        <v>15</v>
      </c>
      <c r="H14169" s="8" t="s">
        <v>53976</v>
      </c>
      <c r="I14169" s="8">
        <v>526.6875</v>
      </c>
      <c r="J14169" s="3">
        <f t="shared" si="221"/>
        <v>43749.536802569441</v>
      </c>
    </row>
    <row r="14170" spans="1:10" x14ac:dyDescent="0.25">
      <c r="A14170" s="5" t="s">
        <v>53977</v>
      </c>
      <c r="B14170" s="6">
        <v>393.75</v>
      </c>
      <c r="C14170" s="6">
        <v>20.584240000000001</v>
      </c>
      <c r="D14170" s="6">
        <v>50</v>
      </c>
      <c r="E14170" s="6">
        <v>0</v>
      </c>
      <c r="F14170" s="6">
        <v>0</v>
      </c>
      <c r="G14170" s="6">
        <v>13</v>
      </c>
      <c r="H14170" s="6" t="s">
        <v>53978</v>
      </c>
      <c r="I14170" s="6">
        <v>526.6875</v>
      </c>
      <c r="J14170" s="2">
        <f t="shared" si="221"/>
        <v>43749.536886145834</v>
      </c>
    </row>
    <row r="14171" spans="1:10" x14ac:dyDescent="0.25">
      <c r="A14171" s="7" t="s">
        <v>53979</v>
      </c>
      <c r="B14171" s="8">
        <v>393.75</v>
      </c>
      <c r="C14171" s="8">
        <v>20.584240000000001</v>
      </c>
      <c r="D14171" s="8">
        <v>51</v>
      </c>
      <c r="E14171" s="8">
        <v>0</v>
      </c>
      <c r="F14171" s="8">
        <v>0</v>
      </c>
      <c r="G14171" s="8">
        <v>7</v>
      </c>
      <c r="H14171" s="8" t="s">
        <v>53980</v>
      </c>
      <c r="I14171" s="8">
        <v>526.6875</v>
      </c>
      <c r="J14171" s="3">
        <f t="shared" si="221"/>
        <v>43749.53696957176</v>
      </c>
    </row>
    <row r="14172" spans="1:10" x14ac:dyDescent="0.25">
      <c r="A14172" s="5" t="s">
        <v>53981</v>
      </c>
      <c r="B14172" s="6">
        <v>393.75</v>
      </c>
      <c r="C14172" s="6">
        <v>20.531590000000001</v>
      </c>
      <c r="D14172" s="6">
        <v>51</v>
      </c>
      <c r="E14172" s="6">
        <v>0</v>
      </c>
      <c r="F14172" s="6">
        <v>0</v>
      </c>
      <c r="G14172" s="6">
        <v>3</v>
      </c>
      <c r="H14172" s="6" t="s">
        <v>53982</v>
      </c>
      <c r="I14172" s="6">
        <v>526.6875</v>
      </c>
      <c r="J14172" s="2">
        <f t="shared" si="221"/>
        <v>43749.537052789346</v>
      </c>
    </row>
    <row r="14173" spans="1:10" x14ac:dyDescent="0.25">
      <c r="A14173" s="7" t="s">
        <v>53983</v>
      </c>
      <c r="B14173" s="8">
        <v>393.75</v>
      </c>
      <c r="C14173" s="8">
        <v>20.531590000000001</v>
      </c>
      <c r="D14173" s="8">
        <v>51</v>
      </c>
      <c r="E14173" s="8">
        <v>0</v>
      </c>
      <c r="F14173" s="8">
        <v>0</v>
      </c>
      <c r="G14173" s="8">
        <v>12</v>
      </c>
      <c r="H14173" s="8" t="s">
        <v>53984</v>
      </c>
      <c r="I14173" s="8">
        <v>526.5</v>
      </c>
      <c r="J14173" s="3">
        <f t="shared" si="221"/>
        <v>43749.537124456016</v>
      </c>
    </row>
    <row r="14174" spans="1:10" x14ac:dyDescent="0.25">
      <c r="A14174" s="5" t="s">
        <v>53985</v>
      </c>
      <c r="B14174" s="6">
        <v>393.75</v>
      </c>
      <c r="C14174" s="6">
        <v>20.584240000000001</v>
      </c>
      <c r="D14174" s="6">
        <v>51</v>
      </c>
      <c r="E14174" s="6">
        <v>0</v>
      </c>
      <c r="F14174" s="6">
        <v>0</v>
      </c>
      <c r="G14174" s="6">
        <v>11</v>
      </c>
      <c r="H14174" s="6" t="s">
        <v>53986</v>
      </c>
      <c r="I14174" s="6">
        <v>526.6875</v>
      </c>
      <c r="J14174" s="2">
        <f t="shared" si="221"/>
        <v>43749.537208344904</v>
      </c>
    </row>
    <row r="14175" spans="1:10" x14ac:dyDescent="0.25">
      <c r="A14175" s="7" t="s">
        <v>53987</v>
      </c>
      <c r="B14175" s="8">
        <v>393.75</v>
      </c>
      <c r="C14175" s="8">
        <v>20.478950000000001</v>
      </c>
      <c r="D14175" s="8">
        <v>52</v>
      </c>
      <c r="E14175" s="8">
        <v>0</v>
      </c>
      <c r="F14175" s="8">
        <v>0</v>
      </c>
      <c r="G14175" s="8">
        <v>6</v>
      </c>
      <c r="H14175" s="8" t="s">
        <v>53988</v>
      </c>
      <c r="I14175" s="8">
        <v>526.6875</v>
      </c>
      <c r="J14175" s="3">
        <f t="shared" si="221"/>
        <v>43749.537291701381</v>
      </c>
    </row>
    <row r="14176" spans="1:10" x14ac:dyDescent="0.25">
      <c r="A14176" s="5" t="s">
        <v>53989</v>
      </c>
      <c r="B14176" s="6">
        <v>393.75</v>
      </c>
      <c r="C14176" s="6">
        <v>20.584240000000001</v>
      </c>
      <c r="D14176" s="6">
        <v>52</v>
      </c>
      <c r="E14176" s="6">
        <v>0</v>
      </c>
      <c r="F14176" s="6">
        <v>0</v>
      </c>
      <c r="G14176" s="6">
        <v>5</v>
      </c>
      <c r="H14176" s="6" t="s">
        <v>53990</v>
      </c>
      <c r="I14176" s="6">
        <v>526.6875</v>
      </c>
      <c r="J14176" s="2">
        <f t="shared" si="221"/>
        <v>43749.537374907406</v>
      </c>
    </row>
    <row r="14177" spans="1:10" x14ac:dyDescent="0.25">
      <c r="A14177" s="7" t="s">
        <v>53991</v>
      </c>
      <c r="B14177" s="8">
        <v>393.75</v>
      </c>
      <c r="C14177" s="8">
        <v>20.531590000000001</v>
      </c>
      <c r="D14177" s="8">
        <v>52</v>
      </c>
      <c r="E14177" s="8">
        <v>0</v>
      </c>
      <c r="F14177" s="8">
        <v>0</v>
      </c>
      <c r="G14177" s="8">
        <v>14</v>
      </c>
      <c r="H14177" s="8" t="s">
        <v>53992</v>
      </c>
      <c r="I14177" s="8">
        <v>526.6875</v>
      </c>
      <c r="J14177" s="3">
        <f t="shared" si="221"/>
        <v>43749.537446643517</v>
      </c>
    </row>
    <row r="14178" spans="1:10" x14ac:dyDescent="0.25">
      <c r="A14178" s="5" t="s">
        <v>53993</v>
      </c>
      <c r="B14178" s="6">
        <v>393.75</v>
      </c>
      <c r="C14178" s="6">
        <v>20.531590000000001</v>
      </c>
      <c r="D14178" s="6">
        <v>52</v>
      </c>
      <c r="E14178" s="6">
        <v>0</v>
      </c>
      <c r="F14178" s="6">
        <v>0</v>
      </c>
      <c r="G14178" s="6">
        <v>12</v>
      </c>
      <c r="H14178" s="6" t="s">
        <v>53994</v>
      </c>
      <c r="I14178" s="6">
        <v>526.6875</v>
      </c>
      <c r="J14178" s="2">
        <f t="shared" si="221"/>
        <v>43749.537518379628</v>
      </c>
    </row>
    <row r="14179" spans="1:10" x14ac:dyDescent="0.25">
      <c r="A14179" s="7" t="s">
        <v>53995</v>
      </c>
      <c r="B14179" s="8">
        <v>393.75</v>
      </c>
      <c r="C14179" s="8">
        <v>20.478950000000001</v>
      </c>
      <c r="D14179" s="8">
        <v>53</v>
      </c>
      <c r="E14179" s="8">
        <v>0</v>
      </c>
      <c r="F14179" s="8">
        <v>0</v>
      </c>
      <c r="G14179" s="8">
        <v>11</v>
      </c>
      <c r="H14179" s="8" t="s">
        <v>53996</v>
      </c>
      <c r="I14179" s="8">
        <v>526.6875</v>
      </c>
      <c r="J14179" s="3">
        <f t="shared" si="221"/>
        <v>43749.537601979166</v>
      </c>
    </row>
    <row r="14180" spans="1:10" x14ac:dyDescent="0.25">
      <c r="A14180" s="5" t="s">
        <v>53997</v>
      </c>
      <c r="B14180" s="6">
        <v>393.75</v>
      </c>
      <c r="C14180" s="6">
        <v>20.584240000000001</v>
      </c>
      <c r="D14180" s="6">
        <v>53</v>
      </c>
      <c r="E14180" s="6">
        <v>0</v>
      </c>
      <c r="F14180" s="6">
        <v>0</v>
      </c>
      <c r="G14180" s="6">
        <v>7</v>
      </c>
      <c r="H14180" s="6" t="s">
        <v>53998</v>
      </c>
      <c r="I14180" s="6">
        <v>526.6875</v>
      </c>
      <c r="J14180" s="2">
        <f t="shared" si="221"/>
        <v>43749.53768533565</v>
      </c>
    </row>
    <row r="14181" spans="1:10" x14ac:dyDescent="0.25">
      <c r="A14181" s="7" t="s">
        <v>53999</v>
      </c>
      <c r="B14181" s="8">
        <v>412.5</v>
      </c>
      <c r="C14181" s="8">
        <v>20.584240000000001</v>
      </c>
      <c r="D14181" s="8">
        <v>53</v>
      </c>
      <c r="E14181" s="8">
        <v>0</v>
      </c>
      <c r="F14181" s="8">
        <v>0</v>
      </c>
      <c r="G14181" s="8">
        <v>12</v>
      </c>
      <c r="H14181" s="8" t="s">
        <v>54000</v>
      </c>
      <c r="I14181" s="8">
        <v>532.3125</v>
      </c>
      <c r="J14181" s="3">
        <f t="shared" si="221"/>
        <v>43749.537769722221</v>
      </c>
    </row>
    <row r="14182" spans="1:10" x14ac:dyDescent="0.25">
      <c r="A14182" s="5" t="s">
        <v>54001</v>
      </c>
      <c r="B14182" s="6">
        <v>393.75</v>
      </c>
      <c r="C14182" s="6">
        <v>20.584240000000001</v>
      </c>
      <c r="D14182" s="6">
        <v>53</v>
      </c>
      <c r="E14182" s="6">
        <v>0</v>
      </c>
      <c r="F14182" s="6">
        <v>0</v>
      </c>
      <c r="G14182" s="6">
        <v>15</v>
      </c>
      <c r="H14182" s="6" t="s">
        <v>54002</v>
      </c>
      <c r="I14182" s="6">
        <v>526.6875</v>
      </c>
      <c r="J14182" s="2">
        <f t="shared" si="221"/>
        <v>43749.53785221064</v>
      </c>
    </row>
    <row r="14183" spans="1:10" x14ac:dyDescent="0.25">
      <c r="A14183" s="7" t="s">
        <v>54003</v>
      </c>
      <c r="B14183" s="8">
        <v>393.75</v>
      </c>
      <c r="C14183" s="8">
        <v>20.478950000000001</v>
      </c>
      <c r="D14183" s="8">
        <v>52</v>
      </c>
      <c r="E14183" s="8">
        <v>0</v>
      </c>
      <c r="F14183" s="8">
        <v>0</v>
      </c>
      <c r="G14183" s="8">
        <v>22</v>
      </c>
      <c r="H14183" s="8" t="s">
        <v>54004</v>
      </c>
      <c r="I14183" s="8">
        <v>526.6875</v>
      </c>
      <c r="J14183" s="3">
        <f t="shared" si="221"/>
        <v>43749.537935763881</v>
      </c>
    </row>
    <row r="14184" spans="1:10" x14ac:dyDescent="0.25">
      <c r="A14184" s="5" t="s">
        <v>54005</v>
      </c>
      <c r="B14184" s="6">
        <v>393.75</v>
      </c>
      <c r="C14184" s="6">
        <v>20.584240000000001</v>
      </c>
      <c r="D14184" s="6">
        <v>52</v>
      </c>
      <c r="E14184" s="6">
        <v>0</v>
      </c>
      <c r="F14184" s="6">
        <v>0</v>
      </c>
      <c r="G14184" s="6">
        <v>22</v>
      </c>
      <c r="H14184" s="6" t="s">
        <v>54006</v>
      </c>
      <c r="I14184" s="6">
        <v>526.6875</v>
      </c>
      <c r="J14184" s="2">
        <f t="shared" si="221"/>
        <v>43749.538019374995</v>
      </c>
    </row>
    <row r="14185" spans="1:10" x14ac:dyDescent="0.25">
      <c r="A14185" s="7" t="s">
        <v>54007</v>
      </c>
      <c r="B14185" s="8">
        <v>393.75</v>
      </c>
      <c r="C14185" s="8">
        <v>20.584240000000001</v>
      </c>
      <c r="D14185" s="8">
        <v>54</v>
      </c>
      <c r="E14185" s="8">
        <v>0</v>
      </c>
      <c r="F14185" s="8">
        <v>0</v>
      </c>
      <c r="G14185" s="8">
        <v>21</v>
      </c>
      <c r="H14185" s="8" t="s">
        <v>54008</v>
      </c>
      <c r="I14185" s="8">
        <v>526.6875</v>
      </c>
      <c r="J14185" s="3">
        <f t="shared" si="221"/>
        <v>43749.538103611114</v>
      </c>
    </row>
    <row r="14186" spans="1:10" x14ac:dyDescent="0.25">
      <c r="A14186" s="5" t="s">
        <v>54009</v>
      </c>
      <c r="B14186" s="6">
        <v>393.75</v>
      </c>
      <c r="C14186" s="6">
        <v>20.531590000000001</v>
      </c>
      <c r="D14186" s="6">
        <v>54</v>
      </c>
      <c r="E14186" s="6">
        <v>0</v>
      </c>
      <c r="F14186" s="6">
        <v>0</v>
      </c>
      <c r="G14186" s="6">
        <v>26</v>
      </c>
      <c r="H14186" s="6" t="s">
        <v>54010</v>
      </c>
      <c r="I14186" s="6">
        <v>526.6875</v>
      </c>
      <c r="J14186" s="2">
        <f t="shared" si="221"/>
        <v>43749.538186030091</v>
      </c>
    </row>
    <row r="14187" spans="1:10" x14ac:dyDescent="0.25">
      <c r="A14187" s="7" t="s">
        <v>54011</v>
      </c>
      <c r="B14187" s="8">
        <v>393.75</v>
      </c>
      <c r="C14187" s="8">
        <v>20.584240000000001</v>
      </c>
      <c r="D14187" s="8">
        <v>54</v>
      </c>
      <c r="E14187" s="8">
        <v>0</v>
      </c>
      <c r="F14187" s="8">
        <v>0</v>
      </c>
      <c r="G14187" s="8">
        <v>11</v>
      </c>
      <c r="H14187" s="8" t="s">
        <v>54012</v>
      </c>
      <c r="I14187" s="8">
        <v>526.6875</v>
      </c>
      <c r="J14187" s="3">
        <f t="shared" si="221"/>
        <v>43749.538257777771</v>
      </c>
    </row>
    <row r="14188" spans="1:10" x14ac:dyDescent="0.25">
      <c r="A14188" s="5" t="s">
        <v>54013</v>
      </c>
      <c r="B14188" s="6">
        <v>393.75</v>
      </c>
      <c r="C14188" s="6">
        <v>20.531590000000001</v>
      </c>
      <c r="D14188" s="6">
        <v>53</v>
      </c>
      <c r="E14188" s="6">
        <v>0</v>
      </c>
      <c r="F14188" s="6">
        <v>0</v>
      </c>
      <c r="G14188" s="6">
        <v>14</v>
      </c>
      <c r="H14188" s="6" t="s">
        <v>54014</v>
      </c>
      <c r="I14188" s="6">
        <v>526.6875</v>
      </c>
      <c r="J14188" s="2">
        <f t="shared" si="221"/>
        <v>43749.538341342595</v>
      </c>
    </row>
    <row r="14189" spans="1:10" x14ac:dyDescent="0.25">
      <c r="A14189" s="7" t="s">
        <v>54015</v>
      </c>
      <c r="B14189" s="8">
        <v>393.75</v>
      </c>
      <c r="C14189" s="8">
        <v>20.531590000000001</v>
      </c>
      <c r="D14189" s="8">
        <v>52</v>
      </c>
      <c r="E14189" s="8">
        <v>0</v>
      </c>
      <c r="F14189" s="8">
        <v>0</v>
      </c>
      <c r="G14189" s="8">
        <v>0</v>
      </c>
      <c r="H14189" s="8" t="s">
        <v>54016</v>
      </c>
      <c r="I14189" s="8">
        <v>526.6875</v>
      </c>
      <c r="J14189" s="3">
        <f t="shared" si="221"/>
        <v>43749.538424768522</v>
      </c>
    </row>
    <row r="14190" spans="1:10" x14ac:dyDescent="0.25">
      <c r="A14190" s="5" t="s">
        <v>54017</v>
      </c>
      <c r="B14190" s="6">
        <v>393.75</v>
      </c>
      <c r="C14190" s="6">
        <v>20.531590000000001</v>
      </c>
      <c r="D14190" s="6">
        <v>52</v>
      </c>
      <c r="E14190" s="6">
        <v>0</v>
      </c>
      <c r="F14190" s="6">
        <v>0</v>
      </c>
      <c r="G14190" s="6">
        <v>5</v>
      </c>
      <c r="H14190" s="6" t="s">
        <v>54018</v>
      </c>
      <c r="I14190" s="6">
        <v>526.6875</v>
      </c>
      <c r="J14190" s="2">
        <f t="shared" si="221"/>
        <v>43749.538508333331</v>
      </c>
    </row>
    <row r="14191" spans="1:10" x14ac:dyDescent="0.25">
      <c r="A14191" s="7" t="s">
        <v>54019</v>
      </c>
      <c r="B14191" s="8">
        <v>393.75</v>
      </c>
      <c r="C14191" s="8">
        <v>20.584240000000001</v>
      </c>
      <c r="D14191" s="8">
        <v>52</v>
      </c>
      <c r="E14191" s="8">
        <v>0</v>
      </c>
      <c r="F14191" s="8">
        <v>0</v>
      </c>
      <c r="G14191" s="8">
        <v>8</v>
      </c>
      <c r="H14191" s="8" t="s">
        <v>54020</v>
      </c>
      <c r="I14191" s="8">
        <v>526.6875</v>
      </c>
      <c r="J14191" s="3">
        <f t="shared" si="221"/>
        <v>43749.538591805554</v>
      </c>
    </row>
    <row r="14192" spans="1:10" x14ac:dyDescent="0.25">
      <c r="A14192" s="5" t="s">
        <v>54021</v>
      </c>
      <c r="B14192" s="6">
        <v>393.75</v>
      </c>
      <c r="C14192" s="6">
        <v>20.531590000000001</v>
      </c>
      <c r="D14192" s="6">
        <v>51</v>
      </c>
      <c r="E14192" s="6">
        <v>0</v>
      </c>
      <c r="F14192" s="6">
        <v>0</v>
      </c>
      <c r="G14192" s="6">
        <v>9</v>
      </c>
      <c r="H14192" s="6" t="s">
        <v>54022</v>
      </c>
      <c r="I14192" s="6">
        <v>526.6875</v>
      </c>
      <c r="J14192" s="2">
        <f t="shared" si="221"/>
        <v>43749.538675023148</v>
      </c>
    </row>
    <row r="14193" spans="1:10" x14ac:dyDescent="0.25">
      <c r="A14193" s="7" t="s">
        <v>54023</v>
      </c>
      <c r="B14193" s="8">
        <v>412.5</v>
      </c>
      <c r="C14193" s="8">
        <v>20.531590000000001</v>
      </c>
      <c r="D14193" s="8">
        <v>51</v>
      </c>
      <c r="E14193" s="8">
        <v>0</v>
      </c>
      <c r="F14193" s="8">
        <v>0</v>
      </c>
      <c r="G14193" s="8">
        <v>6</v>
      </c>
      <c r="H14193" s="8" t="s">
        <v>54024</v>
      </c>
      <c r="I14193" s="8">
        <v>532.3125</v>
      </c>
      <c r="J14193" s="3">
        <f t="shared" si="221"/>
        <v>43749.538746944447</v>
      </c>
    </row>
    <row r="14194" spans="1:10" x14ac:dyDescent="0.25">
      <c r="A14194" s="5" t="s">
        <v>54025</v>
      </c>
      <c r="B14194" s="6">
        <v>393.75</v>
      </c>
      <c r="C14194" s="6">
        <v>20.531590000000001</v>
      </c>
      <c r="D14194" s="6">
        <v>52</v>
      </c>
      <c r="E14194" s="6">
        <v>0</v>
      </c>
      <c r="F14194" s="6">
        <v>0</v>
      </c>
      <c r="G14194" s="6">
        <v>13</v>
      </c>
      <c r="H14194" s="6" t="s">
        <v>54026</v>
      </c>
      <c r="I14194" s="6">
        <v>526.5</v>
      </c>
      <c r="J14194" s="2">
        <f t="shared" si="221"/>
        <v>43749.538830740734</v>
      </c>
    </row>
    <row r="14195" spans="1:10" x14ac:dyDescent="0.25">
      <c r="A14195" s="7" t="s">
        <v>54027</v>
      </c>
      <c r="B14195" s="8">
        <v>393.75</v>
      </c>
      <c r="C14195" s="8">
        <v>20.531590000000001</v>
      </c>
      <c r="D14195" s="8">
        <v>52</v>
      </c>
      <c r="E14195" s="8">
        <v>0</v>
      </c>
      <c r="F14195" s="8">
        <v>0</v>
      </c>
      <c r="G14195" s="8">
        <v>18</v>
      </c>
      <c r="H14195" s="8" t="s">
        <v>54028</v>
      </c>
      <c r="I14195" s="8">
        <v>526.6875</v>
      </c>
      <c r="J14195" s="3">
        <f t="shared" si="221"/>
        <v>43749.538926261572</v>
      </c>
    </row>
    <row r="14196" spans="1:10" x14ac:dyDescent="0.25">
      <c r="A14196" s="5" t="s">
        <v>54029</v>
      </c>
      <c r="B14196" s="6">
        <v>393.75</v>
      </c>
      <c r="C14196" s="6">
        <v>20.478950000000001</v>
      </c>
      <c r="D14196" s="6">
        <v>53</v>
      </c>
      <c r="E14196" s="6">
        <v>0</v>
      </c>
      <c r="F14196" s="6">
        <v>0</v>
      </c>
      <c r="G14196" s="6">
        <v>23</v>
      </c>
      <c r="H14196" s="6" t="s">
        <v>54030</v>
      </c>
      <c r="I14196" s="6">
        <v>526.6875</v>
      </c>
      <c r="J14196" s="2">
        <f t="shared" si="221"/>
        <v>43749.539009282402</v>
      </c>
    </row>
    <row r="14197" spans="1:10" x14ac:dyDescent="0.25">
      <c r="A14197" s="7" t="s">
        <v>54031</v>
      </c>
      <c r="B14197" s="8">
        <v>393.75</v>
      </c>
      <c r="C14197" s="8">
        <v>20.584240000000001</v>
      </c>
      <c r="D14197" s="8">
        <v>53</v>
      </c>
      <c r="E14197" s="8">
        <v>0</v>
      </c>
      <c r="F14197" s="8">
        <v>0</v>
      </c>
      <c r="G14197" s="8">
        <v>6</v>
      </c>
      <c r="H14197" s="8" t="s">
        <v>54032</v>
      </c>
      <c r="I14197" s="8">
        <v>526.6875</v>
      </c>
      <c r="J14197" s="3">
        <f t="shared" si="221"/>
        <v>43749.539080925919</v>
      </c>
    </row>
    <row r="14198" spans="1:10" x14ac:dyDescent="0.25">
      <c r="A14198" s="5" t="s">
        <v>54033</v>
      </c>
      <c r="B14198" s="6">
        <v>412.5</v>
      </c>
      <c r="C14198" s="6">
        <v>20.584240000000001</v>
      </c>
      <c r="D14198" s="6">
        <v>52</v>
      </c>
      <c r="E14198" s="6">
        <v>0</v>
      </c>
      <c r="F14198" s="6">
        <v>0</v>
      </c>
      <c r="G14198" s="6">
        <v>8</v>
      </c>
      <c r="H14198" s="6" t="s">
        <v>54034</v>
      </c>
      <c r="I14198" s="6">
        <v>532.3125</v>
      </c>
      <c r="J14198" s="2">
        <f t="shared" si="221"/>
        <v>43749.539164467591</v>
      </c>
    </row>
    <row r="14199" spans="1:10" x14ac:dyDescent="0.25">
      <c r="A14199" s="7" t="s">
        <v>54035</v>
      </c>
      <c r="B14199" s="8">
        <v>393.75</v>
      </c>
      <c r="C14199" s="8">
        <v>20.531590000000001</v>
      </c>
      <c r="D14199" s="8">
        <v>49</v>
      </c>
      <c r="E14199" s="8">
        <v>0</v>
      </c>
      <c r="F14199" s="8">
        <v>0</v>
      </c>
      <c r="G14199" s="8">
        <v>0</v>
      </c>
      <c r="H14199" s="8" t="s">
        <v>54036</v>
      </c>
      <c r="I14199" s="8">
        <v>526.6875</v>
      </c>
      <c r="J14199" s="3">
        <f t="shared" si="221"/>
        <v>43749.539235914352</v>
      </c>
    </row>
    <row r="14200" spans="1:10" x14ac:dyDescent="0.25">
      <c r="A14200" s="5" t="s">
        <v>54037</v>
      </c>
      <c r="B14200" s="6">
        <v>393.75</v>
      </c>
      <c r="C14200" s="6">
        <v>20.584240000000001</v>
      </c>
      <c r="D14200" s="6">
        <v>48</v>
      </c>
      <c r="E14200" s="6">
        <v>0</v>
      </c>
      <c r="F14200" s="6">
        <v>0</v>
      </c>
      <c r="G14200" s="6">
        <v>12</v>
      </c>
      <c r="H14200" s="6" t="s">
        <v>54038</v>
      </c>
      <c r="I14200" s="6">
        <v>526.6875</v>
      </c>
      <c r="J14200" s="2">
        <f t="shared" si="221"/>
        <v>43749.53940292824</v>
      </c>
    </row>
    <row r="14201" spans="1:10" x14ac:dyDescent="0.25">
      <c r="A14201" s="7" t="s">
        <v>54039</v>
      </c>
      <c r="B14201" s="8">
        <v>393.75</v>
      </c>
      <c r="C14201" s="8">
        <v>20.531590000000001</v>
      </c>
      <c r="D14201" s="8">
        <v>52</v>
      </c>
      <c r="E14201" s="8">
        <v>0</v>
      </c>
      <c r="F14201" s="8">
        <v>0</v>
      </c>
      <c r="G14201" s="8">
        <v>10</v>
      </c>
      <c r="H14201" s="8" t="s">
        <v>54040</v>
      </c>
      <c r="I14201" s="8">
        <v>526.6875</v>
      </c>
      <c r="J14201" s="3">
        <f t="shared" si="221"/>
        <v>43749.539486134257</v>
      </c>
    </row>
    <row r="14202" spans="1:10" x14ac:dyDescent="0.25">
      <c r="A14202" s="5" t="s">
        <v>54041</v>
      </c>
      <c r="B14202" s="6">
        <v>415.625</v>
      </c>
      <c r="C14202" s="6">
        <v>20.531590000000001</v>
      </c>
      <c r="D14202" s="6">
        <v>52</v>
      </c>
      <c r="E14202" s="6">
        <v>0</v>
      </c>
      <c r="F14202" s="6">
        <v>0</v>
      </c>
      <c r="G14202" s="6">
        <v>9</v>
      </c>
      <c r="H14202" s="6" t="s">
        <v>54042</v>
      </c>
      <c r="I14202" s="6">
        <v>533.0625</v>
      </c>
      <c r="J14202" s="2">
        <f t="shared" si="221"/>
        <v>43749.539557789351</v>
      </c>
    </row>
    <row r="14203" spans="1:10" x14ac:dyDescent="0.25">
      <c r="A14203" s="7" t="s">
        <v>54043</v>
      </c>
      <c r="B14203" s="8">
        <v>393.75</v>
      </c>
      <c r="C14203" s="8">
        <v>20.531590000000001</v>
      </c>
      <c r="D14203" s="8">
        <v>50</v>
      </c>
      <c r="E14203" s="8">
        <v>0</v>
      </c>
      <c r="F14203" s="8">
        <v>0</v>
      </c>
      <c r="G14203" s="8">
        <v>17</v>
      </c>
      <c r="H14203" s="8" t="s">
        <v>54044</v>
      </c>
      <c r="I14203" s="8">
        <v>526.6875</v>
      </c>
      <c r="J14203" s="3">
        <f t="shared" si="221"/>
        <v>43749.539641597221</v>
      </c>
    </row>
    <row r="14204" spans="1:10" x14ac:dyDescent="0.25">
      <c r="A14204" s="5" t="s">
        <v>54045</v>
      </c>
      <c r="B14204" s="6">
        <v>393.75</v>
      </c>
      <c r="C14204" s="6">
        <v>20.584240000000001</v>
      </c>
      <c r="D14204" s="6">
        <v>51</v>
      </c>
      <c r="E14204" s="6">
        <v>0</v>
      </c>
      <c r="F14204" s="6">
        <v>0</v>
      </c>
      <c r="G14204" s="6">
        <v>13</v>
      </c>
      <c r="H14204" s="6" t="s">
        <v>54046</v>
      </c>
      <c r="I14204" s="6">
        <v>526.5</v>
      </c>
      <c r="J14204" s="2">
        <f t="shared" si="221"/>
        <v>43749.539725034723</v>
      </c>
    </row>
    <row r="14205" spans="1:10" x14ac:dyDescent="0.25">
      <c r="A14205" s="7" t="s">
        <v>54047</v>
      </c>
      <c r="B14205" s="8">
        <v>393.75</v>
      </c>
      <c r="C14205" s="8">
        <v>20.584240000000001</v>
      </c>
      <c r="D14205" s="8">
        <v>50</v>
      </c>
      <c r="E14205" s="8">
        <v>0</v>
      </c>
      <c r="F14205" s="8">
        <v>0</v>
      </c>
      <c r="G14205" s="8">
        <v>2</v>
      </c>
      <c r="H14205" s="8" t="s">
        <v>54048</v>
      </c>
      <c r="I14205" s="8">
        <v>526.6875</v>
      </c>
      <c r="J14205" s="3">
        <f t="shared" si="221"/>
        <v>43749.539808240741</v>
      </c>
    </row>
    <row r="14206" spans="1:10" x14ac:dyDescent="0.25">
      <c r="A14206" s="5" t="s">
        <v>54049</v>
      </c>
      <c r="B14206" s="6">
        <v>393.75</v>
      </c>
      <c r="C14206" s="6">
        <v>20.531590000000001</v>
      </c>
      <c r="D14206" s="6">
        <v>50</v>
      </c>
      <c r="E14206" s="6">
        <v>0</v>
      </c>
      <c r="F14206" s="6">
        <v>0</v>
      </c>
      <c r="G14206" s="6">
        <v>20</v>
      </c>
      <c r="H14206" s="6" t="s">
        <v>54050</v>
      </c>
      <c r="I14206" s="6">
        <v>526.6875</v>
      </c>
      <c r="J14206" s="2">
        <f t="shared" si="221"/>
        <v>43749.539880104167</v>
      </c>
    </row>
    <row r="14207" spans="1:10" x14ac:dyDescent="0.25">
      <c r="A14207" s="7" t="s">
        <v>54051</v>
      </c>
      <c r="B14207" s="8">
        <v>393.75</v>
      </c>
      <c r="C14207" s="8">
        <v>20.531590000000001</v>
      </c>
      <c r="D14207" s="8">
        <v>50</v>
      </c>
      <c r="E14207" s="8">
        <v>0</v>
      </c>
      <c r="F14207" s="8">
        <v>0</v>
      </c>
      <c r="G14207" s="8">
        <v>24</v>
      </c>
      <c r="H14207" s="8" t="s">
        <v>54052</v>
      </c>
      <c r="I14207" s="8">
        <v>526.6875</v>
      </c>
      <c r="J14207" s="3">
        <f t="shared" si="221"/>
        <v>43749.539963553238</v>
      </c>
    </row>
    <row r="14208" spans="1:10" x14ac:dyDescent="0.25">
      <c r="A14208" s="5" t="s">
        <v>54053</v>
      </c>
      <c r="B14208" s="6">
        <v>393.75</v>
      </c>
      <c r="C14208" s="6">
        <v>20.584240000000001</v>
      </c>
      <c r="D14208" s="6">
        <v>50</v>
      </c>
      <c r="E14208" s="6">
        <v>0</v>
      </c>
      <c r="F14208" s="6">
        <v>0</v>
      </c>
      <c r="G14208" s="6">
        <v>17</v>
      </c>
      <c r="H14208" s="6" t="s">
        <v>54054</v>
      </c>
      <c r="I14208" s="6">
        <v>526.6875</v>
      </c>
      <c r="J14208" s="2">
        <f t="shared" si="221"/>
        <v>43749.540035300925</v>
      </c>
    </row>
    <row r="14209" spans="1:10" x14ac:dyDescent="0.25">
      <c r="A14209" s="7" t="s">
        <v>54055</v>
      </c>
      <c r="B14209" s="8">
        <v>393.75</v>
      </c>
      <c r="C14209" s="8">
        <v>20.584240000000001</v>
      </c>
      <c r="D14209" s="8">
        <v>50</v>
      </c>
      <c r="E14209" s="8">
        <v>0</v>
      </c>
      <c r="F14209" s="8">
        <v>0</v>
      </c>
      <c r="G14209" s="8">
        <v>20</v>
      </c>
      <c r="H14209" s="8" t="s">
        <v>54056</v>
      </c>
      <c r="I14209" s="8">
        <v>526.6875</v>
      </c>
      <c r="J14209" s="3">
        <f t="shared" si="221"/>
        <v>43749.540118645826</v>
      </c>
    </row>
    <row r="14210" spans="1:10" x14ac:dyDescent="0.25">
      <c r="A14210" s="5" t="s">
        <v>54057</v>
      </c>
      <c r="B14210" s="6">
        <v>393.75</v>
      </c>
      <c r="C14210" s="6">
        <v>20.531590000000001</v>
      </c>
      <c r="D14210" s="6">
        <v>50</v>
      </c>
      <c r="E14210" s="6">
        <v>0</v>
      </c>
      <c r="F14210" s="6">
        <v>0</v>
      </c>
      <c r="G14210" s="6">
        <v>22</v>
      </c>
      <c r="H14210" s="6" t="s">
        <v>54058</v>
      </c>
      <c r="I14210" s="6">
        <v>526.6875</v>
      </c>
      <c r="J14210" s="2">
        <f t="shared" ref="J14210:J14273" si="222">(H14210/86400000)+25569+(7/24)</f>
        <v>43749.540202118056</v>
      </c>
    </row>
    <row r="14211" spans="1:10" x14ac:dyDescent="0.25">
      <c r="A14211" s="7" t="s">
        <v>54059</v>
      </c>
      <c r="B14211" s="8">
        <v>393.75</v>
      </c>
      <c r="C14211" s="8">
        <v>20.531590000000001</v>
      </c>
      <c r="D14211" s="8">
        <v>50</v>
      </c>
      <c r="E14211" s="8">
        <v>0</v>
      </c>
      <c r="F14211" s="8">
        <v>0</v>
      </c>
      <c r="G14211" s="8">
        <v>27</v>
      </c>
      <c r="H14211" s="8" t="s">
        <v>54060</v>
      </c>
      <c r="I14211" s="8">
        <v>526.6875</v>
      </c>
      <c r="J14211" s="3">
        <f t="shared" si="222"/>
        <v>43749.540285682866</v>
      </c>
    </row>
    <row r="14212" spans="1:10" x14ac:dyDescent="0.25">
      <c r="A14212" s="5" t="s">
        <v>54061</v>
      </c>
      <c r="B14212" s="6">
        <v>393.75</v>
      </c>
      <c r="C14212" s="6">
        <v>20.531590000000001</v>
      </c>
      <c r="D14212" s="6">
        <v>48</v>
      </c>
      <c r="E14212" s="6">
        <v>0</v>
      </c>
      <c r="F14212" s="6">
        <v>0</v>
      </c>
      <c r="G14212" s="6">
        <v>20</v>
      </c>
      <c r="H14212" s="6" t="s">
        <v>54062</v>
      </c>
      <c r="I14212" s="6">
        <v>526.6875</v>
      </c>
      <c r="J14212" s="2">
        <f t="shared" si="222"/>
        <v>43749.540357326383</v>
      </c>
    </row>
    <row r="14213" spans="1:10" x14ac:dyDescent="0.25">
      <c r="A14213" s="7" t="s">
        <v>54063</v>
      </c>
      <c r="B14213" s="8">
        <v>393.75</v>
      </c>
      <c r="C14213" s="8">
        <v>20.531590000000001</v>
      </c>
      <c r="D14213" s="8">
        <v>48</v>
      </c>
      <c r="E14213" s="8">
        <v>0</v>
      </c>
      <c r="F14213" s="8">
        <v>0</v>
      </c>
      <c r="G14213" s="8">
        <v>9</v>
      </c>
      <c r="H14213" s="8" t="s">
        <v>54064</v>
      </c>
      <c r="I14213" s="8">
        <v>526.5</v>
      </c>
      <c r="J14213" s="3">
        <f t="shared" si="222"/>
        <v>43749.540428738423</v>
      </c>
    </row>
    <row r="14214" spans="1:10" x14ac:dyDescent="0.25">
      <c r="A14214" s="5" t="s">
        <v>54065</v>
      </c>
      <c r="B14214" s="6">
        <v>393.75</v>
      </c>
      <c r="C14214" s="6">
        <v>20.531590000000001</v>
      </c>
      <c r="D14214" s="6">
        <v>48</v>
      </c>
      <c r="E14214" s="6">
        <v>0</v>
      </c>
      <c r="F14214" s="6">
        <v>0</v>
      </c>
      <c r="G14214" s="6">
        <v>11</v>
      </c>
      <c r="H14214" s="6" t="s">
        <v>54066</v>
      </c>
      <c r="I14214" s="6">
        <v>526.6875</v>
      </c>
      <c r="J14214" s="2">
        <f t="shared" si="222"/>
        <v>43749.54051194444</v>
      </c>
    </row>
    <row r="14215" spans="1:10" x14ac:dyDescent="0.25">
      <c r="A14215" s="7" t="s">
        <v>54067</v>
      </c>
      <c r="B14215" s="8">
        <v>393.75</v>
      </c>
      <c r="C14215" s="8">
        <v>20.584240000000001</v>
      </c>
      <c r="D14215" s="8">
        <v>48</v>
      </c>
      <c r="E14215" s="8">
        <v>0</v>
      </c>
      <c r="F14215" s="8">
        <v>0</v>
      </c>
      <c r="G14215" s="8">
        <v>11</v>
      </c>
      <c r="H14215" s="8" t="s">
        <v>54068</v>
      </c>
      <c r="I14215" s="8">
        <v>526.6875</v>
      </c>
      <c r="J14215" s="3">
        <f t="shared" si="222"/>
        <v>43749.540583831018</v>
      </c>
    </row>
    <row r="14216" spans="1:10" x14ac:dyDescent="0.25">
      <c r="A14216" s="5" t="s">
        <v>54069</v>
      </c>
      <c r="B14216" s="6">
        <v>393.75</v>
      </c>
      <c r="C14216" s="6">
        <v>20.584240000000001</v>
      </c>
      <c r="D14216" s="6">
        <v>51</v>
      </c>
      <c r="E14216" s="6">
        <v>0</v>
      </c>
      <c r="F14216" s="6">
        <v>0</v>
      </c>
      <c r="G14216" s="6">
        <v>17</v>
      </c>
      <c r="H14216" s="6" t="s">
        <v>54070</v>
      </c>
      <c r="I14216" s="6">
        <v>526.5</v>
      </c>
      <c r="J14216" s="2">
        <f t="shared" si="222"/>
        <v>43749.540667719906</v>
      </c>
    </row>
    <row r="14217" spans="1:10" x14ac:dyDescent="0.25">
      <c r="A14217" s="7" t="s">
        <v>54071</v>
      </c>
      <c r="B14217" s="8">
        <v>393.75</v>
      </c>
      <c r="C14217" s="8">
        <v>20.531590000000001</v>
      </c>
      <c r="D14217" s="8">
        <v>51</v>
      </c>
      <c r="E14217" s="8">
        <v>0</v>
      </c>
      <c r="F14217" s="8">
        <v>0</v>
      </c>
      <c r="G14217" s="8">
        <v>14</v>
      </c>
      <c r="H14217" s="8" t="s">
        <v>54072</v>
      </c>
      <c r="I14217" s="8">
        <v>526.6875</v>
      </c>
      <c r="J14217" s="3">
        <f t="shared" si="222"/>
        <v>43749.540738900461</v>
      </c>
    </row>
    <row r="14218" spans="1:10" x14ac:dyDescent="0.25">
      <c r="A14218" s="5" t="s">
        <v>54073</v>
      </c>
      <c r="B14218" s="6">
        <v>393.75</v>
      </c>
      <c r="C14218" s="6">
        <v>20.584240000000001</v>
      </c>
      <c r="D14218" s="6">
        <v>51</v>
      </c>
      <c r="E14218" s="6">
        <v>0</v>
      </c>
      <c r="F14218" s="6">
        <v>0</v>
      </c>
      <c r="G14218" s="6">
        <v>14</v>
      </c>
      <c r="H14218" s="6" t="s">
        <v>54074</v>
      </c>
      <c r="I14218" s="6">
        <v>526.6875</v>
      </c>
      <c r="J14218" s="2">
        <f t="shared" si="222"/>
        <v>43749.540810451384</v>
      </c>
    </row>
    <row r="14219" spans="1:10" x14ac:dyDescent="0.25">
      <c r="A14219" s="7" t="s">
        <v>54075</v>
      </c>
      <c r="B14219" s="8">
        <v>393.75</v>
      </c>
      <c r="C14219" s="8">
        <v>20.531590000000001</v>
      </c>
      <c r="D14219" s="8">
        <v>51</v>
      </c>
      <c r="E14219" s="8">
        <v>0</v>
      </c>
      <c r="F14219" s="8">
        <v>0</v>
      </c>
      <c r="G14219" s="8">
        <v>10</v>
      </c>
      <c r="H14219" s="8" t="s">
        <v>54076</v>
      </c>
      <c r="I14219" s="8">
        <v>526.6875</v>
      </c>
      <c r="J14219" s="3">
        <f t="shared" si="222"/>
        <v>43749.54089413194</v>
      </c>
    </row>
    <row r="14220" spans="1:10" x14ac:dyDescent="0.25">
      <c r="A14220" s="5" t="s">
        <v>54077</v>
      </c>
      <c r="B14220" s="6">
        <v>393.75</v>
      </c>
      <c r="C14220" s="6">
        <v>20.478950000000001</v>
      </c>
      <c r="D14220" s="6">
        <v>51</v>
      </c>
      <c r="E14220" s="6">
        <v>0</v>
      </c>
      <c r="F14220" s="6">
        <v>0</v>
      </c>
      <c r="G14220" s="6">
        <v>12</v>
      </c>
      <c r="H14220" s="6" t="s">
        <v>54078</v>
      </c>
      <c r="I14220" s="6">
        <v>526.6875</v>
      </c>
      <c r="J14220" s="2">
        <f t="shared" si="222"/>
        <v>43749.540965173604</v>
      </c>
    </row>
    <row r="14221" spans="1:10" x14ac:dyDescent="0.25">
      <c r="A14221" s="7" t="s">
        <v>54079</v>
      </c>
      <c r="B14221" s="8">
        <v>393.75</v>
      </c>
      <c r="C14221" s="8">
        <v>20.531590000000001</v>
      </c>
      <c r="D14221" s="8">
        <v>51</v>
      </c>
      <c r="E14221" s="8">
        <v>0</v>
      </c>
      <c r="F14221" s="8">
        <v>0</v>
      </c>
      <c r="G14221" s="8">
        <v>9</v>
      </c>
      <c r="H14221" s="8" t="s">
        <v>54080</v>
      </c>
      <c r="I14221" s="8">
        <v>526.6875</v>
      </c>
      <c r="J14221" s="3">
        <f t="shared" si="222"/>
        <v>43749.541049097221</v>
      </c>
    </row>
    <row r="14222" spans="1:10" x14ac:dyDescent="0.25">
      <c r="A14222" s="5" t="s">
        <v>54081</v>
      </c>
      <c r="B14222" s="6">
        <v>393.75</v>
      </c>
      <c r="C14222" s="6">
        <v>20.584240000000001</v>
      </c>
      <c r="D14222" s="6">
        <v>51</v>
      </c>
      <c r="E14222" s="6">
        <v>0</v>
      </c>
      <c r="F14222" s="6">
        <v>0</v>
      </c>
      <c r="G14222" s="6">
        <v>6</v>
      </c>
      <c r="H14222" s="6" t="s">
        <v>54082</v>
      </c>
      <c r="I14222" s="6">
        <v>526.6875</v>
      </c>
      <c r="J14222" s="2">
        <f t="shared" si="222"/>
        <v>43749.541132557868</v>
      </c>
    </row>
    <row r="14223" spans="1:10" x14ac:dyDescent="0.25">
      <c r="A14223" s="7" t="s">
        <v>54083</v>
      </c>
      <c r="B14223" s="8">
        <v>393.75</v>
      </c>
      <c r="C14223" s="8">
        <v>20.478950000000001</v>
      </c>
      <c r="D14223" s="8">
        <v>51</v>
      </c>
      <c r="E14223" s="8">
        <v>0</v>
      </c>
      <c r="F14223" s="8">
        <v>0</v>
      </c>
      <c r="G14223" s="8">
        <v>11</v>
      </c>
      <c r="H14223" s="8" t="s">
        <v>54084</v>
      </c>
      <c r="I14223" s="8">
        <v>526.6875</v>
      </c>
      <c r="J14223" s="3">
        <f t="shared" si="222"/>
        <v>43749.541228043978</v>
      </c>
    </row>
    <row r="14224" spans="1:10" x14ac:dyDescent="0.25">
      <c r="A14224" s="5" t="s">
        <v>54085</v>
      </c>
      <c r="B14224" s="6">
        <v>421.875</v>
      </c>
      <c r="C14224" s="6">
        <v>20.531590000000001</v>
      </c>
      <c r="D14224" s="6">
        <v>51</v>
      </c>
      <c r="E14224" s="6">
        <v>0</v>
      </c>
      <c r="F14224" s="6">
        <v>0</v>
      </c>
      <c r="G14224" s="6">
        <v>18</v>
      </c>
      <c r="H14224" s="6" t="s">
        <v>54086</v>
      </c>
      <c r="I14224" s="6">
        <v>535.3125</v>
      </c>
      <c r="J14224" s="2">
        <f t="shared" si="222"/>
        <v>43749.541311504632</v>
      </c>
    </row>
    <row r="14225" spans="1:10" x14ac:dyDescent="0.25">
      <c r="A14225" s="7" t="s">
        <v>54087</v>
      </c>
      <c r="B14225" s="8">
        <v>393.75</v>
      </c>
      <c r="C14225" s="8">
        <v>20.584240000000001</v>
      </c>
      <c r="D14225" s="8">
        <v>48</v>
      </c>
      <c r="E14225" s="8">
        <v>0</v>
      </c>
      <c r="F14225" s="8">
        <v>0</v>
      </c>
      <c r="G14225" s="8">
        <v>25</v>
      </c>
      <c r="H14225" s="8" t="s">
        <v>54088</v>
      </c>
      <c r="I14225" s="8">
        <v>526.6875</v>
      </c>
      <c r="J14225" s="3">
        <f t="shared" si="222"/>
        <v>43749.541394930558</v>
      </c>
    </row>
    <row r="14226" spans="1:10" x14ac:dyDescent="0.25">
      <c r="A14226" s="5" t="s">
        <v>54089</v>
      </c>
      <c r="B14226" s="6">
        <v>393.75</v>
      </c>
      <c r="C14226" s="6">
        <v>20.531590000000001</v>
      </c>
      <c r="D14226" s="6">
        <v>48</v>
      </c>
      <c r="E14226" s="6">
        <v>0</v>
      </c>
      <c r="F14226" s="6">
        <v>0</v>
      </c>
      <c r="G14226" s="6">
        <v>16</v>
      </c>
      <c r="H14226" s="6" t="s">
        <v>54090</v>
      </c>
      <c r="I14226" s="6">
        <v>526.6875</v>
      </c>
      <c r="J14226" s="2">
        <f t="shared" si="222"/>
        <v>43749.541478726846</v>
      </c>
    </row>
    <row r="14227" spans="1:10" x14ac:dyDescent="0.25">
      <c r="A14227" s="7" t="s">
        <v>54091</v>
      </c>
      <c r="B14227" s="8">
        <v>393.75</v>
      </c>
      <c r="C14227" s="8">
        <v>20.584240000000001</v>
      </c>
      <c r="D14227" s="8">
        <v>49</v>
      </c>
      <c r="E14227" s="8">
        <v>0</v>
      </c>
      <c r="F14227" s="8">
        <v>0</v>
      </c>
      <c r="G14227" s="8">
        <v>20</v>
      </c>
      <c r="H14227" s="8" t="s">
        <v>54092</v>
      </c>
      <c r="I14227" s="8">
        <v>526.6875</v>
      </c>
      <c r="J14227" s="3">
        <f t="shared" si="222"/>
        <v>43749.541579571756</v>
      </c>
    </row>
    <row r="14228" spans="1:10" x14ac:dyDescent="0.25">
      <c r="A14228" s="5" t="s">
        <v>54093</v>
      </c>
      <c r="B14228" s="6">
        <v>415.625</v>
      </c>
      <c r="C14228" s="6">
        <v>20.584240000000001</v>
      </c>
      <c r="D14228" s="6">
        <v>46</v>
      </c>
      <c r="E14228" s="6">
        <v>0</v>
      </c>
      <c r="F14228" s="6">
        <v>0</v>
      </c>
      <c r="G14228" s="6">
        <v>4</v>
      </c>
      <c r="H14228" s="6" t="s">
        <v>54094</v>
      </c>
      <c r="I14228" s="6">
        <v>533.4375</v>
      </c>
      <c r="J14228" s="2">
        <f t="shared" si="222"/>
        <v>43749.541657326386</v>
      </c>
    </row>
    <row r="14229" spans="1:10" x14ac:dyDescent="0.25">
      <c r="A14229" s="7" t="s">
        <v>54095</v>
      </c>
      <c r="B14229" s="8">
        <v>393.75</v>
      </c>
      <c r="C14229" s="8">
        <v>20.531590000000001</v>
      </c>
      <c r="D14229" s="8">
        <v>47</v>
      </c>
      <c r="E14229" s="8">
        <v>0</v>
      </c>
      <c r="F14229" s="8">
        <v>0</v>
      </c>
      <c r="G14229" s="8">
        <v>16</v>
      </c>
      <c r="H14229" s="8" t="s">
        <v>54096</v>
      </c>
      <c r="I14229" s="8">
        <v>526.6875</v>
      </c>
      <c r="J14229" s="3">
        <f t="shared" si="222"/>
        <v>43749.541740879627</v>
      </c>
    </row>
    <row r="14230" spans="1:10" x14ac:dyDescent="0.25">
      <c r="A14230" s="5" t="s">
        <v>54097</v>
      </c>
      <c r="B14230" s="6">
        <v>393.75</v>
      </c>
      <c r="C14230" s="6">
        <v>20.584240000000001</v>
      </c>
      <c r="D14230" s="6">
        <v>49</v>
      </c>
      <c r="E14230" s="6">
        <v>0</v>
      </c>
      <c r="F14230" s="6">
        <v>0</v>
      </c>
      <c r="G14230" s="6">
        <v>13</v>
      </c>
      <c r="H14230" s="6" t="s">
        <v>54098</v>
      </c>
      <c r="I14230" s="6">
        <v>526.5</v>
      </c>
      <c r="J14230" s="2">
        <f t="shared" si="222"/>
        <v>43749.541812071759</v>
      </c>
    </row>
    <row r="14231" spans="1:10" x14ac:dyDescent="0.25">
      <c r="A14231" s="7" t="s">
        <v>54099</v>
      </c>
      <c r="B14231" s="8">
        <v>425</v>
      </c>
      <c r="C14231" s="8">
        <v>20.584240000000001</v>
      </c>
      <c r="D14231" s="8">
        <v>49</v>
      </c>
      <c r="E14231" s="8">
        <v>0</v>
      </c>
      <c r="F14231" s="8">
        <v>0</v>
      </c>
      <c r="G14231" s="8">
        <v>10</v>
      </c>
      <c r="H14231" s="8" t="s">
        <v>54100</v>
      </c>
      <c r="I14231" s="8">
        <v>536.625</v>
      </c>
      <c r="J14231" s="3">
        <f t="shared" si="222"/>
        <v>43749.5418837037</v>
      </c>
    </row>
    <row r="14232" spans="1:10" x14ac:dyDescent="0.25">
      <c r="A14232" s="5" t="s">
        <v>54101</v>
      </c>
      <c r="B14232" s="6">
        <v>393.75</v>
      </c>
      <c r="C14232" s="6">
        <v>20.531590000000001</v>
      </c>
      <c r="D14232" s="6">
        <v>49</v>
      </c>
      <c r="E14232" s="6">
        <v>0</v>
      </c>
      <c r="F14232" s="6">
        <v>0</v>
      </c>
      <c r="G14232" s="6">
        <v>10</v>
      </c>
      <c r="H14232" s="6" t="s">
        <v>54102</v>
      </c>
      <c r="I14232" s="6">
        <v>526.6875</v>
      </c>
      <c r="J14232" s="2">
        <f t="shared" si="222"/>
        <v>43749.54196761574</v>
      </c>
    </row>
    <row r="14233" spans="1:10" x14ac:dyDescent="0.25">
      <c r="A14233" s="7" t="s">
        <v>54103</v>
      </c>
      <c r="B14233" s="8">
        <v>393.75</v>
      </c>
      <c r="C14233" s="8">
        <v>20.584240000000001</v>
      </c>
      <c r="D14233" s="8">
        <v>49</v>
      </c>
      <c r="E14233" s="8">
        <v>0</v>
      </c>
      <c r="F14233" s="8">
        <v>0</v>
      </c>
      <c r="G14233" s="8">
        <v>19</v>
      </c>
      <c r="H14233" s="8" t="s">
        <v>54104</v>
      </c>
      <c r="I14233" s="8">
        <v>526.6875</v>
      </c>
      <c r="J14233" s="3">
        <f t="shared" si="222"/>
        <v>43749.542063437497</v>
      </c>
    </row>
    <row r="14234" spans="1:10" x14ac:dyDescent="0.25">
      <c r="A14234" s="5" t="s">
        <v>54105</v>
      </c>
      <c r="B14234" s="6">
        <v>393.75</v>
      </c>
      <c r="C14234" s="6">
        <v>20.584240000000001</v>
      </c>
      <c r="D14234" s="6">
        <v>49</v>
      </c>
      <c r="E14234" s="6">
        <v>0</v>
      </c>
      <c r="F14234" s="6">
        <v>0</v>
      </c>
      <c r="G14234" s="6">
        <v>19</v>
      </c>
      <c r="H14234" s="6" t="s">
        <v>54106</v>
      </c>
      <c r="I14234" s="6">
        <v>526.6875</v>
      </c>
      <c r="J14234" s="2">
        <f t="shared" si="222"/>
        <v>43749.542146076383</v>
      </c>
    </row>
    <row r="14235" spans="1:10" x14ac:dyDescent="0.25">
      <c r="A14235" s="7" t="s">
        <v>54107</v>
      </c>
      <c r="B14235" s="8">
        <v>393.75</v>
      </c>
      <c r="C14235" s="8">
        <v>20.584240000000001</v>
      </c>
      <c r="D14235" s="8">
        <v>50</v>
      </c>
      <c r="E14235" s="8">
        <v>0</v>
      </c>
      <c r="F14235" s="8">
        <v>0</v>
      </c>
      <c r="G14235" s="8">
        <v>15</v>
      </c>
      <c r="H14235" s="8" t="s">
        <v>54108</v>
      </c>
      <c r="I14235" s="8">
        <v>526.6875</v>
      </c>
      <c r="J14235" s="3">
        <f t="shared" si="222"/>
        <v>43749.542217974529</v>
      </c>
    </row>
    <row r="14236" spans="1:10" x14ac:dyDescent="0.25">
      <c r="A14236" s="5" t="s">
        <v>54109</v>
      </c>
      <c r="B14236" s="6">
        <v>421.875</v>
      </c>
      <c r="C14236" s="6">
        <v>20.531590000000001</v>
      </c>
      <c r="D14236" s="6">
        <v>50</v>
      </c>
      <c r="E14236" s="6">
        <v>0</v>
      </c>
      <c r="F14236" s="6">
        <v>0</v>
      </c>
      <c r="G14236" s="6">
        <v>14</v>
      </c>
      <c r="H14236" s="6" t="s">
        <v>54110</v>
      </c>
      <c r="I14236" s="6">
        <v>535.875</v>
      </c>
      <c r="J14236" s="2">
        <f t="shared" si="222"/>
        <v>43749.54230152777</v>
      </c>
    </row>
    <row r="14237" spans="1:10" x14ac:dyDescent="0.25">
      <c r="A14237" s="7" t="s">
        <v>54111</v>
      </c>
      <c r="B14237" s="8">
        <v>393.75</v>
      </c>
      <c r="C14237" s="8">
        <v>20.531590000000001</v>
      </c>
      <c r="D14237" s="8">
        <v>50</v>
      </c>
      <c r="E14237" s="8">
        <v>0</v>
      </c>
      <c r="F14237" s="8">
        <v>0</v>
      </c>
      <c r="G14237" s="8">
        <v>12</v>
      </c>
      <c r="H14237" s="8" t="s">
        <v>54112</v>
      </c>
      <c r="I14237" s="8">
        <v>526.6875</v>
      </c>
      <c r="J14237" s="3">
        <f t="shared" si="222"/>
        <v>43749.542373055556</v>
      </c>
    </row>
    <row r="14238" spans="1:10" x14ac:dyDescent="0.25">
      <c r="A14238" s="5" t="s">
        <v>54113</v>
      </c>
      <c r="B14238" s="6">
        <v>393.75</v>
      </c>
      <c r="C14238" s="6">
        <v>20.584240000000001</v>
      </c>
      <c r="D14238" s="6">
        <v>51</v>
      </c>
      <c r="E14238" s="6">
        <v>0</v>
      </c>
      <c r="F14238" s="6">
        <v>0</v>
      </c>
      <c r="G14238" s="6">
        <v>10</v>
      </c>
      <c r="H14238" s="6" t="s">
        <v>54114</v>
      </c>
      <c r="I14238" s="6">
        <v>526.6875</v>
      </c>
      <c r="J14238" s="2">
        <f t="shared" si="222"/>
        <v>43749.542456504627</v>
      </c>
    </row>
    <row r="14239" spans="1:10" x14ac:dyDescent="0.25">
      <c r="A14239" s="7" t="s">
        <v>54115</v>
      </c>
      <c r="B14239" s="8">
        <v>412.5</v>
      </c>
      <c r="C14239" s="8">
        <v>20.584240000000001</v>
      </c>
      <c r="D14239" s="8">
        <v>52</v>
      </c>
      <c r="E14239" s="8">
        <v>0</v>
      </c>
      <c r="F14239" s="8">
        <v>0</v>
      </c>
      <c r="G14239" s="8">
        <v>11</v>
      </c>
      <c r="H14239" s="8" t="s">
        <v>54116</v>
      </c>
      <c r="I14239" s="8">
        <v>532.3125</v>
      </c>
      <c r="J14239" s="3">
        <f t="shared" si="222"/>
        <v>43749.542540081013</v>
      </c>
    </row>
    <row r="14240" spans="1:10" x14ac:dyDescent="0.25">
      <c r="A14240" s="5" t="s">
        <v>54117</v>
      </c>
      <c r="B14240" s="6">
        <v>393.75</v>
      </c>
      <c r="C14240" s="6">
        <v>20.478950000000001</v>
      </c>
      <c r="D14240" s="6">
        <v>52</v>
      </c>
      <c r="E14240" s="6">
        <v>0</v>
      </c>
      <c r="F14240" s="6">
        <v>0</v>
      </c>
      <c r="G14240" s="6">
        <v>1</v>
      </c>
      <c r="H14240" s="6" t="s">
        <v>54118</v>
      </c>
      <c r="I14240" s="6">
        <v>526.6875</v>
      </c>
      <c r="J14240" s="2">
        <f t="shared" si="222"/>
        <v>43749.542627800918</v>
      </c>
    </row>
    <row r="14241" spans="1:10" x14ac:dyDescent="0.25">
      <c r="A14241" s="7" t="s">
        <v>54119</v>
      </c>
      <c r="B14241" s="8">
        <v>418.75</v>
      </c>
      <c r="C14241" s="8">
        <v>20.531590000000001</v>
      </c>
      <c r="D14241" s="8">
        <v>52</v>
      </c>
      <c r="E14241" s="8">
        <v>0</v>
      </c>
      <c r="F14241" s="8">
        <v>0</v>
      </c>
      <c r="G14241" s="8">
        <v>10</v>
      </c>
      <c r="H14241" s="8" t="s">
        <v>54120</v>
      </c>
      <c r="I14241" s="8">
        <v>534.9375</v>
      </c>
      <c r="J14241" s="3">
        <f t="shared" si="222"/>
        <v>43749.542706967586</v>
      </c>
    </row>
    <row r="14242" spans="1:10" x14ac:dyDescent="0.25">
      <c r="A14242" s="5" t="s">
        <v>54121</v>
      </c>
      <c r="B14242" s="6">
        <v>393.75</v>
      </c>
      <c r="C14242" s="6">
        <v>20.584240000000001</v>
      </c>
      <c r="D14242" s="6">
        <v>52</v>
      </c>
      <c r="E14242" s="6">
        <v>0</v>
      </c>
      <c r="F14242" s="6">
        <v>0</v>
      </c>
      <c r="G14242" s="6">
        <v>11</v>
      </c>
      <c r="H14242" s="6" t="s">
        <v>54122</v>
      </c>
      <c r="I14242" s="6">
        <v>526.6875</v>
      </c>
      <c r="J14242" s="2">
        <f t="shared" si="222"/>
        <v>43749.542790543979</v>
      </c>
    </row>
    <row r="14243" spans="1:10" x14ac:dyDescent="0.25">
      <c r="A14243" s="7" t="s">
        <v>54123</v>
      </c>
      <c r="B14243" s="8">
        <v>393.75</v>
      </c>
      <c r="C14243" s="8">
        <v>20.531590000000001</v>
      </c>
      <c r="D14243" s="8">
        <v>52</v>
      </c>
      <c r="E14243" s="8">
        <v>0</v>
      </c>
      <c r="F14243" s="8">
        <v>0</v>
      </c>
      <c r="G14243" s="8">
        <v>0</v>
      </c>
      <c r="H14243" s="8" t="s">
        <v>54124</v>
      </c>
      <c r="I14243" s="8">
        <v>526.6875</v>
      </c>
      <c r="J14243" s="3">
        <f t="shared" si="222"/>
        <v>43749.542883715279</v>
      </c>
    </row>
    <row r="14244" spans="1:10" x14ac:dyDescent="0.25">
      <c r="A14244" s="5" t="s">
        <v>54125</v>
      </c>
      <c r="B14244" s="6">
        <v>393.75</v>
      </c>
      <c r="C14244" s="6">
        <v>20.584240000000001</v>
      </c>
      <c r="D14244" s="6">
        <v>51</v>
      </c>
      <c r="E14244" s="6">
        <v>0</v>
      </c>
      <c r="F14244" s="6">
        <v>0</v>
      </c>
      <c r="G14244" s="6">
        <v>7</v>
      </c>
      <c r="H14244" s="6" t="s">
        <v>54126</v>
      </c>
      <c r="I14244" s="6">
        <v>526.6875</v>
      </c>
      <c r="J14244" s="2">
        <f t="shared" si="222"/>
        <v>43749.542969456015</v>
      </c>
    </row>
    <row r="14245" spans="1:10" x14ac:dyDescent="0.25">
      <c r="A14245" s="7" t="s">
        <v>54127</v>
      </c>
      <c r="B14245" s="8">
        <v>393.75</v>
      </c>
      <c r="C14245" s="8">
        <v>20.531590000000001</v>
      </c>
      <c r="D14245" s="8">
        <v>51</v>
      </c>
      <c r="E14245" s="8">
        <v>0</v>
      </c>
      <c r="F14245" s="8">
        <v>0</v>
      </c>
      <c r="G14245" s="8">
        <v>10</v>
      </c>
      <c r="H14245" s="8" t="s">
        <v>54128</v>
      </c>
      <c r="I14245" s="8">
        <v>526.6875</v>
      </c>
      <c r="J14245" s="3">
        <f t="shared" si="222"/>
        <v>43749.543052685178</v>
      </c>
    </row>
    <row r="14246" spans="1:10" x14ac:dyDescent="0.25">
      <c r="A14246" s="5" t="s">
        <v>54129</v>
      </c>
      <c r="B14246" s="6">
        <v>393.75</v>
      </c>
      <c r="C14246" s="6">
        <v>20.531590000000001</v>
      </c>
      <c r="D14246" s="6">
        <v>51</v>
      </c>
      <c r="E14246" s="6">
        <v>0</v>
      </c>
      <c r="F14246" s="6">
        <v>0</v>
      </c>
      <c r="G14246" s="6">
        <v>11</v>
      </c>
      <c r="H14246" s="6" t="s">
        <v>54130</v>
      </c>
      <c r="I14246" s="6">
        <v>526.6875</v>
      </c>
      <c r="J14246" s="2">
        <f t="shared" si="222"/>
        <v>43749.543124456017</v>
      </c>
    </row>
    <row r="14247" spans="1:10" x14ac:dyDescent="0.25">
      <c r="A14247" s="7" t="s">
        <v>54131</v>
      </c>
      <c r="B14247" s="8">
        <v>393.75</v>
      </c>
      <c r="C14247" s="8">
        <v>20.584240000000001</v>
      </c>
      <c r="D14247" s="8">
        <v>45</v>
      </c>
      <c r="E14247" s="8">
        <v>0</v>
      </c>
      <c r="F14247" s="8">
        <v>0</v>
      </c>
      <c r="G14247" s="8">
        <v>1</v>
      </c>
      <c r="H14247" s="8" t="s">
        <v>54132</v>
      </c>
      <c r="I14247" s="8">
        <v>526.6875</v>
      </c>
      <c r="J14247" s="3">
        <f t="shared" si="222"/>
        <v>43749.543208020834</v>
      </c>
    </row>
    <row r="14248" spans="1:10" x14ac:dyDescent="0.25">
      <c r="A14248" s="5" t="s">
        <v>54133</v>
      </c>
      <c r="B14248" s="6">
        <v>425</v>
      </c>
      <c r="C14248" s="6">
        <v>20.584240000000001</v>
      </c>
      <c r="D14248" s="6">
        <v>48</v>
      </c>
      <c r="E14248" s="6">
        <v>0</v>
      </c>
      <c r="F14248" s="6">
        <v>0</v>
      </c>
      <c r="G14248" s="6">
        <v>6</v>
      </c>
      <c r="H14248" s="6" t="s">
        <v>54134</v>
      </c>
      <c r="I14248" s="6">
        <v>536.625</v>
      </c>
      <c r="J14248" s="2">
        <f t="shared" si="222"/>
        <v>43749.543291469905</v>
      </c>
    </row>
    <row r="14249" spans="1:10" x14ac:dyDescent="0.25">
      <c r="A14249" s="7" t="s">
        <v>54135</v>
      </c>
      <c r="B14249" s="8">
        <v>393.75</v>
      </c>
      <c r="C14249" s="8">
        <v>20.478950000000001</v>
      </c>
      <c r="D14249" s="8">
        <v>48</v>
      </c>
      <c r="E14249" s="8">
        <v>0</v>
      </c>
      <c r="F14249" s="8">
        <v>0</v>
      </c>
      <c r="G14249" s="8">
        <v>0</v>
      </c>
      <c r="H14249" s="8" t="s">
        <v>54136</v>
      </c>
      <c r="I14249" s="8">
        <v>526.6875</v>
      </c>
      <c r="J14249" s="3">
        <f t="shared" si="222"/>
        <v>43749.543374953697</v>
      </c>
    </row>
    <row r="14250" spans="1:10" x14ac:dyDescent="0.25">
      <c r="A14250" s="5" t="s">
        <v>54137</v>
      </c>
      <c r="B14250" s="6">
        <v>393.75</v>
      </c>
      <c r="C14250" s="6">
        <v>20.584240000000001</v>
      </c>
      <c r="D14250" s="6">
        <v>49</v>
      </c>
      <c r="E14250" s="6">
        <v>0</v>
      </c>
      <c r="F14250" s="6">
        <v>0</v>
      </c>
      <c r="G14250" s="6">
        <v>0</v>
      </c>
      <c r="H14250" s="6" t="s">
        <v>54138</v>
      </c>
      <c r="I14250" s="6">
        <v>526.6875</v>
      </c>
      <c r="J14250" s="2">
        <f t="shared" si="222"/>
        <v>43749.543458472217</v>
      </c>
    </row>
    <row r="14251" spans="1:10" x14ac:dyDescent="0.25">
      <c r="A14251" s="7" t="s">
        <v>54139</v>
      </c>
      <c r="B14251" s="8">
        <v>393.75</v>
      </c>
      <c r="C14251" s="8">
        <v>20.531590000000001</v>
      </c>
      <c r="D14251" s="8">
        <v>49</v>
      </c>
      <c r="E14251" s="8">
        <v>0</v>
      </c>
      <c r="F14251" s="8">
        <v>0</v>
      </c>
      <c r="G14251" s="8">
        <v>1</v>
      </c>
      <c r="H14251" s="8" t="s">
        <v>54140</v>
      </c>
      <c r="I14251" s="8">
        <v>526.6875</v>
      </c>
      <c r="J14251" s="3">
        <f t="shared" si="222"/>
        <v>43749.543541689811</v>
      </c>
    </row>
    <row r="14252" spans="1:10" x14ac:dyDescent="0.25">
      <c r="A14252" s="5" t="s">
        <v>54141</v>
      </c>
      <c r="B14252" s="6">
        <v>393.75</v>
      </c>
      <c r="C14252" s="6">
        <v>20.584240000000001</v>
      </c>
      <c r="D14252" s="6">
        <v>49</v>
      </c>
      <c r="E14252" s="6">
        <v>0</v>
      </c>
      <c r="F14252" s="6">
        <v>0</v>
      </c>
      <c r="G14252" s="6">
        <v>0</v>
      </c>
      <c r="H14252" s="6" t="s">
        <v>54142</v>
      </c>
      <c r="I14252" s="6">
        <v>526.6875</v>
      </c>
      <c r="J14252" s="2">
        <f t="shared" si="222"/>
        <v>43749.543613472219</v>
      </c>
    </row>
    <row r="14253" spans="1:10" x14ac:dyDescent="0.25">
      <c r="A14253" s="7" t="s">
        <v>54143</v>
      </c>
      <c r="B14253" s="8">
        <v>393.75</v>
      </c>
      <c r="C14253" s="8">
        <v>20.478950000000001</v>
      </c>
      <c r="D14253" s="8">
        <v>48</v>
      </c>
      <c r="E14253" s="8">
        <v>0</v>
      </c>
      <c r="F14253" s="8">
        <v>0</v>
      </c>
      <c r="G14253" s="8">
        <v>0</v>
      </c>
      <c r="H14253" s="8" t="s">
        <v>54144</v>
      </c>
      <c r="I14253" s="8">
        <v>526.6875</v>
      </c>
      <c r="J14253" s="3">
        <f t="shared" si="222"/>
        <v>43749.543709074067</v>
      </c>
    </row>
    <row r="14254" spans="1:10" x14ac:dyDescent="0.25">
      <c r="A14254" s="5" t="s">
        <v>54145</v>
      </c>
      <c r="B14254" s="6">
        <v>393.75</v>
      </c>
      <c r="C14254" s="6">
        <v>20.531590000000001</v>
      </c>
      <c r="D14254" s="6">
        <v>49</v>
      </c>
      <c r="E14254" s="6">
        <v>0</v>
      </c>
      <c r="F14254" s="6">
        <v>0</v>
      </c>
      <c r="G14254" s="6">
        <v>0</v>
      </c>
      <c r="H14254" s="6" t="s">
        <v>54146</v>
      </c>
      <c r="I14254" s="6">
        <v>526.6875</v>
      </c>
      <c r="J14254" s="2">
        <f t="shared" si="222"/>
        <v>43749.543780578701</v>
      </c>
    </row>
    <row r="14255" spans="1:10" x14ac:dyDescent="0.25">
      <c r="A14255" s="7" t="s">
        <v>54147</v>
      </c>
      <c r="B14255" s="8">
        <v>393.75</v>
      </c>
      <c r="C14255" s="8">
        <v>20.584240000000001</v>
      </c>
      <c r="D14255" s="8">
        <v>50</v>
      </c>
      <c r="E14255" s="8">
        <v>0</v>
      </c>
      <c r="F14255" s="8">
        <v>0</v>
      </c>
      <c r="G14255" s="8">
        <v>0</v>
      </c>
      <c r="H14255" s="8" t="s">
        <v>54148</v>
      </c>
      <c r="I14255" s="8">
        <v>526.6875</v>
      </c>
      <c r="J14255" s="3">
        <f t="shared" si="222"/>
        <v>43749.54386380787</v>
      </c>
    </row>
    <row r="14256" spans="1:10" x14ac:dyDescent="0.25">
      <c r="A14256" s="5" t="s">
        <v>54149</v>
      </c>
      <c r="B14256" s="6">
        <v>393.75</v>
      </c>
      <c r="C14256" s="6">
        <v>20.584240000000001</v>
      </c>
      <c r="D14256" s="6">
        <v>50</v>
      </c>
      <c r="E14256" s="6">
        <v>0</v>
      </c>
      <c r="F14256" s="6">
        <v>0</v>
      </c>
      <c r="G14256" s="6">
        <v>0</v>
      </c>
      <c r="H14256" s="6" t="s">
        <v>54150</v>
      </c>
      <c r="I14256" s="6">
        <v>526.6875</v>
      </c>
      <c r="J14256" s="2">
        <f t="shared" si="222"/>
        <v>43749.543935462956</v>
      </c>
    </row>
    <row r="14257" spans="1:10" x14ac:dyDescent="0.25">
      <c r="A14257" s="7" t="s">
        <v>54151</v>
      </c>
      <c r="B14257" s="8">
        <v>393.75</v>
      </c>
      <c r="C14257" s="8">
        <v>20.478950000000001</v>
      </c>
      <c r="D14257" s="8">
        <v>53</v>
      </c>
      <c r="E14257" s="8">
        <v>0</v>
      </c>
      <c r="F14257" s="8">
        <v>0</v>
      </c>
      <c r="G14257" s="8">
        <v>0</v>
      </c>
      <c r="H14257" s="8" t="s">
        <v>54152</v>
      </c>
      <c r="I14257" s="8">
        <v>526.6875</v>
      </c>
      <c r="J14257" s="3">
        <f t="shared" si="222"/>
        <v>43749.544019120367</v>
      </c>
    </row>
    <row r="14258" spans="1:10" x14ac:dyDescent="0.25">
      <c r="A14258" s="5" t="s">
        <v>54153</v>
      </c>
      <c r="B14258" s="6">
        <v>393.75</v>
      </c>
      <c r="C14258" s="6">
        <v>20.531590000000001</v>
      </c>
      <c r="D14258" s="6">
        <v>51</v>
      </c>
      <c r="E14258" s="6">
        <v>0</v>
      </c>
      <c r="F14258" s="6">
        <v>0</v>
      </c>
      <c r="G14258" s="6">
        <v>0</v>
      </c>
      <c r="H14258" s="6" t="s">
        <v>54154</v>
      </c>
      <c r="I14258" s="6">
        <v>526.6875</v>
      </c>
      <c r="J14258" s="2">
        <f t="shared" si="222"/>
        <v>43749.544090763891</v>
      </c>
    </row>
    <row r="14259" spans="1:10" x14ac:dyDescent="0.25">
      <c r="A14259" s="7" t="s">
        <v>54155</v>
      </c>
      <c r="B14259" s="8">
        <v>393.75</v>
      </c>
      <c r="C14259" s="8">
        <v>20.531590000000001</v>
      </c>
      <c r="D14259" s="8">
        <v>51</v>
      </c>
      <c r="E14259" s="8">
        <v>0</v>
      </c>
      <c r="F14259" s="8">
        <v>0</v>
      </c>
      <c r="G14259" s="8">
        <v>3</v>
      </c>
      <c r="H14259" s="8" t="s">
        <v>54156</v>
      </c>
      <c r="I14259" s="8">
        <v>526.6875</v>
      </c>
      <c r="J14259" s="3">
        <f t="shared" si="222"/>
        <v>43749.544175706011</v>
      </c>
    </row>
    <row r="14260" spans="1:10" x14ac:dyDescent="0.25">
      <c r="A14260" s="5" t="s">
        <v>54157</v>
      </c>
      <c r="B14260" s="6">
        <v>393.75</v>
      </c>
      <c r="C14260" s="6">
        <v>20.531590000000001</v>
      </c>
      <c r="D14260" s="6">
        <v>52</v>
      </c>
      <c r="E14260" s="6">
        <v>0</v>
      </c>
      <c r="F14260" s="6">
        <v>0</v>
      </c>
      <c r="G14260" s="6">
        <v>0</v>
      </c>
      <c r="H14260" s="6" t="s">
        <v>54158</v>
      </c>
      <c r="I14260" s="6">
        <v>526.6875</v>
      </c>
      <c r="J14260" s="2">
        <f t="shared" si="222"/>
        <v>43749.54425767361</v>
      </c>
    </row>
    <row r="14261" spans="1:10" x14ac:dyDescent="0.25">
      <c r="A14261" s="7" t="s">
        <v>54159</v>
      </c>
      <c r="B14261" s="8">
        <v>412.5</v>
      </c>
      <c r="C14261" s="8">
        <v>20.584240000000001</v>
      </c>
      <c r="D14261" s="8">
        <v>52</v>
      </c>
      <c r="E14261" s="8">
        <v>0</v>
      </c>
      <c r="F14261" s="8">
        <v>0</v>
      </c>
      <c r="G14261" s="8">
        <v>1</v>
      </c>
      <c r="H14261" s="8" t="s">
        <v>54160</v>
      </c>
      <c r="I14261" s="8">
        <v>532.3125</v>
      </c>
      <c r="J14261" s="3">
        <f t="shared" si="222"/>
        <v>43749.544341111112</v>
      </c>
    </row>
    <row r="14262" spans="1:10" x14ac:dyDescent="0.25">
      <c r="A14262" s="5" t="s">
        <v>54161</v>
      </c>
      <c r="B14262" s="6">
        <v>393.75</v>
      </c>
      <c r="C14262" s="6">
        <v>20.531590000000001</v>
      </c>
      <c r="D14262" s="6">
        <v>52</v>
      </c>
      <c r="E14262" s="6">
        <v>0</v>
      </c>
      <c r="F14262" s="6">
        <v>0</v>
      </c>
      <c r="G14262" s="6">
        <v>3</v>
      </c>
      <c r="H14262" s="6" t="s">
        <v>54162</v>
      </c>
      <c r="I14262" s="6">
        <v>526.6875</v>
      </c>
      <c r="J14262" s="2">
        <f t="shared" si="222"/>
        <v>43749.544424548607</v>
      </c>
    </row>
    <row r="14263" spans="1:10" x14ac:dyDescent="0.25">
      <c r="A14263" s="7" t="s">
        <v>54163</v>
      </c>
      <c r="B14263" s="8">
        <v>393.75</v>
      </c>
      <c r="C14263" s="8">
        <v>20.531590000000001</v>
      </c>
      <c r="D14263" s="8">
        <v>52</v>
      </c>
      <c r="E14263" s="8">
        <v>0</v>
      </c>
      <c r="F14263" s="8">
        <v>0</v>
      </c>
      <c r="G14263" s="8">
        <v>7</v>
      </c>
      <c r="H14263" s="8" t="s">
        <v>54164</v>
      </c>
      <c r="I14263" s="8">
        <v>526.6875</v>
      </c>
      <c r="J14263" s="3">
        <f t="shared" si="222"/>
        <v>43749.544508368053</v>
      </c>
    </row>
    <row r="14264" spans="1:10" x14ac:dyDescent="0.25">
      <c r="A14264" s="5" t="s">
        <v>54165</v>
      </c>
      <c r="B14264" s="6">
        <v>393.75</v>
      </c>
      <c r="C14264" s="6">
        <v>20.584240000000001</v>
      </c>
      <c r="D14264" s="6">
        <v>52</v>
      </c>
      <c r="E14264" s="6">
        <v>0</v>
      </c>
      <c r="F14264" s="6">
        <v>0</v>
      </c>
      <c r="G14264" s="6">
        <v>1</v>
      </c>
      <c r="H14264" s="6" t="s">
        <v>54166</v>
      </c>
      <c r="I14264" s="6">
        <v>526.6875</v>
      </c>
      <c r="J14264" s="2">
        <f t="shared" si="222"/>
        <v>43749.544591678241</v>
      </c>
    </row>
    <row r="14265" spans="1:10" x14ac:dyDescent="0.25">
      <c r="A14265" s="7" t="s">
        <v>54167</v>
      </c>
      <c r="B14265" s="8">
        <v>393.75</v>
      </c>
      <c r="C14265" s="8">
        <v>20.531590000000001</v>
      </c>
      <c r="D14265" s="8">
        <v>51</v>
      </c>
      <c r="E14265" s="8">
        <v>0</v>
      </c>
      <c r="F14265" s="8">
        <v>0</v>
      </c>
      <c r="G14265" s="8">
        <v>1</v>
      </c>
      <c r="H14265" s="8" t="s">
        <v>54168</v>
      </c>
      <c r="I14265" s="8">
        <v>526.6875</v>
      </c>
      <c r="J14265" s="3">
        <f t="shared" si="222"/>
        <v>43749.54467491898</v>
      </c>
    </row>
    <row r="14266" spans="1:10" x14ac:dyDescent="0.25">
      <c r="A14266" s="5" t="s">
        <v>54169</v>
      </c>
      <c r="B14266" s="6">
        <v>393.75</v>
      </c>
      <c r="C14266" s="6">
        <v>20.584240000000001</v>
      </c>
      <c r="D14266" s="6">
        <v>51</v>
      </c>
      <c r="E14266" s="6">
        <v>0</v>
      </c>
      <c r="F14266" s="6">
        <v>0</v>
      </c>
      <c r="G14266" s="6">
        <v>9</v>
      </c>
      <c r="H14266" s="6" t="s">
        <v>54170</v>
      </c>
      <c r="I14266" s="6">
        <v>526.6875</v>
      </c>
      <c r="J14266" s="2">
        <f t="shared" si="222"/>
        <v>43749.544746678243</v>
      </c>
    </row>
    <row r="14267" spans="1:10" x14ac:dyDescent="0.25">
      <c r="A14267" s="7" t="s">
        <v>54171</v>
      </c>
      <c r="B14267" s="8">
        <v>393.75</v>
      </c>
      <c r="C14267" s="8">
        <v>20.531590000000001</v>
      </c>
      <c r="D14267" s="8">
        <v>49</v>
      </c>
      <c r="E14267" s="8">
        <v>0</v>
      </c>
      <c r="F14267" s="8">
        <v>0</v>
      </c>
      <c r="G14267" s="8">
        <v>11</v>
      </c>
      <c r="H14267" s="8" t="s">
        <v>54172</v>
      </c>
      <c r="I14267" s="8">
        <v>526.6875</v>
      </c>
      <c r="J14267" s="3">
        <f t="shared" si="222"/>
        <v>43749.544842222218</v>
      </c>
    </row>
    <row r="14268" spans="1:10" x14ac:dyDescent="0.25">
      <c r="A14268" s="5" t="s">
        <v>54173</v>
      </c>
      <c r="B14268" s="6">
        <v>412.5</v>
      </c>
      <c r="C14268" s="6">
        <v>20.584240000000001</v>
      </c>
      <c r="D14268" s="6">
        <v>49</v>
      </c>
      <c r="E14268" s="6">
        <v>0</v>
      </c>
      <c r="F14268" s="6">
        <v>0</v>
      </c>
      <c r="G14268" s="6">
        <v>12</v>
      </c>
      <c r="H14268" s="6" t="s">
        <v>54174</v>
      </c>
      <c r="I14268" s="6">
        <v>532.3125</v>
      </c>
      <c r="J14268" s="2">
        <f t="shared" si="222"/>
        <v>43749.544913645826</v>
      </c>
    </row>
    <row r="14269" spans="1:10" x14ac:dyDescent="0.25">
      <c r="A14269" s="7" t="s">
        <v>54175</v>
      </c>
      <c r="B14269" s="8">
        <v>393.75</v>
      </c>
      <c r="C14269" s="8">
        <v>20.531590000000001</v>
      </c>
      <c r="D14269" s="8">
        <v>50</v>
      </c>
      <c r="E14269" s="8">
        <v>0</v>
      </c>
      <c r="F14269" s="8">
        <v>0</v>
      </c>
      <c r="G14269" s="8">
        <v>6</v>
      </c>
      <c r="H14269" s="8" t="s">
        <v>54176</v>
      </c>
      <c r="I14269" s="8">
        <v>526.6875</v>
      </c>
      <c r="J14269" s="3">
        <f t="shared" si="222"/>
        <v>43749.544997187499</v>
      </c>
    </row>
    <row r="14270" spans="1:10" x14ac:dyDescent="0.25">
      <c r="A14270" s="5" t="s">
        <v>54177</v>
      </c>
      <c r="B14270" s="6">
        <v>393.75</v>
      </c>
      <c r="C14270" s="6">
        <v>20.531590000000001</v>
      </c>
      <c r="D14270" s="6">
        <v>59</v>
      </c>
      <c r="E14270" s="6">
        <v>0</v>
      </c>
      <c r="F14270" s="6">
        <v>0</v>
      </c>
      <c r="G14270" s="6">
        <v>14</v>
      </c>
      <c r="H14270" s="6" t="s">
        <v>54178</v>
      </c>
      <c r="I14270" s="6">
        <v>526.6875</v>
      </c>
      <c r="J14270" s="2">
        <f t="shared" si="222"/>
        <v>43749.545068831016</v>
      </c>
    </row>
    <row r="14271" spans="1:10" x14ac:dyDescent="0.25">
      <c r="A14271" s="7" t="s">
        <v>54179</v>
      </c>
      <c r="B14271" s="8">
        <v>415.625</v>
      </c>
      <c r="C14271" s="8">
        <v>20.584240000000001</v>
      </c>
      <c r="D14271" s="8">
        <v>55</v>
      </c>
      <c r="E14271" s="8">
        <v>0</v>
      </c>
      <c r="F14271" s="8">
        <v>0</v>
      </c>
      <c r="G14271" s="8">
        <v>2</v>
      </c>
      <c r="H14271" s="8" t="s">
        <v>54180</v>
      </c>
      <c r="I14271" s="8">
        <v>533.0625</v>
      </c>
      <c r="J14271" s="3">
        <f t="shared" si="222"/>
        <v>43749.545152175924</v>
      </c>
    </row>
    <row r="14272" spans="1:10" x14ac:dyDescent="0.25">
      <c r="A14272" s="5" t="s">
        <v>54181</v>
      </c>
      <c r="B14272" s="6">
        <v>393.75</v>
      </c>
      <c r="C14272" s="6">
        <v>20.531590000000001</v>
      </c>
      <c r="D14272" s="6">
        <v>55</v>
      </c>
      <c r="E14272" s="6">
        <v>0</v>
      </c>
      <c r="F14272" s="6">
        <v>0</v>
      </c>
      <c r="G14272" s="6">
        <v>9</v>
      </c>
      <c r="H14272" s="6" t="s">
        <v>54182</v>
      </c>
      <c r="I14272" s="6">
        <v>526.6875</v>
      </c>
      <c r="J14272" s="2">
        <f t="shared" si="222"/>
        <v>43749.545235740741</v>
      </c>
    </row>
    <row r="14273" spans="1:10" x14ac:dyDescent="0.25">
      <c r="A14273" s="7" t="s">
        <v>54183</v>
      </c>
      <c r="B14273" s="8">
        <v>393.75</v>
      </c>
      <c r="C14273" s="8">
        <v>20.531590000000001</v>
      </c>
      <c r="D14273" s="8">
        <v>51</v>
      </c>
      <c r="E14273" s="8">
        <v>0</v>
      </c>
      <c r="F14273" s="8">
        <v>0</v>
      </c>
      <c r="G14273" s="8">
        <v>15</v>
      </c>
      <c r="H14273" s="8" t="s">
        <v>54184</v>
      </c>
      <c r="I14273" s="8">
        <v>526.6875</v>
      </c>
      <c r="J14273" s="3">
        <f t="shared" si="222"/>
        <v>43749.545319317127</v>
      </c>
    </row>
    <row r="14274" spans="1:10" x14ac:dyDescent="0.25">
      <c r="A14274" s="5" t="s">
        <v>54185</v>
      </c>
      <c r="B14274" s="6">
        <v>393.75</v>
      </c>
      <c r="C14274" s="6">
        <v>20.531590000000001</v>
      </c>
      <c r="D14274" s="6">
        <v>51</v>
      </c>
      <c r="E14274" s="6">
        <v>0</v>
      </c>
      <c r="F14274" s="6">
        <v>0</v>
      </c>
      <c r="G14274" s="6">
        <v>6</v>
      </c>
      <c r="H14274" s="6" t="s">
        <v>54186</v>
      </c>
      <c r="I14274" s="6">
        <v>526.6875</v>
      </c>
      <c r="J14274" s="2">
        <f t="shared" ref="J14274:J14337" si="223">(H14274/86400000)+25569+(7/24)</f>
        <v>43749.545402743053</v>
      </c>
    </row>
    <row r="14275" spans="1:10" x14ac:dyDescent="0.25">
      <c r="A14275" s="7" t="s">
        <v>54187</v>
      </c>
      <c r="B14275" s="8">
        <v>393.75</v>
      </c>
      <c r="C14275" s="8">
        <v>20.531590000000001</v>
      </c>
      <c r="D14275" s="8">
        <v>51</v>
      </c>
      <c r="E14275" s="8">
        <v>0</v>
      </c>
      <c r="F14275" s="8">
        <v>0</v>
      </c>
      <c r="G14275" s="8">
        <v>12</v>
      </c>
      <c r="H14275" s="8" t="s">
        <v>54188</v>
      </c>
      <c r="I14275" s="8">
        <v>526.6875</v>
      </c>
      <c r="J14275" s="3">
        <f t="shared" si="223"/>
        <v>43749.545485960647</v>
      </c>
    </row>
    <row r="14276" spans="1:10" x14ac:dyDescent="0.25">
      <c r="A14276" s="5" t="s">
        <v>54189</v>
      </c>
      <c r="B14276" s="6">
        <v>393.75</v>
      </c>
      <c r="C14276" s="6">
        <v>20.478950000000001</v>
      </c>
      <c r="D14276" s="6">
        <v>51</v>
      </c>
      <c r="E14276" s="6">
        <v>0</v>
      </c>
      <c r="F14276" s="6">
        <v>0</v>
      </c>
      <c r="G14276" s="6">
        <v>9</v>
      </c>
      <c r="H14276" s="6" t="s">
        <v>54190</v>
      </c>
      <c r="I14276" s="6">
        <v>526.6875</v>
      </c>
      <c r="J14276" s="2">
        <f t="shared" si="223"/>
        <v>43749.545557743055</v>
      </c>
    </row>
    <row r="14277" spans="1:10" x14ac:dyDescent="0.25">
      <c r="A14277" s="7" t="s">
        <v>54191</v>
      </c>
      <c r="B14277" s="8">
        <v>393.75</v>
      </c>
      <c r="C14277" s="8">
        <v>20.531590000000001</v>
      </c>
      <c r="D14277" s="8">
        <v>51</v>
      </c>
      <c r="E14277" s="8">
        <v>0</v>
      </c>
      <c r="F14277" s="8">
        <v>0</v>
      </c>
      <c r="G14277" s="8">
        <v>4</v>
      </c>
      <c r="H14277" s="8" t="s">
        <v>54192</v>
      </c>
      <c r="I14277" s="8">
        <v>526.6875</v>
      </c>
      <c r="J14277" s="3">
        <f t="shared" si="223"/>
        <v>43749.545650173612</v>
      </c>
    </row>
    <row r="14278" spans="1:10" x14ac:dyDescent="0.25">
      <c r="A14278" s="5" t="s">
        <v>54193</v>
      </c>
      <c r="B14278" s="6">
        <v>415.625</v>
      </c>
      <c r="C14278" s="6">
        <v>20.584240000000001</v>
      </c>
      <c r="D14278" s="6">
        <v>51</v>
      </c>
      <c r="E14278" s="6">
        <v>0</v>
      </c>
      <c r="F14278" s="6">
        <v>0</v>
      </c>
      <c r="G14278" s="6">
        <v>11</v>
      </c>
      <c r="H14278" s="6" t="s">
        <v>54194</v>
      </c>
      <c r="I14278" s="6">
        <v>533.4375</v>
      </c>
      <c r="J14278" s="2">
        <f t="shared" si="223"/>
        <v>43749.54572451389</v>
      </c>
    </row>
    <row r="14279" spans="1:10" x14ac:dyDescent="0.25">
      <c r="A14279" s="7" t="s">
        <v>54195</v>
      </c>
      <c r="B14279" s="8">
        <v>393.75</v>
      </c>
      <c r="C14279" s="8">
        <v>20.584240000000001</v>
      </c>
      <c r="D14279" s="8">
        <v>51</v>
      </c>
      <c r="E14279" s="8">
        <v>0</v>
      </c>
      <c r="F14279" s="8">
        <v>0</v>
      </c>
      <c r="G14279" s="8">
        <v>8</v>
      </c>
      <c r="H14279" s="8" t="s">
        <v>54196</v>
      </c>
      <c r="I14279" s="8">
        <v>526.6875</v>
      </c>
      <c r="J14279" s="3">
        <f t="shared" si="223"/>
        <v>43749.545808310184</v>
      </c>
    </row>
    <row r="14280" spans="1:10" x14ac:dyDescent="0.25">
      <c r="A14280" s="5" t="s">
        <v>54197</v>
      </c>
      <c r="B14280" s="6">
        <v>412.5</v>
      </c>
      <c r="C14280" s="6">
        <v>20.584240000000001</v>
      </c>
      <c r="D14280" s="6">
        <v>50</v>
      </c>
      <c r="E14280" s="6">
        <v>0</v>
      </c>
      <c r="F14280" s="6">
        <v>0</v>
      </c>
      <c r="G14280" s="6">
        <v>5</v>
      </c>
      <c r="H14280" s="6" t="s">
        <v>54198</v>
      </c>
      <c r="I14280" s="6">
        <v>532.3125</v>
      </c>
      <c r="J14280" s="2">
        <f t="shared" si="223"/>
        <v>43749.545903680548</v>
      </c>
    </row>
    <row r="14281" spans="1:10" x14ac:dyDescent="0.25">
      <c r="A14281" s="7" t="s">
        <v>54199</v>
      </c>
      <c r="B14281" s="8">
        <v>393.75</v>
      </c>
      <c r="C14281" s="8">
        <v>20.584240000000001</v>
      </c>
      <c r="D14281" s="8">
        <v>51</v>
      </c>
      <c r="E14281" s="8">
        <v>0</v>
      </c>
      <c r="F14281" s="8">
        <v>0</v>
      </c>
      <c r="G14281" s="8">
        <v>0</v>
      </c>
      <c r="H14281" s="8" t="s">
        <v>54200</v>
      </c>
      <c r="I14281" s="8">
        <v>526.6875</v>
      </c>
      <c r="J14281" s="3">
        <f t="shared" si="223"/>
        <v>43749.545987256941</v>
      </c>
    </row>
    <row r="14282" spans="1:10" x14ac:dyDescent="0.25">
      <c r="A14282" s="5" t="s">
        <v>54201</v>
      </c>
      <c r="B14282" s="6">
        <v>393.75</v>
      </c>
      <c r="C14282" s="6">
        <v>20.531590000000001</v>
      </c>
      <c r="D14282" s="6">
        <v>50</v>
      </c>
      <c r="E14282" s="6">
        <v>0</v>
      </c>
      <c r="F14282" s="6">
        <v>0</v>
      </c>
      <c r="G14282" s="6">
        <v>9</v>
      </c>
      <c r="H14282" s="6" t="s">
        <v>54202</v>
      </c>
      <c r="I14282" s="6">
        <v>526.6875</v>
      </c>
      <c r="J14282" s="2">
        <f t="shared" si="223"/>
        <v>43749.546070810182</v>
      </c>
    </row>
    <row r="14283" spans="1:10" x14ac:dyDescent="0.25">
      <c r="A14283" s="7" t="s">
        <v>54203</v>
      </c>
      <c r="B14283" s="8">
        <v>393.75</v>
      </c>
      <c r="C14283" s="8">
        <v>20.584240000000001</v>
      </c>
      <c r="D14283" s="8">
        <v>50</v>
      </c>
      <c r="E14283" s="8">
        <v>0</v>
      </c>
      <c r="F14283" s="8">
        <v>0</v>
      </c>
      <c r="G14283" s="8">
        <v>9</v>
      </c>
      <c r="H14283" s="8" t="s">
        <v>54204</v>
      </c>
      <c r="I14283" s="8">
        <v>526.6875</v>
      </c>
      <c r="J14283" s="3">
        <f t="shared" si="223"/>
        <v>43749.546142349536</v>
      </c>
    </row>
    <row r="14284" spans="1:10" x14ac:dyDescent="0.25">
      <c r="A14284" s="5" t="s">
        <v>54205</v>
      </c>
      <c r="B14284" s="6">
        <v>393.75</v>
      </c>
      <c r="C14284" s="6">
        <v>20.531590000000001</v>
      </c>
      <c r="D14284" s="6">
        <v>50</v>
      </c>
      <c r="E14284" s="6">
        <v>0</v>
      </c>
      <c r="F14284" s="6">
        <v>0</v>
      </c>
      <c r="G14284" s="6">
        <v>0</v>
      </c>
      <c r="H14284" s="6" t="s">
        <v>54206</v>
      </c>
      <c r="I14284" s="6">
        <v>526.6875</v>
      </c>
      <c r="J14284" s="2">
        <f t="shared" si="223"/>
        <v>43749.546213888891</v>
      </c>
    </row>
    <row r="14285" spans="1:10" x14ac:dyDescent="0.25">
      <c r="A14285" s="7" t="s">
        <v>54207</v>
      </c>
      <c r="B14285" s="8">
        <v>393.75</v>
      </c>
      <c r="C14285" s="8">
        <v>20.584240000000001</v>
      </c>
      <c r="D14285" s="8">
        <v>50</v>
      </c>
      <c r="E14285" s="8">
        <v>0</v>
      </c>
      <c r="F14285" s="8">
        <v>0</v>
      </c>
      <c r="G14285" s="8">
        <v>6</v>
      </c>
      <c r="H14285" s="8" t="s">
        <v>54208</v>
      </c>
      <c r="I14285" s="8">
        <v>526.6875</v>
      </c>
      <c r="J14285" s="3">
        <f t="shared" si="223"/>
        <v>43749.546297083332</v>
      </c>
    </row>
    <row r="14286" spans="1:10" x14ac:dyDescent="0.25">
      <c r="A14286" s="5" t="s">
        <v>54209</v>
      </c>
      <c r="B14286" s="6">
        <v>412.5</v>
      </c>
      <c r="C14286" s="6">
        <v>20.531590000000001</v>
      </c>
      <c r="D14286" s="6">
        <v>50</v>
      </c>
      <c r="E14286" s="6">
        <v>0</v>
      </c>
      <c r="F14286" s="6">
        <v>0</v>
      </c>
      <c r="G14286" s="6">
        <v>10</v>
      </c>
      <c r="H14286" s="6" t="s">
        <v>54210</v>
      </c>
      <c r="I14286" s="6">
        <v>532.5</v>
      </c>
      <c r="J14286" s="2">
        <f t="shared" si="223"/>
        <v>43749.546368958334</v>
      </c>
    </row>
    <row r="14287" spans="1:10" x14ac:dyDescent="0.25">
      <c r="A14287" s="7" t="s">
        <v>54211</v>
      </c>
      <c r="B14287" s="8">
        <v>393.75</v>
      </c>
      <c r="C14287" s="8">
        <v>20.584240000000001</v>
      </c>
      <c r="D14287" s="8">
        <v>50</v>
      </c>
      <c r="E14287" s="8">
        <v>0</v>
      </c>
      <c r="F14287" s="8">
        <v>0</v>
      </c>
      <c r="G14287" s="8">
        <v>8</v>
      </c>
      <c r="H14287" s="8" t="s">
        <v>54212</v>
      </c>
      <c r="I14287" s="8">
        <v>526.6875</v>
      </c>
      <c r="J14287" s="3">
        <f t="shared" si="223"/>
        <v>43749.546452743052</v>
      </c>
    </row>
    <row r="14288" spans="1:10" x14ac:dyDescent="0.25">
      <c r="A14288" s="5" t="s">
        <v>54213</v>
      </c>
      <c r="B14288" s="6">
        <v>393.75</v>
      </c>
      <c r="C14288" s="6">
        <v>20.531590000000001</v>
      </c>
      <c r="D14288" s="6">
        <v>50</v>
      </c>
      <c r="E14288" s="6">
        <v>0</v>
      </c>
      <c r="F14288" s="6">
        <v>0</v>
      </c>
      <c r="G14288" s="6">
        <v>12</v>
      </c>
      <c r="H14288" s="6" t="s">
        <v>54214</v>
      </c>
      <c r="I14288" s="6">
        <v>526.6875</v>
      </c>
      <c r="J14288" s="2">
        <f t="shared" si="223"/>
        <v>43749.546535960646</v>
      </c>
    </row>
    <row r="14289" spans="1:10" x14ac:dyDescent="0.25">
      <c r="A14289" s="7" t="s">
        <v>54215</v>
      </c>
      <c r="B14289" s="8">
        <v>393.75</v>
      </c>
      <c r="C14289" s="8">
        <v>20.531590000000001</v>
      </c>
      <c r="D14289" s="8">
        <v>49</v>
      </c>
      <c r="E14289" s="8">
        <v>0</v>
      </c>
      <c r="F14289" s="8">
        <v>0</v>
      </c>
      <c r="G14289" s="8">
        <v>0</v>
      </c>
      <c r="H14289" s="8" t="s">
        <v>54216</v>
      </c>
      <c r="I14289" s="8">
        <v>526.6875</v>
      </c>
      <c r="J14289" s="3">
        <f t="shared" si="223"/>
        <v>43749.546619305554</v>
      </c>
    </row>
    <row r="14290" spans="1:10" x14ac:dyDescent="0.25">
      <c r="A14290" s="5" t="s">
        <v>54217</v>
      </c>
      <c r="B14290" s="6">
        <v>393.75</v>
      </c>
      <c r="C14290" s="6">
        <v>20.531590000000001</v>
      </c>
      <c r="D14290" s="6">
        <v>48</v>
      </c>
      <c r="E14290" s="6">
        <v>0</v>
      </c>
      <c r="F14290" s="6">
        <v>0</v>
      </c>
      <c r="G14290" s="6">
        <v>4</v>
      </c>
      <c r="H14290" s="6" t="s">
        <v>54218</v>
      </c>
      <c r="I14290" s="6">
        <v>526.6875</v>
      </c>
      <c r="J14290" s="2">
        <f t="shared" si="223"/>
        <v>43749.546691157404</v>
      </c>
    </row>
    <row r="14291" spans="1:10" x14ac:dyDescent="0.25">
      <c r="A14291" s="7" t="s">
        <v>54219</v>
      </c>
      <c r="B14291" s="8">
        <v>393.75</v>
      </c>
      <c r="C14291" s="8">
        <v>20.584240000000001</v>
      </c>
      <c r="D14291" s="8">
        <v>48</v>
      </c>
      <c r="E14291" s="8">
        <v>0</v>
      </c>
      <c r="F14291" s="8">
        <v>0</v>
      </c>
      <c r="G14291" s="8">
        <v>2</v>
      </c>
      <c r="H14291" s="8" t="s">
        <v>54220</v>
      </c>
      <c r="I14291" s="8">
        <v>526.6875</v>
      </c>
      <c r="J14291" s="3">
        <f t="shared" si="223"/>
        <v>43749.546774525465</v>
      </c>
    </row>
    <row r="14292" spans="1:10" x14ac:dyDescent="0.25">
      <c r="A14292" s="5" t="s">
        <v>54221</v>
      </c>
      <c r="B14292" s="6">
        <v>393.75</v>
      </c>
      <c r="C14292" s="6">
        <v>20.531590000000001</v>
      </c>
      <c r="D14292" s="6">
        <v>49</v>
      </c>
      <c r="E14292" s="6">
        <v>0</v>
      </c>
      <c r="F14292" s="6">
        <v>0</v>
      </c>
      <c r="G14292" s="6">
        <v>6</v>
      </c>
      <c r="H14292" s="6" t="s">
        <v>54222</v>
      </c>
      <c r="I14292" s="6">
        <v>526.5</v>
      </c>
      <c r="J14292" s="2">
        <f t="shared" si="223"/>
        <v>43749.546858090274</v>
      </c>
    </row>
    <row r="14293" spans="1:10" x14ac:dyDescent="0.25">
      <c r="A14293" s="7" t="s">
        <v>54223</v>
      </c>
      <c r="B14293" s="8">
        <v>393.75</v>
      </c>
      <c r="C14293" s="8">
        <v>20.531590000000001</v>
      </c>
      <c r="D14293" s="8">
        <v>47</v>
      </c>
      <c r="E14293" s="8">
        <v>0</v>
      </c>
      <c r="F14293" s="8">
        <v>0</v>
      </c>
      <c r="G14293" s="8">
        <v>0</v>
      </c>
      <c r="H14293" s="8" t="s">
        <v>54224</v>
      </c>
      <c r="I14293" s="8">
        <v>526.6875</v>
      </c>
      <c r="J14293" s="3">
        <f t="shared" si="223"/>
        <v>43749.546941655091</v>
      </c>
    </row>
    <row r="14294" spans="1:10" x14ac:dyDescent="0.25">
      <c r="A14294" s="5" t="s">
        <v>54225</v>
      </c>
      <c r="B14294" s="6">
        <v>393.75</v>
      </c>
      <c r="C14294" s="6">
        <v>20.531590000000001</v>
      </c>
      <c r="D14294" s="6">
        <v>47</v>
      </c>
      <c r="E14294" s="6">
        <v>0</v>
      </c>
      <c r="F14294" s="6">
        <v>0</v>
      </c>
      <c r="G14294" s="6">
        <v>5</v>
      </c>
      <c r="H14294" s="6" t="s">
        <v>54226</v>
      </c>
      <c r="I14294" s="6">
        <v>526.6875</v>
      </c>
      <c r="J14294" s="2">
        <f t="shared" si="223"/>
        <v>43749.547024988424</v>
      </c>
    </row>
    <row r="14295" spans="1:10" x14ac:dyDescent="0.25">
      <c r="A14295" s="7" t="s">
        <v>54227</v>
      </c>
      <c r="B14295" s="8">
        <v>393.75</v>
      </c>
      <c r="C14295" s="8">
        <v>20.584240000000001</v>
      </c>
      <c r="D14295" s="8">
        <v>47</v>
      </c>
      <c r="E14295" s="8">
        <v>0</v>
      </c>
      <c r="F14295" s="8">
        <v>0</v>
      </c>
      <c r="G14295" s="8">
        <v>2</v>
      </c>
      <c r="H14295" s="8" t="s">
        <v>54228</v>
      </c>
      <c r="I14295" s="8">
        <v>526.6875</v>
      </c>
      <c r="J14295" s="3">
        <f t="shared" si="223"/>
        <v>43749.547108206018</v>
      </c>
    </row>
    <row r="14296" spans="1:10" x14ac:dyDescent="0.25">
      <c r="A14296" s="5" t="s">
        <v>54229</v>
      </c>
      <c r="B14296" s="6">
        <v>412.5</v>
      </c>
      <c r="C14296" s="6">
        <v>20.531590000000001</v>
      </c>
      <c r="D14296" s="6">
        <v>47</v>
      </c>
      <c r="E14296" s="6">
        <v>0</v>
      </c>
      <c r="F14296" s="6">
        <v>0</v>
      </c>
      <c r="G14296" s="6">
        <v>14</v>
      </c>
      <c r="H14296" s="6" t="s">
        <v>54230</v>
      </c>
      <c r="I14296" s="6">
        <v>532.5</v>
      </c>
      <c r="J14296" s="2">
        <f t="shared" si="223"/>
        <v>43749.547179849535</v>
      </c>
    </row>
    <row r="14297" spans="1:10" x14ac:dyDescent="0.25">
      <c r="A14297" s="7" t="s">
        <v>54231</v>
      </c>
      <c r="B14297" s="8">
        <v>393.75</v>
      </c>
      <c r="C14297" s="8">
        <v>20.584240000000001</v>
      </c>
      <c r="D14297" s="8">
        <v>47</v>
      </c>
      <c r="E14297" s="8">
        <v>0</v>
      </c>
      <c r="F14297" s="8">
        <v>0</v>
      </c>
      <c r="G14297" s="8">
        <v>11</v>
      </c>
      <c r="H14297" s="8" t="s">
        <v>54232</v>
      </c>
      <c r="I14297" s="8">
        <v>526.6875</v>
      </c>
      <c r="J14297" s="3">
        <f t="shared" si="223"/>
        <v>43749.54727520833</v>
      </c>
    </row>
    <row r="14298" spans="1:10" x14ac:dyDescent="0.25">
      <c r="A14298" s="5" t="s">
        <v>54233</v>
      </c>
      <c r="B14298" s="6">
        <v>393.75</v>
      </c>
      <c r="C14298" s="6">
        <v>20.584240000000001</v>
      </c>
      <c r="D14298" s="6">
        <v>47</v>
      </c>
      <c r="E14298" s="6">
        <v>0</v>
      </c>
      <c r="F14298" s="6">
        <v>0</v>
      </c>
      <c r="G14298" s="6">
        <v>13</v>
      </c>
      <c r="H14298" s="6" t="s">
        <v>54234</v>
      </c>
      <c r="I14298" s="6">
        <v>526.6875</v>
      </c>
      <c r="J14298" s="2">
        <f t="shared" si="223"/>
        <v>43749.547347210646</v>
      </c>
    </row>
    <row r="14299" spans="1:10" x14ac:dyDescent="0.25">
      <c r="A14299" s="7" t="s">
        <v>54235</v>
      </c>
      <c r="B14299" s="8">
        <v>393.75</v>
      </c>
      <c r="C14299" s="8">
        <v>20.584240000000001</v>
      </c>
      <c r="D14299" s="8">
        <v>48</v>
      </c>
      <c r="E14299" s="8">
        <v>0</v>
      </c>
      <c r="F14299" s="8">
        <v>0</v>
      </c>
      <c r="G14299" s="8">
        <v>15</v>
      </c>
      <c r="H14299" s="8" t="s">
        <v>54236</v>
      </c>
      <c r="I14299" s="8">
        <v>526.6875</v>
      </c>
      <c r="J14299" s="3">
        <f t="shared" si="223"/>
        <v>43749.547430520826</v>
      </c>
    </row>
    <row r="14300" spans="1:10" x14ac:dyDescent="0.25">
      <c r="A14300" s="5" t="s">
        <v>54237</v>
      </c>
      <c r="B14300" s="6">
        <v>393.75</v>
      </c>
      <c r="C14300" s="6">
        <v>20.531590000000001</v>
      </c>
      <c r="D14300" s="6">
        <v>48</v>
      </c>
      <c r="E14300" s="6">
        <v>0</v>
      </c>
      <c r="F14300" s="6">
        <v>0</v>
      </c>
      <c r="G14300" s="6">
        <v>21</v>
      </c>
      <c r="H14300" s="6" t="s">
        <v>54238</v>
      </c>
      <c r="I14300" s="6">
        <v>526.6875</v>
      </c>
      <c r="J14300" s="2">
        <f t="shared" si="223"/>
        <v>43749.547526053233</v>
      </c>
    </row>
    <row r="14301" spans="1:10" x14ac:dyDescent="0.25">
      <c r="A14301" s="7" t="s">
        <v>54239</v>
      </c>
      <c r="B14301" s="8">
        <v>393.75</v>
      </c>
      <c r="C14301" s="8">
        <v>20.478950000000001</v>
      </c>
      <c r="D14301" s="8">
        <v>49</v>
      </c>
      <c r="E14301" s="8">
        <v>0</v>
      </c>
      <c r="F14301" s="8">
        <v>0</v>
      </c>
      <c r="G14301" s="8">
        <v>19</v>
      </c>
      <c r="H14301" s="8" t="s">
        <v>54240</v>
      </c>
      <c r="I14301" s="8">
        <v>526.6875</v>
      </c>
      <c r="J14301" s="3">
        <f t="shared" si="223"/>
        <v>43749.547609606474</v>
      </c>
    </row>
    <row r="14302" spans="1:10" x14ac:dyDescent="0.25">
      <c r="A14302" s="5" t="s">
        <v>54241</v>
      </c>
      <c r="B14302" s="6">
        <v>393.75</v>
      </c>
      <c r="C14302" s="6">
        <v>20.584240000000001</v>
      </c>
      <c r="D14302" s="6">
        <v>46</v>
      </c>
      <c r="E14302" s="6">
        <v>0</v>
      </c>
      <c r="F14302" s="6">
        <v>0</v>
      </c>
      <c r="G14302" s="6">
        <v>12</v>
      </c>
      <c r="H14302" s="6" t="s">
        <v>54242</v>
      </c>
      <c r="I14302" s="6">
        <v>526.6875</v>
      </c>
      <c r="J14302" s="2">
        <f t="shared" si="223"/>
        <v>43749.54769295139</v>
      </c>
    </row>
    <row r="14303" spans="1:10" x14ac:dyDescent="0.25">
      <c r="A14303" s="7" t="s">
        <v>54243</v>
      </c>
      <c r="B14303" s="8">
        <v>393.75</v>
      </c>
      <c r="C14303" s="8">
        <v>20.584240000000001</v>
      </c>
      <c r="D14303" s="8">
        <v>46</v>
      </c>
      <c r="E14303" s="8">
        <v>0</v>
      </c>
      <c r="F14303" s="8">
        <v>0</v>
      </c>
      <c r="G14303" s="8">
        <v>2</v>
      </c>
      <c r="H14303" s="8" t="s">
        <v>54244</v>
      </c>
      <c r="I14303" s="8">
        <v>526.6875</v>
      </c>
      <c r="J14303" s="3">
        <f t="shared" si="223"/>
        <v>43749.547776527776</v>
      </c>
    </row>
    <row r="14304" spans="1:10" x14ac:dyDescent="0.25">
      <c r="A14304" s="5" t="s">
        <v>54245</v>
      </c>
      <c r="B14304" s="6">
        <v>393.75</v>
      </c>
      <c r="C14304" s="6">
        <v>20.584240000000001</v>
      </c>
      <c r="D14304" s="6">
        <v>47</v>
      </c>
      <c r="E14304" s="6">
        <v>0</v>
      </c>
      <c r="F14304" s="6">
        <v>0</v>
      </c>
      <c r="G14304" s="6">
        <v>12</v>
      </c>
      <c r="H14304" s="6" t="s">
        <v>54246</v>
      </c>
      <c r="I14304" s="6">
        <v>526.6875</v>
      </c>
      <c r="J14304" s="2">
        <f t="shared" si="223"/>
        <v>43749.547860092593</v>
      </c>
    </row>
    <row r="14305" spans="1:10" x14ac:dyDescent="0.25">
      <c r="A14305" s="7" t="s">
        <v>54247</v>
      </c>
      <c r="B14305" s="8">
        <v>393.75</v>
      </c>
      <c r="C14305" s="8">
        <v>20.531590000000001</v>
      </c>
      <c r="D14305" s="8">
        <v>47</v>
      </c>
      <c r="E14305" s="8">
        <v>0</v>
      </c>
      <c r="F14305" s="8">
        <v>0</v>
      </c>
      <c r="G14305" s="8">
        <v>14</v>
      </c>
      <c r="H14305" s="8" t="s">
        <v>54248</v>
      </c>
      <c r="I14305" s="8">
        <v>526.6875</v>
      </c>
      <c r="J14305" s="3">
        <f t="shared" si="223"/>
        <v>43749.54794355324</v>
      </c>
    </row>
    <row r="14306" spans="1:10" x14ac:dyDescent="0.25">
      <c r="A14306" s="5" t="s">
        <v>54249</v>
      </c>
      <c r="B14306" s="6">
        <v>393.75</v>
      </c>
      <c r="C14306" s="6">
        <v>20.584240000000001</v>
      </c>
      <c r="D14306" s="6">
        <v>48</v>
      </c>
      <c r="E14306" s="6">
        <v>0</v>
      </c>
      <c r="F14306" s="6">
        <v>0</v>
      </c>
      <c r="G14306" s="6">
        <v>9</v>
      </c>
      <c r="H14306" s="6" t="s">
        <v>54250</v>
      </c>
      <c r="I14306" s="6">
        <v>526.6875</v>
      </c>
      <c r="J14306" s="2">
        <f t="shared" si="223"/>
        <v>43749.548015081011</v>
      </c>
    </row>
    <row r="14307" spans="1:10" x14ac:dyDescent="0.25">
      <c r="A14307" s="7" t="s">
        <v>54251</v>
      </c>
      <c r="B14307" s="8">
        <v>393.75</v>
      </c>
      <c r="C14307" s="8">
        <v>20.584240000000001</v>
      </c>
      <c r="D14307" s="8">
        <v>48</v>
      </c>
      <c r="E14307" s="8">
        <v>0</v>
      </c>
      <c r="F14307" s="8">
        <v>0</v>
      </c>
      <c r="G14307" s="8">
        <v>10</v>
      </c>
      <c r="H14307" s="8" t="s">
        <v>54252</v>
      </c>
      <c r="I14307" s="8">
        <v>526.6875</v>
      </c>
      <c r="J14307" s="3">
        <f t="shared" si="223"/>
        <v>43749.54809877315</v>
      </c>
    </row>
    <row r="14308" spans="1:10" x14ac:dyDescent="0.25">
      <c r="A14308" s="5" t="s">
        <v>54253</v>
      </c>
      <c r="B14308" s="6">
        <v>393.75</v>
      </c>
      <c r="C14308" s="6">
        <v>20.531590000000001</v>
      </c>
      <c r="D14308" s="6">
        <v>49</v>
      </c>
      <c r="E14308" s="6">
        <v>0</v>
      </c>
      <c r="F14308" s="6">
        <v>0</v>
      </c>
      <c r="G14308" s="6">
        <v>16</v>
      </c>
      <c r="H14308" s="6" t="s">
        <v>54254</v>
      </c>
      <c r="I14308" s="6">
        <v>526.6875</v>
      </c>
      <c r="J14308" s="2">
        <f t="shared" si="223"/>
        <v>43749.548182106482</v>
      </c>
    </row>
    <row r="14309" spans="1:10" x14ac:dyDescent="0.25">
      <c r="A14309" s="7" t="s">
        <v>54255</v>
      </c>
      <c r="B14309" s="8">
        <v>393.75</v>
      </c>
      <c r="C14309" s="8">
        <v>20.531590000000001</v>
      </c>
      <c r="D14309" s="8">
        <v>50</v>
      </c>
      <c r="E14309" s="8">
        <v>0</v>
      </c>
      <c r="F14309" s="8">
        <v>0</v>
      </c>
      <c r="G14309" s="8">
        <v>16</v>
      </c>
      <c r="H14309" s="8" t="s">
        <v>54256</v>
      </c>
      <c r="I14309" s="8">
        <v>526.6875</v>
      </c>
      <c r="J14309" s="3">
        <f t="shared" si="223"/>
        <v>43749.548265520833</v>
      </c>
    </row>
    <row r="14310" spans="1:10" x14ac:dyDescent="0.25">
      <c r="A14310" s="5" t="s">
        <v>54257</v>
      </c>
      <c r="B14310" s="6">
        <v>393.75</v>
      </c>
      <c r="C14310" s="6">
        <v>20.584240000000001</v>
      </c>
      <c r="D14310" s="6">
        <v>49</v>
      </c>
      <c r="E14310" s="6">
        <v>0</v>
      </c>
      <c r="F14310" s="6">
        <v>0</v>
      </c>
      <c r="G14310" s="6">
        <v>9</v>
      </c>
      <c r="H14310" s="6" t="s">
        <v>54258</v>
      </c>
      <c r="I14310" s="6">
        <v>526.6875</v>
      </c>
      <c r="J14310" s="2">
        <f t="shared" si="223"/>
        <v>43749.548348993056</v>
      </c>
    </row>
    <row r="14311" spans="1:10" x14ac:dyDescent="0.25">
      <c r="A14311" s="7" t="s">
        <v>54259</v>
      </c>
      <c r="B14311" s="8">
        <v>393.75</v>
      </c>
      <c r="C14311" s="8">
        <v>20.531590000000001</v>
      </c>
      <c r="D14311" s="8">
        <v>49</v>
      </c>
      <c r="E14311" s="8">
        <v>0</v>
      </c>
      <c r="F14311" s="8">
        <v>0</v>
      </c>
      <c r="G14311" s="8">
        <v>14</v>
      </c>
      <c r="H14311" s="8" t="s">
        <v>54260</v>
      </c>
      <c r="I14311" s="8">
        <v>526.6875</v>
      </c>
      <c r="J14311" s="3">
        <f t="shared" si="223"/>
        <v>43749.548432627307</v>
      </c>
    </row>
    <row r="14312" spans="1:10" x14ac:dyDescent="0.25">
      <c r="A14312" s="5" t="s">
        <v>54261</v>
      </c>
      <c r="B14312" s="6">
        <v>393.75</v>
      </c>
      <c r="C14312" s="6">
        <v>20.478950000000001</v>
      </c>
      <c r="D14312" s="6">
        <v>49</v>
      </c>
      <c r="E14312" s="6">
        <v>0</v>
      </c>
      <c r="F14312" s="6">
        <v>0</v>
      </c>
      <c r="G14312" s="6">
        <v>21</v>
      </c>
      <c r="H14312" s="6" t="s">
        <v>54262</v>
      </c>
      <c r="I14312" s="6">
        <v>526.6875</v>
      </c>
      <c r="J14312" s="2">
        <f t="shared" si="223"/>
        <v>43749.548515763883</v>
      </c>
    </row>
    <row r="14313" spans="1:10" x14ac:dyDescent="0.25">
      <c r="A14313" s="7" t="s">
        <v>54263</v>
      </c>
      <c r="B14313" s="8">
        <v>393.75</v>
      </c>
      <c r="C14313" s="8">
        <v>20.531590000000001</v>
      </c>
      <c r="D14313" s="8">
        <v>49</v>
      </c>
      <c r="E14313" s="8">
        <v>0</v>
      </c>
      <c r="F14313" s="8">
        <v>0</v>
      </c>
      <c r="G14313" s="8">
        <v>17</v>
      </c>
      <c r="H14313" s="8" t="s">
        <v>54264</v>
      </c>
      <c r="I14313" s="8">
        <v>526.6875</v>
      </c>
      <c r="J14313" s="3">
        <f t="shared" si="223"/>
        <v>43749.5485874074</v>
      </c>
    </row>
    <row r="14314" spans="1:10" x14ac:dyDescent="0.25">
      <c r="A14314" s="5" t="s">
        <v>54265</v>
      </c>
      <c r="B14314" s="6">
        <v>393.75</v>
      </c>
      <c r="C14314" s="6">
        <v>20.531590000000001</v>
      </c>
      <c r="D14314" s="6">
        <v>47</v>
      </c>
      <c r="E14314" s="6">
        <v>0</v>
      </c>
      <c r="F14314" s="6">
        <v>0</v>
      </c>
      <c r="G14314" s="6">
        <v>25</v>
      </c>
      <c r="H14314" s="6" t="s">
        <v>54266</v>
      </c>
      <c r="I14314" s="6">
        <v>526.6875</v>
      </c>
      <c r="J14314" s="2">
        <f t="shared" si="223"/>
        <v>43749.548671203702</v>
      </c>
    </row>
    <row r="14315" spans="1:10" x14ac:dyDescent="0.25">
      <c r="A14315" s="7" t="s">
        <v>54267</v>
      </c>
      <c r="B14315" s="8">
        <v>393.75</v>
      </c>
      <c r="C14315" s="8">
        <v>20.584240000000001</v>
      </c>
      <c r="D14315" s="8">
        <v>48</v>
      </c>
      <c r="E14315" s="8">
        <v>0</v>
      </c>
      <c r="F14315" s="8">
        <v>0</v>
      </c>
      <c r="G14315" s="8">
        <v>17</v>
      </c>
      <c r="H14315" s="8" t="s">
        <v>54268</v>
      </c>
      <c r="I14315" s="8">
        <v>526.6875</v>
      </c>
      <c r="J14315" s="3">
        <f t="shared" si="223"/>
        <v>43749.548754641197</v>
      </c>
    </row>
    <row r="14316" spans="1:10" x14ac:dyDescent="0.25">
      <c r="A14316" s="5" t="s">
        <v>54269</v>
      </c>
      <c r="B14316" s="6">
        <v>393.75</v>
      </c>
      <c r="C14316" s="6">
        <v>20.584240000000001</v>
      </c>
      <c r="D14316" s="6">
        <v>47</v>
      </c>
      <c r="E14316" s="6">
        <v>0</v>
      </c>
      <c r="F14316" s="6">
        <v>0</v>
      </c>
      <c r="G14316" s="6">
        <v>18</v>
      </c>
      <c r="H14316" s="6" t="s">
        <v>54270</v>
      </c>
      <c r="I14316" s="6">
        <v>526.6875</v>
      </c>
      <c r="J14316" s="2">
        <f t="shared" si="223"/>
        <v>43749.548837881943</v>
      </c>
    </row>
    <row r="14317" spans="1:10" x14ac:dyDescent="0.25">
      <c r="A14317" s="7" t="s">
        <v>54271</v>
      </c>
      <c r="B14317" s="8">
        <v>393.75</v>
      </c>
      <c r="C14317" s="8">
        <v>20.584240000000001</v>
      </c>
      <c r="D14317" s="8">
        <v>47</v>
      </c>
      <c r="E14317" s="8">
        <v>0</v>
      </c>
      <c r="F14317" s="8">
        <v>0</v>
      </c>
      <c r="G14317" s="8">
        <v>22</v>
      </c>
      <c r="H14317" s="8" t="s">
        <v>54272</v>
      </c>
      <c r="I14317" s="8">
        <v>526.6875</v>
      </c>
      <c r="J14317" s="3">
        <f t="shared" si="223"/>
        <v>43749.54890962963</v>
      </c>
    </row>
    <row r="14318" spans="1:10" x14ac:dyDescent="0.25">
      <c r="A14318" s="5" t="s">
        <v>54273</v>
      </c>
      <c r="B14318" s="6">
        <v>412.5</v>
      </c>
      <c r="C14318" s="6">
        <v>20.531590000000001</v>
      </c>
      <c r="D14318" s="6">
        <v>47</v>
      </c>
      <c r="E14318" s="6">
        <v>0</v>
      </c>
      <c r="F14318" s="6">
        <v>0</v>
      </c>
      <c r="G14318" s="6">
        <v>19</v>
      </c>
      <c r="H14318" s="6" t="s">
        <v>54274</v>
      </c>
      <c r="I14318" s="6">
        <v>532.6875</v>
      </c>
      <c r="J14318" s="2">
        <f t="shared" si="223"/>
        <v>43749.548993182871</v>
      </c>
    </row>
    <row r="14319" spans="1:10" x14ac:dyDescent="0.25">
      <c r="A14319" s="7" t="s">
        <v>54275</v>
      </c>
      <c r="B14319" s="8">
        <v>393.75</v>
      </c>
      <c r="C14319" s="8">
        <v>20.531590000000001</v>
      </c>
      <c r="D14319" s="8">
        <v>47</v>
      </c>
      <c r="E14319" s="8">
        <v>0</v>
      </c>
      <c r="F14319" s="8">
        <v>0</v>
      </c>
      <c r="G14319" s="8">
        <v>18</v>
      </c>
      <c r="H14319" s="8" t="s">
        <v>54276</v>
      </c>
      <c r="I14319" s="8">
        <v>526.6875</v>
      </c>
      <c r="J14319" s="3">
        <f t="shared" si="223"/>
        <v>43749.549076643518</v>
      </c>
    </row>
    <row r="14320" spans="1:10" x14ac:dyDescent="0.25">
      <c r="A14320" s="5" t="s">
        <v>54277</v>
      </c>
      <c r="B14320" s="6">
        <v>393.75</v>
      </c>
      <c r="C14320" s="6">
        <v>20.531590000000001</v>
      </c>
      <c r="D14320" s="6">
        <v>45</v>
      </c>
      <c r="E14320" s="6">
        <v>0</v>
      </c>
      <c r="F14320" s="6">
        <v>0</v>
      </c>
      <c r="G14320" s="6">
        <v>23</v>
      </c>
      <c r="H14320" s="6" t="s">
        <v>54278</v>
      </c>
      <c r="I14320" s="6">
        <v>526.6875</v>
      </c>
      <c r="J14320" s="2">
        <f t="shared" si="223"/>
        <v>43749.549160081013</v>
      </c>
    </row>
    <row r="14321" spans="1:10" x14ac:dyDescent="0.25">
      <c r="A14321" s="7" t="s">
        <v>54279</v>
      </c>
      <c r="B14321" s="8">
        <v>393.75</v>
      </c>
      <c r="C14321" s="8">
        <v>20.584240000000001</v>
      </c>
      <c r="D14321" s="8">
        <v>45</v>
      </c>
      <c r="E14321" s="8">
        <v>0</v>
      </c>
      <c r="F14321" s="8">
        <v>0</v>
      </c>
      <c r="G14321" s="8">
        <v>16</v>
      </c>
      <c r="H14321" s="8" t="s">
        <v>54280</v>
      </c>
      <c r="I14321" s="8">
        <v>526.6875</v>
      </c>
      <c r="J14321" s="3">
        <f t="shared" si="223"/>
        <v>43749.549231747682</v>
      </c>
    </row>
    <row r="14322" spans="1:10" x14ac:dyDescent="0.25">
      <c r="A14322" s="5" t="s">
        <v>54281</v>
      </c>
      <c r="B14322" s="6">
        <v>393.75</v>
      </c>
      <c r="C14322" s="6">
        <v>20.584240000000001</v>
      </c>
      <c r="D14322" s="6">
        <v>45</v>
      </c>
      <c r="E14322" s="6">
        <v>0</v>
      </c>
      <c r="F14322" s="6">
        <v>0</v>
      </c>
      <c r="G14322" s="6">
        <v>17</v>
      </c>
      <c r="H14322" s="6" t="s">
        <v>54282</v>
      </c>
      <c r="I14322" s="6">
        <v>526.6875</v>
      </c>
      <c r="J14322" s="2">
        <f t="shared" si="223"/>
        <v>43749.549303148146</v>
      </c>
    </row>
    <row r="14323" spans="1:10" x14ac:dyDescent="0.25">
      <c r="A14323" s="7" t="s">
        <v>54283</v>
      </c>
      <c r="B14323" s="8">
        <v>393.75</v>
      </c>
      <c r="C14323" s="8">
        <v>20.478950000000001</v>
      </c>
      <c r="D14323" s="8">
        <v>47</v>
      </c>
      <c r="E14323" s="8">
        <v>0</v>
      </c>
      <c r="F14323" s="8">
        <v>0</v>
      </c>
      <c r="G14323" s="8">
        <v>27</v>
      </c>
      <c r="H14323" s="8" t="s">
        <v>54284</v>
      </c>
      <c r="I14323" s="8">
        <v>526.6875</v>
      </c>
      <c r="J14323" s="3">
        <f t="shared" si="223"/>
        <v>43749.549386840277</v>
      </c>
    </row>
    <row r="14324" spans="1:10" x14ac:dyDescent="0.25">
      <c r="A14324" s="5" t="s">
        <v>54285</v>
      </c>
      <c r="B14324" s="6">
        <v>393.75</v>
      </c>
      <c r="C14324" s="6">
        <v>20.584240000000001</v>
      </c>
      <c r="D14324" s="6">
        <v>47</v>
      </c>
      <c r="E14324" s="6">
        <v>0</v>
      </c>
      <c r="F14324" s="6">
        <v>0</v>
      </c>
      <c r="G14324" s="6">
        <v>17</v>
      </c>
      <c r="H14324" s="6" t="s">
        <v>54286</v>
      </c>
      <c r="I14324" s="6">
        <v>526.6875</v>
      </c>
      <c r="J14324" s="2">
        <f t="shared" si="223"/>
        <v>43749.549458240734</v>
      </c>
    </row>
    <row r="14325" spans="1:10" x14ac:dyDescent="0.25">
      <c r="A14325" s="7" t="s">
        <v>54287</v>
      </c>
      <c r="B14325" s="8">
        <v>393.75</v>
      </c>
      <c r="C14325" s="8">
        <v>20.584240000000001</v>
      </c>
      <c r="D14325" s="8">
        <v>48</v>
      </c>
      <c r="E14325" s="8">
        <v>0</v>
      </c>
      <c r="F14325" s="8">
        <v>0</v>
      </c>
      <c r="G14325" s="8">
        <v>18</v>
      </c>
      <c r="H14325" s="8" t="s">
        <v>54288</v>
      </c>
      <c r="I14325" s="8">
        <v>526.6875</v>
      </c>
      <c r="J14325" s="3">
        <f t="shared" si="223"/>
        <v>43749.549541562497</v>
      </c>
    </row>
    <row r="14326" spans="1:10" x14ac:dyDescent="0.25">
      <c r="A14326" s="5" t="s">
        <v>54289</v>
      </c>
      <c r="B14326" s="6">
        <v>393.75</v>
      </c>
      <c r="C14326" s="6">
        <v>20.531590000000001</v>
      </c>
      <c r="D14326" s="6">
        <v>48</v>
      </c>
      <c r="E14326" s="6">
        <v>0</v>
      </c>
      <c r="F14326" s="6">
        <v>0</v>
      </c>
      <c r="G14326" s="6">
        <v>18</v>
      </c>
      <c r="H14326" s="6" t="s">
        <v>54290</v>
      </c>
      <c r="I14326" s="6">
        <v>526.6875</v>
      </c>
      <c r="J14326" s="2">
        <f t="shared" si="223"/>
        <v>43749.549613344905</v>
      </c>
    </row>
    <row r="14327" spans="1:10" x14ac:dyDescent="0.25">
      <c r="A14327" s="7" t="s">
        <v>54291</v>
      </c>
      <c r="B14327" s="8">
        <v>393.75</v>
      </c>
      <c r="C14327" s="8">
        <v>20.531590000000001</v>
      </c>
      <c r="D14327" s="8">
        <v>45</v>
      </c>
      <c r="E14327" s="8">
        <v>0</v>
      </c>
      <c r="F14327" s="8">
        <v>0</v>
      </c>
      <c r="G14327" s="8">
        <v>17</v>
      </c>
      <c r="H14327" s="8" t="s">
        <v>54292</v>
      </c>
      <c r="I14327" s="8">
        <v>526.6875</v>
      </c>
      <c r="J14327" s="3">
        <f t="shared" si="223"/>
        <v>43749.549696759255</v>
      </c>
    </row>
    <row r="14328" spans="1:10" x14ac:dyDescent="0.25">
      <c r="A14328" s="5" t="s">
        <v>54293</v>
      </c>
      <c r="B14328" s="6">
        <v>393.75</v>
      </c>
      <c r="C14328" s="6">
        <v>20.531590000000001</v>
      </c>
      <c r="D14328" s="6">
        <v>49</v>
      </c>
      <c r="E14328" s="6">
        <v>0</v>
      </c>
      <c r="F14328" s="6">
        <v>0</v>
      </c>
      <c r="G14328" s="6">
        <v>9</v>
      </c>
      <c r="H14328" s="6" t="s">
        <v>54294</v>
      </c>
      <c r="I14328" s="6">
        <v>526.6875</v>
      </c>
      <c r="J14328" s="2">
        <f t="shared" si="223"/>
        <v>43749.549780347217</v>
      </c>
    </row>
    <row r="14329" spans="1:10" x14ac:dyDescent="0.25">
      <c r="A14329" s="7" t="s">
        <v>54295</v>
      </c>
      <c r="B14329" s="8">
        <v>393.75</v>
      </c>
      <c r="C14329" s="8">
        <v>20.531590000000001</v>
      </c>
      <c r="D14329" s="8">
        <v>49</v>
      </c>
      <c r="E14329" s="8">
        <v>0</v>
      </c>
      <c r="F14329" s="8">
        <v>0</v>
      </c>
      <c r="G14329" s="8">
        <v>21</v>
      </c>
      <c r="H14329" s="8" t="s">
        <v>54296</v>
      </c>
      <c r="I14329" s="8">
        <v>526.6875</v>
      </c>
      <c r="J14329" s="3">
        <f t="shared" si="223"/>
        <v>43749.549875833334</v>
      </c>
    </row>
    <row r="14330" spans="1:10" x14ac:dyDescent="0.25">
      <c r="A14330" s="5" t="s">
        <v>54297</v>
      </c>
      <c r="B14330" s="6">
        <v>393.75</v>
      </c>
      <c r="C14330" s="6">
        <v>20.584240000000001</v>
      </c>
      <c r="D14330" s="6">
        <v>49</v>
      </c>
      <c r="E14330" s="6">
        <v>0</v>
      </c>
      <c r="F14330" s="6">
        <v>0</v>
      </c>
      <c r="G14330" s="6">
        <v>16</v>
      </c>
      <c r="H14330" s="6" t="s">
        <v>54298</v>
      </c>
      <c r="I14330" s="6">
        <v>526.6875</v>
      </c>
      <c r="J14330" s="2">
        <f t="shared" si="223"/>
        <v>43749.549947361105</v>
      </c>
    </row>
    <row r="14331" spans="1:10" x14ac:dyDescent="0.25">
      <c r="A14331" s="7" t="s">
        <v>54299</v>
      </c>
      <c r="B14331" s="8">
        <v>393.75</v>
      </c>
      <c r="C14331" s="8">
        <v>20.531590000000001</v>
      </c>
      <c r="D14331" s="8">
        <v>50</v>
      </c>
      <c r="E14331" s="8">
        <v>0</v>
      </c>
      <c r="F14331" s="8">
        <v>0</v>
      </c>
      <c r="G14331" s="8">
        <v>12</v>
      </c>
      <c r="H14331" s="8" t="s">
        <v>54300</v>
      </c>
      <c r="I14331" s="8">
        <v>526.6875</v>
      </c>
      <c r="J14331" s="3">
        <f t="shared" si="223"/>
        <v>43749.550030590275</v>
      </c>
    </row>
    <row r="14332" spans="1:10" x14ac:dyDescent="0.25">
      <c r="A14332" s="5" t="s">
        <v>54301</v>
      </c>
      <c r="B14332" s="6">
        <v>393.75</v>
      </c>
      <c r="C14332" s="6">
        <v>20.531590000000001</v>
      </c>
      <c r="D14332" s="6">
        <v>50</v>
      </c>
      <c r="E14332" s="6">
        <v>0</v>
      </c>
      <c r="F14332" s="6">
        <v>0</v>
      </c>
      <c r="G14332" s="6">
        <v>13</v>
      </c>
      <c r="H14332" s="6" t="s">
        <v>54302</v>
      </c>
      <c r="I14332" s="6">
        <v>526.875</v>
      </c>
      <c r="J14332" s="2">
        <f t="shared" si="223"/>
        <v>43749.550102326386</v>
      </c>
    </row>
    <row r="14333" spans="1:10" x14ac:dyDescent="0.25">
      <c r="A14333" s="7" t="s">
        <v>54303</v>
      </c>
      <c r="B14333" s="8">
        <v>393.75</v>
      </c>
      <c r="C14333" s="8">
        <v>20.531590000000001</v>
      </c>
      <c r="D14333" s="8">
        <v>47</v>
      </c>
      <c r="E14333" s="8">
        <v>0</v>
      </c>
      <c r="F14333" s="8">
        <v>0</v>
      </c>
      <c r="G14333" s="8">
        <v>8</v>
      </c>
      <c r="H14333" s="8" t="s">
        <v>54304</v>
      </c>
      <c r="I14333" s="8">
        <v>526.6875</v>
      </c>
      <c r="J14333" s="3">
        <f t="shared" si="223"/>
        <v>43749.550200069447</v>
      </c>
    </row>
    <row r="14334" spans="1:10" x14ac:dyDescent="0.25">
      <c r="A14334" s="5" t="s">
        <v>54305</v>
      </c>
      <c r="B14334" s="6">
        <v>393.75</v>
      </c>
      <c r="C14334" s="6">
        <v>20.531590000000001</v>
      </c>
      <c r="D14334" s="6">
        <v>47</v>
      </c>
      <c r="E14334" s="6">
        <v>0</v>
      </c>
      <c r="F14334" s="6">
        <v>0</v>
      </c>
      <c r="G14334" s="6">
        <v>14</v>
      </c>
      <c r="H14334" s="6" t="s">
        <v>54306</v>
      </c>
      <c r="I14334" s="6">
        <v>526.6875</v>
      </c>
      <c r="J14334" s="2">
        <f t="shared" si="223"/>
        <v>43749.550281284719</v>
      </c>
    </row>
    <row r="14335" spans="1:10" x14ac:dyDescent="0.25">
      <c r="A14335" s="7" t="s">
        <v>54307</v>
      </c>
      <c r="B14335" s="8">
        <v>393.75</v>
      </c>
      <c r="C14335" s="8">
        <v>20.478950000000001</v>
      </c>
      <c r="D14335" s="8">
        <v>48</v>
      </c>
      <c r="E14335" s="8">
        <v>0</v>
      </c>
      <c r="F14335" s="8">
        <v>0</v>
      </c>
      <c r="G14335" s="8">
        <v>16</v>
      </c>
      <c r="H14335" s="8" t="s">
        <v>54308</v>
      </c>
      <c r="I14335" s="8">
        <v>526.6875</v>
      </c>
      <c r="J14335" s="3">
        <f t="shared" si="223"/>
        <v>43749.550364872681</v>
      </c>
    </row>
    <row r="14336" spans="1:10" x14ac:dyDescent="0.25">
      <c r="A14336" s="5" t="s">
        <v>54309</v>
      </c>
      <c r="B14336" s="6">
        <v>393.75</v>
      </c>
      <c r="C14336" s="6">
        <v>20.531590000000001</v>
      </c>
      <c r="D14336" s="6">
        <v>49</v>
      </c>
      <c r="E14336" s="6">
        <v>0</v>
      </c>
      <c r="F14336" s="6">
        <v>0</v>
      </c>
      <c r="G14336" s="6">
        <v>21</v>
      </c>
      <c r="H14336" s="6" t="s">
        <v>54310</v>
      </c>
      <c r="I14336" s="6">
        <v>526.6875</v>
      </c>
      <c r="J14336" s="2">
        <f t="shared" si="223"/>
        <v>43749.550436388883</v>
      </c>
    </row>
    <row r="14337" spans="1:10" x14ac:dyDescent="0.25">
      <c r="A14337" s="7" t="s">
        <v>54311</v>
      </c>
      <c r="B14337" s="8">
        <v>393.75</v>
      </c>
      <c r="C14337" s="8">
        <v>20.531590000000001</v>
      </c>
      <c r="D14337" s="8">
        <v>48</v>
      </c>
      <c r="E14337" s="8">
        <v>0</v>
      </c>
      <c r="F14337" s="8">
        <v>0</v>
      </c>
      <c r="G14337" s="8">
        <v>25</v>
      </c>
      <c r="H14337" s="8" t="s">
        <v>54312</v>
      </c>
      <c r="I14337" s="8">
        <v>526.6875</v>
      </c>
      <c r="J14337" s="3">
        <f t="shared" si="223"/>
        <v>43749.550519606484</v>
      </c>
    </row>
    <row r="14338" spans="1:10" x14ac:dyDescent="0.25">
      <c r="A14338" s="5" t="s">
        <v>54313</v>
      </c>
      <c r="B14338" s="6">
        <v>393.75</v>
      </c>
      <c r="C14338" s="6">
        <v>20.584240000000001</v>
      </c>
      <c r="D14338" s="6">
        <v>48</v>
      </c>
      <c r="E14338" s="6">
        <v>0</v>
      </c>
      <c r="F14338" s="6">
        <v>0</v>
      </c>
      <c r="G14338" s="6">
        <v>6</v>
      </c>
      <c r="H14338" s="6" t="s">
        <v>54314</v>
      </c>
      <c r="I14338" s="6">
        <v>526.6875</v>
      </c>
      <c r="J14338" s="2">
        <f t="shared" ref="J14338:J14401" si="224">(H14338/86400000)+25569+(7/24)</f>
        <v>43749.550591122686</v>
      </c>
    </row>
    <row r="14339" spans="1:10" x14ac:dyDescent="0.25">
      <c r="A14339" s="7" t="s">
        <v>54315</v>
      </c>
      <c r="B14339" s="8">
        <v>393.75</v>
      </c>
      <c r="C14339" s="8">
        <v>20.584240000000001</v>
      </c>
      <c r="D14339" s="8">
        <v>49</v>
      </c>
      <c r="E14339" s="8">
        <v>0</v>
      </c>
      <c r="F14339" s="8">
        <v>0</v>
      </c>
      <c r="G14339" s="8">
        <v>20</v>
      </c>
      <c r="H14339" s="8" t="s">
        <v>54316</v>
      </c>
      <c r="I14339" s="8">
        <v>526.6875</v>
      </c>
      <c r="J14339" s="3">
        <f t="shared" si="224"/>
        <v>43749.550675011567</v>
      </c>
    </row>
    <row r="14340" spans="1:10" x14ac:dyDescent="0.25">
      <c r="A14340" s="5" t="s">
        <v>54317</v>
      </c>
      <c r="B14340" s="6">
        <v>393.75</v>
      </c>
      <c r="C14340" s="6">
        <v>20.478950000000001</v>
      </c>
      <c r="D14340" s="6">
        <v>50</v>
      </c>
      <c r="E14340" s="6">
        <v>0</v>
      </c>
      <c r="F14340" s="6">
        <v>0</v>
      </c>
      <c r="G14340" s="6">
        <v>18</v>
      </c>
      <c r="H14340" s="6" t="s">
        <v>54318</v>
      </c>
      <c r="I14340" s="6">
        <v>526.6875</v>
      </c>
      <c r="J14340" s="2">
        <f t="shared" si="224"/>
        <v>43749.550758460646</v>
      </c>
    </row>
    <row r="14341" spans="1:10" x14ac:dyDescent="0.25">
      <c r="A14341" s="7" t="s">
        <v>54319</v>
      </c>
      <c r="B14341" s="8">
        <v>393.75</v>
      </c>
      <c r="C14341" s="8">
        <v>20.478950000000001</v>
      </c>
      <c r="D14341" s="8">
        <v>50</v>
      </c>
      <c r="E14341" s="8">
        <v>0</v>
      </c>
      <c r="F14341" s="8">
        <v>0</v>
      </c>
      <c r="G14341" s="8">
        <v>8</v>
      </c>
      <c r="H14341" s="8" t="s">
        <v>54320</v>
      </c>
      <c r="I14341" s="8">
        <v>526.6875</v>
      </c>
      <c r="J14341" s="3">
        <f t="shared" si="224"/>
        <v>43749.550841701384</v>
      </c>
    </row>
    <row r="14342" spans="1:10" x14ac:dyDescent="0.25">
      <c r="A14342" s="5" t="s">
        <v>54321</v>
      </c>
      <c r="B14342" s="6">
        <v>393.75</v>
      </c>
      <c r="C14342" s="6">
        <v>20.584240000000001</v>
      </c>
      <c r="D14342" s="6">
        <v>50</v>
      </c>
      <c r="E14342" s="6">
        <v>0</v>
      </c>
      <c r="F14342" s="6">
        <v>0</v>
      </c>
      <c r="G14342" s="6">
        <v>23</v>
      </c>
      <c r="H14342" s="6" t="s">
        <v>54322</v>
      </c>
      <c r="I14342" s="6">
        <v>526.6875</v>
      </c>
      <c r="J14342" s="2">
        <f t="shared" si="224"/>
        <v>43749.550925497686</v>
      </c>
    </row>
    <row r="14343" spans="1:10" x14ac:dyDescent="0.25">
      <c r="A14343" s="7" t="s">
        <v>54323</v>
      </c>
      <c r="B14343" s="8">
        <v>393.75</v>
      </c>
      <c r="C14343" s="8">
        <v>20.531590000000001</v>
      </c>
      <c r="D14343" s="8">
        <v>50</v>
      </c>
      <c r="E14343" s="8">
        <v>0</v>
      </c>
      <c r="F14343" s="8">
        <v>0</v>
      </c>
      <c r="G14343" s="8">
        <v>21</v>
      </c>
      <c r="H14343" s="8" t="s">
        <v>54324</v>
      </c>
      <c r="I14343" s="8">
        <v>526.5</v>
      </c>
      <c r="J14343" s="3">
        <f t="shared" si="224"/>
        <v>43749.551008622679</v>
      </c>
    </row>
    <row r="14344" spans="1:10" x14ac:dyDescent="0.25">
      <c r="A14344" s="5" t="s">
        <v>54325</v>
      </c>
      <c r="B14344" s="6">
        <v>412.5</v>
      </c>
      <c r="C14344" s="6">
        <v>20.584240000000001</v>
      </c>
      <c r="D14344" s="6">
        <v>49</v>
      </c>
      <c r="E14344" s="6">
        <v>0</v>
      </c>
      <c r="F14344" s="6">
        <v>0</v>
      </c>
      <c r="G14344" s="6">
        <v>18</v>
      </c>
      <c r="H14344" s="6" t="s">
        <v>54326</v>
      </c>
      <c r="I14344" s="6">
        <v>532.6875</v>
      </c>
      <c r="J14344" s="2">
        <f t="shared" si="224"/>
        <v>43749.551080347221</v>
      </c>
    </row>
    <row r="14345" spans="1:10" x14ac:dyDescent="0.25">
      <c r="A14345" s="7" t="s">
        <v>54327</v>
      </c>
      <c r="B14345" s="8">
        <v>393.75</v>
      </c>
      <c r="C14345" s="8">
        <v>20.531590000000001</v>
      </c>
      <c r="D14345" s="8">
        <v>49</v>
      </c>
      <c r="E14345" s="8">
        <v>0</v>
      </c>
      <c r="F14345" s="8">
        <v>0</v>
      </c>
      <c r="G14345" s="8">
        <v>21</v>
      </c>
      <c r="H14345" s="8" t="s">
        <v>54328</v>
      </c>
      <c r="I14345" s="8">
        <v>526.6875</v>
      </c>
      <c r="J14345" s="3">
        <f t="shared" si="224"/>
        <v>43749.551152025459</v>
      </c>
    </row>
    <row r="14346" spans="1:10" x14ac:dyDescent="0.25">
      <c r="A14346" s="5" t="s">
        <v>54329</v>
      </c>
      <c r="B14346" s="6">
        <v>393.75</v>
      </c>
      <c r="C14346" s="6">
        <v>20.531590000000001</v>
      </c>
      <c r="D14346" s="6">
        <v>49</v>
      </c>
      <c r="E14346" s="6">
        <v>0</v>
      </c>
      <c r="F14346" s="6">
        <v>0</v>
      </c>
      <c r="G14346" s="6">
        <v>17</v>
      </c>
      <c r="H14346" s="6" t="s">
        <v>54330</v>
      </c>
      <c r="I14346" s="6">
        <v>526.6875</v>
      </c>
      <c r="J14346" s="2">
        <f t="shared" si="224"/>
        <v>43749.551235590276</v>
      </c>
    </row>
    <row r="14347" spans="1:10" x14ac:dyDescent="0.25">
      <c r="A14347" s="7" t="s">
        <v>54331</v>
      </c>
      <c r="B14347" s="8">
        <v>418.75</v>
      </c>
      <c r="C14347" s="8">
        <v>20.584240000000001</v>
      </c>
      <c r="D14347" s="8">
        <v>49</v>
      </c>
      <c r="E14347" s="8">
        <v>0</v>
      </c>
      <c r="F14347" s="8">
        <v>0</v>
      </c>
      <c r="G14347" s="8">
        <v>18</v>
      </c>
      <c r="H14347" s="8" t="s">
        <v>54332</v>
      </c>
      <c r="I14347" s="8">
        <v>534</v>
      </c>
      <c r="J14347" s="3">
        <f t="shared" si="224"/>
        <v>43749.551319039347</v>
      </c>
    </row>
    <row r="14348" spans="1:10" x14ac:dyDescent="0.25">
      <c r="A14348" s="5" t="s">
        <v>54333</v>
      </c>
      <c r="B14348" s="6">
        <v>393.75</v>
      </c>
      <c r="C14348" s="6">
        <v>20.531590000000001</v>
      </c>
      <c r="D14348" s="6">
        <v>50</v>
      </c>
      <c r="E14348" s="6">
        <v>0</v>
      </c>
      <c r="F14348" s="6">
        <v>0</v>
      </c>
      <c r="G14348" s="6">
        <v>23</v>
      </c>
      <c r="H14348" s="6" t="s">
        <v>54334</v>
      </c>
      <c r="I14348" s="6">
        <v>526.6875</v>
      </c>
      <c r="J14348" s="2">
        <f t="shared" si="224"/>
        <v>43749.551402604164</v>
      </c>
    </row>
    <row r="14349" spans="1:10" x14ac:dyDescent="0.25">
      <c r="A14349" s="7" t="s">
        <v>54335</v>
      </c>
      <c r="B14349" s="8">
        <v>393.75</v>
      </c>
      <c r="C14349" s="8">
        <v>20.531590000000001</v>
      </c>
      <c r="D14349" s="8">
        <v>50</v>
      </c>
      <c r="E14349" s="8">
        <v>0</v>
      </c>
      <c r="F14349" s="8">
        <v>0</v>
      </c>
      <c r="G14349" s="8">
        <v>8</v>
      </c>
      <c r="H14349" s="8" t="s">
        <v>54336</v>
      </c>
      <c r="I14349" s="8">
        <v>526.5</v>
      </c>
      <c r="J14349" s="3">
        <f t="shared" si="224"/>
        <v>43749.55148613426</v>
      </c>
    </row>
    <row r="14350" spans="1:10" x14ac:dyDescent="0.25">
      <c r="A14350" s="5" t="s">
        <v>54337</v>
      </c>
      <c r="B14350" s="6">
        <v>393.75</v>
      </c>
      <c r="C14350" s="6">
        <v>20.531590000000001</v>
      </c>
      <c r="D14350" s="6">
        <v>50</v>
      </c>
      <c r="E14350" s="6">
        <v>0</v>
      </c>
      <c r="F14350" s="6">
        <v>0</v>
      </c>
      <c r="G14350" s="6">
        <v>7</v>
      </c>
      <c r="H14350" s="6" t="s">
        <v>54338</v>
      </c>
      <c r="I14350" s="6">
        <v>526.6875</v>
      </c>
      <c r="J14350" s="2">
        <f t="shared" si="224"/>
        <v>43749.55156944444</v>
      </c>
    </row>
    <row r="14351" spans="1:10" x14ac:dyDescent="0.25">
      <c r="A14351" s="7" t="s">
        <v>54339</v>
      </c>
      <c r="B14351" s="8">
        <v>393.75</v>
      </c>
      <c r="C14351" s="8">
        <v>20.584240000000001</v>
      </c>
      <c r="D14351" s="8">
        <v>50</v>
      </c>
      <c r="E14351" s="8">
        <v>0</v>
      </c>
      <c r="F14351" s="8">
        <v>0</v>
      </c>
      <c r="G14351" s="8">
        <v>19</v>
      </c>
      <c r="H14351" s="8" t="s">
        <v>54340</v>
      </c>
      <c r="I14351" s="8">
        <v>526.6875</v>
      </c>
      <c r="J14351" s="3">
        <f t="shared" si="224"/>
        <v>43749.55165267361</v>
      </c>
    </row>
    <row r="14352" spans="1:10" x14ac:dyDescent="0.25">
      <c r="A14352" s="5" t="s">
        <v>54341</v>
      </c>
      <c r="B14352" s="6">
        <v>393.75</v>
      </c>
      <c r="C14352" s="6">
        <v>20.531590000000001</v>
      </c>
      <c r="D14352" s="6">
        <v>50</v>
      </c>
      <c r="E14352" s="6">
        <v>0</v>
      </c>
      <c r="F14352" s="6">
        <v>0</v>
      </c>
      <c r="G14352" s="6">
        <v>7</v>
      </c>
      <c r="H14352" s="6" t="s">
        <v>54342</v>
      </c>
      <c r="I14352" s="6">
        <v>526.6875</v>
      </c>
      <c r="J14352" s="2">
        <f t="shared" si="224"/>
        <v>43749.551724432873</v>
      </c>
    </row>
    <row r="14353" spans="1:10" x14ac:dyDescent="0.25">
      <c r="A14353" s="7" t="s">
        <v>54343</v>
      </c>
      <c r="B14353" s="8">
        <v>393.75</v>
      </c>
      <c r="C14353" s="8">
        <v>20.531590000000001</v>
      </c>
      <c r="D14353" s="8">
        <v>50</v>
      </c>
      <c r="E14353" s="8">
        <v>0</v>
      </c>
      <c r="F14353" s="8">
        <v>0</v>
      </c>
      <c r="G14353" s="8">
        <v>22</v>
      </c>
      <c r="H14353" s="8" t="s">
        <v>54344</v>
      </c>
      <c r="I14353" s="8">
        <v>526.6875</v>
      </c>
      <c r="J14353" s="3">
        <f t="shared" si="224"/>
        <v>43749.551808414348</v>
      </c>
    </row>
    <row r="14354" spans="1:10" x14ac:dyDescent="0.25">
      <c r="A14354" s="5" t="s">
        <v>54345</v>
      </c>
      <c r="B14354" s="6">
        <v>393.75</v>
      </c>
      <c r="C14354" s="6">
        <v>20.584240000000001</v>
      </c>
      <c r="D14354" s="6">
        <v>51</v>
      </c>
      <c r="E14354" s="6">
        <v>0</v>
      </c>
      <c r="F14354" s="6">
        <v>0</v>
      </c>
      <c r="G14354" s="6">
        <v>14</v>
      </c>
      <c r="H14354" s="6" t="s">
        <v>54346</v>
      </c>
      <c r="I14354" s="6">
        <v>526.5</v>
      </c>
      <c r="J14354" s="2">
        <f t="shared" si="224"/>
        <v>43749.551891574076</v>
      </c>
    </row>
    <row r="14355" spans="1:10" x14ac:dyDescent="0.25">
      <c r="A14355" s="7" t="s">
        <v>54347</v>
      </c>
      <c r="B14355" s="8">
        <v>393.75</v>
      </c>
      <c r="C14355" s="8">
        <v>20.531590000000001</v>
      </c>
      <c r="D14355" s="8">
        <v>48</v>
      </c>
      <c r="E14355" s="8">
        <v>0</v>
      </c>
      <c r="F14355" s="8">
        <v>0</v>
      </c>
      <c r="G14355" s="8">
        <v>4</v>
      </c>
      <c r="H14355" s="8" t="s">
        <v>54348</v>
      </c>
      <c r="I14355" s="8">
        <v>526.6875</v>
      </c>
      <c r="J14355" s="3">
        <f t="shared" si="224"/>
        <v>43749.551962858794</v>
      </c>
    </row>
    <row r="14356" spans="1:10" x14ac:dyDescent="0.25">
      <c r="A14356" s="5" t="s">
        <v>54349</v>
      </c>
      <c r="B14356" s="6">
        <v>393.75</v>
      </c>
      <c r="C14356" s="6">
        <v>20.531590000000001</v>
      </c>
      <c r="D14356" s="6">
        <v>47</v>
      </c>
      <c r="E14356" s="6">
        <v>0</v>
      </c>
      <c r="F14356" s="6">
        <v>0</v>
      </c>
      <c r="G14356" s="6">
        <v>1</v>
      </c>
      <c r="H14356" s="6" t="s">
        <v>54350</v>
      </c>
      <c r="I14356" s="6">
        <v>526.6875</v>
      </c>
      <c r="J14356" s="2">
        <f t="shared" si="224"/>
        <v>43749.552046655088</v>
      </c>
    </row>
    <row r="14357" spans="1:10" x14ac:dyDescent="0.25">
      <c r="A14357" s="7" t="s">
        <v>54351</v>
      </c>
      <c r="B14357" s="8">
        <v>393.75</v>
      </c>
      <c r="C14357" s="8">
        <v>20.531590000000001</v>
      </c>
      <c r="D14357" s="8">
        <v>48</v>
      </c>
      <c r="E14357" s="8">
        <v>0</v>
      </c>
      <c r="F14357" s="8">
        <v>0</v>
      </c>
      <c r="G14357" s="8">
        <v>1</v>
      </c>
      <c r="H14357" s="8" t="s">
        <v>54352</v>
      </c>
      <c r="I14357" s="8">
        <v>526.6875</v>
      </c>
      <c r="J14357" s="3">
        <f t="shared" si="224"/>
        <v>43749.552130115735</v>
      </c>
    </row>
    <row r="14358" spans="1:10" x14ac:dyDescent="0.25">
      <c r="A14358" s="5" t="s">
        <v>54353</v>
      </c>
      <c r="B14358" s="6">
        <v>393.75</v>
      </c>
      <c r="C14358" s="6">
        <v>20.531590000000001</v>
      </c>
      <c r="D14358" s="6">
        <v>47</v>
      </c>
      <c r="E14358" s="6">
        <v>0</v>
      </c>
      <c r="F14358" s="6">
        <v>0</v>
      </c>
      <c r="G14358" s="6">
        <v>9</v>
      </c>
      <c r="H14358" s="6" t="s">
        <v>54354</v>
      </c>
      <c r="I14358" s="6">
        <v>526.6875</v>
      </c>
      <c r="J14358" s="2">
        <f t="shared" si="224"/>
        <v>43749.552212662034</v>
      </c>
    </row>
    <row r="14359" spans="1:10" x14ac:dyDescent="0.25">
      <c r="A14359" s="7" t="s">
        <v>54355</v>
      </c>
      <c r="B14359" s="8">
        <v>393.75</v>
      </c>
      <c r="C14359" s="8">
        <v>20.531590000000001</v>
      </c>
      <c r="D14359" s="8">
        <v>50</v>
      </c>
      <c r="E14359" s="8">
        <v>0</v>
      </c>
      <c r="F14359" s="8">
        <v>0</v>
      </c>
      <c r="G14359" s="8">
        <v>7</v>
      </c>
      <c r="H14359" s="8" t="s">
        <v>54356</v>
      </c>
      <c r="I14359" s="8">
        <v>526.6875</v>
      </c>
      <c r="J14359" s="3">
        <f t="shared" si="224"/>
        <v>43749.55228520833</v>
      </c>
    </row>
    <row r="14360" spans="1:10" x14ac:dyDescent="0.25">
      <c r="A14360" s="5" t="s">
        <v>54357</v>
      </c>
      <c r="B14360" s="6">
        <v>412.5</v>
      </c>
      <c r="C14360" s="6">
        <v>20.531590000000001</v>
      </c>
      <c r="D14360" s="6">
        <v>49</v>
      </c>
      <c r="E14360" s="6">
        <v>0</v>
      </c>
      <c r="F14360" s="6">
        <v>0</v>
      </c>
      <c r="G14360" s="6">
        <v>11</v>
      </c>
      <c r="H14360" s="6" t="s">
        <v>54358</v>
      </c>
      <c r="I14360" s="6">
        <v>532.6875</v>
      </c>
      <c r="J14360" s="2">
        <f t="shared" si="224"/>
        <v>43749.552368784724</v>
      </c>
    </row>
    <row r="14361" spans="1:10" x14ac:dyDescent="0.25">
      <c r="A14361" s="7" t="s">
        <v>54359</v>
      </c>
      <c r="B14361" s="8">
        <v>393.75</v>
      </c>
      <c r="C14361" s="8">
        <v>20.531590000000001</v>
      </c>
      <c r="D14361" s="8">
        <v>48</v>
      </c>
      <c r="E14361" s="8">
        <v>0</v>
      </c>
      <c r="F14361" s="8">
        <v>0</v>
      </c>
      <c r="G14361" s="8">
        <v>21</v>
      </c>
      <c r="H14361" s="8" t="s">
        <v>54360</v>
      </c>
      <c r="I14361" s="8">
        <v>526.6875</v>
      </c>
      <c r="J14361" s="3">
        <f t="shared" si="224"/>
        <v>43749.552452314812</v>
      </c>
    </row>
    <row r="14362" spans="1:10" x14ac:dyDescent="0.25">
      <c r="A14362" s="5" t="s">
        <v>54361</v>
      </c>
      <c r="B14362" s="6">
        <v>393.75</v>
      </c>
      <c r="C14362" s="6">
        <v>20.531590000000001</v>
      </c>
      <c r="D14362" s="6">
        <v>49</v>
      </c>
      <c r="E14362" s="6">
        <v>0</v>
      </c>
      <c r="F14362" s="6">
        <v>0</v>
      </c>
      <c r="G14362" s="6">
        <v>9</v>
      </c>
      <c r="H14362" s="6" t="s">
        <v>54362</v>
      </c>
      <c r="I14362" s="6">
        <v>526.6875</v>
      </c>
      <c r="J14362" s="2">
        <f t="shared" si="224"/>
        <v>43749.552535671297</v>
      </c>
    </row>
    <row r="14363" spans="1:10" x14ac:dyDescent="0.25">
      <c r="A14363" s="7" t="s">
        <v>54363</v>
      </c>
      <c r="B14363" s="8">
        <v>393.75</v>
      </c>
      <c r="C14363" s="8">
        <v>20.531590000000001</v>
      </c>
      <c r="D14363" s="8">
        <v>49</v>
      </c>
      <c r="E14363" s="8">
        <v>0</v>
      </c>
      <c r="F14363" s="8">
        <v>0</v>
      </c>
      <c r="G14363" s="8">
        <v>17</v>
      </c>
      <c r="H14363" s="8" t="s">
        <v>54364</v>
      </c>
      <c r="I14363" s="8">
        <v>526.6875</v>
      </c>
      <c r="J14363" s="3">
        <f t="shared" si="224"/>
        <v>43749.552619351853</v>
      </c>
    </row>
    <row r="14364" spans="1:10" x14ac:dyDescent="0.25">
      <c r="A14364" s="5" t="s">
        <v>54365</v>
      </c>
      <c r="B14364" s="6">
        <v>393.75</v>
      </c>
      <c r="C14364" s="6">
        <v>20.531590000000001</v>
      </c>
      <c r="D14364" s="6">
        <v>48</v>
      </c>
      <c r="E14364" s="6">
        <v>0</v>
      </c>
      <c r="F14364" s="6">
        <v>0</v>
      </c>
      <c r="G14364" s="6">
        <v>18</v>
      </c>
      <c r="H14364" s="6" t="s">
        <v>54366</v>
      </c>
      <c r="I14364" s="6">
        <v>526.6875</v>
      </c>
      <c r="J14364" s="2">
        <f t="shared" si="224"/>
        <v>43749.552702696754</v>
      </c>
    </row>
    <row r="14365" spans="1:10" x14ac:dyDescent="0.25">
      <c r="A14365" s="7" t="s">
        <v>54367</v>
      </c>
      <c r="B14365" s="8">
        <v>393.75</v>
      </c>
      <c r="C14365" s="8">
        <v>20.531590000000001</v>
      </c>
      <c r="D14365" s="8">
        <v>47</v>
      </c>
      <c r="E14365" s="8">
        <v>0</v>
      </c>
      <c r="F14365" s="8">
        <v>0</v>
      </c>
      <c r="G14365" s="8">
        <v>13</v>
      </c>
      <c r="H14365" s="8" t="s">
        <v>54368</v>
      </c>
      <c r="I14365" s="8">
        <v>526.6875</v>
      </c>
      <c r="J14365" s="3">
        <f t="shared" si="224"/>
        <v>43749.552786006941</v>
      </c>
    </row>
    <row r="14366" spans="1:10" x14ac:dyDescent="0.25">
      <c r="A14366" s="5" t="s">
        <v>54369</v>
      </c>
      <c r="B14366" s="6">
        <v>393.75</v>
      </c>
      <c r="C14366" s="6">
        <v>20.584240000000001</v>
      </c>
      <c r="D14366" s="6">
        <v>47</v>
      </c>
      <c r="E14366" s="6">
        <v>0</v>
      </c>
      <c r="F14366" s="6">
        <v>0</v>
      </c>
      <c r="G14366" s="6">
        <v>15</v>
      </c>
      <c r="H14366" s="6" t="s">
        <v>54370</v>
      </c>
      <c r="I14366" s="6">
        <v>526.6875</v>
      </c>
      <c r="J14366" s="2">
        <f t="shared" si="224"/>
        <v>43749.552857546289</v>
      </c>
    </row>
    <row r="14367" spans="1:10" x14ac:dyDescent="0.25">
      <c r="A14367" s="7" t="s">
        <v>54371</v>
      </c>
      <c r="B14367" s="8">
        <v>393.75</v>
      </c>
      <c r="C14367" s="8">
        <v>20.584240000000001</v>
      </c>
      <c r="D14367" s="8">
        <v>47</v>
      </c>
      <c r="E14367" s="8">
        <v>0</v>
      </c>
      <c r="F14367" s="8">
        <v>0</v>
      </c>
      <c r="G14367" s="8">
        <v>14</v>
      </c>
      <c r="H14367" s="8" t="s">
        <v>54372</v>
      </c>
      <c r="I14367" s="8">
        <v>526.6875</v>
      </c>
      <c r="J14367" s="3">
        <f t="shared" si="224"/>
        <v>43749.552965208328</v>
      </c>
    </row>
    <row r="14368" spans="1:10" x14ac:dyDescent="0.25">
      <c r="A14368" s="5" t="s">
        <v>54373</v>
      </c>
      <c r="B14368" s="6">
        <v>393.75</v>
      </c>
      <c r="C14368" s="6">
        <v>20.584240000000001</v>
      </c>
      <c r="D14368" s="6">
        <v>47</v>
      </c>
      <c r="E14368" s="6">
        <v>0</v>
      </c>
      <c r="F14368" s="6">
        <v>0</v>
      </c>
      <c r="G14368" s="6">
        <v>18</v>
      </c>
      <c r="H14368" s="6" t="s">
        <v>54374</v>
      </c>
      <c r="I14368" s="6">
        <v>526.6875</v>
      </c>
      <c r="J14368" s="2">
        <f t="shared" si="224"/>
        <v>43749.553048634254</v>
      </c>
    </row>
    <row r="14369" spans="1:10" x14ac:dyDescent="0.25">
      <c r="A14369" s="7" t="s">
        <v>54375</v>
      </c>
      <c r="B14369" s="8">
        <v>393.75</v>
      </c>
      <c r="C14369" s="8">
        <v>20.531590000000001</v>
      </c>
      <c r="D14369" s="8">
        <v>48</v>
      </c>
      <c r="E14369" s="8">
        <v>0</v>
      </c>
      <c r="F14369" s="8">
        <v>0</v>
      </c>
      <c r="G14369" s="8">
        <v>24</v>
      </c>
      <c r="H14369" s="8" t="s">
        <v>54376</v>
      </c>
      <c r="I14369" s="8">
        <v>526.6875</v>
      </c>
      <c r="J14369" s="3">
        <f t="shared" si="224"/>
        <v>43749.553132187495</v>
      </c>
    </row>
    <row r="14370" spans="1:10" x14ac:dyDescent="0.25">
      <c r="A14370" s="5" t="s">
        <v>54377</v>
      </c>
      <c r="B14370" s="6">
        <v>393.75</v>
      </c>
      <c r="C14370" s="6">
        <v>20.584240000000001</v>
      </c>
      <c r="D14370" s="6">
        <v>48</v>
      </c>
      <c r="E14370" s="6">
        <v>0</v>
      </c>
      <c r="F14370" s="6">
        <v>0</v>
      </c>
      <c r="G14370" s="6">
        <v>19</v>
      </c>
      <c r="H14370" s="6" t="s">
        <v>54378</v>
      </c>
      <c r="I14370" s="6">
        <v>526.6875</v>
      </c>
      <c r="J14370" s="2">
        <f t="shared" si="224"/>
        <v>43749.553203831012</v>
      </c>
    </row>
    <row r="14371" spans="1:10" x14ac:dyDescent="0.25">
      <c r="A14371" s="7" t="s">
        <v>54379</v>
      </c>
      <c r="B14371" s="8">
        <v>393.75</v>
      </c>
      <c r="C14371" s="8">
        <v>20.584240000000001</v>
      </c>
      <c r="D14371" s="8">
        <v>47</v>
      </c>
      <c r="E14371" s="8">
        <v>0</v>
      </c>
      <c r="F14371" s="8">
        <v>0</v>
      </c>
      <c r="G14371" s="8">
        <v>22</v>
      </c>
      <c r="H14371" s="8" t="s">
        <v>54380</v>
      </c>
      <c r="I14371" s="8">
        <v>526.6875</v>
      </c>
      <c r="J14371" s="3">
        <f t="shared" si="224"/>
        <v>43749.553287303243</v>
      </c>
    </row>
    <row r="14372" spans="1:10" x14ac:dyDescent="0.25">
      <c r="A14372" s="5" t="s">
        <v>54381</v>
      </c>
      <c r="B14372" s="6">
        <v>393.75</v>
      </c>
      <c r="C14372" s="6">
        <v>20.584240000000001</v>
      </c>
      <c r="D14372" s="6">
        <v>48</v>
      </c>
      <c r="E14372" s="6">
        <v>0</v>
      </c>
      <c r="F14372" s="6">
        <v>0</v>
      </c>
      <c r="G14372" s="6">
        <v>18</v>
      </c>
      <c r="H14372" s="6" t="s">
        <v>54382</v>
      </c>
      <c r="I14372" s="6">
        <v>526.6875</v>
      </c>
      <c r="J14372" s="2">
        <f t="shared" si="224"/>
        <v>43749.553371226844</v>
      </c>
    </row>
    <row r="14373" spans="1:10" x14ac:dyDescent="0.25">
      <c r="A14373" s="7" t="s">
        <v>54383</v>
      </c>
      <c r="B14373" s="8">
        <v>393.75</v>
      </c>
      <c r="C14373" s="8">
        <v>20.584240000000001</v>
      </c>
      <c r="D14373" s="8">
        <v>48</v>
      </c>
      <c r="E14373" s="8">
        <v>0</v>
      </c>
      <c r="F14373" s="8">
        <v>0</v>
      </c>
      <c r="G14373" s="8">
        <v>27</v>
      </c>
      <c r="H14373" s="8" t="s">
        <v>54384</v>
      </c>
      <c r="I14373" s="8">
        <v>526.6875</v>
      </c>
      <c r="J14373" s="3">
        <f t="shared" si="224"/>
        <v>43749.55345417824</v>
      </c>
    </row>
    <row r="14374" spans="1:10" x14ac:dyDescent="0.25">
      <c r="A14374" s="5" t="s">
        <v>54385</v>
      </c>
      <c r="B14374" s="6">
        <v>412.5</v>
      </c>
      <c r="C14374" s="6">
        <v>20.584240000000001</v>
      </c>
      <c r="D14374" s="6">
        <v>50</v>
      </c>
      <c r="E14374" s="6">
        <v>0</v>
      </c>
      <c r="F14374" s="6">
        <v>0</v>
      </c>
      <c r="G14374" s="6">
        <v>16</v>
      </c>
      <c r="H14374" s="6" t="s">
        <v>54386</v>
      </c>
      <c r="I14374" s="6">
        <v>532.3125</v>
      </c>
      <c r="J14374" s="2">
        <f t="shared" si="224"/>
        <v>43749.553525810181</v>
      </c>
    </row>
    <row r="14375" spans="1:10" x14ac:dyDescent="0.25">
      <c r="A14375" s="7" t="s">
        <v>54387</v>
      </c>
      <c r="B14375" s="8">
        <v>393.75</v>
      </c>
      <c r="C14375" s="8">
        <v>20.531590000000001</v>
      </c>
      <c r="D14375" s="8">
        <v>49</v>
      </c>
      <c r="E14375" s="8">
        <v>0</v>
      </c>
      <c r="F14375" s="8">
        <v>0</v>
      </c>
      <c r="G14375" s="8">
        <v>24</v>
      </c>
      <c r="H14375" s="8" t="s">
        <v>54388</v>
      </c>
      <c r="I14375" s="8">
        <v>526.6875</v>
      </c>
      <c r="J14375" s="3">
        <f t="shared" si="224"/>
        <v>43749.553621203704</v>
      </c>
    </row>
    <row r="14376" spans="1:10" x14ac:dyDescent="0.25">
      <c r="A14376" s="5" t="s">
        <v>54389</v>
      </c>
      <c r="B14376" s="6">
        <v>418.75</v>
      </c>
      <c r="C14376" s="6">
        <v>20.531590000000001</v>
      </c>
      <c r="D14376" s="6">
        <v>47</v>
      </c>
      <c r="E14376" s="6">
        <v>0</v>
      </c>
      <c r="F14376" s="6">
        <v>0</v>
      </c>
      <c r="G14376" s="6">
        <v>15</v>
      </c>
      <c r="H14376" s="6" t="s">
        <v>54390</v>
      </c>
      <c r="I14376" s="6">
        <v>534.375</v>
      </c>
      <c r="J14376" s="2">
        <f t="shared" si="224"/>
        <v>43749.553704548605</v>
      </c>
    </row>
    <row r="14377" spans="1:10" x14ac:dyDescent="0.25">
      <c r="A14377" s="7" t="s">
        <v>54391</v>
      </c>
      <c r="B14377" s="8">
        <v>393.75</v>
      </c>
      <c r="C14377" s="8">
        <v>20.531590000000001</v>
      </c>
      <c r="D14377" s="8">
        <v>47</v>
      </c>
      <c r="E14377" s="8">
        <v>0</v>
      </c>
      <c r="F14377" s="8">
        <v>0</v>
      </c>
      <c r="G14377" s="8">
        <v>24</v>
      </c>
      <c r="H14377" s="8" t="s">
        <v>54392</v>
      </c>
      <c r="I14377" s="8">
        <v>526.6875</v>
      </c>
      <c r="J14377" s="3">
        <f t="shared" si="224"/>
        <v>43749.553787743054</v>
      </c>
    </row>
    <row r="14378" spans="1:10" x14ac:dyDescent="0.25">
      <c r="A14378" s="5" t="s">
        <v>54393</v>
      </c>
      <c r="B14378" s="6">
        <v>393.75</v>
      </c>
      <c r="C14378" s="6">
        <v>20.584240000000001</v>
      </c>
      <c r="D14378" s="6">
        <v>47</v>
      </c>
      <c r="E14378" s="6">
        <v>0</v>
      </c>
      <c r="F14378" s="6">
        <v>0</v>
      </c>
      <c r="G14378" s="6">
        <v>21</v>
      </c>
      <c r="H14378" s="6" t="s">
        <v>54394</v>
      </c>
      <c r="I14378" s="6">
        <v>526.6875</v>
      </c>
      <c r="J14378" s="2">
        <f t="shared" si="224"/>
        <v>43749.553859733795</v>
      </c>
    </row>
    <row r="14379" spans="1:10" x14ac:dyDescent="0.25">
      <c r="A14379" s="7" t="s">
        <v>54395</v>
      </c>
      <c r="B14379" s="8">
        <v>393.75</v>
      </c>
      <c r="C14379" s="8">
        <v>20.531590000000001</v>
      </c>
      <c r="D14379" s="8">
        <v>47</v>
      </c>
      <c r="E14379" s="8">
        <v>0</v>
      </c>
      <c r="F14379" s="8">
        <v>0</v>
      </c>
      <c r="G14379" s="8">
        <v>19</v>
      </c>
      <c r="H14379" s="8" t="s">
        <v>54396</v>
      </c>
      <c r="I14379" s="8">
        <v>526.6875</v>
      </c>
      <c r="J14379" s="3">
        <f t="shared" si="224"/>
        <v>43749.553943206018</v>
      </c>
    </row>
    <row r="14380" spans="1:10" x14ac:dyDescent="0.25">
      <c r="A14380" s="5" t="s">
        <v>54397</v>
      </c>
      <c r="B14380" s="6">
        <v>393.75</v>
      </c>
      <c r="C14380" s="6">
        <v>20.584240000000001</v>
      </c>
      <c r="D14380" s="6">
        <v>46</v>
      </c>
      <c r="E14380" s="6">
        <v>0</v>
      </c>
      <c r="F14380" s="6">
        <v>0</v>
      </c>
      <c r="G14380" s="6">
        <v>18</v>
      </c>
      <c r="H14380" s="6" t="s">
        <v>54398</v>
      </c>
      <c r="I14380" s="6">
        <v>526.6875</v>
      </c>
      <c r="J14380" s="2">
        <f t="shared" si="224"/>
        <v>43749.554026747683</v>
      </c>
    </row>
    <row r="14381" spans="1:10" x14ac:dyDescent="0.25">
      <c r="A14381" s="7" t="s">
        <v>54399</v>
      </c>
      <c r="B14381" s="8">
        <v>393.75</v>
      </c>
      <c r="C14381" s="8">
        <v>20.531590000000001</v>
      </c>
      <c r="D14381" s="8">
        <v>47</v>
      </c>
      <c r="E14381" s="8">
        <v>0</v>
      </c>
      <c r="F14381" s="8">
        <v>0</v>
      </c>
      <c r="G14381" s="8">
        <v>18</v>
      </c>
      <c r="H14381" s="8" t="s">
        <v>54400</v>
      </c>
      <c r="I14381" s="8">
        <v>526.6875</v>
      </c>
      <c r="J14381" s="3">
        <f t="shared" si="224"/>
        <v>43749.554109861107</v>
      </c>
    </row>
    <row r="14382" spans="1:10" x14ac:dyDescent="0.25">
      <c r="A14382" s="5" t="s">
        <v>54401</v>
      </c>
      <c r="B14382" s="6">
        <v>393.75</v>
      </c>
      <c r="C14382" s="6">
        <v>20.531590000000001</v>
      </c>
      <c r="D14382" s="6">
        <v>49</v>
      </c>
      <c r="E14382" s="6">
        <v>0</v>
      </c>
      <c r="F14382" s="6">
        <v>0</v>
      </c>
      <c r="G14382" s="6">
        <v>12</v>
      </c>
      <c r="H14382" s="6" t="s">
        <v>54402</v>
      </c>
      <c r="I14382" s="6">
        <v>526.6875</v>
      </c>
      <c r="J14382" s="2">
        <f t="shared" si="224"/>
        <v>43749.5541934375</v>
      </c>
    </row>
    <row r="14383" spans="1:10" x14ac:dyDescent="0.25">
      <c r="A14383" s="7" t="s">
        <v>54403</v>
      </c>
      <c r="B14383" s="8">
        <v>393.75</v>
      </c>
      <c r="C14383" s="8">
        <v>20.531590000000001</v>
      </c>
      <c r="D14383" s="8">
        <v>49</v>
      </c>
      <c r="E14383" s="8">
        <v>0</v>
      </c>
      <c r="F14383" s="8">
        <v>0</v>
      </c>
      <c r="G14383" s="8">
        <v>18</v>
      </c>
      <c r="H14383" s="8" t="s">
        <v>54404</v>
      </c>
      <c r="I14383" s="8">
        <v>526.6875</v>
      </c>
      <c r="J14383" s="3">
        <f t="shared" si="224"/>
        <v>43749.554264837956</v>
      </c>
    </row>
    <row r="14384" spans="1:10" x14ac:dyDescent="0.25">
      <c r="A14384" s="5" t="s">
        <v>54405</v>
      </c>
      <c r="B14384" s="6">
        <v>412.5</v>
      </c>
      <c r="C14384" s="6">
        <v>20.584240000000001</v>
      </c>
      <c r="D14384" s="6">
        <v>48</v>
      </c>
      <c r="E14384" s="6">
        <v>0</v>
      </c>
      <c r="F14384" s="6">
        <v>0</v>
      </c>
      <c r="G14384" s="6">
        <v>9</v>
      </c>
      <c r="H14384" s="6" t="s">
        <v>54406</v>
      </c>
      <c r="I14384" s="6">
        <v>532.875</v>
      </c>
      <c r="J14384" s="2">
        <f t="shared" si="224"/>
        <v>43749.55433684028</v>
      </c>
    </row>
    <row r="14385" spans="1:10" x14ac:dyDescent="0.25">
      <c r="A14385" s="7" t="s">
        <v>54407</v>
      </c>
      <c r="B14385" s="8">
        <v>393.75</v>
      </c>
      <c r="C14385" s="8">
        <v>20.531590000000001</v>
      </c>
      <c r="D14385" s="8">
        <v>48</v>
      </c>
      <c r="E14385" s="8">
        <v>0</v>
      </c>
      <c r="F14385" s="8">
        <v>0</v>
      </c>
      <c r="G14385" s="8">
        <v>9</v>
      </c>
      <c r="H14385" s="8" t="s">
        <v>54408</v>
      </c>
      <c r="I14385" s="8">
        <v>526.6875</v>
      </c>
      <c r="J14385" s="3">
        <f t="shared" si="224"/>
        <v>43749.554420289351</v>
      </c>
    </row>
    <row r="14386" spans="1:10" x14ac:dyDescent="0.25">
      <c r="A14386" s="5" t="s">
        <v>54409</v>
      </c>
      <c r="B14386" s="6">
        <v>393.75</v>
      </c>
      <c r="C14386" s="6">
        <v>20.584240000000001</v>
      </c>
      <c r="D14386" s="6">
        <v>48</v>
      </c>
      <c r="E14386" s="6">
        <v>0</v>
      </c>
      <c r="F14386" s="6">
        <v>0</v>
      </c>
      <c r="G14386" s="6">
        <v>15</v>
      </c>
      <c r="H14386" s="6" t="s">
        <v>54410</v>
      </c>
      <c r="I14386" s="6">
        <v>526.6875</v>
      </c>
      <c r="J14386" s="2">
        <f t="shared" si="224"/>
        <v>43749.554492002317</v>
      </c>
    </row>
    <row r="14387" spans="1:10" x14ac:dyDescent="0.25">
      <c r="A14387" s="7" t="s">
        <v>54411</v>
      </c>
      <c r="B14387" s="8">
        <v>393.75</v>
      </c>
      <c r="C14387" s="8">
        <v>20.584240000000001</v>
      </c>
      <c r="D14387" s="8">
        <v>49</v>
      </c>
      <c r="E14387" s="8">
        <v>0</v>
      </c>
      <c r="F14387" s="8">
        <v>0</v>
      </c>
      <c r="G14387" s="8">
        <v>15</v>
      </c>
      <c r="H14387" s="8" t="s">
        <v>54412</v>
      </c>
      <c r="I14387" s="8">
        <v>526.6875</v>
      </c>
      <c r="J14387" s="3">
        <f t="shared" si="224"/>
        <v>43749.554575011571</v>
      </c>
    </row>
    <row r="14388" spans="1:10" x14ac:dyDescent="0.25">
      <c r="A14388" s="5" t="s">
        <v>54413</v>
      </c>
      <c r="B14388" s="6">
        <v>393.75</v>
      </c>
      <c r="C14388" s="6">
        <v>20.531590000000001</v>
      </c>
      <c r="D14388" s="6">
        <v>49</v>
      </c>
      <c r="E14388" s="6">
        <v>0</v>
      </c>
      <c r="F14388" s="6">
        <v>0</v>
      </c>
      <c r="G14388" s="6">
        <v>16</v>
      </c>
      <c r="H14388" s="6" t="s">
        <v>54414</v>
      </c>
      <c r="I14388" s="6">
        <v>526.6875</v>
      </c>
      <c r="J14388" s="2">
        <f t="shared" si="224"/>
        <v>43749.554646655095</v>
      </c>
    </row>
    <row r="14389" spans="1:10" x14ac:dyDescent="0.25">
      <c r="A14389" s="7" t="s">
        <v>54415</v>
      </c>
      <c r="B14389" s="8">
        <v>393.75</v>
      </c>
      <c r="C14389" s="8">
        <v>20.531590000000001</v>
      </c>
      <c r="D14389" s="8">
        <v>50</v>
      </c>
      <c r="E14389" s="8">
        <v>0</v>
      </c>
      <c r="F14389" s="8">
        <v>0</v>
      </c>
      <c r="G14389" s="8">
        <v>20</v>
      </c>
      <c r="H14389" s="8" t="s">
        <v>54416</v>
      </c>
      <c r="I14389" s="8">
        <v>526.6875</v>
      </c>
      <c r="J14389" s="3">
        <f t="shared" si="224"/>
        <v>43749.554730520831</v>
      </c>
    </row>
    <row r="14390" spans="1:10" x14ac:dyDescent="0.25">
      <c r="A14390" s="5" t="s">
        <v>54417</v>
      </c>
      <c r="B14390" s="6">
        <v>393.75</v>
      </c>
      <c r="C14390" s="6">
        <v>20.584240000000001</v>
      </c>
      <c r="D14390" s="6">
        <v>49</v>
      </c>
      <c r="E14390" s="6">
        <v>0</v>
      </c>
      <c r="F14390" s="6">
        <v>0</v>
      </c>
      <c r="G14390" s="6">
        <v>26</v>
      </c>
      <c r="H14390" s="6" t="s">
        <v>54418</v>
      </c>
      <c r="I14390" s="6">
        <v>526.6875</v>
      </c>
      <c r="J14390" s="2">
        <f t="shared" si="224"/>
        <v>43749.55481390046</v>
      </c>
    </row>
    <row r="14391" spans="1:10" x14ac:dyDescent="0.25">
      <c r="A14391" s="7" t="s">
        <v>54419</v>
      </c>
      <c r="B14391" s="8">
        <v>393.75</v>
      </c>
      <c r="C14391" s="8">
        <v>20.584240000000001</v>
      </c>
      <c r="D14391" s="8">
        <v>49</v>
      </c>
      <c r="E14391" s="8">
        <v>0</v>
      </c>
      <c r="F14391" s="8">
        <v>0</v>
      </c>
      <c r="G14391" s="8">
        <v>26</v>
      </c>
      <c r="H14391" s="8" t="s">
        <v>54420</v>
      </c>
      <c r="I14391" s="8">
        <v>526.6875</v>
      </c>
      <c r="J14391" s="3">
        <f t="shared" si="224"/>
        <v>43749.554897141199</v>
      </c>
    </row>
    <row r="14392" spans="1:10" x14ac:dyDescent="0.25">
      <c r="A14392" s="5" t="s">
        <v>54421</v>
      </c>
      <c r="B14392" s="6">
        <v>393.75</v>
      </c>
      <c r="C14392" s="6">
        <v>20.531590000000001</v>
      </c>
      <c r="D14392" s="6">
        <v>49</v>
      </c>
      <c r="E14392" s="6">
        <v>0</v>
      </c>
      <c r="F14392" s="6">
        <v>0</v>
      </c>
      <c r="G14392" s="6">
        <v>13</v>
      </c>
      <c r="H14392" s="6" t="s">
        <v>54422</v>
      </c>
      <c r="I14392" s="6">
        <v>526.6875</v>
      </c>
      <c r="J14392" s="2">
        <f t="shared" si="224"/>
        <v>43749.554980578701</v>
      </c>
    </row>
    <row r="14393" spans="1:10" x14ac:dyDescent="0.25">
      <c r="A14393" s="7" t="s">
        <v>54423</v>
      </c>
      <c r="B14393" s="8">
        <v>393.75</v>
      </c>
      <c r="C14393" s="8">
        <v>20.584240000000001</v>
      </c>
      <c r="D14393" s="8">
        <v>46</v>
      </c>
      <c r="E14393" s="8">
        <v>0</v>
      </c>
      <c r="F14393" s="8">
        <v>0</v>
      </c>
      <c r="G14393" s="8">
        <v>22</v>
      </c>
      <c r="H14393" s="8" t="s">
        <v>54424</v>
      </c>
      <c r="I14393" s="8">
        <v>526.6875</v>
      </c>
      <c r="J14393" s="3">
        <f t="shared" si="224"/>
        <v>43749.555064479166</v>
      </c>
    </row>
    <row r="14394" spans="1:10" x14ac:dyDescent="0.25">
      <c r="A14394" s="5" t="s">
        <v>54425</v>
      </c>
      <c r="B14394" s="6">
        <v>393.75</v>
      </c>
      <c r="C14394" s="6">
        <v>20.531590000000001</v>
      </c>
      <c r="D14394" s="6">
        <v>46</v>
      </c>
      <c r="E14394" s="6">
        <v>0</v>
      </c>
      <c r="F14394" s="6">
        <v>0</v>
      </c>
      <c r="G14394" s="6">
        <v>17</v>
      </c>
      <c r="H14394" s="6" t="s">
        <v>54426</v>
      </c>
      <c r="I14394" s="6">
        <v>526.6875</v>
      </c>
      <c r="J14394" s="2">
        <f t="shared" si="224"/>
        <v>43749.555135891198</v>
      </c>
    </row>
    <row r="14395" spans="1:10" x14ac:dyDescent="0.25">
      <c r="A14395" s="7" t="s">
        <v>54427</v>
      </c>
      <c r="B14395" s="8">
        <v>412.5</v>
      </c>
      <c r="C14395" s="8">
        <v>20.478950000000001</v>
      </c>
      <c r="D14395" s="8">
        <v>46</v>
      </c>
      <c r="E14395" s="8">
        <v>0</v>
      </c>
      <c r="F14395" s="8">
        <v>0</v>
      </c>
      <c r="G14395" s="8">
        <v>8</v>
      </c>
      <c r="H14395" s="8" t="s">
        <v>54428</v>
      </c>
      <c r="I14395" s="8">
        <v>532.5</v>
      </c>
      <c r="J14395" s="3">
        <f t="shared" si="224"/>
        <v>43749.555219571754</v>
      </c>
    </row>
    <row r="14396" spans="1:10" x14ac:dyDescent="0.25">
      <c r="A14396" s="5" t="s">
        <v>54429</v>
      </c>
      <c r="B14396" s="6">
        <v>393.75</v>
      </c>
      <c r="C14396" s="6">
        <v>20.531590000000001</v>
      </c>
      <c r="D14396" s="6">
        <v>45</v>
      </c>
      <c r="E14396" s="6">
        <v>0</v>
      </c>
      <c r="F14396" s="6">
        <v>0</v>
      </c>
      <c r="G14396" s="6">
        <v>18</v>
      </c>
      <c r="H14396" s="6" t="s">
        <v>54430</v>
      </c>
      <c r="I14396" s="6">
        <v>526.6875</v>
      </c>
      <c r="J14396" s="2">
        <f t="shared" si="224"/>
        <v>43749.555302905086</v>
      </c>
    </row>
    <row r="14397" spans="1:10" x14ac:dyDescent="0.25">
      <c r="A14397" s="7" t="s">
        <v>54431</v>
      </c>
      <c r="B14397" s="8">
        <v>393.75</v>
      </c>
      <c r="C14397" s="8">
        <v>20.531590000000001</v>
      </c>
      <c r="D14397" s="8">
        <v>47</v>
      </c>
      <c r="E14397" s="8">
        <v>0</v>
      </c>
      <c r="F14397" s="8">
        <v>0</v>
      </c>
      <c r="G14397" s="8">
        <v>15</v>
      </c>
      <c r="H14397" s="8" t="s">
        <v>54432</v>
      </c>
      <c r="I14397" s="8">
        <v>526.6875</v>
      </c>
      <c r="J14397" s="3">
        <f t="shared" si="224"/>
        <v>43749.555386215274</v>
      </c>
    </row>
    <row r="14398" spans="1:10" x14ac:dyDescent="0.25">
      <c r="A14398" s="5" t="s">
        <v>54433</v>
      </c>
      <c r="B14398" s="6">
        <v>393.75</v>
      </c>
      <c r="C14398" s="6">
        <v>20.584240000000001</v>
      </c>
      <c r="D14398" s="6">
        <v>47</v>
      </c>
      <c r="E14398" s="6">
        <v>0</v>
      </c>
      <c r="F14398" s="6">
        <v>0</v>
      </c>
      <c r="G14398" s="6">
        <v>25</v>
      </c>
      <c r="H14398" s="6" t="s">
        <v>54434</v>
      </c>
      <c r="I14398" s="6">
        <v>526.6875</v>
      </c>
      <c r="J14398" s="2">
        <f t="shared" si="224"/>
        <v>43749.555457789349</v>
      </c>
    </row>
    <row r="14399" spans="1:10" x14ac:dyDescent="0.25">
      <c r="A14399" s="7" t="s">
        <v>54435</v>
      </c>
      <c r="B14399" s="8">
        <v>393.75</v>
      </c>
      <c r="C14399" s="8">
        <v>20.584240000000001</v>
      </c>
      <c r="D14399" s="8">
        <v>45</v>
      </c>
      <c r="E14399" s="8">
        <v>0</v>
      </c>
      <c r="F14399" s="8">
        <v>0</v>
      </c>
      <c r="G14399" s="8">
        <v>21</v>
      </c>
      <c r="H14399" s="8" t="s">
        <v>54436</v>
      </c>
      <c r="I14399" s="8">
        <v>526.6875</v>
      </c>
      <c r="J14399" s="3">
        <f t="shared" si="224"/>
        <v>43749.555541574075</v>
      </c>
    </row>
    <row r="14400" spans="1:10" x14ac:dyDescent="0.25">
      <c r="A14400" s="5" t="s">
        <v>54437</v>
      </c>
      <c r="B14400" s="6">
        <v>393.75</v>
      </c>
      <c r="C14400" s="6">
        <v>20.584240000000001</v>
      </c>
      <c r="D14400" s="6">
        <v>46</v>
      </c>
      <c r="E14400" s="6">
        <v>0</v>
      </c>
      <c r="F14400" s="6">
        <v>0</v>
      </c>
      <c r="G14400" s="6">
        <v>23</v>
      </c>
      <c r="H14400" s="6" t="s">
        <v>54438</v>
      </c>
      <c r="I14400" s="6">
        <v>526.6875</v>
      </c>
      <c r="J14400" s="2">
        <f t="shared" si="224"/>
        <v>43749.555636956014</v>
      </c>
    </row>
    <row r="14401" spans="1:10" x14ac:dyDescent="0.25">
      <c r="A14401" s="7" t="s">
        <v>54439</v>
      </c>
      <c r="B14401" s="8">
        <v>393.75</v>
      </c>
      <c r="C14401" s="8">
        <v>20.584240000000001</v>
      </c>
      <c r="D14401" s="8">
        <v>47</v>
      </c>
      <c r="E14401" s="8">
        <v>0</v>
      </c>
      <c r="F14401" s="8">
        <v>0</v>
      </c>
      <c r="G14401" s="8">
        <v>22</v>
      </c>
      <c r="H14401" s="8" t="s">
        <v>54440</v>
      </c>
      <c r="I14401" s="8">
        <v>526.6875</v>
      </c>
      <c r="J14401" s="3">
        <f t="shared" si="224"/>
        <v>43749.555720370372</v>
      </c>
    </row>
    <row r="14402" spans="1:10" x14ac:dyDescent="0.25">
      <c r="A14402" s="5" t="s">
        <v>54441</v>
      </c>
      <c r="B14402" s="6">
        <v>412.5</v>
      </c>
      <c r="C14402" s="6">
        <v>20.584240000000001</v>
      </c>
      <c r="D14402" s="6">
        <v>47</v>
      </c>
      <c r="E14402" s="6">
        <v>0</v>
      </c>
      <c r="F14402" s="6">
        <v>0</v>
      </c>
      <c r="G14402" s="6">
        <v>17</v>
      </c>
      <c r="H14402" s="6" t="s">
        <v>54442</v>
      </c>
      <c r="I14402" s="6">
        <v>532.5</v>
      </c>
      <c r="J14402" s="2">
        <f t="shared" ref="J14402:J14465" si="225">(H14402/86400000)+25569+(7/24)</f>
        <v>43749.555791643514</v>
      </c>
    </row>
    <row r="14403" spans="1:10" x14ac:dyDescent="0.25">
      <c r="A14403" s="7" t="s">
        <v>54443</v>
      </c>
      <c r="B14403" s="8">
        <v>393.75</v>
      </c>
      <c r="C14403" s="8">
        <v>20.584240000000001</v>
      </c>
      <c r="D14403" s="8">
        <v>48</v>
      </c>
      <c r="E14403" s="8">
        <v>0</v>
      </c>
      <c r="F14403" s="8">
        <v>0</v>
      </c>
      <c r="G14403" s="8">
        <v>14</v>
      </c>
      <c r="H14403" s="8" t="s">
        <v>54444</v>
      </c>
      <c r="I14403" s="8">
        <v>526.6875</v>
      </c>
      <c r="J14403" s="3">
        <f t="shared" si="225"/>
        <v>43749.555887407405</v>
      </c>
    </row>
    <row r="14404" spans="1:10" x14ac:dyDescent="0.25">
      <c r="A14404" s="5" t="s">
        <v>54445</v>
      </c>
      <c r="B14404" s="6">
        <v>393.75</v>
      </c>
      <c r="C14404" s="6">
        <v>20.584240000000001</v>
      </c>
      <c r="D14404" s="6">
        <v>48</v>
      </c>
      <c r="E14404" s="6">
        <v>0</v>
      </c>
      <c r="F14404" s="6">
        <v>0</v>
      </c>
      <c r="G14404" s="6">
        <v>19</v>
      </c>
      <c r="H14404" s="6" t="s">
        <v>54446</v>
      </c>
      <c r="I14404" s="6">
        <v>526.6875</v>
      </c>
      <c r="J14404" s="2">
        <f t="shared" si="225"/>
        <v>43749.555970844907</v>
      </c>
    </row>
    <row r="14405" spans="1:10" x14ac:dyDescent="0.25">
      <c r="A14405" s="7" t="s">
        <v>54447</v>
      </c>
      <c r="B14405" s="8">
        <v>393.75</v>
      </c>
      <c r="C14405" s="8">
        <v>20.531590000000001</v>
      </c>
      <c r="D14405" s="8">
        <v>47</v>
      </c>
      <c r="E14405" s="8">
        <v>0</v>
      </c>
      <c r="F14405" s="8">
        <v>0</v>
      </c>
      <c r="G14405" s="8">
        <v>17</v>
      </c>
      <c r="H14405" s="8" t="s">
        <v>54448</v>
      </c>
      <c r="I14405" s="8">
        <v>526.6875</v>
      </c>
      <c r="J14405" s="3">
        <f t="shared" si="225"/>
        <v>43749.556054444438</v>
      </c>
    </row>
    <row r="14406" spans="1:10" x14ac:dyDescent="0.25">
      <c r="A14406" s="5" t="s">
        <v>54449</v>
      </c>
      <c r="B14406" s="6">
        <v>393.75</v>
      </c>
      <c r="C14406" s="6">
        <v>20.531590000000001</v>
      </c>
      <c r="D14406" s="6">
        <v>47</v>
      </c>
      <c r="E14406" s="6">
        <v>0</v>
      </c>
      <c r="F14406" s="6">
        <v>0</v>
      </c>
      <c r="G14406" s="6">
        <v>12</v>
      </c>
      <c r="H14406" s="6" t="s">
        <v>54450</v>
      </c>
      <c r="I14406" s="6">
        <v>526.6875</v>
      </c>
      <c r="J14406" s="2">
        <f t="shared" si="225"/>
        <v>43749.556137870364</v>
      </c>
    </row>
    <row r="14407" spans="1:10" x14ac:dyDescent="0.25">
      <c r="A14407" s="7" t="s">
        <v>54451</v>
      </c>
      <c r="B14407" s="8">
        <v>393.75</v>
      </c>
      <c r="C14407" s="8">
        <v>20.478950000000001</v>
      </c>
      <c r="D14407" s="8">
        <v>47</v>
      </c>
      <c r="E14407" s="8">
        <v>0</v>
      </c>
      <c r="F14407" s="8">
        <v>0</v>
      </c>
      <c r="G14407" s="8">
        <v>9</v>
      </c>
      <c r="H14407" s="8" t="s">
        <v>54452</v>
      </c>
      <c r="I14407" s="8">
        <v>526.6875</v>
      </c>
      <c r="J14407" s="3">
        <f t="shared" si="225"/>
        <v>43749.556233344905</v>
      </c>
    </row>
    <row r="14408" spans="1:10" x14ac:dyDescent="0.25">
      <c r="A14408" s="5" t="s">
        <v>54453</v>
      </c>
      <c r="B14408" s="6">
        <v>393.75</v>
      </c>
      <c r="C14408" s="6">
        <v>20.531590000000001</v>
      </c>
      <c r="D14408" s="6">
        <v>48</v>
      </c>
      <c r="E14408" s="6">
        <v>0</v>
      </c>
      <c r="F14408" s="6">
        <v>0</v>
      </c>
      <c r="G14408" s="6">
        <v>14</v>
      </c>
      <c r="H14408" s="6" t="s">
        <v>54454</v>
      </c>
      <c r="I14408" s="6">
        <v>526.6875</v>
      </c>
      <c r="J14408" s="2">
        <f t="shared" si="225"/>
        <v>43749.556316793976</v>
      </c>
    </row>
    <row r="14409" spans="1:10" x14ac:dyDescent="0.25">
      <c r="A14409" s="7" t="s">
        <v>54455</v>
      </c>
      <c r="B14409" s="8">
        <v>393.75</v>
      </c>
      <c r="C14409" s="8">
        <v>20.531590000000001</v>
      </c>
      <c r="D14409" s="8">
        <v>43</v>
      </c>
      <c r="E14409" s="8">
        <v>0</v>
      </c>
      <c r="F14409" s="8">
        <v>0</v>
      </c>
      <c r="G14409" s="8">
        <v>25</v>
      </c>
      <c r="H14409" s="8" t="s">
        <v>54456</v>
      </c>
      <c r="I14409" s="8">
        <v>526.6875</v>
      </c>
      <c r="J14409" s="3">
        <f t="shared" si="225"/>
        <v>43749.556400243055</v>
      </c>
    </row>
    <row r="14410" spans="1:10" x14ac:dyDescent="0.25">
      <c r="A14410" s="5" t="s">
        <v>54457</v>
      </c>
      <c r="B14410" s="6">
        <v>393.75</v>
      </c>
      <c r="C14410" s="6">
        <v>20.531590000000001</v>
      </c>
      <c r="D14410" s="6">
        <v>44</v>
      </c>
      <c r="E14410" s="6">
        <v>0</v>
      </c>
      <c r="F14410" s="6">
        <v>0</v>
      </c>
      <c r="G14410" s="6">
        <v>29</v>
      </c>
      <c r="H14410" s="6" t="s">
        <v>54458</v>
      </c>
      <c r="I14410" s="6">
        <v>526.6875</v>
      </c>
      <c r="J14410" s="2">
        <f t="shared" si="225"/>
        <v>43749.556483715271</v>
      </c>
    </row>
    <row r="14411" spans="1:10" x14ac:dyDescent="0.25">
      <c r="A14411" s="7" t="s">
        <v>54459</v>
      </c>
      <c r="B14411" s="8">
        <v>393.75</v>
      </c>
      <c r="C14411" s="8">
        <v>20.584240000000001</v>
      </c>
      <c r="D14411" s="8">
        <v>45</v>
      </c>
      <c r="E14411" s="8">
        <v>0</v>
      </c>
      <c r="F14411" s="8">
        <v>0</v>
      </c>
      <c r="G14411" s="8">
        <v>18</v>
      </c>
      <c r="H14411" s="8" t="s">
        <v>54460</v>
      </c>
      <c r="I14411" s="8">
        <v>526.6875</v>
      </c>
      <c r="J14411" s="3">
        <f t="shared" si="225"/>
        <v>43749.556566921296</v>
      </c>
    </row>
    <row r="14412" spans="1:10" x14ac:dyDescent="0.25">
      <c r="A14412" s="5" t="s">
        <v>54461</v>
      </c>
      <c r="B14412" s="6">
        <v>393.75</v>
      </c>
      <c r="C14412" s="6">
        <v>20.584240000000001</v>
      </c>
      <c r="D14412" s="6">
        <v>46</v>
      </c>
      <c r="E14412" s="6">
        <v>0</v>
      </c>
      <c r="F14412" s="6">
        <v>0</v>
      </c>
      <c r="G14412" s="6">
        <v>18</v>
      </c>
      <c r="H14412" s="6" t="s">
        <v>54462</v>
      </c>
      <c r="I14412" s="6">
        <v>526.6875</v>
      </c>
      <c r="J14412" s="2">
        <f t="shared" si="225"/>
        <v>43749.556650706021</v>
      </c>
    </row>
    <row r="14413" spans="1:10" x14ac:dyDescent="0.25">
      <c r="A14413" s="7" t="s">
        <v>54463</v>
      </c>
      <c r="B14413" s="8">
        <v>412.5</v>
      </c>
      <c r="C14413" s="8">
        <v>20.531590000000001</v>
      </c>
      <c r="D14413" s="8">
        <v>45</v>
      </c>
      <c r="E14413" s="8">
        <v>0</v>
      </c>
      <c r="F14413" s="8">
        <v>0</v>
      </c>
      <c r="G14413" s="8">
        <v>17</v>
      </c>
      <c r="H14413" s="8" t="s">
        <v>54464</v>
      </c>
      <c r="I14413" s="8">
        <v>532.3125</v>
      </c>
      <c r="J14413" s="3">
        <f t="shared" si="225"/>
        <v>43749.556734166668</v>
      </c>
    </row>
    <row r="14414" spans="1:10" x14ac:dyDescent="0.25">
      <c r="A14414" s="5" t="s">
        <v>54465</v>
      </c>
      <c r="B14414" s="6">
        <v>393.75</v>
      </c>
      <c r="C14414" s="6">
        <v>20.584240000000001</v>
      </c>
      <c r="D14414" s="6">
        <v>44</v>
      </c>
      <c r="E14414" s="6">
        <v>0</v>
      </c>
      <c r="F14414" s="6">
        <v>0</v>
      </c>
      <c r="G14414" s="6">
        <v>9</v>
      </c>
      <c r="H14414" s="6" t="s">
        <v>54466</v>
      </c>
      <c r="I14414" s="6">
        <v>526.6875</v>
      </c>
      <c r="J14414" s="2">
        <f t="shared" si="225"/>
        <v>43749.556817731478</v>
      </c>
    </row>
    <row r="14415" spans="1:10" x14ac:dyDescent="0.25">
      <c r="A14415" s="7" t="s">
        <v>54467</v>
      </c>
      <c r="B14415" s="8">
        <v>393.75</v>
      </c>
      <c r="C14415" s="8">
        <v>20.584240000000001</v>
      </c>
      <c r="D14415" s="8">
        <v>44</v>
      </c>
      <c r="E14415" s="8">
        <v>0</v>
      </c>
      <c r="F14415" s="8">
        <v>0</v>
      </c>
      <c r="G14415" s="8">
        <v>12</v>
      </c>
      <c r="H14415" s="8" t="s">
        <v>54468</v>
      </c>
      <c r="I14415" s="8">
        <v>526.6875</v>
      </c>
      <c r="J14415" s="3">
        <f t="shared" si="225"/>
        <v>43749.556900972217</v>
      </c>
    </row>
    <row r="14416" spans="1:10" x14ac:dyDescent="0.25">
      <c r="A14416" s="5" t="s">
        <v>54469</v>
      </c>
      <c r="B14416" s="6">
        <v>393.75</v>
      </c>
      <c r="C14416" s="6">
        <v>20.584240000000001</v>
      </c>
      <c r="D14416" s="6">
        <v>44</v>
      </c>
      <c r="E14416" s="6">
        <v>0</v>
      </c>
      <c r="F14416" s="6">
        <v>0</v>
      </c>
      <c r="G14416" s="6">
        <v>6</v>
      </c>
      <c r="H14416" s="6" t="s">
        <v>54470</v>
      </c>
      <c r="I14416" s="6">
        <v>526.6875</v>
      </c>
      <c r="J14416" s="2">
        <f t="shared" si="225"/>
        <v>43749.556972592589</v>
      </c>
    </row>
    <row r="14417" spans="1:10" x14ac:dyDescent="0.25">
      <c r="A14417" s="7" t="s">
        <v>54471</v>
      </c>
      <c r="B14417" s="8">
        <v>393.75</v>
      </c>
      <c r="C14417" s="8">
        <v>20.531590000000001</v>
      </c>
      <c r="D14417" s="8">
        <v>42</v>
      </c>
      <c r="E14417" s="8">
        <v>0</v>
      </c>
      <c r="F14417" s="8">
        <v>0</v>
      </c>
      <c r="G14417" s="8">
        <v>8</v>
      </c>
      <c r="H14417" s="8" t="s">
        <v>54472</v>
      </c>
      <c r="I14417" s="8">
        <v>526.6875</v>
      </c>
      <c r="J14417" s="3">
        <f t="shared" si="225"/>
        <v>43749.557056388883</v>
      </c>
    </row>
    <row r="14418" spans="1:10" x14ac:dyDescent="0.25">
      <c r="A14418" s="5" t="s">
        <v>54473</v>
      </c>
      <c r="B14418" s="6">
        <v>412.5</v>
      </c>
      <c r="C14418" s="6">
        <v>20.584240000000001</v>
      </c>
      <c r="D14418" s="6">
        <v>43</v>
      </c>
      <c r="E14418" s="6">
        <v>0</v>
      </c>
      <c r="F14418" s="6">
        <v>0</v>
      </c>
      <c r="G14418" s="6">
        <v>0</v>
      </c>
      <c r="H14418" s="6" t="s">
        <v>54474</v>
      </c>
      <c r="I14418" s="6">
        <v>532.5</v>
      </c>
      <c r="J14418" s="2">
        <f t="shared" si="225"/>
        <v>43749.557139722216</v>
      </c>
    </row>
    <row r="14419" spans="1:10" x14ac:dyDescent="0.25">
      <c r="A14419" s="7" t="s">
        <v>54475</v>
      </c>
      <c r="B14419" s="8">
        <v>393.75</v>
      </c>
      <c r="C14419" s="8">
        <v>20.531590000000001</v>
      </c>
      <c r="D14419" s="8">
        <v>43</v>
      </c>
      <c r="E14419" s="8">
        <v>0</v>
      </c>
      <c r="F14419" s="8">
        <v>0</v>
      </c>
      <c r="G14419" s="8">
        <v>0</v>
      </c>
      <c r="H14419" s="8" t="s">
        <v>54476</v>
      </c>
      <c r="I14419" s="8">
        <v>526.6875</v>
      </c>
      <c r="J14419" s="3">
        <f t="shared" si="225"/>
        <v>43749.557223055548</v>
      </c>
    </row>
    <row r="14420" spans="1:10" x14ac:dyDescent="0.25">
      <c r="A14420" s="5" t="s">
        <v>54477</v>
      </c>
      <c r="B14420" s="6">
        <v>393.75</v>
      </c>
      <c r="C14420" s="6">
        <v>20.584240000000001</v>
      </c>
      <c r="D14420" s="6">
        <v>43</v>
      </c>
      <c r="E14420" s="6">
        <v>0</v>
      </c>
      <c r="F14420" s="6">
        <v>0</v>
      </c>
      <c r="G14420" s="6">
        <v>5</v>
      </c>
      <c r="H14420" s="6" t="s">
        <v>54478</v>
      </c>
      <c r="I14420" s="6">
        <v>526.6875</v>
      </c>
      <c r="J14420" s="2">
        <f t="shared" si="225"/>
        <v>43749.557294791659</v>
      </c>
    </row>
    <row r="14421" spans="1:10" x14ac:dyDescent="0.25">
      <c r="A14421" s="7" t="s">
        <v>54479</v>
      </c>
      <c r="B14421" s="8">
        <v>393.75</v>
      </c>
      <c r="C14421" s="8">
        <v>20.531590000000001</v>
      </c>
      <c r="D14421" s="8">
        <v>45</v>
      </c>
      <c r="E14421" s="8">
        <v>0</v>
      </c>
      <c r="F14421" s="8">
        <v>0</v>
      </c>
      <c r="G14421" s="8">
        <v>12</v>
      </c>
      <c r="H14421" s="8" t="s">
        <v>54480</v>
      </c>
      <c r="I14421" s="8">
        <v>526.6875</v>
      </c>
      <c r="J14421" s="3">
        <f t="shared" si="225"/>
        <v>43749.557378263889</v>
      </c>
    </row>
    <row r="14422" spans="1:10" x14ac:dyDescent="0.25">
      <c r="A14422" s="5" t="s">
        <v>54481</v>
      </c>
      <c r="B14422" s="6">
        <v>393.75</v>
      </c>
      <c r="C14422" s="6">
        <v>20.478950000000001</v>
      </c>
      <c r="D14422" s="6">
        <v>44</v>
      </c>
      <c r="E14422" s="6">
        <v>0</v>
      </c>
      <c r="F14422" s="6">
        <v>0</v>
      </c>
      <c r="G14422" s="6">
        <v>13</v>
      </c>
      <c r="H14422" s="6" t="s">
        <v>54482</v>
      </c>
      <c r="I14422" s="6">
        <v>526.6875</v>
      </c>
      <c r="J14422" s="2">
        <f t="shared" si="225"/>
        <v>43749.557461828699</v>
      </c>
    </row>
    <row r="14423" spans="1:10" x14ac:dyDescent="0.25">
      <c r="A14423" s="7" t="s">
        <v>54483</v>
      </c>
      <c r="B14423" s="8">
        <v>415.625</v>
      </c>
      <c r="C14423" s="8">
        <v>20.531590000000001</v>
      </c>
      <c r="D14423" s="8">
        <v>44</v>
      </c>
      <c r="E14423" s="8">
        <v>0</v>
      </c>
      <c r="F14423" s="8">
        <v>0</v>
      </c>
      <c r="G14423" s="8">
        <v>15</v>
      </c>
      <c r="H14423" s="8" t="s">
        <v>54484</v>
      </c>
      <c r="I14423" s="8">
        <v>533.0625</v>
      </c>
      <c r="J14423" s="3">
        <f t="shared" si="225"/>
        <v>43749.55754538194</v>
      </c>
    </row>
    <row r="14424" spans="1:10" x14ac:dyDescent="0.25">
      <c r="A14424" s="5" t="s">
        <v>54485</v>
      </c>
      <c r="B14424" s="6">
        <v>393.75</v>
      </c>
      <c r="C14424" s="6">
        <v>20.584240000000001</v>
      </c>
      <c r="D14424" s="6">
        <v>46</v>
      </c>
      <c r="E14424" s="6">
        <v>0</v>
      </c>
      <c r="F14424" s="6">
        <v>0</v>
      </c>
      <c r="G14424" s="6">
        <v>4</v>
      </c>
      <c r="H14424" s="6" t="s">
        <v>54486</v>
      </c>
      <c r="I14424" s="6">
        <v>526.6875</v>
      </c>
      <c r="J14424" s="2">
        <f t="shared" si="225"/>
        <v>43749.557628726849</v>
      </c>
    </row>
    <row r="14425" spans="1:10" x14ac:dyDescent="0.25">
      <c r="A14425" s="7" t="s">
        <v>54487</v>
      </c>
      <c r="B14425" s="8">
        <v>393.75</v>
      </c>
      <c r="C14425" s="8">
        <v>20.531590000000001</v>
      </c>
      <c r="D14425" s="8">
        <v>47</v>
      </c>
      <c r="E14425" s="8">
        <v>0</v>
      </c>
      <c r="F14425" s="8">
        <v>0</v>
      </c>
      <c r="G14425" s="8">
        <v>7</v>
      </c>
      <c r="H14425" s="8" t="s">
        <v>54488</v>
      </c>
      <c r="I14425" s="8">
        <v>526.6875</v>
      </c>
      <c r="J14425" s="3">
        <f t="shared" si="225"/>
        <v>43749.557711944442</v>
      </c>
    </row>
    <row r="14426" spans="1:10" x14ac:dyDescent="0.25">
      <c r="A14426" s="5" t="s">
        <v>54489</v>
      </c>
      <c r="B14426" s="6">
        <v>393.75</v>
      </c>
      <c r="C14426" s="6">
        <v>20.531590000000001</v>
      </c>
      <c r="D14426" s="6">
        <v>47</v>
      </c>
      <c r="E14426" s="6">
        <v>0</v>
      </c>
      <c r="F14426" s="6">
        <v>0</v>
      </c>
      <c r="G14426" s="6">
        <v>2</v>
      </c>
      <c r="H14426" s="6" t="s">
        <v>54490</v>
      </c>
      <c r="I14426" s="6">
        <v>526.6875</v>
      </c>
      <c r="J14426" s="2">
        <f t="shared" si="225"/>
        <v>43749.557783715274</v>
      </c>
    </row>
    <row r="14427" spans="1:10" x14ac:dyDescent="0.25">
      <c r="A14427" s="7" t="s">
        <v>54491</v>
      </c>
      <c r="B14427" s="8">
        <v>393.75</v>
      </c>
      <c r="C14427" s="8">
        <v>20.584240000000001</v>
      </c>
      <c r="D14427" s="8">
        <v>47</v>
      </c>
      <c r="E14427" s="8">
        <v>0</v>
      </c>
      <c r="F14427" s="8">
        <v>0</v>
      </c>
      <c r="G14427" s="8">
        <v>5</v>
      </c>
      <c r="H14427" s="8" t="s">
        <v>54492</v>
      </c>
      <c r="I14427" s="8">
        <v>526.6875</v>
      </c>
      <c r="J14427" s="3">
        <f t="shared" si="225"/>
        <v>43749.557867256946</v>
      </c>
    </row>
    <row r="14428" spans="1:10" x14ac:dyDescent="0.25">
      <c r="A14428" s="5" t="s">
        <v>54493</v>
      </c>
      <c r="B14428" s="6">
        <v>393.75</v>
      </c>
      <c r="C14428" s="6">
        <v>20.531590000000001</v>
      </c>
      <c r="D14428" s="6">
        <v>47</v>
      </c>
      <c r="E14428" s="6">
        <v>0</v>
      </c>
      <c r="F14428" s="6">
        <v>0</v>
      </c>
      <c r="G14428" s="6">
        <v>9</v>
      </c>
      <c r="H14428" s="6" t="s">
        <v>54494</v>
      </c>
      <c r="I14428" s="6">
        <v>526.6875</v>
      </c>
      <c r="J14428" s="2">
        <f t="shared" si="225"/>
        <v>43749.557950717593</v>
      </c>
    </row>
    <row r="14429" spans="1:10" x14ac:dyDescent="0.25">
      <c r="A14429" s="7" t="s">
        <v>54495</v>
      </c>
      <c r="B14429" s="8">
        <v>393.75</v>
      </c>
      <c r="C14429" s="8">
        <v>20.584240000000001</v>
      </c>
      <c r="D14429" s="8">
        <v>48</v>
      </c>
      <c r="E14429" s="8">
        <v>0</v>
      </c>
      <c r="F14429" s="8">
        <v>0</v>
      </c>
      <c r="G14429" s="8">
        <v>5</v>
      </c>
      <c r="H14429" s="8" t="s">
        <v>54496</v>
      </c>
      <c r="I14429" s="8">
        <v>526.6875</v>
      </c>
      <c r="J14429" s="3">
        <f t="shared" si="225"/>
        <v>43749.558034270834</v>
      </c>
    </row>
    <row r="14430" spans="1:10" x14ac:dyDescent="0.25">
      <c r="A14430" s="5" t="s">
        <v>54497</v>
      </c>
      <c r="B14430" s="6">
        <v>415.625</v>
      </c>
      <c r="C14430" s="6">
        <v>20.531590000000001</v>
      </c>
      <c r="D14430" s="6">
        <v>48</v>
      </c>
      <c r="E14430" s="6">
        <v>0</v>
      </c>
      <c r="F14430" s="6">
        <v>0</v>
      </c>
      <c r="G14430" s="6">
        <v>2</v>
      </c>
      <c r="H14430" s="6" t="s">
        <v>54498</v>
      </c>
      <c r="I14430" s="6">
        <v>533.25</v>
      </c>
      <c r="J14430" s="2">
        <f t="shared" si="225"/>
        <v>43749.558117731482</v>
      </c>
    </row>
    <row r="14431" spans="1:10" x14ac:dyDescent="0.25">
      <c r="A14431" s="7" t="s">
        <v>54499</v>
      </c>
      <c r="B14431" s="8">
        <v>393.75</v>
      </c>
      <c r="C14431" s="8">
        <v>20.584240000000001</v>
      </c>
      <c r="D14431" s="8">
        <v>47</v>
      </c>
      <c r="E14431" s="8">
        <v>0</v>
      </c>
      <c r="F14431" s="8">
        <v>0</v>
      </c>
      <c r="G14431" s="8">
        <v>1</v>
      </c>
      <c r="H14431" s="8" t="s">
        <v>54500</v>
      </c>
      <c r="I14431" s="8">
        <v>526.6875</v>
      </c>
      <c r="J14431" s="3">
        <f t="shared" si="225"/>
        <v>43749.558200937499</v>
      </c>
    </row>
    <row r="14432" spans="1:10" x14ac:dyDescent="0.25">
      <c r="A14432" s="5" t="s">
        <v>54501</v>
      </c>
      <c r="B14432" s="6">
        <v>393.75</v>
      </c>
      <c r="C14432" s="6">
        <v>20.531590000000001</v>
      </c>
      <c r="D14432" s="6">
        <v>47</v>
      </c>
      <c r="E14432" s="6">
        <v>0</v>
      </c>
      <c r="F14432" s="6">
        <v>0</v>
      </c>
      <c r="G14432" s="6">
        <v>0</v>
      </c>
      <c r="H14432" s="6" t="s">
        <v>54502</v>
      </c>
      <c r="I14432" s="6">
        <v>526.875</v>
      </c>
      <c r="J14432" s="2">
        <f t="shared" si="225"/>
        <v>43749.558272453702</v>
      </c>
    </row>
    <row r="14433" spans="1:10" x14ac:dyDescent="0.25">
      <c r="A14433" s="7" t="s">
        <v>54503</v>
      </c>
      <c r="B14433" s="8">
        <v>393.75</v>
      </c>
      <c r="C14433" s="8">
        <v>20.584240000000001</v>
      </c>
      <c r="D14433" s="8">
        <v>48</v>
      </c>
      <c r="E14433" s="8">
        <v>0</v>
      </c>
      <c r="F14433" s="8">
        <v>0</v>
      </c>
      <c r="G14433" s="8">
        <v>0</v>
      </c>
      <c r="H14433" s="8" t="s">
        <v>54504</v>
      </c>
      <c r="I14433" s="8">
        <v>526.6875</v>
      </c>
      <c r="J14433" s="3">
        <f t="shared" si="225"/>
        <v>43749.558370254628</v>
      </c>
    </row>
    <row r="14434" spans="1:10" x14ac:dyDescent="0.25">
      <c r="A14434" s="5" t="s">
        <v>54505</v>
      </c>
      <c r="B14434" s="6">
        <v>393.75</v>
      </c>
      <c r="C14434" s="6">
        <v>20.584240000000001</v>
      </c>
      <c r="D14434" s="6">
        <v>46</v>
      </c>
      <c r="E14434" s="6">
        <v>0</v>
      </c>
      <c r="F14434" s="6">
        <v>0</v>
      </c>
      <c r="G14434" s="6">
        <v>0</v>
      </c>
      <c r="H14434" s="6" t="s">
        <v>54506</v>
      </c>
      <c r="I14434" s="6">
        <v>526.6875</v>
      </c>
      <c r="J14434" s="2">
        <f t="shared" si="225"/>
        <v>43749.558451643512</v>
      </c>
    </row>
    <row r="14435" spans="1:10" x14ac:dyDescent="0.25">
      <c r="A14435" s="7" t="s">
        <v>54507</v>
      </c>
      <c r="B14435" s="8">
        <v>415.625</v>
      </c>
      <c r="C14435" s="8">
        <v>20.584240000000001</v>
      </c>
      <c r="D14435" s="8">
        <v>46</v>
      </c>
      <c r="E14435" s="8">
        <v>0</v>
      </c>
      <c r="F14435" s="8">
        <v>0</v>
      </c>
      <c r="G14435" s="8">
        <v>5</v>
      </c>
      <c r="H14435" s="8" t="s">
        <v>54508</v>
      </c>
      <c r="I14435" s="8">
        <v>533.25</v>
      </c>
      <c r="J14435" s="3">
        <f t="shared" si="225"/>
        <v>43749.558535219905</v>
      </c>
    </row>
    <row r="14436" spans="1:10" x14ac:dyDescent="0.25">
      <c r="A14436" s="5" t="s">
        <v>54509</v>
      </c>
      <c r="B14436" s="6">
        <v>393.75</v>
      </c>
      <c r="C14436" s="6">
        <v>20.584240000000001</v>
      </c>
      <c r="D14436" s="6">
        <v>45</v>
      </c>
      <c r="E14436" s="6">
        <v>0</v>
      </c>
      <c r="F14436" s="6">
        <v>0</v>
      </c>
      <c r="G14436" s="6">
        <v>10</v>
      </c>
      <c r="H14436" s="6" t="s">
        <v>54510</v>
      </c>
      <c r="I14436" s="6">
        <v>526.6875</v>
      </c>
      <c r="J14436" s="2">
        <f t="shared" si="225"/>
        <v>43749.558607060178</v>
      </c>
    </row>
    <row r="14437" spans="1:10" x14ac:dyDescent="0.25">
      <c r="A14437" s="7" t="s">
        <v>54511</v>
      </c>
      <c r="B14437" s="8">
        <v>393.75</v>
      </c>
      <c r="C14437" s="8">
        <v>20.531590000000001</v>
      </c>
      <c r="D14437" s="8">
        <v>46</v>
      </c>
      <c r="E14437" s="8">
        <v>0</v>
      </c>
      <c r="F14437" s="8">
        <v>0</v>
      </c>
      <c r="G14437" s="8">
        <v>11</v>
      </c>
      <c r="H14437" s="8" t="s">
        <v>54512</v>
      </c>
      <c r="I14437" s="8">
        <v>526.5</v>
      </c>
      <c r="J14437" s="3">
        <f t="shared" si="225"/>
        <v>43749.558689942125</v>
      </c>
    </row>
    <row r="14438" spans="1:10" x14ac:dyDescent="0.25">
      <c r="A14438" s="5" t="s">
        <v>54513</v>
      </c>
      <c r="B14438" s="6">
        <v>393.75</v>
      </c>
      <c r="C14438" s="6">
        <v>20.531590000000001</v>
      </c>
      <c r="D14438" s="6">
        <v>46</v>
      </c>
      <c r="E14438" s="6">
        <v>0</v>
      </c>
      <c r="F14438" s="6">
        <v>0</v>
      </c>
      <c r="G14438" s="6">
        <v>5</v>
      </c>
      <c r="H14438" s="6" t="s">
        <v>54514</v>
      </c>
      <c r="I14438" s="6">
        <v>526.6875</v>
      </c>
      <c r="J14438" s="2">
        <f t="shared" si="225"/>
        <v>43749.558761817127</v>
      </c>
    </row>
    <row r="14439" spans="1:10" x14ac:dyDescent="0.25">
      <c r="A14439" s="7" t="s">
        <v>54515</v>
      </c>
      <c r="B14439" s="8">
        <v>393.75</v>
      </c>
      <c r="C14439" s="8">
        <v>20.584240000000001</v>
      </c>
      <c r="D14439" s="8">
        <v>48</v>
      </c>
      <c r="E14439" s="8">
        <v>0</v>
      </c>
      <c r="F14439" s="8">
        <v>0</v>
      </c>
      <c r="G14439" s="8">
        <v>4</v>
      </c>
      <c r="H14439" s="8" t="s">
        <v>54516</v>
      </c>
      <c r="I14439" s="8">
        <v>526.6875</v>
      </c>
      <c r="J14439" s="3">
        <f t="shared" si="225"/>
        <v>43749.558845266198</v>
      </c>
    </row>
    <row r="14440" spans="1:10" x14ac:dyDescent="0.25">
      <c r="A14440" s="5" t="s">
        <v>54517</v>
      </c>
      <c r="B14440" s="6">
        <v>393.75</v>
      </c>
      <c r="C14440" s="6">
        <v>20.584240000000001</v>
      </c>
      <c r="D14440" s="6">
        <v>48</v>
      </c>
      <c r="E14440" s="6">
        <v>0</v>
      </c>
      <c r="F14440" s="6">
        <v>0</v>
      </c>
      <c r="G14440" s="6">
        <v>10</v>
      </c>
      <c r="H14440" s="6" t="s">
        <v>54518</v>
      </c>
      <c r="I14440" s="6">
        <v>526.6875</v>
      </c>
      <c r="J14440" s="2">
        <f t="shared" si="225"/>
        <v>43749.558940763884</v>
      </c>
    </row>
    <row r="14441" spans="1:10" x14ac:dyDescent="0.25">
      <c r="A14441" s="7" t="s">
        <v>54519</v>
      </c>
      <c r="B14441" s="8">
        <v>393.75</v>
      </c>
      <c r="C14441" s="8">
        <v>20.584240000000001</v>
      </c>
      <c r="D14441" s="8">
        <v>48</v>
      </c>
      <c r="E14441" s="8">
        <v>0</v>
      </c>
      <c r="F14441" s="8">
        <v>0</v>
      </c>
      <c r="G14441" s="8">
        <v>8</v>
      </c>
      <c r="H14441" s="8" t="s">
        <v>54520</v>
      </c>
      <c r="I14441" s="8">
        <v>526.6875</v>
      </c>
      <c r="J14441" s="3">
        <f t="shared" si="225"/>
        <v>43749.559024212962</v>
      </c>
    </row>
    <row r="14442" spans="1:10" x14ac:dyDescent="0.25">
      <c r="A14442" s="5" t="s">
        <v>54521</v>
      </c>
      <c r="B14442" s="6">
        <v>393.75</v>
      </c>
      <c r="C14442" s="6">
        <v>20.584240000000001</v>
      </c>
      <c r="D14442" s="6">
        <v>49</v>
      </c>
      <c r="E14442" s="6">
        <v>0</v>
      </c>
      <c r="F14442" s="6">
        <v>0</v>
      </c>
      <c r="G14442" s="6">
        <v>4</v>
      </c>
      <c r="H14442" s="6" t="s">
        <v>54522</v>
      </c>
      <c r="I14442" s="6">
        <v>526.6875</v>
      </c>
      <c r="J14442" s="2">
        <f t="shared" si="225"/>
        <v>43749.559119351848</v>
      </c>
    </row>
    <row r="14443" spans="1:10" x14ac:dyDescent="0.25">
      <c r="A14443" s="7" t="s">
        <v>54523</v>
      </c>
      <c r="B14443" s="8">
        <v>393.75</v>
      </c>
      <c r="C14443" s="8">
        <v>20.531590000000001</v>
      </c>
      <c r="D14443" s="8">
        <v>49</v>
      </c>
      <c r="E14443" s="8">
        <v>0</v>
      </c>
      <c r="F14443" s="8">
        <v>0</v>
      </c>
      <c r="G14443" s="8">
        <v>4</v>
      </c>
      <c r="H14443" s="8" t="s">
        <v>54524</v>
      </c>
      <c r="I14443" s="8">
        <v>526.6875</v>
      </c>
      <c r="J14443" s="3">
        <f t="shared" si="225"/>
        <v>43749.559191111104</v>
      </c>
    </row>
    <row r="14444" spans="1:10" x14ac:dyDescent="0.25">
      <c r="A14444" s="5" t="s">
        <v>54525</v>
      </c>
      <c r="B14444" s="6">
        <v>393.75</v>
      </c>
      <c r="C14444" s="6">
        <v>20.584240000000001</v>
      </c>
      <c r="D14444" s="6">
        <v>49</v>
      </c>
      <c r="E14444" s="6">
        <v>0</v>
      </c>
      <c r="F14444" s="6">
        <v>0</v>
      </c>
      <c r="G14444" s="6">
        <v>15</v>
      </c>
      <c r="H14444" s="6" t="s">
        <v>54526</v>
      </c>
      <c r="I14444" s="6">
        <v>526.6875</v>
      </c>
      <c r="J14444" s="2">
        <f t="shared" si="225"/>
        <v>43749.559274664345</v>
      </c>
    </row>
    <row r="14445" spans="1:10" x14ac:dyDescent="0.25">
      <c r="A14445" s="7" t="s">
        <v>54527</v>
      </c>
      <c r="B14445" s="8">
        <v>393.75</v>
      </c>
      <c r="C14445" s="8">
        <v>20.584240000000001</v>
      </c>
      <c r="D14445" s="8">
        <v>49</v>
      </c>
      <c r="E14445" s="8">
        <v>0</v>
      </c>
      <c r="F14445" s="8">
        <v>0</v>
      </c>
      <c r="G14445" s="8">
        <v>3</v>
      </c>
      <c r="H14445" s="8" t="s">
        <v>54528</v>
      </c>
      <c r="I14445" s="8">
        <v>526.5</v>
      </c>
      <c r="J14445" s="3">
        <f t="shared" si="225"/>
        <v>43749.559358124992</v>
      </c>
    </row>
    <row r="14446" spans="1:10" x14ac:dyDescent="0.25">
      <c r="A14446" s="5" t="s">
        <v>54529</v>
      </c>
      <c r="B14446" s="6">
        <v>393.75</v>
      </c>
      <c r="C14446" s="6">
        <v>20.584240000000001</v>
      </c>
      <c r="D14446" s="6">
        <v>48</v>
      </c>
      <c r="E14446" s="6">
        <v>0</v>
      </c>
      <c r="F14446" s="6">
        <v>0</v>
      </c>
      <c r="G14446" s="6">
        <v>0</v>
      </c>
      <c r="H14446" s="6" t="s">
        <v>54530</v>
      </c>
      <c r="I14446" s="6">
        <v>526.6875</v>
      </c>
      <c r="J14446" s="2">
        <f t="shared" si="225"/>
        <v>43749.559441527774</v>
      </c>
    </row>
    <row r="14447" spans="1:10" x14ac:dyDescent="0.25">
      <c r="A14447" s="7" t="s">
        <v>54531</v>
      </c>
      <c r="B14447" s="8">
        <v>415.625</v>
      </c>
      <c r="C14447" s="8">
        <v>20.531590000000001</v>
      </c>
      <c r="D14447" s="8">
        <v>47</v>
      </c>
      <c r="E14447" s="8">
        <v>0</v>
      </c>
      <c r="F14447" s="8">
        <v>0</v>
      </c>
      <c r="G14447" s="8">
        <v>12</v>
      </c>
      <c r="H14447" s="8" t="s">
        <v>54532</v>
      </c>
      <c r="I14447" s="8">
        <v>533.4375</v>
      </c>
      <c r="J14447" s="3">
        <f t="shared" si="225"/>
        <v>43749.559525092591</v>
      </c>
    </row>
    <row r="14448" spans="1:10" x14ac:dyDescent="0.25">
      <c r="A14448" s="5" t="s">
        <v>54533</v>
      </c>
      <c r="B14448" s="6">
        <v>393.75</v>
      </c>
      <c r="C14448" s="6">
        <v>20.531590000000001</v>
      </c>
      <c r="D14448" s="6">
        <v>48</v>
      </c>
      <c r="E14448" s="6">
        <v>0</v>
      </c>
      <c r="F14448" s="6">
        <v>0</v>
      </c>
      <c r="G14448" s="6">
        <v>15</v>
      </c>
      <c r="H14448" s="6" t="s">
        <v>54534</v>
      </c>
      <c r="I14448" s="6">
        <v>526.6875</v>
      </c>
      <c r="J14448" s="2">
        <f t="shared" si="225"/>
        <v>43749.559608344905</v>
      </c>
    </row>
    <row r="14449" spans="1:10" x14ac:dyDescent="0.25">
      <c r="A14449" s="7" t="s">
        <v>54535</v>
      </c>
      <c r="B14449" s="8">
        <v>393.75</v>
      </c>
      <c r="C14449" s="8">
        <v>20.584240000000001</v>
      </c>
      <c r="D14449" s="8">
        <v>49</v>
      </c>
      <c r="E14449" s="8">
        <v>0</v>
      </c>
      <c r="F14449" s="8">
        <v>0</v>
      </c>
      <c r="G14449" s="8">
        <v>13</v>
      </c>
      <c r="H14449" s="8" t="s">
        <v>54536</v>
      </c>
      <c r="I14449" s="8">
        <v>526.6875</v>
      </c>
      <c r="J14449" s="3">
        <f t="shared" si="225"/>
        <v>43749.559692002316</v>
      </c>
    </row>
    <row r="14450" spans="1:10" x14ac:dyDescent="0.25">
      <c r="A14450" s="5" t="s">
        <v>54537</v>
      </c>
      <c r="B14450" s="6">
        <v>393.75</v>
      </c>
      <c r="C14450" s="6">
        <v>20.584240000000001</v>
      </c>
      <c r="D14450" s="6">
        <v>48</v>
      </c>
      <c r="E14450" s="6">
        <v>0</v>
      </c>
      <c r="F14450" s="6">
        <v>0</v>
      </c>
      <c r="G14450" s="6">
        <v>15</v>
      </c>
      <c r="H14450" s="6" t="s">
        <v>54538</v>
      </c>
      <c r="I14450" s="6">
        <v>526.6875</v>
      </c>
      <c r="J14450" s="2">
        <f t="shared" si="225"/>
        <v>43749.559775798603</v>
      </c>
    </row>
    <row r="14451" spans="1:10" x14ac:dyDescent="0.25">
      <c r="A14451" s="7" t="s">
        <v>54539</v>
      </c>
      <c r="B14451" s="8">
        <v>393.75</v>
      </c>
      <c r="C14451" s="8">
        <v>20.584240000000001</v>
      </c>
      <c r="D14451" s="8">
        <v>49</v>
      </c>
      <c r="E14451" s="8">
        <v>0</v>
      </c>
      <c r="F14451" s="8">
        <v>0</v>
      </c>
      <c r="G14451" s="8">
        <v>18</v>
      </c>
      <c r="H14451" s="8" t="s">
        <v>54540</v>
      </c>
      <c r="I14451" s="8">
        <v>526.6875</v>
      </c>
      <c r="J14451" s="3">
        <f t="shared" si="225"/>
        <v>43749.559847118049</v>
      </c>
    </row>
    <row r="14452" spans="1:10" x14ac:dyDescent="0.25">
      <c r="A14452" s="5" t="s">
        <v>54541</v>
      </c>
      <c r="B14452" s="6">
        <v>415.625</v>
      </c>
      <c r="C14452" s="6">
        <v>20.584240000000001</v>
      </c>
      <c r="D14452" s="6">
        <v>47</v>
      </c>
      <c r="E14452" s="6">
        <v>0</v>
      </c>
      <c r="F14452" s="6">
        <v>0</v>
      </c>
      <c r="G14452" s="6">
        <v>16</v>
      </c>
      <c r="H14452" s="6" t="s">
        <v>54542</v>
      </c>
      <c r="I14452" s="6">
        <v>533.25</v>
      </c>
      <c r="J14452" s="2">
        <f t="shared" si="225"/>
        <v>43749.559930428237</v>
      </c>
    </row>
    <row r="14453" spans="1:10" x14ac:dyDescent="0.25">
      <c r="A14453" s="7" t="s">
        <v>54543</v>
      </c>
      <c r="B14453" s="8">
        <v>393.75</v>
      </c>
      <c r="C14453" s="8">
        <v>20.584240000000001</v>
      </c>
      <c r="D14453" s="8">
        <v>45</v>
      </c>
      <c r="E14453" s="8">
        <v>0</v>
      </c>
      <c r="F14453" s="8">
        <v>0</v>
      </c>
      <c r="G14453" s="8">
        <v>15</v>
      </c>
      <c r="H14453" s="8" t="s">
        <v>54544</v>
      </c>
      <c r="I14453" s="8">
        <v>526.875</v>
      </c>
      <c r="J14453" s="3">
        <f t="shared" si="225"/>
        <v>43749.560014108793</v>
      </c>
    </row>
    <row r="14454" spans="1:10" x14ac:dyDescent="0.25">
      <c r="A14454" s="5" t="s">
        <v>54545</v>
      </c>
      <c r="B14454" s="6">
        <v>393.75</v>
      </c>
      <c r="C14454" s="6">
        <v>20.531590000000001</v>
      </c>
      <c r="D14454" s="6">
        <v>45</v>
      </c>
      <c r="E14454" s="6">
        <v>0</v>
      </c>
      <c r="F14454" s="6">
        <v>0</v>
      </c>
      <c r="G14454" s="6">
        <v>12</v>
      </c>
      <c r="H14454" s="6" t="s">
        <v>54546</v>
      </c>
      <c r="I14454" s="6">
        <v>526.6875</v>
      </c>
      <c r="J14454" s="2">
        <f t="shared" si="225"/>
        <v>43749.56009721064</v>
      </c>
    </row>
    <row r="14455" spans="1:10" x14ac:dyDescent="0.25">
      <c r="A14455" s="7" t="s">
        <v>54547</v>
      </c>
      <c r="B14455" s="8">
        <v>393.75</v>
      </c>
      <c r="C14455" s="8">
        <v>20.531590000000001</v>
      </c>
      <c r="D14455" s="8">
        <v>45</v>
      </c>
      <c r="E14455" s="8">
        <v>0</v>
      </c>
      <c r="F14455" s="8">
        <v>0</v>
      </c>
      <c r="G14455" s="8">
        <v>23</v>
      </c>
      <c r="H14455" s="8" t="s">
        <v>54548</v>
      </c>
      <c r="I14455" s="8">
        <v>526.6875</v>
      </c>
      <c r="J14455" s="3">
        <f t="shared" si="225"/>
        <v>43749.560168865741</v>
      </c>
    </row>
    <row r="14456" spans="1:10" x14ac:dyDescent="0.25">
      <c r="A14456" s="5" t="s">
        <v>54549</v>
      </c>
      <c r="B14456" s="6">
        <v>393.75</v>
      </c>
      <c r="C14456" s="6">
        <v>20.584240000000001</v>
      </c>
      <c r="D14456" s="6">
        <v>48</v>
      </c>
      <c r="E14456" s="6">
        <v>0</v>
      </c>
      <c r="F14456" s="6">
        <v>0</v>
      </c>
      <c r="G14456" s="6">
        <v>16</v>
      </c>
      <c r="H14456" s="6" t="s">
        <v>54550</v>
      </c>
      <c r="I14456" s="6">
        <v>526.6875</v>
      </c>
      <c r="J14456" s="2">
        <f t="shared" si="225"/>
        <v>43749.560252858799</v>
      </c>
    </row>
    <row r="14457" spans="1:10" x14ac:dyDescent="0.25">
      <c r="A14457" s="7" t="s">
        <v>54551</v>
      </c>
      <c r="B14457" s="8">
        <v>393.75</v>
      </c>
      <c r="C14457" s="8">
        <v>20.531590000000001</v>
      </c>
      <c r="D14457" s="8">
        <v>48</v>
      </c>
      <c r="E14457" s="8">
        <v>0</v>
      </c>
      <c r="F14457" s="8">
        <v>0</v>
      </c>
      <c r="G14457" s="8">
        <v>19</v>
      </c>
      <c r="H14457" s="8" t="s">
        <v>54552</v>
      </c>
      <c r="I14457" s="8">
        <v>526.6875</v>
      </c>
      <c r="J14457" s="3">
        <f t="shared" si="225"/>
        <v>43749.560336087961</v>
      </c>
    </row>
    <row r="14458" spans="1:10" x14ac:dyDescent="0.25">
      <c r="A14458" s="5" t="s">
        <v>54553</v>
      </c>
      <c r="B14458" s="6">
        <v>393.75</v>
      </c>
      <c r="C14458" s="6">
        <v>20.478950000000001</v>
      </c>
      <c r="D14458" s="6">
        <v>48</v>
      </c>
      <c r="E14458" s="6">
        <v>0</v>
      </c>
      <c r="F14458" s="6">
        <v>0</v>
      </c>
      <c r="G14458" s="6">
        <v>13</v>
      </c>
      <c r="H14458" s="6" t="s">
        <v>54554</v>
      </c>
      <c r="I14458" s="6">
        <v>526.6875</v>
      </c>
      <c r="J14458" s="2">
        <f t="shared" si="225"/>
        <v>43749.560419398149</v>
      </c>
    </row>
    <row r="14459" spans="1:10" x14ac:dyDescent="0.25">
      <c r="A14459" s="7" t="s">
        <v>54555</v>
      </c>
      <c r="B14459" s="8">
        <v>393.75</v>
      </c>
      <c r="C14459" s="8">
        <v>20.478950000000001</v>
      </c>
      <c r="D14459" s="8">
        <v>48</v>
      </c>
      <c r="E14459" s="8">
        <v>0</v>
      </c>
      <c r="F14459" s="8">
        <v>0</v>
      </c>
      <c r="G14459" s="8">
        <v>15</v>
      </c>
      <c r="H14459" s="8" t="s">
        <v>54556</v>
      </c>
      <c r="I14459" s="8">
        <v>526.6875</v>
      </c>
      <c r="J14459" s="3">
        <f t="shared" si="225"/>
        <v>43749.560490960641</v>
      </c>
    </row>
    <row r="14460" spans="1:10" x14ac:dyDescent="0.25">
      <c r="A14460" s="5" t="s">
        <v>54557</v>
      </c>
      <c r="B14460" s="6">
        <v>393.75</v>
      </c>
      <c r="C14460" s="6">
        <v>20.531590000000001</v>
      </c>
      <c r="D14460" s="6">
        <v>47</v>
      </c>
      <c r="E14460" s="6">
        <v>0</v>
      </c>
      <c r="F14460" s="6">
        <v>0</v>
      </c>
      <c r="G14460" s="6">
        <v>17</v>
      </c>
      <c r="H14460" s="6" t="s">
        <v>54558</v>
      </c>
      <c r="I14460" s="6">
        <v>526.6875</v>
      </c>
      <c r="J14460" s="2">
        <f t="shared" si="225"/>
        <v>43749.560574629628</v>
      </c>
    </row>
    <row r="14461" spans="1:10" x14ac:dyDescent="0.25">
      <c r="A14461" s="7" t="s">
        <v>54559</v>
      </c>
      <c r="B14461" s="8">
        <v>393.75</v>
      </c>
      <c r="C14461" s="8">
        <v>20.584240000000001</v>
      </c>
      <c r="D14461" s="8">
        <v>47</v>
      </c>
      <c r="E14461" s="8">
        <v>0</v>
      </c>
      <c r="F14461" s="8">
        <v>0</v>
      </c>
      <c r="G14461" s="8">
        <v>16</v>
      </c>
      <c r="H14461" s="8" t="s">
        <v>54560</v>
      </c>
      <c r="I14461" s="8">
        <v>526.6875</v>
      </c>
      <c r="J14461" s="3">
        <f t="shared" si="225"/>
        <v>43749.560658101851</v>
      </c>
    </row>
    <row r="14462" spans="1:10" x14ac:dyDescent="0.25">
      <c r="A14462" s="5" t="s">
        <v>54561</v>
      </c>
      <c r="B14462" s="6">
        <v>393.75</v>
      </c>
      <c r="C14462" s="6">
        <v>20.584240000000001</v>
      </c>
      <c r="D14462" s="6">
        <v>48</v>
      </c>
      <c r="E14462" s="6">
        <v>0</v>
      </c>
      <c r="F14462" s="6">
        <v>0</v>
      </c>
      <c r="G14462" s="6">
        <v>15</v>
      </c>
      <c r="H14462" s="6" t="s">
        <v>54562</v>
      </c>
      <c r="I14462" s="6">
        <v>526.6875</v>
      </c>
      <c r="J14462" s="2">
        <f t="shared" si="225"/>
        <v>43749.56074152777</v>
      </c>
    </row>
    <row r="14463" spans="1:10" x14ac:dyDescent="0.25">
      <c r="A14463" s="7" t="s">
        <v>54563</v>
      </c>
      <c r="B14463" s="8">
        <v>393.75</v>
      </c>
      <c r="C14463" s="8">
        <v>20.584240000000001</v>
      </c>
      <c r="D14463" s="8">
        <v>48</v>
      </c>
      <c r="E14463" s="8">
        <v>0</v>
      </c>
      <c r="F14463" s="8">
        <v>0</v>
      </c>
      <c r="G14463" s="8">
        <v>15</v>
      </c>
      <c r="H14463" s="8" t="s">
        <v>54564</v>
      </c>
      <c r="I14463" s="8">
        <v>526.6875</v>
      </c>
      <c r="J14463" s="3">
        <f t="shared" si="225"/>
        <v>43749.560825138884</v>
      </c>
    </row>
    <row r="14464" spans="1:10" x14ac:dyDescent="0.25">
      <c r="A14464" s="5" t="s">
        <v>54565</v>
      </c>
      <c r="B14464" s="6">
        <v>393.75</v>
      </c>
      <c r="C14464" s="6">
        <v>20.531590000000001</v>
      </c>
      <c r="D14464" s="6">
        <v>47</v>
      </c>
      <c r="E14464" s="6">
        <v>0</v>
      </c>
      <c r="F14464" s="6">
        <v>0</v>
      </c>
      <c r="G14464" s="6">
        <v>17</v>
      </c>
      <c r="H14464" s="6" t="s">
        <v>54566</v>
      </c>
      <c r="I14464" s="6">
        <v>526.5</v>
      </c>
      <c r="J14464" s="2">
        <f t="shared" si="225"/>
        <v>43749.560908310181</v>
      </c>
    </row>
    <row r="14465" spans="1:10" x14ac:dyDescent="0.25">
      <c r="A14465" s="7" t="s">
        <v>54567</v>
      </c>
      <c r="B14465" s="8">
        <v>393.75</v>
      </c>
      <c r="C14465" s="8">
        <v>20.584240000000001</v>
      </c>
      <c r="D14465" s="8">
        <v>47</v>
      </c>
      <c r="E14465" s="8">
        <v>0</v>
      </c>
      <c r="F14465" s="8">
        <v>0</v>
      </c>
      <c r="G14465" s="8">
        <v>13</v>
      </c>
      <c r="H14465" s="8" t="s">
        <v>54568</v>
      </c>
      <c r="I14465" s="8">
        <v>526.6875</v>
      </c>
      <c r="J14465" s="3">
        <f t="shared" si="225"/>
        <v>43749.560979965274</v>
      </c>
    </row>
    <row r="14466" spans="1:10" x14ac:dyDescent="0.25">
      <c r="A14466" s="5" t="s">
        <v>54569</v>
      </c>
      <c r="B14466" s="6">
        <v>393.75</v>
      </c>
      <c r="C14466" s="6">
        <v>20.531590000000001</v>
      </c>
      <c r="D14466" s="6">
        <v>48</v>
      </c>
      <c r="E14466" s="6">
        <v>0</v>
      </c>
      <c r="F14466" s="6">
        <v>0</v>
      </c>
      <c r="G14466" s="6">
        <v>19</v>
      </c>
      <c r="H14466" s="6" t="s">
        <v>54570</v>
      </c>
      <c r="I14466" s="6">
        <v>526.6875</v>
      </c>
      <c r="J14466" s="2">
        <f t="shared" ref="J14466:J14529" si="226">(H14466/86400000)+25569+(7/24)</f>
        <v>43749.561063854162</v>
      </c>
    </row>
    <row r="14467" spans="1:10" x14ac:dyDescent="0.25">
      <c r="A14467" s="7" t="s">
        <v>54571</v>
      </c>
      <c r="B14467" s="8">
        <v>393.75</v>
      </c>
      <c r="C14467" s="8">
        <v>20.584240000000001</v>
      </c>
      <c r="D14467" s="8">
        <v>49</v>
      </c>
      <c r="E14467" s="8">
        <v>0</v>
      </c>
      <c r="F14467" s="8">
        <v>0</v>
      </c>
      <c r="G14467" s="8">
        <v>20</v>
      </c>
      <c r="H14467" s="8" t="s">
        <v>54572</v>
      </c>
      <c r="I14467" s="8">
        <v>526.6875</v>
      </c>
      <c r="J14467" s="3">
        <f t="shared" si="226"/>
        <v>43749.561159039346</v>
      </c>
    </row>
    <row r="14468" spans="1:10" x14ac:dyDescent="0.25">
      <c r="A14468" s="5" t="s">
        <v>54573</v>
      </c>
      <c r="B14468" s="6">
        <v>393.75</v>
      </c>
      <c r="C14468" s="6">
        <v>20.584240000000001</v>
      </c>
      <c r="D14468" s="6">
        <v>48</v>
      </c>
      <c r="E14468" s="6">
        <v>0</v>
      </c>
      <c r="F14468" s="6">
        <v>0</v>
      </c>
      <c r="G14468" s="6">
        <v>11</v>
      </c>
      <c r="H14468" s="6" t="s">
        <v>54574</v>
      </c>
      <c r="I14468" s="6">
        <v>526.6875</v>
      </c>
      <c r="J14468" s="2">
        <f t="shared" si="226"/>
        <v>43749.561257534719</v>
      </c>
    </row>
    <row r="14469" spans="1:10" x14ac:dyDescent="0.25">
      <c r="A14469" s="7" t="s">
        <v>54575</v>
      </c>
      <c r="B14469" s="8">
        <v>393.75</v>
      </c>
      <c r="C14469" s="8">
        <v>20.584240000000001</v>
      </c>
      <c r="D14469" s="8">
        <v>49</v>
      </c>
      <c r="E14469" s="8">
        <v>0</v>
      </c>
      <c r="F14469" s="8">
        <v>0</v>
      </c>
      <c r="G14469" s="8">
        <v>12</v>
      </c>
      <c r="H14469" s="8" t="s">
        <v>54576</v>
      </c>
      <c r="I14469" s="8">
        <v>526.6875</v>
      </c>
      <c r="J14469" s="3">
        <f t="shared" si="226"/>
        <v>43749.561337974534</v>
      </c>
    </row>
    <row r="14470" spans="1:10" x14ac:dyDescent="0.25">
      <c r="A14470" s="5" t="s">
        <v>54577</v>
      </c>
      <c r="B14470" s="6">
        <v>393.75</v>
      </c>
      <c r="C14470" s="6">
        <v>20.584240000000001</v>
      </c>
      <c r="D14470" s="6">
        <v>48</v>
      </c>
      <c r="E14470" s="6">
        <v>0</v>
      </c>
      <c r="F14470" s="6">
        <v>0</v>
      </c>
      <c r="G14470" s="6">
        <v>8</v>
      </c>
      <c r="H14470" s="6" t="s">
        <v>54578</v>
      </c>
      <c r="I14470" s="6">
        <v>526.6875</v>
      </c>
      <c r="J14470" s="2">
        <f t="shared" si="226"/>
        <v>43749.561421423605</v>
      </c>
    </row>
    <row r="14471" spans="1:10" x14ac:dyDescent="0.25">
      <c r="A14471" s="7" t="s">
        <v>54579</v>
      </c>
      <c r="B14471" s="8">
        <v>412.5</v>
      </c>
      <c r="C14471" s="8">
        <v>20.584240000000001</v>
      </c>
      <c r="D14471" s="8">
        <v>48</v>
      </c>
      <c r="E14471" s="8">
        <v>0</v>
      </c>
      <c r="F14471" s="8">
        <v>0</v>
      </c>
      <c r="G14471" s="8">
        <v>15</v>
      </c>
      <c r="H14471" s="8" t="s">
        <v>54580</v>
      </c>
      <c r="I14471" s="8">
        <v>532.3125</v>
      </c>
      <c r="J14471" s="3">
        <f t="shared" si="226"/>
        <v>43749.561504629623</v>
      </c>
    </row>
    <row r="14472" spans="1:10" x14ac:dyDescent="0.25">
      <c r="A14472" s="5" t="s">
        <v>54581</v>
      </c>
      <c r="B14472" s="6">
        <v>393.75</v>
      </c>
      <c r="C14472" s="6">
        <v>20.584240000000001</v>
      </c>
      <c r="D14472" s="6">
        <v>48</v>
      </c>
      <c r="E14472" s="6">
        <v>0</v>
      </c>
      <c r="F14472" s="6">
        <v>0</v>
      </c>
      <c r="G14472" s="6">
        <v>9</v>
      </c>
      <c r="H14472" s="6" t="s">
        <v>54582</v>
      </c>
      <c r="I14472" s="6">
        <v>526.6875</v>
      </c>
      <c r="J14472" s="2">
        <f t="shared" si="226"/>
        <v>43749.561576284723</v>
      </c>
    </row>
    <row r="14473" spans="1:10" x14ac:dyDescent="0.25">
      <c r="A14473" s="7" t="s">
        <v>54583</v>
      </c>
      <c r="B14473" s="8">
        <v>393.75</v>
      </c>
      <c r="C14473" s="8">
        <v>20.531590000000001</v>
      </c>
      <c r="D14473" s="8">
        <v>46</v>
      </c>
      <c r="E14473" s="8">
        <v>0</v>
      </c>
      <c r="F14473" s="8">
        <v>0</v>
      </c>
      <c r="G14473" s="8">
        <v>20</v>
      </c>
      <c r="H14473" s="8" t="s">
        <v>54584</v>
      </c>
      <c r="I14473" s="8">
        <v>526.6875</v>
      </c>
      <c r="J14473" s="3">
        <f t="shared" si="226"/>
        <v>43749.561660081017</v>
      </c>
    </row>
    <row r="14474" spans="1:10" x14ac:dyDescent="0.25">
      <c r="A14474" s="5" t="s">
        <v>54585</v>
      </c>
      <c r="B14474" s="6">
        <v>393.75</v>
      </c>
      <c r="C14474" s="6">
        <v>20.531590000000001</v>
      </c>
      <c r="D14474" s="6">
        <v>48</v>
      </c>
      <c r="E14474" s="6">
        <v>0</v>
      </c>
      <c r="F14474" s="6">
        <v>0</v>
      </c>
      <c r="G14474" s="6">
        <v>17</v>
      </c>
      <c r="H14474" s="6" t="s">
        <v>54586</v>
      </c>
      <c r="I14474" s="6">
        <v>526.6875</v>
      </c>
      <c r="J14474" s="2">
        <f t="shared" si="226"/>
        <v>43749.561743425926</v>
      </c>
    </row>
    <row r="14475" spans="1:10" x14ac:dyDescent="0.25">
      <c r="A14475" s="7" t="s">
        <v>54587</v>
      </c>
      <c r="B14475" s="8">
        <v>393.75</v>
      </c>
      <c r="C14475" s="8">
        <v>20.584240000000001</v>
      </c>
      <c r="D14475" s="8">
        <v>47</v>
      </c>
      <c r="E14475" s="8">
        <v>0</v>
      </c>
      <c r="F14475" s="8">
        <v>0</v>
      </c>
      <c r="G14475" s="8">
        <v>11</v>
      </c>
      <c r="H14475" s="8" t="s">
        <v>54588</v>
      </c>
      <c r="I14475" s="8">
        <v>526.6875</v>
      </c>
      <c r="J14475" s="3">
        <f t="shared" si="226"/>
        <v>43749.561826759258</v>
      </c>
    </row>
    <row r="14476" spans="1:10" x14ac:dyDescent="0.25">
      <c r="A14476" s="5" t="s">
        <v>54589</v>
      </c>
      <c r="B14476" s="6">
        <v>415.625</v>
      </c>
      <c r="C14476" s="6">
        <v>20.531590000000001</v>
      </c>
      <c r="D14476" s="6">
        <v>47</v>
      </c>
      <c r="E14476" s="6">
        <v>0</v>
      </c>
      <c r="F14476" s="6">
        <v>0</v>
      </c>
      <c r="G14476" s="6">
        <v>25</v>
      </c>
      <c r="H14476" s="6" t="s">
        <v>54590</v>
      </c>
      <c r="I14476" s="6">
        <v>533.8125</v>
      </c>
      <c r="J14476" s="2">
        <f t="shared" si="226"/>
        <v>43749.561898506938</v>
      </c>
    </row>
    <row r="14477" spans="1:10" x14ac:dyDescent="0.25">
      <c r="A14477" s="7" t="s">
        <v>54591</v>
      </c>
      <c r="B14477" s="8">
        <v>393.75</v>
      </c>
      <c r="C14477" s="8">
        <v>20.584240000000001</v>
      </c>
      <c r="D14477" s="8">
        <v>47</v>
      </c>
      <c r="E14477" s="8">
        <v>0</v>
      </c>
      <c r="F14477" s="8">
        <v>0</v>
      </c>
      <c r="G14477" s="8">
        <v>21</v>
      </c>
      <c r="H14477" s="8" t="s">
        <v>54592</v>
      </c>
      <c r="I14477" s="8">
        <v>526.6875</v>
      </c>
      <c r="J14477" s="3">
        <f t="shared" si="226"/>
        <v>43749.561981956016</v>
      </c>
    </row>
    <row r="14478" spans="1:10" x14ac:dyDescent="0.25">
      <c r="A14478" s="5" t="s">
        <v>54593</v>
      </c>
      <c r="B14478" s="6">
        <v>393.75</v>
      </c>
      <c r="C14478" s="6">
        <v>20.584240000000001</v>
      </c>
      <c r="D14478" s="6">
        <v>47</v>
      </c>
      <c r="E14478" s="6">
        <v>0</v>
      </c>
      <c r="F14478" s="6">
        <v>0</v>
      </c>
      <c r="G14478" s="6">
        <v>20</v>
      </c>
      <c r="H14478" s="6" t="s">
        <v>54594</v>
      </c>
      <c r="I14478" s="6">
        <v>526.6875</v>
      </c>
      <c r="J14478" s="2">
        <f t="shared" si="226"/>
        <v>43749.562065393511</v>
      </c>
    </row>
    <row r="14479" spans="1:10" x14ac:dyDescent="0.25">
      <c r="A14479" s="7" t="s">
        <v>54595</v>
      </c>
      <c r="B14479" s="8">
        <v>393.75</v>
      </c>
      <c r="C14479" s="8">
        <v>20.584240000000001</v>
      </c>
      <c r="D14479" s="8">
        <v>47</v>
      </c>
      <c r="E14479" s="8">
        <v>0</v>
      </c>
      <c r="F14479" s="8">
        <v>0</v>
      </c>
      <c r="G14479" s="8">
        <v>19</v>
      </c>
      <c r="H14479" s="8" t="s">
        <v>54596</v>
      </c>
      <c r="I14479" s="8">
        <v>526.6875</v>
      </c>
      <c r="J14479" s="3">
        <f t="shared" si="226"/>
        <v>43749.562149097219</v>
      </c>
    </row>
    <row r="14480" spans="1:10" x14ac:dyDescent="0.25">
      <c r="A14480" s="5" t="s">
        <v>54597</v>
      </c>
      <c r="B14480" s="6">
        <v>393.75</v>
      </c>
      <c r="C14480" s="6">
        <v>20.531590000000001</v>
      </c>
      <c r="D14480" s="6">
        <v>47</v>
      </c>
      <c r="E14480" s="6">
        <v>0</v>
      </c>
      <c r="F14480" s="6">
        <v>0</v>
      </c>
      <c r="G14480" s="6">
        <v>18</v>
      </c>
      <c r="H14480" s="6" t="s">
        <v>54598</v>
      </c>
      <c r="I14480" s="6">
        <v>526.6875</v>
      </c>
      <c r="J14480" s="2">
        <f t="shared" si="226"/>
        <v>43749.562232407407</v>
      </c>
    </row>
    <row r="14481" spans="1:10" x14ac:dyDescent="0.25">
      <c r="A14481" s="7" t="s">
        <v>54599</v>
      </c>
      <c r="B14481" s="8">
        <v>415.625</v>
      </c>
      <c r="C14481" s="8">
        <v>20.584240000000001</v>
      </c>
      <c r="D14481" s="8">
        <v>47</v>
      </c>
      <c r="E14481" s="8">
        <v>0</v>
      </c>
      <c r="F14481" s="8">
        <v>0</v>
      </c>
      <c r="G14481" s="8">
        <v>12</v>
      </c>
      <c r="H14481" s="8" t="s">
        <v>54600</v>
      </c>
      <c r="I14481" s="8">
        <v>533.4375</v>
      </c>
      <c r="J14481" s="3">
        <f t="shared" si="226"/>
        <v>43749.562315659721</v>
      </c>
    </row>
    <row r="14482" spans="1:10" x14ac:dyDescent="0.25">
      <c r="A14482" s="5" t="s">
        <v>54601</v>
      </c>
      <c r="B14482" s="6">
        <v>393.75</v>
      </c>
      <c r="C14482" s="6">
        <v>20.584240000000001</v>
      </c>
      <c r="D14482" s="6">
        <v>47</v>
      </c>
      <c r="E14482" s="6">
        <v>0</v>
      </c>
      <c r="F14482" s="6">
        <v>0</v>
      </c>
      <c r="G14482" s="6">
        <v>4</v>
      </c>
      <c r="H14482" s="6" t="s">
        <v>54602</v>
      </c>
      <c r="I14482" s="6">
        <v>526.6875</v>
      </c>
      <c r="J14482" s="2">
        <f t="shared" si="226"/>
        <v>43749.562387407401</v>
      </c>
    </row>
    <row r="14483" spans="1:10" x14ac:dyDescent="0.25">
      <c r="A14483" s="7" t="s">
        <v>54603</v>
      </c>
      <c r="B14483" s="8">
        <v>393.75</v>
      </c>
      <c r="C14483" s="8">
        <v>20.584240000000001</v>
      </c>
      <c r="D14483" s="8">
        <v>46</v>
      </c>
      <c r="E14483" s="8">
        <v>0</v>
      </c>
      <c r="F14483" s="8">
        <v>0</v>
      </c>
      <c r="G14483" s="8">
        <v>5</v>
      </c>
      <c r="H14483" s="8" t="s">
        <v>54604</v>
      </c>
      <c r="I14483" s="8">
        <v>526.6875</v>
      </c>
      <c r="J14483" s="3">
        <f t="shared" si="226"/>
        <v>43749.562470960642</v>
      </c>
    </row>
    <row r="14484" spans="1:10" x14ac:dyDescent="0.25">
      <c r="A14484" s="5" t="s">
        <v>54605</v>
      </c>
      <c r="B14484" s="6">
        <v>393.75</v>
      </c>
      <c r="C14484" s="6">
        <v>20.584240000000001</v>
      </c>
      <c r="D14484" s="6">
        <v>46</v>
      </c>
      <c r="E14484" s="6">
        <v>0</v>
      </c>
      <c r="F14484" s="6">
        <v>0</v>
      </c>
      <c r="G14484" s="6">
        <v>5</v>
      </c>
      <c r="H14484" s="6" t="s">
        <v>54606</v>
      </c>
      <c r="I14484" s="6">
        <v>526.6875</v>
      </c>
      <c r="J14484" s="2">
        <f t="shared" si="226"/>
        <v>43749.562554398144</v>
      </c>
    </row>
    <row r="14485" spans="1:10" x14ac:dyDescent="0.25">
      <c r="A14485" s="7" t="s">
        <v>54607</v>
      </c>
      <c r="B14485" s="8">
        <v>393.75</v>
      </c>
      <c r="C14485" s="8">
        <v>20.531590000000001</v>
      </c>
      <c r="D14485" s="8">
        <v>45</v>
      </c>
      <c r="E14485" s="8">
        <v>0</v>
      </c>
      <c r="F14485" s="8">
        <v>0</v>
      </c>
      <c r="G14485" s="8">
        <v>9</v>
      </c>
      <c r="H14485" s="8" t="s">
        <v>54608</v>
      </c>
      <c r="I14485" s="8">
        <v>526.6875</v>
      </c>
      <c r="J14485" s="3">
        <f t="shared" si="226"/>
        <v>43749.56263797453</v>
      </c>
    </row>
    <row r="14486" spans="1:10" x14ac:dyDescent="0.25">
      <c r="A14486" s="5" t="s">
        <v>54609</v>
      </c>
      <c r="B14486" s="6">
        <v>393.75</v>
      </c>
      <c r="C14486" s="6">
        <v>20.584240000000001</v>
      </c>
      <c r="D14486" s="6">
        <v>44</v>
      </c>
      <c r="E14486" s="6">
        <v>0</v>
      </c>
      <c r="F14486" s="6">
        <v>0</v>
      </c>
      <c r="G14486" s="6">
        <v>2</v>
      </c>
      <c r="H14486" s="6" t="s">
        <v>54610</v>
      </c>
      <c r="I14486" s="6">
        <v>526.6875</v>
      </c>
      <c r="J14486" s="2">
        <f t="shared" si="226"/>
        <v>43749.56272141204</v>
      </c>
    </row>
    <row r="14487" spans="1:10" x14ac:dyDescent="0.25">
      <c r="A14487" s="7" t="s">
        <v>54611</v>
      </c>
      <c r="B14487" s="8">
        <v>393.75</v>
      </c>
      <c r="C14487" s="8">
        <v>20.584240000000001</v>
      </c>
      <c r="D14487" s="8">
        <v>45</v>
      </c>
      <c r="E14487" s="8">
        <v>0</v>
      </c>
      <c r="F14487" s="8">
        <v>0</v>
      </c>
      <c r="G14487" s="8">
        <v>4</v>
      </c>
      <c r="H14487" s="8" t="s">
        <v>54612</v>
      </c>
      <c r="I14487" s="8">
        <v>526.6875</v>
      </c>
      <c r="J14487" s="3">
        <f t="shared" si="226"/>
        <v>43749.562804629626</v>
      </c>
    </row>
    <row r="14488" spans="1:10" x14ac:dyDescent="0.25">
      <c r="A14488" s="5" t="s">
        <v>54613</v>
      </c>
      <c r="B14488" s="6">
        <v>393.75</v>
      </c>
      <c r="C14488" s="6">
        <v>20.531590000000001</v>
      </c>
      <c r="D14488" s="6">
        <v>45</v>
      </c>
      <c r="E14488" s="6">
        <v>0</v>
      </c>
      <c r="F14488" s="6">
        <v>0</v>
      </c>
      <c r="G14488" s="6">
        <v>0</v>
      </c>
      <c r="H14488" s="6" t="s">
        <v>54614</v>
      </c>
      <c r="I14488" s="6">
        <v>526.6875</v>
      </c>
      <c r="J14488" s="2">
        <f t="shared" si="226"/>
        <v>43749.562876412034</v>
      </c>
    </row>
    <row r="14489" spans="1:10" x14ac:dyDescent="0.25">
      <c r="A14489" s="7" t="s">
        <v>54615</v>
      </c>
      <c r="B14489" s="8">
        <v>393.75</v>
      </c>
      <c r="C14489" s="8">
        <v>20.584240000000001</v>
      </c>
      <c r="D14489" s="8">
        <v>44</v>
      </c>
      <c r="E14489" s="8">
        <v>0</v>
      </c>
      <c r="F14489" s="8">
        <v>0</v>
      </c>
      <c r="G14489" s="8">
        <v>4</v>
      </c>
      <c r="H14489" s="8" t="s">
        <v>54616</v>
      </c>
      <c r="I14489" s="8">
        <v>526.6875</v>
      </c>
      <c r="J14489" s="3">
        <f t="shared" si="226"/>
        <v>43749.562960208328</v>
      </c>
    </row>
    <row r="14490" spans="1:10" x14ac:dyDescent="0.25">
      <c r="A14490" s="5" t="s">
        <v>54617</v>
      </c>
      <c r="B14490" s="6">
        <v>393.75</v>
      </c>
      <c r="C14490" s="6">
        <v>20.531590000000001</v>
      </c>
      <c r="D14490" s="6">
        <v>50</v>
      </c>
      <c r="E14490" s="6">
        <v>0</v>
      </c>
      <c r="F14490" s="6">
        <v>0</v>
      </c>
      <c r="G14490" s="6">
        <v>7</v>
      </c>
      <c r="H14490" s="6" t="s">
        <v>54618</v>
      </c>
      <c r="I14490" s="6">
        <v>526.6875</v>
      </c>
      <c r="J14490" s="2">
        <f t="shared" si="226"/>
        <v>43749.563043425922</v>
      </c>
    </row>
    <row r="14491" spans="1:10" x14ac:dyDescent="0.25">
      <c r="A14491" s="7" t="s">
        <v>54619</v>
      </c>
      <c r="B14491" s="8">
        <v>393.75</v>
      </c>
      <c r="C14491" s="8">
        <v>20.584240000000001</v>
      </c>
      <c r="D14491" s="8">
        <v>50</v>
      </c>
      <c r="E14491" s="8">
        <v>0</v>
      </c>
      <c r="F14491" s="8">
        <v>0</v>
      </c>
      <c r="G14491" s="8">
        <v>3</v>
      </c>
      <c r="H14491" s="8" t="s">
        <v>54620</v>
      </c>
      <c r="I14491" s="8">
        <v>526.6875</v>
      </c>
      <c r="J14491" s="3">
        <f t="shared" si="226"/>
        <v>43749.56312673611</v>
      </c>
    </row>
    <row r="14492" spans="1:10" x14ac:dyDescent="0.25">
      <c r="A14492" s="5" t="s">
        <v>54621</v>
      </c>
      <c r="B14492" s="6">
        <v>393.75</v>
      </c>
      <c r="C14492" s="6">
        <v>20.531590000000001</v>
      </c>
      <c r="D14492" s="6">
        <v>50</v>
      </c>
      <c r="E14492" s="6">
        <v>0</v>
      </c>
      <c r="F14492" s="6">
        <v>0</v>
      </c>
      <c r="G14492" s="6">
        <v>5</v>
      </c>
      <c r="H14492" s="6" t="s">
        <v>54622</v>
      </c>
      <c r="I14492" s="6">
        <v>526.6875</v>
      </c>
      <c r="J14492" s="2">
        <f t="shared" si="226"/>
        <v>43749.563198391203</v>
      </c>
    </row>
    <row r="14493" spans="1:10" x14ac:dyDescent="0.25">
      <c r="A14493" s="7" t="s">
        <v>54623</v>
      </c>
      <c r="B14493" s="8">
        <v>393.75</v>
      </c>
      <c r="C14493" s="8">
        <v>20.584240000000001</v>
      </c>
      <c r="D14493" s="8">
        <v>47</v>
      </c>
      <c r="E14493" s="8">
        <v>0</v>
      </c>
      <c r="F14493" s="8">
        <v>0</v>
      </c>
      <c r="G14493" s="8">
        <v>9</v>
      </c>
      <c r="H14493" s="8" t="s">
        <v>54624</v>
      </c>
      <c r="I14493" s="8">
        <v>526.6875</v>
      </c>
      <c r="J14493" s="3">
        <f t="shared" si="226"/>
        <v>43749.563281967588</v>
      </c>
    </row>
    <row r="14494" spans="1:10" x14ac:dyDescent="0.25">
      <c r="A14494" s="5" t="s">
        <v>54625</v>
      </c>
      <c r="B14494" s="6">
        <v>412.5</v>
      </c>
      <c r="C14494" s="6">
        <v>20.584240000000001</v>
      </c>
      <c r="D14494" s="6">
        <v>47</v>
      </c>
      <c r="E14494" s="6">
        <v>0</v>
      </c>
      <c r="F14494" s="6">
        <v>0</v>
      </c>
      <c r="G14494" s="6">
        <v>11</v>
      </c>
      <c r="H14494" s="6" t="s">
        <v>54626</v>
      </c>
      <c r="I14494" s="6">
        <v>532.5</v>
      </c>
      <c r="J14494" s="2">
        <f t="shared" si="226"/>
        <v>43749.563365509261</v>
      </c>
    </row>
    <row r="14495" spans="1:10" x14ac:dyDescent="0.25">
      <c r="A14495" s="7" t="s">
        <v>54627</v>
      </c>
      <c r="B14495" s="8">
        <v>393.75</v>
      </c>
      <c r="C14495" s="8">
        <v>20.584240000000001</v>
      </c>
      <c r="D14495" s="8">
        <v>46</v>
      </c>
      <c r="E14495" s="8">
        <v>0</v>
      </c>
      <c r="F14495" s="8">
        <v>0</v>
      </c>
      <c r="G14495" s="8">
        <v>7</v>
      </c>
      <c r="H14495" s="8" t="s">
        <v>54628</v>
      </c>
      <c r="I14495" s="8">
        <v>526.6875</v>
      </c>
      <c r="J14495" s="3">
        <f t="shared" si="226"/>
        <v>43749.563449097222</v>
      </c>
    </row>
    <row r="14496" spans="1:10" x14ac:dyDescent="0.25">
      <c r="A14496" s="5" t="s">
        <v>54629</v>
      </c>
      <c r="B14496" s="6">
        <v>393.75</v>
      </c>
      <c r="C14496" s="6">
        <v>20.531590000000001</v>
      </c>
      <c r="D14496" s="6">
        <v>46</v>
      </c>
      <c r="E14496" s="6">
        <v>0</v>
      </c>
      <c r="F14496" s="6">
        <v>0</v>
      </c>
      <c r="G14496" s="6">
        <v>7</v>
      </c>
      <c r="H14496" s="6" t="s">
        <v>54630</v>
      </c>
      <c r="I14496" s="6">
        <v>526.6875</v>
      </c>
      <c r="J14496" s="2">
        <f t="shared" si="226"/>
        <v>43749.563532407403</v>
      </c>
    </row>
    <row r="14497" spans="1:10" x14ac:dyDescent="0.25">
      <c r="A14497" s="7" t="s">
        <v>54631</v>
      </c>
      <c r="B14497" s="8">
        <v>393.75</v>
      </c>
      <c r="C14497" s="8">
        <v>20.584240000000001</v>
      </c>
      <c r="D14497" s="8">
        <v>45</v>
      </c>
      <c r="E14497" s="8">
        <v>0</v>
      </c>
      <c r="F14497" s="8">
        <v>0</v>
      </c>
      <c r="G14497" s="8">
        <v>9</v>
      </c>
      <c r="H14497" s="8" t="s">
        <v>54632</v>
      </c>
      <c r="I14497" s="8">
        <v>526.6875</v>
      </c>
      <c r="J14497" s="3">
        <f t="shared" si="226"/>
        <v>43749.563615648141</v>
      </c>
    </row>
    <row r="14498" spans="1:10" x14ac:dyDescent="0.25">
      <c r="A14498" s="5" t="s">
        <v>54633</v>
      </c>
      <c r="B14498" s="6">
        <v>393.75</v>
      </c>
      <c r="C14498" s="6">
        <v>20.584240000000001</v>
      </c>
      <c r="D14498" s="6">
        <v>45</v>
      </c>
      <c r="E14498" s="6">
        <v>0</v>
      </c>
      <c r="F14498" s="6">
        <v>0</v>
      </c>
      <c r="G14498" s="6">
        <v>14</v>
      </c>
      <c r="H14498" s="6" t="s">
        <v>54634</v>
      </c>
      <c r="I14498" s="6">
        <v>526.6875</v>
      </c>
      <c r="J14498" s="2">
        <f t="shared" si="226"/>
        <v>43749.563687384252</v>
      </c>
    </row>
    <row r="14499" spans="1:10" x14ac:dyDescent="0.25">
      <c r="A14499" s="7" t="s">
        <v>54635</v>
      </c>
      <c r="B14499" s="8">
        <v>412.5</v>
      </c>
      <c r="C14499" s="8">
        <v>20.584240000000001</v>
      </c>
      <c r="D14499" s="8">
        <v>46</v>
      </c>
      <c r="E14499" s="8">
        <v>0</v>
      </c>
      <c r="F14499" s="8">
        <v>0</v>
      </c>
      <c r="G14499" s="8">
        <v>10</v>
      </c>
      <c r="H14499" s="8" t="s">
        <v>54636</v>
      </c>
      <c r="I14499" s="8">
        <v>532.5</v>
      </c>
      <c r="J14499" s="3">
        <f t="shared" si="226"/>
        <v>43749.563771296293</v>
      </c>
    </row>
    <row r="14500" spans="1:10" x14ac:dyDescent="0.25">
      <c r="A14500" s="5" t="s">
        <v>54637</v>
      </c>
      <c r="B14500" s="6">
        <v>393.75</v>
      </c>
      <c r="C14500" s="6">
        <v>20.531590000000001</v>
      </c>
      <c r="D14500" s="6">
        <v>47</v>
      </c>
      <c r="E14500" s="6">
        <v>0</v>
      </c>
      <c r="F14500" s="6">
        <v>0</v>
      </c>
      <c r="G14500" s="6">
        <v>23</v>
      </c>
      <c r="H14500" s="6" t="s">
        <v>54638</v>
      </c>
      <c r="I14500" s="6">
        <v>526.6875</v>
      </c>
      <c r="J14500" s="2">
        <f t="shared" si="226"/>
        <v>43749.563866493052</v>
      </c>
    </row>
    <row r="14501" spans="1:10" x14ac:dyDescent="0.25">
      <c r="A14501" s="7" t="s">
        <v>54639</v>
      </c>
      <c r="B14501" s="8">
        <v>393.75</v>
      </c>
      <c r="C14501" s="8">
        <v>20.584240000000001</v>
      </c>
      <c r="D14501" s="8">
        <v>45</v>
      </c>
      <c r="E14501" s="8">
        <v>0</v>
      </c>
      <c r="F14501" s="8">
        <v>0</v>
      </c>
      <c r="G14501" s="8">
        <v>15</v>
      </c>
      <c r="H14501" s="8" t="s">
        <v>54640</v>
      </c>
      <c r="I14501" s="8">
        <v>526.6875</v>
      </c>
      <c r="J14501" s="3">
        <f t="shared" si="226"/>
        <v>43749.563949918978</v>
      </c>
    </row>
    <row r="14502" spans="1:10" x14ac:dyDescent="0.25">
      <c r="A14502" s="5" t="s">
        <v>54641</v>
      </c>
      <c r="B14502" s="6">
        <v>393.75</v>
      </c>
      <c r="C14502" s="6">
        <v>20.531590000000001</v>
      </c>
      <c r="D14502" s="6">
        <v>46</v>
      </c>
      <c r="E14502" s="6">
        <v>0</v>
      </c>
      <c r="F14502" s="6">
        <v>0</v>
      </c>
      <c r="G14502" s="6">
        <v>19</v>
      </c>
      <c r="H14502" s="6" t="s">
        <v>54642</v>
      </c>
      <c r="I14502" s="6">
        <v>526.6875</v>
      </c>
      <c r="J14502" s="2">
        <f t="shared" si="226"/>
        <v>43749.564021574071</v>
      </c>
    </row>
    <row r="14503" spans="1:10" x14ac:dyDescent="0.25">
      <c r="A14503" s="7" t="s">
        <v>54643</v>
      </c>
      <c r="B14503" s="8">
        <v>393.75</v>
      </c>
      <c r="C14503" s="8">
        <v>20.531590000000001</v>
      </c>
      <c r="D14503" s="8">
        <v>44</v>
      </c>
      <c r="E14503" s="8">
        <v>0</v>
      </c>
      <c r="F14503" s="8">
        <v>0</v>
      </c>
      <c r="G14503" s="8">
        <v>13</v>
      </c>
      <c r="H14503" s="8" t="s">
        <v>54644</v>
      </c>
      <c r="I14503" s="8">
        <v>526.6875</v>
      </c>
      <c r="J14503" s="3">
        <f t="shared" si="226"/>
        <v>43749.56410466435</v>
      </c>
    </row>
    <row r="14504" spans="1:10" x14ac:dyDescent="0.25">
      <c r="A14504" s="5" t="s">
        <v>54645</v>
      </c>
      <c r="B14504" s="6">
        <v>393.75</v>
      </c>
      <c r="C14504" s="6">
        <v>20.584240000000001</v>
      </c>
      <c r="D14504" s="6">
        <v>44</v>
      </c>
      <c r="E14504" s="6">
        <v>0</v>
      </c>
      <c r="F14504" s="6">
        <v>0</v>
      </c>
      <c r="G14504" s="6">
        <v>22</v>
      </c>
      <c r="H14504" s="6" t="s">
        <v>54646</v>
      </c>
      <c r="I14504" s="6">
        <v>526.6875</v>
      </c>
      <c r="J14504" s="2">
        <f t="shared" si="226"/>
        <v>43749.564188472221</v>
      </c>
    </row>
    <row r="14505" spans="1:10" x14ac:dyDescent="0.25">
      <c r="A14505" s="7" t="s">
        <v>54647</v>
      </c>
      <c r="B14505" s="8">
        <v>393.75</v>
      </c>
      <c r="C14505" s="8">
        <v>20.584240000000001</v>
      </c>
      <c r="D14505" s="8">
        <v>44</v>
      </c>
      <c r="E14505" s="8">
        <v>0</v>
      </c>
      <c r="F14505" s="8">
        <v>0</v>
      </c>
      <c r="G14505" s="8">
        <v>21</v>
      </c>
      <c r="H14505" s="8" t="s">
        <v>54648</v>
      </c>
      <c r="I14505" s="8">
        <v>526.6875</v>
      </c>
      <c r="J14505" s="3">
        <f t="shared" si="226"/>
        <v>43749.564283877313</v>
      </c>
    </row>
    <row r="14506" spans="1:10" x14ac:dyDescent="0.25">
      <c r="A14506" s="5" t="s">
        <v>54649</v>
      </c>
      <c r="B14506" s="6">
        <v>393.75</v>
      </c>
      <c r="C14506" s="6">
        <v>20.584240000000001</v>
      </c>
      <c r="D14506" s="6">
        <v>44</v>
      </c>
      <c r="E14506" s="6">
        <v>0</v>
      </c>
      <c r="F14506" s="6">
        <v>0</v>
      </c>
      <c r="G14506" s="6">
        <v>15</v>
      </c>
      <c r="H14506" s="6" t="s">
        <v>54650</v>
      </c>
      <c r="I14506" s="6">
        <v>526.6875</v>
      </c>
      <c r="J14506" s="2">
        <f t="shared" si="226"/>
        <v>43749.564367442123</v>
      </c>
    </row>
    <row r="14507" spans="1:10" x14ac:dyDescent="0.25">
      <c r="A14507" s="7" t="s">
        <v>54651</v>
      </c>
      <c r="B14507" s="8">
        <v>393.75</v>
      </c>
      <c r="C14507" s="8">
        <v>20.584240000000001</v>
      </c>
      <c r="D14507" s="8">
        <v>45</v>
      </c>
      <c r="E14507" s="8">
        <v>0</v>
      </c>
      <c r="F14507" s="8">
        <v>0</v>
      </c>
      <c r="G14507" s="8">
        <v>16</v>
      </c>
      <c r="H14507" s="8" t="s">
        <v>54652</v>
      </c>
      <c r="I14507" s="8">
        <v>526.6875</v>
      </c>
      <c r="J14507" s="3">
        <f t="shared" si="226"/>
        <v>43749.564450798607</v>
      </c>
    </row>
    <row r="14508" spans="1:10" x14ac:dyDescent="0.25">
      <c r="A14508" s="5" t="s">
        <v>54653</v>
      </c>
      <c r="B14508" s="6">
        <v>393.75</v>
      </c>
      <c r="C14508" s="6">
        <v>20.531590000000001</v>
      </c>
      <c r="D14508" s="6">
        <v>46</v>
      </c>
      <c r="E14508" s="6">
        <v>0</v>
      </c>
      <c r="F14508" s="6">
        <v>0</v>
      </c>
      <c r="G14508" s="6">
        <v>6</v>
      </c>
      <c r="H14508" s="6" t="s">
        <v>54654</v>
      </c>
      <c r="I14508" s="6">
        <v>526.6875</v>
      </c>
      <c r="J14508" s="2">
        <f t="shared" si="226"/>
        <v>43749.564534108795</v>
      </c>
    </row>
    <row r="14509" spans="1:10" x14ac:dyDescent="0.25">
      <c r="A14509" s="7" t="s">
        <v>54655</v>
      </c>
      <c r="B14509" s="8">
        <v>393.75</v>
      </c>
      <c r="C14509" s="8">
        <v>20.584240000000001</v>
      </c>
      <c r="D14509" s="8">
        <v>46</v>
      </c>
      <c r="E14509" s="8">
        <v>0</v>
      </c>
      <c r="F14509" s="8">
        <v>0</v>
      </c>
      <c r="G14509" s="8">
        <v>12</v>
      </c>
      <c r="H14509" s="8" t="s">
        <v>54656</v>
      </c>
      <c r="I14509" s="8">
        <v>526.6875</v>
      </c>
      <c r="J14509" s="3">
        <f t="shared" si="226"/>
        <v>43749.56461778935</v>
      </c>
    </row>
    <row r="14510" spans="1:10" x14ac:dyDescent="0.25">
      <c r="A14510" s="5" t="s">
        <v>54657</v>
      </c>
      <c r="B14510" s="6">
        <v>415.625</v>
      </c>
      <c r="C14510" s="6">
        <v>20.584240000000001</v>
      </c>
      <c r="D14510" s="6">
        <v>47</v>
      </c>
      <c r="E14510" s="6">
        <v>0</v>
      </c>
      <c r="F14510" s="6">
        <v>0</v>
      </c>
      <c r="G14510" s="6">
        <v>13</v>
      </c>
      <c r="H14510" s="6" t="s">
        <v>54658</v>
      </c>
      <c r="I14510" s="6">
        <v>533.625</v>
      </c>
      <c r="J14510" s="2">
        <f t="shared" si="226"/>
        <v>43749.56470091435</v>
      </c>
    </row>
    <row r="14511" spans="1:10" x14ac:dyDescent="0.25">
      <c r="A14511" s="7" t="s">
        <v>54659</v>
      </c>
      <c r="B14511" s="8">
        <v>393.75</v>
      </c>
      <c r="C14511" s="8">
        <v>20.584240000000001</v>
      </c>
      <c r="D14511" s="8">
        <v>47</v>
      </c>
      <c r="E14511" s="8">
        <v>0</v>
      </c>
      <c r="F14511" s="8">
        <v>0</v>
      </c>
      <c r="G14511" s="8">
        <v>17</v>
      </c>
      <c r="H14511" s="8" t="s">
        <v>54660</v>
      </c>
      <c r="I14511" s="8">
        <v>526.5</v>
      </c>
      <c r="J14511" s="3">
        <f t="shared" si="226"/>
        <v>43749.564772557867</v>
      </c>
    </row>
    <row r="14512" spans="1:10" x14ac:dyDescent="0.25">
      <c r="A14512" s="5" t="s">
        <v>54661</v>
      </c>
      <c r="B14512" s="6">
        <v>393.75</v>
      </c>
      <c r="C14512" s="6">
        <v>20.584240000000001</v>
      </c>
      <c r="D14512" s="6">
        <v>45</v>
      </c>
      <c r="E14512" s="6">
        <v>0</v>
      </c>
      <c r="F14512" s="6">
        <v>0</v>
      </c>
      <c r="G14512" s="6">
        <v>13</v>
      </c>
      <c r="H14512" s="6" t="s">
        <v>54662</v>
      </c>
      <c r="I14512" s="6">
        <v>526.6875</v>
      </c>
      <c r="J14512" s="2">
        <f t="shared" si="226"/>
        <v>43749.5648564699</v>
      </c>
    </row>
    <row r="14513" spans="1:10" x14ac:dyDescent="0.25">
      <c r="A14513" s="7" t="s">
        <v>54663</v>
      </c>
      <c r="B14513" s="8">
        <v>412.5</v>
      </c>
      <c r="C14513" s="8">
        <v>20.584240000000001</v>
      </c>
      <c r="D14513" s="8">
        <v>43</v>
      </c>
      <c r="E14513" s="8">
        <v>0</v>
      </c>
      <c r="F14513" s="8">
        <v>0</v>
      </c>
      <c r="G14513" s="8">
        <v>9</v>
      </c>
      <c r="H14513" s="8" t="s">
        <v>54664</v>
      </c>
      <c r="I14513" s="8">
        <v>532.3125</v>
      </c>
      <c r="J14513" s="3">
        <f t="shared" si="226"/>
        <v>43749.56493980324</v>
      </c>
    </row>
    <row r="14514" spans="1:10" x14ac:dyDescent="0.25">
      <c r="A14514" s="5" t="s">
        <v>54665</v>
      </c>
      <c r="B14514" s="6">
        <v>393.75</v>
      </c>
      <c r="C14514" s="6">
        <v>20.584240000000001</v>
      </c>
      <c r="D14514" s="6">
        <v>43</v>
      </c>
      <c r="E14514" s="6">
        <v>0</v>
      </c>
      <c r="F14514" s="6">
        <v>0</v>
      </c>
      <c r="G14514" s="6">
        <v>9</v>
      </c>
      <c r="H14514" s="6" t="s">
        <v>54666</v>
      </c>
      <c r="I14514" s="6">
        <v>526.6875</v>
      </c>
      <c r="J14514" s="2">
        <f t="shared" si="226"/>
        <v>43749.565023113428</v>
      </c>
    </row>
    <row r="14515" spans="1:10" x14ac:dyDescent="0.25">
      <c r="A14515" s="7" t="s">
        <v>54667</v>
      </c>
      <c r="B14515" s="8">
        <v>393.75</v>
      </c>
      <c r="C14515" s="8">
        <v>20.584240000000001</v>
      </c>
      <c r="D14515" s="8">
        <v>43</v>
      </c>
      <c r="E14515" s="8">
        <v>0</v>
      </c>
      <c r="F14515" s="8">
        <v>0</v>
      </c>
      <c r="G14515" s="8">
        <v>0</v>
      </c>
      <c r="H14515" s="8" t="s">
        <v>54668</v>
      </c>
      <c r="I14515" s="8">
        <v>526.6875</v>
      </c>
      <c r="J14515" s="3">
        <f t="shared" si="226"/>
        <v>43749.56509478009</v>
      </c>
    </row>
    <row r="14516" spans="1:10" x14ac:dyDescent="0.25">
      <c r="A14516" s="5" t="s">
        <v>54669</v>
      </c>
      <c r="B14516" s="6">
        <v>393.75</v>
      </c>
      <c r="C14516" s="6">
        <v>20.584240000000001</v>
      </c>
      <c r="D14516" s="6">
        <v>44</v>
      </c>
      <c r="E14516" s="6">
        <v>0</v>
      </c>
      <c r="F14516" s="6">
        <v>0</v>
      </c>
      <c r="G14516" s="6">
        <v>0</v>
      </c>
      <c r="H14516" s="6" t="s">
        <v>54670</v>
      </c>
      <c r="I14516" s="6">
        <v>526.6875</v>
      </c>
      <c r="J14516" s="2">
        <f t="shared" si="226"/>
        <v>43749.565178356475</v>
      </c>
    </row>
    <row r="14517" spans="1:10" x14ac:dyDescent="0.25">
      <c r="A14517" s="7" t="s">
        <v>54671</v>
      </c>
      <c r="B14517" s="8">
        <v>393.75</v>
      </c>
      <c r="C14517" s="8">
        <v>20.584240000000001</v>
      </c>
      <c r="D14517" s="8">
        <v>43</v>
      </c>
      <c r="E14517" s="8">
        <v>0</v>
      </c>
      <c r="F14517" s="8">
        <v>0</v>
      </c>
      <c r="G14517" s="8">
        <v>0</v>
      </c>
      <c r="H14517" s="8" t="s">
        <v>54672</v>
      </c>
      <c r="I14517" s="8">
        <v>526.6875</v>
      </c>
      <c r="J14517" s="3">
        <f t="shared" si="226"/>
        <v>43749.565249652776</v>
      </c>
    </row>
    <row r="14518" spans="1:10" x14ac:dyDescent="0.25">
      <c r="A14518" s="5" t="s">
        <v>54673</v>
      </c>
      <c r="B14518" s="6">
        <v>393.75</v>
      </c>
      <c r="C14518" s="6">
        <v>20.584240000000001</v>
      </c>
      <c r="D14518" s="6">
        <v>43</v>
      </c>
      <c r="E14518" s="6">
        <v>0</v>
      </c>
      <c r="F14518" s="6">
        <v>0</v>
      </c>
      <c r="G14518" s="6">
        <v>0</v>
      </c>
      <c r="H14518" s="6" t="s">
        <v>54674</v>
      </c>
      <c r="I14518" s="6">
        <v>526.6875</v>
      </c>
      <c r="J14518" s="2">
        <f t="shared" si="226"/>
        <v>43749.565333321756</v>
      </c>
    </row>
    <row r="14519" spans="1:10" x14ac:dyDescent="0.25">
      <c r="A14519" s="7" t="s">
        <v>54675</v>
      </c>
      <c r="B14519" s="8">
        <v>393.75</v>
      </c>
      <c r="C14519" s="8">
        <v>20.584240000000001</v>
      </c>
      <c r="D14519" s="8">
        <v>43</v>
      </c>
      <c r="E14519" s="8">
        <v>0</v>
      </c>
      <c r="F14519" s="8">
        <v>0</v>
      </c>
      <c r="G14519" s="8">
        <v>1</v>
      </c>
      <c r="H14519" s="8" t="s">
        <v>54676</v>
      </c>
      <c r="I14519" s="8">
        <v>526.6875</v>
      </c>
      <c r="J14519" s="3">
        <f t="shared" si="226"/>
        <v>43749.565416886573</v>
      </c>
    </row>
    <row r="14520" spans="1:10" x14ac:dyDescent="0.25">
      <c r="A14520" s="5" t="s">
        <v>54677</v>
      </c>
      <c r="B14520" s="6">
        <v>393.75</v>
      </c>
      <c r="C14520" s="6">
        <v>20.584240000000001</v>
      </c>
      <c r="D14520" s="6">
        <v>44</v>
      </c>
      <c r="E14520" s="6">
        <v>0</v>
      </c>
      <c r="F14520" s="6">
        <v>0</v>
      </c>
      <c r="G14520" s="6">
        <v>15</v>
      </c>
      <c r="H14520" s="6" t="s">
        <v>54678</v>
      </c>
      <c r="I14520" s="6">
        <v>526.6875</v>
      </c>
      <c r="J14520" s="2">
        <f t="shared" si="226"/>
        <v>43749.565488402775</v>
      </c>
    </row>
    <row r="14521" spans="1:10" x14ac:dyDescent="0.25">
      <c r="A14521" s="7" t="s">
        <v>54679</v>
      </c>
      <c r="B14521" s="8">
        <v>393.75</v>
      </c>
      <c r="C14521" s="8">
        <v>20.584240000000001</v>
      </c>
      <c r="D14521" s="8">
        <v>43</v>
      </c>
      <c r="E14521" s="8">
        <v>0</v>
      </c>
      <c r="F14521" s="8">
        <v>0</v>
      </c>
      <c r="G14521" s="8">
        <v>9</v>
      </c>
      <c r="H14521" s="8" t="s">
        <v>54680</v>
      </c>
      <c r="I14521" s="8">
        <v>526.6875</v>
      </c>
      <c r="J14521" s="3">
        <f t="shared" si="226"/>
        <v>43749.565571643521</v>
      </c>
    </row>
    <row r="14522" spans="1:10" x14ac:dyDescent="0.25">
      <c r="A14522" s="5" t="s">
        <v>54681</v>
      </c>
      <c r="B14522" s="6">
        <v>393.75</v>
      </c>
      <c r="C14522" s="6">
        <v>20.584240000000001</v>
      </c>
      <c r="D14522" s="6">
        <v>43</v>
      </c>
      <c r="E14522" s="6">
        <v>0</v>
      </c>
      <c r="F14522" s="6">
        <v>0</v>
      </c>
      <c r="G14522" s="6">
        <v>21</v>
      </c>
      <c r="H14522" s="6" t="s">
        <v>54682</v>
      </c>
      <c r="I14522" s="6">
        <v>526.6875</v>
      </c>
      <c r="J14522" s="2">
        <f t="shared" si="226"/>
        <v>43749.565643368049</v>
      </c>
    </row>
    <row r="14523" spans="1:10" x14ac:dyDescent="0.25">
      <c r="A14523" s="7" t="s">
        <v>54683</v>
      </c>
      <c r="B14523" s="8">
        <v>393.75</v>
      </c>
      <c r="C14523" s="8">
        <v>20.584240000000001</v>
      </c>
      <c r="D14523" s="8">
        <v>44</v>
      </c>
      <c r="E14523" s="8">
        <v>0</v>
      </c>
      <c r="F14523" s="8">
        <v>0</v>
      </c>
      <c r="G14523" s="8">
        <v>14</v>
      </c>
      <c r="H14523" s="8" t="s">
        <v>54684</v>
      </c>
      <c r="I14523" s="8">
        <v>526.6875</v>
      </c>
      <c r="J14523" s="3">
        <f t="shared" si="226"/>
        <v>43749.565726724533</v>
      </c>
    </row>
    <row r="14524" spans="1:10" x14ac:dyDescent="0.25">
      <c r="A14524" s="5" t="s">
        <v>54685</v>
      </c>
      <c r="B14524" s="6">
        <v>412.5</v>
      </c>
      <c r="C14524" s="6">
        <v>20.584240000000001</v>
      </c>
      <c r="D14524" s="6">
        <v>44</v>
      </c>
      <c r="E14524" s="6">
        <v>0</v>
      </c>
      <c r="F14524" s="6">
        <v>0</v>
      </c>
      <c r="G14524" s="6">
        <v>22</v>
      </c>
      <c r="H14524" s="6" t="s">
        <v>54686</v>
      </c>
      <c r="I14524" s="6">
        <v>532.3125</v>
      </c>
      <c r="J14524" s="2">
        <f t="shared" si="226"/>
        <v>43749.565798356482</v>
      </c>
    </row>
    <row r="14525" spans="1:10" x14ac:dyDescent="0.25">
      <c r="A14525" s="7" t="s">
        <v>54687</v>
      </c>
      <c r="B14525" s="8">
        <v>393.75</v>
      </c>
      <c r="C14525" s="8">
        <v>20.584240000000001</v>
      </c>
      <c r="D14525" s="8">
        <v>47</v>
      </c>
      <c r="E14525" s="8">
        <v>0</v>
      </c>
      <c r="F14525" s="8">
        <v>0</v>
      </c>
      <c r="G14525" s="8">
        <v>19</v>
      </c>
      <c r="H14525" s="8" t="s">
        <v>54688</v>
      </c>
      <c r="I14525" s="8">
        <v>526.6875</v>
      </c>
      <c r="J14525" s="3">
        <f t="shared" si="226"/>
        <v>43749.565870115737</v>
      </c>
    </row>
    <row r="14526" spans="1:10" x14ac:dyDescent="0.25">
      <c r="A14526" s="5" t="s">
        <v>54689</v>
      </c>
      <c r="B14526" s="6">
        <v>393.75</v>
      </c>
      <c r="C14526" s="6">
        <v>20.531590000000001</v>
      </c>
      <c r="D14526" s="6">
        <v>49</v>
      </c>
      <c r="E14526" s="6">
        <v>0</v>
      </c>
      <c r="F14526" s="6">
        <v>0</v>
      </c>
      <c r="G14526" s="6">
        <v>17</v>
      </c>
      <c r="H14526" s="6" t="s">
        <v>54690</v>
      </c>
      <c r="I14526" s="6">
        <v>526.6875</v>
      </c>
      <c r="J14526" s="2">
        <f t="shared" si="226"/>
        <v>43749.565953460646</v>
      </c>
    </row>
    <row r="14527" spans="1:10" x14ac:dyDescent="0.25">
      <c r="A14527" s="7" t="s">
        <v>54691</v>
      </c>
      <c r="B14527" s="8">
        <v>393.75</v>
      </c>
      <c r="C14527" s="8">
        <v>20.584240000000001</v>
      </c>
      <c r="D14527" s="8">
        <v>46</v>
      </c>
      <c r="E14527" s="8">
        <v>0</v>
      </c>
      <c r="F14527" s="8">
        <v>0</v>
      </c>
      <c r="G14527" s="8">
        <v>10</v>
      </c>
      <c r="H14527" s="8" t="s">
        <v>54692</v>
      </c>
      <c r="I14527" s="8">
        <v>526.6875</v>
      </c>
      <c r="J14527" s="3">
        <f t="shared" si="226"/>
        <v>43749.566025092594</v>
      </c>
    </row>
    <row r="14528" spans="1:10" x14ac:dyDescent="0.25">
      <c r="A14528" s="5" t="s">
        <v>54693</v>
      </c>
      <c r="B14528" s="6">
        <v>393.75</v>
      </c>
      <c r="C14528" s="6">
        <v>20.531590000000001</v>
      </c>
      <c r="D14528" s="6">
        <v>46</v>
      </c>
      <c r="E14528" s="6">
        <v>0</v>
      </c>
      <c r="F14528" s="6">
        <v>0</v>
      </c>
      <c r="G14528" s="6">
        <v>5</v>
      </c>
      <c r="H14528" s="6" t="s">
        <v>54694</v>
      </c>
      <c r="I14528" s="6">
        <v>526.6875</v>
      </c>
      <c r="J14528" s="2">
        <f t="shared" si="226"/>
        <v>43749.56610831018</v>
      </c>
    </row>
    <row r="14529" spans="1:10" x14ac:dyDescent="0.25">
      <c r="A14529" s="7" t="s">
        <v>54695</v>
      </c>
      <c r="B14529" s="8">
        <v>393.75</v>
      </c>
      <c r="C14529" s="8">
        <v>20.584240000000001</v>
      </c>
      <c r="D14529" s="8">
        <v>46</v>
      </c>
      <c r="E14529" s="8">
        <v>0</v>
      </c>
      <c r="F14529" s="8">
        <v>0</v>
      </c>
      <c r="G14529" s="8">
        <v>8</v>
      </c>
      <c r="H14529" s="8" t="s">
        <v>54696</v>
      </c>
      <c r="I14529" s="8">
        <v>526.6875</v>
      </c>
      <c r="J14529" s="3">
        <f t="shared" si="226"/>
        <v>43749.566179953697</v>
      </c>
    </row>
    <row r="14530" spans="1:10" x14ac:dyDescent="0.25">
      <c r="A14530" s="5" t="s">
        <v>54697</v>
      </c>
      <c r="B14530" s="6">
        <v>393.75</v>
      </c>
      <c r="C14530" s="6">
        <v>20.584240000000001</v>
      </c>
      <c r="D14530" s="6">
        <v>46</v>
      </c>
      <c r="E14530" s="6">
        <v>0</v>
      </c>
      <c r="F14530" s="6">
        <v>0</v>
      </c>
      <c r="G14530" s="6">
        <v>14</v>
      </c>
      <c r="H14530" s="6" t="s">
        <v>54698</v>
      </c>
      <c r="I14530" s="6">
        <v>526.6875</v>
      </c>
      <c r="J14530" s="2">
        <f t="shared" ref="J14530:J14593" si="227">(H14530/86400000)+25569+(7/24)</f>
        <v>43749.566263738423</v>
      </c>
    </row>
    <row r="14531" spans="1:10" x14ac:dyDescent="0.25">
      <c r="A14531" s="7" t="s">
        <v>54699</v>
      </c>
      <c r="B14531" s="8">
        <v>393.75</v>
      </c>
      <c r="C14531" s="8">
        <v>20.584240000000001</v>
      </c>
      <c r="D14531" s="8">
        <v>46</v>
      </c>
      <c r="E14531" s="8">
        <v>0</v>
      </c>
      <c r="F14531" s="8">
        <v>0</v>
      </c>
      <c r="G14531" s="8">
        <v>19</v>
      </c>
      <c r="H14531" s="8" t="s">
        <v>54700</v>
      </c>
      <c r="I14531" s="8">
        <v>526.6875</v>
      </c>
      <c r="J14531" s="3">
        <f t="shared" si="227"/>
        <v>43749.566347187494</v>
      </c>
    </row>
    <row r="14532" spans="1:10" x14ac:dyDescent="0.25">
      <c r="A14532" s="5" t="s">
        <v>54701</v>
      </c>
      <c r="B14532" s="6">
        <v>393.75</v>
      </c>
      <c r="C14532" s="6">
        <v>20.584240000000001</v>
      </c>
      <c r="D14532" s="6">
        <v>50</v>
      </c>
      <c r="E14532" s="6">
        <v>0</v>
      </c>
      <c r="F14532" s="6">
        <v>0</v>
      </c>
      <c r="G14532" s="6">
        <v>23</v>
      </c>
      <c r="H14532" s="6" t="s">
        <v>54702</v>
      </c>
      <c r="I14532" s="6">
        <v>526.6875</v>
      </c>
      <c r="J14532" s="2">
        <f t="shared" si="227"/>
        <v>43749.566430405095</v>
      </c>
    </row>
    <row r="14533" spans="1:10" x14ac:dyDescent="0.25">
      <c r="A14533" s="7" t="s">
        <v>54703</v>
      </c>
      <c r="B14533" s="8">
        <v>393.75</v>
      </c>
      <c r="C14533" s="8">
        <v>20.531590000000001</v>
      </c>
      <c r="D14533" s="8">
        <v>50</v>
      </c>
      <c r="E14533" s="8">
        <v>0</v>
      </c>
      <c r="F14533" s="8">
        <v>0</v>
      </c>
      <c r="G14533" s="8">
        <v>24</v>
      </c>
      <c r="H14533" s="8" t="s">
        <v>54704</v>
      </c>
      <c r="I14533" s="8">
        <v>526.6875</v>
      </c>
      <c r="J14533" s="3">
        <f t="shared" si="227"/>
        <v>43749.566529942131</v>
      </c>
    </row>
    <row r="14534" spans="1:10" x14ac:dyDescent="0.25">
      <c r="A14534" s="5" t="s">
        <v>54705</v>
      </c>
      <c r="B14534" s="6">
        <v>393.75</v>
      </c>
      <c r="C14534" s="6">
        <v>20.531590000000001</v>
      </c>
      <c r="D14534" s="6">
        <v>48</v>
      </c>
      <c r="E14534" s="6">
        <v>0</v>
      </c>
      <c r="F14534" s="6">
        <v>0</v>
      </c>
      <c r="G14534" s="6">
        <v>19</v>
      </c>
      <c r="H14534" s="6" t="s">
        <v>54706</v>
      </c>
      <c r="I14534" s="6">
        <v>526.6875</v>
      </c>
      <c r="J14534" s="2">
        <f t="shared" si="227"/>
        <v>43749.566609641202</v>
      </c>
    </row>
    <row r="14535" spans="1:10" x14ac:dyDescent="0.25">
      <c r="A14535" s="7" t="s">
        <v>54707</v>
      </c>
      <c r="B14535" s="8">
        <v>393.75</v>
      </c>
      <c r="C14535" s="8">
        <v>20.584240000000001</v>
      </c>
      <c r="D14535" s="8">
        <v>48</v>
      </c>
      <c r="E14535" s="8">
        <v>0</v>
      </c>
      <c r="F14535" s="8">
        <v>0</v>
      </c>
      <c r="G14535" s="8">
        <v>28</v>
      </c>
      <c r="H14535" s="8" t="s">
        <v>54708</v>
      </c>
      <c r="I14535" s="8">
        <v>526.6875</v>
      </c>
      <c r="J14535" s="3">
        <f t="shared" si="227"/>
        <v>43749.566693449073</v>
      </c>
    </row>
    <row r="14536" spans="1:10" x14ac:dyDescent="0.25">
      <c r="A14536" s="5" t="s">
        <v>54709</v>
      </c>
      <c r="B14536" s="6">
        <v>393.75</v>
      </c>
      <c r="C14536" s="6">
        <v>20.584240000000001</v>
      </c>
      <c r="D14536" s="6">
        <v>46</v>
      </c>
      <c r="E14536" s="6">
        <v>0</v>
      </c>
      <c r="F14536" s="6">
        <v>0</v>
      </c>
      <c r="G14536" s="6">
        <v>12</v>
      </c>
      <c r="H14536" s="6" t="s">
        <v>54710</v>
      </c>
      <c r="I14536" s="6">
        <v>526.6875</v>
      </c>
      <c r="J14536" s="2">
        <f t="shared" si="227"/>
        <v>43749.566776666667</v>
      </c>
    </row>
    <row r="14537" spans="1:10" x14ac:dyDescent="0.25">
      <c r="A14537" s="7" t="s">
        <v>54711</v>
      </c>
      <c r="B14537" s="8">
        <v>393.75</v>
      </c>
      <c r="C14537" s="8">
        <v>20.531590000000001</v>
      </c>
      <c r="D14537" s="8">
        <v>47</v>
      </c>
      <c r="E14537" s="8">
        <v>0</v>
      </c>
      <c r="F14537" s="8">
        <v>0</v>
      </c>
      <c r="G14537" s="8">
        <v>17</v>
      </c>
      <c r="H14537" s="8" t="s">
        <v>54712</v>
      </c>
      <c r="I14537" s="8">
        <v>526.6875</v>
      </c>
      <c r="J14537" s="3">
        <f t="shared" si="227"/>
        <v>43749.566860081017</v>
      </c>
    </row>
    <row r="14538" spans="1:10" x14ac:dyDescent="0.25">
      <c r="A14538" s="5" t="s">
        <v>54713</v>
      </c>
      <c r="B14538" s="6">
        <v>393.75</v>
      </c>
      <c r="C14538" s="6">
        <v>20.584240000000001</v>
      </c>
      <c r="D14538" s="6">
        <v>48</v>
      </c>
      <c r="E14538" s="6">
        <v>0</v>
      </c>
      <c r="F14538" s="6">
        <v>0</v>
      </c>
      <c r="G14538" s="6">
        <v>19</v>
      </c>
      <c r="H14538" s="6" t="s">
        <v>54714</v>
      </c>
      <c r="I14538" s="6">
        <v>526.6875</v>
      </c>
      <c r="J14538" s="2">
        <f t="shared" si="227"/>
        <v>43749.566943541664</v>
      </c>
    </row>
    <row r="14539" spans="1:10" x14ac:dyDescent="0.25">
      <c r="A14539" s="7" t="s">
        <v>54715</v>
      </c>
      <c r="B14539" s="8">
        <v>437.5</v>
      </c>
      <c r="C14539" s="8">
        <v>20.584240000000001</v>
      </c>
      <c r="D14539" s="8">
        <v>47</v>
      </c>
      <c r="E14539" s="8">
        <v>0</v>
      </c>
      <c r="F14539" s="8">
        <v>0</v>
      </c>
      <c r="G14539" s="8">
        <v>24</v>
      </c>
      <c r="H14539" s="8" t="s">
        <v>54716</v>
      </c>
      <c r="I14539" s="8">
        <v>540.75</v>
      </c>
      <c r="J14539" s="3">
        <f t="shared" si="227"/>
        <v>43749.567026770826</v>
      </c>
    </row>
    <row r="14540" spans="1:10" x14ac:dyDescent="0.25">
      <c r="A14540" s="5" t="s">
        <v>54717</v>
      </c>
      <c r="B14540" s="6">
        <v>393.75</v>
      </c>
      <c r="C14540" s="6">
        <v>20.531590000000001</v>
      </c>
      <c r="D14540" s="6">
        <v>47</v>
      </c>
      <c r="E14540" s="6">
        <v>0</v>
      </c>
      <c r="F14540" s="6">
        <v>0</v>
      </c>
      <c r="G14540" s="6">
        <v>13</v>
      </c>
      <c r="H14540" s="6" t="s">
        <v>54718</v>
      </c>
      <c r="I14540" s="6">
        <v>526.6875</v>
      </c>
      <c r="J14540" s="2">
        <f t="shared" si="227"/>
        <v>43749.567098506937</v>
      </c>
    </row>
    <row r="14541" spans="1:10" x14ac:dyDescent="0.25">
      <c r="A14541" s="7" t="s">
        <v>54719</v>
      </c>
      <c r="B14541" s="8">
        <v>393.75</v>
      </c>
      <c r="C14541" s="8">
        <v>20.584240000000001</v>
      </c>
      <c r="D14541" s="8">
        <v>45</v>
      </c>
      <c r="E14541" s="8">
        <v>0</v>
      </c>
      <c r="F14541" s="8">
        <v>0</v>
      </c>
      <c r="G14541" s="8">
        <v>11</v>
      </c>
      <c r="H14541" s="8" t="s">
        <v>54720</v>
      </c>
      <c r="I14541" s="8">
        <v>526.6875</v>
      </c>
      <c r="J14541" s="3">
        <f t="shared" si="227"/>
        <v>43749.567182210645</v>
      </c>
    </row>
    <row r="14542" spans="1:10" x14ac:dyDescent="0.25">
      <c r="A14542" s="5" t="s">
        <v>54721</v>
      </c>
      <c r="B14542" s="6">
        <v>412.5</v>
      </c>
      <c r="C14542" s="6">
        <v>20.531590000000001</v>
      </c>
      <c r="D14542" s="6">
        <v>46</v>
      </c>
      <c r="E14542" s="6">
        <v>0</v>
      </c>
      <c r="F14542" s="6">
        <v>0</v>
      </c>
      <c r="G14542" s="6">
        <v>11</v>
      </c>
      <c r="H14542" s="6" t="s">
        <v>54722</v>
      </c>
      <c r="I14542" s="6">
        <v>532.3125</v>
      </c>
      <c r="J14542" s="2">
        <f t="shared" si="227"/>
        <v>43749.567265625003</v>
      </c>
    </row>
    <row r="14543" spans="1:10" x14ac:dyDescent="0.25">
      <c r="A14543" s="7" t="s">
        <v>54723</v>
      </c>
      <c r="B14543" s="8">
        <v>393.75</v>
      </c>
      <c r="C14543" s="8">
        <v>20.584240000000001</v>
      </c>
      <c r="D14543" s="8">
        <v>46</v>
      </c>
      <c r="E14543" s="8">
        <v>0</v>
      </c>
      <c r="F14543" s="8">
        <v>0</v>
      </c>
      <c r="G14543" s="8">
        <v>14</v>
      </c>
      <c r="H14543" s="8" t="s">
        <v>54724</v>
      </c>
      <c r="I14543" s="8">
        <v>526.6875</v>
      </c>
      <c r="J14543" s="3">
        <f t="shared" si="227"/>
        <v>43749.56734898148</v>
      </c>
    </row>
    <row r="14544" spans="1:10" x14ac:dyDescent="0.25">
      <c r="A14544" s="5" t="s">
        <v>54725</v>
      </c>
      <c r="B14544" s="6">
        <v>393.75</v>
      </c>
      <c r="C14544" s="6">
        <v>20.584240000000001</v>
      </c>
      <c r="D14544" s="6">
        <v>47</v>
      </c>
      <c r="E14544" s="6">
        <v>0</v>
      </c>
      <c r="F14544" s="6">
        <v>0</v>
      </c>
      <c r="G14544" s="6">
        <v>8</v>
      </c>
      <c r="H14544" s="6" t="s">
        <v>54726</v>
      </c>
      <c r="I14544" s="6">
        <v>526.6875</v>
      </c>
      <c r="J14544" s="2">
        <f t="shared" si="227"/>
        <v>43749.567432523145</v>
      </c>
    </row>
    <row r="14545" spans="1:10" x14ac:dyDescent="0.25">
      <c r="A14545" s="7" t="s">
        <v>54727</v>
      </c>
      <c r="B14545" s="8">
        <v>393.75</v>
      </c>
      <c r="C14545" s="8">
        <v>20.531590000000001</v>
      </c>
      <c r="D14545" s="8">
        <v>47</v>
      </c>
      <c r="E14545" s="8">
        <v>0</v>
      </c>
      <c r="F14545" s="8">
        <v>0</v>
      </c>
      <c r="G14545" s="8">
        <v>12</v>
      </c>
      <c r="H14545" s="8" t="s">
        <v>54728</v>
      </c>
      <c r="I14545" s="8">
        <v>526.6875</v>
      </c>
      <c r="J14545" s="3">
        <f t="shared" si="227"/>
        <v>43749.567515740739</v>
      </c>
    </row>
    <row r="14546" spans="1:10" x14ac:dyDescent="0.25">
      <c r="A14546" s="5" t="s">
        <v>54729</v>
      </c>
      <c r="B14546" s="6">
        <v>393.75</v>
      </c>
      <c r="C14546" s="6">
        <v>20.584240000000001</v>
      </c>
      <c r="D14546" s="6">
        <v>47</v>
      </c>
      <c r="E14546" s="6">
        <v>0</v>
      </c>
      <c r="F14546" s="6">
        <v>0</v>
      </c>
      <c r="G14546" s="6">
        <v>18</v>
      </c>
      <c r="H14546" s="6" t="s">
        <v>54730</v>
      </c>
      <c r="I14546" s="6">
        <v>526.6875</v>
      </c>
      <c r="J14546" s="2">
        <f t="shared" si="227"/>
        <v>43749.567587291669</v>
      </c>
    </row>
    <row r="14547" spans="1:10" x14ac:dyDescent="0.25">
      <c r="A14547" s="7" t="s">
        <v>54731</v>
      </c>
      <c r="B14547" s="8">
        <v>412.5</v>
      </c>
      <c r="C14547" s="8">
        <v>20.531590000000001</v>
      </c>
      <c r="D14547" s="8">
        <v>47</v>
      </c>
      <c r="E14547" s="8">
        <v>0</v>
      </c>
      <c r="F14547" s="8">
        <v>0</v>
      </c>
      <c r="G14547" s="8">
        <v>22</v>
      </c>
      <c r="H14547" s="8" t="s">
        <v>54732</v>
      </c>
      <c r="I14547" s="8">
        <v>532.3125</v>
      </c>
      <c r="J14547" s="3">
        <f t="shared" si="227"/>
        <v>43749.567671319441</v>
      </c>
    </row>
    <row r="14548" spans="1:10" x14ac:dyDescent="0.25">
      <c r="A14548" s="5" t="s">
        <v>54733</v>
      </c>
      <c r="B14548" s="6">
        <v>393.75</v>
      </c>
      <c r="C14548" s="6">
        <v>20.584240000000001</v>
      </c>
      <c r="D14548" s="6">
        <v>45</v>
      </c>
      <c r="E14548" s="6">
        <v>0</v>
      </c>
      <c r="F14548" s="6">
        <v>0</v>
      </c>
      <c r="G14548" s="6">
        <v>28</v>
      </c>
      <c r="H14548" s="6" t="s">
        <v>54734</v>
      </c>
      <c r="I14548" s="6">
        <v>526.6875</v>
      </c>
      <c r="J14548" s="2">
        <f t="shared" si="227"/>
        <v>43749.567754641197</v>
      </c>
    </row>
    <row r="14549" spans="1:10" x14ac:dyDescent="0.25">
      <c r="A14549" s="7" t="s">
        <v>54735</v>
      </c>
      <c r="B14549" s="8">
        <v>393.75</v>
      </c>
      <c r="C14549" s="8">
        <v>20.584240000000001</v>
      </c>
      <c r="D14549" s="8">
        <v>45</v>
      </c>
      <c r="E14549" s="8">
        <v>0</v>
      </c>
      <c r="F14549" s="8">
        <v>0</v>
      </c>
      <c r="G14549" s="8">
        <v>21</v>
      </c>
      <c r="H14549" s="8" t="s">
        <v>54736</v>
      </c>
      <c r="I14549" s="8">
        <v>526.6875</v>
      </c>
      <c r="J14549" s="3">
        <f t="shared" si="227"/>
        <v>43749.567837870367</v>
      </c>
    </row>
    <row r="14550" spans="1:10" x14ac:dyDescent="0.25">
      <c r="A14550" s="5" t="s">
        <v>54737</v>
      </c>
      <c r="B14550" s="6">
        <v>393.75</v>
      </c>
      <c r="C14550" s="6">
        <v>20.584240000000001</v>
      </c>
      <c r="D14550" s="6">
        <v>45</v>
      </c>
      <c r="E14550" s="6">
        <v>0</v>
      </c>
      <c r="F14550" s="6">
        <v>0</v>
      </c>
      <c r="G14550" s="6">
        <v>16</v>
      </c>
      <c r="H14550" s="6" t="s">
        <v>54738</v>
      </c>
      <c r="I14550" s="6">
        <v>526.6875</v>
      </c>
      <c r="J14550" s="2">
        <f t="shared" si="227"/>
        <v>43749.567909733792</v>
      </c>
    </row>
    <row r="14551" spans="1:10" x14ac:dyDescent="0.25">
      <c r="A14551" s="7" t="s">
        <v>54739</v>
      </c>
      <c r="B14551" s="8">
        <v>393.75</v>
      </c>
      <c r="C14551" s="8">
        <v>20.584240000000001</v>
      </c>
      <c r="D14551" s="8">
        <v>45</v>
      </c>
      <c r="E14551" s="8">
        <v>0</v>
      </c>
      <c r="F14551" s="8">
        <v>0</v>
      </c>
      <c r="G14551" s="8">
        <v>11</v>
      </c>
      <c r="H14551" s="8" t="s">
        <v>54740</v>
      </c>
      <c r="I14551" s="8">
        <v>526.6875</v>
      </c>
      <c r="J14551" s="3">
        <f t="shared" si="227"/>
        <v>43749.567993206016</v>
      </c>
    </row>
    <row r="14552" spans="1:10" x14ac:dyDescent="0.25">
      <c r="A14552" s="5" t="s">
        <v>54741</v>
      </c>
      <c r="B14552" s="6">
        <v>418.75</v>
      </c>
      <c r="C14552" s="6">
        <v>20.531590000000001</v>
      </c>
      <c r="D14552" s="6">
        <v>44</v>
      </c>
      <c r="E14552" s="6">
        <v>0</v>
      </c>
      <c r="F14552" s="6">
        <v>0</v>
      </c>
      <c r="G14552" s="6">
        <v>16</v>
      </c>
      <c r="H14552" s="6" t="s">
        <v>54742</v>
      </c>
      <c r="I14552" s="6">
        <v>534.9375</v>
      </c>
      <c r="J14552" s="2">
        <f t="shared" si="227"/>
        <v>43749.568076643518</v>
      </c>
    </row>
    <row r="14553" spans="1:10" x14ac:dyDescent="0.25">
      <c r="A14553" s="7" t="s">
        <v>54743</v>
      </c>
      <c r="B14553" s="8">
        <v>393.75</v>
      </c>
      <c r="C14553" s="8">
        <v>20.584240000000001</v>
      </c>
      <c r="D14553" s="8">
        <v>45</v>
      </c>
      <c r="E14553" s="8">
        <v>0</v>
      </c>
      <c r="F14553" s="8">
        <v>0</v>
      </c>
      <c r="G14553" s="8">
        <v>17</v>
      </c>
      <c r="H14553" s="8" t="s">
        <v>54744</v>
      </c>
      <c r="I14553" s="8">
        <v>526.6875</v>
      </c>
      <c r="J14553" s="3">
        <f t="shared" si="227"/>
        <v>43749.568160196759</v>
      </c>
    </row>
    <row r="14554" spans="1:10" x14ac:dyDescent="0.25">
      <c r="A14554" s="5" t="s">
        <v>54745</v>
      </c>
      <c r="B14554" s="6">
        <v>393.75</v>
      </c>
      <c r="C14554" s="6">
        <v>20.531590000000001</v>
      </c>
      <c r="D14554" s="6">
        <v>44</v>
      </c>
      <c r="E14554" s="6">
        <v>0</v>
      </c>
      <c r="F14554" s="6">
        <v>0</v>
      </c>
      <c r="G14554" s="6">
        <v>9</v>
      </c>
      <c r="H14554" s="6" t="s">
        <v>54746</v>
      </c>
      <c r="I14554" s="6">
        <v>526.6875</v>
      </c>
      <c r="J14554" s="2">
        <f t="shared" si="227"/>
        <v>43749.568245358794</v>
      </c>
    </row>
    <row r="14555" spans="1:10" x14ac:dyDescent="0.25">
      <c r="A14555" s="7" t="s">
        <v>54747</v>
      </c>
      <c r="B14555" s="8">
        <v>393.75</v>
      </c>
      <c r="C14555" s="8">
        <v>20.584240000000001</v>
      </c>
      <c r="D14555" s="8">
        <v>44</v>
      </c>
      <c r="E14555" s="8">
        <v>0</v>
      </c>
      <c r="F14555" s="8">
        <v>0</v>
      </c>
      <c r="G14555" s="8">
        <v>13</v>
      </c>
      <c r="H14555" s="8" t="s">
        <v>54748</v>
      </c>
      <c r="I14555" s="8">
        <v>526.6875</v>
      </c>
      <c r="J14555" s="3">
        <f t="shared" si="227"/>
        <v>43749.568326863424</v>
      </c>
    </row>
    <row r="14556" spans="1:10" x14ac:dyDescent="0.25">
      <c r="A14556" s="5" t="s">
        <v>54749</v>
      </c>
      <c r="B14556" s="6">
        <v>393.75</v>
      </c>
      <c r="C14556" s="6">
        <v>20.531590000000001</v>
      </c>
      <c r="D14556" s="6">
        <v>44</v>
      </c>
      <c r="E14556" s="6">
        <v>0</v>
      </c>
      <c r="F14556" s="6">
        <v>0</v>
      </c>
      <c r="G14556" s="6">
        <v>15</v>
      </c>
      <c r="H14556" s="6" t="s">
        <v>54750</v>
      </c>
      <c r="I14556" s="6">
        <v>526.6875</v>
      </c>
      <c r="J14556" s="2">
        <f t="shared" si="227"/>
        <v>43749.568398622687</v>
      </c>
    </row>
    <row r="14557" spans="1:10" x14ac:dyDescent="0.25">
      <c r="A14557" s="7" t="s">
        <v>54751</v>
      </c>
      <c r="B14557" s="8">
        <v>418.75</v>
      </c>
      <c r="C14557" s="8">
        <v>20.531590000000001</v>
      </c>
      <c r="D14557" s="8">
        <v>43</v>
      </c>
      <c r="E14557" s="8">
        <v>0</v>
      </c>
      <c r="F14557" s="8">
        <v>0</v>
      </c>
      <c r="G14557" s="8">
        <v>18</v>
      </c>
      <c r="H14557" s="8" t="s">
        <v>54752</v>
      </c>
      <c r="I14557" s="8">
        <v>534.5625</v>
      </c>
      <c r="J14557" s="3">
        <f t="shared" si="227"/>
        <v>43749.568482326387</v>
      </c>
    </row>
    <row r="14558" spans="1:10" x14ac:dyDescent="0.25">
      <c r="A14558" s="5" t="s">
        <v>54753</v>
      </c>
      <c r="B14558" s="6">
        <v>393.75</v>
      </c>
      <c r="C14558" s="6">
        <v>20.531590000000001</v>
      </c>
      <c r="D14558" s="6">
        <v>42</v>
      </c>
      <c r="E14558" s="6">
        <v>0</v>
      </c>
      <c r="F14558" s="6">
        <v>0</v>
      </c>
      <c r="G14558" s="6">
        <v>11</v>
      </c>
      <c r="H14558" s="6" t="s">
        <v>54754</v>
      </c>
      <c r="I14558" s="6">
        <v>526.6875</v>
      </c>
      <c r="J14558" s="2">
        <f t="shared" si="227"/>
        <v>43749.56856576389</v>
      </c>
    </row>
    <row r="14559" spans="1:10" x14ac:dyDescent="0.25">
      <c r="A14559" s="7" t="s">
        <v>54755</v>
      </c>
      <c r="B14559" s="8">
        <v>393.75</v>
      </c>
      <c r="C14559" s="8">
        <v>20.584240000000001</v>
      </c>
      <c r="D14559" s="8">
        <v>44</v>
      </c>
      <c r="E14559" s="8">
        <v>0</v>
      </c>
      <c r="F14559" s="8">
        <v>0</v>
      </c>
      <c r="G14559" s="8">
        <v>23</v>
      </c>
      <c r="H14559" s="8" t="s">
        <v>54756</v>
      </c>
      <c r="I14559" s="8">
        <v>526.6875</v>
      </c>
      <c r="J14559" s="3">
        <f t="shared" si="227"/>
        <v>43749.568648981476</v>
      </c>
    </row>
    <row r="14560" spans="1:10" x14ac:dyDescent="0.25">
      <c r="A14560" s="5" t="s">
        <v>54757</v>
      </c>
      <c r="B14560" s="6">
        <v>393.75</v>
      </c>
      <c r="C14560" s="6">
        <v>20.584240000000001</v>
      </c>
      <c r="D14560" s="6">
        <v>46</v>
      </c>
      <c r="E14560" s="6">
        <v>0</v>
      </c>
      <c r="F14560" s="6">
        <v>0</v>
      </c>
      <c r="G14560" s="6">
        <v>14</v>
      </c>
      <c r="H14560" s="6" t="s">
        <v>54758</v>
      </c>
      <c r="I14560" s="6">
        <v>526.6875</v>
      </c>
      <c r="J14560" s="2">
        <f t="shared" si="227"/>
        <v>43749.568732662032</v>
      </c>
    </row>
    <row r="14561" spans="1:10" x14ac:dyDescent="0.25">
      <c r="A14561" s="7" t="s">
        <v>54759</v>
      </c>
      <c r="B14561" s="8">
        <v>393.75</v>
      </c>
      <c r="C14561" s="8">
        <v>20.584240000000001</v>
      </c>
      <c r="D14561" s="8">
        <v>45</v>
      </c>
      <c r="E14561" s="8">
        <v>0</v>
      </c>
      <c r="F14561" s="8">
        <v>0</v>
      </c>
      <c r="G14561" s="8">
        <v>22</v>
      </c>
      <c r="H14561" s="8" t="s">
        <v>54760</v>
      </c>
      <c r="I14561" s="8">
        <v>526.6875</v>
      </c>
      <c r="J14561" s="3">
        <f t="shared" si="227"/>
        <v>43749.568815983796</v>
      </c>
    </row>
    <row r="14562" spans="1:10" x14ac:dyDescent="0.25">
      <c r="A14562" s="5" t="s">
        <v>54761</v>
      </c>
      <c r="B14562" s="6">
        <v>393.75</v>
      </c>
      <c r="C14562" s="6">
        <v>20.584240000000001</v>
      </c>
      <c r="D14562" s="6">
        <v>45</v>
      </c>
      <c r="E14562" s="6">
        <v>0</v>
      </c>
      <c r="F14562" s="6">
        <v>0</v>
      </c>
      <c r="G14562" s="6">
        <v>21</v>
      </c>
      <c r="H14562" s="6" t="s">
        <v>54762</v>
      </c>
      <c r="I14562" s="6">
        <v>526.6875</v>
      </c>
      <c r="J14562" s="2">
        <f t="shared" si="227"/>
        <v>43749.568887743058</v>
      </c>
    </row>
    <row r="14563" spans="1:10" x14ac:dyDescent="0.25">
      <c r="A14563" s="7" t="s">
        <v>54763</v>
      </c>
      <c r="B14563" s="8">
        <v>393.75</v>
      </c>
      <c r="C14563" s="8">
        <v>20.531590000000001</v>
      </c>
      <c r="D14563" s="8">
        <v>45</v>
      </c>
      <c r="E14563" s="8">
        <v>0</v>
      </c>
      <c r="F14563" s="8">
        <v>0</v>
      </c>
      <c r="G14563" s="8">
        <v>32</v>
      </c>
      <c r="H14563" s="8" t="s">
        <v>54764</v>
      </c>
      <c r="I14563" s="8">
        <v>526.6875</v>
      </c>
      <c r="J14563" s="3">
        <f t="shared" si="227"/>
        <v>43749.568971319437</v>
      </c>
    </row>
    <row r="14564" spans="1:10" x14ac:dyDescent="0.25">
      <c r="A14564" s="5" t="s">
        <v>54765</v>
      </c>
      <c r="B14564" s="6">
        <v>393.75</v>
      </c>
      <c r="C14564" s="6">
        <v>20.584240000000001</v>
      </c>
      <c r="D14564" s="6">
        <v>42</v>
      </c>
      <c r="E14564" s="6">
        <v>0</v>
      </c>
      <c r="F14564" s="6">
        <v>0</v>
      </c>
      <c r="G14564" s="6">
        <v>17</v>
      </c>
      <c r="H14564" s="6" t="s">
        <v>54766</v>
      </c>
      <c r="I14564" s="6">
        <v>526.6875</v>
      </c>
      <c r="J14564" s="2">
        <f t="shared" si="227"/>
        <v>43749.569054768515</v>
      </c>
    </row>
    <row r="14565" spans="1:10" x14ac:dyDescent="0.25">
      <c r="A14565" s="7" t="s">
        <v>54767</v>
      </c>
      <c r="B14565" s="8">
        <v>393.75</v>
      </c>
      <c r="C14565" s="8">
        <v>20.531590000000001</v>
      </c>
      <c r="D14565" s="8">
        <v>43</v>
      </c>
      <c r="E14565" s="8">
        <v>0</v>
      </c>
      <c r="F14565" s="8">
        <v>0</v>
      </c>
      <c r="G14565" s="8">
        <v>16</v>
      </c>
      <c r="H14565" s="8" t="s">
        <v>54768</v>
      </c>
      <c r="I14565" s="8">
        <v>526.6875</v>
      </c>
      <c r="J14565" s="3">
        <f t="shared" si="227"/>
        <v>43749.569126296294</v>
      </c>
    </row>
    <row r="14566" spans="1:10" x14ac:dyDescent="0.25">
      <c r="A14566" s="5" t="s">
        <v>54769</v>
      </c>
      <c r="B14566" s="6">
        <v>393.75</v>
      </c>
      <c r="C14566" s="6">
        <v>20.584240000000001</v>
      </c>
      <c r="D14566" s="6">
        <v>43</v>
      </c>
      <c r="E14566" s="6">
        <v>0</v>
      </c>
      <c r="F14566" s="6">
        <v>0</v>
      </c>
      <c r="G14566" s="6">
        <v>11</v>
      </c>
      <c r="H14566" s="6" t="s">
        <v>54770</v>
      </c>
      <c r="I14566" s="6">
        <v>526.6875</v>
      </c>
      <c r="J14566" s="2">
        <f t="shared" si="227"/>
        <v>43749.569209861111</v>
      </c>
    </row>
    <row r="14567" spans="1:10" x14ac:dyDescent="0.25">
      <c r="A14567" s="7" t="s">
        <v>54771</v>
      </c>
      <c r="B14567" s="8">
        <v>393.75</v>
      </c>
      <c r="C14567" s="8">
        <v>20.584240000000001</v>
      </c>
      <c r="D14567" s="8">
        <v>43</v>
      </c>
      <c r="E14567" s="8">
        <v>0</v>
      </c>
      <c r="F14567" s="8">
        <v>0</v>
      </c>
      <c r="G14567" s="8">
        <v>11</v>
      </c>
      <c r="H14567" s="8" t="s">
        <v>54772</v>
      </c>
      <c r="I14567" s="8">
        <v>526.6875</v>
      </c>
      <c r="J14567" s="3">
        <f t="shared" si="227"/>
        <v>43749.569304849538</v>
      </c>
    </row>
    <row r="14568" spans="1:10" x14ac:dyDescent="0.25">
      <c r="A14568" s="5" t="s">
        <v>54773</v>
      </c>
      <c r="B14568" s="6">
        <v>393.75</v>
      </c>
      <c r="C14568" s="6">
        <v>20.584240000000001</v>
      </c>
      <c r="D14568" s="6">
        <v>42</v>
      </c>
      <c r="E14568" s="6">
        <v>0</v>
      </c>
      <c r="F14568" s="6">
        <v>0</v>
      </c>
      <c r="G14568" s="6">
        <v>12</v>
      </c>
      <c r="H14568" s="6" t="s">
        <v>54774</v>
      </c>
      <c r="I14568" s="6">
        <v>526.5</v>
      </c>
      <c r="J14568" s="2">
        <f t="shared" si="227"/>
        <v>43749.569376828702</v>
      </c>
    </row>
    <row r="14569" spans="1:10" x14ac:dyDescent="0.25">
      <c r="A14569" s="7" t="s">
        <v>54775</v>
      </c>
      <c r="B14569" s="8">
        <v>393.75</v>
      </c>
      <c r="C14569" s="8">
        <v>20.584240000000001</v>
      </c>
      <c r="D14569" s="8">
        <v>42</v>
      </c>
      <c r="E14569" s="8">
        <v>0</v>
      </c>
      <c r="F14569" s="8">
        <v>0</v>
      </c>
      <c r="G14569" s="8">
        <v>9</v>
      </c>
      <c r="H14569" s="8" t="s">
        <v>54776</v>
      </c>
      <c r="I14569" s="8">
        <v>526.6875</v>
      </c>
      <c r="J14569" s="3">
        <f t="shared" si="227"/>
        <v>43749.569460023144</v>
      </c>
    </row>
    <row r="14570" spans="1:10" x14ac:dyDescent="0.25">
      <c r="A14570" s="5" t="s">
        <v>54777</v>
      </c>
      <c r="B14570" s="6">
        <v>393.75</v>
      </c>
      <c r="C14570" s="6">
        <v>20.584240000000001</v>
      </c>
      <c r="D14570" s="6">
        <v>42</v>
      </c>
      <c r="E14570" s="6">
        <v>0</v>
      </c>
      <c r="F14570" s="6">
        <v>0</v>
      </c>
      <c r="G14570" s="6">
        <v>10</v>
      </c>
      <c r="H14570" s="6" t="s">
        <v>54778</v>
      </c>
      <c r="I14570" s="6">
        <v>526.6875</v>
      </c>
      <c r="J14570" s="2">
        <f t="shared" si="227"/>
        <v>43749.569531886569</v>
      </c>
    </row>
    <row r="14571" spans="1:10" x14ac:dyDescent="0.25">
      <c r="A14571" s="7" t="s">
        <v>54779</v>
      </c>
      <c r="B14571" s="8">
        <v>393.75</v>
      </c>
      <c r="C14571" s="8">
        <v>20.584240000000001</v>
      </c>
      <c r="D14571" s="8">
        <v>42</v>
      </c>
      <c r="E14571" s="8">
        <v>0</v>
      </c>
      <c r="F14571" s="8">
        <v>0</v>
      </c>
      <c r="G14571" s="8">
        <v>11</v>
      </c>
      <c r="H14571" s="8" t="s">
        <v>54780</v>
      </c>
      <c r="I14571" s="8">
        <v>526.6875</v>
      </c>
      <c r="J14571" s="3">
        <f t="shared" si="227"/>
        <v>43749.569627384255</v>
      </c>
    </row>
    <row r="14572" spans="1:10" x14ac:dyDescent="0.25">
      <c r="A14572" s="5" t="s">
        <v>54781</v>
      </c>
      <c r="B14572" s="6">
        <v>412.5</v>
      </c>
      <c r="C14572" s="6">
        <v>20.531590000000001</v>
      </c>
      <c r="D14572" s="6">
        <v>43</v>
      </c>
      <c r="E14572" s="6">
        <v>0</v>
      </c>
      <c r="F14572" s="6">
        <v>0</v>
      </c>
      <c r="G14572" s="6">
        <v>9</v>
      </c>
      <c r="H14572" s="6" t="s">
        <v>54782</v>
      </c>
      <c r="I14572" s="6">
        <v>532.3125</v>
      </c>
      <c r="J14572" s="2">
        <f t="shared" si="227"/>
        <v>43749.569698819447</v>
      </c>
    </row>
    <row r="14573" spans="1:10" x14ac:dyDescent="0.25">
      <c r="A14573" s="7" t="s">
        <v>54783</v>
      </c>
      <c r="B14573" s="8">
        <v>393.75</v>
      </c>
      <c r="C14573" s="8">
        <v>20.584240000000001</v>
      </c>
      <c r="D14573" s="8">
        <v>44</v>
      </c>
      <c r="E14573" s="8">
        <v>0</v>
      </c>
      <c r="F14573" s="8">
        <v>0</v>
      </c>
      <c r="G14573" s="8">
        <v>8</v>
      </c>
      <c r="H14573" s="8" t="s">
        <v>54784</v>
      </c>
      <c r="I14573" s="8">
        <v>526.6875</v>
      </c>
      <c r="J14573" s="3">
        <f t="shared" si="227"/>
        <v>43749.569782268518</v>
      </c>
    </row>
    <row r="14574" spans="1:10" x14ac:dyDescent="0.25">
      <c r="A14574" s="5" t="s">
        <v>54785</v>
      </c>
      <c r="B14574" s="6">
        <v>393.75</v>
      </c>
      <c r="C14574" s="6">
        <v>20.584240000000001</v>
      </c>
      <c r="D14574" s="6">
        <v>43</v>
      </c>
      <c r="E14574" s="6">
        <v>0</v>
      </c>
      <c r="F14574" s="6">
        <v>0</v>
      </c>
      <c r="G14574" s="6">
        <v>11</v>
      </c>
      <c r="H14574" s="6" t="s">
        <v>54786</v>
      </c>
      <c r="I14574" s="6">
        <v>526.6875</v>
      </c>
      <c r="J14574" s="2">
        <f t="shared" si="227"/>
        <v>43749.569865833335</v>
      </c>
    </row>
    <row r="14575" spans="1:10" x14ac:dyDescent="0.25">
      <c r="A14575" s="7" t="s">
        <v>54787</v>
      </c>
      <c r="B14575" s="8">
        <v>393.75</v>
      </c>
      <c r="C14575" s="8">
        <v>20.584240000000001</v>
      </c>
      <c r="D14575" s="8">
        <v>43</v>
      </c>
      <c r="E14575" s="8">
        <v>0</v>
      </c>
      <c r="F14575" s="8">
        <v>0</v>
      </c>
      <c r="G14575" s="8">
        <v>16</v>
      </c>
      <c r="H14575" s="8" t="s">
        <v>54788</v>
      </c>
      <c r="I14575" s="8">
        <v>526.6875</v>
      </c>
      <c r="J14575" s="3">
        <f t="shared" si="227"/>
        <v>43749.569949039353</v>
      </c>
    </row>
    <row r="14576" spans="1:10" x14ac:dyDescent="0.25">
      <c r="A14576" s="5" t="s">
        <v>54789</v>
      </c>
      <c r="B14576" s="6">
        <v>393.75</v>
      </c>
      <c r="C14576" s="6">
        <v>20.584240000000001</v>
      </c>
      <c r="D14576" s="6">
        <v>43</v>
      </c>
      <c r="E14576" s="6">
        <v>0</v>
      </c>
      <c r="F14576" s="6">
        <v>0</v>
      </c>
      <c r="G14576" s="6">
        <v>4</v>
      </c>
      <c r="H14576" s="6" t="s">
        <v>54790</v>
      </c>
      <c r="I14576" s="6">
        <v>526.6875</v>
      </c>
      <c r="J14576" s="2">
        <f t="shared" si="227"/>
        <v>43749.5700205787</v>
      </c>
    </row>
    <row r="14577" spans="1:10" x14ac:dyDescent="0.25">
      <c r="A14577" s="7" t="s">
        <v>54791</v>
      </c>
      <c r="B14577" s="8">
        <v>393.75</v>
      </c>
      <c r="C14577" s="8">
        <v>20.584240000000001</v>
      </c>
      <c r="D14577" s="8">
        <v>44</v>
      </c>
      <c r="E14577" s="8">
        <v>0</v>
      </c>
      <c r="F14577" s="8">
        <v>0</v>
      </c>
      <c r="G14577" s="8">
        <v>8</v>
      </c>
      <c r="H14577" s="8" t="s">
        <v>54792</v>
      </c>
      <c r="I14577" s="8">
        <v>526.6875</v>
      </c>
      <c r="J14577" s="3">
        <f t="shared" si="227"/>
        <v>43749.570092453701</v>
      </c>
    </row>
    <row r="14578" spans="1:10" x14ac:dyDescent="0.25">
      <c r="A14578" s="5" t="s">
        <v>54793</v>
      </c>
      <c r="B14578" s="6">
        <v>393.75</v>
      </c>
      <c r="C14578" s="6">
        <v>20.584240000000001</v>
      </c>
      <c r="D14578" s="6">
        <v>44</v>
      </c>
      <c r="E14578" s="6">
        <v>0</v>
      </c>
      <c r="F14578" s="6">
        <v>0</v>
      </c>
      <c r="G14578" s="6">
        <v>14</v>
      </c>
      <c r="H14578" s="6" t="s">
        <v>54794</v>
      </c>
      <c r="I14578" s="6">
        <v>526.6875</v>
      </c>
      <c r="J14578" s="2">
        <f t="shared" si="227"/>
        <v>43749.57017590278</v>
      </c>
    </row>
    <row r="14579" spans="1:10" x14ac:dyDescent="0.25">
      <c r="A14579" s="7" t="s">
        <v>54795</v>
      </c>
      <c r="B14579" s="8">
        <v>393.75</v>
      </c>
      <c r="C14579" s="8">
        <v>20.584240000000001</v>
      </c>
      <c r="D14579" s="8">
        <v>44</v>
      </c>
      <c r="E14579" s="8">
        <v>0</v>
      </c>
      <c r="F14579" s="8">
        <v>0</v>
      </c>
      <c r="G14579" s="8">
        <v>5</v>
      </c>
      <c r="H14579" s="8" t="s">
        <v>54796</v>
      </c>
      <c r="I14579" s="8">
        <v>526.6875</v>
      </c>
      <c r="J14579" s="3">
        <f t="shared" si="227"/>
        <v>43749.570247453703</v>
      </c>
    </row>
    <row r="14580" spans="1:10" x14ac:dyDescent="0.25">
      <c r="A14580" s="5" t="s">
        <v>54797</v>
      </c>
      <c r="B14580" s="6">
        <v>393.75</v>
      </c>
      <c r="C14580" s="6">
        <v>20.584240000000001</v>
      </c>
      <c r="D14580" s="6">
        <v>45</v>
      </c>
      <c r="E14580" s="6">
        <v>0</v>
      </c>
      <c r="F14580" s="6">
        <v>0</v>
      </c>
      <c r="G14580" s="6">
        <v>6</v>
      </c>
      <c r="H14580" s="6" t="s">
        <v>54798</v>
      </c>
      <c r="I14580" s="6">
        <v>526.6875</v>
      </c>
      <c r="J14580" s="2">
        <f t="shared" si="227"/>
        <v>43749.570331087962</v>
      </c>
    </row>
    <row r="14581" spans="1:10" x14ac:dyDescent="0.25">
      <c r="A14581" s="7" t="s">
        <v>54799</v>
      </c>
      <c r="B14581" s="8">
        <v>393.75</v>
      </c>
      <c r="C14581" s="8">
        <v>20.531590000000001</v>
      </c>
      <c r="D14581" s="8">
        <v>44</v>
      </c>
      <c r="E14581" s="8">
        <v>0</v>
      </c>
      <c r="F14581" s="8">
        <v>0</v>
      </c>
      <c r="G14581" s="8">
        <v>8</v>
      </c>
      <c r="H14581" s="8" t="s">
        <v>54800</v>
      </c>
      <c r="I14581" s="8">
        <v>526.6875</v>
      </c>
      <c r="J14581" s="3">
        <f t="shared" si="227"/>
        <v>43749.57040251157</v>
      </c>
    </row>
    <row r="14582" spans="1:10" x14ac:dyDescent="0.25">
      <c r="A14582" s="5" t="s">
        <v>54801</v>
      </c>
      <c r="B14582" s="6">
        <v>393.75</v>
      </c>
      <c r="C14582" s="6">
        <v>20.584240000000001</v>
      </c>
      <c r="D14582" s="6">
        <v>44</v>
      </c>
      <c r="E14582" s="6">
        <v>0</v>
      </c>
      <c r="F14582" s="6">
        <v>0</v>
      </c>
      <c r="G14582" s="6">
        <v>12</v>
      </c>
      <c r="H14582" s="6" t="s">
        <v>54802</v>
      </c>
      <c r="I14582" s="6">
        <v>526.6875</v>
      </c>
      <c r="J14582" s="2">
        <f t="shared" si="227"/>
        <v>43749.570486087956</v>
      </c>
    </row>
    <row r="14583" spans="1:10" x14ac:dyDescent="0.25">
      <c r="A14583" s="7" t="s">
        <v>54803</v>
      </c>
      <c r="B14583" s="8">
        <v>393.75</v>
      </c>
      <c r="C14583" s="8">
        <v>20.531590000000001</v>
      </c>
      <c r="D14583" s="8">
        <v>44</v>
      </c>
      <c r="E14583" s="8">
        <v>0</v>
      </c>
      <c r="F14583" s="8">
        <v>0</v>
      </c>
      <c r="G14583" s="8">
        <v>11</v>
      </c>
      <c r="H14583" s="8" t="s">
        <v>54804</v>
      </c>
      <c r="I14583" s="8">
        <v>526.6875</v>
      </c>
      <c r="J14583" s="3">
        <f t="shared" si="227"/>
        <v>43749.570569525466</v>
      </c>
    </row>
    <row r="14584" spans="1:10" x14ac:dyDescent="0.25">
      <c r="A14584" s="5" t="s">
        <v>54805</v>
      </c>
      <c r="B14584" s="6">
        <v>393.75</v>
      </c>
      <c r="C14584" s="6">
        <v>20.584240000000001</v>
      </c>
      <c r="D14584" s="6">
        <v>44</v>
      </c>
      <c r="E14584" s="6">
        <v>0</v>
      </c>
      <c r="F14584" s="6">
        <v>0</v>
      </c>
      <c r="G14584" s="6">
        <v>11</v>
      </c>
      <c r="H14584" s="6" t="s">
        <v>54806</v>
      </c>
      <c r="I14584" s="6">
        <v>526.6875</v>
      </c>
      <c r="J14584" s="2">
        <f t="shared" si="227"/>
        <v>43749.570652743052</v>
      </c>
    </row>
    <row r="14585" spans="1:10" x14ac:dyDescent="0.25">
      <c r="A14585" s="7" t="s">
        <v>54807</v>
      </c>
      <c r="B14585" s="8">
        <v>393.75</v>
      </c>
      <c r="C14585" s="8">
        <v>20.584240000000001</v>
      </c>
      <c r="D14585" s="8">
        <v>44</v>
      </c>
      <c r="E14585" s="8">
        <v>0</v>
      </c>
      <c r="F14585" s="8">
        <v>0</v>
      </c>
      <c r="G14585" s="8">
        <v>10</v>
      </c>
      <c r="H14585" s="8" t="s">
        <v>54808</v>
      </c>
      <c r="I14585" s="8">
        <v>526.6875</v>
      </c>
      <c r="J14585" s="3">
        <f t="shared" si="227"/>
        <v>43749.570724409721</v>
      </c>
    </row>
    <row r="14586" spans="1:10" x14ac:dyDescent="0.25">
      <c r="A14586" s="5" t="s">
        <v>54809</v>
      </c>
      <c r="B14586" s="6">
        <v>425</v>
      </c>
      <c r="C14586" s="6">
        <v>20.531590000000001</v>
      </c>
      <c r="D14586" s="6">
        <v>44</v>
      </c>
      <c r="E14586" s="6">
        <v>0</v>
      </c>
      <c r="F14586" s="6">
        <v>0</v>
      </c>
      <c r="G14586" s="6">
        <v>16</v>
      </c>
      <c r="H14586" s="6" t="s">
        <v>54810</v>
      </c>
      <c r="I14586" s="6">
        <v>536.8125</v>
      </c>
      <c r="J14586" s="2">
        <f t="shared" si="227"/>
        <v>43749.570808171295</v>
      </c>
    </row>
    <row r="14587" spans="1:10" x14ac:dyDescent="0.25">
      <c r="A14587" s="7" t="s">
        <v>54811</v>
      </c>
      <c r="B14587" s="8">
        <v>393.75</v>
      </c>
      <c r="C14587" s="8">
        <v>20.584240000000001</v>
      </c>
      <c r="D14587" s="8">
        <v>44</v>
      </c>
      <c r="E14587" s="8">
        <v>0</v>
      </c>
      <c r="F14587" s="8">
        <v>0</v>
      </c>
      <c r="G14587" s="8">
        <v>10</v>
      </c>
      <c r="H14587" s="8" t="s">
        <v>54812</v>
      </c>
      <c r="I14587" s="8">
        <v>526.6875</v>
      </c>
      <c r="J14587" s="3">
        <f t="shared" si="227"/>
        <v>43749.570891516203</v>
      </c>
    </row>
    <row r="14588" spans="1:10" x14ac:dyDescent="0.25">
      <c r="A14588" s="5" t="s">
        <v>54813</v>
      </c>
      <c r="B14588" s="6">
        <v>393.75</v>
      </c>
      <c r="C14588" s="6">
        <v>20.584240000000001</v>
      </c>
      <c r="D14588" s="6">
        <v>43</v>
      </c>
      <c r="E14588" s="6">
        <v>0</v>
      </c>
      <c r="F14588" s="6">
        <v>0</v>
      </c>
      <c r="G14588" s="6">
        <v>10</v>
      </c>
      <c r="H14588" s="6" t="s">
        <v>54814</v>
      </c>
      <c r="I14588" s="6">
        <v>526.6875</v>
      </c>
      <c r="J14588" s="2">
        <f t="shared" si="227"/>
        <v>43749.570974849536</v>
      </c>
    </row>
    <row r="14589" spans="1:10" x14ac:dyDescent="0.25">
      <c r="A14589" s="7" t="s">
        <v>54815</v>
      </c>
      <c r="B14589" s="8">
        <v>393.75</v>
      </c>
      <c r="C14589" s="8">
        <v>20.584240000000001</v>
      </c>
      <c r="D14589" s="8">
        <v>43</v>
      </c>
      <c r="E14589" s="8">
        <v>0</v>
      </c>
      <c r="F14589" s="8">
        <v>0</v>
      </c>
      <c r="G14589" s="8">
        <v>15</v>
      </c>
      <c r="H14589" s="8" t="s">
        <v>54816</v>
      </c>
      <c r="I14589" s="8">
        <v>526.6875</v>
      </c>
      <c r="J14589" s="3">
        <f t="shared" si="227"/>
        <v>43749.571046608798</v>
      </c>
    </row>
    <row r="14590" spans="1:10" x14ac:dyDescent="0.25">
      <c r="A14590" s="5" t="s">
        <v>54817</v>
      </c>
      <c r="B14590" s="6">
        <v>393.75</v>
      </c>
      <c r="C14590" s="6">
        <v>20.584240000000001</v>
      </c>
      <c r="D14590" s="6">
        <v>45</v>
      </c>
      <c r="E14590" s="6">
        <v>0</v>
      </c>
      <c r="F14590" s="6">
        <v>0</v>
      </c>
      <c r="G14590" s="6">
        <v>10</v>
      </c>
      <c r="H14590" s="6" t="s">
        <v>54818</v>
      </c>
      <c r="I14590" s="6">
        <v>526.6875</v>
      </c>
      <c r="J14590" s="2">
        <f t="shared" si="227"/>
        <v>43749.57111827546</v>
      </c>
    </row>
    <row r="14591" spans="1:10" x14ac:dyDescent="0.25">
      <c r="A14591" s="7" t="s">
        <v>54819</v>
      </c>
      <c r="B14591" s="8">
        <v>393.75</v>
      </c>
      <c r="C14591" s="8">
        <v>20.584240000000001</v>
      </c>
      <c r="D14591" s="8">
        <v>44</v>
      </c>
      <c r="E14591" s="8">
        <v>0</v>
      </c>
      <c r="F14591" s="8">
        <v>0</v>
      </c>
      <c r="G14591" s="8">
        <v>24</v>
      </c>
      <c r="H14591" s="8" t="s">
        <v>54820</v>
      </c>
      <c r="I14591" s="8">
        <v>526.6875</v>
      </c>
      <c r="J14591" s="3">
        <f t="shared" si="227"/>
        <v>43749.571189652772</v>
      </c>
    </row>
    <row r="14592" spans="1:10" x14ac:dyDescent="0.25">
      <c r="A14592" s="5" t="s">
        <v>54821</v>
      </c>
      <c r="B14592" s="6">
        <v>393.75</v>
      </c>
      <c r="C14592" s="6">
        <v>20.584240000000001</v>
      </c>
      <c r="D14592" s="6">
        <v>45</v>
      </c>
      <c r="E14592" s="6">
        <v>0</v>
      </c>
      <c r="F14592" s="6">
        <v>0</v>
      </c>
      <c r="G14592" s="6">
        <v>13</v>
      </c>
      <c r="H14592" s="6" t="s">
        <v>54822</v>
      </c>
      <c r="I14592" s="6">
        <v>526.6875</v>
      </c>
      <c r="J14592" s="2">
        <f t="shared" si="227"/>
        <v>43749.57127335648</v>
      </c>
    </row>
    <row r="14593" spans="1:10" x14ac:dyDescent="0.25">
      <c r="A14593" s="7" t="s">
        <v>54823</v>
      </c>
      <c r="B14593" s="8">
        <v>393.75</v>
      </c>
      <c r="C14593" s="8">
        <v>20.531590000000001</v>
      </c>
      <c r="D14593" s="8">
        <v>47</v>
      </c>
      <c r="E14593" s="8">
        <v>0</v>
      </c>
      <c r="F14593" s="8">
        <v>0</v>
      </c>
      <c r="G14593" s="8">
        <v>10</v>
      </c>
      <c r="H14593" s="8" t="s">
        <v>54824</v>
      </c>
      <c r="I14593" s="8">
        <v>526.6875</v>
      </c>
      <c r="J14593" s="3">
        <f t="shared" si="227"/>
        <v>43749.571356458335</v>
      </c>
    </row>
    <row r="14594" spans="1:10" x14ac:dyDescent="0.25">
      <c r="A14594" s="5" t="s">
        <v>54825</v>
      </c>
      <c r="B14594" s="6">
        <v>393.75</v>
      </c>
      <c r="C14594" s="6">
        <v>20.584240000000001</v>
      </c>
      <c r="D14594" s="6">
        <v>47</v>
      </c>
      <c r="E14594" s="6">
        <v>0</v>
      </c>
      <c r="F14594" s="6">
        <v>0</v>
      </c>
      <c r="G14594" s="6">
        <v>6</v>
      </c>
      <c r="H14594" s="6" t="s">
        <v>54826</v>
      </c>
      <c r="I14594" s="6">
        <v>526.6875</v>
      </c>
      <c r="J14594" s="2">
        <f t="shared" ref="J14594:J14657" si="228">(H14594/86400000)+25569+(7/24)</f>
        <v>43749.571427962961</v>
      </c>
    </row>
    <row r="14595" spans="1:10" x14ac:dyDescent="0.25">
      <c r="A14595" s="7" t="s">
        <v>54827</v>
      </c>
      <c r="B14595" s="8">
        <v>412.5</v>
      </c>
      <c r="C14595" s="8">
        <v>20.584240000000001</v>
      </c>
      <c r="D14595" s="8">
        <v>47</v>
      </c>
      <c r="E14595" s="8">
        <v>0</v>
      </c>
      <c r="F14595" s="8">
        <v>0</v>
      </c>
      <c r="G14595" s="8">
        <v>17</v>
      </c>
      <c r="H14595" s="8" t="s">
        <v>54828</v>
      </c>
      <c r="I14595" s="8">
        <v>532.3125</v>
      </c>
      <c r="J14595" s="3">
        <f t="shared" si="228"/>
        <v>43749.571512013885</v>
      </c>
    </row>
    <row r="14596" spans="1:10" x14ac:dyDescent="0.25">
      <c r="A14596" s="5" t="s">
        <v>54829</v>
      </c>
      <c r="B14596" s="6">
        <v>393.75</v>
      </c>
      <c r="C14596" s="6">
        <v>20.584240000000001</v>
      </c>
      <c r="D14596" s="6">
        <v>46</v>
      </c>
      <c r="E14596" s="6">
        <v>0</v>
      </c>
      <c r="F14596" s="6">
        <v>0</v>
      </c>
      <c r="G14596" s="6">
        <v>8</v>
      </c>
      <c r="H14596" s="6" t="s">
        <v>54830</v>
      </c>
      <c r="I14596" s="6">
        <v>526.6875</v>
      </c>
      <c r="J14596" s="2">
        <f t="shared" si="228"/>
        <v>43749.571595358793</v>
      </c>
    </row>
    <row r="14597" spans="1:10" x14ac:dyDescent="0.25">
      <c r="A14597" s="7" t="s">
        <v>54831</v>
      </c>
      <c r="B14597" s="8">
        <v>393.75</v>
      </c>
      <c r="C14597" s="8">
        <v>20.531590000000001</v>
      </c>
      <c r="D14597" s="8">
        <v>46</v>
      </c>
      <c r="E14597" s="8">
        <v>0</v>
      </c>
      <c r="F14597" s="8">
        <v>0</v>
      </c>
      <c r="G14597" s="8">
        <v>14</v>
      </c>
      <c r="H14597" s="8" t="s">
        <v>54832</v>
      </c>
      <c r="I14597" s="8">
        <v>526.6875</v>
      </c>
      <c r="J14597" s="3">
        <f t="shared" si="228"/>
        <v>43749.571691469908</v>
      </c>
    </row>
    <row r="14598" spans="1:10" x14ac:dyDescent="0.25">
      <c r="A14598" s="5" t="s">
        <v>54833</v>
      </c>
      <c r="B14598" s="6">
        <v>393.75</v>
      </c>
      <c r="C14598" s="6">
        <v>20.584240000000001</v>
      </c>
      <c r="D14598" s="6">
        <v>44</v>
      </c>
      <c r="E14598" s="6">
        <v>0</v>
      </c>
      <c r="F14598" s="6">
        <v>0</v>
      </c>
      <c r="G14598" s="6">
        <v>3</v>
      </c>
      <c r="H14598" s="6" t="s">
        <v>54834</v>
      </c>
      <c r="I14598" s="6">
        <v>526.6875</v>
      </c>
      <c r="J14598" s="2">
        <f t="shared" si="228"/>
        <v>43749.571774270829</v>
      </c>
    </row>
    <row r="14599" spans="1:10" x14ac:dyDescent="0.25">
      <c r="A14599" s="7" t="s">
        <v>54835</v>
      </c>
      <c r="B14599" s="8">
        <v>425</v>
      </c>
      <c r="C14599" s="8">
        <v>20.584240000000001</v>
      </c>
      <c r="D14599" s="8">
        <v>44</v>
      </c>
      <c r="E14599" s="8">
        <v>0</v>
      </c>
      <c r="F14599" s="8">
        <v>0</v>
      </c>
      <c r="G14599" s="8">
        <v>7</v>
      </c>
      <c r="H14599" s="8" t="s">
        <v>54836</v>
      </c>
      <c r="I14599" s="8">
        <v>536.25</v>
      </c>
      <c r="J14599" s="3">
        <f t="shared" si="228"/>
        <v>43749.57185782407</v>
      </c>
    </row>
    <row r="14600" spans="1:10" x14ac:dyDescent="0.25">
      <c r="A14600" s="5" t="s">
        <v>54837</v>
      </c>
      <c r="B14600" s="6">
        <v>393.75</v>
      </c>
      <c r="C14600" s="6">
        <v>20.531590000000001</v>
      </c>
      <c r="D14600" s="6">
        <v>44</v>
      </c>
      <c r="E14600" s="6">
        <v>0</v>
      </c>
      <c r="F14600" s="6">
        <v>0</v>
      </c>
      <c r="G14600" s="6">
        <v>5</v>
      </c>
      <c r="H14600" s="6" t="s">
        <v>54838</v>
      </c>
      <c r="I14600" s="6">
        <v>526.6875</v>
      </c>
      <c r="J14600" s="2">
        <f t="shared" si="228"/>
        <v>43749.571952986109</v>
      </c>
    </row>
    <row r="14601" spans="1:10" x14ac:dyDescent="0.25">
      <c r="A14601" s="7" t="s">
        <v>54839</v>
      </c>
      <c r="B14601" s="8">
        <v>412.5</v>
      </c>
      <c r="C14601" s="8">
        <v>20.584240000000001</v>
      </c>
      <c r="D14601" s="8">
        <v>44</v>
      </c>
      <c r="E14601" s="8">
        <v>0</v>
      </c>
      <c r="F14601" s="8">
        <v>0</v>
      </c>
      <c r="G14601" s="8">
        <v>0</v>
      </c>
      <c r="H14601" s="8" t="s">
        <v>54840</v>
      </c>
      <c r="I14601" s="8">
        <v>532.3125</v>
      </c>
      <c r="J14601" s="3">
        <f t="shared" si="228"/>
        <v>43749.572036678241</v>
      </c>
    </row>
    <row r="14602" spans="1:10" x14ac:dyDescent="0.25">
      <c r="A14602" s="5" t="s">
        <v>54841</v>
      </c>
      <c r="B14602" s="6">
        <v>393.75</v>
      </c>
      <c r="C14602" s="6">
        <v>20.584240000000001</v>
      </c>
      <c r="D14602" s="6">
        <v>44</v>
      </c>
      <c r="E14602" s="6">
        <v>0</v>
      </c>
      <c r="F14602" s="6">
        <v>0</v>
      </c>
      <c r="G14602" s="6">
        <v>4</v>
      </c>
      <c r="H14602" s="6" t="s">
        <v>54842</v>
      </c>
      <c r="I14602" s="6">
        <v>526.6875</v>
      </c>
      <c r="J14602" s="2">
        <f t="shared" si="228"/>
        <v>43749.572120358796</v>
      </c>
    </row>
    <row r="14603" spans="1:10" x14ac:dyDescent="0.25">
      <c r="A14603" s="7" t="s">
        <v>54843</v>
      </c>
      <c r="B14603" s="8">
        <v>393.75</v>
      </c>
      <c r="C14603" s="8">
        <v>20.584240000000001</v>
      </c>
      <c r="D14603" s="8">
        <v>44</v>
      </c>
      <c r="E14603" s="8">
        <v>0</v>
      </c>
      <c r="F14603" s="8">
        <v>0</v>
      </c>
      <c r="G14603" s="8">
        <v>0</v>
      </c>
      <c r="H14603" s="8" t="s">
        <v>54844</v>
      </c>
      <c r="I14603" s="8">
        <v>526.6875</v>
      </c>
      <c r="J14603" s="3">
        <f t="shared" si="228"/>
        <v>43749.572191793974</v>
      </c>
    </row>
    <row r="14604" spans="1:10" x14ac:dyDescent="0.25">
      <c r="A14604" s="5" t="s">
        <v>54845</v>
      </c>
      <c r="B14604" s="6">
        <v>393.75</v>
      </c>
      <c r="C14604" s="6">
        <v>20.584240000000001</v>
      </c>
      <c r="D14604" s="6">
        <v>43</v>
      </c>
      <c r="E14604" s="6">
        <v>0</v>
      </c>
      <c r="F14604" s="6">
        <v>0</v>
      </c>
      <c r="G14604" s="6">
        <v>7</v>
      </c>
      <c r="H14604" s="6" t="s">
        <v>54846</v>
      </c>
      <c r="I14604" s="6">
        <v>526.6875</v>
      </c>
      <c r="J14604" s="2">
        <f t="shared" si="228"/>
        <v>43749.572274988423</v>
      </c>
    </row>
    <row r="14605" spans="1:10" x14ac:dyDescent="0.25">
      <c r="A14605" s="7" t="s">
        <v>54847</v>
      </c>
      <c r="B14605" s="8">
        <v>393.75</v>
      </c>
      <c r="C14605" s="8">
        <v>20.584240000000001</v>
      </c>
      <c r="D14605" s="8">
        <v>43</v>
      </c>
      <c r="E14605" s="8">
        <v>0</v>
      </c>
      <c r="F14605" s="8">
        <v>0</v>
      </c>
      <c r="G14605" s="8">
        <v>0</v>
      </c>
      <c r="H14605" s="8" t="s">
        <v>54848</v>
      </c>
      <c r="I14605" s="8">
        <v>526.6875</v>
      </c>
      <c r="J14605" s="3">
        <f t="shared" si="228"/>
        <v>43749.572346655092</v>
      </c>
    </row>
    <row r="14606" spans="1:10" x14ac:dyDescent="0.25">
      <c r="A14606" s="5" t="s">
        <v>54849</v>
      </c>
      <c r="B14606" s="6">
        <v>393.75</v>
      </c>
      <c r="C14606" s="6">
        <v>20.584240000000001</v>
      </c>
      <c r="D14606" s="6">
        <v>44</v>
      </c>
      <c r="E14606" s="6">
        <v>0</v>
      </c>
      <c r="F14606" s="6">
        <v>0</v>
      </c>
      <c r="G14606" s="6">
        <v>11</v>
      </c>
      <c r="H14606" s="6" t="s">
        <v>54850</v>
      </c>
      <c r="I14606" s="6">
        <v>526.6875</v>
      </c>
      <c r="J14606" s="2">
        <f t="shared" si="228"/>
        <v>43749.572430462962</v>
      </c>
    </row>
    <row r="14607" spans="1:10" x14ac:dyDescent="0.25">
      <c r="A14607" s="7" t="s">
        <v>54851</v>
      </c>
      <c r="B14607" s="8">
        <v>393.75</v>
      </c>
      <c r="C14607" s="8">
        <v>20.584240000000001</v>
      </c>
      <c r="D14607" s="8">
        <v>43</v>
      </c>
      <c r="E14607" s="8">
        <v>0</v>
      </c>
      <c r="F14607" s="8">
        <v>0</v>
      </c>
      <c r="G14607" s="8">
        <v>15</v>
      </c>
      <c r="H14607" s="8" t="s">
        <v>54852</v>
      </c>
      <c r="I14607" s="8">
        <v>526.6875</v>
      </c>
      <c r="J14607" s="3">
        <f t="shared" si="228"/>
        <v>43749.572513888888</v>
      </c>
    </row>
    <row r="14608" spans="1:10" x14ac:dyDescent="0.25">
      <c r="A14608" s="5" t="s">
        <v>54853</v>
      </c>
      <c r="B14608" s="6">
        <v>393.75</v>
      </c>
      <c r="C14608" s="6">
        <v>20.584240000000001</v>
      </c>
      <c r="D14608" s="6">
        <v>43</v>
      </c>
      <c r="E14608" s="6">
        <v>0</v>
      </c>
      <c r="F14608" s="6">
        <v>0</v>
      </c>
      <c r="G14608" s="6">
        <v>10</v>
      </c>
      <c r="H14608" s="6" t="s">
        <v>54854</v>
      </c>
      <c r="I14608" s="6">
        <v>526.6875</v>
      </c>
      <c r="J14608" s="2">
        <f t="shared" si="228"/>
        <v>43749.572597094906</v>
      </c>
    </row>
    <row r="14609" spans="1:10" x14ac:dyDescent="0.25">
      <c r="A14609" s="7" t="s">
        <v>54855</v>
      </c>
      <c r="B14609" s="8">
        <v>393.75</v>
      </c>
      <c r="C14609" s="8">
        <v>20.584240000000001</v>
      </c>
      <c r="D14609" s="8">
        <v>43</v>
      </c>
      <c r="E14609" s="8">
        <v>0</v>
      </c>
      <c r="F14609" s="8">
        <v>0</v>
      </c>
      <c r="G14609" s="8">
        <v>6</v>
      </c>
      <c r="H14609" s="8" t="s">
        <v>54856</v>
      </c>
      <c r="I14609" s="8">
        <v>526.5</v>
      </c>
      <c r="J14609" s="3">
        <f t="shared" si="228"/>
        <v>43749.572668877314</v>
      </c>
    </row>
    <row r="14610" spans="1:10" x14ac:dyDescent="0.25">
      <c r="A14610" s="5" t="s">
        <v>54857</v>
      </c>
      <c r="B14610" s="6">
        <v>393.75</v>
      </c>
      <c r="C14610" s="6">
        <v>20.531590000000001</v>
      </c>
      <c r="D14610" s="6">
        <v>44</v>
      </c>
      <c r="E14610" s="6">
        <v>0</v>
      </c>
      <c r="F14610" s="6">
        <v>0</v>
      </c>
      <c r="G14610" s="6">
        <v>4</v>
      </c>
      <c r="H14610" s="6" t="s">
        <v>54858</v>
      </c>
      <c r="I14610" s="6">
        <v>526.6875</v>
      </c>
      <c r="J14610" s="2">
        <f t="shared" si="228"/>
        <v>43749.572752314816</v>
      </c>
    </row>
    <row r="14611" spans="1:10" x14ac:dyDescent="0.25">
      <c r="A14611" s="7" t="s">
        <v>54859</v>
      </c>
      <c r="B14611" s="8">
        <v>393.75</v>
      </c>
      <c r="C14611" s="8">
        <v>20.584240000000001</v>
      </c>
      <c r="D14611" s="8">
        <v>45</v>
      </c>
      <c r="E14611" s="8">
        <v>0</v>
      </c>
      <c r="F14611" s="8">
        <v>0</v>
      </c>
      <c r="G14611" s="8">
        <v>4</v>
      </c>
      <c r="H14611" s="8" t="s">
        <v>54860</v>
      </c>
      <c r="I14611" s="8">
        <v>526.6875</v>
      </c>
      <c r="J14611" s="3">
        <f t="shared" si="228"/>
        <v>43749.572840023146</v>
      </c>
    </row>
    <row r="14612" spans="1:10" x14ac:dyDescent="0.25">
      <c r="A14612" s="5" t="s">
        <v>54861</v>
      </c>
      <c r="B14612" s="6">
        <v>393.75</v>
      </c>
      <c r="C14612" s="6">
        <v>20.531590000000001</v>
      </c>
      <c r="D14612" s="6">
        <v>45</v>
      </c>
      <c r="E14612" s="6">
        <v>0</v>
      </c>
      <c r="F14612" s="6">
        <v>0</v>
      </c>
      <c r="G14612" s="6">
        <v>0</v>
      </c>
      <c r="H14612" s="6" t="s">
        <v>54862</v>
      </c>
      <c r="I14612" s="6">
        <v>526.6875</v>
      </c>
      <c r="J14612" s="2">
        <f t="shared" si="228"/>
        <v>43749.572919340273</v>
      </c>
    </row>
    <row r="14613" spans="1:10" x14ac:dyDescent="0.25">
      <c r="A14613" s="7" t="s">
        <v>54863</v>
      </c>
      <c r="B14613" s="8">
        <v>393.75</v>
      </c>
      <c r="C14613" s="8">
        <v>20.584240000000001</v>
      </c>
      <c r="D14613" s="8">
        <v>44</v>
      </c>
      <c r="E14613" s="8">
        <v>0</v>
      </c>
      <c r="F14613" s="8">
        <v>0</v>
      </c>
      <c r="G14613" s="8">
        <v>15</v>
      </c>
      <c r="H14613" s="8" t="s">
        <v>54864</v>
      </c>
      <c r="I14613" s="8">
        <v>526.6875</v>
      </c>
      <c r="J14613" s="3">
        <f t="shared" si="228"/>
        <v>43749.573002777775</v>
      </c>
    </row>
    <row r="14614" spans="1:10" x14ac:dyDescent="0.25">
      <c r="A14614" s="5" t="s">
        <v>54865</v>
      </c>
      <c r="B14614" s="6">
        <v>412.5</v>
      </c>
      <c r="C14614" s="6">
        <v>20.584240000000001</v>
      </c>
      <c r="D14614" s="6">
        <v>44</v>
      </c>
      <c r="E14614" s="6">
        <v>0</v>
      </c>
      <c r="F14614" s="6">
        <v>0</v>
      </c>
      <c r="G14614" s="6">
        <v>21</v>
      </c>
      <c r="H14614" s="6" t="s">
        <v>54866</v>
      </c>
      <c r="I14614" s="6">
        <v>532.3125</v>
      </c>
      <c r="J14614" s="2">
        <f t="shared" si="228"/>
        <v>43749.573074421292</v>
      </c>
    </row>
    <row r="14615" spans="1:10" x14ac:dyDescent="0.25">
      <c r="A14615" s="7" t="s">
        <v>54867</v>
      </c>
      <c r="B14615" s="8">
        <v>393.75</v>
      </c>
      <c r="C14615" s="8">
        <v>20.584240000000001</v>
      </c>
      <c r="D14615" s="8">
        <v>43</v>
      </c>
      <c r="E14615" s="8">
        <v>0</v>
      </c>
      <c r="F14615" s="8">
        <v>0</v>
      </c>
      <c r="G14615" s="8">
        <v>11</v>
      </c>
      <c r="H14615" s="8" t="s">
        <v>54868</v>
      </c>
      <c r="I14615" s="8">
        <v>526.6875</v>
      </c>
      <c r="J14615" s="3">
        <f t="shared" si="228"/>
        <v>43749.573157881947</v>
      </c>
    </row>
    <row r="14616" spans="1:10" x14ac:dyDescent="0.25">
      <c r="A14616" s="5" t="s">
        <v>54869</v>
      </c>
      <c r="B14616" s="6">
        <v>393.75</v>
      </c>
      <c r="C14616" s="6">
        <v>20.584240000000001</v>
      </c>
      <c r="D14616" s="6">
        <v>43</v>
      </c>
      <c r="E14616" s="6">
        <v>0</v>
      </c>
      <c r="F14616" s="6">
        <v>0</v>
      </c>
      <c r="G14616" s="6">
        <v>14</v>
      </c>
      <c r="H14616" s="6" t="s">
        <v>54870</v>
      </c>
      <c r="I14616" s="6">
        <v>526.6875</v>
      </c>
      <c r="J14616" s="2">
        <f t="shared" si="228"/>
        <v>43749.573241331011</v>
      </c>
    </row>
    <row r="14617" spans="1:10" x14ac:dyDescent="0.25">
      <c r="A14617" s="7" t="s">
        <v>54871</v>
      </c>
      <c r="B14617" s="8">
        <v>393.75</v>
      </c>
      <c r="C14617" s="8">
        <v>20.531590000000001</v>
      </c>
      <c r="D14617" s="8">
        <v>43</v>
      </c>
      <c r="E14617" s="8">
        <v>0</v>
      </c>
      <c r="F14617" s="8">
        <v>0</v>
      </c>
      <c r="G14617" s="8">
        <v>21</v>
      </c>
      <c r="H14617" s="8" t="s">
        <v>54872</v>
      </c>
      <c r="I14617" s="8">
        <v>526.6875</v>
      </c>
      <c r="J14617" s="3">
        <f t="shared" si="228"/>
        <v>43749.573312974535</v>
      </c>
    </row>
    <row r="14618" spans="1:10" x14ac:dyDescent="0.25">
      <c r="A14618" s="5" t="s">
        <v>54873</v>
      </c>
      <c r="B14618" s="6">
        <v>393.75</v>
      </c>
      <c r="C14618" s="6">
        <v>20.584240000000001</v>
      </c>
      <c r="D14618" s="6">
        <v>43</v>
      </c>
      <c r="E14618" s="6">
        <v>0</v>
      </c>
      <c r="F14618" s="6">
        <v>0</v>
      </c>
      <c r="G14618" s="6">
        <v>11</v>
      </c>
      <c r="H14618" s="6" t="s">
        <v>54874</v>
      </c>
      <c r="I14618" s="6">
        <v>526.6875</v>
      </c>
      <c r="J14618" s="2">
        <f t="shared" si="228"/>
        <v>43749.573384618052</v>
      </c>
    </row>
    <row r="14619" spans="1:10" x14ac:dyDescent="0.25">
      <c r="A14619" s="7" t="s">
        <v>54875</v>
      </c>
      <c r="B14619" s="8">
        <v>393.75</v>
      </c>
      <c r="C14619" s="8">
        <v>20.584240000000001</v>
      </c>
      <c r="D14619" s="8">
        <v>43</v>
      </c>
      <c r="E14619" s="8">
        <v>0</v>
      </c>
      <c r="F14619" s="8">
        <v>0</v>
      </c>
      <c r="G14619" s="8">
        <v>7</v>
      </c>
      <c r="H14619" s="8" t="s">
        <v>54876</v>
      </c>
      <c r="I14619" s="8">
        <v>526.6875</v>
      </c>
      <c r="J14619" s="3">
        <f t="shared" si="228"/>
        <v>43749.573456215272</v>
      </c>
    </row>
    <row r="14620" spans="1:10" x14ac:dyDescent="0.25">
      <c r="A14620" s="5" t="s">
        <v>54877</v>
      </c>
      <c r="B14620" s="6">
        <v>393.75</v>
      </c>
      <c r="C14620" s="6">
        <v>20.584240000000001</v>
      </c>
      <c r="D14620" s="6">
        <v>43</v>
      </c>
      <c r="E14620" s="6">
        <v>0</v>
      </c>
      <c r="F14620" s="6">
        <v>0</v>
      </c>
      <c r="G14620" s="6">
        <v>6</v>
      </c>
      <c r="H14620" s="6" t="s">
        <v>54878</v>
      </c>
      <c r="I14620" s="6">
        <v>526.6875</v>
      </c>
      <c r="J14620" s="2">
        <f t="shared" si="228"/>
        <v>43749.573539571757</v>
      </c>
    </row>
    <row r="14621" spans="1:10" x14ac:dyDescent="0.25">
      <c r="A14621" s="7" t="s">
        <v>54879</v>
      </c>
      <c r="B14621" s="8">
        <v>393.75</v>
      </c>
      <c r="C14621" s="8">
        <v>20.531590000000001</v>
      </c>
      <c r="D14621" s="8">
        <v>45</v>
      </c>
      <c r="E14621" s="8">
        <v>0</v>
      </c>
      <c r="F14621" s="8">
        <v>0</v>
      </c>
      <c r="G14621" s="8">
        <v>17</v>
      </c>
      <c r="H14621" s="8" t="s">
        <v>54880</v>
      </c>
      <c r="I14621" s="8">
        <v>526.6875</v>
      </c>
      <c r="J14621" s="3">
        <f t="shared" si="228"/>
        <v>43749.573623136566</v>
      </c>
    </row>
    <row r="14622" spans="1:10" x14ac:dyDescent="0.25">
      <c r="A14622" s="5" t="s">
        <v>54881</v>
      </c>
      <c r="B14622" s="6">
        <v>393.75</v>
      </c>
      <c r="C14622" s="6">
        <v>20.584240000000001</v>
      </c>
      <c r="D14622" s="6">
        <v>45</v>
      </c>
      <c r="E14622" s="6">
        <v>0</v>
      </c>
      <c r="F14622" s="6">
        <v>0</v>
      </c>
      <c r="G14622" s="6">
        <v>19</v>
      </c>
      <c r="H14622" s="6" t="s">
        <v>54882</v>
      </c>
      <c r="I14622" s="6">
        <v>526.6875</v>
      </c>
      <c r="J14622" s="2">
        <f t="shared" si="228"/>
        <v>43749.573706585645</v>
      </c>
    </row>
    <row r="14623" spans="1:10" x14ac:dyDescent="0.25">
      <c r="A14623" s="7" t="s">
        <v>54883</v>
      </c>
      <c r="B14623" s="8">
        <v>393.75</v>
      </c>
      <c r="C14623" s="8">
        <v>20.584240000000001</v>
      </c>
      <c r="D14623" s="8">
        <v>44</v>
      </c>
      <c r="E14623" s="8">
        <v>0</v>
      </c>
      <c r="F14623" s="8">
        <v>0</v>
      </c>
      <c r="G14623" s="8">
        <v>23</v>
      </c>
      <c r="H14623" s="8" t="s">
        <v>54884</v>
      </c>
      <c r="I14623" s="8">
        <v>526.6875</v>
      </c>
      <c r="J14623" s="3">
        <f t="shared" si="228"/>
        <v>43749.573789814815</v>
      </c>
    </row>
    <row r="14624" spans="1:10" x14ac:dyDescent="0.25">
      <c r="A14624" s="5" t="s">
        <v>54885</v>
      </c>
      <c r="B14624" s="6">
        <v>393.75</v>
      </c>
      <c r="C14624" s="6">
        <v>20.584240000000001</v>
      </c>
      <c r="D14624" s="6">
        <v>44</v>
      </c>
      <c r="E14624" s="6">
        <v>0</v>
      </c>
      <c r="F14624" s="6">
        <v>0</v>
      </c>
      <c r="G14624" s="6">
        <v>35</v>
      </c>
      <c r="H14624" s="6" t="s">
        <v>54886</v>
      </c>
      <c r="I14624" s="6">
        <v>526.6875</v>
      </c>
      <c r="J14624" s="2">
        <f t="shared" si="228"/>
        <v>43749.5738614699</v>
      </c>
    </row>
    <row r="14625" spans="1:10" x14ac:dyDescent="0.25">
      <c r="A14625" s="7" t="s">
        <v>54887</v>
      </c>
      <c r="B14625" s="8">
        <v>393.75</v>
      </c>
      <c r="C14625" s="8">
        <v>20.531590000000001</v>
      </c>
      <c r="D14625" s="8">
        <v>45</v>
      </c>
      <c r="E14625" s="8">
        <v>0</v>
      </c>
      <c r="F14625" s="8">
        <v>0</v>
      </c>
      <c r="G14625" s="8">
        <v>28</v>
      </c>
      <c r="H14625" s="8" t="s">
        <v>54888</v>
      </c>
      <c r="I14625" s="8">
        <v>526.6875</v>
      </c>
      <c r="J14625" s="3">
        <f t="shared" si="228"/>
        <v>43749.573933310181</v>
      </c>
    </row>
    <row r="14626" spans="1:10" x14ac:dyDescent="0.25">
      <c r="A14626" s="5" t="s">
        <v>54889</v>
      </c>
      <c r="B14626" s="6">
        <v>412.5</v>
      </c>
      <c r="C14626" s="6">
        <v>20.584240000000001</v>
      </c>
      <c r="D14626" s="6">
        <v>46</v>
      </c>
      <c r="E14626" s="6">
        <v>0</v>
      </c>
      <c r="F14626" s="6">
        <v>0</v>
      </c>
      <c r="G14626" s="6">
        <v>30</v>
      </c>
      <c r="H14626" s="6" t="s">
        <v>54890</v>
      </c>
      <c r="I14626" s="6">
        <v>532.3125</v>
      </c>
      <c r="J14626" s="2">
        <f t="shared" si="228"/>
        <v>43749.574004594906</v>
      </c>
    </row>
    <row r="14627" spans="1:10" x14ac:dyDescent="0.25">
      <c r="A14627" s="7" t="s">
        <v>54891</v>
      </c>
      <c r="B14627" s="8">
        <v>393.75</v>
      </c>
      <c r="C14627" s="8">
        <v>20.584240000000001</v>
      </c>
      <c r="D14627" s="8">
        <v>46</v>
      </c>
      <c r="E14627" s="8">
        <v>0</v>
      </c>
      <c r="F14627" s="8">
        <v>0</v>
      </c>
      <c r="G14627" s="8">
        <v>28</v>
      </c>
      <c r="H14627" s="8" t="s">
        <v>54892</v>
      </c>
      <c r="I14627" s="8">
        <v>526.6875</v>
      </c>
      <c r="J14627" s="3">
        <f t="shared" si="228"/>
        <v>43749.57407628472</v>
      </c>
    </row>
    <row r="14628" spans="1:10" x14ac:dyDescent="0.25">
      <c r="A14628" s="5" t="s">
        <v>54893</v>
      </c>
      <c r="B14628" s="6">
        <v>393.75</v>
      </c>
      <c r="C14628" s="6">
        <v>20.584240000000001</v>
      </c>
      <c r="D14628" s="6">
        <v>46</v>
      </c>
      <c r="E14628" s="6">
        <v>0</v>
      </c>
      <c r="F14628" s="6">
        <v>0</v>
      </c>
      <c r="G14628" s="6">
        <v>18</v>
      </c>
      <c r="H14628" s="6" t="s">
        <v>54894</v>
      </c>
      <c r="I14628" s="6">
        <v>526.6875</v>
      </c>
      <c r="J14628" s="2">
        <f t="shared" si="228"/>
        <v>43749.574166550919</v>
      </c>
    </row>
    <row r="14629" spans="1:10" x14ac:dyDescent="0.25">
      <c r="A14629" s="7" t="s">
        <v>54895</v>
      </c>
      <c r="B14629" s="8">
        <v>393.75</v>
      </c>
      <c r="C14629" s="8">
        <v>20.584240000000001</v>
      </c>
      <c r="D14629" s="8">
        <v>45</v>
      </c>
      <c r="E14629" s="8">
        <v>0</v>
      </c>
      <c r="F14629" s="8">
        <v>0</v>
      </c>
      <c r="G14629" s="8">
        <v>12</v>
      </c>
      <c r="H14629" s="8" t="s">
        <v>54896</v>
      </c>
      <c r="I14629" s="8">
        <v>526.5</v>
      </c>
      <c r="J14629" s="3">
        <f t="shared" si="228"/>
        <v>43749.574243391202</v>
      </c>
    </row>
    <row r="14630" spans="1:10" x14ac:dyDescent="0.25">
      <c r="A14630" s="5" t="s">
        <v>54897</v>
      </c>
      <c r="B14630" s="6">
        <v>393.75</v>
      </c>
      <c r="C14630" s="6">
        <v>20.584240000000001</v>
      </c>
      <c r="D14630" s="6">
        <v>45</v>
      </c>
      <c r="E14630" s="6">
        <v>0</v>
      </c>
      <c r="F14630" s="6">
        <v>0</v>
      </c>
      <c r="G14630" s="6">
        <v>22</v>
      </c>
      <c r="H14630" s="6" t="s">
        <v>54898</v>
      </c>
      <c r="I14630" s="6">
        <v>526.6875</v>
      </c>
      <c r="J14630" s="2">
        <f t="shared" si="228"/>
        <v>43749.574330543976</v>
      </c>
    </row>
    <row r="14631" spans="1:10" x14ac:dyDescent="0.25">
      <c r="A14631" s="7" t="s">
        <v>54899</v>
      </c>
      <c r="B14631" s="8">
        <v>393.75</v>
      </c>
      <c r="C14631" s="8">
        <v>20.531590000000001</v>
      </c>
      <c r="D14631" s="8">
        <v>43</v>
      </c>
      <c r="E14631" s="8">
        <v>0</v>
      </c>
      <c r="F14631" s="8">
        <v>0</v>
      </c>
      <c r="G14631" s="8">
        <v>7</v>
      </c>
      <c r="H14631" s="8" t="s">
        <v>54900</v>
      </c>
      <c r="I14631" s="8">
        <v>526.6875</v>
      </c>
      <c r="J14631" s="3">
        <f t="shared" si="228"/>
        <v>43749.57441040509</v>
      </c>
    </row>
    <row r="14632" spans="1:10" x14ac:dyDescent="0.25">
      <c r="A14632" s="5" t="s">
        <v>54901</v>
      </c>
      <c r="B14632" s="6">
        <v>393.75</v>
      </c>
      <c r="C14632" s="6">
        <v>20.584240000000001</v>
      </c>
      <c r="D14632" s="6">
        <v>43</v>
      </c>
      <c r="E14632" s="6">
        <v>0</v>
      </c>
      <c r="F14632" s="6">
        <v>0</v>
      </c>
      <c r="G14632" s="6">
        <v>15</v>
      </c>
      <c r="H14632" s="6" t="s">
        <v>54902</v>
      </c>
      <c r="I14632" s="6">
        <v>526.6875</v>
      </c>
      <c r="J14632" s="2">
        <f t="shared" si="228"/>
        <v>43749.574481932868</v>
      </c>
    </row>
    <row r="14633" spans="1:10" x14ac:dyDescent="0.25">
      <c r="A14633" s="7" t="s">
        <v>54903</v>
      </c>
      <c r="B14633" s="8">
        <v>393.75</v>
      </c>
      <c r="C14633" s="8">
        <v>20.584240000000001</v>
      </c>
      <c r="D14633" s="8">
        <v>43</v>
      </c>
      <c r="E14633" s="8">
        <v>0</v>
      </c>
      <c r="F14633" s="8">
        <v>0</v>
      </c>
      <c r="G14633" s="8">
        <v>14</v>
      </c>
      <c r="H14633" s="8" t="s">
        <v>54904</v>
      </c>
      <c r="I14633" s="8">
        <v>526.6875</v>
      </c>
      <c r="J14633" s="3">
        <f t="shared" si="228"/>
        <v>43749.574578113425</v>
      </c>
    </row>
    <row r="14634" spans="1:10" x14ac:dyDescent="0.25">
      <c r="A14634" s="5" t="s">
        <v>54905</v>
      </c>
      <c r="B14634" s="6">
        <v>393.75</v>
      </c>
      <c r="C14634" s="6">
        <v>20.584240000000001</v>
      </c>
      <c r="D14634" s="6">
        <v>44</v>
      </c>
      <c r="E14634" s="6">
        <v>0</v>
      </c>
      <c r="F14634" s="6">
        <v>0</v>
      </c>
      <c r="G14634" s="6">
        <v>16</v>
      </c>
      <c r="H14634" s="6" t="s">
        <v>54906</v>
      </c>
      <c r="I14634" s="6">
        <v>526.6875</v>
      </c>
      <c r="J14634" s="2">
        <f t="shared" si="228"/>
        <v>43749.574660868057</v>
      </c>
    </row>
    <row r="14635" spans="1:10" x14ac:dyDescent="0.25">
      <c r="A14635" s="7" t="s">
        <v>54907</v>
      </c>
      <c r="B14635" s="8">
        <v>393.75</v>
      </c>
      <c r="C14635" s="8">
        <v>20.531590000000001</v>
      </c>
      <c r="D14635" s="8">
        <v>42</v>
      </c>
      <c r="E14635" s="8">
        <v>0</v>
      </c>
      <c r="F14635" s="8">
        <v>0</v>
      </c>
      <c r="G14635" s="8">
        <v>13</v>
      </c>
      <c r="H14635" s="8" t="s">
        <v>54908</v>
      </c>
      <c r="I14635" s="8">
        <v>526.6875</v>
      </c>
      <c r="J14635" s="3">
        <f t="shared" si="228"/>
        <v>43749.574744317128</v>
      </c>
    </row>
    <row r="14636" spans="1:10" x14ac:dyDescent="0.25">
      <c r="A14636" s="5" t="s">
        <v>54909</v>
      </c>
      <c r="B14636" s="6">
        <v>412.5</v>
      </c>
      <c r="C14636" s="6">
        <v>20.531590000000001</v>
      </c>
      <c r="D14636" s="6">
        <v>42</v>
      </c>
      <c r="E14636" s="6">
        <v>0</v>
      </c>
      <c r="F14636" s="6">
        <v>0</v>
      </c>
      <c r="G14636" s="6">
        <v>21</v>
      </c>
      <c r="H14636" s="6" t="s">
        <v>54910</v>
      </c>
      <c r="I14636" s="6">
        <v>532.3125</v>
      </c>
      <c r="J14636" s="2">
        <f t="shared" si="228"/>
        <v>43749.574827881945</v>
      </c>
    </row>
    <row r="14637" spans="1:10" x14ac:dyDescent="0.25">
      <c r="A14637" s="7" t="s">
        <v>54911</v>
      </c>
      <c r="B14637" s="8">
        <v>393.75</v>
      </c>
      <c r="C14637" s="8">
        <v>20.531590000000001</v>
      </c>
      <c r="D14637" s="8">
        <v>42</v>
      </c>
      <c r="E14637" s="8">
        <v>0</v>
      </c>
      <c r="F14637" s="8">
        <v>0</v>
      </c>
      <c r="G14637" s="8">
        <v>15</v>
      </c>
      <c r="H14637" s="8" t="s">
        <v>54912</v>
      </c>
      <c r="I14637" s="8">
        <v>526.6875</v>
      </c>
      <c r="J14637" s="3">
        <f t="shared" si="228"/>
        <v>43749.574911342592</v>
      </c>
    </row>
    <row r="14638" spans="1:10" x14ac:dyDescent="0.25">
      <c r="A14638" s="5" t="s">
        <v>54913</v>
      </c>
      <c r="B14638" s="6">
        <v>393.75</v>
      </c>
      <c r="C14638" s="6">
        <v>20.531590000000001</v>
      </c>
      <c r="D14638" s="6">
        <v>43</v>
      </c>
      <c r="E14638" s="6">
        <v>0</v>
      </c>
      <c r="F14638" s="6">
        <v>0</v>
      </c>
      <c r="G14638" s="6">
        <v>15</v>
      </c>
      <c r="H14638" s="6" t="s">
        <v>54914</v>
      </c>
      <c r="I14638" s="6">
        <v>526.6875</v>
      </c>
      <c r="J14638" s="2">
        <f t="shared" si="228"/>
        <v>43749.57499483796</v>
      </c>
    </row>
    <row r="14639" spans="1:10" x14ac:dyDescent="0.25">
      <c r="A14639" s="7" t="s">
        <v>54915</v>
      </c>
      <c r="B14639" s="8">
        <v>393.75</v>
      </c>
      <c r="C14639" s="8">
        <v>20.584240000000001</v>
      </c>
      <c r="D14639" s="8">
        <v>44</v>
      </c>
      <c r="E14639" s="8">
        <v>0</v>
      </c>
      <c r="F14639" s="8">
        <v>0</v>
      </c>
      <c r="G14639" s="8">
        <v>10</v>
      </c>
      <c r="H14639" s="8" t="s">
        <v>54916</v>
      </c>
      <c r="I14639" s="8">
        <v>526.6875</v>
      </c>
      <c r="J14639" s="3">
        <f t="shared" si="228"/>
        <v>43749.575078692127</v>
      </c>
    </row>
    <row r="14640" spans="1:10" x14ac:dyDescent="0.25">
      <c r="A14640" s="5" t="s">
        <v>54917</v>
      </c>
      <c r="B14640" s="6">
        <v>393.75</v>
      </c>
      <c r="C14640" s="6">
        <v>20.584240000000001</v>
      </c>
      <c r="D14640" s="6">
        <v>46</v>
      </c>
      <c r="E14640" s="6">
        <v>0</v>
      </c>
      <c r="F14640" s="6">
        <v>0</v>
      </c>
      <c r="G14640" s="6">
        <v>14</v>
      </c>
      <c r="H14640" s="6" t="s">
        <v>54918</v>
      </c>
      <c r="I14640" s="6">
        <v>526.6875</v>
      </c>
      <c r="J14640" s="2">
        <f t="shared" si="228"/>
        <v>43749.575161793975</v>
      </c>
    </row>
    <row r="14641" spans="1:10" x14ac:dyDescent="0.25">
      <c r="A14641" s="7" t="s">
        <v>54919</v>
      </c>
      <c r="B14641" s="8">
        <v>393.75</v>
      </c>
      <c r="C14641" s="8">
        <v>20.584240000000001</v>
      </c>
      <c r="D14641" s="8">
        <v>46</v>
      </c>
      <c r="E14641" s="8">
        <v>0</v>
      </c>
      <c r="F14641" s="8">
        <v>0</v>
      </c>
      <c r="G14641" s="8">
        <v>18</v>
      </c>
      <c r="H14641" s="8" t="s">
        <v>54920</v>
      </c>
      <c r="I14641" s="8">
        <v>526.6875</v>
      </c>
      <c r="J14641" s="3">
        <f t="shared" si="228"/>
        <v>43749.575245266205</v>
      </c>
    </row>
    <row r="14642" spans="1:10" x14ac:dyDescent="0.25">
      <c r="A14642" s="5" t="s">
        <v>54921</v>
      </c>
      <c r="B14642" s="6">
        <v>393.75</v>
      </c>
      <c r="C14642" s="6">
        <v>20.584240000000001</v>
      </c>
      <c r="D14642" s="6">
        <v>46</v>
      </c>
      <c r="E14642" s="6">
        <v>0</v>
      </c>
      <c r="F14642" s="6">
        <v>0</v>
      </c>
      <c r="G14642" s="6">
        <v>13</v>
      </c>
      <c r="H14642" s="6" t="s">
        <v>54922</v>
      </c>
      <c r="I14642" s="6">
        <v>526.6875</v>
      </c>
      <c r="J14642" s="2">
        <f t="shared" si="228"/>
        <v>43749.575328541665</v>
      </c>
    </row>
    <row r="14643" spans="1:10" x14ac:dyDescent="0.25">
      <c r="A14643" s="7" t="s">
        <v>54923</v>
      </c>
      <c r="B14643" s="8">
        <v>393.75</v>
      </c>
      <c r="C14643" s="8">
        <v>20.584240000000001</v>
      </c>
      <c r="D14643" s="8">
        <v>46</v>
      </c>
      <c r="E14643" s="8">
        <v>0</v>
      </c>
      <c r="F14643" s="8">
        <v>0</v>
      </c>
      <c r="G14643" s="8">
        <v>18</v>
      </c>
      <c r="H14643" s="8" t="s">
        <v>54924</v>
      </c>
      <c r="I14643" s="8">
        <v>526.6875</v>
      </c>
      <c r="J14643" s="3">
        <f t="shared" si="228"/>
        <v>43749.575412013888</v>
      </c>
    </row>
    <row r="14644" spans="1:10" x14ac:dyDescent="0.25">
      <c r="A14644" s="5" t="s">
        <v>54925</v>
      </c>
      <c r="B14644" s="6">
        <v>393.75</v>
      </c>
      <c r="C14644" s="6">
        <v>20.584240000000001</v>
      </c>
      <c r="D14644" s="6">
        <v>46</v>
      </c>
      <c r="E14644" s="6">
        <v>0</v>
      </c>
      <c r="F14644" s="6">
        <v>0</v>
      </c>
      <c r="G14644" s="6">
        <v>14</v>
      </c>
      <c r="H14644" s="6" t="s">
        <v>54926</v>
      </c>
      <c r="I14644" s="6">
        <v>526.6875</v>
      </c>
      <c r="J14644" s="2">
        <f t="shared" si="228"/>
        <v>43749.575483310182</v>
      </c>
    </row>
    <row r="14645" spans="1:10" x14ac:dyDescent="0.25">
      <c r="A14645" s="7" t="s">
        <v>54927</v>
      </c>
      <c r="B14645" s="8">
        <v>393.75</v>
      </c>
      <c r="C14645" s="8">
        <v>20.584240000000001</v>
      </c>
      <c r="D14645" s="8">
        <v>43</v>
      </c>
      <c r="E14645" s="8">
        <v>0</v>
      </c>
      <c r="F14645" s="8">
        <v>0</v>
      </c>
      <c r="G14645" s="8">
        <v>11</v>
      </c>
      <c r="H14645" s="8" t="s">
        <v>54928</v>
      </c>
      <c r="I14645" s="8">
        <v>526.6875</v>
      </c>
      <c r="J14645" s="3">
        <f t="shared" si="228"/>
        <v>43749.575555416661</v>
      </c>
    </row>
    <row r="14646" spans="1:10" x14ac:dyDescent="0.25">
      <c r="A14646" s="5" t="s">
        <v>54929</v>
      </c>
      <c r="B14646" s="6">
        <v>428.125</v>
      </c>
      <c r="C14646" s="6">
        <v>20.531590000000001</v>
      </c>
      <c r="D14646" s="6">
        <v>43</v>
      </c>
      <c r="E14646" s="6">
        <v>0</v>
      </c>
      <c r="F14646" s="6">
        <v>0</v>
      </c>
      <c r="G14646" s="6">
        <v>8</v>
      </c>
      <c r="H14646" s="6" t="s">
        <v>54930</v>
      </c>
      <c r="I14646" s="6">
        <v>537.75</v>
      </c>
      <c r="J14646" s="2">
        <f t="shared" si="228"/>
        <v>43749.575638877308</v>
      </c>
    </row>
    <row r="14647" spans="1:10" x14ac:dyDescent="0.25">
      <c r="A14647" s="7" t="s">
        <v>54931</v>
      </c>
      <c r="B14647" s="8">
        <v>393.75</v>
      </c>
      <c r="C14647" s="8">
        <v>20.584240000000001</v>
      </c>
      <c r="D14647" s="8">
        <v>43</v>
      </c>
      <c r="E14647" s="8">
        <v>0</v>
      </c>
      <c r="F14647" s="8">
        <v>0</v>
      </c>
      <c r="G14647" s="8">
        <v>8</v>
      </c>
      <c r="H14647" s="8" t="s">
        <v>54932</v>
      </c>
      <c r="I14647" s="8">
        <v>526.6875</v>
      </c>
      <c r="J14647" s="3">
        <f t="shared" si="228"/>
        <v>43749.575710636571</v>
      </c>
    </row>
    <row r="14648" spans="1:10" x14ac:dyDescent="0.25">
      <c r="A14648" s="5" t="s">
        <v>54933</v>
      </c>
      <c r="B14648" s="6">
        <v>393.75</v>
      </c>
      <c r="C14648" s="6">
        <v>20.531590000000001</v>
      </c>
      <c r="D14648" s="6">
        <v>43</v>
      </c>
      <c r="E14648" s="6">
        <v>0</v>
      </c>
      <c r="F14648" s="6">
        <v>0</v>
      </c>
      <c r="G14648" s="6">
        <v>10</v>
      </c>
      <c r="H14648" s="6" t="s">
        <v>54934</v>
      </c>
      <c r="I14648" s="6">
        <v>526.6875</v>
      </c>
      <c r="J14648" s="2">
        <f t="shared" si="228"/>
        <v>43749.575782071755</v>
      </c>
    </row>
    <row r="14649" spans="1:10" x14ac:dyDescent="0.25">
      <c r="A14649" s="7" t="s">
        <v>54935</v>
      </c>
      <c r="B14649" s="8">
        <v>393.75</v>
      </c>
      <c r="C14649" s="8">
        <v>20.584240000000001</v>
      </c>
      <c r="D14649" s="8">
        <v>43</v>
      </c>
      <c r="E14649" s="8">
        <v>0</v>
      </c>
      <c r="F14649" s="8">
        <v>0</v>
      </c>
      <c r="G14649" s="8">
        <v>9</v>
      </c>
      <c r="H14649" s="8" t="s">
        <v>54936</v>
      </c>
      <c r="I14649" s="8">
        <v>526.6875</v>
      </c>
      <c r="J14649" s="3">
        <f t="shared" si="228"/>
        <v>43749.575853564813</v>
      </c>
    </row>
    <row r="14650" spans="1:10" x14ac:dyDescent="0.25">
      <c r="A14650" s="5" t="s">
        <v>54937</v>
      </c>
      <c r="B14650" s="6">
        <v>393.75</v>
      </c>
      <c r="C14650" s="6">
        <v>20.531590000000001</v>
      </c>
      <c r="D14650" s="6">
        <v>43</v>
      </c>
      <c r="E14650" s="6">
        <v>0</v>
      </c>
      <c r="F14650" s="6">
        <v>0</v>
      </c>
      <c r="G14650" s="6">
        <v>18</v>
      </c>
      <c r="H14650" s="6" t="s">
        <v>54938</v>
      </c>
      <c r="I14650" s="6">
        <v>526.6875</v>
      </c>
      <c r="J14650" s="2">
        <f t="shared" si="228"/>
        <v>43749.575925219906</v>
      </c>
    </row>
    <row r="14651" spans="1:10" x14ac:dyDescent="0.25">
      <c r="A14651" s="7" t="s">
        <v>54939</v>
      </c>
      <c r="B14651" s="8">
        <v>393.75</v>
      </c>
      <c r="C14651" s="8">
        <v>20.584240000000001</v>
      </c>
      <c r="D14651" s="8">
        <v>43</v>
      </c>
      <c r="E14651" s="8">
        <v>0</v>
      </c>
      <c r="F14651" s="8">
        <v>0</v>
      </c>
      <c r="G14651" s="8">
        <v>21</v>
      </c>
      <c r="H14651" s="8" t="s">
        <v>54940</v>
      </c>
      <c r="I14651" s="8">
        <v>526.6875</v>
      </c>
      <c r="J14651" s="3">
        <f t="shared" si="228"/>
        <v>43749.576020578701</v>
      </c>
    </row>
    <row r="14652" spans="1:10" x14ac:dyDescent="0.25">
      <c r="A14652" s="5" t="s">
        <v>54941</v>
      </c>
      <c r="B14652" s="6">
        <v>415.625</v>
      </c>
      <c r="C14652" s="6">
        <v>20.584240000000001</v>
      </c>
      <c r="D14652" s="6">
        <v>43</v>
      </c>
      <c r="E14652" s="6">
        <v>0</v>
      </c>
      <c r="F14652" s="6">
        <v>0</v>
      </c>
      <c r="G14652" s="6">
        <v>17</v>
      </c>
      <c r="H14652" s="6" t="s">
        <v>54942</v>
      </c>
      <c r="I14652" s="6">
        <v>533.25</v>
      </c>
      <c r="J14652" s="2">
        <f t="shared" si="228"/>
        <v>43749.576103807871</v>
      </c>
    </row>
    <row r="14653" spans="1:10" x14ac:dyDescent="0.25">
      <c r="A14653" s="7" t="s">
        <v>54943</v>
      </c>
      <c r="B14653" s="8">
        <v>393.75</v>
      </c>
      <c r="C14653" s="8">
        <v>20.584240000000001</v>
      </c>
      <c r="D14653" s="8">
        <v>43</v>
      </c>
      <c r="E14653" s="8">
        <v>0</v>
      </c>
      <c r="F14653" s="8">
        <v>0</v>
      </c>
      <c r="G14653" s="8">
        <v>17</v>
      </c>
      <c r="H14653" s="8" t="s">
        <v>54944</v>
      </c>
      <c r="I14653" s="8">
        <v>526.5</v>
      </c>
      <c r="J14653" s="3">
        <f t="shared" si="228"/>
        <v>43749.576187604165</v>
      </c>
    </row>
    <row r="14654" spans="1:10" x14ac:dyDescent="0.25">
      <c r="A14654" s="5" t="s">
        <v>54945</v>
      </c>
      <c r="B14654" s="6">
        <v>393.75</v>
      </c>
      <c r="C14654" s="6">
        <v>20.584240000000001</v>
      </c>
      <c r="D14654" s="6">
        <v>43</v>
      </c>
      <c r="E14654" s="6">
        <v>0</v>
      </c>
      <c r="F14654" s="6">
        <v>0</v>
      </c>
      <c r="G14654" s="6">
        <v>13</v>
      </c>
      <c r="H14654" s="6" t="s">
        <v>54946</v>
      </c>
      <c r="I14654" s="6">
        <v>526.6875</v>
      </c>
      <c r="J14654" s="2">
        <f t="shared" si="228"/>
        <v>43749.576271377307</v>
      </c>
    </row>
    <row r="14655" spans="1:10" x14ac:dyDescent="0.25">
      <c r="A14655" s="7" t="s">
        <v>54947</v>
      </c>
      <c r="B14655" s="8">
        <v>393.75</v>
      </c>
      <c r="C14655" s="8">
        <v>20.584240000000001</v>
      </c>
      <c r="D14655" s="8">
        <v>43</v>
      </c>
      <c r="E14655" s="8">
        <v>0</v>
      </c>
      <c r="F14655" s="8">
        <v>0</v>
      </c>
      <c r="G14655" s="8">
        <v>12</v>
      </c>
      <c r="H14655" s="8" t="s">
        <v>54948</v>
      </c>
      <c r="I14655" s="8">
        <v>526.6875</v>
      </c>
      <c r="J14655" s="3">
        <f t="shared" si="228"/>
        <v>43749.576354629629</v>
      </c>
    </row>
    <row r="14656" spans="1:10" x14ac:dyDescent="0.25">
      <c r="A14656" s="5" t="s">
        <v>54949</v>
      </c>
      <c r="B14656" s="6">
        <v>393.75</v>
      </c>
      <c r="C14656" s="6">
        <v>20.531590000000001</v>
      </c>
      <c r="D14656" s="6">
        <v>44</v>
      </c>
      <c r="E14656" s="6">
        <v>0</v>
      </c>
      <c r="F14656" s="6">
        <v>0</v>
      </c>
      <c r="G14656" s="6">
        <v>14</v>
      </c>
      <c r="H14656" s="6" t="s">
        <v>54950</v>
      </c>
      <c r="I14656" s="6">
        <v>526.6875</v>
      </c>
      <c r="J14656" s="2">
        <f t="shared" si="228"/>
        <v>43749.576444733793</v>
      </c>
    </row>
    <row r="14657" spans="1:10" x14ac:dyDescent="0.25">
      <c r="A14657" s="7" t="s">
        <v>54951</v>
      </c>
      <c r="B14657" s="8">
        <v>393.75</v>
      </c>
      <c r="C14657" s="8">
        <v>20.584240000000001</v>
      </c>
      <c r="D14657" s="8">
        <v>43</v>
      </c>
      <c r="E14657" s="8">
        <v>0</v>
      </c>
      <c r="F14657" s="8">
        <v>0</v>
      </c>
      <c r="G14657" s="8">
        <v>13</v>
      </c>
      <c r="H14657" s="8" t="s">
        <v>54952</v>
      </c>
      <c r="I14657" s="8">
        <v>526.6875</v>
      </c>
      <c r="J14657" s="3">
        <f t="shared" si="228"/>
        <v>43749.576521527772</v>
      </c>
    </row>
    <row r="14658" spans="1:10" x14ac:dyDescent="0.25">
      <c r="A14658" s="5" t="s">
        <v>54953</v>
      </c>
      <c r="B14658" s="6">
        <v>393.75</v>
      </c>
      <c r="C14658" s="6">
        <v>20.531590000000001</v>
      </c>
      <c r="D14658" s="6">
        <v>43</v>
      </c>
      <c r="E14658" s="6">
        <v>0</v>
      </c>
      <c r="F14658" s="6">
        <v>0</v>
      </c>
      <c r="G14658" s="6">
        <v>19</v>
      </c>
      <c r="H14658" s="6" t="s">
        <v>54954</v>
      </c>
      <c r="I14658" s="6">
        <v>526.6875</v>
      </c>
      <c r="J14658" s="2">
        <f t="shared" ref="J14658:J14716" si="229">(H14658/86400000)+25569+(7/24)</f>
        <v>43749.576605173606</v>
      </c>
    </row>
    <row r="14659" spans="1:10" x14ac:dyDescent="0.25">
      <c r="A14659" s="7" t="s">
        <v>54955</v>
      </c>
      <c r="B14659" s="8">
        <v>412.5</v>
      </c>
      <c r="C14659" s="8">
        <v>20.584240000000001</v>
      </c>
      <c r="D14659" s="8">
        <v>42</v>
      </c>
      <c r="E14659" s="8">
        <v>0</v>
      </c>
      <c r="F14659" s="8">
        <v>0</v>
      </c>
      <c r="G14659" s="8">
        <v>14</v>
      </c>
      <c r="H14659" s="8" t="s">
        <v>54956</v>
      </c>
      <c r="I14659" s="8">
        <v>532.6875</v>
      </c>
      <c r="J14659" s="3">
        <f t="shared" si="229"/>
        <v>43749.576688530091</v>
      </c>
    </row>
    <row r="14660" spans="1:10" x14ac:dyDescent="0.25">
      <c r="A14660" s="5" t="s">
        <v>54957</v>
      </c>
      <c r="B14660" s="6">
        <v>393.75</v>
      </c>
      <c r="C14660" s="6">
        <v>20.584240000000001</v>
      </c>
      <c r="D14660" s="6">
        <v>42</v>
      </c>
      <c r="E14660" s="6">
        <v>0</v>
      </c>
      <c r="F14660" s="6">
        <v>0</v>
      </c>
      <c r="G14660" s="6">
        <v>9</v>
      </c>
      <c r="H14660" s="6" t="s">
        <v>54958</v>
      </c>
      <c r="I14660" s="6">
        <v>526.5</v>
      </c>
      <c r="J14660" s="2">
        <f t="shared" si="229"/>
        <v>43749.576772210647</v>
      </c>
    </row>
    <row r="14661" spans="1:10" x14ac:dyDescent="0.25">
      <c r="A14661" s="7" t="s">
        <v>54959</v>
      </c>
      <c r="B14661" s="8">
        <v>393.75</v>
      </c>
      <c r="C14661" s="8">
        <v>20.531590000000001</v>
      </c>
      <c r="D14661" s="8">
        <v>42</v>
      </c>
      <c r="E14661" s="8">
        <v>0</v>
      </c>
      <c r="F14661" s="8">
        <v>0</v>
      </c>
      <c r="G14661" s="8">
        <v>10</v>
      </c>
      <c r="H14661" s="8" t="s">
        <v>54960</v>
      </c>
      <c r="I14661" s="8">
        <v>526.5</v>
      </c>
      <c r="J14661" s="3">
        <f t="shared" si="229"/>
        <v>43749.576843391202</v>
      </c>
    </row>
    <row r="14662" spans="1:10" x14ac:dyDescent="0.25">
      <c r="A14662" s="5" t="s">
        <v>54961</v>
      </c>
      <c r="B14662" s="6">
        <v>393.75</v>
      </c>
      <c r="C14662" s="6">
        <v>20.584240000000001</v>
      </c>
      <c r="D14662" s="6">
        <v>43</v>
      </c>
      <c r="E14662" s="6">
        <v>0</v>
      </c>
      <c r="F14662" s="6">
        <v>0</v>
      </c>
      <c r="G14662" s="6">
        <v>10</v>
      </c>
      <c r="H14662" s="6" t="s">
        <v>54962</v>
      </c>
      <c r="I14662" s="6">
        <v>526.6875</v>
      </c>
      <c r="J14662" s="2">
        <f t="shared" si="229"/>
        <v>43749.576926828704</v>
      </c>
    </row>
    <row r="14663" spans="1:10" x14ac:dyDescent="0.25">
      <c r="A14663" s="7" t="s">
        <v>54963</v>
      </c>
      <c r="B14663" s="8">
        <v>393.75</v>
      </c>
      <c r="C14663" s="8">
        <v>20.584240000000001</v>
      </c>
      <c r="D14663" s="8">
        <v>43</v>
      </c>
      <c r="E14663" s="8">
        <v>0</v>
      </c>
      <c r="F14663" s="8">
        <v>0</v>
      </c>
      <c r="G14663" s="8">
        <v>15</v>
      </c>
      <c r="H14663" s="8" t="s">
        <v>54964</v>
      </c>
      <c r="I14663" s="8">
        <v>526.6875</v>
      </c>
      <c r="J14663" s="3">
        <f t="shared" si="229"/>
        <v>43749.576998831013</v>
      </c>
    </row>
    <row r="14664" spans="1:10" x14ac:dyDescent="0.25">
      <c r="A14664" s="5" t="s">
        <v>54965</v>
      </c>
      <c r="B14664" s="6">
        <v>393.75</v>
      </c>
      <c r="C14664" s="6">
        <v>20.531590000000001</v>
      </c>
      <c r="D14664" s="6">
        <v>43</v>
      </c>
      <c r="E14664" s="6">
        <v>0</v>
      </c>
      <c r="F14664" s="6">
        <v>0</v>
      </c>
      <c r="G14664" s="6">
        <v>11</v>
      </c>
      <c r="H14664" s="6" t="s">
        <v>54966</v>
      </c>
      <c r="I14664" s="6">
        <v>526.6875</v>
      </c>
      <c r="J14664" s="2">
        <f t="shared" si="229"/>
        <v>43749.57708229166</v>
      </c>
    </row>
    <row r="14665" spans="1:10" x14ac:dyDescent="0.25">
      <c r="A14665" s="7" t="s">
        <v>54967</v>
      </c>
      <c r="B14665" s="8">
        <v>393.75</v>
      </c>
      <c r="C14665" s="8">
        <v>20.584240000000001</v>
      </c>
      <c r="D14665" s="8">
        <v>44</v>
      </c>
      <c r="E14665" s="8">
        <v>0</v>
      </c>
      <c r="F14665" s="8">
        <v>0</v>
      </c>
      <c r="G14665" s="8">
        <v>7</v>
      </c>
      <c r="H14665" s="8" t="s">
        <v>54968</v>
      </c>
      <c r="I14665" s="8">
        <v>526.6875</v>
      </c>
      <c r="J14665" s="3">
        <f t="shared" si="229"/>
        <v>43749.577177523148</v>
      </c>
    </row>
    <row r="14666" spans="1:10" x14ac:dyDescent="0.25">
      <c r="A14666" s="5" t="s">
        <v>54969</v>
      </c>
      <c r="B14666" s="6">
        <v>393.75</v>
      </c>
      <c r="C14666" s="6">
        <v>20.531590000000001</v>
      </c>
      <c r="D14666" s="6">
        <v>43</v>
      </c>
      <c r="E14666" s="6">
        <v>0</v>
      </c>
      <c r="F14666" s="6">
        <v>0</v>
      </c>
      <c r="G14666" s="6">
        <v>11</v>
      </c>
      <c r="H14666" s="6" t="s">
        <v>54970</v>
      </c>
      <c r="I14666" s="6">
        <v>526.6875</v>
      </c>
      <c r="J14666" s="2">
        <f t="shared" si="229"/>
        <v>43749.577261099534</v>
      </c>
    </row>
    <row r="14667" spans="1:10" x14ac:dyDescent="0.25">
      <c r="A14667" s="7" t="s">
        <v>54971</v>
      </c>
      <c r="B14667" s="8">
        <v>393.75</v>
      </c>
      <c r="C14667" s="8">
        <v>20.531590000000001</v>
      </c>
      <c r="D14667" s="8">
        <v>43</v>
      </c>
      <c r="E14667" s="8">
        <v>0</v>
      </c>
      <c r="F14667" s="8">
        <v>0</v>
      </c>
      <c r="G14667" s="8">
        <v>11</v>
      </c>
      <c r="H14667" s="8" t="s">
        <v>54972</v>
      </c>
      <c r="I14667" s="8">
        <v>526.6875</v>
      </c>
      <c r="J14667" s="3">
        <f t="shared" si="229"/>
        <v>43749.577356388887</v>
      </c>
    </row>
    <row r="14668" spans="1:10" x14ac:dyDescent="0.25">
      <c r="A14668" s="5" t="s">
        <v>54973</v>
      </c>
      <c r="B14668" s="6">
        <v>393.75</v>
      </c>
      <c r="C14668" s="6">
        <v>20.584240000000001</v>
      </c>
      <c r="D14668" s="6">
        <v>44</v>
      </c>
      <c r="E14668" s="6">
        <v>0</v>
      </c>
      <c r="F14668" s="6">
        <v>0</v>
      </c>
      <c r="G14668" s="6">
        <v>18</v>
      </c>
      <c r="H14668" s="6" t="s">
        <v>54974</v>
      </c>
      <c r="I14668" s="6">
        <v>526.6875</v>
      </c>
      <c r="J14668" s="2">
        <f t="shared" si="229"/>
        <v>43749.577440057867</v>
      </c>
    </row>
    <row r="14669" spans="1:10" x14ac:dyDescent="0.25">
      <c r="A14669" s="7" t="s">
        <v>54975</v>
      </c>
      <c r="B14669" s="8">
        <v>393.75</v>
      </c>
      <c r="C14669" s="8">
        <v>20.531590000000001</v>
      </c>
      <c r="D14669" s="8">
        <v>45</v>
      </c>
      <c r="E14669" s="8">
        <v>0</v>
      </c>
      <c r="F14669" s="8">
        <v>0</v>
      </c>
      <c r="G14669" s="8">
        <v>10</v>
      </c>
      <c r="H14669" s="8" t="s">
        <v>54976</v>
      </c>
      <c r="I14669" s="8">
        <v>526.6875</v>
      </c>
      <c r="J14669" s="3">
        <f t="shared" si="229"/>
        <v>43749.577523148146</v>
      </c>
    </row>
    <row r="14670" spans="1:10" x14ac:dyDescent="0.25">
      <c r="A14670" s="5" t="s">
        <v>54977</v>
      </c>
      <c r="B14670" s="6">
        <v>393.75</v>
      </c>
      <c r="C14670" s="6">
        <v>20.584240000000001</v>
      </c>
      <c r="D14670" s="6">
        <v>45</v>
      </c>
      <c r="E14670" s="6">
        <v>0</v>
      </c>
      <c r="F14670" s="6">
        <v>0</v>
      </c>
      <c r="G14670" s="6">
        <v>11</v>
      </c>
      <c r="H14670" s="6" t="s">
        <v>54978</v>
      </c>
      <c r="I14670" s="6">
        <v>526.6875</v>
      </c>
      <c r="J14670" s="2">
        <f t="shared" si="229"/>
        <v>43749.577594814815</v>
      </c>
    </row>
    <row r="14671" spans="1:10" x14ac:dyDescent="0.25">
      <c r="A14671" s="7" t="s">
        <v>54979</v>
      </c>
      <c r="B14671" s="8">
        <v>412.5</v>
      </c>
      <c r="C14671" s="8">
        <v>20.584240000000001</v>
      </c>
      <c r="D14671" s="8">
        <v>44</v>
      </c>
      <c r="E14671" s="8">
        <v>0</v>
      </c>
      <c r="F14671" s="8">
        <v>0</v>
      </c>
      <c r="G14671" s="8">
        <v>16</v>
      </c>
      <c r="H14671" s="8" t="s">
        <v>54980</v>
      </c>
      <c r="I14671" s="8">
        <v>532.3125</v>
      </c>
      <c r="J14671" s="3">
        <f t="shared" si="229"/>
        <v>43749.577678703703</v>
      </c>
    </row>
    <row r="14672" spans="1:10" x14ac:dyDescent="0.25">
      <c r="A14672" s="5" t="s">
        <v>54981</v>
      </c>
      <c r="B14672" s="6">
        <v>393.75</v>
      </c>
      <c r="C14672" s="6">
        <v>20.584240000000001</v>
      </c>
      <c r="D14672" s="6">
        <v>43</v>
      </c>
      <c r="E14672" s="6">
        <v>0</v>
      </c>
      <c r="F14672" s="6">
        <v>0</v>
      </c>
      <c r="G14672" s="6">
        <v>11</v>
      </c>
      <c r="H14672" s="6" t="s">
        <v>54982</v>
      </c>
      <c r="I14672" s="6">
        <v>526.6875</v>
      </c>
      <c r="J14672" s="2">
        <f t="shared" si="229"/>
        <v>43749.577762048611</v>
      </c>
    </row>
    <row r="14673" spans="1:10" x14ac:dyDescent="0.25">
      <c r="A14673" s="7" t="s">
        <v>54983</v>
      </c>
      <c r="B14673" s="8">
        <v>393.75</v>
      </c>
      <c r="C14673" s="8">
        <v>20.531590000000001</v>
      </c>
      <c r="D14673" s="8">
        <v>47</v>
      </c>
      <c r="E14673" s="8">
        <v>0</v>
      </c>
      <c r="F14673" s="8">
        <v>0</v>
      </c>
      <c r="G14673" s="8">
        <v>5</v>
      </c>
      <c r="H14673" s="8" t="s">
        <v>54984</v>
      </c>
      <c r="I14673" s="8">
        <v>526.6875</v>
      </c>
      <c r="J14673" s="3">
        <f t="shared" si="229"/>
        <v>43749.577857523145</v>
      </c>
    </row>
    <row r="14674" spans="1:10" x14ac:dyDescent="0.25">
      <c r="A14674" s="5" t="s">
        <v>54985</v>
      </c>
      <c r="B14674" s="6">
        <v>393.75</v>
      </c>
      <c r="C14674" s="6">
        <v>20.584240000000001</v>
      </c>
      <c r="D14674" s="6">
        <v>48</v>
      </c>
      <c r="E14674" s="6">
        <v>0</v>
      </c>
      <c r="F14674" s="6">
        <v>0</v>
      </c>
      <c r="G14674" s="6">
        <v>11</v>
      </c>
      <c r="H14674" s="6" t="s">
        <v>54986</v>
      </c>
      <c r="I14674" s="6">
        <v>526.5</v>
      </c>
      <c r="J14674" s="2">
        <f t="shared" si="229"/>
        <v>43749.577940983792</v>
      </c>
    </row>
    <row r="14675" spans="1:10" x14ac:dyDescent="0.25">
      <c r="A14675" s="7" t="s">
        <v>54987</v>
      </c>
      <c r="B14675" s="8">
        <v>431.25</v>
      </c>
      <c r="C14675" s="8">
        <v>20.584240000000001</v>
      </c>
      <c r="D14675" s="8">
        <v>48</v>
      </c>
      <c r="E14675" s="8">
        <v>0</v>
      </c>
      <c r="F14675" s="8">
        <v>0</v>
      </c>
      <c r="G14675" s="8">
        <v>5</v>
      </c>
      <c r="H14675" s="8" t="s">
        <v>54988</v>
      </c>
      <c r="I14675" s="8">
        <v>538.5</v>
      </c>
      <c r="J14675" s="3">
        <f t="shared" si="229"/>
        <v>43749.578024421295</v>
      </c>
    </row>
    <row r="14676" spans="1:10" x14ac:dyDescent="0.25">
      <c r="A14676" s="5" t="s">
        <v>54989</v>
      </c>
      <c r="B14676" s="6">
        <v>393.75</v>
      </c>
      <c r="C14676" s="6">
        <v>20.584240000000001</v>
      </c>
      <c r="D14676" s="6">
        <v>47</v>
      </c>
      <c r="E14676" s="6">
        <v>0</v>
      </c>
      <c r="F14676" s="6">
        <v>0</v>
      </c>
      <c r="G14676" s="6">
        <v>7</v>
      </c>
      <c r="H14676" s="6" t="s">
        <v>54990</v>
      </c>
      <c r="I14676" s="6">
        <v>526.6875</v>
      </c>
      <c r="J14676" s="2">
        <f t="shared" si="229"/>
        <v>43749.578108090274</v>
      </c>
    </row>
    <row r="14677" spans="1:10" x14ac:dyDescent="0.25">
      <c r="A14677" s="7" t="s">
        <v>54991</v>
      </c>
      <c r="B14677" s="8">
        <v>393.75</v>
      </c>
      <c r="C14677" s="8">
        <v>20.531590000000001</v>
      </c>
      <c r="D14677" s="8">
        <v>48</v>
      </c>
      <c r="E14677" s="8">
        <v>0</v>
      </c>
      <c r="F14677" s="8">
        <v>0</v>
      </c>
      <c r="G14677" s="8">
        <v>15</v>
      </c>
      <c r="H14677" s="8" t="s">
        <v>54992</v>
      </c>
      <c r="I14677" s="8">
        <v>526.6875</v>
      </c>
      <c r="J14677" s="3">
        <f t="shared" si="229"/>
        <v>43749.578191562498</v>
      </c>
    </row>
    <row r="14678" spans="1:10" x14ac:dyDescent="0.25">
      <c r="A14678" s="5" t="s">
        <v>54993</v>
      </c>
      <c r="B14678" s="6">
        <v>393.75</v>
      </c>
      <c r="C14678" s="6">
        <v>20.584240000000001</v>
      </c>
      <c r="D14678" s="6">
        <v>48</v>
      </c>
      <c r="E14678" s="6">
        <v>0</v>
      </c>
      <c r="F14678" s="6">
        <v>0</v>
      </c>
      <c r="G14678" s="6">
        <v>12</v>
      </c>
      <c r="H14678" s="6" t="s">
        <v>54994</v>
      </c>
      <c r="I14678" s="6">
        <v>526.6875</v>
      </c>
      <c r="J14678" s="2">
        <f t="shared" si="229"/>
        <v>43749.57827489583</v>
      </c>
    </row>
    <row r="14679" spans="1:10" x14ac:dyDescent="0.25">
      <c r="A14679" s="7" t="s">
        <v>54995</v>
      </c>
      <c r="B14679" s="8">
        <v>393.75</v>
      </c>
      <c r="C14679" s="8">
        <v>20.531590000000001</v>
      </c>
      <c r="D14679" s="8">
        <v>47</v>
      </c>
      <c r="E14679" s="8">
        <v>0</v>
      </c>
      <c r="F14679" s="8">
        <v>0</v>
      </c>
      <c r="G14679" s="8">
        <v>17</v>
      </c>
      <c r="H14679" s="8" t="s">
        <v>54996</v>
      </c>
      <c r="I14679" s="8">
        <v>526.6875</v>
      </c>
      <c r="J14679" s="3">
        <f t="shared" si="229"/>
        <v>43749.578358449071</v>
      </c>
    </row>
    <row r="14680" spans="1:10" x14ac:dyDescent="0.25">
      <c r="A14680" s="5" t="s">
        <v>54997</v>
      </c>
      <c r="B14680" s="6">
        <v>393.75</v>
      </c>
      <c r="C14680" s="6">
        <v>20.584240000000001</v>
      </c>
      <c r="D14680" s="6">
        <v>47</v>
      </c>
      <c r="E14680" s="6">
        <v>0</v>
      </c>
      <c r="F14680" s="6">
        <v>0</v>
      </c>
      <c r="G14680" s="6">
        <v>11</v>
      </c>
      <c r="H14680" s="6" t="s">
        <v>54998</v>
      </c>
      <c r="I14680" s="6">
        <v>526.6875</v>
      </c>
      <c r="J14680" s="2">
        <f t="shared" si="229"/>
        <v>43749.578441689817</v>
      </c>
    </row>
    <row r="14681" spans="1:10" x14ac:dyDescent="0.25">
      <c r="A14681" s="7" t="s">
        <v>54999</v>
      </c>
      <c r="B14681" s="8">
        <v>393.75</v>
      </c>
      <c r="C14681" s="8">
        <v>20.531590000000001</v>
      </c>
      <c r="D14681" s="8">
        <v>47</v>
      </c>
      <c r="E14681" s="8">
        <v>0</v>
      </c>
      <c r="F14681" s="8">
        <v>0</v>
      </c>
      <c r="G14681" s="8">
        <v>12</v>
      </c>
      <c r="H14681" s="8" t="s">
        <v>55000</v>
      </c>
      <c r="I14681" s="8">
        <v>526.6875</v>
      </c>
      <c r="J14681" s="3">
        <f t="shared" si="229"/>
        <v>43749.578513333334</v>
      </c>
    </row>
    <row r="14682" spans="1:10" x14ac:dyDescent="0.25">
      <c r="A14682" s="5" t="s">
        <v>55001</v>
      </c>
      <c r="B14682" s="6">
        <v>393.75</v>
      </c>
      <c r="C14682" s="6">
        <v>20.584240000000001</v>
      </c>
      <c r="D14682" s="6">
        <v>45</v>
      </c>
      <c r="E14682" s="6">
        <v>0</v>
      </c>
      <c r="F14682" s="6">
        <v>0</v>
      </c>
      <c r="G14682" s="6">
        <v>18</v>
      </c>
      <c r="H14682" s="6" t="s">
        <v>55002</v>
      </c>
      <c r="I14682" s="6">
        <v>526.6875</v>
      </c>
      <c r="J14682" s="2">
        <f t="shared" si="229"/>
        <v>43749.578597129628</v>
      </c>
    </row>
    <row r="14683" spans="1:10" x14ac:dyDescent="0.25">
      <c r="A14683" s="7" t="s">
        <v>55003</v>
      </c>
      <c r="B14683" s="8">
        <v>393.75</v>
      </c>
      <c r="C14683" s="8">
        <v>20.584240000000001</v>
      </c>
      <c r="D14683" s="8">
        <v>45</v>
      </c>
      <c r="E14683" s="8">
        <v>0</v>
      </c>
      <c r="F14683" s="8">
        <v>0</v>
      </c>
      <c r="G14683" s="8">
        <v>10</v>
      </c>
      <c r="H14683" s="8" t="s">
        <v>55004</v>
      </c>
      <c r="I14683" s="8">
        <v>526.6875</v>
      </c>
      <c r="J14683" s="3">
        <f t="shared" si="229"/>
        <v>43749.578680439816</v>
      </c>
    </row>
    <row r="14684" spans="1:10" x14ac:dyDescent="0.25">
      <c r="A14684" s="5" t="s">
        <v>55005</v>
      </c>
      <c r="B14684" s="6">
        <v>393.75</v>
      </c>
      <c r="C14684" s="6">
        <v>20.584240000000001</v>
      </c>
      <c r="D14684" s="6">
        <v>45</v>
      </c>
      <c r="E14684" s="6">
        <v>0</v>
      </c>
      <c r="F14684" s="6">
        <v>0</v>
      </c>
      <c r="G14684" s="6">
        <v>13</v>
      </c>
      <c r="H14684" s="6" t="s">
        <v>55006</v>
      </c>
      <c r="I14684" s="6">
        <v>526.6875</v>
      </c>
      <c r="J14684" s="2">
        <f t="shared" si="229"/>
        <v>43749.578763784717</v>
      </c>
    </row>
    <row r="14685" spans="1:10" x14ac:dyDescent="0.25">
      <c r="A14685" s="7" t="s">
        <v>55007</v>
      </c>
      <c r="B14685" s="8">
        <v>412.5</v>
      </c>
      <c r="C14685" s="8">
        <v>20.584240000000001</v>
      </c>
      <c r="D14685" s="8">
        <v>45</v>
      </c>
      <c r="E14685" s="8">
        <v>0</v>
      </c>
      <c r="F14685" s="8">
        <v>0</v>
      </c>
      <c r="G14685" s="8">
        <v>19</v>
      </c>
      <c r="H14685" s="8" t="s">
        <v>55008</v>
      </c>
      <c r="I14685" s="8">
        <v>532.3125</v>
      </c>
      <c r="J14685" s="3">
        <f t="shared" si="229"/>
        <v>43749.578835555549</v>
      </c>
    </row>
    <row r="14686" spans="1:10" x14ac:dyDescent="0.25">
      <c r="A14686" s="5" t="s">
        <v>55009</v>
      </c>
      <c r="B14686" s="6">
        <v>393.75</v>
      </c>
      <c r="C14686" s="6">
        <v>20.584240000000001</v>
      </c>
      <c r="D14686" s="6">
        <v>42</v>
      </c>
      <c r="E14686" s="6">
        <v>0</v>
      </c>
      <c r="F14686" s="6">
        <v>0</v>
      </c>
      <c r="G14686" s="6">
        <v>16</v>
      </c>
      <c r="H14686" s="6" t="s">
        <v>55010</v>
      </c>
      <c r="I14686" s="6">
        <v>526.5</v>
      </c>
      <c r="J14686" s="2">
        <f t="shared" si="229"/>
        <v>43749.578919189815</v>
      </c>
    </row>
    <row r="14687" spans="1:10" x14ac:dyDescent="0.25">
      <c r="A14687" s="7" t="s">
        <v>55011</v>
      </c>
      <c r="B14687" s="8">
        <v>393.75</v>
      </c>
      <c r="C14687" s="8">
        <v>20.584240000000001</v>
      </c>
      <c r="D14687" s="8">
        <v>41</v>
      </c>
      <c r="E14687" s="8">
        <v>0</v>
      </c>
      <c r="F14687" s="8">
        <v>0</v>
      </c>
      <c r="G14687" s="8">
        <v>12</v>
      </c>
      <c r="H14687" s="8" t="s">
        <v>55012</v>
      </c>
      <c r="I14687" s="8">
        <v>526.6875</v>
      </c>
      <c r="J14687" s="3">
        <f t="shared" si="229"/>
        <v>43749.579002557868</v>
      </c>
    </row>
    <row r="14688" spans="1:10" x14ac:dyDescent="0.25">
      <c r="A14688" s="5" t="s">
        <v>55013</v>
      </c>
      <c r="B14688" s="6">
        <v>393.75</v>
      </c>
      <c r="C14688" s="6">
        <v>20.584240000000001</v>
      </c>
      <c r="D14688" s="6">
        <v>41</v>
      </c>
      <c r="E14688" s="6">
        <v>0</v>
      </c>
      <c r="F14688" s="6">
        <v>0</v>
      </c>
      <c r="G14688" s="6">
        <v>19</v>
      </c>
      <c r="H14688" s="6" t="s">
        <v>55014</v>
      </c>
      <c r="I14688" s="6">
        <v>526.6875</v>
      </c>
      <c r="J14688" s="2">
        <f t="shared" si="229"/>
        <v>43749.579086018515</v>
      </c>
    </row>
    <row r="14689" spans="1:10" x14ac:dyDescent="0.25">
      <c r="A14689" s="7" t="s">
        <v>55015</v>
      </c>
      <c r="B14689" s="8">
        <v>393.75</v>
      </c>
      <c r="C14689" s="8">
        <v>20.531590000000001</v>
      </c>
      <c r="D14689" s="8">
        <v>40</v>
      </c>
      <c r="E14689" s="8">
        <v>0</v>
      </c>
      <c r="F14689" s="8">
        <v>0</v>
      </c>
      <c r="G14689" s="8">
        <v>13</v>
      </c>
      <c r="H14689" s="8" t="s">
        <v>55016</v>
      </c>
      <c r="I14689" s="8">
        <v>526.6875</v>
      </c>
      <c r="J14689" s="3">
        <f t="shared" si="229"/>
        <v>43749.579169583332</v>
      </c>
    </row>
    <row r="14690" spans="1:10" x14ac:dyDescent="0.25">
      <c r="A14690" s="5" t="s">
        <v>55017</v>
      </c>
      <c r="B14690" s="6">
        <v>393.75</v>
      </c>
      <c r="C14690" s="6">
        <v>20.584240000000001</v>
      </c>
      <c r="D14690" s="6">
        <v>40</v>
      </c>
      <c r="E14690" s="6">
        <v>0</v>
      </c>
      <c r="F14690" s="6">
        <v>0</v>
      </c>
      <c r="G14690" s="6">
        <v>16</v>
      </c>
      <c r="H14690" s="6" t="s">
        <v>55018</v>
      </c>
      <c r="I14690" s="6">
        <v>526.6875</v>
      </c>
      <c r="J14690" s="2">
        <f t="shared" si="229"/>
        <v>43749.57925278935</v>
      </c>
    </row>
    <row r="14691" spans="1:10" x14ac:dyDescent="0.25">
      <c r="A14691" s="7" t="s">
        <v>55019</v>
      </c>
      <c r="B14691" s="8">
        <v>393.75</v>
      </c>
      <c r="C14691" s="8">
        <v>20.531590000000001</v>
      </c>
      <c r="D14691" s="8">
        <v>40</v>
      </c>
      <c r="E14691" s="8">
        <v>0</v>
      </c>
      <c r="F14691" s="8">
        <v>0</v>
      </c>
      <c r="G14691" s="8">
        <v>18</v>
      </c>
      <c r="H14691" s="8" t="s">
        <v>55020</v>
      </c>
      <c r="I14691" s="8">
        <v>526.6875</v>
      </c>
      <c r="J14691" s="3">
        <f t="shared" si="229"/>
        <v>43749.579324421291</v>
      </c>
    </row>
    <row r="14692" spans="1:10" x14ac:dyDescent="0.25">
      <c r="A14692" s="5" t="s">
        <v>55021</v>
      </c>
      <c r="B14692" s="6">
        <v>393.75</v>
      </c>
      <c r="C14692" s="6">
        <v>20.584240000000001</v>
      </c>
      <c r="D14692" s="6">
        <v>40</v>
      </c>
      <c r="E14692" s="6">
        <v>0</v>
      </c>
      <c r="F14692" s="6">
        <v>0</v>
      </c>
      <c r="G14692" s="6">
        <v>7</v>
      </c>
      <c r="H14692" s="6" t="s">
        <v>55022</v>
      </c>
      <c r="I14692" s="6">
        <v>526.6875</v>
      </c>
      <c r="J14692" s="2">
        <f t="shared" si="229"/>
        <v>43749.579408217593</v>
      </c>
    </row>
    <row r="14693" spans="1:10" x14ac:dyDescent="0.25">
      <c r="A14693" s="7" t="s">
        <v>55023</v>
      </c>
      <c r="B14693" s="8">
        <v>393.75</v>
      </c>
      <c r="C14693" s="8">
        <v>20.531590000000001</v>
      </c>
      <c r="D14693" s="8">
        <v>41</v>
      </c>
      <c r="E14693" s="8">
        <v>0</v>
      </c>
      <c r="F14693" s="8">
        <v>0</v>
      </c>
      <c r="G14693" s="8">
        <v>7</v>
      </c>
      <c r="H14693" s="8" t="s">
        <v>55024</v>
      </c>
      <c r="I14693" s="8">
        <v>526.6875</v>
      </c>
      <c r="J14693" s="3">
        <f t="shared" si="229"/>
        <v>43749.579491666664</v>
      </c>
    </row>
    <row r="14694" spans="1:10" x14ac:dyDescent="0.25">
      <c r="A14694" s="5" t="s">
        <v>55025</v>
      </c>
      <c r="B14694" s="6">
        <v>393.75</v>
      </c>
      <c r="C14694" s="6">
        <v>20.584240000000001</v>
      </c>
      <c r="D14694" s="6">
        <v>40</v>
      </c>
      <c r="E14694" s="6">
        <v>0</v>
      </c>
      <c r="F14694" s="6">
        <v>0</v>
      </c>
      <c r="G14694" s="6">
        <v>11</v>
      </c>
      <c r="H14694" s="6" t="s">
        <v>55026</v>
      </c>
      <c r="I14694" s="6">
        <v>526.6875</v>
      </c>
      <c r="J14694" s="2">
        <f t="shared" si="229"/>
        <v>43749.579575011572</v>
      </c>
    </row>
    <row r="14695" spans="1:10" x14ac:dyDescent="0.25">
      <c r="A14695" s="7" t="s">
        <v>55027</v>
      </c>
      <c r="B14695" s="8">
        <v>412.5</v>
      </c>
      <c r="C14695" s="8">
        <v>20.584240000000001</v>
      </c>
      <c r="D14695" s="8">
        <v>40</v>
      </c>
      <c r="E14695" s="8">
        <v>0</v>
      </c>
      <c r="F14695" s="8">
        <v>0</v>
      </c>
      <c r="G14695" s="8">
        <v>19</v>
      </c>
      <c r="H14695" s="8" t="s">
        <v>55028</v>
      </c>
      <c r="I14695" s="8">
        <v>532.3125</v>
      </c>
      <c r="J14695" s="3">
        <f t="shared" si="229"/>
        <v>43749.579646666665</v>
      </c>
    </row>
    <row r="14696" spans="1:10" x14ac:dyDescent="0.25">
      <c r="A14696" s="5" t="s">
        <v>55029</v>
      </c>
      <c r="B14696" s="6">
        <v>393.75</v>
      </c>
      <c r="C14696" s="6">
        <v>20.531590000000001</v>
      </c>
      <c r="D14696" s="6">
        <v>41</v>
      </c>
      <c r="E14696" s="6">
        <v>0</v>
      </c>
      <c r="F14696" s="6">
        <v>0</v>
      </c>
      <c r="G14696" s="6">
        <v>9</v>
      </c>
      <c r="H14696" s="6" t="s">
        <v>55030</v>
      </c>
      <c r="I14696" s="6">
        <v>526.6875</v>
      </c>
      <c r="J14696" s="2">
        <f t="shared" si="229"/>
        <v>43749.579730231482</v>
      </c>
    </row>
    <row r="14697" spans="1:10" x14ac:dyDescent="0.25">
      <c r="A14697" s="7" t="s">
        <v>55031</v>
      </c>
      <c r="B14697" s="8">
        <v>393.75</v>
      </c>
      <c r="C14697" s="8">
        <v>20.584240000000001</v>
      </c>
      <c r="D14697" s="8">
        <v>41</v>
      </c>
      <c r="E14697" s="8">
        <v>0</v>
      </c>
      <c r="F14697" s="8">
        <v>0</v>
      </c>
      <c r="G14697" s="8">
        <v>12</v>
      </c>
      <c r="H14697" s="8" t="s">
        <v>55032</v>
      </c>
      <c r="I14697" s="8">
        <v>526.6875</v>
      </c>
      <c r="J14697" s="3">
        <f t="shared" si="229"/>
        <v>43749.579813657409</v>
      </c>
    </row>
    <row r="14698" spans="1:10" x14ac:dyDescent="0.25">
      <c r="A14698" s="5" t="s">
        <v>55033</v>
      </c>
      <c r="B14698" s="6">
        <v>393.75</v>
      </c>
      <c r="C14698" s="6">
        <v>20.584240000000001</v>
      </c>
      <c r="D14698" s="6">
        <v>43</v>
      </c>
      <c r="E14698" s="6">
        <v>0</v>
      </c>
      <c r="F14698" s="6">
        <v>0</v>
      </c>
      <c r="G14698" s="6">
        <v>12</v>
      </c>
      <c r="H14698" s="6" t="s">
        <v>55034</v>
      </c>
      <c r="I14698" s="6">
        <v>526.6875</v>
      </c>
      <c r="J14698" s="2">
        <f t="shared" si="229"/>
        <v>43749.5798971412</v>
      </c>
    </row>
    <row r="14699" spans="1:10" x14ac:dyDescent="0.25">
      <c r="A14699" s="7" t="s">
        <v>55035</v>
      </c>
      <c r="B14699" s="8">
        <v>393.75</v>
      </c>
      <c r="C14699" s="8">
        <v>20.531590000000001</v>
      </c>
      <c r="D14699" s="8">
        <v>43</v>
      </c>
      <c r="E14699" s="8">
        <v>0</v>
      </c>
      <c r="F14699" s="8">
        <v>0</v>
      </c>
      <c r="G14699" s="8">
        <v>11</v>
      </c>
      <c r="H14699" s="8" t="s">
        <v>55036</v>
      </c>
      <c r="I14699" s="8">
        <v>526.6875</v>
      </c>
      <c r="J14699" s="3">
        <f t="shared" si="229"/>
        <v>43749.579980682865</v>
      </c>
    </row>
    <row r="14700" spans="1:10" x14ac:dyDescent="0.25">
      <c r="A14700" s="5" t="s">
        <v>55037</v>
      </c>
      <c r="B14700" s="6">
        <v>393.75</v>
      </c>
      <c r="C14700" s="6">
        <v>20.584240000000001</v>
      </c>
      <c r="D14700" s="6">
        <v>43</v>
      </c>
      <c r="E14700" s="6">
        <v>0</v>
      </c>
      <c r="F14700" s="6">
        <v>0</v>
      </c>
      <c r="G14700" s="6">
        <v>15</v>
      </c>
      <c r="H14700" s="6" t="s">
        <v>55038</v>
      </c>
      <c r="I14700" s="6">
        <v>526.6875</v>
      </c>
      <c r="J14700" s="2">
        <f t="shared" si="229"/>
        <v>43749.580076018516</v>
      </c>
    </row>
    <row r="14701" spans="1:10" x14ac:dyDescent="0.25">
      <c r="A14701" s="7" t="s">
        <v>55039</v>
      </c>
      <c r="B14701" s="8">
        <v>393.75</v>
      </c>
      <c r="C14701" s="8">
        <v>20.584240000000001</v>
      </c>
      <c r="D14701" s="8">
        <v>44</v>
      </c>
      <c r="E14701" s="8">
        <v>0</v>
      </c>
      <c r="F14701" s="8">
        <v>0</v>
      </c>
      <c r="G14701" s="8">
        <v>16</v>
      </c>
      <c r="H14701" s="8" t="s">
        <v>55040</v>
      </c>
      <c r="I14701" s="8">
        <v>526.6875</v>
      </c>
      <c r="J14701" s="3">
        <f t="shared" si="229"/>
        <v>43749.580171180554</v>
      </c>
    </row>
    <row r="14702" spans="1:10" x14ac:dyDescent="0.25">
      <c r="A14702" s="5" t="s">
        <v>55041</v>
      </c>
      <c r="B14702" s="6">
        <v>393.75</v>
      </c>
      <c r="C14702" s="6">
        <v>20.531590000000001</v>
      </c>
      <c r="D14702" s="6">
        <v>44</v>
      </c>
      <c r="E14702" s="6">
        <v>0</v>
      </c>
      <c r="F14702" s="6">
        <v>0</v>
      </c>
      <c r="G14702" s="6">
        <v>20</v>
      </c>
      <c r="H14702" s="6" t="s">
        <v>55042</v>
      </c>
      <c r="I14702" s="6">
        <v>526.6875</v>
      </c>
      <c r="J14702" s="2">
        <f t="shared" si="229"/>
        <v>43749.580243020835</v>
      </c>
    </row>
    <row r="14703" spans="1:10" x14ac:dyDescent="0.25">
      <c r="A14703" s="7" t="s">
        <v>55043</v>
      </c>
      <c r="B14703" s="8">
        <v>393.75</v>
      </c>
      <c r="C14703" s="8">
        <v>20.531590000000001</v>
      </c>
      <c r="D14703" s="8">
        <v>45</v>
      </c>
      <c r="E14703" s="8">
        <v>0</v>
      </c>
      <c r="F14703" s="8">
        <v>0</v>
      </c>
      <c r="G14703" s="8">
        <v>15</v>
      </c>
      <c r="H14703" s="8" t="s">
        <v>55044</v>
      </c>
      <c r="I14703" s="8">
        <v>526.6875</v>
      </c>
      <c r="J14703" s="3">
        <f t="shared" si="229"/>
        <v>43749.580326828705</v>
      </c>
    </row>
    <row r="14704" spans="1:10" x14ac:dyDescent="0.25">
      <c r="A14704" s="5" t="s">
        <v>55045</v>
      </c>
      <c r="B14704" s="6">
        <v>437.5</v>
      </c>
      <c r="C14704" s="6">
        <v>20.584240000000001</v>
      </c>
      <c r="D14704" s="6">
        <v>45</v>
      </c>
      <c r="E14704" s="6">
        <v>0</v>
      </c>
      <c r="F14704" s="6">
        <v>0</v>
      </c>
      <c r="G14704" s="6">
        <v>18</v>
      </c>
      <c r="H14704" s="6" t="s">
        <v>55046</v>
      </c>
      <c r="I14704" s="6">
        <v>540</v>
      </c>
      <c r="J14704" s="2">
        <f t="shared" si="229"/>
        <v>43749.580410046292</v>
      </c>
    </row>
    <row r="14705" spans="1:10" x14ac:dyDescent="0.25">
      <c r="A14705" s="7" t="s">
        <v>55047</v>
      </c>
      <c r="B14705" s="8">
        <v>393.75</v>
      </c>
      <c r="C14705" s="8">
        <v>20.531590000000001</v>
      </c>
      <c r="D14705" s="8">
        <v>45</v>
      </c>
      <c r="E14705" s="8">
        <v>0</v>
      </c>
      <c r="F14705" s="8">
        <v>0</v>
      </c>
      <c r="G14705" s="8">
        <v>12</v>
      </c>
      <c r="H14705" s="8" t="s">
        <v>55048</v>
      </c>
      <c r="I14705" s="8">
        <v>526.6875</v>
      </c>
      <c r="J14705" s="3">
        <f t="shared" si="229"/>
        <v>43749.58049349537</v>
      </c>
    </row>
    <row r="14706" spans="1:10" x14ac:dyDescent="0.25">
      <c r="A14706" s="5" t="s">
        <v>55049</v>
      </c>
      <c r="B14706" s="6">
        <v>393.75</v>
      </c>
      <c r="C14706" s="6">
        <v>20.584240000000001</v>
      </c>
      <c r="D14706" s="6">
        <v>44</v>
      </c>
      <c r="E14706" s="6">
        <v>0</v>
      </c>
      <c r="F14706" s="6">
        <v>0</v>
      </c>
      <c r="G14706" s="6">
        <v>18</v>
      </c>
      <c r="H14706" s="6" t="s">
        <v>55050</v>
      </c>
      <c r="I14706" s="6">
        <v>526.6875</v>
      </c>
      <c r="J14706" s="2">
        <f t="shared" si="229"/>
        <v>43749.580577048611</v>
      </c>
    </row>
    <row r="14707" spans="1:10" x14ac:dyDescent="0.25">
      <c r="A14707" s="7" t="s">
        <v>55051</v>
      </c>
      <c r="B14707" s="8">
        <v>393.75</v>
      </c>
      <c r="C14707" s="8">
        <v>20.531590000000001</v>
      </c>
      <c r="D14707" s="8">
        <v>44</v>
      </c>
      <c r="E14707" s="8">
        <v>0</v>
      </c>
      <c r="F14707" s="8">
        <v>0</v>
      </c>
      <c r="G14707" s="8">
        <v>16</v>
      </c>
      <c r="H14707" s="8" t="s">
        <v>55052</v>
      </c>
      <c r="I14707" s="8">
        <v>526.6875</v>
      </c>
      <c r="J14707" s="3">
        <f t="shared" si="229"/>
        <v>43749.580662650456</v>
      </c>
    </row>
    <row r="14708" spans="1:10" x14ac:dyDescent="0.25">
      <c r="A14708" s="5" t="s">
        <v>55053</v>
      </c>
      <c r="B14708" s="6">
        <v>393.75</v>
      </c>
      <c r="C14708" s="6">
        <v>20.531590000000001</v>
      </c>
      <c r="D14708" s="6">
        <v>43</v>
      </c>
      <c r="E14708" s="6">
        <v>0</v>
      </c>
      <c r="F14708" s="6">
        <v>0</v>
      </c>
      <c r="G14708" s="6">
        <v>13</v>
      </c>
      <c r="H14708" s="6" t="s">
        <v>55054</v>
      </c>
      <c r="I14708" s="6">
        <v>526.6875</v>
      </c>
      <c r="J14708" s="2">
        <f t="shared" si="229"/>
        <v>43749.58074395833</v>
      </c>
    </row>
    <row r="14709" spans="1:10" x14ac:dyDescent="0.25">
      <c r="A14709" s="7" t="s">
        <v>55055</v>
      </c>
      <c r="B14709" s="8">
        <v>393.75</v>
      </c>
      <c r="C14709" s="8">
        <v>20.531590000000001</v>
      </c>
      <c r="D14709" s="8">
        <v>44</v>
      </c>
      <c r="E14709" s="8">
        <v>0</v>
      </c>
      <c r="F14709" s="8">
        <v>0</v>
      </c>
      <c r="G14709" s="8">
        <v>21</v>
      </c>
      <c r="H14709" s="8" t="s">
        <v>55056</v>
      </c>
      <c r="I14709" s="8">
        <v>526.6875</v>
      </c>
      <c r="J14709" s="3">
        <f t="shared" si="229"/>
        <v>43749.580816168978</v>
      </c>
    </row>
    <row r="14710" spans="1:10" x14ac:dyDescent="0.25">
      <c r="A14710" s="5" t="s">
        <v>55057</v>
      </c>
      <c r="B14710" s="6">
        <v>393.75</v>
      </c>
      <c r="C14710" s="6">
        <v>20.531590000000001</v>
      </c>
      <c r="D14710" s="6">
        <v>43</v>
      </c>
      <c r="E14710" s="6">
        <v>0</v>
      </c>
      <c r="F14710" s="6">
        <v>0</v>
      </c>
      <c r="G14710" s="6">
        <v>21</v>
      </c>
      <c r="H14710" s="6" t="s">
        <v>55058</v>
      </c>
      <c r="I14710" s="6">
        <v>526.6875</v>
      </c>
      <c r="J14710" s="2">
        <f t="shared" si="229"/>
        <v>43749.580899039349</v>
      </c>
    </row>
    <row r="14711" spans="1:10" x14ac:dyDescent="0.25">
      <c r="A14711" s="7" t="s">
        <v>55059</v>
      </c>
      <c r="B14711" s="8">
        <v>393.75</v>
      </c>
      <c r="C14711" s="8">
        <v>20.584240000000001</v>
      </c>
      <c r="D14711" s="8">
        <v>43</v>
      </c>
      <c r="E14711" s="8">
        <v>0</v>
      </c>
      <c r="F14711" s="8">
        <v>0</v>
      </c>
      <c r="G14711" s="8">
        <v>30</v>
      </c>
      <c r="H14711" s="8" t="s">
        <v>55060</v>
      </c>
      <c r="I14711" s="8">
        <v>526.6875</v>
      </c>
      <c r="J14711" s="3">
        <f t="shared" si="229"/>
        <v>43749.580982256943</v>
      </c>
    </row>
    <row r="14712" spans="1:10" x14ac:dyDescent="0.25">
      <c r="A14712" s="5" t="s">
        <v>55061</v>
      </c>
      <c r="B14712" s="6">
        <v>393.75</v>
      </c>
      <c r="C14712" s="6">
        <v>20.584240000000001</v>
      </c>
      <c r="D14712" s="6">
        <v>43</v>
      </c>
      <c r="E14712" s="6">
        <v>0</v>
      </c>
      <c r="F14712" s="6">
        <v>0</v>
      </c>
      <c r="G14712" s="6">
        <v>17</v>
      </c>
      <c r="H14712" s="6" t="s">
        <v>55062</v>
      </c>
      <c r="I14712" s="6">
        <v>526.6875</v>
      </c>
      <c r="J14712" s="2">
        <f t="shared" si="229"/>
        <v>43749.581078020834</v>
      </c>
    </row>
    <row r="14713" spans="1:10" x14ac:dyDescent="0.25">
      <c r="A14713" s="7" t="s">
        <v>55063</v>
      </c>
      <c r="B14713" s="8">
        <v>393.75</v>
      </c>
      <c r="C14713" s="8">
        <v>20.584240000000001</v>
      </c>
      <c r="D14713" s="8">
        <v>38</v>
      </c>
      <c r="E14713" s="8">
        <v>0</v>
      </c>
      <c r="F14713" s="8">
        <v>0</v>
      </c>
      <c r="G14713" s="8">
        <v>20</v>
      </c>
      <c r="H14713" s="8" t="s">
        <v>55064</v>
      </c>
      <c r="I14713" s="8">
        <v>526.6875</v>
      </c>
      <c r="J14713" s="3">
        <f t="shared" si="229"/>
        <v>43749.581161423608</v>
      </c>
    </row>
    <row r="14714" spans="1:10" x14ac:dyDescent="0.25">
      <c r="A14714" s="5" t="s">
        <v>55065</v>
      </c>
      <c r="B14714" s="6">
        <v>393.75</v>
      </c>
      <c r="C14714" s="6">
        <v>20.584240000000001</v>
      </c>
      <c r="D14714" s="6">
        <v>38</v>
      </c>
      <c r="E14714" s="6">
        <v>0</v>
      </c>
      <c r="F14714" s="6">
        <v>0</v>
      </c>
      <c r="G14714" s="6">
        <v>17</v>
      </c>
      <c r="H14714" s="6" t="s">
        <v>55066</v>
      </c>
      <c r="I14714" s="6">
        <v>526.6875</v>
      </c>
      <c r="J14714" s="2">
        <f t="shared" si="229"/>
        <v>43749.581245000001</v>
      </c>
    </row>
    <row r="14715" spans="1:10" x14ac:dyDescent="0.25">
      <c r="A14715" s="7" t="s">
        <v>55067</v>
      </c>
      <c r="B14715" s="8">
        <v>393.75</v>
      </c>
      <c r="C14715" s="8">
        <v>20.584240000000001</v>
      </c>
      <c r="D14715" s="8">
        <v>39</v>
      </c>
      <c r="E14715" s="8">
        <v>0</v>
      </c>
      <c r="F14715" s="8">
        <v>0</v>
      </c>
      <c r="G14715" s="8">
        <v>15</v>
      </c>
      <c r="H14715" s="8" t="s">
        <v>55068</v>
      </c>
      <c r="I14715" s="8">
        <v>526.6875</v>
      </c>
      <c r="J14715" s="3">
        <f t="shared" si="229"/>
        <v>43749.581328449072</v>
      </c>
    </row>
    <row r="14716" spans="1:10" x14ac:dyDescent="0.25">
      <c r="A14716" s="5" t="s">
        <v>55069</v>
      </c>
      <c r="B14716" s="6">
        <v>393.75</v>
      </c>
      <c r="C14716" s="6">
        <v>20.584240000000001</v>
      </c>
      <c r="D14716" s="6">
        <v>40</v>
      </c>
      <c r="E14716" s="6">
        <v>0</v>
      </c>
      <c r="F14716" s="6">
        <v>0</v>
      </c>
      <c r="G14716" s="6">
        <v>17</v>
      </c>
      <c r="H14716" s="6" t="s">
        <v>55070</v>
      </c>
      <c r="I14716" s="6">
        <v>526.6875</v>
      </c>
      <c r="J14716" s="2">
        <f t="shared" si="229"/>
        <v>43749.581403287033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221"/>
  <sheetViews>
    <sheetView workbookViewId="0">
      <selection activeCell="J2" sqref="J2"/>
    </sheetView>
  </sheetViews>
  <sheetFormatPr defaultRowHeight="15" x14ac:dyDescent="0.25"/>
  <cols>
    <col min="10" max="10" width="18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55071</v>
      </c>
    </row>
    <row r="2" spans="1:10" x14ac:dyDescent="0.25">
      <c r="A2" s="7" t="s">
        <v>50631</v>
      </c>
      <c r="B2" s="8">
        <v>393.75</v>
      </c>
      <c r="C2" s="8">
        <v>20.478950000000001</v>
      </c>
      <c r="D2" s="8">
        <v>72</v>
      </c>
      <c r="E2" s="8">
        <v>0</v>
      </c>
      <c r="F2" s="8">
        <v>0</v>
      </c>
      <c r="G2" s="8">
        <v>11</v>
      </c>
      <c r="H2" s="8" t="s">
        <v>50632</v>
      </c>
      <c r="I2" s="8">
        <v>526.6875</v>
      </c>
      <c r="J2" s="3">
        <f t="shared" ref="J2:J65" si="0">(H2/86400000)+25569+(7/24)</f>
        <v>43749.401408206017</v>
      </c>
    </row>
    <row r="3" spans="1:10" x14ac:dyDescent="0.25">
      <c r="A3" s="5" t="s">
        <v>50633</v>
      </c>
      <c r="B3" s="6">
        <v>393.75</v>
      </c>
      <c r="C3" s="6">
        <v>20.478950000000001</v>
      </c>
      <c r="D3" s="6">
        <v>74</v>
      </c>
      <c r="E3" s="6">
        <v>0</v>
      </c>
      <c r="F3" s="6">
        <v>0</v>
      </c>
      <c r="G3" s="6">
        <v>18</v>
      </c>
      <c r="H3" s="6" t="s">
        <v>50634</v>
      </c>
      <c r="I3" s="6">
        <v>526.6875</v>
      </c>
      <c r="J3" s="2">
        <f t="shared" si="0"/>
        <v>43749.401491643519</v>
      </c>
    </row>
    <row r="4" spans="1:10" x14ac:dyDescent="0.25">
      <c r="A4" s="7" t="s">
        <v>50635</v>
      </c>
      <c r="B4" s="8">
        <v>415.625</v>
      </c>
      <c r="C4" s="8">
        <v>20.478950000000001</v>
      </c>
      <c r="D4" s="8">
        <v>74</v>
      </c>
      <c r="E4" s="8">
        <v>0</v>
      </c>
      <c r="F4" s="8">
        <v>0</v>
      </c>
      <c r="G4" s="8">
        <v>17</v>
      </c>
      <c r="H4" s="8" t="s">
        <v>50636</v>
      </c>
      <c r="I4" s="8">
        <v>533.25</v>
      </c>
      <c r="J4" s="3">
        <f t="shared" si="0"/>
        <v>43749.401574884258</v>
      </c>
    </row>
    <row r="5" spans="1:10" x14ac:dyDescent="0.25">
      <c r="A5" s="5" t="s">
        <v>50637</v>
      </c>
      <c r="B5" s="6">
        <v>393.75</v>
      </c>
      <c r="C5" s="6">
        <v>20.478950000000001</v>
      </c>
      <c r="D5" s="6">
        <v>73</v>
      </c>
      <c r="E5" s="6">
        <v>0</v>
      </c>
      <c r="F5" s="6">
        <v>0</v>
      </c>
      <c r="G5" s="6">
        <v>7</v>
      </c>
      <c r="H5" s="6" t="s">
        <v>50638</v>
      </c>
      <c r="I5" s="6">
        <v>526.6875</v>
      </c>
      <c r="J5" s="2">
        <f t="shared" si="0"/>
        <v>43749.401670659725</v>
      </c>
    </row>
    <row r="6" spans="1:10" x14ac:dyDescent="0.25">
      <c r="A6" s="7" t="s">
        <v>50639</v>
      </c>
      <c r="B6" s="8">
        <v>412.5</v>
      </c>
      <c r="C6" s="8">
        <v>20.478950000000001</v>
      </c>
      <c r="D6" s="8">
        <v>72</v>
      </c>
      <c r="E6" s="8">
        <v>0</v>
      </c>
      <c r="F6" s="8">
        <v>0</v>
      </c>
      <c r="G6" s="8">
        <v>5</v>
      </c>
      <c r="H6" s="8" t="s">
        <v>50640</v>
      </c>
      <c r="I6" s="8">
        <v>532.3125</v>
      </c>
      <c r="J6" s="3">
        <f t="shared" si="0"/>
        <v>43749.401754085644</v>
      </c>
    </row>
    <row r="7" spans="1:10" x14ac:dyDescent="0.25">
      <c r="A7" s="5" t="s">
        <v>50641</v>
      </c>
      <c r="B7" s="6">
        <v>393.75</v>
      </c>
      <c r="C7" s="6">
        <v>20.478950000000001</v>
      </c>
      <c r="D7" s="6">
        <v>71</v>
      </c>
      <c r="E7" s="6">
        <v>0</v>
      </c>
      <c r="F7" s="6">
        <v>0</v>
      </c>
      <c r="G7" s="6">
        <v>14</v>
      </c>
      <c r="H7" s="6" t="s">
        <v>50642</v>
      </c>
      <c r="I7" s="6">
        <v>526.6875</v>
      </c>
      <c r="J7" s="2">
        <f t="shared" si="0"/>
        <v>43749.40183766203</v>
      </c>
    </row>
    <row r="8" spans="1:10" x14ac:dyDescent="0.25">
      <c r="A8" s="7" t="s">
        <v>50643</v>
      </c>
      <c r="B8" s="8">
        <v>393.75</v>
      </c>
      <c r="C8" s="8">
        <v>20.478950000000001</v>
      </c>
      <c r="D8" s="8">
        <v>71</v>
      </c>
      <c r="E8" s="8">
        <v>0</v>
      </c>
      <c r="F8" s="8">
        <v>0</v>
      </c>
      <c r="G8" s="8">
        <v>11</v>
      </c>
      <c r="H8" s="8" t="s">
        <v>50644</v>
      </c>
      <c r="I8" s="8">
        <v>526.6875</v>
      </c>
      <c r="J8" s="3">
        <f t="shared" si="0"/>
        <v>43749.401921111108</v>
      </c>
    </row>
    <row r="9" spans="1:10" x14ac:dyDescent="0.25">
      <c r="A9" s="5" t="s">
        <v>50645</v>
      </c>
      <c r="B9" s="6">
        <v>393.75</v>
      </c>
      <c r="C9" s="6">
        <v>20.478950000000001</v>
      </c>
      <c r="D9" s="6">
        <v>71</v>
      </c>
      <c r="E9" s="6">
        <v>0</v>
      </c>
      <c r="F9" s="6">
        <v>0</v>
      </c>
      <c r="G9" s="6">
        <v>22</v>
      </c>
      <c r="H9" s="6" t="s">
        <v>50646</v>
      </c>
      <c r="I9" s="6">
        <v>526.6875</v>
      </c>
      <c r="J9" s="2">
        <f t="shared" si="0"/>
        <v>43749.40200465278</v>
      </c>
    </row>
    <row r="10" spans="1:10" x14ac:dyDescent="0.25">
      <c r="A10" s="7" t="s">
        <v>50647</v>
      </c>
      <c r="B10" s="8">
        <v>393.75</v>
      </c>
      <c r="C10" s="8">
        <v>20.478950000000001</v>
      </c>
      <c r="D10" s="8">
        <v>72</v>
      </c>
      <c r="E10" s="8">
        <v>0</v>
      </c>
      <c r="F10" s="8">
        <v>0</v>
      </c>
      <c r="G10" s="8">
        <v>14</v>
      </c>
      <c r="H10" s="8" t="s">
        <v>50648</v>
      </c>
      <c r="I10" s="8">
        <v>526.6875</v>
      </c>
      <c r="J10" s="3">
        <f t="shared" si="0"/>
        <v>43749.402076203703</v>
      </c>
    </row>
    <row r="11" spans="1:10" x14ac:dyDescent="0.25">
      <c r="A11" s="5" t="s">
        <v>50649</v>
      </c>
      <c r="B11" s="6">
        <v>412.5</v>
      </c>
      <c r="C11" s="6">
        <v>20.478950000000001</v>
      </c>
      <c r="D11" s="6">
        <v>72</v>
      </c>
      <c r="E11" s="6">
        <v>0</v>
      </c>
      <c r="F11" s="6">
        <v>0</v>
      </c>
      <c r="G11" s="6">
        <v>18</v>
      </c>
      <c r="H11" s="6" t="s">
        <v>50650</v>
      </c>
      <c r="I11" s="6">
        <v>532.125</v>
      </c>
      <c r="J11" s="2">
        <f t="shared" si="0"/>
        <v>43749.402159652775</v>
      </c>
    </row>
    <row r="12" spans="1:10" x14ac:dyDescent="0.25">
      <c r="A12" s="7" t="s">
        <v>50651</v>
      </c>
      <c r="B12" s="8">
        <v>393.75</v>
      </c>
      <c r="C12" s="8">
        <v>20.478950000000001</v>
      </c>
      <c r="D12" s="8">
        <v>72</v>
      </c>
      <c r="E12" s="8">
        <v>0</v>
      </c>
      <c r="F12" s="8">
        <v>0</v>
      </c>
      <c r="G12" s="8">
        <v>19</v>
      </c>
      <c r="H12" s="8" t="s">
        <v>50652</v>
      </c>
      <c r="I12" s="8">
        <v>526.6875</v>
      </c>
      <c r="J12" s="3">
        <f t="shared" si="0"/>
        <v>43749.40224322916</v>
      </c>
    </row>
    <row r="13" spans="1:10" x14ac:dyDescent="0.25">
      <c r="A13" s="5" t="s">
        <v>50653</v>
      </c>
      <c r="B13" s="6">
        <v>393.75</v>
      </c>
      <c r="C13" s="6">
        <v>20.478950000000001</v>
      </c>
      <c r="D13" s="6">
        <v>74</v>
      </c>
      <c r="E13" s="6">
        <v>0</v>
      </c>
      <c r="F13" s="6">
        <v>0</v>
      </c>
      <c r="G13" s="6">
        <v>16</v>
      </c>
      <c r="H13" s="6" t="s">
        <v>50654</v>
      </c>
      <c r="I13" s="6">
        <v>526.6875</v>
      </c>
      <c r="J13" s="2">
        <f t="shared" si="0"/>
        <v>43749.402326898147</v>
      </c>
    </row>
    <row r="14" spans="1:10" x14ac:dyDescent="0.25">
      <c r="A14" s="7" t="s">
        <v>50655</v>
      </c>
      <c r="B14" s="8">
        <v>393.75</v>
      </c>
      <c r="C14" s="8">
        <v>20.478950000000001</v>
      </c>
      <c r="D14" s="8">
        <v>75</v>
      </c>
      <c r="E14" s="8">
        <v>0</v>
      </c>
      <c r="F14" s="8">
        <v>0</v>
      </c>
      <c r="G14" s="8">
        <v>9</v>
      </c>
      <c r="H14" s="8" t="s">
        <v>50656</v>
      </c>
      <c r="I14" s="8">
        <v>526.6875</v>
      </c>
      <c r="J14" s="3">
        <f t="shared" si="0"/>
        <v>43749.402410104165</v>
      </c>
    </row>
    <row r="15" spans="1:10" x14ac:dyDescent="0.25">
      <c r="A15" s="5" t="s">
        <v>50657</v>
      </c>
      <c r="B15" s="6">
        <v>393.75</v>
      </c>
      <c r="C15" s="6">
        <v>20.478950000000001</v>
      </c>
      <c r="D15" s="6">
        <v>75</v>
      </c>
      <c r="E15" s="6">
        <v>0</v>
      </c>
      <c r="F15" s="6">
        <v>0</v>
      </c>
      <c r="G15" s="6">
        <v>11</v>
      </c>
      <c r="H15" s="6" t="s">
        <v>50658</v>
      </c>
      <c r="I15" s="6">
        <v>526.6875</v>
      </c>
      <c r="J15" s="2">
        <f t="shared" si="0"/>
        <v>43749.40249346065</v>
      </c>
    </row>
    <row r="16" spans="1:10" x14ac:dyDescent="0.25">
      <c r="A16" s="7" t="s">
        <v>50659</v>
      </c>
      <c r="B16" s="8">
        <v>393.75</v>
      </c>
      <c r="C16" s="8">
        <v>20.478950000000001</v>
      </c>
      <c r="D16" s="8">
        <v>75</v>
      </c>
      <c r="E16" s="8">
        <v>0</v>
      </c>
      <c r="F16" s="8">
        <v>0</v>
      </c>
      <c r="G16" s="8">
        <v>14</v>
      </c>
      <c r="H16" s="8" t="s">
        <v>50660</v>
      </c>
      <c r="I16" s="8">
        <v>526.6875</v>
      </c>
      <c r="J16" s="3">
        <f t="shared" si="0"/>
        <v>43749.402581006943</v>
      </c>
    </row>
    <row r="17" spans="1:10" x14ac:dyDescent="0.25">
      <c r="A17" s="5" t="s">
        <v>50661</v>
      </c>
      <c r="B17" s="6">
        <v>393.75</v>
      </c>
      <c r="C17" s="6">
        <v>20.478950000000001</v>
      </c>
      <c r="D17" s="6">
        <v>75</v>
      </c>
      <c r="E17" s="6">
        <v>0</v>
      </c>
      <c r="F17" s="6">
        <v>0</v>
      </c>
      <c r="G17" s="6">
        <v>8</v>
      </c>
      <c r="H17" s="6" t="s">
        <v>50662</v>
      </c>
      <c r="I17" s="6">
        <v>526.6875</v>
      </c>
      <c r="J17" s="2">
        <f t="shared" si="0"/>
        <v>43749.402660243053</v>
      </c>
    </row>
    <row r="18" spans="1:10" x14ac:dyDescent="0.25">
      <c r="A18" s="7" t="s">
        <v>50663</v>
      </c>
      <c r="B18" s="8">
        <v>412.5</v>
      </c>
      <c r="C18" s="8">
        <v>20.478950000000001</v>
      </c>
      <c r="D18" s="8">
        <v>74</v>
      </c>
      <c r="E18" s="8">
        <v>0</v>
      </c>
      <c r="F18" s="8">
        <v>0</v>
      </c>
      <c r="G18" s="8">
        <v>9</v>
      </c>
      <c r="H18" s="8" t="s">
        <v>50664</v>
      </c>
      <c r="I18" s="8">
        <v>532.3125</v>
      </c>
      <c r="J18" s="3">
        <f t="shared" si="0"/>
        <v>43749.402744143517</v>
      </c>
    </row>
    <row r="19" spans="1:10" x14ac:dyDescent="0.25">
      <c r="A19" s="5" t="s">
        <v>50665</v>
      </c>
      <c r="B19" s="6">
        <v>393.75</v>
      </c>
      <c r="C19" s="6">
        <v>20.478950000000001</v>
      </c>
      <c r="D19" s="6">
        <v>75</v>
      </c>
      <c r="E19" s="6">
        <v>0</v>
      </c>
      <c r="F19" s="6">
        <v>0</v>
      </c>
      <c r="G19" s="6">
        <v>22</v>
      </c>
      <c r="H19" s="6" t="s">
        <v>50666</v>
      </c>
      <c r="I19" s="6">
        <v>526.6875</v>
      </c>
      <c r="J19" s="2">
        <f t="shared" si="0"/>
        <v>43749.402815902773</v>
      </c>
    </row>
    <row r="20" spans="1:10" x14ac:dyDescent="0.25">
      <c r="A20" s="7" t="s">
        <v>50667</v>
      </c>
      <c r="B20" s="8">
        <v>393.75</v>
      </c>
      <c r="C20" s="8">
        <v>20.478950000000001</v>
      </c>
      <c r="D20" s="8">
        <v>80</v>
      </c>
      <c r="E20" s="8">
        <v>0</v>
      </c>
      <c r="F20" s="8">
        <v>0</v>
      </c>
      <c r="G20" s="8">
        <v>22</v>
      </c>
      <c r="H20" s="8" t="s">
        <v>50668</v>
      </c>
      <c r="I20" s="8">
        <v>526.5</v>
      </c>
      <c r="J20" s="3">
        <f t="shared" si="0"/>
        <v>43749.402899131943</v>
      </c>
    </row>
    <row r="21" spans="1:10" x14ac:dyDescent="0.25">
      <c r="A21" s="5" t="s">
        <v>50669</v>
      </c>
      <c r="B21" s="6">
        <v>393.75</v>
      </c>
      <c r="C21" s="6">
        <v>20.478950000000001</v>
      </c>
      <c r="D21" s="6">
        <v>80</v>
      </c>
      <c r="E21" s="6">
        <v>0</v>
      </c>
      <c r="F21" s="6">
        <v>0</v>
      </c>
      <c r="G21" s="6">
        <v>26</v>
      </c>
      <c r="H21" s="6" t="s">
        <v>50670</v>
      </c>
      <c r="I21" s="6">
        <v>526.6875</v>
      </c>
      <c r="J21" s="2">
        <f t="shared" si="0"/>
        <v>43749.402982337961</v>
      </c>
    </row>
    <row r="22" spans="1:10" x14ac:dyDescent="0.25">
      <c r="A22" s="7" t="s">
        <v>50671</v>
      </c>
      <c r="B22" s="8">
        <v>393.75</v>
      </c>
      <c r="C22" s="8">
        <v>20.426300000000001</v>
      </c>
      <c r="D22" s="8">
        <v>80</v>
      </c>
      <c r="E22" s="8">
        <v>0</v>
      </c>
      <c r="F22" s="8">
        <v>0</v>
      </c>
      <c r="G22" s="8">
        <v>16</v>
      </c>
      <c r="H22" s="8" t="s">
        <v>50672</v>
      </c>
      <c r="I22" s="8">
        <v>526.6875</v>
      </c>
      <c r="J22" s="3">
        <f t="shared" si="0"/>
        <v>43749.403054108792</v>
      </c>
    </row>
    <row r="23" spans="1:10" x14ac:dyDescent="0.25">
      <c r="A23" s="5" t="s">
        <v>50673</v>
      </c>
      <c r="B23" s="6">
        <v>396.875</v>
      </c>
      <c r="C23" s="6">
        <v>20.478950000000001</v>
      </c>
      <c r="D23" s="6">
        <v>80</v>
      </c>
      <c r="E23" s="6">
        <v>0</v>
      </c>
      <c r="F23" s="6">
        <v>0</v>
      </c>
      <c r="G23" s="6">
        <v>24</v>
      </c>
      <c r="H23" s="6" t="s">
        <v>50674</v>
      </c>
      <c r="I23" s="6">
        <v>527.4375</v>
      </c>
      <c r="J23" s="2">
        <f t="shared" si="0"/>
        <v>43749.403137650464</v>
      </c>
    </row>
    <row r="24" spans="1:10" x14ac:dyDescent="0.25">
      <c r="A24" s="7" t="s">
        <v>50675</v>
      </c>
      <c r="B24" s="8">
        <v>396.875</v>
      </c>
      <c r="C24" s="8">
        <v>20.478950000000001</v>
      </c>
      <c r="D24" s="8">
        <v>79</v>
      </c>
      <c r="E24" s="8">
        <v>0</v>
      </c>
      <c r="F24" s="8">
        <v>0</v>
      </c>
      <c r="G24" s="8">
        <v>25</v>
      </c>
      <c r="H24" s="8" t="s">
        <v>50676</v>
      </c>
      <c r="I24" s="8">
        <v>527.4375</v>
      </c>
      <c r="J24" s="3">
        <f t="shared" si="0"/>
        <v>43749.40322112268</v>
      </c>
    </row>
    <row r="25" spans="1:10" x14ac:dyDescent="0.25">
      <c r="A25" s="5" t="s">
        <v>50677</v>
      </c>
      <c r="B25" s="6">
        <v>396.875</v>
      </c>
      <c r="C25" s="6">
        <v>20.478950000000001</v>
      </c>
      <c r="D25" s="6">
        <v>79</v>
      </c>
      <c r="E25" s="6">
        <v>0</v>
      </c>
      <c r="F25" s="6">
        <v>0</v>
      </c>
      <c r="G25" s="6">
        <v>26</v>
      </c>
      <c r="H25" s="6" t="s">
        <v>50678</v>
      </c>
      <c r="I25" s="6">
        <v>527.4375</v>
      </c>
      <c r="J25" s="2">
        <f t="shared" si="0"/>
        <v>43749.403304548607</v>
      </c>
    </row>
    <row r="26" spans="1:10" x14ac:dyDescent="0.25">
      <c r="A26" s="7" t="s">
        <v>50679</v>
      </c>
      <c r="B26" s="8">
        <v>396.875</v>
      </c>
      <c r="C26" s="8">
        <v>20.478950000000001</v>
      </c>
      <c r="D26" s="8">
        <v>78</v>
      </c>
      <c r="E26" s="8">
        <v>0</v>
      </c>
      <c r="F26" s="8">
        <v>0</v>
      </c>
      <c r="G26" s="8">
        <v>25</v>
      </c>
      <c r="H26" s="8" t="s">
        <v>50680</v>
      </c>
      <c r="I26" s="8">
        <v>527.4375</v>
      </c>
      <c r="J26" s="3">
        <f t="shared" si="0"/>
        <v>43749.403388136569</v>
      </c>
    </row>
    <row r="27" spans="1:10" x14ac:dyDescent="0.25">
      <c r="A27" s="5" t="s">
        <v>50681</v>
      </c>
      <c r="B27" s="6">
        <v>393.75</v>
      </c>
      <c r="C27" s="6">
        <v>20.478950000000001</v>
      </c>
      <c r="D27" s="6">
        <v>78</v>
      </c>
      <c r="E27" s="6">
        <v>0</v>
      </c>
      <c r="F27" s="6">
        <v>0</v>
      </c>
      <c r="G27" s="6">
        <v>27</v>
      </c>
      <c r="H27" s="6" t="s">
        <v>50682</v>
      </c>
      <c r="I27" s="6">
        <v>526.6875</v>
      </c>
      <c r="J27" s="2">
        <f t="shared" si="0"/>
        <v>43749.403471342586</v>
      </c>
    </row>
    <row r="28" spans="1:10" x14ac:dyDescent="0.25">
      <c r="A28" s="7" t="s">
        <v>50683</v>
      </c>
      <c r="B28" s="8">
        <v>415.625</v>
      </c>
      <c r="C28" s="8">
        <v>20.478950000000001</v>
      </c>
      <c r="D28" s="8">
        <v>78</v>
      </c>
      <c r="E28" s="8">
        <v>0</v>
      </c>
      <c r="F28" s="8">
        <v>0</v>
      </c>
      <c r="G28" s="8">
        <v>27</v>
      </c>
      <c r="H28" s="8" t="s">
        <v>50684</v>
      </c>
      <c r="I28" s="8">
        <v>533.25</v>
      </c>
      <c r="J28" s="3">
        <f t="shared" si="0"/>
        <v>43749.403554965276</v>
      </c>
    </row>
    <row r="29" spans="1:10" x14ac:dyDescent="0.25">
      <c r="A29" s="5" t="s">
        <v>50685</v>
      </c>
      <c r="B29" s="6">
        <v>393.75</v>
      </c>
      <c r="C29" s="6">
        <v>20.478950000000001</v>
      </c>
      <c r="D29" s="6">
        <v>77</v>
      </c>
      <c r="E29" s="6">
        <v>0</v>
      </c>
      <c r="F29" s="6">
        <v>0</v>
      </c>
      <c r="G29" s="6">
        <v>28</v>
      </c>
      <c r="H29" s="6" t="s">
        <v>50686</v>
      </c>
      <c r="I29" s="6">
        <v>526.5</v>
      </c>
      <c r="J29" s="2">
        <f t="shared" si="0"/>
        <v>43749.403638715274</v>
      </c>
    </row>
    <row r="30" spans="1:10" x14ac:dyDescent="0.25">
      <c r="A30" s="7" t="s">
        <v>50687</v>
      </c>
      <c r="B30" s="8">
        <v>393.75</v>
      </c>
      <c r="C30" s="8">
        <v>20.478950000000001</v>
      </c>
      <c r="D30" s="8">
        <v>77</v>
      </c>
      <c r="E30" s="8">
        <v>0</v>
      </c>
      <c r="F30" s="8">
        <v>0</v>
      </c>
      <c r="G30" s="8">
        <v>16</v>
      </c>
      <c r="H30" s="8" t="s">
        <v>50688</v>
      </c>
      <c r="I30" s="8">
        <v>526.6875</v>
      </c>
      <c r="J30" s="3">
        <f t="shared" si="0"/>
        <v>43749.403710115737</v>
      </c>
    </row>
    <row r="31" spans="1:10" x14ac:dyDescent="0.25">
      <c r="A31" s="5" t="s">
        <v>50689</v>
      </c>
      <c r="B31" s="6">
        <v>393.75</v>
      </c>
      <c r="C31" s="6">
        <v>20.478950000000001</v>
      </c>
      <c r="D31" s="6">
        <v>75</v>
      </c>
      <c r="E31" s="6">
        <v>0</v>
      </c>
      <c r="F31" s="6">
        <v>0</v>
      </c>
      <c r="G31" s="6">
        <v>27</v>
      </c>
      <c r="H31" s="6" t="s">
        <v>50690</v>
      </c>
      <c r="I31" s="6">
        <v>526.6875</v>
      </c>
      <c r="J31" s="2">
        <f t="shared" si="0"/>
        <v>43749.403793460646</v>
      </c>
    </row>
    <row r="32" spans="1:10" x14ac:dyDescent="0.25">
      <c r="A32" s="7" t="s">
        <v>50691</v>
      </c>
      <c r="B32" s="8">
        <v>393.75</v>
      </c>
      <c r="C32" s="8">
        <v>20.478950000000001</v>
      </c>
      <c r="D32" s="8">
        <v>77</v>
      </c>
      <c r="E32" s="8">
        <v>0</v>
      </c>
      <c r="F32" s="8">
        <v>0</v>
      </c>
      <c r="G32" s="8">
        <v>28</v>
      </c>
      <c r="H32" s="8" t="s">
        <v>50692</v>
      </c>
      <c r="I32" s="8">
        <v>526.6875</v>
      </c>
      <c r="J32" s="3">
        <f t="shared" si="0"/>
        <v>43749.403877129625</v>
      </c>
    </row>
    <row r="33" spans="1:10" x14ac:dyDescent="0.25">
      <c r="A33" s="5" t="s">
        <v>50693</v>
      </c>
      <c r="B33" s="6">
        <v>415.625</v>
      </c>
      <c r="C33" s="6">
        <v>20.478950000000001</v>
      </c>
      <c r="D33" s="6">
        <v>76</v>
      </c>
      <c r="E33" s="6">
        <v>0</v>
      </c>
      <c r="F33" s="6">
        <v>0</v>
      </c>
      <c r="G33" s="6">
        <v>29</v>
      </c>
      <c r="H33" s="6" t="s">
        <v>50694</v>
      </c>
      <c r="I33" s="6">
        <v>533.0625</v>
      </c>
      <c r="J33" s="2">
        <f t="shared" si="0"/>
        <v>43749.403960243049</v>
      </c>
    </row>
    <row r="34" spans="1:10" x14ac:dyDescent="0.25">
      <c r="A34" s="7" t="s">
        <v>50695</v>
      </c>
      <c r="B34" s="8">
        <v>393.75</v>
      </c>
      <c r="C34" s="8">
        <v>20.478950000000001</v>
      </c>
      <c r="D34" s="8">
        <v>75</v>
      </c>
      <c r="E34" s="8">
        <v>0</v>
      </c>
      <c r="F34" s="8">
        <v>0</v>
      </c>
      <c r="G34" s="8">
        <v>30</v>
      </c>
      <c r="H34" s="8" t="s">
        <v>50696</v>
      </c>
      <c r="I34" s="8">
        <v>526.6875</v>
      </c>
      <c r="J34" s="3">
        <f t="shared" si="0"/>
        <v>43749.404032569444</v>
      </c>
    </row>
    <row r="35" spans="1:10" x14ac:dyDescent="0.25">
      <c r="A35" s="5" t="s">
        <v>50697</v>
      </c>
      <c r="B35" s="6">
        <v>393.75</v>
      </c>
      <c r="C35" s="6">
        <v>20.478950000000001</v>
      </c>
      <c r="D35" s="6">
        <v>75</v>
      </c>
      <c r="E35" s="6">
        <v>0</v>
      </c>
      <c r="F35" s="6">
        <v>0</v>
      </c>
      <c r="G35" s="6">
        <v>25</v>
      </c>
      <c r="H35" s="6" t="s">
        <v>50698</v>
      </c>
      <c r="I35" s="6">
        <v>526.6875</v>
      </c>
      <c r="J35" s="2">
        <f t="shared" si="0"/>
        <v>43749.4041039699</v>
      </c>
    </row>
    <row r="36" spans="1:10" x14ac:dyDescent="0.25">
      <c r="A36" s="7" t="s">
        <v>50699</v>
      </c>
      <c r="B36" s="8">
        <v>393.75</v>
      </c>
      <c r="C36" s="8">
        <v>20.478950000000001</v>
      </c>
      <c r="D36" s="8">
        <v>75</v>
      </c>
      <c r="E36" s="8">
        <v>0</v>
      </c>
      <c r="F36" s="8">
        <v>0</v>
      </c>
      <c r="G36" s="8">
        <v>28</v>
      </c>
      <c r="H36" s="8" t="s">
        <v>50700</v>
      </c>
      <c r="I36" s="8">
        <v>526.5</v>
      </c>
      <c r="J36" s="3">
        <f t="shared" si="0"/>
        <v>43749.40418719907</v>
      </c>
    </row>
    <row r="37" spans="1:10" x14ac:dyDescent="0.25">
      <c r="A37" s="5" t="s">
        <v>50701</v>
      </c>
      <c r="B37" s="6">
        <v>393.75</v>
      </c>
      <c r="C37" s="6">
        <v>20.478950000000001</v>
      </c>
      <c r="D37" s="6">
        <v>75</v>
      </c>
      <c r="E37" s="6">
        <v>0</v>
      </c>
      <c r="F37" s="6">
        <v>0</v>
      </c>
      <c r="G37" s="6">
        <v>32</v>
      </c>
      <c r="H37" s="6" t="s">
        <v>50702</v>
      </c>
      <c r="I37" s="6">
        <v>526.6875</v>
      </c>
      <c r="J37" s="2">
        <f t="shared" si="0"/>
        <v>43749.404270763887</v>
      </c>
    </row>
    <row r="38" spans="1:10" x14ac:dyDescent="0.25">
      <c r="A38" s="7" t="s">
        <v>50703</v>
      </c>
      <c r="B38" s="8">
        <v>393.75</v>
      </c>
      <c r="C38" s="8">
        <v>20.478950000000001</v>
      </c>
      <c r="D38" s="8">
        <v>75</v>
      </c>
      <c r="E38" s="8">
        <v>0</v>
      </c>
      <c r="F38" s="8">
        <v>0</v>
      </c>
      <c r="G38" s="8">
        <v>29</v>
      </c>
      <c r="H38" s="8" t="s">
        <v>50704</v>
      </c>
      <c r="I38" s="8">
        <v>526.6875</v>
      </c>
      <c r="J38" s="3">
        <f t="shared" si="0"/>
        <v>43749.404366342591</v>
      </c>
    </row>
    <row r="39" spans="1:10" x14ac:dyDescent="0.25">
      <c r="A39" s="5" t="s">
        <v>50705</v>
      </c>
      <c r="B39" s="6">
        <v>393.75</v>
      </c>
      <c r="C39" s="6">
        <v>20.478950000000001</v>
      </c>
      <c r="D39" s="6">
        <v>76</v>
      </c>
      <c r="E39" s="6">
        <v>0</v>
      </c>
      <c r="F39" s="6">
        <v>0</v>
      </c>
      <c r="G39" s="6">
        <v>26</v>
      </c>
      <c r="H39" s="6" t="s">
        <v>50706</v>
      </c>
      <c r="I39" s="6">
        <v>526.5</v>
      </c>
      <c r="J39" s="2">
        <f t="shared" si="0"/>
        <v>43749.404449664355</v>
      </c>
    </row>
    <row r="40" spans="1:10" x14ac:dyDescent="0.25">
      <c r="A40" s="7" t="s">
        <v>50707</v>
      </c>
      <c r="B40" s="8">
        <v>393.75</v>
      </c>
      <c r="C40" s="8">
        <v>20.478950000000001</v>
      </c>
      <c r="D40" s="8">
        <v>76</v>
      </c>
      <c r="E40" s="8">
        <v>0</v>
      </c>
      <c r="F40" s="8">
        <v>0</v>
      </c>
      <c r="G40" s="8">
        <v>14</v>
      </c>
      <c r="H40" s="8" t="s">
        <v>50708</v>
      </c>
      <c r="I40" s="8">
        <v>526.6875</v>
      </c>
      <c r="J40" s="3">
        <f t="shared" si="0"/>
        <v>43749.404521215278</v>
      </c>
    </row>
    <row r="41" spans="1:10" x14ac:dyDescent="0.25">
      <c r="A41" s="5" t="s">
        <v>50709</v>
      </c>
      <c r="B41" s="6">
        <v>393.75</v>
      </c>
      <c r="C41" s="6">
        <v>20.478950000000001</v>
      </c>
      <c r="D41" s="6">
        <v>76</v>
      </c>
      <c r="E41" s="6">
        <v>0</v>
      </c>
      <c r="F41" s="6">
        <v>0</v>
      </c>
      <c r="G41" s="6">
        <v>21</v>
      </c>
      <c r="H41" s="6" t="s">
        <v>50710</v>
      </c>
      <c r="I41" s="6">
        <v>526.6875</v>
      </c>
      <c r="J41" s="2">
        <f t="shared" si="0"/>
        <v>43749.404604525458</v>
      </c>
    </row>
    <row r="42" spans="1:10" x14ac:dyDescent="0.25">
      <c r="A42" s="7" t="s">
        <v>50711</v>
      </c>
      <c r="B42" s="8">
        <v>393.75</v>
      </c>
      <c r="C42" s="8">
        <v>20.478950000000001</v>
      </c>
      <c r="D42" s="8">
        <v>77</v>
      </c>
      <c r="E42" s="8">
        <v>0</v>
      </c>
      <c r="F42" s="8">
        <v>0</v>
      </c>
      <c r="G42" s="8">
        <v>21</v>
      </c>
      <c r="H42" s="8" t="s">
        <v>50712</v>
      </c>
      <c r="I42" s="8">
        <v>526.6875</v>
      </c>
      <c r="J42" s="3">
        <f t="shared" si="0"/>
        <v>43749.404688101851</v>
      </c>
    </row>
    <row r="43" spans="1:10" x14ac:dyDescent="0.25">
      <c r="A43" s="5" t="s">
        <v>50713</v>
      </c>
      <c r="B43" s="6">
        <v>393.75</v>
      </c>
      <c r="C43" s="6">
        <v>20.478950000000001</v>
      </c>
      <c r="D43" s="6">
        <v>77</v>
      </c>
      <c r="E43" s="6">
        <v>0</v>
      </c>
      <c r="F43" s="6">
        <v>0</v>
      </c>
      <c r="G43" s="6">
        <v>27</v>
      </c>
      <c r="H43" s="6" t="s">
        <v>50714</v>
      </c>
      <c r="I43" s="6">
        <v>526.6875</v>
      </c>
      <c r="J43" s="2">
        <f t="shared" si="0"/>
        <v>43749.404771307869</v>
      </c>
    </row>
    <row r="44" spans="1:10" x14ac:dyDescent="0.25">
      <c r="A44" s="7" t="s">
        <v>50715</v>
      </c>
      <c r="B44" s="8">
        <v>393.75</v>
      </c>
      <c r="C44" s="8">
        <v>20.478950000000001</v>
      </c>
      <c r="D44" s="8">
        <v>77</v>
      </c>
      <c r="E44" s="8">
        <v>0</v>
      </c>
      <c r="F44" s="8">
        <v>0</v>
      </c>
      <c r="G44" s="8">
        <v>35</v>
      </c>
      <c r="H44" s="8" t="s">
        <v>50716</v>
      </c>
      <c r="I44" s="8">
        <v>526.5</v>
      </c>
      <c r="J44" s="3">
        <f t="shared" si="0"/>
        <v>43749.404842974538</v>
      </c>
    </row>
    <row r="45" spans="1:10" x14ac:dyDescent="0.25">
      <c r="A45" s="5" t="s">
        <v>50717</v>
      </c>
      <c r="B45" s="6">
        <v>393.75</v>
      </c>
      <c r="C45" s="6">
        <v>20.478950000000001</v>
      </c>
      <c r="D45" s="6">
        <v>77</v>
      </c>
      <c r="E45" s="6">
        <v>0</v>
      </c>
      <c r="F45" s="6">
        <v>0</v>
      </c>
      <c r="G45" s="6">
        <v>25</v>
      </c>
      <c r="H45" s="6" t="s">
        <v>50718</v>
      </c>
      <c r="I45" s="6">
        <v>526.5</v>
      </c>
      <c r="J45" s="2">
        <f t="shared" si="0"/>
        <v>43749.404926886571</v>
      </c>
    </row>
    <row r="46" spans="1:10" x14ac:dyDescent="0.25">
      <c r="A46" s="7" t="s">
        <v>50719</v>
      </c>
      <c r="B46" s="8">
        <v>412.5</v>
      </c>
      <c r="C46" s="8">
        <v>20.478950000000001</v>
      </c>
      <c r="D46" s="8">
        <v>76</v>
      </c>
      <c r="E46" s="8">
        <v>0</v>
      </c>
      <c r="F46" s="8">
        <v>0</v>
      </c>
      <c r="G46" s="8">
        <v>16</v>
      </c>
      <c r="H46" s="8" t="s">
        <v>50720</v>
      </c>
      <c r="I46" s="8">
        <v>532.5</v>
      </c>
      <c r="J46" s="3">
        <f t="shared" si="0"/>
        <v>43749.405010092589</v>
      </c>
    </row>
    <row r="47" spans="1:10" x14ac:dyDescent="0.25">
      <c r="A47" s="5" t="s">
        <v>50721</v>
      </c>
      <c r="B47" s="6">
        <v>393.75</v>
      </c>
      <c r="C47" s="6">
        <v>20.478950000000001</v>
      </c>
      <c r="D47" s="6">
        <v>76</v>
      </c>
      <c r="E47" s="6">
        <v>0</v>
      </c>
      <c r="F47" s="6">
        <v>0</v>
      </c>
      <c r="G47" s="6">
        <v>24</v>
      </c>
      <c r="H47" s="6" t="s">
        <v>50722</v>
      </c>
      <c r="I47" s="6">
        <v>526.6875</v>
      </c>
      <c r="J47" s="2">
        <f t="shared" si="0"/>
        <v>43749.405093449073</v>
      </c>
    </row>
    <row r="48" spans="1:10" x14ac:dyDescent="0.25">
      <c r="A48" s="7" t="s">
        <v>50723</v>
      </c>
      <c r="B48" s="8">
        <v>393.75</v>
      </c>
      <c r="C48" s="8">
        <v>20.478950000000001</v>
      </c>
      <c r="D48" s="8">
        <v>76</v>
      </c>
      <c r="E48" s="8">
        <v>0</v>
      </c>
      <c r="F48" s="8">
        <v>0</v>
      </c>
      <c r="G48" s="8">
        <v>20</v>
      </c>
      <c r="H48" s="8" t="s">
        <v>50724</v>
      </c>
      <c r="I48" s="8">
        <v>526.6875</v>
      </c>
      <c r="J48" s="3">
        <f t="shared" si="0"/>
        <v>43749.405193715276</v>
      </c>
    </row>
    <row r="49" spans="1:10" x14ac:dyDescent="0.25">
      <c r="A49" s="5" t="s">
        <v>50725</v>
      </c>
      <c r="B49" s="6">
        <v>393.75</v>
      </c>
      <c r="C49" s="6">
        <v>20.478950000000001</v>
      </c>
      <c r="D49" s="6">
        <v>75</v>
      </c>
      <c r="E49" s="6">
        <v>0</v>
      </c>
      <c r="F49" s="6">
        <v>0</v>
      </c>
      <c r="G49" s="6">
        <v>21</v>
      </c>
      <c r="H49" s="6" t="s">
        <v>50726</v>
      </c>
      <c r="I49" s="6">
        <v>526.6875</v>
      </c>
      <c r="J49" s="2">
        <f t="shared" si="0"/>
        <v>43749.405272604163</v>
      </c>
    </row>
    <row r="50" spans="1:10" x14ac:dyDescent="0.25">
      <c r="A50" s="7" t="s">
        <v>50727</v>
      </c>
      <c r="B50" s="8">
        <v>412.5</v>
      </c>
      <c r="C50" s="8">
        <v>20.478950000000001</v>
      </c>
      <c r="D50" s="8">
        <v>75</v>
      </c>
      <c r="E50" s="8">
        <v>0</v>
      </c>
      <c r="F50" s="8">
        <v>0</v>
      </c>
      <c r="G50" s="8">
        <v>23</v>
      </c>
      <c r="H50" s="8" t="s">
        <v>50728</v>
      </c>
      <c r="I50" s="8">
        <v>532.875</v>
      </c>
      <c r="J50" s="3">
        <f t="shared" si="0"/>
        <v>43749.405356041665</v>
      </c>
    </row>
    <row r="51" spans="1:10" x14ac:dyDescent="0.25">
      <c r="A51" s="5" t="s">
        <v>50729</v>
      </c>
      <c r="B51" s="6">
        <v>393.75</v>
      </c>
      <c r="C51" s="6">
        <v>20.478950000000001</v>
      </c>
      <c r="D51" s="6">
        <v>77</v>
      </c>
      <c r="E51" s="6">
        <v>0</v>
      </c>
      <c r="F51" s="6">
        <v>0</v>
      </c>
      <c r="G51" s="6">
        <v>14</v>
      </c>
      <c r="H51" s="6" t="s">
        <v>50730</v>
      </c>
      <c r="I51" s="6">
        <v>526.6875</v>
      </c>
      <c r="J51" s="2">
        <f t="shared" si="0"/>
        <v>43749.405439490736</v>
      </c>
    </row>
    <row r="52" spans="1:10" x14ac:dyDescent="0.25">
      <c r="A52" s="7" t="s">
        <v>50731</v>
      </c>
      <c r="B52" s="8">
        <v>393.75</v>
      </c>
      <c r="C52" s="8">
        <v>20.478950000000001</v>
      </c>
      <c r="D52" s="8">
        <v>75</v>
      </c>
      <c r="E52" s="8">
        <v>0</v>
      </c>
      <c r="F52" s="8">
        <v>0</v>
      </c>
      <c r="G52" s="8">
        <v>18</v>
      </c>
      <c r="H52" s="8" t="s">
        <v>50732</v>
      </c>
      <c r="I52" s="8">
        <v>526.6875</v>
      </c>
      <c r="J52" s="3">
        <f t="shared" si="0"/>
        <v>43749.405523043977</v>
      </c>
    </row>
    <row r="53" spans="1:10" x14ac:dyDescent="0.25">
      <c r="A53" s="5" t="s">
        <v>50733</v>
      </c>
      <c r="B53" s="6">
        <v>393.75</v>
      </c>
      <c r="C53" s="6">
        <v>20.478950000000001</v>
      </c>
      <c r="D53" s="6">
        <v>75</v>
      </c>
      <c r="E53" s="6">
        <v>0</v>
      </c>
      <c r="F53" s="6">
        <v>0</v>
      </c>
      <c r="G53" s="6">
        <v>17</v>
      </c>
      <c r="H53" s="6" t="s">
        <v>50734</v>
      </c>
      <c r="I53" s="6">
        <v>526.6875</v>
      </c>
      <c r="J53" s="2">
        <f t="shared" si="0"/>
        <v>43749.4056065162</v>
      </c>
    </row>
    <row r="54" spans="1:10" x14ac:dyDescent="0.25">
      <c r="A54" s="7" t="s">
        <v>50735</v>
      </c>
      <c r="B54" s="8">
        <v>393.75</v>
      </c>
      <c r="C54" s="8">
        <v>20.478950000000001</v>
      </c>
      <c r="D54" s="8">
        <v>75</v>
      </c>
      <c r="E54" s="8">
        <v>0</v>
      </c>
      <c r="F54" s="8">
        <v>0</v>
      </c>
      <c r="G54" s="8">
        <v>15</v>
      </c>
      <c r="H54" s="8" t="s">
        <v>50736</v>
      </c>
      <c r="I54" s="8">
        <v>526.6875</v>
      </c>
      <c r="J54" s="3">
        <f t="shared" si="0"/>
        <v>43749.405689710642</v>
      </c>
    </row>
    <row r="55" spans="1:10" x14ac:dyDescent="0.25">
      <c r="A55" s="5" t="s">
        <v>50737</v>
      </c>
      <c r="B55" s="6">
        <v>393.75</v>
      </c>
      <c r="C55" s="6">
        <v>20.478950000000001</v>
      </c>
      <c r="D55" s="6">
        <v>75</v>
      </c>
      <c r="E55" s="6">
        <v>0</v>
      </c>
      <c r="F55" s="6">
        <v>0</v>
      </c>
      <c r="G55" s="6">
        <v>15</v>
      </c>
      <c r="H55" s="6" t="s">
        <v>50738</v>
      </c>
      <c r="I55" s="6">
        <v>526.6875</v>
      </c>
      <c r="J55" s="2">
        <f t="shared" si="0"/>
        <v>43749.405761481474</v>
      </c>
    </row>
    <row r="56" spans="1:10" x14ac:dyDescent="0.25">
      <c r="A56" s="7" t="s">
        <v>50739</v>
      </c>
      <c r="B56" s="8">
        <v>393.75</v>
      </c>
      <c r="C56" s="8">
        <v>20.478950000000001</v>
      </c>
      <c r="D56" s="8">
        <v>76</v>
      </c>
      <c r="E56" s="8">
        <v>0</v>
      </c>
      <c r="F56" s="8">
        <v>0</v>
      </c>
      <c r="G56" s="8">
        <v>16</v>
      </c>
      <c r="H56" s="8" t="s">
        <v>50740</v>
      </c>
      <c r="I56" s="8">
        <v>526.6875</v>
      </c>
      <c r="J56" s="3">
        <f t="shared" si="0"/>
        <v>43749.405845046298</v>
      </c>
    </row>
    <row r="57" spans="1:10" x14ac:dyDescent="0.25">
      <c r="A57" s="5" t="s">
        <v>50741</v>
      </c>
      <c r="B57" s="6">
        <v>393.75</v>
      </c>
      <c r="C57" s="6">
        <v>20.478950000000001</v>
      </c>
      <c r="D57" s="6">
        <v>75</v>
      </c>
      <c r="E57" s="6">
        <v>0</v>
      </c>
      <c r="F57" s="6">
        <v>0</v>
      </c>
      <c r="G57" s="6">
        <v>12</v>
      </c>
      <c r="H57" s="6" t="s">
        <v>50742</v>
      </c>
      <c r="I57" s="6">
        <v>526.6875</v>
      </c>
      <c r="J57" s="2">
        <f t="shared" si="0"/>
        <v>43749.405916574069</v>
      </c>
    </row>
    <row r="58" spans="1:10" x14ac:dyDescent="0.25">
      <c r="A58" s="7" t="s">
        <v>50743</v>
      </c>
      <c r="B58" s="8">
        <v>412.5</v>
      </c>
      <c r="C58" s="8">
        <v>20.478950000000001</v>
      </c>
      <c r="D58" s="8">
        <v>75</v>
      </c>
      <c r="E58" s="8">
        <v>0</v>
      </c>
      <c r="F58" s="8">
        <v>0</v>
      </c>
      <c r="G58" s="8">
        <v>16</v>
      </c>
      <c r="H58" s="8" t="s">
        <v>50744</v>
      </c>
      <c r="I58" s="8">
        <v>532.5</v>
      </c>
      <c r="J58" s="3">
        <f t="shared" si="0"/>
        <v>43749.405988217586</v>
      </c>
    </row>
    <row r="59" spans="1:10" x14ac:dyDescent="0.25">
      <c r="A59" s="5" t="s">
        <v>50745</v>
      </c>
      <c r="B59" s="6">
        <v>393.75</v>
      </c>
      <c r="C59" s="6">
        <v>20.478950000000001</v>
      </c>
      <c r="D59" s="6">
        <v>74</v>
      </c>
      <c r="E59" s="6">
        <v>0</v>
      </c>
      <c r="F59" s="6">
        <v>0</v>
      </c>
      <c r="G59" s="6">
        <v>32</v>
      </c>
      <c r="H59" s="6" t="s">
        <v>50746</v>
      </c>
      <c r="I59" s="6">
        <v>526.6875</v>
      </c>
      <c r="J59" s="2">
        <f t="shared" si="0"/>
        <v>43749.406071319441</v>
      </c>
    </row>
    <row r="60" spans="1:10" x14ac:dyDescent="0.25">
      <c r="A60" s="7" t="s">
        <v>50747</v>
      </c>
      <c r="B60" s="8">
        <v>393.75</v>
      </c>
      <c r="C60" s="8">
        <v>20.478950000000001</v>
      </c>
      <c r="D60" s="8">
        <v>74</v>
      </c>
      <c r="E60" s="8">
        <v>0</v>
      </c>
      <c r="F60" s="8">
        <v>0</v>
      </c>
      <c r="G60" s="8">
        <v>24</v>
      </c>
      <c r="H60" s="8" t="s">
        <v>50748</v>
      </c>
      <c r="I60" s="8">
        <v>526.6875</v>
      </c>
      <c r="J60" s="3">
        <f t="shared" si="0"/>
        <v>43749.406142951389</v>
      </c>
    </row>
    <row r="61" spans="1:10" x14ac:dyDescent="0.25">
      <c r="A61" s="5" t="s">
        <v>50749</v>
      </c>
      <c r="B61" s="6">
        <v>393.75</v>
      </c>
      <c r="C61" s="6">
        <v>20.478950000000001</v>
      </c>
      <c r="D61" s="6">
        <v>74</v>
      </c>
      <c r="E61" s="6">
        <v>0</v>
      </c>
      <c r="F61" s="6">
        <v>0</v>
      </c>
      <c r="G61" s="6">
        <v>18</v>
      </c>
      <c r="H61" s="6" t="s">
        <v>50750</v>
      </c>
      <c r="I61" s="6">
        <v>526.6875</v>
      </c>
      <c r="J61" s="2">
        <f t="shared" si="0"/>
        <v>43749.406226770829</v>
      </c>
    </row>
    <row r="62" spans="1:10" x14ac:dyDescent="0.25">
      <c r="A62" s="7" t="s">
        <v>50751</v>
      </c>
      <c r="B62" s="8">
        <v>393.75</v>
      </c>
      <c r="C62" s="8">
        <v>20.478950000000001</v>
      </c>
      <c r="D62" s="8">
        <v>74</v>
      </c>
      <c r="E62" s="8">
        <v>0</v>
      </c>
      <c r="F62" s="8">
        <v>0</v>
      </c>
      <c r="G62" s="8">
        <v>19</v>
      </c>
      <c r="H62" s="8" t="s">
        <v>50752</v>
      </c>
      <c r="I62" s="8">
        <v>526.6875</v>
      </c>
      <c r="J62" s="3">
        <f t="shared" si="0"/>
        <v>43749.406310219907</v>
      </c>
    </row>
    <row r="63" spans="1:10" x14ac:dyDescent="0.25">
      <c r="A63" s="5" t="s">
        <v>50753</v>
      </c>
      <c r="B63" s="6">
        <v>437.5</v>
      </c>
      <c r="C63" s="6">
        <v>20.478950000000001</v>
      </c>
      <c r="D63" s="6">
        <v>75</v>
      </c>
      <c r="E63" s="6">
        <v>0</v>
      </c>
      <c r="F63" s="6">
        <v>0</v>
      </c>
      <c r="G63" s="6">
        <v>10</v>
      </c>
      <c r="H63" s="6" t="s">
        <v>50754</v>
      </c>
      <c r="I63" s="6">
        <v>540.9375</v>
      </c>
      <c r="J63" s="2">
        <f t="shared" si="0"/>
        <v>43749.406393506943</v>
      </c>
    </row>
    <row r="64" spans="1:10" x14ac:dyDescent="0.25">
      <c r="A64" s="7" t="s">
        <v>50755</v>
      </c>
      <c r="B64" s="8">
        <v>393.75</v>
      </c>
      <c r="C64" s="8">
        <v>20.478950000000001</v>
      </c>
      <c r="D64" s="8">
        <v>81</v>
      </c>
      <c r="E64" s="8">
        <v>0</v>
      </c>
      <c r="F64" s="8">
        <v>0</v>
      </c>
      <c r="G64" s="8">
        <v>22</v>
      </c>
      <c r="H64" s="8" t="s">
        <v>50756</v>
      </c>
      <c r="I64" s="8">
        <v>526.6875</v>
      </c>
      <c r="J64" s="3">
        <f t="shared" si="0"/>
        <v>43749.406489155088</v>
      </c>
    </row>
    <row r="65" spans="1:10" x14ac:dyDescent="0.25">
      <c r="A65" s="5" t="s">
        <v>50757</v>
      </c>
      <c r="B65" s="6">
        <v>393.75</v>
      </c>
      <c r="C65" s="6">
        <v>20.478950000000001</v>
      </c>
      <c r="D65" s="6">
        <v>80</v>
      </c>
      <c r="E65" s="6">
        <v>0</v>
      </c>
      <c r="F65" s="6">
        <v>0</v>
      </c>
      <c r="G65" s="6">
        <v>17</v>
      </c>
      <c r="H65" s="6" t="s">
        <v>50758</v>
      </c>
      <c r="I65" s="6">
        <v>526.6875</v>
      </c>
      <c r="J65" s="2">
        <f t="shared" si="0"/>
        <v>43749.406572604166</v>
      </c>
    </row>
    <row r="66" spans="1:10" x14ac:dyDescent="0.25">
      <c r="A66" s="7" t="s">
        <v>50759</v>
      </c>
      <c r="B66" s="8">
        <v>393.75</v>
      </c>
      <c r="C66" s="8">
        <v>20.478950000000001</v>
      </c>
      <c r="D66" s="8">
        <v>80</v>
      </c>
      <c r="E66" s="8">
        <v>0</v>
      </c>
      <c r="F66" s="8">
        <v>0</v>
      </c>
      <c r="G66" s="8">
        <v>24</v>
      </c>
      <c r="H66" s="8" t="s">
        <v>50760</v>
      </c>
      <c r="I66" s="8">
        <v>526.6875</v>
      </c>
      <c r="J66" s="3">
        <f t="shared" ref="J66:J129" si="1">(H66/86400000)+25569+(7/24)</f>
        <v>43749.406656041661</v>
      </c>
    </row>
    <row r="67" spans="1:10" x14ac:dyDescent="0.25">
      <c r="A67" s="5" t="s">
        <v>50761</v>
      </c>
      <c r="B67" s="6">
        <v>393.75</v>
      </c>
      <c r="C67" s="6">
        <v>20.478950000000001</v>
      </c>
      <c r="D67" s="6">
        <v>78</v>
      </c>
      <c r="E67" s="6">
        <v>0</v>
      </c>
      <c r="F67" s="6">
        <v>0</v>
      </c>
      <c r="G67" s="6">
        <v>8</v>
      </c>
      <c r="H67" s="6" t="s">
        <v>50762</v>
      </c>
      <c r="I67" s="6">
        <v>526.6875</v>
      </c>
      <c r="J67" s="2">
        <f t="shared" si="1"/>
        <v>43749.406727800924</v>
      </c>
    </row>
    <row r="68" spans="1:10" x14ac:dyDescent="0.25">
      <c r="A68" s="7" t="s">
        <v>50763</v>
      </c>
      <c r="B68" s="8">
        <v>393.75</v>
      </c>
      <c r="C68" s="8">
        <v>20.478950000000001</v>
      </c>
      <c r="D68" s="8">
        <v>77</v>
      </c>
      <c r="E68" s="8">
        <v>0</v>
      </c>
      <c r="F68" s="8">
        <v>0</v>
      </c>
      <c r="G68" s="8">
        <v>8</v>
      </c>
      <c r="H68" s="8" t="s">
        <v>50764</v>
      </c>
      <c r="I68" s="8">
        <v>526.6875</v>
      </c>
      <c r="J68" s="3">
        <f t="shared" si="1"/>
        <v>43749.406799201388</v>
      </c>
    </row>
    <row r="69" spans="1:10" x14ac:dyDescent="0.25">
      <c r="A69" s="5" t="s">
        <v>50765</v>
      </c>
      <c r="B69" s="6">
        <v>393.75</v>
      </c>
      <c r="C69" s="6">
        <v>20.478950000000001</v>
      </c>
      <c r="D69" s="6">
        <v>76</v>
      </c>
      <c r="E69" s="6">
        <v>0</v>
      </c>
      <c r="F69" s="6">
        <v>0</v>
      </c>
      <c r="G69" s="6">
        <v>11</v>
      </c>
      <c r="H69" s="6" t="s">
        <v>50766</v>
      </c>
      <c r="I69" s="6">
        <v>526.6875</v>
      </c>
      <c r="J69" s="2">
        <f t="shared" si="1"/>
        <v>43749.406882303236</v>
      </c>
    </row>
    <row r="70" spans="1:10" x14ac:dyDescent="0.25">
      <c r="A70" s="7" t="s">
        <v>50767</v>
      </c>
      <c r="B70" s="8">
        <v>393.75</v>
      </c>
      <c r="C70" s="8">
        <v>20.478950000000001</v>
      </c>
      <c r="D70" s="8">
        <v>76</v>
      </c>
      <c r="E70" s="8">
        <v>0</v>
      </c>
      <c r="F70" s="8">
        <v>0</v>
      </c>
      <c r="G70" s="8">
        <v>6</v>
      </c>
      <c r="H70" s="8" t="s">
        <v>50768</v>
      </c>
      <c r="I70" s="8">
        <v>526.6875</v>
      </c>
      <c r="J70" s="3">
        <f t="shared" si="1"/>
        <v>43749.406954062499</v>
      </c>
    </row>
    <row r="71" spans="1:10" x14ac:dyDescent="0.25">
      <c r="A71" s="5" t="s">
        <v>50769</v>
      </c>
      <c r="B71" s="6">
        <v>393.75</v>
      </c>
      <c r="C71" s="6">
        <v>20.478950000000001</v>
      </c>
      <c r="D71" s="6">
        <v>76</v>
      </c>
      <c r="E71" s="6">
        <v>0</v>
      </c>
      <c r="F71" s="6">
        <v>0</v>
      </c>
      <c r="G71" s="6">
        <v>18</v>
      </c>
      <c r="H71" s="6" t="s">
        <v>50770</v>
      </c>
      <c r="I71" s="6">
        <v>526.6875</v>
      </c>
      <c r="J71" s="2">
        <f t="shared" si="1"/>
        <v>43749.407037997684</v>
      </c>
    </row>
    <row r="72" spans="1:10" x14ac:dyDescent="0.25">
      <c r="A72" s="7" t="s">
        <v>50771</v>
      </c>
      <c r="B72" s="8">
        <v>393.75</v>
      </c>
      <c r="C72" s="8">
        <v>20.478950000000001</v>
      </c>
      <c r="D72" s="8">
        <v>72</v>
      </c>
      <c r="E72" s="8">
        <v>0</v>
      </c>
      <c r="F72" s="8">
        <v>0</v>
      </c>
      <c r="G72" s="8">
        <v>11</v>
      </c>
      <c r="H72" s="8" t="s">
        <v>50772</v>
      </c>
      <c r="I72" s="8">
        <v>526.6875</v>
      </c>
      <c r="J72" s="3">
        <f t="shared" si="1"/>
        <v>43749.40713313657</v>
      </c>
    </row>
    <row r="73" spans="1:10" x14ac:dyDescent="0.25">
      <c r="A73" s="5" t="s">
        <v>50773</v>
      </c>
      <c r="B73" s="6">
        <v>393.75</v>
      </c>
      <c r="C73" s="6">
        <v>20.478950000000001</v>
      </c>
      <c r="D73" s="6">
        <v>72</v>
      </c>
      <c r="E73" s="6">
        <v>0</v>
      </c>
      <c r="F73" s="6">
        <v>0</v>
      </c>
      <c r="G73" s="6">
        <v>21</v>
      </c>
      <c r="H73" s="6" t="s">
        <v>50774</v>
      </c>
      <c r="I73" s="6">
        <v>526.6875</v>
      </c>
      <c r="J73" s="2">
        <f t="shared" si="1"/>
        <v>43749.40721730324</v>
      </c>
    </row>
    <row r="74" spans="1:10" x14ac:dyDescent="0.25">
      <c r="A74" s="7" t="s">
        <v>50775</v>
      </c>
      <c r="B74" s="8">
        <v>393.75</v>
      </c>
      <c r="C74" s="8">
        <v>20.478950000000001</v>
      </c>
      <c r="D74" s="8">
        <v>72</v>
      </c>
      <c r="E74" s="8">
        <v>0</v>
      </c>
      <c r="F74" s="8">
        <v>0</v>
      </c>
      <c r="G74" s="8">
        <v>17</v>
      </c>
      <c r="H74" s="8" t="s">
        <v>50776</v>
      </c>
      <c r="I74" s="8">
        <v>526.6875</v>
      </c>
      <c r="J74" s="3">
        <f t="shared" si="1"/>
        <v>43749.407300023151</v>
      </c>
    </row>
    <row r="75" spans="1:10" x14ac:dyDescent="0.25">
      <c r="A75" s="5" t="s">
        <v>50777</v>
      </c>
      <c r="B75" s="6">
        <v>393.75</v>
      </c>
      <c r="C75" s="6">
        <v>20.478950000000001</v>
      </c>
      <c r="D75" s="6">
        <v>72</v>
      </c>
      <c r="E75" s="6">
        <v>0</v>
      </c>
      <c r="F75" s="6">
        <v>0</v>
      </c>
      <c r="G75" s="6">
        <v>16</v>
      </c>
      <c r="H75" s="6" t="s">
        <v>50778</v>
      </c>
      <c r="I75" s="6">
        <v>526.6875</v>
      </c>
      <c r="J75" s="2">
        <f t="shared" si="1"/>
        <v>43749.40738355324</v>
      </c>
    </row>
    <row r="76" spans="1:10" x14ac:dyDescent="0.25">
      <c r="A76" s="7" t="s">
        <v>50779</v>
      </c>
      <c r="B76" s="8">
        <v>393.75</v>
      </c>
      <c r="C76" s="8">
        <v>20.478950000000001</v>
      </c>
      <c r="D76" s="8">
        <v>72</v>
      </c>
      <c r="E76" s="8">
        <v>0</v>
      </c>
      <c r="F76" s="8">
        <v>0</v>
      </c>
      <c r="G76" s="8">
        <v>14</v>
      </c>
      <c r="H76" s="8" t="s">
        <v>50780</v>
      </c>
      <c r="I76" s="8">
        <v>526.6875</v>
      </c>
      <c r="J76" s="3">
        <f t="shared" si="1"/>
        <v>43749.407467141202</v>
      </c>
    </row>
    <row r="77" spans="1:10" x14ac:dyDescent="0.25">
      <c r="A77" s="5" t="s">
        <v>50781</v>
      </c>
      <c r="B77" s="6">
        <v>393.75</v>
      </c>
      <c r="C77" s="6">
        <v>20.478950000000001</v>
      </c>
      <c r="D77" s="6">
        <v>73</v>
      </c>
      <c r="E77" s="6">
        <v>0</v>
      </c>
      <c r="F77" s="6">
        <v>0</v>
      </c>
      <c r="G77" s="6">
        <v>23</v>
      </c>
      <c r="H77" s="6" t="s">
        <v>50782</v>
      </c>
      <c r="I77" s="6">
        <v>526.6875</v>
      </c>
      <c r="J77" s="2">
        <f t="shared" si="1"/>
        <v>43749.40755059028</v>
      </c>
    </row>
    <row r="78" spans="1:10" x14ac:dyDescent="0.25">
      <c r="A78" s="7" t="s">
        <v>50783</v>
      </c>
      <c r="B78" s="8">
        <v>393.75</v>
      </c>
      <c r="C78" s="8">
        <v>20.426300000000001</v>
      </c>
      <c r="D78" s="8">
        <v>73</v>
      </c>
      <c r="E78" s="8">
        <v>0</v>
      </c>
      <c r="F78" s="8">
        <v>0</v>
      </c>
      <c r="G78" s="8">
        <v>13</v>
      </c>
      <c r="H78" s="8" t="s">
        <v>50784</v>
      </c>
      <c r="I78" s="8">
        <v>526.6875</v>
      </c>
      <c r="J78" s="3">
        <f t="shared" si="1"/>
        <v>43749.407634178242</v>
      </c>
    </row>
    <row r="79" spans="1:10" x14ac:dyDescent="0.25">
      <c r="A79" s="5" t="s">
        <v>50785</v>
      </c>
      <c r="B79" s="6">
        <v>393.75</v>
      </c>
      <c r="C79" s="6">
        <v>20.478950000000001</v>
      </c>
      <c r="D79" s="6">
        <v>71</v>
      </c>
      <c r="E79" s="6">
        <v>0</v>
      </c>
      <c r="F79" s="6">
        <v>0</v>
      </c>
      <c r="G79" s="6">
        <v>16</v>
      </c>
      <c r="H79" s="6" t="s">
        <v>50786</v>
      </c>
      <c r="I79" s="6">
        <v>526.6875</v>
      </c>
      <c r="J79" s="2">
        <f t="shared" si="1"/>
        <v>43749.407717395829</v>
      </c>
    </row>
    <row r="80" spans="1:10" x14ac:dyDescent="0.25">
      <c r="A80" s="7" t="s">
        <v>50787</v>
      </c>
      <c r="B80" s="8">
        <v>412.5</v>
      </c>
      <c r="C80" s="8">
        <v>20.478950000000001</v>
      </c>
      <c r="D80" s="8">
        <v>70</v>
      </c>
      <c r="E80" s="8">
        <v>0</v>
      </c>
      <c r="F80" s="8">
        <v>0</v>
      </c>
      <c r="G80" s="8">
        <v>13</v>
      </c>
      <c r="H80" s="8" t="s">
        <v>50788</v>
      </c>
      <c r="I80" s="8">
        <v>532.3125</v>
      </c>
      <c r="J80" s="3">
        <f t="shared" si="1"/>
        <v>43749.407800844907</v>
      </c>
    </row>
    <row r="81" spans="1:10" x14ac:dyDescent="0.25">
      <c r="A81" s="5" t="s">
        <v>50789</v>
      </c>
      <c r="B81" s="6">
        <v>393.75</v>
      </c>
      <c r="C81" s="6">
        <v>20.478950000000001</v>
      </c>
      <c r="D81" s="6">
        <v>70</v>
      </c>
      <c r="E81" s="6">
        <v>0</v>
      </c>
      <c r="F81" s="6">
        <v>0</v>
      </c>
      <c r="G81" s="6">
        <v>13</v>
      </c>
      <c r="H81" s="6" t="s">
        <v>50790</v>
      </c>
      <c r="I81" s="6">
        <v>526.6875</v>
      </c>
      <c r="J81" s="2">
        <f t="shared" si="1"/>
        <v>43749.407884513887</v>
      </c>
    </row>
    <row r="82" spans="1:10" x14ac:dyDescent="0.25">
      <c r="A82" s="7" t="s">
        <v>50791</v>
      </c>
      <c r="B82" s="8">
        <v>393.75</v>
      </c>
      <c r="C82" s="8">
        <v>20.478950000000001</v>
      </c>
      <c r="D82" s="8">
        <v>71</v>
      </c>
      <c r="E82" s="8">
        <v>0</v>
      </c>
      <c r="F82" s="8">
        <v>0</v>
      </c>
      <c r="G82" s="8">
        <v>18</v>
      </c>
      <c r="H82" s="8" t="s">
        <v>50792</v>
      </c>
      <c r="I82" s="8">
        <v>526.6875</v>
      </c>
      <c r="J82" s="3">
        <f t="shared" si="1"/>
        <v>43749.407967615734</v>
      </c>
    </row>
    <row r="83" spans="1:10" x14ac:dyDescent="0.25">
      <c r="A83" s="5" t="s">
        <v>50793</v>
      </c>
      <c r="B83" s="6">
        <v>393.75</v>
      </c>
      <c r="C83" s="6">
        <v>20.478950000000001</v>
      </c>
      <c r="D83" s="6">
        <v>71</v>
      </c>
      <c r="E83" s="6">
        <v>0</v>
      </c>
      <c r="F83" s="6">
        <v>0</v>
      </c>
      <c r="G83" s="6">
        <v>15</v>
      </c>
      <c r="H83" s="6" t="s">
        <v>50794</v>
      </c>
      <c r="I83" s="6">
        <v>526.6875</v>
      </c>
      <c r="J83" s="2">
        <f t="shared" si="1"/>
        <v>43749.408039270835</v>
      </c>
    </row>
    <row r="84" spans="1:10" x14ac:dyDescent="0.25">
      <c r="A84" s="7" t="s">
        <v>50795</v>
      </c>
      <c r="B84" s="8">
        <v>393.75</v>
      </c>
      <c r="C84" s="8">
        <v>20.478950000000001</v>
      </c>
      <c r="D84" s="8">
        <v>71</v>
      </c>
      <c r="E84" s="8">
        <v>0</v>
      </c>
      <c r="F84" s="8">
        <v>0</v>
      </c>
      <c r="G84" s="8">
        <v>19</v>
      </c>
      <c r="H84" s="8" t="s">
        <v>50796</v>
      </c>
      <c r="I84" s="8">
        <v>526.6875</v>
      </c>
      <c r="J84" s="3">
        <f t="shared" si="1"/>
        <v>43749.408123067122</v>
      </c>
    </row>
    <row r="85" spans="1:10" x14ac:dyDescent="0.25">
      <c r="A85" s="5" t="s">
        <v>50797</v>
      </c>
      <c r="B85" s="6">
        <v>393.75</v>
      </c>
      <c r="C85" s="6">
        <v>20.478950000000001</v>
      </c>
      <c r="D85" s="6">
        <v>71</v>
      </c>
      <c r="E85" s="6">
        <v>0</v>
      </c>
      <c r="F85" s="6">
        <v>0</v>
      </c>
      <c r="G85" s="6">
        <v>18</v>
      </c>
      <c r="H85" s="6" t="s">
        <v>50798</v>
      </c>
      <c r="I85" s="6">
        <v>526.6875</v>
      </c>
      <c r="J85" s="2">
        <f t="shared" si="1"/>
        <v>43749.4082065162</v>
      </c>
    </row>
    <row r="86" spans="1:10" x14ac:dyDescent="0.25">
      <c r="A86" s="7" t="s">
        <v>50799</v>
      </c>
      <c r="B86" s="8">
        <v>393.75</v>
      </c>
      <c r="C86" s="8">
        <v>20.478950000000001</v>
      </c>
      <c r="D86" s="8">
        <v>71</v>
      </c>
      <c r="E86" s="8">
        <v>0</v>
      </c>
      <c r="F86" s="8">
        <v>0</v>
      </c>
      <c r="G86" s="8">
        <v>16</v>
      </c>
      <c r="H86" s="8" t="s">
        <v>50800</v>
      </c>
      <c r="I86" s="8">
        <v>526.6875</v>
      </c>
      <c r="J86" s="3">
        <f t="shared" si="1"/>
        <v>43749.408289722218</v>
      </c>
    </row>
    <row r="87" spans="1:10" x14ac:dyDescent="0.25">
      <c r="A87" s="5" t="s">
        <v>50801</v>
      </c>
      <c r="B87" s="6">
        <v>393.75</v>
      </c>
      <c r="C87" s="6">
        <v>20.478950000000001</v>
      </c>
      <c r="D87" s="6">
        <v>72</v>
      </c>
      <c r="E87" s="6">
        <v>0</v>
      </c>
      <c r="F87" s="6">
        <v>0</v>
      </c>
      <c r="G87" s="6">
        <v>18</v>
      </c>
      <c r="H87" s="6" t="s">
        <v>50802</v>
      </c>
      <c r="I87" s="6">
        <v>526.6875</v>
      </c>
      <c r="J87" s="2">
        <f t="shared" si="1"/>
        <v>43749.408373402774</v>
      </c>
    </row>
    <row r="88" spans="1:10" x14ac:dyDescent="0.25">
      <c r="A88" s="7" t="s">
        <v>50803</v>
      </c>
      <c r="B88" s="8">
        <v>393.75</v>
      </c>
      <c r="C88" s="8">
        <v>20.478950000000001</v>
      </c>
      <c r="D88" s="8">
        <v>72</v>
      </c>
      <c r="E88" s="8">
        <v>0</v>
      </c>
      <c r="F88" s="8">
        <v>0</v>
      </c>
      <c r="G88" s="8">
        <v>15</v>
      </c>
      <c r="H88" s="8" t="s">
        <v>50804</v>
      </c>
      <c r="I88" s="8">
        <v>526.6875</v>
      </c>
      <c r="J88" s="3">
        <f t="shared" si="1"/>
        <v>43749.408457094905</v>
      </c>
    </row>
    <row r="89" spans="1:10" x14ac:dyDescent="0.25">
      <c r="A89" s="5" t="s">
        <v>50805</v>
      </c>
      <c r="B89" s="6">
        <v>393.75</v>
      </c>
      <c r="C89" s="6">
        <v>20.478950000000001</v>
      </c>
      <c r="D89" s="6">
        <v>72</v>
      </c>
      <c r="E89" s="6">
        <v>0</v>
      </c>
      <c r="F89" s="6">
        <v>0</v>
      </c>
      <c r="G89" s="6">
        <v>12</v>
      </c>
      <c r="H89" s="6" t="s">
        <v>50806</v>
      </c>
      <c r="I89" s="6">
        <v>526.6875</v>
      </c>
      <c r="J89" s="2">
        <f t="shared" si="1"/>
        <v>43749.408542731479</v>
      </c>
    </row>
    <row r="90" spans="1:10" x14ac:dyDescent="0.25">
      <c r="A90" s="7" t="s">
        <v>50807</v>
      </c>
      <c r="B90" s="8">
        <v>393.75</v>
      </c>
      <c r="C90" s="8">
        <v>20.478950000000001</v>
      </c>
      <c r="D90" s="8">
        <v>72</v>
      </c>
      <c r="E90" s="8">
        <v>0</v>
      </c>
      <c r="F90" s="8">
        <v>0</v>
      </c>
      <c r="G90" s="8">
        <v>15</v>
      </c>
      <c r="H90" s="8" t="s">
        <v>50808</v>
      </c>
      <c r="I90" s="8">
        <v>526.6875</v>
      </c>
      <c r="J90" s="3">
        <f t="shared" si="1"/>
        <v>43749.408624108793</v>
      </c>
    </row>
    <row r="91" spans="1:10" x14ac:dyDescent="0.25">
      <c r="A91" s="5" t="s">
        <v>50809</v>
      </c>
      <c r="B91" s="6">
        <v>393.75</v>
      </c>
      <c r="C91" s="6">
        <v>20.478950000000001</v>
      </c>
      <c r="D91" s="6">
        <v>75</v>
      </c>
      <c r="E91" s="6">
        <v>0</v>
      </c>
      <c r="F91" s="6">
        <v>0</v>
      </c>
      <c r="G91" s="6">
        <v>13</v>
      </c>
      <c r="H91" s="6" t="s">
        <v>50810</v>
      </c>
      <c r="I91" s="6">
        <v>526.6875</v>
      </c>
      <c r="J91" s="2">
        <f t="shared" si="1"/>
        <v>43749.408707453702</v>
      </c>
    </row>
    <row r="92" spans="1:10" x14ac:dyDescent="0.25">
      <c r="A92" s="7" t="s">
        <v>50811</v>
      </c>
      <c r="B92" s="8">
        <v>412.5</v>
      </c>
      <c r="C92" s="8">
        <v>20.478950000000001</v>
      </c>
      <c r="D92" s="8">
        <v>74</v>
      </c>
      <c r="E92" s="8">
        <v>0</v>
      </c>
      <c r="F92" s="8">
        <v>0</v>
      </c>
      <c r="G92" s="8">
        <v>18</v>
      </c>
      <c r="H92" s="8" t="s">
        <v>50812</v>
      </c>
      <c r="I92" s="8">
        <v>532.5</v>
      </c>
      <c r="J92" s="3">
        <f t="shared" si="1"/>
        <v>43749.40879090278</v>
      </c>
    </row>
    <row r="93" spans="1:10" x14ac:dyDescent="0.25">
      <c r="A93" s="5" t="s">
        <v>50813</v>
      </c>
      <c r="B93" s="6">
        <v>393.75</v>
      </c>
      <c r="C93" s="6">
        <v>20.426300000000001</v>
      </c>
      <c r="D93" s="6">
        <v>74</v>
      </c>
      <c r="E93" s="6">
        <v>0</v>
      </c>
      <c r="F93" s="6">
        <v>0</v>
      </c>
      <c r="G93" s="6">
        <v>26</v>
      </c>
      <c r="H93" s="6" t="s">
        <v>50814</v>
      </c>
      <c r="I93" s="6">
        <v>526.6875</v>
      </c>
      <c r="J93" s="2">
        <f t="shared" si="1"/>
        <v>43749.408874340275</v>
      </c>
    </row>
    <row r="94" spans="1:10" x14ac:dyDescent="0.25">
      <c r="A94" s="7" t="s">
        <v>50815</v>
      </c>
      <c r="B94" s="8">
        <v>393.75</v>
      </c>
      <c r="C94" s="8">
        <v>20.478950000000001</v>
      </c>
      <c r="D94" s="8">
        <v>74</v>
      </c>
      <c r="E94" s="8">
        <v>0</v>
      </c>
      <c r="F94" s="8">
        <v>0</v>
      </c>
      <c r="G94" s="8">
        <v>23</v>
      </c>
      <c r="H94" s="8" t="s">
        <v>50816</v>
      </c>
      <c r="I94" s="8">
        <v>526.6875</v>
      </c>
      <c r="J94" s="3">
        <f t="shared" si="1"/>
        <v>43749.408957905085</v>
      </c>
    </row>
    <row r="95" spans="1:10" x14ac:dyDescent="0.25">
      <c r="A95" s="5" t="s">
        <v>50817</v>
      </c>
      <c r="B95" s="6">
        <v>393.75</v>
      </c>
      <c r="C95" s="6">
        <v>20.478950000000001</v>
      </c>
      <c r="D95" s="6">
        <v>74</v>
      </c>
      <c r="E95" s="6">
        <v>0</v>
      </c>
      <c r="F95" s="6">
        <v>0</v>
      </c>
      <c r="G95" s="6">
        <v>20</v>
      </c>
      <c r="H95" s="6" t="s">
        <v>50818</v>
      </c>
      <c r="I95" s="6">
        <v>526.5</v>
      </c>
      <c r="J95" s="2">
        <f t="shared" si="1"/>
        <v>43749.409041354163</v>
      </c>
    </row>
    <row r="96" spans="1:10" x14ac:dyDescent="0.25">
      <c r="A96" s="7" t="s">
        <v>50819</v>
      </c>
      <c r="B96" s="8">
        <v>393.75</v>
      </c>
      <c r="C96" s="8">
        <v>20.478950000000001</v>
      </c>
      <c r="D96" s="8">
        <v>74</v>
      </c>
      <c r="E96" s="8">
        <v>0</v>
      </c>
      <c r="F96" s="8">
        <v>0</v>
      </c>
      <c r="G96" s="8">
        <v>25</v>
      </c>
      <c r="H96" s="8" t="s">
        <v>50820</v>
      </c>
      <c r="I96" s="8">
        <v>526.6875</v>
      </c>
      <c r="J96" s="3">
        <f t="shared" si="1"/>
        <v>43749.409124803242</v>
      </c>
    </row>
    <row r="97" spans="1:10" x14ac:dyDescent="0.25">
      <c r="A97" s="5" t="s">
        <v>50821</v>
      </c>
      <c r="B97" s="6">
        <v>393.75</v>
      </c>
      <c r="C97" s="6">
        <v>20.478950000000001</v>
      </c>
      <c r="D97" s="6">
        <v>75</v>
      </c>
      <c r="E97" s="6">
        <v>0</v>
      </c>
      <c r="F97" s="6">
        <v>0</v>
      </c>
      <c r="G97" s="6">
        <v>22</v>
      </c>
      <c r="H97" s="6" t="s">
        <v>50822</v>
      </c>
      <c r="I97" s="6">
        <v>526.6875</v>
      </c>
      <c r="J97" s="2">
        <f t="shared" si="1"/>
        <v>43749.409208263889</v>
      </c>
    </row>
    <row r="98" spans="1:10" x14ac:dyDescent="0.25">
      <c r="A98" s="7" t="s">
        <v>50823</v>
      </c>
      <c r="B98" s="8">
        <v>393.75</v>
      </c>
      <c r="C98" s="8">
        <v>20.478950000000001</v>
      </c>
      <c r="D98" s="8">
        <v>74</v>
      </c>
      <c r="E98" s="8">
        <v>0</v>
      </c>
      <c r="F98" s="8">
        <v>0</v>
      </c>
      <c r="G98" s="8">
        <v>19</v>
      </c>
      <c r="H98" s="8" t="s">
        <v>50824</v>
      </c>
      <c r="I98" s="8">
        <v>526.6875</v>
      </c>
      <c r="J98" s="3">
        <f t="shared" si="1"/>
        <v>43749.409291921293</v>
      </c>
    </row>
    <row r="99" spans="1:10" x14ac:dyDescent="0.25">
      <c r="A99" s="5" t="s">
        <v>50825</v>
      </c>
      <c r="B99" s="6">
        <v>393.75</v>
      </c>
      <c r="C99" s="6">
        <v>20.478950000000001</v>
      </c>
      <c r="D99" s="6">
        <v>74</v>
      </c>
      <c r="E99" s="6">
        <v>0</v>
      </c>
      <c r="F99" s="6">
        <v>0</v>
      </c>
      <c r="G99" s="6">
        <v>18</v>
      </c>
      <c r="H99" s="6" t="s">
        <v>50826</v>
      </c>
      <c r="I99" s="6">
        <v>526.6875</v>
      </c>
      <c r="J99" s="2">
        <f t="shared" si="1"/>
        <v>43749.409375034717</v>
      </c>
    </row>
    <row r="100" spans="1:10" x14ac:dyDescent="0.25">
      <c r="A100" s="7" t="s">
        <v>50827</v>
      </c>
      <c r="B100" s="8">
        <v>393.75</v>
      </c>
      <c r="C100" s="8">
        <v>20.478950000000001</v>
      </c>
      <c r="D100" s="8">
        <v>74</v>
      </c>
      <c r="E100" s="8">
        <v>0</v>
      </c>
      <c r="F100" s="8">
        <v>0</v>
      </c>
      <c r="G100" s="8">
        <v>21</v>
      </c>
      <c r="H100" s="8" t="s">
        <v>50828</v>
      </c>
      <c r="I100" s="8">
        <v>526.6875</v>
      </c>
      <c r="J100" s="3">
        <f t="shared" si="1"/>
        <v>43749.409446562502</v>
      </c>
    </row>
    <row r="101" spans="1:10" x14ac:dyDescent="0.25">
      <c r="A101" s="5" t="s">
        <v>50829</v>
      </c>
      <c r="B101" s="6">
        <v>393.75</v>
      </c>
      <c r="C101" s="6">
        <v>20.478950000000001</v>
      </c>
      <c r="D101" s="6">
        <v>75</v>
      </c>
      <c r="E101" s="6">
        <v>0</v>
      </c>
      <c r="F101" s="6">
        <v>0</v>
      </c>
      <c r="G101" s="6">
        <v>25</v>
      </c>
      <c r="H101" s="6" t="s">
        <v>50830</v>
      </c>
      <c r="I101" s="6">
        <v>526.6875</v>
      </c>
      <c r="J101" s="2">
        <f t="shared" si="1"/>
        <v>43749.409530474535</v>
      </c>
    </row>
    <row r="102" spans="1:10" x14ac:dyDescent="0.25">
      <c r="A102" s="7" t="s">
        <v>50831</v>
      </c>
      <c r="B102" s="8">
        <v>393.75</v>
      </c>
      <c r="C102" s="8">
        <v>20.478950000000001</v>
      </c>
      <c r="D102" s="8">
        <v>71</v>
      </c>
      <c r="E102" s="8">
        <v>0</v>
      </c>
      <c r="F102" s="8">
        <v>0</v>
      </c>
      <c r="G102" s="8">
        <v>13</v>
      </c>
      <c r="H102" s="8" t="s">
        <v>50832</v>
      </c>
      <c r="I102" s="8">
        <v>526.6875</v>
      </c>
      <c r="J102" s="3">
        <f t="shared" si="1"/>
        <v>43749.409613807868</v>
      </c>
    </row>
    <row r="103" spans="1:10" x14ac:dyDescent="0.25">
      <c r="A103" s="5" t="s">
        <v>50833</v>
      </c>
      <c r="B103" s="6">
        <v>393.75</v>
      </c>
      <c r="C103" s="6">
        <v>20.478950000000001</v>
      </c>
      <c r="D103" s="6">
        <v>71</v>
      </c>
      <c r="E103" s="6">
        <v>0</v>
      </c>
      <c r="F103" s="6">
        <v>0</v>
      </c>
      <c r="G103" s="6">
        <v>10</v>
      </c>
      <c r="H103" s="6" t="s">
        <v>50834</v>
      </c>
      <c r="I103" s="6">
        <v>526.6875</v>
      </c>
      <c r="J103" s="2">
        <f t="shared" si="1"/>
        <v>43749.409685451385</v>
      </c>
    </row>
    <row r="104" spans="1:10" x14ac:dyDescent="0.25">
      <c r="A104" s="7" t="s">
        <v>50835</v>
      </c>
      <c r="B104" s="8">
        <v>393.75</v>
      </c>
      <c r="C104" s="8">
        <v>20.478950000000001</v>
      </c>
      <c r="D104" s="8">
        <v>71</v>
      </c>
      <c r="E104" s="8">
        <v>0</v>
      </c>
      <c r="F104" s="8">
        <v>0</v>
      </c>
      <c r="G104" s="8">
        <v>15</v>
      </c>
      <c r="H104" s="8" t="s">
        <v>50836</v>
      </c>
      <c r="I104" s="8">
        <v>526.6875</v>
      </c>
      <c r="J104" s="3">
        <f t="shared" si="1"/>
        <v>43749.409768888887</v>
      </c>
    </row>
    <row r="105" spans="1:10" x14ac:dyDescent="0.25">
      <c r="A105" s="5" t="s">
        <v>50837</v>
      </c>
      <c r="B105" s="6">
        <v>393.75</v>
      </c>
      <c r="C105" s="6">
        <v>20.478950000000001</v>
      </c>
      <c r="D105" s="6">
        <v>71</v>
      </c>
      <c r="E105" s="6">
        <v>0</v>
      </c>
      <c r="F105" s="6">
        <v>0</v>
      </c>
      <c r="G105" s="6">
        <v>9</v>
      </c>
      <c r="H105" s="6" t="s">
        <v>50838</v>
      </c>
      <c r="I105" s="6">
        <v>526.6875</v>
      </c>
      <c r="J105" s="2">
        <f t="shared" si="1"/>
        <v>43749.409852199075</v>
      </c>
    </row>
    <row r="106" spans="1:10" x14ac:dyDescent="0.25">
      <c r="A106" s="7" t="s">
        <v>50839</v>
      </c>
      <c r="B106" s="8">
        <v>393.75</v>
      </c>
      <c r="C106" s="8">
        <v>20.478950000000001</v>
      </c>
      <c r="D106" s="8">
        <v>72</v>
      </c>
      <c r="E106" s="8">
        <v>0</v>
      </c>
      <c r="F106" s="8">
        <v>0</v>
      </c>
      <c r="G106" s="8">
        <v>11</v>
      </c>
      <c r="H106" s="8" t="s">
        <v>50840</v>
      </c>
      <c r="I106" s="8">
        <v>526.6875</v>
      </c>
      <c r="J106" s="3">
        <f t="shared" si="1"/>
        <v>43749.409935891199</v>
      </c>
    </row>
    <row r="107" spans="1:10" x14ac:dyDescent="0.25">
      <c r="A107" s="5" t="s">
        <v>50841</v>
      </c>
      <c r="B107" s="6">
        <v>393.75</v>
      </c>
      <c r="C107" s="6">
        <v>20.478950000000001</v>
      </c>
      <c r="D107" s="6">
        <v>72</v>
      </c>
      <c r="E107" s="6">
        <v>0</v>
      </c>
      <c r="F107" s="6">
        <v>0</v>
      </c>
      <c r="G107" s="6">
        <v>7</v>
      </c>
      <c r="H107" s="6" t="s">
        <v>50842</v>
      </c>
      <c r="I107" s="6">
        <v>526.6875</v>
      </c>
      <c r="J107" s="2">
        <f t="shared" si="1"/>
        <v>43749.410019456016</v>
      </c>
    </row>
    <row r="108" spans="1:10" x14ac:dyDescent="0.25">
      <c r="A108" s="7" t="s">
        <v>50843</v>
      </c>
      <c r="B108" s="8">
        <v>393.75</v>
      </c>
      <c r="C108" s="8">
        <v>20.478950000000001</v>
      </c>
      <c r="D108" s="8">
        <v>71</v>
      </c>
      <c r="E108" s="8">
        <v>0</v>
      </c>
      <c r="F108" s="8">
        <v>0</v>
      </c>
      <c r="G108" s="8">
        <v>13</v>
      </c>
      <c r="H108" s="8" t="s">
        <v>50844</v>
      </c>
      <c r="I108" s="8">
        <v>526.6875</v>
      </c>
      <c r="J108" s="3">
        <f t="shared" si="1"/>
        <v>43749.410102800925</v>
      </c>
    </row>
    <row r="109" spans="1:10" x14ac:dyDescent="0.25">
      <c r="A109" s="5" t="s">
        <v>50845</v>
      </c>
      <c r="B109" s="6">
        <v>412.5</v>
      </c>
      <c r="C109" s="6">
        <v>20.478950000000001</v>
      </c>
      <c r="D109" s="6">
        <v>72</v>
      </c>
      <c r="E109" s="6">
        <v>0</v>
      </c>
      <c r="F109" s="6">
        <v>0</v>
      </c>
      <c r="G109" s="6">
        <v>12</v>
      </c>
      <c r="H109" s="6" t="s">
        <v>50846</v>
      </c>
      <c r="I109" s="6">
        <v>532.5</v>
      </c>
      <c r="J109" s="2">
        <f t="shared" si="1"/>
        <v>43749.410185995366</v>
      </c>
    </row>
    <row r="110" spans="1:10" x14ac:dyDescent="0.25">
      <c r="A110" s="7" t="s">
        <v>50847</v>
      </c>
      <c r="B110" s="8">
        <v>393.75</v>
      </c>
      <c r="C110" s="8">
        <v>20.478950000000001</v>
      </c>
      <c r="D110" s="8">
        <v>72</v>
      </c>
      <c r="E110" s="8">
        <v>0</v>
      </c>
      <c r="F110" s="8">
        <v>0</v>
      </c>
      <c r="G110" s="8">
        <v>14</v>
      </c>
      <c r="H110" s="8" t="s">
        <v>50848</v>
      </c>
      <c r="I110" s="8">
        <v>526.6875</v>
      </c>
      <c r="J110" s="3">
        <f t="shared" si="1"/>
        <v>43749.410269814813</v>
      </c>
    </row>
    <row r="111" spans="1:10" x14ac:dyDescent="0.25">
      <c r="A111" s="5" t="s">
        <v>50849</v>
      </c>
      <c r="B111" s="6">
        <v>393.75</v>
      </c>
      <c r="C111" s="6">
        <v>20.478950000000001</v>
      </c>
      <c r="D111" s="6">
        <v>72</v>
      </c>
      <c r="E111" s="6">
        <v>0</v>
      </c>
      <c r="F111" s="6">
        <v>0</v>
      </c>
      <c r="G111" s="6">
        <v>9</v>
      </c>
      <c r="H111" s="6" t="s">
        <v>50850</v>
      </c>
      <c r="I111" s="6">
        <v>526.6875</v>
      </c>
      <c r="J111" s="2">
        <f t="shared" si="1"/>
        <v>43749.410353402774</v>
      </c>
    </row>
    <row r="112" spans="1:10" x14ac:dyDescent="0.25">
      <c r="A112" s="7" t="s">
        <v>50851</v>
      </c>
      <c r="B112" s="8">
        <v>393.75</v>
      </c>
      <c r="C112" s="8">
        <v>20.478950000000001</v>
      </c>
      <c r="D112" s="8">
        <v>71</v>
      </c>
      <c r="E112" s="8">
        <v>0</v>
      </c>
      <c r="F112" s="8">
        <v>0</v>
      </c>
      <c r="G112" s="8">
        <v>13</v>
      </c>
      <c r="H112" s="8" t="s">
        <v>50852</v>
      </c>
      <c r="I112" s="8">
        <v>526.6875</v>
      </c>
      <c r="J112" s="3">
        <f t="shared" si="1"/>
        <v>43749.410424907408</v>
      </c>
    </row>
    <row r="113" spans="1:10" x14ac:dyDescent="0.25">
      <c r="A113" s="5" t="s">
        <v>50853</v>
      </c>
      <c r="B113" s="6">
        <v>393.75</v>
      </c>
      <c r="C113" s="6">
        <v>20.478950000000001</v>
      </c>
      <c r="D113" s="6">
        <v>71</v>
      </c>
      <c r="E113" s="6">
        <v>0</v>
      </c>
      <c r="F113" s="6">
        <v>0</v>
      </c>
      <c r="G113" s="6">
        <v>17</v>
      </c>
      <c r="H113" s="6" t="s">
        <v>50854</v>
      </c>
      <c r="I113" s="6">
        <v>526.6875</v>
      </c>
      <c r="J113" s="2">
        <f t="shared" si="1"/>
        <v>43749.410508356479</v>
      </c>
    </row>
    <row r="114" spans="1:10" x14ac:dyDescent="0.25">
      <c r="A114" s="7" t="s">
        <v>50855</v>
      </c>
      <c r="B114" s="8">
        <v>393.75</v>
      </c>
      <c r="C114" s="8">
        <v>20.478950000000001</v>
      </c>
      <c r="D114" s="8">
        <v>72</v>
      </c>
      <c r="E114" s="8">
        <v>0</v>
      </c>
      <c r="F114" s="8">
        <v>0</v>
      </c>
      <c r="G114" s="8">
        <v>14</v>
      </c>
      <c r="H114" s="8" t="s">
        <v>50856</v>
      </c>
      <c r="I114" s="8">
        <v>526.6875</v>
      </c>
      <c r="J114" s="3">
        <f t="shared" si="1"/>
        <v>43749.410602152777</v>
      </c>
    </row>
    <row r="115" spans="1:10" x14ac:dyDescent="0.25">
      <c r="A115" s="5" t="s">
        <v>50857</v>
      </c>
      <c r="B115" s="6">
        <v>393.75</v>
      </c>
      <c r="C115" s="6">
        <v>20.478950000000001</v>
      </c>
      <c r="D115" s="6">
        <v>73</v>
      </c>
      <c r="E115" s="6">
        <v>0</v>
      </c>
      <c r="F115" s="6">
        <v>0</v>
      </c>
      <c r="G115" s="6">
        <v>24</v>
      </c>
      <c r="H115" s="6" t="s">
        <v>50858</v>
      </c>
      <c r="I115" s="6">
        <v>526.6875</v>
      </c>
      <c r="J115" s="2">
        <f t="shared" si="1"/>
        <v>43749.410687303236</v>
      </c>
    </row>
    <row r="116" spans="1:10" x14ac:dyDescent="0.25">
      <c r="A116" s="7" t="s">
        <v>50859</v>
      </c>
      <c r="B116" s="8">
        <v>393.75</v>
      </c>
      <c r="C116" s="8">
        <v>20.478950000000001</v>
      </c>
      <c r="D116" s="8">
        <v>74</v>
      </c>
      <c r="E116" s="8">
        <v>0</v>
      </c>
      <c r="F116" s="8">
        <v>0</v>
      </c>
      <c r="G116" s="8">
        <v>17</v>
      </c>
      <c r="H116" s="8" t="s">
        <v>50860</v>
      </c>
      <c r="I116" s="8">
        <v>526.6875</v>
      </c>
      <c r="J116" s="3">
        <f t="shared" si="1"/>
        <v>43749.410770729162</v>
      </c>
    </row>
    <row r="117" spans="1:10" x14ac:dyDescent="0.25">
      <c r="A117" s="5" t="s">
        <v>50861</v>
      </c>
      <c r="B117" s="6">
        <v>393.75</v>
      </c>
      <c r="C117" s="6">
        <v>20.478950000000001</v>
      </c>
      <c r="D117" s="6">
        <v>74</v>
      </c>
      <c r="E117" s="6">
        <v>0</v>
      </c>
      <c r="F117" s="6">
        <v>0</v>
      </c>
      <c r="G117" s="6">
        <v>17</v>
      </c>
      <c r="H117" s="6" t="s">
        <v>50862</v>
      </c>
      <c r="I117" s="6">
        <v>526.6875</v>
      </c>
      <c r="J117" s="2">
        <f t="shared" si="1"/>
        <v>43749.410854178241</v>
      </c>
    </row>
    <row r="118" spans="1:10" x14ac:dyDescent="0.25">
      <c r="A118" s="7" t="s">
        <v>50863</v>
      </c>
      <c r="B118" s="8">
        <v>393.75</v>
      </c>
      <c r="C118" s="8">
        <v>20.478950000000001</v>
      </c>
      <c r="D118" s="8">
        <v>74</v>
      </c>
      <c r="E118" s="8">
        <v>0</v>
      </c>
      <c r="F118" s="8">
        <v>0</v>
      </c>
      <c r="G118" s="8">
        <v>17</v>
      </c>
      <c r="H118" s="8" t="s">
        <v>50864</v>
      </c>
      <c r="I118" s="8">
        <v>526.6875</v>
      </c>
      <c r="J118" s="3">
        <f t="shared" si="1"/>
        <v>43749.410937986111</v>
      </c>
    </row>
    <row r="119" spans="1:10" x14ac:dyDescent="0.25">
      <c r="A119" s="5" t="s">
        <v>50865</v>
      </c>
      <c r="B119" s="6">
        <v>393.75</v>
      </c>
      <c r="C119" s="6">
        <v>20.478950000000001</v>
      </c>
      <c r="D119" s="6">
        <v>74</v>
      </c>
      <c r="E119" s="6">
        <v>0</v>
      </c>
      <c r="F119" s="6">
        <v>0</v>
      </c>
      <c r="G119" s="6">
        <v>19</v>
      </c>
      <c r="H119" s="6" t="s">
        <v>50866</v>
      </c>
      <c r="I119" s="6">
        <v>526.6875</v>
      </c>
      <c r="J119" s="2">
        <f t="shared" si="1"/>
        <v>43749.411021192129</v>
      </c>
    </row>
    <row r="120" spans="1:10" x14ac:dyDescent="0.25">
      <c r="A120" s="7" t="s">
        <v>50867</v>
      </c>
      <c r="B120" s="8">
        <v>393.75</v>
      </c>
      <c r="C120" s="8">
        <v>20.478950000000001</v>
      </c>
      <c r="D120" s="8">
        <v>73</v>
      </c>
      <c r="E120" s="8">
        <v>0</v>
      </c>
      <c r="F120" s="8">
        <v>0</v>
      </c>
      <c r="G120" s="8">
        <v>17</v>
      </c>
      <c r="H120" s="8" t="s">
        <v>50868</v>
      </c>
      <c r="I120" s="8">
        <v>526.6875</v>
      </c>
      <c r="J120" s="3">
        <f t="shared" si="1"/>
        <v>43749.411104652776</v>
      </c>
    </row>
    <row r="121" spans="1:10" x14ac:dyDescent="0.25">
      <c r="A121" s="5" t="s">
        <v>50869</v>
      </c>
      <c r="B121" s="6">
        <v>393.75</v>
      </c>
      <c r="C121" s="6">
        <v>20.478950000000001</v>
      </c>
      <c r="D121" s="6">
        <v>73</v>
      </c>
      <c r="E121" s="6">
        <v>0</v>
      </c>
      <c r="F121" s="6">
        <v>0</v>
      </c>
      <c r="G121" s="6">
        <v>13</v>
      </c>
      <c r="H121" s="6" t="s">
        <v>50870</v>
      </c>
      <c r="I121" s="6">
        <v>526.6875</v>
      </c>
      <c r="J121" s="2">
        <f t="shared" si="1"/>
        <v>43749.411188194441</v>
      </c>
    </row>
    <row r="122" spans="1:10" x14ac:dyDescent="0.25">
      <c r="A122" s="7" t="s">
        <v>50871</v>
      </c>
      <c r="B122" s="8">
        <v>393.75</v>
      </c>
      <c r="C122" s="8">
        <v>20.478950000000001</v>
      </c>
      <c r="D122" s="8">
        <v>73</v>
      </c>
      <c r="E122" s="8">
        <v>0</v>
      </c>
      <c r="F122" s="8">
        <v>0</v>
      </c>
      <c r="G122" s="8">
        <v>14</v>
      </c>
      <c r="H122" s="8" t="s">
        <v>50872</v>
      </c>
      <c r="I122" s="8">
        <v>526.6875</v>
      </c>
      <c r="J122" s="3">
        <f t="shared" si="1"/>
        <v>43749.411271319441</v>
      </c>
    </row>
    <row r="123" spans="1:10" x14ac:dyDescent="0.25">
      <c r="A123" s="5" t="s">
        <v>50873</v>
      </c>
      <c r="B123" s="6">
        <v>393.75</v>
      </c>
      <c r="C123" s="6">
        <v>20.478950000000001</v>
      </c>
      <c r="D123" s="6">
        <v>73</v>
      </c>
      <c r="E123" s="6">
        <v>0</v>
      </c>
      <c r="F123" s="6">
        <v>0</v>
      </c>
      <c r="G123" s="6">
        <v>14</v>
      </c>
      <c r="H123" s="6" t="s">
        <v>50874</v>
      </c>
      <c r="I123" s="6">
        <v>526.6875</v>
      </c>
      <c r="J123" s="2">
        <f t="shared" si="1"/>
        <v>43749.411342951389</v>
      </c>
    </row>
    <row r="124" spans="1:10" x14ac:dyDescent="0.25">
      <c r="A124" s="7" t="s">
        <v>50875</v>
      </c>
      <c r="B124" s="8">
        <v>393.75</v>
      </c>
      <c r="C124" s="8">
        <v>20.478950000000001</v>
      </c>
      <c r="D124" s="8">
        <v>74</v>
      </c>
      <c r="E124" s="8">
        <v>0</v>
      </c>
      <c r="F124" s="8">
        <v>0</v>
      </c>
      <c r="G124" s="8">
        <v>18</v>
      </c>
      <c r="H124" s="8" t="s">
        <v>50876</v>
      </c>
      <c r="I124" s="8">
        <v>526.6875</v>
      </c>
      <c r="J124" s="3">
        <f t="shared" si="1"/>
        <v>43749.411426759259</v>
      </c>
    </row>
    <row r="125" spans="1:10" x14ac:dyDescent="0.25">
      <c r="A125" s="5" t="s">
        <v>50877</v>
      </c>
      <c r="B125" s="6">
        <v>393.75</v>
      </c>
      <c r="C125" s="6">
        <v>20.478950000000001</v>
      </c>
      <c r="D125" s="6">
        <v>74</v>
      </c>
      <c r="E125" s="6">
        <v>0</v>
      </c>
      <c r="F125" s="6">
        <v>0</v>
      </c>
      <c r="G125" s="6">
        <v>20</v>
      </c>
      <c r="H125" s="6" t="s">
        <v>50878</v>
      </c>
      <c r="I125" s="6">
        <v>526.6875</v>
      </c>
      <c r="J125" s="2">
        <f t="shared" si="1"/>
        <v>43749.411510185186</v>
      </c>
    </row>
    <row r="126" spans="1:10" x14ac:dyDescent="0.25">
      <c r="A126" s="7" t="s">
        <v>50879</v>
      </c>
      <c r="B126" s="8">
        <v>393.75</v>
      </c>
      <c r="C126" s="8">
        <v>20.478950000000001</v>
      </c>
      <c r="D126" s="8">
        <v>74</v>
      </c>
      <c r="E126" s="8">
        <v>0</v>
      </c>
      <c r="F126" s="8">
        <v>0</v>
      </c>
      <c r="G126" s="8">
        <v>13</v>
      </c>
      <c r="H126" s="8" t="s">
        <v>50880</v>
      </c>
      <c r="I126" s="8">
        <v>526.6875</v>
      </c>
      <c r="J126" s="3">
        <f t="shared" si="1"/>
        <v>43749.411593402772</v>
      </c>
    </row>
    <row r="127" spans="1:10" x14ac:dyDescent="0.25">
      <c r="A127" s="5" t="s">
        <v>50881</v>
      </c>
      <c r="B127" s="6">
        <v>393.75</v>
      </c>
      <c r="C127" s="6">
        <v>20.478950000000001</v>
      </c>
      <c r="D127" s="6">
        <v>73</v>
      </c>
      <c r="E127" s="6">
        <v>0</v>
      </c>
      <c r="F127" s="6">
        <v>0</v>
      </c>
      <c r="G127" s="6">
        <v>5</v>
      </c>
      <c r="H127" s="6" t="s">
        <v>50882</v>
      </c>
      <c r="I127" s="6">
        <v>526.6875</v>
      </c>
      <c r="J127" s="2">
        <f t="shared" si="1"/>
        <v>43749.411688807864</v>
      </c>
    </row>
    <row r="128" spans="1:10" x14ac:dyDescent="0.25">
      <c r="A128" s="7" t="s">
        <v>50883</v>
      </c>
      <c r="B128" s="8">
        <v>393.75</v>
      </c>
      <c r="C128" s="8">
        <v>20.478950000000001</v>
      </c>
      <c r="D128" s="8">
        <v>73</v>
      </c>
      <c r="E128" s="8">
        <v>0</v>
      </c>
      <c r="F128" s="8">
        <v>0</v>
      </c>
      <c r="G128" s="8">
        <v>2</v>
      </c>
      <c r="H128" s="8" t="s">
        <v>50884</v>
      </c>
      <c r="I128" s="8">
        <v>526.6875</v>
      </c>
      <c r="J128" s="3">
        <f t="shared" si="1"/>
        <v>43749.411760312498</v>
      </c>
    </row>
    <row r="129" spans="1:10" x14ac:dyDescent="0.25">
      <c r="A129" s="5" t="s">
        <v>50885</v>
      </c>
      <c r="B129" s="6">
        <v>393.75</v>
      </c>
      <c r="C129" s="6">
        <v>20.478950000000001</v>
      </c>
      <c r="D129" s="6">
        <v>75</v>
      </c>
      <c r="E129" s="6">
        <v>0</v>
      </c>
      <c r="F129" s="6">
        <v>0</v>
      </c>
      <c r="G129" s="6">
        <v>0</v>
      </c>
      <c r="H129" s="6" t="s">
        <v>50886</v>
      </c>
      <c r="I129" s="6">
        <v>526.6875</v>
      </c>
      <c r="J129" s="2">
        <f t="shared" si="1"/>
        <v>43749.411832187499</v>
      </c>
    </row>
    <row r="130" spans="1:10" x14ac:dyDescent="0.25">
      <c r="A130" s="7" t="s">
        <v>50887</v>
      </c>
      <c r="B130" s="8">
        <v>393.75</v>
      </c>
      <c r="C130" s="8">
        <v>20.478950000000001</v>
      </c>
      <c r="D130" s="8">
        <v>75</v>
      </c>
      <c r="E130" s="8">
        <v>0</v>
      </c>
      <c r="F130" s="8">
        <v>0</v>
      </c>
      <c r="G130" s="8">
        <v>7</v>
      </c>
      <c r="H130" s="8" t="s">
        <v>50888</v>
      </c>
      <c r="I130" s="8">
        <v>526.6875</v>
      </c>
      <c r="J130" s="3">
        <f t="shared" ref="J130:J193" si="2">(H130/86400000)+25569+(7/24)</f>
        <v>43749.411915856479</v>
      </c>
    </row>
    <row r="131" spans="1:10" x14ac:dyDescent="0.25">
      <c r="A131" s="5" t="s">
        <v>50889</v>
      </c>
      <c r="B131" s="6">
        <v>393.75</v>
      </c>
      <c r="C131" s="6">
        <v>20.478950000000001</v>
      </c>
      <c r="D131" s="6">
        <v>75</v>
      </c>
      <c r="E131" s="6">
        <v>0</v>
      </c>
      <c r="F131" s="6">
        <v>0</v>
      </c>
      <c r="G131" s="6">
        <v>9</v>
      </c>
      <c r="H131" s="6" t="s">
        <v>50890</v>
      </c>
      <c r="I131" s="6">
        <v>526.6875</v>
      </c>
      <c r="J131" s="2">
        <f t="shared" si="2"/>
        <v>43749.411999166659</v>
      </c>
    </row>
    <row r="132" spans="1:10" x14ac:dyDescent="0.25">
      <c r="A132" s="7" t="s">
        <v>50891</v>
      </c>
      <c r="B132" s="8">
        <v>393.75</v>
      </c>
      <c r="C132" s="8">
        <v>20.478950000000001</v>
      </c>
      <c r="D132" s="8">
        <v>75</v>
      </c>
      <c r="E132" s="8">
        <v>0</v>
      </c>
      <c r="F132" s="8">
        <v>0</v>
      </c>
      <c r="G132" s="8">
        <v>10</v>
      </c>
      <c r="H132" s="8" t="s">
        <v>50892</v>
      </c>
      <c r="I132" s="8">
        <v>526.6875</v>
      </c>
      <c r="J132" s="3">
        <f t="shared" si="2"/>
        <v>43749.412082337956</v>
      </c>
    </row>
    <row r="133" spans="1:10" x14ac:dyDescent="0.25">
      <c r="A133" s="5" t="s">
        <v>50893</v>
      </c>
      <c r="B133" s="6">
        <v>412.5</v>
      </c>
      <c r="C133" s="6">
        <v>20.478950000000001</v>
      </c>
      <c r="D133" s="6">
        <v>75</v>
      </c>
      <c r="E133" s="6">
        <v>0</v>
      </c>
      <c r="F133" s="6">
        <v>0</v>
      </c>
      <c r="G133" s="6">
        <v>10</v>
      </c>
      <c r="H133" s="6" t="s">
        <v>50894</v>
      </c>
      <c r="I133" s="6">
        <v>532.5</v>
      </c>
      <c r="J133" s="2">
        <f t="shared" si="2"/>
        <v>43749.412154062498</v>
      </c>
    </row>
    <row r="134" spans="1:10" x14ac:dyDescent="0.25">
      <c r="A134" s="7" t="s">
        <v>50895</v>
      </c>
      <c r="B134" s="8">
        <v>393.75</v>
      </c>
      <c r="C134" s="8">
        <v>20.478950000000001</v>
      </c>
      <c r="D134" s="8">
        <v>75</v>
      </c>
      <c r="E134" s="8">
        <v>0</v>
      </c>
      <c r="F134" s="8">
        <v>0</v>
      </c>
      <c r="G134" s="8">
        <v>4</v>
      </c>
      <c r="H134" s="8" t="s">
        <v>50896</v>
      </c>
      <c r="I134" s="8">
        <v>526.6875</v>
      </c>
      <c r="J134" s="3">
        <f t="shared" si="2"/>
        <v>43749.412237638891</v>
      </c>
    </row>
    <row r="135" spans="1:10" x14ac:dyDescent="0.25">
      <c r="A135" s="5" t="s">
        <v>50897</v>
      </c>
      <c r="B135" s="6">
        <v>393.75</v>
      </c>
      <c r="C135" s="6">
        <v>20.478950000000001</v>
      </c>
      <c r="D135" s="6">
        <v>75</v>
      </c>
      <c r="E135" s="6">
        <v>0</v>
      </c>
      <c r="F135" s="6">
        <v>0</v>
      </c>
      <c r="G135" s="6">
        <v>3</v>
      </c>
      <c r="H135" s="6" t="s">
        <v>50898</v>
      </c>
      <c r="I135" s="6">
        <v>526.6875</v>
      </c>
      <c r="J135" s="2">
        <f t="shared" si="2"/>
        <v>43749.412321192132</v>
      </c>
    </row>
    <row r="136" spans="1:10" x14ac:dyDescent="0.25">
      <c r="A136" s="7" t="s">
        <v>50899</v>
      </c>
      <c r="B136" s="8">
        <v>393.75</v>
      </c>
      <c r="C136" s="8">
        <v>20.478950000000001</v>
      </c>
      <c r="D136" s="8">
        <v>75</v>
      </c>
      <c r="E136" s="8">
        <v>0</v>
      </c>
      <c r="F136" s="8">
        <v>0</v>
      </c>
      <c r="G136" s="8">
        <v>7</v>
      </c>
      <c r="H136" s="8" t="s">
        <v>50900</v>
      </c>
      <c r="I136" s="8">
        <v>526.6875</v>
      </c>
      <c r="J136" s="3">
        <f t="shared" si="2"/>
        <v>43749.412404629627</v>
      </c>
    </row>
    <row r="137" spans="1:10" x14ac:dyDescent="0.25">
      <c r="A137" s="5" t="s">
        <v>50901</v>
      </c>
      <c r="B137" s="6">
        <v>393.75</v>
      </c>
      <c r="C137" s="6">
        <v>20.478950000000001</v>
      </c>
      <c r="D137" s="6">
        <v>75</v>
      </c>
      <c r="E137" s="6">
        <v>0</v>
      </c>
      <c r="F137" s="6">
        <v>0</v>
      </c>
      <c r="G137" s="6">
        <v>12</v>
      </c>
      <c r="H137" s="6" t="s">
        <v>50902</v>
      </c>
      <c r="I137" s="6">
        <v>526.6875</v>
      </c>
      <c r="J137" s="2">
        <f t="shared" si="2"/>
        <v>43749.412488101851</v>
      </c>
    </row>
    <row r="138" spans="1:10" x14ac:dyDescent="0.25">
      <c r="A138" s="7" t="s">
        <v>50903</v>
      </c>
      <c r="B138" s="8">
        <v>412.5</v>
      </c>
      <c r="C138" s="8">
        <v>20.478950000000001</v>
      </c>
      <c r="D138" s="8">
        <v>75</v>
      </c>
      <c r="E138" s="8">
        <v>0</v>
      </c>
      <c r="F138" s="8">
        <v>0</v>
      </c>
      <c r="G138" s="8">
        <v>3</v>
      </c>
      <c r="H138" s="8" t="s">
        <v>50904</v>
      </c>
      <c r="I138" s="8">
        <v>532.5</v>
      </c>
      <c r="J138" s="3">
        <f t="shared" si="2"/>
        <v>43749.412584988422</v>
      </c>
    </row>
    <row r="139" spans="1:10" x14ac:dyDescent="0.25">
      <c r="A139" s="5" t="s">
        <v>50905</v>
      </c>
      <c r="B139" s="6">
        <v>393.75</v>
      </c>
      <c r="C139" s="6">
        <v>20.478950000000001</v>
      </c>
      <c r="D139" s="6">
        <v>75</v>
      </c>
      <c r="E139" s="6">
        <v>0</v>
      </c>
      <c r="F139" s="6">
        <v>0</v>
      </c>
      <c r="G139" s="6">
        <v>0</v>
      </c>
      <c r="H139" s="6" t="s">
        <v>50906</v>
      </c>
      <c r="I139" s="6">
        <v>526.6875</v>
      </c>
      <c r="J139" s="2">
        <f t="shared" si="2"/>
        <v>43749.412667060184</v>
      </c>
    </row>
    <row r="140" spans="1:10" x14ac:dyDescent="0.25">
      <c r="A140" s="7" t="s">
        <v>50907</v>
      </c>
      <c r="B140" s="8">
        <v>393.75</v>
      </c>
      <c r="C140" s="8">
        <v>20.478950000000001</v>
      </c>
      <c r="D140" s="8">
        <v>72</v>
      </c>
      <c r="E140" s="8">
        <v>0</v>
      </c>
      <c r="F140" s="8">
        <v>0</v>
      </c>
      <c r="G140" s="8">
        <v>3</v>
      </c>
      <c r="H140" s="8" t="s">
        <v>50908</v>
      </c>
      <c r="I140" s="8">
        <v>526.6875</v>
      </c>
      <c r="J140" s="3">
        <f t="shared" si="2"/>
        <v>43749.412750497686</v>
      </c>
    </row>
    <row r="141" spans="1:10" x14ac:dyDescent="0.25">
      <c r="A141" s="5" t="s">
        <v>50909</v>
      </c>
      <c r="B141" s="6">
        <v>393.75</v>
      </c>
      <c r="C141" s="6">
        <v>20.478950000000001</v>
      </c>
      <c r="D141" s="6">
        <v>73</v>
      </c>
      <c r="E141" s="6">
        <v>0</v>
      </c>
      <c r="F141" s="6">
        <v>0</v>
      </c>
      <c r="G141" s="6">
        <v>2</v>
      </c>
      <c r="H141" s="6" t="s">
        <v>50910</v>
      </c>
      <c r="I141" s="6">
        <v>526.5</v>
      </c>
      <c r="J141" s="2">
        <f t="shared" si="2"/>
        <v>43749.412834062496</v>
      </c>
    </row>
    <row r="142" spans="1:10" x14ac:dyDescent="0.25">
      <c r="A142" s="7" t="s">
        <v>50911</v>
      </c>
      <c r="B142" s="8">
        <v>393.75</v>
      </c>
      <c r="C142" s="8">
        <v>20.478950000000001</v>
      </c>
      <c r="D142" s="8">
        <v>73</v>
      </c>
      <c r="E142" s="8">
        <v>0</v>
      </c>
      <c r="F142" s="8">
        <v>0</v>
      </c>
      <c r="G142" s="8">
        <v>0</v>
      </c>
      <c r="H142" s="8" t="s">
        <v>50912</v>
      </c>
      <c r="I142" s="8">
        <v>526.6875</v>
      </c>
      <c r="J142" s="3">
        <f t="shared" si="2"/>
        <v>43749.412917523143</v>
      </c>
    </row>
    <row r="143" spans="1:10" x14ac:dyDescent="0.25">
      <c r="A143" s="5" t="s">
        <v>50913</v>
      </c>
      <c r="B143" s="6">
        <v>393.75</v>
      </c>
      <c r="C143" s="6">
        <v>20.478950000000001</v>
      </c>
      <c r="D143" s="6">
        <v>73</v>
      </c>
      <c r="E143" s="6">
        <v>0</v>
      </c>
      <c r="F143" s="6">
        <v>0</v>
      </c>
      <c r="G143" s="6">
        <v>0</v>
      </c>
      <c r="H143" s="6" t="s">
        <v>50914</v>
      </c>
      <c r="I143" s="6">
        <v>526.6875</v>
      </c>
      <c r="J143" s="2">
        <f t="shared" si="2"/>
        <v>43749.413000856475</v>
      </c>
    </row>
    <row r="144" spans="1:10" x14ac:dyDescent="0.25">
      <c r="A144" s="7" t="s">
        <v>50915</v>
      </c>
      <c r="B144" s="8">
        <v>393.75</v>
      </c>
      <c r="C144" s="8">
        <v>20.478950000000001</v>
      </c>
      <c r="D144" s="8">
        <v>73</v>
      </c>
      <c r="E144" s="8">
        <v>0</v>
      </c>
      <c r="F144" s="8">
        <v>0</v>
      </c>
      <c r="G144" s="8">
        <v>0</v>
      </c>
      <c r="H144" s="8" t="s">
        <v>50916</v>
      </c>
      <c r="I144" s="8">
        <v>526.6875</v>
      </c>
      <c r="J144" s="3">
        <f t="shared" si="2"/>
        <v>43749.413084432868</v>
      </c>
    </row>
    <row r="145" spans="1:10" x14ac:dyDescent="0.25">
      <c r="A145" s="5" t="s">
        <v>50917</v>
      </c>
      <c r="B145" s="6">
        <v>393.75</v>
      </c>
      <c r="C145" s="6">
        <v>20.478950000000001</v>
      </c>
      <c r="D145" s="6">
        <v>73</v>
      </c>
      <c r="E145" s="6">
        <v>0</v>
      </c>
      <c r="F145" s="6">
        <v>0</v>
      </c>
      <c r="G145" s="6">
        <v>0</v>
      </c>
      <c r="H145" s="6" t="s">
        <v>50918</v>
      </c>
      <c r="I145" s="6">
        <v>526.6875</v>
      </c>
      <c r="J145" s="2">
        <f t="shared" si="2"/>
        <v>43749.413167638886</v>
      </c>
    </row>
    <row r="146" spans="1:10" x14ac:dyDescent="0.25">
      <c r="A146" s="7" t="s">
        <v>50919</v>
      </c>
      <c r="B146" s="8">
        <v>393.75</v>
      </c>
      <c r="C146" s="8">
        <v>20.478950000000001</v>
      </c>
      <c r="D146" s="8">
        <v>73</v>
      </c>
      <c r="E146" s="8">
        <v>0</v>
      </c>
      <c r="F146" s="8">
        <v>0</v>
      </c>
      <c r="G146" s="8">
        <v>0</v>
      </c>
      <c r="H146" s="8" t="s">
        <v>50920</v>
      </c>
      <c r="I146" s="8">
        <v>526.6875</v>
      </c>
      <c r="J146" s="3">
        <f t="shared" si="2"/>
        <v>43749.413239166664</v>
      </c>
    </row>
    <row r="147" spans="1:10" x14ac:dyDescent="0.25">
      <c r="A147" s="5" t="s">
        <v>50921</v>
      </c>
      <c r="B147" s="6">
        <v>393.75</v>
      </c>
      <c r="C147" s="6">
        <v>20.478950000000001</v>
      </c>
      <c r="D147" s="6">
        <v>74</v>
      </c>
      <c r="E147" s="6">
        <v>0</v>
      </c>
      <c r="F147" s="6">
        <v>0</v>
      </c>
      <c r="G147" s="6">
        <v>0</v>
      </c>
      <c r="H147" s="6" t="s">
        <v>50922</v>
      </c>
      <c r="I147" s="6">
        <v>526.6875</v>
      </c>
      <c r="J147" s="2">
        <f t="shared" si="2"/>
        <v>43749.413323067129</v>
      </c>
    </row>
    <row r="148" spans="1:10" x14ac:dyDescent="0.25">
      <c r="A148" s="7" t="s">
        <v>50923</v>
      </c>
      <c r="B148" s="8">
        <v>393.75</v>
      </c>
      <c r="C148" s="8">
        <v>20.478950000000001</v>
      </c>
      <c r="D148" s="8">
        <v>74</v>
      </c>
      <c r="E148" s="8">
        <v>0</v>
      </c>
      <c r="F148" s="8">
        <v>0</v>
      </c>
      <c r="G148" s="8">
        <v>0</v>
      </c>
      <c r="H148" s="8" t="s">
        <v>50924</v>
      </c>
      <c r="I148" s="8">
        <v>526.6875</v>
      </c>
      <c r="J148" s="3">
        <f t="shared" si="2"/>
        <v>43749.413406562497</v>
      </c>
    </row>
    <row r="149" spans="1:10" x14ac:dyDescent="0.25">
      <c r="A149" s="5" t="s">
        <v>50925</v>
      </c>
      <c r="B149" s="6">
        <v>393.75</v>
      </c>
      <c r="C149" s="6">
        <v>20.478950000000001</v>
      </c>
      <c r="D149" s="6">
        <v>75</v>
      </c>
      <c r="E149" s="6">
        <v>0</v>
      </c>
      <c r="F149" s="6">
        <v>0</v>
      </c>
      <c r="G149" s="6">
        <v>10</v>
      </c>
      <c r="H149" s="6" t="s">
        <v>50926</v>
      </c>
      <c r="I149" s="6">
        <v>526.6875</v>
      </c>
      <c r="J149" s="2">
        <f t="shared" si="2"/>
        <v>43749.41348974537</v>
      </c>
    </row>
    <row r="150" spans="1:10" x14ac:dyDescent="0.25">
      <c r="A150" s="7" t="s">
        <v>50927</v>
      </c>
      <c r="B150" s="8">
        <v>393.75</v>
      </c>
      <c r="C150" s="8">
        <v>20.478950000000001</v>
      </c>
      <c r="D150" s="8">
        <v>75</v>
      </c>
      <c r="E150" s="8">
        <v>0</v>
      </c>
      <c r="F150" s="8">
        <v>0</v>
      </c>
      <c r="G150" s="8">
        <v>2</v>
      </c>
      <c r="H150" s="8" t="s">
        <v>50928</v>
      </c>
      <c r="I150" s="8">
        <v>526.6875</v>
      </c>
      <c r="J150" s="3">
        <f t="shared" si="2"/>
        <v>43749.413561516201</v>
      </c>
    </row>
    <row r="151" spans="1:10" x14ac:dyDescent="0.25">
      <c r="A151" s="5" t="s">
        <v>50929</v>
      </c>
      <c r="B151" s="6">
        <v>393.75</v>
      </c>
      <c r="C151" s="6">
        <v>20.478950000000001</v>
      </c>
      <c r="D151" s="6">
        <v>75</v>
      </c>
      <c r="E151" s="6">
        <v>0</v>
      </c>
      <c r="F151" s="6">
        <v>0</v>
      </c>
      <c r="G151" s="6">
        <v>5</v>
      </c>
      <c r="H151" s="6" t="s">
        <v>50930</v>
      </c>
      <c r="I151" s="6">
        <v>526.6875</v>
      </c>
      <c r="J151" s="2">
        <f t="shared" si="2"/>
        <v>43749.413644942128</v>
      </c>
    </row>
    <row r="152" spans="1:10" x14ac:dyDescent="0.25">
      <c r="A152" s="7" t="s">
        <v>50931</v>
      </c>
      <c r="B152" s="8">
        <v>393.75</v>
      </c>
      <c r="C152" s="8">
        <v>20.478950000000001</v>
      </c>
      <c r="D152" s="8">
        <v>75</v>
      </c>
      <c r="E152" s="8">
        <v>0</v>
      </c>
      <c r="F152" s="8">
        <v>0</v>
      </c>
      <c r="G152" s="8">
        <v>1</v>
      </c>
      <c r="H152" s="8" t="s">
        <v>50932</v>
      </c>
      <c r="I152" s="8">
        <v>526.6875</v>
      </c>
      <c r="J152" s="3">
        <f t="shared" si="2"/>
        <v>43749.413740324067</v>
      </c>
    </row>
    <row r="153" spans="1:10" x14ac:dyDescent="0.25">
      <c r="A153" s="5" t="s">
        <v>50933</v>
      </c>
      <c r="B153" s="6">
        <v>393.75</v>
      </c>
      <c r="C153" s="6">
        <v>20.478950000000001</v>
      </c>
      <c r="D153" s="6">
        <v>75</v>
      </c>
      <c r="E153" s="6">
        <v>0</v>
      </c>
      <c r="F153" s="6">
        <v>0</v>
      </c>
      <c r="G153" s="6">
        <v>7</v>
      </c>
      <c r="H153" s="6" t="s">
        <v>50934</v>
      </c>
      <c r="I153" s="6">
        <v>526.6875</v>
      </c>
      <c r="J153" s="2">
        <f t="shared" si="2"/>
        <v>43749.413823981478</v>
      </c>
    </row>
    <row r="154" spans="1:10" x14ac:dyDescent="0.25">
      <c r="A154" s="7" t="s">
        <v>50935</v>
      </c>
      <c r="B154" s="8">
        <v>393.75</v>
      </c>
      <c r="C154" s="8">
        <v>20.478950000000001</v>
      </c>
      <c r="D154" s="8">
        <v>75</v>
      </c>
      <c r="E154" s="8">
        <v>0</v>
      </c>
      <c r="F154" s="8">
        <v>0</v>
      </c>
      <c r="G154" s="8">
        <v>13</v>
      </c>
      <c r="H154" s="8" t="s">
        <v>50936</v>
      </c>
      <c r="I154" s="8">
        <v>526.6875</v>
      </c>
      <c r="J154" s="3">
        <f t="shared" si="2"/>
        <v>43749.413895405094</v>
      </c>
    </row>
    <row r="155" spans="1:10" x14ac:dyDescent="0.25">
      <c r="A155" s="5" t="s">
        <v>50937</v>
      </c>
      <c r="B155" s="6">
        <v>393.75</v>
      </c>
      <c r="C155" s="6">
        <v>20.478950000000001</v>
      </c>
      <c r="D155" s="6">
        <v>75</v>
      </c>
      <c r="E155" s="6">
        <v>0</v>
      </c>
      <c r="F155" s="6">
        <v>0</v>
      </c>
      <c r="G155" s="6">
        <v>10</v>
      </c>
      <c r="H155" s="6" t="s">
        <v>50938</v>
      </c>
      <c r="I155" s="6">
        <v>526.6875</v>
      </c>
      <c r="J155" s="2">
        <f t="shared" si="2"/>
        <v>43749.413978645833</v>
      </c>
    </row>
    <row r="156" spans="1:10" x14ac:dyDescent="0.25">
      <c r="A156" s="7" t="s">
        <v>50939</v>
      </c>
      <c r="B156" s="8">
        <v>393.75</v>
      </c>
      <c r="C156" s="8">
        <v>20.478950000000001</v>
      </c>
      <c r="D156" s="8">
        <v>75</v>
      </c>
      <c r="E156" s="8">
        <v>0</v>
      </c>
      <c r="F156" s="8">
        <v>0</v>
      </c>
      <c r="G156" s="8">
        <v>1</v>
      </c>
      <c r="H156" s="8" t="s">
        <v>50940</v>
      </c>
      <c r="I156" s="8">
        <v>526.6875</v>
      </c>
      <c r="J156" s="3">
        <f t="shared" si="2"/>
        <v>43749.414050405096</v>
      </c>
    </row>
    <row r="157" spans="1:10" x14ac:dyDescent="0.25">
      <c r="A157" s="5" t="s">
        <v>50941</v>
      </c>
      <c r="B157" s="6">
        <v>393.75</v>
      </c>
      <c r="C157" s="6">
        <v>20.478950000000001</v>
      </c>
      <c r="D157" s="6">
        <v>76</v>
      </c>
      <c r="E157" s="6">
        <v>0</v>
      </c>
      <c r="F157" s="6">
        <v>0</v>
      </c>
      <c r="G157" s="6">
        <v>12</v>
      </c>
      <c r="H157" s="6" t="s">
        <v>50942</v>
      </c>
      <c r="I157" s="6">
        <v>526.6875</v>
      </c>
      <c r="J157" s="2">
        <f t="shared" si="2"/>
        <v>43749.414134178238</v>
      </c>
    </row>
    <row r="158" spans="1:10" x14ac:dyDescent="0.25">
      <c r="A158" s="7" t="s">
        <v>50943</v>
      </c>
      <c r="B158" s="8">
        <v>393.75</v>
      </c>
      <c r="C158" s="8">
        <v>20.478950000000001</v>
      </c>
      <c r="D158" s="8">
        <v>76</v>
      </c>
      <c r="E158" s="8">
        <v>0</v>
      </c>
      <c r="F158" s="8">
        <v>0</v>
      </c>
      <c r="G158" s="8">
        <v>9</v>
      </c>
      <c r="H158" s="8" t="s">
        <v>50944</v>
      </c>
      <c r="I158" s="8">
        <v>526.6875</v>
      </c>
      <c r="J158" s="3">
        <f t="shared" si="2"/>
        <v>43749.41421751157</v>
      </c>
    </row>
    <row r="159" spans="1:10" x14ac:dyDescent="0.25">
      <c r="A159" s="5" t="s">
        <v>50945</v>
      </c>
      <c r="B159" s="6">
        <v>393.75</v>
      </c>
      <c r="C159" s="6">
        <v>20.478950000000001</v>
      </c>
      <c r="D159" s="6">
        <v>74</v>
      </c>
      <c r="E159" s="6">
        <v>0</v>
      </c>
      <c r="F159" s="6">
        <v>0</v>
      </c>
      <c r="G159" s="6">
        <v>3</v>
      </c>
      <c r="H159" s="6" t="s">
        <v>50946</v>
      </c>
      <c r="I159" s="6">
        <v>526.6875</v>
      </c>
      <c r="J159" s="2">
        <f t="shared" si="2"/>
        <v>43749.414300983794</v>
      </c>
    </row>
    <row r="160" spans="1:10" x14ac:dyDescent="0.25">
      <c r="A160" s="7" t="s">
        <v>50947</v>
      </c>
      <c r="B160" s="8">
        <v>393.75</v>
      </c>
      <c r="C160" s="8">
        <v>20.478950000000001</v>
      </c>
      <c r="D160" s="8">
        <v>74</v>
      </c>
      <c r="E160" s="8">
        <v>0</v>
      </c>
      <c r="F160" s="8">
        <v>0</v>
      </c>
      <c r="G160" s="8">
        <v>0</v>
      </c>
      <c r="H160" s="8" t="s">
        <v>50948</v>
      </c>
      <c r="I160" s="8">
        <v>526.6875</v>
      </c>
      <c r="J160" s="3">
        <f t="shared" si="2"/>
        <v>43749.41438440972</v>
      </c>
    </row>
    <row r="161" spans="1:10" x14ac:dyDescent="0.25">
      <c r="A161" s="5" t="s">
        <v>50949</v>
      </c>
      <c r="B161" s="6">
        <v>393.75</v>
      </c>
      <c r="C161" s="6">
        <v>20.478950000000001</v>
      </c>
      <c r="D161" s="6">
        <v>74</v>
      </c>
      <c r="E161" s="6">
        <v>0</v>
      </c>
      <c r="F161" s="6">
        <v>0</v>
      </c>
      <c r="G161" s="6">
        <v>2</v>
      </c>
      <c r="H161" s="6" t="s">
        <v>50950</v>
      </c>
      <c r="I161" s="6">
        <v>526.6875</v>
      </c>
      <c r="J161" s="2">
        <f t="shared" si="2"/>
        <v>43749.41446763889</v>
      </c>
    </row>
    <row r="162" spans="1:10" x14ac:dyDescent="0.25">
      <c r="A162" s="7" t="s">
        <v>50951</v>
      </c>
      <c r="B162" s="8">
        <v>412.5</v>
      </c>
      <c r="C162" s="8">
        <v>20.478950000000001</v>
      </c>
      <c r="D162" s="8">
        <v>74</v>
      </c>
      <c r="E162" s="8">
        <v>0</v>
      </c>
      <c r="F162" s="8">
        <v>0</v>
      </c>
      <c r="G162" s="8">
        <v>3</v>
      </c>
      <c r="H162" s="8" t="s">
        <v>50952</v>
      </c>
      <c r="I162" s="8">
        <v>532.5</v>
      </c>
      <c r="J162" s="3">
        <f t="shared" si="2"/>
        <v>43749.414539270831</v>
      </c>
    </row>
    <row r="163" spans="1:10" x14ac:dyDescent="0.25">
      <c r="A163" s="5" t="s">
        <v>50953</v>
      </c>
      <c r="B163" s="6">
        <v>393.75</v>
      </c>
      <c r="C163" s="6">
        <v>20.478950000000001</v>
      </c>
      <c r="D163" s="6">
        <v>72</v>
      </c>
      <c r="E163" s="6">
        <v>0</v>
      </c>
      <c r="F163" s="6">
        <v>0</v>
      </c>
      <c r="G163" s="6">
        <v>6</v>
      </c>
      <c r="H163" s="6" t="s">
        <v>50954</v>
      </c>
      <c r="I163" s="6">
        <v>526.6875</v>
      </c>
      <c r="J163" s="2">
        <f t="shared" si="2"/>
        <v>43749.414623078701</v>
      </c>
    </row>
    <row r="164" spans="1:10" x14ac:dyDescent="0.25">
      <c r="A164" s="7" t="s">
        <v>50955</v>
      </c>
      <c r="B164" s="8">
        <v>393.75</v>
      </c>
      <c r="C164" s="8">
        <v>20.478950000000001</v>
      </c>
      <c r="D164" s="8">
        <v>72</v>
      </c>
      <c r="E164" s="8">
        <v>0</v>
      </c>
      <c r="F164" s="8">
        <v>0</v>
      </c>
      <c r="G164" s="8">
        <v>0</v>
      </c>
      <c r="H164" s="8" t="s">
        <v>50956</v>
      </c>
      <c r="I164" s="8">
        <v>526.6875</v>
      </c>
      <c r="J164" s="3">
        <f t="shared" si="2"/>
        <v>43749.414706412033</v>
      </c>
    </row>
    <row r="165" spans="1:10" x14ac:dyDescent="0.25">
      <c r="A165" s="5" t="s">
        <v>50957</v>
      </c>
      <c r="B165" s="6">
        <v>393.75</v>
      </c>
      <c r="C165" s="6">
        <v>20.478950000000001</v>
      </c>
      <c r="D165" s="6">
        <v>72</v>
      </c>
      <c r="E165" s="6">
        <v>0</v>
      </c>
      <c r="F165" s="6">
        <v>0</v>
      </c>
      <c r="G165" s="6">
        <v>10</v>
      </c>
      <c r="H165" s="6" t="s">
        <v>50958</v>
      </c>
      <c r="I165" s="6">
        <v>526.6875</v>
      </c>
      <c r="J165" s="2">
        <f t="shared" si="2"/>
        <v>43749.414789745373</v>
      </c>
    </row>
    <row r="166" spans="1:10" x14ac:dyDescent="0.25">
      <c r="A166" s="7" t="s">
        <v>50959</v>
      </c>
      <c r="B166" s="8">
        <v>393.75</v>
      </c>
      <c r="C166" s="8">
        <v>20.478950000000001</v>
      </c>
      <c r="D166" s="8">
        <v>72</v>
      </c>
      <c r="E166" s="8">
        <v>0</v>
      </c>
      <c r="F166" s="8">
        <v>0</v>
      </c>
      <c r="G166" s="8">
        <v>6</v>
      </c>
      <c r="H166" s="8" t="s">
        <v>50960</v>
      </c>
      <c r="I166" s="8">
        <v>526.6875</v>
      </c>
      <c r="J166" s="3">
        <f t="shared" si="2"/>
        <v>43749.414873425929</v>
      </c>
    </row>
    <row r="167" spans="1:10" x14ac:dyDescent="0.25">
      <c r="A167" s="5" t="s">
        <v>50961</v>
      </c>
      <c r="B167" s="6">
        <v>412.5</v>
      </c>
      <c r="C167" s="6">
        <v>20.478950000000001</v>
      </c>
      <c r="D167" s="6">
        <v>72</v>
      </c>
      <c r="E167" s="6">
        <v>0</v>
      </c>
      <c r="F167" s="6">
        <v>0</v>
      </c>
      <c r="G167" s="6">
        <v>11</v>
      </c>
      <c r="H167" s="6" t="s">
        <v>50962</v>
      </c>
      <c r="I167" s="6">
        <v>532.3125</v>
      </c>
      <c r="J167" s="2">
        <f t="shared" si="2"/>
        <v>43749.414956527777</v>
      </c>
    </row>
    <row r="168" spans="1:10" x14ac:dyDescent="0.25">
      <c r="A168" s="7" t="s">
        <v>50963</v>
      </c>
      <c r="B168" s="8">
        <v>393.75</v>
      </c>
      <c r="C168" s="8">
        <v>20.478950000000001</v>
      </c>
      <c r="D168" s="8">
        <v>72</v>
      </c>
      <c r="E168" s="8">
        <v>0</v>
      </c>
      <c r="F168" s="8">
        <v>0</v>
      </c>
      <c r="G168" s="8">
        <v>11</v>
      </c>
      <c r="H168" s="8" t="s">
        <v>50964</v>
      </c>
      <c r="I168" s="8">
        <v>526.6875</v>
      </c>
      <c r="J168" s="3">
        <f t="shared" si="2"/>
        <v>43749.415028159718</v>
      </c>
    </row>
    <row r="169" spans="1:10" x14ac:dyDescent="0.25">
      <c r="A169" s="5" t="s">
        <v>50965</v>
      </c>
      <c r="B169" s="6">
        <v>393.75</v>
      </c>
      <c r="C169" s="6">
        <v>20.478950000000001</v>
      </c>
      <c r="D169" s="6">
        <v>72</v>
      </c>
      <c r="E169" s="6">
        <v>0</v>
      </c>
      <c r="F169" s="6">
        <v>0</v>
      </c>
      <c r="G169" s="6">
        <v>7</v>
      </c>
      <c r="H169" s="6" t="s">
        <v>50966</v>
      </c>
      <c r="I169" s="6">
        <v>526.6875</v>
      </c>
      <c r="J169" s="2">
        <f t="shared" si="2"/>
        <v>43749.415111956019</v>
      </c>
    </row>
    <row r="170" spans="1:10" x14ac:dyDescent="0.25">
      <c r="A170" s="7" t="s">
        <v>50967</v>
      </c>
      <c r="B170" s="8">
        <v>393.75</v>
      </c>
      <c r="C170" s="8">
        <v>20.478950000000001</v>
      </c>
      <c r="D170" s="8">
        <v>74</v>
      </c>
      <c r="E170" s="8">
        <v>0</v>
      </c>
      <c r="F170" s="8">
        <v>0</v>
      </c>
      <c r="G170" s="8">
        <v>9</v>
      </c>
      <c r="H170" s="8" t="s">
        <v>50968</v>
      </c>
      <c r="I170" s="8">
        <v>526.6875</v>
      </c>
      <c r="J170" s="3">
        <f t="shared" si="2"/>
        <v>43749.415195532405</v>
      </c>
    </row>
    <row r="171" spans="1:10" x14ac:dyDescent="0.25">
      <c r="A171" s="5" t="s">
        <v>50969</v>
      </c>
      <c r="B171" s="6">
        <v>393.75</v>
      </c>
      <c r="C171" s="6">
        <v>20.478950000000001</v>
      </c>
      <c r="D171" s="6">
        <v>74</v>
      </c>
      <c r="E171" s="6">
        <v>0</v>
      </c>
      <c r="F171" s="6">
        <v>0</v>
      </c>
      <c r="G171" s="6">
        <v>11</v>
      </c>
      <c r="H171" s="6" t="s">
        <v>50970</v>
      </c>
      <c r="I171" s="6">
        <v>526.6875</v>
      </c>
      <c r="J171" s="2">
        <f t="shared" si="2"/>
        <v>43749.415278622684</v>
      </c>
    </row>
    <row r="172" spans="1:10" x14ac:dyDescent="0.25">
      <c r="A172" s="7" t="s">
        <v>50971</v>
      </c>
      <c r="B172" s="8">
        <v>393.75</v>
      </c>
      <c r="C172" s="8">
        <v>20.478950000000001</v>
      </c>
      <c r="D172" s="8">
        <v>74</v>
      </c>
      <c r="E172" s="8">
        <v>0</v>
      </c>
      <c r="F172" s="8">
        <v>0</v>
      </c>
      <c r="G172" s="8">
        <v>15</v>
      </c>
      <c r="H172" s="8" t="s">
        <v>50972</v>
      </c>
      <c r="I172" s="8">
        <v>526.6875</v>
      </c>
      <c r="J172" s="3">
        <f t="shared" si="2"/>
        <v>43749.415386030094</v>
      </c>
    </row>
    <row r="173" spans="1:10" x14ac:dyDescent="0.25">
      <c r="A173" s="5" t="s">
        <v>50973</v>
      </c>
      <c r="B173" s="6">
        <v>393.75</v>
      </c>
      <c r="C173" s="6">
        <v>20.478950000000001</v>
      </c>
      <c r="D173" s="6">
        <v>74</v>
      </c>
      <c r="E173" s="6">
        <v>0</v>
      </c>
      <c r="F173" s="6">
        <v>0</v>
      </c>
      <c r="G173" s="6">
        <v>10</v>
      </c>
      <c r="H173" s="6" t="s">
        <v>50974</v>
      </c>
      <c r="I173" s="6">
        <v>526.5</v>
      </c>
      <c r="J173" s="2">
        <f t="shared" si="2"/>
        <v>43749.41546971065</v>
      </c>
    </row>
    <row r="174" spans="1:10" x14ac:dyDescent="0.25">
      <c r="A174" s="7" t="s">
        <v>50975</v>
      </c>
      <c r="B174" s="8">
        <v>393.75</v>
      </c>
      <c r="C174" s="8">
        <v>20.478950000000001</v>
      </c>
      <c r="D174" s="8">
        <v>74</v>
      </c>
      <c r="E174" s="8">
        <v>0</v>
      </c>
      <c r="F174" s="8">
        <v>0</v>
      </c>
      <c r="G174" s="8">
        <v>7</v>
      </c>
      <c r="H174" s="8" t="s">
        <v>50976</v>
      </c>
      <c r="I174" s="8">
        <v>526.6875</v>
      </c>
      <c r="J174" s="3">
        <f t="shared" si="2"/>
        <v>43749.415552812497</v>
      </c>
    </row>
    <row r="175" spans="1:10" x14ac:dyDescent="0.25">
      <c r="A175" s="5" t="s">
        <v>50977</v>
      </c>
      <c r="B175" s="6">
        <v>393.75</v>
      </c>
      <c r="C175" s="6">
        <v>20.478950000000001</v>
      </c>
      <c r="D175" s="6">
        <v>74</v>
      </c>
      <c r="E175" s="6">
        <v>0</v>
      </c>
      <c r="F175" s="6">
        <v>0</v>
      </c>
      <c r="G175" s="6">
        <v>17</v>
      </c>
      <c r="H175" s="6" t="s">
        <v>50978</v>
      </c>
      <c r="I175" s="6">
        <v>526.6875</v>
      </c>
      <c r="J175" s="2">
        <f t="shared" si="2"/>
        <v>43749.415624571753</v>
      </c>
    </row>
    <row r="176" spans="1:10" x14ac:dyDescent="0.25">
      <c r="A176" s="7" t="s">
        <v>50979</v>
      </c>
      <c r="B176" s="8">
        <v>393.75</v>
      </c>
      <c r="C176" s="8">
        <v>20.478950000000001</v>
      </c>
      <c r="D176" s="8">
        <v>75</v>
      </c>
      <c r="E176" s="8">
        <v>0</v>
      </c>
      <c r="F176" s="8">
        <v>0</v>
      </c>
      <c r="G176" s="8">
        <v>10</v>
      </c>
      <c r="H176" s="8" t="s">
        <v>50980</v>
      </c>
      <c r="I176" s="8">
        <v>526.6875</v>
      </c>
      <c r="J176" s="3">
        <f t="shared" si="2"/>
        <v>43749.415708356479</v>
      </c>
    </row>
    <row r="177" spans="1:10" x14ac:dyDescent="0.25">
      <c r="A177" s="5" t="s">
        <v>50981</v>
      </c>
      <c r="B177" s="6">
        <v>393.75</v>
      </c>
      <c r="C177" s="6">
        <v>20.478950000000001</v>
      </c>
      <c r="D177" s="6">
        <v>73</v>
      </c>
      <c r="E177" s="6">
        <v>0</v>
      </c>
      <c r="F177" s="6">
        <v>0</v>
      </c>
      <c r="G177" s="6">
        <v>10</v>
      </c>
      <c r="H177" s="6" t="s">
        <v>50982</v>
      </c>
      <c r="I177" s="6">
        <v>526.6875</v>
      </c>
      <c r="J177" s="2">
        <f t="shared" si="2"/>
        <v>43749.415791701387</v>
      </c>
    </row>
    <row r="178" spans="1:10" x14ac:dyDescent="0.25">
      <c r="A178" s="7" t="s">
        <v>50983</v>
      </c>
      <c r="B178" s="8">
        <v>393.75</v>
      </c>
      <c r="C178" s="8">
        <v>20.478950000000001</v>
      </c>
      <c r="D178" s="8">
        <v>74</v>
      </c>
      <c r="E178" s="8">
        <v>0</v>
      </c>
      <c r="F178" s="8">
        <v>0</v>
      </c>
      <c r="G178" s="8">
        <v>10</v>
      </c>
      <c r="H178" s="8" t="s">
        <v>50984</v>
      </c>
      <c r="I178" s="8">
        <v>526.5</v>
      </c>
      <c r="J178" s="3">
        <f t="shared" si="2"/>
        <v>43749.415875046288</v>
      </c>
    </row>
    <row r="179" spans="1:10" x14ac:dyDescent="0.25">
      <c r="A179" s="5" t="s">
        <v>50985</v>
      </c>
      <c r="B179" s="6">
        <v>393.75</v>
      </c>
      <c r="C179" s="6">
        <v>20.478950000000001</v>
      </c>
      <c r="D179" s="6">
        <v>74</v>
      </c>
      <c r="E179" s="6">
        <v>0</v>
      </c>
      <c r="F179" s="6">
        <v>0</v>
      </c>
      <c r="G179" s="6">
        <v>6</v>
      </c>
      <c r="H179" s="6" t="s">
        <v>50986</v>
      </c>
      <c r="I179" s="6">
        <v>526.6875</v>
      </c>
      <c r="J179" s="2">
        <f t="shared" si="2"/>
        <v>43749.415946678237</v>
      </c>
    </row>
    <row r="180" spans="1:10" x14ac:dyDescent="0.25">
      <c r="A180" s="7" t="s">
        <v>50987</v>
      </c>
      <c r="B180" s="8">
        <v>393.75</v>
      </c>
      <c r="C180" s="8">
        <v>20.478950000000001</v>
      </c>
      <c r="D180" s="8">
        <v>73</v>
      </c>
      <c r="E180" s="8">
        <v>0</v>
      </c>
      <c r="F180" s="8">
        <v>0</v>
      </c>
      <c r="G180" s="8">
        <v>15</v>
      </c>
      <c r="H180" s="8" t="s">
        <v>50988</v>
      </c>
      <c r="I180" s="8">
        <v>526.6875</v>
      </c>
      <c r="J180" s="3">
        <f t="shared" si="2"/>
        <v>43749.416030231478</v>
      </c>
    </row>
    <row r="181" spans="1:10" x14ac:dyDescent="0.25">
      <c r="A181" s="5" t="s">
        <v>50989</v>
      </c>
      <c r="B181" s="6">
        <v>393.75</v>
      </c>
      <c r="C181" s="6">
        <v>20.478950000000001</v>
      </c>
      <c r="D181" s="6">
        <v>72</v>
      </c>
      <c r="E181" s="6">
        <v>0</v>
      </c>
      <c r="F181" s="6">
        <v>0</v>
      </c>
      <c r="G181" s="6">
        <v>13</v>
      </c>
      <c r="H181" s="6" t="s">
        <v>50990</v>
      </c>
      <c r="I181" s="6">
        <v>526.6875</v>
      </c>
      <c r="J181" s="2">
        <f t="shared" si="2"/>
        <v>43749.41611366898</v>
      </c>
    </row>
    <row r="182" spans="1:10" x14ac:dyDescent="0.25">
      <c r="A182" s="7" t="s">
        <v>50991</v>
      </c>
      <c r="B182" s="8">
        <v>393.75</v>
      </c>
      <c r="C182" s="8">
        <v>20.478950000000001</v>
      </c>
      <c r="D182" s="8">
        <v>70</v>
      </c>
      <c r="E182" s="8">
        <v>0</v>
      </c>
      <c r="F182" s="8">
        <v>0</v>
      </c>
      <c r="G182" s="8">
        <v>6</v>
      </c>
      <c r="H182" s="8" t="s">
        <v>50992</v>
      </c>
      <c r="I182" s="8">
        <v>526.6875</v>
      </c>
      <c r="J182" s="3">
        <f t="shared" si="2"/>
        <v>43749.416197164348</v>
      </c>
    </row>
    <row r="183" spans="1:10" x14ac:dyDescent="0.25">
      <c r="A183" s="5" t="s">
        <v>50993</v>
      </c>
      <c r="B183" s="6">
        <v>393.75</v>
      </c>
      <c r="C183" s="6">
        <v>20.478950000000001</v>
      </c>
      <c r="D183" s="6">
        <v>71</v>
      </c>
      <c r="E183" s="6">
        <v>0</v>
      </c>
      <c r="F183" s="6">
        <v>0</v>
      </c>
      <c r="G183" s="6">
        <v>17</v>
      </c>
      <c r="H183" s="6" t="s">
        <v>50994</v>
      </c>
      <c r="I183" s="6">
        <v>526.6875</v>
      </c>
      <c r="J183" s="2">
        <f t="shared" si="2"/>
        <v>43749.416268657405</v>
      </c>
    </row>
    <row r="184" spans="1:10" x14ac:dyDescent="0.25">
      <c r="A184" s="7" t="s">
        <v>50995</v>
      </c>
      <c r="B184" s="8">
        <v>412.5</v>
      </c>
      <c r="C184" s="8">
        <v>20.478950000000001</v>
      </c>
      <c r="D184" s="8">
        <v>72</v>
      </c>
      <c r="E184" s="8">
        <v>0</v>
      </c>
      <c r="F184" s="8">
        <v>0</v>
      </c>
      <c r="G184" s="8">
        <v>0</v>
      </c>
      <c r="H184" s="8" t="s">
        <v>50996</v>
      </c>
      <c r="I184" s="8">
        <v>532.3125</v>
      </c>
      <c r="J184" s="3">
        <f t="shared" si="2"/>
        <v>43749.416352233799</v>
      </c>
    </row>
    <row r="185" spans="1:10" x14ac:dyDescent="0.25">
      <c r="A185" s="5" t="s">
        <v>50997</v>
      </c>
      <c r="B185" s="6">
        <v>393.75</v>
      </c>
      <c r="C185" s="6">
        <v>20.478950000000001</v>
      </c>
      <c r="D185" s="6">
        <v>69</v>
      </c>
      <c r="E185" s="6">
        <v>0</v>
      </c>
      <c r="F185" s="6">
        <v>0</v>
      </c>
      <c r="G185" s="6">
        <v>10</v>
      </c>
      <c r="H185" s="6" t="s">
        <v>50998</v>
      </c>
      <c r="I185" s="6">
        <v>526.6875</v>
      </c>
      <c r="J185" s="2">
        <f t="shared" si="2"/>
        <v>43749.416435694446</v>
      </c>
    </row>
    <row r="186" spans="1:10" x14ac:dyDescent="0.25">
      <c r="A186" s="7" t="s">
        <v>50999</v>
      </c>
      <c r="B186" s="8">
        <v>418.75</v>
      </c>
      <c r="C186" s="8">
        <v>20.478950000000001</v>
      </c>
      <c r="D186" s="8">
        <v>70</v>
      </c>
      <c r="E186" s="8">
        <v>0</v>
      </c>
      <c r="F186" s="8">
        <v>0</v>
      </c>
      <c r="G186" s="8">
        <v>5</v>
      </c>
      <c r="H186" s="8" t="s">
        <v>51000</v>
      </c>
      <c r="I186" s="8">
        <v>534.75</v>
      </c>
      <c r="J186" s="3">
        <f t="shared" si="2"/>
        <v>43749.416519548606</v>
      </c>
    </row>
    <row r="187" spans="1:10" x14ac:dyDescent="0.25">
      <c r="A187" s="5" t="s">
        <v>51001</v>
      </c>
      <c r="B187" s="6">
        <v>393.75</v>
      </c>
      <c r="C187" s="6">
        <v>20.478950000000001</v>
      </c>
      <c r="D187" s="6">
        <v>67</v>
      </c>
      <c r="E187" s="6">
        <v>0</v>
      </c>
      <c r="F187" s="6">
        <v>0</v>
      </c>
      <c r="G187" s="6">
        <v>11</v>
      </c>
      <c r="H187" s="6" t="s">
        <v>51002</v>
      </c>
      <c r="I187" s="6">
        <v>526.6875</v>
      </c>
      <c r="J187" s="2">
        <f t="shared" si="2"/>
        <v>43749.416602685182</v>
      </c>
    </row>
    <row r="188" spans="1:10" x14ac:dyDescent="0.25">
      <c r="A188" s="7" t="s">
        <v>51003</v>
      </c>
      <c r="B188" s="8">
        <v>393.75</v>
      </c>
      <c r="C188" s="8">
        <v>20.478950000000001</v>
      </c>
      <c r="D188" s="8">
        <v>69</v>
      </c>
      <c r="E188" s="8">
        <v>0</v>
      </c>
      <c r="F188" s="8">
        <v>0</v>
      </c>
      <c r="G188" s="8">
        <v>4</v>
      </c>
      <c r="H188" s="8" t="s">
        <v>51004</v>
      </c>
      <c r="I188" s="8">
        <v>526.6875</v>
      </c>
      <c r="J188" s="3">
        <f t="shared" si="2"/>
        <v>43749.416686145829</v>
      </c>
    </row>
    <row r="189" spans="1:10" x14ac:dyDescent="0.25">
      <c r="A189" s="5" t="s">
        <v>51005</v>
      </c>
      <c r="B189" s="6">
        <v>393.75</v>
      </c>
      <c r="C189" s="6">
        <v>20.478950000000001</v>
      </c>
      <c r="D189" s="6">
        <v>69</v>
      </c>
      <c r="E189" s="6">
        <v>0</v>
      </c>
      <c r="F189" s="6">
        <v>0</v>
      </c>
      <c r="G189" s="6">
        <v>0</v>
      </c>
      <c r="H189" s="6" t="s">
        <v>51006</v>
      </c>
      <c r="I189" s="6">
        <v>526.6875</v>
      </c>
      <c r="J189" s="2">
        <f t="shared" si="2"/>
        <v>43749.416769710646</v>
      </c>
    </row>
    <row r="190" spans="1:10" x14ac:dyDescent="0.25">
      <c r="A190" s="7" t="s">
        <v>51007</v>
      </c>
      <c r="B190" s="8">
        <v>393.75</v>
      </c>
      <c r="C190" s="8">
        <v>20.478950000000001</v>
      </c>
      <c r="D190" s="8">
        <v>69</v>
      </c>
      <c r="E190" s="8">
        <v>0</v>
      </c>
      <c r="F190" s="8">
        <v>0</v>
      </c>
      <c r="G190" s="8">
        <v>10</v>
      </c>
      <c r="H190" s="8" t="s">
        <v>51008</v>
      </c>
      <c r="I190" s="8">
        <v>526.6875</v>
      </c>
      <c r="J190" s="3">
        <f t="shared" si="2"/>
        <v>43749.416852800925</v>
      </c>
    </row>
    <row r="191" spans="1:10" x14ac:dyDescent="0.25">
      <c r="A191" s="5" t="s">
        <v>51009</v>
      </c>
      <c r="B191" s="6">
        <v>437.5</v>
      </c>
      <c r="C191" s="6">
        <v>20.478950000000001</v>
      </c>
      <c r="D191" s="6">
        <v>69</v>
      </c>
      <c r="E191" s="6">
        <v>0</v>
      </c>
      <c r="F191" s="6">
        <v>0</v>
      </c>
      <c r="G191" s="6">
        <v>20</v>
      </c>
      <c r="H191" s="6" t="s">
        <v>51010</v>
      </c>
      <c r="I191" s="6">
        <v>540</v>
      </c>
      <c r="J191" s="2">
        <f t="shared" si="2"/>
        <v>43749.416924675919</v>
      </c>
    </row>
    <row r="192" spans="1:10" x14ac:dyDescent="0.25">
      <c r="A192" s="7" t="s">
        <v>51011</v>
      </c>
      <c r="B192" s="8">
        <v>393.75</v>
      </c>
      <c r="C192" s="8">
        <v>20.478950000000001</v>
      </c>
      <c r="D192" s="8">
        <v>69</v>
      </c>
      <c r="E192" s="8">
        <v>0</v>
      </c>
      <c r="F192" s="8">
        <v>0</v>
      </c>
      <c r="G192" s="8">
        <v>13</v>
      </c>
      <c r="H192" s="8" t="s">
        <v>51012</v>
      </c>
      <c r="I192" s="8">
        <v>526.6875</v>
      </c>
      <c r="J192" s="3">
        <f t="shared" si="2"/>
        <v>43749.417008263881</v>
      </c>
    </row>
    <row r="193" spans="1:10" x14ac:dyDescent="0.25">
      <c r="A193" s="5" t="s">
        <v>51013</v>
      </c>
      <c r="B193" s="6">
        <v>393.75</v>
      </c>
      <c r="C193" s="6">
        <v>20.478950000000001</v>
      </c>
      <c r="D193" s="6">
        <v>70</v>
      </c>
      <c r="E193" s="6">
        <v>0</v>
      </c>
      <c r="F193" s="6">
        <v>0</v>
      </c>
      <c r="G193" s="6">
        <v>13</v>
      </c>
      <c r="H193" s="6" t="s">
        <v>51014</v>
      </c>
      <c r="I193" s="6">
        <v>526.6875</v>
      </c>
      <c r="J193" s="2">
        <f t="shared" si="2"/>
        <v>43749.417079768515</v>
      </c>
    </row>
    <row r="194" spans="1:10" x14ac:dyDescent="0.25">
      <c r="A194" s="7" t="s">
        <v>51015</v>
      </c>
      <c r="B194" s="8">
        <v>393.75</v>
      </c>
      <c r="C194" s="8">
        <v>20.478950000000001</v>
      </c>
      <c r="D194" s="8">
        <v>69</v>
      </c>
      <c r="E194" s="8">
        <v>0</v>
      </c>
      <c r="F194" s="8">
        <v>0</v>
      </c>
      <c r="G194" s="8">
        <v>18</v>
      </c>
      <c r="H194" s="8" t="s">
        <v>51016</v>
      </c>
      <c r="I194" s="8">
        <v>526.6875</v>
      </c>
      <c r="J194" s="3">
        <f t="shared" ref="J194:J257" si="3">(H194/86400000)+25569+(7/24)</f>
        <v>43749.417163206017</v>
      </c>
    </row>
    <row r="195" spans="1:10" x14ac:dyDescent="0.25">
      <c r="A195" s="5" t="s">
        <v>51017</v>
      </c>
      <c r="B195" s="6">
        <v>393.75</v>
      </c>
      <c r="C195" s="6">
        <v>20.478950000000001</v>
      </c>
      <c r="D195" s="6">
        <v>69</v>
      </c>
      <c r="E195" s="6">
        <v>0</v>
      </c>
      <c r="F195" s="6">
        <v>0</v>
      </c>
      <c r="G195" s="6">
        <v>10</v>
      </c>
      <c r="H195" s="6" t="s">
        <v>51018</v>
      </c>
      <c r="I195" s="6">
        <v>526.6875</v>
      </c>
      <c r="J195" s="2">
        <f t="shared" si="3"/>
        <v>43749.417246562494</v>
      </c>
    </row>
    <row r="196" spans="1:10" x14ac:dyDescent="0.25">
      <c r="A196" s="7" t="s">
        <v>51019</v>
      </c>
      <c r="B196" s="8">
        <v>393.75</v>
      </c>
      <c r="C196" s="8">
        <v>20.478950000000001</v>
      </c>
      <c r="D196" s="8">
        <v>70</v>
      </c>
      <c r="E196" s="8">
        <v>0</v>
      </c>
      <c r="F196" s="8">
        <v>0</v>
      </c>
      <c r="G196" s="8">
        <v>17</v>
      </c>
      <c r="H196" s="8" t="s">
        <v>51020</v>
      </c>
      <c r="I196" s="8">
        <v>526.6875</v>
      </c>
      <c r="J196" s="3">
        <f t="shared" si="3"/>
        <v>43749.41733024305</v>
      </c>
    </row>
    <row r="197" spans="1:10" x14ac:dyDescent="0.25">
      <c r="A197" s="5" t="s">
        <v>51021</v>
      </c>
      <c r="B197" s="6">
        <v>393.75</v>
      </c>
      <c r="C197" s="6">
        <v>20.478950000000001</v>
      </c>
      <c r="D197" s="6">
        <v>70</v>
      </c>
      <c r="E197" s="6">
        <v>0</v>
      </c>
      <c r="F197" s="6">
        <v>0</v>
      </c>
      <c r="G197" s="6">
        <v>13</v>
      </c>
      <c r="H197" s="6" t="s">
        <v>51022</v>
      </c>
      <c r="I197" s="6">
        <v>526.6875</v>
      </c>
      <c r="J197" s="2">
        <f t="shared" si="3"/>
        <v>43749.417413692128</v>
      </c>
    </row>
    <row r="198" spans="1:10" x14ac:dyDescent="0.25">
      <c r="A198" s="7" t="s">
        <v>51023</v>
      </c>
      <c r="B198" s="8">
        <v>393.75</v>
      </c>
      <c r="C198" s="8">
        <v>20.478950000000001</v>
      </c>
      <c r="D198" s="8">
        <v>70</v>
      </c>
      <c r="E198" s="8">
        <v>0</v>
      </c>
      <c r="F198" s="8">
        <v>0</v>
      </c>
      <c r="G198" s="8">
        <v>11</v>
      </c>
      <c r="H198" s="8" t="s">
        <v>51024</v>
      </c>
      <c r="I198" s="8">
        <v>526.6875</v>
      </c>
      <c r="J198" s="3">
        <f t="shared" si="3"/>
        <v>43749.417485324077</v>
      </c>
    </row>
    <row r="199" spans="1:10" x14ac:dyDescent="0.25">
      <c r="A199" s="5" t="s">
        <v>51025</v>
      </c>
      <c r="B199" s="6">
        <v>393.75</v>
      </c>
      <c r="C199" s="6">
        <v>20.478950000000001</v>
      </c>
      <c r="D199" s="6">
        <v>71</v>
      </c>
      <c r="E199" s="6">
        <v>0</v>
      </c>
      <c r="F199" s="6">
        <v>0</v>
      </c>
      <c r="G199" s="6">
        <v>17</v>
      </c>
      <c r="H199" s="6" t="s">
        <v>51026</v>
      </c>
      <c r="I199" s="6">
        <v>526.6875</v>
      </c>
      <c r="J199" s="2">
        <f t="shared" si="3"/>
        <v>43749.417568784724</v>
      </c>
    </row>
    <row r="200" spans="1:10" x14ac:dyDescent="0.25">
      <c r="A200" s="7" t="s">
        <v>51027</v>
      </c>
      <c r="B200" s="8">
        <v>393.75</v>
      </c>
      <c r="C200" s="8">
        <v>20.478950000000001</v>
      </c>
      <c r="D200" s="8">
        <v>69</v>
      </c>
      <c r="E200" s="8">
        <v>0</v>
      </c>
      <c r="F200" s="8">
        <v>0</v>
      </c>
      <c r="G200" s="8">
        <v>9</v>
      </c>
      <c r="H200" s="8" t="s">
        <v>51028</v>
      </c>
      <c r="I200" s="8">
        <v>526.6875</v>
      </c>
      <c r="J200" s="3">
        <f t="shared" si="3"/>
        <v>43749.417652233795</v>
      </c>
    </row>
    <row r="201" spans="1:10" x14ac:dyDescent="0.25">
      <c r="A201" s="5" t="s">
        <v>51029</v>
      </c>
      <c r="B201" s="6">
        <v>393.75</v>
      </c>
      <c r="C201" s="6">
        <v>20.478950000000001</v>
      </c>
      <c r="D201" s="6">
        <v>69</v>
      </c>
      <c r="E201" s="6">
        <v>0</v>
      </c>
      <c r="F201" s="6">
        <v>0</v>
      </c>
      <c r="G201" s="6">
        <v>14</v>
      </c>
      <c r="H201" s="6" t="s">
        <v>51030</v>
      </c>
      <c r="I201" s="6">
        <v>526.5</v>
      </c>
      <c r="J201" s="2">
        <f t="shared" si="3"/>
        <v>43749.417735671297</v>
      </c>
    </row>
    <row r="202" spans="1:10" x14ac:dyDescent="0.25">
      <c r="A202" s="7" t="s">
        <v>51031</v>
      </c>
      <c r="B202" s="8">
        <v>393.75</v>
      </c>
      <c r="C202" s="8">
        <v>20.478950000000001</v>
      </c>
      <c r="D202" s="8">
        <v>70</v>
      </c>
      <c r="E202" s="8">
        <v>0</v>
      </c>
      <c r="F202" s="8">
        <v>0</v>
      </c>
      <c r="G202" s="8">
        <v>13</v>
      </c>
      <c r="H202" s="8" t="s">
        <v>51032</v>
      </c>
      <c r="I202" s="8">
        <v>526.6875</v>
      </c>
      <c r="J202" s="3">
        <f t="shared" si="3"/>
        <v>43749.417819363422</v>
      </c>
    </row>
    <row r="203" spans="1:10" x14ac:dyDescent="0.25">
      <c r="A203" s="5" t="s">
        <v>51033</v>
      </c>
      <c r="B203" s="6">
        <v>393.75</v>
      </c>
      <c r="C203" s="6">
        <v>20.478950000000001</v>
      </c>
      <c r="D203" s="6">
        <v>70</v>
      </c>
      <c r="E203" s="6">
        <v>0</v>
      </c>
      <c r="F203" s="6">
        <v>0</v>
      </c>
      <c r="G203" s="6">
        <v>24</v>
      </c>
      <c r="H203" s="6" t="s">
        <v>51034</v>
      </c>
      <c r="I203" s="6">
        <v>526.6875</v>
      </c>
      <c r="J203" s="2">
        <f t="shared" si="3"/>
        <v>43749.417902696754</v>
      </c>
    </row>
    <row r="204" spans="1:10" x14ac:dyDescent="0.25">
      <c r="A204" s="7" t="s">
        <v>51035</v>
      </c>
      <c r="B204" s="8">
        <v>393.75</v>
      </c>
      <c r="C204" s="8">
        <v>20.478950000000001</v>
      </c>
      <c r="D204" s="8">
        <v>70</v>
      </c>
      <c r="E204" s="8">
        <v>0</v>
      </c>
      <c r="F204" s="8">
        <v>0</v>
      </c>
      <c r="G204" s="8">
        <v>16</v>
      </c>
      <c r="H204" s="8" t="s">
        <v>51036</v>
      </c>
      <c r="I204" s="8">
        <v>526.6875</v>
      </c>
      <c r="J204" s="3">
        <f t="shared" si="3"/>
        <v>43749.417986030086</v>
      </c>
    </row>
    <row r="205" spans="1:10" x14ac:dyDescent="0.25">
      <c r="A205" s="5" t="s">
        <v>51037</v>
      </c>
      <c r="B205" s="6">
        <v>393.75</v>
      </c>
      <c r="C205" s="6">
        <v>20.478950000000001</v>
      </c>
      <c r="D205" s="6">
        <v>70</v>
      </c>
      <c r="E205" s="6">
        <v>0</v>
      </c>
      <c r="F205" s="6">
        <v>0</v>
      </c>
      <c r="G205" s="6">
        <v>19</v>
      </c>
      <c r="H205" s="6" t="s">
        <v>51038</v>
      </c>
      <c r="I205" s="6">
        <v>526.6875</v>
      </c>
      <c r="J205" s="2">
        <f t="shared" si="3"/>
        <v>43749.418081608797</v>
      </c>
    </row>
    <row r="206" spans="1:10" x14ac:dyDescent="0.25">
      <c r="A206" s="7" t="s">
        <v>51039</v>
      </c>
      <c r="B206" s="8">
        <v>393.75</v>
      </c>
      <c r="C206" s="8">
        <v>20.478950000000001</v>
      </c>
      <c r="D206" s="8">
        <v>71</v>
      </c>
      <c r="E206" s="8">
        <v>0</v>
      </c>
      <c r="F206" s="8">
        <v>0</v>
      </c>
      <c r="G206" s="8">
        <v>17</v>
      </c>
      <c r="H206" s="8" t="s">
        <v>51040</v>
      </c>
      <c r="I206" s="8">
        <v>526.6875</v>
      </c>
      <c r="J206" s="3">
        <f t="shared" si="3"/>
        <v>43749.418152789345</v>
      </c>
    </row>
    <row r="207" spans="1:10" x14ac:dyDescent="0.25">
      <c r="A207" s="5" t="s">
        <v>51041</v>
      </c>
      <c r="B207" s="6">
        <v>393.75</v>
      </c>
      <c r="C207" s="6">
        <v>20.478950000000001</v>
      </c>
      <c r="D207" s="6">
        <v>71</v>
      </c>
      <c r="E207" s="6">
        <v>0</v>
      </c>
      <c r="F207" s="6">
        <v>0</v>
      </c>
      <c r="G207" s="6">
        <v>15</v>
      </c>
      <c r="H207" s="6" t="s">
        <v>51042</v>
      </c>
      <c r="I207" s="6">
        <v>526.6875</v>
      </c>
      <c r="J207" s="2">
        <f t="shared" si="3"/>
        <v>43749.418224120367</v>
      </c>
    </row>
    <row r="208" spans="1:10" x14ac:dyDescent="0.25">
      <c r="A208" s="7" t="s">
        <v>51043</v>
      </c>
      <c r="B208" s="8">
        <v>393.75</v>
      </c>
      <c r="C208" s="8">
        <v>20.478950000000001</v>
      </c>
      <c r="D208" s="8">
        <v>72</v>
      </c>
      <c r="E208" s="8">
        <v>0</v>
      </c>
      <c r="F208" s="8">
        <v>0</v>
      </c>
      <c r="G208" s="8">
        <v>18</v>
      </c>
      <c r="H208" s="8" t="s">
        <v>51044</v>
      </c>
      <c r="I208" s="8">
        <v>526.6875</v>
      </c>
      <c r="J208" s="3">
        <f t="shared" si="3"/>
        <v>43749.41829631944</v>
      </c>
    </row>
    <row r="209" spans="1:10" x14ac:dyDescent="0.25">
      <c r="A209" s="5" t="s">
        <v>51045</v>
      </c>
      <c r="B209" s="6">
        <v>393.75</v>
      </c>
      <c r="C209" s="6">
        <v>20.478950000000001</v>
      </c>
      <c r="D209" s="6">
        <v>72</v>
      </c>
      <c r="E209" s="6">
        <v>0</v>
      </c>
      <c r="F209" s="6">
        <v>0</v>
      </c>
      <c r="G209" s="6">
        <v>17</v>
      </c>
      <c r="H209" s="6" t="s">
        <v>51046</v>
      </c>
      <c r="I209" s="6">
        <v>526.5</v>
      </c>
      <c r="J209" s="2">
        <f t="shared" si="3"/>
        <v>43749.418379780087</v>
      </c>
    </row>
    <row r="210" spans="1:10" x14ac:dyDescent="0.25">
      <c r="A210" s="7" t="s">
        <v>51047</v>
      </c>
      <c r="B210" s="8">
        <v>393.75</v>
      </c>
      <c r="C210" s="8">
        <v>20.478950000000001</v>
      </c>
      <c r="D210" s="8">
        <v>70</v>
      </c>
      <c r="E210" s="8">
        <v>0</v>
      </c>
      <c r="F210" s="8">
        <v>0</v>
      </c>
      <c r="G210" s="8">
        <v>10</v>
      </c>
      <c r="H210" s="8" t="s">
        <v>51048</v>
      </c>
      <c r="I210" s="8">
        <v>526.6875</v>
      </c>
      <c r="J210" s="3">
        <f t="shared" si="3"/>
        <v>43749.418474918981</v>
      </c>
    </row>
    <row r="211" spans="1:10" x14ac:dyDescent="0.25">
      <c r="A211" s="5" t="s">
        <v>51049</v>
      </c>
      <c r="B211" s="6">
        <v>393.75</v>
      </c>
      <c r="C211" s="6">
        <v>20.478950000000001</v>
      </c>
      <c r="D211" s="6">
        <v>70</v>
      </c>
      <c r="E211" s="6">
        <v>0</v>
      </c>
      <c r="F211" s="6">
        <v>0</v>
      </c>
      <c r="G211" s="6">
        <v>17</v>
      </c>
      <c r="H211" s="6" t="s">
        <v>51050</v>
      </c>
      <c r="I211" s="6">
        <v>526.6875</v>
      </c>
      <c r="J211" s="2">
        <f t="shared" si="3"/>
        <v>43749.41854666666</v>
      </c>
    </row>
    <row r="212" spans="1:10" x14ac:dyDescent="0.25">
      <c r="A212" s="7" t="s">
        <v>51051</v>
      </c>
      <c r="B212" s="8">
        <v>393.75</v>
      </c>
      <c r="C212" s="8">
        <v>20.478950000000001</v>
      </c>
      <c r="D212" s="8">
        <v>72</v>
      </c>
      <c r="E212" s="8">
        <v>0</v>
      </c>
      <c r="F212" s="8">
        <v>0</v>
      </c>
      <c r="G212" s="8">
        <v>15</v>
      </c>
      <c r="H212" s="8" t="s">
        <v>51052</v>
      </c>
      <c r="I212" s="8">
        <v>526.6875</v>
      </c>
      <c r="J212" s="3">
        <f t="shared" si="3"/>
        <v>43749.418630243053</v>
      </c>
    </row>
    <row r="213" spans="1:10" x14ac:dyDescent="0.25">
      <c r="A213" s="5" t="s">
        <v>51053</v>
      </c>
      <c r="B213" s="6">
        <v>393.75</v>
      </c>
      <c r="C213" s="6">
        <v>20.478950000000001</v>
      </c>
      <c r="D213" s="6">
        <v>73</v>
      </c>
      <c r="E213" s="6">
        <v>0</v>
      </c>
      <c r="F213" s="6">
        <v>0</v>
      </c>
      <c r="G213" s="6">
        <v>18</v>
      </c>
      <c r="H213" s="6" t="s">
        <v>51054</v>
      </c>
      <c r="I213" s="6">
        <v>526.6875</v>
      </c>
      <c r="J213" s="2">
        <f t="shared" si="3"/>
        <v>43749.41871366898</v>
      </c>
    </row>
    <row r="214" spans="1:10" x14ac:dyDescent="0.25">
      <c r="A214" s="7" t="s">
        <v>51055</v>
      </c>
      <c r="B214" s="8">
        <v>412.5</v>
      </c>
      <c r="C214" s="8">
        <v>20.478950000000001</v>
      </c>
      <c r="D214" s="8">
        <v>75</v>
      </c>
      <c r="E214" s="8">
        <v>0</v>
      </c>
      <c r="F214" s="8">
        <v>0</v>
      </c>
      <c r="G214" s="8">
        <v>9</v>
      </c>
      <c r="H214" s="8" t="s">
        <v>51056</v>
      </c>
      <c r="I214" s="8">
        <v>532.3125</v>
      </c>
      <c r="J214" s="3">
        <f t="shared" si="3"/>
        <v>43749.418797118058</v>
      </c>
    </row>
    <row r="215" spans="1:10" x14ac:dyDescent="0.25">
      <c r="A215" s="5" t="s">
        <v>51057</v>
      </c>
      <c r="B215" s="6">
        <v>393.75</v>
      </c>
      <c r="C215" s="6">
        <v>20.478950000000001</v>
      </c>
      <c r="D215" s="6">
        <v>75</v>
      </c>
      <c r="E215" s="6">
        <v>0</v>
      </c>
      <c r="F215" s="6">
        <v>0</v>
      </c>
      <c r="G215" s="6">
        <v>19</v>
      </c>
      <c r="H215" s="6" t="s">
        <v>51058</v>
      </c>
      <c r="I215" s="6">
        <v>526.6875</v>
      </c>
      <c r="J215" s="2">
        <f t="shared" si="3"/>
        <v>43749.418880682868</v>
      </c>
    </row>
    <row r="216" spans="1:10" x14ac:dyDescent="0.25">
      <c r="A216" s="7" t="s">
        <v>51059</v>
      </c>
      <c r="B216" s="8">
        <v>393.75</v>
      </c>
      <c r="C216" s="8">
        <v>20.478950000000001</v>
      </c>
      <c r="D216" s="8">
        <v>76</v>
      </c>
      <c r="E216" s="8">
        <v>0</v>
      </c>
      <c r="F216" s="8">
        <v>0</v>
      </c>
      <c r="G216" s="8">
        <v>21</v>
      </c>
      <c r="H216" s="8" t="s">
        <v>51060</v>
      </c>
      <c r="I216" s="8">
        <v>526.6875</v>
      </c>
      <c r="J216" s="3">
        <f t="shared" si="3"/>
        <v>43749.418968032405</v>
      </c>
    </row>
    <row r="217" spans="1:10" x14ac:dyDescent="0.25">
      <c r="A217" s="5" t="s">
        <v>51061</v>
      </c>
      <c r="B217" s="6">
        <v>393.75</v>
      </c>
      <c r="C217" s="6">
        <v>20.478950000000001</v>
      </c>
      <c r="D217" s="6">
        <v>76</v>
      </c>
      <c r="E217" s="6">
        <v>0</v>
      </c>
      <c r="F217" s="6">
        <v>0</v>
      </c>
      <c r="G217" s="6">
        <v>23</v>
      </c>
      <c r="H217" s="6" t="s">
        <v>51062</v>
      </c>
      <c r="I217" s="6">
        <v>526.6875</v>
      </c>
      <c r="J217" s="2">
        <f t="shared" si="3"/>
        <v>43749.419047696756</v>
      </c>
    </row>
    <row r="218" spans="1:10" x14ac:dyDescent="0.25">
      <c r="A218" s="7" t="s">
        <v>51063</v>
      </c>
      <c r="B218" s="8">
        <v>393.75</v>
      </c>
      <c r="C218" s="8">
        <v>20.478950000000001</v>
      </c>
      <c r="D218" s="8">
        <v>72</v>
      </c>
      <c r="E218" s="8">
        <v>0</v>
      </c>
      <c r="F218" s="8">
        <v>0</v>
      </c>
      <c r="G218" s="8">
        <v>22</v>
      </c>
      <c r="H218" s="8" t="s">
        <v>51064</v>
      </c>
      <c r="I218" s="8">
        <v>526.6875</v>
      </c>
      <c r="J218" s="3">
        <f t="shared" si="3"/>
        <v>43749.419131273149</v>
      </c>
    </row>
    <row r="219" spans="1:10" x14ac:dyDescent="0.25">
      <c r="A219" s="5" t="s">
        <v>51065</v>
      </c>
      <c r="B219" s="6">
        <v>393.75</v>
      </c>
      <c r="C219" s="6">
        <v>20.478950000000001</v>
      </c>
      <c r="D219" s="6">
        <v>72</v>
      </c>
      <c r="E219" s="6">
        <v>0</v>
      </c>
      <c r="F219" s="6">
        <v>0</v>
      </c>
      <c r="G219" s="6">
        <v>17</v>
      </c>
      <c r="H219" s="6" t="s">
        <v>51066</v>
      </c>
      <c r="I219" s="6">
        <v>526.5</v>
      </c>
      <c r="J219" s="2">
        <f t="shared" si="3"/>
        <v>43749.419202928235</v>
      </c>
    </row>
    <row r="220" spans="1:10" x14ac:dyDescent="0.25">
      <c r="A220" s="7" t="s">
        <v>51067</v>
      </c>
      <c r="B220" s="8">
        <v>393.75</v>
      </c>
      <c r="C220" s="8">
        <v>20.478950000000001</v>
      </c>
      <c r="D220" s="8">
        <v>71</v>
      </c>
      <c r="E220" s="8">
        <v>0</v>
      </c>
      <c r="F220" s="8">
        <v>0</v>
      </c>
      <c r="G220" s="8">
        <v>15</v>
      </c>
      <c r="H220" s="8" t="s">
        <v>51068</v>
      </c>
      <c r="I220" s="8">
        <v>526.6875</v>
      </c>
      <c r="J220" s="3">
        <f t="shared" si="3"/>
        <v>43749.419286006938</v>
      </c>
    </row>
    <row r="221" spans="1:10" x14ac:dyDescent="0.25">
      <c r="A221" s="5" t="s">
        <v>51069</v>
      </c>
      <c r="B221" s="6">
        <v>393.75</v>
      </c>
      <c r="C221" s="6">
        <v>20.478950000000001</v>
      </c>
      <c r="D221" s="6">
        <v>71</v>
      </c>
      <c r="E221" s="6">
        <v>0</v>
      </c>
      <c r="F221" s="6">
        <v>0</v>
      </c>
      <c r="G221" s="6">
        <v>17</v>
      </c>
      <c r="H221" s="6" t="s">
        <v>51070</v>
      </c>
      <c r="I221" s="6">
        <v>526.6875</v>
      </c>
      <c r="J221" s="2">
        <f t="shared" si="3"/>
        <v>43749.419369710646</v>
      </c>
    </row>
    <row r="222" spans="1:10" x14ac:dyDescent="0.25">
      <c r="A222" s="7" t="s">
        <v>51071</v>
      </c>
      <c r="B222" s="8">
        <v>393.75</v>
      </c>
      <c r="C222" s="8">
        <v>20.478950000000001</v>
      </c>
      <c r="D222" s="8">
        <v>74</v>
      </c>
      <c r="E222" s="8">
        <v>0</v>
      </c>
      <c r="F222" s="8">
        <v>0</v>
      </c>
      <c r="G222" s="8">
        <v>17</v>
      </c>
      <c r="H222" s="8" t="s">
        <v>51072</v>
      </c>
      <c r="I222" s="8">
        <v>526.6875</v>
      </c>
      <c r="J222" s="3">
        <f t="shared" si="3"/>
        <v>43749.419452789349</v>
      </c>
    </row>
    <row r="223" spans="1:10" x14ac:dyDescent="0.25">
      <c r="A223" s="5" t="s">
        <v>51073</v>
      </c>
      <c r="B223" s="6">
        <v>393.75</v>
      </c>
      <c r="C223" s="6">
        <v>20.478950000000001</v>
      </c>
      <c r="D223" s="6">
        <v>74</v>
      </c>
      <c r="E223" s="6">
        <v>0</v>
      </c>
      <c r="F223" s="6">
        <v>0</v>
      </c>
      <c r="G223" s="6">
        <v>23</v>
      </c>
      <c r="H223" s="6" t="s">
        <v>51074</v>
      </c>
      <c r="I223" s="6">
        <v>526.6875</v>
      </c>
      <c r="J223" s="2">
        <f t="shared" si="3"/>
        <v>43749.419524444442</v>
      </c>
    </row>
    <row r="224" spans="1:10" x14ac:dyDescent="0.25">
      <c r="A224" s="7" t="s">
        <v>51075</v>
      </c>
      <c r="B224" s="8">
        <v>415.625</v>
      </c>
      <c r="C224" s="8">
        <v>20.478950000000001</v>
      </c>
      <c r="D224" s="8">
        <v>77</v>
      </c>
      <c r="E224" s="8">
        <v>0</v>
      </c>
      <c r="F224" s="8">
        <v>0</v>
      </c>
      <c r="G224" s="8">
        <v>16</v>
      </c>
      <c r="H224" s="8" t="s">
        <v>51076</v>
      </c>
      <c r="I224" s="8">
        <v>533.4375</v>
      </c>
      <c r="J224" s="3">
        <f t="shared" si="3"/>
        <v>43749.419608344906</v>
      </c>
    </row>
    <row r="225" spans="1:10" x14ac:dyDescent="0.25">
      <c r="A225" s="5" t="s">
        <v>51077</v>
      </c>
      <c r="B225" s="6">
        <v>393.75</v>
      </c>
      <c r="C225" s="6">
        <v>20.478950000000001</v>
      </c>
      <c r="D225" s="6">
        <v>77</v>
      </c>
      <c r="E225" s="6">
        <v>0</v>
      </c>
      <c r="F225" s="6">
        <v>0</v>
      </c>
      <c r="G225" s="6">
        <v>20</v>
      </c>
      <c r="H225" s="6" t="s">
        <v>51078</v>
      </c>
      <c r="I225" s="6">
        <v>526.6875</v>
      </c>
      <c r="J225" s="2">
        <f t="shared" si="3"/>
        <v>43749.419691689814</v>
      </c>
    </row>
    <row r="226" spans="1:10" x14ac:dyDescent="0.25">
      <c r="A226" s="7" t="s">
        <v>51079</v>
      </c>
      <c r="B226" s="8">
        <v>393.75</v>
      </c>
      <c r="C226" s="8">
        <v>20.478950000000001</v>
      </c>
      <c r="D226" s="8">
        <v>77</v>
      </c>
      <c r="E226" s="8">
        <v>0</v>
      </c>
      <c r="F226" s="8">
        <v>0</v>
      </c>
      <c r="G226" s="8">
        <v>16</v>
      </c>
      <c r="H226" s="8" t="s">
        <v>51080</v>
      </c>
      <c r="I226" s="8">
        <v>526.6875</v>
      </c>
      <c r="J226" s="3">
        <f t="shared" si="3"/>
        <v>43749.419774907401</v>
      </c>
    </row>
    <row r="227" spans="1:10" x14ac:dyDescent="0.25">
      <c r="A227" s="5" t="s">
        <v>51081</v>
      </c>
      <c r="B227" s="6">
        <v>393.75</v>
      </c>
      <c r="C227" s="6">
        <v>20.478950000000001</v>
      </c>
      <c r="D227" s="6">
        <v>77</v>
      </c>
      <c r="E227" s="6">
        <v>0</v>
      </c>
      <c r="F227" s="6">
        <v>0</v>
      </c>
      <c r="G227" s="6">
        <v>17</v>
      </c>
      <c r="H227" s="6" t="s">
        <v>51082</v>
      </c>
      <c r="I227" s="6">
        <v>526.6875</v>
      </c>
      <c r="J227" s="2">
        <f t="shared" si="3"/>
        <v>43749.419846874996</v>
      </c>
    </row>
    <row r="228" spans="1:10" x14ac:dyDescent="0.25">
      <c r="A228" s="7" t="s">
        <v>51083</v>
      </c>
      <c r="B228" s="8">
        <v>393.75</v>
      </c>
      <c r="C228" s="8">
        <v>20.478950000000001</v>
      </c>
      <c r="D228" s="8">
        <v>76</v>
      </c>
      <c r="E228" s="8">
        <v>0</v>
      </c>
      <c r="F228" s="8">
        <v>0</v>
      </c>
      <c r="G228" s="8">
        <v>11</v>
      </c>
      <c r="H228" s="8" t="s">
        <v>51084</v>
      </c>
      <c r="I228" s="8">
        <v>526.6875</v>
      </c>
      <c r="J228" s="3">
        <f t="shared" si="3"/>
        <v>43749.419930578697</v>
      </c>
    </row>
    <row r="229" spans="1:10" x14ac:dyDescent="0.25">
      <c r="A229" s="5" t="s">
        <v>51085</v>
      </c>
      <c r="B229" s="6">
        <v>393.75</v>
      </c>
      <c r="C229" s="6">
        <v>20.478950000000001</v>
      </c>
      <c r="D229" s="6">
        <v>76</v>
      </c>
      <c r="E229" s="6">
        <v>0</v>
      </c>
      <c r="F229" s="6">
        <v>0</v>
      </c>
      <c r="G229" s="6">
        <v>17</v>
      </c>
      <c r="H229" s="6" t="s">
        <v>51086</v>
      </c>
      <c r="I229" s="6">
        <v>526.6875</v>
      </c>
      <c r="J229" s="2">
        <f t="shared" si="3"/>
        <v>43749.420013668983</v>
      </c>
    </row>
    <row r="230" spans="1:10" x14ac:dyDescent="0.25">
      <c r="A230" s="7" t="s">
        <v>51087</v>
      </c>
      <c r="B230" s="8">
        <v>393.75</v>
      </c>
      <c r="C230" s="8">
        <v>20.478950000000001</v>
      </c>
      <c r="D230" s="8">
        <v>74</v>
      </c>
      <c r="E230" s="8">
        <v>0</v>
      </c>
      <c r="F230" s="8">
        <v>0</v>
      </c>
      <c r="G230" s="8">
        <v>16</v>
      </c>
      <c r="H230" s="8" t="s">
        <v>51088</v>
      </c>
      <c r="I230" s="8">
        <v>526.6875</v>
      </c>
      <c r="J230" s="3">
        <f t="shared" si="3"/>
        <v>43749.420097233793</v>
      </c>
    </row>
    <row r="231" spans="1:10" x14ac:dyDescent="0.25">
      <c r="A231" s="5" t="s">
        <v>51089</v>
      </c>
      <c r="B231" s="6">
        <v>393.75</v>
      </c>
      <c r="C231" s="6">
        <v>20.478950000000001</v>
      </c>
      <c r="D231" s="6">
        <v>75</v>
      </c>
      <c r="E231" s="6">
        <v>0</v>
      </c>
      <c r="F231" s="6">
        <v>0</v>
      </c>
      <c r="G231" s="6">
        <v>11</v>
      </c>
      <c r="H231" s="6" t="s">
        <v>51090</v>
      </c>
      <c r="I231" s="6">
        <v>526.6875</v>
      </c>
      <c r="J231" s="2">
        <f t="shared" si="3"/>
        <v>43749.420180486108</v>
      </c>
    </row>
    <row r="232" spans="1:10" x14ac:dyDescent="0.25">
      <c r="A232" s="7" t="s">
        <v>51091</v>
      </c>
      <c r="B232" s="8">
        <v>393.75</v>
      </c>
      <c r="C232" s="8">
        <v>20.478950000000001</v>
      </c>
      <c r="D232" s="8">
        <v>75</v>
      </c>
      <c r="E232" s="8">
        <v>0</v>
      </c>
      <c r="F232" s="8">
        <v>0</v>
      </c>
      <c r="G232" s="8">
        <v>16</v>
      </c>
      <c r="H232" s="8" t="s">
        <v>51092</v>
      </c>
      <c r="I232" s="8">
        <v>526.6875</v>
      </c>
      <c r="J232" s="3">
        <f t="shared" si="3"/>
        <v>43749.420263912034</v>
      </c>
    </row>
    <row r="233" spans="1:10" x14ac:dyDescent="0.25">
      <c r="A233" s="5" t="s">
        <v>51093</v>
      </c>
      <c r="B233" s="6">
        <v>393.75</v>
      </c>
      <c r="C233" s="6">
        <v>20.478950000000001</v>
      </c>
      <c r="D233" s="6">
        <v>73</v>
      </c>
      <c r="E233" s="6">
        <v>0</v>
      </c>
      <c r="F233" s="6">
        <v>0</v>
      </c>
      <c r="G233" s="6">
        <v>26</v>
      </c>
      <c r="H233" s="6" t="s">
        <v>51094</v>
      </c>
      <c r="I233" s="6">
        <v>526.6875</v>
      </c>
      <c r="J233" s="2">
        <f t="shared" si="3"/>
        <v>43749.42033577546</v>
      </c>
    </row>
    <row r="234" spans="1:10" x14ac:dyDescent="0.25">
      <c r="A234" s="7" t="s">
        <v>51095</v>
      </c>
      <c r="B234" s="8">
        <v>393.75</v>
      </c>
      <c r="C234" s="8">
        <v>20.478950000000001</v>
      </c>
      <c r="D234" s="8">
        <v>73</v>
      </c>
      <c r="E234" s="8">
        <v>0</v>
      </c>
      <c r="F234" s="8">
        <v>0</v>
      </c>
      <c r="G234" s="8">
        <v>24</v>
      </c>
      <c r="H234" s="8" t="s">
        <v>51096</v>
      </c>
      <c r="I234" s="8">
        <v>526.6875</v>
      </c>
      <c r="J234" s="3">
        <f t="shared" si="3"/>
        <v>43749.420419363429</v>
      </c>
    </row>
    <row r="235" spans="1:10" x14ac:dyDescent="0.25">
      <c r="A235" s="5" t="s">
        <v>51097</v>
      </c>
      <c r="B235" s="6">
        <v>393.75</v>
      </c>
      <c r="C235" s="6">
        <v>20.478950000000001</v>
      </c>
      <c r="D235" s="6">
        <v>74</v>
      </c>
      <c r="E235" s="6">
        <v>0</v>
      </c>
      <c r="F235" s="6">
        <v>0</v>
      </c>
      <c r="G235" s="6">
        <v>21</v>
      </c>
      <c r="H235" s="6" t="s">
        <v>51098</v>
      </c>
      <c r="I235" s="6">
        <v>526.6875</v>
      </c>
      <c r="J235" s="2">
        <f t="shared" si="3"/>
        <v>43749.420502685178</v>
      </c>
    </row>
    <row r="236" spans="1:10" x14ac:dyDescent="0.25">
      <c r="A236" s="7" t="s">
        <v>51099</v>
      </c>
      <c r="B236" s="8">
        <v>393.75</v>
      </c>
      <c r="C236" s="8">
        <v>20.478950000000001</v>
      </c>
      <c r="D236" s="8">
        <v>75</v>
      </c>
      <c r="E236" s="8">
        <v>0</v>
      </c>
      <c r="F236" s="8">
        <v>0</v>
      </c>
      <c r="G236" s="8">
        <v>15</v>
      </c>
      <c r="H236" s="8" t="s">
        <v>51100</v>
      </c>
      <c r="I236" s="8">
        <v>526.6875</v>
      </c>
      <c r="J236" s="3">
        <f t="shared" si="3"/>
        <v>43749.420586006941</v>
      </c>
    </row>
    <row r="237" spans="1:10" x14ac:dyDescent="0.25">
      <c r="A237" s="5" t="s">
        <v>51101</v>
      </c>
      <c r="B237" s="6">
        <v>393.75</v>
      </c>
      <c r="C237" s="6">
        <v>20.478950000000001</v>
      </c>
      <c r="D237" s="6">
        <v>75</v>
      </c>
      <c r="E237" s="6">
        <v>0</v>
      </c>
      <c r="F237" s="6">
        <v>0</v>
      </c>
      <c r="G237" s="6">
        <v>16</v>
      </c>
      <c r="H237" s="6" t="s">
        <v>51102</v>
      </c>
      <c r="I237" s="6">
        <v>526.6875</v>
      </c>
      <c r="J237" s="2">
        <f t="shared" si="3"/>
        <v>43749.420657766204</v>
      </c>
    </row>
    <row r="238" spans="1:10" x14ac:dyDescent="0.25">
      <c r="A238" s="7" t="s">
        <v>51103</v>
      </c>
      <c r="B238" s="8">
        <v>393.75</v>
      </c>
      <c r="C238" s="8">
        <v>20.478950000000001</v>
      </c>
      <c r="D238" s="8">
        <v>76</v>
      </c>
      <c r="E238" s="8">
        <v>0</v>
      </c>
      <c r="F238" s="8">
        <v>0</v>
      </c>
      <c r="G238" s="8">
        <v>27</v>
      </c>
      <c r="H238" s="8" t="s">
        <v>51104</v>
      </c>
      <c r="I238" s="8">
        <v>526.6875</v>
      </c>
      <c r="J238" s="3">
        <f t="shared" si="3"/>
        <v>43749.420755891202</v>
      </c>
    </row>
    <row r="239" spans="1:10" x14ac:dyDescent="0.25">
      <c r="A239" s="5" t="s">
        <v>51105</v>
      </c>
      <c r="B239" s="6">
        <v>393.75</v>
      </c>
      <c r="C239" s="6">
        <v>20.478950000000001</v>
      </c>
      <c r="D239" s="6">
        <v>76</v>
      </c>
      <c r="E239" s="6">
        <v>0</v>
      </c>
      <c r="F239" s="6">
        <v>0</v>
      </c>
      <c r="G239" s="6">
        <v>25</v>
      </c>
      <c r="H239" s="6" t="s">
        <v>51106</v>
      </c>
      <c r="I239" s="6">
        <v>526.6875</v>
      </c>
      <c r="J239" s="2">
        <f t="shared" si="3"/>
        <v>43749.420836689816</v>
      </c>
    </row>
    <row r="240" spans="1:10" x14ac:dyDescent="0.25">
      <c r="A240" s="7" t="s">
        <v>51107</v>
      </c>
      <c r="B240" s="8">
        <v>393.75</v>
      </c>
      <c r="C240" s="8">
        <v>20.478950000000001</v>
      </c>
      <c r="D240" s="8">
        <v>76</v>
      </c>
      <c r="E240" s="8">
        <v>0</v>
      </c>
      <c r="F240" s="8">
        <v>0</v>
      </c>
      <c r="G240" s="8">
        <v>22</v>
      </c>
      <c r="H240" s="8" t="s">
        <v>51108</v>
      </c>
      <c r="I240" s="8">
        <v>526.5</v>
      </c>
      <c r="J240" s="3">
        <f t="shared" si="3"/>
        <v>43749.420932060188</v>
      </c>
    </row>
    <row r="241" spans="1:10" x14ac:dyDescent="0.25">
      <c r="A241" s="5" t="s">
        <v>51109</v>
      </c>
      <c r="B241" s="6">
        <v>393.75</v>
      </c>
      <c r="C241" s="6">
        <v>20.478950000000001</v>
      </c>
      <c r="D241" s="6">
        <v>75</v>
      </c>
      <c r="E241" s="6">
        <v>0</v>
      </c>
      <c r="F241" s="6">
        <v>0</v>
      </c>
      <c r="G241" s="6">
        <v>18</v>
      </c>
      <c r="H241" s="6" t="s">
        <v>51110</v>
      </c>
      <c r="I241" s="6">
        <v>526.6875</v>
      </c>
      <c r="J241" s="2">
        <f t="shared" si="3"/>
        <v>43749.421015648149</v>
      </c>
    </row>
    <row r="242" spans="1:10" x14ac:dyDescent="0.25">
      <c r="A242" s="7" t="s">
        <v>51111</v>
      </c>
      <c r="B242" s="8">
        <v>393.75</v>
      </c>
      <c r="C242" s="8">
        <v>20.478950000000001</v>
      </c>
      <c r="D242" s="8">
        <v>71</v>
      </c>
      <c r="E242" s="8">
        <v>0</v>
      </c>
      <c r="F242" s="8">
        <v>0</v>
      </c>
      <c r="G242" s="8">
        <v>22</v>
      </c>
      <c r="H242" s="8" t="s">
        <v>51112</v>
      </c>
      <c r="I242" s="8">
        <v>526.6875</v>
      </c>
      <c r="J242" s="3">
        <f t="shared" si="3"/>
        <v>43749.421099085645</v>
      </c>
    </row>
    <row r="243" spans="1:10" x14ac:dyDescent="0.25">
      <c r="A243" s="5" t="s">
        <v>51113</v>
      </c>
      <c r="B243" s="6">
        <v>412.5</v>
      </c>
      <c r="C243" s="6">
        <v>20.478950000000001</v>
      </c>
      <c r="D243" s="6">
        <v>71</v>
      </c>
      <c r="E243" s="6">
        <v>0</v>
      </c>
      <c r="F243" s="6">
        <v>0</v>
      </c>
      <c r="G243" s="6">
        <v>26</v>
      </c>
      <c r="H243" s="6" t="s">
        <v>51114</v>
      </c>
      <c r="I243" s="6">
        <v>532.3125</v>
      </c>
      <c r="J243" s="2">
        <f t="shared" si="3"/>
        <v>43749.421182291662</v>
      </c>
    </row>
    <row r="244" spans="1:10" x14ac:dyDescent="0.25">
      <c r="A244" s="7" t="s">
        <v>51115</v>
      </c>
      <c r="B244" s="8">
        <v>393.75</v>
      </c>
      <c r="C244" s="8">
        <v>20.478950000000001</v>
      </c>
      <c r="D244" s="8">
        <v>71</v>
      </c>
      <c r="E244" s="8">
        <v>0</v>
      </c>
      <c r="F244" s="8">
        <v>0</v>
      </c>
      <c r="G244" s="8">
        <v>18</v>
      </c>
      <c r="H244" s="8" t="s">
        <v>51116</v>
      </c>
      <c r="I244" s="8">
        <v>526.5</v>
      </c>
      <c r="J244" s="3">
        <f t="shared" si="3"/>
        <v>43749.421254062494</v>
      </c>
    </row>
    <row r="245" spans="1:10" x14ac:dyDescent="0.25">
      <c r="A245" s="5" t="s">
        <v>51117</v>
      </c>
      <c r="B245" s="6">
        <v>393.75</v>
      </c>
      <c r="C245" s="6">
        <v>20.478950000000001</v>
      </c>
      <c r="D245" s="6">
        <v>72</v>
      </c>
      <c r="E245" s="6">
        <v>0</v>
      </c>
      <c r="F245" s="6">
        <v>0</v>
      </c>
      <c r="G245" s="6">
        <v>15</v>
      </c>
      <c r="H245" s="6" t="s">
        <v>51118</v>
      </c>
      <c r="I245" s="6">
        <v>526.6875</v>
      </c>
      <c r="J245" s="2">
        <f t="shared" si="3"/>
        <v>43749.421337523141</v>
      </c>
    </row>
    <row r="246" spans="1:10" x14ac:dyDescent="0.25">
      <c r="A246" s="7" t="s">
        <v>51119</v>
      </c>
      <c r="B246" s="8">
        <v>393.75</v>
      </c>
      <c r="C246" s="8">
        <v>20.478950000000001</v>
      </c>
      <c r="D246" s="8">
        <v>75</v>
      </c>
      <c r="E246" s="8">
        <v>0</v>
      </c>
      <c r="F246" s="8">
        <v>0</v>
      </c>
      <c r="G246" s="8">
        <v>14</v>
      </c>
      <c r="H246" s="8" t="s">
        <v>51120</v>
      </c>
      <c r="I246" s="8">
        <v>526.6875</v>
      </c>
      <c r="J246" s="3">
        <f t="shared" si="3"/>
        <v>43749.421421076382</v>
      </c>
    </row>
    <row r="247" spans="1:10" x14ac:dyDescent="0.25">
      <c r="A247" s="5" t="s">
        <v>51121</v>
      </c>
      <c r="B247" s="6">
        <v>393.75</v>
      </c>
      <c r="C247" s="6">
        <v>20.478950000000001</v>
      </c>
      <c r="D247" s="6">
        <v>73</v>
      </c>
      <c r="E247" s="6">
        <v>0</v>
      </c>
      <c r="F247" s="6">
        <v>0</v>
      </c>
      <c r="G247" s="6">
        <v>17</v>
      </c>
      <c r="H247" s="6" t="s">
        <v>51122</v>
      </c>
      <c r="I247" s="6">
        <v>526.6875</v>
      </c>
      <c r="J247" s="2">
        <f t="shared" si="3"/>
        <v>43749.421504513892</v>
      </c>
    </row>
    <row r="248" spans="1:10" x14ac:dyDescent="0.25">
      <c r="A248" s="7" t="s">
        <v>51123</v>
      </c>
      <c r="B248" s="8">
        <v>428.125</v>
      </c>
      <c r="C248" s="8">
        <v>20.478950000000001</v>
      </c>
      <c r="D248" s="8">
        <v>72</v>
      </c>
      <c r="E248" s="8">
        <v>0</v>
      </c>
      <c r="F248" s="8">
        <v>0</v>
      </c>
      <c r="G248" s="8">
        <v>14</v>
      </c>
      <c r="H248" s="8" t="s">
        <v>51124</v>
      </c>
      <c r="I248" s="8">
        <v>537.375</v>
      </c>
      <c r="J248" s="3">
        <f t="shared" si="3"/>
        <v>43749.4215883449</v>
      </c>
    </row>
    <row r="249" spans="1:10" x14ac:dyDescent="0.25">
      <c r="A249" s="5" t="s">
        <v>51125</v>
      </c>
      <c r="B249" s="6">
        <v>393.75</v>
      </c>
      <c r="C249" s="6">
        <v>20.478950000000001</v>
      </c>
      <c r="D249" s="6">
        <v>73</v>
      </c>
      <c r="E249" s="6">
        <v>0</v>
      </c>
      <c r="F249" s="6">
        <v>0</v>
      </c>
      <c r="G249" s="6">
        <v>19</v>
      </c>
      <c r="H249" s="6" t="s">
        <v>51126</v>
      </c>
      <c r="I249" s="6">
        <v>526.6875</v>
      </c>
      <c r="J249" s="2">
        <f t="shared" si="3"/>
        <v>43749.421671180557</v>
      </c>
    </row>
    <row r="250" spans="1:10" x14ac:dyDescent="0.25">
      <c r="A250" s="7" t="s">
        <v>51127</v>
      </c>
      <c r="B250" s="8">
        <v>393.75</v>
      </c>
      <c r="C250" s="8">
        <v>20.478950000000001</v>
      </c>
      <c r="D250" s="8">
        <v>73</v>
      </c>
      <c r="E250" s="8">
        <v>0</v>
      </c>
      <c r="F250" s="8">
        <v>0</v>
      </c>
      <c r="G250" s="8">
        <v>9</v>
      </c>
      <c r="H250" s="8" t="s">
        <v>51128</v>
      </c>
      <c r="I250" s="8">
        <v>526.6875</v>
      </c>
      <c r="J250" s="3">
        <f t="shared" si="3"/>
        <v>43749.421742812498</v>
      </c>
    </row>
    <row r="251" spans="1:10" x14ac:dyDescent="0.25">
      <c r="A251" s="5" t="s">
        <v>51129</v>
      </c>
      <c r="B251" s="6">
        <v>393.75</v>
      </c>
      <c r="C251" s="6">
        <v>20.478950000000001</v>
      </c>
      <c r="D251" s="6">
        <v>73</v>
      </c>
      <c r="E251" s="6">
        <v>0</v>
      </c>
      <c r="F251" s="6">
        <v>0</v>
      </c>
      <c r="G251" s="6">
        <v>13</v>
      </c>
      <c r="H251" s="6" t="s">
        <v>51130</v>
      </c>
      <c r="I251" s="6">
        <v>526.5</v>
      </c>
      <c r="J251" s="2">
        <f t="shared" si="3"/>
        <v>43749.421826747683</v>
      </c>
    </row>
    <row r="252" spans="1:10" x14ac:dyDescent="0.25">
      <c r="A252" s="7" t="s">
        <v>51131</v>
      </c>
      <c r="B252" s="8">
        <v>393.75</v>
      </c>
      <c r="C252" s="8">
        <v>20.478950000000001</v>
      </c>
      <c r="D252" s="8">
        <v>74</v>
      </c>
      <c r="E252" s="8">
        <v>0</v>
      </c>
      <c r="F252" s="8">
        <v>0</v>
      </c>
      <c r="G252" s="8">
        <v>16</v>
      </c>
      <c r="H252" s="8" t="s">
        <v>51132</v>
      </c>
      <c r="I252" s="8">
        <v>526.6875</v>
      </c>
      <c r="J252" s="3">
        <f t="shared" si="3"/>
        <v>43749.42191005787</v>
      </c>
    </row>
    <row r="253" spans="1:10" x14ac:dyDescent="0.25">
      <c r="A253" s="5" t="s">
        <v>51133</v>
      </c>
      <c r="B253" s="6">
        <v>425</v>
      </c>
      <c r="C253" s="6">
        <v>20.478950000000001</v>
      </c>
      <c r="D253" s="6">
        <v>74</v>
      </c>
      <c r="E253" s="6">
        <v>0</v>
      </c>
      <c r="F253" s="6">
        <v>0</v>
      </c>
      <c r="G253" s="6">
        <v>12</v>
      </c>
      <c r="H253" s="6" t="s">
        <v>51134</v>
      </c>
      <c r="I253" s="6">
        <v>536.4375</v>
      </c>
      <c r="J253" s="2">
        <f t="shared" si="3"/>
        <v>43749.421993518517</v>
      </c>
    </row>
    <row r="254" spans="1:10" x14ac:dyDescent="0.25">
      <c r="A254" s="7" t="s">
        <v>51135</v>
      </c>
      <c r="B254" s="8">
        <v>393.75</v>
      </c>
      <c r="C254" s="8">
        <v>20.478950000000001</v>
      </c>
      <c r="D254" s="8">
        <v>74</v>
      </c>
      <c r="E254" s="8">
        <v>0</v>
      </c>
      <c r="F254" s="8">
        <v>0</v>
      </c>
      <c r="G254" s="8">
        <v>14</v>
      </c>
      <c r="H254" s="8" t="s">
        <v>51136</v>
      </c>
      <c r="I254" s="8">
        <v>526.6875</v>
      </c>
      <c r="J254" s="3">
        <f t="shared" si="3"/>
        <v>43749.422088877312</v>
      </c>
    </row>
    <row r="255" spans="1:10" x14ac:dyDescent="0.25">
      <c r="A255" s="5" t="s">
        <v>51137</v>
      </c>
      <c r="B255" s="6">
        <v>412.5</v>
      </c>
      <c r="C255" s="6">
        <v>20.478950000000001</v>
      </c>
      <c r="D255" s="6">
        <v>74</v>
      </c>
      <c r="E255" s="6">
        <v>0</v>
      </c>
      <c r="F255" s="6">
        <v>0</v>
      </c>
      <c r="G255" s="6">
        <v>16</v>
      </c>
      <c r="H255" s="6" t="s">
        <v>51138</v>
      </c>
      <c r="I255" s="6">
        <v>532.3125</v>
      </c>
      <c r="J255" s="2">
        <f t="shared" si="3"/>
        <v>43749.422172349536</v>
      </c>
    </row>
    <row r="256" spans="1:10" x14ac:dyDescent="0.25">
      <c r="A256" s="7" t="s">
        <v>51139</v>
      </c>
      <c r="B256" s="8">
        <v>393.75</v>
      </c>
      <c r="C256" s="8">
        <v>20.478950000000001</v>
      </c>
      <c r="D256" s="8">
        <v>74</v>
      </c>
      <c r="E256" s="8">
        <v>0</v>
      </c>
      <c r="F256" s="8">
        <v>0</v>
      </c>
      <c r="G256" s="8">
        <v>16</v>
      </c>
      <c r="H256" s="8" t="s">
        <v>51140</v>
      </c>
      <c r="I256" s="8">
        <v>526.6875</v>
      </c>
      <c r="J256" s="3">
        <f t="shared" si="3"/>
        <v>43749.422255902777</v>
      </c>
    </row>
    <row r="257" spans="1:10" x14ac:dyDescent="0.25">
      <c r="A257" s="5" t="s">
        <v>51141</v>
      </c>
      <c r="B257" s="6">
        <v>393.75</v>
      </c>
      <c r="C257" s="6">
        <v>20.478950000000001</v>
      </c>
      <c r="D257" s="6">
        <v>76</v>
      </c>
      <c r="E257" s="6">
        <v>0</v>
      </c>
      <c r="F257" s="6">
        <v>0</v>
      </c>
      <c r="G257" s="6">
        <v>22</v>
      </c>
      <c r="H257" s="6" t="s">
        <v>51142</v>
      </c>
      <c r="I257" s="6">
        <v>526.5</v>
      </c>
      <c r="J257" s="2">
        <f t="shared" si="3"/>
        <v>43749.422339004632</v>
      </c>
    </row>
    <row r="258" spans="1:10" x14ac:dyDescent="0.25">
      <c r="A258" s="7" t="s">
        <v>51143</v>
      </c>
      <c r="B258" s="8">
        <v>393.75</v>
      </c>
      <c r="C258" s="8">
        <v>20.478950000000001</v>
      </c>
      <c r="D258" s="8">
        <v>76</v>
      </c>
      <c r="E258" s="8">
        <v>0</v>
      </c>
      <c r="F258" s="8">
        <v>0</v>
      </c>
      <c r="G258" s="8">
        <v>22</v>
      </c>
      <c r="H258" s="8" t="s">
        <v>51144</v>
      </c>
      <c r="I258" s="8">
        <v>526.6875</v>
      </c>
      <c r="J258" s="3">
        <f t="shared" ref="J258:J321" si="4">(H258/86400000)+25569+(7/24)</f>
        <v>43749.422423136573</v>
      </c>
    </row>
    <row r="259" spans="1:10" x14ac:dyDescent="0.25">
      <c r="A259" s="5" t="s">
        <v>51145</v>
      </c>
      <c r="B259" s="6">
        <v>393.75</v>
      </c>
      <c r="C259" s="6">
        <v>20.478950000000001</v>
      </c>
      <c r="D259" s="6">
        <v>73</v>
      </c>
      <c r="E259" s="6">
        <v>0</v>
      </c>
      <c r="F259" s="6">
        <v>0</v>
      </c>
      <c r="G259" s="6">
        <v>24</v>
      </c>
      <c r="H259" s="6" t="s">
        <v>51146</v>
      </c>
      <c r="I259" s="6">
        <v>526.6875</v>
      </c>
      <c r="J259" s="2">
        <f t="shared" si="4"/>
        <v>43749.422506400464</v>
      </c>
    </row>
    <row r="260" spans="1:10" x14ac:dyDescent="0.25">
      <c r="A260" s="7" t="s">
        <v>51147</v>
      </c>
      <c r="B260" s="8">
        <v>393.75</v>
      </c>
      <c r="C260" s="8">
        <v>20.478950000000001</v>
      </c>
      <c r="D260" s="8">
        <v>74</v>
      </c>
      <c r="E260" s="8">
        <v>0</v>
      </c>
      <c r="F260" s="8">
        <v>0</v>
      </c>
      <c r="G260" s="8">
        <v>18</v>
      </c>
      <c r="H260" s="8" t="s">
        <v>51148</v>
      </c>
      <c r="I260" s="8">
        <v>526.6875</v>
      </c>
      <c r="J260" s="3">
        <f t="shared" si="4"/>
        <v>43749.422589699076</v>
      </c>
    </row>
    <row r="261" spans="1:10" x14ac:dyDescent="0.25">
      <c r="A261" s="5" t="s">
        <v>51149</v>
      </c>
      <c r="B261" s="6">
        <v>393.75</v>
      </c>
      <c r="C261" s="6">
        <v>20.478950000000001</v>
      </c>
      <c r="D261" s="6">
        <v>76</v>
      </c>
      <c r="E261" s="6">
        <v>0</v>
      </c>
      <c r="F261" s="6">
        <v>0</v>
      </c>
      <c r="G261" s="6">
        <v>21</v>
      </c>
      <c r="H261" s="6" t="s">
        <v>51150</v>
      </c>
      <c r="I261" s="6">
        <v>526.6875</v>
      </c>
      <c r="J261" s="2">
        <f t="shared" si="4"/>
        <v>43749.4226733912</v>
      </c>
    </row>
    <row r="262" spans="1:10" x14ac:dyDescent="0.25">
      <c r="A262" s="7" t="s">
        <v>51151</v>
      </c>
      <c r="B262" s="8">
        <v>393.75</v>
      </c>
      <c r="C262" s="8">
        <v>20.478950000000001</v>
      </c>
      <c r="D262" s="8">
        <v>76</v>
      </c>
      <c r="E262" s="8">
        <v>0</v>
      </c>
      <c r="F262" s="8">
        <v>0</v>
      </c>
      <c r="G262" s="8">
        <v>20</v>
      </c>
      <c r="H262" s="8" t="s">
        <v>51152</v>
      </c>
      <c r="I262" s="8">
        <v>526.5</v>
      </c>
      <c r="J262" s="3">
        <f t="shared" si="4"/>
        <v>43749.422756469903</v>
      </c>
    </row>
    <row r="263" spans="1:10" x14ac:dyDescent="0.25">
      <c r="A263" s="5" t="s">
        <v>51153</v>
      </c>
      <c r="B263" s="6">
        <v>393.75</v>
      </c>
      <c r="C263" s="6">
        <v>20.478950000000001</v>
      </c>
      <c r="D263" s="6">
        <v>78</v>
      </c>
      <c r="E263" s="6">
        <v>0</v>
      </c>
      <c r="F263" s="6">
        <v>0</v>
      </c>
      <c r="G263" s="6">
        <v>17</v>
      </c>
      <c r="H263" s="6" t="s">
        <v>51154</v>
      </c>
      <c r="I263" s="6">
        <v>526.6875</v>
      </c>
      <c r="J263" s="2">
        <f t="shared" si="4"/>
        <v>43749.422840277774</v>
      </c>
    </row>
    <row r="264" spans="1:10" x14ac:dyDescent="0.25">
      <c r="A264" s="7" t="s">
        <v>51155</v>
      </c>
      <c r="B264" s="8">
        <v>393.75</v>
      </c>
      <c r="C264" s="8">
        <v>20.478950000000001</v>
      </c>
      <c r="D264" s="8">
        <v>78</v>
      </c>
      <c r="E264" s="8">
        <v>0</v>
      </c>
      <c r="F264" s="8">
        <v>0</v>
      </c>
      <c r="G264" s="8">
        <v>16</v>
      </c>
      <c r="H264" s="8" t="s">
        <v>51156</v>
      </c>
      <c r="I264" s="8">
        <v>526.6875</v>
      </c>
      <c r="J264" s="3">
        <f t="shared" si="4"/>
        <v>43749.422923877311</v>
      </c>
    </row>
    <row r="265" spans="1:10" x14ac:dyDescent="0.25">
      <c r="A265" s="5" t="s">
        <v>51157</v>
      </c>
      <c r="B265" s="6">
        <v>393.75</v>
      </c>
      <c r="C265" s="6">
        <v>20.478950000000001</v>
      </c>
      <c r="D265" s="6">
        <v>77</v>
      </c>
      <c r="E265" s="6">
        <v>0</v>
      </c>
      <c r="F265" s="6">
        <v>0</v>
      </c>
      <c r="G265" s="6">
        <v>19</v>
      </c>
      <c r="H265" s="6" t="s">
        <v>51158</v>
      </c>
      <c r="I265" s="6">
        <v>526.6875</v>
      </c>
      <c r="J265" s="2">
        <f t="shared" si="4"/>
        <v>43749.422995370369</v>
      </c>
    </row>
    <row r="266" spans="1:10" x14ac:dyDescent="0.25">
      <c r="A266" s="7" t="s">
        <v>51159</v>
      </c>
      <c r="B266" s="8">
        <v>393.75</v>
      </c>
      <c r="C266" s="8">
        <v>20.478950000000001</v>
      </c>
      <c r="D266" s="8">
        <v>77</v>
      </c>
      <c r="E266" s="8">
        <v>0</v>
      </c>
      <c r="F266" s="8">
        <v>0</v>
      </c>
      <c r="G266" s="8">
        <v>20</v>
      </c>
      <c r="H266" s="8" t="s">
        <v>51160</v>
      </c>
      <c r="I266" s="8">
        <v>526.6875</v>
      </c>
      <c r="J266" s="3">
        <f t="shared" si="4"/>
        <v>43749.423078576387</v>
      </c>
    </row>
    <row r="267" spans="1:10" x14ac:dyDescent="0.25">
      <c r="A267" s="5" t="s">
        <v>51161</v>
      </c>
      <c r="B267" s="6">
        <v>412.5</v>
      </c>
      <c r="C267" s="6">
        <v>20.478950000000001</v>
      </c>
      <c r="D267" s="6">
        <v>77</v>
      </c>
      <c r="E267" s="6">
        <v>0</v>
      </c>
      <c r="F267" s="6">
        <v>0</v>
      </c>
      <c r="G267" s="6">
        <v>12</v>
      </c>
      <c r="H267" s="6" t="s">
        <v>51162</v>
      </c>
      <c r="I267" s="6">
        <v>532.3125</v>
      </c>
      <c r="J267" s="2">
        <f t="shared" si="4"/>
        <v>43749.423150358794</v>
      </c>
    </row>
    <row r="268" spans="1:10" x14ac:dyDescent="0.25">
      <c r="A268" s="7" t="s">
        <v>51163</v>
      </c>
      <c r="B268" s="8">
        <v>393.75</v>
      </c>
      <c r="C268" s="8">
        <v>20.478950000000001</v>
      </c>
      <c r="D268" s="8">
        <v>78</v>
      </c>
      <c r="E268" s="8">
        <v>0</v>
      </c>
      <c r="F268" s="8">
        <v>0</v>
      </c>
      <c r="G268" s="8">
        <v>20</v>
      </c>
      <c r="H268" s="8" t="s">
        <v>51164</v>
      </c>
      <c r="I268" s="8">
        <v>526.6875</v>
      </c>
      <c r="J268" s="3">
        <f t="shared" si="4"/>
        <v>43749.423233900459</v>
      </c>
    </row>
    <row r="269" spans="1:10" x14ac:dyDescent="0.25">
      <c r="A269" s="5" t="s">
        <v>51165</v>
      </c>
      <c r="B269" s="6">
        <v>393.75</v>
      </c>
      <c r="C269" s="6">
        <v>20.478950000000001</v>
      </c>
      <c r="D269" s="6">
        <v>78</v>
      </c>
      <c r="E269" s="6">
        <v>0</v>
      </c>
      <c r="F269" s="6">
        <v>0</v>
      </c>
      <c r="G269" s="6">
        <v>18</v>
      </c>
      <c r="H269" s="6" t="s">
        <v>51166</v>
      </c>
      <c r="I269" s="6">
        <v>526.6875</v>
      </c>
      <c r="J269" s="2">
        <f t="shared" si="4"/>
        <v>43749.423317349538</v>
      </c>
    </row>
    <row r="270" spans="1:10" x14ac:dyDescent="0.25">
      <c r="A270" s="7" t="s">
        <v>51167</v>
      </c>
      <c r="B270" s="8">
        <v>393.75</v>
      </c>
      <c r="C270" s="8">
        <v>20.478950000000001</v>
      </c>
      <c r="D270" s="8">
        <v>78</v>
      </c>
      <c r="E270" s="8">
        <v>0</v>
      </c>
      <c r="F270" s="8">
        <v>0</v>
      </c>
      <c r="G270" s="8">
        <v>17</v>
      </c>
      <c r="H270" s="8" t="s">
        <v>51168</v>
      </c>
      <c r="I270" s="8">
        <v>526.6875</v>
      </c>
      <c r="J270" s="3">
        <f t="shared" si="4"/>
        <v>43749.423400821754</v>
      </c>
    </row>
    <row r="271" spans="1:10" x14ac:dyDescent="0.25">
      <c r="A271" s="5" t="s">
        <v>51169</v>
      </c>
      <c r="B271" s="6">
        <v>393.75</v>
      </c>
      <c r="C271" s="6">
        <v>20.478950000000001</v>
      </c>
      <c r="D271" s="6">
        <v>77</v>
      </c>
      <c r="E271" s="6">
        <v>0</v>
      </c>
      <c r="F271" s="6">
        <v>0</v>
      </c>
      <c r="G271" s="6">
        <v>12</v>
      </c>
      <c r="H271" s="6" t="s">
        <v>51170</v>
      </c>
      <c r="I271" s="6">
        <v>526.5</v>
      </c>
      <c r="J271" s="2">
        <f t="shared" si="4"/>
        <v>43749.423484374995</v>
      </c>
    </row>
    <row r="272" spans="1:10" x14ac:dyDescent="0.25">
      <c r="A272" s="7" t="s">
        <v>51171</v>
      </c>
      <c r="B272" s="8">
        <v>393.75</v>
      </c>
      <c r="C272" s="8">
        <v>20.478950000000001</v>
      </c>
      <c r="D272" s="8">
        <v>76</v>
      </c>
      <c r="E272" s="8">
        <v>0</v>
      </c>
      <c r="F272" s="8">
        <v>0</v>
      </c>
      <c r="G272" s="8">
        <v>20</v>
      </c>
      <c r="H272" s="8" t="s">
        <v>51172</v>
      </c>
      <c r="I272" s="8">
        <v>526.6875</v>
      </c>
      <c r="J272" s="3">
        <f t="shared" si="4"/>
        <v>43749.423579780087</v>
      </c>
    </row>
    <row r="273" spans="1:10" x14ac:dyDescent="0.25">
      <c r="A273" s="5" t="s">
        <v>51173</v>
      </c>
      <c r="B273" s="6">
        <v>393.75</v>
      </c>
      <c r="C273" s="6">
        <v>20.478950000000001</v>
      </c>
      <c r="D273" s="6">
        <v>76</v>
      </c>
      <c r="E273" s="6">
        <v>0</v>
      </c>
      <c r="F273" s="6">
        <v>0</v>
      </c>
      <c r="G273" s="6">
        <v>17</v>
      </c>
      <c r="H273" s="6" t="s">
        <v>51174</v>
      </c>
      <c r="I273" s="6">
        <v>526.5</v>
      </c>
      <c r="J273" s="2">
        <f t="shared" si="4"/>
        <v>43749.423663217589</v>
      </c>
    </row>
    <row r="274" spans="1:10" x14ac:dyDescent="0.25">
      <c r="A274" s="7" t="s">
        <v>51175</v>
      </c>
      <c r="B274" s="8">
        <v>393.75</v>
      </c>
      <c r="C274" s="8">
        <v>20.478950000000001</v>
      </c>
      <c r="D274" s="8">
        <v>74</v>
      </c>
      <c r="E274" s="8">
        <v>0</v>
      </c>
      <c r="F274" s="8">
        <v>0</v>
      </c>
      <c r="G274" s="8">
        <v>16</v>
      </c>
      <c r="H274" s="8" t="s">
        <v>51176</v>
      </c>
      <c r="I274" s="8">
        <v>526.6875</v>
      </c>
      <c r="J274" s="3">
        <f t="shared" si="4"/>
        <v>43749.423746793975</v>
      </c>
    </row>
    <row r="275" spans="1:10" x14ac:dyDescent="0.25">
      <c r="A275" s="5" t="s">
        <v>51177</v>
      </c>
      <c r="B275" s="6">
        <v>393.75</v>
      </c>
      <c r="C275" s="6">
        <v>20.478950000000001</v>
      </c>
      <c r="D275" s="6">
        <v>74</v>
      </c>
      <c r="E275" s="6">
        <v>0</v>
      </c>
      <c r="F275" s="6">
        <v>0</v>
      </c>
      <c r="G275" s="6">
        <v>19</v>
      </c>
      <c r="H275" s="6" t="s">
        <v>51178</v>
      </c>
      <c r="I275" s="6">
        <v>526.6875</v>
      </c>
      <c r="J275" s="2">
        <f t="shared" si="4"/>
        <v>43749.423830231484</v>
      </c>
    </row>
    <row r="276" spans="1:10" x14ac:dyDescent="0.25">
      <c r="A276" s="7" t="s">
        <v>51179</v>
      </c>
      <c r="B276" s="8">
        <v>393.75</v>
      </c>
      <c r="C276" s="8">
        <v>20.478950000000001</v>
      </c>
      <c r="D276" s="8">
        <v>75</v>
      </c>
      <c r="E276" s="8">
        <v>0</v>
      </c>
      <c r="F276" s="8">
        <v>0</v>
      </c>
      <c r="G276" s="8">
        <v>19</v>
      </c>
      <c r="H276" s="8" t="s">
        <v>51180</v>
      </c>
      <c r="I276" s="8">
        <v>526.6875</v>
      </c>
      <c r="J276" s="3">
        <f t="shared" si="4"/>
        <v>43749.423913692131</v>
      </c>
    </row>
    <row r="277" spans="1:10" x14ac:dyDescent="0.25">
      <c r="A277" s="5" t="s">
        <v>51181</v>
      </c>
      <c r="B277" s="6">
        <v>393.75</v>
      </c>
      <c r="C277" s="6">
        <v>20.478950000000001</v>
      </c>
      <c r="D277" s="6">
        <v>76</v>
      </c>
      <c r="E277" s="6">
        <v>0</v>
      </c>
      <c r="F277" s="6">
        <v>0</v>
      </c>
      <c r="G277" s="6">
        <v>12</v>
      </c>
      <c r="H277" s="6" t="s">
        <v>51182</v>
      </c>
      <c r="I277" s="6">
        <v>526.5</v>
      </c>
      <c r="J277" s="2">
        <f t="shared" si="4"/>
        <v>43749.423985219903</v>
      </c>
    </row>
    <row r="278" spans="1:10" x14ac:dyDescent="0.25">
      <c r="A278" s="7" t="s">
        <v>51183</v>
      </c>
      <c r="B278" s="8">
        <v>393.75</v>
      </c>
      <c r="C278" s="8">
        <v>20.478950000000001</v>
      </c>
      <c r="D278" s="8">
        <v>75</v>
      </c>
      <c r="E278" s="8">
        <v>0</v>
      </c>
      <c r="F278" s="8">
        <v>0</v>
      </c>
      <c r="G278" s="8">
        <v>20</v>
      </c>
      <c r="H278" s="8" t="s">
        <v>51184</v>
      </c>
      <c r="I278" s="8">
        <v>526.6875</v>
      </c>
      <c r="J278" s="3">
        <f t="shared" si="4"/>
        <v>43749.424068437496</v>
      </c>
    </row>
    <row r="279" spans="1:10" x14ac:dyDescent="0.25">
      <c r="A279" s="5" t="s">
        <v>51185</v>
      </c>
      <c r="B279" s="6">
        <v>412.5</v>
      </c>
      <c r="C279" s="6">
        <v>20.478950000000001</v>
      </c>
      <c r="D279" s="6">
        <v>75</v>
      </c>
      <c r="E279" s="6">
        <v>0</v>
      </c>
      <c r="F279" s="6">
        <v>0</v>
      </c>
      <c r="G279" s="6">
        <v>13</v>
      </c>
      <c r="H279" s="6" t="s">
        <v>51186</v>
      </c>
      <c r="I279" s="6">
        <v>532.3125</v>
      </c>
      <c r="J279" s="2">
        <f t="shared" si="4"/>
        <v>43749.424140312498</v>
      </c>
    </row>
    <row r="280" spans="1:10" x14ac:dyDescent="0.25">
      <c r="A280" s="7" t="s">
        <v>51187</v>
      </c>
      <c r="B280" s="8">
        <v>393.75</v>
      </c>
      <c r="C280" s="8">
        <v>20.478950000000001</v>
      </c>
      <c r="D280" s="8">
        <v>77</v>
      </c>
      <c r="E280" s="8">
        <v>0</v>
      </c>
      <c r="F280" s="8">
        <v>0</v>
      </c>
      <c r="G280" s="8">
        <v>13</v>
      </c>
      <c r="H280" s="8" t="s">
        <v>51188</v>
      </c>
      <c r="I280" s="8">
        <v>526.5</v>
      </c>
      <c r="J280" s="3">
        <f t="shared" si="4"/>
        <v>43749.424228368058</v>
      </c>
    </row>
    <row r="281" spans="1:10" x14ac:dyDescent="0.25">
      <c r="A281" s="5" t="s">
        <v>51189</v>
      </c>
      <c r="B281" s="6">
        <v>393.75</v>
      </c>
      <c r="C281" s="6">
        <v>20.478950000000001</v>
      </c>
      <c r="D281" s="6">
        <v>75</v>
      </c>
      <c r="E281" s="6">
        <v>0</v>
      </c>
      <c r="F281" s="6">
        <v>0</v>
      </c>
      <c r="G281" s="6">
        <v>13</v>
      </c>
      <c r="H281" s="6" t="s">
        <v>51190</v>
      </c>
      <c r="I281" s="6">
        <v>526.6875</v>
      </c>
      <c r="J281" s="2">
        <f t="shared" si="4"/>
        <v>43749.424307337962</v>
      </c>
    </row>
    <row r="282" spans="1:10" x14ac:dyDescent="0.25">
      <c r="A282" s="7" t="s">
        <v>51191</v>
      </c>
      <c r="B282" s="8">
        <v>393.75</v>
      </c>
      <c r="C282" s="8">
        <v>20.478950000000001</v>
      </c>
      <c r="D282" s="8">
        <v>75</v>
      </c>
      <c r="E282" s="8">
        <v>0</v>
      </c>
      <c r="F282" s="8">
        <v>0</v>
      </c>
      <c r="G282" s="8">
        <v>14</v>
      </c>
      <c r="H282" s="8" t="s">
        <v>51192</v>
      </c>
      <c r="I282" s="8">
        <v>526.6875</v>
      </c>
      <c r="J282" s="3">
        <f t="shared" si="4"/>
        <v>43749.424390787033</v>
      </c>
    </row>
    <row r="283" spans="1:10" x14ac:dyDescent="0.25">
      <c r="A283" s="5" t="s">
        <v>51193</v>
      </c>
      <c r="B283" s="6">
        <v>393.75</v>
      </c>
      <c r="C283" s="6">
        <v>20.478950000000001</v>
      </c>
      <c r="D283" s="6">
        <v>75</v>
      </c>
      <c r="E283" s="6">
        <v>0</v>
      </c>
      <c r="F283" s="6">
        <v>0</v>
      </c>
      <c r="G283" s="6">
        <v>21</v>
      </c>
      <c r="H283" s="6" t="s">
        <v>51194</v>
      </c>
      <c r="I283" s="6">
        <v>526.6875</v>
      </c>
      <c r="J283" s="2">
        <f t="shared" si="4"/>
        <v>43749.424462303235</v>
      </c>
    </row>
    <row r="284" spans="1:10" x14ac:dyDescent="0.25">
      <c r="A284" s="7" t="s">
        <v>51195</v>
      </c>
      <c r="B284" s="8">
        <v>393.75</v>
      </c>
      <c r="C284" s="8">
        <v>20.478950000000001</v>
      </c>
      <c r="D284" s="8">
        <v>74</v>
      </c>
      <c r="E284" s="8">
        <v>0</v>
      </c>
      <c r="F284" s="8">
        <v>0</v>
      </c>
      <c r="G284" s="8">
        <v>15</v>
      </c>
      <c r="H284" s="8" t="s">
        <v>51196</v>
      </c>
      <c r="I284" s="8">
        <v>526.6875</v>
      </c>
      <c r="J284" s="3">
        <f t="shared" si="4"/>
        <v>43749.424545532405</v>
      </c>
    </row>
    <row r="285" spans="1:10" x14ac:dyDescent="0.25">
      <c r="A285" s="5" t="s">
        <v>51197</v>
      </c>
      <c r="B285" s="6">
        <v>393.75</v>
      </c>
      <c r="C285" s="6">
        <v>20.478950000000001</v>
      </c>
      <c r="D285" s="6">
        <v>74</v>
      </c>
      <c r="E285" s="6">
        <v>0</v>
      </c>
      <c r="F285" s="6">
        <v>0</v>
      </c>
      <c r="G285" s="6">
        <v>10</v>
      </c>
      <c r="H285" s="6" t="s">
        <v>51198</v>
      </c>
      <c r="I285" s="6">
        <v>526.6875</v>
      </c>
      <c r="J285" s="2">
        <f t="shared" si="4"/>
        <v>43749.424617048608</v>
      </c>
    </row>
    <row r="286" spans="1:10" x14ac:dyDescent="0.25">
      <c r="A286" s="7" t="s">
        <v>51199</v>
      </c>
      <c r="B286" s="8">
        <v>393.75</v>
      </c>
      <c r="C286" s="8">
        <v>20.478950000000001</v>
      </c>
      <c r="D286" s="8">
        <v>74</v>
      </c>
      <c r="E286" s="8">
        <v>0</v>
      </c>
      <c r="F286" s="8">
        <v>0</v>
      </c>
      <c r="G286" s="8">
        <v>14</v>
      </c>
      <c r="H286" s="8" t="s">
        <v>51200</v>
      </c>
      <c r="I286" s="8">
        <v>526.5</v>
      </c>
      <c r="J286" s="3">
        <f t="shared" si="4"/>
        <v>43749.424700960641</v>
      </c>
    </row>
    <row r="287" spans="1:10" x14ac:dyDescent="0.25">
      <c r="A287" s="5" t="s">
        <v>51201</v>
      </c>
      <c r="B287" s="6">
        <v>393.75</v>
      </c>
      <c r="C287" s="6">
        <v>20.478950000000001</v>
      </c>
      <c r="D287" s="6">
        <v>74</v>
      </c>
      <c r="E287" s="6">
        <v>0</v>
      </c>
      <c r="F287" s="6">
        <v>0</v>
      </c>
      <c r="G287" s="6">
        <v>2</v>
      </c>
      <c r="H287" s="6" t="s">
        <v>51202</v>
      </c>
      <c r="I287" s="6">
        <v>526.6875</v>
      </c>
      <c r="J287" s="2">
        <f t="shared" si="4"/>
        <v>43749.42478439815</v>
      </c>
    </row>
    <row r="288" spans="1:10" x14ac:dyDescent="0.25">
      <c r="A288" s="7" t="s">
        <v>51203</v>
      </c>
      <c r="B288" s="8">
        <v>393.75</v>
      </c>
      <c r="C288" s="8">
        <v>20.478950000000001</v>
      </c>
      <c r="D288" s="8">
        <v>72</v>
      </c>
      <c r="E288" s="8">
        <v>0</v>
      </c>
      <c r="F288" s="8">
        <v>0</v>
      </c>
      <c r="G288" s="8">
        <v>17</v>
      </c>
      <c r="H288" s="8" t="s">
        <v>51204</v>
      </c>
      <c r="I288" s="8">
        <v>526.6875</v>
      </c>
      <c r="J288" s="3">
        <f t="shared" si="4"/>
        <v>43749.424867581016</v>
      </c>
    </row>
    <row r="289" spans="1:10" x14ac:dyDescent="0.25">
      <c r="A289" s="5" t="s">
        <v>51205</v>
      </c>
      <c r="B289" s="6">
        <v>393.75</v>
      </c>
      <c r="C289" s="6">
        <v>20.478950000000001</v>
      </c>
      <c r="D289" s="6">
        <v>72</v>
      </c>
      <c r="E289" s="6">
        <v>0</v>
      </c>
      <c r="F289" s="6">
        <v>0</v>
      </c>
      <c r="G289" s="6">
        <v>16</v>
      </c>
      <c r="H289" s="6" t="s">
        <v>51206</v>
      </c>
      <c r="I289" s="6">
        <v>526.6875</v>
      </c>
      <c r="J289" s="2">
        <f t="shared" si="4"/>
        <v>43749.424939282406</v>
      </c>
    </row>
    <row r="290" spans="1:10" x14ac:dyDescent="0.25">
      <c r="A290" s="7" t="s">
        <v>51207</v>
      </c>
      <c r="B290" s="8">
        <v>415.625</v>
      </c>
      <c r="C290" s="8">
        <v>20.478950000000001</v>
      </c>
      <c r="D290" s="8">
        <v>72</v>
      </c>
      <c r="E290" s="8">
        <v>0</v>
      </c>
      <c r="F290" s="8">
        <v>0</v>
      </c>
      <c r="G290" s="8">
        <v>14</v>
      </c>
      <c r="H290" s="8" t="s">
        <v>51208</v>
      </c>
      <c r="I290" s="8">
        <v>533.625</v>
      </c>
      <c r="J290" s="3">
        <f t="shared" si="4"/>
        <v>43749.425011006941</v>
      </c>
    </row>
    <row r="291" spans="1:10" x14ac:dyDescent="0.25">
      <c r="A291" s="5" t="s">
        <v>51209</v>
      </c>
      <c r="B291" s="6">
        <v>393.75</v>
      </c>
      <c r="C291" s="6">
        <v>20.478950000000001</v>
      </c>
      <c r="D291" s="6">
        <v>72</v>
      </c>
      <c r="E291" s="6">
        <v>0</v>
      </c>
      <c r="F291" s="6">
        <v>0</v>
      </c>
      <c r="G291" s="6">
        <v>18</v>
      </c>
      <c r="H291" s="6" t="s">
        <v>51210</v>
      </c>
      <c r="I291" s="6">
        <v>526.6875</v>
      </c>
      <c r="J291" s="2">
        <f t="shared" si="4"/>
        <v>43749.425094467595</v>
      </c>
    </row>
    <row r="292" spans="1:10" x14ac:dyDescent="0.25">
      <c r="A292" s="7" t="s">
        <v>51211</v>
      </c>
      <c r="B292" s="8">
        <v>393.75</v>
      </c>
      <c r="C292" s="8">
        <v>20.478950000000001</v>
      </c>
      <c r="D292" s="8">
        <v>72</v>
      </c>
      <c r="E292" s="8">
        <v>0</v>
      </c>
      <c r="F292" s="8">
        <v>0</v>
      </c>
      <c r="G292" s="8">
        <v>14</v>
      </c>
      <c r="H292" s="8" t="s">
        <v>51212</v>
      </c>
      <c r="I292" s="8">
        <v>526.5</v>
      </c>
      <c r="J292" s="3">
        <f t="shared" si="4"/>
        <v>43749.425165995366</v>
      </c>
    </row>
    <row r="293" spans="1:10" x14ac:dyDescent="0.25">
      <c r="A293" s="5" t="s">
        <v>51213</v>
      </c>
      <c r="B293" s="6">
        <v>412.5</v>
      </c>
      <c r="C293" s="6">
        <v>20.478950000000001</v>
      </c>
      <c r="D293" s="6">
        <v>73</v>
      </c>
      <c r="E293" s="6">
        <v>0</v>
      </c>
      <c r="F293" s="6">
        <v>0</v>
      </c>
      <c r="G293" s="6">
        <v>13</v>
      </c>
      <c r="H293" s="6" t="s">
        <v>51214</v>
      </c>
      <c r="I293" s="6">
        <v>532.875</v>
      </c>
      <c r="J293" s="2">
        <f t="shared" si="4"/>
        <v>43749.425249097221</v>
      </c>
    </row>
    <row r="294" spans="1:10" x14ac:dyDescent="0.25">
      <c r="A294" s="7" t="s">
        <v>51215</v>
      </c>
      <c r="B294" s="8">
        <v>393.75</v>
      </c>
      <c r="C294" s="8">
        <v>20.478950000000001</v>
      </c>
      <c r="D294" s="8">
        <v>73</v>
      </c>
      <c r="E294" s="8">
        <v>0</v>
      </c>
      <c r="F294" s="8">
        <v>0</v>
      </c>
      <c r="G294" s="8">
        <v>27</v>
      </c>
      <c r="H294" s="8" t="s">
        <v>51216</v>
      </c>
      <c r="I294" s="8">
        <v>526.6875</v>
      </c>
      <c r="J294" s="3">
        <f t="shared" si="4"/>
        <v>43749.425320752307</v>
      </c>
    </row>
    <row r="295" spans="1:10" x14ac:dyDescent="0.25">
      <c r="A295" s="5" t="s">
        <v>51217</v>
      </c>
      <c r="B295" s="6">
        <v>393.75</v>
      </c>
      <c r="C295" s="6">
        <v>20.478950000000001</v>
      </c>
      <c r="D295" s="6">
        <v>73</v>
      </c>
      <c r="E295" s="6">
        <v>0</v>
      </c>
      <c r="F295" s="6">
        <v>0</v>
      </c>
      <c r="G295" s="6">
        <v>14</v>
      </c>
      <c r="H295" s="6" t="s">
        <v>51218</v>
      </c>
      <c r="I295" s="6">
        <v>526.5</v>
      </c>
      <c r="J295" s="2">
        <f t="shared" si="4"/>
        <v>43749.425392974539</v>
      </c>
    </row>
    <row r="296" spans="1:10" x14ac:dyDescent="0.25">
      <c r="A296" s="7" t="s">
        <v>51219</v>
      </c>
      <c r="B296" s="8">
        <v>393.75</v>
      </c>
      <c r="C296" s="8">
        <v>20.478950000000001</v>
      </c>
      <c r="D296" s="8">
        <v>73</v>
      </c>
      <c r="E296" s="8">
        <v>0</v>
      </c>
      <c r="F296" s="8">
        <v>0</v>
      </c>
      <c r="G296" s="8">
        <v>11</v>
      </c>
      <c r="H296" s="8" t="s">
        <v>51220</v>
      </c>
      <c r="I296" s="8">
        <v>526.6875</v>
      </c>
      <c r="J296" s="3">
        <f t="shared" si="4"/>
        <v>43749.425476064811</v>
      </c>
    </row>
    <row r="297" spans="1:10" x14ac:dyDescent="0.25">
      <c r="A297" s="5" t="s">
        <v>51221</v>
      </c>
      <c r="B297" s="6">
        <v>393.75</v>
      </c>
      <c r="C297" s="6">
        <v>20.426300000000001</v>
      </c>
      <c r="D297" s="6">
        <v>73</v>
      </c>
      <c r="E297" s="6">
        <v>0</v>
      </c>
      <c r="F297" s="6">
        <v>0</v>
      </c>
      <c r="G297" s="6">
        <v>20</v>
      </c>
      <c r="H297" s="6" t="s">
        <v>51222</v>
      </c>
      <c r="I297" s="6">
        <v>526.6875</v>
      </c>
      <c r="J297" s="2">
        <f t="shared" si="4"/>
        <v>43749.425559537034</v>
      </c>
    </row>
    <row r="298" spans="1:10" x14ac:dyDescent="0.25">
      <c r="A298" s="7" t="s">
        <v>51223</v>
      </c>
      <c r="B298" s="8">
        <v>393.75</v>
      </c>
      <c r="C298" s="8">
        <v>20.478950000000001</v>
      </c>
      <c r="D298" s="8">
        <v>74</v>
      </c>
      <c r="E298" s="8">
        <v>0</v>
      </c>
      <c r="F298" s="8">
        <v>0</v>
      </c>
      <c r="G298" s="8">
        <v>10</v>
      </c>
      <c r="H298" s="8" t="s">
        <v>51224</v>
      </c>
      <c r="I298" s="8">
        <v>526.6875</v>
      </c>
      <c r="J298" s="3">
        <f t="shared" si="4"/>
        <v>43749.425630914346</v>
      </c>
    </row>
    <row r="299" spans="1:10" x14ac:dyDescent="0.25">
      <c r="A299" s="5" t="s">
        <v>51225</v>
      </c>
      <c r="B299" s="6">
        <v>393.75</v>
      </c>
      <c r="C299" s="6">
        <v>20.478950000000001</v>
      </c>
      <c r="D299" s="6">
        <v>74</v>
      </c>
      <c r="E299" s="6">
        <v>0</v>
      </c>
      <c r="F299" s="6">
        <v>0</v>
      </c>
      <c r="G299" s="6">
        <v>22</v>
      </c>
      <c r="H299" s="6" t="s">
        <v>51226</v>
      </c>
      <c r="I299" s="6">
        <v>526.6875</v>
      </c>
      <c r="J299" s="2">
        <f t="shared" si="4"/>
        <v>43749.425702812499</v>
      </c>
    </row>
    <row r="300" spans="1:10" x14ac:dyDescent="0.25">
      <c r="A300" s="7" t="s">
        <v>51227</v>
      </c>
      <c r="B300" s="8">
        <v>393.75</v>
      </c>
      <c r="C300" s="8">
        <v>20.478950000000001</v>
      </c>
      <c r="D300" s="8">
        <v>73</v>
      </c>
      <c r="E300" s="8">
        <v>0</v>
      </c>
      <c r="F300" s="8">
        <v>0</v>
      </c>
      <c r="G300" s="8">
        <v>16</v>
      </c>
      <c r="H300" s="8" t="s">
        <v>51228</v>
      </c>
      <c r="I300" s="8">
        <v>526.6875</v>
      </c>
      <c r="J300" s="3">
        <f t="shared" si="4"/>
        <v>43749.425786041662</v>
      </c>
    </row>
    <row r="301" spans="1:10" x14ac:dyDescent="0.25">
      <c r="A301" s="5" t="s">
        <v>51229</v>
      </c>
      <c r="B301" s="6">
        <v>393.75</v>
      </c>
      <c r="C301" s="6">
        <v>20.478950000000001</v>
      </c>
      <c r="D301" s="6">
        <v>72</v>
      </c>
      <c r="E301" s="6">
        <v>0</v>
      </c>
      <c r="F301" s="6">
        <v>0</v>
      </c>
      <c r="G301" s="6">
        <v>16</v>
      </c>
      <c r="H301" s="6" t="s">
        <v>51230</v>
      </c>
      <c r="I301" s="6">
        <v>526.6875</v>
      </c>
      <c r="J301" s="2">
        <f t="shared" si="4"/>
        <v>43749.425869652776</v>
      </c>
    </row>
    <row r="302" spans="1:10" x14ac:dyDescent="0.25">
      <c r="A302" s="7" t="s">
        <v>51231</v>
      </c>
      <c r="B302" s="8">
        <v>412.5</v>
      </c>
      <c r="C302" s="8">
        <v>20.478950000000001</v>
      </c>
      <c r="D302" s="8">
        <v>72</v>
      </c>
      <c r="E302" s="8">
        <v>0</v>
      </c>
      <c r="F302" s="8">
        <v>0</v>
      </c>
      <c r="G302" s="8">
        <v>19</v>
      </c>
      <c r="H302" s="8" t="s">
        <v>51232</v>
      </c>
      <c r="I302" s="8">
        <v>532.3125</v>
      </c>
      <c r="J302" s="3">
        <f t="shared" si="4"/>
        <v>43749.425952812497</v>
      </c>
    </row>
    <row r="303" spans="1:10" x14ac:dyDescent="0.25">
      <c r="A303" s="5" t="s">
        <v>51233</v>
      </c>
      <c r="B303" s="6">
        <v>393.75</v>
      </c>
      <c r="C303" s="6">
        <v>20.478950000000001</v>
      </c>
      <c r="D303" s="6">
        <v>71</v>
      </c>
      <c r="E303" s="6">
        <v>0</v>
      </c>
      <c r="F303" s="6">
        <v>0</v>
      </c>
      <c r="G303" s="6">
        <v>20</v>
      </c>
      <c r="H303" s="6" t="s">
        <v>51234</v>
      </c>
      <c r="I303" s="6">
        <v>526.6875</v>
      </c>
      <c r="J303" s="2">
        <f t="shared" si="4"/>
        <v>43749.426036631943</v>
      </c>
    </row>
    <row r="304" spans="1:10" x14ac:dyDescent="0.25">
      <c r="A304" s="7" t="s">
        <v>51235</v>
      </c>
      <c r="B304" s="8">
        <v>393.75</v>
      </c>
      <c r="C304" s="8">
        <v>20.478950000000001</v>
      </c>
      <c r="D304" s="8">
        <v>71</v>
      </c>
      <c r="E304" s="8">
        <v>0</v>
      </c>
      <c r="F304" s="8">
        <v>0</v>
      </c>
      <c r="G304" s="8">
        <v>13</v>
      </c>
      <c r="H304" s="8" t="s">
        <v>51236</v>
      </c>
      <c r="I304" s="8">
        <v>526.6875</v>
      </c>
      <c r="J304" s="3">
        <f t="shared" si="4"/>
        <v>43749.426131990738</v>
      </c>
    </row>
    <row r="305" spans="1:10" x14ac:dyDescent="0.25">
      <c r="A305" s="5" t="s">
        <v>51237</v>
      </c>
      <c r="B305" s="6">
        <v>393.75</v>
      </c>
      <c r="C305" s="6">
        <v>20.478950000000001</v>
      </c>
      <c r="D305" s="6">
        <v>70</v>
      </c>
      <c r="E305" s="6">
        <v>0</v>
      </c>
      <c r="F305" s="6">
        <v>0</v>
      </c>
      <c r="G305" s="6">
        <v>18</v>
      </c>
      <c r="H305" s="6" t="s">
        <v>51238</v>
      </c>
      <c r="I305" s="6">
        <v>526.6875</v>
      </c>
      <c r="J305" s="2">
        <f t="shared" si="4"/>
        <v>43749.426227581018</v>
      </c>
    </row>
    <row r="306" spans="1:10" x14ac:dyDescent="0.25">
      <c r="A306" s="7" t="s">
        <v>51239</v>
      </c>
      <c r="B306" s="8">
        <v>393.75</v>
      </c>
      <c r="C306" s="8">
        <v>20.478950000000001</v>
      </c>
      <c r="D306" s="8">
        <v>71</v>
      </c>
      <c r="E306" s="8">
        <v>0</v>
      </c>
      <c r="F306" s="8">
        <v>0</v>
      </c>
      <c r="G306" s="8">
        <v>19</v>
      </c>
      <c r="H306" s="8" t="s">
        <v>51240</v>
      </c>
      <c r="I306" s="8">
        <v>526.5</v>
      </c>
      <c r="J306" s="3">
        <f t="shared" si="4"/>
        <v>43749.42629899305</v>
      </c>
    </row>
    <row r="307" spans="1:10" x14ac:dyDescent="0.25">
      <c r="A307" s="5" t="s">
        <v>51241</v>
      </c>
      <c r="B307" s="6">
        <v>393.75</v>
      </c>
      <c r="C307" s="6">
        <v>20.478950000000001</v>
      </c>
      <c r="D307" s="6">
        <v>71</v>
      </c>
      <c r="E307" s="6">
        <v>0</v>
      </c>
      <c r="F307" s="6">
        <v>0</v>
      </c>
      <c r="G307" s="6">
        <v>16</v>
      </c>
      <c r="H307" s="6" t="s">
        <v>51242</v>
      </c>
      <c r="I307" s="6">
        <v>526.5</v>
      </c>
      <c r="J307" s="2">
        <f t="shared" si="4"/>
        <v>43749.426370509253</v>
      </c>
    </row>
    <row r="308" spans="1:10" x14ac:dyDescent="0.25">
      <c r="A308" s="7" t="s">
        <v>51243</v>
      </c>
      <c r="B308" s="8">
        <v>393.75</v>
      </c>
      <c r="C308" s="8">
        <v>20.478950000000001</v>
      </c>
      <c r="D308" s="8">
        <v>71</v>
      </c>
      <c r="E308" s="8">
        <v>0</v>
      </c>
      <c r="F308" s="8">
        <v>0</v>
      </c>
      <c r="G308" s="8">
        <v>29</v>
      </c>
      <c r="H308" s="8" t="s">
        <v>51244</v>
      </c>
      <c r="I308" s="8">
        <v>526.6875</v>
      </c>
      <c r="J308" s="3">
        <f t="shared" si="4"/>
        <v>43749.426453981483</v>
      </c>
    </row>
    <row r="309" spans="1:10" x14ac:dyDescent="0.25">
      <c r="A309" s="5" t="s">
        <v>51245</v>
      </c>
      <c r="B309" s="6">
        <v>393.75</v>
      </c>
      <c r="C309" s="6">
        <v>20.478950000000001</v>
      </c>
      <c r="D309" s="6">
        <v>71</v>
      </c>
      <c r="E309" s="6">
        <v>0</v>
      </c>
      <c r="F309" s="6">
        <v>0</v>
      </c>
      <c r="G309" s="6">
        <v>12</v>
      </c>
      <c r="H309" s="6" t="s">
        <v>51246</v>
      </c>
      <c r="I309" s="6">
        <v>526.6875</v>
      </c>
      <c r="J309" s="2">
        <f t="shared" si="4"/>
        <v>43749.426537569445</v>
      </c>
    </row>
    <row r="310" spans="1:10" x14ac:dyDescent="0.25">
      <c r="A310" s="7" t="s">
        <v>51247</v>
      </c>
      <c r="B310" s="8">
        <v>393.75</v>
      </c>
      <c r="C310" s="8">
        <v>20.478950000000001</v>
      </c>
      <c r="D310" s="8">
        <v>71</v>
      </c>
      <c r="E310" s="8">
        <v>0</v>
      </c>
      <c r="F310" s="8">
        <v>0</v>
      </c>
      <c r="G310" s="8">
        <v>18</v>
      </c>
      <c r="H310" s="8" t="s">
        <v>51248</v>
      </c>
      <c r="I310" s="8">
        <v>526.6875</v>
      </c>
      <c r="J310" s="3">
        <f t="shared" si="4"/>
        <v>43749.426609166665</v>
      </c>
    </row>
    <row r="311" spans="1:10" x14ac:dyDescent="0.25">
      <c r="A311" s="5" t="s">
        <v>51249</v>
      </c>
      <c r="B311" s="6">
        <v>393.75</v>
      </c>
      <c r="C311" s="6">
        <v>20.478950000000001</v>
      </c>
      <c r="D311" s="6">
        <v>70</v>
      </c>
      <c r="E311" s="6">
        <v>0</v>
      </c>
      <c r="F311" s="6">
        <v>0</v>
      </c>
      <c r="G311" s="6">
        <v>14</v>
      </c>
      <c r="H311" s="6" t="s">
        <v>51250</v>
      </c>
      <c r="I311" s="6">
        <v>526.6875</v>
      </c>
      <c r="J311" s="2">
        <f t="shared" si="4"/>
        <v>43749.426680590281</v>
      </c>
    </row>
    <row r="312" spans="1:10" x14ac:dyDescent="0.25">
      <c r="A312" s="7" t="s">
        <v>51251</v>
      </c>
      <c r="B312" s="8">
        <v>425</v>
      </c>
      <c r="C312" s="8">
        <v>20.478950000000001</v>
      </c>
      <c r="D312" s="8">
        <v>70</v>
      </c>
      <c r="E312" s="8">
        <v>0</v>
      </c>
      <c r="F312" s="8">
        <v>0</v>
      </c>
      <c r="G312" s="8">
        <v>18</v>
      </c>
      <c r="H312" s="8" t="s">
        <v>51252</v>
      </c>
      <c r="I312" s="8">
        <v>536.625</v>
      </c>
      <c r="J312" s="3">
        <f t="shared" si="4"/>
        <v>43749.426763807867</v>
      </c>
    </row>
    <row r="313" spans="1:10" x14ac:dyDescent="0.25">
      <c r="A313" s="5" t="s">
        <v>51253</v>
      </c>
      <c r="B313" s="6">
        <v>393.75</v>
      </c>
      <c r="C313" s="6">
        <v>20.478950000000001</v>
      </c>
      <c r="D313" s="6">
        <v>70</v>
      </c>
      <c r="E313" s="6">
        <v>0</v>
      </c>
      <c r="F313" s="6">
        <v>0</v>
      </c>
      <c r="G313" s="6">
        <v>5</v>
      </c>
      <c r="H313" s="6" t="s">
        <v>51254</v>
      </c>
      <c r="I313" s="6">
        <v>526.6875</v>
      </c>
      <c r="J313" s="2">
        <f t="shared" si="4"/>
        <v>43749.426835555554</v>
      </c>
    </row>
    <row r="314" spans="1:10" x14ac:dyDescent="0.25">
      <c r="A314" s="7" t="s">
        <v>51255</v>
      </c>
      <c r="B314" s="8">
        <v>393.75</v>
      </c>
      <c r="C314" s="8">
        <v>20.478950000000001</v>
      </c>
      <c r="D314" s="8">
        <v>71</v>
      </c>
      <c r="E314" s="8">
        <v>0</v>
      </c>
      <c r="F314" s="8">
        <v>0</v>
      </c>
      <c r="G314" s="8">
        <v>9</v>
      </c>
      <c r="H314" s="8" t="s">
        <v>51256</v>
      </c>
      <c r="I314" s="8">
        <v>526.6875</v>
      </c>
      <c r="J314" s="3">
        <f t="shared" si="4"/>
        <v>43749.426919120371</v>
      </c>
    </row>
    <row r="315" spans="1:10" x14ac:dyDescent="0.25">
      <c r="A315" s="5" t="s">
        <v>51257</v>
      </c>
      <c r="B315" s="6">
        <v>412.5</v>
      </c>
      <c r="C315" s="6">
        <v>20.478950000000001</v>
      </c>
      <c r="D315" s="6">
        <v>71</v>
      </c>
      <c r="E315" s="6">
        <v>0</v>
      </c>
      <c r="F315" s="6">
        <v>0</v>
      </c>
      <c r="G315" s="6">
        <v>8</v>
      </c>
      <c r="H315" s="6" t="s">
        <v>51258</v>
      </c>
      <c r="I315" s="6">
        <v>532.3125</v>
      </c>
      <c r="J315" s="2">
        <f t="shared" si="4"/>
        <v>43749.427002581018</v>
      </c>
    </row>
    <row r="316" spans="1:10" x14ac:dyDescent="0.25">
      <c r="A316" s="7" t="s">
        <v>51259</v>
      </c>
      <c r="B316" s="8">
        <v>393.75</v>
      </c>
      <c r="C316" s="8">
        <v>20.478950000000001</v>
      </c>
      <c r="D316" s="8">
        <v>72</v>
      </c>
      <c r="E316" s="8">
        <v>0</v>
      </c>
      <c r="F316" s="8">
        <v>0</v>
      </c>
      <c r="G316" s="8">
        <v>8</v>
      </c>
      <c r="H316" s="8" t="s">
        <v>51260</v>
      </c>
      <c r="I316" s="8">
        <v>526.6875</v>
      </c>
      <c r="J316" s="3">
        <f t="shared" si="4"/>
        <v>43749.427086249998</v>
      </c>
    </row>
    <row r="317" spans="1:10" x14ac:dyDescent="0.25">
      <c r="A317" s="5" t="s">
        <v>51261</v>
      </c>
      <c r="B317" s="6">
        <v>393.75</v>
      </c>
      <c r="C317" s="6">
        <v>20.478950000000001</v>
      </c>
      <c r="D317" s="6">
        <v>70</v>
      </c>
      <c r="E317" s="6">
        <v>0</v>
      </c>
      <c r="F317" s="6">
        <v>0</v>
      </c>
      <c r="G317" s="6">
        <v>9</v>
      </c>
      <c r="H317" s="6" t="s">
        <v>51262</v>
      </c>
      <c r="I317" s="6">
        <v>526.6875</v>
      </c>
      <c r="J317" s="2">
        <f t="shared" si="4"/>
        <v>43749.42716958333</v>
      </c>
    </row>
    <row r="318" spans="1:10" x14ac:dyDescent="0.25">
      <c r="A318" s="7" t="s">
        <v>51263</v>
      </c>
      <c r="B318" s="8">
        <v>393.75</v>
      </c>
      <c r="C318" s="8">
        <v>20.478950000000001</v>
      </c>
      <c r="D318" s="8">
        <v>71</v>
      </c>
      <c r="E318" s="8">
        <v>0</v>
      </c>
      <c r="F318" s="8">
        <v>0</v>
      </c>
      <c r="G318" s="8">
        <v>5</v>
      </c>
      <c r="H318" s="8" t="s">
        <v>51264</v>
      </c>
      <c r="I318" s="8">
        <v>526.6875</v>
      </c>
      <c r="J318" s="3">
        <f t="shared" si="4"/>
        <v>43749.427252800924</v>
      </c>
    </row>
    <row r="319" spans="1:10" x14ac:dyDescent="0.25">
      <c r="A319" s="5" t="s">
        <v>51265</v>
      </c>
      <c r="B319" s="6">
        <v>393.75</v>
      </c>
      <c r="C319" s="6">
        <v>20.478950000000001</v>
      </c>
      <c r="D319" s="6">
        <v>71</v>
      </c>
      <c r="E319" s="6">
        <v>0</v>
      </c>
      <c r="F319" s="6">
        <v>0</v>
      </c>
      <c r="G319" s="6">
        <v>11</v>
      </c>
      <c r="H319" s="6" t="s">
        <v>51266</v>
      </c>
      <c r="I319" s="6">
        <v>526.6875</v>
      </c>
      <c r="J319" s="2">
        <f t="shared" si="4"/>
        <v>43749.427324560187</v>
      </c>
    </row>
    <row r="320" spans="1:10" x14ac:dyDescent="0.25">
      <c r="A320" s="7" t="s">
        <v>51267</v>
      </c>
      <c r="B320" s="8">
        <v>412.5</v>
      </c>
      <c r="C320" s="8">
        <v>20.478950000000001</v>
      </c>
      <c r="D320" s="8">
        <v>71</v>
      </c>
      <c r="E320" s="8">
        <v>0</v>
      </c>
      <c r="F320" s="8">
        <v>0</v>
      </c>
      <c r="G320" s="8">
        <v>10</v>
      </c>
      <c r="H320" s="8" t="s">
        <v>51268</v>
      </c>
      <c r="I320" s="8">
        <v>532.3125</v>
      </c>
      <c r="J320" s="3">
        <f t="shared" si="4"/>
        <v>43749.427408263888</v>
      </c>
    </row>
    <row r="321" spans="1:10" x14ac:dyDescent="0.25">
      <c r="A321" s="5" t="s">
        <v>51269</v>
      </c>
      <c r="B321" s="6">
        <v>393.75</v>
      </c>
      <c r="C321" s="6">
        <v>20.478950000000001</v>
      </c>
      <c r="D321" s="6">
        <v>73</v>
      </c>
      <c r="E321" s="6">
        <v>0</v>
      </c>
      <c r="F321" s="6">
        <v>0</v>
      </c>
      <c r="G321" s="6">
        <v>11</v>
      </c>
      <c r="H321" s="6" t="s">
        <v>51270</v>
      </c>
      <c r="I321" s="6">
        <v>526.6875</v>
      </c>
      <c r="J321" s="2">
        <f t="shared" si="4"/>
        <v>43749.427491712959</v>
      </c>
    </row>
    <row r="322" spans="1:10" x14ac:dyDescent="0.25">
      <c r="A322" s="7" t="s">
        <v>51271</v>
      </c>
      <c r="B322" s="8">
        <v>393.75</v>
      </c>
      <c r="C322" s="8">
        <v>20.478950000000001</v>
      </c>
      <c r="D322" s="8">
        <v>75</v>
      </c>
      <c r="E322" s="8">
        <v>0</v>
      </c>
      <c r="F322" s="8">
        <v>0</v>
      </c>
      <c r="G322" s="8">
        <v>19</v>
      </c>
      <c r="H322" s="8" t="s">
        <v>51272</v>
      </c>
      <c r="I322" s="8">
        <v>526.6875</v>
      </c>
      <c r="J322" s="3">
        <f t="shared" ref="J322:J385" si="5">(H322/86400000)+25569+(7/24)</f>
        <v>43749.427574930553</v>
      </c>
    </row>
    <row r="323" spans="1:10" x14ac:dyDescent="0.25">
      <c r="A323" s="5" t="s">
        <v>51273</v>
      </c>
      <c r="B323" s="6">
        <v>393.75</v>
      </c>
      <c r="C323" s="6">
        <v>20.478950000000001</v>
      </c>
      <c r="D323" s="6">
        <v>75</v>
      </c>
      <c r="E323" s="6">
        <v>0</v>
      </c>
      <c r="F323" s="6">
        <v>0</v>
      </c>
      <c r="G323" s="6">
        <v>16</v>
      </c>
      <c r="H323" s="6" t="s">
        <v>51274</v>
      </c>
      <c r="I323" s="6">
        <v>526.6875</v>
      </c>
      <c r="J323" s="2">
        <f t="shared" si="5"/>
        <v>43749.427659259258</v>
      </c>
    </row>
    <row r="324" spans="1:10" x14ac:dyDescent="0.25">
      <c r="A324" s="7" t="s">
        <v>51275</v>
      </c>
      <c r="B324" s="8">
        <v>393.75</v>
      </c>
      <c r="C324" s="8">
        <v>20.478950000000001</v>
      </c>
      <c r="D324" s="8">
        <v>73</v>
      </c>
      <c r="E324" s="8">
        <v>0</v>
      </c>
      <c r="F324" s="8">
        <v>0</v>
      </c>
      <c r="G324" s="8">
        <v>8</v>
      </c>
      <c r="H324" s="8" t="s">
        <v>51276</v>
      </c>
      <c r="I324" s="8">
        <v>526.6875</v>
      </c>
      <c r="J324" s="3">
        <f t="shared" si="5"/>
        <v>43749.42774180555</v>
      </c>
    </row>
    <row r="325" spans="1:10" x14ac:dyDescent="0.25">
      <c r="A325" s="5" t="s">
        <v>51277</v>
      </c>
      <c r="B325" s="6">
        <v>393.75</v>
      </c>
      <c r="C325" s="6">
        <v>20.478950000000001</v>
      </c>
      <c r="D325" s="6">
        <v>73</v>
      </c>
      <c r="E325" s="6">
        <v>0</v>
      </c>
      <c r="F325" s="6">
        <v>0</v>
      </c>
      <c r="G325" s="6">
        <v>18</v>
      </c>
      <c r="H325" s="6" t="s">
        <v>51278</v>
      </c>
      <c r="I325" s="6">
        <v>526.6875</v>
      </c>
      <c r="J325" s="2">
        <f t="shared" si="5"/>
        <v>43749.427813344904</v>
      </c>
    </row>
    <row r="326" spans="1:10" x14ac:dyDescent="0.25">
      <c r="A326" s="7" t="s">
        <v>51279</v>
      </c>
      <c r="B326" s="8">
        <v>393.75</v>
      </c>
      <c r="C326" s="8">
        <v>20.478950000000001</v>
      </c>
      <c r="D326" s="8">
        <v>73</v>
      </c>
      <c r="E326" s="8">
        <v>0</v>
      </c>
      <c r="F326" s="8">
        <v>0</v>
      </c>
      <c r="G326" s="8">
        <v>19</v>
      </c>
      <c r="H326" s="8" t="s">
        <v>51280</v>
      </c>
      <c r="I326" s="8">
        <v>526.6875</v>
      </c>
      <c r="J326" s="3">
        <f t="shared" si="5"/>
        <v>43749.427897268521</v>
      </c>
    </row>
    <row r="327" spans="1:10" x14ac:dyDescent="0.25">
      <c r="A327" s="5" t="s">
        <v>51281</v>
      </c>
      <c r="B327" s="6">
        <v>393.75</v>
      </c>
      <c r="C327" s="6">
        <v>20.478950000000001</v>
      </c>
      <c r="D327" s="6">
        <v>73</v>
      </c>
      <c r="E327" s="6">
        <v>0</v>
      </c>
      <c r="F327" s="6">
        <v>0</v>
      </c>
      <c r="G327" s="6">
        <v>16</v>
      </c>
      <c r="H327" s="6" t="s">
        <v>51282</v>
      </c>
      <c r="I327" s="6">
        <v>526.6875</v>
      </c>
      <c r="J327" s="2">
        <f t="shared" si="5"/>
        <v>43749.427980590277</v>
      </c>
    </row>
    <row r="328" spans="1:10" x14ac:dyDescent="0.25">
      <c r="A328" s="7" t="s">
        <v>51283</v>
      </c>
      <c r="B328" s="8">
        <v>393.75</v>
      </c>
      <c r="C328" s="8">
        <v>20.478950000000001</v>
      </c>
      <c r="D328" s="8">
        <v>73</v>
      </c>
      <c r="E328" s="8">
        <v>0</v>
      </c>
      <c r="F328" s="8">
        <v>0</v>
      </c>
      <c r="G328" s="8">
        <v>21</v>
      </c>
      <c r="H328" s="8" t="s">
        <v>51284</v>
      </c>
      <c r="I328" s="8">
        <v>526.6875</v>
      </c>
      <c r="J328" s="3">
        <f t="shared" si="5"/>
        <v>43749.428063888881</v>
      </c>
    </row>
    <row r="329" spans="1:10" x14ac:dyDescent="0.25">
      <c r="A329" s="5" t="s">
        <v>51285</v>
      </c>
      <c r="B329" s="6">
        <v>393.75</v>
      </c>
      <c r="C329" s="6">
        <v>20.478950000000001</v>
      </c>
      <c r="D329" s="6">
        <v>73</v>
      </c>
      <c r="E329" s="6">
        <v>0</v>
      </c>
      <c r="F329" s="6">
        <v>0</v>
      </c>
      <c r="G329" s="6">
        <v>15</v>
      </c>
      <c r="H329" s="6" t="s">
        <v>51286</v>
      </c>
      <c r="I329" s="6">
        <v>526.6875</v>
      </c>
      <c r="J329" s="2">
        <f t="shared" si="5"/>
        <v>43749.428135567126</v>
      </c>
    </row>
    <row r="330" spans="1:10" x14ac:dyDescent="0.25">
      <c r="A330" s="7" t="s">
        <v>51287</v>
      </c>
      <c r="B330" s="8">
        <v>415.625</v>
      </c>
      <c r="C330" s="8">
        <v>20.478950000000001</v>
      </c>
      <c r="D330" s="8">
        <v>73</v>
      </c>
      <c r="E330" s="8">
        <v>0</v>
      </c>
      <c r="F330" s="8">
        <v>0</v>
      </c>
      <c r="G330" s="8">
        <v>12</v>
      </c>
      <c r="H330" s="8" t="s">
        <v>51288</v>
      </c>
      <c r="I330" s="8">
        <v>533.0625</v>
      </c>
      <c r="J330" s="3">
        <f t="shared" si="5"/>
        <v>43749.428219131943</v>
      </c>
    </row>
    <row r="331" spans="1:10" x14ac:dyDescent="0.25">
      <c r="A331" s="5" t="s">
        <v>51289</v>
      </c>
      <c r="B331" s="6">
        <v>393.75</v>
      </c>
      <c r="C331" s="6">
        <v>20.478950000000001</v>
      </c>
      <c r="D331" s="6">
        <v>72</v>
      </c>
      <c r="E331" s="6">
        <v>0</v>
      </c>
      <c r="F331" s="6">
        <v>0</v>
      </c>
      <c r="G331" s="6">
        <v>18</v>
      </c>
      <c r="H331" s="6" t="s">
        <v>51290</v>
      </c>
      <c r="I331" s="6">
        <v>526.6875</v>
      </c>
      <c r="J331" s="2">
        <f t="shared" si="5"/>
        <v>43749.428302581015</v>
      </c>
    </row>
    <row r="332" spans="1:10" x14ac:dyDescent="0.25">
      <c r="A332" s="7" t="s">
        <v>51291</v>
      </c>
      <c r="B332" s="8">
        <v>393.75</v>
      </c>
      <c r="C332" s="8">
        <v>20.478950000000001</v>
      </c>
      <c r="D332" s="8">
        <v>73</v>
      </c>
      <c r="E332" s="8">
        <v>0</v>
      </c>
      <c r="F332" s="8">
        <v>0</v>
      </c>
      <c r="G332" s="8">
        <v>21</v>
      </c>
      <c r="H332" s="8" t="s">
        <v>51292</v>
      </c>
      <c r="I332" s="8">
        <v>526.6875</v>
      </c>
      <c r="J332" s="3">
        <f t="shared" si="5"/>
        <v>43749.428385995365</v>
      </c>
    </row>
    <row r="333" spans="1:10" x14ac:dyDescent="0.25">
      <c r="A333" s="5" t="s">
        <v>51293</v>
      </c>
      <c r="B333" s="6">
        <v>393.75</v>
      </c>
      <c r="C333" s="6">
        <v>20.478950000000001</v>
      </c>
      <c r="D333" s="6">
        <v>76</v>
      </c>
      <c r="E333" s="6">
        <v>0</v>
      </c>
      <c r="F333" s="6">
        <v>0</v>
      </c>
      <c r="G333" s="6">
        <v>11</v>
      </c>
      <c r="H333" s="6" t="s">
        <v>51294</v>
      </c>
      <c r="I333" s="6">
        <v>526.6875</v>
      </c>
      <c r="J333" s="2">
        <f t="shared" si="5"/>
        <v>43749.42846959491</v>
      </c>
    </row>
    <row r="334" spans="1:10" x14ac:dyDescent="0.25">
      <c r="A334" s="7" t="s">
        <v>51295</v>
      </c>
      <c r="B334" s="8">
        <v>393.75</v>
      </c>
      <c r="C334" s="8">
        <v>20.478950000000001</v>
      </c>
      <c r="D334" s="8">
        <v>76</v>
      </c>
      <c r="E334" s="8">
        <v>0</v>
      </c>
      <c r="F334" s="8">
        <v>0</v>
      </c>
      <c r="G334" s="8">
        <v>16</v>
      </c>
      <c r="H334" s="8" t="s">
        <v>51296</v>
      </c>
      <c r="I334" s="8">
        <v>526.6875</v>
      </c>
      <c r="J334" s="3">
        <f t="shared" si="5"/>
        <v>43749.428552800928</v>
      </c>
    </row>
    <row r="335" spans="1:10" x14ac:dyDescent="0.25">
      <c r="A335" s="5" t="s">
        <v>51297</v>
      </c>
      <c r="B335" s="6">
        <v>393.75</v>
      </c>
      <c r="C335" s="6">
        <v>20.478950000000001</v>
      </c>
      <c r="D335" s="6">
        <v>76</v>
      </c>
      <c r="E335" s="6">
        <v>0</v>
      </c>
      <c r="F335" s="6">
        <v>0</v>
      </c>
      <c r="G335" s="6">
        <v>9</v>
      </c>
      <c r="H335" s="6" t="s">
        <v>51298</v>
      </c>
      <c r="I335" s="6">
        <v>526.6875</v>
      </c>
      <c r="J335" s="2">
        <f t="shared" si="5"/>
        <v>43749.428624571759</v>
      </c>
    </row>
    <row r="336" spans="1:10" x14ac:dyDescent="0.25">
      <c r="A336" s="7" t="s">
        <v>51299</v>
      </c>
      <c r="B336" s="8">
        <v>393.75</v>
      </c>
      <c r="C336" s="8">
        <v>20.478950000000001</v>
      </c>
      <c r="D336" s="8">
        <v>76</v>
      </c>
      <c r="E336" s="8">
        <v>0</v>
      </c>
      <c r="F336" s="8">
        <v>0</v>
      </c>
      <c r="G336" s="8">
        <v>13</v>
      </c>
      <c r="H336" s="8" t="s">
        <v>51300</v>
      </c>
      <c r="I336" s="8">
        <v>526.6875</v>
      </c>
      <c r="J336" s="3">
        <f t="shared" si="5"/>
        <v>43749.42870837963</v>
      </c>
    </row>
    <row r="337" spans="1:10" x14ac:dyDescent="0.25">
      <c r="A337" s="5" t="s">
        <v>51301</v>
      </c>
      <c r="B337" s="6">
        <v>393.75</v>
      </c>
      <c r="C337" s="6">
        <v>20.478950000000001</v>
      </c>
      <c r="D337" s="6">
        <v>76</v>
      </c>
      <c r="E337" s="6">
        <v>0</v>
      </c>
      <c r="F337" s="6">
        <v>0</v>
      </c>
      <c r="G337" s="6">
        <v>12</v>
      </c>
      <c r="H337" s="6" t="s">
        <v>51302</v>
      </c>
      <c r="I337" s="6">
        <v>526.6875</v>
      </c>
      <c r="J337" s="2">
        <f t="shared" si="5"/>
        <v>43749.428791574072</v>
      </c>
    </row>
    <row r="338" spans="1:10" x14ac:dyDescent="0.25">
      <c r="A338" s="7" t="s">
        <v>51303</v>
      </c>
      <c r="B338" s="8">
        <v>393.75</v>
      </c>
      <c r="C338" s="8">
        <v>20.478950000000001</v>
      </c>
      <c r="D338" s="8">
        <v>76</v>
      </c>
      <c r="E338" s="8">
        <v>0</v>
      </c>
      <c r="F338" s="8">
        <v>0</v>
      </c>
      <c r="G338" s="8">
        <v>13</v>
      </c>
      <c r="H338" s="8" t="s">
        <v>51304</v>
      </c>
      <c r="I338" s="8">
        <v>526.5</v>
      </c>
      <c r="J338" s="3">
        <f t="shared" si="5"/>
        <v>43749.428890289353</v>
      </c>
    </row>
    <row r="339" spans="1:10" x14ac:dyDescent="0.25">
      <c r="A339" s="5" t="s">
        <v>51305</v>
      </c>
      <c r="B339" s="6">
        <v>393.75</v>
      </c>
      <c r="C339" s="6">
        <v>20.478950000000001</v>
      </c>
      <c r="D339" s="6">
        <v>75</v>
      </c>
      <c r="E339" s="6">
        <v>0</v>
      </c>
      <c r="F339" s="6">
        <v>0</v>
      </c>
      <c r="G339" s="6">
        <v>13</v>
      </c>
      <c r="H339" s="6" t="s">
        <v>51306</v>
      </c>
      <c r="I339" s="6">
        <v>526.5</v>
      </c>
      <c r="J339" s="2">
        <f t="shared" si="5"/>
        <v>43749.428970381945</v>
      </c>
    </row>
    <row r="340" spans="1:10" x14ac:dyDescent="0.25">
      <c r="A340" s="7" t="s">
        <v>51307</v>
      </c>
      <c r="B340" s="8">
        <v>393.75</v>
      </c>
      <c r="C340" s="8">
        <v>20.478950000000001</v>
      </c>
      <c r="D340" s="8">
        <v>75</v>
      </c>
      <c r="E340" s="8">
        <v>0</v>
      </c>
      <c r="F340" s="8">
        <v>0</v>
      </c>
      <c r="G340" s="8">
        <v>17</v>
      </c>
      <c r="H340" s="8" t="s">
        <v>51308</v>
      </c>
      <c r="I340" s="8">
        <v>526.6875</v>
      </c>
      <c r="J340" s="3">
        <f t="shared" si="5"/>
        <v>43749.429053946755</v>
      </c>
    </row>
    <row r="341" spans="1:10" x14ac:dyDescent="0.25">
      <c r="A341" s="5" t="s">
        <v>51309</v>
      </c>
      <c r="B341" s="6">
        <v>393.75</v>
      </c>
      <c r="C341" s="6">
        <v>20.478950000000001</v>
      </c>
      <c r="D341" s="6">
        <v>76</v>
      </c>
      <c r="E341" s="6">
        <v>0</v>
      </c>
      <c r="F341" s="6">
        <v>0</v>
      </c>
      <c r="G341" s="6">
        <v>15</v>
      </c>
      <c r="H341" s="6" t="s">
        <v>51310</v>
      </c>
      <c r="I341" s="6">
        <v>526.6875</v>
      </c>
      <c r="J341" s="2">
        <f t="shared" si="5"/>
        <v>43749.429161168977</v>
      </c>
    </row>
    <row r="342" spans="1:10" x14ac:dyDescent="0.25">
      <c r="A342" s="7" t="s">
        <v>51311</v>
      </c>
      <c r="B342" s="8">
        <v>393.75</v>
      </c>
      <c r="C342" s="8">
        <v>20.478950000000001</v>
      </c>
      <c r="D342" s="8">
        <v>76</v>
      </c>
      <c r="E342" s="8">
        <v>0</v>
      </c>
      <c r="F342" s="8">
        <v>0</v>
      </c>
      <c r="G342" s="8">
        <v>21</v>
      </c>
      <c r="H342" s="8" t="s">
        <v>51312</v>
      </c>
      <c r="I342" s="8">
        <v>526.6875</v>
      </c>
      <c r="J342" s="3">
        <f t="shared" si="5"/>
        <v>43749.429244710649</v>
      </c>
    </row>
    <row r="343" spans="1:10" x14ac:dyDescent="0.25">
      <c r="A343" s="5" t="s">
        <v>51313</v>
      </c>
      <c r="B343" s="6">
        <v>412.5</v>
      </c>
      <c r="C343" s="6">
        <v>20.478950000000001</v>
      </c>
      <c r="D343" s="6">
        <v>75</v>
      </c>
      <c r="E343" s="6">
        <v>0</v>
      </c>
      <c r="F343" s="6">
        <v>0</v>
      </c>
      <c r="G343" s="6">
        <v>20</v>
      </c>
      <c r="H343" s="6" t="s">
        <v>51314</v>
      </c>
      <c r="I343" s="6">
        <v>532.3125</v>
      </c>
      <c r="J343" s="2">
        <f t="shared" si="5"/>
        <v>43749.429328252314</v>
      </c>
    </row>
    <row r="344" spans="1:10" x14ac:dyDescent="0.25">
      <c r="A344" s="7" t="s">
        <v>51315</v>
      </c>
      <c r="B344" s="8">
        <v>393.75</v>
      </c>
      <c r="C344" s="8">
        <v>20.478950000000001</v>
      </c>
      <c r="D344" s="8">
        <v>76</v>
      </c>
      <c r="E344" s="8">
        <v>0</v>
      </c>
      <c r="F344" s="8">
        <v>0</v>
      </c>
      <c r="G344" s="8">
        <v>12</v>
      </c>
      <c r="H344" s="8" t="s">
        <v>51316</v>
      </c>
      <c r="I344" s="8">
        <v>526.6875</v>
      </c>
      <c r="J344" s="3">
        <f t="shared" si="5"/>
        <v>43749.429411701385</v>
      </c>
    </row>
    <row r="345" spans="1:10" x14ac:dyDescent="0.25">
      <c r="A345" s="5" t="s">
        <v>51317</v>
      </c>
      <c r="B345" s="6">
        <v>393.75</v>
      </c>
      <c r="C345" s="6">
        <v>20.478950000000001</v>
      </c>
      <c r="D345" s="6">
        <v>76</v>
      </c>
      <c r="E345" s="6">
        <v>0</v>
      </c>
      <c r="F345" s="6">
        <v>0</v>
      </c>
      <c r="G345" s="6">
        <v>10</v>
      </c>
      <c r="H345" s="6" t="s">
        <v>51318</v>
      </c>
      <c r="I345" s="6">
        <v>526.6875</v>
      </c>
      <c r="J345" s="2">
        <f t="shared" si="5"/>
        <v>43749.429495173608</v>
      </c>
    </row>
    <row r="346" spans="1:10" x14ac:dyDescent="0.25">
      <c r="A346" s="7" t="s">
        <v>51319</v>
      </c>
      <c r="B346" s="8">
        <v>393.75</v>
      </c>
      <c r="C346" s="8">
        <v>20.478950000000001</v>
      </c>
      <c r="D346" s="8">
        <v>76</v>
      </c>
      <c r="E346" s="8">
        <v>0</v>
      </c>
      <c r="F346" s="8">
        <v>0</v>
      </c>
      <c r="G346" s="8">
        <v>15</v>
      </c>
      <c r="H346" s="8" t="s">
        <v>51320</v>
      </c>
      <c r="I346" s="8">
        <v>526.6875</v>
      </c>
      <c r="J346" s="3">
        <f t="shared" si="5"/>
        <v>43749.429578726849</v>
      </c>
    </row>
    <row r="347" spans="1:10" x14ac:dyDescent="0.25">
      <c r="A347" s="5" t="s">
        <v>51321</v>
      </c>
      <c r="B347" s="6">
        <v>393.75</v>
      </c>
      <c r="C347" s="6">
        <v>20.478950000000001</v>
      </c>
      <c r="D347" s="6">
        <v>76</v>
      </c>
      <c r="E347" s="6">
        <v>0</v>
      </c>
      <c r="F347" s="6">
        <v>0</v>
      </c>
      <c r="G347" s="6">
        <v>19</v>
      </c>
      <c r="H347" s="6" t="s">
        <v>51322</v>
      </c>
      <c r="I347" s="6">
        <v>526.6875</v>
      </c>
      <c r="J347" s="2">
        <f t="shared" si="5"/>
        <v>43749.429661944443</v>
      </c>
    </row>
    <row r="348" spans="1:10" x14ac:dyDescent="0.25">
      <c r="A348" s="7" t="s">
        <v>51323</v>
      </c>
      <c r="B348" s="8">
        <v>393.75</v>
      </c>
      <c r="C348" s="8">
        <v>20.478950000000001</v>
      </c>
      <c r="D348" s="8">
        <v>77</v>
      </c>
      <c r="E348" s="8">
        <v>0</v>
      </c>
      <c r="F348" s="8">
        <v>0</v>
      </c>
      <c r="G348" s="8">
        <v>23</v>
      </c>
      <c r="H348" s="8" t="s">
        <v>51324</v>
      </c>
      <c r="I348" s="8">
        <v>526.6875</v>
      </c>
      <c r="J348" s="3">
        <f t="shared" si="5"/>
        <v>43749.429745486108</v>
      </c>
    </row>
    <row r="349" spans="1:10" x14ac:dyDescent="0.25">
      <c r="A349" s="5" t="s">
        <v>51325</v>
      </c>
      <c r="B349" s="6">
        <v>393.75</v>
      </c>
      <c r="C349" s="6">
        <v>20.478950000000001</v>
      </c>
      <c r="D349" s="6">
        <v>77</v>
      </c>
      <c r="E349" s="6">
        <v>0</v>
      </c>
      <c r="F349" s="6">
        <v>0</v>
      </c>
      <c r="G349" s="6">
        <v>16</v>
      </c>
      <c r="H349" s="6" t="s">
        <v>51326</v>
      </c>
      <c r="I349" s="6">
        <v>526.6875</v>
      </c>
      <c r="J349" s="2">
        <f t="shared" si="5"/>
        <v>43749.429817418983</v>
      </c>
    </row>
    <row r="350" spans="1:10" x14ac:dyDescent="0.25">
      <c r="A350" s="7" t="s">
        <v>51327</v>
      </c>
      <c r="B350" s="8">
        <v>393.75</v>
      </c>
      <c r="C350" s="8">
        <v>20.478950000000001</v>
      </c>
      <c r="D350" s="8">
        <v>77</v>
      </c>
      <c r="E350" s="8">
        <v>0</v>
      </c>
      <c r="F350" s="8">
        <v>0</v>
      </c>
      <c r="G350" s="8">
        <v>19</v>
      </c>
      <c r="H350" s="8" t="s">
        <v>51328</v>
      </c>
      <c r="I350" s="8">
        <v>526.6875</v>
      </c>
      <c r="J350" s="3">
        <f t="shared" si="5"/>
        <v>43749.429900960648</v>
      </c>
    </row>
    <row r="351" spans="1:10" x14ac:dyDescent="0.25">
      <c r="A351" s="5" t="s">
        <v>51329</v>
      </c>
      <c r="B351" s="6">
        <v>393.75</v>
      </c>
      <c r="C351" s="6">
        <v>20.478950000000001</v>
      </c>
      <c r="D351" s="6">
        <v>77</v>
      </c>
      <c r="E351" s="6">
        <v>0</v>
      </c>
      <c r="F351" s="6">
        <v>0</v>
      </c>
      <c r="G351" s="6">
        <v>11</v>
      </c>
      <c r="H351" s="6" t="s">
        <v>51330</v>
      </c>
      <c r="I351" s="6">
        <v>526.5</v>
      </c>
      <c r="J351" s="2">
        <f t="shared" si="5"/>
        <v>43749.429984166665</v>
      </c>
    </row>
    <row r="352" spans="1:10" x14ac:dyDescent="0.25">
      <c r="A352" s="7" t="s">
        <v>51331</v>
      </c>
      <c r="B352" s="8">
        <v>393.75</v>
      </c>
      <c r="C352" s="8">
        <v>20.478950000000001</v>
      </c>
      <c r="D352" s="8">
        <v>76</v>
      </c>
      <c r="E352" s="8">
        <v>0</v>
      </c>
      <c r="F352" s="8">
        <v>0</v>
      </c>
      <c r="G352" s="8">
        <v>15</v>
      </c>
      <c r="H352" s="8" t="s">
        <v>51332</v>
      </c>
      <c r="I352" s="8">
        <v>526.6875</v>
      </c>
      <c r="J352" s="3">
        <f t="shared" si="5"/>
        <v>43749.430067523142</v>
      </c>
    </row>
    <row r="353" spans="1:10" x14ac:dyDescent="0.25">
      <c r="A353" s="5" t="s">
        <v>51333</v>
      </c>
      <c r="B353" s="6">
        <v>393.75</v>
      </c>
      <c r="C353" s="6">
        <v>20.478950000000001</v>
      </c>
      <c r="D353" s="6">
        <v>77</v>
      </c>
      <c r="E353" s="6">
        <v>0</v>
      </c>
      <c r="F353" s="6">
        <v>0</v>
      </c>
      <c r="G353" s="6">
        <v>14</v>
      </c>
      <c r="H353" s="6" t="s">
        <v>51334</v>
      </c>
      <c r="I353" s="6">
        <v>526.6875</v>
      </c>
      <c r="J353" s="2">
        <f t="shared" si="5"/>
        <v>43749.430151192129</v>
      </c>
    </row>
    <row r="354" spans="1:10" x14ac:dyDescent="0.25">
      <c r="A354" s="7" t="s">
        <v>51335</v>
      </c>
      <c r="B354" s="8">
        <v>393.75</v>
      </c>
      <c r="C354" s="8">
        <v>20.478950000000001</v>
      </c>
      <c r="D354" s="8">
        <v>76</v>
      </c>
      <c r="E354" s="8">
        <v>0</v>
      </c>
      <c r="F354" s="8">
        <v>0</v>
      </c>
      <c r="G354" s="8">
        <v>14</v>
      </c>
      <c r="H354" s="8" t="s">
        <v>51336</v>
      </c>
      <c r="I354" s="8">
        <v>526.6875</v>
      </c>
      <c r="J354" s="3">
        <f t="shared" si="5"/>
        <v>43749.430234270832</v>
      </c>
    </row>
    <row r="355" spans="1:10" x14ac:dyDescent="0.25">
      <c r="A355" s="5" t="s">
        <v>51337</v>
      </c>
      <c r="B355" s="6">
        <v>393.75</v>
      </c>
      <c r="C355" s="6">
        <v>20.478950000000001</v>
      </c>
      <c r="D355" s="6">
        <v>76</v>
      </c>
      <c r="E355" s="6">
        <v>0</v>
      </c>
      <c r="F355" s="6">
        <v>0</v>
      </c>
      <c r="G355" s="6">
        <v>9</v>
      </c>
      <c r="H355" s="6" t="s">
        <v>51338</v>
      </c>
      <c r="I355" s="6">
        <v>526.6875</v>
      </c>
      <c r="J355" s="2">
        <f t="shared" si="5"/>
        <v>43749.430318090272</v>
      </c>
    </row>
    <row r="356" spans="1:10" x14ac:dyDescent="0.25">
      <c r="A356" s="7" t="s">
        <v>51339</v>
      </c>
      <c r="B356" s="8">
        <v>393.75</v>
      </c>
      <c r="C356" s="8">
        <v>20.478950000000001</v>
      </c>
      <c r="D356" s="8">
        <v>73</v>
      </c>
      <c r="E356" s="8">
        <v>0</v>
      </c>
      <c r="F356" s="8">
        <v>0</v>
      </c>
      <c r="G356" s="8">
        <v>9</v>
      </c>
      <c r="H356" s="8" t="s">
        <v>51340</v>
      </c>
      <c r="I356" s="8">
        <v>526.6875</v>
      </c>
      <c r="J356" s="3">
        <f t="shared" si="5"/>
        <v>43749.430401296289</v>
      </c>
    </row>
    <row r="357" spans="1:10" x14ac:dyDescent="0.25">
      <c r="A357" s="5" t="s">
        <v>51341</v>
      </c>
      <c r="B357" s="6">
        <v>393.75</v>
      </c>
      <c r="C357" s="6">
        <v>20.478950000000001</v>
      </c>
      <c r="D357" s="6">
        <v>78</v>
      </c>
      <c r="E357" s="6">
        <v>0</v>
      </c>
      <c r="F357" s="6">
        <v>0</v>
      </c>
      <c r="G357" s="6">
        <v>24</v>
      </c>
      <c r="H357" s="6" t="s">
        <v>51342</v>
      </c>
      <c r="I357" s="6">
        <v>526.6875</v>
      </c>
      <c r="J357" s="2">
        <f t="shared" si="5"/>
        <v>43749.430484976845</v>
      </c>
    </row>
    <row r="358" spans="1:10" x14ac:dyDescent="0.25">
      <c r="A358" s="7" t="s">
        <v>51343</v>
      </c>
      <c r="B358" s="8">
        <v>393.75</v>
      </c>
      <c r="C358" s="8">
        <v>20.478950000000001</v>
      </c>
      <c r="D358" s="8">
        <v>79</v>
      </c>
      <c r="E358" s="8">
        <v>0</v>
      </c>
      <c r="F358" s="8">
        <v>0</v>
      </c>
      <c r="G358" s="8">
        <v>11</v>
      </c>
      <c r="H358" s="8" t="s">
        <v>51344</v>
      </c>
      <c r="I358" s="8">
        <v>526.6875</v>
      </c>
      <c r="J358" s="3">
        <f t="shared" si="5"/>
        <v>43749.430568553238</v>
      </c>
    </row>
    <row r="359" spans="1:10" x14ac:dyDescent="0.25">
      <c r="A359" s="5" t="s">
        <v>51345</v>
      </c>
      <c r="B359" s="6">
        <v>393.75</v>
      </c>
      <c r="C359" s="6">
        <v>20.478950000000001</v>
      </c>
      <c r="D359" s="6">
        <v>79</v>
      </c>
      <c r="E359" s="6">
        <v>0</v>
      </c>
      <c r="F359" s="6">
        <v>0</v>
      </c>
      <c r="G359" s="6">
        <v>16</v>
      </c>
      <c r="H359" s="6" t="s">
        <v>51346</v>
      </c>
      <c r="I359" s="6">
        <v>526.6875</v>
      </c>
      <c r="J359" s="2">
        <f t="shared" si="5"/>
        <v>43749.43064006944</v>
      </c>
    </row>
    <row r="360" spans="1:10" x14ac:dyDescent="0.25">
      <c r="A360" s="7" t="s">
        <v>51347</v>
      </c>
      <c r="B360" s="8">
        <v>412.5</v>
      </c>
      <c r="C360" s="8">
        <v>20.478950000000001</v>
      </c>
      <c r="D360" s="8">
        <v>78</v>
      </c>
      <c r="E360" s="8">
        <v>0</v>
      </c>
      <c r="F360" s="8">
        <v>0</v>
      </c>
      <c r="G360" s="8">
        <v>12</v>
      </c>
      <c r="H360" s="8" t="s">
        <v>51348</v>
      </c>
      <c r="I360" s="8">
        <v>532.125</v>
      </c>
      <c r="J360" s="3">
        <f t="shared" si="5"/>
        <v>43749.430723287034</v>
      </c>
    </row>
    <row r="361" spans="1:10" x14ac:dyDescent="0.25">
      <c r="A361" s="5" t="s">
        <v>51349</v>
      </c>
      <c r="B361" s="6">
        <v>393.75</v>
      </c>
      <c r="C361" s="6">
        <v>20.478950000000001</v>
      </c>
      <c r="D361" s="6">
        <v>78</v>
      </c>
      <c r="E361" s="6">
        <v>0</v>
      </c>
      <c r="F361" s="6">
        <v>0</v>
      </c>
      <c r="G361" s="6">
        <v>18</v>
      </c>
      <c r="H361" s="6" t="s">
        <v>51350</v>
      </c>
      <c r="I361" s="6">
        <v>526.6875</v>
      </c>
      <c r="J361" s="2">
        <f t="shared" si="5"/>
        <v>43749.430794803244</v>
      </c>
    </row>
    <row r="362" spans="1:10" x14ac:dyDescent="0.25">
      <c r="A362" s="7" t="s">
        <v>51351</v>
      </c>
      <c r="B362" s="8">
        <v>393.75</v>
      </c>
      <c r="C362" s="8">
        <v>20.478950000000001</v>
      </c>
      <c r="D362" s="8">
        <v>74</v>
      </c>
      <c r="E362" s="8">
        <v>0</v>
      </c>
      <c r="F362" s="8">
        <v>0</v>
      </c>
      <c r="G362" s="8">
        <v>16</v>
      </c>
      <c r="H362" s="8" t="s">
        <v>51352</v>
      </c>
      <c r="I362" s="8">
        <v>526.6875</v>
      </c>
      <c r="J362" s="3">
        <f t="shared" si="5"/>
        <v>43749.430878599531</v>
      </c>
    </row>
    <row r="363" spans="1:10" x14ac:dyDescent="0.25">
      <c r="A363" s="5" t="s">
        <v>51353</v>
      </c>
      <c r="B363" s="6">
        <v>393.75</v>
      </c>
      <c r="C363" s="6">
        <v>20.478950000000001</v>
      </c>
      <c r="D363" s="6">
        <v>72</v>
      </c>
      <c r="E363" s="6">
        <v>0</v>
      </c>
      <c r="F363" s="6">
        <v>0</v>
      </c>
      <c r="G363" s="6">
        <v>14</v>
      </c>
      <c r="H363" s="6" t="s">
        <v>51354</v>
      </c>
      <c r="I363" s="6">
        <v>526.6875</v>
      </c>
      <c r="J363" s="2">
        <f t="shared" si="5"/>
        <v>43749.430962187493</v>
      </c>
    </row>
    <row r="364" spans="1:10" x14ac:dyDescent="0.25">
      <c r="A364" s="7" t="s">
        <v>51355</v>
      </c>
      <c r="B364" s="8">
        <v>393.75</v>
      </c>
      <c r="C364" s="8">
        <v>20.478950000000001</v>
      </c>
      <c r="D364" s="8">
        <v>72</v>
      </c>
      <c r="E364" s="8">
        <v>0</v>
      </c>
      <c r="F364" s="8">
        <v>0</v>
      </c>
      <c r="G364" s="8">
        <v>20</v>
      </c>
      <c r="H364" s="8" t="s">
        <v>51356</v>
      </c>
      <c r="I364" s="8">
        <v>526.6875</v>
      </c>
      <c r="J364" s="3">
        <f t="shared" si="5"/>
        <v>43749.431045289348</v>
      </c>
    </row>
    <row r="365" spans="1:10" x14ac:dyDescent="0.25">
      <c r="A365" s="5" t="s">
        <v>51357</v>
      </c>
      <c r="B365" s="6">
        <v>415.625</v>
      </c>
      <c r="C365" s="6">
        <v>20.478950000000001</v>
      </c>
      <c r="D365" s="6">
        <v>73</v>
      </c>
      <c r="E365" s="6">
        <v>0</v>
      </c>
      <c r="F365" s="6">
        <v>0</v>
      </c>
      <c r="G365" s="6">
        <v>22</v>
      </c>
      <c r="H365" s="6" t="s">
        <v>51358</v>
      </c>
      <c r="I365" s="6">
        <v>533.8125</v>
      </c>
      <c r="J365" s="2">
        <f t="shared" si="5"/>
        <v>43749.431128796299</v>
      </c>
    </row>
    <row r="366" spans="1:10" x14ac:dyDescent="0.25">
      <c r="A366" s="7" t="s">
        <v>51359</v>
      </c>
      <c r="B366" s="8">
        <v>393.75</v>
      </c>
      <c r="C366" s="8">
        <v>20.478950000000001</v>
      </c>
      <c r="D366" s="8">
        <v>72</v>
      </c>
      <c r="E366" s="8">
        <v>0</v>
      </c>
      <c r="F366" s="8">
        <v>0</v>
      </c>
      <c r="G366" s="8">
        <v>21</v>
      </c>
      <c r="H366" s="8" t="s">
        <v>51360</v>
      </c>
      <c r="I366" s="8">
        <v>526.6875</v>
      </c>
      <c r="J366" s="3">
        <f t="shared" si="5"/>
        <v>43749.43120071759</v>
      </c>
    </row>
    <row r="367" spans="1:10" x14ac:dyDescent="0.25">
      <c r="A367" s="5" t="s">
        <v>51361</v>
      </c>
      <c r="B367" s="6">
        <v>393.75</v>
      </c>
      <c r="C367" s="6">
        <v>20.478950000000001</v>
      </c>
      <c r="D367" s="6">
        <v>72</v>
      </c>
      <c r="E367" s="6">
        <v>0</v>
      </c>
      <c r="F367" s="6">
        <v>0</v>
      </c>
      <c r="G367" s="6">
        <v>17</v>
      </c>
      <c r="H367" s="6" t="s">
        <v>51362</v>
      </c>
      <c r="I367" s="6">
        <v>526.6875</v>
      </c>
      <c r="J367" s="2">
        <f t="shared" si="5"/>
        <v>43749.43128409722</v>
      </c>
    </row>
    <row r="368" spans="1:10" x14ac:dyDescent="0.25">
      <c r="A368" s="7" t="s">
        <v>51363</v>
      </c>
      <c r="B368" s="8">
        <v>393.75</v>
      </c>
      <c r="C368" s="8">
        <v>20.478950000000001</v>
      </c>
      <c r="D368" s="8">
        <v>73</v>
      </c>
      <c r="E368" s="8">
        <v>0</v>
      </c>
      <c r="F368" s="8">
        <v>0</v>
      </c>
      <c r="G368" s="8">
        <v>12</v>
      </c>
      <c r="H368" s="8" t="s">
        <v>51364</v>
      </c>
      <c r="I368" s="8">
        <v>526.5</v>
      </c>
      <c r="J368" s="3">
        <f t="shared" si="5"/>
        <v>43749.431367627309</v>
      </c>
    </row>
    <row r="369" spans="1:10" x14ac:dyDescent="0.25">
      <c r="A369" s="5" t="s">
        <v>51365</v>
      </c>
      <c r="B369" s="6">
        <v>393.75</v>
      </c>
      <c r="C369" s="6">
        <v>20.478950000000001</v>
      </c>
      <c r="D369" s="6">
        <v>73</v>
      </c>
      <c r="E369" s="6">
        <v>0</v>
      </c>
      <c r="F369" s="6">
        <v>0</v>
      </c>
      <c r="G369" s="6">
        <v>24</v>
      </c>
      <c r="H369" s="6" t="s">
        <v>51366</v>
      </c>
      <c r="I369" s="6">
        <v>526.5</v>
      </c>
      <c r="J369" s="2">
        <f t="shared" si="5"/>
        <v>43749.431451053235</v>
      </c>
    </row>
    <row r="370" spans="1:10" x14ac:dyDescent="0.25">
      <c r="A370" s="7" t="s">
        <v>51367</v>
      </c>
      <c r="B370" s="8">
        <v>421.875</v>
      </c>
      <c r="C370" s="8">
        <v>20.478950000000001</v>
      </c>
      <c r="D370" s="8">
        <v>74</v>
      </c>
      <c r="E370" s="8">
        <v>0</v>
      </c>
      <c r="F370" s="8">
        <v>0</v>
      </c>
      <c r="G370" s="8">
        <v>13</v>
      </c>
      <c r="H370" s="8" t="s">
        <v>51368</v>
      </c>
      <c r="I370" s="8">
        <v>535.875</v>
      </c>
      <c r="J370" s="3">
        <f t="shared" si="5"/>
        <v>43749.431541944439</v>
      </c>
    </row>
    <row r="371" spans="1:10" x14ac:dyDescent="0.25">
      <c r="A371" s="5" t="s">
        <v>51369</v>
      </c>
      <c r="B371" s="6">
        <v>393.75</v>
      </c>
      <c r="C371" s="6">
        <v>20.478950000000001</v>
      </c>
      <c r="D371" s="6">
        <v>74</v>
      </c>
      <c r="E371" s="6">
        <v>0</v>
      </c>
      <c r="F371" s="6">
        <v>0</v>
      </c>
      <c r="G371" s="6">
        <v>20</v>
      </c>
      <c r="H371" s="6" t="s">
        <v>51370</v>
      </c>
      <c r="I371" s="6">
        <v>526.5</v>
      </c>
      <c r="J371" s="2">
        <f t="shared" si="5"/>
        <v>43749.43161796296</v>
      </c>
    </row>
    <row r="372" spans="1:10" x14ac:dyDescent="0.25">
      <c r="A372" s="7" t="s">
        <v>51371</v>
      </c>
      <c r="B372" s="8">
        <v>393.75</v>
      </c>
      <c r="C372" s="8">
        <v>20.478950000000001</v>
      </c>
      <c r="D372" s="8">
        <v>74</v>
      </c>
      <c r="E372" s="8">
        <v>0</v>
      </c>
      <c r="F372" s="8">
        <v>0</v>
      </c>
      <c r="G372" s="8">
        <v>23</v>
      </c>
      <c r="H372" s="8" t="s">
        <v>51372</v>
      </c>
      <c r="I372" s="8">
        <v>526.6875</v>
      </c>
      <c r="J372" s="3">
        <f t="shared" si="5"/>
        <v>43749.4317133449</v>
      </c>
    </row>
    <row r="373" spans="1:10" x14ac:dyDescent="0.25">
      <c r="A373" s="5" t="s">
        <v>51373</v>
      </c>
      <c r="B373" s="6">
        <v>393.75</v>
      </c>
      <c r="C373" s="6">
        <v>20.478950000000001</v>
      </c>
      <c r="D373" s="6">
        <v>74</v>
      </c>
      <c r="E373" s="6">
        <v>0</v>
      </c>
      <c r="F373" s="6">
        <v>0</v>
      </c>
      <c r="G373" s="6">
        <v>17</v>
      </c>
      <c r="H373" s="6" t="s">
        <v>51374</v>
      </c>
      <c r="I373" s="6">
        <v>526.6875</v>
      </c>
      <c r="J373" s="2">
        <f t="shared" si="5"/>
        <v>43749.43179678241</v>
      </c>
    </row>
    <row r="374" spans="1:10" x14ac:dyDescent="0.25">
      <c r="A374" s="7" t="s">
        <v>51375</v>
      </c>
      <c r="B374" s="8">
        <v>393.75</v>
      </c>
      <c r="C374" s="8">
        <v>20.478950000000001</v>
      </c>
      <c r="D374" s="8">
        <v>74</v>
      </c>
      <c r="E374" s="8">
        <v>0</v>
      </c>
      <c r="F374" s="8">
        <v>0</v>
      </c>
      <c r="G374" s="8">
        <v>14</v>
      </c>
      <c r="H374" s="8" t="s">
        <v>51376</v>
      </c>
      <c r="I374" s="8">
        <v>526.6875</v>
      </c>
      <c r="J374" s="3">
        <f t="shared" si="5"/>
        <v>43749.43188034722</v>
      </c>
    </row>
    <row r="375" spans="1:10" x14ac:dyDescent="0.25">
      <c r="A375" s="5" t="s">
        <v>51377</v>
      </c>
      <c r="B375" s="6">
        <v>393.75</v>
      </c>
      <c r="C375" s="6">
        <v>20.478950000000001</v>
      </c>
      <c r="D375" s="6">
        <v>74</v>
      </c>
      <c r="E375" s="6">
        <v>0</v>
      </c>
      <c r="F375" s="6">
        <v>0</v>
      </c>
      <c r="G375" s="6">
        <v>20</v>
      </c>
      <c r="H375" s="6" t="s">
        <v>51378</v>
      </c>
      <c r="I375" s="6">
        <v>526.6875</v>
      </c>
      <c r="J375" s="2">
        <f t="shared" si="5"/>
        <v>43749.431963900461</v>
      </c>
    </row>
    <row r="376" spans="1:10" x14ac:dyDescent="0.25">
      <c r="A376" s="7" t="s">
        <v>51379</v>
      </c>
      <c r="B376" s="8">
        <v>393.75</v>
      </c>
      <c r="C376" s="8">
        <v>20.478950000000001</v>
      </c>
      <c r="D376" s="8">
        <v>74</v>
      </c>
      <c r="E376" s="8">
        <v>0</v>
      </c>
      <c r="F376" s="8">
        <v>0</v>
      </c>
      <c r="G376" s="8">
        <v>14</v>
      </c>
      <c r="H376" s="8" t="s">
        <v>51380</v>
      </c>
      <c r="I376" s="8">
        <v>526.6875</v>
      </c>
      <c r="J376" s="3">
        <f t="shared" si="5"/>
        <v>43749.432047488423</v>
      </c>
    </row>
    <row r="377" spans="1:10" x14ac:dyDescent="0.25">
      <c r="A377" s="5" t="s">
        <v>51381</v>
      </c>
      <c r="B377" s="6">
        <v>393.75</v>
      </c>
      <c r="C377" s="6">
        <v>20.478950000000001</v>
      </c>
      <c r="D377" s="6">
        <v>73</v>
      </c>
      <c r="E377" s="6">
        <v>0</v>
      </c>
      <c r="F377" s="6">
        <v>0</v>
      </c>
      <c r="G377" s="6">
        <v>12</v>
      </c>
      <c r="H377" s="6" t="s">
        <v>51382</v>
      </c>
      <c r="I377" s="6">
        <v>526.6875</v>
      </c>
      <c r="J377" s="2">
        <f t="shared" si="5"/>
        <v>43749.432130474532</v>
      </c>
    </row>
    <row r="378" spans="1:10" x14ac:dyDescent="0.25">
      <c r="A378" s="7" t="s">
        <v>51383</v>
      </c>
      <c r="B378" s="8">
        <v>393.75</v>
      </c>
      <c r="C378" s="8">
        <v>20.478950000000001</v>
      </c>
      <c r="D378" s="8">
        <v>73</v>
      </c>
      <c r="E378" s="8">
        <v>0</v>
      </c>
      <c r="F378" s="8">
        <v>0</v>
      </c>
      <c r="G378" s="8">
        <v>19</v>
      </c>
      <c r="H378" s="8" t="s">
        <v>51384</v>
      </c>
      <c r="I378" s="8">
        <v>526.5</v>
      </c>
      <c r="J378" s="3">
        <f t="shared" si="5"/>
        <v>43749.432214155087</v>
      </c>
    </row>
    <row r="379" spans="1:10" x14ac:dyDescent="0.25">
      <c r="A379" s="5" t="s">
        <v>51385</v>
      </c>
      <c r="B379" s="6">
        <v>393.75</v>
      </c>
      <c r="C379" s="6">
        <v>20.478950000000001</v>
      </c>
      <c r="D379" s="6">
        <v>73</v>
      </c>
      <c r="E379" s="6">
        <v>0</v>
      </c>
      <c r="F379" s="6">
        <v>0</v>
      </c>
      <c r="G379" s="6">
        <v>20</v>
      </c>
      <c r="H379" s="6" t="s">
        <v>51386</v>
      </c>
      <c r="I379" s="6">
        <v>526.6875</v>
      </c>
      <c r="J379" s="2">
        <f t="shared" si="5"/>
        <v>43749.432297476851</v>
      </c>
    </row>
    <row r="380" spans="1:10" x14ac:dyDescent="0.25">
      <c r="A380" s="7" t="s">
        <v>51387</v>
      </c>
      <c r="B380" s="8">
        <v>393.75</v>
      </c>
      <c r="C380" s="8">
        <v>20.478950000000001</v>
      </c>
      <c r="D380" s="8">
        <v>72</v>
      </c>
      <c r="E380" s="8">
        <v>0</v>
      </c>
      <c r="F380" s="8">
        <v>0</v>
      </c>
      <c r="G380" s="8">
        <v>16</v>
      </c>
      <c r="H380" s="8" t="s">
        <v>51388</v>
      </c>
      <c r="I380" s="8">
        <v>526.6875</v>
      </c>
      <c r="J380" s="3">
        <f t="shared" si="5"/>
        <v>43749.432369247683</v>
      </c>
    </row>
    <row r="381" spans="1:10" x14ac:dyDescent="0.25">
      <c r="A381" s="5" t="s">
        <v>51389</v>
      </c>
      <c r="B381" s="6">
        <v>393.75</v>
      </c>
      <c r="C381" s="6">
        <v>20.478950000000001</v>
      </c>
      <c r="D381" s="6">
        <v>73</v>
      </c>
      <c r="E381" s="6">
        <v>0</v>
      </c>
      <c r="F381" s="6">
        <v>0</v>
      </c>
      <c r="G381" s="6">
        <v>16</v>
      </c>
      <c r="H381" s="6" t="s">
        <v>51390</v>
      </c>
      <c r="I381" s="6">
        <v>526.6875</v>
      </c>
      <c r="J381" s="2">
        <f t="shared" si="5"/>
        <v>43749.432452685178</v>
      </c>
    </row>
    <row r="382" spans="1:10" x14ac:dyDescent="0.25">
      <c r="A382" s="7" t="s">
        <v>51391</v>
      </c>
      <c r="B382" s="8">
        <v>393.75</v>
      </c>
      <c r="C382" s="8">
        <v>20.478950000000001</v>
      </c>
      <c r="D382" s="8">
        <v>74</v>
      </c>
      <c r="E382" s="8">
        <v>0</v>
      </c>
      <c r="F382" s="8">
        <v>0</v>
      </c>
      <c r="G382" s="8">
        <v>16</v>
      </c>
      <c r="H382" s="8" t="s">
        <v>51392</v>
      </c>
      <c r="I382" s="8">
        <v>526.6875</v>
      </c>
      <c r="J382" s="3">
        <f t="shared" si="5"/>
        <v>43749.432536261571</v>
      </c>
    </row>
    <row r="383" spans="1:10" x14ac:dyDescent="0.25">
      <c r="A383" s="5" t="s">
        <v>51393</v>
      </c>
      <c r="B383" s="6">
        <v>393.75</v>
      </c>
      <c r="C383" s="6">
        <v>20.478950000000001</v>
      </c>
      <c r="D383" s="6">
        <v>74</v>
      </c>
      <c r="E383" s="6">
        <v>0</v>
      </c>
      <c r="F383" s="6">
        <v>0</v>
      </c>
      <c r="G383" s="6">
        <v>13</v>
      </c>
      <c r="H383" s="6" t="s">
        <v>51394</v>
      </c>
      <c r="I383" s="6">
        <v>526.6875</v>
      </c>
      <c r="J383" s="2">
        <f t="shared" si="5"/>
        <v>43749.432619560183</v>
      </c>
    </row>
    <row r="384" spans="1:10" x14ac:dyDescent="0.25">
      <c r="A384" s="7" t="s">
        <v>51395</v>
      </c>
      <c r="B384" s="8">
        <v>412.5</v>
      </c>
      <c r="C384" s="8">
        <v>20.478950000000001</v>
      </c>
      <c r="D384" s="8">
        <v>74</v>
      </c>
      <c r="E384" s="8">
        <v>0</v>
      </c>
      <c r="F384" s="8">
        <v>0</v>
      </c>
      <c r="G384" s="8">
        <v>15</v>
      </c>
      <c r="H384" s="8" t="s">
        <v>51396</v>
      </c>
      <c r="I384" s="8">
        <v>532.3125</v>
      </c>
      <c r="J384" s="3">
        <f t="shared" si="5"/>
        <v>43749.432691030095</v>
      </c>
    </row>
    <row r="385" spans="1:10" x14ac:dyDescent="0.25">
      <c r="A385" s="5" t="s">
        <v>51397</v>
      </c>
      <c r="B385" s="6">
        <v>393.75</v>
      </c>
      <c r="C385" s="6">
        <v>20.478950000000001</v>
      </c>
      <c r="D385" s="6">
        <v>73</v>
      </c>
      <c r="E385" s="6">
        <v>0</v>
      </c>
      <c r="F385" s="6">
        <v>0</v>
      </c>
      <c r="G385" s="6">
        <v>14</v>
      </c>
      <c r="H385" s="6" t="s">
        <v>51398</v>
      </c>
      <c r="I385" s="6">
        <v>526.6875</v>
      </c>
      <c r="J385" s="2">
        <f t="shared" si="5"/>
        <v>43749.432775046291</v>
      </c>
    </row>
    <row r="386" spans="1:10" x14ac:dyDescent="0.25">
      <c r="A386" s="7" t="s">
        <v>51399</v>
      </c>
      <c r="B386" s="8">
        <v>393.75</v>
      </c>
      <c r="C386" s="8">
        <v>20.478950000000001</v>
      </c>
      <c r="D386" s="8">
        <v>74</v>
      </c>
      <c r="E386" s="8">
        <v>0</v>
      </c>
      <c r="F386" s="8">
        <v>0</v>
      </c>
      <c r="G386" s="8">
        <v>23</v>
      </c>
      <c r="H386" s="8" t="s">
        <v>51400</v>
      </c>
      <c r="I386" s="8">
        <v>526.6875</v>
      </c>
      <c r="J386" s="3">
        <f t="shared" ref="J386:J449" si="6">(H386/86400000)+25569+(7/24)</f>
        <v>43749.43285824074</v>
      </c>
    </row>
    <row r="387" spans="1:10" x14ac:dyDescent="0.25">
      <c r="A387" s="5" t="s">
        <v>51401</v>
      </c>
      <c r="B387" s="6">
        <v>393.75</v>
      </c>
      <c r="C387" s="6">
        <v>20.478950000000001</v>
      </c>
      <c r="D387" s="6">
        <v>74</v>
      </c>
      <c r="E387" s="6">
        <v>0</v>
      </c>
      <c r="F387" s="6">
        <v>0</v>
      </c>
      <c r="G387" s="6">
        <v>7</v>
      </c>
      <c r="H387" s="6" t="s">
        <v>51402</v>
      </c>
      <c r="I387" s="6">
        <v>526.6875</v>
      </c>
      <c r="J387" s="2">
        <f t="shared" si="6"/>
        <v>43749.432941574072</v>
      </c>
    </row>
    <row r="388" spans="1:10" x14ac:dyDescent="0.25">
      <c r="A388" s="7" t="s">
        <v>51403</v>
      </c>
      <c r="B388" s="8">
        <v>393.75</v>
      </c>
      <c r="C388" s="8">
        <v>20.478950000000001</v>
      </c>
      <c r="D388" s="8">
        <v>73</v>
      </c>
      <c r="E388" s="8">
        <v>0</v>
      </c>
      <c r="F388" s="8">
        <v>0</v>
      </c>
      <c r="G388" s="8">
        <v>13</v>
      </c>
      <c r="H388" s="8" t="s">
        <v>51404</v>
      </c>
      <c r="I388" s="8">
        <v>526.6875</v>
      </c>
      <c r="J388" s="3">
        <f t="shared" si="6"/>
        <v>43749.433025347222</v>
      </c>
    </row>
    <row r="389" spans="1:10" x14ac:dyDescent="0.25">
      <c r="A389" s="5" t="s">
        <v>51405</v>
      </c>
      <c r="B389" s="6">
        <v>412.5</v>
      </c>
      <c r="C389" s="6">
        <v>20.478950000000001</v>
      </c>
      <c r="D389" s="6">
        <v>71</v>
      </c>
      <c r="E389" s="6">
        <v>0</v>
      </c>
      <c r="F389" s="6">
        <v>0</v>
      </c>
      <c r="G389" s="6">
        <v>19</v>
      </c>
      <c r="H389" s="6" t="s">
        <v>51406</v>
      </c>
      <c r="I389" s="6">
        <v>532.3125</v>
      </c>
      <c r="J389" s="2">
        <f t="shared" si="6"/>
        <v>43749.433108391204</v>
      </c>
    </row>
    <row r="390" spans="1:10" x14ac:dyDescent="0.25">
      <c r="A390" s="7" t="s">
        <v>51407</v>
      </c>
      <c r="B390" s="8">
        <v>393.75</v>
      </c>
      <c r="C390" s="8">
        <v>20.478950000000001</v>
      </c>
      <c r="D390" s="8">
        <v>71</v>
      </c>
      <c r="E390" s="8">
        <v>0</v>
      </c>
      <c r="F390" s="8">
        <v>0</v>
      </c>
      <c r="G390" s="8">
        <v>24</v>
      </c>
      <c r="H390" s="8" t="s">
        <v>51408</v>
      </c>
      <c r="I390" s="8">
        <v>526.6875</v>
      </c>
      <c r="J390" s="3">
        <f t="shared" si="6"/>
        <v>43749.43317989583</v>
      </c>
    </row>
    <row r="391" spans="1:10" x14ac:dyDescent="0.25">
      <c r="A391" s="5" t="s">
        <v>51409</v>
      </c>
      <c r="B391" s="6">
        <v>393.75</v>
      </c>
      <c r="C391" s="6">
        <v>20.478950000000001</v>
      </c>
      <c r="D391" s="6">
        <v>71</v>
      </c>
      <c r="E391" s="6">
        <v>0</v>
      </c>
      <c r="F391" s="6">
        <v>0</v>
      </c>
      <c r="G391" s="6">
        <v>21</v>
      </c>
      <c r="H391" s="6" t="s">
        <v>51410</v>
      </c>
      <c r="I391" s="6">
        <v>526.6875</v>
      </c>
      <c r="J391" s="2">
        <f t="shared" si="6"/>
        <v>43749.433263796294</v>
      </c>
    </row>
    <row r="392" spans="1:10" x14ac:dyDescent="0.25">
      <c r="A392" s="7" t="s">
        <v>51411</v>
      </c>
      <c r="B392" s="8">
        <v>393.75</v>
      </c>
      <c r="C392" s="8">
        <v>20.478950000000001</v>
      </c>
      <c r="D392" s="8">
        <v>72</v>
      </c>
      <c r="E392" s="8">
        <v>0</v>
      </c>
      <c r="F392" s="8">
        <v>0</v>
      </c>
      <c r="G392" s="8">
        <v>15</v>
      </c>
      <c r="H392" s="8" t="s">
        <v>51412</v>
      </c>
      <c r="I392" s="8">
        <v>526.6875</v>
      </c>
      <c r="J392" s="3">
        <f t="shared" si="6"/>
        <v>43749.433347245365</v>
      </c>
    </row>
    <row r="393" spans="1:10" x14ac:dyDescent="0.25">
      <c r="A393" s="5" t="s">
        <v>51413</v>
      </c>
      <c r="B393" s="6">
        <v>393.75</v>
      </c>
      <c r="C393" s="6">
        <v>20.478950000000001</v>
      </c>
      <c r="D393" s="6">
        <v>72</v>
      </c>
      <c r="E393" s="6">
        <v>0</v>
      </c>
      <c r="F393" s="6">
        <v>0</v>
      </c>
      <c r="G393" s="6">
        <v>16</v>
      </c>
      <c r="H393" s="6" t="s">
        <v>51414</v>
      </c>
      <c r="I393" s="6">
        <v>526.6875</v>
      </c>
      <c r="J393" s="2">
        <f t="shared" si="6"/>
        <v>43749.433430451383</v>
      </c>
    </row>
    <row r="394" spans="1:10" x14ac:dyDescent="0.25">
      <c r="A394" s="7" t="s">
        <v>51415</v>
      </c>
      <c r="B394" s="8">
        <v>425</v>
      </c>
      <c r="C394" s="8">
        <v>20.478950000000001</v>
      </c>
      <c r="D394" s="8">
        <v>72</v>
      </c>
      <c r="E394" s="8">
        <v>0</v>
      </c>
      <c r="F394" s="8">
        <v>0</v>
      </c>
      <c r="G394" s="8">
        <v>19</v>
      </c>
      <c r="H394" s="8" t="s">
        <v>51416</v>
      </c>
      <c r="I394" s="8">
        <v>536.8125</v>
      </c>
      <c r="J394" s="3">
        <f t="shared" si="6"/>
        <v>43749.433502245367</v>
      </c>
    </row>
    <row r="395" spans="1:10" x14ac:dyDescent="0.25">
      <c r="A395" s="5" t="s">
        <v>51417</v>
      </c>
      <c r="B395" s="6">
        <v>393.75</v>
      </c>
      <c r="C395" s="6">
        <v>20.426300000000001</v>
      </c>
      <c r="D395" s="6">
        <v>73</v>
      </c>
      <c r="E395" s="6">
        <v>0</v>
      </c>
      <c r="F395" s="6">
        <v>0</v>
      </c>
      <c r="G395" s="6">
        <v>16</v>
      </c>
      <c r="H395" s="6" t="s">
        <v>51418</v>
      </c>
      <c r="I395" s="6">
        <v>526.6875</v>
      </c>
      <c r="J395" s="2">
        <f t="shared" si="6"/>
        <v>43749.433585914354</v>
      </c>
    </row>
    <row r="396" spans="1:10" x14ac:dyDescent="0.25">
      <c r="A396" s="7" t="s">
        <v>51419</v>
      </c>
      <c r="B396" s="8">
        <v>393.75</v>
      </c>
      <c r="C396" s="8">
        <v>20.478950000000001</v>
      </c>
      <c r="D396" s="8">
        <v>73</v>
      </c>
      <c r="E396" s="8">
        <v>0</v>
      </c>
      <c r="F396" s="8">
        <v>0</v>
      </c>
      <c r="G396" s="8">
        <v>24</v>
      </c>
      <c r="H396" s="8" t="s">
        <v>51420</v>
      </c>
      <c r="I396" s="8">
        <v>526.6875</v>
      </c>
      <c r="J396" s="3">
        <f t="shared" si="6"/>
        <v>43749.433669270831</v>
      </c>
    </row>
    <row r="397" spans="1:10" x14ac:dyDescent="0.25">
      <c r="A397" s="5" t="s">
        <v>51421</v>
      </c>
      <c r="B397" s="6">
        <v>393.75</v>
      </c>
      <c r="C397" s="6">
        <v>20.478950000000001</v>
      </c>
      <c r="D397" s="6">
        <v>73</v>
      </c>
      <c r="E397" s="6">
        <v>0</v>
      </c>
      <c r="F397" s="6">
        <v>0</v>
      </c>
      <c r="G397" s="6">
        <v>24</v>
      </c>
      <c r="H397" s="6" t="s">
        <v>51422</v>
      </c>
      <c r="I397" s="6">
        <v>526.6875</v>
      </c>
      <c r="J397" s="2">
        <f t="shared" si="6"/>
        <v>43749.433752881938</v>
      </c>
    </row>
    <row r="398" spans="1:10" x14ac:dyDescent="0.25">
      <c r="A398" s="7" t="s">
        <v>51423</v>
      </c>
      <c r="B398" s="8">
        <v>393.75</v>
      </c>
      <c r="C398" s="8">
        <v>20.478950000000001</v>
      </c>
      <c r="D398" s="8">
        <v>72</v>
      </c>
      <c r="E398" s="8">
        <v>0</v>
      </c>
      <c r="F398" s="8">
        <v>0</v>
      </c>
      <c r="G398" s="8">
        <v>17</v>
      </c>
      <c r="H398" s="8" t="s">
        <v>51424</v>
      </c>
      <c r="I398" s="8">
        <v>526.6875</v>
      </c>
      <c r="J398" s="3">
        <f t="shared" si="6"/>
        <v>43749.433836145829</v>
      </c>
    </row>
    <row r="399" spans="1:10" x14ac:dyDescent="0.25">
      <c r="A399" s="5" t="s">
        <v>51425</v>
      </c>
      <c r="B399" s="6">
        <v>393.75</v>
      </c>
      <c r="C399" s="6">
        <v>20.478950000000001</v>
      </c>
      <c r="D399" s="6">
        <v>72</v>
      </c>
      <c r="E399" s="6">
        <v>0</v>
      </c>
      <c r="F399" s="6">
        <v>0</v>
      </c>
      <c r="G399" s="6">
        <v>22</v>
      </c>
      <c r="H399" s="6" t="s">
        <v>51426</v>
      </c>
      <c r="I399" s="6">
        <v>526.6875</v>
      </c>
      <c r="J399" s="2">
        <f t="shared" si="6"/>
        <v>43749.433919363422</v>
      </c>
    </row>
    <row r="400" spans="1:10" x14ac:dyDescent="0.25">
      <c r="A400" s="7" t="s">
        <v>51427</v>
      </c>
      <c r="B400" s="8">
        <v>393.75</v>
      </c>
      <c r="C400" s="8">
        <v>20.478950000000001</v>
      </c>
      <c r="D400" s="8">
        <v>73</v>
      </c>
      <c r="E400" s="8">
        <v>0</v>
      </c>
      <c r="F400" s="8">
        <v>0</v>
      </c>
      <c r="G400" s="8">
        <v>17</v>
      </c>
      <c r="H400" s="8" t="s">
        <v>51428</v>
      </c>
      <c r="I400" s="8">
        <v>526.6875</v>
      </c>
      <c r="J400" s="3">
        <f t="shared" si="6"/>
        <v>43749.433991319442</v>
      </c>
    </row>
    <row r="401" spans="1:10" x14ac:dyDescent="0.25">
      <c r="A401" s="5" t="s">
        <v>51429</v>
      </c>
      <c r="B401" s="6">
        <v>393.75</v>
      </c>
      <c r="C401" s="6">
        <v>20.478950000000001</v>
      </c>
      <c r="D401" s="6">
        <v>74</v>
      </c>
      <c r="E401" s="6">
        <v>0</v>
      </c>
      <c r="F401" s="6">
        <v>0</v>
      </c>
      <c r="G401" s="6">
        <v>21</v>
      </c>
      <c r="H401" s="6" t="s">
        <v>51430</v>
      </c>
      <c r="I401" s="6">
        <v>526.6875</v>
      </c>
      <c r="J401" s="2">
        <f t="shared" si="6"/>
        <v>43749.434074699071</v>
      </c>
    </row>
    <row r="402" spans="1:10" x14ac:dyDescent="0.25">
      <c r="A402" s="7" t="s">
        <v>51431</v>
      </c>
      <c r="B402" s="8">
        <v>412.5</v>
      </c>
      <c r="C402" s="8">
        <v>20.478950000000001</v>
      </c>
      <c r="D402" s="8">
        <v>75</v>
      </c>
      <c r="E402" s="8">
        <v>0</v>
      </c>
      <c r="F402" s="8">
        <v>0</v>
      </c>
      <c r="G402" s="8">
        <v>16</v>
      </c>
      <c r="H402" s="8" t="s">
        <v>51432</v>
      </c>
      <c r="I402" s="8">
        <v>532.3125</v>
      </c>
      <c r="J402" s="3">
        <f t="shared" si="6"/>
        <v>43749.434158136573</v>
      </c>
    </row>
    <row r="403" spans="1:10" x14ac:dyDescent="0.25">
      <c r="A403" s="5" t="s">
        <v>51433</v>
      </c>
      <c r="B403" s="6">
        <v>393.75</v>
      </c>
      <c r="C403" s="6">
        <v>20.478950000000001</v>
      </c>
      <c r="D403" s="6">
        <v>75</v>
      </c>
      <c r="E403" s="6">
        <v>0</v>
      </c>
      <c r="F403" s="6">
        <v>0</v>
      </c>
      <c r="G403" s="6">
        <v>15</v>
      </c>
      <c r="H403" s="6" t="s">
        <v>51434</v>
      </c>
      <c r="I403" s="6">
        <v>526.6875</v>
      </c>
      <c r="J403" s="2">
        <f t="shared" si="6"/>
        <v>43749.434241585644</v>
      </c>
    </row>
    <row r="404" spans="1:10" x14ac:dyDescent="0.25">
      <c r="A404" s="7" t="s">
        <v>51435</v>
      </c>
      <c r="B404" s="8">
        <v>393.75</v>
      </c>
      <c r="C404" s="8">
        <v>20.478950000000001</v>
      </c>
      <c r="D404" s="8">
        <v>75</v>
      </c>
      <c r="E404" s="8">
        <v>0</v>
      </c>
      <c r="F404" s="8">
        <v>0</v>
      </c>
      <c r="G404" s="8">
        <v>27</v>
      </c>
      <c r="H404" s="8" t="s">
        <v>51436</v>
      </c>
      <c r="I404" s="8">
        <v>526.6875</v>
      </c>
      <c r="J404" s="3">
        <f t="shared" si="6"/>
        <v>43749.434335833335</v>
      </c>
    </row>
    <row r="405" spans="1:10" x14ac:dyDescent="0.25">
      <c r="A405" s="5" t="s">
        <v>51437</v>
      </c>
      <c r="B405" s="6">
        <v>393.75</v>
      </c>
      <c r="C405" s="6">
        <v>20.478950000000001</v>
      </c>
      <c r="D405" s="6">
        <v>72</v>
      </c>
      <c r="E405" s="6">
        <v>0</v>
      </c>
      <c r="F405" s="6">
        <v>0</v>
      </c>
      <c r="G405" s="6">
        <v>20</v>
      </c>
      <c r="H405" s="6" t="s">
        <v>51438</v>
      </c>
      <c r="I405" s="6">
        <v>526.5</v>
      </c>
      <c r="J405" s="2">
        <f t="shared" si="6"/>
        <v>43749.434432442125</v>
      </c>
    </row>
    <row r="406" spans="1:10" x14ac:dyDescent="0.25">
      <c r="A406" s="7" t="s">
        <v>51439</v>
      </c>
      <c r="B406" s="8">
        <v>393.75</v>
      </c>
      <c r="C406" s="8">
        <v>20.478950000000001</v>
      </c>
      <c r="D406" s="8">
        <v>71</v>
      </c>
      <c r="E406" s="8">
        <v>0</v>
      </c>
      <c r="F406" s="8">
        <v>0</v>
      </c>
      <c r="G406" s="8">
        <v>18</v>
      </c>
      <c r="H406" s="8" t="s">
        <v>51440</v>
      </c>
      <c r="I406" s="8">
        <v>526.6875</v>
      </c>
      <c r="J406" s="3">
        <f t="shared" si="6"/>
        <v>43749.434515659719</v>
      </c>
    </row>
    <row r="407" spans="1:10" x14ac:dyDescent="0.25">
      <c r="A407" s="5" t="s">
        <v>51441</v>
      </c>
      <c r="B407" s="6">
        <v>393.75</v>
      </c>
      <c r="C407" s="6">
        <v>20.478950000000001</v>
      </c>
      <c r="D407" s="6">
        <v>71</v>
      </c>
      <c r="E407" s="6">
        <v>0</v>
      </c>
      <c r="F407" s="6">
        <v>0</v>
      </c>
      <c r="G407" s="6">
        <v>22</v>
      </c>
      <c r="H407" s="6" t="s">
        <v>51442</v>
      </c>
      <c r="I407" s="6">
        <v>526.6875</v>
      </c>
      <c r="J407" s="2">
        <f t="shared" si="6"/>
        <v>43749.434587418982</v>
      </c>
    </row>
    <row r="408" spans="1:10" x14ac:dyDescent="0.25">
      <c r="A408" s="7" t="s">
        <v>51443</v>
      </c>
      <c r="B408" s="8">
        <v>393.75</v>
      </c>
      <c r="C408" s="8">
        <v>20.478950000000001</v>
      </c>
      <c r="D408" s="8">
        <v>72</v>
      </c>
      <c r="E408" s="8">
        <v>0</v>
      </c>
      <c r="F408" s="8">
        <v>0</v>
      </c>
      <c r="G408" s="8">
        <v>10</v>
      </c>
      <c r="H408" s="8" t="s">
        <v>51444</v>
      </c>
      <c r="I408" s="8">
        <v>526.6875</v>
      </c>
      <c r="J408" s="3">
        <f t="shared" si="6"/>
        <v>43749.43467116898</v>
      </c>
    </row>
    <row r="409" spans="1:10" x14ac:dyDescent="0.25">
      <c r="A409" s="5" t="s">
        <v>51445</v>
      </c>
      <c r="B409" s="6">
        <v>393.75</v>
      </c>
      <c r="C409" s="6">
        <v>20.426300000000001</v>
      </c>
      <c r="D409" s="6">
        <v>73</v>
      </c>
      <c r="E409" s="6">
        <v>0</v>
      </c>
      <c r="F409" s="6">
        <v>0</v>
      </c>
      <c r="G409" s="6">
        <v>12</v>
      </c>
      <c r="H409" s="6" t="s">
        <v>51446</v>
      </c>
      <c r="I409" s="6">
        <v>526.6875</v>
      </c>
      <c r="J409" s="2">
        <f t="shared" si="6"/>
        <v>43749.434754525464</v>
      </c>
    </row>
    <row r="410" spans="1:10" x14ac:dyDescent="0.25">
      <c r="A410" s="7" t="s">
        <v>51447</v>
      </c>
      <c r="B410" s="8">
        <v>393.75</v>
      </c>
      <c r="C410" s="8">
        <v>20.478950000000001</v>
      </c>
      <c r="D410" s="8">
        <v>74</v>
      </c>
      <c r="E410" s="8">
        <v>0</v>
      </c>
      <c r="F410" s="8">
        <v>0</v>
      </c>
      <c r="G410" s="8">
        <v>17</v>
      </c>
      <c r="H410" s="8" t="s">
        <v>51448</v>
      </c>
      <c r="I410" s="8">
        <v>526.6875</v>
      </c>
      <c r="J410" s="3">
        <f t="shared" si="6"/>
        <v>43749.434837870365</v>
      </c>
    </row>
    <row r="411" spans="1:10" x14ac:dyDescent="0.25">
      <c r="A411" s="5" t="s">
        <v>51449</v>
      </c>
      <c r="B411" s="6">
        <v>393.75</v>
      </c>
      <c r="C411" s="6">
        <v>20.478950000000001</v>
      </c>
      <c r="D411" s="6">
        <v>75</v>
      </c>
      <c r="E411" s="6">
        <v>0</v>
      </c>
      <c r="F411" s="6">
        <v>0</v>
      </c>
      <c r="G411" s="6">
        <v>21</v>
      </c>
      <c r="H411" s="6" t="s">
        <v>51450</v>
      </c>
      <c r="I411" s="6">
        <v>526.6875</v>
      </c>
      <c r="J411" s="2">
        <f t="shared" si="6"/>
        <v>43749.434921435182</v>
      </c>
    </row>
    <row r="412" spans="1:10" x14ac:dyDescent="0.25">
      <c r="A412" s="7" t="s">
        <v>51451</v>
      </c>
      <c r="B412" s="8">
        <v>393.75</v>
      </c>
      <c r="C412" s="8">
        <v>20.478950000000001</v>
      </c>
      <c r="D412" s="8">
        <v>75</v>
      </c>
      <c r="E412" s="8">
        <v>0</v>
      </c>
      <c r="F412" s="8">
        <v>0</v>
      </c>
      <c r="G412" s="8">
        <v>16</v>
      </c>
      <c r="H412" s="8" t="s">
        <v>51452</v>
      </c>
      <c r="I412" s="8">
        <v>526.5</v>
      </c>
      <c r="J412" s="3">
        <f t="shared" si="6"/>
        <v>43749.435004548614</v>
      </c>
    </row>
    <row r="413" spans="1:10" x14ac:dyDescent="0.25">
      <c r="A413" s="5" t="s">
        <v>51453</v>
      </c>
      <c r="B413" s="6">
        <v>412.5</v>
      </c>
      <c r="C413" s="6">
        <v>20.478950000000001</v>
      </c>
      <c r="D413" s="6">
        <v>75</v>
      </c>
      <c r="E413" s="6">
        <v>0</v>
      </c>
      <c r="F413" s="6">
        <v>0</v>
      </c>
      <c r="G413" s="6">
        <v>24</v>
      </c>
      <c r="H413" s="6" t="s">
        <v>51454</v>
      </c>
      <c r="I413" s="6">
        <v>532.3125</v>
      </c>
      <c r="J413" s="2">
        <f t="shared" si="6"/>
        <v>43749.435076319445</v>
      </c>
    </row>
    <row r="414" spans="1:10" x14ac:dyDescent="0.25">
      <c r="A414" s="7" t="s">
        <v>51455</v>
      </c>
      <c r="B414" s="8">
        <v>393.75</v>
      </c>
      <c r="C414" s="8">
        <v>20.478950000000001</v>
      </c>
      <c r="D414" s="8">
        <v>73</v>
      </c>
      <c r="E414" s="8">
        <v>0</v>
      </c>
      <c r="F414" s="8">
        <v>0</v>
      </c>
      <c r="G414" s="8">
        <v>14</v>
      </c>
      <c r="H414" s="8" t="s">
        <v>51456</v>
      </c>
      <c r="I414" s="8">
        <v>526.6875</v>
      </c>
      <c r="J414" s="3">
        <f t="shared" si="6"/>
        <v>43749.435170277771</v>
      </c>
    </row>
    <row r="415" spans="1:10" x14ac:dyDescent="0.25">
      <c r="A415" s="5" t="s">
        <v>51457</v>
      </c>
      <c r="B415" s="6">
        <v>393.75</v>
      </c>
      <c r="C415" s="6">
        <v>20.478950000000001</v>
      </c>
      <c r="D415" s="6">
        <v>73</v>
      </c>
      <c r="E415" s="6">
        <v>0</v>
      </c>
      <c r="F415" s="6">
        <v>0</v>
      </c>
      <c r="G415" s="6">
        <v>6</v>
      </c>
      <c r="H415" s="6" t="s">
        <v>51458</v>
      </c>
      <c r="I415" s="6">
        <v>526.5</v>
      </c>
      <c r="J415" s="2">
        <f t="shared" si="6"/>
        <v>43749.435243310181</v>
      </c>
    </row>
    <row r="416" spans="1:10" x14ac:dyDescent="0.25">
      <c r="A416" s="7" t="s">
        <v>51459</v>
      </c>
      <c r="B416" s="8">
        <v>393.75</v>
      </c>
      <c r="C416" s="8">
        <v>20.478950000000001</v>
      </c>
      <c r="D416" s="8">
        <v>72</v>
      </c>
      <c r="E416" s="8">
        <v>0</v>
      </c>
      <c r="F416" s="8">
        <v>0</v>
      </c>
      <c r="G416" s="8">
        <v>13</v>
      </c>
      <c r="H416" s="8" t="s">
        <v>51460</v>
      </c>
      <c r="I416" s="8">
        <v>526.6875</v>
      </c>
      <c r="J416" s="3">
        <f t="shared" si="6"/>
        <v>43749.435326770828</v>
      </c>
    </row>
    <row r="417" spans="1:10" x14ac:dyDescent="0.25">
      <c r="A417" s="5" t="s">
        <v>51461</v>
      </c>
      <c r="B417" s="6">
        <v>393.75</v>
      </c>
      <c r="C417" s="6">
        <v>20.478950000000001</v>
      </c>
      <c r="D417" s="6">
        <v>72</v>
      </c>
      <c r="E417" s="6">
        <v>0</v>
      </c>
      <c r="F417" s="6">
        <v>0</v>
      </c>
      <c r="G417" s="6">
        <v>11</v>
      </c>
      <c r="H417" s="6" t="s">
        <v>51462</v>
      </c>
      <c r="I417" s="6">
        <v>526.6875</v>
      </c>
      <c r="J417" s="2">
        <f t="shared" si="6"/>
        <v>43749.43541035879</v>
      </c>
    </row>
    <row r="418" spans="1:10" x14ac:dyDescent="0.25">
      <c r="A418" s="7" t="s">
        <v>51463</v>
      </c>
      <c r="B418" s="8">
        <v>412.5</v>
      </c>
      <c r="C418" s="8">
        <v>20.478950000000001</v>
      </c>
      <c r="D418" s="8">
        <v>72</v>
      </c>
      <c r="E418" s="8">
        <v>0</v>
      </c>
      <c r="F418" s="8">
        <v>0</v>
      </c>
      <c r="G418" s="8">
        <v>5</v>
      </c>
      <c r="H418" s="8" t="s">
        <v>51464</v>
      </c>
      <c r="I418" s="8">
        <v>532.3125</v>
      </c>
      <c r="J418" s="3">
        <f t="shared" si="6"/>
        <v>43749.435493541663</v>
      </c>
    </row>
    <row r="419" spans="1:10" x14ac:dyDescent="0.25">
      <c r="A419" s="5" t="s">
        <v>51465</v>
      </c>
      <c r="B419" s="6">
        <v>393.75</v>
      </c>
      <c r="C419" s="6">
        <v>20.478950000000001</v>
      </c>
      <c r="D419" s="6">
        <v>72</v>
      </c>
      <c r="E419" s="6">
        <v>0</v>
      </c>
      <c r="F419" s="6">
        <v>0</v>
      </c>
      <c r="G419" s="6">
        <v>17</v>
      </c>
      <c r="H419" s="6" t="s">
        <v>51466</v>
      </c>
      <c r="I419" s="6">
        <v>526.6875</v>
      </c>
      <c r="J419" s="2">
        <f t="shared" si="6"/>
        <v>43749.435565069442</v>
      </c>
    </row>
    <row r="420" spans="1:10" x14ac:dyDescent="0.25">
      <c r="A420" s="7" t="s">
        <v>51467</v>
      </c>
      <c r="B420" s="8">
        <v>393.75</v>
      </c>
      <c r="C420" s="8">
        <v>20.478950000000001</v>
      </c>
      <c r="D420" s="8">
        <v>72</v>
      </c>
      <c r="E420" s="8">
        <v>0</v>
      </c>
      <c r="F420" s="8">
        <v>0</v>
      </c>
      <c r="G420" s="8">
        <v>15</v>
      </c>
      <c r="H420" s="8" t="s">
        <v>51468</v>
      </c>
      <c r="I420" s="8">
        <v>526.6875</v>
      </c>
      <c r="J420" s="3">
        <f t="shared" si="6"/>
        <v>43749.435648993058</v>
      </c>
    </row>
    <row r="421" spans="1:10" x14ac:dyDescent="0.25">
      <c r="A421" s="5" t="s">
        <v>51469</v>
      </c>
      <c r="B421" s="6">
        <v>393.75</v>
      </c>
      <c r="C421" s="6">
        <v>20.478950000000001</v>
      </c>
      <c r="D421" s="6">
        <v>72</v>
      </c>
      <c r="E421" s="6">
        <v>0</v>
      </c>
      <c r="F421" s="6">
        <v>0</v>
      </c>
      <c r="G421" s="6">
        <v>21</v>
      </c>
      <c r="H421" s="6" t="s">
        <v>51470</v>
      </c>
      <c r="I421" s="6">
        <v>526.6875</v>
      </c>
      <c r="J421" s="2">
        <f t="shared" si="6"/>
        <v>43749.435720856483</v>
      </c>
    </row>
    <row r="422" spans="1:10" x14ac:dyDescent="0.25">
      <c r="A422" s="7" t="s">
        <v>51471</v>
      </c>
      <c r="B422" s="8">
        <v>393.75</v>
      </c>
      <c r="C422" s="8">
        <v>20.478950000000001</v>
      </c>
      <c r="D422" s="8">
        <v>72</v>
      </c>
      <c r="E422" s="8">
        <v>0</v>
      </c>
      <c r="F422" s="8">
        <v>0</v>
      </c>
      <c r="G422" s="8">
        <v>17</v>
      </c>
      <c r="H422" s="8" t="s">
        <v>51472</v>
      </c>
      <c r="I422" s="8">
        <v>526.6875</v>
      </c>
      <c r="J422" s="3">
        <f t="shared" si="6"/>
        <v>43749.435803946755</v>
      </c>
    </row>
    <row r="423" spans="1:10" x14ac:dyDescent="0.25">
      <c r="A423" s="5" t="s">
        <v>51473</v>
      </c>
      <c r="B423" s="6">
        <v>393.75</v>
      </c>
      <c r="C423" s="6">
        <v>20.478950000000001</v>
      </c>
      <c r="D423" s="6">
        <v>72</v>
      </c>
      <c r="E423" s="6">
        <v>0</v>
      </c>
      <c r="F423" s="6">
        <v>0</v>
      </c>
      <c r="G423" s="6">
        <v>17</v>
      </c>
      <c r="H423" s="6" t="s">
        <v>51474</v>
      </c>
      <c r="I423" s="6">
        <v>526.6875</v>
      </c>
      <c r="J423" s="2">
        <f t="shared" si="6"/>
        <v>43749.435887418978</v>
      </c>
    </row>
    <row r="424" spans="1:10" x14ac:dyDescent="0.25">
      <c r="A424" s="7" t="s">
        <v>51475</v>
      </c>
      <c r="B424" s="8">
        <v>393.75</v>
      </c>
      <c r="C424" s="8">
        <v>20.478950000000001</v>
      </c>
      <c r="D424" s="8">
        <v>70</v>
      </c>
      <c r="E424" s="8">
        <v>0</v>
      </c>
      <c r="F424" s="8">
        <v>0</v>
      </c>
      <c r="G424" s="8">
        <v>9</v>
      </c>
      <c r="H424" s="8" t="s">
        <v>51476</v>
      </c>
      <c r="I424" s="8">
        <v>526.6875</v>
      </c>
      <c r="J424" s="3">
        <f t="shared" si="6"/>
        <v>43749.435970868049</v>
      </c>
    </row>
    <row r="425" spans="1:10" x14ac:dyDescent="0.25">
      <c r="A425" s="5" t="s">
        <v>51477</v>
      </c>
      <c r="B425" s="6">
        <v>393.75</v>
      </c>
      <c r="C425" s="6">
        <v>20.478950000000001</v>
      </c>
      <c r="D425" s="6">
        <v>71</v>
      </c>
      <c r="E425" s="6">
        <v>0</v>
      </c>
      <c r="F425" s="6">
        <v>0</v>
      </c>
      <c r="G425" s="6">
        <v>14</v>
      </c>
      <c r="H425" s="6" t="s">
        <v>51478</v>
      </c>
      <c r="I425" s="6">
        <v>526.6875</v>
      </c>
      <c r="J425" s="2">
        <f t="shared" si="6"/>
        <v>43749.43605442129</v>
      </c>
    </row>
    <row r="426" spans="1:10" x14ac:dyDescent="0.25">
      <c r="A426" s="7" t="s">
        <v>51479</v>
      </c>
      <c r="B426" s="8">
        <v>393.75</v>
      </c>
      <c r="C426" s="8">
        <v>20.478950000000001</v>
      </c>
      <c r="D426" s="8">
        <v>70</v>
      </c>
      <c r="E426" s="8">
        <v>0</v>
      </c>
      <c r="F426" s="8">
        <v>0</v>
      </c>
      <c r="G426" s="8">
        <v>14</v>
      </c>
      <c r="H426" s="8" t="s">
        <v>51480</v>
      </c>
      <c r="I426" s="8">
        <v>526.6875</v>
      </c>
      <c r="J426" s="3">
        <f t="shared" si="6"/>
        <v>43749.436140914353</v>
      </c>
    </row>
    <row r="427" spans="1:10" x14ac:dyDescent="0.25">
      <c r="A427" s="5" t="s">
        <v>51481</v>
      </c>
      <c r="B427" s="6">
        <v>393.75</v>
      </c>
      <c r="C427" s="6">
        <v>20.478950000000001</v>
      </c>
      <c r="D427" s="6">
        <v>71</v>
      </c>
      <c r="E427" s="6">
        <v>0</v>
      </c>
      <c r="F427" s="6">
        <v>0</v>
      </c>
      <c r="G427" s="6">
        <v>17</v>
      </c>
      <c r="H427" s="6" t="s">
        <v>51482</v>
      </c>
      <c r="I427" s="6">
        <v>526.6875</v>
      </c>
      <c r="J427" s="2">
        <f t="shared" si="6"/>
        <v>43749.436221319447</v>
      </c>
    </row>
    <row r="428" spans="1:10" x14ac:dyDescent="0.25">
      <c r="A428" s="7" t="s">
        <v>51483</v>
      </c>
      <c r="B428" s="8">
        <v>418.75</v>
      </c>
      <c r="C428" s="8">
        <v>20.478950000000001</v>
      </c>
      <c r="D428" s="8">
        <v>71</v>
      </c>
      <c r="E428" s="8">
        <v>0</v>
      </c>
      <c r="F428" s="8">
        <v>0</v>
      </c>
      <c r="G428" s="8">
        <v>13</v>
      </c>
      <c r="H428" s="8" t="s">
        <v>51484</v>
      </c>
      <c r="I428" s="8">
        <v>534.5625</v>
      </c>
      <c r="J428" s="3">
        <f t="shared" si="6"/>
        <v>43749.43630454861</v>
      </c>
    </row>
    <row r="429" spans="1:10" x14ac:dyDescent="0.25">
      <c r="A429" s="5" t="s">
        <v>51485</v>
      </c>
      <c r="B429" s="6">
        <v>393.75</v>
      </c>
      <c r="C429" s="6">
        <v>20.478950000000001</v>
      </c>
      <c r="D429" s="6">
        <v>70</v>
      </c>
      <c r="E429" s="6">
        <v>0</v>
      </c>
      <c r="F429" s="6">
        <v>0</v>
      </c>
      <c r="G429" s="6">
        <v>15</v>
      </c>
      <c r="H429" s="6" t="s">
        <v>51486</v>
      </c>
      <c r="I429" s="6">
        <v>526.6875</v>
      </c>
      <c r="J429" s="2">
        <f t="shared" si="6"/>
        <v>43749.436388275462</v>
      </c>
    </row>
    <row r="430" spans="1:10" x14ac:dyDescent="0.25">
      <c r="A430" s="7" t="s">
        <v>51487</v>
      </c>
      <c r="B430" s="8">
        <v>393.75</v>
      </c>
      <c r="C430" s="8">
        <v>20.478950000000001</v>
      </c>
      <c r="D430" s="8">
        <v>71</v>
      </c>
      <c r="E430" s="8">
        <v>0</v>
      </c>
      <c r="F430" s="8">
        <v>0</v>
      </c>
      <c r="G430" s="8">
        <v>22</v>
      </c>
      <c r="H430" s="8" t="s">
        <v>51488</v>
      </c>
      <c r="I430" s="8">
        <v>526.6875</v>
      </c>
      <c r="J430" s="3">
        <f t="shared" si="6"/>
        <v>43749.436471898145</v>
      </c>
    </row>
    <row r="431" spans="1:10" x14ac:dyDescent="0.25">
      <c r="A431" s="5" t="s">
        <v>51489</v>
      </c>
      <c r="B431" s="6">
        <v>393.75</v>
      </c>
      <c r="C431" s="6">
        <v>20.478950000000001</v>
      </c>
      <c r="D431" s="6">
        <v>71</v>
      </c>
      <c r="E431" s="6">
        <v>0</v>
      </c>
      <c r="F431" s="6">
        <v>0</v>
      </c>
      <c r="G431" s="6">
        <v>22</v>
      </c>
      <c r="H431" s="6" t="s">
        <v>51490</v>
      </c>
      <c r="I431" s="6">
        <v>526.6875</v>
      </c>
      <c r="J431" s="2">
        <f t="shared" si="6"/>
        <v>43749.43654297453</v>
      </c>
    </row>
    <row r="432" spans="1:10" x14ac:dyDescent="0.25">
      <c r="A432" s="7" t="s">
        <v>51491</v>
      </c>
      <c r="B432" s="8">
        <v>393.75</v>
      </c>
      <c r="C432" s="8">
        <v>20.478950000000001</v>
      </c>
      <c r="D432" s="8">
        <v>70</v>
      </c>
      <c r="E432" s="8">
        <v>0</v>
      </c>
      <c r="F432" s="8">
        <v>0</v>
      </c>
      <c r="G432" s="8">
        <v>16</v>
      </c>
      <c r="H432" s="8" t="s">
        <v>51492</v>
      </c>
      <c r="I432" s="8">
        <v>526.6875</v>
      </c>
      <c r="J432" s="3">
        <f t="shared" si="6"/>
        <v>43749.436626759256</v>
      </c>
    </row>
    <row r="433" spans="1:10" x14ac:dyDescent="0.25">
      <c r="A433" s="5" t="s">
        <v>51493</v>
      </c>
      <c r="B433" s="6">
        <v>393.75</v>
      </c>
      <c r="C433" s="6">
        <v>20.478950000000001</v>
      </c>
      <c r="D433" s="6">
        <v>70</v>
      </c>
      <c r="E433" s="6">
        <v>0</v>
      </c>
      <c r="F433" s="6">
        <v>0</v>
      </c>
      <c r="G433" s="6">
        <v>22</v>
      </c>
      <c r="H433" s="6" t="s">
        <v>51494</v>
      </c>
      <c r="I433" s="6">
        <v>526.6875</v>
      </c>
      <c r="J433" s="2">
        <f t="shared" si="6"/>
        <v>43749.436710335642</v>
      </c>
    </row>
    <row r="434" spans="1:10" x14ac:dyDescent="0.25">
      <c r="A434" s="7" t="s">
        <v>51495</v>
      </c>
      <c r="B434" s="8">
        <v>393.75</v>
      </c>
      <c r="C434" s="8">
        <v>20.478950000000001</v>
      </c>
      <c r="D434" s="8">
        <v>71</v>
      </c>
      <c r="E434" s="8">
        <v>0</v>
      </c>
      <c r="F434" s="8">
        <v>0</v>
      </c>
      <c r="G434" s="8">
        <v>24</v>
      </c>
      <c r="H434" s="8" t="s">
        <v>51496</v>
      </c>
      <c r="I434" s="8">
        <v>526.6875</v>
      </c>
      <c r="J434" s="3">
        <f t="shared" si="6"/>
        <v>43749.436793541659</v>
      </c>
    </row>
    <row r="435" spans="1:10" x14ac:dyDescent="0.25">
      <c r="A435" s="5" t="s">
        <v>51497</v>
      </c>
      <c r="B435" s="6">
        <v>393.75</v>
      </c>
      <c r="C435" s="6">
        <v>20.478950000000001</v>
      </c>
      <c r="D435" s="6">
        <v>71</v>
      </c>
      <c r="E435" s="6">
        <v>0</v>
      </c>
      <c r="F435" s="6">
        <v>0</v>
      </c>
      <c r="G435" s="6">
        <v>18</v>
      </c>
      <c r="H435" s="6" t="s">
        <v>51498</v>
      </c>
      <c r="I435" s="6">
        <v>526.6875</v>
      </c>
      <c r="J435" s="2">
        <f t="shared" si="6"/>
        <v>43749.436877222215</v>
      </c>
    </row>
    <row r="436" spans="1:10" x14ac:dyDescent="0.25">
      <c r="A436" s="7" t="s">
        <v>51499</v>
      </c>
      <c r="B436" s="8">
        <v>393.75</v>
      </c>
      <c r="C436" s="8">
        <v>20.478950000000001</v>
      </c>
      <c r="D436" s="8">
        <v>71</v>
      </c>
      <c r="E436" s="8">
        <v>0</v>
      </c>
      <c r="F436" s="8">
        <v>0</v>
      </c>
      <c r="G436" s="8">
        <v>25</v>
      </c>
      <c r="H436" s="8" t="s">
        <v>51500</v>
      </c>
      <c r="I436" s="8">
        <v>526.5</v>
      </c>
      <c r="J436" s="3">
        <f t="shared" si="6"/>
        <v>43749.436966909721</v>
      </c>
    </row>
    <row r="437" spans="1:10" x14ac:dyDescent="0.25">
      <c r="A437" s="5" t="s">
        <v>51501</v>
      </c>
      <c r="B437" s="6">
        <v>393.75</v>
      </c>
      <c r="C437" s="6">
        <v>20.478950000000001</v>
      </c>
      <c r="D437" s="6">
        <v>71</v>
      </c>
      <c r="E437" s="6">
        <v>0</v>
      </c>
      <c r="F437" s="6">
        <v>0</v>
      </c>
      <c r="G437" s="6">
        <v>13</v>
      </c>
      <c r="H437" s="6" t="s">
        <v>51502</v>
      </c>
      <c r="I437" s="6">
        <v>526.6875</v>
      </c>
      <c r="J437" s="2">
        <f t="shared" si="6"/>
        <v>43749.437044247687</v>
      </c>
    </row>
    <row r="438" spans="1:10" x14ac:dyDescent="0.25">
      <c r="A438" s="7" t="s">
        <v>51503</v>
      </c>
      <c r="B438" s="8">
        <v>393.75</v>
      </c>
      <c r="C438" s="8">
        <v>20.478950000000001</v>
      </c>
      <c r="D438" s="8">
        <v>72</v>
      </c>
      <c r="E438" s="8">
        <v>0</v>
      </c>
      <c r="F438" s="8">
        <v>0</v>
      </c>
      <c r="G438" s="8">
        <v>21</v>
      </c>
      <c r="H438" s="8" t="s">
        <v>51504</v>
      </c>
      <c r="I438" s="8">
        <v>526.6875</v>
      </c>
      <c r="J438" s="3">
        <f t="shared" si="6"/>
        <v>43749.437140497677</v>
      </c>
    </row>
    <row r="439" spans="1:10" x14ac:dyDescent="0.25">
      <c r="A439" s="5" t="s">
        <v>51505</v>
      </c>
      <c r="B439" s="6">
        <v>393.75</v>
      </c>
      <c r="C439" s="6">
        <v>20.478950000000001</v>
      </c>
      <c r="D439" s="6">
        <v>72</v>
      </c>
      <c r="E439" s="6">
        <v>0</v>
      </c>
      <c r="F439" s="6">
        <v>0</v>
      </c>
      <c r="G439" s="6">
        <v>14</v>
      </c>
      <c r="H439" s="6" t="s">
        <v>51506</v>
      </c>
      <c r="I439" s="6">
        <v>526.6875</v>
      </c>
      <c r="J439" s="2">
        <f t="shared" si="6"/>
        <v>43749.43722320602</v>
      </c>
    </row>
    <row r="440" spans="1:10" x14ac:dyDescent="0.25">
      <c r="A440" s="7" t="s">
        <v>51507</v>
      </c>
      <c r="B440" s="8">
        <v>393.75</v>
      </c>
      <c r="C440" s="8">
        <v>20.478950000000001</v>
      </c>
      <c r="D440" s="8">
        <v>73</v>
      </c>
      <c r="E440" s="8">
        <v>0</v>
      </c>
      <c r="F440" s="8">
        <v>0</v>
      </c>
      <c r="G440" s="8">
        <v>19</v>
      </c>
      <c r="H440" s="8" t="s">
        <v>51508</v>
      </c>
      <c r="I440" s="8">
        <v>526.6875</v>
      </c>
      <c r="J440" s="3">
        <f t="shared" si="6"/>
        <v>43749.437306284723</v>
      </c>
    </row>
    <row r="441" spans="1:10" x14ac:dyDescent="0.25">
      <c r="A441" s="5" t="s">
        <v>51509</v>
      </c>
      <c r="B441" s="6">
        <v>393.75</v>
      </c>
      <c r="C441" s="6">
        <v>20.478950000000001</v>
      </c>
      <c r="D441" s="6">
        <v>73</v>
      </c>
      <c r="E441" s="6">
        <v>0</v>
      </c>
      <c r="F441" s="6">
        <v>0</v>
      </c>
      <c r="G441" s="6">
        <v>26</v>
      </c>
      <c r="H441" s="6" t="s">
        <v>51510</v>
      </c>
      <c r="I441" s="6">
        <v>526.6875</v>
      </c>
      <c r="J441" s="2">
        <f t="shared" si="6"/>
        <v>43749.437389722218</v>
      </c>
    </row>
    <row r="442" spans="1:10" x14ac:dyDescent="0.25">
      <c r="A442" s="7" t="s">
        <v>51511</v>
      </c>
      <c r="B442" s="8">
        <v>412.5</v>
      </c>
      <c r="C442" s="8">
        <v>20.478950000000001</v>
      </c>
      <c r="D442" s="8">
        <v>73</v>
      </c>
      <c r="E442" s="8">
        <v>0</v>
      </c>
      <c r="F442" s="8">
        <v>0</v>
      </c>
      <c r="G442" s="8">
        <v>20</v>
      </c>
      <c r="H442" s="8" t="s">
        <v>51512</v>
      </c>
      <c r="I442" s="8">
        <v>532.6875</v>
      </c>
      <c r="J442" s="3">
        <f t="shared" si="6"/>
        <v>43749.437461562498</v>
      </c>
    </row>
    <row r="443" spans="1:10" x14ac:dyDescent="0.25">
      <c r="A443" s="5" t="s">
        <v>51513</v>
      </c>
      <c r="B443" s="6">
        <v>393.75</v>
      </c>
      <c r="C443" s="6">
        <v>20.478950000000001</v>
      </c>
      <c r="D443" s="6">
        <v>73</v>
      </c>
      <c r="E443" s="6">
        <v>0</v>
      </c>
      <c r="F443" s="6">
        <v>0</v>
      </c>
      <c r="G443" s="6">
        <v>16</v>
      </c>
      <c r="H443" s="6" t="s">
        <v>51514</v>
      </c>
      <c r="I443" s="6">
        <v>526.6875</v>
      </c>
      <c r="J443" s="2">
        <f t="shared" si="6"/>
        <v>43749.43754504629</v>
      </c>
    </row>
    <row r="444" spans="1:10" x14ac:dyDescent="0.25">
      <c r="A444" s="7" t="s">
        <v>51515</v>
      </c>
      <c r="B444" s="8">
        <v>393.75</v>
      </c>
      <c r="C444" s="8">
        <v>20.478950000000001</v>
      </c>
      <c r="D444" s="8">
        <v>74</v>
      </c>
      <c r="E444" s="8">
        <v>0</v>
      </c>
      <c r="F444" s="8">
        <v>0</v>
      </c>
      <c r="G444" s="8">
        <v>24</v>
      </c>
      <c r="H444" s="8" t="s">
        <v>51516</v>
      </c>
      <c r="I444" s="8">
        <v>526.6875</v>
      </c>
      <c r="J444" s="3">
        <f t="shared" si="6"/>
        <v>43749.437629178239</v>
      </c>
    </row>
    <row r="445" spans="1:10" x14ac:dyDescent="0.25">
      <c r="A445" s="5" t="s">
        <v>51517</v>
      </c>
      <c r="B445" s="6">
        <v>393.75</v>
      </c>
      <c r="C445" s="6">
        <v>20.478950000000001</v>
      </c>
      <c r="D445" s="6">
        <v>76</v>
      </c>
      <c r="E445" s="6">
        <v>0</v>
      </c>
      <c r="F445" s="6">
        <v>0</v>
      </c>
      <c r="G445" s="6">
        <v>16</v>
      </c>
      <c r="H445" s="6" t="s">
        <v>51518</v>
      </c>
      <c r="I445" s="6">
        <v>526.5</v>
      </c>
      <c r="J445" s="2">
        <f t="shared" si="6"/>
        <v>43749.437711921295</v>
      </c>
    </row>
    <row r="446" spans="1:10" x14ac:dyDescent="0.25">
      <c r="A446" s="7" t="s">
        <v>51519</v>
      </c>
      <c r="B446" s="8">
        <v>393.75</v>
      </c>
      <c r="C446" s="8">
        <v>20.478950000000001</v>
      </c>
      <c r="D446" s="8">
        <v>76</v>
      </c>
      <c r="E446" s="8">
        <v>0</v>
      </c>
      <c r="F446" s="8">
        <v>0</v>
      </c>
      <c r="G446" s="8">
        <v>17</v>
      </c>
      <c r="H446" s="8" t="s">
        <v>51520</v>
      </c>
      <c r="I446" s="8">
        <v>526.6875</v>
      </c>
      <c r="J446" s="3">
        <f t="shared" si="6"/>
        <v>43749.437797939812</v>
      </c>
    </row>
    <row r="447" spans="1:10" x14ac:dyDescent="0.25">
      <c r="A447" s="5" t="s">
        <v>51521</v>
      </c>
      <c r="B447" s="6">
        <v>412.5</v>
      </c>
      <c r="C447" s="6">
        <v>20.478950000000001</v>
      </c>
      <c r="D447" s="6">
        <v>75</v>
      </c>
      <c r="E447" s="6">
        <v>0</v>
      </c>
      <c r="F447" s="6">
        <v>0</v>
      </c>
      <c r="G447" s="6">
        <v>22</v>
      </c>
      <c r="H447" s="6" t="s">
        <v>51522</v>
      </c>
      <c r="I447" s="6">
        <v>532.125</v>
      </c>
      <c r="J447" s="2">
        <f t="shared" si="6"/>
        <v>43749.437878692122</v>
      </c>
    </row>
    <row r="448" spans="1:10" x14ac:dyDescent="0.25">
      <c r="A448" s="7" t="s">
        <v>51523</v>
      </c>
      <c r="B448" s="8">
        <v>393.75</v>
      </c>
      <c r="C448" s="8">
        <v>20.478950000000001</v>
      </c>
      <c r="D448" s="8">
        <v>75</v>
      </c>
      <c r="E448" s="8">
        <v>0</v>
      </c>
      <c r="F448" s="8">
        <v>0</v>
      </c>
      <c r="G448" s="8">
        <v>23</v>
      </c>
      <c r="H448" s="8" t="s">
        <v>51524</v>
      </c>
      <c r="I448" s="8">
        <v>526.6875</v>
      </c>
      <c r="J448" s="3">
        <f t="shared" si="6"/>
        <v>43749.437950347223</v>
      </c>
    </row>
    <row r="449" spans="1:10" x14ac:dyDescent="0.25">
      <c r="A449" s="5" t="s">
        <v>51525</v>
      </c>
      <c r="B449" s="6">
        <v>393.75</v>
      </c>
      <c r="C449" s="6">
        <v>20.478950000000001</v>
      </c>
      <c r="D449" s="6">
        <v>75</v>
      </c>
      <c r="E449" s="6">
        <v>0</v>
      </c>
      <c r="F449" s="6">
        <v>0</v>
      </c>
      <c r="G449" s="6">
        <v>17</v>
      </c>
      <c r="H449" s="6" t="s">
        <v>51526</v>
      </c>
      <c r="I449" s="6">
        <v>526.6875</v>
      </c>
      <c r="J449" s="2">
        <f t="shared" si="6"/>
        <v>43749.438033935185</v>
      </c>
    </row>
    <row r="450" spans="1:10" x14ac:dyDescent="0.25">
      <c r="A450" s="7" t="s">
        <v>51527</v>
      </c>
      <c r="B450" s="8">
        <v>393.75</v>
      </c>
      <c r="C450" s="8">
        <v>20.478950000000001</v>
      </c>
      <c r="D450" s="8">
        <v>75</v>
      </c>
      <c r="E450" s="8">
        <v>0</v>
      </c>
      <c r="F450" s="8">
        <v>0</v>
      </c>
      <c r="G450" s="8">
        <v>20</v>
      </c>
      <c r="H450" s="8" t="s">
        <v>51528</v>
      </c>
      <c r="I450" s="8">
        <v>526.6875</v>
      </c>
      <c r="J450" s="3">
        <f t="shared" ref="J450:J513" si="7">(H450/86400000)+25569+(7/24)</f>
        <v>43749.438117361111</v>
      </c>
    </row>
    <row r="451" spans="1:10" x14ac:dyDescent="0.25">
      <c r="A451" s="5" t="s">
        <v>51529</v>
      </c>
      <c r="B451" s="6">
        <v>393.75</v>
      </c>
      <c r="C451" s="6">
        <v>20.478950000000001</v>
      </c>
      <c r="D451" s="6">
        <v>75</v>
      </c>
      <c r="E451" s="6">
        <v>0</v>
      </c>
      <c r="F451" s="6">
        <v>0</v>
      </c>
      <c r="G451" s="6">
        <v>19</v>
      </c>
      <c r="H451" s="6" t="s">
        <v>51530</v>
      </c>
      <c r="I451" s="6">
        <v>526.6875</v>
      </c>
      <c r="J451" s="2">
        <f t="shared" si="7"/>
        <v>43749.438200937497</v>
      </c>
    </row>
    <row r="452" spans="1:10" x14ac:dyDescent="0.25">
      <c r="A452" s="7" t="s">
        <v>51531</v>
      </c>
      <c r="B452" s="8">
        <v>415.625</v>
      </c>
      <c r="C452" s="8">
        <v>20.478950000000001</v>
      </c>
      <c r="D452" s="8">
        <v>75</v>
      </c>
      <c r="E452" s="8">
        <v>0</v>
      </c>
      <c r="F452" s="8">
        <v>0</v>
      </c>
      <c r="G452" s="8">
        <v>22</v>
      </c>
      <c r="H452" s="8" t="s">
        <v>51532</v>
      </c>
      <c r="I452" s="8">
        <v>533.0625</v>
      </c>
      <c r="J452" s="3">
        <f t="shared" si="7"/>
        <v>43749.438284641197</v>
      </c>
    </row>
    <row r="453" spans="1:10" x14ac:dyDescent="0.25">
      <c r="A453" s="5" t="s">
        <v>51533</v>
      </c>
      <c r="B453" s="6">
        <v>393.75</v>
      </c>
      <c r="C453" s="6">
        <v>20.478950000000001</v>
      </c>
      <c r="D453" s="6">
        <v>73</v>
      </c>
      <c r="E453" s="6">
        <v>0</v>
      </c>
      <c r="F453" s="6">
        <v>0</v>
      </c>
      <c r="G453" s="6">
        <v>15</v>
      </c>
      <c r="H453" s="6" t="s">
        <v>51534</v>
      </c>
      <c r="I453" s="6">
        <v>526.6875</v>
      </c>
      <c r="J453" s="2">
        <f t="shared" si="7"/>
        <v>43749.438367627314</v>
      </c>
    </row>
    <row r="454" spans="1:10" x14ac:dyDescent="0.25">
      <c r="A454" s="7" t="s">
        <v>51535</v>
      </c>
      <c r="B454" s="8">
        <v>393.75</v>
      </c>
      <c r="C454" s="8">
        <v>20.478950000000001</v>
      </c>
      <c r="D454" s="8">
        <v>73</v>
      </c>
      <c r="E454" s="8">
        <v>0</v>
      </c>
      <c r="F454" s="8">
        <v>0</v>
      </c>
      <c r="G454" s="8">
        <v>19</v>
      </c>
      <c r="H454" s="8" t="s">
        <v>51536</v>
      </c>
      <c r="I454" s="8">
        <v>526.6875</v>
      </c>
      <c r="J454" s="3">
        <f t="shared" si="7"/>
        <v>43749.43843913194</v>
      </c>
    </row>
    <row r="455" spans="1:10" x14ac:dyDescent="0.25">
      <c r="A455" s="5" t="s">
        <v>51537</v>
      </c>
      <c r="B455" s="6">
        <v>393.75</v>
      </c>
      <c r="C455" s="6">
        <v>20.478950000000001</v>
      </c>
      <c r="D455" s="6">
        <v>73</v>
      </c>
      <c r="E455" s="6">
        <v>0</v>
      </c>
      <c r="F455" s="6">
        <v>0</v>
      </c>
      <c r="G455" s="6">
        <v>18</v>
      </c>
      <c r="H455" s="6" t="s">
        <v>51538</v>
      </c>
      <c r="I455" s="6">
        <v>526.6875</v>
      </c>
      <c r="J455" s="2">
        <f t="shared" si="7"/>
        <v>43749.438523159719</v>
      </c>
    </row>
    <row r="456" spans="1:10" x14ac:dyDescent="0.25">
      <c r="A456" s="7" t="s">
        <v>51539</v>
      </c>
      <c r="B456" s="8">
        <v>393.75</v>
      </c>
      <c r="C456" s="8">
        <v>20.478950000000001</v>
      </c>
      <c r="D456" s="8">
        <v>73</v>
      </c>
      <c r="E456" s="8">
        <v>0</v>
      </c>
      <c r="F456" s="8">
        <v>0</v>
      </c>
      <c r="G456" s="8">
        <v>14</v>
      </c>
      <c r="H456" s="8" t="s">
        <v>51540</v>
      </c>
      <c r="I456" s="8">
        <v>526.6875</v>
      </c>
      <c r="J456" s="3">
        <f t="shared" si="7"/>
        <v>43749.438606377313</v>
      </c>
    </row>
    <row r="457" spans="1:10" x14ac:dyDescent="0.25">
      <c r="A457" s="5" t="s">
        <v>51541</v>
      </c>
      <c r="B457" s="6">
        <v>418.75</v>
      </c>
      <c r="C457" s="6">
        <v>20.478950000000001</v>
      </c>
      <c r="D457" s="6">
        <v>73</v>
      </c>
      <c r="E457" s="6">
        <v>0</v>
      </c>
      <c r="F457" s="6">
        <v>0</v>
      </c>
      <c r="G457" s="6">
        <v>22</v>
      </c>
      <c r="H457" s="6" t="s">
        <v>51542</v>
      </c>
      <c r="I457" s="6">
        <v>534.375</v>
      </c>
      <c r="J457" s="2">
        <f t="shared" si="7"/>
        <v>43749.438689699069</v>
      </c>
    </row>
    <row r="458" spans="1:10" x14ac:dyDescent="0.25">
      <c r="A458" s="7" t="s">
        <v>51543</v>
      </c>
      <c r="B458" s="8">
        <v>393.75</v>
      </c>
      <c r="C458" s="8">
        <v>20.478950000000001</v>
      </c>
      <c r="D458" s="8">
        <v>73</v>
      </c>
      <c r="E458" s="8">
        <v>0</v>
      </c>
      <c r="F458" s="8">
        <v>0</v>
      </c>
      <c r="G458" s="8">
        <v>15</v>
      </c>
      <c r="H458" s="8" t="s">
        <v>51544</v>
      </c>
      <c r="I458" s="8">
        <v>526.5</v>
      </c>
      <c r="J458" s="3">
        <f t="shared" si="7"/>
        <v>43749.438773287031</v>
      </c>
    </row>
    <row r="459" spans="1:10" x14ac:dyDescent="0.25">
      <c r="A459" s="5" t="s">
        <v>51545</v>
      </c>
      <c r="B459" s="6">
        <v>393.75</v>
      </c>
      <c r="C459" s="6">
        <v>20.478950000000001</v>
      </c>
      <c r="D459" s="6">
        <v>73</v>
      </c>
      <c r="E459" s="6">
        <v>0</v>
      </c>
      <c r="F459" s="6">
        <v>0</v>
      </c>
      <c r="G459" s="6">
        <v>17</v>
      </c>
      <c r="H459" s="6" t="s">
        <v>51546</v>
      </c>
      <c r="I459" s="6">
        <v>526.6875</v>
      </c>
      <c r="J459" s="2">
        <f t="shared" si="7"/>
        <v>43749.438856585642</v>
      </c>
    </row>
    <row r="460" spans="1:10" x14ac:dyDescent="0.25">
      <c r="A460" s="7" t="s">
        <v>51547</v>
      </c>
      <c r="B460" s="8">
        <v>393.75</v>
      </c>
      <c r="C460" s="8">
        <v>20.478950000000001</v>
      </c>
      <c r="D460" s="8">
        <v>73</v>
      </c>
      <c r="E460" s="8">
        <v>0</v>
      </c>
      <c r="F460" s="8">
        <v>0</v>
      </c>
      <c r="G460" s="8">
        <v>13</v>
      </c>
      <c r="H460" s="8" t="s">
        <v>51548</v>
      </c>
      <c r="I460" s="8">
        <v>526.5</v>
      </c>
      <c r="J460" s="3">
        <f t="shared" si="7"/>
        <v>43749.438928020834</v>
      </c>
    </row>
    <row r="461" spans="1:10" x14ac:dyDescent="0.25">
      <c r="A461" s="5" t="s">
        <v>51549</v>
      </c>
      <c r="B461" s="6">
        <v>393.75</v>
      </c>
      <c r="C461" s="6">
        <v>20.478950000000001</v>
      </c>
      <c r="D461" s="6">
        <v>74</v>
      </c>
      <c r="E461" s="6">
        <v>0</v>
      </c>
      <c r="F461" s="6">
        <v>0</v>
      </c>
      <c r="G461" s="6">
        <v>17</v>
      </c>
      <c r="H461" s="6" t="s">
        <v>51550</v>
      </c>
      <c r="I461" s="6">
        <v>526.6875</v>
      </c>
      <c r="J461" s="2">
        <f t="shared" si="7"/>
        <v>43749.439012048613</v>
      </c>
    </row>
    <row r="462" spans="1:10" x14ac:dyDescent="0.25">
      <c r="A462" s="7" t="s">
        <v>51551</v>
      </c>
      <c r="B462" s="8">
        <v>393.75</v>
      </c>
      <c r="C462" s="8">
        <v>20.478950000000001</v>
      </c>
      <c r="D462" s="8">
        <v>74</v>
      </c>
      <c r="E462" s="8">
        <v>0</v>
      </c>
      <c r="F462" s="8">
        <v>0</v>
      </c>
      <c r="G462" s="8">
        <v>17</v>
      </c>
      <c r="H462" s="8" t="s">
        <v>51552</v>
      </c>
      <c r="I462" s="8">
        <v>526.6875</v>
      </c>
      <c r="J462" s="3">
        <f t="shared" si="7"/>
        <v>43749.439094907408</v>
      </c>
    </row>
    <row r="463" spans="1:10" x14ac:dyDescent="0.25">
      <c r="A463" s="5" t="s">
        <v>51553</v>
      </c>
      <c r="B463" s="6">
        <v>393.75</v>
      </c>
      <c r="C463" s="6">
        <v>20.478950000000001</v>
      </c>
      <c r="D463" s="6">
        <v>74</v>
      </c>
      <c r="E463" s="6">
        <v>0</v>
      </c>
      <c r="F463" s="6">
        <v>0</v>
      </c>
      <c r="G463" s="6">
        <v>17</v>
      </c>
      <c r="H463" s="6" t="s">
        <v>51554</v>
      </c>
      <c r="I463" s="6">
        <v>526.6875</v>
      </c>
      <c r="J463" s="2">
        <f t="shared" si="7"/>
        <v>43749.439178611108</v>
      </c>
    </row>
    <row r="464" spans="1:10" x14ac:dyDescent="0.25">
      <c r="A464" s="7" t="s">
        <v>51555</v>
      </c>
      <c r="B464" s="8">
        <v>418.75</v>
      </c>
      <c r="C464" s="8">
        <v>20.478950000000001</v>
      </c>
      <c r="D464" s="8">
        <v>72</v>
      </c>
      <c r="E464" s="8">
        <v>0</v>
      </c>
      <c r="F464" s="8">
        <v>0</v>
      </c>
      <c r="G464" s="8">
        <v>10</v>
      </c>
      <c r="H464" s="8" t="s">
        <v>51556</v>
      </c>
      <c r="I464" s="8">
        <v>534.75</v>
      </c>
      <c r="J464" s="3">
        <f t="shared" si="7"/>
        <v>43749.439262453699</v>
      </c>
    </row>
    <row r="465" spans="1:10" x14ac:dyDescent="0.25">
      <c r="A465" s="5" t="s">
        <v>51557</v>
      </c>
      <c r="B465" s="6">
        <v>393.75</v>
      </c>
      <c r="C465" s="6">
        <v>20.478950000000001</v>
      </c>
      <c r="D465" s="6">
        <v>73</v>
      </c>
      <c r="E465" s="6">
        <v>0</v>
      </c>
      <c r="F465" s="6">
        <v>0</v>
      </c>
      <c r="G465" s="6">
        <v>20</v>
      </c>
      <c r="H465" s="6" t="s">
        <v>51558</v>
      </c>
      <c r="I465" s="6">
        <v>526.6875</v>
      </c>
      <c r="J465" s="2">
        <f t="shared" si="7"/>
        <v>43749.439345509258</v>
      </c>
    </row>
    <row r="466" spans="1:10" x14ac:dyDescent="0.25">
      <c r="A466" s="7" t="s">
        <v>51559</v>
      </c>
      <c r="B466" s="8">
        <v>393.75</v>
      </c>
      <c r="C466" s="8">
        <v>20.478950000000001</v>
      </c>
      <c r="D466" s="8">
        <v>73</v>
      </c>
      <c r="E466" s="8">
        <v>0</v>
      </c>
      <c r="F466" s="8">
        <v>0</v>
      </c>
      <c r="G466" s="8">
        <v>9</v>
      </c>
      <c r="H466" s="8" t="s">
        <v>51560</v>
      </c>
      <c r="I466" s="8">
        <v>526.6875</v>
      </c>
      <c r="J466" s="3">
        <f t="shared" si="7"/>
        <v>43749.43941702546</v>
      </c>
    </row>
    <row r="467" spans="1:10" x14ac:dyDescent="0.25">
      <c r="A467" s="5" t="s">
        <v>51561</v>
      </c>
      <c r="B467" s="6">
        <v>393.75</v>
      </c>
      <c r="C467" s="6">
        <v>20.478950000000001</v>
      </c>
      <c r="D467" s="6">
        <v>74</v>
      </c>
      <c r="E467" s="6">
        <v>0</v>
      </c>
      <c r="F467" s="6">
        <v>0</v>
      </c>
      <c r="G467" s="6">
        <v>15</v>
      </c>
      <c r="H467" s="6" t="s">
        <v>51562</v>
      </c>
      <c r="I467" s="6">
        <v>526.6875</v>
      </c>
      <c r="J467" s="2">
        <f t="shared" si="7"/>
        <v>43749.439500810178</v>
      </c>
    </row>
    <row r="468" spans="1:10" x14ac:dyDescent="0.25">
      <c r="A468" s="7" t="s">
        <v>51563</v>
      </c>
      <c r="B468" s="8">
        <v>393.75</v>
      </c>
      <c r="C468" s="8">
        <v>20.478950000000001</v>
      </c>
      <c r="D468" s="8">
        <v>74</v>
      </c>
      <c r="E468" s="8">
        <v>0</v>
      </c>
      <c r="F468" s="8">
        <v>0</v>
      </c>
      <c r="G468" s="8">
        <v>17</v>
      </c>
      <c r="H468" s="8" t="s">
        <v>51564</v>
      </c>
      <c r="I468" s="8">
        <v>526.6875</v>
      </c>
      <c r="J468" s="3">
        <f t="shared" si="7"/>
        <v>43749.439584849533</v>
      </c>
    </row>
    <row r="469" spans="1:10" x14ac:dyDescent="0.25">
      <c r="A469" s="5" t="s">
        <v>51565</v>
      </c>
      <c r="B469" s="6">
        <v>393.75</v>
      </c>
      <c r="C469" s="6">
        <v>20.478950000000001</v>
      </c>
      <c r="D469" s="6">
        <v>74</v>
      </c>
      <c r="E469" s="6">
        <v>0</v>
      </c>
      <c r="F469" s="6">
        <v>0</v>
      </c>
      <c r="G469" s="6">
        <v>7</v>
      </c>
      <c r="H469" s="6" t="s">
        <v>51566</v>
      </c>
      <c r="I469" s="6">
        <v>526.6875</v>
      </c>
      <c r="J469" s="2">
        <f t="shared" si="7"/>
        <v>43749.43966747685</v>
      </c>
    </row>
    <row r="470" spans="1:10" x14ac:dyDescent="0.25">
      <c r="A470" s="7" t="s">
        <v>51567</v>
      </c>
      <c r="B470" s="8">
        <v>393.75</v>
      </c>
      <c r="C470" s="8">
        <v>20.478950000000001</v>
      </c>
      <c r="D470" s="8">
        <v>74</v>
      </c>
      <c r="E470" s="8">
        <v>0</v>
      </c>
      <c r="F470" s="8">
        <v>0</v>
      </c>
      <c r="G470" s="8">
        <v>21</v>
      </c>
      <c r="H470" s="8" t="s">
        <v>51568</v>
      </c>
      <c r="I470" s="8">
        <v>526.6875</v>
      </c>
      <c r="J470" s="3">
        <f t="shared" si="7"/>
        <v>43749.439739236106</v>
      </c>
    </row>
    <row r="471" spans="1:10" x14ac:dyDescent="0.25">
      <c r="A471" s="5" t="s">
        <v>51569</v>
      </c>
      <c r="B471" s="6">
        <v>393.75</v>
      </c>
      <c r="C471" s="6">
        <v>20.478950000000001</v>
      </c>
      <c r="D471" s="6">
        <v>74</v>
      </c>
      <c r="E471" s="6">
        <v>0</v>
      </c>
      <c r="F471" s="6">
        <v>0</v>
      </c>
      <c r="G471" s="6">
        <v>13</v>
      </c>
      <c r="H471" s="6" t="s">
        <v>51570</v>
      </c>
      <c r="I471" s="6">
        <v>526.6875</v>
      </c>
      <c r="J471" s="2">
        <f t="shared" si="7"/>
        <v>43749.439822696753</v>
      </c>
    </row>
    <row r="472" spans="1:10" x14ac:dyDescent="0.25">
      <c r="A472" s="7" t="s">
        <v>51571</v>
      </c>
      <c r="B472" s="8">
        <v>412.5</v>
      </c>
      <c r="C472" s="8">
        <v>20.478950000000001</v>
      </c>
      <c r="D472" s="8">
        <v>74</v>
      </c>
      <c r="E472" s="8">
        <v>0</v>
      </c>
      <c r="F472" s="8">
        <v>0</v>
      </c>
      <c r="G472" s="8">
        <v>21</v>
      </c>
      <c r="H472" s="8" t="s">
        <v>51572</v>
      </c>
      <c r="I472" s="8">
        <v>532.3125</v>
      </c>
      <c r="J472" s="3">
        <f t="shared" si="7"/>
        <v>43749.439905949075</v>
      </c>
    </row>
    <row r="473" spans="1:10" x14ac:dyDescent="0.25">
      <c r="A473" s="5" t="s">
        <v>51573</v>
      </c>
      <c r="B473" s="6">
        <v>393.75</v>
      </c>
      <c r="C473" s="6">
        <v>20.478950000000001</v>
      </c>
      <c r="D473" s="6">
        <v>73</v>
      </c>
      <c r="E473" s="6">
        <v>0</v>
      </c>
      <c r="F473" s="6">
        <v>0</v>
      </c>
      <c r="G473" s="6">
        <v>12</v>
      </c>
      <c r="H473" s="6" t="s">
        <v>51574</v>
      </c>
      <c r="I473" s="6">
        <v>526.6875</v>
      </c>
      <c r="J473" s="2">
        <f t="shared" si="7"/>
        <v>43749.439989861108</v>
      </c>
    </row>
    <row r="474" spans="1:10" x14ac:dyDescent="0.25">
      <c r="A474" s="7" t="s">
        <v>51575</v>
      </c>
      <c r="B474" s="8">
        <v>393.75</v>
      </c>
      <c r="C474" s="8">
        <v>20.478950000000001</v>
      </c>
      <c r="D474" s="8">
        <v>73</v>
      </c>
      <c r="E474" s="8">
        <v>0</v>
      </c>
      <c r="F474" s="8">
        <v>0</v>
      </c>
      <c r="G474" s="8">
        <v>20</v>
      </c>
      <c r="H474" s="8" t="s">
        <v>51576</v>
      </c>
      <c r="I474" s="8">
        <v>526.6875</v>
      </c>
      <c r="J474" s="3">
        <f t="shared" si="7"/>
        <v>43749.440073171289</v>
      </c>
    </row>
    <row r="475" spans="1:10" x14ac:dyDescent="0.25">
      <c r="A475" s="5" t="s">
        <v>51577</v>
      </c>
      <c r="B475" s="6">
        <v>393.75</v>
      </c>
      <c r="C475" s="6">
        <v>20.478950000000001</v>
      </c>
      <c r="D475" s="6">
        <v>73</v>
      </c>
      <c r="E475" s="6">
        <v>0</v>
      </c>
      <c r="F475" s="6">
        <v>0</v>
      </c>
      <c r="G475" s="6">
        <v>12</v>
      </c>
      <c r="H475" s="6" t="s">
        <v>51578</v>
      </c>
      <c r="I475" s="6">
        <v>526.6875</v>
      </c>
      <c r="J475" s="2">
        <f t="shared" si="7"/>
        <v>43749.44015638889</v>
      </c>
    </row>
    <row r="476" spans="1:10" x14ac:dyDescent="0.25">
      <c r="A476" s="7" t="s">
        <v>51579</v>
      </c>
      <c r="B476" s="8">
        <v>393.75</v>
      </c>
      <c r="C476" s="8">
        <v>20.478950000000001</v>
      </c>
      <c r="D476" s="8">
        <v>73</v>
      </c>
      <c r="E476" s="8">
        <v>0</v>
      </c>
      <c r="F476" s="8">
        <v>0</v>
      </c>
      <c r="G476" s="8">
        <v>10</v>
      </c>
      <c r="H476" s="8" t="s">
        <v>51580</v>
      </c>
      <c r="I476" s="8">
        <v>526.6875</v>
      </c>
      <c r="J476" s="3">
        <f t="shared" si="7"/>
        <v>43749.440228263884</v>
      </c>
    </row>
    <row r="477" spans="1:10" x14ac:dyDescent="0.25">
      <c r="A477" s="5" t="s">
        <v>51581</v>
      </c>
      <c r="B477" s="6">
        <v>393.75</v>
      </c>
      <c r="C477" s="6">
        <v>20.478950000000001</v>
      </c>
      <c r="D477" s="6">
        <v>74</v>
      </c>
      <c r="E477" s="6">
        <v>0</v>
      </c>
      <c r="F477" s="6">
        <v>0</v>
      </c>
      <c r="G477" s="6">
        <v>20</v>
      </c>
      <c r="H477" s="6" t="s">
        <v>51582</v>
      </c>
      <c r="I477" s="6">
        <v>526.6875</v>
      </c>
      <c r="J477" s="2">
        <f t="shared" si="7"/>
        <v>43749.440311736107</v>
      </c>
    </row>
    <row r="478" spans="1:10" x14ac:dyDescent="0.25">
      <c r="A478" s="7" t="s">
        <v>51583</v>
      </c>
      <c r="B478" s="8">
        <v>393.75</v>
      </c>
      <c r="C478" s="8">
        <v>20.478950000000001</v>
      </c>
      <c r="D478" s="8">
        <v>74</v>
      </c>
      <c r="E478" s="8">
        <v>0</v>
      </c>
      <c r="F478" s="8">
        <v>0</v>
      </c>
      <c r="G478" s="8">
        <v>19</v>
      </c>
      <c r="H478" s="8" t="s">
        <v>51584</v>
      </c>
      <c r="I478" s="8">
        <v>526.6875</v>
      </c>
      <c r="J478" s="3">
        <f t="shared" si="7"/>
        <v>43749.440395196762</v>
      </c>
    </row>
    <row r="479" spans="1:10" x14ac:dyDescent="0.25">
      <c r="A479" s="5" t="s">
        <v>51585</v>
      </c>
      <c r="B479" s="6">
        <v>393.75</v>
      </c>
      <c r="C479" s="6">
        <v>20.478950000000001</v>
      </c>
      <c r="D479" s="6">
        <v>75</v>
      </c>
      <c r="E479" s="6">
        <v>0</v>
      </c>
      <c r="F479" s="6">
        <v>0</v>
      </c>
      <c r="G479" s="6">
        <v>18</v>
      </c>
      <c r="H479" s="6" t="s">
        <v>51586</v>
      </c>
      <c r="I479" s="6">
        <v>526.6875</v>
      </c>
      <c r="J479" s="2">
        <f t="shared" si="7"/>
        <v>43749.440478611104</v>
      </c>
    </row>
    <row r="480" spans="1:10" x14ac:dyDescent="0.25">
      <c r="A480" s="7" t="s">
        <v>51587</v>
      </c>
      <c r="B480" s="8">
        <v>393.75</v>
      </c>
      <c r="C480" s="8">
        <v>20.478950000000001</v>
      </c>
      <c r="D480" s="8">
        <v>74</v>
      </c>
      <c r="E480" s="8">
        <v>0</v>
      </c>
      <c r="F480" s="8">
        <v>0</v>
      </c>
      <c r="G480" s="8">
        <v>21</v>
      </c>
      <c r="H480" s="8" t="s">
        <v>51588</v>
      </c>
      <c r="I480" s="8">
        <v>526.6875</v>
      </c>
      <c r="J480" s="3">
        <f t="shared" si="7"/>
        <v>43749.440562175929</v>
      </c>
    </row>
    <row r="481" spans="1:10" x14ac:dyDescent="0.25">
      <c r="A481" s="5" t="s">
        <v>51589</v>
      </c>
      <c r="B481" s="6">
        <v>393.75</v>
      </c>
      <c r="C481" s="6">
        <v>20.478950000000001</v>
      </c>
      <c r="D481" s="6">
        <v>74</v>
      </c>
      <c r="E481" s="6">
        <v>0</v>
      </c>
      <c r="F481" s="6">
        <v>0</v>
      </c>
      <c r="G481" s="6">
        <v>13</v>
      </c>
      <c r="H481" s="6" t="s">
        <v>51590</v>
      </c>
      <c r="I481" s="6">
        <v>526.5</v>
      </c>
      <c r="J481" s="2">
        <f t="shared" si="7"/>
        <v>43749.440645405091</v>
      </c>
    </row>
    <row r="482" spans="1:10" x14ac:dyDescent="0.25">
      <c r="A482" s="7" t="s">
        <v>51591</v>
      </c>
      <c r="B482" s="8">
        <v>412.5</v>
      </c>
      <c r="C482" s="8">
        <v>20.478950000000001</v>
      </c>
      <c r="D482" s="8">
        <v>74</v>
      </c>
      <c r="E482" s="8">
        <v>0</v>
      </c>
      <c r="F482" s="8">
        <v>0</v>
      </c>
      <c r="G482" s="8">
        <v>27</v>
      </c>
      <c r="H482" s="8" t="s">
        <v>51592</v>
      </c>
      <c r="I482" s="8">
        <v>532.6875</v>
      </c>
      <c r="J482" s="3">
        <f t="shared" si="7"/>
        <v>43749.44071693287</v>
      </c>
    </row>
    <row r="483" spans="1:10" x14ac:dyDescent="0.25">
      <c r="A483" s="5" t="s">
        <v>51593</v>
      </c>
      <c r="B483" s="6">
        <v>393.75</v>
      </c>
      <c r="C483" s="6">
        <v>20.478950000000001</v>
      </c>
      <c r="D483" s="6">
        <v>75</v>
      </c>
      <c r="E483" s="6">
        <v>0</v>
      </c>
      <c r="F483" s="6">
        <v>0</v>
      </c>
      <c r="G483" s="6">
        <v>22</v>
      </c>
      <c r="H483" s="6" t="s">
        <v>51594</v>
      </c>
      <c r="I483" s="6">
        <v>526.6875</v>
      </c>
      <c r="J483" s="2">
        <f t="shared" si="7"/>
        <v>43749.440800972217</v>
      </c>
    </row>
    <row r="484" spans="1:10" x14ac:dyDescent="0.25">
      <c r="A484" s="7" t="s">
        <v>51595</v>
      </c>
      <c r="B484" s="8">
        <v>393.75</v>
      </c>
      <c r="C484" s="8">
        <v>20.478950000000001</v>
      </c>
      <c r="D484" s="8">
        <v>74</v>
      </c>
      <c r="E484" s="8">
        <v>0</v>
      </c>
      <c r="F484" s="8">
        <v>0</v>
      </c>
      <c r="G484" s="8">
        <v>15</v>
      </c>
      <c r="H484" s="8" t="s">
        <v>51596</v>
      </c>
      <c r="I484" s="8">
        <v>526.6875</v>
      </c>
      <c r="J484" s="3">
        <f t="shared" si="7"/>
        <v>43749.440903078699</v>
      </c>
    </row>
    <row r="485" spans="1:10" x14ac:dyDescent="0.25">
      <c r="A485" s="5" t="s">
        <v>51597</v>
      </c>
      <c r="B485" s="6">
        <v>393.75</v>
      </c>
      <c r="C485" s="6">
        <v>20.478950000000001</v>
      </c>
      <c r="D485" s="6">
        <v>74</v>
      </c>
      <c r="E485" s="6">
        <v>0</v>
      </c>
      <c r="F485" s="6">
        <v>0</v>
      </c>
      <c r="G485" s="6">
        <v>19</v>
      </c>
      <c r="H485" s="6" t="s">
        <v>51598</v>
      </c>
      <c r="I485" s="6">
        <v>526.6875</v>
      </c>
      <c r="J485" s="2">
        <f t="shared" si="7"/>
        <v>43749.440979664352</v>
      </c>
    </row>
    <row r="486" spans="1:10" x14ac:dyDescent="0.25">
      <c r="A486" s="7" t="s">
        <v>51599</v>
      </c>
      <c r="B486" s="8">
        <v>393.75</v>
      </c>
      <c r="C486" s="8">
        <v>20.478950000000001</v>
      </c>
      <c r="D486" s="8">
        <v>75</v>
      </c>
      <c r="E486" s="8">
        <v>0</v>
      </c>
      <c r="F486" s="8">
        <v>0</v>
      </c>
      <c r="G486" s="8">
        <v>17</v>
      </c>
      <c r="H486" s="8" t="s">
        <v>51600</v>
      </c>
      <c r="I486" s="8">
        <v>526.6875</v>
      </c>
      <c r="J486" s="3">
        <f t="shared" si="7"/>
        <v>43749.441051087961</v>
      </c>
    </row>
    <row r="487" spans="1:10" x14ac:dyDescent="0.25">
      <c r="A487" s="5" t="s">
        <v>51601</v>
      </c>
      <c r="B487" s="6">
        <v>412.5</v>
      </c>
      <c r="C487" s="6">
        <v>20.478950000000001</v>
      </c>
      <c r="D487" s="6">
        <v>75</v>
      </c>
      <c r="E487" s="6">
        <v>0</v>
      </c>
      <c r="F487" s="6">
        <v>0</v>
      </c>
      <c r="G487" s="6">
        <v>14</v>
      </c>
      <c r="H487" s="6" t="s">
        <v>51602</v>
      </c>
      <c r="I487" s="6">
        <v>532.6875</v>
      </c>
      <c r="J487" s="2">
        <f t="shared" si="7"/>
        <v>43749.441134293978</v>
      </c>
    </row>
    <row r="488" spans="1:10" x14ac:dyDescent="0.25">
      <c r="A488" s="7" t="s">
        <v>51603</v>
      </c>
      <c r="B488" s="8">
        <v>393.75</v>
      </c>
      <c r="C488" s="8">
        <v>20.478950000000001</v>
      </c>
      <c r="D488" s="8">
        <v>75</v>
      </c>
      <c r="E488" s="8">
        <v>0</v>
      </c>
      <c r="F488" s="8">
        <v>0</v>
      </c>
      <c r="G488" s="8">
        <v>17</v>
      </c>
      <c r="H488" s="8" t="s">
        <v>51604</v>
      </c>
      <c r="I488" s="8">
        <v>526.6875</v>
      </c>
      <c r="J488" s="3">
        <f t="shared" si="7"/>
        <v>43749.441205972216</v>
      </c>
    </row>
    <row r="489" spans="1:10" x14ac:dyDescent="0.25">
      <c r="A489" s="5" t="s">
        <v>51605</v>
      </c>
      <c r="B489" s="6">
        <v>393.75</v>
      </c>
      <c r="C489" s="6">
        <v>20.478950000000001</v>
      </c>
      <c r="D489" s="6">
        <v>74</v>
      </c>
      <c r="E489" s="6">
        <v>0</v>
      </c>
      <c r="F489" s="6">
        <v>0</v>
      </c>
      <c r="G489" s="6">
        <v>12</v>
      </c>
      <c r="H489" s="6" t="s">
        <v>51606</v>
      </c>
      <c r="I489" s="6">
        <v>526.6875</v>
      </c>
      <c r="J489" s="2">
        <f t="shared" si="7"/>
        <v>43749.441289722221</v>
      </c>
    </row>
    <row r="490" spans="1:10" x14ac:dyDescent="0.25">
      <c r="A490" s="7" t="s">
        <v>51607</v>
      </c>
      <c r="B490" s="8">
        <v>393.75</v>
      </c>
      <c r="C490" s="8">
        <v>20.478950000000001</v>
      </c>
      <c r="D490" s="8">
        <v>74</v>
      </c>
      <c r="E490" s="8">
        <v>0</v>
      </c>
      <c r="F490" s="8">
        <v>0</v>
      </c>
      <c r="G490" s="8">
        <v>14</v>
      </c>
      <c r="H490" s="8" t="s">
        <v>51608</v>
      </c>
      <c r="I490" s="8">
        <v>526.6875</v>
      </c>
      <c r="J490" s="3">
        <f t="shared" si="7"/>
        <v>43749.441373055553</v>
      </c>
    </row>
    <row r="491" spans="1:10" x14ac:dyDescent="0.25">
      <c r="A491" s="5" t="s">
        <v>51609</v>
      </c>
      <c r="B491" s="6">
        <v>393.75</v>
      </c>
      <c r="C491" s="6">
        <v>20.478950000000001</v>
      </c>
      <c r="D491" s="6">
        <v>74</v>
      </c>
      <c r="E491" s="6">
        <v>0</v>
      </c>
      <c r="F491" s="6">
        <v>0</v>
      </c>
      <c r="G491" s="6">
        <v>12</v>
      </c>
      <c r="H491" s="6" t="s">
        <v>51610</v>
      </c>
      <c r="I491" s="6">
        <v>526.6875</v>
      </c>
      <c r="J491" s="2">
        <f t="shared" si="7"/>
        <v>43749.441456400462</v>
      </c>
    </row>
    <row r="492" spans="1:10" x14ac:dyDescent="0.25">
      <c r="A492" s="7" t="s">
        <v>51611</v>
      </c>
      <c r="B492" s="8">
        <v>393.75</v>
      </c>
      <c r="C492" s="8">
        <v>20.478950000000001</v>
      </c>
      <c r="D492" s="8">
        <v>74</v>
      </c>
      <c r="E492" s="8">
        <v>0</v>
      </c>
      <c r="F492" s="8">
        <v>0</v>
      </c>
      <c r="G492" s="8">
        <v>9</v>
      </c>
      <c r="H492" s="8" t="s">
        <v>51612</v>
      </c>
      <c r="I492" s="8">
        <v>526.6875</v>
      </c>
      <c r="J492" s="3">
        <f t="shared" si="7"/>
        <v>43749.44152803241</v>
      </c>
    </row>
    <row r="493" spans="1:10" x14ac:dyDescent="0.25">
      <c r="A493" s="5" t="s">
        <v>51613</v>
      </c>
      <c r="B493" s="6">
        <v>393.75</v>
      </c>
      <c r="C493" s="6">
        <v>20.478950000000001</v>
      </c>
      <c r="D493" s="6">
        <v>74</v>
      </c>
      <c r="E493" s="6">
        <v>0</v>
      </c>
      <c r="F493" s="6">
        <v>0</v>
      </c>
      <c r="G493" s="6">
        <v>16</v>
      </c>
      <c r="H493" s="6" t="s">
        <v>51614</v>
      </c>
      <c r="I493" s="6">
        <v>526.6875</v>
      </c>
      <c r="J493" s="2">
        <f t="shared" si="7"/>
        <v>43749.441611689814</v>
      </c>
    </row>
    <row r="494" spans="1:10" x14ac:dyDescent="0.25">
      <c r="A494" s="7" t="s">
        <v>51615</v>
      </c>
      <c r="B494" s="8">
        <v>393.75</v>
      </c>
      <c r="C494" s="8">
        <v>20.478950000000001</v>
      </c>
      <c r="D494" s="8">
        <v>76</v>
      </c>
      <c r="E494" s="8">
        <v>0</v>
      </c>
      <c r="F494" s="8">
        <v>0</v>
      </c>
      <c r="G494" s="8">
        <v>14</v>
      </c>
      <c r="H494" s="8" t="s">
        <v>51616</v>
      </c>
      <c r="I494" s="8">
        <v>526.6875</v>
      </c>
      <c r="J494" s="3">
        <f t="shared" si="7"/>
        <v>43749.441695185182</v>
      </c>
    </row>
    <row r="495" spans="1:10" x14ac:dyDescent="0.25">
      <c r="A495" s="5" t="s">
        <v>51617</v>
      </c>
      <c r="B495" s="6">
        <v>393.75</v>
      </c>
      <c r="C495" s="6">
        <v>20.478950000000001</v>
      </c>
      <c r="D495" s="6">
        <v>76</v>
      </c>
      <c r="E495" s="6">
        <v>0</v>
      </c>
      <c r="F495" s="6">
        <v>0</v>
      </c>
      <c r="G495" s="6">
        <v>25</v>
      </c>
      <c r="H495" s="6" t="s">
        <v>51618</v>
      </c>
      <c r="I495" s="6">
        <v>526.6875</v>
      </c>
      <c r="J495" s="2">
        <f t="shared" si="7"/>
        <v>43749.441778738423</v>
      </c>
    </row>
    <row r="496" spans="1:10" x14ac:dyDescent="0.25">
      <c r="A496" s="7" t="s">
        <v>51619</v>
      </c>
      <c r="B496" s="8">
        <v>393.75</v>
      </c>
      <c r="C496" s="8">
        <v>20.478950000000001</v>
      </c>
      <c r="D496" s="8">
        <v>75</v>
      </c>
      <c r="E496" s="8">
        <v>0</v>
      </c>
      <c r="F496" s="8">
        <v>0</v>
      </c>
      <c r="G496" s="8">
        <v>12</v>
      </c>
      <c r="H496" s="8" t="s">
        <v>51620</v>
      </c>
      <c r="I496" s="8">
        <v>526.6875</v>
      </c>
      <c r="J496" s="3">
        <f t="shared" si="7"/>
        <v>43749.441862083331</v>
      </c>
    </row>
    <row r="497" spans="1:10" x14ac:dyDescent="0.25">
      <c r="A497" s="5" t="s">
        <v>51621</v>
      </c>
      <c r="B497" s="6">
        <v>393.75</v>
      </c>
      <c r="C497" s="6">
        <v>20.478950000000001</v>
      </c>
      <c r="D497" s="6">
        <v>75</v>
      </c>
      <c r="E497" s="6">
        <v>0</v>
      </c>
      <c r="F497" s="6">
        <v>0</v>
      </c>
      <c r="G497" s="6">
        <v>20</v>
      </c>
      <c r="H497" s="6" t="s">
        <v>51622</v>
      </c>
      <c r="I497" s="6">
        <v>526.6875</v>
      </c>
      <c r="J497" s="2">
        <f t="shared" si="7"/>
        <v>43749.441945335646</v>
      </c>
    </row>
    <row r="498" spans="1:10" x14ac:dyDescent="0.25">
      <c r="A498" s="7" t="s">
        <v>51623</v>
      </c>
      <c r="B498" s="8">
        <v>393.75</v>
      </c>
      <c r="C498" s="8">
        <v>20.478950000000001</v>
      </c>
      <c r="D498" s="8">
        <v>75</v>
      </c>
      <c r="E498" s="8">
        <v>0</v>
      </c>
      <c r="F498" s="8">
        <v>0</v>
      </c>
      <c r="G498" s="8">
        <v>22</v>
      </c>
      <c r="H498" s="8" t="s">
        <v>51624</v>
      </c>
      <c r="I498" s="8">
        <v>526.6875</v>
      </c>
      <c r="J498" s="3">
        <f t="shared" si="7"/>
        <v>43749.442028958329</v>
      </c>
    </row>
    <row r="499" spans="1:10" x14ac:dyDescent="0.25">
      <c r="A499" s="5" t="s">
        <v>51625</v>
      </c>
      <c r="B499" s="6">
        <v>393.75</v>
      </c>
      <c r="C499" s="6">
        <v>20.478950000000001</v>
      </c>
      <c r="D499" s="6">
        <v>75</v>
      </c>
      <c r="E499" s="6">
        <v>0</v>
      </c>
      <c r="F499" s="6">
        <v>0</v>
      </c>
      <c r="G499" s="6">
        <v>18</v>
      </c>
      <c r="H499" s="6" t="s">
        <v>51626</v>
      </c>
      <c r="I499" s="6">
        <v>526.6875</v>
      </c>
      <c r="J499" s="2">
        <f t="shared" si="7"/>
        <v>43749.442100659719</v>
      </c>
    </row>
    <row r="500" spans="1:10" x14ac:dyDescent="0.25">
      <c r="A500" s="7" t="s">
        <v>51627</v>
      </c>
      <c r="B500" s="8">
        <v>412.5</v>
      </c>
      <c r="C500" s="8">
        <v>20.478950000000001</v>
      </c>
      <c r="D500" s="8">
        <v>75</v>
      </c>
      <c r="E500" s="8">
        <v>0</v>
      </c>
      <c r="F500" s="8">
        <v>0</v>
      </c>
      <c r="G500" s="8">
        <v>13</v>
      </c>
      <c r="H500" s="8" t="s">
        <v>51628</v>
      </c>
      <c r="I500" s="8">
        <v>532.3125</v>
      </c>
      <c r="J500" s="3">
        <f t="shared" si="7"/>
        <v>43749.442196226846</v>
      </c>
    </row>
    <row r="501" spans="1:10" x14ac:dyDescent="0.25">
      <c r="A501" s="5" t="s">
        <v>51629</v>
      </c>
      <c r="B501" s="6">
        <v>393.75</v>
      </c>
      <c r="C501" s="6">
        <v>20.478950000000001</v>
      </c>
      <c r="D501" s="6">
        <v>75</v>
      </c>
      <c r="E501" s="6">
        <v>0</v>
      </c>
      <c r="F501" s="6">
        <v>0</v>
      </c>
      <c r="G501" s="6">
        <v>21</v>
      </c>
      <c r="H501" s="6" t="s">
        <v>51630</v>
      </c>
      <c r="I501" s="6">
        <v>526.6875</v>
      </c>
      <c r="J501" s="2">
        <f t="shared" si="7"/>
        <v>43749.442279421295</v>
      </c>
    </row>
    <row r="502" spans="1:10" x14ac:dyDescent="0.25">
      <c r="A502" s="7" t="s">
        <v>51631</v>
      </c>
      <c r="B502" s="8">
        <v>412.5</v>
      </c>
      <c r="C502" s="8">
        <v>20.478950000000001</v>
      </c>
      <c r="D502" s="8">
        <v>75</v>
      </c>
      <c r="E502" s="8">
        <v>0</v>
      </c>
      <c r="F502" s="8">
        <v>0</v>
      </c>
      <c r="G502" s="8">
        <v>20</v>
      </c>
      <c r="H502" s="8" t="s">
        <v>51632</v>
      </c>
      <c r="I502" s="8">
        <v>532.3125</v>
      </c>
      <c r="J502" s="3">
        <f t="shared" si="7"/>
        <v>43749.442351087964</v>
      </c>
    </row>
    <row r="503" spans="1:10" x14ac:dyDescent="0.25">
      <c r="A503" s="5" t="s">
        <v>51633</v>
      </c>
      <c r="B503" s="6">
        <v>393.75</v>
      </c>
      <c r="C503" s="6">
        <v>20.478950000000001</v>
      </c>
      <c r="D503" s="6">
        <v>73</v>
      </c>
      <c r="E503" s="6">
        <v>0</v>
      </c>
      <c r="F503" s="6">
        <v>0</v>
      </c>
      <c r="G503" s="6">
        <v>13</v>
      </c>
      <c r="H503" s="6" t="s">
        <v>51634</v>
      </c>
      <c r="I503" s="6">
        <v>526.6875</v>
      </c>
      <c r="J503" s="2">
        <f t="shared" si="7"/>
        <v>43749.44242259259</v>
      </c>
    </row>
    <row r="504" spans="1:10" x14ac:dyDescent="0.25">
      <c r="A504" s="7" t="s">
        <v>51635</v>
      </c>
      <c r="B504" s="8">
        <v>393.75</v>
      </c>
      <c r="C504" s="8">
        <v>20.478950000000001</v>
      </c>
      <c r="D504" s="8">
        <v>73</v>
      </c>
      <c r="E504" s="8">
        <v>0</v>
      </c>
      <c r="F504" s="8">
        <v>0</v>
      </c>
      <c r="G504" s="8">
        <v>11</v>
      </c>
      <c r="H504" s="8" t="s">
        <v>51636</v>
      </c>
      <c r="I504" s="8">
        <v>526.6875</v>
      </c>
      <c r="J504" s="3">
        <f t="shared" si="7"/>
        <v>43749.442506041662</v>
      </c>
    </row>
    <row r="505" spans="1:10" x14ac:dyDescent="0.25">
      <c r="A505" s="5" t="s">
        <v>51637</v>
      </c>
      <c r="B505" s="6">
        <v>393.75</v>
      </c>
      <c r="C505" s="6">
        <v>20.478950000000001</v>
      </c>
      <c r="D505" s="6">
        <v>73</v>
      </c>
      <c r="E505" s="6">
        <v>0</v>
      </c>
      <c r="F505" s="6">
        <v>0</v>
      </c>
      <c r="G505" s="6">
        <v>12</v>
      </c>
      <c r="H505" s="6" t="s">
        <v>51638</v>
      </c>
      <c r="I505" s="6">
        <v>526.5</v>
      </c>
      <c r="J505" s="2">
        <f t="shared" si="7"/>
        <v>43749.442601481474</v>
      </c>
    </row>
    <row r="506" spans="1:10" x14ac:dyDescent="0.25">
      <c r="A506" s="7" t="s">
        <v>51639</v>
      </c>
      <c r="B506" s="8">
        <v>393.75</v>
      </c>
      <c r="C506" s="8">
        <v>20.478950000000001</v>
      </c>
      <c r="D506" s="8">
        <v>74</v>
      </c>
      <c r="E506" s="8">
        <v>0</v>
      </c>
      <c r="F506" s="8">
        <v>0</v>
      </c>
      <c r="G506" s="8">
        <v>12</v>
      </c>
      <c r="H506" s="8" t="s">
        <v>51640</v>
      </c>
      <c r="I506" s="8">
        <v>526.6875</v>
      </c>
      <c r="J506" s="3">
        <f t="shared" si="7"/>
        <v>43749.442672916666</v>
      </c>
    </row>
    <row r="507" spans="1:10" x14ac:dyDescent="0.25">
      <c r="A507" s="5" t="s">
        <v>51641</v>
      </c>
      <c r="B507" s="6">
        <v>393.75</v>
      </c>
      <c r="C507" s="6">
        <v>20.478950000000001</v>
      </c>
      <c r="D507" s="6">
        <v>73</v>
      </c>
      <c r="E507" s="6">
        <v>0</v>
      </c>
      <c r="F507" s="6">
        <v>0</v>
      </c>
      <c r="G507" s="6">
        <v>17</v>
      </c>
      <c r="H507" s="6" t="s">
        <v>51642</v>
      </c>
      <c r="I507" s="6">
        <v>526.6875</v>
      </c>
      <c r="J507" s="2">
        <f t="shared" si="7"/>
        <v>43749.442744444437</v>
      </c>
    </row>
    <row r="508" spans="1:10" x14ac:dyDescent="0.25">
      <c r="A508" s="7" t="s">
        <v>51643</v>
      </c>
      <c r="B508" s="8">
        <v>393.75</v>
      </c>
      <c r="C508" s="8">
        <v>20.478950000000001</v>
      </c>
      <c r="D508" s="8">
        <v>73</v>
      </c>
      <c r="E508" s="8">
        <v>0</v>
      </c>
      <c r="F508" s="8">
        <v>0</v>
      </c>
      <c r="G508" s="8">
        <v>14</v>
      </c>
      <c r="H508" s="8" t="s">
        <v>51644</v>
      </c>
      <c r="I508" s="8">
        <v>526.6875</v>
      </c>
      <c r="J508" s="3">
        <f t="shared" si="7"/>
        <v>43749.442828009262</v>
      </c>
    </row>
    <row r="509" spans="1:10" x14ac:dyDescent="0.25">
      <c r="A509" s="5" t="s">
        <v>51645</v>
      </c>
      <c r="B509" s="6">
        <v>393.75</v>
      </c>
      <c r="C509" s="6">
        <v>20.478950000000001</v>
      </c>
      <c r="D509" s="6">
        <v>72</v>
      </c>
      <c r="E509" s="6">
        <v>0</v>
      </c>
      <c r="F509" s="6">
        <v>0</v>
      </c>
      <c r="G509" s="6">
        <v>15</v>
      </c>
      <c r="H509" s="6" t="s">
        <v>51646</v>
      </c>
      <c r="I509" s="6">
        <v>526.6875</v>
      </c>
      <c r="J509" s="2">
        <f t="shared" si="7"/>
        <v>43749.442911666665</v>
      </c>
    </row>
    <row r="510" spans="1:10" x14ac:dyDescent="0.25">
      <c r="A510" s="7" t="s">
        <v>51647</v>
      </c>
      <c r="B510" s="8">
        <v>421.875</v>
      </c>
      <c r="C510" s="8">
        <v>20.478950000000001</v>
      </c>
      <c r="D510" s="8">
        <v>72</v>
      </c>
      <c r="E510" s="8">
        <v>0</v>
      </c>
      <c r="F510" s="8">
        <v>0</v>
      </c>
      <c r="G510" s="8">
        <v>12</v>
      </c>
      <c r="H510" s="8" t="s">
        <v>51648</v>
      </c>
      <c r="I510" s="8">
        <v>535.5</v>
      </c>
      <c r="J510" s="3">
        <f t="shared" si="7"/>
        <v>43749.442995011566</v>
      </c>
    </row>
    <row r="511" spans="1:10" x14ac:dyDescent="0.25">
      <c r="A511" s="5" t="s">
        <v>51649</v>
      </c>
      <c r="B511" s="6">
        <v>393.75</v>
      </c>
      <c r="C511" s="6">
        <v>20.478950000000001</v>
      </c>
      <c r="D511" s="6">
        <v>71</v>
      </c>
      <c r="E511" s="6">
        <v>0</v>
      </c>
      <c r="F511" s="6">
        <v>0</v>
      </c>
      <c r="G511" s="6">
        <v>12</v>
      </c>
      <c r="H511" s="6" t="s">
        <v>51650</v>
      </c>
      <c r="I511" s="6">
        <v>526.6875</v>
      </c>
      <c r="J511" s="2">
        <f t="shared" si="7"/>
        <v>43749.443082708334</v>
      </c>
    </row>
    <row r="512" spans="1:10" x14ac:dyDescent="0.25">
      <c r="A512" s="7" t="s">
        <v>51651</v>
      </c>
      <c r="B512" s="8">
        <v>393.75</v>
      </c>
      <c r="C512" s="8">
        <v>20.478950000000001</v>
      </c>
      <c r="D512" s="8">
        <v>72</v>
      </c>
      <c r="E512" s="8">
        <v>0</v>
      </c>
      <c r="F512" s="8">
        <v>0</v>
      </c>
      <c r="G512" s="8">
        <v>6</v>
      </c>
      <c r="H512" s="8" t="s">
        <v>51652</v>
      </c>
      <c r="I512" s="8">
        <v>526.6875</v>
      </c>
      <c r="J512" s="3">
        <f t="shared" si="7"/>
        <v>43749.443173842592</v>
      </c>
    </row>
    <row r="513" spans="1:10" x14ac:dyDescent="0.25">
      <c r="A513" s="5" t="s">
        <v>51653</v>
      </c>
      <c r="B513" s="6">
        <v>393.75</v>
      </c>
      <c r="C513" s="6">
        <v>20.478950000000001</v>
      </c>
      <c r="D513" s="6">
        <v>71</v>
      </c>
      <c r="E513" s="6">
        <v>0</v>
      </c>
      <c r="F513" s="6">
        <v>0</v>
      </c>
      <c r="G513" s="6">
        <v>11</v>
      </c>
      <c r="H513" s="6" t="s">
        <v>51654</v>
      </c>
      <c r="I513" s="6">
        <v>526.6875</v>
      </c>
      <c r="J513" s="2">
        <f t="shared" si="7"/>
        <v>43749.443257291663</v>
      </c>
    </row>
    <row r="514" spans="1:10" x14ac:dyDescent="0.25">
      <c r="A514" s="7" t="s">
        <v>51655</v>
      </c>
      <c r="B514" s="8">
        <v>393.75</v>
      </c>
      <c r="C514" s="8">
        <v>20.478950000000001</v>
      </c>
      <c r="D514" s="8">
        <v>72</v>
      </c>
      <c r="E514" s="8">
        <v>0</v>
      </c>
      <c r="F514" s="8">
        <v>0</v>
      </c>
      <c r="G514" s="8">
        <v>7</v>
      </c>
      <c r="H514" s="8" t="s">
        <v>51656</v>
      </c>
      <c r="I514" s="8">
        <v>526.6875</v>
      </c>
      <c r="J514" s="3">
        <f t="shared" ref="J514:J577" si="8">(H514/86400000)+25569+(7/24)</f>
        <v>43749.44332893518</v>
      </c>
    </row>
    <row r="515" spans="1:10" x14ac:dyDescent="0.25">
      <c r="A515" s="5" t="s">
        <v>51657</v>
      </c>
      <c r="B515" s="6">
        <v>393.75</v>
      </c>
      <c r="C515" s="6">
        <v>20.478950000000001</v>
      </c>
      <c r="D515" s="6">
        <v>73</v>
      </c>
      <c r="E515" s="6">
        <v>0</v>
      </c>
      <c r="F515" s="6">
        <v>0</v>
      </c>
      <c r="G515" s="6">
        <v>12</v>
      </c>
      <c r="H515" s="6" t="s">
        <v>51658</v>
      </c>
      <c r="I515" s="6">
        <v>526.6875</v>
      </c>
      <c r="J515" s="2">
        <f t="shared" si="8"/>
        <v>43749.443412013883</v>
      </c>
    </row>
    <row r="516" spans="1:10" x14ac:dyDescent="0.25">
      <c r="A516" s="7" t="s">
        <v>51659</v>
      </c>
      <c r="B516" s="8">
        <v>393.75</v>
      </c>
      <c r="C516" s="8">
        <v>20.478950000000001</v>
      </c>
      <c r="D516" s="8">
        <v>73</v>
      </c>
      <c r="E516" s="8">
        <v>0</v>
      </c>
      <c r="F516" s="8">
        <v>0</v>
      </c>
      <c r="G516" s="8">
        <v>13</v>
      </c>
      <c r="H516" s="8" t="s">
        <v>51660</v>
      </c>
      <c r="I516" s="8">
        <v>526.6875</v>
      </c>
      <c r="J516" s="3">
        <f t="shared" si="8"/>
        <v>43749.443483668983</v>
      </c>
    </row>
    <row r="517" spans="1:10" x14ac:dyDescent="0.25">
      <c r="A517" s="5" t="s">
        <v>51661</v>
      </c>
      <c r="B517" s="6">
        <v>393.75</v>
      </c>
      <c r="C517" s="6">
        <v>20.478950000000001</v>
      </c>
      <c r="D517" s="6">
        <v>72</v>
      </c>
      <c r="E517" s="6">
        <v>0</v>
      </c>
      <c r="F517" s="6">
        <v>0</v>
      </c>
      <c r="G517" s="6">
        <v>15</v>
      </c>
      <c r="H517" s="6" t="s">
        <v>51662</v>
      </c>
      <c r="I517" s="6">
        <v>526.6875</v>
      </c>
      <c r="J517" s="2">
        <f t="shared" si="8"/>
        <v>43749.443567476854</v>
      </c>
    </row>
    <row r="518" spans="1:10" x14ac:dyDescent="0.25">
      <c r="A518" s="7" t="s">
        <v>51663</v>
      </c>
      <c r="B518" s="8">
        <v>393.75</v>
      </c>
      <c r="C518" s="8">
        <v>20.478950000000001</v>
      </c>
      <c r="D518" s="8">
        <v>71</v>
      </c>
      <c r="E518" s="8">
        <v>0</v>
      </c>
      <c r="F518" s="8">
        <v>0</v>
      </c>
      <c r="G518" s="8">
        <v>12</v>
      </c>
      <c r="H518" s="8" t="s">
        <v>51664</v>
      </c>
      <c r="I518" s="8">
        <v>526.5</v>
      </c>
      <c r="J518" s="3">
        <f t="shared" si="8"/>
        <v>43749.443639004625</v>
      </c>
    </row>
    <row r="519" spans="1:10" x14ac:dyDescent="0.25">
      <c r="A519" s="5" t="s">
        <v>51665</v>
      </c>
      <c r="B519" s="6">
        <v>393.75</v>
      </c>
      <c r="C519" s="6">
        <v>20.478950000000001</v>
      </c>
      <c r="D519" s="6">
        <v>71</v>
      </c>
      <c r="E519" s="6">
        <v>0</v>
      </c>
      <c r="F519" s="6">
        <v>0</v>
      </c>
      <c r="G519" s="6">
        <v>9</v>
      </c>
      <c r="H519" s="6" t="s">
        <v>51666</v>
      </c>
      <c r="I519" s="6">
        <v>526.6875</v>
      </c>
      <c r="J519" s="2">
        <f t="shared" si="8"/>
        <v>43749.443722094904</v>
      </c>
    </row>
    <row r="520" spans="1:10" x14ac:dyDescent="0.25">
      <c r="A520" s="7" t="s">
        <v>51667</v>
      </c>
      <c r="B520" s="8">
        <v>393.75</v>
      </c>
      <c r="C520" s="8">
        <v>20.478950000000001</v>
      </c>
      <c r="D520" s="8">
        <v>71</v>
      </c>
      <c r="E520" s="8">
        <v>0</v>
      </c>
      <c r="F520" s="8">
        <v>0</v>
      </c>
      <c r="G520" s="8">
        <v>9</v>
      </c>
      <c r="H520" s="8" t="s">
        <v>51668</v>
      </c>
      <c r="I520" s="8">
        <v>526.6875</v>
      </c>
      <c r="J520" s="3">
        <f t="shared" si="8"/>
        <v>43749.443806018513</v>
      </c>
    </row>
    <row r="521" spans="1:10" x14ac:dyDescent="0.25">
      <c r="A521" s="5" t="s">
        <v>51669</v>
      </c>
      <c r="B521" s="6">
        <v>393.75</v>
      </c>
      <c r="C521" s="6">
        <v>20.478950000000001</v>
      </c>
      <c r="D521" s="6">
        <v>72</v>
      </c>
      <c r="E521" s="6">
        <v>0</v>
      </c>
      <c r="F521" s="6">
        <v>0</v>
      </c>
      <c r="G521" s="6">
        <v>12</v>
      </c>
      <c r="H521" s="6" t="s">
        <v>51670</v>
      </c>
      <c r="I521" s="6">
        <v>526.6875</v>
      </c>
      <c r="J521" s="2">
        <f t="shared" si="8"/>
        <v>43749.44388947916</v>
      </c>
    </row>
    <row r="522" spans="1:10" x14ac:dyDescent="0.25">
      <c r="A522" s="7" t="s">
        <v>51671</v>
      </c>
      <c r="B522" s="8">
        <v>393.75</v>
      </c>
      <c r="C522" s="8">
        <v>20.478950000000001</v>
      </c>
      <c r="D522" s="8">
        <v>73</v>
      </c>
      <c r="E522" s="8">
        <v>0</v>
      </c>
      <c r="F522" s="8">
        <v>0</v>
      </c>
      <c r="G522" s="8">
        <v>13</v>
      </c>
      <c r="H522" s="8" t="s">
        <v>51672</v>
      </c>
      <c r="I522" s="8">
        <v>526.6875</v>
      </c>
      <c r="J522" s="3">
        <f t="shared" si="8"/>
        <v>43749.443972916662</v>
      </c>
    </row>
    <row r="523" spans="1:10" x14ac:dyDescent="0.25">
      <c r="A523" s="5" t="s">
        <v>51673</v>
      </c>
      <c r="B523" s="6">
        <v>393.75</v>
      </c>
      <c r="C523" s="6">
        <v>20.478950000000001</v>
      </c>
      <c r="D523" s="6">
        <v>73</v>
      </c>
      <c r="E523" s="6">
        <v>0</v>
      </c>
      <c r="F523" s="6">
        <v>0</v>
      </c>
      <c r="G523" s="6">
        <v>12</v>
      </c>
      <c r="H523" s="6" t="s">
        <v>51674</v>
      </c>
      <c r="I523" s="6">
        <v>526.6875</v>
      </c>
      <c r="J523" s="2">
        <f t="shared" si="8"/>
        <v>43749.444056354165</v>
      </c>
    </row>
    <row r="524" spans="1:10" x14ac:dyDescent="0.25">
      <c r="A524" s="7" t="s">
        <v>51675</v>
      </c>
      <c r="B524" s="8">
        <v>393.75</v>
      </c>
      <c r="C524" s="8">
        <v>20.478950000000001</v>
      </c>
      <c r="D524" s="8">
        <v>73</v>
      </c>
      <c r="E524" s="8">
        <v>0</v>
      </c>
      <c r="F524" s="8">
        <v>0</v>
      </c>
      <c r="G524" s="8">
        <v>9</v>
      </c>
      <c r="H524" s="8" t="s">
        <v>51676</v>
      </c>
      <c r="I524" s="8">
        <v>526.6875</v>
      </c>
      <c r="J524" s="3">
        <f t="shared" si="8"/>
        <v>43749.444139918975</v>
      </c>
    </row>
    <row r="525" spans="1:10" x14ac:dyDescent="0.25">
      <c r="A525" s="5" t="s">
        <v>51677</v>
      </c>
      <c r="B525" s="6">
        <v>393.75</v>
      </c>
      <c r="C525" s="6">
        <v>20.426300000000001</v>
      </c>
      <c r="D525" s="6">
        <v>72</v>
      </c>
      <c r="E525" s="6">
        <v>0</v>
      </c>
      <c r="F525" s="6">
        <v>0</v>
      </c>
      <c r="G525" s="6">
        <v>8</v>
      </c>
      <c r="H525" s="6" t="s">
        <v>51678</v>
      </c>
      <c r="I525" s="6">
        <v>526.6875</v>
      </c>
      <c r="J525" s="2">
        <f t="shared" si="8"/>
        <v>43749.444223009261</v>
      </c>
    </row>
    <row r="526" spans="1:10" x14ac:dyDescent="0.25">
      <c r="A526" s="7" t="s">
        <v>51679</v>
      </c>
      <c r="B526" s="8">
        <v>393.75</v>
      </c>
      <c r="C526" s="8">
        <v>20.478950000000001</v>
      </c>
      <c r="D526" s="8">
        <v>72</v>
      </c>
      <c r="E526" s="8">
        <v>0</v>
      </c>
      <c r="F526" s="8">
        <v>0</v>
      </c>
      <c r="G526" s="8">
        <v>16</v>
      </c>
      <c r="H526" s="8" t="s">
        <v>51680</v>
      </c>
      <c r="I526" s="8">
        <v>526.6875</v>
      </c>
      <c r="J526" s="3">
        <f t="shared" si="8"/>
        <v>43749.444294780093</v>
      </c>
    </row>
    <row r="527" spans="1:10" x14ac:dyDescent="0.25">
      <c r="A527" s="5" t="s">
        <v>51681</v>
      </c>
      <c r="B527" s="6">
        <v>393.75</v>
      </c>
      <c r="C527" s="6">
        <v>20.478950000000001</v>
      </c>
      <c r="D527" s="6">
        <v>72</v>
      </c>
      <c r="E527" s="6">
        <v>0</v>
      </c>
      <c r="F527" s="6">
        <v>0</v>
      </c>
      <c r="G527" s="6">
        <v>12</v>
      </c>
      <c r="H527" s="6" t="s">
        <v>51682</v>
      </c>
      <c r="I527" s="6">
        <v>526.6875</v>
      </c>
      <c r="J527" s="2">
        <f t="shared" si="8"/>
        <v>43749.444378460648</v>
      </c>
    </row>
    <row r="528" spans="1:10" x14ac:dyDescent="0.25">
      <c r="A528" s="7" t="s">
        <v>51683</v>
      </c>
      <c r="B528" s="8">
        <v>393.75</v>
      </c>
      <c r="C528" s="8">
        <v>20.478950000000001</v>
      </c>
      <c r="D528" s="8">
        <v>71</v>
      </c>
      <c r="E528" s="8">
        <v>0</v>
      </c>
      <c r="F528" s="8">
        <v>0</v>
      </c>
      <c r="G528" s="8">
        <v>13</v>
      </c>
      <c r="H528" s="8" t="s">
        <v>51684</v>
      </c>
      <c r="I528" s="8">
        <v>526.6875</v>
      </c>
      <c r="J528" s="3">
        <f t="shared" si="8"/>
        <v>43749.444461793981</v>
      </c>
    </row>
    <row r="529" spans="1:10" x14ac:dyDescent="0.25">
      <c r="A529" s="5" t="s">
        <v>51685</v>
      </c>
      <c r="B529" s="6">
        <v>393.75</v>
      </c>
      <c r="C529" s="6">
        <v>20.478950000000001</v>
      </c>
      <c r="D529" s="6">
        <v>70</v>
      </c>
      <c r="E529" s="6">
        <v>0</v>
      </c>
      <c r="F529" s="6">
        <v>0</v>
      </c>
      <c r="G529" s="6">
        <v>6</v>
      </c>
      <c r="H529" s="6" t="s">
        <v>51686</v>
      </c>
      <c r="I529" s="6">
        <v>526.6875</v>
      </c>
      <c r="J529" s="2">
        <f t="shared" si="8"/>
        <v>43749.444545381943</v>
      </c>
    </row>
    <row r="530" spans="1:10" x14ac:dyDescent="0.25">
      <c r="A530" s="7" t="s">
        <v>51687</v>
      </c>
      <c r="B530" s="8">
        <v>412.5</v>
      </c>
      <c r="C530" s="8">
        <v>20.478950000000001</v>
      </c>
      <c r="D530" s="8">
        <v>70</v>
      </c>
      <c r="E530" s="8">
        <v>0</v>
      </c>
      <c r="F530" s="8">
        <v>0</v>
      </c>
      <c r="G530" s="8">
        <v>19</v>
      </c>
      <c r="H530" s="8" t="s">
        <v>51688</v>
      </c>
      <c r="I530" s="8">
        <v>532.3125</v>
      </c>
      <c r="J530" s="3">
        <f t="shared" si="8"/>
        <v>43749.444628819438</v>
      </c>
    </row>
    <row r="531" spans="1:10" x14ac:dyDescent="0.25">
      <c r="A531" s="5" t="s">
        <v>51689</v>
      </c>
      <c r="B531" s="6">
        <v>393.75</v>
      </c>
      <c r="C531" s="6">
        <v>20.478950000000001</v>
      </c>
      <c r="D531" s="6">
        <v>71</v>
      </c>
      <c r="E531" s="6">
        <v>0</v>
      </c>
      <c r="F531" s="6">
        <v>0</v>
      </c>
      <c r="G531" s="6">
        <v>19</v>
      </c>
      <c r="H531" s="6" t="s">
        <v>51690</v>
      </c>
      <c r="I531" s="6">
        <v>526.5</v>
      </c>
      <c r="J531" s="2">
        <f t="shared" si="8"/>
        <v>43749.444712025455</v>
      </c>
    </row>
    <row r="532" spans="1:10" x14ac:dyDescent="0.25">
      <c r="A532" s="7" t="s">
        <v>51691</v>
      </c>
      <c r="B532" s="8">
        <v>393.75</v>
      </c>
      <c r="C532" s="8">
        <v>20.478950000000001</v>
      </c>
      <c r="D532" s="8">
        <v>71</v>
      </c>
      <c r="E532" s="8">
        <v>0</v>
      </c>
      <c r="F532" s="8">
        <v>0</v>
      </c>
      <c r="G532" s="8">
        <v>15</v>
      </c>
      <c r="H532" s="8" t="s">
        <v>51692</v>
      </c>
      <c r="I532" s="8">
        <v>526.6875</v>
      </c>
      <c r="J532" s="3">
        <f t="shared" si="8"/>
        <v>43749.44478366898</v>
      </c>
    </row>
    <row r="533" spans="1:10" x14ac:dyDescent="0.25">
      <c r="A533" s="5" t="s">
        <v>51693</v>
      </c>
      <c r="B533" s="6">
        <v>393.75</v>
      </c>
      <c r="C533" s="6">
        <v>20.478950000000001</v>
      </c>
      <c r="D533" s="6">
        <v>71</v>
      </c>
      <c r="E533" s="6">
        <v>0</v>
      </c>
      <c r="F533" s="6">
        <v>0</v>
      </c>
      <c r="G533" s="6">
        <v>17</v>
      </c>
      <c r="H533" s="6" t="s">
        <v>51694</v>
      </c>
      <c r="I533" s="6">
        <v>526.6875</v>
      </c>
      <c r="J533" s="2">
        <f t="shared" si="8"/>
        <v>43749.44486747685</v>
      </c>
    </row>
    <row r="534" spans="1:10" x14ac:dyDescent="0.25">
      <c r="A534" s="7" t="s">
        <v>51695</v>
      </c>
      <c r="B534" s="8">
        <v>393.75</v>
      </c>
      <c r="C534" s="8">
        <v>20.478950000000001</v>
      </c>
      <c r="D534" s="8">
        <v>71</v>
      </c>
      <c r="E534" s="8">
        <v>0</v>
      </c>
      <c r="F534" s="8">
        <v>0</v>
      </c>
      <c r="G534" s="8">
        <v>16</v>
      </c>
      <c r="H534" s="8" t="s">
        <v>51696</v>
      </c>
      <c r="I534" s="8">
        <v>526.5</v>
      </c>
      <c r="J534" s="3">
        <f t="shared" si="8"/>
        <v>43749.444950937497</v>
      </c>
    </row>
    <row r="535" spans="1:10" x14ac:dyDescent="0.25">
      <c r="A535" s="5" t="s">
        <v>51697</v>
      </c>
      <c r="B535" s="6">
        <v>412.5</v>
      </c>
      <c r="C535" s="6">
        <v>20.478950000000001</v>
      </c>
      <c r="D535" s="6">
        <v>72</v>
      </c>
      <c r="E535" s="6">
        <v>0</v>
      </c>
      <c r="F535" s="6">
        <v>0</v>
      </c>
      <c r="G535" s="6">
        <v>15</v>
      </c>
      <c r="H535" s="6" t="s">
        <v>51698</v>
      </c>
      <c r="I535" s="6">
        <v>532.3125</v>
      </c>
      <c r="J535" s="2">
        <f t="shared" si="8"/>
        <v>43749.445034259254</v>
      </c>
    </row>
    <row r="536" spans="1:10" x14ac:dyDescent="0.25">
      <c r="A536" s="7" t="s">
        <v>51699</v>
      </c>
      <c r="B536" s="8">
        <v>393.75</v>
      </c>
      <c r="C536" s="8">
        <v>20.478950000000001</v>
      </c>
      <c r="D536" s="8">
        <v>69</v>
      </c>
      <c r="E536" s="8">
        <v>0</v>
      </c>
      <c r="F536" s="8">
        <v>0</v>
      </c>
      <c r="G536" s="8">
        <v>9</v>
      </c>
      <c r="H536" s="8" t="s">
        <v>51700</v>
      </c>
      <c r="I536" s="8">
        <v>526.6875</v>
      </c>
      <c r="J536" s="3">
        <f t="shared" si="8"/>
        <v>43749.445125995371</v>
      </c>
    </row>
    <row r="537" spans="1:10" x14ac:dyDescent="0.25">
      <c r="A537" s="5" t="s">
        <v>51701</v>
      </c>
      <c r="B537" s="6">
        <v>412.5</v>
      </c>
      <c r="C537" s="6">
        <v>20.478950000000001</v>
      </c>
      <c r="D537" s="6">
        <v>70</v>
      </c>
      <c r="E537" s="6">
        <v>0</v>
      </c>
      <c r="F537" s="6">
        <v>0</v>
      </c>
      <c r="G537" s="6">
        <v>25</v>
      </c>
      <c r="H537" s="6" t="s">
        <v>51702</v>
      </c>
      <c r="I537" s="6">
        <v>532.3125</v>
      </c>
      <c r="J537" s="2">
        <f t="shared" si="8"/>
        <v>43749.445200937502</v>
      </c>
    </row>
    <row r="538" spans="1:10" x14ac:dyDescent="0.25">
      <c r="A538" s="7" t="s">
        <v>51703</v>
      </c>
      <c r="B538" s="8">
        <v>393.75</v>
      </c>
      <c r="C538" s="8">
        <v>20.478950000000001</v>
      </c>
      <c r="D538" s="8">
        <v>62</v>
      </c>
      <c r="E538" s="8">
        <v>0</v>
      </c>
      <c r="F538" s="8">
        <v>0</v>
      </c>
      <c r="G538" s="8">
        <v>0</v>
      </c>
      <c r="H538" s="8" t="s">
        <v>51704</v>
      </c>
      <c r="I538" s="8">
        <v>526.6875</v>
      </c>
      <c r="J538" s="3">
        <f t="shared" si="8"/>
        <v>43749.44548934028</v>
      </c>
    </row>
    <row r="539" spans="1:10" x14ac:dyDescent="0.25">
      <c r="A539" s="5" t="s">
        <v>51705</v>
      </c>
      <c r="B539" s="6">
        <v>393.75</v>
      </c>
      <c r="C539" s="6">
        <v>20.478950000000001</v>
      </c>
      <c r="D539" s="6">
        <v>68</v>
      </c>
      <c r="E539" s="6">
        <v>0</v>
      </c>
      <c r="F539" s="6">
        <v>0</v>
      </c>
      <c r="G539" s="6">
        <v>0</v>
      </c>
      <c r="H539" s="6" t="s">
        <v>51706</v>
      </c>
      <c r="I539" s="6">
        <v>526.5</v>
      </c>
      <c r="J539" s="2">
        <f t="shared" si="8"/>
        <v>43749.445572592587</v>
      </c>
    </row>
    <row r="540" spans="1:10" x14ac:dyDescent="0.25">
      <c r="A540" s="7" t="s">
        <v>51707</v>
      </c>
      <c r="B540" s="8">
        <v>393.75</v>
      </c>
      <c r="C540" s="8">
        <v>20.478950000000001</v>
      </c>
      <c r="D540" s="8">
        <v>68</v>
      </c>
      <c r="E540" s="8">
        <v>0</v>
      </c>
      <c r="F540" s="8">
        <v>0</v>
      </c>
      <c r="G540" s="8">
        <v>0</v>
      </c>
      <c r="H540" s="8" t="s">
        <v>51708</v>
      </c>
      <c r="I540" s="8">
        <v>526.6875</v>
      </c>
      <c r="J540" s="3">
        <f t="shared" si="8"/>
        <v>43749.445656053234</v>
      </c>
    </row>
    <row r="541" spans="1:10" x14ac:dyDescent="0.25">
      <c r="A541" s="5" t="s">
        <v>51709</v>
      </c>
      <c r="B541" s="6">
        <v>393.75</v>
      </c>
      <c r="C541" s="6">
        <v>20.478950000000001</v>
      </c>
      <c r="D541" s="6">
        <v>68</v>
      </c>
      <c r="E541" s="6">
        <v>0</v>
      </c>
      <c r="F541" s="6">
        <v>0</v>
      </c>
      <c r="G541" s="6">
        <v>0</v>
      </c>
      <c r="H541" s="6" t="s">
        <v>51710</v>
      </c>
      <c r="I541" s="6">
        <v>526.6875</v>
      </c>
      <c r="J541" s="2">
        <f t="shared" si="8"/>
        <v>43749.445747604164</v>
      </c>
    </row>
    <row r="542" spans="1:10" x14ac:dyDescent="0.25">
      <c r="A542" s="7" t="s">
        <v>51711</v>
      </c>
      <c r="B542" s="8">
        <v>393.75</v>
      </c>
      <c r="C542" s="8">
        <v>20.478950000000001</v>
      </c>
      <c r="D542" s="8">
        <v>69</v>
      </c>
      <c r="E542" s="8">
        <v>0</v>
      </c>
      <c r="F542" s="8">
        <v>0</v>
      </c>
      <c r="G542" s="8">
        <v>3</v>
      </c>
      <c r="H542" s="8" t="s">
        <v>51712</v>
      </c>
      <c r="I542" s="8">
        <v>526.6875</v>
      </c>
      <c r="J542" s="3">
        <f t="shared" si="8"/>
        <v>43749.445823182868</v>
      </c>
    </row>
    <row r="543" spans="1:10" x14ac:dyDescent="0.25">
      <c r="A543" s="5" t="s">
        <v>51713</v>
      </c>
      <c r="B543" s="6">
        <v>412.5</v>
      </c>
      <c r="C543" s="6">
        <v>20.478950000000001</v>
      </c>
      <c r="D543" s="6">
        <v>69</v>
      </c>
      <c r="E543" s="6">
        <v>0</v>
      </c>
      <c r="F543" s="6">
        <v>0</v>
      </c>
      <c r="G543" s="6">
        <v>1</v>
      </c>
      <c r="H543" s="6" t="s">
        <v>51714</v>
      </c>
      <c r="I543" s="6">
        <v>532.6875</v>
      </c>
      <c r="J543" s="2">
        <f t="shared" si="8"/>
        <v>43749.445906516201</v>
      </c>
    </row>
    <row r="544" spans="1:10" x14ac:dyDescent="0.25">
      <c r="A544" s="7" t="s">
        <v>51715</v>
      </c>
      <c r="B544" s="8">
        <v>393.75</v>
      </c>
      <c r="C544" s="8">
        <v>20.478950000000001</v>
      </c>
      <c r="D544" s="8">
        <v>70</v>
      </c>
      <c r="E544" s="8">
        <v>0</v>
      </c>
      <c r="F544" s="8">
        <v>0</v>
      </c>
      <c r="G544" s="8">
        <v>4</v>
      </c>
      <c r="H544" s="8" t="s">
        <v>51716</v>
      </c>
      <c r="I544" s="8">
        <v>526.6875</v>
      </c>
      <c r="J544" s="3">
        <f t="shared" si="8"/>
        <v>43749.44598971065</v>
      </c>
    </row>
    <row r="545" spans="1:10" x14ac:dyDescent="0.25">
      <c r="A545" s="5" t="s">
        <v>51717</v>
      </c>
      <c r="B545" s="6">
        <v>393.75</v>
      </c>
      <c r="C545" s="6">
        <v>20.478950000000001</v>
      </c>
      <c r="D545" s="6">
        <v>70</v>
      </c>
      <c r="E545" s="6">
        <v>0</v>
      </c>
      <c r="F545" s="6">
        <v>0</v>
      </c>
      <c r="G545" s="6">
        <v>4</v>
      </c>
      <c r="H545" s="6" t="s">
        <v>51718</v>
      </c>
      <c r="I545" s="6">
        <v>526.6875</v>
      </c>
      <c r="J545" s="2">
        <f t="shared" si="8"/>
        <v>43749.446061469906</v>
      </c>
    </row>
    <row r="546" spans="1:10" x14ac:dyDescent="0.25">
      <c r="A546" s="7" t="s">
        <v>51719</v>
      </c>
      <c r="B546" s="8">
        <v>393.75</v>
      </c>
      <c r="C546" s="8">
        <v>20.478950000000001</v>
      </c>
      <c r="D546" s="8">
        <v>71</v>
      </c>
      <c r="E546" s="8">
        <v>0</v>
      </c>
      <c r="F546" s="8">
        <v>0</v>
      </c>
      <c r="G546" s="8">
        <v>0</v>
      </c>
      <c r="H546" s="8" t="s">
        <v>51720</v>
      </c>
      <c r="I546" s="8">
        <v>526.6875</v>
      </c>
      <c r="J546" s="3">
        <f t="shared" si="8"/>
        <v>43749.446145034723</v>
      </c>
    </row>
    <row r="547" spans="1:10" x14ac:dyDescent="0.25">
      <c r="A547" s="5" t="s">
        <v>51721</v>
      </c>
      <c r="B547" s="6">
        <v>393.75</v>
      </c>
      <c r="C547" s="6">
        <v>20.478950000000001</v>
      </c>
      <c r="D547" s="6">
        <v>72</v>
      </c>
      <c r="E547" s="6">
        <v>0</v>
      </c>
      <c r="F547" s="6">
        <v>0</v>
      </c>
      <c r="G547" s="6">
        <v>0</v>
      </c>
      <c r="H547" s="6" t="s">
        <v>51722</v>
      </c>
      <c r="I547" s="6">
        <v>526.6875</v>
      </c>
      <c r="J547" s="2">
        <f t="shared" si="8"/>
        <v>43749.446252349539</v>
      </c>
    </row>
    <row r="548" spans="1:10" x14ac:dyDescent="0.25">
      <c r="A548" s="7" t="s">
        <v>51723</v>
      </c>
      <c r="B548" s="8">
        <v>393.75</v>
      </c>
      <c r="C548" s="8">
        <v>20.478950000000001</v>
      </c>
      <c r="D548" s="8">
        <v>74</v>
      </c>
      <c r="E548" s="8">
        <v>0</v>
      </c>
      <c r="F548" s="8">
        <v>0</v>
      </c>
      <c r="G548" s="8">
        <v>7</v>
      </c>
      <c r="H548" s="8" t="s">
        <v>51724</v>
      </c>
      <c r="I548" s="8">
        <v>526.6875</v>
      </c>
      <c r="J548" s="3">
        <f t="shared" si="8"/>
        <v>43749.446335787034</v>
      </c>
    </row>
    <row r="549" spans="1:10" x14ac:dyDescent="0.25">
      <c r="A549" s="5" t="s">
        <v>51725</v>
      </c>
      <c r="B549" s="6">
        <v>393.75</v>
      </c>
      <c r="C549" s="6">
        <v>20.478950000000001</v>
      </c>
      <c r="D549" s="6">
        <v>75</v>
      </c>
      <c r="E549" s="6">
        <v>0</v>
      </c>
      <c r="F549" s="6">
        <v>0</v>
      </c>
      <c r="G549" s="6">
        <v>6</v>
      </c>
      <c r="H549" s="6" t="s">
        <v>51726</v>
      </c>
      <c r="I549" s="6">
        <v>526.6875</v>
      </c>
      <c r="J549" s="2">
        <f t="shared" si="8"/>
        <v>43749.446419340275</v>
      </c>
    </row>
    <row r="550" spans="1:10" x14ac:dyDescent="0.25">
      <c r="A550" s="7" t="s">
        <v>51727</v>
      </c>
      <c r="B550" s="8">
        <v>393.75</v>
      </c>
      <c r="C550" s="8">
        <v>20.478950000000001</v>
      </c>
      <c r="D550" s="8">
        <v>75</v>
      </c>
      <c r="E550" s="8">
        <v>0</v>
      </c>
      <c r="F550" s="8">
        <v>0</v>
      </c>
      <c r="G550" s="8">
        <v>6</v>
      </c>
      <c r="H550" s="8" t="s">
        <v>51728</v>
      </c>
      <c r="I550" s="8">
        <v>526.6875</v>
      </c>
      <c r="J550" s="3">
        <f t="shared" si="8"/>
        <v>43749.446502986109</v>
      </c>
    </row>
    <row r="551" spans="1:10" x14ac:dyDescent="0.25">
      <c r="A551" s="5" t="s">
        <v>51729</v>
      </c>
      <c r="B551" s="6">
        <v>393.75</v>
      </c>
      <c r="C551" s="6">
        <v>20.478950000000001</v>
      </c>
      <c r="D551" s="6">
        <v>75</v>
      </c>
      <c r="E551" s="6">
        <v>0</v>
      </c>
      <c r="F551" s="6">
        <v>0</v>
      </c>
      <c r="G551" s="6">
        <v>7</v>
      </c>
      <c r="H551" s="6" t="s">
        <v>51730</v>
      </c>
      <c r="I551" s="6">
        <v>526.6875</v>
      </c>
      <c r="J551" s="2">
        <f t="shared" si="8"/>
        <v>43749.446586030092</v>
      </c>
    </row>
    <row r="552" spans="1:10" x14ac:dyDescent="0.25">
      <c r="A552" s="7" t="s">
        <v>51731</v>
      </c>
      <c r="B552" s="8">
        <v>393.75</v>
      </c>
      <c r="C552" s="8">
        <v>20.478950000000001</v>
      </c>
      <c r="D552" s="8">
        <v>73</v>
      </c>
      <c r="E552" s="8">
        <v>0</v>
      </c>
      <c r="F552" s="8">
        <v>0</v>
      </c>
      <c r="G552" s="8">
        <v>7</v>
      </c>
      <c r="H552" s="8" t="s">
        <v>51732</v>
      </c>
      <c r="I552" s="8">
        <v>526.6875</v>
      </c>
      <c r="J552" s="3">
        <f t="shared" si="8"/>
        <v>43749.446669687495</v>
      </c>
    </row>
    <row r="553" spans="1:10" x14ac:dyDescent="0.25">
      <c r="A553" s="5" t="s">
        <v>51733</v>
      </c>
      <c r="B553" s="6">
        <v>393.75</v>
      </c>
      <c r="C553" s="6">
        <v>20.478950000000001</v>
      </c>
      <c r="D553" s="6">
        <v>72</v>
      </c>
      <c r="E553" s="6">
        <v>0</v>
      </c>
      <c r="F553" s="6">
        <v>0</v>
      </c>
      <c r="G553" s="6">
        <v>5</v>
      </c>
      <c r="H553" s="6" t="s">
        <v>51734</v>
      </c>
      <c r="I553" s="6">
        <v>526.6875</v>
      </c>
      <c r="J553" s="2">
        <f t="shared" si="8"/>
        <v>43749.446753368051</v>
      </c>
    </row>
    <row r="554" spans="1:10" x14ac:dyDescent="0.25">
      <c r="A554" s="7" t="s">
        <v>51735</v>
      </c>
      <c r="B554" s="8">
        <v>418.75</v>
      </c>
      <c r="C554" s="8">
        <v>20.478950000000001</v>
      </c>
      <c r="D554" s="8">
        <v>71</v>
      </c>
      <c r="E554" s="8">
        <v>0</v>
      </c>
      <c r="F554" s="8">
        <v>0</v>
      </c>
      <c r="G554" s="8">
        <v>3</v>
      </c>
      <c r="H554" s="8" t="s">
        <v>51736</v>
      </c>
      <c r="I554" s="8">
        <v>534.1875</v>
      </c>
      <c r="J554" s="3">
        <f t="shared" si="8"/>
        <v>43749.446824803243</v>
      </c>
    </row>
    <row r="555" spans="1:10" x14ac:dyDescent="0.25">
      <c r="A555" s="5" t="s">
        <v>51737</v>
      </c>
      <c r="B555" s="6">
        <v>393.75</v>
      </c>
      <c r="C555" s="6">
        <v>20.478950000000001</v>
      </c>
      <c r="D555" s="6">
        <v>71</v>
      </c>
      <c r="E555" s="6">
        <v>0</v>
      </c>
      <c r="F555" s="6">
        <v>0</v>
      </c>
      <c r="G555" s="6">
        <v>8</v>
      </c>
      <c r="H555" s="6" t="s">
        <v>51738</v>
      </c>
      <c r="I555" s="6">
        <v>526.6875</v>
      </c>
      <c r="J555" s="2">
        <f t="shared" si="8"/>
        <v>43749.446919814807</v>
      </c>
    </row>
    <row r="556" spans="1:10" x14ac:dyDescent="0.25">
      <c r="A556" s="7" t="s">
        <v>51739</v>
      </c>
      <c r="B556" s="8">
        <v>393.75</v>
      </c>
      <c r="C556" s="8">
        <v>20.478950000000001</v>
      </c>
      <c r="D556" s="8">
        <v>73</v>
      </c>
      <c r="E556" s="8">
        <v>0</v>
      </c>
      <c r="F556" s="8">
        <v>0</v>
      </c>
      <c r="G556" s="8">
        <v>14</v>
      </c>
      <c r="H556" s="8" t="s">
        <v>51740</v>
      </c>
      <c r="I556" s="8">
        <v>526.6875</v>
      </c>
      <c r="J556" s="3">
        <f t="shared" si="8"/>
        <v>43749.447003726855</v>
      </c>
    </row>
    <row r="557" spans="1:10" x14ac:dyDescent="0.25">
      <c r="A557" s="5" t="s">
        <v>51741</v>
      </c>
      <c r="B557" s="6">
        <v>393.75</v>
      </c>
      <c r="C557" s="6">
        <v>20.478950000000001</v>
      </c>
      <c r="D557" s="6">
        <v>73</v>
      </c>
      <c r="E557" s="6">
        <v>0</v>
      </c>
      <c r="F557" s="6">
        <v>0</v>
      </c>
      <c r="G557" s="6">
        <v>8</v>
      </c>
      <c r="H557" s="6" t="s">
        <v>51742</v>
      </c>
      <c r="I557" s="6">
        <v>526.6875</v>
      </c>
      <c r="J557" s="2">
        <f t="shared" si="8"/>
        <v>43749.447087199071</v>
      </c>
    </row>
    <row r="558" spans="1:10" x14ac:dyDescent="0.25">
      <c r="A558" s="7" t="s">
        <v>51743</v>
      </c>
      <c r="B558" s="8">
        <v>393.75</v>
      </c>
      <c r="C558" s="8">
        <v>20.478950000000001</v>
      </c>
      <c r="D558" s="8">
        <v>72</v>
      </c>
      <c r="E558" s="8">
        <v>0</v>
      </c>
      <c r="F558" s="8">
        <v>0</v>
      </c>
      <c r="G558" s="8">
        <v>9</v>
      </c>
      <c r="H558" s="8" t="s">
        <v>51744</v>
      </c>
      <c r="I558" s="8">
        <v>526.6875</v>
      </c>
      <c r="J558" s="3">
        <f t="shared" si="8"/>
        <v>43749.447170613428</v>
      </c>
    </row>
    <row r="559" spans="1:10" x14ac:dyDescent="0.25">
      <c r="A559" s="5" t="s">
        <v>51745</v>
      </c>
      <c r="B559" s="6">
        <v>393.75</v>
      </c>
      <c r="C559" s="6">
        <v>20.478950000000001</v>
      </c>
      <c r="D559" s="6">
        <v>72</v>
      </c>
      <c r="E559" s="6">
        <v>0</v>
      </c>
      <c r="F559" s="6">
        <v>0</v>
      </c>
      <c r="G559" s="6">
        <v>11</v>
      </c>
      <c r="H559" s="6" t="s">
        <v>51746</v>
      </c>
      <c r="I559" s="6">
        <v>526.6875</v>
      </c>
      <c r="J559" s="2">
        <f t="shared" si="8"/>
        <v>43749.447254062499</v>
      </c>
    </row>
    <row r="560" spans="1:10" x14ac:dyDescent="0.25">
      <c r="A560" s="7" t="s">
        <v>51747</v>
      </c>
      <c r="B560" s="8">
        <v>393.75</v>
      </c>
      <c r="C560" s="8">
        <v>20.478950000000001</v>
      </c>
      <c r="D560" s="8">
        <v>72</v>
      </c>
      <c r="E560" s="8">
        <v>0</v>
      </c>
      <c r="F560" s="8">
        <v>0</v>
      </c>
      <c r="G560" s="8">
        <v>6</v>
      </c>
      <c r="H560" s="8" t="s">
        <v>51748</v>
      </c>
      <c r="I560" s="8">
        <v>526.6875</v>
      </c>
      <c r="J560" s="3">
        <f t="shared" si="8"/>
        <v>43749.447337523146</v>
      </c>
    </row>
    <row r="561" spans="1:10" x14ac:dyDescent="0.25">
      <c r="A561" s="5" t="s">
        <v>51749</v>
      </c>
      <c r="B561" s="6">
        <v>412.5</v>
      </c>
      <c r="C561" s="6">
        <v>20.478950000000001</v>
      </c>
      <c r="D561" s="6">
        <v>71</v>
      </c>
      <c r="E561" s="6">
        <v>0</v>
      </c>
      <c r="F561" s="6">
        <v>0</v>
      </c>
      <c r="G561" s="6">
        <v>1</v>
      </c>
      <c r="H561" s="6" t="s">
        <v>51750</v>
      </c>
      <c r="I561" s="6">
        <v>532.3125</v>
      </c>
      <c r="J561" s="2">
        <f t="shared" si="8"/>
        <v>43749.447421099532</v>
      </c>
    </row>
    <row r="562" spans="1:10" x14ac:dyDescent="0.25">
      <c r="A562" s="7" t="s">
        <v>51751</v>
      </c>
      <c r="B562" s="8">
        <v>393.75</v>
      </c>
      <c r="C562" s="8">
        <v>20.478950000000001</v>
      </c>
      <c r="D562" s="8">
        <v>71</v>
      </c>
      <c r="E562" s="8">
        <v>0</v>
      </c>
      <c r="F562" s="8">
        <v>0</v>
      </c>
      <c r="G562" s="8">
        <v>8</v>
      </c>
      <c r="H562" s="8" t="s">
        <v>51752</v>
      </c>
      <c r="I562" s="8">
        <v>526.5</v>
      </c>
      <c r="J562" s="3">
        <f t="shared" si="8"/>
        <v>43749.447504641204</v>
      </c>
    </row>
    <row r="563" spans="1:10" x14ac:dyDescent="0.25">
      <c r="A563" s="5" t="s">
        <v>51753</v>
      </c>
      <c r="B563" s="6">
        <v>393.75</v>
      </c>
      <c r="C563" s="6">
        <v>20.478950000000001</v>
      </c>
      <c r="D563" s="6">
        <v>70</v>
      </c>
      <c r="E563" s="6">
        <v>0</v>
      </c>
      <c r="F563" s="6">
        <v>0</v>
      </c>
      <c r="G563" s="6">
        <v>6</v>
      </c>
      <c r="H563" s="6" t="s">
        <v>51754</v>
      </c>
      <c r="I563" s="6">
        <v>526.6875</v>
      </c>
      <c r="J563" s="2">
        <f t="shared" si="8"/>
        <v>43749.447587997682</v>
      </c>
    </row>
    <row r="564" spans="1:10" x14ac:dyDescent="0.25">
      <c r="A564" s="7" t="s">
        <v>51755</v>
      </c>
      <c r="B564" s="8">
        <v>393.75</v>
      </c>
      <c r="C564" s="8">
        <v>20.478950000000001</v>
      </c>
      <c r="D564" s="8">
        <v>71</v>
      </c>
      <c r="E564" s="8">
        <v>0</v>
      </c>
      <c r="F564" s="8">
        <v>0</v>
      </c>
      <c r="G564" s="8">
        <v>2</v>
      </c>
      <c r="H564" s="8" t="s">
        <v>51756</v>
      </c>
      <c r="I564" s="8">
        <v>526.6875</v>
      </c>
      <c r="J564" s="3">
        <f t="shared" si="8"/>
        <v>43749.447671192123</v>
      </c>
    </row>
    <row r="565" spans="1:10" x14ac:dyDescent="0.25">
      <c r="A565" s="5" t="s">
        <v>51757</v>
      </c>
      <c r="B565" s="6">
        <v>393.75</v>
      </c>
      <c r="C565" s="6">
        <v>20.478950000000001</v>
      </c>
      <c r="D565" s="6">
        <v>71</v>
      </c>
      <c r="E565" s="6">
        <v>0</v>
      </c>
      <c r="F565" s="6">
        <v>0</v>
      </c>
      <c r="G565" s="6">
        <v>0</v>
      </c>
      <c r="H565" s="6" t="s">
        <v>51758</v>
      </c>
      <c r="I565" s="6">
        <v>526.6875</v>
      </c>
      <c r="J565" s="2">
        <f t="shared" si="8"/>
        <v>43749.447742974538</v>
      </c>
    </row>
    <row r="566" spans="1:10" x14ac:dyDescent="0.25">
      <c r="A566" s="7" t="s">
        <v>51759</v>
      </c>
      <c r="B566" s="8">
        <v>412.5</v>
      </c>
      <c r="C566" s="8">
        <v>20.478950000000001</v>
      </c>
      <c r="D566" s="8">
        <v>71</v>
      </c>
      <c r="E566" s="8">
        <v>0</v>
      </c>
      <c r="F566" s="8">
        <v>0</v>
      </c>
      <c r="G566" s="8">
        <v>14</v>
      </c>
      <c r="H566" s="8" t="s">
        <v>51760</v>
      </c>
      <c r="I566" s="8">
        <v>532.3125</v>
      </c>
      <c r="J566" s="3">
        <f t="shared" si="8"/>
        <v>43749.447826759257</v>
      </c>
    </row>
    <row r="567" spans="1:10" x14ac:dyDescent="0.25">
      <c r="A567" s="5" t="s">
        <v>51761</v>
      </c>
      <c r="B567" s="6">
        <v>393.75</v>
      </c>
      <c r="C567" s="6">
        <v>20.478950000000001</v>
      </c>
      <c r="D567" s="6">
        <v>71</v>
      </c>
      <c r="E567" s="6">
        <v>0</v>
      </c>
      <c r="F567" s="6">
        <v>0</v>
      </c>
      <c r="G567" s="6">
        <v>9</v>
      </c>
      <c r="H567" s="6" t="s">
        <v>51762</v>
      </c>
      <c r="I567" s="6">
        <v>526.6875</v>
      </c>
      <c r="J567" s="2">
        <f t="shared" si="8"/>
        <v>43749.44790997685</v>
      </c>
    </row>
    <row r="568" spans="1:10" x14ac:dyDescent="0.25">
      <c r="A568" s="7" t="s">
        <v>51763</v>
      </c>
      <c r="B568" s="8">
        <v>393.75</v>
      </c>
      <c r="C568" s="8">
        <v>20.478950000000001</v>
      </c>
      <c r="D568" s="8">
        <v>73</v>
      </c>
      <c r="E568" s="8">
        <v>0</v>
      </c>
      <c r="F568" s="8">
        <v>0</v>
      </c>
      <c r="G568" s="8">
        <v>4</v>
      </c>
      <c r="H568" s="8" t="s">
        <v>51764</v>
      </c>
      <c r="I568" s="8">
        <v>526.6875</v>
      </c>
      <c r="J568" s="3">
        <f t="shared" si="8"/>
        <v>43749.447981504629</v>
      </c>
    </row>
    <row r="569" spans="1:10" x14ac:dyDescent="0.25">
      <c r="A569" s="5" t="s">
        <v>51765</v>
      </c>
      <c r="B569" s="6">
        <v>393.75</v>
      </c>
      <c r="C569" s="6">
        <v>20.478950000000001</v>
      </c>
      <c r="D569" s="6">
        <v>74</v>
      </c>
      <c r="E569" s="6">
        <v>0</v>
      </c>
      <c r="F569" s="6">
        <v>0</v>
      </c>
      <c r="G569" s="6">
        <v>7</v>
      </c>
      <c r="H569" s="6" t="s">
        <v>51766</v>
      </c>
      <c r="I569" s="6">
        <v>526.6875</v>
      </c>
      <c r="J569" s="2">
        <f t="shared" si="8"/>
        <v>43749.448065092591</v>
      </c>
    </row>
    <row r="570" spans="1:10" x14ac:dyDescent="0.25">
      <c r="A570" s="7" t="s">
        <v>51767</v>
      </c>
      <c r="B570" s="8">
        <v>393.75</v>
      </c>
      <c r="C570" s="8">
        <v>20.478950000000001</v>
      </c>
      <c r="D570" s="8">
        <v>74</v>
      </c>
      <c r="E570" s="8">
        <v>0</v>
      </c>
      <c r="F570" s="8">
        <v>0</v>
      </c>
      <c r="G570" s="8">
        <v>0</v>
      </c>
      <c r="H570" s="8" t="s">
        <v>51768</v>
      </c>
      <c r="I570" s="8">
        <v>526.6875</v>
      </c>
      <c r="J570" s="3">
        <f t="shared" si="8"/>
        <v>43749.448148518517</v>
      </c>
    </row>
    <row r="571" spans="1:10" x14ac:dyDescent="0.25">
      <c r="A571" s="5" t="s">
        <v>51769</v>
      </c>
      <c r="B571" s="6">
        <v>418.75</v>
      </c>
      <c r="C571" s="6">
        <v>20.478950000000001</v>
      </c>
      <c r="D571" s="6">
        <v>74</v>
      </c>
      <c r="E571" s="6">
        <v>0</v>
      </c>
      <c r="F571" s="6">
        <v>0</v>
      </c>
      <c r="G571" s="6">
        <v>5</v>
      </c>
      <c r="H571" s="6" t="s">
        <v>51770</v>
      </c>
      <c r="I571" s="6">
        <v>534.1875</v>
      </c>
      <c r="J571" s="2">
        <f t="shared" si="8"/>
        <v>43749.448231956012</v>
      </c>
    </row>
    <row r="572" spans="1:10" x14ac:dyDescent="0.25">
      <c r="A572" s="7" t="s">
        <v>51771</v>
      </c>
      <c r="B572" s="8">
        <v>393.75</v>
      </c>
      <c r="C572" s="8">
        <v>20.478950000000001</v>
      </c>
      <c r="D572" s="8">
        <v>74</v>
      </c>
      <c r="E572" s="8">
        <v>0</v>
      </c>
      <c r="F572" s="8">
        <v>0</v>
      </c>
      <c r="G572" s="8">
        <v>6</v>
      </c>
      <c r="H572" s="8" t="s">
        <v>51772</v>
      </c>
      <c r="I572" s="8">
        <v>526.6875</v>
      </c>
      <c r="J572" s="3">
        <f t="shared" si="8"/>
        <v>43749.448327118058</v>
      </c>
    </row>
    <row r="573" spans="1:10" x14ac:dyDescent="0.25">
      <c r="A573" s="5" t="s">
        <v>51773</v>
      </c>
      <c r="B573" s="6">
        <v>412.5</v>
      </c>
      <c r="C573" s="6">
        <v>20.478950000000001</v>
      </c>
      <c r="D573" s="6">
        <v>75</v>
      </c>
      <c r="E573" s="6">
        <v>0</v>
      </c>
      <c r="F573" s="6">
        <v>0</v>
      </c>
      <c r="G573" s="6">
        <v>5</v>
      </c>
      <c r="H573" s="6" t="s">
        <v>51774</v>
      </c>
      <c r="I573" s="6">
        <v>532.3125</v>
      </c>
      <c r="J573" s="2">
        <f t="shared" si="8"/>
        <v>43749.448398981483</v>
      </c>
    </row>
    <row r="574" spans="1:10" x14ac:dyDescent="0.25">
      <c r="A574" s="7" t="s">
        <v>51775</v>
      </c>
      <c r="B574" s="8">
        <v>393.75</v>
      </c>
      <c r="C574" s="8">
        <v>20.478950000000001</v>
      </c>
      <c r="D574" s="8">
        <v>77</v>
      </c>
      <c r="E574" s="8">
        <v>0</v>
      </c>
      <c r="F574" s="8">
        <v>0</v>
      </c>
      <c r="G574" s="8">
        <v>6</v>
      </c>
      <c r="H574" s="8" t="s">
        <v>51776</v>
      </c>
      <c r="I574" s="8">
        <v>526.6875</v>
      </c>
      <c r="J574" s="3">
        <f t="shared" si="8"/>
        <v>43749.448482442131</v>
      </c>
    </row>
    <row r="575" spans="1:10" x14ac:dyDescent="0.25">
      <c r="A575" s="5" t="s">
        <v>51777</v>
      </c>
      <c r="B575" s="6">
        <v>393.75</v>
      </c>
      <c r="C575" s="6">
        <v>20.478950000000001</v>
      </c>
      <c r="D575" s="6">
        <v>77</v>
      </c>
      <c r="E575" s="6">
        <v>0</v>
      </c>
      <c r="F575" s="6">
        <v>0</v>
      </c>
      <c r="G575" s="6">
        <v>8</v>
      </c>
      <c r="H575" s="6" t="s">
        <v>51778</v>
      </c>
      <c r="I575" s="6">
        <v>526.6875</v>
      </c>
      <c r="J575" s="2">
        <f t="shared" si="8"/>
        <v>43749.44856600694</v>
      </c>
    </row>
    <row r="576" spans="1:10" x14ac:dyDescent="0.25">
      <c r="A576" s="7" t="s">
        <v>51779</v>
      </c>
      <c r="B576" s="8">
        <v>393.75</v>
      </c>
      <c r="C576" s="8">
        <v>20.478950000000001</v>
      </c>
      <c r="D576" s="8">
        <v>77</v>
      </c>
      <c r="E576" s="8">
        <v>0</v>
      </c>
      <c r="F576" s="8">
        <v>0</v>
      </c>
      <c r="G576" s="8">
        <v>10</v>
      </c>
      <c r="H576" s="8" t="s">
        <v>51780</v>
      </c>
      <c r="I576" s="8">
        <v>526.6875</v>
      </c>
      <c r="J576" s="3">
        <f t="shared" si="8"/>
        <v>43749.448649108796</v>
      </c>
    </row>
    <row r="577" spans="1:10" x14ac:dyDescent="0.25">
      <c r="A577" s="5" t="s">
        <v>51781</v>
      </c>
      <c r="B577" s="6">
        <v>393.75</v>
      </c>
      <c r="C577" s="6">
        <v>20.426300000000001</v>
      </c>
      <c r="D577" s="6">
        <v>77</v>
      </c>
      <c r="E577" s="6">
        <v>0</v>
      </c>
      <c r="F577" s="6">
        <v>0</v>
      </c>
      <c r="G577" s="6">
        <v>6</v>
      </c>
      <c r="H577" s="6" t="s">
        <v>51782</v>
      </c>
      <c r="I577" s="6">
        <v>526.6875</v>
      </c>
      <c r="J577" s="2">
        <f t="shared" si="8"/>
        <v>43749.448720740744</v>
      </c>
    </row>
    <row r="578" spans="1:10" x14ac:dyDescent="0.25">
      <c r="A578" s="7" t="s">
        <v>51783</v>
      </c>
      <c r="B578" s="8">
        <v>393.75</v>
      </c>
      <c r="C578" s="8">
        <v>20.478950000000001</v>
      </c>
      <c r="D578" s="8">
        <v>69</v>
      </c>
      <c r="E578" s="8">
        <v>0</v>
      </c>
      <c r="F578" s="8">
        <v>0</v>
      </c>
      <c r="G578" s="8">
        <v>11</v>
      </c>
      <c r="H578" s="8" t="s">
        <v>51784</v>
      </c>
      <c r="I578" s="8">
        <v>526.6875</v>
      </c>
      <c r="J578" s="3">
        <f t="shared" ref="J578:J641" si="9">(H578/86400000)+25569+(7/24)</f>
        <v>43749.448804664346</v>
      </c>
    </row>
    <row r="579" spans="1:10" x14ac:dyDescent="0.25">
      <c r="A579" s="5" t="s">
        <v>51785</v>
      </c>
      <c r="B579" s="6">
        <v>393.75</v>
      </c>
      <c r="C579" s="6">
        <v>20.478950000000001</v>
      </c>
      <c r="D579" s="6">
        <v>69</v>
      </c>
      <c r="E579" s="6">
        <v>0</v>
      </c>
      <c r="F579" s="6">
        <v>0</v>
      </c>
      <c r="G579" s="6">
        <v>4</v>
      </c>
      <c r="H579" s="6" t="s">
        <v>51786</v>
      </c>
      <c r="I579" s="6">
        <v>526.6875</v>
      </c>
      <c r="J579" s="2">
        <f t="shared" si="9"/>
        <v>43749.448887997678</v>
      </c>
    </row>
    <row r="580" spans="1:10" x14ac:dyDescent="0.25">
      <c r="A580" s="7" t="s">
        <v>51787</v>
      </c>
      <c r="B580" s="8">
        <v>393.75</v>
      </c>
      <c r="C580" s="8">
        <v>20.478950000000001</v>
      </c>
      <c r="D580" s="8">
        <v>70</v>
      </c>
      <c r="E580" s="8">
        <v>0</v>
      </c>
      <c r="F580" s="8">
        <v>0</v>
      </c>
      <c r="G580" s="8">
        <v>4</v>
      </c>
      <c r="H580" s="8" t="s">
        <v>51788</v>
      </c>
      <c r="I580" s="8">
        <v>526.6875</v>
      </c>
      <c r="J580" s="3">
        <f t="shared" si="9"/>
        <v>43749.448971238424</v>
      </c>
    </row>
    <row r="581" spans="1:10" x14ac:dyDescent="0.25">
      <c r="A581" s="5" t="s">
        <v>51789</v>
      </c>
      <c r="B581" s="6">
        <v>393.75</v>
      </c>
      <c r="C581" s="6">
        <v>20.478950000000001</v>
      </c>
      <c r="D581" s="6">
        <v>70</v>
      </c>
      <c r="E581" s="6">
        <v>0</v>
      </c>
      <c r="F581" s="6">
        <v>0</v>
      </c>
      <c r="G581" s="6">
        <v>12</v>
      </c>
      <c r="H581" s="6" t="s">
        <v>51790</v>
      </c>
      <c r="I581" s="6">
        <v>526.6875</v>
      </c>
      <c r="J581" s="2">
        <f t="shared" si="9"/>
        <v>43749.44904295139</v>
      </c>
    </row>
    <row r="582" spans="1:10" x14ac:dyDescent="0.25">
      <c r="A582" s="7" t="s">
        <v>51791</v>
      </c>
      <c r="B582" s="8">
        <v>393.75</v>
      </c>
      <c r="C582" s="8">
        <v>20.478950000000001</v>
      </c>
      <c r="D582" s="8">
        <v>71</v>
      </c>
      <c r="E582" s="8">
        <v>0</v>
      </c>
      <c r="F582" s="8">
        <v>0</v>
      </c>
      <c r="G582" s="8">
        <v>0</v>
      </c>
      <c r="H582" s="8" t="s">
        <v>51792</v>
      </c>
      <c r="I582" s="8">
        <v>526.6875</v>
      </c>
      <c r="J582" s="3">
        <f t="shared" si="9"/>
        <v>43749.449126412037</v>
      </c>
    </row>
    <row r="583" spans="1:10" x14ac:dyDescent="0.25">
      <c r="A583" s="5" t="s">
        <v>51793</v>
      </c>
      <c r="B583" s="6">
        <v>393.75</v>
      </c>
      <c r="C583" s="6">
        <v>20.478950000000001</v>
      </c>
      <c r="D583" s="6">
        <v>72</v>
      </c>
      <c r="E583" s="6">
        <v>0</v>
      </c>
      <c r="F583" s="6">
        <v>0</v>
      </c>
      <c r="G583" s="6">
        <v>4</v>
      </c>
      <c r="H583" s="6" t="s">
        <v>51794</v>
      </c>
      <c r="I583" s="6">
        <v>526.5</v>
      </c>
      <c r="J583" s="2">
        <f t="shared" si="9"/>
        <v>43749.449209976847</v>
      </c>
    </row>
    <row r="584" spans="1:10" x14ac:dyDescent="0.25">
      <c r="A584" s="7" t="s">
        <v>51795</v>
      </c>
      <c r="B584" s="8">
        <v>393.75</v>
      </c>
      <c r="C584" s="8">
        <v>20.478950000000001</v>
      </c>
      <c r="D584" s="8">
        <v>75</v>
      </c>
      <c r="E584" s="8">
        <v>0</v>
      </c>
      <c r="F584" s="8">
        <v>0</v>
      </c>
      <c r="G584" s="8">
        <v>1</v>
      </c>
      <c r="H584" s="8" t="s">
        <v>51796</v>
      </c>
      <c r="I584" s="8">
        <v>526.6875</v>
      </c>
      <c r="J584" s="3">
        <f t="shared" si="9"/>
        <v>43749.44929355324</v>
      </c>
    </row>
    <row r="585" spans="1:10" x14ac:dyDescent="0.25">
      <c r="A585" s="5" t="s">
        <v>51797</v>
      </c>
      <c r="B585" s="6">
        <v>425</v>
      </c>
      <c r="C585" s="6">
        <v>20.478950000000001</v>
      </c>
      <c r="D585" s="6">
        <v>74</v>
      </c>
      <c r="E585" s="6">
        <v>0</v>
      </c>
      <c r="F585" s="6">
        <v>0</v>
      </c>
      <c r="G585" s="6">
        <v>0</v>
      </c>
      <c r="H585" s="6" t="s">
        <v>51798</v>
      </c>
      <c r="I585" s="6">
        <v>536.0625</v>
      </c>
      <c r="J585" s="2">
        <f t="shared" si="9"/>
        <v>43749.449388923611</v>
      </c>
    </row>
    <row r="586" spans="1:10" x14ac:dyDescent="0.25">
      <c r="A586" s="7" t="s">
        <v>51799</v>
      </c>
      <c r="B586" s="8">
        <v>393.75</v>
      </c>
      <c r="C586" s="8">
        <v>20.478950000000001</v>
      </c>
      <c r="D586" s="8">
        <v>72</v>
      </c>
      <c r="E586" s="8">
        <v>0</v>
      </c>
      <c r="F586" s="8">
        <v>0</v>
      </c>
      <c r="G586" s="8">
        <v>13</v>
      </c>
      <c r="H586" s="8" t="s">
        <v>51800</v>
      </c>
      <c r="I586" s="8">
        <v>526.6875</v>
      </c>
      <c r="J586" s="3">
        <f t="shared" si="9"/>
        <v>43749.449472372682</v>
      </c>
    </row>
    <row r="587" spans="1:10" x14ac:dyDescent="0.25">
      <c r="A587" s="5" t="s">
        <v>51801</v>
      </c>
      <c r="B587" s="6">
        <v>393.75</v>
      </c>
      <c r="C587" s="6">
        <v>20.478950000000001</v>
      </c>
      <c r="D587" s="6">
        <v>72</v>
      </c>
      <c r="E587" s="6">
        <v>0</v>
      </c>
      <c r="F587" s="6">
        <v>0</v>
      </c>
      <c r="G587" s="6">
        <v>9</v>
      </c>
      <c r="H587" s="6" t="s">
        <v>51802</v>
      </c>
      <c r="I587" s="6">
        <v>526.6875</v>
      </c>
      <c r="J587" s="2">
        <f t="shared" si="9"/>
        <v>43749.449555810184</v>
      </c>
    </row>
    <row r="588" spans="1:10" x14ac:dyDescent="0.25">
      <c r="A588" s="7" t="s">
        <v>51803</v>
      </c>
      <c r="B588" s="8">
        <v>393.75</v>
      </c>
      <c r="C588" s="8">
        <v>20.478950000000001</v>
      </c>
      <c r="D588" s="8">
        <v>72</v>
      </c>
      <c r="E588" s="8">
        <v>0</v>
      </c>
      <c r="F588" s="8">
        <v>0</v>
      </c>
      <c r="G588" s="8">
        <v>14</v>
      </c>
      <c r="H588" s="8" t="s">
        <v>51804</v>
      </c>
      <c r="I588" s="8">
        <v>526.6875</v>
      </c>
      <c r="J588" s="3">
        <f t="shared" si="9"/>
        <v>43749.449639398146</v>
      </c>
    </row>
    <row r="589" spans="1:10" x14ac:dyDescent="0.25">
      <c r="A589" s="5" t="s">
        <v>51805</v>
      </c>
      <c r="B589" s="6">
        <v>393.75</v>
      </c>
      <c r="C589" s="6">
        <v>20.478950000000001</v>
      </c>
      <c r="D589" s="6">
        <v>73</v>
      </c>
      <c r="E589" s="6">
        <v>0</v>
      </c>
      <c r="F589" s="6">
        <v>0</v>
      </c>
      <c r="G589" s="6">
        <v>4</v>
      </c>
      <c r="H589" s="6" t="s">
        <v>51806</v>
      </c>
      <c r="I589" s="6">
        <v>526.6875</v>
      </c>
      <c r="J589" s="2">
        <f t="shared" si="9"/>
        <v>43749.449722824073</v>
      </c>
    </row>
    <row r="590" spans="1:10" x14ac:dyDescent="0.25">
      <c r="A590" s="7" t="s">
        <v>51807</v>
      </c>
      <c r="B590" s="8">
        <v>412.5</v>
      </c>
      <c r="C590" s="8">
        <v>20.478950000000001</v>
      </c>
      <c r="D590" s="8">
        <v>74</v>
      </c>
      <c r="E590" s="8">
        <v>0</v>
      </c>
      <c r="F590" s="8">
        <v>0</v>
      </c>
      <c r="G590" s="8">
        <v>12</v>
      </c>
      <c r="H590" s="8" t="s">
        <v>51808</v>
      </c>
      <c r="I590" s="8">
        <v>532.3125</v>
      </c>
      <c r="J590" s="3">
        <f t="shared" si="9"/>
        <v>43749.44980628472</v>
      </c>
    </row>
    <row r="591" spans="1:10" x14ac:dyDescent="0.25">
      <c r="A591" s="5" t="s">
        <v>51809</v>
      </c>
      <c r="B591" s="6">
        <v>393.75</v>
      </c>
      <c r="C591" s="6">
        <v>20.478950000000001</v>
      </c>
      <c r="D591" s="6">
        <v>74</v>
      </c>
      <c r="E591" s="6">
        <v>0</v>
      </c>
      <c r="F591" s="6">
        <v>0</v>
      </c>
      <c r="G591" s="6">
        <v>8</v>
      </c>
      <c r="H591" s="6" t="s">
        <v>51810</v>
      </c>
      <c r="I591" s="6">
        <v>526.6875</v>
      </c>
      <c r="J591" s="2">
        <f t="shared" si="9"/>
        <v>43749.449889722215</v>
      </c>
    </row>
    <row r="592" spans="1:10" x14ac:dyDescent="0.25">
      <c r="A592" s="7" t="s">
        <v>51811</v>
      </c>
      <c r="B592" s="8">
        <v>393.75</v>
      </c>
      <c r="C592" s="8">
        <v>20.478950000000001</v>
      </c>
      <c r="D592" s="8">
        <v>74</v>
      </c>
      <c r="E592" s="8">
        <v>0</v>
      </c>
      <c r="F592" s="8">
        <v>0</v>
      </c>
      <c r="G592" s="8">
        <v>10</v>
      </c>
      <c r="H592" s="8" t="s">
        <v>51812</v>
      </c>
      <c r="I592" s="8">
        <v>526.6875</v>
      </c>
      <c r="J592" s="3">
        <f t="shared" si="9"/>
        <v>43749.449973287039</v>
      </c>
    </row>
    <row r="593" spans="1:10" x14ac:dyDescent="0.25">
      <c r="A593" s="5" t="s">
        <v>51813</v>
      </c>
      <c r="B593" s="6">
        <v>393.75</v>
      </c>
      <c r="C593" s="6">
        <v>20.478950000000001</v>
      </c>
      <c r="D593" s="6">
        <v>74</v>
      </c>
      <c r="E593" s="6">
        <v>0</v>
      </c>
      <c r="F593" s="6">
        <v>0</v>
      </c>
      <c r="G593" s="6">
        <v>14</v>
      </c>
      <c r="H593" s="6" t="s">
        <v>51814</v>
      </c>
      <c r="I593" s="6">
        <v>526.6875</v>
      </c>
      <c r="J593" s="2">
        <f t="shared" si="9"/>
        <v>43749.45004481481</v>
      </c>
    </row>
    <row r="594" spans="1:10" x14ac:dyDescent="0.25">
      <c r="A594" s="7" t="s">
        <v>51815</v>
      </c>
      <c r="B594" s="8">
        <v>393.75</v>
      </c>
      <c r="C594" s="8">
        <v>20.478950000000001</v>
      </c>
      <c r="D594" s="8">
        <v>73</v>
      </c>
      <c r="E594" s="8">
        <v>0</v>
      </c>
      <c r="F594" s="8">
        <v>0</v>
      </c>
      <c r="G594" s="8">
        <v>9</v>
      </c>
      <c r="H594" s="8" t="s">
        <v>51816</v>
      </c>
      <c r="I594" s="8">
        <v>526.6875</v>
      </c>
      <c r="J594" s="3">
        <f t="shared" si="9"/>
        <v>43749.450128275457</v>
      </c>
    </row>
    <row r="595" spans="1:10" x14ac:dyDescent="0.25">
      <c r="A595" s="5" t="s">
        <v>51817</v>
      </c>
      <c r="B595" s="6">
        <v>412.5</v>
      </c>
      <c r="C595" s="6">
        <v>20.478950000000001</v>
      </c>
      <c r="D595" s="6">
        <v>73</v>
      </c>
      <c r="E595" s="6">
        <v>0</v>
      </c>
      <c r="F595" s="6">
        <v>0</v>
      </c>
      <c r="G595" s="6">
        <v>5</v>
      </c>
      <c r="H595" s="6" t="s">
        <v>51818</v>
      </c>
      <c r="I595" s="6">
        <v>532.3125</v>
      </c>
      <c r="J595" s="2">
        <f t="shared" si="9"/>
        <v>43749.450211956013</v>
      </c>
    </row>
    <row r="596" spans="1:10" x14ac:dyDescent="0.25">
      <c r="A596" s="7" t="s">
        <v>51819</v>
      </c>
      <c r="B596" s="8">
        <v>393.75</v>
      </c>
      <c r="C596" s="8">
        <v>20.478950000000001</v>
      </c>
      <c r="D596" s="8">
        <v>74</v>
      </c>
      <c r="E596" s="8">
        <v>0</v>
      </c>
      <c r="F596" s="8">
        <v>0</v>
      </c>
      <c r="G596" s="8">
        <v>7</v>
      </c>
      <c r="H596" s="8" t="s">
        <v>51820</v>
      </c>
      <c r="I596" s="8">
        <v>526.6875</v>
      </c>
      <c r="J596" s="3">
        <f t="shared" si="9"/>
        <v>43749.450295300929</v>
      </c>
    </row>
    <row r="597" spans="1:10" x14ac:dyDescent="0.25">
      <c r="A597" s="5" t="s">
        <v>51821</v>
      </c>
      <c r="B597" s="6">
        <v>393.75</v>
      </c>
      <c r="C597" s="6">
        <v>20.478950000000001</v>
      </c>
      <c r="D597" s="6">
        <v>73</v>
      </c>
      <c r="E597" s="6">
        <v>0</v>
      </c>
      <c r="F597" s="6">
        <v>0</v>
      </c>
      <c r="G597" s="6">
        <v>0</v>
      </c>
      <c r="H597" s="6" t="s">
        <v>51822</v>
      </c>
      <c r="I597" s="6">
        <v>526.6875</v>
      </c>
      <c r="J597" s="2">
        <f t="shared" si="9"/>
        <v>43749.450378749993</v>
      </c>
    </row>
    <row r="598" spans="1:10" x14ac:dyDescent="0.25">
      <c r="A598" s="7" t="s">
        <v>51823</v>
      </c>
      <c r="B598" s="8">
        <v>393.75</v>
      </c>
      <c r="C598" s="8">
        <v>20.478950000000001</v>
      </c>
      <c r="D598" s="8">
        <v>72</v>
      </c>
      <c r="E598" s="8">
        <v>0</v>
      </c>
      <c r="F598" s="8">
        <v>0</v>
      </c>
      <c r="G598" s="8">
        <v>15</v>
      </c>
      <c r="H598" s="8" t="s">
        <v>51824</v>
      </c>
      <c r="I598" s="8">
        <v>526.6875</v>
      </c>
      <c r="J598" s="3">
        <f t="shared" si="9"/>
        <v>43749.450462291665</v>
      </c>
    </row>
    <row r="599" spans="1:10" x14ac:dyDescent="0.25">
      <c r="A599" s="5" t="s">
        <v>51825</v>
      </c>
      <c r="B599" s="6">
        <v>393.75</v>
      </c>
      <c r="C599" s="6">
        <v>20.478950000000001</v>
      </c>
      <c r="D599" s="6">
        <v>72</v>
      </c>
      <c r="E599" s="6">
        <v>0</v>
      </c>
      <c r="F599" s="6">
        <v>0</v>
      </c>
      <c r="G599" s="6">
        <v>0</v>
      </c>
      <c r="H599" s="6" t="s">
        <v>51826</v>
      </c>
      <c r="I599" s="6">
        <v>526.6875</v>
      </c>
      <c r="J599" s="2">
        <f t="shared" si="9"/>
        <v>43749.450545497682</v>
      </c>
    </row>
    <row r="600" spans="1:10" x14ac:dyDescent="0.25">
      <c r="A600" s="7" t="s">
        <v>51827</v>
      </c>
      <c r="B600" s="8">
        <v>393.75</v>
      </c>
      <c r="C600" s="8">
        <v>20.478950000000001</v>
      </c>
      <c r="D600" s="8">
        <v>72</v>
      </c>
      <c r="E600" s="8">
        <v>0</v>
      </c>
      <c r="F600" s="8">
        <v>0</v>
      </c>
      <c r="G600" s="8">
        <v>12</v>
      </c>
      <c r="H600" s="8" t="s">
        <v>51828</v>
      </c>
      <c r="I600" s="8">
        <v>526.6875</v>
      </c>
      <c r="J600" s="3">
        <f t="shared" si="9"/>
        <v>43749.450617013885</v>
      </c>
    </row>
    <row r="601" spans="1:10" x14ac:dyDescent="0.25">
      <c r="A601" s="5" t="s">
        <v>51829</v>
      </c>
      <c r="B601" s="6">
        <v>393.75</v>
      </c>
      <c r="C601" s="6">
        <v>20.478950000000001</v>
      </c>
      <c r="D601" s="6">
        <v>72</v>
      </c>
      <c r="E601" s="6">
        <v>0</v>
      </c>
      <c r="F601" s="6">
        <v>0</v>
      </c>
      <c r="G601" s="6">
        <v>6</v>
      </c>
      <c r="H601" s="6" t="s">
        <v>51830</v>
      </c>
      <c r="I601" s="6">
        <v>526.6875</v>
      </c>
      <c r="J601" s="2">
        <f t="shared" si="9"/>
        <v>43749.450700810186</v>
      </c>
    </row>
    <row r="602" spans="1:10" x14ac:dyDescent="0.25">
      <c r="A602" s="7" t="s">
        <v>51831</v>
      </c>
      <c r="B602" s="8">
        <v>393.75</v>
      </c>
      <c r="C602" s="8">
        <v>20.478950000000001</v>
      </c>
      <c r="D602" s="8">
        <v>71</v>
      </c>
      <c r="E602" s="8">
        <v>0</v>
      </c>
      <c r="F602" s="8">
        <v>0</v>
      </c>
      <c r="G602" s="8">
        <v>3</v>
      </c>
      <c r="H602" s="8" t="s">
        <v>51832</v>
      </c>
      <c r="I602" s="8">
        <v>526.6875</v>
      </c>
      <c r="J602" s="3">
        <f t="shared" si="9"/>
        <v>43749.450784120367</v>
      </c>
    </row>
    <row r="603" spans="1:10" x14ac:dyDescent="0.25">
      <c r="A603" s="5" t="s">
        <v>51833</v>
      </c>
      <c r="B603" s="6">
        <v>393.75</v>
      </c>
      <c r="C603" s="6">
        <v>20.478950000000001</v>
      </c>
      <c r="D603" s="6">
        <v>71</v>
      </c>
      <c r="E603" s="6">
        <v>0</v>
      </c>
      <c r="F603" s="6">
        <v>0</v>
      </c>
      <c r="G603" s="6">
        <v>12</v>
      </c>
      <c r="H603" s="6" t="s">
        <v>51834</v>
      </c>
      <c r="I603" s="6">
        <v>526.6875</v>
      </c>
      <c r="J603" s="2">
        <f t="shared" si="9"/>
        <v>43749.450867465275</v>
      </c>
    </row>
    <row r="604" spans="1:10" x14ac:dyDescent="0.25">
      <c r="A604" s="7" t="s">
        <v>51835</v>
      </c>
      <c r="B604" s="8">
        <v>393.75</v>
      </c>
      <c r="C604" s="8">
        <v>20.478950000000001</v>
      </c>
      <c r="D604" s="8">
        <v>71</v>
      </c>
      <c r="E604" s="8">
        <v>0</v>
      </c>
      <c r="F604" s="8">
        <v>0</v>
      </c>
      <c r="G604" s="8">
        <v>16</v>
      </c>
      <c r="H604" s="8" t="s">
        <v>51836</v>
      </c>
      <c r="I604" s="8">
        <v>526.6875</v>
      </c>
      <c r="J604" s="3">
        <f t="shared" si="9"/>
        <v>43749.450939212962</v>
      </c>
    </row>
    <row r="605" spans="1:10" x14ac:dyDescent="0.25">
      <c r="A605" s="5" t="s">
        <v>51837</v>
      </c>
      <c r="B605" s="6">
        <v>393.75</v>
      </c>
      <c r="C605" s="6">
        <v>20.478950000000001</v>
      </c>
      <c r="D605" s="6">
        <v>71</v>
      </c>
      <c r="E605" s="6">
        <v>0</v>
      </c>
      <c r="F605" s="6">
        <v>0</v>
      </c>
      <c r="G605" s="6">
        <v>2</v>
      </c>
      <c r="H605" s="6" t="s">
        <v>51838</v>
      </c>
      <c r="I605" s="6">
        <v>526.6875</v>
      </c>
      <c r="J605" s="2">
        <f t="shared" si="9"/>
        <v>43749.451034259262</v>
      </c>
    </row>
    <row r="606" spans="1:10" x14ac:dyDescent="0.25">
      <c r="A606" s="7" t="s">
        <v>51839</v>
      </c>
      <c r="B606" s="8">
        <v>393.75</v>
      </c>
      <c r="C606" s="8">
        <v>20.478950000000001</v>
      </c>
      <c r="D606" s="8">
        <v>71</v>
      </c>
      <c r="E606" s="8">
        <v>0</v>
      </c>
      <c r="F606" s="8">
        <v>0</v>
      </c>
      <c r="G606" s="8">
        <v>18</v>
      </c>
      <c r="H606" s="8" t="s">
        <v>51840</v>
      </c>
      <c r="I606" s="8">
        <v>526.6875</v>
      </c>
      <c r="J606" s="3">
        <f t="shared" si="9"/>
        <v>43749.451105914348</v>
      </c>
    </row>
    <row r="607" spans="1:10" x14ac:dyDescent="0.25">
      <c r="A607" s="5" t="s">
        <v>51841</v>
      </c>
      <c r="B607" s="6">
        <v>393.75</v>
      </c>
      <c r="C607" s="6">
        <v>20.478950000000001</v>
      </c>
      <c r="D607" s="6">
        <v>73</v>
      </c>
      <c r="E607" s="6">
        <v>0</v>
      </c>
      <c r="F607" s="6">
        <v>0</v>
      </c>
      <c r="G607" s="6">
        <v>9</v>
      </c>
      <c r="H607" s="6" t="s">
        <v>51842</v>
      </c>
      <c r="I607" s="6">
        <v>526.6875</v>
      </c>
      <c r="J607" s="2">
        <f t="shared" si="9"/>
        <v>43749.451189733794</v>
      </c>
    </row>
    <row r="608" spans="1:10" x14ac:dyDescent="0.25">
      <c r="A608" s="7" t="s">
        <v>51843</v>
      </c>
      <c r="B608" s="8">
        <v>393.75</v>
      </c>
      <c r="C608" s="8">
        <v>20.478950000000001</v>
      </c>
      <c r="D608" s="8">
        <v>72</v>
      </c>
      <c r="E608" s="8">
        <v>0</v>
      </c>
      <c r="F608" s="8">
        <v>0</v>
      </c>
      <c r="G608" s="8">
        <v>6</v>
      </c>
      <c r="H608" s="8" t="s">
        <v>51844</v>
      </c>
      <c r="I608" s="8">
        <v>526.6875</v>
      </c>
      <c r="J608" s="3">
        <f t="shared" si="9"/>
        <v>43749.451273171297</v>
      </c>
    </row>
    <row r="609" spans="1:10" x14ac:dyDescent="0.25">
      <c r="A609" s="5" t="s">
        <v>51845</v>
      </c>
      <c r="B609" s="6">
        <v>393.75</v>
      </c>
      <c r="C609" s="6">
        <v>20.478950000000001</v>
      </c>
      <c r="D609" s="6">
        <v>71</v>
      </c>
      <c r="E609" s="6">
        <v>0</v>
      </c>
      <c r="F609" s="6">
        <v>0</v>
      </c>
      <c r="G609" s="6">
        <v>12</v>
      </c>
      <c r="H609" s="6" t="s">
        <v>51846</v>
      </c>
      <c r="I609" s="6">
        <v>526.6875</v>
      </c>
      <c r="J609" s="2">
        <f t="shared" si="9"/>
        <v>43749.451356481477</v>
      </c>
    </row>
    <row r="610" spans="1:10" x14ac:dyDescent="0.25">
      <c r="A610" s="7" t="s">
        <v>51847</v>
      </c>
      <c r="B610" s="8">
        <v>393.75</v>
      </c>
      <c r="C610" s="8">
        <v>20.478950000000001</v>
      </c>
      <c r="D610" s="8">
        <v>72</v>
      </c>
      <c r="E610" s="8">
        <v>0</v>
      </c>
      <c r="F610" s="8">
        <v>0</v>
      </c>
      <c r="G610" s="8">
        <v>6</v>
      </c>
      <c r="H610" s="8" t="s">
        <v>51848</v>
      </c>
      <c r="I610" s="8">
        <v>526.6875</v>
      </c>
      <c r="J610" s="3">
        <f t="shared" si="9"/>
        <v>43749.45144005787</v>
      </c>
    </row>
    <row r="611" spans="1:10" x14ac:dyDescent="0.25">
      <c r="A611" s="5" t="s">
        <v>51849</v>
      </c>
      <c r="B611" s="6">
        <v>393.75</v>
      </c>
      <c r="C611" s="6">
        <v>20.478950000000001</v>
      </c>
      <c r="D611" s="6">
        <v>71</v>
      </c>
      <c r="E611" s="6">
        <v>0</v>
      </c>
      <c r="F611" s="6">
        <v>0</v>
      </c>
      <c r="G611" s="6">
        <v>6</v>
      </c>
      <c r="H611" s="6" t="s">
        <v>51850</v>
      </c>
      <c r="I611" s="6">
        <v>526.6875</v>
      </c>
      <c r="J611" s="2">
        <f t="shared" si="9"/>
        <v>43749.451523738426</v>
      </c>
    </row>
    <row r="612" spans="1:10" x14ac:dyDescent="0.25">
      <c r="A612" s="7" t="s">
        <v>51851</v>
      </c>
      <c r="B612" s="8">
        <v>412.5</v>
      </c>
      <c r="C612" s="8">
        <v>20.478950000000001</v>
      </c>
      <c r="D612" s="8">
        <v>71</v>
      </c>
      <c r="E612" s="8">
        <v>0</v>
      </c>
      <c r="F612" s="8">
        <v>0</v>
      </c>
      <c r="G612" s="8">
        <v>11</v>
      </c>
      <c r="H612" s="8" t="s">
        <v>51852</v>
      </c>
      <c r="I612" s="8">
        <v>532.875</v>
      </c>
      <c r="J612" s="3">
        <f t="shared" si="9"/>
        <v>43749.451607129631</v>
      </c>
    </row>
    <row r="613" spans="1:10" x14ac:dyDescent="0.25">
      <c r="A613" s="5" t="s">
        <v>51853</v>
      </c>
      <c r="B613" s="6">
        <v>393.75</v>
      </c>
      <c r="C613" s="6">
        <v>20.478950000000001</v>
      </c>
      <c r="D613" s="6">
        <v>73</v>
      </c>
      <c r="E613" s="6">
        <v>0</v>
      </c>
      <c r="F613" s="6">
        <v>0</v>
      </c>
      <c r="G613" s="6">
        <v>6</v>
      </c>
      <c r="H613" s="6" t="s">
        <v>51854</v>
      </c>
      <c r="I613" s="6">
        <v>526.6875</v>
      </c>
      <c r="J613" s="2">
        <f t="shared" si="9"/>
        <v>43749.451690740738</v>
      </c>
    </row>
    <row r="614" spans="1:10" x14ac:dyDescent="0.25">
      <c r="A614" s="7" t="s">
        <v>51855</v>
      </c>
      <c r="B614" s="8">
        <v>393.75</v>
      </c>
      <c r="C614" s="8">
        <v>20.478950000000001</v>
      </c>
      <c r="D614" s="8">
        <v>73</v>
      </c>
      <c r="E614" s="8">
        <v>0</v>
      </c>
      <c r="F614" s="8">
        <v>0</v>
      </c>
      <c r="G614" s="8">
        <v>10</v>
      </c>
      <c r="H614" s="8" t="s">
        <v>51856</v>
      </c>
      <c r="I614" s="8">
        <v>526.5</v>
      </c>
      <c r="J614" s="3">
        <f t="shared" si="9"/>
        <v>43749.451762175922</v>
      </c>
    </row>
    <row r="615" spans="1:10" x14ac:dyDescent="0.25">
      <c r="A615" s="5" t="s">
        <v>51857</v>
      </c>
      <c r="B615" s="6">
        <v>393.75</v>
      </c>
      <c r="C615" s="6">
        <v>20.478950000000001</v>
      </c>
      <c r="D615" s="6">
        <v>72</v>
      </c>
      <c r="E615" s="6">
        <v>0</v>
      </c>
      <c r="F615" s="6">
        <v>0</v>
      </c>
      <c r="G615" s="6">
        <v>2</v>
      </c>
      <c r="H615" s="6" t="s">
        <v>51858</v>
      </c>
      <c r="I615" s="6">
        <v>526.6875</v>
      </c>
      <c r="J615" s="2">
        <f t="shared" si="9"/>
        <v>43749.451845370371</v>
      </c>
    </row>
    <row r="616" spans="1:10" x14ac:dyDescent="0.25">
      <c r="A616" s="7" t="s">
        <v>51859</v>
      </c>
      <c r="B616" s="8">
        <v>393.75</v>
      </c>
      <c r="C616" s="8">
        <v>20.478950000000001</v>
      </c>
      <c r="D616" s="8">
        <v>72</v>
      </c>
      <c r="E616" s="8">
        <v>0</v>
      </c>
      <c r="F616" s="8">
        <v>0</v>
      </c>
      <c r="G616" s="8">
        <v>12</v>
      </c>
      <c r="H616" s="8" t="s">
        <v>51860</v>
      </c>
      <c r="I616" s="8">
        <v>526.6875</v>
      </c>
      <c r="J616" s="3">
        <f t="shared" si="9"/>
        <v>43749.451917245366</v>
      </c>
    </row>
    <row r="617" spans="1:10" x14ac:dyDescent="0.25">
      <c r="A617" s="5" t="s">
        <v>51861</v>
      </c>
      <c r="B617" s="6">
        <v>393.75</v>
      </c>
      <c r="C617" s="6">
        <v>20.478950000000001</v>
      </c>
      <c r="D617" s="6">
        <v>72</v>
      </c>
      <c r="E617" s="6">
        <v>0</v>
      </c>
      <c r="F617" s="6">
        <v>0</v>
      </c>
      <c r="G617" s="6">
        <v>10</v>
      </c>
      <c r="H617" s="6" t="s">
        <v>51862</v>
      </c>
      <c r="I617" s="6">
        <v>526.6875</v>
      </c>
      <c r="J617" s="2">
        <f t="shared" si="9"/>
        <v>43749.452000833327</v>
      </c>
    </row>
    <row r="618" spans="1:10" x14ac:dyDescent="0.25">
      <c r="A618" s="7" t="s">
        <v>51863</v>
      </c>
      <c r="B618" s="8">
        <v>393.75</v>
      </c>
      <c r="C618" s="8">
        <v>20.478950000000001</v>
      </c>
      <c r="D618" s="8">
        <v>72</v>
      </c>
      <c r="E618" s="8">
        <v>0</v>
      </c>
      <c r="F618" s="8">
        <v>0</v>
      </c>
      <c r="G618" s="8">
        <v>14</v>
      </c>
      <c r="H618" s="8" t="s">
        <v>51864</v>
      </c>
      <c r="I618" s="8">
        <v>526.6875</v>
      </c>
      <c r="J618" s="3">
        <f t="shared" si="9"/>
        <v>43749.452084247685</v>
      </c>
    </row>
    <row r="619" spans="1:10" x14ac:dyDescent="0.25">
      <c r="A619" s="5" t="s">
        <v>51865</v>
      </c>
      <c r="B619" s="6">
        <v>393.75</v>
      </c>
      <c r="C619" s="6">
        <v>20.478950000000001</v>
      </c>
      <c r="D619" s="6">
        <v>72</v>
      </c>
      <c r="E619" s="6">
        <v>0</v>
      </c>
      <c r="F619" s="6">
        <v>0</v>
      </c>
      <c r="G619" s="6">
        <v>8</v>
      </c>
      <c r="H619" s="6" t="s">
        <v>51866</v>
      </c>
      <c r="I619" s="6">
        <v>526.6875</v>
      </c>
      <c r="J619" s="2">
        <f t="shared" si="9"/>
        <v>43749.452167499992</v>
      </c>
    </row>
    <row r="620" spans="1:10" x14ac:dyDescent="0.25">
      <c r="A620" s="7" t="s">
        <v>51867</v>
      </c>
      <c r="B620" s="8">
        <v>409.375</v>
      </c>
      <c r="C620" s="8">
        <v>20.478950000000001</v>
      </c>
      <c r="D620" s="8">
        <v>72</v>
      </c>
      <c r="E620" s="8">
        <v>0</v>
      </c>
      <c r="F620" s="8">
        <v>0</v>
      </c>
      <c r="G620" s="8">
        <v>3</v>
      </c>
      <c r="H620" s="8" t="s">
        <v>51868</v>
      </c>
      <c r="I620" s="8">
        <v>531.5625</v>
      </c>
      <c r="J620" s="3">
        <f t="shared" si="9"/>
        <v>43749.452239143517</v>
      </c>
    </row>
    <row r="621" spans="1:10" x14ac:dyDescent="0.25">
      <c r="A621" s="5" t="s">
        <v>51869</v>
      </c>
      <c r="B621" s="6">
        <v>393.75</v>
      </c>
      <c r="C621" s="6">
        <v>20.478950000000001</v>
      </c>
      <c r="D621" s="6">
        <v>75</v>
      </c>
      <c r="E621" s="6">
        <v>0</v>
      </c>
      <c r="F621" s="6">
        <v>0</v>
      </c>
      <c r="G621" s="6">
        <v>10</v>
      </c>
      <c r="H621" s="6" t="s">
        <v>51870</v>
      </c>
      <c r="I621" s="6">
        <v>526.6875</v>
      </c>
      <c r="J621" s="2">
        <f t="shared" si="9"/>
        <v>43749.452322708334</v>
      </c>
    </row>
    <row r="622" spans="1:10" x14ac:dyDescent="0.25">
      <c r="A622" s="7" t="s">
        <v>51871</v>
      </c>
      <c r="B622" s="8">
        <v>393.75</v>
      </c>
      <c r="C622" s="8">
        <v>20.478950000000001</v>
      </c>
      <c r="D622" s="8">
        <v>74</v>
      </c>
      <c r="E622" s="8">
        <v>0</v>
      </c>
      <c r="F622" s="8">
        <v>0</v>
      </c>
      <c r="G622" s="8">
        <v>12</v>
      </c>
      <c r="H622" s="8" t="s">
        <v>51872</v>
      </c>
      <c r="I622" s="8">
        <v>526.6875</v>
      </c>
      <c r="J622" s="3">
        <f t="shared" si="9"/>
        <v>43749.45240631944</v>
      </c>
    </row>
    <row r="623" spans="1:10" x14ac:dyDescent="0.25">
      <c r="A623" s="5" t="s">
        <v>51873</v>
      </c>
      <c r="B623" s="6">
        <v>393.75</v>
      </c>
      <c r="C623" s="6">
        <v>20.478950000000001</v>
      </c>
      <c r="D623" s="6">
        <v>74</v>
      </c>
      <c r="E623" s="6">
        <v>0</v>
      </c>
      <c r="F623" s="6">
        <v>0</v>
      </c>
      <c r="G623" s="6">
        <v>10</v>
      </c>
      <c r="H623" s="6" t="s">
        <v>51874</v>
      </c>
      <c r="I623" s="6">
        <v>526.6875</v>
      </c>
      <c r="J623" s="2">
        <f t="shared" si="9"/>
        <v>43749.45248983796</v>
      </c>
    </row>
    <row r="624" spans="1:10" x14ac:dyDescent="0.25">
      <c r="A624" s="7" t="s">
        <v>51875</v>
      </c>
      <c r="B624" s="8">
        <v>393.75</v>
      </c>
      <c r="C624" s="8">
        <v>20.478950000000001</v>
      </c>
      <c r="D624" s="8">
        <v>72</v>
      </c>
      <c r="E624" s="8">
        <v>0</v>
      </c>
      <c r="F624" s="8">
        <v>0</v>
      </c>
      <c r="G624" s="8">
        <v>12</v>
      </c>
      <c r="H624" s="8" t="s">
        <v>51876</v>
      </c>
      <c r="I624" s="8">
        <v>526.6875</v>
      </c>
      <c r="J624" s="3">
        <f t="shared" si="9"/>
        <v>43749.452573171293</v>
      </c>
    </row>
    <row r="625" spans="1:10" x14ac:dyDescent="0.25">
      <c r="A625" s="5" t="s">
        <v>51877</v>
      </c>
      <c r="B625" s="6">
        <v>393.75</v>
      </c>
      <c r="C625" s="6">
        <v>20.478950000000001</v>
      </c>
      <c r="D625" s="6">
        <v>71</v>
      </c>
      <c r="E625" s="6">
        <v>0</v>
      </c>
      <c r="F625" s="6">
        <v>0</v>
      </c>
      <c r="G625" s="6">
        <v>14</v>
      </c>
      <c r="H625" s="6" t="s">
        <v>51878</v>
      </c>
      <c r="I625" s="6">
        <v>526.6875</v>
      </c>
      <c r="J625" s="2">
        <f t="shared" si="9"/>
        <v>43749.452656608795</v>
      </c>
    </row>
    <row r="626" spans="1:10" x14ac:dyDescent="0.25">
      <c r="A626" s="7" t="s">
        <v>51879</v>
      </c>
      <c r="B626" s="8">
        <v>393.75</v>
      </c>
      <c r="C626" s="8">
        <v>20.478950000000001</v>
      </c>
      <c r="D626" s="8">
        <v>71</v>
      </c>
      <c r="E626" s="8">
        <v>0</v>
      </c>
      <c r="F626" s="8">
        <v>0</v>
      </c>
      <c r="G626" s="8">
        <v>15</v>
      </c>
      <c r="H626" s="8" t="s">
        <v>51880</v>
      </c>
      <c r="I626" s="8">
        <v>526.6875</v>
      </c>
      <c r="J626" s="3">
        <f t="shared" si="9"/>
        <v>43749.452728136566</v>
      </c>
    </row>
    <row r="627" spans="1:10" x14ac:dyDescent="0.25">
      <c r="A627" s="5" t="s">
        <v>51881</v>
      </c>
      <c r="B627" s="6">
        <v>393.75</v>
      </c>
      <c r="C627" s="6">
        <v>20.478950000000001</v>
      </c>
      <c r="D627" s="6">
        <v>70</v>
      </c>
      <c r="E627" s="6">
        <v>0</v>
      </c>
      <c r="F627" s="6">
        <v>0</v>
      </c>
      <c r="G627" s="6">
        <v>6</v>
      </c>
      <c r="H627" s="6" t="s">
        <v>51882</v>
      </c>
      <c r="I627" s="6">
        <v>526.6875</v>
      </c>
      <c r="J627" s="2">
        <f t="shared" si="9"/>
        <v>43749.452811712959</v>
      </c>
    </row>
    <row r="628" spans="1:10" x14ac:dyDescent="0.25">
      <c r="A628" s="7" t="s">
        <v>51883</v>
      </c>
      <c r="B628" s="8">
        <v>393.75</v>
      </c>
      <c r="C628" s="8">
        <v>20.478950000000001</v>
      </c>
      <c r="D628" s="8">
        <v>71</v>
      </c>
      <c r="E628" s="8">
        <v>0</v>
      </c>
      <c r="F628" s="8">
        <v>0</v>
      </c>
      <c r="G628" s="8">
        <v>7</v>
      </c>
      <c r="H628" s="8" t="s">
        <v>51884</v>
      </c>
      <c r="I628" s="8">
        <v>526.6875</v>
      </c>
      <c r="J628" s="3">
        <f t="shared" si="9"/>
        <v>43749.452895162038</v>
      </c>
    </row>
    <row r="629" spans="1:10" x14ac:dyDescent="0.25">
      <c r="A629" s="5" t="s">
        <v>51885</v>
      </c>
      <c r="B629" s="6">
        <v>393.75</v>
      </c>
      <c r="C629" s="6">
        <v>20.478950000000001</v>
      </c>
      <c r="D629" s="6">
        <v>71</v>
      </c>
      <c r="E629" s="6">
        <v>0</v>
      </c>
      <c r="F629" s="6">
        <v>0</v>
      </c>
      <c r="G629" s="6">
        <v>13</v>
      </c>
      <c r="H629" s="6" t="s">
        <v>51886</v>
      </c>
      <c r="I629" s="6">
        <v>526.6875</v>
      </c>
      <c r="J629" s="2">
        <f t="shared" si="9"/>
        <v>43749.452978703703</v>
      </c>
    </row>
    <row r="630" spans="1:10" x14ac:dyDescent="0.25">
      <c r="A630" s="7" t="s">
        <v>51887</v>
      </c>
      <c r="B630" s="8">
        <v>412.5</v>
      </c>
      <c r="C630" s="8">
        <v>20.478950000000001</v>
      </c>
      <c r="D630" s="8">
        <v>71</v>
      </c>
      <c r="E630" s="8">
        <v>0</v>
      </c>
      <c r="F630" s="8">
        <v>0</v>
      </c>
      <c r="G630" s="8">
        <v>9</v>
      </c>
      <c r="H630" s="8" t="s">
        <v>51888</v>
      </c>
      <c r="I630" s="8">
        <v>532.5</v>
      </c>
      <c r="J630" s="3">
        <f t="shared" si="9"/>
        <v>43749.45306216435</v>
      </c>
    </row>
    <row r="631" spans="1:10" x14ac:dyDescent="0.25">
      <c r="A631" s="5" t="s">
        <v>51889</v>
      </c>
      <c r="B631" s="6">
        <v>393.75</v>
      </c>
      <c r="C631" s="6">
        <v>20.478950000000001</v>
      </c>
      <c r="D631" s="6">
        <v>71</v>
      </c>
      <c r="E631" s="6">
        <v>0</v>
      </c>
      <c r="F631" s="6">
        <v>0</v>
      </c>
      <c r="G631" s="6">
        <v>15</v>
      </c>
      <c r="H631" s="6" t="s">
        <v>51890</v>
      </c>
      <c r="I631" s="6">
        <v>526.6875</v>
      </c>
      <c r="J631" s="2">
        <f t="shared" si="9"/>
        <v>43749.453145370368</v>
      </c>
    </row>
    <row r="632" spans="1:10" x14ac:dyDescent="0.25">
      <c r="A632" s="7" t="s">
        <v>51891</v>
      </c>
      <c r="B632" s="8">
        <v>393.75</v>
      </c>
      <c r="C632" s="8">
        <v>20.478950000000001</v>
      </c>
      <c r="D632" s="8">
        <v>71</v>
      </c>
      <c r="E632" s="8">
        <v>0</v>
      </c>
      <c r="F632" s="8">
        <v>0</v>
      </c>
      <c r="G632" s="8">
        <v>9</v>
      </c>
      <c r="H632" s="8" t="s">
        <v>51892</v>
      </c>
      <c r="I632" s="8">
        <v>526.5</v>
      </c>
      <c r="J632" s="3">
        <f t="shared" si="9"/>
        <v>43749.453217164344</v>
      </c>
    </row>
    <row r="633" spans="1:10" x14ac:dyDescent="0.25">
      <c r="A633" s="5" t="s">
        <v>51893</v>
      </c>
      <c r="B633" s="6">
        <v>393.75</v>
      </c>
      <c r="C633" s="6">
        <v>20.478950000000001</v>
      </c>
      <c r="D633" s="6">
        <v>69</v>
      </c>
      <c r="E633" s="6">
        <v>0</v>
      </c>
      <c r="F633" s="6">
        <v>0</v>
      </c>
      <c r="G633" s="6">
        <v>9</v>
      </c>
      <c r="H633" s="6" t="s">
        <v>51894</v>
      </c>
      <c r="I633" s="6">
        <v>526.6875</v>
      </c>
      <c r="J633" s="2">
        <f t="shared" si="9"/>
        <v>43749.453300879628</v>
      </c>
    </row>
    <row r="634" spans="1:10" x14ac:dyDescent="0.25">
      <c r="A634" s="7" t="s">
        <v>51895</v>
      </c>
      <c r="B634" s="8">
        <v>393.75</v>
      </c>
      <c r="C634" s="8">
        <v>20.478950000000001</v>
      </c>
      <c r="D634" s="8">
        <v>69</v>
      </c>
      <c r="E634" s="8">
        <v>0</v>
      </c>
      <c r="F634" s="8">
        <v>0</v>
      </c>
      <c r="G634" s="8">
        <v>12</v>
      </c>
      <c r="H634" s="8" t="s">
        <v>51896</v>
      </c>
      <c r="I634" s="8">
        <v>526.6875</v>
      </c>
      <c r="J634" s="3">
        <f t="shared" si="9"/>
        <v>43749.453384270826</v>
      </c>
    </row>
    <row r="635" spans="1:10" x14ac:dyDescent="0.25">
      <c r="A635" s="5" t="s">
        <v>51897</v>
      </c>
      <c r="B635" s="6">
        <v>412.5</v>
      </c>
      <c r="C635" s="6">
        <v>20.478950000000001</v>
      </c>
      <c r="D635" s="6">
        <v>70</v>
      </c>
      <c r="E635" s="6">
        <v>0</v>
      </c>
      <c r="F635" s="6">
        <v>0</v>
      </c>
      <c r="G635" s="6">
        <v>11</v>
      </c>
      <c r="H635" s="6" t="s">
        <v>51898</v>
      </c>
      <c r="I635" s="6">
        <v>532.5</v>
      </c>
      <c r="J635" s="2">
        <f t="shared" si="9"/>
        <v>43749.453467488427</v>
      </c>
    </row>
    <row r="636" spans="1:10" x14ac:dyDescent="0.25">
      <c r="A636" s="7" t="s">
        <v>51899</v>
      </c>
      <c r="B636" s="8">
        <v>393.75</v>
      </c>
      <c r="C636" s="8">
        <v>20.478950000000001</v>
      </c>
      <c r="D636" s="8">
        <v>70</v>
      </c>
      <c r="E636" s="8">
        <v>0</v>
      </c>
      <c r="F636" s="8">
        <v>0</v>
      </c>
      <c r="G636" s="8">
        <v>6</v>
      </c>
      <c r="H636" s="8" t="s">
        <v>51900</v>
      </c>
      <c r="I636" s="8">
        <v>526.5</v>
      </c>
      <c r="J636" s="3">
        <f t="shared" si="9"/>
        <v>43749.453539131944</v>
      </c>
    </row>
    <row r="637" spans="1:10" x14ac:dyDescent="0.25">
      <c r="A637" s="5" t="s">
        <v>51901</v>
      </c>
      <c r="B637" s="6">
        <v>393.75</v>
      </c>
      <c r="C637" s="6">
        <v>20.478950000000001</v>
      </c>
      <c r="D637" s="6">
        <v>70</v>
      </c>
      <c r="E637" s="6">
        <v>0</v>
      </c>
      <c r="F637" s="6">
        <v>0</v>
      </c>
      <c r="G637" s="6">
        <v>10</v>
      </c>
      <c r="H637" s="6" t="s">
        <v>51902</v>
      </c>
      <c r="I637" s="6">
        <v>526.5</v>
      </c>
      <c r="J637" s="2">
        <f t="shared" si="9"/>
        <v>43749.453623055553</v>
      </c>
    </row>
    <row r="638" spans="1:10" x14ac:dyDescent="0.25">
      <c r="A638" s="7" t="s">
        <v>51903</v>
      </c>
      <c r="B638" s="8">
        <v>393.75</v>
      </c>
      <c r="C638" s="8">
        <v>20.478950000000001</v>
      </c>
      <c r="D638" s="8">
        <v>71</v>
      </c>
      <c r="E638" s="8">
        <v>0</v>
      </c>
      <c r="F638" s="8">
        <v>0</v>
      </c>
      <c r="G638" s="8">
        <v>8</v>
      </c>
      <c r="H638" s="8" t="s">
        <v>51904</v>
      </c>
      <c r="I638" s="8">
        <v>526.6875</v>
      </c>
      <c r="J638" s="3">
        <f t="shared" si="9"/>
        <v>43749.453718900462</v>
      </c>
    </row>
    <row r="639" spans="1:10" x14ac:dyDescent="0.25">
      <c r="A639" s="5" t="s">
        <v>51905</v>
      </c>
      <c r="B639" s="6">
        <v>393.75</v>
      </c>
      <c r="C639" s="6">
        <v>20.478950000000001</v>
      </c>
      <c r="D639" s="6">
        <v>71</v>
      </c>
      <c r="E639" s="6">
        <v>0</v>
      </c>
      <c r="F639" s="6">
        <v>0</v>
      </c>
      <c r="G639" s="6">
        <v>14</v>
      </c>
      <c r="H639" s="6" t="s">
        <v>51906</v>
      </c>
      <c r="I639" s="6">
        <v>526.6875</v>
      </c>
      <c r="J639" s="2">
        <f t="shared" si="9"/>
        <v>43749.453801770833</v>
      </c>
    </row>
    <row r="640" spans="1:10" x14ac:dyDescent="0.25">
      <c r="A640" s="7" t="s">
        <v>51907</v>
      </c>
      <c r="B640" s="8">
        <v>393.75</v>
      </c>
      <c r="C640" s="8">
        <v>20.478950000000001</v>
      </c>
      <c r="D640" s="8">
        <v>69</v>
      </c>
      <c r="E640" s="8">
        <v>0</v>
      </c>
      <c r="F640" s="8">
        <v>0</v>
      </c>
      <c r="G640" s="8">
        <v>12</v>
      </c>
      <c r="H640" s="8" t="s">
        <v>51908</v>
      </c>
      <c r="I640" s="8">
        <v>526.6875</v>
      </c>
      <c r="J640" s="3">
        <f t="shared" si="9"/>
        <v>43749.453873206017</v>
      </c>
    </row>
    <row r="641" spans="1:10" x14ac:dyDescent="0.25">
      <c r="A641" s="5" t="s">
        <v>51909</v>
      </c>
      <c r="B641" s="6">
        <v>393.75</v>
      </c>
      <c r="C641" s="6">
        <v>20.478950000000001</v>
      </c>
      <c r="D641" s="6">
        <v>70</v>
      </c>
      <c r="E641" s="6">
        <v>0</v>
      </c>
      <c r="F641" s="6">
        <v>0</v>
      </c>
      <c r="G641" s="6">
        <v>2</v>
      </c>
      <c r="H641" s="6" t="s">
        <v>51910</v>
      </c>
      <c r="I641" s="6">
        <v>526.5</v>
      </c>
      <c r="J641" s="2">
        <f t="shared" si="9"/>
        <v>43749.453956793979</v>
      </c>
    </row>
    <row r="642" spans="1:10" x14ac:dyDescent="0.25">
      <c r="A642" s="7" t="s">
        <v>51911</v>
      </c>
      <c r="B642" s="8">
        <v>393.75</v>
      </c>
      <c r="C642" s="8">
        <v>20.478950000000001</v>
      </c>
      <c r="D642" s="8">
        <v>70</v>
      </c>
      <c r="E642" s="8">
        <v>0</v>
      </c>
      <c r="F642" s="8">
        <v>0</v>
      </c>
      <c r="G642" s="8">
        <v>6</v>
      </c>
      <c r="H642" s="8" t="s">
        <v>51912</v>
      </c>
      <c r="I642" s="8">
        <v>526.6875</v>
      </c>
      <c r="J642" s="3">
        <f t="shared" ref="J642:J705" si="10">(H642/86400000)+25569+(7/24)</f>
        <v>43749.454028182867</v>
      </c>
    </row>
    <row r="643" spans="1:10" x14ac:dyDescent="0.25">
      <c r="A643" s="5" t="s">
        <v>51913</v>
      </c>
      <c r="B643" s="6">
        <v>412.5</v>
      </c>
      <c r="C643" s="6">
        <v>20.478950000000001</v>
      </c>
      <c r="D643" s="6">
        <v>70</v>
      </c>
      <c r="E643" s="6">
        <v>0</v>
      </c>
      <c r="F643" s="6">
        <v>0</v>
      </c>
      <c r="G643" s="6">
        <v>2</v>
      </c>
      <c r="H643" s="6" t="s">
        <v>51914</v>
      </c>
      <c r="I643" s="6">
        <v>532.3125</v>
      </c>
      <c r="J643" s="2">
        <f t="shared" si="10"/>
        <v>43749.454111747684</v>
      </c>
    </row>
    <row r="644" spans="1:10" x14ac:dyDescent="0.25">
      <c r="A644" s="7" t="s">
        <v>51915</v>
      </c>
      <c r="B644" s="8">
        <v>393.75</v>
      </c>
      <c r="C644" s="8">
        <v>20.478950000000001</v>
      </c>
      <c r="D644" s="8">
        <v>69</v>
      </c>
      <c r="E644" s="8">
        <v>0</v>
      </c>
      <c r="F644" s="8">
        <v>0</v>
      </c>
      <c r="G644" s="8">
        <v>0</v>
      </c>
      <c r="H644" s="8" t="s">
        <v>51916</v>
      </c>
      <c r="I644" s="8">
        <v>526.6875</v>
      </c>
      <c r="J644" s="3">
        <f t="shared" si="10"/>
        <v>43749.454195196762</v>
      </c>
    </row>
    <row r="645" spans="1:10" x14ac:dyDescent="0.25">
      <c r="A645" s="5" t="s">
        <v>51917</v>
      </c>
      <c r="B645" s="6">
        <v>393.75</v>
      </c>
      <c r="C645" s="6">
        <v>20.478950000000001</v>
      </c>
      <c r="D645" s="6">
        <v>69</v>
      </c>
      <c r="E645" s="6">
        <v>0</v>
      </c>
      <c r="F645" s="6">
        <v>0</v>
      </c>
      <c r="G645" s="6">
        <v>17</v>
      </c>
      <c r="H645" s="6" t="s">
        <v>51918</v>
      </c>
      <c r="I645" s="6">
        <v>526.6875</v>
      </c>
      <c r="J645" s="2">
        <f t="shared" si="10"/>
        <v>43749.454278877311</v>
      </c>
    </row>
    <row r="646" spans="1:10" x14ac:dyDescent="0.25">
      <c r="A646" s="7" t="s">
        <v>51919</v>
      </c>
      <c r="B646" s="8">
        <v>393.75</v>
      </c>
      <c r="C646" s="8">
        <v>20.478950000000001</v>
      </c>
      <c r="D646" s="8">
        <v>70</v>
      </c>
      <c r="E646" s="8">
        <v>0</v>
      </c>
      <c r="F646" s="8">
        <v>0</v>
      </c>
      <c r="G646" s="8">
        <v>10</v>
      </c>
      <c r="H646" s="8" t="s">
        <v>51920</v>
      </c>
      <c r="I646" s="8">
        <v>526.6875</v>
      </c>
      <c r="J646" s="3">
        <f t="shared" si="10"/>
        <v>43749.454362222219</v>
      </c>
    </row>
    <row r="647" spans="1:10" x14ac:dyDescent="0.25">
      <c r="A647" s="5" t="s">
        <v>51921</v>
      </c>
      <c r="B647" s="6">
        <v>393.75</v>
      </c>
      <c r="C647" s="6">
        <v>20.478950000000001</v>
      </c>
      <c r="D647" s="6">
        <v>71</v>
      </c>
      <c r="E647" s="6">
        <v>0</v>
      </c>
      <c r="F647" s="6">
        <v>0</v>
      </c>
      <c r="G647" s="6">
        <v>12</v>
      </c>
      <c r="H647" s="6" t="s">
        <v>51922</v>
      </c>
      <c r="I647" s="6">
        <v>526.6875</v>
      </c>
      <c r="J647" s="2">
        <f t="shared" si="10"/>
        <v>43749.454445439813</v>
      </c>
    </row>
    <row r="648" spans="1:10" x14ac:dyDescent="0.25">
      <c r="A648" s="7" t="s">
        <v>51923</v>
      </c>
      <c r="B648" s="8">
        <v>393.75</v>
      </c>
      <c r="C648" s="8">
        <v>20.478950000000001</v>
      </c>
      <c r="D648" s="8">
        <v>72</v>
      </c>
      <c r="E648" s="8">
        <v>0</v>
      </c>
      <c r="F648" s="8">
        <v>0</v>
      </c>
      <c r="G648" s="8">
        <v>13</v>
      </c>
      <c r="H648" s="8" t="s">
        <v>51924</v>
      </c>
      <c r="I648" s="8">
        <v>526.6875</v>
      </c>
      <c r="J648" s="3">
        <f t="shared" si="10"/>
        <v>43749.4545171875</v>
      </c>
    </row>
    <row r="649" spans="1:10" x14ac:dyDescent="0.25">
      <c r="A649" s="5" t="s">
        <v>51925</v>
      </c>
      <c r="B649" s="6">
        <v>393.75</v>
      </c>
      <c r="C649" s="6">
        <v>20.478950000000001</v>
      </c>
      <c r="D649" s="6">
        <v>73</v>
      </c>
      <c r="E649" s="6">
        <v>0</v>
      </c>
      <c r="F649" s="6">
        <v>0</v>
      </c>
      <c r="G649" s="6">
        <v>18</v>
      </c>
      <c r="H649" s="6" t="s">
        <v>51926</v>
      </c>
      <c r="I649" s="6">
        <v>526.6875</v>
      </c>
      <c r="J649" s="2">
        <f t="shared" si="10"/>
        <v>43749.4546008912</v>
      </c>
    </row>
    <row r="650" spans="1:10" x14ac:dyDescent="0.25">
      <c r="A650" s="7" t="s">
        <v>51927</v>
      </c>
      <c r="B650" s="8">
        <v>393.75</v>
      </c>
      <c r="C650" s="8">
        <v>20.478950000000001</v>
      </c>
      <c r="D650" s="8">
        <v>73</v>
      </c>
      <c r="E650" s="8">
        <v>0</v>
      </c>
      <c r="F650" s="8">
        <v>0</v>
      </c>
      <c r="G650" s="8">
        <v>9</v>
      </c>
      <c r="H650" s="8" t="s">
        <v>51928</v>
      </c>
      <c r="I650" s="8">
        <v>526.6875</v>
      </c>
      <c r="J650" s="3">
        <f t="shared" si="10"/>
        <v>43749.454684340271</v>
      </c>
    </row>
    <row r="651" spans="1:10" x14ac:dyDescent="0.25">
      <c r="A651" s="5" t="s">
        <v>51929</v>
      </c>
      <c r="B651" s="6">
        <v>393.75</v>
      </c>
      <c r="C651" s="6">
        <v>20.478950000000001</v>
      </c>
      <c r="D651" s="6">
        <v>73</v>
      </c>
      <c r="E651" s="6">
        <v>0</v>
      </c>
      <c r="F651" s="6">
        <v>0</v>
      </c>
      <c r="G651" s="6">
        <v>6</v>
      </c>
      <c r="H651" s="6" t="s">
        <v>51930</v>
      </c>
      <c r="I651" s="6">
        <v>526.6875</v>
      </c>
      <c r="J651" s="2">
        <f t="shared" si="10"/>
        <v>43749.454767557872</v>
      </c>
    </row>
    <row r="652" spans="1:10" x14ac:dyDescent="0.25">
      <c r="A652" s="7" t="s">
        <v>51931</v>
      </c>
      <c r="B652" s="8">
        <v>393.75</v>
      </c>
      <c r="C652" s="8">
        <v>20.478950000000001</v>
      </c>
      <c r="D652" s="8">
        <v>73</v>
      </c>
      <c r="E652" s="8">
        <v>0</v>
      </c>
      <c r="F652" s="8">
        <v>0</v>
      </c>
      <c r="G652" s="8">
        <v>1</v>
      </c>
      <c r="H652" s="8" t="s">
        <v>51932</v>
      </c>
      <c r="I652" s="8">
        <v>526.6875</v>
      </c>
      <c r="J652" s="3">
        <f t="shared" si="10"/>
        <v>43749.454839317128</v>
      </c>
    </row>
    <row r="653" spans="1:10" x14ac:dyDescent="0.25">
      <c r="A653" s="5" t="s">
        <v>51933</v>
      </c>
      <c r="B653" s="6">
        <v>412.5</v>
      </c>
      <c r="C653" s="6">
        <v>20.478950000000001</v>
      </c>
      <c r="D653" s="6">
        <v>72</v>
      </c>
      <c r="E653" s="6">
        <v>0</v>
      </c>
      <c r="F653" s="6">
        <v>0</v>
      </c>
      <c r="G653" s="6">
        <v>18</v>
      </c>
      <c r="H653" s="6" t="s">
        <v>51934</v>
      </c>
      <c r="I653" s="6">
        <v>532.3125</v>
      </c>
      <c r="J653" s="2">
        <f t="shared" si="10"/>
        <v>43749.45492275463</v>
      </c>
    </row>
    <row r="654" spans="1:10" x14ac:dyDescent="0.25">
      <c r="A654" s="7" t="s">
        <v>51935</v>
      </c>
      <c r="B654" s="8">
        <v>393.75</v>
      </c>
      <c r="C654" s="8">
        <v>20.478950000000001</v>
      </c>
      <c r="D654" s="8">
        <v>72</v>
      </c>
      <c r="E654" s="8">
        <v>0</v>
      </c>
      <c r="F654" s="8">
        <v>0</v>
      </c>
      <c r="G654" s="8">
        <v>8</v>
      </c>
      <c r="H654" s="8" t="s">
        <v>51936</v>
      </c>
      <c r="I654" s="8">
        <v>526.6875</v>
      </c>
      <c r="J654" s="3">
        <f t="shared" si="10"/>
        <v>43749.455006307871</v>
      </c>
    </row>
    <row r="655" spans="1:10" x14ac:dyDescent="0.25">
      <c r="A655" s="5" t="s">
        <v>51937</v>
      </c>
      <c r="B655" s="6">
        <v>393.75</v>
      </c>
      <c r="C655" s="6">
        <v>20.478950000000001</v>
      </c>
      <c r="D655" s="6">
        <v>72</v>
      </c>
      <c r="E655" s="6">
        <v>0</v>
      </c>
      <c r="F655" s="6">
        <v>0</v>
      </c>
      <c r="G655" s="6">
        <v>12</v>
      </c>
      <c r="H655" s="6" t="s">
        <v>51938</v>
      </c>
      <c r="I655" s="6">
        <v>526.6875</v>
      </c>
      <c r="J655" s="2">
        <f t="shared" si="10"/>
        <v>43749.455089884257</v>
      </c>
    </row>
    <row r="656" spans="1:10" x14ac:dyDescent="0.25">
      <c r="A656" s="7" t="s">
        <v>51939</v>
      </c>
      <c r="B656" s="8">
        <v>393.75</v>
      </c>
      <c r="C656" s="8">
        <v>20.478950000000001</v>
      </c>
      <c r="D656" s="8">
        <v>72</v>
      </c>
      <c r="E656" s="8">
        <v>0</v>
      </c>
      <c r="F656" s="8">
        <v>0</v>
      </c>
      <c r="G656" s="8">
        <v>4</v>
      </c>
      <c r="H656" s="8" t="s">
        <v>51940</v>
      </c>
      <c r="I656" s="8">
        <v>526.6875</v>
      </c>
      <c r="J656" s="3">
        <f t="shared" si="10"/>
        <v>43749.45517321759</v>
      </c>
    </row>
    <row r="657" spans="1:10" x14ac:dyDescent="0.25">
      <c r="A657" s="5" t="s">
        <v>51941</v>
      </c>
      <c r="B657" s="6">
        <v>393.75</v>
      </c>
      <c r="C657" s="6">
        <v>20.478950000000001</v>
      </c>
      <c r="D657" s="6">
        <v>73</v>
      </c>
      <c r="E657" s="6">
        <v>0</v>
      </c>
      <c r="F657" s="6">
        <v>0</v>
      </c>
      <c r="G657" s="6">
        <v>15</v>
      </c>
      <c r="H657" s="6" t="s">
        <v>51942</v>
      </c>
      <c r="I657" s="6">
        <v>526.6875</v>
      </c>
      <c r="J657" s="2">
        <f t="shared" si="10"/>
        <v>43749.455256712965</v>
      </c>
    </row>
    <row r="658" spans="1:10" x14ac:dyDescent="0.25">
      <c r="A658" s="7" t="s">
        <v>51943</v>
      </c>
      <c r="B658" s="8">
        <v>393.75</v>
      </c>
      <c r="C658" s="8">
        <v>20.478950000000001</v>
      </c>
      <c r="D658" s="8">
        <v>73</v>
      </c>
      <c r="E658" s="8">
        <v>0</v>
      </c>
      <c r="F658" s="8">
        <v>0</v>
      </c>
      <c r="G658" s="8">
        <v>7</v>
      </c>
      <c r="H658" s="8" t="s">
        <v>51944</v>
      </c>
      <c r="I658" s="8">
        <v>526.6875</v>
      </c>
      <c r="J658" s="3">
        <f t="shared" si="10"/>
        <v>43749.455328194446</v>
      </c>
    </row>
    <row r="659" spans="1:10" x14ac:dyDescent="0.25">
      <c r="A659" s="5" t="s">
        <v>51945</v>
      </c>
      <c r="B659" s="6">
        <v>393.75</v>
      </c>
      <c r="C659" s="6">
        <v>20.478950000000001</v>
      </c>
      <c r="D659" s="6">
        <v>72</v>
      </c>
      <c r="E659" s="6">
        <v>0</v>
      </c>
      <c r="F659" s="6">
        <v>0</v>
      </c>
      <c r="G659" s="6">
        <v>12</v>
      </c>
      <c r="H659" s="6" t="s">
        <v>51946</v>
      </c>
      <c r="I659" s="6">
        <v>526.6875</v>
      </c>
      <c r="J659" s="2">
        <f t="shared" si="10"/>
        <v>43749.455399826387</v>
      </c>
    </row>
    <row r="660" spans="1:10" x14ac:dyDescent="0.25">
      <c r="A660" s="7" t="s">
        <v>51947</v>
      </c>
      <c r="B660" s="8">
        <v>393.75</v>
      </c>
      <c r="C660" s="8">
        <v>20.478950000000001</v>
      </c>
      <c r="D660" s="8">
        <v>72</v>
      </c>
      <c r="E660" s="8">
        <v>0</v>
      </c>
      <c r="F660" s="8">
        <v>0</v>
      </c>
      <c r="G660" s="8">
        <v>13</v>
      </c>
      <c r="H660" s="8" t="s">
        <v>51948</v>
      </c>
      <c r="I660" s="8">
        <v>526.6875</v>
      </c>
      <c r="J660" s="3">
        <f t="shared" si="10"/>
        <v>43749.455483414349</v>
      </c>
    </row>
    <row r="661" spans="1:10" x14ac:dyDescent="0.25">
      <c r="A661" s="5" t="s">
        <v>51949</v>
      </c>
      <c r="B661" s="6">
        <v>393.75</v>
      </c>
      <c r="C661" s="6">
        <v>20.478950000000001</v>
      </c>
      <c r="D661" s="6">
        <v>73</v>
      </c>
      <c r="E661" s="6">
        <v>0</v>
      </c>
      <c r="F661" s="6">
        <v>0</v>
      </c>
      <c r="G661" s="6">
        <v>6</v>
      </c>
      <c r="H661" s="6" t="s">
        <v>51950</v>
      </c>
      <c r="I661" s="6">
        <v>526.6875</v>
      </c>
      <c r="J661" s="2">
        <f t="shared" si="10"/>
        <v>43749.455571863422</v>
      </c>
    </row>
    <row r="662" spans="1:10" x14ac:dyDescent="0.25">
      <c r="A662" s="7" t="s">
        <v>51951</v>
      </c>
      <c r="B662" s="8">
        <v>393.75</v>
      </c>
      <c r="C662" s="8">
        <v>20.478950000000001</v>
      </c>
      <c r="D662" s="8">
        <v>73</v>
      </c>
      <c r="E662" s="8">
        <v>0</v>
      </c>
      <c r="F662" s="8">
        <v>0</v>
      </c>
      <c r="G662" s="8">
        <v>16</v>
      </c>
      <c r="H662" s="8" t="s">
        <v>51952</v>
      </c>
      <c r="I662" s="8">
        <v>526.6875</v>
      </c>
      <c r="J662" s="3">
        <f t="shared" si="10"/>
        <v>43749.455649965275</v>
      </c>
    </row>
    <row r="663" spans="1:10" x14ac:dyDescent="0.25">
      <c r="A663" s="5" t="s">
        <v>51953</v>
      </c>
      <c r="B663" s="6">
        <v>393.75</v>
      </c>
      <c r="C663" s="6">
        <v>20.478950000000001</v>
      </c>
      <c r="D663" s="6">
        <v>70</v>
      </c>
      <c r="E663" s="6">
        <v>0</v>
      </c>
      <c r="F663" s="6">
        <v>0</v>
      </c>
      <c r="G663" s="6">
        <v>15</v>
      </c>
      <c r="H663" s="6" t="s">
        <v>51954</v>
      </c>
      <c r="I663" s="6">
        <v>526.6875</v>
      </c>
      <c r="J663" s="2">
        <f t="shared" si="10"/>
        <v>43749.455745439809</v>
      </c>
    </row>
    <row r="664" spans="1:10" x14ac:dyDescent="0.25">
      <c r="A664" s="7" t="s">
        <v>51955</v>
      </c>
      <c r="B664" s="8">
        <v>393.75</v>
      </c>
      <c r="C664" s="8">
        <v>20.478950000000001</v>
      </c>
      <c r="D664" s="8">
        <v>69</v>
      </c>
      <c r="E664" s="8">
        <v>0</v>
      </c>
      <c r="F664" s="8">
        <v>0</v>
      </c>
      <c r="G664" s="8">
        <v>16</v>
      </c>
      <c r="H664" s="8" t="s">
        <v>51956</v>
      </c>
      <c r="I664" s="8">
        <v>526.5</v>
      </c>
      <c r="J664" s="3">
        <f t="shared" si="10"/>
        <v>43749.455829328705</v>
      </c>
    </row>
    <row r="665" spans="1:10" x14ac:dyDescent="0.25">
      <c r="A665" s="5" t="s">
        <v>51957</v>
      </c>
      <c r="B665" s="6">
        <v>412.5</v>
      </c>
      <c r="C665" s="6">
        <v>20.478950000000001</v>
      </c>
      <c r="D665" s="6">
        <v>70</v>
      </c>
      <c r="E665" s="6">
        <v>0</v>
      </c>
      <c r="F665" s="6">
        <v>0</v>
      </c>
      <c r="G665" s="6">
        <v>14</v>
      </c>
      <c r="H665" s="6" t="s">
        <v>51958</v>
      </c>
      <c r="I665" s="6">
        <v>532.3125</v>
      </c>
      <c r="J665" s="2">
        <f t="shared" si="10"/>
        <v>43749.455912453697</v>
      </c>
    </row>
    <row r="666" spans="1:10" x14ac:dyDescent="0.25">
      <c r="A666" s="7" t="s">
        <v>51959</v>
      </c>
      <c r="B666" s="8">
        <v>393.75</v>
      </c>
      <c r="C666" s="8">
        <v>20.478950000000001</v>
      </c>
      <c r="D666" s="8">
        <v>70</v>
      </c>
      <c r="E666" s="8">
        <v>0</v>
      </c>
      <c r="F666" s="8">
        <v>0</v>
      </c>
      <c r="G666" s="8">
        <v>11</v>
      </c>
      <c r="H666" s="8" t="s">
        <v>51960</v>
      </c>
      <c r="I666" s="8">
        <v>526.6875</v>
      </c>
      <c r="J666" s="3">
        <f t="shared" si="10"/>
        <v>43749.455984317123</v>
      </c>
    </row>
    <row r="667" spans="1:10" x14ac:dyDescent="0.25">
      <c r="A667" s="5" t="s">
        <v>51961</v>
      </c>
      <c r="B667" s="6">
        <v>393.75</v>
      </c>
      <c r="C667" s="6">
        <v>20.478950000000001</v>
      </c>
      <c r="D667" s="6">
        <v>71</v>
      </c>
      <c r="E667" s="6">
        <v>0</v>
      </c>
      <c r="F667" s="6">
        <v>0</v>
      </c>
      <c r="G667" s="6">
        <v>10</v>
      </c>
      <c r="H667" s="6" t="s">
        <v>51962</v>
      </c>
      <c r="I667" s="6">
        <v>526.6875</v>
      </c>
      <c r="J667" s="2">
        <f t="shared" si="10"/>
        <v>43749.456067824074</v>
      </c>
    </row>
    <row r="668" spans="1:10" x14ac:dyDescent="0.25">
      <c r="A668" s="7" t="s">
        <v>51963</v>
      </c>
      <c r="B668" s="8">
        <v>393.75</v>
      </c>
      <c r="C668" s="8">
        <v>20.478950000000001</v>
      </c>
      <c r="D668" s="8">
        <v>71</v>
      </c>
      <c r="E668" s="8">
        <v>0</v>
      </c>
      <c r="F668" s="8">
        <v>0</v>
      </c>
      <c r="G668" s="8">
        <v>10</v>
      </c>
      <c r="H668" s="8" t="s">
        <v>51964</v>
      </c>
      <c r="I668" s="8">
        <v>526.6875</v>
      </c>
      <c r="J668" s="3">
        <f t="shared" si="10"/>
        <v>43749.456139606475</v>
      </c>
    </row>
    <row r="669" spans="1:10" x14ac:dyDescent="0.25">
      <c r="A669" s="5" t="s">
        <v>51965</v>
      </c>
      <c r="B669" s="6">
        <v>393.75</v>
      </c>
      <c r="C669" s="6">
        <v>20.478950000000001</v>
      </c>
      <c r="D669" s="6">
        <v>70</v>
      </c>
      <c r="E669" s="6">
        <v>0</v>
      </c>
      <c r="F669" s="6">
        <v>0</v>
      </c>
      <c r="G669" s="6">
        <v>15</v>
      </c>
      <c r="H669" s="6" t="s">
        <v>51966</v>
      </c>
      <c r="I669" s="6">
        <v>526.6875</v>
      </c>
      <c r="J669" s="2">
        <f t="shared" si="10"/>
        <v>43749.456235011567</v>
      </c>
    </row>
    <row r="670" spans="1:10" x14ac:dyDescent="0.25">
      <c r="A670" s="7" t="s">
        <v>51967</v>
      </c>
      <c r="B670" s="8">
        <v>437.5</v>
      </c>
      <c r="C670" s="8">
        <v>20.478950000000001</v>
      </c>
      <c r="D670" s="8">
        <v>71</v>
      </c>
      <c r="E670" s="8">
        <v>0</v>
      </c>
      <c r="F670" s="8">
        <v>0</v>
      </c>
      <c r="G670" s="8">
        <v>7</v>
      </c>
      <c r="H670" s="8" t="s">
        <v>51968</v>
      </c>
      <c r="I670" s="8">
        <v>540.9375</v>
      </c>
      <c r="J670" s="3">
        <f t="shared" si="10"/>
        <v>43749.456306307868</v>
      </c>
    </row>
    <row r="671" spans="1:10" x14ac:dyDescent="0.25">
      <c r="A671" s="5" t="s">
        <v>51969</v>
      </c>
      <c r="B671" s="6">
        <v>393.75</v>
      </c>
      <c r="C671" s="6">
        <v>20.478950000000001</v>
      </c>
      <c r="D671" s="6">
        <v>71</v>
      </c>
      <c r="E671" s="6">
        <v>0</v>
      </c>
      <c r="F671" s="6">
        <v>0</v>
      </c>
      <c r="G671" s="6">
        <v>21</v>
      </c>
      <c r="H671" s="6" t="s">
        <v>51970</v>
      </c>
      <c r="I671" s="6">
        <v>526.6875</v>
      </c>
      <c r="J671" s="2">
        <f t="shared" si="10"/>
        <v>43749.456389861109</v>
      </c>
    </row>
    <row r="672" spans="1:10" x14ac:dyDescent="0.25">
      <c r="A672" s="7" t="s">
        <v>51971</v>
      </c>
      <c r="B672" s="8">
        <v>393.75</v>
      </c>
      <c r="C672" s="8">
        <v>20.478950000000001</v>
      </c>
      <c r="D672" s="8">
        <v>72</v>
      </c>
      <c r="E672" s="8">
        <v>0</v>
      </c>
      <c r="F672" s="8">
        <v>0</v>
      </c>
      <c r="G672" s="8">
        <v>10</v>
      </c>
      <c r="H672" s="8" t="s">
        <v>51972</v>
      </c>
      <c r="I672" s="8">
        <v>526.6875</v>
      </c>
      <c r="J672" s="3">
        <f t="shared" si="10"/>
        <v>43749.456485173614</v>
      </c>
    </row>
    <row r="673" spans="1:10" x14ac:dyDescent="0.25">
      <c r="A673" s="5" t="s">
        <v>51973</v>
      </c>
      <c r="B673" s="6">
        <v>393.75</v>
      </c>
      <c r="C673" s="6">
        <v>20.478950000000001</v>
      </c>
      <c r="D673" s="6">
        <v>72</v>
      </c>
      <c r="E673" s="6">
        <v>0</v>
      </c>
      <c r="F673" s="6">
        <v>0</v>
      </c>
      <c r="G673" s="6">
        <v>7</v>
      </c>
      <c r="H673" s="6" t="s">
        <v>51974</v>
      </c>
      <c r="I673" s="6">
        <v>526.6875</v>
      </c>
      <c r="J673" s="2">
        <f t="shared" si="10"/>
        <v>43749.456568738424</v>
      </c>
    </row>
    <row r="674" spans="1:10" x14ac:dyDescent="0.25">
      <c r="A674" s="7" t="s">
        <v>51975</v>
      </c>
      <c r="B674" s="8">
        <v>393.75</v>
      </c>
      <c r="C674" s="8">
        <v>20.478950000000001</v>
      </c>
      <c r="D674" s="8">
        <v>72</v>
      </c>
      <c r="E674" s="8">
        <v>0</v>
      </c>
      <c r="F674" s="8">
        <v>0</v>
      </c>
      <c r="G674" s="8">
        <v>6</v>
      </c>
      <c r="H674" s="8" t="s">
        <v>51976</v>
      </c>
      <c r="I674" s="8">
        <v>526.6875</v>
      </c>
      <c r="J674" s="3">
        <f t="shared" si="10"/>
        <v>43749.456653171299</v>
      </c>
    </row>
    <row r="675" spans="1:10" x14ac:dyDescent="0.25">
      <c r="A675" s="5" t="s">
        <v>51977</v>
      </c>
      <c r="B675" s="6">
        <v>393.75</v>
      </c>
      <c r="C675" s="6">
        <v>20.478950000000001</v>
      </c>
      <c r="D675" s="6">
        <v>73</v>
      </c>
      <c r="E675" s="6">
        <v>0</v>
      </c>
      <c r="F675" s="6">
        <v>0</v>
      </c>
      <c r="G675" s="6">
        <v>11</v>
      </c>
      <c r="H675" s="6" t="s">
        <v>51978</v>
      </c>
      <c r="I675" s="6">
        <v>526.6875</v>
      </c>
      <c r="J675" s="2">
        <f t="shared" si="10"/>
        <v>43749.456735648149</v>
      </c>
    </row>
    <row r="676" spans="1:10" x14ac:dyDescent="0.25">
      <c r="A676" s="7" t="s">
        <v>51979</v>
      </c>
      <c r="B676" s="8">
        <v>393.75</v>
      </c>
      <c r="C676" s="8">
        <v>20.478950000000001</v>
      </c>
      <c r="D676" s="8">
        <v>72</v>
      </c>
      <c r="E676" s="8">
        <v>0</v>
      </c>
      <c r="F676" s="8">
        <v>0</v>
      </c>
      <c r="G676" s="8">
        <v>2</v>
      </c>
      <c r="H676" s="8" t="s">
        <v>51980</v>
      </c>
      <c r="I676" s="8">
        <v>526.5</v>
      </c>
      <c r="J676" s="3">
        <f t="shared" si="10"/>
        <v>43749.456819444444</v>
      </c>
    </row>
    <row r="677" spans="1:10" x14ac:dyDescent="0.25">
      <c r="A677" s="5" t="s">
        <v>51981</v>
      </c>
      <c r="B677" s="6">
        <v>412.5</v>
      </c>
      <c r="C677" s="6">
        <v>20.478950000000001</v>
      </c>
      <c r="D677" s="6">
        <v>71</v>
      </c>
      <c r="E677" s="6">
        <v>0</v>
      </c>
      <c r="F677" s="6">
        <v>0</v>
      </c>
      <c r="G677" s="6">
        <v>8</v>
      </c>
      <c r="H677" s="6" t="s">
        <v>51982</v>
      </c>
      <c r="I677" s="6">
        <v>532.3125</v>
      </c>
      <c r="J677" s="2">
        <f t="shared" si="10"/>
        <v>43749.456902743048</v>
      </c>
    </row>
    <row r="678" spans="1:10" x14ac:dyDescent="0.25">
      <c r="A678" s="7" t="s">
        <v>51983</v>
      </c>
      <c r="B678" s="8">
        <v>393.75</v>
      </c>
      <c r="C678" s="8">
        <v>20.478950000000001</v>
      </c>
      <c r="D678" s="8">
        <v>72</v>
      </c>
      <c r="E678" s="8">
        <v>0</v>
      </c>
      <c r="F678" s="8">
        <v>0</v>
      </c>
      <c r="G678" s="8">
        <v>18</v>
      </c>
      <c r="H678" s="8" t="s">
        <v>51984</v>
      </c>
      <c r="I678" s="8">
        <v>526.6875</v>
      </c>
      <c r="J678" s="3">
        <f t="shared" si="10"/>
        <v>43749.45697417824</v>
      </c>
    </row>
    <row r="679" spans="1:10" x14ac:dyDescent="0.25">
      <c r="A679" s="5" t="s">
        <v>51985</v>
      </c>
      <c r="B679" s="6">
        <v>393.75</v>
      </c>
      <c r="C679" s="6">
        <v>20.478950000000001</v>
      </c>
      <c r="D679" s="6">
        <v>71</v>
      </c>
      <c r="E679" s="6">
        <v>0</v>
      </c>
      <c r="F679" s="6">
        <v>0</v>
      </c>
      <c r="G679" s="6">
        <v>11</v>
      </c>
      <c r="H679" s="6" t="s">
        <v>51986</v>
      </c>
      <c r="I679" s="6">
        <v>526.6875</v>
      </c>
      <c r="J679" s="2">
        <f t="shared" si="10"/>
        <v>43749.457057395826</v>
      </c>
    </row>
    <row r="680" spans="1:10" x14ac:dyDescent="0.25">
      <c r="A680" s="7" t="s">
        <v>51987</v>
      </c>
      <c r="B680" s="8">
        <v>393.75</v>
      </c>
      <c r="C680" s="8">
        <v>20.478950000000001</v>
      </c>
      <c r="D680" s="8">
        <v>68</v>
      </c>
      <c r="E680" s="8">
        <v>0</v>
      </c>
      <c r="F680" s="8">
        <v>0</v>
      </c>
      <c r="G680" s="8">
        <v>4</v>
      </c>
      <c r="H680" s="8" t="s">
        <v>51988</v>
      </c>
      <c r="I680" s="8">
        <v>526.6875</v>
      </c>
      <c r="J680" s="3">
        <f t="shared" si="10"/>
        <v>43749.457129282404</v>
      </c>
    </row>
    <row r="681" spans="1:10" x14ac:dyDescent="0.25">
      <c r="A681" s="5" t="s">
        <v>51989</v>
      </c>
      <c r="B681" s="6">
        <v>393.75</v>
      </c>
      <c r="C681" s="6">
        <v>20.478950000000001</v>
      </c>
      <c r="D681" s="6">
        <v>70</v>
      </c>
      <c r="E681" s="6">
        <v>0</v>
      </c>
      <c r="F681" s="6">
        <v>0</v>
      </c>
      <c r="G681" s="6">
        <v>5</v>
      </c>
      <c r="H681" s="6" t="s">
        <v>51990</v>
      </c>
      <c r="I681" s="6">
        <v>526.6875</v>
      </c>
      <c r="J681" s="2">
        <f t="shared" si="10"/>
        <v>43749.457212858797</v>
      </c>
    </row>
    <row r="682" spans="1:10" x14ac:dyDescent="0.25">
      <c r="A682" s="7" t="s">
        <v>51991</v>
      </c>
      <c r="B682" s="8">
        <v>393.75</v>
      </c>
      <c r="C682" s="8">
        <v>20.478950000000001</v>
      </c>
      <c r="D682" s="8">
        <v>71</v>
      </c>
      <c r="E682" s="8">
        <v>0</v>
      </c>
      <c r="F682" s="8">
        <v>0</v>
      </c>
      <c r="G682" s="8">
        <v>12</v>
      </c>
      <c r="H682" s="8" t="s">
        <v>51992</v>
      </c>
      <c r="I682" s="8">
        <v>526.6875</v>
      </c>
      <c r="J682" s="3">
        <f t="shared" si="10"/>
        <v>43749.457284490738</v>
      </c>
    </row>
    <row r="683" spans="1:10" x14ac:dyDescent="0.25">
      <c r="A683" s="5" t="s">
        <v>51993</v>
      </c>
      <c r="B683" s="6">
        <v>412.5</v>
      </c>
      <c r="C683" s="6">
        <v>20.478950000000001</v>
      </c>
      <c r="D683" s="6">
        <v>70</v>
      </c>
      <c r="E683" s="6">
        <v>0</v>
      </c>
      <c r="F683" s="6">
        <v>0</v>
      </c>
      <c r="G683" s="6">
        <v>6</v>
      </c>
      <c r="H683" s="6" t="s">
        <v>51994</v>
      </c>
      <c r="I683" s="6">
        <v>532.125</v>
      </c>
      <c r="J683" s="2">
        <f t="shared" si="10"/>
        <v>43749.457367581017</v>
      </c>
    </row>
    <row r="684" spans="1:10" x14ac:dyDescent="0.25">
      <c r="A684" s="7" t="s">
        <v>51995</v>
      </c>
      <c r="B684" s="8">
        <v>393.75</v>
      </c>
      <c r="C684" s="8">
        <v>20.478950000000001</v>
      </c>
      <c r="D684" s="8">
        <v>71</v>
      </c>
      <c r="E684" s="8">
        <v>0</v>
      </c>
      <c r="F684" s="8">
        <v>0</v>
      </c>
      <c r="G684" s="8">
        <v>5</v>
      </c>
      <c r="H684" s="8" t="s">
        <v>51996</v>
      </c>
      <c r="I684" s="8">
        <v>526.5</v>
      </c>
      <c r="J684" s="3">
        <f t="shared" si="10"/>
        <v>43749.457439351849</v>
      </c>
    </row>
    <row r="685" spans="1:10" x14ac:dyDescent="0.25">
      <c r="A685" s="5" t="s">
        <v>51997</v>
      </c>
      <c r="B685" s="6">
        <v>393.75</v>
      </c>
      <c r="C685" s="6">
        <v>20.478950000000001</v>
      </c>
      <c r="D685" s="6">
        <v>70</v>
      </c>
      <c r="E685" s="6">
        <v>0</v>
      </c>
      <c r="F685" s="6">
        <v>0</v>
      </c>
      <c r="G685" s="6">
        <v>2</v>
      </c>
      <c r="H685" s="6" t="s">
        <v>51998</v>
      </c>
      <c r="I685" s="6">
        <v>526.5</v>
      </c>
      <c r="J685" s="2">
        <f t="shared" si="10"/>
        <v>43749.45752314815</v>
      </c>
    </row>
    <row r="686" spans="1:10" x14ac:dyDescent="0.25">
      <c r="A686" s="7" t="s">
        <v>51999</v>
      </c>
      <c r="B686" s="8">
        <v>393.75</v>
      </c>
      <c r="C686" s="8">
        <v>20.478950000000001</v>
      </c>
      <c r="D686" s="8">
        <v>71</v>
      </c>
      <c r="E686" s="8">
        <v>0</v>
      </c>
      <c r="F686" s="8">
        <v>0</v>
      </c>
      <c r="G686" s="8">
        <v>6</v>
      </c>
      <c r="H686" s="8" t="s">
        <v>52000</v>
      </c>
      <c r="I686" s="8">
        <v>526.6875</v>
      </c>
      <c r="J686" s="3">
        <f t="shared" si="10"/>
        <v>43749.457606365737</v>
      </c>
    </row>
    <row r="687" spans="1:10" x14ac:dyDescent="0.25">
      <c r="A687" s="5" t="s">
        <v>52001</v>
      </c>
      <c r="B687" s="6">
        <v>393.75</v>
      </c>
      <c r="C687" s="6">
        <v>20.478950000000001</v>
      </c>
      <c r="D687" s="6">
        <v>71</v>
      </c>
      <c r="E687" s="6">
        <v>0</v>
      </c>
      <c r="F687" s="6">
        <v>0</v>
      </c>
      <c r="G687" s="6">
        <v>13</v>
      </c>
      <c r="H687" s="6" t="s">
        <v>52002</v>
      </c>
      <c r="I687" s="6">
        <v>526.6875</v>
      </c>
      <c r="J687" s="2">
        <f t="shared" si="10"/>
        <v>43749.457689918978</v>
      </c>
    </row>
    <row r="688" spans="1:10" x14ac:dyDescent="0.25">
      <c r="A688" s="7" t="s">
        <v>52003</v>
      </c>
      <c r="B688" s="8">
        <v>412.5</v>
      </c>
      <c r="C688" s="8">
        <v>20.478950000000001</v>
      </c>
      <c r="D688" s="8">
        <v>71</v>
      </c>
      <c r="E688" s="8">
        <v>0</v>
      </c>
      <c r="F688" s="8">
        <v>0</v>
      </c>
      <c r="G688" s="8">
        <v>5</v>
      </c>
      <c r="H688" s="8" t="s">
        <v>52004</v>
      </c>
      <c r="I688" s="8">
        <v>532.875</v>
      </c>
      <c r="J688" s="3">
        <f t="shared" si="10"/>
        <v>43749.457773368056</v>
      </c>
    </row>
    <row r="689" spans="1:10" x14ac:dyDescent="0.25">
      <c r="A689" s="5" t="s">
        <v>52005</v>
      </c>
      <c r="B689" s="6">
        <v>393.75</v>
      </c>
      <c r="C689" s="6">
        <v>20.478950000000001</v>
      </c>
      <c r="D689" s="6">
        <v>71</v>
      </c>
      <c r="E689" s="6">
        <v>0</v>
      </c>
      <c r="F689" s="6">
        <v>0</v>
      </c>
      <c r="G689" s="6">
        <v>3</v>
      </c>
      <c r="H689" s="6" t="s">
        <v>52006</v>
      </c>
      <c r="I689" s="6">
        <v>526.6875</v>
      </c>
      <c r="J689" s="2">
        <f t="shared" si="10"/>
        <v>43749.457844907403</v>
      </c>
    </row>
    <row r="690" spans="1:10" x14ac:dyDescent="0.25">
      <c r="A690" s="7" t="s">
        <v>52007</v>
      </c>
      <c r="B690" s="8">
        <v>393.75</v>
      </c>
      <c r="C690" s="8">
        <v>20.478950000000001</v>
      </c>
      <c r="D690" s="8">
        <v>69</v>
      </c>
      <c r="E690" s="8">
        <v>0</v>
      </c>
      <c r="F690" s="8">
        <v>0</v>
      </c>
      <c r="G690" s="8">
        <v>7</v>
      </c>
      <c r="H690" s="8" t="s">
        <v>52008</v>
      </c>
      <c r="I690" s="8">
        <v>526.6875</v>
      </c>
      <c r="J690" s="3">
        <f t="shared" si="10"/>
        <v>43749.457944895832</v>
      </c>
    </row>
    <row r="691" spans="1:10" x14ac:dyDescent="0.25">
      <c r="A691" s="5" t="s">
        <v>52009</v>
      </c>
      <c r="B691" s="6">
        <v>393.75</v>
      </c>
      <c r="C691" s="6">
        <v>20.478950000000001</v>
      </c>
      <c r="D691" s="6">
        <v>70</v>
      </c>
      <c r="E691" s="6">
        <v>0</v>
      </c>
      <c r="F691" s="6">
        <v>0</v>
      </c>
      <c r="G691" s="6">
        <v>7</v>
      </c>
      <c r="H691" s="6" t="s">
        <v>52010</v>
      </c>
      <c r="I691" s="6">
        <v>526.5</v>
      </c>
      <c r="J691" s="2">
        <f t="shared" si="10"/>
        <v>43749.458023831015</v>
      </c>
    </row>
    <row r="692" spans="1:10" x14ac:dyDescent="0.25">
      <c r="A692" s="7" t="s">
        <v>52011</v>
      </c>
      <c r="B692" s="8">
        <v>393.75</v>
      </c>
      <c r="C692" s="8">
        <v>20.478950000000001</v>
      </c>
      <c r="D692" s="8">
        <v>73</v>
      </c>
      <c r="E692" s="8">
        <v>0</v>
      </c>
      <c r="F692" s="8">
        <v>0</v>
      </c>
      <c r="G692" s="8">
        <v>7</v>
      </c>
      <c r="H692" s="8" t="s">
        <v>52012</v>
      </c>
      <c r="I692" s="8">
        <v>526.6875</v>
      </c>
      <c r="J692" s="3">
        <f t="shared" si="10"/>
        <v>43749.458095370363</v>
      </c>
    </row>
    <row r="693" spans="1:10" x14ac:dyDescent="0.25">
      <c r="A693" s="5" t="s">
        <v>52013</v>
      </c>
      <c r="B693" s="6">
        <v>415.625</v>
      </c>
      <c r="C693" s="6">
        <v>20.478950000000001</v>
      </c>
      <c r="D693" s="6">
        <v>74</v>
      </c>
      <c r="E693" s="6">
        <v>0</v>
      </c>
      <c r="F693" s="6">
        <v>0</v>
      </c>
      <c r="G693" s="6">
        <v>17</v>
      </c>
      <c r="H693" s="6" t="s">
        <v>52014</v>
      </c>
      <c r="I693" s="6">
        <v>533.25</v>
      </c>
      <c r="J693" s="2">
        <f t="shared" si="10"/>
        <v>43749.458178587964</v>
      </c>
    </row>
    <row r="694" spans="1:10" x14ac:dyDescent="0.25">
      <c r="A694" s="7" t="s">
        <v>52015</v>
      </c>
      <c r="B694" s="8">
        <v>393.75</v>
      </c>
      <c r="C694" s="8">
        <v>20.478950000000001</v>
      </c>
      <c r="D694" s="8">
        <v>74</v>
      </c>
      <c r="E694" s="8">
        <v>0</v>
      </c>
      <c r="F694" s="8">
        <v>0</v>
      </c>
      <c r="G694" s="8">
        <v>0</v>
      </c>
      <c r="H694" s="8" t="s">
        <v>52016</v>
      </c>
      <c r="I694" s="8">
        <v>526.6875</v>
      </c>
      <c r="J694" s="3">
        <f t="shared" si="10"/>
        <v>43749.458250358795</v>
      </c>
    </row>
    <row r="695" spans="1:10" x14ac:dyDescent="0.25">
      <c r="A695" s="5" t="s">
        <v>52017</v>
      </c>
      <c r="B695" s="6">
        <v>393.75</v>
      </c>
      <c r="C695" s="6">
        <v>20.531590000000001</v>
      </c>
      <c r="D695" s="6">
        <v>71</v>
      </c>
      <c r="E695" s="6">
        <v>0</v>
      </c>
      <c r="F695" s="6">
        <v>0</v>
      </c>
      <c r="G695" s="6">
        <v>9</v>
      </c>
      <c r="H695" s="6" t="s">
        <v>52018</v>
      </c>
      <c r="I695" s="6">
        <v>526.6875</v>
      </c>
      <c r="J695" s="2">
        <f t="shared" si="10"/>
        <v>43749.45833390046</v>
      </c>
    </row>
    <row r="696" spans="1:10" x14ac:dyDescent="0.25">
      <c r="A696" s="7" t="s">
        <v>52019</v>
      </c>
      <c r="B696" s="8">
        <v>412.5</v>
      </c>
      <c r="C696" s="8">
        <v>20.478950000000001</v>
      </c>
      <c r="D696" s="8">
        <v>70</v>
      </c>
      <c r="E696" s="8">
        <v>0</v>
      </c>
      <c r="F696" s="8">
        <v>0</v>
      </c>
      <c r="G696" s="8">
        <v>16</v>
      </c>
      <c r="H696" s="8" t="s">
        <v>52020</v>
      </c>
      <c r="I696" s="8">
        <v>532.3125</v>
      </c>
      <c r="J696" s="3">
        <f t="shared" si="10"/>
        <v>43749.458417442125</v>
      </c>
    </row>
    <row r="697" spans="1:10" x14ac:dyDescent="0.25">
      <c r="A697" s="5" t="s">
        <v>52021</v>
      </c>
      <c r="B697" s="6">
        <v>393.75</v>
      </c>
      <c r="C697" s="6">
        <v>20.478950000000001</v>
      </c>
      <c r="D697" s="6">
        <v>70</v>
      </c>
      <c r="E697" s="6">
        <v>0</v>
      </c>
      <c r="F697" s="6">
        <v>0</v>
      </c>
      <c r="G697" s="6">
        <v>6</v>
      </c>
      <c r="H697" s="6" t="s">
        <v>52022</v>
      </c>
      <c r="I697" s="6">
        <v>526.6875</v>
      </c>
      <c r="J697" s="2">
        <f t="shared" si="10"/>
        <v>43749.458500810179</v>
      </c>
    </row>
    <row r="698" spans="1:10" x14ac:dyDescent="0.25">
      <c r="A698" s="7" t="s">
        <v>52023</v>
      </c>
      <c r="B698" s="8">
        <v>393.75</v>
      </c>
      <c r="C698" s="8">
        <v>20.478950000000001</v>
      </c>
      <c r="D698" s="8">
        <v>69</v>
      </c>
      <c r="E698" s="8">
        <v>0</v>
      </c>
      <c r="F698" s="8">
        <v>0</v>
      </c>
      <c r="G698" s="8">
        <v>3</v>
      </c>
      <c r="H698" s="8" t="s">
        <v>52024</v>
      </c>
      <c r="I698" s="8">
        <v>526.5</v>
      </c>
      <c r="J698" s="3">
        <f t="shared" si="10"/>
        <v>43749.45858436342</v>
      </c>
    </row>
    <row r="699" spans="1:10" x14ac:dyDescent="0.25">
      <c r="A699" s="5" t="s">
        <v>52025</v>
      </c>
      <c r="B699" s="6">
        <v>393.75</v>
      </c>
      <c r="C699" s="6">
        <v>20.478950000000001</v>
      </c>
      <c r="D699" s="6">
        <v>69</v>
      </c>
      <c r="E699" s="6">
        <v>0</v>
      </c>
      <c r="F699" s="6">
        <v>0</v>
      </c>
      <c r="G699" s="6">
        <v>8</v>
      </c>
      <c r="H699" s="6" t="s">
        <v>52026</v>
      </c>
      <c r="I699" s="6">
        <v>526.6875</v>
      </c>
      <c r="J699" s="2">
        <f t="shared" si="10"/>
        <v>43749.458667592589</v>
      </c>
    </row>
    <row r="700" spans="1:10" x14ac:dyDescent="0.25">
      <c r="A700" s="7" t="s">
        <v>52027</v>
      </c>
      <c r="B700" s="8">
        <v>393.75</v>
      </c>
      <c r="C700" s="8">
        <v>20.478950000000001</v>
      </c>
      <c r="D700" s="8">
        <v>69</v>
      </c>
      <c r="E700" s="8">
        <v>0</v>
      </c>
      <c r="F700" s="8">
        <v>0</v>
      </c>
      <c r="G700" s="8">
        <v>5</v>
      </c>
      <c r="H700" s="8" t="s">
        <v>52028</v>
      </c>
      <c r="I700" s="8">
        <v>526.6875</v>
      </c>
      <c r="J700" s="3">
        <f t="shared" si="10"/>
        <v>43749.458739108792</v>
      </c>
    </row>
    <row r="701" spans="1:10" x14ac:dyDescent="0.25">
      <c r="A701" s="5" t="s">
        <v>52029</v>
      </c>
      <c r="B701" s="6">
        <v>393.75</v>
      </c>
      <c r="C701" s="6">
        <v>20.478950000000001</v>
      </c>
      <c r="D701" s="6">
        <v>72</v>
      </c>
      <c r="E701" s="6">
        <v>0</v>
      </c>
      <c r="F701" s="6">
        <v>0</v>
      </c>
      <c r="G701" s="6">
        <v>15</v>
      </c>
      <c r="H701" s="6" t="s">
        <v>52030</v>
      </c>
      <c r="I701" s="6">
        <v>526.5</v>
      </c>
      <c r="J701" s="2">
        <f t="shared" si="10"/>
        <v>43749.458823020832</v>
      </c>
    </row>
    <row r="702" spans="1:10" x14ac:dyDescent="0.25">
      <c r="A702" s="7" t="s">
        <v>52031</v>
      </c>
      <c r="B702" s="8">
        <v>393.75</v>
      </c>
      <c r="C702" s="8">
        <v>20.478950000000001</v>
      </c>
      <c r="D702" s="8">
        <v>73</v>
      </c>
      <c r="E702" s="8">
        <v>0</v>
      </c>
      <c r="F702" s="8">
        <v>0</v>
      </c>
      <c r="G702" s="8">
        <v>5</v>
      </c>
      <c r="H702" s="8" t="s">
        <v>52032</v>
      </c>
      <c r="I702" s="8">
        <v>526.6875</v>
      </c>
      <c r="J702" s="3">
        <f t="shared" si="10"/>
        <v>43749.458906423613</v>
      </c>
    </row>
    <row r="703" spans="1:10" x14ac:dyDescent="0.25">
      <c r="A703" s="5" t="s">
        <v>52033</v>
      </c>
      <c r="B703" s="6">
        <v>415.625</v>
      </c>
      <c r="C703" s="6">
        <v>20.478950000000001</v>
      </c>
      <c r="D703" s="6">
        <v>70</v>
      </c>
      <c r="E703" s="6">
        <v>0</v>
      </c>
      <c r="F703" s="6">
        <v>0</v>
      </c>
      <c r="G703" s="6">
        <v>13</v>
      </c>
      <c r="H703" s="6" t="s">
        <v>52034</v>
      </c>
      <c r="I703" s="6">
        <v>533.0625</v>
      </c>
      <c r="J703" s="2">
        <f t="shared" si="10"/>
        <v>43749.458989722225</v>
      </c>
    </row>
    <row r="704" spans="1:10" x14ac:dyDescent="0.25">
      <c r="A704" s="7" t="s">
        <v>52035</v>
      </c>
      <c r="B704" s="8">
        <v>393.75</v>
      </c>
      <c r="C704" s="8">
        <v>20.478950000000001</v>
      </c>
      <c r="D704" s="8">
        <v>70</v>
      </c>
      <c r="E704" s="8">
        <v>0</v>
      </c>
      <c r="F704" s="8">
        <v>0</v>
      </c>
      <c r="G704" s="8">
        <v>9</v>
      </c>
      <c r="H704" s="8" t="s">
        <v>52036</v>
      </c>
      <c r="I704" s="8">
        <v>526.6875</v>
      </c>
      <c r="J704" s="3">
        <f t="shared" si="10"/>
        <v>43749.459061458336</v>
      </c>
    </row>
    <row r="705" spans="1:10" x14ac:dyDescent="0.25">
      <c r="A705" s="5" t="s">
        <v>52037</v>
      </c>
      <c r="B705" s="6">
        <v>393.75</v>
      </c>
      <c r="C705" s="6">
        <v>20.478950000000001</v>
      </c>
      <c r="D705" s="6">
        <v>71</v>
      </c>
      <c r="E705" s="6">
        <v>0</v>
      </c>
      <c r="F705" s="6">
        <v>0</v>
      </c>
      <c r="G705" s="6">
        <v>18</v>
      </c>
      <c r="H705" s="6" t="s">
        <v>52038</v>
      </c>
      <c r="I705" s="6">
        <v>526.5</v>
      </c>
      <c r="J705" s="2">
        <f t="shared" si="10"/>
        <v>43749.459156620367</v>
      </c>
    </row>
    <row r="706" spans="1:10" x14ac:dyDescent="0.25">
      <c r="A706" s="7" t="s">
        <v>52039</v>
      </c>
      <c r="B706" s="8">
        <v>393.75</v>
      </c>
      <c r="C706" s="8">
        <v>20.478950000000001</v>
      </c>
      <c r="D706" s="8">
        <v>71</v>
      </c>
      <c r="E706" s="8">
        <v>0</v>
      </c>
      <c r="F706" s="8">
        <v>0</v>
      </c>
      <c r="G706" s="8">
        <v>12</v>
      </c>
      <c r="H706" s="8" t="s">
        <v>52040</v>
      </c>
      <c r="I706" s="8">
        <v>526.6875</v>
      </c>
      <c r="J706" s="3">
        <f t="shared" ref="J706:J769" si="11">(H706/86400000)+25569+(7/24)</f>
        <v>43749.459228159722</v>
      </c>
    </row>
    <row r="707" spans="1:10" x14ac:dyDescent="0.25">
      <c r="A707" s="5" t="s">
        <v>52041</v>
      </c>
      <c r="B707" s="6">
        <v>393.75</v>
      </c>
      <c r="C707" s="6">
        <v>20.478950000000001</v>
      </c>
      <c r="D707" s="6">
        <v>72</v>
      </c>
      <c r="E707" s="6">
        <v>0</v>
      </c>
      <c r="F707" s="6">
        <v>0</v>
      </c>
      <c r="G707" s="6">
        <v>11</v>
      </c>
      <c r="H707" s="6" t="s">
        <v>52042</v>
      </c>
      <c r="I707" s="6">
        <v>526.6875</v>
      </c>
      <c r="J707" s="2">
        <f t="shared" si="11"/>
        <v>43749.459312060186</v>
      </c>
    </row>
    <row r="708" spans="1:10" x14ac:dyDescent="0.25">
      <c r="A708" s="7" t="s">
        <v>52043</v>
      </c>
      <c r="B708" s="8">
        <v>393.75</v>
      </c>
      <c r="C708" s="8">
        <v>20.478950000000001</v>
      </c>
      <c r="D708" s="8">
        <v>72</v>
      </c>
      <c r="E708" s="8">
        <v>0</v>
      </c>
      <c r="F708" s="8">
        <v>0</v>
      </c>
      <c r="G708" s="8">
        <v>7</v>
      </c>
      <c r="H708" s="8" t="s">
        <v>52044</v>
      </c>
      <c r="I708" s="8">
        <v>526.5</v>
      </c>
      <c r="J708" s="3">
        <f t="shared" si="11"/>
        <v>43749.459395393518</v>
      </c>
    </row>
    <row r="709" spans="1:10" x14ac:dyDescent="0.25">
      <c r="A709" s="5" t="s">
        <v>52045</v>
      </c>
      <c r="B709" s="6">
        <v>393.75</v>
      </c>
      <c r="C709" s="6">
        <v>20.478950000000001</v>
      </c>
      <c r="D709" s="6">
        <v>71</v>
      </c>
      <c r="E709" s="6">
        <v>0</v>
      </c>
      <c r="F709" s="6">
        <v>0</v>
      </c>
      <c r="G709" s="6">
        <v>9</v>
      </c>
      <c r="H709" s="6" t="s">
        <v>52046</v>
      </c>
      <c r="I709" s="6">
        <v>526.6875</v>
      </c>
      <c r="J709" s="2">
        <f t="shared" si="11"/>
        <v>43749.459478738419</v>
      </c>
    </row>
    <row r="710" spans="1:10" x14ac:dyDescent="0.25">
      <c r="A710" s="7" t="s">
        <v>52047</v>
      </c>
      <c r="B710" s="8">
        <v>393.75</v>
      </c>
      <c r="C710" s="8">
        <v>20.478950000000001</v>
      </c>
      <c r="D710" s="8">
        <v>71</v>
      </c>
      <c r="E710" s="8">
        <v>0</v>
      </c>
      <c r="F710" s="8">
        <v>0</v>
      </c>
      <c r="G710" s="8">
        <v>12</v>
      </c>
      <c r="H710" s="8" t="s">
        <v>52048</v>
      </c>
      <c r="I710" s="8">
        <v>526.6875</v>
      </c>
      <c r="J710" s="3">
        <f t="shared" si="11"/>
        <v>43749.459550266205</v>
      </c>
    </row>
    <row r="711" spans="1:10" x14ac:dyDescent="0.25">
      <c r="A711" s="5" t="s">
        <v>52049</v>
      </c>
      <c r="B711" s="6">
        <v>412.5</v>
      </c>
      <c r="C711" s="6">
        <v>20.478950000000001</v>
      </c>
      <c r="D711" s="6">
        <v>70</v>
      </c>
      <c r="E711" s="6">
        <v>0</v>
      </c>
      <c r="F711" s="6">
        <v>0</v>
      </c>
      <c r="G711" s="6">
        <v>21</v>
      </c>
      <c r="H711" s="6" t="s">
        <v>52050</v>
      </c>
      <c r="I711" s="6">
        <v>532.3125</v>
      </c>
      <c r="J711" s="2">
        <f t="shared" si="11"/>
        <v>43749.459638298613</v>
      </c>
    </row>
    <row r="712" spans="1:10" x14ac:dyDescent="0.25">
      <c r="A712" s="7" t="s">
        <v>52051</v>
      </c>
      <c r="B712" s="8">
        <v>393.75</v>
      </c>
      <c r="C712" s="8">
        <v>20.478950000000001</v>
      </c>
      <c r="D712" s="8">
        <v>70</v>
      </c>
      <c r="E712" s="8">
        <v>0</v>
      </c>
      <c r="F712" s="8">
        <v>0</v>
      </c>
      <c r="G712" s="8">
        <v>14</v>
      </c>
      <c r="H712" s="8" t="s">
        <v>52052</v>
      </c>
      <c r="I712" s="8">
        <v>526.5</v>
      </c>
      <c r="J712" s="3">
        <f t="shared" si="11"/>
        <v>43749.459717743048</v>
      </c>
    </row>
    <row r="713" spans="1:10" x14ac:dyDescent="0.25">
      <c r="A713" s="5" t="s">
        <v>52053</v>
      </c>
      <c r="B713" s="6">
        <v>393.75</v>
      </c>
      <c r="C713" s="6">
        <v>20.478950000000001</v>
      </c>
      <c r="D713" s="6">
        <v>71</v>
      </c>
      <c r="E713" s="6">
        <v>0</v>
      </c>
      <c r="F713" s="6">
        <v>0</v>
      </c>
      <c r="G713" s="6">
        <v>14</v>
      </c>
      <c r="H713" s="6" t="s">
        <v>52054</v>
      </c>
      <c r="I713" s="6">
        <v>526.6875</v>
      </c>
      <c r="J713" s="2">
        <f t="shared" si="11"/>
        <v>43749.459800844903</v>
      </c>
    </row>
    <row r="714" spans="1:10" x14ac:dyDescent="0.25">
      <c r="A714" s="7" t="s">
        <v>52055</v>
      </c>
      <c r="B714" s="8">
        <v>393.75</v>
      </c>
      <c r="C714" s="8">
        <v>20.478950000000001</v>
      </c>
      <c r="D714" s="8">
        <v>70</v>
      </c>
      <c r="E714" s="8">
        <v>0</v>
      </c>
      <c r="F714" s="8">
        <v>0</v>
      </c>
      <c r="G714" s="8">
        <v>6</v>
      </c>
      <c r="H714" s="8" t="s">
        <v>52056</v>
      </c>
      <c r="I714" s="8">
        <v>526.6875</v>
      </c>
      <c r="J714" s="3">
        <f t="shared" si="11"/>
        <v>43749.45988451389</v>
      </c>
    </row>
    <row r="715" spans="1:10" x14ac:dyDescent="0.25">
      <c r="A715" s="5" t="s">
        <v>52057</v>
      </c>
      <c r="B715" s="6">
        <v>393.75</v>
      </c>
      <c r="C715" s="6">
        <v>20.478950000000001</v>
      </c>
      <c r="D715" s="6">
        <v>70</v>
      </c>
      <c r="E715" s="6">
        <v>0</v>
      </c>
      <c r="F715" s="6">
        <v>0</v>
      </c>
      <c r="G715" s="6">
        <v>7</v>
      </c>
      <c r="H715" s="6" t="s">
        <v>52058</v>
      </c>
      <c r="I715" s="6">
        <v>526.6875</v>
      </c>
      <c r="J715" s="2">
        <f t="shared" si="11"/>
        <v>43749.459967627314</v>
      </c>
    </row>
    <row r="716" spans="1:10" x14ac:dyDescent="0.25">
      <c r="A716" s="7" t="s">
        <v>52059</v>
      </c>
      <c r="B716" s="8">
        <v>393.75</v>
      </c>
      <c r="C716" s="8">
        <v>20.478950000000001</v>
      </c>
      <c r="D716" s="8">
        <v>70</v>
      </c>
      <c r="E716" s="8">
        <v>0</v>
      </c>
      <c r="F716" s="8">
        <v>0</v>
      </c>
      <c r="G716" s="8">
        <v>18</v>
      </c>
      <c r="H716" s="8" t="s">
        <v>52060</v>
      </c>
      <c r="I716" s="8">
        <v>526.6875</v>
      </c>
      <c r="J716" s="3">
        <f t="shared" si="11"/>
        <v>43749.460039143516</v>
      </c>
    </row>
    <row r="717" spans="1:10" x14ac:dyDescent="0.25">
      <c r="A717" s="5" t="s">
        <v>52061</v>
      </c>
      <c r="B717" s="6">
        <v>393.75</v>
      </c>
      <c r="C717" s="6">
        <v>20.478950000000001</v>
      </c>
      <c r="D717" s="6">
        <v>70</v>
      </c>
      <c r="E717" s="6">
        <v>0</v>
      </c>
      <c r="F717" s="6">
        <v>0</v>
      </c>
      <c r="G717" s="6">
        <v>13</v>
      </c>
      <c r="H717" s="6" t="s">
        <v>52062</v>
      </c>
      <c r="I717" s="6">
        <v>526.6875</v>
      </c>
      <c r="J717" s="2">
        <f t="shared" si="11"/>
        <v>43749.460123067132</v>
      </c>
    </row>
    <row r="718" spans="1:10" x14ac:dyDescent="0.25">
      <c r="A718" s="7" t="s">
        <v>52063</v>
      </c>
      <c r="B718" s="8">
        <v>393.75</v>
      </c>
      <c r="C718" s="8">
        <v>20.478950000000001</v>
      </c>
      <c r="D718" s="8">
        <v>69</v>
      </c>
      <c r="E718" s="8">
        <v>0</v>
      </c>
      <c r="F718" s="8">
        <v>0</v>
      </c>
      <c r="G718" s="8">
        <v>8</v>
      </c>
      <c r="H718" s="8" t="s">
        <v>52064</v>
      </c>
      <c r="I718" s="8">
        <v>526.6875</v>
      </c>
      <c r="J718" s="3">
        <f t="shared" si="11"/>
        <v>43749.460206516196</v>
      </c>
    </row>
    <row r="719" spans="1:10" x14ac:dyDescent="0.25">
      <c r="A719" s="5" t="s">
        <v>52065</v>
      </c>
      <c r="B719" s="6">
        <v>393.75</v>
      </c>
      <c r="C719" s="6">
        <v>20.478950000000001</v>
      </c>
      <c r="D719" s="6">
        <v>69</v>
      </c>
      <c r="E719" s="6">
        <v>0</v>
      </c>
      <c r="F719" s="6">
        <v>0</v>
      </c>
      <c r="G719" s="6">
        <v>13</v>
      </c>
      <c r="H719" s="6" t="s">
        <v>52066</v>
      </c>
      <c r="I719" s="6">
        <v>526.6875</v>
      </c>
      <c r="J719" s="2">
        <f t="shared" si="11"/>
        <v>43749.460289710645</v>
      </c>
    </row>
    <row r="720" spans="1:10" x14ac:dyDescent="0.25">
      <c r="A720" s="7" t="s">
        <v>52067</v>
      </c>
      <c r="B720" s="8">
        <v>393.75</v>
      </c>
      <c r="C720" s="8">
        <v>20.478950000000001</v>
      </c>
      <c r="D720" s="8">
        <v>69</v>
      </c>
      <c r="E720" s="8">
        <v>0</v>
      </c>
      <c r="F720" s="8">
        <v>0</v>
      </c>
      <c r="G720" s="8">
        <v>9</v>
      </c>
      <c r="H720" s="8" t="s">
        <v>52068</v>
      </c>
      <c r="I720" s="8">
        <v>526.6875</v>
      </c>
      <c r="J720" s="3">
        <f t="shared" si="11"/>
        <v>43749.460361493053</v>
      </c>
    </row>
    <row r="721" spans="1:10" x14ac:dyDescent="0.25">
      <c r="A721" s="5" t="s">
        <v>52069</v>
      </c>
      <c r="B721" s="6">
        <v>393.75</v>
      </c>
      <c r="C721" s="6">
        <v>20.478950000000001</v>
      </c>
      <c r="D721" s="6">
        <v>68</v>
      </c>
      <c r="E721" s="6">
        <v>0</v>
      </c>
      <c r="F721" s="6">
        <v>0</v>
      </c>
      <c r="G721" s="6">
        <v>5</v>
      </c>
      <c r="H721" s="6" t="s">
        <v>52070</v>
      </c>
      <c r="I721" s="6">
        <v>526.6875</v>
      </c>
      <c r="J721" s="2">
        <f t="shared" si="11"/>
        <v>43749.460433252309</v>
      </c>
    </row>
    <row r="722" spans="1:10" x14ac:dyDescent="0.25">
      <c r="A722" s="7" t="s">
        <v>52071</v>
      </c>
      <c r="B722" s="8">
        <v>393.75</v>
      </c>
      <c r="C722" s="8">
        <v>20.478950000000001</v>
      </c>
      <c r="D722" s="8">
        <v>71</v>
      </c>
      <c r="E722" s="8">
        <v>0</v>
      </c>
      <c r="F722" s="8">
        <v>0</v>
      </c>
      <c r="G722" s="8">
        <v>11</v>
      </c>
      <c r="H722" s="8" t="s">
        <v>52072</v>
      </c>
      <c r="I722" s="8">
        <v>526.6875</v>
      </c>
      <c r="J722" s="3">
        <f t="shared" si="11"/>
        <v>43749.460516585641</v>
      </c>
    </row>
    <row r="723" spans="1:10" x14ac:dyDescent="0.25">
      <c r="A723" s="5" t="s">
        <v>52073</v>
      </c>
      <c r="B723" s="6">
        <v>393.75</v>
      </c>
      <c r="C723" s="6">
        <v>20.478950000000001</v>
      </c>
      <c r="D723" s="6">
        <v>71</v>
      </c>
      <c r="E723" s="6">
        <v>0</v>
      </c>
      <c r="F723" s="6">
        <v>0</v>
      </c>
      <c r="G723" s="6">
        <v>11</v>
      </c>
      <c r="H723" s="6" t="s">
        <v>52074</v>
      </c>
      <c r="I723" s="6">
        <v>526.6875</v>
      </c>
      <c r="J723" s="2">
        <f t="shared" si="11"/>
        <v>43749.460588113427</v>
      </c>
    </row>
    <row r="724" spans="1:10" x14ac:dyDescent="0.25">
      <c r="A724" s="7" t="s">
        <v>52075</v>
      </c>
      <c r="B724" s="8">
        <v>393.75</v>
      </c>
      <c r="C724" s="8">
        <v>20.478950000000001</v>
      </c>
      <c r="D724" s="8">
        <v>71</v>
      </c>
      <c r="E724" s="8">
        <v>0</v>
      </c>
      <c r="F724" s="8">
        <v>0</v>
      </c>
      <c r="G724" s="8">
        <v>5</v>
      </c>
      <c r="H724" s="8" t="s">
        <v>52076</v>
      </c>
      <c r="I724" s="8">
        <v>526.6875</v>
      </c>
      <c r="J724" s="3">
        <f t="shared" si="11"/>
        <v>43749.460671331013</v>
      </c>
    </row>
    <row r="725" spans="1:10" x14ac:dyDescent="0.25">
      <c r="A725" s="5" t="s">
        <v>52077</v>
      </c>
      <c r="B725" s="6">
        <v>393.75</v>
      </c>
      <c r="C725" s="6">
        <v>20.478950000000001</v>
      </c>
      <c r="D725" s="6">
        <v>71</v>
      </c>
      <c r="E725" s="6">
        <v>0</v>
      </c>
      <c r="F725" s="6">
        <v>0</v>
      </c>
      <c r="G725" s="6">
        <v>6</v>
      </c>
      <c r="H725" s="6" t="s">
        <v>52078</v>
      </c>
      <c r="I725" s="6">
        <v>526.6875</v>
      </c>
      <c r="J725" s="2">
        <f t="shared" si="11"/>
        <v>43749.460743101845</v>
      </c>
    </row>
    <row r="726" spans="1:10" x14ac:dyDescent="0.25">
      <c r="A726" s="7" t="s">
        <v>52079</v>
      </c>
      <c r="B726" s="8">
        <v>393.75</v>
      </c>
      <c r="C726" s="8">
        <v>20.478950000000001</v>
      </c>
      <c r="D726" s="8">
        <v>72</v>
      </c>
      <c r="E726" s="8">
        <v>0</v>
      </c>
      <c r="F726" s="8">
        <v>0</v>
      </c>
      <c r="G726" s="8">
        <v>3</v>
      </c>
      <c r="H726" s="8" t="s">
        <v>52080</v>
      </c>
      <c r="I726" s="8">
        <v>526.6875</v>
      </c>
      <c r="J726" s="3">
        <f t="shared" si="11"/>
        <v>43749.460826759256</v>
      </c>
    </row>
    <row r="727" spans="1:10" x14ac:dyDescent="0.25">
      <c r="A727" s="5" t="s">
        <v>52081</v>
      </c>
      <c r="B727" s="6">
        <v>393.75</v>
      </c>
      <c r="C727" s="6">
        <v>20.478950000000001</v>
      </c>
      <c r="D727" s="6">
        <v>72</v>
      </c>
      <c r="E727" s="6">
        <v>0</v>
      </c>
      <c r="F727" s="6">
        <v>0</v>
      </c>
      <c r="G727" s="6">
        <v>12</v>
      </c>
      <c r="H727" s="6" t="s">
        <v>52082</v>
      </c>
      <c r="I727" s="6">
        <v>526.5</v>
      </c>
      <c r="J727" s="2">
        <f t="shared" si="11"/>
        <v>43749.460909872687</v>
      </c>
    </row>
    <row r="728" spans="1:10" x14ac:dyDescent="0.25">
      <c r="A728" s="7" t="s">
        <v>52083</v>
      </c>
      <c r="B728" s="8">
        <v>393.75</v>
      </c>
      <c r="C728" s="8">
        <v>20.478950000000001</v>
      </c>
      <c r="D728" s="8">
        <v>73</v>
      </c>
      <c r="E728" s="8">
        <v>0</v>
      </c>
      <c r="F728" s="8">
        <v>0</v>
      </c>
      <c r="G728" s="8">
        <v>7</v>
      </c>
      <c r="H728" s="8" t="s">
        <v>52084</v>
      </c>
      <c r="I728" s="8">
        <v>526.6875</v>
      </c>
      <c r="J728" s="3">
        <f t="shared" si="11"/>
        <v>43749.460993437497</v>
      </c>
    </row>
    <row r="729" spans="1:10" x14ac:dyDescent="0.25">
      <c r="A729" s="5" t="s">
        <v>52085</v>
      </c>
      <c r="B729" s="6">
        <v>412.5</v>
      </c>
      <c r="C729" s="6">
        <v>20.478950000000001</v>
      </c>
      <c r="D729" s="6">
        <v>73</v>
      </c>
      <c r="E729" s="6">
        <v>0</v>
      </c>
      <c r="F729" s="6">
        <v>0</v>
      </c>
      <c r="G729" s="6">
        <v>11</v>
      </c>
      <c r="H729" s="6" t="s">
        <v>52086</v>
      </c>
      <c r="I729" s="6">
        <v>532.3125</v>
      </c>
      <c r="J729" s="2">
        <f t="shared" si="11"/>
        <v>43749.461089039345</v>
      </c>
    </row>
    <row r="730" spans="1:10" x14ac:dyDescent="0.25">
      <c r="A730" s="7" t="s">
        <v>52087</v>
      </c>
      <c r="B730" s="8">
        <v>393.75</v>
      </c>
      <c r="C730" s="8">
        <v>20.478950000000001</v>
      </c>
      <c r="D730" s="8">
        <v>73</v>
      </c>
      <c r="E730" s="8">
        <v>0</v>
      </c>
      <c r="F730" s="8">
        <v>0</v>
      </c>
      <c r="G730" s="8">
        <v>0</v>
      </c>
      <c r="H730" s="8" t="s">
        <v>52088</v>
      </c>
      <c r="I730" s="8">
        <v>526.6875</v>
      </c>
      <c r="J730" s="3">
        <f t="shared" si="11"/>
        <v>43749.461172499992</v>
      </c>
    </row>
    <row r="731" spans="1:10" x14ac:dyDescent="0.25">
      <c r="A731" s="5" t="s">
        <v>52089</v>
      </c>
      <c r="B731" s="6">
        <v>393.75</v>
      </c>
      <c r="C731" s="6">
        <v>20.478950000000001</v>
      </c>
      <c r="D731" s="6">
        <v>72</v>
      </c>
      <c r="E731" s="6">
        <v>0</v>
      </c>
      <c r="F731" s="6">
        <v>0</v>
      </c>
      <c r="G731" s="6">
        <v>4</v>
      </c>
      <c r="H731" s="6" t="s">
        <v>52090</v>
      </c>
      <c r="I731" s="6">
        <v>526.6875</v>
      </c>
      <c r="J731" s="2">
        <f t="shared" si="11"/>
        <v>43749.461256041664</v>
      </c>
    </row>
    <row r="732" spans="1:10" x14ac:dyDescent="0.25">
      <c r="A732" s="7" t="s">
        <v>52091</v>
      </c>
      <c r="B732" s="8">
        <v>393.75</v>
      </c>
      <c r="C732" s="8">
        <v>20.478950000000001</v>
      </c>
      <c r="D732" s="8">
        <v>72</v>
      </c>
      <c r="E732" s="8">
        <v>0</v>
      </c>
      <c r="F732" s="8">
        <v>0</v>
      </c>
      <c r="G732" s="8">
        <v>5</v>
      </c>
      <c r="H732" s="8" t="s">
        <v>52092</v>
      </c>
      <c r="I732" s="8">
        <v>526.6875</v>
      </c>
      <c r="J732" s="3">
        <f t="shared" si="11"/>
        <v>43749.461339502312</v>
      </c>
    </row>
    <row r="733" spans="1:10" x14ac:dyDescent="0.25">
      <c r="A733" s="5" t="s">
        <v>52093</v>
      </c>
      <c r="B733" s="6">
        <v>393.75</v>
      </c>
      <c r="C733" s="6">
        <v>20.478950000000001</v>
      </c>
      <c r="D733" s="6">
        <v>73</v>
      </c>
      <c r="E733" s="6">
        <v>0</v>
      </c>
      <c r="F733" s="6">
        <v>0</v>
      </c>
      <c r="G733" s="6">
        <v>4</v>
      </c>
      <c r="H733" s="6" t="s">
        <v>52094</v>
      </c>
      <c r="I733" s="6">
        <v>526.6875</v>
      </c>
      <c r="J733" s="2">
        <f t="shared" si="11"/>
        <v>43749.461423171299</v>
      </c>
    </row>
    <row r="734" spans="1:10" x14ac:dyDescent="0.25">
      <c r="A734" s="7" t="s">
        <v>52095</v>
      </c>
      <c r="B734" s="8">
        <v>393.75</v>
      </c>
      <c r="C734" s="8">
        <v>20.478950000000001</v>
      </c>
      <c r="D734" s="8">
        <v>73</v>
      </c>
      <c r="E734" s="8">
        <v>0</v>
      </c>
      <c r="F734" s="8">
        <v>0</v>
      </c>
      <c r="G734" s="8">
        <v>0</v>
      </c>
      <c r="H734" s="8" t="s">
        <v>52096</v>
      </c>
      <c r="I734" s="8">
        <v>526.6875</v>
      </c>
      <c r="J734" s="3">
        <f t="shared" si="11"/>
        <v>43749.461494583331</v>
      </c>
    </row>
    <row r="735" spans="1:10" x14ac:dyDescent="0.25">
      <c r="A735" s="5" t="s">
        <v>52097</v>
      </c>
      <c r="B735" s="6">
        <v>393.75</v>
      </c>
      <c r="C735" s="6">
        <v>20.478950000000001</v>
      </c>
      <c r="D735" s="6">
        <v>70</v>
      </c>
      <c r="E735" s="6">
        <v>0</v>
      </c>
      <c r="F735" s="6">
        <v>0</v>
      </c>
      <c r="G735" s="6">
        <v>0</v>
      </c>
      <c r="H735" s="6" t="s">
        <v>52098</v>
      </c>
      <c r="I735" s="6">
        <v>526.6875</v>
      </c>
      <c r="J735" s="2">
        <f t="shared" si="11"/>
        <v>43749.461578055554</v>
      </c>
    </row>
    <row r="736" spans="1:10" x14ac:dyDescent="0.25">
      <c r="A736" s="7" t="s">
        <v>52099</v>
      </c>
      <c r="B736" s="8">
        <v>393.75</v>
      </c>
      <c r="C736" s="8">
        <v>20.478950000000001</v>
      </c>
      <c r="D736" s="8">
        <v>70</v>
      </c>
      <c r="E736" s="8">
        <v>0</v>
      </c>
      <c r="F736" s="8">
        <v>0</v>
      </c>
      <c r="G736" s="8">
        <v>10</v>
      </c>
      <c r="H736" s="8" t="s">
        <v>52100</v>
      </c>
      <c r="I736" s="8">
        <v>526.6875</v>
      </c>
      <c r="J736" s="3">
        <f t="shared" si="11"/>
        <v>43749.461661608795</v>
      </c>
    </row>
    <row r="737" spans="1:10" x14ac:dyDescent="0.25">
      <c r="A737" s="5" t="s">
        <v>52101</v>
      </c>
      <c r="B737" s="6">
        <v>393.75</v>
      </c>
      <c r="C737" s="6">
        <v>20.478950000000001</v>
      </c>
      <c r="D737" s="6">
        <v>71</v>
      </c>
      <c r="E737" s="6">
        <v>0</v>
      </c>
      <c r="F737" s="6">
        <v>0</v>
      </c>
      <c r="G737" s="6">
        <v>2</v>
      </c>
      <c r="H737" s="6" t="s">
        <v>52102</v>
      </c>
      <c r="I737" s="6">
        <v>526.6875</v>
      </c>
      <c r="J737" s="2">
        <f t="shared" si="11"/>
        <v>43749.46174515046</v>
      </c>
    </row>
    <row r="738" spans="1:10" x14ac:dyDescent="0.25">
      <c r="A738" s="7" t="s">
        <v>52103</v>
      </c>
      <c r="B738" s="8">
        <v>393.75</v>
      </c>
      <c r="C738" s="8">
        <v>20.478950000000001</v>
      </c>
      <c r="D738" s="8">
        <v>71</v>
      </c>
      <c r="E738" s="8">
        <v>0</v>
      </c>
      <c r="F738" s="8">
        <v>0</v>
      </c>
      <c r="G738" s="8">
        <v>2</v>
      </c>
      <c r="H738" s="8" t="s">
        <v>52104</v>
      </c>
      <c r="I738" s="8">
        <v>526.6875</v>
      </c>
      <c r="J738" s="3">
        <f t="shared" si="11"/>
        <v>43749.461849398147</v>
      </c>
    </row>
    <row r="739" spans="1:10" x14ac:dyDescent="0.25">
      <c r="A739" s="5" t="s">
        <v>52105</v>
      </c>
      <c r="B739" s="6">
        <v>393.75</v>
      </c>
      <c r="C739" s="6">
        <v>20.478950000000001</v>
      </c>
      <c r="D739" s="6">
        <v>72</v>
      </c>
      <c r="E739" s="6">
        <v>0</v>
      </c>
      <c r="F739" s="6">
        <v>0</v>
      </c>
      <c r="G739" s="6">
        <v>3</v>
      </c>
      <c r="H739" s="6" t="s">
        <v>52106</v>
      </c>
      <c r="I739" s="6">
        <v>526.6875</v>
      </c>
      <c r="J739" s="2">
        <f t="shared" si="11"/>
        <v>43749.461923946757</v>
      </c>
    </row>
    <row r="740" spans="1:10" x14ac:dyDescent="0.25">
      <c r="A740" s="7" t="s">
        <v>52107</v>
      </c>
      <c r="B740" s="8">
        <v>393.75</v>
      </c>
      <c r="C740" s="8">
        <v>20.478950000000001</v>
      </c>
      <c r="D740" s="8">
        <v>72</v>
      </c>
      <c r="E740" s="8">
        <v>0</v>
      </c>
      <c r="F740" s="8">
        <v>0</v>
      </c>
      <c r="G740" s="8">
        <v>4</v>
      </c>
      <c r="H740" s="8" t="s">
        <v>52108</v>
      </c>
      <c r="I740" s="8">
        <v>526.6875</v>
      </c>
      <c r="J740" s="3">
        <f t="shared" si="11"/>
        <v>43749.461995486105</v>
      </c>
    </row>
    <row r="741" spans="1:10" x14ac:dyDescent="0.25">
      <c r="A741" s="5" t="s">
        <v>52109</v>
      </c>
      <c r="B741" s="6">
        <v>412.5</v>
      </c>
      <c r="C741" s="6">
        <v>20.478950000000001</v>
      </c>
      <c r="D741" s="6">
        <v>72</v>
      </c>
      <c r="E741" s="6">
        <v>0</v>
      </c>
      <c r="F741" s="6">
        <v>0</v>
      </c>
      <c r="G741" s="6">
        <v>1</v>
      </c>
      <c r="H741" s="6" t="s">
        <v>52110</v>
      </c>
      <c r="I741" s="6">
        <v>532.3125</v>
      </c>
      <c r="J741" s="2">
        <f t="shared" si="11"/>
        <v>43749.462078680554</v>
      </c>
    </row>
    <row r="742" spans="1:10" x14ac:dyDescent="0.25">
      <c r="A742" s="7" t="s">
        <v>52111</v>
      </c>
      <c r="B742" s="8">
        <v>393.75</v>
      </c>
      <c r="C742" s="8">
        <v>20.478950000000001</v>
      </c>
      <c r="D742" s="8">
        <v>72</v>
      </c>
      <c r="E742" s="8">
        <v>0</v>
      </c>
      <c r="F742" s="8">
        <v>0</v>
      </c>
      <c r="G742" s="8">
        <v>4</v>
      </c>
      <c r="H742" s="8" t="s">
        <v>52112</v>
      </c>
      <c r="I742" s="8">
        <v>526.5</v>
      </c>
      <c r="J742" s="3">
        <f t="shared" si="11"/>
        <v>43749.462150335647</v>
      </c>
    </row>
    <row r="743" spans="1:10" x14ac:dyDescent="0.25">
      <c r="A743" s="5" t="s">
        <v>52113</v>
      </c>
      <c r="B743" s="6">
        <v>393.75</v>
      </c>
      <c r="C743" s="6">
        <v>20.478950000000001</v>
      </c>
      <c r="D743" s="6">
        <v>73</v>
      </c>
      <c r="E743" s="6">
        <v>0</v>
      </c>
      <c r="F743" s="6">
        <v>0</v>
      </c>
      <c r="G743" s="6">
        <v>9</v>
      </c>
      <c r="H743" s="6" t="s">
        <v>52114</v>
      </c>
      <c r="I743" s="6">
        <v>526.6875</v>
      </c>
      <c r="J743" s="2">
        <f t="shared" si="11"/>
        <v>43749.462233958329</v>
      </c>
    </row>
    <row r="744" spans="1:10" x14ac:dyDescent="0.25">
      <c r="A744" s="7" t="s">
        <v>52115</v>
      </c>
      <c r="B744" s="8">
        <v>393.75</v>
      </c>
      <c r="C744" s="8">
        <v>20.478950000000001</v>
      </c>
      <c r="D744" s="8">
        <v>77</v>
      </c>
      <c r="E744" s="8">
        <v>0</v>
      </c>
      <c r="F744" s="8">
        <v>0</v>
      </c>
      <c r="G744" s="8">
        <v>0</v>
      </c>
      <c r="H744" s="8" t="s">
        <v>52116</v>
      </c>
      <c r="I744" s="8">
        <v>526.6875</v>
      </c>
      <c r="J744" s="3">
        <f t="shared" si="11"/>
        <v>43749.462317453705</v>
      </c>
    </row>
    <row r="745" spans="1:10" x14ac:dyDescent="0.25">
      <c r="A745" s="5" t="s">
        <v>52117</v>
      </c>
      <c r="B745" s="6">
        <v>393.75</v>
      </c>
      <c r="C745" s="6">
        <v>20.478950000000001</v>
      </c>
      <c r="D745" s="6">
        <v>77</v>
      </c>
      <c r="E745" s="6">
        <v>0</v>
      </c>
      <c r="F745" s="6">
        <v>0</v>
      </c>
      <c r="G745" s="6">
        <v>12</v>
      </c>
      <c r="H745" s="6" t="s">
        <v>52118</v>
      </c>
      <c r="I745" s="6">
        <v>526.6875</v>
      </c>
      <c r="J745" s="2">
        <f t="shared" si="11"/>
        <v>43749.462400902776</v>
      </c>
    </row>
    <row r="746" spans="1:10" x14ac:dyDescent="0.25">
      <c r="A746" s="7" t="s">
        <v>52119</v>
      </c>
      <c r="B746" s="8">
        <v>431.25</v>
      </c>
      <c r="C746" s="8">
        <v>20.478950000000001</v>
      </c>
      <c r="D746" s="8">
        <v>77</v>
      </c>
      <c r="E746" s="8">
        <v>0</v>
      </c>
      <c r="F746" s="8">
        <v>0</v>
      </c>
      <c r="G746" s="8">
        <v>0</v>
      </c>
      <c r="H746" s="8" t="s">
        <v>52120</v>
      </c>
      <c r="I746" s="8">
        <v>538.3125</v>
      </c>
      <c r="J746" s="3">
        <f t="shared" si="11"/>
        <v>43749.462484374999</v>
      </c>
    </row>
    <row r="747" spans="1:10" x14ac:dyDescent="0.25">
      <c r="A747" s="5" t="s">
        <v>52121</v>
      </c>
      <c r="B747" s="6">
        <v>393.75</v>
      </c>
      <c r="C747" s="6">
        <v>20.478950000000001</v>
      </c>
      <c r="D747" s="6">
        <v>75</v>
      </c>
      <c r="E747" s="6">
        <v>0</v>
      </c>
      <c r="F747" s="6">
        <v>0</v>
      </c>
      <c r="G747" s="6">
        <v>8</v>
      </c>
      <c r="H747" s="6" t="s">
        <v>52122</v>
      </c>
      <c r="I747" s="6">
        <v>526.5</v>
      </c>
      <c r="J747" s="2">
        <f t="shared" si="11"/>
        <v>43749.462567569441</v>
      </c>
    </row>
    <row r="748" spans="1:10" x14ac:dyDescent="0.25">
      <c r="A748" s="7" t="s">
        <v>52123</v>
      </c>
      <c r="B748" s="8">
        <v>393.75</v>
      </c>
      <c r="C748" s="8">
        <v>20.478950000000001</v>
      </c>
      <c r="D748" s="8">
        <v>75</v>
      </c>
      <c r="E748" s="8">
        <v>0</v>
      </c>
      <c r="F748" s="8">
        <v>0</v>
      </c>
      <c r="G748" s="8">
        <v>11</v>
      </c>
      <c r="H748" s="8" t="s">
        <v>52124</v>
      </c>
      <c r="I748" s="8">
        <v>526.6875</v>
      </c>
      <c r="J748" s="3">
        <f t="shared" si="11"/>
        <v>43749.462639224534</v>
      </c>
    </row>
    <row r="749" spans="1:10" x14ac:dyDescent="0.25">
      <c r="A749" s="5" t="s">
        <v>52125</v>
      </c>
      <c r="B749" s="6">
        <v>393.75</v>
      </c>
      <c r="C749" s="6">
        <v>20.478950000000001</v>
      </c>
      <c r="D749" s="6">
        <v>76</v>
      </c>
      <c r="E749" s="6">
        <v>0</v>
      </c>
      <c r="F749" s="6">
        <v>0</v>
      </c>
      <c r="G749" s="6">
        <v>4</v>
      </c>
      <c r="H749" s="6" t="s">
        <v>52126</v>
      </c>
      <c r="I749" s="6">
        <v>526.6875</v>
      </c>
      <c r="J749" s="2">
        <f t="shared" si="11"/>
        <v>43749.462723171295</v>
      </c>
    </row>
    <row r="750" spans="1:10" x14ac:dyDescent="0.25">
      <c r="A750" s="7" t="s">
        <v>52127</v>
      </c>
      <c r="B750" s="8">
        <v>393.75</v>
      </c>
      <c r="C750" s="8">
        <v>20.478950000000001</v>
      </c>
      <c r="D750" s="8">
        <v>76</v>
      </c>
      <c r="E750" s="8">
        <v>0</v>
      </c>
      <c r="F750" s="8">
        <v>0</v>
      </c>
      <c r="G750" s="8">
        <v>5</v>
      </c>
      <c r="H750" s="8" t="s">
        <v>52128</v>
      </c>
      <c r="I750" s="8">
        <v>526.6875</v>
      </c>
      <c r="J750" s="3">
        <f t="shared" si="11"/>
        <v>43749.462806493051</v>
      </c>
    </row>
    <row r="751" spans="1:10" x14ac:dyDescent="0.25">
      <c r="A751" s="5" t="s">
        <v>52129</v>
      </c>
      <c r="B751" s="6">
        <v>428.125</v>
      </c>
      <c r="C751" s="6">
        <v>20.478950000000001</v>
      </c>
      <c r="D751" s="6">
        <v>76</v>
      </c>
      <c r="E751" s="6">
        <v>0</v>
      </c>
      <c r="F751" s="6">
        <v>0</v>
      </c>
      <c r="G751" s="6">
        <v>5</v>
      </c>
      <c r="H751" s="6" t="s">
        <v>52130</v>
      </c>
      <c r="I751" s="6">
        <v>537.375</v>
      </c>
      <c r="J751" s="2">
        <f t="shared" si="11"/>
        <v>43749.462889675924</v>
      </c>
    </row>
    <row r="752" spans="1:10" x14ac:dyDescent="0.25">
      <c r="A752" s="7" t="s">
        <v>52131</v>
      </c>
      <c r="B752" s="8">
        <v>393.75</v>
      </c>
      <c r="C752" s="8">
        <v>20.478950000000001</v>
      </c>
      <c r="D752" s="8">
        <v>76</v>
      </c>
      <c r="E752" s="8">
        <v>0</v>
      </c>
      <c r="F752" s="8">
        <v>0</v>
      </c>
      <c r="G752" s="8">
        <v>9</v>
      </c>
      <c r="H752" s="8" t="s">
        <v>52132</v>
      </c>
      <c r="I752" s="8">
        <v>526.5</v>
      </c>
      <c r="J752" s="3">
        <f t="shared" si="11"/>
        <v>43749.462961446756</v>
      </c>
    </row>
    <row r="753" spans="1:10" x14ac:dyDescent="0.25">
      <c r="A753" s="5" t="s">
        <v>52133</v>
      </c>
      <c r="B753" s="6">
        <v>393.75</v>
      </c>
      <c r="C753" s="6">
        <v>20.478950000000001</v>
      </c>
      <c r="D753" s="6">
        <v>74</v>
      </c>
      <c r="E753" s="6">
        <v>0</v>
      </c>
      <c r="F753" s="6">
        <v>0</v>
      </c>
      <c r="G753" s="6">
        <v>2</v>
      </c>
      <c r="H753" s="6" t="s">
        <v>52134</v>
      </c>
      <c r="I753" s="6">
        <v>526.6875</v>
      </c>
      <c r="J753" s="2">
        <f t="shared" si="11"/>
        <v>43749.463045138888</v>
      </c>
    </row>
    <row r="754" spans="1:10" x14ac:dyDescent="0.25">
      <c r="A754" s="7" t="s">
        <v>52135</v>
      </c>
      <c r="B754" s="8">
        <v>412.5</v>
      </c>
      <c r="C754" s="8">
        <v>20.478950000000001</v>
      </c>
      <c r="D754" s="8">
        <v>74</v>
      </c>
      <c r="E754" s="8">
        <v>0</v>
      </c>
      <c r="F754" s="8">
        <v>0</v>
      </c>
      <c r="G754" s="8">
        <v>15</v>
      </c>
      <c r="H754" s="8" t="s">
        <v>52136</v>
      </c>
      <c r="I754" s="8">
        <v>532.3125</v>
      </c>
      <c r="J754" s="3">
        <f t="shared" si="11"/>
        <v>43749.463144849535</v>
      </c>
    </row>
    <row r="755" spans="1:10" x14ac:dyDescent="0.25">
      <c r="A755" s="5" t="s">
        <v>52137</v>
      </c>
      <c r="B755" s="6">
        <v>393.75</v>
      </c>
      <c r="C755" s="6">
        <v>20.478950000000001</v>
      </c>
      <c r="D755" s="6">
        <v>74</v>
      </c>
      <c r="E755" s="6">
        <v>0</v>
      </c>
      <c r="F755" s="6">
        <v>0</v>
      </c>
      <c r="G755" s="6">
        <v>12</v>
      </c>
      <c r="H755" s="6" t="s">
        <v>52138</v>
      </c>
      <c r="I755" s="6">
        <v>526.6875</v>
      </c>
      <c r="J755" s="2">
        <f t="shared" si="11"/>
        <v>43749.463223472216</v>
      </c>
    </row>
    <row r="756" spans="1:10" x14ac:dyDescent="0.25">
      <c r="A756" s="7" t="s">
        <v>52139</v>
      </c>
      <c r="B756" s="8">
        <v>412.5</v>
      </c>
      <c r="C756" s="8">
        <v>20.478950000000001</v>
      </c>
      <c r="D756" s="8">
        <v>73</v>
      </c>
      <c r="E756" s="8">
        <v>0</v>
      </c>
      <c r="F756" s="8">
        <v>0</v>
      </c>
      <c r="G756" s="8">
        <v>2</v>
      </c>
      <c r="H756" s="8" t="s">
        <v>52140</v>
      </c>
      <c r="I756" s="8">
        <v>532.3125</v>
      </c>
      <c r="J756" s="3">
        <f t="shared" si="11"/>
        <v>43749.463295393514</v>
      </c>
    </row>
    <row r="757" spans="1:10" x14ac:dyDescent="0.25">
      <c r="A757" s="5" t="s">
        <v>52141</v>
      </c>
      <c r="B757" s="6">
        <v>393.75</v>
      </c>
      <c r="C757" s="6">
        <v>20.478950000000001</v>
      </c>
      <c r="D757" s="6">
        <v>72</v>
      </c>
      <c r="E757" s="6">
        <v>0</v>
      </c>
      <c r="F757" s="6">
        <v>0</v>
      </c>
      <c r="G757" s="6">
        <v>8</v>
      </c>
      <c r="H757" s="6" t="s">
        <v>52142</v>
      </c>
      <c r="I757" s="6">
        <v>526.875</v>
      </c>
      <c r="J757" s="2">
        <f t="shared" si="11"/>
        <v>43749.463378611108</v>
      </c>
    </row>
    <row r="758" spans="1:10" x14ac:dyDescent="0.25">
      <c r="A758" s="7" t="s">
        <v>52143</v>
      </c>
      <c r="B758" s="8">
        <v>393.75</v>
      </c>
      <c r="C758" s="8">
        <v>20.478950000000001</v>
      </c>
      <c r="D758" s="8">
        <v>72</v>
      </c>
      <c r="E758" s="8">
        <v>0</v>
      </c>
      <c r="F758" s="8">
        <v>0</v>
      </c>
      <c r="G758" s="8">
        <v>2</v>
      </c>
      <c r="H758" s="8" t="s">
        <v>52144</v>
      </c>
      <c r="I758" s="8">
        <v>526.6875</v>
      </c>
      <c r="J758" s="3">
        <f t="shared" si="11"/>
        <v>43749.463450578703</v>
      </c>
    </row>
    <row r="759" spans="1:10" x14ac:dyDescent="0.25">
      <c r="A759" s="5" t="s">
        <v>52145</v>
      </c>
      <c r="B759" s="6">
        <v>393.75</v>
      </c>
      <c r="C759" s="6">
        <v>20.478950000000001</v>
      </c>
      <c r="D759" s="6">
        <v>71</v>
      </c>
      <c r="E759" s="6">
        <v>0</v>
      </c>
      <c r="F759" s="6">
        <v>0</v>
      </c>
      <c r="G759" s="6">
        <v>11</v>
      </c>
      <c r="H759" s="6" t="s">
        <v>52146</v>
      </c>
      <c r="I759" s="6">
        <v>526.6875</v>
      </c>
      <c r="J759" s="2">
        <f t="shared" si="11"/>
        <v>43749.463533923605</v>
      </c>
    </row>
    <row r="760" spans="1:10" x14ac:dyDescent="0.25">
      <c r="A760" s="7" t="s">
        <v>52147</v>
      </c>
      <c r="B760" s="8">
        <v>393.75</v>
      </c>
      <c r="C760" s="8">
        <v>20.478950000000001</v>
      </c>
      <c r="D760" s="8">
        <v>72</v>
      </c>
      <c r="E760" s="8">
        <v>0</v>
      </c>
      <c r="F760" s="8">
        <v>0</v>
      </c>
      <c r="G760" s="8">
        <v>5</v>
      </c>
      <c r="H760" s="8" t="s">
        <v>52148</v>
      </c>
      <c r="I760" s="8">
        <v>526.6875</v>
      </c>
      <c r="J760" s="3">
        <f t="shared" si="11"/>
        <v>43749.463617511567</v>
      </c>
    </row>
    <row r="761" spans="1:10" x14ac:dyDescent="0.25">
      <c r="A761" s="5" t="s">
        <v>52149</v>
      </c>
      <c r="B761" s="6">
        <v>421.875</v>
      </c>
      <c r="C761" s="6">
        <v>20.478950000000001</v>
      </c>
      <c r="D761" s="6">
        <v>72</v>
      </c>
      <c r="E761" s="6">
        <v>0</v>
      </c>
      <c r="F761" s="6">
        <v>0</v>
      </c>
      <c r="G761" s="6">
        <v>0</v>
      </c>
      <c r="H761" s="6" t="s">
        <v>52150</v>
      </c>
      <c r="I761" s="6">
        <v>535.125</v>
      </c>
      <c r="J761" s="2">
        <f t="shared" si="11"/>
        <v>43749.463700474538</v>
      </c>
    </row>
    <row r="762" spans="1:10" x14ac:dyDescent="0.25">
      <c r="A762" s="7" t="s">
        <v>52151</v>
      </c>
      <c r="B762" s="8">
        <v>393.75</v>
      </c>
      <c r="C762" s="8">
        <v>20.478950000000001</v>
      </c>
      <c r="D762" s="8">
        <v>72</v>
      </c>
      <c r="E762" s="8">
        <v>0</v>
      </c>
      <c r="F762" s="8">
        <v>0</v>
      </c>
      <c r="G762" s="8">
        <v>5</v>
      </c>
      <c r="H762" s="8" t="s">
        <v>52152</v>
      </c>
      <c r="I762" s="8">
        <v>526.6875</v>
      </c>
      <c r="J762" s="3">
        <f t="shared" si="11"/>
        <v>43749.463772604162</v>
      </c>
    </row>
    <row r="763" spans="1:10" x14ac:dyDescent="0.25">
      <c r="A763" s="5" t="s">
        <v>52153</v>
      </c>
      <c r="B763" s="6">
        <v>393.75</v>
      </c>
      <c r="C763" s="6">
        <v>20.478950000000001</v>
      </c>
      <c r="D763" s="6">
        <v>71</v>
      </c>
      <c r="E763" s="6">
        <v>0</v>
      </c>
      <c r="F763" s="6">
        <v>0</v>
      </c>
      <c r="G763" s="6">
        <v>7</v>
      </c>
      <c r="H763" s="6" t="s">
        <v>52154</v>
      </c>
      <c r="I763" s="6">
        <v>526.6875</v>
      </c>
      <c r="J763" s="2">
        <f t="shared" si="11"/>
        <v>43749.463856030088</v>
      </c>
    </row>
    <row r="764" spans="1:10" x14ac:dyDescent="0.25">
      <c r="A764" s="7" t="s">
        <v>52155</v>
      </c>
      <c r="B764" s="8">
        <v>415.625</v>
      </c>
      <c r="C764" s="8">
        <v>20.478950000000001</v>
      </c>
      <c r="D764" s="8">
        <v>71</v>
      </c>
      <c r="E764" s="8">
        <v>0</v>
      </c>
      <c r="F764" s="8">
        <v>0</v>
      </c>
      <c r="G764" s="8">
        <v>13</v>
      </c>
      <c r="H764" s="8" t="s">
        <v>52156</v>
      </c>
      <c r="I764" s="8">
        <v>533.4375</v>
      </c>
      <c r="J764" s="3">
        <f t="shared" si="11"/>
        <v>43749.463939490735</v>
      </c>
    </row>
    <row r="765" spans="1:10" x14ac:dyDescent="0.25">
      <c r="A765" s="5" t="s">
        <v>52157</v>
      </c>
      <c r="B765" s="6">
        <v>393.75</v>
      </c>
      <c r="C765" s="6">
        <v>20.478950000000001</v>
      </c>
      <c r="D765" s="6">
        <v>71</v>
      </c>
      <c r="E765" s="6">
        <v>0</v>
      </c>
      <c r="F765" s="6">
        <v>0</v>
      </c>
      <c r="G765" s="6">
        <v>14</v>
      </c>
      <c r="H765" s="6" t="s">
        <v>52158</v>
      </c>
      <c r="I765" s="6">
        <v>526.6875</v>
      </c>
      <c r="J765" s="2">
        <f t="shared" si="11"/>
        <v>43749.464023159722</v>
      </c>
    </row>
    <row r="766" spans="1:10" x14ac:dyDescent="0.25">
      <c r="A766" s="7" t="s">
        <v>52159</v>
      </c>
      <c r="B766" s="8">
        <v>393.75</v>
      </c>
      <c r="C766" s="8">
        <v>20.478950000000001</v>
      </c>
      <c r="D766" s="8">
        <v>71</v>
      </c>
      <c r="E766" s="8">
        <v>0</v>
      </c>
      <c r="F766" s="8">
        <v>0</v>
      </c>
      <c r="G766" s="8">
        <v>4</v>
      </c>
      <c r="H766" s="8" t="s">
        <v>52160</v>
      </c>
      <c r="I766" s="8">
        <v>526.6875</v>
      </c>
      <c r="J766" s="3">
        <f t="shared" si="11"/>
        <v>43749.464106388885</v>
      </c>
    </row>
    <row r="767" spans="1:10" x14ac:dyDescent="0.25">
      <c r="A767" s="5" t="s">
        <v>52161</v>
      </c>
      <c r="B767" s="6">
        <v>393.75</v>
      </c>
      <c r="C767" s="6">
        <v>20.478950000000001</v>
      </c>
      <c r="D767" s="6">
        <v>70</v>
      </c>
      <c r="E767" s="6">
        <v>0</v>
      </c>
      <c r="F767" s="6">
        <v>0</v>
      </c>
      <c r="G767" s="6">
        <v>10</v>
      </c>
      <c r="H767" s="6" t="s">
        <v>52162</v>
      </c>
      <c r="I767" s="6">
        <v>526.6875</v>
      </c>
      <c r="J767" s="2">
        <f t="shared" si="11"/>
        <v>43749.464189803235</v>
      </c>
    </row>
    <row r="768" spans="1:10" x14ac:dyDescent="0.25">
      <c r="A768" s="7" t="s">
        <v>52163</v>
      </c>
      <c r="B768" s="8">
        <v>393.75</v>
      </c>
      <c r="C768" s="8">
        <v>20.478950000000001</v>
      </c>
      <c r="D768" s="8">
        <v>71</v>
      </c>
      <c r="E768" s="8">
        <v>0</v>
      </c>
      <c r="F768" s="8">
        <v>0</v>
      </c>
      <c r="G768" s="8">
        <v>0</v>
      </c>
      <c r="H768" s="8" t="s">
        <v>52164</v>
      </c>
      <c r="I768" s="8">
        <v>526.6875</v>
      </c>
      <c r="J768" s="3">
        <f t="shared" si="11"/>
        <v>43749.464273483791</v>
      </c>
    </row>
    <row r="769" spans="1:10" x14ac:dyDescent="0.25">
      <c r="A769" s="5" t="s">
        <v>52165</v>
      </c>
      <c r="B769" s="6">
        <v>393.75</v>
      </c>
      <c r="C769" s="6">
        <v>20.478950000000001</v>
      </c>
      <c r="D769" s="6">
        <v>75</v>
      </c>
      <c r="E769" s="6">
        <v>0</v>
      </c>
      <c r="F769" s="6">
        <v>0</v>
      </c>
      <c r="G769" s="6">
        <v>5</v>
      </c>
      <c r="H769" s="6" t="s">
        <v>52166</v>
      </c>
      <c r="I769" s="6">
        <v>526.6875</v>
      </c>
      <c r="J769" s="2">
        <f t="shared" si="11"/>
        <v>43749.464356504628</v>
      </c>
    </row>
    <row r="770" spans="1:10" x14ac:dyDescent="0.25">
      <c r="A770" s="7" t="s">
        <v>52167</v>
      </c>
      <c r="B770" s="8">
        <v>393.75</v>
      </c>
      <c r="C770" s="8">
        <v>20.478950000000001</v>
      </c>
      <c r="D770" s="8">
        <v>75</v>
      </c>
      <c r="E770" s="8">
        <v>0</v>
      </c>
      <c r="F770" s="8">
        <v>0</v>
      </c>
      <c r="G770" s="8">
        <v>5</v>
      </c>
      <c r="H770" s="8" t="s">
        <v>52168</v>
      </c>
      <c r="I770" s="8">
        <v>526.5</v>
      </c>
      <c r="J770" s="3">
        <f t="shared" ref="J770:J833" si="12">(H770/86400000)+25569+(7/24)</f>
        <v>43749.464444953701</v>
      </c>
    </row>
    <row r="771" spans="1:10" x14ac:dyDescent="0.25">
      <c r="A771" s="5" t="s">
        <v>52169</v>
      </c>
      <c r="B771" s="6">
        <v>393.75</v>
      </c>
      <c r="C771" s="6">
        <v>20.478950000000001</v>
      </c>
      <c r="D771" s="6">
        <v>75</v>
      </c>
      <c r="E771" s="6">
        <v>0</v>
      </c>
      <c r="F771" s="6">
        <v>0</v>
      </c>
      <c r="G771" s="6">
        <v>9</v>
      </c>
      <c r="H771" s="6" t="s">
        <v>52170</v>
      </c>
      <c r="I771" s="6">
        <v>526.6875</v>
      </c>
      <c r="J771" s="2">
        <f t="shared" si="12"/>
        <v>43749.464523877316</v>
      </c>
    </row>
    <row r="772" spans="1:10" x14ac:dyDescent="0.25">
      <c r="A772" s="7" t="s">
        <v>52171</v>
      </c>
      <c r="B772" s="8">
        <v>393.75</v>
      </c>
      <c r="C772" s="8">
        <v>20.478950000000001</v>
      </c>
      <c r="D772" s="8">
        <v>73</v>
      </c>
      <c r="E772" s="8">
        <v>0</v>
      </c>
      <c r="F772" s="8">
        <v>0</v>
      </c>
      <c r="G772" s="8">
        <v>5</v>
      </c>
      <c r="H772" s="8" t="s">
        <v>52172</v>
      </c>
      <c r="I772" s="8">
        <v>526.6875</v>
      </c>
      <c r="J772" s="3">
        <f t="shared" si="12"/>
        <v>43749.464619421291</v>
      </c>
    </row>
    <row r="773" spans="1:10" x14ac:dyDescent="0.25">
      <c r="A773" s="5" t="s">
        <v>52173</v>
      </c>
      <c r="B773" s="6">
        <v>393.75</v>
      </c>
      <c r="C773" s="6">
        <v>20.478950000000001</v>
      </c>
      <c r="D773" s="6">
        <v>74</v>
      </c>
      <c r="E773" s="6">
        <v>0</v>
      </c>
      <c r="F773" s="6">
        <v>0</v>
      </c>
      <c r="G773" s="6">
        <v>11</v>
      </c>
      <c r="H773" s="6" t="s">
        <v>52174</v>
      </c>
      <c r="I773" s="6">
        <v>526.6875</v>
      </c>
      <c r="J773" s="2">
        <f t="shared" si="12"/>
        <v>43749.464702696758</v>
      </c>
    </row>
    <row r="774" spans="1:10" x14ac:dyDescent="0.25">
      <c r="A774" s="7" t="s">
        <v>52175</v>
      </c>
      <c r="B774" s="8">
        <v>393.75</v>
      </c>
      <c r="C774" s="8">
        <v>20.478950000000001</v>
      </c>
      <c r="D774" s="8">
        <v>73</v>
      </c>
      <c r="E774" s="8">
        <v>0</v>
      </c>
      <c r="F774" s="8">
        <v>0</v>
      </c>
      <c r="G774" s="8">
        <v>13</v>
      </c>
      <c r="H774" s="8" t="s">
        <v>52176</v>
      </c>
      <c r="I774" s="8">
        <v>526.6875</v>
      </c>
      <c r="J774" s="3">
        <f t="shared" si="12"/>
        <v>43749.464785995369</v>
      </c>
    </row>
    <row r="775" spans="1:10" x14ac:dyDescent="0.25">
      <c r="A775" s="5" t="s">
        <v>52177</v>
      </c>
      <c r="B775" s="6">
        <v>431.25</v>
      </c>
      <c r="C775" s="6">
        <v>20.478950000000001</v>
      </c>
      <c r="D775" s="6">
        <v>73</v>
      </c>
      <c r="E775" s="6">
        <v>0</v>
      </c>
      <c r="F775" s="6">
        <v>0</v>
      </c>
      <c r="G775" s="6">
        <v>9</v>
      </c>
      <c r="H775" s="6" t="s">
        <v>52178</v>
      </c>
      <c r="I775" s="6">
        <v>538.3125</v>
      </c>
      <c r="J775" s="2">
        <f t="shared" si="12"/>
        <v>43749.46485773148</v>
      </c>
    </row>
    <row r="776" spans="1:10" x14ac:dyDescent="0.25">
      <c r="A776" s="7" t="s">
        <v>52179</v>
      </c>
      <c r="B776" s="8">
        <v>393.75</v>
      </c>
      <c r="C776" s="8">
        <v>20.478950000000001</v>
      </c>
      <c r="D776" s="8">
        <v>73</v>
      </c>
      <c r="E776" s="8">
        <v>0</v>
      </c>
      <c r="F776" s="8">
        <v>0</v>
      </c>
      <c r="G776" s="8">
        <v>8</v>
      </c>
      <c r="H776" s="8" t="s">
        <v>52180</v>
      </c>
      <c r="I776" s="8">
        <v>526.6875</v>
      </c>
      <c r="J776" s="3">
        <f t="shared" si="12"/>
        <v>43749.464941203703</v>
      </c>
    </row>
    <row r="777" spans="1:10" x14ac:dyDescent="0.25">
      <c r="A777" s="5" t="s">
        <v>52181</v>
      </c>
      <c r="B777" s="6">
        <v>393.75</v>
      </c>
      <c r="C777" s="6">
        <v>20.478950000000001</v>
      </c>
      <c r="D777" s="6">
        <v>73</v>
      </c>
      <c r="E777" s="6">
        <v>0</v>
      </c>
      <c r="F777" s="6">
        <v>0</v>
      </c>
      <c r="G777" s="6">
        <v>9</v>
      </c>
      <c r="H777" s="6" t="s">
        <v>52182</v>
      </c>
      <c r="I777" s="6">
        <v>526.6875</v>
      </c>
      <c r="J777" s="2">
        <f t="shared" si="12"/>
        <v>43749.465024745368</v>
      </c>
    </row>
    <row r="778" spans="1:10" x14ac:dyDescent="0.25">
      <c r="A778" s="7" t="s">
        <v>52183</v>
      </c>
      <c r="B778" s="8">
        <v>393.75</v>
      </c>
      <c r="C778" s="8">
        <v>20.478950000000001</v>
      </c>
      <c r="D778" s="8">
        <v>73</v>
      </c>
      <c r="E778" s="8">
        <v>0</v>
      </c>
      <c r="F778" s="8">
        <v>0</v>
      </c>
      <c r="G778" s="8">
        <v>9</v>
      </c>
      <c r="H778" s="8" t="s">
        <v>52184</v>
      </c>
      <c r="I778" s="8">
        <v>526.6875</v>
      </c>
      <c r="J778" s="3">
        <f t="shared" si="12"/>
        <v>43749.46510833333</v>
      </c>
    </row>
    <row r="779" spans="1:10" x14ac:dyDescent="0.25">
      <c r="A779" s="5" t="s">
        <v>52185</v>
      </c>
      <c r="B779" s="6">
        <v>393.75</v>
      </c>
      <c r="C779" s="6">
        <v>20.478950000000001</v>
      </c>
      <c r="D779" s="6">
        <v>74</v>
      </c>
      <c r="E779" s="6">
        <v>0</v>
      </c>
      <c r="F779" s="6">
        <v>0</v>
      </c>
      <c r="G779" s="6">
        <v>13</v>
      </c>
      <c r="H779" s="6" t="s">
        <v>52186</v>
      </c>
      <c r="I779" s="6">
        <v>526.6875</v>
      </c>
      <c r="J779" s="2">
        <f t="shared" si="12"/>
        <v>43749.465191655087</v>
      </c>
    </row>
    <row r="780" spans="1:10" x14ac:dyDescent="0.25">
      <c r="A780" s="7" t="s">
        <v>52187</v>
      </c>
      <c r="B780" s="8">
        <v>428.125</v>
      </c>
      <c r="C780" s="8">
        <v>20.478950000000001</v>
      </c>
      <c r="D780" s="8">
        <v>74</v>
      </c>
      <c r="E780" s="8">
        <v>0</v>
      </c>
      <c r="F780" s="8">
        <v>0</v>
      </c>
      <c r="G780" s="8">
        <v>11</v>
      </c>
      <c r="H780" s="8" t="s">
        <v>52188</v>
      </c>
      <c r="I780" s="8">
        <v>537</v>
      </c>
      <c r="J780" s="3">
        <f t="shared" si="12"/>
        <v>43749.46527497685</v>
      </c>
    </row>
    <row r="781" spans="1:10" x14ac:dyDescent="0.25">
      <c r="A781" s="5" t="s">
        <v>52189</v>
      </c>
      <c r="B781" s="6">
        <v>393.75</v>
      </c>
      <c r="C781" s="6">
        <v>20.478950000000001</v>
      </c>
      <c r="D781" s="6">
        <v>74</v>
      </c>
      <c r="E781" s="6">
        <v>0</v>
      </c>
      <c r="F781" s="6">
        <v>0</v>
      </c>
      <c r="G781" s="6">
        <v>13</v>
      </c>
      <c r="H781" s="6" t="s">
        <v>52190</v>
      </c>
      <c r="I781" s="6">
        <v>526.6875</v>
      </c>
      <c r="J781" s="2">
        <f t="shared" si="12"/>
        <v>43749.465346296296</v>
      </c>
    </row>
    <row r="782" spans="1:10" x14ac:dyDescent="0.25">
      <c r="A782" s="7" t="s">
        <v>52191</v>
      </c>
      <c r="B782" s="8">
        <v>393.75</v>
      </c>
      <c r="C782" s="8">
        <v>20.478950000000001</v>
      </c>
      <c r="D782" s="8">
        <v>72</v>
      </c>
      <c r="E782" s="8">
        <v>0</v>
      </c>
      <c r="F782" s="8">
        <v>0</v>
      </c>
      <c r="G782" s="8">
        <v>6</v>
      </c>
      <c r="H782" s="8" t="s">
        <v>52192</v>
      </c>
      <c r="I782" s="8">
        <v>526.6875</v>
      </c>
      <c r="J782" s="3">
        <f t="shared" si="12"/>
        <v>43749.46541827546</v>
      </c>
    </row>
    <row r="783" spans="1:10" x14ac:dyDescent="0.25">
      <c r="A783" s="5" t="s">
        <v>52193</v>
      </c>
      <c r="B783" s="6">
        <v>393.75</v>
      </c>
      <c r="C783" s="6">
        <v>20.478950000000001</v>
      </c>
      <c r="D783" s="6">
        <v>70</v>
      </c>
      <c r="E783" s="6">
        <v>0</v>
      </c>
      <c r="F783" s="6">
        <v>0</v>
      </c>
      <c r="G783" s="6">
        <v>12</v>
      </c>
      <c r="H783" s="6" t="s">
        <v>52194</v>
      </c>
      <c r="I783" s="6">
        <v>526.6875</v>
      </c>
      <c r="J783" s="2">
        <f t="shared" si="12"/>
        <v>43749.465501736107</v>
      </c>
    </row>
    <row r="784" spans="1:10" x14ac:dyDescent="0.25">
      <c r="A784" s="7" t="s">
        <v>52195</v>
      </c>
      <c r="B784" s="8">
        <v>393.75</v>
      </c>
      <c r="C784" s="8">
        <v>20.478950000000001</v>
      </c>
      <c r="D784" s="8">
        <v>70</v>
      </c>
      <c r="E784" s="8">
        <v>0</v>
      </c>
      <c r="F784" s="8">
        <v>0</v>
      </c>
      <c r="G784" s="8">
        <v>8</v>
      </c>
      <c r="H784" s="8" t="s">
        <v>52196</v>
      </c>
      <c r="I784" s="8">
        <v>526.6875</v>
      </c>
      <c r="J784" s="3">
        <f t="shared" si="12"/>
        <v>43749.465573379632</v>
      </c>
    </row>
    <row r="785" spans="1:10" x14ac:dyDescent="0.25">
      <c r="A785" s="5" t="s">
        <v>52197</v>
      </c>
      <c r="B785" s="6">
        <v>393.75</v>
      </c>
      <c r="C785" s="6">
        <v>20.478950000000001</v>
      </c>
      <c r="D785" s="6">
        <v>70</v>
      </c>
      <c r="E785" s="6">
        <v>0</v>
      </c>
      <c r="F785" s="6">
        <v>0</v>
      </c>
      <c r="G785" s="6">
        <v>14</v>
      </c>
      <c r="H785" s="6" t="s">
        <v>52198</v>
      </c>
      <c r="I785" s="6">
        <v>526.6875</v>
      </c>
      <c r="J785" s="2">
        <f t="shared" si="12"/>
        <v>43749.465656458335</v>
      </c>
    </row>
    <row r="786" spans="1:10" x14ac:dyDescent="0.25">
      <c r="A786" s="7" t="s">
        <v>52199</v>
      </c>
      <c r="B786" s="8">
        <v>393.75</v>
      </c>
      <c r="C786" s="8">
        <v>20.478950000000001</v>
      </c>
      <c r="D786" s="8">
        <v>70</v>
      </c>
      <c r="E786" s="8">
        <v>0</v>
      </c>
      <c r="F786" s="8">
        <v>0</v>
      </c>
      <c r="G786" s="8">
        <v>9</v>
      </c>
      <c r="H786" s="8" t="s">
        <v>52200</v>
      </c>
      <c r="I786" s="8">
        <v>526.6875</v>
      </c>
      <c r="J786" s="3">
        <f t="shared" si="12"/>
        <v>43749.465728124997</v>
      </c>
    </row>
    <row r="787" spans="1:10" x14ac:dyDescent="0.25">
      <c r="A787" s="5" t="s">
        <v>52201</v>
      </c>
      <c r="B787" s="6">
        <v>393.75</v>
      </c>
      <c r="C787" s="6">
        <v>20.478950000000001</v>
      </c>
      <c r="D787" s="6">
        <v>68</v>
      </c>
      <c r="E787" s="6">
        <v>0</v>
      </c>
      <c r="F787" s="6">
        <v>0</v>
      </c>
      <c r="G787" s="6">
        <v>7</v>
      </c>
      <c r="H787" s="6" t="s">
        <v>52202</v>
      </c>
      <c r="I787" s="6">
        <v>526.6875</v>
      </c>
      <c r="J787" s="2">
        <f t="shared" si="12"/>
        <v>43749.465811898146</v>
      </c>
    </row>
    <row r="788" spans="1:10" x14ac:dyDescent="0.25">
      <c r="A788" s="7" t="s">
        <v>52203</v>
      </c>
      <c r="B788" s="8">
        <v>393.75</v>
      </c>
      <c r="C788" s="8">
        <v>20.478950000000001</v>
      </c>
      <c r="D788" s="8">
        <v>70</v>
      </c>
      <c r="E788" s="8">
        <v>0</v>
      </c>
      <c r="F788" s="8">
        <v>0</v>
      </c>
      <c r="G788" s="8">
        <v>6</v>
      </c>
      <c r="H788" s="8" t="s">
        <v>52204</v>
      </c>
      <c r="I788" s="8">
        <v>526.6875</v>
      </c>
      <c r="J788" s="3">
        <f t="shared" si="12"/>
        <v>43749.465895266207</v>
      </c>
    </row>
    <row r="789" spans="1:10" x14ac:dyDescent="0.25">
      <c r="A789" s="5" t="s">
        <v>52205</v>
      </c>
      <c r="B789" s="6">
        <v>393.75</v>
      </c>
      <c r="C789" s="6">
        <v>20.478950000000001</v>
      </c>
      <c r="D789" s="6">
        <v>67</v>
      </c>
      <c r="E789" s="6">
        <v>0</v>
      </c>
      <c r="F789" s="6">
        <v>0</v>
      </c>
      <c r="G789" s="6">
        <v>7</v>
      </c>
      <c r="H789" s="6" t="s">
        <v>52206</v>
      </c>
      <c r="I789" s="6">
        <v>526.6875</v>
      </c>
      <c r="J789" s="2">
        <f t="shared" si="12"/>
        <v>43749.465978576387</v>
      </c>
    </row>
    <row r="790" spans="1:10" x14ac:dyDescent="0.25">
      <c r="A790" s="7" t="s">
        <v>52207</v>
      </c>
      <c r="B790" s="8">
        <v>393.75</v>
      </c>
      <c r="C790" s="8">
        <v>20.478950000000001</v>
      </c>
      <c r="D790" s="8">
        <v>67</v>
      </c>
      <c r="E790" s="8">
        <v>0</v>
      </c>
      <c r="F790" s="8">
        <v>0</v>
      </c>
      <c r="G790" s="8">
        <v>8</v>
      </c>
      <c r="H790" s="8" t="s">
        <v>52208</v>
      </c>
      <c r="I790" s="8">
        <v>526.5</v>
      </c>
      <c r="J790" s="3">
        <f t="shared" si="12"/>
        <v>43749.466050023148</v>
      </c>
    </row>
    <row r="791" spans="1:10" x14ac:dyDescent="0.25">
      <c r="A791" s="5" t="s">
        <v>52209</v>
      </c>
      <c r="B791" s="6">
        <v>393.75</v>
      </c>
      <c r="C791" s="6">
        <v>20.478950000000001</v>
      </c>
      <c r="D791" s="6">
        <v>69</v>
      </c>
      <c r="E791" s="6">
        <v>0</v>
      </c>
      <c r="F791" s="6">
        <v>0</v>
      </c>
      <c r="G791" s="6">
        <v>10</v>
      </c>
      <c r="H791" s="6" t="s">
        <v>52210</v>
      </c>
      <c r="I791" s="6">
        <v>526.6875</v>
      </c>
      <c r="J791" s="2">
        <f t="shared" si="12"/>
        <v>43749.466145949067</v>
      </c>
    </row>
    <row r="792" spans="1:10" x14ac:dyDescent="0.25">
      <c r="A792" s="7" t="s">
        <v>52211</v>
      </c>
      <c r="B792" s="8">
        <v>393.75</v>
      </c>
      <c r="C792" s="8">
        <v>20.478950000000001</v>
      </c>
      <c r="D792" s="8">
        <v>69</v>
      </c>
      <c r="E792" s="8">
        <v>0</v>
      </c>
      <c r="F792" s="8">
        <v>0</v>
      </c>
      <c r="G792" s="8">
        <v>14</v>
      </c>
      <c r="H792" s="8" t="s">
        <v>52212</v>
      </c>
      <c r="I792" s="8">
        <v>526.6875</v>
      </c>
      <c r="J792" s="3">
        <f t="shared" si="12"/>
        <v>43749.466217361107</v>
      </c>
    </row>
    <row r="793" spans="1:10" x14ac:dyDescent="0.25">
      <c r="A793" s="5" t="s">
        <v>52213</v>
      </c>
      <c r="B793" s="6">
        <v>393.75</v>
      </c>
      <c r="C793" s="6">
        <v>20.478950000000001</v>
      </c>
      <c r="D793" s="6">
        <v>69</v>
      </c>
      <c r="E793" s="6">
        <v>0</v>
      </c>
      <c r="F793" s="6">
        <v>0</v>
      </c>
      <c r="G793" s="6">
        <v>10</v>
      </c>
      <c r="H793" s="6" t="s">
        <v>52214</v>
      </c>
      <c r="I793" s="6">
        <v>526.6875</v>
      </c>
      <c r="J793" s="2">
        <f t="shared" si="12"/>
        <v>43749.466288981479</v>
      </c>
    </row>
    <row r="794" spans="1:10" x14ac:dyDescent="0.25">
      <c r="A794" s="7" t="s">
        <v>52215</v>
      </c>
      <c r="B794" s="8">
        <v>393.75</v>
      </c>
      <c r="C794" s="8">
        <v>20.478950000000001</v>
      </c>
      <c r="D794" s="8">
        <v>69</v>
      </c>
      <c r="E794" s="8">
        <v>0</v>
      </c>
      <c r="F794" s="8">
        <v>0</v>
      </c>
      <c r="G794" s="8">
        <v>7</v>
      </c>
      <c r="H794" s="8" t="s">
        <v>52216</v>
      </c>
      <c r="I794" s="8">
        <v>526.6875</v>
      </c>
      <c r="J794" s="3">
        <f t="shared" si="12"/>
        <v>43749.466372453702</v>
      </c>
    </row>
    <row r="795" spans="1:10" x14ac:dyDescent="0.25">
      <c r="A795" s="5" t="s">
        <v>52217</v>
      </c>
      <c r="B795" s="6">
        <v>393.75</v>
      </c>
      <c r="C795" s="6">
        <v>20.478950000000001</v>
      </c>
      <c r="D795" s="6">
        <v>71</v>
      </c>
      <c r="E795" s="6">
        <v>0</v>
      </c>
      <c r="F795" s="6">
        <v>0</v>
      </c>
      <c r="G795" s="6">
        <v>14</v>
      </c>
      <c r="H795" s="6" t="s">
        <v>52218</v>
      </c>
      <c r="I795" s="6">
        <v>526.6875</v>
      </c>
      <c r="J795" s="2">
        <f t="shared" si="12"/>
        <v>43749.466455891197</v>
      </c>
    </row>
    <row r="796" spans="1:10" x14ac:dyDescent="0.25">
      <c r="A796" s="7" t="s">
        <v>52219</v>
      </c>
      <c r="B796" s="8">
        <v>393.75</v>
      </c>
      <c r="C796" s="8">
        <v>20.478950000000001</v>
      </c>
      <c r="D796" s="8">
        <v>72</v>
      </c>
      <c r="E796" s="8">
        <v>0</v>
      </c>
      <c r="F796" s="8">
        <v>0</v>
      </c>
      <c r="G796" s="8">
        <v>10</v>
      </c>
      <c r="H796" s="8" t="s">
        <v>52220</v>
      </c>
      <c r="I796" s="8">
        <v>526.5</v>
      </c>
      <c r="J796" s="3">
        <f t="shared" si="12"/>
        <v>43749.466539444438</v>
      </c>
    </row>
    <row r="797" spans="1:10" x14ac:dyDescent="0.25">
      <c r="A797" s="5" t="s">
        <v>52221</v>
      </c>
      <c r="B797" s="6">
        <v>393.75</v>
      </c>
      <c r="C797" s="6">
        <v>20.478950000000001</v>
      </c>
      <c r="D797" s="6">
        <v>71</v>
      </c>
      <c r="E797" s="6">
        <v>0</v>
      </c>
      <c r="F797" s="6">
        <v>0</v>
      </c>
      <c r="G797" s="6">
        <v>13</v>
      </c>
      <c r="H797" s="6" t="s">
        <v>52222</v>
      </c>
      <c r="I797" s="6">
        <v>526.6875</v>
      </c>
      <c r="J797" s="2">
        <f t="shared" si="12"/>
        <v>43749.466623414344</v>
      </c>
    </row>
    <row r="798" spans="1:10" x14ac:dyDescent="0.25">
      <c r="A798" s="7" t="s">
        <v>52223</v>
      </c>
      <c r="B798" s="8">
        <v>393.75</v>
      </c>
      <c r="C798" s="8">
        <v>20.478950000000001</v>
      </c>
      <c r="D798" s="8">
        <v>72</v>
      </c>
      <c r="E798" s="8">
        <v>0</v>
      </c>
      <c r="F798" s="8">
        <v>0</v>
      </c>
      <c r="G798" s="8">
        <v>16</v>
      </c>
      <c r="H798" s="8" t="s">
        <v>52224</v>
      </c>
      <c r="I798" s="8">
        <v>526.5</v>
      </c>
      <c r="J798" s="3">
        <f t="shared" si="12"/>
        <v>43749.466706458326</v>
      </c>
    </row>
    <row r="799" spans="1:10" x14ac:dyDescent="0.25">
      <c r="A799" s="5" t="s">
        <v>52225</v>
      </c>
      <c r="B799" s="6">
        <v>412.5</v>
      </c>
      <c r="C799" s="6">
        <v>20.478950000000001</v>
      </c>
      <c r="D799" s="6">
        <v>72</v>
      </c>
      <c r="E799" s="6">
        <v>0</v>
      </c>
      <c r="F799" s="6">
        <v>0</v>
      </c>
      <c r="G799" s="6">
        <v>8</v>
      </c>
      <c r="H799" s="6" t="s">
        <v>52226</v>
      </c>
      <c r="I799" s="6">
        <v>532.3125</v>
      </c>
      <c r="J799" s="2">
        <f t="shared" si="12"/>
        <v>43749.466789814811</v>
      </c>
    </row>
    <row r="800" spans="1:10" x14ac:dyDescent="0.25">
      <c r="A800" s="7" t="s">
        <v>52227</v>
      </c>
      <c r="B800" s="8">
        <v>393.75</v>
      </c>
      <c r="C800" s="8">
        <v>20.478950000000001</v>
      </c>
      <c r="D800" s="8">
        <v>72</v>
      </c>
      <c r="E800" s="8">
        <v>0</v>
      </c>
      <c r="F800" s="8">
        <v>0</v>
      </c>
      <c r="G800" s="8">
        <v>16</v>
      </c>
      <c r="H800" s="8" t="s">
        <v>52228</v>
      </c>
      <c r="I800" s="8">
        <v>526.6875</v>
      </c>
      <c r="J800" s="3">
        <f t="shared" si="12"/>
        <v>43749.466861550922</v>
      </c>
    </row>
    <row r="801" spans="1:10" x14ac:dyDescent="0.25">
      <c r="A801" s="5" t="s">
        <v>52229</v>
      </c>
      <c r="B801" s="6">
        <v>393.75</v>
      </c>
      <c r="C801" s="6">
        <v>20.478950000000001</v>
      </c>
      <c r="D801" s="6">
        <v>72</v>
      </c>
      <c r="E801" s="6">
        <v>0</v>
      </c>
      <c r="F801" s="6">
        <v>0</v>
      </c>
      <c r="G801" s="6">
        <v>11</v>
      </c>
      <c r="H801" s="6" t="s">
        <v>52230</v>
      </c>
      <c r="I801" s="6">
        <v>526.6875</v>
      </c>
      <c r="J801" s="2">
        <f t="shared" si="12"/>
        <v>43749.466944988424</v>
      </c>
    </row>
    <row r="802" spans="1:10" x14ac:dyDescent="0.25">
      <c r="A802" s="7" t="s">
        <v>52231</v>
      </c>
      <c r="B802" s="8">
        <v>393.75</v>
      </c>
      <c r="C802" s="8">
        <v>20.478950000000001</v>
      </c>
      <c r="D802" s="8">
        <v>72</v>
      </c>
      <c r="E802" s="8">
        <v>0</v>
      </c>
      <c r="F802" s="8">
        <v>0</v>
      </c>
      <c r="G802" s="8">
        <v>17</v>
      </c>
      <c r="H802" s="8" t="s">
        <v>52232</v>
      </c>
      <c r="I802" s="8">
        <v>526.6875</v>
      </c>
      <c r="J802" s="3">
        <f t="shared" si="12"/>
        <v>43749.467028344901</v>
      </c>
    </row>
    <row r="803" spans="1:10" x14ac:dyDescent="0.25">
      <c r="A803" s="5" t="s">
        <v>52233</v>
      </c>
      <c r="B803" s="6">
        <v>393.75</v>
      </c>
      <c r="C803" s="6">
        <v>20.478950000000001</v>
      </c>
      <c r="D803" s="6">
        <v>71</v>
      </c>
      <c r="E803" s="6">
        <v>0</v>
      </c>
      <c r="F803" s="6">
        <v>0</v>
      </c>
      <c r="G803" s="6">
        <v>5</v>
      </c>
      <c r="H803" s="6" t="s">
        <v>52234</v>
      </c>
      <c r="I803" s="6">
        <v>526.6875</v>
      </c>
      <c r="J803" s="2">
        <f t="shared" si="12"/>
        <v>43749.467112037033</v>
      </c>
    </row>
    <row r="804" spans="1:10" x14ac:dyDescent="0.25">
      <c r="A804" s="7" t="s">
        <v>52235</v>
      </c>
      <c r="B804" s="8">
        <v>393.75</v>
      </c>
      <c r="C804" s="8">
        <v>20.478950000000001</v>
      </c>
      <c r="D804" s="8">
        <v>71</v>
      </c>
      <c r="E804" s="8">
        <v>0</v>
      </c>
      <c r="F804" s="8">
        <v>0</v>
      </c>
      <c r="G804" s="8">
        <v>16</v>
      </c>
      <c r="H804" s="8" t="s">
        <v>52236</v>
      </c>
      <c r="I804" s="8">
        <v>526.6875</v>
      </c>
      <c r="J804" s="3">
        <f t="shared" si="12"/>
        <v>43749.467195335645</v>
      </c>
    </row>
    <row r="805" spans="1:10" x14ac:dyDescent="0.25">
      <c r="A805" s="5" t="s">
        <v>52237</v>
      </c>
      <c r="B805" s="6">
        <v>393.75</v>
      </c>
      <c r="C805" s="6">
        <v>20.478950000000001</v>
      </c>
      <c r="D805" s="6">
        <v>70</v>
      </c>
      <c r="E805" s="6">
        <v>0</v>
      </c>
      <c r="F805" s="6">
        <v>0</v>
      </c>
      <c r="G805" s="6">
        <v>2</v>
      </c>
      <c r="H805" s="6" t="s">
        <v>52238</v>
      </c>
      <c r="I805" s="6">
        <v>526.6875</v>
      </c>
      <c r="J805" s="2">
        <f t="shared" si="12"/>
        <v>43749.467290763881</v>
      </c>
    </row>
    <row r="806" spans="1:10" x14ac:dyDescent="0.25">
      <c r="A806" s="7" t="s">
        <v>52239</v>
      </c>
      <c r="B806" s="8">
        <v>412.5</v>
      </c>
      <c r="C806" s="8">
        <v>20.478950000000001</v>
      </c>
      <c r="D806" s="8">
        <v>70</v>
      </c>
      <c r="E806" s="8">
        <v>0</v>
      </c>
      <c r="F806" s="8">
        <v>0</v>
      </c>
      <c r="G806" s="8">
        <v>8</v>
      </c>
      <c r="H806" s="8" t="s">
        <v>52240</v>
      </c>
      <c r="I806" s="8">
        <v>532.5</v>
      </c>
      <c r="J806" s="3">
        <f t="shared" si="12"/>
        <v>43749.467362060182</v>
      </c>
    </row>
    <row r="807" spans="1:10" x14ac:dyDescent="0.25">
      <c r="A807" s="5" t="s">
        <v>52241</v>
      </c>
      <c r="B807" s="6">
        <v>393.75</v>
      </c>
      <c r="C807" s="6">
        <v>20.478950000000001</v>
      </c>
      <c r="D807" s="6">
        <v>70</v>
      </c>
      <c r="E807" s="6">
        <v>0</v>
      </c>
      <c r="F807" s="6">
        <v>0</v>
      </c>
      <c r="G807" s="6">
        <v>10</v>
      </c>
      <c r="H807" s="6" t="s">
        <v>52242</v>
      </c>
      <c r="I807" s="6">
        <v>526.6875</v>
      </c>
      <c r="J807" s="2">
        <f t="shared" si="12"/>
        <v>43749.467445972223</v>
      </c>
    </row>
    <row r="808" spans="1:10" x14ac:dyDescent="0.25">
      <c r="A808" s="7" t="s">
        <v>52243</v>
      </c>
      <c r="B808" s="8">
        <v>393.75</v>
      </c>
      <c r="C808" s="8">
        <v>20.478950000000001</v>
      </c>
      <c r="D808" s="8">
        <v>69</v>
      </c>
      <c r="E808" s="8">
        <v>0</v>
      </c>
      <c r="F808" s="8">
        <v>0</v>
      </c>
      <c r="G808" s="8">
        <v>1</v>
      </c>
      <c r="H808" s="8" t="s">
        <v>52244</v>
      </c>
      <c r="I808" s="8">
        <v>526.6875</v>
      </c>
      <c r="J808" s="3">
        <f t="shared" si="12"/>
        <v>43749.467517372679</v>
      </c>
    </row>
    <row r="809" spans="1:10" x14ac:dyDescent="0.25">
      <c r="A809" s="5" t="s">
        <v>52245</v>
      </c>
      <c r="B809" s="6">
        <v>393.75</v>
      </c>
      <c r="C809" s="6">
        <v>20.478950000000001</v>
      </c>
      <c r="D809" s="6">
        <v>67</v>
      </c>
      <c r="E809" s="6">
        <v>0</v>
      </c>
      <c r="F809" s="6">
        <v>0</v>
      </c>
      <c r="G809" s="6">
        <v>12</v>
      </c>
      <c r="H809" s="6" t="s">
        <v>52246</v>
      </c>
      <c r="I809" s="6">
        <v>526.6875</v>
      </c>
      <c r="J809" s="2">
        <f t="shared" si="12"/>
        <v>43749.467600833326</v>
      </c>
    </row>
    <row r="810" spans="1:10" x14ac:dyDescent="0.25">
      <c r="A810" s="7" t="s">
        <v>52247</v>
      </c>
      <c r="B810" s="8">
        <v>393.75</v>
      </c>
      <c r="C810" s="8">
        <v>20.478950000000001</v>
      </c>
      <c r="D810" s="8">
        <v>66</v>
      </c>
      <c r="E810" s="8">
        <v>0</v>
      </c>
      <c r="F810" s="8">
        <v>0</v>
      </c>
      <c r="G810" s="8">
        <v>8</v>
      </c>
      <c r="H810" s="8" t="s">
        <v>52248</v>
      </c>
      <c r="I810" s="8">
        <v>526.5</v>
      </c>
      <c r="J810" s="3">
        <f t="shared" si="12"/>
        <v>43749.467684351846</v>
      </c>
    </row>
    <row r="811" spans="1:10" x14ac:dyDescent="0.25">
      <c r="A811" s="5" t="s">
        <v>52249</v>
      </c>
      <c r="B811" s="6">
        <v>393.75</v>
      </c>
      <c r="C811" s="6">
        <v>20.478950000000001</v>
      </c>
      <c r="D811" s="6">
        <v>66</v>
      </c>
      <c r="E811" s="6">
        <v>0</v>
      </c>
      <c r="F811" s="6">
        <v>0</v>
      </c>
      <c r="G811" s="6">
        <v>10</v>
      </c>
      <c r="H811" s="6" t="s">
        <v>52250</v>
      </c>
      <c r="I811" s="6">
        <v>526.6875</v>
      </c>
      <c r="J811" s="2">
        <f t="shared" si="12"/>
        <v>43749.467767708331</v>
      </c>
    </row>
    <row r="812" spans="1:10" x14ac:dyDescent="0.25">
      <c r="A812" s="7" t="s">
        <v>52251</v>
      </c>
      <c r="B812" s="8">
        <v>393.75</v>
      </c>
      <c r="C812" s="8">
        <v>20.478950000000001</v>
      </c>
      <c r="D812" s="8">
        <v>66</v>
      </c>
      <c r="E812" s="8">
        <v>0</v>
      </c>
      <c r="F812" s="8">
        <v>0</v>
      </c>
      <c r="G812" s="8">
        <v>7</v>
      </c>
      <c r="H812" s="8" t="s">
        <v>52252</v>
      </c>
      <c r="I812" s="8">
        <v>526.6875</v>
      </c>
      <c r="J812" s="3">
        <f t="shared" si="12"/>
        <v>43749.467839131939</v>
      </c>
    </row>
    <row r="813" spans="1:10" x14ac:dyDescent="0.25">
      <c r="A813" s="5" t="s">
        <v>52253</v>
      </c>
      <c r="B813" s="6">
        <v>393.75</v>
      </c>
      <c r="C813" s="6">
        <v>20.478950000000001</v>
      </c>
      <c r="D813" s="6">
        <v>68</v>
      </c>
      <c r="E813" s="6">
        <v>0</v>
      </c>
      <c r="F813" s="6">
        <v>0</v>
      </c>
      <c r="G813" s="6">
        <v>4</v>
      </c>
      <c r="H813" s="6" t="s">
        <v>52254</v>
      </c>
      <c r="I813" s="6">
        <v>526.6875</v>
      </c>
      <c r="J813" s="2">
        <f t="shared" si="12"/>
        <v>43749.467923171294</v>
      </c>
    </row>
    <row r="814" spans="1:10" x14ac:dyDescent="0.25">
      <c r="A814" s="7" t="s">
        <v>52255</v>
      </c>
      <c r="B814" s="8">
        <v>393.75</v>
      </c>
      <c r="C814" s="8">
        <v>20.478950000000001</v>
      </c>
      <c r="D814" s="8">
        <v>71</v>
      </c>
      <c r="E814" s="8">
        <v>0</v>
      </c>
      <c r="F814" s="8">
        <v>0</v>
      </c>
      <c r="G814" s="8">
        <v>5</v>
      </c>
      <c r="H814" s="8" t="s">
        <v>52256</v>
      </c>
      <c r="I814" s="8">
        <v>526.6875</v>
      </c>
      <c r="J814" s="3">
        <f t="shared" si="12"/>
        <v>43749.468006377312</v>
      </c>
    </row>
    <row r="815" spans="1:10" x14ac:dyDescent="0.25">
      <c r="A815" s="5" t="s">
        <v>52257</v>
      </c>
      <c r="B815" s="6">
        <v>393.75</v>
      </c>
      <c r="C815" s="6">
        <v>20.478950000000001</v>
      </c>
      <c r="D815" s="6">
        <v>70</v>
      </c>
      <c r="E815" s="6">
        <v>0</v>
      </c>
      <c r="F815" s="6">
        <v>0</v>
      </c>
      <c r="G815" s="6">
        <v>7</v>
      </c>
      <c r="H815" s="6" t="s">
        <v>52258</v>
      </c>
      <c r="I815" s="6">
        <v>526.6875</v>
      </c>
      <c r="J815" s="2">
        <f t="shared" si="12"/>
        <v>43749.468089930553</v>
      </c>
    </row>
    <row r="816" spans="1:10" x14ac:dyDescent="0.25">
      <c r="A816" s="7" t="s">
        <v>52259</v>
      </c>
      <c r="B816" s="8">
        <v>393.75</v>
      </c>
      <c r="C816" s="8">
        <v>20.478950000000001</v>
      </c>
      <c r="D816" s="8">
        <v>71</v>
      </c>
      <c r="E816" s="8">
        <v>0</v>
      </c>
      <c r="F816" s="8">
        <v>0</v>
      </c>
      <c r="G816" s="8">
        <v>4</v>
      </c>
      <c r="H816" s="8" t="s">
        <v>52260</v>
      </c>
      <c r="I816" s="8">
        <v>526.6875</v>
      </c>
      <c r="J816" s="3">
        <f t="shared" si="12"/>
        <v>43749.468173275462</v>
      </c>
    </row>
    <row r="817" spans="1:10" x14ac:dyDescent="0.25">
      <c r="A817" s="5" t="s">
        <v>52261</v>
      </c>
      <c r="B817" s="6">
        <v>393.75</v>
      </c>
      <c r="C817" s="6">
        <v>20.478950000000001</v>
      </c>
      <c r="D817" s="6">
        <v>70</v>
      </c>
      <c r="E817" s="6">
        <v>0</v>
      </c>
      <c r="F817" s="6">
        <v>0</v>
      </c>
      <c r="G817" s="6">
        <v>0</v>
      </c>
      <c r="H817" s="6" t="s">
        <v>52262</v>
      </c>
      <c r="I817" s="6">
        <v>526.5</v>
      </c>
      <c r="J817" s="2">
        <f t="shared" si="12"/>
        <v>43749.468256493048</v>
      </c>
    </row>
    <row r="818" spans="1:10" x14ac:dyDescent="0.25">
      <c r="A818" s="7" t="s">
        <v>52263</v>
      </c>
      <c r="B818" s="8">
        <v>393.75</v>
      </c>
      <c r="C818" s="8">
        <v>20.478950000000001</v>
      </c>
      <c r="D818" s="8">
        <v>70</v>
      </c>
      <c r="E818" s="8">
        <v>0</v>
      </c>
      <c r="F818" s="8">
        <v>0</v>
      </c>
      <c r="G818" s="8">
        <v>2</v>
      </c>
      <c r="H818" s="8" t="s">
        <v>52264</v>
      </c>
      <c r="I818" s="8">
        <v>526.6875</v>
      </c>
      <c r="J818" s="3">
        <f t="shared" si="12"/>
        <v>43749.468328148148</v>
      </c>
    </row>
    <row r="819" spans="1:10" x14ac:dyDescent="0.25">
      <c r="A819" s="5" t="s">
        <v>52265</v>
      </c>
      <c r="B819" s="6">
        <v>393.75</v>
      </c>
      <c r="C819" s="6">
        <v>20.478950000000001</v>
      </c>
      <c r="D819" s="6">
        <v>69</v>
      </c>
      <c r="E819" s="6">
        <v>0</v>
      </c>
      <c r="F819" s="6">
        <v>0</v>
      </c>
      <c r="G819" s="6">
        <v>11</v>
      </c>
      <c r="H819" s="6" t="s">
        <v>52266</v>
      </c>
      <c r="I819" s="6">
        <v>526.6875</v>
      </c>
      <c r="J819" s="2">
        <f t="shared" si="12"/>
        <v>43749.468411944443</v>
      </c>
    </row>
    <row r="820" spans="1:10" x14ac:dyDescent="0.25">
      <c r="A820" s="7" t="s">
        <v>52267</v>
      </c>
      <c r="B820" s="8">
        <v>393.75</v>
      </c>
      <c r="C820" s="8">
        <v>20.478950000000001</v>
      </c>
      <c r="D820" s="8">
        <v>68</v>
      </c>
      <c r="E820" s="8">
        <v>0</v>
      </c>
      <c r="F820" s="8">
        <v>0</v>
      </c>
      <c r="G820" s="8">
        <v>0</v>
      </c>
      <c r="H820" s="8" t="s">
        <v>52268</v>
      </c>
      <c r="I820" s="8">
        <v>526.5</v>
      </c>
      <c r="J820" s="3">
        <f t="shared" si="12"/>
        <v>43749.468495393514</v>
      </c>
    </row>
    <row r="821" spans="1:10" x14ac:dyDescent="0.25">
      <c r="A821" s="5" t="s">
        <v>52269</v>
      </c>
      <c r="B821" s="6">
        <v>393.75</v>
      </c>
      <c r="C821" s="6">
        <v>20.478950000000001</v>
      </c>
      <c r="D821" s="6">
        <v>69</v>
      </c>
      <c r="E821" s="6">
        <v>0</v>
      </c>
      <c r="F821" s="6">
        <v>0</v>
      </c>
      <c r="G821" s="6">
        <v>3</v>
      </c>
      <c r="H821" s="6" t="s">
        <v>52270</v>
      </c>
      <c r="I821" s="6">
        <v>526.6875</v>
      </c>
      <c r="J821" s="2">
        <f t="shared" si="12"/>
        <v>43749.468578599532</v>
      </c>
    </row>
    <row r="822" spans="1:10" x14ac:dyDescent="0.25">
      <c r="A822" s="7" t="s">
        <v>52271</v>
      </c>
      <c r="B822" s="8">
        <v>393.75</v>
      </c>
      <c r="C822" s="8">
        <v>20.478950000000001</v>
      </c>
      <c r="D822" s="8">
        <v>69</v>
      </c>
      <c r="E822" s="8">
        <v>0</v>
      </c>
      <c r="F822" s="8">
        <v>0</v>
      </c>
      <c r="G822" s="8">
        <v>12</v>
      </c>
      <c r="H822" s="8" t="s">
        <v>52272</v>
      </c>
      <c r="I822" s="8">
        <v>526.6875</v>
      </c>
      <c r="J822" s="3">
        <f t="shared" si="12"/>
        <v>43749.468650370363</v>
      </c>
    </row>
    <row r="823" spans="1:10" x14ac:dyDescent="0.25">
      <c r="A823" s="5" t="s">
        <v>52273</v>
      </c>
      <c r="B823" s="6">
        <v>393.75</v>
      </c>
      <c r="C823" s="6">
        <v>20.478950000000001</v>
      </c>
      <c r="D823" s="6">
        <v>69</v>
      </c>
      <c r="E823" s="6">
        <v>0</v>
      </c>
      <c r="F823" s="6">
        <v>0</v>
      </c>
      <c r="G823" s="6">
        <v>4</v>
      </c>
      <c r="H823" s="6" t="s">
        <v>52274</v>
      </c>
      <c r="I823" s="6">
        <v>526.6875</v>
      </c>
      <c r="J823" s="2">
        <f t="shared" si="12"/>
        <v>43749.468721770834</v>
      </c>
    </row>
    <row r="824" spans="1:10" x14ac:dyDescent="0.25">
      <c r="A824" s="7" t="s">
        <v>52275</v>
      </c>
      <c r="B824" s="8">
        <v>393.75</v>
      </c>
      <c r="C824" s="8">
        <v>20.478950000000001</v>
      </c>
      <c r="D824" s="8">
        <v>67</v>
      </c>
      <c r="E824" s="8">
        <v>0</v>
      </c>
      <c r="F824" s="8">
        <v>0</v>
      </c>
      <c r="G824" s="8">
        <v>1</v>
      </c>
      <c r="H824" s="8" t="s">
        <v>52276</v>
      </c>
      <c r="I824" s="8">
        <v>526.6875</v>
      </c>
      <c r="J824" s="3">
        <f t="shared" si="12"/>
        <v>43749.468805439814</v>
      </c>
    </row>
    <row r="825" spans="1:10" x14ac:dyDescent="0.25">
      <c r="A825" s="5" t="s">
        <v>52277</v>
      </c>
      <c r="B825" s="6">
        <v>412.5</v>
      </c>
      <c r="C825" s="6">
        <v>20.478950000000001</v>
      </c>
      <c r="D825" s="6">
        <v>72</v>
      </c>
      <c r="E825" s="6">
        <v>0</v>
      </c>
      <c r="F825" s="6">
        <v>0</v>
      </c>
      <c r="G825" s="6">
        <v>0</v>
      </c>
      <c r="H825" s="6" t="s">
        <v>52278</v>
      </c>
      <c r="I825" s="6">
        <v>532.3125</v>
      </c>
      <c r="J825" s="2">
        <f t="shared" si="12"/>
        <v>43749.468876979161</v>
      </c>
    </row>
    <row r="826" spans="1:10" x14ac:dyDescent="0.25">
      <c r="A826" s="7" t="s">
        <v>52279</v>
      </c>
      <c r="B826" s="8">
        <v>393.75</v>
      </c>
      <c r="C826" s="8">
        <v>20.478950000000001</v>
      </c>
      <c r="D826" s="8">
        <v>72</v>
      </c>
      <c r="E826" s="8">
        <v>0</v>
      </c>
      <c r="F826" s="8">
        <v>0</v>
      </c>
      <c r="G826" s="8">
        <v>4</v>
      </c>
      <c r="H826" s="8" t="s">
        <v>52280</v>
      </c>
      <c r="I826" s="8">
        <v>526.6875</v>
      </c>
      <c r="J826" s="3">
        <f t="shared" si="12"/>
        <v>43749.468960196762</v>
      </c>
    </row>
    <row r="827" spans="1:10" x14ac:dyDescent="0.25">
      <c r="A827" s="5" t="s">
        <v>52281</v>
      </c>
      <c r="B827" s="6">
        <v>393.75</v>
      </c>
      <c r="C827" s="6">
        <v>20.478950000000001</v>
      </c>
      <c r="D827" s="6">
        <v>72</v>
      </c>
      <c r="E827" s="6">
        <v>0</v>
      </c>
      <c r="F827" s="6">
        <v>0</v>
      </c>
      <c r="G827" s="6">
        <v>10</v>
      </c>
      <c r="H827" s="6" t="s">
        <v>52282</v>
      </c>
      <c r="I827" s="6">
        <v>526.6875</v>
      </c>
      <c r="J827" s="2">
        <f t="shared" si="12"/>
        <v>43749.469031828703</v>
      </c>
    </row>
    <row r="828" spans="1:10" x14ac:dyDescent="0.25">
      <c r="A828" s="7" t="s">
        <v>52283</v>
      </c>
      <c r="B828" s="8">
        <v>412.5</v>
      </c>
      <c r="C828" s="8">
        <v>20.478950000000001</v>
      </c>
      <c r="D828" s="8">
        <v>72</v>
      </c>
      <c r="E828" s="8">
        <v>0</v>
      </c>
      <c r="F828" s="8">
        <v>0</v>
      </c>
      <c r="G828" s="8">
        <v>0</v>
      </c>
      <c r="H828" s="8" t="s">
        <v>52284</v>
      </c>
      <c r="I828" s="8">
        <v>532.875</v>
      </c>
      <c r="J828" s="3">
        <f t="shared" si="12"/>
        <v>43749.469115636573</v>
      </c>
    </row>
    <row r="829" spans="1:10" x14ac:dyDescent="0.25">
      <c r="A829" s="5" t="s">
        <v>52285</v>
      </c>
      <c r="B829" s="6">
        <v>393.75</v>
      </c>
      <c r="C829" s="6">
        <v>20.478950000000001</v>
      </c>
      <c r="D829" s="6">
        <v>68</v>
      </c>
      <c r="E829" s="6">
        <v>0</v>
      </c>
      <c r="F829" s="6">
        <v>0</v>
      </c>
      <c r="G829" s="6">
        <v>5</v>
      </c>
      <c r="H829" s="6" t="s">
        <v>52286</v>
      </c>
      <c r="I829" s="6">
        <v>526.6875</v>
      </c>
      <c r="J829" s="2">
        <f t="shared" si="12"/>
        <v>43749.469199085645</v>
      </c>
    </row>
    <row r="830" spans="1:10" x14ac:dyDescent="0.25">
      <c r="A830" s="7" t="s">
        <v>52287</v>
      </c>
      <c r="B830" s="8">
        <v>393.75</v>
      </c>
      <c r="C830" s="8">
        <v>20.478950000000001</v>
      </c>
      <c r="D830" s="8">
        <v>67</v>
      </c>
      <c r="E830" s="8">
        <v>0</v>
      </c>
      <c r="F830" s="8">
        <v>0</v>
      </c>
      <c r="G830" s="8">
        <v>14</v>
      </c>
      <c r="H830" s="8" t="s">
        <v>52288</v>
      </c>
      <c r="I830" s="8">
        <v>526.6875</v>
      </c>
      <c r="J830" s="3">
        <f t="shared" si="12"/>
        <v>43749.469282314814</v>
      </c>
    </row>
    <row r="831" spans="1:10" x14ac:dyDescent="0.25">
      <c r="A831" s="5" t="s">
        <v>52289</v>
      </c>
      <c r="B831" s="6">
        <v>393.75</v>
      </c>
      <c r="C831" s="6">
        <v>20.478950000000001</v>
      </c>
      <c r="D831" s="6">
        <v>67</v>
      </c>
      <c r="E831" s="6">
        <v>0</v>
      </c>
      <c r="F831" s="6">
        <v>0</v>
      </c>
      <c r="G831" s="6">
        <v>14</v>
      </c>
      <c r="H831" s="6" t="s">
        <v>52290</v>
      </c>
      <c r="I831" s="6">
        <v>526.6875</v>
      </c>
      <c r="J831" s="2">
        <f t="shared" si="12"/>
        <v>43749.46935407407</v>
      </c>
    </row>
    <row r="832" spans="1:10" x14ac:dyDescent="0.25">
      <c r="A832" s="7" t="s">
        <v>52291</v>
      </c>
      <c r="B832" s="8">
        <v>393.75</v>
      </c>
      <c r="C832" s="8">
        <v>20.478950000000001</v>
      </c>
      <c r="D832" s="8">
        <v>70</v>
      </c>
      <c r="E832" s="8">
        <v>0</v>
      </c>
      <c r="F832" s="8">
        <v>0</v>
      </c>
      <c r="G832" s="8">
        <v>11</v>
      </c>
      <c r="H832" s="8" t="s">
        <v>52292</v>
      </c>
      <c r="I832" s="8">
        <v>526.6875</v>
      </c>
      <c r="J832" s="3">
        <f t="shared" si="12"/>
        <v>43749.469437731481</v>
      </c>
    </row>
    <row r="833" spans="1:10" x14ac:dyDescent="0.25">
      <c r="A833" s="5" t="s">
        <v>52293</v>
      </c>
      <c r="B833" s="6">
        <v>393.75</v>
      </c>
      <c r="C833" s="6">
        <v>20.478950000000001</v>
      </c>
      <c r="D833" s="6">
        <v>69</v>
      </c>
      <c r="E833" s="6">
        <v>0</v>
      </c>
      <c r="F833" s="6">
        <v>0</v>
      </c>
      <c r="G833" s="6">
        <v>4</v>
      </c>
      <c r="H833" s="6" t="s">
        <v>52294</v>
      </c>
      <c r="I833" s="6">
        <v>526.6875</v>
      </c>
      <c r="J833" s="2">
        <f t="shared" si="12"/>
        <v>43749.469521087965</v>
      </c>
    </row>
    <row r="834" spans="1:10" x14ac:dyDescent="0.25">
      <c r="A834" s="7" t="s">
        <v>52295</v>
      </c>
      <c r="B834" s="8">
        <v>393.75</v>
      </c>
      <c r="C834" s="8">
        <v>20.478950000000001</v>
      </c>
      <c r="D834" s="8">
        <v>72</v>
      </c>
      <c r="E834" s="8">
        <v>0</v>
      </c>
      <c r="F834" s="8">
        <v>0</v>
      </c>
      <c r="G834" s="8">
        <v>8</v>
      </c>
      <c r="H834" s="8" t="s">
        <v>52296</v>
      </c>
      <c r="I834" s="8">
        <v>526.6875</v>
      </c>
      <c r="J834" s="3">
        <f t="shared" ref="J834:J897" si="13">(H834/86400000)+25569+(7/24)</f>
        <v>43749.469604641206</v>
      </c>
    </row>
    <row r="835" spans="1:10" x14ac:dyDescent="0.25">
      <c r="A835" s="5" t="s">
        <v>52297</v>
      </c>
      <c r="B835" s="6">
        <v>393.75</v>
      </c>
      <c r="C835" s="6">
        <v>20.478950000000001</v>
      </c>
      <c r="D835" s="6">
        <v>71</v>
      </c>
      <c r="E835" s="6">
        <v>0</v>
      </c>
      <c r="F835" s="6">
        <v>0</v>
      </c>
      <c r="G835" s="6">
        <v>8</v>
      </c>
      <c r="H835" s="6" t="s">
        <v>52298</v>
      </c>
      <c r="I835" s="6">
        <v>526.6875</v>
      </c>
      <c r="J835" s="2">
        <f t="shared" si="13"/>
        <v>43749.469688113422</v>
      </c>
    </row>
    <row r="836" spans="1:10" x14ac:dyDescent="0.25">
      <c r="A836" s="7" t="s">
        <v>52299</v>
      </c>
      <c r="B836" s="8">
        <v>393.75</v>
      </c>
      <c r="C836" s="8">
        <v>20.478950000000001</v>
      </c>
      <c r="D836" s="8">
        <v>71</v>
      </c>
      <c r="E836" s="8">
        <v>0</v>
      </c>
      <c r="F836" s="8">
        <v>0</v>
      </c>
      <c r="G836" s="8">
        <v>6</v>
      </c>
      <c r="H836" s="8" t="s">
        <v>52300</v>
      </c>
      <c r="I836" s="8">
        <v>526.6875</v>
      </c>
      <c r="J836" s="3">
        <f t="shared" si="13"/>
        <v>43749.469771215277</v>
      </c>
    </row>
    <row r="837" spans="1:10" x14ac:dyDescent="0.25">
      <c r="A837" s="5" t="s">
        <v>52301</v>
      </c>
      <c r="B837" s="6">
        <v>393.75</v>
      </c>
      <c r="C837" s="6">
        <v>20.478950000000001</v>
      </c>
      <c r="D837" s="6">
        <v>71</v>
      </c>
      <c r="E837" s="6">
        <v>0</v>
      </c>
      <c r="F837" s="6">
        <v>0</v>
      </c>
      <c r="G837" s="6">
        <v>3</v>
      </c>
      <c r="H837" s="6" t="s">
        <v>52302</v>
      </c>
      <c r="I837" s="6">
        <v>526.6875</v>
      </c>
      <c r="J837" s="2">
        <f t="shared" si="13"/>
        <v>43749.469843067127</v>
      </c>
    </row>
    <row r="838" spans="1:10" x14ac:dyDescent="0.25">
      <c r="A838" s="7" t="s">
        <v>52303</v>
      </c>
      <c r="B838" s="8">
        <v>393.75</v>
      </c>
      <c r="C838" s="8">
        <v>20.478950000000001</v>
      </c>
      <c r="D838" s="8">
        <v>70</v>
      </c>
      <c r="E838" s="8">
        <v>0</v>
      </c>
      <c r="F838" s="8">
        <v>0</v>
      </c>
      <c r="G838" s="8">
        <v>6</v>
      </c>
      <c r="H838" s="8" t="s">
        <v>52304</v>
      </c>
      <c r="I838" s="8">
        <v>526.6875</v>
      </c>
      <c r="J838" s="3">
        <f t="shared" si="13"/>
        <v>43749.469941192125</v>
      </c>
    </row>
    <row r="839" spans="1:10" x14ac:dyDescent="0.25">
      <c r="A839" s="5" t="s">
        <v>52305</v>
      </c>
      <c r="B839" s="6">
        <v>393.75</v>
      </c>
      <c r="C839" s="6">
        <v>20.478950000000001</v>
      </c>
      <c r="D839" s="6">
        <v>70</v>
      </c>
      <c r="E839" s="6">
        <v>0</v>
      </c>
      <c r="F839" s="6">
        <v>0</v>
      </c>
      <c r="G839" s="6">
        <v>1</v>
      </c>
      <c r="H839" s="6" t="s">
        <v>52306</v>
      </c>
      <c r="I839" s="6">
        <v>526.6875</v>
      </c>
      <c r="J839" s="2">
        <f t="shared" si="13"/>
        <v>43749.470022002315</v>
      </c>
    </row>
    <row r="840" spans="1:10" x14ac:dyDescent="0.25">
      <c r="A840" s="7" t="s">
        <v>52307</v>
      </c>
      <c r="B840" s="8">
        <v>412.5</v>
      </c>
      <c r="C840" s="8">
        <v>20.478950000000001</v>
      </c>
      <c r="D840" s="8">
        <v>71</v>
      </c>
      <c r="E840" s="8">
        <v>0</v>
      </c>
      <c r="F840" s="8">
        <v>0</v>
      </c>
      <c r="G840" s="8">
        <v>5</v>
      </c>
      <c r="H840" s="8" t="s">
        <v>52308</v>
      </c>
      <c r="I840" s="8">
        <v>532.6875</v>
      </c>
      <c r="J840" s="3">
        <f t="shared" si="13"/>
        <v>43749.470105682871</v>
      </c>
    </row>
    <row r="841" spans="1:10" x14ac:dyDescent="0.25">
      <c r="A841" s="5" t="s">
        <v>52309</v>
      </c>
      <c r="B841" s="6">
        <v>393.75</v>
      </c>
      <c r="C841" s="6">
        <v>20.478950000000001</v>
      </c>
      <c r="D841" s="6">
        <v>71</v>
      </c>
      <c r="E841" s="6">
        <v>0</v>
      </c>
      <c r="F841" s="6">
        <v>0</v>
      </c>
      <c r="G841" s="6">
        <v>15</v>
      </c>
      <c r="H841" s="6" t="s">
        <v>52310</v>
      </c>
      <c r="I841" s="6">
        <v>526.6875</v>
      </c>
      <c r="J841" s="2">
        <f t="shared" si="13"/>
        <v>43749.470188923609</v>
      </c>
    </row>
    <row r="842" spans="1:10" x14ac:dyDescent="0.25">
      <c r="A842" s="7" t="s">
        <v>52311</v>
      </c>
      <c r="B842" s="8">
        <v>393.75</v>
      </c>
      <c r="C842" s="8">
        <v>20.478950000000001</v>
      </c>
      <c r="D842" s="8">
        <v>71</v>
      </c>
      <c r="E842" s="8">
        <v>0</v>
      </c>
      <c r="F842" s="8">
        <v>0</v>
      </c>
      <c r="G842" s="8">
        <v>12</v>
      </c>
      <c r="H842" s="8" t="s">
        <v>52312</v>
      </c>
      <c r="I842" s="8">
        <v>526.6875</v>
      </c>
      <c r="J842" s="3">
        <f t="shared" si="13"/>
        <v>43749.470272488419</v>
      </c>
    </row>
    <row r="843" spans="1:10" x14ac:dyDescent="0.25">
      <c r="A843" s="5" t="s">
        <v>52313</v>
      </c>
      <c r="B843" s="6">
        <v>393.75</v>
      </c>
      <c r="C843" s="6">
        <v>20.478950000000001</v>
      </c>
      <c r="D843" s="6">
        <v>73</v>
      </c>
      <c r="E843" s="6">
        <v>0</v>
      </c>
      <c r="F843" s="6">
        <v>0</v>
      </c>
      <c r="G843" s="6">
        <v>10</v>
      </c>
      <c r="H843" s="6" t="s">
        <v>52314</v>
      </c>
      <c r="I843" s="6">
        <v>526.6875</v>
      </c>
      <c r="J843" s="2">
        <f t="shared" si="13"/>
        <v>43749.470355925929</v>
      </c>
    </row>
    <row r="844" spans="1:10" x14ac:dyDescent="0.25">
      <c r="A844" s="7" t="s">
        <v>52315</v>
      </c>
      <c r="B844" s="8">
        <v>393.75</v>
      </c>
      <c r="C844" s="8">
        <v>20.478950000000001</v>
      </c>
      <c r="D844" s="8">
        <v>73</v>
      </c>
      <c r="E844" s="8">
        <v>0</v>
      </c>
      <c r="F844" s="8">
        <v>0</v>
      </c>
      <c r="G844" s="8">
        <v>6</v>
      </c>
      <c r="H844" s="8" t="s">
        <v>52316</v>
      </c>
      <c r="I844" s="8">
        <v>526.5</v>
      </c>
      <c r="J844" s="3">
        <f t="shared" si="13"/>
        <v>43749.470439374993</v>
      </c>
    </row>
    <row r="845" spans="1:10" x14ac:dyDescent="0.25">
      <c r="A845" s="5" t="s">
        <v>52317</v>
      </c>
      <c r="B845" s="6">
        <v>393.75</v>
      </c>
      <c r="C845" s="6">
        <v>20.531590000000001</v>
      </c>
      <c r="D845" s="6">
        <v>73</v>
      </c>
      <c r="E845" s="6">
        <v>0</v>
      </c>
      <c r="F845" s="6">
        <v>0</v>
      </c>
      <c r="G845" s="6">
        <v>5</v>
      </c>
      <c r="H845" s="6" t="s">
        <v>52318</v>
      </c>
      <c r="I845" s="6">
        <v>526.6875</v>
      </c>
      <c r="J845" s="2">
        <f t="shared" si="13"/>
        <v>43749.470523159718</v>
      </c>
    </row>
    <row r="846" spans="1:10" x14ac:dyDescent="0.25">
      <c r="A846" s="7" t="s">
        <v>52319</v>
      </c>
      <c r="B846" s="8">
        <v>393.75</v>
      </c>
      <c r="C846" s="8">
        <v>20.478950000000001</v>
      </c>
      <c r="D846" s="8">
        <v>72</v>
      </c>
      <c r="E846" s="8">
        <v>0</v>
      </c>
      <c r="F846" s="8">
        <v>0</v>
      </c>
      <c r="G846" s="8">
        <v>5</v>
      </c>
      <c r="H846" s="8" t="s">
        <v>52320</v>
      </c>
      <c r="I846" s="8">
        <v>526.6875</v>
      </c>
      <c r="J846" s="3">
        <f t="shared" si="13"/>
        <v>43749.470606388888</v>
      </c>
    </row>
    <row r="847" spans="1:10" x14ac:dyDescent="0.25">
      <c r="A847" s="5" t="s">
        <v>52321</v>
      </c>
      <c r="B847" s="6">
        <v>412.5</v>
      </c>
      <c r="C847" s="6">
        <v>20.478950000000001</v>
      </c>
      <c r="D847" s="6">
        <v>72</v>
      </c>
      <c r="E847" s="6">
        <v>0</v>
      </c>
      <c r="F847" s="6">
        <v>0</v>
      </c>
      <c r="G847" s="6">
        <v>8</v>
      </c>
      <c r="H847" s="6" t="s">
        <v>52322</v>
      </c>
      <c r="I847" s="6">
        <v>532.3125</v>
      </c>
      <c r="J847" s="2">
        <f t="shared" si="13"/>
        <v>43749.470689733796</v>
      </c>
    </row>
    <row r="848" spans="1:10" x14ac:dyDescent="0.25">
      <c r="A848" s="7" t="s">
        <v>52323</v>
      </c>
      <c r="B848" s="8">
        <v>393.75</v>
      </c>
      <c r="C848" s="8">
        <v>20.478950000000001</v>
      </c>
      <c r="D848" s="8">
        <v>72</v>
      </c>
      <c r="E848" s="8">
        <v>0</v>
      </c>
      <c r="F848" s="8">
        <v>0</v>
      </c>
      <c r="G848" s="8">
        <v>10</v>
      </c>
      <c r="H848" s="8" t="s">
        <v>52324</v>
      </c>
      <c r="I848" s="8">
        <v>526.6875</v>
      </c>
      <c r="J848" s="3">
        <f t="shared" si="13"/>
        <v>43749.470761377313</v>
      </c>
    </row>
    <row r="849" spans="1:10" x14ac:dyDescent="0.25">
      <c r="A849" s="5" t="s">
        <v>52325</v>
      </c>
      <c r="B849" s="6">
        <v>393.75</v>
      </c>
      <c r="C849" s="6">
        <v>20.478950000000001</v>
      </c>
      <c r="D849" s="6">
        <v>72</v>
      </c>
      <c r="E849" s="6">
        <v>0</v>
      </c>
      <c r="F849" s="6">
        <v>0</v>
      </c>
      <c r="G849" s="6">
        <v>5</v>
      </c>
      <c r="H849" s="6" t="s">
        <v>52326</v>
      </c>
      <c r="I849" s="6">
        <v>526.6875</v>
      </c>
      <c r="J849" s="2">
        <f t="shared" si="13"/>
        <v>43749.470832997678</v>
      </c>
    </row>
    <row r="850" spans="1:10" x14ac:dyDescent="0.25">
      <c r="A850" s="7" t="s">
        <v>52327</v>
      </c>
      <c r="B850" s="8">
        <v>393.75</v>
      </c>
      <c r="C850" s="8">
        <v>20.478950000000001</v>
      </c>
      <c r="D850" s="8">
        <v>69</v>
      </c>
      <c r="E850" s="8">
        <v>0</v>
      </c>
      <c r="F850" s="8">
        <v>0</v>
      </c>
      <c r="G850" s="8">
        <v>5</v>
      </c>
      <c r="H850" s="8" t="s">
        <v>52328</v>
      </c>
      <c r="I850" s="8">
        <v>526.6875</v>
      </c>
      <c r="J850" s="3">
        <f t="shared" si="13"/>
        <v>43749.470916481478</v>
      </c>
    </row>
    <row r="851" spans="1:10" x14ac:dyDescent="0.25">
      <c r="A851" s="5" t="s">
        <v>52329</v>
      </c>
      <c r="B851" s="6">
        <v>393.75</v>
      </c>
      <c r="C851" s="6">
        <v>20.478950000000001</v>
      </c>
      <c r="D851" s="6">
        <v>70</v>
      </c>
      <c r="E851" s="6">
        <v>0</v>
      </c>
      <c r="F851" s="6">
        <v>0</v>
      </c>
      <c r="G851" s="6">
        <v>0</v>
      </c>
      <c r="H851" s="6" t="s">
        <v>52330</v>
      </c>
      <c r="I851" s="6">
        <v>526.6875</v>
      </c>
      <c r="J851" s="2">
        <f t="shared" si="13"/>
        <v>43749.470988090274</v>
      </c>
    </row>
    <row r="852" spans="1:10" x14ac:dyDescent="0.25">
      <c r="A852" s="7" t="s">
        <v>52331</v>
      </c>
      <c r="B852" s="8">
        <v>393.75</v>
      </c>
      <c r="C852" s="8">
        <v>20.478950000000001</v>
      </c>
      <c r="D852" s="8">
        <v>69</v>
      </c>
      <c r="E852" s="8">
        <v>0</v>
      </c>
      <c r="F852" s="8">
        <v>0</v>
      </c>
      <c r="G852" s="8">
        <v>2</v>
      </c>
      <c r="H852" s="8" t="s">
        <v>52332</v>
      </c>
      <c r="I852" s="8">
        <v>526.6875</v>
      </c>
      <c r="J852" s="3">
        <f t="shared" si="13"/>
        <v>43749.471071342588</v>
      </c>
    </row>
    <row r="853" spans="1:10" x14ac:dyDescent="0.25">
      <c r="A853" s="5" t="s">
        <v>52333</v>
      </c>
      <c r="B853" s="6">
        <v>415.625</v>
      </c>
      <c r="C853" s="6">
        <v>20.478950000000001</v>
      </c>
      <c r="D853" s="6">
        <v>71</v>
      </c>
      <c r="E853" s="6">
        <v>0</v>
      </c>
      <c r="F853" s="6">
        <v>0</v>
      </c>
      <c r="G853" s="6">
        <v>6</v>
      </c>
      <c r="H853" s="6" t="s">
        <v>52334</v>
      </c>
      <c r="I853" s="6">
        <v>533.0625</v>
      </c>
      <c r="J853" s="2">
        <f t="shared" si="13"/>
        <v>43749.471143182869</v>
      </c>
    </row>
    <row r="854" spans="1:10" x14ac:dyDescent="0.25">
      <c r="A854" s="7" t="s">
        <v>52335</v>
      </c>
      <c r="B854" s="8">
        <v>393.75</v>
      </c>
      <c r="C854" s="8">
        <v>20.478950000000001</v>
      </c>
      <c r="D854" s="8">
        <v>71</v>
      </c>
      <c r="E854" s="8">
        <v>0</v>
      </c>
      <c r="F854" s="8">
        <v>0</v>
      </c>
      <c r="G854" s="8">
        <v>2</v>
      </c>
      <c r="H854" s="8" t="s">
        <v>52336</v>
      </c>
      <c r="I854" s="8">
        <v>526.6875</v>
      </c>
      <c r="J854" s="3">
        <f t="shared" si="13"/>
        <v>43749.471226979163</v>
      </c>
    </row>
    <row r="855" spans="1:10" x14ac:dyDescent="0.25">
      <c r="A855" s="5" t="s">
        <v>52337</v>
      </c>
      <c r="B855" s="6">
        <v>393.75</v>
      </c>
      <c r="C855" s="6">
        <v>20.478950000000001</v>
      </c>
      <c r="D855" s="6">
        <v>71</v>
      </c>
      <c r="E855" s="6">
        <v>0</v>
      </c>
      <c r="F855" s="6">
        <v>0</v>
      </c>
      <c r="G855" s="6">
        <v>0</v>
      </c>
      <c r="H855" s="6" t="s">
        <v>52338</v>
      </c>
      <c r="I855" s="6">
        <v>526.6875</v>
      </c>
      <c r="J855" s="2">
        <f t="shared" si="13"/>
        <v>43749.471310092595</v>
      </c>
    </row>
    <row r="856" spans="1:10" x14ac:dyDescent="0.25">
      <c r="A856" s="7" t="s">
        <v>52339</v>
      </c>
      <c r="B856" s="8">
        <v>393.75</v>
      </c>
      <c r="C856" s="8">
        <v>20.478950000000001</v>
      </c>
      <c r="D856" s="8">
        <v>72</v>
      </c>
      <c r="E856" s="8">
        <v>0</v>
      </c>
      <c r="F856" s="8">
        <v>0</v>
      </c>
      <c r="G856" s="8">
        <v>4</v>
      </c>
      <c r="H856" s="8" t="s">
        <v>52340</v>
      </c>
      <c r="I856" s="8">
        <v>526.6875</v>
      </c>
      <c r="J856" s="3">
        <f t="shared" si="13"/>
        <v>43749.471393460648</v>
      </c>
    </row>
    <row r="857" spans="1:10" x14ac:dyDescent="0.25">
      <c r="A857" s="5" t="s">
        <v>52341</v>
      </c>
      <c r="B857" s="6">
        <v>393.75</v>
      </c>
      <c r="C857" s="6">
        <v>20.478950000000001</v>
      </c>
      <c r="D857" s="6">
        <v>71</v>
      </c>
      <c r="E857" s="6">
        <v>0</v>
      </c>
      <c r="F857" s="6">
        <v>0</v>
      </c>
      <c r="G857" s="6">
        <v>6</v>
      </c>
      <c r="H857" s="6" t="s">
        <v>52342</v>
      </c>
      <c r="I857" s="6">
        <v>526.6875</v>
      </c>
      <c r="J857" s="2">
        <f t="shared" si="13"/>
        <v>43749.471489027776</v>
      </c>
    </row>
    <row r="858" spans="1:10" x14ac:dyDescent="0.25">
      <c r="A858" s="7" t="s">
        <v>52343</v>
      </c>
      <c r="B858" s="8">
        <v>393.75</v>
      </c>
      <c r="C858" s="8">
        <v>20.478950000000001</v>
      </c>
      <c r="D858" s="8">
        <v>71</v>
      </c>
      <c r="E858" s="8">
        <v>0</v>
      </c>
      <c r="F858" s="8">
        <v>0</v>
      </c>
      <c r="G858" s="8">
        <v>6</v>
      </c>
      <c r="H858" s="8" t="s">
        <v>52344</v>
      </c>
      <c r="I858" s="8">
        <v>526.6875</v>
      </c>
      <c r="J858" s="3">
        <f t="shared" si="13"/>
        <v>43749.471560196755</v>
      </c>
    </row>
    <row r="859" spans="1:10" x14ac:dyDescent="0.25">
      <c r="A859" s="5" t="s">
        <v>52345</v>
      </c>
      <c r="B859" s="6">
        <v>393.75</v>
      </c>
      <c r="C859" s="6">
        <v>20.478950000000001</v>
      </c>
      <c r="D859" s="6">
        <v>71</v>
      </c>
      <c r="E859" s="6">
        <v>0</v>
      </c>
      <c r="F859" s="6">
        <v>0</v>
      </c>
      <c r="G859" s="6">
        <v>4</v>
      </c>
      <c r="H859" s="6" t="s">
        <v>52346</v>
      </c>
      <c r="I859" s="6">
        <v>526.5</v>
      </c>
      <c r="J859" s="2">
        <f t="shared" si="13"/>
        <v>43749.471631863424</v>
      </c>
    </row>
    <row r="860" spans="1:10" x14ac:dyDescent="0.25">
      <c r="A860" s="7" t="s">
        <v>52347</v>
      </c>
      <c r="B860" s="8">
        <v>393.75</v>
      </c>
      <c r="C860" s="8">
        <v>20.478950000000001</v>
      </c>
      <c r="D860" s="8">
        <v>71</v>
      </c>
      <c r="E860" s="8">
        <v>0</v>
      </c>
      <c r="F860" s="8">
        <v>0</v>
      </c>
      <c r="G860" s="8">
        <v>3</v>
      </c>
      <c r="H860" s="8" t="s">
        <v>52348</v>
      </c>
      <c r="I860" s="8">
        <v>526.6875</v>
      </c>
      <c r="J860" s="3">
        <f t="shared" si="13"/>
        <v>43749.471715752312</v>
      </c>
    </row>
    <row r="861" spans="1:10" x14ac:dyDescent="0.25">
      <c r="A861" s="5" t="s">
        <v>52349</v>
      </c>
      <c r="B861" s="6">
        <v>393.75</v>
      </c>
      <c r="C861" s="6">
        <v>20.531590000000001</v>
      </c>
      <c r="D861" s="6">
        <v>73</v>
      </c>
      <c r="E861" s="6">
        <v>0</v>
      </c>
      <c r="F861" s="6">
        <v>0</v>
      </c>
      <c r="G861" s="6">
        <v>7</v>
      </c>
      <c r="H861" s="6" t="s">
        <v>52350</v>
      </c>
      <c r="I861" s="6">
        <v>526.6875</v>
      </c>
      <c r="J861" s="2">
        <f t="shared" si="13"/>
        <v>43749.471799224535</v>
      </c>
    </row>
    <row r="862" spans="1:10" x14ac:dyDescent="0.25">
      <c r="A862" s="7" t="s">
        <v>52351</v>
      </c>
      <c r="B862" s="8">
        <v>393.75</v>
      </c>
      <c r="C862" s="8">
        <v>20.478950000000001</v>
      </c>
      <c r="D862" s="8">
        <v>74</v>
      </c>
      <c r="E862" s="8">
        <v>0</v>
      </c>
      <c r="F862" s="8">
        <v>0</v>
      </c>
      <c r="G862" s="8">
        <v>8</v>
      </c>
      <c r="H862" s="8" t="s">
        <v>52352</v>
      </c>
      <c r="I862" s="8">
        <v>526.6875</v>
      </c>
      <c r="J862" s="3">
        <f t="shared" si="13"/>
        <v>43749.47188232639</v>
      </c>
    </row>
    <row r="863" spans="1:10" x14ac:dyDescent="0.25">
      <c r="A863" s="5" t="s">
        <v>52353</v>
      </c>
      <c r="B863" s="6">
        <v>437.5</v>
      </c>
      <c r="C863" s="6">
        <v>20.478950000000001</v>
      </c>
      <c r="D863" s="6">
        <v>73</v>
      </c>
      <c r="E863" s="6">
        <v>0</v>
      </c>
      <c r="F863" s="6">
        <v>0</v>
      </c>
      <c r="G863" s="6">
        <v>0</v>
      </c>
      <c r="H863" s="6" t="s">
        <v>52354</v>
      </c>
      <c r="I863" s="6">
        <v>540</v>
      </c>
      <c r="J863" s="2">
        <f t="shared" si="13"/>
        <v>43749.471966111108</v>
      </c>
    </row>
    <row r="864" spans="1:10" x14ac:dyDescent="0.25">
      <c r="A864" s="7" t="s">
        <v>52355</v>
      </c>
      <c r="B864" s="8">
        <v>393.75</v>
      </c>
      <c r="C864" s="8">
        <v>20.478950000000001</v>
      </c>
      <c r="D864" s="8">
        <v>73</v>
      </c>
      <c r="E864" s="8">
        <v>0</v>
      </c>
      <c r="F864" s="8">
        <v>0</v>
      </c>
      <c r="G864" s="8">
        <v>13</v>
      </c>
      <c r="H864" s="8" t="s">
        <v>52356</v>
      </c>
      <c r="I864" s="8">
        <v>526.6875</v>
      </c>
      <c r="J864" s="3">
        <f t="shared" si="13"/>
        <v>43749.472049791664</v>
      </c>
    </row>
    <row r="865" spans="1:10" x14ac:dyDescent="0.25">
      <c r="A865" s="5" t="s">
        <v>52357</v>
      </c>
      <c r="B865" s="6">
        <v>393.75</v>
      </c>
      <c r="C865" s="6">
        <v>20.478950000000001</v>
      </c>
      <c r="D865" s="6">
        <v>73</v>
      </c>
      <c r="E865" s="6">
        <v>0</v>
      </c>
      <c r="F865" s="6">
        <v>0</v>
      </c>
      <c r="G865" s="6">
        <v>8</v>
      </c>
      <c r="H865" s="6" t="s">
        <v>52358</v>
      </c>
      <c r="I865" s="6">
        <v>526.6875</v>
      </c>
      <c r="J865" s="2">
        <f t="shared" si="13"/>
        <v>43749.472121215273</v>
      </c>
    </row>
    <row r="866" spans="1:10" x14ac:dyDescent="0.25">
      <c r="A866" s="7" t="s">
        <v>52359</v>
      </c>
      <c r="B866" s="8">
        <v>393.75</v>
      </c>
      <c r="C866" s="8">
        <v>20.478950000000001</v>
      </c>
      <c r="D866" s="8">
        <v>73</v>
      </c>
      <c r="E866" s="8">
        <v>0</v>
      </c>
      <c r="F866" s="8">
        <v>0</v>
      </c>
      <c r="G866" s="8">
        <v>7</v>
      </c>
      <c r="H866" s="8" t="s">
        <v>52360</v>
      </c>
      <c r="I866" s="8">
        <v>526.6875</v>
      </c>
      <c r="J866" s="3">
        <f t="shared" si="13"/>
        <v>43749.47220452546</v>
      </c>
    </row>
    <row r="867" spans="1:10" x14ac:dyDescent="0.25">
      <c r="A867" s="5" t="s">
        <v>52361</v>
      </c>
      <c r="B867" s="6">
        <v>393.75</v>
      </c>
      <c r="C867" s="6">
        <v>20.478950000000001</v>
      </c>
      <c r="D867" s="6">
        <v>68</v>
      </c>
      <c r="E867" s="6">
        <v>0</v>
      </c>
      <c r="F867" s="6">
        <v>0</v>
      </c>
      <c r="G867" s="6">
        <v>3</v>
      </c>
      <c r="H867" s="6" t="s">
        <v>52362</v>
      </c>
      <c r="I867" s="6">
        <v>526.5</v>
      </c>
      <c r="J867" s="2">
        <f t="shared" si="13"/>
        <v>43749.472288229161</v>
      </c>
    </row>
    <row r="868" spans="1:10" x14ac:dyDescent="0.25">
      <c r="A868" s="7" t="s">
        <v>52363</v>
      </c>
      <c r="B868" s="8">
        <v>393.75</v>
      </c>
      <c r="C868" s="8">
        <v>20.478950000000001</v>
      </c>
      <c r="D868" s="8">
        <v>68</v>
      </c>
      <c r="E868" s="8">
        <v>0</v>
      </c>
      <c r="F868" s="8">
        <v>0</v>
      </c>
      <c r="G868" s="8">
        <v>1</v>
      </c>
      <c r="H868" s="8" t="s">
        <v>52364</v>
      </c>
      <c r="I868" s="8">
        <v>526.6875</v>
      </c>
      <c r="J868" s="3">
        <f t="shared" si="13"/>
        <v>43749.472371331016</v>
      </c>
    </row>
    <row r="869" spans="1:10" x14ac:dyDescent="0.25">
      <c r="A869" s="5" t="s">
        <v>52365</v>
      </c>
      <c r="B869" s="6">
        <v>393.75</v>
      </c>
      <c r="C869" s="6">
        <v>20.478950000000001</v>
      </c>
      <c r="D869" s="6">
        <v>70</v>
      </c>
      <c r="E869" s="6">
        <v>0</v>
      </c>
      <c r="F869" s="6">
        <v>0</v>
      </c>
      <c r="G869" s="6">
        <v>1</v>
      </c>
      <c r="H869" s="6" t="s">
        <v>52366</v>
      </c>
      <c r="I869" s="6">
        <v>526.6875</v>
      </c>
      <c r="J869" s="2">
        <f t="shared" si="13"/>
        <v>43749.47245523148</v>
      </c>
    </row>
    <row r="870" spans="1:10" x14ac:dyDescent="0.25">
      <c r="A870" s="7" t="s">
        <v>52367</v>
      </c>
      <c r="B870" s="8">
        <v>393.75</v>
      </c>
      <c r="C870" s="8">
        <v>20.478950000000001</v>
      </c>
      <c r="D870" s="8">
        <v>70</v>
      </c>
      <c r="E870" s="8">
        <v>0</v>
      </c>
      <c r="F870" s="8">
        <v>0</v>
      </c>
      <c r="G870" s="8">
        <v>0</v>
      </c>
      <c r="H870" s="8" t="s">
        <v>52368</v>
      </c>
      <c r="I870" s="8">
        <v>526.6875</v>
      </c>
      <c r="J870" s="3">
        <f t="shared" si="13"/>
        <v>43749.472538692127</v>
      </c>
    </row>
    <row r="871" spans="1:10" x14ac:dyDescent="0.25">
      <c r="A871" s="5" t="s">
        <v>52369</v>
      </c>
      <c r="B871" s="6">
        <v>393.75</v>
      </c>
      <c r="C871" s="6">
        <v>20.478950000000001</v>
      </c>
      <c r="D871" s="6">
        <v>71</v>
      </c>
      <c r="E871" s="6">
        <v>0</v>
      </c>
      <c r="F871" s="6">
        <v>0</v>
      </c>
      <c r="G871" s="6">
        <v>0</v>
      </c>
      <c r="H871" s="6" t="s">
        <v>52370</v>
      </c>
      <c r="I871" s="6">
        <v>526.6875</v>
      </c>
      <c r="J871" s="2">
        <f t="shared" si="13"/>
        <v>43749.472610219906</v>
      </c>
    </row>
    <row r="872" spans="1:10" x14ac:dyDescent="0.25">
      <c r="A872" s="7" t="s">
        <v>52371</v>
      </c>
      <c r="B872" s="8">
        <v>393.75</v>
      </c>
      <c r="C872" s="8">
        <v>20.478950000000001</v>
      </c>
      <c r="D872" s="8">
        <v>74</v>
      </c>
      <c r="E872" s="8">
        <v>0</v>
      </c>
      <c r="F872" s="8">
        <v>0</v>
      </c>
      <c r="G872" s="8">
        <v>6</v>
      </c>
      <c r="H872" s="8" t="s">
        <v>52372</v>
      </c>
      <c r="I872" s="8">
        <v>526.6875</v>
      </c>
      <c r="J872" s="3">
        <f t="shared" si="13"/>
        <v>43749.47270554398</v>
      </c>
    </row>
    <row r="873" spans="1:10" x14ac:dyDescent="0.25">
      <c r="A873" s="5" t="s">
        <v>52373</v>
      </c>
      <c r="B873" s="6">
        <v>412.5</v>
      </c>
      <c r="C873" s="6">
        <v>20.478950000000001</v>
      </c>
      <c r="D873" s="6">
        <v>74</v>
      </c>
      <c r="E873" s="6">
        <v>0</v>
      </c>
      <c r="F873" s="6">
        <v>0</v>
      </c>
      <c r="G873" s="6">
        <v>0</v>
      </c>
      <c r="H873" s="6" t="s">
        <v>52374</v>
      </c>
      <c r="I873" s="6">
        <v>532.3125</v>
      </c>
      <c r="J873" s="2">
        <f t="shared" si="13"/>
        <v>43749.472777280091</v>
      </c>
    </row>
    <row r="874" spans="1:10" x14ac:dyDescent="0.25">
      <c r="A874" s="7" t="s">
        <v>52375</v>
      </c>
      <c r="B874" s="8">
        <v>393.75</v>
      </c>
      <c r="C874" s="8">
        <v>20.478950000000001</v>
      </c>
      <c r="D874" s="8">
        <v>74</v>
      </c>
      <c r="E874" s="8">
        <v>0</v>
      </c>
      <c r="F874" s="8">
        <v>0</v>
      </c>
      <c r="G874" s="8">
        <v>6</v>
      </c>
      <c r="H874" s="8" t="s">
        <v>52376</v>
      </c>
      <c r="I874" s="8">
        <v>526.6875</v>
      </c>
      <c r="J874" s="3">
        <f t="shared" si="13"/>
        <v>43749.472860405091</v>
      </c>
    </row>
    <row r="875" spans="1:10" x14ac:dyDescent="0.25">
      <c r="A875" s="5" t="s">
        <v>52377</v>
      </c>
      <c r="B875" s="6">
        <v>393.75</v>
      </c>
      <c r="C875" s="6">
        <v>20.478950000000001</v>
      </c>
      <c r="D875" s="6">
        <v>74</v>
      </c>
      <c r="E875" s="6">
        <v>0</v>
      </c>
      <c r="F875" s="6">
        <v>0</v>
      </c>
      <c r="G875" s="6">
        <v>1</v>
      </c>
      <c r="H875" s="6" t="s">
        <v>52378</v>
      </c>
      <c r="I875" s="6">
        <v>526.6875</v>
      </c>
      <c r="J875" s="2">
        <f t="shared" si="13"/>
        <v>43749.472932268516</v>
      </c>
    </row>
    <row r="876" spans="1:10" x14ac:dyDescent="0.25">
      <c r="A876" s="7" t="s">
        <v>52379</v>
      </c>
      <c r="B876" s="8">
        <v>412.5</v>
      </c>
      <c r="C876" s="8">
        <v>20.478950000000001</v>
      </c>
      <c r="D876" s="8">
        <v>73</v>
      </c>
      <c r="E876" s="8">
        <v>0</v>
      </c>
      <c r="F876" s="8">
        <v>0</v>
      </c>
      <c r="G876" s="8">
        <v>5</v>
      </c>
      <c r="H876" s="8" t="s">
        <v>52380</v>
      </c>
      <c r="I876" s="8">
        <v>532.3125</v>
      </c>
      <c r="J876" s="3">
        <f t="shared" si="13"/>
        <v>43749.473015613425</v>
      </c>
    </row>
    <row r="877" spans="1:10" x14ac:dyDescent="0.25">
      <c r="A877" s="5" t="s">
        <v>52381</v>
      </c>
      <c r="B877" s="6">
        <v>393.75</v>
      </c>
      <c r="C877" s="6">
        <v>20.478950000000001</v>
      </c>
      <c r="D877" s="6">
        <v>73</v>
      </c>
      <c r="E877" s="6">
        <v>0</v>
      </c>
      <c r="F877" s="6">
        <v>0</v>
      </c>
      <c r="G877" s="6">
        <v>0</v>
      </c>
      <c r="H877" s="6" t="s">
        <v>52382</v>
      </c>
      <c r="I877" s="6">
        <v>526.6875</v>
      </c>
      <c r="J877" s="2">
        <f t="shared" si="13"/>
        <v>43749.473099201387</v>
      </c>
    </row>
    <row r="878" spans="1:10" x14ac:dyDescent="0.25">
      <c r="A878" s="7" t="s">
        <v>52383</v>
      </c>
      <c r="B878" s="8">
        <v>393.75</v>
      </c>
      <c r="C878" s="8">
        <v>20.478950000000001</v>
      </c>
      <c r="D878" s="8">
        <v>73</v>
      </c>
      <c r="E878" s="8">
        <v>0</v>
      </c>
      <c r="F878" s="8">
        <v>0</v>
      </c>
      <c r="G878" s="8">
        <v>3</v>
      </c>
      <c r="H878" s="8" t="s">
        <v>52384</v>
      </c>
      <c r="I878" s="8">
        <v>526.6875</v>
      </c>
      <c r="J878" s="3">
        <f t="shared" si="13"/>
        <v>43749.473182384252</v>
      </c>
    </row>
    <row r="879" spans="1:10" x14ac:dyDescent="0.25">
      <c r="A879" s="5" t="s">
        <v>52385</v>
      </c>
      <c r="B879" s="6">
        <v>393.75</v>
      </c>
      <c r="C879" s="6">
        <v>20.478950000000001</v>
      </c>
      <c r="D879" s="6">
        <v>73</v>
      </c>
      <c r="E879" s="6">
        <v>0</v>
      </c>
      <c r="F879" s="6">
        <v>0</v>
      </c>
      <c r="G879" s="6">
        <v>12</v>
      </c>
      <c r="H879" s="6" t="s">
        <v>52386</v>
      </c>
      <c r="I879" s="6">
        <v>526.6875</v>
      </c>
      <c r="J879" s="2">
        <f t="shared" si="13"/>
        <v>43749.473254027776</v>
      </c>
    </row>
    <row r="880" spans="1:10" x14ac:dyDescent="0.25">
      <c r="A880" s="7" t="s">
        <v>52387</v>
      </c>
      <c r="B880" s="8">
        <v>393.75</v>
      </c>
      <c r="C880" s="8">
        <v>20.478950000000001</v>
      </c>
      <c r="D880" s="8">
        <v>74</v>
      </c>
      <c r="E880" s="8">
        <v>0</v>
      </c>
      <c r="F880" s="8">
        <v>0</v>
      </c>
      <c r="G880" s="8">
        <v>9</v>
      </c>
      <c r="H880" s="8" t="s">
        <v>52388</v>
      </c>
      <c r="I880" s="8">
        <v>526.6875</v>
      </c>
      <c r="J880" s="3">
        <f t="shared" si="13"/>
        <v>43749.473337824071</v>
      </c>
    </row>
    <row r="881" spans="1:10" x14ac:dyDescent="0.25">
      <c r="A881" s="5" t="s">
        <v>52389</v>
      </c>
      <c r="B881" s="6">
        <v>425</v>
      </c>
      <c r="C881" s="6">
        <v>20.478950000000001</v>
      </c>
      <c r="D881" s="6">
        <v>74</v>
      </c>
      <c r="E881" s="6">
        <v>0</v>
      </c>
      <c r="F881" s="6">
        <v>0</v>
      </c>
      <c r="G881" s="6">
        <v>8</v>
      </c>
      <c r="H881" s="6" t="s">
        <v>52390</v>
      </c>
      <c r="I881" s="6">
        <v>536.8125</v>
      </c>
      <c r="J881" s="2">
        <f t="shared" si="13"/>
        <v>43749.473421296294</v>
      </c>
    </row>
    <row r="882" spans="1:10" x14ac:dyDescent="0.25">
      <c r="A882" s="7" t="s">
        <v>52391</v>
      </c>
      <c r="B882" s="8">
        <v>393.75</v>
      </c>
      <c r="C882" s="8">
        <v>20.478950000000001</v>
      </c>
      <c r="D882" s="8">
        <v>70</v>
      </c>
      <c r="E882" s="8">
        <v>0</v>
      </c>
      <c r="F882" s="8">
        <v>0</v>
      </c>
      <c r="G882" s="8">
        <v>3</v>
      </c>
      <c r="H882" s="8" t="s">
        <v>52392</v>
      </c>
      <c r="I882" s="8">
        <v>526.6875</v>
      </c>
      <c r="J882" s="3">
        <f t="shared" si="13"/>
        <v>43749.473504490736</v>
      </c>
    </row>
    <row r="883" spans="1:10" x14ac:dyDescent="0.25">
      <c r="A883" s="5" t="s">
        <v>52393</v>
      </c>
      <c r="B883" s="6">
        <v>393.75</v>
      </c>
      <c r="C883" s="6">
        <v>20.478950000000001</v>
      </c>
      <c r="D883" s="6">
        <v>69</v>
      </c>
      <c r="E883" s="6">
        <v>0</v>
      </c>
      <c r="F883" s="6">
        <v>0</v>
      </c>
      <c r="G883" s="6">
        <v>8</v>
      </c>
      <c r="H883" s="6" t="s">
        <v>52394</v>
      </c>
      <c r="I883" s="6">
        <v>526.6875</v>
      </c>
      <c r="J883" s="2">
        <f t="shared" si="13"/>
        <v>43749.473588287037</v>
      </c>
    </row>
    <row r="884" spans="1:10" x14ac:dyDescent="0.25">
      <c r="A884" s="7" t="s">
        <v>52395</v>
      </c>
      <c r="B884" s="8">
        <v>393.75</v>
      </c>
      <c r="C884" s="8">
        <v>20.478950000000001</v>
      </c>
      <c r="D884" s="8">
        <v>69</v>
      </c>
      <c r="E884" s="8">
        <v>0</v>
      </c>
      <c r="F884" s="8">
        <v>0</v>
      </c>
      <c r="G884" s="8">
        <v>8</v>
      </c>
      <c r="H884" s="8" t="s">
        <v>52396</v>
      </c>
      <c r="I884" s="8">
        <v>526.6875</v>
      </c>
      <c r="J884" s="3">
        <f t="shared" si="13"/>
        <v>43749.473672326385</v>
      </c>
    </row>
    <row r="885" spans="1:10" x14ac:dyDescent="0.25">
      <c r="A885" s="5" t="s">
        <v>52397</v>
      </c>
      <c r="B885" s="6">
        <v>393.75</v>
      </c>
      <c r="C885" s="6">
        <v>20.478950000000001</v>
      </c>
      <c r="D885" s="6">
        <v>69</v>
      </c>
      <c r="E885" s="6">
        <v>0</v>
      </c>
      <c r="F885" s="6">
        <v>0</v>
      </c>
      <c r="G885" s="6">
        <v>1</v>
      </c>
      <c r="H885" s="6" t="s">
        <v>52398</v>
      </c>
      <c r="I885" s="6">
        <v>526.6875</v>
      </c>
      <c r="J885" s="2">
        <f t="shared" si="13"/>
        <v>43749.473755231484</v>
      </c>
    </row>
    <row r="886" spans="1:10" x14ac:dyDescent="0.25">
      <c r="A886" s="7" t="s">
        <v>52399</v>
      </c>
      <c r="B886" s="8">
        <v>393.75</v>
      </c>
      <c r="C886" s="8">
        <v>20.531590000000001</v>
      </c>
      <c r="D886" s="8">
        <v>69</v>
      </c>
      <c r="E886" s="8">
        <v>0</v>
      </c>
      <c r="F886" s="8">
        <v>0</v>
      </c>
      <c r="G886" s="8">
        <v>9</v>
      </c>
      <c r="H886" s="8" t="s">
        <v>52400</v>
      </c>
      <c r="I886" s="8">
        <v>526.6875</v>
      </c>
      <c r="J886" s="3">
        <f t="shared" si="13"/>
        <v>43749.473838391197</v>
      </c>
    </row>
    <row r="887" spans="1:10" x14ac:dyDescent="0.25">
      <c r="A887" s="5" t="s">
        <v>52401</v>
      </c>
      <c r="B887" s="6">
        <v>393.75</v>
      </c>
      <c r="C887" s="6">
        <v>20.531590000000001</v>
      </c>
      <c r="D887" s="6">
        <v>69</v>
      </c>
      <c r="E887" s="6">
        <v>0</v>
      </c>
      <c r="F887" s="6">
        <v>0</v>
      </c>
      <c r="G887" s="6">
        <v>8</v>
      </c>
      <c r="H887" s="6" t="s">
        <v>52402</v>
      </c>
      <c r="I887" s="6">
        <v>526.6875</v>
      </c>
      <c r="J887" s="2">
        <f t="shared" si="13"/>
        <v>43749.473910277775</v>
      </c>
    </row>
    <row r="888" spans="1:10" x14ac:dyDescent="0.25">
      <c r="A888" s="7" t="s">
        <v>52403</v>
      </c>
      <c r="B888" s="8">
        <v>393.75</v>
      </c>
      <c r="C888" s="8">
        <v>20.478950000000001</v>
      </c>
      <c r="D888" s="8">
        <v>68</v>
      </c>
      <c r="E888" s="8">
        <v>0</v>
      </c>
      <c r="F888" s="8">
        <v>0</v>
      </c>
      <c r="G888" s="8">
        <v>9</v>
      </c>
      <c r="H888" s="8" t="s">
        <v>52404</v>
      </c>
      <c r="I888" s="8">
        <v>526.6875</v>
      </c>
      <c r="J888" s="3">
        <f t="shared" si="13"/>
        <v>43749.473993495369</v>
      </c>
    </row>
    <row r="889" spans="1:10" x14ac:dyDescent="0.25">
      <c r="A889" s="5" t="s">
        <v>52405</v>
      </c>
      <c r="B889" s="6">
        <v>393.75</v>
      </c>
      <c r="C889" s="6">
        <v>20.478950000000001</v>
      </c>
      <c r="D889" s="6">
        <v>68</v>
      </c>
      <c r="E889" s="6">
        <v>0</v>
      </c>
      <c r="F889" s="6">
        <v>0</v>
      </c>
      <c r="G889" s="6">
        <v>6</v>
      </c>
      <c r="H889" s="6" t="s">
        <v>52406</v>
      </c>
      <c r="I889" s="6">
        <v>526.6875</v>
      </c>
      <c r="J889" s="2">
        <f t="shared" si="13"/>
        <v>43749.474065138886</v>
      </c>
    </row>
    <row r="890" spans="1:10" x14ac:dyDescent="0.25">
      <c r="A890" s="7" t="s">
        <v>52407</v>
      </c>
      <c r="B890" s="8">
        <v>393.75</v>
      </c>
      <c r="C890" s="8">
        <v>20.478950000000001</v>
      </c>
      <c r="D890" s="8">
        <v>68</v>
      </c>
      <c r="E890" s="8">
        <v>0</v>
      </c>
      <c r="F890" s="8">
        <v>0</v>
      </c>
      <c r="G890" s="8">
        <v>9</v>
      </c>
      <c r="H890" s="8" t="s">
        <v>52408</v>
      </c>
      <c r="I890" s="8">
        <v>526.6875</v>
      </c>
      <c r="J890" s="3">
        <f t="shared" si="13"/>
        <v>43749.474149050926</v>
      </c>
    </row>
    <row r="891" spans="1:10" x14ac:dyDescent="0.25">
      <c r="A891" s="5" t="s">
        <v>52409</v>
      </c>
      <c r="B891" s="6">
        <v>393.75</v>
      </c>
      <c r="C891" s="6">
        <v>20.531590000000001</v>
      </c>
      <c r="D891" s="6">
        <v>68</v>
      </c>
      <c r="E891" s="6">
        <v>0</v>
      </c>
      <c r="F891" s="6">
        <v>0</v>
      </c>
      <c r="G891" s="6">
        <v>9</v>
      </c>
      <c r="H891" s="6" t="s">
        <v>52410</v>
      </c>
      <c r="I891" s="6">
        <v>526.5</v>
      </c>
      <c r="J891" s="2">
        <f t="shared" si="13"/>
        <v>43749.474232280088</v>
      </c>
    </row>
    <row r="892" spans="1:10" x14ac:dyDescent="0.25">
      <c r="A892" s="7" t="s">
        <v>52411</v>
      </c>
      <c r="B892" s="8">
        <v>393.75</v>
      </c>
      <c r="C892" s="8">
        <v>20.478950000000001</v>
      </c>
      <c r="D892" s="8">
        <v>68</v>
      </c>
      <c r="E892" s="8">
        <v>0</v>
      </c>
      <c r="F892" s="8">
        <v>0</v>
      </c>
      <c r="G892" s="8">
        <v>4</v>
      </c>
      <c r="H892" s="8" t="s">
        <v>52412</v>
      </c>
      <c r="I892" s="8">
        <v>526.6875</v>
      </c>
      <c r="J892" s="3">
        <f t="shared" si="13"/>
        <v>43749.474315601845</v>
      </c>
    </row>
    <row r="893" spans="1:10" x14ac:dyDescent="0.25">
      <c r="A893" s="5" t="s">
        <v>52413</v>
      </c>
      <c r="B893" s="6">
        <v>396.875</v>
      </c>
      <c r="C893" s="6">
        <v>20.478950000000001</v>
      </c>
      <c r="D893" s="6">
        <v>67</v>
      </c>
      <c r="E893" s="6">
        <v>0</v>
      </c>
      <c r="F893" s="6">
        <v>0</v>
      </c>
      <c r="G893" s="6">
        <v>9</v>
      </c>
      <c r="H893" s="6" t="s">
        <v>52414</v>
      </c>
      <c r="I893" s="6">
        <v>527.4375</v>
      </c>
      <c r="J893" s="2">
        <f t="shared" si="13"/>
        <v>43749.47439938657</v>
      </c>
    </row>
    <row r="894" spans="1:10" x14ac:dyDescent="0.25">
      <c r="A894" s="7" t="s">
        <v>52415</v>
      </c>
      <c r="B894" s="8">
        <v>396.875</v>
      </c>
      <c r="C894" s="8">
        <v>20.478950000000001</v>
      </c>
      <c r="D894" s="8">
        <v>67</v>
      </c>
      <c r="E894" s="8">
        <v>0</v>
      </c>
      <c r="F894" s="8">
        <v>0</v>
      </c>
      <c r="G894" s="8">
        <v>6</v>
      </c>
      <c r="H894" s="8" t="s">
        <v>52416</v>
      </c>
      <c r="I894" s="8">
        <v>527.4375</v>
      </c>
      <c r="J894" s="3">
        <f t="shared" si="13"/>
        <v>43749.474482395832</v>
      </c>
    </row>
    <row r="895" spans="1:10" x14ac:dyDescent="0.25">
      <c r="A895" s="5" t="s">
        <v>52417</v>
      </c>
      <c r="B895" s="6">
        <v>396.875</v>
      </c>
      <c r="C895" s="6">
        <v>20.478950000000001</v>
      </c>
      <c r="D895" s="6">
        <v>67</v>
      </c>
      <c r="E895" s="6">
        <v>0</v>
      </c>
      <c r="F895" s="6">
        <v>0</v>
      </c>
      <c r="G895" s="6">
        <v>2</v>
      </c>
      <c r="H895" s="6" t="s">
        <v>52418</v>
      </c>
      <c r="I895" s="6">
        <v>527.4375</v>
      </c>
      <c r="J895" s="2">
        <f t="shared" si="13"/>
        <v>43749.474554050925</v>
      </c>
    </row>
    <row r="896" spans="1:10" x14ac:dyDescent="0.25">
      <c r="A896" s="7" t="s">
        <v>52419</v>
      </c>
      <c r="B896" s="8">
        <v>396.875</v>
      </c>
      <c r="C896" s="8">
        <v>20.478950000000001</v>
      </c>
      <c r="D896" s="8">
        <v>68</v>
      </c>
      <c r="E896" s="8">
        <v>0</v>
      </c>
      <c r="F896" s="8">
        <v>0</v>
      </c>
      <c r="G896" s="8">
        <v>9</v>
      </c>
      <c r="H896" s="8" t="s">
        <v>52420</v>
      </c>
      <c r="I896" s="8">
        <v>527.4375</v>
      </c>
      <c r="J896" s="3">
        <f t="shared" si="13"/>
        <v>43749.474637951389</v>
      </c>
    </row>
    <row r="897" spans="1:10" x14ac:dyDescent="0.25">
      <c r="A897" s="5" t="s">
        <v>52421</v>
      </c>
      <c r="B897" s="6">
        <v>393.75</v>
      </c>
      <c r="C897" s="6">
        <v>20.478950000000001</v>
      </c>
      <c r="D897" s="6">
        <v>68</v>
      </c>
      <c r="E897" s="6">
        <v>0</v>
      </c>
      <c r="F897" s="6">
        <v>0</v>
      </c>
      <c r="G897" s="6">
        <v>8</v>
      </c>
      <c r="H897" s="6" t="s">
        <v>52422</v>
      </c>
      <c r="I897" s="6">
        <v>526.6875</v>
      </c>
      <c r="J897" s="2">
        <f t="shared" si="13"/>
        <v>43749.474721284721</v>
      </c>
    </row>
    <row r="898" spans="1:10" x14ac:dyDescent="0.25">
      <c r="A898" s="7" t="s">
        <v>52423</v>
      </c>
      <c r="B898" s="8">
        <v>393.75</v>
      </c>
      <c r="C898" s="8">
        <v>20.478950000000001</v>
      </c>
      <c r="D898" s="8">
        <v>67</v>
      </c>
      <c r="E898" s="8">
        <v>0</v>
      </c>
      <c r="F898" s="8">
        <v>0</v>
      </c>
      <c r="G898" s="8">
        <v>3</v>
      </c>
      <c r="H898" s="8" t="s">
        <v>52424</v>
      </c>
      <c r="I898" s="8">
        <v>526.6875</v>
      </c>
      <c r="J898" s="3">
        <f t="shared" ref="J898:J961" si="14">(H898/86400000)+25569+(7/24)</f>
        <v>43749.474804513891</v>
      </c>
    </row>
    <row r="899" spans="1:10" x14ac:dyDescent="0.25">
      <c r="A899" s="5" t="s">
        <v>52425</v>
      </c>
      <c r="B899" s="6">
        <v>393.75</v>
      </c>
      <c r="C899" s="6">
        <v>20.478950000000001</v>
      </c>
      <c r="D899" s="6">
        <v>67</v>
      </c>
      <c r="E899" s="6">
        <v>0</v>
      </c>
      <c r="F899" s="6">
        <v>0</v>
      </c>
      <c r="G899" s="6">
        <v>13</v>
      </c>
      <c r="H899" s="6" t="s">
        <v>52426</v>
      </c>
      <c r="I899" s="6">
        <v>526.6875</v>
      </c>
      <c r="J899" s="2">
        <f t="shared" si="14"/>
        <v>43749.474876261571</v>
      </c>
    </row>
    <row r="900" spans="1:10" x14ac:dyDescent="0.25">
      <c r="A900" s="7" t="s">
        <v>52427</v>
      </c>
      <c r="B900" s="8">
        <v>393.75</v>
      </c>
      <c r="C900" s="8">
        <v>20.478950000000001</v>
      </c>
      <c r="D900" s="8">
        <v>67</v>
      </c>
      <c r="E900" s="8">
        <v>0</v>
      </c>
      <c r="F900" s="8">
        <v>0</v>
      </c>
      <c r="G900" s="8">
        <v>0</v>
      </c>
      <c r="H900" s="8" t="s">
        <v>52428</v>
      </c>
      <c r="I900" s="8">
        <v>526.6875</v>
      </c>
      <c r="J900" s="3">
        <f t="shared" si="14"/>
        <v>43749.474959826388</v>
      </c>
    </row>
    <row r="901" spans="1:10" x14ac:dyDescent="0.25">
      <c r="A901" s="5" t="s">
        <v>52429</v>
      </c>
      <c r="B901" s="6">
        <v>393.75</v>
      </c>
      <c r="C901" s="6">
        <v>20.478950000000001</v>
      </c>
      <c r="D901" s="6">
        <v>66</v>
      </c>
      <c r="E901" s="6">
        <v>0</v>
      </c>
      <c r="F901" s="6">
        <v>0</v>
      </c>
      <c r="G901" s="6">
        <v>9</v>
      </c>
      <c r="H901" s="6" t="s">
        <v>52430</v>
      </c>
      <c r="I901" s="6">
        <v>526.6875</v>
      </c>
      <c r="J901" s="2">
        <f t="shared" si="14"/>
        <v>43749.475043391205</v>
      </c>
    </row>
    <row r="902" spans="1:10" x14ac:dyDescent="0.25">
      <c r="A902" s="7" t="s">
        <v>52431</v>
      </c>
      <c r="B902" s="8">
        <v>393.75</v>
      </c>
      <c r="C902" s="8">
        <v>20.478950000000001</v>
      </c>
      <c r="D902" s="8">
        <v>67</v>
      </c>
      <c r="E902" s="8">
        <v>0</v>
      </c>
      <c r="F902" s="8">
        <v>0</v>
      </c>
      <c r="G902" s="8">
        <v>2</v>
      </c>
      <c r="H902" s="8" t="s">
        <v>52432</v>
      </c>
      <c r="I902" s="8">
        <v>526.5</v>
      </c>
      <c r="J902" s="3">
        <f t="shared" si="14"/>
        <v>43749.475126840276</v>
      </c>
    </row>
    <row r="903" spans="1:10" x14ac:dyDescent="0.25">
      <c r="A903" s="5" t="s">
        <v>52433</v>
      </c>
      <c r="B903" s="6">
        <v>393.75</v>
      </c>
      <c r="C903" s="6">
        <v>20.478950000000001</v>
      </c>
      <c r="D903" s="6">
        <v>67</v>
      </c>
      <c r="E903" s="6">
        <v>0</v>
      </c>
      <c r="F903" s="6">
        <v>0</v>
      </c>
      <c r="G903" s="6">
        <v>11</v>
      </c>
      <c r="H903" s="6" t="s">
        <v>52434</v>
      </c>
      <c r="I903" s="6">
        <v>526.6875</v>
      </c>
      <c r="J903" s="2">
        <f t="shared" si="14"/>
        <v>43749.475210289347</v>
      </c>
    </row>
    <row r="904" spans="1:10" x14ac:dyDescent="0.25">
      <c r="A904" s="7" t="s">
        <v>52435</v>
      </c>
      <c r="B904" s="8">
        <v>393.75</v>
      </c>
      <c r="C904" s="8">
        <v>20.478950000000001</v>
      </c>
      <c r="D904" s="8">
        <v>68</v>
      </c>
      <c r="E904" s="8">
        <v>0</v>
      </c>
      <c r="F904" s="8">
        <v>0</v>
      </c>
      <c r="G904" s="8">
        <v>0</v>
      </c>
      <c r="H904" s="8" t="s">
        <v>52436</v>
      </c>
      <c r="I904" s="8">
        <v>526.6875</v>
      </c>
      <c r="J904" s="3">
        <f t="shared" si="14"/>
        <v>43749.475293495365</v>
      </c>
    </row>
    <row r="905" spans="1:10" x14ac:dyDescent="0.25">
      <c r="A905" s="5" t="s">
        <v>52437</v>
      </c>
      <c r="B905" s="6">
        <v>393.75</v>
      </c>
      <c r="C905" s="6">
        <v>20.478950000000001</v>
      </c>
      <c r="D905" s="6">
        <v>68</v>
      </c>
      <c r="E905" s="6">
        <v>0</v>
      </c>
      <c r="F905" s="6">
        <v>0</v>
      </c>
      <c r="G905" s="6">
        <v>1</v>
      </c>
      <c r="H905" s="6" t="s">
        <v>52438</v>
      </c>
      <c r="I905" s="6">
        <v>526.6875</v>
      </c>
      <c r="J905" s="2">
        <f t="shared" si="14"/>
        <v>43749.475412719905</v>
      </c>
    </row>
    <row r="906" spans="1:10" x14ac:dyDescent="0.25">
      <c r="A906" s="7" t="s">
        <v>52439</v>
      </c>
      <c r="B906" s="8">
        <v>393.75</v>
      </c>
      <c r="C906" s="8">
        <v>20.478950000000001</v>
      </c>
      <c r="D906" s="8">
        <v>69</v>
      </c>
      <c r="E906" s="8">
        <v>0</v>
      </c>
      <c r="F906" s="8">
        <v>0</v>
      </c>
      <c r="G906" s="8">
        <v>0</v>
      </c>
      <c r="H906" s="8" t="s">
        <v>52440</v>
      </c>
      <c r="I906" s="8">
        <v>526.6875</v>
      </c>
      <c r="J906" s="3">
        <f t="shared" si="14"/>
        <v>43749.475484606482</v>
      </c>
    </row>
    <row r="907" spans="1:10" x14ac:dyDescent="0.25">
      <c r="A907" s="5" t="s">
        <v>52441</v>
      </c>
      <c r="B907" s="6">
        <v>393.75</v>
      </c>
      <c r="C907" s="6">
        <v>20.478950000000001</v>
      </c>
      <c r="D907" s="6">
        <v>69</v>
      </c>
      <c r="E907" s="6">
        <v>0</v>
      </c>
      <c r="F907" s="6">
        <v>0</v>
      </c>
      <c r="G907" s="6">
        <v>1</v>
      </c>
      <c r="H907" s="6" t="s">
        <v>52442</v>
      </c>
      <c r="I907" s="6">
        <v>526.5</v>
      </c>
      <c r="J907" s="2">
        <f t="shared" si="14"/>
        <v>43749.4755558912</v>
      </c>
    </row>
    <row r="908" spans="1:10" x14ac:dyDescent="0.25">
      <c r="A908" s="7" t="s">
        <v>52443</v>
      </c>
      <c r="B908" s="8">
        <v>393.75</v>
      </c>
      <c r="C908" s="8">
        <v>20.478950000000001</v>
      </c>
      <c r="D908" s="8">
        <v>69</v>
      </c>
      <c r="E908" s="8">
        <v>0</v>
      </c>
      <c r="F908" s="8">
        <v>0</v>
      </c>
      <c r="G908" s="8">
        <v>4</v>
      </c>
      <c r="H908" s="8" t="s">
        <v>52444</v>
      </c>
      <c r="I908" s="8">
        <v>526.6875</v>
      </c>
      <c r="J908" s="3">
        <f t="shared" si="14"/>
        <v>43749.475639699071</v>
      </c>
    </row>
    <row r="909" spans="1:10" x14ac:dyDescent="0.25">
      <c r="A909" s="5" t="s">
        <v>52445</v>
      </c>
      <c r="B909" s="6">
        <v>393.75</v>
      </c>
      <c r="C909" s="6">
        <v>20.478950000000001</v>
      </c>
      <c r="D909" s="6">
        <v>69</v>
      </c>
      <c r="E909" s="6">
        <v>0</v>
      </c>
      <c r="F909" s="6">
        <v>0</v>
      </c>
      <c r="G909" s="6">
        <v>1</v>
      </c>
      <c r="H909" s="6" t="s">
        <v>52446</v>
      </c>
      <c r="I909" s="6">
        <v>526.6875</v>
      </c>
      <c r="J909" s="2">
        <f t="shared" si="14"/>
        <v>43749.475723148142</v>
      </c>
    </row>
    <row r="910" spans="1:10" x14ac:dyDescent="0.25">
      <c r="A910" s="7" t="s">
        <v>52447</v>
      </c>
      <c r="B910" s="8">
        <v>425</v>
      </c>
      <c r="C910" s="8">
        <v>20.478950000000001</v>
      </c>
      <c r="D910" s="8">
        <v>69</v>
      </c>
      <c r="E910" s="8">
        <v>0</v>
      </c>
      <c r="F910" s="8">
        <v>0</v>
      </c>
      <c r="G910" s="8">
        <v>0</v>
      </c>
      <c r="H910" s="8" t="s">
        <v>52448</v>
      </c>
      <c r="I910" s="8">
        <v>536.4375</v>
      </c>
      <c r="J910" s="3">
        <f t="shared" si="14"/>
        <v>43749.47580659722</v>
      </c>
    </row>
    <row r="911" spans="1:10" x14ac:dyDescent="0.25">
      <c r="A911" s="5" t="s">
        <v>52449</v>
      </c>
      <c r="B911" s="6">
        <v>393.75</v>
      </c>
      <c r="C911" s="6">
        <v>20.478950000000001</v>
      </c>
      <c r="D911" s="6">
        <v>69</v>
      </c>
      <c r="E911" s="6">
        <v>0</v>
      </c>
      <c r="F911" s="6">
        <v>0</v>
      </c>
      <c r="G911" s="6">
        <v>0</v>
      </c>
      <c r="H911" s="6" t="s">
        <v>52450</v>
      </c>
      <c r="I911" s="6">
        <v>526.6875</v>
      </c>
      <c r="J911" s="2">
        <f t="shared" si="14"/>
        <v>43749.475889837959</v>
      </c>
    </row>
    <row r="912" spans="1:10" x14ac:dyDescent="0.25">
      <c r="A912" s="7" t="s">
        <v>52451</v>
      </c>
      <c r="B912" s="8">
        <v>393.75</v>
      </c>
      <c r="C912" s="8">
        <v>20.478950000000001</v>
      </c>
      <c r="D912" s="8">
        <v>69</v>
      </c>
      <c r="E912" s="8">
        <v>0</v>
      </c>
      <c r="F912" s="8">
        <v>0</v>
      </c>
      <c r="G912" s="8">
        <v>3</v>
      </c>
      <c r="H912" s="8" t="s">
        <v>52452</v>
      </c>
      <c r="I912" s="8">
        <v>526.6875</v>
      </c>
      <c r="J912" s="3">
        <f t="shared" si="14"/>
        <v>43749.47596157407</v>
      </c>
    </row>
    <row r="913" spans="1:10" x14ac:dyDescent="0.25">
      <c r="A913" s="5" t="s">
        <v>52453</v>
      </c>
      <c r="B913" s="6">
        <v>393.75</v>
      </c>
      <c r="C913" s="6">
        <v>20.478950000000001</v>
      </c>
      <c r="D913" s="6">
        <v>68</v>
      </c>
      <c r="E913" s="6">
        <v>0</v>
      </c>
      <c r="F913" s="6">
        <v>0</v>
      </c>
      <c r="G913" s="6">
        <v>7</v>
      </c>
      <c r="H913" s="6" t="s">
        <v>52454</v>
      </c>
      <c r="I913" s="6">
        <v>526.6875</v>
      </c>
      <c r="J913" s="2">
        <f t="shared" si="14"/>
        <v>43749.476045254625</v>
      </c>
    </row>
    <row r="914" spans="1:10" x14ac:dyDescent="0.25">
      <c r="A914" s="7" t="s">
        <v>52455</v>
      </c>
      <c r="B914" s="8">
        <v>393.75</v>
      </c>
      <c r="C914" s="8">
        <v>20.478950000000001</v>
      </c>
      <c r="D914" s="8">
        <v>69</v>
      </c>
      <c r="E914" s="8">
        <v>0</v>
      </c>
      <c r="F914" s="8">
        <v>0</v>
      </c>
      <c r="G914" s="8">
        <v>10</v>
      </c>
      <c r="H914" s="8" t="s">
        <v>52456</v>
      </c>
      <c r="I914" s="8">
        <v>526.6875</v>
      </c>
      <c r="J914" s="3">
        <f t="shared" si="14"/>
        <v>43749.476145266199</v>
      </c>
    </row>
    <row r="915" spans="1:10" x14ac:dyDescent="0.25">
      <c r="A915" s="5" t="s">
        <v>52457</v>
      </c>
      <c r="B915" s="6">
        <v>393.75</v>
      </c>
      <c r="C915" s="6">
        <v>20.478950000000001</v>
      </c>
      <c r="D915" s="6">
        <v>69</v>
      </c>
      <c r="E915" s="6">
        <v>0</v>
      </c>
      <c r="F915" s="6">
        <v>0</v>
      </c>
      <c r="G915" s="6">
        <v>7</v>
      </c>
      <c r="H915" s="6" t="s">
        <v>52458</v>
      </c>
      <c r="I915" s="6">
        <v>526.6875</v>
      </c>
      <c r="J915" s="2">
        <f t="shared" si="14"/>
        <v>43749.476223715275</v>
      </c>
    </row>
    <row r="916" spans="1:10" x14ac:dyDescent="0.25">
      <c r="A916" s="7" t="s">
        <v>52459</v>
      </c>
      <c r="B916" s="8">
        <v>393.75</v>
      </c>
      <c r="C916" s="8">
        <v>20.478950000000001</v>
      </c>
      <c r="D916" s="8">
        <v>68</v>
      </c>
      <c r="E916" s="8">
        <v>0</v>
      </c>
      <c r="F916" s="8">
        <v>0</v>
      </c>
      <c r="G916" s="8">
        <v>9</v>
      </c>
      <c r="H916" s="8" t="s">
        <v>52460</v>
      </c>
      <c r="I916" s="8">
        <v>526.6875</v>
      </c>
      <c r="J916" s="3">
        <f t="shared" si="14"/>
        <v>43749.476295601846</v>
      </c>
    </row>
    <row r="917" spans="1:10" x14ac:dyDescent="0.25">
      <c r="A917" s="5" t="s">
        <v>52461</v>
      </c>
      <c r="B917" s="6">
        <v>393.75</v>
      </c>
      <c r="C917" s="6">
        <v>20.478950000000001</v>
      </c>
      <c r="D917" s="6">
        <v>63</v>
      </c>
      <c r="E917" s="6">
        <v>0</v>
      </c>
      <c r="F917" s="6">
        <v>0</v>
      </c>
      <c r="G917" s="6">
        <v>8</v>
      </c>
      <c r="H917" s="6" t="s">
        <v>52462</v>
      </c>
      <c r="I917" s="6">
        <v>526.6875</v>
      </c>
      <c r="J917" s="2">
        <f t="shared" si="14"/>
        <v>43749.47637935185</v>
      </c>
    </row>
    <row r="918" spans="1:10" x14ac:dyDescent="0.25">
      <c r="A918" s="7" t="s">
        <v>52463</v>
      </c>
      <c r="B918" s="8">
        <v>393.75</v>
      </c>
      <c r="C918" s="8">
        <v>20.478950000000001</v>
      </c>
      <c r="D918" s="8">
        <v>64</v>
      </c>
      <c r="E918" s="8">
        <v>0</v>
      </c>
      <c r="F918" s="8">
        <v>0</v>
      </c>
      <c r="G918" s="8">
        <v>0</v>
      </c>
      <c r="H918" s="8" t="s">
        <v>52464</v>
      </c>
      <c r="I918" s="8">
        <v>526.6875</v>
      </c>
      <c r="J918" s="3">
        <f t="shared" si="14"/>
        <v>43749.476450694441</v>
      </c>
    </row>
    <row r="919" spans="1:10" x14ac:dyDescent="0.25">
      <c r="A919" s="5" t="s">
        <v>52465</v>
      </c>
      <c r="B919" s="6">
        <v>393.75</v>
      </c>
      <c r="C919" s="6">
        <v>20.478950000000001</v>
      </c>
      <c r="D919" s="6">
        <v>68</v>
      </c>
      <c r="E919" s="6">
        <v>0</v>
      </c>
      <c r="F919" s="6">
        <v>0</v>
      </c>
      <c r="G919" s="6">
        <v>5</v>
      </c>
      <c r="H919" s="6" t="s">
        <v>52466</v>
      </c>
      <c r="I919" s="6">
        <v>526.6875</v>
      </c>
      <c r="J919" s="2">
        <f t="shared" si="14"/>
        <v>43749.476534131943</v>
      </c>
    </row>
    <row r="920" spans="1:10" x14ac:dyDescent="0.25">
      <c r="A920" s="7" t="s">
        <v>52467</v>
      </c>
      <c r="B920" s="8">
        <v>393.75</v>
      </c>
      <c r="C920" s="8">
        <v>20.478950000000001</v>
      </c>
      <c r="D920" s="8">
        <v>69</v>
      </c>
      <c r="E920" s="8">
        <v>0</v>
      </c>
      <c r="F920" s="8">
        <v>0</v>
      </c>
      <c r="G920" s="8">
        <v>4</v>
      </c>
      <c r="H920" s="8" t="s">
        <v>52468</v>
      </c>
      <c r="I920" s="8">
        <v>526.6875</v>
      </c>
      <c r="J920" s="3">
        <f t="shared" si="14"/>
        <v>43749.476617708329</v>
      </c>
    </row>
    <row r="921" spans="1:10" x14ac:dyDescent="0.25">
      <c r="A921" s="5" t="s">
        <v>52469</v>
      </c>
      <c r="B921" s="6">
        <v>393.75</v>
      </c>
      <c r="C921" s="6">
        <v>20.478950000000001</v>
      </c>
      <c r="D921" s="6">
        <v>70</v>
      </c>
      <c r="E921" s="6">
        <v>0</v>
      </c>
      <c r="F921" s="6">
        <v>0</v>
      </c>
      <c r="G921" s="6">
        <v>8</v>
      </c>
      <c r="H921" s="6" t="s">
        <v>52470</v>
      </c>
      <c r="I921" s="6">
        <v>526.6875</v>
      </c>
      <c r="J921" s="2">
        <f t="shared" si="14"/>
        <v>43749.476700798608</v>
      </c>
    </row>
    <row r="922" spans="1:10" x14ac:dyDescent="0.25">
      <c r="A922" s="7" t="s">
        <v>52471</v>
      </c>
      <c r="B922" s="8">
        <v>393.75</v>
      </c>
      <c r="C922" s="8">
        <v>20.478950000000001</v>
      </c>
      <c r="D922" s="8">
        <v>70</v>
      </c>
      <c r="E922" s="8">
        <v>0</v>
      </c>
      <c r="F922" s="8">
        <v>0</v>
      </c>
      <c r="G922" s="8">
        <v>4</v>
      </c>
      <c r="H922" s="8" t="s">
        <v>52472</v>
      </c>
      <c r="I922" s="8">
        <v>526.6875</v>
      </c>
      <c r="J922" s="3">
        <f t="shared" si="14"/>
        <v>43749.476772557864</v>
      </c>
    </row>
    <row r="923" spans="1:10" x14ac:dyDescent="0.25">
      <c r="A923" s="5" t="s">
        <v>52473</v>
      </c>
      <c r="B923" s="6">
        <v>393.75</v>
      </c>
      <c r="C923" s="6">
        <v>20.478950000000001</v>
      </c>
      <c r="D923" s="6">
        <v>73</v>
      </c>
      <c r="E923" s="6">
        <v>0</v>
      </c>
      <c r="F923" s="6">
        <v>0</v>
      </c>
      <c r="G923" s="6">
        <v>5</v>
      </c>
      <c r="H923" s="6" t="s">
        <v>52474</v>
      </c>
      <c r="I923" s="6">
        <v>526.6875</v>
      </c>
      <c r="J923" s="2">
        <f t="shared" si="14"/>
        <v>43749.476856122681</v>
      </c>
    </row>
    <row r="924" spans="1:10" x14ac:dyDescent="0.25">
      <c r="A924" s="7" t="s">
        <v>52475</v>
      </c>
      <c r="B924" s="8">
        <v>393.75</v>
      </c>
      <c r="C924" s="8">
        <v>20.478950000000001</v>
      </c>
      <c r="D924" s="8">
        <v>73</v>
      </c>
      <c r="E924" s="8">
        <v>0</v>
      </c>
      <c r="F924" s="8">
        <v>0</v>
      </c>
      <c r="G924" s="8">
        <v>0</v>
      </c>
      <c r="H924" s="8" t="s">
        <v>52476</v>
      </c>
      <c r="I924" s="8">
        <v>526.5</v>
      </c>
      <c r="J924" s="3">
        <f t="shared" si="14"/>
        <v>43749.476939687498</v>
      </c>
    </row>
    <row r="925" spans="1:10" x14ac:dyDescent="0.25">
      <c r="A925" s="5" t="s">
        <v>52477</v>
      </c>
      <c r="B925" s="6">
        <v>393.75</v>
      </c>
      <c r="C925" s="6">
        <v>20.478950000000001</v>
      </c>
      <c r="D925" s="6">
        <v>72</v>
      </c>
      <c r="E925" s="6">
        <v>0</v>
      </c>
      <c r="F925" s="6">
        <v>0</v>
      </c>
      <c r="G925" s="6">
        <v>8</v>
      </c>
      <c r="H925" s="6" t="s">
        <v>52478</v>
      </c>
      <c r="I925" s="6">
        <v>526.6875</v>
      </c>
      <c r="J925" s="2">
        <f t="shared" si="14"/>
        <v>43749.477011215276</v>
      </c>
    </row>
    <row r="926" spans="1:10" x14ac:dyDescent="0.25">
      <c r="A926" s="7" t="s">
        <v>52479</v>
      </c>
      <c r="B926" s="8">
        <v>393.75</v>
      </c>
      <c r="C926" s="8">
        <v>20.531590000000001</v>
      </c>
      <c r="D926" s="8">
        <v>70</v>
      </c>
      <c r="E926" s="8">
        <v>0</v>
      </c>
      <c r="F926" s="8">
        <v>0</v>
      </c>
      <c r="G926" s="8">
        <v>6</v>
      </c>
      <c r="H926" s="8" t="s">
        <v>52480</v>
      </c>
      <c r="I926" s="8">
        <v>526.6875</v>
      </c>
      <c r="J926" s="3">
        <f t="shared" si="14"/>
        <v>43749.477094664348</v>
      </c>
    </row>
    <row r="927" spans="1:10" x14ac:dyDescent="0.25">
      <c r="A927" s="5" t="s">
        <v>52481</v>
      </c>
      <c r="B927" s="6">
        <v>393.75</v>
      </c>
      <c r="C927" s="6">
        <v>20.478950000000001</v>
      </c>
      <c r="D927" s="6">
        <v>68</v>
      </c>
      <c r="E927" s="6">
        <v>0</v>
      </c>
      <c r="F927" s="6">
        <v>0</v>
      </c>
      <c r="G927" s="6">
        <v>0</v>
      </c>
      <c r="H927" s="6" t="s">
        <v>52482</v>
      </c>
      <c r="I927" s="6">
        <v>526.6875</v>
      </c>
      <c r="J927" s="2">
        <f t="shared" si="14"/>
        <v>43749.477178252309</v>
      </c>
    </row>
    <row r="928" spans="1:10" x14ac:dyDescent="0.25">
      <c r="A928" s="7" t="s">
        <v>52483</v>
      </c>
      <c r="B928" s="8">
        <v>412.5</v>
      </c>
      <c r="C928" s="8">
        <v>20.478950000000001</v>
      </c>
      <c r="D928" s="8">
        <v>69</v>
      </c>
      <c r="E928" s="8">
        <v>0</v>
      </c>
      <c r="F928" s="8">
        <v>0</v>
      </c>
      <c r="G928" s="8">
        <v>6</v>
      </c>
      <c r="H928" s="8" t="s">
        <v>52484</v>
      </c>
      <c r="I928" s="8">
        <v>532.875</v>
      </c>
      <c r="J928" s="3">
        <f t="shared" si="14"/>
        <v>43749.477261701388</v>
      </c>
    </row>
    <row r="929" spans="1:10" x14ac:dyDescent="0.25">
      <c r="A929" s="5" t="s">
        <v>52485</v>
      </c>
      <c r="B929" s="6">
        <v>393.75</v>
      </c>
      <c r="C929" s="6">
        <v>20.478950000000001</v>
      </c>
      <c r="D929" s="6">
        <v>70</v>
      </c>
      <c r="E929" s="6">
        <v>0</v>
      </c>
      <c r="F929" s="6">
        <v>0</v>
      </c>
      <c r="G929" s="6">
        <v>5</v>
      </c>
      <c r="H929" s="6" t="s">
        <v>52486</v>
      </c>
      <c r="I929" s="6">
        <v>526.6875</v>
      </c>
      <c r="J929" s="2">
        <f t="shared" si="14"/>
        <v>43749.477345266198</v>
      </c>
    </row>
    <row r="930" spans="1:10" x14ac:dyDescent="0.25">
      <c r="A930" s="7" t="s">
        <v>52487</v>
      </c>
      <c r="B930" s="8">
        <v>393.75</v>
      </c>
      <c r="C930" s="8">
        <v>20.478950000000001</v>
      </c>
      <c r="D930" s="8">
        <v>71</v>
      </c>
      <c r="E930" s="8">
        <v>0</v>
      </c>
      <c r="F930" s="8">
        <v>0</v>
      </c>
      <c r="G930" s="8">
        <v>6</v>
      </c>
      <c r="H930" s="8" t="s">
        <v>52488</v>
      </c>
      <c r="I930" s="8">
        <v>526.6875</v>
      </c>
      <c r="J930" s="3">
        <f t="shared" si="14"/>
        <v>43749.477442743053</v>
      </c>
    </row>
    <row r="931" spans="1:10" x14ac:dyDescent="0.25">
      <c r="A931" s="5" t="s">
        <v>52489</v>
      </c>
      <c r="B931" s="6">
        <v>393.75</v>
      </c>
      <c r="C931" s="6">
        <v>20.478950000000001</v>
      </c>
      <c r="D931" s="6">
        <v>71</v>
      </c>
      <c r="E931" s="6">
        <v>0</v>
      </c>
      <c r="F931" s="6">
        <v>0</v>
      </c>
      <c r="G931" s="6">
        <v>6</v>
      </c>
      <c r="H931" s="6" t="s">
        <v>52490</v>
      </c>
      <c r="I931" s="6">
        <v>526.6875</v>
      </c>
      <c r="J931" s="2">
        <f t="shared" si="14"/>
        <v>43749.477524074071</v>
      </c>
    </row>
    <row r="932" spans="1:10" x14ac:dyDescent="0.25">
      <c r="A932" s="7" t="s">
        <v>52491</v>
      </c>
      <c r="B932" s="8">
        <v>393.75</v>
      </c>
      <c r="C932" s="8">
        <v>20.478950000000001</v>
      </c>
      <c r="D932" s="8">
        <v>70</v>
      </c>
      <c r="E932" s="8">
        <v>0</v>
      </c>
      <c r="F932" s="8">
        <v>0</v>
      </c>
      <c r="G932" s="8">
        <v>5</v>
      </c>
      <c r="H932" s="8" t="s">
        <v>52492</v>
      </c>
      <c r="I932" s="8">
        <v>526.6875</v>
      </c>
      <c r="J932" s="3">
        <f t="shared" si="14"/>
        <v>43749.477595601849</v>
      </c>
    </row>
    <row r="933" spans="1:10" x14ac:dyDescent="0.25">
      <c r="A933" s="5" t="s">
        <v>52493</v>
      </c>
      <c r="B933" s="6">
        <v>393.75</v>
      </c>
      <c r="C933" s="6">
        <v>20.478950000000001</v>
      </c>
      <c r="D933" s="6">
        <v>70</v>
      </c>
      <c r="E933" s="6">
        <v>0</v>
      </c>
      <c r="F933" s="6">
        <v>0</v>
      </c>
      <c r="G933" s="6">
        <v>8</v>
      </c>
      <c r="H933" s="6" t="s">
        <v>52494</v>
      </c>
      <c r="I933" s="6">
        <v>526.6875</v>
      </c>
      <c r="J933" s="2">
        <f t="shared" si="14"/>
        <v>43749.477678703704</v>
      </c>
    </row>
    <row r="934" spans="1:10" x14ac:dyDescent="0.25">
      <c r="A934" s="7" t="s">
        <v>52495</v>
      </c>
      <c r="B934" s="8">
        <v>393.75</v>
      </c>
      <c r="C934" s="8">
        <v>20.478950000000001</v>
      </c>
      <c r="D934" s="8">
        <v>71</v>
      </c>
      <c r="E934" s="8">
        <v>0</v>
      </c>
      <c r="F934" s="8">
        <v>0</v>
      </c>
      <c r="G934" s="8">
        <v>6</v>
      </c>
      <c r="H934" s="8" t="s">
        <v>52496</v>
      </c>
      <c r="I934" s="8">
        <v>526.6875</v>
      </c>
      <c r="J934" s="3">
        <f t="shared" si="14"/>
        <v>43749.477762615737</v>
      </c>
    </row>
    <row r="935" spans="1:10" x14ac:dyDescent="0.25">
      <c r="A935" s="5" t="s">
        <v>52497</v>
      </c>
      <c r="B935" s="6">
        <v>412.5</v>
      </c>
      <c r="C935" s="6">
        <v>20.478950000000001</v>
      </c>
      <c r="D935" s="6">
        <v>71</v>
      </c>
      <c r="E935" s="6">
        <v>0</v>
      </c>
      <c r="F935" s="6">
        <v>0</v>
      </c>
      <c r="G935" s="6">
        <v>5</v>
      </c>
      <c r="H935" s="6" t="s">
        <v>52498</v>
      </c>
      <c r="I935" s="6">
        <v>532.3125</v>
      </c>
      <c r="J935" s="2">
        <f t="shared" si="14"/>
        <v>43749.477846076385</v>
      </c>
    </row>
    <row r="936" spans="1:10" x14ac:dyDescent="0.25">
      <c r="A936" s="7" t="s">
        <v>52499</v>
      </c>
      <c r="B936" s="8">
        <v>393.75</v>
      </c>
      <c r="C936" s="8">
        <v>20.478950000000001</v>
      </c>
      <c r="D936" s="8">
        <v>75</v>
      </c>
      <c r="E936" s="8">
        <v>0</v>
      </c>
      <c r="F936" s="8">
        <v>0</v>
      </c>
      <c r="G936" s="8">
        <v>0</v>
      </c>
      <c r="H936" s="8" t="s">
        <v>52500</v>
      </c>
      <c r="I936" s="8">
        <v>526.6875</v>
      </c>
      <c r="J936" s="3">
        <f t="shared" si="14"/>
        <v>43749.477917604163</v>
      </c>
    </row>
    <row r="937" spans="1:10" x14ac:dyDescent="0.25">
      <c r="A937" s="5" t="s">
        <v>52501</v>
      </c>
      <c r="B937" s="6">
        <v>393.75</v>
      </c>
      <c r="C937" s="6">
        <v>20.478950000000001</v>
      </c>
      <c r="D937" s="6">
        <v>76</v>
      </c>
      <c r="E937" s="6">
        <v>0</v>
      </c>
      <c r="F937" s="6">
        <v>0</v>
      </c>
      <c r="G937" s="6">
        <v>1</v>
      </c>
      <c r="H937" s="6" t="s">
        <v>52502</v>
      </c>
      <c r="I937" s="6">
        <v>526.6875</v>
      </c>
      <c r="J937" s="2">
        <f t="shared" si="14"/>
        <v>43749.477989120373</v>
      </c>
    </row>
    <row r="938" spans="1:10" x14ac:dyDescent="0.25">
      <c r="A938" s="7" t="s">
        <v>52503</v>
      </c>
      <c r="B938" s="8">
        <v>393.75</v>
      </c>
      <c r="C938" s="8">
        <v>20.478950000000001</v>
      </c>
      <c r="D938" s="8">
        <v>75</v>
      </c>
      <c r="E938" s="8">
        <v>0</v>
      </c>
      <c r="F938" s="8">
        <v>0</v>
      </c>
      <c r="G938" s="8">
        <v>3</v>
      </c>
      <c r="H938" s="8" t="s">
        <v>52504</v>
      </c>
      <c r="I938" s="8">
        <v>526.6875</v>
      </c>
      <c r="J938" s="3">
        <f t="shared" si="14"/>
        <v>43749.47808483796</v>
      </c>
    </row>
    <row r="939" spans="1:10" x14ac:dyDescent="0.25">
      <c r="A939" s="5" t="s">
        <v>52505</v>
      </c>
      <c r="B939" s="6">
        <v>393.75</v>
      </c>
      <c r="C939" s="6">
        <v>20.478950000000001</v>
      </c>
      <c r="D939" s="6">
        <v>70</v>
      </c>
      <c r="E939" s="6">
        <v>0</v>
      </c>
      <c r="F939" s="6">
        <v>0</v>
      </c>
      <c r="G939" s="6">
        <v>1</v>
      </c>
      <c r="H939" s="6" t="s">
        <v>52506</v>
      </c>
      <c r="I939" s="6">
        <v>526.6875</v>
      </c>
      <c r="J939" s="2">
        <f t="shared" si="14"/>
        <v>43749.478168171292</v>
      </c>
    </row>
    <row r="940" spans="1:10" x14ac:dyDescent="0.25">
      <c r="A940" s="7" t="s">
        <v>52507</v>
      </c>
      <c r="B940" s="8">
        <v>412.5</v>
      </c>
      <c r="C940" s="8">
        <v>20.478950000000001</v>
      </c>
      <c r="D940" s="8">
        <v>65</v>
      </c>
      <c r="E940" s="8">
        <v>0</v>
      </c>
      <c r="F940" s="8">
        <v>0</v>
      </c>
      <c r="G940" s="8">
        <v>0</v>
      </c>
      <c r="H940" s="8" t="s">
        <v>52508</v>
      </c>
      <c r="I940" s="8">
        <v>532.875</v>
      </c>
      <c r="J940" s="3">
        <f t="shared" si="14"/>
        <v>43749.47823969907</v>
      </c>
    </row>
    <row r="941" spans="1:10" x14ac:dyDescent="0.25">
      <c r="A941" s="5" t="s">
        <v>52509</v>
      </c>
      <c r="B941" s="6">
        <v>393.75</v>
      </c>
      <c r="C941" s="6">
        <v>20.478950000000001</v>
      </c>
      <c r="D941" s="6">
        <v>67</v>
      </c>
      <c r="E941" s="6">
        <v>0</v>
      </c>
      <c r="F941" s="6">
        <v>0</v>
      </c>
      <c r="G941" s="6">
        <v>12</v>
      </c>
      <c r="H941" s="6" t="s">
        <v>52510</v>
      </c>
      <c r="I941" s="6">
        <v>526.6875</v>
      </c>
      <c r="J941" s="2">
        <f t="shared" si="14"/>
        <v>43749.478323136573</v>
      </c>
    </row>
    <row r="942" spans="1:10" x14ac:dyDescent="0.25">
      <c r="A942" s="7" t="s">
        <v>52511</v>
      </c>
      <c r="B942" s="8">
        <v>393.75</v>
      </c>
      <c r="C942" s="8">
        <v>20.478950000000001</v>
      </c>
      <c r="D942" s="8">
        <v>70</v>
      </c>
      <c r="E942" s="8">
        <v>0</v>
      </c>
      <c r="F942" s="8">
        <v>0</v>
      </c>
      <c r="G942" s="8">
        <v>8</v>
      </c>
      <c r="H942" s="8" t="s">
        <v>52512</v>
      </c>
      <c r="I942" s="8">
        <v>526.6875</v>
      </c>
      <c r="J942" s="3">
        <f t="shared" si="14"/>
        <v>43749.478406585644</v>
      </c>
    </row>
    <row r="943" spans="1:10" x14ac:dyDescent="0.25">
      <c r="A943" s="5" t="s">
        <v>52513</v>
      </c>
      <c r="B943" s="6">
        <v>393.75</v>
      </c>
      <c r="C943" s="6">
        <v>20.478950000000001</v>
      </c>
      <c r="D943" s="6">
        <v>70</v>
      </c>
      <c r="E943" s="6">
        <v>0</v>
      </c>
      <c r="F943" s="6">
        <v>0</v>
      </c>
      <c r="G943" s="6">
        <v>3</v>
      </c>
      <c r="H943" s="6" t="s">
        <v>52514</v>
      </c>
      <c r="I943" s="6">
        <v>526.6875</v>
      </c>
      <c r="J943" s="2">
        <f t="shared" si="14"/>
        <v>43749.478489814814</v>
      </c>
    </row>
    <row r="944" spans="1:10" x14ac:dyDescent="0.25">
      <c r="A944" s="7" t="s">
        <v>52515</v>
      </c>
      <c r="B944" s="8">
        <v>393.75</v>
      </c>
      <c r="C944" s="8">
        <v>20.478950000000001</v>
      </c>
      <c r="D944" s="8">
        <v>70</v>
      </c>
      <c r="E944" s="8">
        <v>0</v>
      </c>
      <c r="F944" s="8">
        <v>0</v>
      </c>
      <c r="G944" s="8">
        <v>3</v>
      </c>
      <c r="H944" s="8" t="s">
        <v>52516</v>
      </c>
      <c r="I944" s="8">
        <v>526.6875</v>
      </c>
      <c r="J944" s="3">
        <f t="shared" si="14"/>
        <v>43749.478561354168</v>
      </c>
    </row>
    <row r="945" spans="1:10" x14ac:dyDescent="0.25">
      <c r="A945" s="5" t="s">
        <v>52517</v>
      </c>
      <c r="B945" s="6">
        <v>393.75</v>
      </c>
      <c r="C945" s="6">
        <v>20.478950000000001</v>
      </c>
      <c r="D945" s="6">
        <v>69</v>
      </c>
      <c r="E945" s="6">
        <v>0</v>
      </c>
      <c r="F945" s="6">
        <v>0</v>
      </c>
      <c r="G945" s="6">
        <v>6</v>
      </c>
      <c r="H945" s="6" t="s">
        <v>52518</v>
      </c>
      <c r="I945" s="6">
        <v>526.6875</v>
      </c>
      <c r="J945" s="2">
        <f t="shared" si="14"/>
        <v>43749.478645358795</v>
      </c>
    </row>
    <row r="946" spans="1:10" x14ac:dyDescent="0.25">
      <c r="A946" s="7" t="s">
        <v>52519</v>
      </c>
      <c r="B946" s="8">
        <v>393.75</v>
      </c>
      <c r="C946" s="8">
        <v>20.478950000000001</v>
      </c>
      <c r="D946" s="8">
        <v>69</v>
      </c>
      <c r="E946" s="8">
        <v>0</v>
      </c>
      <c r="F946" s="8">
        <v>0</v>
      </c>
      <c r="G946" s="8">
        <v>15</v>
      </c>
      <c r="H946" s="8" t="s">
        <v>52520</v>
      </c>
      <c r="I946" s="8">
        <v>526.6875</v>
      </c>
      <c r="J946" s="3">
        <f t="shared" si="14"/>
        <v>43749.478745358792</v>
      </c>
    </row>
    <row r="947" spans="1:10" x14ac:dyDescent="0.25">
      <c r="A947" s="5" t="s">
        <v>52521</v>
      </c>
      <c r="B947" s="6">
        <v>393.75</v>
      </c>
      <c r="C947" s="6">
        <v>20.478950000000001</v>
      </c>
      <c r="D947" s="6">
        <v>69</v>
      </c>
      <c r="E947" s="6">
        <v>0</v>
      </c>
      <c r="F947" s="6">
        <v>0</v>
      </c>
      <c r="G947" s="6">
        <v>11</v>
      </c>
      <c r="H947" s="6" t="s">
        <v>52522</v>
      </c>
      <c r="I947" s="6">
        <v>526.6875</v>
      </c>
      <c r="J947" s="2">
        <f t="shared" si="14"/>
        <v>43749.478824050922</v>
      </c>
    </row>
    <row r="948" spans="1:10" x14ac:dyDescent="0.25">
      <c r="A948" s="7" t="s">
        <v>52523</v>
      </c>
      <c r="B948" s="8">
        <v>393.75</v>
      </c>
      <c r="C948" s="8">
        <v>20.531590000000001</v>
      </c>
      <c r="D948" s="8">
        <v>68</v>
      </c>
      <c r="E948" s="8">
        <v>0</v>
      </c>
      <c r="F948" s="8">
        <v>0</v>
      </c>
      <c r="G948" s="8">
        <v>2</v>
      </c>
      <c r="H948" s="8" t="s">
        <v>52524</v>
      </c>
      <c r="I948" s="8">
        <v>526.6875</v>
      </c>
      <c r="J948" s="3">
        <f t="shared" si="14"/>
        <v>43749.478919317124</v>
      </c>
    </row>
    <row r="949" spans="1:10" x14ac:dyDescent="0.25">
      <c r="A949" s="5" t="s">
        <v>52525</v>
      </c>
      <c r="B949" s="6">
        <v>393.75</v>
      </c>
      <c r="C949" s="6">
        <v>20.478950000000001</v>
      </c>
      <c r="D949" s="6">
        <v>67</v>
      </c>
      <c r="E949" s="6">
        <v>0</v>
      </c>
      <c r="F949" s="6">
        <v>0</v>
      </c>
      <c r="G949" s="6">
        <v>10</v>
      </c>
      <c r="H949" s="6" t="s">
        <v>52526</v>
      </c>
      <c r="I949" s="6">
        <v>526.6875</v>
      </c>
      <c r="J949" s="2">
        <f t="shared" si="14"/>
        <v>43749.478991087955</v>
      </c>
    </row>
    <row r="950" spans="1:10" x14ac:dyDescent="0.25">
      <c r="A950" s="7" t="s">
        <v>52527</v>
      </c>
      <c r="B950" s="8">
        <v>393.75</v>
      </c>
      <c r="C950" s="8">
        <v>20.478950000000001</v>
      </c>
      <c r="D950" s="8">
        <v>70</v>
      </c>
      <c r="E950" s="8">
        <v>0</v>
      </c>
      <c r="F950" s="8">
        <v>0</v>
      </c>
      <c r="G950" s="8">
        <v>14</v>
      </c>
      <c r="H950" s="8" t="s">
        <v>52528</v>
      </c>
      <c r="I950" s="8">
        <v>526.6875</v>
      </c>
      <c r="J950" s="3">
        <f t="shared" si="14"/>
        <v>43749.47907454861</v>
      </c>
    </row>
    <row r="951" spans="1:10" x14ac:dyDescent="0.25">
      <c r="A951" s="5" t="s">
        <v>52529</v>
      </c>
      <c r="B951" s="6">
        <v>393.75</v>
      </c>
      <c r="C951" s="6">
        <v>20.478950000000001</v>
      </c>
      <c r="D951" s="6">
        <v>71</v>
      </c>
      <c r="E951" s="6">
        <v>0</v>
      </c>
      <c r="F951" s="6">
        <v>0</v>
      </c>
      <c r="G951" s="6">
        <v>12</v>
      </c>
      <c r="H951" s="6" t="s">
        <v>52530</v>
      </c>
      <c r="I951" s="6">
        <v>526.6875</v>
      </c>
      <c r="J951" s="2">
        <f t="shared" si="14"/>
        <v>43749.479157986112</v>
      </c>
    </row>
    <row r="952" spans="1:10" x14ac:dyDescent="0.25">
      <c r="A952" s="7" t="s">
        <v>52531</v>
      </c>
      <c r="B952" s="8">
        <v>412.5</v>
      </c>
      <c r="C952" s="8">
        <v>20.478950000000001</v>
      </c>
      <c r="D952" s="8">
        <v>70</v>
      </c>
      <c r="E952" s="8">
        <v>0</v>
      </c>
      <c r="F952" s="8">
        <v>0</v>
      </c>
      <c r="G952" s="8">
        <v>15</v>
      </c>
      <c r="H952" s="8" t="s">
        <v>52532</v>
      </c>
      <c r="I952" s="8">
        <v>532.3125</v>
      </c>
      <c r="J952" s="3">
        <f t="shared" si="14"/>
        <v>43749.479241759262</v>
      </c>
    </row>
    <row r="953" spans="1:10" x14ac:dyDescent="0.25">
      <c r="A953" s="5" t="s">
        <v>52533</v>
      </c>
      <c r="B953" s="6">
        <v>393.75</v>
      </c>
      <c r="C953" s="6">
        <v>20.478950000000001</v>
      </c>
      <c r="D953" s="6">
        <v>70</v>
      </c>
      <c r="E953" s="6">
        <v>0</v>
      </c>
      <c r="F953" s="6">
        <v>0</v>
      </c>
      <c r="G953" s="6">
        <v>10</v>
      </c>
      <c r="H953" s="6" t="s">
        <v>52534</v>
      </c>
      <c r="I953" s="6">
        <v>526.6875</v>
      </c>
      <c r="J953" s="2">
        <f t="shared" si="14"/>
        <v>43749.479324988424</v>
      </c>
    </row>
    <row r="954" spans="1:10" x14ac:dyDescent="0.25">
      <c r="A954" s="7" t="s">
        <v>52535</v>
      </c>
      <c r="B954" s="8">
        <v>393.75</v>
      </c>
      <c r="C954" s="8">
        <v>20.478950000000001</v>
      </c>
      <c r="D954" s="8">
        <v>70</v>
      </c>
      <c r="E954" s="8">
        <v>0</v>
      </c>
      <c r="F954" s="8">
        <v>0</v>
      </c>
      <c r="G954" s="8">
        <v>8</v>
      </c>
      <c r="H954" s="8" t="s">
        <v>52536</v>
      </c>
      <c r="I954" s="8">
        <v>526.6875</v>
      </c>
      <c r="J954" s="3">
        <f t="shared" si="14"/>
        <v>43749.479408217587</v>
      </c>
    </row>
    <row r="955" spans="1:10" x14ac:dyDescent="0.25">
      <c r="A955" s="5" t="s">
        <v>52537</v>
      </c>
      <c r="B955" s="6">
        <v>393.75</v>
      </c>
      <c r="C955" s="6">
        <v>20.478950000000001</v>
      </c>
      <c r="D955" s="6">
        <v>69</v>
      </c>
      <c r="E955" s="6">
        <v>0</v>
      </c>
      <c r="F955" s="6">
        <v>0</v>
      </c>
      <c r="G955" s="6">
        <v>12</v>
      </c>
      <c r="H955" s="6" t="s">
        <v>52538</v>
      </c>
      <c r="I955" s="6">
        <v>526.6875</v>
      </c>
      <c r="J955" s="2">
        <f t="shared" si="14"/>
        <v>43749.479492002312</v>
      </c>
    </row>
    <row r="956" spans="1:10" x14ac:dyDescent="0.25">
      <c r="A956" s="7" t="s">
        <v>52539</v>
      </c>
      <c r="B956" s="8">
        <v>393.75</v>
      </c>
      <c r="C956" s="8">
        <v>20.478950000000001</v>
      </c>
      <c r="D956" s="8">
        <v>67</v>
      </c>
      <c r="E956" s="8">
        <v>0</v>
      </c>
      <c r="F956" s="8">
        <v>0</v>
      </c>
      <c r="G956" s="8">
        <v>18</v>
      </c>
      <c r="H956" s="8" t="s">
        <v>52540</v>
      </c>
      <c r="I956" s="8">
        <v>526.6875</v>
      </c>
      <c r="J956" s="3">
        <f t="shared" si="14"/>
        <v>43749.479575555553</v>
      </c>
    </row>
    <row r="957" spans="1:10" x14ac:dyDescent="0.25">
      <c r="A957" s="5" t="s">
        <v>52541</v>
      </c>
      <c r="B957" s="6">
        <v>393.75</v>
      </c>
      <c r="C957" s="6">
        <v>20.478950000000001</v>
      </c>
      <c r="D957" s="6">
        <v>68</v>
      </c>
      <c r="E957" s="6">
        <v>0</v>
      </c>
      <c r="F957" s="6">
        <v>0</v>
      </c>
      <c r="G957" s="6">
        <v>8</v>
      </c>
      <c r="H957" s="6" t="s">
        <v>52542</v>
      </c>
      <c r="I957" s="6">
        <v>526.6875</v>
      </c>
      <c r="J957" s="2">
        <f t="shared" si="14"/>
        <v>43749.479646979169</v>
      </c>
    </row>
    <row r="958" spans="1:10" x14ac:dyDescent="0.25">
      <c r="A958" s="7" t="s">
        <v>52543</v>
      </c>
      <c r="B958" s="8">
        <v>393.75</v>
      </c>
      <c r="C958" s="8">
        <v>20.478950000000001</v>
      </c>
      <c r="D958" s="8">
        <v>68</v>
      </c>
      <c r="E958" s="8">
        <v>0</v>
      </c>
      <c r="F958" s="8">
        <v>0</v>
      </c>
      <c r="G958" s="8">
        <v>2</v>
      </c>
      <c r="H958" s="8" t="s">
        <v>52544</v>
      </c>
      <c r="I958" s="8">
        <v>526.6875</v>
      </c>
      <c r="J958" s="3">
        <f t="shared" si="14"/>
        <v>43749.479730555555</v>
      </c>
    </row>
    <row r="959" spans="1:10" x14ac:dyDescent="0.25">
      <c r="A959" s="5" t="s">
        <v>52545</v>
      </c>
      <c r="B959" s="6">
        <v>393.75</v>
      </c>
      <c r="C959" s="6">
        <v>20.478950000000001</v>
      </c>
      <c r="D959" s="6">
        <v>68</v>
      </c>
      <c r="E959" s="6">
        <v>0</v>
      </c>
      <c r="F959" s="6">
        <v>0</v>
      </c>
      <c r="G959" s="6">
        <v>15</v>
      </c>
      <c r="H959" s="6" t="s">
        <v>52546</v>
      </c>
      <c r="I959" s="6">
        <v>526.6875</v>
      </c>
      <c r="J959" s="2">
        <f t="shared" si="14"/>
        <v>43749.479814120372</v>
      </c>
    </row>
    <row r="960" spans="1:10" x14ac:dyDescent="0.25">
      <c r="A960" s="7" t="s">
        <v>52547</v>
      </c>
      <c r="B960" s="8">
        <v>393.75</v>
      </c>
      <c r="C960" s="8">
        <v>20.531590000000001</v>
      </c>
      <c r="D960" s="8">
        <v>68</v>
      </c>
      <c r="E960" s="8">
        <v>0</v>
      </c>
      <c r="F960" s="8">
        <v>0</v>
      </c>
      <c r="G960" s="8">
        <v>2</v>
      </c>
      <c r="H960" s="8" t="s">
        <v>52548</v>
      </c>
      <c r="I960" s="8">
        <v>526.6875</v>
      </c>
      <c r="J960" s="3">
        <f t="shared" si="14"/>
        <v>43749.47989722222</v>
      </c>
    </row>
    <row r="961" spans="1:10" x14ac:dyDescent="0.25">
      <c r="A961" s="5" t="s">
        <v>52549</v>
      </c>
      <c r="B961" s="6">
        <v>393.75</v>
      </c>
      <c r="C961" s="6">
        <v>20.531590000000001</v>
      </c>
      <c r="D961" s="6">
        <v>68</v>
      </c>
      <c r="E961" s="6">
        <v>0</v>
      </c>
      <c r="F961" s="6">
        <v>0</v>
      </c>
      <c r="G961" s="6">
        <v>4</v>
      </c>
      <c r="H961" s="6" t="s">
        <v>52550</v>
      </c>
      <c r="I961" s="6">
        <v>526.6875</v>
      </c>
      <c r="J961" s="2">
        <f t="shared" si="14"/>
        <v>43749.479981018514</v>
      </c>
    </row>
    <row r="962" spans="1:10" x14ac:dyDescent="0.25">
      <c r="A962" s="7" t="s">
        <v>52551</v>
      </c>
      <c r="B962" s="8">
        <v>393.75</v>
      </c>
      <c r="C962" s="8">
        <v>20.478950000000001</v>
      </c>
      <c r="D962" s="8">
        <v>66</v>
      </c>
      <c r="E962" s="8">
        <v>0</v>
      </c>
      <c r="F962" s="8">
        <v>0</v>
      </c>
      <c r="G962" s="8">
        <v>15</v>
      </c>
      <c r="H962" s="8" t="s">
        <v>52552</v>
      </c>
      <c r="I962" s="8">
        <v>526.6875</v>
      </c>
      <c r="J962" s="3">
        <f t="shared" ref="J962:J1025" si="15">(H962/86400000)+25569+(7/24)</f>
        <v>43749.480064513882</v>
      </c>
    </row>
    <row r="963" spans="1:10" x14ac:dyDescent="0.25">
      <c r="A963" s="5" t="s">
        <v>52553</v>
      </c>
      <c r="B963" s="6">
        <v>393.75</v>
      </c>
      <c r="C963" s="6">
        <v>20.478950000000001</v>
      </c>
      <c r="D963" s="6">
        <v>66</v>
      </c>
      <c r="E963" s="6">
        <v>0</v>
      </c>
      <c r="F963" s="6">
        <v>0</v>
      </c>
      <c r="G963" s="6">
        <v>5</v>
      </c>
      <c r="H963" s="6" t="s">
        <v>52554</v>
      </c>
      <c r="I963" s="6">
        <v>526.6875</v>
      </c>
      <c r="J963" s="2">
        <f t="shared" si="15"/>
        <v>43749.480135995364</v>
      </c>
    </row>
    <row r="964" spans="1:10" x14ac:dyDescent="0.25">
      <c r="A964" s="7" t="s">
        <v>52555</v>
      </c>
      <c r="B964" s="8">
        <v>393.75</v>
      </c>
      <c r="C964" s="8">
        <v>20.478950000000001</v>
      </c>
      <c r="D964" s="8">
        <v>66</v>
      </c>
      <c r="E964" s="8">
        <v>0</v>
      </c>
      <c r="F964" s="8">
        <v>0</v>
      </c>
      <c r="G964" s="8">
        <v>3</v>
      </c>
      <c r="H964" s="8" t="s">
        <v>52556</v>
      </c>
      <c r="I964" s="8">
        <v>526.6875</v>
      </c>
      <c r="J964" s="3">
        <f t="shared" si="15"/>
        <v>43749.480219317127</v>
      </c>
    </row>
    <row r="965" spans="1:10" x14ac:dyDescent="0.25">
      <c r="A965" s="5" t="s">
        <v>52557</v>
      </c>
      <c r="B965" s="6">
        <v>393.75</v>
      </c>
      <c r="C965" s="6">
        <v>20.426300000000001</v>
      </c>
      <c r="D965" s="6">
        <v>66</v>
      </c>
      <c r="E965" s="6">
        <v>0</v>
      </c>
      <c r="F965" s="6">
        <v>0</v>
      </c>
      <c r="G965" s="6">
        <v>8</v>
      </c>
      <c r="H965" s="6" t="s">
        <v>52558</v>
      </c>
      <c r="I965" s="6">
        <v>526.6875</v>
      </c>
      <c r="J965" s="2">
        <f t="shared" si="15"/>
        <v>43749.480290729167</v>
      </c>
    </row>
    <row r="966" spans="1:10" x14ac:dyDescent="0.25">
      <c r="A966" s="7" t="s">
        <v>52559</v>
      </c>
      <c r="B966" s="8">
        <v>393.75</v>
      </c>
      <c r="C966" s="8">
        <v>20.531590000000001</v>
      </c>
      <c r="D966" s="8">
        <v>69</v>
      </c>
      <c r="E966" s="8">
        <v>0</v>
      </c>
      <c r="F966" s="8">
        <v>0</v>
      </c>
      <c r="G966" s="8">
        <v>1</v>
      </c>
      <c r="H966" s="8" t="s">
        <v>52560</v>
      </c>
      <c r="I966" s="8">
        <v>526.6875</v>
      </c>
      <c r="J966" s="3">
        <f t="shared" si="15"/>
        <v>43749.480362835646</v>
      </c>
    </row>
    <row r="967" spans="1:10" x14ac:dyDescent="0.25">
      <c r="A967" s="5" t="s">
        <v>52561</v>
      </c>
      <c r="B967" s="6">
        <v>393.75</v>
      </c>
      <c r="C967" s="6">
        <v>20.478950000000001</v>
      </c>
      <c r="D967" s="6">
        <v>69</v>
      </c>
      <c r="E967" s="6">
        <v>0</v>
      </c>
      <c r="F967" s="6">
        <v>0</v>
      </c>
      <c r="G967" s="6">
        <v>6</v>
      </c>
      <c r="H967" s="6" t="s">
        <v>52562</v>
      </c>
      <c r="I967" s="6">
        <v>526.6875</v>
      </c>
      <c r="J967" s="2">
        <f t="shared" si="15"/>
        <v>43749.480446319438</v>
      </c>
    </row>
    <row r="968" spans="1:10" x14ac:dyDescent="0.25">
      <c r="A968" s="7" t="s">
        <v>52563</v>
      </c>
      <c r="B968" s="8">
        <v>393.75</v>
      </c>
      <c r="C968" s="8">
        <v>20.478950000000001</v>
      </c>
      <c r="D968" s="8">
        <v>70</v>
      </c>
      <c r="E968" s="8">
        <v>0</v>
      </c>
      <c r="F968" s="8">
        <v>0</v>
      </c>
      <c r="G968" s="8">
        <v>6</v>
      </c>
      <c r="H968" s="8" t="s">
        <v>52564</v>
      </c>
      <c r="I968" s="8">
        <v>526.6875</v>
      </c>
      <c r="J968" s="3">
        <f t="shared" si="15"/>
        <v>43749.480517465279</v>
      </c>
    </row>
    <row r="969" spans="1:10" x14ac:dyDescent="0.25">
      <c r="A969" s="5" t="s">
        <v>52565</v>
      </c>
      <c r="B969" s="6">
        <v>393.75</v>
      </c>
      <c r="C969" s="6">
        <v>20.478950000000001</v>
      </c>
      <c r="D969" s="6">
        <v>69</v>
      </c>
      <c r="E969" s="6">
        <v>0</v>
      </c>
      <c r="F969" s="6">
        <v>0</v>
      </c>
      <c r="G969" s="6">
        <v>9</v>
      </c>
      <c r="H969" s="6" t="s">
        <v>52566</v>
      </c>
      <c r="I969" s="6">
        <v>526.6875</v>
      </c>
      <c r="J969" s="2">
        <f t="shared" si="15"/>
        <v>43749.480600949071</v>
      </c>
    </row>
    <row r="970" spans="1:10" x14ac:dyDescent="0.25">
      <c r="A970" s="7" t="s">
        <v>52567</v>
      </c>
      <c r="B970" s="8">
        <v>393.75</v>
      </c>
      <c r="C970" s="8">
        <v>20.478950000000001</v>
      </c>
      <c r="D970" s="8">
        <v>69</v>
      </c>
      <c r="E970" s="8">
        <v>0</v>
      </c>
      <c r="F970" s="8">
        <v>0</v>
      </c>
      <c r="G970" s="8">
        <v>9</v>
      </c>
      <c r="H970" s="8" t="s">
        <v>52568</v>
      </c>
      <c r="I970" s="8">
        <v>526.6875</v>
      </c>
      <c r="J970" s="3">
        <f t="shared" si="15"/>
        <v>43749.480672685182</v>
      </c>
    </row>
    <row r="971" spans="1:10" x14ac:dyDescent="0.25">
      <c r="A971" s="5" t="s">
        <v>52569</v>
      </c>
      <c r="B971" s="6">
        <v>393.75</v>
      </c>
      <c r="C971" s="6">
        <v>20.478950000000001</v>
      </c>
      <c r="D971" s="6">
        <v>69</v>
      </c>
      <c r="E971" s="6">
        <v>0</v>
      </c>
      <c r="F971" s="6">
        <v>0</v>
      </c>
      <c r="G971" s="6">
        <v>10</v>
      </c>
      <c r="H971" s="6" t="s">
        <v>52570</v>
      </c>
      <c r="I971" s="6">
        <v>526.6875</v>
      </c>
      <c r="J971" s="2">
        <f t="shared" si="15"/>
        <v>43749.480756354162</v>
      </c>
    </row>
    <row r="972" spans="1:10" x14ac:dyDescent="0.25">
      <c r="A972" s="7" t="s">
        <v>52571</v>
      </c>
      <c r="B972" s="8">
        <v>393.75</v>
      </c>
      <c r="C972" s="8">
        <v>20.478950000000001</v>
      </c>
      <c r="D972" s="8">
        <v>68</v>
      </c>
      <c r="E972" s="8">
        <v>0</v>
      </c>
      <c r="F972" s="8">
        <v>0</v>
      </c>
      <c r="G972" s="8">
        <v>8</v>
      </c>
      <c r="H972" s="8" t="s">
        <v>52572</v>
      </c>
      <c r="I972" s="8">
        <v>526.6875</v>
      </c>
      <c r="J972" s="3">
        <f t="shared" si="15"/>
        <v>43749.480851759254</v>
      </c>
    </row>
    <row r="973" spans="1:10" x14ac:dyDescent="0.25">
      <c r="A973" s="5" t="s">
        <v>52573</v>
      </c>
      <c r="B973" s="6">
        <v>393.75</v>
      </c>
      <c r="C973" s="6">
        <v>20.478950000000001</v>
      </c>
      <c r="D973" s="6">
        <v>68</v>
      </c>
      <c r="E973" s="6">
        <v>0</v>
      </c>
      <c r="F973" s="6">
        <v>0</v>
      </c>
      <c r="G973" s="6">
        <v>0</v>
      </c>
      <c r="H973" s="6" t="s">
        <v>52574</v>
      </c>
      <c r="I973" s="6">
        <v>526.6875</v>
      </c>
      <c r="J973" s="2">
        <f t="shared" si="15"/>
        <v>43749.480935243053</v>
      </c>
    </row>
    <row r="974" spans="1:10" x14ac:dyDescent="0.25">
      <c r="A974" s="7" t="s">
        <v>52575</v>
      </c>
      <c r="B974" s="8">
        <v>393.75</v>
      </c>
      <c r="C974" s="8">
        <v>20.478950000000001</v>
      </c>
      <c r="D974" s="8">
        <v>75</v>
      </c>
      <c r="E974" s="8">
        <v>0</v>
      </c>
      <c r="F974" s="8">
        <v>0</v>
      </c>
      <c r="G974" s="8">
        <v>0</v>
      </c>
      <c r="H974" s="8" t="s">
        <v>52576</v>
      </c>
      <c r="I974" s="8">
        <v>526.6875</v>
      </c>
      <c r="J974" s="3">
        <f t="shared" si="15"/>
        <v>43749.481006851849</v>
      </c>
    </row>
    <row r="975" spans="1:10" x14ac:dyDescent="0.25">
      <c r="A975" s="5" t="s">
        <v>52577</v>
      </c>
      <c r="B975" s="6">
        <v>393.75</v>
      </c>
      <c r="C975" s="6">
        <v>20.478950000000001</v>
      </c>
      <c r="D975" s="6">
        <v>75</v>
      </c>
      <c r="E975" s="6">
        <v>0</v>
      </c>
      <c r="F975" s="6">
        <v>0</v>
      </c>
      <c r="G975" s="6">
        <v>3</v>
      </c>
      <c r="H975" s="6" t="s">
        <v>52578</v>
      </c>
      <c r="I975" s="6">
        <v>526.6875</v>
      </c>
      <c r="J975" s="2">
        <f t="shared" si="15"/>
        <v>43749.481089965273</v>
      </c>
    </row>
    <row r="976" spans="1:10" x14ac:dyDescent="0.25">
      <c r="A976" s="7" t="s">
        <v>52579</v>
      </c>
      <c r="B976" s="8">
        <v>393.75</v>
      </c>
      <c r="C976" s="8">
        <v>20.478950000000001</v>
      </c>
      <c r="D976" s="8">
        <v>74</v>
      </c>
      <c r="E976" s="8">
        <v>0</v>
      </c>
      <c r="F976" s="8">
        <v>0</v>
      </c>
      <c r="G976" s="8">
        <v>10</v>
      </c>
      <c r="H976" s="8" t="s">
        <v>52580</v>
      </c>
      <c r="I976" s="8">
        <v>526.6875</v>
      </c>
      <c r="J976" s="3">
        <f t="shared" si="15"/>
        <v>43749.481161747688</v>
      </c>
    </row>
    <row r="977" spans="1:10" x14ac:dyDescent="0.25">
      <c r="A977" s="5" t="s">
        <v>52581</v>
      </c>
      <c r="B977" s="6">
        <v>393.75</v>
      </c>
      <c r="C977" s="6">
        <v>20.531590000000001</v>
      </c>
      <c r="D977" s="6">
        <v>74</v>
      </c>
      <c r="E977" s="6">
        <v>0</v>
      </c>
      <c r="F977" s="6">
        <v>0</v>
      </c>
      <c r="G977" s="6">
        <v>12</v>
      </c>
      <c r="H977" s="6" t="s">
        <v>52582</v>
      </c>
      <c r="I977" s="6">
        <v>526.6875</v>
      </c>
      <c r="J977" s="2">
        <f t="shared" si="15"/>
        <v>43749.481245300922</v>
      </c>
    </row>
    <row r="978" spans="1:10" x14ac:dyDescent="0.25">
      <c r="A978" s="7" t="s">
        <v>52583</v>
      </c>
      <c r="B978" s="8">
        <v>393.75</v>
      </c>
      <c r="C978" s="8">
        <v>20.478950000000001</v>
      </c>
      <c r="D978" s="8">
        <v>73</v>
      </c>
      <c r="E978" s="8">
        <v>0</v>
      </c>
      <c r="F978" s="8">
        <v>0</v>
      </c>
      <c r="G978" s="8">
        <v>6</v>
      </c>
      <c r="H978" s="8" t="s">
        <v>52584</v>
      </c>
      <c r="I978" s="8">
        <v>526.6875</v>
      </c>
      <c r="J978" s="3">
        <f t="shared" si="15"/>
        <v>43749.481329328701</v>
      </c>
    </row>
    <row r="979" spans="1:10" x14ac:dyDescent="0.25">
      <c r="A979" s="5" t="s">
        <v>52585</v>
      </c>
      <c r="B979" s="6">
        <v>393.75</v>
      </c>
      <c r="C979" s="6">
        <v>20.478950000000001</v>
      </c>
      <c r="D979" s="6">
        <v>72</v>
      </c>
      <c r="E979" s="6">
        <v>0</v>
      </c>
      <c r="F979" s="6">
        <v>0</v>
      </c>
      <c r="G979" s="6">
        <v>0</v>
      </c>
      <c r="H979" s="6" t="s">
        <v>52586</v>
      </c>
      <c r="I979" s="6">
        <v>526.6875</v>
      </c>
      <c r="J979" s="2">
        <f t="shared" si="15"/>
        <v>43749.481412083333</v>
      </c>
    </row>
    <row r="980" spans="1:10" x14ac:dyDescent="0.25">
      <c r="A980" s="7" t="s">
        <v>52587</v>
      </c>
      <c r="B980" s="8">
        <v>393.75</v>
      </c>
      <c r="C980" s="8">
        <v>20.478950000000001</v>
      </c>
      <c r="D980" s="8">
        <v>72</v>
      </c>
      <c r="E980" s="8">
        <v>0</v>
      </c>
      <c r="F980" s="8">
        <v>0</v>
      </c>
      <c r="G980" s="8">
        <v>10</v>
      </c>
      <c r="H980" s="8" t="s">
        <v>52588</v>
      </c>
      <c r="I980" s="8">
        <v>526.6875</v>
      </c>
      <c r="J980" s="3">
        <f t="shared" si="15"/>
        <v>43749.481483831019</v>
      </c>
    </row>
    <row r="981" spans="1:10" x14ac:dyDescent="0.25">
      <c r="A981" s="5" t="s">
        <v>52589</v>
      </c>
      <c r="B981" s="6">
        <v>412.5</v>
      </c>
      <c r="C981" s="6">
        <v>20.478950000000001</v>
      </c>
      <c r="D981" s="6">
        <v>67</v>
      </c>
      <c r="E981" s="6">
        <v>0</v>
      </c>
      <c r="F981" s="6">
        <v>0</v>
      </c>
      <c r="G981" s="6">
        <v>7</v>
      </c>
      <c r="H981" s="6" t="s">
        <v>52590</v>
      </c>
      <c r="I981" s="6">
        <v>532.3125</v>
      </c>
      <c r="J981" s="2">
        <f t="shared" si="15"/>
        <v>43749.481567499999</v>
      </c>
    </row>
    <row r="982" spans="1:10" x14ac:dyDescent="0.25">
      <c r="A982" s="7" t="s">
        <v>52591</v>
      </c>
      <c r="B982" s="8">
        <v>393.75</v>
      </c>
      <c r="C982" s="8">
        <v>20.478950000000001</v>
      </c>
      <c r="D982" s="8">
        <v>66</v>
      </c>
      <c r="E982" s="8">
        <v>0</v>
      </c>
      <c r="F982" s="8">
        <v>0</v>
      </c>
      <c r="G982" s="8">
        <v>12</v>
      </c>
      <c r="H982" s="8" t="s">
        <v>52592</v>
      </c>
      <c r="I982" s="8">
        <v>526.6875</v>
      </c>
      <c r="J982" s="3">
        <f t="shared" si="15"/>
        <v>43749.481650937501</v>
      </c>
    </row>
    <row r="983" spans="1:10" x14ac:dyDescent="0.25">
      <c r="A983" s="5" t="s">
        <v>52593</v>
      </c>
      <c r="B983" s="6">
        <v>393.75</v>
      </c>
      <c r="C983" s="6">
        <v>20.478950000000001</v>
      </c>
      <c r="D983" s="6">
        <v>65</v>
      </c>
      <c r="E983" s="6">
        <v>0</v>
      </c>
      <c r="F983" s="6">
        <v>0</v>
      </c>
      <c r="G983" s="6">
        <v>1</v>
      </c>
      <c r="H983" s="6" t="s">
        <v>52594</v>
      </c>
      <c r="I983" s="6">
        <v>526.6875</v>
      </c>
      <c r="J983" s="2">
        <f t="shared" si="15"/>
        <v>43749.481734189809</v>
      </c>
    </row>
    <row r="984" spans="1:10" x14ac:dyDescent="0.25">
      <c r="A984" s="7" t="s">
        <v>52595</v>
      </c>
      <c r="B984" s="8">
        <v>393.75</v>
      </c>
      <c r="C984" s="8">
        <v>20.478950000000001</v>
      </c>
      <c r="D984" s="8">
        <v>66</v>
      </c>
      <c r="E984" s="8">
        <v>0</v>
      </c>
      <c r="F984" s="8">
        <v>0</v>
      </c>
      <c r="G984" s="8">
        <v>6</v>
      </c>
      <c r="H984" s="8" t="s">
        <v>52596</v>
      </c>
      <c r="I984" s="8">
        <v>526.6875</v>
      </c>
      <c r="J984" s="3">
        <f t="shared" si="15"/>
        <v>43749.48181784722</v>
      </c>
    </row>
    <row r="985" spans="1:10" x14ac:dyDescent="0.25">
      <c r="A985" s="5" t="s">
        <v>52597</v>
      </c>
      <c r="B985" s="6">
        <v>393.75</v>
      </c>
      <c r="C985" s="6">
        <v>20.478950000000001</v>
      </c>
      <c r="D985" s="6">
        <v>66</v>
      </c>
      <c r="E985" s="6">
        <v>0</v>
      </c>
      <c r="F985" s="6">
        <v>0</v>
      </c>
      <c r="G985" s="6">
        <v>0</v>
      </c>
      <c r="H985" s="6" t="s">
        <v>52598</v>
      </c>
      <c r="I985" s="6">
        <v>526.5</v>
      </c>
      <c r="J985" s="2">
        <f t="shared" si="15"/>
        <v>43749.48190097222</v>
      </c>
    </row>
    <row r="986" spans="1:10" x14ac:dyDescent="0.25">
      <c r="A986" s="7" t="s">
        <v>52599</v>
      </c>
      <c r="B986" s="8">
        <v>393.75</v>
      </c>
      <c r="C986" s="8">
        <v>20.478950000000001</v>
      </c>
      <c r="D986" s="8">
        <v>66</v>
      </c>
      <c r="E986" s="8">
        <v>0</v>
      </c>
      <c r="F986" s="8">
        <v>0</v>
      </c>
      <c r="G986" s="8">
        <v>10</v>
      </c>
      <c r="H986" s="8" t="s">
        <v>52600</v>
      </c>
      <c r="I986" s="8">
        <v>526.6875</v>
      </c>
      <c r="J986" s="3">
        <f t="shared" si="15"/>
        <v>43749.481972280089</v>
      </c>
    </row>
    <row r="987" spans="1:10" x14ac:dyDescent="0.25">
      <c r="A987" s="5" t="s">
        <v>52601</v>
      </c>
      <c r="B987" s="6">
        <v>393.75</v>
      </c>
      <c r="C987" s="6">
        <v>20.478950000000001</v>
      </c>
      <c r="D987" s="6">
        <v>67</v>
      </c>
      <c r="E987" s="6">
        <v>0</v>
      </c>
      <c r="F987" s="6">
        <v>0</v>
      </c>
      <c r="G987" s="6">
        <v>8</v>
      </c>
      <c r="H987" s="6" t="s">
        <v>52602</v>
      </c>
      <c r="I987" s="6">
        <v>526.6875</v>
      </c>
      <c r="J987" s="2">
        <f t="shared" si="15"/>
        <v>43749.482056597219</v>
      </c>
    </row>
    <row r="988" spans="1:10" x14ac:dyDescent="0.25">
      <c r="A988" s="7" t="s">
        <v>52603</v>
      </c>
      <c r="B988" s="8">
        <v>393.75</v>
      </c>
      <c r="C988" s="8">
        <v>20.478950000000001</v>
      </c>
      <c r="D988" s="8">
        <v>64</v>
      </c>
      <c r="E988" s="8">
        <v>0</v>
      </c>
      <c r="F988" s="8">
        <v>0</v>
      </c>
      <c r="G988" s="8">
        <v>9</v>
      </c>
      <c r="H988" s="8" t="s">
        <v>52604</v>
      </c>
      <c r="I988" s="8">
        <v>526.6875</v>
      </c>
      <c r="J988" s="3">
        <f t="shared" si="15"/>
        <v>43749.482139861109</v>
      </c>
    </row>
    <row r="989" spans="1:10" x14ac:dyDescent="0.25">
      <c r="A989" s="5" t="s">
        <v>52605</v>
      </c>
      <c r="B989" s="6">
        <v>393.75</v>
      </c>
      <c r="C989" s="6">
        <v>20.478950000000001</v>
      </c>
      <c r="D989" s="6">
        <v>62</v>
      </c>
      <c r="E989" s="6">
        <v>0</v>
      </c>
      <c r="F989" s="6">
        <v>0</v>
      </c>
      <c r="G989" s="6">
        <v>17</v>
      </c>
      <c r="H989" s="6" t="s">
        <v>52606</v>
      </c>
      <c r="I989" s="6">
        <v>526.5</v>
      </c>
      <c r="J989" s="2">
        <f t="shared" si="15"/>
        <v>43749.482223067127</v>
      </c>
    </row>
    <row r="990" spans="1:10" x14ac:dyDescent="0.25">
      <c r="A990" s="7" t="s">
        <v>52607</v>
      </c>
      <c r="B990" s="8">
        <v>393.75</v>
      </c>
      <c r="C990" s="8">
        <v>20.478950000000001</v>
      </c>
      <c r="D990" s="8">
        <v>62</v>
      </c>
      <c r="E990" s="8">
        <v>0</v>
      </c>
      <c r="F990" s="8">
        <v>0</v>
      </c>
      <c r="G990" s="8">
        <v>8</v>
      </c>
      <c r="H990" s="8" t="s">
        <v>52608</v>
      </c>
      <c r="I990" s="8">
        <v>526.6875</v>
      </c>
      <c r="J990" s="3">
        <f t="shared" si="15"/>
        <v>43749.482294826383</v>
      </c>
    </row>
    <row r="991" spans="1:10" x14ac:dyDescent="0.25">
      <c r="A991" s="5" t="s">
        <v>52609</v>
      </c>
      <c r="B991" s="6">
        <v>393.75</v>
      </c>
      <c r="C991" s="6">
        <v>20.478950000000001</v>
      </c>
      <c r="D991" s="6">
        <v>62</v>
      </c>
      <c r="E991" s="6">
        <v>0</v>
      </c>
      <c r="F991" s="6">
        <v>0</v>
      </c>
      <c r="G991" s="6">
        <v>2</v>
      </c>
      <c r="H991" s="6" t="s">
        <v>52610</v>
      </c>
      <c r="I991" s="6">
        <v>526.6875</v>
      </c>
      <c r="J991" s="2">
        <f t="shared" si="15"/>
        <v>43749.482366481483</v>
      </c>
    </row>
    <row r="992" spans="1:10" x14ac:dyDescent="0.25">
      <c r="A992" s="7" t="s">
        <v>52611</v>
      </c>
      <c r="B992" s="8">
        <v>393.75</v>
      </c>
      <c r="C992" s="8">
        <v>20.478950000000001</v>
      </c>
      <c r="D992" s="8">
        <v>63</v>
      </c>
      <c r="E992" s="8">
        <v>0</v>
      </c>
      <c r="F992" s="8">
        <v>0</v>
      </c>
      <c r="G992" s="8">
        <v>5</v>
      </c>
      <c r="H992" s="8" t="s">
        <v>52612</v>
      </c>
      <c r="I992" s="8">
        <v>526.5</v>
      </c>
      <c r="J992" s="3">
        <f t="shared" si="15"/>
        <v>43749.482449953699</v>
      </c>
    </row>
    <row r="993" spans="1:10" x14ac:dyDescent="0.25">
      <c r="A993" s="5" t="s">
        <v>52613</v>
      </c>
      <c r="B993" s="6">
        <v>393.75</v>
      </c>
      <c r="C993" s="6">
        <v>20.478950000000001</v>
      </c>
      <c r="D993" s="6">
        <v>67</v>
      </c>
      <c r="E993" s="6">
        <v>0</v>
      </c>
      <c r="F993" s="6">
        <v>0</v>
      </c>
      <c r="G993" s="6">
        <v>2</v>
      </c>
      <c r="H993" s="6" t="s">
        <v>52614</v>
      </c>
      <c r="I993" s="6">
        <v>526.6875</v>
      </c>
      <c r="J993" s="2">
        <f t="shared" si="15"/>
        <v>43749.482521446756</v>
      </c>
    </row>
    <row r="994" spans="1:10" x14ac:dyDescent="0.25">
      <c r="A994" s="7" t="s">
        <v>52615</v>
      </c>
      <c r="B994" s="8">
        <v>393.75</v>
      </c>
      <c r="C994" s="8">
        <v>20.531590000000001</v>
      </c>
      <c r="D994" s="8">
        <v>67</v>
      </c>
      <c r="E994" s="8">
        <v>0</v>
      </c>
      <c r="F994" s="8">
        <v>0</v>
      </c>
      <c r="G994" s="8">
        <v>0</v>
      </c>
      <c r="H994" s="8" t="s">
        <v>52616</v>
      </c>
      <c r="I994" s="8">
        <v>526.6875</v>
      </c>
      <c r="J994" s="3">
        <f t="shared" si="15"/>
        <v>43749.482604675919</v>
      </c>
    </row>
    <row r="995" spans="1:10" x14ac:dyDescent="0.25">
      <c r="A995" s="5" t="s">
        <v>52617</v>
      </c>
      <c r="B995" s="6">
        <v>393.75</v>
      </c>
      <c r="C995" s="6">
        <v>20.478950000000001</v>
      </c>
      <c r="D995" s="6">
        <v>67</v>
      </c>
      <c r="E995" s="6">
        <v>0</v>
      </c>
      <c r="F995" s="6">
        <v>0</v>
      </c>
      <c r="G995" s="6">
        <v>6</v>
      </c>
      <c r="H995" s="6" t="s">
        <v>52618</v>
      </c>
      <c r="I995" s="6">
        <v>526.6875</v>
      </c>
      <c r="J995" s="2">
        <f t="shared" si="15"/>
        <v>43749.482676331019</v>
      </c>
    </row>
    <row r="996" spans="1:10" x14ac:dyDescent="0.25">
      <c r="A996" s="7" t="s">
        <v>52619</v>
      </c>
      <c r="B996" s="8">
        <v>393.75</v>
      </c>
      <c r="C996" s="8">
        <v>20.478950000000001</v>
      </c>
      <c r="D996" s="8">
        <v>67</v>
      </c>
      <c r="E996" s="8">
        <v>0</v>
      </c>
      <c r="F996" s="8">
        <v>0</v>
      </c>
      <c r="G996" s="8">
        <v>1</v>
      </c>
      <c r="H996" s="8" t="s">
        <v>52620</v>
      </c>
      <c r="I996" s="8">
        <v>526.6875</v>
      </c>
      <c r="J996" s="3">
        <f t="shared" si="15"/>
        <v>43749.48274806713</v>
      </c>
    </row>
    <row r="997" spans="1:10" x14ac:dyDescent="0.25">
      <c r="A997" s="5" t="s">
        <v>52621</v>
      </c>
      <c r="B997" s="6">
        <v>393.75</v>
      </c>
      <c r="C997" s="6">
        <v>20.531590000000001</v>
      </c>
      <c r="D997" s="6">
        <v>68</v>
      </c>
      <c r="E997" s="6">
        <v>0</v>
      </c>
      <c r="F997" s="6">
        <v>0</v>
      </c>
      <c r="G997" s="6">
        <v>1</v>
      </c>
      <c r="H997" s="6" t="s">
        <v>52622</v>
      </c>
      <c r="I997" s="6">
        <v>526.6875</v>
      </c>
      <c r="J997" s="2">
        <f t="shared" si="15"/>
        <v>43749.482831655092</v>
      </c>
    </row>
    <row r="998" spans="1:10" x14ac:dyDescent="0.25">
      <c r="A998" s="7" t="s">
        <v>52623</v>
      </c>
      <c r="B998" s="8">
        <v>393.75</v>
      </c>
      <c r="C998" s="8">
        <v>20.478950000000001</v>
      </c>
      <c r="D998" s="8">
        <v>68</v>
      </c>
      <c r="E998" s="8">
        <v>0</v>
      </c>
      <c r="F998" s="8">
        <v>0</v>
      </c>
      <c r="G998" s="8">
        <v>6</v>
      </c>
      <c r="H998" s="8" t="s">
        <v>52624</v>
      </c>
      <c r="I998" s="8">
        <v>526.6875</v>
      </c>
      <c r="J998" s="3">
        <f t="shared" si="15"/>
        <v>43749.482915081018</v>
      </c>
    </row>
    <row r="999" spans="1:10" x14ac:dyDescent="0.25">
      <c r="A999" s="5" t="s">
        <v>52625</v>
      </c>
      <c r="B999" s="6">
        <v>393.75</v>
      </c>
      <c r="C999" s="6">
        <v>20.478950000000001</v>
      </c>
      <c r="D999" s="6">
        <v>64</v>
      </c>
      <c r="E999" s="6">
        <v>0</v>
      </c>
      <c r="F999" s="6">
        <v>0</v>
      </c>
      <c r="G999" s="6">
        <v>5</v>
      </c>
      <c r="H999" s="6" t="s">
        <v>52626</v>
      </c>
      <c r="I999" s="6">
        <v>526.6875</v>
      </c>
      <c r="J999" s="2">
        <f t="shared" si="15"/>
        <v>43749.482998564818</v>
      </c>
    </row>
    <row r="1000" spans="1:10" x14ac:dyDescent="0.25">
      <c r="A1000" s="7" t="s">
        <v>52627</v>
      </c>
      <c r="B1000" s="8">
        <v>393.75</v>
      </c>
      <c r="C1000" s="8">
        <v>20.478950000000001</v>
      </c>
      <c r="D1000" s="8">
        <v>68</v>
      </c>
      <c r="E1000" s="8">
        <v>0</v>
      </c>
      <c r="F1000" s="8">
        <v>0</v>
      </c>
      <c r="G1000" s="8">
        <v>6</v>
      </c>
      <c r="H1000" s="8" t="s">
        <v>52628</v>
      </c>
      <c r="I1000" s="8">
        <v>526.6875</v>
      </c>
      <c r="J1000" s="3">
        <f t="shared" si="15"/>
        <v>43749.483082106475</v>
      </c>
    </row>
    <row r="1001" spans="1:10" x14ac:dyDescent="0.25">
      <c r="A1001" s="5" t="s">
        <v>52629</v>
      </c>
      <c r="B1001" s="6">
        <v>393.75</v>
      </c>
      <c r="C1001" s="6">
        <v>20.478950000000001</v>
      </c>
      <c r="D1001" s="6">
        <v>67</v>
      </c>
      <c r="E1001" s="6">
        <v>0</v>
      </c>
      <c r="F1001" s="6">
        <v>0</v>
      </c>
      <c r="G1001" s="6">
        <v>0</v>
      </c>
      <c r="H1001" s="6" t="s">
        <v>52630</v>
      </c>
      <c r="I1001" s="6">
        <v>526.6875</v>
      </c>
      <c r="J1001" s="2">
        <f t="shared" si="15"/>
        <v>43749.483165543978</v>
      </c>
    </row>
    <row r="1002" spans="1:10" x14ac:dyDescent="0.25">
      <c r="A1002" s="7" t="s">
        <v>52631</v>
      </c>
      <c r="B1002" s="8">
        <v>393.75</v>
      </c>
      <c r="C1002" s="8">
        <v>20.478950000000001</v>
      </c>
      <c r="D1002" s="8">
        <v>67</v>
      </c>
      <c r="E1002" s="8">
        <v>0</v>
      </c>
      <c r="F1002" s="8">
        <v>0</v>
      </c>
      <c r="G1002" s="8">
        <v>0</v>
      </c>
      <c r="H1002" s="8" t="s">
        <v>52632</v>
      </c>
      <c r="I1002" s="8">
        <v>526.6875</v>
      </c>
      <c r="J1002" s="3">
        <f t="shared" si="15"/>
        <v>43749.483249004632</v>
      </c>
    </row>
    <row r="1003" spans="1:10" x14ac:dyDescent="0.25">
      <c r="A1003" s="5" t="s">
        <v>52633</v>
      </c>
      <c r="B1003" s="6">
        <v>393.75</v>
      </c>
      <c r="C1003" s="6">
        <v>20.478950000000001</v>
      </c>
      <c r="D1003" s="6">
        <v>67</v>
      </c>
      <c r="E1003" s="6">
        <v>0</v>
      </c>
      <c r="F1003" s="6">
        <v>0</v>
      </c>
      <c r="G1003" s="6">
        <v>2</v>
      </c>
      <c r="H1003" s="6" t="s">
        <v>52634</v>
      </c>
      <c r="I1003" s="6">
        <v>526.6875</v>
      </c>
      <c r="J1003" s="2">
        <f t="shared" si="15"/>
        <v>43749.483332581018</v>
      </c>
    </row>
    <row r="1004" spans="1:10" x14ac:dyDescent="0.25">
      <c r="A1004" s="7" t="s">
        <v>52635</v>
      </c>
      <c r="B1004" s="8">
        <v>393.75</v>
      </c>
      <c r="C1004" s="8">
        <v>20.478950000000001</v>
      </c>
      <c r="D1004" s="8">
        <v>67</v>
      </c>
      <c r="E1004" s="8">
        <v>0</v>
      </c>
      <c r="F1004" s="8">
        <v>0</v>
      </c>
      <c r="G1004" s="8">
        <v>2</v>
      </c>
      <c r="H1004" s="8" t="s">
        <v>52636</v>
      </c>
      <c r="I1004" s="8">
        <v>526.6875</v>
      </c>
      <c r="J1004" s="3">
        <f t="shared" si="15"/>
        <v>43749.483415844901</v>
      </c>
    </row>
    <row r="1005" spans="1:10" x14ac:dyDescent="0.25">
      <c r="A1005" s="5" t="s">
        <v>52637</v>
      </c>
      <c r="B1005" s="6">
        <v>393.75</v>
      </c>
      <c r="C1005" s="6">
        <v>20.478950000000001</v>
      </c>
      <c r="D1005" s="6">
        <v>64</v>
      </c>
      <c r="E1005" s="6">
        <v>0</v>
      </c>
      <c r="F1005" s="6">
        <v>0</v>
      </c>
      <c r="G1005" s="6">
        <v>1</v>
      </c>
      <c r="H1005" s="6" t="s">
        <v>52638</v>
      </c>
      <c r="I1005" s="6">
        <v>526.6875</v>
      </c>
      <c r="J1005" s="2">
        <f t="shared" si="15"/>
        <v>43749.483511388891</v>
      </c>
    </row>
    <row r="1006" spans="1:10" x14ac:dyDescent="0.25">
      <c r="A1006" s="7" t="s">
        <v>52639</v>
      </c>
      <c r="B1006" s="8">
        <v>393.75</v>
      </c>
      <c r="C1006" s="8">
        <v>20.478950000000001</v>
      </c>
      <c r="D1006" s="8">
        <v>64</v>
      </c>
      <c r="E1006" s="8">
        <v>0</v>
      </c>
      <c r="F1006" s="8">
        <v>0</v>
      </c>
      <c r="G1006" s="8">
        <v>0</v>
      </c>
      <c r="H1006" s="8" t="s">
        <v>52640</v>
      </c>
      <c r="I1006" s="8">
        <v>526.6875</v>
      </c>
      <c r="J1006" s="3">
        <f t="shared" si="15"/>
        <v>43749.483594930549</v>
      </c>
    </row>
    <row r="1007" spans="1:10" x14ac:dyDescent="0.25">
      <c r="A1007" s="5" t="s">
        <v>52641</v>
      </c>
      <c r="B1007" s="6">
        <v>393.75</v>
      </c>
      <c r="C1007" s="6">
        <v>20.478950000000001</v>
      </c>
      <c r="D1007" s="6">
        <v>64</v>
      </c>
      <c r="E1007" s="6">
        <v>0</v>
      </c>
      <c r="F1007" s="6">
        <v>0</v>
      </c>
      <c r="G1007" s="6">
        <v>0</v>
      </c>
      <c r="H1007" s="6" t="s">
        <v>52642</v>
      </c>
      <c r="I1007" s="6">
        <v>526.6875</v>
      </c>
      <c r="J1007" s="2">
        <f t="shared" si="15"/>
        <v>43749.483678668978</v>
      </c>
    </row>
    <row r="1008" spans="1:10" x14ac:dyDescent="0.25">
      <c r="A1008" s="7" t="s">
        <v>52643</v>
      </c>
      <c r="B1008" s="8">
        <v>393.75</v>
      </c>
      <c r="C1008" s="8">
        <v>20.531590000000001</v>
      </c>
      <c r="D1008" s="8">
        <v>64</v>
      </c>
      <c r="E1008" s="8">
        <v>0</v>
      </c>
      <c r="F1008" s="8">
        <v>0</v>
      </c>
      <c r="G1008" s="8">
        <v>2</v>
      </c>
      <c r="H1008" s="8" t="s">
        <v>52644</v>
      </c>
      <c r="I1008" s="8">
        <v>526.6875</v>
      </c>
      <c r="J1008" s="3">
        <f t="shared" si="15"/>
        <v>43749.48376185185</v>
      </c>
    </row>
    <row r="1009" spans="1:10" x14ac:dyDescent="0.25">
      <c r="A1009" s="5" t="s">
        <v>52645</v>
      </c>
      <c r="B1009" s="6">
        <v>393.75</v>
      </c>
      <c r="C1009" s="6">
        <v>20.478950000000001</v>
      </c>
      <c r="D1009" s="6">
        <v>65</v>
      </c>
      <c r="E1009" s="6">
        <v>0</v>
      </c>
      <c r="F1009" s="6">
        <v>0</v>
      </c>
      <c r="G1009" s="6">
        <v>0</v>
      </c>
      <c r="H1009" s="6" t="s">
        <v>52646</v>
      </c>
      <c r="I1009" s="6">
        <v>526.6875</v>
      </c>
      <c r="J1009" s="2">
        <f t="shared" si="15"/>
        <v>43749.483845289353</v>
      </c>
    </row>
    <row r="1010" spans="1:10" x14ac:dyDescent="0.25">
      <c r="A1010" s="7" t="s">
        <v>52647</v>
      </c>
      <c r="B1010" s="8">
        <v>393.75</v>
      </c>
      <c r="C1010" s="8">
        <v>20.478950000000001</v>
      </c>
      <c r="D1010" s="8">
        <v>65</v>
      </c>
      <c r="E1010" s="8">
        <v>0</v>
      </c>
      <c r="F1010" s="8">
        <v>0</v>
      </c>
      <c r="G1010" s="8">
        <v>0</v>
      </c>
      <c r="H1010" s="8" t="s">
        <v>52648</v>
      </c>
      <c r="I1010" s="8">
        <v>526.5</v>
      </c>
      <c r="J1010" s="3">
        <f t="shared" si="15"/>
        <v>43749.483928958332</v>
      </c>
    </row>
    <row r="1011" spans="1:10" x14ac:dyDescent="0.25">
      <c r="A1011" s="5" t="s">
        <v>52649</v>
      </c>
      <c r="B1011" s="6">
        <v>412.5</v>
      </c>
      <c r="C1011" s="6">
        <v>20.531590000000001</v>
      </c>
      <c r="D1011" s="6">
        <v>66</v>
      </c>
      <c r="E1011" s="6">
        <v>0</v>
      </c>
      <c r="F1011" s="6">
        <v>0</v>
      </c>
      <c r="G1011" s="6">
        <v>0</v>
      </c>
      <c r="H1011" s="6" t="s">
        <v>52650</v>
      </c>
      <c r="I1011" s="6">
        <v>532.875</v>
      </c>
      <c r="J1011" s="2">
        <f t="shared" si="15"/>
        <v>43749.484000370365</v>
      </c>
    </row>
    <row r="1012" spans="1:10" x14ac:dyDescent="0.25">
      <c r="A1012" s="7" t="s">
        <v>52651</v>
      </c>
      <c r="B1012" s="8">
        <v>393.75</v>
      </c>
      <c r="C1012" s="8">
        <v>20.478950000000001</v>
      </c>
      <c r="D1012" s="8">
        <v>64</v>
      </c>
      <c r="E1012" s="8">
        <v>0</v>
      </c>
      <c r="F1012" s="8">
        <v>0</v>
      </c>
      <c r="G1012" s="8">
        <v>10</v>
      </c>
      <c r="H1012" s="8" t="s">
        <v>52652</v>
      </c>
      <c r="I1012" s="8">
        <v>526.6875</v>
      </c>
      <c r="J1012" s="3">
        <f t="shared" si="15"/>
        <v>43749.484083958327</v>
      </c>
    </row>
    <row r="1013" spans="1:10" x14ac:dyDescent="0.25">
      <c r="A1013" s="5" t="s">
        <v>52653</v>
      </c>
      <c r="B1013" s="6">
        <v>393.75</v>
      </c>
      <c r="C1013" s="6">
        <v>20.478950000000001</v>
      </c>
      <c r="D1013" s="6">
        <v>64</v>
      </c>
      <c r="E1013" s="6">
        <v>0</v>
      </c>
      <c r="F1013" s="6">
        <v>0</v>
      </c>
      <c r="G1013" s="6">
        <v>0</v>
      </c>
      <c r="H1013" s="6" t="s">
        <v>52654</v>
      </c>
      <c r="I1013" s="6">
        <v>526.6875</v>
      </c>
      <c r="J1013" s="2">
        <f t="shared" si="15"/>
        <v>43749.484167511568</v>
      </c>
    </row>
    <row r="1014" spans="1:10" x14ac:dyDescent="0.25">
      <c r="A1014" s="7" t="s">
        <v>52655</v>
      </c>
      <c r="B1014" s="8">
        <v>393.75</v>
      </c>
      <c r="C1014" s="8">
        <v>20.478950000000001</v>
      </c>
      <c r="D1014" s="8">
        <v>65</v>
      </c>
      <c r="E1014" s="8">
        <v>0</v>
      </c>
      <c r="F1014" s="8">
        <v>0</v>
      </c>
      <c r="G1014" s="8">
        <v>7</v>
      </c>
      <c r="H1014" s="8" t="s">
        <v>52656</v>
      </c>
      <c r="I1014" s="8">
        <v>526.6875</v>
      </c>
      <c r="J1014" s="3">
        <f t="shared" si="15"/>
        <v>43749.4842508449</v>
      </c>
    </row>
    <row r="1015" spans="1:10" x14ac:dyDescent="0.25">
      <c r="A1015" s="5" t="s">
        <v>52657</v>
      </c>
      <c r="B1015" s="6">
        <v>393.75</v>
      </c>
      <c r="C1015" s="6">
        <v>20.478950000000001</v>
      </c>
      <c r="D1015" s="6">
        <v>65</v>
      </c>
      <c r="E1015" s="6">
        <v>0</v>
      </c>
      <c r="F1015" s="6">
        <v>0</v>
      </c>
      <c r="G1015" s="6">
        <v>10</v>
      </c>
      <c r="H1015" s="6" t="s">
        <v>52658</v>
      </c>
      <c r="I1015" s="6">
        <v>526.6875</v>
      </c>
      <c r="J1015" s="2">
        <f t="shared" si="15"/>
        <v>43749.48433417824</v>
      </c>
    </row>
    <row r="1016" spans="1:10" x14ac:dyDescent="0.25">
      <c r="A1016" s="7" t="s">
        <v>52659</v>
      </c>
      <c r="B1016" s="8">
        <v>428.125</v>
      </c>
      <c r="C1016" s="8">
        <v>20.478950000000001</v>
      </c>
      <c r="D1016" s="8">
        <v>65</v>
      </c>
      <c r="E1016" s="8">
        <v>0</v>
      </c>
      <c r="F1016" s="8">
        <v>0</v>
      </c>
      <c r="G1016" s="8">
        <v>0</v>
      </c>
      <c r="H1016" s="8" t="s">
        <v>52660</v>
      </c>
      <c r="I1016" s="8">
        <v>537.9375</v>
      </c>
      <c r="J1016" s="3">
        <f t="shared" si="15"/>
        <v>43749.484405925927</v>
      </c>
    </row>
    <row r="1017" spans="1:10" x14ac:dyDescent="0.25">
      <c r="A1017" s="5" t="s">
        <v>52661</v>
      </c>
      <c r="B1017" s="6">
        <v>393.75</v>
      </c>
      <c r="C1017" s="6">
        <v>20.478950000000001</v>
      </c>
      <c r="D1017" s="6">
        <v>62</v>
      </c>
      <c r="E1017" s="6">
        <v>0</v>
      </c>
      <c r="F1017" s="6">
        <v>0</v>
      </c>
      <c r="G1017" s="6">
        <v>7</v>
      </c>
      <c r="H1017" s="6" t="s">
        <v>52662</v>
      </c>
      <c r="I1017" s="6">
        <v>526.6875</v>
      </c>
      <c r="J1017" s="2">
        <f t="shared" si="15"/>
        <v>43749.484489409719</v>
      </c>
    </row>
    <row r="1018" spans="1:10" x14ac:dyDescent="0.25">
      <c r="A1018" s="7" t="s">
        <v>52663</v>
      </c>
      <c r="B1018" s="8">
        <v>393.75</v>
      </c>
      <c r="C1018" s="8">
        <v>20.478950000000001</v>
      </c>
      <c r="D1018" s="8">
        <v>63</v>
      </c>
      <c r="E1018" s="8">
        <v>0</v>
      </c>
      <c r="F1018" s="8">
        <v>0</v>
      </c>
      <c r="G1018" s="8">
        <v>2</v>
      </c>
      <c r="H1018" s="8" t="s">
        <v>52664</v>
      </c>
      <c r="I1018" s="8">
        <v>526.5</v>
      </c>
      <c r="J1018" s="3">
        <f t="shared" si="15"/>
        <v>43749.484572835645</v>
      </c>
    </row>
    <row r="1019" spans="1:10" x14ac:dyDescent="0.25">
      <c r="A1019" s="5" t="s">
        <v>52665</v>
      </c>
      <c r="B1019" s="6">
        <v>393.75</v>
      </c>
      <c r="C1019" s="6">
        <v>20.478950000000001</v>
      </c>
      <c r="D1019" s="6">
        <v>63</v>
      </c>
      <c r="E1019" s="6">
        <v>0</v>
      </c>
      <c r="F1019" s="6">
        <v>0</v>
      </c>
      <c r="G1019" s="6">
        <v>2</v>
      </c>
      <c r="H1019" s="6" t="s">
        <v>52666</v>
      </c>
      <c r="I1019" s="6">
        <v>526.6875</v>
      </c>
      <c r="J1019" s="2">
        <f t="shared" si="15"/>
        <v>43749.484656412031</v>
      </c>
    </row>
    <row r="1020" spans="1:10" x14ac:dyDescent="0.25">
      <c r="A1020" s="7" t="s">
        <v>52667</v>
      </c>
      <c r="B1020" s="8">
        <v>393.75</v>
      </c>
      <c r="C1020" s="8">
        <v>20.478950000000001</v>
      </c>
      <c r="D1020" s="8">
        <v>63</v>
      </c>
      <c r="E1020" s="8">
        <v>0</v>
      </c>
      <c r="F1020" s="8">
        <v>0</v>
      </c>
      <c r="G1020" s="8">
        <v>0</v>
      </c>
      <c r="H1020" s="8" t="s">
        <v>52668</v>
      </c>
      <c r="I1020" s="8">
        <v>526.6875</v>
      </c>
      <c r="J1020" s="3">
        <f t="shared" si="15"/>
        <v>43749.484739849533</v>
      </c>
    </row>
    <row r="1021" spans="1:10" x14ac:dyDescent="0.25">
      <c r="A1021" s="5" t="s">
        <v>52669</v>
      </c>
      <c r="B1021" s="6">
        <v>428.125</v>
      </c>
      <c r="C1021" s="6">
        <v>20.531590000000001</v>
      </c>
      <c r="D1021" s="6">
        <v>64</v>
      </c>
      <c r="E1021" s="6">
        <v>0</v>
      </c>
      <c r="F1021" s="6">
        <v>0</v>
      </c>
      <c r="G1021" s="6">
        <v>0</v>
      </c>
      <c r="H1021" s="6" t="s">
        <v>52670</v>
      </c>
      <c r="I1021" s="6">
        <v>537.5625</v>
      </c>
      <c r="J1021" s="2">
        <f t="shared" si="15"/>
        <v>43749.484823055558</v>
      </c>
    </row>
    <row r="1022" spans="1:10" x14ac:dyDescent="0.25">
      <c r="A1022" s="7" t="s">
        <v>52671</v>
      </c>
      <c r="B1022" s="8">
        <v>393.75</v>
      </c>
      <c r="C1022" s="8">
        <v>20.478950000000001</v>
      </c>
      <c r="D1022" s="8">
        <v>64</v>
      </c>
      <c r="E1022" s="8">
        <v>0</v>
      </c>
      <c r="F1022" s="8">
        <v>0</v>
      </c>
      <c r="G1022" s="8">
        <v>3</v>
      </c>
      <c r="H1022" s="8" t="s">
        <v>52672</v>
      </c>
      <c r="I1022" s="8">
        <v>526.6875</v>
      </c>
      <c r="J1022" s="3">
        <f t="shared" si="15"/>
        <v>43749.48489482639</v>
      </c>
    </row>
    <row r="1023" spans="1:10" x14ac:dyDescent="0.25">
      <c r="A1023" s="5" t="s">
        <v>52673</v>
      </c>
      <c r="B1023" s="6">
        <v>393.75</v>
      </c>
      <c r="C1023" s="6">
        <v>20.478950000000001</v>
      </c>
      <c r="D1023" s="6">
        <v>65</v>
      </c>
      <c r="E1023" s="6">
        <v>0</v>
      </c>
      <c r="F1023" s="6">
        <v>0</v>
      </c>
      <c r="G1023" s="6">
        <v>0</v>
      </c>
      <c r="H1023" s="6" t="s">
        <v>52674</v>
      </c>
      <c r="I1023" s="6">
        <v>526.6875</v>
      </c>
      <c r="J1023" s="2">
        <f t="shared" si="15"/>
        <v>43749.484978402776</v>
      </c>
    </row>
    <row r="1024" spans="1:10" x14ac:dyDescent="0.25">
      <c r="A1024" s="7" t="s">
        <v>52675</v>
      </c>
      <c r="B1024" s="8">
        <v>393.75</v>
      </c>
      <c r="C1024" s="8">
        <v>20.478950000000001</v>
      </c>
      <c r="D1024" s="8">
        <v>65</v>
      </c>
      <c r="E1024" s="8">
        <v>0</v>
      </c>
      <c r="F1024" s="8">
        <v>0</v>
      </c>
      <c r="G1024" s="8">
        <v>6</v>
      </c>
      <c r="H1024" s="8" t="s">
        <v>52676</v>
      </c>
      <c r="I1024" s="8">
        <v>526.6875</v>
      </c>
      <c r="J1024" s="3">
        <f t="shared" si="15"/>
        <v>43749.485061828702</v>
      </c>
    </row>
    <row r="1025" spans="1:10" x14ac:dyDescent="0.25">
      <c r="A1025" s="5" t="s">
        <v>52677</v>
      </c>
      <c r="B1025" s="6">
        <v>393.75</v>
      </c>
      <c r="C1025" s="6">
        <v>20.478950000000001</v>
      </c>
      <c r="D1025" s="6">
        <v>63</v>
      </c>
      <c r="E1025" s="6">
        <v>0</v>
      </c>
      <c r="F1025" s="6">
        <v>0</v>
      </c>
      <c r="G1025" s="6">
        <v>1</v>
      </c>
      <c r="H1025" s="6" t="s">
        <v>52678</v>
      </c>
      <c r="I1025" s="6">
        <v>526.6875</v>
      </c>
      <c r="J1025" s="2">
        <f t="shared" si="15"/>
        <v>43749.485145300925</v>
      </c>
    </row>
    <row r="1026" spans="1:10" x14ac:dyDescent="0.25">
      <c r="A1026" s="7" t="s">
        <v>52679</v>
      </c>
      <c r="B1026" s="8">
        <v>393.75</v>
      </c>
      <c r="C1026" s="8">
        <v>20.478950000000001</v>
      </c>
      <c r="D1026" s="8">
        <v>63</v>
      </c>
      <c r="E1026" s="8">
        <v>0</v>
      </c>
      <c r="F1026" s="8">
        <v>0</v>
      </c>
      <c r="G1026" s="8">
        <v>3</v>
      </c>
      <c r="H1026" s="8" t="s">
        <v>52680</v>
      </c>
      <c r="I1026" s="8">
        <v>526.6875</v>
      </c>
      <c r="J1026" s="3">
        <f t="shared" ref="J1026:J1089" si="16">(H1026/86400000)+25569+(7/24)</f>
        <v>43749.485229189813</v>
      </c>
    </row>
    <row r="1027" spans="1:10" x14ac:dyDescent="0.25">
      <c r="A1027" s="5" t="s">
        <v>52681</v>
      </c>
      <c r="B1027" s="6">
        <v>393.75</v>
      </c>
      <c r="C1027" s="6">
        <v>20.478950000000001</v>
      </c>
      <c r="D1027" s="6">
        <v>63</v>
      </c>
      <c r="E1027" s="6">
        <v>0</v>
      </c>
      <c r="F1027" s="6">
        <v>0</v>
      </c>
      <c r="G1027" s="6">
        <v>8</v>
      </c>
      <c r="H1027" s="6" t="s">
        <v>52682</v>
      </c>
      <c r="I1027" s="6">
        <v>526.6875</v>
      </c>
      <c r="J1027" s="2">
        <f t="shared" si="16"/>
        <v>43749.485312071753</v>
      </c>
    </row>
    <row r="1028" spans="1:10" x14ac:dyDescent="0.25">
      <c r="A1028" s="7" t="s">
        <v>52683</v>
      </c>
      <c r="B1028" s="8">
        <v>393.75</v>
      </c>
      <c r="C1028" s="8">
        <v>20.531590000000001</v>
      </c>
      <c r="D1028" s="8">
        <v>63</v>
      </c>
      <c r="E1028" s="8">
        <v>0</v>
      </c>
      <c r="F1028" s="8">
        <v>0</v>
      </c>
      <c r="G1028" s="8">
        <v>0</v>
      </c>
      <c r="H1028" s="8" t="s">
        <v>52684</v>
      </c>
      <c r="I1028" s="8">
        <v>526.6875</v>
      </c>
      <c r="J1028" s="3">
        <f t="shared" si="16"/>
        <v>43749.485383935178</v>
      </c>
    </row>
    <row r="1029" spans="1:10" x14ac:dyDescent="0.25">
      <c r="A1029" s="5" t="s">
        <v>52685</v>
      </c>
      <c r="B1029" s="6">
        <v>412.5</v>
      </c>
      <c r="C1029" s="6">
        <v>20.478950000000001</v>
      </c>
      <c r="D1029" s="6">
        <v>63</v>
      </c>
      <c r="E1029" s="6">
        <v>0</v>
      </c>
      <c r="F1029" s="6">
        <v>0</v>
      </c>
      <c r="G1029" s="6">
        <v>0</v>
      </c>
      <c r="H1029" s="6" t="s">
        <v>52686</v>
      </c>
      <c r="I1029" s="6">
        <v>532.3125</v>
      </c>
      <c r="J1029" s="2">
        <f t="shared" si="16"/>
        <v>43749.485467500002</v>
      </c>
    </row>
    <row r="1030" spans="1:10" x14ac:dyDescent="0.25">
      <c r="A1030" s="7" t="s">
        <v>52687</v>
      </c>
      <c r="B1030" s="8">
        <v>393.75</v>
      </c>
      <c r="C1030" s="8">
        <v>20.478950000000001</v>
      </c>
      <c r="D1030" s="8">
        <v>63</v>
      </c>
      <c r="E1030" s="8">
        <v>0</v>
      </c>
      <c r="F1030" s="8">
        <v>0</v>
      </c>
      <c r="G1030" s="8">
        <v>4</v>
      </c>
      <c r="H1030" s="8" t="s">
        <v>52688</v>
      </c>
      <c r="I1030" s="8">
        <v>526.6875</v>
      </c>
      <c r="J1030" s="3">
        <f t="shared" si="16"/>
        <v>43749.485550590274</v>
      </c>
    </row>
    <row r="1031" spans="1:10" x14ac:dyDescent="0.25">
      <c r="A1031" s="5" t="s">
        <v>52689</v>
      </c>
      <c r="B1031" s="6">
        <v>393.75</v>
      </c>
      <c r="C1031" s="6">
        <v>20.478950000000001</v>
      </c>
      <c r="D1031" s="6">
        <v>63</v>
      </c>
      <c r="E1031" s="6">
        <v>0</v>
      </c>
      <c r="F1031" s="6">
        <v>0</v>
      </c>
      <c r="G1031" s="6">
        <v>0</v>
      </c>
      <c r="H1031" s="6" t="s">
        <v>52690</v>
      </c>
      <c r="I1031" s="6">
        <v>526.6875</v>
      </c>
      <c r="J1031" s="2">
        <f t="shared" si="16"/>
        <v>43749.485634166667</v>
      </c>
    </row>
    <row r="1032" spans="1:10" x14ac:dyDescent="0.25">
      <c r="A1032" s="7" t="s">
        <v>52691</v>
      </c>
      <c r="B1032" s="8">
        <v>393.75</v>
      </c>
      <c r="C1032" s="8">
        <v>20.531590000000001</v>
      </c>
      <c r="D1032" s="8">
        <v>63</v>
      </c>
      <c r="E1032" s="8">
        <v>0</v>
      </c>
      <c r="F1032" s="8">
        <v>0</v>
      </c>
      <c r="G1032" s="8">
        <v>4</v>
      </c>
      <c r="H1032" s="8" t="s">
        <v>52692</v>
      </c>
      <c r="I1032" s="8">
        <v>526.6875</v>
      </c>
      <c r="J1032" s="3">
        <f t="shared" si="16"/>
        <v>43749.485705925923</v>
      </c>
    </row>
    <row r="1033" spans="1:10" x14ac:dyDescent="0.25">
      <c r="A1033" s="5" t="s">
        <v>52693</v>
      </c>
      <c r="B1033" s="6">
        <v>393.75</v>
      </c>
      <c r="C1033" s="6">
        <v>20.531590000000001</v>
      </c>
      <c r="D1033" s="6">
        <v>63</v>
      </c>
      <c r="E1033" s="6">
        <v>0</v>
      </c>
      <c r="F1033" s="6">
        <v>0</v>
      </c>
      <c r="G1033" s="6">
        <v>3</v>
      </c>
      <c r="H1033" s="6" t="s">
        <v>52694</v>
      </c>
      <c r="I1033" s="6">
        <v>526.6875</v>
      </c>
      <c r="J1033" s="2">
        <f t="shared" si="16"/>
        <v>43749.485777476853</v>
      </c>
    </row>
    <row r="1034" spans="1:10" x14ac:dyDescent="0.25">
      <c r="A1034" s="7" t="s">
        <v>52695</v>
      </c>
      <c r="B1034" s="8">
        <v>393.75</v>
      </c>
      <c r="C1034" s="8">
        <v>20.478950000000001</v>
      </c>
      <c r="D1034" s="8">
        <v>63</v>
      </c>
      <c r="E1034" s="8">
        <v>0</v>
      </c>
      <c r="F1034" s="8">
        <v>0</v>
      </c>
      <c r="G1034" s="8">
        <v>4</v>
      </c>
      <c r="H1034" s="8" t="s">
        <v>52696</v>
      </c>
      <c r="I1034" s="8">
        <v>526.6875</v>
      </c>
      <c r="J1034" s="3">
        <f t="shared" si="16"/>
        <v>43749.485861030094</v>
      </c>
    </row>
    <row r="1035" spans="1:10" x14ac:dyDescent="0.25">
      <c r="A1035" s="5" t="s">
        <v>52697</v>
      </c>
      <c r="B1035" s="6">
        <v>393.75</v>
      </c>
      <c r="C1035" s="6">
        <v>20.531590000000001</v>
      </c>
      <c r="D1035" s="6">
        <v>62</v>
      </c>
      <c r="E1035" s="6">
        <v>0</v>
      </c>
      <c r="F1035" s="6">
        <v>0</v>
      </c>
      <c r="G1035" s="6">
        <v>0</v>
      </c>
      <c r="H1035" s="6" t="s">
        <v>52698</v>
      </c>
      <c r="I1035" s="6">
        <v>526.6875</v>
      </c>
      <c r="J1035" s="2">
        <f t="shared" si="16"/>
        <v>43749.485932581018</v>
      </c>
    </row>
    <row r="1036" spans="1:10" x14ac:dyDescent="0.25">
      <c r="A1036" s="7" t="s">
        <v>52699</v>
      </c>
      <c r="B1036" s="8">
        <v>393.75</v>
      </c>
      <c r="C1036" s="8">
        <v>20.478950000000001</v>
      </c>
      <c r="D1036" s="8">
        <v>63</v>
      </c>
      <c r="E1036" s="8">
        <v>0</v>
      </c>
      <c r="F1036" s="8">
        <v>0</v>
      </c>
      <c r="G1036" s="8">
        <v>4</v>
      </c>
      <c r="H1036" s="8" t="s">
        <v>52700</v>
      </c>
      <c r="I1036" s="8">
        <v>526.6875</v>
      </c>
      <c r="J1036" s="3">
        <f t="shared" si="16"/>
        <v>43749.486015787035</v>
      </c>
    </row>
    <row r="1037" spans="1:10" x14ac:dyDescent="0.25">
      <c r="A1037" s="5" t="s">
        <v>52701</v>
      </c>
      <c r="B1037" s="6">
        <v>393.75</v>
      </c>
      <c r="C1037" s="6">
        <v>20.478950000000001</v>
      </c>
      <c r="D1037" s="6">
        <v>65</v>
      </c>
      <c r="E1037" s="6">
        <v>0</v>
      </c>
      <c r="F1037" s="6">
        <v>0</v>
      </c>
      <c r="G1037" s="6">
        <v>6</v>
      </c>
      <c r="H1037" s="6" t="s">
        <v>52702</v>
      </c>
      <c r="I1037" s="6">
        <v>526.6875</v>
      </c>
      <c r="J1037" s="2">
        <f t="shared" si="16"/>
        <v>43749.486087650461</v>
      </c>
    </row>
    <row r="1038" spans="1:10" x14ac:dyDescent="0.25">
      <c r="A1038" s="7" t="s">
        <v>52703</v>
      </c>
      <c r="B1038" s="8">
        <v>393.75</v>
      </c>
      <c r="C1038" s="8">
        <v>20.478950000000001</v>
      </c>
      <c r="D1038" s="8">
        <v>68</v>
      </c>
      <c r="E1038" s="8">
        <v>0</v>
      </c>
      <c r="F1038" s="8">
        <v>0</v>
      </c>
      <c r="G1038" s="8">
        <v>3</v>
      </c>
      <c r="H1038" s="8" t="s">
        <v>52704</v>
      </c>
      <c r="I1038" s="8">
        <v>526.6875</v>
      </c>
      <c r="J1038" s="3">
        <f t="shared" si="16"/>
        <v>43749.486185543974</v>
      </c>
    </row>
    <row r="1039" spans="1:10" x14ac:dyDescent="0.25">
      <c r="A1039" s="5" t="s">
        <v>52705</v>
      </c>
      <c r="B1039" s="6">
        <v>393.75</v>
      </c>
      <c r="C1039" s="6">
        <v>20.478950000000001</v>
      </c>
      <c r="D1039" s="6">
        <v>69</v>
      </c>
      <c r="E1039" s="6">
        <v>0</v>
      </c>
      <c r="F1039" s="6">
        <v>0</v>
      </c>
      <c r="G1039" s="6">
        <v>0</v>
      </c>
      <c r="H1039" s="6" t="s">
        <v>52706</v>
      </c>
      <c r="I1039" s="6">
        <v>526.6875</v>
      </c>
      <c r="J1039" s="2">
        <f t="shared" si="16"/>
        <v>43749.486266446758</v>
      </c>
    </row>
    <row r="1040" spans="1:10" x14ac:dyDescent="0.25">
      <c r="A1040" s="7" t="s">
        <v>52707</v>
      </c>
      <c r="B1040" s="8">
        <v>393.75</v>
      </c>
      <c r="C1040" s="8">
        <v>20.478950000000001</v>
      </c>
      <c r="D1040" s="8">
        <v>69</v>
      </c>
      <c r="E1040" s="8">
        <v>0</v>
      </c>
      <c r="F1040" s="8">
        <v>0</v>
      </c>
      <c r="G1040" s="8">
        <v>8</v>
      </c>
      <c r="H1040" s="8" t="s">
        <v>52708</v>
      </c>
      <c r="I1040" s="8">
        <v>526.6875</v>
      </c>
      <c r="J1040" s="3">
        <f t="shared" si="16"/>
        <v>43749.486350011568</v>
      </c>
    </row>
    <row r="1041" spans="1:10" x14ac:dyDescent="0.25">
      <c r="A1041" s="5" t="s">
        <v>52709</v>
      </c>
      <c r="B1041" s="6">
        <v>393.75</v>
      </c>
      <c r="C1041" s="6">
        <v>20.478950000000001</v>
      </c>
      <c r="D1041" s="6">
        <v>66</v>
      </c>
      <c r="E1041" s="6">
        <v>0</v>
      </c>
      <c r="F1041" s="6">
        <v>0</v>
      </c>
      <c r="G1041" s="6">
        <v>9</v>
      </c>
      <c r="H1041" s="6" t="s">
        <v>52710</v>
      </c>
      <c r="I1041" s="6">
        <v>526.6875</v>
      </c>
      <c r="J1041" s="2">
        <f t="shared" si="16"/>
        <v>43749.486421550922</v>
      </c>
    </row>
    <row r="1042" spans="1:10" x14ac:dyDescent="0.25">
      <c r="A1042" s="7" t="s">
        <v>52711</v>
      </c>
      <c r="B1042" s="8">
        <v>393.75</v>
      </c>
      <c r="C1042" s="8">
        <v>20.478950000000001</v>
      </c>
      <c r="D1042" s="8">
        <v>66</v>
      </c>
      <c r="E1042" s="8">
        <v>0</v>
      </c>
      <c r="F1042" s="8">
        <v>0</v>
      </c>
      <c r="G1042" s="8">
        <v>5</v>
      </c>
      <c r="H1042" s="8" t="s">
        <v>52712</v>
      </c>
      <c r="I1042" s="8">
        <v>526.6875</v>
      </c>
      <c r="J1042" s="3">
        <f t="shared" si="16"/>
        <v>43749.486493067125</v>
      </c>
    </row>
    <row r="1043" spans="1:10" x14ac:dyDescent="0.25">
      <c r="A1043" s="5" t="s">
        <v>52713</v>
      </c>
      <c r="B1043" s="6">
        <v>393.75</v>
      </c>
      <c r="C1043" s="6">
        <v>20.478950000000001</v>
      </c>
      <c r="D1043" s="6">
        <v>67</v>
      </c>
      <c r="E1043" s="6">
        <v>0</v>
      </c>
      <c r="F1043" s="6">
        <v>0</v>
      </c>
      <c r="G1043" s="6">
        <v>0</v>
      </c>
      <c r="H1043" s="6" t="s">
        <v>52714</v>
      </c>
      <c r="I1043" s="6">
        <v>526.6875</v>
      </c>
      <c r="J1043" s="2">
        <f t="shared" si="16"/>
        <v>43749.486583356476</v>
      </c>
    </row>
    <row r="1044" spans="1:10" x14ac:dyDescent="0.25">
      <c r="A1044" s="7" t="s">
        <v>52715</v>
      </c>
      <c r="B1044" s="8">
        <v>393.75</v>
      </c>
      <c r="C1044" s="8">
        <v>20.478950000000001</v>
      </c>
      <c r="D1044" s="8">
        <v>68</v>
      </c>
      <c r="E1044" s="8">
        <v>0</v>
      </c>
      <c r="F1044" s="8">
        <v>0</v>
      </c>
      <c r="G1044" s="8">
        <v>7</v>
      </c>
      <c r="H1044" s="8" t="s">
        <v>52716</v>
      </c>
      <c r="I1044" s="8">
        <v>526.5</v>
      </c>
      <c r="J1044" s="3">
        <f t="shared" si="16"/>
        <v>43749.486660081013</v>
      </c>
    </row>
    <row r="1045" spans="1:10" x14ac:dyDescent="0.25">
      <c r="A1045" s="5" t="s">
        <v>52717</v>
      </c>
      <c r="B1045" s="6">
        <v>393.75</v>
      </c>
      <c r="C1045" s="6">
        <v>20.478950000000001</v>
      </c>
      <c r="D1045" s="6">
        <v>68</v>
      </c>
      <c r="E1045" s="6">
        <v>0</v>
      </c>
      <c r="F1045" s="6">
        <v>0</v>
      </c>
      <c r="G1045" s="6">
        <v>10</v>
      </c>
      <c r="H1045" s="6" t="s">
        <v>52718</v>
      </c>
      <c r="I1045" s="6">
        <v>526.6875</v>
      </c>
      <c r="J1045" s="2">
        <f t="shared" si="16"/>
        <v>43749.486731608798</v>
      </c>
    </row>
    <row r="1046" spans="1:10" x14ac:dyDescent="0.25">
      <c r="A1046" s="7" t="s">
        <v>52719</v>
      </c>
      <c r="B1046" s="8">
        <v>393.75</v>
      </c>
      <c r="C1046" s="8">
        <v>20.478950000000001</v>
      </c>
      <c r="D1046" s="8">
        <v>67</v>
      </c>
      <c r="E1046" s="8">
        <v>0</v>
      </c>
      <c r="F1046" s="8">
        <v>0</v>
      </c>
      <c r="G1046" s="8">
        <v>7</v>
      </c>
      <c r="H1046" s="8" t="s">
        <v>52720</v>
      </c>
      <c r="I1046" s="8">
        <v>526.6875</v>
      </c>
      <c r="J1046" s="3">
        <f t="shared" si="16"/>
        <v>43749.486815173608</v>
      </c>
    </row>
    <row r="1047" spans="1:10" x14ac:dyDescent="0.25">
      <c r="A1047" s="5" t="s">
        <v>52721</v>
      </c>
      <c r="B1047" s="6">
        <v>393.75</v>
      </c>
      <c r="C1047" s="6">
        <v>20.478950000000001</v>
      </c>
      <c r="D1047" s="6">
        <v>66</v>
      </c>
      <c r="E1047" s="6">
        <v>0</v>
      </c>
      <c r="F1047" s="6">
        <v>0</v>
      </c>
      <c r="G1047" s="6">
        <v>9</v>
      </c>
      <c r="H1047" s="6" t="s">
        <v>52722</v>
      </c>
      <c r="I1047" s="6">
        <v>526.6875</v>
      </c>
      <c r="J1047" s="2">
        <f t="shared" si="16"/>
        <v>43749.486898622687</v>
      </c>
    </row>
    <row r="1048" spans="1:10" x14ac:dyDescent="0.25">
      <c r="A1048" s="7" t="s">
        <v>52723</v>
      </c>
      <c r="B1048" s="8">
        <v>412.5</v>
      </c>
      <c r="C1048" s="8">
        <v>20.531590000000001</v>
      </c>
      <c r="D1048" s="8">
        <v>67</v>
      </c>
      <c r="E1048" s="8">
        <v>0</v>
      </c>
      <c r="F1048" s="8">
        <v>0</v>
      </c>
      <c r="G1048" s="8">
        <v>16</v>
      </c>
      <c r="H1048" s="8" t="s">
        <v>52724</v>
      </c>
      <c r="I1048" s="8">
        <v>532.3125</v>
      </c>
      <c r="J1048" s="3">
        <f t="shared" si="16"/>
        <v>43749.486970277772</v>
      </c>
    </row>
    <row r="1049" spans="1:10" x14ac:dyDescent="0.25">
      <c r="A1049" s="5" t="s">
        <v>52725</v>
      </c>
      <c r="B1049" s="6">
        <v>393.75</v>
      </c>
      <c r="C1049" s="6">
        <v>20.478950000000001</v>
      </c>
      <c r="D1049" s="6">
        <v>67</v>
      </c>
      <c r="E1049" s="6">
        <v>0</v>
      </c>
      <c r="F1049" s="6">
        <v>0</v>
      </c>
      <c r="G1049" s="6">
        <v>13</v>
      </c>
      <c r="H1049" s="6" t="s">
        <v>52726</v>
      </c>
      <c r="I1049" s="6">
        <v>526.6875</v>
      </c>
      <c r="J1049" s="2">
        <f t="shared" si="16"/>
        <v>43749.487041562497</v>
      </c>
    </row>
    <row r="1050" spans="1:10" x14ac:dyDescent="0.25">
      <c r="A1050" s="7" t="s">
        <v>52727</v>
      </c>
      <c r="B1050" s="8">
        <v>393.75</v>
      </c>
      <c r="C1050" s="8">
        <v>20.478950000000001</v>
      </c>
      <c r="D1050" s="8">
        <v>67</v>
      </c>
      <c r="E1050" s="8">
        <v>0</v>
      </c>
      <c r="F1050" s="8">
        <v>0</v>
      </c>
      <c r="G1050" s="8">
        <v>15</v>
      </c>
      <c r="H1050" s="8" t="s">
        <v>52728</v>
      </c>
      <c r="I1050" s="8">
        <v>526.6875</v>
      </c>
      <c r="J1050" s="3">
        <f t="shared" si="16"/>
        <v>43749.487125243053</v>
      </c>
    </row>
    <row r="1051" spans="1:10" x14ac:dyDescent="0.25">
      <c r="A1051" s="5" t="s">
        <v>52729</v>
      </c>
      <c r="B1051" s="6">
        <v>412.5</v>
      </c>
      <c r="C1051" s="6">
        <v>20.478950000000001</v>
      </c>
      <c r="D1051" s="6">
        <v>67</v>
      </c>
      <c r="E1051" s="6">
        <v>0</v>
      </c>
      <c r="F1051" s="6">
        <v>0</v>
      </c>
      <c r="G1051" s="6">
        <v>7</v>
      </c>
      <c r="H1051" s="6" t="s">
        <v>52730</v>
      </c>
      <c r="I1051" s="6">
        <v>532.6875</v>
      </c>
      <c r="J1051" s="2">
        <f t="shared" si="16"/>
        <v>43749.487208483792</v>
      </c>
    </row>
    <row r="1052" spans="1:10" x14ac:dyDescent="0.25">
      <c r="A1052" s="7" t="s">
        <v>52731</v>
      </c>
      <c r="B1052" s="8">
        <v>393.75</v>
      </c>
      <c r="C1052" s="8">
        <v>20.478950000000001</v>
      </c>
      <c r="D1052" s="8">
        <v>70</v>
      </c>
      <c r="E1052" s="8">
        <v>0</v>
      </c>
      <c r="F1052" s="8">
        <v>0</v>
      </c>
      <c r="G1052" s="8">
        <v>16</v>
      </c>
      <c r="H1052" s="8" t="s">
        <v>52732</v>
      </c>
      <c r="I1052" s="8">
        <v>526.6875</v>
      </c>
      <c r="J1052" s="3">
        <f t="shared" si="16"/>
        <v>43749.487292256941</v>
      </c>
    </row>
    <row r="1053" spans="1:10" x14ac:dyDescent="0.25">
      <c r="A1053" s="5" t="s">
        <v>52733</v>
      </c>
      <c r="B1053" s="6">
        <v>393.75</v>
      </c>
      <c r="C1053" s="6">
        <v>20.478950000000001</v>
      </c>
      <c r="D1053" s="6">
        <v>68</v>
      </c>
      <c r="E1053" s="6">
        <v>0</v>
      </c>
      <c r="F1053" s="6">
        <v>0</v>
      </c>
      <c r="G1053" s="6">
        <v>14</v>
      </c>
      <c r="H1053" s="6" t="s">
        <v>52734</v>
      </c>
      <c r="I1053" s="6">
        <v>526.6875</v>
      </c>
      <c r="J1053" s="2">
        <f t="shared" si="16"/>
        <v>43749.487375729164</v>
      </c>
    </row>
    <row r="1054" spans="1:10" x14ac:dyDescent="0.25">
      <c r="A1054" s="7" t="s">
        <v>52735</v>
      </c>
      <c r="B1054" s="8">
        <v>393.75</v>
      </c>
      <c r="C1054" s="8">
        <v>20.478950000000001</v>
      </c>
      <c r="D1054" s="8">
        <v>67</v>
      </c>
      <c r="E1054" s="8">
        <v>0</v>
      </c>
      <c r="F1054" s="8">
        <v>0</v>
      </c>
      <c r="G1054" s="8">
        <v>13</v>
      </c>
      <c r="H1054" s="8" t="s">
        <v>52736</v>
      </c>
      <c r="I1054" s="8">
        <v>526.6875</v>
      </c>
      <c r="J1054" s="3">
        <f t="shared" si="16"/>
        <v>43749.487447233791</v>
      </c>
    </row>
    <row r="1055" spans="1:10" x14ac:dyDescent="0.25">
      <c r="A1055" s="5" t="s">
        <v>52737</v>
      </c>
      <c r="B1055" s="6">
        <v>393.75</v>
      </c>
      <c r="C1055" s="6">
        <v>20.478950000000001</v>
      </c>
      <c r="D1055" s="6">
        <v>67</v>
      </c>
      <c r="E1055" s="6">
        <v>0</v>
      </c>
      <c r="F1055" s="6">
        <v>0</v>
      </c>
      <c r="G1055" s="6">
        <v>15</v>
      </c>
      <c r="H1055" s="6" t="s">
        <v>52738</v>
      </c>
      <c r="I1055" s="6">
        <v>526.6875</v>
      </c>
      <c r="J1055" s="2">
        <f t="shared" si="16"/>
        <v>43749.487518981477</v>
      </c>
    </row>
    <row r="1056" spans="1:10" x14ac:dyDescent="0.25">
      <c r="A1056" s="7" t="s">
        <v>52739</v>
      </c>
      <c r="B1056" s="8">
        <v>393.75</v>
      </c>
      <c r="C1056" s="8">
        <v>20.478950000000001</v>
      </c>
      <c r="D1056" s="8">
        <v>67</v>
      </c>
      <c r="E1056" s="8">
        <v>0</v>
      </c>
      <c r="F1056" s="8">
        <v>0</v>
      </c>
      <c r="G1056" s="8">
        <v>14</v>
      </c>
      <c r="H1056" s="8" t="s">
        <v>52740</v>
      </c>
      <c r="I1056" s="8">
        <v>526.6875</v>
      </c>
      <c r="J1056" s="3">
        <f t="shared" si="16"/>
        <v>43749.487602557863</v>
      </c>
    </row>
    <row r="1057" spans="1:10" x14ac:dyDescent="0.25">
      <c r="A1057" s="5" t="s">
        <v>52741</v>
      </c>
      <c r="B1057" s="6">
        <v>393.75</v>
      </c>
      <c r="C1057" s="6">
        <v>20.478950000000001</v>
      </c>
      <c r="D1057" s="6">
        <v>68</v>
      </c>
      <c r="E1057" s="6">
        <v>0</v>
      </c>
      <c r="F1057" s="6">
        <v>0</v>
      </c>
      <c r="G1057" s="6">
        <v>12</v>
      </c>
      <c r="H1057" s="6" t="s">
        <v>52742</v>
      </c>
      <c r="I1057" s="6">
        <v>526.6875</v>
      </c>
      <c r="J1057" s="2">
        <f t="shared" si="16"/>
        <v>43749.487686145832</v>
      </c>
    </row>
    <row r="1058" spans="1:10" x14ac:dyDescent="0.25">
      <c r="A1058" s="7" t="s">
        <v>52743</v>
      </c>
      <c r="B1058" s="8">
        <v>393.75</v>
      </c>
      <c r="C1058" s="8">
        <v>20.478950000000001</v>
      </c>
      <c r="D1058" s="8">
        <v>68</v>
      </c>
      <c r="E1058" s="8">
        <v>0</v>
      </c>
      <c r="F1058" s="8">
        <v>0</v>
      </c>
      <c r="G1058" s="8">
        <v>10</v>
      </c>
      <c r="H1058" s="8" t="s">
        <v>52744</v>
      </c>
      <c r="I1058" s="8">
        <v>526.6875</v>
      </c>
      <c r="J1058" s="3">
        <f t="shared" si="16"/>
        <v>43749.48776935185</v>
      </c>
    </row>
    <row r="1059" spans="1:10" x14ac:dyDescent="0.25">
      <c r="A1059" s="5" t="s">
        <v>52745</v>
      </c>
      <c r="B1059" s="6">
        <v>412.5</v>
      </c>
      <c r="C1059" s="6">
        <v>20.478950000000001</v>
      </c>
      <c r="D1059" s="6">
        <v>68</v>
      </c>
      <c r="E1059" s="6">
        <v>0</v>
      </c>
      <c r="F1059" s="6">
        <v>0</v>
      </c>
      <c r="G1059" s="6">
        <v>10</v>
      </c>
      <c r="H1059" s="6" t="s">
        <v>52746</v>
      </c>
      <c r="I1059" s="6">
        <v>532.5</v>
      </c>
      <c r="J1059" s="2">
        <f t="shared" si="16"/>
        <v>43749.487841006943</v>
      </c>
    </row>
    <row r="1060" spans="1:10" x14ac:dyDescent="0.25">
      <c r="A1060" s="7" t="s">
        <v>52747</v>
      </c>
      <c r="B1060" s="8">
        <v>393.75</v>
      </c>
      <c r="C1060" s="8">
        <v>20.478950000000001</v>
      </c>
      <c r="D1060" s="8">
        <v>69</v>
      </c>
      <c r="E1060" s="8">
        <v>0</v>
      </c>
      <c r="F1060" s="8">
        <v>0</v>
      </c>
      <c r="G1060" s="8">
        <v>16</v>
      </c>
      <c r="H1060" s="8" t="s">
        <v>52748</v>
      </c>
      <c r="I1060" s="8">
        <v>526.6875</v>
      </c>
      <c r="J1060" s="3">
        <f t="shared" si="16"/>
        <v>43749.487924085646</v>
      </c>
    </row>
    <row r="1061" spans="1:10" x14ac:dyDescent="0.25">
      <c r="A1061" s="5" t="s">
        <v>52749</v>
      </c>
      <c r="B1061" s="6">
        <v>393.75</v>
      </c>
      <c r="C1061" s="6">
        <v>20.478950000000001</v>
      </c>
      <c r="D1061" s="6">
        <v>71</v>
      </c>
      <c r="E1061" s="6">
        <v>0</v>
      </c>
      <c r="F1061" s="6">
        <v>0</v>
      </c>
      <c r="G1061" s="6">
        <v>22</v>
      </c>
      <c r="H1061" s="6" t="s">
        <v>52750</v>
      </c>
      <c r="I1061" s="6">
        <v>526.6875</v>
      </c>
      <c r="J1061" s="2">
        <f t="shared" si="16"/>
        <v>43749.487995995369</v>
      </c>
    </row>
    <row r="1062" spans="1:10" x14ac:dyDescent="0.25">
      <c r="A1062" s="7" t="s">
        <v>52751</v>
      </c>
      <c r="B1062" s="8">
        <v>428.125</v>
      </c>
      <c r="C1062" s="8">
        <v>20.478950000000001</v>
      </c>
      <c r="D1062" s="8">
        <v>71</v>
      </c>
      <c r="E1062" s="8">
        <v>0</v>
      </c>
      <c r="F1062" s="8">
        <v>0</v>
      </c>
      <c r="G1062" s="8">
        <v>11</v>
      </c>
      <c r="H1062" s="8" t="s">
        <v>52752</v>
      </c>
      <c r="I1062" s="8">
        <v>537.375</v>
      </c>
      <c r="J1062" s="3">
        <f t="shared" si="16"/>
        <v>43749.48807929398</v>
      </c>
    </row>
    <row r="1063" spans="1:10" x14ac:dyDescent="0.25">
      <c r="A1063" s="5" t="s">
        <v>52753</v>
      </c>
      <c r="B1063" s="6">
        <v>393.75</v>
      </c>
      <c r="C1063" s="6">
        <v>20.478950000000001</v>
      </c>
      <c r="D1063" s="6">
        <v>71</v>
      </c>
      <c r="E1063" s="6">
        <v>0</v>
      </c>
      <c r="F1063" s="6">
        <v>0</v>
      </c>
      <c r="G1063" s="6">
        <v>13</v>
      </c>
      <c r="H1063" s="6" t="s">
        <v>52754</v>
      </c>
      <c r="I1063" s="6">
        <v>526.5</v>
      </c>
      <c r="J1063" s="2">
        <f t="shared" si="16"/>
        <v>43749.488151064812</v>
      </c>
    </row>
    <row r="1064" spans="1:10" x14ac:dyDescent="0.25">
      <c r="A1064" s="7" t="s">
        <v>52755</v>
      </c>
      <c r="B1064" s="8">
        <v>393.75</v>
      </c>
      <c r="C1064" s="8">
        <v>20.531590000000001</v>
      </c>
      <c r="D1064" s="8">
        <v>71</v>
      </c>
      <c r="E1064" s="8">
        <v>0</v>
      </c>
      <c r="F1064" s="8">
        <v>0</v>
      </c>
      <c r="G1064" s="8">
        <v>15</v>
      </c>
      <c r="H1064" s="8" t="s">
        <v>52756</v>
      </c>
      <c r="I1064" s="8">
        <v>526.5</v>
      </c>
      <c r="J1064" s="3">
        <f t="shared" si="16"/>
        <v>43749.48822259259</v>
      </c>
    </row>
    <row r="1065" spans="1:10" x14ac:dyDescent="0.25">
      <c r="A1065" s="5" t="s">
        <v>52757</v>
      </c>
      <c r="B1065" s="6">
        <v>393.75</v>
      </c>
      <c r="C1065" s="6">
        <v>20.478950000000001</v>
      </c>
      <c r="D1065" s="6">
        <v>69</v>
      </c>
      <c r="E1065" s="6">
        <v>0</v>
      </c>
      <c r="F1065" s="6">
        <v>0</v>
      </c>
      <c r="G1065" s="6">
        <v>9</v>
      </c>
      <c r="H1065" s="6" t="s">
        <v>52758</v>
      </c>
      <c r="I1065" s="6">
        <v>526.6875</v>
      </c>
      <c r="J1065" s="2">
        <f t="shared" si="16"/>
        <v>43749.488294224539</v>
      </c>
    </row>
    <row r="1066" spans="1:10" x14ac:dyDescent="0.25">
      <c r="A1066" s="7" t="s">
        <v>52759</v>
      </c>
      <c r="B1066" s="8">
        <v>412.5</v>
      </c>
      <c r="C1066" s="8">
        <v>20.531590000000001</v>
      </c>
      <c r="D1066" s="8">
        <v>69</v>
      </c>
      <c r="E1066" s="8">
        <v>0</v>
      </c>
      <c r="F1066" s="8">
        <v>0</v>
      </c>
      <c r="G1066" s="8">
        <v>7</v>
      </c>
      <c r="H1066" s="8" t="s">
        <v>52760</v>
      </c>
      <c r="I1066" s="8">
        <v>532.3125</v>
      </c>
      <c r="J1066" s="3">
        <f t="shared" si="16"/>
        <v>43749.488365636571</v>
      </c>
    </row>
    <row r="1067" spans="1:10" x14ac:dyDescent="0.25">
      <c r="A1067" s="5" t="s">
        <v>52761</v>
      </c>
      <c r="B1067" s="6">
        <v>393.75</v>
      </c>
      <c r="C1067" s="6">
        <v>20.531590000000001</v>
      </c>
      <c r="D1067" s="6">
        <v>69</v>
      </c>
      <c r="E1067" s="6">
        <v>0</v>
      </c>
      <c r="F1067" s="6">
        <v>0</v>
      </c>
      <c r="G1067" s="6">
        <v>14</v>
      </c>
      <c r="H1067" s="6" t="s">
        <v>52762</v>
      </c>
      <c r="I1067" s="6">
        <v>526.6875</v>
      </c>
      <c r="J1067" s="2">
        <f t="shared" si="16"/>
        <v>43749.488437291664</v>
      </c>
    </row>
    <row r="1068" spans="1:10" x14ac:dyDescent="0.25">
      <c r="A1068" s="7" t="s">
        <v>52763</v>
      </c>
      <c r="B1068" s="8">
        <v>393.75</v>
      </c>
      <c r="C1068" s="8">
        <v>20.478950000000001</v>
      </c>
      <c r="D1068" s="8">
        <v>68</v>
      </c>
      <c r="E1068" s="8">
        <v>0</v>
      </c>
      <c r="F1068" s="8">
        <v>0</v>
      </c>
      <c r="G1068" s="8">
        <v>16</v>
      </c>
      <c r="H1068" s="8" t="s">
        <v>52764</v>
      </c>
      <c r="I1068" s="8">
        <v>526.6875</v>
      </c>
      <c r="J1068" s="3">
        <f t="shared" si="16"/>
        <v>43749.488520752311</v>
      </c>
    </row>
    <row r="1069" spans="1:10" x14ac:dyDescent="0.25">
      <c r="A1069" s="5" t="s">
        <v>52765</v>
      </c>
      <c r="B1069" s="6">
        <v>412.5</v>
      </c>
      <c r="C1069" s="6">
        <v>20.478950000000001</v>
      </c>
      <c r="D1069" s="6">
        <v>68</v>
      </c>
      <c r="E1069" s="6">
        <v>0</v>
      </c>
      <c r="F1069" s="6">
        <v>0</v>
      </c>
      <c r="G1069" s="6">
        <v>2</v>
      </c>
      <c r="H1069" s="6" t="s">
        <v>52766</v>
      </c>
      <c r="I1069" s="6">
        <v>532.6875</v>
      </c>
      <c r="J1069" s="2">
        <f t="shared" si="16"/>
        <v>43749.488604305552</v>
      </c>
    </row>
    <row r="1070" spans="1:10" x14ac:dyDescent="0.25">
      <c r="A1070" s="7" t="s">
        <v>52767</v>
      </c>
      <c r="B1070" s="8">
        <v>393.75</v>
      </c>
      <c r="C1070" s="8">
        <v>20.478950000000001</v>
      </c>
      <c r="D1070" s="8">
        <v>69</v>
      </c>
      <c r="E1070" s="8">
        <v>0</v>
      </c>
      <c r="F1070" s="8">
        <v>0</v>
      </c>
      <c r="G1070" s="8">
        <v>3</v>
      </c>
      <c r="H1070" s="8" t="s">
        <v>52768</v>
      </c>
      <c r="I1070" s="8">
        <v>526.6875</v>
      </c>
      <c r="J1070" s="3">
        <f t="shared" si="16"/>
        <v>43749.488687743054</v>
      </c>
    </row>
    <row r="1071" spans="1:10" x14ac:dyDescent="0.25">
      <c r="A1071" s="5" t="s">
        <v>52769</v>
      </c>
      <c r="B1071" s="6">
        <v>393.75</v>
      </c>
      <c r="C1071" s="6">
        <v>20.478950000000001</v>
      </c>
      <c r="D1071" s="6">
        <v>68</v>
      </c>
      <c r="E1071" s="6">
        <v>0</v>
      </c>
      <c r="F1071" s="6">
        <v>0</v>
      </c>
      <c r="G1071" s="6">
        <v>5</v>
      </c>
      <c r="H1071" s="6" t="s">
        <v>52770</v>
      </c>
      <c r="I1071" s="6">
        <v>526.6875</v>
      </c>
      <c r="J1071" s="2">
        <f t="shared" si="16"/>
        <v>43749.48877131944</v>
      </c>
    </row>
    <row r="1072" spans="1:10" x14ac:dyDescent="0.25">
      <c r="A1072" s="7" t="s">
        <v>52771</v>
      </c>
      <c r="B1072" s="8">
        <v>393.75</v>
      </c>
      <c r="C1072" s="8">
        <v>20.478950000000001</v>
      </c>
      <c r="D1072" s="8">
        <v>67</v>
      </c>
      <c r="E1072" s="8">
        <v>0</v>
      </c>
      <c r="F1072" s="8">
        <v>0</v>
      </c>
      <c r="G1072" s="8">
        <v>7</v>
      </c>
      <c r="H1072" s="8" t="s">
        <v>52772</v>
      </c>
      <c r="I1072" s="8">
        <v>526.6875</v>
      </c>
      <c r="J1072" s="3">
        <f t="shared" si="16"/>
        <v>43749.488866539345</v>
      </c>
    </row>
    <row r="1073" spans="1:10" x14ac:dyDescent="0.25">
      <c r="A1073" s="5" t="s">
        <v>52773</v>
      </c>
      <c r="B1073" s="6">
        <v>393.75</v>
      </c>
      <c r="C1073" s="6">
        <v>20.478950000000001</v>
      </c>
      <c r="D1073" s="6">
        <v>67</v>
      </c>
      <c r="E1073" s="6">
        <v>0</v>
      </c>
      <c r="F1073" s="6">
        <v>0</v>
      </c>
      <c r="G1073" s="6">
        <v>0</v>
      </c>
      <c r="H1073" s="6" t="s">
        <v>52774</v>
      </c>
      <c r="I1073" s="6">
        <v>526.6875</v>
      </c>
      <c r="J1073" s="2">
        <f t="shared" si="16"/>
        <v>43749.488937835646</v>
      </c>
    </row>
    <row r="1074" spans="1:10" x14ac:dyDescent="0.25">
      <c r="A1074" s="7" t="s">
        <v>52775</v>
      </c>
      <c r="B1074" s="8">
        <v>393.75</v>
      </c>
      <c r="C1074" s="8">
        <v>20.478950000000001</v>
      </c>
      <c r="D1074" s="8">
        <v>67</v>
      </c>
      <c r="E1074" s="8">
        <v>0</v>
      </c>
      <c r="F1074" s="8">
        <v>0</v>
      </c>
      <c r="G1074" s="8">
        <v>1</v>
      </c>
      <c r="H1074" s="8" t="s">
        <v>52776</v>
      </c>
      <c r="I1074" s="8">
        <v>526.6875</v>
      </c>
      <c r="J1074" s="3">
        <f t="shared" si="16"/>
        <v>43749.48902163194</v>
      </c>
    </row>
    <row r="1075" spans="1:10" x14ac:dyDescent="0.25">
      <c r="A1075" s="5" t="s">
        <v>52777</v>
      </c>
      <c r="B1075" s="6">
        <v>393.75</v>
      </c>
      <c r="C1075" s="6">
        <v>20.531590000000001</v>
      </c>
      <c r="D1075" s="6">
        <v>66</v>
      </c>
      <c r="E1075" s="6">
        <v>0</v>
      </c>
      <c r="F1075" s="6">
        <v>0</v>
      </c>
      <c r="G1075" s="6">
        <v>5</v>
      </c>
      <c r="H1075" s="6" t="s">
        <v>52778</v>
      </c>
      <c r="I1075" s="6">
        <v>526.6875</v>
      </c>
      <c r="J1075" s="2">
        <f t="shared" si="16"/>
        <v>43749.489093136574</v>
      </c>
    </row>
    <row r="1076" spans="1:10" x14ac:dyDescent="0.25">
      <c r="A1076" s="7" t="s">
        <v>52779</v>
      </c>
      <c r="B1076" s="8">
        <v>393.75</v>
      </c>
      <c r="C1076" s="8">
        <v>20.478950000000001</v>
      </c>
      <c r="D1076" s="8">
        <v>69</v>
      </c>
      <c r="E1076" s="8">
        <v>0</v>
      </c>
      <c r="F1076" s="8">
        <v>0</v>
      </c>
      <c r="G1076" s="8">
        <v>2</v>
      </c>
      <c r="H1076" s="8" t="s">
        <v>52780</v>
      </c>
      <c r="I1076" s="8">
        <v>526.6875</v>
      </c>
      <c r="J1076" s="3">
        <f t="shared" si="16"/>
        <v>43749.489176608789</v>
      </c>
    </row>
    <row r="1077" spans="1:10" x14ac:dyDescent="0.25">
      <c r="A1077" s="5" t="s">
        <v>52781</v>
      </c>
      <c r="B1077" s="6">
        <v>393.75</v>
      </c>
      <c r="C1077" s="6">
        <v>20.478950000000001</v>
      </c>
      <c r="D1077" s="6">
        <v>68</v>
      </c>
      <c r="E1077" s="6">
        <v>0</v>
      </c>
      <c r="F1077" s="6">
        <v>0</v>
      </c>
      <c r="G1077" s="6">
        <v>0</v>
      </c>
      <c r="H1077" s="6" t="s">
        <v>52782</v>
      </c>
      <c r="I1077" s="6">
        <v>526.6875</v>
      </c>
      <c r="J1077" s="2">
        <f t="shared" si="16"/>
        <v>43749.489260057868</v>
      </c>
    </row>
    <row r="1078" spans="1:10" x14ac:dyDescent="0.25">
      <c r="A1078" s="7" t="s">
        <v>52783</v>
      </c>
      <c r="B1078" s="8">
        <v>393.75</v>
      </c>
      <c r="C1078" s="8">
        <v>20.478950000000001</v>
      </c>
      <c r="D1078" s="8">
        <v>64</v>
      </c>
      <c r="E1078" s="8">
        <v>0</v>
      </c>
      <c r="F1078" s="8">
        <v>0</v>
      </c>
      <c r="G1078" s="8">
        <v>12</v>
      </c>
      <c r="H1078" s="8" t="s">
        <v>52784</v>
      </c>
      <c r="I1078" s="8">
        <v>526.6875</v>
      </c>
      <c r="J1078" s="3">
        <f t="shared" si="16"/>
        <v>43749.489343634261</v>
      </c>
    </row>
    <row r="1079" spans="1:10" x14ac:dyDescent="0.25">
      <c r="A1079" s="5" t="s">
        <v>52785</v>
      </c>
      <c r="B1079" s="6">
        <v>393.75</v>
      </c>
      <c r="C1079" s="6">
        <v>20.531590000000001</v>
      </c>
      <c r="D1079" s="6">
        <v>66</v>
      </c>
      <c r="E1079" s="6">
        <v>0</v>
      </c>
      <c r="F1079" s="6">
        <v>0</v>
      </c>
      <c r="G1079" s="6">
        <v>13</v>
      </c>
      <c r="H1079" s="6" t="s">
        <v>52786</v>
      </c>
      <c r="I1079" s="6">
        <v>526.6875</v>
      </c>
      <c r="J1079" s="2">
        <f t="shared" si="16"/>
        <v>43749.489415138887</v>
      </c>
    </row>
    <row r="1080" spans="1:10" x14ac:dyDescent="0.25">
      <c r="A1080" s="7" t="s">
        <v>52787</v>
      </c>
      <c r="B1080" s="8">
        <v>393.75</v>
      </c>
      <c r="C1080" s="8">
        <v>20.531590000000001</v>
      </c>
      <c r="D1080" s="8">
        <v>67</v>
      </c>
      <c r="E1080" s="8">
        <v>0</v>
      </c>
      <c r="F1080" s="8">
        <v>0</v>
      </c>
      <c r="G1080" s="8">
        <v>7</v>
      </c>
      <c r="H1080" s="8" t="s">
        <v>52788</v>
      </c>
      <c r="I1080" s="8">
        <v>526.6875</v>
      </c>
      <c r="J1080" s="3">
        <f t="shared" si="16"/>
        <v>43749.489486331011</v>
      </c>
    </row>
    <row r="1081" spans="1:10" x14ac:dyDescent="0.25">
      <c r="A1081" s="5" t="s">
        <v>52789</v>
      </c>
      <c r="B1081" s="6">
        <v>393.75</v>
      </c>
      <c r="C1081" s="6">
        <v>20.478950000000001</v>
      </c>
      <c r="D1081" s="6">
        <v>67</v>
      </c>
      <c r="E1081" s="6">
        <v>0</v>
      </c>
      <c r="F1081" s="6">
        <v>0</v>
      </c>
      <c r="G1081" s="6">
        <v>1</v>
      </c>
      <c r="H1081" s="6" t="s">
        <v>52790</v>
      </c>
      <c r="I1081" s="6">
        <v>526.6875</v>
      </c>
      <c r="J1081" s="2">
        <f t="shared" si="16"/>
        <v>43749.489558229165</v>
      </c>
    </row>
    <row r="1082" spans="1:10" x14ac:dyDescent="0.25">
      <c r="A1082" s="7" t="s">
        <v>52791</v>
      </c>
      <c r="B1082" s="8">
        <v>393.75</v>
      </c>
      <c r="C1082" s="8">
        <v>20.478950000000001</v>
      </c>
      <c r="D1082" s="8">
        <v>67</v>
      </c>
      <c r="E1082" s="8">
        <v>0</v>
      </c>
      <c r="F1082" s="8">
        <v>0</v>
      </c>
      <c r="G1082" s="8">
        <v>0</v>
      </c>
      <c r="H1082" s="8" t="s">
        <v>52792</v>
      </c>
      <c r="I1082" s="8">
        <v>526.6875</v>
      </c>
      <c r="J1082" s="3">
        <f t="shared" si="16"/>
        <v>43749.489641539352</v>
      </c>
    </row>
    <row r="1083" spans="1:10" x14ac:dyDescent="0.25">
      <c r="A1083" s="5" t="s">
        <v>52793</v>
      </c>
      <c r="B1083" s="6">
        <v>393.75</v>
      </c>
      <c r="C1083" s="6">
        <v>20.584240000000001</v>
      </c>
      <c r="D1083" s="6">
        <v>67</v>
      </c>
      <c r="E1083" s="6">
        <v>0</v>
      </c>
      <c r="F1083" s="6">
        <v>0</v>
      </c>
      <c r="G1083" s="6">
        <v>0</v>
      </c>
      <c r="H1083" s="6" t="s">
        <v>52794</v>
      </c>
      <c r="I1083" s="6">
        <v>526.6875</v>
      </c>
      <c r="J1083" s="2">
        <f t="shared" si="16"/>
        <v>43749.489716562493</v>
      </c>
    </row>
    <row r="1084" spans="1:10" x14ac:dyDescent="0.25">
      <c r="A1084" s="7" t="s">
        <v>52795</v>
      </c>
      <c r="B1084" s="8">
        <v>393.75</v>
      </c>
      <c r="C1084" s="8">
        <v>20.478950000000001</v>
      </c>
      <c r="D1084" s="8">
        <v>66</v>
      </c>
      <c r="E1084" s="8">
        <v>0</v>
      </c>
      <c r="F1084" s="8">
        <v>0</v>
      </c>
      <c r="G1084" s="8">
        <v>2</v>
      </c>
      <c r="H1084" s="8" t="s">
        <v>52796</v>
      </c>
      <c r="I1084" s="8">
        <v>526.6875</v>
      </c>
      <c r="J1084" s="3">
        <f t="shared" si="16"/>
        <v>43749.48979673611</v>
      </c>
    </row>
    <row r="1085" spans="1:10" x14ac:dyDescent="0.25">
      <c r="A1085" s="5" t="s">
        <v>52797</v>
      </c>
      <c r="B1085" s="6">
        <v>393.75</v>
      </c>
      <c r="C1085" s="6">
        <v>20.478950000000001</v>
      </c>
      <c r="D1085" s="6">
        <v>66</v>
      </c>
      <c r="E1085" s="6">
        <v>0</v>
      </c>
      <c r="F1085" s="6">
        <v>0</v>
      </c>
      <c r="G1085" s="6">
        <v>8</v>
      </c>
      <c r="H1085" s="6" t="s">
        <v>52798</v>
      </c>
      <c r="I1085" s="6">
        <v>526.6875</v>
      </c>
      <c r="J1085" s="2">
        <f t="shared" si="16"/>
        <v>43749.489880196757</v>
      </c>
    </row>
    <row r="1086" spans="1:10" x14ac:dyDescent="0.25">
      <c r="A1086" s="7" t="s">
        <v>52799</v>
      </c>
      <c r="B1086" s="8">
        <v>393.75</v>
      </c>
      <c r="C1086" s="8">
        <v>20.531590000000001</v>
      </c>
      <c r="D1086" s="8">
        <v>66</v>
      </c>
      <c r="E1086" s="8">
        <v>0</v>
      </c>
      <c r="F1086" s="8">
        <v>0</v>
      </c>
      <c r="G1086" s="8">
        <v>3</v>
      </c>
      <c r="H1086" s="8" t="s">
        <v>52800</v>
      </c>
      <c r="I1086" s="8">
        <v>526.5</v>
      </c>
      <c r="J1086" s="3">
        <f t="shared" si="16"/>
        <v>43749.489951736112</v>
      </c>
    </row>
    <row r="1087" spans="1:10" x14ac:dyDescent="0.25">
      <c r="A1087" s="5" t="s">
        <v>52801</v>
      </c>
      <c r="B1087" s="6">
        <v>393.75</v>
      </c>
      <c r="C1087" s="6">
        <v>20.478950000000001</v>
      </c>
      <c r="D1087" s="6">
        <v>65</v>
      </c>
      <c r="E1087" s="6">
        <v>0</v>
      </c>
      <c r="F1087" s="6">
        <v>0</v>
      </c>
      <c r="G1087" s="6">
        <v>6</v>
      </c>
      <c r="H1087" s="6" t="s">
        <v>52802</v>
      </c>
      <c r="I1087" s="6">
        <v>526.5</v>
      </c>
      <c r="J1087" s="2">
        <f t="shared" si="16"/>
        <v>43749.490023124999</v>
      </c>
    </row>
    <row r="1088" spans="1:10" x14ac:dyDescent="0.25">
      <c r="A1088" s="7" t="s">
        <v>52803</v>
      </c>
      <c r="B1088" s="8">
        <v>393.75</v>
      </c>
      <c r="C1088" s="8">
        <v>20.478950000000001</v>
      </c>
      <c r="D1088" s="8">
        <v>65</v>
      </c>
      <c r="E1088" s="8">
        <v>0</v>
      </c>
      <c r="F1088" s="8">
        <v>0</v>
      </c>
      <c r="G1088" s="8">
        <v>3</v>
      </c>
      <c r="H1088" s="8" t="s">
        <v>52804</v>
      </c>
      <c r="I1088" s="8">
        <v>526.6875</v>
      </c>
      <c r="J1088" s="3">
        <f t="shared" si="16"/>
        <v>43749.490094895831</v>
      </c>
    </row>
    <row r="1089" spans="1:10" x14ac:dyDescent="0.25">
      <c r="A1089" s="5" t="s">
        <v>52805</v>
      </c>
      <c r="B1089" s="6">
        <v>412.5</v>
      </c>
      <c r="C1089" s="6">
        <v>20.478950000000001</v>
      </c>
      <c r="D1089" s="6">
        <v>64</v>
      </c>
      <c r="E1089" s="6">
        <v>0</v>
      </c>
      <c r="F1089" s="6">
        <v>0</v>
      </c>
      <c r="G1089" s="6">
        <v>9</v>
      </c>
      <c r="H1089" s="6" t="s">
        <v>52806</v>
      </c>
      <c r="I1089" s="6">
        <v>532.3125</v>
      </c>
      <c r="J1089" s="2">
        <f t="shared" si="16"/>
        <v>43749.490178356478</v>
      </c>
    </row>
    <row r="1090" spans="1:10" x14ac:dyDescent="0.25">
      <c r="A1090" s="7" t="s">
        <v>52807</v>
      </c>
      <c r="B1090" s="8">
        <v>393.75</v>
      </c>
      <c r="C1090" s="8">
        <v>20.478950000000001</v>
      </c>
      <c r="D1090" s="8">
        <v>64</v>
      </c>
      <c r="E1090" s="8">
        <v>0</v>
      </c>
      <c r="F1090" s="8">
        <v>0</v>
      </c>
      <c r="G1090" s="8">
        <v>0</v>
      </c>
      <c r="H1090" s="8" t="s">
        <v>52808</v>
      </c>
      <c r="I1090" s="8">
        <v>526.6875</v>
      </c>
      <c r="J1090" s="3">
        <f t="shared" ref="J1090:J1153" si="17">(H1090/86400000)+25569+(7/24)</f>
        <v>43749.490261909719</v>
      </c>
    </row>
    <row r="1091" spans="1:10" x14ac:dyDescent="0.25">
      <c r="A1091" s="5" t="s">
        <v>52809</v>
      </c>
      <c r="B1091" s="6">
        <v>393.75</v>
      </c>
      <c r="C1091" s="6">
        <v>20.478950000000001</v>
      </c>
      <c r="D1091" s="6">
        <v>64</v>
      </c>
      <c r="E1091" s="6">
        <v>0</v>
      </c>
      <c r="F1091" s="6">
        <v>0</v>
      </c>
      <c r="G1091" s="6">
        <v>0</v>
      </c>
      <c r="H1091" s="6" t="s">
        <v>52810</v>
      </c>
      <c r="I1091" s="6">
        <v>526.6875</v>
      </c>
      <c r="J1091" s="2">
        <f t="shared" si="17"/>
        <v>43749.490333437498</v>
      </c>
    </row>
    <row r="1092" spans="1:10" x14ac:dyDescent="0.25">
      <c r="A1092" s="7" t="s">
        <v>52811</v>
      </c>
      <c r="B1092" s="8">
        <v>393.75</v>
      </c>
      <c r="C1092" s="8">
        <v>20.478950000000001</v>
      </c>
      <c r="D1092" s="8">
        <v>64</v>
      </c>
      <c r="E1092" s="8">
        <v>0</v>
      </c>
      <c r="F1092" s="8">
        <v>0</v>
      </c>
      <c r="G1092" s="8">
        <v>0</v>
      </c>
      <c r="H1092" s="8" t="s">
        <v>52812</v>
      </c>
      <c r="I1092" s="8">
        <v>526.6875</v>
      </c>
      <c r="J1092" s="3">
        <f t="shared" si="17"/>
        <v>43749.490404618053</v>
      </c>
    </row>
    <row r="1093" spans="1:10" x14ac:dyDescent="0.25">
      <c r="A1093" s="5" t="s">
        <v>52813</v>
      </c>
      <c r="B1093" s="6">
        <v>393.75</v>
      </c>
      <c r="C1093" s="6">
        <v>20.478950000000001</v>
      </c>
      <c r="D1093" s="6">
        <v>65</v>
      </c>
      <c r="E1093" s="6">
        <v>0</v>
      </c>
      <c r="F1093" s="6">
        <v>0</v>
      </c>
      <c r="G1093" s="6">
        <v>0</v>
      </c>
      <c r="H1093" s="6" t="s">
        <v>52814</v>
      </c>
      <c r="I1093" s="6">
        <v>526.6875</v>
      </c>
      <c r="J1093" s="2">
        <f t="shared" si="17"/>
        <v>43749.49047650463</v>
      </c>
    </row>
    <row r="1094" spans="1:10" x14ac:dyDescent="0.25">
      <c r="A1094" s="7" t="s">
        <v>52815</v>
      </c>
      <c r="B1094" s="8">
        <v>393.75</v>
      </c>
      <c r="C1094" s="8">
        <v>20.531590000000001</v>
      </c>
      <c r="D1094" s="8">
        <v>65</v>
      </c>
      <c r="E1094" s="8">
        <v>0</v>
      </c>
      <c r="F1094" s="8">
        <v>0</v>
      </c>
      <c r="G1094" s="8">
        <v>10</v>
      </c>
      <c r="H1094" s="8" t="s">
        <v>52816</v>
      </c>
      <c r="I1094" s="8">
        <v>526.6875</v>
      </c>
      <c r="J1094" s="3">
        <f t="shared" si="17"/>
        <v>43749.49056017361</v>
      </c>
    </row>
    <row r="1095" spans="1:10" x14ac:dyDescent="0.25">
      <c r="A1095" s="5" t="s">
        <v>52817</v>
      </c>
      <c r="B1095" s="6">
        <v>415.625</v>
      </c>
      <c r="C1095" s="6">
        <v>20.478950000000001</v>
      </c>
      <c r="D1095" s="6">
        <v>65</v>
      </c>
      <c r="E1095" s="6">
        <v>0</v>
      </c>
      <c r="F1095" s="6">
        <v>0</v>
      </c>
      <c r="G1095" s="6">
        <v>2</v>
      </c>
      <c r="H1095" s="6" t="s">
        <v>52818</v>
      </c>
      <c r="I1095" s="6">
        <v>533.625</v>
      </c>
      <c r="J1095" s="2">
        <f t="shared" si="17"/>
        <v>43749.490631620363</v>
      </c>
    </row>
    <row r="1096" spans="1:10" x14ac:dyDescent="0.25">
      <c r="A1096" s="7" t="s">
        <v>52819</v>
      </c>
      <c r="B1096" s="8">
        <v>393.75</v>
      </c>
      <c r="C1096" s="8">
        <v>20.478950000000001</v>
      </c>
      <c r="D1096" s="8">
        <v>66</v>
      </c>
      <c r="E1096" s="8">
        <v>0</v>
      </c>
      <c r="F1096" s="8">
        <v>0</v>
      </c>
      <c r="G1096" s="8">
        <v>5</v>
      </c>
      <c r="H1096" s="8" t="s">
        <v>52820</v>
      </c>
      <c r="I1096" s="8">
        <v>526.6875</v>
      </c>
      <c r="J1096" s="3">
        <f t="shared" si="17"/>
        <v>43749.490715023145</v>
      </c>
    </row>
    <row r="1097" spans="1:10" x14ac:dyDescent="0.25">
      <c r="A1097" s="5" t="s">
        <v>52821</v>
      </c>
      <c r="B1097" s="6">
        <v>393.75</v>
      </c>
      <c r="C1097" s="6">
        <v>20.478950000000001</v>
      </c>
      <c r="D1097" s="6">
        <v>65</v>
      </c>
      <c r="E1097" s="6">
        <v>0</v>
      </c>
      <c r="F1097" s="6">
        <v>0</v>
      </c>
      <c r="G1097" s="6">
        <v>7</v>
      </c>
      <c r="H1097" s="6" t="s">
        <v>52822</v>
      </c>
      <c r="I1097" s="6">
        <v>526.6875</v>
      </c>
      <c r="J1097" s="2">
        <f t="shared" si="17"/>
        <v>43749.490786319446</v>
      </c>
    </row>
    <row r="1098" spans="1:10" x14ac:dyDescent="0.25">
      <c r="A1098" s="7" t="s">
        <v>52823</v>
      </c>
      <c r="B1098" s="8">
        <v>393.75</v>
      </c>
      <c r="C1098" s="8">
        <v>20.478950000000001</v>
      </c>
      <c r="D1098" s="8">
        <v>65</v>
      </c>
      <c r="E1098" s="8">
        <v>0</v>
      </c>
      <c r="F1098" s="8">
        <v>0</v>
      </c>
      <c r="G1098" s="8">
        <v>1</v>
      </c>
      <c r="H1098" s="8" t="s">
        <v>52824</v>
      </c>
      <c r="I1098" s="8">
        <v>526.6875</v>
      </c>
      <c r="J1098" s="3">
        <f t="shared" si="17"/>
        <v>43749.490858263882</v>
      </c>
    </row>
    <row r="1099" spans="1:10" x14ac:dyDescent="0.25">
      <c r="A1099" s="5" t="s">
        <v>52825</v>
      </c>
      <c r="B1099" s="6">
        <v>393.75</v>
      </c>
      <c r="C1099" s="6">
        <v>20.531590000000001</v>
      </c>
      <c r="D1099" s="6">
        <v>67</v>
      </c>
      <c r="E1099" s="6">
        <v>0</v>
      </c>
      <c r="F1099" s="6">
        <v>0</v>
      </c>
      <c r="G1099" s="6">
        <v>5</v>
      </c>
      <c r="H1099" s="6" t="s">
        <v>52826</v>
      </c>
      <c r="I1099" s="6">
        <v>526.6875</v>
      </c>
      <c r="J1099" s="2">
        <f t="shared" si="17"/>
        <v>43749.490941527773</v>
      </c>
    </row>
    <row r="1100" spans="1:10" x14ac:dyDescent="0.25">
      <c r="A1100" s="7" t="s">
        <v>52827</v>
      </c>
      <c r="B1100" s="8">
        <v>393.75</v>
      </c>
      <c r="C1100" s="8">
        <v>20.531590000000001</v>
      </c>
      <c r="D1100" s="8">
        <v>67</v>
      </c>
      <c r="E1100" s="8">
        <v>0</v>
      </c>
      <c r="F1100" s="8">
        <v>0</v>
      </c>
      <c r="G1100" s="8">
        <v>4</v>
      </c>
      <c r="H1100" s="8" t="s">
        <v>52828</v>
      </c>
      <c r="I1100" s="8">
        <v>526.6875</v>
      </c>
      <c r="J1100" s="3">
        <f t="shared" si="17"/>
        <v>43749.491025127318</v>
      </c>
    </row>
    <row r="1101" spans="1:10" x14ac:dyDescent="0.25">
      <c r="A1101" s="5" t="s">
        <v>52829</v>
      </c>
      <c r="B1101" s="6">
        <v>412.5</v>
      </c>
      <c r="C1101" s="6">
        <v>20.478950000000001</v>
      </c>
      <c r="D1101" s="6">
        <v>67</v>
      </c>
      <c r="E1101" s="6">
        <v>0</v>
      </c>
      <c r="F1101" s="6">
        <v>0</v>
      </c>
      <c r="G1101" s="6">
        <v>12</v>
      </c>
      <c r="H1101" s="6" t="s">
        <v>52830</v>
      </c>
      <c r="I1101" s="6">
        <v>532.6875</v>
      </c>
      <c r="J1101" s="2">
        <f t="shared" si="17"/>
        <v>43749.491096631937</v>
      </c>
    </row>
    <row r="1102" spans="1:10" x14ac:dyDescent="0.25">
      <c r="A1102" s="7" t="s">
        <v>52831</v>
      </c>
      <c r="B1102" s="8">
        <v>393.75</v>
      </c>
      <c r="C1102" s="8">
        <v>20.478950000000001</v>
      </c>
      <c r="D1102" s="8">
        <v>63</v>
      </c>
      <c r="E1102" s="8">
        <v>0</v>
      </c>
      <c r="F1102" s="8">
        <v>0</v>
      </c>
      <c r="G1102" s="8">
        <v>0</v>
      </c>
      <c r="H1102" s="8" t="s">
        <v>52832</v>
      </c>
      <c r="I1102" s="8">
        <v>526.6875</v>
      </c>
      <c r="J1102" s="3">
        <f t="shared" si="17"/>
        <v>43749.491168275461</v>
      </c>
    </row>
    <row r="1103" spans="1:10" x14ac:dyDescent="0.25">
      <c r="A1103" s="5" t="s">
        <v>52833</v>
      </c>
      <c r="B1103" s="6">
        <v>393.75</v>
      </c>
      <c r="C1103" s="6">
        <v>20.478950000000001</v>
      </c>
      <c r="D1103" s="6">
        <v>64</v>
      </c>
      <c r="E1103" s="6">
        <v>0</v>
      </c>
      <c r="F1103" s="6">
        <v>0</v>
      </c>
      <c r="G1103" s="6">
        <v>0</v>
      </c>
      <c r="H1103" s="6" t="s">
        <v>52834</v>
      </c>
      <c r="I1103" s="6">
        <v>526.6875</v>
      </c>
      <c r="J1103" s="2">
        <f t="shared" si="17"/>
        <v>43749.491239814808</v>
      </c>
    </row>
    <row r="1104" spans="1:10" x14ac:dyDescent="0.25">
      <c r="A1104" s="7" t="s">
        <v>52835</v>
      </c>
      <c r="B1104" s="8">
        <v>393.75</v>
      </c>
      <c r="C1104" s="8">
        <v>20.478950000000001</v>
      </c>
      <c r="D1104" s="8">
        <v>61</v>
      </c>
      <c r="E1104" s="8">
        <v>0</v>
      </c>
      <c r="F1104" s="8">
        <v>0</v>
      </c>
      <c r="G1104" s="8">
        <v>1</v>
      </c>
      <c r="H1104" s="8" t="s">
        <v>52836</v>
      </c>
      <c r="I1104" s="8">
        <v>526.6875</v>
      </c>
      <c r="J1104" s="3">
        <f t="shared" si="17"/>
        <v>43749.491335289349</v>
      </c>
    </row>
    <row r="1105" spans="1:10" x14ac:dyDescent="0.25">
      <c r="A1105" s="5" t="s">
        <v>52837</v>
      </c>
      <c r="B1105" s="6">
        <v>393.75</v>
      </c>
      <c r="C1105" s="6">
        <v>20.478950000000001</v>
      </c>
      <c r="D1105" s="6">
        <v>62</v>
      </c>
      <c r="E1105" s="6">
        <v>0</v>
      </c>
      <c r="F1105" s="6">
        <v>0</v>
      </c>
      <c r="G1105" s="6">
        <v>2</v>
      </c>
      <c r="H1105" s="6" t="s">
        <v>52838</v>
      </c>
      <c r="I1105" s="6">
        <v>526.6875</v>
      </c>
      <c r="J1105" s="2">
        <f t="shared" si="17"/>
        <v>43749.491430439812</v>
      </c>
    </row>
    <row r="1106" spans="1:10" x14ac:dyDescent="0.25">
      <c r="A1106" s="7" t="s">
        <v>52839</v>
      </c>
      <c r="B1106" s="8">
        <v>421.875</v>
      </c>
      <c r="C1106" s="8">
        <v>20.478950000000001</v>
      </c>
      <c r="D1106" s="8">
        <v>62</v>
      </c>
      <c r="E1106" s="8">
        <v>0</v>
      </c>
      <c r="F1106" s="8">
        <v>0</v>
      </c>
      <c r="G1106" s="8">
        <v>6</v>
      </c>
      <c r="H1106" s="8" t="s">
        <v>52840</v>
      </c>
      <c r="I1106" s="8">
        <v>535.3125</v>
      </c>
      <c r="J1106" s="3">
        <f t="shared" si="17"/>
        <v>43749.491502094905</v>
      </c>
    </row>
    <row r="1107" spans="1:10" x14ac:dyDescent="0.25">
      <c r="A1107" s="5" t="s">
        <v>52841</v>
      </c>
      <c r="B1107" s="6">
        <v>393.75</v>
      </c>
      <c r="C1107" s="6">
        <v>20.478950000000001</v>
      </c>
      <c r="D1107" s="6">
        <v>63</v>
      </c>
      <c r="E1107" s="6">
        <v>0</v>
      </c>
      <c r="F1107" s="6">
        <v>0</v>
      </c>
      <c r="G1107" s="6">
        <v>0</v>
      </c>
      <c r="H1107" s="6" t="s">
        <v>52842</v>
      </c>
      <c r="I1107" s="6">
        <v>526.875</v>
      </c>
      <c r="J1107" s="2">
        <f t="shared" si="17"/>
        <v>43749.491585902775</v>
      </c>
    </row>
    <row r="1108" spans="1:10" x14ac:dyDescent="0.25">
      <c r="A1108" s="7" t="s">
        <v>52843</v>
      </c>
      <c r="B1108" s="8">
        <v>393.75</v>
      </c>
      <c r="C1108" s="8">
        <v>20.531590000000001</v>
      </c>
      <c r="D1108" s="8">
        <v>63</v>
      </c>
      <c r="E1108" s="8">
        <v>0</v>
      </c>
      <c r="F1108" s="8">
        <v>0</v>
      </c>
      <c r="G1108" s="8">
        <v>5</v>
      </c>
      <c r="H1108" s="8" t="s">
        <v>52844</v>
      </c>
      <c r="I1108" s="8">
        <v>526.6875</v>
      </c>
      <c r="J1108" s="3">
        <f t="shared" si="17"/>
        <v>43749.491657303239</v>
      </c>
    </row>
    <row r="1109" spans="1:10" x14ac:dyDescent="0.25">
      <c r="A1109" s="5" t="s">
        <v>52845</v>
      </c>
      <c r="B1109" s="6">
        <v>393.75</v>
      </c>
      <c r="C1109" s="6">
        <v>20.531590000000001</v>
      </c>
      <c r="D1109" s="6">
        <v>63</v>
      </c>
      <c r="E1109" s="6">
        <v>0</v>
      </c>
      <c r="F1109" s="6">
        <v>0</v>
      </c>
      <c r="G1109" s="6">
        <v>5</v>
      </c>
      <c r="H1109" s="6" t="s">
        <v>52846</v>
      </c>
      <c r="I1109" s="6">
        <v>526.6875</v>
      </c>
      <c r="J1109" s="2">
        <f t="shared" si="17"/>
        <v>43749.491742708335</v>
      </c>
    </row>
    <row r="1110" spans="1:10" x14ac:dyDescent="0.25">
      <c r="A1110" s="7" t="s">
        <v>52847</v>
      </c>
      <c r="B1110" s="8">
        <v>393.75</v>
      </c>
      <c r="C1110" s="8">
        <v>20.531590000000001</v>
      </c>
      <c r="D1110" s="8">
        <v>63</v>
      </c>
      <c r="E1110" s="8">
        <v>0</v>
      </c>
      <c r="F1110" s="8">
        <v>0</v>
      </c>
      <c r="G1110" s="8">
        <v>4</v>
      </c>
      <c r="H1110" s="8" t="s">
        <v>52848</v>
      </c>
      <c r="I1110" s="8">
        <v>526.6875</v>
      </c>
      <c r="J1110" s="3">
        <f t="shared" si="17"/>
        <v>43749.491824178236</v>
      </c>
    </row>
    <row r="1111" spans="1:10" x14ac:dyDescent="0.25">
      <c r="A1111" s="5" t="s">
        <v>52849</v>
      </c>
      <c r="B1111" s="6">
        <v>393.75</v>
      </c>
      <c r="C1111" s="6">
        <v>20.531590000000001</v>
      </c>
      <c r="D1111" s="6">
        <v>63</v>
      </c>
      <c r="E1111" s="6">
        <v>0</v>
      </c>
      <c r="F1111" s="6">
        <v>0</v>
      </c>
      <c r="G1111" s="6">
        <v>0</v>
      </c>
      <c r="H1111" s="6" t="s">
        <v>52850</v>
      </c>
      <c r="I1111" s="6">
        <v>526.6875</v>
      </c>
      <c r="J1111" s="2">
        <f t="shared" si="17"/>
        <v>43749.491907743053</v>
      </c>
    </row>
    <row r="1112" spans="1:10" x14ac:dyDescent="0.25">
      <c r="A1112" s="7" t="s">
        <v>52851</v>
      </c>
      <c r="B1112" s="8">
        <v>393.75</v>
      </c>
      <c r="C1112" s="8">
        <v>20.531590000000001</v>
      </c>
      <c r="D1112" s="8">
        <v>63</v>
      </c>
      <c r="E1112" s="8">
        <v>0</v>
      </c>
      <c r="F1112" s="8">
        <v>0</v>
      </c>
      <c r="G1112" s="8">
        <v>4</v>
      </c>
      <c r="H1112" s="8" t="s">
        <v>52852</v>
      </c>
      <c r="I1112" s="8">
        <v>526.6875</v>
      </c>
      <c r="J1112" s="3">
        <f t="shared" si="17"/>
        <v>43749.4919912037</v>
      </c>
    </row>
    <row r="1113" spans="1:10" x14ac:dyDescent="0.25">
      <c r="A1113" s="5" t="s">
        <v>52853</v>
      </c>
      <c r="B1113" s="6">
        <v>393.75</v>
      </c>
      <c r="C1113" s="6">
        <v>20.531590000000001</v>
      </c>
      <c r="D1113" s="6">
        <v>63</v>
      </c>
      <c r="E1113" s="6">
        <v>0</v>
      </c>
      <c r="F1113" s="6">
        <v>0</v>
      </c>
      <c r="G1113" s="6">
        <v>0</v>
      </c>
      <c r="H1113" s="6" t="s">
        <v>52854</v>
      </c>
      <c r="I1113" s="6">
        <v>526.6875</v>
      </c>
      <c r="J1113" s="2">
        <f t="shared" si="17"/>
        <v>43749.492074652771</v>
      </c>
    </row>
    <row r="1114" spans="1:10" x14ac:dyDescent="0.25">
      <c r="A1114" s="7" t="s">
        <v>52855</v>
      </c>
      <c r="B1114" s="8">
        <v>412.5</v>
      </c>
      <c r="C1114" s="8">
        <v>20.478950000000001</v>
      </c>
      <c r="D1114" s="8">
        <v>62</v>
      </c>
      <c r="E1114" s="8">
        <v>0</v>
      </c>
      <c r="F1114" s="8">
        <v>0</v>
      </c>
      <c r="G1114" s="8">
        <v>0</v>
      </c>
      <c r="H1114" s="8" t="s">
        <v>52856</v>
      </c>
      <c r="I1114" s="8">
        <v>532.3125</v>
      </c>
      <c r="J1114" s="3">
        <f t="shared" si="17"/>
        <v>43749.49215810185</v>
      </c>
    </row>
    <row r="1115" spans="1:10" x14ac:dyDescent="0.25">
      <c r="A1115" s="5" t="s">
        <v>52857</v>
      </c>
      <c r="B1115" s="6">
        <v>393.75</v>
      </c>
      <c r="C1115" s="6">
        <v>20.478950000000001</v>
      </c>
      <c r="D1115" s="6">
        <v>63</v>
      </c>
      <c r="E1115" s="6">
        <v>0</v>
      </c>
      <c r="F1115" s="6">
        <v>0</v>
      </c>
      <c r="G1115" s="6">
        <v>2</v>
      </c>
      <c r="H1115" s="6" t="s">
        <v>52858</v>
      </c>
      <c r="I1115" s="6">
        <v>526.6875</v>
      </c>
      <c r="J1115" s="2">
        <f t="shared" si="17"/>
        <v>43749.492229780088</v>
      </c>
    </row>
    <row r="1116" spans="1:10" x14ac:dyDescent="0.25">
      <c r="A1116" s="7" t="s">
        <v>52859</v>
      </c>
      <c r="B1116" s="8">
        <v>393.75</v>
      </c>
      <c r="C1116" s="8">
        <v>20.478950000000001</v>
      </c>
      <c r="D1116" s="8">
        <v>63</v>
      </c>
      <c r="E1116" s="8">
        <v>0</v>
      </c>
      <c r="F1116" s="8">
        <v>0</v>
      </c>
      <c r="G1116" s="8">
        <v>2</v>
      </c>
      <c r="H1116" s="8" t="s">
        <v>52860</v>
      </c>
      <c r="I1116" s="8">
        <v>526.6875</v>
      </c>
      <c r="J1116" s="3">
        <f t="shared" si="17"/>
        <v>43749.492313206014</v>
      </c>
    </row>
    <row r="1117" spans="1:10" x14ac:dyDescent="0.25">
      <c r="A1117" s="5" t="s">
        <v>52861</v>
      </c>
      <c r="B1117" s="6">
        <v>393.75</v>
      </c>
      <c r="C1117" s="6">
        <v>20.478950000000001</v>
      </c>
      <c r="D1117" s="6">
        <v>63</v>
      </c>
      <c r="E1117" s="6">
        <v>0</v>
      </c>
      <c r="F1117" s="6">
        <v>0</v>
      </c>
      <c r="G1117" s="6">
        <v>0</v>
      </c>
      <c r="H1117" s="6" t="s">
        <v>52862</v>
      </c>
      <c r="I1117" s="6">
        <v>526.6875</v>
      </c>
      <c r="J1117" s="2">
        <f t="shared" si="17"/>
        <v>43749.492396655092</v>
      </c>
    </row>
    <row r="1118" spans="1:10" x14ac:dyDescent="0.25">
      <c r="A1118" s="7" t="s">
        <v>52863</v>
      </c>
      <c r="B1118" s="8">
        <v>393.75</v>
      </c>
      <c r="C1118" s="8">
        <v>20.478950000000001</v>
      </c>
      <c r="D1118" s="8">
        <v>63</v>
      </c>
      <c r="E1118" s="8">
        <v>0</v>
      </c>
      <c r="F1118" s="8">
        <v>0</v>
      </c>
      <c r="G1118" s="8">
        <v>0</v>
      </c>
      <c r="H1118" s="8" t="s">
        <v>52864</v>
      </c>
      <c r="I1118" s="8">
        <v>526.6875</v>
      </c>
      <c r="J1118" s="3">
        <f t="shared" si="17"/>
        <v>43749.492480104163</v>
      </c>
    </row>
    <row r="1119" spans="1:10" x14ac:dyDescent="0.25">
      <c r="A1119" s="5" t="s">
        <v>52865</v>
      </c>
      <c r="B1119" s="6">
        <v>412.5</v>
      </c>
      <c r="C1119" s="6">
        <v>20.478950000000001</v>
      </c>
      <c r="D1119" s="6">
        <v>63</v>
      </c>
      <c r="E1119" s="6">
        <v>0</v>
      </c>
      <c r="F1119" s="6">
        <v>0</v>
      </c>
      <c r="G1119" s="6">
        <v>1</v>
      </c>
      <c r="H1119" s="6" t="s">
        <v>52866</v>
      </c>
      <c r="I1119" s="6">
        <v>532.5</v>
      </c>
      <c r="J1119" s="2">
        <f t="shared" si="17"/>
        <v>43749.492551261566</v>
      </c>
    </row>
    <row r="1120" spans="1:10" x14ac:dyDescent="0.25">
      <c r="A1120" s="7" t="s">
        <v>52867</v>
      </c>
      <c r="B1120" s="8">
        <v>393.75</v>
      </c>
      <c r="C1120" s="8">
        <v>20.478950000000001</v>
      </c>
      <c r="D1120" s="8">
        <v>62</v>
      </c>
      <c r="E1120" s="8">
        <v>0</v>
      </c>
      <c r="F1120" s="8">
        <v>0</v>
      </c>
      <c r="G1120" s="8">
        <v>0</v>
      </c>
      <c r="H1120" s="8" t="s">
        <v>52868</v>
      </c>
      <c r="I1120" s="8">
        <v>526.6875</v>
      </c>
      <c r="J1120" s="3">
        <f t="shared" si="17"/>
        <v>43749.492635196752</v>
      </c>
    </row>
    <row r="1121" spans="1:10" x14ac:dyDescent="0.25">
      <c r="A1121" s="5" t="s">
        <v>52869</v>
      </c>
      <c r="B1121" s="6">
        <v>393.75</v>
      </c>
      <c r="C1121" s="6">
        <v>20.478950000000001</v>
      </c>
      <c r="D1121" s="6">
        <v>62</v>
      </c>
      <c r="E1121" s="6">
        <v>0</v>
      </c>
      <c r="F1121" s="6">
        <v>0</v>
      </c>
      <c r="G1121" s="6">
        <v>0</v>
      </c>
      <c r="H1121" s="6" t="s">
        <v>52870</v>
      </c>
      <c r="I1121" s="6">
        <v>526.5</v>
      </c>
      <c r="J1121" s="2">
        <f t="shared" si="17"/>
        <v>43749.492706712961</v>
      </c>
    </row>
    <row r="1122" spans="1:10" x14ac:dyDescent="0.25">
      <c r="A1122" s="7" t="s">
        <v>52871</v>
      </c>
      <c r="B1122" s="8">
        <v>393.75</v>
      </c>
      <c r="C1122" s="8">
        <v>20.478950000000001</v>
      </c>
      <c r="D1122" s="8">
        <v>67</v>
      </c>
      <c r="E1122" s="8">
        <v>0</v>
      </c>
      <c r="F1122" s="8">
        <v>0</v>
      </c>
      <c r="G1122" s="8">
        <v>0</v>
      </c>
      <c r="H1122" s="8" t="s">
        <v>52872</v>
      </c>
      <c r="I1122" s="8">
        <v>526.6875</v>
      </c>
      <c r="J1122" s="3">
        <f t="shared" si="17"/>
        <v>43749.492796030092</v>
      </c>
    </row>
    <row r="1123" spans="1:10" x14ac:dyDescent="0.25">
      <c r="A1123" s="5" t="s">
        <v>52873</v>
      </c>
      <c r="B1123" s="6">
        <v>393.75</v>
      </c>
      <c r="C1123" s="6">
        <v>20.478950000000001</v>
      </c>
      <c r="D1123" s="6">
        <v>65</v>
      </c>
      <c r="E1123" s="6">
        <v>0</v>
      </c>
      <c r="F1123" s="6">
        <v>0</v>
      </c>
      <c r="G1123" s="6">
        <v>0</v>
      </c>
      <c r="H1123" s="6" t="s">
        <v>52874</v>
      </c>
      <c r="I1123" s="6">
        <v>526.6875</v>
      </c>
      <c r="J1123" s="2">
        <f t="shared" si="17"/>
        <v>43749.492873726849</v>
      </c>
    </row>
    <row r="1124" spans="1:10" x14ac:dyDescent="0.25">
      <c r="A1124" s="7" t="s">
        <v>52875</v>
      </c>
      <c r="B1124" s="8">
        <v>393.75</v>
      </c>
      <c r="C1124" s="8">
        <v>20.478950000000001</v>
      </c>
      <c r="D1124" s="8">
        <v>66</v>
      </c>
      <c r="E1124" s="8">
        <v>0</v>
      </c>
      <c r="F1124" s="8">
        <v>0</v>
      </c>
      <c r="G1124" s="8">
        <v>1</v>
      </c>
      <c r="H1124" s="8" t="s">
        <v>52876</v>
      </c>
      <c r="I1124" s="8">
        <v>526.6875</v>
      </c>
      <c r="J1124" s="3">
        <f t="shared" si="17"/>
        <v>43749.49295717592</v>
      </c>
    </row>
    <row r="1125" spans="1:10" x14ac:dyDescent="0.25">
      <c r="A1125" s="5" t="s">
        <v>52877</v>
      </c>
      <c r="B1125" s="6">
        <v>393.75</v>
      </c>
      <c r="C1125" s="6">
        <v>20.584240000000001</v>
      </c>
      <c r="D1125" s="6">
        <v>65</v>
      </c>
      <c r="E1125" s="6">
        <v>0</v>
      </c>
      <c r="F1125" s="6">
        <v>0</v>
      </c>
      <c r="G1125" s="6">
        <v>0</v>
      </c>
      <c r="H1125" s="6" t="s">
        <v>52878</v>
      </c>
      <c r="I1125" s="6">
        <v>526.6875</v>
      </c>
      <c r="J1125" s="2">
        <f t="shared" si="17"/>
        <v>43749.493040300928</v>
      </c>
    </row>
    <row r="1126" spans="1:10" x14ac:dyDescent="0.25">
      <c r="A1126" s="7" t="s">
        <v>52879</v>
      </c>
      <c r="B1126" s="8">
        <v>393.75</v>
      </c>
      <c r="C1126" s="8">
        <v>20.478950000000001</v>
      </c>
      <c r="D1126" s="8">
        <v>61</v>
      </c>
      <c r="E1126" s="8">
        <v>0</v>
      </c>
      <c r="F1126" s="8">
        <v>0</v>
      </c>
      <c r="G1126" s="8">
        <v>6</v>
      </c>
      <c r="H1126" s="8" t="s">
        <v>52880</v>
      </c>
      <c r="I1126" s="8">
        <v>526.6875</v>
      </c>
      <c r="J1126" s="3">
        <f t="shared" si="17"/>
        <v>43749.493111921292</v>
      </c>
    </row>
    <row r="1127" spans="1:10" x14ac:dyDescent="0.25">
      <c r="A1127" s="5" t="s">
        <v>52881</v>
      </c>
      <c r="B1127" s="6">
        <v>393.75</v>
      </c>
      <c r="C1127" s="6">
        <v>20.478950000000001</v>
      </c>
      <c r="D1127" s="6">
        <v>62</v>
      </c>
      <c r="E1127" s="6">
        <v>0</v>
      </c>
      <c r="F1127" s="6">
        <v>0</v>
      </c>
      <c r="G1127" s="6">
        <v>0</v>
      </c>
      <c r="H1127" s="6" t="s">
        <v>52882</v>
      </c>
      <c r="I1127" s="6">
        <v>526.5</v>
      </c>
      <c r="J1127" s="2">
        <f t="shared" si="17"/>
        <v>43749.493195717594</v>
      </c>
    </row>
    <row r="1128" spans="1:10" x14ac:dyDescent="0.25">
      <c r="A1128" s="7" t="s">
        <v>52883</v>
      </c>
      <c r="B1128" s="8">
        <v>393.75</v>
      </c>
      <c r="C1128" s="8">
        <v>20.478950000000001</v>
      </c>
      <c r="D1128" s="8">
        <v>61</v>
      </c>
      <c r="E1128" s="8">
        <v>0</v>
      </c>
      <c r="F1128" s="8">
        <v>0</v>
      </c>
      <c r="G1128" s="8">
        <v>2</v>
      </c>
      <c r="H1128" s="8" t="s">
        <v>52884</v>
      </c>
      <c r="I1128" s="8">
        <v>526.6875</v>
      </c>
      <c r="J1128" s="3">
        <f t="shared" si="17"/>
        <v>43749.493279270835</v>
      </c>
    </row>
    <row r="1129" spans="1:10" x14ac:dyDescent="0.25">
      <c r="A1129" s="5" t="s">
        <v>52885</v>
      </c>
      <c r="B1129" s="6">
        <v>393.75</v>
      </c>
      <c r="C1129" s="6">
        <v>20.478950000000001</v>
      </c>
      <c r="D1129" s="6">
        <v>61</v>
      </c>
      <c r="E1129" s="6">
        <v>0</v>
      </c>
      <c r="F1129" s="6">
        <v>0</v>
      </c>
      <c r="G1129" s="6">
        <v>9</v>
      </c>
      <c r="H1129" s="6" t="s">
        <v>52886</v>
      </c>
      <c r="I1129" s="6">
        <v>526.6875</v>
      </c>
      <c r="J1129" s="2">
        <f t="shared" si="17"/>
        <v>43749.493362604167</v>
      </c>
    </row>
    <row r="1130" spans="1:10" x14ac:dyDescent="0.25">
      <c r="A1130" s="7" t="s">
        <v>52887</v>
      </c>
      <c r="B1130" s="8">
        <v>393.75</v>
      </c>
      <c r="C1130" s="8">
        <v>20.478950000000001</v>
      </c>
      <c r="D1130" s="8">
        <v>62</v>
      </c>
      <c r="E1130" s="8">
        <v>0</v>
      </c>
      <c r="F1130" s="8">
        <v>0</v>
      </c>
      <c r="G1130" s="8">
        <v>0</v>
      </c>
      <c r="H1130" s="8" t="s">
        <v>52888</v>
      </c>
      <c r="I1130" s="8">
        <v>526.6875</v>
      </c>
      <c r="J1130" s="3">
        <f t="shared" si="17"/>
        <v>43749.493446064815</v>
      </c>
    </row>
    <row r="1131" spans="1:10" x14ac:dyDescent="0.25">
      <c r="A1131" s="5" t="s">
        <v>52889</v>
      </c>
      <c r="B1131" s="6">
        <v>393.75</v>
      </c>
      <c r="C1131" s="6">
        <v>20.531590000000001</v>
      </c>
      <c r="D1131" s="6">
        <v>62</v>
      </c>
      <c r="E1131" s="6">
        <v>0</v>
      </c>
      <c r="F1131" s="6">
        <v>0</v>
      </c>
      <c r="G1131" s="6">
        <v>0</v>
      </c>
      <c r="H1131" s="6" t="s">
        <v>52890</v>
      </c>
      <c r="I1131" s="6">
        <v>526.875</v>
      </c>
      <c r="J1131" s="2">
        <f t="shared" si="17"/>
        <v>43749.493517708332</v>
      </c>
    </row>
    <row r="1132" spans="1:10" x14ac:dyDescent="0.25">
      <c r="A1132" s="7" t="s">
        <v>52891</v>
      </c>
      <c r="B1132" s="8">
        <v>393.75</v>
      </c>
      <c r="C1132" s="8">
        <v>20.478950000000001</v>
      </c>
      <c r="D1132" s="8">
        <v>62</v>
      </c>
      <c r="E1132" s="8">
        <v>0</v>
      </c>
      <c r="F1132" s="8">
        <v>0</v>
      </c>
      <c r="G1132" s="8">
        <v>5</v>
      </c>
      <c r="H1132" s="8" t="s">
        <v>52892</v>
      </c>
      <c r="I1132" s="8">
        <v>526.5</v>
      </c>
      <c r="J1132" s="3">
        <f t="shared" si="17"/>
        <v>43749.493589247686</v>
      </c>
    </row>
    <row r="1133" spans="1:10" x14ac:dyDescent="0.25">
      <c r="A1133" s="5" t="s">
        <v>52893</v>
      </c>
      <c r="B1133" s="6">
        <v>393.75</v>
      </c>
      <c r="C1133" s="6">
        <v>20.478950000000001</v>
      </c>
      <c r="D1133" s="6">
        <v>62</v>
      </c>
      <c r="E1133" s="6">
        <v>0</v>
      </c>
      <c r="F1133" s="6">
        <v>0</v>
      </c>
      <c r="G1133" s="6">
        <v>0</v>
      </c>
      <c r="H1133" s="6" t="s">
        <v>52894</v>
      </c>
      <c r="I1133" s="6">
        <v>526.6875</v>
      </c>
      <c r="J1133" s="2">
        <f t="shared" si="17"/>
        <v>43749.493660520828</v>
      </c>
    </row>
    <row r="1134" spans="1:10" x14ac:dyDescent="0.25">
      <c r="A1134" s="7" t="s">
        <v>52895</v>
      </c>
      <c r="B1134" s="8">
        <v>393.75</v>
      </c>
      <c r="C1134" s="8">
        <v>20.531590000000001</v>
      </c>
      <c r="D1134" s="8">
        <v>62</v>
      </c>
      <c r="E1134" s="8">
        <v>0</v>
      </c>
      <c r="F1134" s="8">
        <v>0</v>
      </c>
      <c r="G1134" s="8">
        <v>0</v>
      </c>
      <c r="H1134" s="8" t="s">
        <v>52896</v>
      </c>
      <c r="I1134" s="8">
        <v>526.6875</v>
      </c>
      <c r="J1134" s="3">
        <f t="shared" si="17"/>
        <v>43749.493732395829</v>
      </c>
    </row>
    <row r="1135" spans="1:10" x14ac:dyDescent="0.25">
      <c r="A1135" s="5" t="s">
        <v>52897</v>
      </c>
      <c r="B1135" s="6">
        <v>393.75</v>
      </c>
      <c r="C1135" s="6">
        <v>20.478950000000001</v>
      </c>
      <c r="D1135" s="6">
        <v>62</v>
      </c>
      <c r="E1135" s="6">
        <v>0</v>
      </c>
      <c r="F1135" s="6">
        <v>0</v>
      </c>
      <c r="G1135" s="6">
        <v>2</v>
      </c>
      <c r="H1135" s="6" t="s">
        <v>52898</v>
      </c>
      <c r="I1135" s="6">
        <v>526.6875</v>
      </c>
      <c r="J1135" s="2">
        <f t="shared" si="17"/>
        <v>43749.493803958328</v>
      </c>
    </row>
    <row r="1136" spans="1:10" x14ac:dyDescent="0.25">
      <c r="A1136" s="7" t="s">
        <v>52899</v>
      </c>
      <c r="B1136" s="8">
        <v>393.75</v>
      </c>
      <c r="C1136" s="8">
        <v>20.478950000000001</v>
      </c>
      <c r="D1136" s="8">
        <v>63</v>
      </c>
      <c r="E1136" s="8">
        <v>0</v>
      </c>
      <c r="F1136" s="8">
        <v>0</v>
      </c>
      <c r="G1136" s="8">
        <v>13</v>
      </c>
      <c r="H1136" s="8" t="s">
        <v>52900</v>
      </c>
      <c r="I1136" s="8">
        <v>526.6875</v>
      </c>
      <c r="J1136" s="3">
        <f t="shared" si="17"/>
        <v>43749.493887488425</v>
      </c>
    </row>
    <row r="1137" spans="1:10" x14ac:dyDescent="0.25">
      <c r="A1137" s="5" t="s">
        <v>52901</v>
      </c>
      <c r="B1137" s="6">
        <v>393.75</v>
      </c>
      <c r="C1137" s="6">
        <v>20.531590000000001</v>
      </c>
      <c r="D1137" s="6">
        <v>63</v>
      </c>
      <c r="E1137" s="6">
        <v>0</v>
      </c>
      <c r="F1137" s="6">
        <v>0</v>
      </c>
      <c r="G1137" s="6">
        <v>8</v>
      </c>
      <c r="H1137" s="6" t="s">
        <v>52902</v>
      </c>
      <c r="I1137" s="6">
        <v>526.6875</v>
      </c>
      <c r="J1137" s="2">
        <f t="shared" si="17"/>
        <v>43749.493958912033</v>
      </c>
    </row>
    <row r="1138" spans="1:10" x14ac:dyDescent="0.25">
      <c r="A1138" s="7" t="s">
        <v>52903</v>
      </c>
      <c r="B1138" s="8">
        <v>393.75</v>
      </c>
      <c r="C1138" s="8">
        <v>20.478950000000001</v>
      </c>
      <c r="D1138" s="8">
        <v>62</v>
      </c>
      <c r="E1138" s="8">
        <v>0</v>
      </c>
      <c r="F1138" s="8">
        <v>0</v>
      </c>
      <c r="G1138" s="8">
        <v>11</v>
      </c>
      <c r="H1138" s="8" t="s">
        <v>52904</v>
      </c>
      <c r="I1138" s="8">
        <v>526.6875</v>
      </c>
      <c r="J1138" s="3">
        <f t="shared" si="17"/>
        <v>43749.494040844904</v>
      </c>
    </row>
    <row r="1139" spans="1:10" x14ac:dyDescent="0.25">
      <c r="A1139" s="5" t="s">
        <v>52905</v>
      </c>
      <c r="B1139" s="6">
        <v>393.75</v>
      </c>
      <c r="C1139" s="6">
        <v>20.584240000000001</v>
      </c>
      <c r="D1139" s="6">
        <v>62</v>
      </c>
      <c r="E1139" s="6">
        <v>0</v>
      </c>
      <c r="F1139" s="6">
        <v>0</v>
      </c>
      <c r="G1139" s="6">
        <v>4</v>
      </c>
      <c r="H1139" s="6" t="s">
        <v>52906</v>
      </c>
      <c r="I1139" s="6">
        <v>526.6875</v>
      </c>
      <c r="J1139" s="2">
        <f t="shared" si="17"/>
        <v>43749.494113993052</v>
      </c>
    </row>
    <row r="1140" spans="1:10" x14ac:dyDescent="0.25">
      <c r="A1140" s="7" t="s">
        <v>52907</v>
      </c>
      <c r="B1140" s="8">
        <v>393.75</v>
      </c>
      <c r="C1140" s="8">
        <v>20.531590000000001</v>
      </c>
      <c r="D1140" s="8">
        <v>62</v>
      </c>
      <c r="E1140" s="8">
        <v>0</v>
      </c>
      <c r="F1140" s="8">
        <v>0</v>
      </c>
      <c r="G1140" s="8">
        <v>13</v>
      </c>
      <c r="H1140" s="8" t="s">
        <v>52908</v>
      </c>
      <c r="I1140" s="8">
        <v>526.6875</v>
      </c>
      <c r="J1140" s="3">
        <f t="shared" si="17"/>
        <v>43749.494197314816</v>
      </c>
    </row>
    <row r="1141" spans="1:10" x14ac:dyDescent="0.25">
      <c r="A1141" s="5" t="s">
        <v>52909</v>
      </c>
      <c r="B1141" s="6">
        <v>393.75</v>
      </c>
      <c r="C1141" s="6">
        <v>20.478950000000001</v>
      </c>
      <c r="D1141" s="6">
        <v>59</v>
      </c>
      <c r="E1141" s="6">
        <v>0</v>
      </c>
      <c r="F1141" s="6">
        <v>0</v>
      </c>
      <c r="G1141" s="6">
        <v>20</v>
      </c>
      <c r="H1141" s="6" t="s">
        <v>52910</v>
      </c>
      <c r="I1141" s="6">
        <v>526.6875</v>
      </c>
      <c r="J1141" s="2">
        <f t="shared" si="17"/>
        <v>43749.494269074072</v>
      </c>
    </row>
    <row r="1142" spans="1:10" x14ac:dyDescent="0.25">
      <c r="A1142" s="7" t="s">
        <v>52911</v>
      </c>
      <c r="B1142" s="8">
        <v>393.75</v>
      </c>
      <c r="C1142" s="8">
        <v>20.478950000000001</v>
      </c>
      <c r="D1142" s="8">
        <v>60</v>
      </c>
      <c r="E1142" s="8">
        <v>0</v>
      </c>
      <c r="F1142" s="8">
        <v>0</v>
      </c>
      <c r="G1142" s="8">
        <v>15</v>
      </c>
      <c r="H1142" s="8" t="s">
        <v>52912</v>
      </c>
      <c r="I1142" s="8">
        <v>526.6875</v>
      </c>
      <c r="J1142" s="3">
        <f t="shared" si="17"/>
        <v>43749.494353032402</v>
      </c>
    </row>
    <row r="1143" spans="1:10" x14ac:dyDescent="0.25">
      <c r="A1143" s="5" t="s">
        <v>52913</v>
      </c>
      <c r="B1143" s="6">
        <v>393.75</v>
      </c>
      <c r="C1143" s="6">
        <v>20.478950000000001</v>
      </c>
      <c r="D1143" s="6">
        <v>61</v>
      </c>
      <c r="E1143" s="6">
        <v>0</v>
      </c>
      <c r="F1143" s="6">
        <v>0</v>
      </c>
      <c r="G1143" s="6">
        <v>15</v>
      </c>
      <c r="H1143" s="6" t="s">
        <v>52914</v>
      </c>
      <c r="I1143" s="6">
        <v>526.6875</v>
      </c>
      <c r="J1143" s="2">
        <f t="shared" si="17"/>
        <v>43749.494424074073</v>
      </c>
    </row>
    <row r="1144" spans="1:10" x14ac:dyDescent="0.25">
      <c r="A1144" s="7" t="s">
        <v>52915</v>
      </c>
      <c r="B1144" s="8">
        <v>393.75</v>
      </c>
      <c r="C1144" s="8">
        <v>20.478950000000001</v>
      </c>
      <c r="D1144" s="8">
        <v>62</v>
      </c>
      <c r="E1144" s="8">
        <v>0</v>
      </c>
      <c r="F1144" s="8">
        <v>0</v>
      </c>
      <c r="G1144" s="8">
        <v>17</v>
      </c>
      <c r="H1144" s="8" t="s">
        <v>52916</v>
      </c>
      <c r="I1144" s="8">
        <v>526.6875</v>
      </c>
      <c r="J1144" s="3">
        <f t="shared" si="17"/>
        <v>43749.49449571759</v>
      </c>
    </row>
    <row r="1145" spans="1:10" x14ac:dyDescent="0.25">
      <c r="A1145" s="5" t="s">
        <v>52917</v>
      </c>
      <c r="B1145" s="6">
        <v>393.75</v>
      </c>
      <c r="C1145" s="6">
        <v>20.531590000000001</v>
      </c>
      <c r="D1145" s="6">
        <v>62</v>
      </c>
      <c r="E1145" s="6">
        <v>0</v>
      </c>
      <c r="F1145" s="6">
        <v>0</v>
      </c>
      <c r="G1145" s="6">
        <v>13</v>
      </c>
      <c r="H1145" s="6" t="s">
        <v>52918</v>
      </c>
      <c r="I1145" s="6">
        <v>526.6875</v>
      </c>
      <c r="J1145" s="2">
        <f t="shared" si="17"/>
        <v>43749.494567233793</v>
      </c>
    </row>
    <row r="1146" spans="1:10" x14ac:dyDescent="0.25">
      <c r="A1146" s="7" t="s">
        <v>52919</v>
      </c>
      <c r="B1146" s="8">
        <v>393.75</v>
      </c>
      <c r="C1146" s="8">
        <v>20.478950000000001</v>
      </c>
      <c r="D1146" s="8">
        <v>64</v>
      </c>
      <c r="E1146" s="8">
        <v>0</v>
      </c>
      <c r="F1146" s="8">
        <v>0</v>
      </c>
      <c r="G1146" s="8">
        <v>11</v>
      </c>
      <c r="H1146" s="8" t="s">
        <v>52920</v>
      </c>
      <c r="I1146" s="8">
        <v>526.6875</v>
      </c>
      <c r="J1146" s="3">
        <f t="shared" si="17"/>
        <v>43749.494650694447</v>
      </c>
    </row>
    <row r="1147" spans="1:10" x14ac:dyDescent="0.25">
      <c r="A1147" s="5" t="s">
        <v>52921</v>
      </c>
      <c r="B1147" s="6">
        <v>393.75</v>
      </c>
      <c r="C1147" s="6">
        <v>20.478950000000001</v>
      </c>
      <c r="D1147" s="6">
        <v>64</v>
      </c>
      <c r="E1147" s="6">
        <v>0</v>
      </c>
      <c r="F1147" s="6">
        <v>0</v>
      </c>
      <c r="G1147" s="6">
        <v>10</v>
      </c>
      <c r="H1147" s="6" t="s">
        <v>52922</v>
      </c>
      <c r="I1147" s="6">
        <v>526.6875</v>
      </c>
      <c r="J1147" s="2">
        <f t="shared" si="17"/>
        <v>43749.494722418975</v>
      </c>
    </row>
    <row r="1148" spans="1:10" x14ac:dyDescent="0.25">
      <c r="A1148" s="7" t="s">
        <v>52923</v>
      </c>
      <c r="B1148" s="8">
        <v>393.75</v>
      </c>
      <c r="C1148" s="8">
        <v>20.531590000000001</v>
      </c>
      <c r="D1148" s="8">
        <v>63</v>
      </c>
      <c r="E1148" s="8">
        <v>0</v>
      </c>
      <c r="F1148" s="8">
        <v>0</v>
      </c>
      <c r="G1148" s="8">
        <v>19</v>
      </c>
      <c r="H1148" s="8" t="s">
        <v>52924</v>
      </c>
      <c r="I1148" s="8">
        <v>526.6875</v>
      </c>
      <c r="J1148" s="3">
        <f t="shared" si="17"/>
        <v>43749.494805775459</v>
      </c>
    </row>
    <row r="1149" spans="1:10" x14ac:dyDescent="0.25">
      <c r="A1149" s="5" t="s">
        <v>52925</v>
      </c>
      <c r="B1149" s="6">
        <v>421.875</v>
      </c>
      <c r="C1149" s="6">
        <v>20.478950000000001</v>
      </c>
      <c r="D1149" s="6">
        <v>63</v>
      </c>
      <c r="E1149" s="6">
        <v>0</v>
      </c>
      <c r="F1149" s="6">
        <v>0</v>
      </c>
      <c r="G1149" s="6">
        <v>27</v>
      </c>
      <c r="H1149" s="6" t="s">
        <v>52926</v>
      </c>
      <c r="I1149" s="6">
        <v>535.6875</v>
      </c>
      <c r="J1149" s="2">
        <f t="shared" si="17"/>
        <v>43749.494877407407</v>
      </c>
    </row>
    <row r="1150" spans="1:10" x14ac:dyDescent="0.25">
      <c r="A1150" s="7" t="s">
        <v>52927</v>
      </c>
      <c r="B1150" s="8">
        <v>393.75</v>
      </c>
      <c r="C1150" s="8">
        <v>20.478950000000001</v>
      </c>
      <c r="D1150" s="8">
        <v>63</v>
      </c>
      <c r="E1150" s="8">
        <v>0</v>
      </c>
      <c r="F1150" s="8">
        <v>0</v>
      </c>
      <c r="G1150" s="8">
        <v>18</v>
      </c>
      <c r="H1150" s="8" t="s">
        <v>52928</v>
      </c>
      <c r="I1150" s="8">
        <v>526.6875</v>
      </c>
      <c r="J1150" s="3">
        <f t="shared" si="17"/>
        <v>43749.494948495369</v>
      </c>
    </row>
    <row r="1151" spans="1:10" x14ac:dyDescent="0.25">
      <c r="A1151" s="5" t="s">
        <v>52929</v>
      </c>
      <c r="B1151" s="6">
        <v>393.75</v>
      </c>
      <c r="C1151" s="6">
        <v>20.584240000000001</v>
      </c>
      <c r="D1151" s="6">
        <v>66</v>
      </c>
      <c r="E1151" s="6">
        <v>0</v>
      </c>
      <c r="F1151" s="6">
        <v>0</v>
      </c>
      <c r="G1151" s="6">
        <v>18</v>
      </c>
      <c r="H1151" s="6" t="s">
        <v>52930</v>
      </c>
      <c r="I1151" s="6">
        <v>526.6875</v>
      </c>
      <c r="J1151" s="2">
        <f t="shared" si="17"/>
        <v>43749.495020474533</v>
      </c>
    </row>
    <row r="1152" spans="1:10" x14ac:dyDescent="0.25">
      <c r="A1152" s="7" t="s">
        <v>52931</v>
      </c>
      <c r="B1152" s="8">
        <v>393.75</v>
      </c>
      <c r="C1152" s="8">
        <v>20.478950000000001</v>
      </c>
      <c r="D1152" s="8">
        <v>66</v>
      </c>
      <c r="E1152" s="8">
        <v>0</v>
      </c>
      <c r="F1152" s="8">
        <v>0</v>
      </c>
      <c r="G1152" s="8">
        <v>22</v>
      </c>
      <c r="H1152" s="8" t="s">
        <v>52932</v>
      </c>
      <c r="I1152" s="8">
        <v>526.6875</v>
      </c>
      <c r="J1152" s="3">
        <f t="shared" si="17"/>
        <v>43749.495092013887</v>
      </c>
    </row>
    <row r="1153" spans="1:10" x14ac:dyDescent="0.25">
      <c r="A1153" s="5" t="s">
        <v>52933</v>
      </c>
      <c r="B1153" s="6">
        <v>393.75</v>
      </c>
      <c r="C1153" s="6">
        <v>20.478950000000001</v>
      </c>
      <c r="D1153" s="6">
        <v>68</v>
      </c>
      <c r="E1153" s="6">
        <v>0</v>
      </c>
      <c r="F1153" s="6">
        <v>0</v>
      </c>
      <c r="G1153" s="6">
        <v>19</v>
      </c>
      <c r="H1153" s="6" t="s">
        <v>52934</v>
      </c>
      <c r="I1153" s="6">
        <v>526.6875</v>
      </c>
      <c r="J1153" s="2">
        <f t="shared" si="17"/>
        <v>43749.495163553242</v>
      </c>
    </row>
    <row r="1154" spans="1:10" x14ac:dyDescent="0.25">
      <c r="A1154" s="7" t="s">
        <v>52935</v>
      </c>
      <c r="B1154" s="8">
        <v>393.75</v>
      </c>
      <c r="C1154" s="8">
        <v>20.478950000000001</v>
      </c>
      <c r="D1154" s="8">
        <v>68</v>
      </c>
      <c r="E1154" s="8">
        <v>0</v>
      </c>
      <c r="F1154" s="8">
        <v>0</v>
      </c>
      <c r="G1154" s="8">
        <v>21</v>
      </c>
      <c r="H1154" s="8" t="s">
        <v>52936</v>
      </c>
      <c r="I1154" s="8">
        <v>526.6875</v>
      </c>
      <c r="J1154" s="3">
        <f t="shared" ref="J1154:J1217" si="18">(H1154/86400000)+25569+(7/24)</f>
        <v>43749.495247106483</v>
      </c>
    </row>
    <row r="1155" spans="1:10" x14ac:dyDescent="0.25">
      <c r="A1155" s="5" t="s">
        <v>52937</v>
      </c>
      <c r="B1155" s="6">
        <v>393.75</v>
      </c>
      <c r="C1155" s="6">
        <v>20.478950000000001</v>
      </c>
      <c r="D1155" s="6">
        <v>68</v>
      </c>
      <c r="E1155" s="6">
        <v>0</v>
      </c>
      <c r="F1155" s="6">
        <v>0</v>
      </c>
      <c r="G1155" s="6">
        <v>14</v>
      </c>
      <c r="H1155" s="6" t="s">
        <v>52938</v>
      </c>
      <c r="I1155" s="6">
        <v>526.6875</v>
      </c>
      <c r="J1155" s="2">
        <f t="shared" si="18"/>
        <v>43749.495330543978</v>
      </c>
    </row>
    <row r="1156" spans="1:10" x14ac:dyDescent="0.25">
      <c r="A1156" s="7" t="s">
        <v>52939</v>
      </c>
      <c r="B1156" s="8">
        <v>412.5</v>
      </c>
      <c r="C1156" s="8">
        <v>20.478950000000001</v>
      </c>
      <c r="D1156" s="8">
        <v>68</v>
      </c>
      <c r="E1156" s="8">
        <v>0</v>
      </c>
      <c r="F1156" s="8">
        <v>0</v>
      </c>
      <c r="G1156" s="8">
        <v>16</v>
      </c>
      <c r="H1156" s="8" t="s">
        <v>52940</v>
      </c>
      <c r="I1156" s="8">
        <v>532.5</v>
      </c>
      <c r="J1156" s="3">
        <f t="shared" si="18"/>
        <v>43749.49541427083</v>
      </c>
    </row>
    <row r="1157" spans="1:10" x14ac:dyDescent="0.25">
      <c r="A1157" s="5" t="s">
        <v>52941</v>
      </c>
      <c r="B1157" s="6">
        <v>393.75</v>
      </c>
      <c r="C1157" s="6">
        <v>20.531590000000001</v>
      </c>
      <c r="D1157" s="6">
        <v>67</v>
      </c>
      <c r="E1157" s="6">
        <v>0</v>
      </c>
      <c r="F1157" s="6">
        <v>0</v>
      </c>
      <c r="G1157" s="6">
        <v>19</v>
      </c>
      <c r="H1157" s="6" t="s">
        <v>52942</v>
      </c>
      <c r="I1157" s="6">
        <v>526.6875</v>
      </c>
      <c r="J1157" s="2">
        <f t="shared" si="18"/>
        <v>43749.49548553241</v>
      </c>
    </row>
    <row r="1158" spans="1:10" x14ac:dyDescent="0.25">
      <c r="A1158" s="7" t="s">
        <v>52943</v>
      </c>
      <c r="B1158" s="8">
        <v>393.75</v>
      </c>
      <c r="C1158" s="8">
        <v>20.478950000000001</v>
      </c>
      <c r="D1158" s="8">
        <v>67</v>
      </c>
      <c r="E1158" s="8">
        <v>0</v>
      </c>
      <c r="F1158" s="8">
        <v>0</v>
      </c>
      <c r="G1158" s="8">
        <v>3</v>
      </c>
      <c r="H1158" s="8" t="s">
        <v>52944</v>
      </c>
      <c r="I1158" s="8">
        <v>526.6875</v>
      </c>
      <c r="J1158" s="3">
        <f t="shared" si="18"/>
        <v>43749.495557291666</v>
      </c>
    </row>
    <row r="1159" spans="1:10" x14ac:dyDescent="0.25">
      <c r="A1159" s="5" t="s">
        <v>52945</v>
      </c>
      <c r="B1159" s="6">
        <v>440.625</v>
      </c>
      <c r="C1159" s="6">
        <v>20.531590000000001</v>
      </c>
      <c r="D1159" s="6">
        <v>65</v>
      </c>
      <c r="E1159" s="6">
        <v>0</v>
      </c>
      <c r="F1159" s="6">
        <v>0</v>
      </c>
      <c r="G1159" s="6">
        <v>21</v>
      </c>
      <c r="H1159" s="6" t="s">
        <v>52946</v>
      </c>
      <c r="I1159" s="6">
        <v>541.3125</v>
      </c>
      <c r="J1159" s="2">
        <f t="shared" si="18"/>
        <v>43749.495640613422</v>
      </c>
    </row>
    <row r="1160" spans="1:10" x14ac:dyDescent="0.25">
      <c r="A1160" s="7" t="s">
        <v>52947</v>
      </c>
      <c r="B1160" s="8">
        <v>393.75</v>
      </c>
      <c r="C1160" s="8">
        <v>20.478950000000001</v>
      </c>
      <c r="D1160" s="8">
        <v>65</v>
      </c>
      <c r="E1160" s="8">
        <v>0</v>
      </c>
      <c r="F1160" s="8">
        <v>0</v>
      </c>
      <c r="G1160" s="8">
        <v>8</v>
      </c>
      <c r="H1160" s="8" t="s">
        <v>52948</v>
      </c>
      <c r="I1160" s="8">
        <v>526.6875</v>
      </c>
      <c r="J1160" s="3">
        <f t="shared" si="18"/>
        <v>43749.495711921292</v>
      </c>
    </row>
    <row r="1161" spans="1:10" x14ac:dyDescent="0.25">
      <c r="A1161" s="5" t="s">
        <v>52949</v>
      </c>
      <c r="B1161" s="6">
        <v>393.75</v>
      </c>
      <c r="C1161" s="6">
        <v>20.478950000000001</v>
      </c>
      <c r="D1161" s="6">
        <v>65</v>
      </c>
      <c r="E1161" s="6">
        <v>0</v>
      </c>
      <c r="F1161" s="6">
        <v>0</v>
      </c>
      <c r="G1161" s="6">
        <v>5</v>
      </c>
      <c r="H1161" s="6" t="s">
        <v>52950</v>
      </c>
      <c r="I1161" s="6">
        <v>526.6875</v>
      </c>
      <c r="J1161" s="2">
        <f t="shared" si="18"/>
        <v>43749.495783668979</v>
      </c>
    </row>
    <row r="1162" spans="1:10" x14ac:dyDescent="0.25">
      <c r="A1162" s="7" t="s">
        <v>52951</v>
      </c>
      <c r="B1162" s="8">
        <v>393.75</v>
      </c>
      <c r="C1162" s="8">
        <v>20.478950000000001</v>
      </c>
      <c r="D1162" s="8">
        <v>65</v>
      </c>
      <c r="E1162" s="8">
        <v>0</v>
      </c>
      <c r="F1162" s="8">
        <v>0</v>
      </c>
      <c r="G1162" s="8">
        <v>6</v>
      </c>
      <c r="H1162" s="8" t="s">
        <v>52952</v>
      </c>
      <c r="I1162" s="8">
        <v>526.6875</v>
      </c>
      <c r="J1162" s="3">
        <f t="shared" si="18"/>
        <v>43749.495867349535</v>
      </c>
    </row>
    <row r="1163" spans="1:10" x14ac:dyDescent="0.25">
      <c r="A1163" s="5" t="s">
        <v>52953</v>
      </c>
      <c r="B1163" s="6">
        <v>393.75</v>
      </c>
      <c r="C1163" s="6">
        <v>20.478950000000001</v>
      </c>
      <c r="D1163" s="6">
        <v>66</v>
      </c>
      <c r="E1163" s="6">
        <v>0</v>
      </c>
      <c r="F1163" s="6">
        <v>0</v>
      </c>
      <c r="G1163" s="6">
        <v>16</v>
      </c>
      <c r="H1163" s="6" t="s">
        <v>52954</v>
      </c>
      <c r="I1163" s="6">
        <v>526.6875</v>
      </c>
      <c r="J1163" s="2">
        <f t="shared" si="18"/>
        <v>43749.495950694443</v>
      </c>
    </row>
    <row r="1164" spans="1:10" x14ac:dyDescent="0.25">
      <c r="A1164" s="7" t="s">
        <v>52955</v>
      </c>
      <c r="B1164" s="8">
        <v>393.75</v>
      </c>
      <c r="C1164" s="8">
        <v>20.478950000000001</v>
      </c>
      <c r="D1164" s="8">
        <v>67</v>
      </c>
      <c r="E1164" s="8">
        <v>0</v>
      </c>
      <c r="F1164" s="8">
        <v>0</v>
      </c>
      <c r="G1164" s="8">
        <v>3</v>
      </c>
      <c r="H1164" s="8" t="s">
        <v>52956</v>
      </c>
      <c r="I1164" s="8">
        <v>526.6875</v>
      </c>
      <c r="J1164" s="3">
        <f t="shared" si="18"/>
        <v>43749.496022222222</v>
      </c>
    </row>
    <row r="1165" spans="1:10" x14ac:dyDescent="0.25">
      <c r="A1165" s="5" t="s">
        <v>52957</v>
      </c>
      <c r="B1165" s="6">
        <v>393.75</v>
      </c>
      <c r="C1165" s="6">
        <v>20.478950000000001</v>
      </c>
      <c r="D1165" s="6">
        <v>67</v>
      </c>
      <c r="E1165" s="6">
        <v>0</v>
      </c>
      <c r="F1165" s="6">
        <v>0</v>
      </c>
      <c r="G1165" s="6">
        <v>11</v>
      </c>
      <c r="H1165" s="6" t="s">
        <v>52958</v>
      </c>
      <c r="I1165" s="6">
        <v>526.6875</v>
      </c>
      <c r="J1165" s="2">
        <f t="shared" si="18"/>
        <v>43749.496093495363</v>
      </c>
    </row>
    <row r="1166" spans="1:10" x14ac:dyDescent="0.25">
      <c r="A1166" s="7" t="s">
        <v>52959</v>
      </c>
      <c r="B1166" s="8">
        <v>393.75</v>
      </c>
      <c r="C1166" s="8">
        <v>20.531590000000001</v>
      </c>
      <c r="D1166" s="8">
        <v>67</v>
      </c>
      <c r="E1166" s="8">
        <v>0</v>
      </c>
      <c r="F1166" s="8">
        <v>0</v>
      </c>
      <c r="G1166" s="8">
        <v>10</v>
      </c>
      <c r="H1166" s="8" t="s">
        <v>52960</v>
      </c>
      <c r="I1166" s="8">
        <v>526.6875</v>
      </c>
      <c r="J1166" s="3">
        <f t="shared" si="18"/>
        <v>43749.496174780092</v>
      </c>
    </row>
    <row r="1167" spans="1:10" x14ac:dyDescent="0.25">
      <c r="A1167" s="5" t="s">
        <v>52961</v>
      </c>
      <c r="B1167" s="6">
        <v>393.75</v>
      </c>
      <c r="C1167" s="6">
        <v>20.478950000000001</v>
      </c>
      <c r="D1167" s="6">
        <v>64</v>
      </c>
      <c r="E1167" s="6">
        <v>0</v>
      </c>
      <c r="F1167" s="6">
        <v>0</v>
      </c>
      <c r="G1167" s="6">
        <v>20</v>
      </c>
      <c r="H1167" s="6" t="s">
        <v>52962</v>
      </c>
      <c r="I1167" s="6">
        <v>526.5</v>
      </c>
      <c r="J1167" s="2">
        <f t="shared" si="18"/>
        <v>43749.496248969903</v>
      </c>
    </row>
    <row r="1168" spans="1:10" x14ac:dyDescent="0.25">
      <c r="A1168" s="7" t="s">
        <v>52963</v>
      </c>
      <c r="B1168" s="8">
        <v>393.75</v>
      </c>
      <c r="C1168" s="8">
        <v>20.531590000000001</v>
      </c>
      <c r="D1168" s="8">
        <v>64</v>
      </c>
      <c r="E1168" s="8">
        <v>0</v>
      </c>
      <c r="F1168" s="8">
        <v>0</v>
      </c>
      <c r="G1168" s="8">
        <v>8</v>
      </c>
      <c r="H1168" s="8" t="s">
        <v>52964</v>
      </c>
      <c r="I1168" s="8">
        <v>526.6875</v>
      </c>
      <c r="J1168" s="3">
        <f t="shared" si="18"/>
        <v>43749.496332395829</v>
      </c>
    </row>
    <row r="1169" spans="1:10" x14ac:dyDescent="0.25">
      <c r="A1169" s="5" t="s">
        <v>52965</v>
      </c>
      <c r="B1169" s="6">
        <v>393.75</v>
      </c>
      <c r="C1169" s="6">
        <v>20.478950000000001</v>
      </c>
      <c r="D1169" s="6">
        <v>64</v>
      </c>
      <c r="E1169" s="6">
        <v>0</v>
      </c>
      <c r="F1169" s="6">
        <v>0</v>
      </c>
      <c r="G1169" s="6">
        <v>7</v>
      </c>
      <c r="H1169" s="6" t="s">
        <v>52966</v>
      </c>
      <c r="I1169" s="6">
        <v>526.6875</v>
      </c>
      <c r="J1169" s="2">
        <f t="shared" si="18"/>
        <v>43749.496403472222</v>
      </c>
    </row>
    <row r="1170" spans="1:10" x14ac:dyDescent="0.25">
      <c r="A1170" s="7" t="s">
        <v>52967</v>
      </c>
      <c r="B1170" s="8">
        <v>393.75</v>
      </c>
      <c r="C1170" s="8">
        <v>20.478950000000001</v>
      </c>
      <c r="D1170" s="8">
        <v>64</v>
      </c>
      <c r="E1170" s="8">
        <v>0</v>
      </c>
      <c r="F1170" s="8">
        <v>0</v>
      </c>
      <c r="G1170" s="8">
        <v>14</v>
      </c>
      <c r="H1170" s="8" t="s">
        <v>52968</v>
      </c>
      <c r="I1170" s="8">
        <v>526.6875</v>
      </c>
      <c r="J1170" s="3">
        <f t="shared" si="18"/>
        <v>43749.496475231477</v>
      </c>
    </row>
    <row r="1171" spans="1:10" x14ac:dyDescent="0.25">
      <c r="A1171" s="5" t="s">
        <v>52969</v>
      </c>
      <c r="B1171" s="6">
        <v>393.75</v>
      </c>
      <c r="C1171" s="6">
        <v>20.478950000000001</v>
      </c>
      <c r="D1171" s="6">
        <v>64</v>
      </c>
      <c r="E1171" s="6">
        <v>0</v>
      </c>
      <c r="F1171" s="6">
        <v>0</v>
      </c>
      <c r="G1171" s="6">
        <v>8</v>
      </c>
      <c r="H1171" s="6" t="s">
        <v>52970</v>
      </c>
      <c r="I1171" s="6">
        <v>526.6875</v>
      </c>
      <c r="J1171" s="2">
        <f t="shared" si="18"/>
        <v>43749.496547118055</v>
      </c>
    </row>
    <row r="1172" spans="1:10" x14ac:dyDescent="0.25">
      <c r="A1172" s="7" t="s">
        <v>52971</v>
      </c>
      <c r="B1172" s="8">
        <v>393.75</v>
      </c>
      <c r="C1172" s="8">
        <v>20.531590000000001</v>
      </c>
      <c r="D1172" s="8">
        <v>64</v>
      </c>
      <c r="E1172" s="8">
        <v>0</v>
      </c>
      <c r="F1172" s="8">
        <v>0</v>
      </c>
      <c r="G1172" s="8">
        <v>5</v>
      </c>
      <c r="H1172" s="8" t="s">
        <v>52972</v>
      </c>
      <c r="I1172" s="8">
        <v>526.6875</v>
      </c>
      <c r="J1172" s="3">
        <f t="shared" si="18"/>
        <v>43749.496630532405</v>
      </c>
    </row>
    <row r="1173" spans="1:10" x14ac:dyDescent="0.25">
      <c r="A1173" s="5" t="s">
        <v>52973</v>
      </c>
      <c r="B1173" s="6">
        <v>393.75</v>
      </c>
      <c r="C1173" s="6">
        <v>20.478950000000001</v>
      </c>
      <c r="D1173" s="6">
        <v>64</v>
      </c>
      <c r="E1173" s="6">
        <v>0</v>
      </c>
      <c r="F1173" s="6">
        <v>0</v>
      </c>
      <c r="G1173" s="6">
        <v>14</v>
      </c>
      <c r="H1173" s="6" t="s">
        <v>52974</v>
      </c>
      <c r="I1173" s="6">
        <v>526.5</v>
      </c>
      <c r="J1173" s="2">
        <f t="shared" si="18"/>
        <v>43749.496713981476</v>
      </c>
    </row>
    <row r="1174" spans="1:10" x14ac:dyDescent="0.25">
      <c r="A1174" s="7" t="s">
        <v>52975</v>
      </c>
      <c r="B1174" s="8">
        <v>393.75</v>
      </c>
      <c r="C1174" s="8">
        <v>20.478950000000001</v>
      </c>
      <c r="D1174" s="8">
        <v>63</v>
      </c>
      <c r="E1174" s="8">
        <v>0</v>
      </c>
      <c r="F1174" s="8">
        <v>0</v>
      </c>
      <c r="G1174" s="8">
        <v>4</v>
      </c>
      <c r="H1174" s="8" t="s">
        <v>52976</v>
      </c>
      <c r="I1174" s="8">
        <v>526.6875</v>
      </c>
      <c r="J1174" s="3">
        <f t="shared" si="18"/>
        <v>43749.496797210646</v>
      </c>
    </row>
    <row r="1175" spans="1:10" x14ac:dyDescent="0.25">
      <c r="A1175" s="5" t="s">
        <v>52977</v>
      </c>
      <c r="B1175" s="6">
        <v>393.75</v>
      </c>
      <c r="C1175" s="6">
        <v>20.584240000000001</v>
      </c>
      <c r="D1175" s="6">
        <v>63</v>
      </c>
      <c r="E1175" s="6">
        <v>0</v>
      </c>
      <c r="F1175" s="6">
        <v>0</v>
      </c>
      <c r="G1175" s="6">
        <v>3</v>
      </c>
      <c r="H1175" s="6" t="s">
        <v>52978</v>
      </c>
      <c r="I1175" s="6">
        <v>526.6875</v>
      </c>
      <c r="J1175" s="2">
        <f t="shared" si="18"/>
        <v>43749.496868854163</v>
      </c>
    </row>
    <row r="1176" spans="1:10" x14ac:dyDescent="0.25">
      <c r="A1176" s="7" t="s">
        <v>52979</v>
      </c>
      <c r="B1176" s="8">
        <v>393.75</v>
      </c>
      <c r="C1176" s="8">
        <v>20.478950000000001</v>
      </c>
      <c r="D1176" s="8">
        <v>63</v>
      </c>
      <c r="E1176" s="8">
        <v>0</v>
      </c>
      <c r="F1176" s="8">
        <v>0</v>
      </c>
      <c r="G1176" s="8">
        <v>0</v>
      </c>
      <c r="H1176" s="8" t="s">
        <v>52980</v>
      </c>
      <c r="I1176" s="8">
        <v>526.6875</v>
      </c>
      <c r="J1176" s="3">
        <f t="shared" si="18"/>
        <v>43749.496952696754</v>
      </c>
    </row>
    <row r="1177" spans="1:10" x14ac:dyDescent="0.25">
      <c r="A1177" s="5" t="s">
        <v>52981</v>
      </c>
      <c r="B1177" s="6">
        <v>393.75</v>
      </c>
      <c r="C1177" s="6">
        <v>20.478950000000001</v>
      </c>
      <c r="D1177" s="6">
        <v>66</v>
      </c>
      <c r="E1177" s="6">
        <v>0</v>
      </c>
      <c r="F1177" s="6">
        <v>0</v>
      </c>
      <c r="G1177" s="6">
        <v>0</v>
      </c>
      <c r="H1177" s="6" t="s">
        <v>52982</v>
      </c>
      <c r="I1177" s="6">
        <v>526.6875</v>
      </c>
      <c r="J1177" s="2">
        <f t="shared" si="18"/>
        <v>43749.497024062497</v>
      </c>
    </row>
    <row r="1178" spans="1:10" x14ac:dyDescent="0.25">
      <c r="A1178" s="7" t="s">
        <v>52983</v>
      </c>
      <c r="B1178" s="8">
        <v>393.75</v>
      </c>
      <c r="C1178" s="8">
        <v>20.478950000000001</v>
      </c>
      <c r="D1178" s="8">
        <v>65</v>
      </c>
      <c r="E1178" s="8">
        <v>0</v>
      </c>
      <c r="F1178" s="8">
        <v>0</v>
      </c>
      <c r="G1178" s="8">
        <v>11</v>
      </c>
      <c r="H1178" s="8" t="s">
        <v>52984</v>
      </c>
      <c r="I1178" s="8">
        <v>526.5</v>
      </c>
      <c r="J1178" s="3">
        <f t="shared" si="18"/>
        <v>43749.497119293977</v>
      </c>
    </row>
    <row r="1179" spans="1:10" x14ac:dyDescent="0.25">
      <c r="A1179" s="5" t="s">
        <v>52985</v>
      </c>
      <c r="B1179" s="6">
        <v>393.75</v>
      </c>
      <c r="C1179" s="6">
        <v>20.531590000000001</v>
      </c>
      <c r="D1179" s="6">
        <v>64</v>
      </c>
      <c r="E1179" s="6">
        <v>0</v>
      </c>
      <c r="F1179" s="6">
        <v>0</v>
      </c>
      <c r="G1179" s="6">
        <v>1</v>
      </c>
      <c r="H1179" s="6" t="s">
        <v>52986</v>
      </c>
      <c r="I1179" s="6">
        <v>526.6875</v>
      </c>
      <c r="J1179" s="2">
        <f t="shared" si="18"/>
        <v>43749.497191076385</v>
      </c>
    </row>
    <row r="1180" spans="1:10" x14ac:dyDescent="0.25">
      <c r="A1180" s="7" t="s">
        <v>52987</v>
      </c>
      <c r="B1180" s="8">
        <v>415.625</v>
      </c>
      <c r="C1180" s="8">
        <v>20.531590000000001</v>
      </c>
      <c r="D1180" s="8">
        <v>64</v>
      </c>
      <c r="E1180" s="8">
        <v>0</v>
      </c>
      <c r="F1180" s="8">
        <v>0</v>
      </c>
      <c r="G1180" s="8">
        <v>3</v>
      </c>
      <c r="H1180" s="8" t="s">
        <v>52988</v>
      </c>
      <c r="I1180" s="8">
        <v>533.0625</v>
      </c>
      <c r="J1180" s="3">
        <f t="shared" si="18"/>
        <v>43749.497262384255</v>
      </c>
    </row>
    <row r="1181" spans="1:10" x14ac:dyDescent="0.25">
      <c r="A1181" s="5" t="s">
        <v>52989</v>
      </c>
      <c r="B1181" s="6">
        <v>393.75</v>
      </c>
      <c r="C1181" s="6">
        <v>20.531590000000001</v>
      </c>
      <c r="D1181" s="6">
        <v>65</v>
      </c>
      <c r="E1181" s="6">
        <v>0</v>
      </c>
      <c r="F1181" s="6">
        <v>0</v>
      </c>
      <c r="G1181" s="6">
        <v>2</v>
      </c>
      <c r="H1181" s="6" t="s">
        <v>52990</v>
      </c>
      <c r="I1181" s="6">
        <v>526.6875</v>
      </c>
      <c r="J1181" s="2">
        <f t="shared" si="18"/>
        <v>43749.497346145836</v>
      </c>
    </row>
    <row r="1182" spans="1:10" x14ac:dyDescent="0.25">
      <c r="A1182" s="7" t="s">
        <v>52991</v>
      </c>
      <c r="B1182" s="8">
        <v>393.75</v>
      </c>
      <c r="C1182" s="8">
        <v>20.531590000000001</v>
      </c>
      <c r="D1182" s="8">
        <v>65</v>
      </c>
      <c r="E1182" s="8">
        <v>0</v>
      </c>
      <c r="F1182" s="8">
        <v>0</v>
      </c>
      <c r="G1182" s="8">
        <v>6</v>
      </c>
      <c r="H1182" s="8" t="s">
        <v>52992</v>
      </c>
      <c r="I1182" s="8">
        <v>526.6875</v>
      </c>
      <c r="J1182" s="3">
        <f t="shared" si="18"/>
        <v>43749.497417673607</v>
      </c>
    </row>
    <row r="1183" spans="1:10" x14ac:dyDescent="0.25">
      <c r="A1183" s="5" t="s">
        <v>52993</v>
      </c>
      <c r="B1183" s="6">
        <v>415.625</v>
      </c>
      <c r="C1183" s="6">
        <v>20.478950000000001</v>
      </c>
      <c r="D1183" s="6">
        <v>65</v>
      </c>
      <c r="E1183" s="6">
        <v>0</v>
      </c>
      <c r="F1183" s="6">
        <v>0</v>
      </c>
      <c r="G1183" s="6">
        <v>7</v>
      </c>
      <c r="H1183" s="6" t="s">
        <v>52994</v>
      </c>
      <c r="I1183" s="6">
        <v>533.4375</v>
      </c>
      <c r="J1183" s="2">
        <f t="shared" si="18"/>
        <v>43749.497500914345</v>
      </c>
    </row>
    <row r="1184" spans="1:10" x14ac:dyDescent="0.25">
      <c r="A1184" s="7" t="s">
        <v>52995</v>
      </c>
      <c r="B1184" s="8">
        <v>393.75</v>
      </c>
      <c r="C1184" s="8">
        <v>20.478950000000001</v>
      </c>
      <c r="D1184" s="8">
        <v>64</v>
      </c>
      <c r="E1184" s="8">
        <v>0</v>
      </c>
      <c r="F1184" s="8">
        <v>0</v>
      </c>
      <c r="G1184" s="8">
        <v>6</v>
      </c>
      <c r="H1184" s="8" t="s">
        <v>52996</v>
      </c>
      <c r="I1184" s="8">
        <v>526.6875</v>
      </c>
      <c r="J1184" s="3">
        <f t="shared" si="18"/>
        <v>43749.497572777771</v>
      </c>
    </row>
    <row r="1185" spans="1:10" x14ac:dyDescent="0.25">
      <c r="A1185" s="5" t="s">
        <v>52997</v>
      </c>
      <c r="B1185" s="6">
        <v>393.75</v>
      </c>
      <c r="C1185" s="6">
        <v>20.531590000000001</v>
      </c>
      <c r="D1185" s="6">
        <v>64</v>
      </c>
      <c r="E1185" s="6">
        <v>0</v>
      </c>
      <c r="F1185" s="6">
        <v>0</v>
      </c>
      <c r="G1185" s="6">
        <v>2</v>
      </c>
      <c r="H1185" s="6" t="s">
        <v>52998</v>
      </c>
      <c r="I1185" s="6">
        <v>526.6875</v>
      </c>
      <c r="J1185" s="2">
        <f t="shared" si="18"/>
        <v>43749.497644305557</v>
      </c>
    </row>
    <row r="1186" spans="1:10" x14ac:dyDescent="0.25">
      <c r="A1186" s="7" t="s">
        <v>52999</v>
      </c>
      <c r="B1186" s="8">
        <v>393.75</v>
      </c>
      <c r="C1186" s="8">
        <v>20.478950000000001</v>
      </c>
      <c r="D1186" s="8">
        <v>63</v>
      </c>
      <c r="E1186" s="8">
        <v>0</v>
      </c>
      <c r="F1186" s="8">
        <v>0</v>
      </c>
      <c r="G1186" s="8">
        <v>0</v>
      </c>
      <c r="H1186" s="8" t="s">
        <v>53000</v>
      </c>
      <c r="I1186" s="8">
        <v>526.6875</v>
      </c>
      <c r="J1186" s="3">
        <f t="shared" si="18"/>
        <v>43749.497715613419</v>
      </c>
    </row>
    <row r="1187" spans="1:10" x14ac:dyDescent="0.25">
      <c r="A1187" s="5" t="s">
        <v>53001</v>
      </c>
      <c r="B1187" s="6">
        <v>393.75</v>
      </c>
      <c r="C1187" s="6">
        <v>20.584240000000001</v>
      </c>
      <c r="D1187" s="6">
        <v>64</v>
      </c>
      <c r="E1187" s="6">
        <v>0</v>
      </c>
      <c r="F1187" s="6">
        <v>0</v>
      </c>
      <c r="G1187" s="6">
        <v>7</v>
      </c>
      <c r="H1187" s="6" t="s">
        <v>53002</v>
      </c>
      <c r="I1187" s="6">
        <v>526.6875</v>
      </c>
      <c r="J1187" s="2">
        <f t="shared" si="18"/>
        <v>43749.497787372682</v>
      </c>
    </row>
    <row r="1188" spans="1:10" x14ac:dyDescent="0.25">
      <c r="A1188" s="7" t="s">
        <v>53003</v>
      </c>
      <c r="B1188" s="8">
        <v>393.75</v>
      </c>
      <c r="C1188" s="8">
        <v>20.531590000000001</v>
      </c>
      <c r="D1188" s="8">
        <v>64</v>
      </c>
      <c r="E1188" s="8">
        <v>0</v>
      </c>
      <c r="F1188" s="8">
        <v>0</v>
      </c>
      <c r="G1188" s="8">
        <v>3</v>
      </c>
      <c r="H1188" s="8" t="s">
        <v>53004</v>
      </c>
      <c r="I1188" s="8">
        <v>526.6875</v>
      </c>
      <c r="J1188" s="3">
        <f t="shared" si="18"/>
        <v>43749.497870914354</v>
      </c>
    </row>
    <row r="1189" spans="1:10" x14ac:dyDescent="0.25">
      <c r="A1189" s="5" t="s">
        <v>53005</v>
      </c>
      <c r="B1189" s="6">
        <v>393.75</v>
      </c>
      <c r="C1189" s="6">
        <v>20.531590000000001</v>
      </c>
      <c r="D1189" s="6">
        <v>64</v>
      </c>
      <c r="E1189" s="6">
        <v>0</v>
      </c>
      <c r="F1189" s="6">
        <v>0</v>
      </c>
      <c r="G1189" s="6">
        <v>9</v>
      </c>
      <c r="H1189" s="6" t="s">
        <v>53006</v>
      </c>
      <c r="I1189" s="6">
        <v>526.6875</v>
      </c>
      <c r="J1189" s="2">
        <f t="shared" si="18"/>
        <v>43749.497942581016</v>
      </c>
    </row>
    <row r="1190" spans="1:10" x14ac:dyDescent="0.25">
      <c r="A1190" s="7" t="s">
        <v>53007</v>
      </c>
      <c r="B1190" s="8">
        <v>393.75</v>
      </c>
      <c r="C1190" s="8">
        <v>20.531590000000001</v>
      </c>
      <c r="D1190" s="8">
        <v>63</v>
      </c>
      <c r="E1190" s="8">
        <v>0</v>
      </c>
      <c r="F1190" s="8">
        <v>0</v>
      </c>
      <c r="G1190" s="8">
        <v>3</v>
      </c>
      <c r="H1190" s="8" t="s">
        <v>53008</v>
      </c>
      <c r="I1190" s="8">
        <v>526.6875</v>
      </c>
      <c r="J1190" s="3">
        <f t="shared" si="18"/>
        <v>43749.498026030087</v>
      </c>
    </row>
    <row r="1191" spans="1:10" x14ac:dyDescent="0.25">
      <c r="A1191" s="5" t="s">
        <v>53009</v>
      </c>
      <c r="B1191" s="6">
        <v>393.75</v>
      </c>
      <c r="C1191" s="6">
        <v>20.531590000000001</v>
      </c>
      <c r="D1191" s="6">
        <v>64</v>
      </c>
      <c r="E1191" s="6">
        <v>0</v>
      </c>
      <c r="F1191" s="6">
        <v>0</v>
      </c>
      <c r="G1191" s="6">
        <v>8</v>
      </c>
      <c r="H1191" s="6" t="s">
        <v>53010</v>
      </c>
      <c r="I1191" s="6">
        <v>526.6875</v>
      </c>
      <c r="J1191" s="2">
        <f t="shared" si="18"/>
        <v>43749.498097187497</v>
      </c>
    </row>
    <row r="1192" spans="1:10" x14ac:dyDescent="0.25">
      <c r="A1192" s="7" t="s">
        <v>53011</v>
      </c>
      <c r="B1192" s="8">
        <v>393.75</v>
      </c>
      <c r="C1192" s="8">
        <v>20.531590000000001</v>
      </c>
      <c r="D1192" s="8">
        <v>63</v>
      </c>
      <c r="E1192" s="8">
        <v>0</v>
      </c>
      <c r="F1192" s="8">
        <v>0</v>
      </c>
      <c r="G1192" s="8">
        <v>16</v>
      </c>
      <c r="H1192" s="8" t="s">
        <v>53012</v>
      </c>
      <c r="I1192" s="8">
        <v>526.6875</v>
      </c>
      <c r="J1192" s="3">
        <f t="shared" si="18"/>
        <v>43749.498168773142</v>
      </c>
    </row>
    <row r="1193" spans="1:10" x14ac:dyDescent="0.25">
      <c r="A1193" s="5" t="s">
        <v>53013</v>
      </c>
      <c r="B1193" s="6">
        <v>393.75</v>
      </c>
      <c r="C1193" s="6">
        <v>20.531590000000001</v>
      </c>
      <c r="D1193" s="6">
        <v>63</v>
      </c>
      <c r="E1193" s="6">
        <v>0</v>
      </c>
      <c r="F1193" s="6">
        <v>0</v>
      </c>
      <c r="G1193" s="6">
        <v>7</v>
      </c>
      <c r="H1193" s="6" t="s">
        <v>53014</v>
      </c>
      <c r="I1193" s="6">
        <v>526.6875</v>
      </c>
      <c r="J1193" s="2">
        <f t="shared" si="18"/>
        <v>43749.498240254623</v>
      </c>
    </row>
    <row r="1194" spans="1:10" x14ac:dyDescent="0.25">
      <c r="A1194" s="7" t="s">
        <v>53015</v>
      </c>
      <c r="B1194" s="8">
        <v>412.5</v>
      </c>
      <c r="C1194" s="8">
        <v>20.478950000000001</v>
      </c>
      <c r="D1194" s="8">
        <v>63</v>
      </c>
      <c r="E1194" s="8">
        <v>0</v>
      </c>
      <c r="F1194" s="8">
        <v>0</v>
      </c>
      <c r="G1194" s="8">
        <v>4</v>
      </c>
      <c r="H1194" s="8" t="s">
        <v>53016</v>
      </c>
      <c r="I1194" s="8">
        <v>532.3125</v>
      </c>
      <c r="J1194" s="3">
        <f t="shared" si="18"/>
        <v>43749.498311909723</v>
      </c>
    </row>
    <row r="1195" spans="1:10" x14ac:dyDescent="0.25">
      <c r="A1195" s="5" t="s">
        <v>53017</v>
      </c>
      <c r="B1195" s="6">
        <v>393.75</v>
      </c>
      <c r="C1195" s="6">
        <v>20.531590000000001</v>
      </c>
      <c r="D1195" s="6">
        <v>64</v>
      </c>
      <c r="E1195" s="6">
        <v>0</v>
      </c>
      <c r="F1195" s="6">
        <v>0</v>
      </c>
      <c r="G1195" s="6">
        <v>6</v>
      </c>
      <c r="H1195" s="6" t="s">
        <v>53018</v>
      </c>
      <c r="I1195" s="6">
        <v>526.6875</v>
      </c>
      <c r="J1195" s="2">
        <f t="shared" si="18"/>
        <v>43749.498383796294</v>
      </c>
    </row>
    <row r="1196" spans="1:10" x14ac:dyDescent="0.25">
      <c r="A1196" s="7" t="s">
        <v>53019</v>
      </c>
      <c r="B1196" s="8">
        <v>393.75</v>
      </c>
      <c r="C1196" s="8">
        <v>20.478950000000001</v>
      </c>
      <c r="D1196" s="8">
        <v>68</v>
      </c>
      <c r="E1196" s="8">
        <v>0</v>
      </c>
      <c r="F1196" s="8">
        <v>0</v>
      </c>
      <c r="G1196" s="8">
        <v>10</v>
      </c>
      <c r="H1196" s="8" t="s">
        <v>53020</v>
      </c>
      <c r="I1196" s="8">
        <v>526.6875</v>
      </c>
      <c r="J1196" s="3">
        <f t="shared" si="18"/>
        <v>43749.498467233796</v>
      </c>
    </row>
    <row r="1197" spans="1:10" x14ac:dyDescent="0.25">
      <c r="A1197" s="5" t="s">
        <v>53021</v>
      </c>
      <c r="B1197" s="6">
        <v>393.75</v>
      </c>
      <c r="C1197" s="6">
        <v>20.531590000000001</v>
      </c>
      <c r="D1197" s="6">
        <v>67</v>
      </c>
      <c r="E1197" s="6">
        <v>0</v>
      </c>
      <c r="F1197" s="6">
        <v>0</v>
      </c>
      <c r="G1197" s="6">
        <v>16</v>
      </c>
      <c r="H1197" s="6" t="s">
        <v>53022</v>
      </c>
      <c r="I1197" s="6">
        <v>526.6875</v>
      </c>
      <c r="J1197" s="2">
        <f t="shared" si="18"/>
        <v>43749.49853892361</v>
      </c>
    </row>
    <row r="1198" spans="1:10" x14ac:dyDescent="0.25">
      <c r="A1198" s="7" t="s">
        <v>53023</v>
      </c>
      <c r="B1198" s="8">
        <v>393.75</v>
      </c>
      <c r="C1198" s="8">
        <v>20.478950000000001</v>
      </c>
      <c r="D1198" s="8">
        <v>66</v>
      </c>
      <c r="E1198" s="8">
        <v>0</v>
      </c>
      <c r="F1198" s="8">
        <v>0</v>
      </c>
      <c r="G1198" s="8">
        <v>9</v>
      </c>
      <c r="H1198" s="8" t="s">
        <v>53024</v>
      </c>
      <c r="I1198" s="8">
        <v>526.6875</v>
      </c>
      <c r="J1198" s="3">
        <f t="shared" si="18"/>
        <v>43749.498610405091</v>
      </c>
    </row>
    <row r="1199" spans="1:10" x14ac:dyDescent="0.25">
      <c r="A1199" s="5" t="s">
        <v>53025</v>
      </c>
      <c r="B1199" s="6">
        <v>393.75</v>
      </c>
      <c r="C1199" s="6">
        <v>20.478950000000001</v>
      </c>
      <c r="D1199" s="6">
        <v>66</v>
      </c>
      <c r="E1199" s="6">
        <v>0</v>
      </c>
      <c r="F1199" s="6">
        <v>0</v>
      </c>
      <c r="G1199" s="6">
        <v>0</v>
      </c>
      <c r="H1199" s="6" t="s">
        <v>53026</v>
      </c>
      <c r="I1199" s="6">
        <v>526.6875</v>
      </c>
      <c r="J1199" s="2">
        <f t="shared" si="18"/>
        <v>43749.498705763886</v>
      </c>
    </row>
    <row r="1200" spans="1:10" x14ac:dyDescent="0.25">
      <c r="A1200" s="7" t="s">
        <v>53027</v>
      </c>
      <c r="B1200" s="8">
        <v>418.75</v>
      </c>
      <c r="C1200" s="8">
        <v>20.531590000000001</v>
      </c>
      <c r="D1200" s="8">
        <v>65</v>
      </c>
      <c r="E1200" s="8">
        <v>0</v>
      </c>
      <c r="F1200" s="8">
        <v>0</v>
      </c>
      <c r="G1200" s="8">
        <v>8</v>
      </c>
      <c r="H1200" s="8" t="s">
        <v>53028</v>
      </c>
      <c r="I1200" s="8">
        <v>534</v>
      </c>
      <c r="J1200" s="3">
        <f t="shared" si="18"/>
        <v>43749.498777407403</v>
      </c>
    </row>
    <row r="1201" spans="1:10" x14ac:dyDescent="0.25">
      <c r="A1201" s="5" t="s">
        <v>53029</v>
      </c>
      <c r="B1201" s="6">
        <v>393.75</v>
      </c>
      <c r="C1201" s="6">
        <v>20.531590000000001</v>
      </c>
      <c r="D1201" s="6">
        <v>63</v>
      </c>
      <c r="E1201" s="6">
        <v>0</v>
      </c>
      <c r="F1201" s="6">
        <v>0</v>
      </c>
      <c r="G1201" s="6">
        <v>5</v>
      </c>
      <c r="H1201" s="6" t="s">
        <v>53030</v>
      </c>
      <c r="I1201" s="6">
        <v>526.6875</v>
      </c>
      <c r="J1201" s="2">
        <f t="shared" si="18"/>
        <v>43749.498849039352</v>
      </c>
    </row>
    <row r="1202" spans="1:10" x14ac:dyDescent="0.25">
      <c r="A1202" s="7" t="s">
        <v>53031</v>
      </c>
      <c r="B1202" s="8">
        <v>393.75</v>
      </c>
      <c r="C1202" s="8">
        <v>20.531590000000001</v>
      </c>
      <c r="D1202" s="8">
        <v>63</v>
      </c>
      <c r="E1202" s="8">
        <v>0</v>
      </c>
      <c r="F1202" s="8">
        <v>0</v>
      </c>
      <c r="G1202" s="8">
        <v>5</v>
      </c>
      <c r="H1202" s="8" t="s">
        <v>53032</v>
      </c>
      <c r="I1202" s="8">
        <v>526.6875</v>
      </c>
      <c r="J1202" s="3">
        <f t="shared" si="18"/>
        <v>43749.498932384253</v>
      </c>
    </row>
    <row r="1203" spans="1:10" x14ac:dyDescent="0.25">
      <c r="A1203" s="5" t="s">
        <v>53033</v>
      </c>
      <c r="B1203" s="6">
        <v>393.75</v>
      </c>
      <c r="C1203" s="6">
        <v>20.584240000000001</v>
      </c>
      <c r="D1203" s="6">
        <v>63</v>
      </c>
      <c r="E1203" s="6">
        <v>0</v>
      </c>
      <c r="F1203" s="6">
        <v>0</v>
      </c>
      <c r="G1203" s="6">
        <v>6</v>
      </c>
      <c r="H1203" s="6" t="s">
        <v>53034</v>
      </c>
      <c r="I1203" s="6">
        <v>526.5</v>
      </c>
      <c r="J1203" s="2">
        <f t="shared" si="18"/>
        <v>43749.499004016201</v>
      </c>
    </row>
    <row r="1204" spans="1:10" x14ac:dyDescent="0.25">
      <c r="A1204" s="7" t="s">
        <v>53035</v>
      </c>
      <c r="B1204" s="8">
        <v>393.75</v>
      </c>
      <c r="C1204" s="8">
        <v>20.478950000000001</v>
      </c>
      <c r="D1204" s="8">
        <v>62</v>
      </c>
      <c r="E1204" s="8">
        <v>0</v>
      </c>
      <c r="F1204" s="8">
        <v>0</v>
      </c>
      <c r="G1204" s="8">
        <v>7</v>
      </c>
      <c r="H1204" s="8" t="s">
        <v>53036</v>
      </c>
      <c r="I1204" s="8">
        <v>526.6875</v>
      </c>
      <c r="J1204" s="3">
        <f t="shared" si="18"/>
        <v>43749.499097905085</v>
      </c>
    </row>
    <row r="1205" spans="1:10" x14ac:dyDescent="0.25">
      <c r="A1205" s="5" t="s">
        <v>53037</v>
      </c>
      <c r="B1205" s="6">
        <v>412.5</v>
      </c>
      <c r="C1205" s="6">
        <v>20.478950000000001</v>
      </c>
      <c r="D1205" s="6">
        <v>63</v>
      </c>
      <c r="E1205" s="6">
        <v>0</v>
      </c>
      <c r="F1205" s="6">
        <v>0</v>
      </c>
      <c r="G1205" s="6">
        <v>8</v>
      </c>
      <c r="H1205" s="6" t="s">
        <v>53038</v>
      </c>
      <c r="I1205" s="6">
        <v>532.5</v>
      </c>
      <c r="J1205" s="2">
        <f t="shared" si="18"/>
        <v>43749.499194849537</v>
      </c>
    </row>
    <row r="1206" spans="1:10" x14ac:dyDescent="0.25">
      <c r="A1206" s="7" t="s">
        <v>53039</v>
      </c>
      <c r="B1206" s="8">
        <v>393.75</v>
      </c>
      <c r="C1206" s="8">
        <v>20.531590000000001</v>
      </c>
      <c r="D1206" s="8">
        <v>63</v>
      </c>
      <c r="E1206" s="8">
        <v>0</v>
      </c>
      <c r="F1206" s="8">
        <v>0</v>
      </c>
      <c r="G1206" s="8">
        <v>0</v>
      </c>
      <c r="H1206" s="8" t="s">
        <v>53040</v>
      </c>
      <c r="I1206" s="8">
        <v>526.6875</v>
      </c>
      <c r="J1206" s="3">
        <f t="shared" si="18"/>
        <v>43749.499278391202</v>
      </c>
    </row>
    <row r="1207" spans="1:10" x14ac:dyDescent="0.25">
      <c r="A1207" s="5" t="s">
        <v>53041</v>
      </c>
      <c r="B1207" s="6">
        <v>393.75</v>
      </c>
      <c r="C1207" s="6">
        <v>20.478950000000001</v>
      </c>
      <c r="D1207" s="6">
        <v>62</v>
      </c>
      <c r="E1207" s="6">
        <v>0</v>
      </c>
      <c r="F1207" s="6">
        <v>0</v>
      </c>
      <c r="G1207" s="6">
        <v>8</v>
      </c>
      <c r="H1207" s="6" t="s">
        <v>53042</v>
      </c>
      <c r="I1207" s="6">
        <v>526.6875</v>
      </c>
      <c r="J1207" s="2">
        <f t="shared" si="18"/>
        <v>43749.499361863425</v>
      </c>
    </row>
    <row r="1208" spans="1:10" x14ac:dyDescent="0.25">
      <c r="A1208" s="7" t="s">
        <v>53043</v>
      </c>
      <c r="B1208" s="8">
        <v>393.75</v>
      </c>
      <c r="C1208" s="8">
        <v>20.478950000000001</v>
      </c>
      <c r="D1208" s="8">
        <v>62</v>
      </c>
      <c r="E1208" s="8">
        <v>0</v>
      </c>
      <c r="F1208" s="8">
        <v>0</v>
      </c>
      <c r="G1208" s="8">
        <v>4</v>
      </c>
      <c r="H1208" s="8" t="s">
        <v>53044</v>
      </c>
      <c r="I1208" s="8">
        <v>526.6875</v>
      </c>
      <c r="J1208" s="3">
        <f t="shared" si="18"/>
        <v>43749.499445312496</v>
      </c>
    </row>
    <row r="1209" spans="1:10" x14ac:dyDescent="0.25">
      <c r="A1209" s="5" t="s">
        <v>53045</v>
      </c>
      <c r="B1209" s="6">
        <v>393.75</v>
      </c>
      <c r="C1209" s="6">
        <v>20.531590000000001</v>
      </c>
      <c r="D1209" s="6">
        <v>62</v>
      </c>
      <c r="E1209" s="6">
        <v>0</v>
      </c>
      <c r="F1209" s="6">
        <v>0</v>
      </c>
      <c r="G1209" s="6">
        <v>2</v>
      </c>
      <c r="H1209" s="6" t="s">
        <v>53046</v>
      </c>
      <c r="I1209" s="6">
        <v>526.6875</v>
      </c>
      <c r="J1209" s="2">
        <f t="shared" si="18"/>
        <v>43749.499529212961</v>
      </c>
    </row>
    <row r="1210" spans="1:10" x14ac:dyDescent="0.25">
      <c r="A1210" s="7" t="s">
        <v>53047</v>
      </c>
      <c r="B1210" s="8">
        <v>393.75</v>
      </c>
      <c r="C1210" s="8">
        <v>20.531590000000001</v>
      </c>
      <c r="D1210" s="8">
        <v>63</v>
      </c>
      <c r="E1210" s="8">
        <v>0</v>
      </c>
      <c r="F1210" s="8">
        <v>0</v>
      </c>
      <c r="G1210" s="8">
        <v>8</v>
      </c>
      <c r="H1210" s="8" t="s">
        <v>53048</v>
      </c>
      <c r="I1210" s="8">
        <v>526.6875</v>
      </c>
      <c r="J1210" s="3">
        <f t="shared" si="18"/>
        <v>43749.499611979169</v>
      </c>
    </row>
    <row r="1211" spans="1:10" x14ac:dyDescent="0.25">
      <c r="A1211" s="5" t="s">
        <v>53049</v>
      </c>
      <c r="B1211" s="6">
        <v>393.75</v>
      </c>
      <c r="C1211" s="6">
        <v>20.478950000000001</v>
      </c>
      <c r="D1211" s="6">
        <v>63</v>
      </c>
      <c r="E1211" s="6">
        <v>0</v>
      </c>
      <c r="F1211" s="6">
        <v>0</v>
      </c>
      <c r="G1211" s="6">
        <v>9</v>
      </c>
      <c r="H1211" s="6" t="s">
        <v>53050</v>
      </c>
      <c r="I1211" s="6">
        <v>526.6875</v>
      </c>
      <c r="J1211" s="2">
        <f t="shared" si="18"/>
        <v>43749.499683738424</v>
      </c>
    </row>
    <row r="1212" spans="1:10" x14ac:dyDescent="0.25">
      <c r="A1212" s="7" t="s">
        <v>53051</v>
      </c>
      <c r="B1212" s="8">
        <v>393.75</v>
      </c>
      <c r="C1212" s="8">
        <v>20.531590000000001</v>
      </c>
      <c r="D1212" s="8">
        <v>62</v>
      </c>
      <c r="E1212" s="8">
        <v>0</v>
      </c>
      <c r="F1212" s="8">
        <v>0</v>
      </c>
      <c r="G1212" s="8">
        <v>10</v>
      </c>
      <c r="H1212" s="8" t="s">
        <v>53052</v>
      </c>
      <c r="I1212" s="8">
        <v>526.6875</v>
      </c>
      <c r="J1212" s="3">
        <f t="shared" si="18"/>
        <v>43749.499755370365</v>
      </c>
    </row>
    <row r="1213" spans="1:10" x14ac:dyDescent="0.25">
      <c r="A1213" s="5" t="s">
        <v>53053</v>
      </c>
      <c r="B1213" s="6">
        <v>393.75</v>
      </c>
      <c r="C1213" s="6">
        <v>20.531590000000001</v>
      </c>
      <c r="D1213" s="6">
        <v>62</v>
      </c>
      <c r="E1213" s="6">
        <v>0</v>
      </c>
      <c r="F1213" s="6">
        <v>0</v>
      </c>
      <c r="G1213" s="6">
        <v>15</v>
      </c>
      <c r="H1213" s="6" t="s">
        <v>53054</v>
      </c>
      <c r="I1213" s="6">
        <v>526.6875</v>
      </c>
      <c r="J1213" s="2">
        <f t="shared" si="18"/>
        <v>43749.499826793974</v>
      </c>
    </row>
    <row r="1214" spans="1:10" x14ac:dyDescent="0.25">
      <c r="A1214" s="7" t="s">
        <v>53055</v>
      </c>
      <c r="B1214" s="8">
        <v>393.75</v>
      </c>
      <c r="C1214" s="8">
        <v>20.531590000000001</v>
      </c>
      <c r="D1214" s="8">
        <v>62</v>
      </c>
      <c r="E1214" s="8">
        <v>0</v>
      </c>
      <c r="F1214" s="8">
        <v>0</v>
      </c>
      <c r="G1214" s="8">
        <v>11</v>
      </c>
      <c r="H1214" s="8" t="s">
        <v>53056</v>
      </c>
      <c r="I1214" s="8">
        <v>526.6875</v>
      </c>
      <c r="J1214" s="3">
        <f t="shared" si="18"/>
        <v>43749.499898530092</v>
      </c>
    </row>
    <row r="1215" spans="1:10" x14ac:dyDescent="0.25">
      <c r="A1215" s="5" t="s">
        <v>53057</v>
      </c>
      <c r="B1215" s="6">
        <v>393.75</v>
      </c>
      <c r="C1215" s="6">
        <v>20.531590000000001</v>
      </c>
      <c r="D1215" s="6">
        <v>61</v>
      </c>
      <c r="E1215" s="6">
        <v>0</v>
      </c>
      <c r="F1215" s="6">
        <v>0</v>
      </c>
      <c r="G1215" s="6">
        <v>5</v>
      </c>
      <c r="H1215" s="6" t="s">
        <v>53058</v>
      </c>
      <c r="I1215" s="6">
        <v>526.6875</v>
      </c>
      <c r="J1215" s="2">
        <f t="shared" si="18"/>
        <v>43749.499970069439</v>
      </c>
    </row>
    <row r="1216" spans="1:10" x14ac:dyDescent="0.25">
      <c r="A1216" s="7" t="s">
        <v>53059</v>
      </c>
      <c r="B1216" s="8">
        <v>393.75</v>
      </c>
      <c r="C1216" s="8">
        <v>20.478950000000001</v>
      </c>
      <c r="D1216" s="8">
        <v>61</v>
      </c>
      <c r="E1216" s="8">
        <v>0</v>
      </c>
      <c r="F1216" s="8">
        <v>0</v>
      </c>
      <c r="G1216" s="8">
        <v>6</v>
      </c>
      <c r="H1216" s="8" t="s">
        <v>53060</v>
      </c>
      <c r="I1216" s="8">
        <v>526.6875</v>
      </c>
      <c r="J1216" s="3">
        <f t="shared" si="18"/>
        <v>43749.50005362268</v>
      </c>
    </row>
    <row r="1217" spans="1:10" x14ac:dyDescent="0.25">
      <c r="A1217" s="5" t="s">
        <v>53061</v>
      </c>
      <c r="B1217" s="6">
        <v>393.75</v>
      </c>
      <c r="C1217" s="6">
        <v>20.531590000000001</v>
      </c>
      <c r="D1217" s="6">
        <v>61</v>
      </c>
      <c r="E1217" s="6">
        <v>0</v>
      </c>
      <c r="F1217" s="6">
        <v>0</v>
      </c>
      <c r="G1217" s="6">
        <v>8</v>
      </c>
      <c r="H1217" s="6" t="s">
        <v>53062</v>
      </c>
      <c r="I1217" s="6">
        <v>526.6875</v>
      </c>
      <c r="J1217" s="2">
        <f t="shared" si="18"/>
        <v>43749.50012517361</v>
      </c>
    </row>
    <row r="1218" spans="1:10" x14ac:dyDescent="0.25">
      <c r="A1218" s="7" t="s">
        <v>53063</v>
      </c>
      <c r="B1218" s="8">
        <v>393.75</v>
      </c>
      <c r="C1218" s="8">
        <v>20.531590000000001</v>
      </c>
      <c r="D1218" s="8">
        <v>62</v>
      </c>
      <c r="E1218" s="8">
        <v>0</v>
      </c>
      <c r="F1218" s="8">
        <v>0</v>
      </c>
      <c r="G1218" s="8">
        <v>8</v>
      </c>
      <c r="H1218" s="8" t="s">
        <v>53064</v>
      </c>
      <c r="I1218" s="8">
        <v>526.5</v>
      </c>
      <c r="J1218" s="3">
        <f t="shared" ref="J1218:J1281" si="19">(H1218/86400000)+25569+(7/24)</f>
        <v>43749.500208402773</v>
      </c>
    </row>
    <row r="1219" spans="1:10" x14ac:dyDescent="0.25">
      <c r="A1219" s="5" t="s">
        <v>53065</v>
      </c>
      <c r="B1219" s="6">
        <v>393.75</v>
      </c>
      <c r="C1219" s="6">
        <v>20.478950000000001</v>
      </c>
      <c r="D1219" s="6">
        <v>62</v>
      </c>
      <c r="E1219" s="6">
        <v>0</v>
      </c>
      <c r="F1219" s="6">
        <v>0</v>
      </c>
      <c r="G1219" s="6">
        <v>12</v>
      </c>
      <c r="H1219" s="6" t="s">
        <v>53066</v>
      </c>
      <c r="I1219" s="6">
        <v>526.6875</v>
      </c>
      <c r="J1219" s="2">
        <f t="shared" si="19"/>
        <v>43749.500280138884</v>
      </c>
    </row>
    <row r="1220" spans="1:10" x14ac:dyDescent="0.25">
      <c r="A1220" s="7" t="s">
        <v>53067</v>
      </c>
      <c r="B1220" s="8">
        <v>393.75</v>
      </c>
      <c r="C1220" s="8">
        <v>20.478950000000001</v>
      </c>
      <c r="D1220" s="8">
        <v>61</v>
      </c>
      <c r="E1220" s="8">
        <v>0</v>
      </c>
      <c r="F1220" s="8">
        <v>0</v>
      </c>
      <c r="G1220" s="8">
        <v>11</v>
      </c>
      <c r="H1220" s="8" t="s">
        <v>53068</v>
      </c>
      <c r="I1220" s="8">
        <v>526.875</v>
      </c>
      <c r="J1220" s="3">
        <f t="shared" si="19"/>
        <v>43749.500363831015</v>
      </c>
    </row>
    <row r="1221" spans="1:10" x14ac:dyDescent="0.25">
      <c r="A1221" s="5" t="s">
        <v>53069</v>
      </c>
      <c r="B1221" s="6">
        <v>393.75</v>
      </c>
      <c r="C1221" s="6">
        <v>20.531590000000001</v>
      </c>
      <c r="D1221" s="6">
        <v>61</v>
      </c>
      <c r="E1221" s="6">
        <v>0</v>
      </c>
      <c r="F1221" s="6">
        <v>0</v>
      </c>
      <c r="G1221" s="6">
        <v>4</v>
      </c>
      <c r="H1221" s="6" t="s">
        <v>53070</v>
      </c>
      <c r="I1221" s="6">
        <v>526.6875</v>
      </c>
      <c r="J1221" s="2">
        <f t="shared" si="19"/>
        <v>43749.500435243048</v>
      </c>
    </row>
    <row r="1222" spans="1:10" x14ac:dyDescent="0.25">
      <c r="A1222" s="7" t="s">
        <v>53071</v>
      </c>
      <c r="B1222" s="8">
        <v>393.75</v>
      </c>
      <c r="C1222" s="8">
        <v>20.478950000000001</v>
      </c>
      <c r="D1222" s="8">
        <v>59</v>
      </c>
      <c r="E1222" s="8">
        <v>0</v>
      </c>
      <c r="F1222" s="8">
        <v>0</v>
      </c>
      <c r="G1222" s="8">
        <v>3</v>
      </c>
      <c r="H1222" s="8" t="s">
        <v>53072</v>
      </c>
      <c r="I1222" s="8">
        <v>526.6875</v>
      </c>
      <c r="J1222" s="3">
        <f t="shared" si="19"/>
        <v>43749.500506886572</v>
      </c>
    </row>
    <row r="1223" spans="1:10" x14ac:dyDescent="0.25">
      <c r="A1223" s="5" t="s">
        <v>53073</v>
      </c>
      <c r="B1223" s="6">
        <v>415.625</v>
      </c>
      <c r="C1223" s="6">
        <v>20.478950000000001</v>
      </c>
      <c r="D1223" s="6">
        <v>59</v>
      </c>
      <c r="E1223" s="6">
        <v>0</v>
      </c>
      <c r="F1223" s="6">
        <v>0</v>
      </c>
      <c r="G1223" s="6">
        <v>3</v>
      </c>
      <c r="H1223" s="6" t="s">
        <v>53074</v>
      </c>
      <c r="I1223" s="6">
        <v>533.4375</v>
      </c>
      <c r="J1223" s="2">
        <f t="shared" si="19"/>
        <v>43749.50057817129</v>
      </c>
    </row>
    <row r="1224" spans="1:10" x14ac:dyDescent="0.25">
      <c r="A1224" s="7" t="s">
        <v>53075</v>
      </c>
      <c r="B1224" s="8">
        <v>393.75</v>
      </c>
      <c r="C1224" s="8">
        <v>20.478950000000001</v>
      </c>
      <c r="D1224" s="8">
        <v>61</v>
      </c>
      <c r="E1224" s="8">
        <v>0</v>
      </c>
      <c r="F1224" s="8">
        <v>0</v>
      </c>
      <c r="G1224" s="8">
        <v>8</v>
      </c>
      <c r="H1224" s="8" t="s">
        <v>53076</v>
      </c>
      <c r="I1224" s="8">
        <v>526.6875</v>
      </c>
      <c r="J1224" s="3">
        <f t="shared" si="19"/>
        <v>43749.500661874998</v>
      </c>
    </row>
    <row r="1225" spans="1:10" x14ac:dyDescent="0.25">
      <c r="A1225" s="5" t="s">
        <v>53077</v>
      </c>
      <c r="B1225" s="6">
        <v>393.75</v>
      </c>
      <c r="C1225" s="6">
        <v>20.478950000000001</v>
      </c>
      <c r="D1225" s="6">
        <v>62</v>
      </c>
      <c r="E1225" s="6">
        <v>0</v>
      </c>
      <c r="F1225" s="6">
        <v>0</v>
      </c>
      <c r="G1225" s="6">
        <v>15</v>
      </c>
      <c r="H1225" s="6" t="s">
        <v>53078</v>
      </c>
      <c r="I1225" s="6">
        <v>526.6875</v>
      </c>
      <c r="J1225" s="2">
        <f t="shared" si="19"/>
        <v>43749.500745300924</v>
      </c>
    </row>
    <row r="1226" spans="1:10" x14ac:dyDescent="0.25">
      <c r="A1226" s="7" t="s">
        <v>53079</v>
      </c>
      <c r="B1226" s="8">
        <v>393.75</v>
      </c>
      <c r="C1226" s="8">
        <v>20.531590000000001</v>
      </c>
      <c r="D1226" s="8">
        <v>62</v>
      </c>
      <c r="E1226" s="8">
        <v>0</v>
      </c>
      <c r="F1226" s="8">
        <v>0</v>
      </c>
      <c r="G1226" s="8">
        <v>14</v>
      </c>
      <c r="H1226" s="8" t="s">
        <v>53080</v>
      </c>
      <c r="I1226" s="8">
        <v>526.6875</v>
      </c>
      <c r="J1226" s="3">
        <f t="shared" si="19"/>
        <v>43749.500829108794</v>
      </c>
    </row>
    <row r="1227" spans="1:10" x14ac:dyDescent="0.25">
      <c r="A1227" s="5" t="s">
        <v>53081</v>
      </c>
      <c r="B1227" s="6">
        <v>393.75</v>
      </c>
      <c r="C1227" s="6">
        <v>20.478950000000001</v>
      </c>
      <c r="D1227" s="6">
        <v>62</v>
      </c>
      <c r="E1227" s="6">
        <v>0</v>
      </c>
      <c r="F1227" s="6">
        <v>0</v>
      </c>
      <c r="G1227" s="6">
        <v>5</v>
      </c>
      <c r="H1227" s="6" t="s">
        <v>53082</v>
      </c>
      <c r="I1227" s="6">
        <v>526.6875</v>
      </c>
      <c r="J1227" s="2">
        <f t="shared" si="19"/>
        <v>43749.500900416664</v>
      </c>
    </row>
    <row r="1228" spans="1:10" x14ac:dyDescent="0.25">
      <c r="A1228" s="7" t="s">
        <v>53083</v>
      </c>
      <c r="B1228" s="8">
        <v>393.75</v>
      </c>
      <c r="C1228" s="8">
        <v>20.531590000000001</v>
      </c>
      <c r="D1228" s="8">
        <v>62</v>
      </c>
      <c r="E1228" s="8">
        <v>0</v>
      </c>
      <c r="F1228" s="8">
        <v>0</v>
      </c>
      <c r="G1228" s="8">
        <v>10</v>
      </c>
      <c r="H1228" s="8" t="s">
        <v>53084</v>
      </c>
      <c r="I1228" s="8">
        <v>526.6875</v>
      </c>
      <c r="J1228" s="3">
        <f t="shared" si="19"/>
        <v>43749.50097192129</v>
      </c>
    </row>
    <row r="1229" spans="1:10" x14ac:dyDescent="0.25">
      <c r="A1229" s="5" t="s">
        <v>53085</v>
      </c>
      <c r="B1229" s="6">
        <v>415.625</v>
      </c>
      <c r="C1229" s="6">
        <v>20.531590000000001</v>
      </c>
      <c r="D1229" s="6">
        <v>62</v>
      </c>
      <c r="E1229" s="6">
        <v>0</v>
      </c>
      <c r="F1229" s="6">
        <v>0</v>
      </c>
      <c r="G1229" s="6">
        <v>10</v>
      </c>
      <c r="H1229" s="6" t="s">
        <v>53086</v>
      </c>
      <c r="I1229" s="6">
        <v>533.0625</v>
      </c>
      <c r="J1229" s="2">
        <f t="shared" si="19"/>
        <v>43749.501055497683</v>
      </c>
    </row>
    <row r="1230" spans="1:10" x14ac:dyDescent="0.25">
      <c r="A1230" s="7" t="s">
        <v>53087</v>
      </c>
      <c r="B1230" s="8">
        <v>393.75</v>
      </c>
      <c r="C1230" s="8">
        <v>20.531590000000001</v>
      </c>
      <c r="D1230" s="8">
        <v>61</v>
      </c>
      <c r="E1230" s="8">
        <v>0</v>
      </c>
      <c r="F1230" s="8">
        <v>0</v>
      </c>
      <c r="G1230" s="8">
        <v>6</v>
      </c>
      <c r="H1230" s="8" t="s">
        <v>53088</v>
      </c>
      <c r="I1230" s="8">
        <v>526.6875</v>
      </c>
      <c r="J1230" s="3">
        <f t="shared" si="19"/>
        <v>43749.501138935178</v>
      </c>
    </row>
    <row r="1231" spans="1:10" x14ac:dyDescent="0.25">
      <c r="A1231" s="5" t="s">
        <v>53089</v>
      </c>
      <c r="B1231" s="6">
        <v>393.75</v>
      </c>
      <c r="C1231" s="6">
        <v>20.478950000000001</v>
      </c>
      <c r="D1231" s="6">
        <v>61</v>
      </c>
      <c r="E1231" s="6">
        <v>0</v>
      </c>
      <c r="F1231" s="6">
        <v>0</v>
      </c>
      <c r="G1231" s="6">
        <v>20</v>
      </c>
      <c r="H1231" s="6" t="s">
        <v>53090</v>
      </c>
      <c r="I1231" s="6">
        <v>526.6875</v>
      </c>
      <c r="J1231" s="2">
        <f t="shared" si="19"/>
        <v>43749.501210729162</v>
      </c>
    </row>
    <row r="1232" spans="1:10" x14ac:dyDescent="0.25">
      <c r="A1232" s="7" t="s">
        <v>53091</v>
      </c>
      <c r="B1232" s="8">
        <v>393.75</v>
      </c>
      <c r="C1232" s="8">
        <v>20.478950000000001</v>
      </c>
      <c r="D1232" s="8">
        <v>61</v>
      </c>
      <c r="E1232" s="8">
        <v>0</v>
      </c>
      <c r="F1232" s="8">
        <v>0</v>
      </c>
      <c r="G1232" s="8">
        <v>18</v>
      </c>
      <c r="H1232" s="8" t="s">
        <v>53092</v>
      </c>
      <c r="I1232" s="8">
        <v>526.6875</v>
      </c>
      <c r="J1232" s="3">
        <f t="shared" si="19"/>
        <v>43749.501294155089</v>
      </c>
    </row>
    <row r="1233" spans="1:10" x14ac:dyDescent="0.25">
      <c r="A1233" s="5" t="s">
        <v>53093</v>
      </c>
      <c r="B1233" s="6">
        <v>393.75</v>
      </c>
      <c r="C1233" s="6">
        <v>20.478950000000001</v>
      </c>
      <c r="D1233" s="6">
        <v>61</v>
      </c>
      <c r="E1233" s="6">
        <v>0</v>
      </c>
      <c r="F1233" s="6">
        <v>0</v>
      </c>
      <c r="G1233" s="6">
        <v>9</v>
      </c>
      <c r="H1233" s="6" t="s">
        <v>53094</v>
      </c>
      <c r="I1233" s="6">
        <v>526.5</v>
      </c>
      <c r="J1233" s="2">
        <f t="shared" si="19"/>
        <v>43749.501365555552</v>
      </c>
    </row>
    <row r="1234" spans="1:10" x14ac:dyDescent="0.25">
      <c r="A1234" s="7" t="s">
        <v>53095</v>
      </c>
      <c r="B1234" s="8">
        <v>393.75</v>
      </c>
      <c r="C1234" s="8">
        <v>20.531590000000001</v>
      </c>
      <c r="D1234" s="8">
        <v>62</v>
      </c>
      <c r="E1234" s="8">
        <v>0</v>
      </c>
      <c r="F1234" s="8">
        <v>0</v>
      </c>
      <c r="G1234" s="8">
        <v>5</v>
      </c>
      <c r="H1234" s="8" t="s">
        <v>53096</v>
      </c>
      <c r="I1234" s="8">
        <v>526.6875</v>
      </c>
      <c r="J1234" s="3">
        <f t="shared" si="19"/>
        <v>43749.501449027775</v>
      </c>
    </row>
    <row r="1235" spans="1:10" x14ac:dyDescent="0.25">
      <c r="A1235" s="5" t="s">
        <v>53097</v>
      </c>
      <c r="B1235" s="6">
        <v>393.75</v>
      </c>
      <c r="C1235" s="6">
        <v>20.531590000000001</v>
      </c>
      <c r="D1235" s="6">
        <v>63</v>
      </c>
      <c r="E1235" s="6">
        <v>0</v>
      </c>
      <c r="F1235" s="6">
        <v>0</v>
      </c>
      <c r="G1235" s="6">
        <v>9</v>
      </c>
      <c r="H1235" s="6" t="s">
        <v>53098</v>
      </c>
      <c r="I1235" s="6">
        <v>526.6875</v>
      </c>
      <c r="J1235" s="2">
        <f t="shared" si="19"/>
        <v>43749.501532581016</v>
      </c>
    </row>
    <row r="1236" spans="1:10" x14ac:dyDescent="0.25">
      <c r="A1236" s="7" t="s">
        <v>53099</v>
      </c>
      <c r="B1236" s="8">
        <v>393.75</v>
      </c>
      <c r="C1236" s="8">
        <v>20.531590000000001</v>
      </c>
      <c r="D1236" s="8">
        <v>64</v>
      </c>
      <c r="E1236" s="8">
        <v>0</v>
      </c>
      <c r="F1236" s="8">
        <v>0</v>
      </c>
      <c r="G1236" s="8">
        <v>14</v>
      </c>
      <c r="H1236" s="8" t="s">
        <v>53100</v>
      </c>
      <c r="I1236" s="8">
        <v>526.6875</v>
      </c>
      <c r="J1236" s="3">
        <f t="shared" si="19"/>
        <v>43749.50161579861</v>
      </c>
    </row>
    <row r="1237" spans="1:10" x14ac:dyDescent="0.25">
      <c r="A1237" s="5" t="s">
        <v>53101</v>
      </c>
      <c r="B1237" s="6">
        <v>412.5</v>
      </c>
      <c r="C1237" s="6">
        <v>20.478950000000001</v>
      </c>
      <c r="D1237" s="6">
        <v>64</v>
      </c>
      <c r="E1237" s="6">
        <v>0</v>
      </c>
      <c r="F1237" s="6">
        <v>0</v>
      </c>
      <c r="G1237" s="6">
        <v>12</v>
      </c>
      <c r="H1237" s="6" t="s">
        <v>53102</v>
      </c>
      <c r="I1237" s="6">
        <v>532.3125</v>
      </c>
      <c r="J1237" s="2">
        <f t="shared" si="19"/>
        <v>43749.501687418982</v>
      </c>
    </row>
    <row r="1238" spans="1:10" x14ac:dyDescent="0.25">
      <c r="A1238" s="7" t="s">
        <v>53103</v>
      </c>
      <c r="B1238" s="8">
        <v>393.75</v>
      </c>
      <c r="C1238" s="8">
        <v>20.478950000000001</v>
      </c>
      <c r="D1238" s="8">
        <v>64</v>
      </c>
      <c r="E1238" s="8">
        <v>0</v>
      </c>
      <c r="F1238" s="8">
        <v>0</v>
      </c>
      <c r="G1238" s="8">
        <v>15</v>
      </c>
      <c r="H1238" s="8" t="s">
        <v>53104</v>
      </c>
      <c r="I1238" s="8">
        <v>526.6875</v>
      </c>
      <c r="J1238" s="3">
        <f t="shared" si="19"/>
        <v>43749.501785057866</v>
      </c>
    </row>
    <row r="1239" spans="1:10" x14ac:dyDescent="0.25">
      <c r="A1239" s="5" t="s">
        <v>53105</v>
      </c>
      <c r="B1239" s="6">
        <v>418.75</v>
      </c>
      <c r="C1239" s="6">
        <v>20.478950000000001</v>
      </c>
      <c r="D1239" s="6">
        <v>61</v>
      </c>
      <c r="E1239" s="6">
        <v>0</v>
      </c>
      <c r="F1239" s="6">
        <v>0</v>
      </c>
      <c r="G1239" s="6">
        <v>19</v>
      </c>
      <c r="H1239" s="6" t="s">
        <v>53106</v>
      </c>
      <c r="I1239" s="6">
        <v>534</v>
      </c>
      <c r="J1239" s="2">
        <f t="shared" si="19"/>
        <v>43749.501866458326</v>
      </c>
    </row>
    <row r="1240" spans="1:10" x14ac:dyDescent="0.25">
      <c r="A1240" s="7" t="s">
        <v>53107</v>
      </c>
      <c r="B1240" s="8">
        <v>393.75</v>
      </c>
      <c r="C1240" s="8">
        <v>20.531590000000001</v>
      </c>
      <c r="D1240" s="8">
        <v>62</v>
      </c>
      <c r="E1240" s="8">
        <v>0</v>
      </c>
      <c r="F1240" s="8">
        <v>0</v>
      </c>
      <c r="G1240" s="8">
        <v>9</v>
      </c>
      <c r="H1240" s="8" t="s">
        <v>53108</v>
      </c>
      <c r="I1240" s="8">
        <v>526.6875</v>
      </c>
      <c r="J1240" s="3">
        <f t="shared" si="19"/>
        <v>43749.501949907404</v>
      </c>
    </row>
    <row r="1241" spans="1:10" x14ac:dyDescent="0.25">
      <c r="A1241" s="5" t="s">
        <v>53109</v>
      </c>
      <c r="B1241" s="6">
        <v>393.75</v>
      </c>
      <c r="C1241" s="6">
        <v>20.531590000000001</v>
      </c>
      <c r="D1241" s="6">
        <v>62</v>
      </c>
      <c r="E1241" s="6">
        <v>0</v>
      </c>
      <c r="F1241" s="6">
        <v>0</v>
      </c>
      <c r="G1241" s="6">
        <v>15</v>
      </c>
      <c r="H1241" s="6" t="s">
        <v>53110</v>
      </c>
      <c r="I1241" s="6">
        <v>526.6875</v>
      </c>
      <c r="J1241" s="2">
        <f t="shared" si="19"/>
        <v>43749.502021435183</v>
      </c>
    </row>
    <row r="1242" spans="1:10" x14ac:dyDescent="0.25">
      <c r="A1242" s="7" t="s">
        <v>53111</v>
      </c>
      <c r="B1242" s="8">
        <v>412.5</v>
      </c>
      <c r="C1242" s="8">
        <v>20.478950000000001</v>
      </c>
      <c r="D1242" s="8">
        <v>62</v>
      </c>
      <c r="E1242" s="8">
        <v>0</v>
      </c>
      <c r="F1242" s="8">
        <v>0</v>
      </c>
      <c r="G1242" s="8">
        <v>20</v>
      </c>
      <c r="H1242" s="8" t="s">
        <v>53112</v>
      </c>
      <c r="I1242" s="8">
        <v>532.3125</v>
      </c>
      <c r="J1242" s="3">
        <f t="shared" si="19"/>
        <v>43749.502101030092</v>
      </c>
    </row>
    <row r="1243" spans="1:10" x14ac:dyDescent="0.25">
      <c r="A1243" s="5" t="s">
        <v>53113</v>
      </c>
      <c r="B1243" s="6">
        <v>393.75</v>
      </c>
      <c r="C1243" s="6">
        <v>20.531590000000001</v>
      </c>
      <c r="D1243" s="6">
        <v>62</v>
      </c>
      <c r="E1243" s="6">
        <v>0</v>
      </c>
      <c r="F1243" s="6">
        <v>0</v>
      </c>
      <c r="G1243" s="6">
        <v>6</v>
      </c>
      <c r="H1243" s="6" t="s">
        <v>53114</v>
      </c>
      <c r="I1243" s="6">
        <v>526.6875</v>
      </c>
      <c r="J1243" s="2">
        <f t="shared" si="19"/>
        <v>43749.502176516202</v>
      </c>
    </row>
    <row r="1244" spans="1:10" x14ac:dyDescent="0.25">
      <c r="A1244" s="7" t="s">
        <v>53115</v>
      </c>
      <c r="B1244" s="8">
        <v>393.75</v>
      </c>
      <c r="C1244" s="8">
        <v>20.531590000000001</v>
      </c>
      <c r="D1244" s="8">
        <v>62</v>
      </c>
      <c r="E1244" s="8">
        <v>0</v>
      </c>
      <c r="F1244" s="8">
        <v>0</v>
      </c>
      <c r="G1244" s="8">
        <v>8</v>
      </c>
      <c r="H1244" s="8" t="s">
        <v>53116</v>
      </c>
      <c r="I1244" s="8">
        <v>526.6875</v>
      </c>
      <c r="J1244" s="3">
        <f t="shared" si="19"/>
        <v>43749.502260081012</v>
      </c>
    </row>
    <row r="1245" spans="1:10" x14ac:dyDescent="0.25">
      <c r="A1245" s="5" t="s">
        <v>53117</v>
      </c>
      <c r="B1245" s="6">
        <v>393.75</v>
      </c>
      <c r="C1245" s="6">
        <v>20.531590000000001</v>
      </c>
      <c r="D1245" s="6">
        <v>58</v>
      </c>
      <c r="E1245" s="6">
        <v>0</v>
      </c>
      <c r="F1245" s="6">
        <v>0</v>
      </c>
      <c r="G1245" s="6">
        <v>14</v>
      </c>
      <c r="H1245" s="6" t="s">
        <v>53118</v>
      </c>
      <c r="I1245" s="6">
        <v>526.875</v>
      </c>
      <c r="J1245" s="2">
        <f t="shared" si="19"/>
        <v>43749.502343506938</v>
      </c>
    </row>
    <row r="1246" spans="1:10" x14ac:dyDescent="0.25">
      <c r="A1246" s="7" t="s">
        <v>53119</v>
      </c>
      <c r="B1246" s="8">
        <v>393.75</v>
      </c>
      <c r="C1246" s="8">
        <v>20.478950000000001</v>
      </c>
      <c r="D1246" s="8">
        <v>59</v>
      </c>
      <c r="E1246" s="8">
        <v>0</v>
      </c>
      <c r="F1246" s="8">
        <v>0</v>
      </c>
      <c r="G1246" s="8">
        <v>5</v>
      </c>
      <c r="H1246" s="8" t="s">
        <v>53120</v>
      </c>
      <c r="I1246" s="8">
        <v>526.6875</v>
      </c>
      <c r="J1246" s="3">
        <f t="shared" si="19"/>
        <v>43749.502415057868</v>
      </c>
    </row>
    <row r="1247" spans="1:10" x14ac:dyDescent="0.25">
      <c r="A1247" s="5" t="s">
        <v>53121</v>
      </c>
      <c r="B1247" s="6">
        <v>393.75</v>
      </c>
      <c r="C1247" s="6">
        <v>20.531590000000001</v>
      </c>
      <c r="D1247" s="6">
        <v>59</v>
      </c>
      <c r="E1247" s="6">
        <v>0</v>
      </c>
      <c r="F1247" s="6">
        <v>0</v>
      </c>
      <c r="G1247" s="6">
        <v>19</v>
      </c>
      <c r="H1247" s="6" t="s">
        <v>53122</v>
      </c>
      <c r="I1247" s="6">
        <v>526.6875</v>
      </c>
      <c r="J1247" s="2">
        <f t="shared" si="19"/>
        <v>43749.502486331017</v>
      </c>
    </row>
    <row r="1248" spans="1:10" x14ac:dyDescent="0.25">
      <c r="A1248" s="7" t="s">
        <v>53123</v>
      </c>
      <c r="B1248" s="8">
        <v>412.5</v>
      </c>
      <c r="C1248" s="8">
        <v>20.531590000000001</v>
      </c>
      <c r="D1248" s="8">
        <v>59</v>
      </c>
      <c r="E1248" s="8">
        <v>0</v>
      </c>
      <c r="F1248" s="8">
        <v>0</v>
      </c>
      <c r="G1248" s="8">
        <v>16</v>
      </c>
      <c r="H1248" s="8" t="s">
        <v>53124</v>
      </c>
      <c r="I1248" s="8">
        <v>532.3125</v>
      </c>
      <c r="J1248" s="3">
        <f t="shared" si="19"/>
        <v>43749.502558101849</v>
      </c>
    </row>
    <row r="1249" spans="1:10" x14ac:dyDescent="0.25">
      <c r="A1249" s="5" t="s">
        <v>53125</v>
      </c>
      <c r="B1249" s="6">
        <v>393.75</v>
      </c>
      <c r="C1249" s="6">
        <v>20.531590000000001</v>
      </c>
      <c r="D1249" s="6">
        <v>60</v>
      </c>
      <c r="E1249" s="6">
        <v>0</v>
      </c>
      <c r="F1249" s="6">
        <v>0</v>
      </c>
      <c r="G1249" s="6">
        <v>16</v>
      </c>
      <c r="H1249" s="6" t="s">
        <v>53126</v>
      </c>
      <c r="I1249" s="6">
        <v>526.6875</v>
      </c>
      <c r="J1249" s="2">
        <f t="shared" si="19"/>
        <v>43749.502629942122</v>
      </c>
    </row>
    <row r="1250" spans="1:10" x14ac:dyDescent="0.25">
      <c r="A1250" s="7" t="s">
        <v>53127</v>
      </c>
      <c r="B1250" s="8">
        <v>393.75</v>
      </c>
      <c r="C1250" s="8">
        <v>20.531590000000001</v>
      </c>
      <c r="D1250" s="8">
        <v>61</v>
      </c>
      <c r="E1250" s="8">
        <v>0</v>
      </c>
      <c r="F1250" s="8">
        <v>0</v>
      </c>
      <c r="G1250" s="8">
        <v>12</v>
      </c>
      <c r="H1250" s="8" t="s">
        <v>53128</v>
      </c>
      <c r="I1250" s="8">
        <v>526.6875</v>
      </c>
      <c r="J1250" s="3">
        <f t="shared" si="19"/>
        <v>43749.502713182868</v>
      </c>
    </row>
    <row r="1251" spans="1:10" x14ac:dyDescent="0.25">
      <c r="A1251" s="5" t="s">
        <v>53129</v>
      </c>
      <c r="B1251" s="6">
        <v>393.75</v>
      </c>
      <c r="C1251" s="6">
        <v>20.478950000000001</v>
      </c>
      <c r="D1251" s="6">
        <v>61</v>
      </c>
      <c r="E1251" s="6">
        <v>0</v>
      </c>
      <c r="F1251" s="6">
        <v>0</v>
      </c>
      <c r="G1251" s="6">
        <v>14</v>
      </c>
      <c r="H1251" s="6" t="s">
        <v>53130</v>
      </c>
      <c r="I1251" s="6">
        <v>526.6875</v>
      </c>
      <c r="J1251" s="2">
        <f t="shared" si="19"/>
        <v>43749.502796643515</v>
      </c>
    </row>
    <row r="1252" spans="1:10" x14ac:dyDescent="0.25">
      <c r="A1252" s="7" t="s">
        <v>53131</v>
      </c>
      <c r="B1252" s="8">
        <v>393.75</v>
      </c>
      <c r="C1252" s="8">
        <v>20.478950000000001</v>
      </c>
      <c r="D1252" s="8">
        <v>61</v>
      </c>
      <c r="E1252" s="8">
        <v>0</v>
      </c>
      <c r="F1252" s="8">
        <v>0</v>
      </c>
      <c r="G1252" s="8">
        <v>15</v>
      </c>
      <c r="H1252" s="8" t="s">
        <v>53132</v>
      </c>
      <c r="I1252" s="8">
        <v>526.6875</v>
      </c>
      <c r="J1252" s="3">
        <f t="shared" si="19"/>
        <v>43749.502879965272</v>
      </c>
    </row>
    <row r="1253" spans="1:10" x14ac:dyDescent="0.25">
      <c r="A1253" s="5" t="s">
        <v>53133</v>
      </c>
      <c r="B1253" s="6">
        <v>393.75</v>
      </c>
      <c r="C1253" s="6">
        <v>20.478950000000001</v>
      </c>
      <c r="D1253" s="6">
        <v>62</v>
      </c>
      <c r="E1253" s="6">
        <v>0</v>
      </c>
      <c r="F1253" s="6">
        <v>0</v>
      </c>
      <c r="G1253" s="6">
        <v>15</v>
      </c>
      <c r="H1253" s="6" t="s">
        <v>53134</v>
      </c>
      <c r="I1253" s="6">
        <v>526.6875</v>
      </c>
      <c r="J1253" s="2">
        <f t="shared" si="19"/>
        <v>43749.502963773142</v>
      </c>
    </row>
    <row r="1254" spans="1:10" x14ac:dyDescent="0.25">
      <c r="A1254" s="7" t="s">
        <v>53135</v>
      </c>
      <c r="B1254" s="8">
        <v>393.75</v>
      </c>
      <c r="C1254" s="8">
        <v>20.531590000000001</v>
      </c>
      <c r="D1254" s="8">
        <v>61</v>
      </c>
      <c r="E1254" s="8">
        <v>0</v>
      </c>
      <c r="F1254" s="8">
        <v>0</v>
      </c>
      <c r="G1254" s="8">
        <v>8</v>
      </c>
      <c r="H1254" s="8" t="s">
        <v>53136</v>
      </c>
      <c r="I1254" s="8">
        <v>526.6875</v>
      </c>
      <c r="J1254" s="3">
        <f t="shared" si="19"/>
        <v>43749.503035300928</v>
      </c>
    </row>
    <row r="1255" spans="1:10" x14ac:dyDescent="0.25">
      <c r="A1255" s="5" t="s">
        <v>53137</v>
      </c>
      <c r="B1255" s="6">
        <v>393.75</v>
      </c>
      <c r="C1255" s="6">
        <v>20.531590000000001</v>
      </c>
      <c r="D1255" s="6">
        <v>61</v>
      </c>
      <c r="E1255" s="6">
        <v>0</v>
      </c>
      <c r="F1255" s="6">
        <v>0</v>
      </c>
      <c r="G1255" s="6">
        <v>11</v>
      </c>
      <c r="H1255" s="6" t="s">
        <v>53138</v>
      </c>
      <c r="I1255" s="6">
        <v>526.6875</v>
      </c>
      <c r="J1255" s="2">
        <f t="shared" si="19"/>
        <v>43749.503118738423</v>
      </c>
    </row>
    <row r="1256" spans="1:10" x14ac:dyDescent="0.25">
      <c r="A1256" s="7" t="s">
        <v>53139</v>
      </c>
      <c r="B1256" s="8">
        <v>393.75</v>
      </c>
      <c r="C1256" s="8">
        <v>20.531590000000001</v>
      </c>
      <c r="D1256" s="8">
        <v>61</v>
      </c>
      <c r="E1256" s="8">
        <v>0</v>
      </c>
      <c r="F1256" s="8">
        <v>0</v>
      </c>
      <c r="G1256" s="8">
        <v>13</v>
      </c>
      <c r="H1256" s="8" t="s">
        <v>53140</v>
      </c>
      <c r="I1256" s="8">
        <v>526.6875</v>
      </c>
      <c r="J1256" s="3">
        <f t="shared" si="19"/>
        <v>43749.503202268512</v>
      </c>
    </row>
    <row r="1257" spans="1:10" x14ac:dyDescent="0.25">
      <c r="A1257" s="5" t="s">
        <v>53141</v>
      </c>
      <c r="B1257" s="6">
        <v>393.75</v>
      </c>
      <c r="C1257" s="6">
        <v>20.584240000000001</v>
      </c>
      <c r="D1257" s="6">
        <v>61</v>
      </c>
      <c r="E1257" s="6">
        <v>0</v>
      </c>
      <c r="F1257" s="6">
        <v>0</v>
      </c>
      <c r="G1257" s="6">
        <v>9</v>
      </c>
      <c r="H1257" s="6" t="s">
        <v>53142</v>
      </c>
      <c r="I1257" s="6">
        <v>526.6875</v>
      </c>
      <c r="J1257" s="2">
        <f t="shared" si="19"/>
        <v>43749.503285775463</v>
      </c>
    </row>
    <row r="1258" spans="1:10" x14ac:dyDescent="0.25">
      <c r="A1258" s="7" t="s">
        <v>53143</v>
      </c>
      <c r="B1258" s="8">
        <v>393.75</v>
      </c>
      <c r="C1258" s="8">
        <v>20.531590000000001</v>
      </c>
      <c r="D1258" s="8">
        <v>61</v>
      </c>
      <c r="E1258" s="8">
        <v>0</v>
      </c>
      <c r="F1258" s="8">
        <v>0</v>
      </c>
      <c r="G1258" s="8">
        <v>9</v>
      </c>
      <c r="H1258" s="8" t="s">
        <v>53144</v>
      </c>
      <c r="I1258" s="8">
        <v>526.6875</v>
      </c>
      <c r="J1258" s="3">
        <f t="shared" si="19"/>
        <v>43749.503369085643</v>
      </c>
    </row>
    <row r="1259" spans="1:10" x14ac:dyDescent="0.25">
      <c r="A1259" s="5" t="s">
        <v>53145</v>
      </c>
      <c r="B1259" s="6">
        <v>393.75</v>
      </c>
      <c r="C1259" s="6">
        <v>20.478950000000001</v>
      </c>
      <c r="D1259" s="6">
        <v>62</v>
      </c>
      <c r="E1259" s="6">
        <v>0</v>
      </c>
      <c r="F1259" s="6">
        <v>0</v>
      </c>
      <c r="G1259" s="6">
        <v>0</v>
      </c>
      <c r="H1259" s="6" t="s">
        <v>53146</v>
      </c>
      <c r="I1259" s="6">
        <v>526.6875</v>
      </c>
      <c r="J1259" s="2">
        <f t="shared" si="19"/>
        <v>43749.503452662037</v>
      </c>
    </row>
    <row r="1260" spans="1:10" x14ac:dyDescent="0.25">
      <c r="A1260" s="7" t="s">
        <v>53147</v>
      </c>
      <c r="B1260" s="8">
        <v>393.75</v>
      </c>
      <c r="C1260" s="8">
        <v>20.478950000000001</v>
      </c>
      <c r="D1260" s="8">
        <v>62</v>
      </c>
      <c r="E1260" s="8">
        <v>0</v>
      </c>
      <c r="F1260" s="8">
        <v>0</v>
      </c>
      <c r="G1260" s="8">
        <v>5</v>
      </c>
      <c r="H1260" s="8" t="s">
        <v>53148</v>
      </c>
      <c r="I1260" s="8">
        <v>526.6875</v>
      </c>
      <c r="J1260" s="3">
        <f t="shared" si="19"/>
        <v>43749.503536215278</v>
      </c>
    </row>
    <row r="1261" spans="1:10" x14ac:dyDescent="0.25">
      <c r="A1261" s="5" t="s">
        <v>53149</v>
      </c>
      <c r="B1261" s="6">
        <v>393.75</v>
      </c>
      <c r="C1261" s="6">
        <v>20.584240000000001</v>
      </c>
      <c r="D1261" s="6">
        <v>57</v>
      </c>
      <c r="E1261" s="6">
        <v>0</v>
      </c>
      <c r="F1261" s="6">
        <v>0</v>
      </c>
      <c r="G1261" s="6">
        <v>3</v>
      </c>
      <c r="H1261" s="6" t="s">
        <v>53150</v>
      </c>
      <c r="I1261" s="6">
        <v>526.6875</v>
      </c>
      <c r="J1261" s="2">
        <f t="shared" si="19"/>
        <v>43749.503619432864</v>
      </c>
    </row>
    <row r="1262" spans="1:10" x14ac:dyDescent="0.25">
      <c r="A1262" s="7" t="s">
        <v>53151</v>
      </c>
      <c r="B1262" s="8">
        <v>393.75</v>
      </c>
      <c r="C1262" s="8">
        <v>20.478950000000001</v>
      </c>
      <c r="D1262" s="8">
        <v>58</v>
      </c>
      <c r="E1262" s="8">
        <v>0</v>
      </c>
      <c r="F1262" s="8">
        <v>0</v>
      </c>
      <c r="G1262" s="8">
        <v>8</v>
      </c>
      <c r="H1262" s="8" t="s">
        <v>53152</v>
      </c>
      <c r="I1262" s="8">
        <v>526.6875</v>
      </c>
      <c r="J1262" s="3">
        <f t="shared" si="19"/>
        <v>43749.503703124996</v>
      </c>
    </row>
    <row r="1263" spans="1:10" x14ac:dyDescent="0.25">
      <c r="A1263" s="5" t="s">
        <v>53153</v>
      </c>
      <c r="B1263" s="6">
        <v>393.75</v>
      </c>
      <c r="C1263" s="6">
        <v>20.531590000000001</v>
      </c>
      <c r="D1263" s="6">
        <v>61</v>
      </c>
      <c r="E1263" s="6">
        <v>0</v>
      </c>
      <c r="F1263" s="6">
        <v>0</v>
      </c>
      <c r="G1263" s="6">
        <v>5</v>
      </c>
      <c r="H1263" s="6" t="s">
        <v>53154</v>
      </c>
      <c r="I1263" s="6">
        <v>526.6875</v>
      </c>
      <c r="J1263" s="2">
        <f t="shared" si="19"/>
        <v>43749.503786909721</v>
      </c>
    </row>
    <row r="1264" spans="1:10" x14ac:dyDescent="0.25">
      <c r="A1264" s="7" t="s">
        <v>53155</v>
      </c>
      <c r="B1264" s="8">
        <v>393.75</v>
      </c>
      <c r="C1264" s="8">
        <v>20.531590000000001</v>
      </c>
      <c r="D1264" s="8">
        <v>61</v>
      </c>
      <c r="E1264" s="8">
        <v>0</v>
      </c>
      <c r="F1264" s="8">
        <v>0</v>
      </c>
      <c r="G1264" s="8">
        <v>8</v>
      </c>
      <c r="H1264" s="8" t="s">
        <v>53156</v>
      </c>
      <c r="I1264" s="8">
        <v>526.6875</v>
      </c>
      <c r="J1264" s="3">
        <f t="shared" si="19"/>
        <v>43749.503858229167</v>
      </c>
    </row>
    <row r="1265" spans="1:10" x14ac:dyDescent="0.25">
      <c r="A1265" s="5" t="s">
        <v>53157</v>
      </c>
      <c r="B1265" s="6">
        <v>393.75</v>
      </c>
      <c r="C1265" s="6">
        <v>20.531590000000001</v>
      </c>
      <c r="D1265" s="6">
        <v>61</v>
      </c>
      <c r="E1265" s="6">
        <v>0</v>
      </c>
      <c r="F1265" s="6">
        <v>0</v>
      </c>
      <c r="G1265" s="6">
        <v>3</v>
      </c>
      <c r="H1265" s="6" t="s">
        <v>53158</v>
      </c>
      <c r="I1265" s="6">
        <v>526.6875</v>
      </c>
      <c r="J1265" s="2">
        <f t="shared" si="19"/>
        <v>43749.503929733793</v>
      </c>
    </row>
    <row r="1266" spans="1:10" x14ac:dyDescent="0.25">
      <c r="A1266" s="7" t="s">
        <v>53159</v>
      </c>
      <c r="B1266" s="8">
        <v>393.75</v>
      </c>
      <c r="C1266" s="8">
        <v>20.478950000000001</v>
      </c>
      <c r="D1266" s="8">
        <v>61</v>
      </c>
      <c r="E1266" s="8">
        <v>0</v>
      </c>
      <c r="F1266" s="8">
        <v>0</v>
      </c>
      <c r="G1266" s="8">
        <v>11</v>
      </c>
      <c r="H1266" s="8" t="s">
        <v>53160</v>
      </c>
      <c r="I1266" s="8">
        <v>526.5</v>
      </c>
      <c r="J1266" s="3">
        <f t="shared" si="19"/>
        <v>43749.504013298611</v>
      </c>
    </row>
    <row r="1267" spans="1:10" x14ac:dyDescent="0.25">
      <c r="A1267" s="5" t="s">
        <v>53161</v>
      </c>
      <c r="B1267" s="6">
        <v>393.75</v>
      </c>
      <c r="C1267" s="6">
        <v>20.531590000000001</v>
      </c>
      <c r="D1267" s="6">
        <v>61</v>
      </c>
      <c r="E1267" s="6">
        <v>0</v>
      </c>
      <c r="F1267" s="6">
        <v>0</v>
      </c>
      <c r="G1267" s="6">
        <v>10</v>
      </c>
      <c r="H1267" s="6" t="s">
        <v>53162</v>
      </c>
      <c r="I1267" s="6">
        <v>526.6875</v>
      </c>
      <c r="J1267" s="2">
        <f t="shared" si="19"/>
        <v>43749.504096759258</v>
      </c>
    </row>
    <row r="1268" spans="1:10" x14ac:dyDescent="0.25">
      <c r="A1268" s="7" t="s">
        <v>53163</v>
      </c>
      <c r="B1268" s="8">
        <v>393.75</v>
      </c>
      <c r="C1268" s="8">
        <v>20.531590000000001</v>
      </c>
      <c r="D1268" s="8">
        <v>62</v>
      </c>
      <c r="E1268" s="8">
        <v>0</v>
      </c>
      <c r="F1268" s="8">
        <v>0</v>
      </c>
      <c r="G1268" s="8">
        <v>0</v>
      </c>
      <c r="H1268" s="8" t="s">
        <v>53164</v>
      </c>
      <c r="I1268" s="8">
        <v>526.6875</v>
      </c>
      <c r="J1268" s="3">
        <f t="shared" si="19"/>
        <v>43749.504180208336</v>
      </c>
    </row>
    <row r="1269" spans="1:10" x14ac:dyDescent="0.25">
      <c r="A1269" s="5" t="s">
        <v>53165</v>
      </c>
      <c r="B1269" s="6">
        <v>393.75</v>
      </c>
      <c r="C1269" s="6">
        <v>20.584240000000001</v>
      </c>
      <c r="D1269" s="6">
        <v>59</v>
      </c>
      <c r="E1269" s="6">
        <v>0</v>
      </c>
      <c r="F1269" s="6">
        <v>0</v>
      </c>
      <c r="G1269" s="6">
        <v>11</v>
      </c>
      <c r="H1269" s="6" t="s">
        <v>53166</v>
      </c>
      <c r="I1269" s="6">
        <v>526.6875</v>
      </c>
      <c r="J1269" s="2">
        <f t="shared" si="19"/>
        <v>43749.504263969902</v>
      </c>
    </row>
    <row r="1270" spans="1:10" x14ac:dyDescent="0.25">
      <c r="A1270" s="7" t="s">
        <v>53167</v>
      </c>
      <c r="B1270" s="8">
        <v>393.75</v>
      </c>
      <c r="C1270" s="8">
        <v>20.531590000000001</v>
      </c>
      <c r="D1270" s="8">
        <v>57</v>
      </c>
      <c r="E1270" s="8">
        <v>0</v>
      </c>
      <c r="F1270" s="8">
        <v>0</v>
      </c>
      <c r="G1270" s="8">
        <v>8</v>
      </c>
      <c r="H1270" s="8" t="s">
        <v>53168</v>
      </c>
      <c r="I1270" s="8">
        <v>526.6875</v>
      </c>
      <c r="J1270" s="3">
        <f t="shared" si="19"/>
        <v>43749.504347222224</v>
      </c>
    </row>
    <row r="1271" spans="1:10" x14ac:dyDescent="0.25">
      <c r="A1271" s="5" t="s">
        <v>53169</v>
      </c>
      <c r="B1271" s="6">
        <v>425</v>
      </c>
      <c r="C1271" s="6">
        <v>20.531590000000001</v>
      </c>
      <c r="D1271" s="6">
        <v>57</v>
      </c>
      <c r="E1271" s="6">
        <v>0</v>
      </c>
      <c r="F1271" s="6">
        <v>0</v>
      </c>
      <c r="G1271" s="6">
        <v>5</v>
      </c>
      <c r="H1271" s="6" t="s">
        <v>53170</v>
      </c>
      <c r="I1271" s="6">
        <v>536.0625</v>
      </c>
      <c r="J1271" s="2">
        <f t="shared" si="19"/>
        <v>43749.504418749995</v>
      </c>
    </row>
    <row r="1272" spans="1:10" x14ac:dyDescent="0.25">
      <c r="A1272" s="7" t="s">
        <v>53171</v>
      </c>
      <c r="B1272" s="8">
        <v>393.75</v>
      </c>
      <c r="C1272" s="8">
        <v>20.478950000000001</v>
      </c>
      <c r="D1272" s="8">
        <v>58</v>
      </c>
      <c r="E1272" s="8">
        <v>0</v>
      </c>
      <c r="F1272" s="8">
        <v>0</v>
      </c>
      <c r="G1272" s="8">
        <v>0</v>
      </c>
      <c r="H1272" s="8" t="s">
        <v>53172</v>
      </c>
      <c r="I1272" s="8">
        <v>526.6875</v>
      </c>
      <c r="J1272" s="3">
        <f t="shared" si="19"/>
        <v>43749.504514236112</v>
      </c>
    </row>
    <row r="1273" spans="1:10" x14ac:dyDescent="0.25">
      <c r="A1273" s="5" t="s">
        <v>53173</v>
      </c>
      <c r="B1273" s="6">
        <v>393.75</v>
      </c>
      <c r="C1273" s="6">
        <v>20.531590000000001</v>
      </c>
      <c r="D1273" s="6">
        <v>58</v>
      </c>
      <c r="E1273" s="6">
        <v>0</v>
      </c>
      <c r="F1273" s="6">
        <v>0</v>
      </c>
      <c r="G1273" s="6">
        <v>10</v>
      </c>
      <c r="H1273" s="6" t="s">
        <v>53174</v>
      </c>
      <c r="I1273" s="6">
        <v>526.6875</v>
      </c>
      <c r="J1273" s="2">
        <f t="shared" si="19"/>
        <v>43749.504585682873</v>
      </c>
    </row>
    <row r="1274" spans="1:10" x14ac:dyDescent="0.25">
      <c r="A1274" s="7" t="s">
        <v>53175</v>
      </c>
      <c r="B1274" s="8">
        <v>393.75</v>
      </c>
      <c r="C1274" s="8">
        <v>20.531590000000001</v>
      </c>
      <c r="D1274" s="8">
        <v>59</v>
      </c>
      <c r="E1274" s="8">
        <v>0</v>
      </c>
      <c r="F1274" s="8">
        <v>0</v>
      </c>
      <c r="G1274" s="8">
        <v>0</v>
      </c>
      <c r="H1274" s="8" t="s">
        <v>53176</v>
      </c>
      <c r="I1274" s="8">
        <v>526.6875</v>
      </c>
      <c r="J1274" s="3">
        <f t="shared" si="19"/>
        <v>43749.504669236114</v>
      </c>
    </row>
    <row r="1275" spans="1:10" x14ac:dyDescent="0.25">
      <c r="A1275" s="5" t="s">
        <v>53177</v>
      </c>
      <c r="B1275" s="6">
        <v>393.75</v>
      </c>
      <c r="C1275" s="6">
        <v>20.531590000000001</v>
      </c>
      <c r="D1275" s="6">
        <v>60</v>
      </c>
      <c r="E1275" s="6">
        <v>0</v>
      </c>
      <c r="F1275" s="6">
        <v>0</v>
      </c>
      <c r="G1275" s="6">
        <v>0</v>
      </c>
      <c r="H1275" s="6" t="s">
        <v>53178</v>
      </c>
      <c r="I1275" s="6">
        <v>526.6875</v>
      </c>
      <c r="J1275" s="2">
        <f t="shared" si="19"/>
        <v>43749.504752349538</v>
      </c>
    </row>
    <row r="1276" spans="1:10" x14ac:dyDescent="0.25">
      <c r="A1276" s="7" t="s">
        <v>53179</v>
      </c>
      <c r="B1276" s="8">
        <v>393.75</v>
      </c>
      <c r="C1276" s="8">
        <v>20.584240000000001</v>
      </c>
      <c r="D1276" s="8">
        <v>60</v>
      </c>
      <c r="E1276" s="8">
        <v>0</v>
      </c>
      <c r="F1276" s="8">
        <v>0</v>
      </c>
      <c r="G1276" s="8">
        <v>5</v>
      </c>
      <c r="H1276" s="8" t="s">
        <v>53180</v>
      </c>
      <c r="I1276" s="8">
        <v>526.6875</v>
      </c>
      <c r="J1276" s="3">
        <f t="shared" si="19"/>
        <v>43749.504848182863</v>
      </c>
    </row>
    <row r="1277" spans="1:10" x14ac:dyDescent="0.25">
      <c r="A1277" s="5" t="s">
        <v>53181</v>
      </c>
      <c r="B1277" s="6">
        <v>393.75</v>
      </c>
      <c r="C1277" s="6">
        <v>20.584240000000001</v>
      </c>
      <c r="D1277" s="6">
        <v>57</v>
      </c>
      <c r="E1277" s="6">
        <v>0</v>
      </c>
      <c r="F1277" s="6">
        <v>0</v>
      </c>
      <c r="G1277" s="6">
        <v>5</v>
      </c>
      <c r="H1277" s="6" t="s">
        <v>53182</v>
      </c>
      <c r="I1277" s="6">
        <v>526.6875</v>
      </c>
      <c r="J1277" s="2">
        <f t="shared" si="19"/>
        <v>43749.504931724536</v>
      </c>
    </row>
    <row r="1278" spans="1:10" x14ac:dyDescent="0.25">
      <c r="A1278" s="7" t="s">
        <v>53183</v>
      </c>
      <c r="B1278" s="8">
        <v>393.75</v>
      </c>
      <c r="C1278" s="8">
        <v>20.531590000000001</v>
      </c>
      <c r="D1278" s="8">
        <v>57</v>
      </c>
      <c r="E1278" s="8">
        <v>0</v>
      </c>
      <c r="F1278" s="8">
        <v>0</v>
      </c>
      <c r="G1278" s="8">
        <v>0</v>
      </c>
      <c r="H1278" s="8" t="s">
        <v>53184</v>
      </c>
      <c r="I1278" s="8">
        <v>526.6875</v>
      </c>
      <c r="J1278" s="3">
        <f t="shared" si="19"/>
        <v>43749.505015057868</v>
      </c>
    </row>
    <row r="1279" spans="1:10" x14ac:dyDescent="0.25">
      <c r="A1279" s="5" t="s">
        <v>53185</v>
      </c>
      <c r="B1279" s="6">
        <v>393.75</v>
      </c>
      <c r="C1279" s="6">
        <v>20.531590000000001</v>
      </c>
      <c r="D1279" s="6">
        <v>57</v>
      </c>
      <c r="E1279" s="6">
        <v>0</v>
      </c>
      <c r="F1279" s="6">
        <v>0</v>
      </c>
      <c r="G1279" s="6">
        <v>5</v>
      </c>
      <c r="H1279" s="6" t="s">
        <v>53186</v>
      </c>
      <c r="I1279" s="6">
        <v>526.6875</v>
      </c>
      <c r="J1279" s="2">
        <f t="shared" si="19"/>
        <v>43749.505086817131</v>
      </c>
    </row>
    <row r="1280" spans="1:10" x14ac:dyDescent="0.25">
      <c r="A1280" s="7" t="s">
        <v>53187</v>
      </c>
      <c r="B1280" s="8">
        <v>393.75</v>
      </c>
      <c r="C1280" s="8">
        <v>20.478950000000001</v>
      </c>
      <c r="D1280" s="8">
        <v>57</v>
      </c>
      <c r="E1280" s="8">
        <v>0</v>
      </c>
      <c r="F1280" s="8">
        <v>0</v>
      </c>
      <c r="G1280" s="8">
        <v>3</v>
      </c>
      <c r="H1280" s="8" t="s">
        <v>53188</v>
      </c>
      <c r="I1280" s="8">
        <v>526.6875</v>
      </c>
      <c r="J1280" s="3">
        <f t="shared" si="19"/>
        <v>43749.505158229163</v>
      </c>
    </row>
    <row r="1281" spans="1:10" x14ac:dyDescent="0.25">
      <c r="A1281" s="5" t="s">
        <v>53189</v>
      </c>
      <c r="B1281" s="6">
        <v>393.75</v>
      </c>
      <c r="C1281" s="6">
        <v>20.478950000000001</v>
      </c>
      <c r="D1281" s="6">
        <v>59</v>
      </c>
      <c r="E1281" s="6">
        <v>0</v>
      </c>
      <c r="F1281" s="6">
        <v>0</v>
      </c>
      <c r="G1281" s="6">
        <v>0</v>
      </c>
      <c r="H1281" s="6" t="s">
        <v>53190</v>
      </c>
      <c r="I1281" s="6">
        <v>526.6875</v>
      </c>
      <c r="J1281" s="2">
        <f t="shared" si="19"/>
        <v>43749.505241562496</v>
      </c>
    </row>
    <row r="1282" spans="1:10" x14ac:dyDescent="0.25">
      <c r="A1282" s="7" t="s">
        <v>53191</v>
      </c>
      <c r="B1282" s="8">
        <v>393.75</v>
      </c>
      <c r="C1282" s="8">
        <v>20.584240000000001</v>
      </c>
      <c r="D1282" s="8">
        <v>59</v>
      </c>
      <c r="E1282" s="8">
        <v>0</v>
      </c>
      <c r="F1282" s="8">
        <v>0</v>
      </c>
      <c r="G1282" s="8">
        <v>0</v>
      </c>
      <c r="H1282" s="8" t="s">
        <v>53192</v>
      </c>
      <c r="I1282" s="8">
        <v>526.6875</v>
      </c>
      <c r="J1282" s="3">
        <f t="shared" ref="J1282:J1345" si="20">(H1282/86400000)+25569+(7/24)</f>
        <v>43749.505313344904</v>
      </c>
    </row>
    <row r="1283" spans="1:10" x14ac:dyDescent="0.25">
      <c r="A1283" s="5" t="s">
        <v>53193</v>
      </c>
      <c r="B1283" s="6">
        <v>393.75</v>
      </c>
      <c r="C1283" s="6">
        <v>20.531590000000001</v>
      </c>
      <c r="D1283" s="6">
        <v>59</v>
      </c>
      <c r="E1283" s="6">
        <v>0</v>
      </c>
      <c r="F1283" s="6">
        <v>0</v>
      </c>
      <c r="G1283" s="6">
        <v>0</v>
      </c>
      <c r="H1283" s="6" t="s">
        <v>53194</v>
      </c>
      <c r="I1283" s="6">
        <v>526.6875</v>
      </c>
      <c r="J1283" s="2">
        <f t="shared" si="20"/>
        <v>43749.505396782406</v>
      </c>
    </row>
    <row r="1284" spans="1:10" x14ac:dyDescent="0.25">
      <c r="A1284" s="7" t="s">
        <v>53195</v>
      </c>
      <c r="B1284" s="8">
        <v>412.5</v>
      </c>
      <c r="C1284" s="8">
        <v>20.478950000000001</v>
      </c>
      <c r="D1284" s="8">
        <v>59</v>
      </c>
      <c r="E1284" s="8">
        <v>0</v>
      </c>
      <c r="F1284" s="8">
        <v>0</v>
      </c>
      <c r="G1284" s="8">
        <v>3</v>
      </c>
      <c r="H1284" s="8" t="s">
        <v>53196</v>
      </c>
      <c r="I1284" s="8">
        <v>532.3125</v>
      </c>
      <c r="J1284" s="3">
        <f t="shared" si="20"/>
        <v>43749.505468437499</v>
      </c>
    </row>
    <row r="1285" spans="1:10" x14ac:dyDescent="0.25">
      <c r="A1285" s="5" t="s">
        <v>53197</v>
      </c>
      <c r="B1285" s="6">
        <v>393.75</v>
      </c>
      <c r="C1285" s="6">
        <v>20.531590000000001</v>
      </c>
      <c r="D1285" s="6">
        <v>59</v>
      </c>
      <c r="E1285" s="6">
        <v>0</v>
      </c>
      <c r="F1285" s="6">
        <v>0</v>
      </c>
      <c r="G1285" s="6">
        <v>0</v>
      </c>
      <c r="H1285" s="6" t="s">
        <v>53198</v>
      </c>
      <c r="I1285" s="6">
        <v>526.6875</v>
      </c>
      <c r="J1285" s="2">
        <f t="shared" si="20"/>
        <v>43749.505539942133</v>
      </c>
    </row>
    <row r="1286" spans="1:10" x14ac:dyDescent="0.25">
      <c r="A1286" s="7" t="s">
        <v>53199</v>
      </c>
      <c r="B1286" s="8">
        <v>393.75</v>
      </c>
      <c r="C1286" s="8">
        <v>20.478950000000001</v>
      </c>
      <c r="D1286" s="8">
        <v>59</v>
      </c>
      <c r="E1286" s="8">
        <v>0</v>
      </c>
      <c r="F1286" s="8">
        <v>0</v>
      </c>
      <c r="G1286" s="8">
        <v>0</v>
      </c>
      <c r="H1286" s="8" t="s">
        <v>53200</v>
      </c>
      <c r="I1286" s="8">
        <v>526.6875</v>
      </c>
      <c r="J1286" s="3">
        <f t="shared" si="20"/>
        <v>43749.505635416666</v>
      </c>
    </row>
    <row r="1287" spans="1:10" x14ac:dyDescent="0.25">
      <c r="A1287" s="5" t="s">
        <v>53201</v>
      </c>
      <c r="B1287" s="6">
        <v>393.75</v>
      </c>
      <c r="C1287" s="6">
        <v>20.478950000000001</v>
      </c>
      <c r="D1287" s="6">
        <v>61</v>
      </c>
      <c r="E1287" s="6">
        <v>0</v>
      </c>
      <c r="F1287" s="6">
        <v>0</v>
      </c>
      <c r="G1287" s="6">
        <v>1</v>
      </c>
      <c r="H1287" s="6" t="s">
        <v>53202</v>
      </c>
      <c r="I1287" s="6">
        <v>526.875</v>
      </c>
      <c r="J1287" s="2">
        <f t="shared" si="20"/>
        <v>43749.505719062501</v>
      </c>
    </row>
    <row r="1288" spans="1:10" x14ac:dyDescent="0.25">
      <c r="A1288" s="7" t="s">
        <v>53203</v>
      </c>
      <c r="B1288" s="8">
        <v>393.75</v>
      </c>
      <c r="C1288" s="8">
        <v>20.478950000000001</v>
      </c>
      <c r="D1288" s="8">
        <v>61</v>
      </c>
      <c r="E1288" s="8">
        <v>0</v>
      </c>
      <c r="F1288" s="8">
        <v>0</v>
      </c>
      <c r="G1288" s="8">
        <v>0</v>
      </c>
      <c r="H1288" s="8" t="s">
        <v>53204</v>
      </c>
      <c r="I1288" s="8">
        <v>526.6875</v>
      </c>
      <c r="J1288" s="3">
        <f t="shared" si="20"/>
        <v>43749.505802326392</v>
      </c>
    </row>
    <row r="1289" spans="1:10" x14ac:dyDescent="0.25">
      <c r="A1289" s="5" t="s">
        <v>53205</v>
      </c>
      <c r="B1289" s="6">
        <v>412.5</v>
      </c>
      <c r="C1289" s="6">
        <v>20.531590000000001</v>
      </c>
      <c r="D1289" s="6">
        <v>60</v>
      </c>
      <c r="E1289" s="6">
        <v>0</v>
      </c>
      <c r="F1289" s="6">
        <v>0</v>
      </c>
      <c r="G1289" s="6">
        <v>0</v>
      </c>
      <c r="H1289" s="6" t="s">
        <v>53206</v>
      </c>
      <c r="I1289" s="6">
        <v>532.3125</v>
      </c>
      <c r="J1289" s="2">
        <f t="shared" si="20"/>
        <v>43749.505885798608</v>
      </c>
    </row>
    <row r="1290" spans="1:10" x14ac:dyDescent="0.25">
      <c r="A1290" s="7" t="s">
        <v>53207</v>
      </c>
      <c r="B1290" s="8">
        <v>393.75</v>
      </c>
      <c r="C1290" s="8">
        <v>20.584240000000001</v>
      </c>
      <c r="D1290" s="8">
        <v>61</v>
      </c>
      <c r="E1290" s="8">
        <v>0</v>
      </c>
      <c r="F1290" s="8">
        <v>0</v>
      </c>
      <c r="G1290" s="8">
        <v>2</v>
      </c>
      <c r="H1290" s="8" t="s">
        <v>53208</v>
      </c>
      <c r="I1290" s="8">
        <v>526.6875</v>
      </c>
      <c r="J1290" s="3">
        <f t="shared" si="20"/>
        <v>43749.505957546295</v>
      </c>
    </row>
    <row r="1291" spans="1:10" x14ac:dyDescent="0.25">
      <c r="A1291" s="5" t="s">
        <v>53209</v>
      </c>
      <c r="B1291" s="6">
        <v>393.75</v>
      </c>
      <c r="C1291" s="6">
        <v>20.531590000000001</v>
      </c>
      <c r="D1291" s="6">
        <v>61</v>
      </c>
      <c r="E1291" s="6">
        <v>0</v>
      </c>
      <c r="F1291" s="6">
        <v>0</v>
      </c>
      <c r="G1291" s="6">
        <v>4</v>
      </c>
      <c r="H1291" s="6" t="s">
        <v>53210</v>
      </c>
      <c r="I1291" s="6">
        <v>526.6875</v>
      </c>
      <c r="J1291" s="2">
        <f t="shared" si="20"/>
        <v>43749.506040879627</v>
      </c>
    </row>
    <row r="1292" spans="1:10" x14ac:dyDescent="0.25">
      <c r="A1292" s="7" t="s">
        <v>53211</v>
      </c>
      <c r="B1292" s="8">
        <v>393.75</v>
      </c>
      <c r="C1292" s="8">
        <v>20.584240000000001</v>
      </c>
      <c r="D1292" s="8">
        <v>59</v>
      </c>
      <c r="E1292" s="8">
        <v>0</v>
      </c>
      <c r="F1292" s="8">
        <v>0</v>
      </c>
      <c r="G1292" s="8">
        <v>2</v>
      </c>
      <c r="H1292" s="8" t="s">
        <v>53212</v>
      </c>
      <c r="I1292" s="8">
        <v>526.6875</v>
      </c>
      <c r="J1292" s="3">
        <f t="shared" si="20"/>
        <v>43749.506124340274</v>
      </c>
    </row>
    <row r="1293" spans="1:10" x14ac:dyDescent="0.25">
      <c r="A1293" s="5" t="s">
        <v>53213</v>
      </c>
      <c r="B1293" s="6">
        <v>393.75</v>
      </c>
      <c r="C1293" s="6">
        <v>20.531590000000001</v>
      </c>
      <c r="D1293" s="6">
        <v>59</v>
      </c>
      <c r="E1293" s="6">
        <v>0</v>
      </c>
      <c r="F1293" s="6">
        <v>0</v>
      </c>
      <c r="G1293" s="6">
        <v>0</v>
      </c>
      <c r="H1293" s="6" t="s">
        <v>53214</v>
      </c>
      <c r="I1293" s="6">
        <v>526.6875</v>
      </c>
      <c r="J1293" s="2">
        <f t="shared" si="20"/>
        <v>43749.506207789345</v>
      </c>
    </row>
    <row r="1294" spans="1:10" x14ac:dyDescent="0.25">
      <c r="A1294" s="7" t="s">
        <v>53215</v>
      </c>
      <c r="B1294" s="8">
        <v>412.5</v>
      </c>
      <c r="C1294" s="8">
        <v>20.531590000000001</v>
      </c>
      <c r="D1294" s="8">
        <v>59</v>
      </c>
      <c r="E1294" s="8">
        <v>0</v>
      </c>
      <c r="F1294" s="8">
        <v>0</v>
      </c>
      <c r="G1294" s="8">
        <v>7</v>
      </c>
      <c r="H1294" s="8" t="s">
        <v>53216</v>
      </c>
      <c r="I1294" s="8">
        <v>532.875</v>
      </c>
      <c r="J1294" s="3">
        <f t="shared" si="20"/>
        <v>43749.506291550926</v>
      </c>
    </row>
    <row r="1295" spans="1:10" x14ac:dyDescent="0.25">
      <c r="A1295" s="5" t="s">
        <v>53217</v>
      </c>
      <c r="B1295" s="6">
        <v>393.75</v>
      </c>
      <c r="C1295" s="6">
        <v>20.531590000000001</v>
      </c>
      <c r="D1295" s="6">
        <v>59</v>
      </c>
      <c r="E1295" s="6">
        <v>0</v>
      </c>
      <c r="F1295" s="6">
        <v>0</v>
      </c>
      <c r="G1295" s="6">
        <v>16</v>
      </c>
      <c r="H1295" s="6" t="s">
        <v>53218</v>
      </c>
      <c r="I1295" s="6">
        <v>526.6875</v>
      </c>
      <c r="J1295" s="2">
        <f t="shared" si="20"/>
        <v>43749.506374895827</v>
      </c>
    </row>
    <row r="1296" spans="1:10" x14ac:dyDescent="0.25">
      <c r="A1296" s="7" t="s">
        <v>53219</v>
      </c>
      <c r="B1296" s="8">
        <v>393.75</v>
      </c>
      <c r="C1296" s="8">
        <v>20.531590000000001</v>
      </c>
      <c r="D1296" s="8">
        <v>58</v>
      </c>
      <c r="E1296" s="8">
        <v>0</v>
      </c>
      <c r="F1296" s="8">
        <v>0</v>
      </c>
      <c r="G1296" s="8">
        <v>10</v>
      </c>
      <c r="H1296" s="8" t="s">
        <v>53220</v>
      </c>
      <c r="I1296" s="8">
        <v>526.6875</v>
      </c>
      <c r="J1296" s="3">
        <f t="shared" si="20"/>
        <v>43749.506458252312</v>
      </c>
    </row>
    <row r="1297" spans="1:10" x14ac:dyDescent="0.25">
      <c r="A1297" s="5" t="s">
        <v>53221</v>
      </c>
      <c r="B1297" s="6">
        <v>393.75</v>
      </c>
      <c r="C1297" s="6">
        <v>20.478950000000001</v>
      </c>
      <c r="D1297" s="6">
        <v>59</v>
      </c>
      <c r="E1297" s="6">
        <v>0</v>
      </c>
      <c r="F1297" s="6">
        <v>0</v>
      </c>
      <c r="G1297" s="6">
        <v>16</v>
      </c>
      <c r="H1297" s="6" t="s">
        <v>53222</v>
      </c>
      <c r="I1297" s="6">
        <v>526.6875</v>
      </c>
      <c r="J1297" s="2">
        <f t="shared" si="20"/>
        <v>43749.506541562492</v>
      </c>
    </row>
    <row r="1298" spans="1:10" x14ac:dyDescent="0.25">
      <c r="A1298" s="7" t="s">
        <v>53223</v>
      </c>
      <c r="B1298" s="8">
        <v>393.75</v>
      </c>
      <c r="C1298" s="8">
        <v>20.478950000000001</v>
      </c>
      <c r="D1298" s="8">
        <v>59</v>
      </c>
      <c r="E1298" s="8">
        <v>0</v>
      </c>
      <c r="F1298" s="8">
        <v>0</v>
      </c>
      <c r="G1298" s="8">
        <v>3</v>
      </c>
      <c r="H1298" s="8" t="s">
        <v>53224</v>
      </c>
      <c r="I1298" s="8">
        <v>526.6875</v>
      </c>
      <c r="J1298" s="3">
        <f t="shared" si="20"/>
        <v>43749.506613321755</v>
      </c>
    </row>
    <row r="1299" spans="1:10" x14ac:dyDescent="0.25">
      <c r="A1299" s="5" t="s">
        <v>53225</v>
      </c>
      <c r="B1299" s="6">
        <v>428.125</v>
      </c>
      <c r="C1299" s="6">
        <v>20.478950000000001</v>
      </c>
      <c r="D1299" s="6">
        <v>58</v>
      </c>
      <c r="E1299" s="6">
        <v>0</v>
      </c>
      <c r="F1299" s="6">
        <v>0</v>
      </c>
      <c r="G1299" s="6">
        <v>8</v>
      </c>
      <c r="H1299" s="6" t="s">
        <v>53226</v>
      </c>
      <c r="I1299" s="6">
        <v>537.9375</v>
      </c>
      <c r="J1299" s="2">
        <f t="shared" si="20"/>
        <v>43749.506696793978</v>
      </c>
    </row>
    <row r="1300" spans="1:10" x14ac:dyDescent="0.25">
      <c r="A1300" s="7" t="s">
        <v>53227</v>
      </c>
      <c r="B1300" s="8">
        <v>393.75</v>
      </c>
      <c r="C1300" s="8">
        <v>20.478950000000001</v>
      </c>
      <c r="D1300" s="8">
        <v>59</v>
      </c>
      <c r="E1300" s="8">
        <v>0</v>
      </c>
      <c r="F1300" s="8">
        <v>0</v>
      </c>
      <c r="G1300" s="8">
        <v>8</v>
      </c>
      <c r="H1300" s="8" t="s">
        <v>53228</v>
      </c>
      <c r="I1300" s="8">
        <v>526.6875</v>
      </c>
      <c r="J1300" s="3">
        <f t="shared" si="20"/>
        <v>43749.506768437503</v>
      </c>
    </row>
    <row r="1301" spans="1:10" x14ac:dyDescent="0.25">
      <c r="A1301" s="5" t="s">
        <v>53229</v>
      </c>
      <c r="B1301" s="6">
        <v>393.75</v>
      </c>
      <c r="C1301" s="6">
        <v>20.478950000000001</v>
      </c>
      <c r="D1301" s="6">
        <v>59</v>
      </c>
      <c r="E1301" s="6">
        <v>0</v>
      </c>
      <c r="F1301" s="6">
        <v>0</v>
      </c>
      <c r="G1301" s="6">
        <v>12</v>
      </c>
      <c r="H1301" s="6" t="s">
        <v>53230</v>
      </c>
      <c r="I1301" s="6">
        <v>526.6875</v>
      </c>
      <c r="J1301" s="2">
        <f t="shared" si="20"/>
        <v>43749.506839965274</v>
      </c>
    </row>
    <row r="1302" spans="1:10" x14ac:dyDescent="0.25">
      <c r="A1302" s="7" t="s">
        <v>53231</v>
      </c>
      <c r="B1302" s="8">
        <v>393.75</v>
      </c>
      <c r="C1302" s="8">
        <v>20.531590000000001</v>
      </c>
      <c r="D1302" s="8">
        <v>59</v>
      </c>
      <c r="E1302" s="8">
        <v>0</v>
      </c>
      <c r="F1302" s="8">
        <v>0</v>
      </c>
      <c r="G1302" s="8">
        <v>13</v>
      </c>
      <c r="H1302" s="8" t="s">
        <v>53232</v>
      </c>
      <c r="I1302" s="8">
        <v>526.6875</v>
      </c>
      <c r="J1302" s="3">
        <f t="shared" si="20"/>
        <v>43749.506923171291</v>
      </c>
    </row>
    <row r="1303" spans="1:10" x14ac:dyDescent="0.25">
      <c r="A1303" s="5" t="s">
        <v>53233</v>
      </c>
      <c r="B1303" s="6">
        <v>393.75</v>
      </c>
      <c r="C1303" s="6">
        <v>20.531590000000001</v>
      </c>
      <c r="D1303" s="6">
        <v>59</v>
      </c>
      <c r="E1303" s="6">
        <v>0</v>
      </c>
      <c r="F1303" s="6">
        <v>0</v>
      </c>
      <c r="G1303" s="6">
        <v>6</v>
      </c>
      <c r="H1303" s="6" t="s">
        <v>53234</v>
      </c>
      <c r="I1303" s="6">
        <v>526.6875</v>
      </c>
      <c r="J1303" s="2">
        <f t="shared" si="20"/>
        <v>43749.506994814808</v>
      </c>
    </row>
    <row r="1304" spans="1:10" x14ac:dyDescent="0.25">
      <c r="A1304" s="7" t="s">
        <v>53235</v>
      </c>
      <c r="B1304" s="8">
        <v>393.75</v>
      </c>
      <c r="C1304" s="8">
        <v>20.531590000000001</v>
      </c>
      <c r="D1304" s="8">
        <v>62</v>
      </c>
      <c r="E1304" s="8">
        <v>0</v>
      </c>
      <c r="F1304" s="8">
        <v>0</v>
      </c>
      <c r="G1304" s="8">
        <v>11</v>
      </c>
      <c r="H1304" s="8" t="s">
        <v>53236</v>
      </c>
      <c r="I1304" s="8">
        <v>526.6875</v>
      </c>
      <c r="J1304" s="3">
        <f t="shared" si="20"/>
        <v>43749.50707861111</v>
      </c>
    </row>
    <row r="1305" spans="1:10" x14ac:dyDescent="0.25">
      <c r="A1305" s="5" t="s">
        <v>53237</v>
      </c>
      <c r="B1305" s="6">
        <v>393.75</v>
      </c>
      <c r="C1305" s="6">
        <v>20.531590000000001</v>
      </c>
      <c r="D1305" s="6">
        <v>63</v>
      </c>
      <c r="E1305" s="6">
        <v>0</v>
      </c>
      <c r="F1305" s="6">
        <v>0</v>
      </c>
      <c r="G1305" s="6">
        <v>9</v>
      </c>
      <c r="H1305" s="6" t="s">
        <v>53238</v>
      </c>
      <c r="I1305" s="6">
        <v>526.6875</v>
      </c>
      <c r="J1305" s="2">
        <f t="shared" si="20"/>
        <v>43749.50717399305</v>
      </c>
    </row>
    <row r="1306" spans="1:10" x14ac:dyDescent="0.25">
      <c r="A1306" s="7" t="s">
        <v>53239</v>
      </c>
      <c r="B1306" s="8">
        <v>393.75</v>
      </c>
      <c r="C1306" s="8">
        <v>20.531590000000001</v>
      </c>
      <c r="D1306" s="8">
        <v>62</v>
      </c>
      <c r="E1306" s="8">
        <v>0</v>
      </c>
      <c r="F1306" s="8">
        <v>0</v>
      </c>
      <c r="G1306" s="8">
        <v>15</v>
      </c>
      <c r="H1306" s="8" t="s">
        <v>53240</v>
      </c>
      <c r="I1306" s="8">
        <v>526.6875</v>
      </c>
      <c r="J1306" s="3">
        <f t="shared" si="20"/>
        <v>43749.507257442128</v>
      </c>
    </row>
    <row r="1307" spans="1:10" x14ac:dyDescent="0.25">
      <c r="A1307" s="5" t="s">
        <v>53241</v>
      </c>
      <c r="B1307" s="6">
        <v>412.5</v>
      </c>
      <c r="C1307" s="6">
        <v>20.584240000000001</v>
      </c>
      <c r="D1307" s="6">
        <v>62</v>
      </c>
      <c r="E1307" s="6">
        <v>0</v>
      </c>
      <c r="F1307" s="6">
        <v>0</v>
      </c>
      <c r="G1307" s="6">
        <v>20</v>
      </c>
      <c r="H1307" s="6" t="s">
        <v>53242</v>
      </c>
      <c r="I1307" s="6">
        <v>532.5</v>
      </c>
      <c r="J1307" s="2">
        <f t="shared" si="20"/>
        <v>43749.507329317123</v>
      </c>
    </row>
    <row r="1308" spans="1:10" x14ac:dyDescent="0.25">
      <c r="A1308" s="7" t="s">
        <v>53243</v>
      </c>
      <c r="B1308" s="8">
        <v>393.75</v>
      </c>
      <c r="C1308" s="8">
        <v>20.584240000000001</v>
      </c>
      <c r="D1308" s="8">
        <v>61</v>
      </c>
      <c r="E1308" s="8">
        <v>0</v>
      </c>
      <c r="F1308" s="8">
        <v>0</v>
      </c>
      <c r="G1308" s="8">
        <v>24</v>
      </c>
      <c r="H1308" s="8" t="s">
        <v>53244</v>
      </c>
      <c r="I1308" s="8">
        <v>526.6875</v>
      </c>
      <c r="J1308" s="3">
        <f t="shared" si="20"/>
        <v>43749.507412199069</v>
      </c>
    </row>
    <row r="1309" spans="1:10" x14ac:dyDescent="0.25">
      <c r="A1309" s="5" t="s">
        <v>53245</v>
      </c>
      <c r="B1309" s="6">
        <v>393.75</v>
      </c>
      <c r="C1309" s="6">
        <v>20.531590000000001</v>
      </c>
      <c r="D1309" s="6">
        <v>62</v>
      </c>
      <c r="E1309" s="6">
        <v>0</v>
      </c>
      <c r="F1309" s="6">
        <v>0</v>
      </c>
      <c r="G1309" s="6">
        <v>24</v>
      </c>
      <c r="H1309" s="6" t="s">
        <v>53246</v>
      </c>
      <c r="I1309" s="6">
        <v>526.6875</v>
      </c>
      <c r="J1309" s="2">
        <f t="shared" si="20"/>
        <v>43749.507484074071</v>
      </c>
    </row>
    <row r="1310" spans="1:10" x14ac:dyDescent="0.25">
      <c r="A1310" s="7" t="s">
        <v>53247</v>
      </c>
      <c r="B1310" s="8">
        <v>393.75</v>
      </c>
      <c r="C1310" s="8">
        <v>20.584240000000001</v>
      </c>
      <c r="D1310" s="8">
        <v>60</v>
      </c>
      <c r="E1310" s="8">
        <v>0</v>
      </c>
      <c r="F1310" s="8">
        <v>0</v>
      </c>
      <c r="G1310" s="8">
        <v>31</v>
      </c>
      <c r="H1310" s="8" t="s">
        <v>53248</v>
      </c>
      <c r="I1310" s="8">
        <v>526.6875</v>
      </c>
      <c r="J1310" s="3">
        <f t="shared" si="20"/>
        <v>43749.507567604167</v>
      </c>
    </row>
    <row r="1311" spans="1:10" x14ac:dyDescent="0.25">
      <c r="A1311" s="5" t="s">
        <v>53249</v>
      </c>
      <c r="B1311" s="6">
        <v>393.75</v>
      </c>
      <c r="C1311" s="6">
        <v>20.531590000000001</v>
      </c>
      <c r="D1311" s="6">
        <v>59</v>
      </c>
      <c r="E1311" s="6">
        <v>0</v>
      </c>
      <c r="F1311" s="6">
        <v>0</v>
      </c>
      <c r="G1311" s="6">
        <v>16</v>
      </c>
      <c r="H1311" s="6" t="s">
        <v>53250</v>
      </c>
      <c r="I1311" s="6">
        <v>526.6875</v>
      </c>
      <c r="J1311" s="2">
        <f t="shared" si="20"/>
        <v>43749.507651087959</v>
      </c>
    </row>
    <row r="1312" spans="1:10" x14ac:dyDescent="0.25">
      <c r="A1312" s="7" t="s">
        <v>53251</v>
      </c>
      <c r="B1312" s="8">
        <v>393.75</v>
      </c>
      <c r="C1312" s="8">
        <v>20.531590000000001</v>
      </c>
      <c r="D1312" s="8">
        <v>60</v>
      </c>
      <c r="E1312" s="8">
        <v>0</v>
      </c>
      <c r="F1312" s="8">
        <v>0</v>
      </c>
      <c r="G1312" s="8">
        <v>19</v>
      </c>
      <c r="H1312" s="8" t="s">
        <v>53252</v>
      </c>
      <c r="I1312" s="8">
        <v>526.6875</v>
      </c>
      <c r="J1312" s="3">
        <f t="shared" si="20"/>
        <v>43749.507734398147</v>
      </c>
    </row>
    <row r="1313" spans="1:10" x14ac:dyDescent="0.25">
      <c r="A1313" s="5" t="s">
        <v>53253</v>
      </c>
      <c r="B1313" s="6">
        <v>393.75</v>
      </c>
      <c r="C1313" s="6">
        <v>20.531590000000001</v>
      </c>
      <c r="D1313" s="6">
        <v>59</v>
      </c>
      <c r="E1313" s="6">
        <v>0</v>
      </c>
      <c r="F1313" s="6">
        <v>0</v>
      </c>
      <c r="G1313" s="6">
        <v>7</v>
      </c>
      <c r="H1313" s="6" t="s">
        <v>53254</v>
      </c>
      <c r="I1313" s="6">
        <v>526.6875</v>
      </c>
      <c r="J1313" s="2">
        <f t="shared" si="20"/>
        <v>43749.50780615741</v>
      </c>
    </row>
    <row r="1314" spans="1:10" x14ac:dyDescent="0.25">
      <c r="A1314" s="7" t="s">
        <v>53255</v>
      </c>
      <c r="B1314" s="8">
        <v>393.75</v>
      </c>
      <c r="C1314" s="8">
        <v>20.478950000000001</v>
      </c>
      <c r="D1314" s="8">
        <v>59</v>
      </c>
      <c r="E1314" s="8">
        <v>0</v>
      </c>
      <c r="F1314" s="8">
        <v>0</v>
      </c>
      <c r="G1314" s="8">
        <v>19</v>
      </c>
      <c r="H1314" s="8" t="s">
        <v>53256</v>
      </c>
      <c r="I1314" s="8">
        <v>526.6875</v>
      </c>
      <c r="J1314" s="3">
        <f t="shared" si="20"/>
        <v>43749.507889837965</v>
      </c>
    </row>
    <row r="1315" spans="1:10" x14ac:dyDescent="0.25">
      <c r="A1315" s="5" t="s">
        <v>53257</v>
      </c>
      <c r="B1315" s="6">
        <v>393.75</v>
      </c>
      <c r="C1315" s="6">
        <v>20.531590000000001</v>
      </c>
      <c r="D1315" s="6">
        <v>59</v>
      </c>
      <c r="E1315" s="6">
        <v>0</v>
      </c>
      <c r="F1315" s="6">
        <v>0</v>
      </c>
      <c r="G1315" s="6">
        <v>15</v>
      </c>
      <c r="H1315" s="6" t="s">
        <v>53258</v>
      </c>
      <c r="I1315" s="6">
        <v>526.6875</v>
      </c>
      <c r="J1315" s="2">
        <f t="shared" si="20"/>
        <v>43749.507973078704</v>
      </c>
    </row>
    <row r="1316" spans="1:10" x14ac:dyDescent="0.25">
      <c r="A1316" s="7" t="s">
        <v>53259</v>
      </c>
      <c r="B1316" s="8">
        <v>393.75</v>
      </c>
      <c r="C1316" s="8">
        <v>20.531590000000001</v>
      </c>
      <c r="D1316" s="8">
        <v>58</v>
      </c>
      <c r="E1316" s="8">
        <v>0</v>
      </c>
      <c r="F1316" s="8">
        <v>0</v>
      </c>
      <c r="G1316" s="8">
        <v>6</v>
      </c>
      <c r="H1316" s="8" t="s">
        <v>53260</v>
      </c>
      <c r="I1316" s="8">
        <v>526.6875</v>
      </c>
      <c r="J1316" s="3">
        <f t="shared" si="20"/>
        <v>43749.508056493054</v>
      </c>
    </row>
    <row r="1317" spans="1:10" x14ac:dyDescent="0.25">
      <c r="A1317" s="5" t="s">
        <v>53261</v>
      </c>
      <c r="B1317" s="6">
        <v>393.75</v>
      </c>
      <c r="C1317" s="6">
        <v>20.531590000000001</v>
      </c>
      <c r="D1317" s="6">
        <v>58</v>
      </c>
      <c r="E1317" s="6">
        <v>0</v>
      </c>
      <c r="F1317" s="6">
        <v>0</v>
      </c>
      <c r="G1317" s="6">
        <v>7</v>
      </c>
      <c r="H1317" s="6" t="s">
        <v>53262</v>
      </c>
      <c r="I1317" s="6">
        <v>526.6875</v>
      </c>
      <c r="J1317" s="2">
        <f t="shared" si="20"/>
        <v>43749.508128171299</v>
      </c>
    </row>
    <row r="1318" spans="1:10" x14ac:dyDescent="0.25">
      <c r="A1318" s="7" t="s">
        <v>53263</v>
      </c>
      <c r="B1318" s="8">
        <v>412.5</v>
      </c>
      <c r="C1318" s="8">
        <v>20.531590000000001</v>
      </c>
      <c r="D1318" s="8">
        <v>58</v>
      </c>
      <c r="E1318" s="8">
        <v>0</v>
      </c>
      <c r="F1318" s="8">
        <v>0</v>
      </c>
      <c r="G1318" s="8">
        <v>11</v>
      </c>
      <c r="H1318" s="8" t="s">
        <v>53264</v>
      </c>
      <c r="I1318" s="8">
        <v>532.3125</v>
      </c>
      <c r="J1318" s="3">
        <f t="shared" si="20"/>
        <v>43749.508211608794</v>
      </c>
    </row>
    <row r="1319" spans="1:10" x14ac:dyDescent="0.25">
      <c r="A1319" s="5" t="s">
        <v>53265</v>
      </c>
      <c r="B1319" s="6">
        <v>393.75</v>
      </c>
      <c r="C1319" s="6">
        <v>20.531590000000001</v>
      </c>
      <c r="D1319" s="6">
        <v>57</v>
      </c>
      <c r="E1319" s="6">
        <v>0</v>
      </c>
      <c r="F1319" s="6">
        <v>0</v>
      </c>
      <c r="G1319" s="6">
        <v>13</v>
      </c>
      <c r="H1319" s="6" t="s">
        <v>53266</v>
      </c>
      <c r="I1319" s="6">
        <v>526.6875</v>
      </c>
      <c r="J1319" s="2">
        <f t="shared" si="20"/>
        <v>43749.508295162035</v>
      </c>
    </row>
    <row r="1320" spans="1:10" x14ac:dyDescent="0.25">
      <c r="A1320" s="7" t="s">
        <v>53267</v>
      </c>
      <c r="B1320" s="8">
        <v>393.75</v>
      </c>
      <c r="C1320" s="8">
        <v>20.584240000000001</v>
      </c>
      <c r="D1320" s="8">
        <v>58</v>
      </c>
      <c r="E1320" s="8">
        <v>0</v>
      </c>
      <c r="F1320" s="8">
        <v>0</v>
      </c>
      <c r="G1320" s="8">
        <v>16</v>
      </c>
      <c r="H1320" s="8" t="s">
        <v>53268</v>
      </c>
      <c r="I1320" s="8">
        <v>526.6875</v>
      </c>
      <c r="J1320" s="3">
        <f t="shared" si="20"/>
        <v>43749.508389027775</v>
      </c>
    </row>
    <row r="1321" spans="1:10" x14ac:dyDescent="0.25">
      <c r="A1321" s="5" t="s">
        <v>53269</v>
      </c>
      <c r="B1321" s="6">
        <v>393.75</v>
      </c>
      <c r="C1321" s="6">
        <v>20.531590000000001</v>
      </c>
      <c r="D1321" s="6">
        <v>59</v>
      </c>
      <c r="E1321" s="6">
        <v>0</v>
      </c>
      <c r="F1321" s="6">
        <v>0</v>
      </c>
      <c r="G1321" s="6">
        <v>9</v>
      </c>
      <c r="H1321" s="6" t="s">
        <v>53270</v>
      </c>
      <c r="I1321" s="6">
        <v>526.6875</v>
      </c>
      <c r="J1321" s="2">
        <f t="shared" si="20"/>
        <v>43749.50846208333</v>
      </c>
    </row>
    <row r="1322" spans="1:10" x14ac:dyDescent="0.25">
      <c r="A1322" s="7" t="s">
        <v>53271</v>
      </c>
      <c r="B1322" s="8">
        <v>393.75</v>
      </c>
      <c r="C1322" s="8">
        <v>20.531590000000001</v>
      </c>
      <c r="D1322" s="8">
        <v>59</v>
      </c>
      <c r="E1322" s="8">
        <v>0</v>
      </c>
      <c r="F1322" s="8">
        <v>0</v>
      </c>
      <c r="G1322" s="8">
        <v>8</v>
      </c>
      <c r="H1322" s="8" t="s">
        <v>53272</v>
      </c>
      <c r="I1322" s="8">
        <v>526.6875</v>
      </c>
      <c r="J1322" s="3">
        <f t="shared" si="20"/>
        <v>43749.508545289347</v>
      </c>
    </row>
    <row r="1323" spans="1:10" x14ac:dyDescent="0.25">
      <c r="A1323" s="5" t="s">
        <v>53273</v>
      </c>
      <c r="B1323" s="6">
        <v>393.75</v>
      </c>
      <c r="C1323" s="6">
        <v>20.478950000000001</v>
      </c>
      <c r="D1323" s="6">
        <v>59</v>
      </c>
      <c r="E1323" s="6">
        <v>0</v>
      </c>
      <c r="F1323" s="6">
        <v>0</v>
      </c>
      <c r="G1323" s="6">
        <v>8</v>
      </c>
      <c r="H1323" s="6" t="s">
        <v>53274</v>
      </c>
      <c r="I1323" s="6">
        <v>526.6875</v>
      </c>
      <c r="J1323" s="2">
        <f t="shared" si="20"/>
        <v>43749.508617152773</v>
      </c>
    </row>
    <row r="1324" spans="1:10" x14ac:dyDescent="0.25">
      <c r="A1324" s="7" t="s">
        <v>53275</v>
      </c>
      <c r="B1324" s="8">
        <v>393.75</v>
      </c>
      <c r="C1324" s="8">
        <v>20.478950000000001</v>
      </c>
      <c r="D1324" s="8">
        <v>60</v>
      </c>
      <c r="E1324" s="8">
        <v>0</v>
      </c>
      <c r="F1324" s="8">
        <v>0</v>
      </c>
      <c r="G1324" s="8">
        <v>14</v>
      </c>
      <c r="H1324" s="8" t="s">
        <v>53276</v>
      </c>
      <c r="I1324" s="8">
        <v>526.6875</v>
      </c>
      <c r="J1324" s="3">
        <f t="shared" si="20"/>
        <v>43749.508700972219</v>
      </c>
    </row>
    <row r="1325" spans="1:10" x14ac:dyDescent="0.25">
      <c r="A1325" s="5" t="s">
        <v>53277</v>
      </c>
      <c r="B1325" s="6">
        <v>393.75</v>
      </c>
      <c r="C1325" s="6">
        <v>20.531590000000001</v>
      </c>
      <c r="D1325" s="6">
        <v>60</v>
      </c>
      <c r="E1325" s="6">
        <v>0</v>
      </c>
      <c r="F1325" s="6">
        <v>0</v>
      </c>
      <c r="G1325" s="6">
        <v>19</v>
      </c>
      <c r="H1325" s="6" t="s">
        <v>53278</v>
      </c>
      <c r="I1325" s="6">
        <v>526.6875</v>
      </c>
      <c r="J1325" s="2">
        <f t="shared" si="20"/>
        <v>43749.508784189813</v>
      </c>
    </row>
    <row r="1326" spans="1:10" x14ac:dyDescent="0.25">
      <c r="A1326" s="7" t="s">
        <v>53279</v>
      </c>
      <c r="B1326" s="8">
        <v>393.75</v>
      </c>
      <c r="C1326" s="8">
        <v>20.531590000000001</v>
      </c>
      <c r="D1326" s="8">
        <v>60</v>
      </c>
      <c r="E1326" s="8">
        <v>0</v>
      </c>
      <c r="F1326" s="8">
        <v>0</v>
      </c>
      <c r="G1326" s="8">
        <v>20</v>
      </c>
      <c r="H1326" s="8" t="s">
        <v>53280</v>
      </c>
      <c r="I1326" s="8">
        <v>526.6875</v>
      </c>
      <c r="J1326" s="3">
        <f t="shared" si="20"/>
        <v>43749.508867523145</v>
      </c>
    </row>
    <row r="1327" spans="1:10" x14ac:dyDescent="0.25">
      <c r="A1327" s="5" t="s">
        <v>53281</v>
      </c>
      <c r="B1327" s="6">
        <v>393.75</v>
      </c>
      <c r="C1327" s="6">
        <v>20.531590000000001</v>
      </c>
      <c r="D1327" s="6">
        <v>59</v>
      </c>
      <c r="E1327" s="6">
        <v>0</v>
      </c>
      <c r="F1327" s="6">
        <v>0</v>
      </c>
      <c r="G1327" s="6">
        <v>3</v>
      </c>
      <c r="H1327" s="6" t="s">
        <v>53282</v>
      </c>
      <c r="I1327" s="6">
        <v>526.6875</v>
      </c>
      <c r="J1327" s="2">
        <f t="shared" si="20"/>
        <v>43749.508951087955</v>
      </c>
    </row>
    <row r="1328" spans="1:10" x14ac:dyDescent="0.25">
      <c r="A1328" s="7" t="s">
        <v>53283</v>
      </c>
      <c r="B1328" s="8">
        <v>393.75</v>
      </c>
      <c r="C1328" s="8">
        <v>20.478950000000001</v>
      </c>
      <c r="D1328" s="8">
        <v>59</v>
      </c>
      <c r="E1328" s="8">
        <v>0</v>
      </c>
      <c r="F1328" s="8">
        <v>0</v>
      </c>
      <c r="G1328" s="8">
        <v>7</v>
      </c>
      <c r="H1328" s="8" t="s">
        <v>53284</v>
      </c>
      <c r="I1328" s="8">
        <v>526.6875</v>
      </c>
      <c r="J1328" s="3">
        <f t="shared" si="20"/>
        <v>43749.509022592589</v>
      </c>
    </row>
    <row r="1329" spans="1:10" x14ac:dyDescent="0.25">
      <c r="A1329" s="5" t="s">
        <v>53285</v>
      </c>
      <c r="B1329" s="6">
        <v>393.75</v>
      </c>
      <c r="C1329" s="6">
        <v>20.478950000000001</v>
      </c>
      <c r="D1329" s="6">
        <v>59</v>
      </c>
      <c r="E1329" s="6">
        <v>0</v>
      </c>
      <c r="F1329" s="6">
        <v>0</v>
      </c>
      <c r="G1329" s="6">
        <v>6</v>
      </c>
      <c r="H1329" s="6" t="s">
        <v>53286</v>
      </c>
      <c r="I1329" s="6">
        <v>526.6875</v>
      </c>
      <c r="J1329" s="2">
        <f t="shared" si="20"/>
        <v>43749.509094247682</v>
      </c>
    </row>
    <row r="1330" spans="1:10" x14ac:dyDescent="0.25">
      <c r="A1330" s="7" t="s">
        <v>53287</v>
      </c>
      <c r="B1330" s="8">
        <v>393.75</v>
      </c>
      <c r="C1330" s="8">
        <v>20.531590000000001</v>
      </c>
      <c r="D1330" s="8">
        <v>58</v>
      </c>
      <c r="E1330" s="8">
        <v>0</v>
      </c>
      <c r="F1330" s="8">
        <v>0</v>
      </c>
      <c r="G1330" s="8">
        <v>0</v>
      </c>
      <c r="H1330" s="8" t="s">
        <v>53288</v>
      </c>
      <c r="I1330" s="8">
        <v>526.6875</v>
      </c>
      <c r="J1330" s="3">
        <f t="shared" si="20"/>
        <v>43749.509177812499</v>
      </c>
    </row>
    <row r="1331" spans="1:10" x14ac:dyDescent="0.25">
      <c r="A1331" s="5" t="s">
        <v>53289</v>
      </c>
      <c r="B1331" s="6">
        <v>412.5</v>
      </c>
      <c r="C1331" s="6">
        <v>20.531590000000001</v>
      </c>
      <c r="D1331" s="6">
        <v>59</v>
      </c>
      <c r="E1331" s="6">
        <v>0</v>
      </c>
      <c r="F1331" s="6">
        <v>0</v>
      </c>
      <c r="G1331" s="6">
        <v>5</v>
      </c>
      <c r="H1331" s="6" t="s">
        <v>53290</v>
      </c>
      <c r="I1331" s="6">
        <v>532.3125</v>
      </c>
      <c r="J1331" s="2">
        <f t="shared" si="20"/>
        <v>43749.509261249994</v>
      </c>
    </row>
    <row r="1332" spans="1:10" x14ac:dyDescent="0.25">
      <c r="A1332" s="7" t="s">
        <v>53291</v>
      </c>
      <c r="B1332" s="8">
        <v>393.75</v>
      </c>
      <c r="C1332" s="8">
        <v>20.478950000000001</v>
      </c>
      <c r="D1332" s="8">
        <v>58</v>
      </c>
      <c r="E1332" s="8">
        <v>0</v>
      </c>
      <c r="F1332" s="8">
        <v>0</v>
      </c>
      <c r="G1332" s="8">
        <v>6</v>
      </c>
      <c r="H1332" s="8" t="s">
        <v>53292</v>
      </c>
      <c r="I1332" s="8">
        <v>526.6875</v>
      </c>
      <c r="J1332" s="3">
        <f t="shared" si="20"/>
        <v>43749.509344837956</v>
      </c>
    </row>
    <row r="1333" spans="1:10" x14ac:dyDescent="0.25">
      <c r="A1333" s="5" t="s">
        <v>53293</v>
      </c>
      <c r="B1333" s="6">
        <v>393.75</v>
      </c>
      <c r="C1333" s="6">
        <v>20.531590000000001</v>
      </c>
      <c r="D1333" s="6">
        <v>57</v>
      </c>
      <c r="E1333" s="6">
        <v>0</v>
      </c>
      <c r="F1333" s="6">
        <v>0</v>
      </c>
      <c r="G1333" s="6">
        <v>5</v>
      </c>
      <c r="H1333" s="6" t="s">
        <v>53294</v>
      </c>
      <c r="I1333" s="6">
        <v>526.6875</v>
      </c>
      <c r="J1333" s="2">
        <f t="shared" si="20"/>
        <v>43749.50941648148</v>
      </c>
    </row>
    <row r="1334" spans="1:10" x14ac:dyDescent="0.25">
      <c r="A1334" s="7" t="s">
        <v>53295</v>
      </c>
      <c r="B1334" s="8">
        <v>393.75</v>
      </c>
      <c r="C1334" s="8">
        <v>20.531590000000001</v>
      </c>
      <c r="D1334" s="8">
        <v>56</v>
      </c>
      <c r="E1334" s="8">
        <v>0</v>
      </c>
      <c r="F1334" s="8">
        <v>0</v>
      </c>
      <c r="G1334" s="8">
        <v>7</v>
      </c>
      <c r="H1334" s="8" t="s">
        <v>53296</v>
      </c>
      <c r="I1334" s="8">
        <v>526.6875</v>
      </c>
      <c r="J1334" s="3">
        <f t="shared" si="20"/>
        <v>43749.509488020827</v>
      </c>
    </row>
    <row r="1335" spans="1:10" x14ac:dyDescent="0.25">
      <c r="A1335" s="5" t="s">
        <v>53297</v>
      </c>
      <c r="B1335" s="6">
        <v>393.75</v>
      </c>
      <c r="C1335" s="6">
        <v>20.531590000000001</v>
      </c>
      <c r="D1335" s="6">
        <v>54</v>
      </c>
      <c r="E1335" s="6">
        <v>0</v>
      </c>
      <c r="F1335" s="6">
        <v>0</v>
      </c>
      <c r="G1335" s="6">
        <v>5</v>
      </c>
      <c r="H1335" s="6" t="s">
        <v>53298</v>
      </c>
      <c r="I1335" s="6">
        <v>526.6875</v>
      </c>
      <c r="J1335" s="2">
        <f t="shared" si="20"/>
        <v>43749.509571238428</v>
      </c>
    </row>
    <row r="1336" spans="1:10" x14ac:dyDescent="0.25">
      <c r="A1336" s="7" t="s">
        <v>53299</v>
      </c>
      <c r="B1336" s="8">
        <v>393.75</v>
      </c>
      <c r="C1336" s="8">
        <v>20.531590000000001</v>
      </c>
      <c r="D1336" s="8">
        <v>54</v>
      </c>
      <c r="E1336" s="8">
        <v>0</v>
      </c>
      <c r="F1336" s="8">
        <v>0</v>
      </c>
      <c r="G1336" s="8">
        <v>0</v>
      </c>
      <c r="H1336" s="8" t="s">
        <v>53300</v>
      </c>
      <c r="I1336" s="8">
        <v>526.6875</v>
      </c>
      <c r="J1336" s="3">
        <f t="shared" si="20"/>
        <v>43749.509642974539</v>
      </c>
    </row>
    <row r="1337" spans="1:10" x14ac:dyDescent="0.25">
      <c r="A1337" s="5" t="s">
        <v>53301</v>
      </c>
      <c r="B1337" s="6">
        <v>393.75</v>
      </c>
      <c r="C1337" s="6">
        <v>20.531590000000001</v>
      </c>
      <c r="D1337" s="6">
        <v>54</v>
      </c>
      <c r="E1337" s="6">
        <v>0</v>
      </c>
      <c r="F1337" s="6">
        <v>0</v>
      </c>
      <c r="G1337" s="6">
        <v>3</v>
      </c>
      <c r="H1337" s="6" t="s">
        <v>53302</v>
      </c>
      <c r="I1337" s="6">
        <v>526.6875</v>
      </c>
      <c r="J1337" s="2">
        <f t="shared" si="20"/>
        <v>43749.509726412034</v>
      </c>
    </row>
    <row r="1338" spans="1:10" x14ac:dyDescent="0.25">
      <c r="A1338" s="7" t="s">
        <v>53303</v>
      </c>
      <c r="B1338" s="8">
        <v>393.75</v>
      </c>
      <c r="C1338" s="8">
        <v>20.478950000000001</v>
      </c>
      <c r="D1338" s="8">
        <v>55</v>
      </c>
      <c r="E1338" s="8">
        <v>0</v>
      </c>
      <c r="F1338" s="8">
        <v>0</v>
      </c>
      <c r="G1338" s="8">
        <v>0</v>
      </c>
      <c r="H1338" s="8" t="s">
        <v>53304</v>
      </c>
      <c r="I1338" s="8">
        <v>526.6875</v>
      </c>
      <c r="J1338" s="3">
        <f t="shared" si="20"/>
        <v>43749.509821863423</v>
      </c>
    </row>
    <row r="1339" spans="1:10" x14ac:dyDescent="0.25">
      <c r="A1339" s="5" t="s">
        <v>53305</v>
      </c>
      <c r="B1339" s="6">
        <v>393.75</v>
      </c>
      <c r="C1339" s="6">
        <v>20.478950000000001</v>
      </c>
      <c r="D1339" s="6">
        <v>56</v>
      </c>
      <c r="E1339" s="6">
        <v>0</v>
      </c>
      <c r="F1339" s="6">
        <v>0</v>
      </c>
      <c r="G1339" s="6">
        <v>7</v>
      </c>
      <c r="H1339" s="6" t="s">
        <v>53306</v>
      </c>
      <c r="I1339" s="6">
        <v>526.6875</v>
      </c>
      <c r="J1339" s="2">
        <f t="shared" si="20"/>
        <v>43749.509893541668</v>
      </c>
    </row>
    <row r="1340" spans="1:10" x14ac:dyDescent="0.25">
      <c r="A1340" s="7" t="s">
        <v>53307</v>
      </c>
      <c r="B1340" s="8">
        <v>393.75</v>
      </c>
      <c r="C1340" s="8">
        <v>20.531590000000001</v>
      </c>
      <c r="D1340" s="8">
        <v>57</v>
      </c>
      <c r="E1340" s="8">
        <v>0</v>
      </c>
      <c r="F1340" s="8">
        <v>0</v>
      </c>
      <c r="G1340" s="8">
        <v>0</v>
      </c>
      <c r="H1340" s="8" t="s">
        <v>53308</v>
      </c>
      <c r="I1340" s="8">
        <v>526.6875</v>
      </c>
      <c r="J1340" s="3">
        <f t="shared" si="20"/>
        <v>43749.509976875001</v>
      </c>
    </row>
    <row r="1341" spans="1:10" x14ac:dyDescent="0.25">
      <c r="A1341" s="5" t="s">
        <v>53309</v>
      </c>
      <c r="B1341" s="6">
        <v>393.75</v>
      </c>
      <c r="C1341" s="6">
        <v>20.478950000000001</v>
      </c>
      <c r="D1341" s="6">
        <v>56</v>
      </c>
      <c r="E1341" s="6">
        <v>0</v>
      </c>
      <c r="F1341" s="6">
        <v>0</v>
      </c>
      <c r="G1341" s="6">
        <v>0</v>
      </c>
      <c r="H1341" s="6" t="s">
        <v>53310</v>
      </c>
      <c r="I1341" s="6">
        <v>526.6875</v>
      </c>
      <c r="J1341" s="2">
        <f t="shared" si="20"/>
        <v>43749.510060104163</v>
      </c>
    </row>
    <row r="1342" spans="1:10" x14ac:dyDescent="0.25">
      <c r="A1342" s="7" t="s">
        <v>53311</v>
      </c>
      <c r="B1342" s="8">
        <v>393.75</v>
      </c>
      <c r="C1342" s="8">
        <v>20.584240000000001</v>
      </c>
      <c r="D1342" s="8">
        <v>56</v>
      </c>
      <c r="E1342" s="8">
        <v>0</v>
      </c>
      <c r="F1342" s="8">
        <v>0</v>
      </c>
      <c r="G1342" s="8">
        <v>0</v>
      </c>
      <c r="H1342" s="8" t="s">
        <v>53312</v>
      </c>
      <c r="I1342" s="8">
        <v>526.6875</v>
      </c>
      <c r="J1342" s="3">
        <f t="shared" si="20"/>
        <v>43749.51013185185</v>
      </c>
    </row>
    <row r="1343" spans="1:10" x14ac:dyDescent="0.25">
      <c r="A1343" s="5" t="s">
        <v>53313</v>
      </c>
      <c r="B1343" s="6">
        <v>393.75</v>
      </c>
      <c r="C1343" s="6">
        <v>20.478950000000001</v>
      </c>
      <c r="D1343" s="6">
        <v>56</v>
      </c>
      <c r="E1343" s="6">
        <v>0</v>
      </c>
      <c r="F1343" s="6">
        <v>0</v>
      </c>
      <c r="G1343" s="6">
        <v>0</v>
      </c>
      <c r="H1343" s="6" t="s">
        <v>53314</v>
      </c>
      <c r="I1343" s="6">
        <v>526.6875</v>
      </c>
      <c r="J1343" s="2">
        <f t="shared" si="20"/>
        <v>43749.510215393515</v>
      </c>
    </row>
    <row r="1344" spans="1:10" x14ac:dyDescent="0.25">
      <c r="A1344" s="7" t="s">
        <v>53315</v>
      </c>
      <c r="B1344" s="8">
        <v>393.75</v>
      </c>
      <c r="C1344" s="8">
        <v>20.531590000000001</v>
      </c>
      <c r="D1344" s="8">
        <v>57</v>
      </c>
      <c r="E1344" s="8">
        <v>0</v>
      </c>
      <c r="F1344" s="8">
        <v>0</v>
      </c>
      <c r="G1344" s="8">
        <v>8</v>
      </c>
      <c r="H1344" s="8" t="s">
        <v>53316</v>
      </c>
      <c r="I1344" s="8">
        <v>526.6875</v>
      </c>
      <c r="J1344" s="3">
        <f t="shared" si="20"/>
        <v>43749.510298842586</v>
      </c>
    </row>
    <row r="1345" spans="1:10" x14ac:dyDescent="0.25">
      <c r="A1345" s="5" t="s">
        <v>53317</v>
      </c>
      <c r="B1345" s="6">
        <v>393.75</v>
      </c>
      <c r="C1345" s="6">
        <v>20.584240000000001</v>
      </c>
      <c r="D1345" s="6">
        <v>55</v>
      </c>
      <c r="E1345" s="6">
        <v>0</v>
      </c>
      <c r="F1345" s="6">
        <v>0</v>
      </c>
      <c r="G1345" s="6">
        <v>9</v>
      </c>
      <c r="H1345" s="6" t="s">
        <v>53318</v>
      </c>
      <c r="I1345" s="6">
        <v>526.6875</v>
      </c>
      <c r="J1345" s="2">
        <f t="shared" si="20"/>
        <v>43749.510393993049</v>
      </c>
    </row>
    <row r="1346" spans="1:10" x14ac:dyDescent="0.25">
      <c r="A1346" s="7" t="s">
        <v>53319</v>
      </c>
      <c r="B1346" s="8">
        <v>393.75</v>
      </c>
      <c r="C1346" s="8">
        <v>20.478950000000001</v>
      </c>
      <c r="D1346" s="8">
        <v>55</v>
      </c>
      <c r="E1346" s="8">
        <v>0</v>
      </c>
      <c r="F1346" s="8">
        <v>0</v>
      </c>
      <c r="G1346" s="8">
        <v>8</v>
      </c>
      <c r="H1346" s="8" t="s">
        <v>53320</v>
      </c>
      <c r="I1346" s="8">
        <v>526.6875</v>
      </c>
      <c r="J1346" s="3">
        <f t="shared" ref="J1346:J1409" si="21">(H1346/86400000)+25569+(7/24)</f>
        <v>43749.510466678235</v>
      </c>
    </row>
    <row r="1347" spans="1:10" x14ac:dyDescent="0.25">
      <c r="A1347" s="5" t="s">
        <v>53321</v>
      </c>
      <c r="B1347" s="6">
        <v>393.75</v>
      </c>
      <c r="C1347" s="6">
        <v>20.584240000000001</v>
      </c>
      <c r="D1347" s="6">
        <v>55</v>
      </c>
      <c r="E1347" s="6">
        <v>0</v>
      </c>
      <c r="F1347" s="6">
        <v>0</v>
      </c>
      <c r="G1347" s="6">
        <v>6</v>
      </c>
      <c r="H1347" s="6" t="s">
        <v>53322</v>
      </c>
      <c r="I1347" s="6">
        <v>526.6875</v>
      </c>
      <c r="J1347" s="2">
        <f t="shared" si="21"/>
        <v>43749.510537407405</v>
      </c>
    </row>
    <row r="1348" spans="1:10" x14ac:dyDescent="0.25">
      <c r="A1348" s="7" t="s">
        <v>53323</v>
      </c>
      <c r="B1348" s="8">
        <v>393.75</v>
      </c>
      <c r="C1348" s="8">
        <v>20.531590000000001</v>
      </c>
      <c r="D1348" s="8">
        <v>58</v>
      </c>
      <c r="E1348" s="8">
        <v>0</v>
      </c>
      <c r="F1348" s="8">
        <v>0</v>
      </c>
      <c r="G1348" s="8">
        <v>4</v>
      </c>
      <c r="H1348" s="8" t="s">
        <v>53324</v>
      </c>
      <c r="I1348" s="8">
        <v>526.6875</v>
      </c>
      <c r="J1348" s="3">
        <f t="shared" si="21"/>
        <v>43749.510632569443</v>
      </c>
    </row>
    <row r="1349" spans="1:10" x14ac:dyDescent="0.25">
      <c r="A1349" s="5" t="s">
        <v>53325</v>
      </c>
      <c r="B1349" s="6">
        <v>393.75</v>
      </c>
      <c r="C1349" s="6">
        <v>20.531590000000001</v>
      </c>
      <c r="D1349" s="6">
        <v>58</v>
      </c>
      <c r="E1349" s="6">
        <v>0</v>
      </c>
      <c r="F1349" s="6">
        <v>0</v>
      </c>
      <c r="G1349" s="6">
        <v>3</v>
      </c>
      <c r="H1349" s="6" t="s">
        <v>53326</v>
      </c>
      <c r="I1349" s="6">
        <v>526.6875</v>
      </c>
      <c r="J1349" s="2">
        <f t="shared" si="21"/>
        <v>43749.510716342593</v>
      </c>
    </row>
    <row r="1350" spans="1:10" x14ac:dyDescent="0.25">
      <c r="A1350" s="7" t="s">
        <v>53327</v>
      </c>
      <c r="B1350" s="8">
        <v>393.75</v>
      </c>
      <c r="C1350" s="8">
        <v>20.584240000000001</v>
      </c>
      <c r="D1350" s="8">
        <v>57</v>
      </c>
      <c r="E1350" s="8">
        <v>0</v>
      </c>
      <c r="F1350" s="8">
        <v>0</v>
      </c>
      <c r="G1350" s="8">
        <v>2</v>
      </c>
      <c r="H1350" s="8" t="s">
        <v>53328</v>
      </c>
      <c r="I1350" s="8">
        <v>526.6875</v>
      </c>
      <c r="J1350" s="3">
        <f t="shared" si="21"/>
        <v>43749.510787962958</v>
      </c>
    </row>
    <row r="1351" spans="1:10" x14ac:dyDescent="0.25">
      <c r="A1351" s="5" t="s">
        <v>53329</v>
      </c>
      <c r="B1351" s="6">
        <v>393.75</v>
      </c>
      <c r="C1351" s="6">
        <v>20.478950000000001</v>
      </c>
      <c r="D1351" s="6">
        <v>57</v>
      </c>
      <c r="E1351" s="6">
        <v>0</v>
      </c>
      <c r="F1351" s="6">
        <v>0</v>
      </c>
      <c r="G1351" s="6">
        <v>12</v>
      </c>
      <c r="H1351" s="6" t="s">
        <v>53330</v>
      </c>
      <c r="I1351" s="6">
        <v>526.6875</v>
      </c>
      <c r="J1351" s="2">
        <f t="shared" si="21"/>
        <v>43749.510859513888</v>
      </c>
    </row>
    <row r="1352" spans="1:10" x14ac:dyDescent="0.25">
      <c r="A1352" s="7" t="s">
        <v>53331</v>
      </c>
      <c r="B1352" s="8">
        <v>393.75</v>
      </c>
      <c r="C1352" s="8">
        <v>20.531590000000001</v>
      </c>
      <c r="D1352" s="8">
        <v>57</v>
      </c>
      <c r="E1352" s="8">
        <v>0</v>
      </c>
      <c r="F1352" s="8">
        <v>0</v>
      </c>
      <c r="G1352" s="8">
        <v>0</v>
      </c>
      <c r="H1352" s="8" t="s">
        <v>53332</v>
      </c>
      <c r="I1352" s="8">
        <v>526.6875</v>
      </c>
      <c r="J1352" s="3">
        <f t="shared" si="21"/>
        <v>43749.510942939807</v>
      </c>
    </row>
    <row r="1353" spans="1:10" x14ac:dyDescent="0.25">
      <c r="A1353" s="5" t="s">
        <v>53333</v>
      </c>
      <c r="B1353" s="6">
        <v>393.75</v>
      </c>
      <c r="C1353" s="6">
        <v>20.531590000000001</v>
      </c>
      <c r="D1353" s="6">
        <v>58</v>
      </c>
      <c r="E1353" s="6">
        <v>0</v>
      </c>
      <c r="F1353" s="6">
        <v>0</v>
      </c>
      <c r="G1353" s="6">
        <v>2</v>
      </c>
      <c r="H1353" s="6" t="s">
        <v>53334</v>
      </c>
      <c r="I1353" s="6">
        <v>526.6875</v>
      </c>
      <c r="J1353" s="2">
        <f t="shared" si="21"/>
        <v>43749.511026527776</v>
      </c>
    </row>
    <row r="1354" spans="1:10" x14ac:dyDescent="0.25">
      <c r="A1354" s="7" t="s">
        <v>53335</v>
      </c>
      <c r="B1354" s="8">
        <v>393.75</v>
      </c>
      <c r="C1354" s="8">
        <v>20.531590000000001</v>
      </c>
      <c r="D1354" s="8">
        <v>59</v>
      </c>
      <c r="E1354" s="8">
        <v>0</v>
      </c>
      <c r="F1354" s="8">
        <v>0</v>
      </c>
      <c r="G1354" s="8">
        <v>7</v>
      </c>
      <c r="H1354" s="8" t="s">
        <v>53336</v>
      </c>
      <c r="I1354" s="8">
        <v>526.6875</v>
      </c>
      <c r="J1354" s="3">
        <f t="shared" si="21"/>
        <v>43749.511109976847</v>
      </c>
    </row>
    <row r="1355" spans="1:10" x14ac:dyDescent="0.25">
      <c r="A1355" s="5" t="s">
        <v>53337</v>
      </c>
      <c r="B1355" s="6">
        <v>393.75</v>
      </c>
      <c r="C1355" s="6">
        <v>20.531590000000001</v>
      </c>
      <c r="D1355" s="6">
        <v>59</v>
      </c>
      <c r="E1355" s="6">
        <v>0</v>
      </c>
      <c r="F1355" s="6">
        <v>0</v>
      </c>
      <c r="G1355" s="6">
        <v>9</v>
      </c>
      <c r="H1355" s="6" t="s">
        <v>53338</v>
      </c>
      <c r="I1355" s="6">
        <v>526.6875</v>
      </c>
      <c r="J1355" s="2">
        <f t="shared" si="21"/>
        <v>43749.511193425926</v>
      </c>
    </row>
    <row r="1356" spans="1:10" x14ac:dyDescent="0.25">
      <c r="A1356" s="7" t="s">
        <v>53339</v>
      </c>
      <c r="B1356" s="8">
        <v>393.75</v>
      </c>
      <c r="C1356" s="8">
        <v>20.531590000000001</v>
      </c>
      <c r="D1356" s="8">
        <v>58</v>
      </c>
      <c r="E1356" s="8">
        <v>0</v>
      </c>
      <c r="F1356" s="8">
        <v>0</v>
      </c>
      <c r="G1356" s="8">
        <v>10</v>
      </c>
      <c r="H1356" s="8" t="s">
        <v>53340</v>
      </c>
      <c r="I1356" s="8">
        <v>526.6875</v>
      </c>
      <c r="J1356" s="3">
        <f t="shared" si="21"/>
        <v>43749.511265416666</v>
      </c>
    </row>
    <row r="1357" spans="1:10" x14ac:dyDescent="0.25">
      <c r="A1357" s="5" t="s">
        <v>53341</v>
      </c>
      <c r="B1357" s="6">
        <v>393.75</v>
      </c>
      <c r="C1357" s="6">
        <v>20.531590000000001</v>
      </c>
      <c r="D1357" s="6">
        <v>58</v>
      </c>
      <c r="E1357" s="6">
        <v>0</v>
      </c>
      <c r="F1357" s="6">
        <v>0</v>
      </c>
      <c r="G1357" s="6">
        <v>5</v>
      </c>
      <c r="H1357" s="6" t="s">
        <v>53342</v>
      </c>
      <c r="I1357" s="6">
        <v>526.6875</v>
      </c>
      <c r="J1357" s="2">
        <f t="shared" si="21"/>
        <v>43749.511336585645</v>
      </c>
    </row>
    <row r="1358" spans="1:10" x14ac:dyDescent="0.25">
      <c r="A1358" s="7" t="s">
        <v>53343</v>
      </c>
      <c r="B1358" s="8">
        <v>393.75</v>
      </c>
      <c r="C1358" s="8">
        <v>20.531590000000001</v>
      </c>
      <c r="D1358" s="8">
        <v>58</v>
      </c>
      <c r="E1358" s="8">
        <v>0</v>
      </c>
      <c r="F1358" s="8">
        <v>0</v>
      </c>
      <c r="G1358" s="8">
        <v>0</v>
      </c>
      <c r="H1358" s="8" t="s">
        <v>53344</v>
      </c>
      <c r="I1358" s="8">
        <v>526.6875</v>
      </c>
      <c r="J1358" s="3">
        <f t="shared" si="21"/>
        <v>43749.511420277777</v>
      </c>
    </row>
    <row r="1359" spans="1:10" x14ac:dyDescent="0.25">
      <c r="A1359" s="5" t="s">
        <v>53345</v>
      </c>
      <c r="B1359" s="6">
        <v>393.75</v>
      </c>
      <c r="C1359" s="6">
        <v>20.584240000000001</v>
      </c>
      <c r="D1359" s="6">
        <v>58</v>
      </c>
      <c r="E1359" s="6">
        <v>0</v>
      </c>
      <c r="F1359" s="6">
        <v>0</v>
      </c>
      <c r="G1359" s="6">
        <v>10</v>
      </c>
      <c r="H1359" s="6" t="s">
        <v>53346</v>
      </c>
      <c r="I1359" s="6">
        <v>526.6875</v>
      </c>
      <c r="J1359" s="2">
        <f t="shared" si="21"/>
        <v>43749.511491689809</v>
      </c>
    </row>
    <row r="1360" spans="1:10" x14ac:dyDescent="0.25">
      <c r="A1360" s="7" t="s">
        <v>53347</v>
      </c>
      <c r="B1360" s="8">
        <v>393.75</v>
      </c>
      <c r="C1360" s="8">
        <v>20.478950000000001</v>
      </c>
      <c r="D1360" s="8">
        <v>57</v>
      </c>
      <c r="E1360" s="8">
        <v>0</v>
      </c>
      <c r="F1360" s="8">
        <v>0</v>
      </c>
      <c r="G1360" s="8">
        <v>7</v>
      </c>
      <c r="H1360" s="8" t="s">
        <v>53348</v>
      </c>
      <c r="I1360" s="8">
        <v>526.6875</v>
      </c>
      <c r="J1360" s="3">
        <f t="shared" si="21"/>
        <v>43749.51157490741</v>
      </c>
    </row>
    <row r="1361" spans="1:10" x14ac:dyDescent="0.25">
      <c r="A1361" s="5" t="s">
        <v>53349</v>
      </c>
      <c r="B1361" s="6">
        <v>393.75</v>
      </c>
      <c r="C1361" s="6">
        <v>20.478950000000001</v>
      </c>
      <c r="D1361" s="6">
        <v>57</v>
      </c>
      <c r="E1361" s="6">
        <v>0</v>
      </c>
      <c r="F1361" s="6">
        <v>0</v>
      </c>
      <c r="G1361" s="6">
        <v>4</v>
      </c>
      <c r="H1361" s="6" t="s">
        <v>53350</v>
      </c>
      <c r="I1361" s="6">
        <v>526.6875</v>
      </c>
      <c r="J1361" s="2">
        <f t="shared" si="21"/>
        <v>43749.511646666666</v>
      </c>
    </row>
    <row r="1362" spans="1:10" x14ac:dyDescent="0.25">
      <c r="A1362" s="7" t="s">
        <v>53351</v>
      </c>
      <c r="B1362" s="8">
        <v>393.75</v>
      </c>
      <c r="C1362" s="8">
        <v>20.531590000000001</v>
      </c>
      <c r="D1362" s="8">
        <v>54</v>
      </c>
      <c r="E1362" s="8">
        <v>0</v>
      </c>
      <c r="F1362" s="8">
        <v>0</v>
      </c>
      <c r="G1362" s="8">
        <v>7</v>
      </c>
      <c r="H1362" s="8" t="s">
        <v>53352</v>
      </c>
      <c r="I1362" s="8">
        <v>526.6875</v>
      </c>
      <c r="J1362" s="3">
        <f t="shared" si="21"/>
        <v>43749.511730231483</v>
      </c>
    </row>
    <row r="1363" spans="1:10" x14ac:dyDescent="0.25">
      <c r="A1363" s="5" t="s">
        <v>53353</v>
      </c>
      <c r="B1363" s="6">
        <v>393.75</v>
      </c>
      <c r="C1363" s="6">
        <v>20.531590000000001</v>
      </c>
      <c r="D1363" s="6">
        <v>55</v>
      </c>
      <c r="E1363" s="6">
        <v>0</v>
      </c>
      <c r="F1363" s="6">
        <v>0</v>
      </c>
      <c r="G1363" s="6">
        <v>9</v>
      </c>
      <c r="H1363" s="6" t="s">
        <v>53354</v>
      </c>
      <c r="I1363" s="6">
        <v>526.6875</v>
      </c>
      <c r="J1363" s="2">
        <f t="shared" si="21"/>
        <v>43749.51180177083</v>
      </c>
    </row>
    <row r="1364" spans="1:10" x14ac:dyDescent="0.25">
      <c r="A1364" s="7" t="s">
        <v>53355</v>
      </c>
      <c r="B1364" s="8">
        <v>393.75</v>
      </c>
      <c r="C1364" s="8">
        <v>20.531590000000001</v>
      </c>
      <c r="D1364" s="8">
        <v>55</v>
      </c>
      <c r="E1364" s="8">
        <v>0</v>
      </c>
      <c r="F1364" s="8">
        <v>0</v>
      </c>
      <c r="G1364" s="8">
        <v>9</v>
      </c>
      <c r="H1364" s="8" t="s">
        <v>53356</v>
      </c>
      <c r="I1364" s="8">
        <v>526.6875</v>
      </c>
      <c r="J1364" s="3">
        <f t="shared" si="21"/>
        <v>43749.511873298608</v>
      </c>
    </row>
    <row r="1365" spans="1:10" x14ac:dyDescent="0.25">
      <c r="A1365" s="5" t="s">
        <v>53357</v>
      </c>
      <c r="B1365" s="6">
        <v>393.75</v>
      </c>
      <c r="C1365" s="6">
        <v>20.531590000000001</v>
      </c>
      <c r="D1365" s="6">
        <v>55</v>
      </c>
      <c r="E1365" s="6">
        <v>0</v>
      </c>
      <c r="F1365" s="6">
        <v>0</v>
      </c>
      <c r="G1365" s="6">
        <v>4</v>
      </c>
      <c r="H1365" s="6" t="s">
        <v>53358</v>
      </c>
      <c r="I1365" s="6">
        <v>526.6875</v>
      </c>
      <c r="J1365" s="2">
        <f t="shared" si="21"/>
        <v>43749.511956493057</v>
      </c>
    </row>
    <row r="1366" spans="1:10" x14ac:dyDescent="0.25">
      <c r="A1366" s="7" t="s">
        <v>53359</v>
      </c>
      <c r="B1366" s="8">
        <v>393.75</v>
      </c>
      <c r="C1366" s="8">
        <v>20.531590000000001</v>
      </c>
      <c r="D1366" s="8">
        <v>55</v>
      </c>
      <c r="E1366" s="8">
        <v>0</v>
      </c>
      <c r="F1366" s="8">
        <v>0</v>
      </c>
      <c r="G1366" s="8">
        <v>7</v>
      </c>
      <c r="H1366" s="8" t="s">
        <v>53360</v>
      </c>
      <c r="I1366" s="8">
        <v>526.6875</v>
      </c>
      <c r="J1366" s="3">
        <f t="shared" si="21"/>
        <v>43749.512028379628</v>
      </c>
    </row>
    <row r="1367" spans="1:10" x14ac:dyDescent="0.25">
      <c r="A1367" s="5" t="s">
        <v>53361</v>
      </c>
      <c r="B1367" s="6">
        <v>393.75</v>
      </c>
      <c r="C1367" s="6">
        <v>20.531590000000001</v>
      </c>
      <c r="D1367" s="6">
        <v>56</v>
      </c>
      <c r="E1367" s="6">
        <v>0</v>
      </c>
      <c r="F1367" s="6">
        <v>0</v>
      </c>
      <c r="G1367" s="6">
        <v>11</v>
      </c>
      <c r="H1367" s="6" t="s">
        <v>53362</v>
      </c>
      <c r="I1367" s="6">
        <v>526.6875</v>
      </c>
      <c r="J1367" s="2">
        <f t="shared" si="21"/>
        <v>43749.512112048607</v>
      </c>
    </row>
    <row r="1368" spans="1:10" x14ac:dyDescent="0.25">
      <c r="A1368" s="7" t="s">
        <v>53363</v>
      </c>
      <c r="B1368" s="8">
        <v>393.75</v>
      </c>
      <c r="C1368" s="8">
        <v>20.531590000000001</v>
      </c>
      <c r="D1368" s="8">
        <v>56</v>
      </c>
      <c r="E1368" s="8">
        <v>0</v>
      </c>
      <c r="F1368" s="8">
        <v>0</v>
      </c>
      <c r="G1368" s="8">
        <v>6</v>
      </c>
      <c r="H1368" s="8" t="s">
        <v>53364</v>
      </c>
      <c r="I1368" s="8">
        <v>526.6875</v>
      </c>
      <c r="J1368" s="3">
        <f t="shared" si="21"/>
        <v>43749.512195277777</v>
      </c>
    </row>
    <row r="1369" spans="1:10" x14ac:dyDescent="0.25">
      <c r="A1369" s="5" t="s">
        <v>53365</v>
      </c>
      <c r="B1369" s="6">
        <v>393.75</v>
      </c>
      <c r="C1369" s="6">
        <v>20.584240000000001</v>
      </c>
      <c r="D1369" s="6">
        <v>56</v>
      </c>
      <c r="E1369" s="6">
        <v>0</v>
      </c>
      <c r="F1369" s="6">
        <v>0</v>
      </c>
      <c r="G1369" s="6">
        <v>3</v>
      </c>
      <c r="H1369" s="6" t="s">
        <v>53366</v>
      </c>
      <c r="I1369" s="6">
        <v>526.5</v>
      </c>
      <c r="J1369" s="2">
        <f t="shared" si="21"/>
        <v>43749.512266909718</v>
      </c>
    </row>
    <row r="1370" spans="1:10" x14ac:dyDescent="0.25">
      <c r="A1370" s="7" t="s">
        <v>53367</v>
      </c>
      <c r="B1370" s="8">
        <v>393.75</v>
      </c>
      <c r="C1370" s="8">
        <v>20.531590000000001</v>
      </c>
      <c r="D1370" s="8">
        <v>55</v>
      </c>
      <c r="E1370" s="8">
        <v>0</v>
      </c>
      <c r="F1370" s="8">
        <v>0</v>
      </c>
      <c r="G1370" s="8">
        <v>7</v>
      </c>
      <c r="H1370" s="8" t="s">
        <v>53368</v>
      </c>
      <c r="I1370" s="8">
        <v>526.6875</v>
      </c>
      <c r="J1370" s="3">
        <f t="shared" si="21"/>
        <v>43749.51235034722</v>
      </c>
    </row>
    <row r="1371" spans="1:10" x14ac:dyDescent="0.25">
      <c r="A1371" s="5" t="s">
        <v>53369</v>
      </c>
      <c r="B1371" s="6">
        <v>393.75</v>
      </c>
      <c r="C1371" s="6">
        <v>20.531590000000001</v>
      </c>
      <c r="D1371" s="6">
        <v>56</v>
      </c>
      <c r="E1371" s="6">
        <v>0</v>
      </c>
      <c r="F1371" s="6">
        <v>0</v>
      </c>
      <c r="G1371" s="6">
        <v>0</v>
      </c>
      <c r="H1371" s="6" t="s">
        <v>53370</v>
      </c>
      <c r="I1371" s="6">
        <v>526.6875</v>
      </c>
      <c r="J1371" s="2">
        <f t="shared" si="21"/>
        <v>43749.512433807868</v>
      </c>
    </row>
    <row r="1372" spans="1:10" x14ac:dyDescent="0.25">
      <c r="A1372" s="7" t="s">
        <v>53371</v>
      </c>
      <c r="B1372" s="8">
        <v>393.75</v>
      </c>
      <c r="C1372" s="8">
        <v>20.531590000000001</v>
      </c>
      <c r="D1372" s="8">
        <v>57</v>
      </c>
      <c r="E1372" s="8">
        <v>0</v>
      </c>
      <c r="F1372" s="8">
        <v>0</v>
      </c>
      <c r="G1372" s="8">
        <v>0</v>
      </c>
      <c r="H1372" s="8" t="s">
        <v>53372</v>
      </c>
      <c r="I1372" s="8">
        <v>526.6875</v>
      </c>
      <c r="J1372" s="3">
        <f t="shared" si="21"/>
        <v>43749.512529340274</v>
      </c>
    </row>
    <row r="1373" spans="1:10" x14ac:dyDescent="0.25">
      <c r="A1373" s="5" t="s">
        <v>53373</v>
      </c>
      <c r="B1373" s="6">
        <v>393.75</v>
      </c>
      <c r="C1373" s="6">
        <v>20.531590000000001</v>
      </c>
      <c r="D1373" s="6">
        <v>56</v>
      </c>
      <c r="E1373" s="6">
        <v>0</v>
      </c>
      <c r="F1373" s="6">
        <v>0</v>
      </c>
      <c r="G1373" s="6">
        <v>9</v>
      </c>
      <c r="H1373" s="6" t="s">
        <v>53374</v>
      </c>
      <c r="I1373" s="6">
        <v>526.6875</v>
      </c>
      <c r="J1373" s="2">
        <f t="shared" si="21"/>
        <v>43749.512612777777</v>
      </c>
    </row>
    <row r="1374" spans="1:10" x14ac:dyDescent="0.25">
      <c r="A1374" s="7" t="s">
        <v>53375</v>
      </c>
      <c r="B1374" s="8">
        <v>393.75</v>
      </c>
      <c r="C1374" s="8">
        <v>20.531590000000001</v>
      </c>
      <c r="D1374" s="8">
        <v>58</v>
      </c>
      <c r="E1374" s="8">
        <v>0</v>
      </c>
      <c r="F1374" s="8">
        <v>0</v>
      </c>
      <c r="G1374" s="8">
        <v>3</v>
      </c>
      <c r="H1374" s="8" t="s">
        <v>53376</v>
      </c>
      <c r="I1374" s="8">
        <v>526.6875</v>
      </c>
      <c r="J1374" s="3">
        <f t="shared" si="21"/>
        <v>43749.512696377315</v>
      </c>
    </row>
    <row r="1375" spans="1:10" x14ac:dyDescent="0.25">
      <c r="A1375" s="5" t="s">
        <v>53377</v>
      </c>
      <c r="B1375" s="6">
        <v>393.75</v>
      </c>
      <c r="C1375" s="6">
        <v>20.531590000000001</v>
      </c>
      <c r="D1375" s="6">
        <v>59</v>
      </c>
      <c r="E1375" s="6">
        <v>0</v>
      </c>
      <c r="F1375" s="6">
        <v>0</v>
      </c>
      <c r="G1375" s="6">
        <v>2</v>
      </c>
      <c r="H1375" s="6" t="s">
        <v>53378</v>
      </c>
      <c r="I1375" s="6">
        <v>526.6875</v>
      </c>
      <c r="J1375" s="2">
        <f t="shared" si="21"/>
        <v>43749.512779791665</v>
      </c>
    </row>
    <row r="1376" spans="1:10" x14ac:dyDescent="0.25">
      <c r="A1376" s="7" t="s">
        <v>53379</v>
      </c>
      <c r="B1376" s="8">
        <v>415.625</v>
      </c>
      <c r="C1376" s="8">
        <v>20.531590000000001</v>
      </c>
      <c r="D1376" s="8">
        <v>57</v>
      </c>
      <c r="E1376" s="8">
        <v>0</v>
      </c>
      <c r="F1376" s="8">
        <v>0</v>
      </c>
      <c r="G1376" s="8">
        <v>7</v>
      </c>
      <c r="H1376" s="8" t="s">
        <v>53380</v>
      </c>
      <c r="I1376" s="8">
        <v>533.0625</v>
      </c>
      <c r="J1376" s="3">
        <f t="shared" si="21"/>
        <v>43749.512863252312</v>
      </c>
    </row>
    <row r="1377" spans="1:10" x14ac:dyDescent="0.25">
      <c r="A1377" s="5" t="s">
        <v>53381</v>
      </c>
      <c r="B1377" s="6">
        <v>393.75</v>
      </c>
      <c r="C1377" s="6">
        <v>20.584240000000001</v>
      </c>
      <c r="D1377" s="6">
        <v>57</v>
      </c>
      <c r="E1377" s="6">
        <v>0</v>
      </c>
      <c r="F1377" s="6">
        <v>0</v>
      </c>
      <c r="G1377" s="6">
        <v>3</v>
      </c>
      <c r="H1377" s="6" t="s">
        <v>53382</v>
      </c>
      <c r="I1377" s="6">
        <v>526.6875</v>
      </c>
      <c r="J1377" s="2">
        <f t="shared" si="21"/>
        <v>43749.512946701383</v>
      </c>
    </row>
    <row r="1378" spans="1:10" x14ac:dyDescent="0.25">
      <c r="A1378" s="7" t="s">
        <v>53383</v>
      </c>
      <c r="B1378" s="8">
        <v>393.75</v>
      </c>
      <c r="C1378" s="8">
        <v>20.478950000000001</v>
      </c>
      <c r="D1378" s="8">
        <v>53</v>
      </c>
      <c r="E1378" s="8">
        <v>0</v>
      </c>
      <c r="F1378" s="8">
        <v>0</v>
      </c>
      <c r="G1378" s="8">
        <v>0</v>
      </c>
      <c r="H1378" s="8" t="s">
        <v>53384</v>
      </c>
      <c r="I1378" s="8">
        <v>526.6875</v>
      </c>
      <c r="J1378" s="3">
        <f t="shared" si="21"/>
        <v>43749.513030243055</v>
      </c>
    </row>
    <row r="1379" spans="1:10" x14ac:dyDescent="0.25">
      <c r="A1379" s="5" t="s">
        <v>53385</v>
      </c>
      <c r="B1379" s="6">
        <v>393.75</v>
      </c>
      <c r="C1379" s="6">
        <v>20.584240000000001</v>
      </c>
      <c r="D1379" s="6">
        <v>54</v>
      </c>
      <c r="E1379" s="6">
        <v>0</v>
      </c>
      <c r="F1379" s="6">
        <v>0</v>
      </c>
      <c r="G1379" s="6">
        <v>0</v>
      </c>
      <c r="H1379" s="6" t="s">
        <v>53386</v>
      </c>
      <c r="I1379" s="6">
        <v>526.6875</v>
      </c>
      <c r="J1379" s="2">
        <f t="shared" si="21"/>
        <v>43749.513113703702</v>
      </c>
    </row>
    <row r="1380" spans="1:10" x14ac:dyDescent="0.25">
      <c r="A1380" s="7" t="s">
        <v>53387</v>
      </c>
      <c r="B1380" s="8">
        <v>393.75</v>
      </c>
      <c r="C1380" s="8">
        <v>20.478950000000001</v>
      </c>
      <c r="D1380" s="8">
        <v>54</v>
      </c>
      <c r="E1380" s="8">
        <v>0</v>
      </c>
      <c r="F1380" s="8">
        <v>0</v>
      </c>
      <c r="G1380" s="8">
        <v>5</v>
      </c>
      <c r="H1380" s="8" t="s">
        <v>53388</v>
      </c>
      <c r="I1380" s="8">
        <v>526.6875</v>
      </c>
      <c r="J1380" s="3">
        <f t="shared" si="21"/>
        <v>43749.513185358795</v>
      </c>
    </row>
    <row r="1381" spans="1:10" x14ac:dyDescent="0.25">
      <c r="A1381" s="5" t="s">
        <v>53389</v>
      </c>
      <c r="B1381" s="6">
        <v>393.75</v>
      </c>
      <c r="C1381" s="6">
        <v>20.531590000000001</v>
      </c>
      <c r="D1381" s="6">
        <v>55</v>
      </c>
      <c r="E1381" s="6">
        <v>0</v>
      </c>
      <c r="F1381" s="6">
        <v>0</v>
      </c>
      <c r="G1381" s="6">
        <v>6</v>
      </c>
      <c r="H1381" s="6" t="s">
        <v>53390</v>
      </c>
      <c r="I1381" s="6">
        <v>526.6875</v>
      </c>
      <c r="J1381" s="2">
        <f t="shared" si="21"/>
        <v>43749.513268796298</v>
      </c>
    </row>
    <row r="1382" spans="1:10" x14ac:dyDescent="0.25">
      <c r="A1382" s="7" t="s">
        <v>53391</v>
      </c>
      <c r="B1382" s="8">
        <v>393.75</v>
      </c>
      <c r="C1382" s="8">
        <v>20.478950000000001</v>
      </c>
      <c r="D1382" s="8">
        <v>54</v>
      </c>
      <c r="E1382" s="8">
        <v>0</v>
      </c>
      <c r="F1382" s="8">
        <v>0</v>
      </c>
      <c r="G1382" s="8">
        <v>9</v>
      </c>
      <c r="H1382" s="8" t="s">
        <v>53392</v>
      </c>
      <c r="I1382" s="8">
        <v>526.6875</v>
      </c>
      <c r="J1382" s="3">
        <f t="shared" si="21"/>
        <v>43749.513352256945</v>
      </c>
    </row>
    <row r="1383" spans="1:10" x14ac:dyDescent="0.25">
      <c r="A1383" s="5" t="s">
        <v>53393</v>
      </c>
      <c r="B1383" s="6">
        <v>393.75</v>
      </c>
      <c r="C1383" s="6">
        <v>20.531590000000001</v>
      </c>
      <c r="D1383" s="6">
        <v>56</v>
      </c>
      <c r="E1383" s="6">
        <v>0</v>
      </c>
      <c r="F1383" s="6">
        <v>0</v>
      </c>
      <c r="G1383" s="6">
        <v>5</v>
      </c>
      <c r="H1383" s="6" t="s">
        <v>53394</v>
      </c>
      <c r="I1383" s="6">
        <v>526.6875</v>
      </c>
      <c r="J1383" s="2">
        <f t="shared" si="21"/>
        <v>43749.513435821755</v>
      </c>
    </row>
    <row r="1384" spans="1:10" x14ac:dyDescent="0.25">
      <c r="A1384" s="7" t="s">
        <v>53395</v>
      </c>
      <c r="B1384" s="8">
        <v>393.75</v>
      </c>
      <c r="C1384" s="8">
        <v>20.478950000000001</v>
      </c>
      <c r="D1384" s="8">
        <v>58</v>
      </c>
      <c r="E1384" s="8">
        <v>0</v>
      </c>
      <c r="F1384" s="8">
        <v>0</v>
      </c>
      <c r="G1384" s="8">
        <v>10</v>
      </c>
      <c r="H1384" s="8" t="s">
        <v>53396</v>
      </c>
      <c r="I1384" s="8">
        <v>526.6875</v>
      </c>
      <c r="J1384" s="3">
        <f t="shared" si="21"/>
        <v>43749.51351950231</v>
      </c>
    </row>
    <row r="1385" spans="1:10" x14ac:dyDescent="0.25">
      <c r="A1385" s="5" t="s">
        <v>53397</v>
      </c>
      <c r="B1385" s="6">
        <v>393.75</v>
      </c>
      <c r="C1385" s="6">
        <v>20.531590000000001</v>
      </c>
      <c r="D1385" s="6">
        <v>58</v>
      </c>
      <c r="E1385" s="6">
        <v>0</v>
      </c>
      <c r="F1385" s="6">
        <v>0</v>
      </c>
      <c r="G1385" s="6">
        <v>6</v>
      </c>
      <c r="H1385" s="6" t="s">
        <v>53398</v>
      </c>
      <c r="I1385" s="6">
        <v>526.6875</v>
      </c>
      <c r="J1385" s="2">
        <f t="shared" si="21"/>
        <v>43749.51360273148</v>
      </c>
    </row>
    <row r="1386" spans="1:10" x14ac:dyDescent="0.25">
      <c r="A1386" s="7" t="s">
        <v>53399</v>
      </c>
      <c r="B1386" s="8">
        <v>393.75</v>
      </c>
      <c r="C1386" s="8">
        <v>20.531590000000001</v>
      </c>
      <c r="D1386" s="8">
        <v>57</v>
      </c>
      <c r="E1386" s="8">
        <v>0</v>
      </c>
      <c r="F1386" s="8">
        <v>0</v>
      </c>
      <c r="G1386" s="8">
        <v>5</v>
      </c>
      <c r="H1386" s="8" t="s">
        <v>53400</v>
      </c>
      <c r="I1386" s="8">
        <v>526.6875</v>
      </c>
      <c r="J1386" s="3">
        <f t="shared" si="21"/>
        <v>43749.513690775457</v>
      </c>
    </row>
    <row r="1387" spans="1:10" x14ac:dyDescent="0.25">
      <c r="A1387" s="5" t="s">
        <v>53401</v>
      </c>
      <c r="B1387" s="6">
        <v>393.75</v>
      </c>
      <c r="C1387" s="6">
        <v>20.478950000000001</v>
      </c>
      <c r="D1387" s="6">
        <v>58</v>
      </c>
      <c r="E1387" s="6">
        <v>0</v>
      </c>
      <c r="F1387" s="6">
        <v>0</v>
      </c>
      <c r="G1387" s="6">
        <v>15</v>
      </c>
      <c r="H1387" s="6" t="s">
        <v>53402</v>
      </c>
      <c r="I1387" s="6">
        <v>526.6875</v>
      </c>
      <c r="J1387" s="2">
        <f t="shared" si="21"/>
        <v>43749.513769733792</v>
      </c>
    </row>
    <row r="1388" spans="1:10" x14ac:dyDescent="0.25">
      <c r="A1388" s="7" t="s">
        <v>53403</v>
      </c>
      <c r="B1388" s="8">
        <v>415.625</v>
      </c>
      <c r="C1388" s="8">
        <v>20.531590000000001</v>
      </c>
      <c r="D1388" s="8">
        <v>58</v>
      </c>
      <c r="E1388" s="8">
        <v>0</v>
      </c>
      <c r="F1388" s="8">
        <v>0</v>
      </c>
      <c r="G1388" s="8">
        <v>20</v>
      </c>
      <c r="H1388" s="8" t="s">
        <v>53404</v>
      </c>
      <c r="I1388" s="8">
        <v>533.0625</v>
      </c>
      <c r="J1388" s="3">
        <f t="shared" si="21"/>
        <v>43749.513852951386</v>
      </c>
    </row>
    <row r="1389" spans="1:10" x14ac:dyDescent="0.25">
      <c r="A1389" s="5" t="s">
        <v>53405</v>
      </c>
      <c r="B1389" s="6">
        <v>393.75</v>
      </c>
      <c r="C1389" s="6">
        <v>20.531590000000001</v>
      </c>
      <c r="D1389" s="6">
        <v>58</v>
      </c>
      <c r="E1389" s="6">
        <v>0</v>
      </c>
      <c r="F1389" s="6">
        <v>0</v>
      </c>
      <c r="G1389" s="6">
        <v>2</v>
      </c>
      <c r="H1389" s="6" t="s">
        <v>53406</v>
      </c>
      <c r="I1389" s="6">
        <v>526.6875</v>
      </c>
      <c r="J1389" s="2">
        <f t="shared" si="21"/>
        <v>43749.513924479164</v>
      </c>
    </row>
    <row r="1390" spans="1:10" x14ac:dyDescent="0.25">
      <c r="A1390" s="7" t="s">
        <v>53407</v>
      </c>
      <c r="B1390" s="8">
        <v>393.75</v>
      </c>
      <c r="C1390" s="8">
        <v>20.531590000000001</v>
      </c>
      <c r="D1390" s="8">
        <v>57</v>
      </c>
      <c r="E1390" s="8">
        <v>0</v>
      </c>
      <c r="F1390" s="8">
        <v>0</v>
      </c>
      <c r="G1390" s="8">
        <v>19</v>
      </c>
      <c r="H1390" s="8" t="s">
        <v>53408</v>
      </c>
      <c r="I1390" s="8">
        <v>526.6875</v>
      </c>
      <c r="J1390" s="3">
        <f t="shared" si="21"/>
        <v>43749.51400826389</v>
      </c>
    </row>
    <row r="1391" spans="1:10" x14ac:dyDescent="0.25">
      <c r="A1391" s="5" t="s">
        <v>53409</v>
      </c>
      <c r="B1391" s="6">
        <v>412.5</v>
      </c>
      <c r="C1391" s="6">
        <v>20.584240000000001</v>
      </c>
      <c r="D1391" s="6">
        <v>57</v>
      </c>
      <c r="E1391" s="6">
        <v>0</v>
      </c>
      <c r="F1391" s="6">
        <v>0</v>
      </c>
      <c r="G1391" s="6">
        <v>14</v>
      </c>
      <c r="H1391" s="6" t="s">
        <v>53410</v>
      </c>
      <c r="I1391" s="6">
        <v>532.3125</v>
      </c>
      <c r="J1391" s="2">
        <f t="shared" si="21"/>
        <v>43749.514081886569</v>
      </c>
    </row>
    <row r="1392" spans="1:10" x14ac:dyDescent="0.25">
      <c r="A1392" s="7" t="s">
        <v>53411</v>
      </c>
      <c r="B1392" s="8">
        <v>393.75</v>
      </c>
      <c r="C1392" s="8">
        <v>20.531590000000001</v>
      </c>
      <c r="D1392" s="8">
        <v>57</v>
      </c>
      <c r="E1392" s="8">
        <v>0</v>
      </c>
      <c r="F1392" s="8">
        <v>0</v>
      </c>
      <c r="G1392" s="8">
        <v>16</v>
      </c>
      <c r="H1392" s="8" t="s">
        <v>53412</v>
      </c>
      <c r="I1392" s="8">
        <v>526.6875</v>
      </c>
      <c r="J1392" s="3">
        <f t="shared" si="21"/>
        <v>43749.514163252308</v>
      </c>
    </row>
    <row r="1393" spans="1:10" x14ac:dyDescent="0.25">
      <c r="A1393" s="5" t="s">
        <v>53413</v>
      </c>
      <c r="B1393" s="6">
        <v>393.75</v>
      </c>
      <c r="C1393" s="6">
        <v>20.584240000000001</v>
      </c>
      <c r="D1393" s="6">
        <v>56</v>
      </c>
      <c r="E1393" s="6">
        <v>0</v>
      </c>
      <c r="F1393" s="6">
        <v>0</v>
      </c>
      <c r="G1393" s="6">
        <v>7</v>
      </c>
      <c r="H1393" s="6" t="s">
        <v>53414</v>
      </c>
      <c r="I1393" s="6">
        <v>526.6875</v>
      </c>
      <c r="J1393" s="2">
        <f t="shared" si="21"/>
        <v>43749.514235115734</v>
      </c>
    </row>
    <row r="1394" spans="1:10" x14ac:dyDescent="0.25">
      <c r="A1394" s="7" t="s">
        <v>53415</v>
      </c>
      <c r="B1394" s="8">
        <v>393.75</v>
      </c>
      <c r="C1394" s="8">
        <v>20.584240000000001</v>
      </c>
      <c r="D1394" s="8">
        <v>57</v>
      </c>
      <c r="E1394" s="8">
        <v>0</v>
      </c>
      <c r="F1394" s="8">
        <v>0</v>
      </c>
      <c r="G1394" s="8">
        <v>13</v>
      </c>
      <c r="H1394" s="8" t="s">
        <v>53416</v>
      </c>
      <c r="I1394" s="8">
        <v>526.6875</v>
      </c>
      <c r="J1394" s="3">
        <f t="shared" si="21"/>
        <v>43749.514306423611</v>
      </c>
    </row>
    <row r="1395" spans="1:10" x14ac:dyDescent="0.25">
      <c r="A1395" s="5" t="s">
        <v>53417</v>
      </c>
      <c r="B1395" s="6">
        <v>393.75</v>
      </c>
      <c r="C1395" s="6">
        <v>20.478950000000001</v>
      </c>
      <c r="D1395" s="6">
        <v>56</v>
      </c>
      <c r="E1395" s="6">
        <v>0</v>
      </c>
      <c r="F1395" s="6">
        <v>0</v>
      </c>
      <c r="G1395" s="6">
        <v>9</v>
      </c>
      <c r="H1395" s="6" t="s">
        <v>53418</v>
      </c>
      <c r="I1395" s="6">
        <v>526.6875</v>
      </c>
      <c r="J1395" s="2">
        <f t="shared" si="21"/>
        <v>43749.514389756943</v>
      </c>
    </row>
    <row r="1396" spans="1:10" x14ac:dyDescent="0.25">
      <c r="A1396" s="7" t="s">
        <v>53419</v>
      </c>
      <c r="B1396" s="8">
        <v>393.75</v>
      </c>
      <c r="C1396" s="8">
        <v>20.531590000000001</v>
      </c>
      <c r="D1396" s="8">
        <v>56</v>
      </c>
      <c r="E1396" s="8">
        <v>0</v>
      </c>
      <c r="F1396" s="8">
        <v>0</v>
      </c>
      <c r="G1396" s="8">
        <v>19</v>
      </c>
      <c r="H1396" s="8" t="s">
        <v>53420</v>
      </c>
      <c r="I1396" s="8">
        <v>526.5</v>
      </c>
      <c r="J1396" s="3">
        <f t="shared" si="21"/>
        <v>43749.514473414347</v>
      </c>
    </row>
    <row r="1397" spans="1:10" x14ac:dyDescent="0.25">
      <c r="A1397" s="5" t="s">
        <v>53421</v>
      </c>
      <c r="B1397" s="6">
        <v>412.5</v>
      </c>
      <c r="C1397" s="6">
        <v>20.478950000000001</v>
      </c>
      <c r="D1397" s="6">
        <v>56</v>
      </c>
      <c r="E1397" s="6">
        <v>0</v>
      </c>
      <c r="F1397" s="6">
        <v>0</v>
      </c>
      <c r="G1397" s="6">
        <v>21</v>
      </c>
      <c r="H1397" s="6" t="s">
        <v>53422</v>
      </c>
      <c r="I1397" s="6">
        <v>532.3125</v>
      </c>
      <c r="J1397" s="2">
        <f t="shared" si="21"/>
        <v>43749.514544837955</v>
      </c>
    </row>
    <row r="1398" spans="1:10" x14ac:dyDescent="0.25">
      <c r="A1398" s="7" t="s">
        <v>53423</v>
      </c>
      <c r="B1398" s="8">
        <v>393.75</v>
      </c>
      <c r="C1398" s="8">
        <v>20.531590000000001</v>
      </c>
      <c r="D1398" s="8">
        <v>53</v>
      </c>
      <c r="E1398" s="8">
        <v>0</v>
      </c>
      <c r="F1398" s="8">
        <v>0</v>
      </c>
      <c r="G1398" s="8">
        <v>14</v>
      </c>
      <c r="H1398" s="8" t="s">
        <v>53424</v>
      </c>
      <c r="I1398" s="8">
        <v>526.6875</v>
      </c>
      <c r="J1398" s="3">
        <f t="shared" si="21"/>
        <v>43749.514628425924</v>
      </c>
    </row>
    <row r="1399" spans="1:10" x14ac:dyDescent="0.25">
      <c r="A1399" s="5" t="s">
        <v>53425</v>
      </c>
      <c r="B1399" s="6">
        <v>393.75</v>
      </c>
      <c r="C1399" s="6">
        <v>20.478950000000001</v>
      </c>
      <c r="D1399" s="6">
        <v>53</v>
      </c>
      <c r="E1399" s="6">
        <v>0</v>
      </c>
      <c r="F1399" s="6">
        <v>0</v>
      </c>
      <c r="G1399" s="6">
        <v>14</v>
      </c>
      <c r="H1399" s="6" t="s">
        <v>53426</v>
      </c>
      <c r="I1399" s="6">
        <v>526.6875</v>
      </c>
      <c r="J1399" s="2">
        <f t="shared" si="21"/>
        <v>43749.514712094904</v>
      </c>
    </row>
    <row r="1400" spans="1:10" x14ac:dyDescent="0.25">
      <c r="A1400" s="7" t="s">
        <v>53427</v>
      </c>
      <c r="B1400" s="8">
        <v>393.75</v>
      </c>
      <c r="C1400" s="8">
        <v>20.531590000000001</v>
      </c>
      <c r="D1400" s="8">
        <v>55</v>
      </c>
      <c r="E1400" s="8">
        <v>0</v>
      </c>
      <c r="F1400" s="8">
        <v>0</v>
      </c>
      <c r="G1400" s="8">
        <v>5</v>
      </c>
      <c r="H1400" s="8" t="s">
        <v>53428</v>
      </c>
      <c r="I1400" s="8">
        <v>526.6875</v>
      </c>
      <c r="J1400" s="3">
        <f t="shared" si="21"/>
        <v>43749.514795428237</v>
      </c>
    </row>
    <row r="1401" spans="1:10" x14ac:dyDescent="0.25">
      <c r="A1401" s="5" t="s">
        <v>53429</v>
      </c>
      <c r="B1401" s="6">
        <v>393.75</v>
      </c>
      <c r="C1401" s="6">
        <v>20.531590000000001</v>
      </c>
      <c r="D1401" s="6">
        <v>56</v>
      </c>
      <c r="E1401" s="6">
        <v>0</v>
      </c>
      <c r="F1401" s="6">
        <v>0</v>
      </c>
      <c r="G1401" s="6">
        <v>8</v>
      </c>
      <c r="H1401" s="6" t="s">
        <v>53430</v>
      </c>
      <c r="I1401" s="6">
        <v>526.6875</v>
      </c>
      <c r="J1401" s="2">
        <f t="shared" si="21"/>
        <v>43749.51487864583</v>
      </c>
    </row>
    <row r="1402" spans="1:10" x14ac:dyDescent="0.25">
      <c r="A1402" s="7" t="s">
        <v>53431</v>
      </c>
      <c r="B1402" s="8">
        <v>412.5</v>
      </c>
      <c r="C1402" s="8">
        <v>20.531590000000001</v>
      </c>
      <c r="D1402" s="8">
        <v>52</v>
      </c>
      <c r="E1402" s="8">
        <v>0</v>
      </c>
      <c r="F1402" s="8">
        <v>0</v>
      </c>
      <c r="G1402" s="8">
        <v>18</v>
      </c>
      <c r="H1402" s="8" t="s">
        <v>53432</v>
      </c>
      <c r="I1402" s="8">
        <v>532.875</v>
      </c>
      <c r="J1402" s="3">
        <f t="shared" si="21"/>
        <v>43749.514950509256</v>
      </c>
    </row>
    <row r="1403" spans="1:10" x14ac:dyDescent="0.25">
      <c r="A1403" s="5" t="s">
        <v>53433</v>
      </c>
      <c r="B1403" s="6">
        <v>393.75</v>
      </c>
      <c r="C1403" s="6">
        <v>20.531590000000001</v>
      </c>
      <c r="D1403" s="6">
        <v>52</v>
      </c>
      <c r="E1403" s="6">
        <v>0</v>
      </c>
      <c r="F1403" s="6">
        <v>0</v>
      </c>
      <c r="G1403" s="6">
        <v>17</v>
      </c>
      <c r="H1403" s="6" t="s">
        <v>53434</v>
      </c>
      <c r="I1403" s="6">
        <v>526.6875</v>
      </c>
      <c r="J1403" s="2">
        <f t="shared" si="21"/>
        <v>43749.515039062499</v>
      </c>
    </row>
    <row r="1404" spans="1:10" x14ac:dyDescent="0.25">
      <c r="A1404" s="7" t="s">
        <v>53435</v>
      </c>
      <c r="B1404" s="8">
        <v>393.75</v>
      </c>
      <c r="C1404" s="8">
        <v>20.531590000000001</v>
      </c>
      <c r="D1404" s="8">
        <v>52</v>
      </c>
      <c r="E1404" s="8">
        <v>0</v>
      </c>
      <c r="F1404" s="8">
        <v>0</v>
      </c>
      <c r="G1404" s="8">
        <v>9</v>
      </c>
      <c r="H1404" s="8" t="s">
        <v>53436</v>
      </c>
      <c r="I1404" s="8">
        <v>526.6875</v>
      </c>
      <c r="J1404" s="3">
        <f t="shared" si="21"/>
        <v>43749.51511753472</v>
      </c>
    </row>
    <row r="1405" spans="1:10" x14ac:dyDescent="0.25">
      <c r="A1405" s="5" t="s">
        <v>53437</v>
      </c>
      <c r="B1405" s="6">
        <v>393.75</v>
      </c>
      <c r="C1405" s="6">
        <v>20.531590000000001</v>
      </c>
      <c r="D1405" s="6">
        <v>52</v>
      </c>
      <c r="E1405" s="6">
        <v>0</v>
      </c>
      <c r="F1405" s="6">
        <v>0</v>
      </c>
      <c r="G1405" s="6">
        <v>18</v>
      </c>
      <c r="H1405" s="6" t="s">
        <v>53438</v>
      </c>
      <c r="I1405" s="6">
        <v>526.6875</v>
      </c>
      <c r="J1405" s="2">
        <f t="shared" si="21"/>
        <v>43749.515212847218</v>
      </c>
    </row>
    <row r="1406" spans="1:10" x14ac:dyDescent="0.25">
      <c r="A1406" s="7" t="s">
        <v>53439</v>
      </c>
      <c r="B1406" s="8">
        <v>393.75</v>
      </c>
      <c r="C1406" s="8">
        <v>20.584240000000001</v>
      </c>
      <c r="D1406" s="8">
        <v>52</v>
      </c>
      <c r="E1406" s="8">
        <v>0</v>
      </c>
      <c r="F1406" s="8">
        <v>0</v>
      </c>
      <c r="G1406" s="8">
        <v>15</v>
      </c>
      <c r="H1406" s="8" t="s">
        <v>53440</v>
      </c>
      <c r="I1406" s="8">
        <v>526.6875</v>
      </c>
      <c r="J1406" s="3">
        <f t="shared" si="21"/>
        <v>43749.515284351852</v>
      </c>
    </row>
    <row r="1407" spans="1:10" x14ac:dyDescent="0.25">
      <c r="A1407" s="5" t="s">
        <v>53441</v>
      </c>
      <c r="B1407" s="6">
        <v>412.5</v>
      </c>
      <c r="C1407" s="6">
        <v>20.531590000000001</v>
      </c>
      <c r="D1407" s="6">
        <v>51</v>
      </c>
      <c r="E1407" s="6">
        <v>0</v>
      </c>
      <c r="F1407" s="6">
        <v>0</v>
      </c>
      <c r="G1407" s="6">
        <v>8</v>
      </c>
      <c r="H1407" s="6" t="s">
        <v>53442</v>
      </c>
      <c r="I1407" s="6">
        <v>532.3125</v>
      </c>
      <c r="J1407" s="2">
        <f t="shared" si="21"/>
        <v>43749.515367569438</v>
      </c>
    </row>
    <row r="1408" spans="1:10" x14ac:dyDescent="0.25">
      <c r="A1408" s="7" t="s">
        <v>53443</v>
      </c>
      <c r="B1408" s="8">
        <v>393.75</v>
      </c>
      <c r="C1408" s="8">
        <v>20.478950000000001</v>
      </c>
      <c r="D1408" s="8">
        <v>51</v>
      </c>
      <c r="E1408" s="8">
        <v>0</v>
      </c>
      <c r="F1408" s="8">
        <v>0</v>
      </c>
      <c r="G1408" s="8">
        <v>15</v>
      </c>
      <c r="H1408" s="8" t="s">
        <v>53444</v>
      </c>
      <c r="I1408" s="8">
        <v>526.6875</v>
      </c>
      <c r="J1408" s="3">
        <f t="shared" si="21"/>
        <v>43749.515439456016</v>
      </c>
    </row>
    <row r="1409" spans="1:10" x14ac:dyDescent="0.25">
      <c r="A1409" s="5" t="s">
        <v>53445</v>
      </c>
      <c r="B1409" s="6">
        <v>393.75</v>
      </c>
      <c r="C1409" s="6">
        <v>20.478950000000001</v>
      </c>
      <c r="D1409" s="6">
        <v>53</v>
      </c>
      <c r="E1409" s="6">
        <v>0</v>
      </c>
      <c r="F1409" s="6">
        <v>0</v>
      </c>
      <c r="G1409" s="6">
        <v>15</v>
      </c>
      <c r="H1409" s="6" t="s">
        <v>53446</v>
      </c>
      <c r="I1409" s="6">
        <v>526.6875</v>
      </c>
      <c r="J1409" s="2">
        <f t="shared" si="21"/>
        <v>43749.515523032409</v>
      </c>
    </row>
    <row r="1410" spans="1:10" x14ac:dyDescent="0.25">
      <c r="A1410" s="7" t="s">
        <v>53447</v>
      </c>
      <c r="B1410" s="8">
        <v>412.5</v>
      </c>
      <c r="C1410" s="8">
        <v>20.478950000000001</v>
      </c>
      <c r="D1410" s="8">
        <v>53</v>
      </c>
      <c r="E1410" s="8">
        <v>0</v>
      </c>
      <c r="F1410" s="8">
        <v>0</v>
      </c>
      <c r="G1410" s="8">
        <v>12</v>
      </c>
      <c r="H1410" s="8" t="s">
        <v>53448</v>
      </c>
      <c r="I1410" s="8">
        <v>532.3125</v>
      </c>
      <c r="J1410" s="3">
        <f t="shared" ref="J1410:J1473" si="22">(H1410/86400000)+25569+(7/24)</f>
        <v>43749.515594548611</v>
      </c>
    </row>
    <row r="1411" spans="1:10" x14ac:dyDescent="0.25">
      <c r="A1411" s="5" t="s">
        <v>53449</v>
      </c>
      <c r="B1411" s="6">
        <v>393.75</v>
      </c>
      <c r="C1411" s="6">
        <v>20.478950000000001</v>
      </c>
      <c r="D1411" s="6">
        <v>52</v>
      </c>
      <c r="E1411" s="6">
        <v>0</v>
      </c>
      <c r="F1411" s="6">
        <v>0</v>
      </c>
      <c r="G1411" s="6">
        <v>0</v>
      </c>
      <c r="H1411" s="6" t="s">
        <v>53450</v>
      </c>
      <c r="I1411" s="6">
        <v>526.6875</v>
      </c>
      <c r="J1411" s="2">
        <f t="shared" si="22"/>
        <v>43749.515677986106</v>
      </c>
    </row>
    <row r="1412" spans="1:10" x14ac:dyDescent="0.25">
      <c r="A1412" s="7" t="s">
        <v>53451</v>
      </c>
      <c r="B1412" s="8">
        <v>393.75</v>
      </c>
      <c r="C1412" s="8">
        <v>20.584240000000001</v>
      </c>
      <c r="D1412" s="8">
        <v>54</v>
      </c>
      <c r="E1412" s="8">
        <v>0</v>
      </c>
      <c r="F1412" s="8">
        <v>0</v>
      </c>
      <c r="G1412" s="8">
        <v>7</v>
      </c>
      <c r="H1412" s="8" t="s">
        <v>53452</v>
      </c>
      <c r="I1412" s="8">
        <v>526.5</v>
      </c>
      <c r="J1412" s="3">
        <f t="shared" si="22"/>
        <v>43749.515749305552</v>
      </c>
    </row>
    <row r="1413" spans="1:10" x14ac:dyDescent="0.25">
      <c r="A1413" s="5" t="s">
        <v>53453</v>
      </c>
      <c r="B1413" s="6">
        <v>415.625</v>
      </c>
      <c r="C1413" s="6">
        <v>20.531590000000001</v>
      </c>
      <c r="D1413" s="6">
        <v>54</v>
      </c>
      <c r="E1413" s="6">
        <v>0</v>
      </c>
      <c r="F1413" s="6">
        <v>0</v>
      </c>
      <c r="G1413" s="6">
        <v>4</v>
      </c>
      <c r="H1413" s="6" t="s">
        <v>53454</v>
      </c>
      <c r="I1413" s="6">
        <v>533.625</v>
      </c>
      <c r="J1413" s="2">
        <f t="shared" si="22"/>
        <v>43749.515821157409</v>
      </c>
    </row>
    <row r="1414" spans="1:10" x14ac:dyDescent="0.25">
      <c r="A1414" s="7" t="s">
        <v>53455</v>
      </c>
      <c r="B1414" s="8">
        <v>393.75</v>
      </c>
      <c r="C1414" s="8">
        <v>20.584240000000001</v>
      </c>
      <c r="D1414" s="8">
        <v>54</v>
      </c>
      <c r="E1414" s="8">
        <v>0</v>
      </c>
      <c r="F1414" s="8">
        <v>0</v>
      </c>
      <c r="G1414" s="8">
        <v>4</v>
      </c>
      <c r="H1414" s="8" t="s">
        <v>53456</v>
      </c>
      <c r="I1414" s="8">
        <v>526.5</v>
      </c>
      <c r="J1414" s="3">
        <f t="shared" si="22"/>
        <v>43749.515892569441</v>
      </c>
    </row>
    <row r="1415" spans="1:10" x14ac:dyDescent="0.25">
      <c r="A1415" s="5" t="s">
        <v>53457</v>
      </c>
      <c r="B1415" s="6">
        <v>393.75</v>
      </c>
      <c r="C1415" s="6">
        <v>20.584240000000001</v>
      </c>
      <c r="D1415" s="6">
        <v>54</v>
      </c>
      <c r="E1415" s="6">
        <v>0</v>
      </c>
      <c r="F1415" s="6">
        <v>0</v>
      </c>
      <c r="G1415" s="6">
        <v>5</v>
      </c>
      <c r="H1415" s="6" t="s">
        <v>53458</v>
      </c>
      <c r="I1415" s="6">
        <v>526.6875</v>
      </c>
      <c r="J1415" s="2">
        <f t="shared" si="22"/>
        <v>43749.515963888887</v>
      </c>
    </row>
    <row r="1416" spans="1:10" x14ac:dyDescent="0.25">
      <c r="A1416" s="7" t="s">
        <v>53459</v>
      </c>
      <c r="B1416" s="8">
        <v>393.75</v>
      </c>
      <c r="C1416" s="8">
        <v>20.584240000000001</v>
      </c>
      <c r="D1416" s="8">
        <v>52</v>
      </c>
      <c r="E1416" s="8">
        <v>0</v>
      </c>
      <c r="F1416" s="8">
        <v>0</v>
      </c>
      <c r="G1416" s="8">
        <v>0</v>
      </c>
      <c r="H1416" s="8" t="s">
        <v>53460</v>
      </c>
      <c r="I1416" s="8">
        <v>526.6875</v>
      </c>
      <c r="J1416" s="3">
        <f t="shared" si="22"/>
        <v>43749.516035763889</v>
      </c>
    </row>
    <row r="1417" spans="1:10" x14ac:dyDescent="0.25">
      <c r="A1417" s="5" t="s">
        <v>53461</v>
      </c>
      <c r="B1417" s="6">
        <v>393.75</v>
      </c>
      <c r="C1417" s="6">
        <v>20.584240000000001</v>
      </c>
      <c r="D1417" s="6">
        <v>53</v>
      </c>
      <c r="E1417" s="6">
        <v>0</v>
      </c>
      <c r="F1417" s="6">
        <v>0</v>
      </c>
      <c r="G1417" s="6">
        <v>0</v>
      </c>
      <c r="H1417" s="6" t="s">
        <v>53462</v>
      </c>
      <c r="I1417" s="6">
        <v>526.6875</v>
      </c>
      <c r="J1417" s="2">
        <f t="shared" si="22"/>
        <v>43749.516119444444</v>
      </c>
    </row>
    <row r="1418" spans="1:10" x14ac:dyDescent="0.25">
      <c r="A1418" s="7" t="s">
        <v>53463</v>
      </c>
      <c r="B1418" s="8">
        <v>393.75</v>
      </c>
      <c r="C1418" s="8">
        <v>20.531590000000001</v>
      </c>
      <c r="D1418" s="8">
        <v>53</v>
      </c>
      <c r="E1418" s="8">
        <v>0</v>
      </c>
      <c r="F1418" s="8">
        <v>0</v>
      </c>
      <c r="G1418" s="8">
        <v>0</v>
      </c>
      <c r="H1418" s="8" t="s">
        <v>53464</v>
      </c>
      <c r="I1418" s="8">
        <v>526.6875</v>
      </c>
      <c r="J1418" s="3">
        <f t="shared" si="22"/>
        <v>43749.516202754625</v>
      </c>
    </row>
    <row r="1419" spans="1:10" x14ac:dyDescent="0.25">
      <c r="A1419" s="5" t="s">
        <v>53465</v>
      </c>
      <c r="B1419" s="6">
        <v>393.75</v>
      </c>
      <c r="C1419" s="6">
        <v>20.584240000000001</v>
      </c>
      <c r="D1419" s="6">
        <v>53</v>
      </c>
      <c r="E1419" s="6">
        <v>0</v>
      </c>
      <c r="F1419" s="6">
        <v>0</v>
      </c>
      <c r="G1419" s="6">
        <v>7</v>
      </c>
      <c r="H1419" s="6" t="s">
        <v>53466</v>
      </c>
      <c r="I1419" s="6">
        <v>526.6875</v>
      </c>
      <c r="J1419" s="2">
        <f t="shared" si="22"/>
        <v>43749.516274444446</v>
      </c>
    </row>
    <row r="1420" spans="1:10" x14ac:dyDescent="0.25">
      <c r="A1420" s="7" t="s">
        <v>53467</v>
      </c>
      <c r="B1420" s="8">
        <v>412.5</v>
      </c>
      <c r="C1420" s="8">
        <v>20.531590000000001</v>
      </c>
      <c r="D1420" s="8">
        <v>52</v>
      </c>
      <c r="E1420" s="8">
        <v>0</v>
      </c>
      <c r="F1420" s="8">
        <v>0</v>
      </c>
      <c r="G1420" s="8">
        <v>0</v>
      </c>
      <c r="H1420" s="8" t="s">
        <v>53468</v>
      </c>
      <c r="I1420" s="8">
        <v>532.3125</v>
      </c>
      <c r="J1420" s="3">
        <f t="shared" si="22"/>
        <v>43749.516357858789</v>
      </c>
    </row>
    <row r="1421" spans="1:10" x14ac:dyDescent="0.25">
      <c r="A1421" s="5" t="s">
        <v>53469</v>
      </c>
      <c r="B1421" s="6">
        <v>393.75</v>
      </c>
      <c r="C1421" s="6">
        <v>20.531590000000001</v>
      </c>
      <c r="D1421" s="6">
        <v>53</v>
      </c>
      <c r="E1421" s="6">
        <v>0</v>
      </c>
      <c r="F1421" s="6">
        <v>0</v>
      </c>
      <c r="G1421" s="6">
        <v>5</v>
      </c>
      <c r="H1421" s="6" t="s">
        <v>53470</v>
      </c>
      <c r="I1421" s="6">
        <v>526.6875</v>
      </c>
      <c r="J1421" s="2">
        <f t="shared" si="22"/>
        <v>43749.516441296299</v>
      </c>
    </row>
    <row r="1422" spans="1:10" x14ac:dyDescent="0.25">
      <c r="A1422" s="7" t="s">
        <v>53471</v>
      </c>
      <c r="B1422" s="8">
        <v>393.75</v>
      </c>
      <c r="C1422" s="8">
        <v>20.531590000000001</v>
      </c>
      <c r="D1422" s="8">
        <v>53</v>
      </c>
      <c r="E1422" s="8">
        <v>0</v>
      </c>
      <c r="F1422" s="8">
        <v>0</v>
      </c>
      <c r="G1422" s="8">
        <v>0</v>
      </c>
      <c r="H1422" s="8" t="s">
        <v>53472</v>
      </c>
      <c r="I1422" s="8">
        <v>526.6875</v>
      </c>
      <c r="J1422" s="3">
        <f t="shared" si="22"/>
        <v>43749.516512847222</v>
      </c>
    </row>
    <row r="1423" spans="1:10" x14ac:dyDescent="0.25">
      <c r="A1423" s="5" t="s">
        <v>53473</v>
      </c>
      <c r="B1423" s="6">
        <v>393.75</v>
      </c>
      <c r="C1423" s="6">
        <v>20.531590000000001</v>
      </c>
      <c r="D1423" s="6">
        <v>53</v>
      </c>
      <c r="E1423" s="6">
        <v>0</v>
      </c>
      <c r="F1423" s="6">
        <v>0</v>
      </c>
      <c r="G1423" s="6">
        <v>8</v>
      </c>
      <c r="H1423" s="6" t="s">
        <v>53474</v>
      </c>
      <c r="I1423" s="6">
        <v>526.6875</v>
      </c>
      <c r="J1423" s="2">
        <f t="shared" si="22"/>
        <v>43749.516584479163</v>
      </c>
    </row>
    <row r="1424" spans="1:10" x14ac:dyDescent="0.25">
      <c r="A1424" s="7" t="s">
        <v>53475</v>
      </c>
      <c r="B1424" s="8">
        <v>393.75</v>
      </c>
      <c r="C1424" s="8">
        <v>20.478950000000001</v>
      </c>
      <c r="D1424" s="8">
        <v>53</v>
      </c>
      <c r="E1424" s="8">
        <v>0</v>
      </c>
      <c r="F1424" s="8">
        <v>0</v>
      </c>
      <c r="G1424" s="8">
        <v>10</v>
      </c>
      <c r="H1424" s="8" t="s">
        <v>53476</v>
      </c>
      <c r="I1424" s="8">
        <v>526.6875</v>
      </c>
      <c r="J1424" s="3">
        <f t="shared" si="22"/>
        <v>43749.516656006941</v>
      </c>
    </row>
    <row r="1425" spans="1:10" x14ac:dyDescent="0.25">
      <c r="A1425" s="5" t="s">
        <v>53477</v>
      </c>
      <c r="B1425" s="6">
        <v>393.75</v>
      </c>
      <c r="C1425" s="6">
        <v>20.531590000000001</v>
      </c>
      <c r="D1425" s="6">
        <v>53</v>
      </c>
      <c r="E1425" s="6">
        <v>0</v>
      </c>
      <c r="F1425" s="6">
        <v>0</v>
      </c>
      <c r="G1425" s="6">
        <v>4</v>
      </c>
      <c r="H1425" s="6" t="s">
        <v>53478</v>
      </c>
      <c r="I1425" s="6">
        <v>526.6875</v>
      </c>
      <c r="J1425" s="2">
        <f t="shared" si="22"/>
        <v>43749.516727638889</v>
      </c>
    </row>
    <row r="1426" spans="1:10" x14ac:dyDescent="0.25">
      <c r="A1426" s="7" t="s">
        <v>53479</v>
      </c>
      <c r="B1426" s="8">
        <v>393.75</v>
      </c>
      <c r="C1426" s="8">
        <v>20.531590000000001</v>
      </c>
      <c r="D1426" s="8">
        <v>53</v>
      </c>
      <c r="E1426" s="8">
        <v>0</v>
      </c>
      <c r="F1426" s="8">
        <v>0</v>
      </c>
      <c r="G1426" s="8">
        <v>6</v>
      </c>
      <c r="H1426" s="8" t="s">
        <v>53480</v>
      </c>
      <c r="I1426" s="8">
        <v>526.6875</v>
      </c>
      <c r="J1426" s="3">
        <f t="shared" si="22"/>
        <v>43749.516799189812</v>
      </c>
    </row>
    <row r="1427" spans="1:10" x14ac:dyDescent="0.25">
      <c r="A1427" s="5" t="s">
        <v>53481</v>
      </c>
      <c r="B1427" s="6">
        <v>412.5</v>
      </c>
      <c r="C1427" s="6">
        <v>20.531590000000001</v>
      </c>
      <c r="D1427" s="6">
        <v>54</v>
      </c>
      <c r="E1427" s="6">
        <v>0</v>
      </c>
      <c r="F1427" s="6">
        <v>0</v>
      </c>
      <c r="G1427" s="6">
        <v>3</v>
      </c>
      <c r="H1427" s="6" t="s">
        <v>53482</v>
      </c>
      <c r="I1427" s="6">
        <v>532.3125</v>
      </c>
      <c r="J1427" s="2">
        <f t="shared" si="22"/>
        <v>43749.516870717591</v>
      </c>
    </row>
    <row r="1428" spans="1:10" x14ac:dyDescent="0.25">
      <c r="A1428" s="7" t="s">
        <v>53483</v>
      </c>
      <c r="B1428" s="8">
        <v>393.75</v>
      </c>
      <c r="C1428" s="8">
        <v>20.584240000000001</v>
      </c>
      <c r="D1428" s="8">
        <v>54</v>
      </c>
      <c r="E1428" s="8">
        <v>0</v>
      </c>
      <c r="F1428" s="8">
        <v>0</v>
      </c>
      <c r="G1428" s="8">
        <v>0</v>
      </c>
      <c r="H1428" s="8" t="s">
        <v>53484</v>
      </c>
      <c r="I1428" s="8">
        <v>526.6875</v>
      </c>
      <c r="J1428" s="3">
        <f t="shared" si="22"/>
        <v>43749.516954282408</v>
      </c>
    </row>
    <row r="1429" spans="1:10" x14ac:dyDescent="0.25">
      <c r="A1429" s="5" t="s">
        <v>53485</v>
      </c>
      <c r="B1429" s="6">
        <v>393.75</v>
      </c>
      <c r="C1429" s="6">
        <v>20.531590000000001</v>
      </c>
      <c r="D1429" s="6">
        <v>54</v>
      </c>
      <c r="E1429" s="6">
        <v>0</v>
      </c>
      <c r="F1429" s="6">
        <v>0</v>
      </c>
      <c r="G1429" s="6">
        <v>0</v>
      </c>
      <c r="H1429" s="6" t="s">
        <v>53486</v>
      </c>
      <c r="I1429" s="6">
        <v>526.6875</v>
      </c>
      <c r="J1429" s="2">
        <f t="shared" si="22"/>
        <v>43749.51702569444</v>
      </c>
    </row>
    <row r="1430" spans="1:10" x14ac:dyDescent="0.25">
      <c r="A1430" s="7" t="s">
        <v>53487</v>
      </c>
      <c r="B1430" s="8">
        <v>393.75</v>
      </c>
      <c r="C1430" s="8">
        <v>20.531590000000001</v>
      </c>
      <c r="D1430" s="8">
        <v>54</v>
      </c>
      <c r="E1430" s="8">
        <v>0</v>
      </c>
      <c r="F1430" s="8">
        <v>0</v>
      </c>
      <c r="G1430" s="8">
        <v>9</v>
      </c>
      <c r="H1430" s="8" t="s">
        <v>53488</v>
      </c>
      <c r="I1430" s="8">
        <v>526.6875</v>
      </c>
      <c r="J1430" s="3">
        <f t="shared" si="22"/>
        <v>43749.517109247681</v>
      </c>
    </row>
    <row r="1431" spans="1:10" x14ac:dyDescent="0.25">
      <c r="A1431" s="5" t="s">
        <v>53489</v>
      </c>
      <c r="B1431" s="6">
        <v>393.75</v>
      </c>
      <c r="C1431" s="6">
        <v>20.478950000000001</v>
      </c>
      <c r="D1431" s="6">
        <v>55</v>
      </c>
      <c r="E1431" s="6">
        <v>0</v>
      </c>
      <c r="F1431" s="6">
        <v>0</v>
      </c>
      <c r="G1431" s="6">
        <v>13</v>
      </c>
      <c r="H1431" s="6" t="s">
        <v>53490</v>
      </c>
      <c r="I1431" s="6">
        <v>526.6875</v>
      </c>
      <c r="J1431" s="2">
        <f t="shared" si="22"/>
        <v>43749.51718077546</v>
      </c>
    </row>
    <row r="1432" spans="1:10" x14ac:dyDescent="0.25">
      <c r="A1432" s="7" t="s">
        <v>53491</v>
      </c>
      <c r="B1432" s="8">
        <v>393.75</v>
      </c>
      <c r="C1432" s="8">
        <v>20.531590000000001</v>
      </c>
      <c r="D1432" s="8">
        <v>55</v>
      </c>
      <c r="E1432" s="8">
        <v>0</v>
      </c>
      <c r="F1432" s="8">
        <v>0</v>
      </c>
      <c r="G1432" s="8">
        <v>0</v>
      </c>
      <c r="H1432" s="8" t="s">
        <v>53492</v>
      </c>
      <c r="I1432" s="8">
        <v>526.6875</v>
      </c>
      <c r="J1432" s="3">
        <f t="shared" si="22"/>
        <v>43749.517252407408</v>
      </c>
    </row>
    <row r="1433" spans="1:10" x14ac:dyDescent="0.25">
      <c r="A1433" s="5" t="s">
        <v>53493</v>
      </c>
      <c r="B1433" s="6">
        <v>393.75</v>
      </c>
      <c r="C1433" s="6">
        <v>20.531590000000001</v>
      </c>
      <c r="D1433" s="6">
        <v>56</v>
      </c>
      <c r="E1433" s="6">
        <v>0</v>
      </c>
      <c r="F1433" s="6">
        <v>0</v>
      </c>
      <c r="G1433" s="6">
        <v>4</v>
      </c>
      <c r="H1433" s="6" t="s">
        <v>53494</v>
      </c>
      <c r="I1433" s="6">
        <v>526.6875</v>
      </c>
      <c r="J1433" s="2">
        <f t="shared" si="22"/>
        <v>43749.517323935179</v>
      </c>
    </row>
    <row r="1434" spans="1:10" x14ac:dyDescent="0.25">
      <c r="A1434" s="7" t="s">
        <v>53495</v>
      </c>
      <c r="B1434" s="8">
        <v>412.5</v>
      </c>
      <c r="C1434" s="8">
        <v>20.584240000000001</v>
      </c>
      <c r="D1434" s="8">
        <v>54</v>
      </c>
      <c r="E1434" s="8">
        <v>0</v>
      </c>
      <c r="F1434" s="8">
        <v>0</v>
      </c>
      <c r="G1434" s="8">
        <v>5</v>
      </c>
      <c r="H1434" s="8" t="s">
        <v>53496</v>
      </c>
      <c r="I1434" s="8">
        <v>532.3125</v>
      </c>
      <c r="J1434" s="3">
        <f t="shared" si="22"/>
        <v>43749.517395578696</v>
      </c>
    </row>
    <row r="1435" spans="1:10" x14ac:dyDescent="0.25">
      <c r="A1435" s="5" t="s">
        <v>53497</v>
      </c>
      <c r="B1435" s="6">
        <v>393.75</v>
      </c>
      <c r="C1435" s="6">
        <v>20.531590000000001</v>
      </c>
      <c r="D1435" s="6">
        <v>54</v>
      </c>
      <c r="E1435" s="6">
        <v>0</v>
      </c>
      <c r="F1435" s="6">
        <v>0</v>
      </c>
      <c r="G1435" s="6">
        <v>12</v>
      </c>
      <c r="H1435" s="6" t="s">
        <v>53498</v>
      </c>
      <c r="I1435" s="6">
        <v>526.6875</v>
      </c>
      <c r="J1435" s="2">
        <f t="shared" si="22"/>
        <v>43749.517467106481</v>
      </c>
    </row>
    <row r="1436" spans="1:10" x14ac:dyDescent="0.25">
      <c r="A1436" s="7" t="s">
        <v>53499</v>
      </c>
      <c r="B1436" s="8">
        <v>393.75</v>
      </c>
      <c r="C1436" s="8">
        <v>20.584240000000001</v>
      </c>
      <c r="D1436" s="8">
        <v>54</v>
      </c>
      <c r="E1436" s="8">
        <v>0</v>
      </c>
      <c r="F1436" s="8">
        <v>0</v>
      </c>
      <c r="G1436" s="8">
        <v>8</v>
      </c>
      <c r="H1436" s="8" t="s">
        <v>53500</v>
      </c>
      <c r="I1436" s="8">
        <v>526.6875</v>
      </c>
      <c r="J1436" s="3">
        <f t="shared" si="22"/>
        <v>43749.517538657405</v>
      </c>
    </row>
    <row r="1437" spans="1:10" x14ac:dyDescent="0.25">
      <c r="A1437" s="5" t="s">
        <v>53501</v>
      </c>
      <c r="B1437" s="6">
        <v>390.625</v>
      </c>
      <c r="C1437" s="6">
        <v>20.478950000000001</v>
      </c>
      <c r="D1437" s="6">
        <v>54</v>
      </c>
      <c r="E1437" s="6">
        <v>0</v>
      </c>
      <c r="F1437" s="6">
        <v>0</v>
      </c>
      <c r="G1437" s="6">
        <v>5</v>
      </c>
      <c r="H1437" s="6" t="s">
        <v>53502</v>
      </c>
      <c r="I1437" s="6">
        <v>525.9375</v>
      </c>
      <c r="J1437" s="2">
        <f t="shared" si="22"/>
        <v>43749.517610162038</v>
      </c>
    </row>
    <row r="1438" spans="1:10" x14ac:dyDescent="0.25">
      <c r="A1438" s="7" t="s">
        <v>53503</v>
      </c>
      <c r="B1438" s="8">
        <v>393.75</v>
      </c>
      <c r="C1438" s="8">
        <v>20.531590000000001</v>
      </c>
      <c r="D1438" s="8">
        <v>54</v>
      </c>
      <c r="E1438" s="8">
        <v>0</v>
      </c>
      <c r="F1438" s="8">
        <v>0</v>
      </c>
      <c r="G1438" s="8">
        <v>11</v>
      </c>
      <c r="H1438" s="8" t="s">
        <v>53504</v>
      </c>
      <c r="I1438" s="8">
        <v>526.6875</v>
      </c>
      <c r="J1438" s="3">
        <f t="shared" si="22"/>
        <v>43749.517697569441</v>
      </c>
    </row>
    <row r="1439" spans="1:10" x14ac:dyDescent="0.25">
      <c r="A1439" s="5" t="s">
        <v>53505</v>
      </c>
      <c r="B1439" s="6">
        <v>393.75</v>
      </c>
      <c r="C1439" s="6">
        <v>20.531590000000001</v>
      </c>
      <c r="D1439" s="6">
        <v>54</v>
      </c>
      <c r="E1439" s="6">
        <v>0</v>
      </c>
      <c r="F1439" s="6">
        <v>0</v>
      </c>
      <c r="G1439" s="6">
        <v>17</v>
      </c>
      <c r="H1439" s="6" t="s">
        <v>53506</v>
      </c>
      <c r="I1439" s="6">
        <v>526.6875</v>
      </c>
      <c r="J1439" s="2">
        <f t="shared" si="22"/>
        <v>43749.517776886576</v>
      </c>
    </row>
    <row r="1440" spans="1:10" x14ac:dyDescent="0.25">
      <c r="A1440" s="7" t="s">
        <v>53507</v>
      </c>
      <c r="B1440" s="8">
        <v>393.75</v>
      </c>
      <c r="C1440" s="8">
        <v>20.531590000000001</v>
      </c>
      <c r="D1440" s="8">
        <v>52</v>
      </c>
      <c r="E1440" s="8">
        <v>0</v>
      </c>
      <c r="F1440" s="8">
        <v>0</v>
      </c>
      <c r="G1440" s="8">
        <v>19</v>
      </c>
      <c r="H1440" s="8" t="s">
        <v>53508</v>
      </c>
      <c r="I1440" s="8">
        <v>526.6875</v>
      </c>
      <c r="J1440" s="3">
        <f t="shared" si="22"/>
        <v>43749.517860902772</v>
      </c>
    </row>
    <row r="1441" spans="1:10" x14ac:dyDescent="0.25">
      <c r="A1441" s="5" t="s">
        <v>53509</v>
      </c>
      <c r="B1441" s="6">
        <v>393.75</v>
      </c>
      <c r="C1441" s="6">
        <v>20.531590000000001</v>
      </c>
      <c r="D1441" s="6">
        <v>52</v>
      </c>
      <c r="E1441" s="6">
        <v>0</v>
      </c>
      <c r="F1441" s="6">
        <v>0</v>
      </c>
      <c r="G1441" s="6">
        <v>14</v>
      </c>
      <c r="H1441" s="6" t="s">
        <v>53510</v>
      </c>
      <c r="I1441" s="6">
        <v>526.6875</v>
      </c>
      <c r="J1441" s="2">
        <f t="shared" si="22"/>
        <v>43749.517932337963</v>
      </c>
    </row>
    <row r="1442" spans="1:10" x14ac:dyDescent="0.25">
      <c r="A1442" s="7" t="s">
        <v>53511</v>
      </c>
      <c r="B1442" s="8">
        <v>393.75</v>
      </c>
      <c r="C1442" s="8">
        <v>20.531590000000001</v>
      </c>
      <c r="D1442" s="8">
        <v>54</v>
      </c>
      <c r="E1442" s="8">
        <v>0</v>
      </c>
      <c r="F1442" s="8">
        <v>0</v>
      </c>
      <c r="G1442" s="8">
        <v>14</v>
      </c>
      <c r="H1442" s="8" t="s">
        <v>53512</v>
      </c>
      <c r="I1442" s="8">
        <v>526.6875</v>
      </c>
      <c r="J1442" s="3">
        <f t="shared" si="22"/>
        <v>43749.51801565972</v>
      </c>
    </row>
    <row r="1443" spans="1:10" x14ac:dyDescent="0.25">
      <c r="A1443" s="5" t="s">
        <v>53513</v>
      </c>
      <c r="B1443" s="6">
        <v>393.75</v>
      </c>
      <c r="C1443" s="6">
        <v>20.584240000000001</v>
      </c>
      <c r="D1443" s="6">
        <v>54</v>
      </c>
      <c r="E1443" s="6">
        <v>0</v>
      </c>
      <c r="F1443" s="6">
        <v>0</v>
      </c>
      <c r="G1443" s="6">
        <v>10</v>
      </c>
      <c r="H1443" s="6" t="s">
        <v>53514</v>
      </c>
      <c r="I1443" s="6">
        <v>526.6875</v>
      </c>
      <c r="J1443" s="2">
        <f t="shared" si="22"/>
        <v>43749.518099351852</v>
      </c>
    </row>
    <row r="1444" spans="1:10" x14ac:dyDescent="0.25">
      <c r="A1444" s="7" t="s">
        <v>53515</v>
      </c>
      <c r="B1444" s="8">
        <v>393.75</v>
      </c>
      <c r="C1444" s="8">
        <v>20.531590000000001</v>
      </c>
      <c r="D1444" s="8">
        <v>54</v>
      </c>
      <c r="E1444" s="8">
        <v>0</v>
      </c>
      <c r="F1444" s="8">
        <v>0</v>
      </c>
      <c r="G1444" s="8">
        <v>7</v>
      </c>
      <c r="H1444" s="8" t="s">
        <v>53516</v>
      </c>
      <c r="I1444" s="8">
        <v>526.6875</v>
      </c>
      <c r="J1444" s="3">
        <f t="shared" si="22"/>
        <v>43749.518182442123</v>
      </c>
    </row>
    <row r="1445" spans="1:10" x14ac:dyDescent="0.25">
      <c r="A1445" s="5" t="s">
        <v>53517</v>
      </c>
      <c r="B1445" s="6">
        <v>393.75</v>
      </c>
      <c r="C1445" s="6">
        <v>20.531590000000001</v>
      </c>
      <c r="D1445" s="6">
        <v>54</v>
      </c>
      <c r="E1445" s="6">
        <v>0</v>
      </c>
      <c r="F1445" s="6">
        <v>0</v>
      </c>
      <c r="G1445" s="6">
        <v>7</v>
      </c>
      <c r="H1445" s="6" t="s">
        <v>53518</v>
      </c>
      <c r="I1445" s="6">
        <v>526.6875</v>
      </c>
      <c r="J1445" s="2">
        <f t="shared" si="22"/>
        <v>43749.518253958326</v>
      </c>
    </row>
    <row r="1446" spans="1:10" x14ac:dyDescent="0.25">
      <c r="A1446" s="7" t="s">
        <v>53519</v>
      </c>
      <c r="B1446" s="8">
        <v>393.75</v>
      </c>
      <c r="C1446" s="8">
        <v>20.478950000000001</v>
      </c>
      <c r="D1446" s="8">
        <v>53</v>
      </c>
      <c r="E1446" s="8">
        <v>0</v>
      </c>
      <c r="F1446" s="8">
        <v>0</v>
      </c>
      <c r="G1446" s="8">
        <v>13</v>
      </c>
      <c r="H1446" s="8" t="s">
        <v>53520</v>
      </c>
      <c r="I1446" s="8">
        <v>526.6875</v>
      </c>
      <c r="J1446" s="3">
        <f t="shared" si="22"/>
        <v>43749.518337905094</v>
      </c>
    </row>
    <row r="1447" spans="1:10" x14ac:dyDescent="0.25">
      <c r="A1447" s="5" t="s">
        <v>53521</v>
      </c>
      <c r="B1447" s="6">
        <v>393.75</v>
      </c>
      <c r="C1447" s="6">
        <v>20.531590000000001</v>
      </c>
      <c r="D1447" s="6">
        <v>54</v>
      </c>
      <c r="E1447" s="6">
        <v>0</v>
      </c>
      <c r="F1447" s="6">
        <v>0</v>
      </c>
      <c r="G1447" s="6">
        <v>14</v>
      </c>
      <c r="H1447" s="6" t="s">
        <v>53522</v>
      </c>
      <c r="I1447" s="6">
        <v>526.6875</v>
      </c>
      <c r="J1447" s="2">
        <f t="shared" si="22"/>
        <v>43749.518421435183</v>
      </c>
    </row>
    <row r="1448" spans="1:10" x14ac:dyDescent="0.25">
      <c r="A1448" s="7" t="s">
        <v>53523</v>
      </c>
      <c r="B1448" s="8">
        <v>393.75</v>
      </c>
      <c r="C1448" s="8">
        <v>20.531590000000001</v>
      </c>
      <c r="D1448" s="8">
        <v>54</v>
      </c>
      <c r="E1448" s="8">
        <v>0</v>
      </c>
      <c r="F1448" s="8">
        <v>0</v>
      </c>
      <c r="G1448" s="8">
        <v>15</v>
      </c>
      <c r="H1448" s="8" t="s">
        <v>53524</v>
      </c>
      <c r="I1448" s="8">
        <v>526.6875</v>
      </c>
      <c r="J1448" s="3">
        <f t="shared" si="22"/>
        <v>43749.518504537038</v>
      </c>
    </row>
    <row r="1449" spans="1:10" x14ac:dyDescent="0.25">
      <c r="A1449" s="5" t="s">
        <v>53525</v>
      </c>
      <c r="B1449" s="6">
        <v>393.75</v>
      </c>
      <c r="C1449" s="6">
        <v>20.584240000000001</v>
      </c>
      <c r="D1449" s="6">
        <v>54</v>
      </c>
      <c r="E1449" s="6">
        <v>0</v>
      </c>
      <c r="F1449" s="6">
        <v>0</v>
      </c>
      <c r="G1449" s="6">
        <v>10</v>
      </c>
      <c r="H1449" s="6" t="s">
        <v>53526</v>
      </c>
      <c r="I1449" s="6">
        <v>526.6875</v>
      </c>
      <c r="J1449" s="2">
        <f t="shared" si="22"/>
        <v>43749.518575972215</v>
      </c>
    </row>
    <row r="1450" spans="1:10" x14ac:dyDescent="0.25">
      <c r="A1450" s="7" t="s">
        <v>53527</v>
      </c>
      <c r="B1450" s="8">
        <v>393.75</v>
      </c>
      <c r="C1450" s="8">
        <v>20.531590000000001</v>
      </c>
      <c r="D1450" s="8">
        <v>53</v>
      </c>
      <c r="E1450" s="8">
        <v>0</v>
      </c>
      <c r="F1450" s="8">
        <v>0</v>
      </c>
      <c r="G1450" s="8">
        <v>13</v>
      </c>
      <c r="H1450" s="8" t="s">
        <v>53528</v>
      </c>
      <c r="I1450" s="8">
        <v>526.6875</v>
      </c>
      <c r="J1450" s="3">
        <f t="shared" si="22"/>
        <v>43749.518660231479</v>
      </c>
    </row>
    <row r="1451" spans="1:10" x14ac:dyDescent="0.25">
      <c r="A1451" s="5" t="s">
        <v>53529</v>
      </c>
      <c r="B1451" s="6">
        <v>412.5</v>
      </c>
      <c r="C1451" s="6">
        <v>20.584240000000001</v>
      </c>
      <c r="D1451" s="6">
        <v>62</v>
      </c>
      <c r="E1451" s="6">
        <v>0</v>
      </c>
      <c r="F1451" s="6">
        <v>0</v>
      </c>
      <c r="G1451" s="6">
        <v>4</v>
      </c>
      <c r="H1451" s="6" t="s">
        <v>53530</v>
      </c>
      <c r="I1451" s="6">
        <v>532.3125</v>
      </c>
      <c r="J1451" s="2">
        <f t="shared" si="22"/>
        <v>43749.518743449073</v>
      </c>
    </row>
    <row r="1452" spans="1:10" x14ac:dyDescent="0.25">
      <c r="A1452" s="7" t="s">
        <v>53531</v>
      </c>
      <c r="B1452" s="8">
        <v>393.75</v>
      </c>
      <c r="C1452" s="8">
        <v>20.584240000000001</v>
      </c>
      <c r="D1452" s="8">
        <v>63</v>
      </c>
      <c r="E1452" s="8">
        <v>0</v>
      </c>
      <c r="F1452" s="8">
        <v>0</v>
      </c>
      <c r="G1452" s="8">
        <v>16</v>
      </c>
      <c r="H1452" s="8" t="s">
        <v>53532</v>
      </c>
      <c r="I1452" s="8">
        <v>526.6875</v>
      </c>
      <c r="J1452" s="3">
        <f t="shared" si="22"/>
        <v>43749.518826759253</v>
      </c>
    </row>
    <row r="1453" spans="1:10" x14ac:dyDescent="0.25">
      <c r="A1453" s="5" t="s">
        <v>53533</v>
      </c>
      <c r="B1453" s="6">
        <v>393.75</v>
      </c>
      <c r="C1453" s="6">
        <v>20.478950000000001</v>
      </c>
      <c r="D1453" s="6">
        <v>61</v>
      </c>
      <c r="E1453" s="6">
        <v>0</v>
      </c>
      <c r="F1453" s="6">
        <v>0</v>
      </c>
      <c r="G1453" s="6">
        <v>11</v>
      </c>
      <c r="H1453" s="6" t="s">
        <v>53534</v>
      </c>
      <c r="I1453" s="6">
        <v>526.6875</v>
      </c>
      <c r="J1453" s="2">
        <f t="shared" si="22"/>
        <v>43749.518898541668</v>
      </c>
    </row>
    <row r="1454" spans="1:10" x14ac:dyDescent="0.25">
      <c r="A1454" s="7" t="s">
        <v>53535</v>
      </c>
      <c r="B1454" s="8">
        <v>393.75</v>
      </c>
      <c r="C1454" s="8">
        <v>20.531590000000001</v>
      </c>
      <c r="D1454" s="8">
        <v>59</v>
      </c>
      <c r="E1454" s="8">
        <v>0</v>
      </c>
      <c r="F1454" s="8">
        <v>0</v>
      </c>
      <c r="G1454" s="8">
        <v>8</v>
      </c>
      <c r="H1454" s="8" t="s">
        <v>53536</v>
      </c>
      <c r="I1454" s="8">
        <v>526.6875</v>
      </c>
      <c r="J1454" s="3">
        <f t="shared" si="22"/>
        <v>43749.518981990739</v>
      </c>
    </row>
    <row r="1455" spans="1:10" x14ac:dyDescent="0.25">
      <c r="A1455" s="5" t="s">
        <v>53537</v>
      </c>
      <c r="B1455" s="6">
        <v>393.75</v>
      </c>
      <c r="C1455" s="6">
        <v>20.531590000000001</v>
      </c>
      <c r="D1455" s="6">
        <v>57</v>
      </c>
      <c r="E1455" s="6">
        <v>0</v>
      </c>
      <c r="F1455" s="6">
        <v>0</v>
      </c>
      <c r="G1455" s="6">
        <v>7</v>
      </c>
      <c r="H1455" s="6" t="s">
        <v>53538</v>
      </c>
      <c r="I1455" s="6">
        <v>526.6875</v>
      </c>
      <c r="J1455" s="2">
        <f t="shared" si="22"/>
        <v>43749.519065428241</v>
      </c>
    </row>
    <row r="1456" spans="1:10" x14ac:dyDescent="0.25">
      <c r="A1456" s="7" t="s">
        <v>53539</v>
      </c>
      <c r="B1456" s="8">
        <v>415.625</v>
      </c>
      <c r="C1456" s="8">
        <v>20.531590000000001</v>
      </c>
      <c r="D1456" s="8">
        <v>53</v>
      </c>
      <c r="E1456" s="8">
        <v>0</v>
      </c>
      <c r="F1456" s="8">
        <v>0</v>
      </c>
      <c r="G1456" s="8">
        <v>3</v>
      </c>
      <c r="H1456" s="8" t="s">
        <v>53540</v>
      </c>
      <c r="I1456" s="8">
        <v>533.0625</v>
      </c>
      <c r="J1456" s="3">
        <f t="shared" si="22"/>
        <v>43749.519149108797</v>
      </c>
    </row>
    <row r="1457" spans="1:10" x14ac:dyDescent="0.25">
      <c r="A1457" s="5" t="s">
        <v>53541</v>
      </c>
      <c r="B1457" s="6">
        <v>393.75</v>
      </c>
      <c r="C1457" s="6">
        <v>20.478950000000001</v>
      </c>
      <c r="D1457" s="6">
        <v>57</v>
      </c>
      <c r="E1457" s="6">
        <v>0</v>
      </c>
      <c r="F1457" s="6">
        <v>0</v>
      </c>
      <c r="G1457" s="6">
        <v>0</v>
      </c>
      <c r="H1457" s="6" t="s">
        <v>53542</v>
      </c>
      <c r="I1457" s="6">
        <v>526.6875</v>
      </c>
      <c r="J1457" s="2">
        <f t="shared" si="22"/>
        <v>43749.51922052083</v>
      </c>
    </row>
    <row r="1458" spans="1:10" x14ac:dyDescent="0.25">
      <c r="A1458" s="7" t="s">
        <v>53543</v>
      </c>
      <c r="B1458" s="8">
        <v>393.75</v>
      </c>
      <c r="C1458" s="8">
        <v>20.531590000000001</v>
      </c>
      <c r="D1458" s="8">
        <v>57</v>
      </c>
      <c r="E1458" s="8">
        <v>0</v>
      </c>
      <c r="F1458" s="8">
        <v>0</v>
      </c>
      <c r="G1458" s="8">
        <v>3</v>
      </c>
      <c r="H1458" s="8" t="s">
        <v>53544</v>
      </c>
      <c r="I1458" s="8">
        <v>526.6875</v>
      </c>
      <c r="J1458" s="3">
        <f t="shared" si="22"/>
        <v>43749.519315763886</v>
      </c>
    </row>
    <row r="1459" spans="1:10" x14ac:dyDescent="0.25">
      <c r="A1459" s="5" t="s">
        <v>53545</v>
      </c>
      <c r="B1459" s="6">
        <v>393.75</v>
      </c>
      <c r="C1459" s="6">
        <v>20.531590000000001</v>
      </c>
      <c r="D1459" s="6">
        <v>57</v>
      </c>
      <c r="E1459" s="6">
        <v>0</v>
      </c>
      <c r="F1459" s="6">
        <v>0</v>
      </c>
      <c r="G1459" s="6">
        <v>0</v>
      </c>
      <c r="H1459" s="6" t="s">
        <v>53546</v>
      </c>
      <c r="I1459" s="6">
        <v>526.6875</v>
      </c>
      <c r="J1459" s="2">
        <f t="shared" si="22"/>
        <v>43749.519387430548</v>
      </c>
    </row>
    <row r="1460" spans="1:10" x14ac:dyDescent="0.25">
      <c r="A1460" s="7" t="s">
        <v>53547</v>
      </c>
      <c r="B1460" s="8">
        <v>393.75</v>
      </c>
      <c r="C1460" s="8">
        <v>20.478950000000001</v>
      </c>
      <c r="D1460" s="8">
        <v>57</v>
      </c>
      <c r="E1460" s="8">
        <v>0</v>
      </c>
      <c r="F1460" s="8">
        <v>0</v>
      </c>
      <c r="G1460" s="8">
        <v>5</v>
      </c>
      <c r="H1460" s="8" t="s">
        <v>53548</v>
      </c>
      <c r="I1460" s="8">
        <v>526.6875</v>
      </c>
      <c r="J1460" s="3">
        <f t="shared" si="22"/>
        <v>43749.519471226849</v>
      </c>
    </row>
    <row r="1461" spans="1:10" x14ac:dyDescent="0.25">
      <c r="A1461" s="5" t="s">
        <v>53549</v>
      </c>
      <c r="B1461" s="6">
        <v>393.75</v>
      </c>
      <c r="C1461" s="6">
        <v>20.531590000000001</v>
      </c>
      <c r="D1461" s="6">
        <v>57</v>
      </c>
      <c r="E1461" s="6">
        <v>0</v>
      </c>
      <c r="F1461" s="6">
        <v>0</v>
      </c>
      <c r="G1461" s="6">
        <v>0</v>
      </c>
      <c r="H1461" s="6" t="s">
        <v>53550</v>
      </c>
      <c r="I1461" s="6">
        <v>526.5</v>
      </c>
      <c r="J1461" s="2">
        <f t="shared" si="22"/>
        <v>43749.519542638889</v>
      </c>
    </row>
    <row r="1462" spans="1:10" x14ac:dyDescent="0.25">
      <c r="A1462" s="7" t="s">
        <v>53551</v>
      </c>
      <c r="B1462" s="8">
        <v>393.75</v>
      </c>
      <c r="C1462" s="8">
        <v>20.584240000000001</v>
      </c>
      <c r="D1462" s="8">
        <v>56</v>
      </c>
      <c r="E1462" s="8">
        <v>0</v>
      </c>
      <c r="F1462" s="8">
        <v>0</v>
      </c>
      <c r="G1462" s="8">
        <v>4</v>
      </c>
      <c r="H1462" s="8" t="s">
        <v>53552</v>
      </c>
      <c r="I1462" s="8">
        <v>526.6875</v>
      </c>
      <c r="J1462" s="3">
        <f t="shared" si="22"/>
        <v>43749.519626064815</v>
      </c>
    </row>
    <row r="1463" spans="1:10" x14ac:dyDescent="0.25">
      <c r="A1463" s="5" t="s">
        <v>53553</v>
      </c>
      <c r="B1463" s="6">
        <v>393.75</v>
      </c>
      <c r="C1463" s="6">
        <v>20.478950000000001</v>
      </c>
      <c r="D1463" s="6">
        <v>56</v>
      </c>
      <c r="E1463" s="6">
        <v>0</v>
      </c>
      <c r="F1463" s="6">
        <v>0</v>
      </c>
      <c r="G1463" s="6">
        <v>4</v>
      </c>
      <c r="H1463" s="6" t="s">
        <v>53554</v>
      </c>
      <c r="I1463" s="6">
        <v>526.6875</v>
      </c>
      <c r="J1463" s="2">
        <f t="shared" si="22"/>
        <v>43749.519697361109</v>
      </c>
    </row>
    <row r="1464" spans="1:10" x14ac:dyDescent="0.25">
      <c r="A1464" s="7" t="s">
        <v>53555</v>
      </c>
      <c r="B1464" s="8">
        <v>393.75</v>
      </c>
      <c r="C1464" s="8">
        <v>20.531590000000001</v>
      </c>
      <c r="D1464" s="8">
        <v>56</v>
      </c>
      <c r="E1464" s="8">
        <v>0</v>
      </c>
      <c r="F1464" s="8">
        <v>0</v>
      </c>
      <c r="G1464" s="8">
        <v>7</v>
      </c>
      <c r="H1464" s="8" t="s">
        <v>53556</v>
      </c>
      <c r="I1464" s="8">
        <v>526.6875</v>
      </c>
      <c r="J1464" s="3">
        <f t="shared" si="22"/>
        <v>43749.519769282408</v>
      </c>
    </row>
    <row r="1465" spans="1:10" x14ac:dyDescent="0.25">
      <c r="A1465" s="5" t="s">
        <v>53557</v>
      </c>
      <c r="B1465" s="6">
        <v>393.75</v>
      </c>
      <c r="C1465" s="6">
        <v>20.478950000000001</v>
      </c>
      <c r="D1465" s="6">
        <v>55</v>
      </c>
      <c r="E1465" s="6">
        <v>0</v>
      </c>
      <c r="F1465" s="6">
        <v>0</v>
      </c>
      <c r="G1465" s="6">
        <v>8</v>
      </c>
      <c r="H1465" s="6" t="s">
        <v>53558</v>
      </c>
      <c r="I1465" s="6">
        <v>526.6875</v>
      </c>
      <c r="J1465" s="2">
        <f t="shared" si="22"/>
        <v>43749.519852685182</v>
      </c>
    </row>
    <row r="1466" spans="1:10" x14ac:dyDescent="0.25">
      <c r="A1466" s="7" t="s">
        <v>53559</v>
      </c>
      <c r="B1466" s="8">
        <v>393.75</v>
      </c>
      <c r="C1466" s="8">
        <v>20.531590000000001</v>
      </c>
      <c r="D1466" s="8">
        <v>56</v>
      </c>
      <c r="E1466" s="8">
        <v>0</v>
      </c>
      <c r="F1466" s="8">
        <v>0</v>
      </c>
      <c r="G1466" s="8">
        <v>5</v>
      </c>
      <c r="H1466" s="8" t="s">
        <v>53560</v>
      </c>
      <c r="I1466" s="8">
        <v>526.6875</v>
      </c>
      <c r="J1466" s="3">
        <f t="shared" si="22"/>
        <v>43749.51993628472</v>
      </c>
    </row>
    <row r="1467" spans="1:10" x14ac:dyDescent="0.25">
      <c r="A1467" s="5" t="s">
        <v>53561</v>
      </c>
      <c r="B1467" s="6">
        <v>415.625</v>
      </c>
      <c r="C1467" s="6">
        <v>20.584240000000001</v>
      </c>
      <c r="D1467" s="6">
        <v>55</v>
      </c>
      <c r="E1467" s="6">
        <v>0</v>
      </c>
      <c r="F1467" s="6">
        <v>0</v>
      </c>
      <c r="G1467" s="6">
        <v>4</v>
      </c>
      <c r="H1467" s="6" t="s">
        <v>53562</v>
      </c>
      <c r="I1467" s="6">
        <v>533.8125</v>
      </c>
      <c r="J1467" s="2">
        <f t="shared" si="22"/>
        <v>43749.520019351847</v>
      </c>
    </row>
    <row r="1468" spans="1:10" x14ac:dyDescent="0.25">
      <c r="A1468" s="7" t="s">
        <v>53563</v>
      </c>
      <c r="B1468" s="8">
        <v>393.75</v>
      </c>
      <c r="C1468" s="8">
        <v>20.531590000000001</v>
      </c>
      <c r="D1468" s="8">
        <v>55</v>
      </c>
      <c r="E1468" s="8">
        <v>0</v>
      </c>
      <c r="F1468" s="8">
        <v>0</v>
      </c>
      <c r="G1468" s="8">
        <v>0</v>
      </c>
      <c r="H1468" s="8" t="s">
        <v>53564</v>
      </c>
      <c r="I1468" s="8">
        <v>526.6875</v>
      </c>
      <c r="J1468" s="3">
        <f t="shared" si="22"/>
        <v>43749.52009111111</v>
      </c>
    </row>
    <row r="1469" spans="1:10" x14ac:dyDescent="0.25">
      <c r="A1469" s="5" t="s">
        <v>53565</v>
      </c>
      <c r="B1469" s="6">
        <v>393.75</v>
      </c>
      <c r="C1469" s="6">
        <v>20.584240000000001</v>
      </c>
      <c r="D1469" s="6">
        <v>54</v>
      </c>
      <c r="E1469" s="6">
        <v>0</v>
      </c>
      <c r="F1469" s="6">
        <v>0</v>
      </c>
      <c r="G1469" s="6">
        <v>10</v>
      </c>
      <c r="H1469" s="6" t="s">
        <v>53566</v>
      </c>
      <c r="I1469" s="6">
        <v>526.6875</v>
      </c>
      <c r="J1469" s="2">
        <f t="shared" si="22"/>
        <v>43749.520174687503</v>
      </c>
    </row>
    <row r="1470" spans="1:10" x14ac:dyDescent="0.25">
      <c r="A1470" s="7" t="s">
        <v>53567</v>
      </c>
      <c r="B1470" s="8">
        <v>412.5</v>
      </c>
      <c r="C1470" s="8">
        <v>20.584240000000001</v>
      </c>
      <c r="D1470" s="8">
        <v>53</v>
      </c>
      <c r="E1470" s="8">
        <v>0</v>
      </c>
      <c r="F1470" s="8">
        <v>0</v>
      </c>
      <c r="G1470" s="8">
        <v>5</v>
      </c>
      <c r="H1470" s="8" t="s">
        <v>53568</v>
      </c>
      <c r="I1470" s="8">
        <v>532.3125</v>
      </c>
      <c r="J1470" s="3">
        <f t="shared" si="22"/>
        <v>43749.520246504624</v>
      </c>
    </row>
    <row r="1471" spans="1:10" x14ac:dyDescent="0.25">
      <c r="A1471" s="5" t="s">
        <v>53569</v>
      </c>
      <c r="B1471" s="6">
        <v>393.75</v>
      </c>
      <c r="C1471" s="6">
        <v>20.531590000000001</v>
      </c>
      <c r="D1471" s="6">
        <v>53</v>
      </c>
      <c r="E1471" s="6">
        <v>0</v>
      </c>
      <c r="F1471" s="6">
        <v>0</v>
      </c>
      <c r="G1471" s="6">
        <v>6</v>
      </c>
      <c r="H1471" s="6" t="s">
        <v>53570</v>
      </c>
      <c r="I1471" s="6">
        <v>526.6875</v>
      </c>
      <c r="J1471" s="2">
        <f t="shared" si="22"/>
        <v>43749.520317974537</v>
      </c>
    </row>
    <row r="1472" spans="1:10" x14ac:dyDescent="0.25">
      <c r="A1472" s="7" t="s">
        <v>53571</v>
      </c>
      <c r="B1472" s="8">
        <v>393.75</v>
      </c>
      <c r="C1472" s="8">
        <v>20.531590000000001</v>
      </c>
      <c r="D1472" s="8">
        <v>53</v>
      </c>
      <c r="E1472" s="8">
        <v>0</v>
      </c>
      <c r="F1472" s="8">
        <v>0</v>
      </c>
      <c r="G1472" s="8">
        <v>1</v>
      </c>
      <c r="H1472" s="8" t="s">
        <v>53572</v>
      </c>
      <c r="I1472" s="8">
        <v>526.6875</v>
      </c>
      <c r="J1472" s="3">
        <f t="shared" si="22"/>
        <v>43749.520413333332</v>
      </c>
    </row>
    <row r="1473" spans="1:10" x14ac:dyDescent="0.25">
      <c r="A1473" s="5" t="s">
        <v>53573</v>
      </c>
      <c r="B1473" s="6">
        <v>393.75</v>
      </c>
      <c r="C1473" s="6">
        <v>20.478950000000001</v>
      </c>
      <c r="D1473" s="6">
        <v>53</v>
      </c>
      <c r="E1473" s="6">
        <v>0</v>
      </c>
      <c r="F1473" s="6">
        <v>0</v>
      </c>
      <c r="G1473" s="6">
        <v>4</v>
      </c>
      <c r="H1473" s="6" t="s">
        <v>53574</v>
      </c>
      <c r="I1473" s="6">
        <v>526.6875</v>
      </c>
      <c r="J1473" s="2">
        <f t="shared" si="22"/>
        <v>43749.520496805555</v>
      </c>
    </row>
    <row r="1474" spans="1:10" x14ac:dyDescent="0.25">
      <c r="A1474" s="7" t="s">
        <v>53575</v>
      </c>
      <c r="B1474" s="8">
        <v>393.75</v>
      </c>
      <c r="C1474" s="8">
        <v>20.531590000000001</v>
      </c>
      <c r="D1474" s="8">
        <v>53</v>
      </c>
      <c r="E1474" s="8">
        <v>0</v>
      </c>
      <c r="F1474" s="8">
        <v>0</v>
      </c>
      <c r="G1474" s="8">
        <v>13</v>
      </c>
      <c r="H1474" s="8" t="s">
        <v>53576</v>
      </c>
      <c r="I1474" s="8">
        <v>526.6875</v>
      </c>
      <c r="J1474" s="3">
        <f t="shared" ref="J1474:J1537" si="23">(H1474/86400000)+25569+(7/24)</f>
        <v>43749.520568541666</v>
      </c>
    </row>
    <row r="1475" spans="1:10" x14ac:dyDescent="0.25">
      <c r="A1475" s="5" t="s">
        <v>53577</v>
      </c>
      <c r="B1475" s="6">
        <v>393.75</v>
      </c>
      <c r="C1475" s="6">
        <v>20.584240000000001</v>
      </c>
      <c r="D1475" s="6">
        <v>53</v>
      </c>
      <c r="E1475" s="6">
        <v>0</v>
      </c>
      <c r="F1475" s="6">
        <v>0</v>
      </c>
      <c r="G1475" s="6">
        <v>5</v>
      </c>
      <c r="H1475" s="6" t="s">
        <v>53578</v>
      </c>
      <c r="I1475" s="6">
        <v>526.6875</v>
      </c>
      <c r="J1475" s="2">
        <f t="shared" si="23"/>
        <v>43749.52063997685</v>
      </c>
    </row>
    <row r="1476" spans="1:10" x14ac:dyDescent="0.25">
      <c r="A1476" s="7" t="s">
        <v>53579</v>
      </c>
      <c r="B1476" s="8">
        <v>393.75</v>
      </c>
      <c r="C1476" s="8">
        <v>20.531590000000001</v>
      </c>
      <c r="D1476" s="8">
        <v>53</v>
      </c>
      <c r="E1476" s="8">
        <v>0</v>
      </c>
      <c r="F1476" s="8">
        <v>0</v>
      </c>
      <c r="G1476" s="8">
        <v>0</v>
      </c>
      <c r="H1476" s="8" t="s">
        <v>53580</v>
      </c>
      <c r="I1476" s="8">
        <v>526.6875</v>
      </c>
      <c r="J1476" s="3">
        <f t="shared" si="23"/>
        <v>43749.520723055553</v>
      </c>
    </row>
    <row r="1477" spans="1:10" x14ac:dyDescent="0.25">
      <c r="A1477" s="5" t="s">
        <v>53581</v>
      </c>
      <c r="B1477" s="6">
        <v>393.75</v>
      </c>
      <c r="C1477" s="6">
        <v>20.531590000000001</v>
      </c>
      <c r="D1477" s="6">
        <v>53</v>
      </c>
      <c r="E1477" s="6">
        <v>0</v>
      </c>
      <c r="F1477" s="6">
        <v>0</v>
      </c>
      <c r="G1477" s="6">
        <v>0</v>
      </c>
      <c r="H1477" s="6" t="s">
        <v>53582</v>
      </c>
      <c r="I1477" s="6">
        <v>526.6875</v>
      </c>
      <c r="J1477" s="2">
        <f t="shared" si="23"/>
        <v>43749.5207949537</v>
      </c>
    </row>
    <row r="1478" spans="1:10" x14ac:dyDescent="0.25">
      <c r="A1478" s="7" t="s">
        <v>53583</v>
      </c>
      <c r="B1478" s="8">
        <v>393.75</v>
      </c>
      <c r="C1478" s="8">
        <v>20.478950000000001</v>
      </c>
      <c r="D1478" s="8">
        <v>54</v>
      </c>
      <c r="E1478" s="8">
        <v>0</v>
      </c>
      <c r="F1478" s="8">
        <v>0</v>
      </c>
      <c r="G1478" s="8">
        <v>7</v>
      </c>
      <c r="H1478" s="8" t="s">
        <v>53584</v>
      </c>
      <c r="I1478" s="8">
        <v>526.6875</v>
      </c>
      <c r="J1478" s="3">
        <f t="shared" si="23"/>
        <v>43749.520878738425</v>
      </c>
    </row>
    <row r="1479" spans="1:10" x14ac:dyDescent="0.25">
      <c r="A1479" s="5" t="s">
        <v>53585</v>
      </c>
      <c r="B1479" s="6">
        <v>393.75</v>
      </c>
      <c r="C1479" s="6">
        <v>20.531590000000001</v>
      </c>
      <c r="D1479" s="6">
        <v>54</v>
      </c>
      <c r="E1479" s="6">
        <v>0</v>
      </c>
      <c r="F1479" s="6">
        <v>0</v>
      </c>
      <c r="G1479" s="6">
        <v>8</v>
      </c>
      <c r="H1479" s="6" t="s">
        <v>53586</v>
      </c>
      <c r="I1479" s="6">
        <v>526.6875</v>
      </c>
      <c r="J1479" s="2">
        <f t="shared" si="23"/>
        <v>43749.520950057871</v>
      </c>
    </row>
    <row r="1480" spans="1:10" x14ac:dyDescent="0.25">
      <c r="A1480" s="7" t="s">
        <v>53587</v>
      </c>
      <c r="B1480" s="8">
        <v>393.75</v>
      </c>
      <c r="C1480" s="8">
        <v>20.531590000000001</v>
      </c>
      <c r="D1480" s="8">
        <v>53</v>
      </c>
      <c r="E1480" s="8">
        <v>0</v>
      </c>
      <c r="F1480" s="8">
        <v>0</v>
      </c>
      <c r="G1480" s="8">
        <v>6</v>
      </c>
      <c r="H1480" s="8" t="s">
        <v>53588</v>
      </c>
      <c r="I1480" s="8">
        <v>526.6875</v>
      </c>
      <c r="J1480" s="3">
        <f t="shared" si="23"/>
        <v>43749.521021562497</v>
      </c>
    </row>
    <row r="1481" spans="1:10" x14ac:dyDescent="0.25">
      <c r="A1481" s="5" t="s">
        <v>53589</v>
      </c>
      <c r="B1481" s="6">
        <v>393.75</v>
      </c>
      <c r="C1481" s="6">
        <v>20.531590000000001</v>
      </c>
      <c r="D1481" s="6">
        <v>52</v>
      </c>
      <c r="E1481" s="6">
        <v>0</v>
      </c>
      <c r="F1481" s="6">
        <v>0</v>
      </c>
      <c r="G1481" s="6">
        <v>12</v>
      </c>
      <c r="H1481" s="6" t="s">
        <v>53590</v>
      </c>
      <c r="I1481" s="6">
        <v>526.6875</v>
      </c>
      <c r="J1481" s="2">
        <f t="shared" si="23"/>
        <v>43749.521105243053</v>
      </c>
    </row>
    <row r="1482" spans="1:10" x14ac:dyDescent="0.25">
      <c r="A1482" s="7" t="s">
        <v>53591</v>
      </c>
      <c r="B1482" s="8">
        <v>412.5</v>
      </c>
      <c r="C1482" s="8">
        <v>20.531590000000001</v>
      </c>
      <c r="D1482" s="8">
        <v>52</v>
      </c>
      <c r="E1482" s="8">
        <v>0</v>
      </c>
      <c r="F1482" s="8">
        <v>0</v>
      </c>
      <c r="G1482" s="8">
        <v>8</v>
      </c>
      <c r="H1482" s="8" t="s">
        <v>53592</v>
      </c>
      <c r="I1482" s="8">
        <v>532.3125</v>
      </c>
      <c r="J1482" s="3">
        <f t="shared" si="23"/>
        <v>43749.521176655086</v>
      </c>
    </row>
    <row r="1483" spans="1:10" x14ac:dyDescent="0.25">
      <c r="A1483" s="5" t="s">
        <v>53593</v>
      </c>
      <c r="B1483" s="6">
        <v>393.75</v>
      </c>
      <c r="C1483" s="6">
        <v>20.531590000000001</v>
      </c>
      <c r="D1483" s="6">
        <v>52</v>
      </c>
      <c r="E1483" s="6">
        <v>0</v>
      </c>
      <c r="F1483" s="6">
        <v>0</v>
      </c>
      <c r="G1483" s="6">
        <v>8</v>
      </c>
      <c r="H1483" s="6" t="s">
        <v>53594</v>
      </c>
      <c r="I1483" s="6">
        <v>526.6875</v>
      </c>
      <c r="J1483" s="2">
        <f t="shared" si="23"/>
        <v>43749.521259884255</v>
      </c>
    </row>
    <row r="1484" spans="1:10" x14ac:dyDescent="0.25">
      <c r="A1484" s="7" t="s">
        <v>53595</v>
      </c>
      <c r="B1484" s="8">
        <v>393.75</v>
      </c>
      <c r="C1484" s="8">
        <v>20.531590000000001</v>
      </c>
      <c r="D1484" s="8">
        <v>52</v>
      </c>
      <c r="E1484" s="8">
        <v>0</v>
      </c>
      <c r="F1484" s="8">
        <v>0</v>
      </c>
      <c r="G1484" s="8">
        <v>5</v>
      </c>
      <c r="H1484" s="8" t="s">
        <v>53596</v>
      </c>
      <c r="I1484" s="8">
        <v>526.6875</v>
      </c>
      <c r="J1484" s="3">
        <f t="shared" si="23"/>
        <v>43749.52134378472</v>
      </c>
    </row>
    <row r="1485" spans="1:10" x14ac:dyDescent="0.25">
      <c r="A1485" s="5" t="s">
        <v>53597</v>
      </c>
      <c r="B1485" s="6">
        <v>393.75</v>
      </c>
      <c r="C1485" s="6">
        <v>20.531590000000001</v>
      </c>
      <c r="D1485" s="6">
        <v>53</v>
      </c>
      <c r="E1485" s="6">
        <v>0</v>
      </c>
      <c r="F1485" s="6">
        <v>0</v>
      </c>
      <c r="G1485" s="6">
        <v>2</v>
      </c>
      <c r="H1485" s="6" t="s">
        <v>53598</v>
      </c>
      <c r="I1485" s="6">
        <v>526.6875</v>
      </c>
      <c r="J1485" s="2">
        <f t="shared" si="23"/>
        <v>43749.521426979169</v>
      </c>
    </row>
    <row r="1486" spans="1:10" x14ac:dyDescent="0.25">
      <c r="A1486" s="7" t="s">
        <v>53599</v>
      </c>
      <c r="B1486" s="8">
        <v>393.75</v>
      </c>
      <c r="C1486" s="8">
        <v>20.584240000000001</v>
      </c>
      <c r="D1486" s="8">
        <v>52</v>
      </c>
      <c r="E1486" s="8">
        <v>0</v>
      </c>
      <c r="F1486" s="8">
        <v>0</v>
      </c>
      <c r="G1486" s="8">
        <v>6</v>
      </c>
      <c r="H1486" s="8" t="s">
        <v>53600</v>
      </c>
      <c r="I1486" s="8">
        <v>526.6875</v>
      </c>
      <c r="J1486" s="3">
        <f t="shared" si="23"/>
        <v>43749.521510682869</v>
      </c>
    </row>
    <row r="1487" spans="1:10" x14ac:dyDescent="0.25">
      <c r="A1487" s="5" t="s">
        <v>53601</v>
      </c>
      <c r="B1487" s="6">
        <v>412.5</v>
      </c>
      <c r="C1487" s="6">
        <v>20.531590000000001</v>
      </c>
      <c r="D1487" s="6">
        <v>52</v>
      </c>
      <c r="E1487" s="6">
        <v>0</v>
      </c>
      <c r="F1487" s="6">
        <v>0</v>
      </c>
      <c r="G1487" s="6">
        <v>0</v>
      </c>
      <c r="H1487" s="6" t="s">
        <v>53602</v>
      </c>
      <c r="I1487" s="6">
        <v>532.5</v>
      </c>
      <c r="J1487" s="2">
        <f t="shared" si="23"/>
        <v>43749.521581874993</v>
      </c>
    </row>
    <row r="1488" spans="1:10" x14ac:dyDescent="0.25">
      <c r="A1488" s="7" t="s">
        <v>53603</v>
      </c>
      <c r="B1488" s="8">
        <v>393.75</v>
      </c>
      <c r="C1488" s="8">
        <v>20.584240000000001</v>
      </c>
      <c r="D1488" s="8">
        <v>51</v>
      </c>
      <c r="E1488" s="8">
        <v>0</v>
      </c>
      <c r="F1488" s="8">
        <v>0</v>
      </c>
      <c r="G1488" s="8">
        <v>8</v>
      </c>
      <c r="H1488" s="8" t="s">
        <v>53604</v>
      </c>
      <c r="I1488" s="8">
        <v>526.6875</v>
      </c>
      <c r="J1488" s="3">
        <f t="shared" si="23"/>
        <v>43749.521653738419</v>
      </c>
    </row>
    <row r="1489" spans="1:10" x14ac:dyDescent="0.25">
      <c r="A1489" s="5" t="s">
        <v>53605</v>
      </c>
      <c r="B1489" s="6">
        <v>393.75</v>
      </c>
      <c r="C1489" s="6">
        <v>20.531590000000001</v>
      </c>
      <c r="D1489" s="6">
        <v>52</v>
      </c>
      <c r="E1489" s="6">
        <v>0</v>
      </c>
      <c r="F1489" s="6">
        <v>0</v>
      </c>
      <c r="G1489" s="6">
        <v>0</v>
      </c>
      <c r="H1489" s="6" t="s">
        <v>53606</v>
      </c>
      <c r="I1489" s="6">
        <v>526.6875</v>
      </c>
      <c r="J1489" s="2">
        <f t="shared" si="23"/>
        <v>43749.521725335646</v>
      </c>
    </row>
    <row r="1490" spans="1:10" x14ac:dyDescent="0.25">
      <c r="A1490" s="7" t="s">
        <v>53607</v>
      </c>
      <c r="B1490" s="8">
        <v>393.75</v>
      </c>
      <c r="C1490" s="8">
        <v>20.584240000000001</v>
      </c>
      <c r="D1490" s="8">
        <v>52</v>
      </c>
      <c r="E1490" s="8">
        <v>0</v>
      </c>
      <c r="F1490" s="8">
        <v>0</v>
      </c>
      <c r="G1490" s="8">
        <v>11</v>
      </c>
      <c r="H1490" s="8" t="s">
        <v>53608</v>
      </c>
      <c r="I1490" s="8">
        <v>526.5</v>
      </c>
      <c r="J1490" s="3">
        <f t="shared" si="23"/>
        <v>43749.52180855324</v>
      </c>
    </row>
    <row r="1491" spans="1:10" x14ac:dyDescent="0.25">
      <c r="A1491" s="5" t="s">
        <v>53609</v>
      </c>
      <c r="B1491" s="6">
        <v>393.75</v>
      </c>
      <c r="C1491" s="6">
        <v>20.531590000000001</v>
      </c>
      <c r="D1491" s="6">
        <v>52</v>
      </c>
      <c r="E1491" s="6">
        <v>0</v>
      </c>
      <c r="F1491" s="6">
        <v>0</v>
      </c>
      <c r="G1491" s="6">
        <v>9</v>
      </c>
      <c r="H1491" s="6" t="s">
        <v>53610</v>
      </c>
      <c r="I1491" s="6">
        <v>526.6875</v>
      </c>
      <c r="J1491" s="2">
        <f t="shared" si="23"/>
        <v>43749.521892233795</v>
      </c>
    </row>
    <row r="1492" spans="1:10" x14ac:dyDescent="0.25">
      <c r="A1492" s="7" t="s">
        <v>53611</v>
      </c>
      <c r="B1492" s="8">
        <v>393.75</v>
      </c>
      <c r="C1492" s="8">
        <v>20.584240000000001</v>
      </c>
      <c r="D1492" s="8">
        <v>53</v>
      </c>
      <c r="E1492" s="8">
        <v>0</v>
      </c>
      <c r="F1492" s="8">
        <v>0</v>
      </c>
      <c r="G1492" s="8">
        <v>12</v>
      </c>
      <c r="H1492" s="8" t="s">
        <v>53612</v>
      </c>
      <c r="I1492" s="8">
        <v>526.6875</v>
      </c>
      <c r="J1492" s="3">
        <f t="shared" si="23"/>
        <v>43749.52197577546</v>
      </c>
    </row>
    <row r="1493" spans="1:10" x14ac:dyDescent="0.25">
      <c r="A1493" s="5" t="s">
        <v>53613</v>
      </c>
      <c r="B1493" s="6">
        <v>425</v>
      </c>
      <c r="C1493" s="6">
        <v>20.531590000000001</v>
      </c>
      <c r="D1493" s="6">
        <v>53</v>
      </c>
      <c r="E1493" s="6">
        <v>0</v>
      </c>
      <c r="F1493" s="6">
        <v>0</v>
      </c>
      <c r="G1493" s="6">
        <v>11</v>
      </c>
      <c r="H1493" s="6" t="s">
        <v>53614</v>
      </c>
      <c r="I1493" s="6">
        <v>536.4375</v>
      </c>
      <c r="J1493" s="2">
        <f t="shared" si="23"/>
        <v>43749.522047314815</v>
      </c>
    </row>
    <row r="1494" spans="1:10" x14ac:dyDescent="0.25">
      <c r="A1494" s="7" t="s">
        <v>53615</v>
      </c>
      <c r="B1494" s="8">
        <v>393.75</v>
      </c>
      <c r="C1494" s="8">
        <v>20.531590000000001</v>
      </c>
      <c r="D1494" s="8">
        <v>51</v>
      </c>
      <c r="E1494" s="8">
        <v>0</v>
      </c>
      <c r="F1494" s="8">
        <v>0</v>
      </c>
      <c r="G1494" s="8">
        <v>16</v>
      </c>
      <c r="H1494" s="8" t="s">
        <v>53616</v>
      </c>
      <c r="I1494" s="8">
        <v>526.6875</v>
      </c>
      <c r="J1494" s="3">
        <f t="shared" si="23"/>
        <v>43749.522142685186</v>
      </c>
    </row>
    <row r="1495" spans="1:10" x14ac:dyDescent="0.25">
      <c r="A1495" s="5" t="s">
        <v>53617</v>
      </c>
      <c r="B1495" s="6">
        <v>393.75</v>
      </c>
      <c r="C1495" s="6">
        <v>20.531590000000001</v>
      </c>
      <c r="D1495" s="6">
        <v>51</v>
      </c>
      <c r="E1495" s="6">
        <v>0</v>
      </c>
      <c r="F1495" s="6">
        <v>0</v>
      </c>
      <c r="G1495" s="6">
        <v>6</v>
      </c>
      <c r="H1495" s="6" t="s">
        <v>53618</v>
      </c>
      <c r="I1495" s="6">
        <v>526.6875</v>
      </c>
      <c r="J1495" s="2">
        <f t="shared" si="23"/>
        <v>43749.522226354165</v>
      </c>
    </row>
    <row r="1496" spans="1:10" x14ac:dyDescent="0.25">
      <c r="A1496" s="7" t="s">
        <v>53619</v>
      </c>
      <c r="B1496" s="8">
        <v>393.75</v>
      </c>
      <c r="C1496" s="8">
        <v>20.531590000000001</v>
      </c>
      <c r="D1496" s="8">
        <v>50</v>
      </c>
      <c r="E1496" s="8">
        <v>0</v>
      </c>
      <c r="F1496" s="8">
        <v>0</v>
      </c>
      <c r="G1496" s="8">
        <v>12</v>
      </c>
      <c r="H1496" s="8" t="s">
        <v>53620</v>
      </c>
      <c r="I1496" s="8">
        <v>526.6875</v>
      </c>
      <c r="J1496" s="3">
        <f t="shared" si="23"/>
        <v>43749.522309803237</v>
      </c>
    </row>
    <row r="1497" spans="1:10" x14ac:dyDescent="0.25">
      <c r="A1497" s="5" t="s">
        <v>53621</v>
      </c>
      <c r="B1497" s="6">
        <v>393.75</v>
      </c>
      <c r="C1497" s="6">
        <v>20.478950000000001</v>
      </c>
      <c r="D1497" s="6">
        <v>51</v>
      </c>
      <c r="E1497" s="6">
        <v>0</v>
      </c>
      <c r="F1497" s="6">
        <v>0</v>
      </c>
      <c r="G1497" s="6">
        <v>5</v>
      </c>
      <c r="H1497" s="6" t="s">
        <v>53622</v>
      </c>
      <c r="I1497" s="6">
        <v>526.6875</v>
      </c>
      <c r="J1497" s="2">
        <f t="shared" si="23"/>
        <v>43749.522393483792</v>
      </c>
    </row>
    <row r="1498" spans="1:10" x14ac:dyDescent="0.25">
      <c r="A1498" s="7" t="s">
        <v>53623</v>
      </c>
      <c r="B1498" s="8">
        <v>393.75</v>
      </c>
      <c r="C1498" s="8">
        <v>20.531590000000001</v>
      </c>
      <c r="D1498" s="8">
        <v>53</v>
      </c>
      <c r="E1498" s="8">
        <v>0</v>
      </c>
      <c r="F1498" s="8">
        <v>0</v>
      </c>
      <c r="G1498" s="8">
        <v>0</v>
      </c>
      <c r="H1498" s="8" t="s">
        <v>53624</v>
      </c>
      <c r="I1498" s="8">
        <v>526.5</v>
      </c>
      <c r="J1498" s="3">
        <f t="shared" si="23"/>
        <v>43749.522476701386</v>
      </c>
    </row>
    <row r="1499" spans="1:10" x14ac:dyDescent="0.25">
      <c r="A1499" s="5" t="s">
        <v>53625</v>
      </c>
      <c r="B1499" s="6">
        <v>393.75</v>
      </c>
      <c r="C1499" s="6">
        <v>20.531590000000001</v>
      </c>
      <c r="D1499" s="6">
        <v>53</v>
      </c>
      <c r="E1499" s="6">
        <v>0</v>
      </c>
      <c r="F1499" s="6">
        <v>0</v>
      </c>
      <c r="G1499" s="6">
        <v>0</v>
      </c>
      <c r="H1499" s="6" t="s">
        <v>53626</v>
      </c>
      <c r="I1499" s="6">
        <v>526.875</v>
      </c>
      <c r="J1499" s="2">
        <f t="shared" si="23"/>
        <v>43749.522572187496</v>
      </c>
    </row>
    <row r="1500" spans="1:10" x14ac:dyDescent="0.25">
      <c r="A1500" s="7" t="s">
        <v>53627</v>
      </c>
      <c r="B1500" s="8">
        <v>393.75</v>
      </c>
      <c r="C1500" s="8">
        <v>20.531590000000001</v>
      </c>
      <c r="D1500" s="8">
        <v>53</v>
      </c>
      <c r="E1500" s="8">
        <v>0</v>
      </c>
      <c r="F1500" s="8">
        <v>0</v>
      </c>
      <c r="G1500" s="8">
        <v>0</v>
      </c>
      <c r="H1500" s="8" t="s">
        <v>53628</v>
      </c>
      <c r="I1500" s="8">
        <v>526.6875</v>
      </c>
      <c r="J1500" s="3">
        <f t="shared" si="23"/>
        <v>43749.522643379627</v>
      </c>
    </row>
    <row r="1501" spans="1:10" x14ac:dyDescent="0.25">
      <c r="A1501" s="5" t="s">
        <v>53629</v>
      </c>
      <c r="B1501" s="6">
        <v>393.75</v>
      </c>
      <c r="C1501" s="6">
        <v>20.584240000000001</v>
      </c>
      <c r="D1501" s="6">
        <v>52</v>
      </c>
      <c r="E1501" s="6">
        <v>0</v>
      </c>
      <c r="F1501" s="6">
        <v>0</v>
      </c>
      <c r="G1501" s="6">
        <v>0</v>
      </c>
      <c r="H1501" s="6" t="s">
        <v>53630</v>
      </c>
      <c r="I1501" s="6">
        <v>526.6875</v>
      </c>
      <c r="J1501" s="2">
        <f t="shared" si="23"/>
        <v>43749.522727083335</v>
      </c>
    </row>
    <row r="1502" spans="1:10" x14ac:dyDescent="0.25">
      <c r="A1502" s="7" t="s">
        <v>53631</v>
      </c>
      <c r="B1502" s="8">
        <v>393.75</v>
      </c>
      <c r="C1502" s="8">
        <v>20.584240000000001</v>
      </c>
      <c r="D1502" s="8">
        <v>52</v>
      </c>
      <c r="E1502" s="8">
        <v>0</v>
      </c>
      <c r="F1502" s="8">
        <v>0</v>
      </c>
      <c r="G1502" s="8">
        <v>0</v>
      </c>
      <c r="H1502" s="8" t="s">
        <v>53632</v>
      </c>
      <c r="I1502" s="8">
        <v>526.6875</v>
      </c>
      <c r="J1502" s="3">
        <f t="shared" si="23"/>
        <v>43749.522798831014</v>
      </c>
    </row>
    <row r="1503" spans="1:10" x14ac:dyDescent="0.25">
      <c r="A1503" s="5" t="s">
        <v>53633</v>
      </c>
      <c r="B1503" s="6">
        <v>393.75</v>
      </c>
      <c r="C1503" s="6">
        <v>20.584240000000001</v>
      </c>
      <c r="D1503" s="6">
        <v>53</v>
      </c>
      <c r="E1503" s="6">
        <v>0</v>
      </c>
      <c r="F1503" s="6">
        <v>0</v>
      </c>
      <c r="G1503" s="6">
        <v>2</v>
      </c>
      <c r="H1503" s="6" t="s">
        <v>53634</v>
      </c>
      <c r="I1503" s="6">
        <v>526.6875</v>
      </c>
      <c r="J1503" s="2">
        <f t="shared" si="23"/>
        <v>43749.522882916666</v>
      </c>
    </row>
    <row r="1504" spans="1:10" x14ac:dyDescent="0.25">
      <c r="A1504" s="7" t="s">
        <v>53635</v>
      </c>
      <c r="B1504" s="8">
        <v>393.75</v>
      </c>
      <c r="C1504" s="8">
        <v>20.584240000000001</v>
      </c>
      <c r="D1504" s="8">
        <v>52</v>
      </c>
      <c r="E1504" s="8">
        <v>0</v>
      </c>
      <c r="F1504" s="8">
        <v>0</v>
      </c>
      <c r="G1504" s="8">
        <v>6</v>
      </c>
      <c r="H1504" s="8" t="s">
        <v>53636</v>
      </c>
      <c r="I1504" s="8">
        <v>526.6875</v>
      </c>
      <c r="J1504" s="3">
        <f t="shared" si="23"/>
        <v>43749.522965902775</v>
      </c>
    </row>
    <row r="1505" spans="1:10" x14ac:dyDescent="0.25">
      <c r="A1505" s="5" t="s">
        <v>53637</v>
      </c>
      <c r="B1505" s="6">
        <v>393.75</v>
      </c>
      <c r="C1505" s="6">
        <v>20.531590000000001</v>
      </c>
      <c r="D1505" s="6">
        <v>51</v>
      </c>
      <c r="E1505" s="6">
        <v>0</v>
      </c>
      <c r="F1505" s="6">
        <v>0</v>
      </c>
      <c r="G1505" s="6">
        <v>0</v>
      </c>
      <c r="H1505" s="6" t="s">
        <v>53638</v>
      </c>
      <c r="I1505" s="6">
        <v>526.6875</v>
      </c>
      <c r="J1505" s="2">
        <f t="shared" si="23"/>
        <v>43749.523061215274</v>
      </c>
    </row>
    <row r="1506" spans="1:10" x14ac:dyDescent="0.25">
      <c r="A1506" s="7" t="s">
        <v>53639</v>
      </c>
      <c r="B1506" s="8">
        <v>393.75</v>
      </c>
      <c r="C1506" s="8">
        <v>20.531590000000001</v>
      </c>
      <c r="D1506" s="8">
        <v>50</v>
      </c>
      <c r="E1506" s="8">
        <v>0</v>
      </c>
      <c r="F1506" s="8">
        <v>0</v>
      </c>
      <c r="G1506" s="8">
        <v>0</v>
      </c>
      <c r="H1506" s="8" t="s">
        <v>53640</v>
      </c>
      <c r="I1506" s="8">
        <v>526.6875</v>
      </c>
      <c r="J1506" s="3">
        <f t="shared" si="23"/>
        <v>43749.523144884261</v>
      </c>
    </row>
    <row r="1507" spans="1:10" x14ac:dyDescent="0.25">
      <c r="A1507" s="5" t="s">
        <v>53641</v>
      </c>
      <c r="B1507" s="6">
        <v>393.75</v>
      </c>
      <c r="C1507" s="6">
        <v>20.531590000000001</v>
      </c>
      <c r="D1507" s="6">
        <v>51</v>
      </c>
      <c r="E1507" s="6">
        <v>0</v>
      </c>
      <c r="F1507" s="6">
        <v>0</v>
      </c>
      <c r="G1507" s="6">
        <v>8</v>
      </c>
      <c r="H1507" s="6" t="s">
        <v>53642</v>
      </c>
      <c r="I1507" s="6">
        <v>526.6875</v>
      </c>
      <c r="J1507" s="2">
        <f t="shared" si="23"/>
        <v>43749.52321608796</v>
      </c>
    </row>
    <row r="1508" spans="1:10" x14ac:dyDescent="0.25">
      <c r="A1508" s="7" t="s">
        <v>53643</v>
      </c>
      <c r="B1508" s="8">
        <v>393.75</v>
      </c>
      <c r="C1508" s="8">
        <v>20.584240000000001</v>
      </c>
      <c r="D1508" s="8">
        <v>53</v>
      </c>
      <c r="E1508" s="8">
        <v>0</v>
      </c>
      <c r="F1508" s="8">
        <v>0</v>
      </c>
      <c r="G1508" s="8">
        <v>6</v>
      </c>
      <c r="H1508" s="8" t="s">
        <v>53644</v>
      </c>
      <c r="I1508" s="8">
        <v>526.6875</v>
      </c>
      <c r="J1508" s="3">
        <f t="shared" si="23"/>
        <v>43749.523287939817</v>
      </c>
    </row>
    <row r="1509" spans="1:10" x14ac:dyDescent="0.25">
      <c r="A1509" s="5" t="s">
        <v>53645</v>
      </c>
      <c r="B1509" s="6">
        <v>393.75</v>
      </c>
      <c r="C1509" s="6">
        <v>20.478950000000001</v>
      </c>
      <c r="D1509" s="6">
        <v>52</v>
      </c>
      <c r="E1509" s="6">
        <v>0</v>
      </c>
      <c r="F1509" s="6">
        <v>0</v>
      </c>
      <c r="G1509" s="6">
        <v>0</v>
      </c>
      <c r="H1509" s="6" t="s">
        <v>53646</v>
      </c>
      <c r="I1509" s="6">
        <v>526.6875</v>
      </c>
      <c r="J1509" s="2">
        <f t="shared" si="23"/>
        <v>43749.523371180556</v>
      </c>
    </row>
    <row r="1510" spans="1:10" x14ac:dyDescent="0.25">
      <c r="A1510" s="7" t="s">
        <v>53647</v>
      </c>
      <c r="B1510" s="8">
        <v>412.5</v>
      </c>
      <c r="C1510" s="8">
        <v>20.584240000000001</v>
      </c>
      <c r="D1510" s="8">
        <v>52</v>
      </c>
      <c r="E1510" s="8">
        <v>0</v>
      </c>
      <c r="F1510" s="8">
        <v>0</v>
      </c>
      <c r="G1510" s="8">
        <v>0</v>
      </c>
      <c r="H1510" s="8" t="s">
        <v>53648</v>
      </c>
      <c r="I1510" s="8">
        <v>532.6875</v>
      </c>
      <c r="J1510" s="3">
        <f t="shared" si="23"/>
        <v>43749.523442928235</v>
      </c>
    </row>
    <row r="1511" spans="1:10" x14ac:dyDescent="0.25">
      <c r="A1511" s="5" t="s">
        <v>53649</v>
      </c>
      <c r="B1511" s="6">
        <v>393.75</v>
      </c>
      <c r="C1511" s="6">
        <v>20.584240000000001</v>
      </c>
      <c r="D1511" s="6">
        <v>53</v>
      </c>
      <c r="E1511" s="6">
        <v>0</v>
      </c>
      <c r="F1511" s="6">
        <v>0</v>
      </c>
      <c r="G1511" s="6">
        <v>0</v>
      </c>
      <c r="H1511" s="6" t="s">
        <v>53650</v>
      </c>
      <c r="I1511" s="6">
        <v>526.6875</v>
      </c>
      <c r="J1511" s="2">
        <f t="shared" si="23"/>
        <v>43749.523526388883</v>
      </c>
    </row>
    <row r="1512" spans="1:10" x14ac:dyDescent="0.25">
      <c r="A1512" s="7" t="s">
        <v>53651</v>
      </c>
      <c r="B1512" s="8">
        <v>393.75</v>
      </c>
      <c r="C1512" s="8">
        <v>20.584240000000001</v>
      </c>
      <c r="D1512" s="8">
        <v>53</v>
      </c>
      <c r="E1512" s="8">
        <v>0</v>
      </c>
      <c r="F1512" s="8">
        <v>0</v>
      </c>
      <c r="G1512" s="8">
        <v>10</v>
      </c>
      <c r="H1512" s="8" t="s">
        <v>53652</v>
      </c>
      <c r="I1512" s="8">
        <v>526.6875</v>
      </c>
      <c r="J1512" s="3">
        <f t="shared" si="23"/>
        <v>43749.523609930555</v>
      </c>
    </row>
    <row r="1513" spans="1:10" x14ac:dyDescent="0.25">
      <c r="A1513" s="5" t="s">
        <v>53653</v>
      </c>
      <c r="B1513" s="6">
        <v>393.75</v>
      </c>
      <c r="C1513" s="6">
        <v>20.478950000000001</v>
      </c>
      <c r="D1513" s="6">
        <v>53</v>
      </c>
      <c r="E1513" s="6">
        <v>0</v>
      </c>
      <c r="F1513" s="6">
        <v>0</v>
      </c>
      <c r="G1513" s="6">
        <v>10</v>
      </c>
      <c r="H1513" s="6" t="s">
        <v>53654</v>
      </c>
      <c r="I1513" s="6">
        <v>526.6875</v>
      </c>
      <c r="J1513" s="2">
        <f t="shared" si="23"/>
        <v>43749.523693379626</v>
      </c>
    </row>
    <row r="1514" spans="1:10" x14ac:dyDescent="0.25">
      <c r="A1514" s="7" t="s">
        <v>53655</v>
      </c>
      <c r="B1514" s="8">
        <v>393.75</v>
      </c>
      <c r="C1514" s="8">
        <v>20.531590000000001</v>
      </c>
      <c r="D1514" s="8">
        <v>51</v>
      </c>
      <c r="E1514" s="8">
        <v>0</v>
      </c>
      <c r="F1514" s="8">
        <v>0</v>
      </c>
      <c r="G1514" s="8">
        <v>8</v>
      </c>
      <c r="H1514" s="8" t="s">
        <v>53656</v>
      </c>
      <c r="I1514" s="8">
        <v>526.6875</v>
      </c>
      <c r="J1514" s="3">
        <f t="shared" si="23"/>
        <v>43749.523776944443</v>
      </c>
    </row>
    <row r="1515" spans="1:10" x14ac:dyDescent="0.25">
      <c r="A1515" s="5" t="s">
        <v>53657</v>
      </c>
      <c r="B1515" s="6">
        <v>412.5</v>
      </c>
      <c r="C1515" s="6">
        <v>20.531590000000001</v>
      </c>
      <c r="D1515" s="6">
        <v>51</v>
      </c>
      <c r="E1515" s="6">
        <v>0</v>
      </c>
      <c r="F1515" s="6">
        <v>0</v>
      </c>
      <c r="G1515" s="6">
        <v>8</v>
      </c>
      <c r="H1515" s="6" t="s">
        <v>53658</v>
      </c>
      <c r="I1515" s="6">
        <v>532.6875</v>
      </c>
      <c r="J1515" s="2">
        <f t="shared" si="23"/>
        <v>43749.523860173613</v>
      </c>
    </row>
    <row r="1516" spans="1:10" x14ac:dyDescent="0.25">
      <c r="A1516" s="7" t="s">
        <v>53659</v>
      </c>
      <c r="B1516" s="8">
        <v>393.75</v>
      </c>
      <c r="C1516" s="8">
        <v>20.531590000000001</v>
      </c>
      <c r="D1516" s="8">
        <v>49</v>
      </c>
      <c r="E1516" s="8">
        <v>0</v>
      </c>
      <c r="F1516" s="8">
        <v>0</v>
      </c>
      <c r="G1516" s="8">
        <v>12</v>
      </c>
      <c r="H1516" s="8" t="s">
        <v>53660</v>
      </c>
      <c r="I1516" s="8">
        <v>526.6875</v>
      </c>
      <c r="J1516" s="3">
        <f t="shared" si="23"/>
        <v>43749.5239439699</v>
      </c>
    </row>
    <row r="1517" spans="1:10" x14ac:dyDescent="0.25">
      <c r="A1517" s="5" t="s">
        <v>53661</v>
      </c>
      <c r="B1517" s="6">
        <v>393.75</v>
      </c>
      <c r="C1517" s="6">
        <v>20.584240000000001</v>
      </c>
      <c r="D1517" s="6">
        <v>50</v>
      </c>
      <c r="E1517" s="6">
        <v>0</v>
      </c>
      <c r="F1517" s="6">
        <v>0</v>
      </c>
      <c r="G1517" s="6">
        <v>7</v>
      </c>
      <c r="H1517" s="6" t="s">
        <v>53662</v>
      </c>
      <c r="I1517" s="6">
        <v>526.6875</v>
      </c>
      <c r="J1517" s="2">
        <f t="shared" si="23"/>
        <v>43749.524027650456</v>
      </c>
    </row>
    <row r="1518" spans="1:10" x14ac:dyDescent="0.25">
      <c r="A1518" s="7" t="s">
        <v>53663</v>
      </c>
      <c r="B1518" s="8">
        <v>393.75</v>
      </c>
      <c r="C1518" s="8">
        <v>20.531590000000001</v>
      </c>
      <c r="D1518" s="8">
        <v>50</v>
      </c>
      <c r="E1518" s="8">
        <v>0</v>
      </c>
      <c r="F1518" s="8">
        <v>0</v>
      </c>
      <c r="G1518" s="8">
        <v>8</v>
      </c>
      <c r="H1518" s="8" t="s">
        <v>53664</v>
      </c>
      <c r="I1518" s="8">
        <v>526.6875</v>
      </c>
      <c r="J1518" s="3">
        <f t="shared" si="23"/>
        <v>43749.524098935181</v>
      </c>
    </row>
    <row r="1519" spans="1:10" x14ac:dyDescent="0.25">
      <c r="A1519" s="5" t="s">
        <v>53665</v>
      </c>
      <c r="B1519" s="6">
        <v>393.75</v>
      </c>
      <c r="C1519" s="6">
        <v>20.531590000000001</v>
      </c>
      <c r="D1519" s="6">
        <v>50</v>
      </c>
      <c r="E1519" s="6">
        <v>0</v>
      </c>
      <c r="F1519" s="6">
        <v>0</v>
      </c>
      <c r="G1519" s="6">
        <v>17</v>
      </c>
      <c r="H1519" s="6" t="s">
        <v>53666</v>
      </c>
      <c r="I1519" s="6">
        <v>526.6875</v>
      </c>
      <c r="J1519" s="2">
        <f t="shared" si="23"/>
        <v>43749.524182268513</v>
      </c>
    </row>
    <row r="1520" spans="1:10" x14ac:dyDescent="0.25">
      <c r="A1520" s="7" t="s">
        <v>53667</v>
      </c>
      <c r="B1520" s="8">
        <v>393.75</v>
      </c>
      <c r="C1520" s="8">
        <v>20.531590000000001</v>
      </c>
      <c r="D1520" s="8">
        <v>50</v>
      </c>
      <c r="E1520" s="8">
        <v>0</v>
      </c>
      <c r="F1520" s="8">
        <v>0</v>
      </c>
      <c r="G1520" s="8">
        <v>14</v>
      </c>
      <c r="H1520" s="8" t="s">
        <v>53668</v>
      </c>
      <c r="I1520" s="8">
        <v>526.6875</v>
      </c>
      <c r="J1520" s="3">
        <f t="shared" si="23"/>
        <v>43749.524254050928</v>
      </c>
    </row>
    <row r="1521" spans="1:10" x14ac:dyDescent="0.25">
      <c r="A1521" s="5" t="s">
        <v>53669</v>
      </c>
      <c r="B1521" s="6">
        <v>393.75</v>
      </c>
      <c r="C1521" s="6">
        <v>20.531590000000001</v>
      </c>
      <c r="D1521" s="6">
        <v>51</v>
      </c>
      <c r="E1521" s="6">
        <v>0</v>
      </c>
      <c r="F1521" s="6">
        <v>0</v>
      </c>
      <c r="G1521" s="6">
        <v>14</v>
      </c>
      <c r="H1521" s="6" t="s">
        <v>53670</v>
      </c>
      <c r="I1521" s="6">
        <v>526.6875</v>
      </c>
      <c r="J1521" s="2">
        <f t="shared" si="23"/>
        <v>43749.524337650459</v>
      </c>
    </row>
    <row r="1522" spans="1:10" x14ac:dyDescent="0.25">
      <c r="A1522" s="7" t="s">
        <v>53671</v>
      </c>
      <c r="B1522" s="8">
        <v>393.75</v>
      </c>
      <c r="C1522" s="8">
        <v>20.584240000000001</v>
      </c>
      <c r="D1522" s="8">
        <v>50</v>
      </c>
      <c r="E1522" s="8">
        <v>0</v>
      </c>
      <c r="F1522" s="8">
        <v>0</v>
      </c>
      <c r="G1522" s="8">
        <v>20</v>
      </c>
      <c r="H1522" s="8" t="s">
        <v>53672</v>
      </c>
      <c r="I1522" s="8">
        <v>526.6875</v>
      </c>
      <c r="J1522" s="3">
        <f t="shared" si="23"/>
        <v>43749.524421076385</v>
      </c>
    </row>
    <row r="1523" spans="1:10" x14ac:dyDescent="0.25">
      <c r="A1523" s="5" t="s">
        <v>53673</v>
      </c>
      <c r="B1523" s="6">
        <v>393.75</v>
      </c>
      <c r="C1523" s="6">
        <v>20.531590000000001</v>
      </c>
      <c r="D1523" s="6">
        <v>50</v>
      </c>
      <c r="E1523" s="6">
        <v>0</v>
      </c>
      <c r="F1523" s="6">
        <v>0</v>
      </c>
      <c r="G1523" s="6">
        <v>18</v>
      </c>
      <c r="H1523" s="6" t="s">
        <v>53674</v>
      </c>
      <c r="I1523" s="6">
        <v>526.6875</v>
      </c>
      <c r="J1523" s="2">
        <f t="shared" si="23"/>
        <v>43749.524504490742</v>
      </c>
    </row>
    <row r="1524" spans="1:10" x14ac:dyDescent="0.25">
      <c r="A1524" s="7" t="s">
        <v>53675</v>
      </c>
      <c r="B1524" s="8">
        <v>393.75</v>
      </c>
      <c r="C1524" s="8">
        <v>20.531590000000001</v>
      </c>
      <c r="D1524" s="8">
        <v>51</v>
      </c>
      <c r="E1524" s="8">
        <v>0</v>
      </c>
      <c r="F1524" s="8">
        <v>0</v>
      </c>
      <c r="G1524" s="8">
        <v>27</v>
      </c>
      <c r="H1524" s="8" t="s">
        <v>53676</v>
      </c>
      <c r="I1524" s="8">
        <v>526.6875</v>
      </c>
      <c r="J1524" s="3">
        <f t="shared" si="23"/>
        <v>43749.524599976845</v>
      </c>
    </row>
    <row r="1525" spans="1:10" x14ac:dyDescent="0.25">
      <c r="A1525" s="5" t="s">
        <v>53677</v>
      </c>
      <c r="B1525" s="6">
        <v>393.75</v>
      </c>
      <c r="C1525" s="6">
        <v>20.478950000000001</v>
      </c>
      <c r="D1525" s="6">
        <v>52</v>
      </c>
      <c r="E1525" s="6">
        <v>0</v>
      </c>
      <c r="F1525" s="6">
        <v>0</v>
      </c>
      <c r="G1525" s="6">
        <v>28</v>
      </c>
      <c r="H1525" s="6" t="s">
        <v>53678</v>
      </c>
      <c r="I1525" s="6">
        <v>526.6875</v>
      </c>
      <c r="J1525" s="2">
        <f t="shared" si="23"/>
        <v>43749.524683437499</v>
      </c>
    </row>
    <row r="1526" spans="1:10" x14ac:dyDescent="0.25">
      <c r="A1526" s="7" t="s">
        <v>53679</v>
      </c>
      <c r="B1526" s="8">
        <v>393.75</v>
      </c>
      <c r="C1526" s="8">
        <v>20.531590000000001</v>
      </c>
      <c r="D1526" s="8">
        <v>53</v>
      </c>
      <c r="E1526" s="8">
        <v>0</v>
      </c>
      <c r="F1526" s="8">
        <v>0</v>
      </c>
      <c r="G1526" s="8">
        <v>28</v>
      </c>
      <c r="H1526" s="8" t="s">
        <v>53680</v>
      </c>
      <c r="I1526" s="8">
        <v>526.6875</v>
      </c>
      <c r="J1526" s="3">
        <f t="shared" si="23"/>
        <v>43749.524767083327</v>
      </c>
    </row>
    <row r="1527" spans="1:10" x14ac:dyDescent="0.25">
      <c r="A1527" s="5" t="s">
        <v>53681</v>
      </c>
      <c r="B1527" s="6">
        <v>412.5</v>
      </c>
      <c r="C1527" s="6">
        <v>20.531590000000001</v>
      </c>
      <c r="D1527" s="6">
        <v>52</v>
      </c>
      <c r="E1527" s="6">
        <v>0</v>
      </c>
      <c r="F1527" s="6">
        <v>0</v>
      </c>
      <c r="G1527" s="6">
        <v>29</v>
      </c>
      <c r="H1527" s="6" t="s">
        <v>53682</v>
      </c>
      <c r="I1527" s="6">
        <v>532.6875</v>
      </c>
      <c r="J1527" s="2">
        <f t="shared" si="23"/>
        <v>43749.524850451387</v>
      </c>
    </row>
    <row r="1528" spans="1:10" x14ac:dyDescent="0.25">
      <c r="A1528" s="7" t="s">
        <v>53683</v>
      </c>
      <c r="B1528" s="8">
        <v>393.75</v>
      </c>
      <c r="C1528" s="8">
        <v>20.531590000000001</v>
      </c>
      <c r="D1528" s="8">
        <v>52</v>
      </c>
      <c r="E1528" s="8">
        <v>0</v>
      </c>
      <c r="F1528" s="8">
        <v>0</v>
      </c>
      <c r="G1528" s="8">
        <v>21</v>
      </c>
      <c r="H1528" s="8" t="s">
        <v>53684</v>
      </c>
      <c r="I1528" s="8">
        <v>526.6875</v>
      </c>
      <c r="J1528" s="3">
        <f t="shared" si="23"/>
        <v>43749.524934247682</v>
      </c>
    </row>
    <row r="1529" spans="1:10" x14ac:dyDescent="0.25">
      <c r="A1529" s="5" t="s">
        <v>53685</v>
      </c>
      <c r="B1529" s="6">
        <v>393.75</v>
      </c>
      <c r="C1529" s="6">
        <v>20.531590000000001</v>
      </c>
      <c r="D1529" s="6">
        <v>52</v>
      </c>
      <c r="E1529" s="6">
        <v>0</v>
      </c>
      <c r="F1529" s="6">
        <v>0</v>
      </c>
      <c r="G1529" s="6">
        <v>9</v>
      </c>
      <c r="H1529" s="6" t="s">
        <v>53686</v>
      </c>
      <c r="I1529" s="6">
        <v>526.5</v>
      </c>
      <c r="J1529" s="2">
        <f t="shared" si="23"/>
        <v>43749.525017476852</v>
      </c>
    </row>
    <row r="1530" spans="1:10" x14ac:dyDescent="0.25">
      <c r="A1530" s="7" t="s">
        <v>53687</v>
      </c>
      <c r="B1530" s="8">
        <v>393.75</v>
      </c>
      <c r="C1530" s="8">
        <v>20.531590000000001</v>
      </c>
      <c r="D1530" s="8">
        <v>52</v>
      </c>
      <c r="E1530" s="8">
        <v>0</v>
      </c>
      <c r="F1530" s="8">
        <v>0</v>
      </c>
      <c r="G1530" s="8">
        <v>18</v>
      </c>
      <c r="H1530" s="8" t="s">
        <v>53688</v>
      </c>
      <c r="I1530" s="8">
        <v>526.6875</v>
      </c>
      <c r="J1530" s="3">
        <f t="shared" si="23"/>
        <v>43749.525100798608</v>
      </c>
    </row>
    <row r="1531" spans="1:10" x14ac:dyDescent="0.25">
      <c r="A1531" s="5" t="s">
        <v>53689</v>
      </c>
      <c r="B1531" s="6">
        <v>393.75</v>
      </c>
      <c r="C1531" s="6">
        <v>20.584240000000001</v>
      </c>
      <c r="D1531" s="6">
        <v>51</v>
      </c>
      <c r="E1531" s="6">
        <v>0</v>
      </c>
      <c r="F1531" s="6">
        <v>0</v>
      </c>
      <c r="G1531" s="6">
        <v>11</v>
      </c>
      <c r="H1531" s="6" t="s">
        <v>53690</v>
      </c>
      <c r="I1531" s="6">
        <v>526.6875</v>
      </c>
      <c r="J1531" s="2">
        <f t="shared" si="23"/>
        <v>43749.525184594902</v>
      </c>
    </row>
    <row r="1532" spans="1:10" x14ac:dyDescent="0.25">
      <c r="A1532" s="7" t="s">
        <v>53691</v>
      </c>
      <c r="B1532" s="8">
        <v>393.75</v>
      </c>
      <c r="C1532" s="8">
        <v>20.584240000000001</v>
      </c>
      <c r="D1532" s="8">
        <v>50</v>
      </c>
      <c r="E1532" s="8">
        <v>0</v>
      </c>
      <c r="F1532" s="8">
        <v>0</v>
      </c>
      <c r="G1532" s="8">
        <v>10</v>
      </c>
      <c r="H1532" s="8" t="s">
        <v>53692</v>
      </c>
      <c r="I1532" s="8">
        <v>526.6875</v>
      </c>
      <c r="J1532" s="3">
        <f t="shared" si="23"/>
        <v>43749.525267627316</v>
      </c>
    </row>
    <row r="1533" spans="1:10" x14ac:dyDescent="0.25">
      <c r="A1533" s="5" t="s">
        <v>53693</v>
      </c>
      <c r="B1533" s="6">
        <v>393.75</v>
      </c>
      <c r="C1533" s="6">
        <v>20.478950000000001</v>
      </c>
      <c r="D1533" s="6">
        <v>50</v>
      </c>
      <c r="E1533" s="6">
        <v>0</v>
      </c>
      <c r="F1533" s="6">
        <v>0</v>
      </c>
      <c r="G1533" s="6">
        <v>19</v>
      </c>
      <c r="H1533" s="6" t="s">
        <v>53694</v>
      </c>
      <c r="I1533" s="6">
        <v>526.5</v>
      </c>
      <c r="J1533" s="2">
        <f t="shared" si="23"/>
        <v>43749.52533921296</v>
      </c>
    </row>
    <row r="1534" spans="1:10" x14ac:dyDescent="0.25">
      <c r="A1534" s="7" t="s">
        <v>53695</v>
      </c>
      <c r="B1534" s="8">
        <v>393.75</v>
      </c>
      <c r="C1534" s="8">
        <v>20.531590000000001</v>
      </c>
      <c r="D1534" s="8">
        <v>51</v>
      </c>
      <c r="E1534" s="8">
        <v>0</v>
      </c>
      <c r="F1534" s="8">
        <v>0</v>
      </c>
      <c r="G1534" s="8">
        <v>15</v>
      </c>
      <c r="H1534" s="8" t="s">
        <v>53696</v>
      </c>
      <c r="I1534" s="8">
        <v>526.6875</v>
      </c>
      <c r="J1534" s="3">
        <f t="shared" si="23"/>
        <v>43749.525423124993</v>
      </c>
    </row>
    <row r="1535" spans="1:10" x14ac:dyDescent="0.25">
      <c r="A1535" s="5" t="s">
        <v>53697</v>
      </c>
      <c r="B1535" s="6">
        <v>393.75</v>
      </c>
      <c r="C1535" s="6">
        <v>20.531590000000001</v>
      </c>
      <c r="D1535" s="6">
        <v>52</v>
      </c>
      <c r="E1535" s="6">
        <v>0</v>
      </c>
      <c r="F1535" s="6">
        <v>0</v>
      </c>
      <c r="G1535" s="6">
        <v>15</v>
      </c>
      <c r="H1535" s="6" t="s">
        <v>53698</v>
      </c>
      <c r="I1535" s="6">
        <v>526.6875</v>
      </c>
      <c r="J1535" s="2">
        <f t="shared" si="23"/>
        <v>43749.525494537033</v>
      </c>
    </row>
    <row r="1536" spans="1:10" x14ac:dyDescent="0.25">
      <c r="A1536" s="7" t="s">
        <v>53699</v>
      </c>
      <c r="B1536" s="8">
        <v>393.75</v>
      </c>
      <c r="C1536" s="8">
        <v>20.531590000000001</v>
      </c>
      <c r="D1536" s="8">
        <v>50</v>
      </c>
      <c r="E1536" s="8">
        <v>0</v>
      </c>
      <c r="F1536" s="8">
        <v>0</v>
      </c>
      <c r="G1536" s="8">
        <v>16</v>
      </c>
      <c r="H1536" s="8" t="s">
        <v>53700</v>
      </c>
      <c r="I1536" s="8">
        <v>526.6875</v>
      </c>
      <c r="J1536" s="3">
        <f t="shared" si="23"/>
        <v>43749.525578113426</v>
      </c>
    </row>
    <row r="1537" spans="1:10" x14ac:dyDescent="0.25">
      <c r="A1537" s="5" t="s">
        <v>53701</v>
      </c>
      <c r="B1537" s="6">
        <v>393.75</v>
      </c>
      <c r="C1537" s="6">
        <v>20.531590000000001</v>
      </c>
      <c r="D1537" s="6">
        <v>49</v>
      </c>
      <c r="E1537" s="6">
        <v>0</v>
      </c>
      <c r="F1537" s="6">
        <v>0</v>
      </c>
      <c r="G1537" s="6">
        <v>5</v>
      </c>
      <c r="H1537" s="6" t="s">
        <v>53702</v>
      </c>
      <c r="I1537" s="6">
        <v>526.6875</v>
      </c>
      <c r="J1537" s="2">
        <f t="shared" si="23"/>
        <v>43749.525661574073</v>
      </c>
    </row>
    <row r="1538" spans="1:10" x14ac:dyDescent="0.25">
      <c r="A1538" s="7" t="s">
        <v>53703</v>
      </c>
      <c r="B1538" s="8">
        <v>393.75</v>
      </c>
      <c r="C1538" s="8">
        <v>20.531590000000001</v>
      </c>
      <c r="D1538" s="8">
        <v>48</v>
      </c>
      <c r="E1538" s="8">
        <v>0</v>
      </c>
      <c r="F1538" s="8">
        <v>0</v>
      </c>
      <c r="G1538" s="8">
        <v>8</v>
      </c>
      <c r="H1538" s="8" t="s">
        <v>53704</v>
      </c>
      <c r="I1538" s="8">
        <v>526.6875</v>
      </c>
      <c r="J1538" s="3">
        <f t="shared" ref="J1538:J1601" si="24">(H1538/86400000)+25569+(7/24)</f>
        <v>43749.525758993048</v>
      </c>
    </row>
    <row r="1539" spans="1:10" x14ac:dyDescent="0.25">
      <c r="A1539" s="5" t="s">
        <v>53705</v>
      </c>
      <c r="B1539" s="6">
        <v>412.5</v>
      </c>
      <c r="C1539" s="6">
        <v>20.478950000000001</v>
      </c>
      <c r="D1539" s="6">
        <v>46</v>
      </c>
      <c r="E1539" s="6">
        <v>0</v>
      </c>
      <c r="F1539" s="6">
        <v>0</v>
      </c>
      <c r="G1539" s="6">
        <v>16</v>
      </c>
      <c r="H1539" s="6" t="s">
        <v>53706</v>
      </c>
      <c r="I1539" s="6">
        <v>532.5</v>
      </c>
      <c r="J1539" s="2">
        <f t="shared" si="24"/>
        <v>43749.525840486109</v>
      </c>
    </row>
    <row r="1540" spans="1:10" x14ac:dyDescent="0.25">
      <c r="A1540" s="7" t="s">
        <v>53707</v>
      </c>
      <c r="B1540" s="8">
        <v>393.75</v>
      </c>
      <c r="C1540" s="8">
        <v>20.531590000000001</v>
      </c>
      <c r="D1540" s="8">
        <v>46</v>
      </c>
      <c r="E1540" s="8">
        <v>0</v>
      </c>
      <c r="F1540" s="8">
        <v>0</v>
      </c>
      <c r="G1540" s="8">
        <v>17</v>
      </c>
      <c r="H1540" s="8" t="s">
        <v>53708</v>
      </c>
      <c r="I1540" s="8">
        <v>526.6875</v>
      </c>
      <c r="J1540" s="3">
        <f t="shared" si="24"/>
        <v>43749.525923958332</v>
      </c>
    </row>
    <row r="1541" spans="1:10" x14ac:dyDescent="0.25">
      <c r="A1541" s="5" t="s">
        <v>53709</v>
      </c>
      <c r="B1541" s="6">
        <v>412.5</v>
      </c>
      <c r="C1541" s="6">
        <v>20.531590000000001</v>
      </c>
      <c r="D1541" s="6">
        <v>46</v>
      </c>
      <c r="E1541" s="6">
        <v>0</v>
      </c>
      <c r="F1541" s="6">
        <v>0</v>
      </c>
      <c r="G1541" s="6">
        <v>9</v>
      </c>
      <c r="H1541" s="6" t="s">
        <v>53710</v>
      </c>
      <c r="I1541" s="6">
        <v>532.3125</v>
      </c>
      <c r="J1541" s="2">
        <f t="shared" si="24"/>
        <v>43749.526007511573</v>
      </c>
    </row>
    <row r="1542" spans="1:10" x14ac:dyDescent="0.25">
      <c r="A1542" s="7" t="s">
        <v>53711</v>
      </c>
      <c r="B1542" s="8">
        <v>393.75</v>
      </c>
      <c r="C1542" s="8">
        <v>20.584240000000001</v>
      </c>
      <c r="D1542" s="8">
        <v>51</v>
      </c>
      <c r="E1542" s="8">
        <v>0</v>
      </c>
      <c r="F1542" s="8">
        <v>0</v>
      </c>
      <c r="G1542" s="8">
        <v>6</v>
      </c>
      <c r="H1542" s="8" t="s">
        <v>53712</v>
      </c>
      <c r="I1542" s="8">
        <v>526.6875</v>
      </c>
      <c r="J1542" s="3">
        <f t="shared" si="24"/>
        <v>43749.526091064814</v>
      </c>
    </row>
    <row r="1543" spans="1:10" x14ac:dyDescent="0.25">
      <c r="A1543" s="5" t="s">
        <v>53713</v>
      </c>
      <c r="B1543" s="6">
        <v>393.75</v>
      </c>
      <c r="C1543" s="6">
        <v>20.531590000000001</v>
      </c>
      <c r="D1543" s="6">
        <v>49</v>
      </c>
      <c r="E1543" s="6">
        <v>0</v>
      </c>
      <c r="F1543" s="6">
        <v>0</v>
      </c>
      <c r="G1543" s="6">
        <v>4</v>
      </c>
      <c r="H1543" s="6" t="s">
        <v>53714</v>
      </c>
      <c r="I1543" s="6">
        <v>526.6875</v>
      </c>
      <c r="J1543" s="2">
        <f t="shared" si="24"/>
        <v>43749.52617438657</v>
      </c>
    </row>
    <row r="1544" spans="1:10" x14ac:dyDescent="0.25">
      <c r="A1544" s="7" t="s">
        <v>53715</v>
      </c>
      <c r="B1544" s="8">
        <v>393.75</v>
      </c>
      <c r="C1544" s="8">
        <v>20.531590000000001</v>
      </c>
      <c r="D1544" s="8">
        <v>50</v>
      </c>
      <c r="E1544" s="8">
        <v>0</v>
      </c>
      <c r="F1544" s="8">
        <v>0</v>
      </c>
      <c r="G1544" s="8">
        <v>7</v>
      </c>
      <c r="H1544" s="8" t="s">
        <v>53716</v>
      </c>
      <c r="I1544" s="8">
        <v>526.6875</v>
      </c>
      <c r="J1544" s="3">
        <f t="shared" si="24"/>
        <v>43749.526246180554</v>
      </c>
    </row>
    <row r="1545" spans="1:10" x14ac:dyDescent="0.25">
      <c r="A1545" s="5" t="s">
        <v>53717</v>
      </c>
      <c r="B1545" s="6">
        <v>393.75</v>
      </c>
      <c r="C1545" s="6">
        <v>20.584240000000001</v>
      </c>
      <c r="D1545" s="6">
        <v>48</v>
      </c>
      <c r="E1545" s="6">
        <v>0</v>
      </c>
      <c r="F1545" s="6">
        <v>0</v>
      </c>
      <c r="G1545" s="6">
        <v>7</v>
      </c>
      <c r="H1545" s="6" t="s">
        <v>53718</v>
      </c>
      <c r="I1545" s="6">
        <v>526.6875</v>
      </c>
      <c r="J1545" s="2">
        <f t="shared" si="24"/>
        <v>43749.526317569442</v>
      </c>
    </row>
    <row r="1546" spans="1:10" x14ac:dyDescent="0.25">
      <c r="A1546" s="7" t="s">
        <v>53719</v>
      </c>
      <c r="B1546" s="8">
        <v>393.75</v>
      </c>
      <c r="C1546" s="8">
        <v>20.531590000000001</v>
      </c>
      <c r="D1546" s="8">
        <v>51</v>
      </c>
      <c r="E1546" s="8">
        <v>0</v>
      </c>
      <c r="F1546" s="8">
        <v>0</v>
      </c>
      <c r="G1546" s="8">
        <v>12</v>
      </c>
      <c r="H1546" s="8" t="s">
        <v>53720</v>
      </c>
      <c r="I1546" s="8">
        <v>526.6875</v>
      </c>
      <c r="J1546" s="3">
        <f t="shared" si="24"/>
        <v>43749.526400787036</v>
      </c>
    </row>
    <row r="1547" spans="1:10" x14ac:dyDescent="0.25">
      <c r="A1547" s="5" t="s">
        <v>53721</v>
      </c>
      <c r="B1547" s="6">
        <v>393.75</v>
      </c>
      <c r="C1547" s="6">
        <v>20.584240000000001</v>
      </c>
      <c r="D1547" s="6">
        <v>51</v>
      </c>
      <c r="E1547" s="6">
        <v>0</v>
      </c>
      <c r="F1547" s="6">
        <v>0</v>
      </c>
      <c r="G1547" s="6">
        <v>4</v>
      </c>
      <c r="H1547" s="6" t="s">
        <v>53722</v>
      </c>
      <c r="I1547" s="6">
        <v>526.6875</v>
      </c>
      <c r="J1547" s="2">
        <f t="shared" si="24"/>
        <v>43749.526484606475</v>
      </c>
    </row>
    <row r="1548" spans="1:10" x14ac:dyDescent="0.25">
      <c r="A1548" s="7" t="s">
        <v>53723</v>
      </c>
      <c r="B1548" s="8">
        <v>393.75</v>
      </c>
      <c r="C1548" s="8">
        <v>20.584240000000001</v>
      </c>
      <c r="D1548" s="8">
        <v>51</v>
      </c>
      <c r="E1548" s="8">
        <v>0</v>
      </c>
      <c r="F1548" s="8">
        <v>0</v>
      </c>
      <c r="G1548" s="8">
        <v>2</v>
      </c>
      <c r="H1548" s="8" t="s">
        <v>53724</v>
      </c>
      <c r="I1548" s="8">
        <v>526.6875</v>
      </c>
      <c r="J1548" s="3">
        <f t="shared" si="24"/>
        <v>43749.52656770833</v>
      </c>
    </row>
    <row r="1549" spans="1:10" x14ac:dyDescent="0.25">
      <c r="A1549" s="5" t="s">
        <v>53725</v>
      </c>
      <c r="B1549" s="6">
        <v>393.75</v>
      </c>
      <c r="C1549" s="6">
        <v>20.531590000000001</v>
      </c>
      <c r="D1549" s="6">
        <v>51</v>
      </c>
      <c r="E1549" s="6">
        <v>0</v>
      </c>
      <c r="F1549" s="6">
        <v>0</v>
      </c>
      <c r="G1549" s="6">
        <v>6</v>
      </c>
      <c r="H1549" s="6" t="s">
        <v>53726</v>
      </c>
      <c r="I1549" s="6">
        <v>526.6875</v>
      </c>
      <c r="J1549" s="2">
        <f t="shared" si="24"/>
        <v>43749.526639571755</v>
      </c>
    </row>
    <row r="1550" spans="1:10" x14ac:dyDescent="0.25">
      <c r="A1550" s="7" t="s">
        <v>53727</v>
      </c>
      <c r="B1550" s="8">
        <v>393.75</v>
      </c>
      <c r="C1550" s="8">
        <v>20.531590000000001</v>
      </c>
      <c r="D1550" s="8">
        <v>51</v>
      </c>
      <c r="E1550" s="8">
        <v>0</v>
      </c>
      <c r="F1550" s="8">
        <v>0</v>
      </c>
      <c r="G1550" s="8">
        <v>1</v>
      </c>
      <c r="H1550" s="8" t="s">
        <v>53728</v>
      </c>
      <c r="I1550" s="8">
        <v>526.6875</v>
      </c>
      <c r="J1550" s="3">
        <f t="shared" si="24"/>
        <v>43749.526723124996</v>
      </c>
    </row>
    <row r="1551" spans="1:10" x14ac:dyDescent="0.25">
      <c r="A1551" s="5" t="s">
        <v>53729</v>
      </c>
      <c r="B1551" s="6">
        <v>393.75</v>
      </c>
      <c r="C1551" s="6">
        <v>20.584240000000001</v>
      </c>
      <c r="D1551" s="6">
        <v>52</v>
      </c>
      <c r="E1551" s="6">
        <v>0</v>
      </c>
      <c r="F1551" s="6">
        <v>0</v>
      </c>
      <c r="G1551" s="6">
        <v>6</v>
      </c>
      <c r="H1551" s="6" t="s">
        <v>53730</v>
      </c>
      <c r="I1551" s="6">
        <v>526.6875</v>
      </c>
      <c r="J1551" s="2">
        <f t="shared" si="24"/>
        <v>43749.526806678237</v>
      </c>
    </row>
    <row r="1552" spans="1:10" x14ac:dyDescent="0.25">
      <c r="A1552" s="7" t="s">
        <v>53731</v>
      </c>
      <c r="B1552" s="8">
        <v>393.75</v>
      </c>
      <c r="C1552" s="8">
        <v>20.531590000000001</v>
      </c>
      <c r="D1552" s="8">
        <v>52</v>
      </c>
      <c r="E1552" s="8">
        <v>0</v>
      </c>
      <c r="F1552" s="8">
        <v>0</v>
      </c>
      <c r="G1552" s="8">
        <v>5</v>
      </c>
      <c r="H1552" s="8" t="s">
        <v>53732</v>
      </c>
      <c r="I1552" s="8">
        <v>526.6875</v>
      </c>
      <c r="J1552" s="3">
        <f t="shared" si="24"/>
        <v>43749.526889780092</v>
      </c>
    </row>
    <row r="1553" spans="1:10" x14ac:dyDescent="0.25">
      <c r="A1553" s="5" t="s">
        <v>53733</v>
      </c>
      <c r="B1553" s="6">
        <v>393.75</v>
      </c>
      <c r="C1553" s="6">
        <v>20.531590000000001</v>
      </c>
      <c r="D1553" s="6">
        <v>52</v>
      </c>
      <c r="E1553" s="6">
        <v>0</v>
      </c>
      <c r="F1553" s="6">
        <v>0</v>
      </c>
      <c r="G1553" s="6">
        <v>15</v>
      </c>
      <c r="H1553" s="6" t="s">
        <v>53734</v>
      </c>
      <c r="I1553" s="6">
        <v>526.6875</v>
      </c>
      <c r="J1553" s="2">
        <f t="shared" si="24"/>
        <v>43749.526961307864</v>
      </c>
    </row>
    <row r="1554" spans="1:10" x14ac:dyDescent="0.25">
      <c r="A1554" s="7" t="s">
        <v>53735</v>
      </c>
      <c r="B1554" s="8">
        <v>393.75</v>
      </c>
      <c r="C1554" s="8">
        <v>20.531590000000001</v>
      </c>
      <c r="D1554" s="8">
        <v>56</v>
      </c>
      <c r="E1554" s="8">
        <v>0</v>
      </c>
      <c r="F1554" s="8">
        <v>0</v>
      </c>
      <c r="G1554" s="8">
        <v>12</v>
      </c>
      <c r="H1554" s="8" t="s">
        <v>53736</v>
      </c>
      <c r="I1554" s="8">
        <v>526.6875</v>
      </c>
      <c r="J1554" s="3">
        <f t="shared" si="24"/>
        <v>43749.527045243049</v>
      </c>
    </row>
    <row r="1555" spans="1:10" x14ac:dyDescent="0.25">
      <c r="A1555" s="5" t="s">
        <v>53737</v>
      </c>
      <c r="B1555" s="6">
        <v>393.75</v>
      </c>
      <c r="C1555" s="6">
        <v>20.531590000000001</v>
      </c>
      <c r="D1555" s="6">
        <v>56</v>
      </c>
      <c r="E1555" s="6">
        <v>0</v>
      </c>
      <c r="F1555" s="6">
        <v>0</v>
      </c>
      <c r="G1555" s="6">
        <v>17</v>
      </c>
      <c r="H1555" s="6" t="s">
        <v>53738</v>
      </c>
      <c r="I1555" s="6">
        <v>526.6875</v>
      </c>
      <c r="J1555" s="2">
        <f t="shared" si="24"/>
        <v>43749.527128668975</v>
      </c>
    </row>
    <row r="1556" spans="1:10" x14ac:dyDescent="0.25">
      <c r="A1556" s="7" t="s">
        <v>53739</v>
      </c>
      <c r="B1556" s="8">
        <v>393.75</v>
      </c>
      <c r="C1556" s="8">
        <v>20.531590000000001</v>
      </c>
      <c r="D1556" s="8">
        <v>55</v>
      </c>
      <c r="E1556" s="8">
        <v>0</v>
      </c>
      <c r="F1556" s="8">
        <v>0</v>
      </c>
      <c r="G1556" s="8">
        <v>6</v>
      </c>
      <c r="H1556" s="8" t="s">
        <v>53740</v>
      </c>
      <c r="I1556" s="8">
        <v>526.6875</v>
      </c>
      <c r="J1556" s="3">
        <f t="shared" si="24"/>
        <v>43749.527211921297</v>
      </c>
    </row>
    <row r="1557" spans="1:10" x14ac:dyDescent="0.25">
      <c r="A1557" s="5" t="s">
        <v>53741</v>
      </c>
      <c r="B1557" s="6">
        <v>412.5</v>
      </c>
      <c r="C1557" s="6">
        <v>20.531590000000001</v>
      </c>
      <c r="D1557" s="6">
        <v>55</v>
      </c>
      <c r="E1557" s="6">
        <v>0</v>
      </c>
      <c r="F1557" s="6">
        <v>0</v>
      </c>
      <c r="G1557" s="6">
        <v>16</v>
      </c>
      <c r="H1557" s="6" t="s">
        <v>53742</v>
      </c>
      <c r="I1557" s="6">
        <v>532.5</v>
      </c>
      <c r="J1557" s="2">
        <f t="shared" si="24"/>
        <v>43749.527283668976</v>
      </c>
    </row>
    <row r="1558" spans="1:10" x14ac:dyDescent="0.25">
      <c r="A1558" s="7" t="s">
        <v>53743</v>
      </c>
      <c r="B1558" s="8">
        <v>393.75</v>
      </c>
      <c r="C1558" s="8">
        <v>20.531590000000001</v>
      </c>
      <c r="D1558" s="8">
        <v>54</v>
      </c>
      <c r="E1558" s="8">
        <v>0</v>
      </c>
      <c r="F1558" s="8">
        <v>0</v>
      </c>
      <c r="G1558" s="8">
        <v>14</v>
      </c>
      <c r="H1558" s="8" t="s">
        <v>53744</v>
      </c>
      <c r="I1558" s="8">
        <v>526.6875</v>
      </c>
      <c r="J1558" s="3">
        <f t="shared" si="24"/>
        <v>43749.527367233793</v>
      </c>
    </row>
    <row r="1559" spans="1:10" x14ac:dyDescent="0.25">
      <c r="A1559" s="5" t="s">
        <v>53745</v>
      </c>
      <c r="B1559" s="6">
        <v>393.75</v>
      </c>
      <c r="C1559" s="6">
        <v>20.584240000000001</v>
      </c>
      <c r="D1559" s="6">
        <v>53</v>
      </c>
      <c r="E1559" s="6">
        <v>0</v>
      </c>
      <c r="F1559" s="6">
        <v>0</v>
      </c>
      <c r="G1559" s="6">
        <v>6</v>
      </c>
      <c r="H1559" s="6" t="s">
        <v>53746</v>
      </c>
      <c r="I1559" s="6">
        <v>526.6875</v>
      </c>
      <c r="J1559" s="2">
        <f t="shared" si="24"/>
        <v>43749.527462696758</v>
      </c>
    </row>
    <row r="1560" spans="1:10" x14ac:dyDescent="0.25">
      <c r="A1560" s="7" t="s">
        <v>53747</v>
      </c>
      <c r="B1560" s="8">
        <v>393.75</v>
      </c>
      <c r="C1560" s="8">
        <v>20.584240000000001</v>
      </c>
      <c r="D1560" s="8">
        <v>53</v>
      </c>
      <c r="E1560" s="8">
        <v>0</v>
      </c>
      <c r="F1560" s="8">
        <v>0</v>
      </c>
      <c r="G1560" s="8">
        <v>6</v>
      </c>
      <c r="H1560" s="8" t="s">
        <v>53748</v>
      </c>
      <c r="I1560" s="8">
        <v>526.6875</v>
      </c>
      <c r="J1560" s="3">
        <f t="shared" si="24"/>
        <v>43749.527546157406</v>
      </c>
    </row>
    <row r="1561" spans="1:10" x14ac:dyDescent="0.25">
      <c r="A1561" s="5" t="s">
        <v>53749</v>
      </c>
      <c r="B1561" s="6">
        <v>393.75</v>
      </c>
      <c r="C1561" s="6">
        <v>20.531590000000001</v>
      </c>
      <c r="D1561" s="6">
        <v>53</v>
      </c>
      <c r="E1561" s="6">
        <v>0</v>
      </c>
      <c r="F1561" s="6">
        <v>0</v>
      </c>
      <c r="G1561" s="6">
        <v>16</v>
      </c>
      <c r="H1561" s="6" t="s">
        <v>53750</v>
      </c>
      <c r="I1561" s="6">
        <v>526.6875</v>
      </c>
      <c r="J1561" s="2">
        <f t="shared" si="24"/>
        <v>43749.527617789347</v>
      </c>
    </row>
    <row r="1562" spans="1:10" x14ac:dyDescent="0.25">
      <c r="A1562" s="7" t="s">
        <v>53751</v>
      </c>
      <c r="B1562" s="8">
        <v>412.5</v>
      </c>
      <c r="C1562" s="8">
        <v>20.531590000000001</v>
      </c>
      <c r="D1562" s="8">
        <v>53</v>
      </c>
      <c r="E1562" s="8">
        <v>0</v>
      </c>
      <c r="F1562" s="8">
        <v>0</v>
      </c>
      <c r="G1562" s="8">
        <v>6</v>
      </c>
      <c r="H1562" s="8" t="s">
        <v>53752</v>
      </c>
      <c r="I1562" s="8">
        <v>532.3125</v>
      </c>
      <c r="J1562" s="3">
        <f t="shared" si="24"/>
        <v>43749.527700891202</v>
      </c>
    </row>
    <row r="1563" spans="1:10" x14ac:dyDescent="0.25">
      <c r="A1563" s="5" t="s">
        <v>53753</v>
      </c>
      <c r="B1563" s="6">
        <v>393.75</v>
      </c>
      <c r="C1563" s="6">
        <v>20.531590000000001</v>
      </c>
      <c r="D1563" s="6">
        <v>53</v>
      </c>
      <c r="E1563" s="6">
        <v>0</v>
      </c>
      <c r="F1563" s="6">
        <v>0</v>
      </c>
      <c r="G1563" s="6">
        <v>6</v>
      </c>
      <c r="H1563" s="6" t="s">
        <v>53754</v>
      </c>
      <c r="I1563" s="6">
        <v>526.6875</v>
      </c>
      <c r="J1563" s="2">
        <f t="shared" si="24"/>
        <v>43749.527784699072</v>
      </c>
    </row>
    <row r="1564" spans="1:10" x14ac:dyDescent="0.25">
      <c r="A1564" s="7" t="s">
        <v>53755</v>
      </c>
      <c r="B1564" s="8">
        <v>393.75</v>
      </c>
      <c r="C1564" s="8">
        <v>20.531590000000001</v>
      </c>
      <c r="D1564" s="8">
        <v>52</v>
      </c>
      <c r="E1564" s="8">
        <v>0</v>
      </c>
      <c r="F1564" s="8">
        <v>0</v>
      </c>
      <c r="G1564" s="8">
        <v>9</v>
      </c>
      <c r="H1564" s="8" t="s">
        <v>53756</v>
      </c>
      <c r="I1564" s="8">
        <v>526.6875</v>
      </c>
      <c r="J1564" s="3">
        <f t="shared" si="24"/>
        <v>43749.527867939811</v>
      </c>
    </row>
    <row r="1565" spans="1:10" x14ac:dyDescent="0.25">
      <c r="A1565" s="5" t="s">
        <v>53757</v>
      </c>
      <c r="B1565" s="6">
        <v>393.75</v>
      </c>
      <c r="C1565" s="6">
        <v>20.531590000000001</v>
      </c>
      <c r="D1565" s="6">
        <v>52</v>
      </c>
      <c r="E1565" s="6">
        <v>0</v>
      </c>
      <c r="F1565" s="6">
        <v>0</v>
      </c>
      <c r="G1565" s="6">
        <v>7</v>
      </c>
      <c r="H1565" s="6" t="s">
        <v>53758</v>
      </c>
      <c r="I1565" s="6">
        <v>526.6875</v>
      </c>
      <c r="J1565" s="2">
        <f t="shared" si="24"/>
        <v>43749.527939791667</v>
      </c>
    </row>
    <row r="1566" spans="1:10" x14ac:dyDescent="0.25">
      <c r="A1566" s="7" t="s">
        <v>53759</v>
      </c>
      <c r="B1566" s="8">
        <v>393.75</v>
      </c>
      <c r="C1566" s="8">
        <v>20.531590000000001</v>
      </c>
      <c r="D1566" s="8">
        <v>52</v>
      </c>
      <c r="E1566" s="8">
        <v>0</v>
      </c>
      <c r="F1566" s="8">
        <v>0</v>
      </c>
      <c r="G1566" s="8">
        <v>20</v>
      </c>
      <c r="H1566" s="8" t="s">
        <v>53760</v>
      </c>
      <c r="I1566" s="8">
        <v>526.6875</v>
      </c>
      <c r="J1566" s="3">
        <f t="shared" si="24"/>
        <v>43749.528022997685</v>
      </c>
    </row>
    <row r="1567" spans="1:10" x14ac:dyDescent="0.25">
      <c r="A1567" s="5" t="s">
        <v>53761</v>
      </c>
      <c r="B1567" s="6">
        <v>437.5</v>
      </c>
      <c r="C1567" s="6">
        <v>20.584240000000001</v>
      </c>
      <c r="D1567" s="6">
        <v>52</v>
      </c>
      <c r="E1567" s="6">
        <v>0</v>
      </c>
      <c r="F1567" s="6">
        <v>0</v>
      </c>
      <c r="G1567" s="6">
        <v>10</v>
      </c>
      <c r="H1567" s="6" t="s">
        <v>53762</v>
      </c>
      <c r="I1567" s="6">
        <v>540.1875</v>
      </c>
      <c r="J1567" s="2">
        <f t="shared" si="24"/>
        <v>43749.528094768517</v>
      </c>
    </row>
    <row r="1568" spans="1:10" x14ac:dyDescent="0.25">
      <c r="A1568" s="7" t="s">
        <v>53763</v>
      </c>
      <c r="B1568" s="8">
        <v>393.75</v>
      </c>
      <c r="C1568" s="8">
        <v>20.531590000000001</v>
      </c>
      <c r="D1568" s="8">
        <v>53</v>
      </c>
      <c r="E1568" s="8">
        <v>0</v>
      </c>
      <c r="F1568" s="8">
        <v>0</v>
      </c>
      <c r="G1568" s="8">
        <v>18</v>
      </c>
      <c r="H1568" s="8" t="s">
        <v>53764</v>
      </c>
      <c r="I1568" s="8">
        <v>526.6875</v>
      </c>
      <c r="J1568" s="3">
        <f t="shared" si="24"/>
        <v>43749.52817834491</v>
      </c>
    </row>
    <row r="1569" spans="1:10" x14ac:dyDescent="0.25">
      <c r="A1569" s="5" t="s">
        <v>53765</v>
      </c>
      <c r="B1569" s="6">
        <v>393.75</v>
      </c>
      <c r="C1569" s="6">
        <v>20.531590000000001</v>
      </c>
      <c r="D1569" s="6">
        <v>54</v>
      </c>
      <c r="E1569" s="6">
        <v>0</v>
      </c>
      <c r="F1569" s="6">
        <v>0</v>
      </c>
      <c r="G1569" s="6">
        <v>5</v>
      </c>
      <c r="H1569" s="6" t="s">
        <v>53766</v>
      </c>
      <c r="I1569" s="6">
        <v>526.6875</v>
      </c>
      <c r="J1569" s="2">
        <f t="shared" si="24"/>
        <v>43749.528261793974</v>
      </c>
    </row>
    <row r="1570" spans="1:10" x14ac:dyDescent="0.25">
      <c r="A1570" s="7" t="s">
        <v>53767</v>
      </c>
      <c r="B1570" s="8">
        <v>393.75</v>
      </c>
      <c r="C1570" s="8">
        <v>20.531590000000001</v>
      </c>
      <c r="D1570" s="8">
        <v>55</v>
      </c>
      <c r="E1570" s="8">
        <v>0</v>
      </c>
      <c r="F1570" s="8">
        <v>0</v>
      </c>
      <c r="G1570" s="8">
        <v>13</v>
      </c>
      <c r="H1570" s="8" t="s">
        <v>53768</v>
      </c>
      <c r="I1570" s="8">
        <v>526.6875</v>
      </c>
      <c r="J1570" s="3">
        <f t="shared" si="24"/>
        <v>43749.528346053237</v>
      </c>
    </row>
    <row r="1571" spans="1:10" x14ac:dyDescent="0.25">
      <c r="A1571" s="5" t="s">
        <v>53769</v>
      </c>
      <c r="B1571" s="6">
        <v>393.75</v>
      </c>
      <c r="C1571" s="6">
        <v>20.584240000000001</v>
      </c>
      <c r="D1571" s="6">
        <v>55</v>
      </c>
      <c r="E1571" s="6">
        <v>0</v>
      </c>
      <c r="F1571" s="6">
        <v>0</v>
      </c>
      <c r="G1571" s="6">
        <v>12</v>
      </c>
      <c r="H1571" s="6" t="s">
        <v>53770</v>
      </c>
      <c r="I1571" s="6">
        <v>526.6875</v>
      </c>
      <c r="J1571" s="2">
        <f t="shared" si="24"/>
        <v>43749.528428912039</v>
      </c>
    </row>
    <row r="1572" spans="1:10" x14ac:dyDescent="0.25">
      <c r="A1572" s="7" t="s">
        <v>53771</v>
      </c>
      <c r="B1572" s="8">
        <v>393.75</v>
      </c>
      <c r="C1572" s="8">
        <v>20.584240000000001</v>
      </c>
      <c r="D1572" s="8">
        <v>54</v>
      </c>
      <c r="E1572" s="8">
        <v>0</v>
      </c>
      <c r="F1572" s="8">
        <v>0</v>
      </c>
      <c r="G1572" s="8">
        <v>11</v>
      </c>
      <c r="H1572" s="8" t="s">
        <v>53772</v>
      </c>
      <c r="I1572" s="8">
        <v>526.6875</v>
      </c>
      <c r="J1572" s="3">
        <f t="shared" si="24"/>
        <v>43749.528524351852</v>
      </c>
    </row>
    <row r="1573" spans="1:10" x14ac:dyDescent="0.25">
      <c r="A1573" s="5" t="s">
        <v>53773</v>
      </c>
      <c r="B1573" s="6">
        <v>393.75</v>
      </c>
      <c r="C1573" s="6">
        <v>20.531590000000001</v>
      </c>
      <c r="D1573" s="6">
        <v>55</v>
      </c>
      <c r="E1573" s="6">
        <v>0</v>
      </c>
      <c r="F1573" s="6">
        <v>0</v>
      </c>
      <c r="G1573" s="6">
        <v>9</v>
      </c>
      <c r="H1573" s="6" t="s">
        <v>53774</v>
      </c>
      <c r="I1573" s="6">
        <v>526.6875</v>
      </c>
      <c r="J1573" s="2">
        <f t="shared" si="24"/>
        <v>43749.528607800923</v>
      </c>
    </row>
    <row r="1574" spans="1:10" x14ac:dyDescent="0.25">
      <c r="A1574" s="7" t="s">
        <v>53775</v>
      </c>
      <c r="B1574" s="8">
        <v>412.5</v>
      </c>
      <c r="C1574" s="8">
        <v>20.584240000000001</v>
      </c>
      <c r="D1574" s="8">
        <v>54</v>
      </c>
      <c r="E1574" s="8">
        <v>0</v>
      </c>
      <c r="F1574" s="8">
        <v>0</v>
      </c>
      <c r="G1574" s="8">
        <v>2</v>
      </c>
      <c r="H1574" s="8" t="s">
        <v>53776</v>
      </c>
      <c r="I1574" s="8">
        <v>532.5</v>
      </c>
      <c r="J1574" s="3">
        <f t="shared" si="24"/>
        <v>43749.528691388885</v>
      </c>
    </row>
    <row r="1575" spans="1:10" x14ac:dyDescent="0.25">
      <c r="A1575" s="5" t="s">
        <v>53777</v>
      </c>
      <c r="B1575" s="6">
        <v>393.75</v>
      </c>
      <c r="C1575" s="6">
        <v>20.584240000000001</v>
      </c>
      <c r="D1575" s="6">
        <v>55</v>
      </c>
      <c r="E1575" s="6">
        <v>0</v>
      </c>
      <c r="F1575" s="6">
        <v>0</v>
      </c>
      <c r="G1575" s="6">
        <v>11</v>
      </c>
      <c r="H1575" s="6" t="s">
        <v>53778</v>
      </c>
      <c r="I1575" s="6">
        <v>526.6875</v>
      </c>
      <c r="J1575" s="2">
        <f t="shared" si="24"/>
        <v>43749.528775057865</v>
      </c>
    </row>
    <row r="1576" spans="1:10" x14ac:dyDescent="0.25">
      <c r="A1576" s="7" t="s">
        <v>53779</v>
      </c>
      <c r="B1576" s="8">
        <v>393.75</v>
      </c>
      <c r="C1576" s="8">
        <v>20.531590000000001</v>
      </c>
      <c r="D1576" s="8">
        <v>55</v>
      </c>
      <c r="E1576" s="8">
        <v>0</v>
      </c>
      <c r="F1576" s="8">
        <v>0</v>
      </c>
      <c r="G1576" s="8">
        <v>0</v>
      </c>
      <c r="H1576" s="8" t="s">
        <v>53780</v>
      </c>
      <c r="I1576" s="8">
        <v>526.875</v>
      </c>
      <c r="J1576" s="3">
        <f t="shared" si="24"/>
        <v>43749.528858379628</v>
      </c>
    </row>
    <row r="1577" spans="1:10" x14ac:dyDescent="0.25">
      <c r="A1577" s="5" t="s">
        <v>53781</v>
      </c>
      <c r="B1577" s="6">
        <v>393.75</v>
      </c>
      <c r="C1577" s="6">
        <v>20.478950000000001</v>
      </c>
      <c r="D1577" s="6">
        <v>52</v>
      </c>
      <c r="E1577" s="6">
        <v>0</v>
      </c>
      <c r="F1577" s="6">
        <v>0</v>
      </c>
      <c r="G1577" s="6">
        <v>12</v>
      </c>
      <c r="H1577" s="6" t="s">
        <v>53782</v>
      </c>
      <c r="I1577" s="6">
        <v>526.6875</v>
      </c>
      <c r="J1577" s="2">
        <f t="shared" si="24"/>
        <v>43749.528941597215</v>
      </c>
    </row>
    <row r="1578" spans="1:10" x14ac:dyDescent="0.25">
      <c r="A1578" s="7" t="s">
        <v>53783</v>
      </c>
      <c r="B1578" s="8">
        <v>393.75</v>
      </c>
      <c r="C1578" s="8">
        <v>20.531590000000001</v>
      </c>
      <c r="D1578" s="8">
        <v>52</v>
      </c>
      <c r="E1578" s="8">
        <v>0</v>
      </c>
      <c r="F1578" s="8">
        <v>0</v>
      </c>
      <c r="G1578" s="8">
        <v>4</v>
      </c>
      <c r="H1578" s="8" t="s">
        <v>53784</v>
      </c>
      <c r="I1578" s="8">
        <v>526.6875</v>
      </c>
      <c r="J1578" s="3">
        <f t="shared" si="24"/>
        <v>43749.52901337963</v>
      </c>
    </row>
    <row r="1579" spans="1:10" x14ac:dyDescent="0.25">
      <c r="A1579" s="5" t="s">
        <v>53785</v>
      </c>
      <c r="B1579" s="6">
        <v>412.5</v>
      </c>
      <c r="C1579" s="6">
        <v>20.531590000000001</v>
      </c>
      <c r="D1579" s="6">
        <v>52</v>
      </c>
      <c r="E1579" s="6">
        <v>0</v>
      </c>
      <c r="F1579" s="6">
        <v>0</v>
      </c>
      <c r="G1579" s="6">
        <v>9</v>
      </c>
      <c r="H1579" s="6" t="s">
        <v>53786</v>
      </c>
      <c r="I1579" s="6">
        <v>532.3125</v>
      </c>
      <c r="J1579" s="2">
        <f t="shared" si="24"/>
        <v>43749.529096921295</v>
      </c>
    </row>
    <row r="1580" spans="1:10" x14ac:dyDescent="0.25">
      <c r="A1580" s="7" t="s">
        <v>53787</v>
      </c>
      <c r="B1580" s="8">
        <v>393.75</v>
      </c>
      <c r="C1580" s="8">
        <v>20.584240000000001</v>
      </c>
      <c r="D1580" s="8">
        <v>52</v>
      </c>
      <c r="E1580" s="8">
        <v>0</v>
      </c>
      <c r="F1580" s="8">
        <v>0</v>
      </c>
      <c r="G1580" s="8">
        <v>4</v>
      </c>
      <c r="H1580" s="8" t="s">
        <v>53788</v>
      </c>
      <c r="I1580" s="8">
        <v>526.6875</v>
      </c>
      <c r="J1580" s="3">
        <f t="shared" si="24"/>
        <v>43749.529180381942</v>
      </c>
    </row>
    <row r="1581" spans="1:10" x14ac:dyDescent="0.25">
      <c r="A1581" s="5" t="s">
        <v>53789</v>
      </c>
      <c r="B1581" s="6">
        <v>393.75</v>
      </c>
      <c r="C1581" s="6">
        <v>20.531590000000001</v>
      </c>
      <c r="D1581" s="6">
        <v>52</v>
      </c>
      <c r="E1581" s="6">
        <v>0</v>
      </c>
      <c r="F1581" s="6">
        <v>0</v>
      </c>
      <c r="G1581" s="6">
        <v>9</v>
      </c>
      <c r="H1581" s="6" t="s">
        <v>53790</v>
      </c>
      <c r="I1581" s="6">
        <v>526.6875</v>
      </c>
      <c r="J1581" s="2">
        <f t="shared" si="24"/>
        <v>43749.529263958328</v>
      </c>
    </row>
    <row r="1582" spans="1:10" x14ac:dyDescent="0.25">
      <c r="A1582" s="7" t="s">
        <v>53791</v>
      </c>
      <c r="B1582" s="8">
        <v>393.75</v>
      </c>
      <c r="C1582" s="8">
        <v>20.531590000000001</v>
      </c>
      <c r="D1582" s="8">
        <v>53</v>
      </c>
      <c r="E1582" s="8">
        <v>0</v>
      </c>
      <c r="F1582" s="8">
        <v>0</v>
      </c>
      <c r="G1582" s="8">
        <v>0</v>
      </c>
      <c r="H1582" s="8" t="s">
        <v>53792</v>
      </c>
      <c r="I1582" s="8">
        <v>526.6875</v>
      </c>
      <c r="J1582" s="3">
        <f t="shared" si="24"/>
        <v>43749.529347523145</v>
      </c>
    </row>
    <row r="1583" spans="1:10" x14ac:dyDescent="0.25">
      <c r="A1583" s="5" t="s">
        <v>53793</v>
      </c>
      <c r="B1583" s="6">
        <v>393.75</v>
      </c>
      <c r="C1583" s="6">
        <v>20.531590000000001</v>
      </c>
      <c r="D1583" s="6">
        <v>53</v>
      </c>
      <c r="E1583" s="6">
        <v>0</v>
      </c>
      <c r="F1583" s="6">
        <v>0</v>
      </c>
      <c r="G1583" s="6">
        <v>9</v>
      </c>
      <c r="H1583" s="6" t="s">
        <v>53794</v>
      </c>
      <c r="I1583" s="6">
        <v>526.6875</v>
      </c>
      <c r="J1583" s="2">
        <f t="shared" si="24"/>
        <v>43749.529430613424</v>
      </c>
    </row>
    <row r="1584" spans="1:10" x14ac:dyDescent="0.25">
      <c r="A1584" s="7" t="s">
        <v>53795</v>
      </c>
      <c r="B1584" s="8">
        <v>393.75</v>
      </c>
      <c r="C1584" s="8">
        <v>20.584240000000001</v>
      </c>
      <c r="D1584" s="8">
        <v>53</v>
      </c>
      <c r="E1584" s="8">
        <v>0</v>
      </c>
      <c r="F1584" s="8">
        <v>0</v>
      </c>
      <c r="G1584" s="8">
        <v>3</v>
      </c>
      <c r="H1584" s="8" t="s">
        <v>53796</v>
      </c>
      <c r="I1584" s="8">
        <v>526.6875</v>
      </c>
      <c r="J1584" s="3">
        <f t="shared" si="24"/>
        <v>43749.529502233789</v>
      </c>
    </row>
    <row r="1585" spans="1:10" x14ac:dyDescent="0.25">
      <c r="A1585" s="5" t="s">
        <v>53797</v>
      </c>
      <c r="B1585" s="6">
        <v>393.75</v>
      </c>
      <c r="C1585" s="6">
        <v>20.584240000000001</v>
      </c>
      <c r="D1585" s="6">
        <v>50</v>
      </c>
      <c r="E1585" s="6">
        <v>0</v>
      </c>
      <c r="F1585" s="6">
        <v>0</v>
      </c>
      <c r="G1585" s="6">
        <v>6</v>
      </c>
      <c r="H1585" s="6" t="s">
        <v>53798</v>
      </c>
      <c r="I1585" s="6">
        <v>526.6875</v>
      </c>
      <c r="J1585" s="2">
        <f t="shared" si="24"/>
        <v>43749.529586041659</v>
      </c>
    </row>
    <row r="1586" spans="1:10" x14ac:dyDescent="0.25">
      <c r="A1586" s="7" t="s">
        <v>53799</v>
      </c>
      <c r="B1586" s="8">
        <v>393.75</v>
      </c>
      <c r="C1586" s="8">
        <v>20.584240000000001</v>
      </c>
      <c r="D1586" s="8">
        <v>50</v>
      </c>
      <c r="E1586" s="8">
        <v>0</v>
      </c>
      <c r="F1586" s="8">
        <v>0</v>
      </c>
      <c r="G1586" s="8">
        <v>1</v>
      </c>
      <c r="H1586" s="8" t="s">
        <v>53800</v>
      </c>
      <c r="I1586" s="8">
        <v>526.6875</v>
      </c>
      <c r="J1586" s="3">
        <f t="shared" si="24"/>
        <v>43749.529669479169</v>
      </c>
    </row>
    <row r="1587" spans="1:10" x14ac:dyDescent="0.25">
      <c r="A1587" s="5" t="s">
        <v>53801</v>
      </c>
      <c r="B1587" s="6">
        <v>393.75</v>
      </c>
      <c r="C1587" s="6">
        <v>20.531590000000001</v>
      </c>
      <c r="D1587" s="6">
        <v>49</v>
      </c>
      <c r="E1587" s="6">
        <v>0</v>
      </c>
      <c r="F1587" s="6">
        <v>0</v>
      </c>
      <c r="G1587" s="6">
        <v>6</v>
      </c>
      <c r="H1587" s="6" t="s">
        <v>53802</v>
      </c>
      <c r="I1587" s="6">
        <v>526.6875</v>
      </c>
      <c r="J1587" s="2">
        <f t="shared" si="24"/>
        <v>43749.529752719907</v>
      </c>
    </row>
    <row r="1588" spans="1:10" x14ac:dyDescent="0.25">
      <c r="A1588" s="7" t="s">
        <v>53803</v>
      </c>
      <c r="B1588" s="8">
        <v>393.75</v>
      </c>
      <c r="C1588" s="8">
        <v>20.531590000000001</v>
      </c>
      <c r="D1588" s="8">
        <v>49</v>
      </c>
      <c r="E1588" s="8">
        <v>0</v>
      </c>
      <c r="F1588" s="8">
        <v>0</v>
      </c>
      <c r="G1588" s="8">
        <v>4</v>
      </c>
      <c r="H1588" s="8" t="s">
        <v>53804</v>
      </c>
      <c r="I1588" s="8">
        <v>526.6875</v>
      </c>
      <c r="J1588" s="3">
        <f t="shared" si="24"/>
        <v>43749.529824467587</v>
      </c>
    </row>
    <row r="1589" spans="1:10" x14ac:dyDescent="0.25">
      <c r="A1589" s="5" t="s">
        <v>53805</v>
      </c>
      <c r="B1589" s="6">
        <v>393.75</v>
      </c>
      <c r="C1589" s="6">
        <v>20.584240000000001</v>
      </c>
      <c r="D1589" s="6">
        <v>50</v>
      </c>
      <c r="E1589" s="6">
        <v>0</v>
      </c>
      <c r="F1589" s="6">
        <v>0</v>
      </c>
      <c r="G1589" s="6">
        <v>5</v>
      </c>
      <c r="H1589" s="6" t="s">
        <v>53806</v>
      </c>
      <c r="I1589" s="6">
        <v>526.6875</v>
      </c>
      <c r="J1589" s="2">
        <f t="shared" si="24"/>
        <v>43749.52989622685</v>
      </c>
    </row>
    <row r="1590" spans="1:10" x14ac:dyDescent="0.25">
      <c r="A1590" s="7" t="s">
        <v>53807</v>
      </c>
      <c r="B1590" s="8">
        <v>393.75</v>
      </c>
      <c r="C1590" s="8">
        <v>20.531590000000001</v>
      </c>
      <c r="D1590" s="8">
        <v>50</v>
      </c>
      <c r="E1590" s="8">
        <v>0</v>
      </c>
      <c r="F1590" s="8">
        <v>0</v>
      </c>
      <c r="G1590" s="8">
        <v>1</v>
      </c>
      <c r="H1590" s="8" t="s">
        <v>53808</v>
      </c>
      <c r="I1590" s="8">
        <v>526.6875</v>
      </c>
      <c r="J1590" s="3">
        <f t="shared" si="24"/>
        <v>43749.529979560182</v>
      </c>
    </row>
    <row r="1591" spans="1:10" x14ac:dyDescent="0.25">
      <c r="A1591" s="5" t="s">
        <v>53809</v>
      </c>
      <c r="B1591" s="6">
        <v>393.75</v>
      </c>
      <c r="C1591" s="6">
        <v>20.584240000000001</v>
      </c>
      <c r="D1591" s="6">
        <v>50</v>
      </c>
      <c r="E1591" s="6">
        <v>0</v>
      </c>
      <c r="F1591" s="6">
        <v>0</v>
      </c>
      <c r="G1591" s="6">
        <v>9</v>
      </c>
      <c r="H1591" s="6" t="s">
        <v>53810</v>
      </c>
      <c r="I1591" s="6">
        <v>526.6875</v>
      </c>
      <c r="J1591" s="2">
        <f t="shared" si="24"/>
        <v>43749.530051215275</v>
      </c>
    </row>
    <row r="1592" spans="1:10" x14ac:dyDescent="0.25">
      <c r="A1592" s="7" t="s">
        <v>53811</v>
      </c>
      <c r="B1592" s="8">
        <v>393.75</v>
      </c>
      <c r="C1592" s="8">
        <v>20.531590000000001</v>
      </c>
      <c r="D1592" s="8">
        <v>53</v>
      </c>
      <c r="E1592" s="8">
        <v>0</v>
      </c>
      <c r="F1592" s="8">
        <v>0</v>
      </c>
      <c r="G1592" s="8">
        <v>6</v>
      </c>
      <c r="H1592" s="8" t="s">
        <v>53812</v>
      </c>
      <c r="I1592" s="8">
        <v>526.6875</v>
      </c>
      <c r="J1592" s="3">
        <f t="shared" si="24"/>
        <v>43749.530134317123</v>
      </c>
    </row>
    <row r="1593" spans="1:10" x14ac:dyDescent="0.25">
      <c r="A1593" s="5" t="s">
        <v>53813</v>
      </c>
      <c r="B1593" s="6">
        <v>393.75</v>
      </c>
      <c r="C1593" s="6">
        <v>20.531590000000001</v>
      </c>
      <c r="D1593" s="6">
        <v>53</v>
      </c>
      <c r="E1593" s="6">
        <v>0</v>
      </c>
      <c r="F1593" s="6">
        <v>0</v>
      </c>
      <c r="G1593" s="6">
        <v>8</v>
      </c>
      <c r="H1593" s="6" t="s">
        <v>53814</v>
      </c>
      <c r="I1593" s="6">
        <v>526.6875</v>
      </c>
      <c r="J1593" s="2">
        <f t="shared" si="24"/>
        <v>43749.530205972223</v>
      </c>
    </row>
    <row r="1594" spans="1:10" x14ac:dyDescent="0.25">
      <c r="A1594" s="7" t="s">
        <v>53815</v>
      </c>
      <c r="B1594" s="8">
        <v>393.75</v>
      </c>
      <c r="C1594" s="8">
        <v>20.531590000000001</v>
      </c>
      <c r="D1594" s="8">
        <v>49</v>
      </c>
      <c r="E1594" s="8">
        <v>0</v>
      </c>
      <c r="F1594" s="8">
        <v>0</v>
      </c>
      <c r="G1594" s="8">
        <v>22</v>
      </c>
      <c r="H1594" s="8" t="s">
        <v>53816</v>
      </c>
      <c r="I1594" s="8">
        <v>526.6875</v>
      </c>
      <c r="J1594" s="3">
        <f t="shared" si="24"/>
        <v>43749.530289872688</v>
      </c>
    </row>
    <row r="1595" spans="1:10" x14ac:dyDescent="0.25">
      <c r="A1595" s="5" t="s">
        <v>53817</v>
      </c>
      <c r="B1595" s="6">
        <v>393.75</v>
      </c>
      <c r="C1595" s="6">
        <v>20.584240000000001</v>
      </c>
      <c r="D1595" s="6">
        <v>50</v>
      </c>
      <c r="E1595" s="6">
        <v>0</v>
      </c>
      <c r="F1595" s="6">
        <v>0</v>
      </c>
      <c r="G1595" s="6">
        <v>10</v>
      </c>
      <c r="H1595" s="6" t="s">
        <v>53818</v>
      </c>
      <c r="I1595" s="6">
        <v>526.6875</v>
      </c>
      <c r="J1595" s="2">
        <f t="shared" si="24"/>
        <v>43749.530373194437</v>
      </c>
    </row>
    <row r="1596" spans="1:10" x14ac:dyDescent="0.25">
      <c r="A1596" s="7" t="s">
        <v>53819</v>
      </c>
      <c r="B1596" s="8">
        <v>393.75</v>
      </c>
      <c r="C1596" s="8">
        <v>20.478950000000001</v>
      </c>
      <c r="D1596" s="8">
        <v>51</v>
      </c>
      <c r="E1596" s="8">
        <v>0</v>
      </c>
      <c r="F1596" s="8">
        <v>0</v>
      </c>
      <c r="G1596" s="8">
        <v>19</v>
      </c>
      <c r="H1596" s="8" t="s">
        <v>53820</v>
      </c>
      <c r="I1596" s="8">
        <v>526.6875</v>
      </c>
      <c r="J1596" s="3">
        <f t="shared" si="24"/>
        <v>43749.530456423607</v>
      </c>
    </row>
    <row r="1597" spans="1:10" x14ac:dyDescent="0.25">
      <c r="A1597" s="5" t="s">
        <v>53821</v>
      </c>
      <c r="B1597" s="6">
        <v>393.75</v>
      </c>
      <c r="C1597" s="6">
        <v>20.584240000000001</v>
      </c>
      <c r="D1597" s="6">
        <v>51</v>
      </c>
      <c r="E1597" s="6">
        <v>0</v>
      </c>
      <c r="F1597" s="6">
        <v>0</v>
      </c>
      <c r="G1597" s="6">
        <v>6</v>
      </c>
      <c r="H1597" s="6" t="s">
        <v>53822</v>
      </c>
      <c r="I1597" s="6">
        <v>526.6875</v>
      </c>
      <c r="J1597" s="2">
        <f t="shared" si="24"/>
        <v>43749.530527835646</v>
      </c>
    </row>
    <row r="1598" spans="1:10" x14ac:dyDescent="0.25">
      <c r="A1598" s="7" t="s">
        <v>53823</v>
      </c>
      <c r="B1598" s="8">
        <v>412.5</v>
      </c>
      <c r="C1598" s="8">
        <v>20.531590000000001</v>
      </c>
      <c r="D1598" s="8">
        <v>52</v>
      </c>
      <c r="E1598" s="8">
        <v>0</v>
      </c>
      <c r="F1598" s="8">
        <v>0</v>
      </c>
      <c r="G1598" s="8">
        <v>1</v>
      </c>
      <c r="H1598" s="8" t="s">
        <v>53824</v>
      </c>
      <c r="I1598" s="8">
        <v>532.875</v>
      </c>
      <c r="J1598" s="3">
        <f t="shared" si="24"/>
        <v>43749.530599942133</v>
      </c>
    </row>
    <row r="1599" spans="1:10" x14ac:dyDescent="0.25">
      <c r="A1599" s="5" t="s">
        <v>53825</v>
      </c>
      <c r="B1599" s="6">
        <v>393.75</v>
      </c>
      <c r="C1599" s="6">
        <v>20.531590000000001</v>
      </c>
      <c r="D1599" s="6">
        <v>54</v>
      </c>
      <c r="E1599" s="6">
        <v>0</v>
      </c>
      <c r="F1599" s="6">
        <v>0</v>
      </c>
      <c r="G1599" s="6">
        <v>2</v>
      </c>
      <c r="H1599" s="6" t="s">
        <v>53826</v>
      </c>
      <c r="I1599" s="6">
        <v>526.6875</v>
      </c>
      <c r="J1599" s="2">
        <f t="shared" si="24"/>
        <v>43749.530683368052</v>
      </c>
    </row>
    <row r="1600" spans="1:10" x14ac:dyDescent="0.25">
      <c r="A1600" s="7" t="s">
        <v>53827</v>
      </c>
      <c r="B1600" s="8">
        <v>393.75</v>
      </c>
      <c r="C1600" s="8">
        <v>20.584240000000001</v>
      </c>
      <c r="D1600" s="8">
        <v>54</v>
      </c>
      <c r="E1600" s="8">
        <v>0</v>
      </c>
      <c r="F1600" s="8">
        <v>0</v>
      </c>
      <c r="G1600" s="8">
        <v>13</v>
      </c>
      <c r="H1600" s="8" t="s">
        <v>53828</v>
      </c>
      <c r="I1600" s="8">
        <v>526.6875</v>
      </c>
      <c r="J1600" s="3">
        <f t="shared" si="24"/>
        <v>43749.53075489583</v>
      </c>
    </row>
    <row r="1601" spans="1:10" x14ac:dyDescent="0.25">
      <c r="A1601" s="5" t="s">
        <v>53829</v>
      </c>
      <c r="B1601" s="6">
        <v>393.75</v>
      </c>
      <c r="C1601" s="6">
        <v>20.584240000000001</v>
      </c>
      <c r="D1601" s="6">
        <v>54</v>
      </c>
      <c r="E1601" s="6">
        <v>0</v>
      </c>
      <c r="F1601" s="6">
        <v>0</v>
      </c>
      <c r="G1601" s="6">
        <v>6</v>
      </c>
      <c r="H1601" s="6" t="s">
        <v>53830</v>
      </c>
      <c r="I1601" s="6">
        <v>526.6875</v>
      </c>
      <c r="J1601" s="2">
        <f t="shared" si="24"/>
        <v>43749.530838113424</v>
      </c>
    </row>
    <row r="1602" spans="1:10" x14ac:dyDescent="0.25">
      <c r="A1602" s="7" t="s">
        <v>53831</v>
      </c>
      <c r="B1602" s="8">
        <v>393.75</v>
      </c>
      <c r="C1602" s="8">
        <v>20.531590000000001</v>
      </c>
      <c r="D1602" s="8">
        <v>54</v>
      </c>
      <c r="E1602" s="8">
        <v>0</v>
      </c>
      <c r="F1602" s="8">
        <v>0</v>
      </c>
      <c r="G1602" s="8">
        <v>2</v>
      </c>
      <c r="H1602" s="8" t="s">
        <v>53832</v>
      </c>
      <c r="I1602" s="8">
        <v>526.6875</v>
      </c>
      <c r="J1602" s="3">
        <f t="shared" ref="J1602:J1665" si="25">(H1602/86400000)+25569+(7/24)</f>
        <v>43749.5309099074</v>
      </c>
    </row>
    <row r="1603" spans="1:10" x14ac:dyDescent="0.25">
      <c r="A1603" s="5" t="s">
        <v>53833</v>
      </c>
      <c r="B1603" s="6">
        <v>393.75</v>
      </c>
      <c r="C1603" s="6">
        <v>20.531590000000001</v>
      </c>
      <c r="D1603" s="6">
        <v>54</v>
      </c>
      <c r="E1603" s="6">
        <v>0</v>
      </c>
      <c r="F1603" s="6">
        <v>0</v>
      </c>
      <c r="G1603" s="6">
        <v>17</v>
      </c>
      <c r="H1603" s="6" t="s">
        <v>53834</v>
      </c>
      <c r="I1603" s="6">
        <v>526.6875</v>
      </c>
      <c r="J1603" s="2">
        <f t="shared" si="25"/>
        <v>43749.530993576387</v>
      </c>
    </row>
    <row r="1604" spans="1:10" x14ac:dyDescent="0.25">
      <c r="A1604" s="7" t="s">
        <v>53835</v>
      </c>
      <c r="B1604" s="8">
        <v>412.5</v>
      </c>
      <c r="C1604" s="8">
        <v>20.531590000000001</v>
      </c>
      <c r="D1604" s="8">
        <v>51</v>
      </c>
      <c r="E1604" s="8">
        <v>0</v>
      </c>
      <c r="F1604" s="8">
        <v>0</v>
      </c>
      <c r="G1604" s="8">
        <v>11</v>
      </c>
      <c r="H1604" s="8" t="s">
        <v>53836</v>
      </c>
      <c r="I1604" s="8">
        <v>532.3125</v>
      </c>
      <c r="J1604" s="3">
        <f t="shared" si="25"/>
        <v>43749.531077025465</v>
      </c>
    </row>
    <row r="1605" spans="1:10" x14ac:dyDescent="0.25">
      <c r="A1605" s="5" t="s">
        <v>53837</v>
      </c>
      <c r="B1605" s="6">
        <v>393.75</v>
      </c>
      <c r="C1605" s="6">
        <v>20.531590000000001</v>
      </c>
      <c r="D1605" s="6">
        <v>51</v>
      </c>
      <c r="E1605" s="6">
        <v>0</v>
      </c>
      <c r="F1605" s="6">
        <v>0</v>
      </c>
      <c r="G1605" s="6">
        <v>2</v>
      </c>
      <c r="H1605" s="6" t="s">
        <v>53838</v>
      </c>
      <c r="I1605" s="6">
        <v>526.6875</v>
      </c>
      <c r="J1605" s="2">
        <f t="shared" si="25"/>
        <v>43749.531172372685</v>
      </c>
    </row>
    <row r="1606" spans="1:10" x14ac:dyDescent="0.25">
      <c r="A1606" s="7" t="s">
        <v>53839</v>
      </c>
      <c r="B1606" s="8">
        <v>393.75</v>
      </c>
      <c r="C1606" s="8">
        <v>20.584240000000001</v>
      </c>
      <c r="D1606" s="8">
        <v>51</v>
      </c>
      <c r="E1606" s="8">
        <v>0</v>
      </c>
      <c r="F1606" s="8">
        <v>0</v>
      </c>
      <c r="G1606" s="8">
        <v>8</v>
      </c>
      <c r="H1606" s="8" t="s">
        <v>53840</v>
      </c>
      <c r="I1606" s="8">
        <v>526.6875</v>
      </c>
      <c r="J1606" s="3">
        <f t="shared" si="25"/>
        <v>43749.531255937494</v>
      </c>
    </row>
    <row r="1607" spans="1:10" x14ac:dyDescent="0.25">
      <c r="A1607" s="5" t="s">
        <v>53841</v>
      </c>
      <c r="B1607" s="6">
        <v>393.75</v>
      </c>
      <c r="C1607" s="6">
        <v>20.531590000000001</v>
      </c>
      <c r="D1607" s="6">
        <v>52</v>
      </c>
      <c r="E1607" s="6">
        <v>0</v>
      </c>
      <c r="F1607" s="6">
        <v>0</v>
      </c>
      <c r="G1607" s="6">
        <v>11</v>
      </c>
      <c r="H1607" s="6" t="s">
        <v>53842</v>
      </c>
      <c r="I1607" s="6">
        <v>526.6875</v>
      </c>
      <c r="J1607" s="2">
        <f t="shared" si="25"/>
        <v>43749.531339398141</v>
      </c>
    </row>
    <row r="1608" spans="1:10" x14ac:dyDescent="0.25">
      <c r="A1608" s="7" t="s">
        <v>53843</v>
      </c>
      <c r="B1608" s="8">
        <v>393.75</v>
      </c>
      <c r="C1608" s="8">
        <v>20.531590000000001</v>
      </c>
      <c r="D1608" s="8">
        <v>52</v>
      </c>
      <c r="E1608" s="8">
        <v>0</v>
      </c>
      <c r="F1608" s="8">
        <v>0</v>
      </c>
      <c r="G1608" s="8">
        <v>11</v>
      </c>
      <c r="H1608" s="8" t="s">
        <v>53844</v>
      </c>
      <c r="I1608" s="8">
        <v>526.6875</v>
      </c>
      <c r="J1608" s="3">
        <f t="shared" si="25"/>
        <v>43749.531412916665</v>
      </c>
    </row>
    <row r="1609" spans="1:10" x14ac:dyDescent="0.25">
      <c r="A1609" s="5" t="s">
        <v>53845</v>
      </c>
      <c r="B1609" s="6">
        <v>393.75</v>
      </c>
      <c r="C1609" s="6">
        <v>20.584240000000001</v>
      </c>
      <c r="D1609" s="6">
        <v>52</v>
      </c>
      <c r="E1609" s="6">
        <v>0</v>
      </c>
      <c r="F1609" s="6">
        <v>0</v>
      </c>
      <c r="G1609" s="6">
        <v>6</v>
      </c>
      <c r="H1609" s="6" t="s">
        <v>53846</v>
      </c>
      <c r="I1609" s="6">
        <v>526.6875</v>
      </c>
      <c r="J1609" s="2">
        <f t="shared" si="25"/>
        <v>43749.531494467592</v>
      </c>
    </row>
    <row r="1610" spans="1:10" x14ac:dyDescent="0.25">
      <c r="A1610" s="7" t="s">
        <v>53847</v>
      </c>
      <c r="B1610" s="8">
        <v>393.75</v>
      </c>
      <c r="C1610" s="8">
        <v>20.584240000000001</v>
      </c>
      <c r="D1610" s="8">
        <v>52</v>
      </c>
      <c r="E1610" s="8">
        <v>0</v>
      </c>
      <c r="F1610" s="8">
        <v>0</v>
      </c>
      <c r="G1610" s="8">
        <v>9</v>
      </c>
      <c r="H1610" s="8" t="s">
        <v>53848</v>
      </c>
      <c r="I1610" s="8">
        <v>526.6875</v>
      </c>
      <c r="J1610" s="3">
        <f t="shared" si="25"/>
        <v>43749.531565983794</v>
      </c>
    </row>
    <row r="1611" spans="1:10" x14ac:dyDescent="0.25">
      <c r="A1611" s="5" t="s">
        <v>53849</v>
      </c>
      <c r="B1611" s="6">
        <v>393.75</v>
      </c>
      <c r="C1611" s="6">
        <v>20.584240000000001</v>
      </c>
      <c r="D1611" s="6">
        <v>52</v>
      </c>
      <c r="E1611" s="6">
        <v>0</v>
      </c>
      <c r="F1611" s="6">
        <v>0</v>
      </c>
      <c r="G1611" s="6">
        <v>10</v>
      </c>
      <c r="H1611" s="6" t="s">
        <v>53850</v>
      </c>
      <c r="I1611" s="6">
        <v>526.5</v>
      </c>
      <c r="J1611" s="2">
        <f t="shared" si="25"/>
        <v>43749.531649108794</v>
      </c>
    </row>
    <row r="1612" spans="1:10" x14ac:dyDescent="0.25">
      <c r="A1612" s="7" t="s">
        <v>53851</v>
      </c>
      <c r="B1612" s="8">
        <v>393.75</v>
      </c>
      <c r="C1612" s="8">
        <v>20.584240000000001</v>
      </c>
      <c r="D1612" s="8">
        <v>52</v>
      </c>
      <c r="E1612" s="8">
        <v>0</v>
      </c>
      <c r="F1612" s="8">
        <v>0</v>
      </c>
      <c r="G1612" s="8">
        <v>11</v>
      </c>
      <c r="H1612" s="8" t="s">
        <v>53852</v>
      </c>
      <c r="I1612" s="8">
        <v>526.6875</v>
      </c>
      <c r="J1612" s="3">
        <f t="shared" si="25"/>
        <v>43749.531720856474</v>
      </c>
    </row>
    <row r="1613" spans="1:10" x14ac:dyDescent="0.25">
      <c r="A1613" s="5" t="s">
        <v>53853</v>
      </c>
      <c r="B1613" s="6">
        <v>393.75</v>
      </c>
      <c r="C1613" s="6">
        <v>20.584240000000001</v>
      </c>
      <c r="D1613" s="6">
        <v>51</v>
      </c>
      <c r="E1613" s="6">
        <v>0</v>
      </c>
      <c r="F1613" s="6">
        <v>0</v>
      </c>
      <c r="G1613" s="6">
        <v>19</v>
      </c>
      <c r="H1613" s="6" t="s">
        <v>53854</v>
      </c>
      <c r="I1613" s="6">
        <v>526.6875</v>
      </c>
      <c r="J1613" s="2">
        <f t="shared" si="25"/>
        <v>43749.531804525461</v>
      </c>
    </row>
    <row r="1614" spans="1:10" x14ac:dyDescent="0.25">
      <c r="A1614" s="7" t="s">
        <v>53855</v>
      </c>
      <c r="B1614" s="8">
        <v>393.75</v>
      </c>
      <c r="C1614" s="8">
        <v>20.478950000000001</v>
      </c>
      <c r="D1614" s="8">
        <v>48</v>
      </c>
      <c r="E1614" s="8">
        <v>0</v>
      </c>
      <c r="F1614" s="8">
        <v>0</v>
      </c>
      <c r="G1614" s="8">
        <v>9</v>
      </c>
      <c r="H1614" s="8" t="s">
        <v>53856</v>
      </c>
      <c r="I1614" s="8">
        <v>526.6875</v>
      </c>
      <c r="J1614" s="3">
        <f t="shared" si="25"/>
        <v>43749.531888113423</v>
      </c>
    </row>
    <row r="1615" spans="1:10" x14ac:dyDescent="0.25">
      <c r="A1615" s="5" t="s">
        <v>53857</v>
      </c>
      <c r="B1615" s="6">
        <v>393.75</v>
      </c>
      <c r="C1615" s="6">
        <v>20.531590000000001</v>
      </c>
      <c r="D1615" s="6">
        <v>48</v>
      </c>
      <c r="E1615" s="6">
        <v>0</v>
      </c>
      <c r="F1615" s="6">
        <v>0</v>
      </c>
      <c r="G1615" s="6">
        <v>13</v>
      </c>
      <c r="H1615" s="6" t="s">
        <v>53858</v>
      </c>
      <c r="I1615" s="6">
        <v>526.5</v>
      </c>
      <c r="J1615" s="2">
        <f t="shared" si="25"/>
        <v>43749.531959618056</v>
      </c>
    </row>
    <row r="1616" spans="1:10" x14ac:dyDescent="0.25">
      <c r="A1616" s="7" t="s">
        <v>53859</v>
      </c>
      <c r="B1616" s="8">
        <v>393.75</v>
      </c>
      <c r="C1616" s="8">
        <v>20.531590000000001</v>
      </c>
      <c r="D1616" s="8">
        <v>57</v>
      </c>
      <c r="E1616" s="8">
        <v>0</v>
      </c>
      <c r="F1616" s="8">
        <v>0</v>
      </c>
      <c r="G1616" s="8">
        <v>9</v>
      </c>
      <c r="H1616" s="8" t="s">
        <v>53860</v>
      </c>
      <c r="I1616" s="8">
        <v>526.6875</v>
      </c>
      <c r="J1616" s="3">
        <f t="shared" si="25"/>
        <v>43749.532043182866</v>
      </c>
    </row>
    <row r="1617" spans="1:10" x14ac:dyDescent="0.25">
      <c r="A1617" s="5" t="s">
        <v>53861</v>
      </c>
      <c r="B1617" s="6">
        <v>393.75</v>
      </c>
      <c r="C1617" s="6">
        <v>20.531590000000001</v>
      </c>
      <c r="D1617" s="6">
        <v>56</v>
      </c>
      <c r="E1617" s="6">
        <v>0</v>
      </c>
      <c r="F1617" s="6">
        <v>0</v>
      </c>
      <c r="G1617" s="6">
        <v>6</v>
      </c>
      <c r="H1617" s="6" t="s">
        <v>53862</v>
      </c>
      <c r="I1617" s="6">
        <v>526.6875</v>
      </c>
      <c r="J1617" s="2">
        <f t="shared" si="25"/>
        <v>43749.532126979168</v>
      </c>
    </row>
    <row r="1618" spans="1:10" x14ac:dyDescent="0.25">
      <c r="A1618" s="7" t="s">
        <v>53863</v>
      </c>
      <c r="B1618" s="8">
        <v>393.75</v>
      </c>
      <c r="C1618" s="8">
        <v>20.531590000000001</v>
      </c>
      <c r="D1618" s="8">
        <v>53</v>
      </c>
      <c r="E1618" s="8">
        <v>0</v>
      </c>
      <c r="F1618" s="8">
        <v>0</v>
      </c>
      <c r="G1618" s="8">
        <v>6</v>
      </c>
      <c r="H1618" s="8" t="s">
        <v>53864</v>
      </c>
      <c r="I1618" s="8">
        <v>526.6875</v>
      </c>
      <c r="J1618" s="3">
        <f t="shared" si="25"/>
        <v>43749.53221010416</v>
      </c>
    </row>
    <row r="1619" spans="1:10" x14ac:dyDescent="0.25">
      <c r="A1619" s="5" t="s">
        <v>53865</v>
      </c>
      <c r="B1619" s="6">
        <v>437.5</v>
      </c>
      <c r="C1619" s="6">
        <v>20.531590000000001</v>
      </c>
      <c r="D1619" s="6">
        <v>55</v>
      </c>
      <c r="E1619" s="6">
        <v>0</v>
      </c>
      <c r="F1619" s="6">
        <v>0</v>
      </c>
      <c r="G1619" s="6">
        <v>4</v>
      </c>
      <c r="H1619" s="6" t="s">
        <v>53866</v>
      </c>
      <c r="I1619" s="6">
        <v>540</v>
      </c>
      <c r="J1619" s="2">
        <f t="shared" si="25"/>
        <v>43749.532293449076</v>
      </c>
    </row>
    <row r="1620" spans="1:10" x14ac:dyDescent="0.25">
      <c r="A1620" s="7" t="s">
        <v>53867</v>
      </c>
      <c r="B1620" s="8">
        <v>393.75</v>
      </c>
      <c r="C1620" s="8">
        <v>20.531590000000001</v>
      </c>
      <c r="D1620" s="8">
        <v>55</v>
      </c>
      <c r="E1620" s="8">
        <v>0</v>
      </c>
      <c r="F1620" s="8">
        <v>0</v>
      </c>
      <c r="G1620" s="8">
        <v>11</v>
      </c>
      <c r="H1620" s="8" t="s">
        <v>53868</v>
      </c>
      <c r="I1620" s="8">
        <v>526.6875</v>
      </c>
      <c r="J1620" s="3">
        <f t="shared" si="25"/>
        <v>43749.532365057872</v>
      </c>
    </row>
    <row r="1621" spans="1:10" x14ac:dyDescent="0.25">
      <c r="A1621" s="5" t="s">
        <v>53869</v>
      </c>
      <c r="B1621" s="6">
        <v>393.75</v>
      </c>
      <c r="C1621" s="6">
        <v>20.531590000000001</v>
      </c>
      <c r="D1621" s="6">
        <v>53</v>
      </c>
      <c r="E1621" s="6">
        <v>0</v>
      </c>
      <c r="F1621" s="6">
        <v>0</v>
      </c>
      <c r="G1621" s="6">
        <v>6</v>
      </c>
      <c r="H1621" s="6" t="s">
        <v>53870</v>
      </c>
      <c r="I1621" s="6">
        <v>526.6875</v>
      </c>
      <c r="J1621" s="2">
        <f t="shared" si="25"/>
        <v>43749.532448622682</v>
      </c>
    </row>
    <row r="1622" spans="1:10" x14ac:dyDescent="0.25">
      <c r="A1622" s="7" t="s">
        <v>53871</v>
      </c>
      <c r="B1622" s="8">
        <v>412.5</v>
      </c>
      <c r="C1622" s="8">
        <v>20.531590000000001</v>
      </c>
      <c r="D1622" s="8">
        <v>52</v>
      </c>
      <c r="E1622" s="8">
        <v>0</v>
      </c>
      <c r="F1622" s="8">
        <v>0</v>
      </c>
      <c r="G1622" s="8">
        <v>1</v>
      </c>
      <c r="H1622" s="8" t="s">
        <v>53872</v>
      </c>
      <c r="I1622" s="8">
        <v>532.3125</v>
      </c>
      <c r="J1622" s="3">
        <f t="shared" si="25"/>
        <v>43749.532532291669</v>
      </c>
    </row>
    <row r="1623" spans="1:10" x14ac:dyDescent="0.25">
      <c r="A1623" s="5" t="s">
        <v>53873</v>
      </c>
      <c r="B1623" s="6">
        <v>393.75</v>
      </c>
      <c r="C1623" s="6">
        <v>20.584240000000001</v>
      </c>
      <c r="D1623" s="6">
        <v>52</v>
      </c>
      <c r="E1623" s="6">
        <v>0</v>
      </c>
      <c r="F1623" s="6">
        <v>0</v>
      </c>
      <c r="G1623" s="6">
        <v>0</v>
      </c>
      <c r="H1623" s="6" t="s">
        <v>53874</v>
      </c>
      <c r="I1623" s="6">
        <v>526.6875</v>
      </c>
      <c r="J1623" s="2">
        <f t="shared" si="25"/>
        <v>43749.532615671291</v>
      </c>
    </row>
    <row r="1624" spans="1:10" x14ac:dyDescent="0.25">
      <c r="A1624" s="7" t="s">
        <v>53875</v>
      </c>
      <c r="B1624" s="8">
        <v>393.75</v>
      </c>
      <c r="C1624" s="8">
        <v>20.531590000000001</v>
      </c>
      <c r="D1624" s="8">
        <v>49</v>
      </c>
      <c r="E1624" s="8">
        <v>0</v>
      </c>
      <c r="F1624" s="8">
        <v>0</v>
      </c>
      <c r="G1624" s="8">
        <v>0</v>
      </c>
      <c r="H1624" s="8" t="s">
        <v>53876</v>
      </c>
      <c r="I1624" s="8">
        <v>526.6875</v>
      </c>
      <c r="J1624" s="3">
        <f t="shared" si="25"/>
        <v>43749.532699201387</v>
      </c>
    </row>
    <row r="1625" spans="1:10" x14ac:dyDescent="0.25">
      <c r="A1625" s="5" t="s">
        <v>53877</v>
      </c>
      <c r="B1625" s="6">
        <v>393.75</v>
      </c>
      <c r="C1625" s="6">
        <v>20.531590000000001</v>
      </c>
      <c r="D1625" s="6">
        <v>49</v>
      </c>
      <c r="E1625" s="6">
        <v>0</v>
      </c>
      <c r="F1625" s="6">
        <v>0</v>
      </c>
      <c r="G1625" s="6">
        <v>0</v>
      </c>
      <c r="H1625" s="6" t="s">
        <v>53878</v>
      </c>
      <c r="I1625" s="6">
        <v>526.6875</v>
      </c>
      <c r="J1625" s="2">
        <f t="shared" si="25"/>
        <v>43749.53278243055</v>
      </c>
    </row>
    <row r="1626" spans="1:10" x14ac:dyDescent="0.25">
      <c r="A1626" s="7" t="s">
        <v>53879</v>
      </c>
      <c r="B1626" s="8">
        <v>393.75</v>
      </c>
      <c r="C1626" s="8">
        <v>20.531590000000001</v>
      </c>
      <c r="D1626" s="8">
        <v>49</v>
      </c>
      <c r="E1626" s="8">
        <v>0</v>
      </c>
      <c r="F1626" s="8">
        <v>0</v>
      </c>
      <c r="G1626" s="8">
        <v>0</v>
      </c>
      <c r="H1626" s="8" t="s">
        <v>53880</v>
      </c>
      <c r="I1626" s="8">
        <v>526.6875</v>
      </c>
      <c r="J1626" s="3">
        <f t="shared" si="25"/>
        <v>43749.532853969904</v>
      </c>
    </row>
    <row r="1627" spans="1:10" x14ac:dyDescent="0.25">
      <c r="A1627" s="5" t="s">
        <v>53881</v>
      </c>
      <c r="B1627" s="6">
        <v>412.5</v>
      </c>
      <c r="C1627" s="6">
        <v>20.531590000000001</v>
      </c>
      <c r="D1627" s="6">
        <v>49</v>
      </c>
      <c r="E1627" s="6">
        <v>0</v>
      </c>
      <c r="F1627" s="6">
        <v>0</v>
      </c>
      <c r="G1627" s="6">
        <v>6</v>
      </c>
      <c r="H1627" s="6" t="s">
        <v>53882</v>
      </c>
      <c r="I1627" s="6">
        <v>532.3125</v>
      </c>
      <c r="J1627" s="2">
        <f t="shared" si="25"/>
        <v>43749.532937870368</v>
      </c>
    </row>
    <row r="1628" spans="1:10" x14ac:dyDescent="0.25">
      <c r="A1628" s="7" t="s">
        <v>53883</v>
      </c>
      <c r="B1628" s="8">
        <v>393.75</v>
      </c>
      <c r="C1628" s="8">
        <v>20.584240000000001</v>
      </c>
      <c r="D1628" s="8">
        <v>50</v>
      </c>
      <c r="E1628" s="8">
        <v>0</v>
      </c>
      <c r="F1628" s="8">
        <v>0</v>
      </c>
      <c r="G1628" s="8">
        <v>0</v>
      </c>
      <c r="H1628" s="8" t="s">
        <v>53884</v>
      </c>
      <c r="I1628" s="8">
        <v>526.6875</v>
      </c>
      <c r="J1628" s="3">
        <f t="shared" si="25"/>
        <v>43749.533021354167</v>
      </c>
    </row>
    <row r="1629" spans="1:10" x14ac:dyDescent="0.25">
      <c r="A1629" s="5" t="s">
        <v>53885</v>
      </c>
      <c r="B1629" s="6">
        <v>393.75</v>
      </c>
      <c r="C1629" s="6">
        <v>20.531590000000001</v>
      </c>
      <c r="D1629" s="6">
        <v>50</v>
      </c>
      <c r="E1629" s="6">
        <v>0</v>
      </c>
      <c r="F1629" s="6">
        <v>0</v>
      </c>
      <c r="G1629" s="6">
        <v>0</v>
      </c>
      <c r="H1629" s="6" t="s">
        <v>53886</v>
      </c>
      <c r="I1629" s="6">
        <v>526.6875</v>
      </c>
      <c r="J1629" s="2">
        <f t="shared" si="25"/>
        <v>43749.533104641203</v>
      </c>
    </row>
    <row r="1630" spans="1:10" x14ac:dyDescent="0.25">
      <c r="A1630" s="7" t="s">
        <v>53887</v>
      </c>
      <c r="B1630" s="8">
        <v>393.75</v>
      </c>
      <c r="C1630" s="8">
        <v>20.531590000000001</v>
      </c>
      <c r="D1630" s="8">
        <v>50</v>
      </c>
      <c r="E1630" s="8">
        <v>0</v>
      </c>
      <c r="F1630" s="8">
        <v>0</v>
      </c>
      <c r="G1630" s="8">
        <v>4</v>
      </c>
      <c r="H1630" s="8" t="s">
        <v>53888</v>
      </c>
      <c r="I1630" s="8">
        <v>526.6875</v>
      </c>
      <c r="J1630" s="3">
        <f t="shared" si="25"/>
        <v>43749.53317628472</v>
      </c>
    </row>
    <row r="1631" spans="1:10" x14ac:dyDescent="0.25">
      <c r="A1631" s="5" t="s">
        <v>53889</v>
      </c>
      <c r="B1631" s="6">
        <v>393.75</v>
      </c>
      <c r="C1631" s="6">
        <v>20.584240000000001</v>
      </c>
      <c r="D1631" s="6">
        <v>51</v>
      </c>
      <c r="E1631" s="6">
        <v>0</v>
      </c>
      <c r="F1631" s="6">
        <v>0</v>
      </c>
      <c r="G1631" s="6">
        <v>3</v>
      </c>
      <c r="H1631" s="6" t="s">
        <v>53890</v>
      </c>
      <c r="I1631" s="6">
        <v>526.6875</v>
      </c>
      <c r="J1631" s="2">
        <f t="shared" si="25"/>
        <v>43749.5332599537</v>
      </c>
    </row>
    <row r="1632" spans="1:10" x14ac:dyDescent="0.25">
      <c r="A1632" s="7" t="s">
        <v>53891</v>
      </c>
      <c r="B1632" s="8">
        <v>418.75</v>
      </c>
      <c r="C1632" s="8">
        <v>20.478950000000001</v>
      </c>
      <c r="D1632" s="8">
        <v>51</v>
      </c>
      <c r="E1632" s="8">
        <v>0</v>
      </c>
      <c r="F1632" s="8">
        <v>0</v>
      </c>
      <c r="G1632" s="8">
        <v>2</v>
      </c>
      <c r="H1632" s="8" t="s">
        <v>53892</v>
      </c>
      <c r="I1632" s="8">
        <v>534.375</v>
      </c>
      <c r="J1632" s="3">
        <f t="shared" si="25"/>
        <v>43749.533343425923</v>
      </c>
    </row>
    <row r="1633" spans="1:10" x14ac:dyDescent="0.25">
      <c r="A1633" s="5" t="s">
        <v>53893</v>
      </c>
      <c r="B1633" s="6">
        <v>393.75</v>
      </c>
      <c r="C1633" s="6">
        <v>20.584240000000001</v>
      </c>
      <c r="D1633" s="6">
        <v>51</v>
      </c>
      <c r="E1633" s="6">
        <v>0</v>
      </c>
      <c r="F1633" s="6">
        <v>0</v>
      </c>
      <c r="G1633" s="6">
        <v>0</v>
      </c>
      <c r="H1633" s="6" t="s">
        <v>53894</v>
      </c>
      <c r="I1633" s="6">
        <v>526.6875</v>
      </c>
      <c r="J1633" s="2">
        <f t="shared" si="25"/>
        <v>43749.533426759255</v>
      </c>
    </row>
    <row r="1634" spans="1:10" x14ac:dyDescent="0.25">
      <c r="A1634" s="7" t="s">
        <v>53895</v>
      </c>
      <c r="B1634" s="8">
        <v>393.75</v>
      </c>
      <c r="C1634" s="8">
        <v>20.531590000000001</v>
      </c>
      <c r="D1634" s="8">
        <v>51</v>
      </c>
      <c r="E1634" s="8">
        <v>0</v>
      </c>
      <c r="F1634" s="8">
        <v>0</v>
      </c>
      <c r="G1634" s="8">
        <v>4</v>
      </c>
      <c r="H1634" s="8" t="s">
        <v>53896</v>
      </c>
      <c r="I1634" s="8">
        <v>526.6875</v>
      </c>
      <c r="J1634" s="3">
        <f t="shared" si="25"/>
        <v>43749.533510335641</v>
      </c>
    </row>
    <row r="1635" spans="1:10" x14ac:dyDescent="0.25">
      <c r="A1635" s="5" t="s">
        <v>53897</v>
      </c>
      <c r="B1635" s="6">
        <v>393.75</v>
      </c>
      <c r="C1635" s="6">
        <v>20.478950000000001</v>
      </c>
      <c r="D1635" s="6">
        <v>51</v>
      </c>
      <c r="E1635" s="6">
        <v>0</v>
      </c>
      <c r="F1635" s="6">
        <v>0</v>
      </c>
      <c r="G1635" s="6">
        <v>0</v>
      </c>
      <c r="H1635" s="6" t="s">
        <v>53898</v>
      </c>
      <c r="I1635" s="6">
        <v>526.6875</v>
      </c>
      <c r="J1635" s="2">
        <f t="shared" si="25"/>
        <v>43749.533593541666</v>
      </c>
    </row>
    <row r="1636" spans="1:10" x14ac:dyDescent="0.25">
      <c r="A1636" s="7" t="s">
        <v>53899</v>
      </c>
      <c r="B1636" s="8">
        <v>393.75</v>
      </c>
      <c r="C1636" s="8">
        <v>20.531590000000001</v>
      </c>
      <c r="D1636" s="8">
        <v>50</v>
      </c>
      <c r="E1636" s="8">
        <v>0</v>
      </c>
      <c r="F1636" s="8">
        <v>0</v>
      </c>
      <c r="G1636" s="8">
        <v>7</v>
      </c>
      <c r="H1636" s="8" t="s">
        <v>53900</v>
      </c>
      <c r="I1636" s="8">
        <v>526.6875</v>
      </c>
      <c r="J1636" s="3">
        <f t="shared" si="25"/>
        <v>43749.53366552083</v>
      </c>
    </row>
    <row r="1637" spans="1:10" x14ac:dyDescent="0.25">
      <c r="A1637" s="5" t="s">
        <v>53901</v>
      </c>
      <c r="B1637" s="6">
        <v>418.75</v>
      </c>
      <c r="C1637" s="6">
        <v>20.584240000000001</v>
      </c>
      <c r="D1637" s="6">
        <v>51</v>
      </c>
      <c r="E1637" s="6">
        <v>0</v>
      </c>
      <c r="F1637" s="6">
        <v>0</v>
      </c>
      <c r="G1637" s="6">
        <v>0</v>
      </c>
      <c r="H1637" s="6" t="s">
        <v>53902</v>
      </c>
      <c r="I1637" s="6">
        <v>534.1875</v>
      </c>
      <c r="J1637" s="2">
        <f t="shared" si="25"/>
        <v>43749.533748969909</v>
      </c>
    </row>
    <row r="1638" spans="1:10" x14ac:dyDescent="0.25">
      <c r="A1638" s="7" t="s">
        <v>53903</v>
      </c>
      <c r="B1638" s="8">
        <v>393.75</v>
      </c>
      <c r="C1638" s="8">
        <v>20.478950000000001</v>
      </c>
      <c r="D1638" s="8">
        <v>50</v>
      </c>
      <c r="E1638" s="8">
        <v>0</v>
      </c>
      <c r="F1638" s="8">
        <v>0</v>
      </c>
      <c r="G1638" s="8">
        <v>12</v>
      </c>
      <c r="H1638" s="8" t="s">
        <v>53904</v>
      </c>
      <c r="I1638" s="8">
        <v>526.6875</v>
      </c>
      <c r="J1638" s="3">
        <f t="shared" si="25"/>
        <v>43749.533856180555</v>
      </c>
    </row>
    <row r="1639" spans="1:10" x14ac:dyDescent="0.25">
      <c r="A1639" s="5" t="s">
        <v>53905</v>
      </c>
      <c r="B1639" s="6">
        <v>393.75</v>
      </c>
      <c r="C1639" s="6">
        <v>20.584240000000001</v>
      </c>
      <c r="D1639" s="6">
        <v>52</v>
      </c>
      <c r="E1639" s="6">
        <v>0</v>
      </c>
      <c r="F1639" s="6">
        <v>0</v>
      </c>
      <c r="G1639" s="6">
        <v>10</v>
      </c>
      <c r="H1639" s="6" t="s">
        <v>53906</v>
      </c>
      <c r="I1639" s="6">
        <v>526.6875</v>
      </c>
      <c r="J1639" s="2">
        <f t="shared" si="25"/>
        <v>43749.533939733788</v>
      </c>
    </row>
    <row r="1640" spans="1:10" x14ac:dyDescent="0.25">
      <c r="A1640" s="7" t="s">
        <v>53907</v>
      </c>
      <c r="B1640" s="8">
        <v>393.75</v>
      </c>
      <c r="C1640" s="8">
        <v>20.531590000000001</v>
      </c>
      <c r="D1640" s="8">
        <v>52</v>
      </c>
      <c r="E1640" s="8">
        <v>0</v>
      </c>
      <c r="F1640" s="8">
        <v>0</v>
      </c>
      <c r="G1640" s="8">
        <v>1</v>
      </c>
      <c r="H1640" s="8" t="s">
        <v>53908</v>
      </c>
      <c r="I1640" s="8">
        <v>526.6875</v>
      </c>
      <c r="J1640" s="3">
        <f t="shared" si="25"/>
        <v>43749.534023078704</v>
      </c>
    </row>
    <row r="1641" spans="1:10" x14ac:dyDescent="0.25">
      <c r="A1641" s="5" t="s">
        <v>53909</v>
      </c>
      <c r="B1641" s="6">
        <v>393.75</v>
      </c>
      <c r="C1641" s="6">
        <v>20.531590000000001</v>
      </c>
      <c r="D1641" s="6">
        <v>52</v>
      </c>
      <c r="E1641" s="6">
        <v>0</v>
      </c>
      <c r="F1641" s="6">
        <v>0</v>
      </c>
      <c r="G1641" s="6">
        <v>2</v>
      </c>
      <c r="H1641" s="6" t="s">
        <v>53910</v>
      </c>
      <c r="I1641" s="6">
        <v>526.6875</v>
      </c>
      <c r="J1641" s="2">
        <f t="shared" si="25"/>
        <v>43749.534094826384</v>
      </c>
    </row>
    <row r="1642" spans="1:10" x14ac:dyDescent="0.25">
      <c r="A1642" s="7" t="s">
        <v>53911</v>
      </c>
      <c r="B1642" s="8">
        <v>393.75</v>
      </c>
      <c r="C1642" s="8">
        <v>20.478950000000001</v>
      </c>
      <c r="D1642" s="8">
        <v>52</v>
      </c>
      <c r="E1642" s="8">
        <v>0</v>
      </c>
      <c r="F1642" s="8">
        <v>0</v>
      </c>
      <c r="G1642" s="8">
        <v>3</v>
      </c>
      <c r="H1642" s="8" t="s">
        <v>53912</v>
      </c>
      <c r="I1642" s="8">
        <v>526.6875</v>
      </c>
      <c r="J1642" s="3">
        <f t="shared" si="25"/>
        <v>43749.534178414346</v>
      </c>
    </row>
    <row r="1643" spans="1:10" x14ac:dyDescent="0.25">
      <c r="A1643" s="5" t="s">
        <v>53913</v>
      </c>
      <c r="B1643" s="6">
        <v>393.75</v>
      </c>
      <c r="C1643" s="6">
        <v>20.531590000000001</v>
      </c>
      <c r="D1643" s="6">
        <v>51</v>
      </c>
      <c r="E1643" s="6">
        <v>0</v>
      </c>
      <c r="F1643" s="6">
        <v>0</v>
      </c>
      <c r="G1643" s="6">
        <v>0</v>
      </c>
      <c r="H1643" s="6" t="s">
        <v>53914</v>
      </c>
      <c r="I1643" s="6">
        <v>526.6875</v>
      </c>
      <c r="J1643" s="2">
        <f t="shared" si="25"/>
        <v>43749.534261863424</v>
      </c>
    </row>
    <row r="1644" spans="1:10" x14ac:dyDescent="0.25">
      <c r="A1644" s="7" t="s">
        <v>53915</v>
      </c>
      <c r="B1644" s="8">
        <v>393.75</v>
      </c>
      <c r="C1644" s="8">
        <v>20.531590000000001</v>
      </c>
      <c r="D1644" s="8">
        <v>50</v>
      </c>
      <c r="E1644" s="8">
        <v>0</v>
      </c>
      <c r="F1644" s="8">
        <v>0</v>
      </c>
      <c r="G1644" s="8">
        <v>0</v>
      </c>
      <c r="H1644" s="8" t="s">
        <v>53916</v>
      </c>
      <c r="I1644" s="8">
        <v>526.6875</v>
      </c>
      <c r="J1644" s="3">
        <f t="shared" si="25"/>
        <v>43749.534345324071</v>
      </c>
    </row>
    <row r="1645" spans="1:10" x14ac:dyDescent="0.25">
      <c r="A1645" s="5" t="s">
        <v>53917</v>
      </c>
      <c r="B1645" s="6">
        <v>393.75</v>
      </c>
      <c r="C1645" s="6">
        <v>20.531590000000001</v>
      </c>
      <c r="D1645" s="6">
        <v>50</v>
      </c>
      <c r="E1645" s="6">
        <v>0</v>
      </c>
      <c r="F1645" s="6">
        <v>0</v>
      </c>
      <c r="G1645" s="6">
        <v>0</v>
      </c>
      <c r="H1645" s="6" t="s">
        <v>53918</v>
      </c>
      <c r="I1645" s="6">
        <v>526.6875</v>
      </c>
      <c r="J1645" s="2">
        <f t="shared" si="25"/>
        <v>43749.534428877312</v>
      </c>
    </row>
    <row r="1646" spans="1:10" x14ac:dyDescent="0.25">
      <c r="A1646" s="7" t="s">
        <v>53919</v>
      </c>
      <c r="B1646" s="8">
        <v>393.75</v>
      </c>
      <c r="C1646" s="8">
        <v>20.531590000000001</v>
      </c>
      <c r="D1646" s="8">
        <v>49</v>
      </c>
      <c r="E1646" s="8">
        <v>0</v>
      </c>
      <c r="F1646" s="8">
        <v>0</v>
      </c>
      <c r="G1646" s="8">
        <v>4</v>
      </c>
      <c r="H1646" s="8" t="s">
        <v>53920</v>
      </c>
      <c r="I1646" s="8">
        <v>526.6875</v>
      </c>
      <c r="J1646" s="3">
        <f t="shared" si="25"/>
        <v>43749.53451208333</v>
      </c>
    </row>
    <row r="1647" spans="1:10" x14ac:dyDescent="0.25">
      <c r="A1647" s="5" t="s">
        <v>53921</v>
      </c>
      <c r="B1647" s="6">
        <v>393.75</v>
      </c>
      <c r="C1647" s="6">
        <v>20.584240000000001</v>
      </c>
      <c r="D1647" s="6">
        <v>49</v>
      </c>
      <c r="E1647" s="6">
        <v>0</v>
      </c>
      <c r="F1647" s="6">
        <v>0</v>
      </c>
      <c r="G1647" s="6">
        <v>7</v>
      </c>
      <c r="H1647" s="6" t="s">
        <v>53922</v>
      </c>
      <c r="I1647" s="6">
        <v>526.6875</v>
      </c>
      <c r="J1647" s="2">
        <f t="shared" si="25"/>
        <v>43749.534583854162</v>
      </c>
    </row>
    <row r="1648" spans="1:10" x14ac:dyDescent="0.25">
      <c r="A1648" s="7" t="s">
        <v>53923</v>
      </c>
      <c r="B1648" s="8">
        <v>393.75</v>
      </c>
      <c r="C1648" s="8">
        <v>20.531590000000001</v>
      </c>
      <c r="D1648" s="8">
        <v>49</v>
      </c>
      <c r="E1648" s="8">
        <v>0</v>
      </c>
      <c r="F1648" s="8">
        <v>0</v>
      </c>
      <c r="G1648" s="8">
        <v>0</v>
      </c>
      <c r="H1648" s="8" t="s">
        <v>53924</v>
      </c>
      <c r="I1648" s="8">
        <v>526.6875</v>
      </c>
      <c r="J1648" s="3">
        <f t="shared" si="25"/>
        <v>43749.534667638887</v>
      </c>
    </row>
    <row r="1649" spans="1:10" x14ac:dyDescent="0.25">
      <c r="A1649" s="5" t="s">
        <v>53925</v>
      </c>
      <c r="B1649" s="6">
        <v>393.75</v>
      </c>
      <c r="C1649" s="6">
        <v>20.531590000000001</v>
      </c>
      <c r="D1649" s="6">
        <v>48</v>
      </c>
      <c r="E1649" s="6">
        <v>0</v>
      </c>
      <c r="F1649" s="6">
        <v>0</v>
      </c>
      <c r="G1649" s="6">
        <v>6</v>
      </c>
      <c r="H1649" s="6" t="s">
        <v>53926</v>
      </c>
      <c r="I1649" s="6">
        <v>526.6875</v>
      </c>
      <c r="J1649" s="2">
        <f t="shared" si="25"/>
        <v>43749.534750983796</v>
      </c>
    </row>
    <row r="1650" spans="1:10" x14ac:dyDescent="0.25">
      <c r="A1650" s="7" t="s">
        <v>53927</v>
      </c>
      <c r="B1650" s="8">
        <v>393.75</v>
      </c>
      <c r="C1650" s="8">
        <v>20.531590000000001</v>
      </c>
      <c r="D1650" s="8">
        <v>48</v>
      </c>
      <c r="E1650" s="8">
        <v>0</v>
      </c>
      <c r="F1650" s="8">
        <v>0</v>
      </c>
      <c r="G1650" s="8">
        <v>2</v>
      </c>
      <c r="H1650" s="8" t="s">
        <v>53928</v>
      </c>
      <c r="I1650" s="8">
        <v>526.5</v>
      </c>
      <c r="J1650" s="3">
        <f t="shared" si="25"/>
        <v>43749.534834178237</v>
      </c>
    </row>
    <row r="1651" spans="1:10" x14ac:dyDescent="0.25">
      <c r="A1651" s="5" t="s">
        <v>53929</v>
      </c>
      <c r="B1651" s="6">
        <v>412.5</v>
      </c>
      <c r="C1651" s="6">
        <v>20.584240000000001</v>
      </c>
      <c r="D1651" s="6">
        <v>48</v>
      </c>
      <c r="E1651" s="6">
        <v>0</v>
      </c>
      <c r="F1651" s="6">
        <v>0</v>
      </c>
      <c r="G1651" s="6">
        <v>0</v>
      </c>
      <c r="H1651" s="6" t="s">
        <v>53930</v>
      </c>
      <c r="I1651" s="6">
        <v>532.3125</v>
      </c>
      <c r="J1651" s="2">
        <f t="shared" si="25"/>
        <v>43749.534905949076</v>
      </c>
    </row>
    <row r="1652" spans="1:10" x14ac:dyDescent="0.25">
      <c r="A1652" s="7" t="s">
        <v>53931</v>
      </c>
      <c r="B1652" s="8">
        <v>393.75</v>
      </c>
      <c r="C1652" s="8">
        <v>20.584240000000001</v>
      </c>
      <c r="D1652" s="8">
        <v>50</v>
      </c>
      <c r="E1652" s="8">
        <v>0</v>
      </c>
      <c r="F1652" s="8">
        <v>0</v>
      </c>
      <c r="G1652" s="8">
        <v>0</v>
      </c>
      <c r="H1652" s="8" t="s">
        <v>53932</v>
      </c>
      <c r="I1652" s="8">
        <v>526.6875</v>
      </c>
      <c r="J1652" s="3">
        <f t="shared" si="25"/>
        <v>43749.534989525462</v>
      </c>
    </row>
    <row r="1653" spans="1:10" x14ac:dyDescent="0.25">
      <c r="A1653" s="5" t="s">
        <v>53933</v>
      </c>
      <c r="B1653" s="6">
        <v>393.75</v>
      </c>
      <c r="C1653" s="6">
        <v>20.531590000000001</v>
      </c>
      <c r="D1653" s="6">
        <v>52</v>
      </c>
      <c r="E1653" s="6">
        <v>0</v>
      </c>
      <c r="F1653" s="6">
        <v>0</v>
      </c>
      <c r="G1653" s="6">
        <v>0</v>
      </c>
      <c r="H1653" s="6" t="s">
        <v>53934</v>
      </c>
      <c r="I1653" s="6">
        <v>526.6875</v>
      </c>
      <c r="J1653" s="2">
        <f t="shared" si="25"/>
        <v>43749.535072974533</v>
      </c>
    </row>
    <row r="1654" spans="1:10" x14ac:dyDescent="0.25">
      <c r="A1654" s="7" t="s">
        <v>53935</v>
      </c>
      <c r="B1654" s="8">
        <v>393.75</v>
      </c>
      <c r="C1654" s="8">
        <v>20.531590000000001</v>
      </c>
      <c r="D1654" s="8">
        <v>53</v>
      </c>
      <c r="E1654" s="8">
        <v>0</v>
      </c>
      <c r="F1654" s="8">
        <v>0</v>
      </c>
      <c r="G1654" s="8">
        <v>5</v>
      </c>
      <c r="H1654" s="8" t="s">
        <v>53936</v>
      </c>
      <c r="I1654" s="8">
        <v>526.6875</v>
      </c>
      <c r="J1654" s="3">
        <f t="shared" si="25"/>
        <v>43749.535156516205</v>
      </c>
    </row>
    <row r="1655" spans="1:10" x14ac:dyDescent="0.25">
      <c r="A1655" s="5" t="s">
        <v>53937</v>
      </c>
      <c r="B1655" s="6">
        <v>393.75</v>
      </c>
      <c r="C1655" s="6">
        <v>20.584240000000001</v>
      </c>
      <c r="D1655" s="6">
        <v>52</v>
      </c>
      <c r="E1655" s="6">
        <v>0</v>
      </c>
      <c r="F1655" s="6">
        <v>0</v>
      </c>
      <c r="G1655" s="6">
        <v>14</v>
      </c>
      <c r="H1655" s="6" t="s">
        <v>53938</v>
      </c>
      <c r="I1655" s="6">
        <v>526.6875</v>
      </c>
      <c r="J1655" s="2">
        <f t="shared" si="25"/>
        <v>43749.535251898145</v>
      </c>
    </row>
    <row r="1656" spans="1:10" x14ac:dyDescent="0.25">
      <c r="A1656" s="7" t="s">
        <v>53939</v>
      </c>
      <c r="B1656" s="8">
        <v>393.75</v>
      </c>
      <c r="C1656" s="8">
        <v>20.584240000000001</v>
      </c>
      <c r="D1656" s="8">
        <v>52</v>
      </c>
      <c r="E1656" s="8">
        <v>0</v>
      </c>
      <c r="F1656" s="8">
        <v>0</v>
      </c>
      <c r="G1656" s="8">
        <v>8</v>
      </c>
      <c r="H1656" s="8" t="s">
        <v>53940</v>
      </c>
      <c r="I1656" s="8">
        <v>526.6875</v>
      </c>
      <c r="J1656" s="3">
        <f t="shared" si="25"/>
        <v>43749.535335451386</v>
      </c>
    </row>
    <row r="1657" spans="1:10" x14ac:dyDescent="0.25">
      <c r="A1657" s="5" t="s">
        <v>53941</v>
      </c>
      <c r="B1657" s="6">
        <v>393.75</v>
      </c>
      <c r="C1657" s="6">
        <v>20.531590000000001</v>
      </c>
      <c r="D1657" s="6">
        <v>53</v>
      </c>
      <c r="E1657" s="6">
        <v>0</v>
      </c>
      <c r="F1657" s="6">
        <v>0</v>
      </c>
      <c r="G1657" s="6">
        <v>7</v>
      </c>
      <c r="H1657" s="6" t="s">
        <v>53942</v>
      </c>
      <c r="I1657" s="6">
        <v>526.6875</v>
      </c>
      <c r="J1657" s="2">
        <f t="shared" si="25"/>
        <v>43749.535406979165</v>
      </c>
    </row>
    <row r="1658" spans="1:10" x14ac:dyDescent="0.25">
      <c r="A1658" s="7" t="s">
        <v>53943</v>
      </c>
      <c r="B1658" s="8">
        <v>393.75</v>
      </c>
      <c r="C1658" s="8">
        <v>20.531590000000001</v>
      </c>
      <c r="D1658" s="8">
        <v>53</v>
      </c>
      <c r="E1658" s="8">
        <v>0</v>
      </c>
      <c r="F1658" s="8">
        <v>0</v>
      </c>
      <c r="G1658" s="8">
        <v>15</v>
      </c>
      <c r="H1658" s="8" t="s">
        <v>53944</v>
      </c>
      <c r="I1658" s="8">
        <v>526.6875</v>
      </c>
      <c r="J1658" s="3">
        <f t="shared" si="25"/>
        <v>43749.535490543982</v>
      </c>
    </row>
    <row r="1659" spans="1:10" x14ac:dyDescent="0.25">
      <c r="A1659" s="5" t="s">
        <v>53945</v>
      </c>
      <c r="B1659" s="6">
        <v>393.75</v>
      </c>
      <c r="C1659" s="6">
        <v>20.584240000000001</v>
      </c>
      <c r="D1659" s="6">
        <v>52</v>
      </c>
      <c r="E1659" s="6">
        <v>0</v>
      </c>
      <c r="F1659" s="6">
        <v>0</v>
      </c>
      <c r="G1659" s="6">
        <v>12</v>
      </c>
      <c r="H1659" s="6" t="s">
        <v>53946</v>
      </c>
      <c r="I1659" s="6">
        <v>526.5</v>
      </c>
      <c r="J1659" s="2">
        <f t="shared" si="25"/>
        <v>43749.535562094905</v>
      </c>
    </row>
    <row r="1660" spans="1:10" x14ac:dyDescent="0.25">
      <c r="A1660" s="7" t="s">
        <v>53947</v>
      </c>
      <c r="B1660" s="8">
        <v>393.75</v>
      </c>
      <c r="C1660" s="8">
        <v>20.531590000000001</v>
      </c>
      <c r="D1660" s="8">
        <v>52</v>
      </c>
      <c r="E1660" s="8">
        <v>0</v>
      </c>
      <c r="F1660" s="8">
        <v>0</v>
      </c>
      <c r="G1660" s="8">
        <v>15</v>
      </c>
      <c r="H1660" s="8" t="s">
        <v>53948</v>
      </c>
      <c r="I1660" s="8">
        <v>526.6875</v>
      </c>
      <c r="J1660" s="3">
        <f t="shared" si="25"/>
        <v>43749.535645300923</v>
      </c>
    </row>
    <row r="1661" spans="1:10" x14ac:dyDescent="0.25">
      <c r="A1661" s="5" t="s">
        <v>53949</v>
      </c>
      <c r="B1661" s="6">
        <v>418.75</v>
      </c>
      <c r="C1661" s="6">
        <v>20.531590000000001</v>
      </c>
      <c r="D1661" s="6">
        <v>52</v>
      </c>
      <c r="E1661" s="6">
        <v>0</v>
      </c>
      <c r="F1661" s="6">
        <v>0</v>
      </c>
      <c r="G1661" s="6">
        <v>12</v>
      </c>
      <c r="H1661" s="6" t="s">
        <v>53950</v>
      </c>
      <c r="I1661" s="6">
        <v>534.375</v>
      </c>
      <c r="J1661" s="2">
        <f t="shared" si="25"/>
        <v>43749.535729085641</v>
      </c>
    </row>
    <row r="1662" spans="1:10" x14ac:dyDescent="0.25">
      <c r="A1662" s="7" t="s">
        <v>53951</v>
      </c>
      <c r="B1662" s="8">
        <v>393.75</v>
      </c>
      <c r="C1662" s="8">
        <v>20.531590000000001</v>
      </c>
      <c r="D1662" s="8">
        <v>52</v>
      </c>
      <c r="E1662" s="8">
        <v>0</v>
      </c>
      <c r="F1662" s="8">
        <v>0</v>
      </c>
      <c r="G1662" s="8">
        <v>11</v>
      </c>
      <c r="H1662" s="8" t="s">
        <v>53952</v>
      </c>
      <c r="I1662" s="8">
        <v>526.6875</v>
      </c>
      <c r="J1662" s="3">
        <f t="shared" si="25"/>
        <v>43749.535812650465</v>
      </c>
    </row>
    <row r="1663" spans="1:10" x14ac:dyDescent="0.25">
      <c r="A1663" s="5" t="s">
        <v>53953</v>
      </c>
      <c r="B1663" s="6">
        <v>393.75</v>
      </c>
      <c r="C1663" s="6">
        <v>20.531590000000001</v>
      </c>
      <c r="D1663" s="6">
        <v>53</v>
      </c>
      <c r="E1663" s="6">
        <v>0</v>
      </c>
      <c r="F1663" s="6">
        <v>0</v>
      </c>
      <c r="G1663" s="6">
        <v>11</v>
      </c>
      <c r="H1663" s="6" t="s">
        <v>53954</v>
      </c>
      <c r="I1663" s="6">
        <v>526.6875</v>
      </c>
      <c r="J1663" s="2">
        <f t="shared" si="25"/>
        <v>43749.535884201388</v>
      </c>
    </row>
    <row r="1664" spans="1:10" x14ac:dyDescent="0.25">
      <c r="A1664" s="7" t="s">
        <v>53955</v>
      </c>
      <c r="B1664" s="8">
        <v>393.75</v>
      </c>
      <c r="C1664" s="8">
        <v>20.531590000000001</v>
      </c>
      <c r="D1664" s="8">
        <v>50</v>
      </c>
      <c r="E1664" s="8">
        <v>0</v>
      </c>
      <c r="F1664" s="8">
        <v>0</v>
      </c>
      <c r="G1664" s="8">
        <v>9</v>
      </c>
      <c r="H1664" s="8" t="s">
        <v>53956</v>
      </c>
      <c r="I1664" s="8">
        <v>526.6875</v>
      </c>
      <c r="J1664" s="3">
        <f t="shared" si="25"/>
        <v>43749.535967638883</v>
      </c>
    </row>
    <row r="1665" spans="1:10" x14ac:dyDescent="0.25">
      <c r="A1665" s="5" t="s">
        <v>53957</v>
      </c>
      <c r="B1665" s="6">
        <v>393.75</v>
      </c>
      <c r="C1665" s="6">
        <v>20.531590000000001</v>
      </c>
      <c r="D1665" s="6">
        <v>49</v>
      </c>
      <c r="E1665" s="6">
        <v>0</v>
      </c>
      <c r="F1665" s="6">
        <v>0</v>
      </c>
      <c r="G1665" s="6">
        <v>10</v>
      </c>
      <c r="H1665" s="6" t="s">
        <v>53958</v>
      </c>
      <c r="I1665" s="6">
        <v>526.6875</v>
      </c>
      <c r="J1665" s="2">
        <f t="shared" si="25"/>
        <v>43749.536051099531</v>
      </c>
    </row>
    <row r="1666" spans="1:10" x14ac:dyDescent="0.25">
      <c r="A1666" s="7" t="s">
        <v>53959</v>
      </c>
      <c r="B1666" s="8">
        <v>418.75</v>
      </c>
      <c r="C1666" s="8">
        <v>20.584240000000001</v>
      </c>
      <c r="D1666" s="8">
        <v>49</v>
      </c>
      <c r="E1666" s="8">
        <v>0</v>
      </c>
      <c r="F1666" s="8">
        <v>0</v>
      </c>
      <c r="G1666" s="8">
        <v>5</v>
      </c>
      <c r="H1666" s="8" t="s">
        <v>53960</v>
      </c>
      <c r="I1666" s="8">
        <v>534.5625</v>
      </c>
      <c r="J1666" s="3">
        <f t="shared" ref="J1666:J1729" si="26">(H1666/86400000)+25569+(7/24)</f>
        <v>43749.536134398142</v>
      </c>
    </row>
    <row r="1667" spans="1:10" x14ac:dyDescent="0.25">
      <c r="A1667" s="5" t="s">
        <v>53961</v>
      </c>
      <c r="B1667" s="6">
        <v>393.75</v>
      </c>
      <c r="C1667" s="6">
        <v>20.478950000000001</v>
      </c>
      <c r="D1667" s="6">
        <v>49</v>
      </c>
      <c r="E1667" s="6">
        <v>0</v>
      </c>
      <c r="F1667" s="6">
        <v>0</v>
      </c>
      <c r="G1667" s="6">
        <v>9</v>
      </c>
      <c r="H1667" s="6" t="s">
        <v>53962</v>
      </c>
      <c r="I1667" s="6">
        <v>526.6875</v>
      </c>
      <c r="J1667" s="2">
        <f t="shared" si="26"/>
        <v>43749.536205960649</v>
      </c>
    </row>
    <row r="1668" spans="1:10" x14ac:dyDescent="0.25">
      <c r="A1668" s="7" t="s">
        <v>53963</v>
      </c>
      <c r="B1668" s="8">
        <v>393.75</v>
      </c>
      <c r="C1668" s="8">
        <v>20.531590000000001</v>
      </c>
      <c r="D1668" s="8">
        <v>50</v>
      </c>
      <c r="E1668" s="8">
        <v>0</v>
      </c>
      <c r="F1668" s="8">
        <v>0</v>
      </c>
      <c r="G1668" s="8">
        <v>6</v>
      </c>
      <c r="H1668" s="8" t="s">
        <v>53964</v>
      </c>
      <c r="I1668" s="8">
        <v>526.6875</v>
      </c>
      <c r="J1668" s="3">
        <f t="shared" si="26"/>
        <v>43749.536305833331</v>
      </c>
    </row>
    <row r="1669" spans="1:10" x14ac:dyDescent="0.25">
      <c r="A1669" s="5" t="s">
        <v>53965</v>
      </c>
      <c r="B1669" s="6">
        <v>393.75</v>
      </c>
      <c r="C1669" s="6">
        <v>20.531590000000001</v>
      </c>
      <c r="D1669" s="6">
        <v>49</v>
      </c>
      <c r="E1669" s="6">
        <v>0</v>
      </c>
      <c r="F1669" s="6">
        <v>0</v>
      </c>
      <c r="G1669" s="6">
        <v>8</v>
      </c>
      <c r="H1669" s="6" t="s">
        <v>53966</v>
      </c>
      <c r="I1669" s="6">
        <v>526.6875</v>
      </c>
      <c r="J1669" s="2">
        <f t="shared" si="26"/>
        <v>43749.536394224539</v>
      </c>
    </row>
    <row r="1670" spans="1:10" x14ac:dyDescent="0.25">
      <c r="A1670" s="7" t="s">
        <v>53967</v>
      </c>
      <c r="B1670" s="8">
        <v>393.75</v>
      </c>
      <c r="C1670" s="8">
        <v>20.531590000000001</v>
      </c>
      <c r="D1670" s="8">
        <v>49</v>
      </c>
      <c r="E1670" s="8">
        <v>0</v>
      </c>
      <c r="F1670" s="8">
        <v>0</v>
      </c>
      <c r="G1670" s="8">
        <v>14</v>
      </c>
      <c r="H1670" s="8" t="s">
        <v>53968</v>
      </c>
      <c r="I1670" s="8">
        <v>526.6875</v>
      </c>
      <c r="J1670" s="3">
        <f t="shared" si="26"/>
        <v>43749.536468576385</v>
      </c>
    </row>
    <row r="1671" spans="1:10" x14ac:dyDescent="0.25">
      <c r="A1671" s="5" t="s">
        <v>53969</v>
      </c>
      <c r="B1671" s="6">
        <v>393.75</v>
      </c>
      <c r="C1671" s="6">
        <v>20.531590000000001</v>
      </c>
      <c r="D1671" s="6">
        <v>49</v>
      </c>
      <c r="E1671" s="6">
        <v>0</v>
      </c>
      <c r="F1671" s="6">
        <v>0</v>
      </c>
      <c r="G1671" s="6">
        <v>8</v>
      </c>
      <c r="H1671" s="6" t="s">
        <v>53970</v>
      </c>
      <c r="I1671" s="6">
        <v>526.6875</v>
      </c>
      <c r="J1671" s="2">
        <f t="shared" si="26"/>
        <v>43749.536540208333</v>
      </c>
    </row>
    <row r="1672" spans="1:10" x14ac:dyDescent="0.25">
      <c r="A1672" s="7" t="s">
        <v>53971</v>
      </c>
      <c r="B1672" s="8">
        <v>393.75</v>
      </c>
      <c r="C1672" s="8">
        <v>20.531590000000001</v>
      </c>
      <c r="D1672" s="8">
        <v>49</v>
      </c>
      <c r="E1672" s="8">
        <v>0</v>
      </c>
      <c r="F1672" s="8">
        <v>0</v>
      </c>
      <c r="G1672" s="8">
        <v>8</v>
      </c>
      <c r="H1672" s="8" t="s">
        <v>53972</v>
      </c>
      <c r="I1672" s="8">
        <v>526.6875</v>
      </c>
      <c r="J1672" s="3">
        <f t="shared" si="26"/>
        <v>43749.536635543984</v>
      </c>
    </row>
    <row r="1673" spans="1:10" x14ac:dyDescent="0.25">
      <c r="A1673" s="5" t="s">
        <v>53973</v>
      </c>
      <c r="B1673" s="6">
        <v>412.5</v>
      </c>
      <c r="C1673" s="6">
        <v>20.531590000000001</v>
      </c>
      <c r="D1673" s="6">
        <v>50</v>
      </c>
      <c r="E1673" s="6">
        <v>0</v>
      </c>
      <c r="F1673" s="6">
        <v>0</v>
      </c>
      <c r="G1673" s="6">
        <v>12</v>
      </c>
      <c r="H1673" s="6" t="s">
        <v>53974</v>
      </c>
      <c r="I1673" s="6">
        <v>532.3125</v>
      </c>
      <c r="J1673" s="2">
        <f t="shared" si="26"/>
        <v>43749.536719097225</v>
      </c>
    </row>
    <row r="1674" spans="1:10" x14ac:dyDescent="0.25">
      <c r="A1674" s="7" t="s">
        <v>53975</v>
      </c>
      <c r="B1674" s="8">
        <v>393.75</v>
      </c>
      <c r="C1674" s="8">
        <v>20.531590000000001</v>
      </c>
      <c r="D1674" s="8">
        <v>50</v>
      </c>
      <c r="E1674" s="8">
        <v>0</v>
      </c>
      <c r="F1674" s="8">
        <v>0</v>
      </c>
      <c r="G1674" s="8">
        <v>15</v>
      </c>
      <c r="H1674" s="8" t="s">
        <v>53976</v>
      </c>
      <c r="I1674" s="8">
        <v>526.6875</v>
      </c>
      <c r="J1674" s="3">
        <f t="shared" si="26"/>
        <v>43749.536802569441</v>
      </c>
    </row>
    <row r="1675" spans="1:10" x14ac:dyDescent="0.25">
      <c r="A1675" s="5" t="s">
        <v>53977</v>
      </c>
      <c r="B1675" s="6">
        <v>393.75</v>
      </c>
      <c r="C1675" s="6">
        <v>20.584240000000001</v>
      </c>
      <c r="D1675" s="6">
        <v>50</v>
      </c>
      <c r="E1675" s="6">
        <v>0</v>
      </c>
      <c r="F1675" s="6">
        <v>0</v>
      </c>
      <c r="G1675" s="6">
        <v>13</v>
      </c>
      <c r="H1675" s="6" t="s">
        <v>53978</v>
      </c>
      <c r="I1675" s="6">
        <v>526.6875</v>
      </c>
      <c r="J1675" s="2">
        <f t="shared" si="26"/>
        <v>43749.536886145834</v>
      </c>
    </row>
    <row r="1676" spans="1:10" x14ac:dyDescent="0.25">
      <c r="A1676" s="7" t="s">
        <v>53979</v>
      </c>
      <c r="B1676" s="8">
        <v>393.75</v>
      </c>
      <c r="C1676" s="8">
        <v>20.584240000000001</v>
      </c>
      <c r="D1676" s="8">
        <v>51</v>
      </c>
      <c r="E1676" s="8">
        <v>0</v>
      </c>
      <c r="F1676" s="8">
        <v>0</v>
      </c>
      <c r="G1676" s="8">
        <v>7</v>
      </c>
      <c r="H1676" s="8" t="s">
        <v>53980</v>
      </c>
      <c r="I1676" s="8">
        <v>526.6875</v>
      </c>
      <c r="J1676" s="3">
        <f t="shared" si="26"/>
        <v>43749.53696957176</v>
      </c>
    </row>
    <row r="1677" spans="1:10" x14ac:dyDescent="0.25">
      <c r="A1677" s="5" t="s">
        <v>53981</v>
      </c>
      <c r="B1677" s="6">
        <v>393.75</v>
      </c>
      <c r="C1677" s="6">
        <v>20.531590000000001</v>
      </c>
      <c r="D1677" s="6">
        <v>51</v>
      </c>
      <c r="E1677" s="6">
        <v>0</v>
      </c>
      <c r="F1677" s="6">
        <v>0</v>
      </c>
      <c r="G1677" s="6">
        <v>3</v>
      </c>
      <c r="H1677" s="6" t="s">
        <v>53982</v>
      </c>
      <c r="I1677" s="6">
        <v>526.6875</v>
      </c>
      <c r="J1677" s="2">
        <f t="shared" si="26"/>
        <v>43749.537052789346</v>
      </c>
    </row>
    <row r="1678" spans="1:10" x14ac:dyDescent="0.25">
      <c r="A1678" s="7" t="s">
        <v>53983</v>
      </c>
      <c r="B1678" s="8">
        <v>393.75</v>
      </c>
      <c r="C1678" s="8">
        <v>20.531590000000001</v>
      </c>
      <c r="D1678" s="8">
        <v>51</v>
      </c>
      <c r="E1678" s="8">
        <v>0</v>
      </c>
      <c r="F1678" s="8">
        <v>0</v>
      </c>
      <c r="G1678" s="8">
        <v>12</v>
      </c>
      <c r="H1678" s="8" t="s">
        <v>53984</v>
      </c>
      <c r="I1678" s="8">
        <v>526.5</v>
      </c>
      <c r="J1678" s="3">
        <f t="shared" si="26"/>
        <v>43749.537124456016</v>
      </c>
    </row>
    <row r="1679" spans="1:10" x14ac:dyDescent="0.25">
      <c r="A1679" s="5" t="s">
        <v>53985</v>
      </c>
      <c r="B1679" s="6">
        <v>393.75</v>
      </c>
      <c r="C1679" s="6">
        <v>20.584240000000001</v>
      </c>
      <c r="D1679" s="6">
        <v>51</v>
      </c>
      <c r="E1679" s="6">
        <v>0</v>
      </c>
      <c r="F1679" s="6">
        <v>0</v>
      </c>
      <c r="G1679" s="6">
        <v>11</v>
      </c>
      <c r="H1679" s="6" t="s">
        <v>53986</v>
      </c>
      <c r="I1679" s="6">
        <v>526.6875</v>
      </c>
      <c r="J1679" s="2">
        <f t="shared" si="26"/>
        <v>43749.537208344904</v>
      </c>
    </row>
    <row r="1680" spans="1:10" x14ac:dyDescent="0.25">
      <c r="A1680" s="7" t="s">
        <v>53987</v>
      </c>
      <c r="B1680" s="8">
        <v>393.75</v>
      </c>
      <c r="C1680" s="8">
        <v>20.478950000000001</v>
      </c>
      <c r="D1680" s="8">
        <v>52</v>
      </c>
      <c r="E1680" s="8">
        <v>0</v>
      </c>
      <c r="F1680" s="8">
        <v>0</v>
      </c>
      <c r="G1680" s="8">
        <v>6</v>
      </c>
      <c r="H1680" s="8" t="s">
        <v>53988</v>
      </c>
      <c r="I1680" s="8">
        <v>526.6875</v>
      </c>
      <c r="J1680" s="3">
        <f t="shared" si="26"/>
        <v>43749.537291701381</v>
      </c>
    </row>
    <row r="1681" spans="1:10" x14ac:dyDescent="0.25">
      <c r="A1681" s="5" t="s">
        <v>53989</v>
      </c>
      <c r="B1681" s="6">
        <v>393.75</v>
      </c>
      <c r="C1681" s="6">
        <v>20.584240000000001</v>
      </c>
      <c r="D1681" s="6">
        <v>52</v>
      </c>
      <c r="E1681" s="6">
        <v>0</v>
      </c>
      <c r="F1681" s="6">
        <v>0</v>
      </c>
      <c r="G1681" s="6">
        <v>5</v>
      </c>
      <c r="H1681" s="6" t="s">
        <v>53990</v>
      </c>
      <c r="I1681" s="6">
        <v>526.6875</v>
      </c>
      <c r="J1681" s="2">
        <f t="shared" si="26"/>
        <v>43749.537374907406</v>
      </c>
    </row>
    <row r="1682" spans="1:10" x14ac:dyDescent="0.25">
      <c r="A1682" s="7" t="s">
        <v>53991</v>
      </c>
      <c r="B1682" s="8">
        <v>393.75</v>
      </c>
      <c r="C1682" s="8">
        <v>20.531590000000001</v>
      </c>
      <c r="D1682" s="8">
        <v>52</v>
      </c>
      <c r="E1682" s="8">
        <v>0</v>
      </c>
      <c r="F1682" s="8">
        <v>0</v>
      </c>
      <c r="G1682" s="8">
        <v>14</v>
      </c>
      <c r="H1682" s="8" t="s">
        <v>53992</v>
      </c>
      <c r="I1682" s="8">
        <v>526.6875</v>
      </c>
      <c r="J1682" s="3">
        <f t="shared" si="26"/>
        <v>43749.537446643517</v>
      </c>
    </row>
    <row r="1683" spans="1:10" x14ac:dyDescent="0.25">
      <c r="A1683" s="5" t="s">
        <v>53993</v>
      </c>
      <c r="B1683" s="6">
        <v>393.75</v>
      </c>
      <c r="C1683" s="6">
        <v>20.531590000000001</v>
      </c>
      <c r="D1683" s="6">
        <v>52</v>
      </c>
      <c r="E1683" s="6">
        <v>0</v>
      </c>
      <c r="F1683" s="6">
        <v>0</v>
      </c>
      <c r="G1683" s="6">
        <v>12</v>
      </c>
      <c r="H1683" s="6" t="s">
        <v>53994</v>
      </c>
      <c r="I1683" s="6">
        <v>526.6875</v>
      </c>
      <c r="J1683" s="2">
        <f t="shared" si="26"/>
        <v>43749.537518379628</v>
      </c>
    </row>
    <row r="1684" spans="1:10" x14ac:dyDescent="0.25">
      <c r="A1684" s="7" t="s">
        <v>53995</v>
      </c>
      <c r="B1684" s="8">
        <v>393.75</v>
      </c>
      <c r="C1684" s="8">
        <v>20.478950000000001</v>
      </c>
      <c r="D1684" s="8">
        <v>53</v>
      </c>
      <c r="E1684" s="8">
        <v>0</v>
      </c>
      <c r="F1684" s="8">
        <v>0</v>
      </c>
      <c r="G1684" s="8">
        <v>11</v>
      </c>
      <c r="H1684" s="8" t="s">
        <v>53996</v>
      </c>
      <c r="I1684" s="8">
        <v>526.6875</v>
      </c>
      <c r="J1684" s="3">
        <f t="shared" si="26"/>
        <v>43749.537601979166</v>
      </c>
    </row>
    <row r="1685" spans="1:10" x14ac:dyDescent="0.25">
      <c r="A1685" s="5" t="s">
        <v>53997</v>
      </c>
      <c r="B1685" s="6">
        <v>393.75</v>
      </c>
      <c r="C1685" s="6">
        <v>20.584240000000001</v>
      </c>
      <c r="D1685" s="6">
        <v>53</v>
      </c>
      <c r="E1685" s="6">
        <v>0</v>
      </c>
      <c r="F1685" s="6">
        <v>0</v>
      </c>
      <c r="G1685" s="6">
        <v>7</v>
      </c>
      <c r="H1685" s="6" t="s">
        <v>53998</v>
      </c>
      <c r="I1685" s="6">
        <v>526.6875</v>
      </c>
      <c r="J1685" s="2">
        <f t="shared" si="26"/>
        <v>43749.53768533565</v>
      </c>
    </row>
    <row r="1686" spans="1:10" x14ac:dyDescent="0.25">
      <c r="A1686" s="7" t="s">
        <v>53999</v>
      </c>
      <c r="B1686" s="8">
        <v>412.5</v>
      </c>
      <c r="C1686" s="8">
        <v>20.584240000000001</v>
      </c>
      <c r="D1686" s="8">
        <v>53</v>
      </c>
      <c r="E1686" s="8">
        <v>0</v>
      </c>
      <c r="F1686" s="8">
        <v>0</v>
      </c>
      <c r="G1686" s="8">
        <v>12</v>
      </c>
      <c r="H1686" s="8" t="s">
        <v>54000</v>
      </c>
      <c r="I1686" s="8">
        <v>532.3125</v>
      </c>
      <c r="J1686" s="3">
        <f t="shared" si="26"/>
        <v>43749.537769722221</v>
      </c>
    </row>
    <row r="1687" spans="1:10" x14ac:dyDescent="0.25">
      <c r="A1687" s="5" t="s">
        <v>54001</v>
      </c>
      <c r="B1687" s="6">
        <v>393.75</v>
      </c>
      <c r="C1687" s="6">
        <v>20.584240000000001</v>
      </c>
      <c r="D1687" s="6">
        <v>53</v>
      </c>
      <c r="E1687" s="6">
        <v>0</v>
      </c>
      <c r="F1687" s="6">
        <v>0</v>
      </c>
      <c r="G1687" s="6">
        <v>15</v>
      </c>
      <c r="H1687" s="6" t="s">
        <v>54002</v>
      </c>
      <c r="I1687" s="6">
        <v>526.6875</v>
      </c>
      <c r="J1687" s="2">
        <f t="shared" si="26"/>
        <v>43749.53785221064</v>
      </c>
    </row>
    <row r="1688" spans="1:10" x14ac:dyDescent="0.25">
      <c r="A1688" s="7" t="s">
        <v>54003</v>
      </c>
      <c r="B1688" s="8">
        <v>393.75</v>
      </c>
      <c r="C1688" s="8">
        <v>20.478950000000001</v>
      </c>
      <c r="D1688" s="8">
        <v>52</v>
      </c>
      <c r="E1688" s="8">
        <v>0</v>
      </c>
      <c r="F1688" s="8">
        <v>0</v>
      </c>
      <c r="G1688" s="8">
        <v>22</v>
      </c>
      <c r="H1688" s="8" t="s">
        <v>54004</v>
      </c>
      <c r="I1688" s="8">
        <v>526.6875</v>
      </c>
      <c r="J1688" s="3">
        <f t="shared" si="26"/>
        <v>43749.537935763881</v>
      </c>
    </row>
    <row r="1689" spans="1:10" x14ac:dyDescent="0.25">
      <c r="A1689" s="5" t="s">
        <v>54005</v>
      </c>
      <c r="B1689" s="6">
        <v>393.75</v>
      </c>
      <c r="C1689" s="6">
        <v>20.584240000000001</v>
      </c>
      <c r="D1689" s="6">
        <v>52</v>
      </c>
      <c r="E1689" s="6">
        <v>0</v>
      </c>
      <c r="F1689" s="6">
        <v>0</v>
      </c>
      <c r="G1689" s="6">
        <v>22</v>
      </c>
      <c r="H1689" s="6" t="s">
        <v>54006</v>
      </c>
      <c r="I1689" s="6">
        <v>526.6875</v>
      </c>
      <c r="J1689" s="2">
        <f t="shared" si="26"/>
        <v>43749.538019374995</v>
      </c>
    </row>
    <row r="1690" spans="1:10" x14ac:dyDescent="0.25">
      <c r="A1690" s="7" t="s">
        <v>54007</v>
      </c>
      <c r="B1690" s="8">
        <v>393.75</v>
      </c>
      <c r="C1690" s="8">
        <v>20.584240000000001</v>
      </c>
      <c r="D1690" s="8">
        <v>54</v>
      </c>
      <c r="E1690" s="8">
        <v>0</v>
      </c>
      <c r="F1690" s="8">
        <v>0</v>
      </c>
      <c r="G1690" s="8">
        <v>21</v>
      </c>
      <c r="H1690" s="8" t="s">
        <v>54008</v>
      </c>
      <c r="I1690" s="8">
        <v>526.6875</v>
      </c>
      <c r="J1690" s="3">
        <f t="shared" si="26"/>
        <v>43749.538103611114</v>
      </c>
    </row>
    <row r="1691" spans="1:10" x14ac:dyDescent="0.25">
      <c r="A1691" s="5" t="s">
        <v>54009</v>
      </c>
      <c r="B1691" s="6">
        <v>393.75</v>
      </c>
      <c r="C1691" s="6">
        <v>20.531590000000001</v>
      </c>
      <c r="D1691" s="6">
        <v>54</v>
      </c>
      <c r="E1691" s="6">
        <v>0</v>
      </c>
      <c r="F1691" s="6">
        <v>0</v>
      </c>
      <c r="G1691" s="6">
        <v>26</v>
      </c>
      <c r="H1691" s="6" t="s">
        <v>54010</v>
      </c>
      <c r="I1691" s="6">
        <v>526.6875</v>
      </c>
      <c r="J1691" s="2">
        <f t="shared" si="26"/>
        <v>43749.538186030091</v>
      </c>
    </row>
    <row r="1692" spans="1:10" x14ac:dyDescent="0.25">
      <c r="A1692" s="7" t="s">
        <v>54011</v>
      </c>
      <c r="B1692" s="8">
        <v>393.75</v>
      </c>
      <c r="C1692" s="8">
        <v>20.584240000000001</v>
      </c>
      <c r="D1692" s="8">
        <v>54</v>
      </c>
      <c r="E1692" s="8">
        <v>0</v>
      </c>
      <c r="F1692" s="8">
        <v>0</v>
      </c>
      <c r="G1692" s="8">
        <v>11</v>
      </c>
      <c r="H1692" s="8" t="s">
        <v>54012</v>
      </c>
      <c r="I1692" s="8">
        <v>526.6875</v>
      </c>
      <c r="J1692" s="3">
        <f t="shared" si="26"/>
        <v>43749.538257777771</v>
      </c>
    </row>
    <row r="1693" spans="1:10" x14ac:dyDescent="0.25">
      <c r="A1693" s="5" t="s">
        <v>54013</v>
      </c>
      <c r="B1693" s="6">
        <v>393.75</v>
      </c>
      <c r="C1693" s="6">
        <v>20.531590000000001</v>
      </c>
      <c r="D1693" s="6">
        <v>53</v>
      </c>
      <c r="E1693" s="6">
        <v>0</v>
      </c>
      <c r="F1693" s="6">
        <v>0</v>
      </c>
      <c r="G1693" s="6">
        <v>14</v>
      </c>
      <c r="H1693" s="6" t="s">
        <v>54014</v>
      </c>
      <c r="I1693" s="6">
        <v>526.6875</v>
      </c>
      <c r="J1693" s="2">
        <f t="shared" si="26"/>
        <v>43749.538341342595</v>
      </c>
    </row>
    <row r="1694" spans="1:10" x14ac:dyDescent="0.25">
      <c r="A1694" s="7" t="s">
        <v>54015</v>
      </c>
      <c r="B1694" s="8">
        <v>393.75</v>
      </c>
      <c r="C1694" s="8">
        <v>20.531590000000001</v>
      </c>
      <c r="D1694" s="8">
        <v>52</v>
      </c>
      <c r="E1694" s="8">
        <v>0</v>
      </c>
      <c r="F1694" s="8">
        <v>0</v>
      </c>
      <c r="G1694" s="8">
        <v>0</v>
      </c>
      <c r="H1694" s="8" t="s">
        <v>54016</v>
      </c>
      <c r="I1694" s="8">
        <v>526.6875</v>
      </c>
      <c r="J1694" s="3">
        <f t="shared" si="26"/>
        <v>43749.538424768522</v>
      </c>
    </row>
    <row r="1695" spans="1:10" x14ac:dyDescent="0.25">
      <c r="A1695" s="5" t="s">
        <v>54017</v>
      </c>
      <c r="B1695" s="6">
        <v>393.75</v>
      </c>
      <c r="C1695" s="6">
        <v>20.531590000000001</v>
      </c>
      <c r="D1695" s="6">
        <v>52</v>
      </c>
      <c r="E1695" s="6">
        <v>0</v>
      </c>
      <c r="F1695" s="6">
        <v>0</v>
      </c>
      <c r="G1695" s="6">
        <v>5</v>
      </c>
      <c r="H1695" s="6" t="s">
        <v>54018</v>
      </c>
      <c r="I1695" s="6">
        <v>526.6875</v>
      </c>
      <c r="J1695" s="2">
        <f t="shared" si="26"/>
        <v>43749.538508333331</v>
      </c>
    </row>
    <row r="1696" spans="1:10" x14ac:dyDescent="0.25">
      <c r="A1696" s="7" t="s">
        <v>54019</v>
      </c>
      <c r="B1696" s="8">
        <v>393.75</v>
      </c>
      <c r="C1696" s="8">
        <v>20.584240000000001</v>
      </c>
      <c r="D1696" s="8">
        <v>52</v>
      </c>
      <c r="E1696" s="8">
        <v>0</v>
      </c>
      <c r="F1696" s="8">
        <v>0</v>
      </c>
      <c r="G1696" s="8">
        <v>8</v>
      </c>
      <c r="H1696" s="8" t="s">
        <v>54020</v>
      </c>
      <c r="I1696" s="8">
        <v>526.6875</v>
      </c>
      <c r="J1696" s="3">
        <f t="shared" si="26"/>
        <v>43749.538591805554</v>
      </c>
    </row>
    <row r="1697" spans="1:10" x14ac:dyDescent="0.25">
      <c r="A1697" s="5" t="s">
        <v>54021</v>
      </c>
      <c r="B1697" s="6">
        <v>393.75</v>
      </c>
      <c r="C1697" s="6">
        <v>20.531590000000001</v>
      </c>
      <c r="D1697" s="6">
        <v>51</v>
      </c>
      <c r="E1697" s="6">
        <v>0</v>
      </c>
      <c r="F1697" s="6">
        <v>0</v>
      </c>
      <c r="G1697" s="6">
        <v>9</v>
      </c>
      <c r="H1697" s="6" t="s">
        <v>54022</v>
      </c>
      <c r="I1697" s="6">
        <v>526.6875</v>
      </c>
      <c r="J1697" s="2">
        <f t="shared" si="26"/>
        <v>43749.538675023148</v>
      </c>
    </row>
    <row r="1698" spans="1:10" x14ac:dyDescent="0.25">
      <c r="A1698" s="7" t="s">
        <v>54023</v>
      </c>
      <c r="B1698" s="8">
        <v>412.5</v>
      </c>
      <c r="C1698" s="8">
        <v>20.531590000000001</v>
      </c>
      <c r="D1698" s="8">
        <v>51</v>
      </c>
      <c r="E1698" s="8">
        <v>0</v>
      </c>
      <c r="F1698" s="8">
        <v>0</v>
      </c>
      <c r="G1698" s="8">
        <v>6</v>
      </c>
      <c r="H1698" s="8" t="s">
        <v>54024</v>
      </c>
      <c r="I1698" s="8">
        <v>532.3125</v>
      </c>
      <c r="J1698" s="3">
        <f t="shared" si="26"/>
        <v>43749.538746944447</v>
      </c>
    </row>
    <row r="1699" spans="1:10" x14ac:dyDescent="0.25">
      <c r="A1699" s="5" t="s">
        <v>54025</v>
      </c>
      <c r="B1699" s="6">
        <v>393.75</v>
      </c>
      <c r="C1699" s="6">
        <v>20.531590000000001</v>
      </c>
      <c r="D1699" s="6">
        <v>52</v>
      </c>
      <c r="E1699" s="6">
        <v>0</v>
      </c>
      <c r="F1699" s="6">
        <v>0</v>
      </c>
      <c r="G1699" s="6">
        <v>13</v>
      </c>
      <c r="H1699" s="6" t="s">
        <v>54026</v>
      </c>
      <c r="I1699" s="6">
        <v>526.5</v>
      </c>
      <c r="J1699" s="2">
        <f t="shared" si="26"/>
        <v>43749.538830740734</v>
      </c>
    </row>
    <row r="1700" spans="1:10" x14ac:dyDescent="0.25">
      <c r="A1700" s="7" t="s">
        <v>54027</v>
      </c>
      <c r="B1700" s="8">
        <v>393.75</v>
      </c>
      <c r="C1700" s="8">
        <v>20.531590000000001</v>
      </c>
      <c r="D1700" s="8">
        <v>52</v>
      </c>
      <c r="E1700" s="8">
        <v>0</v>
      </c>
      <c r="F1700" s="8">
        <v>0</v>
      </c>
      <c r="G1700" s="8">
        <v>18</v>
      </c>
      <c r="H1700" s="8" t="s">
        <v>54028</v>
      </c>
      <c r="I1700" s="8">
        <v>526.6875</v>
      </c>
      <c r="J1700" s="3">
        <f t="shared" si="26"/>
        <v>43749.538926261572</v>
      </c>
    </row>
    <row r="1701" spans="1:10" x14ac:dyDescent="0.25">
      <c r="A1701" s="5" t="s">
        <v>54029</v>
      </c>
      <c r="B1701" s="6">
        <v>393.75</v>
      </c>
      <c r="C1701" s="6">
        <v>20.478950000000001</v>
      </c>
      <c r="D1701" s="6">
        <v>53</v>
      </c>
      <c r="E1701" s="6">
        <v>0</v>
      </c>
      <c r="F1701" s="6">
        <v>0</v>
      </c>
      <c r="G1701" s="6">
        <v>23</v>
      </c>
      <c r="H1701" s="6" t="s">
        <v>54030</v>
      </c>
      <c r="I1701" s="6">
        <v>526.6875</v>
      </c>
      <c r="J1701" s="2">
        <f t="shared" si="26"/>
        <v>43749.539009282402</v>
      </c>
    </row>
    <row r="1702" spans="1:10" x14ac:dyDescent="0.25">
      <c r="A1702" s="7" t="s">
        <v>54031</v>
      </c>
      <c r="B1702" s="8">
        <v>393.75</v>
      </c>
      <c r="C1702" s="8">
        <v>20.584240000000001</v>
      </c>
      <c r="D1702" s="8">
        <v>53</v>
      </c>
      <c r="E1702" s="8">
        <v>0</v>
      </c>
      <c r="F1702" s="8">
        <v>0</v>
      </c>
      <c r="G1702" s="8">
        <v>6</v>
      </c>
      <c r="H1702" s="8" t="s">
        <v>54032</v>
      </c>
      <c r="I1702" s="8">
        <v>526.6875</v>
      </c>
      <c r="J1702" s="3">
        <f t="shared" si="26"/>
        <v>43749.539080925919</v>
      </c>
    </row>
    <row r="1703" spans="1:10" x14ac:dyDescent="0.25">
      <c r="A1703" s="5" t="s">
        <v>54033</v>
      </c>
      <c r="B1703" s="6">
        <v>412.5</v>
      </c>
      <c r="C1703" s="6">
        <v>20.584240000000001</v>
      </c>
      <c r="D1703" s="6">
        <v>52</v>
      </c>
      <c r="E1703" s="6">
        <v>0</v>
      </c>
      <c r="F1703" s="6">
        <v>0</v>
      </c>
      <c r="G1703" s="6">
        <v>8</v>
      </c>
      <c r="H1703" s="6" t="s">
        <v>54034</v>
      </c>
      <c r="I1703" s="6">
        <v>532.3125</v>
      </c>
      <c r="J1703" s="2">
        <f t="shared" si="26"/>
        <v>43749.539164467591</v>
      </c>
    </row>
    <row r="1704" spans="1:10" x14ac:dyDescent="0.25">
      <c r="A1704" s="7" t="s">
        <v>54035</v>
      </c>
      <c r="B1704" s="8">
        <v>393.75</v>
      </c>
      <c r="C1704" s="8">
        <v>20.531590000000001</v>
      </c>
      <c r="D1704" s="8">
        <v>49</v>
      </c>
      <c r="E1704" s="8">
        <v>0</v>
      </c>
      <c r="F1704" s="8">
        <v>0</v>
      </c>
      <c r="G1704" s="8">
        <v>0</v>
      </c>
      <c r="H1704" s="8" t="s">
        <v>54036</v>
      </c>
      <c r="I1704" s="8">
        <v>526.6875</v>
      </c>
      <c r="J1704" s="3">
        <f t="shared" si="26"/>
        <v>43749.539235914352</v>
      </c>
    </row>
    <row r="1705" spans="1:10" x14ac:dyDescent="0.25">
      <c r="A1705" s="5" t="s">
        <v>54037</v>
      </c>
      <c r="B1705" s="6">
        <v>393.75</v>
      </c>
      <c r="C1705" s="6">
        <v>20.584240000000001</v>
      </c>
      <c r="D1705" s="6">
        <v>48</v>
      </c>
      <c r="E1705" s="6">
        <v>0</v>
      </c>
      <c r="F1705" s="6">
        <v>0</v>
      </c>
      <c r="G1705" s="6">
        <v>12</v>
      </c>
      <c r="H1705" s="6" t="s">
        <v>54038</v>
      </c>
      <c r="I1705" s="6">
        <v>526.6875</v>
      </c>
      <c r="J1705" s="2">
        <f t="shared" si="26"/>
        <v>43749.53940292824</v>
      </c>
    </row>
    <row r="1706" spans="1:10" x14ac:dyDescent="0.25">
      <c r="A1706" s="7" t="s">
        <v>54039</v>
      </c>
      <c r="B1706" s="8">
        <v>393.75</v>
      </c>
      <c r="C1706" s="8">
        <v>20.531590000000001</v>
      </c>
      <c r="D1706" s="8">
        <v>52</v>
      </c>
      <c r="E1706" s="8">
        <v>0</v>
      </c>
      <c r="F1706" s="8">
        <v>0</v>
      </c>
      <c r="G1706" s="8">
        <v>10</v>
      </c>
      <c r="H1706" s="8" t="s">
        <v>54040</v>
      </c>
      <c r="I1706" s="8">
        <v>526.6875</v>
      </c>
      <c r="J1706" s="3">
        <f t="shared" si="26"/>
        <v>43749.539486134257</v>
      </c>
    </row>
    <row r="1707" spans="1:10" x14ac:dyDescent="0.25">
      <c r="A1707" s="5" t="s">
        <v>54041</v>
      </c>
      <c r="B1707" s="6">
        <v>415.625</v>
      </c>
      <c r="C1707" s="6">
        <v>20.531590000000001</v>
      </c>
      <c r="D1707" s="6">
        <v>52</v>
      </c>
      <c r="E1707" s="6">
        <v>0</v>
      </c>
      <c r="F1707" s="6">
        <v>0</v>
      </c>
      <c r="G1707" s="6">
        <v>9</v>
      </c>
      <c r="H1707" s="6" t="s">
        <v>54042</v>
      </c>
      <c r="I1707" s="6">
        <v>533.0625</v>
      </c>
      <c r="J1707" s="2">
        <f t="shared" si="26"/>
        <v>43749.539557789351</v>
      </c>
    </row>
    <row r="1708" spans="1:10" x14ac:dyDescent="0.25">
      <c r="A1708" s="7" t="s">
        <v>54043</v>
      </c>
      <c r="B1708" s="8">
        <v>393.75</v>
      </c>
      <c r="C1708" s="8">
        <v>20.531590000000001</v>
      </c>
      <c r="D1708" s="8">
        <v>50</v>
      </c>
      <c r="E1708" s="8">
        <v>0</v>
      </c>
      <c r="F1708" s="8">
        <v>0</v>
      </c>
      <c r="G1708" s="8">
        <v>17</v>
      </c>
      <c r="H1708" s="8" t="s">
        <v>54044</v>
      </c>
      <c r="I1708" s="8">
        <v>526.6875</v>
      </c>
      <c r="J1708" s="3">
        <f t="shared" si="26"/>
        <v>43749.539641597221</v>
      </c>
    </row>
    <row r="1709" spans="1:10" x14ac:dyDescent="0.25">
      <c r="A1709" s="5" t="s">
        <v>54045</v>
      </c>
      <c r="B1709" s="6">
        <v>393.75</v>
      </c>
      <c r="C1709" s="6">
        <v>20.584240000000001</v>
      </c>
      <c r="D1709" s="6">
        <v>51</v>
      </c>
      <c r="E1709" s="6">
        <v>0</v>
      </c>
      <c r="F1709" s="6">
        <v>0</v>
      </c>
      <c r="G1709" s="6">
        <v>13</v>
      </c>
      <c r="H1709" s="6" t="s">
        <v>54046</v>
      </c>
      <c r="I1709" s="6">
        <v>526.5</v>
      </c>
      <c r="J1709" s="2">
        <f t="shared" si="26"/>
        <v>43749.539725034723</v>
      </c>
    </row>
    <row r="1710" spans="1:10" x14ac:dyDescent="0.25">
      <c r="A1710" s="7" t="s">
        <v>54047</v>
      </c>
      <c r="B1710" s="8">
        <v>393.75</v>
      </c>
      <c r="C1710" s="8">
        <v>20.584240000000001</v>
      </c>
      <c r="D1710" s="8">
        <v>50</v>
      </c>
      <c r="E1710" s="8">
        <v>0</v>
      </c>
      <c r="F1710" s="8">
        <v>0</v>
      </c>
      <c r="G1710" s="8">
        <v>2</v>
      </c>
      <c r="H1710" s="8" t="s">
        <v>54048</v>
      </c>
      <c r="I1710" s="8">
        <v>526.6875</v>
      </c>
      <c r="J1710" s="3">
        <f t="shared" si="26"/>
        <v>43749.539808240741</v>
      </c>
    </row>
    <row r="1711" spans="1:10" x14ac:dyDescent="0.25">
      <c r="A1711" s="5" t="s">
        <v>54049</v>
      </c>
      <c r="B1711" s="6">
        <v>393.75</v>
      </c>
      <c r="C1711" s="6">
        <v>20.531590000000001</v>
      </c>
      <c r="D1711" s="6">
        <v>50</v>
      </c>
      <c r="E1711" s="6">
        <v>0</v>
      </c>
      <c r="F1711" s="6">
        <v>0</v>
      </c>
      <c r="G1711" s="6">
        <v>20</v>
      </c>
      <c r="H1711" s="6" t="s">
        <v>54050</v>
      </c>
      <c r="I1711" s="6">
        <v>526.6875</v>
      </c>
      <c r="J1711" s="2">
        <f t="shared" si="26"/>
        <v>43749.539880104167</v>
      </c>
    </row>
    <row r="1712" spans="1:10" x14ac:dyDescent="0.25">
      <c r="A1712" s="7" t="s">
        <v>54051</v>
      </c>
      <c r="B1712" s="8">
        <v>393.75</v>
      </c>
      <c r="C1712" s="8">
        <v>20.531590000000001</v>
      </c>
      <c r="D1712" s="8">
        <v>50</v>
      </c>
      <c r="E1712" s="8">
        <v>0</v>
      </c>
      <c r="F1712" s="8">
        <v>0</v>
      </c>
      <c r="G1712" s="8">
        <v>24</v>
      </c>
      <c r="H1712" s="8" t="s">
        <v>54052</v>
      </c>
      <c r="I1712" s="8">
        <v>526.6875</v>
      </c>
      <c r="J1712" s="3">
        <f t="shared" si="26"/>
        <v>43749.539963553238</v>
      </c>
    </row>
    <row r="1713" spans="1:10" x14ac:dyDescent="0.25">
      <c r="A1713" s="5" t="s">
        <v>54053</v>
      </c>
      <c r="B1713" s="6">
        <v>393.75</v>
      </c>
      <c r="C1713" s="6">
        <v>20.584240000000001</v>
      </c>
      <c r="D1713" s="6">
        <v>50</v>
      </c>
      <c r="E1713" s="6">
        <v>0</v>
      </c>
      <c r="F1713" s="6">
        <v>0</v>
      </c>
      <c r="G1713" s="6">
        <v>17</v>
      </c>
      <c r="H1713" s="6" t="s">
        <v>54054</v>
      </c>
      <c r="I1713" s="6">
        <v>526.6875</v>
      </c>
      <c r="J1713" s="2">
        <f t="shared" si="26"/>
        <v>43749.540035300925</v>
      </c>
    </row>
    <row r="1714" spans="1:10" x14ac:dyDescent="0.25">
      <c r="A1714" s="7" t="s">
        <v>54055</v>
      </c>
      <c r="B1714" s="8">
        <v>393.75</v>
      </c>
      <c r="C1714" s="8">
        <v>20.584240000000001</v>
      </c>
      <c r="D1714" s="8">
        <v>50</v>
      </c>
      <c r="E1714" s="8">
        <v>0</v>
      </c>
      <c r="F1714" s="8">
        <v>0</v>
      </c>
      <c r="G1714" s="8">
        <v>20</v>
      </c>
      <c r="H1714" s="8" t="s">
        <v>54056</v>
      </c>
      <c r="I1714" s="8">
        <v>526.6875</v>
      </c>
      <c r="J1714" s="3">
        <f t="shared" si="26"/>
        <v>43749.540118645826</v>
      </c>
    </row>
    <row r="1715" spans="1:10" x14ac:dyDescent="0.25">
      <c r="A1715" s="5" t="s">
        <v>54057</v>
      </c>
      <c r="B1715" s="6">
        <v>393.75</v>
      </c>
      <c r="C1715" s="6">
        <v>20.531590000000001</v>
      </c>
      <c r="D1715" s="6">
        <v>50</v>
      </c>
      <c r="E1715" s="6">
        <v>0</v>
      </c>
      <c r="F1715" s="6">
        <v>0</v>
      </c>
      <c r="G1715" s="6">
        <v>22</v>
      </c>
      <c r="H1715" s="6" t="s">
        <v>54058</v>
      </c>
      <c r="I1715" s="6">
        <v>526.6875</v>
      </c>
      <c r="J1715" s="2">
        <f t="shared" si="26"/>
        <v>43749.540202118056</v>
      </c>
    </row>
    <row r="1716" spans="1:10" x14ac:dyDescent="0.25">
      <c r="A1716" s="7" t="s">
        <v>54059</v>
      </c>
      <c r="B1716" s="8">
        <v>393.75</v>
      </c>
      <c r="C1716" s="8">
        <v>20.531590000000001</v>
      </c>
      <c r="D1716" s="8">
        <v>50</v>
      </c>
      <c r="E1716" s="8">
        <v>0</v>
      </c>
      <c r="F1716" s="8">
        <v>0</v>
      </c>
      <c r="G1716" s="8">
        <v>27</v>
      </c>
      <c r="H1716" s="8" t="s">
        <v>54060</v>
      </c>
      <c r="I1716" s="8">
        <v>526.6875</v>
      </c>
      <c r="J1716" s="3">
        <f t="shared" si="26"/>
        <v>43749.540285682866</v>
      </c>
    </row>
    <row r="1717" spans="1:10" x14ac:dyDescent="0.25">
      <c r="A1717" s="5" t="s">
        <v>54061</v>
      </c>
      <c r="B1717" s="6">
        <v>393.75</v>
      </c>
      <c r="C1717" s="6">
        <v>20.531590000000001</v>
      </c>
      <c r="D1717" s="6">
        <v>48</v>
      </c>
      <c r="E1717" s="6">
        <v>0</v>
      </c>
      <c r="F1717" s="6">
        <v>0</v>
      </c>
      <c r="G1717" s="6">
        <v>20</v>
      </c>
      <c r="H1717" s="6" t="s">
        <v>54062</v>
      </c>
      <c r="I1717" s="6">
        <v>526.6875</v>
      </c>
      <c r="J1717" s="2">
        <f t="shared" si="26"/>
        <v>43749.540357326383</v>
      </c>
    </row>
    <row r="1718" spans="1:10" x14ac:dyDescent="0.25">
      <c r="A1718" s="7" t="s">
        <v>54063</v>
      </c>
      <c r="B1718" s="8">
        <v>393.75</v>
      </c>
      <c r="C1718" s="8">
        <v>20.531590000000001</v>
      </c>
      <c r="D1718" s="8">
        <v>48</v>
      </c>
      <c r="E1718" s="8">
        <v>0</v>
      </c>
      <c r="F1718" s="8">
        <v>0</v>
      </c>
      <c r="G1718" s="8">
        <v>9</v>
      </c>
      <c r="H1718" s="8" t="s">
        <v>54064</v>
      </c>
      <c r="I1718" s="8">
        <v>526.5</v>
      </c>
      <c r="J1718" s="3">
        <f t="shared" si="26"/>
        <v>43749.540428738423</v>
      </c>
    </row>
    <row r="1719" spans="1:10" x14ac:dyDescent="0.25">
      <c r="A1719" s="5" t="s">
        <v>54065</v>
      </c>
      <c r="B1719" s="6">
        <v>393.75</v>
      </c>
      <c r="C1719" s="6">
        <v>20.531590000000001</v>
      </c>
      <c r="D1719" s="6">
        <v>48</v>
      </c>
      <c r="E1719" s="6">
        <v>0</v>
      </c>
      <c r="F1719" s="6">
        <v>0</v>
      </c>
      <c r="G1719" s="6">
        <v>11</v>
      </c>
      <c r="H1719" s="6" t="s">
        <v>54066</v>
      </c>
      <c r="I1719" s="6">
        <v>526.6875</v>
      </c>
      <c r="J1719" s="2">
        <f t="shared" si="26"/>
        <v>43749.54051194444</v>
      </c>
    </row>
    <row r="1720" spans="1:10" x14ac:dyDescent="0.25">
      <c r="A1720" s="7" t="s">
        <v>54067</v>
      </c>
      <c r="B1720" s="8">
        <v>393.75</v>
      </c>
      <c r="C1720" s="8">
        <v>20.584240000000001</v>
      </c>
      <c r="D1720" s="8">
        <v>48</v>
      </c>
      <c r="E1720" s="8">
        <v>0</v>
      </c>
      <c r="F1720" s="8">
        <v>0</v>
      </c>
      <c r="G1720" s="8">
        <v>11</v>
      </c>
      <c r="H1720" s="8" t="s">
        <v>54068</v>
      </c>
      <c r="I1720" s="8">
        <v>526.6875</v>
      </c>
      <c r="J1720" s="3">
        <f t="shared" si="26"/>
        <v>43749.540583831018</v>
      </c>
    </row>
    <row r="1721" spans="1:10" x14ac:dyDescent="0.25">
      <c r="A1721" s="5" t="s">
        <v>54069</v>
      </c>
      <c r="B1721" s="6">
        <v>393.75</v>
      </c>
      <c r="C1721" s="6">
        <v>20.584240000000001</v>
      </c>
      <c r="D1721" s="6">
        <v>51</v>
      </c>
      <c r="E1721" s="6">
        <v>0</v>
      </c>
      <c r="F1721" s="6">
        <v>0</v>
      </c>
      <c r="G1721" s="6">
        <v>17</v>
      </c>
      <c r="H1721" s="6" t="s">
        <v>54070</v>
      </c>
      <c r="I1721" s="6">
        <v>526.5</v>
      </c>
      <c r="J1721" s="2">
        <f t="shared" si="26"/>
        <v>43749.540667719906</v>
      </c>
    </row>
    <row r="1722" spans="1:10" x14ac:dyDescent="0.25">
      <c r="A1722" s="7" t="s">
        <v>54071</v>
      </c>
      <c r="B1722" s="8">
        <v>393.75</v>
      </c>
      <c r="C1722" s="8">
        <v>20.531590000000001</v>
      </c>
      <c r="D1722" s="8">
        <v>51</v>
      </c>
      <c r="E1722" s="8">
        <v>0</v>
      </c>
      <c r="F1722" s="8">
        <v>0</v>
      </c>
      <c r="G1722" s="8">
        <v>14</v>
      </c>
      <c r="H1722" s="8" t="s">
        <v>54072</v>
      </c>
      <c r="I1722" s="8">
        <v>526.6875</v>
      </c>
      <c r="J1722" s="3">
        <f t="shared" si="26"/>
        <v>43749.540738900461</v>
      </c>
    </row>
    <row r="1723" spans="1:10" x14ac:dyDescent="0.25">
      <c r="A1723" s="5" t="s">
        <v>54073</v>
      </c>
      <c r="B1723" s="6">
        <v>393.75</v>
      </c>
      <c r="C1723" s="6">
        <v>20.584240000000001</v>
      </c>
      <c r="D1723" s="6">
        <v>51</v>
      </c>
      <c r="E1723" s="6">
        <v>0</v>
      </c>
      <c r="F1723" s="6">
        <v>0</v>
      </c>
      <c r="G1723" s="6">
        <v>14</v>
      </c>
      <c r="H1723" s="6" t="s">
        <v>54074</v>
      </c>
      <c r="I1723" s="6">
        <v>526.6875</v>
      </c>
      <c r="J1723" s="2">
        <f t="shared" si="26"/>
        <v>43749.540810451384</v>
      </c>
    </row>
    <row r="1724" spans="1:10" x14ac:dyDescent="0.25">
      <c r="A1724" s="7" t="s">
        <v>54075</v>
      </c>
      <c r="B1724" s="8">
        <v>393.75</v>
      </c>
      <c r="C1724" s="8">
        <v>20.531590000000001</v>
      </c>
      <c r="D1724" s="8">
        <v>51</v>
      </c>
      <c r="E1724" s="8">
        <v>0</v>
      </c>
      <c r="F1724" s="8">
        <v>0</v>
      </c>
      <c r="G1724" s="8">
        <v>10</v>
      </c>
      <c r="H1724" s="8" t="s">
        <v>54076</v>
      </c>
      <c r="I1724" s="8">
        <v>526.6875</v>
      </c>
      <c r="J1724" s="3">
        <f t="shared" si="26"/>
        <v>43749.54089413194</v>
      </c>
    </row>
    <row r="1725" spans="1:10" x14ac:dyDescent="0.25">
      <c r="A1725" s="5" t="s">
        <v>54077</v>
      </c>
      <c r="B1725" s="6">
        <v>393.75</v>
      </c>
      <c r="C1725" s="6">
        <v>20.478950000000001</v>
      </c>
      <c r="D1725" s="6">
        <v>51</v>
      </c>
      <c r="E1725" s="6">
        <v>0</v>
      </c>
      <c r="F1725" s="6">
        <v>0</v>
      </c>
      <c r="G1725" s="6">
        <v>12</v>
      </c>
      <c r="H1725" s="6" t="s">
        <v>54078</v>
      </c>
      <c r="I1725" s="6">
        <v>526.6875</v>
      </c>
      <c r="J1725" s="2">
        <f t="shared" si="26"/>
        <v>43749.540965173604</v>
      </c>
    </row>
    <row r="1726" spans="1:10" x14ac:dyDescent="0.25">
      <c r="A1726" s="7" t="s">
        <v>54079</v>
      </c>
      <c r="B1726" s="8">
        <v>393.75</v>
      </c>
      <c r="C1726" s="8">
        <v>20.531590000000001</v>
      </c>
      <c r="D1726" s="8">
        <v>51</v>
      </c>
      <c r="E1726" s="8">
        <v>0</v>
      </c>
      <c r="F1726" s="8">
        <v>0</v>
      </c>
      <c r="G1726" s="8">
        <v>9</v>
      </c>
      <c r="H1726" s="8" t="s">
        <v>54080</v>
      </c>
      <c r="I1726" s="8">
        <v>526.6875</v>
      </c>
      <c r="J1726" s="3">
        <f t="shared" si="26"/>
        <v>43749.541049097221</v>
      </c>
    </row>
    <row r="1727" spans="1:10" x14ac:dyDescent="0.25">
      <c r="A1727" s="5" t="s">
        <v>54081</v>
      </c>
      <c r="B1727" s="6">
        <v>393.75</v>
      </c>
      <c r="C1727" s="6">
        <v>20.584240000000001</v>
      </c>
      <c r="D1727" s="6">
        <v>51</v>
      </c>
      <c r="E1727" s="6">
        <v>0</v>
      </c>
      <c r="F1727" s="6">
        <v>0</v>
      </c>
      <c r="G1727" s="6">
        <v>6</v>
      </c>
      <c r="H1727" s="6" t="s">
        <v>54082</v>
      </c>
      <c r="I1727" s="6">
        <v>526.6875</v>
      </c>
      <c r="J1727" s="2">
        <f t="shared" si="26"/>
        <v>43749.541132557868</v>
      </c>
    </row>
    <row r="1728" spans="1:10" x14ac:dyDescent="0.25">
      <c r="A1728" s="7" t="s">
        <v>54083</v>
      </c>
      <c r="B1728" s="8">
        <v>393.75</v>
      </c>
      <c r="C1728" s="8">
        <v>20.478950000000001</v>
      </c>
      <c r="D1728" s="8">
        <v>51</v>
      </c>
      <c r="E1728" s="8">
        <v>0</v>
      </c>
      <c r="F1728" s="8">
        <v>0</v>
      </c>
      <c r="G1728" s="8">
        <v>11</v>
      </c>
      <c r="H1728" s="8" t="s">
        <v>54084</v>
      </c>
      <c r="I1728" s="8">
        <v>526.6875</v>
      </c>
      <c r="J1728" s="3">
        <f t="shared" si="26"/>
        <v>43749.541228043978</v>
      </c>
    </row>
    <row r="1729" spans="1:10" x14ac:dyDescent="0.25">
      <c r="A1729" s="5" t="s">
        <v>54085</v>
      </c>
      <c r="B1729" s="6">
        <v>421.875</v>
      </c>
      <c r="C1729" s="6">
        <v>20.531590000000001</v>
      </c>
      <c r="D1729" s="6">
        <v>51</v>
      </c>
      <c r="E1729" s="6">
        <v>0</v>
      </c>
      <c r="F1729" s="6">
        <v>0</v>
      </c>
      <c r="G1729" s="6">
        <v>18</v>
      </c>
      <c r="H1729" s="6" t="s">
        <v>54086</v>
      </c>
      <c r="I1729" s="6">
        <v>535.3125</v>
      </c>
      <c r="J1729" s="2">
        <f t="shared" si="26"/>
        <v>43749.541311504632</v>
      </c>
    </row>
    <row r="1730" spans="1:10" x14ac:dyDescent="0.25">
      <c r="A1730" s="7" t="s">
        <v>54087</v>
      </c>
      <c r="B1730" s="8">
        <v>393.75</v>
      </c>
      <c r="C1730" s="8">
        <v>20.584240000000001</v>
      </c>
      <c r="D1730" s="8">
        <v>48</v>
      </c>
      <c r="E1730" s="8">
        <v>0</v>
      </c>
      <c r="F1730" s="8">
        <v>0</v>
      </c>
      <c r="G1730" s="8">
        <v>25</v>
      </c>
      <c r="H1730" s="8" t="s">
        <v>54088</v>
      </c>
      <c r="I1730" s="8">
        <v>526.6875</v>
      </c>
      <c r="J1730" s="3">
        <f t="shared" ref="J1730:J1793" si="27">(H1730/86400000)+25569+(7/24)</f>
        <v>43749.541394930558</v>
      </c>
    </row>
    <row r="1731" spans="1:10" x14ac:dyDescent="0.25">
      <c r="A1731" s="5" t="s">
        <v>54089</v>
      </c>
      <c r="B1731" s="6">
        <v>393.75</v>
      </c>
      <c r="C1731" s="6">
        <v>20.531590000000001</v>
      </c>
      <c r="D1731" s="6">
        <v>48</v>
      </c>
      <c r="E1731" s="6">
        <v>0</v>
      </c>
      <c r="F1731" s="6">
        <v>0</v>
      </c>
      <c r="G1731" s="6">
        <v>16</v>
      </c>
      <c r="H1731" s="6" t="s">
        <v>54090</v>
      </c>
      <c r="I1731" s="6">
        <v>526.6875</v>
      </c>
      <c r="J1731" s="2">
        <f t="shared" si="27"/>
        <v>43749.541478726846</v>
      </c>
    </row>
    <row r="1732" spans="1:10" x14ac:dyDescent="0.25">
      <c r="A1732" s="7" t="s">
        <v>54091</v>
      </c>
      <c r="B1732" s="8">
        <v>393.75</v>
      </c>
      <c r="C1732" s="8">
        <v>20.584240000000001</v>
      </c>
      <c r="D1732" s="8">
        <v>49</v>
      </c>
      <c r="E1732" s="8">
        <v>0</v>
      </c>
      <c r="F1732" s="8">
        <v>0</v>
      </c>
      <c r="G1732" s="8">
        <v>20</v>
      </c>
      <c r="H1732" s="8" t="s">
        <v>54092</v>
      </c>
      <c r="I1732" s="8">
        <v>526.6875</v>
      </c>
      <c r="J1732" s="3">
        <f t="shared" si="27"/>
        <v>43749.541579571756</v>
      </c>
    </row>
    <row r="1733" spans="1:10" x14ac:dyDescent="0.25">
      <c r="A1733" s="5" t="s">
        <v>54093</v>
      </c>
      <c r="B1733" s="6">
        <v>415.625</v>
      </c>
      <c r="C1733" s="6">
        <v>20.584240000000001</v>
      </c>
      <c r="D1733" s="6">
        <v>46</v>
      </c>
      <c r="E1733" s="6">
        <v>0</v>
      </c>
      <c r="F1733" s="6">
        <v>0</v>
      </c>
      <c r="G1733" s="6">
        <v>4</v>
      </c>
      <c r="H1733" s="6" t="s">
        <v>54094</v>
      </c>
      <c r="I1733" s="6">
        <v>533.4375</v>
      </c>
      <c r="J1733" s="2">
        <f t="shared" si="27"/>
        <v>43749.541657326386</v>
      </c>
    </row>
    <row r="1734" spans="1:10" x14ac:dyDescent="0.25">
      <c r="A1734" s="7" t="s">
        <v>54095</v>
      </c>
      <c r="B1734" s="8">
        <v>393.75</v>
      </c>
      <c r="C1734" s="8">
        <v>20.531590000000001</v>
      </c>
      <c r="D1734" s="8">
        <v>47</v>
      </c>
      <c r="E1734" s="8">
        <v>0</v>
      </c>
      <c r="F1734" s="8">
        <v>0</v>
      </c>
      <c r="G1734" s="8">
        <v>16</v>
      </c>
      <c r="H1734" s="8" t="s">
        <v>54096</v>
      </c>
      <c r="I1734" s="8">
        <v>526.6875</v>
      </c>
      <c r="J1734" s="3">
        <f t="shared" si="27"/>
        <v>43749.541740879627</v>
      </c>
    </row>
    <row r="1735" spans="1:10" x14ac:dyDescent="0.25">
      <c r="A1735" s="5" t="s">
        <v>54097</v>
      </c>
      <c r="B1735" s="6">
        <v>393.75</v>
      </c>
      <c r="C1735" s="6">
        <v>20.584240000000001</v>
      </c>
      <c r="D1735" s="6">
        <v>49</v>
      </c>
      <c r="E1735" s="6">
        <v>0</v>
      </c>
      <c r="F1735" s="6">
        <v>0</v>
      </c>
      <c r="G1735" s="6">
        <v>13</v>
      </c>
      <c r="H1735" s="6" t="s">
        <v>54098</v>
      </c>
      <c r="I1735" s="6">
        <v>526.5</v>
      </c>
      <c r="J1735" s="2">
        <f t="shared" si="27"/>
        <v>43749.541812071759</v>
      </c>
    </row>
    <row r="1736" spans="1:10" x14ac:dyDescent="0.25">
      <c r="A1736" s="7" t="s">
        <v>54099</v>
      </c>
      <c r="B1736" s="8">
        <v>425</v>
      </c>
      <c r="C1736" s="8">
        <v>20.584240000000001</v>
      </c>
      <c r="D1736" s="8">
        <v>49</v>
      </c>
      <c r="E1736" s="8">
        <v>0</v>
      </c>
      <c r="F1736" s="8">
        <v>0</v>
      </c>
      <c r="G1736" s="8">
        <v>10</v>
      </c>
      <c r="H1736" s="8" t="s">
        <v>54100</v>
      </c>
      <c r="I1736" s="8">
        <v>536.625</v>
      </c>
      <c r="J1736" s="3">
        <f t="shared" si="27"/>
        <v>43749.5418837037</v>
      </c>
    </row>
    <row r="1737" spans="1:10" x14ac:dyDescent="0.25">
      <c r="A1737" s="5" t="s">
        <v>54101</v>
      </c>
      <c r="B1737" s="6">
        <v>393.75</v>
      </c>
      <c r="C1737" s="6">
        <v>20.531590000000001</v>
      </c>
      <c r="D1737" s="6">
        <v>49</v>
      </c>
      <c r="E1737" s="6">
        <v>0</v>
      </c>
      <c r="F1737" s="6">
        <v>0</v>
      </c>
      <c r="G1737" s="6">
        <v>10</v>
      </c>
      <c r="H1737" s="6" t="s">
        <v>54102</v>
      </c>
      <c r="I1737" s="6">
        <v>526.6875</v>
      </c>
      <c r="J1737" s="2">
        <f t="shared" si="27"/>
        <v>43749.54196761574</v>
      </c>
    </row>
    <row r="1738" spans="1:10" x14ac:dyDescent="0.25">
      <c r="A1738" s="7" t="s">
        <v>54103</v>
      </c>
      <c r="B1738" s="8">
        <v>393.75</v>
      </c>
      <c r="C1738" s="8">
        <v>20.584240000000001</v>
      </c>
      <c r="D1738" s="8">
        <v>49</v>
      </c>
      <c r="E1738" s="8">
        <v>0</v>
      </c>
      <c r="F1738" s="8">
        <v>0</v>
      </c>
      <c r="G1738" s="8">
        <v>19</v>
      </c>
      <c r="H1738" s="8" t="s">
        <v>54104</v>
      </c>
      <c r="I1738" s="8">
        <v>526.6875</v>
      </c>
      <c r="J1738" s="3">
        <f t="shared" si="27"/>
        <v>43749.542063437497</v>
      </c>
    </row>
    <row r="1739" spans="1:10" x14ac:dyDescent="0.25">
      <c r="A1739" s="5" t="s">
        <v>54105</v>
      </c>
      <c r="B1739" s="6">
        <v>393.75</v>
      </c>
      <c r="C1739" s="6">
        <v>20.584240000000001</v>
      </c>
      <c r="D1739" s="6">
        <v>49</v>
      </c>
      <c r="E1739" s="6">
        <v>0</v>
      </c>
      <c r="F1739" s="6">
        <v>0</v>
      </c>
      <c r="G1739" s="6">
        <v>19</v>
      </c>
      <c r="H1739" s="6" t="s">
        <v>54106</v>
      </c>
      <c r="I1739" s="6">
        <v>526.6875</v>
      </c>
      <c r="J1739" s="2">
        <f t="shared" si="27"/>
        <v>43749.542146076383</v>
      </c>
    </row>
    <row r="1740" spans="1:10" x14ac:dyDescent="0.25">
      <c r="A1740" s="7" t="s">
        <v>54107</v>
      </c>
      <c r="B1740" s="8">
        <v>393.75</v>
      </c>
      <c r="C1740" s="8">
        <v>20.584240000000001</v>
      </c>
      <c r="D1740" s="8">
        <v>50</v>
      </c>
      <c r="E1740" s="8">
        <v>0</v>
      </c>
      <c r="F1740" s="8">
        <v>0</v>
      </c>
      <c r="G1740" s="8">
        <v>15</v>
      </c>
      <c r="H1740" s="8" t="s">
        <v>54108</v>
      </c>
      <c r="I1740" s="8">
        <v>526.6875</v>
      </c>
      <c r="J1740" s="3">
        <f t="shared" si="27"/>
        <v>43749.542217974529</v>
      </c>
    </row>
    <row r="1741" spans="1:10" x14ac:dyDescent="0.25">
      <c r="A1741" s="5" t="s">
        <v>54109</v>
      </c>
      <c r="B1741" s="6">
        <v>421.875</v>
      </c>
      <c r="C1741" s="6">
        <v>20.531590000000001</v>
      </c>
      <c r="D1741" s="6">
        <v>50</v>
      </c>
      <c r="E1741" s="6">
        <v>0</v>
      </c>
      <c r="F1741" s="6">
        <v>0</v>
      </c>
      <c r="G1741" s="6">
        <v>14</v>
      </c>
      <c r="H1741" s="6" t="s">
        <v>54110</v>
      </c>
      <c r="I1741" s="6">
        <v>535.875</v>
      </c>
      <c r="J1741" s="2">
        <f t="shared" si="27"/>
        <v>43749.54230152777</v>
      </c>
    </row>
    <row r="1742" spans="1:10" x14ac:dyDescent="0.25">
      <c r="A1742" s="7" t="s">
        <v>54111</v>
      </c>
      <c r="B1742" s="8">
        <v>393.75</v>
      </c>
      <c r="C1742" s="8">
        <v>20.531590000000001</v>
      </c>
      <c r="D1742" s="8">
        <v>50</v>
      </c>
      <c r="E1742" s="8">
        <v>0</v>
      </c>
      <c r="F1742" s="8">
        <v>0</v>
      </c>
      <c r="G1742" s="8">
        <v>12</v>
      </c>
      <c r="H1742" s="8" t="s">
        <v>54112</v>
      </c>
      <c r="I1742" s="8">
        <v>526.6875</v>
      </c>
      <c r="J1742" s="3">
        <f t="shared" si="27"/>
        <v>43749.542373055556</v>
      </c>
    </row>
    <row r="1743" spans="1:10" x14ac:dyDescent="0.25">
      <c r="A1743" s="5" t="s">
        <v>54113</v>
      </c>
      <c r="B1743" s="6">
        <v>393.75</v>
      </c>
      <c r="C1743" s="6">
        <v>20.584240000000001</v>
      </c>
      <c r="D1743" s="6">
        <v>51</v>
      </c>
      <c r="E1743" s="6">
        <v>0</v>
      </c>
      <c r="F1743" s="6">
        <v>0</v>
      </c>
      <c r="G1743" s="6">
        <v>10</v>
      </c>
      <c r="H1743" s="6" t="s">
        <v>54114</v>
      </c>
      <c r="I1743" s="6">
        <v>526.6875</v>
      </c>
      <c r="J1743" s="2">
        <f t="shared" si="27"/>
        <v>43749.542456504627</v>
      </c>
    </row>
    <row r="1744" spans="1:10" x14ac:dyDescent="0.25">
      <c r="A1744" s="7" t="s">
        <v>54115</v>
      </c>
      <c r="B1744" s="8">
        <v>412.5</v>
      </c>
      <c r="C1744" s="8">
        <v>20.584240000000001</v>
      </c>
      <c r="D1744" s="8">
        <v>52</v>
      </c>
      <c r="E1744" s="8">
        <v>0</v>
      </c>
      <c r="F1744" s="8">
        <v>0</v>
      </c>
      <c r="G1744" s="8">
        <v>11</v>
      </c>
      <c r="H1744" s="8" t="s">
        <v>54116</v>
      </c>
      <c r="I1744" s="8">
        <v>532.3125</v>
      </c>
      <c r="J1744" s="3">
        <f t="shared" si="27"/>
        <v>43749.542540081013</v>
      </c>
    </row>
    <row r="1745" spans="1:10" x14ac:dyDescent="0.25">
      <c r="A1745" s="5" t="s">
        <v>54117</v>
      </c>
      <c r="B1745" s="6">
        <v>393.75</v>
      </c>
      <c r="C1745" s="6">
        <v>20.478950000000001</v>
      </c>
      <c r="D1745" s="6">
        <v>52</v>
      </c>
      <c r="E1745" s="6">
        <v>0</v>
      </c>
      <c r="F1745" s="6">
        <v>0</v>
      </c>
      <c r="G1745" s="6">
        <v>1</v>
      </c>
      <c r="H1745" s="6" t="s">
        <v>54118</v>
      </c>
      <c r="I1745" s="6">
        <v>526.6875</v>
      </c>
      <c r="J1745" s="2">
        <f t="shared" si="27"/>
        <v>43749.542627800918</v>
      </c>
    </row>
    <row r="1746" spans="1:10" x14ac:dyDescent="0.25">
      <c r="A1746" s="7" t="s">
        <v>54119</v>
      </c>
      <c r="B1746" s="8">
        <v>418.75</v>
      </c>
      <c r="C1746" s="8">
        <v>20.531590000000001</v>
      </c>
      <c r="D1746" s="8">
        <v>52</v>
      </c>
      <c r="E1746" s="8">
        <v>0</v>
      </c>
      <c r="F1746" s="8">
        <v>0</v>
      </c>
      <c r="G1746" s="8">
        <v>10</v>
      </c>
      <c r="H1746" s="8" t="s">
        <v>54120</v>
      </c>
      <c r="I1746" s="8">
        <v>534.9375</v>
      </c>
      <c r="J1746" s="3">
        <f t="shared" si="27"/>
        <v>43749.542706967586</v>
      </c>
    </row>
    <row r="1747" spans="1:10" x14ac:dyDescent="0.25">
      <c r="A1747" s="5" t="s">
        <v>54121</v>
      </c>
      <c r="B1747" s="6">
        <v>393.75</v>
      </c>
      <c r="C1747" s="6">
        <v>20.584240000000001</v>
      </c>
      <c r="D1747" s="6">
        <v>52</v>
      </c>
      <c r="E1747" s="6">
        <v>0</v>
      </c>
      <c r="F1747" s="6">
        <v>0</v>
      </c>
      <c r="G1747" s="6">
        <v>11</v>
      </c>
      <c r="H1747" s="6" t="s">
        <v>54122</v>
      </c>
      <c r="I1747" s="6">
        <v>526.6875</v>
      </c>
      <c r="J1747" s="2">
        <f t="shared" si="27"/>
        <v>43749.542790543979</v>
      </c>
    </row>
    <row r="1748" spans="1:10" x14ac:dyDescent="0.25">
      <c r="A1748" s="7" t="s">
        <v>54123</v>
      </c>
      <c r="B1748" s="8">
        <v>393.75</v>
      </c>
      <c r="C1748" s="8">
        <v>20.531590000000001</v>
      </c>
      <c r="D1748" s="8">
        <v>52</v>
      </c>
      <c r="E1748" s="8">
        <v>0</v>
      </c>
      <c r="F1748" s="8">
        <v>0</v>
      </c>
      <c r="G1748" s="8">
        <v>0</v>
      </c>
      <c r="H1748" s="8" t="s">
        <v>54124</v>
      </c>
      <c r="I1748" s="8">
        <v>526.6875</v>
      </c>
      <c r="J1748" s="3">
        <f t="shared" si="27"/>
        <v>43749.542883715279</v>
      </c>
    </row>
    <row r="1749" spans="1:10" x14ac:dyDescent="0.25">
      <c r="A1749" s="5" t="s">
        <v>54125</v>
      </c>
      <c r="B1749" s="6">
        <v>393.75</v>
      </c>
      <c r="C1749" s="6">
        <v>20.584240000000001</v>
      </c>
      <c r="D1749" s="6">
        <v>51</v>
      </c>
      <c r="E1749" s="6">
        <v>0</v>
      </c>
      <c r="F1749" s="6">
        <v>0</v>
      </c>
      <c r="G1749" s="6">
        <v>7</v>
      </c>
      <c r="H1749" s="6" t="s">
        <v>54126</v>
      </c>
      <c r="I1749" s="6">
        <v>526.6875</v>
      </c>
      <c r="J1749" s="2">
        <f t="shared" si="27"/>
        <v>43749.542969456015</v>
      </c>
    </row>
    <row r="1750" spans="1:10" x14ac:dyDescent="0.25">
      <c r="A1750" s="7" t="s">
        <v>54127</v>
      </c>
      <c r="B1750" s="8">
        <v>393.75</v>
      </c>
      <c r="C1750" s="8">
        <v>20.531590000000001</v>
      </c>
      <c r="D1750" s="8">
        <v>51</v>
      </c>
      <c r="E1750" s="8">
        <v>0</v>
      </c>
      <c r="F1750" s="8">
        <v>0</v>
      </c>
      <c r="G1750" s="8">
        <v>10</v>
      </c>
      <c r="H1750" s="8" t="s">
        <v>54128</v>
      </c>
      <c r="I1750" s="8">
        <v>526.6875</v>
      </c>
      <c r="J1750" s="3">
        <f t="shared" si="27"/>
        <v>43749.543052685178</v>
      </c>
    </row>
    <row r="1751" spans="1:10" x14ac:dyDescent="0.25">
      <c r="A1751" s="5" t="s">
        <v>54129</v>
      </c>
      <c r="B1751" s="6">
        <v>393.75</v>
      </c>
      <c r="C1751" s="6">
        <v>20.531590000000001</v>
      </c>
      <c r="D1751" s="6">
        <v>51</v>
      </c>
      <c r="E1751" s="6">
        <v>0</v>
      </c>
      <c r="F1751" s="6">
        <v>0</v>
      </c>
      <c r="G1751" s="6">
        <v>11</v>
      </c>
      <c r="H1751" s="6" t="s">
        <v>54130</v>
      </c>
      <c r="I1751" s="6">
        <v>526.6875</v>
      </c>
      <c r="J1751" s="2">
        <f t="shared" si="27"/>
        <v>43749.543124456017</v>
      </c>
    </row>
    <row r="1752" spans="1:10" x14ac:dyDescent="0.25">
      <c r="A1752" s="7" t="s">
        <v>54131</v>
      </c>
      <c r="B1752" s="8">
        <v>393.75</v>
      </c>
      <c r="C1752" s="8">
        <v>20.584240000000001</v>
      </c>
      <c r="D1752" s="8">
        <v>45</v>
      </c>
      <c r="E1752" s="8">
        <v>0</v>
      </c>
      <c r="F1752" s="8">
        <v>0</v>
      </c>
      <c r="G1752" s="8">
        <v>1</v>
      </c>
      <c r="H1752" s="8" t="s">
        <v>54132</v>
      </c>
      <c r="I1752" s="8">
        <v>526.6875</v>
      </c>
      <c r="J1752" s="3">
        <f t="shared" si="27"/>
        <v>43749.543208020834</v>
      </c>
    </row>
    <row r="1753" spans="1:10" x14ac:dyDescent="0.25">
      <c r="A1753" s="5" t="s">
        <v>54133</v>
      </c>
      <c r="B1753" s="6">
        <v>425</v>
      </c>
      <c r="C1753" s="6">
        <v>20.584240000000001</v>
      </c>
      <c r="D1753" s="6">
        <v>48</v>
      </c>
      <c r="E1753" s="6">
        <v>0</v>
      </c>
      <c r="F1753" s="6">
        <v>0</v>
      </c>
      <c r="G1753" s="6">
        <v>6</v>
      </c>
      <c r="H1753" s="6" t="s">
        <v>54134</v>
      </c>
      <c r="I1753" s="6">
        <v>536.625</v>
      </c>
      <c r="J1753" s="2">
        <f t="shared" si="27"/>
        <v>43749.543291469905</v>
      </c>
    </row>
    <row r="1754" spans="1:10" x14ac:dyDescent="0.25">
      <c r="A1754" s="7" t="s">
        <v>54135</v>
      </c>
      <c r="B1754" s="8">
        <v>393.75</v>
      </c>
      <c r="C1754" s="8">
        <v>20.478950000000001</v>
      </c>
      <c r="D1754" s="8">
        <v>48</v>
      </c>
      <c r="E1754" s="8">
        <v>0</v>
      </c>
      <c r="F1754" s="8">
        <v>0</v>
      </c>
      <c r="G1754" s="8">
        <v>0</v>
      </c>
      <c r="H1754" s="8" t="s">
        <v>54136</v>
      </c>
      <c r="I1754" s="8">
        <v>526.6875</v>
      </c>
      <c r="J1754" s="3">
        <f t="shared" si="27"/>
        <v>43749.543374953697</v>
      </c>
    </row>
    <row r="1755" spans="1:10" x14ac:dyDescent="0.25">
      <c r="A1755" s="5" t="s">
        <v>54137</v>
      </c>
      <c r="B1755" s="6">
        <v>393.75</v>
      </c>
      <c r="C1755" s="6">
        <v>20.584240000000001</v>
      </c>
      <c r="D1755" s="6">
        <v>49</v>
      </c>
      <c r="E1755" s="6">
        <v>0</v>
      </c>
      <c r="F1755" s="6">
        <v>0</v>
      </c>
      <c r="G1755" s="6">
        <v>0</v>
      </c>
      <c r="H1755" s="6" t="s">
        <v>54138</v>
      </c>
      <c r="I1755" s="6">
        <v>526.6875</v>
      </c>
      <c r="J1755" s="2">
        <f t="shared" si="27"/>
        <v>43749.543458472217</v>
      </c>
    </row>
    <row r="1756" spans="1:10" x14ac:dyDescent="0.25">
      <c r="A1756" s="7" t="s">
        <v>54139</v>
      </c>
      <c r="B1756" s="8">
        <v>393.75</v>
      </c>
      <c r="C1756" s="8">
        <v>20.531590000000001</v>
      </c>
      <c r="D1756" s="8">
        <v>49</v>
      </c>
      <c r="E1756" s="8">
        <v>0</v>
      </c>
      <c r="F1756" s="8">
        <v>0</v>
      </c>
      <c r="G1756" s="8">
        <v>1</v>
      </c>
      <c r="H1756" s="8" t="s">
        <v>54140</v>
      </c>
      <c r="I1756" s="8">
        <v>526.6875</v>
      </c>
      <c r="J1756" s="3">
        <f t="shared" si="27"/>
        <v>43749.543541689811</v>
      </c>
    </row>
    <row r="1757" spans="1:10" x14ac:dyDescent="0.25">
      <c r="A1757" s="5" t="s">
        <v>54141</v>
      </c>
      <c r="B1757" s="6">
        <v>393.75</v>
      </c>
      <c r="C1757" s="6">
        <v>20.584240000000001</v>
      </c>
      <c r="D1757" s="6">
        <v>49</v>
      </c>
      <c r="E1757" s="6">
        <v>0</v>
      </c>
      <c r="F1757" s="6">
        <v>0</v>
      </c>
      <c r="G1757" s="6">
        <v>0</v>
      </c>
      <c r="H1757" s="6" t="s">
        <v>54142</v>
      </c>
      <c r="I1757" s="6">
        <v>526.6875</v>
      </c>
      <c r="J1757" s="2">
        <f t="shared" si="27"/>
        <v>43749.543613472219</v>
      </c>
    </row>
    <row r="1758" spans="1:10" x14ac:dyDescent="0.25">
      <c r="A1758" s="7" t="s">
        <v>54143</v>
      </c>
      <c r="B1758" s="8">
        <v>393.75</v>
      </c>
      <c r="C1758" s="8">
        <v>20.478950000000001</v>
      </c>
      <c r="D1758" s="8">
        <v>48</v>
      </c>
      <c r="E1758" s="8">
        <v>0</v>
      </c>
      <c r="F1758" s="8">
        <v>0</v>
      </c>
      <c r="G1758" s="8">
        <v>0</v>
      </c>
      <c r="H1758" s="8" t="s">
        <v>54144</v>
      </c>
      <c r="I1758" s="8">
        <v>526.6875</v>
      </c>
      <c r="J1758" s="3">
        <f t="shared" si="27"/>
        <v>43749.543709074067</v>
      </c>
    </row>
    <row r="1759" spans="1:10" x14ac:dyDescent="0.25">
      <c r="A1759" s="5" t="s">
        <v>54145</v>
      </c>
      <c r="B1759" s="6">
        <v>393.75</v>
      </c>
      <c r="C1759" s="6">
        <v>20.531590000000001</v>
      </c>
      <c r="D1759" s="6">
        <v>49</v>
      </c>
      <c r="E1759" s="6">
        <v>0</v>
      </c>
      <c r="F1759" s="6">
        <v>0</v>
      </c>
      <c r="G1759" s="6">
        <v>0</v>
      </c>
      <c r="H1759" s="6" t="s">
        <v>54146</v>
      </c>
      <c r="I1759" s="6">
        <v>526.6875</v>
      </c>
      <c r="J1759" s="2">
        <f t="shared" si="27"/>
        <v>43749.543780578701</v>
      </c>
    </row>
    <row r="1760" spans="1:10" x14ac:dyDescent="0.25">
      <c r="A1760" s="7" t="s">
        <v>54147</v>
      </c>
      <c r="B1760" s="8">
        <v>393.75</v>
      </c>
      <c r="C1760" s="8">
        <v>20.584240000000001</v>
      </c>
      <c r="D1760" s="8">
        <v>50</v>
      </c>
      <c r="E1760" s="8">
        <v>0</v>
      </c>
      <c r="F1760" s="8">
        <v>0</v>
      </c>
      <c r="G1760" s="8">
        <v>0</v>
      </c>
      <c r="H1760" s="8" t="s">
        <v>54148</v>
      </c>
      <c r="I1760" s="8">
        <v>526.6875</v>
      </c>
      <c r="J1760" s="3">
        <f t="shared" si="27"/>
        <v>43749.54386380787</v>
      </c>
    </row>
    <row r="1761" spans="1:10" x14ac:dyDescent="0.25">
      <c r="A1761" s="5" t="s">
        <v>54149</v>
      </c>
      <c r="B1761" s="6">
        <v>393.75</v>
      </c>
      <c r="C1761" s="6">
        <v>20.584240000000001</v>
      </c>
      <c r="D1761" s="6">
        <v>50</v>
      </c>
      <c r="E1761" s="6">
        <v>0</v>
      </c>
      <c r="F1761" s="6">
        <v>0</v>
      </c>
      <c r="G1761" s="6">
        <v>0</v>
      </c>
      <c r="H1761" s="6" t="s">
        <v>54150</v>
      </c>
      <c r="I1761" s="6">
        <v>526.6875</v>
      </c>
      <c r="J1761" s="2">
        <f t="shared" si="27"/>
        <v>43749.543935462956</v>
      </c>
    </row>
    <row r="1762" spans="1:10" x14ac:dyDescent="0.25">
      <c r="A1762" s="7" t="s">
        <v>54151</v>
      </c>
      <c r="B1762" s="8">
        <v>393.75</v>
      </c>
      <c r="C1762" s="8">
        <v>20.478950000000001</v>
      </c>
      <c r="D1762" s="8">
        <v>53</v>
      </c>
      <c r="E1762" s="8">
        <v>0</v>
      </c>
      <c r="F1762" s="8">
        <v>0</v>
      </c>
      <c r="G1762" s="8">
        <v>0</v>
      </c>
      <c r="H1762" s="8" t="s">
        <v>54152</v>
      </c>
      <c r="I1762" s="8">
        <v>526.6875</v>
      </c>
      <c r="J1762" s="3">
        <f t="shared" si="27"/>
        <v>43749.544019120367</v>
      </c>
    </row>
    <row r="1763" spans="1:10" x14ac:dyDescent="0.25">
      <c r="A1763" s="5" t="s">
        <v>54153</v>
      </c>
      <c r="B1763" s="6">
        <v>393.75</v>
      </c>
      <c r="C1763" s="6">
        <v>20.531590000000001</v>
      </c>
      <c r="D1763" s="6">
        <v>51</v>
      </c>
      <c r="E1763" s="6">
        <v>0</v>
      </c>
      <c r="F1763" s="6">
        <v>0</v>
      </c>
      <c r="G1763" s="6">
        <v>0</v>
      </c>
      <c r="H1763" s="6" t="s">
        <v>54154</v>
      </c>
      <c r="I1763" s="6">
        <v>526.6875</v>
      </c>
      <c r="J1763" s="2">
        <f t="shared" si="27"/>
        <v>43749.544090763891</v>
      </c>
    </row>
    <row r="1764" spans="1:10" x14ac:dyDescent="0.25">
      <c r="A1764" s="7" t="s">
        <v>54155</v>
      </c>
      <c r="B1764" s="8">
        <v>393.75</v>
      </c>
      <c r="C1764" s="8">
        <v>20.531590000000001</v>
      </c>
      <c r="D1764" s="8">
        <v>51</v>
      </c>
      <c r="E1764" s="8">
        <v>0</v>
      </c>
      <c r="F1764" s="8">
        <v>0</v>
      </c>
      <c r="G1764" s="8">
        <v>3</v>
      </c>
      <c r="H1764" s="8" t="s">
        <v>54156</v>
      </c>
      <c r="I1764" s="8">
        <v>526.6875</v>
      </c>
      <c r="J1764" s="3">
        <f t="shared" si="27"/>
        <v>43749.544175706011</v>
      </c>
    </row>
    <row r="1765" spans="1:10" x14ac:dyDescent="0.25">
      <c r="A1765" s="5" t="s">
        <v>54157</v>
      </c>
      <c r="B1765" s="6">
        <v>393.75</v>
      </c>
      <c r="C1765" s="6">
        <v>20.531590000000001</v>
      </c>
      <c r="D1765" s="6">
        <v>52</v>
      </c>
      <c r="E1765" s="6">
        <v>0</v>
      </c>
      <c r="F1765" s="6">
        <v>0</v>
      </c>
      <c r="G1765" s="6">
        <v>0</v>
      </c>
      <c r="H1765" s="6" t="s">
        <v>54158</v>
      </c>
      <c r="I1765" s="6">
        <v>526.6875</v>
      </c>
      <c r="J1765" s="2">
        <f t="shared" si="27"/>
        <v>43749.54425767361</v>
      </c>
    </row>
    <row r="1766" spans="1:10" x14ac:dyDescent="0.25">
      <c r="A1766" s="7" t="s">
        <v>54159</v>
      </c>
      <c r="B1766" s="8">
        <v>412.5</v>
      </c>
      <c r="C1766" s="8">
        <v>20.584240000000001</v>
      </c>
      <c r="D1766" s="8">
        <v>52</v>
      </c>
      <c r="E1766" s="8">
        <v>0</v>
      </c>
      <c r="F1766" s="8">
        <v>0</v>
      </c>
      <c r="G1766" s="8">
        <v>1</v>
      </c>
      <c r="H1766" s="8" t="s">
        <v>54160</v>
      </c>
      <c r="I1766" s="8">
        <v>532.3125</v>
      </c>
      <c r="J1766" s="3">
        <f t="shared" si="27"/>
        <v>43749.544341111112</v>
      </c>
    </row>
    <row r="1767" spans="1:10" x14ac:dyDescent="0.25">
      <c r="A1767" s="5" t="s">
        <v>54161</v>
      </c>
      <c r="B1767" s="6">
        <v>393.75</v>
      </c>
      <c r="C1767" s="6">
        <v>20.531590000000001</v>
      </c>
      <c r="D1767" s="6">
        <v>52</v>
      </c>
      <c r="E1767" s="6">
        <v>0</v>
      </c>
      <c r="F1767" s="6">
        <v>0</v>
      </c>
      <c r="G1767" s="6">
        <v>3</v>
      </c>
      <c r="H1767" s="6" t="s">
        <v>54162</v>
      </c>
      <c r="I1767" s="6">
        <v>526.6875</v>
      </c>
      <c r="J1767" s="2">
        <f t="shared" si="27"/>
        <v>43749.544424548607</v>
      </c>
    </row>
    <row r="1768" spans="1:10" x14ac:dyDescent="0.25">
      <c r="A1768" s="7" t="s">
        <v>54163</v>
      </c>
      <c r="B1768" s="8">
        <v>393.75</v>
      </c>
      <c r="C1768" s="8">
        <v>20.531590000000001</v>
      </c>
      <c r="D1768" s="8">
        <v>52</v>
      </c>
      <c r="E1768" s="8">
        <v>0</v>
      </c>
      <c r="F1768" s="8">
        <v>0</v>
      </c>
      <c r="G1768" s="8">
        <v>7</v>
      </c>
      <c r="H1768" s="8" t="s">
        <v>54164</v>
      </c>
      <c r="I1768" s="8">
        <v>526.6875</v>
      </c>
      <c r="J1768" s="3">
        <f t="shared" si="27"/>
        <v>43749.544508368053</v>
      </c>
    </row>
    <row r="1769" spans="1:10" x14ac:dyDescent="0.25">
      <c r="A1769" s="5" t="s">
        <v>54165</v>
      </c>
      <c r="B1769" s="6">
        <v>393.75</v>
      </c>
      <c r="C1769" s="6">
        <v>20.584240000000001</v>
      </c>
      <c r="D1769" s="6">
        <v>52</v>
      </c>
      <c r="E1769" s="6">
        <v>0</v>
      </c>
      <c r="F1769" s="6">
        <v>0</v>
      </c>
      <c r="G1769" s="6">
        <v>1</v>
      </c>
      <c r="H1769" s="6" t="s">
        <v>54166</v>
      </c>
      <c r="I1769" s="6">
        <v>526.6875</v>
      </c>
      <c r="J1769" s="2">
        <f t="shared" si="27"/>
        <v>43749.544591678241</v>
      </c>
    </row>
    <row r="1770" spans="1:10" x14ac:dyDescent="0.25">
      <c r="A1770" s="7" t="s">
        <v>54167</v>
      </c>
      <c r="B1770" s="8">
        <v>393.75</v>
      </c>
      <c r="C1770" s="8">
        <v>20.531590000000001</v>
      </c>
      <c r="D1770" s="8">
        <v>51</v>
      </c>
      <c r="E1770" s="8">
        <v>0</v>
      </c>
      <c r="F1770" s="8">
        <v>0</v>
      </c>
      <c r="G1770" s="8">
        <v>1</v>
      </c>
      <c r="H1770" s="8" t="s">
        <v>54168</v>
      </c>
      <c r="I1770" s="8">
        <v>526.6875</v>
      </c>
      <c r="J1770" s="3">
        <f t="shared" si="27"/>
        <v>43749.54467491898</v>
      </c>
    </row>
    <row r="1771" spans="1:10" x14ac:dyDescent="0.25">
      <c r="A1771" s="5" t="s">
        <v>54169</v>
      </c>
      <c r="B1771" s="6">
        <v>393.75</v>
      </c>
      <c r="C1771" s="6">
        <v>20.584240000000001</v>
      </c>
      <c r="D1771" s="6">
        <v>51</v>
      </c>
      <c r="E1771" s="6">
        <v>0</v>
      </c>
      <c r="F1771" s="6">
        <v>0</v>
      </c>
      <c r="G1771" s="6">
        <v>9</v>
      </c>
      <c r="H1771" s="6" t="s">
        <v>54170</v>
      </c>
      <c r="I1771" s="6">
        <v>526.6875</v>
      </c>
      <c r="J1771" s="2">
        <f t="shared" si="27"/>
        <v>43749.544746678243</v>
      </c>
    </row>
    <row r="1772" spans="1:10" x14ac:dyDescent="0.25">
      <c r="A1772" s="7" t="s">
        <v>54171</v>
      </c>
      <c r="B1772" s="8">
        <v>393.75</v>
      </c>
      <c r="C1772" s="8">
        <v>20.531590000000001</v>
      </c>
      <c r="D1772" s="8">
        <v>49</v>
      </c>
      <c r="E1772" s="8">
        <v>0</v>
      </c>
      <c r="F1772" s="8">
        <v>0</v>
      </c>
      <c r="G1772" s="8">
        <v>11</v>
      </c>
      <c r="H1772" s="8" t="s">
        <v>54172</v>
      </c>
      <c r="I1772" s="8">
        <v>526.6875</v>
      </c>
      <c r="J1772" s="3">
        <f t="shared" si="27"/>
        <v>43749.544842222218</v>
      </c>
    </row>
    <row r="1773" spans="1:10" x14ac:dyDescent="0.25">
      <c r="A1773" s="5" t="s">
        <v>54173</v>
      </c>
      <c r="B1773" s="6">
        <v>412.5</v>
      </c>
      <c r="C1773" s="6">
        <v>20.584240000000001</v>
      </c>
      <c r="D1773" s="6">
        <v>49</v>
      </c>
      <c r="E1773" s="6">
        <v>0</v>
      </c>
      <c r="F1773" s="6">
        <v>0</v>
      </c>
      <c r="G1773" s="6">
        <v>12</v>
      </c>
      <c r="H1773" s="6" t="s">
        <v>54174</v>
      </c>
      <c r="I1773" s="6">
        <v>532.3125</v>
      </c>
      <c r="J1773" s="2">
        <f t="shared" si="27"/>
        <v>43749.544913645826</v>
      </c>
    </row>
    <row r="1774" spans="1:10" x14ac:dyDescent="0.25">
      <c r="A1774" s="7" t="s">
        <v>54175</v>
      </c>
      <c r="B1774" s="8">
        <v>393.75</v>
      </c>
      <c r="C1774" s="8">
        <v>20.531590000000001</v>
      </c>
      <c r="D1774" s="8">
        <v>50</v>
      </c>
      <c r="E1774" s="8">
        <v>0</v>
      </c>
      <c r="F1774" s="8">
        <v>0</v>
      </c>
      <c r="G1774" s="8">
        <v>6</v>
      </c>
      <c r="H1774" s="8" t="s">
        <v>54176</v>
      </c>
      <c r="I1774" s="8">
        <v>526.6875</v>
      </c>
      <c r="J1774" s="3">
        <f t="shared" si="27"/>
        <v>43749.544997187499</v>
      </c>
    </row>
    <row r="1775" spans="1:10" x14ac:dyDescent="0.25">
      <c r="A1775" s="5" t="s">
        <v>54177</v>
      </c>
      <c r="B1775" s="6">
        <v>393.75</v>
      </c>
      <c r="C1775" s="6">
        <v>20.531590000000001</v>
      </c>
      <c r="D1775" s="6">
        <v>59</v>
      </c>
      <c r="E1775" s="6">
        <v>0</v>
      </c>
      <c r="F1775" s="6">
        <v>0</v>
      </c>
      <c r="G1775" s="6">
        <v>14</v>
      </c>
      <c r="H1775" s="6" t="s">
        <v>54178</v>
      </c>
      <c r="I1775" s="6">
        <v>526.6875</v>
      </c>
      <c r="J1775" s="2">
        <f t="shared" si="27"/>
        <v>43749.545068831016</v>
      </c>
    </row>
    <row r="1776" spans="1:10" x14ac:dyDescent="0.25">
      <c r="A1776" s="7" t="s">
        <v>54179</v>
      </c>
      <c r="B1776" s="8">
        <v>415.625</v>
      </c>
      <c r="C1776" s="8">
        <v>20.584240000000001</v>
      </c>
      <c r="D1776" s="8">
        <v>55</v>
      </c>
      <c r="E1776" s="8">
        <v>0</v>
      </c>
      <c r="F1776" s="8">
        <v>0</v>
      </c>
      <c r="G1776" s="8">
        <v>2</v>
      </c>
      <c r="H1776" s="8" t="s">
        <v>54180</v>
      </c>
      <c r="I1776" s="8">
        <v>533.0625</v>
      </c>
      <c r="J1776" s="3">
        <f t="shared" si="27"/>
        <v>43749.545152175924</v>
      </c>
    </row>
    <row r="1777" spans="1:10" x14ac:dyDescent="0.25">
      <c r="A1777" s="5" t="s">
        <v>54181</v>
      </c>
      <c r="B1777" s="6">
        <v>393.75</v>
      </c>
      <c r="C1777" s="6">
        <v>20.531590000000001</v>
      </c>
      <c r="D1777" s="6">
        <v>55</v>
      </c>
      <c r="E1777" s="6">
        <v>0</v>
      </c>
      <c r="F1777" s="6">
        <v>0</v>
      </c>
      <c r="G1777" s="6">
        <v>9</v>
      </c>
      <c r="H1777" s="6" t="s">
        <v>54182</v>
      </c>
      <c r="I1777" s="6">
        <v>526.6875</v>
      </c>
      <c r="J1777" s="2">
        <f t="shared" si="27"/>
        <v>43749.545235740741</v>
      </c>
    </row>
    <row r="1778" spans="1:10" x14ac:dyDescent="0.25">
      <c r="A1778" s="7" t="s">
        <v>54183</v>
      </c>
      <c r="B1778" s="8">
        <v>393.75</v>
      </c>
      <c r="C1778" s="8">
        <v>20.531590000000001</v>
      </c>
      <c r="D1778" s="8">
        <v>51</v>
      </c>
      <c r="E1778" s="8">
        <v>0</v>
      </c>
      <c r="F1778" s="8">
        <v>0</v>
      </c>
      <c r="G1778" s="8">
        <v>15</v>
      </c>
      <c r="H1778" s="8" t="s">
        <v>54184</v>
      </c>
      <c r="I1778" s="8">
        <v>526.6875</v>
      </c>
      <c r="J1778" s="3">
        <f t="shared" si="27"/>
        <v>43749.545319317127</v>
      </c>
    </row>
    <row r="1779" spans="1:10" x14ac:dyDescent="0.25">
      <c r="A1779" s="5" t="s">
        <v>54185</v>
      </c>
      <c r="B1779" s="6">
        <v>393.75</v>
      </c>
      <c r="C1779" s="6">
        <v>20.531590000000001</v>
      </c>
      <c r="D1779" s="6">
        <v>51</v>
      </c>
      <c r="E1779" s="6">
        <v>0</v>
      </c>
      <c r="F1779" s="6">
        <v>0</v>
      </c>
      <c r="G1779" s="6">
        <v>6</v>
      </c>
      <c r="H1779" s="6" t="s">
        <v>54186</v>
      </c>
      <c r="I1779" s="6">
        <v>526.6875</v>
      </c>
      <c r="J1779" s="2">
        <f t="shared" si="27"/>
        <v>43749.545402743053</v>
      </c>
    </row>
    <row r="1780" spans="1:10" x14ac:dyDescent="0.25">
      <c r="A1780" s="7" t="s">
        <v>54187</v>
      </c>
      <c r="B1780" s="8">
        <v>393.75</v>
      </c>
      <c r="C1780" s="8">
        <v>20.531590000000001</v>
      </c>
      <c r="D1780" s="8">
        <v>51</v>
      </c>
      <c r="E1780" s="8">
        <v>0</v>
      </c>
      <c r="F1780" s="8">
        <v>0</v>
      </c>
      <c r="G1780" s="8">
        <v>12</v>
      </c>
      <c r="H1780" s="8" t="s">
        <v>54188</v>
      </c>
      <c r="I1780" s="8">
        <v>526.6875</v>
      </c>
      <c r="J1780" s="3">
        <f t="shared" si="27"/>
        <v>43749.545485960647</v>
      </c>
    </row>
    <row r="1781" spans="1:10" x14ac:dyDescent="0.25">
      <c r="A1781" s="5" t="s">
        <v>54189</v>
      </c>
      <c r="B1781" s="6">
        <v>393.75</v>
      </c>
      <c r="C1781" s="6">
        <v>20.478950000000001</v>
      </c>
      <c r="D1781" s="6">
        <v>51</v>
      </c>
      <c r="E1781" s="6">
        <v>0</v>
      </c>
      <c r="F1781" s="6">
        <v>0</v>
      </c>
      <c r="G1781" s="6">
        <v>9</v>
      </c>
      <c r="H1781" s="6" t="s">
        <v>54190</v>
      </c>
      <c r="I1781" s="6">
        <v>526.6875</v>
      </c>
      <c r="J1781" s="2">
        <f t="shared" si="27"/>
        <v>43749.545557743055</v>
      </c>
    </row>
    <row r="1782" spans="1:10" x14ac:dyDescent="0.25">
      <c r="A1782" s="7" t="s">
        <v>54191</v>
      </c>
      <c r="B1782" s="8">
        <v>393.75</v>
      </c>
      <c r="C1782" s="8">
        <v>20.531590000000001</v>
      </c>
      <c r="D1782" s="8">
        <v>51</v>
      </c>
      <c r="E1782" s="8">
        <v>0</v>
      </c>
      <c r="F1782" s="8">
        <v>0</v>
      </c>
      <c r="G1782" s="8">
        <v>4</v>
      </c>
      <c r="H1782" s="8" t="s">
        <v>54192</v>
      </c>
      <c r="I1782" s="8">
        <v>526.6875</v>
      </c>
      <c r="J1782" s="3">
        <f t="shared" si="27"/>
        <v>43749.545650173612</v>
      </c>
    </row>
    <row r="1783" spans="1:10" x14ac:dyDescent="0.25">
      <c r="A1783" s="5" t="s">
        <v>54193</v>
      </c>
      <c r="B1783" s="6">
        <v>415.625</v>
      </c>
      <c r="C1783" s="6">
        <v>20.584240000000001</v>
      </c>
      <c r="D1783" s="6">
        <v>51</v>
      </c>
      <c r="E1783" s="6">
        <v>0</v>
      </c>
      <c r="F1783" s="6">
        <v>0</v>
      </c>
      <c r="G1783" s="6">
        <v>11</v>
      </c>
      <c r="H1783" s="6" t="s">
        <v>54194</v>
      </c>
      <c r="I1783" s="6">
        <v>533.4375</v>
      </c>
      <c r="J1783" s="2">
        <f t="shared" si="27"/>
        <v>43749.54572451389</v>
      </c>
    </row>
    <row r="1784" spans="1:10" x14ac:dyDescent="0.25">
      <c r="A1784" s="7" t="s">
        <v>54195</v>
      </c>
      <c r="B1784" s="8">
        <v>393.75</v>
      </c>
      <c r="C1784" s="8">
        <v>20.584240000000001</v>
      </c>
      <c r="D1784" s="8">
        <v>51</v>
      </c>
      <c r="E1784" s="8">
        <v>0</v>
      </c>
      <c r="F1784" s="8">
        <v>0</v>
      </c>
      <c r="G1784" s="8">
        <v>8</v>
      </c>
      <c r="H1784" s="8" t="s">
        <v>54196</v>
      </c>
      <c r="I1784" s="8">
        <v>526.6875</v>
      </c>
      <c r="J1784" s="3">
        <f t="shared" si="27"/>
        <v>43749.545808310184</v>
      </c>
    </row>
    <row r="1785" spans="1:10" x14ac:dyDescent="0.25">
      <c r="A1785" s="5" t="s">
        <v>54197</v>
      </c>
      <c r="B1785" s="6">
        <v>412.5</v>
      </c>
      <c r="C1785" s="6">
        <v>20.584240000000001</v>
      </c>
      <c r="D1785" s="6">
        <v>50</v>
      </c>
      <c r="E1785" s="6">
        <v>0</v>
      </c>
      <c r="F1785" s="6">
        <v>0</v>
      </c>
      <c r="G1785" s="6">
        <v>5</v>
      </c>
      <c r="H1785" s="6" t="s">
        <v>54198</v>
      </c>
      <c r="I1785" s="6">
        <v>532.3125</v>
      </c>
      <c r="J1785" s="2">
        <f t="shared" si="27"/>
        <v>43749.545903680548</v>
      </c>
    </row>
    <row r="1786" spans="1:10" x14ac:dyDescent="0.25">
      <c r="A1786" s="7" t="s">
        <v>54199</v>
      </c>
      <c r="B1786" s="8">
        <v>393.75</v>
      </c>
      <c r="C1786" s="8">
        <v>20.584240000000001</v>
      </c>
      <c r="D1786" s="8">
        <v>51</v>
      </c>
      <c r="E1786" s="8">
        <v>0</v>
      </c>
      <c r="F1786" s="8">
        <v>0</v>
      </c>
      <c r="G1786" s="8">
        <v>0</v>
      </c>
      <c r="H1786" s="8" t="s">
        <v>54200</v>
      </c>
      <c r="I1786" s="8">
        <v>526.6875</v>
      </c>
      <c r="J1786" s="3">
        <f t="shared" si="27"/>
        <v>43749.545987256941</v>
      </c>
    </row>
    <row r="1787" spans="1:10" x14ac:dyDescent="0.25">
      <c r="A1787" s="5" t="s">
        <v>54201</v>
      </c>
      <c r="B1787" s="6">
        <v>393.75</v>
      </c>
      <c r="C1787" s="6">
        <v>20.531590000000001</v>
      </c>
      <c r="D1787" s="6">
        <v>50</v>
      </c>
      <c r="E1787" s="6">
        <v>0</v>
      </c>
      <c r="F1787" s="6">
        <v>0</v>
      </c>
      <c r="G1787" s="6">
        <v>9</v>
      </c>
      <c r="H1787" s="6" t="s">
        <v>54202</v>
      </c>
      <c r="I1787" s="6">
        <v>526.6875</v>
      </c>
      <c r="J1787" s="2">
        <f t="shared" si="27"/>
        <v>43749.546070810182</v>
      </c>
    </row>
    <row r="1788" spans="1:10" x14ac:dyDescent="0.25">
      <c r="A1788" s="7" t="s">
        <v>54203</v>
      </c>
      <c r="B1788" s="8">
        <v>393.75</v>
      </c>
      <c r="C1788" s="8">
        <v>20.584240000000001</v>
      </c>
      <c r="D1788" s="8">
        <v>50</v>
      </c>
      <c r="E1788" s="8">
        <v>0</v>
      </c>
      <c r="F1788" s="8">
        <v>0</v>
      </c>
      <c r="G1788" s="8">
        <v>9</v>
      </c>
      <c r="H1788" s="8" t="s">
        <v>54204</v>
      </c>
      <c r="I1788" s="8">
        <v>526.6875</v>
      </c>
      <c r="J1788" s="3">
        <f t="shared" si="27"/>
        <v>43749.546142349536</v>
      </c>
    </row>
    <row r="1789" spans="1:10" x14ac:dyDescent="0.25">
      <c r="A1789" s="5" t="s">
        <v>54205</v>
      </c>
      <c r="B1789" s="6">
        <v>393.75</v>
      </c>
      <c r="C1789" s="6">
        <v>20.531590000000001</v>
      </c>
      <c r="D1789" s="6">
        <v>50</v>
      </c>
      <c r="E1789" s="6">
        <v>0</v>
      </c>
      <c r="F1789" s="6">
        <v>0</v>
      </c>
      <c r="G1789" s="6">
        <v>0</v>
      </c>
      <c r="H1789" s="6" t="s">
        <v>54206</v>
      </c>
      <c r="I1789" s="6">
        <v>526.6875</v>
      </c>
      <c r="J1789" s="2">
        <f t="shared" si="27"/>
        <v>43749.546213888891</v>
      </c>
    </row>
    <row r="1790" spans="1:10" x14ac:dyDescent="0.25">
      <c r="A1790" s="7" t="s">
        <v>54207</v>
      </c>
      <c r="B1790" s="8">
        <v>393.75</v>
      </c>
      <c r="C1790" s="8">
        <v>20.584240000000001</v>
      </c>
      <c r="D1790" s="8">
        <v>50</v>
      </c>
      <c r="E1790" s="8">
        <v>0</v>
      </c>
      <c r="F1790" s="8">
        <v>0</v>
      </c>
      <c r="G1790" s="8">
        <v>6</v>
      </c>
      <c r="H1790" s="8" t="s">
        <v>54208</v>
      </c>
      <c r="I1790" s="8">
        <v>526.6875</v>
      </c>
      <c r="J1790" s="3">
        <f t="shared" si="27"/>
        <v>43749.546297083332</v>
      </c>
    </row>
    <row r="1791" spans="1:10" x14ac:dyDescent="0.25">
      <c r="A1791" s="5" t="s">
        <v>54209</v>
      </c>
      <c r="B1791" s="6">
        <v>412.5</v>
      </c>
      <c r="C1791" s="6">
        <v>20.531590000000001</v>
      </c>
      <c r="D1791" s="6">
        <v>50</v>
      </c>
      <c r="E1791" s="6">
        <v>0</v>
      </c>
      <c r="F1791" s="6">
        <v>0</v>
      </c>
      <c r="G1791" s="6">
        <v>10</v>
      </c>
      <c r="H1791" s="6" t="s">
        <v>54210</v>
      </c>
      <c r="I1791" s="6">
        <v>532.5</v>
      </c>
      <c r="J1791" s="2">
        <f t="shared" si="27"/>
        <v>43749.546368958334</v>
      </c>
    </row>
    <row r="1792" spans="1:10" x14ac:dyDescent="0.25">
      <c r="A1792" s="7" t="s">
        <v>54211</v>
      </c>
      <c r="B1792" s="8">
        <v>393.75</v>
      </c>
      <c r="C1792" s="8">
        <v>20.584240000000001</v>
      </c>
      <c r="D1792" s="8">
        <v>50</v>
      </c>
      <c r="E1792" s="8">
        <v>0</v>
      </c>
      <c r="F1792" s="8">
        <v>0</v>
      </c>
      <c r="G1792" s="8">
        <v>8</v>
      </c>
      <c r="H1792" s="8" t="s">
        <v>54212</v>
      </c>
      <c r="I1792" s="8">
        <v>526.6875</v>
      </c>
      <c r="J1792" s="3">
        <f t="shared" si="27"/>
        <v>43749.546452743052</v>
      </c>
    </row>
    <row r="1793" spans="1:10" x14ac:dyDescent="0.25">
      <c r="A1793" s="5" t="s">
        <v>54213</v>
      </c>
      <c r="B1793" s="6">
        <v>393.75</v>
      </c>
      <c r="C1793" s="6">
        <v>20.531590000000001</v>
      </c>
      <c r="D1793" s="6">
        <v>50</v>
      </c>
      <c r="E1793" s="6">
        <v>0</v>
      </c>
      <c r="F1793" s="6">
        <v>0</v>
      </c>
      <c r="G1793" s="6">
        <v>12</v>
      </c>
      <c r="H1793" s="6" t="s">
        <v>54214</v>
      </c>
      <c r="I1793" s="6">
        <v>526.6875</v>
      </c>
      <c r="J1793" s="2">
        <f t="shared" si="27"/>
        <v>43749.546535960646</v>
      </c>
    </row>
    <row r="1794" spans="1:10" x14ac:dyDescent="0.25">
      <c r="A1794" s="7" t="s">
        <v>54215</v>
      </c>
      <c r="B1794" s="8">
        <v>393.75</v>
      </c>
      <c r="C1794" s="8">
        <v>20.531590000000001</v>
      </c>
      <c r="D1794" s="8">
        <v>49</v>
      </c>
      <c r="E1794" s="8">
        <v>0</v>
      </c>
      <c r="F1794" s="8">
        <v>0</v>
      </c>
      <c r="G1794" s="8">
        <v>0</v>
      </c>
      <c r="H1794" s="8" t="s">
        <v>54216</v>
      </c>
      <c r="I1794" s="8">
        <v>526.6875</v>
      </c>
      <c r="J1794" s="3">
        <f t="shared" ref="J1794:J1857" si="28">(H1794/86400000)+25569+(7/24)</f>
        <v>43749.546619305554</v>
      </c>
    </row>
    <row r="1795" spans="1:10" x14ac:dyDescent="0.25">
      <c r="A1795" s="5" t="s">
        <v>54217</v>
      </c>
      <c r="B1795" s="6">
        <v>393.75</v>
      </c>
      <c r="C1795" s="6">
        <v>20.531590000000001</v>
      </c>
      <c r="D1795" s="6">
        <v>48</v>
      </c>
      <c r="E1795" s="6">
        <v>0</v>
      </c>
      <c r="F1795" s="6">
        <v>0</v>
      </c>
      <c r="G1795" s="6">
        <v>4</v>
      </c>
      <c r="H1795" s="6" t="s">
        <v>54218</v>
      </c>
      <c r="I1795" s="6">
        <v>526.6875</v>
      </c>
      <c r="J1795" s="2">
        <f t="shared" si="28"/>
        <v>43749.546691157404</v>
      </c>
    </row>
    <row r="1796" spans="1:10" x14ac:dyDescent="0.25">
      <c r="A1796" s="7" t="s">
        <v>54219</v>
      </c>
      <c r="B1796" s="8">
        <v>393.75</v>
      </c>
      <c r="C1796" s="8">
        <v>20.584240000000001</v>
      </c>
      <c r="D1796" s="8">
        <v>48</v>
      </c>
      <c r="E1796" s="8">
        <v>0</v>
      </c>
      <c r="F1796" s="8">
        <v>0</v>
      </c>
      <c r="G1796" s="8">
        <v>2</v>
      </c>
      <c r="H1796" s="8" t="s">
        <v>54220</v>
      </c>
      <c r="I1796" s="8">
        <v>526.6875</v>
      </c>
      <c r="J1796" s="3">
        <f t="shared" si="28"/>
        <v>43749.546774525465</v>
      </c>
    </row>
    <row r="1797" spans="1:10" x14ac:dyDescent="0.25">
      <c r="A1797" s="5" t="s">
        <v>54221</v>
      </c>
      <c r="B1797" s="6">
        <v>393.75</v>
      </c>
      <c r="C1797" s="6">
        <v>20.531590000000001</v>
      </c>
      <c r="D1797" s="6">
        <v>49</v>
      </c>
      <c r="E1797" s="6">
        <v>0</v>
      </c>
      <c r="F1797" s="6">
        <v>0</v>
      </c>
      <c r="G1797" s="6">
        <v>6</v>
      </c>
      <c r="H1797" s="6" t="s">
        <v>54222</v>
      </c>
      <c r="I1797" s="6">
        <v>526.5</v>
      </c>
      <c r="J1797" s="2">
        <f t="shared" si="28"/>
        <v>43749.546858090274</v>
      </c>
    </row>
    <row r="1798" spans="1:10" x14ac:dyDescent="0.25">
      <c r="A1798" s="7" t="s">
        <v>54223</v>
      </c>
      <c r="B1798" s="8">
        <v>393.75</v>
      </c>
      <c r="C1798" s="8">
        <v>20.531590000000001</v>
      </c>
      <c r="D1798" s="8">
        <v>47</v>
      </c>
      <c r="E1798" s="8">
        <v>0</v>
      </c>
      <c r="F1798" s="8">
        <v>0</v>
      </c>
      <c r="G1798" s="8">
        <v>0</v>
      </c>
      <c r="H1798" s="8" t="s">
        <v>54224</v>
      </c>
      <c r="I1798" s="8">
        <v>526.6875</v>
      </c>
      <c r="J1798" s="3">
        <f t="shared" si="28"/>
        <v>43749.546941655091</v>
      </c>
    </row>
    <row r="1799" spans="1:10" x14ac:dyDescent="0.25">
      <c r="A1799" s="5" t="s">
        <v>54225</v>
      </c>
      <c r="B1799" s="6">
        <v>393.75</v>
      </c>
      <c r="C1799" s="6">
        <v>20.531590000000001</v>
      </c>
      <c r="D1799" s="6">
        <v>47</v>
      </c>
      <c r="E1799" s="6">
        <v>0</v>
      </c>
      <c r="F1799" s="6">
        <v>0</v>
      </c>
      <c r="G1799" s="6">
        <v>5</v>
      </c>
      <c r="H1799" s="6" t="s">
        <v>54226</v>
      </c>
      <c r="I1799" s="6">
        <v>526.6875</v>
      </c>
      <c r="J1799" s="2">
        <f t="shared" si="28"/>
        <v>43749.547024988424</v>
      </c>
    </row>
    <row r="1800" spans="1:10" x14ac:dyDescent="0.25">
      <c r="A1800" s="7" t="s">
        <v>54227</v>
      </c>
      <c r="B1800" s="8">
        <v>393.75</v>
      </c>
      <c r="C1800" s="8">
        <v>20.584240000000001</v>
      </c>
      <c r="D1800" s="8">
        <v>47</v>
      </c>
      <c r="E1800" s="8">
        <v>0</v>
      </c>
      <c r="F1800" s="8">
        <v>0</v>
      </c>
      <c r="G1800" s="8">
        <v>2</v>
      </c>
      <c r="H1800" s="8" t="s">
        <v>54228</v>
      </c>
      <c r="I1800" s="8">
        <v>526.6875</v>
      </c>
      <c r="J1800" s="3">
        <f t="shared" si="28"/>
        <v>43749.547108206018</v>
      </c>
    </row>
    <row r="1801" spans="1:10" x14ac:dyDescent="0.25">
      <c r="A1801" s="5" t="s">
        <v>54229</v>
      </c>
      <c r="B1801" s="6">
        <v>412.5</v>
      </c>
      <c r="C1801" s="6">
        <v>20.531590000000001</v>
      </c>
      <c r="D1801" s="6">
        <v>47</v>
      </c>
      <c r="E1801" s="6">
        <v>0</v>
      </c>
      <c r="F1801" s="6">
        <v>0</v>
      </c>
      <c r="G1801" s="6">
        <v>14</v>
      </c>
      <c r="H1801" s="6" t="s">
        <v>54230</v>
      </c>
      <c r="I1801" s="6">
        <v>532.5</v>
      </c>
      <c r="J1801" s="2">
        <f t="shared" si="28"/>
        <v>43749.547179849535</v>
      </c>
    </row>
    <row r="1802" spans="1:10" x14ac:dyDescent="0.25">
      <c r="A1802" s="7" t="s">
        <v>54231</v>
      </c>
      <c r="B1802" s="8">
        <v>393.75</v>
      </c>
      <c r="C1802" s="8">
        <v>20.584240000000001</v>
      </c>
      <c r="D1802" s="8">
        <v>47</v>
      </c>
      <c r="E1802" s="8">
        <v>0</v>
      </c>
      <c r="F1802" s="8">
        <v>0</v>
      </c>
      <c r="G1802" s="8">
        <v>11</v>
      </c>
      <c r="H1802" s="8" t="s">
        <v>54232</v>
      </c>
      <c r="I1802" s="8">
        <v>526.6875</v>
      </c>
      <c r="J1802" s="3">
        <f t="shared" si="28"/>
        <v>43749.54727520833</v>
      </c>
    </row>
    <row r="1803" spans="1:10" x14ac:dyDescent="0.25">
      <c r="A1803" s="5" t="s">
        <v>54233</v>
      </c>
      <c r="B1803" s="6">
        <v>393.75</v>
      </c>
      <c r="C1803" s="6">
        <v>20.584240000000001</v>
      </c>
      <c r="D1803" s="6">
        <v>47</v>
      </c>
      <c r="E1803" s="6">
        <v>0</v>
      </c>
      <c r="F1803" s="6">
        <v>0</v>
      </c>
      <c r="G1803" s="6">
        <v>13</v>
      </c>
      <c r="H1803" s="6" t="s">
        <v>54234</v>
      </c>
      <c r="I1803" s="6">
        <v>526.6875</v>
      </c>
      <c r="J1803" s="2">
        <f t="shared" si="28"/>
        <v>43749.547347210646</v>
      </c>
    </row>
    <row r="1804" spans="1:10" x14ac:dyDescent="0.25">
      <c r="A1804" s="7" t="s">
        <v>54235</v>
      </c>
      <c r="B1804" s="8">
        <v>393.75</v>
      </c>
      <c r="C1804" s="8">
        <v>20.584240000000001</v>
      </c>
      <c r="D1804" s="8">
        <v>48</v>
      </c>
      <c r="E1804" s="8">
        <v>0</v>
      </c>
      <c r="F1804" s="8">
        <v>0</v>
      </c>
      <c r="G1804" s="8">
        <v>15</v>
      </c>
      <c r="H1804" s="8" t="s">
        <v>54236</v>
      </c>
      <c r="I1804" s="8">
        <v>526.6875</v>
      </c>
      <c r="J1804" s="3">
        <f t="shared" si="28"/>
        <v>43749.547430520826</v>
      </c>
    </row>
    <row r="1805" spans="1:10" x14ac:dyDescent="0.25">
      <c r="A1805" s="5" t="s">
        <v>54237</v>
      </c>
      <c r="B1805" s="6">
        <v>393.75</v>
      </c>
      <c r="C1805" s="6">
        <v>20.531590000000001</v>
      </c>
      <c r="D1805" s="6">
        <v>48</v>
      </c>
      <c r="E1805" s="6">
        <v>0</v>
      </c>
      <c r="F1805" s="6">
        <v>0</v>
      </c>
      <c r="G1805" s="6">
        <v>21</v>
      </c>
      <c r="H1805" s="6" t="s">
        <v>54238</v>
      </c>
      <c r="I1805" s="6">
        <v>526.6875</v>
      </c>
      <c r="J1805" s="2">
        <f t="shared" si="28"/>
        <v>43749.547526053233</v>
      </c>
    </row>
    <row r="1806" spans="1:10" x14ac:dyDescent="0.25">
      <c r="A1806" s="7" t="s">
        <v>54239</v>
      </c>
      <c r="B1806" s="8">
        <v>393.75</v>
      </c>
      <c r="C1806" s="8">
        <v>20.478950000000001</v>
      </c>
      <c r="D1806" s="8">
        <v>49</v>
      </c>
      <c r="E1806" s="8">
        <v>0</v>
      </c>
      <c r="F1806" s="8">
        <v>0</v>
      </c>
      <c r="G1806" s="8">
        <v>19</v>
      </c>
      <c r="H1806" s="8" t="s">
        <v>54240</v>
      </c>
      <c r="I1806" s="8">
        <v>526.6875</v>
      </c>
      <c r="J1806" s="3">
        <f t="shared" si="28"/>
        <v>43749.547609606474</v>
      </c>
    </row>
    <row r="1807" spans="1:10" x14ac:dyDescent="0.25">
      <c r="A1807" s="5" t="s">
        <v>54241</v>
      </c>
      <c r="B1807" s="6">
        <v>393.75</v>
      </c>
      <c r="C1807" s="6">
        <v>20.584240000000001</v>
      </c>
      <c r="D1807" s="6">
        <v>46</v>
      </c>
      <c r="E1807" s="6">
        <v>0</v>
      </c>
      <c r="F1807" s="6">
        <v>0</v>
      </c>
      <c r="G1807" s="6">
        <v>12</v>
      </c>
      <c r="H1807" s="6" t="s">
        <v>54242</v>
      </c>
      <c r="I1807" s="6">
        <v>526.6875</v>
      </c>
      <c r="J1807" s="2">
        <f t="shared" si="28"/>
        <v>43749.54769295139</v>
      </c>
    </row>
    <row r="1808" spans="1:10" x14ac:dyDescent="0.25">
      <c r="A1808" s="7" t="s">
        <v>54243</v>
      </c>
      <c r="B1808" s="8">
        <v>393.75</v>
      </c>
      <c r="C1808" s="8">
        <v>20.584240000000001</v>
      </c>
      <c r="D1808" s="8">
        <v>46</v>
      </c>
      <c r="E1808" s="8">
        <v>0</v>
      </c>
      <c r="F1808" s="8">
        <v>0</v>
      </c>
      <c r="G1808" s="8">
        <v>2</v>
      </c>
      <c r="H1808" s="8" t="s">
        <v>54244</v>
      </c>
      <c r="I1808" s="8">
        <v>526.6875</v>
      </c>
      <c r="J1808" s="3">
        <f t="shared" si="28"/>
        <v>43749.547776527776</v>
      </c>
    </row>
    <row r="1809" spans="1:10" x14ac:dyDescent="0.25">
      <c r="A1809" s="5" t="s">
        <v>54245</v>
      </c>
      <c r="B1809" s="6">
        <v>393.75</v>
      </c>
      <c r="C1809" s="6">
        <v>20.584240000000001</v>
      </c>
      <c r="D1809" s="6">
        <v>47</v>
      </c>
      <c r="E1809" s="6">
        <v>0</v>
      </c>
      <c r="F1809" s="6">
        <v>0</v>
      </c>
      <c r="G1809" s="6">
        <v>12</v>
      </c>
      <c r="H1809" s="6" t="s">
        <v>54246</v>
      </c>
      <c r="I1809" s="6">
        <v>526.6875</v>
      </c>
      <c r="J1809" s="2">
        <f t="shared" si="28"/>
        <v>43749.547860092593</v>
      </c>
    </row>
    <row r="1810" spans="1:10" x14ac:dyDescent="0.25">
      <c r="A1810" s="7" t="s">
        <v>54247</v>
      </c>
      <c r="B1810" s="8">
        <v>393.75</v>
      </c>
      <c r="C1810" s="8">
        <v>20.531590000000001</v>
      </c>
      <c r="D1810" s="8">
        <v>47</v>
      </c>
      <c r="E1810" s="8">
        <v>0</v>
      </c>
      <c r="F1810" s="8">
        <v>0</v>
      </c>
      <c r="G1810" s="8">
        <v>14</v>
      </c>
      <c r="H1810" s="8" t="s">
        <v>54248</v>
      </c>
      <c r="I1810" s="8">
        <v>526.6875</v>
      </c>
      <c r="J1810" s="3">
        <f t="shared" si="28"/>
        <v>43749.54794355324</v>
      </c>
    </row>
    <row r="1811" spans="1:10" x14ac:dyDescent="0.25">
      <c r="A1811" s="5" t="s">
        <v>54249</v>
      </c>
      <c r="B1811" s="6">
        <v>393.75</v>
      </c>
      <c r="C1811" s="6">
        <v>20.584240000000001</v>
      </c>
      <c r="D1811" s="6">
        <v>48</v>
      </c>
      <c r="E1811" s="6">
        <v>0</v>
      </c>
      <c r="F1811" s="6">
        <v>0</v>
      </c>
      <c r="G1811" s="6">
        <v>9</v>
      </c>
      <c r="H1811" s="6" t="s">
        <v>54250</v>
      </c>
      <c r="I1811" s="6">
        <v>526.6875</v>
      </c>
      <c r="J1811" s="2">
        <f t="shared" si="28"/>
        <v>43749.548015081011</v>
      </c>
    </row>
    <row r="1812" spans="1:10" x14ac:dyDescent="0.25">
      <c r="A1812" s="7" t="s">
        <v>54251</v>
      </c>
      <c r="B1812" s="8">
        <v>393.75</v>
      </c>
      <c r="C1812" s="8">
        <v>20.584240000000001</v>
      </c>
      <c r="D1812" s="8">
        <v>48</v>
      </c>
      <c r="E1812" s="8">
        <v>0</v>
      </c>
      <c r="F1812" s="8">
        <v>0</v>
      </c>
      <c r="G1812" s="8">
        <v>10</v>
      </c>
      <c r="H1812" s="8" t="s">
        <v>54252</v>
      </c>
      <c r="I1812" s="8">
        <v>526.6875</v>
      </c>
      <c r="J1812" s="3">
        <f t="shared" si="28"/>
        <v>43749.54809877315</v>
      </c>
    </row>
    <row r="1813" spans="1:10" x14ac:dyDescent="0.25">
      <c r="A1813" s="5" t="s">
        <v>54253</v>
      </c>
      <c r="B1813" s="6">
        <v>393.75</v>
      </c>
      <c r="C1813" s="6">
        <v>20.531590000000001</v>
      </c>
      <c r="D1813" s="6">
        <v>49</v>
      </c>
      <c r="E1813" s="6">
        <v>0</v>
      </c>
      <c r="F1813" s="6">
        <v>0</v>
      </c>
      <c r="G1813" s="6">
        <v>16</v>
      </c>
      <c r="H1813" s="6" t="s">
        <v>54254</v>
      </c>
      <c r="I1813" s="6">
        <v>526.6875</v>
      </c>
      <c r="J1813" s="2">
        <f t="shared" si="28"/>
        <v>43749.548182106482</v>
      </c>
    </row>
    <row r="1814" spans="1:10" x14ac:dyDescent="0.25">
      <c r="A1814" s="7" t="s">
        <v>54255</v>
      </c>
      <c r="B1814" s="8">
        <v>393.75</v>
      </c>
      <c r="C1814" s="8">
        <v>20.531590000000001</v>
      </c>
      <c r="D1814" s="8">
        <v>50</v>
      </c>
      <c r="E1814" s="8">
        <v>0</v>
      </c>
      <c r="F1814" s="8">
        <v>0</v>
      </c>
      <c r="G1814" s="8">
        <v>16</v>
      </c>
      <c r="H1814" s="8" t="s">
        <v>54256</v>
      </c>
      <c r="I1814" s="8">
        <v>526.6875</v>
      </c>
      <c r="J1814" s="3">
        <f t="shared" si="28"/>
        <v>43749.548265520833</v>
      </c>
    </row>
    <row r="1815" spans="1:10" x14ac:dyDescent="0.25">
      <c r="A1815" s="5" t="s">
        <v>54257</v>
      </c>
      <c r="B1815" s="6">
        <v>393.75</v>
      </c>
      <c r="C1815" s="6">
        <v>20.584240000000001</v>
      </c>
      <c r="D1815" s="6">
        <v>49</v>
      </c>
      <c r="E1815" s="6">
        <v>0</v>
      </c>
      <c r="F1815" s="6">
        <v>0</v>
      </c>
      <c r="G1815" s="6">
        <v>9</v>
      </c>
      <c r="H1815" s="6" t="s">
        <v>54258</v>
      </c>
      <c r="I1815" s="6">
        <v>526.6875</v>
      </c>
      <c r="J1815" s="2">
        <f t="shared" si="28"/>
        <v>43749.548348993056</v>
      </c>
    </row>
    <row r="1816" spans="1:10" x14ac:dyDescent="0.25">
      <c r="A1816" s="7" t="s">
        <v>54259</v>
      </c>
      <c r="B1816" s="8">
        <v>393.75</v>
      </c>
      <c r="C1816" s="8">
        <v>20.531590000000001</v>
      </c>
      <c r="D1816" s="8">
        <v>49</v>
      </c>
      <c r="E1816" s="8">
        <v>0</v>
      </c>
      <c r="F1816" s="8">
        <v>0</v>
      </c>
      <c r="G1816" s="8">
        <v>14</v>
      </c>
      <c r="H1816" s="8" t="s">
        <v>54260</v>
      </c>
      <c r="I1816" s="8">
        <v>526.6875</v>
      </c>
      <c r="J1816" s="3">
        <f t="shared" si="28"/>
        <v>43749.548432627307</v>
      </c>
    </row>
    <row r="1817" spans="1:10" x14ac:dyDescent="0.25">
      <c r="A1817" s="5" t="s">
        <v>54261</v>
      </c>
      <c r="B1817" s="6">
        <v>393.75</v>
      </c>
      <c r="C1817" s="6">
        <v>20.478950000000001</v>
      </c>
      <c r="D1817" s="6">
        <v>49</v>
      </c>
      <c r="E1817" s="6">
        <v>0</v>
      </c>
      <c r="F1817" s="6">
        <v>0</v>
      </c>
      <c r="G1817" s="6">
        <v>21</v>
      </c>
      <c r="H1817" s="6" t="s">
        <v>54262</v>
      </c>
      <c r="I1817" s="6">
        <v>526.6875</v>
      </c>
      <c r="J1817" s="2">
        <f t="shared" si="28"/>
        <v>43749.548515763883</v>
      </c>
    </row>
    <row r="1818" spans="1:10" x14ac:dyDescent="0.25">
      <c r="A1818" s="7" t="s">
        <v>54263</v>
      </c>
      <c r="B1818" s="8">
        <v>393.75</v>
      </c>
      <c r="C1818" s="8">
        <v>20.531590000000001</v>
      </c>
      <c r="D1818" s="8">
        <v>49</v>
      </c>
      <c r="E1818" s="8">
        <v>0</v>
      </c>
      <c r="F1818" s="8">
        <v>0</v>
      </c>
      <c r="G1818" s="8">
        <v>17</v>
      </c>
      <c r="H1818" s="8" t="s">
        <v>54264</v>
      </c>
      <c r="I1818" s="8">
        <v>526.6875</v>
      </c>
      <c r="J1818" s="3">
        <f t="shared" si="28"/>
        <v>43749.5485874074</v>
      </c>
    </row>
    <row r="1819" spans="1:10" x14ac:dyDescent="0.25">
      <c r="A1819" s="5" t="s">
        <v>54265</v>
      </c>
      <c r="B1819" s="6">
        <v>393.75</v>
      </c>
      <c r="C1819" s="6">
        <v>20.531590000000001</v>
      </c>
      <c r="D1819" s="6">
        <v>47</v>
      </c>
      <c r="E1819" s="6">
        <v>0</v>
      </c>
      <c r="F1819" s="6">
        <v>0</v>
      </c>
      <c r="G1819" s="6">
        <v>25</v>
      </c>
      <c r="H1819" s="6" t="s">
        <v>54266</v>
      </c>
      <c r="I1819" s="6">
        <v>526.6875</v>
      </c>
      <c r="J1819" s="2">
        <f t="shared" si="28"/>
        <v>43749.548671203702</v>
      </c>
    </row>
    <row r="1820" spans="1:10" x14ac:dyDescent="0.25">
      <c r="A1820" s="7" t="s">
        <v>54267</v>
      </c>
      <c r="B1820" s="8">
        <v>393.75</v>
      </c>
      <c r="C1820" s="8">
        <v>20.584240000000001</v>
      </c>
      <c r="D1820" s="8">
        <v>48</v>
      </c>
      <c r="E1820" s="8">
        <v>0</v>
      </c>
      <c r="F1820" s="8">
        <v>0</v>
      </c>
      <c r="G1820" s="8">
        <v>17</v>
      </c>
      <c r="H1820" s="8" t="s">
        <v>54268</v>
      </c>
      <c r="I1820" s="8">
        <v>526.6875</v>
      </c>
      <c r="J1820" s="3">
        <f t="shared" si="28"/>
        <v>43749.548754641197</v>
      </c>
    </row>
    <row r="1821" spans="1:10" x14ac:dyDescent="0.25">
      <c r="A1821" s="5" t="s">
        <v>54269</v>
      </c>
      <c r="B1821" s="6">
        <v>393.75</v>
      </c>
      <c r="C1821" s="6">
        <v>20.584240000000001</v>
      </c>
      <c r="D1821" s="6">
        <v>47</v>
      </c>
      <c r="E1821" s="6">
        <v>0</v>
      </c>
      <c r="F1821" s="6">
        <v>0</v>
      </c>
      <c r="G1821" s="6">
        <v>18</v>
      </c>
      <c r="H1821" s="6" t="s">
        <v>54270</v>
      </c>
      <c r="I1821" s="6">
        <v>526.6875</v>
      </c>
      <c r="J1821" s="2">
        <f t="shared" si="28"/>
        <v>43749.548837881943</v>
      </c>
    </row>
    <row r="1822" spans="1:10" x14ac:dyDescent="0.25">
      <c r="A1822" s="7" t="s">
        <v>54271</v>
      </c>
      <c r="B1822" s="8">
        <v>393.75</v>
      </c>
      <c r="C1822" s="8">
        <v>20.584240000000001</v>
      </c>
      <c r="D1822" s="8">
        <v>47</v>
      </c>
      <c r="E1822" s="8">
        <v>0</v>
      </c>
      <c r="F1822" s="8">
        <v>0</v>
      </c>
      <c r="G1822" s="8">
        <v>22</v>
      </c>
      <c r="H1822" s="8" t="s">
        <v>54272</v>
      </c>
      <c r="I1822" s="8">
        <v>526.6875</v>
      </c>
      <c r="J1822" s="3">
        <f t="shared" si="28"/>
        <v>43749.54890962963</v>
      </c>
    </row>
    <row r="1823" spans="1:10" x14ac:dyDescent="0.25">
      <c r="A1823" s="5" t="s">
        <v>54273</v>
      </c>
      <c r="B1823" s="6">
        <v>412.5</v>
      </c>
      <c r="C1823" s="6">
        <v>20.531590000000001</v>
      </c>
      <c r="D1823" s="6">
        <v>47</v>
      </c>
      <c r="E1823" s="6">
        <v>0</v>
      </c>
      <c r="F1823" s="6">
        <v>0</v>
      </c>
      <c r="G1823" s="6">
        <v>19</v>
      </c>
      <c r="H1823" s="6" t="s">
        <v>54274</v>
      </c>
      <c r="I1823" s="6">
        <v>532.6875</v>
      </c>
      <c r="J1823" s="2">
        <f t="shared" si="28"/>
        <v>43749.548993182871</v>
      </c>
    </row>
    <row r="1824" spans="1:10" x14ac:dyDescent="0.25">
      <c r="A1824" s="7" t="s">
        <v>54275</v>
      </c>
      <c r="B1824" s="8">
        <v>393.75</v>
      </c>
      <c r="C1824" s="8">
        <v>20.531590000000001</v>
      </c>
      <c r="D1824" s="8">
        <v>47</v>
      </c>
      <c r="E1824" s="8">
        <v>0</v>
      </c>
      <c r="F1824" s="8">
        <v>0</v>
      </c>
      <c r="G1824" s="8">
        <v>18</v>
      </c>
      <c r="H1824" s="8" t="s">
        <v>54276</v>
      </c>
      <c r="I1824" s="8">
        <v>526.6875</v>
      </c>
      <c r="J1824" s="3">
        <f t="shared" si="28"/>
        <v>43749.549076643518</v>
      </c>
    </row>
    <row r="1825" spans="1:10" x14ac:dyDescent="0.25">
      <c r="A1825" s="5" t="s">
        <v>54277</v>
      </c>
      <c r="B1825" s="6">
        <v>393.75</v>
      </c>
      <c r="C1825" s="6">
        <v>20.531590000000001</v>
      </c>
      <c r="D1825" s="6">
        <v>45</v>
      </c>
      <c r="E1825" s="6">
        <v>0</v>
      </c>
      <c r="F1825" s="6">
        <v>0</v>
      </c>
      <c r="G1825" s="6">
        <v>23</v>
      </c>
      <c r="H1825" s="6" t="s">
        <v>54278</v>
      </c>
      <c r="I1825" s="6">
        <v>526.6875</v>
      </c>
      <c r="J1825" s="2">
        <f t="shared" si="28"/>
        <v>43749.549160081013</v>
      </c>
    </row>
    <row r="1826" spans="1:10" x14ac:dyDescent="0.25">
      <c r="A1826" s="7" t="s">
        <v>54279</v>
      </c>
      <c r="B1826" s="8">
        <v>393.75</v>
      </c>
      <c r="C1826" s="8">
        <v>20.584240000000001</v>
      </c>
      <c r="D1826" s="8">
        <v>45</v>
      </c>
      <c r="E1826" s="8">
        <v>0</v>
      </c>
      <c r="F1826" s="8">
        <v>0</v>
      </c>
      <c r="G1826" s="8">
        <v>16</v>
      </c>
      <c r="H1826" s="8" t="s">
        <v>54280</v>
      </c>
      <c r="I1826" s="8">
        <v>526.6875</v>
      </c>
      <c r="J1826" s="3">
        <f t="shared" si="28"/>
        <v>43749.549231747682</v>
      </c>
    </row>
    <row r="1827" spans="1:10" x14ac:dyDescent="0.25">
      <c r="A1827" s="5" t="s">
        <v>54281</v>
      </c>
      <c r="B1827" s="6">
        <v>393.75</v>
      </c>
      <c r="C1827" s="6">
        <v>20.584240000000001</v>
      </c>
      <c r="D1827" s="6">
        <v>45</v>
      </c>
      <c r="E1827" s="6">
        <v>0</v>
      </c>
      <c r="F1827" s="6">
        <v>0</v>
      </c>
      <c r="G1827" s="6">
        <v>17</v>
      </c>
      <c r="H1827" s="6" t="s">
        <v>54282</v>
      </c>
      <c r="I1827" s="6">
        <v>526.6875</v>
      </c>
      <c r="J1827" s="2">
        <f t="shared" si="28"/>
        <v>43749.549303148146</v>
      </c>
    </row>
    <row r="1828" spans="1:10" x14ac:dyDescent="0.25">
      <c r="A1828" s="7" t="s">
        <v>54283</v>
      </c>
      <c r="B1828" s="8">
        <v>393.75</v>
      </c>
      <c r="C1828" s="8">
        <v>20.478950000000001</v>
      </c>
      <c r="D1828" s="8">
        <v>47</v>
      </c>
      <c r="E1828" s="8">
        <v>0</v>
      </c>
      <c r="F1828" s="8">
        <v>0</v>
      </c>
      <c r="G1828" s="8">
        <v>27</v>
      </c>
      <c r="H1828" s="8" t="s">
        <v>54284</v>
      </c>
      <c r="I1828" s="8">
        <v>526.6875</v>
      </c>
      <c r="J1828" s="3">
        <f t="shared" si="28"/>
        <v>43749.549386840277</v>
      </c>
    </row>
    <row r="1829" spans="1:10" x14ac:dyDescent="0.25">
      <c r="A1829" s="5" t="s">
        <v>54285</v>
      </c>
      <c r="B1829" s="6">
        <v>393.75</v>
      </c>
      <c r="C1829" s="6">
        <v>20.584240000000001</v>
      </c>
      <c r="D1829" s="6">
        <v>47</v>
      </c>
      <c r="E1829" s="6">
        <v>0</v>
      </c>
      <c r="F1829" s="6">
        <v>0</v>
      </c>
      <c r="G1829" s="6">
        <v>17</v>
      </c>
      <c r="H1829" s="6" t="s">
        <v>54286</v>
      </c>
      <c r="I1829" s="6">
        <v>526.6875</v>
      </c>
      <c r="J1829" s="2">
        <f t="shared" si="28"/>
        <v>43749.549458240734</v>
      </c>
    </row>
    <row r="1830" spans="1:10" x14ac:dyDescent="0.25">
      <c r="A1830" s="7" t="s">
        <v>54287</v>
      </c>
      <c r="B1830" s="8">
        <v>393.75</v>
      </c>
      <c r="C1830" s="8">
        <v>20.584240000000001</v>
      </c>
      <c r="D1830" s="8">
        <v>48</v>
      </c>
      <c r="E1830" s="8">
        <v>0</v>
      </c>
      <c r="F1830" s="8">
        <v>0</v>
      </c>
      <c r="G1830" s="8">
        <v>18</v>
      </c>
      <c r="H1830" s="8" t="s">
        <v>54288</v>
      </c>
      <c r="I1830" s="8">
        <v>526.6875</v>
      </c>
      <c r="J1830" s="3">
        <f t="shared" si="28"/>
        <v>43749.549541562497</v>
      </c>
    </row>
    <row r="1831" spans="1:10" x14ac:dyDescent="0.25">
      <c r="A1831" s="5" t="s">
        <v>54289</v>
      </c>
      <c r="B1831" s="6">
        <v>393.75</v>
      </c>
      <c r="C1831" s="6">
        <v>20.531590000000001</v>
      </c>
      <c r="D1831" s="6">
        <v>48</v>
      </c>
      <c r="E1831" s="6">
        <v>0</v>
      </c>
      <c r="F1831" s="6">
        <v>0</v>
      </c>
      <c r="G1831" s="6">
        <v>18</v>
      </c>
      <c r="H1831" s="6" t="s">
        <v>54290</v>
      </c>
      <c r="I1831" s="6">
        <v>526.6875</v>
      </c>
      <c r="J1831" s="2">
        <f t="shared" si="28"/>
        <v>43749.549613344905</v>
      </c>
    </row>
    <row r="1832" spans="1:10" x14ac:dyDescent="0.25">
      <c r="A1832" s="7" t="s">
        <v>54291</v>
      </c>
      <c r="B1832" s="8">
        <v>393.75</v>
      </c>
      <c r="C1832" s="8">
        <v>20.531590000000001</v>
      </c>
      <c r="D1832" s="8">
        <v>45</v>
      </c>
      <c r="E1832" s="8">
        <v>0</v>
      </c>
      <c r="F1832" s="8">
        <v>0</v>
      </c>
      <c r="G1832" s="8">
        <v>17</v>
      </c>
      <c r="H1832" s="8" t="s">
        <v>54292</v>
      </c>
      <c r="I1832" s="8">
        <v>526.6875</v>
      </c>
      <c r="J1832" s="3">
        <f t="shared" si="28"/>
        <v>43749.549696759255</v>
      </c>
    </row>
    <row r="1833" spans="1:10" x14ac:dyDescent="0.25">
      <c r="A1833" s="5" t="s">
        <v>54293</v>
      </c>
      <c r="B1833" s="6">
        <v>393.75</v>
      </c>
      <c r="C1833" s="6">
        <v>20.531590000000001</v>
      </c>
      <c r="D1833" s="6">
        <v>49</v>
      </c>
      <c r="E1833" s="6">
        <v>0</v>
      </c>
      <c r="F1833" s="6">
        <v>0</v>
      </c>
      <c r="G1833" s="6">
        <v>9</v>
      </c>
      <c r="H1833" s="6" t="s">
        <v>54294</v>
      </c>
      <c r="I1833" s="6">
        <v>526.6875</v>
      </c>
      <c r="J1833" s="2">
        <f t="shared" si="28"/>
        <v>43749.549780347217</v>
      </c>
    </row>
    <row r="1834" spans="1:10" x14ac:dyDescent="0.25">
      <c r="A1834" s="7" t="s">
        <v>54295</v>
      </c>
      <c r="B1834" s="8">
        <v>393.75</v>
      </c>
      <c r="C1834" s="8">
        <v>20.531590000000001</v>
      </c>
      <c r="D1834" s="8">
        <v>49</v>
      </c>
      <c r="E1834" s="8">
        <v>0</v>
      </c>
      <c r="F1834" s="8">
        <v>0</v>
      </c>
      <c r="G1834" s="8">
        <v>21</v>
      </c>
      <c r="H1834" s="8" t="s">
        <v>54296</v>
      </c>
      <c r="I1834" s="8">
        <v>526.6875</v>
      </c>
      <c r="J1834" s="3">
        <f t="shared" si="28"/>
        <v>43749.549875833334</v>
      </c>
    </row>
    <row r="1835" spans="1:10" x14ac:dyDescent="0.25">
      <c r="A1835" s="5" t="s">
        <v>54297</v>
      </c>
      <c r="B1835" s="6">
        <v>393.75</v>
      </c>
      <c r="C1835" s="6">
        <v>20.584240000000001</v>
      </c>
      <c r="D1835" s="6">
        <v>49</v>
      </c>
      <c r="E1835" s="6">
        <v>0</v>
      </c>
      <c r="F1835" s="6">
        <v>0</v>
      </c>
      <c r="G1835" s="6">
        <v>16</v>
      </c>
      <c r="H1835" s="6" t="s">
        <v>54298</v>
      </c>
      <c r="I1835" s="6">
        <v>526.6875</v>
      </c>
      <c r="J1835" s="2">
        <f t="shared" si="28"/>
        <v>43749.549947361105</v>
      </c>
    </row>
    <row r="1836" spans="1:10" x14ac:dyDescent="0.25">
      <c r="A1836" s="7" t="s">
        <v>54299</v>
      </c>
      <c r="B1836" s="8">
        <v>393.75</v>
      </c>
      <c r="C1836" s="8">
        <v>20.531590000000001</v>
      </c>
      <c r="D1836" s="8">
        <v>50</v>
      </c>
      <c r="E1836" s="8">
        <v>0</v>
      </c>
      <c r="F1836" s="8">
        <v>0</v>
      </c>
      <c r="G1836" s="8">
        <v>12</v>
      </c>
      <c r="H1836" s="8" t="s">
        <v>54300</v>
      </c>
      <c r="I1836" s="8">
        <v>526.6875</v>
      </c>
      <c r="J1836" s="3">
        <f t="shared" si="28"/>
        <v>43749.550030590275</v>
      </c>
    </row>
    <row r="1837" spans="1:10" x14ac:dyDescent="0.25">
      <c r="A1837" s="5" t="s">
        <v>54301</v>
      </c>
      <c r="B1837" s="6">
        <v>393.75</v>
      </c>
      <c r="C1837" s="6">
        <v>20.531590000000001</v>
      </c>
      <c r="D1837" s="6">
        <v>50</v>
      </c>
      <c r="E1837" s="6">
        <v>0</v>
      </c>
      <c r="F1837" s="6">
        <v>0</v>
      </c>
      <c r="G1837" s="6">
        <v>13</v>
      </c>
      <c r="H1837" s="6" t="s">
        <v>54302</v>
      </c>
      <c r="I1837" s="6">
        <v>526.875</v>
      </c>
      <c r="J1837" s="2">
        <f t="shared" si="28"/>
        <v>43749.550102326386</v>
      </c>
    </row>
    <row r="1838" spans="1:10" x14ac:dyDescent="0.25">
      <c r="A1838" s="7" t="s">
        <v>54303</v>
      </c>
      <c r="B1838" s="8">
        <v>393.75</v>
      </c>
      <c r="C1838" s="8">
        <v>20.531590000000001</v>
      </c>
      <c r="D1838" s="8">
        <v>47</v>
      </c>
      <c r="E1838" s="8">
        <v>0</v>
      </c>
      <c r="F1838" s="8">
        <v>0</v>
      </c>
      <c r="G1838" s="8">
        <v>8</v>
      </c>
      <c r="H1838" s="8" t="s">
        <v>54304</v>
      </c>
      <c r="I1838" s="8">
        <v>526.6875</v>
      </c>
      <c r="J1838" s="3">
        <f t="shared" si="28"/>
        <v>43749.550200069447</v>
      </c>
    </row>
    <row r="1839" spans="1:10" x14ac:dyDescent="0.25">
      <c r="A1839" s="5" t="s">
        <v>54305</v>
      </c>
      <c r="B1839" s="6">
        <v>393.75</v>
      </c>
      <c r="C1839" s="6">
        <v>20.531590000000001</v>
      </c>
      <c r="D1839" s="6">
        <v>47</v>
      </c>
      <c r="E1839" s="6">
        <v>0</v>
      </c>
      <c r="F1839" s="6">
        <v>0</v>
      </c>
      <c r="G1839" s="6">
        <v>14</v>
      </c>
      <c r="H1839" s="6" t="s">
        <v>54306</v>
      </c>
      <c r="I1839" s="6">
        <v>526.6875</v>
      </c>
      <c r="J1839" s="2">
        <f t="shared" si="28"/>
        <v>43749.550281284719</v>
      </c>
    </row>
    <row r="1840" spans="1:10" x14ac:dyDescent="0.25">
      <c r="A1840" s="7" t="s">
        <v>54307</v>
      </c>
      <c r="B1840" s="8">
        <v>393.75</v>
      </c>
      <c r="C1840" s="8">
        <v>20.478950000000001</v>
      </c>
      <c r="D1840" s="8">
        <v>48</v>
      </c>
      <c r="E1840" s="8">
        <v>0</v>
      </c>
      <c r="F1840" s="8">
        <v>0</v>
      </c>
      <c r="G1840" s="8">
        <v>16</v>
      </c>
      <c r="H1840" s="8" t="s">
        <v>54308</v>
      </c>
      <c r="I1840" s="8">
        <v>526.6875</v>
      </c>
      <c r="J1840" s="3">
        <f t="shared" si="28"/>
        <v>43749.550364872681</v>
      </c>
    </row>
    <row r="1841" spans="1:10" x14ac:dyDescent="0.25">
      <c r="A1841" s="5" t="s">
        <v>54309</v>
      </c>
      <c r="B1841" s="6">
        <v>393.75</v>
      </c>
      <c r="C1841" s="6">
        <v>20.531590000000001</v>
      </c>
      <c r="D1841" s="6">
        <v>49</v>
      </c>
      <c r="E1841" s="6">
        <v>0</v>
      </c>
      <c r="F1841" s="6">
        <v>0</v>
      </c>
      <c r="G1841" s="6">
        <v>21</v>
      </c>
      <c r="H1841" s="6" t="s">
        <v>54310</v>
      </c>
      <c r="I1841" s="6">
        <v>526.6875</v>
      </c>
      <c r="J1841" s="2">
        <f t="shared" si="28"/>
        <v>43749.550436388883</v>
      </c>
    </row>
    <row r="1842" spans="1:10" x14ac:dyDescent="0.25">
      <c r="A1842" s="7" t="s">
        <v>54311</v>
      </c>
      <c r="B1842" s="8">
        <v>393.75</v>
      </c>
      <c r="C1842" s="8">
        <v>20.531590000000001</v>
      </c>
      <c r="D1842" s="8">
        <v>48</v>
      </c>
      <c r="E1842" s="8">
        <v>0</v>
      </c>
      <c r="F1842" s="8">
        <v>0</v>
      </c>
      <c r="G1842" s="8">
        <v>25</v>
      </c>
      <c r="H1842" s="8" t="s">
        <v>54312</v>
      </c>
      <c r="I1842" s="8">
        <v>526.6875</v>
      </c>
      <c r="J1842" s="3">
        <f t="shared" si="28"/>
        <v>43749.550519606484</v>
      </c>
    </row>
    <row r="1843" spans="1:10" x14ac:dyDescent="0.25">
      <c r="A1843" s="5" t="s">
        <v>54313</v>
      </c>
      <c r="B1843" s="6">
        <v>393.75</v>
      </c>
      <c r="C1843" s="6">
        <v>20.584240000000001</v>
      </c>
      <c r="D1843" s="6">
        <v>48</v>
      </c>
      <c r="E1843" s="6">
        <v>0</v>
      </c>
      <c r="F1843" s="6">
        <v>0</v>
      </c>
      <c r="G1843" s="6">
        <v>6</v>
      </c>
      <c r="H1843" s="6" t="s">
        <v>54314</v>
      </c>
      <c r="I1843" s="6">
        <v>526.6875</v>
      </c>
      <c r="J1843" s="2">
        <f t="shared" si="28"/>
        <v>43749.550591122686</v>
      </c>
    </row>
    <row r="1844" spans="1:10" x14ac:dyDescent="0.25">
      <c r="A1844" s="7" t="s">
        <v>54315</v>
      </c>
      <c r="B1844" s="8">
        <v>393.75</v>
      </c>
      <c r="C1844" s="8">
        <v>20.584240000000001</v>
      </c>
      <c r="D1844" s="8">
        <v>49</v>
      </c>
      <c r="E1844" s="8">
        <v>0</v>
      </c>
      <c r="F1844" s="8">
        <v>0</v>
      </c>
      <c r="G1844" s="8">
        <v>20</v>
      </c>
      <c r="H1844" s="8" t="s">
        <v>54316</v>
      </c>
      <c r="I1844" s="8">
        <v>526.6875</v>
      </c>
      <c r="J1844" s="3">
        <f t="shared" si="28"/>
        <v>43749.550675011567</v>
      </c>
    </row>
    <row r="1845" spans="1:10" x14ac:dyDescent="0.25">
      <c r="A1845" s="5" t="s">
        <v>54317</v>
      </c>
      <c r="B1845" s="6">
        <v>393.75</v>
      </c>
      <c r="C1845" s="6">
        <v>20.478950000000001</v>
      </c>
      <c r="D1845" s="6">
        <v>50</v>
      </c>
      <c r="E1845" s="6">
        <v>0</v>
      </c>
      <c r="F1845" s="6">
        <v>0</v>
      </c>
      <c r="G1845" s="6">
        <v>18</v>
      </c>
      <c r="H1845" s="6" t="s">
        <v>54318</v>
      </c>
      <c r="I1845" s="6">
        <v>526.6875</v>
      </c>
      <c r="J1845" s="2">
        <f t="shared" si="28"/>
        <v>43749.550758460646</v>
      </c>
    </row>
    <row r="1846" spans="1:10" x14ac:dyDescent="0.25">
      <c r="A1846" s="7" t="s">
        <v>54319</v>
      </c>
      <c r="B1846" s="8">
        <v>393.75</v>
      </c>
      <c r="C1846" s="8">
        <v>20.478950000000001</v>
      </c>
      <c r="D1846" s="8">
        <v>50</v>
      </c>
      <c r="E1846" s="8">
        <v>0</v>
      </c>
      <c r="F1846" s="8">
        <v>0</v>
      </c>
      <c r="G1846" s="8">
        <v>8</v>
      </c>
      <c r="H1846" s="8" t="s">
        <v>54320</v>
      </c>
      <c r="I1846" s="8">
        <v>526.6875</v>
      </c>
      <c r="J1846" s="3">
        <f t="shared" si="28"/>
        <v>43749.550841701384</v>
      </c>
    </row>
    <row r="1847" spans="1:10" x14ac:dyDescent="0.25">
      <c r="A1847" s="5" t="s">
        <v>54321</v>
      </c>
      <c r="B1847" s="6">
        <v>393.75</v>
      </c>
      <c r="C1847" s="6">
        <v>20.584240000000001</v>
      </c>
      <c r="D1847" s="6">
        <v>50</v>
      </c>
      <c r="E1847" s="6">
        <v>0</v>
      </c>
      <c r="F1847" s="6">
        <v>0</v>
      </c>
      <c r="G1847" s="6">
        <v>23</v>
      </c>
      <c r="H1847" s="6" t="s">
        <v>54322</v>
      </c>
      <c r="I1847" s="6">
        <v>526.6875</v>
      </c>
      <c r="J1847" s="2">
        <f t="shared" si="28"/>
        <v>43749.550925497686</v>
      </c>
    </row>
    <row r="1848" spans="1:10" x14ac:dyDescent="0.25">
      <c r="A1848" s="7" t="s">
        <v>54323</v>
      </c>
      <c r="B1848" s="8">
        <v>393.75</v>
      </c>
      <c r="C1848" s="8">
        <v>20.531590000000001</v>
      </c>
      <c r="D1848" s="8">
        <v>50</v>
      </c>
      <c r="E1848" s="8">
        <v>0</v>
      </c>
      <c r="F1848" s="8">
        <v>0</v>
      </c>
      <c r="G1848" s="8">
        <v>21</v>
      </c>
      <c r="H1848" s="8" t="s">
        <v>54324</v>
      </c>
      <c r="I1848" s="8">
        <v>526.5</v>
      </c>
      <c r="J1848" s="3">
        <f t="shared" si="28"/>
        <v>43749.551008622679</v>
      </c>
    </row>
    <row r="1849" spans="1:10" x14ac:dyDescent="0.25">
      <c r="A1849" s="5" t="s">
        <v>54325</v>
      </c>
      <c r="B1849" s="6">
        <v>412.5</v>
      </c>
      <c r="C1849" s="6">
        <v>20.584240000000001</v>
      </c>
      <c r="D1849" s="6">
        <v>49</v>
      </c>
      <c r="E1849" s="6">
        <v>0</v>
      </c>
      <c r="F1849" s="6">
        <v>0</v>
      </c>
      <c r="G1849" s="6">
        <v>18</v>
      </c>
      <c r="H1849" s="6" t="s">
        <v>54326</v>
      </c>
      <c r="I1849" s="6">
        <v>532.6875</v>
      </c>
      <c r="J1849" s="2">
        <f t="shared" si="28"/>
        <v>43749.551080347221</v>
      </c>
    </row>
    <row r="1850" spans="1:10" x14ac:dyDescent="0.25">
      <c r="A1850" s="7" t="s">
        <v>54327</v>
      </c>
      <c r="B1850" s="8">
        <v>393.75</v>
      </c>
      <c r="C1850" s="8">
        <v>20.531590000000001</v>
      </c>
      <c r="D1850" s="8">
        <v>49</v>
      </c>
      <c r="E1850" s="8">
        <v>0</v>
      </c>
      <c r="F1850" s="8">
        <v>0</v>
      </c>
      <c r="G1850" s="8">
        <v>21</v>
      </c>
      <c r="H1850" s="8" t="s">
        <v>54328</v>
      </c>
      <c r="I1850" s="8">
        <v>526.6875</v>
      </c>
      <c r="J1850" s="3">
        <f t="shared" si="28"/>
        <v>43749.551152025459</v>
      </c>
    </row>
    <row r="1851" spans="1:10" x14ac:dyDescent="0.25">
      <c r="A1851" s="5" t="s">
        <v>54329</v>
      </c>
      <c r="B1851" s="6">
        <v>393.75</v>
      </c>
      <c r="C1851" s="6">
        <v>20.531590000000001</v>
      </c>
      <c r="D1851" s="6">
        <v>49</v>
      </c>
      <c r="E1851" s="6">
        <v>0</v>
      </c>
      <c r="F1851" s="6">
        <v>0</v>
      </c>
      <c r="G1851" s="6">
        <v>17</v>
      </c>
      <c r="H1851" s="6" t="s">
        <v>54330</v>
      </c>
      <c r="I1851" s="6">
        <v>526.6875</v>
      </c>
      <c r="J1851" s="2">
        <f t="shared" si="28"/>
        <v>43749.551235590276</v>
      </c>
    </row>
    <row r="1852" spans="1:10" x14ac:dyDescent="0.25">
      <c r="A1852" s="7" t="s">
        <v>54331</v>
      </c>
      <c r="B1852" s="8">
        <v>418.75</v>
      </c>
      <c r="C1852" s="8">
        <v>20.584240000000001</v>
      </c>
      <c r="D1852" s="8">
        <v>49</v>
      </c>
      <c r="E1852" s="8">
        <v>0</v>
      </c>
      <c r="F1852" s="8">
        <v>0</v>
      </c>
      <c r="G1852" s="8">
        <v>18</v>
      </c>
      <c r="H1852" s="8" t="s">
        <v>54332</v>
      </c>
      <c r="I1852" s="8">
        <v>534</v>
      </c>
      <c r="J1852" s="3">
        <f t="shared" si="28"/>
        <v>43749.551319039347</v>
      </c>
    </row>
    <row r="1853" spans="1:10" x14ac:dyDescent="0.25">
      <c r="A1853" s="5" t="s">
        <v>54333</v>
      </c>
      <c r="B1853" s="6">
        <v>393.75</v>
      </c>
      <c r="C1853" s="6">
        <v>20.531590000000001</v>
      </c>
      <c r="D1853" s="6">
        <v>50</v>
      </c>
      <c r="E1853" s="6">
        <v>0</v>
      </c>
      <c r="F1853" s="6">
        <v>0</v>
      </c>
      <c r="G1853" s="6">
        <v>23</v>
      </c>
      <c r="H1853" s="6" t="s">
        <v>54334</v>
      </c>
      <c r="I1853" s="6">
        <v>526.6875</v>
      </c>
      <c r="J1853" s="2">
        <f t="shared" si="28"/>
        <v>43749.551402604164</v>
      </c>
    </row>
    <row r="1854" spans="1:10" x14ac:dyDescent="0.25">
      <c r="A1854" s="7" t="s">
        <v>54335</v>
      </c>
      <c r="B1854" s="8">
        <v>393.75</v>
      </c>
      <c r="C1854" s="8">
        <v>20.531590000000001</v>
      </c>
      <c r="D1854" s="8">
        <v>50</v>
      </c>
      <c r="E1854" s="8">
        <v>0</v>
      </c>
      <c r="F1854" s="8">
        <v>0</v>
      </c>
      <c r="G1854" s="8">
        <v>8</v>
      </c>
      <c r="H1854" s="8" t="s">
        <v>54336</v>
      </c>
      <c r="I1854" s="8">
        <v>526.5</v>
      </c>
      <c r="J1854" s="3">
        <f t="shared" si="28"/>
        <v>43749.55148613426</v>
      </c>
    </row>
    <row r="1855" spans="1:10" x14ac:dyDescent="0.25">
      <c r="A1855" s="5" t="s">
        <v>54337</v>
      </c>
      <c r="B1855" s="6">
        <v>393.75</v>
      </c>
      <c r="C1855" s="6">
        <v>20.531590000000001</v>
      </c>
      <c r="D1855" s="6">
        <v>50</v>
      </c>
      <c r="E1855" s="6">
        <v>0</v>
      </c>
      <c r="F1855" s="6">
        <v>0</v>
      </c>
      <c r="G1855" s="6">
        <v>7</v>
      </c>
      <c r="H1855" s="6" t="s">
        <v>54338</v>
      </c>
      <c r="I1855" s="6">
        <v>526.6875</v>
      </c>
      <c r="J1855" s="2">
        <f t="shared" si="28"/>
        <v>43749.55156944444</v>
      </c>
    </row>
    <row r="1856" spans="1:10" x14ac:dyDescent="0.25">
      <c r="A1856" s="7" t="s">
        <v>54339</v>
      </c>
      <c r="B1856" s="8">
        <v>393.75</v>
      </c>
      <c r="C1856" s="8">
        <v>20.584240000000001</v>
      </c>
      <c r="D1856" s="8">
        <v>50</v>
      </c>
      <c r="E1856" s="8">
        <v>0</v>
      </c>
      <c r="F1856" s="8">
        <v>0</v>
      </c>
      <c r="G1856" s="8">
        <v>19</v>
      </c>
      <c r="H1856" s="8" t="s">
        <v>54340</v>
      </c>
      <c r="I1856" s="8">
        <v>526.6875</v>
      </c>
      <c r="J1856" s="3">
        <f t="shared" si="28"/>
        <v>43749.55165267361</v>
      </c>
    </row>
    <row r="1857" spans="1:10" x14ac:dyDescent="0.25">
      <c r="A1857" s="5" t="s">
        <v>54341</v>
      </c>
      <c r="B1857" s="6">
        <v>393.75</v>
      </c>
      <c r="C1857" s="6">
        <v>20.531590000000001</v>
      </c>
      <c r="D1857" s="6">
        <v>50</v>
      </c>
      <c r="E1857" s="6">
        <v>0</v>
      </c>
      <c r="F1857" s="6">
        <v>0</v>
      </c>
      <c r="G1857" s="6">
        <v>7</v>
      </c>
      <c r="H1857" s="6" t="s">
        <v>54342</v>
      </c>
      <c r="I1857" s="6">
        <v>526.6875</v>
      </c>
      <c r="J1857" s="2">
        <f t="shared" si="28"/>
        <v>43749.551724432873</v>
      </c>
    </row>
    <row r="1858" spans="1:10" x14ac:dyDescent="0.25">
      <c r="A1858" s="7" t="s">
        <v>54343</v>
      </c>
      <c r="B1858" s="8">
        <v>393.75</v>
      </c>
      <c r="C1858" s="8">
        <v>20.531590000000001</v>
      </c>
      <c r="D1858" s="8">
        <v>50</v>
      </c>
      <c r="E1858" s="8">
        <v>0</v>
      </c>
      <c r="F1858" s="8">
        <v>0</v>
      </c>
      <c r="G1858" s="8">
        <v>22</v>
      </c>
      <c r="H1858" s="8" t="s">
        <v>54344</v>
      </c>
      <c r="I1858" s="8">
        <v>526.6875</v>
      </c>
      <c r="J1858" s="3">
        <f t="shared" ref="J1858:J1921" si="29">(H1858/86400000)+25569+(7/24)</f>
        <v>43749.551808414348</v>
      </c>
    </row>
    <row r="1859" spans="1:10" x14ac:dyDescent="0.25">
      <c r="A1859" s="5" t="s">
        <v>54345</v>
      </c>
      <c r="B1859" s="6">
        <v>393.75</v>
      </c>
      <c r="C1859" s="6">
        <v>20.584240000000001</v>
      </c>
      <c r="D1859" s="6">
        <v>51</v>
      </c>
      <c r="E1859" s="6">
        <v>0</v>
      </c>
      <c r="F1859" s="6">
        <v>0</v>
      </c>
      <c r="G1859" s="6">
        <v>14</v>
      </c>
      <c r="H1859" s="6" t="s">
        <v>54346</v>
      </c>
      <c r="I1859" s="6">
        <v>526.5</v>
      </c>
      <c r="J1859" s="2">
        <f t="shared" si="29"/>
        <v>43749.551891574076</v>
      </c>
    </row>
    <row r="1860" spans="1:10" x14ac:dyDescent="0.25">
      <c r="A1860" s="7" t="s">
        <v>54347</v>
      </c>
      <c r="B1860" s="8">
        <v>393.75</v>
      </c>
      <c r="C1860" s="8">
        <v>20.531590000000001</v>
      </c>
      <c r="D1860" s="8">
        <v>48</v>
      </c>
      <c r="E1860" s="8">
        <v>0</v>
      </c>
      <c r="F1860" s="8">
        <v>0</v>
      </c>
      <c r="G1860" s="8">
        <v>4</v>
      </c>
      <c r="H1860" s="8" t="s">
        <v>54348</v>
      </c>
      <c r="I1860" s="8">
        <v>526.6875</v>
      </c>
      <c r="J1860" s="3">
        <f t="shared" si="29"/>
        <v>43749.551962858794</v>
      </c>
    </row>
    <row r="1861" spans="1:10" x14ac:dyDescent="0.25">
      <c r="A1861" s="5" t="s">
        <v>54349</v>
      </c>
      <c r="B1861" s="6">
        <v>393.75</v>
      </c>
      <c r="C1861" s="6">
        <v>20.531590000000001</v>
      </c>
      <c r="D1861" s="6">
        <v>47</v>
      </c>
      <c r="E1861" s="6">
        <v>0</v>
      </c>
      <c r="F1861" s="6">
        <v>0</v>
      </c>
      <c r="G1861" s="6">
        <v>1</v>
      </c>
      <c r="H1861" s="6" t="s">
        <v>54350</v>
      </c>
      <c r="I1861" s="6">
        <v>526.6875</v>
      </c>
      <c r="J1861" s="2">
        <f t="shared" si="29"/>
        <v>43749.552046655088</v>
      </c>
    </row>
    <row r="1862" spans="1:10" x14ac:dyDescent="0.25">
      <c r="A1862" s="7" t="s">
        <v>54351</v>
      </c>
      <c r="B1862" s="8">
        <v>393.75</v>
      </c>
      <c r="C1862" s="8">
        <v>20.531590000000001</v>
      </c>
      <c r="D1862" s="8">
        <v>48</v>
      </c>
      <c r="E1862" s="8">
        <v>0</v>
      </c>
      <c r="F1862" s="8">
        <v>0</v>
      </c>
      <c r="G1862" s="8">
        <v>1</v>
      </c>
      <c r="H1862" s="8" t="s">
        <v>54352</v>
      </c>
      <c r="I1862" s="8">
        <v>526.6875</v>
      </c>
      <c r="J1862" s="3">
        <f t="shared" si="29"/>
        <v>43749.552130115735</v>
      </c>
    </row>
    <row r="1863" spans="1:10" x14ac:dyDescent="0.25">
      <c r="A1863" s="5" t="s">
        <v>54353</v>
      </c>
      <c r="B1863" s="6">
        <v>393.75</v>
      </c>
      <c r="C1863" s="6">
        <v>20.531590000000001</v>
      </c>
      <c r="D1863" s="6">
        <v>47</v>
      </c>
      <c r="E1863" s="6">
        <v>0</v>
      </c>
      <c r="F1863" s="6">
        <v>0</v>
      </c>
      <c r="G1863" s="6">
        <v>9</v>
      </c>
      <c r="H1863" s="6" t="s">
        <v>54354</v>
      </c>
      <c r="I1863" s="6">
        <v>526.6875</v>
      </c>
      <c r="J1863" s="2">
        <f t="shared" si="29"/>
        <v>43749.552212662034</v>
      </c>
    </row>
    <row r="1864" spans="1:10" x14ac:dyDescent="0.25">
      <c r="A1864" s="7" t="s">
        <v>54355</v>
      </c>
      <c r="B1864" s="8">
        <v>393.75</v>
      </c>
      <c r="C1864" s="8">
        <v>20.531590000000001</v>
      </c>
      <c r="D1864" s="8">
        <v>50</v>
      </c>
      <c r="E1864" s="8">
        <v>0</v>
      </c>
      <c r="F1864" s="8">
        <v>0</v>
      </c>
      <c r="G1864" s="8">
        <v>7</v>
      </c>
      <c r="H1864" s="8" t="s">
        <v>54356</v>
      </c>
      <c r="I1864" s="8">
        <v>526.6875</v>
      </c>
      <c r="J1864" s="3">
        <f t="shared" si="29"/>
        <v>43749.55228520833</v>
      </c>
    </row>
    <row r="1865" spans="1:10" x14ac:dyDescent="0.25">
      <c r="A1865" s="5" t="s">
        <v>54357</v>
      </c>
      <c r="B1865" s="6">
        <v>412.5</v>
      </c>
      <c r="C1865" s="6">
        <v>20.531590000000001</v>
      </c>
      <c r="D1865" s="6">
        <v>49</v>
      </c>
      <c r="E1865" s="6">
        <v>0</v>
      </c>
      <c r="F1865" s="6">
        <v>0</v>
      </c>
      <c r="G1865" s="6">
        <v>11</v>
      </c>
      <c r="H1865" s="6" t="s">
        <v>54358</v>
      </c>
      <c r="I1865" s="6">
        <v>532.6875</v>
      </c>
      <c r="J1865" s="2">
        <f t="shared" si="29"/>
        <v>43749.552368784724</v>
      </c>
    </row>
    <row r="1866" spans="1:10" x14ac:dyDescent="0.25">
      <c r="A1866" s="7" t="s">
        <v>54359</v>
      </c>
      <c r="B1866" s="8">
        <v>393.75</v>
      </c>
      <c r="C1866" s="8">
        <v>20.531590000000001</v>
      </c>
      <c r="D1866" s="8">
        <v>48</v>
      </c>
      <c r="E1866" s="8">
        <v>0</v>
      </c>
      <c r="F1866" s="8">
        <v>0</v>
      </c>
      <c r="G1866" s="8">
        <v>21</v>
      </c>
      <c r="H1866" s="8" t="s">
        <v>54360</v>
      </c>
      <c r="I1866" s="8">
        <v>526.6875</v>
      </c>
      <c r="J1866" s="3">
        <f t="shared" si="29"/>
        <v>43749.552452314812</v>
      </c>
    </row>
    <row r="1867" spans="1:10" x14ac:dyDescent="0.25">
      <c r="A1867" s="5" t="s">
        <v>54361</v>
      </c>
      <c r="B1867" s="6">
        <v>393.75</v>
      </c>
      <c r="C1867" s="6">
        <v>20.531590000000001</v>
      </c>
      <c r="D1867" s="6">
        <v>49</v>
      </c>
      <c r="E1867" s="6">
        <v>0</v>
      </c>
      <c r="F1867" s="6">
        <v>0</v>
      </c>
      <c r="G1867" s="6">
        <v>9</v>
      </c>
      <c r="H1867" s="6" t="s">
        <v>54362</v>
      </c>
      <c r="I1867" s="6">
        <v>526.6875</v>
      </c>
      <c r="J1867" s="2">
        <f t="shared" si="29"/>
        <v>43749.552535671297</v>
      </c>
    </row>
    <row r="1868" spans="1:10" x14ac:dyDescent="0.25">
      <c r="A1868" s="7" t="s">
        <v>54363</v>
      </c>
      <c r="B1868" s="8">
        <v>393.75</v>
      </c>
      <c r="C1868" s="8">
        <v>20.531590000000001</v>
      </c>
      <c r="D1868" s="8">
        <v>49</v>
      </c>
      <c r="E1868" s="8">
        <v>0</v>
      </c>
      <c r="F1868" s="8">
        <v>0</v>
      </c>
      <c r="G1868" s="8">
        <v>17</v>
      </c>
      <c r="H1868" s="8" t="s">
        <v>54364</v>
      </c>
      <c r="I1868" s="8">
        <v>526.6875</v>
      </c>
      <c r="J1868" s="3">
        <f t="shared" si="29"/>
        <v>43749.552619351853</v>
      </c>
    </row>
    <row r="1869" spans="1:10" x14ac:dyDescent="0.25">
      <c r="A1869" s="5" t="s">
        <v>54365</v>
      </c>
      <c r="B1869" s="6">
        <v>393.75</v>
      </c>
      <c r="C1869" s="6">
        <v>20.531590000000001</v>
      </c>
      <c r="D1869" s="6">
        <v>48</v>
      </c>
      <c r="E1869" s="6">
        <v>0</v>
      </c>
      <c r="F1869" s="6">
        <v>0</v>
      </c>
      <c r="G1869" s="6">
        <v>18</v>
      </c>
      <c r="H1869" s="6" t="s">
        <v>54366</v>
      </c>
      <c r="I1869" s="6">
        <v>526.6875</v>
      </c>
      <c r="J1869" s="2">
        <f t="shared" si="29"/>
        <v>43749.552702696754</v>
      </c>
    </row>
    <row r="1870" spans="1:10" x14ac:dyDescent="0.25">
      <c r="A1870" s="7" t="s">
        <v>54367</v>
      </c>
      <c r="B1870" s="8">
        <v>393.75</v>
      </c>
      <c r="C1870" s="8">
        <v>20.531590000000001</v>
      </c>
      <c r="D1870" s="8">
        <v>47</v>
      </c>
      <c r="E1870" s="8">
        <v>0</v>
      </c>
      <c r="F1870" s="8">
        <v>0</v>
      </c>
      <c r="G1870" s="8">
        <v>13</v>
      </c>
      <c r="H1870" s="8" t="s">
        <v>54368</v>
      </c>
      <c r="I1870" s="8">
        <v>526.6875</v>
      </c>
      <c r="J1870" s="3">
        <f t="shared" si="29"/>
        <v>43749.552786006941</v>
      </c>
    </row>
    <row r="1871" spans="1:10" x14ac:dyDescent="0.25">
      <c r="A1871" s="5" t="s">
        <v>54369</v>
      </c>
      <c r="B1871" s="6">
        <v>393.75</v>
      </c>
      <c r="C1871" s="6">
        <v>20.584240000000001</v>
      </c>
      <c r="D1871" s="6">
        <v>47</v>
      </c>
      <c r="E1871" s="6">
        <v>0</v>
      </c>
      <c r="F1871" s="6">
        <v>0</v>
      </c>
      <c r="G1871" s="6">
        <v>15</v>
      </c>
      <c r="H1871" s="6" t="s">
        <v>54370</v>
      </c>
      <c r="I1871" s="6">
        <v>526.6875</v>
      </c>
      <c r="J1871" s="2">
        <f t="shared" si="29"/>
        <v>43749.552857546289</v>
      </c>
    </row>
    <row r="1872" spans="1:10" x14ac:dyDescent="0.25">
      <c r="A1872" s="7" t="s">
        <v>54371</v>
      </c>
      <c r="B1872" s="8">
        <v>393.75</v>
      </c>
      <c r="C1872" s="8">
        <v>20.584240000000001</v>
      </c>
      <c r="D1872" s="8">
        <v>47</v>
      </c>
      <c r="E1872" s="8">
        <v>0</v>
      </c>
      <c r="F1872" s="8">
        <v>0</v>
      </c>
      <c r="G1872" s="8">
        <v>14</v>
      </c>
      <c r="H1872" s="8" t="s">
        <v>54372</v>
      </c>
      <c r="I1872" s="8">
        <v>526.6875</v>
      </c>
      <c r="J1872" s="3">
        <f t="shared" si="29"/>
        <v>43749.552965208328</v>
      </c>
    </row>
    <row r="1873" spans="1:10" x14ac:dyDescent="0.25">
      <c r="A1873" s="5" t="s">
        <v>54373</v>
      </c>
      <c r="B1873" s="6">
        <v>393.75</v>
      </c>
      <c r="C1873" s="6">
        <v>20.584240000000001</v>
      </c>
      <c r="D1873" s="6">
        <v>47</v>
      </c>
      <c r="E1873" s="6">
        <v>0</v>
      </c>
      <c r="F1873" s="6">
        <v>0</v>
      </c>
      <c r="G1873" s="6">
        <v>18</v>
      </c>
      <c r="H1873" s="6" t="s">
        <v>54374</v>
      </c>
      <c r="I1873" s="6">
        <v>526.6875</v>
      </c>
      <c r="J1873" s="2">
        <f t="shared" si="29"/>
        <v>43749.553048634254</v>
      </c>
    </row>
    <row r="1874" spans="1:10" x14ac:dyDescent="0.25">
      <c r="A1874" s="7" t="s">
        <v>54375</v>
      </c>
      <c r="B1874" s="8">
        <v>393.75</v>
      </c>
      <c r="C1874" s="8">
        <v>20.531590000000001</v>
      </c>
      <c r="D1874" s="8">
        <v>48</v>
      </c>
      <c r="E1874" s="8">
        <v>0</v>
      </c>
      <c r="F1874" s="8">
        <v>0</v>
      </c>
      <c r="G1874" s="8">
        <v>24</v>
      </c>
      <c r="H1874" s="8" t="s">
        <v>54376</v>
      </c>
      <c r="I1874" s="8">
        <v>526.6875</v>
      </c>
      <c r="J1874" s="3">
        <f t="shared" si="29"/>
        <v>43749.553132187495</v>
      </c>
    </row>
    <row r="1875" spans="1:10" x14ac:dyDescent="0.25">
      <c r="A1875" s="5" t="s">
        <v>54377</v>
      </c>
      <c r="B1875" s="6">
        <v>393.75</v>
      </c>
      <c r="C1875" s="6">
        <v>20.584240000000001</v>
      </c>
      <c r="D1875" s="6">
        <v>48</v>
      </c>
      <c r="E1875" s="6">
        <v>0</v>
      </c>
      <c r="F1875" s="6">
        <v>0</v>
      </c>
      <c r="G1875" s="6">
        <v>19</v>
      </c>
      <c r="H1875" s="6" t="s">
        <v>54378</v>
      </c>
      <c r="I1875" s="6">
        <v>526.6875</v>
      </c>
      <c r="J1875" s="2">
        <f t="shared" si="29"/>
        <v>43749.553203831012</v>
      </c>
    </row>
    <row r="1876" spans="1:10" x14ac:dyDescent="0.25">
      <c r="A1876" s="7" t="s">
        <v>54379</v>
      </c>
      <c r="B1876" s="8">
        <v>393.75</v>
      </c>
      <c r="C1876" s="8">
        <v>20.584240000000001</v>
      </c>
      <c r="D1876" s="8">
        <v>47</v>
      </c>
      <c r="E1876" s="8">
        <v>0</v>
      </c>
      <c r="F1876" s="8">
        <v>0</v>
      </c>
      <c r="G1876" s="8">
        <v>22</v>
      </c>
      <c r="H1876" s="8" t="s">
        <v>54380</v>
      </c>
      <c r="I1876" s="8">
        <v>526.6875</v>
      </c>
      <c r="J1876" s="3">
        <f t="shared" si="29"/>
        <v>43749.553287303243</v>
      </c>
    </row>
    <row r="1877" spans="1:10" x14ac:dyDescent="0.25">
      <c r="A1877" s="5" t="s">
        <v>54381</v>
      </c>
      <c r="B1877" s="6">
        <v>393.75</v>
      </c>
      <c r="C1877" s="6">
        <v>20.584240000000001</v>
      </c>
      <c r="D1877" s="6">
        <v>48</v>
      </c>
      <c r="E1877" s="6">
        <v>0</v>
      </c>
      <c r="F1877" s="6">
        <v>0</v>
      </c>
      <c r="G1877" s="6">
        <v>18</v>
      </c>
      <c r="H1877" s="6" t="s">
        <v>54382</v>
      </c>
      <c r="I1877" s="6">
        <v>526.6875</v>
      </c>
      <c r="J1877" s="2">
        <f t="shared" si="29"/>
        <v>43749.553371226844</v>
      </c>
    </row>
    <row r="1878" spans="1:10" x14ac:dyDescent="0.25">
      <c r="A1878" s="7" t="s">
        <v>54383</v>
      </c>
      <c r="B1878" s="8">
        <v>393.75</v>
      </c>
      <c r="C1878" s="8">
        <v>20.584240000000001</v>
      </c>
      <c r="D1878" s="8">
        <v>48</v>
      </c>
      <c r="E1878" s="8">
        <v>0</v>
      </c>
      <c r="F1878" s="8">
        <v>0</v>
      </c>
      <c r="G1878" s="8">
        <v>27</v>
      </c>
      <c r="H1878" s="8" t="s">
        <v>54384</v>
      </c>
      <c r="I1878" s="8">
        <v>526.6875</v>
      </c>
      <c r="J1878" s="3">
        <f t="shared" si="29"/>
        <v>43749.55345417824</v>
      </c>
    </row>
    <row r="1879" spans="1:10" x14ac:dyDescent="0.25">
      <c r="A1879" s="5" t="s">
        <v>54385</v>
      </c>
      <c r="B1879" s="6">
        <v>412.5</v>
      </c>
      <c r="C1879" s="6">
        <v>20.584240000000001</v>
      </c>
      <c r="D1879" s="6">
        <v>50</v>
      </c>
      <c r="E1879" s="6">
        <v>0</v>
      </c>
      <c r="F1879" s="6">
        <v>0</v>
      </c>
      <c r="G1879" s="6">
        <v>16</v>
      </c>
      <c r="H1879" s="6" t="s">
        <v>54386</v>
      </c>
      <c r="I1879" s="6">
        <v>532.3125</v>
      </c>
      <c r="J1879" s="2">
        <f t="shared" si="29"/>
        <v>43749.553525810181</v>
      </c>
    </row>
    <row r="1880" spans="1:10" x14ac:dyDescent="0.25">
      <c r="A1880" s="7" t="s">
        <v>54387</v>
      </c>
      <c r="B1880" s="8">
        <v>393.75</v>
      </c>
      <c r="C1880" s="8">
        <v>20.531590000000001</v>
      </c>
      <c r="D1880" s="8">
        <v>49</v>
      </c>
      <c r="E1880" s="8">
        <v>0</v>
      </c>
      <c r="F1880" s="8">
        <v>0</v>
      </c>
      <c r="G1880" s="8">
        <v>24</v>
      </c>
      <c r="H1880" s="8" t="s">
        <v>54388</v>
      </c>
      <c r="I1880" s="8">
        <v>526.6875</v>
      </c>
      <c r="J1880" s="3">
        <f t="shared" si="29"/>
        <v>43749.553621203704</v>
      </c>
    </row>
    <row r="1881" spans="1:10" x14ac:dyDescent="0.25">
      <c r="A1881" s="5" t="s">
        <v>54389</v>
      </c>
      <c r="B1881" s="6">
        <v>418.75</v>
      </c>
      <c r="C1881" s="6">
        <v>20.531590000000001</v>
      </c>
      <c r="D1881" s="6">
        <v>47</v>
      </c>
      <c r="E1881" s="6">
        <v>0</v>
      </c>
      <c r="F1881" s="6">
        <v>0</v>
      </c>
      <c r="G1881" s="6">
        <v>15</v>
      </c>
      <c r="H1881" s="6" t="s">
        <v>54390</v>
      </c>
      <c r="I1881" s="6">
        <v>534.375</v>
      </c>
      <c r="J1881" s="2">
        <f t="shared" si="29"/>
        <v>43749.553704548605</v>
      </c>
    </row>
    <row r="1882" spans="1:10" x14ac:dyDescent="0.25">
      <c r="A1882" s="7" t="s">
        <v>54391</v>
      </c>
      <c r="B1882" s="8">
        <v>393.75</v>
      </c>
      <c r="C1882" s="8">
        <v>20.531590000000001</v>
      </c>
      <c r="D1882" s="8">
        <v>47</v>
      </c>
      <c r="E1882" s="8">
        <v>0</v>
      </c>
      <c r="F1882" s="8">
        <v>0</v>
      </c>
      <c r="G1882" s="8">
        <v>24</v>
      </c>
      <c r="H1882" s="8" t="s">
        <v>54392</v>
      </c>
      <c r="I1882" s="8">
        <v>526.6875</v>
      </c>
      <c r="J1882" s="3">
        <f t="shared" si="29"/>
        <v>43749.553787743054</v>
      </c>
    </row>
    <row r="1883" spans="1:10" x14ac:dyDescent="0.25">
      <c r="A1883" s="5" t="s">
        <v>54393</v>
      </c>
      <c r="B1883" s="6">
        <v>393.75</v>
      </c>
      <c r="C1883" s="6">
        <v>20.584240000000001</v>
      </c>
      <c r="D1883" s="6">
        <v>47</v>
      </c>
      <c r="E1883" s="6">
        <v>0</v>
      </c>
      <c r="F1883" s="6">
        <v>0</v>
      </c>
      <c r="G1883" s="6">
        <v>21</v>
      </c>
      <c r="H1883" s="6" t="s">
        <v>54394</v>
      </c>
      <c r="I1883" s="6">
        <v>526.6875</v>
      </c>
      <c r="J1883" s="2">
        <f t="shared" si="29"/>
        <v>43749.553859733795</v>
      </c>
    </row>
    <row r="1884" spans="1:10" x14ac:dyDescent="0.25">
      <c r="A1884" s="7" t="s">
        <v>54395</v>
      </c>
      <c r="B1884" s="8">
        <v>393.75</v>
      </c>
      <c r="C1884" s="8">
        <v>20.531590000000001</v>
      </c>
      <c r="D1884" s="8">
        <v>47</v>
      </c>
      <c r="E1884" s="8">
        <v>0</v>
      </c>
      <c r="F1884" s="8">
        <v>0</v>
      </c>
      <c r="G1884" s="8">
        <v>19</v>
      </c>
      <c r="H1884" s="8" t="s">
        <v>54396</v>
      </c>
      <c r="I1884" s="8">
        <v>526.6875</v>
      </c>
      <c r="J1884" s="3">
        <f t="shared" si="29"/>
        <v>43749.553943206018</v>
      </c>
    </row>
    <row r="1885" spans="1:10" x14ac:dyDescent="0.25">
      <c r="A1885" s="5" t="s">
        <v>54397</v>
      </c>
      <c r="B1885" s="6">
        <v>393.75</v>
      </c>
      <c r="C1885" s="6">
        <v>20.584240000000001</v>
      </c>
      <c r="D1885" s="6">
        <v>46</v>
      </c>
      <c r="E1885" s="6">
        <v>0</v>
      </c>
      <c r="F1885" s="6">
        <v>0</v>
      </c>
      <c r="G1885" s="6">
        <v>18</v>
      </c>
      <c r="H1885" s="6" t="s">
        <v>54398</v>
      </c>
      <c r="I1885" s="6">
        <v>526.6875</v>
      </c>
      <c r="J1885" s="2">
        <f t="shared" si="29"/>
        <v>43749.554026747683</v>
      </c>
    </row>
    <row r="1886" spans="1:10" x14ac:dyDescent="0.25">
      <c r="A1886" s="7" t="s">
        <v>54399</v>
      </c>
      <c r="B1886" s="8">
        <v>393.75</v>
      </c>
      <c r="C1886" s="8">
        <v>20.531590000000001</v>
      </c>
      <c r="D1886" s="8">
        <v>47</v>
      </c>
      <c r="E1886" s="8">
        <v>0</v>
      </c>
      <c r="F1886" s="8">
        <v>0</v>
      </c>
      <c r="G1886" s="8">
        <v>18</v>
      </c>
      <c r="H1886" s="8" t="s">
        <v>54400</v>
      </c>
      <c r="I1886" s="8">
        <v>526.6875</v>
      </c>
      <c r="J1886" s="3">
        <f t="shared" si="29"/>
        <v>43749.554109861107</v>
      </c>
    </row>
    <row r="1887" spans="1:10" x14ac:dyDescent="0.25">
      <c r="A1887" s="5" t="s">
        <v>54401</v>
      </c>
      <c r="B1887" s="6">
        <v>393.75</v>
      </c>
      <c r="C1887" s="6">
        <v>20.531590000000001</v>
      </c>
      <c r="D1887" s="6">
        <v>49</v>
      </c>
      <c r="E1887" s="6">
        <v>0</v>
      </c>
      <c r="F1887" s="6">
        <v>0</v>
      </c>
      <c r="G1887" s="6">
        <v>12</v>
      </c>
      <c r="H1887" s="6" t="s">
        <v>54402</v>
      </c>
      <c r="I1887" s="6">
        <v>526.6875</v>
      </c>
      <c r="J1887" s="2">
        <f t="shared" si="29"/>
        <v>43749.5541934375</v>
      </c>
    </row>
    <row r="1888" spans="1:10" x14ac:dyDescent="0.25">
      <c r="A1888" s="7" t="s">
        <v>54403</v>
      </c>
      <c r="B1888" s="8">
        <v>393.75</v>
      </c>
      <c r="C1888" s="8">
        <v>20.531590000000001</v>
      </c>
      <c r="D1888" s="8">
        <v>49</v>
      </c>
      <c r="E1888" s="8">
        <v>0</v>
      </c>
      <c r="F1888" s="8">
        <v>0</v>
      </c>
      <c r="G1888" s="8">
        <v>18</v>
      </c>
      <c r="H1888" s="8" t="s">
        <v>54404</v>
      </c>
      <c r="I1888" s="8">
        <v>526.6875</v>
      </c>
      <c r="J1888" s="3">
        <f t="shared" si="29"/>
        <v>43749.554264837956</v>
      </c>
    </row>
    <row r="1889" spans="1:10" x14ac:dyDescent="0.25">
      <c r="A1889" s="5" t="s">
        <v>54405</v>
      </c>
      <c r="B1889" s="6">
        <v>412.5</v>
      </c>
      <c r="C1889" s="6">
        <v>20.584240000000001</v>
      </c>
      <c r="D1889" s="6">
        <v>48</v>
      </c>
      <c r="E1889" s="6">
        <v>0</v>
      </c>
      <c r="F1889" s="6">
        <v>0</v>
      </c>
      <c r="G1889" s="6">
        <v>9</v>
      </c>
      <c r="H1889" s="6" t="s">
        <v>54406</v>
      </c>
      <c r="I1889" s="6">
        <v>532.875</v>
      </c>
      <c r="J1889" s="2">
        <f t="shared" si="29"/>
        <v>43749.55433684028</v>
      </c>
    </row>
    <row r="1890" spans="1:10" x14ac:dyDescent="0.25">
      <c r="A1890" s="7" t="s">
        <v>54407</v>
      </c>
      <c r="B1890" s="8">
        <v>393.75</v>
      </c>
      <c r="C1890" s="8">
        <v>20.531590000000001</v>
      </c>
      <c r="D1890" s="8">
        <v>48</v>
      </c>
      <c r="E1890" s="8">
        <v>0</v>
      </c>
      <c r="F1890" s="8">
        <v>0</v>
      </c>
      <c r="G1890" s="8">
        <v>9</v>
      </c>
      <c r="H1890" s="8" t="s">
        <v>54408</v>
      </c>
      <c r="I1890" s="8">
        <v>526.6875</v>
      </c>
      <c r="J1890" s="3">
        <f t="shared" si="29"/>
        <v>43749.554420289351</v>
      </c>
    </row>
    <row r="1891" spans="1:10" x14ac:dyDescent="0.25">
      <c r="A1891" s="5" t="s">
        <v>54409</v>
      </c>
      <c r="B1891" s="6">
        <v>393.75</v>
      </c>
      <c r="C1891" s="6">
        <v>20.584240000000001</v>
      </c>
      <c r="D1891" s="6">
        <v>48</v>
      </c>
      <c r="E1891" s="6">
        <v>0</v>
      </c>
      <c r="F1891" s="6">
        <v>0</v>
      </c>
      <c r="G1891" s="6">
        <v>15</v>
      </c>
      <c r="H1891" s="6" t="s">
        <v>54410</v>
      </c>
      <c r="I1891" s="6">
        <v>526.6875</v>
      </c>
      <c r="J1891" s="2">
        <f t="shared" si="29"/>
        <v>43749.554492002317</v>
      </c>
    </row>
    <row r="1892" spans="1:10" x14ac:dyDescent="0.25">
      <c r="A1892" s="7" t="s">
        <v>54411</v>
      </c>
      <c r="B1892" s="8">
        <v>393.75</v>
      </c>
      <c r="C1892" s="8">
        <v>20.584240000000001</v>
      </c>
      <c r="D1892" s="8">
        <v>49</v>
      </c>
      <c r="E1892" s="8">
        <v>0</v>
      </c>
      <c r="F1892" s="8">
        <v>0</v>
      </c>
      <c r="G1892" s="8">
        <v>15</v>
      </c>
      <c r="H1892" s="8" t="s">
        <v>54412</v>
      </c>
      <c r="I1892" s="8">
        <v>526.6875</v>
      </c>
      <c r="J1892" s="3">
        <f t="shared" si="29"/>
        <v>43749.554575011571</v>
      </c>
    </row>
    <row r="1893" spans="1:10" x14ac:dyDescent="0.25">
      <c r="A1893" s="5" t="s">
        <v>54413</v>
      </c>
      <c r="B1893" s="6">
        <v>393.75</v>
      </c>
      <c r="C1893" s="6">
        <v>20.531590000000001</v>
      </c>
      <c r="D1893" s="6">
        <v>49</v>
      </c>
      <c r="E1893" s="6">
        <v>0</v>
      </c>
      <c r="F1893" s="6">
        <v>0</v>
      </c>
      <c r="G1893" s="6">
        <v>16</v>
      </c>
      <c r="H1893" s="6" t="s">
        <v>54414</v>
      </c>
      <c r="I1893" s="6">
        <v>526.6875</v>
      </c>
      <c r="J1893" s="2">
        <f t="shared" si="29"/>
        <v>43749.554646655095</v>
      </c>
    </row>
    <row r="1894" spans="1:10" x14ac:dyDescent="0.25">
      <c r="A1894" s="7" t="s">
        <v>54415</v>
      </c>
      <c r="B1894" s="8">
        <v>393.75</v>
      </c>
      <c r="C1894" s="8">
        <v>20.531590000000001</v>
      </c>
      <c r="D1894" s="8">
        <v>50</v>
      </c>
      <c r="E1894" s="8">
        <v>0</v>
      </c>
      <c r="F1894" s="8">
        <v>0</v>
      </c>
      <c r="G1894" s="8">
        <v>20</v>
      </c>
      <c r="H1894" s="8" t="s">
        <v>54416</v>
      </c>
      <c r="I1894" s="8">
        <v>526.6875</v>
      </c>
      <c r="J1894" s="3">
        <f t="shared" si="29"/>
        <v>43749.554730520831</v>
      </c>
    </row>
    <row r="1895" spans="1:10" x14ac:dyDescent="0.25">
      <c r="A1895" s="5" t="s">
        <v>54417</v>
      </c>
      <c r="B1895" s="6">
        <v>393.75</v>
      </c>
      <c r="C1895" s="6">
        <v>20.584240000000001</v>
      </c>
      <c r="D1895" s="6">
        <v>49</v>
      </c>
      <c r="E1895" s="6">
        <v>0</v>
      </c>
      <c r="F1895" s="6">
        <v>0</v>
      </c>
      <c r="G1895" s="6">
        <v>26</v>
      </c>
      <c r="H1895" s="6" t="s">
        <v>54418</v>
      </c>
      <c r="I1895" s="6">
        <v>526.6875</v>
      </c>
      <c r="J1895" s="2">
        <f t="shared" si="29"/>
        <v>43749.55481390046</v>
      </c>
    </row>
    <row r="1896" spans="1:10" x14ac:dyDescent="0.25">
      <c r="A1896" s="7" t="s">
        <v>54419</v>
      </c>
      <c r="B1896" s="8">
        <v>393.75</v>
      </c>
      <c r="C1896" s="8">
        <v>20.584240000000001</v>
      </c>
      <c r="D1896" s="8">
        <v>49</v>
      </c>
      <c r="E1896" s="8">
        <v>0</v>
      </c>
      <c r="F1896" s="8">
        <v>0</v>
      </c>
      <c r="G1896" s="8">
        <v>26</v>
      </c>
      <c r="H1896" s="8" t="s">
        <v>54420</v>
      </c>
      <c r="I1896" s="8">
        <v>526.6875</v>
      </c>
      <c r="J1896" s="3">
        <f t="shared" si="29"/>
        <v>43749.554897141199</v>
      </c>
    </row>
    <row r="1897" spans="1:10" x14ac:dyDescent="0.25">
      <c r="A1897" s="5" t="s">
        <v>54421</v>
      </c>
      <c r="B1897" s="6">
        <v>393.75</v>
      </c>
      <c r="C1897" s="6">
        <v>20.531590000000001</v>
      </c>
      <c r="D1897" s="6">
        <v>49</v>
      </c>
      <c r="E1897" s="6">
        <v>0</v>
      </c>
      <c r="F1897" s="6">
        <v>0</v>
      </c>
      <c r="G1897" s="6">
        <v>13</v>
      </c>
      <c r="H1897" s="6" t="s">
        <v>54422</v>
      </c>
      <c r="I1897" s="6">
        <v>526.6875</v>
      </c>
      <c r="J1897" s="2">
        <f t="shared" si="29"/>
        <v>43749.554980578701</v>
      </c>
    </row>
    <row r="1898" spans="1:10" x14ac:dyDescent="0.25">
      <c r="A1898" s="7" t="s">
        <v>54423</v>
      </c>
      <c r="B1898" s="8">
        <v>393.75</v>
      </c>
      <c r="C1898" s="8">
        <v>20.584240000000001</v>
      </c>
      <c r="D1898" s="8">
        <v>46</v>
      </c>
      <c r="E1898" s="8">
        <v>0</v>
      </c>
      <c r="F1898" s="8">
        <v>0</v>
      </c>
      <c r="G1898" s="8">
        <v>22</v>
      </c>
      <c r="H1898" s="8" t="s">
        <v>54424</v>
      </c>
      <c r="I1898" s="8">
        <v>526.6875</v>
      </c>
      <c r="J1898" s="3">
        <f t="shared" si="29"/>
        <v>43749.555064479166</v>
      </c>
    </row>
    <row r="1899" spans="1:10" x14ac:dyDescent="0.25">
      <c r="A1899" s="5" t="s">
        <v>54425</v>
      </c>
      <c r="B1899" s="6">
        <v>393.75</v>
      </c>
      <c r="C1899" s="6">
        <v>20.531590000000001</v>
      </c>
      <c r="D1899" s="6">
        <v>46</v>
      </c>
      <c r="E1899" s="6">
        <v>0</v>
      </c>
      <c r="F1899" s="6">
        <v>0</v>
      </c>
      <c r="G1899" s="6">
        <v>17</v>
      </c>
      <c r="H1899" s="6" t="s">
        <v>54426</v>
      </c>
      <c r="I1899" s="6">
        <v>526.6875</v>
      </c>
      <c r="J1899" s="2">
        <f t="shared" si="29"/>
        <v>43749.555135891198</v>
      </c>
    </row>
    <row r="1900" spans="1:10" x14ac:dyDescent="0.25">
      <c r="A1900" s="7" t="s">
        <v>54427</v>
      </c>
      <c r="B1900" s="8">
        <v>412.5</v>
      </c>
      <c r="C1900" s="8">
        <v>20.478950000000001</v>
      </c>
      <c r="D1900" s="8">
        <v>46</v>
      </c>
      <c r="E1900" s="8">
        <v>0</v>
      </c>
      <c r="F1900" s="8">
        <v>0</v>
      </c>
      <c r="G1900" s="8">
        <v>8</v>
      </c>
      <c r="H1900" s="8" t="s">
        <v>54428</v>
      </c>
      <c r="I1900" s="8">
        <v>532.5</v>
      </c>
      <c r="J1900" s="3">
        <f t="shared" si="29"/>
        <v>43749.555219571754</v>
      </c>
    </row>
    <row r="1901" spans="1:10" x14ac:dyDescent="0.25">
      <c r="A1901" s="5" t="s">
        <v>54429</v>
      </c>
      <c r="B1901" s="6">
        <v>393.75</v>
      </c>
      <c r="C1901" s="6">
        <v>20.531590000000001</v>
      </c>
      <c r="D1901" s="6">
        <v>45</v>
      </c>
      <c r="E1901" s="6">
        <v>0</v>
      </c>
      <c r="F1901" s="6">
        <v>0</v>
      </c>
      <c r="G1901" s="6">
        <v>18</v>
      </c>
      <c r="H1901" s="6" t="s">
        <v>54430</v>
      </c>
      <c r="I1901" s="6">
        <v>526.6875</v>
      </c>
      <c r="J1901" s="2">
        <f t="shared" si="29"/>
        <v>43749.555302905086</v>
      </c>
    </row>
    <row r="1902" spans="1:10" x14ac:dyDescent="0.25">
      <c r="A1902" s="7" t="s">
        <v>54431</v>
      </c>
      <c r="B1902" s="8">
        <v>393.75</v>
      </c>
      <c r="C1902" s="8">
        <v>20.531590000000001</v>
      </c>
      <c r="D1902" s="8">
        <v>47</v>
      </c>
      <c r="E1902" s="8">
        <v>0</v>
      </c>
      <c r="F1902" s="8">
        <v>0</v>
      </c>
      <c r="G1902" s="8">
        <v>15</v>
      </c>
      <c r="H1902" s="8" t="s">
        <v>54432</v>
      </c>
      <c r="I1902" s="8">
        <v>526.6875</v>
      </c>
      <c r="J1902" s="3">
        <f t="shared" si="29"/>
        <v>43749.555386215274</v>
      </c>
    </row>
    <row r="1903" spans="1:10" x14ac:dyDescent="0.25">
      <c r="A1903" s="5" t="s">
        <v>54433</v>
      </c>
      <c r="B1903" s="6">
        <v>393.75</v>
      </c>
      <c r="C1903" s="6">
        <v>20.584240000000001</v>
      </c>
      <c r="D1903" s="6">
        <v>47</v>
      </c>
      <c r="E1903" s="6">
        <v>0</v>
      </c>
      <c r="F1903" s="6">
        <v>0</v>
      </c>
      <c r="G1903" s="6">
        <v>25</v>
      </c>
      <c r="H1903" s="6" t="s">
        <v>54434</v>
      </c>
      <c r="I1903" s="6">
        <v>526.6875</v>
      </c>
      <c r="J1903" s="2">
        <f t="shared" si="29"/>
        <v>43749.555457789349</v>
      </c>
    </row>
    <row r="1904" spans="1:10" x14ac:dyDescent="0.25">
      <c r="A1904" s="7" t="s">
        <v>54435</v>
      </c>
      <c r="B1904" s="8">
        <v>393.75</v>
      </c>
      <c r="C1904" s="8">
        <v>20.584240000000001</v>
      </c>
      <c r="D1904" s="8">
        <v>45</v>
      </c>
      <c r="E1904" s="8">
        <v>0</v>
      </c>
      <c r="F1904" s="8">
        <v>0</v>
      </c>
      <c r="G1904" s="8">
        <v>21</v>
      </c>
      <c r="H1904" s="8" t="s">
        <v>54436</v>
      </c>
      <c r="I1904" s="8">
        <v>526.6875</v>
      </c>
      <c r="J1904" s="3">
        <f t="shared" si="29"/>
        <v>43749.555541574075</v>
      </c>
    </row>
    <row r="1905" spans="1:10" x14ac:dyDescent="0.25">
      <c r="A1905" s="5" t="s">
        <v>54437</v>
      </c>
      <c r="B1905" s="6">
        <v>393.75</v>
      </c>
      <c r="C1905" s="6">
        <v>20.584240000000001</v>
      </c>
      <c r="D1905" s="6">
        <v>46</v>
      </c>
      <c r="E1905" s="6">
        <v>0</v>
      </c>
      <c r="F1905" s="6">
        <v>0</v>
      </c>
      <c r="G1905" s="6">
        <v>23</v>
      </c>
      <c r="H1905" s="6" t="s">
        <v>54438</v>
      </c>
      <c r="I1905" s="6">
        <v>526.6875</v>
      </c>
      <c r="J1905" s="2">
        <f t="shared" si="29"/>
        <v>43749.555636956014</v>
      </c>
    </row>
    <row r="1906" spans="1:10" x14ac:dyDescent="0.25">
      <c r="A1906" s="7" t="s">
        <v>54439</v>
      </c>
      <c r="B1906" s="8">
        <v>393.75</v>
      </c>
      <c r="C1906" s="8">
        <v>20.584240000000001</v>
      </c>
      <c r="D1906" s="8">
        <v>47</v>
      </c>
      <c r="E1906" s="8">
        <v>0</v>
      </c>
      <c r="F1906" s="8">
        <v>0</v>
      </c>
      <c r="G1906" s="8">
        <v>22</v>
      </c>
      <c r="H1906" s="8" t="s">
        <v>54440</v>
      </c>
      <c r="I1906" s="8">
        <v>526.6875</v>
      </c>
      <c r="J1906" s="3">
        <f t="shared" si="29"/>
        <v>43749.555720370372</v>
      </c>
    </row>
    <row r="1907" spans="1:10" x14ac:dyDescent="0.25">
      <c r="A1907" s="5" t="s">
        <v>54441</v>
      </c>
      <c r="B1907" s="6">
        <v>412.5</v>
      </c>
      <c r="C1907" s="6">
        <v>20.584240000000001</v>
      </c>
      <c r="D1907" s="6">
        <v>47</v>
      </c>
      <c r="E1907" s="6">
        <v>0</v>
      </c>
      <c r="F1907" s="6">
        <v>0</v>
      </c>
      <c r="G1907" s="6">
        <v>17</v>
      </c>
      <c r="H1907" s="6" t="s">
        <v>54442</v>
      </c>
      <c r="I1907" s="6">
        <v>532.5</v>
      </c>
      <c r="J1907" s="2">
        <f t="shared" si="29"/>
        <v>43749.555791643514</v>
      </c>
    </row>
    <row r="1908" spans="1:10" x14ac:dyDescent="0.25">
      <c r="A1908" s="7" t="s">
        <v>54443</v>
      </c>
      <c r="B1908" s="8">
        <v>393.75</v>
      </c>
      <c r="C1908" s="8">
        <v>20.584240000000001</v>
      </c>
      <c r="D1908" s="8">
        <v>48</v>
      </c>
      <c r="E1908" s="8">
        <v>0</v>
      </c>
      <c r="F1908" s="8">
        <v>0</v>
      </c>
      <c r="G1908" s="8">
        <v>14</v>
      </c>
      <c r="H1908" s="8" t="s">
        <v>54444</v>
      </c>
      <c r="I1908" s="8">
        <v>526.6875</v>
      </c>
      <c r="J1908" s="3">
        <f t="shared" si="29"/>
        <v>43749.555887407405</v>
      </c>
    </row>
    <row r="1909" spans="1:10" x14ac:dyDescent="0.25">
      <c r="A1909" s="5" t="s">
        <v>54445</v>
      </c>
      <c r="B1909" s="6">
        <v>393.75</v>
      </c>
      <c r="C1909" s="6">
        <v>20.584240000000001</v>
      </c>
      <c r="D1909" s="6">
        <v>48</v>
      </c>
      <c r="E1909" s="6">
        <v>0</v>
      </c>
      <c r="F1909" s="6">
        <v>0</v>
      </c>
      <c r="G1909" s="6">
        <v>19</v>
      </c>
      <c r="H1909" s="6" t="s">
        <v>54446</v>
      </c>
      <c r="I1909" s="6">
        <v>526.6875</v>
      </c>
      <c r="J1909" s="2">
        <f t="shared" si="29"/>
        <v>43749.555970844907</v>
      </c>
    </row>
    <row r="1910" spans="1:10" x14ac:dyDescent="0.25">
      <c r="A1910" s="7" t="s">
        <v>54447</v>
      </c>
      <c r="B1910" s="8">
        <v>393.75</v>
      </c>
      <c r="C1910" s="8">
        <v>20.531590000000001</v>
      </c>
      <c r="D1910" s="8">
        <v>47</v>
      </c>
      <c r="E1910" s="8">
        <v>0</v>
      </c>
      <c r="F1910" s="8">
        <v>0</v>
      </c>
      <c r="G1910" s="8">
        <v>17</v>
      </c>
      <c r="H1910" s="8" t="s">
        <v>54448</v>
      </c>
      <c r="I1910" s="8">
        <v>526.6875</v>
      </c>
      <c r="J1910" s="3">
        <f t="shared" si="29"/>
        <v>43749.556054444438</v>
      </c>
    </row>
    <row r="1911" spans="1:10" x14ac:dyDescent="0.25">
      <c r="A1911" s="5" t="s">
        <v>54449</v>
      </c>
      <c r="B1911" s="6">
        <v>393.75</v>
      </c>
      <c r="C1911" s="6">
        <v>20.531590000000001</v>
      </c>
      <c r="D1911" s="6">
        <v>47</v>
      </c>
      <c r="E1911" s="6">
        <v>0</v>
      </c>
      <c r="F1911" s="6">
        <v>0</v>
      </c>
      <c r="G1911" s="6">
        <v>12</v>
      </c>
      <c r="H1911" s="6" t="s">
        <v>54450</v>
      </c>
      <c r="I1911" s="6">
        <v>526.6875</v>
      </c>
      <c r="J1911" s="2">
        <f t="shared" si="29"/>
        <v>43749.556137870364</v>
      </c>
    </row>
    <row r="1912" spans="1:10" x14ac:dyDescent="0.25">
      <c r="A1912" s="7" t="s">
        <v>54451</v>
      </c>
      <c r="B1912" s="8">
        <v>393.75</v>
      </c>
      <c r="C1912" s="8">
        <v>20.478950000000001</v>
      </c>
      <c r="D1912" s="8">
        <v>47</v>
      </c>
      <c r="E1912" s="8">
        <v>0</v>
      </c>
      <c r="F1912" s="8">
        <v>0</v>
      </c>
      <c r="G1912" s="8">
        <v>9</v>
      </c>
      <c r="H1912" s="8" t="s">
        <v>54452</v>
      </c>
      <c r="I1912" s="8">
        <v>526.6875</v>
      </c>
      <c r="J1912" s="3">
        <f t="shared" si="29"/>
        <v>43749.556233344905</v>
      </c>
    </row>
    <row r="1913" spans="1:10" x14ac:dyDescent="0.25">
      <c r="A1913" s="5" t="s">
        <v>54453</v>
      </c>
      <c r="B1913" s="6">
        <v>393.75</v>
      </c>
      <c r="C1913" s="6">
        <v>20.531590000000001</v>
      </c>
      <c r="D1913" s="6">
        <v>48</v>
      </c>
      <c r="E1913" s="6">
        <v>0</v>
      </c>
      <c r="F1913" s="6">
        <v>0</v>
      </c>
      <c r="G1913" s="6">
        <v>14</v>
      </c>
      <c r="H1913" s="6" t="s">
        <v>54454</v>
      </c>
      <c r="I1913" s="6">
        <v>526.6875</v>
      </c>
      <c r="J1913" s="2">
        <f t="shared" si="29"/>
        <v>43749.556316793976</v>
      </c>
    </row>
    <row r="1914" spans="1:10" x14ac:dyDescent="0.25">
      <c r="A1914" s="7" t="s">
        <v>54455</v>
      </c>
      <c r="B1914" s="8">
        <v>393.75</v>
      </c>
      <c r="C1914" s="8">
        <v>20.531590000000001</v>
      </c>
      <c r="D1914" s="8">
        <v>43</v>
      </c>
      <c r="E1914" s="8">
        <v>0</v>
      </c>
      <c r="F1914" s="8">
        <v>0</v>
      </c>
      <c r="G1914" s="8">
        <v>25</v>
      </c>
      <c r="H1914" s="8" t="s">
        <v>54456</v>
      </c>
      <c r="I1914" s="8">
        <v>526.6875</v>
      </c>
      <c r="J1914" s="3">
        <f t="shared" si="29"/>
        <v>43749.556400243055</v>
      </c>
    </row>
    <row r="1915" spans="1:10" x14ac:dyDescent="0.25">
      <c r="A1915" s="5" t="s">
        <v>54457</v>
      </c>
      <c r="B1915" s="6">
        <v>393.75</v>
      </c>
      <c r="C1915" s="6">
        <v>20.531590000000001</v>
      </c>
      <c r="D1915" s="6">
        <v>44</v>
      </c>
      <c r="E1915" s="6">
        <v>0</v>
      </c>
      <c r="F1915" s="6">
        <v>0</v>
      </c>
      <c r="G1915" s="6">
        <v>29</v>
      </c>
      <c r="H1915" s="6" t="s">
        <v>54458</v>
      </c>
      <c r="I1915" s="6">
        <v>526.6875</v>
      </c>
      <c r="J1915" s="2">
        <f t="shared" si="29"/>
        <v>43749.556483715271</v>
      </c>
    </row>
    <row r="1916" spans="1:10" x14ac:dyDescent="0.25">
      <c r="A1916" s="7" t="s">
        <v>54459</v>
      </c>
      <c r="B1916" s="8">
        <v>393.75</v>
      </c>
      <c r="C1916" s="8">
        <v>20.584240000000001</v>
      </c>
      <c r="D1916" s="8">
        <v>45</v>
      </c>
      <c r="E1916" s="8">
        <v>0</v>
      </c>
      <c r="F1916" s="8">
        <v>0</v>
      </c>
      <c r="G1916" s="8">
        <v>18</v>
      </c>
      <c r="H1916" s="8" t="s">
        <v>54460</v>
      </c>
      <c r="I1916" s="8">
        <v>526.6875</v>
      </c>
      <c r="J1916" s="3">
        <f t="shared" si="29"/>
        <v>43749.556566921296</v>
      </c>
    </row>
    <row r="1917" spans="1:10" x14ac:dyDescent="0.25">
      <c r="A1917" s="5" t="s">
        <v>54461</v>
      </c>
      <c r="B1917" s="6">
        <v>393.75</v>
      </c>
      <c r="C1917" s="6">
        <v>20.584240000000001</v>
      </c>
      <c r="D1917" s="6">
        <v>46</v>
      </c>
      <c r="E1917" s="6">
        <v>0</v>
      </c>
      <c r="F1917" s="6">
        <v>0</v>
      </c>
      <c r="G1917" s="6">
        <v>18</v>
      </c>
      <c r="H1917" s="6" t="s">
        <v>54462</v>
      </c>
      <c r="I1917" s="6">
        <v>526.6875</v>
      </c>
      <c r="J1917" s="2">
        <f t="shared" si="29"/>
        <v>43749.556650706021</v>
      </c>
    </row>
    <row r="1918" spans="1:10" x14ac:dyDescent="0.25">
      <c r="A1918" s="7" t="s">
        <v>54463</v>
      </c>
      <c r="B1918" s="8">
        <v>412.5</v>
      </c>
      <c r="C1918" s="8">
        <v>20.531590000000001</v>
      </c>
      <c r="D1918" s="8">
        <v>45</v>
      </c>
      <c r="E1918" s="8">
        <v>0</v>
      </c>
      <c r="F1918" s="8">
        <v>0</v>
      </c>
      <c r="G1918" s="8">
        <v>17</v>
      </c>
      <c r="H1918" s="8" t="s">
        <v>54464</v>
      </c>
      <c r="I1918" s="8">
        <v>532.3125</v>
      </c>
      <c r="J1918" s="3">
        <f t="shared" si="29"/>
        <v>43749.556734166668</v>
      </c>
    </row>
    <row r="1919" spans="1:10" x14ac:dyDescent="0.25">
      <c r="A1919" s="5" t="s">
        <v>54465</v>
      </c>
      <c r="B1919" s="6">
        <v>393.75</v>
      </c>
      <c r="C1919" s="6">
        <v>20.584240000000001</v>
      </c>
      <c r="D1919" s="6">
        <v>44</v>
      </c>
      <c r="E1919" s="6">
        <v>0</v>
      </c>
      <c r="F1919" s="6">
        <v>0</v>
      </c>
      <c r="G1919" s="6">
        <v>9</v>
      </c>
      <c r="H1919" s="6" t="s">
        <v>54466</v>
      </c>
      <c r="I1919" s="6">
        <v>526.6875</v>
      </c>
      <c r="J1919" s="2">
        <f t="shared" si="29"/>
        <v>43749.556817731478</v>
      </c>
    </row>
    <row r="1920" spans="1:10" x14ac:dyDescent="0.25">
      <c r="A1920" s="7" t="s">
        <v>54467</v>
      </c>
      <c r="B1920" s="8">
        <v>393.75</v>
      </c>
      <c r="C1920" s="8">
        <v>20.584240000000001</v>
      </c>
      <c r="D1920" s="8">
        <v>44</v>
      </c>
      <c r="E1920" s="8">
        <v>0</v>
      </c>
      <c r="F1920" s="8">
        <v>0</v>
      </c>
      <c r="G1920" s="8">
        <v>12</v>
      </c>
      <c r="H1920" s="8" t="s">
        <v>54468</v>
      </c>
      <c r="I1920" s="8">
        <v>526.6875</v>
      </c>
      <c r="J1920" s="3">
        <f t="shared" si="29"/>
        <v>43749.556900972217</v>
      </c>
    </row>
    <row r="1921" spans="1:10" x14ac:dyDescent="0.25">
      <c r="A1921" s="5" t="s">
        <v>54469</v>
      </c>
      <c r="B1921" s="6">
        <v>393.75</v>
      </c>
      <c r="C1921" s="6">
        <v>20.584240000000001</v>
      </c>
      <c r="D1921" s="6">
        <v>44</v>
      </c>
      <c r="E1921" s="6">
        <v>0</v>
      </c>
      <c r="F1921" s="6">
        <v>0</v>
      </c>
      <c r="G1921" s="6">
        <v>6</v>
      </c>
      <c r="H1921" s="6" t="s">
        <v>54470</v>
      </c>
      <c r="I1921" s="6">
        <v>526.6875</v>
      </c>
      <c r="J1921" s="2">
        <f t="shared" si="29"/>
        <v>43749.556972592589</v>
      </c>
    </row>
    <row r="1922" spans="1:10" x14ac:dyDescent="0.25">
      <c r="A1922" s="7" t="s">
        <v>54471</v>
      </c>
      <c r="B1922" s="8">
        <v>393.75</v>
      </c>
      <c r="C1922" s="8">
        <v>20.531590000000001</v>
      </c>
      <c r="D1922" s="8">
        <v>42</v>
      </c>
      <c r="E1922" s="8">
        <v>0</v>
      </c>
      <c r="F1922" s="8">
        <v>0</v>
      </c>
      <c r="G1922" s="8">
        <v>8</v>
      </c>
      <c r="H1922" s="8" t="s">
        <v>54472</v>
      </c>
      <c r="I1922" s="8">
        <v>526.6875</v>
      </c>
      <c r="J1922" s="3">
        <f t="shared" ref="J1922:J1985" si="30">(H1922/86400000)+25569+(7/24)</f>
        <v>43749.557056388883</v>
      </c>
    </row>
    <row r="1923" spans="1:10" x14ac:dyDescent="0.25">
      <c r="A1923" s="5" t="s">
        <v>54473</v>
      </c>
      <c r="B1923" s="6">
        <v>412.5</v>
      </c>
      <c r="C1923" s="6">
        <v>20.584240000000001</v>
      </c>
      <c r="D1923" s="6">
        <v>43</v>
      </c>
      <c r="E1923" s="6">
        <v>0</v>
      </c>
      <c r="F1923" s="6">
        <v>0</v>
      </c>
      <c r="G1923" s="6">
        <v>0</v>
      </c>
      <c r="H1923" s="6" t="s">
        <v>54474</v>
      </c>
      <c r="I1923" s="6">
        <v>532.5</v>
      </c>
      <c r="J1923" s="2">
        <f t="shared" si="30"/>
        <v>43749.557139722216</v>
      </c>
    </row>
    <row r="1924" spans="1:10" x14ac:dyDescent="0.25">
      <c r="A1924" s="7" t="s">
        <v>54475</v>
      </c>
      <c r="B1924" s="8">
        <v>393.75</v>
      </c>
      <c r="C1924" s="8">
        <v>20.531590000000001</v>
      </c>
      <c r="D1924" s="8">
        <v>43</v>
      </c>
      <c r="E1924" s="8">
        <v>0</v>
      </c>
      <c r="F1924" s="8">
        <v>0</v>
      </c>
      <c r="G1924" s="8">
        <v>0</v>
      </c>
      <c r="H1924" s="8" t="s">
        <v>54476</v>
      </c>
      <c r="I1924" s="8">
        <v>526.6875</v>
      </c>
      <c r="J1924" s="3">
        <f t="shared" si="30"/>
        <v>43749.557223055548</v>
      </c>
    </row>
    <row r="1925" spans="1:10" x14ac:dyDescent="0.25">
      <c r="A1925" s="5" t="s">
        <v>54477</v>
      </c>
      <c r="B1925" s="6">
        <v>393.75</v>
      </c>
      <c r="C1925" s="6">
        <v>20.584240000000001</v>
      </c>
      <c r="D1925" s="6">
        <v>43</v>
      </c>
      <c r="E1925" s="6">
        <v>0</v>
      </c>
      <c r="F1925" s="6">
        <v>0</v>
      </c>
      <c r="G1925" s="6">
        <v>5</v>
      </c>
      <c r="H1925" s="6" t="s">
        <v>54478</v>
      </c>
      <c r="I1925" s="6">
        <v>526.6875</v>
      </c>
      <c r="J1925" s="2">
        <f t="shared" si="30"/>
        <v>43749.557294791659</v>
      </c>
    </row>
    <row r="1926" spans="1:10" x14ac:dyDescent="0.25">
      <c r="A1926" s="7" t="s">
        <v>54479</v>
      </c>
      <c r="B1926" s="8">
        <v>393.75</v>
      </c>
      <c r="C1926" s="8">
        <v>20.531590000000001</v>
      </c>
      <c r="D1926" s="8">
        <v>45</v>
      </c>
      <c r="E1926" s="8">
        <v>0</v>
      </c>
      <c r="F1926" s="8">
        <v>0</v>
      </c>
      <c r="G1926" s="8">
        <v>12</v>
      </c>
      <c r="H1926" s="8" t="s">
        <v>54480</v>
      </c>
      <c r="I1926" s="8">
        <v>526.6875</v>
      </c>
      <c r="J1926" s="3">
        <f t="shared" si="30"/>
        <v>43749.557378263889</v>
      </c>
    </row>
    <row r="1927" spans="1:10" x14ac:dyDescent="0.25">
      <c r="A1927" s="5" t="s">
        <v>54481</v>
      </c>
      <c r="B1927" s="6">
        <v>393.75</v>
      </c>
      <c r="C1927" s="6">
        <v>20.478950000000001</v>
      </c>
      <c r="D1927" s="6">
        <v>44</v>
      </c>
      <c r="E1927" s="6">
        <v>0</v>
      </c>
      <c r="F1927" s="6">
        <v>0</v>
      </c>
      <c r="G1927" s="6">
        <v>13</v>
      </c>
      <c r="H1927" s="6" t="s">
        <v>54482</v>
      </c>
      <c r="I1927" s="6">
        <v>526.6875</v>
      </c>
      <c r="J1927" s="2">
        <f t="shared" si="30"/>
        <v>43749.557461828699</v>
      </c>
    </row>
    <row r="1928" spans="1:10" x14ac:dyDescent="0.25">
      <c r="A1928" s="7" t="s">
        <v>54483</v>
      </c>
      <c r="B1928" s="8">
        <v>415.625</v>
      </c>
      <c r="C1928" s="8">
        <v>20.531590000000001</v>
      </c>
      <c r="D1928" s="8">
        <v>44</v>
      </c>
      <c r="E1928" s="8">
        <v>0</v>
      </c>
      <c r="F1928" s="8">
        <v>0</v>
      </c>
      <c r="G1928" s="8">
        <v>15</v>
      </c>
      <c r="H1928" s="8" t="s">
        <v>54484</v>
      </c>
      <c r="I1928" s="8">
        <v>533.0625</v>
      </c>
      <c r="J1928" s="3">
        <f t="shared" si="30"/>
        <v>43749.55754538194</v>
      </c>
    </row>
    <row r="1929" spans="1:10" x14ac:dyDescent="0.25">
      <c r="A1929" s="5" t="s">
        <v>54485</v>
      </c>
      <c r="B1929" s="6">
        <v>393.75</v>
      </c>
      <c r="C1929" s="6">
        <v>20.584240000000001</v>
      </c>
      <c r="D1929" s="6">
        <v>46</v>
      </c>
      <c r="E1929" s="6">
        <v>0</v>
      </c>
      <c r="F1929" s="6">
        <v>0</v>
      </c>
      <c r="G1929" s="6">
        <v>4</v>
      </c>
      <c r="H1929" s="6" t="s">
        <v>54486</v>
      </c>
      <c r="I1929" s="6">
        <v>526.6875</v>
      </c>
      <c r="J1929" s="2">
        <f t="shared" si="30"/>
        <v>43749.557628726849</v>
      </c>
    </row>
    <row r="1930" spans="1:10" x14ac:dyDescent="0.25">
      <c r="A1930" s="7" t="s">
        <v>54487</v>
      </c>
      <c r="B1930" s="8">
        <v>393.75</v>
      </c>
      <c r="C1930" s="8">
        <v>20.531590000000001</v>
      </c>
      <c r="D1930" s="8">
        <v>47</v>
      </c>
      <c r="E1930" s="8">
        <v>0</v>
      </c>
      <c r="F1930" s="8">
        <v>0</v>
      </c>
      <c r="G1930" s="8">
        <v>7</v>
      </c>
      <c r="H1930" s="8" t="s">
        <v>54488</v>
      </c>
      <c r="I1930" s="8">
        <v>526.6875</v>
      </c>
      <c r="J1930" s="3">
        <f t="shared" si="30"/>
        <v>43749.557711944442</v>
      </c>
    </row>
    <row r="1931" spans="1:10" x14ac:dyDescent="0.25">
      <c r="A1931" s="5" t="s">
        <v>54489</v>
      </c>
      <c r="B1931" s="6">
        <v>393.75</v>
      </c>
      <c r="C1931" s="6">
        <v>20.531590000000001</v>
      </c>
      <c r="D1931" s="6">
        <v>47</v>
      </c>
      <c r="E1931" s="6">
        <v>0</v>
      </c>
      <c r="F1931" s="6">
        <v>0</v>
      </c>
      <c r="G1931" s="6">
        <v>2</v>
      </c>
      <c r="H1931" s="6" t="s">
        <v>54490</v>
      </c>
      <c r="I1931" s="6">
        <v>526.6875</v>
      </c>
      <c r="J1931" s="2">
        <f t="shared" si="30"/>
        <v>43749.557783715274</v>
      </c>
    </row>
    <row r="1932" spans="1:10" x14ac:dyDescent="0.25">
      <c r="A1932" s="7" t="s">
        <v>54491</v>
      </c>
      <c r="B1932" s="8">
        <v>393.75</v>
      </c>
      <c r="C1932" s="8">
        <v>20.584240000000001</v>
      </c>
      <c r="D1932" s="8">
        <v>47</v>
      </c>
      <c r="E1932" s="8">
        <v>0</v>
      </c>
      <c r="F1932" s="8">
        <v>0</v>
      </c>
      <c r="G1932" s="8">
        <v>5</v>
      </c>
      <c r="H1932" s="8" t="s">
        <v>54492</v>
      </c>
      <c r="I1932" s="8">
        <v>526.6875</v>
      </c>
      <c r="J1932" s="3">
        <f t="shared" si="30"/>
        <v>43749.557867256946</v>
      </c>
    </row>
    <row r="1933" spans="1:10" x14ac:dyDescent="0.25">
      <c r="A1933" s="5" t="s">
        <v>54493</v>
      </c>
      <c r="B1933" s="6">
        <v>393.75</v>
      </c>
      <c r="C1933" s="6">
        <v>20.531590000000001</v>
      </c>
      <c r="D1933" s="6">
        <v>47</v>
      </c>
      <c r="E1933" s="6">
        <v>0</v>
      </c>
      <c r="F1933" s="6">
        <v>0</v>
      </c>
      <c r="G1933" s="6">
        <v>9</v>
      </c>
      <c r="H1933" s="6" t="s">
        <v>54494</v>
      </c>
      <c r="I1933" s="6">
        <v>526.6875</v>
      </c>
      <c r="J1933" s="2">
        <f t="shared" si="30"/>
        <v>43749.557950717593</v>
      </c>
    </row>
    <row r="1934" spans="1:10" x14ac:dyDescent="0.25">
      <c r="A1934" s="7" t="s">
        <v>54495</v>
      </c>
      <c r="B1934" s="8">
        <v>393.75</v>
      </c>
      <c r="C1934" s="8">
        <v>20.584240000000001</v>
      </c>
      <c r="D1934" s="8">
        <v>48</v>
      </c>
      <c r="E1934" s="8">
        <v>0</v>
      </c>
      <c r="F1934" s="8">
        <v>0</v>
      </c>
      <c r="G1934" s="8">
        <v>5</v>
      </c>
      <c r="H1934" s="8" t="s">
        <v>54496</v>
      </c>
      <c r="I1934" s="8">
        <v>526.6875</v>
      </c>
      <c r="J1934" s="3">
        <f t="shared" si="30"/>
        <v>43749.558034270834</v>
      </c>
    </row>
    <row r="1935" spans="1:10" x14ac:dyDescent="0.25">
      <c r="A1935" s="5" t="s">
        <v>54497</v>
      </c>
      <c r="B1935" s="6">
        <v>415.625</v>
      </c>
      <c r="C1935" s="6">
        <v>20.531590000000001</v>
      </c>
      <c r="D1935" s="6">
        <v>48</v>
      </c>
      <c r="E1935" s="6">
        <v>0</v>
      </c>
      <c r="F1935" s="6">
        <v>0</v>
      </c>
      <c r="G1935" s="6">
        <v>2</v>
      </c>
      <c r="H1935" s="6" t="s">
        <v>54498</v>
      </c>
      <c r="I1935" s="6">
        <v>533.25</v>
      </c>
      <c r="J1935" s="2">
        <f t="shared" si="30"/>
        <v>43749.558117731482</v>
      </c>
    </row>
    <row r="1936" spans="1:10" x14ac:dyDescent="0.25">
      <c r="A1936" s="7" t="s">
        <v>54499</v>
      </c>
      <c r="B1936" s="8">
        <v>393.75</v>
      </c>
      <c r="C1936" s="8">
        <v>20.584240000000001</v>
      </c>
      <c r="D1936" s="8">
        <v>47</v>
      </c>
      <c r="E1936" s="8">
        <v>0</v>
      </c>
      <c r="F1936" s="8">
        <v>0</v>
      </c>
      <c r="G1936" s="8">
        <v>1</v>
      </c>
      <c r="H1936" s="8" t="s">
        <v>54500</v>
      </c>
      <c r="I1936" s="8">
        <v>526.6875</v>
      </c>
      <c r="J1936" s="3">
        <f t="shared" si="30"/>
        <v>43749.558200937499</v>
      </c>
    </row>
    <row r="1937" spans="1:10" x14ac:dyDescent="0.25">
      <c r="A1937" s="5" t="s">
        <v>54501</v>
      </c>
      <c r="B1937" s="6">
        <v>393.75</v>
      </c>
      <c r="C1937" s="6">
        <v>20.531590000000001</v>
      </c>
      <c r="D1937" s="6">
        <v>47</v>
      </c>
      <c r="E1937" s="6">
        <v>0</v>
      </c>
      <c r="F1937" s="6">
        <v>0</v>
      </c>
      <c r="G1937" s="6">
        <v>0</v>
      </c>
      <c r="H1937" s="6" t="s">
        <v>54502</v>
      </c>
      <c r="I1937" s="6">
        <v>526.875</v>
      </c>
      <c r="J1937" s="2">
        <f t="shared" si="30"/>
        <v>43749.558272453702</v>
      </c>
    </row>
    <row r="1938" spans="1:10" x14ac:dyDescent="0.25">
      <c r="A1938" s="7" t="s">
        <v>54503</v>
      </c>
      <c r="B1938" s="8">
        <v>393.75</v>
      </c>
      <c r="C1938" s="8">
        <v>20.584240000000001</v>
      </c>
      <c r="D1938" s="8">
        <v>48</v>
      </c>
      <c r="E1938" s="8">
        <v>0</v>
      </c>
      <c r="F1938" s="8">
        <v>0</v>
      </c>
      <c r="G1938" s="8">
        <v>0</v>
      </c>
      <c r="H1938" s="8" t="s">
        <v>54504</v>
      </c>
      <c r="I1938" s="8">
        <v>526.6875</v>
      </c>
      <c r="J1938" s="3">
        <f t="shared" si="30"/>
        <v>43749.558370254628</v>
      </c>
    </row>
    <row r="1939" spans="1:10" x14ac:dyDescent="0.25">
      <c r="A1939" s="5" t="s">
        <v>54505</v>
      </c>
      <c r="B1939" s="6">
        <v>393.75</v>
      </c>
      <c r="C1939" s="6">
        <v>20.584240000000001</v>
      </c>
      <c r="D1939" s="6">
        <v>46</v>
      </c>
      <c r="E1939" s="6">
        <v>0</v>
      </c>
      <c r="F1939" s="6">
        <v>0</v>
      </c>
      <c r="G1939" s="6">
        <v>0</v>
      </c>
      <c r="H1939" s="6" t="s">
        <v>54506</v>
      </c>
      <c r="I1939" s="6">
        <v>526.6875</v>
      </c>
      <c r="J1939" s="2">
        <f t="shared" si="30"/>
        <v>43749.558451643512</v>
      </c>
    </row>
    <row r="1940" spans="1:10" x14ac:dyDescent="0.25">
      <c r="A1940" s="7" t="s">
        <v>54507</v>
      </c>
      <c r="B1940" s="8">
        <v>415.625</v>
      </c>
      <c r="C1940" s="8">
        <v>20.584240000000001</v>
      </c>
      <c r="D1940" s="8">
        <v>46</v>
      </c>
      <c r="E1940" s="8">
        <v>0</v>
      </c>
      <c r="F1940" s="8">
        <v>0</v>
      </c>
      <c r="G1940" s="8">
        <v>5</v>
      </c>
      <c r="H1940" s="8" t="s">
        <v>54508</v>
      </c>
      <c r="I1940" s="8">
        <v>533.25</v>
      </c>
      <c r="J1940" s="3">
        <f t="shared" si="30"/>
        <v>43749.558535219905</v>
      </c>
    </row>
    <row r="1941" spans="1:10" x14ac:dyDescent="0.25">
      <c r="A1941" s="5" t="s">
        <v>54509</v>
      </c>
      <c r="B1941" s="6">
        <v>393.75</v>
      </c>
      <c r="C1941" s="6">
        <v>20.584240000000001</v>
      </c>
      <c r="D1941" s="6">
        <v>45</v>
      </c>
      <c r="E1941" s="6">
        <v>0</v>
      </c>
      <c r="F1941" s="6">
        <v>0</v>
      </c>
      <c r="G1941" s="6">
        <v>10</v>
      </c>
      <c r="H1941" s="6" t="s">
        <v>54510</v>
      </c>
      <c r="I1941" s="6">
        <v>526.6875</v>
      </c>
      <c r="J1941" s="2">
        <f t="shared" si="30"/>
        <v>43749.558607060178</v>
      </c>
    </row>
    <row r="1942" spans="1:10" x14ac:dyDescent="0.25">
      <c r="A1942" s="7" t="s">
        <v>54511</v>
      </c>
      <c r="B1942" s="8">
        <v>393.75</v>
      </c>
      <c r="C1942" s="8">
        <v>20.531590000000001</v>
      </c>
      <c r="D1942" s="8">
        <v>46</v>
      </c>
      <c r="E1942" s="8">
        <v>0</v>
      </c>
      <c r="F1942" s="8">
        <v>0</v>
      </c>
      <c r="G1942" s="8">
        <v>11</v>
      </c>
      <c r="H1942" s="8" t="s">
        <v>54512</v>
      </c>
      <c r="I1942" s="8">
        <v>526.5</v>
      </c>
      <c r="J1942" s="3">
        <f t="shared" si="30"/>
        <v>43749.558689942125</v>
      </c>
    </row>
    <row r="1943" spans="1:10" x14ac:dyDescent="0.25">
      <c r="A1943" s="5" t="s">
        <v>54513</v>
      </c>
      <c r="B1943" s="6">
        <v>393.75</v>
      </c>
      <c r="C1943" s="6">
        <v>20.531590000000001</v>
      </c>
      <c r="D1943" s="6">
        <v>46</v>
      </c>
      <c r="E1943" s="6">
        <v>0</v>
      </c>
      <c r="F1943" s="6">
        <v>0</v>
      </c>
      <c r="G1943" s="6">
        <v>5</v>
      </c>
      <c r="H1943" s="6" t="s">
        <v>54514</v>
      </c>
      <c r="I1943" s="6">
        <v>526.6875</v>
      </c>
      <c r="J1943" s="2">
        <f t="shared" si="30"/>
        <v>43749.558761817127</v>
      </c>
    </row>
    <row r="1944" spans="1:10" x14ac:dyDescent="0.25">
      <c r="A1944" s="7" t="s">
        <v>54515</v>
      </c>
      <c r="B1944" s="8">
        <v>393.75</v>
      </c>
      <c r="C1944" s="8">
        <v>20.584240000000001</v>
      </c>
      <c r="D1944" s="8">
        <v>48</v>
      </c>
      <c r="E1944" s="8">
        <v>0</v>
      </c>
      <c r="F1944" s="8">
        <v>0</v>
      </c>
      <c r="G1944" s="8">
        <v>4</v>
      </c>
      <c r="H1944" s="8" t="s">
        <v>54516</v>
      </c>
      <c r="I1944" s="8">
        <v>526.6875</v>
      </c>
      <c r="J1944" s="3">
        <f t="shared" si="30"/>
        <v>43749.558845266198</v>
      </c>
    </row>
    <row r="1945" spans="1:10" x14ac:dyDescent="0.25">
      <c r="A1945" s="5" t="s">
        <v>54517</v>
      </c>
      <c r="B1945" s="6">
        <v>393.75</v>
      </c>
      <c r="C1945" s="6">
        <v>20.584240000000001</v>
      </c>
      <c r="D1945" s="6">
        <v>48</v>
      </c>
      <c r="E1945" s="6">
        <v>0</v>
      </c>
      <c r="F1945" s="6">
        <v>0</v>
      </c>
      <c r="G1945" s="6">
        <v>10</v>
      </c>
      <c r="H1945" s="6" t="s">
        <v>54518</v>
      </c>
      <c r="I1945" s="6">
        <v>526.6875</v>
      </c>
      <c r="J1945" s="2">
        <f t="shared" si="30"/>
        <v>43749.558940763884</v>
      </c>
    </row>
    <row r="1946" spans="1:10" x14ac:dyDescent="0.25">
      <c r="A1946" s="7" t="s">
        <v>54519</v>
      </c>
      <c r="B1946" s="8">
        <v>393.75</v>
      </c>
      <c r="C1946" s="8">
        <v>20.584240000000001</v>
      </c>
      <c r="D1946" s="8">
        <v>48</v>
      </c>
      <c r="E1946" s="8">
        <v>0</v>
      </c>
      <c r="F1946" s="8">
        <v>0</v>
      </c>
      <c r="G1946" s="8">
        <v>8</v>
      </c>
      <c r="H1946" s="8" t="s">
        <v>54520</v>
      </c>
      <c r="I1946" s="8">
        <v>526.6875</v>
      </c>
      <c r="J1946" s="3">
        <f t="shared" si="30"/>
        <v>43749.559024212962</v>
      </c>
    </row>
    <row r="1947" spans="1:10" x14ac:dyDescent="0.25">
      <c r="A1947" s="5" t="s">
        <v>54521</v>
      </c>
      <c r="B1947" s="6">
        <v>393.75</v>
      </c>
      <c r="C1947" s="6">
        <v>20.584240000000001</v>
      </c>
      <c r="D1947" s="6">
        <v>49</v>
      </c>
      <c r="E1947" s="6">
        <v>0</v>
      </c>
      <c r="F1947" s="6">
        <v>0</v>
      </c>
      <c r="G1947" s="6">
        <v>4</v>
      </c>
      <c r="H1947" s="6" t="s">
        <v>54522</v>
      </c>
      <c r="I1947" s="6">
        <v>526.6875</v>
      </c>
      <c r="J1947" s="2">
        <f t="shared" si="30"/>
        <v>43749.559119351848</v>
      </c>
    </row>
    <row r="1948" spans="1:10" x14ac:dyDescent="0.25">
      <c r="A1948" s="7" t="s">
        <v>54523</v>
      </c>
      <c r="B1948" s="8">
        <v>393.75</v>
      </c>
      <c r="C1948" s="8">
        <v>20.531590000000001</v>
      </c>
      <c r="D1948" s="8">
        <v>49</v>
      </c>
      <c r="E1948" s="8">
        <v>0</v>
      </c>
      <c r="F1948" s="8">
        <v>0</v>
      </c>
      <c r="G1948" s="8">
        <v>4</v>
      </c>
      <c r="H1948" s="8" t="s">
        <v>54524</v>
      </c>
      <c r="I1948" s="8">
        <v>526.6875</v>
      </c>
      <c r="J1948" s="3">
        <f t="shared" si="30"/>
        <v>43749.559191111104</v>
      </c>
    </row>
    <row r="1949" spans="1:10" x14ac:dyDescent="0.25">
      <c r="A1949" s="5" t="s">
        <v>54525</v>
      </c>
      <c r="B1949" s="6">
        <v>393.75</v>
      </c>
      <c r="C1949" s="6">
        <v>20.584240000000001</v>
      </c>
      <c r="D1949" s="6">
        <v>49</v>
      </c>
      <c r="E1949" s="6">
        <v>0</v>
      </c>
      <c r="F1949" s="6">
        <v>0</v>
      </c>
      <c r="G1949" s="6">
        <v>15</v>
      </c>
      <c r="H1949" s="6" t="s">
        <v>54526</v>
      </c>
      <c r="I1949" s="6">
        <v>526.6875</v>
      </c>
      <c r="J1949" s="2">
        <f t="shared" si="30"/>
        <v>43749.559274664345</v>
      </c>
    </row>
    <row r="1950" spans="1:10" x14ac:dyDescent="0.25">
      <c r="A1950" s="7" t="s">
        <v>54527</v>
      </c>
      <c r="B1950" s="8">
        <v>393.75</v>
      </c>
      <c r="C1950" s="8">
        <v>20.584240000000001</v>
      </c>
      <c r="D1950" s="8">
        <v>49</v>
      </c>
      <c r="E1950" s="8">
        <v>0</v>
      </c>
      <c r="F1950" s="8">
        <v>0</v>
      </c>
      <c r="G1950" s="8">
        <v>3</v>
      </c>
      <c r="H1950" s="8" t="s">
        <v>54528</v>
      </c>
      <c r="I1950" s="8">
        <v>526.5</v>
      </c>
      <c r="J1950" s="3">
        <f t="shared" si="30"/>
        <v>43749.559358124992</v>
      </c>
    </row>
    <row r="1951" spans="1:10" x14ac:dyDescent="0.25">
      <c r="A1951" s="5" t="s">
        <v>54529</v>
      </c>
      <c r="B1951" s="6">
        <v>393.75</v>
      </c>
      <c r="C1951" s="6">
        <v>20.584240000000001</v>
      </c>
      <c r="D1951" s="6">
        <v>48</v>
      </c>
      <c r="E1951" s="6">
        <v>0</v>
      </c>
      <c r="F1951" s="6">
        <v>0</v>
      </c>
      <c r="G1951" s="6">
        <v>0</v>
      </c>
      <c r="H1951" s="6" t="s">
        <v>54530</v>
      </c>
      <c r="I1951" s="6">
        <v>526.6875</v>
      </c>
      <c r="J1951" s="2">
        <f t="shared" si="30"/>
        <v>43749.559441527774</v>
      </c>
    </row>
    <row r="1952" spans="1:10" x14ac:dyDescent="0.25">
      <c r="A1952" s="7" t="s">
        <v>54531</v>
      </c>
      <c r="B1952" s="8">
        <v>415.625</v>
      </c>
      <c r="C1952" s="8">
        <v>20.531590000000001</v>
      </c>
      <c r="D1952" s="8">
        <v>47</v>
      </c>
      <c r="E1952" s="8">
        <v>0</v>
      </c>
      <c r="F1952" s="8">
        <v>0</v>
      </c>
      <c r="G1952" s="8">
        <v>12</v>
      </c>
      <c r="H1952" s="8" t="s">
        <v>54532</v>
      </c>
      <c r="I1952" s="8">
        <v>533.4375</v>
      </c>
      <c r="J1952" s="3">
        <f t="shared" si="30"/>
        <v>43749.559525092591</v>
      </c>
    </row>
    <row r="1953" spans="1:10" x14ac:dyDescent="0.25">
      <c r="A1953" s="5" t="s">
        <v>54533</v>
      </c>
      <c r="B1953" s="6">
        <v>393.75</v>
      </c>
      <c r="C1953" s="6">
        <v>20.531590000000001</v>
      </c>
      <c r="D1953" s="6">
        <v>48</v>
      </c>
      <c r="E1953" s="6">
        <v>0</v>
      </c>
      <c r="F1953" s="6">
        <v>0</v>
      </c>
      <c r="G1953" s="6">
        <v>15</v>
      </c>
      <c r="H1953" s="6" t="s">
        <v>54534</v>
      </c>
      <c r="I1953" s="6">
        <v>526.6875</v>
      </c>
      <c r="J1953" s="2">
        <f t="shared" si="30"/>
        <v>43749.559608344905</v>
      </c>
    </row>
    <row r="1954" spans="1:10" x14ac:dyDescent="0.25">
      <c r="A1954" s="7" t="s">
        <v>54535</v>
      </c>
      <c r="B1954" s="8">
        <v>393.75</v>
      </c>
      <c r="C1954" s="8">
        <v>20.584240000000001</v>
      </c>
      <c r="D1954" s="8">
        <v>49</v>
      </c>
      <c r="E1954" s="8">
        <v>0</v>
      </c>
      <c r="F1954" s="8">
        <v>0</v>
      </c>
      <c r="G1954" s="8">
        <v>13</v>
      </c>
      <c r="H1954" s="8" t="s">
        <v>54536</v>
      </c>
      <c r="I1954" s="8">
        <v>526.6875</v>
      </c>
      <c r="J1954" s="3">
        <f t="shared" si="30"/>
        <v>43749.559692002316</v>
      </c>
    </row>
    <row r="1955" spans="1:10" x14ac:dyDescent="0.25">
      <c r="A1955" s="5" t="s">
        <v>54537</v>
      </c>
      <c r="B1955" s="6">
        <v>393.75</v>
      </c>
      <c r="C1955" s="6">
        <v>20.584240000000001</v>
      </c>
      <c r="D1955" s="6">
        <v>48</v>
      </c>
      <c r="E1955" s="6">
        <v>0</v>
      </c>
      <c r="F1955" s="6">
        <v>0</v>
      </c>
      <c r="G1955" s="6">
        <v>15</v>
      </c>
      <c r="H1955" s="6" t="s">
        <v>54538</v>
      </c>
      <c r="I1955" s="6">
        <v>526.6875</v>
      </c>
      <c r="J1955" s="2">
        <f t="shared" si="30"/>
        <v>43749.559775798603</v>
      </c>
    </row>
    <row r="1956" spans="1:10" x14ac:dyDescent="0.25">
      <c r="A1956" s="7" t="s">
        <v>54539</v>
      </c>
      <c r="B1956" s="8">
        <v>393.75</v>
      </c>
      <c r="C1956" s="8">
        <v>20.584240000000001</v>
      </c>
      <c r="D1956" s="8">
        <v>49</v>
      </c>
      <c r="E1956" s="8">
        <v>0</v>
      </c>
      <c r="F1956" s="8">
        <v>0</v>
      </c>
      <c r="G1956" s="8">
        <v>18</v>
      </c>
      <c r="H1956" s="8" t="s">
        <v>54540</v>
      </c>
      <c r="I1956" s="8">
        <v>526.6875</v>
      </c>
      <c r="J1956" s="3">
        <f t="shared" si="30"/>
        <v>43749.559847118049</v>
      </c>
    </row>
    <row r="1957" spans="1:10" x14ac:dyDescent="0.25">
      <c r="A1957" s="5" t="s">
        <v>54541</v>
      </c>
      <c r="B1957" s="6">
        <v>415.625</v>
      </c>
      <c r="C1957" s="6">
        <v>20.584240000000001</v>
      </c>
      <c r="D1957" s="6">
        <v>47</v>
      </c>
      <c r="E1957" s="6">
        <v>0</v>
      </c>
      <c r="F1957" s="6">
        <v>0</v>
      </c>
      <c r="G1957" s="6">
        <v>16</v>
      </c>
      <c r="H1957" s="6" t="s">
        <v>54542</v>
      </c>
      <c r="I1957" s="6">
        <v>533.25</v>
      </c>
      <c r="J1957" s="2">
        <f t="shared" si="30"/>
        <v>43749.559930428237</v>
      </c>
    </row>
    <row r="1958" spans="1:10" x14ac:dyDescent="0.25">
      <c r="A1958" s="7" t="s">
        <v>54543</v>
      </c>
      <c r="B1958" s="8">
        <v>393.75</v>
      </c>
      <c r="C1958" s="8">
        <v>20.584240000000001</v>
      </c>
      <c r="D1958" s="8">
        <v>45</v>
      </c>
      <c r="E1958" s="8">
        <v>0</v>
      </c>
      <c r="F1958" s="8">
        <v>0</v>
      </c>
      <c r="G1958" s="8">
        <v>15</v>
      </c>
      <c r="H1958" s="8" t="s">
        <v>54544</v>
      </c>
      <c r="I1958" s="8">
        <v>526.875</v>
      </c>
      <c r="J1958" s="3">
        <f t="shared" si="30"/>
        <v>43749.560014108793</v>
      </c>
    </row>
    <row r="1959" spans="1:10" x14ac:dyDescent="0.25">
      <c r="A1959" s="5" t="s">
        <v>54545</v>
      </c>
      <c r="B1959" s="6">
        <v>393.75</v>
      </c>
      <c r="C1959" s="6">
        <v>20.531590000000001</v>
      </c>
      <c r="D1959" s="6">
        <v>45</v>
      </c>
      <c r="E1959" s="6">
        <v>0</v>
      </c>
      <c r="F1959" s="6">
        <v>0</v>
      </c>
      <c r="G1959" s="6">
        <v>12</v>
      </c>
      <c r="H1959" s="6" t="s">
        <v>54546</v>
      </c>
      <c r="I1959" s="6">
        <v>526.6875</v>
      </c>
      <c r="J1959" s="2">
        <f t="shared" si="30"/>
        <v>43749.56009721064</v>
      </c>
    </row>
    <row r="1960" spans="1:10" x14ac:dyDescent="0.25">
      <c r="A1960" s="7" t="s">
        <v>54547</v>
      </c>
      <c r="B1960" s="8">
        <v>393.75</v>
      </c>
      <c r="C1960" s="8">
        <v>20.531590000000001</v>
      </c>
      <c r="D1960" s="8">
        <v>45</v>
      </c>
      <c r="E1960" s="8">
        <v>0</v>
      </c>
      <c r="F1960" s="8">
        <v>0</v>
      </c>
      <c r="G1960" s="8">
        <v>23</v>
      </c>
      <c r="H1960" s="8" t="s">
        <v>54548</v>
      </c>
      <c r="I1960" s="8">
        <v>526.6875</v>
      </c>
      <c r="J1960" s="3">
        <f t="shared" si="30"/>
        <v>43749.560168865741</v>
      </c>
    </row>
    <row r="1961" spans="1:10" x14ac:dyDescent="0.25">
      <c r="A1961" s="5" t="s">
        <v>54549</v>
      </c>
      <c r="B1961" s="6">
        <v>393.75</v>
      </c>
      <c r="C1961" s="6">
        <v>20.584240000000001</v>
      </c>
      <c r="D1961" s="6">
        <v>48</v>
      </c>
      <c r="E1961" s="6">
        <v>0</v>
      </c>
      <c r="F1961" s="6">
        <v>0</v>
      </c>
      <c r="G1961" s="6">
        <v>16</v>
      </c>
      <c r="H1961" s="6" t="s">
        <v>54550</v>
      </c>
      <c r="I1961" s="6">
        <v>526.6875</v>
      </c>
      <c r="J1961" s="2">
        <f t="shared" si="30"/>
        <v>43749.560252858799</v>
      </c>
    </row>
    <row r="1962" spans="1:10" x14ac:dyDescent="0.25">
      <c r="A1962" s="7" t="s">
        <v>54551</v>
      </c>
      <c r="B1962" s="8">
        <v>393.75</v>
      </c>
      <c r="C1962" s="8">
        <v>20.531590000000001</v>
      </c>
      <c r="D1962" s="8">
        <v>48</v>
      </c>
      <c r="E1962" s="8">
        <v>0</v>
      </c>
      <c r="F1962" s="8">
        <v>0</v>
      </c>
      <c r="G1962" s="8">
        <v>19</v>
      </c>
      <c r="H1962" s="8" t="s">
        <v>54552</v>
      </c>
      <c r="I1962" s="8">
        <v>526.6875</v>
      </c>
      <c r="J1962" s="3">
        <f t="shared" si="30"/>
        <v>43749.560336087961</v>
      </c>
    </row>
    <row r="1963" spans="1:10" x14ac:dyDescent="0.25">
      <c r="A1963" s="5" t="s">
        <v>54553</v>
      </c>
      <c r="B1963" s="6">
        <v>393.75</v>
      </c>
      <c r="C1963" s="6">
        <v>20.478950000000001</v>
      </c>
      <c r="D1963" s="6">
        <v>48</v>
      </c>
      <c r="E1963" s="6">
        <v>0</v>
      </c>
      <c r="F1963" s="6">
        <v>0</v>
      </c>
      <c r="G1963" s="6">
        <v>13</v>
      </c>
      <c r="H1963" s="6" t="s">
        <v>54554</v>
      </c>
      <c r="I1963" s="6">
        <v>526.6875</v>
      </c>
      <c r="J1963" s="2">
        <f t="shared" si="30"/>
        <v>43749.560419398149</v>
      </c>
    </row>
    <row r="1964" spans="1:10" x14ac:dyDescent="0.25">
      <c r="A1964" s="7" t="s">
        <v>54555</v>
      </c>
      <c r="B1964" s="8">
        <v>393.75</v>
      </c>
      <c r="C1964" s="8">
        <v>20.478950000000001</v>
      </c>
      <c r="D1964" s="8">
        <v>48</v>
      </c>
      <c r="E1964" s="8">
        <v>0</v>
      </c>
      <c r="F1964" s="8">
        <v>0</v>
      </c>
      <c r="G1964" s="8">
        <v>15</v>
      </c>
      <c r="H1964" s="8" t="s">
        <v>54556</v>
      </c>
      <c r="I1964" s="8">
        <v>526.6875</v>
      </c>
      <c r="J1964" s="3">
        <f t="shared" si="30"/>
        <v>43749.560490960641</v>
      </c>
    </row>
    <row r="1965" spans="1:10" x14ac:dyDescent="0.25">
      <c r="A1965" s="5" t="s">
        <v>54557</v>
      </c>
      <c r="B1965" s="6">
        <v>393.75</v>
      </c>
      <c r="C1965" s="6">
        <v>20.531590000000001</v>
      </c>
      <c r="D1965" s="6">
        <v>47</v>
      </c>
      <c r="E1965" s="6">
        <v>0</v>
      </c>
      <c r="F1965" s="6">
        <v>0</v>
      </c>
      <c r="G1965" s="6">
        <v>17</v>
      </c>
      <c r="H1965" s="6" t="s">
        <v>54558</v>
      </c>
      <c r="I1965" s="6">
        <v>526.6875</v>
      </c>
      <c r="J1965" s="2">
        <f t="shared" si="30"/>
        <v>43749.560574629628</v>
      </c>
    </row>
    <row r="1966" spans="1:10" x14ac:dyDescent="0.25">
      <c r="A1966" s="7" t="s">
        <v>54559</v>
      </c>
      <c r="B1966" s="8">
        <v>393.75</v>
      </c>
      <c r="C1966" s="8">
        <v>20.584240000000001</v>
      </c>
      <c r="D1966" s="8">
        <v>47</v>
      </c>
      <c r="E1966" s="8">
        <v>0</v>
      </c>
      <c r="F1966" s="8">
        <v>0</v>
      </c>
      <c r="G1966" s="8">
        <v>16</v>
      </c>
      <c r="H1966" s="8" t="s">
        <v>54560</v>
      </c>
      <c r="I1966" s="8">
        <v>526.6875</v>
      </c>
      <c r="J1966" s="3">
        <f t="shared" si="30"/>
        <v>43749.560658101851</v>
      </c>
    </row>
    <row r="1967" spans="1:10" x14ac:dyDescent="0.25">
      <c r="A1967" s="5" t="s">
        <v>54561</v>
      </c>
      <c r="B1967" s="6">
        <v>393.75</v>
      </c>
      <c r="C1967" s="6">
        <v>20.584240000000001</v>
      </c>
      <c r="D1967" s="6">
        <v>48</v>
      </c>
      <c r="E1967" s="6">
        <v>0</v>
      </c>
      <c r="F1967" s="6">
        <v>0</v>
      </c>
      <c r="G1967" s="6">
        <v>15</v>
      </c>
      <c r="H1967" s="6" t="s">
        <v>54562</v>
      </c>
      <c r="I1967" s="6">
        <v>526.6875</v>
      </c>
      <c r="J1967" s="2">
        <f t="shared" si="30"/>
        <v>43749.56074152777</v>
      </c>
    </row>
    <row r="1968" spans="1:10" x14ac:dyDescent="0.25">
      <c r="A1968" s="7" t="s">
        <v>54563</v>
      </c>
      <c r="B1968" s="8">
        <v>393.75</v>
      </c>
      <c r="C1968" s="8">
        <v>20.584240000000001</v>
      </c>
      <c r="D1968" s="8">
        <v>48</v>
      </c>
      <c r="E1968" s="8">
        <v>0</v>
      </c>
      <c r="F1968" s="8">
        <v>0</v>
      </c>
      <c r="G1968" s="8">
        <v>15</v>
      </c>
      <c r="H1968" s="8" t="s">
        <v>54564</v>
      </c>
      <c r="I1968" s="8">
        <v>526.6875</v>
      </c>
      <c r="J1968" s="3">
        <f t="shared" si="30"/>
        <v>43749.560825138884</v>
      </c>
    </row>
    <row r="1969" spans="1:10" x14ac:dyDescent="0.25">
      <c r="A1969" s="5" t="s">
        <v>54565</v>
      </c>
      <c r="B1969" s="6">
        <v>393.75</v>
      </c>
      <c r="C1969" s="6">
        <v>20.531590000000001</v>
      </c>
      <c r="D1969" s="6">
        <v>47</v>
      </c>
      <c r="E1969" s="6">
        <v>0</v>
      </c>
      <c r="F1969" s="6">
        <v>0</v>
      </c>
      <c r="G1969" s="6">
        <v>17</v>
      </c>
      <c r="H1969" s="6" t="s">
        <v>54566</v>
      </c>
      <c r="I1969" s="6">
        <v>526.5</v>
      </c>
      <c r="J1969" s="2">
        <f t="shared" si="30"/>
        <v>43749.560908310181</v>
      </c>
    </row>
    <row r="1970" spans="1:10" x14ac:dyDescent="0.25">
      <c r="A1970" s="7" t="s">
        <v>54567</v>
      </c>
      <c r="B1970" s="8">
        <v>393.75</v>
      </c>
      <c r="C1970" s="8">
        <v>20.584240000000001</v>
      </c>
      <c r="D1970" s="8">
        <v>47</v>
      </c>
      <c r="E1970" s="8">
        <v>0</v>
      </c>
      <c r="F1970" s="8">
        <v>0</v>
      </c>
      <c r="G1970" s="8">
        <v>13</v>
      </c>
      <c r="H1970" s="8" t="s">
        <v>54568</v>
      </c>
      <c r="I1970" s="8">
        <v>526.6875</v>
      </c>
      <c r="J1970" s="3">
        <f t="shared" si="30"/>
        <v>43749.560979965274</v>
      </c>
    </row>
    <row r="1971" spans="1:10" x14ac:dyDescent="0.25">
      <c r="A1971" s="5" t="s">
        <v>54569</v>
      </c>
      <c r="B1971" s="6">
        <v>393.75</v>
      </c>
      <c r="C1971" s="6">
        <v>20.531590000000001</v>
      </c>
      <c r="D1971" s="6">
        <v>48</v>
      </c>
      <c r="E1971" s="6">
        <v>0</v>
      </c>
      <c r="F1971" s="6">
        <v>0</v>
      </c>
      <c r="G1971" s="6">
        <v>19</v>
      </c>
      <c r="H1971" s="6" t="s">
        <v>54570</v>
      </c>
      <c r="I1971" s="6">
        <v>526.6875</v>
      </c>
      <c r="J1971" s="2">
        <f t="shared" si="30"/>
        <v>43749.561063854162</v>
      </c>
    </row>
    <row r="1972" spans="1:10" x14ac:dyDescent="0.25">
      <c r="A1972" s="7" t="s">
        <v>54571</v>
      </c>
      <c r="B1972" s="8">
        <v>393.75</v>
      </c>
      <c r="C1972" s="8">
        <v>20.584240000000001</v>
      </c>
      <c r="D1972" s="8">
        <v>49</v>
      </c>
      <c r="E1972" s="8">
        <v>0</v>
      </c>
      <c r="F1972" s="8">
        <v>0</v>
      </c>
      <c r="G1972" s="8">
        <v>20</v>
      </c>
      <c r="H1972" s="8" t="s">
        <v>54572</v>
      </c>
      <c r="I1972" s="8">
        <v>526.6875</v>
      </c>
      <c r="J1972" s="3">
        <f t="shared" si="30"/>
        <v>43749.561159039346</v>
      </c>
    </row>
    <row r="1973" spans="1:10" x14ac:dyDescent="0.25">
      <c r="A1973" s="5" t="s">
        <v>54573</v>
      </c>
      <c r="B1973" s="6">
        <v>393.75</v>
      </c>
      <c r="C1973" s="6">
        <v>20.584240000000001</v>
      </c>
      <c r="D1973" s="6">
        <v>48</v>
      </c>
      <c r="E1973" s="6">
        <v>0</v>
      </c>
      <c r="F1973" s="6">
        <v>0</v>
      </c>
      <c r="G1973" s="6">
        <v>11</v>
      </c>
      <c r="H1973" s="6" t="s">
        <v>54574</v>
      </c>
      <c r="I1973" s="6">
        <v>526.6875</v>
      </c>
      <c r="J1973" s="2">
        <f t="shared" si="30"/>
        <v>43749.561257534719</v>
      </c>
    </row>
    <row r="1974" spans="1:10" x14ac:dyDescent="0.25">
      <c r="A1974" s="7" t="s">
        <v>54575</v>
      </c>
      <c r="B1974" s="8">
        <v>393.75</v>
      </c>
      <c r="C1974" s="8">
        <v>20.584240000000001</v>
      </c>
      <c r="D1974" s="8">
        <v>49</v>
      </c>
      <c r="E1974" s="8">
        <v>0</v>
      </c>
      <c r="F1974" s="8">
        <v>0</v>
      </c>
      <c r="G1974" s="8">
        <v>12</v>
      </c>
      <c r="H1974" s="8" t="s">
        <v>54576</v>
      </c>
      <c r="I1974" s="8">
        <v>526.6875</v>
      </c>
      <c r="J1974" s="3">
        <f t="shared" si="30"/>
        <v>43749.561337974534</v>
      </c>
    </row>
    <row r="1975" spans="1:10" x14ac:dyDescent="0.25">
      <c r="A1975" s="5" t="s">
        <v>54577</v>
      </c>
      <c r="B1975" s="6">
        <v>393.75</v>
      </c>
      <c r="C1975" s="6">
        <v>20.584240000000001</v>
      </c>
      <c r="D1975" s="6">
        <v>48</v>
      </c>
      <c r="E1975" s="6">
        <v>0</v>
      </c>
      <c r="F1975" s="6">
        <v>0</v>
      </c>
      <c r="G1975" s="6">
        <v>8</v>
      </c>
      <c r="H1975" s="6" t="s">
        <v>54578</v>
      </c>
      <c r="I1975" s="6">
        <v>526.6875</v>
      </c>
      <c r="J1975" s="2">
        <f t="shared" si="30"/>
        <v>43749.561421423605</v>
      </c>
    </row>
    <row r="1976" spans="1:10" x14ac:dyDescent="0.25">
      <c r="A1976" s="7" t="s">
        <v>54579</v>
      </c>
      <c r="B1976" s="8">
        <v>412.5</v>
      </c>
      <c r="C1976" s="8">
        <v>20.584240000000001</v>
      </c>
      <c r="D1976" s="8">
        <v>48</v>
      </c>
      <c r="E1976" s="8">
        <v>0</v>
      </c>
      <c r="F1976" s="8">
        <v>0</v>
      </c>
      <c r="G1976" s="8">
        <v>15</v>
      </c>
      <c r="H1976" s="8" t="s">
        <v>54580</v>
      </c>
      <c r="I1976" s="8">
        <v>532.3125</v>
      </c>
      <c r="J1976" s="3">
        <f t="shared" si="30"/>
        <v>43749.561504629623</v>
      </c>
    </row>
    <row r="1977" spans="1:10" x14ac:dyDescent="0.25">
      <c r="A1977" s="5" t="s">
        <v>54581</v>
      </c>
      <c r="B1977" s="6">
        <v>393.75</v>
      </c>
      <c r="C1977" s="6">
        <v>20.584240000000001</v>
      </c>
      <c r="D1977" s="6">
        <v>48</v>
      </c>
      <c r="E1977" s="6">
        <v>0</v>
      </c>
      <c r="F1977" s="6">
        <v>0</v>
      </c>
      <c r="G1977" s="6">
        <v>9</v>
      </c>
      <c r="H1977" s="6" t="s">
        <v>54582</v>
      </c>
      <c r="I1977" s="6">
        <v>526.6875</v>
      </c>
      <c r="J1977" s="2">
        <f t="shared" si="30"/>
        <v>43749.561576284723</v>
      </c>
    </row>
    <row r="1978" spans="1:10" x14ac:dyDescent="0.25">
      <c r="A1978" s="7" t="s">
        <v>54583</v>
      </c>
      <c r="B1978" s="8">
        <v>393.75</v>
      </c>
      <c r="C1978" s="8">
        <v>20.531590000000001</v>
      </c>
      <c r="D1978" s="8">
        <v>46</v>
      </c>
      <c r="E1978" s="8">
        <v>0</v>
      </c>
      <c r="F1978" s="8">
        <v>0</v>
      </c>
      <c r="G1978" s="8">
        <v>20</v>
      </c>
      <c r="H1978" s="8" t="s">
        <v>54584</v>
      </c>
      <c r="I1978" s="8">
        <v>526.6875</v>
      </c>
      <c r="J1978" s="3">
        <f t="shared" si="30"/>
        <v>43749.561660081017</v>
      </c>
    </row>
    <row r="1979" spans="1:10" x14ac:dyDescent="0.25">
      <c r="A1979" s="5" t="s">
        <v>54585</v>
      </c>
      <c r="B1979" s="6">
        <v>393.75</v>
      </c>
      <c r="C1979" s="6">
        <v>20.531590000000001</v>
      </c>
      <c r="D1979" s="6">
        <v>48</v>
      </c>
      <c r="E1979" s="6">
        <v>0</v>
      </c>
      <c r="F1979" s="6">
        <v>0</v>
      </c>
      <c r="G1979" s="6">
        <v>17</v>
      </c>
      <c r="H1979" s="6" t="s">
        <v>54586</v>
      </c>
      <c r="I1979" s="6">
        <v>526.6875</v>
      </c>
      <c r="J1979" s="2">
        <f t="shared" si="30"/>
        <v>43749.561743425926</v>
      </c>
    </row>
    <row r="1980" spans="1:10" x14ac:dyDescent="0.25">
      <c r="A1980" s="7" t="s">
        <v>54587</v>
      </c>
      <c r="B1980" s="8">
        <v>393.75</v>
      </c>
      <c r="C1980" s="8">
        <v>20.584240000000001</v>
      </c>
      <c r="D1980" s="8">
        <v>47</v>
      </c>
      <c r="E1980" s="8">
        <v>0</v>
      </c>
      <c r="F1980" s="8">
        <v>0</v>
      </c>
      <c r="G1980" s="8">
        <v>11</v>
      </c>
      <c r="H1980" s="8" t="s">
        <v>54588</v>
      </c>
      <c r="I1980" s="8">
        <v>526.6875</v>
      </c>
      <c r="J1980" s="3">
        <f t="shared" si="30"/>
        <v>43749.561826759258</v>
      </c>
    </row>
    <row r="1981" spans="1:10" x14ac:dyDescent="0.25">
      <c r="A1981" s="5" t="s">
        <v>54589</v>
      </c>
      <c r="B1981" s="6">
        <v>415.625</v>
      </c>
      <c r="C1981" s="6">
        <v>20.531590000000001</v>
      </c>
      <c r="D1981" s="6">
        <v>47</v>
      </c>
      <c r="E1981" s="6">
        <v>0</v>
      </c>
      <c r="F1981" s="6">
        <v>0</v>
      </c>
      <c r="G1981" s="6">
        <v>25</v>
      </c>
      <c r="H1981" s="6" t="s">
        <v>54590</v>
      </c>
      <c r="I1981" s="6">
        <v>533.8125</v>
      </c>
      <c r="J1981" s="2">
        <f t="shared" si="30"/>
        <v>43749.561898506938</v>
      </c>
    </row>
    <row r="1982" spans="1:10" x14ac:dyDescent="0.25">
      <c r="A1982" s="7" t="s">
        <v>54591</v>
      </c>
      <c r="B1982" s="8">
        <v>393.75</v>
      </c>
      <c r="C1982" s="8">
        <v>20.584240000000001</v>
      </c>
      <c r="D1982" s="8">
        <v>47</v>
      </c>
      <c r="E1982" s="8">
        <v>0</v>
      </c>
      <c r="F1982" s="8">
        <v>0</v>
      </c>
      <c r="G1982" s="8">
        <v>21</v>
      </c>
      <c r="H1982" s="8" t="s">
        <v>54592</v>
      </c>
      <c r="I1982" s="8">
        <v>526.6875</v>
      </c>
      <c r="J1982" s="3">
        <f t="shared" si="30"/>
        <v>43749.561981956016</v>
      </c>
    </row>
    <row r="1983" spans="1:10" x14ac:dyDescent="0.25">
      <c r="A1983" s="5" t="s">
        <v>54593</v>
      </c>
      <c r="B1983" s="6">
        <v>393.75</v>
      </c>
      <c r="C1983" s="6">
        <v>20.584240000000001</v>
      </c>
      <c r="D1983" s="6">
        <v>47</v>
      </c>
      <c r="E1983" s="6">
        <v>0</v>
      </c>
      <c r="F1983" s="6">
        <v>0</v>
      </c>
      <c r="G1983" s="6">
        <v>20</v>
      </c>
      <c r="H1983" s="6" t="s">
        <v>54594</v>
      </c>
      <c r="I1983" s="6">
        <v>526.6875</v>
      </c>
      <c r="J1983" s="2">
        <f t="shared" si="30"/>
        <v>43749.562065393511</v>
      </c>
    </row>
    <row r="1984" spans="1:10" x14ac:dyDescent="0.25">
      <c r="A1984" s="7" t="s">
        <v>54595</v>
      </c>
      <c r="B1984" s="8">
        <v>393.75</v>
      </c>
      <c r="C1984" s="8">
        <v>20.584240000000001</v>
      </c>
      <c r="D1984" s="8">
        <v>47</v>
      </c>
      <c r="E1984" s="8">
        <v>0</v>
      </c>
      <c r="F1984" s="8">
        <v>0</v>
      </c>
      <c r="G1984" s="8">
        <v>19</v>
      </c>
      <c r="H1984" s="8" t="s">
        <v>54596</v>
      </c>
      <c r="I1984" s="8">
        <v>526.6875</v>
      </c>
      <c r="J1984" s="3">
        <f t="shared" si="30"/>
        <v>43749.562149097219</v>
      </c>
    </row>
    <row r="1985" spans="1:10" x14ac:dyDescent="0.25">
      <c r="A1985" s="5" t="s">
        <v>54597</v>
      </c>
      <c r="B1985" s="6">
        <v>393.75</v>
      </c>
      <c r="C1985" s="6">
        <v>20.531590000000001</v>
      </c>
      <c r="D1985" s="6">
        <v>47</v>
      </c>
      <c r="E1985" s="6">
        <v>0</v>
      </c>
      <c r="F1985" s="6">
        <v>0</v>
      </c>
      <c r="G1985" s="6">
        <v>18</v>
      </c>
      <c r="H1985" s="6" t="s">
        <v>54598</v>
      </c>
      <c r="I1985" s="6">
        <v>526.6875</v>
      </c>
      <c r="J1985" s="2">
        <f t="shared" si="30"/>
        <v>43749.562232407407</v>
      </c>
    </row>
    <row r="1986" spans="1:10" x14ac:dyDescent="0.25">
      <c r="A1986" s="7" t="s">
        <v>54599</v>
      </c>
      <c r="B1986" s="8">
        <v>415.625</v>
      </c>
      <c r="C1986" s="8">
        <v>20.584240000000001</v>
      </c>
      <c r="D1986" s="8">
        <v>47</v>
      </c>
      <c r="E1986" s="8">
        <v>0</v>
      </c>
      <c r="F1986" s="8">
        <v>0</v>
      </c>
      <c r="G1986" s="8">
        <v>12</v>
      </c>
      <c r="H1986" s="8" t="s">
        <v>54600</v>
      </c>
      <c r="I1986" s="8">
        <v>533.4375</v>
      </c>
      <c r="J1986" s="3">
        <f t="shared" ref="J1986:J2049" si="31">(H1986/86400000)+25569+(7/24)</f>
        <v>43749.562315659721</v>
      </c>
    </row>
    <row r="1987" spans="1:10" x14ac:dyDescent="0.25">
      <c r="A1987" s="5" t="s">
        <v>54601</v>
      </c>
      <c r="B1987" s="6">
        <v>393.75</v>
      </c>
      <c r="C1987" s="6">
        <v>20.584240000000001</v>
      </c>
      <c r="D1987" s="6">
        <v>47</v>
      </c>
      <c r="E1987" s="6">
        <v>0</v>
      </c>
      <c r="F1987" s="6">
        <v>0</v>
      </c>
      <c r="G1987" s="6">
        <v>4</v>
      </c>
      <c r="H1987" s="6" t="s">
        <v>54602</v>
      </c>
      <c r="I1987" s="6">
        <v>526.6875</v>
      </c>
      <c r="J1987" s="2">
        <f t="shared" si="31"/>
        <v>43749.562387407401</v>
      </c>
    </row>
    <row r="1988" spans="1:10" x14ac:dyDescent="0.25">
      <c r="A1988" s="7" t="s">
        <v>54603</v>
      </c>
      <c r="B1988" s="8">
        <v>393.75</v>
      </c>
      <c r="C1988" s="8">
        <v>20.584240000000001</v>
      </c>
      <c r="D1988" s="8">
        <v>46</v>
      </c>
      <c r="E1988" s="8">
        <v>0</v>
      </c>
      <c r="F1988" s="8">
        <v>0</v>
      </c>
      <c r="G1988" s="8">
        <v>5</v>
      </c>
      <c r="H1988" s="8" t="s">
        <v>54604</v>
      </c>
      <c r="I1988" s="8">
        <v>526.6875</v>
      </c>
      <c r="J1988" s="3">
        <f t="shared" si="31"/>
        <v>43749.562470960642</v>
      </c>
    </row>
    <row r="1989" spans="1:10" x14ac:dyDescent="0.25">
      <c r="A1989" s="5" t="s">
        <v>54605</v>
      </c>
      <c r="B1989" s="6">
        <v>393.75</v>
      </c>
      <c r="C1989" s="6">
        <v>20.584240000000001</v>
      </c>
      <c r="D1989" s="6">
        <v>46</v>
      </c>
      <c r="E1989" s="6">
        <v>0</v>
      </c>
      <c r="F1989" s="6">
        <v>0</v>
      </c>
      <c r="G1989" s="6">
        <v>5</v>
      </c>
      <c r="H1989" s="6" t="s">
        <v>54606</v>
      </c>
      <c r="I1989" s="6">
        <v>526.6875</v>
      </c>
      <c r="J1989" s="2">
        <f t="shared" si="31"/>
        <v>43749.562554398144</v>
      </c>
    </row>
    <row r="1990" spans="1:10" x14ac:dyDescent="0.25">
      <c r="A1990" s="7" t="s">
        <v>54607</v>
      </c>
      <c r="B1990" s="8">
        <v>393.75</v>
      </c>
      <c r="C1990" s="8">
        <v>20.531590000000001</v>
      </c>
      <c r="D1990" s="8">
        <v>45</v>
      </c>
      <c r="E1990" s="8">
        <v>0</v>
      </c>
      <c r="F1990" s="8">
        <v>0</v>
      </c>
      <c r="G1990" s="8">
        <v>9</v>
      </c>
      <c r="H1990" s="8" t="s">
        <v>54608</v>
      </c>
      <c r="I1990" s="8">
        <v>526.6875</v>
      </c>
      <c r="J1990" s="3">
        <f t="shared" si="31"/>
        <v>43749.56263797453</v>
      </c>
    </row>
    <row r="1991" spans="1:10" x14ac:dyDescent="0.25">
      <c r="A1991" s="5" t="s">
        <v>54609</v>
      </c>
      <c r="B1991" s="6">
        <v>393.75</v>
      </c>
      <c r="C1991" s="6">
        <v>20.584240000000001</v>
      </c>
      <c r="D1991" s="6">
        <v>44</v>
      </c>
      <c r="E1991" s="6">
        <v>0</v>
      </c>
      <c r="F1991" s="6">
        <v>0</v>
      </c>
      <c r="G1991" s="6">
        <v>2</v>
      </c>
      <c r="H1991" s="6" t="s">
        <v>54610</v>
      </c>
      <c r="I1991" s="6">
        <v>526.6875</v>
      </c>
      <c r="J1991" s="2">
        <f t="shared" si="31"/>
        <v>43749.56272141204</v>
      </c>
    </row>
    <row r="1992" spans="1:10" x14ac:dyDescent="0.25">
      <c r="A1992" s="7" t="s">
        <v>54611</v>
      </c>
      <c r="B1992" s="8">
        <v>393.75</v>
      </c>
      <c r="C1992" s="8">
        <v>20.584240000000001</v>
      </c>
      <c r="D1992" s="8">
        <v>45</v>
      </c>
      <c r="E1992" s="8">
        <v>0</v>
      </c>
      <c r="F1992" s="8">
        <v>0</v>
      </c>
      <c r="G1992" s="8">
        <v>4</v>
      </c>
      <c r="H1992" s="8" t="s">
        <v>54612</v>
      </c>
      <c r="I1992" s="8">
        <v>526.6875</v>
      </c>
      <c r="J1992" s="3">
        <f t="shared" si="31"/>
        <v>43749.562804629626</v>
      </c>
    </row>
    <row r="1993" spans="1:10" x14ac:dyDescent="0.25">
      <c r="A1993" s="5" t="s">
        <v>54613</v>
      </c>
      <c r="B1993" s="6">
        <v>393.75</v>
      </c>
      <c r="C1993" s="6">
        <v>20.531590000000001</v>
      </c>
      <c r="D1993" s="6">
        <v>45</v>
      </c>
      <c r="E1993" s="6">
        <v>0</v>
      </c>
      <c r="F1993" s="6">
        <v>0</v>
      </c>
      <c r="G1993" s="6">
        <v>0</v>
      </c>
      <c r="H1993" s="6" t="s">
        <v>54614</v>
      </c>
      <c r="I1993" s="6">
        <v>526.6875</v>
      </c>
      <c r="J1993" s="2">
        <f t="shared" si="31"/>
        <v>43749.562876412034</v>
      </c>
    </row>
    <row r="1994" spans="1:10" x14ac:dyDescent="0.25">
      <c r="A1994" s="7" t="s">
        <v>54615</v>
      </c>
      <c r="B1994" s="8">
        <v>393.75</v>
      </c>
      <c r="C1994" s="8">
        <v>20.584240000000001</v>
      </c>
      <c r="D1994" s="8">
        <v>44</v>
      </c>
      <c r="E1994" s="8">
        <v>0</v>
      </c>
      <c r="F1994" s="8">
        <v>0</v>
      </c>
      <c r="G1994" s="8">
        <v>4</v>
      </c>
      <c r="H1994" s="8" t="s">
        <v>54616</v>
      </c>
      <c r="I1994" s="8">
        <v>526.6875</v>
      </c>
      <c r="J1994" s="3">
        <f t="shared" si="31"/>
        <v>43749.562960208328</v>
      </c>
    </row>
    <row r="1995" spans="1:10" x14ac:dyDescent="0.25">
      <c r="A1995" s="5" t="s">
        <v>54617</v>
      </c>
      <c r="B1995" s="6">
        <v>393.75</v>
      </c>
      <c r="C1995" s="6">
        <v>20.531590000000001</v>
      </c>
      <c r="D1995" s="6">
        <v>50</v>
      </c>
      <c r="E1995" s="6">
        <v>0</v>
      </c>
      <c r="F1995" s="6">
        <v>0</v>
      </c>
      <c r="G1995" s="6">
        <v>7</v>
      </c>
      <c r="H1995" s="6" t="s">
        <v>54618</v>
      </c>
      <c r="I1995" s="6">
        <v>526.6875</v>
      </c>
      <c r="J1995" s="2">
        <f t="shared" si="31"/>
        <v>43749.563043425922</v>
      </c>
    </row>
    <row r="1996" spans="1:10" x14ac:dyDescent="0.25">
      <c r="A1996" s="7" t="s">
        <v>54619</v>
      </c>
      <c r="B1996" s="8">
        <v>393.75</v>
      </c>
      <c r="C1996" s="8">
        <v>20.584240000000001</v>
      </c>
      <c r="D1996" s="8">
        <v>50</v>
      </c>
      <c r="E1996" s="8">
        <v>0</v>
      </c>
      <c r="F1996" s="8">
        <v>0</v>
      </c>
      <c r="G1996" s="8">
        <v>3</v>
      </c>
      <c r="H1996" s="8" t="s">
        <v>54620</v>
      </c>
      <c r="I1996" s="8">
        <v>526.6875</v>
      </c>
      <c r="J1996" s="3">
        <f t="shared" si="31"/>
        <v>43749.56312673611</v>
      </c>
    </row>
    <row r="1997" spans="1:10" x14ac:dyDescent="0.25">
      <c r="A1997" s="5" t="s">
        <v>54621</v>
      </c>
      <c r="B1997" s="6">
        <v>393.75</v>
      </c>
      <c r="C1997" s="6">
        <v>20.531590000000001</v>
      </c>
      <c r="D1997" s="6">
        <v>50</v>
      </c>
      <c r="E1997" s="6">
        <v>0</v>
      </c>
      <c r="F1997" s="6">
        <v>0</v>
      </c>
      <c r="G1997" s="6">
        <v>5</v>
      </c>
      <c r="H1997" s="6" t="s">
        <v>54622</v>
      </c>
      <c r="I1997" s="6">
        <v>526.6875</v>
      </c>
      <c r="J1997" s="2">
        <f t="shared" si="31"/>
        <v>43749.563198391203</v>
      </c>
    </row>
    <row r="1998" spans="1:10" x14ac:dyDescent="0.25">
      <c r="A1998" s="7" t="s">
        <v>54623</v>
      </c>
      <c r="B1998" s="8">
        <v>393.75</v>
      </c>
      <c r="C1998" s="8">
        <v>20.584240000000001</v>
      </c>
      <c r="D1998" s="8">
        <v>47</v>
      </c>
      <c r="E1998" s="8">
        <v>0</v>
      </c>
      <c r="F1998" s="8">
        <v>0</v>
      </c>
      <c r="G1998" s="8">
        <v>9</v>
      </c>
      <c r="H1998" s="8" t="s">
        <v>54624</v>
      </c>
      <c r="I1998" s="8">
        <v>526.6875</v>
      </c>
      <c r="J1998" s="3">
        <f t="shared" si="31"/>
        <v>43749.563281967588</v>
      </c>
    </row>
    <row r="1999" spans="1:10" x14ac:dyDescent="0.25">
      <c r="A1999" s="5" t="s">
        <v>54625</v>
      </c>
      <c r="B1999" s="6">
        <v>412.5</v>
      </c>
      <c r="C1999" s="6">
        <v>20.584240000000001</v>
      </c>
      <c r="D1999" s="6">
        <v>47</v>
      </c>
      <c r="E1999" s="6">
        <v>0</v>
      </c>
      <c r="F1999" s="6">
        <v>0</v>
      </c>
      <c r="G1999" s="6">
        <v>11</v>
      </c>
      <c r="H1999" s="6" t="s">
        <v>54626</v>
      </c>
      <c r="I1999" s="6">
        <v>532.5</v>
      </c>
      <c r="J1999" s="2">
        <f t="shared" si="31"/>
        <v>43749.563365509261</v>
      </c>
    </row>
    <row r="2000" spans="1:10" x14ac:dyDescent="0.25">
      <c r="A2000" s="7" t="s">
        <v>54627</v>
      </c>
      <c r="B2000" s="8">
        <v>393.75</v>
      </c>
      <c r="C2000" s="8">
        <v>20.584240000000001</v>
      </c>
      <c r="D2000" s="8">
        <v>46</v>
      </c>
      <c r="E2000" s="8">
        <v>0</v>
      </c>
      <c r="F2000" s="8">
        <v>0</v>
      </c>
      <c r="G2000" s="8">
        <v>7</v>
      </c>
      <c r="H2000" s="8" t="s">
        <v>54628</v>
      </c>
      <c r="I2000" s="8">
        <v>526.6875</v>
      </c>
      <c r="J2000" s="3">
        <f t="shared" si="31"/>
        <v>43749.563449097222</v>
      </c>
    </row>
    <row r="2001" spans="1:10" x14ac:dyDescent="0.25">
      <c r="A2001" s="5" t="s">
        <v>54629</v>
      </c>
      <c r="B2001" s="6">
        <v>393.75</v>
      </c>
      <c r="C2001" s="6">
        <v>20.531590000000001</v>
      </c>
      <c r="D2001" s="6">
        <v>46</v>
      </c>
      <c r="E2001" s="6">
        <v>0</v>
      </c>
      <c r="F2001" s="6">
        <v>0</v>
      </c>
      <c r="G2001" s="6">
        <v>7</v>
      </c>
      <c r="H2001" s="6" t="s">
        <v>54630</v>
      </c>
      <c r="I2001" s="6">
        <v>526.6875</v>
      </c>
      <c r="J2001" s="2">
        <f t="shared" si="31"/>
        <v>43749.563532407403</v>
      </c>
    </row>
    <row r="2002" spans="1:10" x14ac:dyDescent="0.25">
      <c r="A2002" s="7" t="s">
        <v>54631</v>
      </c>
      <c r="B2002" s="8">
        <v>393.75</v>
      </c>
      <c r="C2002" s="8">
        <v>20.584240000000001</v>
      </c>
      <c r="D2002" s="8">
        <v>45</v>
      </c>
      <c r="E2002" s="8">
        <v>0</v>
      </c>
      <c r="F2002" s="8">
        <v>0</v>
      </c>
      <c r="G2002" s="8">
        <v>9</v>
      </c>
      <c r="H2002" s="8" t="s">
        <v>54632</v>
      </c>
      <c r="I2002" s="8">
        <v>526.6875</v>
      </c>
      <c r="J2002" s="3">
        <f t="shared" si="31"/>
        <v>43749.563615648141</v>
      </c>
    </row>
    <row r="2003" spans="1:10" x14ac:dyDescent="0.25">
      <c r="A2003" s="5" t="s">
        <v>54633</v>
      </c>
      <c r="B2003" s="6">
        <v>393.75</v>
      </c>
      <c r="C2003" s="6">
        <v>20.584240000000001</v>
      </c>
      <c r="D2003" s="6">
        <v>45</v>
      </c>
      <c r="E2003" s="6">
        <v>0</v>
      </c>
      <c r="F2003" s="6">
        <v>0</v>
      </c>
      <c r="G2003" s="6">
        <v>14</v>
      </c>
      <c r="H2003" s="6" t="s">
        <v>54634</v>
      </c>
      <c r="I2003" s="6">
        <v>526.6875</v>
      </c>
      <c r="J2003" s="2">
        <f t="shared" si="31"/>
        <v>43749.563687384252</v>
      </c>
    </row>
    <row r="2004" spans="1:10" x14ac:dyDescent="0.25">
      <c r="A2004" s="7" t="s">
        <v>54635</v>
      </c>
      <c r="B2004" s="8">
        <v>412.5</v>
      </c>
      <c r="C2004" s="8">
        <v>20.584240000000001</v>
      </c>
      <c r="D2004" s="8">
        <v>46</v>
      </c>
      <c r="E2004" s="8">
        <v>0</v>
      </c>
      <c r="F2004" s="8">
        <v>0</v>
      </c>
      <c r="G2004" s="8">
        <v>10</v>
      </c>
      <c r="H2004" s="8" t="s">
        <v>54636</v>
      </c>
      <c r="I2004" s="8">
        <v>532.5</v>
      </c>
      <c r="J2004" s="3">
        <f t="shared" si="31"/>
        <v>43749.563771296293</v>
      </c>
    </row>
    <row r="2005" spans="1:10" x14ac:dyDescent="0.25">
      <c r="A2005" s="5" t="s">
        <v>54637</v>
      </c>
      <c r="B2005" s="6">
        <v>393.75</v>
      </c>
      <c r="C2005" s="6">
        <v>20.531590000000001</v>
      </c>
      <c r="D2005" s="6">
        <v>47</v>
      </c>
      <c r="E2005" s="6">
        <v>0</v>
      </c>
      <c r="F2005" s="6">
        <v>0</v>
      </c>
      <c r="G2005" s="6">
        <v>23</v>
      </c>
      <c r="H2005" s="6" t="s">
        <v>54638</v>
      </c>
      <c r="I2005" s="6">
        <v>526.6875</v>
      </c>
      <c r="J2005" s="2">
        <f t="shared" si="31"/>
        <v>43749.563866493052</v>
      </c>
    </row>
    <row r="2006" spans="1:10" x14ac:dyDescent="0.25">
      <c r="A2006" s="7" t="s">
        <v>54639</v>
      </c>
      <c r="B2006" s="8">
        <v>393.75</v>
      </c>
      <c r="C2006" s="8">
        <v>20.584240000000001</v>
      </c>
      <c r="D2006" s="8">
        <v>45</v>
      </c>
      <c r="E2006" s="8">
        <v>0</v>
      </c>
      <c r="F2006" s="8">
        <v>0</v>
      </c>
      <c r="G2006" s="8">
        <v>15</v>
      </c>
      <c r="H2006" s="8" t="s">
        <v>54640</v>
      </c>
      <c r="I2006" s="8">
        <v>526.6875</v>
      </c>
      <c r="J2006" s="3">
        <f t="shared" si="31"/>
        <v>43749.563949918978</v>
      </c>
    </row>
    <row r="2007" spans="1:10" x14ac:dyDescent="0.25">
      <c r="A2007" s="5" t="s">
        <v>54641</v>
      </c>
      <c r="B2007" s="6">
        <v>393.75</v>
      </c>
      <c r="C2007" s="6">
        <v>20.531590000000001</v>
      </c>
      <c r="D2007" s="6">
        <v>46</v>
      </c>
      <c r="E2007" s="6">
        <v>0</v>
      </c>
      <c r="F2007" s="6">
        <v>0</v>
      </c>
      <c r="G2007" s="6">
        <v>19</v>
      </c>
      <c r="H2007" s="6" t="s">
        <v>54642</v>
      </c>
      <c r="I2007" s="6">
        <v>526.6875</v>
      </c>
      <c r="J2007" s="2">
        <f t="shared" si="31"/>
        <v>43749.564021574071</v>
      </c>
    </row>
    <row r="2008" spans="1:10" x14ac:dyDescent="0.25">
      <c r="A2008" s="7" t="s">
        <v>54643</v>
      </c>
      <c r="B2008" s="8">
        <v>393.75</v>
      </c>
      <c r="C2008" s="8">
        <v>20.531590000000001</v>
      </c>
      <c r="D2008" s="8">
        <v>44</v>
      </c>
      <c r="E2008" s="8">
        <v>0</v>
      </c>
      <c r="F2008" s="8">
        <v>0</v>
      </c>
      <c r="G2008" s="8">
        <v>13</v>
      </c>
      <c r="H2008" s="8" t="s">
        <v>54644</v>
      </c>
      <c r="I2008" s="8">
        <v>526.6875</v>
      </c>
      <c r="J2008" s="3">
        <f t="shared" si="31"/>
        <v>43749.56410466435</v>
      </c>
    </row>
    <row r="2009" spans="1:10" x14ac:dyDescent="0.25">
      <c r="A2009" s="5" t="s">
        <v>54645</v>
      </c>
      <c r="B2009" s="6">
        <v>393.75</v>
      </c>
      <c r="C2009" s="6">
        <v>20.584240000000001</v>
      </c>
      <c r="D2009" s="6">
        <v>44</v>
      </c>
      <c r="E2009" s="6">
        <v>0</v>
      </c>
      <c r="F2009" s="6">
        <v>0</v>
      </c>
      <c r="G2009" s="6">
        <v>22</v>
      </c>
      <c r="H2009" s="6" t="s">
        <v>54646</v>
      </c>
      <c r="I2009" s="6">
        <v>526.6875</v>
      </c>
      <c r="J2009" s="2">
        <f t="shared" si="31"/>
        <v>43749.564188472221</v>
      </c>
    </row>
    <row r="2010" spans="1:10" x14ac:dyDescent="0.25">
      <c r="A2010" s="7" t="s">
        <v>54647</v>
      </c>
      <c r="B2010" s="8">
        <v>393.75</v>
      </c>
      <c r="C2010" s="8">
        <v>20.584240000000001</v>
      </c>
      <c r="D2010" s="8">
        <v>44</v>
      </c>
      <c r="E2010" s="8">
        <v>0</v>
      </c>
      <c r="F2010" s="8">
        <v>0</v>
      </c>
      <c r="G2010" s="8">
        <v>21</v>
      </c>
      <c r="H2010" s="8" t="s">
        <v>54648</v>
      </c>
      <c r="I2010" s="8">
        <v>526.6875</v>
      </c>
      <c r="J2010" s="3">
        <f t="shared" si="31"/>
        <v>43749.564283877313</v>
      </c>
    </row>
    <row r="2011" spans="1:10" x14ac:dyDescent="0.25">
      <c r="A2011" s="5" t="s">
        <v>54649</v>
      </c>
      <c r="B2011" s="6">
        <v>393.75</v>
      </c>
      <c r="C2011" s="6">
        <v>20.584240000000001</v>
      </c>
      <c r="D2011" s="6">
        <v>44</v>
      </c>
      <c r="E2011" s="6">
        <v>0</v>
      </c>
      <c r="F2011" s="6">
        <v>0</v>
      </c>
      <c r="G2011" s="6">
        <v>15</v>
      </c>
      <c r="H2011" s="6" t="s">
        <v>54650</v>
      </c>
      <c r="I2011" s="6">
        <v>526.6875</v>
      </c>
      <c r="J2011" s="2">
        <f t="shared" si="31"/>
        <v>43749.564367442123</v>
      </c>
    </row>
    <row r="2012" spans="1:10" x14ac:dyDescent="0.25">
      <c r="A2012" s="7" t="s">
        <v>54651</v>
      </c>
      <c r="B2012" s="8">
        <v>393.75</v>
      </c>
      <c r="C2012" s="8">
        <v>20.584240000000001</v>
      </c>
      <c r="D2012" s="8">
        <v>45</v>
      </c>
      <c r="E2012" s="8">
        <v>0</v>
      </c>
      <c r="F2012" s="8">
        <v>0</v>
      </c>
      <c r="G2012" s="8">
        <v>16</v>
      </c>
      <c r="H2012" s="8" t="s">
        <v>54652</v>
      </c>
      <c r="I2012" s="8">
        <v>526.6875</v>
      </c>
      <c r="J2012" s="3">
        <f t="shared" si="31"/>
        <v>43749.564450798607</v>
      </c>
    </row>
    <row r="2013" spans="1:10" x14ac:dyDescent="0.25">
      <c r="A2013" s="5" t="s">
        <v>54653</v>
      </c>
      <c r="B2013" s="6">
        <v>393.75</v>
      </c>
      <c r="C2013" s="6">
        <v>20.531590000000001</v>
      </c>
      <c r="D2013" s="6">
        <v>46</v>
      </c>
      <c r="E2013" s="6">
        <v>0</v>
      </c>
      <c r="F2013" s="6">
        <v>0</v>
      </c>
      <c r="G2013" s="6">
        <v>6</v>
      </c>
      <c r="H2013" s="6" t="s">
        <v>54654</v>
      </c>
      <c r="I2013" s="6">
        <v>526.6875</v>
      </c>
      <c r="J2013" s="2">
        <f t="shared" si="31"/>
        <v>43749.564534108795</v>
      </c>
    </row>
    <row r="2014" spans="1:10" x14ac:dyDescent="0.25">
      <c r="A2014" s="7" t="s">
        <v>54655</v>
      </c>
      <c r="B2014" s="8">
        <v>393.75</v>
      </c>
      <c r="C2014" s="8">
        <v>20.584240000000001</v>
      </c>
      <c r="D2014" s="8">
        <v>46</v>
      </c>
      <c r="E2014" s="8">
        <v>0</v>
      </c>
      <c r="F2014" s="8">
        <v>0</v>
      </c>
      <c r="G2014" s="8">
        <v>12</v>
      </c>
      <c r="H2014" s="8" t="s">
        <v>54656</v>
      </c>
      <c r="I2014" s="8">
        <v>526.6875</v>
      </c>
      <c r="J2014" s="3">
        <f t="shared" si="31"/>
        <v>43749.56461778935</v>
      </c>
    </row>
    <row r="2015" spans="1:10" x14ac:dyDescent="0.25">
      <c r="A2015" s="5" t="s">
        <v>54657</v>
      </c>
      <c r="B2015" s="6">
        <v>415.625</v>
      </c>
      <c r="C2015" s="6">
        <v>20.584240000000001</v>
      </c>
      <c r="D2015" s="6">
        <v>47</v>
      </c>
      <c r="E2015" s="6">
        <v>0</v>
      </c>
      <c r="F2015" s="6">
        <v>0</v>
      </c>
      <c r="G2015" s="6">
        <v>13</v>
      </c>
      <c r="H2015" s="6" t="s">
        <v>54658</v>
      </c>
      <c r="I2015" s="6">
        <v>533.625</v>
      </c>
      <c r="J2015" s="2">
        <f t="shared" si="31"/>
        <v>43749.56470091435</v>
      </c>
    </row>
    <row r="2016" spans="1:10" x14ac:dyDescent="0.25">
      <c r="A2016" s="7" t="s">
        <v>54659</v>
      </c>
      <c r="B2016" s="8">
        <v>393.75</v>
      </c>
      <c r="C2016" s="8">
        <v>20.584240000000001</v>
      </c>
      <c r="D2016" s="8">
        <v>47</v>
      </c>
      <c r="E2016" s="8">
        <v>0</v>
      </c>
      <c r="F2016" s="8">
        <v>0</v>
      </c>
      <c r="G2016" s="8">
        <v>17</v>
      </c>
      <c r="H2016" s="8" t="s">
        <v>54660</v>
      </c>
      <c r="I2016" s="8">
        <v>526.5</v>
      </c>
      <c r="J2016" s="3">
        <f t="shared" si="31"/>
        <v>43749.564772557867</v>
      </c>
    </row>
    <row r="2017" spans="1:10" x14ac:dyDescent="0.25">
      <c r="A2017" s="5" t="s">
        <v>54661</v>
      </c>
      <c r="B2017" s="6">
        <v>393.75</v>
      </c>
      <c r="C2017" s="6">
        <v>20.584240000000001</v>
      </c>
      <c r="D2017" s="6">
        <v>45</v>
      </c>
      <c r="E2017" s="6">
        <v>0</v>
      </c>
      <c r="F2017" s="6">
        <v>0</v>
      </c>
      <c r="G2017" s="6">
        <v>13</v>
      </c>
      <c r="H2017" s="6" t="s">
        <v>54662</v>
      </c>
      <c r="I2017" s="6">
        <v>526.6875</v>
      </c>
      <c r="J2017" s="2">
        <f t="shared" si="31"/>
        <v>43749.5648564699</v>
      </c>
    </row>
    <row r="2018" spans="1:10" x14ac:dyDescent="0.25">
      <c r="A2018" s="7" t="s">
        <v>54663</v>
      </c>
      <c r="B2018" s="8">
        <v>412.5</v>
      </c>
      <c r="C2018" s="8">
        <v>20.584240000000001</v>
      </c>
      <c r="D2018" s="8">
        <v>43</v>
      </c>
      <c r="E2018" s="8">
        <v>0</v>
      </c>
      <c r="F2018" s="8">
        <v>0</v>
      </c>
      <c r="G2018" s="8">
        <v>9</v>
      </c>
      <c r="H2018" s="8" t="s">
        <v>54664</v>
      </c>
      <c r="I2018" s="8">
        <v>532.3125</v>
      </c>
      <c r="J2018" s="3">
        <f t="shared" si="31"/>
        <v>43749.56493980324</v>
      </c>
    </row>
    <row r="2019" spans="1:10" x14ac:dyDescent="0.25">
      <c r="A2019" s="5" t="s">
        <v>54665</v>
      </c>
      <c r="B2019" s="6">
        <v>393.75</v>
      </c>
      <c r="C2019" s="6">
        <v>20.584240000000001</v>
      </c>
      <c r="D2019" s="6">
        <v>43</v>
      </c>
      <c r="E2019" s="6">
        <v>0</v>
      </c>
      <c r="F2019" s="6">
        <v>0</v>
      </c>
      <c r="G2019" s="6">
        <v>9</v>
      </c>
      <c r="H2019" s="6" t="s">
        <v>54666</v>
      </c>
      <c r="I2019" s="6">
        <v>526.6875</v>
      </c>
      <c r="J2019" s="2">
        <f t="shared" si="31"/>
        <v>43749.565023113428</v>
      </c>
    </row>
    <row r="2020" spans="1:10" x14ac:dyDescent="0.25">
      <c r="A2020" s="7" t="s">
        <v>54667</v>
      </c>
      <c r="B2020" s="8">
        <v>393.75</v>
      </c>
      <c r="C2020" s="8">
        <v>20.584240000000001</v>
      </c>
      <c r="D2020" s="8">
        <v>43</v>
      </c>
      <c r="E2020" s="8">
        <v>0</v>
      </c>
      <c r="F2020" s="8">
        <v>0</v>
      </c>
      <c r="G2020" s="8">
        <v>0</v>
      </c>
      <c r="H2020" s="8" t="s">
        <v>54668</v>
      </c>
      <c r="I2020" s="8">
        <v>526.6875</v>
      </c>
      <c r="J2020" s="3">
        <f t="shared" si="31"/>
        <v>43749.56509478009</v>
      </c>
    </row>
    <row r="2021" spans="1:10" x14ac:dyDescent="0.25">
      <c r="A2021" s="5" t="s">
        <v>54669</v>
      </c>
      <c r="B2021" s="6">
        <v>393.75</v>
      </c>
      <c r="C2021" s="6">
        <v>20.584240000000001</v>
      </c>
      <c r="D2021" s="6">
        <v>44</v>
      </c>
      <c r="E2021" s="6">
        <v>0</v>
      </c>
      <c r="F2021" s="6">
        <v>0</v>
      </c>
      <c r="G2021" s="6">
        <v>0</v>
      </c>
      <c r="H2021" s="6" t="s">
        <v>54670</v>
      </c>
      <c r="I2021" s="6">
        <v>526.6875</v>
      </c>
      <c r="J2021" s="2">
        <f t="shared" si="31"/>
        <v>43749.565178356475</v>
      </c>
    </row>
    <row r="2022" spans="1:10" x14ac:dyDescent="0.25">
      <c r="A2022" s="7" t="s">
        <v>54671</v>
      </c>
      <c r="B2022" s="8">
        <v>393.75</v>
      </c>
      <c r="C2022" s="8">
        <v>20.584240000000001</v>
      </c>
      <c r="D2022" s="8">
        <v>43</v>
      </c>
      <c r="E2022" s="8">
        <v>0</v>
      </c>
      <c r="F2022" s="8">
        <v>0</v>
      </c>
      <c r="G2022" s="8">
        <v>0</v>
      </c>
      <c r="H2022" s="8" t="s">
        <v>54672</v>
      </c>
      <c r="I2022" s="8">
        <v>526.6875</v>
      </c>
      <c r="J2022" s="3">
        <f t="shared" si="31"/>
        <v>43749.565249652776</v>
      </c>
    </row>
    <row r="2023" spans="1:10" x14ac:dyDescent="0.25">
      <c r="A2023" s="5" t="s">
        <v>54673</v>
      </c>
      <c r="B2023" s="6">
        <v>393.75</v>
      </c>
      <c r="C2023" s="6">
        <v>20.584240000000001</v>
      </c>
      <c r="D2023" s="6">
        <v>43</v>
      </c>
      <c r="E2023" s="6">
        <v>0</v>
      </c>
      <c r="F2023" s="6">
        <v>0</v>
      </c>
      <c r="G2023" s="6">
        <v>0</v>
      </c>
      <c r="H2023" s="6" t="s">
        <v>54674</v>
      </c>
      <c r="I2023" s="6">
        <v>526.6875</v>
      </c>
      <c r="J2023" s="2">
        <f t="shared" si="31"/>
        <v>43749.565333321756</v>
      </c>
    </row>
    <row r="2024" spans="1:10" x14ac:dyDescent="0.25">
      <c r="A2024" s="7" t="s">
        <v>54675</v>
      </c>
      <c r="B2024" s="8">
        <v>393.75</v>
      </c>
      <c r="C2024" s="8">
        <v>20.584240000000001</v>
      </c>
      <c r="D2024" s="8">
        <v>43</v>
      </c>
      <c r="E2024" s="8">
        <v>0</v>
      </c>
      <c r="F2024" s="8">
        <v>0</v>
      </c>
      <c r="G2024" s="8">
        <v>1</v>
      </c>
      <c r="H2024" s="8" t="s">
        <v>54676</v>
      </c>
      <c r="I2024" s="8">
        <v>526.6875</v>
      </c>
      <c r="J2024" s="3">
        <f t="shared" si="31"/>
        <v>43749.565416886573</v>
      </c>
    </row>
    <row r="2025" spans="1:10" x14ac:dyDescent="0.25">
      <c r="A2025" s="5" t="s">
        <v>54677</v>
      </c>
      <c r="B2025" s="6">
        <v>393.75</v>
      </c>
      <c r="C2025" s="6">
        <v>20.584240000000001</v>
      </c>
      <c r="D2025" s="6">
        <v>44</v>
      </c>
      <c r="E2025" s="6">
        <v>0</v>
      </c>
      <c r="F2025" s="6">
        <v>0</v>
      </c>
      <c r="G2025" s="6">
        <v>15</v>
      </c>
      <c r="H2025" s="6" t="s">
        <v>54678</v>
      </c>
      <c r="I2025" s="6">
        <v>526.6875</v>
      </c>
      <c r="J2025" s="2">
        <f t="shared" si="31"/>
        <v>43749.565488402775</v>
      </c>
    </row>
    <row r="2026" spans="1:10" x14ac:dyDescent="0.25">
      <c r="A2026" s="7" t="s">
        <v>54679</v>
      </c>
      <c r="B2026" s="8">
        <v>393.75</v>
      </c>
      <c r="C2026" s="8">
        <v>20.584240000000001</v>
      </c>
      <c r="D2026" s="8">
        <v>43</v>
      </c>
      <c r="E2026" s="8">
        <v>0</v>
      </c>
      <c r="F2026" s="8">
        <v>0</v>
      </c>
      <c r="G2026" s="8">
        <v>9</v>
      </c>
      <c r="H2026" s="8" t="s">
        <v>54680</v>
      </c>
      <c r="I2026" s="8">
        <v>526.6875</v>
      </c>
      <c r="J2026" s="3">
        <f t="shared" si="31"/>
        <v>43749.565571643521</v>
      </c>
    </row>
    <row r="2027" spans="1:10" x14ac:dyDescent="0.25">
      <c r="A2027" s="5" t="s">
        <v>54681</v>
      </c>
      <c r="B2027" s="6">
        <v>393.75</v>
      </c>
      <c r="C2027" s="6">
        <v>20.584240000000001</v>
      </c>
      <c r="D2027" s="6">
        <v>43</v>
      </c>
      <c r="E2027" s="6">
        <v>0</v>
      </c>
      <c r="F2027" s="6">
        <v>0</v>
      </c>
      <c r="G2027" s="6">
        <v>21</v>
      </c>
      <c r="H2027" s="6" t="s">
        <v>54682</v>
      </c>
      <c r="I2027" s="6">
        <v>526.6875</v>
      </c>
      <c r="J2027" s="2">
        <f t="shared" si="31"/>
        <v>43749.565643368049</v>
      </c>
    </row>
    <row r="2028" spans="1:10" x14ac:dyDescent="0.25">
      <c r="A2028" s="7" t="s">
        <v>54683</v>
      </c>
      <c r="B2028" s="8">
        <v>393.75</v>
      </c>
      <c r="C2028" s="8">
        <v>20.584240000000001</v>
      </c>
      <c r="D2028" s="8">
        <v>44</v>
      </c>
      <c r="E2028" s="8">
        <v>0</v>
      </c>
      <c r="F2028" s="8">
        <v>0</v>
      </c>
      <c r="G2028" s="8">
        <v>14</v>
      </c>
      <c r="H2028" s="8" t="s">
        <v>54684</v>
      </c>
      <c r="I2028" s="8">
        <v>526.6875</v>
      </c>
      <c r="J2028" s="3">
        <f t="shared" si="31"/>
        <v>43749.565726724533</v>
      </c>
    </row>
    <row r="2029" spans="1:10" x14ac:dyDescent="0.25">
      <c r="A2029" s="5" t="s">
        <v>54685</v>
      </c>
      <c r="B2029" s="6">
        <v>412.5</v>
      </c>
      <c r="C2029" s="6">
        <v>20.584240000000001</v>
      </c>
      <c r="D2029" s="6">
        <v>44</v>
      </c>
      <c r="E2029" s="6">
        <v>0</v>
      </c>
      <c r="F2029" s="6">
        <v>0</v>
      </c>
      <c r="G2029" s="6">
        <v>22</v>
      </c>
      <c r="H2029" s="6" t="s">
        <v>54686</v>
      </c>
      <c r="I2029" s="6">
        <v>532.3125</v>
      </c>
      <c r="J2029" s="2">
        <f t="shared" si="31"/>
        <v>43749.565798356482</v>
      </c>
    </row>
    <row r="2030" spans="1:10" x14ac:dyDescent="0.25">
      <c r="A2030" s="7" t="s">
        <v>54687</v>
      </c>
      <c r="B2030" s="8">
        <v>393.75</v>
      </c>
      <c r="C2030" s="8">
        <v>20.584240000000001</v>
      </c>
      <c r="D2030" s="8">
        <v>47</v>
      </c>
      <c r="E2030" s="8">
        <v>0</v>
      </c>
      <c r="F2030" s="8">
        <v>0</v>
      </c>
      <c r="G2030" s="8">
        <v>19</v>
      </c>
      <c r="H2030" s="8" t="s">
        <v>54688</v>
      </c>
      <c r="I2030" s="8">
        <v>526.6875</v>
      </c>
      <c r="J2030" s="3">
        <f t="shared" si="31"/>
        <v>43749.565870115737</v>
      </c>
    </row>
    <row r="2031" spans="1:10" x14ac:dyDescent="0.25">
      <c r="A2031" s="5" t="s">
        <v>54689</v>
      </c>
      <c r="B2031" s="6">
        <v>393.75</v>
      </c>
      <c r="C2031" s="6">
        <v>20.531590000000001</v>
      </c>
      <c r="D2031" s="6">
        <v>49</v>
      </c>
      <c r="E2031" s="6">
        <v>0</v>
      </c>
      <c r="F2031" s="6">
        <v>0</v>
      </c>
      <c r="G2031" s="6">
        <v>17</v>
      </c>
      <c r="H2031" s="6" t="s">
        <v>54690</v>
      </c>
      <c r="I2031" s="6">
        <v>526.6875</v>
      </c>
      <c r="J2031" s="2">
        <f t="shared" si="31"/>
        <v>43749.565953460646</v>
      </c>
    </row>
    <row r="2032" spans="1:10" x14ac:dyDescent="0.25">
      <c r="A2032" s="7" t="s">
        <v>54691</v>
      </c>
      <c r="B2032" s="8">
        <v>393.75</v>
      </c>
      <c r="C2032" s="8">
        <v>20.584240000000001</v>
      </c>
      <c r="D2032" s="8">
        <v>46</v>
      </c>
      <c r="E2032" s="8">
        <v>0</v>
      </c>
      <c r="F2032" s="8">
        <v>0</v>
      </c>
      <c r="G2032" s="8">
        <v>10</v>
      </c>
      <c r="H2032" s="8" t="s">
        <v>54692</v>
      </c>
      <c r="I2032" s="8">
        <v>526.6875</v>
      </c>
      <c r="J2032" s="3">
        <f t="shared" si="31"/>
        <v>43749.566025092594</v>
      </c>
    </row>
    <row r="2033" spans="1:10" x14ac:dyDescent="0.25">
      <c r="A2033" s="5" t="s">
        <v>54693</v>
      </c>
      <c r="B2033" s="6">
        <v>393.75</v>
      </c>
      <c r="C2033" s="6">
        <v>20.531590000000001</v>
      </c>
      <c r="D2033" s="6">
        <v>46</v>
      </c>
      <c r="E2033" s="6">
        <v>0</v>
      </c>
      <c r="F2033" s="6">
        <v>0</v>
      </c>
      <c r="G2033" s="6">
        <v>5</v>
      </c>
      <c r="H2033" s="6" t="s">
        <v>54694</v>
      </c>
      <c r="I2033" s="6">
        <v>526.6875</v>
      </c>
      <c r="J2033" s="2">
        <f t="shared" si="31"/>
        <v>43749.56610831018</v>
      </c>
    </row>
    <row r="2034" spans="1:10" x14ac:dyDescent="0.25">
      <c r="A2034" s="7" t="s">
        <v>54695</v>
      </c>
      <c r="B2034" s="8">
        <v>393.75</v>
      </c>
      <c r="C2034" s="8">
        <v>20.584240000000001</v>
      </c>
      <c r="D2034" s="8">
        <v>46</v>
      </c>
      <c r="E2034" s="8">
        <v>0</v>
      </c>
      <c r="F2034" s="8">
        <v>0</v>
      </c>
      <c r="G2034" s="8">
        <v>8</v>
      </c>
      <c r="H2034" s="8" t="s">
        <v>54696</v>
      </c>
      <c r="I2034" s="8">
        <v>526.6875</v>
      </c>
      <c r="J2034" s="3">
        <f t="shared" si="31"/>
        <v>43749.566179953697</v>
      </c>
    </row>
    <row r="2035" spans="1:10" x14ac:dyDescent="0.25">
      <c r="A2035" s="5" t="s">
        <v>54697</v>
      </c>
      <c r="B2035" s="6">
        <v>393.75</v>
      </c>
      <c r="C2035" s="6">
        <v>20.584240000000001</v>
      </c>
      <c r="D2035" s="6">
        <v>46</v>
      </c>
      <c r="E2035" s="6">
        <v>0</v>
      </c>
      <c r="F2035" s="6">
        <v>0</v>
      </c>
      <c r="G2035" s="6">
        <v>14</v>
      </c>
      <c r="H2035" s="6" t="s">
        <v>54698</v>
      </c>
      <c r="I2035" s="6">
        <v>526.6875</v>
      </c>
      <c r="J2035" s="2">
        <f t="shared" si="31"/>
        <v>43749.566263738423</v>
      </c>
    </row>
    <row r="2036" spans="1:10" x14ac:dyDescent="0.25">
      <c r="A2036" s="7" t="s">
        <v>54699</v>
      </c>
      <c r="B2036" s="8">
        <v>393.75</v>
      </c>
      <c r="C2036" s="8">
        <v>20.584240000000001</v>
      </c>
      <c r="D2036" s="8">
        <v>46</v>
      </c>
      <c r="E2036" s="8">
        <v>0</v>
      </c>
      <c r="F2036" s="8">
        <v>0</v>
      </c>
      <c r="G2036" s="8">
        <v>19</v>
      </c>
      <c r="H2036" s="8" t="s">
        <v>54700</v>
      </c>
      <c r="I2036" s="8">
        <v>526.6875</v>
      </c>
      <c r="J2036" s="3">
        <f t="shared" si="31"/>
        <v>43749.566347187494</v>
      </c>
    </row>
    <row r="2037" spans="1:10" x14ac:dyDescent="0.25">
      <c r="A2037" s="5" t="s">
        <v>54701</v>
      </c>
      <c r="B2037" s="6">
        <v>393.75</v>
      </c>
      <c r="C2037" s="6">
        <v>20.584240000000001</v>
      </c>
      <c r="D2037" s="6">
        <v>50</v>
      </c>
      <c r="E2037" s="6">
        <v>0</v>
      </c>
      <c r="F2037" s="6">
        <v>0</v>
      </c>
      <c r="G2037" s="6">
        <v>23</v>
      </c>
      <c r="H2037" s="6" t="s">
        <v>54702</v>
      </c>
      <c r="I2037" s="6">
        <v>526.6875</v>
      </c>
      <c r="J2037" s="2">
        <f t="shared" si="31"/>
        <v>43749.566430405095</v>
      </c>
    </row>
    <row r="2038" spans="1:10" x14ac:dyDescent="0.25">
      <c r="A2038" s="7" t="s">
        <v>54703</v>
      </c>
      <c r="B2038" s="8">
        <v>393.75</v>
      </c>
      <c r="C2038" s="8">
        <v>20.531590000000001</v>
      </c>
      <c r="D2038" s="8">
        <v>50</v>
      </c>
      <c r="E2038" s="8">
        <v>0</v>
      </c>
      <c r="F2038" s="8">
        <v>0</v>
      </c>
      <c r="G2038" s="8">
        <v>24</v>
      </c>
      <c r="H2038" s="8" t="s">
        <v>54704</v>
      </c>
      <c r="I2038" s="8">
        <v>526.6875</v>
      </c>
      <c r="J2038" s="3">
        <f t="shared" si="31"/>
        <v>43749.566529942131</v>
      </c>
    </row>
    <row r="2039" spans="1:10" x14ac:dyDescent="0.25">
      <c r="A2039" s="5" t="s">
        <v>54705</v>
      </c>
      <c r="B2039" s="6">
        <v>393.75</v>
      </c>
      <c r="C2039" s="6">
        <v>20.531590000000001</v>
      </c>
      <c r="D2039" s="6">
        <v>48</v>
      </c>
      <c r="E2039" s="6">
        <v>0</v>
      </c>
      <c r="F2039" s="6">
        <v>0</v>
      </c>
      <c r="G2039" s="6">
        <v>19</v>
      </c>
      <c r="H2039" s="6" t="s">
        <v>54706</v>
      </c>
      <c r="I2039" s="6">
        <v>526.6875</v>
      </c>
      <c r="J2039" s="2">
        <f t="shared" si="31"/>
        <v>43749.566609641202</v>
      </c>
    </row>
    <row r="2040" spans="1:10" x14ac:dyDescent="0.25">
      <c r="A2040" s="7" t="s">
        <v>54707</v>
      </c>
      <c r="B2040" s="8">
        <v>393.75</v>
      </c>
      <c r="C2040" s="8">
        <v>20.584240000000001</v>
      </c>
      <c r="D2040" s="8">
        <v>48</v>
      </c>
      <c r="E2040" s="8">
        <v>0</v>
      </c>
      <c r="F2040" s="8">
        <v>0</v>
      </c>
      <c r="G2040" s="8">
        <v>28</v>
      </c>
      <c r="H2040" s="8" t="s">
        <v>54708</v>
      </c>
      <c r="I2040" s="8">
        <v>526.6875</v>
      </c>
      <c r="J2040" s="3">
        <f t="shared" si="31"/>
        <v>43749.566693449073</v>
      </c>
    </row>
    <row r="2041" spans="1:10" x14ac:dyDescent="0.25">
      <c r="A2041" s="5" t="s">
        <v>54709</v>
      </c>
      <c r="B2041" s="6">
        <v>393.75</v>
      </c>
      <c r="C2041" s="6">
        <v>20.584240000000001</v>
      </c>
      <c r="D2041" s="6">
        <v>46</v>
      </c>
      <c r="E2041" s="6">
        <v>0</v>
      </c>
      <c r="F2041" s="6">
        <v>0</v>
      </c>
      <c r="G2041" s="6">
        <v>12</v>
      </c>
      <c r="H2041" s="6" t="s">
        <v>54710</v>
      </c>
      <c r="I2041" s="6">
        <v>526.6875</v>
      </c>
      <c r="J2041" s="2">
        <f t="shared" si="31"/>
        <v>43749.566776666667</v>
      </c>
    </row>
    <row r="2042" spans="1:10" x14ac:dyDescent="0.25">
      <c r="A2042" s="7" t="s">
        <v>54711</v>
      </c>
      <c r="B2042" s="8">
        <v>393.75</v>
      </c>
      <c r="C2042" s="8">
        <v>20.531590000000001</v>
      </c>
      <c r="D2042" s="8">
        <v>47</v>
      </c>
      <c r="E2042" s="8">
        <v>0</v>
      </c>
      <c r="F2042" s="8">
        <v>0</v>
      </c>
      <c r="G2042" s="8">
        <v>17</v>
      </c>
      <c r="H2042" s="8" t="s">
        <v>54712</v>
      </c>
      <c r="I2042" s="8">
        <v>526.6875</v>
      </c>
      <c r="J2042" s="3">
        <f t="shared" si="31"/>
        <v>43749.566860081017</v>
      </c>
    </row>
    <row r="2043" spans="1:10" x14ac:dyDescent="0.25">
      <c r="A2043" s="5" t="s">
        <v>54713</v>
      </c>
      <c r="B2043" s="6">
        <v>393.75</v>
      </c>
      <c r="C2043" s="6">
        <v>20.584240000000001</v>
      </c>
      <c r="D2043" s="6">
        <v>48</v>
      </c>
      <c r="E2043" s="6">
        <v>0</v>
      </c>
      <c r="F2043" s="6">
        <v>0</v>
      </c>
      <c r="G2043" s="6">
        <v>19</v>
      </c>
      <c r="H2043" s="6" t="s">
        <v>54714</v>
      </c>
      <c r="I2043" s="6">
        <v>526.6875</v>
      </c>
      <c r="J2043" s="2">
        <f t="shared" si="31"/>
        <v>43749.566943541664</v>
      </c>
    </row>
    <row r="2044" spans="1:10" x14ac:dyDescent="0.25">
      <c r="A2044" s="7" t="s">
        <v>54715</v>
      </c>
      <c r="B2044" s="8">
        <v>437.5</v>
      </c>
      <c r="C2044" s="8">
        <v>20.584240000000001</v>
      </c>
      <c r="D2044" s="8">
        <v>47</v>
      </c>
      <c r="E2044" s="8">
        <v>0</v>
      </c>
      <c r="F2044" s="8">
        <v>0</v>
      </c>
      <c r="G2044" s="8">
        <v>24</v>
      </c>
      <c r="H2044" s="8" t="s">
        <v>54716</v>
      </c>
      <c r="I2044" s="8">
        <v>540.75</v>
      </c>
      <c r="J2044" s="3">
        <f t="shared" si="31"/>
        <v>43749.567026770826</v>
      </c>
    </row>
    <row r="2045" spans="1:10" x14ac:dyDescent="0.25">
      <c r="A2045" s="5" t="s">
        <v>54717</v>
      </c>
      <c r="B2045" s="6">
        <v>393.75</v>
      </c>
      <c r="C2045" s="6">
        <v>20.531590000000001</v>
      </c>
      <c r="D2045" s="6">
        <v>47</v>
      </c>
      <c r="E2045" s="6">
        <v>0</v>
      </c>
      <c r="F2045" s="6">
        <v>0</v>
      </c>
      <c r="G2045" s="6">
        <v>13</v>
      </c>
      <c r="H2045" s="6" t="s">
        <v>54718</v>
      </c>
      <c r="I2045" s="6">
        <v>526.6875</v>
      </c>
      <c r="J2045" s="2">
        <f t="shared" si="31"/>
        <v>43749.567098506937</v>
      </c>
    </row>
    <row r="2046" spans="1:10" x14ac:dyDescent="0.25">
      <c r="A2046" s="7" t="s">
        <v>54719</v>
      </c>
      <c r="B2046" s="8">
        <v>393.75</v>
      </c>
      <c r="C2046" s="8">
        <v>20.584240000000001</v>
      </c>
      <c r="D2046" s="8">
        <v>45</v>
      </c>
      <c r="E2046" s="8">
        <v>0</v>
      </c>
      <c r="F2046" s="8">
        <v>0</v>
      </c>
      <c r="G2046" s="8">
        <v>11</v>
      </c>
      <c r="H2046" s="8" t="s">
        <v>54720</v>
      </c>
      <c r="I2046" s="8">
        <v>526.6875</v>
      </c>
      <c r="J2046" s="3">
        <f t="shared" si="31"/>
        <v>43749.567182210645</v>
      </c>
    </row>
    <row r="2047" spans="1:10" x14ac:dyDescent="0.25">
      <c r="A2047" s="5" t="s">
        <v>54721</v>
      </c>
      <c r="B2047" s="6">
        <v>412.5</v>
      </c>
      <c r="C2047" s="6">
        <v>20.531590000000001</v>
      </c>
      <c r="D2047" s="6">
        <v>46</v>
      </c>
      <c r="E2047" s="6">
        <v>0</v>
      </c>
      <c r="F2047" s="6">
        <v>0</v>
      </c>
      <c r="G2047" s="6">
        <v>11</v>
      </c>
      <c r="H2047" s="6" t="s">
        <v>54722</v>
      </c>
      <c r="I2047" s="6">
        <v>532.3125</v>
      </c>
      <c r="J2047" s="2">
        <f t="shared" si="31"/>
        <v>43749.567265625003</v>
      </c>
    </row>
    <row r="2048" spans="1:10" x14ac:dyDescent="0.25">
      <c r="A2048" s="7" t="s">
        <v>54723</v>
      </c>
      <c r="B2048" s="8">
        <v>393.75</v>
      </c>
      <c r="C2048" s="8">
        <v>20.584240000000001</v>
      </c>
      <c r="D2048" s="8">
        <v>46</v>
      </c>
      <c r="E2048" s="8">
        <v>0</v>
      </c>
      <c r="F2048" s="8">
        <v>0</v>
      </c>
      <c r="G2048" s="8">
        <v>14</v>
      </c>
      <c r="H2048" s="8" t="s">
        <v>54724</v>
      </c>
      <c r="I2048" s="8">
        <v>526.6875</v>
      </c>
      <c r="J2048" s="3">
        <f t="shared" si="31"/>
        <v>43749.56734898148</v>
      </c>
    </row>
    <row r="2049" spans="1:10" x14ac:dyDescent="0.25">
      <c r="A2049" s="5" t="s">
        <v>54725</v>
      </c>
      <c r="B2049" s="6">
        <v>393.75</v>
      </c>
      <c r="C2049" s="6">
        <v>20.584240000000001</v>
      </c>
      <c r="D2049" s="6">
        <v>47</v>
      </c>
      <c r="E2049" s="6">
        <v>0</v>
      </c>
      <c r="F2049" s="6">
        <v>0</v>
      </c>
      <c r="G2049" s="6">
        <v>8</v>
      </c>
      <c r="H2049" s="6" t="s">
        <v>54726</v>
      </c>
      <c r="I2049" s="6">
        <v>526.6875</v>
      </c>
      <c r="J2049" s="2">
        <f t="shared" si="31"/>
        <v>43749.567432523145</v>
      </c>
    </row>
    <row r="2050" spans="1:10" x14ac:dyDescent="0.25">
      <c r="A2050" s="7" t="s">
        <v>54727</v>
      </c>
      <c r="B2050" s="8">
        <v>393.75</v>
      </c>
      <c r="C2050" s="8">
        <v>20.531590000000001</v>
      </c>
      <c r="D2050" s="8">
        <v>47</v>
      </c>
      <c r="E2050" s="8">
        <v>0</v>
      </c>
      <c r="F2050" s="8">
        <v>0</v>
      </c>
      <c r="G2050" s="8">
        <v>12</v>
      </c>
      <c r="H2050" s="8" t="s">
        <v>54728</v>
      </c>
      <c r="I2050" s="8">
        <v>526.6875</v>
      </c>
      <c r="J2050" s="3">
        <f t="shared" ref="J2050:J2113" si="32">(H2050/86400000)+25569+(7/24)</f>
        <v>43749.567515740739</v>
      </c>
    </row>
    <row r="2051" spans="1:10" x14ac:dyDescent="0.25">
      <c r="A2051" s="5" t="s">
        <v>54729</v>
      </c>
      <c r="B2051" s="6">
        <v>393.75</v>
      </c>
      <c r="C2051" s="6">
        <v>20.584240000000001</v>
      </c>
      <c r="D2051" s="6">
        <v>47</v>
      </c>
      <c r="E2051" s="6">
        <v>0</v>
      </c>
      <c r="F2051" s="6">
        <v>0</v>
      </c>
      <c r="G2051" s="6">
        <v>18</v>
      </c>
      <c r="H2051" s="6" t="s">
        <v>54730</v>
      </c>
      <c r="I2051" s="6">
        <v>526.6875</v>
      </c>
      <c r="J2051" s="2">
        <f t="shared" si="32"/>
        <v>43749.567587291669</v>
      </c>
    </row>
    <row r="2052" spans="1:10" x14ac:dyDescent="0.25">
      <c r="A2052" s="7" t="s">
        <v>54731</v>
      </c>
      <c r="B2052" s="8">
        <v>412.5</v>
      </c>
      <c r="C2052" s="8">
        <v>20.531590000000001</v>
      </c>
      <c r="D2052" s="8">
        <v>47</v>
      </c>
      <c r="E2052" s="8">
        <v>0</v>
      </c>
      <c r="F2052" s="8">
        <v>0</v>
      </c>
      <c r="G2052" s="8">
        <v>22</v>
      </c>
      <c r="H2052" s="8" t="s">
        <v>54732</v>
      </c>
      <c r="I2052" s="8">
        <v>532.3125</v>
      </c>
      <c r="J2052" s="3">
        <f t="shared" si="32"/>
        <v>43749.567671319441</v>
      </c>
    </row>
    <row r="2053" spans="1:10" x14ac:dyDescent="0.25">
      <c r="A2053" s="5" t="s">
        <v>54733</v>
      </c>
      <c r="B2053" s="6">
        <v>393.75</v>
      </c>
      <c r="C2053" s="6">
        <v>20.584240000000001</v>
      </c>
      <c r="D2053" s="6">
        <v>45</v>
      </c>
      <c r="E2053" s="6">
        <v>0</v>
      </c>
      <c r="F2053" s="6">
        <v>0</v>
      </c>
      <c r="G2053" s="6">
        <v>28</v>
      </c>
      <c r="H2053" s="6" t="s">
        <v>54734</v>
      </c>
      <c r="I2053" s="6">
        <v>526.6875</v>
      </c>
      <c r="J2053" s="2">
        <f t="shared" si="32"/>
        <v>43749.567754641197</v>
      </c>
    </row>
    <row r="2054" spans="1:10" x14ac:dyDescent="0.25">
      <c r="A2054" s="7" t="s">
        <v>54735</v>
      </c>
      <c r="B2054" s="8">
        <v>393.75</v>
      </c>
      <c r="C2054" s="8">
        <v>20.584240000000001</v>
      </c>
      <c r="D2054" s="8">
        <v>45</v>
      </c>
      <c r="E2054" s="8">
        <v>0</v>
      </c>
      <c r="F2054" s="8">
        <v>0</v>
      </c>
      <c r="G2054" s="8">
        <v>21</v>
      </c>
      <c r="H2054" s="8" t="s">
        <v>54736</v>
      </c>
      <c r="I2054" s="8">
        <v>526.6875</v>
      </c>
      <c r="J2054" s="3">
        <f t="shared" si="32"/>
        <v>43749.567837870367</v>
      </c>
    </row>
    <row r="2055" spans="1:10" x14ac:dyDescent="0.25">
      <c r="A2055" s="5" t="s">
        <v>54737</v>
      </c>
      <c r="B2055" s="6">
        <v>393.75</v>
      </c>
      <c r="C2055" s="6">
        <v>20.584240000000001</v>
      </c>
      <c r="D2055" s="6">
        <v>45</v>
      </c>
      <c r="E2055" s="6">
        <v>0</v>
      </c>
      <c r="F2055" s="6">
        <v>0</v>
      </c>
      <c r="G2055" s="6">
        <v>16</v>
      </c>
      <c r="H2055" s="6" t="s">
        <v>54738</v>
      </c>
      <c r="I2055" s="6">
        <v>526.6875</v>
      </c>
      <c r="J2055" s="2">
        <f t="shared" si="32"/>
        <v>43749.567909733792</v>
      </c>
    </row>
    <row r="2056" spans="1:10" x14ac:dyDescent="0.25">
      <c r="A2056" s="7" t="s">
        <v>54739</v>
      </c>
      <c r="B2056" s="8">
        <v>393.75</v>
      </c>
      <c r="C2056" s="8">
        <v>20.584240000000001</v>
      </c>
      <c r="D2056" s="8">
        <v>45</v>
      </c>
      <c r="E2056" s="8">
        <v>0</v>
      </c>
      <c r="F2056" s="8">
        <v>0</v>
      </c>
      <c r="G2056" s="8">
        <v>11</v>
      </c>
      <c r="H2056" s="8" t="s">
        <v>54740</v>
      </c>
      <c r="I2056" s="8">
        <v>526.6875</v>
      </c>
      <c r="J2056" s="3">
        <f t="shared" si="32"/>
        <v>43749.567993206016</v>
      </c>
    </row>
    <row r="2057" spans="1:10" x14ac:dyDescent="0.25">
      <c r="A2057" s="5" t="s">
        <v>54741</v>
      </c>
      <c r="B2057" s="6">
        <v>418.75</v>
      </c>
      <c r="C2057" s="6">
        <v>20.531590000000001</v>
      </c>
      <c r="D2057" s="6">
        <v>44</v>
      </c>
      <c r="E2057" s="6">
        <v>0</v>
      </c>
      <c r="F2057" s="6">
        <v>0</v>
      </c>
      <c r="G2057" s="6">
        <v>16</v>
      </c>
      <c r="H2057" s="6" t="s">
        <v>54742</v>
      </c>
      <c r="I2057" s="6">
        <v>534.9375</v>
      </c>
      <c r="J2057" s="2">
        <f t="shared" si="32"/>
        <v>43749.568076643518</v>
      </c>
    </row>
    <row r="2058" spans="1:10" x14ac:dyDescent="0.25">
      <c r="A2058" s="7" t="s">
        <v>54743</v>
      </c>
      <c r="B2058" s="8">
        <v>393.75</v>
      </c>
      <c r="C2058" s="8">
        <v>20.584240000000001</v>
      </c>
      <c r="D2058" s="8">
        <v>45</v>
      </c>
      <c r="E2058" s="8">
        <v>0</v>
      </c>
      <c r="F2058" s="8">
        <v>0</v>
      </c>
      <c r="G2058" s="8">
        <v>17</v>
      </c>
      <c r="H2058" s="8" t="s">
        <v>54744</v>
      </c>
      <c r="I2058" s="8">
        <v>526.6875</v>
      </c>
      <c r="J2058" s="3">
        <f t="shared" si="32"/>
        <v>43749.568160196759</v>
      </c>
    </row>
    <row r="2059" spans="1:10" x14ac:dyDescent="0.25">
      <c r="A2059" s="5" t="s">
        <v>54745</v>
      </c>
      <c r="B2059" s="6">
        <v>393.75</v>
      </c>
      <c r="C2059" s="6">
        <v>20.531590000000001</v>
      </c>
      <c r="D2059" s="6">
        <v>44</v>
      </c>
      <c r="E2059" s="6">
        <v>0</v>
      </c>
      <c r="F2059" s="6">
        <v>0</v>
      </c>
      <c r="G2059" s="6">
        <v>9</v>
      </c>
      <c r="H2059" s="6" t="s">
        <v>54746</v>
      </c>
      <c r="I2059" s="6">
        <v>526.6875</v>
      </c>
      <c r="J2059" s="2">
        <f t="shared" si="32"/>
        <v>43749.568245358794</v>
      </c>
    </row>
    <row r="2060" spans="1:10" x14ac:dyDescent="0.25">
      <c r="A2060" s="7" t="s">
        <v>54747</v>
      </c>
      <c r="B2060" s="8">
        <v>393.75</v>
      </c>
      <c r="C2060" s="8">
        <v>20.584240000000001</v>
      </c>
      <c r="D2060" s="8">
        <v>44</v>
      </c>
      <c r="E2060" s="8">
        <v>0</v>
      </c>
      <c r="F2060" s="8">
        <v>0</v>
      </c>
      <c r="G2060" s="8">
        <v>13</v>
      </c>
      <c r="H2060" s="8" t="s">
        <v>54748</v>
      </c>
      <c r="I2060" s="8">
        <v>526.6875</v>
      </c>
      <c r="J2060" s="3">
        <f t="shared" si="32"/>
        <v>43749.568326863424</v>
      </c>
    </row>
    <row r="2061" spans="1:10" x14ac:dyDescent="0.25">
      <c r="A2061" s="5" t="s">
        <v>54749</v>
      </c>
      <c r="B2061" s="6">
        <v>393.75</v>
      </c>
      <c r="C2061" s="6">
        <v>20.531590000000001</v>
      </c>
      <c r="D2061" s="6">
        <v>44</v>
      </c>
      <c r="E2061" s="6">
        <v>0</v>
      </c>
      <c r="F2061" s="6">
        <v>0</v>
      </c>
      <c r="G2061" s="6">
        <v>15</v>
      </c>
      <c r="H2061" s="6" t="s">
        <v>54750</v>
      </c>
      <c r="I2061" s="6">
        <v>526.6875</v>
      </c>
      <c r="J2061" s="2">
        <f t="shared" si="32"/>
        <v>43749.568398622687</v>
      </c>
    </row>
    <row r="2062" spans="1:10" x14ac:dyDescent="0.25">
      <c r="A2062" s="7" t="s">
        <v>54751</v>
      </c>
      <c r="B2062" s="8">
        <v>418.75</v>
      </c>
      <c r="C2062" s="8">
        <v>20.531590000000001</v>
      </c>
      <c r="D2062" s="8">
        <v>43</v>
      </c>
      <c r="E2062" s="8">
        <v>0</v>
      </c>
      <c r="F2062" s="8">
        <v>0</v>
      </c>
      <c r="G2062" s="8">
        <v>18</v>
      </c>
      <c r="H2062" s="8" t="s">
        <v>54752</v>
      </c>
      <c r="I2062" s="8">
        <v>534.5625</v>
      </c>
      <c r="J2062" s="3">
        <f t="shared" si="32"/>
        <v>43749.568482326387</v>
      </c>
    </row>
    <row r="2063" spans="1:10" x14ac:dyDescent="0.25">
      <c r="A2063" s="5" t="s">
        <v>54753</v>
      </c>
      <c r="B2063" s="6">
        <v>393.75</v>
      </c>
      <c r="C2063" s="6">
        <v>20.531590000000001</v>
      </c>
      <c r="D2063" s="6">
        <v>42</v>
      </c>
      <c r="E2063" s="6">
        <v>0</v>
      </c>
      <c r="F2063" s="6">
        <v>0</v>
      </c>
      <c r="G2063" s="6">
        <v>11</v>
      </c>
      <c r="H2063" s="6" t="s">
        <v>54754</v>
      </c>
      <c r="I2063" s="6">
        <v>526.6875</v>
      </c>
      <c r="J2063" s="2">
        <f t="shared" si="32"/>
        <v>43749.56856576389</v>
      </c>
    </row>
    <row r="2064" spans="1:10" x14ac:dyDescent="0.25">
      <c r="A2064" s="7" t="s">
        <v>54755</v>
      </c>
      <c r="B2064" s="8">
        <v>393.75</v>
      </c>
      <c r="C2064" s="8">
        <v>20.584240000000001</v>
      </c>
      <c r="D2064" s="8">
        <v>44</v>
      </c>
      <c r="E2064" s="8">
        <v>0</v>
      </c>
      <c r="F2064" s="8">
        <v>0</v>
      </c>
      <c r="G2064" s="8">
        <v>23</v>
      </c>
      <c r="H2064" s="8" t="s">
        <v>54756</v>
      </c>
      <c r="I2064" s="8">
        <v>526.6875</v>
      </c>
      <c r="J2064" s="3">
        <f t="shared" si="32"/>
        <v>43749.568648981476</v>
      </c>
    </row>
    <row r="2065" spans="1:10" x14ac:dyDescent="0.25">
      <c r="A2065" s="5" t="s">
        <v>54757</v>
      </c>
      <c r="B2065" s="6">
        <v>393.75</v>
      </c>
      <c r="C2065" s="6">
        <v>20.584240000000001</v>
      </c>
      <c r="D2065" s="6">
        <v>46</v>
      </c>
      <c r="E2065" s="6">
        <v>0</v>
      </c>
      <c r="F2065" s="6">
        <v>0</v>
      </c>
      <c r="G2065" s="6">
        <v>14</v>
      </c>
      <c r="H2065" s="6" t="s">
        <v>54758</v>
      </c>
      <c r="I2065" s="6">
        <v>526.6875</v>
      </c>
      <c r="J2065" s="2">
        <f t="shared" si="32"/>
        <v>43749.568732662032</v>
      </c>
    </row>
    <row r="2066" spans="1:10" x14ac:dyDescent="0.25">
      <c r="A2066" s="7" t="s">
        <v>54759</v>
      </c>
      <c r="B2066" s="8">
        <v>393.75</v>
      </c>
      <c r="C2066" s="8">
        <v>20.584240000000001</v>
      </c>
      <c r="D2066" s="8">
        <v>45</v>
      </c>
      <c r="E2066" s="8">
        <v>0</v>
      </c>
      <c r="F2066" s="8">
        <v>0</v>
      </c>
      <c r="G2066" s="8">
        <v>22</v>
      </c>
      <c r="H2066" s="8" t="s">
        <v>54760</v>
      </c>
      <c r="I2066" s="8">
        <v>526.6875</v>
      </c>
      <c r="J2066" s="3">
        <f t="shared" si="32"/>
        <v>43749.568815983796</v>
      </c>
    </row>
    <row r="2067" spans="1:10" x14ac:dyDescent="0.25">
      <c r="A2067" s="5" t="s">
        <v>54761</v>
      </c>
      <c r="B2067" s="6">
        <v>393.75</v>
      </c>
      <c r="C2067" s="6">
        <v>20.584240000000001</v>
      </c>
      <c r="D2067" s="6">
        <v>45</v>
      </c>
      <c r="E2067" s="6">
        <v>0</v>
      </c>
      <c r="F2067" s="6">
        <v>0</v>
      </c>
      <c r="G2067" s="6">
        <v>21</v>
      </c>
      <c r="H2067" s="6" t="s">
        <v>54762</v>
      </c>
      <c r="I2067" s="6">
        <v>526.6875</v>
      </c>
      <c r="J2067" s="2">
        <f t="shared" si="32"/>
        <v>43749.568887743058</v>
      </c>
    </row>
    <row r="2068" spans="1:10" x14ac:dyDescent="0.25">
      <c r="A2068" s="7" t="s">
        <v>54763</v>
      </c>
      <c r="B2068" s="8">
        <v>393.75</v>
      </c>
      <c r="C2068" s="8">
        <v>20.531590000000001</v>
      </c>
      <c r="D2068" s="8">
        <v>45</v>
      </c>
      <c r="E2068" s="8">
        <v>0</v>
      </c>
      <c r="F2068" s="8">
        <v>0</v>
      </c>
      <c r="G2068" s="8">
        <v>32</v>
      </c>
      <c r="H2068" s="8" t="s">
        <v>54764</v>
      </c>
      <c r="I2068" s="8">
        <v>526.6875</v>
      </c>
      <c r="J2068" s="3">
        <f t="shared" si="32"/>
        <v>43749.568971319437</v>
      </c>
    </row>
    <row r="2069" spans="1:10" x14ac:dyDescent="0.25">
      <c r="A2069" s="5" t="s">
        <v>54765</v>
      </c>
      <c r="B2069" s="6">
        <v>393.75</v>
      </c>
      <c r="C2069" s="6">
        <v>20.584240000000001</v>
      </c>
      <c r="D2069" s="6">
        <v>42</v>
      </c>
      <c r="E2069" s="6">
        <v>0</v>
      </c>
      <c r="F2069" s="6">
        <v>0</v>
      </c>
      <c r="G2069" s="6">
        <v>17</v>
      </c>
      <c r="H2069" s="6" t="s">
        <v>54766</v>
      </c>
      <c r="I2069" s="6">
        <v>526.6875</v>
      </c>
      <c r="J2069" s="2">
        <f t="shared" si="32"/>
        <v>43749.569054768515</v>
      </c>
    </row>
    <row r="2070" spans="1:10" x14ac:dyDescent="0.25">
      <c r="A2070" s="7" t="s">
        <v>54767</v>
      </c>
      <c r="B2070" s="8">
        <v>393.75</v>
      </c>
      <c r="C2070" s="8">
        <v>20.531590000000001</v>
      </c>
      <c r="D2070" s="8">
        <v>43</v>
      </c>
      <c r="E2070" s="8">
        <v>0</v>
      </c>
      <c r="F2070" s="8">
        <v>0</v>
      </c>
      <c r="G2070" s="8">
        <v>16</v>
      </c>
      <c r="H2070" s="8" t="s">
        <v>54768</v>
      </c>
      <c r="I2070" s="8">
        <v>526.6875</v>
      </c>
      <c r="J2070" s="3">
        <f t="shared" si="32"/>
        <v>43749.569126296294</v>
      </c>
    </row>
    <row r="2071" spans="1:10" x14ac:dyDescent="0.25">
      <c r="A2071" s="5" t="s">
        <v>54769</v>
      </c>
      <c r="B2071" s="6">
        <v>393.75</v>
      </c>
      <c r="C2071" s="6">
        <v>20.584240000000001</v>
      </c>
      <c r="D2071" s="6">
        <v>43</v>
      </c>
      <c r="E2071" s="6">
        <v>0</v>
      </c>
      <c r="F2071" s="6">
        <v>0</v>
      </c>
      <c r="G2071" s="6">
        <v>11</v>
      </c>
      <c r="H2071" s="6" t="s">
        <v>54770</v>
      </c>
      <c r="I2071" s="6">
        <v>526.6875</v>
      </c>
      <c r="J2071" s="2">
        <f t="shared" si="32"/>
        <v>43749.569209861111</v>
      </c>
    </row>
    <row r="2072" spans="1:10" x14ac:dyDescent="0.25">
      <c r="A2072" s="7" t="s">
        <v>54771</v>
      </c>
      <c r="B2072" s="8">
        <v>393.75</v>
      </c>
      <c r="C2072" s="8">
        <v>20.584240000000001</v>
      </c>
      <c r="D2072" s="8">
        <v>43</v>
      </c>
      <c r="E2072" s="8">
        <v>0</v>
      </c>
      <c r="F2072" s="8">
        <v>0</v>
      </c>
      <c r="G2072" s="8">
        <v>11</v>
      </c>
      <c r="H2072" s="8" t="s">
        <v>54772</v>
      </c>
      <c r="I2072" s="8">
        <v>526.6875</v>
      </c>
      <c r="J2072" s="3">
        <f t="shared" si="32"/>
        <v>43749.569304849538</v>
      </c>
    </row>
    <row r="2073" spans="1:10" x14ac:dyDescent="0.25">
      <c r="A2073" s="5" t="s">
        <v>54773</v>
      </c>
      <c r="B2073" s="6">
        <v>393.75</v>
      </c>
      <c r="C2073" s="6">
        <v>20.584240000000001</v>
      </c>
      <c r="D2073" s="6">
        <v>42</v>
      </c>
      <c r="E2073" s="6">
        <v>0</v>
      </c>
      <c r="F2073" s="6">
        <v>0</v>
      </c>
      <c r="G2073" s="6">
        <v>12</v>
      </c>
      <c r="H2073" s="6" t="s">
        <v>54774</v>
      </c>
      <c r="I2073" s="6">
        <v>526.5</v>
      </c>
      <c r="J2073" s="2">
        <f t="shared" si="32"/>
        <v>43749.569376828702</v>
      </c>
    </row>
    <row r="2074" spans="1:10" x14ac:dyDescent="0.25">
      <c r="A2074" s="7" t="s">
        <v>54775</v>
      </c>
      <c r="B2074" s="8">
        <v>393.75</v>
      </c>
      <c r="C2074" s="8">
        <v>20.584240000000001</v>
      </c>
      <c r="D2074" s="8">
        <v>42</v>
      </c>
      <c r="E2074" s="8">
        <v>0</v>
      </c>
      <c r="F2074" s="8">
        <v>0</v>
      </c>
      <c r="G2074" s="8">
        <v>9</v>
      </c>
      <c r="H2074" s="8" t="s">
        <v>54776</v>
      </c>
      <c r="I2074" s="8">
        <v>526.6875</v>
      </c>
      <c r="J2074" s="3">
        <f t="shared" si="32"/>
        <v>43749.569460023144</v>
      </c>
    </row>
    <row r="2075" spans="1:10" x14ac:dyDescent="0.25">
      <c r="A2075" s="5" t="s">
        <v>54777</v>
      </c>
      <c r="B2075" s="6">
        <v>393.75</v>
      </c>
      <c r="C2075" s="6">
        <v>20.584240000000001</v>
      </c>
      <c r="D2075" s="6">
        <v>42</v>
      </c>
      <c r="E2075" s="6">
        <v>0</v>
      </c>
      <c r="F2075" s="6">
        <v>0</v>
      </c>
      <c r="G2075" s="6">
        <v>10</v>
      </c>
      <c r="H2075" s="6" t="s">
        <v>54778</v>
      </c>
      <c r="I2075" s="6">
        <v>526.6875</v>
      </c>
      <c r="J2075" s="2">
        <f t="shared" si="32"/>
        <v>43749.569531886569</v>
      </c>
    </row>
    <row r="2076" spans="1:10" x14ac:dyDescent="0.25">
      <c r="A2076" s="7" t="s">
        <v>54779</v>
      </c>
      <c r="B2076" s="8">
        <v>393.75</v>
      </c>
      <c r="C2076" s="8">
        <v>20.584240000000001</v>
      </c>
      <c r="D2076" s="8">
        <v>42</v>
      </c>
      <c r="E2076" s="8">
        <v>0</v>
      </c>
      <c r="F2076" s="8">
        <v>0</v>
      </c>
      <c r="G2076" s="8">
        <v>11</v>
      </c>
      <c r="H2076" s="8" t="s">
        <v>54780</v>
      </c>
      <c r="I2076" s="8">
        <v>526.6875</v>
      </c>
      <c r="J2076" s="3">
        <f t="shared" si="32"/>
        <v>43749.569627384255</v>
      </c>
    </row>
    <row r="2077" spans="1:10" x14ac:dyDescent="0.25">
      <c r="A2077" s="5" t="s">
        <v>54781</v>
      </c>
      <c r="B2077" s="6">
        <v>412.5</v>
      </c>
      <c r="C2077" s="6">
        <v>20.531590000000001</v>
      </c>
      <c r="D2077" s="6">
        <v>43</v>
      </c>
      <c r="E2077" s="6">
        <v>0</v>
      </c>
      <c r="F2077" s="6">
        <v>0</v>
      </c>
      <c r="G2077" s="6">
        <v>9</v>
      </c>
      <c r="H2077" s="6" t="s">
        <v>54782</v>
      </c>
      <c r="I2077" s="6">
        <v>532.3125</v>
      </c>
      <c r="J2077" s="2">
        <f t="shared" si="32"/>
        <v>43749.569698819447</v>
      </c>
    </row>
    <row r="2078" spans="1:10" x14ac:dyDescent="0.25">
      <c r="A2078" s="7" t="s">
        <v>54783</v>
      </c>
      <c r="B2078" s="8">
        <v>393.75</v>
      </c>
      <c r="C2078" s="8">
        <v>20.584240000000001</v>
      </c>
      <c r="D2078" s="8">
        <v>44</v>
      </c>
      <c r="E2078" s="8">
        <v>0</v>
      </c>
      <c r="F2078" s="8">
        <v>0</v>
      </c>
      <c r="G2078" s="8">
        <v>8</v>
      </c>
      <c r="H2078" s="8" t="s">
        <v>54784</v>
      </c>
      <c r="I2078" s="8">
        <v>526.6875</v>
      </c>
      <c r="J2078" s="3">
        <f t="shared" si="32"/>
        <v>43749.569782268518</v>
      </c>
    </row>
    <row r="2079" spans="1:10" x14ac:dyDescent="0.25">
      <c r="A2079" s="5" t="s">
        <v>54785</v>
      </c>
      <c r="B2079" s="6">
        <v>393.75</v>
      </c>
      <c r="C2079" s="6">
        <v>20.584240000000001</v>
      </c>
      <c r="D2079" s="6">
        <v>43</v>
      </c>
      <c r="E2079" s="6">
        <v>0</v>
      </c>
      <c r="F2079" s="6">
        <v>0</v>
      </c>
      <c r="G2079" s="6">
        <v>11</v>
      </c>
      <c r="H2079" s="6" t="s">
        <v>54786</v>
      </c>
      <c r="I2079" s="6">
        <v>526.6875</v>
      </c>
      <c r="J2079" s="2">
        <f t="shared" si="32"/>
        <v>43749.569865833335</v>
      </c>
    </row>
    <row r="2080" spans="1:10" x14ac:dyDescent="0.25">
      <c r="A2080" s="7" t="s">
        <v>54787</v>
      </c>
      <c r="B2080" s="8">
        <v>393.75</v>
      </c>
      <c r="C2080" s="8">
        <v>20.584240000000001</v>
      </c>
      <c r="D2080" s="8">
        <v>43</v>
      </c>
      <c r="E2080" s="8">
        <v>0</v>
      </c>
      <c r="F2080" s="8">
        <v>0</v>
      </c>
      <c r="G2080" s="8">
        <v>16</v>
      </c>
      <c r="H2080" s="8" t="s">
        <v>54788</v>
      </c>
      <c r="I2080" s="8">
        <v>526.6875</v>
      </c>
      <c r="J2080" s="3">
        <f t="shared" si="32"/>
        <v>43749.569949039353</v>
      </c>
    </row>
    <row r="2081" spans="1:10" x14ac:dyDescent="0.25">
      <c r="A2081" s="5" t="s">
        <v>54789</v>
      </c>
      <c r="B2081" s="6">
        <v>393.75</v>
      </c>
      <c r="C2081" s="6">
        <v>20.584240000000001</v>
      </c>
      <c r="D2081" s="6">
        <v>43</v>
      </c>
      <c r="E2081" s="6">
        <v>0</v>
      </c>
      <c r="F2081" s="6">
        <v>0</v>
      </c>
      <c r="G2081" s="6">
        <v>4</v>
      </c>
      <c r="H2081" s="6" t="s">
        <v>54790</v>
      </c>
      <c r="I2081" s="6">
        <v>526.6875</v>
      </c>
      <c r="J2081" s="2">
        <f t="shared" si="32"/>
        <v>43749.5700205787</v>
      </c>
    </row>
    <row r="2082" spans="1:10" x14ac:dyDescent="0.25">
      <c r="A2082" s="7" t="s">
        <v>54791</v>
      </c>
      <c r="B2082" s="8">
        <v>393.75</v>
      </c>
      <c r="C2082" s="8">
        <v>20.584240000000001</v>
      </c>
      <c r="D2082" s="8">
        <v>44</v>
      </c>
      <c r="E2082" s="8">
        <v>0</v>
      </c>
      <c r="F2082" s="8">
        <v>0</v>
      </c>
      <c r="G2082" s="8">
        <v>8</v>
      </c>
      <c r="H2082" s="8" t="s">
        <v>54792</v>
      </c>
      <c r="I2082" s="8">
        <v>526.6875</v>
      </c>
      <c r="J2082" s="3">
        <f t="shared" si="32"/>
        <v>43749.570092453701</v>
      </c>
    </row>
    <row r="2083" spans="1:10" x14ac:dyDescent="0.25">
      <c r="A2083" s="5" t="s">
        <v>54793</v>
      </c>
      <c r="B2083" s="6">
        <v>393.75</v>
      </c>
      <c r="C2083" s="6">
        <v>20.584240000000001</v>
      </c>
      <c r="D2083" s="6">
        <v>44</v>
      </c>
      <c r="E2083" s="6">
        <v>0</v>
      </c>
      <c r="F2083" s="6">
        <v>0</v>
      </c>
      <c r="G2083" s="6">
        <v>14</v>
      </c>
      <c r="H2083" s="6" t="s">
        <v>54794</v>
      </c>
      <c r="I2083" s="6">
        <v>526.6875</v>
      </c>
      <c r="J2083" s="2">
        <f t="shared" si="32"/>
        <v>43749.57017590278</v>
      </c>
    </row>
    <row r="2084" spans="1:10" x14ac:dyDescent="0.25">
      <c r="A2084" s="7" t="s">
        <v>54795</v>
      </c>
      <c r="B2084" s="8">
        <v>393.75</v>
      </c>
      <c r="C2084" s="8">
        <v>20.584240000000001</v>
      </c>
      <c r="D2084" s="8">
        <v>44</v>
      </c>
      <c r="E2084" s="8">
        <v>0</v>
      </c>
      <c r="F2084" s="8">
        <v>0</v>
      </c>
      <c r="G2084" s="8">
        <v>5</v>
      </c>
      <c r="H2084" s="8" t="s">
        <v>54796</v>
      </c>
      <c r="I2084" s="8">
        <v>526.6875</v>
      </c>
      <c r="J2084" s="3">
        <f t="shared" si="32"/>
        <v>43749.570247453703</v>
      </c>
    </row>
    <row r="2085" spans="1:10" x14ac:dyDescent="0.25">
      <c r="A2085" s="5" t="s">
        <v>54797</v>
      </c>
      <c r="B2085" s="6">
        <v>393.75</v>
      </c>
      <c r="C2085" s="6">
        <v>20.584240000000001</v>
      </c>
      <c r="D2085" s="6">
        <v>45</v>
      </c>
      <c r="E2085" s="6">
        <v>0</v>
      </c>
      <c r="F2085" s="6">
        <v>0</v>
      </c>
      <c r="G2085" s="6">
        <v>6</v>
      </c>
      <c r="H2085" s="6" t="s">
        <v>54798</v>
      </c>
      <c r="I2085" s="6">
        <v>526.6875</v>
      </c>
      <c r="J2085" s="2">
        <f t="shared" si="32"/>
        <v>43749.570331087962</v>
      </c>
    </row>
    <row r="2086" spans="1:10" x14ac:dyDescent="0.25">
      <c r="A2086" s="7" t="s">
        <v>54799</v>
      </c>
      <c r="B2086" s="8">
        <v>393.75</v>
      </c>
      <c r="C2086" s="8">
        <v>20.531590000000001</v>
      </c>
      <c r="D2086" s="8">
        <v>44</v>
      </c>
      <c r="E2086" s="8">
        <v>0</v>
      </c>
      <c r="F2086" s="8">
        <v>0</v>
      </c>
      <c r="G2086" s="8">
        <v>8</v>
      </c>
      <c r="H2086" s="8" t="s">
        <v>54800</v>
      </c>
      <c r="I2086" s="8">
        <v>526.6875</v>
      </c>
      <c r="J2086" s="3">
        <f t="shared" si="32"/>
        <v>43749.57040251157</v>
      </c>
    </row>
    <row r="2087" spans="1:10" x14ac:dyDescent="0.25">
      <c r="A2087" s="5" t="s">
        <v>54801</v>
      </c>
      <c r="B2087" s="6">
        <v>393.75</v>
      </c>
      <c r="C2087" s="6">
        <v>20.584240000000001</v>
      </c>
      <c r="D2087" s="6">
        <v>44</v>
      </c>
      <c r="E2087" s="6">
        <v>0</v>
      </c>
      <c r="F2087" s="6">
        <v>0</v>
      </c>
      <c r="G2087" s="6">
        <v>12</v>
      </c>
      <c r="H2087" s="6" t="s">
        <v>54802</v>
      </c>
      <c r="I2087" s="6">
        <v>526.6875</v>
      </c>
      <c r="J2087" s="2">
        <f t="shared" si="32"/>
        <v>43749.570486087956</v>
      </c>
    </row>
    <row r="2088" spans="1:10" x14ac:dyDescent="0.25">
      <c r="A2088" s="7" t="s">
        <v>54803</v>
      </c>
      <c r="B2088" s="8">
        <v>393.75</v>
      </c>
      <c r="C2088" s="8">
        <v>20.531590000000001</v>
      </c>
      <c r="D2088" s="8">
        <v>44</v>
      </c>
      <c r="E2088" s="8">
        <v>0</v>
      </c>
      <c r="F2088" s="8">
        <v>0</v>
      </c>
      <c r="G2088" s="8">
        <v>11</v>
      </c>
      <c r="H2088" s="8" t="s">
        <v>54804</v>
      </c>
      <c r="I2088" s="8">
        <v>526.6875</v>
      </c>
      <c r="J2088" s="3">
        <f t="shared" si="32"/>
        <v>43749.570569525466</v>
      </c>
    </row>
    <row r="2089" spans="1:10" x14ac:dyDescent="0.25">
      <c r="A2089" s="5" t="s">
        <v>54805</v>
      </c>
      <c r="B2089" s="6">
        <v>393.75</v>
      </c>
      <c r="C2089" s="6">
        <v>20.584240000000001</v>
      </c>
      <c r="D2089" s="6">
        <v>44</v>
      </c>
      <c r="E2089" s="6">
        <v>0</v>
      </c>
      <c r="F2089" s="6">
        <v>0</v>
      </c>
      <c r="G2089" s="6">
        <v>11</v>
      </c>
      <c r="H2089" s="6" t="s">
        <v>54806</v>
      </c>
      <c r="I2089" s="6">
        <v>526.6875</v>
      </c>
      <c r="J2089" s="2">
        <f t="shared" si="32"/>
        <v>43749.570652743052</v>
      </c>
    </row>
    <row r="2090" spans="1:10" x14ac:dyDescent="0.25">
      <c r="A2090" s="7" t="s">
        <v>54807</v>
      </c>
      <c r="B2090" s="8">
        <v>393.75</v>
      </c>
      <c r="C2090" s="8">
        <v>20.584240000000001</v>
      </c>
      <c r="D2090" s="8">
        <v>44</v>
      </c>
      <c r="E2090" s="8">
        <v>0</v>
      </c>
      <c r="F2090" s="8">
        <v>0</v>
      </c>
      <c r="G2090" s="8">
        <v>10</v>
      </c>
      <c r="H2090" s="8" t="s">
        <v>54808</v>
      </c>
      <c r="I2090" s="8">
        <v>526.6875</v>
      </c>
      <c r="J2090" s="3">
        <f t="shared" si="32"/>
        <v>43749.570724409721</v>
      </c>
    </row>
    <row r="2091" spans="1:10" x14ac:dyDescent="0.25">
      <c r="A2091" s="5" t="s">
        <v>54809</v>
      </c>
      <c r="B2091" s="6">
        <v>425</v>
      </c>
      <c r="C2091" s="6">
        <v>20.531590000000001</v>
      </c>
      <c r="D2091" s="6">
        <v>44</v>
      </c>
      <c r="E2091" s="6">
        <v>0</v>
      </c>
      <c r="F2091" s="6">
        <v>0</v>
      </c>
      <c r="G2091" s="6">
        <v>16</v>
      </c>
      <c r="H2091" s="6" t="s">
        <v>54810</v>
      </c>
      <c r="I2091" s="6">
        <v>536.8125</v>
      </c>
      <c r="J2091" s="2">
        <f t="shared" si="32"/>
        <v>43749.570808171295</v>
      </c>
    </row>
    <row r="2092" spans="1:10" x14ac:dyDescent="0.25">
      <c r="A2092" s="7" t="s">
        <v>54811</v>
      </c>
      <c r="B2092" s="8">
        <v>393.75</v>
      </c>
      <c r="C2092" s="8">
        <v>20.584240000000001</v>
      </c>
      <c r="D2092" s="8">
        <v>44</v>
      </c>
      <c r="E2092" s="8">
        <v>0</v>
      </c>
      <c r="F2092" s="8">
        <v>0</v>
      </c>
      <c r="G2092" s="8">
        <v>10</v>
      </c>
      <c r="H2092" s="8" t="s">
        <v>54812</v>
      </c>
      <c r="I2092" s="8">
        <v>526.6875</v>
      </c>
      <c r="J2092" s="3">
        <f t="shared" si="32"/>
        <v>43749.570891516203</v>
      </c>
    </row>
    <row r="2093" spans="1:10" x14ac:dyDescent="0.25">
      <c r="A2093" s="5" t="s">
        <v>54813</v>
      </c>
      <c r="B2093" s="6">
        <v>393.75</v>
      </c>
      <c r="C2093" s="6">
        <v>20.584240000000001</v>
      </c>
      <c r="D2093" s="6">
        <v>43</v>
      </c>
      <c r="E2093" s="6">
        <v>0</v>
      </c>
      <c r="F2093" s="6">
        <v>0</v>
      </c>
      <c r="G2093" s="6">
        <v>10</v>
      </c>
      <c r="H2093" s="6" t="s">
        <v>54814</v>
      </c>
      <c r="I2093" s="6">
        <v>526.6875</v>
      </c>
      <c r="J2093" s="2">
        <f t="shared" si="32"/>
        <v>43749.570974849536</v>
      </c>
    </row>
    <row r="2094" spans="1:10" x14ac:dyDescent="0.25">
      <c r="A2094" s="7" t="s">
        <v>54815</v>
      </c>
      <c r="B2094" s="8">
        <v>393.75</v>
      </c>
      <c r="C2094" s="8">
        <v>20.584240000000001</v>
      </c>
      <c r="D2094" s="8">
        <v>43</v>
      </c>
      <c r="E2094" s="8">
        <v>0</v>
      </c>
      <c r="F2094" s="8">
        <v>0</v>
      </c>
      <c r="G2094" s="8">
        <v>15</v>
      </c>
      <c r="H2094" s="8" t="s">
        <v>54816</v>
      </c>
      <c r="I2094" s="8">
        <v>526.6875</v>
      </c>
      <c r="J2094" s="3">
        <f t="shared" si="32"/>
        <v>43749.571046608798</v>
      </c>
    </row>
    <row r="2095" spans="1:10" x14ac:dyDescent="0.25">
      <c r="A2095" s="5" t="s">
        <v>54817</v>
      </c>
      <c r="B2095" s="6">
        <v>393.75</v>
      </c>
      <c r="C2095" s="6">
        <v>20.584240000000001</v>
      </c>
      <c r="D2095" s="6">
        <v>45</v>
      </c>
      <c r="E2095" s="6">
        <v>0</v>
      </c>
      <c r="F2095" s="6">
        <v>0</v>
      </c>
      <c r="G2095" s="6">
        <v>10</v>
      </c>
      <c r="H2095" s="6" t="s">
        <v>54818</v>
      </c>
      <c r="I2095" s="6">
        <v>526.6875</v>
      </c>
      <c r="J2095" s="2">
        <f t="shared" si="32"/>
        <v>43749.57111827546</v>
      </c>
    </row>
    <row r="2096" spans="1:10" x14ac:dyDescent="0.25">
      <c r="A2096" s="7" t="s">
        <v>54819</v>
      </c>
      <c r="B2096" s="8">
        <v>393.75</v>
      </c>
      <c r="C2096" s="8">
        <v>20.584240000000001</v>
      </c>
      <c r="D2096" s="8">
        <v>44</v>
      </c>
      <c r="E2096" s="8">
        <v>0</v>
      </c>
      <c r="F2096" s="8">
        <v>0</v>
      </c>
      <c r="G2096" s="8">
        <v>24</v>
      </c>
      <c r="H2096" s="8" t="s">
        <v>54820</v>
      </c>
      <c r="I2096" s="8">
        <v>526.6875</v>
      </c>
      <c r="J2096" s="3">
        <f t="shared" si="32"/>
        <v>43749.571189652772</v>
      </c>
    </row>
    <row r="2097" spans="1:10" x14ac:dyDescent="0.25">
      <c r="A2097" s="5" t="s">
        <v>54821</v>
      </c>
      <c r="B2097" s="6">
        <v>393.75</v>
      </c>
      <c r="C2097" s="6">
        <v>20.584240000000001</v>
      </c>
      <c r="D2097" s="6">
        <v>45</v>
      </c>
      <c r="E2097" s="6">
        <v>0</v>
      </c>
      <c r="F2097" s="6">
        <v>0</v>
      </c>
      <c r="G2097" s="6">
        <v>13</v>
      </c>
      <c r="H2097" s="6" t="s">
        <v>54822</v>
      </c>
      <c r="I2097" s="6">
        <v>526.6875</v>
      </c>
      <c r="J2097" s="2">
        <f t="shared" si="32"/>
        <v>43749.57127335648</v>
      </c>
    </row>
    <row r="2098" spans="1:10" x14ac:dyDescent="0.25">
      <c r="A2098" s="7" t="s">
        <v>54823</v>
      </c>
      <c r="B2098" s="8">
        <v>393.75</v>
      </c>
      <c r="C2098" s="8">
        <v>20.531590000000001</v>
      </c>
      <c r="D2098" s="8">
        <v>47</v>
      </c>
      <c r="E2098" s="8">
        <v>0</v>
      </c>
      <c r="F2098" s="8">
        <v>0</v>
      </c>
      <c r="G2098" s="8">
        <v>10</v>
      </c>
      <c r="H2098" s="8" t="s">
        <v>54824</v>
      </c>
      <c r="I2098" s="8">
        <v>526.6875</v>
      </c>
      <c r="J2098" s="3">
        <f t="shared" si="32"/>
        <v>43749.571356458335</v>
      </c>
    </row>
    <row r="2099" spans="1:10" x14ac:dyDescent="0.25">
      <c r="A2099" s="5" t="s">
        <v>54825</v>
      </c>
      <c r="B2099" s="6">
        <v>393.75</v>
      </c>
      <c r="C2099" s="6">
        <v>20.584240000000001</v>
      </c>
      <c r="D2099" s="6">
        <v>47</v>
      </c>
      <c r="E2099" s="6">
        <v>0</v>
      </c>
      <c r="F2099" s="6">
        <v>0</v>
      </c>
      <c r="G2099" s="6">
        <v>6</v>
      </c>
      <c r="H2099" s="6" t="s">
        <v>54826</v>
      </c>
      <c r="I2099" s="6">
        <v>526.6875</v>
      </c>
      <c r="J2099" s="2">
        <f t="shared" si="32"/>
        <v>43749.571427962961</v>
      </c>
    </row>
    <row r="2100" spans="1:10" x14ac:dyDescent="0.25">
      <c r="A2100" s="7" t="s">
        <v>54827</v>
      </c>
      <c r="B2100" s="8">
        <v>412.5</v>
      </c>
      <c r="C2100" s="8">
        <v>20.584240000000001</v>
      </c>
      <c r="D2100" s="8">
        <v>47</v>
      </c>
      <c r="E2100" s="8">
        <v>0</v>
      </c>
      <c r="F2100" s="8">
        <v>0</v>
      </c>
      <c r="G2100" s="8">
        <v>17</v>
      </c>
      <c r="H2100" s="8" t="s">
        <v>54828</v>
      </c>
      <c r="I2100" s="8">
        <v>532.3125</v>
      </c>
      <c r="J2100" s="3">
        <f t="shared" si="32"/>
        <v>43749.571512013885</v>
      </c>
    </row>
    <row r="2101" spans="1:10" x14ac:dyDescent="0.25">
      <c r="A2101" s="5" t="s">
        <v>54829</v>
      </c>
      <c r="B2101" s="6">
        <v>393.75</v>
      </c>
      <c r="C2101" s="6">
        <v>20.584240000000001</v>
      </c>
      <c r="D2101" s="6">
        <v>46</v>
      </c>
      <c r="E2101" s="6">
        <v>0</v>
      </c>
      <c r="F2101" s="6">
        <v>0</v>
      </c>
      <c r="G2101" s="6">
        <v>8</v>
      </c>
      <c r="H2101" s="6" t="s">
        <v>54830</v>
      </c>
      <c r="I2101" s="6">
        <v>526.6875</v>
      </c>
      <c r="J2101" s="2">
        <f t="shared" si="32"/>
        <v>43749.571595358793</v>
      </c>
    </row>
    <row r="2102" spans="1:10" x14ac:dyDescent="0.25">
      <c r="A2102" s="7" t="s">
        <v>54831</v>
      </c>
      <c r="B2102" s="8">
        <v>393.75</v>
      </c>
      <c r="C2102" s="8">
        <v>20.531590000000001</v>
      </c>
      <c r="D2102" s="8">
        <v>46</v>
      </c>
      <c r="E2102" s="8">
        <v>0</v>
      </c>
      <c r="F2102" s="8">
        <v>0</v>
      </c>
      <c r="G2102" s="8">
        <v>14</v>
      </c>
      <c r="H2102" s="8" t="s">
        <v>54832</v>
      </c>
      <c r="I2102" s="8">
        <v>526.6875</v>
      </c>
      <c r="J2102" s="3">
        <f t="shared" si="32"/>
        <v>43749.571691469908</v>
      </c>
    </row>
    <row r="2103" spans="1:10" x14ac:dyDescent="0.25">
      <c r="A2103" s="5" t="s">
        <v>54833</v>
      </c>
      <c r="B2103" s="6">
        <v>393.75</v>
      </c>
      <c r="C2103" s="6">
        <v>20.584240000000001</v>
      </c>
      <c r="D2103" s="6">
        <v>44</v>
      </c>
      <c r="E2103" s="6">
        <v>0</v>
      </c>
      <c r="F2103" s="6">
        <v>0</v>
      </c>
      <c r="G2103" s="6">
        <v>3</v>
      </c>
      <c r="H2103" s="6" t="s">
        <v>54834</v>
      </c>
      <c r="I2103" s="6">
        <v>526.6875</v>
      </c>
      <c r="J2103" s="2">
        <f t="shared" si="32"/>
        <v>43749.571774270829</v>
      </c>
    </row>
    <row r="2104" spans="1:10" x14ac:dyDescent="0.25">
      <c r="A2104" s="7" t="s">
        <v>54835</v>
      </c>
      <c r="B2104" s="8">
        <v>425</v>
      </c>
      <c r="C2104" s="8">
        <v>20.584240000000001</v>
      </c>
      <c r="D2104" s="8">
        <v>44</v>
      </c>
      <c r="E2104" s="8">
        <v>0</v>
      </c>
      <c r="F2104" s="8">
        <v>0</v>
      </c>
      <c r="G2104" s="8">
        <v>7</v>
      </c>
      <c r="H2104" s="8" t="s">
        <v>54836</v>
      </c>
      <c r="I2104" s="8">
        <v>536.25</v>
      </c>
      <c r="J2104" s="3">
        <f t="shared" si="32"/>
        <v>43749.57185782407</v>
      </c>
    </row>
    <row r="2105" spans="1:10" x14ac:dyDescent="0.25">
      <c r="A2105" s="5" t="s">
        <v>54837</v>
      </c>
      <c r="B2105" s="6">
        <v>393.75</v>
      </c>
      <c r="C2105" s="6">
        <v>20.531590000000001</v>
      </c>
      <c r="D2105" s="6">
        <v>44</v>
      </c>
      <c r="E2105" s="6">
        <v>0</v>
      </c>
      <c r="F2105" s="6">
        <v>0</v>
      </c>
      <c r="G2105" s="6">
        <v>5</v>
      </c>
      <c r="H2105" s="6" t="s">
        <v>54838</v>
      </c>
      <c r="I2105" s="6">
        <v>526.6875</v>
      </c>
      <c r="J2105" s="2">
        <f t="shared" si="32"/>
        <v>43749.571952986109</v>
      </c>
    </row>
    <row r="2106" spans="1:10" x14ac:dyDescent="0.25">
      <c r="A2106" s="7" t="s">
        <v>54839</v>
      </c>
      <c r="B2106" s="8">
        <v>412.5</v>
      </c>
      <c r="C2106" s="8">
        <v>20.584240000000001</v>
      </c>
      <c r="D2106" s="8">
        <v>44</v>
      </c>
      <c r="E2106" s="8">
        <v>0</v>
      </c>
      <c r="F2106" s="8">
        <v>0</v>
      </c>
      <c r="G2106" s="8">
        <v>0</v>
      </c>
      <c r="H2106" s="8" t="s">
        <v>54840</v>
      </c>
      <c r="I2106" s="8">
        <v>532.3125</v>
      </c>
      <c r="J2106" s="3">
        <f t="shared" si="32"/>
        <v>43749.572036678241</v>
      </c>
    </row>
    <row r="2107" spans="1:10" x14ac:dyDescent="0.25">
      <c r="A2107" s="5" t="s">
        <v>54841</v>
      </c>
      <c r="B2107" s="6">
        <v>393.75</v>
      </c>
      <c r="C2107" s="6">
        <v>20.584240000000001</v>
      </c>
      <c r="D2107" s="6">
        <v>44</v>
      </c>
      <c r="E2107" s="6">
        <v>0</v>
      </c>
      <c r="F2107" s="6">
        <v>0</v>
      </c>
      <c r="G2107" s="6">
        <v>4</v>
      </c>
      <c r="H2107" s="6" t="s">
        <v>54842</v>
      </c>
      <c r="I2107" s="6">
        <v>526.6875</v>
      </c>
      <c r="J2107" s="2">
        <f t="shared" si="32"/>
        <v>43749.572120358796</v>
      </c>
    </row>
    <row r="2108" spans="1:10" x14ac:dyDescent="0.25">
      <c r="A2108" s="7" t="s">
        <v>54843</v>
      </c>
      <c r="B2108" s="8">
        <v>393.75</v>
      </c>
      <c r="C2108" s="8">
        <v>20.584240000000001</v>
      </c>
      <c r="D2108" s="8">
        <v>44</v>
      </c>
      <c r="E2108" s="8">
        <v>0</v>
      </c>
      <c r="F2108" s="8">
        <v>0</v>
      </c>
      <c r="G2108" s="8">
        <v>0</v>
      </c>
      <c r="H2108" s="8" t="s">
        <v>54844</v>
      </c>
      <c r="I2108" s="8">
        <v>526.6875</v>
      </c>
      <c r="J2108" s="3">
        <f t="shared" si="32"/>
        <v>43749.572191793974</v>
      </c>
    </row>
    <row r="2109" spans="1:10" x14ac:dyDescent="0.25">
      <c r="A2109" s="5" t="s">
        <v>54845</v>
      </c>
      <c r="B2109" s="6">
        <v>393.75</v>
      </c>
      <c r="C2109" s="6">
        <v>20.584240000000001</v>
      </c>
      <c r="D2109" s="6">
        <v>43</v>
      </c>
      <c r="E2109" s="6">
        <v>0</v>
      </c>
      <c r="F2109" s="6">
        <v>0</v>
      </c>
      <c r="G2109" s="6">
        <v>7</v>
      </c>
      <c r="H2109" s="6" t="s">
        <v>54846</v>
      </c>
      <c r="I2109" s="6">
        <v>526.6875</v>
      </c>
      <c r="J2109" s="2">
        <f t="shared" si="32"/>
        <v>43749.572274988423</v>
      </c>
    </row>
    <row r="2110" spans="1:10" x14ac:dyDescent="0.25">
      <c r="A2110" s="7" t="s">
        <v>54847</v>
      </c>
      <c r="B2110" s="8">
        <v>393.75</v>
      </c>
      <c r="C2110" s="8">
        <v>20.584240000000001</v>
      </c>
      <c r="D2110" s="8">
        <v>43</v>
      </c>
      <c r="E2110" s="8">
        <v>0</v>
      </c>
      <c r="F2110" s="8">
        <v>0</v>
      </c>
      <c r="G2110" s="8">
        <v>0</v>
      </c>
      <c r="H2110" s="8" t="s">
        <v>54848</v>
      </c>
      <c r="I2110" s="8">
        <v>526.6875</v>
      </c>
      <c r="J2110" s="3">
        <f t="shared" si="32"/>
        <v>43749.572346655092</v>
      </c>
    </row>
    <row r="2111" spans="1:10" x14ac:dyDescent="0.25">
      <c r="A2111" s="5" t="s">
        <v>54849</v>
      </c>
      <c r="B2111" s="6">
        <v>393.75</v>
      </c>
      <c r="C2111" s="6">
        <v>20.584240000000001</v>
      </c>
      <c r="D2111" s="6">
        <v>44</v>
      </c>
      <c r="E2111" s="6">
        <v>0</v>
      </c>
      <c r="F2111" s="6">
        <v>0</v>
      </c>
      <c r="G2111" s="6">
        <v>11</v>
      </c>
      <c r="H2111" s="6" t="s">
        <v>54850</v>
      </c>
      <c r="I2111" s="6">
        <v>526.6875</v>
      </c>
      <c r="J2111" s="2">
        <f t="shared" si="32"/>
        <v>43749.572430462962</v>
      </c>
    </row>
    <row r="2112" spans="1:10" x14ac:dyDescent="0.25">
      <c r="A2112" s="7" t="s">
        <v>54851</v>
      </c>
      <c r="B2112" s="8">
        <v>393.75</v>
      </c>
      <c r="C2112" s="8">
        <v>20.584240000000001</v>
      </c>
      <c r="D2112" s="8">
        <v>43</v>
      </c>
      <c r="E2112" s="8">
        <v>0</v>
      </c>
      <c r="F2112" s="8">
        <v>0</v>
      </c>
      <c r="G2112" s="8">
        <v>15</v>
      </c>
      <c r="H2112" s="8" t="s">
        <v>54852</v>
      </c>
      <c r="I2112" s="8">
        <v>526.6875</v>
      </c>
      <c r="J2112" s="3">
        <f t="shared" si="32"/>
        <v>43749.572513888888</v>
      </c>
    </row>
    <row r="2113" spans="1:10" x14ac:dyDescent="0.25">
      <c r="A2113" s="5" t="s">
        <v>54853</v>
      </c>
      <c r="B2113" s="6">
        <v>393.75</v>
      </c>
      <c r="C2113" s="6">
        <v>20.584240000000001</v>
      </c>
      <c r="D2113" s="6">
        <v>43</v>
      </c>
      <c r="E2113" s="6">
        <v>0</v>
      </c>
      <c r="F2113" s="6">
        <v>0</v>
      </c>
      <c r="G2113" s="6">
        <v>10</v>
      </c>
      <c r="H2113" s="6" t="s">
        <v>54854</v>
      </c>
      <c r="I2113" s="6">
        <v>526.6875</v>
      </c>
      <c r="J2113" s="2">
        <f t="shared" si="32"/>
        <v>43749.572597094906</v>
      </c>
    </row>
    <row r="2114" spans="1:10" x14ac:dyDescent="0.25">
      <c r="A2114" s="7" t="s">
        <v>54855</v>
      </c>
      <c r="B2114" s="8">
        <v>393.75</v>
      </c>
      <c r="C2114" s="8">
        <v>20.584240000000001</v>
      </c>
      <c r="D2114" s="8">
        <v>43</v>
      </c>
      <c r="E2114" s="8">
        <v>0</v>
      </c>
      <c r="F2114" s="8">
        <v>0</v>
      </c>
      <c r="G2114" s="8">
        <v>6</v>
      </c>
      <c r="H2114" s="8" t="s">
        <v>54856</v>
      </c>
      <c r="I2114" s="8">
        <v>526.5</v>
      </c>
      <c r="J2114" s="3">
        <f t="shared" ref="J2114:J2177" si="33">(H2114/86400000)+25569+(7/24)</f>
        <v>43749.572668877314</v>
      </c>
    </row>
    <row r="2115" spans="1:10" x14ac:dyDescent="0.25">
      <c r="A2115" s="5" t="s">
        <v>54857</v>
      </c>
      <c r="B2115" s="6">
        <v>393.75</v>
      </c>
      <c r="C2115" s="6">
        <v>20.531590000000001</v>
      </c>
      <c r="D2115" s="6">
        <v>44</v>
      </c>
      <c r="E2115" s="6">
        <v>0</v>
      </c>
      <c r="F2115" s="6">
        <v>0</v>
      </c>
      <c r="G2115" s="6">
        <v>4</v>
      </c>
      <c r="H2115" s="6" t="s">
        <v>54858</v>
      </c>
      <c r="I2115" s="6">
        <v>526.6875</v>
      </c>
      <c r="J2115" s="2">
        <f t="shared" si="33"/>
        <v>43749.572752314816</v>
      </c>
    </row>
    <row r="2116" spans="1:10" x14ac:dyDescent="0.25">
      <c r="A2116" s="7" t="s">
        <v>54859</v>
      </c>
      <c r="B2116" s="8">
        <v>393.75</v>
      </c>
      <c r="C2116" s="8">
        <v>20.584240000000001</v>
      </c>
      <c r="D2116" s="8">
        <v>45</v>
      </c>
      <c r="E2116" s="8">
        <v>0</v>
      </c>
      <c r="F2116" s="8">
        <v>0</v>
      </c>
      <c r="G2116" s="8">
        <v>4</v>
      </c>
      <c r="H2116" s="8" t="s">
        <v>54860</v>
      </c>
      <c r="I2116" s="8">
        <v>526.6875</v>
      </c>
      <c r="J2116" s="3">
        <f t="shared" si="33"/>
        <v>43749.572840023146</v>
      </c>
    </row>
    <row r="2117" spans="1:10" x14ac:dyDescent="0.25">
      <c r="A2117" s="5" t="s">
        <v>54861</v>
      </c>
      <c r="B2117" s="6">
        <v>393.75</v>
      </c>
      <c r="C2117" s="6">
        <v>20.531590000000001</v>
      </c>
      <c r="D2117" s="6">
        <v>45</v>
      </c>
      <c r="E2117" s="6">
        <v>0</v>
      </c>
      <c r="F2117" s="6">
        <v>0</v>
      </c>
      <c r="G2117" s="6">
        <v>0</v>
      </c>
      <c r="H2117" s="6" t="s">
        <v>54862</v>
      </c>
      <c r="I2117" s="6">
        <v>526.6875</v>
      </c>
      <c r="J2117" s="2">
        <f t="shared" si="33"/>
        <v>43749.572919340273</v>
      </c>
    </row>
    <row r="2118" spans="1:10" x14ac:dyDescent="0.25">
      <c r="A2118" s="7" t="s">
        <v>54863</v>
      </c>
      <c r="B2118" s="8">
        <v>393.75</v>
      </c>
      <c r="C2118" s="8">
        <v>20.584240000000001</v>
      </c>
      <c r="D2118" s="8">
        <v>44</v>
      </c>
      <c r="E2118" s="8">
        <v>0</v>
      </c>
      <c r="F2118" s="8">
        <v>0</v>
      </c>
      <c r="G2118" s="8">
        <v>15</v>
      </c>
      <c r="H2118" s="8" t="s">
        <v>54864</v>
      </c>
      <c r="I2118" s="8">
        <v>526.6875</v>
      </c>
      <c r="J2118" s="3">
        <f t="shared" si="33"/>
        <v>43749.573002777775</v>
      </c>
    </row>
    <row r="2119" spans="1:10" x14ac:dyDescent="0.25">
      <c r="A2119" s="5" t="s">
        <v>54865</v>
      </c>
      <c r="B2119" s="6">
        <v>412.5</v>
      </c>
      <c r="C2119" s="6">
        <v>20.584240000000001</v>
      </c>
      <c r="D2119" s="6">
        <v>44</v>
      </c>
      <c r="E2119" s="6">
        <v>0</v>
      </c>
      <c r="F2119" s="6">
        <v>0</v>
      </c>
      <c r="G2119" s="6">
        <v>21</v>
      </c>
      <c r="H2119" s="6" t="s">
        <v>54866</v>
      </c>
      <c r="I2119" s="6">
        <v>532.3125</v>
      </c>
      <c r="J2119" s="2">
        <f t="shared" si="33"/>
        <v>43749.573074421292</v>
      </c>
    </row>
    <row r="2120" spans="1:10" x14ac:dyDescent="0.25">
      <c r="A2120" s="7" t="s">
        <v>54867</v>
      </c>
      <c r="B2120" s="8">
        <v>393.75</v>
      </c>
      <c r="C2120" s="8">
        <v>20.584240000000001</v>
      </c>
      <c r="D2120" s="8">
        <v>43</v>
      </c>
      <c r="E2120" s="8">
        <v>0</v>
      </c>
      <c r="F2120" s="8">
        <v>0</v>
      </c>
      <c r="G2120" s="8">
        <v>11</v>
      </c>
      <c r="H2120" s="8" t="s">
        <v>54868</v>
      </c>
      <c r="I2120" s="8">
        <v>526.6875</v>
      </c>
      <c r="J2120" s="3">
        <f t="shared" si="33"/>
        <v>43749.573157881947</v>
      </c>
    </row>
    <row r="2121" spans="1:10" x14ac:dyDescent="0.25">
      <c r="A2121" s="5" t="s">
        <v>54869</v>
      </c>
      <c r="B2121" s="6">
        <v>393.75</v>
      </c>
      <c r="C2121" s="6">
        <v>20.584240000000001</v>
      </c>
      <c r="D2121" s="6">
        <v>43</v>
      </c>
      <c r="E2121" s="6">
        <v>0</v>
      </c>
      <c r="F2121" s="6">
        <v>0</v>
      </c>
      <c r="G2121" s="6">
        <v>14</v>
      </c>
      <c r="H2121" s="6" t="s">
        <v>54870</v>
      </c>
      <c r="I2121" s="6">
        <v>526.6875</v>
      </c>
      <c r="J2121" s="2">
        <f t="shared" si="33"/>
        <v>43749.573241331011</v>
      </c>
    </row>
    <row r="2122" spans="1:10" x14ac:dyDescent="0.25">
      <c r="A2122" s="7" t="s">
        <v>54871</v>
      </c>
      <c r="B2122" s="8">
        <v>393.75</v>
      </c>
      <c r="C2122" s="8">
        <v>20.531590000000001</v>
      </c>
      <c r="D2122" s="8">
        <v>43</v>
      </c>
      <c r="E2122" s="8">
        <v>0</v>
      </c>
      <c r="F2122" s="8">
        <v>0</v>
      </c>
      <c r="G2122" s="8">
        <v>21</v>
      </c>
      <c r="H2122" s="8" t="s">
        <v>54872</v>
      </c>
      <c r="I2122" s="8">
        <v>526.6875</v>
      </c>
      <c r="J2122" s="3">
        <f t="shared" si="33"/>
        <v>43749.573312974535</v>
      </c>
    </row>
    <row r="2123" spans="1:10" x14ac:dyDescent="0.25">
      <c r="A2123" s="5" t="s">
        <v>54873</v>
      </c>
      <c r="B2123" s="6">
        <v>393.75</v>
      </c>
      <c r="C2123" s="6">
        <v>20.584240000000001</v>
      </c>
      <c r="D2123" s="6">
        <v>43</v>
      </c>
      <c r="E2123" s="6">
        <v>0</v>
      </c>
      <c r="F2123" s="6">
        <v>0</v>
      </c>
      <c r="G2123" s="6">
        <v>11</v>
      </c>
      <c r="H2123" s="6" t="s">
        <v>54874</v>
      </c>
      <c r="I2123" s="6">
        <v>526.6875</v>
      </c>
      <c r="J2123" s="2">
        <f t="shared" si="33"/>
        <v>43749.573384618052</v>
      </c>
    </row>
    <row r="2124" spans="1:10" x14ac:dyDescent="0.25">
      <c r="A2124" s="7" t="s">
        <v>54875</v>
      </c>
      <c r="B2124" s="8">
        <v>393.75</v>
      </c>
      <c r="C2124" s="8">
        <v>20.584240000000001</v>
      </c>
      <c r="D2124" s="8">
        <v>43</v>
      </c>
      <c r="E2124" s="8">
        <v>0</v>
      </c>
      <c r="F2124" s="8">
        <v>0</v>
      </c>
      <c r="G2124" s="8">
        <v>7</v>
      </c>
      <c r="H2124" s="8" t="s">
        <v>54876</v>
      </c>
      <c r="I2124" s="8">
        <v>526.6875</v>
      </c>
      <c r="J2124" s="3">
        <f t="shared" si="33"/>
        <v>43749.573456215272</v>
      </c>
    </row>
    <row r="2125" spans="1:10" x14ac:dyDescent="0.25">
      <c r="A2125" s="5" t="s">
        <v>54877</v>
      </c>
      <c r="B2125" s="6">
        <v>393.75</v>
      </c>
      <c r="C2125" s="6">
        <v>20.584240000000001</v>
      </c>
      <c r="D2125" s="6">
        <v>43</v>
      </c>
      <c r="E2125" s="6">
        <v>0</v>
      </c>
      <c r="F2125" s="6">
        <v>0</v>
      </c>
      <c r="G2125" s="6">
        <v>6</v>
      </c>
      <c r="H2125" s="6" t="s">
        <v>54878</v>
      </c>
      <c r="I2125" s="6">
        <v>526.6875</v>
      </c>
      <c r="J2125" s="2">
        <f t="shared" si="33"/>
        <v>43749.573539571757</v>
      </c>
    </row>
    <row r="2126" spans="1:10" x14ac:dyDescent="0.25">
      <c r="A2126" s="7" t="s">
        <v>54879</v>
      </c>
      <c r="B2126" s="8">
        <v>393.75</v>
      </c>
      <c r="C2126" s="8">
        <v>20.531590000000001</v>
      </c>
      <c r="D2126" s="8">
        <v>45</v>
      </c>
      <c r="E2126" s="8">
        <v>0</v>
      </c>
      <c r="F2126" s="8">
        <v>0</v>
      </c>
      <c r="G2126" s="8">
        <v>17</v>
      </c>
      <c r="H2126" s="8" t="s">
        <v>54880</v>
      </c>
      <c r="I2126" s="8">
        <v>526.6875</v>
      </c>
      <c r="J2126" s="3">
        <f t="shared" si="33"/>
        <v>43749.573623136566</v>
      </c>
    </row>
    <row r="2127" spans="1:10" x14ac:dyDescent="0.25">
      <c r="A2127" s="5" t="s">
        <v>54881</v>
      </c>
      <c r="B2127" s="6">
        <v>393.75</v>
      </c>
      <c r="C2127" s="6">
        <v>20.584240000000001</v>
      </c>
      <c r="D2127" s="6">
        <v>45</v>
      </c>
      <c r="E2127" s="6">
        <v>0</v>
      </c>
      <c r="F2127" s="6">
        <v>0</v>
      </c>
      <c r="G2127" s="6">
        <v>19</v>
      </c>
      <c r="H2127" s="6" t="s">
        <v>54882</v>
      </c>
      <c r="I2127" s="6">
        <v>526.6875</v>
      </c>
      <c r="J2127" s="2">
        <f t="shared" si="33"/>
        <v>43749.573706585645</v>
      </c>
    </row>
    <row r="2128" spans="1:10" x14ac:dyDescent="0.25">
      <c r="A2128" s="7" t="s">
        <v>54883</v>
      </c>
      <c r="B2128" s="8">
        <v>393.75</v>
      </c>
      <c r="C2128" s="8">
        <v>20.584240000000001</v>
      </c>
      <c r="D2128" s="8">
        <v>44</v>
      </c>
      <c r="E2128" s="8">
        <v>0</v>
      </c>
      <c r="F2128" s="8">
        <v>0</v>
      </c>
      <c r="G2128" s="8">
        <v>23</v>
      </c>
      <c r="H2128" s="8" t="s">
        <v>54884</v>
      </c>
      <c r="I2128" s="8">
        <v>526.6875</v>
      </c>
      <c r="J2128" s="3">
        <f t="shared" si="33"/>
        <v>43749.573789814815</v>
      </c>
    </row>
    <row r="2129" spans="1:10" x14ac:dyDescent="0.25">
      <c r="A2129" s="5" t="s">
        <v>54885</v>
      </c>
      <c r="B2129" s="6">
        <v>393.75</v>
      </c>
      <c r="C2129" s="6">
        <v>20.584240000000001</v>
      </c>
      <c r="D2129" s="6">
        <v>44</v>
      </c>
      <c r="E2129" s="6">
        <v>0</v>
      </c>
      <c r="F2129" s="6">
        <v>0</v>
      </c>
      <c r="G2129" s="6">
        <v>35</v>
      </c>
      <c r="H2129" s="6" t="s">
        <v>54886</v>
      </c>
      <c r="I2129" s="6">
        <v>526.6875</v>
      </c>
      <c r="J2129" s="2">
        <f t="shared" si="33"/>
        <v>43749.5738614699</v>
      </c>
    </row>
    <row r="2130" spans="1:10" x14ac:dyDescent="0.25">
      <c r="A2130" s="7" t="s">
        <v>54887</v>
      </c>
      <c r="B2130" s="8">
        <v>393.75</v>
      </c>
      <c r="C2130" s="8">
        <v>20.531590000000001</v>
      </c>
      <c r="D2130" s="8">
        <v>45</v>
      </c>
      <c r="E2130" s="8">
        <v>0</v>
      </c>
      <c r="F2130" s="8">
        <v>0</v>
      </c>
      <c r="G2130" s="8">
        <v>28</v>
      </c>
      <c r="H2130" s="8" t="s">
        <v>54888</v>
      </c>
      <c r="I2130" s="8">
        <v>526.6875</v>
      </c>
      <c r="J2130" s="3">
        <f t="shared" si="33"/>
        <v>43749.573933310181</v>
      </c>
    </row>
    <row r="2131" spans="1:10" x14ac:dyDescent="0.25">
      <c r="A2131" s="5" t="s">
        <v>54889</v>
      </c>
      <c r="B2131" s="6">
        <v>412.5</v>
      </c>
      <c r="C2131" s="6">
        <v>20.584240000000001</v>
      </c>
      <c r="D2131" s="6">
        <v>46</v>
      </c>
      <c r="E2131" s="6">
        <v>0</v>
      </c>
      <c r="F2131" s="6">
        <v>0</v>
      </c>
      <c r="G2131" s="6">
        <v>30</v>
      </c>
      <c r="H2131" s="6" t="s">
        <v>54890</v>
      </c>
      <c r="I2131" s="6">
        <v>532.3125</v>
      </c>
      <c r="J2131" s="2">
        <f t="shared" si="33"/>
        <v>43749.574004594906</v>
      </c>
    </row>
    <row r="2132" spans="1:10" x14ac:dyDescent="0.25">
      <c r="A2132" s="7" t="s">
        <v>54891</v>
      </c>
      <c r="B2132" s="8">
        <v>393.75</v>
      </c>
      <c r="C2132" s="8">
        <v>20.584240000000001</v>
      </c>
      <c r="D2132" s="8">
        <v>46</v>
      </c>
      <c r="E2132" s="8">
        <v>0</v>
      </c>
      <c r="F2132" s="8">
        <v>0</v>
      </c>
      <c r="G2132" s="8">
        <v>28</v>
      </c>
      <c r="H2132" s="8" t="s">
        <v>54892</v>
      </c>
      <c r="I2132" s="8">
        <v>526.6875</v>
      </c>
      <c r="J2132" s="3">
        <f t="shared" si="33"/>
        <v>43749.57407628472</v>
      </c>
    </row>
    <row r="2133" spans="1:10" x14ac:dyDescent="0.25">
      <c r="A2133" s="5" t="s">
        <v>54893</v>
      </c>
      <c r="B2133" s="6">
        <v>393.75</v>
      </c>
      <c r="C2133" s="6">
        <v>20.584240000000001</v>
      </c>
      <c r="D2133" s="6">
        <v>46</v>
      </c>
      <c r="E2133" s="6">
        <v>0</v>
      </c>
      <c r="F2133" s="6">
        <v>0</v>
      </c>
      <c r="G2133" s="6">
        <v>18</v>
      </c>
      <c r="H2133" s="6" t="s">
        <v>54894</v>
      </c>
      <c r="I2133" s="6">
        <v>526.6875</v>
      </c>
      <c r="J2133" s="2">
        <f t="shared" si="33"/>
        <v>43749.574166550919</v>
      </c>
    </row>
    <row r="2134" spans="1:10" x14ac:dyDescent="0.25">
      <c r="A2134" s="7" t="s">
        <v>54895</v>
      </c>
      <c r="B2134" s="8">
        <v>393.75</v>
      </c>
      <c r="C2134" s="8">
        <v>20.584240000000001</v>
      </c>
      <c r="D2134" s="8">
        <v>45</v>
      </c>
      <c r="E2134" s="8">
        <v>0</v>
      </c>
      <c r="F2134" s="8">
        <v>0</v>
      </c>
      <c r="G2134" s="8">
        <v>12</v>
      </c>
      <c r="H2134" s="8" t="s">
        <v>54896</v>
      </c>
      <c r="I2134" s="8">
        <v>526.5</v>
      </c>
      <c r="J2134" s="3">
        <f t="shared" si="33"/>
        <v>43749.574243391202</v>
      </c>
    </row>
    <row r="2135" spans="1:10" x14ac:dyDescent="0.25">
      <c r="A2135" s="5" t="s">
        <v>54897</v>
      </c>
      <c r="B2135" s="6">
        <v>393.75</v>
      </c>
      <c r="C2135" s="6">
        <v>20.584240000000001</v>
      </c>
      <c r="D2135" s="6">
        <v>45</v>
      </c>
      <c r="E2135" s="6">
        <v>0</v>
      </c>
      <c r="F2135" s="6">
        <v>0</v>
      </c>
      <c r="G2135" s="6">
        <v>22</v>
      </c>
      <c r="H2135" s="6" t="s">
        <v>54898</v>
      </c>
      <c r="I2135" s="6">
        <v>526.6875</v>
      </c>
      <c r="J2135" s="2">
        <f t="shared" si="33"/>
        <v>43749.574330543976</v>
      </c>
    </row>
    <row r="2136" spans="1:10" x14ac:dyDescent="0.25">
      <c r="A2136" s="7" t="s">
        <v>54899</v>
      </c>
      <c r="B2136" s="8">
        <v>393.75</v>
      </c>
      <c r="C2136" s="8">
        <v>20.531590000000001</v>
      </c>
      <c r="D2136" s="8">
        <v>43</v>
      </c>
      <c r="E2136" s="8">
        <v>0</v>
      </c>
      <c r="F2136" s="8">
        <v>0</v>
      </c>
      <c r="G2136" s="8">
        <v>7</v>
      </c>
      <c r="H2136" s="8" t="s">
        <v>54900</v>
      </c>
      <c r="I2136" s="8">
        <v>526.6875</v>
      </c>
      <c r="J2136" s="3">
        <f t="shared" si="33"/>
        <v>43749.57441040509</v>
      </c>
    </row>
    <row r="2137" spans="1:10" x14ac:dyDescent="0.25">
      <c r="A2137" s="5" t="s">
        <v>54901</v>
      </c>
      <c r="B2137" s="6">
        <v>393.75</v>
      </c>
      <c r="C2137" s="6">
        <v>20.584240000000001</v>
      </c>
      <c r="D2137" s="6">
        <v>43</v>
      </c>
      <c r="E2137" s="6">
        <v>0</v>
      </c>
      <c r="F2137" s="6">
        <v>0</v>
      </c>
      <c r="G2137" s="6">
        <v>15</v>
      </c>
      <c r="H2137" s="6" t="s">
        <v>54902</v>
      </c>
      <c r="I2137" s="6">
        <v>526.6875</v>
      </c>
      <c r="J2137" s="2">
        <f t="shared" si="33"/>
        <v>43749.574481932868</v>
      </c>
    </row>
    <row r="2138" spans="1:10" x14ac:dyDescent="0.25">
      <c r="A2138" s="7" t="s">
        <v>54903</v>
      </c>
      <c r="B2138" s="8">
        <v>393.75</v>
      </c>
      <c r="C2138" s="8">
        <v>20.584240000000001</v>
      </c>
      <c r="D2138" s="8">
        <v>43</v>
      </c>
      <c r="E2138" s="8">
        <v>0</v>
      </c>
      <c r="F2138" s="8">
        <v>0</v>
      </c>
      <c r="G2138" s="8">
        <v>14</v>
      </c>
      <c r="H2138" s="8" t="s">
        <v>54904</v>
      </c>
      <c r="I2138" s="8">
        <v>526.6875</v>
      </c>
      <c r="J2138" s="3">
        <f t="shared" si="33"/>
        <v>43749.574578113425</v>
      </c>
    </row>
    <row r="2139" spans="1:10" x14ac:dyDescent="0.25">
      <c r="A2139" s="5" t="s">
        <v>54905</v>
      </c>
      <c r="B2139" s="6">
        <v>393.75</v>
      </c>
      <c r="C2139" s="6">
        <v>20.584240000000001</v>
      </c>
      <c r="D2139" s="6">
        <v>44</v>
      </c>
      <c r="E2139" s="6">
        <v>0</v>
      </c>
      <c r="F2139" s="6">
        <v>0</v>
      </c>
      <c r="G2139" s="6">
        <v>16</v>
      </c>
      <c r="H2139" s="6" t="s">
        <v>54906</v>
      </c>
      <c r="I2139" s="6">
        <v>526.6875</v>
      </c>
      <c r="J2139" s="2">
        <f t="shared" si="33"/>
        <v>43749.574660868057</v>
      </c>
    </row>
    <row r="2140" spans="1:10" x14ac:dyDescent="0.25">
      <c r="A2140" s="7" t="s">
        <v>54907</v>
      </c>
      <c r="B2140" s="8">
        <v>393.75</v>
      </c>
      <c r="C2140" s="8">
        <v>20.531590000000001</v>
      </c>
      <c r="D2140" s="8">
        <v>42</v>
      </c>
      <c r="E2140" s="8">
        <v>0</v>
      </c>
      <c r="F2140" s="8">
        <v>0</v>
      </c>
      <c r="G2140" s="8">
        <v>13</v>
      </c>
      <c r="H2140" s="8" t="s">
        <v>54908</v>
      </c>
      <c r="I2140" s="8">
        <v>526.6875</v>
      </c>
      <c r="J2140" s="3">
        <f t="shared" si="33"/>
        <v>43749.574744317128</v>
      </c>
    </row>
    <row r="2141" spans="1:10" x14ac:dyDescent="0.25">
      <c r="A2141" s="5" t="s">
        <v>54909</v>
      </c>
      <c r="B2141" s="6">
        <v>412.5</v>
      </c>
      <c r="C2141" s="6">
        <v>20.531590000000001</v>
      </c>
      <c r="D2141" s="6">
        <v>42</v>
      </c>
      <c r="E2141" s="6">
        <v>0</v>
      </c>
      <c r="F2141" s="6">
        <v>0</v>
      </c>
      <c r="G2141" s="6">
        <v>21</v>
      </c>
      <c r="H2141" s="6" t="s">
        <v>54910</v>
      </c>
      <c r="I2141" s="6">
        <v>532.3125</v>
      </c>
      <c r="J2141" s="2">
        <f t="shared" si="33"/>
        <v>43749.574827881945</v>
      </c>
    </row>
    <row r="2142" spans="1:10" x14ac:dyDescent="0.25">
      <c r="A2142" s="7" t="s">
        <v>54911</v>
      </c>
      <c r="B2142" s="8">
        <v>393.75</v>
      </c>
      <c r="C2142" s="8">
        <v>20.531590000000001</v>
      </c>
      <c r="D2142" s="8">
        <v>42</v>
      </c>
      <c r="E2142" s="8">
        <v>0</v>
      </c>
      <c r="F2142" s="8">
        <v>0</v>
      </c>
      <c r="G2142" s="8">
        <v>15</v>
      </c>
      <c r="H2142" s="8" t="s">
        <v>54912</v>
      </c>
      <c r="I2142" s="8">
        <v>526.6875</v>
      </c>
      <c r="J2142" s="3">
        <f t="shared" si="33"/>
        <v>43749.574911342592</v>
      </c>
    </row>
    <row r="2143" spans="1:10" x14ac:dyDescent="0.25">
      <c r="A2143" s="5" t="s">
        <v>54913</v>
      </c>
      <c r="B2143" s="6">
        <v>393.75</v>
      </c>
      <c r="C2143" s="6">
        <v>20.531590000000001</v>
      </c>
      <c r="D2143" s="6">
        <v>43</v>
      </c>
      <c r="E2143" s="6">
        <v>0</v>
      </c>
      <c r="F2143" s="6">
        <v>0</v>
      </c>
      <c r="G2143" s="6">
        <v>15</v>
      </c>
      <c r="H2143" s="6" t="s">
        <v>54914</v>
      </c>
      <c r="I2143" s="6">
        <v>526.6875</v>
      </c>
      <c r="J2143" s="2">
        <f t="shared" si="33"/>
        <v>43749.57499483796</v>
      </c>
    </row>
    <row r="2144" spans="1:10" x14ac:dyDescent="0.25">
      <c r="A2144" s="7" t="s">
        <v>54915</v>
      </c>
      <c r="B2144" s="8">
        <v>393.75</v>
      </c>
      <c r="C2144" s="8">
        <v>20.584240000000001</v>
      </c>
      <c r="D2144" s="8">
        <v>44</v>
      </c>
      <c r="E2144" s="8">
        <v>0</v>
      </c>
      <c r="F2144" s="8">
        <v>0</v>
      </c>
      <c r="G2144" s="8">
        <v>10</v>
      </c>
      <c r="H2144" s="8" t="s">
        <v>54916</v>
      </c>
      <c r="I2144" s="8">
        <v>526.6875</v>
      </c>
      <c r="J2144" s="3">
        <f t="shared" si="33"/>
        <v>43749.575078692127</v>
      </c>
    </row>
    <row r="2145" spans="1:10" x14ac:dyDescent="0.25">
      <c r="A2145" s="5" t="s">
        <v>54917</v>
      </c>
      <c r="B2145" s="6">
        <v>393.75</v>
      </c>
      <c r="C2145" s="6">
        <v>20.584240000000001</v>
      </c>
      <c r="D2145" s="6">
        <v>46</v>
      </c>
      <c r="E2145" s="6">
        <v>0</v>
      </c>
      <c r="F2145" s="6">
        <v>0</v>
      </c>
      <c r="G2145" s="6">
        <v>14</v>
      </c>
      <c r="H2145" s="6" t="s">
        <v>54918</v>
      </c>
      <c r="I2145" s="6">
        <v>526.6875</v>
      </c>
      <c r="J2145" s="2">
        <f t="shared" si="33"/>
        <v>43749.575161793975</v>
      </c>
    </row>
    <row r="2146" spans="1:10" x14ac:dyDescent="0.25">
      <c r="A2146" s="7" t="s">
        <v>54919</v>
      </c>
      <c r="B2146" s="8">
        <v>393.75</v>
      </c>
      <c r="C2146" s="8">
        <v>20.584240000000001</v>
      </c>
      <c r="D2146" s="8">
        <v>46</v>
      </c>
      <c r="E2146" s="8">
        <v>0</v>
      </c>
      <c r="F2146" s="8">
        <v>0</v>
      </c>
      <c r="G2146" s="8">
        <v>18</v>
      </c>
      <c r="H2146" s="8" t="s">
        <v>54920</v>
      </c>
      <c r="I2146" s="8">
        <v>526.6875</v>
      </c>
      <c r="J2146" s="3">
        <f t="shared" si="33"/>
        <v>43749.575245266205</v>
      </c>
    </row>
    <row r="2147" spans="1:10" x14ac:dyDescent="0.25">
      <c r="A2147" s="5" t="s">
        <v>54921</v>
      </c>
      <c r="B2147" s="6">
        <v>393.75</v>
      </c>
      <c r="C2147" s="6">
        <v>20.584240000000001</v>
      </c>
      <c r="D2147" s="6">
        <v>46</v>
      </c>
      <c r="E2147" s="6">
        <v>0</v>
      </c>
      <c r="F2147" s="6">
        <v>0</v>
      </c>
      <c r="G2147" s="6">
        <v>13</v>
      </c>
      <c r="H2147" s="6" t="s">
        <v>54922</v>
      </c>
      <c r="I2147" s="6">
        <v>526.6875</v>
      </c>
      <c r="J2147" s="2">
        <f t="shared" si="33"/>
        <v>43749.575328541665</v>
      </c>
    </row>
    <row r="2148" spans="1:10" x14ac:dyDescent="0.25">
      <c r="A2148" s="7" t="s">
        <v>54923</v>
      </c>
      <c r="B2148" s="8">
        <v>393.75</v>
      </c>
      <c r="C2148" s="8">
        <v>20.584240000000001</v>
      </c>
      <c r="D2148" s="8">
        <v>46</v>
      </c>
      <c r="E2148" s="8">
        <v>0</v>
      </c>
      <c r="F2148" s="8">
        <v>0</v>
      </c>
      <c r="G2148" s="8">
        <v>18</v>
      </c>
      <c r="H2148" s="8" t="s">
        <v>54924</v>
      </c>
      <c r="I2148" s="8">
        <v>526.6875</v>
      </c>
      <c r="J2148" s="3">
        <f t="shared" si="33"/>
        <v>43749.575412013888</v>
      </c>
    </row>
    <row r="2149" spans="1:10" x14ac:dyDescent="0.25">
      <c r="A2149" s="5" t="s">
        <v>54925</v>
      </c>
      <c r="B2149" s="6">
        <v>393.75</v>
      </c>
      <c r="C2149" s="6">
        <v>20.584240000000001</v>
      </c>
      <c r="D2149" s="6">
        <v>46</v>
      </c>
      <c r="E2149" s="6">
        <v>0</v>
      </c>
      <c r="F2149" s="6">
        <v>0</v>
      </c>
      <c r="G2149" s="6">
        <v>14</v>
      </c>
      <c r="H2149" s="6" t="s">
        <v>54926</v>
      </c>
      <c r="I2149" s="6">
        <v>526.6875</v>
      </c>
      <c r="J2149" s="2">
        <f t="shared" si="33"/>
        <v>43749.575483310182</v>
      </c>
    </row>
    <row r="2150" spans="1:10" x14ac:dyDescent="0.25">
      <c r="A2150" s="7" t="s">
        <v>54927</v>
      </c>
      <c r="B2150" s="8">
        <v>393.75</v>
      </c>
      <c r="C2150" s="8">
        <v>20.584240000000001</v>
      </c>
      <c r="D2150" s="8">
        <v>43</v>
      </c>
      <c r="E2150" s="8">
        <v>0</v>
      </c>
      <c r="F2150" s="8">
        <v>0</v>
      </c>
      <c r="G2150" s="8">
        <v>11</v>
      </c>
      <c r="H2150" s="8" t="s">
        <v>54928</v>
      </c>
      <c r="I2150" s="8">
        <v>526.6875</v>
      </c>
      <c r="J2150" s="3">
        <f t="shared" si="33"/>
        <v>43749.575555416661</v>
      </c>
    </row>
    <row r="2151" spans="1:10" x14ac:dyDescent="0.25">
      <c r="A2151" s="5" t="s">
        <v>54929</v>
      </c>
      <c r="B2151" s="6">
        <v>428.125</v>
      </c>
      <c r="C2151" s="6">
        <v>20.531590000000001</v>
      </c>
      <c r="D2151" s="6">
        <v>43</v>
      </c>
      <c r="E2151" s="6">
        <v>0</v>
      </c>
      <c r="F2151" s="6">
        <v>0</v>
      </c>
      <c r="G2151" s="6">
        <v>8</v>
      </c>
      <c r="H2151" s="6" t="s">
        <v>54930</v>
      </c>
      <c r="I2151" s="6">
        <v>537.75</v>
      </c>
      <c r="J2151" s="2">
        <f t="shared" si="33"/>
        <v>43749.575638877308</v>
      </c>
    </row>
    <row r="2152" spans="1:10" x14ac:dyDescent="0.25">
      <c r="A2152" s="7" t="s">
        <v>54931</v>
      </c>
      <c r="B2152" s="8">
        <v>393.75</v>
      </c>
      <c r="C2152" s="8">
        <v>20.584240000000001</v>
      </c>
      <c r="D2152" s="8">
        <v>43</v>
      </c>
      <c r="E2152" s="8">
        <v>0</v>
      </c>
      <c r="F2152" s="8">
        <v>0</v>
      </c>
      <c r="G2152" s="8">
        <v>8</v>
      </c>
      <c r="H2152" s="8" t="s">
        <v>54932</v>
      </c>
      <c r="I2152" s="8">
        <v>526.6875</v>
      </c>
      <c r="J2152" s="3">
        <f t="shared" si="33"/>
        <v>43749.575710636571</v>
      </c>
    </row>
    <row r="2153" spans="1:10" x14ac:dyDescent="0.25">
      <c r="A2153" s="5" t="s">
        <v>54933</v>
      </c>
      <c r="B2153" s="6">
        <v>393.75</v>
      </c>
      <c r="C2153" s="6">
        <v>20.531590000000001</v>
      </c>
      <c r="D2153" s="6">
        <v>43</v>
      </c>
      <c r="E2153" s="6">
        <v>0</v>
      </c>
      <c r="F2153" s="6">
        <v>0</v>
      </c>
      <c r="G2153" s="6">
        <v>10</v>
      </c>
      <c r="H2153" s="6" t="s">
        <v>54934</v>
      </c>
      <c r="I2153" s="6">
        <v>526.6875</v>
      </c>
      <c r="J2153" s="2">
        <f t="shared" si="33"/>
        <v>43749.575782071755</v>
      </c>
    </row>
    <row r="2154" spans="1:10" x14ac:dyDescent="0.25">
      <c r="A2154" s="7" t="s">
        <v>54935</v>
      </c>
      <c r="B2154" s="8">
        <v>393.75</v>
      </c>
      <c r="C2154" s="8">
        <v>20.584240000000001</v>
      </c>
      <c r="D2154" s="8">
        <v>43</v>
      </c>
      <c r="E2154" s="8">
        <v>0</v>
      </c>
      <c r="F2154" s="8">
        <v>0</v>
      </c>
      <c r="G2154" s="8">
        <v>9</v>
      </c>
      <c r="H2154" s="8" t="s">
        <v>54936</v>
      </c>
      <c r="I2154" s="8">
        <v>526.6875</v>
      </c>
      <c r="J2154" s="3">
        <f t="shared" si="33"/>
        <v>43749.575853564813</v>
      </c>
    </row>
    <row r="2155" spans="1:10" x14ac:dyDescent="0.25">
      <c r="A2155" s="5" t="s">
        <v>54937</v>
      </c>
      <c r="B2155" s="6">
        <v>393.75</v>
      </c>
      <c r="C2155" s="6">
        <v>20.531590000000001</v>
      </c>
      <c r="D2155" s="6">
        <v>43</v>
      </c>
      <c r="E2155" s="6">
        <v>0</v>
      </c>
      <c r="F2155" s="6">
        <v>0</v>
      </c>
      <c r="G2155" s="6">
        <v>18</v>
      </c>
      <c r="H2155" s="6" t="s">
        <v>54938</v>
      </c>
      <c r="I2155" s="6">
        <v>526.6875</v>
      </c>
      <c r="J2155" s="2">
        <f t="shared" si="33"/>
        <v>43749.575925219906</v>
      </c>
    </row>
    <row r="2156" spans="1:10" x14ac:dyDescent="0.25">
      <c r="A2156" s="7" t="s">
        <v>54939</v>
      </c>
      <c r="B2156" s="8">
        <v>393.75</v>
      </c>
      <c r="C2156" s="8">
        <v>20.584240000000001</v>
      </c>
      <c r="D2156" s="8">
        <v>43</v>
      </c>
      <c r="E2156" s="8">
        <v>0</v>
      </c>
      <c r="F2156" s="8">
        <v>0</v>
      </c>
      <c r="G2156" s="8">
        <v>21</v>
      </c>
      <c r="H2156" s="8" t="s">
        <v>54940</v>
      </c>
      <c r="I2156" s="8">
        <v>526.6875</v>
      </c>
      <c r="J2156" s="3">
        <f t="shared" si="33"/>
        <v>43749.576020578701</v>
      </c>
    </row>
    <row r="2157" spans="1:10" x14ac:dyDescent="0.25">
      <c r="A2157" s="5" t="s">
        <v>54941</v>
      </c>
      <c r="B2157" s="6">
        <v>415.625</v>
      </c>
      <c r="C2157" s="6">
        <v>20.584240000000001</v>
      </c>
      <c r="D2157" s="6">
        <v>43</v>
      </c>
      <c r="E2157" s="6">
        <v>0</v>
      </c>
      <c r="F2157" s="6">
        <v>0</v>
      </c>
      <c r="G2157" s="6">
        <v>17</v>
      </c>
      <c r="H2157" s="6" t="s">
        <v>54942</v>
      </c>
      <c r="I2157" s="6">
        <v>533.25</v>
      </c>
      <c r="J2157" s="2">
        <f t="shared" si="33"/>
        <v>43749.576103807871</v>
      </c>
    </row>
    <row r="2158" spans="1:10" x14ac:dyDescent="0.25">
      <c r="A2158" s="7" t="s">
        <v>54943</v>
      </c>
      <c r="B2158" s="8">
        <v>393.75</v>
      </c>
      <c r="C2158" s="8">
        <v>20.584240000000001</v>
      </c>
      <c r="D2158" s="8">
        <v>43</v>
      </c>
      <c r="E2158" s="8">
        <v>0</v>
      </c>
      <c r="F2158" s="8">
        <v>0</v>
      </c>
      <c r="G2158" s="8">
        <v>17</v>
      </c>
      <c r="H2158" s="8" t="s">
        <v>54944</v>
      </c>
      <c r="I2158" s="8">
        <v>526.5</v>
      </c>
      <c r="J2158" s="3">
        <f t="shared" si="33"/>
        <v>43749.576187604165</v>
      </c>
    </row>
    <row r="2159" spans="1:10" x14ac:dyDescent="0.25">
      <c r="A2159" s="5" t="s">
        <v>54945</v>
      </c>
      <c r="B2159" s="6">
        <v>393.75</v>
      </c>
      <c r="C2159" s="6">
        <v>20.584240000000001</v>
      </c>
      <c r="D2159" s="6">
        <v>43</v>
      </c>
      <c r="E2159" s="6">
        <v>0</v>
      </c>
      <c r="F2159" s="6">
        <v>0</v>
      </c>
      <c r="G2159" s="6">
        <v>13</v>
      </c>
      <c r="H2159" s="6" t="s">
        <v>54946</v>
      </c>
      <c r="I2159" s="6">
        <v>526.6875</v>
      </c>
      <c r="J2159" s="2">
        <f t="shared" si="33"/>
        <v>43749.576271377307</v>
      </c>
    </row>
    <row r="2160" spans="1:10" x14ac:dyDescent="0.25">
      <c r="A2160" s="7" t="s">
        <v>54947</v>
      </c>
      <c r="B2160" s="8">
        <v>393.75</v>
      </c>
      <c r="C2160" s="8">
        <v>20.584240000000001</v>
      </c>
      <c r="D2160" s="8">
        <v>43</v>
      </c>
      <c r="E2160" s="8">
        <v>0</v>
      </c>
      <c r="F2160" s="8">
        <v>0</v>
      </c>
      <c r="G2160" s="8">
        <v>12</v>
      </c>
      <c r="H2160" s="8" t="s">
        <v>54948</v>
      </c>
      <c r="I2160" s="8">
        <v>526.6875</v>
      </c>
      <c r="J2160" s="3">
        <f t="shared" si="33"/>
        <v>43749.576354629629</v>
      </c>
    </row>
    <row r="2161" spans="1:10" x14ac:dyDescent="0.25">
      <c r="A2161" s="5" t="s">
        <v>54949</v>
      </c>
      <c r="B2161" s="6">
        <v>393.75</v>
      </c>
      <c r="C2161" s="6">
        <v>20.531590000000001</v>
      </c>
      <c r="D2161" s="6">
        <v>44</v>
      </c>
      <c r="E2161" s="6">
        <v>0</v>
      </c>
      <c r="F2161" s="6">
        <v>0</v>
      </c>
      <c r="G2161" s="6">
        <v>14</v>
      </c>
      <c r="H2161" s="6" t="s">
        <v>54950</v>
      </c>
      <c r="I2161" s="6">
        <v>526.6875</v>
      </c>
      <c r="J2161" s="2">
        <f t="shared" si="33"/>
        <v>43749.576444733793</v>
      </c>
    </row>
    <row r="2162" spans="1:10" x14ac:dyDescent="0.25">
      <c r="A2162" s="7" t="s">
        <v>54951</v>
      </c>
      <c r="B2162" s="8">
        <v>393.75</v>
      </c>
      <c r="C2162" s="8">
        <v>20.584240000000001</v>
      </c>
      <c r="D2162" s="8">
        <v>43</v>
      </c>
      <c r="E2162" s="8">
        <v>0</v>
      </c>
      <c r="F2162" s="8">
        <v>0</v>
      </c>
      <c r="G2162" s="8">
        <v>13</v>
      </c>
      <c r="H2162" s="8" t="s">
        <v>54952</v>
      </c>
      <c r="I2162" s="8">
        <v>526.6875</v>
      </c>
      <c r="J2162" s="3">
        <f t="shared" si="33"/>
        <v>43749.576521527772</v>
      </c>
    </row>
    <row r="2163" spans="1:10" x14ac:dyDescent="0.25">
      <c r="A2163" s="5" t="s">
        <v>54953</v>
      </c>
      <c r="B2163" s="6">
        <v>393.75</v>
      </c>
      <c r="C2163" s="6">
        <v>20.531590000000001</v>
      </c>
      <c r="D2163" s="6">
        <v>43</v>
      </c>
      <c r="E2163" s="6">
        <v>0</v>
      </c>
      <c r="F2163" s="6">
        <v>0</v>
      </c>
      <c r="G2163" s="6">
        <v>19</v>
      </c>
      <c r="H2163" s="6" t="s">
        <v>54954</v>
      </c>
      <c r="I2163" s="6">
        <v>526.6875</v>
      </c>
      <c r="J2163" s="2">
        <f t="shared" si="33"/>
        <v>43749.576605173606</v>
      </c>
    </row>
    <row r="2164" spans="1:10" x14ac:dyDescent="0.25">
      <c r="A2164" s="7" t="s">
        <v>54955</v>
      </c>
      <c r="B2164" s="8">
        <v>412.5</v>
      </c>
      <c r="C2164" s="8">
        <v>20.584240000000001</v>
      </c>
      <c r="D2164" s="8">
        <v>42</v>
      </c>
      <c r="E2164" s="8">
        <v>0</v>
      </c>
      <c r="F2164" s="8">
        <v>0</v>
      </c>
      <c r="G2164" s="8">
        <v>14</v>
      </c>
      <c r="H2164" s="8" t="s">
        <v>54956</v>
      </c>
      <c r="I2164" s="8">
        <v>532.6875</v>
      </c>
      <c r="J2164" s="3">
        <f t="shared" si="33"/>
        <v>43749.576688530091</v>
      </c>
    </row>
    <row r="2165" spans="1:10" x14ac:dyDescent="0.25">
      <c r="A2165" s="5" t="s">
        <v>54957</v>
      </c>
      <c r="B2165" s="6">
        <v>393.75</v>
      </c>
      <c r="C2165" s="6">
        <v>20.584240000000001</v>
      </c>
      <c r="D2165" s="6">
        <v>42</v>
      </c>
      <c r="E2165" s="6">
        <v>0</v>
      </c>
      <c r="F2165" s="6">
        <v>0</v>
      </c>
      <c r="G2165" s="6">
        <v>9</v>
      </c>
      <c r="H2165" s="6" t="s">
        <v>54958</v>
      </c>
      <c r="I2165" s="6">
        <v>526.5</v>
      </c>
      <c r="J2165" s="2">
        <f t="shared" si="33"/>
        <v>43749.576772210647</v>
      </c>
    </row>
    <row r="2166" spans="1:10" x14ac:dyDescent="0.25">
      <c r="A2166" s="7" t="s">
        <v>54959</v>
      </c>
      <c r="B2166" s="8">
        <v>393.75</v>
      </c>
      <c r="C2166" s="8">
        <v>20.531590000000001</v>
      </c>
      <c r="D2166" s="8">
        <v>42</v>
      </c>
      <c r="E2166" s="8">
        <v>0</v>
      </c>
      <c r="F2166" s="8">
        <v>0</v>
      </c>
      <c r="G2166" s="8">
        <v>10</v>
      </c>
      <c r="H2166" s="8" t="s">
        <v>54960</v>
      </c>
      <c r="I2166" s="8">
        <v>526.5</v>
      </c>
      <c r="J2166" s="3">
        <f t="shared" si="33"/>
        <v>43749.576843391202</v>
      </c>
    </row>
    <row r="2167" spans="1:10" x14ac:dyDescent="0.25">
      <c r="A2167" s="5" t="s">
        <v>54961</v>
      </c>
      <c r="B2167" s="6">
        <v>393.75</v>
      </c>
      <c r="C2167" s="6">
        <v>20.584240000000001</v>
      </c>
      <c r="D2167" s="6">
        <v>43</v>
      </c>
      <c r="E2167" s="6">
        <v>0</v>
      </c>
      <c r="F2167" s="6">
        <v>0</v>
      </c>
      <c r="G2167" s="6">
        <v>10</v>
      </c>
      <c r="H2167" s="6" t="s">
        <v>54962</v>
      </c>
      <c r="I2167" s="6">
        <v>526.6875</v>
      </c>
      <c r="J2167" s="2">
        <f t="shared" si="33"/>
        <v>43749.576926828704</v>
      </c>
    </row>
    <row r="2168" spans="1:10" x14ac:dyDescent="0.25">
      <c r="A2168" s="7" t="s">
        <v>54963</v>
      </c>
      <c r="B2168" s="8">
        <v>393.75</v>
      </c>
      <c r="C2168" s="8">
        <v>20.584240000000001</v>
      </c>
      <c r="D2168" s="8">
        <v>43</v>
      </c>
      <c r="E2168" s="8">
        <v>0</v>
      </c>
      <c r="F2168" s="8">
        <v>0</v>
      </c>
      <c r="G2168" s="8">
        <v>15</v>
      </c>
      <c r="H2168" s="8" t="s">
        <v>54964</v>
      </c>
      <c r="I2168" s="8">
        <v>526.6875</v>
      </c>
      <c r="J2168" s="3">
        <f t="shared" si="33"/>
        <v>43749.576998831013</v>
      </c>
    </row>
    <row r="2169" spans="1:10" x14ac:dyDescent="0.25">
      <c r="A2169" s="5" t="s">
        <v>54965</v>
      </c>
      <c r="B2169" s="6">
        <v>393.75</v>
      </c>
      <c r="C2169" s="6">
        <v>20.531590000000001</v>
      </c>
      <c r="D2169" s="6">
        <v>43</v>
      </c>
      <c r="E2169" s="6">
        <v>0</v>
      </c>
      <c r="F2169" s="6">
        <v>0</v>
      </c>
      <c r="G2169" s="6">
        <v>11</v>
      </c>
      <c r="H2169" s="6" t="s">
        <v>54966</v>
      </c>
      <c r="I2169" s="6">
        <v>526.6875</v>
      </c>
      <c r="J2169" s="2">
        <f t="shared" si="33"/>
        <v>43749.57708229166</v>
      </c>
    </row>
    <row r="2170" spans="1:10" x14ac:dyDescent="0.25">
      <c r="A2170" s="7" t="s">
        <v>54967</v>
      </c>
      <c r="B2170" s="8">
        <v>393.75</v>
      </c>
      <c r="C2170" s="8">
        <v>20.584240000000001</v>
      </c>
      <c r="D2170" s="8">
        <v>44</v>
      </c>
      <c r="E2170" s="8">
        <v>0</v>
      </c>
      <c r="F2170" s="8">
        <v>0</v>
      </c>
      <c r="G2170" s="8">
        <v>7</v>
      </c>
      <c r="H2170" s="8" t="s">
        <v>54968</v>
      </c>
      <c r="I2170" s="8">
        <v>526.6875</v>
      </c>
      <c r="J2170" s="3">
        <f t="shared" si="33"/>
        <v>43749.577177523148</v>
      </c>
    </row>
    <row r="2171" spans="1:10" x14ac:dyDescent="0.25">
      <c r="A2171" s="5" t="s">
        <v>54969</v>
      </c>
      <c r="B2171" s="6">
        <v>393.75</v>
      </c>
      <c r="C2171" s="6">
        <v>20.531590000000001</v>
      </c>
      <c r="D2171" s="6">
        <v>43</v>
      </c>
      <c r="E2171" s="6">
        <v>0</v>
      </c>
      <c r="F2171" s="6">
        <v>0</v>
      </c>
      <c r="G2171" s="6">
        <v>11</v>
      </c>
      <c r="H2171" s="6" t="s">
        <v>54970</v>
      </c>
      <c r="I2171" s="6">
        <v>526.6875</v>
      </c>
      <c r="J2171" s="2">
        <f t="shared" si="33"/>
        <v>43749.577261099534</v>
      </c>
    </row>
    <row r="2172" spans="1:10" x14ac:dyDescent="0.25">
      <c r="A2172" s="7" t="s">
        <v>54971</v>
      </c>
      <c r="B2172" s="8">
        <v>393.75</v>
      </c>
      <c r="C2172" s="8">
        <v>20.531590000000001</v>
      </c>
      <c r="D2172" s="8">
        <v>43</v>
      </c>
      <c r="E2172" s="8">
        <v>0</v>
      </c>
      <c r="F2172" s="8">
        <v>0</v>
      </c>
      <c r="G2172" s="8">
        <v>11</v>
      </c>
      <c r="H2172" s="8" t="s">
        <v>54972</v>
      </c>
      <c r="I2172" s="8">
        <v>526.6875</v>
      </c>
      <c r="J2172" s="3">
        <f t="shared" si="33"/>
        <v>43749.577356388887</v>
      </c>
    </row>
    <row r="2173" spans="1:10" x14ac:dyDescent="0.25">
      <c r="A2173" s="5" t="s">
        <v>54973</v>
      </c>
      <c r="B2173" s="6">
        <v>393.75</v>
      </c>
      <c r="C2173" s="6">
        <v>20.584240000000001</v>
      </c>
      <c r="D2173" s="6">
        <v>44</v>
      </c>
      <c r="E2173" s="6">
        <v>0</v>
      </c>
      <c r="F2173" s="6">
        <v>0</v>
      </c>
      <c r="G2173" s="6">
        <v>18</v>
      </c>
      <c r="H2173" s="6" t="s">
        <v>54974</v>
      </c>
      <c r="I2173" s="6">
        <v>526.6875</v>
      </c>
      <c r="J2173" s="2">
        <f t="shared" si="33"/>
        <v>43749.577440057867</v>
      </c>
    </row>
    <row r="2174" spans="1:10" x14ac:dyDescent="0.25">
      <c r="A2174" s="7" t="s">
        <v>54975</v>
      </c>
      <c r="B2174" s="8">
        <v>393.75</v>
      </c>
      <c r="C2174" s="8">
        <v>20.531590000000001</v>
      </c>
      <c r="D2174" s="8">
        <v>45</v>
      </c>
      <c r="E2174" s="8">
        <v>0</v>
      </c>
      <c r="F2174" s="8">
        <v>0</v>
      </c>
      <c r="G2174" s="8">
        <v>10</v>
      </c>
      <c r="H2174" s="8" t="s">
        <v>54976</v>
      </c>
      <c r="I2174" s="8">
        <v>526.6875</v>
      </c>
      <c r="J2174" s="3">
        <f t="shared" si="33"/>
        <v>43749.577523148146</v>
      </c>
    </row>
    <row r="2175" spans="1:10" x14ac:dyDescent="0.25">
      <c r="A2175" s="5" t="s">
        <v>54977</v>
      </c>
      <c r="B2175" s="6">
        <v>393.75</v>
      </c>
      <c r="C2175" s="6">
        <v>20.584240000000001</v>
      </c>
      <c r="D2175" s="6">
        <v>45</v>
      </c>
      <c r="E2175" s="6">
        <v>0</v>
      </c>
      <c r="F2175" s="6">
        <v>0</v>
      </c>
      <c r="G2175" s="6">
        <v>11</v>
      </c>
      <c r="H2175" s="6" t="s">
        <v>54978</v>
      </c>
      <c r="I2175" s="6">
        <v>526.6875</v>
      </c>
      <c r="J2175" s="2">
        <f t="shared" si="33"/>
        <v>43749.577594814815</v>
      </c>
    </row>
    <row r="2176" spans="1:10" x14ac:dyDescent="0.25">
      <c r="A2176" s="7" t="s">
        <v>54979</v>
      </c>
      <c r="B2176" s="8">
        <v>412.5</v>
      </c>
      <c r="C2176" s="8">
        <v>20.584240000000001</v>
      </c>
      <c r="D2176" s="8">
        <v>44</v>
      </c>
      <c r="E2176" s="8">
        <v>0</v>
      </c>
      <c r="F2176" s="8">
        <v>0</v>
      </c>
      <c r="G2176" s="8">
        <v>16</v>
      </c>
      <c r="H2176" s="8" t="s">
        <v>54980</v>
      </c>
      <c r="I2176" s="8">
        <v>532.3125</v>
      </c>
      <c r="J2176" s="3">
        <f t="shared" si="33"/>
        <v>43749.577678703703</v>
      </c>
    </row>
    <row r="2177" spans="1:10" x14ac:dyDescent="0.25">
      <c r="A2177" s="5" t="s">
        <v>54981</v>
      </c>
      <c r="B2177" s="6">
        <v>393.75</v>
      </c>
      <c r="C2177" s="6">
        <v>20.584240000000001</v>
      </c>
      <c r="D2177" s="6">
        <v>43</v>
      </c>
      <c r="E2177" s="6">
        <v>0</v>
      </c>
      <c r="F2177" s="6">
        <v>0</v>
      </c>
      <c r="G2177" s="6">
        <v>11</v>
      </c>
      <c r="H2177" s="6" t="s">
        <v>54982</v>
      </c>
      <c r="I2177" s="6">
        <v>526.6875</v>
      </c>
      <c r="J2177" s="2">
        <f t="shared" si="33"/>
        <v>43749.577762048611</v>
      </c>
    </row>
    <row r="2178" spans="1:10" x14ac:dyDescent="0.25">
      <c r="A2178" s="7" t="s">
        <v>54983</v>
      </c>
      <c r="B2178" s="8">
        <v>393.75</v>
      </c>
      <c r="C2178" s="8">
        <v>20.531590000000001</v>
      </c>
      <c r="D2178" s="8">
        <v>47</v>
      </c>
      <c r="E2178" s="8">
        <v>0</v>
      </c>
      <c r="F2178" s="8">
        <v>0</v>
      </c>
      <c r="G2178" s="8">
        <v>5</v>
      </c>
      <c r="H2178" s="8" t="s">
        <v>54984</v>
      </c>
      <c r="I2178" s="8">
        <v>526.6875</v>
      </c>
      <c r="J2178" s="3">
        <f t="shared" ref="J2178:J2221" si="34">(H2178/86400000)+25569+(7/24)</f>
        <v>43749.577857523145</v>
      </c>
    </row>
    <row r="2179" spans="1:10" x14ac:dyDescent="0.25">
      <c r="A2179" s="5" t="s">
        <v>54985</v>
      </c>
      <c r="B2179" s="6">
        <v>393.75</v>
      </c>
      <c r="C2179" s="6">
        <v>20.584240000000001</v>
      </c>
      <c r="D2179" s="6">
        <v>48</v>
      </c>
      <c r="E2179" s="6">
        <v>0</v>
      </c>
      <c r="F2179" s="6">
        <v>0</v>
      </c>
      <c r="G2179" s="6">
        <v>11</v>
      </c>
      <c r="H2179" s="6" t="s">
        <v>54986</v>
      </c>
      <c r="I2179" s="6">
        <v>526.5</v>
      </c>
      <c r="J2179" s="2">
        <f t="shared" si="34"/>
        <v>43749.577940983792</v>
      </c>
    </row>
    <row r="2180" spans="1:10" x14ac:dyDescent="0.25">
      <c r="A2180" s="7" t="s">
        <v>54987</v>
      </c>
      <c r="B2180" s="8">
        <v>431.25</v>
      </c>
      <c r="C2180" s="8">
        <v>20.584240000000001</v>
      </c>
      <c r="D2180" s="8">
        <v>48</v>
      </c>
      <c r="E2180" s="8">
        <v>0</v>
      </c>
      <c r="F2180" s="8">
        <v>0</v>
      </c>
      <c r="G2180" s="8">
        <v>5</v>
      </c>
      <c r="H2180" s="8" t="s">
        <v>54988</v>
      </c>
      <c r="I2180" s="8">
        <v>538.5</v>
      </c>
      <c r="J2180" s="3">
        <f t="shared" si="34"/>
        <v>43749.578024421295</v>
      </c>
    </row>
    <row r="2181" spans="1:10" x14ac:dyDescent="0.25">
      <c r="A2181" s="5" t="s">
        <v>54989</v>
      </c>
      <c r="B2181" s="6">
        <v>393.75</v>
      </c>
      <c r="C2181" s="6">
        <v>20.584240000000001</v>
      </c>
      <c r="D2181" s="6">
        <v>47</v>
      </c>
      <c r="E2181" s="6">
        <v>0</v>
      </c>
      <c r="F2181" s="6">
        <v>0</v>
      </c>
      <c r="G2181" s="6">
        <v>7</v>
      </c>
      <c r="H2181" s="6" t="s">
        <v>54990</v>
      </c>
      <c r="I2181" s="6">
        <v>526.6875</v>
      </c>
      <c r="J2181" s="2">
        <f t="shared" si="34"/>
        <v>43749.578108090274</v>
      </c>
    </row>
    <row r="2182" spans="1:10" x14ac:dyDescent="0.25">
      <c r="A2182" s="7" t="s">
        <v>54991</v>
      </c>
      <c r="B2182" s="8">
        <v>393.75</v>
      </c>
      <c r="C2182" s="8">
        <v>20.531590000000001</v>
      </c>
      <c r="D2182" s="8">
        <v>48</v>
      </c>
      <c r="E2182" s="8">
        <v>0</v>
      </c>
      <c r="F2182" s="8">
        <v>0</v>
      </c>
      <c r="G2182" s="8">
        <v>15</v>
      </c>
      <c r="H2182" s="8" t="s">
        <v>54992</v>
      </c>
      <c r="I2182" s="8">
        <v>526.6875</v>
      </c>
      <c r="J2182" s="3">
        <f t="shared" si="34"/>
        <v>43749.578191562498</v>
      </c>
    </row>
    <row r="2183" spans="1:10" x14ac:dyDescent="0.25">
      <c r="A2183" s="5" t="s">
        <v>54993</v>
      </c>
      <c r="B2183" s="6">
        <v>393.75</v>
      </c>
      <c r="C2183" s="6">
        <v>20.584240000000001</v>
      </c>
      <c r="D2183" s="6">
        <v>48</v>
      </c>
      <c r="E2183" s="6">
        <v>0</v>
      </c>
      <c r="F2183" s="6">
        <v>0</v>
      </c>
      <c r="G2183" s="6">
        <v>12</v>
      </c>
      <c r="H2183" s="6" t="s">
        <v>54994</v>
      </c>
      <c r="I2183" s="6">
        <v>526.6875</v>
      </c>
      <c r="J2183" s="2">
        <f t="shared" si="34"/>
        <v>43749.57827489583</v>
      </c>
    </row>
    <row r="2184" spans="1:10" x14ac:dyDescent="0.25">
      <c r="A2184" s="7" t="s">
        <v>54995</v>
      </c>
      <c r="B2184" s="8">
        <v>393.75</v>
      </c>
      <c r="C2184" s="8">
        <v>20.531590000000001</v>
      </c>
      <c r="D2184" s="8">
        <v>47</v>
      </c>
      <c r="E2184" s="8">
        <v>0</v>
      </c>
      <c r="F2184" s="8">
        <v>0</v>
      </c>
      <c r="G2184" s="8">
        <v>17</v>
      </c>
      <c r="H2184" s="8" t="s">
        <v>54996</v>
      </c>
      <c r="I2184" s="8">
        <v>526.6875</v>
      </c>
      <c r="J2184" s="3">
        <f t="shared" si="34"/>
        <v>43749.578358449071</v>
      </c>
    </row>
    <row r="2185" spans="1:10" x14ac:dyDescent="0.25">
      <c r="A2185" s="5" t="s">
        <v>54997</v>
      </c>
      <c r="B2185" s="6">
        <v>393.75</v>
      </c>
      <c r="C2185" s="6">
        <v>20.584240000000001</v>
      </c>
      <c r="D2185" s="6">
        <v>47</v>
      </c>
      <c r="E2185" s="6">
        <v>0</v>
      </c>
      <c r="F2185" s="6">
        <v>0</v>
      </c>
      <c r="G2185" s="6">
        <v>11</v>
      </c>
      <c r="H2185" s="6" t="s">
        <v>54998</v>
      </c>
      <c r="I2185" s="6">
        <v>526.6875</v>
      </c>
      <c r="J2185" s="2">
        <f t="shared" si="34"/>
        <v>43749.578441689817</v>
      </c>
    </row>
    <row r="2186" spans="1:10" x14ac:dyDescent="0.25">
      <c r="A2186" s="7" t="s">
        <v>54999</v>
      </c>
      <c r="B2186" s="8">
        <v>393.75</v>
      </c>
      <c r="C2186" s="8">
        <v>20.531590000000001</v>
      </c>
      <c r="D2186" s="8">
        <v>47</v>
      </c>
      <c r="E2186" s="8">
        <v>0</v>
      </c>
      <c r="F2186" s="8">
        <v>0</v>
      </c>
      <c r="G2186" s="8">
        <v>12</v>
      </c>
      <c r="H2186" s="8" t="s">
        <v>55000</v>
      </c>
      <c r="I2186" s="8">
        <v>526.6875</v>
      </c>
      <c r="J2186" s="3">
        <f t="shared" si="34"/>
        <v>43749.578513333334</v>
      </c>
    </row>
    <row r="2187" spans="1:10" x14ac:dyDescent="0.25">
      <c r="A2187" s="5" t="s">
        <v>55001</v>
      </c>
      <c r="B2187" s="6">
        <v>393.75</v>
      </c>
      <c r="C2187" s="6">
        <v>20.584240000000001</v>
      </c>
      <c r="D2187" s="6">
        <v>45</v>
      </c>
      <c r="E2187" s="6">
        <v>0</v>
      </c>
      <c r="F2187" s="6">
        <v>0</v>
      </c>
      <c r="G2187" s="6">
        <v>18</v>
      </c>
      <c r="H2187" s="6" t="s">
        <v>55002</v>
      </c>
      <c r="I2187" s="6">
        <v>526.6875</v>
      </c>
      <c r="J2187" s="2">
        <f t="shared" si="34"/>
        <v>43749.578597129628</v>
      </c>
    </row>
    <row r="2188" spans="1:10" x14ac:dyDescent="0.25">
      <c r="A2188" s="7" t="s">
        <v>55003</v>
      </c>
      <c r="B2188" s="8">
        <v>393.75</v>
      </c>
      <c r="C2188" s="8">
        <v>20.584240000000001</v>
      </c>
      <c r="D2188" s="8">
        <v>45</v>
      </c>
      <c r="E2188" s="8">
        <v>0</v>
      </c>
      <c r="F2188" s="8">
        <v>0</v>
      </c>
      <c r="G2188" s="8">
        <v>10</v>
      </c>
      <c r="H2188" s="8" t="s">
        <v>55004</v>
      </c>
      <c r="I2188" s="8">
        <v>526.6875</v>
      </c>
      <c r="J2188" s="3">
        <f t="shared" si="34"/>
        <v>43749.578680439816</v>
      </c>
    </row>
    <row r="2189" spans="1:10" x14ac:dyDescent="0.25">
      <c r="A2189" s="5" t="s">
        <v>55005</v>
      </c>
      <c r="B2189" s="6">
        <v>393.75</v>
      </c>
      <c r="C2189" s="6">
        <v>20.584240000000001</v>
      </c>
      <c r="D2189" s="6">
        <v>45</v>
      </c>
      <c r="E2189" s="6">
        <v>0</v>
      </c>
      <c r="F2189" s="6">
        <v>0</v>
      </c>
      <c r="G2189" s="6">
        <v>13</v>
      </c>
      <c r="H2189" s="6" t="s">
        <v>55006</v>
      </c>
      <c r="I2189" s="6">
        <v>526.6875</v>
      </c>
      <c r="J2189" s="2">
        <f t="shared" si="34"/>
        <v>43749.578763784717</v>
      </c>
    </row>
    <row r="2190" spans="1:10" x14ac:dyDescent="0.25">
      <c r="A2190" s="7" t="s">
        <v>55007</v>
      </c>
      <c r="B2190" s="8">
        <v>412.5</v>
      </c>
      <c r="C2190" s="8">
        <v>20.584240000000001</v>
      </c>
      <c r="D2190" s="8">
        <v>45</v>
      </c>
      <c r="E2190" s="8">
        <v>0</v>
      </c>
      <c r="F2190" s="8">
        <v>0</v>
      </c>
      <c r="G2190" s="8">
        <v>19</v>
      </c>
      <c r="H2190" s="8" t="s">
        <v>55008</v>
      </c>
      <c r="I2190" s="8">
        <v>532.3125</v>
      </c>
      <c r="J2190" s="3">
        <f t="shared" si="34"/>
        <v>43749.578835555549</v>
      </c>
    </row>
    <row r="2191" spans="1:10" x14ac:dyDescent="0.25">
      <c r="A2191" s="5" t="s">
        <v>55009</v>
      </c>
      <c r="B2191" s="6">
        <v>393.75</v>
      </c>
      <c r="C2191" s="6">
        <v>20.584240000000001</v>
      </c>
      <c r="D2191" s="6">
        <v>42</v>
      </c>
      <c r="E2191" s="6">
        <v>0</v>
      </c>
      <c r="F2191" s="6">
        <v>0</v>
      </c>
      <c r="G2191" s="6">
        <v>16</v>
      </c>
      <c r="H2191" s="6" t="s">
        <v>55010</v>
      </c>
      <c r="I2191" s="6">
        <v>526.5</v>
      </c>
      <c r="J2191" s="2">
        <f t="shared" si="34"/>
        <v>43749.578919189815</v>
      </c>
    </row>
    <row r="2192" spans="1:10" x14ac:dyDescent="0.25">
      <c r="A2192" s="7" t="s">
        <v>55011</v>
      </c>
      <c r="B2192" s="8">
        <v>393.75</v>
      </c>
      <c r="C2192" s="8">
        <v>20.584240000000001</v>
      </c>
      <c r="D2192" s="8">
        <v>41</v>
      </c>
      <c r="E2192" s="8">
        <v>0</v>
      </c>
      <c r="F2192" s="8">
        <v>0</v>
      </c>
      <c r="G2192" s="8">
        <v>12</v>
      </c>
      <c r="H2192" s="8" t="s">
        <v>55012</v>
      </c>
      <c r="I2192" s="8">
        <v>526.6875</v>
      </c>
      <c r="J2192" s="3">
        <f t="shared" si="34"/>
        <v>43749.579002557868</v>
      </c>
    </row>
    <row r="2193" spans="1:10" x14ac:dyDescent="0.25">
      <c r="A2193" s="5" t="s">
        <v>55013</v>
      </c>
      <c r="B2193" s="6">
        <v>393.75</v>
      </c>
      <c r="C2193" s="6">
        <v>20.584240000000001</v>
      </c>
      <c r="D2193" s="6">
        <v>41</v>
      </c>
      <c r="E2193" s="6">
        <v>0</v>
      </c>
      <c r="F2193" s="6">
        <v>0</v>
      </c>
      <c r="G2193" s="6">
        <v>19</v>
      </c>
      <c r="H2193" s="6" t="s">
        <v>55014</v>
      </c>
      <c r="I2193" s="6">
        <v>526.6875</v>
      </c>
      <c r="J2193" s="2">
        <f t="shared" si="34"/>
        <v>43749.579086018515</v>
      </c>
    </row>
    <row r="2194" spans="1:10" x14ac:dyDescent="0.25">
      <c r="A2194" s="7" t="s">
        <v>55015</v>
      </c>
      <c r="B2194" s="8">
        <v>393.75</v>
      </c>
      <c r="C2194" s="8">
        <v>20.531590000000001</v>
      </c>
      <c r="D2194" s="8">
        <v>40</v>
      </c>
      <c r="E2194" s="8">
        <v>0</v>
      </c>
      <c r="F2194" s="8">
        <v>0</v>
      </c>
      <c r="G2194" s="8">
        <v>13</v>
      </c>
      <c r="H2194" s="8" t="s">
        <v>55016</v>
      </c>
      <c r="I2194" s="8">
        <v>526.6875</v>
      </c>
      <c r="J2194" s="3">
        <f t="shared" si="34"/>
        <v>43749.579169583332</v>
      </c>
    </row>
    <row r="2195" spans="1:10" x14ac:dyDescent="0.25">
      <c r="A2195" s="5" t="s">
        <v>55017</v>
      </c>
      <c r="B2195" s="6">
        <v>393.75</v>
      </c>
      <c r="C2195" s="6">
        <v>20.584240000000001</v>
      </c>
      <c r="D2195" s="6">
        <v>40</v>
      </c>
      <c r="E2195" s="6">
        <v>0</v>
      </c>
      <c r="F2195" s="6">
        <v>0</v>
      </c>
      <c r="G2195" s="6">
        <v>16</v>
      </c>
      <c r="H2195" s="6" t="s">
        <v>55018</v>
      </c>
      <c r="I2195" s="6">
        <v>526.6875</v>
      </c>
      <c r="J2195" s="2">
        <f t="shared" si="34"/>
        <v>43749.57925278935</v>
      </c>
    </row>
    <row r="2196" spans="1:10" x14ac:dyDescent="0.25">
      <c r="A2196" s="7" t="s">
        <v>55019</v>
      </c>
      <c r="B2196" s="8">
        <v>393.75</v>
      </c>
      <c r="C2196" s="8">
        <v>20.531590000000001</v>
      </c>
      <c r="D2196" s="8">
        <v>40</v>
      </c>
      <c r="E2196" s="8">
        <v>0</v>
      </c>
      <c r="F2196" s="8">
        <v>0</v>
      </c>
      <c r="G2196" s="8">
        <v>18</v>
      </c>
      <c r="H2196" s="8" t="s">
        <v>55020</v>
      </c>
      <c r="I2196" s="8">
        <v>526.6875</v>
      </c>
      <c r="J2196" s="3">
        <f t="shared" si="34"/>
        <v>43749.579324421291</v>
      </c>
    </row>
    <row r="2197" spans="1:10" x14ac:dyDescent="0.25">
      <c r="A2197" s="5" t="s">
        <v>55021</v>
      </c>
      <c r="B2197" s="6">
        <v>393.75</v>
      </c>
      <c r="C2197" s="6">
        <v>20.584240000000001</v>
      </c>
      <c r="D2197" s="6">
        <v>40</v>
      </c>
      <c r="E2197" s="6">
        <v>0</v>
      </c>
      <c r="F2197" s="6">
        <v>0</v>
      </c>
      <c r="G2197" s="6">
        <v>7</v>
      </c>
      <c r="H2197" s="6" t="s">
        <v>55022</v>
      </c>
      <c r="I2197" s="6">
        <v>526.6875</v>
      </c>
      <c r="J2197" s="2">
        <f t="shared" si="34"/>
        <v>43749.579408217593</v>
      </c>
    </row>
    <row r="2198" spans="1:10" x14ac:dyDescent="0.25">
      <c r="A2198" s="7" t="s">
        <v>55023</v>
      </c>
      <c r="B2198" s="8">
        <v>393.75</v>
      </c>
      <c r="C2198" s="8">
        <v>20.531590000000001</v>
      </c>
      <c r="D2198" s="8">
        <v>41</v>
      </c>
      <c r="E2198" s="8">
        <v>0</v>
      </c>
      <c r="F2198" s="8">
        <v>0</v>
      </c>
      <c r="G2198" s="8">
        <v>7</v>
      </c>
      <c r="H2198" s="8" t="s">
        <v>55024</v>
      </c>
      <c r="I2198" s="8">
        <v>526.6875</v>
      </c>
      <c r="J2198" s="3">
        <f t="shared" si="34"/>
        <v>43749.579491666664</v>
      </c>
    </row>
    <row r="2199" spans="1:10" x14ac:dyDescent="0.25">
      <c r="A2199" s="5" t="s">
        <v>55025</v>
      </c>
      <c r="B2199" s="6">
        <v>393.75</v>
      </c>
      <c r="C2199" s="6">
        <v>20.584240000000001</v>
      </c>
      <c r="D2199" s="6">
        <v>40</v>
      </c>
      <c r="E2199" s="6">
        <v>0</v>
      </c>
      <c r="F2199" s="6">
        <v>0</v>
      </c>
      <c r="G2199" s="6">
        <v>11</v>
      </c>
      <c r="H2199" s="6" t="s">
        <v>55026</v>
      </c>
      <c r="I2199" s="6">
        <v>526.6875</v>
      </c>
      <c r="J2199" s="2">
        <f t="shared" si="34"/>
        <v>43749.579575011572</v>
      </c>
    </row>
    <row r="2200" spans="1:10" x14ac:dyDescent="0.25">
      <c r="A2200" s="7" t="s">
        <v>55027</v>
      </c>
      <c r="B2200" s="8">
        <v>412.5</v>
      </c>
      <c r="C2200" s="8">
        <v>20.584240000000001</v>
      </c>
      <c r="D2200" s="8">
        <v>40</v>
      </c>
      <c r="E2200" s="8">
        <v>0</v>
      </c>
      <c r="F2200" s="8">
        <v>0</v>
      </c>
      <c r="G2200" s="8">
        <v>19</v>
      </c>
      <c r="H2200" s="8" t="s">
        <v>55028</v>
      </c>
      <c r="I2200" s="8">
        <v>532.3125</v>
      </c>
      <c r="J2200" s="3">
        <f t="shared" si="34"/>
        <v>43749.579646666665</v>
      </c>
    </row>
    <row r="2201" spans="1:10" x14ac:dyDescent="0.25">
      <c r="A2201" s="5" t="s">
        <v>55029</v>
      </c>
      <c r="B2201" s="6">
        <v>393.75</v>
      </c>
      <c r="C2201" s="6">
        <v>20.531590000000001</v>
      </c>
      <c r="D2201" s="6">
        <v>41</v>
      </c>
      <c r="E2201" s="6">
        <v>0</v>
      </c>
      <c r="F2201" s="6">
        <v>0</v>
      </c>
      <c r="G2201" s="6">
        <v>9</v>
      </c>
      <c r="H2201" s="6" t="s">
        <v>55030</v>
      </c>
      <c r="I2201" s="6">
        <v>526.6875</v>
      </c>
      <c r="J2201" s="2">
        <f t="shared" si="34"/>
        <v>43749.579730231482</v>
      </c>
    </row>
    <row r="2202" spans="1:10" x14ac:dyDescent="0.25">
      <c r="A2202" s="7" t="s">
        <v>55031</v>
      </c>
      <c r="B2202" s="8">
        <v>393.75</v>
      </c>
      <c r="C2202" s="8">
        <v>20.584240000000001</v>
      </c>
      <c r="D2202" s="8">
        <v>41</v>
      </c>
      <c r="E2202" s="8">
        <v>0</v>
      </c>
      <c r="F2202" s="8">
        <v>0</v>
      </c>
      <c r="G2202" s="8">
        <v>12</v>
      </c>
      <c r="H2202" s="8" t="s">
        <v>55032</v>
      </c>
      <c r="I2202" s="8">
        <v>526.6875</v>
      </c>
      <c r="J2202" s="3">
        <f t="shared" si="34"/>
        <v>43749.579813657409</v>
      </c>
    </row>
    <row r="2203" spans="1:10" x14ac:dyDescent="0.25">
      <c r="A2203" s="5" t="s">
        <v>55033</v>
      </c>
      <c r="B2203" s="6">
        <v>393.75</v>
      </c>
      <c r="C2203" s="6">
        <v>20.584240000000001</v>
      </c>
      <c r="D2203" s="6">
        <v>43</v>
      </c>
      <c r="E2203" s="6">
        <v>0</v>
      </c>
      <c r="F2203" s="6">
        <v>0</v>
      </c>
      <c r="G2203" s="6">
        <v>12</v>
      </c>
      <c r="H2203" s="6" t="s">
        <v>55034</v>
      </c>
      <c r="I2203" s="6">
        <v>526.6875</v>
      </c>
      <c r="J2203" s="2">
        <f t="shared" si="34"/>
        <v>43749.5798971412</v>
      </c>
    </row>
    <row r="2204" spans="1:10" x14ac:dyDescent="0.25">
      <c r="A2204" s="7" t="s">
        <v>55035</v>
      </c>
      <c r="B2204" s="8">
        <v>393.75</v>
      </c>
      <c r="C2204" s="8">
        <v>20.531590000000001</v>
      </c>
      <c r="D2204" s="8">
        <v>43</v>
      </c>
      <c r="E2204" s="8">
        <v>0</v>
      </c>
      <c r="F2204" s="8">
        <v>0</v>
      </c>
      <c r="G2204" s="8">
        <v>11</v>
      </c>
      <c r="H2204" s="8" t="s">
        <v>55036</v>
      </c>
      <c r="I2204" s="8">
        <v>526.6875</v>
      </c>
      <c r="J2204" s="3">
        <f t="shared" si="34"/>
        <v>43749.579980682865</v>
      </c>
    </row>
    <row r="2205" spans="1:10" x14ac:dyDescent="0.25">
      <c r="A2205" s="5" t="s">
        <v>55037</v>
      </c>
      <c r="B2205" s="6">
        <v>393.75</v>
      </c>
      <c r="C2205" s="6">
        <v>20.584240000000001</v>
      </c>
      <c r="D2205" s="6">
        <v>43</v>
      </c>
      <c r="E2205" s="6">
        <v>0</v>
      </c>
      <c r="F2205" s="6">
        <v>0</v>
      </c>
      <c r="G2205" s="6">
        <v>15</v>
      </c>
      <c r="H2205" s="6" t="s">
        <v>55038</v>
      </c>
      <c r="I2205" s="6">
        <v>526.6875</v>
      </c>
      <c r="J2205" s="2">
        <f t="shared" si="34"/>
        <v>43749.580076018516</v>
      </c>
    </row>
    <row r="2206" spans="1:10" x14ac:dyDescent="0.25">
      <c r="A2206" s="7" t="s">
        <v>55039</v>
      </c>
      <c r="B2206" s="8">
        <v>393.75</v>
      </c>
      <c r="C2206" s="8">
        <v>20.584240000000001</v>
      </c>
      <c r="D2206" s="8">
        <v>44</v>
      </c>
      <c r="E2206" s="8">
        <v>0</v>
      </c>
      <c r="F2206" s="8">
        <v>0</v>
      </c>
      <c r="G2206" s="8">
        <v>16</v>
      </c>
      <c r="H2206" s="8" t="s">
        <v>55040</v>
      </c>
      <c r="I2206" s="8">
        <v>526.6875</v>
      </c>
      <c r="J2206" s="3">
        <f t="shared" si="34"/>
        <v>43749.580171180554</v>
      </c>
    </row>
    <row r="2207" spans="1:10" x14ac:dyDescent="0.25">
      <c r="A2207" s="5" t="s">
        <v>55041</v>
      </c>
      <c r="B2207" s="6">
        <v>393.75</v>
      </c>
      <c r="C2207" s="6">
        <v>20.531590000000001</v>
      </c>
      <c r="D2207" s="6">
        <v>44</v>
      </c>
      <c r="E2207" s="6">
        <v>0</v>
      </c>
      <c r="F2207" s="6">
        <v>0</v>
      </c>
      <c r="G2207" s="6">
        <v>20</v>
      </c>
      <c r="H2207" s="6" t="s">
        <v>55042</v>
      </c>
      <c r="I2207" s="6">
        <v>526.6875</v>
      </c>
      <c r="J2207" s="2">
        <f t="shared" si="34"/>
        <v>43749.580243020835</v>
      </c>
    </row>
    <row r="2208" spans="1:10" x14ac:dyDescent="0.25">
      <c r="A2208" s="7" t="s">
        <v>55043</v>
      </c>
      <c r="B2208" s="8">
        <v>393.75</v>
      </c>
      <c r="C2208" s="8">
        <v>20.531590000000001</v>
      </c>
      <c r="D2208" s="8">
        <v>45</v>
      </c>
      <c r="E2208" s="8">
        <v>0</v>
      </c>
      <c r="F2208" s="8">
        <v>0</v>
      </c>
      <c r="G2208" s="8">
        <v>15</v>
      </c>
      <c r="H2208" s="8" t="s">
        <v>55044</v>
      </c>
      <c r="I2208" s="8">
        <v>526.6875</v>
      </c>
      <c r="J2208" s="3">
        <f t="shared" si="34"/>
        <v>43749.580326828705</v>
      </c>
    </row>
    <row r="2209" spans="1:10" x14ac:dyDescent="0.25">
      <c r="A2209" s="5" t="s">
        <v>55045</v>
      </c>
      <c r="B2209" s="6">
        <v>437.5</v>
      </c>
      <c r="C2209" s="6">
        <v>20.584240000000001</v>
      </c>
      <c r="D2209" s="6">
        <v>45</v>
      </c>
      <c r="E2209" s="6">
        <v>0</v>
      </c>
      <c r="F2209" s="6">
        <v>0</v>
      </c>
      <c r="G2209" s="6">
        <v>18</v>
      </c>
      <c r="H2209" s="6" t="s">
        <v>55046</v>
      </c>
      <c r="I2209" s="6">
        <v>540</v>
      </c>
      <c r="J2209" s="2">
        <f t="shared" si="34"/>
        <v>43749.580410046292</v>
      </c>
    </row>
    <row r="2210" spans="1:10" x14ac:dyDescent="0.25">
      <c r="A2210" s="7" t="s">
        <v>55047</v>
      </c>
      <c r="B2210" s="8">
        <v>393.75</v>
      </c>
      <c r="C2210" s="8">
        <v>20.531590000000001</v>
      </c>
      <c r="D2210" s="8">
        <v>45</v>
      </c>
      <c r="E2210" s="8">
        <v>0</v>
      </c>
      <c r="F2210" s="8">
        <v>0</v>
      </c>
      <c r="G2210" s="8">
        <v>12</v>
      </c>
      <c r="H2210" s="8" t="s">
        <v>55048</v>
      </c>
      <c r="I2210" s="8">
        <v>526.6875</v>
      </c>
      <c r="J2210" s="3">
        <f t="shared" si="34"/>
        <v>43749.58049349537</v>
      </c>
    </row>
    <row r="2211" spans="1:10" x14ac:dyDescent="0.25">
      <c r="A2211" s="5" t="s">
        <v>55049</v>
      </c>
      <c r="B2211" s="6">
        <v>393.75</v>
      </c>
      <c r="C2211" s="6">
        <v>20.584240000000001</v>
      </c>
      <c r="D2211" s="6">
        <v>44</v>
      </c>
      <c r="E2211" s="6">
        <v>0</v>
      </c>
      <c r="F2211" s="6">
        <v>0</v>
      </c>
      <c r="G2211" s="6">
        <v>18</v>
      </c>
      <c r="H2211" s="6" t="s">
        <v>55050</v>
      </c>
      <c r="I2211" s="6">
        <v>526.6875</v>
      </c>
      <c r="J2211" s="2">
        <f t="shared" si="34"/>
        <v>43749.580577048611</v>
      </c>
    </row>
    <row r="2212" spans="1:10" x14ac:dyDescent="0.25">
      <c r="A2212" s="7" t="s">
        <v>55051</v>
      </c>
      <c r="B2212" s="8">
        <v>393.75</v>
      </c>
      <c r="C2212" s="8">
        <v>20.531590000000001</v>
      </c>
      <c r="D2212" s="8">
        <v>44</v>
      </c>
      <c r="E2212" s="8">
        <v>0</v>
      </c>
      <c r="F2212" s="8">
        <v>0</v>
      </c>
      <c r="G2212" s="8">
        <v>16</v>
      </c>
      <c r="H2212" s="8" t="s">
        <v>55052</v>
      </c>
      <c r="I2212" s="8">
        <v>526.6875</v>
      </c>
      <c r="J2212" s="3">
        <f t="shared" si="34"/>
        <v>43749.580662650456</v>
      </c>
    </row>
    <row r="2213" spans="1:10" x14ac:dyDescent="0.25">
      <c r="A2213" s="5" t="s">
        <v>55053</v>
      </c>
      <c r="B2213" s="6">
        <v>393.75</v>
      </c>
      <c r="C2213" s="6">
        <v>20.531590000000001</v>
      </c>
      <c r="D2213" s="6">
        <v>43</v>
      </c>
      <c r="E2213" s="6">
        <v>0</v>
      </c>
      <c r="F2213" s="6">
        <v>0</v>
      </c>
      <c r="G2213" s="6">
        <v>13</v>
      </c>
      <c r="H2213" s="6" t="s">
        <v>55054</v>
      </c>
      <c r="I2213" s="6">
        <v>526.6875</v>
      </c>
      <c r="J2213" s="2">
        <f t="shared" si="34"/>
        <v>43749.58074395833</v>
      </c>
    </row>
    <row r="2214" spans="1:10" x14ac:dyDescent="0.25">
      <c r="A2214" s="7" t="s">
        <v>55055</v>
      </c>
      <c r="B2214" s="8">
        <v>393.75</v>
      </c>
      <c r="C2214" s="8">
        <v>20.531590000000001</v>
      </c>
      <c r="D2214" s="8">
        <v>44</v>
      </c>
      <c r="E2214" s="8">
        <v>0</v>
      </c>
      <c r="F2214" s="8">
        <v>0</v>
      </c>
      <c r="G2214" s="8">
        <v>21</v>
      </c>
      <c r="H2214" s="8" t="s">
        <v>55056</v>
      </c>
      <c r="I2214" s="8">
        <v>526.6875</v>
      </c>
      <c r="J2214" s="3">
        <f t="shared" si="34"/>
        <v>43749.580816168978</v>
      </c>
    </row>
    <row r="2215" spans="1:10" x14ac:dyDescent="0.25">
      <c r="A2215" s="5" t="s">
        <v>55057</v>
      </c>
      <c r="B2215" s="6">
        <v>393.75</v>
      </c>
      <c r="C2215" s="6">
        <v>20.531590000000001</v>
      </c>
      <c r="D2215" s="6">
        <v>43</v>
      </c>
      <c r="E2215" s="6">
        <v>0</v>
      </c>
      <c r="F2215" s="6">
        <v>0</v>
      </c>
      <c r="G2215" s="6">
        <v>21</v>
      </c>
      <c r="H2215" s="6" t="s">
        <v>55058</v>
      </c>
      <c r="I2215" s="6">
        <v>526.6875</v>
      </c>
      <c r="J2215" s="2">
        <f t="shared" si="34"/>
        <v>43749.580899039349</v>
      </c>
    </row>
    <row r="2216" spans="1:10" x14ac:dyDescent="0.25">
      <c r="A2216" s="7" t="s">
        <v>55059</v>
      </c>
      <c r="B2216" s="8">
        <v>393.75</v>
      </c>
      <c r="C2216" s="8">
        <v>20.584240000000001</v>
      </c>
      <c r="D2216" s="8">
        <v>43</v>
      </c>
      <c r="E2216" s="8">
        <v>0</v>
      </c>
      <c r="F2216" s="8">
        <v>0</v>
      </c>
      <c r="G2216" s="8">
        <v>30</v>
      </c>
      <c r="H2216" s="8" t="s">
        <v>55060</v>
      </c>
      <c r="I2216" s="8">
        <v>526.6875</v>
      </c>
      <c r="J2216" s="3">
        <f t="shared" si="34"/>
        <v>43749.580982256943</v>
      </c>
    </row>
    <row r="2217" spans="1:10" x14ac:dyDescent="0.25">
      <c r="A2217" s="5" t="s">
        <v>55061</v>
      </c>
      <c r="B2217" s="6">
        <v>393.75</v>
      </c>
      <c r="C2217" s="6">
        <v>20.584240000000001</v>
      </c>
      <c r="D2217" s="6">
        <v>43</v>
      </c>
      <c r="E2217" s="6">
        <v>0</v>
      </c>
      <c r="F2217" s="6">
        <v>0</v>
      </c>
      <c r="G2217" s="6">
        <v>17</v>
      </c>
      <c r="H2217" s="6" t="s">
        <v>55062</v>
      </c>
      <c r="I2217" s="6">
        <v>526.6875</v>
      </c>
      <c r="J2217" s="2">
        <f t="shared" si="34"/>
        <v>43749.581078020834</v>
      </c>
    </row>
    <row r="2218" spans="1:10" x14ac:dyDescent="0.25">
      <c r="A2218" s="7" t="s">
        <v>55063</v>
      </c>
      <c r="B2218" s="8">
        <v>393.75</v>
      </c>
      <c r="C2218" s="8">
        <v>20.584240000000001</v>
      </c>
      <c r="D2218" s="8">
        <v>38</v>
      </c>
      <c r="E2218" s="8">
        <v>0</v>
      </c>
      <c r="F2218" s="8">
        <v>0</v>
      </c>
      <c r="G2218" s="8">
        <v>20</v>
      </c>
      <c r="H2218" s="8" t="s">
        <v>55064</v>
      </c>
      <c r="I2218" s="8">
        <v>526.6875</v>
      </c>
      <c r="J2218" s="3">
        <f t="shared" si="34"/>
        <v>43749.581161423608</v>
      </c>
    </row>
    <row r="2219" spans="1:10" x14ac:dyDescent="0.25">
      <c r="A2219" s="5" t="s">
        <v>55065</v>
      </c>
      <c r="B2219" s="6">
        <v>393.75</v>
      </c>
      <c r="C2219" s="6">
        <v>20.584240000000001</v>
      </c>
      <c r="D2219" s="6">
        <v>38</v>
      </c>
      <c r="E2219" s="6">
        <v>0</v>
      </c>
      <c r="F2219" s="6">
        <v>0</v>
      </c>
      <c r="G2219" s="6">
        <v>17</v>
      </c>
      <c r="H2219" s="6" t="s">
        <v>55066</v>
      </c>
      <c r="I2219" s="6">
        <v>526.6875</v>
      </c>
      <c r="J2219" s="2">
        <f t="shared" si="34"/>
        <v>43749.581245000001</v>
      </c>
    </row>
    <row r="2220" spans="1:10" x14ac:dyDescent="0.25">
      <c r="A2220" s="7" t="s">
        <v>55067</v>
      </c>
      <c r="B2220" s="8">
        <v>393.75</v>
      </c>
      <c r="C2220" s="8">
        <v>20.584240000000001</v>
      </c>
      <c r="D2220" s="8">
        <v>39</v>
      </c>
      <c r="E2220" s="8">
        <v>0</v>
      </c>
      <c r="F2220" s="8">
        <v>0</v>
      </c>
      <c r="G2220" s="8">
        <v>15</v>
      </c>
      <c r="H2220" s="8" t="s">
        <v>55068</v>
      </c>
      <c r="I2220" s="8">
        <v>526.6875</v>
      </c>
      <c r="J2220" s="3">
        <f t="shared" si="34"/>
        <v>43749.581328449072</v>
      </c>
    </row>
    <row r="2221" spans="1:10" x14ac:dyDescent="0.25">
      <c r="A2221" s="5" t="s">
        <v>55069</v>
      </c>
      <c r="B2221" s="6">
        <v>393.75</v>
      </c>
      <c r="C2221" s="6">
        <v>20.584240000000001</v>
      </c>
      <c r="D2221" s="6">
        <v>40</v>
      </c>
      <c r="E2221" s="6">
        <v>0</v>
      </c>
      <c r="F2221" s="6">
        <v>0</v>
      </c>
      <c r="G2221" s="6">
        <v>17</v>
      </c>
      <c r="H2221" s="6" t="s">
        <v>55070</v>
      </c>
      <c r="I2221" s="6">
        <v>526.6875</v>
      </c>
      <c r="J2221" s="2">
        <f t="shared" si="34"/>
        <v>43749.581403287033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8-9(10)</vt:lpstr>
      <vt:lpstr>9-10(10)</vt:lpstr>
      <vt:lpstr>10-11(10)</vt:lpstr>
      <vt:lpstr>11-12(10)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MANAHATI</cp:lastModifiedBy>
  <dcterms:created xsi:type="dcterms:W3CDTF">2019-10-11T17:42:38Z</dcterms:created>
  <dcterms:modified xsi:type="dcterms:W3CDTF">2019-10-11T19:53:58Z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46ddfcf5-6ef2-49fd-8db9-c2de0049612c</vt:lpwstr>
  </property>
</Properties>
</file>